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visible" name="Log Sync Base" sheetId="2" r:id="rId6"/>
    <sheet state="hidden" name="indice columnas" sheetId="3" r:id="rId7"/>
    <sheet state="visible" name="Log Archivos Drive" sheetId="4" r:id="rId8"/>
    <sheet state="hidden" name="Referencia" sheetId="5" r:id="rId9"/>
    <sheet state="visible" name="Log Ingresos" sheetId="6" r:id="rId10"/>
    <sheet state="visible" name="Log Subida Drive" sheetId="7" r:id="rId11"/>
  </sheets>
  <definedNames>
    <definedName hidden="1" localSheetId="0" name="_xlnm._FilterDatabase">Base!$A$1:$AV$813</definedName>
    <definedName hidden="1" localSheetId="1" name="_xlnm._FilterDatabase">'Log Sync Base'!$A$1:$K$5232</definedName>
    <definedName hidden="1" localSheetId="3" name="_xlnm._FilterDatabase">'Log Archivos Drive'!$A$1:$J$7186</definedName>
    <definedName hidden="1" localSheetId="4" name="_xlnm._FilterDatabase">Referencia!$A$1:$BG$1563</definedName>
    <definedName hidden="1" localSheetId="0" name="Z_BD5088F5_1138_4457_9BF8_20F07DA2A13F_.wvu.FilterData">Base!$AT$173:$AT$200</definedName>
    <definedName hidden="1" localSheetId="0" name="Z_FC5F2378_5C14_4949_B37E_2B8AA3DD9B9F_.wvu.FilterData">Base!$A$1:$AU$788</definedName>
  </definedNames>
  <calcPr/>
  <customWorkbookViews>
    <customWorkbookView activeSheetId="0" maximized="1" windowHeight="0" windowWidth="0" guid="{BD5088F5-1138-4457-9BF8-20F07DA2A13F}" name="Filtro 1"/>
    <customWorkbookView activeSheetId="0" maximized="1" windowHeight="0" windowWidth="0" guid="{FC5F2378-5C14-4949-B37E-2B8AA3DD9B9F}" name="Filtro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81">
      <text>
        <t xml:space="preserve">Ex WODONG NG</t>
      </text>
    </comment>
    <comment authorId="0" ref="A377">
      <text>
        <t xml:space="preserve">Ex RAIDEN BL</t>
      </text>
    </comment>
    <comment authorId="0" ref="A505">
      <text>
        <t xml:space="preserve">⚠️ SKU duplicado: "6857" aparece en las filas 509, 510.
Revisar y eliminar la fila que sobre a mano. El bot no borra nada.
Detectado: 30/09/2026</t>
      </text>
    </comment>
    <comment authorId="0" ref="A470">
      <text>
        <t xml:space="preserve">EX KIT SUSPENSIÓN 4 TENSORES BL</t>
      </text>
    </comment>
    <comment authorId="0" ref="A563">
      <text>
        <t xml:space="preserve">⚠️ SKU duplicado: "7044" aparece en las filas 567, 568.
Revisar y eliminar la fila que sobre a mano. El bot no borra nada.
Detectado: 30/09/2026</t>
      </text>
    </comment>
    <comment authorId="0" ref="A76">
      <text>
        <t xml:space="preserve">ex BERNY NG 32W</t>
      </text>
    </comment>
    <comment authorId="0" ref="A524">
      <text>
        <t xml:space="preserve">⚠️ SKU duplicado: "7014" aparece en las filas 528, 529.
Revisar y eliminar la fila que sobre a mano. El bot no borra nada.
Detectado: 30/09/2026</t>
      </text>
    </comment>
    <comment authorId="0" ref="A74">
      <text>
        <t xml:space="preserve">ex BERNY BL 32W</t>
      </text>
    </comment>
    <comment authorId="0" ref="A456">
      <text>
        <t xml:space="preserve">Ex RAIDEN NG</t>
      </text>
    </comment>
    <comment authorId="0" ref="A520">
      <text>
        <t xml:space="preserve">⚠️ SKU duplicado: "7012" aparece en las filas 525, 526.
Revisar y eliminar la fila que sobre a mano. El bot no borra nada.
Detectado: 30/09/2026</t>
      </text>
    </comment>
    <comment authorId="0" ref="A679">
      <text>
        <t xml:space="preserve">Ex LIUDAN BL</t>
      </text>
    </comment>
    <comment authorId="0" ref="A518">
      <text>
        <t xml:space="preserve">⚠️ SKU duplicado: "7010" aparece en las filas 522, 523.
Revisar y eliminar la fila que sobre a mano. El bot no borra nada.
Detectado: 30/09/2026</t>
      </text>
    </comment>
    <comment authorId="0" ref="A582">
      <text>
        <t xml:space="preserve">Ex PRIUS NGNT</t>
      </text>
    </comment>
    <comment authorId="0" ref="A677">
      <text>
        <t xml:space="preserve">Ex LEGUI NG 20W</t>
      </text>
    </comment>
    <comment authorId="0" ref="A378">
      <text>
        <t xml:space="preserve">Ex RAIDEN BL</t>
      </text>
    </comment>
    <comment authorId="0" ref="A504">
      <text>
        <t xml:space="preserve">⚠️ SKU duplicado: "6857" aparece en las filas 509, 510.
Revisar y eliminar la fila que sobre a mano. El bot no borra nada.
Detectado: 30/09/2026</t>
      </text>
    </comment>
    <comment authorId="0" ref="A471">
      <text>
        <t xml:space="preserve">EX KIT SUSPENSIÓN 4 TENSORES NG</t>
      </text>
    </comment>
    <comment authorId="0" ref="A562">
      <text>
        <t xml:space="preserve">⚠️ SKU duplicado: "7044" aparece en las filas 567, 568.
Revisar y eliminar la fila que sobre a mano. El bot no borra nada.
Detectado: 30/09/2026</t>
      </text>
    </comment>
    <comment authorId="0" ref="A300">
      <text>
        <t xml:space="preserve">Ex LEGUI NG 12W</t>
      </text>
    </comment>
    <comment authorId="0" ref="A75">
      <text>
        <t xml:space="preserve">ex BERNY BL 45W</t>
      </text>
    </comment>
    <comment authorId="0" ref="A523">
      <text>
        <t xml:space="preserve">⚠️ SKU duplicado: "7014" aparece en las filas 528, 529.
Revisar y eliminar la fila que sobre a mano. El bot no borra nada.
Detectado: 30/09/2026</t>
      </text>
    </comment>
    <comment authorId="0" ref="A457">
      <text>
        <t xml:space="preserve">Ex WODONG BL</t>
      </text>
    </comment>
    <comment authorId="0" ref="A521">
      <text>
        <t xml:space="preserve">⚠️ SKU duplicado: "7012" aparece en las filas 525, 526.
Revisar y eliminar la fila que sobre a mano. El bot no borra nada.
Detectado: 30/09/2026</t>
      </text>
    </comment>
    <comment authorId="0" ref="A585">
      <text>
        <t xml:space="preserve">Ex PRIUS VDNG</t>
      </text>
    </comment>
    <comment authorId="0" ref="A680">
      <text>
        <t xml:space="preserve">Ex LIUDAN NG</t>
      </text>
    </comment>
    <comment authorId="0" ref="A678">
      <text>
        <t xml:space="preserve">Ex LIUDAN BL</t>
      </text>
    </comment>
    <comment authorId="0" ref="A517">
      <text>
        <t xml:space="preserve">⚠️ SKU duplicado: "7010" aparece en las filas 522, 523.
Revisar y eliminar la fila que sobre a mano. El bot no borra nada.
Detectado: 30/09/2026</t>
      </text>
    </comment>
    <comment authorId="0" ref="A581">
      <text>
        <t xml:space="preserve">Ex PRIUS BLNT</t>
      </text>
    </comment>
  </commentList>
</comments>
</file>

<file path=xl/sharedStrings.xml><?xml version="1.0" encoding="utf-8"?>
<sst xmlns="http://schemas.openxmlformats.org/spreadsheetml/2006/main" count="173639" uniqueCount="7029">
  <si>
    <t>Nombre</t>
  </si>
  <si>
    <t>Colección</t>
  </si>
  <si>
    <t>Categoría</t>
  </si>
  <si>
    <t>Subcategoría</t>
  </si>
  <si>
    <t>Vertical</t>
  </si>
  <si>
    <t>SKU</t>
  </si>
  <si>
    <t>SKU Padre</t>
  </si>
  <si>
    <t>Estado</t>
  </si>
  <si>
    <t>Medida</t>
  </si>
  <si>
    <t>Comentarios</t>
  </si>
  <si>
    <t>Fuente Lumínica</t>
  </si>
  <si>
    <t>Marca LED</t>
  </si>
  <si>
    <t>Flicker free</t>
  </si>
  <si>
    <t>Control</t>
  </si>
  <si>
    <t>Alimentación</t>
  </si>
  <si>
    <t>Frecuencia</t>
  </si>
  <si>
    <t>Potencia</t>
  </si>
  <si>
    <t>Factor de potencia</t>
  </si>
  <si>
    <t>Lúmenes LED</t>
  </si>
  <si>
    <t>Eficacia lumínica LED</t>
  </si>
  <si>
    <t>Flujo lumínico</t>
  </si>
  <si>
    <t>Eficacia lumínica</t>
  </si>
  <si>
    <t>Temperatura color</t>
  </si>
  <si>
    <t>Índice de reproducción cromatica</t>
  </si>
  <si>
    <t>Ángulo de apertura</t>
  </si>
  <si>
    <t>UGR</t>
  </si>
  <si>
    <t>Índice de protección</t>
  </si>
  <si>
    <t>Clase de aislación</t>
  </si>
  <si>
    <t>Fijación</t>
  </si>
  <si>
    <t>Dimensión producto</t>
  </si>
  <si>
    <t>Dimensión calado</t>
  </si>
  <si>
    <t>Profundidad calado</t>
  </si>
  <si>
    <t>Materialidad</t>
  </si>
  <si>
    <t>Difusor</t>
  </si>
  <si>
    <t>Color producto</t>
  </si>
  <si>
    <t>Temp. Operativa</t>
  </si>
  <si>
    <t>Vida útil</t>
  </si>
  <si>
    <t>Garantía</t>
  </si>
  <si>
    <t>Descripción corta</t>
  </si>
  <si>
    <t>Imagen destacada</t>
  </si>
  <si>
    <t>Galería</t>
  </si>
  <si>
    <t>Fichas técnicas</t>
  </si>
  <si>
    <t>Archivos LDT</t>
  </si>
  <si>
    <t>Archivo CAD</t>
  </si>
  <si>
    <t>Manual de instalación</t>
  </si>
  <si>
    <t>Dibujo técnico</t>
  </si>
  <si>
    <t>Curvas Fotométricas</t>
  </si>
  <si>
    <t>Fecha probable de ingreso</t>
  </si>
  <si>
    <t>MOLY</t>
  </si>
  <si>
    <t>-</t>
  </si>
  <si>
    <t>De Pared</t>
  </si>
  <si>
    <t>Aplique</t>
  </si>
  <si>
    <t>Exterior</t>
  </si>
  <si>
    <t>Activo</t>
  </si>
  <si>
    <t>1xGU10 Dicro</t>
  </si>
  <si>
    <t>N/A</t>
  </si>
  <si>
    <t>220-240 Vac</t>
  </si>
  <si>
    <t>50/60 Hz</t>
  </si>
  <si>
    <t>1 x 35W Max W</t>
  </si>
  <si>
    <t>IP65</t>
  </si>
  <si>
    <t>Clase l</t>
  </si>
  <si>
    <t>Aplicar</t>
  </si>
  <si>
    <t>65 x 113 x 120 mm</t>
  </si>
  <si>
    <t>Aluminio</t>
  </si>
  <si>
    <t>Vidrio</t>
  </si>
  <si>
    <t>Negro Mate</t>
  </si>
  <si>
    <t>2 Años</t>
  </si>
  <si>
    <t>Luminaria de exterior diseñada para brindar iluminación eficiente y resistente.
 Fabricado en aluminio. Su estructura robusta la hace ideal para realzar espacios
 al aire libre con estilo y funcionalidad.</t>
  </si>
  <si>
    <t>4169FotoProducto0.png</t>
  </si>
  <si>
    <t>4169Fotodetalle.png,4169FotoDetalle0.jpg,4169FotoDetalle1.jpg,4169Fotodetalle1.png,4169FotoDetalle2.jpg,4169Fotodetalle2.png,4169FotoDetalle3.jpg,4169Fotodetalle3.png,4169FotoDetalle4.jpg,4169FotoDetalle5.jpg</t>
  </si>
  <si>
    <t>Ficha Técnica - MOLY.pdf</t>
  </si>
  <si>
    <t>4169-cad.dwg</t>
  </si>
  <si>
    <t>4169dibujo.webp</t>
  </si>
  <si>
    <t>MOLY I</t>
  </si>
  <si>
    <t>1 x 35W Max</t>
  </si>
  <si>
    <t>MOLY II</t>
  </si>
  <si>
    <t>2xGU10 Dicro</t>
  </si>
  <si>
    <t>2 x 35W Max</t>
  </si>
  <si>
    <t>65 x 113 x 180 mm</t>
  </si>
  <si>
    <t>4170FotoProducto0.png</t>
  </si>
  <si>
    <t>4170Fotodetalle.png,4170FotoDetalle0.jpg,4170Fotodetalle1.png,4170Fotodetalle2.png,4170Fotodetalle3.png,4170Fotoproducto.png,4170FotoProducto1.png,4170FotoProducto2.png</t>
  </si>
  <si>
    <t>4170-cad.dwg</t>
  </si>
  <si>
    <t>4170dibujo.webp</t>
  </si>
  <si>
    <t>KATO</t>
  </si>
  <si>
    <t>LED integrado</t>
  </si>
  <si>
    <t>ON/OFF</t>
  </si>
  <si>
    <t>3 W</t>
  </si>
  <si>
    <t>62 lm</t>
  </si>
  <si>
    <t>21 lm/W</t>
  </si>
  <si>
    <t>3000 K</t>
  </si>
  <si>
    <t>&gt;80</t>
  </si>
  <si>
    <t>67°</t>
  </si>
  <si>
    <t>&lt; 20</t>
  </si>
  <si>
    <t>Ø160 x 92,5 Prof</t>
  </si>
  <si>
    <t>Negro Satinado</t>
  </si>
  <si>
    <t>25.000hs (L70)</t>
  </si>
  <si>
    <t>Luminaria de exterior con LED integrado. Fabricado en aluminio. Su
 estructura resistente la hace ideal para realzar y ambientar espacios al
 aire libre con un diseño moderno y funcional.</t>
  </si>
  <si>
    <t>4177Fotoproducto0.png</t>
  </si>
  <si>
    <t>4177Fotodetalle2.png,4177Fotodetalle3.png,4177Fotodetalle4.png,4177Fotodetalle5.png,4177Fotoproducto.jpg,4177Fotoproducto1.png</t>
  </si>
  <si>
    <t>Ficha Técnica - KATO.pdf</t>
  </si>
  <si>
    <t>4177-IES.ldt</t>
  </si>
  <si>
    <t>4177-cad.dwg</t>
  </si>
  <si>
    <t>4177dibujo.webp</t>
  </si>
  <si>
    <t>4177-curvacono.webp,4177-curvapolar.webp</t>
  </si>
  <si>
    <t>ORTHOG</t>
  </si>
  <si>
    <t>6 W</t>
  </si>
  <si>
    <t>272 lm</t>
  </si>
  <si>
    <t>45 lm/W</t>
  </si>
  <si>
    <t>&gt;90</t>
  </si>
  <si>
    <t>230°</t>
  </si>
  <si>
    <t>115 x 40 x 105 mm</t>
  </si>
  <si>
    <t>PMMA</t>
  </si>
  <si>
    <t>Blanco Satinado</t>
  </si>
  <si>
    <t>Orthog es una luminaria de exterior con LED integrado. Fabricado
 en aluminio. Su diseño geométrico y moderno aporta un toque
 sofisticado a cada espacio.</t>
  </si>
  <si>
    <t>4179FotoProducto0.png</t>
  </si>
  <si>
    <t>4179FotoDetalle0.jpg,4179FotoDetalle1.jpg,4179FotoDetalle2.jpg,4179FotoDetalle3.jpg,4179FotoProducto1.png</t>
  </si>
  <si>
    <t>Ficha Técnica - ORTHOG.pdf</t>
  </si>
  <si>
    <t>ORTHOG.ldt</t>
  </si>
  <si>
    <t>4179-4180-cad.dwg</t>
  </si>
  <si>
    <t>4179-4180dibujo.webp</t>
  </si>
  <si>
    <t>4179-4180-curvacono.webp,4179-4180-curvapolar.webp</t>
  </si>
  <si>
    <t>ORTHOG I BL</t>
  </si>
  <si>
    <t>ORTHOG I NG</t>
  </si>
  <si>
    <t>4180FotoProducto0.png</t>
  </si>
  <si>
    <t>4180FotoDetalle0.jpg,4180FotoDetalle1.jpg,4180FotoDetalle2.jpg,4180FotoProducto1.png</t>
  </si>
  <si>
    <t>ALOUMI</t>
  </si>
  <si>
    <t>Bridgelux</t>
  </si>
  <si>
    <t>78 lm</t>
  </si>
  <si>
    <t>26 lm/W</t>
  </si>
  <si>
    <t>352°</t>
  </si>
  <si>
    <t>&lt; 25</t>
  </si>
  <si>
    <t>130 x 220 x 60 mm</t>
  </si>
  <si>
    <t>4181Fotoproducto0.png</t>
  </si>
  <si>
    <t>4181Fotodetalle.png,4181FotoDetalle0.jpg,4181FotoDetalle1.jpg,4181Fotodetalle1.png,4181FotoDetalle2.jpg,4181FotoDetalle3.jpg,4181FotoProducto1.png</t>
  </si>
  <si>
    <t>Ficha Técnica - ALOUMI.pdf</t>
  </si>
  <si>
    <t>ALOUMI.ldt</t>
  </si>
  <si>
    <t>4181-cad.dwg</t>
  </si>
  <si>
    <t>4181dibujo.webp</t>
  </si>
  <si>
    <t>4181-curvacono.webp,4181-curvapolar.webp</t>
  </si>
  <si>
    <t>TETRA</t>
  </si>
  <si>
    <t>12 W</t>
  </si>
  <si>
    <t>683 lm</t>
  </si>
  <si>
    <t>57 lm/W</t>
  </si>
  <si>
    <t>98°</t>
  </si>
  <si>
    <t>150 x 50 x 150 mm</t>
  </si>
  <si>
    <t>Policarbonato (PC)</t>
  </si>
  <si>
    <t>Luminaria de exterior con LED integrado. Fabricado en aluminio. Su estructura
 resistente y diseño moderno la hacen ideal para resaltar y ambientar espacios
 al aire libre.</t>
  </si>
  <si>
    <t>4182Fotoproducto0.png</t>
  </si>
  <si>
    <t>4182Fotodetalle.png,4182FotoDetalle0.jpg,4182FotoDetalle1.jpg,4182Fotodetalle1.png,4182FotoDetalle2.jpg,4182Fotodetalle2.png,4182FotoDetalle3.jpg,4182FotoDetalle4.jpg,4182FotoDetalle5.jpg,4182Fotoproducto.png</t>
  </si>
  <si>
    <t>Ficha Técnica - TETRA.pdf</t>
  </si>
  <si>
    <t>TETRA.ldt</t>
  </si>
  <si>
    <t>4182-4183-cad.dwg</t>
  </si>
  <si>
    <t>4182-4183dibujo.webp</t>
  </si>
  <si>
    <t>4182-4183-curvacono.webp,4182-4183-curvapolar.webp</t>
  </si>
  <si>
    <t>TETRA BL</t>
  </si>
  <si>
    <t>TETRA NG</t>
  </si>
  <si>
    <t>4183Fotoproducto0.png</t>
  </si>
  <si>
    <t>4183Fotodetalle.png,4183FotoDetalle0.jpg,4183FotoDetalle1.jpg,4183Fotodetalle1.png,4183FotoDetalle2.jpg,4183Fotodetalle2.png,4183Fotodetalle3.png,4183Fotodetalle4.png,4183Fotoproducto.png,4183FotoProducto1.png</t>
  </si>
  <si>
    <t>SKOTE</t>
  </si>
  <si>
    <t>578 lm</t>
  </si>
  <si>
    <t>48 lm/W</t>
  </si>
  <si>
    <t>100°</t>
  </si>
  <si>
    <t>Ø150 x 45 Prof mm</t>
  </si>
  <si>
    <t>4184Fotoproducto0.png</t>
  </si>
  <si>
    <t>4184Fotodetalle.png,4184FotoDetalle0.jpg,4184FotoDetalle1.jpg,4184Fotodetalle1.png,4184FotoDetalle2.jpg,4184Fotodetalle2.png,4184Fotoproducto.png,4184FotoProducto1.png</t>
  </si>
  <si>
    <t>Ficha Técnica - SKOTE.pdf</t>
  </si>
  <si>
    <t>SKOTE.ldt</t>
  </si>
  <si>
    <t>4184-4185-cad.dwg</t>
  </si>
  <si>
    <t>4184-4185dibujo.webp</t>
  </si>
  <si>
    <t>4184-4185-curvacono.webp,4184-4185-curvapolar.webp</t>
  </si>
  <si>
    <t>SKOTE BL</t>
  </si>
  <si>
    <t>Ø150 x 45 Prof</t>
  </si>
  <si>
    <t>SKOTE NG</t>
  </si>
  <si>
    <t>4185Fotoproducto0.png</t>
  </si>
  <si>
    <t>4185Fotodetalle.png,4185FotoDetalle0.jpg,4185FotoDetalle1.jpg,4185Fotodetalle1.png,4185FotoDetalle2.jpg,4185Fotodetalle2.png,4185Fotodetalle3.png,4185Fotoproducto.png</t>
  </si>
  <si>
    <t>DYO</t>
  </si>
  <si>
    <t>167 lm</t>
  </si>
  <si>
    <t>28 lm/W</t>
  </si>
  <si>
    <t>0-90°</t>
  </si>
  <si>
    <t>135 x 115 x 100 mm</t>
  </si>
  <si>
    <t>4188Fotoproducto0.png</t>
  </si>
  <si>
    <t>4188Fotodetalle.png,4188FotoDetalle0.jpg,4188FotoDetalle1.jpg,4188Fotodetalle1.png,4188FotoDetalle2.jpg,4188FotoDetalle4.jpg</t>
  </si>
  <si>
    <t>Ficha Técnica - DYO.pdf</t>
  </si>
  <si>
    <t>DYO.ldt</t>
  </si>
  <si>
    <t>4188-cad.dwg</t>
  </si>
  <si>
    <t>4188dibujo.webp</t>
  </si>
  <si>
    <t>4188-curvacono.webp,4188-curvapolar.webp</t>
  </si>
  <si>
    <t>KENTRO</t>
  </si>
  <si>
    <t>496 lm</t>
  </si>
  <si>
    <t>41 lm/W</t>
  </si>
  <si>
    <t>112°</t>
  </si>
  <si>
    <t>Ø200 x 45 Prof</t>
  </si>
  <si>
    <t>Luminaria de exterior con LED integrado. Fabricado en aluminio con
 difusor de policarbonato (PC). Su estructura resistente la hace ideal
 para realzar espacios al aire libre con un diseño moderno y funcional.</t>
  </si>
  <si>
    <t>4189FotoProducto0.png</t>
  </si>
  <si>
    <t>4189Fotodetalle.png,4189FotoDetalle0.jpg,4189FotoDetalle1.jpg,4189Fotodetalle1.png,4189Fotodetalle2.png,4189FotoDetalle4.jpg,4189FotoDetalle6.jpg,4189FotoDetalle7.jpg,4189FotoDetalle8.jpg,4189Fotoproducto.png</t>
  </si>
  <si>
    <t>Ficha Técnica - KENTRO.pdf</t>
  </si>
  <si>
    <t>KENTRO.ldt</t>
  </si>
  <si>
    <t>4189-cad.dwg</t>
  </si>
  <si>
    <t>4189dibujo.webp</t>
  </si>
  <si>
    <t>4189-curvacono.webp,4189-curvapolar.webp</t>
  </si>
  <si>
    <t>KYKLO</t>
  </si>
  <si>
    <t>608 lm</t>
  </si>
  <si>
    <t>51 lm/W</t>
  </si>
  <si>
    <t>127°</t>
  </si>
  <si>
    <t>Ø165 x 100 Prof</t>
  </si>
  <si>
    <t>4190FotoProducto0.png</t>
  </si>
  <si>
    <t>4190Fotodetalle.png,4190FotoDetalle0.jpg,4190FotoDetalle1.jpg,4190Fotodetalle1.png,4190FotoDetalle2.jpg,4190FotoDetalle3.jpg,4190FotoDetalle4.jpg,4190Fotoproducto.png,4190FotoProducto1.png,4190FotoProducto2.png</t>
  </si>
  <si>
    <t>Ficha Técnica - KYKLO.pdf</t>
  </si>
  <si>
    <t>KYKLO.ldt</t>
  </si>
  <si>
    <t>4190-cad.dwg</t>
  </si>
  <si>
    <t>4190dibujo.webp</t>
  </si>
  <si>
    <t>4190-curvacono.webp,4190-curvapolar.webp</t>
  </si>
  <si>
    <t>STEGI</t>
  </si>
  <si>
    <t>De Techo</t>
  </si>
  <si>
    <t>Colgante</t>
  </si>
  <si>
    <t>Discontinuo</t>
  </si>
  <si>
    <t>E27</t>
  </si>
  <si>
    <t>200-240 Vac</t>
  </si>
  <si>
    <t>IP55</t>
  </si>
  <si>
    <t>Suspender</t>
  </si>
  <si>
    <t>145 x 145 x 281 mm</t>
  </si>
  <si>
    <t>1 Año</t>
  </si>
  <si>
    <t>Luminaria colgante de exterior, diseñada para brindar iluminación eficiente.
 Fabricado en aluminio. Su estructura robusta la hace ideal para realzar y
 ambientar espacios al aire libre con estilo y funcionalidad.</t>
  </si>
  <si>
    <t>4195FotoProducto0.png</t>
  </si>
  <si>
    <t/>
  </si>
  <si>
    <t>Ficha Técnica - STEGI.pdf</t>
  </si>
  <si>
    <t>KATHARO</t>
  </si>
  <si>
    <t>Interior</t>
  </si>
  <si>
    <t>220 Vac</t>
  </si>
  <si>
    <t>50 Hz</t>
  </si>
  <si>
    <t>1 x 50W Max W</t>
  </si>
  <si>
    <t>IP20</t>
  </si>
  <si>
    <t>Ø55 x 128 mm</t>
  </si>
  <si>
    <t>Katharo es una familia de apliques. Fabricado en aluminio. Su diseño permite
 orientar la luz según las necesidades del espacio. Se encuenta disponible en
 múltiples variantes para adaptarse a las necesidades del espacio.</t>
  </si>
  <si>
    <t>4196FotoProducto0.png</t>
  </si>
  <si>
    <t>4196FotoDetalle0.jpg,4196FotoProducto1.png</t>
  </si>
  <si>
    <t>Ficha Técnica - KATHARO.pdf</t>
  </si>
  <si>
    <t>4196-4197-cad.dwg</t>
  </si>
  <si>
    <t>4196-4197dibujo.webp</t>
  </si>
  <si>
    <t>KATHARO I BL</t>
  </si>
  <si>
    <t>1 x 50W Max</t>
  </si>
  <si>
    <t>KATHARO I NG</t>
  </si>
  <si>
    <t>4197FotoProducto0.png</t>
  </si>
  <si>
    <t>4197FotoDetalle0.jpg,4197FotoProducto1.png</t>
  </si>
  <si>
    <t>KATHARO II BL</t>
  </si>
  <si>
    <t>2 x 50W Max</t>
  </si>
  <si>
    <t>320 x 30 x 70 mm</t>
  </si>
  <si>
    <t>4198FotoProducto0.png</t>
  </si>
  <si>
    <t>4198FotoDetalle0.jpg,4198FotoProducto1.png,4198FotoProducto2.png</t>
  </si>
  <si>
    <t>4198-4199-cad.dwg</t>
  </si>
  <si>
    <t>4198-4199dibujo.webp</t>
  </si>
  <si>
    <t>KATHARO II NG</t>
  </si>
  <si>
    <t>4199FotoProducto0.png</t>
  </si>
  <si>
    <t>4199FotoDetalle0.jpg,4199FotoProducto1.png</t>
  </si>
  <si>
    <t>KATHARO III BL</t>
  </si>
  <si>
    <t>3xGU10 Dicro</t>
  </si>
  <si>
    <t>3 x 50W Max</t>
  </si>
  <si>
    <t>540 x 30 x 70 mm</t>
  </si>
  <si>
    <t>4200FotoProducto0.png</t>
  </si>
  <si>
    <t>4200FotoDetalle0.jpg,4200FotoProducto1.png,4200FotoProducto2.png</t>
  </si>
  <si>
    <t>4200-4201-cad.dwg</t>
  </si>
  <si>
    <t>4200-4201dibujo.webp</t>
  </si>
  <si>
    <t>KATHARO III NG</t>
  </si>
  <si>
    <t>4201FotoProducto0.png</t>
  </si>
  <si>
    <t>4201FotoDetalle0.jpg,4201FotoProducto1.png</t>
  </si>
  <si>
    <t>KATHARO IV BL</t>
  </si>
  <si>
    <t>4xGU10 Dicro</t>
  </si>
  <si>
    <t>4 x 50W Max</t>
  </si>
  <si>
    <t>750 x 30 x 70 mm</t>
  </si>
  <si>
    <t>4202FotoProducto0.png</t>
  </si>
  <si>
    <t>4202FotoDetalle0.jpg,4202FotoProducto0 (2).png,4202FotoProducto0 (3).png</t>
  </si>
  <si>
    <t>4202-4203-cad.dwg</t>
  </si>
  <si>
    <t>4202-4203dibujo.webp</t>
  </si>
  <si>
    <t>KATHARO IV NG</t>
  </si>
  <si>
    <t>4203FotoProducto0.png</t>
  </si>
  <si>
    <t>4203FotoDetalle0.jpg,4203FotoDetalle2.jpg,4203FotoDetalle3.jpg,4203FotoDetalle4.jpg,4203FotoDetalle5.jpg,4203FotoDetalle6.jpg,4203FotoDetalle7.jpg,4203FotoDetalle8.jpg,4203FotoDetalle9.jpg,4203FotoDetalle10.jpg</t>
  </si>
  <si>
    <t>KATHARO SW</t>
  </si>
  <si>
    <t>65 x 30 x 120 mm</t>
  </si>
  <si>
    <t>Aplique de pared. Fabricado en aluminio. Cuenta con sistema de encendido
 Switch. Su diseño moderno y compacto permite orientar la luz según las
 necesidades del espacio.</t>
  </si>
  <si>
    <t>4204Fotoproducto0.png</t>
  </si>
  <si>
    <t>4204Fotoproducto1.jpg,4204Fotoproducto1.png</t>
  </si>
  <si>
    <t>4204-4205-cad.dwg</t>
  </si>
  <si>
    <t>4204-4205dibujo.webp</t>
  </si>
  <si>
    <t>KATHARO SW BL</t>
  </si>
  <si>
    <t>KATHARO SW NG</t>
  </si>
  <si>
    <t>4205Fotoproducto0.png</t>
  </si>
  <si>
    <t>4205FotoDetalle0.jpg,4205Fotoproducto1.jpg,4205Fotoproducto1.png</t>
  </si>
  <si>
    <t>ORTHOG II NG</t>
  </si>
  <si>
    <t>590 lm</t>
  </si>
  <si>
    <t>49 lm/W</t>
  </si>
  <si>
    <t>175 x 40 x 105 mm</t>
  </si>
  <si>
    <t>4217Fotoproducto0.png</t>
  </si>
  <si>
    <t>4217Fotodetalle.png,4217FotoDetalle0.jpg,4217FotoDetalle1.jpg,4217Fotodetalle1.png,4217Fotodetalle2.png,4217Fotodetalle3.png,4217Fotodetalle4.png,4217Fotoproducto.png,4217FotoProducto1.png,4217FotoProducto2.png</t>
  </si>
  <si>
    <t>ORTHOG II.ldt</t>
  </si>
  <si>
    <t>4217-6383-cad.dwg</t>
  </si>
  <si>
    <t>6383-4217dibujo.webp</t>
  </si>
  <si>
    <t>6383-4217-curvacono.webp,6383-4217-curvapolar.webp</t>
  </si>
  <si>
    <t>KATHARO SQ</t>
  </si>
  <si>
    <t>4 x 50W Max W</t>
  </si>
  <si>
    <t>210 x 30 x 210 mm</t>
  </si>
  <si>
    <t>4232FotoProducto0.png</t>
  </si>
  <si>
    <t>4232FotoDetalle0.jpg,4232FotoProducto1.png,4232FotoProducto2.png</t>
  </si>
  <si>
    <t>4232-4233-cad.dwg</t>
  </si>
  <si>
    <t>4233-4232dibujo.webp</t>
  </si>
  <si>
    <t>KATHARO IV SQ NG</t>
  </si>
  <si>
    <t>KATHARO IV SQ BL</t>
  </si>
  <si>
    <t>4233FotoProducto0.png</t>
  </si>
  <si>
    <t>4233FotoDetalle0.jpg,4233FotoProducto1.png</t>
  </si>
  <si>
    <t>ISCH</t>
  </si>
  <si>
    <t>48 lm</t>
  </si>
  <si>
    <t>16 lm/W</t>
  </si>
  <si>
    <t>180°</t>
  </si>
  <si>
    <t>75 x 50 x 80 mm</t>
  </si>
  <si>
    <t>4244Fotoproducto0.png</t>
  </si>
  <si>
    <t>4244Fotodetalle.png,4244FotoDetalle0.jpg,4244FotoDetalle1.jpg,4244Fotodetalle1.png,4244FotoDetalle2.jpg,4244Fotodetalle2.png,4244FotoDetalle3.jpg,4244Fotodetalle3.png,4244Fotodetalle4.png,4244FotoProducto1.png</t>
  </si>
  <si>
    <t>Ficha Técnica - ISCH.pdf</t>
  </si>
  <si>
    <t>ISCH.ldt</t>
  </si>
  <si>
    <t>4244-cad.dwg</t>
  </si>
  <si>
    <t>4244dibujo.webp</t>
  </si>
  <si>
    <t>4244-curvacono.webp,4244-curvapolar.webp</t>
  </si>
  <si>
    <t>PLEVRES</t>
  </si>
  <si>
    <t>185 lm</t>
  </si>
  <si>
    <t>31 lm/W</t>
  </si>
  <si>
    <t>100 x 100 x 100 mm</t>
  </si>
  <si>
    <t>4245Fotoproducto0.png</t>
  </si>
  <si>
    <t>4245Fotodetalle.png,4245FotoDetalle0.jpg,4245FotoDetalle1.jpg,4245Fotodetalle1.png,4245Fotodetalle2.png,4245Fotoproducto.png</t>
  </si>
  <si>
    <t>Ficha Técnica - PLEVRES.pdf</t>
  </si>
  <si>
    <t>PLEVRES.ldt</t>
  </si>
  <si>
    <t>4245-cad.dwg</t>
  </si>
  <si>
    <t>4245dibujo.webp</t>
  </si>
  <si>
    <t>4245-curvacono.webp,4245-curvapolar.webp</t>
  </si>
  <si>
    <t>BEMUS</t>
  </si>
  <si>
    <t>De Piso</t>
  </si>
  <si>
    <t>Estaca</t>
  </si>
  <si>
    <t>5 W</t>
  </si>
  <si>
    <t>433 lm</t>
  </si>
  <si>
    <t>87 lm/W</t>
  </si>
  <si>
    <t>30°</t>
  </si>
  <si>
    <t>Ø55 x 255 mm</t>
  </si>
  <si>
    <t>ABS</t>
  </si>
  <si>
    <t>Estaca de exterior con LED integrado, diseñada para una iluminación eficiente
 y direccionable en jardines y espacios al aire libre. Fabricado en ABS. Su
 estructura resistente garantiza durabilidad y fácil instalación en suelo.</t>
  </si>
  <si>
    <t>6031FotoProducto0.png</t>
  </si>
  <si>
    <t>Ficha Técnica - BEMUS.pdf</t>
  </si>
  <si>
    <t>UNAI</t>
  </si>
  <si>
    <t>Empotrable</t>
  </si>
  <si>
    <t>70 lm</t>
  </si>
  <si>
    <t>23 lm/W</t>
  </si>
  <si>
    <t>79°</t>
  </si>
  <si>
    <t>Embutir</t>
  </si>
  <si>
    <t>110 x 45 x 52 mm</t>
  </si>
  <si>
    <t>100 x 40 mm</t>
  </si>
  <si>
    <t>51 mm</t>
  </si>
  <si>
    <t>Acero Inox</t>
  </si>
  <si>
    <t>Acero Inoxidable</t>
  </si>
  <si>
    <t>Luminaria de exterior con LED integrado, diseñada para embutir.
 Fabricada en acero inoxidable, garantiza resistencia y durabilidad,
 ideal para realzar espacios al aire libre.</t>
  </si>
  <si>
    <t>6032Fotoproducto0.png</t>
  </si>
  <si>
    <t>6032Fotodetalle.png,6032FotoDetalle0.jpg,6032FotoDetalle1.jpg,6032Fotodetalle1.png,6032FotoDetalle2.jpg,6032Fotodetalle2.png,6032FotoDetalle3.jpg,6032FotoDetalle4.jpg,6032Fotoproducto1.jpg</t>
  </si>
  <si>
    <t>Ficha Técnica - UNAI.pdf</t>
  </si>
  <si>
    <t>UNAI.ldt</t>
  </si>
  <si>
    <t>6032-cad.dwg</t>
  </si>
  <si>
    <t>6032dibujo.webp</t>
  </si>
  <si>
    <t>6032-curvacono.webp,6032-curvapolar.webp</t>
  </si>
  <si>
    <t>KOLDO</t>
  </si>
  <si>
    <t>39 lm</t>
  </si>
  <si>
    <t>13 lm/W</t>
  </si>
  <si>
    <t>70 Ra</t>
  </si>
  <si>
    <t>69°</t>
  </si>
  <si>
    <t>70 x 70 x 52 mm</t>
  </si>
  <si>
    <t>64 x 64 mm</t>
  </si>
  <si>
    <t>Natural</t>
  </si>
  <si>
    <t>6033Fotoproducto0.png</t>
  </si>
  <si>
    <t>Ficha Técnica - KOLDO.pdf</t>
  </si>
  <si>
    <t>KOLDO.ldt</t>
  </si>
  <si>
    <t>6033-cad.dwg</t>
  </si>
  <si>
    <t>6033curvacono.webp,6033curvapolar.webp</t>
  </si>
  <si>
    <t>ACACIA</t>
  </si>
  <si>
    <t>Embutido</t>
  </si>
  <si>
    <t>OSRAM</t>
  </si>
  <si>
    <t>67 lm</t>
  </si>
  <si>
    <t>22 lm/W</t>
  </si>
  <si>
    <t>75°</t>
  </si>
  <si>
    <t>83 x 47 x 83 mm</t>
  </si>
  <si>
    <t>70 x 70 mm</t>
  </si>
  <si>
    <t>44 mm</t>
  </si>
  <si>
    <t>Luminaria de exterior con LED integrado, apta para embutir. Fabricado
 en aluminio. Su diseño versátil y resistente brinda una iluminación
 eficiente, ideal para realzar y ambientar espacios al aire libre.</t>
  </si>
  <si>
    <t>6034Fotoproducto0.png</t>
  </si>
  <si>
    <t>6034Fotodetalle.png,6034Fotodetalle1.png,6034FotoDetalle3.jpg,6034FotoDetalle4.jpg,6034Fotodetalle4.png,6034Fotodetalle5.png,6034FotoDetalle6.jpg,6034FotoDetalle7.jpg,6034FotoDetalle8.jpg,6034FotoDetalle9.jpg</t>
  </si>
  <si>
    <t>Ficha Técnica - ACACIA.pdf</t>
  </si>
  <si>
    <t>ACACIA.ldt</t>
  </si>
  <si>
    <t>6034-6035-cad.dwg</t>
  </si>
  <si>
    <t>6035-6034dibujo.webp</t>
  </si>
  <si>
    <t>6035-6034-curvacono.webp,6035-6034-curvapolar.webp</t>
  </si>
  <si>
    <t>ACACIA NG</t>
  </si>
  <si>
    <t>ACACIA BL</t>
  </si>
  <si>
    <t>6035Fotoproducto0.png</t>
  </si>
  <si>
    <t>6035FotoDetalle0.jpg,6035FotoDetalle1.jpg,6035Fotodetalle1.png,6035FotoDetalle2.jpg,6035Fotodetalle2.png,6035FotoDetalle3.jpg,6035Fotodetalle3.png,6035Fotodetalle4.png,6035FotoProducto1.png,6035FotoProducto3.png</t>
  </si>
  <si>
    <t>PATOMA</t>
  </si>
  <si>
    <t>1 x GU10</t>
  </si>
  <si>
    <t>Ø100 x 110 mm</t>
  </si>
  <si>
    <t>Ø75 mm</t>
  </si>
  <si>
    <t>92 mm</t>
  </si>
  <si>
    <t>Luminaria de exterior para embutir. Fabricado en acero inoxidable. Cuenta
 con una pieza plástica de protección que mejora su resistencia frente a
 la intemperie y asegura un funcionamiento confiable en espacios abiertos.</t>
  </si>
  <si>
    <t>6036Fotoproducto0.png</t>
  </si>
  <si>
    <t>Ficha Técnica - PATOMA.pdf</t>
  </si>
  <si>
    <t>DION</t>
  </si>
  <si>
    <t>64 x 112,5 x 160 mm</t>
  </si>
  <si>
    <t>Luminaria de exterior diseñada para ofrecer iluminación eficiente. Fabricado en
 aluminio. Su diseño robusto y funcional la hace ideal para realzar y ambientar
 espacios al aire libre con durabilidad y estilo.</t>
  </si>
  <si>
    <t>6037FotoProducto0.png</t>
  </si>
  <si>
    <t>6037Fotodetalle.png,6037FotoDetalle0.jpg,6037FotoDetalle1.jpg,6037Fotodetalle1.png,6037FotoDetalle2.jpg,6037Fotodetalle2.png,6037Fotodetalle3.png,6037Fotodetalle4.png,6037FotoProducto2.png</t>
  </si>
  <si>
    <t>Ficha Técnica - DION.pdf</t>
  </si>
  <si>
    <t>6037-cad.dwg</t>
  </si>
  <si>
    <t>6037dibujo.webp</t>
  </si>
  <si>
    <t>POLUX</t>
  </si>
  <si>
    <t>9 lm</t>
  </si>
  <si>
    <t>3 lm/W</t>
  </si>
  <si>
    <t>&gt;85</t>
  </si>
  <si>
    <t>117°</t>
  </si>
  <si>
    <t>Ø50 x 88 mm</t>
  </si>
  <si>
    <t>Ø45 mm</t>
  </si>
  <si>
    <t>80 mm</t>
  </si>
  <si>
    <t>Embutido de piso con LED integrado. Fabricado en acero inoxidable. Incluye una
 pieza plástica de protección que mejora su resistencia frente a la intemperie y
 asegura un funcionamiento confiable en espacios abiertos.</t>
  </si>
  <si>
    <t>6038Fotoproducto0.png</t>
  </si>
  <si>
    <t>6038Fotodetalle.png,6038Fotodetalle1.png,6038Fotodetalle2.png,6038Fotodetalle3.png,6038FotoProducto1.png,6038FotoProducto2.png,6038FotoProducto3.png</t>
  </si>
  <si>
    <t>Ficha Técnica - POLUX.pdf</t>
  </si>
  <si>
    <t>POLUX.ldt</t>
  </si>
  <si>
    <t>6038-cad.dwg</t>
  </si>
  <si>
    <t>6038dibujo.webp</t>
  </si>
  <si>
    <t>6038-cruvapolar.webp,6038-curvacono.webp</t>
  </si>
  <si>
    <t>LETO</t>
  </si>
  <si>
    <t>45 lm</t>
  </si>
  <si>
    <t>15 lm/W</t>
  </si>
  <si>
    <t>&gt;70</t>
  </si>
  <si>
    <t>36°</t>
  </si>
  <si>
    <t>Ø50 x 81 mm</t>
  </si>
  <si>
    <t>6039Fotoproducto0.png</t>
  </si>
  <si>
    <t>6039Fotodetalle.png,6039FotoDetalle0.jpg,6039FotoDetalle1.jpg,6039Fotodetalle1.png,6039Fotodetalle2.png,6039FotoProducto1.png,6039FotoProducto3.png,6039FotoProducto4.png</t>
  </si>
  <si>
    <t>Ficha Técnica - LETO.pdf</t>
  </si>
  <si>
    <t>LETO.ldt</t>
  </si>
  <si>
    <t>6039-cad.dwg</t>
  </si>
  <si>
    <t>6039dibujo.webp</t>
  </si>
  <si>
    <t>6039-curvacono.webp,6039-curvapolar.webp</t>
  </si>
  <si>
    <t>EPICUR</t>
  </si>
  <si>
    <t>330 lm</t>
  </si>
  <si>
    <t>66 lm/W</t>
  </si>
  <si>
    <t>30-47°</t>
  </si>
  <si>
    <t>&lt; 22</t>
  </si>
  <si>
    <t>Ø55 x 105 mm</t>
  </si>
  <si>
    <t>Aplique de techo con LED integrado, diseñado para brindar una iluminación
 eficiente y decorativa. Fabricado en aluminio. Su diseño moderno permite
 orientar la luz según las necesidades del espacio.</t>
  </si>
  <si>
    <t>6045FotoProducto0.png</t>
  </si>
  <si>
    <t>6045FotoDetalle0.jpg,6045FotoDetalle1.jpg,6045FotoDetalle2.jpg,6045FotoProducto1.png</t>
  </si>
  <si>
    <t>Ficha Técnica - EPICUR.pdf</t>
  </si>
  <si>
    <t>EPICUR.ldt</t>
  </si>
  <si>
    <t>6045-6046-cad.dwg</t>
  </si>
  <si>
    <t>6046-6045dibujo.webp</t>
  </si>
  <si>
    <t>6046-6045-curvacono.webp,6046-6045-curvapolar.webp</t>
  </si>
  <si>
    <t>EPICUR NG</t>
  </si>
  <si>
    <t>EPICUR BL</t>
  </si>
  <si>
    <t>6046FotoProducto0.png</t>
  </si>
  <si>
    <t>6046FotoDetalle0.jpg,6046FotoDetalle1.jpg,6046FotoProducto1.png</t>
  </si>
  <si>
    <t>AKE</t>
  </si>
  <si>
    <t>Ø88 x 28 mm</t>
  </si>
  <si>
    <t>Ø77 mm</t>
  </si>
  <si>
    <t>79 * mm</t>
  </si>
  <si>
    <t>Blanco Mate</t>
  </si>
  <si>
    <t>8 Años</t>
  </si>
  <si>
    <t>Ake es un Spot de techo para embutir con movimiento interno. Hecho a partir
 de Policarbonato (PC). Ideal para una iluminación focalizada y versátil.</t>
  </si>
  <si>
    <t>6096FotoProducto0.png</t>
  </si>
  <si>
    <t>Ficha Técnica - AKE.pdf</t>
  </si>
  <si>
    <t>AKE I BL</t>
  </si>
  <si>
    <t>79 *</t>
  </si>
  <si>
    <t>AXE</t>
  </si>
  <si>
    <t>93 x 93 x 100 mm</t>
  </si>
  <si>
    <t>Axe es un spot de techo para aplicar con movimiento. Hecho a partir de
 Policarbonato (PC). Su diseño discreto se adapta a diversos espacios,
 brindando un toque moderno y funcional.</t>
  </si>
  <si>
    <t>6097FotoProducto0.png</t>
  </si>
  <si>
    <t>Ficha Técnica - AXE.pdf</t>
  </si>
  <si>
    <t>AXE I BL</t>
  </si>
  <si>
    <t>AXE I NG</t>
  </si>
  <si>
    <t>6098FotoProducto0.png</t>
  </si>
  <si>
    <t>BERSH</t>
  </si>
  <si>
    <t>93 x 93 x 55 mm</t>
  </si>
  <si>
    <t>86 x 86 mm</t>
  </si>
  <si>
    <t>100 * mm</t>
  </si>
  <si>
    <t>Bersh es un Spot de techo para embutir de uso fijo. Hecho a partir de
 Policarbonato (PC). Ideal para una iluminación focalizada y versátil.</t>
  </si>
  <si>
    <t>6099FotoProducto0.png</t>
  </si>
  <si>
    <t>Ficha Técnica - BERSH.pdf</t>
  </si>
  <si>
    <t>6099-6100-6101-cad.dwg</t>
  </si>
  <si>
    <t>6099-6100-6101dibujo.webp</t>
  </si>
  <si>
    <t>BERSH I BL</t>
  </si>
  <si>
    <t>100 *</t>
  </si>
  <si>
    <t>BERSH I BLN</t>
  </si>
  <si>
    <t>Blanco y Negro</t>
  </si>
  <si>
    <t>6100FotoProducto0.png</t>
  </si>
  <si>
    <t>BERSH I NG</t>
  </si>
  <si>
    <t>6101FotoProducto0.png</t>
  </si>
  <si>
    <t>CUFA</t>
  </si>
  <si>
    <t>Ø85 x 35 mm</t>
  </si>
  <si>
    <t>Ø72 mm</t>
  </si>
  <si>
    <t>70 * mm</t>
  </si>
  <si>
    <t>Cufa es un Spot de techo para embutir de uso fijo. Hecho a partir de Policarbonato
 (PC). Ideal para una iluminación focalizada y versátil.</t>
  </si>
  <si>
    <t>6102FotoProducto0.png</t>
  </si>
  <si>
    <t>Ficha Técnica - CUFA.pdf</t>
  </si>
  <si>
    <t>6102-6103-cad.dwg</t>
  </si>
  <si>
    <t>6102-6103dibujo.webp</t>
  </si>
  <si>
    <t>CUFA I BL</t>
  </si>
  <si>
    <t>70 *</t>
  </si>
  <si>
    <t>CUFA I NG</t>
  </si>
  <si>
    <t>6103FotoProducto0.png</t>
  </si>
  <si>
    <t>DEB</t>
  </si>
  <si>
    <t>Ø90 x 25 mm</t>
  </si>
  <si>
    <t>Ø75-85 mm</t>
  </si>
  <si>
    <t>62 * mm</t>
  </si>
  <si>
    <t>Deb es un Spot de techo para embutir con movimiento. Hecho a partir de
 Policarbonato (PC). Ideal para una iluminación focalizada y versátil.</t>
  </si>
  <si>
    <t>6104FotoProducto0.png</t>
  </si>
  <si>
    <t>Ficha Técnica - DEB.pdf</t>
  </si>
  <si>
    <t>6104-6105-cad.dwg</t>
  </si>
  <si>
    <t>6104-6105dibujo.webp</t>
  </si>
  <si>
    <t>DEB I BL</t>
  </si>
  <si>
    <t>62 *</t>
  </si>
  <si>
    <t>EMI I BL</t>
  </si>
  <si>
    <t>Ø90 x 30 mm</t>
  </si>
  <si>
    <t>Emi es un Spot de techo para embutir con movimiento. Hecho a partir de
 Policarbonato (PC). Ideal para una iluminación focalizada y versátil.</t>
  </si>
  <si>
    <t>6106FotoProducto0.png</t>
  </si>
  <si>
    <t>Ficha Técnica - EMI.pdf</t>
  </si>
  <si>
    <t>FACH</t>
  </si>
  <si>
    <t>Ø95 x 100 mm</t>
  </si>
  <si>
    <t>Fach es un spot de techo para aplicar con movimiento. Hecho a partir
 de Policarbonato (PC). Su diseño discreto se adapta a diversos espacios,
 brindando un toque moderno y funcional.</t>
  </si>
  <si>
    <t>6108FotoProducto0.png</t>
  </si>
  <si>
    <t>Ficha Técnica - FACH.pdf</t>
  </si>
  <si>
    <t>6108-6109-cad.dwg</t>
  </si>
  <si>
    <t>6108-6109dibujo.webp</t>
  </si>
  <si>
    <t>FACH l BL</t>
  </si>
  <si>
    <t>FACH l NG</t>
  </si>
  <si>
    <t>6109FotoProducto0.png</t>
  </si>
  <si>
    <t>IOJU</t>
  </si>
  <si>
    <t>Ø112 x 30 mm</t>
  </si>
  <si>
    <t>Ø98 mm</t>
  </si>
  <si>
    <t>80 * mm</t>
  </si>
  <si>
    <t>Ioju es un Spot de techo para embutir con movimiento. Hecho a partir de
 Policarbonato (PC). Ideal para una iluminación focalizada y versátil.</t>
  </si>
  <si>
    <t>6112FotoProducto0.png</t>
  </si>
  <si>
    <t>Ficha Técnica - IOJU.pdf</t>
  </si>
  <si>
    <t>6112-6113-cad.dwg</t>
  </si>
  <si>
    <t>6112-6113dibujo.webp</t>
  </si>
  <si>
    <t>IOJU I NG</t>
  </si>
  <si>
    <t>80 *</t>
  </si>
  <si>
    <t>6113FotoProducto0.png</t>
  </si>
  <si>
    <t>LOA</t>
  </si>
  <si>
    <t>Ø110 x 20 mm</t>
  </si>
  <si>
    <t>Ø85 mm</t>
  </si>
  <si>
    <t>60 * mm</t>
  </si>
  <si>
    <t>Loa es un Spot de techo para embutir con movimiento. Hecho a partir de
 Policarbonato (PC). Ideal para una iluminación focalizada y versátil.</t>
  </si>
  <si>
    <t>6116FotoProducto0.png</t>
  </si>
  <si>
    <t>Ficha Técnica - LOA.pdf</t>
  </si>
  <si>
    <t>LOA I BL</t>
  </si>
  <si>
    <t>60 *</t>
  </si>
  <si>
    <t>LOA I NG</t>
  </si>
  <si>
    <t>6117FotoProducto0.png</t>
  </si>
  <si>
    <t>MATT</t>
  </si>
  <si>
    <t>93 x 93 x 23 mm</t>
  </si>
  <si>
    <t>Ø78 mm</t>
  </si>
  <si>
    <t>75 * mm</t>
  </si>
  <si>
    <t>Matt es una familia de Spots de techo para embutir con movimiento. Hecho a partir
 de Policarbonato (PC). Ideal para una iluminación focalizada y versátil.</t>
  </si>
  <si>
    <t>6118FotoProducto0.png</t>
  </si>
  <si>
    <t>Ficha Técnica - MATT.pdf</t>
  </si>
  <si>
    <t>6118-6119-6120-cad.dwg</t>
  </si>
  <si>
    <t>6118-6119-6120dibujo.webp</t>
  </si>
  <si>
    <t>MATT l BL</t>
  </si>
  <si>
    <t>75 *</t>
  </si>
  <si>
    <t>MATT l BLNG</t>
  </si>
  <si>
    <t>6119FotoProducto0.png</t>
  </si>
  <si>
    <t>MATT l NG</t>
  </si>
  <si>
    <t>6120FotoProducto0.png</t>
  </si>
  <si>
    <t>MATT ll NG</t>
  </si>
  <si>
    <t>2 x GU10</t>
  </si>
  <si>
    <t>173 x 93 x 23 mm</t>
  </si>
  <si>
    <t>157 x 80 mm</t>
  </si>
  <si>
    <t>6123FotoProducto0.png</t>
  </si>
  <si>
    <t>ONA</t>
  </si>
  <si>
    <t>110 x 110 x 35 mm</t>
  </si>
  <si>
    <t>Ona es una familia de Spots de techo para embutir con movimiento. Hecho a partir
 de Policarbonato (PC). Ideal para una iluminación focalizada y versátil.</t>
  </si>
  <si>
    <t>6125FotoProducto0.png</t>
  </si>
  <si>
    <t>Ficha Técnica - ONA.pdf</t>
  </si>
  <si>
    <t>ONA l BLNG</t>
  </si>
  <si>
    <t>6126FotoProducto0.png</t>
  </si>
  <si>
    <t>ONA l NG</t>
  </si>
  <si>
    <t>6127FotoProducto0.png</t>
  </si>
  <si>
    <t>ONA ll BL</t>
  </si>
  <si>
    <t>220 x 110 x 35 mm</t>
  </si>
  <si>
    <t>200 x 100 mm</t>
  </si>
  <si>
    <t>6128FotoProducto0.png</t>
  </si>
  <si>
    <t>ONA ll BLNG</t>
  </si>
  <si>
    <t>6129FotoProducto0.png</t>
  </si>
  <si>
    <t>ONA ll NG</t>
  </si>
  <si>
    <t>6130FotoProducto0.png</t>
  </si>
  <si>
    <t>RAMI I BL</t>
  </si>
  <si>
    <t>Rami es un Spot de techo para embutir de uso fijo. Hecho a partir de
 Policarbonato (PC). Ideal para una iluminación focalizada y versátil.</t>
  </si>
  <si>
    <t>6131FotoProducto0.png</t>
  </si>
  <si>
    <t>Ficha Técnica - RAMI.pdf</t>
  </si>
  <si>
    <t>6131-cad.dwg</t>
  </si>
  <si>
    <t>6131dibujo.webp</t>
  </si>
  <si>
    <t>RITA</t>
  </si>
  <si>
    <t>Ø65 mm</t>
  </si>
  <si>
    <t>Rita es un Spot de techo para embutir de uso fijo. Hecho a partir de Policarbonato
 (PC). Ideal para una iluminación focalizada y versátil.</t>
  </si>
  <si>
    <t>6132FotoProducto0.png</t>
  </si>
  <si>
    <t>Ficha Técnica - RITA.pdf</t>
  </si>
  <si>
    <t>RITA I BL</t>
  </si>
  <si>
    <t>RITA I NG</t>
  </si>
  <si>
    <t>6133FotoProducto0.png</t>
  </si>
  <si>
    <t>SEB</t>
  </si>
  <si>
    <t>Ø92 x 55 mm</t>
  </si>
  <si>
    <t>Ø86 mm</t>
  </si>
  <si>
    <t>Seb es un Spot de techo para embutir de uso fijo. Hecho a partir de Policarbonato
 (PC). Ideal para una iluminación focalizada y versátil.</t>
  </si>
  <si>
    <t>6134FotoProducto0.png</t>
  </si>
  <si>
    <t>Ficha Técnica - SEB.pdf</t>
  </si>
  <si>
    <t>6134-6135-6136-cad.dwg</t>
  </si>
  <si>
    <t>6134-6135-6136dibujo.webp</t>
  </si>
  <si>
    <t>SEB I BLNG</t>
  </si>
  <si>
    <t>6135FotoProducto0.png</t>
  </si>
  <si>
    <t>SEB I NG</t>
  </si>
  <si>
    <t>6136FotoProducto0.png</t>
  </si>
  <si>
    <t>ZALO I BL</t>
  </si>
  <si>
    <t>Ø88 x 30 mm</t>
  </si>
  <si>
    <t>Zalo es un Spot de techo para embutir con movimiento interno. Hecho a partir de
 Policarbonato (PC). Ideal para una iluminación focalizada y versátil.</t>
  </si>
  <si>
    <t>6138FotoProducto0.png</t>
  </si>
  <si>
    <t>Ficha Técnica - ZALO.pdf</t>
  </si>
  <si>
    <t>AXE ll BL</t>
  </si>
  <si>
    <t>185 x 93 x 100 mm</t>
  </si>
  <si>
    <t>6323FotoProducto0.png</t>
  </si>
  <si>
    <t>AXE ll NG</t>
  </si>
  <si>
    <t>6324FotoProducto0.png</t>
  </si>
  <si>
    <t>FACH ll BL</t>
  </si>
  <si>
    <t>185 x 95 x 100 mm</t>
  </si>
  <si>
    <t>6325FotoProducto0.png</t>
  </si>
  <si>
    <t>JEN</t>
  </si>
  <si>
    <t>1xGU10 AR111</t>
  </si>
  <si>
    <t>Ø165 x 35 mm</t>
  </si>
  <si>
    <t>Ø145 mm</t>
  </si>
  <si>
    <t>95 * mm</t>
  </si>
  <si>
    <t>Jen es un Spot de techo para embutir con movimiento, con rosca GU10 para
 AR111. Hecho a partir de Policarbonato (PC). Ideal para una iluminación
 focalizada y versátil.</t>
  </si>
  <si>
    <t>6327FotoProducto0.png</t>
  </si>
  <si>
    <t>Ficha Técnica - JEN.pdf</t>
  </si>
  <si>
    <t>6327-6328-6431-cad.dwg</t>
  </si>
  <si>
    <t>6327-6328-6431dibujo.webp</t>
  </si>
  <si>
    <t>JEN I BL</t>
  </si>
  <si>
    <t>95 *</t>
  </si>
  <si>
    <t>JEN I NG</t>
  </si>
  <si>
    <t>6328FotoProducto0.png</t>
  </si>
  <si>
    <t>MAG I BL</t>
  </si>
  <si>
    <t>Aplicar / Embutir</t>
  </si>
  <si>
    <t>Ø45 x 80 mm</t>
  </si>
  <si>
    <t>15 mm</t>
  </si>
  <si>
    <t>Mag es un Spot de embutir y aplicar con movimiento 360° horizontal y 90° vertical,
 diseñado para una iluminación versátil y ajustable. Hecho a partir de Policarbonato
 (PC). Su diseño permite direccionar la luz según las necesidades del espacio.</t>
  </si>
  <si>
    <t>6329FotoProducto0.png</t>
  </si>
  <si>
    <t>Ficha Técnica - MAG.pdf</t>
  </si>
  <si>
    <t>MAG I NG</t>
  </si>
  <si>
    <t>6330FotoProducto0.png</t>
  </si>
  <si>
    <t>NAT</t>
  </si>
  <si>
    <t>Ø45 x 110 mm</t>
  </si>
  <si>
    <t>Nat es un Spot de embutir y aplicar con movimiento 360° horizontal y 90° vertical,
 diseñado para una iluminación versátil y ajustable. Hecho a partir de Policarbonato
 (PC). Su diseño permite direccionar la luz según las necesidades del espacio.</t>
  </si>
  <si>
    <t>6331FotoProducto0.png</t>
  </si>
  <si>
    <t>Ficha Técnica - NAT.pdf</t>
  </si>
  <si>
    <t>NAT I BL</t>
  </si>
  <si>
    <t>NAT I NG</t>
  </si>
  <si>
    <t>6332FotoProducto0.png</t>
  </si>
  <si>
    <t>ORTHOG II BL</t>
  </si>
  <si>
    <t>6383Fotoproducto0.png</t>
  </si>
  <si>
    <t>6383FotoDetalle0.jpg,6383Fotodetalle1.png,6383FotoDetalle2.jpg,6383Fotoproducto.png,6383FotoProducto1.png</t>
  </si>
  <si>
    <t>MATT III BL</t>
  </si>
  <si>
    <t>3 x GU10</t>
  </si>
  <si>
    <t>250 x 93 x 23 mm</t>
  </si>
  <si>
    <t>237 x 80 mm</t>
  </si>
  <si>
    <t>6427FotoProducto0.png</t>
  </si>
  <si>
    <t>MATT III NG</t>
  </si>
  <si>
    <t>6428FotoProducto0.png</t>
  </si>
  <si>
    <t>JEN I BLNG</t>
  </si>
  <si>
    <t>6431FotoProducto0.png</t>
  </si>
  <si>
    <t>ROY</t>
  </si>
  <si>
    <t>Ø85 x 47 mm</t>
  </si>
  <si>
    <t>55 * mm</t>
  </si>
  <si>
    <t>Roy es un Spot de techo para embutir con movimiento. Hecho a partir de
 Policarbonato (PC). Ideal para una iluminación focalizada y versátil.</t>
  </si>
  <si>
    <t>6432FotoProducto0.png</t>
  </si>
  <si>
    <t>Ficha Técnica - ROY.pdf</t>
  </si>
  <si>
    <t>ROY I BL</t>
  </si>
  <si>
    <t>55 *</t>
  </si>
  <si>
    <t>ROY I NG</t>
  </si>
  <si>
    <t>6433FotoProducto0.png</t>
  </si>
  <si>
    <t>LARU</t>
  </si>
  <si>
    <t>93 x 93 x 47 mm</t>
  </si>
  <si>
    <t>Laru es un Spot de techo para embutir con movimiento. Hecho a partir de
 Policarbonato (PC). Ideal para una iluminación focalizada y versátil.</t>
  </si>
  <si>
    <t>6434FotoProducto0.png</t>
  </si>
  <si>
    <t>Ficha Técnica - LARU.pdf</t>
  </si>
  <si>
    <t>LARU I BL</t>
  </si>
  <si>
    <t>LARU I NG</t>
  </si>
  <si>
    <t>6435FotoProducto0.png</t>
  </si>
  <si>
    <t>YANA</t>
  </si>
  <si>
    <t>Ø65 x 85 mm</t>
  </si>
  <si>
    <t>Yana es un spot de techo para aplicar de uso fijo. Hecho a partir de
 Policarbonato (PC). Su diseño discreto se adapta a diversos espacios,
 brindando un toque moderno y funcional.</t>
  </si>
  <si>
    <t>6436FotoProducto0.png</t>
  </si>
  <si>
    <t>Ficha Técnica - YANA.pdf</t>
  </si>
  <si>
    <t>6436-6437-cad.dwg</t>
  </si>
  <si>
    <t>6436-6437dibujo.webp</t>
  </si>
  <si>
    <t>YANA l BL</t>
  </si>
  <si>
    <t>YANA l NG</t>
  </si>
  <si>
    <t>6437FotoProducto0.png</t>
  </si>
  <si>
    <t>PRA I BL</t>
  </si>
  <si>
    <t>Ø95 x 30 mm</t>
  </si>
  <si>
    <t>Ø70 mm</t>
  </si>
  <si>
    <t>68 *</t>
  </si>
  <si>
    <t>Pra es un Spot Trimless de techo para embutir con movimiento. Hecho a partir de
 Policarbonato (PC). Ideal para una iluminación focalizada y versátil.</t>
  </si>
  <si>
    <t>6438FotoProducto0.png</t>
  </si>
  <si>
    <t>Ficha Técnica - PRA.pdf</t>
  </si>
  <si>
    <t>NIK I BL</t>
  </si>
  <si>
    <t>Ø95 x 50 mm</t>
  </si>
  <si>
    <t>Ø71 mm</t>
  </si>
  <si>
    <t>Nik es un Spot Trimless de techo para embutir con movimiento. Hecho a partir de
 Policarbonato (PC). Ideal para una iluminación focalizada y versátil.</t>
  </si>
  <si>
    <t>6439FotoProducto0.png</t>
  </si>
  <si>
    <t>Ficha Técnica - NIK.pdf</t>
  </si>
  <si>
    <t>ANTON</t>
  </si>
  <si>
    <t>Cardánico</t>
  </si>
  <si>
    <t>90 x 90 x 87 mm</t>
  </si>
  <si>
    <t>Acero y Aluminio</t>
  </si>
  <si>
    <t>3 Años</t>
  </si>
  <si>
    <t>Anton es una familia de cardánicos de aplicar con movimiento ajustable.
 Fabricado en acero y aluminio. Su diseño permite orientar la luz según
 las necesidades del espacio.</t>
  </si>
  <si>
    <t>6440Fotoproducto0.png</t>
  </si>
  <si>
    <t>6440Fotoproducto.png,6440Fotoproducto1.png,6440Fotoproducto2.jpg,6440Fotoproducto3.jpg,6440Fotoproducto4.jpg</t>
  </si>
  <si>
    <t>Ficha Técnica - ANTON.pdf</t>
  </si>
  <si>
    <t>6440-6441-cad.dwg</t>
  </si>
  <si>
    <t>6441-6440dibujo.webp</t>
  </si>
  <si>
    <t>ANTON I NG</t>
  </si>
  <si>
    <t>ANTON I BL</t>
  </si>
  <si>
    <t>6441Fotoproducto0.png</t>
  </si>
  <si>
    <t>6441FotoDetalle0.jpg,6441Fotoproducto1.jpg,6441Fotoproducto1.png,6441Fotoproducto2.jpg</t>
  </si>
  <si>
    <t>KAROL</t>
  </si>
  <si>
    <t>110 x 110 x 83 mm</t>
  </si>
  <si>
    <t>94 x 94 mm</t>
  </si>
  <si>
    <t>88 mm</t>
  </si>
  <si>
    <t>Karol es una familia de cardánicos embutidos con movimiento ajustable.
 Fabricado en acero y aluminio. Su diseño permite orientar la luz según las
 necesidades del espacio.</t>
  </si>
  <si>
    <t>6442Fotoproducto0.png</t>
  </si>
  <si>
    <t>6442Fotodetalle.jpg,6442FotoDetalle0.jpg,6442Fotodetalle1.png,6442Fotodetalle2.png,6442Fotoproducto.jpg</t>
  </si>
  <si>
    <t>Ficha Técnica - KAROL.pdf</t>
  </si>
  <si>
    <t>6442-6443-cad.dwg</t>
  </si>
  <si>
    <t>6443-6442dibujo.webp</t>
  </si>
  <si>
    <t>KAROL I NG</t>
  </si>
  <si>
    <t>KAROL I BL</t>
  </si>
  <si>
    <t>6443Fotoproducto0.png</t>
  </si>
  <si>
    <t>6443Fotodetalle.jpg,6443FotoDetalle0.jpg,6443Fotodetalle1.png,6443Fotodetalle2.png,6443Fotoproducto.jpg</t>
  </si>
  <si>
    <t>BERDY</t>
  </si>
  <si>
    <t>150 x 150 x 107 mm</t>
  </si>
  <si>
    <t>Berdy es una familia de cardánicos de aplicar para AR111 con movimiento
 ajustable. Fabricado en acero y aluminio. Su diseño permite orientar la
 luz según las necesidades del espacio.</t>
  </si>
  <si>
    <t>6444Fotoproducto0.png</t>
  </si>
  <si>
    <t>6444FotoDetalle0.jpg,6444FotoDetalle1.jpg,6444Fotodetalle2.png,6444Fotodetalle3.jpg,6444Fotoproducto1.jpg,6444Fotoproducto2.png,6444Fotoproducto3.jpg,6444Fotoproducto3.png</t>
  </si>
  <si>
    <t>Ficha Técnica - BERDY.pdf</t>
  </si>
  <si>
    <t>6444-6445-cad.dwg</t>
  </si>
  <si>
    <t>6445-6444dibujo.webp</t>
  </si>
  <si>
    <t>BERDY I NG</t>
  </si>
  <si>
    <t>BERDY I BL</t>
  </si>
  <si>
    <t>6445FotoDetalle0.jpg,6445Fotoproducto0.jpg,6445Fotoproducto1.png,6445Fotoproducto2.png</t>
  </si>
  <si>
    <t>MILA</t>
  </si>
  <si>
    <t>170 x 170 x 99 mm</t>
  </si>
  <si>
    <t>154 x 154 mm</t>
  </si>
  <si>
    <t>105 mm</t>
  </si>
  <si>
    <t>Mila es una familia de cardánicos embutidos para AR111 con movimiento
 ajustable. Fabricado en acero y aluminio. Su diseño permite orientar la
 luz según las necesidades del espacio.</t>
  </si>
  <si>
    <t>6446Fotoproducto0.png</t>
  </si>
  <si>
    <t>6446Fotodetalle.jpg,6446FotoDetalle0.jpg,6446FotoDetalle1.jpg,6446Fotodetalle1.png,6446Fotoproducto.jpg,6446Fotoproducto1.png,6446Fotoproducto2.jpg,6446Fotoproducto3.png</t>
  </si>
  <si>
    <t>Ficha Técnica - MILA.pdf</t>
  </si>
  <si>
    <t>6446-6447-cad.dwg</t>
  </si>
  <si>
    <t>6447-6446dibujo.webp</t>
  </si>
  <si>
    <t>MILA I NG</t>
  </si>
  <si>
    <t>MILA I BL</t>
  </si>
  <si>
    <t>6447Fotoproducto0.png</t>
  </si>
  <si>
    <t>6447FotoDetalle0.jpg,6447Fotoproducto1.jpg,6447Fotoproducto2.png</t>
  </si>
  <si>
    <t>ANTON II NG</t>
  </si>
  <si>
    <t>166 x 90 x 87 mm</t>
  </si>
  <si>
    <t>6448FotoProducto0.png</t>
  </si>
  <si>
    <t>6448FotoDetalle0.jpg,6448FotoDetalle1.jpg,6448Fotoproducto.jpg,6448FotoProducto1.png,6448FotoProducto2.png</t>
  </si>
  <si>
    <t>6448-6449-cad.dwg</t>
  </si>
  <si>
    <t>6449-6448dibujo.webp</t>
  </si>
  <si>
    <t>ANTON II BL</t>
  </si>
  <si>
    <t>6449Fotoproducto0.png</t>
  </si>
  <si>
    <t>6449FotoDetalle0.jpg,6449Fotoproducto.png,6449Fotoproducto1.jpg,6449Fotoproducto2.png</t>
  </si>
  <si>
    <t>KAROL II NG</t>
  </si>
  <si>
    <t>189 x 110 x 83 mm</t>
  </si>
  <si>
    <t>170 x 94 mm</t>
  </si>
  <si>
    <t>6450FotoProducto0.png</t>
  </si>
  <si>
    <t>6450FotoDetalle0.jpg,6450Fotoproducto.jpg,6450FotoProducto1.png,6450Fotoproducto2.png</t>
  </si>
  <si>
    <t>6450-6451-cad.dwg</t>
  </si>
  <si>
    <t>6451-6450dibujo.webp</t>
  </si>
  <si>
    <t>KAROL II BL</t>
  </si>
  <si>
    <t>6451Fotodetalle.jpg,6451FotoDetalle0.jpg,6451Fotodetalle1.png,6451Fotodetalle2.png,6451Fotoproducto.jpg,6451Fotoproducto1.png</t>
  </si>
  <si>
    <t>BERDY II NG</t>
  </si>
  <si>
    <t>2xGU10 AR111</t>
  </si>
  <si>
    <t>286 x 150 x 107 mm</t>
  </si>
  <si>
    <t>6452Fotoproducto0.png</t>
  </si>
  <si>
    <t>6452Fotodetalle.jpg,6452FotoDetalle0.jpg,6452FotoDetalle1.jpg,6452Fotodetalle1.png,6452Fotoproducto.png,6452Fotoproducto1.png,6452Fotoproducto2.jpg,6452Fotoproducto3.jpg</t>
  </si>
  <si>
    <t>6452-6453-cad.dwg</t>
  </si>
  <si>
    <t>6453-6452dibujo.webp</t>
  </si>
  <si>
    <t>BERDY II BL</t>
  </si>
  <si>
    <t>6453Fotoproducto0.png</t>
  </si>
  <si>
    <t>6453Fotodetalle.png,6453FotoDetalle0.jpg,6453Fotodetalle1.jpg,6453Fotoproducto.png,6453Fotoproducto1.jpg,6453Fotoproducto2.jpg,6453Fotoproducto3.png</t>
  </si>
  <si>
    <t>MILA II NG</t>
  </si>
  <si>
    <t>307 x 170 x 99 mm</t>
  </si>
  <si>
    <t>292 x 154 mm</t>
  </si>
  <si>
    <t>6454Fotodetalle.jpg,6454FotoDetalle0.jpg,6454FotoDetalle1.jpg,6454Fotodetalle1.png,6454Fotoproducto.png,6454Fotoproducto1.jpg,6454Fotoproducto1.png,6454Fotoproducto2.jpg,6454Fotoproducto3.png</t>
  </si>
  <si>
    <t>6454-6455-cad.dwg</t>
  </si>
  <si>
    <t>6455-6454dibujo.webp</t>
  </si>
  <si>
    <t>MILA II BL</t>
  </si>
  <si>
    <t>6455Fotodetalle.jpg,6455FotoDetalle0.jpg,6455FotoDetalle1.jpg,6455Fotodetalle1.png,6455Fotoproducto0.jpg,6455Fotoproducto1.jpg,6455Fotoproducto1.png,6455Fotoproducto2.png,6455Fotoproducto3.png</t>
  </si>
  <si>
    <t>ANTON III NG</t>
  </si>
  <si>
    <t>242 x 90 x 87 mm</t>
  </si>
  <si>
    <t>6456Fotoproducto0.png</t>
  </si>
  <si>
    <t>6456FotoDetalle0.jpg,6456Fotoproducto.jpg,6456Fotoproducto1.png,6456Fotoproducto2.jpg,6456Fotoproducto2.png</t>
  </si>
  <si>
    <t>6456-6457-cad.dwg</t>
  </si>
  <si>
    <t>6457-6456dibujo.webp</t>
  </si>
  <si>
    <t>ANTON III BL</t>
  </si>
  <si>
    <t>6457FotoProducto0.png</t>
  </si>
  <si>
    <t>6457FotoDetalle0.jpg,6457FotoDetalle1.jpg,6457FotoDetalle2.jpg,6457FotoProducto1.png,6457FotoProducto2.png</t>
  </si>
  <si>
    <t>KAROL III NG</t>
  </si>
  <si>
    <t>260 x 110 x 83 mm</t>
  </si>
  <si>
    <t>246 x 94 mm</t>
  </si>
  <si>
    <t>6458Fotoproducto0.png</t>
  </si>
  <si>
    <t>6458Fotodetalle.jpg,6458FotoDetalle0.jpg,6458Fotodetalle1.png,6458Fotodetalle2.png,6458Fotoproducto.jpg</t>
  </si>
  <si>
    <t>6458-6459-cad.dwg</t>
  </si>
  <si>
    <t>6459-6458dibujo.webp</t>
  </si>
  <si>
    <t>KAROL III BL</t>
  </si>
  <si>
    <t>6459Fotoproducto0.png</t>
  </si>
  <si>
    <t>6459Fotodetalle.png,6459FotoDetalle0.jpg,6459Fotodetalle1.png,6459Fotoproducto.jpg</t>
  </si>
  <si>
    <t>BERDY III NG</t>
  </si>
  <si>
    <t>3xGU10 AR111</t>
  </si>
  <si>
    <t>420 x 150 x 107 mm</t>
  </si>
  <si>
    <t>6460Fotoproducto0.png</t>
  </si>
  <si>
    <t>6460FotoDetalle0.jpg,6460Fotoproducto.png,6460Fotoproducto1.jpg</t>
  </si>
  <si>
    <t>6460-6461-cad.dwg</t>
  </si>
  <si>
    <t>6461-6460dibujo.webp</t>
  </si>
  <si>
    <t>BERDY III BL</t>
  </si>
  <si>
    <t>6461Fotoproducto0.png</t>
  </si>
  <si>
    <t>6461Fotodetalle.jpg,6461FotoDetalle0.jpg,6461FotoDetalle1.jpg,6461Fotodetalle1.png,6461Fotoproducto.jpg,6461Fotoproducto1.jpg,6461Fotoproducto2.png,6461Fotoproducto3.png</t>
  </si>
  <si>
    <t>MILA III NG</t>
  </si>
  <si>
    <t>440 x 170 x 99 mm</t>
  </si>
  <si>
    <t>424 x 154 mm</t>
  </si>
  <si>
    <t>6462Fotoproducto0.png</t>
  </si>
  <si>
    <t>6462Fotodetalle.png,6462FotoDetalle0.jpg,6462Fotodetalle1.jpg,6462Fotoproducto.png,6462Fotoproducto1.jpg,6462Fotoproducto2.png,6462Fotoproducto3.jpg</t>
  </si>
  <si>
    <t>6462-6463-cad.dwg</t>
  </si>
  <si>
    <t>6463-6462dibujo.webp</t>
  </si>
  <si>
    <t>MILA III BL</t>
  </si>
  <si>
    <t>6463Fotoproducto0.png</t>
  </si>
  <si>
    <t>6463Fotodetalle.jpg,6463FotoDetalle0.jpg,6463FotoDetalle1.jpg,6463Fotodetalle1.png,6463Fotoproducto.jpg,6463Fotoproducto1.jpg,6463Fotoproducto2.png,6463Fotoproducto3.png</t>
  </si>
  <si>
    <t>ANTON IV NG</t>
  </si>
  <si>
    <t>166 x 166 x 87 mm</t>
  </si>
  <si>
    <t>6464Fotoproducto0.png</t>
  </si>
  <si>
    <t>6464Fotodetalle.png,6464FotoDetalle0.jpg,6464Fotodetalle1.jpg,6464Fotodetalle1.png,6464Fotodetalle2.jpg,6464Fotodetalle3.jpg,6464Fotodetalle4.png</t>
  </si>
  <si>
    <t>6464-6465-cad.dwg</t>
  </si>
  <si>
    <t>6465-6464dibujo.webp</t>
  </si>
  <si>
    <t>ANTON IV BL</t>
  </si>
  <si>
    <t>6465Fotoproducto0.png</t>
  </si>
  <si>
    <t>6465FotoDetalle0.jpg,6465Fotoproducto1.jpg,6465Fotoproducto1.png,6465Fotoproducto2.png,6465Fotoproducto3.jpg</t>
  </si>
  <si>
    <t>KAROL IV NG</t>
  </si>
  <si>
    <t>185 x 185 x 83 mm</t>
  </si>
  <si>
    <t>170 x 170 mm</t>
  </si>
  <si>
    <t>6466Fotoproducto0.png</t>
  </si>
  <si>
    <t>6466Fotodetalle.jpg,6466Fotodetalle1.png,6466Fotodetalle2.png,6466Fotodetalle3.jpg,6466Fotoproducto.jpg,6466Fotoproducto1.jpg,6466Fotoproducto1.png,6466Fotoproducto2.png,6466Fotoproducto3.jpg,6466Fotoproducto5.png</t>
  </si>
  <si>
    <t>6466-6467-cad.dwg</t>
  </si>
  <si>
    <t>6467-6466dibujo.webp</t>
  </si>
  <si>
    <t>KAROL IV BL</t>
  </si>
  <si>
    <t>6467Fotoproducto0.png</t>
  </si>
  <si>
    <t>6467FotoDetalle0.jpg,6467Fotoproducto.jpg,6467Fotoproducto1.png,6467Fotoproducto2.jpg,6467Fotoproducto2.png</t>
  </si>
  <si>
    <t>BERDY IV NG</t>
  </si>
  <si>
    <t>4xGU10 AR111</t>
  </si>
  <si>
    <t>286 x 286 x 107 mm</t>
  </si>
  <si>
    <t>6468Fotoproducto0.png</t>
  </si>
  <si>
    <t>6468Fotodetalle.jpg,6468Fotodetalle.png,6468FotoDetalle0.jpg,6468FotoDetalle1.jpg,6468Fotoproducto.jpg,6468Fotoproducto1.png,6468Fotoproducto2.png,6468Fotoproducto3.jpg</t>
  </si>
  <si>
    <t>6468-6469-cad.dwg</t>
  </si>
  <si>
    <t>6469-6468dibujo.webp</t>
  </si>
  <si>
    <t>BERDY IV BL</t>
  </si>
  <si>
    <t>6469Fotoproducto0.png</t>
  </si>
  <si>
    <t>6469Fotodetalle.jpg,6469FotoDetalle0.jpg,6469FotoDetalle1.jpg,6469Fotodetalle1.png,6469Fotoproducto.jpg,6469Fotoproducto1.jpg,6469Fotoproducto2.png,6469Fotoproducto3.png</t>
  </si>
  <si>
    <t>MILA IV NG</t>
  </si>
  <si>
    <t>307 x 307 x 99 mm</t>
  </si>
  <si>
    <t>292 x 292 mm</t>
  </si>
  <si>
    <t>6470Fotoproducto0.png</t>
  </si>
  <si>
    <t>6470Fotodetalle.jpg,6470FotoDetalle0.jpg,6470FotoDetalle1.jpg,6470Fotodetalle1.png,6470Fotodetalle2.jpg,6470Fotoproducto.png,6470Fotoproducto1.jpg,6470Fotoproducto2.jpg,6470Fotoproducto3.png,6470Fotoproducto4.png</t>
  </si>
  <si>
    <t>6470-6471-cad.dwg</t>
  </si>
  <si>
    <t>6471-6470dibujo.webp</t>
  </si>
  <si>
    <t>MILA IV BL</t>
  </si>
  <si>
    <t>6471Fotoproducto0.png</t>
  </si>
  <si>
    <t>6471Fotodetalle.png,6471FotoDetalle0.jpg,6471Fotodetalle1.jpg,6471Fotoproducto.png,6471Fotoproducto1.jpg,6471Fotoproducto2.jpg,6471Fotoproducto3.png</t>
  </si>
  <si>
    <t>LAMPY M</t>
  </si>
  <si>
    <t>De Apoyo</t>
  </si>
  <si>
    <t>Mesa</t>
  </si>
  <si>
    <t>Clase ll</t>
  </si>
  <si>
    <t>Autoportante</t>
  </si>
  <si>
    <t>Ø170 x 425 mm</t>
  </si>
  <si>
    <t>Acero</t>
  </si>
  <si>
    <t>6485FotoProducto0.png</t>
  </si>
  <si>
    <t>Ficha Técnica - Lampy de Mesa.pdf</t>
  </si>
  <si>
    <t>6485-6486-6487-6488-6489-cad.dwg</t>
  </si>
  <si>
    <t>6485-6486-6487-6488-6489dibujo.webp</t>
  </si>
  <si>
    <t>LAMPY M NG</t>
  </si>
  <si>
    <t>Velador de mesa con portalámparas E27. Fabricado en acero para mayor
 durabilidad. Su diseño funcional y versátil se adapta a distintos espacios,
 brindando una iluminación cálida y confortable.</t>
  </si>
  <si>
    <t>LAMPY M BL</t>
  </si>
  <si>
    <t>6486FotoProducto0.png</t>
  </si>
  <si>
    <t>LAMPY M AZ</t>
  </si>
  <si>
    <t>Azul</t>
  </si>
  <si>
    <t>6487FotoProducto0.png</t>
  </si>
  <si>
    <t>LAMPY M VR</t>
  </si>
  <si>
    <t>Verde</t>
  </si>
  <si>
    <t>6488FotoProducto0.png</t>
  </si>
  <si>
    <t>LAMPY M BD</t>
  </si>
  <si>
    <t>Bordó</t>
  </si>
  <si>
    <t>6489FotoProducto0.png</t>
  </si>
  <si>
    <t>LAMPY P AZ</t>
  </si>
  <si>
    <t>Pie</t>
  </si>
  <si>
    <t>Ø250 x 1300 mm</t>
  </si>
  <si>
    <t>Luminaria de pie con portalámparas E27. Fabricada en acero para mayor
 resistencia. Su diseño estilizado y versátil brinda una iluminación cálida y
 funcional, ideal para diversos ambientes.</t>
  </si>
  <si>
    <t>6492FotoProducto0.png</t>
  </si>
  <si>
    <t>Ficha Técnica - Lampy de Pie.pdf</t>
  </si>
  <si>
    <t>6490-6491-6492-6493-6494-cad.dwg</t>
  </si>
  <si>
    <t>6490-6491-6492-6493-6494dibujo.webp</t>
  </si>
  <si>
    <t>LAMPY P BD</t>
  </si>
  <si>
    <t>6494FotoProducto0.png</t>
  </si>
  <si>
    <t>KIT SUSPENSION RIEL</t>
  </si>
  <si>
    <t>Rieles</t>
  </si>
  <si>
    <t>Accesorio</t>
  </si>
  <si>
    <t>Ø2 x 2000 mm</t>
  </si>
  <si>
    <t>6563FotoProducto0.png</t>
  </si>
  <si>
    <t>6563FotoDetalle0.jpg,6563FotoProducto1.png</t>
  </si>
  <si>
    <t>RIELES 1EF</t>
  </si>
  <si>
    <t>ALIMENTACION EXTREMO POWER 1EF</t>
  </si>
  <si>
    <t>Unión</t>
  </si>
  <si>
    <t>35 x 108 x 17 mm</t>
  </si>
  <si>
    <t>Riel de 1 efecto para montar en techo, compatible con una amplia
 variedad de artefactos y accesorios. Fabricado en aluminio. Soporta
 hasta 10A. Incluye tapas extremas.</t>
  </si>
  <si>
    <t>6564FotoProducto0.png</t>
  </si>
  <si>
    <t>6564FotoDetalle0.jpg,6564FotoDetalle1.jpg,6564FotoProducto1.png</t>
  </si>
  <si>
    <t>Ficha Técnica -  RIEL 1 EF.pdf</t>
  </si>
  <si>
    <t>6564-6565-cad.dwg</t>
  </si>
  <si>
    <t>6564-6565dibujo.webp</t>
  </si>
  <si>
    <t>ALIMENTACION EXTREMO POWER 1EF BL</t>
  </si>
  <si>
    <t>ALIMENTACION EXTREMO POWER 1EF NG</t>
  </si>
  <si>
    <t>6565FotoProducto0.png</t>
  </si>
  <si>
    <t>6565FotoDetalle0.jpg,6565FotoDetalle1.jpg,6565FotoDetalle2.jpg,6565FotoProducto1.png</t>
  </si>
  <si>
    <t>TAPA 1EF</t>
  </si>
  <si>
    <t>34 x 15 x 17 mm</t>
  </si>
  <si>
    <t>6566FotoProducto0.png</t>
  </si>
  <si>
    <t>6566FotoDetalle0.jpg,6566FotoDetalle1.jpg,6566FotoProducto1.png</t>
  </si>
  <si>
    <t>6566-6567-cad.dwg</t>
  </si>
  <si>
    <t>TAPA 1EF BL</t>
  </si>
  <si>
    <t>TAPA 1EF NG</t>
  </si>
  <si>
    <t>6567FotoProducto0.png</t>
  </si>
  <si>
    <t>6567FotoDetalle0.jpg,6567FotoDetalle1.jpg,6567FotoDetalle2.jpg,6567FotoProducto1.png</t>
  </si>
  <si>
    <t>ADAPTADOR 1EF</t>
  </si>
  <si>
    <t>80 x 35 x 35 mm</t>
  </si>
  <si>
    <t>6568FotoProducto0.png</t>
  </si>
  <si>
    <t>6568FotoDetalle0.jpg,6568FotoDetalle1.jpg,6568FotoDetalle2.jpg,6568FotoDetalle3.jpg,6568FotoProducto1.png</t>
  </si>
  <si>
    <t>ADAPTADOR 1EF BL</t>
  </si>
  <si>
    <t>ADAPTADOR 1EF NG</t>
  </si>
  <si>
    <t>6569FotoProducto0.png</t>
  </si>
  <si>
    <t>6569FotoDetalle0.jpg,6569FotoDetalle1.jpg,6569FotoProducto1.png</t>
  </si>
  <si>
    <t>UNION C/MOVIMIENTO 1 EF</t>
  </si>
  <si>
    <t>35 x 195 x 17 mm</t>
  </si>
  <si>
    <t>6570FotoProducto0.png</t>
  </si>
  <si>
    <t>6570.png,6570FotoDetalle0.jpg,6570FotoDetalle1.jpg,6570FotoDetalle2.jpg,6570FotoProducto1.jpg</t>
  </si>
  <si>
    <t>6570-6571-cad.dwg</t>
  </si>
  <si>
    <t>6570-6571dibujo.webp</t>
  </si>
  <si>
    <t>UNION C/MOVIMIENTO 1 EF BL</t>
  </si>
  <si>
    <t>UNION C/MOVIMIENTO 1EF NG</t>
  </si>
  <si>
    <t>6571FotoProducto0.png</t>
  </si>
  <si>
    <t>6571FotoDetalle0.jpg,6571FotoDetalle1.jpg,6571FotoDetalle2.jpg,6571FotoDetalle3.jpg,6571FotoProducto1.png</t>
  </si>
  <si>
    <t>UNION CRUZ 1EF</t>
  </si>
  <si>
    <t>177 x 177 x 17 mm</t>
  </si>
  <si>
    <t>6572FotoProducto0.png</t>
  </si>
  <si>
    <t>6572FotoDetalle0.jpg,6572FotoDetalle1.jpg,6572FotoDetalle2.jpg,6572FotoProducto1.png</t>
  </si>
  <si>
    <t>6572-6573-cad.dwg</t>
  </si>
  <si>
    <t>6572-6573dibujo.webp</t>
  </si>
  <si>
    <t>UNION CRUZ 1EF BL</t>
  </si>
  <si>
    <t>UNION CRUZ 1EF NG</t>
  </si>
  <si>
    <t>6573FotoProducto0.png</t>
  </si>
  <si>
    <t>6573FotoDetalle0.jpg,6573FotoDetalle1.jpg,6573FotoDetalle2.jpg,6573FotoDetalle3.jpg,6573FotoProducto1.png</t>
  </si>
  <si>
    <t>UNION T 1EF</t>
  </si>
  <si>
    <t>106 x 177 x 17 mm</t>
  </si>
  <si>
    <t>6574FotoProducto0.png</t>
  </si>
  <si>
    <t>6574FotoDetalle0.jpg,6574FotoDetalle1.jpg,6574FotoDetalle2.jpg,6574FotoProducto1.png</t>
  </si>
  <si>
    <t>6574-6575-cad.dwg</t>
  </si>
  <si>
    <t>6574-6575dibujo.webp</t>
  </si>
  <si>
    <t>UNION T 1EF BL</t>
  </si>
  <si>
    <t>UNION T 1EF NG</t>
  </si>
  <si>
    <t>6575FotoProducto0.png</t>
  </si>
  <si>
    <t>6575FotoDetalle0.jpg,6575FotoDetalle1.jpg,6575FotoDetalle2.jpg,6575FotoDetalle3.jpg,6575FotoProducto1.png</t>
  </si>
  <si>
    <t>UNION L 1EF</t>
  </si>
  <si>
    <t>106 x 106 x 17 mm</t>
  </si>
  <si>
    <t>6576FotoProducto0.png</t>
  </si>
  <si>
    <t>6576FotoDetalle0.jpg,6576FotoDetalle1.jpg,6576FotoDetalle2.jpg,6576FotoDetalle3.jpg,6576FotoProducto1.png</t>
  </si>
  <si>
    <t>6576-6577-cad.dwg</t>
  </si>
  <si>
    <t>6576-6577dibujo.webp</t>
  </si>
  <si>
    <t>UNION L 1EF BL</t>
  </si>
  <si>
    <t>UNION L 1EF NG</t>
  </si>
  <si>
    <t>6577FotoProducto0.png</t>
  </si>
  <si>
    <t>6577FotoDetalle0.jpg,6577FotoDetalle1.jpg,6577FotoDetalle2.jpg,6577FotoDetalle3.jpg,6577FotoProducto1.png</t>
  </si>
  <si>
    <t>UNION LINEAL POWER 1EF</t>
  </si>
  <si>
    <t>35 x 177 x 17 mm</t>
  </si>
  <si>
    <t>6578FotoProducto0.png</t>
  </si>
  <si>
    <t>6578FotoDetalle0.jpg,6578FotoDetalle1.jpg,6578FotoDetalle2.jpg,6578FotoProducto1.png</t>
  </si>
  <si>
    <t>6578-6579-cad.dwg</t>
  </si>
  <si>
    <t>6578-6579dibujo.webp</t>
  </si>
  <si>
    <t>UNION LINEAL POWER 1EF BL</t>
  </si>
  <si>
    <t>UNION LINEAL POWER 1EF NG</t>
  </si>
  <si>
    <t>6579FotoProducto0.png</t>
  </si>
  <si>
    <t>6579FotoDetalle0.jpg,6579FotoDetalle1.jpg,6579FotoDetalle2.jpg,6579FotoDetalle3.jpg,6579FotoProducto1.png</t>
  </si>
  <si>
    <t>UNION LINEAL 1EF</t>
  </si>
  <si>
    <t>35 x 79 x 17 mm</t>
  </si>
  <si>
    <t>6580FotoProducto0.png</t>
  </si>
  <si>
    <t>6580FotoProducto1.png</t>
  </si>
  <si>
    <t>6580-6581-cad.dwg</t>
  </si>
  <si>
    <t>6580-6581dibujo.webp</t>
  </si>
  <si>
    <t>UNION LINEAL 1EF BL</t>
  </si>
  <si>
    <t>UNION LINEAL 1EF NG</t>
  </si>
  <si>
    <t>6581FotoProducto0.png</t>
  </si>
  <si>
    <t>6581FotoDetalle0.jpg,6581FotoDetalle1.jpg,6581FotoDetalle2.jpg,6581FotoProducto1.png</t>
  </si>
  <si>
    <t>RIEL 1EF</t>
  </si>
  <si>
    <t>Riel</t>
  </si>
  <si>
    <t>220 Vac - Hasta 10A</t>
  </si>
  <si>
    <t>Embutir, Aplicar, Suspender</t>
  </si>
  <si>
    <t>34 x 17 x 3000 (Ancho x Alto x Largo) mm</t>
  </si>
  <si>
    <t>Blanco Brillante</t>
  </si>
  <si>
    <t>6582-6584-6586FotoProducto0.png</t>
  </si>
  <si>
    <t>6582-6584-6586FotoDetalle0.jpg,6582-6584-6586FotoDetalle2.jpg,6582-6584-6586FotoDetalle3.jpg,6582-6584-6586FotoDetalle4.jpg,6582-6584-6586FotoProducto1.png</t>
  </si>
  <si>
    <t>6582-6583-cad.dwg</t>
  </si>
  <si>
    <t>6586-6587-6610-7242-6611-7241-6582-6583-6584-6585-dibujo.webp</t>
  </si>
  <si>
    <t>RIEL 3MTS 1EF BL</t>
  </si>
  <si>
    <t>300cm</t>
  </si>
  <si>
    <t>34 x 17 x 3000 mm</t>
  </si>
  <si>
    <t>RIEL 3MTS 1EF NG</t>
  </si>
  <si>
    <t>Negro Brillante</t>
  </si>
  <si>
    <t>6583-6585-6587FotoProducto0.png</t>
  </si>
  <si>
    <t>6583-6585-6587FotoDetalle0.jpg,6583-6585-6587FotoDetalle1.jpg,6583-6585-6587FotoDetalle2.jpg,6583-6585-6587FotoDetalle3.jpg,6583-6585-6587FotoProducto1.png</t>
  </si>
  <si>
    <t>RIEL 2MTS 1EF BL</t>
  </si>
  <si>
    <t>200cm</t>
  </si>
  <si>
    <t>34 x 17 x 2000 mm</t>
  </si>
  <si>
    <t>6584-6585-cad.dwg</t>
  </si>
  <si>
    <t>RIEL 2MTS 1EF NG</t>
  </si>
  <si>
    <t>RIEL 1MT 1EF BL</t>
  </si>
  <si>
    <t>100cm</t>
  </si>
  <si>
    <t>34 x 17 x 1000 mm</t>
  </si>
  <si>
    <t>6586-6587-cad.dwg</t>
  </si>
  <si>
    <t>RIEL 1MT 1EF NG</t>
  </si>
  <si>
    <t>ALIMENTACION EXTREMO POWER 3EF</t>
  </si>
  <si>
    <t>30 x 100 x 32 mm</t>
  </si>
  <si>
    <t>Riel de 3 efectos para montar en techo, compatible con una amplia
 variedad de artefactos y accesorios. Fabricado en aluminio. Soporta
 hasta 10A. Incluye tapas extremas.</t>
  </si>
  <si>
    <t>6588FotoProducto0.png</t>
  </si>
  <si>
    <t>6588FotoDetalle0.jpg,6588FotoDetalle1.jpg,6588FotoDetalle2.jpg,6588FotoProducto1.jpg,6588FotoProducto1.png</t>
  </si>
  <si>
    <t>Ficha Técnica - RIEL 3 EF.pdf</t>
  </si>
  <si>
    <t>6588-6589-cad.dwg</t>
  </si>
  <si>
    <t>6588-6589dibujo.webp</t>
  </si>
  <si>
    <t>ALIMENTACION EXTREMO POWER 3EF BL</t>
  </si>
  <si>
    <t>RIELES 3EF</t>
  </si>
  <si>
    <t>ALIMENTACION EXTREMO POWER 3EF NG</t>
  </si>
  <si>
    <t>6589FotoProducto0.png</t>
  </si>
  <si>
    <t>6589FotoDetalle0.jpg,6589FotoDetalle1.jpg,6589FotoDetalle2.jpg,6589FotoProducto1.jpg,6589FotoProducto1.png</t>
  </si>
  <si>
    <t>TAPA 3EF</t>
  </si>
  <si>
    <t>30 x 32x 32 mm</t>
  </si>
  <si>
    <t>6590FotoProducto0.png</t>
  </si>
  <si>
    <t>6590FotoDetalle0.jpg,6590FotoDetalle1.jpg,6590FotoDetalle2.jpg,6590FotoProducto1.png</t>
  </si>
  <si>
    <t>6590-6591-cad.dwg</t>
  </si>
  <si>
    <t>TAPA 3EF BL</t>
  </si>
  <si>
    <t>30 x 32 x 32 mm</t>
  </si>
  <si>
    <t>TAPA 3EF NG</t>
  </si>
  <si>
    <t>6591FotoProducto0.png</t>
  </si>
  <si>
    <t>6591FotoDetalle0.jpg,6591FotoDetalle1.jpg,6591FotoDetalle2.jpg,6591FotoProducto1.png</t>
  </si>
  <si>
    <t>ADAPTADOR 3EF</t>
  </si>
  <si>
    <t>84 x 32 x 57 mm</t>
  </si>
  <si>
    <t>6592FotoProducto0.png</t>
  </si>
  <si>
    <t>6592FotoDetalle0.jpg,6592FotoDetalle1.jpg,6592FotoDetalle2.jpg,6592FotoProducto1.png</t>
  </si>
  <si>
    <t>ADAPTADOR 3EF BL</t>
  </si>
  <si>
    <t>ADAPTADOR 3EF NG</t>
  </si>
  <si>
    <t>6593FotoProducto0.png</t>
  </si>
  <si>
    <t>6593FotoDetalle0.jpg,6593FotoDetalle1.jpg,6593FotoDetalle2.jpg,6593FotoProducto1.png</t>
  </si>
  <si>
    <t>UNION C/MOVIMIENTO 3EF</t>
  </si>
  <si>
    <t>30 x 225 x 32 mm</t>
  </si>
  <si>
    <t>6594FotoProducto0.png</t>
  </si>
  <si>
    <t>6594FotoDetalle0.jpg,6594FotoDetalle1.jpg,6594FotoDetalle2.jpg,6594FotoDetalle3.jpg,6594FotoProducto1.png</t>
  </si>
  <si>
    <t>6594-6595-cad.dwg</t>
  </si>
  <si>
    <t>6594-6595dibujo.webp</t>
  </si>
  <si>
    <t>UNION C/MOVIMIENTO 3EF BL</t>
  </si>
  <si>
    <t>UNION C/MOVIMIENTO 3EF NG</t>
  </si>
  <si>
    <t>6595FotoProducto0.png</t>
  </si>
  <si>
    <t>6595FotoDetalle0.jpg,6595FotoDetalle1.jpg,6595FotoDetalle2.jpg,6595FotoDetalle3.jpg,6595FotoProducto1.png</t>
  </si>
  <si>
    <t>UNION CRUZ 3EF</t>
  </si>
  <si>
    <t>165 x 165 x 32 mm</t>
  </si>
  <si>
    <t>6596FotoProducto0.png</t>
  </si>
  <si>
    <t>6596FotoDetalle0.jpg,6596FotoDetalle1.jpg,6596FotoDetalle2.jpg,6596FotoDetalle3.jpg,6596FotoProducto1.png</t>
  </si>
  <si>
    <t>6596-6597-cad.dwg</t>
  </si>
  <si>
    <t>6596-6597dibujo.webp</t>
  </si>
  <si>
    <t>UNION CRUZ 3EF BL</t>
  </si>
  <si>
    <t>UNION CRUZ 3EF NG</t>
  </si>
  <si>
    <t>6597FotoProducto0.png</t>
  </si>
  <si>
    <t>6597FotoDetalle0.jpg,6597FotoDetalle1.jpg,6597FotoDetalle2.jpg,6597FotoDetalle3.jpg,6597FotoProducto1.png</t>
  </si>
  <si>
    <t>UNION T 3EF</t>
  </si>
  <si>
    <t>165 x 97 x 32 mm</t>
  </si>
  <si>
    <t>6598FotoProducto0.png</t>
  </si>
  <si>
    <t>6598FotoDetalle0.jpg,6598FotoDetalle1.jpg,6598FotoDetalle2.jpg,6598FotoDetalle3.jpg,6598FotoProducto1.png</t>
  </si>
  <si>
    <t>6598-6599-cad.dwg</t>
  </si>
  <si>
    <t>6598-6599dibujo.webp</t>
  </si>
  <si>
    <t>UNION T 3EF BL</t>
  </si>
  <si>
    <t>UNION T 3EF NG</t>
  </si>
  <si>
    <t>6599FotoProducto0.png</t>
  </si>
  <si>
    <t>6599FotoDetalle0.jpg,6599FotoDetalle1.jpg,6599FotoDetalle2.jpg,6599FotoDetalle3.jpg,6599FotoProducto1.png</t>
  </si>
  <si>
    <t>UNION L 3EF</t>
  </si>
  <si>
    <t>97 x 97 x 32 mm</t>
  </si>
  <si>
    <t>6600FotoProducto0.png</t>
  </si>
  <si>
    <t>6600FotoDetalle0.jpg,6600FotoDetalle1.jpg,6600FotoDetalle2.jpg,6600FotoDetalle3.jpg,6600FotoProducto1.png</t>
  </si>
  <si>
    <t>6600-6601-cad.dwg</t>
  </si>
  <si>
    <t>6600-6601dibujo.webp</t>
  </si>
  <si>
    <t>UNION L 3EF BL</t>
  </si>
  <si>
    <t>UNION L 3EF NG</t>
  </si>
  <si>
    <t>6601FotoProducto0.png</t>
  </si>
  <si>
    <t>6601FotoDetalle0.jpg,6601FotoDetalle1.jpg,6601FotoDetalle2.jpg,6601FotoDetalle3.jpg,6601FotoProducto1.png</t>
  </si>
  <si>
    <t>UNION LINEAL POWER 3EF</t>
  </si>
  <si>
    <t>30 x 165 x 32 mm</t>
  </si>
  <si>
    <t>6602FotoProducto0.png</t>
  </si>
  <si>
    <t>6602FotoDetalle0.jpg,6602FotoDetalle1.jpg,6602FotoDetalle2.jpg,6602FotoProducto1.png</t>
  </si>
  <si>
    <t>6602-6603-cad.dwg</t>
  </si>
  <si>
    <t>6602-6603dibujo.webp</t>
  </si>
  <si>
    <t>UNION LINEAL POWER 3EF BL</t>
  </si>
  <si>
    <t>UNION LINEAL POWER 3EF NG</t>
  </si>
  <si>
    <t>6603FotoProducto0.png</t>
  </si>
  <si>
    <t>6603FotoDetalle0.jpg,6603FotoDetalle1.jpg,6603FotoDetalle2.jpg,6603FotoDetalle3.jpg,6603FotoProducto1.png</t>
  </si>
  <si>
    <t>UNION LINEAL 3EF</t>
  </si>
  <si>
    <t>20 x 70 x 26 mm</t>
  </si>
  <si>
    <t>6604FotoProducto0.png</t>
  </si>
  <si>
    <t>6604FotoDetalle0.jpg,6604FotoDetalle1.jpg,6604FotoDetalle2.jpg,6604FotoProducto1.png</t>
  </si>
  <si>
    <t>6604-6605-cad.dwg</t>
  </si>
  <si>
    <t>6604-6605dibujo.webp</t>
  </si>
  <si>
    <t>UNION LINEAL 3EF BL</t>
  </si>
  <si>
    <t>UNION LINEAL 3EF NG</t>
  </si>
  <si>
    <t>6605FotoProducto0.png</t>
  </si>
  <si>
    <t>6605FotoDetalle0.jpg,6605FotoDetalle1.jpg,6605FotoDetalle2.jpg,6605FotoProducto1.png</t>
  </si>
  <si>
    <t>RIEL 3MTS 3EF NG</t>
  </si>
  <si>
    <t>En Salida</t>
  </si>
  <si>
    <t>32 x 36 x 3000 mm</t>
  </si>
  <si>
    <t>6607-6609-6611FotoProducto0.png</t>
  </si>
  <si>
    <t>6607-6609-6611FotoDetalle0.jpg,6607-6609-6611FotoDetalle1.jpg,6607-6609-6611FotoDetalle2.jpg,6607-6609-6611FotoDetalle3.jpg,6607-6609-6611FotoProducto1.png</t>
  </si>
  <si>
    <t>RIEL 1MT 3EF BL</t>
  </si>
  <si>
    <t>32 x 36 x 1000 mm</t>
  </si>
  <si>
    <t>6606-6608-6610FotoProducto0.png</t>
  </si>
  <si>
    <t>6606-6608-6610FotoDetalle0.jpg,6606-6608-6610FotoDetalle2.jpg,6606-6608-6610FotoDetalle3.jpg,6606-6608-6610FotoDetalle4.jpg,6606-6608-6610FotoDetalle5.jpg,6606-6608-6610FotoProducto1.png</t>
  </si>
  <si>
    <t>RIEL 1MT 3EF NG</t>
  </si>
  <si>
    <t>FOCO DICRO</t>
  </si>
  <si>
    <t>Cabezal</t>
  </si>
  <si>
    <t>1 x 7W Max W</t>
  </si>
  <si>
    <t>Ø52 x 110 mm</t>
  </si>
  <si>
    <t>Foco Dicro es un cabezal para dicroica. Apto para instalación en riel o para aplicar
 en superficie. Fabricado en acero. Su diseño brinda una iluminación focalizada y
 versátil, ideal para resaltar áreas específicas según las necesidades del espacio.</t>
  </si>
  <si>
    <t>6612FotoProducto0.png</t>
  </si>
  <si>
    <t>6612FotoDetalle0.jpg,6612FotoDetalle1.jpg,6612FotoProducto1.png</t>
  </si>
  <si>
    <t>Ficha Técnica - FOCO DICRO.pdf</t>
  </si>
  <si>
    <t>6612-6613-cad.dwg</t>
  </si>
  <si>
    <t>6612-6613dibujo.webp</t>
  </si>
  <si>
    <t>FOCO DICRO BL</t>
  </si>
  <si>
    <t>1 x 7W Max</t>
  </si>
  <si>
    <t>FOCO DICRO NG</t>
  </si>
  <si>
    <t>6613FotoProducto0.png</t>
  </si>
  <si>
    <t>6613FotoDetalle0.jpg,6613FotoDetalle1.jpg,6613FotoProducto1.png</t>
  </si>
  <si>
    <t>YORK</t>
  </si>
  <si>
    <t>Kit de suspensión: Opcional</t>
  </si>
  <si>
    <t>Remoto IR / RF</t>
  </si>
  <si>
    <t>45 W</t>
  </si>
  <si>
    <t>3360 lm</t>
  </si>
  <si>
    <t>75 lm/W</t>
  </si>
  <si>
    <t>3000/4000/6500 K</t>
  </si>
  <si>
    <t>Aplicar, Suspender</t>
  </si>
  <si>
    <t>Ø480 x 70 mm</t>
  </si>
  <si>
    <t>Plafón de techo con LED integrado. Fabricado en acero. Equipado con
 control remoto para cambio de temperatura de color y luz dimerizable,
 permitiendo ajustar la intensidad de la iluminación. Compatible con kit de
 suspensión Sintra/York (opcional).(Switch (3CCT):3000K/4000K/6500K)</t>
  </si>
  <si>
    <t>6614FotoProducto0.png</t>
  </si>
  <si>
    <t>6614FotoDetalle0.jpg,6614FotoDetalle1.jpg,6614FotoDetalle2.jpg,6614FotoDetalle3.jpg,6614FotoDetalle4.jpg,6614FotoDetalle5.jpg,6614FotoDetalle6.jpg,6614FotoDetalle7.jpg,6614FotoDetalle8.jpg,6614FotoDetalle9.jpg</t>
  </si>
  <si>
    <t>Ficha Técnica - YORK.pdf</t>
  </si>
  <si>
    <t>YORK.ldt</t>
  </si>
  <si>
    <t>6614-6615-6711-cad.dwg</t>
  </si>
  <si>
    <t>6615-6711-6614dibujo.webp</t>
  </si>
  <si>
    <t>6615-6714-6711-6614-6715-curvacono.webp,6615-6714-6711-6614-6715-curvapolar.webp</t>
  </si>
  <si>
    <t>YORK NG</t>
  </si>
  <si>
    <t>YORK BL</t>
  </si>
  <si>
    <t>(Switch (3CCT):3000K/4000K/6500K)</t>
  </si>
  <si>
    <t>6615FotoProducto0.png</t>
  </si>
  <si>
    <t>6615FotoDetalle0.jpg,6615FotoDetalle1.jpg,6615FotoDetalle2.jpg,6615FotoDetalle3.jpg,6615FotoDetalle4.jpg,6615FotoDetalle5.jpg,6615FotoDetalle6.jpg,6615FotoDetalle7.jpg,6615FotoDetalle8.jpg,6615FotoDetalle9.jpg</t>
  </si>
  <si>
    <t>SINTRA SQ</t>
  </si>
  <si>
    <t>121°</t>
  </si>
  <si>
    <t>480 x 480 x 70 mm</t>
  </si>
  <si>
    <t>Plafón de techo con LED integrado. Fabricado en acero. Cuenta con luz
 dimerizable, permitiendo ajustar la intensidad según las necesidades del
 espacio. Equipado con control remoto para cambio de temperatura de color.(Switch (3CCT):3000K/4000K/6500K)</t>
  </si>
  <si>
    <t>6618Fotoproducto0.png</t>
  </si>
  <si>
    <t>6618Fotodetalle.jpg,6618FotoDetalle0.jpg,6618Fotodetalle1.jpg,6618Fotodetalle2.jpg,6618Fotoproducto.png,6618Fotoproducto1.png,6618Fotoproducto2.png,6618Fotoproducto3.png,6618Fotoproducto4.jpg,6618Fotoproducto5.jpg</t>
  </si>
  <si>
    <t>Ficha Técnica - SINTRA SQ.pdf</t>
  </si>
  <si>
    <t>SINTRA SQ.ldt</t>
  </si>
  <si>
    <t>6618-cad.dwg</t>
  </si>
  <si>
    <t>6618-6713dibujo.webp</t>
  </si>
  <si>
    <t>6618-curvacono.webp,6618-curvapolar.webp</t>
  </si>
  <si>
    <t>SINTRA</t>
  </si>
  <si>
    <t>116°</t>
  </si>
  <si>
    <t>Plafón con LED integrado. Fabricado en acero. Incorpora Switch para cambio de
 temperatura de color. Su diseño moderno ofrece iluminación adaptable a distintos
 espacios. Compatible con kit de suspensión 4 tensores (opcional).(Switch (3CCT):3000K/4000K/6500K)</t>
  </si>
  <si>
    <t>6619FotoProducto0.png</t>
  </si>
  <si>
    <t>6619FotoDetalle0.jpg,6619FotoDetalle1.jpg,6619FotoDetalle2.jpg,6619FotoDetalle3.jpg,6619FotoDetalle4.jpg,6619FotoDetalle5.jpg,6619FotoDetalle6.jpg,6619FotoDetalle7.jpg,6619FotoDetalle8.jpg,6619FotoDetalle9.jpg</t>
  </si>
  <si>
    <t>Ficha Técnica - SINTRA.pdf</t>
  </si>
  <si>
    <t>SINTRA.ldt</t>
  </si>
  <si>
    <t>6619-cad.dwg</t>
  </si>
  <si>
    <t>6619-6620dibujo.webp</t>
  </si>
  <si>
    <t>6619-6712-curvacono.webp,6619-6712-curvapolar.webp</t>
  </si>
  <si>
    <t>SINTRA BL</t>
  </si>
  <si>
    <t>BIZ 1 EF</t>
  </si>
  <si>
    <t>Ø60 x 105 mm</t>
  </si>
  <si>
    <t>BIZ es un cabezal orientable con adaptador de 1 efecto. Fabricado en
 aluminio. Su diseño permite direccionar la luz según las necesidades del
 espacio, brindando flexibilidad en proyectos decorativos y comerciales.</t>
  </si>
  <si>
    <t>6621FotoProducto0.png</t>
  </si>
  <si>
    <t>6621FotoDetalle0.jpg,6621FotoDetalle1.jpg,6621FotoDetalle2.jpg,6621FotoProducto1.png,6621FotoProducto2.png</t>
  </si>
  <si>
    <t>Ficha técnica - BIZ 1 EF.pdf</t>
  </si>
  <si>
    <t>6621-6622-cad.dwg</t>
  </si>
  <si>
    <t>6622-6621dibujo.webp</t>
  </si>
  <si>
    <t>BIZ 1 EF NG</t>
  </si>
  <si>
    <t>BIZ 1 EF BL</t>
  </si>
  <si>
    <t>6622FotoProducto0.png</t>
  </si>
  <si>
    <t>6622FotoDetalle0.jpg,6622FotoProducto1.png,6622FotoProducto2.png</t>
  </si>
  <si>
    <t>BIZ 3 EF</t>
  </si>
  <si>
    <t>BIZ es un cabezal orientable con adaptador de 3 efectos. Fabricado en
 aluminio. Su diseño permite direccionar la luz según las necesidades del
 espacio, brindando flexibilidad en proyectos decorativos y comerciales.</t>
  </si>
  <si>
    <t>6623FotoProducto0.png</t>
  </si>
  <si>
    <t>6623FotoDetalle0.jpg,6623FotoDetalle1.jpg,6623FotoDetalle2.jpg,6623FotoDetalle3.jpg,6623FotoProducto1.png</t>
  </si>
  <si>
    <t>Ficha técnica - BIZ 3 EF.pdf</t>
  </si>
  <si>
    <t>6623-6624-cad.dwg</t>
  </si>
  <si>
    <t>6624-6623dibujo.webp</t>
  </si>
  <si>
    <t>BIZ 3 EF NG</t>
  </si>
  <si>
    <t>BIZ 3 EF BL</t>
  </si>
  <si>
    <t>6624FotoProducto0.png</t>
  </si>
  <si>
    <t>6624FotoDetalle0.jpg,6624FotoDetalle1.jpg,6624FotoProducto1.png,6624FotoProducto2.png</t>
  </si>
  <si>
    <t>BIZ UNIVERSAL</t>
  </si>
  <si>
    <t>Es un cabezal orientable con adaptador universal, apto para instalación en
 diversos sistemas de riel o para aplicar en superficie. Fabricado en aluminio.
 Su diseño versátil permite ajustar la dirección de la luz con precisión, ideal
 para aplicaciones comerciales</t>
  </si>
  <si>
    <t>6625FotoProducto0.png</t>
  </si>
  <si>
    <t>6625FotoDetalle0.jpg,6625FotoDetalle1.jpg,6625FotoDetalle2.jpg,6625FotoDetalle3.jpg,6625FotoProducto1.png,6625FotoProducto2.png</t>
  </si>
  <si>
    <t>Ficha técnica - BIZ UNIVERSAL.pdf</t>
  </si>
  <si>
    <t>6625-6626-cad.dwg</t>
  </si>
  <si>
    <t>6626-6625dibujo.webp</t>
  </si>
  <si>
    <t>BIZ UNIVERSAL NG</t>
  </si>
  <si>
    <t>BIZ</t>
  </si>
  <si>
    <t>BIZ UNIVERSAL BL</t>
  </si>
  <si>
    <t>6626FotoProducto0.png</t>
  </si>
  <si>
    <t>6626FotoDetalle1.jpg,6626FotoProducto0 (2).png,6626FotoProducto0 (3).png</t>
  </si>
  <si>
    <t>TULA</t>
  </si>
  <si>
    <t>Perfiles</t>
  </si>
  <si>
    <t>Perfil</t>
  </si>
  <si>
    <t>60 x 15 x 3000 mm</t>
  </si>
  <si>
    <t>22 x 3000 mm</t>
  </si>
  <si>
    <t>10 mm</t>
  </si>
  <si>
    <t>Tula es un perfil de aluminio flexible y versátil para tiras LED, ideal para diseños
 dinámicos y originales. Fabricado en aluminio. Se adapta con facilidad a las
 necesidades de cada espacio.</t>
  </si>
  <si>
    <t>6627FotoProducto0.png</t>
  </si>
  <si>
    <t>6627FotoDetalle0.jpg,6627FotoDetalle1.jpg,6627FotoDetalle2.jpg,6627FotoDetalle3.jpg,6627FotoProducto1.png,6627FotoProducto2.png,6627FotoProducto3.png</t>
  </si>
  <si>
    <t>6627dibujo.webp</t>
  </si>
  <si>
    <t>DIFUSOR TULA</t>
  </si>
  <si>
    <t>Silicona</t>
  </si>
  <si>
    <t>6628FotoProducto0.png</t>
  </si>
  <si>
    <t>6628FotoDetalle0.jpg,6628FotoDetalle1.jpg,6628FotoDetalle2.jpg,6628FotoProducto1.png,6628FotoProducto2.png,6628FotoProducto3.png</t>
  </si>
  <si>
    <t>ACRU</t>
  </si>
  <si>
    <t>177 lm</t>
  </si>
  <si>
    <t>59 lm/W</t>
  </si>
  <si>
    <t>23°</t>
  </si>
  <si>
    <t>Aplicar, Embutir</t>
  </si>
  <si>
    <t>68 x 52 x 170 mm</t>
  </si>
  <si>
    <t>155 x 54 mm</t>
  </si>
  <si>
    <t>42 mm</t>
  </si>
  <si>
    <t>Aplique de pared con LED integrado, apto para embutir o aplicar. Fabricado
 en aluminio. Cuenta con sistema de encendido con Switch: se enciende al
 levantar la luminaria y se apaga automáticamente al bajarla y presionar el
 botón, ofreciendo un uso práctico e intuitivo.</t>
  </si>
  <si>
    <t>6631Fotoproducto0.png</t>
  </si>
  <si>
    <t>6631Fotodetalle.jpg,6631Fotodetalle1.jpg,6631Fotodetalle2.jpg,6631Fotodetalle3.jpg,6631Fotoproducto1.png,6631Fotoproducto2.jpg,6631Fotoproducto2.png,6631Fotoproducto3.png,6631Fotoproducto4.jpg,6631Fotoproducto5.jpg</t>
  </si>
  <si>
    <t>Ficha Técnica - ACRU.pdf</t>
  </si>
  <si>
    <t>ACRU.ldt</t>
  </si>
  <si>
    <t>6631-6632-cad.dwg</t>
  </si>
  <si>
    <t>6632-6631dibujo.webp</t>
  </si>
  <si>
    <t>6632-6631-curvacono.webp,6632-6631-curvapolar.webp</t>
  </si>
  <si>
    <t>ACRU NG</t>
  </si>
  <si>
    <t>ACRU BL</t>
  </si>
  <si>
    <t>6632Fotoproducto0.png</t>
  </si>
  <si>
    <t>6632Fotodetalle.jpg,6632Fotodetalle1.jpg,6632Fotodetalle2.jpg,6632Fotodetalle3.jpg,6632Fotoproducto1.jpg,6632Fotoproducto1.png,6632Fotoproducto2.jpg,6632Fotoproducto3.png</t>
  </si>
  <si>
    <t>BIG SKOTE</t>
  </si>
  <si>
    <t>24 W</t>
  </si>
  <si>
    <t>1250 lm</t>
  </si>
  <si>
    <t>52 lm/W</t>
  </si>
  <si>
    <t>90°</t>
  </si>
  <si>
    <t>Ø270 x Prof 45 mm</t>
  </si>
  <si>
    <t>Luminaria de exterior con LED integrado, diseñada para ofrecer iluminación
 uniforme y eficiente. Fabricado en aluminio. Su estructura resistente y diseño
 moderno la hacen ideal para resaltar y ambientar espacios al aire libre.</t>
  </si>
  <si>
    <t>6633Fotoproducto0.png</t>
  </si>
  <si>
    <t>6633Fotodetalle.png,6633FotoDetalle0.jpg,6633FotoDetalle1.jpg,6633Fotodetalle1.png,6633FotoDetalle2.jpg,6633Fotodetalle2.png,6633FotoDetalle3.jpg,6633Fotodetalle3.png</t>
  </si>
  <si>
    <t>Ficha Técnica - BIG SKOTE.pdf</t>
  </si>
  <si>
    <t>BIG SKOTE.ldt</t>
  </si>
  <si>
    <t>6633-6634-cad.dwg</t>
  </si>
  <si>
    <t>6634-6633dibujo.webp</t>
  </si>
  <si>
    <t>6634-6633-curvacono.webp,6634-6633-curvapolar.webp</t>
  </si>
  <si>
    <t>BIG SKOTE NG</t>
  </si>
  <si>
    <t>BIG SKOTE BL</t>
  </si>
  <si>
    <t>6634Fotoproducto0.png</t>
  </si>
  <si>
    <t>6634FotoDetalle0.jpg,6634FotoDetalle1.jpg,6634Fotodetalle1.png,6634FotoDetalle2.jpg,6634Fotodetalle2.png,6634Fotodetalle3.png,6634Fotodetalle4.png,6634Fotodetalle5.png</t>
  </si>
  <si>
    <t>KIT SUSPENSION DYNA</t>
  </si>
  <si>
    <t>Dyna</t>
  </si>
  <si>
    <t>Lineales</t>
  </si>
  <si>
    <t>2 mts</t>
  </si>
  <si>
    <t>Dyna es una familia de lineales. Su sistema LED de luz blanca dinámica permite
 elegir entre tres temperaturas de color. Fabricado en aluminio. Con accesorios en
 forma de L, T, Y, X y Techo-Pared, y el conector entre tramos, ofrece la flexibilidad
 necesaria para adaptar la iluminación a diversas disposiciones.</t>
  </si>
  <si>
    <t>6635FotoProducto0.png</t>
  </si>
  <si>
    <t>6635FotoDetalle0.jpg</t>
  </si>
  <si>
    <t>Ficha Técnica - DYNA .pdf</t>
  </si>
  <si>
    <t>TOTEM</t>
  </si>
  <si>
    <t>Bolardo</t>
  </si>
  <si>
    <t>10 W</t>
  </si>
  <si>
    <t>670 lm</t>
  </si>
  <si>
    <t>67 lm/W</t>
  </si>
  <si>
    <t>105°</t>
  </si>
  <si>
    <t>Anclaje de piso</t>
  </si>
  <si>
    <t>108 x 108 x 590 mm</t>
  </si>
  <si>
    <t>Totem es una luminaria de exterior con LED integrado. Fabricado en aluminio.
 Su diseño moderno proporciona una iluminación uniforme y elegante, ideal
 para realzar fachadas y espacios al aire libre.</t>
  </si>
  <si>
    <t>6638FotoProducto0.png</t>
  </si>
  <si>
    <t>6638FotoDetalle0.jpg,6638FotoProducto1.png,6638FotoProducto2.png,6638FotoProducto3.png,6638FotoProducto4.png,6638FotoProducto5.png</t>
  </si>
  <si>
    <t>Ficha Técnica - TOTEM.pdf</t>
  </si>
  <si>
    <t>TOTEM.ldt</t>
  </si>
  <si>
    <t>6638-cad.dwg</t>
  </si>
  <si>
    <t>6638dibujo.webp</t>
  </si>
  <si>
    <t>6638-curvacono.webp,6638-curvapolar.webp</t>
  </si>
  <si>
    <t>RUFFO</t>
  </si>
  <si>
    <t>360 lm</t>
  </si>
  <si>
    <t>36 lm/W</t>
  </si>
  <si>
    <t>62°</t>
  </si>
  <si>
    <t>Ø110 x 590 mm</t>
  </si>
  <si>
    <t>Ruffo es una luminaria de exterior con LED integrado. Fabricado en acero. Su
 diseño moderno proporciona una iluminación uniforme y elegante, ideal para
 realzar fachadas y espacios al aire libre.</t>
  </si>
  <si>
    <t>6639Fotodetalle.png,6639FotoDetalle0.jpg,6639FotoDetalle1.jpg,6639Fotodetalle3.png,6639Fotodetalle4.png,6639Fotodetalle5.png,6639Fotoproducto.png</t>
  </si>
  <si>
    <t>Ficha Técnica - RUFFO.pdf</t>
  </si>
  <si>
    <t>RUFFO.ldt</t>
  </si>
  <si>
    <t>6639-cad.dwg</t>
  </si>
  <si>
    <t>6639-6694dibujo.webp</t>
  </si>
  <si>
    <t>6639-curvacono.webp,6639-curvapolar.webp</t>
  </si>
  <si>
    <t>OKTA</t>
  </si>
  <si>
    <t>191 lm</t>
  </si>
  <si>
    <t>32 lm/W</t>
  </si>
  <si>
    <t>115 x 32 x 115 mm</t>
  </si>
  <si>
    <t>6641Fotoproducto0.png</t>
  </si>
  <si>
    <t>6641Fotodetalle.png,6641FotoDetalle0.jpg,6641FotoDetalle1.jpg,6641Fotodetalle1.png,6641FotoDetalle2.jpg,6641Fotodetalle2.png,6641FotoDetalle3.jpg,6641Fotodetalle3.png,6641FotoDetalle4.jpg,6641Fotodetalle4.png</t>
  </si>
  <si>
    <t>Ficha Técnica - OKTA.pdf</t>
  </si>
  <si>
    <t>OKTA.ldt</t>
  </si>
  <si>
    <t>6641-cad.dwg</t>
  </si>
  <si>
    <t>6641dibujo.webp</t>
  </si>
  <si>
    <t>6641-curvacono.webp,6641-curvapolar.webp</t>
  </si>
  <si>
    <t>SCALA</t>
  </si>
  <si>
    <t>25 lm</t>
  </si>
  <si>
    <t>4 lm/W</t>
  </si>
  <si>
    <t>45°</t>
  </si>
  <si>
    <t>65 x 45 x 210 mm</t>
  </si>
  <si>
    <t>60 x 200 mm</t>
  </si>
  <si>
    <t>Luminaria de exterior con LED integrado, diseñada para embutir. Fabricado en
 aluminio. Ofrece iluminación eficiente y discreta, ideal para realzar espacios
 al aire libre con un diseño moderno y resistente.</t>
  </si>
  <si>
    <t>6642Fotoproducto0.png</t>
  </si>
  <si>
    <t>6642Fotodetalle0.png,6642Fotodetalle1.png,6642Fotodetalle2.png,6642FotoDetalle3.jpg,6642Fotoproducto1.jpg,6642Fotoproducto2.png</t>
  </si>
  <si>
    <t>Ficha Técnica - SCALA.pdf</t>
  </si>
  <si>
    <t>SCALA.ldt</t>
  </si>
  <si>
    <t>6642-cad.dwg</t>
  </si>
  <si>
    <t>6642dibujo.webp</t>
  </si>
  <si>
    <t>6642-curvacono.webp,6642-curvapolar.webp</t>
  </si>
  <si>
    <t>ESTACA</t>
  </si>
  <si>
    <t>Ø35 x 168 mm</t>
  </si>
  <si>
    <t>Conectores para cable exterior. Su diseño estanco garantiza hermeticidad
 frente al ingreso de agua y polvo. Ideal para luminarias y sistemas de
 iluminación en condiciones exigentes.</t>
  </si>
  <si>
    <t>6643FotoProducto0.png</t>
  </si>
  <si>
    <t>6643FotoDetalle0.jpg,6643FotoDetalle1.jpg</t>
  </si>
  <si>
    <t>Ficha Técnica - ESTACA.pdf</t>
  </si>
  <si>
    <t>6643dibujo.webp</t>
  </si>
  <si>
    <t>HOUSING 1EF</t>
  </si>
  <si>
    <t>42 x 20 x 1000 (Ancho x Alto x Largo) mm</t>
  </si>
  <si>
    <t>37 x 1000 mm</t>
  </si>
  <si>
    <t>40 mm</t>
  </si>
  <si>
    <t>Rieles para embutir en techo, disponible en versiones de 1 y 3 efectos. Su
 diseño versátil y disponible en varias longitudes permite una integración
 discreta y funcional en distintos espacios.</t>
  </si>
  <si>
    <t>6644-6646-6648FotoProducto0.png</t>
  </si>
  <si>
    <t>6644-6646-6648.png,6644-6646-6648FotoDetalle0.jpg</t>
  </si>
  <si>
    <t>6644-6645-cad.dwg</t>
  </si>
  <si>
    <t>HOUSING 1EF 1MT NG</t>
  </si>
  <si>
    <t>42 x 20 x 1000 mm</t>
  </si>
  <si>
    <t>HOUSING 1EF 1MT BL</t>
  </si>
  <si>
    <t>6645-6647-6649FotoProducto0.png</t>
  </si>
  <si>
    <t>6645-6647-6649.png</t>
  </si>
  <si>
    <t>HOUSING 1EF 2MTS NG</t>
  </si>
  <si>
    <t>42 x 20 x 2000 mm</t>
  </si>
  <si>
    <t>37 x 2000 mm</t>
  </si>
  <si>
    <t>6646-6647-cad.dwg</t>
  </si>
  <si>
    <t>HOUSING 1EF 2MTS BL</t>
  </si>
  <si>
    <t>HOUSING 1EF 3MTS NG</t>
  </si>
  <si>
    <t>42 x 20 x 3000 mm</t>
  </si>
  <si>
    <t>37 x 3000 mm</t>
  </si>
  <si>
    <t>6648-6649-cad.dwg</t>
  </si>
  <si>
    <t>HOUSING 1EF 3MTS BL</t>
  </si>
  <si>
    <t>HOUSING 3EF</t>
  </si>
  <si>
    <t>42 x 36 x 1000 mm</t>
  </si>
  <si>
    <t>36 x 1000 mm</t>
  </si>
  <si>
    <t>56 mm</t>
  </si>
  <si>
    <t>6650-6652-6654FotoProducto0.png</t>
  </si>
  <si>
    <t>6650-6652-6654.png,6650-6652-6654FotoDetalle0.jpg,6650-6652-6654FotoDetalle1.jpg</t>
  </si>
  <si>
    <t>6650-6651-cad.dwg</t>
  </si>
  <si>
    <t>HOUSING 3EF 1MT NG</t>
  </si>
  <si>
    <t>HOUSING 3EF 1MT BL</t>
  </si>
  <si>
    <t>6651-6653-6655FotoProducto0.png</t>
  </si>
  <si>
    <t>6651-6653-6655.png,6651-6653-6655FotoDetalle0.jpg,6651-6653-6655FotoDetalle1.jpg</t>
  </si>
  <si>
    <t>HOUSING 3EF 2MTS NG</t>
  </si>
  <si>
    <t>42 x 36 x 2000 mm</t>
  </si>
  <si>
    <t>36 x 2000 mm</t>
  </si>
  <si>
    <t>6652-6653-cad.dwg</t>
  </si>
  <si>
    <t>HOUSING 3EF 2MTS BL</t>
  </si>
  <si>
    <t>HOUSING 3EF 3MTS NG</t>
  </si>
  <si>
    <t>42 x 36 x 3000 mm</t>
  </si>
  <si>
    <t>36 x 3000 mm</t>
  </si>
  <si>
    <t>6654-6655-cad.dwg</t>
  </si>
  <si>
    <t>HOUSING 3EF 3MTS BL</t>
  </si>
  <si>
    <t>DYNA</t>
  </si>
  <si>
    <t>Lineal</t>
  </si>
  <si>
    <t>CREE</t>
  </si>
  <si>
    <t>12,5 W</t>
  </si>
  <si>
    <t>1875 lm</t>
  </si>
  <si>
    <t>135 lm/W</t>
  </si>
  <si>
    <t>1200 lm</t>
  </si>
  <si>
    <t>96 lm/W</t>
  </si>
  <si>
    <t>2700/3300/4000 K</t>
  </si>
  <si>
    <t>33 x 60 x 600 (Ancho x Alto x Largo) mm</t>
  </si>
  <si>
    <t>-20℃ a 45℃</t>
  </si>
  <si>
    <t>Dyna es una familia de lineales. Su sistema LED de luz blanca dinámica permite
 elegir entre tres temperaturas de color. Fabricado en aluminio. Con accesorios en
 forma de L, T, Y, X y Techo-Pared, y el conector entre tramos, ofrece la flexibilidad
 necesaria para adaptar la iluminación a diversas disposiciones.(Switch (3CCT):2700K/3300K/4000K)</t>
  </si>
  <si>
    <t>6656FotoProducto0.png</t>
  </si>
  <si>
    <t>6656.png,6656FotoDetalle0.jpg,6656FotoDetalle1.jpg,6656FotoDetalle2.jpg</t>
  </si>
  <si>
    <t>DYNA 60.ldt</t>
  </si>
  <si>
    <t>6656-6657-cad.dwg</t>
  </si>
  <si>
    <t>6656-6657dibujo.webp</t>
  </si>
  <si>
    <t>6656-6657-curvacono.webp,6656-6657-curvapolar.webp</t>
  </si>
  <si>
    <t>DYNA 60 BL</t>
  </si>
  <si>
    <t>60cm</t>
  </si>
  <si>
    <t>33 x 60 x 600 mm</t>
  </si>
  <si>
    <t>50.000hs (L80)</t>
  </si>
  <si>
    <t>DYNA 60 NG</t>
  </si>
  <si>
    <t>6657FotoProducto0.png</t>
  </si>
  <si>
    <t>6657.png,6657FotoDetalle0.jpg,6657FotoDetalle1.jpg,6657FotoDetalle2.jpg,6657FotoDetalle3.jpg,6657FotoDetalle4.jpg,6657FotoDetalle5.jpg,6657FotoDetalle6.jpg,6657FotoDetalle7.jpg,6657FotoDetalle8.jpg</t>
  </si>
  <si>
    <t>DYNA 120 BL</t>
  </si>
  <si>
    <t>120cm</t>
  </si>
  <si>
    <t>25 W</t>
  </si>
  <si>
    <t>3750 lm</t>
  </si>
  <si>
    <t>2400 lm</t>
  </si>
  <si>
    <t>33 x 60 x 1200 mm</t>
  </si>
  <si>
    <t>6658FotoProducto0.png</t>
  </si>
  <si>
    <t>6658.png,6658FotoDetalle0.jpg,6658FotoDetalle1.jpg,6658FotoDetalle2.jpg</t>
  </si>
  <si>
    <t>DYNA 120.ldt</t>
  </si>
  <si>
    <t>6658-6659-cad.dwg</t>
  </si>
  <si>
    <t>6658-6659dibujo.webp</t>
  </si>
  <si>
    <t>6658-6659-curvacono.webp,6658-6659-curvapolar.webp</t>
  </si>
  <si>
    <t>DYNA 120 NG</t>
  </si>
  <si>
    <t>6659FotoProducto0.png</t>
  </si>
  <si>
    <t>6659.png,6659FotoDetalle0.jpg,6659FotoDetalle1.jpg,6659FotoDetalle2.jpg,6659FotoDetalle3.jpg</t>
  </si>
  <si>
    <t>DYNA 180 BL</t>
  </si>
  <si>
    <t>180cm</t>
  </si>
  <si>
    <t>37,5 W</t>
  </si>
  <si>
    <t>5625 lm</t>
  </si>
  <si>
    <t>3600 lm</t>
  </si>
  <si>
    <t>33 x 60 x 1800 mm</t>
  </si>
  <si>
    <t>6660FotoProducto0.png</t>
  </si>
  <si>
    <t>6660.png,6660FotoDetalle0.jpg,6660FotoDetalle1.jpg,6660FotoDetalle2.jpg,6660FotoDetalle3.png,6660FotoDetalle4.png,6660FotoDetalle5.png,6660FotoDetalle6.png,6660FotoDetalle8.png,6660FotoDetalle9.jpg</t>
  </si>
  <si>
    <t>DYNA 180.ldt</t>
  </si>
  <si>
    <t>6660-6661-cad.dwg</t>
  </si>
  <si>
    <t>6660-6661dibujo.webp</t>
  </si>
  <si>
    <t>6660-6661-curvacono.webp,6660-6661-curvapolar.webp</t>
  </si>
  <si>
    <t>DYNA 180 NG</t>
  </si>
  <si>
    <t>6661FotoProducto0.png</t>
  </si>
  <si>
    <t>6661.png,6661FotoDetalle0.jpg,6661FotoDetalle1.jpg,6661FotoDetalle2.jpg,6661FotoDetalle3.jpg</t>
  </si>
  <si>
    <t>DYNA 240 BL</t>
  </si>
  <si>
    <t>240cm</t>
  </si>
  <si>
    <t>50 W</t>
  </si>
  <si>
    <t>7500 lm</t>
  </si>
  <si>
    <t>4800 lm</t>
  </si>
  <si>
    <t>33 x 60 x 2400 mm</t>
  </si>
  <si>
    <t>6662FotoProducto0.png</t>
  </si>
  <si>
    <t>6662.png,6662FotoDetalle0.jpg,6662FotoDetalle1.jpg,6662FotoDetalle2.jpg</t>
  </si>
  <si>
    <t>DYNA 240.ldt</t>
  </si>
  <si>
    <t>6662-6663-cad.dwg</t>
  </si>
  <si>
    <t>6662-6663dibujo.webp</t>
  </si>
  <si>
    <t>DYNA 240 NG</t>
  </si>
  <si>
    <t>6663FotoProducto0.png</t>
  </si>
  <si>
    <t>6663.png,6663FotoDetalle0.jpg,6663FotoDetalle1.jpg,6663FotoDetalle2.jpg,6663FotoDetalle3.jpg</t>
  </si>
  <si>
    <t>DYNA PERFIL</t>
  </si>
  <si>
    <t>33 x 60 x 1000 (Ancho x Alto x Largo) mm</t>
  </si>
  <si>
    <t>6664FotoProducto0.png</t>
  </si>
  <si>
    <t>6664FotoDetalle0.png</t>
  </si>
  <si>
    <t>DYNA PERFIL 1MT BL</t>
  </si>
  <si>
    <t>33 x 60 x 1000 mm</t>
  </si>
  <si>
    <t>DYNA VACIO</t>
  </si>
  <si>
    <t>DYNA PERFIL 1MT NG</t>
  </si>
  <si>
    <t>6665FotoProducto0.png</t>
  </si>
  <si>
    <t>6665FotoDetalle0.png</t>
  </si>
  <si>
    <t>KIT EMBUTIR DYNA</t>
  </si>
  <si>
    <t>95 mm</t>
  </si>
  <si>
    <t>6668FotoProducto0.png</t>
  </si>
  <si>
    <t>KIT APLIQUE DYNA</t>
  </si>
  <si>
    <t>6669FotoProducto0.png</t>
  </si>
  <si>
    <t>6669FotoProducto2.png</t>
  </si>
  <si>
    <t>KIT UNION DYNA</t>
  </si>
  <si>
    <t>6670FotoProducto0.png</t>
  </si>
  <si>
    <t>6670FotoProducto2.png</t>
  </si>
  <si>
    <t>DYNA UNION T</t>
  </si>
  <si>
    <t>19 W</t>
  </si>
  <si>
    <t>2800 lm</t>
  </si>
  <si>
    <t>1600 lm</t>
  </si>
  <si>
    <t>84 lm/W</t>
  </si>
  <si>
    <t>567 x 300 x 60 mm</t>
  </si>
  <si>
    <t>6671FotoProducto0.png</t>
  </si>
  <si>
    <t>6671FotoDetalle0.jpg,6671FotoProducto1.png</t>
  </si>
  <si>
    <t>UNION T DYNA.ldt</t>
  </si>
  <si>
    <t>6671-6672-cad.dwg</t>
  </si>
  <si>
    <t>6671-6672dibujo.webp</t>
  </si>
  <si>
    <t>6671-6672-curvapolar.webp</t>
  </si>
  <si>
    <t>DYNA UNION T BL</t>
  </si>
  <si>
    <t>DYNA UNION T NG</t>
  </si>
  <si>
    <t>6672FotoProducto0.png</t>
  </si>
  <si>
    <t>6672FotoDetalle0.jpg,6672FotoDetalle1.jpg,6672FotoProducto1.png,6672FotoProducto2.png</t>
  </si>
  <si>
    <t>DYNA UNION X</t>
  </si>
  <si>
    <t>2120 lm</t>
  </si>
  <si>
    <t>85 lm/W</t>
  </si>
  <si>
    <t>567 x 567 x 60 mm</t>
  </si>
  <si>
    <t>6673FotoProducto0.png</t>
  </si>
  <si>
    <t>6673FotoDetalle0.jpg,6673FotoProducto1.png</t>
  </si>
  <si>
    <t>UNION X DYNA.ldt</t>
  </si>
  <si>
    <t>6673-6674-cad.dwg</t>
  </si>
  <si>
    <t>6673-6674dibujo.webp</t>
  </si>
  <si>
    <t>6673-6674-curvapolar.webp</t>
  </si>
  <si>
    <t>DYNA UNION X BL</t>
  </si>
  <si>
    <t>DYNA UNION X NG</t>
  </si>
  <si>
    <t>6674FotoProducto0.png</t>
  </si>
  <si>
    <t>6674FotoDetalle0.jpg,6674FotoDetalle1.jpg,6674FotoProducto1.png,6674FotoProducto2.png</t>
  </si>
  <si>
    <t>DYNA UNION L</t>
  </si>
  <si>
    <t>1150 lm</t>
  </si>
  <si>
    <t>92 lm/W</t>
  </si>
  <si>
    <t>300 x 300 x 60 mm</t>
  </si>
  <si>
    <t>6675FotoProducto0.png</t>
  </si>
  <si>
    <t>6675FotoDetalle0.jpg,6675FotoProducto1.png</t>
  </si>
  <si>
    <t>UNION L DYNA.ldt</t>
  </si>
  <si>
    <t>6675-6676-cad.dwg</t>
  </si>
  <si>
    <t>6675-6676dibujo.webp</t>
  </si>
  <si>
    <t>6675-6679-7020-7021-curvapolar.webp</t>
  </si>
  <si>
    <t>DYNA UNION L BL</t>
  </si>
  <si>
    <t>DYNA UNION L NG</t>
  </si>
  <si>
    <t>6676FotoProducto0.png</t>
  </si>
  <si>
    <t>6676FotoDetalle0.jpg,6676FotoDetalle1.jpg,6676FotoProducto1.png,6676FotoProducto2.png,6676FotoProducto3.png</t>
  </si>
  <si>
    <t>OPTIC</t>
  </si>
  <si>
    <t>LED COB</t>
  </si>
  <si>
    <t>253 lm</t>
  </si>
  <si>
    <t>2700 K</t>
  </si>
  <si>
    <t>64°</t>
  </si>
  <si>
    <t>Ø52 x 35 mm</t>
  </si>
  <si>
    <t>Ø41 mm</t>
  </si>
  <si>
    <t>Mini spot con LED integrado, diseñado para una iluminación focalizada y
 precisa. Fabricado en aluminio. Su tamaño compacto permiten resaltar
 detalles arquitectónicos o decorativos con eficiencia y estilo.</t>
  </si>
  <si>
    <t>6677FotoProducto0.png</t>
  </si>
  <si>
    <t>6677FotoDetalle0.jpg,6677FotoDetalle1.jpg,6677FotoDetalle2.jpg,6677FotoDetalle3.jpg,6677FotoProducto1.png</t>
  </si>
  <si>
    <t>Ficha técnica - OPTIC.pdf</t>
  </si>
  <si>
    <t>OPTIC.ldt</t>
  </si>
  <si>
    <t>6677-6678-cad.dwg</t>
  </si>
  <si>
    <t>6677-7129-6678-7128dibujo.webp</t>
  </si>
  <si>
    <t>6677-7129-6678-7128-curvacono.webp,6677-7129-6678-7128-curvapolar.webp</t>
  </si>
  <si>
    <t>OPTIC BL 2700K</t>
  </si>
  <si>
    <t>Si</t>
  </si>
  <si>
    <t>MINI SPOT OPTIC</t>
  </si>
  <si>
    <t>OPTIC NG 2700K</t>
  </si>
  <si>
    <t>6678FotoProducto0.png</t>
  </si>
  <si>
    <t>6678FotoDetalle0.jpg,6678FotoDetalle1.jpg,6678FotoDetalle2.jpg,6678FotoProducto1.png</t>
  </si>
  <si>
    <t>UKI</t>
  </si>
  <si>
    <t>95 x 95 x 55 mm</t>
  </si>
  <si>
    <t>110 * mm</t>
  </si>
  <si>
    <t>Uki es un Spot de techo para embutir de uso fijo. Hecho a partir de Policarbonato
 (PC). Ideal para una iluminación focalizada y versátil.</t>
  </si>
  <si>
    <t>6679FotoProducto0.png</t>
  </si>
  <si>
    <t>Ficha técnica - Uki.pdf</t>
  </si>
  <si>
    <t>UKI I BL</t>
  </si>
  <si>
    <t>110 *</t>
  </si>
  <si>
    <t>UKI I NG</t>
  </si>
  <si>
    <t>6680FotoProducto0.png</t>
  </si>
  <si>
    <t>UKI I BLNG</t>
  </si>
  <si>
    <t>6681FotoProducto0.png</t>
  </si>
  <si>
    <t>ASA</t>
  </si>
  <si>
    <t>Asa es un Spot de techo para embutir de uso fijo. Hecho a partir de Policarbonato
 (PC). Ideal para una iluminación focalizada y versátil.</t>
  </si>
  <si>
    <t>6682FotoProducto0.png</t>
  </si>
  <si>
    <t>Ficha técnica - Asa.pdf</t>
  </si>
  <si>
    <t>ASA I BL</t>
  </si>
  <si>
    <t>ASA I BLNG</t>
  </si>
  <si>
    <t>6683FotoProducto0.png</t>
  </si>
  <si>
    <t>ASA I NG</t>
  </si>
  <si>
    <t>6684FotoProducto0.png</t>
  </si>
  <si>
    <t>AKE I NG</t>
  </si>
  <si>
    <t>6685FotoProducto0.png</t>
  </si>
  <si>
    <t>TAPA DYNA</t>
  </si>
  <si>
    <t>33 x 60 x 3 (Ancho x Alto x Prof) mm</t>
  </si>
  <si>
    <t>6686FotoProducto0.png</t>
  </si>
  <si>
    <t>6686FotoDetalle0.jpg</t>
  </si>
  <si>
    <t>TAPA DYNA BL</t>
  </si>
  <si>
    <t>33 x 60 x 3 mm</t>
  </si>
  <si>
    <t>TAPA DYNA NG</t>
  </si>
  <si>
    <t>6687FotoProducto0.png</t>
  </si>
  <si>
    <t>6687FotoDetalle0.jpg</t>
  </si>
  <si>
    <t>ALIMENTACION CENTRAL 1EF</t>
  </si>
  <si>
    <t>80 x 35 x 22 mm</t>
  </si>
  <si>
    <t>6688FotoProducto0.png</t>
  </si>
  <si>
    <t>6688FotoProducto1.png</t>
  </si>
  <si>
    <t>ALIMENTACION CENTRAL 1EF BL</t>
  </si>
  <si>
    <t>ALIMENTACION CENTRAL 1EF NG</t>
  </si>
  <si>
    <t>6689FotoProducto0.png</t>
  </si>
  <si>
    <t>6689FotoProducto1.png</t>
  </si>
  <si>
    <t>GUM</t>
  </si>
  <si>
    <t>Proyector</t>
  </si>
  <si>
    <t>150 lm</t>
  </si>
  <si>
    <t>50 lm/W</t>
  </si>
  <si>
    <t>24°</t>
  </si>
  <si>
    <t>Aplicar, Estaca</t>
  </si>
  <si>
    <t>Ø42 x 90 mm</t>
  </si>
  <si>
    <t>Luminaria de exterior con LED integrado. Fabricado en aluminio. Su diseño
 resistente y moderno la hace ideal para realzar y ambientar espacios al
 aire libre. Puede instalarse con estaca en suelo.</t>
  </si>
  <si>
    <t>6690Fotoproducto0.png</t>
  </si>
  <si>
    <t>6690Fotodetalle.png,6690FotoDetalle0.jpg,6690FotoDetalle1.jpg,6690Fotodetalle1.png,6690FotoDetalle2.jpg,6690Fotodetalle2.png,6690Fotodetalle3.png,6690Fotoproducto.png,6690FotoProducto1.png</t>
  </si>
  <si>
    <t>Ficha Técnica - GUM.pdf</t>
  </si>
  <si>
    <t>GUM.ldt</t>
  </si>
  <si>
    <t>6690-cad.dwg</t>
  </si>
  <si>
    <t>6690dibujo.webp</t>
  </si>
  <si>
    <t>6690-curvacono.webp,6690-curvapolar.webp</t>
  </si>
  <si>
    <t>DRIVER TRIAC</t>
  </si>
  <si>
    <t>TRIAC</t>
  </si>
  <si>
    <t>30 W</t>
  </si>
  <si>
    <t>242 x 30 x 21 mm</t>
  </si>
  <si>
    <t>-20℃ a 50℃</t>
  </si>
  <si>
    <t>6691FotoProducto0.png</t>
  </si>
  <si>
    <t>Ficha Técnica - Dyna DRIVERS.pdf</t>
  </si>
  <si>
    <t>DRIVER TRIAC 30W</t>
  </si>
  <si>
    <t>DRIVER DALI 30W</t>
  </si>
  <si>
    <t>DALI</t>
  </si>
  <si>
    <t>6692.png,6692FotoProducto0.jpg</t>
  </si>
  <si>
    <t>KIT APLIQUE PARED DYNA</t>
  </si>
  <si>
    <t>6693FotoProducto0.png</t>
  </si>
  <si>
    <t>6693FotoDetalle1.jpg,6693FotoProducto1.png</t>
  </si>
  <si>
    <t>RUFFO GU10</t>
  </si>
  <si>
    <t>Es una luminaria de exterior compatible con lámparas GU10. Fabricado en
 acero. Su estructura resistente garantiza durabilidad, mientras que su diseño
 moderno aporta un toque de elegancia a cualquier ambiente exterior.</t>
  </si>
  <si>
    <t>6694FotoProducto0.png</t>
  </si>
  <si>
    <t>6694Fotodetalle.png,6694FotoDetalle0.jpg,6694Fotodetalle2.png,6694Fotodetalle3.png,6694Fotodetalle5.png,6694FotoDetalle6.jpg,6694FotoDetalle7.jpg,6694FotoProducto1.png,6694FotoProducto2.jpg</t>
  </si>
  <si>
    <t>Ficha Técnica - RUFFO GU10.pdf</t>
  </si>
  <si>
    <t>6694-cad.dwg</t>
  </si>
  <si>
    <t>YUKON</t>
  </si>
  <si>
    <t>2,2 W</t>
  </si>
  <si>
    <t>4 lm</t>
  </si>
  <si>
    <t>2 lm/W</t>
  </si>
  <si>
    <t>17°</t>
  </si>
  <si>
    <t>40 x 43,5 x 65 mm</t>
  </si>
  <si>
    <t>31 x 56 mm</t>
  </si>
  <si>
    <t>41 mm</t>
  </si>
  <si>
    <t>Luminaria de exterior con LED integrado, apta para embutir. Fabricado en
 aluminio. Su diseño versátil y resistente brinda una iluminación eficiente,
 ideal para realzar y ambientar espacios al aire libre.</t>
  </si>
  <si>
    <t>6695Fotoproducto0.png</t>
  </si>
  <si>
    <t>6695FotoDetalle0.jpg,6695Fotodetalle1.png</t>
  </si>
  <si>
    <t>Ficha Técnica - YUKON.pdf</t>
  </si>
  <si>
    <t>YUKON.ldt</t>
  </si>
  <si>
    <t>6695-6696-cad.dwg</t>
  </si>
  <si>
    <t>6695-6696dibujo.webp</t>
  </si>
  <si>
    <t>6695-6696-curvacono.webp,6695-6696-curvapolar.webp</t>
  </si>
  <si>
    <t>YUKON BL</t>
  </si>
  <si>
    <t>YUKON NG</t>
  </si>
  <si>
    <t>6696FotoProducto0.png</t>
  </si>
  <si>
    <t>6696FotoDetalle0.jpg,6696Fotodetalle0.png,6696Fotodetalle1.png,6696FotoProducto3.png,6696Fotoproducto4.png</t>
  </si>
  <si>
    <t>FLORON LINEAL</t>
  </si>
  <si>
    <t>Ø110 x 25 mm</t>
  </si>
  <si>
    <t>6697FotoProducto0.png</t>
  </si>
  <si>
    <t>FLORON LINEAL NG</t>
  </si>
  <si>
    <t>FLORON LINEAL BL</t>
  </si>
  <si>
    <t>6698FotoProducto0.png</t>
  </si>
  <si>
    <t>DYNA UNION TECHO PARED</t>
  </si>
  <si>
    <t>975 lm</t>
  </si>
  <si>
    <t>78 lm/W</t>
  </si>
  <si>
    <t>Embutir, Aplicar</t>
  </si>
  <si>
    <t>300 x 300 x 33 mm</t>
  </si>
  <si>
    <t>6699FotoProducto0.png</t>
  </si>
  <si>
    <t>6699FotoDetalle0.jpg,6699FotoProducto1.png</t>
  </si>
  <si>
    <t>UNION TECHO PARED DYNA.ldt</t>
  </si>
  <si>
    <t>6699-6700dibujo.webp</t>
  </si>
  <si>
    <t>6700-6699-curvapolar.webp</t>
  </si>
  <si>
    <t>DYNA UNION TECHO PARED NG</t>
  </si>
  <si>
    <t>DYNA UNION TECHO PARED BL</t>
  </si>
  <si>
    <t>Dyna EM es una familia de lineales para embutir. Su sistema LED de luz blanca
 dinámica permite elegir entre tres temperaturas de color. Fabricado en Aluminio.
 Cuenta con uniones en forma de L que ofrecen la flexibilidad para adaptar la
 iluminación a diversas disposiciones.(Switch (3CCT):2700K/3300K/4000K)</t>
  </si>
  <si>
    <t>6700FotoProducto0.png</t>
  </si>
  <si>
    <t>6700FotoDetalle0.jpg,6700FotoProducto1.png</t>
  </si>
  <si>
    <t>FOCO AR111</t>
  </si>
  <si>
    <t>Ø117 x 131 mm</t>
  </si>
  <si>
    <t>Cabezal orientable y universal. Cuenta con rosca GU10 para AR111. Apto
 para instalación en riel o para aplicar en superficie. Fabricado en acero. Su
 movilidad lo vuelve ideal para destacar elementos decorativos.</t>
  </si>
  <si>
    <t>6701FotoProducto0.png</t>
  </si>
  <si>
    <t>6701FotoDetalle1.jpg,6701FotoDetalle2.jpg,6701FotoDetalle3.jpg,6701FotoDetalle4.jpg,6701FotoDetalle5.jpg,6701FotoProducto0 (2).png,6701FotoProducto0 (3).png,6701FotoProducto1.png,6701FotoProducto3.png</t>
  </si>
  <si>
    <t>Ficha Técnica - AR111.pdf</t>
  </si>
  <si>
    <t>6701-6702-cad.dwg</t>
  </si>
  <si>
    <t>6701-6702dibujo.webp</t>
  </si>
  <si>
    <t>FOCO AR111 BL</t>
  </si>
  <si>
    <t>FOCO AR111 NG</t>
  </si>
  <si>
    <t>6702FotoProducto0.png</t>
  </si>
  <si>
    <t>6702FotoDetalle0.jpg,6702FotoDetalle1.jpg,6702FotoDetalle2.jpg,6702FotoDetalle3.jpg,6702FotoDetalle4.jpg,6702FotoProducto1.png,6702FotoProducto2.png,6702FotoProducto3.png,6702FotoProducto4.png</t>
  </si>
  <si>
    <t>SINTRA BL 2700K</t>
  </si>
  <si>
    <t>3250 lm</t>
  </si>
  <si>
    <t>72 lm/W</t>
  </si>
  <si>
    <t>120°</t>
  </si>
  <si>
    <t>6712FotoProducto0.png</t>
  </si>
  <si>
    <t>SINTRA 2700</t>
  </si>
  <si>
    <t>SINTRA BL 2700K.ldt</t>
  </si>
  <si>
    <t>6712-cad.dwg</t>
  </si>
  <si>
    <t>YORK BL 2700K</t>
  </si>
  <si>
    <t>2700 lm</t>
  </si>
  <si>
    <t>60 lm/W</t>
  </si>
  <si>
    <t>6714FotoProducto0.png</t>
  </si>
  <si>
    <t>YORK 2700</t>
  </si>
  <si>
    <t>YORK 2700K.ldt</t>
  </si>
  <si>
    <t>6714-6715-cad.dwg</t>
  </si>
  <si>
    <t>6615-6714-6711-6614-6715-curvacono.webp,6615-6714-6711-6614-6715-curvapolar.webp,6714-6715-curvapolar.webp</t>
  </si>
  <si>
    <t>YORK NG 2700K</t>
  </si>
  <si>
    <t>2785 lm</t>
  </si>
  <si>
    <t>62 lm/W</t>
  </si>
  <si>
    <t>6715FotoProducto0.png</t>
  </si>
  <si>
    <t>KIT SUSPENSIÓN SINTRA/YORK</t>
  </si>
  <si>
    <t>Cable y Tensor 1,5mts
Florón: Ø120 x 25 mm</t>
  </si>
  <si>
    <t>6716FotoProducto0.png</t>
  </si>
  <si>
    <t>SINTRA.ldt,YORK.ldt</t>
  </si>
  <si>
    <t>KIT SUSPENSIÓN SINTRA/YORK BL</t>
  </si>
  <si>
    <t>Cable y Tensor 1,5mts Florón: Ø120 x 25 mm</t>
  </si>
  <si>
    <t>MOMO</t>
  </si>
  <si>
    <t>49 W</t>
  </si>
  <si>
    <t>1185 lm</t>
  </si>
  <si>
    <t>24 lm/W</t>
  </si>
  <si>
    <t>360°</t>
  </si>
  <si>
    <t>910 x 35 x 90 mm</t>
  </si>
  <si>
    <t>Aplique de exterior con LED integrado, disponible en tres tamaños. Fabricado
 en aluminio. Su diseño moderno y resistente ofrece una iluminación eficiente,
 ideal para realzar y ambientar espacios al aire libre.</t>
  </si>
  <si>
    <t>6718FotoProducto0.png</t>
  </si>
  <si>
    <t>6718FotoDetalle0.jpg,6718FotoDetalle1.jpg,6718FotoDetalle2.jpg,6718FotoDetalle3.jpg,6718FotoDetalle4.jpg,6718FotoProducto1.png,6718FotoProducto2.png</t>
  </si>
  <si>
    <t>Ficha Técnica - MOMO EXT.pdf</t>
  </si>
  <si>
    <t>MOMO III.ldt</t>
  </si>
  <si>
    <t>6718-6719-cad.dwg</t>
  </si>
  <si>
    <t>6718-6719dibujo.webp</t>
  </si>
  <si>
    <t>6718-6719-curvacono.webp,6718-6719-curvapolar.webp</t>
  </si>
  <si>
    <t>MOMO III BL</t>
  </si>
  <si>
    <t>MOMO III NG</t>
  </si>
  <si>
    <t>6719FotoProducto0.png</t>
  </si>
  <si>
    <t>6719FotoDetalle0.jpg,6719FotoDetalle1.jpg,6719FotoDetalle2.jpg,6719FotoDetalle3.jpg,6719FotoProducto1.png,6719FotoProducto2.png</t>
  </si>
  <si>
    <t>MOMO II BL</t>
  </si>
  <si>
    <t>36 W</t>
  </si>
  <si>
    <t>1100 lm</t>
  </si>
  <si>
    <t>610 x 35 x 90 mm</t>
  </si>
  <si>
    <t>6720FotoProducto0.png</t>
  </si>
  <si>
    <t>6720FotoDetalle0.jpg,6720FotoDetalle1.jpg,6720FotoDetalle2.jpg,6720FotoDetalle4.jpg,6720FotoProducto1.png,6720FotoProducto2.png</t>
  </si>
  <si>
    <t>MOMO II.ldt</t>
  </si>
  <si>
    <t>6720-6721-cad.dwg</t>
  </si>
  <si>
    <t>6720-6721dibujo.webp</t>
  </si>
  <si>
    <t>6720-6721-curvacono.webp,6720-6721-curvapolar.webp</t>
  </si>
  <si>
    <t>MOMO II NG</t>
  </si>
  <si>
    <t>6721FotoProducto0.png</t>
  </si>
  <si>
    <t>6721FotoDetalle0.jpg,6721FotoDetalle1.jpg,6721FotoDetalle2.jpg,6721FotoProducto1.png,6721FotoProducto2.png</t>
  </si>
  <si>
    <t>ADAPTADOR HEMBRA 1EF</t>
  </si>
  <si>
    <t>6722FotoProducto0.png</t>
  </si>
  <si>
    <t>ADAPTADOR HEMBRA 1EF NG</t>
  </si>
  <si>
    <t>ADAPTADOR HEMBRA 1EF BL</t>
  </si>
  <si>
    <t>6723FotoProducto0.png</t>
  </si>
  <si>
    <t>MOMO I BL</t>
  </si>
  <si>
    <t>765 lm</t>
  </si>
  <si>
    <t>460 x 35 x 90 mm</t>
  </si>
  <si>
    <t>6724FotoProducto0.png</t>
  </si>
  <si>
    <t>6724FotoDetalle0.jpg,6724FotoDetalle1.jpg,6724FotoDetalle2.jpg,6724FotoDetalle4.jpg,6724FotoProducto1.png,6724FotoProducto2.png</t>
  </si>
  <si>
    <t>MOMO I.ldt</t>
  </si>
  <si>
    <t>6724-6725-cad.dwg</t>
  </si>
  <si>
    <t>6724-6725dibujo.webp</t>
  </si>
  <si>
    <t>6724-6725-curvacono.webp,6724-6725-curvapolar.webp</t>
  </si>
  <si>
    <t>MOMO I NG</t>
  </si>
  <si>
    <t>6725FotoProducto0.png</t>
  </si>
  <si>
    <t>6725FotoDetalle0.jpg,6725FotoDetalle1.jpg,6725FotoDetalle2.jpg,6725FotoProducto1.png,6725FotoProducto2.png</t>
  </si>
  <si>
    <t>ADAPTADOR 2EF 2N</t>
  </si>
  <si>
    <t>72 x 32 x 55 mm</t>
  </si>
  <si>
    <t>6726FotoProducto0.png</t>
  </si>
  <si>
    <t>6726FotoProducto3.png</t>
  </si>
  <si>
    <t>ADAPTADOR 2EF 2N BL</t>
  </si>
  <si>
    <t>RIELES 2EF 2NEUTROS</t>
  </si>
  <si>
    <t>ADAPTADOR 2EF 2N NG</t>
  </si>
  <si>
    <t>6727FotoProducto0.png</t>
  </si>
  <si>
    <t>6727FotoProducto2.png</t>
  </si>
  <si>
    <t>DYNA UNION CABEZAL</t>
  </si>
  <si>
    <t>33 x 60 x 120 (Ancho x Alto x Largo) mm</t>
  </si>
  <si>
    <t>6734FotoProducto0.png</t>
  </si>
  <si>
    <t>6734FotoDetalle0.jpg,6734FotoDetalle1.jpg,6734FotoProducto1.png,6734FotoProducto2.png</t>
  </si>
  <si>
    <t>6734-6735dibujo.webp</t>
  </si>
  <si>
    <t>DYNA UNION CABEZAL BL</t>
  </si>
  <si>
    <t>33 x 60 x 120 mm</t>
  </si>
  <si>
    <t>DYNA UNION CABEZAL NG</t>
  </si>
  <si>
    <t>6735FotoProducto0.png</t>
  </si>
  <si>
    <t>6735FotoDetalle0.jpg,6735FotoDetalle1.jpg,6735FotoProducto2.png</t>
  </si>
  <si>
    <t>PRISMA</t>
  </si>
  <si>
    <t>910 lm</t>
  </si>
  <si>
    <t>76 lm/W</t>
  </si>
  <si>
    <t>3000/4000/6000 K</t>
  </si>
  <si>
    <t>110°</t>
  </si>
  <si>
    <t>Ø100 x 65 mm</t>
  </si>
  <si>
    <t>Aplique de techo con LED integrado, diseñado para brindar una iluminación eficiente y decorativa. Fabricado en aluminio. Cuenta con Switch para cambio de temperatura de color.(Switch (3CCT):3000K/4000K/6000K)</t>
  </si>
  <si>
    <t>6736FotoProducto0.png</t>
  </si>
  <si>
    <t>6736FotoDetalle0.jpg,6736FotoDetalle1.jpg,6736FotoDetalle2.jpg,6736FotoProducto1.png,6736FotoProducto2.png</t>
  </si>
  <si>
    <t>Ficha Técnica - PRISMA.pdf</t>
  </si>
  <si>
    <t>PRISMA.ldt</t>
  </si>
  <si>
    <t>6736-6737-cad.dwg</t>
  </si>
  <si>
    <t>6736-6737-7216-7217-7248dibujo.webp</t>
  </si>
  <si>
    <t>6736-6737-curvacono.webp,6736-6737-curvapolar.webp</t>
  </si>
  <si>
    <t>PRISMA NG</t>
  </si>
  <si>
    <t>PRISMA BL</t>
  </si>
  <si>
    <t>(Switch (3CCT):3000K/4000K/6000K)</t>
  </si>
  <si>
    <t>6737FotoProducto0.png</t>
  </si>
  <si>
    <t>6737FotoDetalle0.jpg,6737FotoDetalle1.jpg,6737FotoDetalle2.jpg,6737FotoProducto1.png,6737FotoProducto2.png</t>
  </si>
  <si>
    <t>SHIR</t>
  </si>
  <si>
    <t>270 lm</t>
  </si>
  <si>
    <t>54 lm/W</t>
  </si>
  <si>
    <t>&gt;95</t>
  </si>
  <si>
    <t>12-50°</t>
  </si>
  <si>
    <t>Ø30 x 200 mm</t>
  </si>
  <si>
    <t>Aplique de techo con LED integrado. Fabricado en aluminio. El regulador de ángulo
 permite ajustar la dirección de la luz según necesidad, brindando versatilidad en
 espacios interiores. *Opcional: Este producto también puede aplicarse en rieles
 con su respectivo adaptador y en lineales con unión cabezal Dyna.</t>
  </si>
  <si>
    <t>6738FotoProducto0.png</t>
  </si>
  <si>
    <t>6738FotoDetalle0.jpg,6738FotoDetalle1.jpg,6738FotoDetalle2.jpg,6738FotoDetalle3.jpg,6738FotoDetalle4.jpg,6738FotoDetalle5.jpg,6738FotoDetalle6.jpg,6738FotoProducto0 (2).png,6738FotoProducto0 (3).png,6738FotoProducto1.png</t>
  </si>
  <si>
    <t>Ficha Técnica - SHIR.pdf</t>
  </si>
  <si>
    <t>SHIR I.ldt</t>
  </si>
  <si>
    <t>6738-6739-cad.dwg</t>
  </si>
  <si>
    <t>6739-6738dibujo.webp</t>
  </si>
  <si>
    <t>6738-6739-curvacono.webp,6738-6739-curvapolar.webp</t>
  </si>
  <si>
    <t>SHIR I NG</t>
  </si>
  <si>
    <t>20cm</t>
  </si>
  <si>
    <t>SHIR I BL</t>
  </si>
  <si>
    <t>6739FotoProducto0.png</t>
  </si>
  <si>
    <t>6739FotoDetalle0.jpg,6739FotoDetalle1.jpg,6739FotoDetalle2.jpg,6739FotoDetalle3.jpg,6739FotoDetalle4.jpg,6739FotoProducto1.png,6739FotoProducto2.png,6739FotoProducto3.png,6739FotoProducto4.png</t>
  </si>
  <si>
    <t>SHIR II NG</t>
  </si>
  <si>
    <t>50cm</t>
  </si>
  <si>
    <t>Ø30 x 500 mm</t>
  </si>
  <si>
    <t>6740FotoProducto0.png</t>
  </si>
  <si>
    <t>6740FotoDetalle0.jpg,6740FotoDetalle1.jpg,6740FotoDetalle2.jpg,6740FotoDetalle3.jpg,6740FotoDetalle4.jpg,6740FotoDetalle5.jpg.jpg,6740FotoProducto0 (2).png,6740FotoProducto0 (3).png,6740FotoProducto1.png,6740FotoProducto2.png</t>
  </si>
  <si>
    <t>SHIR II.ldt</t>
  </si>
  <si>
    <t>6740-6741-cad.dwg</t>
  </si>
  <si>
    <t>6741-6740dibujo.webp</t>
  </si>
  <si>
    <t>6741-6740-curvacono.webp,6741-6740-curvapolar.webp</t>
  </si>
  <si>
    <t>SHIR II BL</t>
  </si>
  <si>
    <t>6741FotoProducto0.png</t>
  </si>
  <si>
    <t>6741FotoDetalle0.jpg,6741FotoDetalle1.jpg,6741FotoDetalle2.jpg,6741FotoDetalle3.jpg,6741FotoDetalle4.jpg,6741FotoProducto0 (2).png,6741FotoProducto0 (3).png,6741FotoProducto2.png</t>
  </si>
  <si>
    <t>CHILL</t>
  </si>
  <si>
    <t>Chill</t>
  </si>
  <si>
    <t>Estacas</t>
  </si>
  <si>
    <t>280 lm</t>
  </si>
  <si>
    <t>56 lm/W</t>
  </si>
  <si>
    <t>15 / 24 / 36°</t>
  </si>
  <si>
    <t>&lt; 14</t>
  </si>
  <si>
    <t>Ø40 x 100 mm</t>
  </si>
  <si>
    <t>Vidrio y Acrílico</t>
  </si>
  <si>
    <t>Proyector de exterior con LED integrado. Incluye estaca y lente de 36°
 incorporada, además de dos lentes intercambiables de 15° y 24°, para
 adaptarse a distintas configuraciones. Su diseño está pensado para realzar
 sectores en espacios al aire libre.</t>
  </si>
  <si>
    <t>6742-6743-6744-6745-7303-7304FotoProducto0.png</t>
  </si>
  <si>
    <t>6742-6743-6744-6745-7303-7304FotoDetalle0.png,6742-6743-6744-6745-7303-7304FotoDetalle1.jpg,6742-6743-6744-6745-7303-7304FotoDetalle2.jpg,6742-6743-6744-6745-7303-7304FotoDetalle3.png,6742-6743-6744-6745-7303-7304FotoProducto2.png,6742-6743-6744-6745-7303-7304FotoProducto3.png</t>
  </si>
  <si>
    <t>Ficha Técnica - CHILL.pdf</t>
  </si>
  <si>
    <t>CHILL 5W 15°.ldt,CHILL 5W 24°.ldt,CHILL 5W 36°.ldt</t>
  </si>
  <si>
    <t>6742-6743-7303-cad.dwg</t>
  </si>
  <si>
    <t>6742-6743-6744-6745-7303-7304dibujo.webp</t>
  </si>
  <si>
    <t>6742-6743-6744-6745-7303-7304-curvacono.webp,6742-6743-6744-6745-7303-7304-curvapolar.webp</t>
  </si>
  <si>
    <t>CHILL 5W 220V 2700K</t>
  </si>
  <si>
    <t>CHILL 5W 220V 3000K</t>
  </si>
  <si>
    <t>CHILL 5W 24V 2700K</t>
  </si>
  <si>
    <t>24Vdc</t>
  </si>
  <si>
    <t>Clase lll</t>
  </si>
  <si>
    <t>6744-6745-7304-cad.dwg</t>
  </si>
  <si>
    <t>CHILL 5W 24V 3000K</t>
  </si>
  <si>
    <t>CHILL 10W 220V 2700K</t>
  </si>
  <si>
    <t>675 lm</t>
  </si>
  <si>
    <t>68 lm/W</t>
  </si>
  <si>
    <t>&lt; 16</t>
  </si>
  <si>
    <t>Ø60 x 135 mm</t>
  </si>
  <si>
    <t>6746-6747-6748-6749-7305-7306FotoProducto0.png</t>
  </si>
  <si>
    <t>6746-6747-6748-6749-7305-7306FotoDetalle0.jpg,6746-6747-6748-6749-7305-7306FotoDetalle1.jpg,6746-6747-6748-6749-7305-7306FotoDetalle2.png,6746-6747-6748-6749-7305-7306FotoDetalle3.jpg,6746-6747-6748-6749-7305-7306FotoProducto1.png</t>
  </si>
  <si>
    <t>CHILL 10W 15°.ldt,CHILL 10W 24°.ldt,CHILL 10W 36°.ldt</t>
  </si>
  <si>
    <t>6746-6747-7305-cad.dwg</t>
  </si>
  <si>
    <t>6746-6747-6748-6749-7305-7306dibujo.webp</t>
  </si>
  <si>
    <t>6746-6747-6748-6749-7305-7306-curvacono.webp,6746-6747-6748-6749-7305-7306-curvapolar.webp</t>
  </si>
  <si>
    <t>CHILL 10W 220V 3000K</t>
  </si>
  <si>
    <t>CHILL 10W 24V 2700K</t>
  </si>
  <si>
    <t>6748-6749-7306-cad.dwg</t>
  </si>
  <si>
    <t>CHILL 10W 24V 3000K</t>
  </si>
  <si>
    <t>CHILL 20W 220V 2700K</t>
  </si>
  <si>
    <t>20 W</t>
  </si>
  <si>
    <t>1075 lm</t>
  </si>
  <si>
    <t>Ø75 x 165 mm</t>
  </si>
  <si>
    <t>6750-6813-6814-6815-7304-7308FotoProducto0.png</t>
  </si>
  <si>
    <t>6750-6813-6814-6815-7304-7308FotoDetalle0.jpg,6750-6813-6814-6815-7304-7308FotoDetalle1.png,6750-6813-6814-6815-7304-7308FotoDetalle2.jpg,6750-6813-6814-6815-7304-7308FotoDetalle3.jpg,6750-6813-6814-6815-7304-7308FotoProducto1.png</t>
  </si>
  <si>
    <t>CHILL 20W 15°.ldt,CHILL 20W 24°.ldt,CHILL 20W 36°.ldt</t>
  </si>
  <si>
    <t>6750-6813-7307-cad.dwg</t>
  </si>
  <si>
    <t>6750-6813-6814-6815-7307-7308dibujo.webp</t>
  </si>
  <si>
    <t>6750-6813-6814-6815-7307-7308-curvacono.webp,6750-6813-6814-6815-7307-7308-curvapolar.webp</t>
  </si>
  <si>
    <t>LEIA</t>
  </si>
  <si>
    <t>1015 lm</t>
  </si>
  <si>
    <t>97°</t>
  </si>
  <si>
    <t>Ø130 x 600 mm</t>
  </si>
  <si>
    <t>Bolardo de exterior con LED integrado,apto para anclaje en piso. Fabricado en
 aluminio y difusor de vidrio. El módulo LED puede rotar 360°, permitiendo
 direccionar la luz según las necesidades del espacio.</t>
  </si>
  <si>
    <t>6751Fotoproducto0.png</t>
  </si>
  <si>
    <t>6751Fotodetalle.png,6751FotoDetalle0.jpg,6751FotoDetalle1.jpg,6751Fotodetalle1.png,6751FotoDetalle2.jpg,6751Fotodetalle2.png,6751FotoDetalle3.jpg,6751FotoDetalle4.jpg,6751FotoProducto1.png,6751FotoProducto2.png</t>
  </si>
  <si>
    <t>Ficha Técnica - LEIA.pdf</t>
  </si>
  <si>
    <t>LEIA.ldt</t>
  </si>
  <si>
    <t>6751-cad.dwg</t>
  </si>
  <si>
    <t>6751dibujo.webp</t>
  </si>
  <si>
    <t>6751-curvacono.webp,6751-curvapolar.webp</t>
  </si>
  <si>
    <t>MUSK</t>
  </si>
  <si>
    <t>7 W</t>
  </si>
  <si>
    <t>410 lm</t>
  </si>
  <si>
    <t>192°</t>
  </si>
  <si>
    <t>Ø40 x 510 mm</t>
  </si>
  <si>
    <t>250 mm</t>
  </si>
  <si>
    <t>Estaca de exterior con LED integrado, fabricado en aluminio y difusor de
 acrílico. Su diseño moderno ofrece iluminación eficiente y adaptable a
 distintos espacios al aire libre.</t>
  </si>
  <si>
    <t>6752Fotoproducto0.png</t>
  </si>
  <si>
    <t>6752Fotodetalle.png,6752FotoDetalle0.jpg,6752FotoDetalle1.jpg,6752Fotodetalle1.png,6752Fotodetalle2.png,6752Fotodetalle3.png,6752Fotodetalle4.png,6752FotoProducto1.png,6752FotoProducto2.png</t>
  </si>
  <si>
    <t>Ficha Técnica - MUSK.pdf</t>
  </si>
  <si>
    <t>MUSK.ldt</t>
  </si>
  <si>
    <t>6752-cad.dwg</t>
  </si>
  <si>
    <t>6752dibujo.webp</t>
  </si>
  <si>
    <t>6752-curvacono.webp,6752-curvapolar.webp</t>
  </si>
  <si>
    <t>PIER F</t>
  </si>
  <si>
    <t>465 lm</t>
  </si>
  <si>
    <t>47 lm/W</t>
  </si>
  <si>
    <t>50 x 50 x 600 (Base ⃞ 100)</t>
  </si>
  <si>
    <t>Bolardo de exterior con LED integrado, diseñado para anclaje en piso.
 Fabricado en aluminio y difusor de aclílico, su diseño proporciona una
 iluminación eficiente y adaptable a diversos entornos al aire libre.</t>
  </si>
  <si>
    <t>6755Fotodetalle.png,6755FotoDetalle0.jpg,6755Fotodetalle1.png,6755Fotodetalle2.png,6755Fotodetalle3.png,6755Fotodetalle4.png,6755Fotoproducto.png,6755FotoProducto1.png</t>
  </si>
  <si>
    <t>Ficha Técnica - PIER F.pdf</t>
  </si>
  <si>
    <t>PIER F.ldt</t>
  </si>
  <si>
    <t>6755-cad.dwg</t>
  </si>
  <si>
    <t>6755dibujo.webp</t>
  </si>
  <si>
    <t>6755-curvacono.webp,6755-curvapolar.webp</t>
  </si>
  <si>
    <t>MORGAN</t>
  </si>
  <si>
    <t>567 lm</t>
  </si>
  <si>
    <t>133°</t>
  </si>
  <si>
    <t>Ø150 x 600 mm</t>
  </si>
  <si>
    <t>Bolardo de exterior con LED integrado,apto para anclaje en piso. Fabricado
 en aluminio y difusor de acrílico, su diseño proporciona una iluminación
 eficiente y adaptable a diversos entornos al aire libre.</t>
  </si>
  <si>
    <t>6756Fotoproducto0.png</t>
  </si>
  <si>
    <t>6756Fotodetalle.png,6756FotoDetalle0.jpg,6756Fotodetalle1.png,6756Fotodetalle2.png,6756Fotodetalle3.png,6756Fotodetalle4.png,6756FotoProducto1.png</t>
  </si>
  <si>
    <t>Ficha Técnica - MORGAN.pdf</t>
  </si>
  <si>
    <t>MORGAN.ldt</t>
  </si>
  <si>
    <t>6756-cad.dwg</t>
  </si>
  <si>
    <t>6756dibujo.webp</t>
  </si>
  <si>
    <t>6756-curvacono.webp,6756-curvapolar.webp</t>
  </si>
  <si>
    <t>LEX</t>
  </si>
  <si>
    <t>28°</t>
  </si>
  <si>
    <t>Ø120 x 35 mm</t>
  </si>
  <si>
    <t>Aplique de exterior con LED integrado. Apto para anclar al piso. Fabricado
 en aluminio y difusor de vidrio, su diseño compacto proporciona una
 iluminación eficiente y adaptable a diversos entornos al aire libre.</t>
  </si>
  <si>
    <t>6757-6817FotoProducto0.png</t>
  </si>
  <si>
    <t>6757-6817FotoDetalle0.jpg,6757-6817FotoDetalle2.jpg,6757-6817FotoDetalle3.jpg,6757-6817FotoDetalle4.jpg,6757-6817FotoProducto1.png,6757-6817FotoProducto3.png,6757-6817FotoProducto4.png,6757-6817FotoProducto5.png,6757-6817FotoProducto6.png</t>
  </si>
  <si>
    <t>Ficha Técnica - LEX.pdf</t>
  </si>
  <si>
    <t>LEX.ldt</t>
  </si>
  <si>
    <t>6757-cad.dwg</t>
  </si>
  <si>
    <t>6757-6817dibujo.webp</t>
  </si>
  <si>
    <t>6757-6817curvacono.webp,6757-6817curvapolar.webp</t>
  </si>
  <si>
    <t>LEX 220V</t>
  </si>
  <si>
    <t>ELON</t>
  </si>
  <si>
    <t>0.9</t>
  </si>
  <si>
    <t>7 lm</t>
  </si>
  <si>
    <t>187°</t>
  </si>
  <si>
    <t>Ø64 x 80 mm</t>
  </si>
  <si>
    <t>Ø52 mm</t>
  </si>
  <si>
    <t>82 mm</t>
  </si>
  <si>
    <t>6758-6818FotoProducto0.png</t>
  </si>
  <si>
    <t>6758-6818FotoDetalle0.png,6758-6818FotoDetalle3.png,6758-6818FotoDetalle5.png,6758-6818FotoDetalle6.png,6758-6818FotoDetalle7.png,6758-6818FotoProducto2.png,6758-6818FotoProducto3.png,6758-6818FotoProducto4.png</t>
  </si>
  <si>
    <t>Ficha Técnica - ELON.pdf</t>
  </si>
  <si>
    <t>ELON.ldt</t>
  </si>
  <si>
    <t>6758-cad.dwg</t>
  </si>
  <si>
    <t>6758-6818dibujo.webp</t>
  </si>
  <si>
    <t>6758-6818curvacono.webp,6758-6818curvapolar.webp</t>
  </si>
  <si>
    <t>Embutido de piso con LED integrado. Fabricado en aluminio. Incluye una pieza
 de protección que mejora su resistencia frente a la intemperie y asegura un
 funcionamiento confiable en espacios abiertos.</t>
  </si>
  <si>
    <t>KIM</t>
  </si>
  <si>
    <t>13 lm</t>
  </si>
  <si>
    <t>35°</t>
  </si>
  <si>
    <t>Ø50 x 76 mm</t>
  </si>
  <si>
    <t>Ø40 mm</t>
  </si>
  <si>
    <t>75 mm</t>
  </si>
  <si>
    <t>6759-6819FotoProducto0.png</t>
  </si>
  <si>
    <t>6759-6819FotoDetalle0.png,6759-6819FotoDetalle1.jpg,6759-6819FotoDetalle3.png,6759-6819FotoDetalle5.png,6759-6819FotoDetalle7.png,6759-6819FotoDetalle8.png,6759-6819FotoDetalle9.png,6759-6819FotoProducto1.png,6759-6819FotoProducto3.png,6759-6819FotoProducto4.png</t>
  </si>
  <si>
    <t>Ficha Técnica - KIM.pdf</t>
  </si>
  <si>
    <t>KIM I.ldt</t>
  </si>
  <si>
    <t>6759-cad.dwg</t>
  </si>
  <si>
    <t>6759-6819dibujo.webp</t>
  </si>
  <si>
    <t>6759-6819-curvacono.webp,6759-6819-curvapolar.webp</t>
  </si>
  <si>
    <t>KIM I</t>
  </si>
  <si>
    <t>KIM II</t>
  </si>
  <si>
    <t>24 lm</t>
  </si>
  <si>
    <t>8 lm/W</t>
  </si>
  <si>
    <t>225°</t>
  </si>
  <si>
    <t>6760-6820FotoProducto0.png</t>
  </si>
  <si>
    <t>6760-6820FotoDetalle0.png,6760-6820FotoDetalle1.jpg,6760-6820FotoDetalle3.png,6760-6820FotoDetalle5.png,6760-6820FotoDetalle7.png,6760-6820FotoDetalle8.png,6760-6820FotoProducto2.png,6760-6820FotoProducto3.png,6760-6820FotoProducto4.png,6760-6820FotoProducto5.png</t>
  </si>
  <si>
    <t>KIM II.ldt</t>
  </si>
  <si>
    <t>6760-cad.dwg</t>
  </si>
  <si>
    <t>6760-6820dibujo.webp</t>
  </si>
  <si>
    <t>6760-6820-curvacono.webp,6760-6820-curvapular.webp</t>
  </si>
  <si>
    <t>LOUTA</t>
  </si>
  <si>
    <t>0.47</t>
  </si>
  <si>
    <t>530 lm</t>
  </si>
  <si>
    <t>44 lm/W</t>
  </si>
  <si>
    <t>77°</t>
  </si>
  <si>
    <t>Ø90 x 350 mm</t>
  </si>
  <si>
    <t>6761Fotoproducto0.png</t>
  </si>
  <si>
    <t>6761FotoDetalle0.jpg,6761Fotodetalle1.png,6761Fotodetalle2.png,6761Fotodetalle3.png,6761Fotodetalle4.png,6761Fotodetalle5.png,6761Fotodetalle6.png,6761Fotodetalle7.png,6761Fotodetalle8.png,6761Fotodetalle9.png</t>
  </si>
  <si>
    <t>Ficha Técnica - LOUTA.pdf</t>
  </si>
  <si>
    <t>LOUTA 35.ldt</t>
  </si>
  <si>
    <t>6761-cad.dwg</t>
  </si>
  <si>
    <t>6761dibujo.webp</t>
  </si>
  <si>
    <t>6761-curvacono.webp,6761-curvapolar.webp</t>
  </si>
  <si>
    <t>LOUTA 35</t>
  </si>
  <si>
    <t>Bolardo de exterior con LED integrado, apto para anclaje en piso. Fabricado en
 aluminio y difusor de Policarbonato (PC). Este producto cuenta con una pieza
 giratoria, que permite orientar la luz según las necesidades del espacio.</t>
  </si>
  <si>
    <t>LOUTA 60</t>
  </si>
  <si>
    <t>Ø90 x 600 mm</t>
  </si>
  <si>
    <t>6762Fotoproducto0.png</t>
  </si>
  <si>
    <t>6762Fotodetalle0.png,6762Fotodetalle1.png,6762Fotodetalle2.png,6762Fotodetalle3.png,6762Fotodetalle4.png,6762Fotodetalle5.png,6762Fotodetalle6.png,6762Fotodetalle7.png,6762Fotodetalle8.png,6762FotoProducto1.png</t>
  </si>
  <si>
    <t>LOUTA 60.ldt</t>
  </si>
  <si>
    <t>6762-cad.dwg</t>
  </si>
  <si>
    <t>6762DIBUJO.webp</t>
  </si>
  <si>
    <t>6762-curvacono.webp,6762-curvapolar.webp</t>
  </si>
  <si>
    <t>KIT CHILL</t>
  </si>
  <si>
    <t>40cm</t>
  </si>
  <si>
    <t>Ø15 x 400 mm</t>
  </si>
  <si>
    <t>6763FotoProducto0.png</t>
  </si>
  <si>
    <t>KIT CHILL 40</t>
  </si>
  <si>
    <t>KIT CHILL 80</t>
  </si>
  <si>
    <t>80cm</t>
  </si>
  <si>
    <t>Ø15 x 800 mm</t>
  </si>
  <si>
    <t>6764FotoProducto0.png</t>
  </si>
  <si>
    <t>MIRACLE S</t>
  </si>
  <si>
    <t>Confort Visual</t>
  </si>
  <si>
    <t>LED SMD3030</t>
  </si>
  <si>
    <t>40 W</t>
  </si>
  <si>
    <t>2640 lm</t>
  </si>
  <si>
    <t>1200 x 70 x 16 mm</t>
  </si>
  <si>
    <t>5 Años</t>
  </si>
  <si>
    <t>Miracle es un colgante lineal con LED integrado, equipado con Driver
 Lifud. Fabricado en aluminio con difusor de acrílico. Incorpora Switch
 para cambio de temperatura lo que ofrece una iluminación adaptable a
 las distintas necesidades del espacio.(Switch (3CCT):2700K/3300K/4000K)</t>
  </si>
  <si>
    <t>6765FotoProducto0.png</t>
  </si>
  <si>
    <t>6765FotoDetalle0.jpg,6765FotoDetalle1.jpg,6765FotoDetalle2.jpg,6765FotoDetalle3.jpg,6765FotoDetalle4.jpg,6765FotoDetalle5.jpg,6765FotoProducto1.png</t>
  </si>
  <si>
    <t>Ficha Técnica - MIRACLE.pdf</t>
  </si>
  <si>
    <t>MIRACLE S.ldt</t>
  </si>
  <si>
    <t>6766-6765-cad.dwg</t>
  </si>
  <si>
    <t>6766-6765dibujo.webp</t>
  </si>
  <si>
    <t>6766-6765-curvacono.webp,6766-6765-curvapolar.webp</t>
  </si>
  <si>
    <t>MIRACLE S NG</t>
  </si>
  <si>
    <t>MIRACLE S BL</t>
  </si>
  <si>
    <t>(Switch (3CCT):2700K/3300K/4000K)</t>
  </si>
  <si>
    <t>6766FotoProducto0.png</t>
  </si>
  <si>
    <t>6766FotoDetalle0.jpg,6766FotoDetalle1.jpg,6766FotoDetalle2.jpg,6766FotoDetalle3.jpg,6766FotoDetalle4.jpg,6766FotoDetalle5.jpg,6766FotoProducto1.png</t>
  </si>
  <si>
    <t>BONY BL</t>
  </si>
  <si>
    <t>3030 lm</t>
  </si>
  <si>
    <t>Ø480 x 95 mm</t>
  </si>
  <si>
    <t>Plafón de techo con LED integrado. Fabricado en acero. Incorpora Switch
 para cambio de color. Su difusor con filtro panal de abeja garantiza confort
 visual. Compatible con kit de suspensión 4 tensores (opcional).(Switch (3CCT):3000K/4000K/6000K)</t>
  </si>
  <si>
    <t>6767Fotoproducto0.png</t>
  </si>
  <si>
    <t>6767FotoDetalle0.jpg,6767FotoDetalle1.jpg,6767FotoDetalle2.jpg,6767Fotoproducto.png,6767Fotoproducto1.jpg,6767Fotoproducto1.png,6767Fotoproducto2.png,6767Fotoproducto3.png,6767Fotoproducto4.png,6767Fotoproducto5.png</t>
  </si>
  <si>
    <t>Ficha Técnica - BONY.pdf</t>
  </si>
  <si>
    <t>BONY.ldt</t>
  </si>
  <si>
    <t>6767-cad.dwg</t>
  </si>
  <si>
    <t>6767dibujo.webp</t>
  </si>
  <si>
    <t>6767-curvacono.webp,6767-curvapolar.webp</t>
  </si>
  <si>
    <t>CARAMEL BLMD</t>
  </si>
  <si>
    <t>2250 lm</t>
  </si>
  <si>
    <t>Ø490 x 70 mm</t>
  </si>
  <si>
    <t>Blanco y Madera</t>
  </si>
  <si>
    <t>Plafón de techo con LED integrado. Fabricado en ABS. Incorpora Switch para cambio
 de temperatura de color, permitiendo adaptar la luz a distintos ambientes. Compatible
 con kit de suspensión 4 tensores (opcional).(Switch (3CCT):3000K/4000K/6000K)</t>
  </si>
  <si>
    <t>6768Fotoproducto0.png</t>
  </si>
  <si>
    <t>6768Fotodetalle.jpg,6768FotoDetalle0.jpg,6768Fotodetalle1.jpg,6768Fotoproducto1.jpg,6768Fotoproducto1.png,6768Fotoproducto2.png,6768Fotoproducto3.jpg</t>
  </si>
  <si>
    <t>Ficha Técnica - CARAMEL.pdf</t>
  </si>
  <si>
    <t>CARAMEL.ldt</t>
  </si>
  <si>
    <t>6768-cad.dwg</t>
  </si>
  <si>
    <t>6768dibujo.webp</t>
  </si>
  <si>
    <t>6768-curvacono.webp,6768-curvapolar.webp</t>
  </si>
  <si>
    <t>CHESTER</t>
  </si>
  <si>
    <t>Ø510 x 70 mm</t>
  </si>
  <si>
    <t>6769Fotoproducto0.png</t>
  </si>
  <si>
    <t>6769Fotodetalle.jpg,6769FotoDetalle0.jpg,6769Fotodetalle1.jpg,6769Fotoproducto1.jpg,6769Fotoproducto1.png,6769Fotoproducto2.png,6769Fotoproducto3.jpg</t>
  </si>
  <si>
    <t>Ficha Técnica - CHESTER.pdf</t>
  </si>
  <si>
    <t>CHESTER.ldt</t>
  </si>
  <si>
    <t>6769-6770-cad.dwg</t>
  </si>
  <si>
    <t>6769-6770dibujo.webp</t>
  </si>
  <si>
    <t>6769-6770-curvacono.webp,6769-6770-curvapolar.webp</t>
  </si>
  <si>
    <t>CHESTER BLMD</t>
  </si>
  <si>
    <t>CHESTER NGMD</t>
  </si>
  <si>
    <t>Negro y Madera</t>
  </si>
  <si>
    <t>6770Fotoproducto0.png</t>
  </si>
  <si>
    <t>6770Fotodetalle.jpg,6770FotoDetalle0.jpg,6770Fotodetalle1.jpg,6770Fotoproducto1.jpg,6770Fotoproducto1.png,6770Fotoproducto2.jpg,6770Fotoproducto3.png</t>
  </si>
  <si>
    <t>SMOKY</t>
  </si>
  <si>
    <t>2550 lm</t>
  </si>
  <si>
    <t>115°</t>
  </si>
  <si>
    <t>Ø500 x 95 mm</t>
  </si>
  <si>
    <t>Gris</t>
  </si>
  <si>
    <t>Plafón de techo con LED integrado. Fabricado en ABS. Incorpora Switch para cambio
 de color. Su difusor con filtro panal de abeja antideslumbrante garantiza confort
 visual. Compatible con kit de suspensión 4 tensores (opcional).(Switch (3CCT):3000K/4000K/6000K)</t>
  </si>
  <si>
    <t>6771Fotoproducto0.png</t>
  </si>
  <si>
    <t>6771Fotodetalle.jpg,6771FotoDetalle0.jpg,6771Fotodetalle1.jpg,6771Fotoproducto.png,6771Fotoproducto1.png,6771Fotoproducto2.png,6771Fotoproducto3.jpg,6771Fotoproducto3.png,6771Fotoproducto4.png,6771Fotoproducto6.png</t>
  </si>
  <si>
    <t>Ficha Técnica - SMOKY.pdf</t>
  </si>
  <si>
    <t>SMOKY.ldt</t>
  </si>
  <si>
    <t>6771-cad.dwg</t>
  </si>
  <si>
    <t>6771dibujo.webp</t>
  </si>
  <si>
    <t>6771-curvacono.webp,6771-curvapolar.webp</t>
  </si>
  <si>
    <t>LUKA BLMD</t>
  </si>
  <si>
    <t>1650 lm</t>
  </si>
  <si>
    <t>37 lm/W</t>
  </si>
  <si>
    <t>Ø510 x 85 mm</t>
  </si>
  <si>
    <t>6772Fotoproducto0.png</t>
  </si>
  <si>
    <t>6772Fotodetalle.jpg,6772FotoDetalle0.jpg,6772Fotodetalle1.jpg,6772Fotoproducto1.jpg,6772Fotoproducto1.png,6772Fotoproducto2.jpg,6772Fotoproducto3.png</t>
  </si>
  <si>
    <t>Ficha Técnica - LUKA.pdf</t>
  </si>
  <si>
    <t>LUKA.ldt</t>
  </si>
  <si>
    <t>6772-cad.dwg</t>
  </si>
  <si>
    <t>6772dibujo.webp</t>
  </si>
  <si>
    <t>6772-curvacono.webp,6772-curvapolar.webp</t>
  </si>
  <si>
    <t>CITY</t>
  </si>
  <si>
    <t>15 W</t>
  </si>
  <si>
    <t>550 lm</t>
  </si>
  <si>
    <t>Ø300 x 70 mm</t>
  </si>
  <si>
    <t>6773FotoProducto0.png</t>
  </si>
  <si>
    <t>6773FotoDetalle0.jpg,6773FotoDetalle1.jpg,6773FotoDetalle2.jpg,6773FotoDetalle3.jpg,6773FotoDetalle4.jpg,6773FotoDetalle5.jpg,6773FotoProducto1.png,6773FotoProducto2.png</t>
  </si>
  <si>
    <t>Ficha Técnica - CITY.pdf</t>
  </si>
  <si>
    <t>CITY 15W.ldt</t>
  </si>
  <si>
    <t>6773-6774-cad.dwg</t>
  </si>
  <si>
    <t>6773-6774dibujo.webp</t>
  </si>
  <si>
    <t>6773-6774-curvacono.webp,6773-6774-curvapolar.webp</t>
  </si>
  <si>
    <t>CITY BL 15W</t>
  </si>
  <si>
    <t>CITY NG 15W</t>
  </si>
  <si>
    <t>6774FotoProducto0.png</t>
  </si>
  <si>
    <t>6774FotoDetalle0.jpg,6774FotoDetalle1.jpg,6774FotoDetalle2.jpg,6774FotoDetalle3.jpg,6774FotoDetalle4.jpg,6774FotoDetalle5.jpg,6774FotoProducto1.png,6774FotoProducto2.png</t>
  </si>
  <si>
    <t>CITY BL 45W</t>
  </si>
  <si>
    <t>53 lm/W</t>
  </si>
  <si>
    <t>Ø500 x 70 mm</t>
  </si>
  <si>
    <t>6775FotoProducto0.png</t>
  </si>
  <si>
    <t>6775FotoDetalle0.jpg,6775FotoDetalle1.jpg,6775FotoDetalle2.jpg,6775FotoDetalle3.jpg,6775FotoDetalle4.jpg,6775FotoDetalle5.jpg,6775FotoProducto1.png,6775FotoProducto2.png</t>
  </si>
  <si>
    <t>CITY 45W.ldt</t>
  </si>
  <si>
    <t>6775-6776-6849-cad.dwg</t>
  </si>
  <si>
    <t>6775-6849-6776dibujo.webp</t>
  </si>
  <si>
    <t>6775-6776-6849curvacono.webp,6775-6776-6849curvapolar.webp</t>
  </si>
  <si>
    <t>CITY NG 45W</t>
  </si>
  <si>
    <t>6776FotoProducto0.png</t>
  </si>
  <si>
    <t>6776FotoDetalle0.jpg,6776FotoDetalle1.jpg,6776FotoDetalle2.jpg,6776FotoDetalle3.jpg,6776FotoDetalle4.jpg,6776FotoDetalle5.jpg,6776FotoProducto1.png,6776FotoProducto2.png</t>
  </si>
  <si>
    <t>CITY BL 55W</t>
  </si>
  <si>
    <t>55 W</t>
  </si>
  <si>
    <t>3150 lm</t>
  </si>
  <si>
    <t>Ø670 x 70 mm</t>
  </si>
  <si>
    <t>6777FotoProducto0.png</t>
  </si>
  <si>
    <t>6777FotoDetalle0.jpg,6777FotoDetalle1.jpg,6777FotoDetalle2.jpg,6777FotoDetalle3.jpg,6777FotoDetalle4.jpg,6777FotoDetalle5.jpg,6777FotoProducto1.png,6777FotoProducto2.png</t>
  </si>
  <si>
    <t>CITY 55W.ldt</t>
  </si>
  <si>
    <t>6777-6778-cad.dwg</t>
  </si>
  <si>
    <t>6777-6778dibujo.webp</t>
  </si>
  <si>
    <t>6777-6778-curvacono.webp,6777-6778-curvapolar.webp</t>
  </si>
  <si>
    <t>CITY NG 55W</t>
  </si>
  <si>
    <t>6778FotoProducto0.png</t>
  </si>
  <si>
    <t>6778FotoDetalle0.jpg,6778FotoDetalle1.jpg,6778FotoDetalle2.jpg,6778FotoDetalle3.jpg,6778FotoDetalle4.jpg,6778FotoDetalle5.jpg,6778FotoProducto1.png,6778FotoProducto2.png</t>
  </si>
  <si>
    <t>GALACTIC</t>
  </si>
  <si>
    <t>2050 lm</t>
  </si>
  <si>
    <t>46 lm/W</t>
  </si>
  <si>
    <t>500 x 500 x 70 mm</t>
  </si>
  <si>
    <t>6780Fotoproducto0.png</t>
  </si>
  <si>
    <t>6780Fotodetalle.jpg,6780FotoDetalle0.jpg,6780Fotodetalle1.jpg,6780Fotoproducto1.jpg,6780Fotoproducto1.png,6780Fotoproducto2.jpg,6780Fotoproducto3.png</t>
  </si>
  <si>
    <t>Ficha Técnica - GALACTIC.pdf</t>
  </si>
  <si>
    <t>GALACTIC.ldt</t>
  </si>
  <si>
    <t>6780-6781-6782-6783-cad.dwg</t>
  </si>
  <si>
    <t>6780-6781-6782-6783dibujo.webp</t>
  </si>
  <si>
    <t>6780-6782-6781-6783-curvacono.webp,6780-6782-6781-6783-curvapolar.webp</t>
  </si>
  <si>
    <t>GALACTIC BL 45W</t>
  </si>
  <si>
    <t>GALACTIC NG 45W</t>
  </si>
  <si>
    <t>6781Fotoproducto0.png</t>
  </si>
  <si>
    <t>6781Fotodetalle.jpg,6781FotoDetalle0.jpg,6781Fotodetalle1.jpg,6781Fotoproducto1.jpg,6781Fotoproducto1.png,6781Fotoproducto2.png,6781Fotoproducto3.jpg</t>
  </si>
  <si>
    <t>GALACTIC BLMD 45W</t>
  </si>
  <si>
    <t>6782Fotoproducto0.png</t>
  </si>
  <si>
    <t>6782Fotodetalle.jpg,6782FotoDetalle0.jpg,6782Fotodetalle1.jpg,6782Fotoproducto1.jpg,6782Fotoproducto1.png,6782Fotoproducto2.jpg,6782Fotoproducto3.png</t>
  </si>
  <si>
    <t>GALACTIC NGMD 45W</t>
  </si>
  <si>
    <t>6783Fotoproducto0.png</t>
  </si>
  <si>
    <t>6783Fotodetalle.jpg,6783FotoDetalle0.jpg,6783Fotodetalle1.jpg,6783FotoDetalle2.jpg,6783Fotoproducto1.png,6783Fotoproducto2.jpg,6783Fotoproducto2.png,6783Fotoproducto3.jpg</t>
  </si>
  <si>
    <t>SWEET</t>
  </si>
  <si>
    <t>135°</t>
  </si>
  <si>
    <t>Ø520 x 100 mm</t>
  </si>
  <si>
    <t>PVC</t>
  </si>
  <si>
    <t>Plafón de techo con LED integrado. Fabricado en acero. Incorpora Switch
 para cambio de temperatura de color, permitiendo adaptar la luz a distintos
 ambientes. Compatible con kit de suspensión 4 tensores (opcional).(Switch (3CCT):3000K/4000K/6000K)</t>
  </si>
  <si>
    <t>6784Fotoproducto0.png</t>
  </si>
  <si>
    <t>6784Fotodetalle.jpg,6784FotoDetalle0.jpg,6784Fotodetalle1.jpg,6784Fotoproducto1.jpg,6784Fotoproducto1.png,6784Fotoproducto2.png,6784Fotoproducto3.jpg</t>
  </si>
  <si>
    <t>Ficha Técnica - SWEET.pdf</t>
  </si>
  <si>
    <t>SWEET.ldt</t>
  </si>
  <si>
    <t>6784-6785-cad.dwg</t>
  </si>
  <si>
    <t>6784-6785dibujo.webp</t>
  </si>
  <si>
    <t>6784-6785-curvacono.webp,6784-6785-curvapolar.webp</t>
  </si>
  <si>
    <t>SWEET BL</t>
  </si>
  <si>
    <t>SWEET NG</t>
  </si>
  <si>
    <t>6785Fotoproducto0.png</t>
  </si>
  <si>
    <t>6785Fotodetalle.jpg,6785FotoDetalle0.jpg,6785Fotodetalle1.jpg,6785Fotoproducto1.jpg,6785Fotoproducto1.png,6785Fotoproducto2.jpg,6785Fotoproducto3.png</t>
  </si>
  <si>
    <t>BELA</t>
  </si>
  <si>
    <t>28 W</t>
  </si>
  <si>
    <t>1990 lm</t>
  </si>
  <si>
    <t>71 lm/W</t>
  </si>
  <si>
    <t>130°</t>
  </si>
  <si>
    <t>Ø520 x 120 mm</t>
  </si>
  <si>
    <t>Blanco y Dorado</t>
  </si>
  <si>
    <t>6786Fotoproducto0.png</t>
  </si>
  <si>
    <t>6786Fotodetalle.jpg,6786FotoDetalle0.jpg,6786FotoDetalle1.jpg,6786Fotoproducto.png,6786Fotoproducto1.jpg,6786Fotoproducto1.png,6786Fotoproducto2.jpg</t>
  </si>
  <si>
    <t>Ficha Técnica - BELA.pdf</t>
  </si>
  <si>
    <t>BELA.ldt</t>
  </si>
  <si>
    <t>6786-6787-cad.dwg</t>
  </si>
  <si>
    <t>6786-6787dibujo.webp</t>
  </si>
  <si>
    <t>6786-6787-curvacono.webp,6786-6787-curvapolar.webp</t>
  </si>
  <si>
    <t>BELA BLOR</t>
  </si>
  <si>
    <t>BELA NGOR</t>
  </si>
  <si>
    <t>Negro y Dorado</t>
  </si>
  <si>
    <t>6787Fotoproducto0.png</t>
  </si>
  <si>
    <t>6787Fotodetalle.jpg,6787FotoDetalle0.jpg,6787Fotodetalle1.jpg,6787Fotoproducto.png,6787Fotoproducto1.jpg,6787Fotoproducto1.png,6787Fotoproducto3.jpg,6787Fotoproducto4.jpg</t>
  </si>
  <si>
    <t>MARLEY</t>
  </si>
  <si>
    <t>1165 lm</t>
  </si>
  <si>
    <t>42 lm/W</t>
  </si>
  <si>
    <t>125°</t>
  </si>
  <si>
    <t>Ø450 x 200 mm</t>
  </si>
  <si>
    <t>6788Fotoproducto0.png</t>
  </si>
  <si>
    <t>6788Fotodetalle.jpg,6788FotoDetalle0.jpg,6788Fotodetalle1.jpg,6788Fotoproducto1.png,6788Fotoproducto2.jpg,6788Fotoproducto2.png,6788Fotoproducto3.jpg</t>
  </si>
  <si>
    <t>Ficha Técnica - MARLEY.pdf</t>
  </si>
  <si>
    <t>MARLEY.ldt</t>
  </si>
  <si>
    <t>6788-6789-cad.dwg</t>
  </si>
  <si>
    <t>6788-6789dibujo.webp</t>
  </si>
  <si>
    <t>6788-6789-curvacono.webp,6788-6789-curvapolar.webp</t>
  </si>
  <si>
    <t>MARLEY BL</t>
  </si>
  <si>
    <t>MARLEY NG</t>
  </si>
  <si>
    <t>6789Fotoproducto0.png</t>
  </si>
  <si>
    <t>6789Fotodetalle.jpg,6789FotoDetalle0.jpg,6789Fotodetalle1.jpg,6789FotoDetalle2.jpg,6789Fotoproducto1.jpg,6789Fotoproducto1.png,6789Fotoproducto2.png,6789Fotoproducto3.jpg</t>
  </si>
  <si>
    <t>NICHI</t>
  </si>
  <si>
    <t>Ø450 x 160 mm</t>
  </si>
  <si>
    <t>6790Fotoproducto0.png</t>
  </si>
  <si>
    <t>6790Fotodetalle.jpg,6790FotoDetalle0.jpg,6790Fotodetalle1.jpg,6790Fotoproducto1.jpg,6790Fotoproducto1.png,6790Fotoproducto2.png,6790Fotoproducto3.jpg</t>
  </si>
  <si>
    <t>Ficha Técnica - NICHI.pdf</t>
  </si>
  <si>
    <t>NICHI.ldt</t>
  </si>
  <si>
    <t>6790-6791-cad.dwg</t>
  </si>
  <si>
    <t>6790-6791dibujo.webp</t>
  </si>
  <si>
    <t>6790-6791-curvacono.webp,6790-6791-curvapolar.webp</t>
  </si>
  <si>
    <t>NICHI BL</t>
  </si>
  <si>
    <t>NICHI NG</t>
  </si>
  <si>
    <t>6791Fotoproducto0.png</t>
  </si>
  <si>
    <t>6791Fotodetalle.jpg,6791FotoDetalle0.jpg,6791Fotodetalle1.jpg,6791Fotoproducto1.jpg,6791Fotoproducto1.png,6791Fotoproducto2.jpg,6791Fotoproducto3.png</t>
  </si>
  <si>
    <t>PIETRO S</t>
  </si>
  <si>
    <t>22 W</t>
  </si>
  <si>
    <t>1550 lm</t>
  </si>
  <si>
    <t>70 lm/W</t>
  </si>
  <si>
    <t>Ø500 x 90 mm</t>
  </si>
  <si>
    <t>Colgante con LED integrado, equipado con Switch para cambio de
 temperatura de color. Fabricado en acero. Su diseño moderno ofrece
 iluminación eficiente y adaptable a distintos espacios.(Switch (3CCT):3000K/4000K/6000K)</t>
  </si>
  <si>
    <t>6792FotoProducto0.png</t>
  </si>
  <si>
    <t>6792FotoDetalle0.jpg,6792FotoDetalle1.jpg,6792FotoDetalle2.png,6792FotoProducto0.jpg,6792FotoProducto1.png</t>
  </si>
  <si>
    <t>Ficha Técnica - PIETRO S.pdf</t>
  </si>
  <si>
    <t>PIETRO S.ldt</t>
  </si>
  <si>
    <t>6792-6793-cad.dwg</t>
  </si>
  <si>
    <t>6792-6793dibujo.webp</t>
  </si>
  <si>
    <t>6792-6793-curvacono.webp,6792-6793-curvapolar.webp</t>
  </si>
  <si>
    <t>PIETRO S BL</t>
  </si>
  <si>
    <t>PIETRO</t>
  </si>
  <si>
    <t>PIETRO S NG</t>
  </si>
  <si>
    <t>6793FotoProducto0.png</t>
  </si>
  <si>
    <t>6793FotoDetalle0.jpg,6793FotoDetalle2.png,6793FotoProducto0.jpg,6793FotoProducto1.png,6793FotoProducto2.png</t>
  </si>
  <si>
    <t>CAMBOYA S</t>
  </si>
  <si>
    <t>980 lm</t>
  </si>
  <si>
    <t>35 lm/W</t>
  </si>
  <si>
    <t>Ø460 x 110 mm</t>
  </si>
  <si>
    <t>6794FotoProducto0.png</t>
  </si>
  <si>
    <t>6794FotoDetalle0.jpg,6794FotoDetalle1.jpg,6794FotoDetalle2.jpg,6794FotoProducto1.png,6794FotoProducto2.png</t>
  </si>
  <si>
    <t>Ficha Técnica - CAMBOYA.pdf</t>
  </si>
  <si>
    <t>CAMBOYA 28W.ldt</t>
  </si>
  <si>
    <t>6794-6795-cad.dwg</t>
  </si>
  <si>
    <t>6794-6795dibujo.webp</t>
  </si>
  <si>
    <t>6794-6795-curvacono.webp,6794-6795-curvapolar.webp</t>
  </si>
  <si>
    <t>CAMBOYA S BL 28W</t>
  </si>
  <si>
    <t>CAMBOYA S NG 28W</t>
  </si>
  <si>
    <t>6795FotoProducto0.png</t>
  </si>
  <si>
    <t>6795FotoDetalle0.jpg,6795FotoDetalle1.jpg,6795FotoDetalle2.jpg,6795FotoDetalle3.jpg,6795FotoProducto1.png</t>
  </si>
  <si>
    <t>CAMBOYA S BL 36W</t>
  </si>
  <si>
    <t>1950 lm</t>
  </si>
  <si>
    <t>150°</t>
  </si>
  <si>
    <t>Ø620 x 110 mm</t>
  </si>
  <si>
    <t>6796FotoProducto0.png</t>
  </si>
  <si>
    <t>CAMBOYA 36W.ldt</t>
  </si>
  <si>
    <t>6796-6797-cad.dwg</t>
  </si>
  <si>
    <t>6796-6797dibujo.webp</t>
  </si>
  <si>
    <t>6796-6797curvacono.webp,6796-6797curvapolar.webp</t>
  </si>
  <si>
    <t>CAMBOYA S NG 36W</t>
  </si>
  <si>
    <t>6797FotoProducto0.png</t>
  </si>
  <si>
    <t>DAKOTA</t>
  </si>
  <si>
    <t>705 lm</t>
  </si>
  <si>
    <t>Ø500 x 120 mm</t>
  </si>
  <si>
    <t>Plafón de techo con LED integrado. Fabricado en PVC. Incorpora Switch para cambio
 de temperatura de color, permitiendo adaptar la luz a distintos ambientes. Compatible
 con kit de suspensión 4 tensores (opcional).(Switch (3CCT):3000K/4000K/6000K)</t>
  </si>
  <si>
    <t>6798Fotoproducto0.png</t>
  </si>
  <si>
    <t>6798Fotodetalle.jpg,6798FotoDetalle0.jpg,6798Fotodetalle1.jpg,6798Fotoproducto1.jpg,6798Fotoproducto1.png,6798Fotoproducto2.png,6798Fotoproducto3.jpg</t>
  </si>
  <si>
    <t>Ficha Técnica - DAKOTA.pdf</t>
  </si>
  <si>
    <t>DAKOTA.ldt</t>
  </si>
  <si>
    <t>6798-6799-cad.dwg</t>
  </si>
  <si>
    <t>6798-6799dibujo.webp</t>
  </si>
  <si>
    <t>6798-6799-curvacono.webp,6798-6799-curvapolar.webp</t>
  </si>
  <si>
    <t>DAKOTA BLMD</t>
  </si>
  <si>
    <t>DAKOTA NGMD</t>
  </si>
  <si>
    <t>6799Fotoproducto0.png</t>
  </si>
  <si>
    <t>6799Fotodetalle.jpg,6799FotoDetalle0.jpg,6799Fotodetalle1.jpg,6799FotoDetalle2.jpg,6799Fotoproducto1.png,6799Fotoproducto2.jpg,6799Fotoproducto2.png,6799Fotoproducto3.jpg</t>
  </si>
  <si>
    <t>COSMO</t>
  </si>
  <si>
    <t>38 W</t>
  </si>
  <si>
    <t>Ø520 x 75 mm</t>
  </si>
  <si>
    <t>6800Fotoproducto0.png</t>
  </si>
  <si>
    <t>6800Fotodetalle.jpg,6800Fotoproducto1.jpg,6800Fotoproducto1.png,6800FotoProducto2.png</t>
  </si>
  <si>
    <t>Ficha Técnica - COSMO.pdf</t>
  </si>
  <si>
    <t>COSMO.ldt</t>
  </si>
  <si>
    <t>6800-6801-cad.dwg</t>
  </si>
  <si>
    <t>6800-6801dibujo.webp</t>
  </si>
  <si>
    <t>6800-6801-curvacono.webp,6800-6801-curvapolar.webp</t>
  </si>
  <si>
    <t>COSMO BL</t>
  </si>
  <si>
    <t>COSMO NG</t>
  </si>
  <si>
    <t>6801Fotoproducto0.png</t>
  </si>
  <si>
    <t>6801Fotodetalle.jpg,6801Fotoproducto1.jpg,6801Fotoproducto1.png,6801FotoProducto2.png</t>
  </si>
  <si>
    <t>ARKANSAS-3 S</t>
  </si>
  <si>
    <t>76 W</t>
  </si>
  <si>
    <t>7600 lm</t>
  </si>
  <si>
    <t>100 lm/W</t>
  </si>
  <si>
    <t>(Ø400/Ø600/Ø800) x 70 mm</t>
  </si>
  <si>
    <t>6802Fotoproducto0.png</t>
  </si>
  <si>
    <t>6802Fotodetalle.png,6802Fotodetalle1.png,6802Fotodetalle2.jpg,6802Fotodetalle3.jpg,6802FotoProducto0 (2).png,6802Fotoproducto0 (3).png,6802Fotoproducto1.jpg</t>
  </si>
  <si>
    <t>Ficha Técnica - ARKANSAS-3.pdf</t>
  </si>
  <si>
    <t>6802-6803-cad.dwg</t>
  </si>
  <si>
    <t>6802-6803dibujo.webp</t>
  </si>
  <si>
    <t>ARKANSAS-3 S BL</t>
  </si>
  <si>
    <t>ARKANSAS</t>
  </si>
  <si>
    <t>ARKANSAS-3 S NG</t>
  </si>
  <si>
    <t>6803Fotoproducto0.png</t>
  </si>
  <si>
    <t>6803Fotodetalle.png,6803FotoDetalle0.jpg,6803Fotodetalle1.png,6803Fotodetalle2.png,6803Fotoproducto1.jpg,6803Fotoproducto1.png</t>
  </si>
  <si>
    <t>ORI</t>
  </si>
  <si>
    <t>Ø93 x 51 mm</t>
  </si>
  <si>
    <t>Ori es un Spot de techo para embutir con movimiento, con rosca GU10 para
 dicroica. Hecho a partir de Policarbonato (PC). Ideal para una iluminación
 focalizada y versátil.</t>
  </si>
  <si>
    <t>6804FotoProducto0.png</t>
  </si>
  <si>
    <t>Ficha Técnica - ORI.pdf</t>
  </si>
  <si>
    <t>6804-6805-cad.dwg</t>
  </si>
  <si>
    <t>6804-6805dibujo.webp</t>
  </si>
  <si>
    <t>ORI I BL</t>
  </si>
  <si>
    <t>ORI I NG</t>
  </si>
  <si>
    <t>6805FotoProducto0.png</t>
  </si>
  <si>
    <t>OLU</t>
  </si>
  <si>
    <t>93 x 93 x 50 mm</t>
  </si>
  <si>
    <t>Olu es un Spot de techo para embutir con movimiento, con rosca GU10 para
 dicroica. Hecho a partir de Policarbonato (PC). Ideal para una iluminación
 focalizada y versátil.</t>
  </si>
  <si>
    <t>6806FotoProducto0.png</t>
  </si>
  <si>
    <t>Ficha Técnica - OLU.pdf</t>
  </si>
  <si>
    <t>6806-6807-cad.dwg</t>
  </si>
  <si>
    <t>6806-6807dibujo.webp</t>
  </si>
  <si>
    <t>OLU I BL</t>
  </si>
  <si>
    <t>OLU I NG</t>
  </si>
  <si>
    <t>6807FotoProducto0.png</t>
  </si>
  <si>
    <t>COBERTOR RIEL</t>
  </si>
  <si>
    <t>18 x 7 x 1000 (Ancho x Alto x Largo) mm</t>
  </si>
  <si>
    <t>6810FotoProducto0.png</t>
  </si>
  <si>
    <t>6810FotoDetalle0.jpg,6810FotoDetalle1.jpg,6810FotoProducto2.png</t>
  </si>
  <si>
    <t>COBERTOR RIEL 1MT BL</t>
  </si>
  <si>
    <t>18 x 7 x 1000 mm</t>
  </si>
  <si>
    <t>COBERTOR RIEL 1MT NG</t>
  </si>
  <si>
    <t>6811FotoProducto0.png</t>
  </si>
  <si>
    <t>6811FotoDetalle0.jpg,6811FotoDetalle1.jpg,6811FotoProducto2.png</t>
  </si>
  <si>
    <t>NEMA</t>
  </si>
  <si>
    <t>15 x 30 x 2000 mm</t>
  </si>
  <si>
    <t>Perfil de aluminio para interiores de roperos y placares. Fabricado en aluminio. Su
 diseño brinda una solución de iluminación funcional y discreta. Incluye accesorios
 para suspender: dos kits para aplicar (4 tapas y 4 soportes).</t>
  </si>
  <si>
    <t>6812FotoProducto0.png</t>
  </si>
  <si>
    <t>Ficha Técnica - NEMA.pdf</t>
  </si>
  <si>
    <t>CHILL 20W 220V 3000K</t>
  </si>
  <si>
    <t>CHILL 20W 24V 2700K</t>
  </si>
  <si>
    <t>6814-6815-7308-cad.dwg</t>
  </si>
  <si>
    <t>CHILL 20W 24V 3000K</t>
  </si>
  <si>
    <t>PIER W</t>
  </si>
  <si>
    <t>312 lm</t>
  </si>
  <si>
    <t>50 x 100 x 270 mm</t>
  </si>
  <si>
    <t>"Gal es un Spot de techo para embutir con movimiento, con rosca GU10 para
 AR111. Hecho a partir de Policarbonato (PC). Ideal para una iluminación
 focalizada y versátil."</t>
  </si>
  <si>
    <t>6816FotoProducto0.png</t>
  </si>
  <si>
    <t>6816Fotodetalle.png,6816FotoDetalle0.jpg,6816FotoDetalle1.jpg,6816Fotodetalle1.png,6816FotoDetalle2.jpg,6816Fotodetalle2.png,6816FotoDetalle3.jpg,6816Fotodetalle3.png,6816FotoDetalle4.jpg,6816Fotoproducto.png</t>
  </si>
  <si>
    <t>Ficha Técnica - PIER W.pdf</t>
  </si>
  <si>
    <t>PIER W.ldt</t>
  </si>
  <si>
    <t>6816-cad.dwg</t>
  </si>
  <si>
    <t>6816dibujo.webp</t>
  </si>
  <si>
    <t>6816-curvacono.webp,6816-curvapolar.webp</t>
  </si>
  <si>
    <t>LEX 24V</t>
  </si>
  <si>
    <t>Aplique de exterior con LED integrado. Apto para anclar al piso. Fabricado en
 aluminio y difusor de vidrio, su diseño compacto proporciona una iluminación
 adaptable a diversos entornos al aire libre, con un consumo de 125 mA.</t>
  </si>
  <si>
    <t>6817-cad.dwg</t>
  </si>
  <si>
    <t>ELON 24V</t>
  </si>
  <si>
    <t>Embutido de piso con LED integrado. Fabricado en aluminio. Incluye una pieza
 de protección que mejora su resistencia frente a la intemperie y asegura un
 funcionamiento confiable en espacios abiertos, con un consumo de 125 mA.</t>
  </si>
  <si>
    <t>6818-cad.dwg</t>
  </si>
  <si>
    <t>KIM I 24V</t>
  </si>
  <si>
    <t>6819-cad.dwg</t>
  </si>
  <si>
    <t>KIM II 24V</t>
  </si>
  <si>
    <t>6820-cad.dwg</t>
  </si>
  <si>
    <t>CORREA CHILL 3MTS</t>
  </si>
  <si>
    <t>4 cm x 3 mts</t>
  </si>
  <si>
    <t>Poliéster</t>
  </si>
  <si>
    <t>6821FotoProducto0.png</t>
  </si>
  <si>
    <t>BASE CORREA CHILL</t>
  </si>
  <si>
    <t>70 x 45 x 3 mm</t>
  </si>
  <si>
    <t>6822FotoProducto0.png</t>
  </si>
  <si>
    <t>CONECTOR 3 POLOS</t>
  </si>
  <si>
    <t>IP68</t>
  </si>
  <si>
    <t>Ø25 x 82 mm</t>
  </si>
  <si>
    <t>Nylon</t>
  </si>
  <si>
    <t>6823FotoProducto0.png</t>
  </si>
  <si>
    <t>6823FotoDetalle0.jpg,6823FotoDetalle1.jpg</t>
  </si>
  <si>
    <t>Ficha Técnica - CONECTOR.pdf</t>
  </si>
  <si>
    <t>CONECTOR T 3 POLOS</t>
  </si>
  <si>
    <t>105 x 70 x 25 mm</t>
  </si>
  <si>
    <t>6824FotoProducto0.png</t>
  </si>
  <si>
    <t>6824FotoDetalle0.jpg,6824FotoDetalle1.jpg</t>
  </si>
  <si>
    <t>SOPORTE KIT CHILL</t>
  </si>
  <si>
    <t>25 x 40 x 25 mm</t>
  </si>
  <si>
    <t>6825FotoProducto0.png</t>
  </si>
  <si>
    <t>MEX</t>
  </si>
  <si>
    <t>662 lm</t>
  </si>
  <si>
    <t>&lt; 18</t>
  </si>
  <si>
    <t>Ø55 x 150 mm</t>
  </si>
  <si>
    <t>Cabezal orientable con LED integrado. Fabricado en aluminio.Compatible
 con rieles 1EF y 3EF, permite instalación directa en techo, pared o en
 el sistema lineal Dyna mediante la Unión cabezal. Su diseño versátil se
 adapta a distintas configuraciones y necesidades de iluminación técnica. (Switch (3CCT):2700K/4000K/6000K)</t>
  </si>
  <si>
    <t>6826FotoProducto0.png</t>
  </si>
  <si>
    <t>6826FotoDetalle0.jpg,6826FotoDetalle1.jpg,6826FotoDetalle2.jpg,6826FotoDetalle3.jpg,6826FotoDetalle4.jpg,6826FotoDetalle5.jpg,6826FotoDetalle6.jpg,6826FotoDetalle7.jpg,6826FotoDetalle8.jpg,6826FotoDetalle9.jpg</t>
  </si>
  <si>
    <t>Ficha Técnica - MEX.pdf</t>
  </si>
  <si>
    <t>MEX 10W 15°.ldt,MEX 10W 24°.ldt,MEX 10W 36°.ldt</t>
  </si>
  <si>
    <t>6826-6850-cad.dwg</t>
  </si>
  <si>
    <t>6850-6826dibujo.webp</t>
  </si>
  <si>
    <t>MEX NG 10W</t>
  </si>
  <si>
    <t>Cabezal orientable con LED integrado. Fabricado en aluminio.Compatible
 con rieles 1EF y 3EF, permite instalación directa en techo, pared o en
 el sistema lineal Dyna mediante la Unión cabezal. Su diseño versátil se
 adapta a distintas configuraciones y necesidades de iluminación técnica.</t>
  </si>
  <si>
    <t>MEX NG 18W</t>
  </si>
  <si>
    <t>18 W</t>
  </si>
  <si>
    <t>1335 lm</t>
  </si>
  <si>
    <t>74 lm/W</t>
  </si>
  <si>
    <t>Ø60 x 165 mm</t>
  </si>
  <si>
    <t>6827FotoProducto0.png</t>
  </si>
  <si>
    <t>MEX 18W 15°.ldt,MEX 18W 24°.ldt,MEX 18W 36°.ldt</t>
  </si>
  <si>
    <t>6827-6851-cad.dwg</t>
  </si>
  <si>
    <t>6851-6827dibujo.webp</t>
  </si>
  <si>
    <t>MEX NG 25W</t>
  </si>
  <si>
    <t>1770 lm</t>
  </si>
  <si>
    <t>Ø74 x 175 mm</t>
  </si>
  <si>
    <t>6828FotoProducto0.png</t>
  </si>
  <si>
    <t>MEX 25W 15°.ldt,MEX 25W 24°.ldt,MEX 25W 36°.ldt</t>
  </si>
  <si>
    <t>6828-6852-cad.dwg</t>
  </si>
  <si>
    <t>6852-6828dibujo.webp</t>
  </si>
  <si>
    <t>KIT SUSPENSION 3 TENSORES + ALIMENTACIÓN</t>
  </si>
  <si>
    <t>Cable y Tensor 2mts
Florón: Ø110 x 25 mm</t>
  </si>
  <si>
    <t>Accesorio opcional: kit de suspensión de 4 tensores que permite transformar el plafón en una solución colgante, adaptándose a distintas necesidades de proyecto.</t>
  </si>
  <si>
    <t>6829FotoProducto0.png</t>
  </si>
  <si>
    <t>6829FotoDetalle0.jpg,6829FotoDetalle1.jpg,6829FotoDetalle2.jpg,6829FotoProducto1.png,6829FotoProducto2.png</t>
  </si>
  <si>
    <t>KIT SUSPENSION 3 TENSORES + ALIMENTACIÓN BL</t>
  </si>
  <si>
    <t>Cable y Tensor 2mts Florón: Ø110 x 25 mm</t>
  </si>
  <si>
    <t>KIT SUSPENSION 3 TENSORES + ALIMENTACIÓN NG</t>
  </si>
  <si>
    <t>6830FotoProducto0.png</t>
  </si>
  <si>
    <t>6830FotoDetalle0.jpg,6830FotoDetalle1.jpg,6830FotoDetalle2.jpg,6830FotoProducto1.png,6830FotoProducto2.png</t>
  </si>
  <si>
    <t>REN</t>
  </si>
  <si>
    <t>Cielo</t>
  </si>
  <si>
    <t>Smart / App</t>
  </si>
  <si>
    <t>2460 lm</t>
  </si>
  <si>
    <t>2700~6500 K</t>
  </si>
  <si>
    <t>190°</t>
  </si>
  <si>
    <t>IP20/IK04</t>
  </si>
  <si>
    <t>596 x 361 (frente 295) x 190 mm</t>
  </si>
  <si>
    <t>280 x 580 mm</t>
  </si>
  <si>
    <t>220 mm</t>
  </si>
  <si>
    <t>Aluminio y Acero</t>
  </si>
  <si>
    <t>-10℃ a 40℃</t>
  </si>
  <si>
    <t>4 Años</t>
  </si>
  <si>
    <t>Luminaria Cielo con LED integrado para embutir. Incorpora control Smart mediante app Tuya. Cuenta con luz directa asimétrica (haz inclinado 45°)
 ideal como bañador de pared con efecto cielo. Fabricado en acero y aluminio con difusor PMMA, ofrece una iluminación blanca dinámica con ciclo
 circadiano para ambientes interiores.</t>
  </si>
  <si>
    <t>6831FotoProducto0.png</t>
  </si>
  <si>
    <t>6831FotoDetalle0.png,6831FotoDetalle1.png,6831FotoDetalle2.png,6831FotoDetalle3.png,6831FotoDetalle4.png,6831FotoDetalle5.png,6831FotoProducto1.png,6831FotoProducto2.png,6831FotoProducto3.jpg,6831FotoProducto3.png</t>
  </si>
  <si>
    <t>Ficha Técnica - REN.pdf</t>
  </si>
  <si>
    <t>REN 30X60.ldt</t>
  </si>
  <si>
    <t>6831-cad.dwg</t>
  </si>
  <si>
    <t>6831dibujo.webp</t>
  </si>
  <si>
    <t>6831-curvacono.webp,6831-curvapolar.webp</t>
  </si>
  <si>
    <t>REN 30x60</t>
  </si>
  <si>
    <t>30X60cm</t>
  </si>
  <si>
    <t>2700~6500</t>
  </si>
  <si>
    <t>50.000hs (L90)</t>
  </si>
  <si>
    <t>REN 30x120</t>
  </si>
  <si>
    <t>30X120cm</t>
  </si>
  <si>
    <t>100 W</t>
  </si>
  <si>
    <t>4630 lm</t>
  </si>
  <si>
    <t>1196 x 361 (frente 295) x 190 mm</t>
  </si>
  <si>
    <t>280 x 1180 mm</t>
  </si>
  <si>
    <t>6832FotoProducto0.png</t>
  </si>
  <si>
    <t>6832FotoDetalle0.jpg,6832Fotoproducto1.png</t>
  </si>
  <si>
    <t>REN 30X120.ldt</t>
  </si>
  <si>
    <t>6832-cad.dwg</t>
  </si>
  <si>
    <t>6832dibujo.webp</t>
  </si>
  <si>
    <t>6832-curvacono.webp,6832-curvapolar.webp</t>
  </si>
  <si>
    <t>SUN</t>
  </si>
  <si>
    <t>60X60cm</t>
  </si>
  <si>
    <t>90 W</t>
  </si>
  <si>
    <t>5430 lm</t>
  </si>
  <si>
    <t>6000 K</t>
  </si>
  <si>
    <t>74°</t>
  </si>
  <si>
    <t>IP20/IK02</t>
  </si>
  <si>
    <t>596 x 756 x 515 mm</t>
  </si>
  <si>
    <t>584 x 584 mm</t>
  </si>
  <si>
    <t>550 mm</t>
  </si>
  <si>
    <t>Luminaria Cielo con LED integrado para embutir. Cuenta con luz directa asimétrica (haz inclinado a 30°). Consigue un efecto cielo con sol que aporta
 calidez y profundidad al ambiente. Fabricado en acero y aluminio con difusor PMMA. Combina eficiencia y diseño para una iluminación interior
 decorativa y envolvente, perfecta para centros de salud, oficinas y gimnasios.</t>
  </si>
  <si>
    <t>6834FotoProducto0.png</t>
  </si>
  <si>
    <t>6834FotoDetalle1.png,6834FotoDetalle2.png,6834Fotoproducto1.png</t>
  </si>
  <si>
    <t>Ficha Técnica - SUN.pdf</t>
  </si>
  <si>
    <t>SUN 60X60.ldt</t>
  </si>
  <si>
    <t>6834-cad.dwg</t>
  </si>
  <si>
    <t>6834dibujo.webp</t>
  </si>
  <si>
    <t>6834-curvacono.webp,6834-curvapolar.webp</t>
  </si>
  <si>
    <t>SUN 60x60</t>
  </si>
  <si>
    <t>SUN 120x120</t>
  </si>
  <si>
    <t>120x120cm</t>
  </si>
  <si>
    <t>0-10V</t>
  </si>
  <si>
    <t>210 W</t>
  </si>
  <si>
    <t>15850 lm</t>
  </si>
  <si>
    <t>1196 x 1196 x 850 mm</t>
  </si>
  <si>
    <t>1181 x 1181 mm</t>
  </si>
  <si>
    <t>950 mm</t>
  </si>
  <si>
    <t>6835FotoProducto0.png</t>
  </si>
  <si>
    <t>6835Fotoproducto1.png</t>
  </si>
  <si>
    <t>SUN 120X120.ldt</t>
  </si>
  <si>
    <t>6835-cad.dwg</t>
  </si>
  <si>
    <t>6835dibujo.webp</t>
  </si>
  <si>
    <t>6835-curvacono.webp,6835-curvapolar.webp</t>
  </si>
  <si>
    <t>ZAR</t>
  </si>
  <si>
    <t>32 W</t>
  </si>
  <si>
    <t>1785 lm</t>
  </si>
  <si>
    <t>6500 K</t>
  </si>
  <si>
    <t>296 x 180 x 93 mm</t>
  </si>
  <si>
    <t>286 x 138 mm</t>
  </si>
  <si>
    <t>150 mm</t>
  </si>
  <si>
    <t>Luminaria Cielo con LED integrado para embutir. Cuenta con luz directa asimétrica (haz inclinado a 45°). Su función de bañador de pared con efecto
 cielo aporta calidez y profundidad al ambiente. Fabricado en acero y aluminio con difusor PMMA. Combina eficiencia y diseño para una iluminación
 interior decorativa y envolvente, perfecta para centros de salud, oficinas y gimnasios.</t>
  </si>
  <si>
    <t>6837FotoProducto0.png</t>
  </si>
  <si>
    <t>6837FotoDetalle0.jpg,6837FotoDetalle1.png,6837Fotodetalle2.png,6837FotoDetalle3.png,6837FotoDetalle4.jpeg,6837FotoDetalle5.jpeg,6837FotoDetalle6.jpeg,6837FotoProducto1.jpeg,6837FotoProducto2.jpeg</t>
  </si>
  <si>
    <t>Ficha Técnica - ZAR.pdf</t>
  </si>
  <si>
    <t>ZAR.ldt</t>
  </si>
  <si>
    <t>6837-cad.dwg</t>
  </si>
  <si>
    <t>6837dibujo.webp</t>
  </si>
  <si>
    <t>6837-curvacono.webp,6837-curvapolar.webp</t>
  </si>
  <si>
    <t>SIRENA</t>
  </si>
  <si>
    <t>460 lm</t>
  </si>
  <si>
    <t>Ø62 x 88 mm</t>
  </si>
  <si>
    <t>Aplique de techo con LED integrado. Fabricado en aluminio. Su haz de luz
 brinda una iluminación focalizada de alta calidad, ideal para resaltar detalles
 arquitectónicos y espacios interiores.</t>
  </si>
  <si>
    <t>6838FotoProducto0.png</t>
  </si>
  <si>
    <t>6838FotoDetalle0.jpg,6838FotoProducto1.png,6838FotoProducto2.png</t>
  </si>
  <si>
    <t>Ficha Técnica - SIRENA.pdf</t>
  </si>
  <si>
    <t>SIRENA 10W.ldt</t>
  </si>
  <si>
    <t>6838-6839-cad.dwg</t>
  </si>
  <si>
    <t>6838-6839dibujo.webp</t>
  </si>
  <si>
    <t>6838-6839-curvacono.webp,6838-6839-curvapolar.webp</t>
  </si>
  <si>
    <t>SIRENA BL 10W</t>
  </si>
  <si>
    <t>SIRENA NG 10W</t>
  </si>
  <si>
    <t>6839FotoProducto0.png</t>
  </si>
  <si>
    <t>6839FotoDetalle0.jpg,6839FotoDetalle1.jpg,6839FotoProducto1.png,6839FotoProducto2.png</t>
  </si>
  <si>
    <t>WILLY</t>
  </si>
  <si>
    <t>750 lm</t>
  </si>
  <si>
    <t>Ø80 x 55 mm</t>
  </si>
  <si>
    <t>6840FotoProducto0.png</t>
  </si>
  <si>
    <t>6840FotoDetalle0.jpg,6840FotoProducto1.png,6840FotoProducto2.png</t>
  </si>
  <si>
    <t>Ficha Técnica - WILLY.pdf</t>
  </si>
  <si>
    <t>WILLY.ldt</t>
  </si>
  <si>
    <t>6840-6841-cad.dwg</t>
  </si>
  <si>
    <t>6840-6841dibujo.webp</t>
  </si>
  <si>
    <t>6840-6841-curvacono.webp,6840-6841-curvapolar.webp</t>
  </si>
  <si>
    <t>WILLY BL 10W</t>
  </si>
  <si>
    <t>WILLY NG 10W</t>
  </si>
  <si>
    <t>6841FotoProducto0.png</t>
  </si>
  <si>
    <t>6841FotoDetalle0.jpg,6841FotoProducto1.png</t>
  </si>
  <si>
    <t>CAPI</t>
  </si>
  <si>
    <t>LED SMD2835</t>
  </si>
  <si>
    <t>9 lm/W</t>
  </si>
  <si>
    <t>260°</t>
  </si>
  <si>
    <t>&lt; 12</t>
  </si>
  <si>
    <t>Ø110 x 75 mm</t>
  </si>
  <si>
    <t>Dorado</t>
  </si>
  <si>
    <t>Aplique de pared con LED integrado. Fabricado en ABS con difusor de
 policarbonato (PC). Su diseño moderno permite regular la intensidad de
 la luz según las necesidades del espacio</t>
  </si>
  <si>
    <t>6842Fotoproducto0.png</t>
  </si>
  <si>
    <t>6842Fotodetalle.jpg,6842Fotodetalle1.jpg,6842Fotodetalle2.jpg,6842Fotodetalle3.jpg,6842Fotodetalle4.jpg,6842Fotoproducto1.png,6842Fotoproducto2.jpg,6842Fotoproducto2.png,6842Fotoproducto3.jpg</t>
  </si>
  <si>
    <t>Ficha Técnica - CAPI.pdf</t>
  </si>
  <si>
    <t>CAPI.ldt</t>
  </si>
  <si>
    <t>6842-6855-6856-cad.dwg</t>
  </si>
  <si>
    <t>6856-6842-6855dibujo.webp</t>
  </si>
  <si>
    <t>6842-6855-6856-curvacono.webp,6842-6855-6856-curvapolar.webp,6856-6842-6855-curvacono.webp</t>
  </si>
  <si>
    <t>CAPI DR</t>
  </si>
  <si>
    <t>MIJA R</t>
  </si>
  <si>
    <t>1265 lm</t>
  </si>
  <si>
    <t>105 lm/W</t>
  </si>
  <si>
    <t>107°</t>
  </si>
  <si>
    <t>Ø160 x 60 mm</t>
  </si>
  <si>
    <t>Aplique de pared con LED integrado, Fabricado en Policarbonato
 (PC). Su diseño moderno ofrece iluminación indirecta, eficiente y
 adaptable a distintos espacios.</t>
  </si>
  <si>
    <t>6843Fotoproducto0.png</t>
  </si>
  <si>
    <t>6843Fotodetalle.png,6843FotoDetalle0.jpg,6843FotoDetalle1.jpg,6843Fotodetalle1.png,6843FotoDetalle2.jpg,6843Fotodetalle2.png,6843FotoDetalle3.jpg,6843Fotodetalle3.png,6843FotoDetalle4.jpg,6843Fotoproducto.png</t>
  </si>
  <si>
    <t>Ficha Técnica - MIJA.pdf</t>
  </si>
  <si>
    <t>MIJA R Y C 12W .ldt</t>
  </si>
  <si>
    <t>6843-6844-cad.dwg</t>
  </si>
  <si>
    <t>6843-6844dibujo.webp</t>
  </si>
  <si>
    <t>6843-6844-6845-6846curvacono.webp,6843-6844-6845-6846curvapolar.webp,6843-6844-curvacono.webp,6843-6844-curvapolar.webp</t>
  </si>
  <si>
    <t>MIJA R BL 12W</t>
  </si>
  <si>
    <t>MIJA R NG 12W</t>
  </si>
  <si>
    <t>6844Fotoproducto0.png</t>
  </si>
  <si>
    <t>6844Fotodetalle.png,6844FotoDetalle0.jpg,6844FotoDetalle1.jpg,6844Fotodetalle1.png,6844FotoDetalle2.jpg,6844Fotodetalle2.png,6844FotoDetalle3.jpg,6844Fotodetalle3.png,6844FotoDetalle4.jpg,6844FotoDetalle5.jpg</t>
  </si>
  <si>
    <t>MIJA C</t>
  </si>
  <si>
    <t>165 x 165 x 65 mm</t>
  </si>
  <si>
    <t>6845Fotoproducto0.png</t>
  </si>
  <si>
    <t>6845Fotodetalle.png,6845Fotodetalle1.png,6845Fotodetalle2.png,6845Fotoproducto.png</t>
  </si>
  <si>
    <t>6845-6846-cad.dwg</t>
  </si>
  <si>
    <t>6845-6846dibujo.webp</t>
  </si>
  <si>
    <t>6843-6844-6845-6846curvacono.webp,6843-6844-6845-6846curvapolar.webp,6845-6846-curvacono.webp,6845-6846-curvapolar.webp</t>
  </si>
  <si>
    <t>MIJA C BL 12W</t>
  </si>
  <si>
    <t>MIJA C NG 12W</t>
  </si>
  <si>
    <t>6846Fotoproducto0.png</t>
  </si>
  <si>
    <t>6846Fotodetalle.png,6846FotoDetalle0.jpg,6846FotoDetalle1.jpg,6846Fotodetalle1.png,6846FotoDetalle2.jpg,6846Fotodetalle2.png,6846FotoDetalle3.jpg,6846Fotodetalle3.png,6846FotoDetalle4.jpg,6846Fotodetalle4.png</t>
  </si>
  <si>
    <t>PRISMA BL 20W</t>
  </si>
  <si>
    <t>Ø120 x 70 mm</t>
  </si>
  <si>
    <t>6847FotoProducto0.png</t>
  </si>
  <si>
    <t>6847FotoProducto1.png</t>
  </si>
  <si>
    <t>PRISMA 20W.ldt</t>
  </si>
  <si>
    <t>6847-6848-cad.dwg</t>
  </si>
  <si>
    <t>6847-6848-7218-7219-7249dibujo.webp</t>
  </si>
  <si>
    <t>6847-6848-curvacono.webp,6847-6848-curvapolar.webp</t>
  </si>
  <si>
    <t>PRISMA NG 20W</t>
  </si>
  <si>
    <t>6848FotoProducto0.png</t>
  </si>
  <si>
    <t>6848FotoProducto1.png</t>
  </si>
  <si>
    <t>CITY BLMD 45W</t>
  </si>
  <si>
    <t>6849Fotoproducto0.png</t>
  </si>
  <si>
    <t>6849Fotodetalle.jpg,6849FotoDetalle0.jpg,6849Fotodetalle1.jpg,6849Fotodetalle2.jpg,6849Fotoproducto1.jpg,6849Fotoproducto1.png,6849Fotoproducto2.jpg,6849Fotoproducto3.png</t>
  </si>
  <si>
    <t>MEX BL 10W</t>
  </si>
  <si>
    <t>6850FotoProducto0.png</t>
  </si>
  <si>
    <t>6850FotoDetalle1 (2).jpg,6850FotoDetalle1.jpg,6850FotoDetalle2.jpg,6850FotoDetalle3.jpg,6850FotoDetalle4.jpg,6850FotoProducto0 (2).png,6850FotoProducto0 (3).png,6850FotoProducto1.png,6850FotoProducto2.png,6850FotoProducto3.png</t>
  </si>
  <si>
    <t>MEX BL 18W</t>
  </si>
  <si>
    <t>6851FotoProducto0.png</t>
  </si>
  <si>
    <t>MEX BL 25W</t>
  </si>
  <si>
    <t>6852FotoProducto0.png</t>
  </si>
  <si>
    <t>DYNA UNION 30</t>
  </si>
  <si>
    <t>950 lm</t>
  </si>
  <si>
    <t>125 lm/W</t>
  </si>
  <si>
    <t>33 x 60 x 300 (Ancho x Alto x Largo) mm</t>
  </si>
  <si>
    <t>6853FotoProducto0.png</t>
  </si>
  <si>
    <t>6853FotoProducto1.png</t>
  </si>
  <si>
    <t>UNION 30 DYNA.ldt</t>
  </si>
  <si>
    <t>6853-6854-cad.dwg</t>
  </si>
  <si>
    <t>6853-6854dibujo.webp</t>
  </si>
  <si>
    <t>6853-6854-curvacono.webp,6853-6854-curvapolar.webp</t>
  </si>
  <si>
    <t>DYNA UNION 30 BL</t>
  </si>
  <si>
    <t>33 x 60 x 300 mm</t>
  </si>
  <si>
    <t>DYNA UNION 30 NG</t>
  </si>
  <si>
    <t>6854FotoProducto0.png</t>
  </si>
  <si>
    <t>6854FotoProducto1.png</t>
  </si>
  <si>
    <t>CAPI NG</t>
  </si>
  <si>
    <t>6855Fotoproducto0.png</t>
  </si>
  <si>
    <t>6855Fotodetalle.jpg,6855Fotoproducto1.png</t>
  </si>
  <si>
    <t>CAPI BL</t>
  </si>
  <si>
    <t>6856Fotoproducto0.png</t>
  </si>
  <si>
    <t>6856Fotodetalle.jpg,6856Fotodetalle1.jpg,6856Fotodetalle2.jpg,6856Fotodetalle3.jpg,6856Fotodetalle4.jpg,6856Fotoproducto1.png,6856Fotoproducto2.jpg,6856Fotoproducto2.png,6856Fotoproducto3.jpg</t>
  </si>
  <si>
    <t>HOKA 3 EF</t>
  </si>
  <si>
    <t>Barral LED</t>
  </si>
  <si>
    <t>3850 lm</t>
  </si>
  <si>
    <t>120 lm/W</t>
  </si>
  <si>
    <t>3000/4000/5000 K</t>
  </si>
  <si>
    <t>60 x 70 x 600 mm</t>
  </si>
  <si>
    <t>40.000hs (L70)</t>
  </si>
  <si>
    <t>Lineal de riel con LED integrado. Fabricado en Aluminio con difusor
 de PMMA. Su diseño moderno ofrece iluminación eficiente y adaptable
 a distintos espacios.(Switch (3CCT):3000K/4000K/5000K)</t>
  </si>
  <si>
    <t>6857FotoProducto0.png</t>
  </si>
  <si>
    <t>6857FotoProducto1.png</t>
  </si>
  <si>
    <t>HOKA 3EF</t>
  </si>
  <si>
    <t>HOKA 60.ldt</t>
  </si>
  <si>
    <t>6857-6858-cad.dwg</t>
  </si>
  <si>
    <t>6857-6858dibujo.webp</t>
  </si>
  <si>
    <t>6857-6858-curvapolar.webp</t>
  </si>
  <si>
    <t>HOKA 60 BL 3 EF</t>
  </si>
  <si>
    <t>HOKA 60 NG 3 EF</t>
  </si>
  <si>
    <t>6858FotoProducto0.png</t>
  </si>
  <si>
    <t>6858FotoDetalle0.jpg,6858FotoProducto1.png</t>
  </si>
  <si>
    <t>HOKA 120 BL 3 EF</t>
  </si>
  <si>
    <t>4900 lm</t>
  </si>
  <si>
    <t>136 lm/W</t>
  </si>
  <si>
    <t>60 x 70 x 1196 mm</t>
  </si>
  <si>
    <t>6859FotoProducto0.png</t>
  </si>
  <si>
    <t>6859FotoProducto1.png</t>
  </si>
  <si>
    <t>HOKA 120.ldt</t>
  </si>
  <si>
    <t>6859-6860-cad.dwg</t>
  </si>
  <si>
    <t>6859-6860dibujo.webp</t>
  </si>
  <si>
    <t>6859-6860-curvacono.webp,6859-6860-curvapolar.webp</t>
  </si>
  <si>
    <t>HOKA 120 NG 3 EF</t>
  </si>
  <si>
    <t>6860FotoProducto0.png</t>
  </si>
  <si>
    <t>6860FotoProducto1.png</t>
  </si>
  <si>
    <t>MIJA R NG 6W</t>
  </si>
  <si>
    <t>660 lm</t>
  </si>
  <si>
    <t>110 lm/W</t>
  </si>
  <si>
    <t>Ø130 x 42 mm</t>
  </si>
  <si>
    <t>6868FotoProducto0.png</t>
  </si>
  <si>
    <t>6868-6869-cad.dwg</t>
  </si>
  <si>
    <t>6869-6868dibujo.webp</t>
  </si>
  <si>
    <t>6868-6869-6870-6871curvacono.webp,6868-6869-6870-6871curvapolar.webp,6868-6869-curvacono.webp,6868-6869-curvapolar.webp</t>
  </si>
  <si>
    <t>MIJA R BL 6W</t>
  </si>
  <si>
    <t>6869FotoProducto0.png</t>
  </si>
  <si>
    <t>MIJA C NG 6W</t>
  </si>
  <si>
    <t>135 x 135 x 42 mm</t>
  </si>
  <si>
    <t>6870FotoProducto0.png</t>
  </si>
  <si>
    <t>6870-6871-cad.dwg</t>
  </si>
  <si>
    <t>6871-6870dibujo.webp</t>
  </si>
  <si>
    <t>6868-6869-6870-6871curvacono.webp,6868-6869-6870-6871curvapolar.webp,6870-6871-curvacono.webp,6870-6871-curvapolar.webp</t>
  </si>
  <si>
    <t>MIJA C BL 6W</t>
  </si>
  <si>
    <t>6871FotoProducto0.png</t>
  </si>
  <si>
    <t>ADAPTADOR HEMBRA 3EF</t>
  </si>
  <si>
    <t>A Confirmar</t>
  </si>
  <si>
    <t>ADAPTADOR HEMBRA 3EF BL</t>
  </si>
  <si>
    <t>ADAPTADOR HEMBRA 3EF NG</t>
  </si>
  <si>
    <t>DYNA EM</t>
  </si>
  <si>
    <t>600 x 50 x 60 mm</t>
  </si>
  <si>
    <t>40 x 610 mm</t>
  </si>
  <si>
    <t>100 mm</t>
  </si>
  <si>
    <t>7010FotoProducto0.png</t>
  </si>
  <si>
    <t>7010FotoDetalle0.jpg,7010FotoDetalle1.jpg,7010FotoDetalle2.jpg,7010FotoDetalle3.png,7010FotoDetalle4.jpg,7010FotoDetalle5.png,7010FotoDetalle6.jpg,7010FotoDetalle7.png,7010FotoDetalle8.jpg,7010FotoDetalle9.png</t>
  </si>
  <si>
    <t>Ficha Técnica - DYNA EM.pdf</t>
  </si>
  <si>
    <t>DYNA EM 60.ldt</t>
  </si>
  <si>
    <t>7010-7011-cad.dwg</t>
  </si>
  <si>
    <t>7010-7011dibujo.webp</t>
  </si>
  <si>
    <t>7010-7011-curvacono.webp,7010-7011-curvapolar.webp</t>
  </si>
  <si>
    <t>DYNA EM 60</t>
  </si>
  <si>
    <t>DYNA EM 60 BL</t>
  </si>
  <si>
    <t>0,9</t>
  </si>
  <si>
    <t>DYNA EM 60 NG</t>
  </si>
  <si>
    <t>7011FotoProducto0.png</t>
  </si>
  <si>
    <t>7011FotoDetalle0.jpg,7011FotoProducto1.png</t>
  </si>
  <si>
    <t>DYNA EM 120</t>
  </si>
  <si>
    <t>1200 x 50 x 60 mm</t>
  </si>
  <si>
    <t>40 x 1210 mm</t>
  </si>
  <si>
    <t>7012FotoProducto0.png</t>
  </si>
  <si>
    <t>7012FotoDetalle0.jpg,7012FotoDetalle1.jpg,7012FotoDetalle2.jpg,7012FotoDetalle3.png,7012FotoDetalle4.jpg,7012FotoDetalle5.png,7012FotoDetalle6.jpg,7012FotoDetalle7.png,7012FotoDetalle8.jpg,7012FotoDetalle9.png</t>
  </si>
  <si>
    <t>DYNA EM 120.ldt</t>
  </si>
  <si>
    <t>7012-7013-cad.dwg</t>
  </si>
  <si>
    <t>7012-7013dibujo.webp</t>
  </si>
  <si>
    <t>7012-7013-curvacono.webp,7012-7013-curvapolar.webp</t>
  </si>
  <si>
    <t>DYNA EM 120 BL</t>
  </si>
  <si>
    <t>DYNA EM 120 NG</t>
  </si>
  <si>
    <t>7013FotoProducto0.png</t>
  </si>
  <si>
    <t>7013FotoDetalle0.jpg,7013FotoProducto1.png</t>
  </si>
  <si>
    <t>DYNA EM 180</t>
  </si>
  <si>
    <t>1800 x 50 x 60 mm</t>
  </si>
  <si>
    <t>40 x 1810 mm</t>
  </si>
  <si>
    <t>7014FotoProducto0.png</t>
  </si>
  <si>
    <t>7014FotoDetalle0.jpg,7014FotoDetalle1.jpg,7014FotoDetalle2.jpg,7014FotoDetalle3.png,7014FotoDetalle4.jpg,7014FotoDetalle5.png,7014FotoDetalle6.jpg,7014FotoDetalle7.png,7014FotoDetalle8.jpg,7014FotoDetalle9.png</t>
  </si>
  <si>
    <t>DYNA EM 180.ldt</t>
  </si>
  <si>
    <t>7014-7015-cad.dwg</t>
  </si>
  <si>
    <t>7014-7015dibujo.webp</t>
  </si>
  <si>
    <t>7014-7015-curvacono.webp,7014-7015-curvapolar.webp</t>
  </si>
  <si>
    <t>DYNA EM 180 BL</t>
  </si>
  <si>
    <t>DYNA EM 180 NG</t>
  </si>
  <si>
    <t>7015FotoProducto0.png</t>
  </si>
  <si>
    <t>7015FotoDetalle0.jpg,7015FotoProducto1.png</t>
  </si>
  <si>
    <t>DYNA EM 240 BL</t>
  </si>
  <si>
    <t>2400 x 50 x 60 mm</t>
  </si>
  <si>
    <t>40 x 2410 mm</t>
  </si>
  <si>
    <t>7016FotoProducto0.png</t>
  </si>
  <si>
    <t>7016FotoDetalle0.jpg,7016FotoDetalle1.jpg,7016FotoDetalle2.jpg,7016FotoDetalle3.jpg,7016FotoDetalle4.png,7016FotoDetalle5.jpg,7016FotoDetalle6.png,7016FotoDetalle7.jpg,7016FotoDetalle8.png,7016FotoDetalle9.jpg</t>
  </si>
  <si>
    <t>DYNA EM 240.ldt</t>
  </si>
  <si>
    <t>7016-7017-cad.dwg</t>
  </si>
  <si>
    <t>7016-7017dibujo.webp</t>
  </si>
  <si>
    <t>DYNA EM 240 NG</t>
  </si>
  <si>
    <t>7017FotoProducto0.png</t>
  </si>
  <si>
    <t>7017FotoDetalle0.jpg,7017FotoDetalle1.jpg,7017FotoProducto1.png</t>
  </si>
  <si>
    <t>DYNA EM UNION</t>
  </si>
  <si>
    <t>310 x 310 x 60 mm</t>
  </si>
  <si>
    <t>L de 40 x 310 mm</t>
  </si>
  <si>
    <t>7018FotoProducto0.png</t>
  </si>
  <si>
    <t>7018FotoDetalle0.jpg,7018FotoDetalle1.jpg,7018FotoProducto1.png</t>
  </si>
  <si>
    <t>UNION L DYNA EM.ldt</t>
  </si>
  <si>
    <t>7018-7019-cad.dwg</t>
  </si>
  <si>
    <t>7018-7019dibujo.webp</t>
  </si>
  <si>
    <t>7018-7019-curvapolar.webp</t>
  </si>
  <si>
    <t>DYNA EM UNION L BL</t>
  </si>
  <si>
    <t>DYNA EM UNION L NG</t>
  </si>
  <si>
    <t>7019FotoProducto0.png</t>
  </si>
  <si>
    <t>7019FotoDetalle0.jpg,7019FotoDetalle1.jpg,7019FotoProducto1.png</t>
  </si>
  <si>
    <t>DYNA UNION ANG120</t>
  </si>
  <si>
    <t>270 x 440 60 mm</t>
  </si>
  <si>
    <t>7020FotoProducto0.png</t>
  </si>
  <si>
    <t>7020FotoDetalle0.jpg,7020FotoDetalle1.jpg,7020FotoProducto1.png</t>
  </si>
  <si>
    <t>UNION ANG120 DYNA.ldt</t>
  </si>
  <si>
    <t>7020-7021-cad.dwg</t>
  </si>
  <si>
    <t>7020-7021dibujo.webp</t>
  </si>
  <si>
    <t>6675-6679-7020-7021-curvapolar.webp,7020-7021-curvapolar.webp</t>
  </si>
  <si>
    <t>DYNA UNION ANG120 BL</t>
  </si>
  <si>
    <t>DYNA UNION ANG120 NG</t>
  </si>
  <si>
    <t>7021FotoProducto0.png</t>
  </si>
  <si>
    <t>7021FotoDetalle0.jpg,7021FotoDetalle1.jpg,7021FotoDetalle2.jpg,7021FotoProducto1.png,7021FotoProducto2.png</t>
  </si>
  <si>
    <t>DYNA UNION Y</t>
  </si>
  <si>
    <t>89 lm/W</t>
  </si>
  <si>
    <t>508 x 440 x 60 mm</t>
  </si>
  <si>
    <t>7022FotoProducto0.png</t>
  </si>
  <si>
    <t>7022FotoDetalle0.jpg,7022FotoDetalle1.jpg,7022FotoProducto1.png</t>
  </si>
  <si>
    <t>UNION Y DYNA.ldt</t>
  </si>
  <si>
    <t>7022-7023-cad.dwg</t>
  </si>
  <si>
    <t>7022-7023dibujo.webp</t>
  </si>
  <si>
    <t>7022-7023-curvapolar.webp</t>
  </si>
  <si>
    <t>DYNA UNION Y BL</t>
  </si>
  <si>
    <t>0,95</t>
  </si>
  <si>
    <t>DYNA UNION Y NG</t>
  </si>
  <si>
    <t>7023FotoProducto0.png</t>
  </si>
  <si>
    <t>7023FotoDetalle0.jpg,7023FotoDetalle1.jpg,7023FotoDetalle2.jpg,7023FotoProducto1.png,7023FotoProducto2.png</t>
  </si>
  <si>
    <t>CAMBOYA AP</t>
  </si>
  <si>
    <t>1615 lm</t>
  </si>
  <si>
    <t>132°</t>
  </si>
  <si>
    <t>Ø460 x 115 mm</t>
  </si>
  <si>
    <t>Plafón de techo con LED integrado. Fabricado en acero con difusor de PVC.
 Incorpora Switch para cambio de temperatura de color, permitiendo adaptar
 la luz a distintos ambientes.(Switch (3CCT):3000K/4000K/6000K)</t>
  </si>
  <si>
    <t>7024FotoProducto0.png</t>
  </si>
  <si>
    <t>7024Fotodetalle0.png,7024Fotodetalle1.png,7024Fotodetalle2.png,7024Fotodetalle3.png,7024Fotoproducto1.png,7024Fotoproducto2.png,7024Fotoproducto3.png,7024Fotoproducto4.png</t>
  </si>
  <si>
    <t>Ficha Técnica - CAMBOYA AP.pdf</t>
  </si>
  <si>
    <t>CAMBOYA AP 32W.ldt</t>
  </si>
  <si>
    <t>7024-7025-cad.dwg</t>
  </si>
  <si>
    <t>7024-7025dibujo.webp</t>
  </si>
  <si>
    <t>7024-7025-curvapolar.webp</t>
  </si>
  <si>
    <t>CAMBOYA AP BL 32W</t>
  </si>
  <si>
    <t>CAMBOYA AP NG 32W</t>
  </si>
  <si>
    <t>7025FotoProducto0.png</t>
  </si>
  <si>
    <t>7025Fotodetalle0.png,7025Fotodetalle1.png,7025Fotodetalle2.png,7025Fotoproducto0 (2).png,7025Fotoproducto0 (3).png,7025Fotoproducto2.png,7025Fotoproducto3.png,7025Fotoproducto4.png</t>
  </si>
  <si>
    <t>CAMBOYA AP BL 45W</t>
  </si>
  <si>
    <t>2260 lm</t>
  </si>
  <si>
    <t>142°</t>
  </si>
  <si>
    <t>Ø620 x 115 mm</t>
  </si>
  <si>
    <t>7026Fotoproducto0.png</t>
  </si>
  <si>
    <t>7026Fotodetalle0.png,7026Fotodetalle1.png,7026Fotodetalle2.png,7026Fotodetalle3.png,7026Fotoproducto1.png,7026Fotoproducto2.png,7026Fotoproducto3.png,7026Fotoproducto4.png</t>
  </si>
  <si>
    <t>CAMBOYA AP 45W.ldt</t>
  </si>
  <si>
    <t>7026-7027-cad.dwg</t>
  </si>
  <si>
    <t>7026-7027dibujo.webp</t>
  </si>
  <si>
    <t>7026-7027-curvapolar.webp</t>
  </si>
  <si>
    <t>CAMBOYA AP NG 45W</t>
  </si>
  <si>
    <t>7027FotoProducto0.png</t>
  </si>
  <si>
    <t>7027Fotodetalle0.png,7027Fotodetalle1.png,7027Fotodetalle2.png,7027Fotoproducto.png,7027Fotoproducto1.png,7027Fotoproducto2.png,7027Fotoproducto3.png,7027Fotoproducto4.png</t>
  </si>
  <si>
    <t>SINTRA BL 10W</t>
  </si>
  <si>
    <t>596 lm</t>
  </si>
  <si>
    <t>122°</t>
  </si>
  <si>
    <t>Ø210 x 50 mm</t>
  </si>
  <si>
    <t>(Switch (3CCT):3000K/4000K/5000K)</t>
  </si>
  <si>
    <t>7028FotoProducto0.png</t>
  </si>
  <si>
    <t>SINTRA 10W.ldt</t>
  </si>
  <si>
    <t>7028-cad.dwg</t>
  </si>
  <si>
    <t>7028dibujo.webp</t>
  </si>
  <si>
    <t>7028-curvapolar.webp</t>
  </si>
  <si>
    <t>SINTRA BL 18W</t>
  </si>
  <si>
    <t>1312 lm</t>
  </si>
  <si>
    <t>73 lm/W</t>
  </si>
  <si>
    <t>Ø330 x 55 mm</t>
  </si>
  <si>
    <t>7029FotoProducto0.png</t>
  </si>
  <si>
    <t>SINTRA 18W.ldt</t>
  </si>
  <si>
    <t>7029-cad.dwg</t>
  </si>
  <si>
    <t>7029dibujo.webp</t>
  </si>
  <si>
    <t>7029-curvapolar.webp</t>
  </si>
  <si>
    <t>DUNA</t>
  </si>
  <si>
    <t>Fieltro</t>
  </si>
  <si>
    <t>1095 lm</t>
  </si>
  <si>
    <t>Ø415 x 115 mm</t>
  </si>
  <si>
    <t>Fieltro y Aluminio</t>
  </si>
  <si>
    <t>Plafón de techo con LED integrado. Fabricado en fieltro y aluminio. Incorpora
 Switch para cambio de temperatura de color, permitiendo adaptar la luz a
 distintos ambientes. Compatible con kit de suspensión 4 tensores (opcional).(Switch (3CCT):3000K/4000K/5000K)</t>
  </si>
  <si>
    <t>7030FotoProducto0.png</t>
  </si>
  <si>
    <t>7030FotoDetalle0.jpg,7030FotoDetalle1.jpg,7030FotoDetalle2.jpg,7030FotoDetalle3.jpg,7030FotoDetalle4.jpg,7030FotoDetalle5.jpg,7030FotoDetalle6.jpg,7030FotoDetalle7.jpg,7030FotoDetalle8.jpg,7030FotoDetalle9.jpg</t>
  </si>
  <si>
    <t>Ficha Técnica - DUNA.pdf</t>
  </si>
  <si>
    <t>DUNA 15W.ldt</t>
  </si>
  <si>
    <t>7030-cad.dwg</t>
  </si>
  <si>
    <t>7030dibujo.webp</t>
  </si>
  <si>
    <t>7030-curvapolar.webp</t>
  </si>
  <si>
    <t>DUNA GR 15W</t>
  </si>
  <si>
    <t>DUNA GR 18W</t>
  </si>
  <si>
    <t>1533 lm</t>
  </si>
  <si>
    <t>Ø600 x 160 mm</t>
  </si>
  <si>
    <t>7031FotoProducto0.png</t>
  </si>
  <si>
    <t>7031FotoDetalle0.jpg,7031FotoDetalle1.jpg,7031FotoDetalle2.jpg,7031FotoDetalle3.jpg,7031FotoDetalle4.jpg,7031FotoDetalle5.jpg,7031FotoDetalle8.jpg,7031FotoDetalle9.jpg,7031FotoProducto1.png,7031FotoProducto2.png</t>
  </si>
  <si>
    <t>DUNA 18W.ldt</t>
  </si>
  <si>
    <t>7031-cad.dwg</t>
  </si>
  <si>
    <t>7031dibujo.webp</t>
  </si>
  <si>
    <t>7031-curvapolar.webp</t>
  </si>
  <si>
    <t>BARON</t>
  </si>
  <si>
    <t>1086 lm</t>
  </si>
  <si>
    <t>Ø355 x 110 mm</t>
  </si>
  <si>
    <t>7032FotoProducto0.png</t>
  </si>
  <si>
    <t>7032FotoDetalle0.jpg,7032FotoDetalle1.jpg,7032FotoDetalle2.jpg,7032FotoDetalle3.jpg,7032FotoDetalle4.jpg,7032FotoDetalle5.jpg,7032FotoDetalle6.jpg,7032FotoDetalle7.jpg,7032FotoDetalle8.jpg,7032FotoProducto1.png</t>
  </si>
  <si>
    <t>Ficha Técnica - BARON.pdf</t>
  </si>
  <si>
    <t>7032-IES.ldt</t>
  </si>
  <si>
    <t>7032-cad.dwg</t>
  </si>
  <si>
    <t>7032dibujo.webp</t>
  </si>
  <si>
    <t>7032-curvapolar.webp</t>
  </si>
  <si>
    <t>BARON GR 15W</t>
  </si>
  <si>
    <t>BARON GR 28W</t>
  </si>
  <si>
    <t>1868 lm</t>
  </si>
  <si>
    <t>Ø560 x 150 mm</t>
  </si>
  <si>
    <t>7033FotoProducto0.png</t>
  </si>
  <si>
    <t>7033FotoDetalle0.jpg,7033FotoDetalle1.jpg,7033FotoDetalle2.jpg,7033FotoDetalle6.jpg,7033FotoProducto0.jpg,7033FotoProducto1.jpg,7033FotoProducto2.jpg</t>
  </si>
  <si>
    <t>7033-IES.ldt</t>
  </si>
  <si>
    <t>7033-cad.dwg</t>
  </si>
  <si>
    <t>7033dibujo.webp</t>
  </si>
  <si>
    <t>7033-curvapolar.webp</t>
  </si>
  <si>
    <t>XAPO</t>
  </si>
  <si>
    <t>1457 lm</t>
  </si>
  <si>
    <t>2700/3500/5000 K</t>
  </si>
  <si>
    <t>Ø400 x 115 mm</t>
  </si>
  <si>
    <t>Plafón de techo con LED integrado. Fabricado en acero. Incorpora Switch
 para cambio de temperatura de color, permitiendo adaptar la luz a distintos
 ambientes. Compatible con kit de suspensión 4 tensores (opcional).(Switch (3CCT):2700K/3500K/5000K)</t>
  </si>
  <si>
    <t>7034Fotoproducto0.png</t>
  </si>
  <si>
    <t>7034Fotodetalle.jpg,7034FotoDetalle0.jpg,7034Fotodetalle1.jpg,7034Fotodetalle2.jpg,7034Fotoproducto1.jpg,7034Fotoproducto1.png,7034Fotoproducto2.png</t>
  </si>
  <si>
    <t>Ficha Técnica - XAPO.pdf</t>
  </si>
  <si>
    <t>XAPO.ldt</t>
  </si>
  <si>
    <t>7034-7035-cad.dwg</t>
  </si>
  <si>
    <t>7034-7035dibujo.webp</t>
  </si>
  <si>
    <t>7034-7035-curvapolar.webp</t>
  </si>
  <si>
    <t>XAPO BL</t>
  </si>
  <si>
    <t>XAPO NG</t>
  </si>
  <si>
    <t>(Switch (3CCT):2700K/3500K/5000K)</t>
  </si>
  <si>
    <t>7035FotoProducto0.png</t>
  </si>
  <si>
    <t>7035FotoDetalle0.jpg,7035Fotoproducto.jpg,7035Fotoproducto1.png</t>
  </si>
  <si>
    <t>MEX BL 10W 3CCT</t>
  </si>
  <si>
    <t>2700/4000/6000 K</t>
  </si>
  <si>
    <t>(Switch (3CCT):2700K/4000K/6000K)</t>
  </si>
  <si>
    <t>7036FotoProducto0.png</t>
  </si>
  <si>
    <t>Ficha Técnica - MEX 3CCT.pdf</t>
  </si>
  <si>
    <t>MEX 10W 3CCT 15°.ldt,MEX 10W 3CCT 24°.ldt,MEX 10W 3CCT 36°.ldt</t>
  </si>
  <si>
    <t>7036-7039-cad.dwg</t>
  </si>
  <si>
    <t>MEX BL 18W 3CCT</t>
  </si>
  <si>
    <t>7037FotoProducto0.png</t>
  </si>
  <si>
    <t>MEX 18W 3CCT 15°.ldt,MEX 18W 3CCT 24°.ldt,MEX 18W 3CCT 36°.ldt</t>
  </si>
  <si>
    <t>7037-7040-cad.dwg</t>
  </si>
  <si>
    <t>MEX BL 25W 3CCT</t>
  </si>
  <si>
    <t>7038FotoProducto0.png</t>
  </si>
  <si>
    <t>MEX 25W 3CCT 15°.ldt,MEX 25W 3CCT 24°.ldt,MEX 25W 3CCT 36°.ldt</t>
  </si>
  <si>
    <t>7038-7041-cad.dwg</t>
  </si>
  <si>
    <t>MEX NG 10W 3CCT</t>
  </si>
  <si>
    <t>7039FotoProducto0.png</t>
  </si>
  <si>
    <t>MEX NG 18W 3CCT</t>
  </si>
  <si>
    <t>7040FotoProducto0.png</t>
  </si>
  <si>
    <t>MEX NG 25W 3CCT</t>
  </si>
  <si>
    <t>7041FotoProducto0.png</t>
  </si>
  <si>
    <t xml:space="preserve">MIRACLE II S </t>
  </si>
  <si>
    <t>1900 + 875 lm</t>
  </si>
  <si>
    <t>69 lm/W</t>
  </si>
  <si>
    <t>36 + 114°</t>
  </si>
  <si>
    <t>7042FotoProducto0.png</t>
  </si>
  <si>
    <t>7042FotoDetalle0.jpg,7042FotoDetalle1.jpg,7042FotoDetalle2.jpg,7042FotoDetalle3.jpg,7042FotoDetalle4.jpg,7042FotoDetalle5.jpg,7042FotoDetalle6.jpg,7042FotoDetalle7.jpg,7042FotoDetalle8.jpg,7042FotoDetalle9.jpg</t>
  </si>
  <si>
    <t>Ficha Técnica - MIRACLE II S.pdf</t>
  </si>
  <si>
    <t>MIRACLE II S.ldt</t>
  </si>
  <si>
    <t>7043-7042-cad.dwg</t>
  </si>
  <si>
    <t>7043-7042dibujo.webp</t>
  </si>
  <si>
    <t>7042-7043-curvapolar.webp,7043-7042-curvacono.webp,7043-7042-curvapolar.webp</t>
  </si>
  <si>
    <t>MIRACLE II S NG</t>
  </si>
  <si>
    <t>MIRACLE II</t>
  </si>
  <si>
    <t>MIRACLE II S BL</t>
  </si>
  <si>
    <t>7043FotoProducto0.png</t>
  </si>
  <si>
    <t>7043.png,7043FotoDetalle0.jpg,7043FotoDetalle1.jpg,7043FotoDetalle2.jpg,7043FotoProducto1.png</t>
  </si>
  <si>
    <t>MIRACLE 180 S</t>
  </si>
  <si>
    <t>60 W</t>
  </si>
  <si>
    <t>3976 lm</t>
  </si>
  <si>
    <t>1790 x 70 x 16 mm</t>
  </si>
  <si>
    <t>7044FotoProducto0.png</t>
  </si>
  <si>
    <t>7044.png,7044FotoDetalle0.jpg</t>
  </si>
  <si>
    <t>MIRACLE 180 S.ldt</t>
  </si>
  <si>
    <t>7046-7044-cad.dwg</t>
  </si>
  <si>
    <t>7044-7046-7047-7045dibujo.webp</t>
  </si>
  <si>
    <t>7044-7046-curvacono.webp,7044-7046-curvapolar.webp</t>
  </si>
  <si>
    <t>MIRACLE 180 S NG</t>
  </si>
  <si>
    <t>MIRACLE II 180 S NG</t>
  </si>
  <si>
    <t>2920 + 955 lm</t>
  </si>
  <si>
    <t>65 lm/W</t>
  </si>
  <si>
    <t>7045FotoProducto0.png</t>
  </si>
  <si>
    <t>7045FotoDetalle0.jpg,7045FotoDetalle1.jpg,7045FotoProducto1.png</t>
  </si>
  <si>
    <t>MIRACLE II 180 S.ldt</t>
  </si>
  <si>
    <t>7047-7045-cad.dwg</t>
  </si>
  <si>
    <t>7047-7045-curvacono.webp</t>
  </si>
  <si>
    <t>MIRACLE 180 S BL</t>
  </si>
  <si>
    <t>7046FotoProducto0.png</t>
  </si>
  <si>
    <t>7046.png,7046FotoProducto1.png</t>
  </si>
  <si>
    <t>MIRACLE II 180 S BL</t>
  </si>
  <si>
    <t>7047FotoProducto0.png</t>
  </si>
  <si>
    <t>7047.png,7047FotoDetalle0.jpg</t>
  </si>
  <si>
    <t>WALLE NG</t>
  </si>
  <si>
    <t>464 lm</t>
  </si>
  <si>
    <t>38°</t>
  </si>
  <si>
    <t>60 x 120 x 190 mm</t>
  </si>
  <si>
    <t>30.000hs (L70)</t>
  </si>
  <si>
    <t>Iluminaria de mesa con LED integrado. Fabricado en aluminio. Su diseño
 con luz dimerizable mediante driver TRIAC permite regular la intensidad
 de la iluminación, adaptándose a las necesidades de cada espacio.</t>
  </si>
  <si>
    <t>7048FotoProducto0.png</t>
  </si>
  <si>
    <t>7048Fotodetalle.jpg,7048Fotodetalle2.jpg,7048Fotodetalle3.jpg,7048Fotodetalle4.jpg,7048Fotodetalle5.jpg,7048Fotodetalle6 (2).jpg,7048Fotodetalle6.jpg,7048Fotodetalle7.png,7048Fotodetalle8.jpg,7048Fotodetalle9.png</t>
  </si>
  <si>
    <t>Ficha Técnica - WALLE.pdf</t>
  </si>
  <si>
    <t>7048Fotometria.ldt</t>
  </si>
  <si>
    <t>7048-cad.dwg</t>
  </si>
  <si>
    <t>7048dibujo.webp</t>
  </si>
  <si>
    <t>7048-curvacono.webp,7048-curvapolar.webp</t>
  </si>
  <si>
    <t>VALK</t>
  </si>
  <si>
    <t>1010 lm</t>
  </si>
  <si>
    <t>123°</t>
  </si>
  <si>
    <t>Ø550 x 115 mm</t>
  </si>
  <si>
    <t>Colgante con LED integrado. Fabricado en aluminio. Su diseño con luz
 dimerizable mediante driver TRIAC permite regular la intensidad de la
 iluminación, adaptándose a las necesidades de cada espacio.</t>
  </si>
  <si>
    <t>7049FotoProducto0.png</t>
  </si>
  <si>
    <t>7049FotoDetalle0.jpg,7049FotoDetalle1.jpg,7049FotoDetalle2.jpg,7049FotoDetalle3.jpg,7049FotoDetalle4.jpg,7049FotoDetalle5.jpg,7049FotoDetalle6.jpg,7049FotoDetalle7.jpg,7049FotoDetalle8.jpg,7049FotoProducto1.png</t>
  </si>
  <si>
    <t>Ficha Técnica - VALK.pdf</t>
  </si>
  <si>
    <t>VALK.ldt</t>
  </si>
  <si>
    <t>7049-7050-cad.dwg</t>
  </si>
  <si>
    <t>7049-7050dibujo.webp</t>
  </si>
  <si>
    <t>7049-7050-curvacono.webp,7049-7050-curvapolar.webp</t>
  </si>
  <si>
    <t>VALK BL</t>
  </si>
  <si>
    <t>VALK NG</t>
  </si>
  <si>
    <t>7050FotoProducto0.png</t>
  </si>
  <si>
    <t>7050FotoProducto1.JPG,7050FotoProducto1.png</t>
  </si>
  <si>
    <t>FREYA</t>
  </si>
  <si>
    <t>563 lm</t>
  </si>
  <si>
    <t>38 lm/W</t>
  </si>
  <si>
    <t>65°</t>
  </si>
  <si>
    <t>&lt; 10</t>
  </si>
  <si>
    <t>Ø550 x 142 mm</t>
  </si>
  <si>
    <t>7051FotoProducto0.png</t>
  </si>
  <si>
    <t>7051FotoDetalle0.jpg,7051FotoDetalle1.jpg,7051FotoDetalle2.jpg,7051FotoDetalle3.jpg,7051FotoDetalle4.jpg,7051FotoDetalle5.jpg,7051FotoDetalle6.jpg,7051FotoDetalle7.jpg,7051FotoDetalle8.jpg,7051Fotoproducto.jpg</t>
  </si>
  <si>
    <t>Ficha Técnica - FREYA.pdf</t>
  </si>
  <si>
    <t>FREYA.ldt</t>
  </si>
  <si>
    <t>7051-7052-cad.dwg</t>
  </si>
  <si>
    <t>7051-7052dibujo.webp</t>
  </si>
  <si>
    <t>7051-7052-curvacono.webp,7051-7052-curvapolar.webp</t>
  </si>
  <si>
    <t>FREYA BL</t>
  </si>
  <si>
    <t>FREYA NG</t>
  </si>
  <si>
    <t>7052FotoProducto0.png</t>
  </si>
  <si>
    <t>7052Fotodetalle.jpg,7052FotoDetalle0.jpg,7052Fotodetalle1.jpg,7052Fotodetalle2.jpg,7052Fotoproducto1.jpg,7052Fotoproducto1.png,7052Fotoproducto2.JPG</t>
  </si>
  <si>
    <t>LEIF</t>
  </si>
  <si>
    <t>21 W</t>
  </si>
  <si>
    <t>502 lm</t>
  </si>
  <si>
    <t>20°</t>
  </si>
  <si>
    <t>Ø600 x 40 mm</t>
  </si>
  <si>
    <t>Colgante con LED integrado. Fabricado en aluminio. Ofrece luz directa
 e indirecta dimerizable a través de driver TRIAC, permitiendo ajustar la
 intensidad lumínica a las diferentes necesidades del espacio.</t>
  </si>
  <si>
    <t>7053FotoProducto0.png</t>
  </si>
  <si>
    <t>7053FotoDetalle0.JPG,7053FotoDetalle1.jpg,7053FotoDetalle2.jpg,7053FotoDetalle3.jpg,7053FotoDetalle4.jpg,7053FotoProducto1.png,7053FotoProducto2.png,7053FotoProducto3.png</t>
  </si>
  <si>
    <t>Ficha Técnica - LEIF.pdf</t>
  </si>
  <si>
    <t>LEIF.ldt</t>
  </si>
  <si>
    <t>7053-7054-cad.dwg</t>
  </si>
  <si>
    <t>7053-7054dibujo.webp</t>
  </si>
  <si>
    <t>7053-7054-curvacono.webp,7053-7054-curvapolar.webp</t>
  </si>
  <si>
    <t>LEIF BL</t>
  </si>
  <si>
    <t>LEIF NG</t>
  </si>
  <si>
    <t>7054FotoProducto0.png</t>
  </si>
  <si>
    <t>7054FotoDetalle0.jpg,7054FotoDetalle1.jpg,7054FotoDetalle2.jpg,7054FotoDetalle3.jpg,7054FotoDetalle4.JPG,7054FotoDetalle5.jpg,7054FotoDetalle6.jpg,7054FotoProducto1.png,7054FotoProducto2.png</t>
  </si>
  <si>
    <t>NEULA</t>
  </si>
  <si>
    <t>LED SMD5050</t>
  </si>
  <si>
    <t>Ø33 x 450 mm</t>
  </si>
  <si>
    <t>7055FotoProducto0.png</t>
  </si>
  <si>
    <t>7055FotoDetalle0.JPG,7055FotoDetalle1.jpg,7055FotoDetalle2.jpg,7055FotoProducto1.png</t>
  </si>
  <si>
    <t>Ficha Técnica - NEULA.pdf</t>
  </si>
  <si>
    <t>NEULA.ldt</t>
  </si>
  <si>
    <t>7055-7056-cad.dwg</t>
  </si>
  <si>
    <t>7055-7056dibujo.webp</t>
  </si>
  <si>
    <t>7055-7056-curvacono.webp,7055-7056-curvapolar.webp</t>
  </si>
  <si>
    <t>NEULA BL</t>
  </si>
  <si>
    <t>NEULA NG</t>
  </si>
  <si>
    <t>7056FotoProducto0.png</t>
  </si>
  <si>
    <t>7056FotoDetalle0.jpg,7056FotoDetalle1.jpg,7056FotoProducto1.png,7056FotoProducto2.png</t>
  </si>
  <si>
    <t>TRAKKE</t>
  </si>
  <si>
    <t>16 W</t>
  </si>
  <si>
    <t>1453 lm</t>
  </si>
  <si>
    <t>91 lm/W</t>
  </si>
  <si>
    <t>&lt; 13</t>
  </si>
  <si>
    <t>Ø155 x 135 mm</t>
  </si>
  <si>
    <t>7057FotoProducto0.png</t>
  </si>
  <si>
    <t>7057FotoDetalle0.jpg,7057FotoDetalle1.jpg,7057FotoDetalle2.jpg,7057FotoDetalle3.JPG,7057FotoProducto1.png,7057FotoProducto2.png,7057FotoProducto3.png</t>
  </si>
  <si>
    <t>Ficha Técnica - TRAKKE.pdf</t>
  </si>
  <si>
    <t>TRAKKE.ldt</t>
  </si>
  <si>
    <t>7057-7058-cad.dwg</t>
  </si>
  <si>
    <t>7057-7058dibujo.webp</t>
  </si>
  <si>
    <t>7057-7058-curvacono.webp,7057-7058-curvapolar.webp</t>
  </si>
  <si>
    <t>TRAKKE BL</t>
  </si>
  <si>
    <t>TRAKKE NG</t>
  </si>
  <si>
    <t>7058FotoProducto0.png</t>
  </si>
  <si>
    <t>7058FotoDetalle0.jpg,7058FotoDetalle1.JPG,7058FotoDetalle2.jpg,7058FotoDetalle3.jpg,7058FotoDetalle4.jpg,7058FotoDetalle5.jpg,7058FotoDetalle6.jpg,7058FotoDetalle7.jpg,7058FotoProducto0 (2).png,7058FotoProducto0 (3).png</t>
  </si>
  <si>
    <t>KRONE BL</t>
  </si>
  <si>
    <t>48 W</t>
  </si>
  <si>
    <t>3326 lm</t>
  </si>
  <si>
    <t>22°</t>
  </si>
  <si>
    <t>Ø600 x 35 mm</t>
  </si>
  <si>
    <t>7059FotoProducto0.png</t>
  </si>
  <si>
    <t>7059FotoDetalle0.jpg,7059FotoDetalle1.jpg,7059FotoDetalle2.jpg,7059FotoDetalle3.jpg,7059FotoDetalle4.jpg,7059FotoDetalle5.jpg,7059FotoDetalle6.jpg,7059FotoDetalle7.jpg,7059FotoDetalle9.jpg,7059Fotoproducto.jpg</t>
  </si>
  <si>
    <t>Ficha Técnica - KRONE.pdf</t>
  </si>
  <si>
    <t>KRONE.ldt</t>
  </si>
  <si>
    <t>7059-7060-cad.dwg</t>
  </si>
  <si>
    <t>7059-7060dibujo.webp</t>
  </si>
  <si>
    <t>7059-7211-7213-7060-7212-7214-curvacono.webp,7059-7211-7213-7060-7212-7214-curvapolar.webp</t>
  </si>
  <si>
    <t>KRONE</t>
  </si>
  <si>
    <t>7060FotoProducto0.png</t>
  </si>
  <si>
    <t>7060Fotodetalle.jpg,7060Fotodetalle1.png,7060Fotodetalle2.jpg,7060Fotodetalle3.png,7060Fotodetalle4.jpg,7060Fotodetalle5.png,7060Fotodetalle6.jpg,7060Fotoproducto1.jpg,7060Fotoproducto1.png,7060Fotoproducto2.jpg</t>
  </si>
  <si>
    <t>KRONE NG</t>
  </si>
  <si>
    <t>DRABE</t>
  </si>
  <si>
    <t>7,6 W</t>
  </si>
  <si>
    <t>172 lm</t>
  </si>
  <si>
    <t>Ø50 x 72 mm</t>
  </si>
  <si>
    <t>Colgante con LED integrado. Fabricado en aluminio con difusor PMMA.
 Su diseño con luz dimerizable mediante driver TRIAC permite regular la
 intensidad de la iluminación según necesidad.</t>
  </si>
  <si>
    <t>7061FotoProducto0.png</t>
  </si>
  <si>
    <t>7061FotoDetalle0.jpg,7061FotoDetalle1.jpg,7061FotoDetalle2.jpg,7061FotoDetalle3.jpg,7061FotoDetalle4.jpg,7061FotoDetalle5.jpg,7061FotoProducto1.png,7061FotoProducto2.png</t>
  </si>
  <si>
    <t>Ficha Técnica - DRABE.pdf</t>
  </si>
  <si>
    <t>DRABE.ldt</t>
  </si>
  <si>
    <t>7061-7062-cad.dwg</t>
  </si>
  <si>
    <t>7061-7062dibujo.webp</t>
  </si>
  <si>
    <t>7061-7062-curvacono.webp,7061-7062-curvapolar.webp</t>
  </si>
  <si>
    <t>DRABE BL</t>
  </si>
  <si>
    <t>DRABE NG</t>
  </si>
  <si>
    <t>7062FotoProducto0.png</t>
  </si>
  <si>
    <t>7062Fotodetalle.jpg,7062FotoDetalle0.jpg,7062Fotodetalle1.jpg,7062Fotoproducto1.png,7062Fotoproducto2.jpg</t>
  </si>
  <si>
    <t>KARTIO</t>
  </si>
  <si>
    <t>139 lm</t>
  </si>
  <si>
    <t>18 lm/W</t>
  </si>
  <si>
    <t>Ø84 x 90 mm</t>
  </si>
  <si>
    <t>7063FotoProducto0.png</t>
  </si>
  <si>
    <t>7063FotoDetalle0.jpg,7063FotoDetalle1.jpg,7063FotoDetalle2.jpg,7063FotoDetalle3.jpg,7063FotoDetalle4.jpg,7063FotoProducto0 (2).png,7063FotoProducto0 (3).png,7063FotoProducto2.png</t>
  </si>
  <si>
    <t>Ficha Técnica - KARTIO.pdf</t>
  </si>
  <si>
    <t>KARTIO.ldt</t>
  </si>
  <si>
    <t>7063-7064-cad.dwg</t>
  </si>
  <si>
    <t>7063-7064dibujo.webp</t>
  </si>
  <si>
    <t>7063-7064-curvacono.webp,7063-7064-curvapolar.webp</t>
  </si>
  <si>
    <t>KARTIO BL</t>
  </si>
  <si>
    <t>KARTIO NG</t>
  </si>
  <si>
    <t>7064FotoProducto0.png</t>
  </si>
  <si>
    <t>7064Fotodetalle.jpg,7064FotoDetalle0.jpg,7064Fotodetalle1.jpg,7064Fotodetalle2.jpg,7064Fotoproducto.png,7064Fotoproducto1.JPG,7064Fotoproducto1.png</t>
  </si>
  <si>
    <t>LAIVA</t>
  </si>
  <si>
    <t>Edison</t>
  </si>
  <si>
    <t>41 W</t>
  </si>
  <si>
    <t>3195 lm</t>
  </si>
  <si>
    <t>26°</t>
  </si>
  <si>
    <t>1600 x 105 x 58 mm</t>
  </si>
  <si>
    <t>Madera y Acero</t>
  </si>
  <si>
    <t>Colgante lineal con LED integrado. Fabricado en acero con una elegante
 cubierta de madera natural que aporta calidez y distinción a los
 espacios. Su formato suspendido ofrece iluminación directa asimétrica,
 ideal para mesas de trabajo, comedores u oficinas modernas.</t>
  </si>
  <si>
    <t>7065FotoProducto0.png</t>
  </si>
  <si>
    <t>7065FotoDetalle0.jpg,7065FotoDetalle1.jpg,7065FotoDetalle2.JPG,7065FotoDetalle3.JPG,7065FotoDetalle4.JPG,7065FotoDetalle5.JPG,7065FotoDetalle6.JPG,7065FotoDetalle7.JPG,7065FotoDetalle8.jpg,7065FotoDetalle9.JPG</t>
  </si>
  <si>
    <t>Ficha Técnica - LAIVA.pdf</t>
  </si>
  <si>
    <t>LAIVA.ldt</t>
  </si>
  <si>
    <t>7065-7066-7250-7251-7470-7471-7472-curvacono.webp,7065-7066-7250-7251-7470-7471-7472-curvapolar.webp</t>
  </si>
  <si>
    <t>LAIVA NG 3000K</t>
  </si>
  <si>
    <t>LAIVA NG 2700K</t>
  </si>
  <si>
    <t>7066FotoProducto0.png</t>
  </si>
  <si>
    <t>7066FotoDetalle1.jpg,7066FotoDetalle3.jpg,7066FotoDetalle4.jpg,7066FotoDetalle5.jpg,7066FotoDetalle6 (2).jpg,7066FotoDetalle6.jpg,7066FotoDetalle16.jpg,7066FotoDetalle17.jpg,7066FotoDetalle18.jpg,7066FotoDetalle19.jpg</t>
  </si>
  <si>
    <t>ULÁN NG</t>
  </si>
  <si>
    <t>LED SMD</t>
  </si>
  <si>
    <t>Lumileds</t>
  </si>
  <si>
    <t>278 lm</t>
  </si>
  <si>
    <t>Ø495 x 300 mm</t>
  </si>
  <si>
    <t>Colgante con LED integrado. Fabricado en fieltro y aluminio con difusor
 de acrílico. Su luz es dimerizable mediante driver TRIAC. Su materialidad
 absorve los sonidos del ambiente, volviéndolo ideal para espacios comunes
 como oficinas o cafés.</t>
  </si>
  <si>
    <t>7067Fotoproducto0.png</t>
  </si>
  <si>
    <t>7067Fotodetalle.jpg,7067FotoDetalle0.jpg,7067Fotodetalle1.jpg,7067Fotodetalle2.jpg,7067Fotodetalle3.jpg,7067Fotodetalle4.jpg,7067Fotoproducto.png,7067Fotoproducto1.png,7067Fotoproducto2.png,7067Fotoproducto3.png</t>
  </si>
  <si>
    <t>Ficha Técnica - ULÁN.pdf</t>
  </si>
  <si>
    <t>ULÁN.ldt</t>
  </si>
  <si>
    <t>7067-cad.dwg</t>
  </si>
  <si>
    <t>7067dibujo.webp</t>
  </si>
  <si>
    <t>7067-curvacono.webp,7067-curvapolar.webp</t>
  </si>
  <si>
    <t>BATOR NG</t>
  </si>
  <si>
    <t>730 lm</t>
  </si>
  <si>
    <t>61 lm/W</t>
  </si>
  <si>
    <t>Ø495 x 220 mm</t>
  </si>
  <si>
    <t>7068Fotoproducto0.png</t>
  </si>
  <si>
    <t>7068Fotodetalle.jpg,7068FotoDetalle0.jpg,7068FotoDetalle1.jpg,7068Fotoproducto.png,7068Fotoproducto1.png,7068Fotoproducto2.png,7068Fotoproducto3.png</t>
  </si>
  <si>
    <t>Ficha Técnica - BATOR.pdf</t>
  </si>
  <si>
    <t>BATOR.ldt</t>
  </si>
  <si>
    <t>7068-cad.dwg</t>
  </si>
  <si>
    <t>7068dibujo.webp</t>
  </si>
  <si>
    <t>7068-curvacono.webp,7068-curvapolar.webp</t>
  </si>
  <si>
    <t>ALTAI NG</t>
  </si>
  <si>
    <t>577 lm</t>
  </si>
  <si>
    <t>Ø330 x 220 mm</t>
  </si>
  <si>
    <t>7069Fotoproducto0.png</t>
  </si>
  <si>
    <t>7069Fotodetalle.png,7069FotoDetalle0.jpg,7069Fotodetalle1.jpg,7069Fotodetalle2.jpg,7069Fotodetalle3.jpg,7069Fotodetalle4.jpg,7069Fotodetalle5.jpg,7069Fotoproducto.png,7069Fotoproducto1.png,7069Fotoproducto2.png</t>
  </si>
  <si>
    <t>Ficha Técnica - ALTAI.pdf</t>
  </si>
  <si>
    <t>ALTAI.ldt</t>
  </si>
  <si>
    <t>7069-cad.dwg</t>
  </si>
  <si>
    <t>7069dibujo.webp</t>
  </si>
  <si>
    <t>7069-curvacono.webp,7069-curvapolar.webp</t>
  </si>
  <si>
    <t>DARJAN NG</t>
  </si>
  <si>
    <t>712 lm</t>
  </si>
  <si>
    <t>Ø490 x 190 mm</t>
  </si>
  <si>
    <t>7070Fotoproducto0.png</t>
  </si>
  <si>
    <t>7070Fotodetalle.jpg,7070FotoDetalle0.jpg,7070Fotodetalle1.jpg,7070Fotodetalle2.jpg,7070Fotodetalle3.jpg,7070Fotoproducto.png,7070Fotoproducto1.png,7070Fotoproducto2.png,7070Fotoproducto3.png</t>
  </si>
  <si>
    <t>Ficha Técnica - DARJAN.pdf</t>
  </si>
  <si>
    <t>DARJAN.ldt</t>
  </si>
  <si>
    <t>7070-cad.dwg</t>
  </si>
  <si>
    <t>7070dibujo.webp</t>
  </si>
  <si>
    <t>7070-curvacono.webp,7070-curvapolar.webp</t>
  </si>
  <si>
    <t>BULGAN NG</t>
  </si>
  <si>
    <t>645 lm</t>
  </si>
  <si>
    <t>Ø450 x 140 mm</t>
  </si>
  <si>
    <t>7071Fotoproducto0.png</t>
  </si>
  <si>
    <t>7071Fotodetalle.jpg,7071FotoDetalle0.jpg,7071Fotodetalle1.jpg,7071Fotodetalle2.jpg,7071Fotodetalle3.jpg,7071Fotoproducto.png,7071Fotoproducto1.png,7071Fotoproducto2.png,7071Fotoproducto3.png</t>
  </si>
  <si>
    <t>Ficha Técnica - BULGAN.pdf</t>
  </si>
  <si>
    <t>BULGAN.ldt</t>
  </si>
  <si>
    <t>7071-cad.dwg</t>
  </si>
  <si>
    <t>7071dibujo.webp</t>
  </si>
  <si>
    <t>7071-curvacono.webp,7071-curvapolar.webp</t>
  </si>
  <si>
    <t>BOG NG</t>
  </si>
  <si>
    <t>15 lm</t>
  </si>
  <si>
    <t>157°</t>
  </si>
  <si>
    <t>310 x 280 x 50 mm</t>
  </si>
  <si>
    <t>Aplique de pared con LED integrado. Fabricado en fieltro y aluminio con
 difusor de acrílico. Su materialidad absorve los sonidos del ambiente,
 volviéndolo ideal para espacios comunes como oficinas o cafés.</t>
  </si>
  <si>
    <t>7072Fotoproducto0.png</t>
  </si>
  <si>
    <t>7072Fotodetalle.jpg,7072FotoDetalle0.jpg,7072Fotodetalle1.jpg,7072Fotodetalle2.png,7072Fotoproducto.jpg,7072Fotoproducto1.png,7072Fotoproducto2.jpg,7072Fotoproducto3.png,7072Fotoproducto4.png</t>
  </si>
  <si>
    <t>Ficha Técnica - BOG.pdf</t>
  </si>
  <si>
    <t>BOG.ldt</t>
  </si>
  <si>
    <t>7072-cad.dwg</t>
  </si>
  <si>
    <t>7072dibujo.webp</t>
  </si>
  <si>
    <t>7072-curvapolar.webp</t>
  </si>
  <si>
    <t>SAGSAI NG</t>
  </si>
  <si>
    <t>903 lm</t>
  </si>
  <si>
    <t>Ø500 x 240 mm</t>
  </si>
  <si>
    <t>7073FotoProducto0.png</t>
  </si>
  <si>
    <t>7073FotoDetalle0.jpg,7073FotoDetalle1.jpg,7073FotoDetalle2.jpg,7073FotoDetalle3.jpg,7073FotoDetalle4.jpg,7073FotoDetalle5.jpg,7073FotoDetalle6.jpg,7073FotoDetalle7.jpg,7073FotoProducto1.png,7073FotoProducto2.png</t>
  </si>
  <si>
    <t>Ficha Técnica - SAGSAI.pdf</t>
  </si>
  <si>
    <t>SAGSAI.ldt</t>
  </si>
  <si>
    <t>7073-cad.dwg</t>
  </si>
  <si>
    <t>7073dibujo.webp</t>
  </si>
  <si>
    <t>7073-curvacono.webp,7073-curvapolar.webp</t>
  </si>
  <si>
    <t>MARDAI</t>
  </si>
  <si>
    <t>313 lm</t>
  </si>
  <si>
    <t>Ø400 x 400 mm</t>
  </si>
  <si>
    <t>Terracota</t>
  </si>
  <si>
    <t>Colgante con LED integrado. Fabricado en aluminio. Su luz dimerizable
 mediante driver TRIAC permite regular la intensidad de la iluminación,
 según las necesidades del espacio. MARDAI cuenta con dos variantes de
 color: negro y terracota.</t>
  </si>
  <si>
    <t>7074FotoProducto0.png</t>
  </si>
  <si>
    <t>7074FotoDetalle0.jpg,7074FotoDetalle1.jpg,7074FotoDetalle2.jpg,7074FotoProducto1.png,7074FotoProducto2.png,7074FotoProducto3.png</t>
  </si>
  <si>
    <t>Ficha Técnica - MARDAI.pdf</t>
  </si>
  <si>
    <t>MARDAI.ldt</t>
  </si>
  <si>
    <t>7074-7075-cad.dwg</t>
  </si>
  <si>
    <t>7074-7076-7075dibujo.webp</t>
  </si>
  <si>
    <t>7074-7076-7075-curvacono.webp,7074-7076-7075-curvapolar.webp</t>
  </si>
  <si>
    <t>MARDAI CB</t>
  </si>
  <si>
    <t>MARDAI NG</t>
  </si>
  <si>
    <t>7075FotoProducto0.png</t>
  </si>
  <si>
    <t>7075FotoDetalle0.jpg,7075FotoDetalle1.jpg,7075FotoDetalle2.jpg,7075FotoDetalle3.jpg,7075FotoDetalle4.jpg,7075FotoProducto1.png,7075FotoProducto2.png,7075FotoProducto3.png</t>
  </si>
  <si>
    <t>MARDAI II NG</t>
  </si>
  <si>
    <t>436 lm</t>
  </si>
  <si>
    <t>87°</t>
  </si>
  <si>
    <t>Ø730 x 400 mm</t>
  </si>
  <si>
    <t>7076FotoProducto0.png</t>
  </si>
  <si>
    <t>7076FotoDetalle0.jpg,7076FotoDetalle1.jpg,7076FotoDetalle2.jpg,7076FotoDetalle3.jpg,7076FotoDetalle4.png,7076FotoProducto1.png,7076FotoProducto2.png</t>
  </si>
  <si>
    <t>MARDAI II.ldt</t>
  </si>
  <si>
    <t>7076-cad.dwg</t>
  </si>
  <si>
    <t>7074-7076-7075dibujo.webp,7076dibujo.webp</t>
  </si>
  <si>
    <t>7074-7076-7075-curvacono.webp,7074-7076-7075-curvapolar.webp,7076-curvacono.webp,7076-curvapolar.webp</t>
  </si>
  <si>
    <t>NIAO SU</t>
  </si>
  <si>
    <t>Niao</t>
  </si>
  <si>
    <t>476 lm</t>
  </si>
  <si>
    <t>Ø110 x 240 mm</t>
  </si>
  <si>
    <t>Niao es una familia de colgantes con LED integrado. Fabricado en aluminio
 con difusor de vidrio. Los modelos Niao, Niao II y Niao III cuentan con pantalla
 reversible, lo que brinda mayor versatilidad de diseño y permite adaptarse a
 distintas configuraciones y necesidades del espacio estilos de iluminación.</t>
  </si>
  <si>
    <t>7077FotoProducto0.png</t>
  </si>
  <si>
    <t>7077.png,7077FotoDetalle0.jpg,7077FotoDetalle1.jpg,7077FotoDetalle2.jpg,7077FotoDetalle3.jpg,7077FotoDetalle4.jpg,7077FotoDetalle5.jpg,7077FotoDetalle6.jpg,7077FotoDetalle7.jpg,7077FotoDetalle8.jpg</t>
  </si>
  <si>
    <t>Ficha Técnica - NIAO.pdf</t>
  </si>
  <si>
    <t>NIAO SU.ldt</t>
  </si>
  <si>
    <t>7078-7077-cad.dwg</t>
  </si>
  <si>
    <t>7078-7077dibujo.webp</t>
  </si>
  <si>
    <t>7090-7089-7081-7080-7087-7086-7085-7088-7084-7083-7079-7078-7077-7082-curvacono.webp,7090-7089-7081-7080-7087-7086-7085-7088-7084-7083-7079-7078-7077-7082-curvapolar.webp</t>
  </si>
  <si>
    <t>NIAO SU NG</t>
  </si>
  <si>
    <t>NIAO SU BL</t>
  </si>
  <si>
    <t>7078FotoProducto0.png</t>
  </si>
  <si>
    <t>7078FotoDetalle0.jpg,7078FotoDetalle1.jpg,7078FotoDetalle2.jpg,7078FotoDetalle3.jpg,7078FotoDetalle4.jpg,7078FotoDetalle5.jpg,7078FotoDetalle6.jpg,7078FotoDetalle7.jpg,7078FotoDetalle8.jpg,7078FotoDetalle9.jpg</t>
  </si>
  <si>
    <t>NIAO</t>
  </si>
  <si>
    <t>Ø250 x 240 mm</t>
  </si>
  <si>
    <t>7079FotoProducto0.png</t>
  </si>
  <si>
    <t>7079.png,7079FotoDetalle0.jpg,7079FotoDetalle1 (1).jpg,7079FotoDetalle1.jpg,7079FotoDetalle2.jpg,7079FotoDetalle3.jpg,7079FotoProducto1.png,7079FotoProducto2.png,7079Fotoproducto3.jpg,7079Fotoproducto4.jpg</t>
  </si>
  <si>
    <t>NIAO.ldt</t>
  </si>
  <si>
    <t>7081-7080-7079-7082-cad.dwg</t>
  </si>
  <si>
    <t>7081-7080-7079-7082dibujo.webp</t>
  </si>
  <si>
    <t>NIAO NG</t>
  </si>
  <si>
    <t>NIAO BL</t>
  </si>
  <si>
    <t>7080FotoProducto0.png</t>
  </si>
  <si>
    <t>7080FotoDetalle0 (2).jpg,7080FotoDetalle0.jpg,7080FotoDetalle1 (1).jpg,7080FotoDetalle1.jpg,7080FotoProducto1.png,7080FotoProducto2.png,7080FotoProducto3.png</t>
  </si>
  <si>
    <t>NIAO AZ</t>
  </si>
  <si>
    <t>7081FotoProducto0.png</t>
  </si>
  <si>
    <t>7081.png,7081FotoDetalle0.jpg,7081FotoDetalle1.jpg,7081FotoProducto1.jpg,7081FotoProducto3.jpg,7081FotoProducto4.jpg,7081FotoProducto7.png</t>
  </si>
  <si>
    <t>NIAO VR</t>
  </si>
  <si>
    <t>7082.png,7082FotoDetalle0.jpg,7082FotoDetalle1 (2).jpg,7082FotoDetalle1.jpg,7082FotoDetalle2.jpg,7082FotoProducto2.jpg,7082FotoProducto5.jpg,7082FotoProducto6.jpg,7082FotoProducto8.png,7082FotoProducto9.png</t>
  </si>
  <si>
    <t>NIAO III</t>
  </si>
  <si>
    <t>Ø350 x 240 mm</t>
  </si>
  <si>
    <t>7083FotoProducto0.png</t>
  </si>
  <si>
    <t>7083FotoDetalle0 (1).jpg,7083FotoDetalle0.jpg,7083FotoDetalle1 (1).jpg,7083FotoDetalle1.jpg,7083FotoDetalle2 (1).jpg,7083FotoDetalle2.jpg,7083FotoDetalle3 (1).jpg,7083FotoDetalle3.jpg,7083FotoDetalle4 (1).jpg,7083FotoDetalle4.jpg</t>
  </si>
  <si>
    <t>NIAO III.ldt</t>
  </si>
  <si>
    <t>7084-7083-cad.dwg</t>
  </si>
  <si>
    <t>7084-7083dibujo.webp</t>
  </si>
  <si>
    <t>NIAO III NG</t>
  </si>
  <si>
    <t>NIAO III BL</t>
  </si>
  <si>
    <t>7084FotoProducto0.png</t>
  </si>
  <si>
    <t>7084.png,7084FotoDetalle0 (2).jpg,7084FotoDetalle0.jpg,7084FotoDetalle1.jpg,7084FotoDetalle2.jpg,7084FotoDetalle3.jpg,7084FotoDetalle6.jpg,7084FotoDetalle7.jpg,7084FotoProducto1.png,7084FotoProducto3.png</t>
  </si>
  <si>
    <t>NIAO II</t>
  </si>
  <si>
    <t>Ø450 x 240 mm</t>
  </si>
  <si>
    <t>7085FotoProducto0.png</t>
  </si>
  <si>
    <t>7085FotoDetalle0.jpg,7085FotoDetalle1.jpg,7085FotoDetalle2.jpg,7085FotoDetalle3.jpg,7085FotoDetalle4.jpg,7085FotoDetalle5.jpg,7085FotoProducto0 (1).png,7085FotoProducto0.jpg,7085FotoProducto1.png,7085FotoProducto2.png</t>
  </si>
  <si>
    <t>NIAO II.ldt</t>
  </si>
  <si>
    <t>7087-7086-7085-7088-cad.dwg</t>
  </si>
  <si>
    <t>7087-7086-7085-7088dibujo.webp</t>
  </si>
  <si>
    <t>7087-7086-7085-7088-curvacono.webp,7087-7086-7085-7088-curvapolar.webp,7090-7089-7081-7080-7087-7086-7085-7088-7084-7083-7079-7078-7077-7082-curvacono.webp,7090-7089-7081-7080-7087-7086-7085-7088-7084-7083-7079-7078-7077-7082-curvapolar.webp</t>
  </si>
  <si>
    <t>NIAO II NG</t>
  </si>
  <si>
    <t>NIAO II BL</t>
  </si>
  <si>
    <t>7086FotoProducto0.png</t>
  </si>
  <si>
    <t>7086.png,7086FotoDetalle0.jpg,7086FotoDetalle1.jpg,7086FotoDetalle2.jpg,7086FotoDetalle3.jpg,7086FotoDetalle4 (2).jpg,7086FotoDetalle4.jpg,7086FotoDetalle5 (2).jpg,7086FotoDetalle5.jpg,7086FotoDetalle6.jpg</t>
  </si>
  <si>
    <t>NIAO II AZ</t>
  </si>
  <si>
    <t>7087FotoProducto0.png</t>
  </si>
  <si>
    <t>7087FotoDetalle0.jpg,7087FotoDetalle1.jpg,7087FotoDetalle2.jpg,7087FotoDetalle3.jpg,7087FotoDetalle4.jpg,7087FotoDetalle5.jpg,7087FotoDetalle6.jpg,7087FotoDetalle7.jpg,7087FotoDetalle8.jpg,7087FotoDetalle9.jpg</t>
  </si>
  <si>
    <t>NIAO II VR</t>
  </si>
  <si>
    <t>7088FotoProducto0.png</t>
  </si>
  <si>
    <t>7088FotoDetalle0.jpg,7088FotoDetalle1.jpg,7088FotoDetalle2.jpg,7088FotoDetalle3.jpg,7088FotoDetalle4.jpg,7088FotoDetalle5.jpg,7088FotoDetalle6.jpg,7088FotoDetalle7.jpg,7088FotoDetalle8.jpg,7088FotoDetalle9.jpg</t>
  </si>
  <si>
    <t>NIAO AP</t>
  </si>
  <si>
    <t>250 x 400 x 330 mm</t>
  </si>
  <si>
    <t>7089FotoProducto0.png</t>
  </si>
  <si>
    <t>7089FotoDetalle0.jpg,7089FotoDetalle1.jpg,7089FotoDetalle2.jpg</t>
  </si>
  <si>
    <t>Ficha Técnica - NIAO AP.pdf</t>
  </si>
  <si>
    <t>NIAO AP.ldt</t>
  </si>
  <si>
    <t>7089-7090-cad.dwg</t>
  </si>
  <si>
    <t>7090-7089dibujo.webp</t>
  </si>
  <si>
    <t>7090-7089-7081-7080-7087-7086-7085-7088-7084-7083-7079-7078-7077-7082-curvacono.webp,7090-7089-7081-7080-7087-7086-7085-7088-7084-7083-7079-7078-7077-7082-curvapolar.webp,7090-7089-curvacono.webp,7090-7089-curvapolar.webp</t>
  </si>
  <si>
    <t>NIAO AP NG</t>
  </si>
  <si>
    <t>NIAO AP BL</t>
  </si>
  <si>
    <t>7090FotoProducto0.png</t>
  </si>
  <si>
    <t>7090FotoDetalle0.jpg,7090FotoDetalle1.jpg,7090FotoDetalle2.jpg</t>
  </si>
  <si>
    <t>NIAO MS</t>
  </si>
  <si>
    <t>224 lm</t>
  </si>
  <si>
    <t>Ø110 x 125 mm</t>
  </si>
  <si>
    <t>7091FotoProducto0.png</t>
  </si>
  <si>
    <t>7091Fotodetalle.jpg,7091FotoDetalle1.jpg,7091FotoDetalle2.jpg,7091FotoDetalle3.jpg,7091FotoDetalle4.jpg,7091FotoDetalle5.jpg,7091FotoDetalle6.jpg,7091FotoDetalle7.jpg,7091Fotoproducto.jpg</t>
  </si>
  <si>
    <t>Ficha Técnica - NIAO MS.pdf</t>
  </si>
  <si>
    <t>NIAO MS.ldt</t>
  </si>
  <si>
    <t>7091-7092-cad.dwg</t>
  </si>
  <si>
    <t>7092-7091dibujo.webp</t>
  </si>
  <si>
    <t>7092-7091-curvacono.webp,7092-7091-curvapolar.webp</t>
  </si>
  <si>
    <t>NIAO MS NG</t>
  </si>
  <si>
    <t>NIAO MS BL</t>
  </si>
  <si>
    <t>7092FotoProducto0.png</t>
  </si>
  <si>
    <t>7092Fotodetalle.jpg,7092FotoDetalle0.jpg,7092FotoDetalle1.jpg,7092FotoDetalle2.jpg,7092FotoDetalle3.jpg,7092FotoDetalle4.jpg,7092FotoDetalle5.jpg,7092FotoDetalle6.jpg,7092Fotoproducto.jpg,7092FotoProducto3.png</t>
  </si>
  <si>
    <t>LAZU</t>
  </si>
  <si>
    <t>147 lm</t>
  </si>
  <si>
    <t>46 x 53 x 450 mm</t>
  </si>
  <si>
    <t>Aplique de pared con LED integrado. Fabricado en aluminio con difusor
 de policarbonato (PC). Su diseño moderno ofrece iluminación eficiente
 y adaptable a distintos espacios.</t>
  </si>
  <si>
    <t>7093FotoProducto0.png</t>
  </si>
  <si>
    <t>7093Fotodetalle.jpg,7093FotoDetalle0.jpg,7093Fotodetalle1.jpg,7093FotoDetalle2.jpg,7093FotoDetalle3.jpg,7093FotoDetalle4.png,7093FotoDetalle6.png,7093FotoDetalle7.png,7093FotoDetalle8.png,7093FotoDetalle9.png</t>
  </si>
  <si>
    <t>Ficha Técnica - LAZU.pdf</t>
  </si>
  <si>
    <t>LAZU.ldt</t>
  </si>
  <si>
    <t>7093-7094-cad.dwg</t>
  </si>
  <si>
    <t>7094-7093dibujo.webp</t>
  </si>
  <si>
    <t>7094-7093-curvacono.webp,7094-7093-curvapolar.webp</t>
  </si>
  <si>
    <t>LAZU NG</t>
  </si>
  <si>
    <t>LAZU BL</t>
  </si>
  <si>
    <t>7094FotoProducto0.png</t>
  </si>
  <si>
    <t>7094Fotodetalle.jpg,7094FotoDetalle0.jpg,7094Fotodetalle1.jpg,7094FotoDetalle2.jpg,7094FotoDetalle3.jpg,7094Fotodetalle4.jpg,7094Fotodetalle5.jpg,7094Fotodetalle6.jpg,7094Fotoproducto.jpg,7094FotoProducto1.png</t>
  </si>
  <si>
    <t>SUTSKE</t>
  </si>
  <si>
    <t>525 lm</t>
  </si>
  <si>
    <t>50°</t>
  </si>
  <si>
    <t>350 x 1400 x 1900 mm</t>
  </si>
  <si>
    <t>Iluminaria de pie con LED integrado. Fabricado en acero condifusor
 de vidrio. Cuenta con brazo regulable. Su diseño moderno ofrece
 iluminación eficiente y adaptable a distintos espacios.</t>
  </si>
  <si>
    <t>7095FotoProducto0.png</t>
  </si>
  <si>
    <t>7095Fotodetalle.JPG,7095Fotodetalle1.JPG,7095Fotodetalle2.JPG,7095Fotodetalle3.JPG,7095Fotodetalle4.JPG,7095Fotodetalle5.JPG,7095Fotodetalle6.JPG,7095Fotodetalle7.JPG,7095Fotodetalle8.JPG,7095Fotodetalle9.JPG</t>
  </si>
  <si>
    <t>Ficha Técnica - SUTSKE.pdf</t>
  </si>
  <si>
    <t>SUTSKE.ldt</t>
  </si>
  <si>
    <t>7095-7096-cad.dwg</t>
  </si>
  <si>
    <t>7096-7095dibujo.webp</t>
  </si>
  <si>
    <t>7096-7095-curvacono.webp,7096-7095-curvapolar.webp</t>
  </si>
  <si>
    <t>SUTSKE NG</t>
  </si>
  <si>
    <t>SUTSKE BL</t>
  </si>
  <si>
    <t>7096FotoProducto0.png</t>
  </si>
  <si>
    <t>7096FotoDetalle0.jpg,7096FotoDetalle1.jpg,7096FotoDetalle2.jpg,7096FotoDetalle3.jpg,7096FotoDetalle4.jpg,7096FotoDetalle5.jpg,7096FotoDetalle6.jpg,7096FotoDetalle7.jpg,7096FotoProducto1.png,7096FotoProducto2.png.jpg</t>
  </si>
  <si>
    <t>CATEN</t>
  </si>
  <si>
    <t>870 lm</t>
  </si>
  <si>
    <t>145°</t>
  </si>
  <si>
    <t>165 x 115 x 310 mm</t>
  </si>
  <si>
    <t>Acero Inox y Aluminio</t>
  </si>
  <si>
    <t>Vidrio y Policarbonato (PC)</t>
  </si>
  <si>
    <t>Aplique de pared con LED integrado. Fabricado en acero inox y
 aluminio con difusor de vidrio y policarbonato (PC). Su diseño
 ofrece iluminación eficiente y adaptable a distintos espacios.</t>
  </si>
  <si>
    <t>7097FotoProducto0.png</t>
  </si>
  <si>
    <t>7097Fotodetalle.jpg,7097FotoDetalle0.jpg,7097Fotodetalle1.jpg,7097FotoProducto1.png</t>
  </si>
  <si>
    <t>Ficha Técnica - CATEN.pdf</t>
  </si>
  <si>
    <t>CATEN 30.ldt</t>
  </si>
  <si>
    <t>7097-7246-7442-7443-cad.dwg</t>
  </si>
  <si>
    <t>7097-curvacono.webp,7097-curvapolar.webp</t>
  </si>
  <si>
    <t>CATEN 30</t>
  </si>
  <si>
    <t>CATEN 60</t>
  </si>
  <si>
    <t>1750 lm</t>
  </si>
  <si>
    <t>87,5 lm/W</t>
  </si>
  <si>
    <t>165 x 115 x 610 mm</t>
  </si>
  <si>
    <t>7098FotoProducto0.png</t>
  </si>
  <si>
    <t>7098Fotodetalle.jpg,7098FotoDetalle0.jpg,7098Fotodetalle1.jpg,7098FotoDetalle2.jpg,7098FotoProducto1.png</t>
  </si>
  <si>
    <t>CATEN 60.ldt</t>
  </si>
  <si>
    <t>7098-7444-cad.dwg</t>
  </si>
  <si>
    <t>7098dibujo.webp</t>
  </si>
  <si>
    <t>7098-curvacono.webp,7098-curvapolar.webp</t>
  </si>
  <si>
    <t>WEST R</t>
  </si>
  <si>
    <t>1000 lm</t>
  </si>
  <si>
    <t>780 lm</t>
  </si>
  <si>
    <t>126°</t>
  </si>
  <si>
    <t>IP65/IK08</t>
  </si>
  <si>
    <t>Ø140 x 78 mm</t>
  </si>
  <si>
    <t>Aplique de pared con LED integrado. Fabricado en ABS y difusor de Policarbonato
 (PC) resistentes a rayos UV para uso exterior.Su diseño moderno ofrece iluminación
 eficiente y adaptable a distintos espacios al aire libre.(Switch (3CCT):3000K/4000K/6000K)</t>
  </si>
  <si>
    <t>7099Fotoproducto0.png</t>
  </si>
  <si>
    <t>7099Fotodetalle.png,7099Fotodetalle1.png,7099Fotoproducto.png,7099FotoProducto1.png</t>
  </si>
  <si>
    <t>Ficha Técnica - WEST.pdf</t>
  </si>
  <si>
    <t>WEST R.ldt</t>
  </si>
  <si>
    <t>7099-7100-7101-cad.dwg</t>
  </si>
  <si>
    <t>7101-7099-7100dibujo.webp</t>
  </si>
  <si>
    <t>7099-7100-7101-curvacono.webp,7101-7099-7100-curvapolar.webp</t>
  </si>
  <si>
    <t>WEST R NGNT</t>
  </si>
  <si>
    <t>WEST R VDNG</t>
  </si>
  <si>
    <t>2500/3500/4500 K</t>
  </si>
  <si>
    <t>Aplique de pared con LED integrado. Fabricado en ABS y difusor de Policarbonato
 (PC) resistentes a rayos UV para uso exterior.Su diseño moderno ofrece iluminación
 eficiente y adaptable a distintos espacios al aire libre.(Switch (3CCT):2500K/3500K/4500K)</t>
  </si>
  <si>
    <t>7100Fotoproducto0.png</t>
  </si>
  <si>
    <t>7100Fotodetalle.png,7100Fotodetalle1.png,7100Fotoproducto.png,7100FotoProducto1.png</t>
  </si>
  <si>
    <t>WEST R BLNT</t>
  </si>
  <si>
    <t>7101Fotoproducto0.png</t>
  </si>
  <si>
    <t>7101Fotodetalle.png,7101Fotoproducto.png,7101FotoProducto1.png</t>
  </si>
  <si>
    <t>WEST</t>
  </si>
  <si>
    <t>130 x 130 x 78 mm</t>
  </si>
  <si>
    <t>7102.png,7102Fotodetalle.png,7102FotoDetalle0.jpg,7102Fotodetalle1.png,7102Fotoproducto.png,7102Fotoproducto1.png</t>
  </si>
  <si>
    <t>WEST.ldt</t>
  </si>
  <si>
    <t>7102-7103-7104-cad.dwg</t>
  </si>
  <si>
    <t>7104-7102-7103dibujo.webp</t>
  </si>
  <si>
    <t>7104-7102-7103-curvacono.webp,7104-7102-7103-curvapolar.webp</t>
  </si>
  <si>
    <t>WEST NGNT</t>
  </si>
  <si>
    <t>WEST VDNG</t>
  </si>
  <si>
    <t>7103Fotodetalle.png,7103Fotodetalle1.png,7103Fotoproducto.png,7103Fotoproducto1.png</t>
  </si>
  <si>
    <t>WEST BLNT</t>
  </si>
  <si>
    <t>7104FotoProducto0.png</t>
  </si>
  <si>
    <t>7104Fotodetalle.png,7104Fotodetalle1.png,7104Fotoproducto.png,7104Fotoproducto1.png</t>
  </si>
  <si>
    <t>RIU</t>
  </si>
  <si>
    <t>2 W</t>
  </si>
  <si>
    <t>66 lm</t>
  </si>
  <si>
    <t>33 lm/W</t>
  </si>
  <si>
    <t>73°</t>
  </si>
  <si>
    <t>Ø40 x 600 mm</t>
  </si>
  <si>
    <t>Bolardo de piso con LED integrado, fabricado en aluminio con difusor de vidrio,
 su luminaria direccionable permite orientar la luz según la necesidad del
 espacio. Incluye Conector 3 Polos de IP68.</t>
  </si>
  <si>
    <t>7105FotoProducto0.png</t>
  </si>
  <si>
    <t>7105Fotodetalle.png,7105FotoDetalle0.jpg,7105Fotodetalle1.png,7105Fotodetalle2.png,7105Fotodetalle4.png,7105Fotoproducto.png</t>
  </si>
  <si>
    <t>Ficha Técnica - RIU.pdf</t>
  </si>
  <si>
    <t>RIU.ldt</t>
  </si>
  <si>
    <t>7105-cad.dwg</t>
  </si>
  <si>
    <t>7105dibujo.webp</t>
  </si>
  <si>
    <t>7105-curvacono.webp,7105-curvapolar.webp</t>
  </si>
  <si>
    <t>RIU I</t>
  </si>
  <si>
    <t>RIU II</t>
  </si>
  <si>
    <t>2x2 W</t>
  </si>
  <si>
    <t>119 lm</t>
  </si>
  <si>
    <t>30 lm/W</t>
  </si>
  <si>
    <t>Ø40 x 780 mm</t>
  </si>
  <si>
    <t>Bolardo de piso con LED integrado, fabricado en aluminio con difusor de vidrio,
 incorpora luminarias direccionables que permiten orientar la luz según la
 necesidad del espacio. Incluye Conector 3 Polos de IP68.</t>
  </si>
  <si>
    <t>7106FotoProducto0.png</t>
  </si>
  <si>
    <t>7106Fotodetalle.png,7106FotoDetalle0.jpg,7106FotoDetalle1.jpg,7106Fotodetalle1.png,7106FotoDetalle2.jpg,7106Fotodetalle2.png,7106Fotoproducto.png</t>
  </si>
  <si>
    <t>RIU II.ldt</t>
  </si>
  <si>
    <t>7106-cad.dwg</t>
  </si>
  <si>
    <t>7106dibujo.webp</t>
  </si>
  <si>
    <t>7106-curvacono.webp,7106-curvapolar.webp</t>
  </si>
  <si>
    <t>RONY</t>
  </si>
  <si>
    <t>2x3 W</t>
  </si>
  <si>
    <t>425 lm</t>
  </si>
  <si>
    <t>Ø54 x 750 mm</t>
  </si>
  <si>
    <t>Bolardo de piso con LED integrado, fabricado en aluminio con difusor de
 policarbonato (PC). Incorpora luminarias direccionables que permiten orientar
 la luz según la necesidad del espacio. Incluye Conector 3 Polos de IP68.</t>
  </si>
  <si>
    <t>7107Fotoproducto0.png</t>
  </si>
  <si>
    <t>7107Fotodetalle.png,7107FotoDetalle0.jpg,7107FotoDetalle1.jpg,7107Fotodetalle1.png,7107FotoDetalle2.jpg,7107Fotodetalle2.png,7107FotoDetalle3.jpg,7107Fotodetalle3.png,7107Fotodetalle4.png,7107FotoProducto1.png</t>
  </si>
  <si>
    <t>Ficha Técnica - RONY.pdf</t>
  </si>
  <si>
    <t>RONY.ldt</t>
  </si>
  <si>
    <t>7107-cad.dwg</t>
  </si>
  <si>
    <t>7107dibujo.webp</t>
  </si>
  <si>
    <t>7107-curvacono.webp,7107-curvapolar.webp</t>
  </si>
  <si>
    <t>OTTO</t>
  </si>
  <si>
    <t>2x5 W</t>
  </si>
  <si>
    <t>775 lm</t>
  </si>
  <si>
    <t>208°</t>
  </si>
  <si>
    <t>135 x 120 x 100 mm</t>
  </si>
  <si>
    <t>Aplique de pared con LED integrado. Fabricado en aluminio con difusor
 de vidrio. Su diseño moderno ofrece iluminación eficiente y adaptable
 a distintos espacios.</t>
  </si>
  <si>
    <t>7108FotoProducto0.png</t>
  </si>
  <si>
    <t>7108Fotodetalle.png,7108FotoDetalle0.jpg,7108FotoDetalle1.jpg,7108Fotodetalle1.png,7108FotoDetalle2.jpg,7108FotoDetalle3.jpg,7108FotoDetalle4.jpg,7108FotoDetalle5.jpg,7108FotoDetalle6.jpg,7108FotoDetalle7.jpg</t>
  </si>
  <si>
    <t>Ficha Técnica - OTTO.pdf</t>
  </si>
  <si>
    <t>OTTO.ldt</t>
  </si>
  <si>
    <t>7108-cad.dwg</t>
  </si>
  <si>
    <t>7108dibujo.webp</t>
  </si>
  <si>
    <t>7108-curvacono.webp,7108-curvapolar.webp</t>
  </si>
  <si>
    <t>CLASS</t>
  </si>
  <si>
    <t>90 lm/W</t>
  </si>
  <si>
    <t>254°</t>
  </si>
  <si>
    <t>145 x 115 x 130 mm</t>
  </si>
  <si>
    <t>Aplique de pared con LED integrado. Fabricado en aluminio con difusor
 de vidrio. Su diseño moderno ofrece iluminación eficiente y adaptable a
 distintos espacios.</t>
  </si>
  <si>
    <t>7109FotoProducto0.png</t>
  </si>
  <si>
    <t>7109Fotodetalle.png,7109FotoDetalle0.jpg,7109FotoDetalle1.jpg,7109FotoDetalle2.jpg,7109FotoDetalle3.jpg,7109FotoDetalle4.jpg,7109FotoDetalle5.jpg,7109FotoDetalle6.jpg,7109FotoDetalle7.jpg,7109FotoDetalle8.jpg</t>
  </si>
  <si>
    <t>Ficha Técnica - CLASS.pdf</t>
  </si>
  <si>
    <t>CLASS.ldt</t>
  </si>
  <si>
    <t>7109-cad.dwg</t>
  </si>
  <si>
    <t>7109dibujo.webp</t>
  </si>
  <si>
    <t>7109-curvacono.webp,7109-curvapolar.webp</t>
  </si>
  <si>
    <t>LOFI AP</t>
  </si>
  <si>
    <t>540 lm</t>
  </si>
  <si>
    <t>V100° × H225°</t>
  </si>
  <si>
    <t>95 x 60 x 300 mm</t>
  </si>
  <si>
    <t>Lofi es una familia de luminarias con LED integrado, disponible
 en versiones de aplique de pared y bolardo de piso. Fabricado en
 aluminio. Su diseño versátil se adapta a distintas necesidades de
 iluminación exterior, aportando uniformidad estética a los espacios.</t>
  </si>
  <si>
    <t>7110FotoProducto0.png</t>
  </si>
  <si>
    <t>7110Fotodetalle.png,7110FotoDetalle0.jpg,7110FotoDetalle1.jpg,7110FotoDetalle2.jpg,7110FotoDetalle3.jpg,7110FotoDetalle4.jpg,7110FotoDetalle5.jpg,7110FotoDetalle6.jpg,7110FotoProducto1.png,7110FotoProducto2.png</t>
  </si>
  <si>
    <t>Ficha Técnica - LOFI AP.pdf</t>
  </si>
  <si>
    <t>LOFI AP 12W.ldt</t>
  </si>
  <si>
    <t>7110-cad.dwg</t>
  </si>
  <si>
    <t>7110dibujo.webp</t>
  </si>
  <si>
    <t>7110-curvacono.webp,7110-curvapolar.webp</t>
  </si>
  <si>
    <t>LOFI AP 12W</t>
  </si>
  <si>
    <t>LOFI AP 20W</t>
  </si>
  <si>
    <t>1102 lm</t>
  </si>
  <si>
    <t>55 lm/W</t>
  </si>
  <si>
    <t>95 x 60 x 700 mm</t>
  </si>
  <si>
    <t>7111Fotoproducto0.png</t>
  </si>
  <si>
    <t>7111Fotodetalle.png,7111FotoDetalle0.jpg,7111Fotodetalle1.png,7111FotoDetalle2.jpg,7111FotoDetalle3.jpg,7111Fotodetalle4.png,7111Fotodetalle5.png,7111FotoDetalle10.jpg,7111Fotoproducto.png,7111FotoProducto1.png</t>
  </si>
  <si>
    <t>LOFI AP 20W.ldt</t>
  </si>
  <si>
    <t>7111-cad.dwg</t>
  </si>
  <si>
    <t>7111dibujo.webp</t>
  </si>
  <si>
    <t>7111-curvacono.webp,7111-curvapolar.webp</t>
  </si>
  <si>
    <t>LOFI</t>
  </si>
  <si>
    <t>627 lm</t>
  </si>
  <si>
    <t>V100° × H215°</t>
  </si>
  <si>
    <t>Ø53 x 600 mm</t>
  </si>
  <si>
    <t>7112FotoProducto0.png</t>
  </si>
  <si>
    <t>7112Fotodetalle1.jpg,7112Fotodetalle2.jpg,7112Fotodetalle3.jpg,7112Fotodetalle4.jpg,7112Fotodetalle5.jpg,7112Fotoproducto1.jpg,7112Fotoproducto1.png,7112Fotoproducto2.jpg</t>
  </si>
  <si>
    <t>Ficha Técnica - LOFI.pdf</t>
  </si>
  <si>
    <t>LOFI 12W.ldt</t>
  </si>
  <si>
    <t>7112-cad.dwg</t>
  </si>
  <si>
    <t>7112dibujo.webp</t>
  </si>
  <si>
    <t>7112-curvacono.webp,7112-curvapolar.webp</t>
  </si>
  <si>
    <t>LOFI 12W</t>
  </si>
  <si>
    <t>LOFI 24W</t>
  </si>
  <si>
    <t>1577 lm</t>
  </si>
  <si>
    <t>Ø53 x 1200 mm</t>
  </si>
  <si>
    <t>7113Fotoproducto0.png</t>
  </si>
  <si>
    <t>7113Fotodetalle.png,7113FotoDetalle0.jpg,7113FotoDetalle1.jpg,7113Fotodetalle1.png,7113FotoDetalle2.jpg,7113Fotodetalle2.png,7113FotoDetalle3.jpg,7113Fotodetalle3.png,7113FotoDetalle4.jpg,7113Fotodetalle4.png</t>
  </si>
  <si>
    <t>LOFI 24W.ldt</t>
  </si>
  <si>
    <t>7113-cad.dwg</t>
  </si>
  <si>
    <t>7113dibujo.webp</t>
  </si>
  <si>
    <t>7113-curvacono.webp,7113-curvapolar.webp</t>
  </si>
  <si>
    <t>FORTE</t>
  </si>
  <si>
    <t>Epistar</t>
  </si>
  <si>
    <t>709 lm</t>
  </si>
  <si>
    <t>99°</t>
  </si>
  <si>
    <t>Ø113 x 75 mm</t>
  </si>
  <si>
    <t>Aplique de techo con LED integrado. Fabricado en aluminio con difusor acrílico.
 Su diseño cuenta con luz directa e indirecta que realza la profundidad y confort
 visual del espacio.</t>
  </si>
  <si>
    <t>7114FotoProducto0.png</t>
  </si>
  <si>
    <t>7114FotoDetalle0.jpg,7114FotoDetalle1.jpg,7114FotoDetalle2.jpg,7114FotoDetalle3.jpg,7114FotoDetalle4.jpg,7114FotoProducto0 (2).png,7114FotoProducto0 (3).png,7114FotoProducto2.png</t>
  </si>
  <si>
    <t>Ficha Técnica - FORTE.pdf</t>
  </si>
  <si>
    <t>FORTE 12W.ldt</t>
  </si>
  <si>
    <t>7115-7114-cad.dwg</t>
  </si>
  <si>
    <t>7115-7114dibujo.webp</t>
  </si>
  <si>
    <t>7114-7115-curvacono.webp,7114-7115-curvapolar.webp</t>
  </si>
  <si>
    <t>FORTE NG 12W</t>
  </si>
  <si>
    <t>FORTE BL 12W</t>
  </si>
  <si>
    <t>7115FotoProducto0.png</t>
  </si>
  <si>
    <t>7115FotoDetalle0.jpg,7115FotoDetalle1.jpg,7115FotoDetalle2.jpg,7115FotoDetalle3.jpg,7115FotoProducto1.png</t>
  </si>
  <si>
    <t>FORTE NG 18W</t>
  </si>
  <si>
    <t>1202 lm</t>
  </si>
  <si>
    <t>95°</t>
  </si>
  <si>
    <t>Ø138 x 75 mm</t>
  </si>
  <si>
    <t>7116FotoProducto0.png</t>
  </si>
  <si>
    <t>7116FotoDetalle0.jpg,7116FotoDetalle1.jpg,7116FotoDetalle2.jpg,7116FotoDetalle3.jpg,7116FotoDetalle4.jpg,7116FotoProducto1.png,7116FotoProducto2.png,7116FotoProducto3.png</t>
  </si>
  <si>
    <t>FORTE 18W.ldt</t>
  </si>
  <si>
    <t>7116-7117-cad.dwg</t>
  </si>
  <si>
    <t>7117-7116dibujo.webp</t>
  </si>
  <si>
    <t>7116-7117-curvacono.webp,7116-7117-curvapolar.webp</t>
  </si>
  <si>
    <t>FORTE BL 18W</t>
  </si>
  <si>
    <t>7117FotoProducto0.png</t>
  </si>
  <si>
    <t>7117FotoDetalle0.jpg,7117FotoDetalle1.jpg,7117FotoDetalle2.jpg,7117FotoDetalle3.jpg,7117FotoProducto1.png</t>
  </si>
  <si>
    <t>FAMA</t>
  </si>
  <si>
    <t>Ø83 X 32 mm</t>
  </si>
  <si>
    <t>Ø72-77 mm</t>
  </si>
  <si>
    <t>90 * mm</t>
  </si>
  <si>
    <t>Fama es un Spot de techo para embutir. Hecho a partir de aluminio, cuenta
 con zócalo GU10. Ideal para una iluminación focalizada y versátil.</t>
  </si>
  <si>
    <t>7118FotoProducto0.png</t>
  </si>
  <si>
    <t>7118FotoDetalle0.jpg,7118FotoDetalle1.jpg,7118FotoDetalle2.jpg,7118FotoDetalle3.jpg,7118FotoDetalle4.jpg,7118FotoProducto1.png,7118FotoProducto2.png</t>
  </si>
  <si>
    <t>Ficha Técnica - FAMA.pdf</t>
  </si>
  <si>
    <t>7118-7119-cad.dwg</t>
  </si>
  <si>
    <t>7118-7119dibujo.webp</t>
  </si>
  <si>
    <t>FAMA BL</t>
  </si>
  <si>
    <t>Ø83 x 32 mm</t>
  </si>
  <si>
    <t>90 *</t>
  </si>
  <si>
    <t>FAMA NG</t>
  </si>
  <si>
    <t>7119FotoProducto0.png</t>
  </si>
  <si>
    <t>7119FotoDetalle0.jpg,7119FotoDetalle1.jpg,7119FotoDetalle2.jpg,7119FotoDetalle3.jpg,7119FotoDetalle4.jpg,7119FotoProducto1.png,7119FotoProducto2.png,7119FotoProducto3.png</t>
  </si>
  <si>
    <t>MUST</t>
  </si>
  <si>
    <t>Incluye zócalo GU10.
*Profundidad de calado total aproximada (considera dicroica y zócalo estándar).</t>
  </si>
  <si>
    <t>Ø98 x 30 mm</t>
  </si>
  <si>
    <t>Ø89-93 mm</t>
  </si>
  <si>
    <t>Must es un Spot de techo para embutir con movimiento ±20°. Hecho a partir
 de aluminio y acero, cuenta con zócalo GU10. Ideal para una iluminación
 focalizada y versátil.</t>
  </si>
  <si>
    <t>7120FotoProducto0.png</t>
  </si>
  <si>
    <t>7120FotoDetalle0.jpg,7120FotoDetalle1.jpg,7120FotoDetalle2.jpg,7120FotoDetalle3.jpg,7120FotoDetalle4.jpg,7120FotoProducto1.png,7120FotoProducto2.png</t>
  </si>
  <si>
    <t>Ficha Técnica - MUST.pdf</t>
  </si>
  <si>
    <t>7120-7121-7240cad.dwg</t>
  </si>
  <si>
    <t>7240-7120-7121dibujo.webp</t>
  </si>
  <si>
    <t>MUST BLNG</t>
  </si>
  <si>
    <t>MUST NG</t>
  </si>
  <si>
    <t>7121FotoProducto0.png</t>
  </si>
  <si>
    <t>7121FotoDetalle0.jpg,7121FotoDetalle1.jpg,7121FotoDetalle2.jpg,7121FotoDetalle3.jpg,7121FotoDetalle4.jpg,7121FotoProducto1.png,7121FotoProducto2.png</t>
  </si>
  <si>
    <t>DONA</t>
  </si>
  <si>
    <t>Ø90 x 60 mm</t>
  </si>
  <si>
    <t>Ø80 mm</t>
  </si>
  <si>
    <t>120 * mm</t>
  </si>
  <si>
    <t>Dona es un Spot de techo para embutir. Hecho a partir de aluminio, cuenta con
 zócalo GU10. Ideal para una iluminación focalizada y versátil.</t>
  </si>
  <si>
    <t>7122FotoProducto0.png</t>
  </si>
  <si>
    <t>7122FotoDetalle0.jpg,7122FotoDetalle1.jpg,7122FotoDetalle2.jpg,7122FotoDetalle3.jpg,7122FotoDetalle4.jpg,7122FotoDetalle5.jpg,7122FotoProducto1.png,7122FotoProducto2.png,7122FotoProducto3.png</t>
  </si>
  <si>
    <t>Ficha Técnica - DONA.pdf</t>
  </si>
  <si>
    <t>7122-7123-cad.dwg</t>
  </si>
  <si>
    <t>7122-7123dibujo.webp</t>
  </si>
  <si>
    <t>DONA BL</t>
  </si>
  <si>
    <t>120 *</t>
  </si>
  <si>
    <t>DONA NG</t>
  </si>
  <si>
    <t>7123FotoProducto0.png</t>
  </si>
  <si>
    <t>7123FotoDetalle0.jpg,7123FotoDetalle1.jpg,7123FotoDetalle2.jpg,7123FotoDetalle3.jpg,7123FotoDetalle4.jpg,7123FotoDetalle5.jpg,7123FotoDetalle6.jpg,7123FotoDetalle7.jpg,7123FotoProducto1.png,7123FotoProducto2.png</t>
  </si>
  <si>
    <t>OMNIA</t>
  </si>
  <si>
    <t>90 x 90 x 60 mm</t>
  </si>
  <si>
    <t>82 x 82 mm</t>
  </si>
  <si>
    <t>Omnia es un Spot de techo para embutir. Hecho a partir de aluminio, cuenta
 con zócalo GU10. Ideal para una iluminación focalizada y versátil.</t>
  </si>
  <si>
    <t>7124FotoProducto0.png</t>
  </si>
  <si>
    <t>7124FotoDetalle0.jpg,7124FotoDetalle1.jpg,7124FotoDetalle2.jpg,7124FotoDetalle3.jpg,7124FotoDetalle4.jpg,7124FotoProducto1.png,7124FotoProducto2.png</t>
  </si>
  <si>
    <t>Ficha Técnica - OMNIA.pdf</t>
  </si>
  <si>
    <t>7124-7125-cad.dwg</t>
  </si>
  <si>
    <t>7124-7125dibujo.webp</t>
  </si>
  <si>
    <t>OMNIA BL</t>
  </si>
  <si>
    <t>OMNIA NG</t>
  </si>
  <si>
    <t>7125FotoProducto0.png</t>
  </si>
  <si>
    <t>7125FotoDetalle0.jpg,7125FotoDetalle1.jpg,7125FotoDetalle2.jpg,7125FotoDetalle3.jpg,7125FotoDetalle4.jpg,7125FotoProducto1.png,7125FotoProducto2.png</t>
  </si>
  <si>
    <t>STUPA</t>
  </si>
  <si>
    <t>∅91 x 23 mm</t>
  </si>
  <si>
    <t>Ø80-85 mm</t>
  </si>
  <si>
    <t>Stupa es un Spot de techo para embutir con movimiento ±20°. Hecho a
 partir de aluminio, cuenta con zócalo GU10. Ideal para una iluminación
 focalizada y versátil.</t>
  </si>
  <si>
    <t>7126FotoProducto0.png</t>
  </si>
  <si>
    <t>7126FotoDetalle0.jpg,7126FotoDetalle1.jpg,7126FotoDetalle2.jpg,7126FotoDetalle3.jpg,7126FotoDetalle4.jpg,7126FotoDetalle5.jpg,7126FotoProducto1.png,7126FotoProducto2.png</t>
  </si>
  <si>
    <t>Ficha Técnica - STUPA.pdf</t>
  </si>
  <si>
    <t>7126-7127-cad.dwg</t>
  </si>
  <si>
    <t>7126-7127dibujo.webp</t>
  </si>
  <si>
    <t>STUPA BL</t>
  </si>
  <si>
    <t>STUPA NG</t>
  </si>
  <si>
    <t>7127FotoProducto0.png</t>
  </si>
  <si>
    <t>7127FotoDetalle0.jpg,7127FotoDetalle1.jpg,7127FotoDetalle2.jpg,7127FotoDetalle3.jpg,7127FotoDetalle4.jpg,7127FotoProducto1.png</t>
  </si>
  <si>
    <t>OPTIC NG 3000K</t>
  </si>
  <si>
    <t>7128FotoProducto0.png</t>
  </si>
  <si>
    <t>7128FotoDetalle1.jpg,7128FotoDetalle2.jpg,7128FotoProducto1.png</t>
  </si>
  <si>
    <t>7128-7129-cad.dwg</t>
  </si>
  <si>
    <t>LEX II</t>
  </si>
  <si>
    <t>218°</t>
  </si>
  <si>
    <t>7133-7134FotoProducto0.png</t>
  </si>
  <si>
    <t>7133-7134FotoDetalle0.jpg,7133-7134FotoDetalle1.jpg,7133-7134FotoDetalle2.jpg,7133-7134FotoDetalle3.jpg,7133-7134FotoDetalle4.jpg,7133-7134FotoDetalle5.jpg,7133-7134FotoDetalle6.jpg,7133-7134FotoDetalle7.jpg,7133-7134FotoDetalle8.jpg,7133-7134FotoDetalle9.jpg</t>
  </si>
  <si>
    <t>LEX II.ldt</t>
  </si>
  <si>
    <t>7133-cad.dwg</t>
  </si>
  <si>
    <t>7133dibujo.webp</t>
  </si>
  <si>
    <t>7133-7134curvacono.webp,7133-7134curvapolar.webp</t>
  </si>
  <si>
    <t>LEX II 220V</t>
  </si>
  <si>
    <t>LEX II 24V</t>
  </si>
  <si>
    <t>7134-cad.dwg</t>
  </si>
  <si>
    <t>7134dibujo.webp</t>
  </si>
  <si>
    <t>ADAPTADOR HEMBRA 1EF II NG</t>
  </si>
  <si>
    <t>80 x 35 x 25 mm</t>
  </si>
  <si>
    <t>#N/D</t>
  </si>
  <si>
    <t>7171FotoProducto0.png</t>
  </si>
  <si>
    <t>7171FotoProducto1.png</t>
  </si>
  <si>
    <t>ADAPTADOR HEMBRA 1EF II BL</t>
  </si>
  <si>
    <t>7172FotoProducto0.png</t>
  </si>
  <si>
    <t>7172FotoProducto1.png</t>
  </si>
  <si>
    <t>TOICHO</t>
  </si>
  <si>
    <t>1210 lm</t>
  </si>
  <si>
    <t>81 lm/W</t>
  </si>
  <si>
    <t>118°</t>
  </si>
  <si>
    <t>160 x 45 x 200 mm</t>
  </si>
  <si>
    <t>APLIQUE TOICHO 15W 3000K 1210LM CRI&gt;85 IP65 LEUK</t>
  </si>
  <si>
    <t>7176Fotoproducto0.png</t>
  </si>
  <si>
    <t>7176Fotodetalle.png,7176FotoDetalle0.jpg,7176FotoDetalle1.jpg,7176Fotodetalle1.png,7176Fotodetalle2.png,7176Fotodetalle3.png,7176Fotoproduco1.png,7176Fotoproducto.png</t>
  </si>
  <si>
    <t>Ficha Técnica - TOICHO.pdf</t>
  </si>
  <si>
    <t>TOICHO.ldt</t>
  </si>
  <si>
    <t>7176-cad.dwg</t>
  </si>
  <si>
    <t>7176dibujo.webp</t>
  </si>
  <si>
    <t>7176-curvacono.webp,7176-curvapolar.webp</t>
  </si>
  <si>
    <t>POCKET III</t>
  </si>
  <si>
    <t>Pocket</t>
  </si>
  <si>
    <t>activo</t>
  </si>
  <si>
    <t>305 lm</t>
  </si>
  <si>
    <t>69 x 31 x 40 mm</t>
  </si>
  <si>
    <t>65 x 27 mm</t>
  </si>
  <si>
    <t>55 mm</t>
  </si>
  <si>
    <t>7180FotoProducto0.png</t>
  </si>
  <si>
    <t>7180FotoDetalle0.jpg,7180FotoDetalle1.jpg,7180FotoDetalle2.jpg,7180FotoDetalle3.jpg,7180FotoDetalle4.jpg,7180FotoDetalle5.jpg,7180FotoDetalle6.jpeg,7180FotoDetalle7.jpg,7180FotoDetalle9.jpg,7180FotoDetalle10.jpg</t>
  </si>
  <si>
    <t>Ficha Técnica - POCKET III.pdf</t>
  </si>
  <si>
    <t>POCKET III.ldt</t>
  </si>
  <si>
    <t>7177-7178-7179-7180-7181-cad.dwg</t>
  </si>
  <si>
    <t>POCKET III BLBL 2700K</t>
  </si>
  <si>
    <t>7179FotoProducto0.png</t>
  </si>
  <si>
    <t>7179FotoDetalle0.jpg,7179FotoDetalle1.jpg,7179FotoDetalle2.jpg,7179FotoDetalle3.jpg,7179FotoDetalle4.jpg,7179FotoDetalle5.jpg,7179FotoDetalle9.jpg,7179FotoDetalle10.jpg,7179FotoProducto1.png,7179FotoProducto2.png</t>
  </si>
  <si>
    <t>POCKET III BLNG 2700K</t>
  </si>
  <si>
    <t>POCKET III BLNG 3000K</t>
  </si>
  <si>
    <t>7181FotoProducto0.png</t>
  </si>
  <si>
    <t>7181FotoDetalle0.jpg,7181FotoDetalle1.jpg,7181FotoDetalle2.jpg,7181FotoDetalle3.jpg,7181FotoDetalle4.jpg,7181FotoDetalle5.jpg,7181FotoDetalle6.jpeg,7181FotoDetalle7.jpg,7181FotoDetalle9.jpg,7181FotoDetalle10.jpg</t>
  </si>
  <si>
    <t>POCKET III BLBL 3000K</t>
  </si>
  <si>
    <t>7281FotoProducto0.png</t>
  </si>
  <si>
    <t>7281FotoDetalle0.jpg,7281FotoDetalle1.jpg,7281FotoDetalle2.jpg,7281FotoDetalle3.jpg,7281FotoDetalle4.jpg,7281FotoDetalle5.jpg,7281FotoDetalle9.jpg,7281FotoDetalle10.jpg,7281FotoProducto1.png,7281FotoProducto2.png</t>
  </si>
  <si>
    <t>POCKET III NGNG 2700K</t>
  </si>
  <si>
    <t>7282FotoProducto0.png</t>
  </si>
  <si>
    <t>7282FotoProducto1.png</t>
  </si>
  <si>
    <t>POCKET III NGNG 3000K</t>
  </si>
  <si>
    <t>7283FotoProducto0.png</t>
  </si>
  <si>
    <t>7283FotoProducto1.png</t>
  </si>
  <si>
    <t>POCKET III TRIAC</t>
  </si>
  <si>
    <t>7177FotoProducto0.png</t>
  </si>
  <si>
    <t>7177FotoDetalle0.jpg,7177FotoDetalle1.jpg,7177FotoDetalle2.jpg,7177FotoDetalle3.jpg,7177FotoDetalle4.jpg,7177FotoDetalle5.jpg,7177FotoDetalle6.jpeg,7177FotoDetalle7.jpg,7177FotoDetalle9.jpg,7177FotoDetalle10 (2).jpg</t>
  </si>
  <si>
    <t>POCKET III BLNG 2700K TRIAC</t>
  </si>
  <si>
    <t>POCKET III BLNG 3000K TRIAC</t>
  </si>
  <si>
    <t>7178FotoProducto0.png</t>
  </si>
  <si>
    <t>7178FotoDetalle0.jpg,7178FotoDetalle1.jpg,7178FotoDetalle2.jpg,7178FotoDetalle3.jpg,7178FotoDetalle4.jpg,7178FotoDetalle5.jpg,7178FotoDetalle6.jpeg,7178FotoDetalle7.jpg,7178FotoDetalle9.jpg,7178FotoDetalle10.jpg</t>
  </si>
  <si>
    <t>POCKET III NGNG 3000K TRIAC</t>
  </si>
  <si>
    <t>7280FotoProducto0.png</t>
  </si>
  <si>
    <t>7280FotoProducto1.png</t>
  </si>
  <si>
    <t>POCKET III NGNG 2700K TRIAC</t>
  </si>
  <si>
    <t>7317FotoProducto0.png</t>
  </si>
  <si>
    <t>7317FotoProducto1.png</t>
  </si>
  <si>
    <t>POCKET IV</t>
  </si>
  <si>
    <t>480 lm</t>
  </si>
  <si>
    <t>52 x 52 x 40 mm</t>
  </si>
  <si>
    <t>48 x 48 mm</t>
  </si>
  <si>
    <t>Blanco - Blanco</t>
  </si>
  <si>
    <t>7182FotoProducto0.png</t>
  </si>
  <si>
    <t>7182FotoDetalle0.jpg,7182FotoDetalle1.jpg,7182FotoDetalle3.jpg,7182FotoDetalle4.jpg,7182FotoDetalle5.jpg,7182FotoDetalle6.jpg,7182FotoDetalle7.jpg,7182FotoDetalle9.jpg,7182FotoProducto1.png,7182FotoProducto2.png</t>
  </si>
  <si>
    <t>Ficha Técnica - POCKET IV.pdf</t>
  </si>
  <si>
    <t>POCKET IV.ldt</t>
  </si>
  <si>
    <t>7182-7183-7184-cad.dwg</t>
  </si>
  <si>
    <t>POCKET IV BLBL 2700K</t>
  </si>
  <si>
    <t>POCKET IV BLNG 2700K</t>
  </si>
  <si>
    <t>7183FotoProducto0.png</t>
  </si>
  <si>
    <t>7183FotoDetalle0.jpg,7183FotoDetalle1.jpg,7183FotoDetalle3.jpg,7183FotoDetalle4.jpg,7183FotoDetalle6.jpg,7183FotoDetalle8.jpg,7183FotoDetalle9 (2).jpg,7183FotoDetalle9.jpg,7183FotoDetalle10.jpg,7183FotoProducto1.png</t>
  </si>
  <si>
    <t>POCKET IV BLNG 3000K</t>
  </si>
  <si>
    <t>7184FotoProducto0.png</t>
  </si>
  <si>
    <t>7184FotoDetalle0.jpg,7184FotoDetalle1.jpg,7184FotoDetalle3.jpg,7184FotoDetalle4.jpg,7184FotoDetalle5.jpg,7184FotoDetalle6 (2).jpg,7184FotoDetalle6.jpg,7184FotoDetalle7.jpg,7184FotoDetalle9.jpg,7184FotoDetalle10.jpg</t>
  </si>
  <si>
    <t>POCKET IV BLBL 3000K</t>
  </si>
  <si>
    <t>7284FotoProducto0.png</t>
  </si>
  <si>
    <t>7284FotoDetalle0.jpg,7284FotoDetalle1.jpg,7284FotoDetalle3.jpg,7284FotoDetalle4.jpg,7284FotoDetalle5.jpg,7284FotoDetalle6.jpg,7284FotoDetalle7.jpg,7284FotoDetalle9.jpg,7284FotoProducto1.png,7284FotoProducto2.png</t>
  </si>
  <si>
    <t>POCKET IV NGNG 2700K</t>
  </si>
  <si>
    <t>7285FotoProducto0.png</t>
  </si>
  <si>
    <t>7285FotoProducto1.png</t>
  </si>
  <si>
    <t>POCKET IV NGNG 3000K</t>
  </si>
  <si>
    <t>7286FotoProducto0.png</t>
  </si>
  <si>
    <t>7286FotoProducto1.png</t>
  </si>
  <si>
    <t>POCKET VI</t>
  </si>
  <si>
    <t>875 lm</t>
  </si>
  <si>
    <t>88 lm/W</t>
  </si>
  <si>
    <t>126 x 31 x 40 mm</t>
  </si>
  <si>
    <t>122 x 27 mm</t>
  </si>
  <si>
    <t>7187FotoProducto0.png</t>
  </si>
  <si>
    <t>7187FotoDetalle0.jpg,7187FotoDetalle1.jpg,7187FotoDetalle2.jpg,7187FotoDetalle3.jpg,7187FotoDetalle5.jpg,7187FotoDetalle6.jpg,7187FotoDetalle7.jpg,7187FotoDetalle9.jpg,7187FotoProducto1.png,7187FotoProducto2.png</t>
  </si>
  <si>
    <t>Ficha Técnica - POCKET VI.pdf</t>
  </si>
  <si>
    <t>POCKET VI.ldt</t>
  </si>
  <si>
    <t>POCKET VI BLBL 2700K</t>
  </si>
  <si>
    <t>POCKET VI BLNG 2700K</t>
  </si>
  <si>
    <t>7188FotoProducto0.png</t>
  </si>
  <si>
    <t>7188.png,7188FotoDetalle0.jpg,7188FotoDetalle1.jpg,7188FotoDetalle2.jpg,7188FotoDetalle3.jpg,7188FotoDetalle5.jpg,7188FotoDetalle6.jpg,7188FotoDetalle7.jpg,7188FotoDetalle8.jpg,7188FotoDetalle9.jpg</t>
  </si>
  <si>
    <t>POCKET VI BLNG 3000K</t>
  </si>
  <si>
    <t>7189FotoProducto0.png</t>
  </si>
  <si>
    <t>7189.png,7189FotoDetalle0.jpg,7189FotoDetalle1.jpg,7189FotoDetalle2.jpg,7189FotoDetalle3.jpg,7189FotoDetalle5.jpg,7189FotoDetalle6.jpg,7189FotoDetalle7.jpg,7189FotoDetalle8.jpg,7189FotoDetalle9.jpg</t>
  </si>
  <si>
    <t>POCKET VI BLBL 3000K</t>
  </si>
  <si>
    <t>7289FotoProducto0.png</t>
  </si>
  <si>
    <t>7289FotoDetalle0.jpg,7289FotoDetalle1.jpg,7289FotoDetalle2.jpg,7289FotoDetalle3.jpg,7289FotoDetalle5.jpg,7289FotoDetalle6.jpg,7289FotoDetalle7.jpg,7289FotoDetalle9.jpg,7289FotoProducto1.png,7289FotoProducto2.png</t>
  </si>
  <si>
    <t>POCKET VI NGNG 2700K</t>
  </si>
  <si>
    <t>7290FotoProducto0.png</t>
  </si>
  <si>
    <t>7290FotoProducto1.png</t>
  </si>
  <si>
    <t>POCKET VI NGNG 3000K</t>
  </si>
  <si>
    <t>7291FotoProducto0.png</t>
  </si>
  <si>
    <t>7291FotoProducto1.png</t>
  </si>
  <si>
    <t>POCKET VI TRIAC</t>
  </si>
  <si>
    <t>7185FotoProducto0.png</t>
  </si>
  <si>
    <t>7185.png,7185FotoDetalle0.jpg,7185FotoDetalle1.jpg,7185FotoDetalle2.jpg,7185FotoDetalle3.jpg,7185FotoDetalle5.jpg,7185FotoDetalle6.jpg,7185FotoDetalle7.jpg,7185FotoDetalle8.jpg,7185FotoDetalle9.jpg</t>
  </si>
  <si>
    <t>LIV S</t>
  </si>
  <si>
    <t>575 lm</t>
  </si>
  <si>
    <t>82 lm/W</t>
  </si>
  <si>
    <t>4000 K</t>
  </si>
  <si>
    <t>Ø118 x 34 mm</t>
  </si>
  <si>
    <t>Ø90 mm</t>
  </si>
  <si>
    <t>50 mm</t>
  </si>
  <si>
    <t>7201FotoProducto0.png</t>
  </si>
  <si>
    <t>7201.png,7201FotoDetalle0.jpg,7201FotoDetalle7.jpg,7201FotoDetalle11.jpg,7201FotoDetalle12.jpg,7201FotoDetalle13.jpg,7201FotoDetalle14.jpg,7201FotoProducto1.jpg,7201FotoProducto2.png,7201FotoProducto3.jpg</t>
  </si>
  <si>
    <t>Ficha Técnica - LIV.pdf</t>
  </si>
  <si>
    <t>LIV S 7W.ldt</t>
  </si>
  <si>
    <t>7201-7202-cad.dwg</t>
  </si>
  <si>
    <t>7201-7202dibujo.webp</t>
  </si>
  <si>
    <t>7201-curvacono.webp,7201-curvapolar.webp</t>
  </si>
  <si>
    <t>LIV S 7W 4000K</t>
  </si>
  <si>
    <t>LIV S 7W 3000K</t>
  </si>
  <si>
    <t>7202FotoProducto0.png</t>
  </si>
  <si>
    <t>7202.png,7202FotoDetalle0.jpg,7202FotoDetalle7.jpg,7202FotoDetalle11.jpg,7202FotoDetalle12.jpg,7202FotoDetalle13.jpg,7202FotoDetalle14.jpg,7202FotoProducto1.jpg,7202FotoProducto2.jpg,7202FotoProducto3.png</t>
  </si>
  <si>
    <t>7202-curvacono.webp,7202-curvapolar.webp</t>
  </si>
  <si>
    <t>LIV M</t>
  </si>
  <si>
    <t>83 lm/W</t>
  </si>
  <si>
    <t>Ø178 x 42 mm</t>
  </si>
  <si>
    <t>Ø155 mm</t>
  </si>
  <si>
    <t>60 mm</t>
  </si>
  <si>
    <t>7203FotoProducto0.png</t>
  </si>
  <si>
    <t>7203.png,7203FotoDetalle4.jpg,7203FotoDetalle6.jpg,7203FotoDetalle8.jpg,7203FotoDetalle9.jpg,7203FotoDetalle10.jpg,7203FotoDetalle15.jpg,7203FotoDetalle19.jpg,7203FotoProducto0.jpg,7203FotoProducto4.png</t>
  </si>
  <si>
    <t>LIV M 12W.ldt</t>
  </si>
  <si>
    <t>7203-7204-cad.dwg</t>
  </si>
  <si>
    <t>7203-7204dibujo.webp</t>
  </si>
  <si>
    <t>7203-curvacono.webp,7203-curvapolar.webp</t>
  </si>
  <si>
    <t>LIV M 12W 4000K</t>
  </si>
  <si>
    <t>LIV M 12W 3000K</t>
  </si>
  <si>
    <t>7204FotoProducto0.png</t>
  </si>
  <si>
    <t>7204.png,7204FotoDetalle4 (2).jpg,7204FotoDetalle4.jpg,7204FotoDetalle8.jpg,7204FotoDetalle9.jpg,7204FotoDetalle10.jpg,7204FotoDetalle15.jpg,7204FotoDetalle19.jpg,7204FotoProducto0.jpg,7204FotoProducto4.png</t>
  </si>
  <si>
    <t>7204-curvacono.webp,7204-curvapolar.webp</t>
  </si>
  <si>
    <t>LIV</t>
  </si>
  <si>
    <t>Ø188 x 44 mm</t>
  </si>
  <si>
    <t>Ø160 mm</t>
  </si>
  <si>
    <t>65 mm</t>
  </si>
  <si>
    <t>7205FotoProducto0.png</t>
  </si>
  <si>
    <t>7205.png,7205FotoDetalle5.jpg,7205FotoDetalle6.jpg,7205FotoDetalle16.jpg,7205FotoDetalle20.jpg,7205FotoProducto2.jpg,7205FotoProducto5.jpg,7205FotoProducto5.png</t>
  </si>
  <si>
    <t>LIV L 20W.ldt</t>
  </si>
  <si>
    <t>7205-7206-cad.dwg</t>
  </si>
  <si>
    <t>7205-7206dibujo.webp</t>
  </si>
  <si>
    <t>7205-curvacono.webp,7205-curvapolar.webp</t>
  </si>
  <si>
    <t>LIV L 20W 4000K</t>
  </si>
  <si>
    <t>LIV L 20W 3000K</t>
  </si>
  <si>
    <t>7206FotoProducto0.png</t>
  </si>
  <si>
    <t>7206.png,7206FotoDetalle5.jpg,7206FotoDetalle6.jpg,7206FotoDetalle16.jpg,7206FotoDetalle20.jpg,7206FotoProducto3.jpg,7206FotoProducto5.png,7206FotoProducto6.jpg</t>
  </si>
  <si>
    <t>7206-curvacono.webp,7206-curvapolar.webp</t>
  </si>
  <si>
    <t>KRONE 3CCT</t>
  </si>
  <si>
    <t>70 W</t>
  </si>
  <si>
    <t>3900 lm</t>
  </si>
  <si>
    <t>46°</t>
  </si>
  <si>
    <t>Ø890 x 44 mm</t>
  </si>
  <si>
    <t>7211FotoProducto0.png</t>
  </si>
  <si>
    <t>7211Fotodetalle0.jpg,7211Fotodetalle1.jpg,7211Fotodetalle2.jpg,7211Fotodetalle3.jpg,7211Fotodetalle4.jpg,7211Fotodetalle5.jpg,7211Fotodetalle6.jpg,7211Fotodetalle7.jpg,7211Fotodetalle8.jpg,7211Fotodetalle9.jpg</t>
  </si>
  <si>
    <t>KRONE 70W.ldt</t>
  </si>
  <si>
    <t>7211-7212-cad.dwg</t>
  </si>
  <si>
    <t>7211-7212dibujo.webp</t>
  </si>
  <si>
    <t>7059-7211-7213-7060-7212-7214-curvacono.webp,7059-7211-7213-7060-7212-7214-curvapolar.webp,7211-7212-curvacono.webp,7211-7212-curvapolar.webp</t>
  </si>
  <si>
    <t>KRONE BL 70W 3CCT</t>
  </si>
  <si>
    <t>KRONE NG 70W 3CCT</t>
  </si>
  <si>
    <t>7212FotoProducto0.png</t>
  </si>
  <si>
    <t>7212FotoDetalle0.jpg,7212FotoDetalle1.jpg,7212Fotoproducto0.jpg,7212Fotoproducto1.jpg,7212Fotoproducto1.png</t>
  </si>
  <si>
    <t>KRONE BL 84W 3CCT</t>
  </si>
  <si>
    <t>84 W</t>
  </si>
  <si>
    <t>5200 lm</t>
  </si>
  <si>
    <t>Ø1190 x 44 mm</t>
  </si>
  <si>
    <t>7213FotoProducto0.png</t>
  </si>
  <si>
    <t>7213Fotodetalle0.jpg,7213Fotodetalle1.jpg,7213Fotodetalle2.jpg,7213Fotodetalle3.jpg,7213Fotodetalle4.jpg,7213Fotodetalle5.jpg,7213Fotodetalle6.jpg,7213Fotodetalle7.jpg,7213Fotodetalle8.jpg,7213Fotodetalle9.jpg</t>
  </si>
  <si>
    <t>KRONE 84W.ldt</t>
  </si>
  <si>
    <t>7213-7214-cad.dwg</t>
  </si>
  <si>
    <t>7213-7214dibujo.webp</t>
  </si>
  <si>
    <t>7059-7211-7213-7060-7212-7214-curvacono.webp,7059-7211-7213-7060-7212-7214-curvapolar.webp,7213-7214-curvacono.webp,7213-7214-curvapolar.webp</t>
  </si>
  <si>
    <t>KRONE NG 84W 3CCT</t>
  </si>
  <si>
    <t>7214FotoProducto0.png</t>
  </si>
  <si>
    <t>7214Fotodetalle0.jpg,7214Fotodetalle1.jpg,7214Fotoproducto0.jpg,7214Fotoproducto1.jpg,7214Fotoproducto1.png</t>
  </si>
  <si>
    <t>REN SLIM</t>
  </si>
  <si>
    <t>3375 lm</t>
  </si>
  <si>
    <t>1800~20000</t>
  </si>
  <si>
    <t>295 x 595 x 32 mm</t>
  </si>
  <si>
    <t>7215FotoProducto0.png</t>
  </si>
  <si>
    <t>7215FotoDetalle0.png,7215FotoDetalle1.png,7215FotoDetalle2.png,7215FotoDetalle3.png,7215FotoDetalle4.png,7215FotoDetalle5.jpg,7215FotoProducto1.png</t>
  </si>
  <si>
    <t>7215-cad.dwg</t>
  </si>
  <si>
    <t>7215dibujo.webp</t>
  </si>
  <si>
    <t>7215-curvacono.webp,7215-curvapolar.webp</t>
  </si>
  <si>
    <t>PRISMA BL 12W IP44</t>
  </si>
  <si>
    <t>800 lm</t>
  </si>
  <si>
    <t>IP44</t>
  </si>
  <si>
    <t>#N/D(Switch (3CCT):3000K/4000K/6000K)</t>
  </si>
  <si>
    <t>7216FotoProducto0.png</t>
  </si>
  <si>
    <t>7216-7218FotoDetalle0.jpg,7216-7218FotoDetalle1.jpg,7216-7218FotoDetalle2.jpg,7216-7218FotoProducto0.png</t>
  </si>
  <si>
    <t>PRISMA 12W IP44.ldt</t>
  </si>
  <si>
    <t>7216-7217-cad.dwg</t>
  </si>
  <si>
    <t>7216-7217-curvacono.webp,7216-7217-curvapolar.webp</t>
  </si>
  <si>
    <t>PRISMA NG 12W IP44</t>
  </si>
  <si>
    <t>7217FotoProducto0.png</t>
  </si>
  <si>
    <t>7217-7219FotoDetalle0.jpg,7217-7219FotoDetalle1.jpg,7217-7219FotoDetalle2.jpg,7217-7219FotoProducto0.png</t>
  </si>
  <si>
    <t>PRISMA BL 20W IP44</t>
  </si>
  <si>
    <t>1300 lm</t>
  </si>
  <si>
    <t>7218FotoProducto0.png</t>
  </si>
  <si>
    <t>PRISMA 20W IP44.ldt</t>
  </si>
  <si>
    <t>7218-7219-cad.dwg</t>
  </si>
  <si>
    <t>7218-7219-curvacono.webp,7218-7219-curvapolar.webp</t>
  </si>
  <si>
    <t>PRISMA NG 20W IP44</t>
  </si>
  <si>
    <t>7219FotoProducto0.png</t>
  </si>
  <si>
    <t>EMBUTIDO CABEZAL</t>
  </si>
  <si>
    <t>Ø85 x 21 mm</t>
  </si>
  <si>
    <t>Ø66 mm</t>
  </si>
  <si>
    <t>7220FotoProducto0.png</t>
  </si>
  <si>
    <t>7220FotoDetalle1.jpg,7220FotoDetalle4.jpg,7220FotoDetalle5.jpg,7220FotoDetalle10.jpg,7220FotoDetalle11.jpg,7220FotoProducto1.png,7220FotoProducto2.png,7220FotoProducto3.png,7220FotoProducto4.png</t>
  </si>
  <si>
    <t>7220-7221dibujo.webp</t>
  </si>
  <si>
    <t>EMBUTIDO CABEZAL NG</t>
  </si>
  <si>
    <t>???</t>
  </si>
  <si>
    <t>EMBUTIDO CABEZAL BL</t>
  </si>
  <si>
    <t>7221FotoProducto0.png</t>
  </si>
  <si>
    <t>APLIQUE CABEZAL</t>
  </si>
  <si>
    <t>Ø90 x 20 mm</t>
  </si>
  <si>
    <t>7222FotoProducto0.png</t>
  </si>
  <si>
    <t>7222FotoProducto1.png</t>
  </si>
  <si>
    <t>7222-7223dibujo.webp</t>
  </si>
  <si>
    <t>APLIQUE CABEZAL NG</t>
  </si>
  <si>
    <t>APLIQUE CABEZAL BL</t>
  </si>
  <si>
    <t>7223FotoProducto0.png</t>
  </si>
  <si>
    <t>7223FotoDetalle0.jpg</t>
  </si>
  <si>
    <t>KIT CHILL 1,2 MTS</t>
  </si>
  <si>
    <t>Ø15 x 1200 mm</t>
  </si>
  <si>
    <t>7224FotoProducto0.png</t>
  </si>
  <si>
    <t>KIT CHILL 1,8 MTS</t>
  </si>
  <si>
    <t>Ø15 x 1800 mm</t>
  </si>
  <si>
    <t>7225FotoProducto0.png</t>
  </si>
  <si>
    <t>ADAPTADOR 3EF II</t>
  </si>
  <si>
    <t>71 x 32 x 41 mm</t>
  </si>
  <si>
    <t>7226FotoProducto0.png</t>
  </si>
  <si>
    <t>ADAPTADOR 3EF II NG</t>
  </si>
  <si>
    <t>ADAPTADOR 3EF II BL</t>
  </si>
  <si>
    <t>7227FotoProducto0.png</t>
  </si>
  <si>
    <t>CABLE TENSOR CORRIENTE 7MTS</t>
  </si>
  <si>
    <t>Ø2 x 7000 mm</t>
  </si>
  <si>
    <t>7228FotoProducto0.png</t>
  </si>
  <si>
    <t>TAPA 3 EF</t>
  </si>
  <si>
    <t>TAPA 3 EF NG</t>
  </si>
  <si>
    <t>TAPA 3 EF BL</t>
  </si>
  <si>
    <t>ALIMENTACION EXTREMO 3 EF</t>
  </si>
  <si>
    <t>ALIMENTACION EXTREMO 3 EF NG</t>
  </si>
  <si>
    <t>ALIMENTACION EXTREMO 3 EF BL</t>
  </si>
  <si>
    <t>TAPA DYNA EM AL</t>
  </si>
  <si>
    <t>7238FotoProducto0.png</t>
  </si>
  <si>
    <t>7238FotoProducto1.png</t>
  </si>
  <si>
    <t>7238-7239-cad.dwg</t>
  </si>
  <si>
    <t>TAPA DYNA EM AL BL</t>
  </si>
  <si>
    <t>TAPA DYNA EM AL NG</t>
  </si>
  <si>
    <t>7239FotoProducto0.png</t>
  </si>
  <si>
    <t>7239FotoProducto1.png</t>
  </si>
  <si>
    <t>CATEN 30 DR</t>
  </si>
  <si>
    <t>7246FotoProducto0.png</t>
  </si>
  <si>
    <t>7246FotoDetalle0.jpg,7246FotoProducto1.jpg,7246FotoProducto1.png,7246FotoProducto2.jpg,7246FotoProducto4.png,7246FotoProducto5.jpg,7246FotoProducto6.jpg</t>
  </si>
  <si>
    <t>PRISMA GR 12W IP44</t>
  </si>
  <si>
    <t>7248FotoProducto0.png</t>
  </si>
  <si>
    <t>7248-7249FotoDetalle0.png,7248-7249FotoDetalle1.jpg,7248-7249FotoProducto0.jpg,7248-7249FotoProducto1.jpg,7248-7249FotoProducto2.jpg,7248-7249FotoProducto3.png,7248-7249FotoProducto4.jpg,7248-7249FotoProducto5.jpg</t>
  </si>
  <si>
    <t>PRISMA GR 20W IP44</t>
  </si>
  <si>
    <t>7249FotoProducto0.png</t>
  </si>
  <si>
    <t>LAIVA NGNG 3000K</t>
  </si>
  <si>
    <t>7250FotoProducto0.png</t>
  </si>
  <si>
    <t>7250FotoDetalle1.jpg,7250FotoDetalle2.jpg,7250FotoDetalle3.jpg,7250FotoDetalle4.jpg,7250FotoProducto1.png</t>
  </si>
  <si>
    <t>LAIVA BL 3000K</t>
  </si>
  <si>
    <t>7251FotoProducto0.png</t>
  </si>
  <si>
    <t>7251FotoDetalle1.jpg,7251FotoDetalle2.jpg,7251FotoDetalle4.jpg,7251FotoDetalle5.jpg,7251FotoProducto1.png</t>
  </si>
  <si>
    <t>LAIVA II</t>
  </si>
  <si>
    <t>72 W</t>
  </si>
  <si>
    <t>4785 lm</t>
  </si>
  <si>
    <t>1600 x 180 x 120 mm</t>
  </si>
  <si>
    <t>7252FotoProducto0.png</t>
  </si>
  <si>
    <t>7252FotoDetalle0.png,7252FotoDetalle1.png,7252FotoProducto1.png</t>
  </si>
  <si>
    <t>LAIVA II.ldt</t>
  </si>
  <si>
    <t>7252-7253-cad.dwg</t>
  </si>
  <si>
    <t>7252-7253dibujo.webp</t>
  </si>
  <si>
    <t>7252-7253-curvacono.webp,7252-7253-curvapolar.webp</t>
  </si>
  <si>
    <t>LAIVA II NGNG 3000K</t>
  </si>
  <si>
    <t>LAIVA II NG 3000K</t>
  </si>
  <si>
    <t>7253FotoProducto0.png</t>
  </si>
  <si>
    <t>7253FotoDetalle2.jpg,7253FotoDetalle3.jpg,7253FotoDetalle4.jpg,7253FotoDetalle5.jpg,7253FotoDetalle6.jpg,7253FotoDetalle7.jpg,7253FotoDetalle8.jpg,7253FotoDetalle9.jpg,7253FotoDetalle10.jpg,7253FotoDetalle11.jpg</t>
  </si>
  <si>
    <t>POCKET VI BLNG 2700K TRIAC</t>
  </si>
  <si>
    <t>POCKET VI BLNG 3000K TRIAC</t>
  </si>
  <si>
    <t>7186FotoProducto0.png</t>
  </si>
  <si>
    <t>7186.png,7186FotoDetalle0.jpg,7186FotoDetalle1.jpg,7186FotoDetalle2.jpg,7186FotoDetalle3.jpg,7186FotoDetalle5.jpg,7186FotoDetalle6.jpg,7186FotoDetalle7.jpg,7186FotoDetalle8.jpg,7186FotoDetalle9.jpg</t>
  </si>
  <si>
    <t>POCKET VI NGNG 2700K TRIAC</t>
  </si>
  <si>
    <t>7287FotoProducto0.png</t>
  </si>
  <si>
    <t>7287FotoProducto1.png</t>
  </si>
  <si>
    <t>POCKET VI NGNG 3000K TRIAC</t>
  </si>
  <si>
    <t>7288FotoProducto0.png</t>
  </si>
  <si>
    <t>7288FotoProducto1.png</t>
  </si>
  <si>
    <t>POCKET XII</t>
  </si>
  <si>
    <t>240 x 31 x 40 mm</t>
  </si>
  <si>
    <t>236 x 27 mm</t>
  </si>
  <si>
    <t>7192FotoProducto0.png</t>
  </si>
  <si>
    <t>7192FotoDetalle0.jpg,7192FotoDetalle1.jpg,7192FotoDetalle2.jpg,7192FotoDetalle4.jpg,7192FotoDetalle5 (2).jpg,7192FotoDetalle5.jpg,7192FotoProducto1.png,7192FotoProducto2.png,7192FotoProducto3.png,7192FotoProducto4.png</t>
  </si>
  <si>
    <t>Ficha Técnica - POCKET XII.pdf</t>
  </si>
  <si>
    <t>POCKET XII.ldt</t>
  </si>
  <si>
    <t>POCKET XII BLBL 2700K</t>
  </si>
  <si>
    <t>POCKET XII BLNG 2700K</t>
  </si>
  <si>
    <t>7193FotoProducto0.png</t>
  </si>
  <si>
    <t>7193.png,7193FotoDetalle0.jpg,7193FotoDetalle1.jpg,7193FotoDetalle2.jpg,7193FotoDetalle3.jpg,7193FotoDetalle4.jpg,7193FotoDetalle5.jpg,7193FotoDetalle7.jpg,7193FotoDetalle8 (2).jpg,7193FotoDetalle8.jpg</t>
  </si>
  <si>
    <t>POCKET XII BLNG 3000K</t>
  </si>
  <si>
    <t>7194FotoProducto0.png</t>
  </si>
  <si>
    <t>7194.png,7194FotoDetalle0.jpg,7194FotoDetalle1.jpg,7194FotoDetalle2.jpg,7194FotoDetalle3.jpg,7194FotoDetalle4.jpg,7194FotoDetalle5.jpg,7194FotoDetalle7.jpg,7194FotoDetalle8 (2).jpg,7194FotoDetalle8.jpg</t>
  </si>
  <si>
    <t>POCKET XII BLBL 3000K</t>
  </si>
  <si>
    <t>7294FotoProducto0.png</t>
  </si>
  <si>
    <t>7294FotoDetalle0.jpg,7294FotoDetalle1.jpg,7294FotoDetalle2.jpg,7294FotoDetalle3.jpg,7294FotoDetalle4.jpg,7294FotoDetalle5.jpg,7294FotoProducto1.png,7294FotoProducto2.png,7294FotoProducto3.png,7294FotoProducto4.png</t>
  </si>
  <si>
    <t>POCKET XII NGNG 2700K</t>
  </si>
  <si>
    <t>7295FotoProducto0.png</t>
  </si>
  <si>
    <t>7295FotoDetalle0.jpg,7295FotoProducto1.png</t>
  </si>
  <si>
    <t>POCKET XII NGNG 3000K</t>
  </si>
  <si>
    <t>7296FotoProducto0.png</t>
  </si>
  <si>
    <t>7296FotoDetalle0.jpg,7296FotoProducto1.png</t>
  </si>
  <si>
    <t>POCKET XII TRIAC</t>
  </si>
  <si>
    <t>7190FotoProducto0.png</t>
  </si>
  <si>
    <t>7190.png,7190FotoDetalle0.jpg,7190FotoDetalle1.jpg,7190FotoDetalle2.jpg,7190FotoDetalle3.jpg,7190FotoDetalle4.jpg,7190FotoDetalle5.jpg,7190FotoDetalle7.jpg,7190FotoDetalle8.jpg,7190FotoDetalle9 (2).jpg</t>
  </si>
  <si>
    <t>POCKET XII BLNG 2700K TRIAC</t>
  </si>
  <si>
    <t>POCKET XII BLNG 3000K TRIAC</t>
  </si>
  <si>
    <t>7191FotoProducto0.png</t>
  </si>
  <si>
    <t>7191.png,7191FotoDetalle0.jpg,7191FotoDetalle1.jpg,7191FotoDetalle2.jpg,7191FotoDetalle3.jpg,7191FotoDetalle4.jpg,7191FotoDetalle5.jpg,7191FotoDetalle7.jpg,7191FotoDetalle8.jpg,7191FotoDetalle9 (2).jpg</t>
  </si>
  <si>
    <t>POCKET XII NGNG 2700K TRIAC</t>
  </si>
  <si>
    <t>7292FotoProducto0.png</t>
  </si>
  <si>
    <t>7292FotoDetalle0.jpg,7292FotoProducto1.png</t>
  </si>
  <si>
    <t>POCKET XII NGNG 3000K TRIAC</t>
  </si>
  <si>
    <t>7293FotoProducto0.png</t>
  </si>
  <si>
    <t>7293FotoDetalle0.jpg,7293FotoProducto1.png</t>
  </si>
  <si>
    <t>POCKET VI AP</t>
  </si>
  <si>
    <t>655 lm</t>
  </si>
  <si>
    <t>94 lm/W</t>
  </si>
  <si>
    <t>119.5 x 24.5 x 42 mm</t>
  </si>
  <si>
    <t>7195FotoProducto0.png</t>
  </si>
  <si>
    <t>7195FotoDetalle0.jpg,7195FotoDetalle1.jpg,7195FotoDetalle2.jpg,7195FotoDetalle3.jpg,7195FotoDetalle4.jpg,7195Fotoproducto1.jpg,7195FotoProducto1.png,7195Fotoproducto3.png,7195FotoProducto4.jpg,7195FotoProducto5.jpg</t>
  </si>
  <si>
    <t>Ficha Técnica - POCKET VI AP.pdf</t>
  </si>
  <si>
    <t>POCKET VI AP.ldt</t>
  </si>
  <si>
    <t>7195-7196-7197-7297-7298-7299-cad.dwg</t>
  </si>
  <si>
    <t>7195-7196-7197-7297-7298-7299dibujo.webp</t>
  </si>
  <si>
    <t>POCKET VI AP BLBL 2700K</t>
  </si>
  <si>
    <t>POCKET VI AP BLNG 2700K</t>
  </si>
  <si>
    <t>7196FotoProducto0.png</t>
  </si>
  <si>
    <t>7196FotoDetalle0.jpg,7196FotoDetalle1.jpg,7196FotoDetalle3 (2).jpg,7196FotoDetalle3.jpg,7196FotoDetalle4.jpg,7196FotoDetalle5.jpg,7196FotoDetalle6.jpg,7196Fotoproducto1.jpg,7196FotoProducto1.png,7196FotoProducto2.png</t>
  </si>
  <si>
    <t>POCKET VI AP BLNG 3000K</t>
  </si>
  <si>
    <t>7197FotoProducto0.png</t>
  </si>
  <si>
    <t>7197.png,7197FotoDetalle0.jpg,7197FotoDetalle1.jpg,7197FotoDetalle3.jpg,7197FotoDetalle4.jpg,7197FotoDetalle5.jpg,7197FotoDetalle6.jpg,7197FotoDetalle9.jpg,7197Fotoproducto1.jpg,7197Fotoproducto2.png</t>
  </si>
  <si>
    <t>POCKET VI AP BLBL 3000K</t>
  </si>
  <si>
    <t>7297FotoProducto0.png</t>
  </si>
  <si>
    <t>7297FotoDetalle0.jpg,7297FotoDetalle1.jpg,7297FotoDetalle2.jpg,7297FotoDetalle3.jpg,7297FotoDetalle4.jpg,7297Fotoproducto1.jpg,7297FotoProducto1.png,7297Fotoproducto3.png,7297FotoProducto4.jpg,7297FotoProducto5.jpg</t>
  </si>
  <si>
    <t>POCKET VI AP NGNG 2700K</t>
  </si>
  <si>
    <t>7298FotoProducto0.png</t>
  </si>
  <si>
    <t>7298FotoDetalle0.jpg,7298FotoProducto1.png,7298FotoProducto2.jpg,7298FotoProducto2.png</t>
  </si>
  <si>
    <t>POCKET VI AP NGNG 3000K</t>
  </si>
  <si>
    <t>7299FotoProducto0.png</t>
  </si>
  <si>
    <t>7299FotoDetalle0.jpg,7299FotoProducto1.png,7299FotoProducto2.jpg,7299FotoProducto2.png</t>
  </si>
  <si>
    <t>POCKET XII AP</t>
  </si>
  <si>
    <t>1610 lm</t>
  </si>
  <si>
    <t>107 lm/W</t>
  </si>
  <si>
    <t>233.5 x 24.5 x 42 mm</t>
  </si>
  <si>
    <t>7198FotoProducto0.png</t>
  </si>
  <si>
    <t>7198FotoDetalle0.jpg,7198FotoDetalle1.jpg,7198FotoDetalle2.jpg,7198FotoDetalle3.jpg,7198FotoDetalle7.jpg,7198FotoDetalle8.jpg,7198FotoProducto1.png,7198Fotoproducto2.jpg,7198Fotoproducto3.png,7198FotoProducto4.jpg</t>
  </si>
  <si>
    <t>Ficha Técnica - POCKET XII AP.pdf</t>
  </si>
  <si>
    <t>POCKET XII AP.ldt</t>
  </si>
  <si>
    <t>7198-7199-7200-7300-7301-7302-cad.dwg</t>
  </si>
  <si>
    <t>7198-7199-7200-7300-7301-7302dibujo.webp</t>
  </si>
  <si>
    <t>POCKET XII AP BLBL 2700K</t>
  </si>
  <si>
    <t>POCKET XII AP BLNG 2700K</t>
  </si>
  <si>
    <t>7199FotoProducto0.png</t>
  </si>
  <si>
    <t>7199FotoDetalle0.jpg,7199FotoDetalle1.jpg,7199FotoDetalle2.jpg,7199FotoDetalle3.jpg,7199FotoDetalle5.jpg,7199FotoDetalle6.jpg,7199FotoDetalle9.jpg,7199FotoDetalle17.jpg,7199FotoProducto0 - copia.png,7199FotoProducto1.png</t>
  </si>
  <si>
    <t>POCKET XII AP BLNG 3000K</t>
  </si>
  <si>
    <t>7200FotoProducto0.png</t>
  </si>
  <si>
    <t>7200.png,7200FotoDetalle0.jpg,7200FotoDetalle1.jpg,7200FotoDetalle2.jpg,7200FotoDetalle3.jpg,7200FotoDetalle5.jpg,7200FotoDetalle6.jpg,7200FotoDetalle7.jpg,7200FotoDetalle10.jpg,7200FotoProducto2.jpg</t>
  </si>
  <si>
    <t>POCKET XII AP BLBL 3000K</t>
  </si>
  <si>
    <t>7300FotoProducto0.png</t>
  </si>
  <si>
    <t>7300FotoDetalle0.jpg,7300FotoDetalle1.jpg,7300FotoDetalle2.jpg,7300FotoDetalle3.jpg,7300FotoDetalle7.jpg,7300FotoDetalle8.jpg,7300FotoProducto1.png,7300Fotoproducto2.jpg,7300Fotoproducto3.png,7300FotoProducto4.jpg</t>
  </si>
  <si>
    <t>POCKET XII AP NGNG 2700K</t>
  </si>
  <si>
    <t>7301FotoProducto0.png</t>
  </si>
  <si>
    <t>7301FotoDetalle0.jpg,7301FotoProducto1.jpg,7301FotoProducto2.png</t>
  </si>
  <si>
    <t>POCKET XII AP NGNG 3000K</t>
  </si>
  <si>
    <t>7302FotoProducto0.png</t>
  </si>
  <si>
    <t>7302FotoDetalle0.jpg,7302FotoProducto1.png,7302FotoProducto2.jpg,7302FotoProducto2.png</t>
  </si>
  <si>
    <t>7231-7229-7241FotoProducto0 (2).png</t>
  </si>
  <si>
    <t>RIEL 2MTS 3EF NG</t>
  </si>
  <si>
    <t>32 x 36 x 2000 mm</t>
  </si>
  <si>
    <t>7229-7230-cad.dwg</t>
  </si>
  <si>
    <t>7230-7229-7232-7231dibujo.webp</t>
  </si>
  <si>
    <t>RIEL 2MTS 3EF BL</t>
  </si>
  <si>
    <t>7232-7230-7242FotoProducto0 (1).png</t>
  </si>
  <si>
    <t>7232-7231-cad.dwg</t>
  </si>
  <si>
    <t>RIEL 3MTS 3EF BL</t>
  </si>
  <si>
    <t>7242-7241-cad.dwg</t>
  </si>
  <si>
    <t>MUST BL</t>
  </si>
  <si>
    <t>Nuevo</t>
  </si>
  <si>
    <t>7240FotoProducto0.png</t>
  </si>
  <si>
    <t>7240FotoDetalle.jpg,7240FotoProducto1.jpg</t>
  </si>
  <si>
    <t>CHILL 5W 220V 2200K</t>
  </si>
  <si>
    <t>0,5</t>
  </si>
  <si>
    <t>2200 K</t>
  </si>
  <si>
    <t>CHILL 5W 24V 2200K</t>
  </si>
  <si>
    <t>6742-6743-6744-6745-7303-7304FotoDetalle0.png,6742-6743-6744-6745-7303-7304FotoDetalle1.jpg,6742-6743-6744-6745-7303-7304FotoDetalle2.jpg,6742-6743-6744-6745-7303-7304FotoDetalle3.png,6742-6743-6744-6745-7303-7304FotoProducto0.png,6742-6743-6744-6745-7303-7304FotoProducto2.png,6742-6743-6744-6745-7303-7304FotoProducto3.png,6750-6813-6814-6815-7304-7308FotoDetalle0.jpg,6750-6813-6814-6815-7304-7308FotoDetalle1.png,6750-6813-6814-6815-7304-7308FotoDetalle2.jpg</t>
  </si>
  <si>
    <t>CHILL 10W 220V 2200K</t>
  </si>
  <si>
    <t>CHILL 10W 24V 2200K</t>
  </si>
  <si>
    <t>CHILL 20W 220V 2200K</t>
  </si>
  <si>
    <t>CHILL 20W 24V 2200K</t>
  </si>
  <si>
    <t>LUVA NG</t>
  </si>
  <si>
    <t>3400 lm</t>
  </si>
  <si>
    <t>113 lm/W</t>
  </si>
  <si>
    <t>165°</t>
  </si>
  <si>
    <t>Ø500 x 500 mm</t>
  </si>
  <si>
    <t>7309FotoProducto0.png</t>
  </si>
  <si>
    <t>7309FotoProducto1.png,7309FotoProducto2.png,7309FotoProducto3.png,7309FotoProducto4.png</t>
  </si>
  <si>
    <t>LUVA</t>
  </si>
  <si>
    <t>LUVA NG.ldt</t>
  </si>
  <si>
    <t>7309-7310-cad.dwg</t>
  </si>
  <si>
    <t>7309-7310dibujo.webp</t>
  </si>
  <si>
    <t>7309-curvacono.webp,7309-curvapolar.webp</t>
  </si>
  <si>
    <t>LUVA BL</t>
  </si>
  <si>
    <t>7310FotoProducto0.png</t>
  </si>
  <si>
    <t>7310FotoProducto1.png,7310FotoProducto2.png,7310FotoProducto3.png,7310FotoProducto4.png</t>
  </si>
  <si>
    <t>LUVA BL.ldt</t>
  </si>
  <si>
    <t>7310-curvacono.webp,7310-curvapolar.webp</t>
  </si>
  <si>
    <t>EKO VR</t>
  </si>
  <si>
    <t>0,6</t>
  </si>
  <si>
    <t>85 lm</t>
  </si>
  <si>
    <t>17 lm/W</t>
  </si>
  <si>
    <t>175°</t>
  </si>
  <si>
    <t>Ø450 x 100 mm</t>
  </si>
  <si>
    <t>Verde Oliva</t>
  </si>
  <si>
    <t>7425FotoDetalle2.png,7425FotoDetalle3.png,7425FotoDetalle4.jpg,7425FotoDetalle5.jpg,7425Fotoproducto1.jpg,7425Fotoproducto2.png,7425Fotoproducto3.png</t>
  </si>
  <si>
    <t>EKO</t>
  </si>
  <si>
    <t>EKO VR.ldt</t>
  </si>
  <si>
    <t>7425dibujo.webp</t>
  </si>
  <si>
    <t>7425-curvacono.webp,7425-curvapolar.webp</t>
  </si>
  <si>
    <t>AXIS BL</t>
  </si>
  <si>
    <t>735 lm</t>
  </si>
  <si>
    <t>Ø57 x 400 mm</t>
  </si>
  <si>
    <t>7426FotoProducto0.png</t>
  </si>
  <si>
    <t>7426FotoDetalle0.jpg,7426FotoProducto1.png</t>
  </si>
  <si>
    <t>AXIS</t>
  </si>
  <si>
    <t>AXIS BL.ldt</t>
  </si>
  <si>
    <t>7426-cad.dwg</t>
  </si>
  <si>
    <t>7426dibujo.webp</t>
  </si>
  <si>
    <t>7426-curvacono.webp,7426-curvapolar.webp</t>
  </si>
  <si>
    <t>AXIS II BL</t>
  </si>
  <si>
    <t>785 lm</t>
  </si>
  <si>
    <t>79 lm/W</t>
  </si>
  <si>
    <t>Ø76 x 600 mm</t>
  </si>
  <si>
    <t>7427FotoProducto0.png</t>
  </si>
  <si>
    <t>7427FotoDetalle0.jpg,7427FotoProducto1.png</t>
  </si>
  <si>
    <t>AXIS II BL.ldt</t>
  </si>
  <si>
    <t>7427-cad.dwg</t>
  </si>
  <si>
    <t>7427dibujo.webp</t>
  </si>
  <si>
    <t>7427-curvacono.webp,7427-curvapolar.webp</t>
  </si>
  <si>
    <t>Fecha y hora</t>
  </si>
  <si>
    <t>Ejecución</t>
  </si>
  <si>
    <t>Tipo</t>
  </si>
  <si>
    <t>Fila Base</t>
  </si>
  <si>
    <t>Columna</t>
  </si>
  <si>
    <t>Valor anterior</t>
  </si>
  <si>
    <t>Valor nuevo</t>
  </si>
  <si>
    <t>Detalle</t>
  </si>
  <si>
    <t>Columna formulada</t>
  </si>
  <si>
    <t>02/10/2026 16:15:35</t>
  </si>
  <si>
    <t>23</t>
  </si>
  <si>
    <t>RESUMEN</t>
  </si>
  <si>
    <t>Modo prueba: no se escribió en Base. Filas revisadas: 617 | Filas con cambios: 617 | Celdas cambiadas: 1351 | Copias Fichas técnicas → Manual de instalación: 795 | SKU sin Maestro: 0 | Duplicados (SKU + nombre): 0 | Padres variables omitidos del sync: 178 | Columnas sincronizadas: 30</t>
  </si>
  <si>
    <t>ADVERTENCIA</t>
  </si>
  <si>
    <t>El índice no tiene columna de origen en el Maestro.</t>
  </si>
  <si>
    <t>INFO</t>
  </si>
  <si>
    <t>Columna excluida por configuración (pendiente definir qué se trae).</t>
  </si>
  <si>
    <t>CAMBIO (simulado)</t>
  </si>
  <si>
    <t>4169</t>
  </si>
  <si>
    <t>Copia de "Fichas técnicas".</t>
  </si>
  <si>
    <t>4170</t>
  </si>
  <si>
    <t>4177</t>
  </si>
  <si>
    <t>4179</t>
  </si>
  <si>
    <t>4180</t>
  </si>
  <si>
    <t>4181</t>
  </si>
  <si>
    <t>4182</t>
  </si>
  <si>
    <t>4183</t>
  </si>
  <si>
    <t>4184</t>
  </si>
  <si>
    <t>4185</t>
  </si>
  <si>
    <t>4188</t>
  </si>
  <si>
    <t>4189</t>
  </si>
  <si>
    <t>4190</t>
  </si>
  <si>
    <t>4195</t>
  </si>
  <si>
    <t>4196</t>
  </si>
  <si>
    <t>4196-4197-4198-4199-4200-4201-4202-4203-manual.pdf</t>
  </si>
  <si>
    <t>4197</t>
  </si>
  <si>
    <t>4198</t>
  </si>
  <si>
    <t>4199</t>
  </si>
  <si>
    <t>4200</t>
  </si>
  <si>
    <t>4201</t>
  </si>
  <si>
    <t>4202</t>
  </si>
  <si>
    <t>4203</t>
  </si>
  <si>
    <t>4204</t>
  </si>
  <si>
    <t>4204-4205-manual.pdf</t>
  </si>
  <si>
    <t>4205</t>
  </si>
  <si>
    <t>4217</t>
  </si>
  <si>
    <t>4232</t>
  </si>
  <si>
    <t>4232-4233-manual.pdf</t>
  </si>
  <si>
    <t>4233</t>
  </si>
  <si>
    <t>4244</t>
  </si>
  <si>
    <t>4245</t>
  </si>
  <si>
    <t>6031</t>
  </si>
  <si>
    <t>6032</t>
  </si>
  <si>
    <t>6033</t>
  </si>
  <si>
    <t>70</t>
  </si>
  <si>
    <t>6034</t>
  </si>
  <si>
    <t>6035</t>
  </si>
  <si>
    <t>6036</t>
  </si>
  <si>
    <t>6037</t>
  </si>
  <si>
    <t>6038</t>
  </si>
  <si>
    <t>6039</t>
  </si>
  <si>
    <t>6045</t>
  </si>
  <si>
    <t>6045-6046-manual.pdf</t>
  </si>
  <si>
    <t>6046</t>
  </si>
  <si>
    <t>6096</t>
  </si>
  <si>
    <t>6097</t>
  </si>
  <si>
    <t>6098</t>
  </si>
  <si>
    <t>6099</t>
  </si>
  <si>
    <t>6100</t>
  </si>
  <si>
    <t>6101</t>
  </si>
  <si>
    <t>6102</t>
  </si>
  <si>
    <t>6103</t>
  </si>
  <si>
    <t>6104</t>
  </si>
  <si>
    <t>6106</t>
  </si>
  <si>
    <t>EMI</t>
  </si>
  <si>
    <t>6108</t>
  </si>
  <si>
    <t>6109</t>
  </si>
  <si>
    <t>6112</t>
  </si>
  <si>
    <t>6113</t>
  </si>
  <si>
    <t>6116</t>
  </si>
  <si>
    <t>6117</t>
  </si>
  <si>
    <t>6118</t>
  </si>
  <si>
    <t>6119</t>
  </si>
  <si>
    <t>6120</t>
  </si>
  <si>
    <t>6123</t>
  </si>
  <si>
    <t>6125</t>
  </si>
  <si>
    <t>6126</t>
  </si>
  <si>
    <t>6127</t>
  </si>
  <si>
    <t>6128</t>
  </si>
  <si>
    <t>6129</t>
  </si>
  <si>
    <t>6130</t>
  </si>
  <si>
    <t>6131</t>
  </si>
  <si>
    <t>RAMI</t>
  </si>
  <si>
    <t>6132</t>
  </si>
  <si>
    <t>6133</t>
  </si>
  <si>
    <t>6134</t>
  </si>
  <si>
    <t>6135</t>
  </si>
  <si>
    <t>6136</t>
  </si>
  <si>
    <t>6138</t>
  </si>
  <si>
    <t>ZALO</t>
  </si>
  <si>
    <t>6323</t>
  </si>
  <si>
    <t>6324</t>
  </si>
  <si>
    <t>6325</t>
  </si>
  <si>
    <t>6327</t>
  </si>
  <si>
    <t>6328</t>
  </si>
  <si>
    <t>6329</t>
  </si>
  <si>
    <t>MAG</t>
  </si>
  <si>
    <t>6330</t>
  </si>
  <si>
    <t>6331</t>
  </si>
  <si>
    <t>6332</t>
  </si>
  <si>
    <t>6383</t>
  </si>
  <si>
    <t>6427</t>
  </si>
  <si>
    <t>6428</t>
  </si>
  <si>
    <t>6431</t>
  </si>
  <si>
    <t>6432</t>
  </si>
  <si>
    <t>6433</t>
  </si>
  <si>
    <t>6434</t>
  </si>
  <si>
    <t>6435</t>
  </si>
  <si>
    <t>6436</t>
  </si>
  <si>
    <t>6437</t>
  </si>
  <si>
    <t>6438</t>
  </si>
  <si>
    <t>PRA</t>
  </si>
  <si>
    <t>6439</t>
  </si>
  <si>
    <t>NIK</t>
  </si>
  <si>
    <t>6440</t>
  </si>
  <si>
    <t>6440-6441-6448-6449-6456-6457-6464-6465-manual.pdf</t>
  </si>
  <si>
    <t>6441</t>
  </si>
  <si>
    <t>6442</t>
  </si>
  <si>
    <t>6442-6443-6450-6451-6458-6459-6466-6467-manual.pdf</t>
  </si>
  <si>
    <t>6443</t>
  </si>
  <si>
    <t>6444</t>
  </si>
  <si>
    <t>6444-6445-6452-6453-6460-6461-6468-6469-manual.pdf</t>
  </si>
  <si>
    <t>6445</t>
  </si>
  <si>
    <t>6446</t>
  </si>
  <si>
    <t>6446-6447-6454-6455-6462-6463-6470-6471-manual.pdf</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</si>
  <si>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</si>
  <si>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</si>
  <si>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</si>
  <si>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</si>
  <si>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</si>
  <si>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</si>
  <si>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</si>
  <si>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</si>
  <si>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</si>
  <si>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</si>
  <si>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</si>
  <si>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</si>
  <si>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</si>
  <si>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</si>
  <si>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</si>
  <si>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</si>
  <si>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</si>
  <si>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</si>
  <si>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</si>
  <si>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</si>
  <si>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</si>
  <si>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</si>
  <si>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</si>
  <si>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</si>
  <si>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</si>
  <si>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6485</t>
  </si>
  <si>
    <t>LAMPY DE MESA</t>
  </si>
  <si>
    <t>6486</t>
  </si>
  <si>
    <t>6487</t>
  </si>
  <si>
    <t>6488</t>
  </si>
  <si>
    <t>6489</t>
  </si>
  <si>
    <t>6492</t>
  </si>
  <si>
    <t>LAMPY DE PIE</t>
  </si>
  <si>
    <t>6494</t>
  </si>
  <si>
    <t>6563</t>
  </si>
  <si>
    <t>6564</t>
  </si>
  <si>
    <t>6565</t>
  </si>
  <si>
    <t>6566</t>
  </si>
  <si>
    <t>6567</t>
  </si>
  <si>
    <t>6568</t>
  </si>
  <si>
    <t>6569</t>
  </si>
  <si>
    <t>6570</t>
  </si>
  <si>
    <t>6571</t>
  </si>
  <si>
    <t>6572</t>
  </si>
  <si>
    <t>6573</t>
  </si>
  <si>
    <t>6574</t>
  </si>
  <si>
    <t>6575</t>
  </si>
  <si>
    <t>6576</t>
  </si>
  <si>
    <t>6577</t>
  </si>
  <si>
    <t>6578</t>
  </si>
  <si>
    <t>6579</t>
  </si>
  <si>
    <t>6580</t>
  </si>
  <si>
    <t>6581</t>
  </si>
  <si>
    <t>6582</t>
  </si>
  <si>
    <t>220 Vac  - Hasta 10A</t>
  </si>
  <si>
    <t>34 x 17 x 3000 (Ancho x Alto x Largo)</t>
  </si>
  <si>
    <t>6583</t>
  </si>
  <si>
    <t>6584</t>
  </si>
  <si>
    <t>34 x 17 x 2000 (Ancho x Alto x Largo)</t>
  </si>
  <si>
    <t>6585</t>
  </si>
  <si>
    <t>6586</t>
  </si>
  <si>
    <t>34 x 17 x 1000 (Ancho x Alto x Largo)</t>
  </si>
  <si>
    <t>6587</t>
  </si>
  <si>
    <t>6588</t>
  </si>
  <si>
    <t>6589</t>
  </si>
  <si>
    <t>6590</t>
  </si>
  <si>
    <t>6591</t>
  </si>
  <si>
    <t>6592</t>
  </si>
  <si>
    <t>6593</t>
  </si>
  <si>
    <t>6594</t>
  </si>
  <si>
    <t>6595</t>
  </si>
  <si>
    <t>6596</t>
  </si>
  <si>
    <t>6597</t>
  </si>
  <si>
    <t>6598</t>
  </si>
  <si>
    <t>6599</t>
  </si>
  <si>
    <t>6600</t>
  </si>
  <si>
    <t>6601</t>
  </si>
  <si>
    <t>6602</t>
  </si>
  <si>
    <t>6603</t>
  </si>
  <si>
    <t>6604</t>
  </si>
  <si>
    <t>6605</t>
  </si>
  <si>
    <t>6607</t>
  </si>
  <si>
    <t>32 x 36 x 3000 (Ancho x Alto x Largo)</t>
  </si>
  <si>
    <t>6610</t>
  </si>
  <si>
    <t>32 x 36 x 1000 (Ancho x Alto x Largo)</t>
  </si>
  <si>
    <t>6611</t>
  </si>
  <si>
    <t>6612</t>
  </si>
  <si>
    <t>6613</t>
  </si>
  <si>
    <t>6614</t>
  </si>
  <si>
    <t>6614-6615-6619-6711-7028-7029-manual.pdf</t>
  </si>
  <si>
    <t>6615</t>
  </si>
  <si>
    <t>6618</t>
  </si>
  <si>
    <t>6618-manual.pdf</t>
  </si>
  <si>
    <t>6619</t>
  </si>
  <si>
    <t>6621</t>
  </si>
  <si>
    <t>BIZ 1EF</t>
  </si>
  <si>
    <t>6622</t>
  </si>
  <si>
    <t>6623</t>
  </si>
  <si>
    <t>BIZ 3EF</t>
  </si>
  <si>
    <t>6624</t>
  </si>
  <si>
    <t>6625</t>
  </si>
  <si>
    <t>6626</t>
  </si>
  <si>
    <t>6627</t>
  </si>
  <si>
    <t>60 x 15 x 3000 (Ancho x Alto x Prof)</t>
  </si>
  <si>
    <t>6628</t>
  </si>
  <si>
    <t>6631</t>
  </si>
  <si>
    <t>6632</t>
  </si>
  <si>
    <t>6633</t>
  </si>
  <si>
    <t>Ø270 x Prof 45</t>
  </si>
  <si>
    <t>6634</t>
  </si>
  <si>
    <t>6635</t>
  </si>
  <si>
    <t>6638</t>
  </si>
  <si>
    <t>6639</t>
  </si>
  <si>
    <t>6641</t>
  </si>
  <si>
    <t>6642</t>
  </si>
  <si>
    <t>6643</t>
  </si>
  <si>
    <t>6644</t>
  </si>
  <si>
    <t>42 x 20 x 1000 (Ancho x Alto x Largo)</t>
  </si>
  <si>
    <t>6645</t>
  </si>
  <si>
    <t>6646</t>
  </si>
  <si>
    <t>42 x 20 x 2000 (Ancho x Alto x Largo)</t>
  </si>
  <si>
    <t>6647</t>
  </si>
  <si>
    <t>6648</t>
  </si>
  <si>
    <t>42 x 20 x 3000 (Ancho x Alto x Largo)</t>
  </si>
  <si>
    <t>6649</t>
  </si>
  <si>
    <t>6650</t>
  </si>
  <si>
    <t>42 x 36 x 1000 (Ancho x Alto x Largo)</t>
  </si>
  <si>
    <t>6651</t>
  </si>
  <si>
    <t>6652</t>
  </si>
  <si>
    <t>42 x 36 x 2000 (Ancho x Alto x Largo)</t>
  </si>
  <si>
    <t>6653</t>
  </si>
  <si>
    <t>6654</t>
  </si>
  <si>
    <t>42 x 36 x 3000 (Ancho x Alto x Largo)</t>
  </si>
  <si>
    <t>6655</t>
  </si>
  <si>
    <t>6656</t>
  </si>
  <si>
    <t>6662-Dyna-manual.pdf</t>
  </si>
  <si>
    <t>33 x 60 x 600 (Ancho x Alto x Largo)</t>
  </si>
  <si>
    <t>6657</t>
  </si>
  <si>
    <t>6658</t>
  </si>
  <si>
    <t>33 x 60 x 1200 (Ancho x Alto x Largo)</t>
  </si>
  <si>
    <t>6659</t>
  </si>
  <si>
    <t>6660</t>
  </si>
  <si>
    <t>33 x 60 x 1800 (Ancho x Alto x Largo)</t>
  </si>
  <si>
    <t>6661</t>
  </si>
  <si>
    <t>6662</t>
  </si>
  <si>
    <t>33 x 60 x 2400 (Ancho x Alto x Largo)</t>
  </si>
  <si>
    <t>6663</t>
  </si>
  <si>
    <t>6664</t>
  </si>
  <si>
    <t>33 x 60 x 1000 (Ancho x Alto x Largo)</t>
  </si>
  <si>
    <t>6665</t>
  </si>
  <si>
    <t>6668</t>
  </si>
  <si>
    <t>6669</t>
  </si>
  <si>
    <t>6670</t>
  </si>
  <si>
    <t>6671</t>
  </si>
  <si>
    <t>6672</t>
  </si>
  <si>
    <t>6673</t>
  </si>
  <si>
    <t>6674</t>
  </si>
  <si>
    <t>6675</t>
  </si>
  <si>
    <t>6676</t>
  </si>
  <si>
    <t>6677</t>
  </si>
  <si>
    <t>6678</t>
  </si>
  <si>
    <t>6679</t>
  </si>
  <si>
    <t>6680</t>
  </si>
  <si>
    <t>6681</t>
  </si>
  <si>
    <t>6682</t>
  </si>
  <si>
    <t>6683</t>
  </si>
  <si>
    <t>6684</t>
  </si>
  <si>
    <t>6685</t>
  </si>
  <si>
    <t>6686</t>
  </si>
  <si>
    <t>33 x 60 x 3 (Ancho x Alto x Prof)</t>
  </si>
  <si>
    <t>6687</t>
  </si>
  <si>
    <t>6688</t>
  </si>
  <si>
    <t>6689</t>
  </si>
  <si>
    <t>6690</t>
  </si>
  <si>
    <t>6691</t>
  </si>
  <si>
    <t>DYNA DRIVERS</t>
  </si>
  <si>
    <t>6692</t>
  </si>
  <si>
    <t>6693</t>
  </si>
  <si>
    <t>6694</t>
  </si>
  <si>
    <t>6695</t>
  </si>
  <si>
    <t>6696</t>
  </si>
  <si>
    <t>6697</t>
  </si>
  <si>
    <t>6698</t>
  </si>
  <si>
    <t>6699</t>
  </si>
  <si>
    <t>6700</t>
  </si>
  <si>
    <t>6701</t>
  </si>
  <si>
    <t>6702</t>
  </si>
  <si>
    <t>6712</t>
  </si>
  <si>
    <t>6712-6714-6715-manual.pdf</t>
  </si>
  <si>
    <t>6714</t>
  </si>
  <si>
    <t>6715</t>
  </si>
  <si>
    <t>6716</t>
  </si>
  <si>
    <t>Cable y Tensor 1,5mts Florón: Ø120 x 25</t>
  </si>
  <si>
    <t>6718</t>
  </si>
  <si>
    <t>MOMO EXT</t>
  </si>
  <si>
    <t>6719</t>
  </si>
  <si>
    <t>6720</t>
  </si>
  <si>
    <t>6721</t>
  </si>
  <si>
    <t>6722</t>
  </si>
  <si>
    <t>6723</t>
  </si>
  <si>
    <t>6724</t>
  </si>
  <si>
    <t>6725</t>
  </si>
  <si>
    <t>6726</t>
  </si>
  <si>
    <t>6727</t>
  </si>
  <si>
    <t>6734</t>
  </si>
  <si>
    <t>33 x 60 x 120 (Ancho x Alto x Largo)</t>
  </si>
  <si>
    <t>6735</t>
  </si>
  <si>
    <t>6736</t>
  </si>
  <si>
    <t>6737</t>
  </si>
  <si>
    <t>6738</t>
  </si>
  <si>
    <t>6739</t>
  </si>
  <si>
    <t>6740</t>
  </si>
  <si>
    <t>6741</t>
  </si>
  <si>
    <t>6742</t>
  </si>
  <si>
    <t>6742-Chill-manual.pdf</t>
  </si>
  <si>
    <t>6743</t>
  </si>
  <si>
    <t>6744</t>
  </si>
  <si>
    <t>6745</t>
  </si>
  <si>
    <t>6746</t>
  </si>
  <si>
    <t>6747</t>
  </si>
  <si>
    <t>6748</t>
  </si>
  <si>
    <t>6749</t>
  </si>
  <si>
    <t>6750</t>
  </si>
  <si>
    <t>6751</t>
  </si>
  <si>
    <t>6752</t>
  </si>
  <si>
    <t>6755</t>
  </si>
  <si>
    <t>6756</t>
  </si>
  <si>
    <t>6757</t>
  </si>
  <si>
    <t>6758</t>
  </si>
  <si>
    <t>6759</t>
  </si>
  <si>
    <t>6760</t>
  </si>
  <si>
    <t>6761</t>
  </si>
  <si>
    <t>6762</t>
  </si>
  <si>
    <t>6763</t>
  </si>
  <si>
    <t>6764</t>
  </si>
  <si>
    <t>6765</t>
  </si>
  <si>
    <t>6765-6766-7042-7043-7044-7045-7046-7047-manual.pdf</t>
  </si>
  <si>
    <t>MIRACLE</t>
  </si>
  <si>
    <t>6766</t>
  </si>
  <si>
    <t>6767</t>
  </si>
  <si>
    <t>BONY</t>
  </si>
  <si>
    <t>6768</t>
  </si>
  <si>
    <t>CARAMEL</t>
  </si>
  <si>
    <t>6769</t>
  </si>
  <si>
    <t>6769-6770-manual.pdf</t>
  </si>
  <si>
    <t>6770</t>
  </si>
  <si>
    <t>6771</t>
  </si>
  <si>
    <t>6772</t>
  </si>
  <si>
    <t>LUKA</t>
  </si>
  <si>
    <t>6773</t>
  </si>
  <si>
    <t>6774</t>
  </si>
  <si>
    <t>6775</t>
  </si>
  <si>
    <t>6776</t>
  </si>
  <si>
    <t>6777</t>
  </si>
  <si>
    <t>6778</t>
  </si>
  <si>
    <t>6780</t>
  </si>
  <si>
    <t>6781</t>
  </si>
  <si>
    <t>6782</t>
  </si>
  <si>
    <t>6783</t>
  </si>
  <si>
    <t>6784</t>
  </si>
  <si>
    <t>6784-6785-manual.pdf</t>
  </si>
  <si>
    <t>6785</t>
  </si>
  <si>
    <t>6786</t>
  </si>
  <si>
    <t>6786-6787-manual.pdf</t>
  </si>
  <si>
    <t>6787</t>
  </si>
  <si>
    <t>6788</t>
  </si>
  <si>
    <t>6788-6789-manual.pdf</t>
  </si>
  <si>
    <t>6789</t>
  </si>
  <si>
    <t>6790</t>
  </si>
  <si>
    <t>6790-6791-manual.pdf</t>
  </si>
  <si>
    <t>6791</t>
  </si>
  <si>
    <t>6792</t>
  </si>
  <si>
    <t>6792-6793-manual.pdf</t>
  </si>
  <si>
    <t>6793</t>
  </si>
  <si>
    <t>6794</t>
  </si>
  <si>
    <t>6794-6795-6796-6797-manual.pdf</t>
  </si>
  <si>
    <t>CAMBOYA</t>
  </si>
  <si>
    <t>6795</t>
  </si>
  <si>
    <t>6796</t>
  </si>
  <si>
    <t>6797</t>
  </si>
  <si>
    <t>6798</t>
  </si>
  <si>
    <t>6798-6799-manual.pdf</t>
  </si>
  <si>
    <t>6799</t>
  </si>
  <si>
    <t>6800</t>
  </si>
  <si>
    <t>6800-6801-manual.pdf</t>
  </si>
  <si>
    <t>6801</t>
  </si>
  <si>
    <t>6802</t>
  </si>
  <si>
    <t>6802-6803-manual.pdf</t>
  </si>
  <si>
    <t>(Ø400/Ø600/Ø800) x 70</t>
  </si>
  <si>
    <t>6803</t>
  </si>
  <si>
    <t>6804</t>
  </si>
  <si>
    <t>6805</t>
  </si>
  <si>
    <t>6806</t>
  </si>
  <si>
    <t>6807</t>
  </si>
  <si>
    <t>6810</t>
  </si>
  <si>
    <t>18 x 7 x 1000 (Ancho x Alto x Largo)</t>
  </si>
  <si>
    <t>6811</t>
  </si>
  <si>
    <t>6812</t>
  </si>
  <si>
    <t>15 x 30 x 2000 (Ancho x Alto x Largo)</t>
  </si>
  <si>
    <t>6813</t>
  </si>
  <si>
    <t>6814</t>
  </si>
  <si>
    <t>6815</t>
  </si>
  <si>
    <t>6816</t>
  </si>
  <si>
    <t>6817</t>
  </si>
  <si>
    <t>6818</t>
  </si>
  <si>
    <t>6819</t>
  </si>
  <si>
    <t>6820</t>
  </si>
  <si>
    <t>6821</t>
  </si>
  <si>
    <t>6822</t>
  </si>
  <si>
    <t>6823</t>
  </si>
  <si>
    <t>CONECTOR</t>
  </si>
  <si>
    <t>6824</t>
  </si>
  <si>
    <t>6825</t>
  </si>
  <si>
    <t>6826</t>
  </si>
  <si>
    <t>6827</t>
  </si>
  <si>
    <t>6828</t>
  </si>
  <si>
    <t>6829</t>
  </si>
  <si>
    <t>6829-6830-manual.pdf</t>
  </si>
  <si>
    <t>Cable y Tensor 2mts Florón: Ø110 x 25</t>
  </si>
  <si>
    <t>6830</t>
  </si>
  <si>
    <t>6831</t>
  </si>
  <si>
    <t>Manual instalación Familia Cielo REN SUN.pdf</t>
  </si>
  <si>
    <t>596 x 361 (frente 295) x 190</t>
  </si>
  <si>
    <t>6832</t>
  </si>
  <si>
    <t>1196 x 361 (frente 295) x 190</t>
  </si>
  <si>
    <t>6834</t>
  </si>
  <si>
    <t>6835</t>
  </si>
  <si>
    <t>6837</t>
  </si>
  <si>
    <t>6838</t>
  </si>
  <si>
    <t>6838-6839-manual.pdf</t>
  </si>
  <si>
    <t>6839</t>
  </si>
  <si>
    <t>6840</t>
  </si>
  <si>
    <t>6840-6841-manual.pdf</t>
  </si>
  <si>
    <t>6841</t>
  </si>
  <si>
    <t>6842</t>
  </si>
  <si>
    <t>6842-6855-6856-manual.pdf</t>
  </si>
  <si>
    <t>6843</t>
  </si>
  <si>
    <t>6843-6844-6868-6869-manual.pdf</t>
  </si>
  <si>
    <t>MIJA</t>
  </si>
  <si>
    <t>6844</t>
  </si>
  <si>
    <t>6845</t>
  </si>
  <si>
    <t>6845-6846-6870-6871-manual.pdf</t>
  </si>
  <si>
    <t>6846</t>
  </si>
  <si>
    <t>6847</t>
  </si>
  <si>
    <t>6848</t>
  </si>
  <si>
    <t>6849</t>
  </si>
  <si>
    <t>6850</t>
  </si>
  <si>
    <t>6851</t>
  </si>
  <si>
    <t>6852</t>
  </si>
  <si>
    <t>6853</t>
  </si>
  <si>
    <t>33 x 60 x 300 (Ancho x Alto x Largo)</t>
  </si>
  <si>
    <t>6854</t>
  </si>
  <si>
    <t>6855</t>
  </si>
  <si>
    <t>6856</t>
  </si>
  <si>
    <t>6857</t>
  </si>
  <si>
    <t>6857-6858-6859-6860-manual.pdf</t>
  </si>
  <si>
    <t>6858</t>
  </si>
  <si>
    <t>6859</t>
  </si>
  <si>
    <t>6860</t>
  </si>
  <si>
    <t>6868</t>
  </si>
  <si>
    <t>6869</t>
  </si>
  <si>
    <t>6870</t>
  </si>
  <si>
    <t>6871</t>
  </si>
  <si>
    <t>7008</t>
  </si>
  <si>
    <t>7009</t>
  </si>
  <si>
    <t>7010</t>
  </si>
  <si>
    <t>7238-7239-manual.pdf</t>
  </si>
  <si>
    <t>1,0</t>
  </si>
  <si>
    <t>7011</t>
  </si>
  <si>
    <t>7012</t>
  </si>
  <si>
    <t>7013</t>
  </si>
  <si>
    <t>7014</t>
  </si>
  <si>
    <t>7015</t>
  </si>
  <si>
    <t>7016</t>
  </si>
  <si>
    <t>7017</t>
  </si>
  <si>
    <t>7018</t>
  </si>
  <si>
    <t>L de 40 x 310</t>
  </si>
  <si>
    <t>7019</t>
  </si>
  <si>
    <t>7020</t>
  </si>
  <si>
    <t>270 x 440 60</t>
  </si>
  <si>
    <t>7021</t>
  </si>
  <si>
    <t>7022</t>
  </si>
  <si>
    <t>7023</t>
  </si>
  <si>
    <t>7024</t>
  </si>
  <si>
    <t>7025</t>
  </si>
  <si>
    <t>7026</t>
  </si>
  <si>
    <t>7027</t>
  </si>
  <si>
    <t>7028</t>
  </si>
  <si>
    <t>Ø210 X 50 mm</t>
  </si>
  <si>
    <t>7029</t>
  </si>
  <si>
    <t>Ø330 X 55 mm</t>
  </si>
  <si>
    <t>7030</t>
  </si>
  <si>
    <t>7031</t>
  </si>
  <si>
    <t>7032</t>
  </si>
  <si>
    <t>7033</t>
  </si>
  <si>
    <t>7034</t>
  </si>
  <si>
    <t>7035</t>
  </si>
  <si>
    <t>7036</t>
  </si>
  <si>
    <t>MEX 3CCT</t>
  </si>
  <si>
    <t>7037</t>
  </si>
  <si>
    <t>7038</t>
  </si>
  <si>
    <t>7039</t>
  </si>
  <si>
    <t>7040</t>
  </si>
  <si>
    <t>7041</t>
  </si>
  <si>
    <t>7042</t>
  </si>
  <si>
    <t>MIRACLE II S</t>
  </si>
  <si>
    <t>1900 + 875</t>
  </si>
  <si>
    <t>7043</t>
  </si>
  <si>
    <t>7044</t>
  </si>
  <si>
    <t>0,97</t>
  </si>
  <si>
    <t>7045</t>
  </si>
  <si>
    <t>2920 + 955</t>
  </si>
  <si>
    <t>7046</t>
  </si>
  <si>
    <t>7047</t>
  </si>
  <si>
    <t>02/10/2026 16:27:45</t>
  </si>
  <si>
    <t>24</t>
  </si>
  <si>
    <t>Cambios aplicados en Base. Filas revisadas: 617 | Filas con cambios: 617 | Celdas cambiadas: 1351 | Copias Fichas técnicas → Manual de instalación: 795 | SKU sin Maestro: 0 | Duplicados (SKU + nombre): 0 | Padres variables omitidos del sync: 178 | Columnas sincronizadas: 30</t>
  </si>
  <si>
    <t>CAMBIO</t>
  </si>
  <si>
    <t>7048</t>
  </si>
  <si>
    <t>7048-manual.pdf</t>
  </si>
  <si>
    <t>WALLE</t>
  </si>
  <si>
    <t>7049</t>
  </si>
  <si>
    <t>7049-7050-manual.pdf</t>
  </si>
  <si>
    <t>7050</t>
  </si>
  <si>
    <t>7051</t>
  </si>
  <si>
    <t>7051-7052-manual.pdf</t>
  </si>
  <si>
    <t>7052</t>
  </si>
  <si>
    <t>7053</t>
  </si>
  <si>
    <t>7053-7054-manual.pdf</t>
  </si>
  <si>
    <t>7054</t>
  </si>
  <si>
    <t>7055</t>
  </si>
  <si>
    <t>7055-7056-manual.pdf</t>
  </si>
  <si>
    <t>7056</t>
  </si>
  <si>
    <t>7057</t>
  </si>
  <si>
    <t>7057-7058-manual.pdf</t>
  </si>
  <si>
    <t>7058</t>
  </si>
  <si>
    <t>7059</t>
  </si>
  <si>
    <t>7059-7060-manual.pdf</t>
  </si>
  <si>
    <t>7060</t>
  </si>
  <si>
    <t>7061</t>
  </si>
  <si>
    <t>7062</t>
  </si>
  <si>
    <t>7063</t>
  </si>
  <si>
    <t>7063-7064-manual.pdf</t>
  </si>
  <si>
    <t>7064</t>
  </si>
  <si>
    <t>7065</t>
  </si>
  <si>
    <t>7065-7066-7250-7251-manual.pdf</t>
  </si>
  <si>
    <t>7066</t>
  </si>
  <si>
    <t>7067</t>
  </si>
  <si>
    <t>7067-manual.pdf</t>
  </si>
  <si>
    <t>ULÁN</t>
  </si>
  <si>
    <t>7068</t>
  </si>
  <si>
    <t>7068-manual.pdf</t>
  </si>
  <si>
    <t>BATOR</t>
  </si>
  <si>
    <t>7069</t>
  </si>
  <si>
    <t>7069-manual.pdf</t>
  </si>
  <si>
    <t>ALTAI</t>
  </si>
  <si>
    <t>7070</t>
  </si>
  <si>
    <t>7070-manual.pdf</t>
  </si>
  <si>
    <t>DARJAN</t>
  </si>
  <si>
    <t>7071</t>
  </si>
  <si>
    <t>7071-manual.pdf</t>
  </si>
  <si>
    <t>BULGAN</t>
  </si>
  <si>
    <t>7072</t>
  </si>
  <si>
    <t>7072-manual.pdf</t>
  </si>
  <si>
    <t>BOG</t>
  </si>
  <si>
    <t>7073</t>
  </si>
  <si>
    <t>7073-manual.pdf</t>
  </si>
  <si>
    <t>SAGSAI</t>
  </si>
  <si>
    <t>7074</t>
  </si>
  <si>
    <t>7074-7075-manual.pdf</t>
  </si>
  <si>
    <t>7075</t>
  </si>
  <si>
    <t>7076</t>
  </si>
  <si>
    <t>7076-manual.pdf</t>
  </si>
  <si>
    <t>7077</t>
  </si>
  <si>
    <t>7078</t>
  </si>
  <si>
    <t>7079</t>
  </si>
  <si>
    <t>7080</t>
  </si>
  <si>
    <t>7081</t>
  </si>
  <si>
    <t>7082</t>
  </si>
  <si>
    <t>7083</t>
  </si>
  <si>
    <t>7084</t>
  </si>
  <si>
    <t>7085</t>
  </si>
  <si>
    <t>7086</t>
  </si>
  <si>
    <t>7087</t>
  </si>
  <si>
    <t>7088</t>
  </si>
  <si>
    <t>7089</t>
  </si>
  <si>
    <t>7090</t>
  </si>
  <si>
    <t>7091</t>
  </si>
  <si>
    <t>7091-7092-manual.pdf</t>
  </si>
  <si>
    <t>7092</t>
  </si>
  <si>
    <t>7093</t>
  </si>
  <si>
    <t>7093-7094-manual.pdf</t>
  </si>
  <si>
    <t>7094</t>
  </si>
  <si>
    <t>7095</t>
  </si>
  <si>
    <t>7096</t>
  </si>
  <si>
    <t>7097</t>
  </si>
  <si>
    <t>7097-7098-7246-manual.pdf</t>
  </si>
  <si>
    <t>7098</t>
  </si>
  <si>
    <t>discontinuo</t>
  </si>
  <si>
    <t>7099</t>
  </si>
  <si>
    <t>7099-7100-7101-manual.pdf</t>
  </si>
  <si>
    <t>7100</t>
  </si>
  <si>
    <t>7101</t>
  </si>
  <si>
    <t>7102</t>
  </si>
  <si>
    <t>7102-7103-7104-manual.pdf</t>
  </si>
  <si>
    <t>7103</t>
  </si>
  <si>
    <t>7104</t>
  </si>
  <si>
    <t>7105</t>
  </si>
  <si>
    <t>7105-manual.pdf</t>
  </si>
  <si>
    <t>7106</t>
  </si>
  <si>
    <t>7106-manual.pdf</t>
  </si>
  <si>
    <t>7107</t>
  </si>
  <si>
    <t>7107-manual.pdf</t>
  </si>
  <si>
    <t>7108</t>
  </si>
  <si>
    <t>7108-manual.pdf</t>
  </si>
  <si>
    <t>7109</t>
  </si>
  <si>
    <t>7109-manual.pdf</t>
  </si>
  <si>
    <t>7110</t>
  </si>
  <si>
    <t>7110-7111-manual.pdf</t>
  </si>
  <si>
    <t>7111</t>
  </si>
  <si>
    <t>7112</t>
  </si>
  <si>
    <t>7112-7113-manual.pdf</t>
  </si>
  <si>
    <t>7113</t>
  </si>
  <si>
    <t>7114</t>
  </si>
  <si>
    <t>7114-7115-7116-7117-manual.pdf</t>
  </si>
  <si>
    <t>7115</t>
  </si>
  <si>
    <t>7116</t>
  </si>
  <si>
    <t>7117</t>
  </si>
  <si>
    <t>7118</t>
  </si>
  <si>
    <t>7118-7119-manual.pdf</t>
  </si>
  <si>
    <t>7119</t>
  </si>
  <si>
    <t>7120</t>
  </si>
  <si>
    <t>7120-7121-7240-manual.pdf</t>
  </si>
  <si>
    <t>7121</t>
  </si>
  <si>
    <t>7122</t>
  </si>
  <si>
    <t>7122-7123-manual.pdf</t>
  </si>
  <si>
    <t>7123</t>
  </si>
  <si>
    <t>7124</t>
  </si>
  <si>
    <t>7124-7125-manual.pdf</t>
  </si>
  <si>
    <t>7125</t>
  </si>
  <si>
    <t>7126</t>
  </si>
  <si>
    <t>7126-7127-manual.pdf</t>
  </si>
  <si>
    <t>∅91 x 23</t>
  </si>
  <si>
    <t>7127</t>
  </si>
  <si>
    <t>7128</t>
  </si>
  <si>
    <t>7133</t>
  </si>
  <si>
    <t>7134</t>
  </si>
  <si>
    <t>7171</t>
  </si>
  <si>
    <t>7172</t>
  </si>
  <si>
    <t>7176</t>
  </si>
  <si>
    <t>7180</t>
  </si>
  <si>
    <t>7179</t>
  </si>
  <si>
    <t>7181</t>
  </si>
  <si>
    <t>7281</t>
  </si>
  <si>
    <t>7282</t>
  </si>
  <si>
    <t>7283</t>
  </si>
  <si>
    <t>7177</t>
  </si>
  <si>
    <t>7178</t>
  </si>
  <si>
    <t>7280</t>
  </si>
  <si>
    <t>7317</t>
  </si>
  <si>
    <t>7182</t>
  </si>
  <si>
    <t>7183</t>
  </si>
  <si>
    <t>7184</t>
  </si>
  <si>
    <t>7284</t>
  </si>
  <si>
    <t>7285</t>
  </si>
  <si>
    <t>7286</t>
  </si>
  <si>
    <t>7187</t>
  </si>
  <si>
    <t>7188</t>
  </si>
  <si>
    <t>7189</t>
  </si>
  <si>
    <t>7289</t>
  </si>
  <si>
    <t>7290</t>
  </si>
  <si>
    <t>7291</t>
  </si>
  <si>
    <t>7185</t>
  </si>
  <si>
    <t>7201</t>
  </si>
  <si>
    <t>7202</t>
  </si>
  <si>
    <t>7203</t>
  </si>
  <si>
    <t>7204</t>
  </si>
  <si>
    <t>7205</t>
  </si>
  <si>
    <t>7206</t>
  </si>
  <si>
    <t>7211</t>
  </si>
  <si>
    <t>7211-7212-7213-7214-manual.pdf</t>
  </si>
  <si>
    <t>7212</t>
  </si>
  <si>
    <t>7213</t>
  </si>
  <si>
    <t>7214</t>
  </si>
  <si>
    <t>7215</t>
  </si>
  <si>
    <t>7215-7279-manual.pdf</t>
  </si>
  <si>
    <t>7216</t>
  </si>
  <si>
    <t>7217</t>
  </si>
  <si>
    <t>7218</t>
  </si>
  <si>
    <t>7219</t>
  </si>
  <si>
    <t>7220</t>
  </si>
  <si>
    <t>7221</t>
  </si>
  <si>
    <t>7222</t>
  </si>
  <si>
    <t>7223</t>
  </si>
  <si>
    <t>7224</t>
  </si>
  <si>
    <t>7225</t>
  </si>
  <si>
    <t>7226</t>
  </si>
  <si>
    <t>7226-7227-manual.pdf</t>
  </si>
  <si>
    <t>7227</t>
  </si>
  <si>
    <t>7228</t>
  </si>
  <si>
    <t>7233</t>
  </si>
  <si>
    <t>7234</t>
  </si>
  <si>
    <t>7235</t>
  </si>
  <si>
    <t>7236</t>
  </si>
  <si>
    <t>7238</t>
  </si>
  <si>
    <t>7239</t>
  </si>
  <si>
    <t>7246</t>
  </si>
  <si>
    <t>7248</t>
  </si>
  <si>
    <t>nuevo</t>
  </si>
  <si>
    <t>7249</t>
  </si>
  <si>
    <t>7250</t>
  </si>
  <si>
    <t>7251</t>
  </si>
  <si>
    <t>7252</t>
  </si>
  <si>
    <t>7252-7253-manual.pdf</t>
  </si>
  <si>
    <t>7253</t>
  </si>
  <si>
    <t>7186</t>
  </si>
  <si>
    <t>7287</t>
  </si>
  <si>
    <t>7288</t>
  </si>
  <si>
    <t>7192</t>
  </si>
  <si>
    <t>7193</t>
  </si>
  <si>
    <t>7194</t>
  </si>
  <si>
    <t>7294</t>
  </si>
  <si>
    <t>7295</t>
  </si>
  <si>
    <t>7296</t>
  </si>
  <si>
    <t>7190</t>
  </si>
  <si>
    <t>7191</t>
  </si>
  <si>
    <t>7292</t>
  </si>
  <si>
    <t>7293</t>
  </si>
  <si>
    <t>7195</t>
  </si>
  <si>
    <t>7196</t>
  </si>
  <si>
    <t>7197</t>
  </si>
  <si>
    <t>7297</t>
  </si>
  <si>
    <t>7298</t>
  </si>
  <si>
    <t>7299</t>
  </si>
  <si>
    <t>7198</t>
  </si>
  <si>
    <t>7199</t>
  </si>
  <si>
    <t>7200</t>
  </si>
  <si>
    <t>7300</t>
  </si>
  <si>
    <t>7301</t>
  </si>
  <si>
    <t>7302</t>
  </si>
  <si>
    <t>7229</t>
  </si>
  <si>
    <t>7230</t>
  </si>
  <si>
    <t>7231</t>
  </si>
  <si>
    <t>7232</t>
  </si>
  <si>
    <t>7241</t>
  </si>
  <si>
    <t>REPO 6</t>
  </si>
  <si>
    <t>7242</t>
  </si>
  <si>
    <t>06/10/2026 07:00:06</t>
  </si>
  <si>
    <t>39</t>
  </si>
  <si>
    <t>Sin cambios. Filas revisadas: 617 | Filas con cambios: 0 | Celdas cambiadas: 0 | Copias -: 0 | SKU sin Maestro: 0 | Duplicados (SKU + nombre): 0 | Padres variables omitidos del sync: 178 | Columnas sincronizadas: 30</t>
  </si>
  <si>
    <t>06/10/2026 15:23:33</t>
  </si>
  <si>
    <t>46</t>
  </si>
  <si>
    <t>Cambios aplicados en Base. Filas revisadas: 631 | Filas con cambios: 128 | Celdas cambiadas: 517 | Copias -: 0 | SKU sin Maestro: 0 | Duplicados (SKU + nombre): 0 | Padres variables omitidos del sync: 178 | Columnas sincronizadas: 30</t>
  </si>
  <si>
    <t>Ficha Técnica- Perfil Tula.pdf</t>
  </si>
  <si>
    <t>Ficha Técnica - SINTRA BL 2700K Lote 20250710.pdf</t>
  </si>
  <si>
    <t>Ficha Técnica - YORK 2700K Lote 20250710.pdf</t>
  </si>
  <si>
    <t>Ficha Técnica - HOKA.pdf</t>
  </si>
  <si>
    <t>7240</t>
  </si>
  <si>
    <t>7303</t>
  </si>
  <si>
    <t>7304</t>
  </si>
  <si>
    <t>7305</t>
  </si>
  <si>
    <t>7306</t>
  </si>
  <si>
    <t>7307</t>
  </si>
  <si>
    <t>7308</t>
  </si>
  <si>
    <t>7309</t>
  </si>
  <si>
    <t>7310</t>
  </si>
  <si>
    <t>7425</t>
  </si>
  <si>
    <t>7426</t>
  </si>
  <si>
    <t>7427</t>
  </si>
  <si>
    <t>7608</t>
  </si>
  <si>
    <t>SONA CUBO NG</t>
  </si>
  <si>
    <t>605 x 605 x 50 mm</t>
  </si>
  <si>
    <t>SONA</t>
  </si>
  <si>
    <t>7609</t>
  </si>
  <si>
    <t>SONA HALO NG</t>
  </si>
  <si>
    <t>605 x 605 x 138 mm</t>
  </si>
  <si>
    <t>06/10/2026 15:27:47</t>
  </si>
  <si>
    <t>47</t>
  </si>
  <si>
    <t>Sin cambios. Filas revisadas: 631 | Filas con cambios: 0 | Celdas cambiadas: 0 | Copias -: 0 | SKU sin Maestro: 0 | Duplicados (SKU + nombre): 0 | Padres variables omitidos del sync: 178 | Columnas sincronizadas: 30</t>
  </si>
  <si>
    <t>07/10/2026 07:00:06</t>
  </si>
  <si>
    <t>55</t>
  </si>
  <si>
    <t>08/10/2026 07:00:11</t>
  </si>
  <si>
    <t>58</t>
  </si>
  <si>
    <t>09/10/2026 07:00:08</t>
  </si>
  <si>
    <t>63</t>
  </si>
  <si>
    <t>12/10/2026 07:00:12</t>
  </si>
  <si>
    <t>66</t>
  </si>
  <si>
    <t>13/10/2026 07:00:06</t>
  </si>
  <si>
    <t>69</t>
  </si>
  <si>
    <t>14/10/2026 07:00:08</t>
  </si>
  <si>
    <t>72</t>
  </si>
  <si>
    <t>Cambios aplicados en Base. Filas revisadas: 629 | Filas con cambios: 13 | Celdas cambiadas: 13 | Copias -: 0 | SKU sin Maestro: 0 | Duplicados (SKU + nombre): 0 | Padres variables omitidos del sync: 180 | Columnas sincronizadas: 30</t>
  </si>
  <si>
    <t>14/10/2026 14:50:20</t>
  </si>
  <si>
    <t>78</t>
  </si>
  <si>
    <t>Modo prueba: no se escribió en Base. Filas revisadas: 629 | Filas con cambios: 431 | Celdas cambiadas: 980 | Copias -: 0 | SKU sin Maestro: 0 | Duplicados (SKU + nombre): 0 | Padres variables omitidos del sync: 180 | Columnas sincronizadas: 33</t>
  </si>
  <si>
    <t>14/10/2026 17:16:33</t>
  </si>
  <si>
    <t>79</t>
  </si>
  <si>
    <t>Cambios aplicados en Base. Filas revisadas: 629 | Filas con cambios: 431 | Celdas cambiadas: 980 | Copias -: 0 | SKU sin Maestro: 0 | Duplicados (SKU + nombre): 0 | Padres variables omitidos del sync: 180 | Columnas sincronizadas: 33</t>
  </si>
  <si>
    <t>15/10/2026 07:00:07</t>
  </si>
  <si>
    <t>83</t>
  </si>
  <si>
    <t>Sin cambios. Filas revisadas: 629 | Filas con cambios: 0 | Celdas cambiadas: 0 | Copias -: 0 | SKU sin Maestro: 0 | Duplicados (SKU + nombre): 0 | Padres variables omitidos del sync: 180 | Columnas sincronizadas: 33</t>
  </si>
  <si>
    <t>16/10/2026 07:00:08</t>
  </si>
  <si>
    <t>88</t>
  </si>
  <si>
    <t>Archivo de carga web</t>
  </si>
  <si>
    <t>Archivo maestro</t>
  </si>
  <si>
    <t>Unidad de medida</t>
  </si>
  <si>
    <t>Notas</t>
  </si>
  <si>
    <t>Mati M debe hacer cambios en esta columna
nosotras debemos ver que comentarios queremos traer y cuales no</t>
  </si>
  <si>
    <t>Alimentación [Vac]</t>
  </si>
  <si>
    <t>Vac</t>
  </si>
  <si>
    <t>En algunos casos deberia acalarar "Hasta 10 A" deberia estar en rieles</t>
  </si>
  <si>
    <t>Frecuencia [Hz]</t>
  </si>
  <si>
    <t>Hz</t>
  </si>
  <si>
    <t>Potencia [W]</t>
  </si>
  <si>
    <t>W</t>
  </si>
  <si>
    <t>Fp (factor de potencia)</t>
  </si>
  <si>
    <t>Lúmenes LED [lm]</t>
  </si>
  <si>
    <t>lm</t>
  </si>
  <si>
    <t>Eficacia luminosa LED [lm/W]</t>
  </si>
  <si>
    <t>lm/W</t>
  </si>
  <si>
    <t>Flujo luminoso [lm]</t>
  </si>
  <si>
    <t>Eficacia luminosa [lm/W]</t>
  </si>
  <si>
    <t xml:space="preserve">Temp. Color / CCT (±5%) [K] </t>
  </si>
  <si>
    <t>K</t>
  </si>
  <si>
    <t>Índice de Rep. Cromatica (CRI) [Ra]</t>
  </si>
  <si>
    <t>Ra</t>
  </si>
  <si>
    <t>Angulo de apertura [°]</t>
  </si>
  <si>
    <t>°</t>
  </si>
  <si>
    <t>Índice de Deslumbramiento Unificado (UGR)</t>
  </si>
  <si>
    <t>Índice de Protección</t>
  </si>
  <si>
    <t>Clase de Aislación</t>
  </si>
  <si>
    <t>Dimensión Producto (Ancho*Profundo*Alto) [mm]</t>
  </si>
  <si>
    <t>mm</t>
  </si>
  <si>
    <t>Dimensión Calado [mm]</t>
  </si>
  <si>
    <t>Profundidad Calado [mm]</t>
  </si>
  <si>
    <t>Material</t>
  </si>
  <si>
    <t>Terminación Producto</t>
  </si>
  <si>
    <t>Se va a querer unificar por nuestra parte los colores?</t>
  </si>
  <si>
    <t>Temp. Operativa [°C]</t>
  </si>
  <si>
    <t>°C</t>
  </si>
  <si>
    <t>Vida Útil [hs.]</t>
  </si>
  <si>
    <t>Garantía [años]</t>
  </si>
  <si>
    <t>Nombre Ficha Técnica</t>
  </si>
  <si>
    <t>Subfamilia</t>
  </si>
  <si>
    <t>Familia</t>
  </si>
  <si>
    <t>02/10/2026 17:26:14</t>
  </si>
  <si>
    <t>25</t>
  </si>
  <si>
    <t>Modo prueba: no se escribió en Base. En modo real se FRENARÍA: 314 celdas a vaciar superan el máximo de 100 (para una corrida revisada, usar PERMITIR_BORRADO_MASIVO). Filas revisadas: 795 | Filas con cambios: 788 | Celdas cambiadas: 1172 | Celdas vaciadas: 314 | Filas sin Fotoproducto0.png: 65 | Archivos sin asignar: 109</t>
  </si>
  <si>
    <t>Drive: 9332 carpetas y 35550 archivos listados; 4940 archivos dentro de la carpeta de archivos técnicos (3829 fotos asignadas, 255 CAD asignados, 106 fotocontexto excluidas, 0 imágenes de otras columnas, 109 sin asignar).</t>
  </si>
  <si>
    <t>7240FotoDetalle.jpg</t>
  </si>
  <si>
    <t>Archivo sin asignar: El SKU 7240 no está en Base. Carpeta: Interior / De Techo / Embutidos / MUST / Fotos / MUST BL</t>
  </si>
  <si>
    <t>7240FotoProducto1.jpg</t>
  </si>
  <si>
    <t>6666FotoProducto1.png</t>
  </si>
  <si>
    <t>Archivo sin asignar: El SKU 6666 no está en Base. Carpeta: Interior / Lineales / Accesorios / DYNA DISIPADOR 1MT</t>
  </si>
  <si>
    <t>6667FotoProducto1.png</t>
  </si>
  <si>
    <t>Archivo sin asignar: El SKU 6667 no está en Base. Carpeta: Interior / Lineales / Accesorios / DYNA DIFUSOR 1MT</t>
  </si>
  <si>
    <t>LIV 002.jpg</t>
  </si>
  <si>
    <t>Archivo sin asignar: El nombre no empieza con un SKU. Carpeta: Interior / De Techo / Embutidos / LIV / Fotos / Contenido para difusión</t>
  </si>
  <si>
    <t>KATHARO 002.jpg</t>
  </si>
  <si>
    <t>Archivo sin asignar: El nombre no empieza con un SKU. Carpeta: Interior / De Pared / Apliques / KATHARO SW / Fotos / Contenido para difusión</t>
  </si>
  <si>
    <t>KATHARO 001.jpg</t>
  </si>
  <si>
    <t>POST NIAO 001.png</t>
  </si>
  <si>
    <t>Archivo sin asignar: El nombre no empieza con un SKU. Carpeta: Interior / De Techo / Colgantes / NIAO / Fotos / Contenido para difusión</t>
  </si>
  <si>
    <t>POST NIAO 006.jpg</t>
  </si>
  <si>
    <t>POST NIAO 002.png</t>
  </si>
  <si>
    <t>POST NIAO 004.jpg</t>
  </si>
  <si>
    <t>POST NIAO 007.jpg</t>
  </si>
  <si>
    <t>POST NIAO 003.png</t>
  </si>
  <si>
    <t>POST NIAO 005.jpg</t>
  </si>
  <si>
    <t>Copia de 4a (1).jpg</t>
  </si>
  <si>
    <t>Archivo sin asignar: El nombre no empieza con un SKU. Carpeta: Interior / De Techo / Apliques / CITY / Fotos / Contenido para difusión</t>
  </si>
  <si>
    <t>FORTE POST 001.jpg</t>
  </si>
  <si>
    <t>Archivo sin asignar: El nombre no empieza con un SKU. Carpeta: Interior / De Techo / Apliques / FORTE / Fotos / Contenido para difusión</t>
  </si>
  <si>
    <t>Archivo sin asignar: El SKU 7309 no está en Base. Carpeta: Interior / De Techo / Colgantes / LUVA / Fotos / LUVA NG</t>
  </si>
  <si>
    <t>Archivo sin asignar: El SKU 7310 no está en Base. Carpeta: Interior / De Techo / Colgantes / LUVA / Fotos / LUVA BL</t>
  </si>
  <si>
    <t>7279FotoProducto0.png</t>
  </si>
  <si>
    <t>Archivo sin asignar: El SKU 7279 no está en Base. Carpeta: Interior / De Techo / Embutidos / REN / Fotos / REN SLIM / ACCESORIO MARCO REN SLIM</t>
  </si>
  <si>
    <t>6717FotoProducto0.png</t>
  </si>
  <si>
    <t>Archivo sin asignar: El SKU 6717 no está en Base. Carpeta: Interior / De Techo / Accesorios / KIT SUSPENSIÓN SINTRA-YORK</t>
  </si>
  <si>
    <t>6606.png</t>
  </si>
  <si>
    <t>Archivo sin asignar: El SKU 6606 no está en Base. Carpeta: Interior / Rieles / Rieles / RIEL 3 EF / Fotos / RIEL 3MTS 3EF / RIEL 3MTS 3EF BL</t>
  </si>
  <si>
    <t>6640FotoProducto0.png</t>
  </si>
  <si>
    <t>Archivo sin asignar: El SKU 6640 no está en Base. Carpeta: Exterior / De Piso / Proyectores / YETI / Fotos</t>
  </si>
  <si>
    <t>6495FotoProducto0.png</t>
  </si>
  <si>
    <t>Archivo sin asignar: El SKU 6495 no está en Base. Carpeta: Interior / De Pared / Apliques / LAMPY A / Fotos / LAMPY A NG</t>
  </si>
  <si>
    <t>6498FotoProducto0.png</t>
  </si>
  <si>
    <t>Archivo sin asignar: El SKU 6498 no está en Base. Carpeta: Interior / De Pared / Apliques / LAMPY A / Fotos / LAMPY A VR</t>
  </si>
  <si>
    <t>6491FotoProducto0.png</t>
  </si>
  <si>
    <t>Archivo sin asignar: El SKU 6491 no está en Base. Carpeta: Interior / De Apoyo / Pie / LAMPY P / Fotos / LAMPY P BL</t>
  </si>
  <si>
    <t>6497FotoProducto0.png</t>
  </si>
  <si>
    <t>Archivo sin asignar: El SKU 6497 no está en Base. Carpeta: Interior / De Pared / Apliques / LAMPY A / Fotos / LAMPY A AZ</t>
  </si>
  <si>
    <t>6728FotoProducto0.png</t>
  </si>
  <si>
    <t>Archivo sin asignar: El SKU 6728 no está en Base. Carpeta: Interior / De Techo / Apliques / YORK / Fotos / KIT SUSPENSION SINTRA YORK / KIT SUSPENSION SINTRA YORK MD</t>
  </si>
  <si>
    <t>6490FotoProducto0.png</t>
  </si>
  <si>
    <t>Archivo sin asignar: El SKU 6490 no está en Base. Carpeta: Interior / De Apoyo / Pie / LAMPY P / Fotos / LAMPY P NG</t>
  </si>
  <si>
    <t>6808FotoProducto0.png</t>
  </si>
  <si>
    <t>Archivo sin asignar: El SKU 6808 no está en Base. Carpeta: Interior / De Techo / Embutidos / GAL / Fotos / GAL I BL</t>
  </si>
  <si>
    <t>6754FotoProducto0.png</t>
  </si>
  <si>
    <t>Archivo sin asignar: El SKU 6754 no está en Base. Carpeta: Exterior / De Piso / Bolardos / FRANKY / Fotos / FRANKY 90</t>
  </si>
  <si>
    <t>6713FotoProducto0.png</t>
  </si>
  <si>
    <t>Archivo sin asignar: El SKU 6713 no está en Base. Carpeta: Interior / De Techo / Apliques / SINTRA SQ 2700 / Fotos</t>
  </si>
  <si>
    <t>6608.png</t>
  </si>
  <si>
    <t>Archivo sin asignar: El SKU 6608 no está en Base. Carpeta: Interior / Rieles / Rieles / RIEL 3 EF / Fotos / RIEL 2MTS 3EF / RIEL 2MTS 3EF BL</t>
  </si>
  <si>
    <t>6779Fotoproducto0.png</t>
  </si>
  <si>
    <t>Archivo sin asignar: El SKU 6779 no está en Base. Carpeta: Interior / De Techo / Apliques / LINUX / Fotos</t>
  </si>
  <si>
    <t>6620FotoProducto0.png</t>
  </si>
  <si>
    <t>Archivo sin asignar: El SKU 6620 no está en Base. Carpeta: Interior / De Techo / Colgantes / SINTRA S / Fotos</t>
  </si>
  <si>
    <t>6636FotoProducto0.png</t>
  </si>
  <si>
    <t>Archivo sin asignar: El SKU 6636 no está en Base. Carpeta: Interior / Lineales / Accesorios / DYNA DRIVERS / Fotos / DRIVER DALI / DRIVER DALI 60W</t>
  </si>
  <si>
    <t>6493FotoProducto0.png</t>
  </si>
  <si>
    <t>Archivo sin asignar: El SKU 6493 no está en Base. Carpeta: Interior / De Apoyo / Pie / LAMPY P / Fotos / LAMPY P VR</t>
  </si>
  <si>
    <t>6753FotoProducto0.png</t>
  </si>
  <si>
    <t>Archivo sin asignar: El SKU 6753 no está en Base. Carpeta: Exterior / De Piso / Bolardos / FRANKY / Fotos / FRANKY 60</t>
  </si>
  <si>
    <t>6809FotoProducto0.png</t>
  </si>
  <si>
    <t>Archivo sin asignar: El SKU 6809 no está en Base. Carpeta: Interior / De Techo / Embutidos / GAL / Fotos / GAL I NG</t>
  </si>
  <si>
    <t>6637FotoProducto0.png</t>
  </si>
  <si>
    <t>Archivo sin asignar: El SKU 6637 no está en Base. Carpeta: Interior / Lineales / Accesorios / DYNA DRIVERS / Fotos / DRIVER TRIAC / DRIVER TRIAC 40W</t>
  </si>
  <si>
    <t>6499FotoProducto0.png</t>
  </si>
  <si>
    <t>Archivo sin asignar: El SKU 6499 no está en Base. Carpeta: Interior / De Pared / Apliques / LAMPY A / Fotos / LAMPY A BD</t>
  </si>
  <si>
    <t>6496FotoProducto0.png</t>
  </si>
  <si>
    <t>Archivo sin asignar: El SKU 6496 no está en Base. Carpeta: Interior / De Pared / Apliques / LAMPY A / Fotos / LAMPY A BL</t>
  </si>
  <si>
    <t>6609.png</t>
  </si>
  <si>
    <t>Archivo sin asignar: El SKU 6609 no está en Base. Carpeta: Interior / Rieles / Rieles / RIEL 3 EF / Fotos / RIEL 2MTS 3EF / RIEL 2MTS 3EF NG</t>
  </si>
  <si>
    <t>6711Fotoproducto0.png</t>
  </si>
  <si>
    <t>Archivo sin asignar: El SKU 6711 no está en Base. Carpeta: Interior / De Techo / Apliques / YORK / Fotos / YORK MD</t>
  </si>
  <si>
    <t>6124FotoProducto0.png</t>
  </si>
  <si>
    <t>Archivo sin asignar: El SKU 6124 no está en Base. Carpeta: Interior / De Techo / Embutidos / NIS / Fotos</t>
  </si>
  <si>
    <t>6111FotoProducto0.png</t>
  </si>
  <si>
    <t>Archivo sin asignar: El SKU 6111 no está en Base. Carpeta: Interior / De Techo / Embutidos / INDU / Fotos / INDU I NG</t>
  </si>
  <si>
    <t>6107FotoProducto0.png</t>
  </si>
  <si>
    <t>Archivo sin asignar: El SKU 6107 no está en Base. Carpeta: Interior / De Techo / Embutidos / EMI / Fotos / EMI I NG</t>
  </si>
  <si>
    <t>6122FotoProducto0.png</t>
  </si>
  <si>
    <t>Archivo sin asignar: El SKU 6122 no está en Base. Carpeta: Interior / De Techo / Embutidos / MATT / Fotos / MATT II / MATT II BLNG</t>
  </si>
  <si>
    <t>6384FotoProducto0.png</t>
  </si>
  <si>
    <t>Archivo sin asignar: El SKU 6384 no está en Base. Carpeta: Exterior / De Pared / Apliques / WARI / Fotos</t>
  </si>
  <si>
    <t>6110FotoProducto0.png</t>
  </si>
  <si>
    <t>Archivo sin asignar: El SKU 6110 no está en Base. Carpeta: Interior / De Techo / Embutidos / INDU / Fotos / INDU I BL</t>
  </si>
  <si>
    <t>6115FotoProducto0.png</t>
  </si>
  <si>
    <t>Archivo sin asignar: El SKU 6115 no está en Base. Carpeta: Interior / De Techo / Embutidos / LEN / Fotos / LEN I NG</t>
  </si>
  <si>
    <t>4194FotoProducto0.png</t>
  </si>
  <si>
    <t>Archivo sin asignar: El SKU 4194 no está en Base. Carpeta: Exterior / De Pared / Apliques / FANARI / Fotos</t>
  </si>
  <si>
    <t>4176FotoProducto0.png</t>
  </si>
  <si>
    <t>Archivo sin asignar: El SKU 4176 no está en Base. Carpeta: Exterior / De Pared / Apliques / EXO II / Fotos</t>
  </si>
  <si>
    <t>6114FotoProducto0.png</t>
  </si>
  <si>
    <t>Archivo sin asignar: El SKU 6114 no está en Base. Carpeta: Interior / De Techo / Embutidos / LEN / Fotos / LEN I BL</t>
  </si>
  <si>
    <t>4218Fotoproducto0.png</t>
  </si>
  <si>
    <t>Archivo sin asignar: El SKU 4218 no está en Base. Carpeta: Exterior / De Piso / Bolardos / PODI / Fotos</t>
  </si>
  <si>
    <t>6390Fotoproducto0.png</t>
  </si>
  <si>
    <t>Archivo sin asignar: El SKU 6390 no está en Base. Carpeta: Interior / De Techo / Apliques / KATHASY / Fotos</t>
  </si>
  <si>
    <t>6137FotoProducto0.png</t>
  </si>
  <si>
    <t>Archivo sin asignar: El SKU 6137 no está en Base. Carpeta: Interior / De Techo / Embutidos / STAR / Fotos</t>
  </si>
  <si>
    <t>6105FotoProducto0.png</t>
  </si>
  <si>
    <t>Archivo sin asignar: El SKU 6105 no está en Base. Carpeta: Interior / De Techo / Embutidos / DEB / Fotos / DEB I NG</t>
  </si>
  <si>
    <t>4173FotoProducto0.png</t>
  </si>
  <si>
    <t>Archivo sin asignar: El SKU 4173 no está en Base. Carpeta: Exterior / De Pared / Apliques / EXO I / Fotos</t>
  </si>
  <si>
    <t>6389Fotoproducto0.png</t>
  </si>
  <si>
    <t>Archivo sin asignar: El SKU 6389 no está en Base. Carpeta: Interior / De Techo / Apliques / DOCHEIO / Fotos</t>
  </si>
  <si>
    <t>4186Fotoproducto0.png</t>
  </si>
  <si>
    <t>Archivo sin asignar: El SKU 4186 no está en Base. Carpeta: Exterior / De Pared / Apliques / IMIKY / Fotos</t>
  </si>
  <si>
    <t>4175FotoProducto0.png</t>
  </si>
  <si>
    <t>Archivo sin asignar: El SKU 4175 no está en Base. Carpeta: Exterior / De Pared / Apliques / EXO II / Fotos</t>
  </si>
  <si>
    <t>4174FotoProducto0.png</t>
  </si>
  <si>
    <t>Archivo sin asignar: El SKU 4174 no está en Base. Carpeta: Exterior / De Pared / Apliques / EXO II / Fotos</t>
  </si>
  <si>
    <t>4172FotoProducto0.png</t>
  </si>
  <si>
    <t>Archivo sin asignar: El SKU 4172 no está en Base. Carpeta: Exterior / De Pared / Apliques / AMFID II / Fotos</t>
  </si>
  <si>
    <t>6121FotoProducto0.png</t>
  </si>
  <si>
    <t>Archivo sin asignar: El SKU 6121 no está en Base. Carpeta: Interior / De Techo / Embutidos / MATT / Fotos / MATT II / MATT II BL</t>
  </si>
  <si>
    <t>6608-6609-cad.dwg</t>
  </si>
  <si>
    <t>Archivo sin asignar: CAD sin un SKU de Base en el nombre. Carpeta: Interior / Rieles / Rieles / RIEL 3 EF / Archivo CAD / RIEL 2MTS 3EF</t>
  </si>
  <si>
    <t>6713-cad.dwg</t>
  </si>
  <si>
    <t>Archivo sin asignar: CAD sin un SKU de Base en el nombre. Carpeta: Interior / De Techo / Apliques / SINTRA SQ 2700 / Archivo CAD</t>
  </si>
  <si>
    <t>6808-6809-cad.dwg</t>
  </si>
  <si>
    <t>Archivo sin asignar: CAD sin un SKU de Base en el nombre. Carpeta: Interior / De Techo / Embutidos / GAL / Archivo CAD</t>
  </si>
  <si>
    <t>6495-6496-6497-6498-6499-cad.dwg</t>
  </si>
  <si>
    <t>Archivo sin asignar: CAD sin un SKU de Base en el nombre. Carpeta: Interior / De Pared / Apliques / LAMPY A / Archivo CAD</t>
  </si>
  <si>
    <t>CITY.jpg</t>
  </si>
  <si>
    <t>CITY-1.jpg</t>
  </si>
  <si>
    <t>Dyna tipos de fijación.png</t>
  </si>
  <si>
    <t>Archivo sin asignar: El nombre no empieza con un SKU. Carpeta: Interior / Lineales / Lineal / DYNA / Fotos / Contenido para difusión</t>
  </si>
  <si>
    <t>6606FotoDetalle5.jpg</t>
  </si>
  <si>
    <t>6609FotoDetalle1.jpg</t>
  </si>
  <si>
    <t>6608FotoDetalle1.jpg</t>
  </si>
  <si>
    <t>6608FotoDetalle5.jpg</t>
  </si>
  <si>
    <t>6606FotoDetalle3.jpg</t>
  </si>
  <si>
    <t>6609FotoDetalle0.jpg</t>
  </si>
  <si>
    <t>6606FotoProducto0.png</t>
  </si>
  <si>
    <t>6606FotoDetalle1.jpg</t>
  </si>
  <si>
    <t>6608FotoDetalle4.jpg</t>
  </si>
  <si>
    <t>6608FotoDetalle3.jpg</t>
  </si>
  <si>
    <t>6609FotoProducto0.png</t>
  </si>
  <si>
    <t>6609FotoDetalle2.jpg</t>
  </si>
  <si>
    <t>6608FotoProducto1.png</t>
  </si>
  <si>
    <t>6608FotoDetalle2.jpg</t>
  </si>
  <si>
    <t>6608FotoDetalle0.jpg</t>
  </si>
  <si>
    <t>6606FotoDetalle4.jpg</t>
  </si>
  <si>
    <t>6606FotoDetalle2.jpg</t>
  </si>
  <si>
    <t>6606FotoDetalle0.jpg</t>
  </si>
  <si>
    <t>6608FotoProducto0.png</t>
  </si>
  <si>
    <t>6606FotoProducto1.png</t>
  </si>
  <si>
    <t>6609FotoProducto1.png</t>
  </si>
  <si>
    <t>6609FotoDetalle3.jpg</t>
  </si>
  <si>
    <t>6711Fotoproducto1.png</t>
  </si>
  <si>
    <t>6711FotoDetalle1.jpg</t>
  </si>
  <si>
    <t>6711FotoDetalle0.jpg</t>
  </si>
  <si>
    <t>6711Fotoproducto4.png</t>
  </si>
  <si>
    <t>6711Fotoproducto3.png</t>
  </si>
  <si>
    <t>6711Fotoproducto2.jpg</t>
  </si>
  <si>
    <t>Hay 9 archivos sin asignar más que no se listan.</t>
  </si>
  <si>
    <t>4169Fotoproducto0.png</t>
  </si>
  <si>
    <t>4169Fotodetalle0.jpg,4169Fotodetalle1.jpg,4169Fotodetalle2.jpg,4169Fotodetalle3.jpg</t>
  </si>
  <si>
    <t>4169Fotodetalle.png,4169FotoDetalle0.jpg,4169FotoDetalle1.jpg,4169Fotodetalle1.png,4169FotoDetalle2.jpg,4169Fotodetalle2.png,4169FotoDetalle3.jpg,4169Fotodetalle3.png,4169FotoDetalle4.jpg,4169FotoDetalle5.jpg,4169Fotoproducto.png</t>
  </si>
  <si>
    <t>4169Fotoproducto.png</t>
  </si>
  <si>
    <t>4169Fotodetalle3.png</t>
  </si>
  <si>
    <t>4170Fotoproducto0.png</t>
  </si>
  <si>
    <t>4170Fotodetalle0.jpg,4170Fotodetalle1.jpg,4170Fotodetalle2.jpg,4170Fotodetalle3.jpg</t>
  </si>
  <si>
    <t>4177Fotoproducto.png</t>
  </si>
  <si>
    <t>4177Fotodetalle.png</t>
  </si>
  <si>
    <t>4179Fotoproducto0.png</t>
  </si>
  <si>
    <t>4179Fotodetalle0.jpg,4179Fotodetalle1.jpg,4179Fotodetalle2.jpg,4179Fotodetalle3.jpg</t>
  </si>
  <si>
    <t>4180Fotoproducto0.png</t>
  </si>
  <si>
    <t>4180Fotodetalle0.jpg,4180Fotodetalle1.jpg,4180Fotodetalle2.jpg,4180Fotodetalle3.jpg</t>
  </si>
  <si>
    <t>4181Fotodetalle0.jpg,4181Fotodetalle1.jpg,4181Fotodetalle2.jpg,4181Fotodetalle3.jpg</t>
  </si>
  <si>
    <t>4182Fotoproducto.png</t>
  </si>
  <si>
    <t>4182Fotodetalle0.jpg,4182Fotodetalle1.jpg,4182Fotodetalle2.jpg,4182Fotodetalle3.jpg</t>
  </si>
  <si>
    <t>4182Fotodetalle.png,4182FotoDetalle0.jpg,4182FotoDetalle1.jpg,4182Fotodetalle1.png,4182FotoDetalle2.jpg,4182Fotodetalle2.png,4182FotoDetalle3.jpg,4182FotoDetalle4.jpg,4182FotoDetalle5.jpg,4182Fotoproducto.png,4182FotoProducto1.png</t>
  </si>
  <si>
    <t>4183Fotodetalle0.jpg,4183Fotodetalle1.jpg,4183Fotodetalle2.jpg,4183Fotodetalle3.jpg</t>
  </si>
  <si>
    <t>4184Fotoproducto.png</t>
  </si>
  <si>
    <t>4184Fotodetalle0.jpg,4184Fotodetalle1.jpg,4184Fotodetalle2.jpg,4184Fotodetalle3.jpg</t>
  </si>
  <si>
    <t>4185Fotodetalle0.jpg,4185Fotodetalle1.jpg,4185Fotodetalle2.jpg,4185Fotodetalle3.jpg</t>
  </si>
  <si>
    <t>4188Fotoproducto.png</t>
  </si>
  <si>
    <t>4188Fotodetalle0.jpg,4188Fotodetalle1.jpg,4188Fotodetalle2.jpg,4188Fotodetalle3.jpg</t>
  </si>
  <si>
    <t>4189Fotoproducto.png</t>
  </si>
  <si>
    <t>4189Fotodetalle0.jpg,4189Fotodetalle1.jpg,4189Fotodetalle2.jpg,4189Fotodetalle3.jpg</t>
  </si>
  <si>
    <t>4190FotoProducto1.png</t>
  </si>
  <si>
    <t>4190Fotodetalle.png</t>
  </si>
  <si>
    <t>4190Fotodetalle.png,4190FotoDetalle0.jpg,4190FotoDetalle1.jpg,4190Fotodetalle1.png,4190FotoDetalle2.jpg,4190FotoDetalle3.jpg,4190FotoDetalle4.jpg,4190Fotoproducto.png,4190FotoProducto1.png,4190FotoProducto2.png,4190FotoProducto3.jpg</t>
  </si>
  <si>
    <t>4195Fotoproducto0.png</t>
  </si>
  <si>
    <t>BORRADO (simulado)</t>
  </si>
  <si>
    <t>4195Fotodetalle0.jpg,4195Fotodetalle1.jpg,4195Fotodetalle2.jpg,4195Fotodetalle3.jpg</t>
  </si>
  <si>
    <t>No se encontró en Drive.</t>
  </si>
  <si>
    <t>4196Fotoproducto0.png</t>
  </si>
  <si>
    <t>4196Fotodetalle0.jpg,4196Fotodetalle1.jpg,4196Fotodetalle2.jpg,4196Fotodetalle3.jpg</t>
  </si>
  <si>
    <t>4197Fotoproducto0.png</t>
  </si>
  <si>
    <t>4197Fotodetalle0.jpg,4197Fotodetalle1.jpg,4197Fotodetalle2.jpg,4197Fotodetalle3.jpg</t>
  </si>
  <si>
    <t>4198Fotoproducto0.png</t>
  </si>
  <si>
    <t>4198Fotodetalle0.jpg,4198Fotodetalle1.jpg,4198Fotodetalle2.jpg,4198Fotodetalle3.jpg</t>
  </si>
  <si>
    <t>4199Fotoproducto0.png</t>
  </si>
  <si>
    <t>4199Fotodetalle0.jpg,4199Fotodetalle1.jpg,4199Fotodetalle2.jpg,4199Fotodetalle3.jpg</t>
  </si>
  <si>
    <t>4200Fotoproducto0.png</t>
  </si>
  <si>
    <t>4200Fotodetalle0.jpg,4200Fotodetalle1.jpg,4200Fotodetalle2.jpg,4200Fotodetalle3.jpg</t>
  </si>
  <si>
    <t>4201Fotoproducto0.png</t>
  </si>
  <si>
    <t>4201Fotodetalle0.jpg,4201Fotodetalle1.jpg,4201Fotodetalle2.jpg,4201Fotodetalle3.jpg</t>
  </si>
  <si>
    <t>4202Fotoproducto0.png</t>
  </si>
  <si>
    <t>4202Fotodetalle0.jpg,4202Fotodetalle1.jpg,4202Fotodetalle2.jpg,4202Fotodetalle3.jpg</t>
  </si>
  <si>
    <t>4203Fotoproducto0.png</t>
  </si>
  <si>
    <t>4203Fotodetalle0.jpg,4203Fotodetalle1.jpg,4203Fotodetalle2.jpg,4203Fotodetalle3.jpg</t>
  </si>
  <si>
    <t>4203FotoDetalle0.jpg,4203FotoDetalle2.jpg,4203FotoDetalle3.jpg,4203FotoDetalle4.jpg,4203FotoDetalle5.jpg,4203FotoDetalle6.jpg,4203FotoDetalle7.jpg,4203FotoDetalle8.jpg,4203FotoDetalle9.jpg,4203FotoDetalle10.jpg,4203FotoProducto1.png,4203FotoProducto2.png</t>
  </si>
  <si>
    <t>4204Fotodetalle0.jpg,4204Fotodetalle1.jpg,4204Fotodetalle2.jpg,4204Fotodetalle3.jpg</t>
  </si>
  <si>
    <t>4205FotoDetalle0.jpg</t>
  </si>
  <si>
    <t>4217Fotoproducto.png</t>
  </si>
  <si>
    <t>4217Fotodetalle4.png</t>
  </si>
  <si>
    <t>4217Fotodetalle.png,4217FotoDetalle0.jpg,4217FotoDetalle1.jpg,4217Fotodetalle1.png,4217Fotodetalle2.png,4217Fotodetalle3.png,4217Fotodetalle4.png,4217Fotoproducto.png,4217FotoProducto1.png,4217FotoProducto2.png,4217FotoProducto3.png</t>
  </si>
  <si>
    <t>4232Fotoproducto0.png</t>
  </si>
  <si>
    <t>4232Fotodetalle0.jpg,4232Fotodetalle1.jpg,4232Fotodetalle2.jpg,4232Fotodetalle3.jpg</t>
  </si>
  <si>
    <t>4233Fotoproducto0.png</t>
  </si>
  <si>
    <t>4233Fotodetalle0.jpg,4233Fotodetalle1.jpg,4233Fotodetalle2.jpg,4233Fotodetalle3.jpg</t>
  </si>
  <si>
    <t>4244FotoProducto0.png</t>
  </si>
  <si>
    <t>4244Fotodetalle.png</t>
  </si>
  <si>
    <t>4244Fotodetalle.png,4244FotoDetalle0.jpg,4244FotoDetalle1.jpg,4244Fotodetalle1.png,4244FotoDetalle2.jpg,4244Fotodetalle2.png,4244FotoDetalle3.jpg,4244Fotodetalle3.png,4244Fotodetalle4.png,4244FotoProducto1.png,4244FotoProducto2.png</t>
  </si>
  <si>
    <t>4245Fotoproducto.png</t>
  </si>
  <si>
    <t>4245Fotodetalle.png</t>
  </si>
  <si>
    <t>6031Fotoproducto0.png</t>
  </si>
  <si>
    <t>6031Fotodetalle0.jpg,6031Fotodetalle1.jpg,6031Fotodetalle2.jpg,6031Fotodetalle3.jpg</t>
  </si>
  <si>
    <t>6032Fotodetalle0.jpg,6032Fotodetalle1.jpg,6032Fotodetalle2.jpg,6032Fotodetalle3.jpg</t>
  </si>
  <si>
    <t>6033Fotodetalle0.jpg,6033Fotodetalle1.jpg,6033Fotodetalle2.jpg,6033Fotodetalle3.jpg</t>
  </si>
  <si>
    <t>6034Fotoproducto.png</t>
  </si>
  <si>
    <t>6034Fotodetalle0.jpg,6034Fotodetalle1.jpg,6034Fotodetalle2.jpg,6034Fotodetalle3.jpg</t>
  </si>
  <si>
    <t>6034Fotodetalle.png,6034Fotodetalle1.png,6034FotoDetalle3.jpg,6034FotoDetalle4.jpg,6034Fotodetalle4.png,6034Fotodetalle5.png,6034FotoDetalle6.jpg,6034FotoDetalle7.jpg,6034FotoDetalle8.jpg,6034FotoDetalle9.jpg,6034FotoDetalle10.jpg,6034FotoProducto1.png,6034FotoProducto3.png,6034FotoProducto4.png,6034FotoProducto5.png,6034FotoProducto7.png,6034FotoProducto8.png</t>
  </si>
  <si>
    <t>6034Fotodetalle6.png</t>
  </si>
  <si>
    <t>6035Fotodetalle0.jpg,6035Fotodetalle1.jpg,6035Fotodetalle2.jpg,6035Fotodetalle3.jpg</t>
  </si>
  <si>
    <t>6036Fotodetalle0.jpg,6036Fotodetalle1.jpg,6036Fotodetalle2.jpg,6036Fotodetalle3.jpg</t>
  </si>
  <si>
    <t>6037Fotoproducto0.png</t>
  </si>
  <si>
    <t>6037Fotodetalle0.jpg,6037Fotodetalle1.jpg,6037Fotodetalle2.jpg,6037Fotodetalle3.jpg</t>
  </si>
  <si>
    <t>6038Fotodetalle0.jpg,6038Fotodetalle1.jpg,6038Fotodetalle2.jpg,6038Fotodetalle3.jpg</t>
  </si>
  <si>
    <t>6039FotoProducto3.png</t>
  </si>
  <si>
    <t>6039Fotodetalle.png</t>
  </si>
  <si>
    <t>6045Fotoproducto0.png</t>
  </si>
  <si>
    <t>6045Fotodetalle0.jpg,6045Fotodetalle1.jpg,6045Fotodetalle2.jpg,6045Fotodetalle3.jpg</t>
  </si>
  <si>
    <t>6046Fotoproducto0.png</t>
  </si>
  <si>
    <t>6046Fotodetalle0.jpg,6046Fotodetalle1.jpg,6046Fotodetalle2.jpg,6046Fotodetalle3.jpg</t>
  </si>
  <si>
    <t>6096Fotoproducto0.png</t>
  </si>
  <si>
    <t>6096Fotodetalle0.jpg,6096Fotodetalle1.jpg,6096Fotodetalle2.jpg,6096Fotodetalle3.jpg</t>
  </si>
  <si>
    <t>6097Fotoproducto0.png</t>
  </si>
  <si>
    <t>6097Fotodetalle0.jpg,6097Fotodetalle1.jpg,6097Fotodetalle2.jpg,6097Fotodetalle3.jpg</t>
  </si>
  <si>
    <t>6098Fotoproducto0.png</t>
  </si>
  <si>
    <t>6098Fotodetalle0.jpg,6098Fotodetalle1.jpg,6098Fotodetalle2.jpg,6098Fotodetalle3.jpg</t>
  </si>
  <si>
    <t>6099Fotoproducto0.png</t>
  </si>
  <si>
    <t>6099Fotodetalle0.jpg,6099Fotodetalle1.jpg,6099Fotodetalle2.jpg,6099Fotodetalle3.jpg</t>
  </si>
  <si>
    <t>6100Fotoproducto0.png</t>
  </si>
  <si>
    <t>6100Fotodetalle0.jpg,6100Fotodetalle1.jpg,6100Fotodetalle2.jpg,6100Fotodetalle3.jpg</t>
  </si>
  <si>
    <t>6101Fotoproducto0.png</t>
  </si>
  <si>
    <t>6101Fotodetalle0.jpg,6101Fotodetalle1.jpg,6101Fotodetalle2.jpg,6101Fotodetalle3.jpg</t>
  </si>
  <si>
    <t>6102Fotoproducto0.png</t>
  </si>
  <si>
    <t>6102Fotodetalle0.jpg,6102Fotodetalle1.jpg,6102Fotodetalle2.jpg,6102Fotodetalle3.jpg</t>
  </si>
  <si>
    <t>6103Fotoproducto0.png</t>
  </si>
  <si>
    <t>6103Fotodetalle0.jpg,6103Fotodetalle1.jpg,6103Fotodetalle2.jpg,6103Fotodetalle3.jpg</t>
  </si>
  <si>
    <t>6104Fotoproducto0.png</t>
  </si>
  <si>
    <t>6104Fotodetalle0.jpg,6104Fotodetalle1.jpg,6104Fotodetalle2.jpg,6104Fotodetalle3.jpg</t>
  </si>
  <si>
    <t>6106Fotoproducto0.png</t>
  </si>
  <si>
    <t>6106Fotodetalle0.jpg,6106Fotodetalle1.jpg,6106Fotodetalle2.jpg,6106Fotodetalle3.jpg</t>
  </si>
  <si>
    <t>6108Fotoproducto0.png</t>
  </si>
  <si>
    <t>6108Fotodetalle0.jpg,6108Fotodetalle1.jpg,6108Fotodetalle2.jpg,6108Fotodetalle3.jpg</t>
  </si>
  <si>
    <t>6109Fotoproducto0.png</t>
  </si>
  <si>
    <t>6109Fotodetalle0.jpg,6109Fotodetalle1.jpg,6109Fotodetalle2.jpg,6109Fotodetalle3.jpg</t>
  </si>
  <si>
    <t>6112Fotoproducto0.png</t>
  </si>
  <si>
    <t>6112Fotodetalle0.jpg,6112Fotodetalle1.jpg,6112Fotodetalle2.jpg,6112Fotodetalle3.jpg</t>
  </si>
  <si>
    <t>6113Fotoproducto0.png</t>
  </si>
  <si>
    <t>6113Fotodetalle0.jpg,6113Fotodetalle1.jpg,6113Fotodetalle2.jpg,6113Fotodetalle3.jpg</t>
  </si>
  <si>
    <t>6116Fotoproducto0.png</t>
  </si>
  <si>
    <t>6116Fotodetalle0.jpg,6116Fotodetalle1.jpg,6116Fotodetalle2.jpg,6116Fotodetalle3.jpg</t>
  </si>
  <si>
    <t>6117Fotoproducto0.png</t>
  </si>
  <si>
    <t>6117Fotodetalle0.jpg,6117Fotodetalle1.jpg,6117Fotodetalle2.jpg,6117Fotodetalle3.jpg</t>
  </si>
  <si>
    <t>6118Fotoproducto0.png</t>
  </si>
  <si>
    <t>6118Fotodetalle0.jpg,6118Fotodetalle1.jpg,6118Fotodetalle2.jpg,6118Fotodetalle3.jpg</t>
  </si>
  <si>
    <t>6119Fotoproducto0.png</t>
  </si>
  <si>
    <t>6119Fotodetalle0.jpg,6119Fotodetalle1.jpg,6119Fotodetalle2.jpg,6119Fotodetalle3.jpg</t>
  </si>
  <si>
    <t>6120Fotoproducto0.png</t>
  </si>
  <si>
    <t>6120Fotodetalle0.jpg,6120Fotodetalle1.jpg,6120Fotodetalle2.jpg,6120Fotodetalle3.jpg</t>
  </si>
  <si>
    <t>6123Fotoproducto0.png</t>
  </si>
  <si>
    <t>6123Fotodetalle0.jpg,6123Fotodetalle1.jpg,6123Fotodetalle2.jpg,6123Fotodetalle3.jpg</t>
  </si>
  <si>
    <t>6125Fotoproducto0.png</t>
  </si>
  <si>
    <t>6125Fotodetalle0.jpg,6125Fotodetalle1.jpg,6125Fotodetalle2.jpg,6125Fotodetalle3.jpg</t>
  </si>
  <si>
    <t>6126Fotoproducto0.png</t>
  </si>
  <si>
    <t>6126Fotodetalle0.jpg,6126Fotodetalle1.jpg,6126Fotodetalle2.jpg,6126Fotodetalle3.jpg</t>
  </si>
  <si>
    <t>6127Fotoproducto0.png</t>
  </si>
  <si>
    <t>6127Fotodetalle0.jpg,6127Fotodetalle1.jpg,6127Fotodetalle2.jpg,6127Fotodetalle3.jpg</t>
  </si>
  <si>
    <t>6128Fotoproducto0.png</t>
  </si>
  <si>
    <t>6128Fotodetalle0.jpg,6128Fotodetalle1.jpg,6128Fotodetalle2.jpg,6128Fotodetalle3.jpg</t>
  </si>
  <si>
    <t>6129Fotoproducto0.png</t>
  </si>
  <si>
    <t>6129Fotodetalle0.jpg,6129Fotodetalle1.jpg,6129Fotodetalle2.jpg,6129Fotodetalle3.jpg</t>
  </si>
  <si>
    <t>6130Fotoproducto0.png</t>
  </si>
  <si>
    <t>6130Fotodetalle0.jpg,6130Fotodetalle1.jpg,6130Fotodetalle2.jpg,6130Fotodetalle3.jpg</t>
  </si>
  <si>
    <t>6131Fotoproducto0.png</t>
  </si>
  <si>
    <t>6131Fotodetalle0.jpg,6131Fotodetalle1.jpg,6131Fotodetalle2.jpg,6131Fotodetalle3.jpg</t>
  </si>
  <si>
    <t>6132Fotoproducto0.png</t>
  </si>
  <si>
    <t>6132Fotodetalle0.jpg,6132Fotodetalle1.jpg,6132Fotodetalle2.jpg,6132Fotodetalle3.jpg</t>
  </si>
  <si>
    <t>6133Fotoproducto0.png</t>
  </si>
  <si>
    <t>6133Fotodetalle0.jpg,6133Fotodetalle1.jpg,6133Fotodetalle2.jpg,6133Fotodetalle3.jpg</t>
  </si>
  <si>
    <t>6134Fotoproducto0.png</t>
  </si>
  <si>
    <t>6134Fotodetalle0.jpg,6134Fotodetalle1.jpg,6134Fotodetalle2.jpg,6134Fotodetalle3.jpg</t>
  </si>
  <si>
    <t>6135Fotoproducto0.png</t>
  </si>
  <si>
    <t>6135Fotodetalle0.jpg,6135Fotodetalle1.jpg,6135Fotodetalle2.jpg,6135Fotodetalle3.jpg</t>
  </si>
  <si>
    <t>6136Fotoproducto0.png</t>
  </si>
  <si>
    <t>6136Fotodetalle0.jpg,6136Fotodetalle1.jpg,6136Fotodetalle2.jpg,6136Fotodetalle3.jpg</t>
  </si>
  <si>
    <t>6138Fotoproducto0.png</t>
  </si>
  <si>
    <t>6138Fotodetalle0.jpg,6138Fotodetalle1.jpg,6138Fotodetalle2.jpg,6138Fotodetalle3.jpg</t>
  </si>
  <si>
    <t>6323Fotoproducto0.png</t>
  </si>
  <si>
    <t>6323Fotodetalle0.jpg,6323Fotodetalle1.jpg,6323Fotodetalle2.jpg,6323Fotodetalle3.jpg</t>
  </si>
  <si>
    <t>6324Fotoproducto0.png</t>
  </si>
  <si>
    <t>6324Fotodetalle0.jpg,6324Fotodetalle1.jpg,6324Fotodetalle2.jpg,6324Fotodetalle3.jpg</t>
  </si>
  <si>
    <t>6325Fotoproducto0.png</t>
  </si>
  <si>
    <t>6325Fotodetalle0.jpg,6325Fotodetalle1.jpg,6325Fotodetalle2.jpg,6325Fotodetalle3.jpg</t>
  </si>
  <si>
    <t>6327Fotoproducto0.png</t>
  </si>
  <si>
    <t>6327Fotodetalle0.jpg,6327Fotodetalle1.jpg,6327Fotodetalle2.jpg,6327Fotodetalle3.jpg</t>
  </si>
  <si>
    <t>6328Fotoproducto0.png</t>
  </si>
  <si>
    <t>6328Fotodetalle0.jpg,6328Fotodetalle1.jpg,6328Fotodetalle2.jpg,6328Fotodetalle3.jpg</t>
  </si>
  <si>
    <t>6329Fotoproducto0.png</t>
  </si>
  <si>
    <t>6329Fotodetalle0.jpg,6329Fotodetalle1.jpg,6329Fotodetalle2.jpg,6329Fotodetalle3.jpg</t>
  </si>
  <si>
    <t>6330Fotoproducto0.png</t>
  </si>
  <si>
    <t>6330Fotodetalle0.jpg,6330Fotodetalle1.jpg,6330Fotodetalle2.jpg,6330Fotodetalle3.jpg</t>
  </si>
  <si>
    <t>6331Fotoproducto0.png</t>
  </si>
  <si>
    <t>6331Fotodetalle0.jpg,6331Fotodetalle1.jpg,6331Fotodetalle2.jpg,6331Fotodetalle3.jpg</t>
  </si>
  <si>
    <t>6332Fotoproducto0.png</t>
  </si>
  <si>
    <t>6332Fotodetalle0.jpg,6332Fotodetalle1.jpg,6332Fotodetalle2.jpg,6332Fotodetalle3.jpg</t>
  </si>
  <si>
    <t>6383Fotoproducto.png</t>
  </si>
  <si>
    <t>6383Fotodetalle1.png</t>
  </si>
  <si>
    <t>6427Fotoproducto0.png</t>
  </si>
  <si>
    <t>6427Fotodetalle0.jpg,6427Fotodetalle1.jpg,6427Fotodetalle2.jpg,6427Fotodetalle3.jpg</t>
  </si>
  <si>
    <t>6428Fotoproducto0.png</t>
  </si>
  <si>
    <t>6428Fotodetalle0.jpg,6428Fotodetalle1.jpg,6428Fotodetalle2.jpg,6428Fotodetalle3.jpg</t>
  </si>
  <si>
    <t>6431Fotoproducto0.png</t>
  </si>
  <si>
    <t>6431Fotodetalle0.jpg,6431Fotodetalle1.jpg,6431Fotodetalle2.jpg,6431Fotodetalle3.jpg</t>
  </si>
  <si>
    <t>6432Fotoproducto0.png</t>
  </si>
  <si>
    <t>6432Fotodetalle0.jpg,6432Fotodetalle1.jpg,6432Fotodetalle2.jpg,6432Fotodetalle3.jpg</t>
  </si>
  <si>
    <t>6433Fotoproducto0.png</t>
  </si>
  <si>
    <t>6433Fotodetalle0.jpg,6433Fotodetalle1.jpg,6433Fotodetalle2.jpg,6433Fotodetalle3.jpg</t>
  </si>
  <si>
    <t>6434Fotoproducto0.png</t>
  </si>
  <si>
    <t>6434Fotodetalle0.jpg,6434Fotodetalle1.jpg,6434Fotodetalle2.jpg,6434Fotodetalle3.jpg</t>
  </si>
  <si>
    <t>6435Fotoproducto0.png</t>
  </si>
  <si>
    <t>6435Fotodetalle0.jpg,6435Fotodetalle1.jpg,6435Fotodetalle2.jpg,6435Fotodetalle3.jpg</t>
  </si>
  <si>
    <t>6436Fotoproducto0.png</t>
  </si>
  <si>
    <t>6436Fotodetalle0.jpg,6436Fotodetalle1.jpg,6436Fotodetalle2.jpg,6436Fotodetalle3.jpg</t>
  </si>
  <si>
    <t>6437Fotoproducto0.png</t>
  </si>
  <si>
    <t>6437Fotodetalle0.jpg,6437Fotodetalle1.jpg,6437Fotodetalle2.jpg,6437Fotodetalle3.jpg</t>
  </si>
  <si>
    <t>6438Fotoproducto0.png</t>
  </si>
  <si>
    <t>6438Fotodetalle0.jpg,6438Fotodetalle1.jpg,6438Fotodetalle2.jpg,6438Fotodetalle3.jpg</t>
  </si>
  <si>
    <t>6439Fotoproducto0.png</t>
  </si>
  <si>
    <t>6439Fotodetalle0.jpg,6439Fotodetalle1.jpg,6439Fotodetalle2.jpg,6439Fotodetalle3.jpg</t>
  </si>
  <si>
    <t>6440Fotodetalle0.jpg,6440Fotodetalle1.jpg,6440Fotodetalle2.jpg,6440Fotodetalle3.jpg</t>
  </si>
  <si>
    <t>6440Fotoproducto1.png</t>
  </si>
  <si>
    <t>6441Fotodetalle0.jpg,6441Fotodetalle1.jpg,6441Fotodetalle2.jpg,6441Fotodetalle3.jpg</t>
  </si>
  <si>
    <t>6442Fotoproducto1.png</t>
  </si>
  <si>
    <t>6442Fotodetalle0.jpg,6442Fotodetalle1.jpg,6442Fotodetalle2.jpg,6442Fotodetalle3.jpg</t>
  </si>
  <si>
    <t>6443Fotodetalle1.png</t>
  </si>
  <si>
    <t>6444Fotoproducto3.png</t>
  </si>
  <si>
    <t>6444Fotodetalle0.jpg,6444Fotodetalle1.jpg,6444Fotodetalle2.jpg,6444Fotodetalle3.jpg</t>
  </si>
  <si>
    <t>6444Fotodetalle1.png</t>
  </si>
  <si>
    <t>Tiene fotos en Drive pero falta 6445Fotoproducto0.png.</t>
  </si>
  <si>
    <t>6445Fotoproducto0.png</t>
  </si>
  <si>
    <t>6445Fotodetalle0.jpg,6445Fotodetalle1.jpg,6445Fotodetalle2.jpg,6445Fotodetalle3.jpg</t>
  </si>
  <si>
    <t>6446Fotoproducto1.png</t>
  </si>
  <si>
    <t>6446Fotodetalle0.jpg,6446Fotodetalle1.jpg,6446Fotodetalle2.jpg,6446Fotodetalle3.jpg</t>
  </si>
  <si>
    <t>6447Fotodetalle0.jpg,6447Fotodetalle1.jpg,6447Fotodetalle2.jpg,6447Fotodetalle3.jpg</t>
  </si>
  <si>
    <t>6448Fotoproducto0.png</t>
  </si>
  <si>
    <t>6448Fotodetalle0.jpg,6448Fotodetalle1.jpg,6448Fotodetalle2.jpg,6448Fotodetalle3.jpg</t>
  </si>
  <si>
    <t>6449Fotodetalle0.jpg,6449Fotodetalle1.jpg,6449Fotodetalle2.jpg,6449Fotodetalle3.jpg</t>
  </si>
  <si>
    <t>6450Fotoproducto0.png</t>
  </si>
  <si>
    <t>6450Fotodetalle0.jpg,6450Fotodetalle1.jpg,6450Fotodetalle2.jpg,6450Fotodetalle3.jpg</t>
  </si>
  <si>
    <t>Tiene fotos en Drive pero falta 6451Fotoproducto0.png.</t>
  </si>
  <si>
    <t>6451Fotoproducto0.png</t>
  </si>
  <si>
    <t>6451Fotodetalle0.jpg,6451Fotodetalle1.jpg,6451Fotodetalle2.jpg,6451Fotodetalle3.jpg</t>
  </si>
  <si>
    <t>6452Fotodetalle0.jpg,6452Fotodetalle1.jpg,6452Fotodetalle2.jpg,6452Fotodetalle3.jpg</t>
  </si>
  <si>
    <t>6453Fotodetalle.png</t>
  </si>
  <si>
    <t>Tiene fotos en Drive pero falta 6454Fotoproducto0.png.</t>
  </si>
  <si>
    <t>6454Fotoproducto0.png</t>
  </si>
  <si>
    <t>6454Fotodetalle0.jpg,6454Fotodetalle1.jpg,6454Fotodetalle2.jpg,6454Fotodetalle3.jpg</t>
  </si>
  <si>
    <t>Tiene fotos en Drive pero falta 6455Fotoproducto0.png.</t>
  </si>
  <si>
    <t>6455Fotoproducto0.png</t>
  </si>
  <si>
    <t>6455Fotodetalle0.jpg,6455Fotodetalle1.jpg,6455Fotodetalle2.jpg,6455Fotodetalle3.jpg</t>
  </si>
  <si>
    <t>6456Fotodetalle0.jpg,6456Fotodetalle1.jpg,6456Fotodetalle2.jpg,6456Fotodetalle3.jpg</t>
  </si>
  <si>
    <t>6457Fotoproducto0.png</t>
  </si>
  <si>
    <t>6457Fotodetalle0.jpg,6457Fotodetalle1.jpg,6457Fotodetalle2.jpg,6457Fotodetalle3.jpg</t>
  </si>
  <si>
    <t>6458Fotodetalle0.jpg,6458Fotodetalle1.jpg,6458Fotodetalle2.jpg,6458Fotodetalle3.jpg</t>
  </si>
  <si>
    <t>6459Fotodetalle0.jpg,6459Fotodetalle1.jpg,6459Fotodetalle2.jpg,6459Fotodetalle3.jpg</t>
  </si>
  <si>
    <t>6460FotoDetalle0.jpg</t>
  </si>
  <si>
    <t>6461Fotodetalle0.jpg,6461Fotodetalle1.jpg,6461Fotodetalle2.jpg,6461Fotodetalle3.jpg</t>
  </si>
  <si>
    <t>6462Fotodetalle0.jpg,6462Fotodetalle1.jpg,6462Fotodetalle2.jpg,6462Fotodetalle3.jpg</t>
  </si>
  <si>
    <t>6463Fotodetalle0.jpg,6463Fotodetalle1.jpg,6463Fotodetalle2.jpg,6463Fotodetalle3.jpg</t>
  </si>
  <si>
    <t>6464Fotodetalle0.jpg,6464Fotodetalle1.jpg,6464Fotodetalle2.jpg,6464Fotodetalle3.jpg</t>
  </si>
  <si>
    <t>6465Fotodetalle0.jpg,6465Fotodetalle1.jpg,6465Fotodetalle2.jpg,6465Fotodetalle3.jpg</t>
  </si>
  <si>
    <t>6466Fotodetalle0.jpg,6466Fotodetalle1.jpg,6466Fotodetalle2.jpg,6466Fotodetalle3.jpg</t>
  </si>
  <si>
    <t>6467Fotodetalle0.jpg,6467Fotodetalle1.jpg,6467Fotodetalle2.jpg,6467Fotodetalle3.jpg</t>
  </si>
  <si>
    <t>6468Fotodetalle.png</t>
  </si>
  <si>
    <t>6469Fotodetalle0.jpg,6469Fotodetalle1.jpg,6469Fotodetalle2.jpg,6469Fotodetalle3.jpg</t>
  </si>
  <si>
    <t>6470Fotodetalle0.jpg,6470Fotodetalle1.jpg,6470Fotodetalle2.jpg,6470Fotodetalle3.jpg</t>
  </si>
  <si>
    <t>6471Fotodetalle0.jpg,6471Fotodetalle1.jpg,6471Fotodetalle2.jpg,6471Fotodetalle3.jpg</t>
  </si>
  <si>
    <t>6485Fotoproducto0.png</t>
  </si>
  <si>
    <t>6485Fotodetalle0.jpg,6485Fotodetalle1.jpg,6485Fotodetalle2.jpg,6485Fotodetalle3.jpg</t>
  </si>
  <si>
    <t>6486Fotoproducto0.png</t>
  </si>
  <si>
    <t>6486Fotodetalle0.jpg,6486Fotodetalle1.jpg,6486Fotodetalle2.jpg,6486Fotodetalle3.jpg</t>
  </si>
  <si>
    <t>6487Fotoproducto0.png</t>
  </si>
  <si>
    <t>6487Fotodetalle0.jpg,6487Fotodetalle1.jpg,6487Fotodetalle2.jpg,6487Fotodetalle3.jpg</t>
  </si>
  <si>
    <t>6488Fotoproducto0.png</t>
  </si>
  <si>
    <t>6488Fotodetalle0.jpg,6488Fotodetalle1.jpg,6488Fotodetalle2.jpg,6488Fotodetalle3.jpg</t>
  </si>
  <si>
    <t>6489Fotoproducto0.png</t>
  </si>
  <si>
    <t>6489Fotodetalle0.jpg,6489Fotodetalle1.jpg,6489Fotodetalle2.jpg,6489Fotodetalle3.jpg</t>
  </si>
  <si>
    <t>6492Fotoproducto0.png</t>
  </si>
  <si>
    <t>6492Fotodetalle0.jpg,6492Fotodetalle1.jpg,6492Fotodetalle2.jpg,6492Fotodetalle3.jpg</t>
  </si>
  <si>
    <t>6494Fotoproducto0.png</t>
  </si>
  <si>
    <t>6494Fotodetalle0.jpg,6494Fotodetalle1.jpg,6494Fotodetalle2.jpg,6494Fotodetalle3.jpg</t>
  </si>
  <si>
    <t>6563FotoDetalle0.jpg</t>
  </si>
  <si>
    <t>6564Fotoproducto0.png</t>
  </si>
  <si>
    <t>6564Fotodetalle0.jpg,6564Fotodetalle1.jpg,6564Fotodetalle2.jpg,6564Fotodetalle3.jpg</t>
  </si>
  <si>
    <t>6565FotoDetalle0.jpg, 6565FotoDetalle1.jpg, 6565FotoDetalle2.jpg</t>
  </si>
  <si>
    <t>6566Fotodetalle0.jpg,6566Fotodetalle1.jpg,6566Fotodetalle2.jpg,6566Fotodetalle3.jpg</t>
  </si>
  <si>
    <t>6566FotoDetalle0.jpg, 6566FotoDetalle1.jpg</t>
  </si>
  <si>
    <t>6567Fotoproducto0.png</t>
  </si>
  <si>
    <t>6567Fotodetalle0.jpg,6567Fotodetalle1.jpg,6567Fotodetalle2.jpg,6567Fotodetalle3.jpg</t>
  </si>
  <si>
    <t>6568Fotoproducto0.png</t>
  </si>
  <si>
    <t>6568Fotodetalle0.jpg,6568Fotodetalle1.jpg,6568Fotodetalle2.jpg,6568Fotodetalle3.jpg</t>
  </si>
  <si>
    <t>6569FotoDetalle0.jpg, 6569FotoDetalle1.jpg</t>
  </si>
  <si>
    <t>6570Fotoproducto0.png</t>
  </si>
  <si>
    <t>6570Fotodetalle0.jpg,6570Fotodetalle1.jpg,6570Fotodetalle2.jpg,6570Fotodetalle3.jpg</t>
  </si>
  <si>
    <t>6571Fotoproducto0.png</t>
  </si>
  <si>
    <t>6571Fotodetalle0.jpg,6571Fotodetalle1.jpg,6571Fotodetalle2.jpg,6571Fotodetalle3.jpg</t>
  </si>
  <si>
    <t>6572Fotoproducto0.png</t>
  </si>
  <si>
    <t>6572Fotodetalle0.jpg,6572Fotodetalle1.jpg,6572Fotodetalle2.jpg,6572Fotodetalle3.jpg</t>
  </si>
  <si>
    <t>6573Fotoproducto0.png</t>
  </si>
  <si>
    <t>6573Fotodetalle0.jpg,6573Fotodetalle1.jpg,6573Fotodetalle2.jpg,6573Fotodetalle3.jpg</t>
  </si>
  <si>
    <t>6574Fotoproducto0.png</t>
  </si>
  <si>
    <t>6574Fotodetalle0.jpg,6574Fotodetalle1.jpg,6574Fotodetalle2.jpg,6574Fotodetalle3.jpg</t>
  </si>
  <si>
    <t>6575FotoDetalle0.jpg, 6575FotoDetalle1.jpg, 6575FotoDetalle2.jpg, 6575FotoDetalle3.jpg</t>
  </si>
  <si>
    <t>6576Fotoproducto0.png</t>
  </si>
  <si>
    <t>6576Fotodetalle0.jpg,6576Fotodetalle1.jpg,6576Fotodetalle2.jpg,6576Fotodetalle3.jpg</t>
  </si>
  <si>
    <t>6576FotoDetalle0.jpg, 6576FotoDetalle1.jpg, 6576FotoDetalle2.jpg, 6576FotoDetalle3.jpg</t>
  </si>
  <si>
    <t>6577FotoDetalle0.jpg, 6577FotoDetalle1.jpg, 6577FotoDetalle2.jpg, 6577FotoDetalle3.jpg</t>
  </si>
  <si>
    <t>6578Fotoproducto0.png</t>
  </si>
  <si>
    <t>6578Fotodetalle0.jpg,6578Fotodetalle1.jpg,6578Fotodetalle2.jpg,6578Fotodetalle3.jpg</t>
  </si>
  <si>
    <t>6579Fotoproducto0.png</t>
  </si>
  <si>
    <t>6579Fotodetalle0.jpg,6579Fotodetalle1.jpg,6579Fotodetalle2.jpg,6579Fotodetalle3.jpg</t>
  </si>
  <si>
    <t>6580Fotoproducto0.png</t>
  </si>
  <si>
    <t>6580Fotodetalle0.jpg,6580Fotodetalle1.jpg,6580Fotodetalle2.jpg,6580Fotodetalle3.jpg</t>
  </si>
  <si>
    <t>6581Fotoproducto0.png</t>
  </si>
  <si>
    <t>6581Fotodetalle0.jpg,6581Fotodetalle1.jpg,6581Fotodetalle2.jpg,6581Fotodetalle3.jpg</t>
  </si>
  <si>
    <t>6582Fotoproducto0.png</t>
  </si>
  <si>
    <t>6582FotoProducto0.png</t>
  </si>
  <si>
    <t>6582Fotodetalle0.jpg,6582Fotodetalle1.jpg,6582Fotodetalle2.jpg,6582Fotodetalle3.jpg</t>
  </si>
  <si>
    <t>6582.png,6582FotoDetalle0.jpg,6582FotoDetalle1.jpg,6582FotoDetalle2.jpg,6582FotoDetalle3.jpg,6582FotoDetalle4.jpg,6582FotoProducto1.png</t>
  </si>
  <si>
    <t>6582FotoProducto1.png</t>
  </si>
  <si>
    <t>6582FotoDetalle0.jpg, 6582FotoDetalle1.jpg, 6582FotoDetalle2.jpg, 6582FotoDetalle3.jpg, 6582FotoDetalle4.jpg</t>
  </si>
  <si>
    <t>6583FotoProducto1.png</t>
  </si>
  <si>
    <t>6583FotoProducto0.png</t>
  </si>
  <si>
    <t>6583FotoDetalle0.jpg, 6583FotoDetalle1.jpg, 6583FotoDetalle2.jpg, 6583FotoDetalle3.jpg</t>
  </si>
  <si>
    <t>6583.png,6583FotoDetalle0.jpg,6583FotoDetalle1.jpg,6583FotoDetalle2.jpg,6583FotoDetalle3.jpg,6583FotoProducto1.png</t>
  </si>
  <si>
    <t>6584FotoDetalle0.jpg, 6584FotoDetalle1.jpg, 6584FotoDetalle2.jpg, 6584FotoDetalle3.jpg, 6584FotoDetalle4.jpg</t>
  </si>
  <si>
    <t>6584.png,6584FotoDetalle0.jpg,6584FotoDetalle1.jpg,6584FotoDetalle2.jpg,6584FotoDetalle3.jpg,6584FotoDetalle4.jpg,6584FotoProducto1.png</t>
  </si>
  <si>
    <t>6585FotoProducto1.png</t>
  </si>
  <si>
    <t>6585FotoProducto0.png</t>
  </si>
  <si>
    <t>6585FotoDetalle0.jpg, 6585FotoDetalle1.jpg, 6585FotoDetalle2.jpg, 6585FotoDetalle3.jpg</t>
  </si>
  <si>
    <t>6585.png,6585FotoDetalle0.jpg,6585FotoDetalle1.jpg,6585FotoDetalle2.jpg,6585FotoDetalle3.jpg,6585FotoProducto1.png</t>
  </si>
  <si>
    <t>6586FotoDetalle0.jpg, 6586FotoDetalle1.jpg, 6586FotoDetalle2.jpg, 6586FotoDetalle3.jpg, 6586FotoDetalle4.jpg</t>
  </si>
  <si>
    <t>6586.png,6586FotoDetalle0.jpg,6586FotoDetalle1.jpg,6586FotoDetalle2.jpg,6586FotoDetalle3.jpg,6586FotoDetalle4.jpg,6586FotoProducto1.png</t>
  </si>
  <si>
    <t>6587FotoDetalle0.jpg, 6587FotoDetalle1.jpg, 6587FotoDetalle2.jpg, 6587FotoDetalle3.jpg</t>
  </si>
  <si>
    <t>6587.png,6587FotoDetalle0.jpg,6587FotoDetalle1.jpg,6587FotoDetalle2.jpg,6587FotoDetalle3.jpg,6587FotoProducto1.png</t>
  </si>
  <si>
    <t>6588Fotoproducto0.png</t>
  </si>
  <si>
    <t>6588Fotodetalle0.jpg,6588Fotodetalle1.jpg,6588Fotodetalle2.jpg,6588Fotodetalle3.jpg</t>
  </si>
  <si>
    <t>6588FotoDetalle0.jpg, 6588FotoDetalle1.jpg, 6588FotoDetalle2.jpg</t>
  </si>
  <si>
    <t>6589Fotoproducto0.png</t>
  </si>
  <si>
    <t>6589Fotodetalle0.jpg,6589Fotodetalle1.jpg,6589Fotodetalle2.jpg,6589Fotodetalle3.jpg</t>
  </si>
  <si>
    <t>6590Fotoproducto0.png</t>
  </si>
  <si>
    <t>6590Fotodetalle0.jpg,6590Fotodetalle1.jpg,6590Fotodetalle2.jpg,6590Fotodetalle3.jpg</t>
  </si>
  <si>
    <t>6591Fotoproducto0.png</t>
  </si>
  <si>
    <t>6591Fotodetalle0.jpg,6591Fotodetalle1.jpg,6591Fotodetalle2.jpg,6591Fotodetalle3.jpg</t>
  </si>
  <si>
    <t>6592Fotoproducto0.png</t>
  </si>
  <si>
    <t>6592Fotodetalle0.jpg,6592Fotodetalle1.jpg,6592Fotodetalle2.jpg,6592Fotodetalle3.jpg</t>
  </si>
  <si>
    <t>6593Fotoproducto0.png</t>
  </si>
  <si>
    <t>6593Fotodetalle0.jpg,6593Fotodetalle1.jpg,6593Fotodetalle2.jpg,6593Fotodetalle3.jpg</t>
  </si>
  <si>
    <t>6594Fotoproducto0.png</t>
  </si>
  <si>
    <t>6594Fotodetalle0.jpg,6594Fotodetalle1.jpg,6594Fotodetalle2.jpg,6594Fotodetalle3.jpg</t>
  </si>
  <si>
    <t>6595Fotoproducto0.png</t>
  </si>
  <si>
    <t>6595Fotodetalle0.jpg,6595Fotodetalle1.jpg,6595Fotodetalle2.jpg,6595Fotodetalle3.jpg</t>
  </si>
  <si>
    <t>6596Fotoproducto0.png</t>
  </si>
  <si>
    <t>6596Fotodetalle0.jpg,6596Fotodetalle1.jpg,6596Fotodetalle2.jpg,6596Fotodetalle3.jpg</t>
  </si>
  <si>
    <t>6597Fotoproducto0.png</t>
  </si>
  <si>
    <t>6597Fotodetalle0.jpg,6597Fotodetalle1.jpg,6597Fotodetalle2.jpg,6597Fotodetalle3.jpg</t>
  </si>
  <si>
    <t>6598Fotoproducto0.png</t>
  </si>
  <si>
    <t>6598Fotodetalle0.jpg,6598Fotodetalle1.jpg,6598Fotodetalle2.jpg,6598Fotodetalle3.jpg</t>
  </si>
  <si>
    <t>6598FotoDetalle0.jpg, 6598FotoDetalle1.jpg, 6598FotoDetalle2.jpg, 6598FotoDetalle3.jpg</t>
  </si>
  <si>
    <t>6599Fotoproducto0.png</t>
  </si>
  <si>
    <t>6599Fotodetalle0.jpg,6599Fotodetalle1.jpg,6599Fotodetalle2.jpg,6599Fotodetalle3.jpg</t>
  </si>
  <si>
    <t>6600Fotoproducto0.png</t>
  </si>
  <si>
    <t>6600Fotodetalle0.jpg,6600Fotodetalle1.jpg,6600Fotodetalle2.jpg,6600Fotodetalle3.jpg</t>
  </si>
  <si>
    <t>6601Fotoproducto0.png</t>
  </si>
  <si>
    <t>6601Fotodetalle0.jpg,6601Fotodetalle1.jpg,6601Fotodetalle2.jpg,6601Fotodetalle3.jpg</t>
  </si>
  <si>
    <t>6602Fotoproducto0.png</t>
  </si>
  <si>
    <t>6602Fotodetalle0.jpg,6602Fotodetalle1.jpg,6602Fotodetalle2.jpg,6602Fotodetalle3.jpg</t>
  </si>
  <si>
    <t>6602FotoDetalle0.jpg, 6602FotoDetalle1.jpg, 6602FotoDetalle2.jpg</t>
  </si>
  <si>
    <t>6603Fotoproducto0.png</t>
  </si>
  <si>
    <t>6603Fotodetalle0.jpg,6603Fotodetalle1.jpg,6603Fotodetalle2.jpg,6603Fotodetalle3.jpg</t>
  </si>
  <si>
    <t>6604Fotoproducto0.png</t>
  </si>
  <si>
    <t>6604Fotodetalle0.jpg,6604Fotodetalle1.jpg,6604Fotodetalle2.jpg,6604Fotodetalle3.jpg</t>
  </si>
  <si>
    <t>6604FotoDetalle0.jpg, 6604FotoDetalle1.jpg, 6604FotoDetalle2.jpg</t>
  </si>
  <si>
    <t>6605FotoDetalle0.jpg, 6605FotoDetalle1.jpg, 6605FotoDetalle2.jpg</t>
  </si>
  <si>
    <t>6607Fotoproducto0.png</t>
  </si>
  <si>
    <t>6607FotoProducto0.png</t>
  </si>
  <si>
    <t>6607Fotodetalle0.jpg,6607Fotodetalle1.jpg,6607Fotodetalle2.jpg,6607Fotodetalle3.jpg</t>
  </si>
  <si>
    <t>6607.png,6607FotoDetalle0.jpg,6607FotoDetalle1.jpg,6607FotoDetalle2.jpg,6607FotoDetalle3.jpg,6607FotoProducto1.png</t>
  </si>
  <si>
    <t>6610Fotoproducto0.png</t>
  </si>
  <si>
    <t>6610FotoProducto0.png</t>
  </si>
  <si>
    <t>6610Fotodetalle0.jpg,6610Fotodetalle1.jpg,6610Fotodetalle2.jpg,6610Fotodetalle3.jpg</t>
  </si>
  <si>
    <t>6610.png,6610FotoDetalle0.jpg,6610FotoDetalle1.jpg,6610FotoDetalle2.jpg,6610FotoDetalle3.jpg,6610FotoDetalle4.jpg,6610FotoDetalle5.jpg,6610FotoProducto1.png</t>
  </si>
  <si>
    <t>6611Fotoproducto0.png</t>
  </si>
  <si>
    <t>6611FotoProducto0.png</t>
  </si>
  <si>
    <t>6611Fotodetalle0.jpg,6611Fotodetalle1.jpg,6611Fotodetalle2.jpg,6611Fotodetalle3.jpg</t>
  </si>
  <si>
    <t>6611.png,6611FotoDetalle0.jpg,6611FotoDetalle1.jpg,6611FotoDetalle2.jpg,6611FotoDetalle3.jpg,6611FotoProducto1.png</t>
  </si>
  <si>
    <t>6612Fotoproducto0.png</t>
  </si>
  <si>
    <t>6612Fotodetalle0.jpg,6612Fotodetalle1.jpg,6612Fotodetalle2.jpg,6612Fotodetalle3.jpg</t>
  </si>
  <si>
    <t>6613Fotoproducto0.png</t>
  </si>
  <si>
    <t>6613Fotodetalle0.jpg,6613Fotodetalle1.jpg,6613Fotodetalle2.jpg,6613Fotodetalle3.jpg</t>
  </si>
  <si>
    <t>6614Fotoproducto0.png</t>
  </si>
  <si>
    <t>6614Fotodetalle0.jpg,6614Fotodetalle1.jpg,6614Fotodetalle2.jpg,6614Fotodetalle3.jpg</t>
  </si>
  <si>
    <t>6614FotoDetalle0.jpg,6614FotoDetalle1.jpg,6614FotoDetalle2.jpg,6614FotoDetalle3.jpg,6614FotoDetalle4.jpg,6614FotoDetalle5.jpg,6614FotoDetalle6.jpg,6614FotoDetalle7.jpg,6614FotoDetalle8.jpg,6614FotoDetalle9.jpg,6614FotoDetalle10.jpg,6614FotoDetalle11.jpg,6614FotoDetalle12.jpg,6614FotoDetalle13.jpg,6614FotoDetalle14.jpg,6614FotoDetalle15.jpg,6614FotoDetalle16.jpg,6614FotoDetalle17.jpg,6614FotoProducto1.png,6614FotoProducto2.png,6614FotoProducto3.png,6614FotoProducto4.png,6614FotoProducto5.png,6614FotoProducto6.png</t>
  </si>
  <si>
    <t>6614-6715Fotoproducto12.png</t>
  </si>
  <si>
    <t>6614FotoDetalle0.jpg, 6614FotoDetalle1.jpg, 6614FotoDetalle10.jpg, 6614FotoDetalle11.jpg, 6614FotoDetalle12.jpg, 6614FotoDetalle13.jpg, 6614FotoDetalle14.jpg, 6614FotoDetalle15.jpg, 6614FotoDetalle16.jpg, 6614FotoDetalle17.jpg, 6614FotoDetalle2.jpg, 6614FotoDetalle3.jpg, 6614FotoDetalle4.jpg, 6614FotoDetalle5.jpg, 6614FotoDetalle6.jpg, 6614FotoDetalle7.jpg, 6614FotoDetalle8.jpg, 6614FotoDetalle9.jpg</t>
  </si>
  <si>
    <t>6615-6714Fotoproducto10.png</t>
  </si>
  <si>
    <t>6615FotoDetalle0.jpg, 6615FotoDetalle1.jpg, 6615FotoDetalle10.jpg, 6615FotoDetalle11.jpg, 6615FotoDetalle12.jpg, 6615FotoDetalle13.jpg, 6615FotoDetalle14.jpg, 6615FotoDetalle15.jpg, 6615FotoDetalle2.jpg, 6615FotoDetalle3.jpg, 6615FotoDetalle4.jpg, 6615FotoDetalle5.jpg, 6615FotoDetalle6.jpg, 6615FotoDetalle7.jpg, 6615FotoDetalle8.jpg, 6615FotoDetalle9.jpg</t>
  </si>
  <si>
    <t>6615FotoDetalle0.jpg,6615FotoDetalle1.jpg,6615FotoDetalle2.jpg,6615FotoDetalle3.jpg,6615FotoDetalle4.jpg,6615FotoDetalle5.jpg,6615FotoDetalle6.jpg,6615FotoDetalle7.jpg,6615FotoDetalle8.jpg,6615FotoDetalle9.jpg,6615FotoDetalle10.jpg,6615FotoDetalle11.jpg,6615FotoDetalle12.jpg,6615FotoDetalle13.jpg,6615FotoDetalle14.jpg,6615FotoDetalle15.jpg,6615FotoProducto1.png,6615FotoProducto2.png,6615FotoProducto3.png,6615FotoProducto4.png,6615FotoProducto5.png,6615FotoProducto6.png,6615FotoProducto7.png</t>
  </si>
  <si>
    <t>6618Fotoproducto.png</t>
  </si>
  <si>
    <t>6618Fotodetalle0.jpg,6618Fotodetalle1.jpg,6618Fotodetalle2.jpg,6618Fotodetalle3.jpg</t>
  </si>
  <si>
    <t>6618Fotodetalle.jpg,6618FotoDetalle0.jpg,6618Fotodetalle1.jpg,6618Fotodetalle2.jpg,6618Fotoproducto.png,6618Fotoproducto1.png,6618Fotoproducto2.png,6618Fotoproducto3.png,6618Fotoproducto4.jpg,6618Fotoproducto5.jpg,6618Fotoproducto6.jpg,6618Fotoproducto7.jpg</t>
  </si>
  <si>
    <t>6619Fotoproducto0.png</t>
  </si>
  <si>
    <t>6619Fotodetalle0.jpg,6619Fotodetalle1.jpg,6619Fotodetalle2.jpg,6619Fotodetalle3.jpg</t>
  </si>
  <si>
    <t>6619FotoDetalle0.jpg,6619FotoDetalle1.jpg,6619FotoDetalle2.jpg,6619FotoDetalle3.jpg,6619FotoDetalle4.jpg,6619FotoDetalle5.jpg,6619FotoDetalle6.jpg,6619FotoDetalle7.jpg,6619FotoDetalle8.jpg,6619FotoDetalle9.jpg,6619FotoDetalle10.jpg,6619FotoDetalle11.jpg,6619FotoDetalle12.jpg,6619FotoDetalle13.jpg,6619FotoProducto1.png,6619FotoProducto2.png,6619FotoProducto3.png,6619FotoProducto4.png,6619FotoProducto5.png,6619FotoProducto6.png</t>
  </si>
  <si>
    <t>6619-6712-7028-7029Fotoproducto11.png</t>
  </si>
  <si>
    <t>6619FotoDetalle0.jpg, 6619FotoDetalle1.jpg, 6619FotoDetalle10.jpg, 6619FotoDetalle11.jpg, 6619FotoDetalle12.jpg, 6619FotoDetalle13.jpg, 6619FotoDetalle2.jpg, 6619FotoDetalle3.jpg, 6619FotoDetalle4.jpg, 6619FotoDetalle5.jpg, 6619FotoDetalle6.jpg, 6619FotoDetalle7.jpg, 6619FotoDetalle8.jpg, 6619FotoDetalle9.jpg</t>
  </si>
  <si>
    <t>6621FotoProducto1.png</t>
  </si>
  <si>
    <t>6621Fotodetalle0.jpg,6621Fotodetalle1.jpg,6621Fotodetalle2.jpg,6621Fotodetalle3.jpg</t>
  </si>
  <si>
    <t>6621FotoDetalle0.jpg, 6621FotoDetalle1.jpg, 6621FotoDetalle2.jpg</t>
  </si>
  <si>
    <t>6622FotoDetalle0.jpg</t>
  </si>
  <si>
    <t>6623Fotoproducto0.png</t>
  </si>
  <si>
    <t>6623Fotodetalle0.jpg,6623Fotodetalle1.jpg,6623Fotodetalle2.jpg,6623Fotodetalle3.jpg</t>
  </si>
  <si>
    <t>6624Fotoproducto0.png</t>
  </si>
  <si>
    <t>6624Fotodetalle0.jpg,6624Fotodetalle1.jpg,6624Fotodetalle2.jpg,6624Fotodetalle3.jpg</t>
  </si>
  <si>
    <t>6625Fotoproducto0.png</t>
  </si>
  <si>
    <t>6625Fotodetalle0.jpg,6625Fotodetalle1.jpg,6625Fotodetalle2.jpg,6625Fotodetalle3.jpg</t>
  </si>
  <si>
    <t>6626Fotoproducto0.png</t>
  </si>
  <si>
    <t>6626Fotodetalle0.jpg,6626Fotodetalle1.jpg,6626Fotodetalle2.jpg,6626Fotodetalle3.jpg</t>
  </si>
  <si>
    <t>6627Fotoproducto0.png</t>
  </si>
  <si>
    <t>6627Fotodetalle0.jpg,6627Fotodetalle1.jpg,6627Fotodetalle2.jpg,6627Fotodetalle3.jpg</t>
  </si>
  <si>
    <t>6628Fotoproducto0.png</t>
  </si>
  <si>
    <t>6628Fotodetalle0.jpg,6628Fotodetalle1.jpg,6628Fotodetalle2.jpg,6628Fotodetalle3.jpg</t>
  </si>
  <si>
    <t>6631Fotoproducto.png</t>
  </si>
  <si>
    <t>6631Fotodetalle0.jpg,6631Fotodetalle1.jpg,6631Fotodetalle2.jpg,6631Fotodetalle3.jpg</t>
  </si>
  <si>
    <t>6631Fotodetalle.jpg,6631Fotodetalle1.jpg,6631Fotodetalle2.jpg,6631Fotodetalle3.jpg,6631Fotoproducto1.png,6631Fotoproducto2.jpg,6631Fotoproducto2.png,6631Fotoproducto3.png,6631Fotoproducto4.jpg,6631Fotoproducto5.jpg,6631Fotoproducto6.jpg</t>
  </si>
  <si>
    <t>6631Fotodetalle.jpg, 6631Fotodetalle1.jpg, 6631Fotodetalle2.jpg, 6631Fotodetalle3.jpg</t>
  </si>
  <si>
    <t>6632Fotodetalle0.jpg,6632Fotodetalle1.jpg,6632Fotodetalle2.jpg,6632Fotodetalle3.jpg</t>
  </si>
  <si>
    <t>6633Fotoproducto.png</t>
  </si>
  <si>
    <t>6633Fotodetalle0.jpg,6633Fotodetalle1.jpg,6633Fotodetalle2.jpg,6633Fotodetalle3.jpg</t>
  </si>
  <si>
    <t>6634Fotodetalle0.jpg,6634Fotodetalle1.jpg,6634Fotodetalle2.jpg,6634Fotodetalle3.jpg</t>
  </si>
  <si>
    <t>6638Fotoproducto.png</t>
  </si>
  <si>
    <t>6638.Fotodetalle4.png</t>
  </si>
  <si>
    <t>Tiene fotos en Drive pero falta 6639Fotoproducto0.png.</t>
  </si>
  <si>
    <t>6639Fotoproducto.png</t>
  </si>
  <si>
    <t>6639Fotodetalle0.jpg,6639Fotodetalle1.jpg,6639Fotodetalle2.jpg,6639Fotodetalle3.jpg</t>
  </si>
  <si>
    <t>6641Fotodetalle0.jpg,6641Fotodetalle1.jpg,6641Fotodetalle2.jpg,6641Fotodetalle3.jpg</t>
  </si>
  <si>
    <t>6641Fotodetalle.png,6641FotoDetalle0.jpg,6641FotoDetalle1.jpg,6641Fotodetalle1.png,6641FotoDetalle2.jpg,6641Fotodetalle2.png,6641FotoDetalle3.jpg,6641Fotodetalle3.png,6641FotoDetalle4.jpg,6641Fotodetalle4.png,6641FotoDetalle5.jpg,6641Fotoproducto.png</t>
  </si>
  <si>
    <t>6642Fotodetalle0.jpg,6642Fotodetalle1.jpg,6642Fotodetalle2.jpg,6642Fotodetalle3.jpg</t>
  </si>
  <si>
    <t>6643Fotoproducto0.png</t>
  </si>
  <si>
    <t>6643Fotodetalle0.jpg,6643Fotodetalle1.jpg,6643Fotodetalle2.jpg,6643Fotodetalle3.jpg</t>
  </si>
  <si>
    <t>Tiene fotos en Drive pero falta 6644Fotoproducto0.png.</t>
  </si>
  <si>
    <t>6644Fotoproducto0.png</t>
  </si>
  <si>
    <t>6644Fotodetalle0.jpg,6644Fotodetalle1.jpg,6644Fotodetalle2.jpg,6644Fotodetalle3.jpg</t>
  </si>
  <si>
    <t>6644-6646-6648.png,6644-6646-6648FotoDetalle0.jpg,6644-6646-6648FotoProducto0.png</t>
  </si>
  <si>
    <t>Tiene fotos en Drive pero falta 6645Fotoproducto0.png.</t>
  </si>
  <si>
    <t>6645Fotoproducto0.png</t>
  </si>
  <si>
    <t>6645Fotodetalle0.jpg,6645Fotodetalle1.jpg,6645Fotodetalle2.jpg,6645Fotodetalle3.jpg</t>
  </si>
  <si>
    <t>6645-6647-6649.png,6645-6647-6649FotoProducto0.png</t>
  </si>
  <si>
    <t>6646Fotoproducto0.png</t>
  </si>
  <si>
    <t>6646Fotodetalle0.jpg,6646Fotodetalle1.jpg,6646Fotodetalle2.jpg,6646Fotodetalle3.jpg</t>
  </si>
  <si>
    <t>6647Fotoproducto0.png</t>
  </si>
  <si>
    <t>6647Fotodetalle0.jpg,6647Fotodetalle1.jpg,6647Fotodetalle2.jpg,6647Fotodetalle3.jpg</t>
  </si>
  <si>
    <t>6648Fotoproducto0.png</t>
  </si>
  <si>
    <t>6648Fotodetalle0.jpg,6648Fotodetalle1.jpg,6648Fotodetalle2.jpg,6648Fotodetalle3.jpg</t>
  </si>
  <si>
    <t>6649Fotoproducto0.png</t>
  </si>
  <si>
    <t>6649Fotodetalle0.jpg,6649Fotodetalle1.jpg,6649Fotodetalle2.jpg,6649Fotodetalle3.jpg</t>
  </si>
  <si>
    <t>Tiene fotos en Drive pero falta 6650Fotoproducto0.png.</t>
  </si>
  <si>
    <t>6650Fotodetalle0.jpg,6650Fotodetalle1.jpg,6650Fotodetalle2.jpg,6650Fotodetalle3.jpg</t>
  </si>
  <si>
    <t>6650-6652-6654.png,6650-6652-6654FotoDetalle0.jpg,6650-6652-6654FotoDetalle1.jpg,6650-6652-6654FotoProducto0.png</t>
  </si>
  <si>
    <t>Tiene fotos en Drive pero falta 6651Fotoproducto0.png.</t>
  </si>
  <si>
    <t>6651Fotodetalle0.jpg,6651Fotodetalle1.jpg,6651Fotodetalle2.jpg,6651Fotodetalle3.jpg</t>
  </si>
  <si>
    <t>6651-6653-6655.png,6651-6653-6655FotoDetalle0.jpg,6651-6653-6655FotoDetalle1.jpg,6651-6653-6655FotoProducto0.png</t>
  </si>
  <si>
    <t>6652Fotodetalle0.jpg,6652Fotodetalle1.jpg,6652Fotodetalle2.jpg,6652Fotodetalle3.jpg</t>
  </si>
  <si>
    <t>6653Fotodetalle0.jpg,6653Fotodetalle1.jpg,6653Fotodetalle2.jpg,6653Fotodetalle3.jpg</t>
  </si>
  <si>
    <t>6654Fotodetalle0.jpg,6654Fotodetalle1.jpg,6654Fotodetalle2.jpg,6654Fotodetalle3.jpg</t>
  </si>
  <si>
    <t>6655Fotodetalle0.jpg,6655Fotodetalle1.jpg,6655Fotodetalle2.jpg,6655Fotodetalle3.jpg</t>
  </si>
  <si>
    <t>6656Fotoproducto0.png</t>
  </si>
  <si>
    <t>6656Fotodetalle0.jpg,6656Fotodetalle1.jpg,6656Fotodetalle2.jpg,6656Fotodetalle3.jpg</t>
  </si>
  <si>
    <t>6657Fotoproducto0.png</t>
  </si>
  <si>
    <t>6657Fotodetalle0.jpg,6657Fotodetalle1.jpg,6657Fotodetalle2.jpg,6657Fotodetalle3.jpg</t>
  </si>
  <si>
    <t>6657.png,6657FotoDetalle0.jpg,6657FotoDetalle1.jpg,6657FotoDetalle2.jpg,6657FotoDetalle3.jpg,6657FotoDetalle4.jpg,6657FotoDetalle5.jpg,6657FotoDetalle6.jpg,6657FotoDetalle7.jpg,6657FotoDetalle8.jpg,6657FotoDetalle9.jpg,6657FotoDetalle10.jpg,6657FotoDetalle11.jpg,6657FotoDetalle12.jpg,6657FotoDetalle13.jpg,6657FotoProducto1.png,6657FotoProducto2.png,6657FotoProducto3.png,6657FotoProducto4.png</t>
  </si>
  <si>
    <t>6658FotoDetalle0.jpg, 6658FotoDetalle1.jpg, 6658FotoDetalle2.jpg</t>
  </si>
  <si>
    <t>6659FotoDetalle0.jpg, 6659FotoDetalle1.jpg, 6659FotoDetalle2.jpg, 6659FotoDetalle3.jpg</t>
  </si>
  <si>
    <t>6660Fotoproducto0.png</t>
  </si>
  <si>
    <t>6660Fotodetalle0.jpg,6660Fotodetalle1.jpg,6660Fotodetalle2.jpg,6660Fotodetalle3.jpg</t>
  </si>
  <si>
    <t>6660.png,6660FotoDetalle0.jpg,6660FotoDetalle1.jpg,6660FotoDetalle2.jpg,6660FotoDetalle3.png,6660FotoDetalle4.png,6660FotoDetalle5.png,6660FotoDetalle6.png,6660FotoDetalle8.png,6660FotoDetalle9.jpg,6660FotoDetalle10.jpg,6660FotoDetalle11.jpg,6660FotoDetalle12.jpg,6660FotoProducto1.png,6660FotoProducto2.png,6660FotoProducto3.png,6660FotoProducto4.png,6660FotoProducto5.png</t>
  </si>
  <si>
    <t>6661FotoDetalle0.jpg, 6661FotoDetalle1.jpg, 6661FotoDetalle2.jpg, 6661FotoDetalle3.jpg</t>
  </si>
  <si>
    <t>6662Fotoproducto0.png</t>
  </si>
  <si>
    <t>6662Fotodetalle0.jpg,6662Fotodetalle1.jpg,6662Fotodetalle2.jpg,6662Fotodetalle3.jpg</t>
  </si>
  <si>
    <t>6663FotoDetalle0.jpg, 6663FotoDetalle1.jpg, 6663FotoDetalle2.jpg, 6663FotoDetalle3.jpg</t>
  </si>
  <si>
    <t>6664Fotoproducto0.png</t>
  </si>
  <si>
    <t>6664Fotodetalle0.jpg,6664Fotodetalle1.jpg,6664Fotodetalle2.jpg,6664Fotodetalle3.jpg</t>
  </si>
  <si>
    <t>6665Fotoproducto0.png</t>
  </si>
  <si>
    <t>6665Fotodetalle0.jpg,6665Fotodetalle1.jpg,6665Fotodetalle2.jpg,6665Fotodetalle3.jpg</t>
  </si>
  <si>
    <t>6668Fotoproducto0.png</t>
  </si>
  <si>
    <t>6668Fotodetalle0.jpg,6668Fotodetalle1.jpg,6668Fotodetalle2.jpg,6668Fotodetalle3.jpg</t>
  </si>
  <si>
    <t>6669Fotoproducto0.png</t>
  </si>
  <si>
    <t>6669Fotodetalle0.jpg,6669Fotodetalle1.jpg,6669Fotodetalle2.jpg,6669Fotodetalle3.jpg</t>
  </si>
  <si>
    <t>6670FotoProducto1.png</t>
  </si>
  <si>
    <t>6670Fotodetalle0.jpg,6670Fotodetalle1.jpg,6670Fotodetalle2.jpg,6670Fotodetalle3.jpg</t>
  </si>
  <si>
    <t>6671Fotoproducto0.png</t>
  </si>
  <si>
    <t>6671Fotodetalle0.jpg,6671Fotodetalle1.jpg,6671Fotodetalle2.jpg,6671Fotodetalle3.jpg</t>
  </si>
  <si>
    <t>6672Fotoproducto0.png</t>
  </si>
  <si>
    <t>6672Fotodetalle0.jpg,6672Fotodetalle1.jpg,6672Fotodetalle2.jpg,6672Fotodetalle3.jpg</t>
  </si>
  <si>
    <t>6673Fotoproducto0.png</t>
  </si>
  <si>
    <t>6673Fotodetalle0.jpg,6673Fotodetalle1.jpg,6673Fotodetalle2.jpg,6673Fotodetalle3.jpg</t>
  </si>
  <si>
    <t>6674Fotoproducto0.png</t>
  </si>
  <si>
    <t>6674Fotodetalle0.jpg,6674Fotodetalle1.jpg,6674Fotodetalle2.jpg,6674Fotodetalle3.jpg</t>
  </si>
  <si>
    <t>6675Fotoproducto0.png</t>
  </si>
  <si>
    <t>6675Fotodetalle0.jpg,6675Fotodetalle1.jpg,6675Fotodetalle2.jpg,6675Fotodetalle3.jpg</t>
  </si>
  <si>
    <t>6676Fotoproducto0.png</t>
  </si>
  <si>
    <t>6676Fotodetalle0.jpg,6676Fotodetalle1.jpg,6676Fotodetalle2.jpg,6676Fotodetalle3.jpg</t>
  </si>
  <si>
    <t>6677Fotoproducto0.png</t>
  </si>
  <si>
    <t>6677Fotodetalle0.jpg,6677Fotodetalle2.jpg,6677Fotodetalle3.jpg</t>
  </si>
  <si>
    <t>6678Fotodetalle0.jpg,6678Fotodetalle2.jpg,6678Fotodetalle3.jpg</t>
  </si>
  <si>
    <t>6678Fotoproducto1.png</t>
  </si>
  <si>
    <t>6678Fotodetalle0.png</t>
  </si>
  <si>
    <t>6679Fotoproducto0.png</t>
  </si>
  <si>
    <t>6679Fotodetalle0.jpg,6679Fotodetalle1.jpg,6679Fotodetalle2.jpg,6679Fotodetalle3.jpg</t>
  </si>
  <si>
    <t>6680Fotoproducto0.png</t>
  </si>
  <si>
    <t>6680Fotodetalle0.jpg,6680Fotodetalle1.jpg,6680Fotodetalle2.jpg,6680Fotodetalle3.jpg</t>
  </si>
  <si>
    <t>6681Fotoproducto0.png</t>
  </si>
  <si>
    <t>6681Fotodetalle0.jpg,6681Fotodetalle1.jpg,6681Fotodetalle2.jpg,6681Fotodetalle3.jpg</t>
  </si>
  <si>
    <t>6682Fotoproducto0.png</t>
  </si>
  <si>
    <t>6682Fotodetalle0.jpg,6682Fotodetalle1.jpg,6682Fotodetalle2.jpg,6682Fotodetalle3.jpg</t>
  </si>
  <si>
    <t>6683Fotoproducto0.png</t>
  </si>
  <si>
    <t>6683Fotodetalle0.jpg,6683Fotodetalle1.jpg,6683Fotodetalle2.jpg,6683Fotodetalle3.jpg</t>
  </si>
  <si>
    <t>6684Fotoproducto0.png</t>
  </si>
  <si>
    <t>6684Fotodetalle0.jpg,6684Fotodetalle1.jpg,6684Fotodetalle2.jpg,6684Fotodetalle3.jpg</t>
  </si>
  <si>
    <t>6685Fotoproducto0.png</t>
  </si>
  <si>
    <t>6685Fotodetalle0.jpg,6685Fotodetalle1.jpg,6685Fotodetalle2.jpg,6685Fotodetalle3.jpg</t>
  </si>
  <si>
    <t>6686Fotoproducto0.png</t>
  </si>
  <si>
    <t>6686Fotodetalle0.jpg,6686Fotodetalle1.jpg,6686Fotodetalle2.jpg,6686Fotodetalle3.jpg</t>
  </si>
  <si>
    <t>6687Fotoproducto0.png</t>
  </si>
  <si>
    <t>6687Fotodetalle0.jpg,6687Fotodetalle1.jpg,6687Fotodetalle2.jpg,6687Fotodetalle3.jpg</t>
  </si>
  <si>
    <t>6688Fotoproducto0.png</t>
  </si>
  <si>
    <t>6688Fotodetalle0.jpg,6688Fotodetalle1.jpg,6688Fotodetalle2.jpg,6688Fotodetalle3.jpg</t>
  </si>
  <si>
    <t>6689Fotoproducto0.png</t>
  </si>
  <si>
    <t>6689Fotodetalle0.jpg,6689Fotodetalle1.jpg,6689Fotodetalle2.jpg,6689Fotodetalle3.jpg</t>
  </si>
  <si>
    <t>6690FotoProducto0.png</t>
  </si>
  <si>
    <t>6690Fotodetalle.png</t>
  </si>
  <si>
    <t>6691Fotoproducto0.png</t>
  </si>
  <si>
    <t>6691Fotodetalle0.jpg,6691Fotodetalle1.jpg,6691Fotodetalle2.jpg,6691Fotodetalle3.jpg</t>
  </si>
  <si>
    <t>Tiene fotos en Drive pero falta 6692Fotoproducto0.png.</t>
  </si>
  <si>
    <t>6692Fotoproducto0.png</t>
  </si>
  <si>
    <t>6692Fotodetalle0.jpg,6692Fotodetalle1.jpg,6692Fotodetalle2.jpg,6692Fotodetalle3.jpg</t>
  </si>
  <si>
    <t>6693Fotoproducto0.png</t>
  </si>
  <si>
    <t>6693Fotodetalle0.jpg,6693Fotodetalle1.jpg,6693Fotodetalle2.jpg,6693Fotodetalle3.jpg</t>
  </si>
  <si>
    <t>6694FotoDetalle0.jpg, 6694FotoDetalle6.jpg, 6694FotoDetalle7.jpg, 6694FotoDetalle8.jpg</t>
  </si>
  <si>
    <t>6695Fotoproducto.png</t>
  </si>
  <si>
    <t>6695Fotodetalle0.jpg,6695Fotodetalle1.jpg,6695Fotodetalle2.jpg,6695Fotodetalle3.jpg</t>
  </si>
  <si>
    <t>6696Fotoproducto0.png</t>
  </si>
  <si>
    <t>6696Fotodetalle0.jpg,6696Fotodetalle1.jpg,6696Fotodetalle2.jpg,6696Fotodetalle3.jpg</t>
  </si>
  <si>
    <t>6697Fotoproducto0.png</t>
  </si>
  <si>
    <t>6697Fotodetalle0.jpg,6697Fotodetalle1.jpg,6697Fotodetalle2.jpg,6697Fotodetalle3.jpg</t>
  </si>
  <si>
    <t>6698Fotoproducto0.png</t>
  </si>
  <si>
    <t>6698Fotodetalle0.jpg,6698Fotodetalle1.jpg,6698Fotodetalle2.jpg,6698Fotodetalle3.jpg</t>
  </si>
  <si>
    <t>6699Fotoproducto0.png</t>
  </si>
  <si>
    <t>6699Fotodetalle0.jpg,6699Fotodetalle1.jpg,6699Fotodetalle2.jpg,6699Fotodetalle3.jpg</t>
  </si>
  <si>
    <t>6700Fotoproducto0.png</t>
  </si>
  <si>
    <t>6700Fotodetalle0.jpg,6700Fotodetalle1.jpg,6700Fotodetalle2.jpg,6700Fotodetalle3.jpg</t>
  </si>
  <si>
    <t>6701FotoProducto2.png</t>
  </si>
  <si>
    <t>6701Fotodetalle0.jpg,6701Fotodetalle1.jpg,6701Fotodetalle2.jpg,6701Fotodetalle3.jpg</t>
  </si>
  <si>
    <t>6701Fotoproducto0.png</t>
  </si>
  <si>
    <t>6702Fotoproducto0.png</t>
  </si>
  <si>
    <t>6702Fotodetalle0.jpg,6702Fotodetalle1.jpg,6702Fotodetalle2.jpg,6702Fotodetalle3.jpg</t>
  </si>
  <si>
    <t>6716Fotoproducto0.png</t>
  </si>
  <si>
    <t>6716Fotodetalle0.jpg,6716Fotodetalle1.jpg,6716Fotodetalle2.jpg,6716Fotodetalle3.jpg</t>
  </si>
  <si>
    <t>6718Fotoproducto0.png</t>
  </si>
  <si>
    <t>6718Fotodetalle0.jpg,6718Fotodetalle1.jpg,6718Fotodetalle2.jpg,6718Fotodetalle3.jpg</t>
  </si>
  <si>
    <t>6719Fotoproducto0.png</t>
  </si>
  <si>
    <t>6719Fotodetalle0.jpg,6719Fotodetalle1.jpg,6719Fotodetalle2.jpg,6719Fotodetalle3.jpg</t>
  </si>
  <si>
    <t>6720Fotoproducto0.png</t>
  </si>
  <si>
    <t>6720Fotodetalle0.jpg,6720Fotodetalle1.jpg,6720Fotodetalle2.jpg,6720Fotodetalle3.jpg</t>
  </si>
  <si>
    <t>6721Fotoproducto0.png</t>
  </si>
  <si>
    <t>6721Fotodetalle0.jpg,6721Fotodetalle1.jpg,6721Fotodetalle2.jpg,6721Fotodetalle3.jpg</t>
  </si>
  <si>
    <t>6722Fotoproducto0.png</t>
  </si>
  <si>
    <t>6722Fotodetalle0.jpg,6722Fotodetalle1.jpg,6722Fotodetalle2.jpg,6722Fotodetalle3.jpg</t>
  </si>
  <si>
    <t>6723Fotoproducto0.png</t>
  </si>
  <si>
    <t>6723Fotodetalle0.jpg,6723Fotodetalle1.jpg,6723Fotodetalle2.jpg,6723Fotodetalle3.jpg</t>
  </si>
  <si>
    <t>6724Fotoproducto0.png</t>
  </si>
  <si>
    <t>6724Fotodetalle0.jpg,6724Fotodetalle1.jpg,6724Fotodetalle2.jpg,6724Fotodetalle3.jpg</t>
  </si>
  <si>
    <t>6725Fotoproducto0.png</t>
  </si>
  <si>
    <t>6725Fotodetalle0.jpg,6725Fotodetalle1.jpg,6725Fotodetalle2.jpg,6725Fotodetalle3.jpg</t>
  </si>
  <si>
    <t>6726FotoProducto2.png</t>
  </si>
  <si>
    <t>6726Fotodetalle0.jpg,6726Fotodetalle1.jpg,6726Fotodetalle2.jpg,6726Fotodetalle3.jpg</t>
  </si>
  <si>
    <t>6726Fotoproducto0.png</t>
  </si>
  <si>
    <t>6727Fotoproducto0.png</t>
  </si>
  <si>
    <t>6727Fotodetalle0.jpg,6727Fotodetalle1.jpg,6727Fotodetalle2.jpg,6727Fotodetalle3.jpg</t>
  </si>
  <si>
    <t>6734Fotoproducto0.png</t>
  </si>
  <si>
    <t>6734Fotodetalle0.jpg,6734Fotodetalle1.jpg,6734Fotodetalle2.jpg,6734Fotodetalle3.jpg</t>
  </si>
  <si>
    <t>6735Fotoproducto0.png</t>
  </si>
  <si>
    <t>6735Fotodetalle0.jpg,6735Fotodetalle1.jpg,6735Fotodetalle2.jpg,6735Fotodetalle3.jpg</t>
  </si>
  <si>
    <t>6736Fotoproducto0.png</t>
  </si>
  <si>
    <t>6736Fotodetalle0.jpg,6736Fotodetalle1.jpg,6736Fotodetalle2.jpg,6736Fotodetalle3.jpg</t>
  </si>
  <si>
    <t>6736FotoDetalle0.jpg, 6736FotoDetalle1.jpg, 6736FotoDetalle2.jpg</t>
  </si>
  <si>
    <t>6737FotoProducto1.png</t>
  </si>
  <si>
    <t>6737FotoDetalle0.jpg, 6737FotoDetalle1.jpg, 6737FotoDetalle2.jpg</t>
  </si>
  <si>
    <t>6738Fotoproducto0.png</t>
  </si>
  <si>
    <t>6738Fotodetalle0.jpg,6738Fotodetalle1.jpg,6738Fotodetalle2.jpg,6738Fotodetalle3.jpg</t>
  </si>
  <si>
    <t>6738FotoDetalle0.jpg,6738FotoDetalle1.jpg,6738FotoDetalle2.jpg,6738FotoDetalle3.jpg,6738FotoDetalle4.jpg,6738FotoDetalle5.jpg,6738FotoDetalle6.jpg,6738FotoProducto0 (2).png,6738FotoProducto0 (3).png,6738FotoProducto1.png,6738FotoProducto2.png,6738FotoProducto3.png</t>
  </si>
  <si>
    <t>6739Fotoproducto0.png</t>
  </si>
  <si>
    <t>6739Fotodetalle0.jpg,6739Fotodetalle1.jpg,6739Fotodetalle2.jpg,6739Fotodetalle3.jpg</t>
  </si>
  <si>
    <t>6740Fotoproducto0.png</t>
  </si>
  <si>
    <t>6740Fotodetalle0.jpg,6740Fotodetalle1.jpg,6740Fotodetalle2.jpg,6740Fotodetalle3.jpg</t>
  </si>
  <si>
    <t>6740FotoDetalle0.jpg,6740FotoDetalle1.jpg,6740FotoDetalle2.jpg,6740FotoDetalle3.jpg,6740FotoDetalle4.jpg,6740FotoDetalle5.jpg.jpg,6740FotoProducto0 (2).png,6740FotoProducto0 (3).png,6740FotoProducto1.png,6740FotoProducto2.png,6740FotoProducto4.png</t>
  </si>
  <si>
    <t>6741Fotoproducto0.png</t>
  </si>
  <si>
    <t>6741Fotodetalle0.jpg,6741Fotodetalle1.jpg,6741Fotodetalle2.jpg,6741Fotodetalle3.jpg</t>
  </si>
  <si>
    <t>Tiene fotos en Drive pero falta 6742Fotoproducto0.png.</t>
  </si>
  <si>
    <t>6742Fotoproducto0.png</t>
  </si>
  <si>
    <t>6742Fotodetalle0.jpg,6742Fotodetalle1.jpg,6742Fotodetalle2.jpg,6742Fotodetalle3.jpg</t>
  </si>
  <si>
    <t>6742-6743-6744-6745FotoDetalle0.png,6742-6743-6744-6745FotoDetalle1.jpg,6742-6743-6744-6745FotoDetalle2.jpg,6742-6743-6744-6745FotoDetalle3.png,6742-6743-6744-6745FotoProducto0.png,6742-6743-6744-6745FotoProducto2.png,6742-6743-6744-6745FotoProducto3.png</t>
  </si>
  <si>
    <t>6742FotoProducto1.png</t>
  </si>
  <si>
    <t>6742FotoDetalle5.png</t>
  </si>
  <si>
    <t>6743FotoProducto2.png</t>
  </si>
  <si>
    <t>6743FotoDetalle5.png</t>
  </si>
  <si>
    <t>6744Fotoproducto0.png</t>
  </si>
  <si>
    <t>6744Fotodetalle0.jpg,6744Fotodetalle1.jpg,6744Fotodetalle2.jpg,6744Fotodetalle3.jpg</t>
  </si>
  <si>
    <t>6745Fotoproducto0.png</t>
  </si>
  <si>
    <t>6745Fotodetalle0.jpg,6745Fotodetalle1.jpg,6745Fotodetalle2.jpg,6745Fotodetalle3.jpg</t>
  </si>
  <si>
    <t>Tiene fotos en Drive pero falta 6746Fotoproducto0.png.</t>
  </si>
  <si>
    <t>6746FotoProducto5.png</t>
  </si>
  <si>
    <t>6746FotoDetalle3.png</t>
  </si>
  <si>
    <t>6746-6747-6748-6749FotoDetalle0.jpg,6746-6747-6748-6749FotoDetalle1.jpg,6746-6747-6748-6749FotoDetalle2.png,6746-6747-6748-6749FotoDetalle3.jpg,6746-6747-6748-6749FotoProducto0.png,6746-6747-6748-6749FotoProducto1.png</t>
  </si>
  <si>
    <t>6747FotoProducto5.png</t>
  </si>
  <si>
    <t>6747FotoDetalle3.png</t>
  </si>
  <si>
    <t>6748Fotoproducto0.png</t>
  </si>
  <si>
    <t>6748Fotodetalle0.jpg,6748Fotodetalle1.jpg,6748Fotodetalle2.jpg,6748Fotodetalle3.jpg</t>
  </si>
  <si>
    <t>6749FotoProducto5.png</t>
  </si>
  <si>
    <t>6749FotoDetalle3.png</t>
  </si>
  <si>
    <t>Tiene fotos en Drive pero falta 6750Fotoproducto0.png.</t>
  </si>
  <si>
    <t>6750FotoProducto8.png</t>
  </si>
  <si>
    <t>6750FotoDetalle4.png</t>
  </si>
  <si>
    <t>6750-6813-6814-6815FotoDetalle0.jpg,6750-6813-6814-6815FotoDetalle1.png,6750-6813-6814-6815FotoDetalle2.jpg,6750-6813-6814-6815FotoDetalle3.jpg,6750-6813-6814-6815FotoProducto0.png,6750-6813-6814-6815FotoProducto1.png</t>
  </si>
  <si>
    <t>6751Fotoproducto.png</t>
  </si>
  <si>
    <t>6751Fotodetalle0.jpg,6751Fotodetalle1.jpg,6751Fotodetalle2.jpg,6751Fotodetalle3.jpg</t>
  </si>
  <si>
    <t>6752FotoProducto1.png</t>
  </si>
  <si>
    <t>6752Fotodetalle.png</t>
  </si>
  <si>
    <t>Tiene fotos en Drive pero falta 6755Fotoproducto0.png.</t>
  </si>
  <si>
    <t>6755Fotoproducto0.png</t>
  </si>
  <si>
    <t>6755Fotodetalle0.jpg,6755Fotodetalle1.jpg,6755Fotodetalle2.jpg,6755Fotodetalle3.jpg</t>
  </si>
  <si>
    <t>6756FotoProducto0.png</t>
  </si>
  <si>
    <t>6756Fotodetalle.png</t>
  </si>
  <si>
    <t>Tiene fotos en Drive pero falta 6757Fotoproducto0.png.</t>
  </si>
  <si>
    <t>6757-6817FotoProducto1.png</t>
  </si>
  <si>
    <t>6817Fotodetalle0.jpg,6817Fotodetalle1.jpg,6817Fotodetalle2.jpg,6817Fotodetalle3.jpg</t>
  </si>
  <si>
    <t>6757-6817FotoDetalle0.jpg,6757-6817FotoDetalle2.jpg,6757-6817FotoDetalle3.jpg,6757-6817FotoDetalle4.jpg,6757-6817FotoProducto0.png,6757-6817FotoProducto1.png,6757-6817FotoProducto3.png,6757-6817FotoProducto4.png,6757-6817FotoProducto5.png,6757-6817FotoProducto6.png</t>
  </si>
  <si>
    <t>6757FotoDetalle0.jpg, 6757FotoDetalle1.jpg, 6757FotoDetalle2.jpg, 6757FotoDetalle3.jpg, 6757FotoDetalle4.jpg</t>
  </si>
  <si>
    <t>Tiene fotos en Drive pero falta 6758Fotoproducto0.png.</t>
  </si>
  <si>
    <t>6818Fotoproducto0.png</t>
  </si>
  <si>
    <t>6818Fotodetalle0.jpg,6818Fotodetalle1.jpg,6818Fotodetalle2.jpg,6818Fotodetalle3.jpg</t>
  </si>
  <si>
    <t>6758-6818FotoDetalle0.png,6758-6818FotoDetalle3.png,6758-6818FotoDetalle5.png,6758-6818FotoDetalle6.png,6758-6818FotoDetalle7.png,6758-6818FotoProducto0.png,6758-6818FotoProducto2.png,6758-6818FotoProducto3.png,6758-6818FotoProducto4.png</t>
  </si>
  <si>
    <t>Tiene fotos en Drive pero falta 6759Fotoproducto0.png.</t>
  </si>
  <si>
    <t>6759Fotoproducto0.png</t>
  </si>
  <si>
    <t>6759Fotodetalle0.jpg,6759Fotodetalle1.jpg,6759Fotodetalle2.jpg,6759Fotodetalle3.jpg</t>
  </si>
  <si>
    <t>6759-6819FotoDetalle0.png,6759-6819FotoDetalle1.jpg,6759-6819FotoDetalle3.png,6759-6819FotoDetalle5.png,6759-6819FotoDetalle7.png,6759-6819FotoDetalle8.png,6759-6819FotoDetalle9.png,6759-6819FotoProducto0.png,6759-6819FotoProducto1.png,6759-6819FotoProducto3.png,6759-6819FotoProducto4.png</t>
  </si>
  <si>
    <t>Tiene fotos en Drive pero falta 6760Fotoproducto0.png.</t>
  </si>
  <si>
    <t>6760Fotodetalle0.jpg,6760Fotodetalle1.jpg,6760Fotodetalle2.jpg,6760Fotodetalle3.jpg</t>
  </si>
  <si>
    <t>6760-6820FotoDetalle0.png,6760-6820FotoDetalle1.jpg,6760-6820FotoDetalle3.png,6760-6820FotoDetalle5.png,6760-6820FotoDetalle7.png,6760-6820FotoDetalle8.png,6760-6820FotoProducto0.png,6760-6820FotoProducto2.png,6760-6820FotoProducto3.png,6760-6820FotoProducto4.png,6760-6820FotoProducto5.png,6760-6820FotoProducto6.png,6760-6820FotoProducto7.png</t>
  </si>
  <si>
    <t>6760Fotodetalle5.png</t>
  </si>
  <si>
    <t>6761Fotodetalle0.jpg,6761Fotodetalle1.jpg,6761Fotodetalle2.jpg,6761Fotodetalle3.jpg</t>
  </si>
  <si>
    <t>6761FotoDetalle0.jpg,6761Fotodetalle1.png,6761Fotodetalle2.png,6761Fotodetalle3.png,6761Fotodetalle4.png,6761Fotodetalle5.png,6761Fotodetalle6.png,6761Fotodetalle7.png,6761Fotodetalle8.png,6761Fotodetalle9.png,6761Fotodetalle10.png,6761FotoProducto1.png,6761FotoProducto2.png,6761Fotoproducto3.png</t>
  </si>
  <si>
    <t>6762Fotodetalle0.jpg,6762Fotodetalle1.jpg,6762Fotodetalle2.jpg,6762Fotodetalle3.jpg</t>
  </si>
  <si>
    <t>6762Fotodetalle0.png,6762Fotodetalle1.png,6762Fotodetalle2.png,6762Fotodetalle3.png,6762Fotodetalle4.png,6762Fotodetalle5.png,6762Fotodetalle6.png,6762Fotodetalle7.png,6762Fotodetalle8.png,6762FotoProducto1.png,6762FotoProducto2.png</t>
  </si>
  <si>
    <t>6763Fotoproducto0.png</t>
  </si>
  <si>
    <t>6763Fotodetalle0.jpg,6763Fotodetalle1.jpg,6763Fotodetalle2.jpg,6763Fotodetalle3.jpg</t>
  </si>
  <si>
    <t>6765Fotoproducto0.png</t>
  </si>
  <si>
    <t>6765Fotodetalle0.jpg,6765Fotodetalle1.jpg,6765Fotodetalle2.jpg,6765Fotodetalle3.jpg</t>
  </si>
  <si>
    <t>6765FotoDetalle0.jpg, 6765FotoDetalle1.jpg, 6765FotoDetalle2.jpg, 6765FotoDetalle3.jpg, 6765FotoDetalle4.jpg, 6765FotoDetalle5.jpg</t>
  </si>
  <si>
    <t>6766FotoDetalle0.jpg, 6766FotoDetalle1.jpg, 6766FotoDetalle2.jpg, 6766FotoDetalle3.jpg, 6766FotoDetalle4.jpg, 6766FotoDetalle5.jpg</t>
  </si>
  <si>
    <t>6767Fotoproducto.png</t>
  </si>
  <si>
    <t>6767Fotodetalle0.jpg,6767Fotodetalle1.jpg,6767Fotodetalle2.jpg,6767Fotodetalle3.jpg</t>
  </si>
  <si>
    <t>6767FotoDetalle0.jpg,6767FotoDetalle1.jpg,6767FotoDetalle2.jpg,6767Fotoproducto.png,6767Fotoproducto1.jpg,6767Fotoproducto1.png,6767Fotoproducto2.png,6767Fotoproducto3.png,6767Fotoproducto4.png,6767Fotoproducto5.png,6767Fotoproducto7.png</t>
  </si>
  <si>
    <t>6768Fotoproducto.png</t>
  </si>
  <si>
    <t>6768Fotodetalle0.jpg,6768Fotodetalle1.jpg,6768Fotodetalle2.jpg,6768Fotodetalle3.jpg</t>
  </si>
  <si>
    <t>6769Fotoproducto.png</t>
  </si>
  <si>
    <t>6769Fotodetalle0.jpg,6769Fotodetalle1.jpg,6769Fotodetalle2.jpg,6769Fotodetalle3.jpg</t>
  </si>
  <si>
    <t>6769FotoDetalle0.jpg, 6769Fotodetalle.jpg, 6769Fotodetalle1.jpg</t>
  </si>
  <si>
    <t>6770FotoDetalle0.jpg, 6770Fotodetalle.jpg, 6770Fotodetalle1.jpg</t>
  </si>
  <si>
    <t>6771Fotoproducto.png</t>
  </si>
  <si>
    <t>6771Fotodetalle0.jpg,6771Fotodetalle1.jpg,6771Fotodetalle2.jpg,6771Fotodetalle3.jpg</t>
  </si>
  <si>
    <t>6771Fotodetalle.jpg,6771FotoDetalle0.jpg,6771Fotodetalle1.jpg,6771Fotoproducto.png,6771Fotoproducto1.png,6771Fotoproducto2.png,6771Fotoproducto3.jpg,6771Fotoproducto3.png,6771Fotoproducto4.png,6771Fotoproducto6.png,6771Fotoproducto7.png</t>
  </si>
  <si>
    <t>6772Fotoproducto.png</t>
  </si>
  <si>
    <t>6772Fotodetalle0.jpg,6772Fotodetalle1.jpg,6772Fotodetalle2.jpg,6772Fotodetalle3.jpg</t>
  </si>
  <si>
    <t>6773Fotoproducto0.png</t>
  </si>
  <si>
    <t>6773Fotodetalle0.jpg,6773Fotodetalle1.jpg,6773Fotodetalle2.jpg,6773Fotodetalle3.jpg</t>
  </si>
  <si>
    <t>6774Fotoproducto0.png</t>
  </si>
  <si>
    <t>6774Fotodetalle0.jpg,6774Fotodetalle1.jpg,6774Fotodetalle2.jpg,6774Fotodetalle3.jpg</t>
  </si>
  <si>
    <t>6775Fotoproducto0.png</t>
  </si>
  <si>
    <t>6775Fotodetalle0.jpg,6775Fotodetalle1.jpg,6775Fotodetalle2.jpg,6775Fotodetalle3.jpg</t>
  </si>
  <si>
    <t>6775-6776-cad.dwg</t>
  </si>
  <si>
    <t>6776Fotoproducto0.png</t>
  </si>
  <si>
    <t>6776Fotodetalle0.jpg,6776Fotodetalle1.jpg,6776Fotodetalle2.jpg,6776Fotodetalle3.jpg</t>
  </si>
  <si>
    <t>6777Fotoproducto0.png</t>
  </si>
  <si>
    <t>6777Fotodetalle0.jpg,6777Fotodetalle1.jpg,6777Fotodetalle2.jpg,6777Fotodetalle3.jpg</t>
  </si>
  <si>
    <t>6778Fotoproducto0.png</t>
  </si>
  <si>
    <t>6778Fotodetalle0.jpg,6778Fotodetalle1.jpg,6778Fotodetalle2.jpg,6778Fotodetalle3.jpg</t>
  </si>
  <si>
    <t>6780Fotoproducto.png</t>
  </si>
  <si>
    <t>6780Fotodetalle0.jpg,6780Fotodetalle1.jpg,6780Fotodetalle2.jpg,6780Fotodetalle3.jpg</t>
  </si>
  <si>
    <t>6781Fotodetalle0.jpg,6781Fotodetalle1.jpg,6781Fotodetalle2.jpg,6781Fotodetalle3.jpg</t>
  </si>
  <si>
    <t>6782Fotodetalle0.jpg,6782Fotodetalle1.jpg,6782Fotodetalle2.jpg,6782Fotodetalle3.jpg</t>
  </si>
  <si>
    <t>6783Fotodetalle0.jpg,6783Fotodetalle1.jpg,6783Fotodetalle2.jpg,6783Fotodetalle3.jpg</t>
  </si>
  <si>
    <t>6784Fotoproducto.png</t>
  </si>
  <si>
    <t>6784Fotodetalle0.jpg,6784Fotodetalle1.jpg,6784Fotodetalle2.jpg,6784Fotodetalle3.jpg</t>
  </si>
  <si>
    <t>6785FotoDetalle0.jpg, 6785Fotodetalle.jpg, 6785Fotodetalle1.jpg</t>
  </si>
  <si>
    <t>6786Fotoproducto3.png</t>
  </si>
  <si>
    <t>6786Fotodetalle0.jpg,6786Fotodetalle1.jpg,6786Fotodetalle2.jpg,6786Fotodetalle3.jpg</t>
  </si>
  <si>
    <t>6787Fotodetalle0.jpg,6787Fotodetalle1.jpg,6787Fotodetalle2.jpg,6787Fotodetalle3.jpg</t>
  </si>
  <si>
    <t>6788Fotoproducto.png</t>
  </si>
  <si>
    <t>6788Fotodetalle0.jpg,6788Fotodetalle1.jpg,6788Fotodetalle2.jpg,6788Fotodetalle3.jpg</t>
  </si>
  <si>
    <t>6788FotoDetalle0.jpg, 6788Fotodetalle.jpg, 6788Fotodetalle1.jpg</t>
  </si>
  <si>
    <t>6789Fotodetalle0.jpg,6789Fotodetalle1.jpg,6789Fotodetalle2.jpg,6789Fotodetalle3.jpg</t>
  </si>
  <si>
    <t>6790Fotoproducto.png</t>
  </si>
  <si>
    <t>6790Fotodetalle0.jpg,6790Fotodetalle1.jpg,6790Fotodetalle2.jpg,6790Fotodetalle3.jpg</t>
  </si>
  <si>
    <t>6791Fotodetalle0.jpg,6791Fotodetalle1.jpg,6791Fotodetalle2.jpg,6791Fotodetalle3.jpg</t>
  </si>
  <si>
    <t>6792FotoProducto1.png</t>
  </si>
  <si>
    <t>6792Fotodetalle0.jpg,6792Fotodetalle1.jpg,6792Fotodetalle2.jpg,6792Fotodetalle3.jpg</t>
  </si>
  <si>
    <t>6792Fotoproducto0.png</t>
  </si>
  <si>
    <t>6793Fotoproducto0.png</t>
  </si>
  <si>
    <t>6793Fotodetalle0.jpg,6793Fotodetalle1.jpg,6793Fotodetalle2.jpg,6793Fotodetalle3.jpg</t>
  </si>
  <si>
    <t>6794FotoProducto1.png</t>
  </si>
  <si>
    <t>6794Fotodetalle0.jpg,6794Fotodetalle1.jpg,6794Fotodetalle2.jpg,6794Fotodetalle3.jpg</t>
  </si>
  <si>
    <t>6794Fotoproducto0.png</t>
  </si>
  <si>
    <t>6795Fotoproducto0.png</t>
  </si>
  <si>
    <t>6795Fotodetalle0.jpg,6795Fotodetalle1.jpg,6795Fotodetalle2.jpg,6795Fotodetalle3.jpg</t>
  </si>
  <si>
    <t>6798Fotoproducto.png</t>
  </si>
  <si>
    <t>6798Fotodetalle0.jpg,6798Fotodetalle1.jpg,6798Fotodetalle2.jpg,6798Fotodetalle3.jpg</t>
  </si>
  <si>
    <t>6799Fotodetalle0.jpg,6799Fotodetalle1.jpg,6799Fotodetalle2.jpg,6799Fotodetalle3.jpg</t>
  </si>
  <si>
    <t>6800Fotoproducto.png</t>
  </si>
  <si>
    <t>6800Fotodetalle0.jpg,6800Fotodetalle1.jpg,6800Fotodetalle2.jpg,6800Fotodetalle3.jpg</t>
  </si>
  <si>
    <t>6801Fotodetalle0.jpg,6801Fotodetalle1.jpg,6801Fotodetalle2.jpg,6801Fotodetalle3.jpg</t>
  </si>
  <si>
    <t>6802Fotoproducto.png</t>
  </si>
  <si>
    <t>6802Fotodetalle0.jpg,6802Fotodetalle1.jpg,6802Fotodetalle2.jpg,6802Fotodetalle3.jpg</t>
  </si>
  <si>
    <t>6803Fotodetalle0.jpg,6803Fotodetalle1.jpg,6803Fotodetalle2.jpg,6803Fotodetalle3.jpg</t>
  </si>
  <si>
    <t>6804FotoProducto1.png</t>
  </si>
  <si>
    <t>6804Fotodetalle0.jpg,6804Fotodetalle1.jpg,6804Fotodetalle2.jpg,6804Fotodetalle3.jpg</t>
  </si>
  <si>
    <t>6804Fotoproducto0.png</t>
  </si>
  <si>
    <t>6805Fotoproducto0.png</t>
  </si>
  <si>
    <t>6805Fotodetalle0.jpg,6805Fotodetalle1.jpg,6805Fotodetalle2.jpg,6805Fotodetalle3.jpg</t>
  </si>
  <si>
    <t>6806Fotoproducto0.png</t>
  </si>
  <si>
    <t>6806Fotodetalle0.jpg,6806Fotodetalle1.jpg,6806Fotodetalle2.jpg,6806Fotodetalle3.jpg</t>
  </si>
  <si>
    <t>6807Fotoproducto0.png</t>
  </si>
  <si>
    <t>6807Fotodetalle0.jpg,6807Fotodetalle1.jpg,6807Fotodetalle2.jpg,6807Fotodetalle3.jpg</t>
  </si>
  <si>
    <t>6810Fotoproducto0.png</t>
  </si>
  <si>
    <t>6810Fotodetalle0.jpg,6810Fotodetalle1.jpg,6810Fotodetalle2.jpg,6810Fotodetalle3.jpg</t>
  </si>
  <si>
    <t>6810FotoProducto1.png</t>
  </si>
  <si>
    <t>6810FotoDetalle0.jpg, 6810FotoDetalle1.jpg</t>
  </si>
  <si>
    <t>6811Fotoproducto0.png</t>
  </si>
  <si>
    <t>6811Fotodetalle0.jpg,6811Fotodetalle1.jpg,6811Fotodetalle2.jpg,6811Fotodetalle3.jpg</t>
  </si>
  <si>
    <t>6812Fotoproducto0.png</t>
  </si>
  <si>
    <t>6812Fotodetalle0.jpg,6812Fotodetalle1.jpg,6812Fotodetalle2.jpg,6812Fotodetalle3.jpg</t>
  </si>
  <si>
    <t>6813FotoProducto8.png</t>
  </si>
  <si>
    <t>6813FotoDetalle4.png</t>
  </si>
  <si>
    <t>6814Fotoproducto0.png</t>
  </si>
  <si>
    <t>6814Fotodetalle0.jpg,6814Fotodetalle1.jpg,6814Fotodetalle2.jpg,6814Fotodetalle3.jpg</t>
  </si>
  <si>
    <t>6815Fotoproducto0.png</t>
  </si>
  <si>
    <t>6815Fotodetalle0.jpg,6815Fotodetalle1.jpg,6815Fotodetalle2.jpg,6815Fotodetalle3.jpg</t>
  </si>
  <si>
    <t>6816Fotodetalle.png</t>
  </si>
  <si>
    <t>6816Fotodetalle.png,6816FotoDetalle0.jpg,6816FotoDetalle1.jpg,6816Fotodetalle1.png,6816FotoDetalle2.jpg,6816Fotodetalle2.png,6816FotoDetalle3.jpg,6816Fotodetalle3.png,6816FotoDetalle4.jpg,6816Fotoproducto.png,6816FotoProducto1.png,6816FotoProducto2.png</t>
  </si>
  <si>
    <t>6817FotoProducto5.png</t>
  </si>
  <si>
    <t>6817FotoDetalle0.jpg, 6817FotoDetalle1.jpg, 6817FotoDetalle2.jpg, 6817FotoDetalle3.jpg, 6817FotoDetalle4.jpg</t>
  </si>
  <si>
    <t>6818Fotoproducto.png</t>
  </si>
  <si>
    <t>6818Fotodetalle.png</t>
  </si>
  <si>
    <t>6819Fotoproducto0.png</t>
  </si>
  <si>
    <t>6819Fotodetalle0.jpg,6819Fotodetalle1.jpg,6819Fotodetalle2.jpg,6819Fotodetalle3.jpg</t>
  </si>
  <si>
    <t>6820Fotoproducto0.png</t>
  </si>
  <si>
    <t>6820Fotodetalle0.jpg,6820Fotodetalle1.jpg,6820Fotodetalle2.jpg,6820Fotodetalle3.jpg</t>
  </si>
  <si>
    <t>6821Fotoproducto0.png</t>
  </si>
  <si>
    <t>6821Fotodetalle0.jpg,6821Fotodetalle1.jpg,6821Fotodetalle2.jpg,6821Fotodetalle3.jpg</t>
  </si>
  <si>
    <t>6822Fotoproducto0.png</t>
  </si>
  <si>
    <t>6822Fotodetalle0.jpg,6822Fotodetalle1.jpg,6822Fotodetalle2.jpg,6822Fotodetalle3.jpg</t>
  </si>
  <si>
    <t>6826FotoProducto1.png</t>
  </si>
  <si>
    <t>6826Fotodetalle0.jpg,6826Fotodetalle1.jpg,6826Fotodetalle2.jpg,6826Fotodetalle3.jpg</t>
  </si>
  <si>
    <t>6826FotoDetalle0.jpg,6826FotoDetalle1.jpg,6826FotoDetalle2.jpg,6826FotoDetalle3.jpg,6826FotoDetalle4.jpg,6826FotoDetalle5.jpg,6826FotoDetalle6.jpg,6826FotoDetalle7.jpg,6826FotoDetalle8.jpg,6826FotoDetalle9.jpg,6826FotoDetalle10.jpg,6826FotoDetalle11.jpg,6826FotoDetalle12.jpg,6826FotoDetalle13.jpg,6826FotoDetalle14.jpg,6826FotoDetalle15.jpg,6826FotoDetalle16.jpg,6826FotoDetalle17.jpg,6826FotoDetalle20.png,6826FotoProducto1 (2).png,6826FotoProducto1 (3).png,6826FotoProducto1.png,6826FotoProducto2.png,6826FotoProducto3.png,6826FotoProducto4.png,6826FotoProducto5.png,6826FotoProducto6.png,6826FotoProducto7.png,6826FotoProducto9.png,6826FotoProducto10.png,6826FotoProducto11.png,6826FotoProducto12.png,6826FotoProducto13.png</t>
  </si>
  <si>
    <t>6829Fotoproducto0.png</t>
  </si>
  <si>
    <t>6829Fotodetalle0.jpg,6829Fotodetalle1.jpg,6829Fotodetalle2.jpg,6829Fotodetalle3.jpg</t>
  </si>
  <si>
    <t>6830FotoProducto1.png</t>
  </si>
  <si>
    <t>6830FotoDetalle0.jpg, 6830FotoDetalle1.jpg, 6830FotoDetalle2.jpg</t>
  </si>
  <si>
    <t>6831Fotoproducto0.png</t>
  </si>
  <si>
    <t>6831Fotodetalle0.jpg,6831Fotodetalle1.jpg,6831Fotodetalle2.jpg,6831Fotodetalle3.jpg</t>
  </si>
  <si>
    <t>6831FotoProducto2.png</t>
  </si>
  <si>
    <t>6831FotoDetalle5.png</t>
  </si>
  <si>
    <t>6832Fotoproducto0.png</t>
  </si>
  <si>
    <t>6832FotoDetalle0.jpg</t>
  </si>
  <si>
    <t>6834Fotoproducto0.png</t>
  </si>
  <si>
    <t>6834Fotodetalle0.jpg,6834Fotodetalle1.jpg,6834Fotodetalle2.jpg,6834Fotodetalle3.jpg</t>
  </si>
  <si>
    <t>6835Fotoproducto0.png</t>
  </si>
  <si>
    <t>6835Fotodetalle0.jpg,6835Fotodetalle1.jpg,6835Fotodetalle2.jpg,6835Fotodetalle3.jpg</t>
  </si>
  <si>
    <t>6837Fotoproducto0.png</t>
  </si>
  <si>
    <t>6837Fotodetalle0.jpg,6837Fotodetalle1.jpg,6837Fotodetalle2.jpg,6837Fotodetalle3.jpg</t>
  </si>
  <si>
    <t>6838Fotoproducto0.png</t>
  </si>
  <si>
    <t>6838Fotodetalle0.jpg,6838Fotodetalle1.jpg,6838Fotodetalle2.jpg,6838Fotodetalle3.jpg</t>
  </si>
  <si>
    <t>6838-683-cad.dwg</t>
  </si>
  <si>
    <t>6839Fotoproducto0.png</t>
  </si>
  <si>
    <t>6839Fotodetalle0.jpg,6839Fotodetalle1.jpg,6839Fotodetalle2.jpg,6839Fotodetalle3.jpg</t>
  </si>
  <si>
    <t>6840Fotoproducto0.png</t>
  </si>
  <si>
    <t>6840Fotodetalle0.jpg,6840Fotodetalle1.jpg,6840Fotodetalle2.jpg,6840Fotodetalle3.jpg</t>
  </si>
  <si>
    <t>6841Fotoproducto0.png</t>
  </si>
  <si>
    <t>6841Fotodetalle0.jpg,6841Fotodetalle1.jpg,6841Fotodetalle2.jpg,6841Fotodetalle3.jpg</t>
  </si>
  <si>
    <t>6842Fotoproducto.png</t>
  </si>
  <si>
    <t>6842Fotodetalle0.jpg,6842Fotodetalle1.jpg,6842Fotodetalle2.jpg,6842Fotodetalle3.jpg</t>
  </si>
  <si>
    <t>6843Fotodetalle0.jpg,6843Fotodetalle1.jpg,6843Fotodetalle2.jpg,6843Fotodetalle3.jpg</t>
  </si>
  <si>
    <t>6843Fotodetalle.png,6843FotoDetalle0.jpg,6843FotoDetalle1.jpg,6843Fotodetalle1.png,6843FotoDetalle2.jpg,6843Fotodetalle2.png,6843FotoDetalle3.jpg,6843Fotodetalle3.png,6843FotoDetalle4.jpg,6843Fotoproducto.png,6843FotoProducto1.png</t>
  </si>
  <si>
    <t>6843Fotoproducto.png</t>
  </si>
  <si>
    <t>6843Fotodetalle3.png</t>
  </si>
  <si>
    <t>6844Fotoproducto.png</t>
  </si>
  <si>
    <t>6844Fotodetalle3.png</t>
  </si>
  <si>
    <t>6844Fotodetalle.png,6844FotoDetalle0.jpg,6844FotoDetalle1.jpg,6844Fotodetalle1.png,6844FotoDetalle2.jpg,6844Fotodetalle2.png,6844FotoDetalle3.jpg,6844Fotodetalle3.png,6844FotoDetalle4.jpg,6844FotoDetalle5.jpg,6844FotoDetalle6.jpg,6844Fotoproducto.png,6844FotoProducto1.png</t>
  </si>
  <si>
    <t>6845Fotodetalle2.png</t>
  </si>
  <si>
    <t>6845Fotodetalle0.jpg,6845Fotodetalle1.jpg,6845Fotodetalle2.jpg,6845Fotodetalle3.jpg</t>
  </si>
  <si>
    <t>6845Fotoproducto.png</t>
  </si>
  <si>
    <t>6846Fotoproducto.png</t>
  </si>
  <si>
    <t>6846Fotodetalle4.png</t>
  </si>
  <si>
    <t>6846Fotodetalle.png,6846FotoDetalle0.jpg,6846FotoDetalle1.jpg,6846Fotodetalle1.png,6846FotoDetalle2.jpg,6846Fotodetalle2.png,6846FotoDetalle3.jpg,6846Fotodetalle3.png,6846FotoDetalle4.jpg,6846Fotodetalle4.png,6846FotoDetalle5.jpg,6846Fotoproducto.png,6846FotoProducto1.png</t>
  </si>
  <si>
    <t>6849Fotodetalle0.jpg,6849Fotodetalle1.jpg,6849Fotodetalle2.jpg,6849Fotodetalle3.jpg</t>
  </si>
  <si>
    <t>6850Fotoproducto0.png</t>
  </si>
  <si>
    <t>6850Fotodetalle0.jpg,6850Fotodetalle1.jpg,6850Fotodetalle2.jpg,6850Fotodetalle3.jpg</t>
  </si>
  <si>
    <t>6850FotoDetalle1 (2).jpg,6850FotoDetalle1.jpg,6850FotoDetalle2.jpg,6850FotoDetalle3.jpg,6850FotoDetalle4.jpg,6850FotoProducto0 (2).png,6850FotoProducto0 (3).png,6850FotoProducto1.png,6850FotoProducto2.png,6850FotoProducto3.png,6850FotoProducto4.png,6850FotoProducto5.png,6850FotoProducto6.png,6850FotoProducto9.png</t>
  </si>
  <si>
    <t>6853Fotoproducto0.png</t>
  </si>
  <si>
    <t>6853Fotodetalle0.jpg,6853Fotodetalle1.jpg,6853Fotodetalle2.jpg,6853Fotodetalle3.jpg</t>
  </si>
  <si>
    <t>6855Fotodetalle0.jpg,6855Fotodetalle1.jpg,6855Fotodetalle2.jpg,6855Fotodetalle3.jpg</t>
  </si>
  <si>
    <t>6856Fotodetalle0.jpg,6856Fotodetalle1.jpg,6856Fotodetalle2.jpg,6856Fotodetalle3.jpg</t>
  </si>
  <si>
    <t>6857Fotoproducto0.png</t>
  </si>
  <si>
    <t>6857Fotodetalle0.jpg,6857Fotodetalle1.jpg,6857Fotodetalle2.jpg,6857Fotodetalle3.jpg</t>
  </si>
  <si>
    <t>6858Fotoproducto0.png</t>
  </si>
  <si>
    <t>6858Fotodetalle0.jpg,6858Fotodetalle1.jpg,6858Fotodetalle2.jpg,6858Fotodetalle3.jpg</t>
  </si>
  <si>
    <t>6859Fotoproducto0.png</t>
  </si>
  <si>
    <t>6859Fotodetalle0.jpg,6859Fotodetalle1.jpg,6859Fotodetalle2.jpg,6859Fotodetalle3.jpg</t>
  </si>
  <si>
    <t>6860Fotoproducto0.png</t>
  </si>
  <si>
    <t>6860Fotodetalle0.jpg,6860Fotodetalle1.jpg,6860Fotodetalle2.jpg,6860Fotodetalle3.jpg</t>
  </si>
  <si>
    <t>7008Fotoproducto0.png</t>
  </si>
  <si>
    <t>7008Fotodetalle0.jpg,7008Fotodetalle1.jpg,7008Fotodetalle2.jpg,7008Fotodetalle3.jpg</t>
  </si>
  <si>
    <t>7009Fotoproducto0.png</t>
  </si>
  <si>
    <t>7009Fotodetalle0.jpg,7009Fotodetalle1.jpg,7009Fotodetalle2.jpg,7009Fotodetalle3.jpg</t>
  </si>
  <si>
    <t>7010Fotoproducto0.png</t>
  </si>
  <si>
    <t>7010Fotodetalle0.jpg,7010Fotodetalle1.jpg,7010Fotodetalle2.jpg,7010Fotodetalle3.jpg</t>
  </si>
  <si>
    <t>7010FotoDetalle0.jpg,7010FotoDetalle1.jpg,7010FotoDetalle2.jpg,7010FotoDetalle3.png,7010FotoDetalle4.jpg,7010FotoDetalle5.png,7010FotoDetalle6.jpg,7010FotoDetalle7.png,7010FotoDetalle8.jpg,7010FotoDetalle9.png,7010FotoDetalle10.jpg,7010FotoDetalle11.jpg,7010FotoProducto1.png</t>
  </si>
  <si>
    <t>7011Fotoproducto0.png</t>
  </si>
  <si>
    <t>7011Fotodetalle0.jpg,7011Fotodetalle1.jpg,7011Fotodetalle2.jpg,7011Fotodetalle3.jpg</t>
  </si>
  <si>
    <t>7012Fotoproducto0.png</t>
  </si>
  <si>
    <t>7012Fotodetalle0.jpg,7012Fotodetalle1.jpg,7012Fotodetalle2.jpg,7012Fotodetalle3.jpg</t>
  </si>
  <si>
    <t>7012FotoDetalle0.jpg,7012FotoDetalle1.jpg,7012FotoDetalle2.jpg,7012FotoDetalle3.png,7012FotoDetalle4.jpg,7012FotoDetalle5.png,7012FotoDetalle6.jpg,7012FotoDetalle7.png,7012FotoDetalle8.jpg,7012FotoDetalle9.png,7012FotoDetalle10.jpg,7012FotoDetalle11.jpg,7012FotoProducto1.jpg,7012FotoProducto1.png,7012FotoProducto2.png,7012FotoProducto3.png,7012FotoProducto4.jpg</t>
  </si>
  <si>
    <t>7013Fotoproducto0.png</t>
  </si>
  <si>
    <t>7013Fotodetalle0.jpg,7013Fotodetalle1.jpg,7013Fotodetalle2.jpg,7013Fotodetalle3.jpg</t>
  </si>
  <si>
    <t>7014Fotoproducto0.png</t>
  </si>
  <si>
    <t>7014Fotodetalle0.jpg,7014Fotodetalle1.jpg,7014Fotodetalle2.jpg,7014Fotodetalle3.jpg</t>
  </si>
  <si>
    <t>7014FotoDetalle0.jpg,7014FotoDetalle1.jpg,7014FotoDetalle2.jpg,7014FotoDetalle3.png,7014FotoDetalle4.jpg,7014FotoDetalle5.png,7014FotoDetalle6.jpg,7014FotoDetalle7.png,7014FotoDetalle8.jpg,7014FotoDetalle9.png,7014FotoDetalle10.jpg,7014FotoDetalle11.jpg,7014FotoProducto1.png</t>
  </si>
  <si>
    <t>7015Fotoproducto0.png</t>
  </si>
  <si>
    <t>7015Fotodetalle0.jpg,7015Fotodetalle1.jpg,7015Fotodetalle2.jpg,7015Fotodetalle3.jpg</t>
  </si>
  <si>
    <t>7016Fotoproducto0.png</t>
  </si>
  <si>
    <t>7016Fotodetalle0.jpg,7016Fotodetalle1.jpg,7016Fotodetalle2.jpg,7016Fotodetalle3.jpg</t>
  </si>
  <si>
    <t>7016FotoDetalle0.jpg,7016FotoDetalle1.jpg,7016FotoDetalle2.jpg,7016FotoDetalle3.jpg,7016FotoDetalle4.png,7016FotoDetalle5.jpg,7016FotoDetalle6.png,7016FotoDetalle7.jpg,7016FotoDetalle8.png,7016FotoDetalle9.jpg,7016FotoDetalle10.png,7016FotoDetalle11.jpg,7016FotoDetalle12.jpg,7016FotoProducto1.png</t>
  </si>
  <si>
    <t>7018Fotoproducto0.png</t>
  </si>
  <si>
    <t>7018Fotodetalle0.jpg,7018Fotodetalle1.jpg,7018Fotodetalle2.jpg,7018Fotodetalle3.jpg</t>
  </si>
  <si>
    <t>7019Fotoproducto0.png</t>
  </si>
  <si>
    <t>7019Fotodetalle0.jpg,7019Fotodetalle1.jpg,7019Fotodetalle2.jpg,7019Fotodetalle3.jpg</t>
  </si>
  <si>
    <t>7020Fotoproducto0.png</t>
  </si>
  <si>
    <t>7020Fotodetalle0.jpg,7020Fotodetalle1.jpg,7020Fotodetalle2.jpg,7020Fotodetalle3.jpg</t>
  </si>
  <si>
    <t>7021Fotoproducto0.png</t>
  </si>
  <si>
    <t>7021Fotodetalle0.jpg,7021Fotodetalle1.jpg,7021Fotodetalle2.jpg,7021Fotodetalle3.jpg</t>
  </si>
  <si>
    <t>7022Fotoproducto0.png</t>
  </si>
  <si>
    <t>7022Fotodetalle0.jpg,7022Fotodetalle1.jpg,7022Fotodetalle2.jpg,7022Fotodetalle3.jpg</t>
  </si>
  <si>
    <t>7023Fotoproducto0.png</t>
  </si>
  <si>
    <t>7023Fotodetalle0.jpg,7023Fotodetalle1.jpg,7023Fotodetalle2.jpg,7023Fotodetalle3.jpg</t>
  </si>
  <si>
    <t>7024Fotoproducto0.png</t>
  </si>
  <si>
    <t>7024Fotodetalle0.jpg,7024Fotodetalle1.jpg,7024Fotodetalle2.jpg,7024Fotodetalle3.jpg</t>
  </si>
  <si>
    <t>7025Fotoproducto0.png</t>
  </si>
  <si>
    <t>7025Fotodetalle0.jpg,7025Fotodetalle1.jpg,7025Fotodetalle2.jpg,7025Fotodetalle3.jpg</t>
  </si>
  <si>
    <t>7026Fotodetalle0.jpg,7026Fotodetalle1.jpg,7026Fotodetalle2.jpg,7026Fotodetalle3.jpg</t>
  </si>
  <si>
    <t>7027Fotoproducto0.png</t>
  </si>
  <si>
    <t>7027Fotodetalle0.jpg,7027Fotodetalle1.jpg,7027Fotodetalle2.jpg,7027Fotodetalle3.jpg</t>
  </si>
  <si>
    <t>7030Fotoproducto0.png</t>
  </si>
  <si>
    <t>7030Fotodetalle0.jpg,7030Fotodetalle1.jpg,7030Fotodetalle2.jpg,7030Fotodetalle3.jpg</t>
  </si>
  <si>
    <t>7030FotoDetalle0.jpg,7030FotoDetalle1.jpg,7030FotoDetalle2.jpg,7030FotoDetalle3.jpg,7030FotoDetalle4.jpg,7030FotoDetalle5.jpg,7030FotoDetalle6.jpg,7030FotoDetalle7.jpg,7030FotoDetalle8.jpg,7030FotoDetalle9.jpg,7030FotoProducto1.png,7030FotoProducto2.png</t>
  </si>
  <si>
    <t>7032Fotoproducto0.png</t>
  </si>
  <si>
    <t>7032Fotodetalle0.jpg,7032Fotodetalle1.jpg,7032Fotodetalle2.jpg,7032Fotodetalle3.jpg</t>
  </si>
  <si>
    <t>7032FotoDetalle0.jpg,7032FotoDetalle1.jpg,7032FotoDetalle2.jpg,7032FotoDetalle3.jpg,7032FotoDetalle4.jpg,7032FotoDetalle5.jpg,7032FotoDetalle6.jpg,7032FotoDetalle7.jpg,7032FotoDetalle8.jpg,7032FotoProducto1.png,7032FotoProducto2.png</t>
  </si>
  <si>
    <t>7034Fotoproducto.png</t>
  </si>
  <si>
    <t>7034Fotodetalle0.jpg,7034Fotodetalle1.jpg,7034Fotodetalle2.jpg,7034Fotodetalle3.jpg</t>
  </si>
  <si>
    <t>7035Fotoproducto0.png</t>
  </si>
  <si>
    <t>7035Fotodetalle0.jpg,7035Fotodetalle1.jpg,7035Fotodetalle2.jpg,7035Fotodetalle3.jpg</t>
  </si>
  <si>
    <t>7042Fotoproducto0.png</t>
  </si>
  <si>
    <t>7042Fotodetalle0.jpg,7042Fotodetalle1.jpg,7042Fotodetalle2.jpg,7042Fotodetalle3.jpg</t>
  </si>
  <si>
    <t>7042FotoDetalle0.jpg,7042FotoDetalle1.jpg,7042FotoDetalle2.jpg,7042FotoDetalle3.jpg,7042FotoDetalle4.jpg,7042FotoDetalle5.jpg,7042FotoDetalle6.jpg,7042FotoDetalle7.jpg,7042FotoDetalle8.jpg,7042FotoDetalle9.jpg,7042FotoDetalle10.jpg,7042FotoDetalle11.jpg,7042FotoProducto1.png,7042FotoProducto2.png,7042FotoProducto3.png</t>
  </si>
  <si>
    <t>7042FotoProducto1.png</t>
  </si>
  <si>
    <t>7042FotoDetalle0.jpg, 7042FotoDetalle1.jpg, 7042FotoDetalle10.jpg, 7042FotoDetalle11.jpg, 7042FotoDetalle2.jpg, 7042FotoDetalle3.jpg, 7042FotoDetalle4.jpg, 7042FotoDetalle5.jpg, 7042FotoDetalle6.jpg, 7042FotoDetalle7.jpg, 7042FotoDetalle8.jpg, 7042FotoDetalle9.jpg</t>
  </si>
  <si>
    <t>7043FotoProducto1.png</t>
  </si>
  <si>
    <t>7043FotoDetalle0.jpg, 7043FotoDetalle1.jpg, 7043FotoDetalle2.jpg</t>
  </si>
  <si>
    <t>7044Fotodetalle0.jpg,7044Fotodetalle1.jpg,7044Fotodetalle2.jpg,7044Fotodetalle3.jpg</t>
  </si>
  <si>
    <t>7044Fotoproducto0.png</t>
  </si>
  <si>
    <t>7045FotoDetalle0.jpg, 7045FotoDetalle1.jpg</t>
  </si>
  <si>
    <t>7046Fotoproducto0.png</t>
  </si>
  <si>
    <t>7046Fotodetalle0.jpg,7046Fotodetalle1.jpg,7046Fotodetalle2.jpg,7046Fotodetalle3.jpg</t>
  </si>
  <si>
    <t>7047Fotoproducto0.png</t>
  </si>
  <si>
    <t>7047Fotodetalle0.jpg,7047Fotodetalle1.jpg,7047Fotodetalle2.jpg,7047Fotodetalle3.jpg</t>
  </si>
  <si>
    <t>7048Fotoproducto0.png</t>
  </si>
  <si>
    <t>7048Fotodetalle0.jpg,7048Fotodetalle1.jpg,7048Fotodetalle2.jpg,7048Fotodetalle3.jpg</t>
  </si>
  <si>
    <t>7048Fotodetalle.jpg,7048Fotodetalle2.jpg,7048Fotodetalle3.jpg,7048Fotodetalle4.jpg,7048Fotodetalle5.jpg,7048Fotodetalle6 (2).jpg,7048Fotodetalle6.jpg,7048Fotodetalle7.png,7048Fotodetalle8.jpg,7048Fotodetalle9.png,7048Fotoproducto.jpg,7048Fotoproducto.png,7048Fotoproducto1.jpg</t>
  </si>
  <si>
    <t>7049Fotoproducto0.png</t>
  </si>
  <si>
    <t>7049Fotodetalle0.jpg,7049Fotodetalle1.jpg,7049Fotodetalle2.jpg,7049Fotodetalle3.jpg</t>
  </si>
  <si>
    <t>7049FotoDetalle0.jpg, 7049FotoDetalle1.jpg, 7049FotoDetalle2.jpg, 7049FotoDetalle3.jpg, 7049FotoDetalle4.jpg, 7049FotoDetalle5.jpg, 7049FotoDetalle6.jpg, 7049FotoDetalle7.jpg, 7049FotoDetalle8.jpg</t>
  </si>
  <si>
    <t>7050Fotoproducto0.png</t>
  </si>
  <si>
    <t>7050Fotodetalle0.jpg,7050Fotodetalle1.jpg,7050Fotodetalle2.jpg,7050Fotodetalle3.jpg</t>
  </si>
  <si>
    <t>7051Fotoproducto0.png</t>
  </si>
  <si>
    <t>7051Fotodetalle0.jpg,7051Fotodetalle1.jpg,7051Fotodetalle2.jpg,7051Fotodetalle3.jpg</t>
  </si>
  <si>
    <t>7051FotoDetalle0.jpg,7051FotoDetalle1.jpg,7051FotoDetalle2.jpg,7051FotoDetalle3.jpg,7051FotoDetalle4.jpg,7051FotoDetalle5.jpg,7051FotoDetalle6.jpg,7051FotoDetalle7.jpg,7051FotoDetalle8.jpg,7051Fotoproducto.jpg,7051FotoProducto1.png,7051FotoProducto2.png,7051FotoProducto3.png</t>
  </si>
  <si>
    <t>7052Fotoproducto0.png</t>
  </si>
  <si>
    <t>7052FotoDetalle0.jpg, 7052Fotodetalle.jpg, 7052Fotodetalle1.jpg, 7052Fotodetalle2.jpg</t>
  </si>
  <si>
    <t>7053Fotoproducto0.png</t>
  </si>
  <si>
    <t>7053Fotodetalle0.jpg,7053Fotodetalle1.jpg,7053Fotodetalle2.jpg,7053Fotodetalle3.jpg</t>
  </si>
  <si>
    <t>7053FotoDetalle0.JPG, 7053FotoDetalle1.jpg, 7053FotoDetalle2.jpg, 7053FotoDetalle3.jpg, 7053FotoDetalle4.jpg</t>
  </si>
  <si>
    <t>7054Fotoproducto0.png</t>
  </si>
  <si>
    <t>7054Fotodetalle0.jpg,7054Fotodetalle1.jpg,7054Fotodetalle2.jpg,7054Fotodetalle3.jpg</t>
  </si>
  <si>
    <t>7055Fotoproducto0.png</t>
  </si>
  <si>
    <t>7055Fotodetalle0.jpg,7055Fotodetalle1.jpg,7055Fotodetalle2.jpg,7055Fotodetalle3.jpg</t>
  </si>
  <si>
    <t>7056Fotoproducto0.png</t>
  </si>
  <si>
    <t>7056Fotodetalle0.jpg,7056Fotodetalle1.jpg,7056Fotodetalle2.jpg,7056Fotodetalle3.jpg</t>
  </si>
  <si>
    <t>7057Fotoproducto0.png</t>
  </si>
  <si>
    <t>7057Fotodetalle0.jpg,7057Fotodetalle1.jpg,7057Fotodetalle2.jpg,7057Fotodetalle3.jpg</t>
  </si>
  <si>
    <t>7057-cad.dwg</t>
  </si>
  <si>
    <t>7058Fotoproducto0.png</t>
  </si>
  <si>
    <t>7058Fotodetalle0.jpg,7058Fotodetalle1.jpg,7058Fotodetalle2.jpg,7058Fotodetalle3.jpg</t>
  </si>
  <si>
    <t>7059FotoProducto1.png</t>
  </si>
  <si>
    <t>7059FotoDetalle0.jpg, 7059FotoDetalle1.jpg, 7059FotoDetalle2.jpg, 7059FotoDetalle3.jpg, 7059FotoDetalle4.jpg, 7059FotoDetalle5.jpg, 7059FotoDetalle6.jpg, 7059FotoDetalle7.jpg, 7059FotoDetalle9.jpg</t>
  </si>
  <si>
    <t>7059FotoDetalle0.jpg,7059FotoDetalle1.jpg,7059FotoDetalle2.jpg,7059FotoDetalle3.jpg,7059FotoDetalle4.jpg,7059FotoDetalle5.jpg,7059FotoDetalle6.jpg,7059FotoDetalle7.jpg,7059FotoDetalle9.jpg,7059Fotoproducto.jpg,7059FotoProducto1.png,7059FotoProducto2.png</t>
  </si>
  <si>
    <t>7059Fotoproducto0.png</t>
  </si>
  <si>
    <t>7059Fotodetalle0.jpg,7059Fotodetalle1.jpg,7059Fotodetalle2.jpg,7059Fotodetalle3.jpg</t>
  </si>
  <si>
    <t>7060Fotoproducto0.png</t>
  </si>
  <si>
    <t>7060Fotodetalle5.png</t>
  </si>
  <si>
    <t>7061Fotodetalle0.jpg,7061Fotodetalle1.jpg,7061Fotodetalle2.jpg,7061Fotodetalle3.jpg</t>
  </si>
  <si>
    <t>7061-cad.dwg</t>
  </si>
  <si>
    <t>7061Fotoproducto0.png</t>
  </si>
  <si>
    <t>7062Fotoproducto0.png</t>
  </si>
  <si>
    <t>7062Fotodetalle0.jpg,7062Fotodetalle1.jpg,7062Fotodetalle2.jpg,7062Fotodetalle3.jpg</t>
  </si>
  <si>
    <t>7063Fotoproducto0.png</t>
  </si>
  <si>
    <t>7063Fotodetalle0.jpg,7063Fotodetalle1.jpg,7063Fotodetalle2.jpg,7063Fotodetalle3.jpg</t>
  </si>
  <si>
    <t>7064Fotoproducto0.png</t>
  </si>
  <si>
    <t>7064Fotodetalle0.jpg,7064Fotodetalle1.jpg,7064Fotodetalle2.jpg,7064Fotodetalle3.jpg</t>
  </si>
  <si>
    <t>7065Fotoproducto0.png</t>
  </si>
  <si>
    <t>7065Fotodetalle0.jpg,7065Fotodetalle1.jpg,7065Fotodetalle2.jpg,7065Fotodetalle3.jpg</t>
  </si>
  <si>
    <t>7065FotoDetalle0.jpg,7065FotoDetalle1.jpg,7065FotoDetalle2.JPG,7065FotoDetalle3.JPG,7065FotoDetalle4.JPG,7065FotoDetalle5.JPG,7065FotoDetalle6.JPG,7065FotoDetalle7.JPG,7065FotoDetalle8.jpg,7065FotoDetalle9.JPG,7065FotoDetalle10.JPG,7065FotoDetalle11.JPG,7065FotoDetalle12.JPG,7065FotoDetalle13.JPG,7065FotoDetalle14.JPG,7065FotoDetalle15.JPG,7065FotoDetalle16.jpg,7065FotoDetalle17.jpg,7065FotoDetalle18.jpg,7065FotoDetalle19.jpg,7065FotoDetalle20.jpg,7065FotoDetalle21.jpg,7065FotoDetalle23.jpg,7065FotoDetalle24.jpg,7065FotoDetalle25.jpg,7065FotoDetalle26.jpg,7065FotoProducto1.png,7065FotoProducto2.png</t>
  </si>
  <si>
    <t>7065FotoDetalle0.jpg, 7065FotoDetalle1.jpg, 7065FotoDetalle10.JPG, 7065FotoDetalle11.JPG, 7065FotoDetalle12.JPG, 7065FotoDetalle13.JPG, 7065FotoDetalle14.JPG, 7065FotoDetalle15.JPG, 7065FotoDetalle16.jpg, 7065FotoDetalle17.jpg, 7065FotoDetalle18.jpg, 7065FotoDetalle19.jpg, 7065FotoDetalle2.JPG, 7065FotoDetalle20.jpg, 7065FotoDetalle21.jpg, 7065FotoDetalle23.jpg, 7065FotoDetalle24.jpg, 7065FotoDetalle25.jpg, 7065FotoDetalle26.jpg, 7065FotoDetalle3.JPG, 7065FotoDetalle4.JPG, 7065FotoDetalle5.JPG, 7065FotoDetalle6.JPG, 7065FotoDetalle7.JPG, 7065FotoDetalle8.jpg, 7065FotoDetalle9.JPG</t>
  </si>
  <si>
    <t>7066Fotoproducto0.png</t>
  </si>
  <si>
    <t>7066Fotodetalle0.jpg,7066Fotodetalle1.jpg,7066Fotodetalle2.jpg,7066Fotodetalle3.jpg</t>
  </si>
  <si>
    <t>7066FotoDetalle1.jpg,7066FotoDetalle3.jpg,7066FotoDetalle4.jpg,7066FotoDetalle5.jpg,7066FotoDetalle6 (2).jpg,7066FotoDetalle6.jpg,7066FotoDetalle16.jpg,7066FotoDetalle17.jpg,7066FotoDetalle18.jpg,7066FotoDetalle19.jpg,7066FotoDetalle20.jpg,7066FotoProducto1.jpg,7066FotoProducto1.png,7066FotoProducto2.png</t>
  </si>
  <si>
    <t>7067Fotoproducto.png</t>
  </si>
  <si>
    <t>7067FotoDetalle0.jpg, 7067Fotodetalle.jpg, 7067Fotodetalle1.jpg, 7067Fotodetalle2.jpg, 7067Fotodetalle3.jpg, 7067Fotodetalle4.jpg</t>
  </si>
  <si>
    <t>7068Fotoproducto1.png</t>
  </si>
  <si>
    <t>7068Fotodetalle0.jpg,7068Fotodetalle1.jpg,7068Fotodetalle2.jpg,7068Fotodetalle3.jpg</t>
  </si>
  <si>
    <t>7069Fotoproducto.png</t>
  </si>
  <si>
    <t>7069Fotodetalle0.jpg,7069Fotodetalle1.jpg,7069Fotodetalle2.jpg,7069Fotodetalle3.jpg</t>
  </si>
  <si>
    <t>7070Fotoproducto.png</t>
  </si>
  <si>
    <t>7070FotoDetalle0.jpg, 7070Fotodetalle.jpg, 7070Fotodetalle1.jpg, 7070Fotodetalle2.jpg, 7070Fotodetalle3.jpg</t>
  </si>
  <si>
    <t>7071Fotoproducto.png</t>
  </si>
  <si>
    <t>7071FotoDetalle0.jpg, 7071Fotodetalle.jpg, 7071Fotodetalle1.jpg, 7071Fotodetalle2.jpg, 7071Fotodetalle3.jpg</t>
  </si>
  <si>
    <t>7072Fotoproducto1.png</t>
  </si>
  <si>
    <t>7072Fotodetalle2.png</t>
  </si>
  <si>
    <t>7073Fotoproducto0.png</t>
  </si>
  <si>
    <t>7073Fotodetalle0.jpg,7073Fotodetalle1.jpg,7073Fotodetalle2.jpg,7073Fotodetalle3.jpg</t>
  </si>
  <si>
    <t>7074Fotoproducto0.png</t>
  </si>
  <si>
    <t>7074Fotodetalle0.jpg,7074Fotodetalle1.jpg,7074Fotodetalle2.jpg,7074Fotodetalle3.jpg</t>
  </si>
  <si>
    <t>7074-cad.dwg</t>
  </si>
  <si>
    <t>7075Fotoproducto0.png</t>
  </si>
  <si>
    <t>7075Fotodetalle0.jpg,7075Fotodetalle1.jpg,7075Fotodetalle2.jpg,7075Fotodetalle3.jpg</t>
  </si>
  <si>
    <t>7076FotoProducto1.png</t>
  </si>
  <si>
    <t>7076FotoDetalle4.png</t>
  </si>
  <si>
    <t>7077Fotoproducto0.png</t>
  </si>
  <si>
    <t>7077Fotodetalle0.jpg,7077Fotodetalle1.jpg,7077Fotodetalle2.jpg,7077Fotodetalle3.jpg</t>
  </si>
  <si>
    <t>7077.png,7077FotoDetalle0.jpg,7077FotoDetalle1.jpg,7077FotoDetalle2.jpg,7077FotoDetalle3.jpg,7077FotoDetalle4.jpg,7077FotoDetalle5.jpg,7077FotoDetalle6.jpg,7077FotoDetalle7.jpg,7077FotoDetalle8.jpg,7077FotoProducto1.png,7077FotoProducto2.png</t>
  </si>
  <si>
    <t>7078Fotoproducto0.png</t>
  </si>
  <si>
    <t>7078Fotodetalle0.jpg,7078Fotodetalle1.jpg,7078Fotodetalle2.jpg,7078Fotodetalle3.jpg</t>
  </si>
  <si>
    <t>7078FotoDetalle0.jpg,7078FotoDetalle1.jpg,7078FotoDetalle2.jpg,7078FotoDetalle3.jpg,7078FotoDetalle4.jpg,7078FotoDetalle5.jpg,7078FotoDetalle6.jpg,7078FotoDetalle7.jpg,7078FotoDetalle8.jpg,7078FotoDetalle9.jpg,7078FotoProducto1.png,7078FotoProducto2.png,7078FotoProducto3.png</t>
  </si>
  <si>
    <t>7079Fotoproducto0.png</t>
  </si>
  <si>
    <t>7079Fotodetalle0.jpg,7079Fotodetalle1.jpg,7079Fotodetalle2.jpg,7079Fotodetalle3.jpg</t>
  </si>
  <si>
    <t>7079.png,7079FotoDetalle0.jpg,7079FotoDetalle1 (1).jpg,7079FotoDetalle1.jpg,7079FotoDetalle2.jpg,7079FotoDetalle3.jpg,7079FotoProducto1.png,7079FotoProducto2.png,7079Fotoproducto3.jpg,7079Fotoproducto4.jpg,7079FotoProducto5.jpg,7079FotoProducto6.png</t>
  </si>
  <si>
    <t>7080Fotoproducto0.png</t>
  </si>
  <si>
    <t>7080Fotodetalle0.jpg,7080Fotodetalle1.jpg,7080Fotodetalle2.jpg,7080Fotodetalle3.jpg</t>
  </si>
  <si>
    <t>7081Fotoproducto0.png</t>
  </si>
  <si>
    <t>7081Fotodetalle0.jpg,7081Fotodetalle1.jpg,7081Fotodetalle2.jpg,7081Fotodetalle3.jpg</t>
  </si>
  <si>
    <t>Tiene fotos en Drive pero falta 7082Fotoproducto0.png.</t>
  </si>
  <si>
    <t>7082Fotoproducto0.png</t>
  </si>
  <si>
    <t>7082Fotodetalle0.jpg,7082Fotodetalle1.jpg,7082Fotodetalle2.jpg,7082Fotodetalle3.jpg</t>
  </si>
  <si>
    <t>7082.png,7082FotoDetalle0.jpg,7082FotoDetalle1 (2).jpg,7082FotoDetalle1.jpg,7082FotoDetalle2.jpg,7082FotoProducto2.jpg,7082FotoProducto5.jpg,7082FotoProducto6.jpg,7082FotoProducto8.png,7082FotoProducto9.png,7082FotoProducto10.png</t>
  </si>
  <si>
    <t>7083Fotoproducto0.png</t>
  </si>
  <si>
    <t>7083Fotodetalle0.jpg,7083Fotodetalle1.jpg,7083Fotodetalle2.jpg,7083Fotodetalle3.jpg</t>
  </si>
  <si>
    <t>7083FotoDetalle0 (1).jpg,7083FotoDetalle0.jpg,7083FotoDetalle1 (1).jpg,7083FotoDetalle1.jpg,7083FotoDetalle2 (1).jpg,7083FotoDetalle2.jpg,7083FotoDetalle3 (1).jpg,7083FotoDetalle3.jpg,7083FotoDetalle4 (1).jpg,7083FotoDetalle4.jpg,7083FotoDetalle5.jpg,7083FotoProducto1.jpg,7083FotoProducto1.png,7083FotoProducto2.png</t>
  </si>
  <si>
    <t>7084Fotoproducto0.png</t>
  </si>
  <si>
    <t>7084Fotodetalle0.jpg,7084Fotodetalle1.jpg,7084Fotodetalle2.jpg,7084Fotodetalle3.jpg</t>
  </si>
  <si>
    <t>7084.png,7084FotoDetalle0 (2).jpg,7084FotoDetalle0.jpg,7084FotoDetalle1.jpg,7084FotoDetalle2.jpg,7084FotoDetalle3.jpg,7084FotoDetalle6.jpg,7084FotoDetalle7.jpg,7084FotoProducto1.png,7084FotoProducto3.png,7084FotoProducto4.jpg,7084FotoProducto5.jpg,7084FotoProducto6.jpg</t>
  </si>
  <si>
    <t>7085Fotoproducto0.png</t>
  </si>
  <si>
    <t>7085Fotodetalle0.jpg,7085Fotodetalle1.jpg,7085Fotodetalle2.jpg,7085Fotodetalle3.jpg</t>
  </si>
  <si>
    <t>7085FotoDetalle0.jpg,7085FotoDetalle1.jpg,7085FotoDetalle2.jpg,7085FotoDetalle3.jpg,7085FotoDetalle4.jpg,7085FotoDetalle5.jpg,7085FotoProducto0 (1).png,7085FotoProducto0.jpg,7085FotoProducto1.png,7085FotoProducto2.png,7085FotoProducto3.png,7085FotoProducto4.png,7085FotoProducto5.png</t>
  </si>
  <si>
    <t>7086FotoDetalle0.jpg, 7086FotoDetalle1.jpg, 7086FotoDetalle2.jpg, 7086FotoDetalle3.jpg, 7086FotoDetalle4.jpg, 7086FotoDetalle4.jpg, 7086FotoDetalle5.jpg, 7086FotoDetalle5.jpg, 7086FotoDetalle6.jpg</t>
  </si>
  <si>
    <t>7086.png,7086FotoDetalle0.jpg,7086FotoDetalle1.jpg,7086FotoDetalle2.jpg,7086FotoDetalle3.jpg,7086FotoDetalle4 (2).jpg,7086FotoDetalle4.jpg,7086FotoDetalle5 (2).jpg,7086FotoDetalle5.jpg,7086FotoDetalle6.jpg,7086FotoProducto0 (2).png,7086FotoProducto1.png,7086FotoProducto2 (2).png,7086FotoProducto2.png</t>
  </si>
  <si>
    <t>7087Fotoproducto0.png</t>
  </si>
  <si>
    <t>7087Fotodetalle0.jpg,7087Fotodetalle1.jpg,7087Fotodetalle2.jpg,7087Fotodetalle3.jpg</t>
  </si>
  <si>
    <t>7087FotoDetalle0.jpg,7087FotoDetalle1.jpg,7087FotoDetalle2.jpg,7087FotoDetalle3.jpg,7087FotoDetalle4.jpg,7087FotoDetalle5.jpg,7087FotoDetalle6.jpg,7087FotoDetalle7.jpg,7087FotoDetalle8.jpg,7087FotoDetalle9.jpg,7087FotoDetalle10.jpg,7087FotoProducto0 (2).png,7087FotoProducto0 (3).png</t>
  </si>
  <si>
    <t>7088FotoDetalle0.jpg, 7088FotoDetalle1.jpg, 7088FotoDetalle10.jpg, 7088FotoDetalle2.jpg, 7088FotoDetalle3.jpg, 7088FotoDetalle4.jpg, 7088FotoDetalle5.jpg, 7088FotoDetalle6.jpg, 7088FotoDetalle7.jpg, 7088FotoDetalle8.jpg, 7088FotoDetalle9.jpg</t>
  </si>
  <si>
    <t>7088FotoDetalle0.jpg,7088FotoDetalle1.jpg,7088FotoDetalle2.jpg,7088FotoDetalle3.jpg,7088FotoDetalle4.jpg,7088FotoDetalle5.jpg,7088FotoDetalle6.jpg,7088FotoDetalle7.jpg,7088FotoDetalle8.jpg,7088FotoDetalle9.jpg,7088FotoDetalle10.jpg,7088FotoProducto0 (2).png,7088FotoProducto0 (3).png</t>
  </si>
  <si>
    <t>7089Fotoproducto0.png</t>
  </si>
  <si>
    <t>7089Fotodetalle0.jpg,7089Fotodetalle1.jpg,7089Fotodetalle2.jpg,7089Fotodetalle3.jpg</t>
  </si>
  <si>
    <t>7091Fotoproducto0.png</t>
  </si>
  <si>
    <t>7091Fotodetalle0.jpg,7091Fotodetalle1.jpg,7091Fotodetalle2.jpg,7091Fotodetalle3.jpg</t>
  </si>
  <si>
    <t>7092Fotoproducto0.png</t>
  </si>
  <si>
    <t>7092Fotodetalle0.jpg,7092Fotodetalle1.jpg,7092Fotodetalle2.jpg,7092Fotodetalle3.jpg</t>
  </si>
  <si>
    <t>7093Fotoproducto0.png</t>
  </si>
  <si>
    <t>7093Fotodetalle0.jpg,7093Fotodetalle1.jpg,7093Fotodetalle2.jpg,7093Fotodetalle3.jpg</t>
  </si>
  <si>
    <t>7093Fotodetalle.jpg,7093FotoDetalle0.jpg,7093Fotodetalle1.jpg,7093FotoDetalle2.jpg,7093FotoDetalle3.jpg,7093FotoDetalle4.png,7093FotoDetalle6.png,7093FotoDetalle7.png,7093FotoDetalle8.png,7093FotoDetalle9.png,7093Fotodetalle11.png,7093Fotodetalle12.png,7093Fotodetalle13.png,7093Fotoproducto.jpg,7093FotoProducto1.png,7093FotoProducto2.png,7093FotoProducto3.png,7093FotoProducto4.png</t>
  </si>
  <si>
    <t>7093Fotodetalle13.png</t>
  </si>
  <si>
    <t>7094Fotoproducto0.png</t>
  </si>
  <si>
    <t>7094Fotodetalle0.jpg,7094Fotodetalle1.jpg,7094Fotodetalle2.jpg,7094Fotodetalle3.jpg</t>
  </si>
  <si>
    <t>7094Fotodetalle.jpg,7094FotoDetalle0.jpg,7094Fotodetalle1.jpg,7094FotoDetalle2.jpg,7094FotoDetalle3.jpg,7094Fotodetalle4.jpg,7094Fotodetalle5.jpg,7094Fotodetalle6.jpg,7094Fotoproducto.jpg,7094FotoProducto1.png,7094FotoProducto2.png,7094FotoProducto3.png,7094FotoProducto4.png,7094FotoProducto11.jpg</t>
  </si>
  <si>
    <t>7095Fotoproducto0.png</t>
  </si>
  <si>
    <t>7095Fotodetalle0.jpg,7095Fotodetalle1.jpg,7095Fotodetalle2.jpg,7095Fotodetalle3.jpg</t>
  </si>
  <si>
    <t>7095Fotodetalle.JPG,7095Fotodetalle1.JPG,7095Fotodetalle2.JPG,7095Fotodetalle3.JPG,7095Fotodetalle4.JPG,7095Fotodetalle5.JPG,7095Fotodetalle6.JPG,7095Fotodetalle7.JPG,7095Fotodetalle8.JPG,7095Fotodetalle9.JPG,7095Fotodetalle10.JPG,7095Fotodetalle11.JPG,7095Fotodetalle12.JPG,7095Fotodetalle13.JPG,7095Fotodetalle14.JPG,7095Fotodetalle15.JPG,7095Fotodetalle16.JPG,7095Fotodetalle17.JPG,7095Fotodetalle20.JPG,7095Fotodetalle21.JPG,7095Fotodetalle22.JPG,7095Fotodetalle24.JPG,7095Fotodetalle25.JPG,7095Fotodetalle26.JPG,7095Fotodetalle27.JPG,7095Fotodetalle28.JPG,7095Fotodetalle30.png,7095Fotoproducto.jpg,7095Fotoproducto1.jpg,7095Fotoproducto2.jpg,7095Fotoproducto4.jpg,7095Fotoproducto5.jpg,7095Fotoproducto9.jpg</t>
  </si>
  <si>
    <t>7096FotoDetalle0.jpg, 7096FotoDetalle1.jpg, 7096FotoDetalle2.jpg, 7096FotoDetalle3.jpg, 7096FotoDetalle4.jpg, 7096FotoDetalle5.jpg, 7096FotoDetalle6.jpg, 7096FotoDetalle7.jpg, 7096FotoDetalle8.jpg</t>
  </si>
  <si>
    <t>7097FotoDetalle0.jpg, 7097Fotodetalle.jpg, 7097Fotodetalle1.jpg</t>
  </si>
  <si>
    <t>7098FotoDetalle0.jpg, 7098FotoDetalle2.jpg, 7098Fotodetalle.jpg, 7098Fotodetalle1.jpg</t>
  </si>
  <si>
    <t>7099Fotodetalle0.jpg,7099Fotodetalle1.jpg,7099Fotodetalle2.jpg,7099Fotodetalle3.jpg</t>
  </si>
  <si>
    <t>7099Fotoproducto1.png</t>
  </si>
  <si>
    <t>7099Fotodetalle0.png</t>
  </si>
  <si>
    <t>7100Fotodetalle0.jpg,7100Fotodetalle1.jpg,7100Fotodetalle2.jpg,7100Fotodetalle3.jpg</t>
  </si>
  <si>
    <t>7101Fotodetalle0.jpg,7101Fotodetalle1.jpg,7101Fotodetalle2.jpg,7101Fotodetalle3.jpg</t>
  </si>
  <si>
    <t>Tiene fotos en Drive pero falta 7102Fotoproducto0.png.</t>
  </si>
  <si>
    <t>7102Fotoproducto0.png</t>
  </si>
  <si>
    <t>7102Fotodetalle0.jpg,7102Fotodetalle1.jpg,7102Fotodetalle2.jpg,7102Fotodetalle3.jpg</t>
  </si>
  <si>
    <t>7102Fotoproducto1.png</t>
  </si>
  <si>
    <t>7102Fotodetalle1.png</t>
  </si>
  <si>
    <t>Tiene fotos en Drive pero falta 7103Fotoproducto0.png.</t>
  </si>
  <si>
    <t>7103Fotoproducto0.png</t>
  </si>
  <si>
    <t>7103Fotodetalle0.jpg,7103Fotodetalle1.jpg,7103Fotodetalle2.jpg,7103Fotodetalle3.jpg</t>
  </si>
  <si>
    <t>7104Fotoproducto0.png</t>
  </si>
  <si>
    <t>7104Fotodetalle0.png</t>
  </si>
  <si>
    <t>7106Fotoproducto.png</t>
  </si>
  <si>
    <t>7106Fotodetalle0.jpg,7106Fotodetalle1.jpg,7106Fotodetalle2.jpg,7106Fotodetalle3.jpg</t>
  </si>
  <si>
    <t>7106Fotoproducto0.png</t>
  </si>
  <si>
    <t>7107Fotodetalle0.jpg,7107Fotodetalle1.jpg,7107Fotodetalle2.jpg,7107Fotodetalle3.jpg</t>
  </si>
  <si>
    <t>7107Fotodetalle.png,7107FotoDetalle0.jpg,7107FotoDetalle1.jpg,7107Fotodetalle1.png,7107FotoDetalle2.jpg,7107Fotodetalle2.png,7107FotoDetalle3.jpg,7107Fotodetalle3.png,7107Fotodetalle4.png,7107FotoProducto1.png,7107FotoProducto2.png</t>
  </si>
  <si>
    <t>7108Fotoproducto0.png</t>
  </si>
  <si>
    <t>7108Fotodetalle0.png</t>
  </si>
  <si>
    <t>7108Fotodetalle.png,7108FotoDetalle0.jpg,7108FotoDetalle1.jpg,7108Fotodetalle1.png,7108FotoDetalle2.jpg,7108FotoDetalle3.jpg,7108FotoDetalle4.jpg,7108FotoDetalle5.jpg,7108FotoDetalle6.jpg,7108FotoDetalle7.jpg,7108FotoDetalle8.jpg,7108FotoDetalle9.jpg,7108FotoDetalle10.jpg,7108FotoDetalle11.jpg,7108FotoDetalle12.jpg,7108FotoDetalle13.jpg,7108FotoDetalle14.jpg,7108FotoDetalle15.jpg,7108Fotoproducto.png,7108FotoProducto1.png,7108FotoProducto2.png,7108FotoProducto3.png,7108FotoProducto4.png,7108FotoProducto5.png,7108FotoProducto6.png,7108Fotoproducto7.png</t>
  </si>
  <si>
    <t>7109Fotoproducto0.png</t>
  </si>
  <si>
    <t>7109Fotodetalle0.jpg,7109Fotodetalle1.jpg,7109Fotodetalle2.jpg,7109Fotodetalle3.jpg</t>
  </si>
  <si>
    <t>7109Fotodetalle.png,7109FotoDetalle0.jpg,7109FotoDetalle1.jpg,7109FotoDetalle2.jpg,7109FotoDetalle3.jpg,7109FotoDetalle4.jpg,7109FotoDetalle5.jpg,7109FotoDetalle6.jpg,7109FotoDetalle7.jpg,7109FotoDetalle8.jpg,7109FotoDetalle9.jpg,7109FotoDetalle10.jpg,7109FotoDetalle11.jpg,7109FotoDetalle12.jpg,7109Fotoproducto.png,7109FotoProducto1.png,7109FotoProducto2.png,7109FotoProducto3.png,7109FotoProducto5.png,7109FotoProducto6.png,7109FotoProducto6.png.jpg,7109FotoProducto7.png.jpg,7109FotoProducto8.png.png</t>
  </si>
  <si>
    <t>7110Fotoproducto0.png</t>
  </si>
  <si>
    <t>7110Fotodetalle0.jpg,7110Fotodetalle1.jpg,7110Fotodetalle2.jpg,7110Fotodetalle3.jpg</t>
  </si>
  <si>
    <t>7110Fotodetalle.png,7110FotoDetalle0.jpg,7110FotoDetalle1.jpg,7110FotoDetalle2.jpg,7110FotoDetalle3.jpg,7110FotoDetalle4.jpg,7110FotoDetalle5.jpg,7110FotoDetalle6.jpg,7110FotoProducto1.png,7110FotoProducto2.png,7110FotoProducto3.jpg</t>
  </si>
  <si>
    <t>7111Fotodetalle0.jpg,7111Fotodetalle1.jpg,7111Fotodetalle2.jpg,7111Fotodetalle3.jpg</t>
  </si>
  <si>
    <t>7111Fotodetalle.png,7111FotoDetalle0.jpg,7111Fotodetalle1.png,7111FotoDetalle2.jpg,7111FotoDetalle3.jpg,7111Fotodetalle4.png,7111Fotodetalle5.png,7111FotoDetalle10.jpg,7111Fotoproducto.png,7111FotoProducto1.png,7111FotoProducto2.png</t>
  </si>
  <si>
    <t>7112Fotoproducto0.png</t>
  </si>
  <si>
    <t>7112Fotodetalle0.jpg,7112Fotodetalle1.jpg,7112Fotodetalle2.jpg,7112Fotodetalle3.jpg</t>
  </si>
  <si>
    <t>7112Fotodetalle0.png</t>
  </si>
  <si>
    <t>7113FotoProducto0.png</t>
  </si>
  <si>
    <t>7113Fotodetalle4.png</t>
  </si>
  <si>
    <t>7113Fotodetalle.png,7113FotoDetalle0.jpg,7113FotoDetalle1.jpg,7113Fotodetalle1.png,7113FotoDetalle2.jpg,7113Fotodetalle2.png,7113FotoDetalle3.jpg,7113Fotodetalle3.png,7113FotoDetalle4.jpg,7113Fotodetalle4.png,7113FotoDetalle6.jpg,7113Fotoproducto.png</t>
  </si>
  <si>
    <t>7114Fotoproducto0.png</t>
  </si>
  <si>
    <t>7114Fotodetalle0.jpg,7114Fotodetalle1.jpg,7114Fotodetalle2.jpg,7114Fotodetalle3.jpg</t>
  </si>
  <si>
    <t>7115Fotoproducto0.png</t>
  </si>
  <si>
    <t>7115Fotodetalle0.jpg,7115Fotodetalle1.jpg,7115Fotodetalle2.jpg,7115Fotodetalle3.jpg</t>
  </si>
  <si>
    <t>7116FotoProducto2.png</t>
  </si>
  <si>
    <t>7116FotoDetalle0.jpg, 7116FotoDetalle1.jpg, 7116FotoDetalle2.jpg, 7116FotoDetalle3.jpg, 7116FotoDetalle4.jpg</t>
  </si>
  <si>
    <t>7117Fotoproducto0.png</t>
  </si>
  <si>
    <t>7117Fotodetalle0.jpg,7117Fotodetalle1.jpg,7117Fotodetalle2.jpg,7117Fotodetalle3.jpg</t>
  </si>
  <si>
    <t>7118Fotoproducto0.png</t>
  </si>
  <si>
    <t>7118Fotodetalle0.jpg,7118Fotodetalle1.jpg,7118Fotodetalle2.jpg,7118Fotodetalle3.jpg</t>
  </si>
  <si>
    <t>7119Fotoproducto0.png</t>
  </si>
  <si>
    <t>7119Fotodetalle0.jpg,7119Fotodetalle1.jpg,7119Fotodetalle2.jpg,7119Fotodetalle3.jpg</t>
  </si>
  <si>
    <t>7120Fotoproducto0.png</t>
  </si>
  <si>
    <t>7120Fotodetalle0.jpg,7120Fotodetalle1.jpg,7120Fotodetalle2.jpg,7120Fotodetalle3.jpg</t>
  </si>
  <si>
    <t>7120FotoProducto1.png</t>
  </si>
  <si>
    <t>7120FotoDetalle0.jpg, 7120FotoDetalle1.jpg, 7120FotoDetalle2.jpg, 7120FotoDetalle3.jpg, 7120FotoDetalle4.jpg</t>
  </si>
  <si>
    <t>7121Fotoproducto0.png</t>
  </si>
  <si>
    <t>7121Fotodetalle0.jpg,7121Fotodetalle1.jpg,7121Fotodetalle2.jpg,7121Fotodetalle3.jpg</t>
  </si>
  <si>
    <t>7122Fotoproducto0.png</t>
  </si>
  <si>
    <t>7122Fotodetalle0.jpg,7122Fotodetalle1.jpg,7122Fotodetalle2.jpg,7122Fotodetalle3.jpg</t>
  </si>
  <si>
    <t>7123Fotoproducto0.png</t>
  </si>
  <si>
    <t>7123Fotodetalle0.jpg,7123Fotodetalle1.jpg,7123Fotodetalle2.jpg,7123Fotodetalle3.jpg</t>
  </si>
  <si>
    <t>7124Fotoproducto0.png</t>
  </si>
  <si>
    <t>7124Fotodetalle0.jpg,7124Fotodetalle1.jpg,7124Fotodetalle2.jpg,7124Fotodetalle3.jpg</t>
  </si>
  <si>
    <t>7125Fotoproducto0.png</t>
  </si>
  <si>
    <t>7125Fotodetalle0.jpg,7125Fotodetalle1.jpg,7125Fotodetalle2.jpg,7125Fotodetalle3.jpg</t>
  </si>
  <si>
    <t>7126Fotoproducto0.png</t>
  </si>
  <si>
    <t>7126Fotodetalle0.jpg,7126Fotodetalle1.jpg,7126Fotodetalle2.jpg,7126Fotodetalle3.jpg</t>
  </si>
  <si>
    <t>7127Fotoproducto0.png</t>
  </si>
  <si>
    <t>7127Fotodetalle0.jpg,7127Fotodetalle1.jpg,7127Fotodetalle2.jpg,7127Fotodetalle3.jpg</t>
  </si>
  <si>
    <t>7128Fotodetalle0.png</t>
  </si>
  <si>
    <t>Tiene fotos en Drive pero falta 7133Fotoproducto0.png.</t>
  </si>
  <si>
    <t>7133Fotoproducto0.png</t>
  </si>
  <si>
    <t>7133Fotodetalle0.jpg,7133Fotodetalle1.jpg,7133Fotodetalle2.jpg,7133Fotodetalle3.jpg</t>
  </si>
  <si>
    <t>7133-7134FotoDetalle0.jpg,7133-7134FotoDetalle1.jpg,7133-7134FotoDetalle2.jpg,7133-7134FotoDetalle3.jpg,7133-7134FotoDetalle4.jpg,7133-7134FotoDetalle5.jpg,7133-7134FotoDetalle6.jpg,7133-7134FotoDetalle7.jpg,7133-7134FotoDetalle8.jpg,7133-7134FotoDetalle9.jpg,7133-7134FotoDetalle10.jpg,7133-7134FotoDetalle11.jpg,7133-7134FotoDetalle12.jpg,7133-7134FotoProducto0.png,7133-7134FotoProducto1.png,7133-7134FotoProducto2.png,7133-7134FotoProducto4.png,7133-7134FotoProducto5.jpg,7133-7134FotoProducto6.jpg</t>
  </si>
  <si>
    <t>7134Fotoproducto0.png</t>
  </si>
  <si>
    <t>7134Fotodetalle0.jpg,7134Fotodetalle1.jpg,7134Fotodetalle2.jpg,7134Fotodetalle3.jpg</t>
  </si>
  <si>
    <t>7176Fotoproducto.png</t>
  </si>
  <si>
    <t>7176Fotoproducto.png, 7176Fotoproduco1.png, 7176Fotodetalle4.png, 7176Fotodetalle3.png</t>
  </si>
  <si>
    <t>7180Fotoproducto0.png</t>
  </si>
  <si>
    <t>7180Fotodetalle0.jpg,7180Fotodetalle1.jpg,7180Fotodetalle2.jpg,7180Fotodetalle3.jpg</t>
  </si>
  <si>
    <t>7180FotoDetalle0.jpg,7180FotoDetalle1.jpg,7180FotoDetalle2.jpg,7180FotoDetalle3.jpg,7180FotoDetalle4.jpg,7180FotoDetalle5.jpg,7180FotoDetalle6.jpeg,7180FotoDetalle7.jpg,7180FotoDetalle9.jpg,7180FotoDetalle10.jpg,7180FotoProducto1.png,7180FotoProducto2.png,7180FotoProducto3.png,7180FotoProducto4.png,7180FotoProducto5.png</t>
  </si>
  <si>
    <t>7179FotoDetalle0.jpg, 7179FotoDetalle1.jpg, 7179FotoDetalle10.jpg, 7179FotoDetalle2.jpg, 7179FotoDetalle3.jpg, 7179FotoDetalle4.jpg, 7179FotoDetalle5.jpg, 7179FotoDetalle9.jpg</t>
  </si>
  <si>
    <t>7179FotoDetalle0.jpg,7179FotoDetalle1.jpg,7179FotoDetalle2.jpg,7179FotoDetalle3.jpg,7179FotoDetalle4.jpg,7179FotoDetalle5.jpg,7179FotoDetalle9.jpg,7179FotoDetalle10.jpg,7179FotoProducto1.png,7179FotoProducto2.png,7179FotoProducto3.png,7179FotoProducto4.png,7179FotoProducto5.png</t>
  </si>
  <si>
    <t>7180FotoDetalle0.jpg, 7180FotoDetalle1.jpg, 7180FotoDetalle10.jpg, 7180FotoDetalle2.jpg, 7180FotoDetalle3.jpg, 7180FotoDetalle4.jpg, 7180FotoDetalle5.jpg, 7180FotoDetalle6.jpeg, 7180FotoDetalle7.jpg, 7180FotoDetalle9.jpg</t>
  </si>
  <si>
    <t>7181FotoDetalle0.jpg, 7181FotoDetalle1.jpg, 7181FotoDetalle10.jpg, 7181FotoDetalle2.jpg, 7181FotoDetalle3.jpg, 7181FotoDetalle4.jpg, 7181FotoDetalle5.jpg, 7181FotoDetalle6.jpeg, 7181FotoDetalle7.jpg, 7181FotoDetalle9.jpg</t>
  </si>
  <si>
    <t>7181FotoDetalle0.jpg,7181FotoDetalle1.jpg,7181FotoDetalle2.jpg,7181FotoDetalle3.jpg,7181FotoDetalle4.jpg,7181FotoDetalle5.jpg,7181FotoDetalle6.jpeg,7181FotoDetalle7.jpg,7181FotoDetalle9.jpg,7181FotoDetalle10.jpg,7181FotoProducto1.png,7181FotoProducto2.png,7181FotoProducto3.png,7181FotoProducto4.png,7181FotoProducto5.png</t>
  </si>
  <si>
    <t>7281FotoProducto4.png</t>
  </si>
  <si>
    <t>7281FotoDetalle0.jpg, 7281FotoDetalle1.jpg, 7281FotoDetalle10.jpg, 7281FotoDetalle2.jpg, 7281FotoDetalle3.jpg, 7281FotoDetalle4.jpg, 7281FotoDetalle5.jpg, 7281FotoDetalle9.jpg</t>
  </si>
  <si>
    <t>7281FotoDetalle0.jpg,7281FotoDetalle1.jpg,7281FotoDetalle2.jpg,7281FotoDetalle3.jpg,7281FotoDetalle4.jpg,7281FotoDetalle5.jpg,7281FotoDetalle9.jpg,7281FotoDetalle10.jpg,7281FotoProducto1.png,7281FotoProducto2.png,7281FotoProducto3.png,7281FotoProducto4.png,7281FotoProducto5.png</t>
  </si>
  <si>
    <t>7177FotoDetalle0.jpg,7177FotoDetalle1.jpg,7177FotoDetalle2.jpg,7177FotoDetalle3.jpg,7177FotoDetalle4.jpg,7177FotoDetalle5.jpg,7177FotoDetalle6.jpeg,7177FotoDetalle7.jpg,7177FotoDetalle9.jpg,7177FotoDetalle10 (2).jpg,7177FotoDetalle10.jpg,7177FotoProducto1.png,7177FotoProducto2.png,7177FotoProducto3.png,7177FotoProducto4.png,7177FotoProducto5.png</t>
  </si>
  <si>
    <t>7177FotoProducto4.png</t>
  </si>
  <si>
    <t>7177Fotodetalle0.jpg,7177Fotodetalle1.jpg,7177Fotodetalle2.jpg,7177Fotodetalle3.jpg</t>
  </si>
  <si>
    <t>7178FotoDetalle0.jpg, 7178FotoDetalle1.jpg, 7178FotoDetalle10.jpg, 7178FotoDetalle11.jpg, 7178FotoDetalle2.jpg, 7178FotoDetalle3.jpg, 7178FotoDetalle4.jpg, 7178FotoDetalle5.jpg, 7178FotoDetalle6.jpeg, 7178FotoDetalle7.jpg, 7178FotoDetalle9.jpg</t>
  </si>
  <si>
    <t>7178FotoDetalle0.jpg,7178FotoDetalle1.jpg,7178FotoDetalle2.jpg,7178FotoDetalle3.jpg,7178FotoDetalle4.jpg,7178FotoDetalle5.jpg,7178FotoDetalle6.jpeg,7178FotoDetalle7.jpg,7178FotoDetalle9.jpg,7178FotoDetalle10.jpg,7178FotoDetalle11.jpg,7178FotoProducto1.png,7178FotoProducto2.png,7178FotoProducto3.png,7178FotoProducto4.png,7178FotoProducto5.png</t>
  </si>
  <si>
    <t>7182FotoDetalle0.jpg, 7182FotoDetalle1.jpg, 7182FotoDetalle3.jpg, 7182FotoDetalle4.jpg, 7182FotoDetalle5.jpg, 7182FotoDetalle6.jpg, 7182FotoDetalle7.jpg, 7182FotoDetalle9.jpg</t>
  </si>
  <si>
    <t>7182FotoDetalle0.jpg,7182FotoDetalle1.jpg,7182FotoDetalle3.jpg,7182FotoDetalle4.jpg,7182FotoDetalle5.jpg,7182FotoDetalle6.jpg,7182FotoDetalle7.jpg,7182FotoDetalle9.jpg,7182FotoProducto1.png,7182FotoProducto2.png,7182FotoProducto3.png</t>
  </si>
  <si>
    <t>7183FotoDetalle0.jpg, 7183FotoDetalle1.jpg, 7183FotoDetalle10.jpg, 7183FotoDetalle3.jpg, 7183FotoDetalle4.jpg, 7183FotoDetalle6.jpg, 7183FotoDetalle8.jpg, 7183FotoDetalle9.jpg, 7183FotoDetalle9.jpg</t>
  </si>
  <si>
    <t>7183FotoDetalle0.jpg,7183FotoDetalle1.jpg,7183FotoDetalle3.jpg,7183FotoDetalle4.jpg,7183FotoDetalle6.jpg,7183FotoDetalle8.jpg,7183FotoDetalle9 (2).jpg,7183FotoDetalle9.jpg,7183FotoDetalle10.jpg,7183FotoProducto1.png,7183FotoProducto2.png,7183FotoProducto3.png,7183FotoProducto4.png</t>
  </si>
  <si>
    <t>7184FotoDetalle0.jpg, 7184FotoDetalle1.jpg, 7184FotoDetalle10.jpg, 7184FotoDetalle3.jpg, 7184FotoDetalle4.jpg, 7184FotoDetalle5.jpg, 7184FotoDetalle6.jpg, 7184FotoDetalle6.jpg, 7184FotoDetalle7.jpg, 7184FotoDetalle9.jpg</t>
  </si>
  <si>
    <t>7184FotoDetalle0.jpg,7184FotoDetalle1.jpg,7184FotoDetalle3.jpg,7184FotoDetalle4.jpg,7184FotoDetalle5.jpg,7184FotoDetalle6 (2).jpg,7184FotoDetalle6.jpg,7184FotoDetalle7.jpg,7184FotoDetalle9.jpg,7184FotoDetalle10.jpg,7184FotoProducto1.png,7184FotoProducto2.png,7184FotoProducto3.png</t>
  </si>
  <si>
    <t>7284FotoProducto3.png</t>
  </si>
  <si>
    <t>7284FotoDetalle0.jpg, 7284FotoDetalle1.jpg, 7284FotoDetalle3.jpg, 7284FotoDetalle4.jpg, 7284FotoDetalle5.jpg, 7284FotoDetalle6.jpg, 7284FotoDetalle7.jpg, 7284FotoDetalle9.jpg</t>
  </si>
  <si>
    <t>7284FotoDetalle0.jpg,7284FotoDetalle1.jpg,7284FotoDetalle3.jpg,7284FotoDetalle4.jpg,7284FotoDetalle5.jpg,7284FotoDetalle6.jpg,7284FotoDetalle7.jpg,7284FotoDetalle9.jpg,7284FotoProducto1.png,7284FotoProducto2.png,7284FotoProducto3.png</t>
  </si>
  <si>
    <t>7187FotoProducto4.png</t>
  </si>
  <si>
    <t>7187FotoDetalle0.jpg, 7187FotoDetalle1.jpg, 7187FotoDetalle2.jpg, 7187FotoDetalle3.jpg, 7187FotoDetalle5.jpg, 7187FotoDetalle6.jpg, 7187FotoDetalle7.jpg, 7187FotoDetalle9.jpg</t>
  </si>
  <si>
    <t>7187FotoDetalle0.jpg,7187FotoDetalle1.jpg,7187FotoDetalle2.jpg,7187FotoDetalle3.jpg,7187FotoDetalle5.jpg,7187FotoDetalle6.jpg,7187FotoDetalle7.jpg,7187FotoDetalle9.jpg,7187FotoProducto1.png,7187FotoProducto2.png,7187FotoProducto4.png</t>
  </si>
  <si>
    <t>7185-7186-7187-7188-7189-cad.dwg</t>
  </si>
  <si>
    <t>7188FotoProducto4.png</t>
  </si>
  <si>
    <t>7188FotoDetalle0.jpg, 7188FotoDetalle1.jpg, 7188FotoDetalle2.jpg, 7188FotoDetalle3.jpg, 7188FotoDetalle5.jpg, 7188FotoDetalle6.jpg, 7188FotoDetalle7.jpg, 7188FotoDetalle8.jpg, 7188FotoDetalle9.jpg</t>
  </si>
  <si>
    <t>7188.png,7188FotoDetalle0.jpg,7188FotoDetalle1.jpg,7188FotoDetalle2.jpg,7188FotoDetalle3.jpg,7188FotoDetalle5.jpg,7188FotoDetalle6.jpg,7188FotoDetalle7.jpg,7188FotoDetalle8.jpg,7188FotoDetalle9.jpg,7188FotoProducto1.png,7188FotoProducto3.png,7188FotoProducto4.png</t>
  </si>
  <si>
    <t>7189FotoProducto3.png</t>
  </si>
  <si>
    <t>7189FotoDetalle0.jpg, 7189FotoDetalle1.jpg, 7189FotoDetalle2.jpg, 7189FotoDetalle3.jpg, 7189FotoDetalle5.jpg, 7189FotoDetalle6.jpg, 7189FotoDetalle7.jpg, 7189FotoDetalle8.jpg, 7189FotoDetalle9.jpg</t>
  </si>
  <si>
    <t>7189.png,7189FotoDetalle0.jpg,7189FotoDetalle1.jpg,7189FotoDetalle2.jpg,7189FotoDetalle3.jpg,7189FotoDetalle5.jpg,7189FotoDetalle6.jpg,7189FotoDetalle7.jpg,7189FotoDetalle8.jpg,7189FotoDetalle9.jpg,7189FotoProducto1.png,7189FotoProducto3.png,7189FotoProducto4.png</t>
  </si>
  <si>
    <t>7289FotoProducto4.png</t>
  </si>
  <si>
    <t>7289FotoDetalle0.jpg, 7289FotoDetalle1.jpg, 7289FotoDetalle2.jpg, 7289FotoDetalle3.jpg, 7289FotoDetalle5.jpg, 7289FotoDetalle6.jpg, 7289FotoDetalle7.jpg, 7289FotoDetalle9.jpg</t>
  </si>
  <si>
    <t>7289FotoDetalle0.jpg,7289FotoDetalle1.jpg,7289FotoDetalle2.jpg,7289FotoDetalle3.jpg,7289FotoDetalle5.jpg,7289FotoDetalle6.jpg,7289FotoDetalle7.jpg,7289FotoDetalle9.jpg,7289FotoProducto1.png,7289FotoProducto2.png,7289FotoProducto4.png</t>
  </si>
  <si>
    <t>7185FotoProducto4.png</t>
  </si>
  <si>
    <t>7185FotoDetalle0.jpg, 7185FotoDetalle1.jpg, 7185FotoDetalle2.jpg, 7185FotoDetalle3.jpg, 7185FotoDetalle5.jpg, 7185FotoDetalle6.jpg, 7185FotoDetalle7.jpg, 7185FotoDetalle8.jpg, 7185FotoDetalle9.jpg</t>
  </si>
  <si>
    <t>7185.png,7185FotoDetalle0.jpg,7185FotoDetalle1.jpg,7185FotoDetalle2.jpg,7185FotoDetalle3.jpg,7185FotoDetalle5.jpg,7185FotoDetalle6.jpg,7185FotoDetalle7.jpg,7185FotoDetalle8.jpg,7185FotoDetalle9.jpg,7185FotoProducto1.png,7185FotoProducto3.png,7185FotoProducto4.png</t>
  </si>
  <si>
    <t>7201Fotoproducto0.png</t>
  </si>
  <si>
    <t>7201Fotodetalle0.jpg,7201Fotodetalle1.jpg,7201Fotodetalle2.jpg,7201Fotodetalle3.jpg</t>
  </si>
  <si>
    <t>7201.png,7201FotoDetalle0.jpg,7201FotoDetalle7.jpg,7201FotoDetalle11.jpg,7201FotoDetalle12.jpg,7201FotoDetalle13.jpg,7201FotoDetalle14.jpg,7201FotoProducto1.jpg,7201FotoProducto2.png,7201FotoProducto3.jpg,7201FotoProducto4.jpg,7201FotoProducto8.jpg</t>
  </si>
  <si>
    <t>7201FotoDetalle0.jpg, 7201FotoDetalle11.jpg, 7201FotoDetalle12.jpg, 7201FotoDetalle13.jpg, 7201FotoDetalle14.jpg, 7201FotoDetalle7.jpg</t>
  </si>
  <si>
    <t>7202FotoDetalle0.jpg, 7202FotoDetalle11.jpg, 7202FotoDetalle12.jpg, 7202FotoDetalle13.jpg, 7202FotoDetalle14.jpg, 7202FotoDetalle7.jpg</t>
  </si>
  <si>
    <t>7202.png,7202FotoDetalle0.jpg,7202FotoDetalle7.jpg,7202FotoDetalle11.jpg,7202FotoDetalle12.jpg,7202FotoDetalle13.jpg,7202FotoDetalle14.jpg,7202FotoProducto1.jpg,7202FotoProducto2.jpg,7202FotoProducto3.png,7202FotoProducto4.jpg,7202FotoProducto5.jpg</t>
  </si>
  <si>
    <t>7203Fotoproducto0.png</t>
  </si>
  <si>
    <t>7203Fotodetalle0.jpg,7203Fotodetalle1.jpg,7203Fotodetalle2.jpg,7203Fotodetalle3.jpg</t>
  </si>
  <si>
    <t>7203.png,7203FotoDetalle4.jpg,7203FotoDetalle6.jpg,7203FotoDetalle8.jpg,7203FotoDetalle9.jpg,7203FotoDetalle10.jpg,7203FotoDetalle15.jpg,7203FotoDetalle19.jpg,7203FotoProducto0.jpg,7203FotoProducto4.png,7203FotoProducto5.jpg</t>
  </si>
  <si>
    <t>7203FotoProducto7.png</t>
  </si>
  <si>
    <t>7203FotoDetalle10.jpg, 7203FotoDetalle15.jpg, 7203FotoDetalle19.jpg, 7203FotoDetalle4.jpg, 7203FotoDetalle6.jpg, 7203FotoDetalle8.jpg, 7203FotoDetalle9.jpg</t>
  </si>
  <si>
    <t>7204FotoProducto4.png</t>
  </si>
  <si>
    <t>7204FotoDetalle10.jpg, 7204FotoDetalle15.jpg, 7204FotoDetalle19.jpg, 7204FotoDetalle4.jpg, 7204FotoDetalle4.jpg, 7204FotoDetalle8.jpg, 7204FotoDetalle9.jpg</t>
  </si>
  <si>
    <t>7204.png,7204FotoDetalle4 (2).jpg,7204FotoDetalle4.jpg,7204FotoDetalle8.jpg,7204FotoDetalle9.jpg,7204FotoDetalle10.jpg,7204FotoDetalle15.jpg,7204FotoDetalle19.jpg,7204FotoProducto0.jpg,7204FotoProducto4.png,7204FotoProducto5.jpg</t>
  </si>
  <si>
    <t>7205Fotoproducto0.png</t>
  </si>
  <si>
    <t>7205FotoDetalle16.jpg, 7205FotoDetalle20.jpg, 7205FotoDetalle5.jpg, 7205FotoDetalle6.jpg</t>
  </si>
  <si>
    <t>7206FotoDetalle16.jpg, 7206FotoDetalle20.jpg, 7206FotoDetalle5.jpg, 7206FotoDetalle6.jpg</t>
  </si>
  <si>
    <t>7211Fotodetalle0.jpg,7211Fotodetalle1.jpg,7211Fotodetalle2.jpg,7211Fotodetalle3.jpg,7211Fotodetalle4.jpg,7211Fotodetalle5.jpg,7211Fotodetalle6.jpg,7211Fotodetalle7.jpg,7211Fotodetalle8.jpg,7211Fotodetalle9.jpg,7211Fotodetalle10.jpg,7211Fotoproducto0.jpg,7211Fotoproducto1.jpg,7211Fotoproducto1.png,7211Fotoproducto2.jpg,7211Fotoproducto2.png,7211Fotoproducto3.jpg,7211Fotoproducto4.jpg,7211Fotoproducto5.jpg,7211Fotoproducto6.jpg</t>
  </si>
  <si>
    <t>7060Fotoproducto.png</t>
  </si>
  <si>
    <t>7060Fotodetalle0.jpg,7060Fotodetalle1.jpg,7060Fotodetalle2.jpg,7060Fotodetalle3.jpg</t>
  </si>
  <si>
    <t>7213Fotodetalle0.jpg,7213Fotodetalle1.jpg,7213Fotodetalle2.jpg,7213Fotodetalle3.jpg,7213Fotodetalle4.jpg,7213Fotodetalle5.jpg,7213Fotodetalle6.jpg,7213Fotodetalle7.jpg,7213Fotodetalle8.jpg,7213Fotodetalle9.jpg,7213Fotodetalle10.jpg,7213Fotoproducto0.jpg,7213Fotoproducto1.jpg,7213Fotoproducto1.png,7213Fotoproducto2.jpg,7213Fotoproducto2.png,7213Fotoproducto3.jpg,7213Fotoproducto4.jpg,7213Fotoproducto5.jpg,7213Fotoproducto6.jpg</t>
  </si>
  <si>
    <t>7215FotoDetalle4.png</t>
  </si>
  <si>
    <t>7216FotoProducto1.png</t>
  </si>
  <si>
    <t>7216FotoDetalle0.jpg, 7216FotoDetalle1.jpg, 7216FotoDetalle2.jpg</t>
  </si>
  <si>
    <t>7217FotoDetalle0.jpg, 7217FotoDetalle1.jpg, 7217FotoDetalle2.jpg</t>
  </si>
  <si>
    <t>7220Fotoproducto0.png</t>
  </si>
  <si>
    <t>7220Fotodetalle0.jpg,7220Fotodetalle1.jpg,7220Fotodetalle2.jpg,7220Fotodetalle3.jpg</t>
  </si>
  <si>
    <t>7221Fotoproducto0.png</t>
  </si>
  <si>
    <t>7221Fotodetalle0.jpg,7221Fotodetalle1.jpg,7221Fotodetalle2.jpg,7221Fotodetalle3.jpg</t>
  </si>
  <si>
    <t>7222Fotoproducto0.png</t>
  </si>
  <si>
    <t>7222Fotodetalle0.jpg,7222Fotodetalle1.jpg,7222Fotodetalle2.jpg,7222Fotodetalle3.jpg</t>
  </si>
  <si>
    <t>7223Fotoproducto0.png</t>
  </si>
  <si>
    <t>7223Fotodetalle0.jpg,7223Fotodetalle1.jpg,7223Fotodetalle2.jpg,7223Fotodetalle3.jpg</t>
  </si>
  <si>
    <t>7224Fotoproducto0.png</t>
  </si>
  <si>
    <t>7224Fotodetalle0.jpg,7224Fotodetalle1.jpg,7224Fotodetalle2.jpg,7224Fotodetalle3.jpg</t>
  </si>
  <si>
    <t>7225Fotoproducto0.png</t>
  </si>
  <si>
    <t>7225Fotodetalle0.jpg,7225Fotodetalle1.jpg,7225Fotodetalle2.jpg,7225Fotodetalle3.jpg</t>
  </si>
  <si>
    <t>7226Fotoproducto0.png</t>
  </si>
  <si>
    <t>7226Fotodetalle0.jpg,7226Fotodetalle1.jpg,7226Fotodetalle2.jpg,7226Fotodetalle3.jpg</t>
  </si>
  <si>
    <t>7227Fotoproducto0.png</t>
  </si>
  <si>
    <t>7227Fotodetalle0.jpg,7227Fotodetalle1.jpg,7227Fotodetalle2.jpg,7227Fotodetalle3.jpg</t>
  </si>
  <si>
    <t>7228Fotoproducto0.png</t>
  </si>
  <si>
    <t>7228Fotodetalle0.jpg,7228Fotodetalle1.jpg,7228Fotodetalle2.jpg,7228Fotodetalle3.jpg</t>
  </si>
  <si>
    <t>6589FotoProducto0</t>
  </si>
  <si>
    <t>6588FotoProducto0</t>
  </si>
  <si>
    <t>7238Fotoproducto0.png</t>
  </si>
  <si>
    <t>7238Fotodetalle0.jpg,7238Fotodetalle1.jpg,7238Fotodetalle2.jpg,7238Fotodetalle3.jpg</t>
  </si>
  <si>
    <t>7239Fotoproducto0.png</t>
  </si>
  <si>
    <t>7239Fotodetalle0.jpg,7239Fotodetalle1.jpg,7239Fotodetalle2.jpg,7239Fotodetalle3.jpg</t>
  </si>
  <si>
    <t>7248FotoDetalle0.jpg</t>
  </si>
  <si>
    <t>7249FotoDetalle0.jpg</t>
  </si>
  <si>
    <t>7250FotoDetalle0.png</t>
  </si>
  <si>
    <t>7251FotoDetalle0.png</t>
  </si>
  <si>
    <t>7252FotoDetalle0.png</t>
  </si>
  <si>
    <t>7253FotoProducto1.png</t>
  </si>
  <si>
    <t>7253FotoDetalle0.png</t>
  </si>
  <si>
    <t>7253FotoDetalle2.jpg,7253FotoDetalle3.jpg,7253FotoDetalle4.jpg,7253FotoDetalle5.jpg,7253FotoDetalle6.jpg,7253FotoDetalle7.jpg,7253FotoDetalle8.jpg,7253FotoDetalle9.jpg,7253FotoDetalle10.jpg,7253FotoDetalle11.jpg,7253FotoDetalle12.jpg,7253FotoDetalle13.jpg,7253FotoProducto1.png,7253FotoProducto2.png</t>
  </si>
  <si>
    <t>7186FotoProducto3.png</t>
  </si>
  <si>
    <t>7186FotoDetalle0.jpg, 7186FotoDetalle1.jpg, 7186FotoDetalle2.jpg, 7186FotoDetalle3.jpg, 7186FotoDetalle5.jpg, 7186FotoDetalle6.jpg, 7186FotoDetalle7.jpg, 7186FotoDetalle8.jpg, 7186FotoDetalle9.jpg</t>
  </si>
  <si>
    <t>7186.png,7186FotoDetalle0.jpg,7186FotoDetalle1.jpg,7186FotoDetalle2.jpg,7186FotoDetalle3.jpg,7186FotoDetalle5.jpg,7186FotoDetalle6.jpg,7186FotoDetalle7.jpg,7186FotoDetalle8.jpg,7186FotoDetalle9.jpg,7186FotoProducto1.png,7186FotoProducto3.png,7186FotoProducto4.png</t>
  </si>
  <si>
    <t>7192FotoProducto4.png</t>
  </si>
  <si>
    <t>7192FotoDetalle0.jpg, 7192FotoDetalle1.jpg, 7192FotoDetalle2.jpg, 7192FotoDetalle4.jpg, 7192FotoDetalle5.jpg, 7192FotoDetalle5.jpg</t>
  </si>
  <si>
    <t>7190-7191-7192-7193-7194-cad.dwg</t>
  </si>
  <si>
    <t>7193FotoProducto1.png</t>
  </si>
  <si>
    <t>7193FotoDetalle0.jpg, 7193FotoDetalle1.jpg, 7193FotoDetalle2.jpg, 7193FotoDetalle3.jpg, 7193FotoDetalle4.jpg, 7193FotoDetalle5.jpg, 7193FotoDetalle7.jpg, 7193FotoDetalle8.jpg, 7193FotoDetalle8.jpg, 7193FotoDetalle9.jpg</t>
  </si>
  <si>
    <t>7193.png,7193FotoDetalle0.jpg,7193FotoDetalle1.jpg,7193FotoDetalle2.jpg,7193FotoDetalle3.jpg,7193FotoDetalle4.jpg,7193FotoDetalle5.jpg,7193FotoDetalle7.jpg,7193FotoDetalle8 (2).jpg,7193FotoDetalle8.jpg,7193FotoDetalle9.jpg,7193FotoProducto1.png,7193FotoProducto3.png,7193FotoProducto4.png</t>
  </si>
  <si>
    <t>7194FotoProducto3.png</t>
  </si>
  <si>
    <t>7194FotoDetalle0.jpg, 7194FotoDetalle1.jpg, 7194FotoDetalle2.jpg, 7194FotoDetalle3.jpg, 7194FotoDetalle4.jpg, 7194FotoDetalle5.jpg, 7194FotoDetalle7.jpg, 7194FotoDetalle8.jpg, 7194FotoDetalle8.jpg, 7194FotoDetalle9.jpg</t>
  </si>
  <si>
    <t>7194.png,7194FotoDetalle0.jpg,7194FotoDetalle1.jpg,7194FotoDetalle2.jpg,7194FotoDetalle3.jpg,7194FotoDetalle4.jpg,7194FotoDetalle5.jpg,7194FotoDetalle7.jpg,7194FotoDetalle8 (2).jpg,7194FotoDetalle8.jpg,7194FotoDetalle9.jpg,7194FotoProducto1.png,7194FotoProducto3.png,7194FotoProducto4.png</t>
  </si>
  <si>
    <t>7294FotoProducto4.png</t>
  </si>
  <si>
    <t>7294FotoDetalle0.jpg, 7294FotoDetalle1.jpg, 7294FotoDetalle2.jpg, 7294FotoDetalle3.jpg, 7294FotoDetalle4.jpg, 7294FotoDetalle5.jpg</t>
  </si>
  <si>
    <t>7295FotoDetalle0.jpg</t>
  </si>
  <si>
    <t>7296FotoDetalle0.jpg</t>
  </si>
  <si>
    <t>7190FotoProducto4.png</t>
  </si>
  <si>
    <t>7190FotoDetalle0.jpg, 7190FotoDetalle1.jpg, 7190FotoDetalle2.jpg, 7190FotoDetalle3.jpg, 7190FotoDetalle4.jpg, 7190FotoDetalle5.jpg, 7190FotoDetalle7.jpg, 7190FotoDetalle8.jpg, 7190FotoDetalle9.jpg, 7190FotoDetalle9.jpg</t>
  </si>
  <si>
    <t>7190.png,7190FotoDetalle0.jpg,7190FotoDetalle1.jpg,7190FotoDetalle2.jpg,7190FotoDetalle3.jpg,7190FotoDetalle4.jpg,7190FotoDetalle5.jpg,7190FotoDetalle7.jpg,7190FotoDetalle8.jpg,7190FotoDetalle9 (2).jpg,7190FotoDetalle9.jpg,7190FotoProducto1.png,7190FotoProducto3.png,7190FotoProducto4.png</t>
  </si>
  <si>
    <t>7191FotoProducto3.png</t>
  </si>
  <si>
    <t>7191FotoDetalle0.jpg, 7191FotoDetalle1.jpg, 7191FotoDetalle2.jpg, 7191FotoDetalle3.jpg, 7191FotoDetalle4.jpg, 7191FotoDetalle5.jpg, 7191FotoDetalle7.jpg, 7191FotoDetalle8.jpg, 7191FotoDetalle9.jpg, 7191FotoDetalle9.jpg</t>
  </si>
  <si>
    <t>7191.png,7191FotoDetalle0.jpg,7191FotoDetalle1.jpg,7191FotoDetalle2.jpg,7191FotoDetalle3.jpg,7191FotoDetalle4.jpg,7191FotoDetalle5.jpg,7191FotoDetalle7.jpg,7191FotoDetalle8.jpg,7191FotoDetalle9 (2).jpg,7191FotoDetalle9.jpg,7191FotoProducto1.png,7191FotoProducto3.png,7191FotoProducto4.png</t>
  </si>
  <si>
    <t>7292FotoDetalle0.jpg</t>
  </si>
  <si>
    <t>7293FotoDetalle0.jpg</t>
  </si>
  <si>
    <t>7195Fotoproducto0.png</t>
  </si>
  <si>
    <t>7195Fotodetalle0.jpg,7195Fotodetalle1.jpg,7195Fotodetalle2.jpg,7195Fotodetalle3.jpg</t>
  </si>
  <si>
    <t>7195-7196-7197-cad.dwg</t>
  </si>
  <si>
    <t>7195FotoDetalle0.jpg, 7195FotoDetalle1.jpg, 7195FotoDetalle2.jpg, 7195FotoDetalle3.jpg, 7195FotoDetalle4.jpg</t>
  </si>
  <si>
    <t>7196FotoDetalle0.jpg, 7196FotoDetalle1.jpg, 7196FotoDetalle3.jpg, 7196FotoDetalle3.jpg, 7196FotoDetalle4.jpg, 7196FotoDetalle5.jpg, 7196FotoDetalle6.jpg</t>
  </si>
  <si>
    <t>7196FotoDetalle0.jpg,7196FotoDetalle1.jpg,7196FotoDetalle3 (2).jpg,7196FotoDetalle3.jpg,7196FotoDetalle4.jpg,7196FotoDetalle5.jpg,7196FotoDetalle6.jpg,7196Fotoproducto1.jpg,7196FotoProducto1.png,7196FotoProducto2.png,7196FotoProducto3.jpg,7196Fotoproducto3.png</t>
  </si>
  <si>
    <t>7197FotoProducto3.png</t>
  </si>
  <si>
    <t>7197FotoDetalle0.jpg, 7197FotoDetalle1.jpg, 7197FotoDetalle3.jpg, 7197FotoDetalle4.jpg, 7197FotoDetalle5.jpg, 7197FotoDetalle6.jpg, 7197FotoDetalle9.jpg</t>
  </si>
  <si>
    <t>7197.png,7197FotoDetalle0.jpg,7197FotoDetalle1.jpg,7197FotoDetalle3.jpg,7197FotoDetalle4.jpg,7197FotoDetalle5.jpg,7197FotoDetalle6.jpg,7197FotoDetalle9.jpg,7197Fotoproducto1.jpg,7197Fotoproducto2.png,7197FotoProducto3.png,7197FotoProducto4.jpg</t>
  </si>
  <si>
    <t>7297FotoDetalle0.jpg, 7297FotoDetalle1.jpg, 7297FotoDetalle2.jpg, 7297FotoDetalle3.jpg, 7297FotoDetalle4.jpg</t>
  </si>
  <si>
    <t>7298-7299FotoProducto.png</t>
  </si>
  <si>
    <t>7198FotoDetalle0.jpg, 7198FotoDetalle1.jpg, 7198FotoDetalle2.jpg, 7198FotoDetalle3.jpg, 7198FotoDetalle7.jpg, 7198FotoDetalle8.jpg</t>
  </si>
  <si>
    <t>7198-7199-7200-cad.dwg</t>
  </si>
  <si>
    <t>7199FotoProducto0 - copia.png</t>
  </si>
  <si>
    <t>7199FotoDetalle0.jpg, 7199FotoDetalle1.jpg, 7199FotoDetalle17.jpg, 7199FotoDetalle2.jpg, 7199FotoDetalle3.jpg, 7199FotoDetalle5.jpg, 7199FotoDetalle6.jpg, 7199FotoDetalle9.jpg</t>
  </si>
  <si>
    <t>7199FotoDetalle0.jpg,7199FotoDetalle1.jpg,7199FotoDetalle2.jpg,7199FotoDetalle3.jpg,7199FotoDetalle5.jpg,7199FotoDetalle6.jpg,7199FotoDetalle9.jpg,7199FotoDetalle17.jpg,7199FotoProducto0 - copia.png,7199FotoProducto1.png,7199FotoProducto2.png,7199Fotoproducto3.jpg,7199Fotoproducto4.png,7199Fotoproducto6.jpg</t>
  </si>
  <si>
    <t>7200Fotoproducto4.png</t>
  </si>
  <si>
    <t>7200FotoDetalle0.jpg, 7200FotoDetalle1.jpg, 7200FotoDetalle10.jpg, 7200FotoDetalle2.jpg, 7200FotoDetalle3.jpg, 7200FotoDetalle5.jpg, 7200FotoDetalle6.jpg, 7200FotoDetalle7.jpg</t>
  </si>
  <si>
    <t>7200.png,7200FotoDetalle0.jpg,7200FotoDetalle1.jpg,7200FotoDetalle2.jpg,7200FotoDetalle3.jpg,7200FotoDetalle5.jpg,7200FotoDetalle6.jpg,7200FotoDetalle7.jpg,7200FotoDetalle10.jpg,7200FotoProducto2.jpg,7200Fotoproducto3.jpg,7200Fotoproducto4.png</t>
  </si>
  <si>
    <t>7300FotoDetalle0.jpg, 7300FotoDetalle1.jpg, 7300FotoDetalle2.jpg, 7300FotoDetalle3.jpg, 7300FotoDetalle7.jpg, 7300FotoDetalle8.jpg</t>
  </si>
  <si>
    <t>7301-7302FotoProducto.png</t>
  </si>
  <si>
    <t>7229FotoProducto0.png</t>
  </si>
  <si>
    <t>7229FotoProducto1.png</t>
  </si>
  <si>
    <t>7230FotoProducto0.png</t>
  </si>
  <si>
    <t>7230FotoProducto 0.png</t>
  </si>
  <si>
    <t>7231FotoProducto0.png</t>
  </si>
  <si>
    <t>7231FotoProducto0 (2).png</t>
  </si>
  <si>
    <t>Tiene fotos en Drive pero falta 7232Fotoproducto0.png.</t>
  </si>
  <si>
    <t>02/10/2026 17:51:40</t>
  </si>
  <si>
    <t>26</t>
  </si>
  <si>
    <t>Modo prueba: no se escribió en Base. En modo real se FRENARÍA: 247 celdas a vaciar superan el máximo de 100 (para una corrida revisada, usar PERMITIR_BORRADO_MASIVO). Filas revisadas: 795 | Filas con cambios: 788 | Celdas cambiadas: 1230 | Celdas vaciadas: 247 | Filas sin Fotoproducto0.png: 23 | Archivos sin asignar: 109</t>
  </si>
  <si>
    <t>Drive: 9328 carpetas y 35550 archivos listados; 4940 archivos dentro de la carpeta de archivos técnicos (3829 fotos asignadas, 255 CAD asignados, 106 fotocontexto excluidas, 0 imágenes de otras columnas, 109 sin asignar).</t>
  </si>
  <si>
    <t>6742-6743-6744-6745FotoProducto0.png</t>
  </si>
  <si>
    <t>6742-6743-6744-6745FotoDetalle0.png,6742-6743-6744-6745FotoDetalle1.jpg,6742-6743-6744-6745FotoDetalle2.jpg,6742-6743-6744-6745FotoDetalle3.png,6742-6743-6744-6745FotoProducto2.png,6742-6743-6744-6745FotoProducto3.png</t>
  </si>
  <si>
    <t>6746-6747-6748-6749FotoProducto0.png</t>
  </si>
  <si>
    <t>6746-6747-6748-6749FotoDetalle0.jpg,6746-6747-6748-6749FotoDetalle1.jpg,6746-6747-6748-6749FotoDetalle2.png,6746-6747-6748-6749FotoDetalle3.jpg,6746-6747-6748-6749FotoProducto1.png</t>
  </si>
  <si>
    <t>6750-6813-6814-6815FotoProducto0.png</t>
  </si>
  <si>
    <t>6750-6813-6814-6815FotoDetalle0.jpg,6750-6813-6814-6815FotoDetalle1.png,6750-6813-6814-6815FotoDetalle2.jpg,6750-6813-6814-6815FotoDetalle3.jpg,6750-6813-6814-6815FotoProducto1.png</t>
  </si>
  <si>
    <t>6760-6820FotoDetalle0.png,6760-6820FotoDetalle1.jpg,6760-6820FotoDetalle3.png,6760-6820FotoDetalle5.png,6760-6820FotoDetalle7.png,6760-6820FotoDetalle8.png,6760-6820FotoProducto2.png,6760-6820FotoProducto3.png,6760-6820FotoProducto4.png,6760-6820FotoProducto5.png,6760-6820FotoProducto6.png,6760-6820FotoProducto7.png</t>
  </si>
  <si>
    <t>7133-7134FotoDetalle0.jpg,7133-7134FotoDetalle1.jpg,7133-7134FotoDetalle2.jpg,7133-7134FotoDetalle3.jpg,7133-7134FotoDetalle4.jpg,7133-7134FotoDetalle5.jpg,7133-7134FotoDetalle6.jpg,7133-7134FotoDetalle7.jpg,7133-7134FotoDetalle8.jpg,7133-7134FotoDetalle9.jpg,7133-7134FotoDetalle10.jpg,7133-7134FotoDetalle11.jpg,7133-7134FotoDetalle12.jpg,7133-7134FotoProducto1.png,7133-7134FotoProducto2.png,7133-7134FotoProducto4.png,7133-7134FotoProducto5.jpg,7133-7134FotoProducto6.jpg</t>
  </si>
  <si>
    <t>7232FotoProducto 0.png,7232FotoProducto0 (1).png</t>
  </si>
  <si>
    <t>02/10/2026 18:07:25</t>
  </si>
  <si>
    <t>28</t>
  </si>
  <si>
    <t>Cambios aplicados en Base. Filas revisadas: 795 | Filas con cambios: 788 | Celdas cambiadas: 1230 | Celdas vaciadas: 247 | Filas sin Fotoproducto0.png: 23 | Archivos sin asignar: 109</t>
  </si>
  <si>
    <t>BORRADO</t>
  </si>
  <si>
    <t>05/10/2026 18:06:57</t>
  </si>
  <si>
    <t>34</t>
  </si>
  <si>
    <t>Cambios aplicados en Base. Filas revisadas: 795 | Filas con cambios: 44 | Celdas con cambio de nombre: 15 | Celdas donde solo se puso o corrigió el link: 75 | Celdas vaciadas: 0 | Galerías recortadas a 10: 130 | Filas sin Fotoproducto0.png: 23 | Archivos sin asignar: 109</t>
  </si>
  <si>
    <t>Drive: 9328 carpetas y 35552 archivos listados; 4940 archivos dentro de la carpeta de archivos técnicos (3829 fotos asignadas, 255 CAD asignados, 106 fotocontexto excluidas, 0 imágenes de otras columnas, 109 sin asignar).</t>
  </si>
  <si>
    <t>130 filas tienen más de 10 fotos en Drive: en Galería quedan solo las primeras 10.</t>
  </si>
  <si>
    <t>05/10/2026 18:59:03</t>
  </si>
  <si>
    <t>36</t>
  </si>
  <si>
    <t>Cambios aplicados en Base. Filas revisadas: 795 | Filas con cambios: 641 | Celdas con cambio de nombre: 0 | Celdas donde solo se puso o corrigió el link: 0 | Celdas vaciadas: 0 | Galerías recortadas a 10: 130 | Fichas técnicas pasadas a chip: 641 | Filas con ficha sin PDF en Drive: 147 | Filas sin Fotoproducto0.png: 23 | Archivos sin asignar: 109</t>
  </si>
  <si>
    <t>Drive: 9328 carpetas y 35552 archivos listados; 4659 imágenes y CAD dentro de la carpeta de archivos técnicos (3829 fotos asignadas, 255 CAD asignados, 106 fotocontexto excluidas, 0 imágenes de otras columnas, 109 sin asignar) y 205 fichas técnicas en PDF.</t>
  </si>
  <si>
    <t>Ficha técnica como chip de Drive.</t>
  </si>
  <si>
    <t>No hay en Drive un PDF de ficha técnica para RIELES 1EF (se busca Ficha Técnica - RIELES 1EF.pdf dentro de una carpeta Ficha Técnica). La celda queda como texto.</t>
  </si>
  <si>
    <t>No hay en Drive un PDF de ficha técnica para RIELES 3EF (se busca Ficha Técnica - RIELES 3EF.pdf dentro de una carpeta Ficha Técnica). La celda queda como texto.</t>
  </si>
  <si>
    <t>No hay en Drive un PDF de ficha técnica para BIZ (se busca Ficha Técnica - BIZ.pdf dentro de una carpeta Ficha Técnica). La celda queda como texto.</t>
  </si>
  <si>
    <t>No hay en Drive un PDF de ficha técnica para TULA (se busca Ficha Técnica - TULA.pdf dentro de una carpeta Ficha Técnica). La celda queda como texto.</t>
  </si>
  <si>
    <t>No hay en Drive un PDF de ficha técnica para DYNA VACIO (se busca Ficha Técnica - DYNA VACIO.pdf dentro de una carpeta Ficha Técnica). La celda queda como texto.</t>
  </si>
  <si>
    <t>No hay en Drive un PDF de ficha técnica para MINI SPOT OPTIC (se busca Ficha Técnica - MINI SPOT OPTIC.pdf dentro de una carpeta Ficha Técnica). La celda queda como texto.</t>
  </si>
  <si>
    <t>No hay en Drive un PDF de ficha técnica para FOCO AR111 (se busca Ficha Técnica - FOCO AR111.pdf dentro de una carpeta Ficha Técnica). La celda queda como texto.</t>
  </si>
  <si>
    <t>No hay en Drive un PDF de ficha técnica para SINTRA 2700 (se busca Ficha Técnica - SINTRA 2700.pdf dentro de una carpeta Ficha Técnica). La celda queda como texto.</t>
  </si>
  <si>
    <t>No hay en Drive un PDF de ficha técnica para YORK 2700 (se busca Ficha Técnica - YORK 2700.pdf dentro de una carpeta Ficha Técnica). La celda queda como texto.</t>
  </si>
  <si>
    <t>No hay en Drive un PDF de ficha técnica para RIELES 2EF 2NEUTROS (se busca Ficha Técnica - RIELES 2EF 2NEUTROS.pdf dentro de una carpeta Ficha Técnica). La celda queda como texto.</t>
  </si>
  <si>
    <t>No hay en Drive un PDF de ficha técnica para PIETRO (se busca Ficha Técnica - PIETRO.pdf dentro de una carpeta Ficha Técnica). La celda queda como texto.</t>
  </si>
  <si>
    <t>No hay en Drive un PDF de ficha técnica para ARKANSAS (se busca Ficha Técnica - ARKANSAS.pdf dentro de una carpeta Ficha Técnica). La celda queda como texto.</t>
  </si>
  <si>
    <t>No hay en Drive un PDF de ficha técnica para HOKA 3EF (se busca Ficha Técnica - HOKA 3EF.pdf dentro de una carpeta Ficha Técnica). La celda queda como texto.</t>
  </si>
  <si>
    <t>No hay en Drive un PDF de ficha técnica para MIRACLE II (se busca Ficha Técnica - MIRACLE II.pdf dentro de una carpeta Ficha Técnica). La celda queda como texto.</t>
  </si>
  <si>
    <t>43 fichas en PDF de Drive no corresponden a ningún nombre de Base: Ficha Técnica - SYMME I.pdf | Ficha Técnica- Perfil Tula.pdf | Ficha Técnica - RIEL 3 EF.pdf | Ficha Técnica -  RIEL 1 EF.pdf | Ficha Técnica - PIETRO S.pdf | Ficha Técnica - MIRACLE II S.pdf | Ficha técnica - OPTIC.pdf | Ficha Técnica - HOKA.pdf | Ficha Técnica - AR111.pdf | Ficha técnica - BIZ UNIVERSAL.pdf | Ficha Técnica - ARKANSAS-3.pdf | Ficha Técnica - EXO I.pdf | Ficha técnica - AMFID II.pdf | Ficha Técnica - LEX II.pdf | Ficha Técnica - EXO II.pdf | Ficha técnica - AMFID I.pdf | Ficha Técnica - SINTRA Lote 20250710.pdf | Ficha Técnica - SINTRA BL 2700K Lote 20250710.pdf | Ficha Técnica - YORK 2700K Lote 20250710.pdf | Ficha Técnica - SINTRA SQ 2700K.pdf | Ficha Técnica - SINTRA 2700K.pdf | Ficha Técnica - YORK 2700K.pdf | Ficha Técnica - YORK MD Lote 20250710.pdf | Ficha Técnica - PRISMA IP 44.pdf | Ficha Técnica - YETI.pdf | Ficha Técnica - FRANKY.pdf | Ficha Técnica - PODI.pdf | Ficha Técnica - FANARI.pdf | Ficha Técnica - IMIKY.pdf | Ficha Técnica - WARI.pdf | Ficha Técnica - Aplique Lampy.pdf | Ficha Técnica - GAL.pdf | Ficha Técnica - STAR.pdf | Ficha Técnica - NIS.pdf | Ficha Técnica - LEN .pdf | Ficha Técnica - INDU.pdf | Ficha Técnica - YASAS.pdf | Ficha Técnica - CONDA.pdf | Ficha Técnica - SINTRA S.pdf | Ficha Técnica - YORK S.pdf | Ficha Técnica - LINUX.pdf | Ficha Técnica - DOCHEIO.pdf | Ficha Técnica - KATHASY.pdf</t>
  </si>
  <si>
    <t>05/10/2026 19:31:09</t>
  </si>
  <si>
    <t>38</t>
  </si>
  <si>
    <t>Cambios aplicados en Base. Filas revisadas: 795 | Filas con cambios: 496 | Celdas con cambio de nombre: 89 | Celdas donde solo se puso o corrigió el link: 300 | Celdas vaciadas: 107 | Galerías recortadas a 10: 130 | Fichas técnicas pasadas a chip: 0 | Filas con ficha sin PDF en Drive: 147 | LDT sin asignar: 1 | Filas sin Fotoproducto0.png: 23 | Archivos sin asignar: 109</t>
  </si>
  <si>
    <t>SINTRA SQ 2700K.ldt</t>
  </si>
  <si>
    <t>LDT sin asignar: no se encontró a qué producto de Base corresponde. Carpeta: Interior / De Techo / Apliques / SINTRA SQ 2700 / Archivo LDT</t>
  </si>
  <si>
    <t>Drive: 9327 carpetas y 35551 archivos listados; 4299 imágenes y CAD dentro de la carpeta de archivos técnicos (3829 fotos asignadas, 255 CAD asignados, 106 fotocontexto excluidas, 0 imágenes de otras columnas, 109 sin asignar), 205 fichas técnicas en PDF y 186 LDT (185 asignados, 1 sin asignar).</t>
  </si>
  <si>
    <t>ORTHOG II.ldt, ORTHOG.ldt</t>
  </si>
  <si>
    <t>LEUK - Bemus.ies</t>
  </si>
  <si>
    <t>No hay LDT en la carpeta de este producto en Drive.</t>
  </si>
  <si>
    <t>SINTRA 10W.ldt, SINTRA 18W.ldt, SINTRA.ldt</t>
  </si>
  <si>
    <t>DYNA 120.ldt, DYNA 180.ldt, DYNA 240.ldt, DYNA 60.ldt, DYNA EM 240.ldt, UNION 30 DYNA.ldt, UNION ANG120 DYNA.ldt, UNION L DYNA EM.ldt, UNION L DYNA.ldt, UNION T DYNA.ldt, UNION TECHO PARED DYNA.ldt, UNION X DYNA.ldt, UNION Y DYNA.ldt</t>
  </si>
  <si>
    <t>MOMO I.ldt, MOMO II.ldt, MOMO III.ldt</t>
  </si>
  <si>
    <t>PRISMA 12W IP44.ldt, PRISMA 20W IP44.ldt, PRISMA 20W.ldt, PRISMA.ldt</t>
  </si>
  <si>
    <t>PRISMA12W.ldt</t>
  </si>
  <si>
    <t>SHIR I.ldt, SHIR II.ldt</t>
  </si>
  <si>
    <t>CHILL 10W 15°.ldt, CHILL 10W 24°.ldt, CHILL 10W 36°.ldt, CHILL 20W 15°.ldt, CHILL 20W 24°.ldt, CHILL 20W 36°.ldt, CHILL 5W 15°.ldt, CHILL 5W 24°.ldt, CHILL 5W 36°.ldt</t>
  </si>
  <si>
    <t>LOUTA 35.ldt,LOUTA 60.ldt</t>
  </si>
  <si>
    <t>MIRACLE II 180 S.ldt, MIRACLE S.ldt</t>
  </si>
  <si>
    <t>CITY 15W.ldt, CITY 45W.ldt, CITY 55W.ldt</t>
  </si>
  <si>
    <t>MEX 10W 15°.ldt, MEX 10W 24°.ldt, MEX 10W 36°.ldt, MEX 10W 3CCT 15°.ldt, MEX 10W 3CCT 24°.ldt, MEX 10W 3CCT 36°.ldt, MEX 18W 15°.ldt, MEX 18W 24°.ldt, MEX 18W 36°.ldt, MEX 18W 3CCT 15°.ldt, MEX 18W 3CCT 24°.ldt, MEX 18W 3CCT 36°.ldt, MEX 25W 15°.ldt, MEX 25W 24°.ldt, MEX 25W 36°.ldt, MEX 25W 3CCT 15°.ldt, MEX 25W 3CCT 24°.ldt, MEX 25W 3CCT 36°.ldt</t>
  </si>
  <si>
    <t>REN 30X60.ldt, SIRENA 10W.ldt</t>
  </si>
  <si>
    <t>MIJA R 12W.ldt</t>
  </si>
  <si>
    <t>HOKA 60.ldt,HOKA 120.ldt</t>
  </si>
  <si>
    <t>DYNA 60.ldt, DYNA EM 60.ldt</t>
  </si>
  <si>
    <t>DYNA 120.ldt, DYNA EM 120.ldt</t>
  </si>
  <si>
    <t>DYNA 180.ldt, DYNA EM 180.ldt</t>
  </si>
  <si>
    <t>DYNA 240.ldt, DYNA EM 240.ldt</t>
  </si>
  <si>
    <t>UNION L DYNA.ldt, UNION L DYNA EM.ldt</t>
  </si>
  <si>
    <t>CAMBOYA AP 32W.ldt, CAMBOYA AP 45W.ldt</t>
  </si>
  <si>
    <t>DUNA 15W.ldt, DUNA 18W.ldt</t>
  </si>
  <si>
    <t>MIRACLE II S.ldt, MIRACLE S.ldt</t>
  </si>
  <si>
    <t>MIRACLE 180 S.ldt, MIRACLE II 180 S.ldt, MIRACLE II S.ldt, MIRACLE S.ldt</t>
  </si>
  <si>
    <t>MIRACLE 180 S.ldt, MIRACLE S.ldt</t>
  </si>
  <si>
    <t>KRONE 70W.ldt, KRONE 84W.ldt, KRONE.ldt</t>
  </si>
  <si>
    <t>ULÁN.ldt</t>
  </si>
  <si>
    <t>MARDAI II.ldt, MARDAI.ldt</t>
  </si>
  <si>
    <t>MARDAI.ldt, MARDAI II.ldt</t>
  </si>
  <si>
    <t>NIAO.ldt, NIAO SU.ldt</t>
  </si>
  <si>
    <t>NIAO III.ldt, NIAO.ldt</t>
  </si>
  <si>
    <t>NIAO II.ldt, NIAO.ldt</t>
  </si>
  <si>
    <t>NIAO AP.ldt, NIAO.ldt</t>
  </si>
  <si>
    <t>NIAO MS.ldt, NIAO.ldt</t>
  </si>
  <si>
    <t>CATEN 30.ldt,CATEN 60.ldt</t>
  </si>
  <si>
    <t>WEST R.ldt, WEST.ldt</t>
  </si>
  <si>
    <t>FORTE 12W.ldt, FORTE 18W.ldt</t>
  </si>
  <si>
    <t>LEX.ldt, LEX II.ldt</t>
  </si>
  <si>
    <t>0 Pocket XII AP 12.ies</t>
  </si>
  <si>
    <t>Copia de Copia de KRONE.ldt</t>
  </si>
  <si>
    <t>PRISMA 20W IP44.ldt, PRISMA 20W.ldt</t>
  </si>
  <si>
    <t>06/10/2026 07:31:57</t>
  </si>
  <si>
    <t>40</t>
  </si>
  <si>
    <t>Sin cambios. Filas revisadas: 795 | Filas con cambios: 0 | Celdas con cambio de nombre: 0 | Celdas donde solo se puso o corrigió el link: 0 | Celdas vaciadas: 0 | Galerías recortadas a 10: 130 | Fichas técnicas pasadas a chip: 0 | Filas con ficha sin PDF en Drive: 147 | LDT sin asignar: 1 | Filas sin Fotoproducto0.png: 23 | Archivos sin asignar: 109</t>
  </si>
  <si>
    <t>06/10/2026 14:14:53</t>
  </si>
  <si>
    <t>41</t>
  </si>
  <si>
    <t>Cambios aplicados en Base. Filas revisadas: 795 | Filas con cambios: 138 | Celdas con cambio de nombre: 0 | Celdas donde solo se puso o corrigió el link: 0 | Celdas vaciadas: 0 | Galerías recortadas a 10: 130 | Fichas técnicas pasadas a chip: 138 | Filas con ficha sin PDF en Drive: 9 | LDT sin asignar: 1 | Filas sin Fotoproducto0.png: 23 | Archivos sin asignar: 109</t>
  </si>
  <si>
    <t>Drive: 9327 carpetas y 35552 archivos listados; 4299 imágenes y CAD dentro de la carpeta de archivos técnicos (3829 fotos asignadas, 255 CAD asignados, 106 fotocontexto excluidas, 0 imágenes de otras columnas, 109 sin asignar), 205 fichas técnicas en PDF y 186 LDT (185 asignados, 1 sin asignar).</t>
  </si>
  <si>
    <t>33 fichas en PDF de Drive no corresponden a ningún nombre de Base: Ficha Técnica - SYMME I.pdf | Ficha Técnica - EXO I.pdf | Ficha técnica - AMFID II.pdf | Ficha Técnica - LEX II.pdf | Ficha Técnica - EXO II.pdf | Ficha técnica - AMFID I.pdf | Ficha Técnica - SINTRA Lote 20250710.pdf | Ficha Técnica - SINTRA BL 2700K Lote 20250710.pdf | Ficha Técnica - YORK 2700K Lote 20250710.pdf | Ficha Técnica - SINTRA SQ 2700K.pdf | Ficha Técnica - SINTRA 2700K.pdf | Ficha Técnica - YORK 2700K.pdf | Ficha Técnica - YORK MD Lote 20250710.pdf | Ficha Técnica - PRISMA IP 44.pdf | Ficha Técnica - YETI.pdf | Ficha Técnica - FRANKY.pdf | Ficha Técnica - PODI.pdf | Ficha Técnica - FANARI.pdf | Ficha Técnica - IMIKY.pdf | Ficha Técnica - WARI.pdf | Ficha Técnica - Aplique Lampy.pdf | Ficha Técnica - GAL.pdf | Ficha Técnica - STAR.pdf | Ficha Técnica - NIS.pdf | Ficha Técnica - LEN .pdf | Ficha Técnica - INDU.pdf | Ficha Técnica - YASAS.pdf | Ficha Técnica - CONDA.pdf | Ficha Técnica - SINTRA S.pdf | Ficha Técnica - YORK S.pdf | Ficha Técnica - LINUX.pdf | Ficha Técnica - DOCHEIO.pdf | Ficha Técnica - KATHASY.pdf</t>
  </si>
  <si>
    <t>06/10/2026 15:20:52</t>
  </si>
  <si>
    <t>45</t>
  </si>
  <si>
    <t>Cambios aplicados en Base. Filas revisadas: 809 | Filas con cambios: 6 | Celdas con cambio de nombre: 4 | Celdas donde solo se puso o corrigió el link: 0 | Celdas vaciadas: 0 | Galerías recortadas a 10: 130 | Fichas técnicas pasadas a chip: 3 | Filas con ficha sin PDF en Drive: 13 | LDT sin asignar: 1 | Filas sin Fotoproducto0.png: 34 | Archivos sin asignar: 104</t>
  </si>
  <si>
    <t>Drive: 9328 carpetas y 35551 archivos listados; 4299 imágenes y CAD dentro de la carpeta de archivos técnicos (3834 fotos asignadas, 255 CAD asignados, 106 fotocontexto excluidas, 0 imágenes de otras columnas, 104 sin asignar), 204 fichas técnicas en PDF y 186 LDT (185 asignados, 1 sin asignar).</t>
  </si>
  <si>
    <t>6711Fotoproducto1.jpg</t>
  </si>
  <si>
    <t>6666FotoProducto0.png</t>
  </si>
  <si>
    <t>6666FotoDetalle0.jpg</t>
  </si>
  <si>
    <t>6667FotoProducto0.png</t>
  </si>
  <si>
    <t>6667FotoDetalle0.jpg</t>
  </si>
  <si>
    <t>Hay 4 archivos sin asignar más que no se listan.</t>
  </si>
  <si>
    <t>No hay en Drive un PDF de ficha técnica para N/A (se busca Ficha Técnica - N/A.pdf dentro de una carpeta Ficha Técnica). La celda queda como texto.</t>
  </si>
  <si>
    <t>30 fichas en PDF de Drive no corresponden a ningún nombre de Base: Ficha Técnica - SYMME I.pdf | Ficha Técnica - EXO I.pdf | Ficha técnica - AMFID II.pdf | Ficha Técnica - LEX II.pdf | Ficha Técnica - EXO II.pdf | Ficha técnica - AMFID I.pdf | Ficha Técnica - SINTRA Lote 20250710.pdf | Ficha Técnica - SINTRA SQ 2700K.pdf | Ficha Técnica - YORK 2700K.pdf | Ficha Técnica - YORK MD Lote 20250710.pdf | Ficha Técnica - PRISMA IP 44.pdf | Ficha Técnica - YETI.pdf | Ficha Técnica - FRANKY.pdf | Ficha Técnica - PODI.pdf | Ficha Técnica - FANARI.pdf | Ficha Técnica - IMIKY.pdf | Ficha Técnica - WARI.pdf | Ficha Técnica - Aplique Lampy.pdf | Ficha Técnica - GAL.pdf | Ficha Técnica - STAR.pdf | Ficha Técnica - NIS.pdf | Ficha Técnica - LEN .pdf | Ficha Técnica - INDU.pdf | Ficha Técnica - YASAS.pdf | Ficha Técnica - CONDA.pdf | Ficha Técnica - SINTRA S.pdf | Ficha Técnica - YORK S.pdf | Ficha Técnica - LINUX.pdf | Ficha Técnica - DOCHEIO.pdf | Ficha Técnica - KATHASY.pdf</t>
  </si>
  <si>
    <t>08/10/2026 07:32:04</t>
  </si>
  <si>
    <t>60</t>
  </si>
  <si>
    <t>Cambios aplicados en Base. Filas revisadas: 809 | Filas con cambios: 42 | Celdas con cambio de nombre: 85 | Celdas donde solo se puso o corrigió el link: 0 | Celdas vaciadas: 3 | Galerías recortadas a 10: 131 | Fichas técnicas pasadas a chip: 7 | Filas con ficha sin PDF en Drive: 120 | LDT sin asignar: 2 | Filas sin Fotoproducto0.png: 29 | Archivos sin asignar: 79</t>
  </si>
  <si>
    <t>LDT sin asignar: no se encontró a qué producto de Base corresponde. Carpeta: Interior / De Techo / Colgantes / AXIS / Archivo LDT / AXIS I</t>
  </si>
  <si>
    <t>Drive: 9324 carpetas y 35518 archivos listados; 4258 imágenes y CAD dentro de la carpeta de archivos técnicos (3809 fotos asignadas, 258 CAD asignados, 112 fotocontexto excluidas, 0 imágenes de otras columnas, 79 sin asignar), 204 fichas técnicas en PDF y 190 LDT (188 asignados, 2 sin asignar).</t>
  </si>
  <si>
    <t>6637FotoProducto1.png</t>
  </si>
  <si>
    <t>6637FotoDetalle0.jpg</t>
  </si>
  <si>
    <t>6636FotoProducto1.png</t>
  </si>
  <si>
    <t>6636FotoDetalle0.jpg</t>
  </si>
  <si>
    <t>6584FotoProducto0.png</t>
  </si>
  <si>
    <t>6586FotoProducto0.png</t>
  </si>
  <si>
    <t>6587FotoProducto0.png</t>
  </si>
  <si>
    <t>Tiene fotos en Drive pero falta 7229Fotoproducto0.png.</t>
  </si>
  <si>
    <t>Tiene fotos en Drive pero falta 7230Fotoproducto0.png.</t>
  </si>
  <si>
    <t>Tiene fotos en Drive pero falta 7231Fotoproducto0.png.</t>
  </si>
  <si>
    <t>Tiene fotos en Drive pero falta 7241Fotoproducto0.png.</t>
  </si>
  <si>
    <t>Tiene fotos en Drive pero falta 7242Fotoproducto0.png.</t>
  </si>
  <si>
    <t>CHILL 5W 15°.ldt,CHILL 5W 24°.ldt,CHILL 5W 36°.ldt,CHILL 20W 15°.ldt,CHILL 20W 24°.ldt,CHILL 20W 36°.ldt</t>
  </si>
  <si>
    <t>No hay en Drive un PDF de ficha técnica para LUVA (se busca Ficha Técnica - LUVA.pdf dentro de una carpeta Ficha Técnica). La celda queda como texto.</t>
  </si>
  <si>
    <t>7425Fotoproducto0.png</t>
  </si>
  <si>
    <t>7425FotoDetalle0.png,7425FotoDetalle1.png,7425FotoDetalle2.png,7425FotoDetalle3.png,7425FotoDetalle4.jpg,7425FotoDetalle5.jpg,7425Fotoproducto1.jpg,7425Fotoproducto2.png,7425Fotoproducto3.png</t>
  </si>
  <si>
    <t>No hay en Drive un PDF de ficha técnica para EKO (se busca Ficha Técnica - EKO.pdf dentro de una carpeta Ficha Técnica). La celda queda como texto.</t>
  </si>
  <si>
    <t>No hay en Drive un PDF de ficha técnica para AXIS (se busca Ficha Técnica - AXIS.pdf dentro de una carpeta Ficha Técnica). La celda queda como texto.</t>
  </si>
  <si>
    <t>No hay en Drive un PDF de ficha técnica para SONA (se busca Ficha Técnica - SONA.pdf dentro de una carpeta Ficha Técnica). La celda queda como texto.</t>
  </si>
  <si>
    <t>131 filas tienen más de 10 fotos en Drive: en Galería quedan solo las primeras 10.</t>
  </si>
  <si>
    <t>34 fichas en PDF de Drive no corresponden a ningún nombre de Base: Ficha Técnica - SYMME I.pdf | Ficha Técnica- Perfil Tula.pdf | Ficha Técnica - HOKA.pdf | Ficha Técnica - EXO I.pdf | Ficha técnica - AMFID II.pdf | Ficha Técnica - LEX II.pdf | Ficha Técnica - EXO II.pdf | Ficha técnica - AMFID I.pdf | Ficha Técnica - SINTRA Lote 20250710.pdf | Ficha Técnica - SINTRA BL 2700K Lote 20250710.pdf | Ficha Técnica - YORK 2700K Lote 20250710.pdf | Ficha Técnica - SINTRA SQ 2700K.pdf | Ficha Técnica - YORK 2700K.pdf | Ficha Técnica - YORK MD Lote 20250710.pdf | Ficha Técnica - PRISMA IP 44.pdf | Ficha Técnica - YETI.pdf | Ficha Técnica - FRANKY.pdf | Ficha Técnica - PODI.pdf | Ficha Técnica - FANARI.pdf | Ficha Técnica - IMIKY.pdf | Ficha Técnica - WARI.pdf | Ficha Técnica - Aplique Lampy.pdf | Ficha Técnica - GAL.pdf | Ficha Técnica - STAR.pdf | Ficha Técnica - NIS.pdf | Ficha Técnica - LEN .pdf | Ficha Técnica - INDU.pdf | Ficha Técnica - YASAS.pdf | Ficha Técnica - CONDA.pdf | Ficha Técnica - SINTRA S.pdf | Ficha Técnica - YORK S.pdf | Ficha Técnica - LINUX.pdf | Ficha Técnica - DOCHEIO.pdf | Ficha Técnica - KATHASY.pdf</t>
  </si>
  <si>
    <t>08/10/2026 10:38:04</t>
  </si>
  <si>
    <t>61</t>
  </si>
  <si>
    <t>Modo prueba: no se escribió en Base. Filas revisadas: 809 | Filas con cambios: 667 | Celdas con cambio de nombre: 81 | Celdas donde solo se puso o corrigió el link: 906 | Celdas vaciadas: 64 | Galerías recortadas a 10: 131 | Fichas técnicas pasadas a chip: 0 | Filas con ficha sin PDF en Drive: 120 | LDT sin asignar: 2 | Dibujos técnicos asignados: 238 de 264 | Curvas fotométricas asignadas: 324 de 439 | Filas sin Fotoproducto0.png: 29 | Archivos sin asignar: 220</t>
  </si>
  <si>
    <t>Drive: 9324 carpetas y 35518 archivos listados; 4258 imágenes y CAD dentro de la carpeta de archivos técnicos (3809 fotos asignadas, 258 CAD asignados, 112 fotocontexto excluidas, 0 imágenes de otras columnas, 220 sin asignar), 204 fichas técnicas en PDF y 190 LDT (188 asignados, 2 sin asignar). Dibujos técnicos: 264 archivos (238 asignados). Curvas fotométricas: 439 archivos (324 asignados).</t>
  </si>
  <si>
    <t>7732-7733-7734-7744-7745-7746dibujo.webp</t>
  </si>
  <si>
    <t>Archivo sin asignar: El SKU 7732-7733-7734-7744-7745-7746 no está en Base. Carpeta: Dibujos técnicos</t>
  </si>
  <si>
    <t>7729-7730-7731-7741-7742-7743dibujo.webp</t>
  </si>
  <si>
    <t>Archivo sin asignar: El SKU 7729-7730-7731-7741-7742-7743 no está en Base. Carpeta: Dibujos técnicos</t>
  </si>
  <si>
    <t>7726-7727-7728-7738-7739-7740dibujo.webp</t>
  </si>
  <si>
    <t>Archivo sin asignar: El SKU 7726-7727-7728-7738-7739-7740 no está en Base. Carpeta: Dibujos técnicos</t>
  </si>
  <si>
    <t>7723-7724-7725-7735-7736-7737dibujo.webp</t>
  </si>
  <si>
    <t>Archivo sin asignar: El SKU 7723-7724-7725-7735-7736-7737 no está en Base. Carpeta: Dibujos técnicos</t>
  </si>
  <si>
    <t>7599-7600curvapolar.webp</t>
  </si>
  <si>
    <t>Archivo sin asignar: El SKU 7599-7600 no está en Base. Carpeta: Curvas fotométricas</t>
  </si>
  <si>
    <t>7597-7598curvapolar.webp</t>
  </si>
  <si>
    <t>Archivo sin asignar: El SKU 7597-7598 no está en Base. Carpeta: Curvas fotométricas</t>
  </si>
  <si>
    <t>7596-7570curvapolar.webp</t>
  </si>
  <si>
    <t>Archivo sin asignar: El SKU 7596-7570 no está en Base. Carpeta: Curvas fotométricas</t>
  </si>
  <si>
    <t>7595-7596curvapolar.webp</t>
  </si>
  <si>
    <t>Archivo sin asignar: El SKU 7595-7596 no está en Base. Carpeta: Curvas fotométricas</t>
  </si>
  <si>
    <t>7593-7594curvapolar.webp</t>
  </si>
  <si>
    <t>Archivo sin asignar: El SKU 7593-7594 no está en Base. Carpeta: Curvas fotométricas</t>
  </si>
  <si>
    <t>7591-7592curvapolar.webp</t>
  </si>
  <si>
    <t>Archivo sin asignar: El SKU 7591-7592 no está en Base. Carpeta: Curvas fotométricas</t>
  </si>
  <si>
    <t>7589-7590curvapolar.webp</t>
  </si>
  <si>
    <t>Archivo sin asignar: El SKU 7589-7590 no está en Base. Carpeta: Curvas fotométricas</t>
  </si>
  <si>
    <t>7589-7584curvapolar.webp</t>
  </si>
  <si>
    <t>Archivo sin asignar: El SKU 7589-7584 no está en Base. Carpeta: Curvas fotométricas</t>
  </si>
  <si>
    <t>7587-7588curvapolar.webp</t>
  </si>
  <si>
    <t>Archivo sin asignar: El SKU 7587-7588 no está en Base. Carpeta: Curvas fotométricas</t>
  </si>
  <si>
    <t>7585-7586curvapolar.webp</t>
  </si>
  <si>
    <t>Archivo sin asignar: El SKU 7585-7586 no está en Base. Carpeta: Curvas fotométricas</t>
  </si>
  <si>
    <t>7581-7582curvapolar.webp</t>
  </si>
  <si>
    <t>Archivo sin asignar: El SKU 7581-7582 no está en Base. Carpeta: Curvas fotométricas</t>
  </si>
  <si>
    <t>7579-7580curvapolar.webp</t>
  </si>
  <si>
    <t>Archivo sin asignar: El SKU 7579-7580 no está en Base. Carpeta: Curvas fotométricas</t>
  </si>
  <si>
    <t>7577-7578curvapolar.webp</t>
  </si>
  <si>
    <t>Archivo sin asignar: El SKU 7577-7578 no está en Base. Carpeta: Curvas fotométricas</t>
  </si>
  <si>
    <t>7575-7576curvapolar.webp</t>
  </si>
  <si>
    <t>Archivo sin asignar: El SKU 7575-7576 no está en Base. Carpeta: Curvas fotométricas</t>
  </si>
  <si>
    <t>7573-7574curvapolar.webp</t>
  </si>
  <si>
    <t>Archivo sin asignar: El SKU 7573-7574 no está en Base. Carpeta: Curvas fotométricas</t>
  </si>
  <si>
    <t>7571-7572curvapolar.webp</t>
  </si>
  <si>
    <t>Archivo sin asignar: El SKU 7571-7572 no está en Base. Carpeta: Curvas fotométricas</t>
  </si>
  <si>
    <t>7567-7568curvapolar.webp</t>
  </si>
  <si>
    <t>Archivo sin asignar: El SKU 7567-7568 no está en Base. Carpeta: Curvas fotométricas</t>
  </si>
  <si>
    <t>7565-7566curvapolar.webp</t>
  </si>
  <si>
    <t>Archivo sin asignar: El SKU 7565-7566 no está en Base. Carpeta: Curvas fotométricas</t>
  </si>
  <si>
    <t>7577-7578curvacono.webp</t>
  </si>
  <si>
    <t>7595-7596curvacono.webp</t>
  </si>
  <si>
    <t>7579-7580curvacono.webp</t>
  </si>
  <si>
    <t>7597-7598curvacono.webp</t>
  </si>
  <si>
    <t>7567-7568curvacono.webp</t>
  </si>
  <si>
    <t>7585-7586curvacono.webp</t>
  </si>
  <si>
    <t>7565-7566curvacono.webp</t>
  </si>
  <si>
    <t>7589-7584curvacono.webp</t>
  </si>
  <si>
    <t>7573-7574curvacono.webp</t>
  </si>
  <si>
    <t>7591-7592curvacono.webp</t>
  </si>
  <si>
    <t>7575-7576curvacono.webp</t>
  </si>
  <si>
    <t>7593-7594curvacono.webp</t>
  </si>
  <si>
    <t>7596-7570curvacono.webp</t>
  </si>
  <si>
    <t>7587-7588curvacono.webp</t>
  </si>
  <si>
    <t>7571-7572curvacono.webp</t>
  </si>
  <si>
    <t>7589-7590curvacono.webp</t>
  </si>
  <si>
    <t>7581-7582curvacono.webp</t>
  </si>
  <si>
    <t>7599-7600curvacono.webp</t>
  </si>
  <si>
    <t>7473-7474curvapolar.webp</t>
  </si>
  <si>
    <t>Archivo sin asignar: El SKU 7473-7474 no está en Base. Carpeta: Curvas fotométricas</t>
  </si>
  <si>
    <t>7473-7474curvacono.webp</t>
  </si>
  <si>
    <t>7569-7570-7587-7588dibujo.webp</t>
  </si>
  <si>
    <t>Archivo sin asignar: El SKU 7569-7570-7587-7588 no está en Base. Carpeta: Dibujos técnicos</t>
  </si>
  <si>
    <t>7571-7572-7589-7590dibujo.webp</t>
  </si>
  <si>
    <t>Archivo sin asignar: El SKU 7571-7572-7589-7590 no está en Base. Carpeta: Dibujos técnicos</t>
  </si>
  <si>
    <t>7501-7502dibujo.webp</t>
  </si>
  <si>
    <t>Archivo sin asignar: El SKU 7501-7502 no está en Base. Carpeta: Dibujos técnicos</t>
  </si>
  <si>
    <t>7701-curvacono.webp</t>
  </si>
  <si>
    <t>Archivo sin asignar: El SKU 7701 no está en Base. Carpeta: Curvas fotométricas</t>
  </si>
  <si>
    <t>7701-curvapolar.webp</t>
  </si>
  <si>
    <t>7496-7497-7498-7499curvapolar.webp</t>
  </si>
  <si>
    <t>Archivo sin asignar: El SKU 7496-7497-7498-7499 no está en Base. Carpeta: Curvas fotométricas</t>
  </si>
  <si>
    <t>7496-7497-7498-7499curvacono.webp</t>
  </si>
  <si>
    <t>7492-7493-7494-7495curvapolar.webp</t>
  </si>
  <si>
    <t>Archivo sin asignar: El SKU 7492-7493-7494-7495 no está en Base. Carpeta: Curvas fotométricas</t>
  </si>
  <si>
    <t>7492-7493-7494-7495curvacono.webp</t>
  </si>
  <si>
    <t>7490-7491curvapolar.webp</t>
  </si>
  <si>
    <t>Archivo sin asignar: El SKU 7490-7491 no está en Base. Carpeta: Curvas fotométricas</t>
  </si>
  <si>
    <t>7490-7491curvacono.webp</t>
  </si>
  <si>
    <t>7533curvapolar.webp</t>
  </si>
  <si>
    <t>Archivo sin asignar: El SKU 7533 no está en Base. Carpeta: Curvas fotométricas</t>
  </si>
  <si>
    <t>7533curvacono.webp</t>
  </si>
  <si>
    <t>7532curvapolar.webp</t>
  </si>
  <si>
    <t>Archivo sin asignar: El SKU 7532 no está en Base. Carpeta: Curvas fotométricas</t>
  </si>
  <si>
    <t>7532curvacono.webp</t>
  </si>
  <si>
    <t>7530-7531curvapolar.webp</t>
  </si>
  <si>
    <t>Archivo sin asignar: El SKU 7530-7531 no está en Base. Carpeta: Curvas fotométricas</t>
  </si>
  <si>
    <t>7530-7531curvacono.webp</t>
  </si>
  <si>
    <t>7529curvapolar.webp</t>
  </si>
  <si>
    <t>Archivo sin asignar: El SKU 7529 no está en Base. Carpeta: Curvas fotométricas</t>
  </si>
  <si>
    <t>7529curvacono.webp</t>
  </si>
  <si>
    <t>7528curvapolar.webp</t>
  </si>
  <si>
    <t>Archivo sin asignar: El SKU 7528 no está en Base. Carpeta: Curvas fotométricas</t>
  </si>
  <si>
    <t>7528curvacono.webp</t>
  </si>
  <si>
    <t>7526-7527curvapolar.webp</t>
  </si>
  <si>
    <t>Archivo sin asignar: El SKU 7526-7527 no está en Base. Carpeta: Curvas fotométricas</t>
  </si>
  <si>
    <t>7526-75247curvacono.webp</t>
  </si>
  <si>
    <t>Archivo sin asignar: El SKU 7526-75247 no está en Base. Carpeta: Curvas fotométricas</t>
  </si>
  <si>
    <t>7530-7531dibujo.webp</t>
  </si>
  <si>
    <t>Archivo sin asignar: El SKU 7530-7531 no está en Base. Carpeta: Dibujos técnicos</t>
  </si>
  <si>
    <t>7526-7527dibujo.webp</t>
  </si>
  <si>
    <t>Archivo sin asignar: El SKU 7526-7527 no está en Base. Carpeta: Dibujos técnicos</t>
  </si>
  <si>
    <t>7522-7524dibujo.webp</t>
  </si>
  <si>
    <t>Archivo sin asignar: El SKU 7522-7524 no está en Base. Carpeta: Dibujos técnicos</t>
  </si>
  <si>
    <t>7519-7521dibujo.webp</t>
  </si>
  <si>
    <t>Archivo sin asignar: El SKU 7519-7521 no está en Base. Carpeta: Dibujos técnicos</t>
  </si>
  <si>
    <t>7490-7491dibujo.webp</t>
  </si>
  <si>
    <t>Archivo sin asignar: El SKU 7490-7491 no está en Base. Carpeta: Dibujos técnicos</t>
  </si>
  <si>
    <t>7505-7506curvapolar.webp</t>
  </si>
  <si>
    <t>Archivo sin asignar: El SKU 7505-7506 no está en Base. Carpeta: Curvas fotométricas</t>
  </si>
  <si>
    <t>7505-7506curvacono.webp</t>
  </si>
  <si>
    <t>7501-7502curvapolar.webp</t>
  </si>
  <si>
    <t>Archivo sin asignar: El SKU 7501-7502 no está en Base. Carpeta: Curvas fotométricas</t>
  </si>
  <si>
    <t>7501-7502curvacono.webp</t>
  </si>
  <si>
    <t>7503-7504dibujo.webp</t>
  </si>
  <si>
    <t>Archivo sin asignar: El SKU 7503-7504 no está en Base. Carpeta: Dibujos técnicos</t>
  </si>
  <si>
    <t>7503-7504curvapolar.webp</t>
  </si>
  <si>
    <t>Archivo sin asignar: El SKU 7503-7504 no está en Base. Carpeta: Curvas fotométricas</t>
  </si>
  <si>
    <t>7503-7504curvacono.webp</t>
  </si>
  <si>
    <t>7500curvacono.webp</t>
  </si>
  <si>
    <t>Archivo sin asignar: El SKU 7500 no está en Base. Carpeta: Curvas fotométricas</t>
  </si>
  <si>
    <t>7500curvapolar.webp</t>
  </si>
  <si>
    <t>7469curvapolar.webp</t>
  </si>
  <si>
    <t>Archivo sin asignar: El SKU 7469 no está en Base. Carpeta: Curvas fotométricas</t>
  </si>
  <si>
    <t>7469curvacono.webp</t>
  </si>
  <si>
    <t>7467-7468curvapolar.webp</t>
  </si>
  <si>
    <t>Archivo sin asignar: El SKU 7467-7468 no está en Base. Carpeta: Curvas fotométricas</t>
  </si>
  <si>
    <t>7467-7468curvacono.webp</t>
  </si>
  <si>
    <t>7466curvapolar.webp</t>
  </si>
  <si>
    <t>Archivo sin asignar: El SKU 7466 no está en Base. Carpeta: Curvas fotométricas</t>
  </si>
  <si>
    <t>7466curvacono.webp</t>
  </si>
  <si>
    <t>7603-7604curvacono.webp</t>
  </si>
  <si>
    <t>Archivo sin asignar: El SKU 7603-7604 no está en Base. Carpeta: Curvas fotométricas</t>
  </si>
  <si>
    <t>7603-7604curvapolar.webp</t>
  </si>
  <si>
    <t>7432-7433-7434-7435dibujo.webp</t>
  </si>
  <si>
    <t>Archivo sin asignar: El SKU 7432-7433-7434-7435 no está en Base. Carpeta: Dibujos técnicos</t>
  </si>
  <si>
    <t>7428-7429-7430-7431dibujo.webp</t>
  </si>
  <si>
    <t>Archivo sin asignar: El SKU 7428-7429-7430-7431 no está en Base. Carpeta: Dibujos técnicos</t>
  </si>
  <si>
    <t>Hay 120 archivos sin asignar más que no se listan.</t>
  </si>
  <si>
    <t>6608-7230-6609-7229-6606-7232-6607-7231dibujo.webp</t>
  </si>
  <si>
    <t>6618dibujo.webp</t>
  </si>
  <si>
    <t>6619-6620dibujo.webp, 7028dibujo.webp, 7029dibujo.webp</t>
  </si>
  <si>
    <t>6742-6743-6744-6745dibujo.webp</t>
  </si>
  <si>
    <t>6742-6743-6744-6745-curvacono.webp, 6742-6743-6744-6745-curvapolar.webp</t>
  </si>
  <si>
    <t>6746-6747-6748-6749dibujo.webp</t>
  </si>
  <si>
    <t>6746-6747-6748-6749-curvacono.webp, 6746-6747-6748-6749-curvapolar.webp</t>
  </si>
  <si>
    <t>6750-6813-6814-6815dibujo.webp</t>
  </si>
  <si>
    <t>6750-6813-6814-6815-curvacono.webp, 6750-6813-6814-6815-curvapolar.webp</t>
  </si>
  <si>
    <t>6758dibujo.webp</t>
  </si>
  <si>
    <t>6759dibujo.webp</t>
  </si>
  <si>
    <t>6856-6842-6855-curvacono.webp</t>
  </si>
  <si>
    <t>6843-6844-curvacono.webp, 6843-6844-curvapolar.webp</t>
  </si>
  <si>
    <t>6845-6846-curvacono.webp, 6845-6846-curvapolar.webp</t>
  </si>
  <si>
    <t>6868-6869-curvacono.webp, 6868-6869-curvapolar.webp</t>
  </si>
  <si>
    <t>6870-6871-curvacono.webp, 6870-6871-curvapolar.webp</t>
  </si>
  <si>
    <t>7065-7066dibujo.webp</t>
  </si>
  <si>
    <t>7065-7066-7250-7251-curvacono.webp, 7065-7066-7250-7251-curvapolar.webp</t>
  </si>
  <si>
    <t>7097dibujo.webp</t>
  </si>
  <si>
    <t>7177-7178-7179-7180-7181-7280-7281-7282-7283-7317dibujo.webp</t>
  </si>
  <si>
    <t>7182-7183-7184-7284-7285-7286dibujo.webp</t>
  </si>
  <si>
    <t>7185-7186-7187-7188-7189-7287-7288-7289-7290-7291dibujo.webp</t>
  </si>
  <si>
    <t>7059-7211-7213-7060-7212-7214-curvacono.webp, 7059-7211-7213-7060-7212-7214-curvapolar.webp, 7213-7214-curvapolar.webp</t>
  </si>
  <si>
    <t>7097-7246-7442-7443dibujo</t>
  </si>
  <si>
    <t>7065-7066-7250-7251-7470-7471-7472dibujo</t>
  </si>
  <si>
    <t>7190-7191-7192-7193-7194-7292-7293-7294-7295-7296dibujo.webp</t>
  </si>
  <si>
    <t>08/10/2026 10:53:04</t>
  </si>
  <si>
    <t>62</t>
  </si>
  <si>
    <t>Cambios aplicados en Base. Filas revisadas: 809 | Filas con cambios: 667 | Celdas con cambio de nombre: 81 | Celdas donde solo se puso o corrigió el link: 906 | Celdas vaciadas: 64 | Galerías recortadas a 10: 131 | Fichas técnicas pasadas a chip: 0 | Filas con ficha sin PDF en Drive: 120 | LDT sin asignar: 2 | Dibujos técnicos asignados: 238 de 264 | Curvas fotométricas asignadas: 324 de 439 | Filas sin Fotoproducto0.png: 29 | Archivos sin asignar: 223</t>
  </si>
  <si>
    <t>Drive: 9324 carpetas y 35518 archivos listados; 4258 imágenes y CAD dentro de la carpeta de archivos técnicos (3809 fotos asignadas, 258 CAD asignados, 112 fotocontexto excluidas, 0 imágenes de otras columnas, 223 sin asignar), 204 fichas técnicas en PDF y 190 LDT (188 asignados, 2 sin asignar). Dibujos técnicos: 264 archivos (238 asignados). Curvas fotométricas: 439 archivos (324 asignados).</t>
  </si>
  <si>
    <t>Hay 123 archivos sin asignar más que no se listan.</t>
  </si>
  <si>
    <t>Ningún archivo de la carpeta incluye este SKU en el nombre.</t>
  </si>
  <si>
    <t>09/10/2026 07:32:04</t>
  </si>
  <si>
    <t>65</t>
  </si>
  <si>
    <t>Cambios aplicados en Base. Filas revisadas: 809 | Filas con cambios: 2 | Celdas con cambio de nombre: 2 | Celdas donde solo se puso o corrigió el link: 0 | Celdas vaciadas: 0 | Galerías recortadas a 10: 131 | Fichas técnicas pasadas a chip: 0 | Filas con ficha sin PDF en Drive: 120 | LDT sin asignar: 2 | Dibujos técnicos asignados: 239 de 265 | Curvas fotométricas asignadas: 324 de 441 | Filas sin Fotoproducto0.png: 29 | Archivos sin asignar: 224</t>
  </si>
  <si>
    <t>Drive: 9368 carpetas y 36605 archivos listados; 4258 imágenes y CAD dentro de la carpeta de archivos técnicos (3809 fotos asignadas, 258 CAD asignados, 112 fotocontexto excluidas, 0 imágenes de otras columnas, 224 sin asignar), 204 fichas técnicas en PDF y 190 LDT (188 asignados, 2 sin asignar). Dibujos técnicos: 265 archivos (239 asignados). Curvas fotométricas: 441 archivos (324 asignados).</t>
  </si>
  <si>
    <t>7423-7424-curvacono.webp</t>
  </si>
  <si>
    <t>Archivo sin asignar: El SKU 7423-7424 no está en Base. Carpeta: Curvas fotométricas</t>
  </si>
  <si>
    <t>7423-7424-curvapolar.webp</t>
  </si>
  <si>
    <t>Hay 124 archivos sin asignar más que no se listan.</t>
  </si>
  <si>
    <t>12/10/2026 07:32:19</t>
  </si>
  <si>
    <t>68</t>
  </si>
  <si>
    <t>Sin cambios. Filas revisadas: 809 | Filas con cambios: 0 | Celdas con cambio de nombre: 0 | Celdas donde solo se puso o corrigió el link: 0 | Celdas vaciadas: 0 | Galerías recortadas a 10: 131 | Fichas técnicas pasadas a chip: 0 | Filas con ficha sin PDF en Drive: 120 | LDT sin asignar: 2 | Dibujos técnicos asignados: 239 de 265 | Curvas fotométricas asignadas: 324 de 441 | Filas sin Fotoproducto0.png: 29 | Archivos sin asignar: 224</t>
  </si>
  <si>
    <t>Drive: 9369 carpetas y 36609 archivos listados; 4258 imágenes y CAD dentro de la carpeta de archivos técnicos (3809 fotos asignadas, 258 CAD asignados, 112 fotocontexto excluidas, 0 imágenes de otras columnas, 224 sin asignar), 204 fichas técnicas en PDF y 190 LDT (188 asignados, 2 sin asignar). Dibujos técnicos: 265 archivos (239 asignados). Curvas fotométricas: 441 archivos (324 asignados).</t>
  </si>
  <si>
    <t>14/10/2026 07:32:10</t>
  </si>
  <si>
    <t>74</t>
  </si>
  <si>
    <t>Sin cambios. Filas revisadas: 809 | Filas con cambios: 0 | Celdas con cambio de nombre: 0 | Celdas donde solo se puso o corrigió el link: 0 | Celdas vaciadas: 0 | Galerías recortadas a 10: 131 | Fichas técnicas pasadas a chip: 0 | Filas con ficha sin PDF en Drive: 120 | LDT sin asignar: 2 | Dibujos técnicos asignados: 239 de 265 | Curvas fotométricas asignadas: 324 de 441 | Filas sin Fotoproducto0.png: 27 | Archivos sin asignar: 224</t>
  </si>
  <si>
    <t>Drive: 9369 carpetas y 36610 archivos listados; 4258 imágenes y CAD dentro de la carpeta de archivos técnicos (3809 fotos asignadas, 258 CAD asignados, 112 fotocontexto excluidas, 0 imágenes de otras columnas, 224 sin asignar), 204 fichas técnicas en PDF y 190 LDT (188 asignados, 2 sin asignar). Dibujos técnicos: 265 archivos (239 asignados). Curvas fotométricas: 441 archivos (324 asignados).</t>
  </si>
  <si>
    <t>14/10/2026 13:47:07</t>
  </si>
  <si>
    <t>75</t>
  </si>
  <si>
    <t>Modo prueba: no se escribió en Base. Filas revisadas: 809 | Filas con cambios: 681 | Celdas con cambio de nombre: 161 (CAD 74, LDT 86) | Celdas donde solo se puso o corrigió el link: 860 | Celdas vaciadas: 74 (CAD 6, LDT 67) | Galerías recortadas a 10: 131 | Fichas técnicas pasadas a chip: 0 | Filas con ficha sin PDF en Drive: 120 | CAD asignados: 264 de 288 | LDT en Base: 161 de 250 (89 sin asignar) | Dibujos técnicos asignados: 239 de 265 | Curvas fotométricas asignadas: 324 de 441 | Filas sin Fotoproducto0.png: 28 | Archivos sin asignar: 244</t>
  </si>
  <si>
    <t>POLAR MEX 15W 3CCT.ldt</t>
  </si>
  <si>
    <t>LDT sin asignar: ninguna fila de Base tiene un Nombre que contenga todas las palabras del archivo (ni un SKU de Base en el nombre).</t>
  </si>
  <si>
    <t>POLAR MEX 15W 3000K.ldt</t>
  </si>
  <si>
    <t>POLAR MEX 7W 3000K.ldt</t>
  </si>
  <si>
    <t>POLAR MEX 7W 3CCT.ldt</t>
  </si>
  <si>
    <t>POLAR LINE 20W 3000K.ldt</t>
  </si>
  <si>
    <t>POLAR LINE 20W 3CCT.ldt</t>
  </si>
  <si>
    <t>POLAR LINE 10W 3000K.ldt</t>
  </si>
  <si>
    <t>POLAR LINE 10W 3CCT.ldt</t>
  </si>
  <si>
    <t>POLAR GRID MOVIL 12W 3000K.ldt</t>
  </si>
  <si>
    <t>POLAR GRID MOVIL 12W 3CCT.ldt</t>
  </si>
  <si>
    <t>POLAR GRID MOVIL 6W 3000K.ldt</t>
  </si>
  <si>
    <t>POLAR GRID MOVIL 6W 3CCT.ldt</t>
  </si>
  <si>
    <t>POLAR GRID 12W 3000K.ldt</t>
  </si>
  <si>
    <t>POLAR GRID 12W 3CCT.ldt</t>
  </si>
  <si>
    <t>POLAR GRID 6W 3000K.ldt</t>
  </si>
  <si>
    <t>POLAR GRID 6W 3CCT.ldt</t>
  </si>
  <si>
    <t>POLAR BEAM 10W 3000K.ldt</t>
  </si>
  <si>
    <t>POLAR BEAM 10W 3CCT.ldt</t>
  </si>
  <si>
    <t>PETRA LINE.ldt</t>
  </si>
  <si>
    <t>TRAZO.ldt</t>
  </si>
  <si>
    <t>RISE.ldt</t>
  </si>
  <si>
    <t>CABEZAL SPY EM.ldt</t>
  </si>
  <si>
    <t>CABEZAL SPY AP.ldt</t>
  </si>
  <si>
    <t>MINI SPY.ldt</t>
  </si>
  <si>
    <t>MINI POCKET XII.ldt</t>
  </si>
  <si>
    <t>MINI POCKET VI.ldt</t>
  </si>
  <si>
    <t>NUMA POINT.ldt</t>
  </si>
  <si>
    <t>NUMA MODULO 8W 36°.ldt</t>
  </si>
  <si>
    <t>NUMA LENTE 8W 24°.ldt</t>
  </si>
  <si>
    <t>NUMA LENTE 8W 15°.ldt</t>
  </si>
  <si>
    <t>ORBIS.ldt</t>
  </si>
  <si>
    <t>DOT.ldt</t>
  </si>
  <si>
    <t>PIN NG - 7500.ldt</t>
  </si>
  <si>
    <t>LAIVA AP MD.ldt</t>
  </si>
  <si>
    <t>SUNSET.ldt</t>
  </si>
  <si>
    <t>GALIA GR.ldt</t>
  </si>
  <si>
    <t>POLAR FOCUS 10W.ldt</t>
  </si>
  <si>
    <t>7475-7476-7477-7478ldt.ldt</t>
  </si>
  <si>
    <t>7483-7484-7485-7486ldt.ldt</t>
  </si>
  <si>
    <t>7479-7480-7481-7482ldt.ldt</t>
  </si>
  <si>
    <t>CHILL 10W 36°.ldt</t>
  </si>
  <si>
    <t>CHILL 10W 24°.ldt</t>
  </si>
  <si>
    <t>CHILL 5W 15°.ldt</t>
  </si>
  <si>
    <t>CHILL 20W 15°.ldt</t>
  </si>
  <si>
    <t>CHILL 5W 36°.ldt</t>
  </si>
  <si>
    <t>CHILL 5W 24°.ldt</t>
  </si>
  <si>
    <t>CHILL 10W 15°.ldt</t>
  </si>
  <si>
    <t>CHILL 20W 36°.ldt</t>
  </si>
  <si>
    <t>CHILL 20W 24°.ldt</t>
  </si>
  <si>
    <t>CATEN 60 3CCT IP44.ldt</t>
  </si>
  <si>
    <t>SLIM CATEN 30 3CCT IP44.ldt</t>
  </si>
  <si>
    <t>CATEN 30 3CCT IP44.ldt</t>
  </si>
  <si>
    <t>LOOP EM - 7432-7433-7434-7435.ldt</t>
  </si>
  <si>
    <t>LOOP - 7428-7429-7430-7431.ldt</t>
  </si>
  <si>
    <t>NANO CHILL.ldt</t>
  </si>
  <si>
    <t>TERRA POINT.ldt</t>
  </si>
  <si>
    <t>TERRA CHILL.ldt</t>
  </si>
  <si>
    <t>WINSOR.ldt</t>
  </si>
  <si>
    <t>DROP.ldt</t>
  </si>
  <si>
    <t>AURA.ldt</t>
  </si>
  <si>
    <t>LOOP.ldt</t>
  </si>
  <si>
    <t>MEX 25W 36°.ldt</t>
  </si>
  <si>
    <t>MEX 25W 24°.ldt</t>
  </si>
  <si>
    <t>MEX 25W 15°.ldt</t>
  </si>
  <si>
    <t>MEX 18W 36°.ldt</t>
  </si>
  <si>
    <t>MEX 18W 24°.ldt</t>
  </si>
  <si>
    <t>MEX 18W 15°.ldt</t>
  </si>
  <si>
    <t>MEX 10W 24°.ldt</t>
  </si>
  <si>
    <t>MEX 10W 15°.ldt</t>
  </si>
  <si>
    <t>MEX 10W 36°.ldt</t>
  </si>
  <si>
    <t>MEX 25W 3CCT 36°.ldt</t>
  </si>
  <si>
    <t>MEX 25W 3CCT 24°.ldt</t>
  </si>
  <si>
    <t>MEX 25W 3CCT 15°.ldt</t>
  </si>
  <si>
    <t>MEX 18W 3CCT 36°.ldt</t>
  </si>
  <si>
    <t>MEX 18W 3CCT 24°.ldt</t>
  </si>
  <si>
    <t>MEX 18W 3CCT 15°.ldt</t>
  </si>
  <si>
    <t>MEX 10W 3CCT 36°.ldt</t>
  </si>
  <si>
    <t>MEX 10W 3CCT 24°.ldt</t>
  </si>
  <si>
    <t>MEX 10W 3CCT 15°.ldt</t>
  </si>
  <si>
    <t>Drive: 9374 carpetas y 36663 archivos listados. Carpeta de archivos técnicos: 3993 imágenes (3806 fotos asignadas, 112 fotocontexto excluidas, 0 imágenes de otras columnas) y 204 fichas técnicas en PDF. Carpeta CAD: 288 archivos (264 asignados). Carpeta LDT: 250 archivos (161 en Base, 89 sin asignar). Dibujos técnicos: 265 archivos (239 asignados). Curvas fotométricas: 441 archivos (324 asignados). Archivos sin asignar: 244.</t>
  </si>
  <si>
    <t>7726-7727-7728-7738-7739-7740-cad.dwg</t>
  </si>
  <si>
    <t>Archivo sin asignar: CAD sin un SKU de Base en el nombre. Carpeta: Archivo CAD</t>
  </si>
  <si>
    <t>7732-7733-7734-7744-7745-7746-cad.dwg</t>
  </si>
  <si>
    <t>7729-7730-7731-7741-7742-7743-cad.dwg</t>
  </si>
  <si>
    <t>7723-7724-7725-7735-7736-7737-cad.dwg</t>
  </si>
  <si>
    <t>7701-cad.dwg</t>
  </si>
  <si>
    <t>7490-7491-cad.dwg</t>
  </si>
  <si>
    <t>7530-7531-cad.dwg</t>
  </si>
  <si>
    <t>7526-7527-cad.dwg</t>
  </si>
  <si>
    <t>7522-7524-cad.dwg</t>
  </si>
  <si>
    <t>7519-7521-cad.dwg</t>
  </si>
  <si>
    <t>7505-7506-cad.dwg</t>
  </si>
  <si>
    <t>7500-cad.dwg</t>
  </si>
  <si>
    <t>7503-7504-cad.dwg</t>
  </si>
  <si>
    <t>Hay 144 archivos sin asignar más que no se listan.</t>
  </si>
  <si>
    <t>6606-6607-cad.dwg</t>
  </si>
  <si>
    <t>Ningún CAD de la carpeta de CAD incluye este SKU en el nombre.</t>
  </si>
  <si>
    <t>6610-6611-cad.dwg</t>
  </si>
  <si>
    <t>Ningún LDT de la carpeta de LDT corresponde a esta fila (ni por SKU ni por nombre).</t>
  </si>
  <si>
    <t>6742-6743-cad.dwg</t>
  </si>
  <si>
    <t>6744-6745-cad.dwg</t>
  </si>
  <si>
    <t>6746-6747-cad.dwg</t>
  </si>
  <si>
    <t>6748-6749-cad.dwg</t>
  </si>
  <si>
    <t>6750-6813-cad.dwg</t>
  </si>
  <si>
    <t>6814-6815-cad.dwg</t>
  </si>
  <si>
    <t>7066-7065-cad.dwg</t>
  </si>
  <si>
    <t>7097-cad.dwg</t>
  </si>
  <si>
    <t>7098-cad.dwg</t>
  </si>
  <si>
    <t>7114-7115-cad.dwg</t>
  </si>
  <si>
    <t>7120-7121-cad.dwg</t>
  </si>
  <si>
    <t>Tiene fotos en Drive pero falta 7425Fotoproducto0.png.</t>
  </si>
  <si>
    <t>14/10/2026 13:52:34</t>
  </si>
  <si>
    <t>76</t>
  </si>
  <si>
    <t>Modo prueba: no se escribió en Base. Filas revisadas: 809 | Filas con cambios: 681 | Celdas con cambio de nombre: 165 (CAD 74, LDT 90) | Celdas donde solo se puso o corrigió el link: 914 | Celdas vaciadas: 17 (CAD 6, LDT 10) | Galerías recortadas a 10: 131 | Fichas técnicas pasadas a chip: 0 | Filas con ficha sin PDF en Drive: 120 | CAD asignados: 264 de 288 | LDT en Base: 196 de 250 (54 sin asignar) | Dibujos técnicos asignados: 239 de 267 | Curvas fotométricas asignadas: 324 de 441 | Filas sin Fotoproducto0.png: 28 | Archivos sin asignar: 246</t>
  </si>
  <si>
    <t>Drive: 9374 carpetas y 36667 archivos listados. Carpeta de archivos técnicos: 3993 imágenes (3806 fotos asignadas, 112 fotocontexto excluidas, 0 imágenes de otras columnas) y 204 fichas técnicas en PDF. Carpeta CAD: 288 archivos (264 asignados). Carpeta LDT: 250 archivos (196 en Base, 54 sin asignar). Dibujos técnicos: 267 archivos (239 asignados). Curvas fotométricas: 441 archivos (324 asignados). Archivos sin asignar: 246.</t>
  </si>
  <si>
    <t>7496-7497-7498-7499dibujo.webp</t>
  </si>
  <si>
    <t>Archivo sin asignar: El SKU 7496-7497-7498-7499 no está en Base. Carpeta: Dibujos técnicos</t>
  </si>
  <si>
    <t>7492-7493-7494-7495dibujo.webp</t>
  </si>
  <si>
    <t>Archivo sin asignar: El SKU 7492-7493-7494-7495 no está en Base. Carpeta: Dibujos técnicos</t>
  </si>
  <si>
    <t>Hay 146 archivos sin asignar más que no se listan.</t>
  </si>
  <si>
    <t>14/10/2026 14:06:50</t>
  </si>
  <si>
    <t>77</t>
  </si>
  <si>
    <t>Cambios aplicados en Base. Filas revisadas: 809 | Filas con cambios: 681 | Celdas con cambio de nombre: 171 (CAD 74, LDT 96) | Celdas donde solo se puso o corrigió el link: 914 | Celdas vaciadas: 11 (CAD 6, LDT 4) | Galerías recortadas a 10: 131 | Fichas técnicas pasadas a chip: 0 | Filas con ficha sin PDF en Drive: 120 | CAD asignados: 264 de 288 | LDT en Base: 197 de 250 (53 sin asignar) | Dibujos técnicos asignados: 239 de 267 | Curvas fotométricas asignadas: 324 de 441 | Filas sin Fotoproducto0.png: 28 | Archivos sin asignar: 246</t>
  </si>
  <si>
    <t>Drive: 9374 carpetas y 36667 archivos listados. Carpeta de archivos técnicos: 3993 imágenes (3806 fotos asignadas, 112 fotocontexto excluidas, 0 imágenes de otras columnas) y 204 fichas técnicas en PDF. Carpeta CAD: 288 archivos (264 asignados). Carpeta LDT: 250 archivos (197 en Base, 53 sin asignar). Dibujos técnicos: 267 archivos (239 asignados). Curvas fotométricas: 441 archivos (324 asignados). Archivos sin asignar: 246.</t>
  </si>
  <si>
    <t>15/10/2026 07:32:28</t>
  </si>
  <si>
    <t>85</t>
  </si>
  <si>
    <t>Cambios aplicados en Base. Filas revisadas: 809 | Filas con cambios: 11 | Celdas con cambio de nombre: 11 (CAD 11, LDT 0) | Celdas donde solo se puso o corrigió el link: 0 | Celdas vaciadas: 0 (CAD 0, LDT 0) | Galerías recortadas a 10: 131 | Fichas técnicas pasadas a chip: 0 | Filas con ficha sin PDF en Drive: 120 | CAD asignados: 266 de 292 | LDT en Base: 197 de 250 (53 sin asignar) | Dibujos técnicos asignados: 239 de 267 | Curvas fotométricas asignadas: 324 de 441 | Filas sin Fotoproducto0.png: 28 | Archivos sin asignar: 248</t>
  </si>
  <si>
    <t>Drive: 9391 carpetas y 36745 archivos listados. Carpeta de archivos técnicos: 3993 imágenes (3806 fotos asignadas, 112 fotocontexto excluidas, 0 imágenes de otras columnas) y 204 fichas técnicas en PDF. Carpeta CAD: 292 archivos (266 asignados). Carpeta LDT: 250 archivos (197 en Base, 53 sin asignar). Dibujos técnicos: 267 archivos (239 asignados). Curvas fotométricas: 441 archivos (324 asignados). Archivos sin asignar: 248.</t>
  </si>
  <si>
    <t>7496-7497-7498-7499-cad.dwg</t>
  </si>
  <si>
    <t>7492-7493-7494-7495-cad.dwg</t>
  </si>
  <si>
    <t>Hay 148 archivos sin asignar más que no se listan.</t>
  </si>
  <si>
    <t>16/10/2026 07:32:32</t>
  </si>
  <si>
    <t>90</t>
  </si>
  <si>
    <t>Sin cambios. Filas revisadas: 809 | Filas con cambios: 0 | Celdas con cambio de nombre: 0 (CAD 0, LDT 0) | Celdas donde solo se puso o corrigió el link: 0 | Celdas vaciadas: 0 (CAD 0, LDT 0) | Galerías recortadas a 10: 131 | Fichas técnicas pasadas a chip: 0 | Filas con ficha sin PDF en Drive: 120 | CAD asignados: 266 de 292 | LDT en Base: 197 de 250 (53 sin asignar) | Dibujos técnicos asignados: 239 de 267 | Curvas fotométricas asignadas: 324 de 441 | Filas sin Fotoproducto0.png: 28 | Archivos sin asignar: 248</t>
  </si>
  <si>
    <t>Drive: 9394 carpetas y 36773 archivos listados. Carpeta de archivos técnicos: 3993 imágenes (3806 fotos asignadas, 112 fotocontexto excluidas, 0 imágenes de otras columnas) y 204 fichas técnicas en PDF. Carpeta CAD: 292 archivos (266 asignados). Carpeta LDT: 250 archivos (197 en Base, 53 sin asignar). Dibujos técnicos: 267 archivos (239 asignados). Curvas fotométricas: 441 archivos (324 asignados). Archivos sin asignar: 248.</t>
  </si>
  <si>
    <t>Fecha anterior</t>
  </si>
  <si>
    <t>Fecha nueva</t>
  </si>
  <si>
    <t>06/10/2026 15:36:50</t>
  </si>
  <si>
    <t>50</t>
  </si>
  <si>
    <t>Fechas actualizadas en Base. Productos de Base con ingreso: 268 | Sin fecha informada: 53 | Fechas nuevas: 215 | Fechas modificadas: 0 | Fechas vaciadas: 0 | Muestras excluidas: 0 | SKU de Próximos ingresos que no están en Base: 217 | Filas sin SKU: 10</t>
  </si>
  <si>
    <t>19/10/2026</t>
  </si>
  <si>
    <t>Fecha nueva.</t>
  </si>
  <si>
    <t>15/11/2026</t>
  </si>
  <si>
    <t>17/11/2026</t>
  </si>
  <si>
    <t>06/10/2026 15:37:24</t>
  </si>
  <si>
    <t>51</t>
  </si>
  <si>
    <t>Sin cambios. Productos de Base con ingreso: 268 | Sin fecha informada: 53 | Fechas nuevas: 0 | Fechas modificadas: 0 | Fechas vaciadas: 0 | Muestras excluidas: 0 | SKU de Próximos ingresos que no están en Base: 217 | Filas sin SKU: 10</t>
  </si>
  <si>
    <t>07/10/2026 07:15:04</t>
  </si>
  <si>
    <t>56</t>
  </si>
  <si>
    <t>08/10/2026 07:15:05</t>
  </si>
  <si>
    <t>59</t>
  </si>
  <si>
    <t>Fechas actualizadas en Base. Productos de Base con ingreso: 268 | Sin fecha informada: 53 | Fechas nuevas: 0 | Fechas modificadas: 183 | Fechas vaciadas: 0 | Muestras excluidas: 0 | SKU de Próximos ingresos que no están en Base: 217 | Filas sin SKU: 10</t>
  </si>
  <si>
    <t>20/10/2026</t>
  </si>
  <si>
    <t>Cambio de fecha probable.</t>
  </si>
  <si>
    <t>09/10/2026 07:15:06</t>
  </si>
  <si>
    <t>64</t>
  </si>
  <si>
    <t>Tipo de archivo</t>
  </si>
  <si>
    <t>Archivo</t>
  </si>
  <si>
    <t>Producto</t>
  </si>
  <si>
    <t>Destino</t>
  </si>
  <si>
    <t>Archivo reemplazado</t>
  </si>
  <si>
    <t>14/10/2026 18:36:44</t>
  </si>
  <si>
    <t>80</t>
  </si>
  <si>
    <t>Modo prueba: no se tocó Drive. En modo real se FRENARÍA: 33 archivos a reemplazar superan el máximo de 20. Origen: 292 CAD y 250 LDT | Ya estaban iguales: 407 | Copias: 54 (21 nuevos, 33 reemplazos) | Archivos viejos a Reemplazados: 33 | Carpetas a crear: 12 | Omitidos sin carpeta de producto: 0 | Ambiguos: 2 | Sin fila en Base: 79 | Carpetas de producto reconocidas: 196</t>
  </si>
  <si>
    <t>CARPETA (simulado)</t>
  </si>
  <si>
    <t>Interior / De Techo / Apliques / POCKET AP / POCKET VI AP</t>
  </si>
  <si>
    <t>Interior / De Techo / Apliques / POCKET AP / POCKET VI AP / Archivo CAD</t>
  </si>
  <si>
    <t>Se crearía la carpeta.</t>
  </si>
  <si>
    <t>Interior / De Techo / Apliques / POCKET AP / POCKET XII AP</t>
  </si>
  <si>
    <t>Interior / De Techo / Apliques / POCKET AP / POCKET XII AP / Archivo CAD</t>
  </si>
  <si>
    <t>Interior / De Techo / Embutidos / LIV</t>
  </si>
  <si>
    <t>Interior / De Techo / Embutidos / LIV / Archivo CAD</t>
  </si>
  <si>
    <t>Interior / De Techo / Embutidos / POCKET / POCKET IV</t>
  </si>
  <si>
    <t>Interior / De Techo / Embutidos / POCKET / POCKET IV / Archivo CAD</t>
  </si>
  <si>
    <t>Interior / De Techo / Embutidos / POCKET / POCKET III</t>
  </si>
  <si>
    <t>Interior / De Techo / Embutidos / POCKET / POCKET III / Archivo CAD</t>
  </si>
  <si>
    <t>Archivo LDT</t>
  </si>
  <si>
    <t>Interior / De Techo / Embutidos / POCKET / POCKET IV / Archivo LDT</t>
  </si>
  <si>
    <t>Interior / De Techo / Embutidos / POCKET / POCKET XII</t>
  </si>
  <si>
    <t>Interior / De Techo / Embutidos / POCKET / POCKET XII / Archivo LDT</t>
  </si>
  <si>
    <t>Interior / De Techo / Embutidos / POCKET / POCKET VI</t>
  </si>
  <si>
    <t>Interior / De Techo / Embutidos / POCKET / POCKET VI / Archivo LDT</t>
  </si>
  <si>
    <t>Interior / De Techo / Embutidos / POCKET / POCKET III / Archivo LDT</t>
  </si>
  <si>
    <t>Interior / De Techo / Apliques / POCKET AP / POCKET XII AP / Archivo LDT</t>
  </si>
  <si>
    <t>Interior / De Techo / Apliques / POCKET AP / POCKET VI AP / Archivo LDT</t>
  </si>
  <si>
    <t>2026-10-14</t>
  </si>
  <si>
    <t>Reemplazados - Proceso 3 (automático)</t>
  </si>
  <si>
    <t>Reemplazados - Proceso 3 (automático) / 2026-10-14</t>
  </si>
  <si>
    <t>COPIA (simulado)</t>
  </si>
  <si>
    <t>CAD</t>
  </si>
  <si>
    <t>7195-7196-7197-7297-7298-7299</t>
  </si>
  <si>
    <t>Interior / De Techo / Apliques / POCKET AP / POCKET VI AP / Archivo CAD (nueva)</t>
  </si>
  <si>
    <t>Archivo nuevo en el producto.</t>
  </si>
  <si>
    <t>7198-7199-7200-7300-7301-7302</t>
  </si>
  <si>
    <t>Interior / De Techo / Apliques / POCKET AP / POCKET XII AP / Archivo CAD (nueva)</t>
  </si>
  <si>
    <t>7242-7241</t>
  </si>
  <si>
    <t>Interior / Rieles / Rieles / RIEL 3 EF</t>
  </si>
  <si>
    <t>Interior / Rieles / Rieles / RIEL 3 EF / Archivo CAD</t>
  </si>
  <si>
    <t>7229-7230</t>
  </si>
  <si>
    <t>7232-7231</t>
  </si>
  <si>
    <t>REEMPLAZO (simulado)</t>
  </si>
  <si>
    <t>7115-7114</t>
  </si>
  <si>
    <t>Interior / De Techo / Apliques / FORTE</t>
  </si>
  <si>
    <t>Interior / De Techo / Apliques / FORTE / Archivo CAD / FORTE 12W</t>
  </si>
  <si>
    <t>Reemplaza al archivo anterior, que pasaría a Reemplazados.</t>
  </si>
  <si>
    <t>Interior / De Pared / Apliques / CATEN</t>
  </si>
  <si>
    <t>Interior / De Pared / Apliques / CATEN / Archivo CAD / CATEN 60</t>
  </si>
  <si>
    <t>7097-7246</t>
  </si>
  <si>
    <t>Interior / De Pared / Apliques / CATEN / Archivo CAD / CATEN 30</t>
  </si>
  <si>
    <t>6746-6747-7305</t>
  </si>
  <si>
    <t>Exterior / De Piso / Proyectores / CHILL</t>
  </si>
  <si>
    <t>Exterior / De Piso / Proyectores / CHILL / Archivo CAD / CHILL 10W / CHILL 10W 220V</t>
  </si>
  <si>
    <t>6748-6749-7306</t>
  </si>
  <si>
    <t>Exterior / De Piso / Proyectores / CHILL / Archivo CAD / CHILL 10W / CHILL 10W 24V</t>
  </si>
  <si>
    <t>6742-6743-7303</t>
  </si>
  <si>
    <t>Exterior / De Piso / Proyectores / CHILL / Archivo CAD / CHILL 5W / CHILL 5W 220V</t>
  </si>
  <si>
    <t>6744-6745-7304</t>
  </si>
  <si>
    <t>Exterior / De Piso / Proyectores / CHILL / Archivo CAD / CHILL 5W / CHILL 5W 24V</t>
  </si>
  <si>
    <t>6750-6813-7307</t>
  </si>
  <si>
    <t>Exterior / De Piso / Proyectores / CHILL / Archivo CAD / CHILL 20W / CHILL 20W 220V</t>
  </si>
  <si>
    <t>6814-6815-7308</t>
  </si>
  <si>
    <t>Exterior / De Piso / Proyectores / CHILL / Archivo CAD / CHILL 20W / CHILL 20W 24V</t>
  </si>
  <si>
    <t>7120-7121-7240</t>
  </si>
  <si>
    <t>Interior / De Techo / Embutidos / MUST</t>
  </si>
  <si>
    <t>Interior / De Techo / Embutidos / MUST / Archivo CAD</t>
  </si>
  <si>
    <t>7252-7253</t>
  </si>
  <si>
    <t>Interior / De Techo / Colgantes / LAIVA</t>
  </si>
  <si>
    <t>Interior / De Techo / Colgantes / LAIVA / Archivo CAD</t>
  </si>
  <si>
    <t>7074-7075</t>
  </si>
  <si>
    <t>Interior / De Techo / Colgantes / MARDAI</t>
  </si>
  <si>
    <t>Interior / De Techo / Colgantes / MARDAI / Archivo CAD / MARDAI</t>
  </si>
  <si>
    <t>7061-7062</t>
  </si>
  <si>
    <t>Interior / De Techo / Colgantes / DRABE</t>
  </si>
  <si>
    <t>Interior / De Techo / Colgantes / DRABE / Archivo CAD</t>
  </si>
  <si>
    <t>7057-7058</t>
  </si>
  <si>
    <t>Interior / De Techo / Colgantes / TRAKKE</t>
  </si>
  <si>
    <t>Interior / De Techo / Colgantes / TRAKKE / Archivo CAD</t>
  </si>
  <si>
    <t>6838-6839</t>
  </si>
  <si>
    <t>Interior / De Techo / Apliques / SIRENA</t>
  </si>
  <si>
    <t>Interior / De Techo / Apliques / SIRENA / Archivo CAD</t>
  </si>
  <si>
    <t>7205-7206</t>
  </si>
  <si>
    <t>Interior / De Techo / Embutidos / LIV / Archivo CAD (nueva)</t>
  </si>
  <si>
    <t>7203-7204</t>
  </si>
  <si>
    <t>7201-7202</t>
  </si>
  <si>
    <t>7182-7183-7184</t>
  </si>
  <si>
    <t>Interior / De Techo / Embutidos / POCKET / POCKET IV / Archivo CAD (nueva)</t>
  </si>
  <si>
    <t>7177-7178-7179-7180-7181</t>
  </si>
  <si>
    <t>Interior / De Techo / Embutidos / POCKET / POCKET III / Archivo CAD (nueva)</t>
  </si>
  <si>
    <t>LDT</t>
  </si>
  <si>
    <t>7182-7183-7184-7284-7285-7286</t>
  </si>
  <si>
    <t>Interior / De Techo / Embutidos / POCKET / POCKET IV / Archivo LDT (nueva)</t>
  </si>
  <si>
    <t>7190-7191-7192-7193-7194-7292-7293-7294-7295-7296</t>
  </si>
  <si>
    <t>Interior / De Techo / Embutidos / POCKET / POCKET XII / Archivo LDT (nueva)</t>
  </si>
  <si>
    <t>7185-7186-7187-7188-7189-7287-7288-7289-7290-7291</t>
  </si>
  <si>
    <t>Interior / De Techo / Embutidos / POCKET / POCKET VI / Archivo LDT (nueva)</t>
  </si>
  <si>
    <t>7177-7178-7179-7180-7181-7280-7281-7282-7283-7317</t>
  </si>
  <si>
    <t>Interior / De Techo / Embutidos / POCKET / POCKET III / Archivo LDT (nueva)</t>
  </si>
  <si>
    <t>Interior / De Techo / Apliques / POCKET AP / POCKET XII AP / Archivo LDT (nueva)</t>
  </si>
  <si>
    <t>Interior / De Techo / Apliques / POCKET AP / POCKET VI AP / Archivo LDT (nueva)</t>
  </si>
  <si>
    <t>6746-6747-6748-6749-7305-7306</t>
  </si>
  <si>
    <t>Exterior / De Piso / Proyectores / CHILL / Archivo LDT / CHILL 10W</t>
  </si>
  <si>
    <t>6742-6743-6744-6745-7303-7304</t>
  </si>
  <si>
    <t>Exterior / De Piso / Proyectores / CHILL / Archivo LDT / CHILL 5W</t>
  </si>
  <si>
    <t>6750-6813-6814-6815-7307-7308</t>
  </si>
  <si>
    <t>Exterior / De Piso / Proyectores / CHILL / Archivo LDT / CHILL 20W</t>
  </si>
  <si>
    <t>Interior / De Techo / Apliques / LUVA</t>
  </si>
  <si>
    <t>Interior / De Techo / Apliques / LUVA / Archivo LDT</t>
  </si>
  <si>
    <t>Interior / De Techo / Colgantes / LAIVA / Archivo LDT</t>
  </si>
  <si>
    <t>6843-6844-6845-6846</t>
  </si>
  <si>
    <t>Exterior / De Pared / Apliques / MIJA</t>
  </si>
  <si>
    <t>Exterior / De Pared / Apliques / MIJA / Archivo LDT</t>
  </si>
  <si>
    <t>Interior / De Techo / Embutidos / LIV / Archivo LDT / LIV S 7W</t>
  </si>
  <si>
    <t>Interior / De Techo / Embutidos / LIV / Archivo LDT / LIV M 12W</t>
  </si>
  <si>
    <t>Interior / De Techo / Embutidos / LIV / Archivo LDT / LIV L 20W</t>
  </si>
  <si>
    <t>Exterior / De Pared / Apliques / TOICHO</t>
  </si>
  <si>
    <t>Exterior / De Pared / Apliques / TOICHO / Archivo LDT</t>
  </si>
  <si>
    <t>6736-6737</t>
  </si>
  <si>
    <t>Interior / De Techo / Apliques / PRISMA</t>
  </si>
  <si>
    <t>Interior / De Techo / Apliques / PRISMA / Archivo LDT</t>
  </si>
  <si>
    <t>6758-6818</t>
  </si>
  <si>
    <t>Exterior / De Piso / Embutidos / ELON</t>
  </si>
  <si>
    <t>Exterior / De Piso / Embutidos / ELON / Archivo LDT</t>
  </si>
  <si>
    <t>6842-6855-6856</t>
  </si>
  <si>
    <t>Interior / De Pared / Apliques / CAPI</t>
  </si>
  <si>
    <t>Interior / De Pared / Apliques / CAPI / Archivo LDT</t>
  </si>
  <si>
    <t>Interior / De Techo / Embutidos / SUN</t>
  </si>
  <si>
    <t>Interior / De Techo / Embutidos / SUN / Archivo LDT / SUN 120X120</t>
  </si>
  <si>
    <t>Exterior / De Pared / Apliques / PIER W</t>
  </si>
  <si>
    <t>Exterior / De Pared / Apliques / PIER W / Archivo LDT</t>
  </si>
  <si>
    <t>6633-6634</t>
  </si>
  <si>
    <t>Exterior / De Pared / Apliques / BIG SKOTE</t>
  </si>
  <si>
    <t>Exterior / De Pared / Apliques / BIG SKOTE / Archivo LDT</t>
  </si>
  <si>
    <t>4182-4183</t>
  </si>
  <si>
    <t>Exterior / De Pared / Apliques / TETRA</t>
  </si>
  <si>
    <t>Exterior / De Pared / Apliques / TETRA / Archivo LDT</t>
  </si>
  <si>
    <t>A REEMPLAZADOS (simulado)</t>
  </si>
  <si>
    <t>Reemplazados - Proceso 3</t>
  </si>
  <si>
    <t>Reemplazado por 7115-7114-cad.dwg.</t>
  </si>
  <si>
    <t>Reemplazado por 7098-7444-cad.dwg.</t>
  </si>
  <si>
    <t>Reemplazado por 7097-7246-7442-7443-cad.dwg.</t>
  </si>
  <si>
    <t>Reemplazado por 6746-6747-7305-cad.dwg.</t>
  </si>
  <si>
    <t>Reemplazado por 6748-6749-7306-cad.dwg.</t>
  </si>
  <si>
    <t>Reemplazado por 6742-6743-7303-cad.dwg.</t>
  </si>
  <si>
    <t>Reemplazado por 6744-6745-7304-cad.dwg.</t>
  </si>
  <si>
    <t>Reemplazado por 6750-6813-7307-cad.dwg.</t>
  </si>
  <si>
    <t>Reemplazado por 6814-6815-7308-cad.dwg.</t>
  </si>
  <si>
    <t>Reemplazado por 7120-7121-7240cad.dwg.</t>
  </si>
  <si>
    <t>Reemplazado por 7074-7075-cad.dwg.</t>
  </si>
  <si>
    <t>Reemplazado por 7061-7062-cad.dwg.</t>
  </si>
  <si>
    <t>Reemplazado por 7057-7058-cad.dwg.</t>
  </si>
  <si>
    <t>Reemplazado por 6838-6839-cad.dwg.</t>
  </si>
  <si>
    <t>Reemplazado por CHILL 10W 36°.ldt.</t>
  </si>
  <si>
    <t>Reemplazado por CHILL 10W 24°.ldt.</t>
  </si>
  <si>
    <t>Reemplazado por CHILL 5W 15°.ldt.</t>
  </si>
  <si>
    <t>Reemplazado por CHILL 20W 15°.ldt.</t>
  </si>
  <si>
    <t>Reemplazado por CHILL 5W 36°.ldt.</t>
  </si>
  <si>
    <t>Reemplazado por CHILL 5W 24°.ldt.</t>
  </si>
  <si>
    <t>Reemplazado por CHILL 10W 15°.ldt.</t>
  </si>
  <si>
    <t>Reemplazado por CHILL 20W 36°.ldt.</t>
  </si>
  <si>
    <t>Reemplazado por CHILL 20W 24°.ldt.</t>
  </si>
  <si>
    <t>Reemplazado por LIV S 7W.ldt.</t>
  </si>
  <si>
    <t>Reemplazado por LIV M 12W.ldt.</t>
  </si>
  <si>
    <t>Reemplazado por LIV L 20W.ldt.</t>
  </si>
  <si>
    <t>Reemplazado por TOICHO.ldt.</t>
  </si>
  <si>
    <t>Reemplazado por ELON.ldt.</t>
  </si>
  <si>
    <t>Reemplazado por CAPI.ldt.</t>
  </si>
  <si>
    <t>Reemplazado por SUN 120X120.ldt.</t>
  </si>
  <si>
    <t>Reemplazado por PIER W.ldt.</t>
  </si>
  <si>
    <t>Reemplazado por BIG SKOTE.ldt.</t>
  </si>
  <si>
    <t>Reemplazado por TETRA.ldt.</t>
  </si>
  <si>
    <t>OMITIDO</t>
  </si>
  <si>
    <t>El nombre no tiene un SKU de Base.</t>
  </si>
  <si>
    <t>7432-7433-7434-7435-cad.dwg</t>
  </si>
  <si>
    <t>7428-7429-7430-7431-cad.dwg</t>
  </si>
  <si>
    <t>7475-7476-7477-7478-cad.dwg</t>
  </si>
  <si>
    <t>7483-7484-7485-7486-cad.dwg</t>
  </si>
  <si>
    <t>7479-7480-7481-7482-cad.dwg</t>
  </si>
  <si>
    <t>7445-7446-7447-cad.dwg</t>
  </si>
  <si>
    <t>7518-cad.dwg</t>
  </si>
  <si>
    <t>1-BLOQUES AUTOCAD LEUK.dwg</t>
  </si>
  <si>
    <t>No corresponde a ninguna fila de Base (ni por SKU ni por nombre).</t>
  </si>
  <si>
    <t>Se agrega como nuevo. En la carpeta ya había: LUVA NG.ldt. Revisar si alguno quedó viejo (los LDT con otro nombre no se mueven solos).</t>
  </si>
  <si>
    <t>Se agrega como nuevo. En la carpeta ya había: LAIVA.ldt. Revisar si alguno quedó viejo (los LDT con otro nombre no se mueven solos).</t>
  </si>
  <si>
    <t>Se agrega como nuevo. En la carpeta ya había: MIJA R 12W.ldt. Revisar si alguno quedó viejo (los LDT con otro nombre no se mueven solos).</t>
  </si>
  <si>
    <t>Se agrega como nuevo. En la carpeta ya había: PRISMA 20W.ldt, PRISMA12W.ldt. Revisar si alguno quedó viejo (los LDT con otro nombre no se mueven solos).</t>
  </si>
  <si>
    <t>6619-6716</t>
  </si>
  <si>
    <t>Interior / De Techo / Apliques / SINTRA | Interior / De Techo / Apliques / YORK</t>
  </si>
  <si>
    <t>Ambiguo: el SKU aparece en más de un producto. Subirlo a mano.</t>
  </si>
  <si>
    <t>6639-6694</t>
  </si>
  <si>
    <t>Exterior / De Piso / Bolardos / RUFFO | Exterior / De Piso / Bolardos / RUFFO GU10</t>
  </si>
  <si>
    <t>14/10/2026 18:46:58</t>
  </si>
  <si>
    <t>81</t>
  </si>
  <si>
    <t>Cambios aplicados en Drive (frenos de cantidad levantados por PERMITIR_MASIVO_HASTA). Origen: 292 CAD y 250 LDT | Ya estaban iguales: 407 | Copias: 54 (21 nuevos, 33 reemplazos) | Archivos viejos a Reemplazados: 33 | Carpetas a crear: 12 | Omitidos sin carpeta de producto: 0 | Ambiguos: 2 | Sin fila en Base: 79 | Carpetas de producto reconocidas: 196</t>
  </si>
  <si>
    <t>CARPETA</t>
  </si>
  <si>
    <t>Carpeta creada.</t>
  </si>
  <si>
    <t>COPIA</t>
  </si>
  <si>
    <t>REEMPLAZO</t>
  </si>
  <si>
    <t>Copiado; el anterior pasa a Reemplazados.</t>
  </si>
  <si>
    <t>A REEMPLAZADOS</t>
  </si>
  <si>
    <t>14/10/2026 18:51:38</t>
  </si>
  <si>
    <t>82</t>
  </si>
  <si>
    <t>Sin cambios. Origen: 292 CAD y 250 LDT | Ya estaban iguales: 461 | Copias: 0 (0 nuevos, 0 reemplazos) | Archivos viejos a Reemplazados: 0 | Carpetas a crear: 0 | Omitidos sin carpeta de producto: 0 | Ambiguos: 2 | Sin fila en Base: 79 | Carpetas de producto reconocidas: 196</t>
  </si>
  <si>
    <t>15/10/2026 10:52:32</t>
  </si>
  <si>
    <t>86</t>
  </si>
  <si>
    <t>Modo prueba: no se tocó Drive. Origen: 292 CAD y 250 LDT | Ya estaban iguales: 463 | Copias: 0 (0 nuevos, 0 reemplazos) | Archivos viejos a Reemplazados: 2 | Carpetas a crear: 1 | Omitidos sin carpeta de producto: 0 | Ambiguos: 0 | Sin fila en Base: 79 | Carpetas de producto reconocidas: 196</t>
  </si>
  <si>
    <t>2026-10-15</t>
  </si>
  <si>
    <t>Reemplazados - Proceso 3 (automático) / 2026-10-15</t>
  </si>
  <si>
    <t>Ya no está en la carpeta pública de LDT. LDT vigentes del producto: MIJA R Y C 12W .ldt.</t>
  </si>
  <si>
    <t>Ya no está en la carpeta pública de LDT. LDT vigentes del producto: PRISMA.ldt, PRISMA 20W.ldt.</t>
  </si>
  <si>
    <t>Interior / De Techo / Apliques / SINTRA</t>
  </si>
  <si>
    <t>Encajaba en 2 productos (SINTRA, YORK); va al que tiene el mismo nombre que el archivo.</t>
  </si>
  <si>
    <t>Exterior / De Piso / Bolardos / RUFFO</t>
  </si>
  <si>
    <t>Encajaba en 2 productos (RUFFO, RUFFO GU10); va al que tiene el mismo nombre que el archivo.</t>
  </si>
  <si>
    <t>15/10/2026 10:56:46</t>
  </si>
  <si>
    <t>87</t>
  </si>
  <si>
    <t>Cambios aplicados en Drive. Origen: 292 CAD y 250 LDT | Ya estaban iguales: 463 | Copias: 0 (0 nuevos, 0 reemplazos) | Archivos viejos a Reemplazados: 2 | Carpetas a crear: 1 | Omitidos sin carpeta de producto: 0 | Ambiguos: 0 | Sin fila en Base: 79 | Carpetas de producto reconocidas: 196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</si>
</sst>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1]"/>
    <numFmt numFmtId="165" formatCode="0.0"/>
    <numFmt numFmtId="166" formatCode="dd/mm/yyyy"/>
    <numFmt numFmtId="167" formatCode="#,##0.0000"/>
  </numFmts>
  <fonts count="29">
    <font>
      <sz val="10.0"/>
      <color rgb="FF000000"/>
      <name val="Arial"/>
      <scheme val="minor"/>
    </font>
    <font>
      <color theme="1"/>
      <name val="Arial"/>
    </font>
    <font>
      <b/>
      <color theme="1"/>
      <name val="Arial"/>
    </font>
    <font>
      <sz val="11.0"/>
      <color rgb="FF000000"/>
      <name val="Calibri"/>
    </font>
    <font>
      <color rgb="FF000000"/>
      <name val="Arial"/>
    </font>
    <font>
      <u/>
      <color rgb="FF000000"/>
      <name val="Arial"/>
    </font>
    <font>
      <u/>
      <sz val="11.0"/>
      <color rgb="FF000000"/>
      <name val="Calibri"/>
    </font>
    <font>
      <u/>
      <color rgb="FF000000"/>
      <name val="Arial"/>
    </font>
    <font>
      <u/>
      <sz val="11.0"/>
      <color rgb="FF000000"/>
      <name val="Calibri"/>
    </font>
    <font>
      <sz val="11.0"/>
      <color theme="1"/>
      <name val="Calibri"/>
    </font>
    <font>
      <sz val="11.0"/>
      <color rgb="FFCC0000"/>
      <name val="Calibri"/>
    </font>
    <font>
      <color rgb="FFCC0000"/>
      <name val="Arial"/>
    </font>
    <font>
      <u/>
      <color rgb="FFCC0000"/>
      <name val="Arial"/>
    </font>
    <font>
      <u/>
      <color rgb="FFCC0000"/>
      <name val="Arial"/>
    </font>
    <font>
      <u/>
      <sz val="11.0"/>
      <color rgb="FFCC0000"/>
      <name val="Calibri"/>
    </font>
    <font>
      <u/>
      <color rgb="FF000000"/>
      <name val="Arial"/>
    </font>
    <font>
      <sz val="11.0"/>
      <color theme="1"/>
      <name val="Arial"/>
      <scheme val="minor"/>
    </font>
    <font>
      <u/>
      <sz val="11.0"/>
      <color rgb="FF000000"/>
      <name val="Calibri"/>
    </font>
    <font>
      <u/>
      <sz val="11.0"/>
      <color rgb="FF000000"/>
      <name val="Calibri"/>
    </font>
    <font>
      <sz val="9.0"/>
      <color rgb="FF000000"/>
      <name val="-apple-system"/>
    </font>
    <font>
      <b/>
      <u/>
      <color rgb="FF000000"/>
      <name val="Arial"/>
    </font>
    <font>
      <sz val="11.0"/>
      <color rgb="FFFF0000"/>
      <name val="Calibri"/>
    </font>
    <font>
      <u/>
      <color theme="1"/>
      <name val="Arial"/>
    </font>
    <font>
      <u/>
      <color theme="1"/>
      <name val="Arial"/>
    </font>
    <font>
      <u/>
      <color rgb="FF000000"/>
      <name val="Arial"/>
    </font>
    <font>
      <u/>
      <color rgb="FF000000"/>
      <name val="Arial"/>
    </font>
    <font>
      <color theme="1"/>
      <name val="Arial"/>
      <scheme val="minor"/>
    </font>
    <font>
      <b/>
      <color theme="1"/>
      <name val="Arial"/>
      <scheme val="minor"/>
    </font>
    <font>
      <b/>
      <color rgb="FF000000"/>
      <name val="Arial"/>
    </font>
  </fonts>
  <fills count="5">
    <fill>
      <patternFill patternType="none"/>
    </fill>
    <fill>
      <patternFill patternType="lightGray"/>
    </fill>
    <fill>
      <patternFill patternType="solid">
        <fgColor rgb="FFFFF299"/>
        <bgColor rgb="FFFFF299"/>
      </patternFill>
    </fill>
    <fill>
      <patternFill patternType="solid">
        <fgColor rgb="FFFFFFFF"/>
        <bgColor rgb="FFFFFFFF"/>
      </patternFill>
    </fill>
    <fill>
      <patternFill patternType="solid">
        <fgColor rgb="FFD9D9D9"/>
        <bgColor rgb="FFD9D9D9"/>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164" xfId="0" applyAlignment="1" applyFont="1" applyNumberFormat="1">
      <alignment horizontal="left" readingOrder="0" shrinkToFit="0" vertical="center" wrapText="0"/>
    </xf>
    <xf borderId="0" fillId="0" fontId="2" numFmtId="0" xfId="0" applyAlignment="1" applyFont="1">
      <alignment horizontal="left" readingOrder="0" shrinkToFit="0" vertical="bottom" wrapText="0"/>
    </xf>
    <xf borderId="0" fillId="0" fontId="2" numFmtId="0" xfId="0" applyAlignment="1" applyFont="1">
      <alignment horizontal="center" readingOrder="0" shrinkToFit="0" vertical="bottom" wrapText="0"/>
    </xf>
    <xf borderId="0" fillId="0" fontId="2" numFmtId="49" xfId="0" applyAlignment="1" applyFont="1" applyNumberFormat="1">
      <alignment horizontal="left" readingOrder="0" shrinkToFit="0" vertical="bottom" wrapText="0"/>
    </xf>
    <xf borderId="0" fillId="0" fontId="2" numFmtId="165" xfId="0" applyAlignment="1" applyFont="1" applyNumberFormat="1">
      <alignment horizontal="left" readingOrder="0" shrinkToFit="0" vertical="bottom" wrapText="0"/>
    </xf>
    <xf borderId="1" fillId="0" fontId="2" numFmtId="0" xfId="0" applyAlignment="1" applyBorder="1" applyFont="1">
      <alignment horizontal="left" readingOrder="0" shrinkToFit="0" vertical="bottom" wrapText="0"/>
    </xf>
    <xf borderId="1" fillId="0" fontId="3" numFmtId="0" xfId="0" applyAlignment="1" applyBorder="1" applyFont="1">
      <alignment horizontal="left" shrinkToFit="0" vertical="bottom" wrapText="0"/>
    </xf>
    <xf borderId="1" fillId="0" fontId="4" numFmtId="0" xfId="0" applyAlignment="1" applyBorder="1" applyFont="1">
      <alignment horizontal="left" shrinkToFit="0" vertical="bottom" wrapText="0"/>
    </xf>
    <xf borderId="1" fillId="0" fontId="5" numFmtId="0" xfId="0" applyAlignment="1" applyBorder="1" applyFont="1">
      <alignment horizontal="left" readingOrder="0" shrinkToFit="0" vertical="bottom" wrapText="0"/>
    </xf>
    <xf borderId="1" fillId="0" fontId="6" numFmtId="0" xfId="0" applyAlignment="1" applyBorder="1" applyFont="1">
      <alignment horizontal="left" readingOrder="0" shrinkToFit="0" vertical="bottom" wrapText="0"/>
    </xf>
    <xf borderId="1" fillId="0" fontId="3" numFmtId="0" xfId="0" applyAlignment="1" applyBorder="1" applyFont="1">
      <alignment horizontal="left" shrinkToFit="0" vertical="bottom" wrapText="0"/>
    </xf>
    <xf borderId="1" fillId="0" fontId="4" numFmtId="0" xfId="0" applyAlignment="1" applyBorder="1" applyFont="1">
      <alignment horizontal="left" readingOrder="0" shrinkToFit="0" vertical="bottom" wrapText="0"/>
    </xf>
    <xf borderId="1" fillId="0" fontId="3" numFmtId="166" xfId="0" applyAlignment="1" applyBorder="1" applyFont="1" applyNumberFormat="1">
      <alignment horizontal="left" shrinkToFit="0" vertical="bottom" wrapText="0"/>
    </xf>
    <xf borderId="1" fillId="0" fontId="3" numFmtId="0" xfId="0" applyAlignment="1" applyBorder="1" applyFont="1">
      <alignment horizontal="left" readingOrder="0" shrinkToFit="0" vertical="bottom" wrapText="0"/>
    </xf>
    <xf borderId="1" fillId="0" fontId="3" numFmtId="166" xfId="0" applyAlignment="1" applyBorder="1" applyFont="1" applyNumberFormat="1">
      <alignment horizontal="left" readingOrder="0" shrinkToFit="0" vertical="bottom" wrapText="0"/>
    </xf>
    <xf borderId="1" fillId="0" fontId="7" numFmtId="0" xfId="0" applyAlignment="1" applyBorder="1" applyFont="1">
      <alignment horizontal="left" readingOrder="0" shrinkToFit="0" vertical="bottom" wrapText="0"/>
    </xf>
    <xf borderId="1" fillId="0" fontId="3" numFmtId="0" xfId="0" applyAlignment="1" applyBorder="1" applyFont="1">
      <alignment horizontal="left" readingOrder="0" shrinkToFit="0" vertical="bottom" wrapText="0"/>
    </xf>
    <xf borderId="1" fillId="0" fontId="8" numFmtId="0" xfId="0" applyAlignment="1" applyBorder="1" applyFont="1">
      <alignment horizontal="left" readingOrder="0" shrinkToFit="0" vertical="bottom" wrapText="0"/>
    </xf>
    <xf borderId="1" fillId="0" fontId="3" numFmtId="0" xfId="0" applyAlignment="1" applyBorder="1" applyFont="1">
      <alignment horizontal="left" readingOrder="0" shrinkToFit="0" vertical="bottom" wrapText="0"/>
    </xf>
    <xf borderId="1" fillId="0" fontId="4" numFmtId="165" xfId="0" applyAlignment="1" applyBorder="1" applyFont="1" applyNumberFormat="1">
      <alignment horizontal="left" shrinkToFit="0" vertical="bottom" wrapText="0"/>
    </xf>
    <xf borderId="1" fillId="0" fontId="4" numFmtId="0" xfId="0" applyAlignment="1" applyBorder="1" applyFont="1">
      <alignment horizontal="left" shrinkToFit="0" vertical="center" wrapText="0"/>
    </xf>
    <xf borderId="0" fillId="0" fontId="9" numFmtId="0" xfId="0" applyAlignment="1" applyFont="1">
      <alignment horizontal="left" shrinkToFit="0" vertical="center" wrapText="0"/>
    </xf>
    <xf quotePrefix="1" borderId="1" fillId="0" fontId="4" numFmtId="0" xfId="0" applyAlignment="1" applyBorder="1" applyFont="1">
      <alignment horizontal="left" readingOrder="0" shrinkToFit="0" vertical="bottom" wrapText="0"/>
    </xf>
    <xf borderId="1" fillId="0" fontId="10" numFmtId="0" xfId="0" applyAlignment="1" applyBorder="1" applyFont="1">
      <alignment horizontal="left" shrinkToFit="0" vertical="bottom" wrapText="0"/>
    </xf>
    <xf borderId="1" fillId="0" fontId="10" numFmtId="0" xfId="0" applyAlignment="1" applyBorder="1" applyFont="1">
      <alignment horizontal="left" readingOrder="0" shrinkToFit="0" vertical="bottom" wrapText="0"/>
    </xf>
    <xf borderId="1" fillId="0" fontId="11" numFmtId="0" xfId="0" applyAlignment="1" applyBorder="1" applyFont="1">
      <alignment horizontal="left" shrinkToFit="0" vertical="bottom" wrapText="0"/>
    </xf>
    <xf borderId="1" fillId="0" fontId="12" numFmtId="0" xfId="0" applyAlignment="1" applyBorder="1" applyFont="1">
      <alignment horizontal="left" readingOrder="0" shrinkToFit="0" vertical="bottom" wrapText="0"/>
    </xf>
    <xf borderId="1" fillId="0" fontId="13" numFmtId="0" xfId="0" applyAlignment="1" applyBorder="1" applyFont="1">
      <alignment horizontal="left" readingOrder="0" shrinkToFit="0" vertical="bottom" wrapText="0"/>
    </xf>
    <xf borderId="1" fillId="0" fontId="14" numFmtId="0" xfId="0" applyAlignment="1" applyBorder="1" applyFont="1">
      <alignment horizontal="left" readingOrder="0" shrinkToFit="0" vertical="bottom" wrapText="0"/>
    </xf>
    <xf borderId="1" fillId="0" fontId="11" numFmtId="0" xfId="0" applyAlignment="1" applyBorder="1" applyFont="1">
      <alignment horizontal="left" readingOrder="0" shrinkToFit="0" vertical="bottom" wrapText="0"/>
    </xf>
    <xf borderId="1" fillId="0" fontId="10" numFmtId="166" xfId="0" applyAlignment="1" applyBorder="1" applyFont="1" applyNumberFormat="1">
      <alignment horizontal="left" shrinkToFit="0" vertical="bottom" wrapText="0"/>
    </xf>
    <xf borderId="1" fillId="0" fontId="15" numFmtId="0" xfId="0" applyAlignment="1" applyBorder="1" applyFont="1">
      <alignment horizontal="left" readingOrder="0" shrinkToFit="0" vertical="center" wrapText="0"/>
    </xf>
    <xf borderId="0" fillId="0" fontId="16" numFmtId="0" xfId="0" applyAlignment="1" applyFont="1">
      <alignment horizontal="left" readingOrder="0" shrinkToFit="0" vertical="center" wrapText="0"/>
    </xf>
    <xf borderId="1" fillId="0" fontId="4" numFmtId="166" xfId="0" applyAlignment="1" applyBorder="1" applyFont="1" applyNumberFormat="1">
      <alignment horizontal="left" shrinkToFit="0" vertical="center" wrapText="0"/>
    </xf>
    <xf borderId="2" fillId="0" fontId="3" numFmtId="0" xfId="0" applyAlignment="1" applyBorder="1" applyFont="1">
      <alignment horizontal="left" shrinkToFit="0" vertical="bottom" wrapText="0"/>
    </xf>
    <xf borderId="2" fillId="0" fontId="17" numFmtId="0" xfId="0" applyAlignment="1" applyBorder="1" applyFont="1">
      <alignment horizontal="left" readingOrder="0" shrinkToFit="0" vertical="bottom" wrapText="0"/>
    </xf>
    <xf borderId="2" fillId="0" fontId="18" numFmtId="0" xfId="0" applyAlignment="1" applyBorder="1" applyFont="1">
      <alignment horizontal="left" readingOrder="0" shrinkToFit="0" vertical="bottom" wrapText="0"/>
    </xf>
    <xf borderId="2" fillId="0" fontId="3" numFmtId="0" xfId="0" applyAlignment="1" applyBorder="1" applyFont="1">
      <alignment horizontal="left" readingOrder="0" shrinkToFit="0" vertical="bottom" wrapText="0"/>
    </xf>
    <xf borderId="1" fillId="0" fontId="19" numFmtId="0" xfId="0" applyAlignment="1" applyBorder="1" applyFont="1">
      <alignment horizontal="left" shrinkToFit="0" vertical="center" wrapText="0"/>
    </xf>
    <xf borderId="1" fillId="0" fontId="20" numFmtId="0" xfId="0" applyAlignment="1" applyBorder="1" applyFont="1">
      <alignment horizontal="left" readingOrder="0" shrinkToFit="0" vertical="bottom" wrapText="0"/>
    </xf>
    <xf borderId="1" fillId="0" fontId="4" numFmtId="166" xfId="0" applyAlignment="1" applyBorder="1" applyFont="1" applyNumberFormat="1">
      <alignment horizontal="left" shrinkToFit="0" vertical="bottom" wrapText="0"/>
    </xf>
    <xf borderId="1" fillId="0" fontId="4" numFmtId="166" xfId="0" applyAlignment="1" applyBorder="1" applyFont="1" applyNumberFormat="1">
      <alignment horizontal="left" readingOrder="0" shrinkToFit="0" vertical="bottom" wrapText="0"/>
    </xf>
    <xf borderId="1" fillId="0" fontId="1" numFmtId="0" xfId="0" applyAlignment="1" applyBorder="1" applyFont="1">
      <alignment horizontal="left" shrinkToFit="0" vertical="center" wrapText="0"/>
    </xf>
    <xf borderId="1" fillId="0" fontId="21" numFmtId="0" xfId="0" applyAlignment="1" applyBorder="1" applyFont="1">
      <alignment horizontal="left" shrinkToFit="0" vertical="bottom" wrapText="0"/>
    </xf>
    <xf borderId="1" fillId="2" fontId="1" numFmtId="0" xfId="0" applyAlignment="1" applyBorder="1" applyFill="1" applyFont="1">
      <alignment shrinkToFit="0" vertical="center" wrapText="0"/>
    </xf>
    <xf borderId="1" fillId="2" fontId="1" numFmtId="0" xfId="0" applyAlignment="1" applyBorder="1" applyFill="1" applyFont="1">
      <alignment shrinkToFit="0" vertical="bottom" wrapText="0"/>
    </xf>
    <xf borderId="1" fillId="2" fontId="9" numFmtId="0" xfId="0" applyAlignment="1" applyBorder="1" applyFill="1" applyFont="1">
      <alignment shrinkToFit="0" vertical="bottom" wrapText="0"/>
    </xf>
    <xf borderId="1" fillId="2" fontId="1"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1" fillId="2" fontId="22" numFmtId="0" xfId="0" applyAlignment="1" applyBorder="1" applyFill="1" applyFont="1">
      <alignment shrinkToFit="0" vertical="bottom" wrapText="0"/>
    </xf>
    <xf borderId="1" fillId="2" fontId="9" numFmtId="0" xfId="0" applyAlignment="1" applyBorder="1" applyFill="1" applyFont="1">
      <alignment shrinkToFit="0" vertical="bottom" wrapText="0"/>
    </xf>
    <xf borderId="1" fillId="2" fontId="23" numFmtId="0" xfId="0" applyAlignment="1" applyBorder="1" applyFill="1" applyFont="1">
      <alignment shrinkToFit="0" vertical="bottom" wrapText="0"/>
    </xf>
    <xf borderId="1" fillId="2" fontId="1" numFmtId="166" xfId="0" applyAlignment="1" applyBorder="1" applyFill="1" applyFont="1" applyNumberFormat="1">
      <alignment shrinkToFit="0" vertical="bottom" wrapText="0"/>
    </xf>
    <xf borderId="1" fillId="0" fontId="21" numFmtId="0" xfId="0" applyAlignment="1" applyBorder="1" applyFont="1">
      <alignment horizontal="left" readingOrder="0" shrinkToFit="0" vertical="bottom" wrapText="0"/>
    </xf>
    <xf borderId="1" fillId="0" fontId="4" numFmtId="0" xfId="0" applyAlignment="1" applyBorder="1" applyFont="1">
      <alignment shrinkToFit="0" vertical="bottom" wrapText="0"/>
    </xf>
    <xf borderId="1" fillId="0" fontId="4" numFmtId="0" xfId="0" applyAlignment="1" applyBorder="1" applyFont="1">
      <alignment readingOrder="0" shrinkToFit="0" vertical="bottom" wrapText="0"/>
    </xf>
    <xf borderId="1" fillId="0" fontId="24" numFmtId="0" xfId="0" applyAlignment="1" applyBorder="1" applyFont="1">
      <alignment horizontal="right" readingOrder="0" shrinkToFit="0" vertical="bottom" wrapText="0"/>
    </xf>
    <xf borderId="1" fillId="0" fontId="4" numFmtId="0" xfId="0" applyAlignment="1" applyBorder="1" applyFont="1">
      <alignment horizontal="right" shrinkToFit="0" vertical="bottom" wrapText="0"/>
    </xf>
    <xf borderId="1" fillId="0" fontId="4" numFmtId="166" xfId="0" applyAlignment="1" applyBorder="1" applyFont="1" applyNumberFormat="1">
      <alignment horizontal="right" readingOrder="0" shrinkToFit="0" vertical="bottom" wrapText="0"/>
    </xf>
    <xf borderId="1" fillId="0" fontId="21" numFmtId="0" xfId="0" applyAlignment="1" applyBorder="1" applyFont="1">
      <alignment horizontal="center" readingOrder="0"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horizontal="center" readingOrder="0" shrinkToFit="0" vertical="bottom" wrapText="0"/>
    </xf>
    <xf borderId="1" fillId="0" fontId="4" numFmtId="0" xfId="0" applyAlignment="1" applyBorder="1" applyFont="1">
      <alignment shrinkToFit="0" vertical="bottom" wrapText="0"/>
    </xf>
    <xf quotePrefix="1" borderId="1" fillId="0" fontId="4" numFmtId="0" xfId="0" applyAlignment="1" applyBorder="1" applyFont="1">
      <alignment readingOrder="0" shrinkToFit="0" vertical="bottom" wrapText="0"/>
    </xf>
    <xf borderId="1" fillId="0" fontId="4" numFmtId="0" xfId="0" applyAlignment="1" applyBorder="1" applyFont="1">
      <alignment horizontal="center" shrinkToFit="0" vertical="bottom" wrapText="0"/>
    </xf>
    <xf borderId="1" fillId="0" fontId="25" numFmtId="0" xfId="0" applyAlignment="1" applyBorder="1" applyFont="1">
      <alignment horizontal="right" readingOrder="0" shrinkToFit="0" vertical="bottom" wrapText="0"/>
    </xf>
    <xf borderId="1" fillId="0" fontId="4" numFmtId="0" xfId="0" applyAlignment="1" applyBorder="1" applyFont="1">
      <alignment horizontal="right" shrinkToFit="0" vertical="bottom" wrapText="0"/>
    </xf>
    <xf borderId="0" fillId="0" fontId="26" numFmtId="0" xfId="0" applyAlignment="1" applyFont="1">
      <alignment shrinkToFit="0" vertical="center" wrapText="0"/>
    </xf>
    <xf borderId="1" fillId="0" fontId="4" numFmtId="0" xfId="0" applyAlignment="1" applyBorder="1" applyFont="1">
      <alignment horizontal="right" readingOrder="0" shrinkToFit="0" vertical="bottom" wrapText="0"/>
    </xf>
    <xf borderId="1" fillId="0" fontId="3" numFmtId="0" xfId="0" applyAlignment="1" applyBorder="1" applyFont="1">
      <alignment horizontal="center" shrinkToFit="0" vertical="bottom" wrapText="0"/>
    </xf>
    <xf borderId="1" fillId="0" fontId="4" numFmtId="0" xfId="0" applyAlignment="1" applyBorder="1" applyFont="1">
      <alignment horizontal="right" readingOrder="0" shrinkToFit="0" vertical="bottom" wrapText="0"/>
    </xf>
    <xf borderId="0" fillId="3" fontId="21" numFmtId="0" xfId="0" applyAlignment="1" applyFill="1" applyFont="1">
      <alignment horizontal="center" shrinkToFit="0" vertical="bottom" wrapText="0"/>
    </xf>
    <xf borderId="0" fillId="3" fontId="3" numFmtId="0" xfId="0" applyAlignment="1" applyFill="1" applyFont="1">
      <alignment shrinkToFit="0" vertical="bottom" wrapText="0"/>
    </xf>
    <xf borderId="0" fillId="3" fontId="3" numFmtId="0" xfId="0" applyAlignment="1" applyFill="1" applyFont="1">
      <alignment horizontal="center" shrinkToFit="0" vertical="bottom" wrapText="0"/>
    </xf>
    <xf borderId="0" fillId="3" fontId="4" numFmtId="0" xfId="0" applyAlignment="1" applyFill="1" applyFont="1">
      <alignment shrinkToFit="0" vertical="bottom" wrapText="0"/>
    </xf>
    <xf borderId="0" fillId="3" fontId="4" numFmtId="165" xfId="0" applyAlignment="1" applyFill="1" applyFont="1" applyNumberFormat="1">
      <alignment shrinkToFit="0" vertical="bottom" wrapText="0"/>
    </xf>
    <xf borderId="0" fillId="3" fontId="4" numFmtId="0" xfId="0" applyAlignment="1" applyFill="1" applyFont="1">
      <alignment horizontal="left" shrinkToFit="0" vertical="bottom" wrapText="0"/>
    </xf>
    <xf borderId="0" fillId="3" fontId="4" numFmtId="0" xfId="0" applyAlignment="1" applyFill="1" applyFont="1">
      <alignment horizontal="center" shrinkToFit="0" vertical="bottom" wrapText="0"/>
    </xf>
    <xf borderId="0" fillId="3" fontId="4" numFmtId="0" xfId="0" applyAlignment="1" applyFill="1" applyFont="1">
      <alignment horizontal="right" shrinkToFit="0" vertical="bottom" wrapText="0"/>
    </xf>
    <xf borderId="0" fillId="3" fontId="4" numFmtId="166" xfId="0" applyAlignment="1" applyFill="1" applyFont="1" applyNumberFormat="1">
      <alignment horizontal="right" shrinkToFit="0" vertical="bottom" wrapText="0"/>
    </xf>
    <xf borderId="0" fillId="0" fontId="26" numFmtId="0" xfId="0" applyAlignment="1" applyFont="1">
      <alignment readingOrder="0"/>
    </xf>
    <xf borderId="0" fillId="0" fontId="27" numFmtId="0" xfId="0" applyAlignment="1" applyFont="1">
      <alignment readingOrder="0"/>
    </xf>
    <xf quotePrefix="1" borderId="0" fillId="0" fontId="26" numFmtId="0" xfId="0" applyAlignment="1" applyFont="1">
      <alignment readingOrder="0"/>
    </xf>
    <xf borderId="0" fillId="0" fontId="26" numFmtId="0" xfId="0" applyAlignment="1" applyFont="1">
      <alignment readingOrder="0"/>
    </xf>
    <xf borderId="1" fillId="4" fontId="28" numFmtId="0" xfId="0" applyAlignment="1" applyBorder="1" applyFill="1" applyFont="1">
      <alignment horizontal="left" shrinkToFit="0" vertical="bottom" wrapText="0"/>
    </xf>
    <xf borderId="0" fillId="3" fontId="26" numFmtId="0" xfId="0" applyFill="1" applyFont="1"/>
    <xf borderId="1" fillId="0" fontId="4" numFmtId="0" xfId="0" applyAlignment="1" applyBorder="1" applyFont="1">
      <alignment horizontal="left" readingOrder="0" shrinkToFit="0" vertical="bottom" wrapText="0"/>
    </xf>
    <xf borderId="1" fillId="0" fontId="1" numFmtId="0" xfId="0" applyAlignment="1" applyBorder="1" applyFont="1">
      <alignment horizontal="left"/>
    </xf>
    <xf borderId="1" fillId="0" fontId="26" numFmtId="0" xfId="0" applyAlignment="1" applyBorder="1" applyFont="1">
      <alignment readingOrder="0"/>
    </xf>
    <xf borderId="1" fillId="0" fontId="26" numFmtId="0" xfId="0" applyBorder="1" applyFont="1"/>
    <xf borderId="1" fillId="0" fontId="4" numFmtId="0" xfId="0" applyAlignment="1" applyBorder="1" applyFont="1">
      <alignment horizontal="left" shrinkToFit="0" vertical="bottom" wrapText="0"/>
    </xf>
    <xf borderId="1" fillId="0" fontId="1" numFmtId="0" xfId="0" applyAlignment="1" applyBorder="1" applyFont="1">
      <alignment horizontal="left" readingOrder="0"/>
    </xf>
    <xf borderId="1" fillId="3" fontId="26" numFmtId="0" xfId="0" applyBorder="1" applyFill="1" applyFont="1"/>
    <xf borderId="1" fillId="3" fontId="9" numFmtId="0" xfId="0" applyAlignment="1" applyBorder="1" applyFill="1" applyFont="1">
      <alignment horizontal="left" shrinkToFit="0" vertical="bottom" wrapText="1"/>
    </xf>
    <xf borderId="1" fillId="0" fontId="26" numFmtId="0" xfId="0" applyAlignment="1" applyBorder="1" applyFont="1">
      <alignment readingOrder="0"/>
    </xf>
    <xf borderId="0" fillId="0" fontId="26" numFmtId="0" xfId="0" applyAlignment="1" applyFont="1">
      <alignment readingOrder="0"/>
    </xf>
    <xf borderId="0" fillId="0" fontId="26" numFmtId="0" xfId="0" applyFont="1"/>
    <xf borderId="0" fillId="0" fontId="26" numFmtId="4" xfId="0" applyFont="1" applyNumberFormat="1"/>
    <xf borderId="0" fillId="0" fontId="26" numFmtId="1" xfId="0" applyFont="1" applyNumberFormat="1"/>
    <xf borderId="0" fillId="0" fontId="26" numFmtId="49" xfId="0" applyFont="1" applyNumberFormat="1"/>
    <xf borderId="0" fillId="0" fontId="26" numFmtId="3" xfId="0" applyFont="1" applyNumberFormat="1"/>
    <xf borderId="0" fillId="0" fontId="26" numFmtId="167" xfId="0" applyFont="1" applyNumberFormat="1"/>
  </cellXfs>
  <cellStyles count="1">
    <cellStyle xfId="0" name="Normal" builtinId="0"/>
  </cellStyles>
  <dxfs count="9">
    <dxf>
      <font/>
      <fill>
        <patternFill patternType="none"/>
      </fill>
      <border/>
    </dxf>
    <dxf>
      <font/>
      <fill>
        <patternFill patternType="solid">
          <fgColor rgb="FF676B55"/>
          <bgColor rgb="FF676B55"/>
        </patternFill>
      </fill>
      <border/>
    </dxf>
    <dxf>
      <font/>
      <fill>
        <patternFill patternType="solid">
          <fgColor rgb="FFFFFFFF"/>
          <bgColor rgb="FFFFFFFF"/>
        </patternFill>
      </fill>
      <border/>
    </dxf>
    <dxf>
      <font/>
      <fill>
        <patternFill patternType="solid">
          <fgColor rgb="FFF1F2EE"/>
          <bgColor rgb="FFF1F2EE"/>
        </patternFill>
      </fill>
      <border/>
    </dxf>
    <dxf>
      <border>
        <left style="thin">
          <color rgb="FF676B55"/>
        </left>
        <right style="thin">
          <color rgb="FF676B55"/>
        </right>
        <top style="thin">
          <color rgb="FF676B55"/>
        </top>
        <bottom style="thin">
          <color rgb="FF676B55"/>
        </bottom>
        <vertical style="thin">
          <color rgb="FFD4D4D4"/>
        </vertical>
        <horizontal style="thin">
          <color rgb="FFD4D4D4"/>
        </horizontal>
      </border>
    </dxf>
    <dxf>
      <font>
        <color rgb="FFCC0000"/>
      </font>
      <fill>
        <patternFill patternType="none"/>
      </fill>
      <border/>
    </dxf>
    <dxf>
      <font/>
      <fill>
        <patternFill patternType="solid">
          <fgColor rgb="FFFFF299"/>
          <bgColor rgb="FFFFF299"/>
        </patternFill>
      </fill>
      <border/>
    </dxf>
    <dxf>
      <font/>
      <fill>
        <patternFill patternType="solid">
          <fgColor rgb="FF26A69A"/>
          <bgColor rgb="FF26A69A"/>
        </patternFill>
      </fill>
      <border/>
    </dxf>
    <dxf>
      <font/>
      <fill>
        <patternFill patternType="solid">
          <fgColor rgb="FFDDF2F0"/>
          <bgColor rgb="FFDDF2F0"/>
        </patternFill>
      </fill>
      <border/>
    </dxf>
  </dxfs>
  <tableStyles count="3">
    <tableStyle count="4" pivot="0" name="Base-style">
      <tableStyleElement dxfId="1" type="headerRow"/>
      <tableStyleElement dxfId="2" type="firstRowStripe"/>
      <tableStyleElement dxfId="3" type="secondRowStripe"/>
      <tableStyleElement dxfId="4" size="0" type="wholeTable"/>
    </tableStyle>
    <tableStyle count="3" pivot="0" name="indice columnas-style">
      <tableStyleElement dxfId="7" type="headerRow"/>
      <tableStyleElement dxfId="2" type="firstRowStripe"/>
      <tableStyleElement dxfId="8" type="secondRowStripe"/>
    </tableStyle>
    <tableStyle count="3" pivot="0" name="indice columnas-style 2">
      <tableStyleElement dxfId="7" type="headerRow"/>
      <tableStyleElement dxfId="2"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V813" displayName="Table_1" name="Table_1" id="1">
  <autoFilter ref="$A$1:$AV$813">
    <filterColumn colId="7">
      <filters>
        <filter val="En Salida"/>
        <filter val="activo"/>
      </filters>
    </filterColumn>
  </autoFilter>
  <tableColumns count="48">
    <tableColumn name="Nombre" id="1"/>
    <tableColumn name="Colección" id="2"/>
    <tableColumn name="Categoría" id="3"/>
    <tableColumn name="Subcategoría" id="4"/>
    <tableColumn name="Vertical" id="5"/>
    <tableColumn name="SKU" id="6"/>
    <tableColumn name="SKU Padre" id="7"/>
    <tableColumn name="Estado" id="8"/>
    <tableColumn name="Medida" id="9"/>
    <tableColumn name="Comentarios" id="10"/>
    <tableColumn name="Fuente Lumínica" id="11"/>
    <tableColumn name="Marca LED" id="12"/>
    <tableColumn name="Flicker free" id="13"/>
    <tableColumn name="Control" id="14"/>
    <tableColumn name="Alimentación" id="15"/>
    <tableColumn name="Frecuencia" id="16"/>
    <tableColumn name="Potencia" id="17"/>
    <tableColumn name="Factor de potencia" id="18"/>
    <tableColumn name="Lúmenes LED" id="19"/>
    <tableColumn name="Eficacia lumínica LED" id="20"/>
    <tableColumn name="Flujo lumínico" id="21"/>
    <tableColumn name="Eficacia lumínica" id="22"/>
    <tableColumn name="Temperatura color" id="23"/>
    <tableColumn name="Índice de reproducción cromatica" id="24"/>
    <tableColumn name="Ángulo de apertura" id="25"/>
    <tableColumn name="UGR" id="26"/>
    <tableColumn name="Índice de protección" id="27"/>
    <tableColumn name="Clase de aislación" id="28"/>
    <tableColumn name="Fijación" id="29"/>
    <tableColumn name="Dimensión producto" id="30"/>
    <tableColumn name="Dimensión calado" id="31"/>
    <tableColumn name="Profundidad calado" id="32"/>
    <tableColumn name="Materialidad" id="33"/>
    <tableColumn name="Difusor" id="34"/>
    <tableColumn name="Color producto" id="35"/>
    <tableColumn name="Temp. Operativa" id="36"/>
    <tableColumn name="Vida útil" id="37"/>
    <tableColumn name="Garantía" id="38"/>
    <tableColumn name="Descripción corta" id="39"/>
    <tableColumn name="Imagen destacada" id="40"/>
    <tableColumn name="Galería" id="41"/>
    <tableColumn name="Fichas técnicas" id="42"/>
    <tableColumn name="Archivos LDT" id="43"/>
    <tableColumn name="Archivo CAD" id="44"/>
    <tableColumn name="Manual de instalación" id="45"/>
    <tableColumn name="Dibujo técnico" id="46"/>
    <tableColumn name="Curvas Fotométricas" id="47"/>
    <tableColumn name="Fecha probable de ingreso" id="48"/>
  </tableColumns>
  <tableStyleInfo name="Base-style" showColumnStripes="0" showFirstColumn="1" showLastColumn="1" showRowStripes="1"/>
</table>
</file>

<file path=xl/tables/table2.xml><?xml version="1.0" encoding="utf-8"?>
<table xmlns="http://schemas.openxmlformats.org/spreadsheetml/2006/main" headerRowCount="0" ref="E1:V1"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indice columna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D12:V12"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indice columna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wdf4HJTdw0tgWKtKaYJMVZn788DGrHtg/view" TargetMode="External"/><Relationship Id="rId391" Type="http://schemas.openxmlformats.org/officeDocument/2006/relationships/hyperlink" Target="https://drive.google.com/file/d/1AnOwGtDoWWcOmYTsZ1wh8n8M-GynSbT6/view" TargetMode="External"/><Relationship Id="rId390" Type="http://schemas.openxmlformats.org/officeDocument/2006/relationships/hyperlink" Target="https://drive.google.com/file/d/1Z4by-kc-aup7V3Bxgh88-uysp9czfRhU/view" TargetMode="External"/><Relationship Id="rId2180" Type="http://schemas.openxmlformats.org/officeDocument/2006/relationships/hyperlink" Target="https://drive.google.com/file/d/1fM53G61YtPpKSLVuG7hwqfhraTJrFKqF/view" TargetMode="External"/><Relationship Id="rId2181" Type="http://schemas.openxmlformats.org/officeDocument/2006/relationships/hyperlink" Target="https://drive.google.com/file/d/1NMKSkAgzSQPkY8whcJODC5dsjJYTIIfO/view" TargetMode="External"/><Relationship Id="rId2182" Type="http://schemas.openxmlformats.org/officeDocument/2006/relationships/hyperlink" Target="https://drive.google.com/file/d/14F_ei38-wacqm5F8XsFA3UVDt2i8y7-n/view" TargetMode="External"/><Relationship Id="rId2183" Type="http://schemas.openxmlformats.org/officeDocument/2006/relationships/hyperlink" Target="https://drive.google.com/file/d/11dKbwIgva02CnaUexN6SQ1tIWNhrZmyi/view" TargetMode="External"/><Relationship Id="rId385" Type="http://schemas.openxmlformats.org/officeDocument/2006/relationships/hyperlink" Target="https://drive.google.com/file/d/1AnOwGtDoWWcOmYTsZ1wh8n8M-GynSbT6/view" TargetMode="External"/><Relationship Id="rId2184" Type="http://schemas.openxmlformats.org/officeDocument/2006/relationships/hyperlink" Target="https://drive.google.com/file/d/1Y0ZQEdbnaWF--9vrs8UY0-zhOGr9JwJy/view" TargetMode="External"/><Relationship Id="rId384" Type="http://schemas.openxmlformats.org/officeDocument/2006/relationships/hyperlink" Target="https://drive.google.com/file/d/1iAxJXJRFEF_QmfUOFpY8ABDrm5FJRuZw/view" TargetMode="External"/><Relationship Id="rId2185" Type="http://schemas.openxmlformats.org/officeDocument/2006/relationships/hyperlink" Target="https://drive.google.com/file/d/1EjdRSor28we9ey8U-lGi7byLj4DpflKm/view" TargetMode="External"/><Relationship Id="rId383" Type="http://schemas.openxmlformats.org/officeDocument/2006/relationships/hyperlink" Target="https://drive.google.com/file/d/1AnOwGtDoWWcOmYTsZ1wh8n8M-GynSbT6/view" TargetMode="External"/><Relationship Id="rId2186" Type="http://schemas.openxmlformats.org/officeDocument/2006/relationships/hyperlink" Target="https://drive.google.com/file/d/19lTOcTjLRoE68ehoE7AS1dAg2znIYDu8/view" TargetMode="External"/><Relationship Id="rId382" Type="http://schemas.openxmlformats.org/officeDocument/2006/relationships/hyperlink" Target="https://drive.google.com/file/d/1psQzQPvU5cyn0B_m6KohwYZ0NFUG1qK0/view" TargetMode="External"/><Relationship Id="rId2187" Type="http://schemas.openxmlformats.org/officeDocument/2006/relationships/hyperlink" Target="https://drive.google.com/file/d/1ngt7bemV4r4nRdLqqTZDrasAm0j1_9pp/view" TargetMode="External"/><Relationship Id="rId389" Type="http://schemas.openxmlformats.org/officeDocument/2006/relationships/hyperlink" Target="https://drive.google.com/file/d/1AnOwGtDoWWcOmYTsZ1wh8n8M-GynSbT6/view" TargetMode="External"/><Relationship Id="rId2188" Type="http://schemas.openxmlformats.org/officeDocument/2006/relationships/hyperlink" Target="https://drive.google.com/file/d/1RQoaCvqTyOJbCPB7tgbQTk0-q-7K2KD_/view" TargetMode="External"/><Relationship Id="rId388" Type="http://schemas.openxmlformats.org/officeDocument/2006/relationships/hyperlink" Target="https://drive.google.com/file/d/1vG6Rc8wu2Hwbbev5SVT1q8z9qSKY4oWK/view" TargetMode="External"/><Relationship Id="rId2189" Type="http://schemas.openxmlformats.org/officeDocument/2006/relationships/hyperlink" Target="https://drive.google.com/file/d/1V0ZamLyDoFGCmpz3CIUuR6cz0D0cvKtG/view" TargetMode="External"/><Relationship Id="rId387" Type="http://schemas.openxmlformats.org/officeDocument/2006/relationships/hyperlink" Target="https://drive.google.com/file/d/1AnOwGtDoWWcOmYTsZ1wh8n8M-GynSbT6/view" TargetMode="External"/><Relationship Id="rId386" Type="http://schemas.openxmlformats.org/officeDocument/2006/relationships/hyperlink" Target="https://drive.google.com/file/d/15NmBvo2I7qi14aOebAWhqlH0PuBH2l3y/view" TargetMode="External"/><Relationship Id="rId381" Type="http://schemas.openxmlformats.org/officeDocument/2006/relationships/hyperlink" Target="https://drive.google.com/file/d/14lDvVKqRn6ab2kKM-OKg5n0_WKQeE1XT/view" TargetMode="External"/><Relationship Id="rId380" Type="http://schemas.openxmlformats.org/officeDocument/2006/relationships/hyperlink" Target="https://drive.google.com/file/d/1qLEQpEmH-r_CG9Al3YXLFOkqdNQ5hsRc/view" TargetMode="External"/><Relationship Id="rId379" Type="http://schemas.openxmlformats.org/officeDocument/2006/relationships/hyperlink" Target="https://drive.google.com/file/d/1yFbczxu6z2joUl6p8VRHqOkEJ3Mk91es/view" TargetMode="External"/><Relationship Id="rId2170" Type="http://schemas.openxmlformats.org/officeDocument/2006/relationships/hyperlink" Target="https://drive.google.com/file/d/1fQnM9hzEoEekcRcdOIjx3szCGnGsfBiV/view" TargetMode="External"/><Relationship Id="rId2171" Type="http://schemas.openxmlformats.org/officeDocument/2006/relationships/hyperlink" Target="https://drive.google.com/file/d/1luoB2eOR80sD71O0E426oumYXUnA_D1n/view" TargetMode="External"/><Relationship Id="rId2172" Type="http://schemas.openxmlformats.org/officeDocument/2006/relationships/hyperlink" Target="https://drive.google.com/file/d/1ojUQP7wKDn7wgwnMeK5UZGmvAjnRv3Gs/view" TargetMode="External"/><Relationship Id="rId374" Type="http://schemas.openxmlformats.org/officeDocument/2006/relationships/hyperlink" Target="https://drive.google.com/file/d/1VbeuCgZ6969HjDEf7G97QUkG_4eqnZu_/view" TargetMode="External"/><Relationship Id="rId2173" Type="http://schemas.openxmlformats.org/officeDocument/2006/relationships/hyperlink" Target="https://drive.google.com/file/d/1_wBPLiaknKq6y8YW7MmL3s_p0zzLRdTE/view" TargetMode="External"/><Relationship Id="rId373" Type="http://schemas.openxmlformats.org/officeDocument/2006/relationships/hyperlink" Target="https://drive.google.com/file/d/14lDvVKqRn6ab2kKM-OKg5n0_WKQeE1XT/view" TargetMode="External"/><Relationship Id="rId2174" Type="http://schemas.openxmlformats.org/officeDocument/2006/relationships/hyperlink" Target="https://drive.google.com/file/d/1bd9Jlfo1HINVUs3qDTMPPdpI6xw1_ayK/view" TargetMode="External"/><Relationship Id="rId372" Type="http://schemas.openxmlformats.org/officeDocument/2006/relationships/hyperlink" Target="https://drive.google.com/file/d/1wWorlz2tpCBuUQog1f3nlOIJq-Nb0vzS/view" TargetMode="External"/><Relationship Id="rId2175" Type="http://schemas.openxmlformats.org/officeDocument/2006/relationships/hyperlink" Target="https://drive.google.com/file/d/1u9Jkk4lIYxfg-RhCMgEEWAALmzM9p1G8/view" TargetMode="External"/><Relationship Id="rId371" Type="http://schemas.openxmlformats.org/officeDocument/2006/relationships/hyperlink" Target="https://drive.google.com/file/d/1yFbczxu6z2joUl6p8VRHqOkEJ3Mk91es/view" TargetMode="External"/><Relationship Id="rId2176" Type="http://schemas.openxmlformats.org/officeDocument/2006/relationships/hyperlink" Target="https://drive.google.com/file/d/1c4S0RiFt3yI8MkwyBHEgFCFqEfFsvxUz/view" TargetMode="External"/><Relationship Id="rId378" Type="http://schemas.openxmlformats.org/officeDocument/2006/relationships/hyperlink" Target="https://drive.google.com/file/d/1VbeuCgZ6969HjDEf7G97QUkG_4eqnZu_/view" TargetMode="External"/><Relationship Id="rId2177" Type="http://schemas.openxmlformats.org/officeDocument/2006/relationships/hyperlink" Target="https://drive.google.com/file/d/1OAKCaEkZvdJXyQjvYT3YMKZPpvV38F4U/view" TargetMode="External"/><Relationship Id="rId377" Type="http://schemas.openxmlformats.org/officeDocument/2006/relationships/hyperlink" Target="https://drive.google.com/file/d/14lDvVKqRn6ab2kKM-OKg5n0_WKQeE1XT/view" TargetMode="External"/><Relationship Id="rId2178" Type="http://schemas.openxmlformats.org/officeDocument/2006/relationships/hyperlink" Target="https://drive.google.com/file/d/1ilcv8MkyEx0dodKI2Fk58_qtrwli9VoF/view" TargetMode="External"/><Relationship Id="rId376" Type="http://schemas.openxmlformats.org/officeDocument/2006/relationships/hyperlink" Target="https://drive.google.com/file/d/1uoc8VBh32pwQDgg8lhRrEVs5ctu8Z8Zn/view" TargetMode="External"/><Relationship Id="rId2179" Type="http://schemas.openxmlformats.org/officeDocument/2006/relationships/hyperlink" Target="https://drive.google.com/file/d/1cMrdCpEhVsADrmMSdNEjwYI600MhipKb/view" TargetMode="External"/><Relationship Id="rId375" Type="http://schemas.openxmlformats.org/officeDocument/2006/relationships/hyperlink" Target="https://drive.google.com/file/d/1yFbczxu6z2joUl6p8VRHqOkEJ3Mk91es/view" TargetMode="External"/><Relationship Id="rId2190" Type="http://schemas.openxmlformats.org/officeDocument/2006/relationships/hyperlink" Target="https://drive.google.com/file/d/1fQo-NQFoSvOFipdEJxpCQgnoW5s1Blp4/view" TargetMode="External"/><Relationship Id="rId2191" Type="http://schemas.openxmlformats.org/officeDocument/2006/relationships/hyperlink" Target="https://drive.google.com/file/d/1MEqbtbWrBYjZb1mUznCgWfAhpy-WWjHX/view" TargetMode="External"/><Relationship Id="rId2192" Type="http://schemas.openxmlformats.org/officeDocument/2006/relationships/hyperlink" Target="https://drive.google.com/file/d/1jwxQhrGY52Z9WUIvhgaqB7VsoCK1MKUY/view" TargetMode="External"/><Relationship Id="rId2193" Type="http://schemas.openxmlformats.org/officeDocument/2006/relationships/hyperlink" Target="https://drive.google.com/file/d/1rLBQ2fOeYOFNk1VVdvvTSbDCttscDwdR/view" TargetMode="External"/><Relationship Id="rId2194" Type="http://schemas.openxmlformats.org/officeDocument/2006/relationships/hyperlink" Target="https://drive.google.com/file/d/1NsBnFXBdaiAhbyHhzwC_G-MHAMeM3yf9/view" TargetMode="External"/><Relationship Id="rId396" Type="http://schemas.openxmlformats.org/officeDocument/2006/relationships/hyperlink" Target="https://drive.google.com/file/d/1GP2m_TCs-tdnhBO78clR9BlIF3S3cH05/view" TargetMode="External"/><Relationship Id="rId2195" Type="http://schemas.openxmlformats.org/officeDocument/2006/relationships/hyperlink" Target="https://drive.google.com/file/d/1XFf9dFIb3JU03TNU6helHP-VZBVQ_nSb/view" TargetMode="External"/><Relationship Id="rId395" Type="http://schemas.openxmlformats.org/officeDocument/2006/relationships/hyperlink" Target="https://drive.google.com/file/d/16MNeLD8fQUmWONvlN7bJEOJ4TnpnJpbx/view" TargetMode="External"/><Relationship Id="rId2196" Type="http://schemas.openxmlformats.org/officeDocument/2006/relationships/hyperlink" Target="https://drive.google.com/file/d/1cZ37VKJf2PmJqi9S7V_ObRxOR86_3uUJ/view" TargetMode="External"/><Relationship Id="rId394" Type="http://schemas.openxmlformats.org/officeDocument/2006/relationships/hyperlink" Target="https://drive.google.com/file/d/1xIZ9huFrqk6DbmERAsudlYalofkDiFqk/view" TargetMode="External"/><Relationship Id="rId2197" Type="http://schemas.openxmlformats.org/officeDocument/2006/relationships/hyperlink" Target="https://drive.google.com/file/d/1cRRsDUv9vGrwWZJ_6m3KQeseocdkqZbG/view" TargetMode="External"/><Relationship Id="rId393" Type="http://schemas.openxmlformats.org/officeDocument/2006/relationships/hyperlink" Target="https://drive.google.com/file/d/1AnOwGtDoWWcOmYTsZ1wh8n8M-GynSbT6/view" TargetMode="External"/><Relationship Id="rId2198" Type="http://schemas.openxmlformats.org/officeDocument/2006/relationships/hyperlink" Target="https://drive.google.com/file/d/1nPEOq2PWQXKuMJsX6_MQSEzGlXjU1Bpe/view" TargetMode="External"/><Relationship Id="rId2199" Type="http://schemas.openxmlformats.org/officeDocument/2006/relationships/hyperlink" Target="https://drive.google.com/file/d/16J7H-nQgSqPQl4IdcAyyLl34DYRe3UKR/view" TargetMode="External"/><Relationship Id="rId399" Type="http://schemas.openxmlformats.org/officeDocument/2006/relationships/hyperlink" Target="https://drive.google.com/file/d/1DVYWdOuwYPaLgLJ55-tPByjuOxSuLt-_/view" TargetMode="External"/><Relationship Id="rId398" Type="http://schemas.openxmlformats.org/officeDocument/2006/relationships/hyperlink" Target="https://drive.google.com/file/d/16-LAgc5vl6lFZTBrrnT6BfKKh-2b8C86/view" TargetMode="External"/><Relationship Id="rId397" Type="http://schemas.openxmlformats.org/officeDocument/2006/relationships/hyperlink" Target="https://drive.google.com/file/d/1s4j1rgvI-r0T9wQJJKRjwsp9572NwoZ-/view" TargetMode="External"/><Relationship Id="rId1730" Type="http://schemas.openxmlformats.org/officeDocument/2006/relationships/hyperlink" Target="https://drive.google.com/file/d/1Mu1lCphuCalQ_AiPprl0C0SvcLc1dyXn/view" TargetMode="External"/><Relationship Id="rId1731" Type="http://schemas.openxmlformats.org/officeDocument/2006/relationships/hyperlink" Target="https://drive.google.com/file/d/16J7H-nQgSqPQl4IdcAyyLl34DYRe3UKR/view" TargetMode="External"/><Relationship Id="rId1732" Type="http://schemas.openxmlformats.org/officeDocument/2006/relationships/hyperlink" Target="https://drive.google.com/file/d/13xDZtoB0jb_H2opwE0VDNndz-7XMp6P6/view" TargetMode="External"/><Relationship Id="rId1733" Type="http://schemas.openxmlformats.org/officeDocument/2006/relationships/hyperlink" Target="https://drive.google.com/file/d/1gFqcHwlcLNvVoEA_phNN70mCGmhKfbzf/view" TargetMode="External"/><Relationship Id="rId1734" Type="http://schemas.openxmlformats.org/officeDocument/2006/relationships/hyperlink" Target="https://drive.google.com/file/d/1mhNfH9oI_AkWEDzd9KvtLfn3KC1rbuM9/view" TargetMode="External"/><Relationship Id="rId1735" Type="http://schemas.openxmlformats.org/officeDocument/2006/relationships/hyperlink" Target="https://drive.google.com/file/d/1cZ37VKJf2PmJqi9S7V_ObRxOR86_3uUJ/view" TargetMode="External"/><Relationship Id="rId1736" Type="http://schemas.openxmlformats.org/officeDocument/2006/relationships/hyperlink" Target="https://drive.google.com/file/d/1GRW4JrwYZyggM5pxEaGrg8J5nSLCgi4x/view" TargetMode="External"/><Relationship Id="rId1737" Type="http://schemas.openxmlformats.org/officeDocument/2006/relationships/hyperlink" Target="https://drive.google.com/file/d/1Ms8Wqs3LUWuzu2Sqm0bxV89TYCqomftG/view" TargetMode="External"/><Relationship Id="rId1738" Type="http://schemas.openxmlformats.org/officeDocument/2006/relationships/hyperlink" Target="https://drive.google.com/file/d/1RBLCG9ZoNt7sst6ajQcapVv7KD4FAIfS/view" TargetMode="External"/><Relationship Id="rId1739" Type="http://schemas.openxmlformats.org/officeDocument/2006/relationships/hyperlink" Target="https://drive.google.com/file/d/1p7eBcNepGE_UVG66M8lIXwI7f3bwMFwy/view" TargetMode="External"/><Relationship Id="rId1720" Type="http://schemas.openxmlformats.org/officeDocument/2006/relationships/hyperlink" Target="https://drive.google.com/file/d/1XFf9dFIb3JU03TNU6helHP-VZBVQ_nSb/view" TargetMode="External"/><Relationship Id="rId1721" Type="http://schemas.openxmlformats.org/officeDocument/2006/relationships/hyperlink" Target="https://drive.google.com/file/d/1cZ37VKJf2PmJqi9S7V_ObRxOR86_3uUJ/view" TargetMode="External"/><Relationship Id="rId1722" Type="http://schemas.openxmlformats.org/officeDocument/2006/relationships/hyperlink" Target="https://drive.google.com/file/d/1cRRsDUv9vGrwWZJ_6m3KQeseocdkqZbG/view" TargetMode="External"/><Relationship Id="rId1723" Type="http://schemas.openxmlformats.org/officeDocument/2006/relationships/hyperlink" Target="https://drive.google.com/file/d/1Mu1lCphuCalQ_AiPprl0C0SvcLc1dyXn/view" TargetMode="External"/><Relationship Id="rId1724" Type="http://schemas.openxmlformats.org/officeDocument/2006/relationships/hyperlink" Target="https://drive.google.com/file/d/16J7H-nQgSqPQl4IdcAyyLl34DYRe3UKR/view" TargetMode="External"/><Relationship Id="rId1725" Type="http://schemas.openxmlformats.org/officeDocument/2006/relationships/hyperlink" Target="https://drive.google.com/file/d/13xDZtoB0jb_H2opwE0VDNndz-7XMp6P6/view" TargetMode="External"/><Relationship Id="rId1726" Type="http://schemas.openxmlformats.org/officeDocument/2006/relationships/hyperlink" Target="https://drive.google.com/file/d/1NsBnFXBdaiAhbyHhzwC_G-MHAMeM3yf9/view" TargetMode="External"/><Relationship Id="rId1727" Type="http://schemas.openxmlformats.org/officeDocument/2006/relationships/hyperlink" Target="https://drive.google.com/file/d/1XFf9dFIb3JU03TNU6helHP-VZBVQ_nSb/view" TargetMode="External"/><Relationship Id="rId1728" Type="http://schemas.openxmlformats.org/officeDocument/2006/relationships/hyperlink" Target="https://drive.google.com/file/d/1cZ37VKJf2PmJqi9S7V_ObRxOR86_3uUJ/view" TargetMode="External"/><Relationship Id="rId1729" Type="http://schemas.openxmlformats.org/officeDocument/2006/relationships/hyperlink" Target="https://drive.google.com/file/d/1cRRsDUv9vGrwWZJ_6m3KQeseocdkqZbG/view" TargetMode="External"/><Relationship Id="rId1752" Type="http://schemas.openxmlformats.org/officeDocument/2006/relationships/hyperlink" Target="https://drive.google.com/file/d/1A4oNxHoaQBcG11yWXFEZulFXkKpe2tA1/view" TargetMode="External"/><Relationship Id="rId1753" Type="http://schemas.openxmlformats.org/officeDocument/2006/relationships/hyperlink" Target="https://drive.google.com/file/d/1FJA946OVYoyNq0XpJFoMNFCGNkmZ0sar/view" TargetMode="External"/><Relationship Id="rId1754" Type="http://schemas.openxmlformats.org/officeDocument/2006/relationships/hyperlink" Target="https://drive.google.com/file/d/1K8H6DJKG8GNvvfmV8_cFs_x_MlQJfQLr/view" TargetMode="External"/><Relationship Id="rId1755" Type="http://schemas.openxmlformats.org/officeDocument/2006/relationships/hyperlink" Target="https://drive.google.com/file/d/1RthDPEHdFQvzsesTUKvClCf1PbrnGsST/view" TargetMode="External"/><Relationship Id="rId1756" Type="http://schemas.openxmlformats.org/officeDocument/2006/relationships/hyperlink" Target="https://drive.google.com/file/d/1nMCRL2fC6z-HGY998pYlPxnrdm9j8Dqo/view" TargetMode="External"/><Relationship Id="rId1757" Type="http://schemas.openxmlformats.org/officeDocument/2006/relationships/hyperlink" Target="https://drive.google.com/file/d/1GsGqUnUUZ5VM-iqjC2BS_DpMynnX2AqA/view" TargetMode="External"/><Relationship Id="rId1758" Type="http://schemas.openxmlformats.org/officeDocument/2006/relationships/hyperlink" Target="https://drive.google.com/file/d/1K8QZE739QoxXFb53Nm55lv2n3d3SWi-u/view" TargetMode="External"/><Relationship Id="rId1759" Type="http://schemas.openxmlformats.org/officeDocument/2006/relationships/hyperlink" Target="https://drive.google.com/file/d/1A4oNxHoaQBcG11yWXFEZulFXkKpe2tA1/view" TargetMode="External"/><Relationship Id="rId1750" Type="http://schemas.openxmlformats.org/officeDocument/2006/relationships/hyperlink" Target="https://drive.google.com/file/d/1GsGqUnUUZ5VM-iqjC2BS_DpMynnX2AqA/view" TargetMode="External"/><Relationship Id="rId1751" Type="http://schemas.openxmlformats.org/officeDocument/2006/relationships/hyperlink" Target="https://drive.google.com/file/d/1K8QZE739QoxXFb53Nm55lv2n3d3SWi-u/view" TargetMode="External"/><Relationship Id="rId1741" Type="http://schemas.openxmlformats.org/officeDocument/2006/relationships/hyperlink" Target="https://drive.google.com/file/d/1mhNfH9oI_AkWEDzd9KvtLfn3KC1rbuM9/view" TargetMode="External"/><Relationship Id="rId1742" Type="http://schemas.openxmlformats.org/officeDocument/2006/relationships/hyperlink" Target="https://drive.google.com/file/d/1cZ37VKJf2PmJqi9S7V_ObRxOR86_3uUJ/view" TargetMode="External"/><Relationship Id="rId1743" Type="http://schemas.openxmlformats.org/officeDocument/2006/relationships/hyperlink" Target="https://drive.google.com/file/d/1GRW4JrwYZyggM5pxEaGrg8J5nSLCgi4x/view" TargetMode="External"/><Relationship Id="rId1744" Type="http://schemas.openxmlformats.org/officeDocument/2006/relationships/hyperlink" Target="https://drive.google.com/file/d/1Ms8Wqs3LUWuzu2Sqm0bxV89TYCqomftG/view" TargetMode="External"/><Relationship Id="rId1745" Type="http://schemas.openxmlformats.org/officeDocument/2006/relationships/hyperlink" Target="https://drive.google.com/file/d/1RBLCG9ZoNt7sst6ajQcapVv7KD4FAIfS/view" TargetMode="External"/><Relationship Id="rId1746" Type="http://schemas.openxmlformats.org/officeDocument/2006/relationships/hyperlink" Target="https://drive.google.com/file/d/1p7eBcNepGE_UVG66M8lIXwI7f3bwMFwy/view" TargetMode="External"/><Relationship Id="rId1747" Type="http://schemas.openxmlformats.org/officeDocument/2006/relationships/hyperlink" Target="https://drive.google.com/file/d/1K8H6DJKG8GNvvfmV8_cFs_x_MlQJfQLr/view" TargetMode="External"/><Relationship Id="rId1748" Type="http://schemas.openxmlformats.org/officeDocument/2006/relationships/hyperlink" Target="https://drive.google.com/file/d/1RthDPEHdFQvzsesTUKvClCf1PbrnGsST/view" TargetMode="External"/><Relationship Id="rId1749" Type="http://schemas.openxmlformats.org/officeDocument/2006/relationships/hyperlink" Target="https://drive.google.com/file/d/1nMCRL2fC6z-HGY998pYlPxnrdm9j8Dqo/view" TargetMode="External"/><Relationship Id="rId1740" Type="http://schemas.openxmlformats.org/officeDocument/2006/relationships/hyperlink" Target="https://drive.google.com/file/d/1gFqcHwlcLNvVoEA_phNN70mCGmhKfbzf/view" TargetMode="External"/><Relationship Id="rId1710" Type="http://schemas.openxmlformats.org/officeDocument/2006/relationships/hyperlink" Target="https://drive.google.com/file/d/1jwxQhrGY52Z9WUIvhgaqB7VsoCK1MKUY/view" TargetMode="External"/><Relationship Id="rId1711" Type="http://schemas.openxmlformats.org/officeDocument/2006/relationships/hyperlink" Target="https://drive.google.com/file/d/1rLBQ2fOeYOFNk1VVdvvTSbDCttscDwdR/view" TargetMode="External"/><Relationship Id="rId1712" Type="http://schemas.openxmlformats.org/officeDocument/2006/relationships/hyperlink" Target="https://drive.google.com/file/d/1ngt7bemV4r4nRdLqqTZDrasAm0j1_9pp/view" TargetMode="External"/><Relationship Id="rId1713" Type="http://schemas.openxmlformats.org/officeDocument/2006/relationships/hyperlink" Target="https://drive.google.com/file/d/1RQoaCvqTyOJbCPB7tgbQTk0-q-7K2KD_/view" TargetMode="External"/><Relationship Id="rId1714" Type="http://schemas.openxmlformats.org/officeDocument/2006/relationships/hyperlink" Target="https://drive.google.com/file/d/1V0ZamLyDoFGCmpz3CIUuR6cz0D0cvKtG/view" TargetMode="External"/><Relationship Id="rId1715" Type="http://schemas.openxmlformats.org/officeDocument/2006/relationships/hyperlink" Target="https://drive.google.com/file/d/1fQo-NQFoSvOFipdEJxpCQgnoW5s1Blp4/view" TargetMode="External"/><Relationship Id="rId1716" Type="http://schemas.openxmlformats.org/officeDocument/2006/relationships/hyperlink" Target="https://drive.google.com/file/d/1jXoEI5X-_qwoJUMipvgNU_WcXYvdRG3H/view" TargetMode="External"/><Relationship Id="rId1717" Type="http://schemas.openxmlformats.org/officeDocument/2006/relationships/hyperlink" Target="https://drive.google.com/file/d/1jwxQhrGY52Z9WUIvhgaqB7VsoCK1MKUY/view" TargetMode="External"/><Relationship Id="rId1718" Type="http://schemas.openxmlformats.org/officeDocument/2006/relationships/hyperlink" Target="https://drive.google.com/file/d/1rLBQ2fOeYOFNk1VVdvvTSbDCttscDwdR/view" TargetMode="External"/><Relationship Id="rId1719" Type="http://schemas.openxmlformats.org/officeDocument/2006/relationships/hyperlink" Target="https://drive.google.com/file/d/1NsBnFXBdaiAhbyHhzwC_G-MHAMeM3yf9/view" TargetMode="External"/><Relationship Id="rId1700" Type="http://schemas.openxmlformats.org/officeDocument/2006/relationships/hyperlink" Target="https://drive.google.com/file/d/14F_ei38-wacqm5F8XsFA3UVDt2i8y7-n/view" TargetMode="External"/><Relationship Id="rId1701" Type="http://schemas.openxmlformats.org/officeDocument/2006/relationships/hyperlink" Target="https://drive.google.com/file/d/11dKbwIgva02CnaUexN6SQ1tIWNhrZmyi/view" TargetMode="External"/><Relationship Id="rId1702" Type="http://schemas.openxmlformats.org/officeDocument/2006/relationships/hyperlink" Target="https://drive.google.com/file/d/1MTR8zic1X14wLEFKEj8o7ZBfjQhqATv2/view" TargetMode="External"/><Relationship Id="rId1703" Type="http://schemas.openxmlformats.org/officeDocument/2006/relationships/hyperlink" Target="https://drive.google.com/file/d/1EjdRSor28we9ey8U-lGi7byLj4DpflKm/view" TargetMode="External"/><Relationship Id="rId1704" Type="http://schemas.openxmlformats.org/officeDocument/2006/relationships/hyperlink" Target="https://drive.google.com/file/d/19lTOcTjLRoE68ehoE7AS1dAg2znIYDu8/view" TargetMode="External"/><Relationship Id="rId1705" Type="http://schemas.openxmlformats.org/officeDocument/2006/relationships/hyperlink" Target="https://drive.google.com/file/d/1ngt7bemV4r4nRdLqqTZDrasAm0j1_9pp/view" TargetMode="External"/><Relationship Id="rId1706" Type="http://schemas.openxmlformats.org/officeDocument/2006/relationships/hyperlink" Target="https://drive.google.com/file/d/1RQoaCvqTyOJbCPB7tgbQTk0-q-7K2KD_/view" TargetMode="External"/><Relationship Id="rId1707" Type="http://schemas.openxmlformats.org/officeDocument/2006/relationships/hyperlink" Target="https://drive.google.com/file/d/1V0ZamLyDoFGCmpz3CIUuR6cz0D0cvKtG/view" TargetMode="External"/><Relationship Id="rId1708" Type="http://schemas.openxmlformats.org/officeDocument/2006/relationships/hyperlink" Target="https://drive.google.com/file/d/1fQo-NQFoSvOFipdEJxpCQgnoW5s1Blp4/view" TargetMode="External"/><Relationship Id="rId1709" Type="http://schemas.openxmlformats.org/officeDocument/2006/relationships/hyperlink" Target="https://drive.google.com/file/d/1jXoEI5X-_qwoJUMipvgNU_WcXYvdRG3H/view" TargetMode="External"/><Relationship Id="rId40" Type="http://schemas.openxmlformats.org/officeDocument/2006/relationships/hyperlink" Target="https://drive.google.com/file/d/1qlBWEy0S44e_2Z1y7e03Ct8EOZj_8K7j/view" TargetMode="External"/><Relationship Id="rId3513" Type="http://schemas.openxmlformats.org/officeDocument/2006/relationships/hyperlink" Target="https://drive.google.com/file/d/1VLoCrPmr7fnQU-Tp7TooXeUB34mrUCc_/view" TargetMode="External"/><Relationship Id="rId3512" Type="http://schemas.openxmlformats.org/officeDocument/2006/relationships/hyperlink" Target="https://drive.google.com/file/d/1_0qiJWbp_LdTtKYb4o0I68TUqOjQJTLz/view" TargetMode="External"/><Relationship Id="rId42" Type="http://schemas.openxmlformats.org/officeDocument/2006/relationships/hyperlink" Target="https://drive.google.com/file/d/1LRvu_dwD2-yYFAOZjdi3xWbq4F-6AF3l/view" TargetMode="External"/><Relationship Id="rId3515" Type="http://schemas.openxmlformats.org/officeDocument/2006/relationships/hyperlink" Target="https://drive.google.com/file/d/1D9agr2Da171LPCq9OYicZyc6PUZ2EAY4/view" TargetMode="External"/><Relationship Id="rId41" Type="http://schemas.openxmlformats.org/officeDocument/2006/relationships/hyperlink" Target="https://drive.google.com/file/d/1VgZdush7QKj1Myal54dXLS8kybeouTsZ/view" TargetMode="External"/><Relationship Id="rId3514" Type="http://schemas.openxmlformats.org/officeDocument/2006/relationships/hyperlink" Target="https://drive.google.com/file/d/1Xnzjq-BqipYKQ_46aq5LOwYZ-kfXHaZE/view" TargetMode="External"/><Relationship Id="rId44" Type="http://schemas.openxmlformats.org/officeDocument/2006/relationships/hyperlink" Target="https://drive.google.com/file/d/1I0wp5PCBRj9X33nHkKftjb_lDxBpopE6/view" TargetMode="External"/><Relationship Id="rId3517" Type="http://schemas.openxmlformats.org/officeDocument/2006/relationships/hyperlink" Target="https://drive.google.com/file/d/1_0qiJWbp_LdTtKYb4o0I68TUqOjQJTLz/view" TargetMode="External"/><Relationship Id="rId43" Type="http://schemas.openxmlformats.org/officeDocument/2006/relationships/hyperlink" Target="https://drive.google.com/file/d/19GL8OWQcn2nV84rwu9ci8Sp2NlTGQVCl/view" TargetMode="External"/><Relationship Id="rId3516" Type="http://schemas.openxmlformats.org/officeDocument/2006/relationships/hyperlink" Target="https://drive.google.com/file/d/1AiKECM1BRUWdAxs5CmY0pY3dh8VBq0aU/view" TargetMode="External"/><Relationship Id="rId46" Type="http://schemas.openxmlformats.org/officeDocument/2006/relationships/hyperlink" Target="https://drive.google.com/file/d/1xgFFVKgGkEuyFkKCc4G4TbiB4wBSc7-w/view" TargetMode="External"/><Relationship Id="rId3519" Type="http://schemas.openxmlformats.org/officeDocument/2006/relationships/hyperlink" Target="https://drive.google.com/file/d/1Xnzjq-BqipYKQ_46aq5LOwYZ-kfXHaZE/view" TargetMode="External"/><Relationship Id="rId45" Type="http://schemas.openxmlformats.org/officeDocument/2006/relationships/hyperlink" Target="https://drive.google.com/file/d/1uCTT1H0OqPSb-88wuQg2lyBUCSUwrE3h/view" TargetMode="External"/><Relationship Id="rId3518" Type="http://schemas.openxmlformats.org/officeDocument/2006/relationships/hyperlink" Target="https://drive.google.com/file/d/1VLoCrPmr7fnQU-Tp7TooXeUB34mrUCc_/view" TargetMode="External"/><Relationship Id="rId48" Type="http://schemas.openxmlformats.org/officeDocument/2006/relationships/hyperlink" Target="https://drive.google.com/file/d/1KNw8ogoTuOTXN_iM5xxC8rU6OsyWJgta/view" TargetMode="External"/><Relationship Id="rId47" Type="http://schemas.openxmlformats.org/officeDocument/2006/relationships/hyperlink" Target="https://drive.google.com/file/d/1uqIDyRnUUIDVOz0BJCBxvGtgNXKoDfln/view" TargetMode="External"/><Relationship Id="rId49" Type="http://schemas.openxmlformats.org/officeDocument/2006/relationships/hyperlink" Target="https://drive.google.com/file/d/1t82k2uNNSGydzhlWdpVUyCgr5Xrp9Wz_/view" TargetMode="External"/><Relationship Id="rId3511" Type="http://schemas.openxmlformats.org/officeDocument/2006/relationships/hyperlink" Target="https://drive.google.com/file/d/1OYF_jASv6E4rvEq-qHO9KlfJVPEi8_m6/view" TargetMode="External"/><Relationship Id="rId3510" Type="http://schemas.openxmlformats.org/officeDocument/2006/relationships/hyperlink" Target="https://drive.google.com/file/d/1uiDwNneFvUv4GKjfuVZxp0zy8Rl1xzrO/view" TargetMode="External"/><Relationship Id="rId3502" Type="http://schemas.openxmlformats.org/officeDocument/2006/relationships/hyperlink" Target="https://drive.google.com/file/d/1_8Fc8BkqvDSEDnQwXgwNmkJqf6gBYP7m/view" TargetMode="External"/><Relationship Id="rId3501" Type="http://schemas.openxmlformats.org/officeDocument/2006/relationships/hyperlink" Target="https://drive.google.com/file/d/1tZdlTvAw_OYvLq-Rd-BiOM5mdLhFdowu/view" TargetMode="External"/><Relationship Id="rId31" Type="http://schemas.openxmlformats.org/officeDocument/2006/relationships/hyperlink" Target="https://drive.google.com/file/d/1iH5psGuxoYIcS1f4YOw_CpGQfpjZVlE1/view" TargetMode="External"/><Relationship Id="rId3504" Type="http://schemas.openxmlformats.org/officeDocument/2006/relationships/hyperlink" Target="https://drive.google.com/file/d/1V75KfC1063BcnsiKPT_ZrMugz-XhOeCK/view" TargetMode="External"/><Relationship Id="rId30" Type="http://schemas.openxmlformats.org/officeDocument/2006/relationships/hyperlink" Target="https://drive.google.com/file/d/1I0wp5PCBRj9X33nHkKftjb_lDxBpopE6/view" TargetMode="External"/><Relationship Id="rId3503" Type="http://schemas.openxmlformats.org/officeDocument/2006/relationships/hyperlink" Target="https://drive.google.com/file/d/12A1Hkil5SqnNopmMNQ4VVvNRE9Il4GpO/view" TargetMode="External"/><Relationship Id="rId33" Type="http://schemas.openxmlformats.org/officeDocument/2006/relationships/hyperlink" Target="https://drive.google.com/file/d/1qlBWEy0S44e_2Z1y7e03Ct8EOZj_8K7j/view" TargetMode="External"/><Relationship Id="rId3506" Type="http://schemas.openxmlformats.org/officeDocument/2006/relationships/hyperlink" Target="https://drive.google.com/file/d/1OYF_jASv6E4rvEq-qHO9KlfJVPEi8_m6/view" TargetMode="External"/><Relationship Id="rId32" Type="http://schemas.openxmlformats.org/officeDocument/2006/relationships/hyperlink" Target="https://drive.google.com/file/d/1qp3qiemUe86RTVTLawsCucoNTayelp4J/view" TargetMode="External"/><Relationship Id="rId3505" Type="http://schemas.openxmlformats.org/officeDocument/2006/relationships/hyperlink" Target="https://drive.google.com/file/d/1uiDwNneFvUv4GKjfuVZxp0zy8Rl1xzrO/view" TargetMode="External"/><Relationship Id="rId35" Type="http://schemas.openxmlformats.org/officeDocument/2006/relationships/hyperlink" Target="https://drive.google.com/file/d/1LRvu_dwD2-yYFAOZjdi3xWbq4F-6AF3l/view" TargetMode="External"/><Relationship Id="rId3508" Type="http://schemas.openxmlformats.org/officeDocument/2006/relationships/hyperlink" Target="https://drive.google.com/file/d/1VLoCrPmr7fnQU-Tp7TooXeUB34mrUCc_/view" TargetMode="External"/><Relationship Id="rId34" Type="http://schemas.openxmlformats.org/officeDocument/2006/relationships/hyperlink" Target="https://drive.google.com/file/d/1VgZdush7QKj1Myal54dXLS8kybeouTsZ/view" TargetMode="External"/><Relationship Id="rId3507" Type="http://schemas.openxmlformats.org/officeDocument/2006/relationships/hyperlink" Target="https://drive.google.com/file/d/1_0qiJWbp_LdTtKYb4o0I68TUqOjQJTLz/view" TargetMode="External"/><Relationship Id="rId3509" Type="http://schemas.openxmlformats.org/officeDocument/2006/relationships/hyperlink" Target="https://drive.google.com/file/d/1Xnzjq-BqipYKQ_46aq5LOwYZ-kfXHaZE/view" TargetMode="External"/><Relationship Id="rId37" Type="http://schemas.openxmlformats.org/officeDocument/2006/relationships/hyperlink" Target="https://drive.google.com/file/d/1I0wp5PCBRj9X33nHkKftjb_lDxBpopE6/view" TargetMode="External"/><Relationship Id="rId36" Type="http://schemas.openxmlformats.org/officeDocument/2006/relationships/hyperlink" Target="https://drive.google.com/file/d/19GL8OWQcn2nV84rwu9ci8Sp2NlTGQVCl/view" TargetMode="External"/><Relationship Id="rId39" Type="http://schemas.openxmlformats.org/officeDocument/2006/relationships/hyperlink" Target="https://drive.google.com/file/d/12Az_BNPYo3pksaKVZYIdPEB1SGTTjqmp/view" TargetMode="External"/><Relationship Id="rId38" Type="http://schemas.openxmlformats.org/officeDocument/2006/relationships/hyperlink" Target="https://drive.google.com/file/d/1zCdVH28AhrMNXUysdpqS14VOJckqW9bY/view" TargetMode="External"/><Relationship Id="rId3500" Type="http://schemas.openxmlformats.org/officeDocument/2006/relationships/hyperlink" Target="https://drive.google.com/file/d/1Z7sWPAKDmVJ0Z8weYVi1zdYVps45m9yo/view" TargetMode="External"/><Relationship Id="rId2203" Type="http://schemas.openxmlformats.org/officeDocument/2006/relationships/hyperlink" Target="https://drive.google.com/file/d/1cZ37VKJf2PmJqi9S7V_ObRxOR86_3uUJ/view" TargetMode="External"/><Relationship Id="rId3535" Type="http://schemas.openxmlformats.org/officeDocument/2006/relationships/hyperlink" Target="https://drive.google.com/file/d/11NryGbzzDtploRkUWC5IDcM7dCI9dBCO/view" TargetMode="External"/><Relationship Id="rId2204" Type="http://schemas.openxmlformats.org/officeDocument/2006/relationships/hyperlink" Target="https://drive.google.com/file/d/1GRW4JrwYZyggM5pxEaGrg8J5nSLCgi4x/view" TargetMode="External"/><Relationship Id="rId3534" Type="http://schemas.openxmlformats.org/officeDocument/2006/relationships/hyperlink" Target="https://drive.google.com/file/d/1A3_OYfGnwks5cjCHzNa_uKMErCUOJPdF/view" TargetMode="External"/><Relationship Id="rId20" Type="http://schemas.openxmlformats.org/officeDocument/2006/relationships/hyperlink" Target="https://drive.google.com/file/d/18ozLSyMn3qvklP11hxzkqp-6WKEFIf-I/view" TargetMode="External"/><Relationship Id="rId2205" Type="http://schemas.openxmlformats.org/officeDocument/2006/relationships/hyperlink" Target="https://drive.google.com/file/d/1pwQen_hfNPx_w3oVDoedwnZZ7XBfc0c0/view" TargetMode="External"/><Relationship Id="rId3537" Type="http://schemas.openxmlformats.org/officeDocument/2006/relationships/hyperlink" Target="https://drive.google.com/file/d/1x076XxlPYPiadffHtotLSs1GlLpaFfp2/view" TargetMode="External"/><Relationship Id="rId2206" Type="http://schemas.openxmlformats.org/officeDocument/2006/relationships/hyperlink" Target="https://drive.google.com/file/d/1RBLCG9ZoNt7sst6ajQcapVv7KD4FAIfS/view" TargetMode="External"/><Relationship Id="rId3536" Type="http://schemas.openxmlformats.org/officeDocument/2006/relationships/hyperlink" Target="https://drive.google.com/file/d/1Oembh3rm7z10eo9TSoxFVqfE9rNC7WDu/view" TargetMode="External"/><Relationship Id="rId22" Type="http://schemas.openxmlformats.org/officeDocument/2006/relationships/hyperlink" Target="https://drive.google.com/file/d/1eqXQOnPvv-XiFFr9eILr3CyRR7gt0wZK/view" TargetMode="External"/><Relationship Id="rId2207" Type="http://schemas.openxmlformats.org/officeDocument/2006/relationships/hyperlink" Target="https://drive.google.com/file/d/1p7eBcNepGE_UVG66M8lIXwI7f3bwMFwy/view" TargetMode="External"/><Relationship Id="rId3539" Type="http://schemas.openxmlformats.org/officeDocument/2006/relationships/hyperlink" Target="https://drive.google.com/file/d/1HYf0usZtqm1UEx1d76it-Bhhyzt-xPMU/view" TargetMode="External"/><Relationship Id="rId21" Type="http://schemas.openxmlformats.org/officeDocument/2006/relationships/hyperlink" Target="https://drive.google.com/file/d/1xdo3UpuUbLJisO2vjoYBBHMDOiN5J7--/view" TargetMode="External"/><Relationship Id="rId2208" Type="http://schemas.openxmlformats.org/officeDocument/2006/relationships/hyperlink" Target="https://drive.google.com/file/d/17wswwUJwcJUQyJxBDLlR4zR8_LMV9l9c/view" TargetMode="External"/><Relationship Id="rId3538" Type="http://schemas.openxmlformats.org/officeDocument/2006/relationships/hyperlink" Target="https://drive.google.com/file/d/1V-ve3Ed2CeDdw7G9yXXcGy0bAN4qwklx/view" TargetMode="External"/><Relationship Id="rId24" Type="http://schemas.openxmlformats.org/officeDocument/2006/relationships/hyperlink" Target="https://drive.google.com/file/d/1iH5psGuxoYIcS1f4YOw_CpGQfpjZVlE1/view" TargetMode="External"/><Relationship Id="rId2209" Type="http://schemas.openxmlformats.org/officeDocument/2006/relationships/hyperlink" Target="https://drive.google.com/file/d/1CDmy0dIUry4m0sH3fjuw_5AIBNQeUet_/view" TargetMode="External"/><Relationship Id="rId23" Type="http://schemas.openxmlformats.org/officeDocument/2006/relationships/hyperlink" Target="https://drive.google.com/file/d/10BWkz6ucZhv4jODIYJ-a0nTMdNjxJ3Sk/view" TargetMode="External"/><Relationship Id="rId26" Type="http://schemas.openxmlformats.org/officeDocument/2006/relationships/hyperlink" Target="https://drive.google.com/file/d/1qlBWEy0S44e_2Z1y7e03Ct8EOZj_8K7j/view" TargetMode="External"/><Relationship Id="rId25" Type="http://schemas.openxmlformats.org/officeDocument/2006/relationships/hyperlink" Target="https://drive.google.com/file/d/1qp3qiemUe86RTVTLawsCucoNTayelp4J/view" TargetMode="External"/><Relationship Id="rId28" Type="http://schemas.openxmlformats.org/officeDocument/2006/relationships/hyperlink" Target="https://drive.google.com/file/d/1LRvu_dwD2-yYFAOZjdi3xWbq4F-6AF3l/view" TargetMode="External"/><Relationship Id="rId27" Type="http://schemas.openxmlformats.org/officeDocument/2006/relationships/hyperlink" Target="https://drive.google.com/file/d/1VgZdush7QKj1Myal54dXLS8kybeouTsZ/view" TargetMode="External"/><Relationship Id="rId3531" Type="http://schemas.openxmlformats.org/officeDocument/2006/relationships/hyperlink" Target="https://drive.google.com/file/d/15gaYJ4wzkBrEVKki0054uZidrwMvCOOr/view" TargetMode="External"/><Relationship Id="rId29" Type="http://schemas.openxmlformats.org/officeDocument/2006/relationships/hyperlink" Target="https://drive.google.com/file/d/19GL8OWQcn2nV84rwu9ci8Sp2NlTGQVCl/view" TargetMode="External"/><Relationship Id="rId2200" Type="http://schemas.openxmlformats.org/officeDocument/2006/relationships/hyperlink" Target="https://drive.google.com/file/d/13xDZtoB0jb_H2opwE0VDNndz-7XMp6P6/view" TargetMode="External"/><Relationship Id="rId3530" Type="http://schemas.openxmlformats.org/officeDocument/2006/relationships/hyperlink" Target="https://drive.google.com/file/d/1X_8IIFHAmyN_7j_xJegF9j63ZTBwrJ_p/view" TargetMode="External"/><Relationship Id="rId2201" Type="http://schemas.openxmlformats.org/officeDocument/2006/relationships/hyperlink" Target="https://drive.google.com/file/d/1gFqcHwlcLNvVoEA_phNN70mCGmhKfbzf/view" TargetMode="External"/><Relationship Id="rId3533" Type="http://schemas.openxmlformats.org/officeDocument/2006/relationships/hyperlink" Target="https://drive.google.com/file/d/1TNK-bgla9uxcNnVwMkhiSyse__4W_sIy/view" TargetMode="External"/><Relationship Id="rId2202" Type="http://schemas.openxmlformats.org/officeDocument/2006/relationships/hyperlink" Target="https://drive.google.com/file/d/1mhNfH9oI_AkWEDzd9KvtLfn3KC1rbuM9/view" TargetMode="External"/><Relationship Id="rId3532" Type="http://schemas.openxmlformats.org/officeDocument/2006/relationships/hyperlink" Target="https://drive.google.com/file/d/1ancD4fdWGKzFoM6e8b-2tGbBPOT6PiFv/view" TargetMode="External"/><Relationship Id="rId3524" Type="http://schemas.openxmlformats.org/officeDocument/2006/relationships/hyperlink" Target="https://drive.google.com/file/d/1A3_OYfGnwks5cjCHzNa_uKMErCUOJPdF/view" TargetMode="External"/><Relationship Id="rId3523" Type="http://schemas.openxmlformats.org/officeDocument/2006/relationships/hyperlink" Target="https://drive.google.com/file/d/1TNK-bgla9uxcNnVwMkhiSyse__4W_sIy/view" TargetMode="External"/><Relationship Id="rId3526" Type="http://schemas.openxmlformats.org/officeDocument/2006/relationships/hyperlink" Target="https://drive.google.com/file/d/10uO2G2LBICVlYgVHt89UOmXcjspVGaqr/view" TargetMode="External"/><Relationship Id="rId3525" Type="http://schemas.openxmlformats.org/officeDocument/2006/relationships/hyperlink" Target="https://drive.google.com/file/d/1Cy7Kj_IGKtWgjQafipEk5YZQV7-c2RTg/view" TargetMode="External"/><Relationship Id="rId11" Type="http://schemas.openxmlformats.org/officeDocument/2006/relationships/hyperlink" Target="https://drive.google.com/file/d/1VlK3zGwkhzZaBG0nNaeV5urL43QHUn0y/view" TargetMode="External"/><Relationship Id="rId3528" Type="http://schemas.openxmlformats.org/officeDocument/2006/relationships/hyperlink" Target="https://drive.google.com/file/d/1TNK-bgla9uxcNnVwMkhiSyse__4W_sIy/view" TargetMode="External"/><Relationship Id="rId10" Type="http://schemas.openxmlformats.org/officeDocument/2006/relationships/hyperlink" Target="https://drive.google.com/file/d/1o0SCWCOaWVK1-BfqgYNHFokQ25CLctFU/view" TargetMode="External"/><Relationship Id="rId3527" Type="http://schemas.openxmlformats.org/officeDocument/2006/relationships/hyperlink" Target="https://drive.google.com/file/d/1ancD4fdWGKzFoM6e8b-2tGbBPOT6PiFv/view" TargetMode="External"/><Relationship Id="rId13" Type="http://schemas.openxmlformats.org/officeDocument/2006/relationships/hyperlink" Target="https://drive.google.com/file/d/1pBn2H0L78viISEeZ6_6YvKcrG3ojn5lS/view" TargetMode="External"/><Relationship Id="rId12" Type="http://schemas.openxmlformats.org/officeDocument/2006/relationships/hyperlink" Target="https://drive.google.com/file/d/12PUhO5Ygk3WWpkiyZFE3gUUnDDKc_7Rq/view" TargetMode="External"/><Relationship Id="rId3529" Type="http://schemas.openxmlformats.org/officeDocument/2006/relationships/hyperlink" Target="https://drive.google.com/file/d/1A3_OYfGnwks5cjCHzNa_uKMErCUOJPdF/view" TargetMode="External"/><Relationship Id="rId15" Type="http://schemas.openxmlformats.org/officeDocument/2006/relationships/hyperlink" Target="https://drive.google.com/file/d/1keXVG00vdH4EwxAGe3jBNo2XbpqUStuA/view" TargetMode="External"/><Relationship Id="rId14" Type="http://schemas.openxmlformats.org/officeDocument/2006/relationships/hyperlink" Target="https://drive.google.com/file/d/1jdsAuofOVrgkUqzyucIWv7c2rIQBAIEj/view" TargetMode="External"/><Relationship Id="rId17" Type="http://schemas.openxmlformats.org/officeDocument/2006/relationships/hyperlink" Target="https://drive.google.com/file/d/1u-BjaEouL9vUm5p4_ZxYCJAW-xA1XsBr/view" TargetMode="External"/><Relationship Id="rId16" Type="http://schemas.openxmlformats.org/officeDocument/2006/relationships/hyperlink" Target="https://drive.google.com/file/d/1ivLdL8m_UKwlg7JsVUdSaOpP4QVIi8Ea/view" TargetMode="External"/><Relationship Id="rId19" Type="http://schemas.openxmlformats.org/officeDocument/2006/relationships/hyperlink" Target="https://drive.google.com/file/d/1JRocjkf4T2w0VQdWqk0MGuCw_W0b3UUc/view" TargetMode="External"/><Relationship Id="rId3520" Type="http://schemas.openxmlformats.org/officeDocument/2006/relationships/hyperlink" Target="https://drive.google.com/file/d/1Cy7Kj_IGKtWgjQafipEk5YZQV7-c2RTg/view" TargetMode="External"/><Relationship Id="rId18" Type="http://schemas.openxmlformats.org/officeDocument/2006/relationships/hyperlink" Target="https://drive.google.com/file/d/1N4P7Q17JLcxOTUZ3gk9vGez6WUxx2XiL/view" TargetMode="External"/><Relationship Id="rId3522" Type="http://schemas.openxmlformats.org/officeDocument/2006/relationships/hyperlink" Target="https://drive.google.com/file/d/1ancD4fdWGKzFoM6e8b-2tGbBPOT6PiFv/view" TargetMode="External"/><Relationship Id="rId3521" Type="http://schemas.openxmlformats.org/officeDocument/2006/relationships/hyperlink" Target="https://drive.google.com/file/d/10uO2G2LBICVlYgVHt89UOmXcjspVGaqr/view" TargetMode="External"/><Relationship Id="rId84" Type="http://schemas.openxmlformats.org/officeDocument/2006/relationships/hyperlink" Target="https://drive.google.com/file/d/1_nzM-9bLSLxR2gbu3H30by7dnFt3yTBY/view" TargetMode="External"/><Relationship Id="rId1774" Type="http://schemas.openxmlformats.org/officeDocument/2006/relationships/hyperlink" Target="https://drive.google.com/file/d/17s9HGiiA1MHfDflp5D4a3Wdu8spkWce4/view" TargetMode="External"/><Relationship Id="rId83" Type="http://schemas.openxmlformats.org/officeDocument/2006/relationships/hyperlink" Target="https://drive.google.com/file/d/1MQX8pGQdnVGMoh9145O1KHM0tDlc5Q7q/view" TargetMode="External"/><Relationship Id="rId1775" Type="http://schemas.openxmlformats.org/officeDocument/2006/relationships/hyperlink" Target="https://drive.google.com/file/d/1oKzGmw47CdSSH5zFvKHIyKLFMdnoNyBy/view" TargetMode="External"/><Relationship Id="rId86" Type="http://schemas.openxmlformats.org/officeDocument/2006/relationships/hyperlink" Target="https://drive.google.com/file/d/1Zk8qVDySndxlW9eo8t2JK1LZEP59Re4p/view" TargetMode="External"/><Relationship Id="rId1776" Type="http://schemas.openxmlformats.org/officeDocument/2006/relationships/hyperlink" Target="https://drive.google.com/file/d/1kB8C-9bQQ4kx8tlajDAc3ZYUZClhxOIf/view" TargetMode="External"/><Relationship Id="rId85" Type="http://schemas.openxmlformats.org/officeDocument/2006/relationships/hyperlink" Target="https://drive.google.com/file/d/1PmpqvkzKR0eVZm1PuwwBVs2hzKoyL_Ci/view" TargetMode="External"/><Relationship Id="rId1777" Type="http://schemas.openxmlformats.org/officeDocument/2006/relationships/hyperlink" Target="https://drive.google.com/file/d/1saPuXwZkinVRmbXMMGD4y1XLW2DM1UZo/view" TargetMode="External"/><Relationship Id="rId88" Type="http://schemas.openxmlformats.org/officeDocument/2006/relationships/hyperlink" Target="https://drive.google.com/file/d/1TSKdNE7NYr_juRcxbl0K1yWXv1yTuZ8p/view" TargetMode="External"/><Relationship Id="rId1778" Type="http://schemas.openxmlformats.org/officeDocument/2006/relationships/hyperlink" Target="https://drive.google.com/file/d/1KHXxCc7Mvq6zauIRDUbLIn3JNXk_HC4u/view" TargetMode="External"/><Relationship Id="rId87" Type="http://schemas.openxmlformats.org/officeDocument/2006/relationships/hyperlink" Target="https://drive.google.com/file/d/174W-Tr4EPxdsNHKUhbTdlRpcbq6_BORX/view" TargetMode="External"/><Relationship Id="rId1779" Type="http://schemas.openxmlformats.org/officeDocument/2006/relationships/hyperlink" Target="https://drive.google.com/file/d/1QYk-jrCEKLj-FBlOZlsegkgjZaKBPP28/view" TargetMode="External"/><Relationship Id="rId89" Type="http://schemas.openxmlformats.org/officeDocument/2006/relationships/hyperlink" Target="https://drive.google.com/file/d/1k-LeoezKD9Ib-e3eU5tOceHINJYkdcwC/view" TargetMode="External"/><Relationship Id="rId80" Type="http://schemas.openxmlformats.org/officeDocument/2006/relationships/hyperlink" Target="https://drive.google.com/file/d/1aQfyrt_v49rcPk9dZGvTRH5DUVNqHyYr/view" TargetMode="External"/><Relationship Id="rId82" Type="http://schemas.openxmlformats.org/officeDocument/2006/relationships/hyperlink" Target="https://drive.google.com/file/d/1k-LeoezKD9Ib-e3eU5tOceHINJYkdcwC/view" TargetMode="External"/><Relationship Id="rId81" Type="http://schemas.openxmlformats.org/officeDocument/2006/relationships/hyperlink" Target="https://drive.google.com/file/d/1AxOgtqR7wengkVV8ZO-Hvcw61CDTJza4/view" TargetMode="External"/><Relationship Id="rId1770" Type="http://schemas.openxmlformats.org/officeDocument/2006/relationships/hyperlink" Target="https://drive.google.com/file/d/1fiMCJ10reTKuvCZeyzb-6APRaPeAwgKt/view" TargetMode="External"/><Relationship Id="rId1771" Type="http://schemas.openxmlformats.org/officeDocument/2006/relationships/hyperlink" Target="https://drive.google.com/file/d/1CDmy0dIUry4m0sH3fjuw_5AIBNQeUet_/view" TargetMode="External"/><Relationship Id="rId1772" Type="http://schemas.openxmlformats.org/officeDocument/2006/relationships/hyperlink" Target="https://drive.google.com/file/d/15fZgVHVuiQiimuxisv3dFoVMeeWpHO9R/view" TargetMode="External"/><Relationship Id="rId1773" Type="http://schemas.openxmlformats.org/officeDocument/2006/relationships/hyperlink" Target="https://drive.google.com/file/d/1CDmy0dIUry4m0sH3fjuw_5AIBNQeUet_/view" TargetMode="External"/><Relationship Id="rId73" Type="http://schemas.openxmlformats.org/officeDocument/2006/relationships/hyperlink" Target="https://drive.google.com/file/d/1aQfyrt_v49rcPk9dZGvTRH5DUVNqHyYr/view" TargetMode="External"/><Relationship Id="rId1763" Type="http://schemas.openxmlformats.org/officeDocument/2006/relationships/hyperlink" Target="https://drive.google.com/file/d/1nMCRL2fC6z-HGY998pYlPxnrdm9j8Dqo/view" TargetMode="External"/><Relationship Id="rId72" Type="http://schemas.openxmlformats.org/officeDocument/2006/relationships/hyperlink" Target="https://drive.google.com/file/d/1gyrrOd2l9YFXyNCic9_SKdh7M8InAi2E/view" TargetMode="External"/><Relationship Id="rId1764" Type="http://schemas.openxmlformats.org/officeDocument/2006/relationships/hyperlink" Target="https://drive.google.com/file/d/1h5bjRxxy9ltNlOfeVvEexGRBOVOmgYJS/view" TargetMode="External"/><Relationship Id="rId75" Type="http://schemas.openxmlformats.org/officeDocument/2006/relationships/hyperlink" Target="https://drive.google.com/file/d/1k-LeoezKD9Ib-e3eU5tOceHINJYkdcwC/view" TargetMode="External"/><Relationship Id="rId1765" Type="http://schemas.openxmlformats.org/officeDocument/2006/relationships/hyperlink" Target="https://drive.google.com/file/d/1r2EgotFYhk4WJCc81PFtbDDAkyuW9JHw/view" TargetMode="External"/><Relationship Id="rId74" Type="http://schemas.openxmlformats.org/officeDocument/2006/relationships/hyperlink" Target="https://drive.google.com/file/d/1AxOgtqR7wengkVV8ZO-Hvcw61CDTJza4/view" TargetMode="External"/><Relationship Id="rId1766" Type="http://schemas.openxmlformats.org/officeDocument/2006/relationships/hyperlink" Target="https://drive.google.com/file/d/150yl6_Q9Xn6RNDrMMoSEhcIIYyd-iLpJ/view" TargetMode="External"/><Relationship Id="rId77" Type="http://schemas.openxmlformats.org/officeDocument/2006/relationships/hyperlink" Target="https://drive.google.com/file/d/1_nzM-9bLSLxR2gbu3H30by7dnFt3yTBY/view" TargetMode="External"/><Relationship Id="rId1767" Type="http://schemas.openxmlformats.org/officeDocument/2006/relationships/hyperlink" Target="https://drive.google.com/file/d/13KIREckRcl9010miputz1gjrhYBFgEGg/view" TargetMode="External"/><Relationship Id="rId76" Type="http://schemas.openxmlformats.org/officeDocument/2006/relationships/hyperlink" Target="https://drive.google.com/file/d/1MQX8pGQdnVGMoh9145O1KHM0tDlc5Q7q/view" TargetMode="External"/><Relationship Id="rId1768" Type="http://schemas.openxmlformats.org/officeDocument/2006/relationships/hyperlink" Target="https://drive.google.com/file/d/1fiMCJ10reTKuvCZeyzb-6APRaPeAwgKt/view" TargetMode="External"/><Relationship Id="rId79" Type="http://schemas.openxmlformats.org/officeDocument/2006/relationships/hyperlink" Target="https://drive.google.com/file/d/1Zk8qVDySndxlW9eo8t2JK1LZEP59Re4p/view" TargetMode="External"/><Relationship Id="rId1769" Type="http://schemas.openxmlformats.org/officeDocument/2006/relationships/hyperlink" Target="https://drive.google.com/file/d/1CDmy0dIUry4m0sH3fjuw_5AIBNQeUet_/view" TargetMode="External"/><Relationship Id="rId78" Type="http://schemas.openxmlformats.org/officeDocument/2006/relationships/hyperlink" Target="https://drive.google.com/file/d/1PmpqvkzKR0eVZm1PuwwBVs2hzKoyL_Ci/view" TargetMode="External"/><Relationship Id="rId71" Type="http://schemas.openxmlformats.org/officeDocument/2006/relationships/hyperlink" Target="https://drive.google.com/file/d/1u9KhSrODOUUlLSOh2ikFgpzgbiNShnmS/view" TargetMode="External"/><Relationship Id="rId70" Type="http://schemas.openxmlformats.org/officeDocument/2006/relationships/hyperlink" Target="https://drive.google.com/file/d/16oV9PEV9YWDCXlFx70-3-TvY8q2ElkAa/view" TargetMode="External"/><Relationship Id="rId1760" Type="http://schemas.openxmlformats.org/officeDocument/2006/relationships/hyperlink" Target="https://drive.google.com/file/d/1FJA946OVYoyNq0XpJFoMNFCGNkmZ0sar/view" TargetMode="External"/><Relationship Id="rId1761" Type="http://schemas.openxmlformats.org/officeDocument/2006/relationships/hyperlink" Target="https://drive.google.com/file/d/1pdOu7pH-oelfkEwoE7WCKBwHm4B6vVi1/view" TargetMode="External"/><Relationship Id="rId1762" Type="http://schemas.openxmlformats.org/officeDocument/2006/relationships/hyperlink" Target="https://drive.google.com/file/d/1ddd4DVBds6eYGEKhsdEpLTliVtrxvQcB/view" TargetMode="External"/><Relationship Id="rId62" Type="http://schemas.openxmlformats.org/officeDocument/2006/relationships/hyperlink" Target="https://drive.google.com/file/d/1GT0bW50N7NKB5eLJ1ZcgauktO6IsO2BV/view" TargetMode="External"/><Relationship Id="rId1796" Type="http://schemas.openxmlformats.org/officeDocument/2006/relationships/hyperlink" Target="https://drive.google.com/file/d/1-h8i6smGXiBlB29cwAKzOfWr0dUqXVa1/view" TargetMode="External"/><Relationship Id="rId61" Type="http://schemas.openxmlformats.org/officeDocument/2006/relationships/hyperlink" Target="https://drive.google.com/file/d/1CJ4CLwnL251SZio9eOwxIhwhiFW6OivW/view" TargetMode="External"/><Relationship Id="rId1797" Type="http://schemas.openxmlformats.org/officeDocument/2006/relationships/hyperlink" Target="https://drive.google.com/file/d/1HWhTcq1VY53mL2i-IkLXn17yWyti0zEU/view" TargetMode="External"/><Relationship Id="rId64" Type="http://schemas.openxmlformats.org/officeDocument/2006/relationships/hyperlink" Target="https://drive.google.com/file/d/1u9KhSrODOUUlLSOh2ikFgpzgbiNShnmS/view" TargetMode="External"/><Relationship Id="rId1798" Type="http://schemas.openxmlformats.org/officeDocument/2006/relationships/hyperlink" Target="https://drive.google.com/file/d/18Q5bcndQ_fiAGO_LDni2foRCJskXanzm/view" TargetMode="External"/><Relationship Id="rId63" Type="http://schemas.openxmlformats.org/officeDocument/2006/relationships/hyperlink" Target="https://drive.google.com/file/d/16oV9PEV9YWDCXlFx70-3-TvY8q2ElkAa/view" TargetMode="External"/><Relationship Id="rId1799" Type="http://schemas.openxmlformats.org/officeDocument/2006/relationships/hyperlink" Target="https://drive.google.com/file/d/1-2qYdg0a605ZZI7iyAQxwjwi5yj5pcqP/view" TargetMode="External"/><Relationship Id="rId66" Type="http://schemas.openxmlformats.org/officeDocument/2006/relationships/hyperlink" Target="https://drive.google.com/file/d/1ZlsiwK2m4t7vSEhCC8X-WfMt_xE1qtmw/view" TargetMode="External"/><Relationship Id="rId65" Type="http://schemas.openxmlformats.org/officeDocument/2006/relationships/hyperlink" Target="https://drive.google.com/file/d/1gyrrOd2l9YFXyNCic9_SKdh7M8InAi2E/view" TargetMode="External"/><Relationship Id="rId68" Type="http://schemas.openxmlformats.org/officeDocument/2006/relationships/hyperlink" Target="https://drive.google.com/file/d/1CJ4CLwnL251SZio9eOwxIhwhiFW6OivW/view" TargetMode="External"/><Relationship Id="rId67" Type="http://schemas.openxmlformats.org/officeDocument/2006/relationships/hyperlink" Target="https://drive.google.com/file/d/1emxH3wcqhOCyZXjfhBBjPQYqLyZeTZdE/view" TargetMode="External"/><Relationship Id="rId60" Type="http://schemas.openxmlformats.org/officeDocument/2006/relationships/hyperlink" Target="https://drive.google.com/file/d/14AJN4F8s91uugXYijtJcvykyGJgPoitV/view" TargetMode="External"/><Relationship Id="rId69" Type="http://schemas.openxmlformats.org/officeDocument/2006/relationships/hyperlink" Target="https://drive.google.com/file/d/1GT0bW50N7NKB5eLJ1ZcgauktO6IsO2BV/view" TargetMode="External"/><Relationship Id="rId1790" Type="http://schemas.openxmlformats.org/officeDocument/2006/relationships/hyperlink" Target="https://drive.google.com/file/d/1kB8C-9bQQ4kx8tlajDAc3ZYUZClhxOIf/view" TargetMode="External"/><Relationship Id="rId1791" Type="http://schemas.openxmlformats.org/officeDocument/2006/relationships/hyperlink" Target="https://drive.google.com/file/d/1saPuXwZkinVRmbXMMGD4y1XLW2DM1UZo/view" TargetMode="External"/><Relationship Id="rId1792" Type="http://schemas.openxmlformats.org/officeDocument/2006/relationships/hyperlink" Target="https://drive.google.com/file/d/1KHXxCc7Mvq6zauIRDUbLIn3JNXk_HC4u/view" TargetMode="External"/><Relationship Id="rId1793" Type="http://schemas.openxmlformats.org/officeDocument/2006/relationships/hyperlink" Target="https://drive.google.com/file/d/1QYk-jrCEKLj-FBlOZlsegkgjZaKBPP28/view" TargetMode="External"/><Relationship Id="rId1794" Type="http://schemas.openxmlformats.org/officeDocument/2006/relationships/hyperlink" Target="https://drive.google.com/file/d/16ct03LvvetXVeJT3nQfN5XczDoHe5MPj/view" TargetMode="External"/><Relationship Id="rId1795" Type="http://schemas.openxmlformats.org/officeDocument/2006/relationships/hyperlink" Target="https://drive.google.com/file/d/1MmHR2cdIQCgjDCLmM-1gGrZVq68CmfeK/view" TargetMode="External"/><Relationship Id="rId51" Type="http://schemas.openxmlformats.org/officeDocument/2006/relationships/hyperlink" Target="https://drive.google.com/file/d/144WeOlLGq-cPUqTqyg61IJSuN4XEq-wm/view" TargetMode="External"/><Relationship Id="rId1785" Type="http://schemas.openxmlformats.org/officeDocument/2006/relationships/hyperlink" Target="https://drive.google.com/file/d/1KHXxCc7Mvq6zauIRDUbLIn3JNXk_HC4u/view" TargetMode="External"/><Relationship Id="rId50" Type="http://schemas.openxmlformats.org/officeDocument/2006/relationships/hyperlink" Target="https://drive.google.com/file/d/1kzZ2n510SHbph_FyxoWI7G57RUSSO0RK/view" TargetMode="External"/><Relationship Id="rId1786" Type="http://schemas.openxmlformats.org/officeDocument/2006/relationships/hyperlink" Target="https://drive.google.com/file/d/1QYk-jrCEKLj-FBlOZlsegkgjZaKBPP28/view" TargetMode="External"/><Relationship Id="rId53" Type="http://schemas.openxmlformats.org/officeDocument/2006/relationships/hyperlink" Target="https://drive.google.com/file/d/14AJN4F8s91uugXYijtJcvykyGJgPoitV/view" TargetMode="External"/><Relationship Id="rId1787" Type="http://schemas.openxmlformats.org/officeDocument/2006/relationships/hyperlink" Target="https://drive.google.com/file/d/16ct03LvvetXVeJT3nQfN5XczDoHe5MPj/view" TargetMode="External"/><Relationship Id="rId52" Type="http://schemas.openxmlformats.org/officeDocument/2006/relationships/hyperlink" Target="https://drive.google.com/file/d/1Ikfccb0iPfmVLzPymkaEGNUKcNSOlsps/view" TargetMode="External"/><Relationship Id="rId1788" Type="http://schemas.openxmlformats.org/officeDocument/2006/relationships/hyperlink" Target="https://drive.google.com/file/d/1hHs9i-KLNpfdu7rKVfDbebkavTJqc38Z/view" TargetMode="External"/><Relationship Id="rId55" Type="http://schemas.openxmlformats.org/officeDocument/2006/relationships/hyperlink" Target="https://drive.google.com/file/d/1GT0bW50N7NKB5eLJ1ZcgauktO6IsO2BV/view" TargetMode="External"/><Relationship Id="rId1789" Type="http://schemas.openxmlformats.org/officeDocument/2006/relationships/hyperlink" Target="https://drive.google.com/file/d/1Nu4Ddl-cmdhnlgrFAz7lWNcpouMgpz51/view" TargetMode="External"/><Relationship Id="rId54" Type="http://schemas.openxmlformats.org/officeDocument/2006/relationships/hyperlink" Target="https://drive.google.com/file/d/1CJ4CLwnL251SZio9eOwxIhwhiFW6OivW/view" TargetMode="External"/><Relationship Id="rId57" Type="http://schemas.openxmlformats.org/officeDocument/2006/relationships/hyperlink" Target="https://drive.google.com/file/d/1u9KhSrODOUUlLSOh2ikFgpzgbiNShnmS/view" TargetMode="External"/><Relationship Id="rId56" Type="http://schemas.openxmlformats.org/officeDocument/2006/relationships/hyperlink" Target="https://drive.google.com/file/d/16oV9PEV9YWDCXlFx70-3-TvY8q2ElkAa/view" TargetMode="External"/><Relationship Id="rId59" Type="http://schemas.openxmlformats.org/officeDocument/2006/relationships/hyperlink" Target="https://drive.google.com/file/d/1Ikfccb0iPfmVLzPymkaEGNUKcNSOlsps/view" TargetMode="External"/><Relationship Id="rId58" Type="http://schemas.openxmlformats.org/officeDocument/2006/relationships/hyperlink" Target="https://drive.google.com/file/d/1gyrrOd2l9YFXyNCic9_SKdh7M8InAi2E/view" TargetMode="External"/><Relationship Id="rId1780" Type="http://schemas.openxmlformats.org/officeDocument/2006/relationships/hyperlink" Target="https://drive.google.com/file/d/16ct03LvvetXVeJT3nQfN5XczDoHe5MPj/view" TargetMode="External"/><Relationship Id="rId1781" Type="http://schemas.openxmlformats.org/officeDocument/2006/relationships/hyperlink" Target="https://drive.google.com/file/d/17s9HGiiA1MHfDflp5D4a3Wdu8spkWce4/view" TargetMode="External"/><Relationship Id="rId1782" Type="http://schemas.openxmlformats.org/officeDocument/2006/relationships/hyperlink" Target="https://drive.google.com/file/d/1oKzGmw47CdSSH5zFvKHIyKLFMdnoNyBy/view" TargetMode="External"/><Relationship Id="rId1783" Type="http://schemas.openxmlformats.org/officeDocument/2006/relationships/hyperlink" Target="https://drive.google.com/file/d/1kB8C-9bQQ4kx8tlajDAc3ZYUZClhxOIf/view" TargetMode="External"/><Relationship Id="rId1784" Type="http://schemas.openxmlformats.org/officeDocument/2006/relationships/hyperlink" Target="https://drive.google.com/file/d/1saPuXwZkinVRmbXMMGD4y1XLW2DM1UZo/view" TargetMode="External"/><Relationship Id="rId2269" Type="http://schemas.openxmlformats.org/officeDocument/2006/relationships/hyperlink" Target="https://drive.google.com/file/d/1A6HVT5tY-O6TdKEbcKVO_Dn4muwEzHGv/view" TargetMode="External"/><Relationship Id="rId349" Type="http://schemas.openxmlformats.org/officeDocument/2006/relationships/hyperlink" Target="https://drive.google.com/file/d/1uswtqKHv2ZyFsDC637L_VHrFpgUoUA-7/view" TargetMode="External"/><Relationship Id="rId348" Type="http://schemas.openxmlformats.org/officeDocument/2006/relationships/hyperlink" Target="https://drive.google.com/file/d/1yB_Kg5g74y6QXUISQeYPgt5BYNJJXi2b/view" TargetMode="External"/><Relationship Id="rId347" Type="http://schemas.openxmlformats.org/officeDocument/2006/relationships/hyperlink" Target="https://drive.google.com/file/d/1Sw9xeAlYzszy2TRL97oI1qu5I0yQZQ_L/view" TargetMode="External"/><Relationship Id="rId346" Type="http://schemas.openxmlformats.org/officeDocument/2006/relationships/hyperlink" Target="https://drive.google.com/file/d/1HZgWsDa0mG7ZQX2aVD37_0uQL6uJNEZ6/view" TargetMode="External"/><Relationship Id="rId3591" Type="http://schemas.openxmlformats.org/officeDocument/2006/relationships/hyperlink" Target="https://drive.google.com/file/d/1DzvarKbevYqGFKYB3X5TP51xIa1Dsb1U/view" TargetMode="External"/><Relationship Id="rId2260" Type="http://schemas.openxmlformats.org/officeDocument/2006/relationships/hyperlink" Target="https://drive.google.com/file/d/1lixJQUg8CPJn04Vnva4Tc9mLA89NHGjd/view" TargetMode="External"/><Relationship Id="rId3590" Type="http://schemas.openxmlformats.org/officeDocument/2006/relationships/hyperlink" Target="https://drive.google.com/file/d/1MAy0t1GhhxzAQ7Tud-zzkJ6ToKex1F4D/view" TargetMode="External"/><Relationship Id="rId341" Type="http://schemas.openxmlformats.org/officeDocument/2006/relationships/hyperlink" Target="https://drive.google.com/file/d/1uswtqKHv2ZyFsDC637L_VHrFpgUoUA-7/view" TargetMode="External"/><Relationship Id="rId2261" Type="http://schemas.openxmlformats.org/officeDocument/2006/relationships/hyperlink" Target="https://drive.google.com/file/d/1S9bSi8qMNpzP84cpMl7XnihGqdHAFg6c/view" TargetMode="External"/><Relationship Id="rId3593" Type="http://schemas.openxmlformats.org/officeDocument/2006/relationships/hyperlink" Target="https://drive.google.com/file/d/1GEXKfnal8-pvT5LUaJgqE4d00N08HeCD/view" TargetMode="External"/><Relationship Id="rId340" Type="http://schemas.openxmlformats.org/officeDocument/2006/relationships/hyperlink" Target="https://drive.google.com/file/d/1yB_Kg5g74y6QXUISQeYPgt5BYNJJXi2b/view" TargetMode="External"/><Relationship Id="rId2262" Type="http://schemas.openxmlformats.org/officeDocument/2006/relationships/hyperlink" Target="https://drive.google.com/file/d/1SmaH5QOauEXTQGxKICtKXAROjEXAq0Se/view" TargetMode="External"/><Relationship Id="rId3592" Type="http://schemas.openxmlformats.org/officeDocument/2006/relationships/hyperlink" Target="https://drive.google.com/file/d/1PHaDj6vLxFsnSrrb9FufciaWNHVVLWCn/view" TargetMode="External"/><Relationship Id="rId2263" Type="http://schemas.openxmlformats.org/officeDocument/2006/relationships/hyperlink" Target="https://drive.google.com/file/d/1jQaLsdTUUqtgXALnukwiQ5bBIa-s5pki/view" TargetMode="External"/><Relationship Id="rId3595" Type="http://schemas.openxmlformats.org/officeDocument/2006/relationships/hyperlink" Target="https://drive.google.com/file/d/14F_ei38-wacqm5F8XsFA3UVDt2i8y7-n/view" TargetMode="External"/><Relationship Id="rId2264" Type="http://schemas.openxmlformats.org/officeDocument/2006/relationships/hyperlink" Target="https://drive.google.com/file/d/1ryna4dGvDXlVbqQAG8LK7JppeoKiUcy3/view" TargetMode="External"/><Relationship Id="rId3594" Type="http://schemas.openxmlformats.org/officeDocument/2006/relationships/hyperlink" Target="https://drive.google.com/file/d/1dD3ac22qc-0CN_vOePhyoKDyZXSVs-Q_/view" TargetMode="External"/><Relationship Id="rId345" Type="http://schemas.openxmlformats.org/officeDocument/2006/relationships/hyperlink" Target="https://drive.google.com/file/d/1uswtqKHv2ZyFsDC637L_VHrFpgUoUA-7/view" TargetMode="External"/><Relationship Id="rId2265" Type="http://schemas.openxmlformats.org/officeDocument/2006/relationships/hyperlink" Target="https://drive.google.com/file/d/1GjQbaRHz2adzRlM2qI32-mHwjUwKWpuV/view" TargetMode="External"/><Relationship Id="rId3597" Type="http://schemas.openxmlformats.org/officeDocument/2006/relationships/hyperlink" Target="https://drive.google.com/file/d/1MAy0t1GhhxzAQ7Tud-zzkJ6ToKex1F4D/view" TargetMode="External"/><Relationship Id="rId344" Type="http://schemas.openxmlformats.org/officeDocument/2006/relationships/hyperlink" Target="https://drive.google.com/file/d/1yB_Kg5g74y6QXUISQeYPgt5BYNJJXi2b/view" TargetMode="External"/><Relationship Id="rId2266" Type="http://schemas.openxmlformats.org/officeDocument/2006/relationships/hyperlink" Target="https://drive.google.com/file/d/14zETPmRDBs6cvhqCBxlyMp4zH2UWlC1h/view" TargetMode="External"/><Relationship Id="rId3596" Type="http://schemas.openxmlformats.org/officeDocument/2006/relationships/hyperlink" Target="https://drive.google.com/file/d/1A9vOWY5D2zr35Nh0Tp7ZsfbT6K5BzGU3/view" TargetMode="External"/><Relationship Id="rId343" Type="http://schemas.openxmlformats.org/officeDocument/2006/relationships/hyperlink" Target="https://drive.google.com/file/d/1Sw9xeAlYzszy2TRL97oI1qu5I0yQZQ_L/view" TargetMode="External"/><Relationship Id="rId2267" Type="http://schemas.openxmlformats.org/officeDocument/2006/relationships/hyperlink" Target="https://drive.google.com/file/d/1lixJQUg8CPJn04Vnva4Tc9mLA89NHGjd/view" TargetMode="External"/><Relationship Id="rId3599" Type="http://schemas.openxmlformats.org/officeDocument/2006/relationships/hyperlink" Target="https://drive.google.com/file/d/1PHaDj6vLxFsnSrrb9FufciaWNHVVLWCn/view" TargetMode="External"/><Relationship Id="rId342" Type="http://schemas.openxmlformats.org/officeDocument/2006/relationships/hyperlink" Target="https://drive.google.com/file/d/1Tb19UylZcqpip3cJejhJOLrTItiPFJ29/view" TargetMode="External"/><Relationship Id="rId2268" Type="http://schemas.openxmlformats.org/officeDocument/2006/relationships/hyperlink" Target="https://drive.google.com/file/d/1lqKxNAqvM4eBZx2FnRuklW16q2QRvcN0/view" TargetMode="External"/><Relationship Id="rId3598" Type="http://schemas.openxmlformats.org/officeDocument/2006/relationships/hyperlink" Target="https://drive.google.com/file/d/1DzvarKbevYqGFKYB3X5TP51xIa1Dsb1U/view" TargetMode="External"/><Relationship Id="rId2258" Type="http://schemas.openxmlformats.org/officeDocument/2006/relationships/hyperlink" Target="https://drive.google.com/file/d/1-MjELKTUOPST-HVinWQ84P_rVwKOujyg/view" TargetMode="External"/><Relationship Id="rId2259" Type="http://schemas.openxmlformats.org/officeDocument/2006/relationships/hyperlink" Target="https://drive.google.com/file/d/1KpFI7DNaE3GxWi-b5DAN_Xm3MC13mupL/view" TargetMode="External"/><Relationship Id="rId3589" Type="http://schemas.openxmlformats.org/officeDocument/2006/relationships/hyperlink" Target="https://drive.google.com/file/d/1A9vOWY5D2zr35Nh0Tp7ZsfbT6K5BzGU3/view" TargetMode="External"/><Relationship Id="rId338" Type="http://schemas.openxmlformats.org/officeDocument/2006/relationships/hyperlink" Target="https://drive.google.com/file/d/1Tb19UylZcqpip3cJejhJOLrTItiPFJ29/view" TargetMode="External"/><Relationship Id="rId337" Type="http://schemas.openxmlformats.org/officeDocument/2006/relationships/hyperlink" Target="https://drive.google.com/file/d/1-TTcQm841yTBXR8rcipy7TM8MmZu7UAi/view" TargetMode="External"/><Relationship Id="rId336" Type="http://schemas.openxmlformats.org/officeDocument/2006/relationships/hyperlink" Target="https://drive.google.com/file/d/1KF3bSTYTCs41X7yNuAjq-U8iriNATo8g/view" TargetMode="External"/><Relationship Id="rId335" Type="http://schemas.openxmlformats.org/officeDocument/2006/relationships/hyperlink" Target="https://drive.google.com/file/d/1Tdc8GDpe9scONV1Io8h23j1Q8jC8WfzU/view" TargetMode="External"/><Relationship Id="rId3580" Type="http://schemas.openxmlformats.org/officeDocument/2006/relationships/hyperlink" Target="https://drive.google.com/file/d/1ZManr81hmu_onaCUvG_UyCvl-LMl4LLa/view" TargetMode="External"/><Relationship Id="rId339" Type="http://schemas.openxmlformats.org/officeDocument/2006/relationships/hyperlink" Target="https://drive.google.com/file/d/1Sw9xeAlYzszy2TRL97oI1qu5I0yQZQ_L/view" TargetMode="External"/><Relationship Id="rId330" Type="http://schemas.openxmlformats.org/officeDocument/2006/relationships/hyperlink" Target="https://drive.google.com/file/d/1nsCRYzO8OfP9uefWG3LE77yG87G7R6N7/view" TargetMode="External"/><Relationship Id="rId2250" Type="http://schemas.openxmlformats.org/officeDocument/2006/relationships/hyperlink" Target="https://drive.google.com/file/d/1BDB2qCU7-DBOmWeXLz5ec9h6t98Yyuqm/view" TargetMode="External"/><Relationship Id="rId3582" Type="http://schemas.openxmlformats.org/officeDocument/2006/relationships/hyperlink" Target="https://drive.google.com/file/d/18Dr6VniNZsSqVmMEhYGYl2ub_jXbck81/view" TargetMode="External"/><Relationship Id="rId2251" Type="http://schemas.openxmlformats.org/officeDocument/2006/relationships/hyperlink" Target="https://drive.google.com/file/d/1-MjELKTUOPST-HVinWQ84P_rVwKOujyg/view" TargetMode="External"/><Relationship Id="rId3581" Type="http://schemas.openxmlformats.org/officeDocument/2006/relationships/hyperlink" Target="https://drive.google.com/file/d/1B1V-s9_CiOlQCWceEdqblNqr-ssSF1mJ/view" TargetMode="External"/><Relationship Id="rId2252" Type="http://schemas.openxmlformats.org/officeDocument/2006/relationships/hyperlink" Target="https://drive.google.com/file/d/1KpFI7DNaE3GxWi-b5DAN_Xm3MC13mupL/view" TargetMode="External"/><Relationship Id="rId3584" Type="http://schemas.openxmlformats.org/officeDocument/2006/relationships/hyperlink" Target="https://drive.google.com/file/d/1FaMoWiiReHpnnxkbuISe10aPR4Vze2mQ/view" TargetMode="External"/><Relationship Id="rId2253" Type="http://schemas.openxmlformats.org/officeDocument/2006/relationships/hyperlink" Target="https://drive.google.com/file/d/1lixJQUg8CPJn04Vnva4Tc9mLA89NHGjd/view" TargetMode="External"/><Relationship Id="rId3583" Type="http://schemas.openxmlformats.org/officeDocument/2006/relationships/hyperlink" Target="https://drive.google.com/file/d/1T32Wv8JzfeBY7cVWNRUuRWQJIaMUG0pu/view" TargetMode="External"/><Relationship Id="rId334" Type="http://schemas.openxmlformats.org/officeDocument/2006/relationships/hyperlink" Target="https://drive.google.com/file/d/1nsCRYzO8OfP9uefWG3LE77yG87G7R6N7/view" TargetMode="External"/><Relationship Id="rId2254" Type="http://schemas.openxmlformats.org/officeDocument/2006/relationships/hyperlink" Target="https://drive.google.com/file/d/1S9bSi8qMNpzP84cpMl7XnihGqdHAFg6c/view" TargetMode="External"/><Relationship Id="rId3586" Type="http://schemas.openxmlformats.org/officeDocument/2006/relationships/hyperlink" Target="https://drive.google.com/file/d/1GEXKfnal8-pvT5LUaJgqE4d00N08HeCD/view" TargetMode="External"/><Relationship Id="rId333" Type="http://schemas.openxmlformats.org/officeDocument/2006/relationships/hyperlink" Target="https://drive.google.com/file/d/1_ELWWAKfDxOVTVVJsy5t90wGm-MH37QL/view" TargetMode="External"/><Relationship Id="rId2255" Type="http://schemas.openxmlformats.org/officeDocument/2006/relationships/hyperlink" Target="https://drive.google.com/file/d/1SmaH5QOauEXTQGxKICtKXAROjEXAq0Se/view" TargetMode="External"/><Relationship Id="rId3585" Type="http://schemas.openxmlformats.org/officeDocument/2006/relationships/hyperlink" Target="https://drive.google.com/file/d/1lQKAG9d-DagJWg1_LTIZV3lJTXjU8LUW/view" TargetMode="External"/><Relationship Id="rId332" Type="http://schemas.openxmlformats.org/officeDocument/2006/relationships/hyperlink" Target="https://drive.google.com/file/d/1Vab50PW53nnrJmu3uWtyK0IO0FakO-zY/view" TargetMode="External"/><Relationship Id="rId2256" Type="http://schemas.openxmlformats.org/officeDocument/2006/relationships/hyperlink" Target="https://drive.google.com/file/d/1jQaLsdTUUqtgXALnukwiQ5bBIa-s5pki/view" TargetMode="External"/><Relationship Id="rId3588" Type="http://schemas.openxmlformats.org/officeDocument/2006/relationships/hyperlink" Target="https://drive.google.com/file/d/14F_ei38-wacqm5F8XsFA3UVDt2i8y7-n/view" TargetMode="External"/><Relationship Id="rId331" Type="http://schemas.openxmlformats.org/officeDocument/2006/relationships/hyperlink" Target="https://drive.google.com/file/d/1Tdc8GDpe9scONV1Io8h23j1Q8jC8WfzU/view" TargetMode="External"/><Relationship Id="rId2257" Type="http://schemas.openxmlformats.org/officeDocument/2006/relationships/hyperlink" Target="https://drive.google.com/file/d/1ryna4dGvDXlVbqQAG8LK7JppeoKiUcy3/view" TargetMode="External"/><Relationship Id="rId3587" Type="http://schemas.openxmlformats.org/officeDocument/2006/relationships/hyperlink" Target="https://drive.google.com/file/d/1dD3ac22qc-0CN_vOePhyoKDyZXSVs-Q_/view" TargetMode="External"/><Relationship Id="rId370" Type="http://schemas.openxmlformats.org/officeDocument/2006/relationships/hyperlink" Target="https://drive.google.com/file/d/1VbeuCgZ6969HjDEf7G97QUkG_4eqnZu_/view" TargetMode="External"/><Relationship Id="rId369" Type="http://schemas.openxmlformats.org/officeDocument/2006/relationships/hyperlink" Target="https://drive.google.com/file/d/14lDvVKqRn6ab2kKM-OKg5n0_WKQeE1XT/view" TargetMode="External"/><Relationship Id="rId368" Type="http://schemas.openxmlformats.org/officeDocument/2006/relationships/hyperlink" Target="https://drive.google.com/file/d/1X_g7xAnjb3nZApVM0vSiPnORitEDwamS/view" TargetMode="External"/><Relationship Id="rId2280" Type="http://schemas.openxmlformats.org/officeDocument/2006/relationships/hyperlink" Target="https://drive.google.com/file/d/19zqv7Duk3Kq4-0QF_4VxZWTELyNH3cqR/view" TargetMode="External"/><Relationship Id="rId2281" Type="http://schemas.openxmlformats.org/officeDocument/2006/relationships/hyperlink" Target="https://drive.google.com/file/d/1ZxrxQ9O_EiTC0SlQv9qCnQ0Brx-IAEZX/view" TargetMode="External"/><Relationship Id="rId2282" Type="http://schemas.openxmlformats.org/officeDocument/2006/relationships/hyperlink" Target="https://drive.google.com/file/d/1EbZCCy39eFLtT9hr6xM3DM2fbwzD_mnK/view" TargetMode="External"/><Relationship Id="rId363" Type="http://schemas.openxmlformats.org/officeDocument/2006/relationships/hyperlink" Target="https://drive.google.com/file/d/1B8iKwOMH2ZF2r2a4D_Ehrxn4SOtl2lzX/view" TargetMode="External"/><Relationship Id="rId2283" Type="http://schemas.openxmlformats.org/officeDocument/2006/relationships/hyperlink" Target="https://drive.google.com/file/d/1Fssp7fo5YI21xWwMIIcbyJaC5Vts1I18/view" TargetMode="External"/><Relationship Id="rId362" Type="http://schemas.openxmlformats.org/officeDocument/2006/relationships/hyperlink" Target="https://drive.google.com/file/d/1EG1Gkr65d__OsdQzPtbJF5bDxmsyDu2a/view" TargetMode="External"/><Relationship Id="rId2284" Type="http://schemas.openxmlformats.org/officeDocument/2006/relationships/hyperlink" Target="https://drive.google.com/file/d/1ivpCy1d2jDL5qkdTh1sFFX6Jh4MIoBJU/view" TargetMode="External"/><Relationship Id="rId361" Type="http://schemas.openxmlformats.org/officeDocument/2006/relationships/hyperlink" Target="https://drive.google.com/file/d/1B8iKwOMH2ZF2r2a4D_Ehrxn4SOtl2lzX/view" TargetMode="External"/><Relationship Id="rId2285" Type="http://schemas.openxmlformats.org/officeDocument/2006/relationships/hyperlink" Target="https://drive.google.com/file/d/1HtNrSFLbaG9WLQSRq7EjnIVxf7l8z669/view" TargetMode="External"/><Relationship Id="rId360" Type="http://schemas.openxmlformats.org/officeDocument/2006/relationships/hyperlink" Target="https://drive.google.com/file/d/1xl2-NxYspRO5FAgbXW2JXFIEITFqgD-r/view" TargetMode="External"/><Relationship Id="rId2286" Type="http://schemas.openxmlformats.org/officeDocument/2006/relationships/hyperlink" Target="https://drive.google.com/file/d/1rE0BtFGFzwf8JHBlQrN4wzY9-fZ9KZg4/view" TargetMode="External"/><Relationship Id="rId367" Type="http://schemas.openxmlformats.org/officeDocument/2006/relationships/hyperlink" Target="https://drive.google.com/file/d/1yFbczxu6z2joUl6p8VRHqOkEJ3Mk91es/view" TargetMode="External"/><Relationship Id="rId2287" Type="http://schemas.openxmlformats.org/officeDocument/2006/relationships/hyperlink" Target="https://drive.google.com/file/d/1b7jEj4ogZ3fKezLSebr88UVnLC2JtdHk/view" TargetMode="External"/><Relationship Id="rId366" Type="http://schemas.openxmlformats.org/officeDocument/2006/relationships/hyperlink" Target="https://drive.google.com/file/d/1VbeuCgZ6969HjDEf7G97QUkG_4eqnZu_/view" TargetMode="External"/><Relationship Id="rId2288" Type="http://schemas.openxmlformats.org/officeDocument/2006/relationships/hyperlink" Target="https://drive.google.com/file/d/1ZxrxQ9O_EiTC0SlQv9qCnQ0Brx-IAEZX/view" TargetMode="External"/><Relationship Id="rId365" Type="http://schemas.openxmlformats.org/officeDocument/2006/relationships/hyperlink" Target="https://drive.google.com/file/d/14lDvVKqRn6ab2kKM-OKg5n0_WKQeE1XT/view" TargetMode="External"/><Relationship Id="rId2289" Type="http://schemas.openxmlformats.org/officeDocument/2006/relationships/hyperlink" Target="https://drive.google.com/file/d/1E9Xh10K5mKzp3HbfM92Ca76t45dLOcDp/view" TargetMode="External"/><Relationship Id="rId364" Type="http://schemas.openxmlformats.org/officeDocument/2006/relationships/hyperlink" Target="https://drive.google.com/file/d/1X_g7xAnjb3nZApVM0vSiPnORitEDwamS/view" TargetMode="External"/><Relationship Id="rId95" Type="http://schemas.openxmlformats.org/officeDocument/2006/relationships/hyperlink" Target="https://drive.google.com/file/d/1_-V0-965vg6COcUNP3syb8lslA_9715c/view" TargetMode="External"/><Relationship Id="rId94" Type="http://schemas.openxmlformats.org/officeDocument/2006/relationships/hyperlink" Target="https://drive.google.com/file/d/1mWTwTmpfPLQfCIoNHOKXzOpSrfVgLBwr/view" TargetMode="External"/><Relationship Id="rId97" Type="http://schemas.openxmlformats.org/officeDocument/2006/relationships/hyperlink" Target="https://drive.google.com/file/d/1Hj3JOrwdj7VtadggjXYE9H9_K9XGkAl2/view" TargetMode="External"/><Relationship Id="rId96" Type="http://schemas.openxmlformats.org/officeDocument/2006/relationships/hyperlink" Target="https://drive.google.com/file/d/17IQL9w7lRL9aw_hJUfmDTEPX-mJlnr1-/view" TargetMode="External"/><Relationship Id="rId99" Type="http://schemas.openxmlformats.org/officeDocument/2006/relationships/hyperlink" Target="https://drive.google.com/file/d/1veoo42zinasz7kwGa1nDAMAkE_90PgIw/view" TargetMode="External"/><Relationship Id="rId98" Type="http://schemas.openxmlformats.org/officeDocument/2006/relationships/hyperlink" Target="https://drive.google.com/file/d/1ssroEoT71oAgjLH7h5-x9V3Vy8dV03X4/view" TargetMode="External"/><Relationship Id="rId91" Type="http://schemas.openxmlformats.org/officeDocument/2006/relationships/hyperlink" Target="https://drive.google.com/file/d/1_nzM-9bLSLxR2gbu3H30by7dnFt3yTBY/view" TargetMode="External"/><Relationship Id="rId90" Type="http://schemas.openxmlformats.org/officeDocument/2006/relationships/hyperlink" Target="https://drive.google.com/file/d/1MQX8pGQdnVGMoh9145O1KHM0tDlc5Q7q/view" TargetMode="External"/><Relationship Id="rId93" Type="http://schemas.openxmlformats.org/officeDocument/2006/relationships/hyperlink" Target="https://drive.google.com/file/d/1Zk8qVDySndxlW9eo8t2JK1LZEP59Re4p/view" TargetMode="External"/><Relationship Id="rId92" Type="http://schemas.openxmlformats.org/officeDocument/2006/relationships/hyperlink" Target="https://drive.google.com/file/d/1PmpqvkzKR0eVZm1PuwwBVs2hzKoyL_Ci/view" TargetMode="External"/><Relationship Id="rId359" Type="http://schemas.openxmlformats.org/officeDocument/2006/relationships/hyperlink" Target="https://drive.google.com/file/d/1B8iKwOMH2ZF2r2a4D_Ehrxn4SOtl2lzX/view" TargetMode="External"/><Relationship Id="rId358" Type="http://schemas.openxmlformats.org/officeDocument/2006/relationships/hyperlink" Target="https://drive.google.com/file/d/1xl2-NxYspRO5FAgbXW2JXFIEITFqgD-r/view" TargetMode="External"/><Relationship Id="rId357" Type="http://schemas.openxmlformats.org/officeDocument/2006/relationships/hyperlink" Target="https://drive.google.com/file/d/15pEYApQx4NTPe-L0WADys6j01Y8GzKho/view" TargetMode="External"/><Relationship Id="rId2270" Type="http://schemas.openxmlformats.org/officeDocument/2006/relationships/hyperlink" Target="https://drive.google.com/file/d/1JHCtHJ6q-pfjSOaKvAYE-posIAK_DKqK/view" TargetMode="External"/><Relationship Id="rId2271" Type="http://schemas.openxmlformats.org/officeDocument/2006/relationships/hyperlink" Target="https://drive.google.com/file/d/14jrp7aVGLRcCVA1uZNtlnFmQQQIBtE5D/view" TargetMode="External"/><Relationship Id="rId352" Type="http://schemas.openxmlformats.org/officeDocument/2006/relationships/hyperlink" Target="https://drive.google.com/file/d/15jk5hWNzxULvOBji4qLxYEXNh7SY-3vp/view" TargetMode="External"/><Relationship Id="rId2272" Type="http://schemas.openxmlformats.org/officeDocument/2006/relationships/hyperlink" Target="https://drive.google.com/file/d/1_Ud7pHhZpQeax5ZUmmOJ5Gpqaoa2tf6_/view" TargetMode="External"/><Relationship Id="rId351" Type="http://schemas.openxmlformats.org/officeDocument/2006/relationships/hyperlink" Target="https://drive.google.com/file/d/1P5gjXGNvalxPmoi5-nsuXYc0C2LahVhK/view" TargetMode="External"/><Relationship Id="rId2273" Type="http://schemas.openxmlformats.org/officeDocument/2006/relationships/hyperlink" Target="https://drive.google.com/file/d/19zqv7Duk3Kq4-0QF_4VxZWTELyNH3cqR/view" TargetMode="External"/><Relationship Id="rId350" Type="http://schemas.openxmlformats.org/officeDocument/2006/relationships/hyperlink" Target="https://drive.google.com/file/d/1c9Mn4frfSkKfOYZCQZdgMwDc-CafuyG5/view" TargetMode="External"/><Relationship Id="rId2274" Type="http://schemas.openxmlformats.org/officeDocument/2006/relationships/hyperlink" Target="https://drive.google.com/file/d/1ZxrxQ9O_EiTC0SlQv9qCnQ0Brx-IAEZX/view" TargetMode="External"/><Relationship Id="rId2275" Type="http://schemas.openxmlformats.org/officeDocument/2006/relationships/hyperlink" Target="https://drive.google.com/file/d/1EbZCCy39eFLtT9hr6xM3DM2fbwzD_mnK/view" TargetMode="External"/><Relationship Id="rId356" Type="http://schemas.openxmlformats.org/officeDocument/2006/relationships/hyperlink" Target="https://drive.google.com/file/d/15jk5hWNzxULvOBji4qLxYEXNh7SY-3vp/view" TargetMode="External"/><Relationship Id="rId2276" Type="http://schemas.openxmlformats.org/officeDocument/2006/relationships/hyperlink" Target="https://drive.google.com/file/d/1Fssp7fo5YI21xWwMIIcbyJaC5Vts1I18/view" TargetMode="External"/><Relationship Id="rId355" Type="http://schemas.openxmlformats.org/officeDocument/2006/relationships/hyperlink" Target="https://drive.google.com/file/d/1P5gjXGNvalxPmoi5-nsuXYc0C2LahVhK/view" TargetMode="External"/><Relationship Id="rId2277" Type="http://schemas.openxmlformats.org/officeDocument/2006/relationships/hyperlink" Target="https://drive.google.com/file/d/1ivpCy1d2jDL5qkdTh1sFFX6Jh4MIoBJU/view" TargetMode="External"/><Relationship Id="rId354" Type="http://schemas.openxmlformats.org/officeDocument/2006/relationships/hyperlink" Target="https://drive.google.com/file/d/1mh351DpdmX5A-yR6ra3UtU6PaLxZmY4S/view" TargetMode="External"/><Relationship Id="rId2278" Type="http://schemas.openxmlformats.org/officeDocument/2006/relationships/hyperlink" Target="https://drive.google.com/file/d/1HtNrSFLbaG9WLQSRq7EjnIVxf7l8z669/view" TargetMode="External"/><Relationship Id="rId353" Type="http://schemas.openxmlformats.org/officeDocument/2006/relationships/hyperlink" Target="https://drive.google.com/file/d/15pEYApQx4NTPe-L0WADys6j01Y8GzKho/view" TargetMode="External"/><Relationship Id="rId2279" Type="http://schemas.openxmlformats.org/officeDocument/2006/relationships/hyperlink" Target="https://drive.google.com/file/d/1_Ud7pHhZpQeax5ZUmmOJ5Gpqaoa2tf6_/view" TargetMode="External"/><Relationship Id="rId2225" Type="http://schemas.openxmlformats.org/officeDocument/2006/relationships/hyperlink" Target="https://drive.google.com/file/d/13-8LukgwJXX2kKc63Cn4gpvmx1t6Ltg7/view" TargetMode="External"/><Relationship Id="rId3557" Type="http://schemas.openxmlformats.org/officeDocument/2006/relationships/hyperlink" Target="https://drive.google.com/file/d/1hydjPZr52WJnZsZDouJhUgQDJr0V9dr6/view" TargetMode="External"/><Relationship Id="rId2226" Type="http://schemas.openxmlformats.org/officeDocument/2006/relationships/hyperlink" Target="https://drive.google.com/file/d/1sZmBn8zqMUPPZOdtVVFYO5sczNXiPvsr/view" TargetMode="External"/><Relationship Id="rId3556" Type="http://schemas.openxmlformats.org/officeDocument/2006/relationships/hyperlink" Target="https://drive.google.com/file/d/1ppolGNayijIWbobsQvwu8RSKn-Zi4wzN/view" TargetMode="External"/><Relationship Id="rId2227" Type="http://schemas.openxmlformats.org/officeDocument/2006/relationships/hyperlink" Target="https://drive.google.com/file/d/1bm5LF4OOa9wH3eLRQxbY5mJNcJVCwXox/view" TargetMode="External"/><Relationship Id="rId3559" Type="http://schemas.openxmlformats.org/officeDocument/2006/relationships/hyperlink" Target="https://drive.google.com/file/d/1prG3B89KitoCce8fta8zknF9Mdi2Awug/view" TargetMode="External"/><Relationship Id="rId2228" Type="http://schemas.openxmlformats.org/officeDocument/2006/relationships/hyperlink" Target="https://drive.google.com/file/d/16FPfgqceErThqEwHXAankCxN0OBweUCN/view" TargetMode="External"/><Relationship Id="rId3558" Type="http://schemas.openxmlformats.org/officeDocument/2006/relationships/hyperlink" Target="https://drive.google.com/file/d/1YYAqTjCq_4DOsl6J-HeKkFgzl7MXOzKi/view" TargetMode="External"/><Relationship Id="rId2229" Type="http://schemas.openxmlformats.org/officeDocument/2006/relationships/hyperlink" Target="https://drive.google.com/file/d/1N1n43YvGC8TGdKNucWZxP89he85V3VrO/view" TargetMode="External"/><Relationship Id="rId305" Type="http://schemas.openxmlformats.org/officeDocument/2006/relationships/hyperlink" Target="https://drive.google.com/file/d/1vKp_vunn_UlptE1Xy1MWOfv0jaFX1DXA/view" TargetMode="External"/><Relationship Id="rId304" Type="http://schemas.openxmlformats.org/officeDocument/2006/relationships/hyperlink" Target="https://drive.google.com/file/d/1M3Jsrvn5OA3ZDkM1XW9IbOooxVKoA0Vu/view" TargetMode="External"/><Relationship Id="rId303" Type="http://schemas.openxmlformats.org/officeDocument/2006/relationships/hyperlink" Target="https://drive.google.com/file/d/1RxOm-53VhU7Yz7IRVKPK54m0ua_FJ6Dj/view" TargetMode="External"/><Relationship Id="rId302" Type="http://schemas.openxmlformats.org/officeDocument/2006/relationships/hyperlink" Target="https://drive.google.com/file/d/1mlH-w9VvU3PhjN0wfQZ0POgou6NisKMU/view" TargetMode="External"/><Relationship Id="rId309" Type="http://schemas.openxmlformats.org/officeDocument/2006/relationships/hyperlink" Target="https://drive.google.com/file/d/1vKp_vunn_UlptE1Xy1MWOfv0jaFX1DXA/view" TargetMode="External"/><Relationship Id="rId308" Type="http://schemas.openxmlformats.org/officeDocument/2006/relationships/hyperlink" Target="https://drive.google.com/file/d/1isBO0dujCoHA8XKZkF0TTYXpcZWhbUrY/view" TargetMode="External"/><Relationship Id="rId307" Type="http://schemas.openxmlformats.org/officeDocument/2006/relationships/hyperlink" Target="https://drive.google.com/file/d/1RxOm-53VhU7Yz7IRVKPK54m0ua_FJ6Dj/view" TargetMode="External"/><Relationship Id="rId306" Type="http://schemas.openxmlformats.org/officeDocument/2006/relationships/hyperlink" Target="https://drive.google.com/file/d/1mlH-w9VvU3PhjN0wfQZ0POgou6NisKMU/view" TargetMode="External"/><Relationship Id="rId3551" Type="http://schemas.openxmlformats.org/officeDocument/2006/relationships/hyperlink" Target="https://drive.google.com/file/d/1ppolGNayijIWbobsQvwu8RSKn-Zi4wzN/view" TargetMode="External"/><Relationship Id="rId2220" Type="http://schemas.openxmlformats.org/officeDocument/2006/relationships/hyperlink" Target="https://drive.google.com/file/d/1sZmBn8zqMUPPZOdtVVFYO5sczNXiPvsr/view" TargetMode="External"/><Relationship Id="rId3550" Type="http://schemas.openxmlformats.org/officeDocument/2006/relationships/hyperlink" Target="https://drive.google.com/file/d/1YHU-7JdLXY61U22X9sGA_xb-QY_ujXCX/view" TargetMode="External"/><Relationship Id="rId301" Type="http://schemas.openxmlformats.org/officeDocument/2006/relationships/hyperlink" Target="https://drive.google.com/file/d/1vKp_vunn_UlptE1Xy1MWOfv0jaFX1DXA/view" TargetMode="External"/><Relationship Id="rId2221" Type="http://schemas.openxmlformats.org/officeDocument/2006/relationships/hyperlink" Target="https://drive.google.com/file/d/1bm5LF4OOa9wH3eLRQxbY5mJNcJVCwXox/view" TargetMode="External"/><Relationship Id="rId3553" Type="http://schemas.openxmlformats.org/officeDocument/2006/relationships/hyperlink" Target="https://drive.google.com/file/d/1YYAqTjCq_4DOsl6J-HeKkFgzl7MXOzKi/view" TargetMode="External"/><Relationship Id="rId300" Type="http://schemas.openxmlformats.org/officeDocument/2006/relationships/hyperlink" Target="https://drive.google.com/file/d/1M3Jsrvn5OA3ZDkM1XW9IbOooxVKoA0Vu/view" TargetMode="External"/><Relationship Id="rId2222" Type="http://schemas.openxmlformats.org/officeDocument/2006/relationships/hyperlink" Target="https://drive.google.com/file/d/16FPfgqceErThqEwHXAankCxN0OBweUCN/view" TargetMode="External"/><Relationship Id="rId3552" Type="http://schemas.openxmlformats.org/officeDocument/2006/relationships/hyperlink" Target="https://drive.google.com/file/d/1hydjPZr52WJnZsZDouJhUgQDJr0V9dr6/view" TargetMode="External"/><Relationship Id="rId2223" Type="http://schemas.openxmlformats.org/officeDocument/2006/relationships/hyperlink" Target="https://drive.google.com/file/d/1N1n43YvGC8TGdKNucWZxP89he85V3VrO/view" TargetMode="External"/><Relationship Id="rId3555" Type="http://schemas.openxmlformats.org/officeDocument/2006/relationships/hyperlink" Target="https://drive.google.com/file/d/1YHU-7JdLXY61U22X9sGA_xb-QY_ujXCX/view" TargetMode="External"/><Relationship Id="rId2224" Type="http://schemas.openxmlformats.org/officeDocument/2006/relationships/hyperlink" Target="https://drive.google.com/file/d/15D-euA89ZhaQS9-55Wgri6trbJcy4h3U/view" TargetMode="External"/><Relationship Id="rId3554" Type="http://schemas.openxmlformats.org/officeDocument/2006/relationships/hyperlink" Target="https://drive.google.com/file/d/1prG3B89KitoCce8fta8zknF9Mdi2Awug/view" TargetMode="External"/><Relationship Id="rId2214" Type="http://schemas.openxmlformats.org/officeDocument/2006/relationships/hyperlink" Target="https://drive.google.com/file/d/1MTT2Vdb0HbZ3DxeA-X7MebDmbA57GuLT/view" TargetMode="External"/><Relationship Id="rId3546" Type="http://schemas.openxmlformats.org/officeDocument/2006/relationships/hyperlink" Target="https://drive.google.com/file/d/1GCwv2fqvHjscW143EhfPIuFWn01cQl3e/view" TargetMode="External"/><Relationship Id="rId2215" Type="http://schemas.openxmlformats.org/officeDocument/2006/relationships/hyperlink" Target="https://drive.google.com/file/d/1Ev1Lq0WdLiimx4FdlNIIaOiEwe57JZI9/view" TargetMode="External"/><Relationship Id="rId3545" Type="http://schemas.openxmlformats.org/officeDocument/2006/relationships/hyperlink" Target="https://drive.google.com/file/d/1yGPr2xRIGZm4vaLkqwaOjH3U_2jVRP3D/view" TargetMode="External"/><Relationship Id="rId2216" Type="http://schemas.openxmlformats.org/officeDocument/2006/relationships/hyperlink" Target="https://drive.google.com/file/d/12C0hrVhUPsgEsii2nxb2mftra1v-LlYG/view" TargetMode="External"/><Relationship Id="rId3548" Type="http://schemas.openxmlformats.org/officeDocument/2006/relationships/hyperlink" Target="https://drive.google.com/file/d/1V-ve3Ed2CeDdw7G9yXXcGy0bAN4qwklx/view" TargetMode="External"/><Relationship Id="rId2217" Type="http://schemas.openxmlformats.org/officeDocument/2006/relationships/hyperlink" Target="https://drive.google.com/file/d/1MTT2Vdb0HbZ3DxeA-X7MebDmbA57GuLT/view" TargetMode="External"/><Relationship Id="rId3547" Type="http://schemas.openxmlformats.org/officeDocument/2006/relationships/hyperlink" Target="https://drive.google.com/file/d/1x076XxlPYPiadffHtotLSs1GlLpaFfp2/view" TargetMode="External"/><Relationship Id="rId2218" Type="http://schemas.openxmlformats.org/officeDocument/2006/relationships/hyperlink" Target="https://drive.google.com/file/d/1AkTNegwB-liQTVtmJhaG1dTXeAhQ_MvD/view" TargetMode="External"/><Relationship Id="rId2219" Type="http://schemas.openxmlformats.org/officeDocument/2006/relationships/hyperlink" Target="https://drive.google.com/file/d/1CDmy0dIUry4m0sH3fjuw_5AIBNQeUet_/view" TargetMode="External"/><Relationship Id="rId3549" Type="http://schemas.openxmlformats.org/officeDocument/2006/relationships/hyperlink" Target="https://drive.google.com/file/d/1HYf0usZtqm1UEx1d76it-Bhhyzt-xPMU/view" TargetMode="External"/><Relationship Id="rId3540" Type="http://schemas.openxmlformats.org/officeDocument/2006/relationships/hyperlink" Target="https://drive.google.com/file/d/11NryGbzzDtploRkUWC5IDcM7dCI9dBCO/view" TargetMode="External"/><Relationship Id="rId2210" Type="http://schemas.openxmlformats.org/officeDocument/2006/relationships/hyperlink" Target="https://drive.google.com/file/d/1Flc1K6VaehKqozKL_53NpyadwsBE7U-4/view" TargetMode="External"/><Relationship Id="rId3542" Type="http://schemas.openxmlformats.org/officeDocument/2006/relationships/hyperlink" Target="https://drive.google.com/file/d/1x076XxlPYPiadffHtotLSs1GlLpaFfp2/view" TargetMode="External"/><Relationship Id="rId2211" Type="http://schemas.openxmlformats.org/officeDocument/2006/relationships/hyperlink" Target="https://drive.google.com/file/d/1CDmy0dIUry4m0sH3fjuw_5AIBNQeUet_/view" TargetMode="External"/><Relationship Id="rId3541" Type="http://schemas.openxmlformats.org/officeDocument/2006/relationships/hyperlink" Target="https://drive.google.com/file/d/1Oembh3rm7z10eo9TSoxFVqfE9rNC7WDu/view" TargetMode="External"/><Relationship Id="rId2212" Type="http://schemas.openxmlformats.org/officeDocument/2006/relationships/hyperlink" Target="https://drive.google.com/file/d/1ViH8o1SuXzf82MCilZltAalvKU2pC6ad/view" TargetMode="External"/><Relationship Id="rId3544" Type="http://schemas.openxmlformats.org/officeDocument/2006/relationships/hyperlink" Target="https://drive.google.com/file/d/1HYf0usZtqm1UEx1d76it-Bhhyzt-xPMU/view" TargetMode="External"/><Relationship Id="rId2213" Type="http://schemas.openxmlformats.org/officeDocument/2006/relationships/hyperlink" Target="https://drive.google.com/file/d/1uo4QNqzUZSUo-w9tXPrwsjCdBosnUCXX/view" TargetMode="External"/><Relationship Id="rId3543" Type="http://schemas.openxmlformats.org/officeDocument/2006/relationships/hyperlink" Target="https://drive.google.com/file/d/1V-ve3Ed2CeDdw7G9yXXcGy0bAN4qwklx/view" TargetMode="External"/><Relationship Id="rId2247" Type="http://schemas.openxmlformats.org/officeDocument/2006/relationships/hyperlink" Target="https://drive.google.com/file/d/1BDB2qCU7-DBOmWeXLz5ec9h6t98Yyuqm/view" TargetMode="External"/><Relationship Id="rId3579" Type="http://schemas.openxmlformats.org/officeDocument/2006/relationships/hyperlink" Target="https://drive.google.com/file/d/180_SUElRh5JpwMy5B-Bjc1eTkuJI2lru/view" TargetMode="External"/><Relationship Id="rId2248" Type="http://schemas.openxmlformats.org/officeDocument/2006/relationships/hyperlink" Target="https://drive.google.com/file/d/1Ylm-qjNdRdUsr5u3ddmCWqIbS_PEwJqb/view" TargetMode="External"/><Relationship Id="rId3578" Type="http://schemas.openxmlformats.org/officeDocument/2006/relationships/hyperlink" Target="https://drive.google.com/file/d/154AHOBgqEd3KhMcDCRFD_7J53e7YCVCS/view" TargetMode="External"/><Relationship Id="rId2249" Type="http://schemas.openxmlformats.org/officeDocument/2006/relationships/hyperlink" Target="https://drive.google.com/file/d/1iDjcEsWJVvMtBnYvJzfTFsb96t-0hUnq/view" TargetMode="External"/><Relationship Id="rId327" Type="http://schemas.openxmlformats.org/officeDocument/2006/relationships/hyperlink" Target="https://drive.google.com/file/d/17dY0QbuzBJ7GAE0wmDxw2JOF66V58335/view" TargetMode="External"/><Relationship Id="rId326" Type="http://schemas.openxmlformats.org/officeDocument/2006/relationships/hyperlink" Target="https://drive.google.com/file/d/1yD3dMcoqUnASC8k06PxdmF_quv0m9v85/view" TargetMode="External"/><Relationship Id="rId325" Type="http://schemas.openxmlformats.org/officeDocument/2006/relationships/hyperlink" Target="https://drive.google.com/file/d/1vk9uElmTbZ2Lre1oMjA_rLJ26WM-Tgsd/view" TargetMode="External"/><Relationship Id="rId324" Type="http://schemas.openxmlformats.org/officeDocument/2006/relationships/hyperlink" Target="https://drive.google.com/file/d/1pJwTp5L4eaPH-MxARET9xqQ5znCFrc9g/view" TargetMode="External"/><Relationship Id="rId329" Type="http://schemas.openxmlformats.org/officeDocument/2006/relationships/hyperlink" Target="https://drive.google.com/file/d/1_ELWWAKfDxOVTVVJsy5t90wGm-MH37QL/view" TargetMode="External"/><Relationship Id="rId328" Type="http://schemas.openxmlformats.org/officeDocument/2006/relationships/hyperlink" Target="https://drive.google.com/file/d/1Vab50PW53nnrJmu3uWtyK0IO0FakO-zY/view" TargetMode="External"/><Relationship Id="rId3571" Type="http://schemas.openxmlformats.org/officeDocument/2006/relationships/hyperlink" Target="https://drive.google.com/file/d/19ac-ds9hrGE3j2aAqs7bg3uKgU6RPYjh/view" TargetMode="External"/><Relationship Id="rId2240" Type="http://schemas.openxmlformats.org/officeDocument/2006/relationships/hyperlink" Target="https://drive.google.com/file/d/1CC9N5tTGCwdf6fmLoYQ9srsmC4UL-D0N/view" TargetMode="External"/><Relationship Id="rId3570" Type="http://schemas.openxmlformats.org/officeDocument/2006/relationships/hyperlink" Target="https://drive.google.com/file/d/1vy2EIcARcr9FV0UOScD3Ri0axiZRzmiw/view" TargetMode="External"/><Relationship Id="rId2241" Type="http://schemas.openxmlformats.org/officeDocument/2006/relationships/hyperlink" Target="https://drive.google.com/file/d/1zi0GcaxqdqZ8yGfmFo_MKpgY_qTTUyvK/view" TargetMode="External"/><Relationship Id="rId3573" Type="http://schemas.openxmlformats.org/officeDocument/2006/relationships/hyperlink" Target="https://drive.google.com/file/d/154AHOBgqEd3KhMcDCRFD_7J53e7YCVCS/view" TargetMode="External"/><Relationship Id="rId2242" Type="http://schemas.openxmlformats.org/officeDocument/2006/relationships/hyperlink" Target="https://drive.google.com/file/d/1ZRcVQqvqAgWjP6jf7Wd8zx-Ba3iaZVTh/view" TargetMode="External"/><Relationship Id="rId3572" Type="http://schemas.openxmlformats.org/officeDocument/2006/relationships/hyperlink" Target="https://drive.google.com/file/d/1m6EHLYri8nRM1nurnR7aWfeXDcgXtJ6O/view" TargetMode="External"/><Relationship Id="rId323" Type="http://schemas.openxmlformats.org/officeDocument/2006/relationships/hyperlink" Target="https://drive.google.com/file/d/17dY0QbuzBJ7GAE0wmDxw2JOF66V58335/view" TargetMode="External"/><Relationship Id="rId2243" Type="http://schemas.openxmlformats.org/officeDocument/2006/relationships/hyperlink" Target="https://drive.google.com/file/d/1K6r6b4uNeycihPzP4ghSvCAeHxClLKN6/view" TargetMode="External"/><Relationship Id="rId3575" Type="http://schemas.openxmlformats.org/officeDocument/2006/relationships/hyperlink" Target="https://drive.google.com/file/d/1YAGE4aa5JlZGtU1uYcfIXixbHFSvs8KR/view" TargetMode="External"/><Relationship Id="rId322" Type="http://schemas.openxmlformats.org/officeDocument/2006/relationships/hyperlink" Target="https://drive.google.com/file/d/1yD3dMcoqUnASC8k06PxdmF_quv0m9v85/view" TargetMode="External"/><Relationship Id="rId2244" Type="http://schemas.openxmlformats.org/officeDocument/2006/relationships/hyperlink" Target="https://drive.google.com/file/d/1BDB2qCU7-DBOmWeXLz5ec9h6t98Yyuqm/view" TargetMode="External"/><Relationship Id="rId3574" Type="http://schemas.openxmlformats.org/officeDocument/2006/relationships/hyperlink" Target="https://drive.google.com/file/d/180_SUElRh5JpwMy5B-Bjc1eTkuJI2lru/view" TargetMode="External"/><Relationship Id="rId321" Type="http://schemas.openxmlformats.org/officeDocument/2006/relationships/hyperlink" Target="https://drive.google.com/file/d/1vk9uElmTbZ2Lre1oMjA_rLJ26WM-Tgsd/view" TargetMode="External"/><Relationship Id="rId2245" Type="http://schemas.openxmlformats.org/officeDocument/2006/relationships/hyperlink" Target="https://drive.google.com/file/d/1ZRcVQqvqAgWjP6jf7Wd8zx-Ba3iaZVTh/view" TargetMode="External"/><Relationship Id="rId3577" Type="http://schemas.openxmlformats.org/officeDocument/2006/relationships/hyperlink" Target="https://drive.google.com/file/d/1m6EHLYri8nRM1nurnR7aWfeXDcgXtJ6O/view" TargetMode="External"/><Relationship Id="rId320" Type="http://schemas.openxmlformats.org/officeDocument/2006/relationships/hyperlink" Target="https://drive.google.com/file/d/1uAv39FEC39Jjxp42gqbnA-l8QvhCBv08/view" TargetMode="External"/><Relationship Id="rId2246" Type="http://schemas.openxmlformats.org/officeDocument/2006/relationships/hyperlink" Target="https://drive.google.com/file/d/1K6r6b4uNeycihPzP4ghSvCAeHxClLKN6/view" TargetMode="External"/><Relationship Id="rId3576" Type="http://schemas.openxmlformats.org/officeDocument/2006/relationships/hyperlink" Target="https://drive.google.com/file/d/1Wraa7vV7pwIp175J_BVTlFUmqXCa9ETc/view" TargetMode="External"/><Relationship Id="rId2236" Type="http://schemas.openxmlformats.org/officeDocument/2006/relationships/hyperlink" Target="https://drive.google.com/file/d/1o6ql91xlTo2qIcyjWgGofzNbP2wwl2oU/view" TargetMode="External"/><Relationship Id="rId3568" Type="http://schemas.openxmlformats.org/officeDocument/2006/relationships/hyperlink" Target="https://drive.google.com/file/d/154AHOBgqEd3KhMcDCRFD_7J53e7YCVCS/view" TargetMode="External"/><Relationship Id="rId2237" Type="http://schemas.openxmlformats.org/officeDocument/2006/relationships/hyperlink" Target="https://drive.google.com/file/d/1axF1GMOp7ebwEfR1y_hCJ7TDCa4hqmVi/view" TargetMode="External"/><Relationship Id="rId3567" Type="http://schemas.openxmlformats.org/officeDocument/2006/relationships/hyperlink" Target="https://drive.google.com/file/d/1m6EHLYri8nRM1nurnR7aWfeXDcgXtJ6O/view" TargetMode="External"/><Relationship Id="rId2238" Type="http://schemas.openxmlformats.org/officeDocument/2006/relationships/hyperlink" Target="https://drive.google.com/file/d/16FPfgqceErThqEwHXAankCxN0OBweUCN/view" TargetMode="External"/><Relationship Id="rId2239" Type="http://schemas.openxmlformats.org/officeDocument/2006/relationships/hyperlink" Target="https://drive.google.com/file/d/1EFyjlThvscA-NbLC_88CEk2_KPIOXYs3/view" TargetMode="External"/><Relationship Id="rId3569" Type="http://schemas.openxmlformats.org/officeDocument/2006/relationships/hyperlink" Target="https://drive.google.com/file/d/180_SUElRh5JpwMy5B-Bjc1eTkuJI2lru/view" TargetMode="External"/><Relationship Id="rId316" Type="http://schemas.openxmlformats.org/officeDocument/2006/relationships/hyperlink" Target="https://drive.google.com/file/d/1uAv39FEC39Jjxp42gqbnA-l8QvhCBv08/view" TargetMode="External"/><Relationship Id="rId315" Type="http://schemas.openxmlformats.org/officeDocument/2006/relationships/hyperlink" Target="https://drive.google.com/file/d/1RxOm-53VhU7Yz7IRVKPK54m0ua_FJ6Dj/view" TargetMode="External"/><Relationship Id="rId314" Type="http://schemas.openxmlformats.org/officeDocument/2006/relationships/hyperlink" Target="https://drive.google.com/file/d/1mlH-w9VvU3PhjN0wfQZ0POgou6NisKMU/view" TargetMode="External"/><Relationship Id="rId313" Type="http://schemas.openxmlformats.org/officeDocument/2006/relationships/hyperlink" Target="https://drive.google.com/file/d/1vKp_vunn_UlptE1Xy1MWOfv0jaFX1DXA/view" TargetMode="External"/><Relationship Id="rId319" Type="http://schemas.openxmlformats.org/officeDocument/2006/relationships/hyperlink" Target="https://drive.google.com/file/d/17dY0QbuzBJ7GAE0wmDxw2JOF66V58335/view" TargetMode="External"/><Relationship Id="rId318" Type="http://schemas.openxmlformats.org/officeDocument/2006/relationships/hyperlink" Target="https://drive.google.com/file/d/1yD3dMcoqUnASC8k06PxdmF_quv0m9v85/view" TargetMode="External"/><Relationship Id="rId317" Type="http://schemas.openxmlformats.org/officeDocument/2006/relationships/hyperlink" Target="https://drive.google.com/file/d/1vk9uElmTbZ2Lre1oMjA_rLJ26WM-Tgsd/view" TargetMode="External"/><Relationship Id="rId3560" Type="http://schemas.openxmlformats.org/officeDocument/2006/relationships/hyperlink" Target="https://drive.google.com/file/d/1FqBx15I7ZxoUnMpPg7Up5sZd7jDseGFJ/view" TargetMode="External"/><Relationship Id="rId2230" Type="http://schemas.openxmlformats.org/officeDocument/2006/relationships/hyperlink" Target="https://drive.google.com/file/d/15D-euA89ZhaQS9-55Wgri6trbJcy4h3U/view" TargetMode="External"/><Relationship Id="rId3562" Type="http://schemas.openxmlformats.org/officeDocument/2006/relationships/hyperlink" Target="https://drive.google.com/file/d/1hydjPZr52WJnZsZDouJhUgQDJr0V9dr6/view" TargetMode="External"/><Relationship Id="rId2231" Type="http://schemas.openxmlformats.org/officeDocument/2006/relationships/hyperlink" Target="https://drive.google.com/file/d/13-8LukgwJXX2kKc63Cn4gpvmx1t6Ltg7/view" TargetMode="External"/><Relationship Id="rId3561" Type="http://schemas.openxmlformats.org/officeDocument/2006/relationships/hyperlink" Target="https://drive.google.com/file/d/11qvn5cXBV3Lw8Xzcw4Bn-89NOLGot8DO/view" TargetMode="External"/><Relationship Id="rId312" Type="http://schemas.openxmlformats.org/officeDocument/2006/relationships/hyperlink" Target="https://drive.google.com/file/d/1HN_UEcFcGzEOf-3fgn5roCfdChcGvCjs/view" TargetMode="External"/><Relationship Id="rId2232" Type="http://schemas.openxmlformats.org/officeDocument/2006/relationships/hyperlink" Target="https://drive.google.com/file/d/1FgyIwWsvRTK7TdujGkBfuvTALD0P5m3j/view" TargetMode="External"/><Relationship Id="rId3564" Type="http://schemas.openxmlformats.org/officeDocument/2006/relationships/hyperlink" Target="https://drive.google.com/file/d/1prG3B89KitoCce8fta8zknF9Mdi2Awug/view" TargetMode="External"/><Relationship Id="rId311" Type="http://schemas.openxmlformats.org/officeDocument/2006/relationships/hyperlink" Target="https://drive.google.com/file/d/1RxOm-53VhU7Yz7IRVKPK54m0ua_FJ6Dj/view" TargetMode="External"/><Relationship Id="rId2233" Type="http://schemas.openxmlformats.org/officeDocument/2006/relationships/hyperlink" Target="https://drive.google.com/file/d/16FPfgqceErThqEwHXAankCxN0OBweUCN/view" TargetMode="External"/><Relationship Id="rId3563" Type="http://schemas.openxmlformats.org/officeDocument/2006/relationships/hyperlink" Target="https://drive.google.com/file/d/1YYAqTjCq_4DOsl6J-HeKkFgzl7MXOzKi/view" TargetMode="External"/><Relationship Id="rId310" Type="http://schemas.openxmlformats.org/officeDocument/2006/relationships/hyperlink" Target="https://drive.google.com/file/d/1mlH-w9VvU3PhjN0wfQZ0POgou6NisKMU/view" TargetMode="External"/><Relationship Id="rId2234" Type="http://schemas.openxmlformats.org/officeDocument/2006/relationships/hyperlink" Target="https://drive.google.com/file/d/1c7rKTL-iUcb3-BsHnhi9hNJuVedi3Kg3/view" TargetMode="External"/><Relationship Id="rId3566" Type="http://schemas.openxmlformats.org/officeDocument/2006/relationships/hyperlink" Target="https://drive.google.com/file/d/19ac-ds9hrGE3j2aAqs7bg3uKgU6RPYjh/view" TargetMode="External"/><Relationship Id="rId2235" Type="http://schemas.openxmlformats.org/officeDocument/2006/relationships/hyperlink" Target="https://drive.google.com/file/d/13ac0oaptDqpqay3eDFY5q7kJ8KEFiRY3/view" TargetMode="External"/><Relationship Id="rId3565" Type="http://schemas.openxmlformats.org/officeDocument/2006/relationships/hyperlink" Target="https://drive.google.com/file/d/1vy2EIcARcr9FV0UOScD3Ri0axiZRzmiw/view" TargetMode="External"/><Relationship Id="rId4040" Type="http://schemas.openxmlformats.org/officeDocument/2006/relationships/hyperlink" Target="https://drive.google.com/file/d/1Z2UK-014Wdmr-n46u2WwgioG2ggNRtfl/view" TargetMode="External"/><Relationship Id="rId4042" Type="http://schemas.openxmlformats.org/officeDocument/2006/relationships/hyperlink" Target="https://drive.google.com/file/d/1TVVV9yqAor0z5wGM6hUB8iynAEsKLonE/view" TargetMode="External"/><Relationship Id="rId4041" Type="http://schemas.openxmlformats.org/officeDocument/2006/relationships/hyperlink" Target="https://drive.google.com/file/d/18JFILYkRI5Egf23Vb96fqzEeiZPrSkdS/view" TargetMode="External"/><Relationship Id="rId4044" Type="http://schemas.openxmlformats.org/officeDocument/2006/relationships/hyperlink" Target="https://drive.google.com/file/d/1iB5ZjSoTbBf_UDu6Cf3tPRtEEpadSgH6/view" TargetMode="External"/><Relationship Id="rId4043" Type="http://schemas.openxmlformats.org/officeDocument/2006/relationships/hyperlink" Target="https://drive.google.com/file/d/1a3UM7id-qK313TnnRdtLNWXw-jAniTVQ/view" TargetMode="External"/><Relationship Id="rId4046" Type="http://schemas.openxmlformats.org/officeDocument/2006/relationships/hyperlink" Target="https://drive.google.com/file/d/1Z2UK-014Wdmr-n46u2WwgioG2ggNRtfl/view" TargetMode="External"/><Relationship Id="rId4045" Type="http://schemas.openxmlformats.org/officeDocument/2006/relationships/hyperlink" Target="https://drive.google.com/file/d/1mmZLr8nqbRFUMIQNOzuGgYRA_imW9QcP/view" TargetMode="External"/><Relationship Id="rId4048" Type="http://schemas.openxmlformats.org/officeDocument/2006/relationships/hyperlink" Target="https://drive.google.com/file/d/1TVVV9yqAor0z5wGM6hUB8iynAEsKLonE/view" TargetMode="External"/><Relationship Id="rId4047" Type="http://schemas.openxmlformats.org/officeDocument/2006/relationships/hyperlink" Target="https://drive.google.com/file/d/18JFILYkRI5Egf23Vb96fqzEeiZPrSkdS/view" TargetMode="External"/><Relationship Id="rId4049" Type="http://schemas.openxmlformats.org/officeDocument/2006/relationships/hyperlink" Target="https://drive.google.com/file/d/10xo4C2mnE4CxGex_AtR-28WqkAXVqZFF/view" TargetMode="External"/><Relationship Id="rId4031" Type="http://schemas.openxmlformats.org/officeDocument/2006/relationships/hyperlink" Target="https://drive.google.com/file/d/1RLA8Dukmvv2KGYnRroNnn2BLwUljbnkU/view" TargetMode="External"/><Relationship Id="rId4030" Type="http://schemas.openxmlformats.org/officeDocument/2006/relationships/hyperlink" Target="https://drive.google.com/file/d/1TVVV9yqAor0z5wGM6hUB8iynAEsKLonE/view" TargetMode="External"/><Relationship Id="rId297" Type="http://schemas.openxmlformats.org/officeDocument/2006/relationships/hyperlink" Target="https://drive.google.com/file/d/18LtuviphpZSZuOlXp1LRWM1eA5CEifa8/view" TargetMode="External"/><Relationship Id="rId4033" Type="http://schemas.openxmlformats.org/officeDocument/2006/relationships/hyperlink" Target="https://drive.google.com/file/d/1mmZLr8nqbRFUMIQNOzuGgYRA_imW9QcP/view" TargetMode="External"/><Relationship Id="rId296" Type="http://schemas.openxmlformats.org/officeDocument/2006/relationships/hyperlink" Target="https://drive.google.com/file/d/1N2x6h63Ru4Rn-aSjRrm4fh7hPugMaVlX/view" TargetMode="External"/><Relationship Id="rId4032" Type="http://schemas.openxmlformats.org/officeDocument/2006/relationships/hyperlink" Target="https://drive.google.com/file/d/1iIpo_ltKwygPZMd8tIYl-2sRhjepkXQ-/view" TargetMode="External"/><Relationship Id="rId295" Type="http://schemas.openxmlformats.org/officeDocument/2006/relationships/hyperlink" Target="https://drive.google.com/file/d/18LtuviphpZSZuOlXp1LRWM1eA5CEifa8/view" TargetMode="External"/><Relationship Id="rId4035" Type="http://schemas.openxmlformats.org/officeDocument/2006/relationships/hyperlink" Target="https://drive.google.com/file/d/18JFILYkRI5Egf23Vb96fqzEeiZPrSkdS/view" TargetMode="External"/><Relationship Id="rId294" Type="http://schemas.openxmlformats.org/officeDocument/2006/relationships/hyperlink" Target="https://drive.google.com/file/d/1N2x6h63Ru4Rn-aSjRrm4fh7hPugMaVlX/view" TargetMode="External"/><Relationship Id="rId4034" Type="http://schemas.openxmlformats.org/officeDocument/2006/relationships/hyperlink" Target="https://drive.google.com/file/d/1Z2UK-014Wdmr-n46u2WwgioG2ggNRtfl/view" TargetMode="External"/><Relationship Id="rId4037" Type="http://schemas.openxmlformats.org/officeDocument/2006/relationships/hyperlink" Target="https://drive.google.com/file/d/1fCMN75HrtYoo0KGPM_45PB1Yu07ArMgd/view" TargetMode="External"/><Relationship Id="rId4036" Type="http://schemas.openxmlformats.org/officeDocument/2006/relationships/hyperlink" Target="https://drive.google.com/file/d/1TVVV9yqAor0z5wGM6hUB8iynAEsKLonE/view" TargetMode="External"/><Relationship Id="rId299" Type="http://schemas.openxmlformats.org/officeDocument/2006/relationships/hyperlink" Target="https://drive.google.com/file/d/18LtuviphpZSZuOlXp1LRWM1eA5CEifa8/view" TargetMode="External"/><Relationship Id="rId4039" Type="http://schemas.openxmlformats.org/officeDocument/2006/relationships/hyperlink" Target="https://drive.google.com/file/d/1mmZLr8nqbRFUMIQNOzuGgYRA_imW9QcP/view" TargetMode="External"/><Relationship Id="rId298" Type="http://schemas.openxmlformats.org/officeDocument/2006/relationships/hyperlink" Target="https://drive.google.com/file/d/1Lrsa9yloBCCrn730SiR0GwUe1mzc-bn1/view" TargetMode="External"/><Relationship Id="rId4038" Type="http://schemas.openxmlformats.org/officeDocument/2006/relationships/hyperlink" Target="https://drive.google.com/file/d/1JJdvLcBDVHLThOq-cXLEHDOcGYp1yB54/view" TargetMode="External"/><Relationship Id="rId4060" Type="http://schemas.openxmlformats.org/officeDocument/2006/relationships/hyperlink" Target="https://drive.google.com/file/d/1TVVV9yqAor0z5wGM6hUB8iynAEsKLonE/view" TargetMode="External"/><Relationship Id="rId4062" Type="http://schemas.openxmlformats.org/officeDocument/2006/relationships/hyperlink" Target="https://drive.google.com/file/d/1IGfaTs193L40xxCsVkpJId8I97ymUF8L/view" TargetMode="External"/><Relationship Id="rId4061" Type="http://schemas.openxmlformats.org/officeDocument/2006/relationships/hyperlink" Target="https://drive.google.com/file/d/1sHVpA6YFoBREK0WIRjyYn7aCCU4paVOy/view" TargetMode="External"/><Relationship Id="rId4064" Type="http://schemas.openxmlformats.org/officeDocument/2006/relationships/hyperlink" Target="https://drive.google.com/file/d/1y19N5QI1lKv8Le07uF-pHrDodzIcdv6W/view" TargetMode="External"/><Relationship Id="rId4063" Type="http://schemas.openxmlformats.org/officeDocument/2006/relationships/hyperlink" Target="https://drive.google.com/file/d/1waYUBbZ6qRMTYCf-fK5V1P6-Z56_tVe1/view" TargetMode="External"/><Relationship Id="rId4066" Type="http://schemas.openxmlformats.org/officeDocument/2006/relationships/hyperlink" Target="https://drive.google.com/file/d/1l9QJ8XoN8N2vPGW9e1sxKYSTNPv_QTsC/view" TargetMode="External"/><Relationship Id="rId4065" Type="http://schemas.openxmlformats.org/officeDocument/2006/relationships/hyperlink" Target="https://drive.google.com/file/d/1iRNutKdArUJ_jXPdp3TkzzFqdZ5ryIbs/view" TargetMode="External"/><Relationship Id="rId4068" Type="http://schemas.openxmlformats.org/officeDocument/2006/relationships/hyperlink" Target="https://drive.google.com/file/d/1IGfaTs193L40xxCsVkpJId8I97ymUF8L/view" TargetMode="External"/><Relationship Id="rId4067" Type="http://schemas.openxmlformats.org/officeDocument/2006/relationships/hyperlink" Target="https://drive.google.com/file/d/1sHVpA6YFoBREK0WIRjyYn7aCCU4paVOy/view" TargetMode="External"/><Relationship Id="rId4069" Type="http://schemas.openxmlformats.org/officeDocument/2006/relationships/hyperlink" Target="https://drive.google.com/file/d/1waYUBbZ6qRMTYCf-fK5V1P6-Z56_tVe1/view" TargetMode="External"/><Relationship Id="rId4051" Type="http://schemas.openxmlformats.org/officeDocument/2006/relationships/hyperlink" Target="https://drive.google.com/file/d/1mmZLr8nqbRFUMIQNOzuGgYRA_imW9QcP/view" TargetMode="External"/><Relationship Id="rId4050" Type="http://schemas.openxmlformats.org/officeDocument/2006/relationships/hyperlink" Target="https://drive.google.com/file/d/1rSULr3UCxhnA6uA_uLVvU_gytfuJ1RN-/view" TargetMode="External"/><Relationship Id="rId4053" Type="http://schemas.openxmlformats.org/officeDocument/2006/relationships/hyperlink" Target="https://drive.google.com/file/d/18JFILYkRI5Egf23Vb96fqzEeiZPrSkdS/view" TargetMode="External"/><Relationship Id="rId4052" Type="http://schemas.openxmlformats.org/officeDocument/2006/relationships/hyperlink" Target="https://drive.google.com/file/d/1Z2UK-014Wdmr-n46u2WwgioG2ggNRtfl/view" TargetMode="External"/><Relationship Id="rId4055" Type="http://schemas.openxmlformats.org/officeDocument/2006/relationships/hyperlink" Target="https://drive.google.com/file/d/1TTaICYE6bcqcxXNymALIV72VlCgzDGJn/view" TargetMode="External"/><Relationship Id="rId4054" Type="http://schemas.openxmlformats.org/officeDocument/2006/relationships/hyperlink" Target="https://drive.google.com/file/d/1TVVV9yqAor0z5wGM6hUB8iynAEsKLonE/view" TargetMode="External"/><Relationship Id="rId4057" Type="http://schemas.openxmlformats.org/officeDocument/2006/relationships/hyperlink" Target="https://drive.google.com/file/d/1mmZLr8nqbRFUMIQNOzuGgYRA_imW9QcP/view" TargetMode="External"/><Relationship Id="rId4056" Type="http://schemas.openxmlformats.org/officeDocument/2006/relationships/hyperlink" Target="https://drive.google.com/file/d/1Tj4uXsiosUunTWL0fbU-ejAiCHutov_a/view" TargetMode="External"/><Relationship Id="rId4059" Type="http://schemas.openxmlformats.org/officeDocument/2006/relationships/hyperlink" Target="https://drive.google.com/file/d/18JFILYkRI5Egf23Vb96fqzEeiZPrSkdS/view" TargetMode="External"/><Relationship Id="rId4058" Type="http://schemas.openxmlformats.org/officeDocument/2006/relationships/hyperlink" Target="https://drive.google.com/file/d/1Z2UK-014Wdmr-n46u2WwgioG2ggNRtfl/view" TargetMode="External"/><Relationship Id="rId4008" Type="http://schemas.openxmlformats.org/officeDocument/2006/relationships/hyperlink" Target="https://drive.google.com/file/d/1OYktXH77pNg029mOewdP4cNg-oklsj8k/view" TargetMode="External"/><Relationship Id="rId4007" Type="http://schemas.openxmlformats.org/officeDocument/2006/relationships/hyperlink" Target="https://drive.google.com/file/d/1FbPgoBym9Lb_NQfvcl_5oEUZgraDZ-L2/view" TargetMode="External"/><Relationship Id="rId4009" Type="http://schemas.openxmlformats.org/officeDocument/2006/relationships/hyperlink" Target="https://drive.google.com/file/d/1HFaxDuEpiEAFTT2fRhYr9pnTS5gyy9CB/view" TargetMode="External"/><Relationship Id="rId271" Type="http://schemas.openxmlformats.org/officeDocument/2006/relationships/hyperlink" Target="https://drive.google.com/file/d/1JUYx3DIfXW7vo6PoJf2ungmQVHL4hXsx/view" TargetMode="External"/><Relationship Id="rId270" Type="http://schemas.openxmlformats.org/officeDocument/2006/relationships/hyperlink" Target="https://drive.google.com/file/d/1ya9ThHqusuCGFukcU6WWtS5sd1lgis7L/view" TargetMode="External"/><Relationship Id="rId269" Type="http://schemas.openxmlformats.org/officeDocument/2006/relationships/hyperlink" Target="https://drive.google.com/file/d/17IttXSqtvkoLm_y08Ho0KIg2XHr25o_W/view" TargetMode="External"/><Relationship Id="rId264" Type="http://schemas.openxmlformats.org/officeDocument/2006/relationships/hyperlink" Target="https://drive.google.com/file/d/1sq7Mt7BKUbxDTHAcAg1bvzazh9MLAU4l/view" TargetMode="External"/><Relationship Id="rId4000" Type="http://schemas.openxmlformats.org/officeDocument/2006/relationships/hyperlink" Target="https://drive.google.com/file/d/1o9c5vx4ged8zyel5xyxvPnOxlyYWYRNh/view" TargetMode="External"/><Relationship Id="rId263" Type="http://schemas.openxmlformats.org/officeDocument/2006/relationships/hyperlink" Target="https://drive.google.com/file/d/123P_TvfN3XhI5inaHiIUEY8oQmNPHbnE/view" TargetMode="External"/><Relationship Id="rId262" Type="http://schemas.openxmlformats.org/officeDocument/2006/relationships/hyperlink" Target="https://drive.google.com/file/d/1edW7cGpPZVOU8GW7Jm_pZL7kVzP_wOW-/view" TargetMode="External"/><Relationship Id="rId4002" Type="http://schemas.openxmlformats.org/officeDocument/2006/relationships/hyperlink" Target="https://drive.google.com/file/d/1ts6GQahlvksofkyojIinvTJZGGOg5m1M/view" TargetMode="External"/><Relationship Id="rId261" Type="http://schemas.openxmlformats.org/officeDocument/2006/relationships/hyperlink" Target="https://drive.google.com/file/d/1s5OfdwfvJvc5ntlTAqTJMJmB2rCyz1rn/view" TargetMode="External"/><Relationship Id="rId4001" Type="http://schemas.openxmlformats.org/officeDocument/2006/relationships/hyperlink" Target="https://drive.google.com/file/d/1HFaxDuEpiEAFTT2fRhYr9pnTS5gyy9CB/view" TargetMode="External"/><Relationship Id="rId268" Type="http://schemas.openxmlformats.org/officeDocument/2006/relationships/hyperlink" Target="https://drive.google.com/file/d/1-CS5NadlcXlmUw8HEuvvg6chQhoRrmfH/view" TargetMode="External"/><Relationship Id="rId4004" Type="http://schemas.openxmlformats.org/officeDocument/2006/relationships/hyperlink" Target="https://drive.google.com/file/d/1o9c5vx4ged8zyel5xyxvPnOxlyYWYRNh/view" TargetMode="External"/><Relationship Id="rId267" Type="http://schemas.openxmlformats.org/officeDocument/2006/relationships/hyperlink" Target="https://drive.google.com/file/d/1StobIVgvdzQAAkti6VnEFw6gxNyaHbAX/view" TargetMode="External"/><Relationship Id="rId4003" Type="http://schemas.openxmlformats.org/officeDocument/2006/relationships/hyperlink" Target="https://drive.google.com/file/d/1W1EiZzqapTaiejElNXu72pmSPnfMYAfI/view" TargetMode="External"/><Relationship Id="rId266" Type="http://schemas.openxmlformats.org/officeDocument/2006/relationships/hyperlink" Target="https://drive.google.com/file/d/1v76fZvzassjU0dA2ZpxjHz2FJ2Ldt3jP/view" TargetMode="External"/><Relationship Id="rId4006" Type="http://schemas.openxmlformats.org/officeDocument/2006/relationships/hyperlink" Target="https://drive.google.com/file/d/1ts6GQahlvksofkyojIinvTJZGGOg5m1M/view" TargetMode="External"/><Relationship Id="rId265" Type="http://schemas.openxmlformats.org/officeDocument/2006/relationships/hyperlink" Target="https://drive.google.com/file/d/1d6kGjLFKav2w6xNzLsAPUiJ5kB_J1XbC/view" TargetMode="External"/><Relationship Id="rId4005" Type="http://schemas.openxmlformats.org/officeDocument/2006/relationships/hyperlink" Target="https://drive.google.com/file/d/1HFaxDuEpiEAFTT2fRhYr9pnTS5gyy9CB/view" TargetMode="External"/><Relationship Id="rId260" Type="http://schemas.openxmlformats.org/officeDocument/2006/relationships/hyperlink" Target="https://drive.google.com/file/d/1x_bNbEw6jUqz5eUUgEtX4MdKjSeWnt2z/view" TargetMode="External"/><Relationship Id="rId259" Type="http://schemas.openxmlformats.org/officeDocument/2006/relationships/hyperlink" Target="https://drive.google.com/file/d/1YpEX74gA6e07-NzPhbGsyUmrlVpb9mvX/view" TargetMode="External"/><Relationship Id="rId258" Type="http://schemas.openxmlformats.org/officeDocument/2006/relationships/hyperlink" Target="https://drive.google.com/file/d/1jvlU0_LDk2rauosl7mOQo_-hTDYzY2hA/view" TargetMode="External"/><Relationship Id="rId2290" Type="http://schemas.openxmlformats.org/officeDocument/2006/relationships/hyperlink" Target="https://drive.google.com/file/d/1ChjFFtc7oQJF_CpRv4L56Qzm7mMBJnI6/view" TargetMode="External"/><Relationship Id="rId2291" Type="http://schemas.openxmlformats.org/officeDocument/2006/relationships/hyperlink" Target="https://drive.google.com/file/d/1Jy3KC08igAxhPmY-Cth4DkKGnMHashtI/view" TargetMode="External"/><Relationship Id="rId2292" Type="http://schemas.openxmlformats.org/officeDocument/2006/relationships/hyperlink" Target="https://drive.google.com/file/d/1qTVgffsLElLG9NIfg_UcpdH401_gzRyL/view" TargetMode="External"/><Relationship Id="rId2293" Type="http://schemas.openxmlformats.org/officeDocument/2006/relationships/hyperlink" Target="https://drive.google.com/file/d/1JDFhmesbYWu-jwfKGU_TDXQXVGvGtWTJ/view" TargetMode="External"/><Relationship Id="rId253" Type="http://schemas.openxmlformats.org/officeDocument/2006/relationships/hyperlink" Target="https://drive.google.com/file/d/1j6kAA9BOi8wBviykK0KLr6Dj26o0cecZ/view" TargetMode="External"/><Relationship Id="rId2294" Type="http://schemas.openxmlformats.org/officeDocument/2006/relationships/hyperlink" Target="https://drive.google.com/file/d/1L3x8t7lZy2AFauuIqXV3-RIdRJo6cBkX/view" TargetMode="External"/><Relationship Id="rId252" Type="http://schemas.openxmlformats.org/officeDocument/2006/relationships/hyperlink" Target="https://drive.google.com/file/d/1nX1QGsxY_2imjMFbnuT7K_UnwJmfUU3D/view" TargetMode="External"/><Relationship Id="rId2295" Type="http://schemas.openxmlformats.org/officeDocument/2006/relationships/hyperlink" Target="https://drive.google.com/file/d/1r6UWfE7th_Dx2eHcPX4uVhaILXRFqeDZ/view" TargetMode="External"/><Relationship Id="rId251" Type="http://schemas.openxmlformats.org/officeDocument/2006/relationships/hyperlink" Target="https://drive.google.com/file/d/1_ipJzbVNJPW4ozkUQ_wwfOqsGfiUWXal/view" TargetMode="External"/><Relationship Id="rId2296" Type="http://schemas.openxmlformats.org/officeDocument/2006/relationships/hyperlink" Target="https://drive.google.com/file/d/1YXB8HGE5iCp3JkYxX1pHw9GFtxQoZyxu/view" TargetMode="External"/><Relationship Id="rId250" Type="http://schemas.openxmlformats.org/officeDocument/2006/relationships/hyperlink" Target="https://drive.google.com/file/d/1j_RvD7EcpkWjUP0FMDr-pEyPCDM1Pu2J/view" TargetMode="External"/><Relationship Id="rId2297" Type="http://schemas.openxmlformats.org/officeDocument/2006/relationships/hyperlink" Target="https://drive.google.com/file/d/1SALgks6id05JRruzN3A7RA1WP9WN6WLE/view" TargetMode="External"/><Relationship Id="rId257" Type="http://schemas.openxmlformats.org/officeDocument/2006/relationships/hyperlink" Target="https://drive.google.com/file/d/12WHY6RLZWsz632DlorUmFL20Tc146RQa/view" TargetMode="External"/><Relationship Id="rId2298" Type="http://schemas.openxmlformats.org/officeDocument/2006/relationships/hyperlink" Target="https://drive.google.com/file/d/1n0IAUiH0IoA2fReqJtIodjwaDu9YfKMN/view" TargetMode="External"/><Relationship Id="rId256" Type="http://schemas.openxmlformats.org/officeDocument/2006/relationships/hyperlink" Target="https://drive.google.com/file/d/1XMGGfzcnupQ9bVQQVYoDb77VhI0BB8nz/view" TargetMode="External"/><Relationship Id="rId2299" Type="http://schemas.openxmlformats.org/officeDocument/2006/relationships/hyperlink" Target="https://drive.google.com/file/d/1IQKjvtjMzb7xTyOgNvbXpiwirOkd4S2-/view" TargetMode="External"/><Relationship Id="rId255" Type="http://schemas.openxmlformats.org/officeDocument/2006/relationships/hyperlink" Target="https://drive.google.com/file/d/1eGjuAytW4FPS65BDPBQnB0sOMJdM-Zb0/view" TargetMode="External"/><Relationship Id="rId254" Type="http://schemas.openxmlformats.org/officeDocument/2006/relationships/hyperlink" Target="https://drive.google.com/file/d/1xJ8oiqHilc684BM2ul8asXSqlmC6Ggch/view" TargetMode="External"/><Relationship Id="rId4029" Type="http://schemas.openxmlformats.org/officeDocument/2006/relationships/hyperlink" Target="https://drive.google.com/file/d/18JFILYkRI5Egf23Vb96fqzEeiZPrSkdS/view" TargetMode="External"/><Relationship Id="rId293" Type="http://schemas.openxmlformats.org/officeDocument/2006/relationships/hyperlink" Target="https://drive.google.com/file/d/1W2GGX8saK8wFkEM3rWdoFKOYvx2KWyL-/view" TargetMode="External"/><Relationship Id="rId292" Type="http://schemas.openxmlformats.org/officeDocument/2006/relationships/hyperlink" Target="https://drive.google.com/file/d/1gRHIuTkJdoe6o77i7fbXnCtdlMf_lSK4/view" TargetMode="External"/><Relationship Id="rId291" Type="http://schemas.openxmlformats.org/officeDocument/2006/relationships/hyperlink" Target="https://drive.google.com/file/d/1W2GGX8saK8wFkEM3rWdoFKOYvx2KWyL-/view" TargetMode="External"/><Relationship Id="rId290" Type="http://schemas.openxmlformats.org/officeDocument/2006/relationships/hyperlink" Target="https://drive.google.com/file/d/1gRHIuTkJdoe6o77i7fbXnCtdlMf_lSK4/view" TargetMode="External"/><Relationship Id="rId4020" Type="http://schemas.openxmlformats.org/officeDocument/2006/relationships/hyperlink" Target="https://drive.google.com/file/d/1fuVW5qpld-RloFfovUgaWiACn1jbDoqG/view" TargetMode="External"/><Relationship Id="rId286" Type="http://schemas.openxmlformats.org/officeDocument/2006/relationships/hyperlink" Target="https://drive.google.com/file/d/17GHV_DzaKsx3lI0DLWJTFK8IvLfL8ywH/view" TargetMode="External"/><Relationship Id="rId4022" Type="http://schemas.openxmlformats.org/officeDocument/2006/relationships/hyperlink" Target="https://drive.google.com/file/d/1Z2UK-014Wdmr-n46u2WwgioG2ggNRtfl/view" TargetMode="External"/><Relationship Id="rId285" Type="http://schemas.openxmlformats.org/officeDocument/2006/relationships/hyperlink" Target="https://drive.google.com/file/d/1JUYx3DIfXW7vo6PoJf2ungmQVHL4hXsx/view" TargetMode="External"/><Relationship Id="rId4021" Type="http://schemas.openxmlformats.org/officeDocument/2006/relationships/hyperlink" Target="https://drive.google.com/file/d/1mmZLr8nqbRFUMIQNOzuGgYRA_imW9QcP/view" TargetMode="External"/><Relationship Id="rId284" Type="http://schemas.openxmlformats.org/officeDocument/2006/relationships/hyperlink" Target="https://drive.google.com/file/d/1ofPJfX7H-WDyYuq1ae5H8vrdUCYW-ZBx/view" TargetMode="External"/><Relationship Id="rId4024" Type="http://schemas.openxmlformats.org/officeDocument/2006/relationships/hyperlink" Target="https://drive.google.com/file/d/1TVVV9yqAor0z5wGM6hUB8iynAEsKLonE/view" TargetMode="External"/><Relationship Id="rId283" Type="http://schemas.openxmlformats.org/officeDocument/2006/relationships/hyperlink" Target="https://drive.google.com/file/d/1Drhyfh0PBlj5QFEqCf1rW2MnOgdYA8kD/view" TargetMode="External"/><Relationship Id="rId4023" Type="http://schemas.openxmlformats.org/officeDocument/2006/relationships/hyperlink" Target="https://drive.google.com/file/d/18JFILYkRI5Egf23Vb96fqzEeiZPrSkdS/view" TargetMode="External"/><Relationship Id="rId4026" Type="http://schemas.openxmlformats.org/officeDocument/2006/relationships/hyperlink" Target="https://drive.google.com/file/d/1fuVW5qpld-RloFfovUgaWiACn1jbDoqG/view" TargetMode="External"/><Relationship Id="rId289" Type="http://schemas.openxmlformats.org/officeDocument/2006/relationships/hyperlink" Target="https://drive.google.com/file/d/1MrTduVuFjudx7Cj6U8CKoeCX2QdEujFt/view" TargetMode="External"/><Relationship Id="rId4025" Type="http://schemas.openxmlformats.org/officeDocument/2006/relationships/hyperlink" Target="https://drive.google.com/file/d/1kSK2ipxFvI_HZuCA6e3ap1c64l17RX0t/view" TargetMode="External"/><Relationship Id="rId288" Type="http://schemas.openxmlformats.org/officeDocument/2006/relationships/hyperlink" Target="https://drive.google.com/file/d/1Q5q0iZcXiPrZlvjXrph5TGBpVAOSblBC/view" TargetMode="External"/><Relationship Id="rId4028" Type="http://schemas.openxmlformats.org/officeDocument/2006/relationships/hyperlink" Target="https://drive.google.com/file/d/1Z2UK-014Wdmr-n46u2WwgioG2ggNRtfl/view" TargetMode="External"/><Relationship Id="rId287" Type="http://schemas.openxmlformats.org/officeDocument/2006/relationships/hyperlink" Target="https://drive.google.com/file/d/1EGJviQrtlvDFEIQRXkag2SQc1eCelq1O/view" TargetMode="External"/><Relationship Id="rId4027" Type="http://schemas.openxmlformats.org/officeDocument/2006/relationships/hyperlink" Target="https://drive.google.com/file/d/1mmZLr8nqbRFUMIQNOzuGgYRA_imW9QcP/view" TargetMode="External"/><Relationship Id="rId4019" Type="http://schemas.openxmlformats.org/officeDocument/2006/relationships/hyperlink" Target="https://drive.google.com/file/d/1kSK2ipxFvI_HZuCA6e3ap1c64l17RX0t/view" TargetMode="External"/><Relationship Id="rId4018" Type="http://schemas.openxmlformats.org/officeDocument/2006/relationships/hyperlink" Target="https://drive.google.com/file/d/1ts6GQahlvksofkyojIinvTJZGGOg5m1M/view" TargetMode="External"/><Relationship Id="rId282" Type="http://schemas.openxmlformats.org/officeDocument/2006/relationships/hyperlink" Target="https://drive.google.com/file/d/1MrTduVuFjudx7Cj6U8CKoeCX2QdEujFt/view" TargetMode="External"/><Relationship Id="rId281" Type="http://schemas.openxmlformats.org/officeDocument/2006/relationships/hyperlink" Target="https://drive.google.com/file/d/1Q5q0iZcXiPrZlvjXrph5TGBpVAOSblBC/view" TargetMode="External"/><Relationship Id="rId280" Type="http://schemas.openxmlformats.org/officeDocument/2006/relationships/hyperlink" Target="https://drive.google.com/file/d/1EGJviQrtlvDFEIQRXkag2SQc1eCelq1O/view" TargetMode="External"/><Relationship Id="rId275" Type="http://schemas.openxmlformats.org/officeDocument/2006/relationships/hyperlink" Target="https://drive.google.com/file/d/1MrTduVuFjudx7Cj6U8CKoeCX2QdEujFt/view" TargetMode="External"/><Relationship Id="rId4011" Type="http://schemas.openxmlformats.org/officeDocument/2006/relationships/hyperlink" Target="https://drive.google.com/file/d/1jA7IfJwNVPTVyVbh0XBHIMTX-SqXtPCt/view" TargetMode="External"/><Relationship Id="rId274" Type="http://schemas.openxmlformats.org/officeDocument/2006/relationships/hyperlink" Target="https://drive.google.com/file/d/1Q5q0iZcXiPrZlvjXrph5TGBpVAOSblBC/view" TargetMode="External"/><Relationship Id="rId4010" Type="http://schemas.openxmlformats.org/officeDocument/2006/relationships/hyperlink" Target="https://drive.google.com/file/d/1ts6GQahlvksofkyojIinvTJZGGOg5m1M/view" TargetMode="External"/><Relationship Id="rId273" Type="http://schemas.openxmlformats.org/officeDocument/2006/relationships/hyperlink" Target="https://drive.google.com/file/d/1EGJviQrtlvDFEIQRXkag2SQc1eCelq1O/view" TargetMode="External"/><Relationship Id="rId4013" Type="http://schemas.openxmlformats.org/officeDocument/2006/relationships/hyperlink" Target="https://drive.google.com/file/d/1HFaxDuEpiEAFTT2fRhYr9pnTS5gyy9CB/view" TargetMode="External"/><Relationship Id="rId272" Type="http://schemas.openxmlformats.org/officeDocument/2006/relationships/hyperlink" Target="https://drive.google.com/file/d/17GHV_DzaKsx3lI0DLWJTFK8IvLfL8ywH/view" TargetMode="External"/><Relationship Id="rId4012" Type="http://schemas.openxmlformats.org/officeDocument/2006/relationships/hyperlink" Target="https://drive.google.com/file/d/1rewqgGZKitWXFmqdEZ512k0bNaZ8hqfd/view" TargetMode="External"/><Relationship Id="rId279" Type="http://schemas.openxmlformats.org/officeDocument/2006/relationships/hyperlink" Target="https://drive.google.com/file/d/17GHV_DzaKsx3lI0DLWJTFK8IvLfL8ywH/view" TargetMode="External"/><Relationship Id="rId4015" Type="http://schemas.openxmlformats.org/officeDocument/2006/relationships/hyperlink" Target="https://drive.google.com/file/d/1UQ7dfKBklGK_zhFnkDQ18kRHscM_Vakf/view" TargetMode="External"/><Relationship Id="rId278" Type="http://schemas.openxmlformats.org/officeDocument/2006/relationships/hyperlink" Target="https://drive.google.com/file/d/1JUYx3DIfXW7vo6PoJf2ungmQVHL4hXsx/view" TargetMode="External"/><Relationship Id="rId4014" Type="http://schemas.openxmlformats.org/officeDocument/2006/relationships/hyperlink" Target="https://drive.google.com/file/d/1ts6GQahlvksofkyojIinvTJZGGOg5m1M/view" TargetMode="External"/><Relationship Id="rId277" Type="http://schemas.openxmlformats.org/officeDocument/2006/relationships/hyperlink" Target="https://drive.google.com/file/d/1ya9ThHqusuCGFukcU6WWtS5sd1lgis7L/view" TargetMode="External"/><Relationship Id="rId4017" Type="http://schemas.openxmlformats.org/officeDocument/2006/relationships/hyperlink" Target="https://drive.google.com/file/d/1HFaxDuEpiEAFTT2fRhYr9pnTS5gyy9CB/view" TargetMode="External"/><Relationship Id="rId276" Type="http://schemas.openxmlformats.org/officeDocument/2006/relationships/hyperlink" Target="https://drive.google.com/file/d/17IttXSqtvkoLm_y08Ho0KIg2XHr25o_W/view" TargetMode="External"/><Relationship Id="rId4016" Type="http://schemas.openxmlformats.org/officeDocument/2006/relationships/hyperlink" Target="https://drive.google.com/file/d/1gOZR9n582drxpjbBponFXn74HjMBr5Gj/view" TargetMode="External"/><Relationship Id="rId1851" Type="http://schemas.openxmlformats.org/officeDocument/2006/relationships/hyperlink" Target="https://drive.google.com/file/d/14-Nv9syWNFovy29AKgng7jVjp5gI1zzE/view" TargetMode="External"/><Relationship Id="rId1852" Type="http://schemas.openxmlformats.org/officeDocument/2006/relationships/hyperlink" Target="https://drive.google.com/file/d/1V9yoFCyrID1fbK_EACrp19LQ6lMlATDl/view" TargetMode="External"/><Relationship Id="rId1853" Type="http://schemas.openxmlformats.org/officeDocument/2006/relationships/hyperlink" Target="https://drive.google.com/file/d/1BDB2qCU7-DBOmWeXLz5ec9h6t98Yyuqm/view" TargetMode="External"/><Relationship Id="rId1854" Type="http://schemas.openxmlformats.org/officeDocument/2006/relationships/hyperlink" Target="https://drive.google.com/file/d/11qHEZeEm-6GFhHx21bfYefV58-Yfo-bM/view" TargetMode="External"/><Relationship Id="rId1855" Type="http://schemas.openxmlformats.org/officeDocument/2006/relationships/hyperlink" Target="https://drive.google.com/file/d/12mgyx-TaWFpFKPeKJCyAb9J71wVv08xJ/view" TargetMode="External"/><Relationship Id="rId1856" Type="http://schemas.openxmlformats.org/officeDocument/2006/relationships/hyperlink" Target="https://drive.google.com/file/d/1IykoJ2tJH-pKL6DdRsMNi9M-imTmkOWJ/view" TargetMode="External"/><Relationship Id="rId1857" Type="http://schemas.openxmlformats.org/officeDocument/2006/relationships/hyperlink" Target="https://drive.google.com/file/d/1rEjIcKsOClpwfKd5tmJpuu2mXC97yIqr/view" TargetMode="External"/><Relationship Id="rId1858" Type="http://schemas.openxmlformats.org/officeDocument/2006/relationships/hyperlink" Target="https://drive.google.com/file/d/1DAhq1jSh-8A0U2HgZ58VNfqAvw9DHGGP/view" TargetMode="External"/><Relationship Id="rId1859" Type="http://schemas.openxmlformats.org/officeDocument/2006/relationships/hyperlink" Target="https://drive.google.com/file/d/1eO6DE05q14iFd7-s_Rt9dQmPicvBmKOf/view" TargetMode="External"/><Relationship Id="rId1850" Type="http://schemas.openxmlformats.org/officeDocument/2006/relationships/hyperlink" Target="https://drive.google.com/file/d/1rEjIcKsOClpwfKd5tmJpuu2mXC97yIqr/view" TargetMode="External"/><Relationship Id="rId1840" Type="http://schemas.openxmlformats.org/officeDocument/2006/relationships/hyperlink" Target="https://drive.google.com/file/d/1rpmEWytMkFSqXIDtkFpg6Lt5M4KqGm08/view" TargetMode="External"/><Relationship Id="rId1841" Type="http://schemas.openxmlformats.org/officeDocument/2006/relationships/hyperlink" Target="https://drive.google.com/file/d/1eUzHSpYDjcHj9bWOzdWIs2ogQHoP7_Q4/view" TargetMode="External"/><Relationship Id="rId1842" Type="http://schemas.openxmlformats.org/officeDocument/2006/relationships/hyperlink" Target="https://drive.google.com/file/d/1YppgSokNSurNrqiUTQN14QGpE_x3C-Sn/view" TargetMode="External"/><Relationship Id="rId1843" Type="http://schemas.openxmlformats.org/officeDocument/2006/relationships/hyperlink" Target="https://drive.google.com/file/d/1oamlu1E-PdcxCxQflwUoJBjIwvdi6iGB/view" TargetMode="External"/><Relationship Id="rId1844" Type="http://schemas.openxmlformats.org/officeDocument/2006/relationships/hyperlink" Target="https://drive.google.com/file/d/14-Nv9syWNFovy29AKgng7jVjp5gI1zzE/view" TargetMode="External"/><Relationship Id="rId1845" Type="http://schemas.openxmlformats.org/officeDocument/2006/relationships/hyperlink" Target="https://drive.google.com/file/d/1V9yoFCyrID1fbK_EACrp19LQ6lMlATDl/view" TargetMode="External"/><Relationship Id="rId1846" Type="http://schemas.openxmlformats.org/officeDocument/2006/relationships/hyperlink" Target="https://drive.google.com/file/d/1BDB2qCU7-DBOmWeXLz5ec9h6t98Yyuqm/view" TargetMode="External"/><Relationship Id="rId1847" Type="http://schemas.openxmlformats.org/officeDocument/2006/relationships/hyperlink" Target="https://drive.google.com/file/d/11qHEZeEm-6GFhHx21bfYefV58-Yfo-bM/view" TargetMode="External"/><Relationship Id="rId1848" Type="http://schemas.openxmlformats.org/officeDocument/2006/relationships/hyperlink" Target="https://drive.google.com/file/d/12mgyx-TaWFpFKPeKJCyAb9J71wVv08xJ/view" TargetMode="External"/><Relationship Id="rId1849" Type="http://schemas.openxmlformats.org/officeDocument/2006/relationships/hyperlink" Target="https://drive.google.com/file/d/1IykoJ2tJH-pKL6DdRsMNi9M-imTmkOWJ/view" TargetMode="External"/><Relationship Id="rId1873" Type="http://schemas.openxmlformats.org/officeDocument/2006/relationships/hyperlink" Target="https://drive.google.com/file/d/10VKQFNRbksry2BUNoiCua8qur4YT7Xo2/view" TargetMode="External"/><Relationship Id="rId1874" Type="http://schemas.openxmlformats.org/officeDocument/2006/relationships/hyperlink" Target="https://drive.google.com/file/d/1BDB2qCU7-DBOmWeXLz5ec9h6t98Yyuqm/view" TargetMode="External"/><Relationship Id="rId1875" Type="http://schemas.openxmlformats.org/officeDocument/2006/relationships/hyperlink" Target="https://drive.google.com/file/d/1duIm7HyPxBl7Gop1kyC3nG7D1mKyTEoB/view" TargetMode="External"/><Relationship Id="rId1876" Type="http://schemas.openxmlformats.org/officeDocument/2006/relationships/hyperlink" Target="https://drive.google.com/file/d/1YRhBXQe4u_srcECm6T_xUGxvcm5i4xGe/view" TargetMode="External"/><Relationship Id="rId1877" Type="http://schemas.openxmlformats.org/officeDocument/2006/relationships/hyperlink" Target="https://drive.google.com/file/d/1st_VcPGYH0rgV55D_nUFUgCt4prjZ6jX/view" TargetMode="External"/><Relationship Id="rId1878" Type="http://schemas.openxmlformats.org/officeDocument/2006/relationships/hyperlink" Target="https://drive.google.com/file/d/1iahW66wfj3XnJbyE9GOxZ8OQNYR6ETTM/view" TargetMode="External"/><Relationship Id="rId1879" Type="http://schemas.openxmlformats.org/officeDocument/2006/relationships/hyperlink" Target="https://drive.google.com/file/d/1TytDjdXyGA-9PoF_PmGW03nnPitL3No5/view" TargetMode="External"/><Relationship Id="rId1870" Type="http://schemas.openxmlformats.org/officeDocument/2006/relationships/hyperlink" Target="https://drive.google.com/file/d/1st_VcPGYH0rgV55D_nUFUgCt4prjZ6jX/view" TargetMode="External"/><Relationship Id="rId1871" Type="http://schemas.openxmlformats.org/officeDocument/2006/relationships/hyperlink" Target="https://drive.google.com/file/d/1iahW66wfj3XnJbyE9GOxZ8OQNYR6ETTM/view" TargetMode="External"/><Relationship Id="rId1872" Type="http://schemas.openxmlformats.org/officeDocument/2006/relationships/hyperlink" Target="https://drive.google.com/file/d/1jOXN_AIJXNP7rpR1z35VWXl0RtJqSjah/view" TargetMode="External"/><Relationship Id="rId1862" Type="http://schemas.openxmlformats.org/officeDocument/2006/relationships/hyperlink" Target="https://drive.google.com/file/d/12mgyx-TaWFpFKPeKJCyAb9J71wVv08xJ/view" TargetMode="External"/><Relationship Id="rId1863" Type="http://schemas.openxmlformats.org/officeDocument/2006/relationships/hyperlink" Target="https://drive.google.com/file/d/1IykoJ2tJH-pKL6DdRsMNi9M-imTmkOWJ/view" TargetMode="External"/><Relationship Id="rId1864" Type="http://schemas.openxmlformats.org/officeDocument/2006/relationships/hyperlink" Target="https://drive.google.com/file/d/1rEjIcKsOClpwfKd5tmJpuu2mXC97yIqr/view" TargetMode="External"/><Relationship Id="rId1865" Type="http://schemas.openxmlformats.org/officeDocument/2006/relationships/hyperlink" Target="https://drive.google.com/file/d/1xeEMPrdVIbadQzWjG3Ek81R5OK9Gh2U0/view" TargetMode="External"/><Relationship Id="rId1866" Type="http://schemas.openxmlformats.org/officeDocument/2006/relationships/hyperlink" Target="https://drive.google.com/file/d/1mZ22a42h0ObHCtOjA4_L3qqkaZg7V4Yk/view" TargetMode="External"/><Relationship Id="rId1867" Type="http://schemas.openxmlformats.org/officeDocument/2006/relationships/hyperlink" Target="https://drive.google.com/file/d/1BDB2qCU7-DBOmWeXLz5ec9h6t98Yyuqm/view" TargetMode="External"/><Relationship Id="rId1868" Type="http://schemas.openxmlformats.org/officeDocument/2006/relationships/hyperlink" Target="https://drive.google.com/file/d/1duIm7HyPxBl7Gop1kyC3nG7D1mKyTEoB/view" TargetMode="External"/><Relationship Id="rId1869" Type="http://schemas.openxmlformats.org/officeDocument/2006/relationships/hyperlink" Target="https://drive.google.com/file/d/1YRhBXQe4u_srcECm6T_xUGxvcm5i4xGe/view" TargetMode="External"/><Relationship Id="rId1860" Type="http://schemas.openxmlformats.org/officeDocument/2006/relationships/hyperlink" Target="https://drive.google.com/file/d/1BDB2qCU7-DBOmWeXLz5ec9h6t98Yyuqm/view" TargetMode="External"/><Relationship Id="rId1861" Type="http://schemas.openxmlformats.org/officeDocument/2006/relationships/hyperlink" Target="https://drive.google.com/file/d/11qHEZeEm-6GFhHx21bfYefV58-Yfo-bM/view" TargetMode="External"/><Relationship Id="rId1810" Type="http://schemas.openxmlformats.org/officeDocument/2006/relationships/hyperlink" Target="https://drive.google.com/file/d/1-40dPacZdIrsDlcRYBYDL-SSRIT7iyT6/view" TargetMode="External"/><Relationship Id="rId1811" Type="http://schemas.openxmlformats.org/officeDocument/2006/relationships/hyperlink" Target="https://drive.google.com/file/d/1YzLH5hoN8mFqYmrPigDOVJdmTErVd9KC/view" TargetMode="External"/><Relationship Id="rId1812" Type="http://schemas.openxmlformats.org/officeDocument/2006/relationships/hyperlink" Target="https://drive.google.com/file/d/1gwGWZcfCHyxXMReVyPZGqSw4rf5QBv5L/view" TargetMode="External"/><Relationship Id="rId1813" Type="http://schemas.openxmlformats.org/officeDocument/2006/relationships/hyperlink" Target="https://drive.google.com/file/d/1vuvETu2zaHWVwzXJQSqijLS5o3RrOWTT/view" TargetMode="External"/><Relationship Id="rId1814" Type="http://schemas.openxmlformats.org/officeDocument/2006/relationships/hyperlink" Target="https://drive.google.com/file/d/14n4wlzK_BPxa9Z4pM2Xafh-9CXGjsFyc/view" TargetMode="External"/><Relationship Id="rId1815" Type="http://schemas.openxmlformats.org/officeDocument/2006/relationships/hyperlink" Target="https://drive.google.com/file/d/1arRJvcuowMNHUcfFTPbnZ_WLPUq7zpNL/view" TargetMode="External"/><Relationship Id="rId1816" Type="http://schemas.openxmlformats.org/officeDocument/2006/relationships/hyperlink" Target="https://drive.google.com/file/d/15rtTfXKTGQ8vuV9pAgpxwtOlvu1ZH7W-/view" TargetMode="External"/><Relationship Id="rId1817" Type="http://schemas.openxmlformats.org/officeDocument/2006/relationships/hyperlink" Target="https://drive.google.com/file/d/1-40dPacZdIrsDlcRYBYDL-SSRIT7iyT6/view" TargetMode="External"/><Relationship Id="rId1818" Type="http://schemas.openxmlformats.org/officeDocument/2006/relationships/hyperlink" Target="https://drive.google.com/file/d/1YzLH5hoN8mFqYmrPigDOVJdmTErVd9KC/view" TargetMode="External"/><Relationship Id="rId1819" Type="http://schemas.openxmlformats.org/officeDocument/2006/relationships/hyperlink" Target="https://drive.google.com/file/d/1gwGWZcfCHyxXMReVyPZGqSw4rf5QBv5L/view" TargetMode="External"/><Relationship Id="rId4080" Type="http://schemas.openxmlformats.org/officeDocument/2006/relationships/hyperlink" Target="https://drive.google.com/file/d/176ANzpNgK_eKgXIgWxHwG7HO0AQQXjJ_/view" TargetMode="External"/><Relationship Id="rId4082" Type="http://schemas.openxmlformats.org/officeDocument/2006/relationships/hyperlink" Target="https://drive.google.com/file/d/1y19N5QI1lKv8Le07uF-pHrDodzIcdv6W/view" TargetMode="External"/><Relationship Id="rId4081" Type="http://schemas.openxmlformats.org/officeDocument/2006/relationships/hyperlink" Target="https://drive.google.com/file/d/1waYUBbZ6qRMTYCf-fK5V1P6-Z56_tVe1/view" TargetMode="External"/><Relationship Id="rId4084" Type="http://schemas.openxmlformats.org/officeDocument/2006/relationships/hyperlink" Target="https://drive.google.com/file/d/1l9QJ8XoN8N2vPGW9e1sxKYSTNPv_QTsC/view" TargetMode="External"/><Relationship Id="rId4083" Type="http://schemas.openxmlformats.org/officeDocument/2006/relationships/hyperlink" Target="https://drive.google.com/file/d/1iRNutKdArUJ_jXPdp3TkzzFqdZ5ryIbs/view" TargetMode="External"/><Relationship Id="rId4086" Type="http://schemas.openxmlformats.org/officeDocument/2006/relationships/hyperlink" Target="https://drive.google.com/file/d/16jOXCoYPuS8Q1cm7sX4D261w4P6BKG_r/view" TargetMode="External"/><Relationship Id="rId4085" Type="http://schemas.openxmlformats.org/officeDocument/2006/relationships/hyperlink" Target="https://drive.google.com/file/d/1guoMRO1qQmvX3rSArsV5sjOe8PJROA94/view" TargetMode="External"/><Relationship Id="rId4088" Type="http://schemas.openxmlformats.org/officeDocument/2006/relationships/hyperlink" Target="https://drive.google.com/file/d/1y19N5QI1lKv8Le07uF-pHrDodzIcdv6W/view" TargetMode="External"/><Relationship Id="rId4087" Type="http://schemas.openxmlformats.org/officeDocument/2006/relationships/hyperlink" Target="https://drive.google.com/file/d/1waYUBbZ6qRMTYCf-fK5V1P6-Z56_tVe1/view" TargetMode="External"/><Relationship Id="rId4089" Type="http://schemas.openxmlformats.org/officeDocument/2006/relationships/hyperlink" Target="https://drive.google.com/file/d/1iRNutKdArUJ_jXPdp3TkzzFqdZ5ryIbs/view" TargetMode="External"/><Relationship Id="rId1800" Type="http://schemas.openxmlformats.org/officeDocument/2006/relationships/hyperlink" Target="https://drive.google.com/file/d/1FtuH4BRLBY93ADzCixG0BTTYqg6bjsqp/view" TargetMode="External"/><Relationship Id="rId1801" Type="http://schemas.openxmlformats.org/officeDocument/2006/relationships/hyperlink" Target="https://drive.google.com/file/d/1bHER3569_Yqt8mDvxi0iF0rhE7xbOdd_/view" TargetMode="External"/><Relationship Id="rId1802" Type="http://schemas.openxmlformats.org/officeDocument/2006/relationships/hyperlink" Target="https://drive.google.com/file/d/1zi-fS1L1QQURn6WVf9Be-q6AvzllPxAL/view" TargetMode="External"/><Relationship Id="rId1803" Type="http://schemas.openxmlformats.org/officeDocument/2006/relationships/hyperlink" Target="https://drive.google.com/file/d/1h5r1OfCdkd3rJ-nJEMtvsdYdsJRYKKtB/view" TargetMode="External"/><Relationship Id="rId1804" Type="http://schemas.openxmlformats.org/officeDocument/2006/relationships/hyperlink" Target="https://drive.google.com/file/d/1OfoWmDAQEcGFqeDMfdRepAWnsamrN_OW/view" TargetMode="External"/><Relationship Id="rId1805" Type="http://schemas.openxmlformats.org/officeDocument/2006/relationships/hyperlink" Target="https://drive.google.com/file/d/1O6fdR_Rglp_2hHIIT25pJdSWVOvKZ763/view" TargetMode="External"/><Relationship Id="rId1806" Type="http://schemas.openxmlformats.org/officeDocument/2006/relationships/hyperlink" Target="https://drive.google.com/file/d/1_crBu7oNXGD9l2QaZHGDVJ4KcJYgN-ex/view" TargetMode="External"/><Relationship Id="rId1807" Type="http://schemas.openxmlformats.org/officeDocument/2006/relationships/hyperlink" Target="https://drive.google.com/file/d/1egagzogDQsxqNKexmTE_CVLHY2S-7Gzm/view" TargetMode="External"/><Relationship Id="rId1808" Type="http://schemas.openxmlformats.org/officeDocument/2006/relationships/hyperlink" Target="https://drive.google.com/file/d/1rOGvEnR4YtM1lB1kMZx-7cL47VyF-68J/view" TargetMode="External"/><Relationship Id="rId1809" Type="http://schemas.openxmlformats.org/officeDocument/2006/relationships/hyperlink" Target="https://drive.google.com/file/d/15rtTfXKTGQ8vuV9pAgpxwtOlvu1ZH7W-/view" TargetMode="External"/><Relationship Id="rId4071" Type="http://schemas.openxmlformats.org/officeDocument/2006/relationships/hyperlink" Target="https://drive.google.com/file/d/1iRNutKdArUJ_jXPdp3TkzzFqdZ5ryIbs/view" TargetMode="External"/><Relationship Id="rId4070" Type="http://schemas.openxmlformats.org/officeDocument/2006/relationships/hyperlink" Target="https://drive.google.com/file/d/1y19N5QI1lKv8Le07uF-pHrDodzIcdv6W/view" TargetMode="External"/><Relationship Id="rId4073" Type="http://schemas.openxmlformats.org/officeDocument/2006/relationships/hyperlink" Target="https://drive.google.com/file/d/1BWJ0o8Jv7gvkL_bXfctT-R-Ewxp0Onsl/view" TargetMode="External"/><Relationship Id="rId4072" Type="http://schemas.openxmlformats.org/officeDocument/2006/relationships/hyperlink" Target="https://drive.google.com/file/d/1l9QJ8XoN8N2vPGW9e1sxKYSTNPv_QTsC/view" TargetMode="External"/><Relationship Id="rId4075" Type="http://schemas.openxmlformats.org/officeDocument/2006/relationships/hyperlink" Target="https://drive.google.com/file/d/1waYUBbZ6qRMTYCf-fK5V1P6-Z56_tVe1/view" TargetMode="External"/><Relationship Id="rId4074" Type="http://schemas.openxmlformats.org/officeDocument/2006/relationships/hyperlink" Target="https://drive.google.com/file/d/1bQN6_xI1aH8uGbZquSrTeG-oBi6BcHBo/view" TargetMode="External"/><Relationship Id="rId4077" Type="http://schemas.openxmlformats.org/officeDocument/2006/relationships/hyperlink" Target="https://drive.google.com/file/d/1iRNutKdArUJ_jXPdp3TkzzFqdZ5ryIbs/view" TargetMode="External"/><Relationship Id="rId4076" Type="http://schemas.openxmlformats.org/officeDocument/2006/relationships/hyperlink" Target="https://drive.google.com/file/d/1y19N5QI1lKv8Le07uF-pHrDodzIcdv6W/view" TargetMode="External"/><Relationship Id="rId4079" Type="http://schemas.openxmlformats.org/officeDocument/2006/relationships/hyperlink" Target="https://drive.google.com/file/d/1P_L_GxeIUgzgMMmCiBxmvEWavR22-f7H/view" TargetMode="External"/><Relationship Id="rId4078" Type="http://schemas.openxmlformats.org/officeDocument/2006/relationships/hyperlink" Target="https://drive.google.com/file/d/1l9QJ8XoN8N2vPGW9e1sxKYSTNPv_QTsC/view" TargetMode="External"/><Relationship Id="rId1830" Type="http://schemas.openxmlformats.org/officeDocument/2006/relationships/hyperlink" Target="https://drive.google.com/file/d/16u4ztNQhE_WlyzPVmQ--cIw_3o0xd-9t/view" TargetMode="External"/><Relationship Id="rId1831" Type="http://schemas.openxmlformats.org/officeDocument/2006/relationships/hyperlink" Target="https://drive.google.com/file/d/1sZ6gz_WemjtDGd8V_ujK2QEfZRzKus1j/view" TargetMode="External"/><Relationship Id="rId1832" Type="http://schemas.openxmlformats.org/officeDocument/2006/relationships/hyperlink" Target="https://drive.google.com/file/d/1V3B_zfi7jB6CDn2jfx7XYj3-QAEH9jTu/view" TargetMode="External"/><Relationship Id="rId1833" Type="http://schemas.openxmlformats.org/officeDocument/2006/relationships/hyperlink" Target="https://drive.google.com/file/d/1Y1RJegR-ta9t_FDmeWdCqObaftIesK3I/view" TargetMode="External"/><Relationship Id="rId1834" Type="http://schemas.openxmlformats.org/officeDocument/2006/relationships/hyperlink" Target="https://drive.google.com/file/d/1XbJ-MKB3XXZCVgbXDYkOMOE5pKnqyCsD/view" TargetMode="External"/><Relationship Id="rId1835" Type="http://schemas.openxmlformats.org/officeDocument/2006/relationships/hyperlink" Target="https://drive.google.com/file/d/1lLAk70m2Nt50CVsWxXvx9VHs2dPN-1TY/view" TargetMode="External"/><Relationship Id="rId1836" Type="http://schemas.openxmlformats.org/officeDocument/2006/relationships/hyperlink" Target="https://drive.google.com/file/d/1MECYfJS1YQx4VyaZhW2PNFTm4dQTLV0t/view" TargetMode="External"/><Relationship Id="rId1837" Type="http://schemas.openxmlformats.org/officeDocument/2006/relationships/hyperlink" Target="https://drive.google.com/file/d/1u1Q72AzqnksVP6n9Z-LgKkqSM7I3Bg1W/view" TargetMode="External"/><Relationship Id="rId1838" Type="http://schemas.openxmlformats.org/officeDocument/2006/relationships/hyperlink" Target="https://drive.google.com/file/d/1TYAzHCGnkG0kDDVLmwtu-frSzAxKDMCl/view" TargetMode="External"/><Relationship Id="rId1839" Type="http://schemas.openxmlformats.org/officeDocument/2006/relationships/hyperlink" Target="https://drive.google.com/file/d/1Q7mFfWClhIQ5ZdSW2Y320M2hMMtoijyd/view" TargetMode="External"/><Relationship Id="rId1820" Type="http://schemas.openxmlformats.org/officeDocument/2006/relationships/hyperlink" Target="https://drive.google.com/file/d/1vuvETu2zaHWVwzXJQSqijLS5o3RrOWTT/view" TargetMode="External"/><Relationship Id="rId1821" Type="http://schemas.openxmlformats.org/officeDocument/2006/relationships/hyperlink" Target="https://drive.google.com/file/d/14n4wlzK_BPxa9Z4pM2Xafh-9CXGjsFyc/view" TargetMode="External"/><Relationship Id="rId1822" Type="http://schemas.openxmlformats.org/officeDocument/2006/relationships/hyperlink" Target="https://drive.google.com/file/d/1arRJvcuowMNHUcfFTPbnZ_WLPUq7zpNL/view" TargetMode="External"/><Relationship Id="rId1823" Type="http://schemas.openxmlformats.org/officeDocument/2006/relationships/hyperlink" Target="https://drive.google.com/file/d/1yjl1nYHOlrbbAI9gCC_wyRSQOqhXVS94/view" TargetMode="External"/><Relationship Id="rId1824" Type="http://schemas.openxmlformats.org/officeDocument/2006/relationships/hyperlink" Target="https://drive.google.com/file/d/1rw5o3jZSwwxJRQW5wRPJS8gdyAlkI_5r/view" TargetMode="External"/><Relationship Id="rId1825" Type="http://schemas.openxmlformats.org/officeDocument/2006/relationships/hyperlink" Target="https://drive.google.com/file/d/1YzLH5hoN8mFqYmrPigDOVJdmTErVd9KC/view" TargetMode="External"/><Relationship Id="rId1826" Type="http://schemas.openxmlformats.org/officeDocument/2006/relationships/hyperlink" Target="https://drive.google.com/file/d/1gwGWZcfCHyxXMReVyPZGqSw4rf5QBv5L/view" TargetMode="External"/><Relationship Id="rId1827" Type="http://schemas.openxmlformats.org/officeDocument/2006/relationships/hyperlink" Target="https://drive.google.com/file/d/1vuvETu2zaHWVwzXJQSqijLS5o3RrOWTT/view" TargetMode="External"/><Relationship Id="rId1828" Type="http://schemas.openxmlformats.org/officeDocument/2006/relationships/hyperlink" Target="https://drive.google.com/file/d/14n4wlzK_BPxa9Z4pM2Xafh-9CXGjsFyc/view" TargetMode="External"/><Relationship Id="rId1829" Type="http://schemas.openxmlformats.org/officeDocument/2006/relationships/hyperlink" Target="https://drive.google.com/file/d/1arRJvcuowMNHUcfFTPbnZ_WLPUq7zpNL/view" TargetMode="External"/><Relationship Id="rId4091" Type="http://schemas.openxmlformats.org/officeDocument/2006/relationships/hyperlink" Target="https://drive.google.com/file/d/1F5iCMsjhynJEY36u5CVsIJGH8xUDspNy/view" TargetMode="External"/><Relationship Id="rId4090" Type="http://schemas.openxmlformats.org/officeDocument/2006/relationships/hyperlink" Target="https://drive.google.com/file/d/1l9QJ8XoN8N2vPGW9e1sxKYSTNPv_QTsC/view" TargetMode="External"/><Relationship Id="rId4093" Type="http://schemas.openxmlformats.org/officeDocument/2006/relationships/hyperlink" Target="https://drive.google.com/file/d/1waYUBbZ6qRMTYCf-fK5V1P6-Z56_tVe1/view" TargetMode="External"/><Relationship Id="rId4092" Type="http://schemas.openxmlformats.org/officeDocument/2006/relationships/hyperlink" Target="https://drive.google.com/file/d/1Pu5YlKHU6R30KpKmwS8Sc_0AU4Bn7Ies/view" TargetMode="External"/><Relationship Id="rId4095" Type="http://schemas.openxmlformats.org/officeDocument/2006/relationships/hyperlink" Target="https://drive.google.com/file/d/1iRNutKdArUJ_jXPdp3TkzzFqdZ5ryIbs/view" TargetMode="External"/><Relationship Id="rId4094" Type="http://schemas.openxmlformats.org/officeDocument/2006/relationships/hyperlink" Target="https://drive.google.com/file/d/1y19N5QI1lKv8Le07uF-pHrDodzIcdv6W/view" TargetMode="External"/><Relationship Id="rId4097" Type="http://schemas.openxmlformats.org/officeDocument/2006/relationships/hyperlink" Target="https://drive.google.com/file/d/12novxP4le9UsEn_a9JdZSxjopUnJm9Xd/view" TargetMode="External"/><Relationship Id="rId4096" Type="http://schemas.openxmlformats.org/officeDocument/2006/relationships/hyperlink" Target="https://drive.google.com/file/d/1l9QJ8XoN8N2vPGW9e1sxKYSTNPv_QTsC/view" TargetMode="External"/><Relationship Id="rId4099" Type="http://schemas.openxmlformats.org/officeDocument/2006/relationships/hyperlink" Target="https://drive.google.com/file/d/1waYUBbZ6qRMTYCf-fK5V1P6-Z56_tVe1/view" TargetMode="External"/><Relationship Id="rId4098" Type="http://schemas.openxmlformats.org/officeDocument/2006/relationships/hyperlink" Target="https://drive.google.com/file/d/1TRUORzYelREJcPGosAxiIJVGzn-Nnl_p/view" TargetMode="External"/><Relationship Id="rId2302" Type="http://schemas.openxmlformats.org/officeDocument/2006/relationships/hyperlink" Target="https://drive.google.com/file/d/1CqBCth7-y6nLl57LONQyMHNrjogveeT-/view" TargetMode="External"/><Relationship Id="rId3634" Type="http://schemas.openxmlformats.org/officeDocument/2006/relationships/hyperlink" Target="https://drive.google.com/file/d/1II3M4WpF9pPPJ0b7-AZtJumNtlBjoYtH/view" TargetMode="External"/><Relationship Id="rId2303" Type="http://schemas.openxmlformats.org/officeDocument/2006/relationships/hyperlink" Target="https://drive.google.com/file/d/183eHAG_B7GFj8rtDl1Kl_3zbCtVT-KtJ/view" TargetMode="External"/><Relationship Id="rId3633" Type="http://schemas.openxmlformats.org/officeDocument/2006/relationships/hyperlink" Target="https://drive.google.com/file/d/1kBTB4eafFlUQmnqs90CJvLoGVWVBOAei/view" TargetMode="External"/><Relationship Id="rId2304" Type="http://schemas.openxmlformats.org/officeDocument/2006/relationships/hyperlink" Target="https://drive.google.com/file/d/11B_Jkp3C6ElP4185cfQ5q7QiShE-kw36/view" TargetMode="External"/><Relationship Id="rId3636" Type="http://schemas.openxmlformats.org/officeDocument/2006/relationships/hyperlink" Target="https://drive.google.com/file/d/1gGLmOwEhLqaZ6xenb_H1CeI6wcePcP3R/view" TargetMode="External"/><Relationship Id="rId2305" Type="http://schemas.openxmlformats.org/officeDocument/2006/relationships/hyperlink" Target="https://drive.google.com/file/d/1y1vdLZlTELgqFJIAInOXsmTdrxRFyxO3/view" TargetMode="External"/><Relationship Id="rId3635" Type="http://schemas.openxmlformats.org/officeDocument/2006/relationships/hyperlink" Target="https://drive.google.com/file/d/1nZO5kQJa_cAtXBtcwvVL1NRXwiNwsE4M/view" TargetMode="External"/><Relationship Id="rId2306" Type="http://schemas.openxmlformats.org/officeDocument/2006/relationships/hyperlink" Target="https://drive.google.com/file/d/1DdI0JKtatyU0vOQ_sMOs1OuFV7ROIC0E/view" TargetMode="External"/><Relationship Id="rId3638" Type="http://schemas.openxmlformats.org/officeDocument/2006/relationships/hyperlink" Target="https://drive.google.com/file/d/1ETvyRpouxf-2MTFzayN_QU98d9c5bQM-/view" TargetMode="External"/><Relationship Id="rId2307" Type="http://schemas.openxmlformats.org/officeDocument/2006/relationships/hyperlink" Target="https://drive.google.com/file/d/12yuwuP0ucsSjDT7-1aHOA3qR0shem2ri/view" TargetMode="External"/><Relationship Id="rId3637" Type="http://schemas.openxmlformats.org/officeDocument/2006/relationships/hyperlink" Target="https://drive.google.com/file/d/1lQljI6NVQsXMGhCJ2cCooqjo57Scd1wY/view" TargetMode="External"/><Relationship Id="rId2308" Type="http://schemas.openxmlformats.org/officeDocument/2006/relationships/hyperlink" Target="https://drive.google.com/file/d/1T7xS9j7Rk1uPhXWGUXUpcZTCZitp_5g0/view" TargetMode="External"/><Relationship Id="rId2309" Type="http://schemas.openxmlformats.org/officeDocument/2006/relationships/hyperlink" Target="https://drive.google.com/file/d/1CqBCth7-y6nLl57LONQyMHNrjogveeT-/view" TargetMode="External"/><Relationship Id="rId3639" Type="http://schemas.openxmlformats.org/officeDocument/2006/relationships/hyperlink" Target="https://drive.google.com/file/d/1nDk4K5Dpm7cD9HONBUMXtCpdd9EE4SKx/view" TargetMode="External"/><Relationship Id="rId3630" Type="http://schemas.openxmlformats.org/officeDocument/2006/relationships/hyperlink" Target="https://drive.google.com/file/d/1nZO5kQJa_cAtXBtcwvVL1NRXwiNwsE4M/view" TargetMode="External"/><Relationship Id="rId2300" Type="http://schemas.openxmlformats.org/officeDocument/2006/relationships/hyperlink" Target="https://drive.google.com/file/d/12yuwuP0ucsSjDT7-1aHOA3qR0shem2ri/view" TargetMode="External"/><Relationship Id="rId3632" Type="http://schemas.openxmlformats.org/officeDocument/2006/relationships/hyperlink" Target="https://drive.google.com/file/d/1lQljI6NVQsXMGhCJ2cCooqjo57Scd1wY/view" TargetMode="External"/><Relationship Id="rId2301" Type="http://schemas.openxmlformats.org/officeDocument/2006/relationships/hyperlink" Target="https://drive.google.com/file/d/1T7xS9j7Rk1uPhXWGUXUpcZTCZitp_5g0/view" TargetMode="External"/><Relationship Id="rId3631" Type="http://schemas.openxmlformats.org/officeDocument/2006/relationships/hyperlink" Target="https://drive.google.com/file/d/1gGLmOwEhLqaZ6xenb_H1CeI6wcePcP3R/view" TargetMode="External"/><Relationship Id="rId3623" Type="http://schemas.openxmlformats.org/officeDocument/2006/relationships/hyperlink" Target="https://drive.google.com/file/d/1lMGhJKHVMGeg_2adF5dYUiuX0HwOah-x/view" TargetMode="External"/><Relationship Id="rId3622" Type="http://schemas.openxmlformats.org/officeDocument/2006/relationships/hyperlink" Target="https://drive.google.com/file/d/1lQljI6NVQsXMGhCJ2cCooqjo57Scd1wY/view" TargetMode="External"/><Relationship Id="rId3625" Type="http://schemas.openxmlformats.org/officeDocument/2006/relationships/hyperlink" Target="https://drive.google.com/file/d/1nZO5kQJa_cAtXBtcwvVL1NRXwiNwsE4M/view" TargetMode="External"/><Relationship Id="rId3624" Type="http://schemas.openxmlformats.org/officeDocument/2006/relationships/hyperlink" Target="https://drive.google.com/file/d/1anuLOrYfnhJGCfQFc-tUeW_Z6yQr5m9M/view" TargetMode="External"/><Relationship Id="rId3627" Type="http://schemas.openxmlformats.org/officeDocument/2006/relationships/hyperlink" Target="https://drive.google.com/file/d/1lQljI6NVQsXMGhCJ2cCooqjo57Scd1wY/view" TargetMode="External"/><Relationship Id="rId3626" Type="http://schemas.openxmlformats.org/officeDocument/2006/relationships/hyperlink" Target="https://drive.google.com/file/d/1gGLmOwEhLqaZ6xenb_H1CeI6wcePcP3R/view" TargetMode="External"/><Relationship Id="rId3629" Type="http://schemas.openxmlformats.org/officeDocument/2006/relationships/hyperlink" Target="https://drive.google.com/file/d/1hG5es38dwOv6-zUeHcJSzunONQZNlPoG/view" TargetMode="External"/><Relationship Id="rId3628" Type="http://schemas.openxmlformats.org/officeDocument/2006/relationships/hyperlink" Target="https://drive.google.com/file/d/14DAePEYzCSqMPIbkxgDWJ0_0fRSvh3rb/view" TargetMode="External"/><Relationship Id="rId3621" Type="http://schemas.openxmlformats.org/officeDocument/2006/relationships/hyperlink" Target="https://drive.google.com/file/d/1gGLmOwEhLqaZ6xenb_H1CeI6wcePcP3R/view" TargetMode="External"/><Relationship Id="rId3620" Type="http://schemas.openxmlformats.org/officeDocument/2006/relationships/hyperlink" Target="https://drive.google.com/file/d/1nZO5kQJa_cAtXBtcwvVL1NRXwiNwsE4M/view" TargetMode="External"/><Relationship Id="rId2324" Type="http://schemas.openxmlformats.org/officeDocument/2006/relationships/hyperlink" Target="https://drive.google.com/file/d/1mCJR96qWWdIphFukZzXKTcR7W9yWsaan/view" TargetMode="External"/><Relationship Id="rId3656" Type="http://schemas.openxmlformats.org/officeDocument/2006/relationships/hyperlink" Target="https://drive.google.com/file/d/1HZmRYmwWGz9JpZhqsw0r4kVa4Fy1ht_M/view" TargetMode="External"/><Relationship Id="rId2325" Type="http://schemas.openxmlformats.org/officeDocument/2006/relationships/hyperlink" Target="https://drive.google.com/file/d/1SWsP_tb3Ny7lOezryWGaoI7aaAGwvULN/view" TargetMode="External"/><Relationship Id="rId3655" Type="http://schemas.openxmlformats.org/officeDocument/2006/relationships/hyperlink" Target="https://drive.google.com/file/d/1-3wYoBiLEmP8Ikk2nZtLP_COSV8lZuP1/view" TargetMode="External"/><Relationship Id="rId2326" Type="http://schemas.openxmlformats.org/officeDocument/2006/relationships/hyperlink" Target="https://drive.google.com/file/d/1xUJOHc_Dp6J9XWIfz80Ysx2Ousha7ei9/view" TargetMode="External"/><Relationship Id="rId3658" Type="http://schemas.openxmlformats.org/officeDocument/2006/relationships/hyperlink" Target="https://drive.google.com/file/d/1gGLmOwEhLqaZ6xenb_H1CeI6wcePcP3R/view" TargetMode="External"/><Relationship Id="rId2327" Type="http://schemas.openxmlformats.org/officeDocument/2006/relationships/hyperlink" Target="https://drive.google.com/file/d/1-e5Yzl6AS7QozR3h_J030KU0942jcew7/view" TargetMode="External"/><Relationship Id="rId3657" Type="http://schemas.openxmlformats.org/officeDocument/2006/relationships/hyperlink" Target="https://drive.google.com/file/d/1nZO5kQJa_cAtXBtcwvVL1NRXwiNwsE4M/view" TargetMode="External"/><Relationship Id="rId2328" Type="http://schemas.openxmlformats.org/officeDocument/2006/relationships/hyperlink" Target="https://drive.google.com/file/d/1f_-KFI_IWutobi3WuYq7DlgUCLOoLM5Z/view" TargetMode="External"/><Relationship Id="rId2329" Type="http://schemas.openxmlformats.org/officeDocument/2006/relationships/hyperlink" Target="https://drive.google.com/file/d/1trLbk5Cj5_d1aNYQV0pxeIckpQlc3gRS/view" TargetMode="External"/><Relationship Id="rId3659" Type="http://schemas.openxmlformats.org/officeDocument/2006/relationships/hyperlink" Target="https://drive.google.com/file/d/1lQljI6NVQsXMGhCJ2cCooqjo57Scd1wY/view" TargetMode="External"/><Relationship Id="rId3650" Type="http://schemas.openxmlformats.org/officeDocument/2006/relationships/hyperlink" Target="https://drive.google.com/file/d/1-3wYoBiLEmP8Ikk2nZtLP_COSV8lZuP1/view" TargetMode="External"/><Relationship Id="rId2320" Type="http://schemas.openxmlformats.org/officeDocument/2006/relationships/hyperlink" Target="https://drive.google.com/file/d/1DdI0JKtatyU0vOQ_sMOs1OuFV7ROIC0E/view" TargetMode="External"/><Relationship Id="rId3652" Type="http://schemas.openxmlformats.org/officeDocument/2006/relationships/hyperlink" Target="https://drive.google.com/file/d/1nZO5kQJa_cAtXBtcwvVL1NRXwiNwsE4M/view" TargetMode="External"/><Relationship Id="rId2321" Type="http://schemas.openxmlformats.org/officeDocument/2006/relationships/hyperlink" Target="https://drive.google.com/file/d/1f_-KFI_IWutobi3WuYq7DlgUCLOoLM5Z/view" TargetMode="External"/><Relationship Id="rId3651" Type="http://schemas.openxmlformats.org/officeDocument/2006/relationships/hyperlink" Target="https://drive.google.com/file/d/1HZmRYmwWGz9JpZhqsw0r4kVa4Fy1ht_M/view" TargetMode="External"/><Relationship Id="rId2322" Type="http://schemas.openxmlformats.org/officeDocument/2006/relationships/hyperlink" Target="https://drive.google.com/file/d/1trLbk5Cj5_d1aNYQV0pxeIckpQlc3gRS/view" TargetMode="External"/><Relationship Id="rId3654" Type="http://schemas.openxmlformats.org/officeDocument/2006/relationships/hyperlink" Target="https://drive.google.com/file/d/1lQljI6NVQsXMGhCJ2cCooqjo57Scd1wY/view" TargetMode="External"/><Relationship Id="rId2323" Type="http://schemas.openxmlformats.org/officeDocument/2006/relationships/hyperlink" Target="https://drive.google.com/file/d/1DAzVL_JXAHGMRFSYFsqqhgFPWPJwZUw0/view" TargetMode="External"/><Relationship Id="rId3653" Type="http://schemas.openxmlformats.org/officeDocument/2006/relationships/hyperlink" Target="https://drive.google.com/file/d/1gGLmOwEhLqaZ6xenb_H1CeI6wcePcP3R/view" TargetMode="External"/><Relationship Id="rId2313" Type="http://schemas.openxmlformats.org/officeDocument/2006/relationships/hyperlink" Target="https://drive.google.com/file/d/1DdI0JKtatyU0vOQ_sMOs1OuFV7ROIC0E/view" TargetMode="External"/><Relationship Id="rId3645" Type="http://schemas.openxmlformats.org/officeDocument/2006/relationships/hyperlink" Target="https://drive.google.com/file/d/1gGLmOwEhLqaZ6xenb_H1CeI6wcePcP3R/view" TargetMode="External"/><Relationship Id="rId2314" Type="http://schemas.openxmlformats.org/officeDocument/2006/relationships/hyperlink" Target="https://drive.google.com/file/d/1JmP-n2qX-W08pZeXTNPmn-_32mMvf5BH/view" TargetMode="External"/><Relationship Id="rId3644" Type="http://schemas.openxmlformats.org/officeDocument/2006/relationships/hyperlink" Target="https://drive.google.com/file/d/1nZO5kQJa_cAtXBtcwvVL1NRXwiNwsE4M/view" TargetMode="External"/><Relationship Id="rId2315" Type="http://schemas.openxmlformats.org/officeDocument/2006/relationships/hyperlink" Target="https://drive.google.com/file/d/1qSwhBzli5z4cKLsgDeqrxZ3_EYfOWYZZ/view" TargetMode="External"/><Relationship Id="rId3647" Type="http://schemas.openxmlformats.org/officeDocument/2006/relationships/hyperlink" Target="https://drive.google.com/file/d/1IrOPtfCtmeC6j2XF4uc4pfN8eJVCKws0/view" TargetMode="External"/><Relationship Id="rId2316" Type="http://schemas.openxmlformats.org/officeDocument/2006/relationships/hyperlink" Target="https://drive.google.com/file/d/1CqBCth7-y6nLl57LONQyMHNrjogveeT-/view" TargetMode="External"/><Relationship Id="rId3646" Type="http://schemas.openxmlformats.org/officeDocument/2006/relationships/hyperlink" Target="https://drive.google.com/file/d/12YqWCD_XOFtlNj4s7AtPNYSSfaw379gP/view" TargetMode="External"/><Relationship Id="rId2317" Type="http://schemas.openxmlformats.org/officeDocument/2006/relationships/hyperlink" Target="https://drive.google.com/file/d/183eHAG_B7GFj8rtDl1Kl_3zbCtVT-KtJ/view" TargetMode="External"/><Relationship Id="rId3649" Type="http://schemas.openxmlformats.org/officeDocument/2006/relationships/hyperlink" Target="https://drive.google.com/file/d/1gGLmOwEhLqaZ6xenb_H1CeI6wcePcP3R/view" TargetMode="External"/><Relationship Id="rId2318" Type="http://schemas.openxmlformats.org/officeDocument/2006/relationships/hyperlink" Target="https://drive.google.com/file/d/11B_Jkp3C6ElP4185cfQ5q7QiShE-kw36/view" TargetMode="External"/><Relationship Id="rId3648" Type="http://schemas.openxmlformats.org/officeDocument/2006/relationships/hyperlink" Target="https://drive.google.com/file/d/1nZO5kQJa_cAtXBtcwvVL1NRXwiNwsE4M/view" TargetMode="External"/><Relationship Id="rId2319" Type="http://schemas.openxmlformats.org/officeDocument/2006/relationships/hyperlink" Target="https://drive.google.com/file/d/1y1vdLZlTELgqFJIAInOXsmTdrxRFyxO3/view" TargetMode="External"/><Relationship Id="rId3641" Type="http://schemas.openxmlformats.org/officeDocument/2006/relationships/hyperlink" Target="https://drive.google.com/file/d/1gGLmOwEhLqaZ6xenb_H1CeI6wcePcP3R/view" TargetMode="External"/><Relationship Id="rId2310" Type="http://schemas.openxmlformats.org/officeDocument/2006/relationships/hyperlink" Target="https://drive.google.com/file/d/183eHAG_B7GFj8rtDl1Kl_3zbCtVT-KtJ/view" TargetMode="External"/><Relationship Id="rId3640" Type="http://schemas.openxmlformats.org/officeDocument/2006/relationships/hyperlink" Target="https://drive.google.com/file/d/1nZO5kQJa_cAtXBtcwvVL1NRXwiNwsE4M/view" TargetMode="External"/><Relationship Id="rId2311" Type="http://schemas.openxmlformats.org/officeDocument/2006/relationships/hyperlink" Target="https://drive.google.com/file/d/11B_Jkp3C6ElP4185cfQ5q7QiShE-kw36/view" TargetMode="External"/><Relationship Id="rId3643" Type="http://schemas.openxmlformats.org/officeDocument/2006/relationships/hyperlink" Target="https://drive.google.com/file/d/1247kGp30K-RAj1o2mxjiilSBiJfGquKl/view" TargetMode="External"/><Relationship Id="rId2312" Type="http://schemas.openxmlformats.org/officeDocument/2006/relationships/hyperlink" Target="https://drive.google.com/file/d/1y1vdLZlTELgqFJIAInOXsmTdrxRFyxO3/view" TargetMode="External"/><Relationship Id="rId3642" Type="http://schemas.openxmlformats.org/officeDocument/2006/relationships/hyperlink" Target="https://drive.google.com/file/d/1dmH_1ZtsqMG1STJWqJZjtCaW5DOziCAs/view" TargetMode="External"/><Relationship Id="rId1895" Type="http://schemas.openxmlformats.org/officeDocument/2006/relationships/hyperlink" Target="https://drive.google.com/file/d/1MjtBrO0ASjMXvYi8qtjJjMVlZSm8YG93/view" TargetMode="External"/><Relationship Id="rId1896" Type="http://schemas.openxmlformats.org/officeDocument/2006/relationships/hyperlink" Target="https://drive.google.com/file/d/14ZUHGtERDN1JYwNMxOnIXzFA4FhV4sud/view" TargetMode="External"/><Relationship Id="rId1897" Type="http://schemas.openxmlformats.org/officeDocument/2006/relationships/hyperlink" Target="https://drive.google.com/file/d/1MulpbuM6XpH6zycg3j20_Rg7VoqVED8u/view" TargetMode="External"/><Relationship Id="rId1898" Type="http://schemas.openxmlformats.org/officeDocument/2006/relationships/hyperlink" Target="https://drive.google.com/file/d/17byCEg9yJYlS-eAoQctSSj9IcbOvDj4C/view" TargetMode="External"/><Relationship Id="rId1899" Type="http://schemas.openxmlformats.org/officeDocument/2006/relationships/hyperlink" Target="https://drive.google.com/file/d/1Cgm48oSuAKTxVuYZrAJS_yTdyPGL2_RY/view" TargetMode="External"/><Relationship Id="rId1890" Type="http://schemas.openxmlformats.org/officeDocument/2006/relationships/hyperlink" Target="https://drive.google.com/file/d/1PoDC2U8NhfYoBQbcAuPyffyouPWrveJ6/view" TargetMode="External"/><Relationship Id="rId1891" Type="http://schemas.openxmlformats.org/officeDocument/2006/relationships/hyperlink" Target="https://drive.google.com/file/d/1T5mBesVipVu5fZVlspo2rULPa_BII_BE/view" TargetMode="External"/><Relationship Id="rId1892" Type="http://schemas.openxmlformats.org/officeDocument/2006/relationships/hyperlink" Target="https://drive.google.com/file/d/1xSocNsTr56D8bIkIo6PKLmoVZUXtJfhL/view" TargetMode="External"/><Relationship Id="rId1893" Type="http://schemas.openxmlformats.org/officeDocument/2006/relationships/hyperlink" Target="https://drive.google.com/file/d/19v-EI-lNPVEl25lxodyaTACv9WmmZ-m_/view" TargetMode="External"/><Relationship Id="rId1894" Type="http://schemas.openxmlformats.org/officeDocument/2006/relationships/hyperlink" Target="https://drive.google.com/file/d/16bTxqMwR1gar-WBFaRnKrcdZuVc2u1lE/view" TargetMode="External"/><Relationship Id="rId1884" Type="http://schemas.openxmlformats.org/officeDocument/2006/relationships/hyperlink" Target="https://drive.google.com/file/d/1T5mBesVipVu5fZVlspo2rULPa_BII_BE/view" TargetMode="External"/><Relationship Id="rId1885" Type="http://schemas.openxmlformats.org/officeDocument/2006/relationships/hyperlink" Target="https://drive.google.com/file/d/1xSocNsTr56D8bIkIo6PKLmoVZUXtJfhL/view" TargetMode="External"/><Relationship Id="rId1886" Type="http://schemas.openxmlformats.org/officeDocument/2006/relationships/hyperlink" Target="https://drive.google.com/file/d/12W4fIyxNW4u4kWFG-8-lXL9ALs-FhdtT/view" TargetMode="External"/><Relationship Id="rId1887" Type="http://schemas.openxmlformats.org/officeDocument/2006/relationships/hyperlink" Target="https://drive.google.com/file/d/1bZPq9F9wl3xThgX9TuhM5fyVnR_xqnPb/view" TargetMode="External"/><Relationship Id="rId1888" Type="http://schemas.openxmlformats.org/officeDocument/2006/relationships/hyperlink" Target="https://drive.google.com/file/d/1BDB2qCU7-DBOmWeXLz5ec9h6t98Yyuqm/view" TargetMode="External"/><Relationship Id="rId1889" Type="http://schemas.openxmlformats.org/officeDocument/2006/relationships/hyperlink" Target="https://drive.google.com/file/d/1PR2gQpFFFK2NQ_vIJ-lns-_T-5Intrvs/view" TargetMode="External"/><Relationship Id="rId1880" Type="http://schemas.openxmlformats.org/officeDocument/2006/relationships/hyperlink" Target="https://drive.google.com/file/d/1TjsCp-U4-dWQmsd3Zx8SMBG4vCtP6xn8/view" TargetMode="External"/><Relationship Id="rId1881" Type="http://schemas.openxmlformats.org/officeDocument/2006/relationships/hyperlink" Target="https://drive.google.com/file/d/1BDB2qCU7-DBOmWeXLz5ec9h6t98Yyuqm/view" TargetMode="External"/><Relationship Id="rId1882" Type="http://schemas.openxmlformats.org/officeDocument/2006/relationships/hyperlink" Target="https://drive.google.com/file/d/1PR2gQpFFFK2NQ_vIJ-lns-_T-5Intrvs/view" TargetMode="External"/><Relationship Id="rId1883" Type="http://schemas.openxmlformats.org/officeDocument/2006/relationships/hyperlink" Target="https://drive.google.com/file/d/1PoDC2U8NhfYoBQbcAuPyffyouPWrveJ6/view" TargetMode="External"/><Relationship Id="rId3612" Type="http://schemas.openxmlformats.org/officeDocument/2006/relationships/hyperlink" Target="https://drive.google.com/file/d/15PXdKdRla5Iyt9LF9BWTokpyoC4ZwX0j/view" TargetMode="External"/><Relationship Id="rId3611" Type="http://schemas.openxmlformats.org/officeDocument/2006/relationships/hyperlink" Target="https://drive.google.com/file/d/10kc62snSDWDS5XUhimDuRf8576lVG0xf/view" TargetMode="External"/><Relationship Id="rId3614" Type="http://schemas.openxmlformats.org/officeDocument/2006/relationships/hyperlink" Target="https://drive.google.com/file/d/1GY8bGrOV1mY8557-blCs-pNVLGG8sl2C/view" TargetMode="External"/><Relationship Id="rId3613" Type="http://schemas.openxmlformats.org/officeDocument/2006/relationships/hyperlink" Target="https://drive.google.com/file/d/1-f8lWaQDA378gsGVyTk0op8dk4RRChLz/view" TargetMode="External"/><Relationship Id="rId3616" Type="http://schemas.openxmlformats.org/officeDocument/2006/relationships/hyperlink" Target="https://drive.google.com/file/d/1xkiAWpO6uRJO-0HVmRF1LfFVhe_ui5c3/view" TargetMode="External"/><Relationship Id="rId3615" Type="http://schemas.openxmlformats.org/officeDocument/2006/relationships/hyperlink" Target="https://drive.google.com/file/d/1Y-1eNPPZt8dtyHJqtZDSpAHdBy7kVw5l/view" TargetMode="External"/><Relationship Id="rId3618" Type="http://schemas.openxmlformats.org/officeDocument/2006/relationships/hyperlink" Target="https://drive.google.com/file/d/14DAePEYzCSqMPIbkxgDWJ0_0fRSvh3rb/view" TargetMode="External"/><Relationship Id="rId3617" Type="http://schemas.openxmlformats.org/officeDocument/2006/relationships/hyperlink" Target="https://drive.google.com/file/d/1GrsscfID2reehamD4Zbmy9FUxwdd0gaS/view" TargetMode="External"/><Relationship Id="rId3619" Type="http://schemas.openxmlformats.org/officeDocument/2006/relationships/hyperlink" Target="https://drive.google.com/file/d/1hG5es38dwOv6-zUeHcJSzunONQZNlPoG/view" TargetMode="External"/><Relationship Id="rId3610" Type="http://schemas.openxmlformats.org/officeDocument/2006/relationships/hyperlink" Target="https://drive.google.com/file/d/1LtIiREuIRq2FGmAOHaGYVruU86rvU_Nh/view" TargetMode="External"/><Relationship Id="rId3601" Type="http://schemas.openxmlformats.org/officeDocument/2006/relationships/hyperlink" Target="https://drive.google.com/file/d/1dD3ac22qc-0CN_vOePhyoKDyZXSVs-Q_/view" TargetMode="External"/><Relationship Id="rId3600" Type="http://schemas.openxmlformats.org/officeDocument/2006/relationships/hyperlink" Target="https://drive.google.com/file/d/1GEXKfnal8-pvT5LUaJgqE4d00N08HeCD/view" TargetMode="External"/><Relationship Id="rId3603" Type="http://schemas.openxmlformats.org/officeDocument/2006/relationships/hyperlink" Target="https://drive.google.com/file/d/1A9vOWY5D2zr35Nh0Tp7ZsfbT6K5BzGU3/view" TargetMode="External"/><Relationship Id="rId3602" Type="http://schemas.openxmlformats.org/officeDocument/2006/relationships/hyperlink" Target="https://drive.google.com/file/d/14F_ei38-wacqm5F8XsFA3UVDt2i8y7-n/view" TargetMode="External"/><Relationship Id="rId3605" Type="http://schemas.openxmlformats.org/officeDocument/2006/relationships/hyperlink" Target="https://drive.google.com/file/d/16Nb-BqR-CGIIWKzaCrPESEuM6pGzluV8/view" TargetMode="External"/><Relationship Id="rId3604" Type="http://schemas.openxmlformats.org/officeDocument/2006/relationships/hyperlink" Target="https://drive.google.com/file/d/1L6DpgUhuv9NeNSiULh2df4e0bZc-n_v8/view" TargetMode="External"/><Relationship Id="rId3607" Type="http://schemas.openxmlformats.org/officeDocument/2006/relationships/hyperlink" Target="https://drive.google.com/file/d/10eRYvO7RYKthTTZhoeUQn-6TUEuwIXDG/view" TargetMode="External"/><Relationship Id="rId3606" Type="http://schemas.openxmlformats.org/officeDocument/2006/relationships/hyperlink" Target="https://drive.google.com/file/d/1PHaDj6vLxFsnSrrb9FufciaWNHVVLWCn/view" TargetMode="External"/><Relationship Id="rId3609" Type="http://schemas.openxmlformats.org/officeDocument/2006/relationships/hyperlink" Target="https://drive.google.com/file/d/1vdAzCnbYyO0W9TAuTbFwYU2d6aqxTtk7/view" TargetMode="External"/><Relationship Id="rId3608" Type="http://schemas.openxmlformats.org/officeDocument/2006/relationships/hyperlink" Target="https://drive.google.com/file/d/1f77aCIt0EArHe79sse11K1Xxyjd4HkLd/view" TargetMode="External"/><Relationship Id="rId1059" Type="http://schemas.openxmlformats.org/officeDocument/2006/relationships/hyperlink" Target="https://drive.google.com/file/d/1GyrvJEu5ORkmsVUSv_f9JBXvhP4RqouX/view" TargetMode="External"/><Relationship Id="rId228" Type="http://schemas.openxmlformats.org/officeDocument/2006/relationships/hyperlink" Target="https://drive.google.com/file/d/1cj-XRYE_0DgIhNg6rf5b68SblpsIjVCS/view" TargetMode="External"/><Relationship Id="rId227" Type="http://schemas.openxmlformats.org/officeDocument/2006/relationships/hyperlink" Target="https://drive.google.com/file/d/1vsoFaCLZX2__5xgXXE7mvKFCX_fB3byS/view" TargetMode="External"/><Relationship Id="rId226" Type="http://schemas.openxmlformats.org/officeDocument/2006/relationships/hyperlink" Target="https://drive.google.com/file/d/1M9On21v4Tslh98g0YFlSp2v3h_1adtJJ/view" TargetMode="External"/><Relationship Id="rId225" Type="http://schemas.openxmlformats.org/officeDocument/2006/relationships/hyperlink" Target="https://drive.google.com/file/d/19g1VIok7iCPxMevlbUeluKBrC6RrgmSu/view" TargetMode="External"/><Relationship Id="rId2380" Type="http://schemas.openxmlformats.org/officeDocument/2006/relationships/hyperlink" Target="https://drive.google.com/file/d/1cydBOPzld269rDhfvSWoX1FRMOyIm3DM/view" TargetMode="External"/><Relationship Id="rId229" Type="http://schemas.openxmlformats.org/officeDocument/2006/relationships/hyperlink" Target="https://drive.google.com/file/d/1CDw_MMbDjI-QaMkYk1rTtHHIX8JSMQ1U/view" TargetMode="External"/><Relationship Id="rId1050" Type="http://schemas.openxmlformats.org/officeDocument/2006/relationships/hyperlink" Target="https://drive.google.com/file/d/1H_ctJCo5A6HNDbzQSs6Mfv5NNb7teuXN/view" TargetMode="External"/><Relationship Id="rId2381" Type="http://schemas.openxmlformats.org/officeDocument/2006/relationships/hyperlink" Target="https://drive.google.com/file/d/1UmfrWCAmhbtEJ6NnVfvIBmFUXBJztKqW/view" TargetMode="External"/><Relationship Id="rId220" Type="http://schemas.openxmlformats.org/officeDocument/2006/relationships/hyperlink" Target="https://drive.google.com/file/d/1QxM4NlGE3atVKoCqabxi7GJL5qgpPhj1/view" TargetMode="External"/><Relationship Id="rId1051" Type="http://schemas.openxmlformats.org/officeDocument/2006/relationships/hyperlink" Target="https://drive.google.com/file/d/1mxTEWWkl8jgP3tMf8cLfP_jrEXm093wB/view" TargetMode="External"/><Relationship Id="rId2382" Type="http://schemas.openxmlformats.org/officeDocument/2006/relationships/hyperlink" Target="https://drive.google.com/file/d/1wNl-cB-AjR6F2UUgJIHP6VScuRhf6al5/view" TargetMode="External"/><Relationship Id="rId1052" Type="http://schemas.openxmlformats.org/officeDocument/2006/relationships/hyperlink" Target="https://drive.google.com/file/d/1PR7Q_OSRrTSA-f_GLS1CzW9kKjurY4l9/view" TargetMode="External"/><Relationship Id="rId2383" Type="http://schemas.openxmlformats.org/officeDocument/2006/relationships/hyperlink" Target="https://drive.google.com/file/d/1d--9VlZv4dRIduQBhyu1MplwVCGnXymV/view" TargetMode="External"/><Relationship Id="rId1053" Type="http://schemas.openxmlformats.org/officeDocument/2006/relationships/hyperlink" Target="https://drive.google.com/file/d/1ri7CyokvoarFg_228bnPy0Lj9N72mIRs/view" TargetMode="External"/><Relationship Id="rId2384" Type="http://schemas.openxmlformats.org/officeDocument/2006/relationships/hyperlink" Target="https://drive.google.com/file/d/1ziBViFYQNBsSZ4flle17favWcAJceLid/view" TargetMode="External"/><Relationship Id="rId1054" Type="http://schemas.openxmlformats.org/officeDocument/2006/relationships/hyperlink" Target="https://drive.google.com/file/d/1ICk_fjKZd079GCDjQ49NYRnwxq--gd6w/view" TargetMode="External"/><Relationship Id="rId2385" Type="http://schemas.openxmlformats.org/officeDocument/2006/relationships/hyperlink" Target="https://drive.google.com/file/d/1UR01PEeaRJNC_yGAh-WmNMIvnDkYt3m5/view" TargetMode="External"/><Relationship Id="rId224" Type="http://schemas.openxmlformats.org/officeDocument/2006/relationships/hyperlink" Target="https://drive.google.com/file/d/1Mn4v5a3IOdXBm3c7q4V0oKRoxI0sjMEV/view" TargetMode="External"/><Relationship Id="rId1055" Type="http://schemas.openxmlformats.org/officeDocument/2006/relationships/hyperlink" Target="https://drive.google.com/file/d/1dpw9y8CSJRfQC3pKgYjwbuc6nfMmPBdk/view" TargetMode="External"/><Relationship Id="rId2386" Type="http://schemas.openxmlformats.org/officeDocument/2006/relationships/hyperlink" Target="https://drive.google.com/file/d/1VknKFpYLV5YxrdTZjxIout7Yc4BFhIxf/view" TargetMode="External"/><Relationship Id="rId223" Type="http://schemas.openxmlformats.org/officeDocument/2006/relationships/hyperlink" Target="https://drive.google.com/file/d/1t_h07Q_MEqciL9LZf2wK9JgEN4Nb3Kxb/view" TargetMode="External"/><Relationship Id="rId1056" Type="http://schemas.openxmlformats.org/officeDocument/2006/relationships/hyperlink" Target="https://drive.google.com/file/d/1wey8gOAECtPOJ1MZGLQVLyTqd_XKYABz/view" TargetMode="External"/><Relationship Id="rId2387" Type="http://schemas.openxmlformats.org/officeDocument/2006/relationships/hyperlink" Target="https://drive.google.com/file/d/1cydBOPzld269rDhfvSWoX1FRMOyIm3DM/view" TargetMode="External"/><Relationship Id="rId222" Type="http://schemas.openxmlformats.org/officeDocument/2006/relationships/hyperlink" Target="https://drive.google.com/file/d/1n6eGUWnN5OaLSd6jSSS1XiPELh9Ycq33/view" TargetMode="External"/><Relationship Id="rId1057" Type="http://schemas.openxmlformats.org/officeDocument/2006/relationships/hyperlink" Target="https://drive.google.com/file/d/1lDeA4FdzGAhBOMWXJ51RrKMO8dk1eIpA/view" TargetMode="External"/><Relationship Id="rId2388" Type="http://schemas.openxmlformats.org/officeDocument/2006/relationships/hyperlink" Target="https://drive.google.com/file/d/1UmfrWCAmhbtEJ6NnVfvIBmFUXBJztKqW/view" TargetMode="External"/><Relationship Id="rId221" Type="http://schemas.openxmlformats.org/officeDocument/2006/relationships/hyperlink" Target="https://drive.google.com/file/d/1wFlVhIIN96PRTPZe8CqGyANBt5n661mk/view" TargetMode="External"/><Relationship Id="rId1058" Type="http://schemas.openxmlformats.org/officeDocument/2006/relationships/hyperlink" Target="https://drive.google.com/file/d/1vlcqXHqfmwXq7XrXDYq5IyjeselYGPMO/view" TargetMode="External"/><Relationship Id="rId2389" Type="http://schemas.openxmlformats.org/officeDocument/2006/relationships/hyperlink" Target="https://drive.google.com/file/d/1wNl-cB-AjR6F2UUgJIHP6VScuRhf6al5/view" TargetMode="External"/><Relationship Id="rId1048" Type="http://schemas.openxmlformats.org/officeDocument/2006/relationships/hyperlink" Target="https://drive.google.com/file/d/14KERtpFc9T3SbEvdLPlLrn_7OgFm1Cvr/view" TargetMode="External"/><Relationship Id="rId2379" Type="http://schemas.openxmlformats.org/officeDocument/2006/relationships/hyperlink" Target="https://drive.google.com/file/d/1VknKFpYLV5YxrdTZjxIout7Yc4BFhIxf/view" TargetMode="External"/><Relationship Id="rId1049" Type="http://schemas.openxmlformats.org/officeDocument/2006/relationships/hyperlink" Target="https://drive.google.com/file/d/1ZUo6CWemJFHRTOkWgTqtFwtubCfYeQee/view" TargetMode="External"/><Relationship Id="rId217" Type="http://schemas.openxmlformats.org/officeDocument/2006/relationships/hyperlink" Target="https://drive.google.com/file/d/1JmcLczoXxOdaqbNw0_X2X-iUubmdvdZC/view" TargetMode="External"/><Relationship Id="rId216" Type="http://schemas.openxmlformats.org/officeDocument/2006/relationships/hyperlink" Target="https://drive.google.com/file/d/1DQv1NsTYrcCMe75dxu4hOVqhdtDlqO_9/view" TargetMode="External"/><Relationship Id="rId215" Type="http://schemas.openxmlformats.org/officeDocument/2006/relationships/hyperlink" Target="https://drive.google.com/file/d/1gWC7FzA2pKVFSUfALwFPn2nzNBuv0G6G/view" TargetMode="External"/><Relationship Id="rId214" Type="http://schemas.openxmlformats.org/officeDocument/2006/relationships/hyperlink" Target="https://drive.google.com/file/d/1kr-aWJ2RV_mkUnNFntHdGnRfmXtx9yFa/view" TargetMode="External"/><Relationship Id="rId219" Type="http://schemas.openxmlformats.org/officeDocument/2006/relationships/hyperlink" Target="https://drive.google.com/file/d/1TlV-f-zBJKqW7Rrk3tghM6AgcHrKMAWi/view" TargetMode="External"/><Relationship Id="rId218" Type="http://schemas.openxmlformats.org/officeDocument/2006/relationships/hyperlink" Target="https://drive.google.com/file/d/1b6wPCcpKTqYiaTtQLgENAv0z-LmeltPo/view" TargetMode="External"/><Relationship Id="rId2370" Type="http://schemas.openxmlformats.org/officeDocument/2006/relationships/hyperlink" Target="https://drive.google.com/file/d/1oOJWMvNnAcCicSH6GmDP8I2Q7WTvPV7h/view" TargetMode="External"/><Relationship Id="rId1040" Type="http://schemas.openxmlformats.org/officeDocument/2006/relationships/hyperlink" Target="https://drive.google.com/file/d/1S8nd3Y9KSYlS0eTx9LTKIYLshFt7WxEv/view" TargetMode="External"/><Relationship Id="rId2371" Type="http://schemas.openxmlformats.org/officeDocument/2006/relationships/hyperlink" Target="https://drive.google.com/file/d/1HN8_uNbPYz_WOAzpGCa6V2dP0GChVWt0/view" TargetMode="External"/><Relationship Id="rId1041" Type="http://schemas.openxmlformats.org/officeDocument/2006/relationships/hyperlink" Target="https://drive.google.com/file/d/10lHPRB8NIXGxh7RiTp_U6IyQDyptp5ih/view" TargetMode="External"/><Relationship Id="rId2372" Type="http://schemas.openxmlformats.org/officeDocument/2006/relationships/hyperlink" Target="https://drive.google.com/file/d/1VknKFpYLV5YxrdTZjxIout7Yc4BFhIxf/view" TargetMode="External"/><Relationship Id="rId1042" Type="http://schemas.openxmlformats.org/officeDocument/2006/relationships/hyperlink" Target="https://drive.google.com/file/d/1H_ctJCo5A6HNDbzQSs6Mfv5NNb7teuXN/view" TargetMode="External"/><Relationship Id="rId2373" Type="http://schemas.openxmlformats.org/officeDocument/2006/relationships/hyperlink" Target="https://drive.google.com/file/d/1cydBOPzld269rDhfvSWoX1FRMOyIm3DM/view" TargetMode="External"/><Relationship Id="rId1043" Type="http://schemas.openxmlformats.org/officeDocument/2006/relationships/hyperlink" Target="https://drive.google.com/file/d/1mxTEWWkl8jgP3tMf8cLfP_jrEXm093wB/view" TargetMode="External"/><Relationship Id="rId2374" Type="http://schemas.openxmlformats.org/officeDocument/2006/relationships/hyperlink" Target="https://drive.google.com/file/d/1etVdylVSQsM1zjrTIausRaMe14q36Y0o/view" TargetMode="External"/><Relationship Id="rId213" Type="http://schemas.openxmlformats.org/officeDocument/2006/relationships/hyperlink" Target="https://drive.google.com/file/d/1kJDCJCA5zTkURUzwiBgd3J0sSxfzUubh/view" TargetMode="External"/><Relationship Id="rId1044" Type="http://schemas.openxmlformats.org/officeDocument/2006/relationships/hyperlink" Target="https://drive.google.com/file/d/1uDLdh317HIbR1Dmer17cg4CQYByTo6BM/view" TargetMode="External"/><Relationship Id="rId2375" Type="http://schemas.openxmlformats.org/officeDocument/2006/relationships/hyperlink" Target="https://drive.google.com/file/d/1bN3Tr06n1Hrjtk7NW58otN9wwoECNUzO/view" TargetMode="External"/><Relationship Id="rId212" Type="http://schemas.openxmlformats.org/officeDocument/2006/relationships/hyperlink" Target="https://drive.google.com/file/d/1q5Q3cROibczlDTgCzxyJlyfMJZ6kN-ie/view" TargetMode="External"/><Relationship Id="rId1045" Type="http://schemas.openxmlformats.org/officeDocument/2006/relationships/hyperlink" Target="https://drive.google.com/file/d/1S8nd3Y9KSYlS0eTx9LTKIYLshFt7WxEv/view" TargetMode="External"/><Relationship Id="rId2376" Type="http://schemas.openxmlformats.org/officeDocument/2006/relationships/hyperlink" Target="https://drive.google.com/file/d/1d--9VlZv4dRIduQBhyu1MplwVCGnXymV/view" TargetMode="External"/><Relationship Id="rId211" Type="http://schemas.openxmlformats.org/officeDocument/2006/relationships/hyperlink" Target="https://drive.google.com/file/d/1mKjiTr54joepq4UFLMBXrf2AL3upDY4e/view" TargetMode="External"/><Relationship Id="rId1046" Type="http://schemas.openxmlformats.org/officeDocument/2006/relationships/hyperlink" Target="https://drive.google.com/file/d/1H_ctJCo5A6HNDbzQSs6Mfv5NNb7teuXN/view" TargetMode="External"/><Relationship Id="rId2377" Type="http://schemas.openxmlformats.org/officeDocument/2006/relationships/hyperlink" Target="https://drive.google.com/file/d/1ziBViFYQNBsSZ4flle17favWcAJceLid/view" TargetMode="External"/><Relationship Id="rId210" Type="http://schemas.openxmlformats.org/officeDocument/2006/relationships/hyperlink" Target="https://drive.google.com/file/d/19GP5auiKGcI37NBZBNjZ_VUqEDWHFF_a/view" TargetMode="External"/><Relationship Id="rId1047" Type="http://schemas.openxmlformats.org/officeDocument/2006/relationships/hyperlink" Target="https://drive.google.com/file/d/1mxTEWWkl8jgP3tMf8cLfP_jrEXm093wB/view" TargetMode="External"/><Relationship Id="rId2378" Type="http://schemas.openxmlformats.org/officeDocument/2006/relationships/hyperlink" Target="https://drive.google.com/file/d/1UR01PEeaRJNC_yGAh-WmNMIvnDkYt3m5/view" TargetMode="External"/><Relationship Id="rId4107" Type="http://schemas.openxmlformats.org/officeDocument/2006/relationships/hyperlink" Target="https://drive.google.com/file/d/1kP9A2wNz2_mL_98bLzlYyZrC19gLdcfP/view" TargetMode="External"/><Relationship Id="rId4106" Type="http://schemas.openxmlformats.org/officeDocument/2006/relationships/hyperlink" Target="https://drive.google.com/file/d/1VG8TOCBETmyKTLzf9JiRNjKRtDULMvkk/view" TargetMode="External"/><Relationship Id="rId4109" Type="http://schemas.openxmlformats.org/officeDocument/2006/relationships/hyperlink" Target="https://drive.google.com/file/d/1jgs7pHLUJg7fkeqNZR8AY22oMajQ2axb/view" TargetMode="External"/><Relationship Id="rId4108" Type="http://schemas.openxmlformats.org/officeDocument/2006/relationships/hyperlink" Target="https://drive.google.com/file/d/1tRsLjQ-ZQ3-1JkL8MyklMkUg0tepdfve/view" TargetMode="External"/><Relationship Id="rId249" Type="http://schemas.openxmlformats.org/officeDocument/2006/relationships/hyperlink" Target="https://drive.google.com/file/d/1fKMCQViCu1Q8yc7BXECSK5heBiAF1kRI/view" TargetMode="External"/><Relationship Id="rId248" Type="http://schemas.openxmlformats.org/officeDocument/2006/relationships/hyperlink" Target="https://drive.google.com/file/d/1EAXE1VBDUGMus0o-L2MfDoDQNPvXy90Z/view" TargetMode="External"/><Relationship Id="rId247" Type="http://schemas.openxmlformats.org/officeDocument/2006/relationships/hyperlink" Target="https://drive.google.com/file/d/1rku1PWheoAx52sLycd-FaQOtdRnQuPYP/view" TargetMode="External"/><Relationship Id="rId1070" Type="http://schemas.openxmlformats.org/officeDocument/2006/relationships/hyperlink" Target="https://drive.google.com/file/d/14ch-S_0HjpR-lu2x5IDwiM4r-3YdEbS-/view" TargetMode="External"/><Relationship Id="rId1071" Type="http://schemas.openxmlformats.org/officeDocument/2006/relationships/hyperlink" Target="https://drive.google.com/file/d/1lqYVI8OgOg1yvRLSccwtSJc9uPtDT6Yk/view" TargetMode="External"/><Relationship Id="rId1072" Type="http://schemas.openxmlformats.org/officeDocument/2006/relationships/hyperlink" Target="https://drive.google.com/file/d/1VKn1p1jEQGB9iMXtep0GAhAtrwElr7ai/view" TargetMode="External"/><Relationship Id="rId242" Type="http://schemas.openxmlformats.org/officeDocument/2006/relationships/hyperlink" Target="https://drive.google.com/file/d/1EXlM9F2E-r812vVckXulH-sTs4QxPFKY/view" TargetMode="External"/><Relationship Id="rId1073" Type="http://schemas.openxmlformats.org/officeDocument/2006/relationships/hyperlink" Target="https://drive.google.com/file/d/1GyrvJEu5ORkmsVUSv_f9JBXvhP4RqouX/view" TargetMode="External"/><Relationship Id="rId241" Type="http://schemas.openxmlformats.org/officeDocument/2006/relationships/hyperlink" Target="https://drive.google.com/file/d/1ewKD_cELjExxVhnIc_ZVgn0dQDLPVNSI/view" TargetMode="External"/><Relationship Id="rId1074" Type="http://schemas.openxmlformats.org/officeDocument/2006/relationships/hyperlink" Target="https://drive.google.com/file/d/1bW3zF4Clxk2fa_cADIV1dH8WA8UkNxcs/view" TargetMode="External"/><Relationship Id="rId240" Type="http://schemas.openxmlformats.org/officeDocument/2006/relationships/hyperlink" Target="https://drive.google.com/file/d/1rku1PWheoAx52sLycd-FaQOtdRnQuPYP/view" TargetMode="External"/><Relationship Id="rId1075" Type="http://schemas.openxmlformats.org/officeDocument/2006/relationships/hyperlink" Target="https://drive.google.com/file/d/1sTsgKR-83hqAyiUexKOOaMY3ynqllXfV/view" TargetMode="External"/><Relationship Id="rId4101" Type="http://schemas.openxmlformats.org/officeDocument/2006/relationships/hyperlink" Target="https://drive.google.com/file/d/1iRNutKdArUJ_jXPdp3TkzzFqdZ5ryIbs/view" TargetMode="External"/><Relationship Id="rId1076" Type="http://schemas.openxmlformats.org/officeDocument/2006/relationships/hyperlink" Target="https://drive.google.com/file/d/1FQQn4O_4u8KkRX3qI9n8fjOXb15JNX-r/view" TargetMode="External"/><Relationship Id="rId4100" Type="http://schemas.openxmlformats.org/officeDocument/2006/relationships/hyperlink" Target="https://drive.google.com/file/d/1y19N5QI1lKv8Le07uF-pHrDodzIcdv6W/view" TargetMode="External"/><Relationship Id="rId246" Type="http://schemas.openxmlformats.org/officeDocument/2006/relationships/hyperlink" Target="https://drive.google.com/file/d/1t7ztFwJSIwJohFmWcgpPCxyUy93JbuAP/view" TargetMode="External"/><Relationship Id="rId1077" Type="http://schemas.openxmlformats.org/officeDocument/2006/relationships/hyperlink" Target="https://drive.google.com/file/d/14ch-S_0HjpR-lu2x5IDwiM4r-3YdEbS-/view" TargetMode="External"/><Relationship Id="rId4103" Type="http://schemas.openxmlformats.org/officeDocument/2006/relationships/hyperlink" Target="https://drive.google.com/file/d/1X6t0rnbcpeO9yPadWO94ZI09EJAYSTNQ/view" TargetMode="External"/><Relationship Id="rId245" Type="http://schemas.openxmlformats.org/officeDocument/2006/relationships/hyperlink" Target="https://drive.google.com/file/d/1gEj3HZPE1EpUcBDNQTuXwqe3oMSAhn7f/view" TargetMode="External"/><Relationship Id="rId1078" Type="http://schemas.openxmlformats.org/officeDocument/2006/relationships/hyperlink" Target="https://drive.google.com/file/d/1kHCHR-1FktvmUUmzB3sePjoraYATMIH8/view" TargetMode="External"/><Relationship Id="rId4102" Type="http://schemas.openxmlformats.org/officeDocument/2006/relationships/hyperlink" Target="https://drive.google.com/file/d/1l9QJ8XoN8N2vPGW9e1sxKYSTNPv_QTsC/view" TargetMode="External"/><Relationship Id="rId244" Type="http://schemas.openxmlformats.org/officeDocument/2006/relationships/hyperlink" Target="https://drive.google.com/file/d/1PMQDipd20HnXMQl5KSyuoIFhGK50JGqR/view" TargetMode="External"/><Relationship Id="rId1079" Type="http://schemas.openxmlformats.org/officeDocument/2006/relationships/hyperlink" Target="https://drive.google.com/file/d/1VpRche-JxicseDdnV8Mi7rUZ8ThPZDIU/view" TargetMode="External"/><Relationship Id="rId4105" Type="http://schemas.openxmlformats.org/officeDocument/2006/relationships/hyperlink" Target="https://drive.google.com/file/d/1gmjw91Oako3CNpXHuxMTEN0ze1l6ztnc/view" TargetMode="External"/><Relationship Id="rId243" Type="http://schemas.openxmlformats.org/officeDocument/2006/relationships/hyperlink" Target="https://drive.google.com/file/d/1CDw_MMbDjI-QaMkYk1rTtHHIX8JSMQ1U/view" TargetMode="External"/><Relationship Id="rId4104" Type="http://schemas.openxmlformats.org/officeDocument/2006/relationships/hyperlink" Target="https://drive.google.com/file/d/1W7xL2cQ9ER9dxUl4Szr7t0B8x18ixGnt/view" TargetMode="External"/><Relationship Id="rId239" Type="http://schemas.openxmlformats.org/officeDocument/2006/relationships/hyperlink" Target="https://drive.google.com/file/d/1t7ztFwJSIwJohFmWcgpPCxyUy93JbuAP/view" TargetMode="External"/><Relationship Id="rId238" Type="http://schemas.openxmlformats.org/officeDocument/2006/relationships/hyperlink" Target="https://drive.google.com/file/d/1gEj3HZPE1EpUcBDNQTuXwqe3oMSAhn7f/view" TargetMode="External"/><Relationship Id="rId237" Type="http://schemas.openxmlformats.org/officeDocument/2006/relationships/hyperlink" Target="https://drive.google.com/file/d/1PMQDipd20HnXMQl5KSyuoIFhGK50JGqR/view" TargetMode="External"/><Relationship Id="rId236" Type="http://schemas.openxmlformats.org/officeDocument/2006/relationships/hyperlink" Target="https://drive.google.com/file/d/1CDw_MMbDjI-QaMkYk1rTtHHIX8JSMQ1U/view" TargetMode="External"/><Relationship Id="rId2390" Type="http://schemas.openxmlformats.org/officeDocument/2006/relationships/hyperlink" Target="https://drive.google.com/file/d/1d--9VlZv4dRIduQBhyu1MplwVCGnXymV/view" TargetMode="External"/><Relationship Id="rId1060" Type="http://schemas.openxmlformats.org/officeDocument/2006/relationships/hyperlink" Target="https://drive.google.com/file/d/1bW3zF4Clxk2fa_cADIV1dH8WA8UkNxcs/view" TargetMode="External"/><Relationship Id="rId2391" Type="http://schemas.openxmlformats.org/officeDocument/2006/relationships/hyperlink" Target="https://drive.google.com/file/d/1XJPUpnDR6lMZU2q9w5YJVIt46OpUbPHG/view" TargetMode="External"/><Relationship Id="rId1061" Type="http://schemas.openxmlformats.org/officeDocument/2006/relationships/hyperlink" Target="https://drive.google.com/file/d/1sTsgKR-83hqAyiUexKOOaMY3ynqllXfV/view" TargetMode="External"/><Relationship Id="rId2392" Type="http://schemas.openxmlformats.org/officeDocument/2006/relationships/hyperlink" Target="https://drive.google.com/file/d/1zTxWDSP5-bh7CDCs_CrQZtjrWlZTIsPq/view" TargetMode="External"/><Relationship Id="rId231" Type="http://schemas.openxmlformats.org/officeDocument/2006/relationships/hyperlink" Target="https://drive.google.com/file/d/1gEj3HZPE1EpUcBDNQTuXwqe3oMSAhn7f/view" TargetMode="External"/><Relationship Id="rId1062" Type="http://schemas.openxmlformats.org/officeDocument/2006/relationships/hyperlink" Target="https://drive.google.com/file/d/1FQQn4O_4u8KkRX3qI9n8fjOXb15JNX-r/view" TargetMode="External"/><Relationship Id="rId2393" Type="http://schemas.openxmlformats.org/officeDocument/2006/relationships/hyperlink" Target="https://drive.google.com/file/d/1VknKFpYLV5YxrdTZjxIout7Yc4BFhIxf/view" TargetMode="External"/><Relationship Id="rId230" Type="http://schemas.openxmlformats.org/officeDocument/2006/relationships/hyperlink" Target="https://drive.google.com/file/d/1PMQDipd20HnXMQl5KSyuoIFhGK50JGqR/view" TargetMode="External"/><Relationship Id="rId1063" Type="http://schemas.openxmlformats.org/officeDocument/2006/relationships/hyperlink" Target="https://drive.google.com/file/d/14ch-S_0HjpR-lu2x5IDwiM4r-3YdEbS-/view" TargetMode="External"/><Relationship Id="rId2394" Type="http://schemas.openxmlformats.org/officeDocument/2006/relationships/hyperlink" Target="https://drive.google.com/file/d/1cydBOPzld269rDhfvSWoX1FRMOyIm3DM/view" TargetMode="External"/><Relationship Id="rId1064" Type="http://schemas.openxmlformats.org/officeDocument/2006/relationships/hyperlink" Target="https://drive.google.com/file/d/1lDeA4FdzGAhBOMWXJ51RrKMO8dk1eIpA/view" TargetMode="External"/><Relationship Id="rId2395" Type="http://schemas.openxmlformats.org/officeDocument/2006/relationships/hyperlink" Target="https://drive.google.com/file/d/1UmfrWCAmhbtEJ6NnVfvIBmFUXBJztKqW/view" TargetMode="External"/><Relationship Id="rId1065" Type="http://schemas.openxmlformats.org/officeDocument/2006/relationships/hyperlink" Target="https://drive.google.com/file/d/1vlcqXHqfmwXq7XrXDYq5IyjeselYGPMO/view" TargetMode="External"/><Relationship Id="rId2396" Type="http://schemas.openxmlformats.org/officeDocument/2006/relationships/hyperlink" Target="https://drive.google.com/file/d/1wNl-cB-AjR6F2UUgJIHP6VScuRhf6al5/view" TargetMode="External"/><Relationship Id="rId235" Type="http://schemas.openxmlformats.org/officeDocument/2006/relationships/hyperlink" Target="https://drive.google.com/file/d/1cj-XRYE_0DgIhNg6rf5b68SblpsIjVCS/view" TargetMode="External"/><Relationship Id="rId1066" Type="http://schemas.openxmlformats.org/officeDocument/2006/relationships/hyperlink" Target="https://drive.google.com/file/d/1GyrvJEu5ORkmsVUSv_f9JBXvhP4RqouX/view" TargetMode="External"/><Relationship Id="rId2397" Type="http://schemas.openxmlformats.org/officeDocument/2006/relationships/hyperlink" Target="https://drive.google.com/file/d/1d--9VlZv4dRIduQBhyu1MplwVCGnXymV/view" TargetMode="External"/><Relationship Id="rId234" Type="http://schemas.openxmlformats.org/officeDocument/2006/relationships/hyperlink" Target="https://drive.google.com/file/d/1vsoFaCLZX2__5xgXXE7mvKFCX_fB3byS/view" TargetMode="External"/><Relationship Id="rId1067" Type="http://schemas.openxmlformats.org/officeDocument/2006/relationships/hyperlink" Target="https://drive.google.com/file/d/1bW3zF4Clxk2fa_cADIV1dH8WA8UkNxcs/view" TargetMode="External"/><Relationship Id="rId2398" Type="http://schemas.openxmlformats.org/officeDocument/2006/relationships/hyperlink" Target="https://drive.google.com/file/d/11PLLs4ZSdQo11NXo7PcQZgsoGHhLHIDL/view" TargetMode="External"/><Relationship Id="rId233" Type="http://schemas.openxmlformats.org/officeDocument/2006/relationships/hyperlink" Target="https://drive.google.com/file/d/1rku1PWheoAx52sLycd-FaQOtdRnQuPYP/view" TargetMode="External"/><Relationship Id="rId1068" Type="http://schemas.openxmlformats.org/officeDocument/2006/relationships/hyperlink" Target="https://drive.google.com/file/d/1sTsgKR-83hqAyiUexKOOaMY3ynqllXfV/view" TargetMode="External"/><Relationship Id="rId2399" Type="http://schemas.openxmlformats.org/officeDocument/2006/relationships/hyperlink" Target="https://drive.google.com/file/d/1qco6hLOy35lWoAYShoaS7AXeMRiX9SY8/view" TargetMode="External"/><Relationship Id="rId232" Type="http://schemas.openxmlformats.org/officeDocument/2006/relationships/hyperlink" Target="https://drive.google.com/file/d/1t7ztFwJSIwJohFmWcgpPCxyUy93JbuAP/view" TargetMode="External"/><Relationship Id="rId1069" Type="http://schemas.openxmlformats.org/officeDocument/2006/relationships/hyperlink" Target="https://drive.google.com/file/d/1FQQn4O_4u8KkRX3qI9n8fjOXb15JNX-r/view" TargetMode="External"/><Relationship Id="rId1015" Type="http://schemas.openxmlformats.org/officeDocument/2006/relationships/hyperlink" Target="https://drive.google.com/file/d/1KOzHbkUQJEvz7jLXTOlsWVkGwruvBYIl/view" TargetMode="External"/><Relationship Id="rId2346" Type="http://schemas.openxmlformats.org/officeDocument/2006/relationships/hyperlink" Target="https://drive.google.com/file/d/1U1BQe55v8IT3UPu052k2GZG3pWo0Nmyd/view" TargetMode="External"/><Relationship Id="rId3678" Type="http://schemas.openxmlformats.org/officeDocument/2006/relationships/hyperlink" Target="https://drive.google.com/file/d/1nhSfz9780FfiWO3eOM5k2fpaD0eYwxum/view" TargetMode="External"/><Relationship Id="rId1016" Type="http://schemas.openxmlformats.org/officeDocument/2006/relationships/hyperlink" Target="https://drive.google.com/file/d/1dP3Fms6kbcJNX4YG11-AwEXzw1eVUHSZ/view" TargetMode="External"/><Relationship Id="rId2347" Type="http://schemas.openxmlformats.org/officeDocument/2006/relationships/hyperlink" Target="https://drive.google.com/file/d/1Xn3yM7X8kc1aFSHWBHfjAHQjReHeA1Df/view" TargetMode="External"/><Relationship Id="rId3677" Type="http://schemas.openxmlformats.org/officeDocument/2006/relationships/hyperlink" Target="https://drive.google.com/file/d/1UE7_hVsG2sG99d6RI1rRdyLdpuT6jqny/view" TargetMode="External"/><Relationship Id="rId1017" Type="http://schemas.openxmlformats.org/officeDocument/2006/relationships/hyperlink" Target="https://drive.google.com/file/d/1AzoZnJtKQPCje5ge3zsKHNc7I0domjbz/view" TargetMode="External"/><Relationship Id="rId2348" Type="http://schemas.openxmlformats.org/officeDocument/2006/relationships/hyperlink" Target="https://drive.google.com/file/d/18P_F7zlb_wJJUMNJNfnRxoOl1xjkBls3/view" TargetMode="External"/><Relationship Id="rId1018" Type="http://schemas.openxmlformats.org/officeDocument/2006/relationships/hyperlink" Target="https://drive.google.com/file/d/10G2AAa0266tlwBZhOxHYCt5qDdAaNFbP/view" TargetMode="External"/><Relationship Id="rId2349" Type="http://schemas.openxmlformats.org/officeDocument/2006/relationships/hyperlink" Target="https://drive.google.com/file/d/183FlP5N3kcenBcD-T12R6B5jSRoWNNMj/view" TargetMode="External"/><Relationship Id="rId3679" Type="http://schemas.openxmlformats.org/officeDocument/2006/relationships/hyperlink" Target="https://drive.google.com/file/d/1KKb1mixBu7zA9NWlqeki_-uAi7UTUpg2/view" TargetMode="External"/><Relationship Id="rId1019" Type="http://schemas.openxmlformats.org/officeDocument/2006/relationships/hyperlink" Target="https://drive.google.com/file/d/1t_AgeCOFUXK3YltUKTB0HtZCdEL6GGUT/view" TargetMode="External"/><Relationship Id="rId3670" Type="http://schemas.openxmlformats.org/officeDocument/2006/relationships/hyperlink" Target="https://drive.google.com/file/d/1etAB6azXBsheeqPBpFJ7u0a6xSVGd5BW/view" TargetMode="External"/><Relationship Id="rId2340" Type="http://schemas.openxmlformats.org/officeDocument/2006/relationships/hyperlink" Target="https://drive.google.com/file/d/1xUJOHc_Dp6J9XWIfz80Ysx2Ousha7ei9/view" TargetMode="External"/><Relationship Id="rId3672" Type="http://schemas.openxmlformats.org/officeDocument/2006/relationships/hyperlink" Target="https://drive.google.com/file/d/1gGLmOwEhLqaZ6xenb_H1CeI6wcePcP3R/view" TargetMode="External"/><Relationship Id="rId1010" Type="http://schemas.openxmlformats.org/officeDocument/2006/relationships/hyperlink" Target="https://drive.google.com/file/d/1KOzHbkUQJEvz7jLXTOlsWVkGwruvBYIl/view" TargetMode="External"/><Relationship Id="rId2341" Type="http://schemas.openxmlformats.org/officeDocument/2006/relationships/hyperlink" Target="https://drive.google.com/file/d/1-e5Yzl6AS7QozR3h_J030KU0942jcew7/view" TargetMode="External"/><Relationship Id="rId3671" Type="http://schemas.openxmlformats.org/officeDocument/2006/relationships/hyperlink" Target="https://drive.google.com/file/d/1nZO5kQJa_cAtXBtcwvVL1NRXwiNwsE4M/view" TargetMode="External"/><Relationship Id="rId1011" Type="http://schemas.openxmlformats.org/officeDocument/2006/relationships/hyperlink" Target="https://drive.google.com/file/d/1dP3Fms6kbcJNX4YG11-AwEXzw1eVUHSZ/view" TargetMode="External"/><Relationship Id="rId2342" Type="http://schemas.openxmlformats.org/officeDocument/2006/relationships/hyperlink" Target="https://drive.google.com/file/d/183FlP5N3kcenBcD-T12R6B5jSRoWNNMj/view" TargetMode="External"/><Relationship Id="rId3674" Type="http://schemas.openxmlformats.org/officeDocument/2006/relationships/hyperlink" Target="https://drive.google.com/file/d/1KKb1mixBu7zA9NWlqeki_-uAi7UTUpg2/view" TargetMode="External"/><Relationship Id="rId1012" Type="http://schemas.openxmlformats.org/officeDocument/2006/relationships/hyperlink" Target="https://drive.google.com/file/d/1AzoZnJtKQPCje5ge3zsKHNc7I0domjbz/view" TargetMode="External"/><Relationship Id="rId2343" Type="http://schemas.openxmlformats.org/officeDocument/2006/relationships/hyperlink" Target="https://drive.google.com/file/d/1EV2I6m72yn4wsNqia-vvRe4YiF9CcL13/view" TargetMode="External"/><Relationship Id="rId3673" Type="http://schemas.openxmlformats.org/officeDocument/2006/relationships/hyperlink" Target="https://drive.google.com/file/d/1nhSfz9780FfiWO3eOM5k2fpaD0eYwxum/view" TargetMode="External"/><Relationship Id="rId1013" Type="http://schemas.openxmlformats.org/officeDocument/2006/relationships/hyperlink" Target="https://drive.google.com/file/d/10G2AAa0266tlwBZhOxHYCt5qDdAaNFbP/view" TargetMode="External"/><Relationship Id="rId2344" Type="http://schemas.openxmlformats.org/officeDocument/2006/relationships/hyperlink" Target="https://drive.google.com/file/d/1C_DCxxIpuguAM1L8tF_3IURTNS4Xtz1S/view" TargetMode="External"/><Relationship Id="rId3676" Type="http://schemas.openxmlformats.org/officeDocument/2006/relationships/hyperlink" Target="https://drive.google.com/file/d/1i6-sFMf2xpI1oMLPwd2MbnJnhgadXUWj/view" TargetMode="External"/><Relationship Id="rId1014" Type="http://schemas.openxmlformats.org/officeDocument/2006/relationships/hyperlink" Target="https://drive.google.com/file/d/1t95m1D424GzetSEEY4rxGVD8sVT-0G3E/view" TargetMode="External"/><Relationship Id="rId2345" Type="http://schemas.openxmlformats.org/officeDocument/2006/relationships/hyperlink" Target="https://drive.google.com/file/d/1wqcU7yAyVIENZ4mZcs_-ze-JXwCYG5Hw/view" TargetMode="External"/><Relationship Id="rId3675" Type="http://schemas.openxmlformats.org/officeDocument/2006/relationships/hyperlink" Target="https://drive.google.com/file/d/1kq6rxkSqkCNqQnOo0LbvmMQ27s66e1dS/view" TargetMode="External"/><Relationship Id="rId1004" Type="http://schemas.openxmlformats.org/officeDocument/2006/relationships/hyperlink" Target="https://drive.google.com/file/d/1mBL0Kg8-1X1DH68YFJamh-nVUCR6vmeg/view" TargetMode="External"/><Relationship Id="rId2335" Type="http://schemas.openxmlformats.org/officeDocument/2006/relationships/hyperlink" Target="https://drive.google.com/file/d/1gkX_m7XTEQOPfA0AofB0uvrbGChsLCHD/view" TargetMode="External"/><Relationship Id="rId3667" Type="http://schemas.openxmlformats.org/officeDocument/2006/relationships/hyperlink" Target="https://drive.google.com/file/d/1nZO5kQJa_cAtXBtcwvVL1NRXwiNwsE4M/view" TargetMode="External"/><Relationship Id="rId1005" Type="http://schemas.openxmlformats.org/officeDocument/2006/relationships/hyperlink" Target="https://drive.google.com/file/d/1v_xxiThCTzV29IxBia2syal9ASI8Eti_/view" TargetMode="External"/><Relationship Id="rId2336" Type="http://schemas.openxmlformats.org/officeDocument/2006/relationships/hyperlink" Target="https://drive.google.com/file/d/1U2NxkW3H2kyDTDwOcK2ruEm7MmrD82ME/view" TargetMode="External"/><Relationship Id="rId3666" Type="http://schemas.openxmlformats.org/officeDocument/2006/relationships/hyperlink" Target="https://drive.google.com/file/d/1TFva6eFItEV19aaSBksn2QTfkvxzTgGT/view" TargetMode="External"/><Relationship Id="rId1006" Type="http://schemas.openxmlformats.org/officeDocument/2006/relationships/hyperlink" Target="https://drive.google.com/file/d/1AgEsliDCxSMfJ9j7naE3akDn-vH9w77w/view" TargetMode="External"/><Relationship Id="rId2337" Type="http://schemas.openxmlformats.org/officeDocument/2006/relationships/hyperlink" Target="https://drive.google.com/file/d/1DAzVL_JXAHGMRFSYFsqqhgFPWPJwZUw0/view" TargetMode="External"/><Relationship Id="rId3669" Type="http://schemas.openxmlformats.org/officeDocument/2006/relationships/hyperlink" Target="https://drive.google.com/file/d/1-vx2PRjM29X9z2oAC6F0VGCvZ3sU3Kve/view" TargetMode="External"/><Relationship Id="rId1007" Type="http://schemas.openxmlformats.org/officeDocument/2006/relationships/hyperlink" Target="https://drive.google.com/file/d/1krIPjML9PLP0ZTE7Rn95oOGIeZ-BLBIj/view" TargetMode="External"/><Relationship Id="rId2338" Type="http://schemas.openxmlformats.org/officeDocument/2006/relationships/hyperlink" Target="https://drive.google.com/file/d/1mCJR96qWWdIphFukZzXKTcR7W9yWsaan/view" TargetMode="External"/><Relationship Id="rId3668" Type="http://schemas.openxmlformats.org/officeDocument/2006/relationships/hyperlink" Target="https://drive.google.com/file/d/1gGLmOwEhLqaZ6xenb_H1CeI6wcePcP3R/view" TargetMode="External"/><Relationship Id="rId1008" Type="http://schemas.openxmlformats.org/officeDocument/2006/relationships/hyperlink" Target="https://drive.google.com/file/d/1JQo8jjVkN2YONaR3N1gUOglnM1MVSDA8/view" TargetMode="External"/><Relationship Id="rId2339" Type="http://schemas.openxmlformats.org/officeDocument/2006/relationships/hyperlink" Target="https://drive.google.com/file/d/1SWsP_tb3Ny7lOezryWGaoI7aaAGwvULN/view" TargetMode="External"/><Relationship Id="rId1009" Type="http://schemas.openxmlformats.org/officeDocument/2006/relationships/hyperlink" Target="https://drive.google.com/file/d/1t95m1D424GzetSEEY4rxGVD8sVT-0G3E/view" TargetMode="External"/><Relationship Id="rId3661" Type="http://schemas.openxmlformats.org/officeDocument/2006/relationships/hyperlink" Target="https://drive.google.com/file/d/136uWU6sViQ8vAcCZXwWpy43FROWR6byT/view" TargetMode="External"/><Relationship Id="rId2330" Type="http://schemas.openxmlformats.org/officeDocument/2006/relationships/hyperlink" Target="https://drive.google.com/file/d/1DAzVL_JXAHGMRFSYFsqqhgFPWPJwZUw0/view" TargetMode="External"/><Relationship Id="rId3660" Type="http://schemas.openxmlformats.org/officeDocument/2006/relationships/hyperlink" Target="https://drive.google.com/file/d/1x5UTseANgzxgayDSG3hWHi_ktPGYs15M/view" TargetMode="External"/><Relationship Id="rId1000" Type="http://schemas.openxmlformats.org/officeDocument/2006/relationships/hyperlink" Target="https://drive.google.com/file/d/1krIPjML9PLP0ZTE7Rn95oOGIeZ-BLBIj/view" TargetMode="External"/><Relationship Id="rId2331" Type="http://schemas.openxmlformats.org/officeDocument/2006/relationships/hyperlink" Target="https://drive.google.com/file/d/1mCJR96qWWdIphFukZzXKTcR7W9yWsaan/view" TargetMode="External"/><Relationship Id="rId3663" Type="http://schemas.openxmlformats.org/officeDocument/2006/relationships/hyperlink" Target="https://drive.google.com/file/d/1gGLmOwEhLqaZ6xenb_H1CeI6wcePcP3R/view" TargetMode="External"/><Relationship Id="rId1001" Type="http://schemas.openxmlformats.org/officeDocument/2006/relationships/hyperlink" Target="https://drive.google.com/file/d/1JQo8jjVkN2YONaR3N1gUOglnM1MVSDA8/view" TargetMode="External"/><Relationship Id="rId2332" Type="http://schemas.openxmlformats.org/officeDocument/2006/relationships/hyperlink" Target="https://drive.google.com/file/d/1SWsP_tb3Ny7lOezryWGaoI7aaAGwvULN/view" TargetMode="External"/><Relationship Id="rId3662" Type="http://schemas.openxmlformats.org/officeDocument/2006/relationships/hyperlink" Target="https://drive.google.com/file/d/1nZO5kQJa_cAtXBtcwvVL1NRXwiNwsE4M/view" TargetMode="External"/><Relationship Id="rId1002" Type="http://schemas.openxmlformats.org/officeDocument/2006/relationships/hyperlink" Target="https://drive.google.com/file/d/1JDTs8IIZcKRRYCv61cypaF2vy9bfVEVD/view" TargetMode="External"/><Relationship Id="rId2333" Type="http://schemas.openxmlformats.org/officeDocument/2006/relationships/hyperlink" Target="https://drive.google.com/file/d/1xUJOHc_Dp6J9XWIfz80Ysx2Ousha7ei9/view" TargetMode="External"/><Relationship Id="rId3665" Type="http://schemas.openxmlformats.org/officeDocument/2006/relationships/hyperlink" Target="https://drive.google.com/file/d/1pY8MTdKEQHx088CsGx8Sw0rBVvG4D5F0/view" TargetMode="External"/><Relationship Id="rId1003" Type="http://schemas.openxmlformats.org/officeDocument/2006/relationships/hyperlink" Target="https://drive.google.com/file/d/1VpqGQEtkjUH4o1VuawXxqBzzCEIJ5qrq/view" TargetMode="External"/><Relationship Id="rId2334" Type="http://schemas.openxmlformats.org/officeDocument/2006/relationships/hyperlink" Target="https://drive.google.com/file/d/1-e5Yzl6AS7QozR3h_J030KU0942jcew7/view" TargetMode="External"/><Relationship Id="rId3664" Type="http://schemas.openxmlformats.org/officeDocument/2006/relationships/hyperlink" Target="https://drive.google.com/file/d/1lQljI6NVQsXMGhCJ2cCooqjo57Scd1wY/view" TargetMode="External"/><Relationship Id="rId1037" Type="http://schemas.openxmlformats.org/officeDocument/2006/relationships/hyperlink" Target="https://drive.google.com/file/d/1ZA83Xy6djoSUcY9fhGU25LzzIo19xqyV/view" TargetMode="External"/><Relationship Id="rId2368" Type="http://schemas.openxmlformats.org/officeDocument/2006/relationships/hyperlink" Target="https://drive.google.com/file/d/1bN3Tr06n1Hrjtk7NW58otN9wwoECNUzO/view" TargetMode="External"/><Relationship Id="rId1038" Type="http://schemas.openxmlformats.org/officeDocument/2006/relationships/hyperlink" Target="https://drive.google.com/file/d/1OOmlxQ8Nxhd8fhhy0OamGOv8OWOvLrMo/view" TargetMode="External"/><Relationship Id="rId2369" Type="http://schemas.openxmlformats.org/officeDocument/2006/relationships/hyperlink" Target="https://drive.google.com/file/d/1d--9VlZv4dRIduQBhyu1MplwVCGnXymV/view" TargetMode="External"/><Relationship Id="rId3699" Type="http://schemas.openxmlformats.org/officeDocument/2006/relationships/hyperlink" Target="https://drive.google.com/file/d/1kq6rxkSqkCNqQnOo0LbvmMQ27s66e1dS/view" TargetMode="External"/><Relationship Id="rId1039" Type="http://schemas.openxmlformats.org/officeDocument/2006/relationships/hyperlink" Target="https://drive.google.com/file/d/1uDLdh317HIbR1Dmer17cg4CQYByTo6BM/view" TargetMode="External"/><Relationship Id="rId206" Type="http://schemas.openxmlformats.org/officeDocument/2006/relationships/hyperlink" Target="https://drive.google.com/file/d/1qnlSPo9TU0ZTLXF7NOFpEmqLTWf_KQWo/view" TargetMode="External"/><Relationship Id="rId205" Type="http://schemas.openxmlformats.org/officeDocument/2006/relationships/hyperlink" Target="https://drive.google.com/file/d/1NqJv8M2Z29y1E8fvJEGjU5chuEwvpZwU/view" TargetMode="External"/><Relationship Id="rId204" Type="http://schemas.openxmlformats.org/officeDocument/2006/relationships/hyperlink" Target="https://drive.google.com/file/d/1P3pS-2kzNtOoPOcTBsl-l--_qOlVlmrO/view" TargetMode="External"/><Relationship Id="rId203" Type="http://schemas.openxmlformats.org/officeDocument/2006/relationships/hyperlink" Target="https://drive.google.com/file/d/11JiqisaIGOxGnQDNX36DkbbAn2S4gSQj/view" TargetMode="External"/><Relationship Id="rId209" Type="http://schemas.openxmlformats.org/officeDocument/2006/relationships/hyperlink" Target="https://drive.google.com/file/d/1zgbl3sRy2C5e022VXATVEeMKxyOJ37q4/view" TargetMode="External"/><Relationship Id="rId208" Type="http://schemas.openxmlformats.org/officeDocument/2006/relationships/hyperlink" Target="https://drive.google.com/file/d/1vhs5O3nJda4-SWmCi8znFiFeM-MDciaw/view" TargetMode="External"/><Relationship Id="rId3690" Type="http://schemas.openxmlformats.org/officeDocument/2006/relationships/hyperlink" Target="https://drive.google.com/file/d/1kq6rxkSqkCNqQnOo0LbvmMQ27s66e1dS/view" TargetMode="External"/><Relationship Id="rId207" Type="http://schemas.openxmlformats.org/officeDocument/2006/relationships/hyperlink" Target="https://drive.google.com/file/d/1ibWtQPD06zaIoz27hJGTK5MM6nLUxi_z/view" TargetMode="External"/><Relationship Id="rId2360" Type="http://schemas.openxmlformats.org/officeDocument/2006/relationships/hyperlink" Target="https://drive.google.com/file/d/1etVdylVSQsM1zjrTIausRaMe14q36Y0o/view" TargetMode="External"/><Relationship Id="rId3692" Type="http://schemas.openxmlformats.org/officeDocument/2006/relationships/hyperlink" Target="https://drive.google.com/file/d/1UE7_hVsG2sG99d6RI1rRdyLdpuT6jqny/view" TargetMode="External"/><Relationship Id="rId1030" Type="http://schemas.openxmlformats.org/officeDocument/2006/relationships/hyperlink" Target="https://drive.google.com/file/d/1L_52GzA-kP2VLMNv7op5sjis_ZoTAiPp/view" TargetMode="External"/><Relationship Id="rId2361" Type="http://schemas.openxmlformats.org/officeDocument/2006/relationships/hyperlink" Target="https://drive.google.com/file/d/1bN3Tr06n1Hrjtk7NW58otN9wwoECNUzO/view" TargetMode="External"/><Relationship Id="rId3691" Type="http://schemas.openxmlformats.org/officeDocument/2006/relationships/hyperlink" Target="https://drive.google.com/file/d/1i6-sFMf2xpI1oMLPwd2MbnJnhgadXUWj/view" TargetMode="External"/><Relationship Id="rId1031" Type="http://schemas.openxmlformats.org/officeDocument/2006/relationships/hyperlink" Target="https://drive.google.com/file/d/1dM3duQCRkUAgI4gHfL0Tvs_nSxq6MDPH/view" TargetMode="External"/><Relationship Id="rId2362" Type="http://schemas.openxmlformats.org/officeDocument/2006/relationships/hyperlink" Target="https://drive.google.com/file/d/1d--9VlZv4dRIduQBhyu1MplwVCGnXymV/view" TargetMode="External"/><Relationship Id="rId3694" Type="http://schemas.openxmlformats.org/officeDocument/2006/relationships/hyperlink" Target="https://drive.google.com/file/d/1uPJXTfbq0VV-bPs2Q1UvYyUbx2KfOOHJ/view" TargetMode="External"/><Relationship Id="rId1032" Type="http://schemas.openxmlformats.org/officeDocument/2006/relationships/hyperlink" Target="https://drive.google.com/file/d/1ZA83Xy6djoSUcY9fhGU25LzzIo19xqyV/view" TargetMode="External"/><Relationship Id="rId2363" Type="http://schemas.openxmlformats.org/officeDocument/2006/relationships/hyperlink" Target="https://drive.google.com/file/d/1pWRN7Ft3GTuLNziY2YnEwjvMxxomOd0p/view" TargetMode="External"/><Relationship Id="rId3693" Type="http://schemas.openxmlformats.org/officeDocument/2006/relationships/hyperlink" Target="https://drive.google.com/file/d/1ORSOUuhB7qI6MYC-yrdxbvX8jcM03Ub5/view" TargetMode="External"/><Relationship Id="rId202" Type="http://schemas.openxmlformats.org/officeDocument/2006/relationships/hyperlink" Target="https://drive.google.com/file/d/12klxxq7shdHpszktSRjHUPmJQFWqwJ4y/view" TargetMode="External"/><Relationship Id="rId1033" Type="http://schemas.openxmlformats.org/officeDocument/2006/relationships/hyperlink" Target="https://drive.google.com/file/d/1OOmlxQ8Nxhd8fhhy0OamGOv8OWOvLrMo/view" TargetMode="External"/><Relationship Id="rId2364" Type="http://schemas.openxmlformats.org/officeDocument/2006/relationships/hyperlink" Target="https://drive.google.com/file/d/1bXsAIb-4F8CBfzBXOvt3BlpBIw89Fypx/view" TargetMode="External"/><Relationship Id="rId3696" Type="http://schemas.openxmlformats.org/officeDocument/2006/relationships/hyperlink" Target="https://drive.google.com/file/d/1i6-sFMf2xpI1oMLPwd2MbnJnhgadXUWj/view" TargetMode="External"/><Relationship Id="rId201" Type="http://schemas.openxmlformats.org/officeDocument/2006/relationships/hyperlink" Target="https://drive.google.com/file/d/1nOl5isYWuVNbr-CSqHTkC0tATMcVmUZq/view" TargetMode="External"/><Relationship Id="rId1034" Type="http://schemas.openxmlformats.org/officeDocument/2006/relationships/hyperlink" Target="https://drive.google.com/file/d/1EGs9MiloxztHH-fhdh6RnEZRZLAFnS2J/view" TargetMode="External"/><Relationship Id="rId2365" Type="http://schemas.openxmlformats.org/officeDocument/2006/relationships/hyperlink" Target="https://drive.google.com/file/d/1VknKFpYLV5YxrdTZjxIout7Yc4BFhIxf/view" TargetMode="External"/><Relationship Id="rId3695" Type="http://schemas.openxmlformats.org/officeDocument/2006/relationships/hyperlink" Target="https://drive.google.com/file/d/1kq6rxkSqkCNqQnOo0LbvmMQ27s66e1dS/view" TargetMode="External"/><Relationship Id="rId200" Type="http://schemas.openxmlformats.org/officeDocument/2006/relationships/hyperlink" Target="https://drive.google.com/file/d/1fOVAFaj08rg9e5ap2rfrcaOhXs1e_OjP/view" TargetMode="External"/><Relationship Id="rId1035" Type="http://schemas.openxmlformats.org/officeDocument/2006/relationships/hyperlink" Target="https://drive.google.com/file/d/1nOSE1aCblMFAaHZ1aB3_QVwZHP3NNMEC/view" TargetMode="External"/><Relationship Id="rId2366" Type="http://schemas.openxmlformats.org/officeDocument/2006/relationships/hyperlink" Target="https://drive.google.com/file/d/1cydBOPzld269rDhfvSWoX1FRMOyIm3DM/view" TargetMode="External"/><Relationship Id="rId3698" Type="http://schemas.openxmlformats.org/officeDocument/2006/relationships/hyperlink" Target="https://drive.google.com/file/d/1ncyS6EX-lDbPyoGNbSlsArpVwMfiiwyz/view" TargetMode="External"/><Relationship Id="rId1036" Type="http://schemas.openxmlformats.org/officeDocument/2006/relationships/hyperlink" Target="https://drive.google.com/file/d/1dM3duQCRkUAgI4gHfL0Tvs_nSxq6MDPH/view" TargetMode="External"/><Relationship Id="rId2367" Type="http://schemas.openxmlformats.org/officeDocument/2006/relationships/hyperlink" Target="https://drive.google.com/file/d/1etVdylVSQsM1zjrTIausRaMe14q36Y0o/view" TargetMode="External"/><Relationship Id="rId3697" Type="http://schemas.openxmlformats.org/officeDocument/2006/relationships/hyperlink" Target="https://drive.google.com/file/d/16g8MmVVSNFyydK8zcoMcGYCrFJw3F6aT/view" TargetMode="External"/><Relationship Id="rId1026" Type="http://schemas.openxmlformats.org/officeDocument/2006/relationships/hyperlink" Target="https://drive.google.com/file/d/1dM3duQCRkUAgI4gHfL0Tvs_nSxq6MDPH/view" TargetMode="External"/><Relationship Id="rId2357" Type="http://schemas.openxmlformats.org/officeDocument/2006/relationships/hyperlink" Target="https://drive.google.com/file/d/1bXsAIb-4F8CBfzBXOvt3BlpBIw89Fypx/view" TargetMode="External"/><Relationship Id="rId3689" Type="http://schemas.openxmlformats.org/officeDocument/2006/relationships/hyperlink" Target="https://drive.google.com/file/d/1Z0NoqH5f7dRld5PM2DCxfI8L5kK9Cibq/view" TargetMode="External"/><Relationship Id="rId1027" Type="http://schemas.openxmlformats.org/officeDocument/2006/relationships/hyperlink" Target="https://drive.google.com/file/d/1ZA83Xy6djoSUcY9fhGU25LzzIo19xqyV/view" TargetMode="External"/><Relationship Id="rId2358" Type="http://schemas.openxmlformats.org/officeDocument/2006/relationships/hyperlink" Target="https://drive.google.com/file/d/1VknKFpYLV5YxrdTZjxIout7Yc4BFhIxf/view" TargetMode="External"/><Relationship Id="rId3688" Type="http://schemas.openxmlformats.org/officeDocument/2006/relationships/hyperlink" Target="https://drive.google.com/file/d/1xFk2R-V5FxO08LmyBPTnY7TL6FumGSTx/view" TargetMode="External"/><Relationship Id="rId1028" Type="http://schemas.openxmlformats.org/officeDocument/2006/relationships/hyperlink" Target="https://drive.google.com/file/d/1OOmlxQ8Nxhd8fhhy0OamGOv8OWOvLrMo/view" TargetMode="External"/><Relationship Id="rId2359" Type="http://schemas.openxmlformats.org/officeDocument/2006/relationships/hyperlink" Target="https://drive.google.com/file/d/1cydBOPzld269rDhfvSWoX1FRMOyIm3DM/view" TargetMode="External"/><Relationship Id="rId1029" Type="http://schemas.openxmlformats.org/officeDocument/2006/relationships/hyperlink" Target="https://drive.google.com/file/d/17Sh3mlCDgAqg7_6xCdkZJ4uy7MxbYjQ6/view" TargetMode="External"/><Relationship Id="rId3681" Type="http://schemas.openxmlformats.org/officeDocument/2006/relationships/hyperlink" Target="https://drive.google.com/file/d/1i6-sFMf2xpI1oMLPwd2MbnJnhgadXUWj/view" TargetMode="External"/><Relationship Id="rId2350" Type="http://schemas.openxmlformats.org/officeDocument/2006/relationships/hyperlink" Target="https://drive.google.com/file/d/1EV2I6m72yn4wsNqia-vvRe4YiF9CcL13/view" TargetMode="External"/><Relationship Id="rId3680" Type="http://schemas.openxmlformats.org/officeDocument/2006/relationships/hyperlink" Target="https://drive.google.com/file/d/1kq6rxkSqkCNqQnOo0LbvmMQ27s66e1dS/view" TargetMode="External"/><Relationship Id="rId1020" Type="http://schemas.openxmlformats.org/officeDocument/2006/relationships/hyperlink" Target="https://drive.google.com/file/d/1is34xoiX5Pq0C5jlj-9i-yRrWaSfEALd/view" TargetMode="External"/><Relationship Id="rId2351" Type="http://schemas.openxmlformats.org/officeDocument/2006/relationships/hyperlink" Target="https://drive.google.com/file/d/1C_DCxxIpuguAM1L8tF_3IURTNS4Xtz1S/view" TargetMode="External"/><Relationship Id="rId3683" Type="http://schemas.openxmlformats.org/officeDocument/2006/relationships/hyperlink" Target="https://drive.google.com/file/d/1rIcnjuGgrt4sf7WcED_DYpVqVIfQRdYi/view" TargetMode="External"/><Relationship Id="rId1021" Type="http://schemas.openxmlformats.org/officeDocument/2006/relationships/hyperlink" Target="https://drive.google.com/file/d/1dP3Fms6kbcJNX4YG11-AwEXzw1eVUHSZ/view" TargetMode="External"/><Relationship Id="rId2352" Type="http://schemas.openxmlformats.org/officeDocument/2006/relationships/hyperlink" Target="https://drive.google.com/file/d/1wqcU7yAyVIENZ4mZcs_-ze-JXwCYG5Hw/view" TargetMode="External"/><Relationship Id="rId3682" Type="http://schemas.openxmlformats.org/officeDocument/2006/relationships/hyperlink" Target="https://drive.google.com/file/d/1UE7_hVsG2sG99d6RI1rRdyLdpuT6jqny/view" TargetMode="External"/><Relationship Id="rId1022" Type="http://schemas.openxmlformats.org/officeDocument/2006/relationships/hyperlink" Target="https://drive.google.com/file/d/1AzoZnJtKQPCje5ge3zsKHNc7I0domjbz/view" TargetMode="External"/><Relationship Id="rId2353" Type="http://schemas.openxmlformats.org/officeDocument/2006/relationships/hyperlink" Target="https://drive.google.com/file/d/1U1BQe55v8IT3UPu052k2GZG3pWo0Nmyd/view" TargetMode="External"/><Relationship Id="rId3685" Type="http://schemas.openxmlformats.org/officeDocument/2006/relationships/hyperlink" Target="https://drive.google.com/file/d/1kq6rxkSqkCNqQnOo0LbvmMQ27s66e1dS/view" TargetMode="External"/><Relationship Id="rId1023" Type="http://schemas.openxmlformats.org/officeDocument/2006/relationships/hyperlink" Target="https://drive.google.com/file/d/10G2AAa0266tlwBZhOxHYCt5qDdAaNFbP/view" TargetMode="External"/><Relationship Id="rId2354" Type="http://schemas.openxmlformats.org/officeDocument/2006/relationships/hyperlink" Target="https://drive.google.com/file/d/1Xn3yM7X8kc1aFSHWBHfjAHQjReHeA1Df/view" TargetMode="External"/><Relationship Id="rId3684" Type="http://schemas.openxmlformats.org/officeDocument/2006/relationships/hyperlink" Target="https://drive.google.com/file/d/1Yhx5mx-Ik43FZKXDFQiibdnxCerV3qOk/view" TargetMode="External"/><Relationship Id="rId1024" Type="http://schemas.openxmlformats.org/officeDocument/2006/relationships/hyperlink" Target="https://drive.google.com/file/d/17Sh3mlCDgAqg7_6xCdkZJ4uy7MxbYjQ6/view" TargetMode="External"/><Relationship Id="rId2355" Type="http://schemas.openxmlformats.org/officeDocument/2006/relationships/hyperlink" Target="https://drive.google.com/file/d/18P_F7zlb_wJJUMNJNfnRxoOl1xjkBls3/view" TargetMode="External"/><Relationship Id="rId3687" Type="http://schemas.openxmlformats.org/officeDocument/2006/relationships/hyperlink" Target="https://drive.google.com/file/d/1UE7_hVsG2sG99d6RI1rRdyLdpuT6jqny/view" TargetMode="External"/><Relationship Id="rId1025" Type="http://schemas.openxmlformats.org/officeDocument/2006/relationships/hyperlink" Target="https://drive.google.com/file/d/1L_52GzA-kP2VLMNv7op5sjis_ZoTAiPp/view" TargetMode="External"/><Relationship Id="rId2356" Type="http://schemas.openxmlformats.org/officeDocument/2006/relationships/hyperlink" Target="https://drive.google.com/file/d/1pWRN7Ft3GTuLNziY2YnEwjvMxxomOd0p/view" TargetMode="External"/><Relationship Id="rId3686" Type="http://schemas.openxmlformats.org/officeDocument/2006/relationships/hyperlink" Target="https://drive.google.com/file/d/1i6-sFMf2xpI1oMLPwd2MbnJnhgadXUWj/view" TargetMode="External"/><Relationship Id="rId4161" Type="http://schemas.openxmlformats.org/officeDocument/2006/relationships/hyperlink" Target="https://drive.google.com/file/d/1i3Fc2ICYkZUnsM_phPxBeNFBTXpJVhI5/view" TargetMode="External"/><Relationship Id="rId4160" Type="http://schemas.openxmlformats.org/officeDocument/2006/relationships/hyperlink" Target="https://drive.google.com/file/d/1Wb-_8Th4_z8qNHrhEGaI0fvfAkRe81eK/view" TargetMode="External"/><Relationship Id="rId4163" Type="http://schemas.openxmlformats.org/officeDocument/2006/relationships/hyperlink" Target="https://drive.google.com/file/d/18NdX3CpuCn-0a_o1POIUUX1H-wAuR4SL/view" TargetMode="External"/><Relationship Id="rId4162" Type="http://schemas.openxmlformats.org/officeDocument/2006/relationships/hyperlink" Target="https://drive.google.com/file/d/1qBsLDo1isbaeI-KUg5g_lstauXpiXf6P/view" TargetMode="External"/><Relationship Id="rId4165" Type="http://schemas.openxmlformats.org/officeDocument/2006/relationships/hyperlink" Target="https://drive.google.com/file/d/1pZ0Bkc1fu-YYxvfhGTq6M_Xy1nK-TaDK/view" TargetMode="External"/><Relationship Id="rId4164" Type="http://schemas.openxmlformats.org/officeDocument/2006/relationships/hyperlink" Target="https://drive.google.com/file/d/1CDmy0dIUry4m0sH3fjuw_5AIBNQeUet_/view" TargetMode="External"/><Relationship Id="rId4167" Type="http://schemas.openxmlformats.org/officeDocument/2006/relationships/hyperlink" Target="https://drive.google.com/file/d/1luoB2eOR80sD71O0E426oumYXUnA_D1n/view" TargetMode="External"/><Relationship Id="rId4166" Type="http://schemas.openxmlformats.org/officeDocument/2006/relationships/hyperlink" Target="https://drive.google.com/file/d/1X-3xc3A41DOcjW_cbEtufzUCaEKgVyid/view" TargetMode="External"/><Relationship Id="rId4169" Type="http://schemas.openxmlformats.org/officeDocument/2006/relationships/hyperlink" Target="https://drive.google.com/file/d/1saZlghGaL_knq5k2s3lXK4szDs9rSSG9/view" TargetMode="External"/><Relationship Id="rId4168" Type="http://schemas.openxmlformats.org/officeDocument/2006/relationships/hyperlink" Target="https://drive.google.com/file/d/1ojUQP7wKDn7wgwnMeK5UZGmvAjnRv3Gs/view" TargetMode="External"/><Relationship Id="rId4150" Type="http://schemas.openxmlformats.org/officeDocument/2006/relationships/hyperlink" Target="https://drive.google.com/file/d/1Wa5vjK2Knb_E4qOt21runRkd65iWrDXO/view" TargetMode="External"/><Relationship Id="rId4152" Type="http://schemas.openxmlformats.org/officeDocument/2006/relationships/hyperlink" Target="https://drive.google.com/file/d/1CDmy0dIUry4m0sH3fjuw_5AIBNQeUet_/view" TargetMode="External"/><Relationship Id="rId4151" Type="http://schemas.openxmlformats.org/officeDocument/2006/relationships/hyperlink" Target="https://drive.google.com/file/d/1Jgr6C5y7JqpqteOYg3daoG_eyeaf4YpC/view" TargetMode="External"/><Relationship Id="rId4154" Type="http://schemas.openxmlformats.org/officeDocument/2006/relationships/hyperlink" Target="https://drive.google.com/file/d/1Skgk0r14hYRGPVXzSOhI7ATJl6jsWR2Q/view" TargetMode="External"/><Relationship Id="rId4153" Type="http://schemas.openxmlformats.org/officeDocument/2006/relationships/hyperlink" Target="https://drive.google.com/file/d/1Wb-_8Th4_z8qNHrhEGaI0fvfAkRe81eK/view" TargetMode="External"/><Relationship Id="rId4156" Type="http://schemas.openxmlformats.org/officeDocument/2006/relationships/hyperlink" Target="https://drive.google.com/file/d/18NdX3CpuCn-0a_o1POIUUX1H-wAuR4SL/view" TargetMode="External"/><Relationship Id="rId4155" Type="http://schemas.openxmlformats.org/officeDocument/2006/relationships/hyperlink" Target="https://drive.google.com/file/d/1qBsLDo1isbaeI-KUg5g_lstauXpiXf6P/view" TargetMode="External"/><Relationship Id="rId4158" Type="http://schemas.openxmlformats.org/officeDocument/2006/relationships/hyperlink" Target="https://drive.google.com/file/d/1Jgr6C5y7JqpqteOYg3daoG_eyeaf4YpC/view" TargetMode="External"/><Relationship Id="rId4157" Type="http://schemas.openxmlformats.org/officeDocument/2006/relationships/hyperlink" Target="https://drive.google.com/file/d/1Wa5vjK2Knb_E4qOt21runRkd65iWrDXO/view" TargetMode="External"/><Relationship Id="rId4159" Type="http://schemas.openxmlformats.org/officeDocument/2006/relationships/hyperlink" Target="https://drive.google.com/file/d/1CDmy0dIUry4m0sH3fjuw_5AIBNQeUet_/view" TargetMode="External"/><Relationship Id="rId1910" Type="http://schemas.openxmlformats.org/officeDocument/2006/relationships/hyperlink" Target="https://drive.google.com/file/d/14ZUHGtERDN1JYwNMxOnIXzFA4FhV4sud/view" TargetMode="External"/><Relationship Id="rId1911" Type="http://schemas.openxmlformats.org/officeDocument/2006/relationships/hyperlink" Target="https://drive.google.com/file/d/1MulpbuM6XpH6zycg3j20_Rg7VoqVED8u/view" TargetMode="External"/><Relationship Id="rId1912" Type="http://schemas.openxmlformats.org/officeDocument/2006/relationships/hyperlink" Target="https://drive.google.com/file/d/17byCEg9yJYlS-eAoQctSSj9IcbOvDj4C/view" TargetMode="External"/><Relationship Id="rId1913" Type="http://schemas.openxmlformats.org/officeDocument/2006/relationships/hyperlink" Target="https://drive.google.com/file/d/1Cgm48oSuAKTxVuYZrAJS_yTdyPGL2_RY/view" TargetMode="External"/><Relationship Id="rId1914" Type="http://schemas.openxmlformats.org/officeDocument/2006/relationships/hyperlink" Target="https://drive.google.com/file/d/1WQyZz0nV6jRcsb-EWTaqov1NelWP4Oun/view" TargetMode="External"/><Relationship Id="rId1915" Type="http://schemas.openxmlformats.org/officeDocument/2006/relationships/hyperlink" Target="https://drive.google.com/file/d/170YMLASg-aL8P5KHGs7J8A6iLmEjrHRi/view" TargetMode="External"/><Relationship Id="rId1916" Type="http://schemas.openxmlformats.org/officeDocument/2006/relationships/hyperlink" Target="https://drive.google.com/file/d/1MjtBrO0ASjMXvYi8qtjJjMVlZSm8YG93/view" TargetMode="External"/><Relationship Id="rId1917" Type="http://schemas.openxmlformats.org/officeDocument/2006/relationships/hyperlink" Target="https://drive.google.com/file/d/14ZUHGtERDN1JYwNMxOnIXzFA4FhV4sud/view" TargetMode="External"/><Relationship Id="rId1918" Type="http://schemas.openxmlformats.org/officeDocument/2006/relationships/hyperlink" Target="https://drive.google.com/file/d/1MulpbuM6XpH6zycg3j20_Rg7VoqVED8u/view" TargetMode="External"/><Relationship Id="rId1919" Type="http://schemas.openxmlformats.org/officeDocument/2006/relationships/hyperlink" Target="https://drive.google.com/file/d/17byCEg9yJYlS-eAoQctSSj9IcbOvDj4C/view" TargetMode="External"/><Relationship Id="rId4181" Type="http://schemas.openxmlformats.org/officeDocument/2006/relationships/hyperlink" Target="https://drive.google.com/file/d/1A-LbSrZFd6s3By14PDwudVe9gn2wLLNn/view" TargetMode="External"/><Relationship Id="rId4180" Type="http://schemas.openxmlformats.org/officeDocument/2006/relationships/hyperlink" Target="https://drive.google.com/file/d/1MNnt5qJFDu_Wgf9XOAmTN4YyMV3Uu1Fq/view" TargetMode="External"/><Relationship Id="rId4183" Type="http://schemas.openxmlformats.org/officeDocument/2006/relationships/hyperlink" Target="https://drive.google.com/file/d/1Oe3k2JgRk2tC7fp0kXwTldpZp6TnVJxV/view" TargetMode="External"/><Relationship Id="rId4182" Type="http://schemas.openxmlformats.org/officeDocument/2006/relationships/hyperlink" Target="https://drive.google.com/file/d/16X4ioNsAXYoeJEU2J_HTscCmZyp7farP/view" TargetMode="External"/><Relationship Id="rId4185" Type="http://schemas.openxmlformats.org/officeDocument/2006/relationships/hyperlink" Target="https://drive.google.com/file/d/1zp5VjRRziXp9TqnAd7dDC0vGcK5qvLim/view" TargetMode="External"/><Relationship Id="rId4184" Type="http://schemas.openxmlformats.org/officeDocument/2006/relationships/hyperlink" Target="https://drive.google.com/file/d/1MXUYSxNv_BwPFSBofeC2uLgRQHN_9QoJ/view" TargetMode="External"/><Relationship Id="rId4187" Type="http://schemas.openxmlformats.org/officeDocument/2006/relationships/hyperlink" Target="https://drive.google.com/file/d/1A-LbSrZFd6s3By14PDwudVe9gn2wLLNn/view" TargetMode="External"/><Relationship Id="rId4186" Type="http://schemas.openxmlformats.org/officeDocument/2006/relationships/hyperlink" Target="https://drive.google.com/file/d/1MNnt5qJFDu_Wgf9XOAmTN4YyMV3Uu1Fq/view" TargetMode="External"/><Relationship Id="rId4189" Type="http://schemas.openxmlformats.org/officeDocument/2006/relationships/hyperlink" Target="https://drive.google.com/file/d/16rBgeGBaMhLoHz5nygyg0ovWp3Qq4sTA/view" TargetMode="External"/><Relationship Id="rId4188" Type="http://schemas.openxmlformats.org/officeDocument/2006/relationships/hyperlink" Target="https://drive.google.com/file/d/1P1zN2owHA7O_GklF-t5M6dVu-cyo9H8q/view" TargetMode="External"/><Relationship Id="rId1900" Type="http://schemas.openxmlformats.org/officeDocument/2006/relationships/hyperlink" Target="https://drive.google.com/file/d/19v-EI-lNPVEl25lxodyaTACv9WmmZ-m_/view" TargetMode="External"/><Relationship Id="rId1901" Type="http://schemas.openxmlformats.org/officeDocument/2006/relationships/hyperlink" Target="https://drive.google.com/file/d/16bTxqMwR1gar-WBFaRnKrcdZuVc2u1lE/view" TargetMode="External"/><Relationship Id="rId1902" Type="http://schemas.openxmlformats.org/officeDocument/2006/relationships/hyperlink" Target="https://drive.google.com/file/d/1MjtBrO0ASjMXvYi8qtjJjMVlZSm8YG93/view" TargetMode="External"/><Relationship Id="rId1903" Type="http://schemas.openxmlformats.org/officeDocument/2006/relationships/hyperlink" Target="https://drive.google.com/file/d/14ZUHGtERDN1JYwNMxOnIXzFA4FhV4sud/view" TargetMode="External"/><Relationship Id="rId1904" Type="http://schemas.openxmlformats.org/officeDocument/2006/relationships/hyperlink" Target="https://drive.google.com/file/d/1MulpbuM6XpH6zycg3j20_Rg7VoqVED8u/view" TargetMode="External"/><Relationship Id="rId1905" Type="http://schemas.openxmlformats.org/officeDocument/2006/relationships/hyperlink" Target="https://drive.google.com/file/d/17byCEg9yJYlS-eAoQctSSj9IcbOvDj4C/view" TargetMode="External"/><Relationship Id="rId1906" Type="http://schemas.openxmlformats.org/officeDocument/2006/relationships/hyperlink" Target="https://drive.google.com/file/d/1Cgm48oSuAKTxVuYZrAJS_yTdyPGL2_RY/view" TargetMode="External"/><Relationship Id="rId1907" Type="http://schemas.openxmlformats.org/officeDocument/2006/relationships/hyperlink" Target="https://drive.google.com/file/d/1mE0EJ7Bco2X-qXSB7-z9xfRYeQ2uk5IH/view" TargetMode="External"/><Relationship Id="rId1908" Type="http://schemas.openxmlformats.org/officeDocument/2006/relationships/hyperlink" Target="https://drive.google.com/file/d/1zaL0OK1cgppS4_4JS4yVptLSy190bXRl/view" TargetMode="External"/><Relationship Id="rId1909" Type="http://schemas.openxmlformats.org/officeDocument/2006/relationships/hyperlink" Target="https://drive.google.com/file/d/1MjtBrO0ASjMXvYi8qtjJjMVlZSm8YG93/view" TargetMode="External"/><Relationship Id="rId4170" Type="http://schemas.openxmlformats.org/officeDocument/2006/relationships/hyperlink" Target="https://drive.google.com/file/d/1XvawstwT0APHuB5pXmK-1aC5ax9msUlD/view" TargetMode="External"/><Relationship Id="rId4172" Type="http://schemas.openxmlformats.org/officeDocument/2006/relationships/hyperlink" Target="https://drive.google.com/file/d/1pZ0Bkc1fu-YYxvfhGTq6M_Xy1nK-TaDK/view" TargetMode="External"/><Relationship Id="rId4171" Type="http://schemas.openxmlformats.org/officeDocument/2006/relationships/hyperlink" Target="https://drive.google.com/file/d/1CDmy0dIUry4m0sH3fjuw_5AIBNQeUet_/view" TargetMode="External"/><Relationship Id="rId4174" Type="http://schemas.openxmlformats.org/officeDocument/2006/relationships/hyperlink" Target="https://drive.google.com/file/d/1luoB2eOR80sD71O0E426oumYXUnA_D1n/view" TargetMode="External"/><Relationship Id="rId4173" Type="http://schemas.openxmlformats.org/officeDocument/2006/relationships/hyperlink" Target="https://drive.google.com/file/d/1fQnM9hzEoEekcRcdOIjx3szCGnGsfBiV/view" TargetMode="External"/><Relationship Id="rId4176" Type="http://schemas.openxmlformats.org/officeDocument/2006/relationships/hyperlink" Target="https://drive.google.com/file/d/16X4ioNsAXYoeJEU2J_HTscCmZyp7farP/view" TargetMode="External"/><Relationship Id="rId4175" Type="http://schemas.openxmlformats.org/officeDocument/2006/relationships/hyperlink" Target="https://drive.google.com/file/d/1ojUQP7wKDn7wgwnMeK5UZGmvAjnRv3Gs/view" TargetMode="External"/><Relationship Id="rId4178" Type="http://schemas.openxmlformats.org/officeDocument/2006/relationships/hyperlink" Target="https://drive.google.com/file/d/1MXUYSxNv_BwPFSBofeC2uLgRQHN_9QoJ/view" TargetMode="External"/><Relationship Id="rId4177" Type="http://schemas.openxmlformats.org/officeDocument/2006/relationships/hyperlink" Target="https://drive.google.com/file/d/1Oe3k2JgRk2tC7fp0kXwTldpZp6TnVJxV/view" TargetMode="External"/><Relationship Id="rId4179" Type="http://schemas.openxmlformats.org/officeDocument/2006/relationships/hyperlink" Target="https://drive.google.com/file/d/1zp5VjRRziXp9TqnAd7dDC0vGcK5qvLim/view" TargetMode="External"/><Relationship Id="rId4129" Type="http://schemas.openxmlformats.org/officeDocument/2006/relationships/hyperlink" Target="https://drive.google.com/file/d/1qDJYcfPFczs2SkSgn3RexvnWaEUsoHnf/view" TargetMode="External"/><Relationship Id="rId4128" Type="http://schemas.openxmlformats.org/officeDocument/2006/relationships/hyperlink" Target="https://drive.google.com/file/d/1O44ZnVEkt4moC6x56cHk3Qemtmq5DArz/view" TargetMode="External"/><Relationship Id="rId1090" Type="http://schemas.openxmlformats.org/officeDocument/2006/relationships/hyperlink" Target="https://drive.google.com/file/d/1cN7posb67mdVdL7T-VSdkw8QXKmkXqLJ/view" TargetMode="External"/><Relationship Id="rId1091" Type="http://schemas.openxmlformats.org/officeDocument/2006/relationships/hyperlink" Target="https://drive.google.com/file/d/1Ryjzar80-fDgfaSuFoN9ZFcbjKRLYS4D/view" TargetMode="External"/><Relationship Id="rId1092" Type="http://schemas.openxmlformats.org/officeDocument/2006/relationships/hyperlink" Target="https://drive.google.com/file/d/1QUdkUBV-4hT2bGuNHs3jq_d1Cq1t2DX9/view" TargetMode="External"/><Relationship Id="rId1093" Type="http://schemas.openxmlformats.org/officeDocument/2006/relationships/hyperlink" Target="https://drive.google.com/file/d/1Xp18B7T_Q0WYABmkv1ZW4ITHxSw3pDnC/view" TargetMode="External"/><Relationship Id="rId1094" Type="http://schemas.openxmlformats.org/officeDocument/2006/relationships/hyperlink" Target="https://drive.google.com/file/d/1bUXvMVCWGWMyrrwKWA_3Zh1WzQxNgEE0/view" TargetMode="External"/><Relationship Id="rId1095" Type="http://schemas.openxmlformats.org/officeDocument/2006/relationships/hyperlink" Target="https://drive.google.com/file/d/1IAM5nS1MZasY52QdmHUNZAkrWO0nYL9o/view" TargetMode="External"/><Relationship Id="rId4121" Type="http://schemas.openxmlformats.org/officeDocument/2006/relationships/hyperlink" Target="https://drive.google.com/file/d/1guX92UF8QQXzMouEGeJCedCPAnsnNKFO/view" TargetMode="External"/><Relationship Id="rId1096" Type="http://schemas.openxmlformats.org/officeDocument/2006/relationships/hyperlink" Target="https://drive.google.com/file/d/1phmpv4M3PQJEYp4RfuwChcGKA1-hjTGK/view" TargetMode="External"/><Relationship Id="rId4120" Type="http://schemas.openxmlformats.org/officeDocument/2006/relationships/hyperlink" Target="https://drive.google.com/file/d/1VFgFFepXjU4uMazaX4QS0RlnQluWKwm6/view" TargetMode="External"/><Relationship Id="rId1097" Type="http://schemas.openxmlformats.org/officeDocument/2006/relationships/hyperlink" Target="https://drive.google.com/file/d/1cN7posb67mdVdL7T-VSdkw8QXKmkXqLJ/view" TargetMode="External"/><Relationship Id="rId4123" Type="http://schemas.openxmlformats.org/officeDocument/2006/relationships/hyperlink" Target="https://drive.google.com/file/d/1VFgFFepXjU4uMazaX4QS0RlnQluWKwm6/view" TargetMode="External"/><Relationship Id="rId1098" Type="http://schemas.openxmlformats.org/officeDocument/2006/relationships/hyperlink" Target="https://drive.google.com/file/d/1Ryjzar80-fDgfaSuFoN9ZFcbjKRLYS4D/view" TargetMode="External"/><Relationship Id="rId4122" Type="http://schemas.openxmlformats.org/officeDocument/2006/relationships/hyperlink" Target="https://drive.google.com/file/d/1O44ZnVEkt4moC6x56cHk3Qemtmq5DArz/view" TargetMode="External"/><Relationship Id="rId1099" Type="http://schemas.openxmlformats.org/officeDocument/2006/relationships/hyperlink" Target="https://drive.google.com/file/d/1OkZqZ5i5R0xgzMy5uPwY9IszBkSghLew/view" TargetMode="External"/><Relationship Id="rId4125" Type="http://schemas.openxmlformats.org/officeDocument/2006/relationships/hyperlink" Target="https://drive.google.com/file/d/1APQt0F5S_gXT8JWfhsEDgvVNeVerPTy1/view" TargetMode="External"/><Relationship Id="rId4124" Type="http://schemas.openxmlformats.org/officeDocument/2006/relationships/hyperlink" Target="https://drive.google.com/file/d/1guX92UF8QQXzMouEGeJCedCPAnsnNKFO/view" TargetMode="External"/><Relationship Id="rId4127" Type="http://schemas.openxmlformats.org/officeDocument/2006/relationships/hyperlink" Target="https://drive.google.com/file/d/1kP9A2wNz2_mL_98bLzlYyZrC19gLdcfP/view" TargetMode="External"/><Relationship Id="rId4126" Type="http://schemas.openxmlformats.org/officeDocument/2006/relationships/hyperlink" Target="https://drive.google.com/file/d/1qDJYcfPFczs2SkSgn3RexvnWaEUsoHnf/view" TargetMode="External"/><Relationship Id="rId4118" Type="http://schemas.openxmlformats.org/officeDocument/2006/relationships/hyperlink" Target="https://drive.google.com/file/d/1guX92UF8QQXzMouEGeJCedCPAnsnNKFO/view" TargetMode="External"/><Relationship Id="rId4117" Type="http://schemas.openxmlformats.org/officeDocument/2006/relationships/hyperlink" Target="https://drive.google.com/file/d/1mLWJXwR5IqQoDyl4n7NqHTODKsHSQIGh/view" TargetMode="External"/><Relationship Id="rId4119" Type="http://schemas.openxmlformats.org/officeDocument/2006/relationships/hyperlink" Target="https://drive.google.com/file/d/1APQt0F5S_gXT8JWfhsEDgvVNeVerPTy1/view" TargetMode="External"/><Relationship Id="rId1080" Type="http://schemas.openxmlformats.org/officeDocument/2006/relationships/hyperlink" Target="https://drive.google.com/file/d/1bUXvMVCWGWMyrrwKWA_3Zh1WzQxNgEE0/view" TargetMode="External"/><Relationship Id="rId1081" Type="http://schemas.openxmlformats.org/officeDocument/2006/relationships/hyperlink" Target="https://drive.google.com/file/d/1IAM5nS1MZasY52QdmHUNZAkrWO0nYL9o/view" TargetMode="External"/><Relationship Id="rId1082" Type="http://schemas.openxmlformats.org/officeDocument/2006/relationships/hyperlink" Target="https://drive.google.com/file/d/1phmpv4M3PQJEYp4RfuwChcGKA1-hjTGK/view" TargetMode="External"/><Relationship Id="rId1083" Type="http://schemas.openxmlformats.org/officeDocument/2006/relationships/hyperlink" Target="https://drive.google.com/file/d/1cN7posb67mdVdL7T-VSdkw8QXKmkXqLJ/view" TargetMode="External"/><Relationship Id="rId1084" Type="http://schemas.openxmlformats.org/officeDocument/2006/relationships/hyperlink" Target="https://drive.google.com/file/d/1Ryjzar80-fDgfaSuFoN9ZFcbjKRLYS4D/view" TargetMode="External"/><Relationship Id="rId4110" Type="http://schemas.openxmlformats.org/officeDocument/2006/relationships/hyperlink" Target="https://drive.google.com/file/d/1gmjw91Oako3CNpXHuxMTEN0ze1l6ztnc/view" TargetMode="External"/><Relationship Id="rId1085" Type="http://schemas.openxmlformats.org/officeDocument/2006/relationships/hyperlink" Target="https://drive.google.com/file/d/1kHCHR-1FktvmUUmzB3sePjoraYATMIH8/view" TargetMode="External"/><Relationship Id="rId1086" Type="http://schemas.openxmlformats.org/officeDocument/2006/relationships/hyperlink" Target="https://drive.google.com/file/d/1VpRche-JxicseDdnV8Mi7rUZ8ThPZDIU/view" TargetMode="External"/><Relationship Id="rId4112" Type="http://schemas.openxmlformats.org/officeDocument/2006/relationships/hyperlink" Target="https://drive.google.com/file/d/1kP9A2wNz2_mL_98bLzlYyZrC19gLdcfP/view" TargetMode="External"/><Relationship Id="rId1087" Type="http://schemas.openxmlformats.org/officeDocument/2006/relationships/hyperlink" Target="https://drive.google.com/file/d/1bUXvMVCWGWMyrrwKWA_3Zh1WzQxNgEE0/view" TargetMode="External"/><Relationship Id="rId4111" Type="http://schemas.openxmlformats.org/officeDocument/2006/relationships/hyperlink" Target="https://drive.google.com/file/d/1APQt0F5S_gXT8JWfhsEDgvVNeVerPTy1/view" TargetMode="External"/><Relationship Id="rId1088" Type="http://schemas.openxmlformats.org/officeDocument/2006/relationships/hyperlink" Target="https://drive.google.com/file/d/1IAM5nS1MZasY52QdmHUNZAkrWO0nYL9o/view" TargetMode="External"/><Relationship Id="rId4114" Type="http://schemas.openxmlformats.org/officeDocument/2006/relationships/hyperlink" Target="https://drive.google.com/file/d/1mLWJXwR5IqQoDyl4n7NqHTODKsHSQIGh/view" TargetMode="External"/><Relationship Id="rId1089" Type="http://schemas.openxmlformats.org/officeDocument/2006/relationships/hyperlink" Target="https://drive.google.com/file/d/1phmpv4M3PQJEYp4RfuwChcGKA1-hjTGK/view" TargetMode="External"/><Relationship Id="rId4113" Type="http://schemas.openxmlformats.org/officeDocument/2006/relationships/hyperlink" Target="https://drive.google.com/file/d/1APQt0F5S_gXT8JWfhsEDgvVNeVerPTy1/view" TargetMode="External"/><Relationship Id="rId4116" Type="http://schemas.openxmlformats.org/officeDocument/2006/relationships/hyperlink" Target="https://drive.google.com/file/d/1O44ZnVEkt4moC6x56cHk3Qemtmq5DArz/view" TargetMode="External"/><Relationship Id="rId4115" Type="http://schemas.openxmlformats.org/officeDocument/2006/relationships/hyperlink" Target="https://drive.google.com/file/d/1guX92UF8QQXzMouEGeJCedCPAnsnNKFO/view" TargetMode="External"/><Relationship Id="rId4141" Type="http://schemas.openxmlformats.org/officeDocument/2006/relationships/hyperlink" Target="https://drive.google.com/file/d/1JvarT7AfEiYWcva4-y7ZBQwkXK8vnkDZ/view" TargetMode="External"/><Relationship Id="rId4140" Type="http://schemas.openxmlformats.org/officeDocument/2006/relationships/hyperlink" Target="https://drive.google.com/file/d/1WQpVuURJNJ8umIYwZkc5RkG3DBYAiYFJ/view" TargetMode="External"/><Relationship Id="rId4143" Type="http://schemas.openxmlformats.org/officeDocument/2006/relationships/hyperlink" Target="https://drive.google.com/file/d/1saZlghGaL_knq5k2s3lXK4szDs9rSSG9/view" TargetMode="External"/><Relationship Id="rId4142" Type="http://schemas.openxmlformats.org/officeDocument/2006/relationships/hyperlink" Target="https://drive.google.com/file/d/13-A6lMrn0TOghuhoYJkp6wUYTg6eWmI3/view" TargetMode="External"/><Relationship Id="rId4145" Type="http://schemas.openxmlformats.org/officeDocument/2006/relationships/hyperlink" Target="https://drive.google.com/file/d/1CDmy0dIUry4m0sH3fjuw_5AIBNQeUet_/view" TargetMode="External"/><Relationship Id="rId4144" Type="http://schemas.openxmlformats.org/officeDocument/2006/relationships/hyperlink" Target="https://drive.google.com/file/d/1Mw78-6GlmseSutsLwV1tPYbs0nhLvTi_/view" TargetMode="External"/><Relationship Id="rId4147" Type="http://schemas.openxmlformats.org/officeDocument/2006/relationships/hyperlink" Target="https://drive.google.com/file/d/1YR44dd8ywNsbMHprADGp5r-Efe3MvF1T/view" TargetMode="External"/><Relationship Id="rId4146" Type="http://schemas.openxmlformats.org/officeDocument/2006/relationships/hyperlink" Target="https://drive.google.com/file/d/1gGUQnLpIpeAtEL7SC8EZMUHkn3kNtXvN/view" TargetMode="External"/><Relationship Id="rId4149" Type="http://schemas.openxmlformats.org/officeDocument/2006/relationships/hyperlink" Target="https://drive.google.com/file/d/13-A6lMrn0TOghuhoYJkp6wUYTg6eWmI3/view" TargetMode="External"/><Relationship Id="rId4148" Type="http://schemas.openxmlformats.org/officeDocument/2006/relationships/hyperlink" Target="https://drive.google.com/file/d/1JvarT7AfEiYWcva4-y7ZBQwkXK8vnkDZ/view" TargetMode="External"/><Relationship Id="rId4139" Type="http://schemas.openxmlformats.org/officeDocument/2006/relationships/hyperlink" Target="https://drive.google.com/file/d/1gGUQnLpIpeAtEL7SC8EZMUHkn3kNtXvN/view" TargetMode="External"/><Relationship Id="rId4130" Type="http://schemas.openxmlformats.org/officeDocument/2006/relationships/hyperlink" Target="https://drive.google.com/file/d/1kP9A2wNz2_mL_98bLzlYyZrC19gLdcfP/view" TargetMode="External"/><Relationship Id="rId4132" Type="http://schemas.openxmlformats.org/officeDocument/2006/relationships/hyperlink" Target="https://drive.google.com/file/d/1nPr8Iu8LVLrKS6kjza3MdOJFFbYiBfQS/view" TargetMode="External"/><Relationship Id="rId4131" Type="http://schemas.openxmlformats.org/officeDocument/2006/relationships/hyperlink" Target="https://drive.google.com/file/d/1y4asa5noHJqSwkObpm9b4KTM838xCPHO/view" TargetMode="External"/><Relationship Id="rId4134" Type="http://schemas.openxmlformats.org/officeDocument/2006/relationships/hyperlink" Target="https://drive.google.com/file/d/1TNK-bgla9uxcNnVwMkhiSyse__4W_sIy/view" TargetMode="External"/><Relationship Id="rId4133" Type="http://schemas.openxmlformats.org/officeDocument/2006/relationships/hyperlink" Target="https://drive.google.com/file/d/1ancD4fdWGKzFoM6e8b-2tGbBPOT6PiFv/view" TargetMode="External"/><Relationship Id="rId4136" Type="http://schemas.openxmlformats.org/officeDocument/2006/relationships/hyperlink" Target="https://drive.google.com/file/d/1Z5mXJitN3GEqzFFDUOzmnp7EPfCLvv52/view" TargetMode="External"/><Relationship Id="rId4135" Type="http://schemas.openxmlformats.org/officeDocument/2006/relationships/hyperlink" Target="https://drive.google.com/file/d/1A3_OYfGnwks5cjCHzNa_uKMErCUOJPdF/view" TargetMode="External"/><Relationship Id="rId4138" Type="http://schemas.openxmlformats.org/officeDocument/2006/relationships/hyperlink" Target="https://drive.google.com/file/d/1CDmy0dIUry4m0sH3fjuw_5AIBNQeUet_/view" TargetMode="External"/><Relationship Id="rId4137" Type="http://schemas.openxmlformats.org/officeDocument/2006/relationships/hyperlink" Target="https://drive.google.com/file/d/1Mw78-6GlmseSutsLwV1tPYbs0nhLvTi_/view" TargetMode="External"/><Relationship Id="rId1972" Type="http://schemas.openxmlformats.org/officeDocument/2006/relationships/hyperlink" Target="https://drive.google.com/file/d/11hijKuX3gYjcI24NjGCfV3xJnGfzjy_f/view" TargetMode="External"/><Relationship Id="rId1973" Type="http://schemas.openxmlformats.org/officeDocument/2006/relationships/hyperlink" Target="https://drive.google.com/file/d/1BbPC5w_NyNbfUbatqFF-k3KxxgS0fkzB/view" TargetMode="External"/><Relationship Id="rId1974" Type="http://schemas.openxmlformats.org/officeDocument/2006/relationships/hyperlink" Target="https://drive.google.com/file/d/1b68XI20VrMG-cgEln8wJcJ4gW1nTepYv/view" TargetMode="External"/><Relationship Id="rId1975" Type="http://schemas.openxmlformats.org/officeDocument/2006/relationships/hyperlink" Target="https://drive.google.com/file/d/1d70BJYrx4f5xA8pQFSZbowevPUpxJaMe/view" TargetMode="External"/><Relationship Id="rId1976" Type="http://schemas.openxmlformats.org/officeDocument/2006/relationships/hyperlink" Target="https://drive.google.com/file/d/1FqHh6bT6Mik4bq-BVLQ2PukwC5qdPjgj/view" TargetMode="External"/><Relationship Id="rId1977" Type="http://schemas.openxmlformats.org/officeDocument/2006/relationships/hyperlink" Target="https://drive.google.com/file/d/1toCmOP2JNrR8jUTzSOjrIrk9JzLAXPyR/view" TargetMode="External"/><Relationship Id="rId1978" Type="http://schemas.openxmlformats.org/officeDocument/2006/relationships/hyperlink" Target="https://drive.google.com/file/d/13a6cnsWF-4Z3YgYsooBTsIAylxOOwD6x/view" TargetMode="External"/><Relationship Id="rId1979" Type="http://schemas.openxmlformats.org/officeDocument/2006/relationships/hyperlink" Target="https://drive.google.com/file/d/11hijKuX3gYjcI24NjGCfV3xJnGfzjy_f/view" TargetMode="External"/><Relationship Id="rId1970" Type="http://schemas.openxmlformats.org/officeDocument/2006/relationships/hyperlink" Target="https://drive.google.com/file/d/1toCmOP2JNrR8jUTzSOjrIrk9JzLAXPyR/view" TargetMode="External"/><Relationship Id="rId1971" Type="http://schemas.openxmlformats.org/officeDocument/2006/relationships/hyperlink" Target="https://drive.google.com/file/d/13a6cnsWF-4Z3YgYsooBTsIAylxOOwD6x/view" TargetMode="External"/><Relationship Id="rId1961" Type="http://schemas.openxmlformats.org/officeDocument/2006/relationships/hyperlink" Target="https://drive.google.com/file/d/1W9O_6HbcUE5_hPTc0ejLxkRFCjBR-6CC/view" TargetMode="External"/><Relationship Id="rId1962" Type="http://schemas.openxmlformats.org/officeDocument/2006/relationships/hyperlink" Target="https://drive.google.com/file/d/1IGgQW1zdcrNibTIi54pCYF90rtNBtbkR/view" TargetMode="External"/><Relationship Id="rId1963" Type="http://schemas.openxmlformats.org/officeDocument/2006/relationships/hyperlink" Target="https://drive.google.com/file/d/1UVMER8HlUBedSC8IeQxx5y-xPRQg2yET/view" TargetMode="External"/><Relationship Id="rId1964" Type="http://schemas.openxmlformats.org/officeDocument/2006/relationships/hyperlink" Target="https://drive.google.com/file/d/1QBaXNjahitTYzSqJnZ730FbYtgs3mnbO/view" TargetMode="External"/><Relationship Id="rId1965" Type="http://schemas.openxmlformats.org/officeDocument/2006/relationships/hyperlink" Target="https://drive.google.com/file/d/1w3Yikb4fyRZlB1WUrbkeIlwiqTEhhAz0/view" TargetMode="External"/><Relationship Id="rId1966" Type="http://schemas.openxmlformats.org/officeDocument/2006/relationships/hyperlink" Target="https://drive.google.com/file/d/1NqiGRooDabBlGAc_B53QRAJgUjngGIcA/view" TargetMode="External"/><Relationship Id="rId1967" Type="http://schemas.openxmlformats.org/officeDocument/2006/relationships/hyperlink" Target="https://drive.google.com/file/d/1Vun84UQ3qJ5AHk1h226Y6F3syH_ZmDuu/view" TargetMode="External"/><Relationship Id="rId1968" Type="http://schemas.openxmlformats.org/officeDocument/2006/relationships/hyperlink" Target="https://drive.google.com/file/d/1W9O_6HbcUE5_hPTc0ejLxkRFCjBR-6CC/view" TargetMode="External"/><Relationship Id="rId1969" Type="http://schemas.openxmlformats.org/officeDocument/2006/relationships/hyperlink" Target="https://drive.google.com/file/d/1IGgQW1zdcrNibTIi54pCYF90rtNBtbkR/view" TargetMode="External"/><Relationship Id="rId1960" Type="http://schemas.openxmlformats.org/officeDocument/2006/relationships/hyperlink" Target="https://drive.google.com/file/d/1Vun84UQ3qJ5AHk1h226Y6F3syH_ZmDuu/view" TargetMode="External"/><Relationship Id="rId1994" Type="http://schemas.openxmlformats.org/officeDocument/2006/relationships/hyperlink" Target="https://drive.google.com/file/d/1y5MMYBVVRE-Tl9bZettJi8zZgYmo3aAg/view" TargetMode="External"/><Relationship Id="rId1995" Type="http://schemas.openxmlformats.org/officeDocument/2006/relationships/hyperlink" Target="https://drive.google.com/file/d/1P6El6mRLyDzHraSvdjvc7pXWpu-AMxrU/view" TargetMode="External"/><Relationship Id="rId1996" Type="http://schemas.openxmlformats.org/officeDocument/2006/relationships/hyperlink" Target="https://drive.google.com/file/d/1XZR3uf1xzF5SSu0_vQ22P-ZyxO2zISdn/view" TargetMode="External"/><Relationship Id="rId1997" Type="http://schemas.openxmlformats.org/officeDocument/2006/relationships/hyperlink" Target="https://drive.google.com/file/d/1lJ5jDekAuMhK9X9kwApJBX7ukTzafx9p/view" TargetMode="External"/><Relationship Id="rId1998" Type="http://schemas.openxmlformats.org/officeDocument/2006/relationships/hyperlink" Target="https://drive.google.com/file/d/1MxZQ4O3luaKbzVFDhUGO5xny06IAwOU4/view" TargetMode="External"/><Relationship Id="rId1999" Type="http://schemas.openxmlformats.org/officeDocument/2006/relationships/hyperlink" Target="https://drive.google.com/file/d/1vWthiRwNxuMnrfe-9zV7yYgOt1P9h7to/view" TargetMode="External"/><Relationship Id="rId1990" Type="http://schemas.openxmlformats.org/officeDocument/2006/relationships/hyperlink" Target="https://drive.google.com/file/d/1FqHh6bT6Mik4bq-BVLQ2PukwC5qdPjgj/view" TargetMode="External"/><Relationship Id="rId1991" Type="http://schemas.openxmlformats.org/officeDocument/2006/relationships/hyperlink" Target="https://drive.google.com/file/d/1MxZQ4O3luaKbzVFDhUGO5xny06IAwOU4/view" TargetMode="External"/><Relationship Id="rId1992" Type="http://schemas.openxmlformats.org/officeDocument/2006/relationships/hyperlink" Target="https://drive.google.com/file/d/1vWthiRwNxuMnrfe-9zV7yYgOt1P9h7to/view" TargetMode="External"/><Relationship Id="rId1993" Type="http://schemas.openxmlformats.org/officeDocument/2006/relationships/hyperlink" Target="https://drive.google.com/file/d/10wmE9BHttaNbymSPuaTdpowABOiNrrSn/view" TargetMode="External"/><Relationship Id="rId1983" Type="http://schemas.openxmlformats.org/officeDocument/2006/relationships/hyperlink" Target="https://drive.google.com/file/d/1FqHh6bT6Mik4bq-BVLQ2PukwC5qdPjgj/view" TargetMode="External"/><Relationship Id="rId1984" Type="http://schemas.openxmlformats.org/officeDocument/2006/relationships/hyperlink" Target="https://drive.google.com/file/d/1FjhFY6i5mBRdapYlTYNm8lw3EeYUFasB/view" TargetMode="External"/><Relationship Id="rId1985" Type="http://schemas.openxmlformats.org/officeDocument/2006/relationships/hyperlink" Target="https://drive.google.com/file/d/1BNfTNmbdRAjxqivpHjsNA5wvpcHK9UiF/view" TargetMode="External"/><Relationship Id="rId1986" Type="http://schemas.openxmlformats.org/officeDocument/2006/relationships/hyperlink" Target="https://drive.google.com/file/d/11hijKuX3gYjcI24NjGCfV3xJnGfzjy_f/view" TargetMode="External"/><Relationship Id="rId1987" Type="http://schemas.openxmlformats.org/officeDocument/2006/relationships/hyperlink" Target="https://drive.google.com/file/d/1BbPC5w_NyNbfUbatqFF-k3KxxgS0fkzB/view" TargetMode="External"/><Relationship Id="rId1988" Type="http://schemas.openxmlformats.org/officeDocument/2006/relationships/hyperlink" Target="https://drive.google.com/file/d/1b68XI20VrMG-cgEln8wJcJ4gW1nTepYv/view" TargetMode="External"/><Relationship Id="rId1989" Type="http://schemas.openxmlformats.org/officeDocument/2006/relationships/hyperlink" Target="https://drive.google.com/file/d/1d70BJYrx4f5xA8pQFSZbowevPUpxJaMe/view" TargetMode="External"/><Relationship Id="rId1980" Type="http://schemas.openxmlformats.org/officeDocument/2006/relationships/hyperlink" Target="https://drive.google.com/file/d/1BbPC5w_NyNbfUbatqFF-k3KxxgS0fkzB/view" TargetMode="External"/><Relationship Id="rId1981" Type="http://schemas.openxmlformats.org/officeDocument/2006/relationships/hyperlink" Target="https://drive.google.com/file/d/1b68XI20VrMG-cgEln8wJcJ4gW1nTepYv/view" TargetMode="External"/><Relationship Id="rId1982" Type="http://schemas.openxmlformats.org/officeDocument/2006/relationships/hyperlink" Target="https://drive.google.com/file/d/1d70BJYrx4f5xA8pQFSZbowevPUpxJaMe/view" TargetMode="External"/><Relationship Id="rId1930" Type="http://schemas.openxmlformats.org/officeDocument/2006/relationships/hyperlink" Target="https://drive.google.com/file/d/1AMgOgOyGtXQOJ73biCRZa_pfNbUO_osM/view" TargetMode="External"/><Relationship Id="rId1931" Type="http://schemas.openxmlformats.org/officeDocument/2006/relationships/hyperlink" Target="https://drive.google.com/file/d/1Hv4pJzy0FZueD17oi_JPT0PM0LXvyB3O/view" TargetMode="External"/><Relationship Id="rId1932" Type="http://schemas.openxmlformats.org/officeDocument/2006/relationships/hyperlink" Target="https://drive.google.com/file/d/1WHzZesxM9mk2x_A_z4EpXsJdqrK35TQU/view" TargetMode="External"/><Relationship Id="rId1933" Type="http://schemas.openxmlformats.org/officeDocument/2006/relationships/hyperlink" Target="https://drive.google.com/file/d/1C6HajhXqrTs26a-9cs0Ix9fGdvw0167V/view" TargetMode="External"/><Relationship Id="rId1934" Type="http://schemas.openxmlformats.org/officeDocument/2006/relationships/hyperlink" Target="https://drive.google.com/file/d/1EYko3V6pnXvWR_YmzJh3kRTd_dmctgeR/view" TargetMode="External"/><Relationship Id="rId1935" Type="http://schemas.openxmlformats.org/officeDocument/2006/relationships/hyperlink" Target="https://drive.google.com/file/d/1KuIT2dbLrlW5eog7Ts4Pflfl7Zm4iMz4/view" TargetMode="External"/><Relationship Id="rId1936" Type="http://schemas.openxmlformats.org/officeDocument/2006/relationships/hyperlink" Target="https://drive.google.com/file/d/1ENOjMbNdetNu32aeT7uiu5GrQjNvOnHd/view" TargetMode="External"/><Relationship Id="rId1937" Type="http://schemas.openxmlformats.org/officeDocument/2006/relationships/hyperlink" Target="https://drive.google.com/file/d/1AMgOgOyGtXQOJ73biCRZa_pfNbUO_osM/view" TargetMode="External"/><Relationship Id="rId1938" Type="http://schemas.openxmlformats.org/officeDocument/2006/relationships/hyperlink" Target="https://drive.google.com/file/d/1Hv4pJzy0FZueD17oi_JPT0PM0LXvyB3O/view" TargetMode="External"/><Relationship Id="rId1939" Type="http://schemas.openxmlformats.org/officeDocument/2006/relationships/hyperlink" Target="https://drive.google.com/file/d/1WHzZesxM9mk2x_A_z4EpXsJdqrK35TQU/view" TargetMode="External"/><Relationship Id="rId1920" Type="http://schemas.openxmlformats.org/officeDocument/2006/relationships/hyperlink" Target="https://drive.google.com/file/d/1Cgm48oSuAKTxVuYZrAJS_yTdyPGL2_RY/view" TargetMode="External"/><Relationship Id="rId1921" Type="http://schemas.openxmlformats.org/officeDocument/2006/relationships/hyperlink" Target="https://drive.google.com/file/d/1T_CqZitC6KPi2H6Umk9lYJ3QDTjt3KW3/view" TargetMode="External"/><Relationship Id="rId1922" Type="http://schemas.openxmlformats.org/officeDocument/2006/relationships/hyperlink" Target="https://drive.google.com/file/d/1c_D6M0500oKoovPSGytJrK6qPQpa8ivT/view" TargetMode="External"/><Relationship Id="rId1923" Type="http://schemas.openxmlformats.org/officeDocument/2006/relationships/hyperlink" Target="https://drive.google.com/file/d/1MjtBrO0ASjMXvYi8qtjJjMVlZSm8YG93/view" TargetMode="External"/><Relationship Id="rId1924" Type="http://schemas.openxmlformats.org/officeDocument/2006/relationships/hyperlink" Target="https://drive.google.com/file/d/14ZUHGtERDN1JYwNMxOnIXzFA4FhV4sud/view" TargetMode="External"/><Relationship Id="rId1925" Type="http://schemas.openxmlformats.org/officeDocument/2006/relationships/hyperlink" Target="https://drive.google.com/file/d/1MulpbuM6XpH6zycg3j20_Rg7VoqVED8u/view" TargetMode="External"/><Relationship Id="rId1926" Type="http://schemas.openxmlformats.org/officeDocument/2006/relationships/hyperlink" Target="https://drive.google.com/file/d/17byCEg9yJYlS-eAoQctSSj9IcbOvDj4C/view" TargetMode="External"/><Relationship Id="rId1927" Type="http://schemas.openxmlformats.org/officeDocument/2006/relationships/hyperlink" Target="https://drive.google.com/file/d/1Cgm48oSuAKTxVuYZrAJS_yTdyPGL2_RY/view" TargetMode="External"/><Relationship Id="rId1928" Type="http://schemas.openxmlformats.org/officeDocument/2006/relationships/hyperlink" Target="https://drive.google.com/file/d/1KuIT2dbLrlW5eog7Ts4Pflfl7Zm4iMz4/view" TargetMode="External"/><Relationship Id="rId1929" Type="http://schemas.openxmlformats.org/officeDocument/2006/relationships/hyperlink" Target="https://drive.google.com/file/d/1ENOjMbNdetNu32aeT7uiu5GrQjNvOnHd/view" TargetMode="External"/><Relationship Id="rId4190" Type="http://schemas.openxmlformats.org/officeDocument/2006/relationships/hyperlink" Target="https://drive.google.com/file/d/1YouE4lkQpuTuRvzds4Ql5GkHfe6smP3_/view" TargetMode="External"/><Relationship Id="rId4192" Type="http://schemas.openxmlformats.org/officeDocument/2006/relationships/hyperlink" Target="https://drive.google.com/file/d/1MNnt5qJFDu_Wgf9XOAmTN4YyMV3Uu1Fq/view" TargetMode="External"/><Relationship Id="rId4191" Type="http://schemas.openxmlformats.org/officeDocument/2006/relationships/hyperlink" Target="https://drive.google.com/file/d/1zp5VjRRziXp9TqnAd7dDC0vGcK5qvLim/view" TargetMode="External"/><Relationship Id="rId4194" Type="http://schemas.openxmlformats.org/officeDocument/2006/relationships/hyperlink" Target="https://drive.google.com/file/d/1TDOARynbuDBr3PMX1jXEUxKUOFtULkAr/view" TargetMode="External"/><Relationship Id="rId4193" Type="http://schemas.openxmlformats.org/officeDocument/2006/relationships/hyperlink" Target="https://drive.google.com/file/d/1Kru954Iu0iuOHIEEe3p5SP8BQ5y0DAF_/view" TargetMode="External"/><Relationship Id="rId4196" Type="http://schemas.openxmlformats.org/officeDocument/2006/relationships/hyperlink" Target="https://drive.google.com/file/d/1UgSFmPAaQMhjx4QPedAGoSq73TGgmji5/view" TargetMode="External"/><Relationship Id="rId4195" Type="http://schemas.openxmlformats.org/officeDocument/2006/relationships/hyperlink" Target="https://drive.google.com/file/d/1-mJ6MrPhs8peAFfZDoBCLR1Dr45epo87/view" TargetMode="External"/><Relationship Id="rId4198" Type="http://schemas.openxmlformats.org/officeDocument/2006/relationships/hyperlink" Target="https://drive.google.com/file/d/1pWAg7BBIg4rJUjj2I-0x3u4i80enxO4u/view" TargetMode="External"/><Relationship Id="rId4197" Type="http://schemas.openxmlformats.org/officeDocument/2006/relationships/hyperlink" Target="https://drive.google.com/file/d/1Dnzl2Dqwab472SZsgPcA1Wi7dMoDg3MF/view" TargetMode="External"/><Relationship Id="rId4199" Type="http://schemas.openxmlformats.org/officeDocument/2006/relationships/hyperlink" Target="https://drive.google.com/file/d/1bGp7bk8J6wGnHdzulAQ57B6OOneZVpEe/view" TargetMode="External"/><Relationship Id="rId1950" Type="http://schemas.openxmlformats.org/officeDocument/2006/relationships/hyperlink" Target="https://drive.google.com/file/d/1aS5sqe86dExQqoq-urxzS1vf--tsCkq4/view" TargetMode="External"/><Relationship Id="rId1951" Type="http://schemas.openxmlformats.org/officeDocument/2006/relationships/hyperlink" Target="https://drive.google.com/file/d/1w3Yikb4fyRZlB1WUrbkeIlwiqTEhhAz0/view" TargetMode="External"/><Relationship Id="rId1952" Type="http://schemas.openxmlformats.org/officeDocument/2006/relationships/hyperlink" Target="https://drive.google.com/file/d/1NqiGRooDabBlGAc_B53QRAJgUjngGIcA/view" TargetMode="External"/><Relationship Id="rId1953" Type="http://schemas.openxmlformats.org/officeDocument/2006/relationships/hyperlink" Target="https://drive.google.com/file/d/1Vun84UQ3qJ5AHk1h226Y6F3syH_ZmDuu/view" TargetMode="External"/><Relationship Id="rId1954" Type="http://schemas.openxmlformats.org/officeDocument/2006/relationships/hyperlink" Target="https://drive.google.com/file/d/1W9O_6HbcUE5_hPTc0ejLxkRFCjBR-6CC/view" TargetMode="External"/><Relationship Id="rId1955" Type="http://schemas.openxmlformats.org/officeDocument/2006/relationships/hyperlink" Target="https://drive.google.com/file/d/1IGgQW1zdcrNibTIi54pCYF90rtNBtbkR/view" TargetMode="External"/><Relationship Id="rId1956" Type="http://schemas.openxmlformats.org/officeDocument/2006/relationships/hyperlink" Target="https://drive.google.com/file/d/1-YU23zw1lvzN9T5dpL7JfNtfNNJBnisk/view" TargetMode="External"/><Relationship Id="rId1957" Type="http://schemas.openxmlformats.org/officeDocument/2006/relationships/hyperlink" Target="https://drive.google.com/file/d/1aS5sqe86dExQqoq-urxzS1vf--tsCkq4/view" TargetMode="External"/><Relationship Id="rId1958" Type="http://schemas.openxmlformats.org/officeDocument/2006/relationships/hyperlink" Target="https://drive.google.com/file/d/1w3Yikb4fyRZlB1WUrbkeIlwiqTEhhAz0/view" TargetMode="External"/><Relationship Id="rId1959" Type="http://schemas.openxmlformats.org/officeDocument/2006/relationships/hyperlink" Target="https://drive.google.com/file/d/1NqiGRooDabBlGAc_B53QRAJgUjngGIcA/view" TargetMode="External"/><Relationship Id="rId1940" Type="http://schemas.openxmlformats.org/officeDocument/2006/relationships/hyperlink" Target="https://drive.google.com/file/d/1C6HajhXqrTs26a-9cs0Ix9fGdvw0167V/view" TargetMode="External"/><Relationship Id="rId1941" Type="http://schemas.openxmlformats.org/officeDocument/2006/relationships/hyperlink" Target="https://drive.google.com/file/d/1EYko3V6pnXvWR_YmzJh3kRTd_dmctgeR/view" TargetMode="External"/><Relationship Id="rId1942" Type="http://schemas.openxmlformats.org/officeDocument/2006/relationships/hyperlink" Target="https://drive.google.com/file/d/1tC2BfUeDjk-KWZ3Efj4ZAZk9UIzh4mIA/view" TargetMode="External"/><Relationship Id="rId1943" Type="http://schemas.openxmlformats.org/officeDocument/2006/relationships/hyperlink" Target="https://drive.google.com/file/d/1FEzh7b5tkCzclIWN0NjVuymJ1EguHzVP/view" TargetMode="External"/><Relationship Id="rId1944" Type="http://schemas.openxmlformats.org/officeDocument/2006/relationships/hyperlink" Target="https://drive.google.com/file/d/1AMgOgOyGtXQOJ73biCRZa_pfNbUO_osM/view" TargetMode="External"/><Relationship Id="rId1945" Type="http://schemas.openxmlformats.org/officeDocument/2006/relationships/hyperlink" Target="https://drive.google.com/file/d/1Hv4pJzy0FZueD17oi_JPT0PM0LXvyB3O/view" TargetMode="External"/><Relationship Id="rId1946" Type="http://schemas.openxmlformats.org/officeDocument/2006/relationships/hyperlink" Target="https://drive.google.com/file/d/1WHzZesxM9mk2x_A_z4EpXsJdqrK35TQU/view" TargetMode="External"/><Relationship Id="rId1947" Type="http://schemas.openxmlformats.org/officeDocument/2006/relationships/hyperlink" Target="https://drive.google.com/file/d/1C6HajhXqrTs26a-9cs0Ix9fGdvw0167V/view" TargetMode="External"/><Relationship Id="rId1948" Type="http://schemas.openxmlformats.org/officeDocument/2006/relationships/hyperlink" Target="https://drive.google.com/file/d/1EYko3V6pnXvWR_YmzJh3kRTd_dmctgeR/view" TargetMode="External"/><Relationship Id="rId1949" Type="http://schemas.openxmlformats.org/officeDocument/2006/relationships/hyperlink" Target="https://drive.google.com/file/d/1-YU23zw1lvzN9T5dpL7JfNtfNNJBnisk/view" TargetMode="External"/><Relationship Id="rId2423" Type="http://schemas.openxmlformats.org/officeDocument/2006/relationships/hyperlink" Target="https://drive.google.com/file/d/15D-euA89ZhaQS9-55Wgri6trbJcy4h3U/view" TargetMode="External"/><Relationship Id="rId3755" Type="http://schemas.openxmlformats.org/officeDocument/2006/relationships/hyperlink" Target="https://drive.google.com/file/d/1iThDtCjN5vZJckFmzDw6GeRi-mrKrKdc/view" TargetMode="External"/><Relationship Id="rId2424" Type="http://schemas.openxmlformats.org/officeDocument/2006/relationships/hyperlink" Target="https://drive.google.com/file/d/13-8LukgwJXX2kKc63Cn4gpvmx1t6Ltg7/view" TargetMode="External"/><Relationship Id="rId3754" Type="http://schemas.openxmlformats.org/officeDocument/2006/relationships/hyperlink" Target="https://drive.google.com/file/d/1oDh_tEr77vj_W7E7O0z34TcvaGyDY8Ee/view" TargetMode="External"/><Relationship Id="rId2425" Type="http://schemas.openxmlformats.org/officeDocument/2006/relationships/hyperlink" Target="https://drive.google.com/file/d/1KtpWfoLXFOxjNicUNKQpfyUItoRU-laW/view" TargetMode="External"/><Relationship Id="rId3757" Type="http://schemas.openxmlformats.org/officeDocument/2006/relationships/hyperlink" Target="https://drive.google.com/file/d/1BuOM-6sFhWeF8ol3ouBXQgJTeOUtmNfk/view" TargetMode="External"/><Relationship Id="rId2426" Type="http://schemas.openxmlformats.org/officeDocument/2006/relationships/hyperlink" Target="https://drive.google.com/file/d/16FPfgqceErThqEwHXAankCxN0OBweUCN/view" TargetMode="External"/><Relationship Id="rId3756" Type="http://schemas.openxmlformats.org/officeDocument/2006/relationships/hyperlink" Target="https://drive.google.com/file/d/1nNfF_Ebg7pfIfrQJBat4-eFJiMm3oBw7/view" TargetMode="External"/><Relationship Id="rId2427" Type="http://schemas.openxmlformats.org/officeDocument/2006/relationships/hyperlink" Target="https://drive.google.com/file/d/1c7rKTL-iUcb3-BsHnhi9hNJuVedi3Kg3/view" TargetMode="External"/><Relationship Id="rId3759" Type="http://schemas.openxmlformats.org/officeDocument/2006/relationships/hyperlink" Target="https://drive.google.com/file/d/1swopcJ4ZscextkF12XVJ7CKuqDW_nfNK/view" TargetMode="External"/><Relationship Id="rId2428" Type="http://schemas.openxmlformats.org/officeDocument/2006/relationships/hyperlink" Target="https://drive.google.com/file/d/13ac0oaptDqpqay3eDFY5q7kJ8KEFiRY3/view" TargetMode="External"/><Relationship Id="rId3758" Type="http://schemas.openxmlformats.org/officeDocument/2006/relationships/hyperlink" Target="https://drive.google.com/file/d/1NShwEflP8zaImLcCN6ZZElxc0ideWeJ3/view" TargetMode="External"/><Relationship Id="rId2429" Type="http://schemas.openxmlformats.org/officeDocument/2006/relationships/hyperlink" Target="https://drive.google.com/file/d/1o6ql91xlTo2qIcyjWgGofzNbP2wwl2oU/view" TargetMode="External"/><Relationship Id="rId509" Type="http://schemas.openxmlformats.org/officeDocument/2006/relationships/hyperlink" Target="https://drive.google.com/file/d/1CQF9W13IjasTYzQoK18y9i66qaHFTWd9/view" TargetMode="External"/><Relationship Id="rId508" Type="http://schemas.openxmlformats.org/officeDocument/2006/relationships/hyperlink" Target="https://drive.google.com/file/d/1tvsYHsXRnrCuMV7X55hTOV009urGsG3h/view" TargetMode="External"/><Relationship Id="rId503" Type="http://schemas.openxmlformats.org/officeDocument/2006/relationships/hyperlink" Target="https://drive.google.com/file/d/1M7rIkOfmvsgatSu0GJIpzIQIhpk19AD7/view" TargetMode="External"/><Relationship Id="rId502" Type="http://schemas.openxmlformats.org/officeDocument/2006/relationships/hyperlink" Target="https://drive.google.com/file/d/1a7G3fgqxbA9YonzUe2dt_1BH2r2Dbkcq/view" TargetMode="External"/><Relationship Id="rId501" Type="http://schemas.openxmlformats.org/officeDocument/2006/relationships/hyperlink" Target="https://drive.google.com/file/d/17dGlycTORKDXilhDpnxPACcgpsP5bflJ/view" TargetMode="External"/><Relationship Id="rId500" Type="http://schemas.openxmlformats.org/officeDocument/2006/relationships/hyperlink" Target="https://drive.google.com/file/d/19EI5khoMmKgH7eiNlT_TR0qgybtv4F0X/view" TargetMode="External"/><Relationship Id="rId507" Type="http://schemas.openxmlformats.org/officeDocument/2006/relationships/hyperlink" Target="https://drive.google.com/file/d/1xWR0583A2fAMxiuLbyNIfoRYgNAZcUU5/view" TargetMode="External"/><Relationship Id="rId506" Type="http://schemas.openxmlformats.org/officeDocument/2006/relationships/hyperlink" Target="https://drive.google.com/file/d/11FdgHk8XWb0gNuKsTsnskB9ga9CFxNTd/view" TargetMode="External"/><Relationship Id="rId505" Type="http://schemas.openxmlformats.org/officeDocument/2006/relationships/hyperlink" Target="https://drive.google.com/file/d/1y9muiGBc5xHvXM-T0VZGB1IxCps3GNA6/view" TargetMode="External"/><Relationship Id="rId504" Type="http://schemas.openxmlformats.org/officeDocument/2006/relationships/hyperlink" Target="https://drive.google.com/file/d/1CQF9W13IjasTYzQoK18y9i66qaHFTWd9/view" TargetMode="External"/><Relationship Id="rId3751" Type="http://schemas.openxmlformats.org/officeDocument/2006/relationships/hyperlink" Target="https://drive.google.com/file/d/1Raznd52KLCmFG5N-Qu4td4872qGWfjZ4/view" TargetMode="External"/><Relationship Id="rId2420" Type="http://schemas.openxmlformats.org/officeDocument/2006/relationships/hyperlink" Target="https://drive.google.com/file/d/1LYt3O1I0qLciEohb8V0e_qAIAQ6Rd0o5/view" TargetMode="External"/><Relationship Id="rId3750" Type="http://schemas.openxmlformats.org/officeDocument/2006/relationships/hyperlink" Target="https://drive.google.com/file/d/1fEzesHQB7U9Cu-RGFoPNFOTuVxaJJWIR/view" TargetMode="External"/><Relationship Id="rId2421" Type="http://schemas.openxmlformats.org/officeDocument/2006/relationships/hyperlink" Target="https://drive.google.com/file/d/16FPfgqceErThqEwHXAankCxN0OBweUCN/view" TargetMode="External"/><Relationship Id="rId3753" Type="http://schemas.openxmlformats.org/officeDocument/2006/relationships/hyperlink" Target="https://drive.google.com/file/d/1WdNhRM6xD0vd2tBpYSpfuYhPq87Pwvy0/view" TargetMode="External"/><Relationship Id="rId2422" Type="http://schemas.openxmlformats.org/officeDocument/2006/relationships/hyperlink" Target="https://drive.google.com/file/d/1N1n43YvGC8TGdKNucWZxP89he85V3VrO/view" TargetMode="External"/><Relationship Id="rId3752" Type="http://schemas.openxmlformats.org/officeDocument/2006/relationships/hyperlink" Target="https://drive.google.com/file/d/1IT_f1SkOnclEEgw4KpIsz0hGEtUoo5sp/view" TargetMode="External"/><Relationship Id="rId2412" Type="http://schemas.openxmlformats.org/officeDocument/2006/relationships/hyperlink" Target="https://drive.google.com/file/d/1ZVEFdcNtqdHoKAHWlq35OHtIa-YZXdoN/view" TargetMode="External"/><Relationship Id="rId3744" Type="http://schemas.openxmlformats.org/officeDocument/2006/relationships/hyperlink" Target="https://drive.google.com/file/d/1eRY1fCk-O8po56wPrItVVw6FotPqfPQo/view" TargetMode="External"/><Relationship Id="rId2413" Type="http://schemas.openxmlformats.org/officeDocument/2006/relationships/hyperlink" Target="https://drive.google.com/file/d/1fRjWbJlaIMwFHZ-93Iy7SyJ92JvzYz5p/view" TargetMode="External"/><Relationship Id="rId3743" Type="http://schemas.openxmlformats.org/officeDocument/2006/relationships/hyperlink" Target="https://drive.google.com/file/d/1fEzesHQB7U9Cu-RGFoPNFOTuVxaJJWIR/view" TargetMode="External"/><Relationship Id="rId2414" Type="http://schemas.openxmlformats.org/officeDocument/2006/relationships/hyperlink" Target="https://drive.google.com/file/d/1BDB2qCU7-DBOmWeXLz5ec9h6t98Yyuqm/view" TargetMode="External"/><Relationship Id="rId3746" Type="http://schemas.openxmlformats.org/officeDocument/2006/relationships/hyperlink" Target="https://drive.google.com/file/d/1WdNhRM6xD0vd2tBpYSpfuYhPq87Pwvy0/view" TargetMode="External"/><Relationship Id="rId2415" Type="http://schemas.openxmlformats.org/officeDocument/2006/relationships/hyperlink" Target="https://drive.google.com/file/d/1duIm7HyPxBl7Gop1kyC3nG7D1mKyTEoB/view" TargetMode="External"/><Relationship Id="rId3745" Type="http://schemas.openxmlformats.org/officeDocument/2006/relationships/hyperlink" Target="https://drive.google.com/file/d/19ExAWCEPEMp64nAHMifMpDyuSMtESmqY/view" TargetMode="External"/><Relationship Id="rId2416" Type="http://schemas.openxmlformats.org/officeDocument/2006/relationships/hyperlink" Target="https://drive.google.com/file/d/1YRhBXQe4u_srcECm6T_xUGxvcm5i4xGe/view" TargetMode="External"/><Relationship Id="rId3748" Type="http://schemas.openxmlformats.org/officeDocument/2006/relationships/hyperlink" Target="https://drive.google.com/file/d/1iThDtCjN5vZJckFmzDw6GeRi-mrKrKdc/view" TargetMode="External"/><Relationship Id="rId2417" Type="http://schemas.openxmlformats.org/officeDocument/2006/relationships/hyperlink" Target="https://drive.google.com/file/d/1st_VcPGYH0rgV55D_nUFUgCt4prjZ6jX/view" TargetMode="External"/><Relationship Id="rId3747" Type="http://schemas.openxmlformats.org/officeDocument/2006/relationships/hyperlink" Target="https://drive.google.com/file/d/1oDh_tEr77vj_W7E7O0z34TcvaGyDY8Ee/view" TargetMode="External"/><Relationship Id="rId2418" Type="http://schemas.openxmlformats.org/officeDocument/2006/relationships/hyperlink" Target="https://drive.google.com/file/d/1iahW66wfj3XnJbyE9GOxZ8OQNYR6ETTM/view" TargetMode="External"/><Relationship Id="rId2419" Type="http://schemas.openxmlformats.org/officeDocument/2006/relationships/hyperlink" Target="https://drive.google.com/file/d/1akipTawtx524t_YhipRvzvd8wXfRXEkd/view" TargetMode="External"/><Relationship Id="rId3749" Type="http://schemas.openxmlformats.org/officeDocument/2006/relationships/hyperlink" Target="https://drive.google.com/file/d/1nNfF_Ebg7pfIfrQJBat4-eFJiMm3oBw7/view" TargetMode="External"/><Relationship Id="rId3740" Type="http://schemas.openxmlformats.org/officeDocument/2006/relationships/hyperlink" Target="https://drive.google.com/file/d/1oDh_tEr77vj_W7E7O0z34TcvaGyDY8Ee/view" TargetMode="External"/><Relationship Id="rId2410" Type="http://schemas.openxmlformats.org/officeDocument/2006/relationships/hyperlink" Target="https://drive.google.com/file/d/1jqEt9kw9va1vNs10LsRu2Vz4j-92aDIr/view" TargetMode="External"/><Relationship Id="rId3742" Type="http://schemas.openxmlformats.org/officeDocument/2006/relationships/hyperlink" Target="https://drive.google.com/file/d/1nNfF_Ebg7pfIfrQJBat4-eFJiMm3oBw7/view" TargetMode="External"/><Relationship Id="rId2411" Type="http://schemas.openxmlformats.org/officeDocument/2006/relationships/hyperlink" Target="https://drive.google.com/file/d/16S1U0cLyY7KGMBdFglHqJtvL-jZ5FNR7/view" TargetMode="External"/><Relationship Id="rId3741" Type="http://schemas.openxmlformats.org/officeDocument/2006/relationships/hyperlink" Target="https://drive.google.com/file/d/1iThDtCjN5vZJckFmzDw6GeRi-mrKrKdc/view" TargetMode="External"/><Relationship Id="rId1114" Type="http://schemas.openxmlformats.org/officeDocument/2006/relationships/hyperlink" Target="https://drive.google.com/file/d/1AveFF8zVqXaVKh3FFR2OFBAjS_Ow6vmL/view" TargetMode="External"/><Relationship Id="rId2445" Type="http://schemas.openxmlformats.org/officeDocument/2006/relationships/hyperlink" Target="https://drive.google.com/file/d/1NxslxAlE2FMfhT18lejsqjdJrdikJPuV/view" TargetMode="External"/><Relationship Id="rId3777" Type="http://schemas.openxmlformats.org/officeDocument/2006/relationships/hyperlink" Target="https://drive.google.com/file/d/1zOZiavt9ItHUjHvjE_OYFs7Oj8Gxo0Mt/view" TargetMode="External"/><Relationship Id="rId1115" Type="http://schemas.openxmlformats.org/officeDocument/2006/relationships/hyperlink" Target="https://drive.google.com/file/d/1AGMhdE8nBNL8g_YRTrfayOxlwhD1zIq3/view" TargetMode="External"/><Relationship Id="rId2446" Type="http://schemas.openxmlformats.org/officeDocument/2006/relationships/hyperlink" Target="https://drive.google.com/file/d/1sdgn5WuL9uv5fYMuv_Sms86xCfj19XeF/view" TargetMode="External"/><Relationship Id="rId3776" Type="http://schemas.openxmlformats.org/officeDocument/2006/relationships/hyperlink" Target="https://drive.google.com/file/d/16lVaBe0-1OZ1S1jLF0pZVrK-R0lZdYgP/view" TargetMode="External"/><Relationship Id="rId1116" Type="http://schemas.openxmlformats.org/officeDocument/2006/relationships/hyperlink" Target="https://drive.google.com/file/d/1ZAWMwONT86S6q5qm9KIiWpF_Z9yjDmkm/view" TargetMode="External"/><Relationship Id="rId2447" Type="http://schemas.openxmlformats.org/officeDocument/2006/relationships/hyperlink" Target="https://drive.google.com/file/d/1EBs_5dngyTomYxyh3QQ6O4xjUibN-vQ3/view" TargetMode="External"/><Relationship Id="rId3779" Type="http://schemas.openxmlformats.org/officeDocument/2006/relationships/hyperlink" Target="https://drive.google.com/file/d/1mbOuddyxROzSNXttIRflE4Ylm5_JBPV4/view" TargetMode="External"/><Relationship Id="rId1117" Type="http://schemas.openxmlformats.org/officeDocument/2006/relationships/hyperlink" Target="https://drive.google.com/file/d/1gyFL8dRcn8Yzodu81-RQLv8xF07qjx5A/view" TargetMode="External"/><Relationship Id="rId2448" Type="http://schemas.openxmlformats.org/officeDocument/2006/relationships/hyperlink" Target="https://drive.google.com/file/d/16_NeVMvw1ano44SolFTqlEpu-M_HOzWO/view" TargetMode="External"/><Relationship Id="rId3778" Type="http://schemas.openxmlformats.org/officeDocument/2006/relationships/hyperlink" Target="https://drive.google.com/file/d/1oAEWO1QvRZDS9Y-7gIumg5IS65ZfFlpm/view" TargetMode="External"/><Relationship Id="rId1118" Type="http://schemas.openxmlformats.org/officeDocument/2006/relationships/hyperlink" Target="https://drive.google.com/file/d/1FpLF10hdxSVTrHFPTEvGdifHSG_q71QO/view" TargetMode="External"/><Relationship Id="rId2449" Type="http://schemas.openxmlformats.org/officeDocument/2006/relationships/hyperlink" Target="https://drive.google.com/file/d/1zd9j6q7aQjDBAQ35AKXsbojq6_gq5NAt/view" TargetMode="External"/><Relationship Id="rId1119" Type="http://schemas.openxmlformats.org/officeDocument/2006/relationships/hyperlink" Target="https://drive.google.com/file/d/1t1LORH5iSncVmk76co692P5anNTt4N8w/view" TargetMode="External"/><Relationship Id="rId525" Type="http://schemas.openxmlformats.org/officeDocument/2006/relationships/hyperlink" Target="https://drive.google.com/file/d/1ZHTY5RYWumErtpkKqd_mZwUbfA72GJHn/view" TargetMode="External"/><Relationship Id="rId524" Type="http://schemas.openxmlformats.org/officeDocument/2006/relationships/hyperlink" Target="https://drive.google.com/file/d/1gkRInDfpVGIzx9RoLvc6W73NScQwSCIu/view" TargetMode="External"/><Relationship Id="rId523" Type="http://schemas.openxmlformats.org/officeDocument/2006/relationships/hyperlink" Target="https://drive.google.com/file/d/1RQOv8057sk0xgSOwQ12-u5kZfikiegPp/view" TargetMode="External"/><Relationship Id="rId522" Type="http://schemas.openxmlformats.org/officeDocument/2006/relationships/hyperlink" Target="https://drive.google.com/file/d/1FwBP3Wtfv8wE5yjLIxfnuYtmOSY9X2fv/view" TargetMode="External"/><Relationship Id="rId529" Type="http://schemas.openxmlformats.org/officeDocument/2006/relationships/hyperlink" Target="https://drive.google.com/file/d/1s7oATRKT0FNbYD9BO8XVBS1F39fTZMFn/view" TargetMode="External"/><Relationship Id="rId528" Type="http://schemas.openxmlformats.org/officeDocument/2006/relationships/hyperlink" Target="https://drive.google.com/file/d/1RQOv8057sk0xgSOwQ12-u5kZfikiegPp/view" TargetMode="External"/><Relationship Id="rId527" Type="http://schemas.openxmlformats.org/officeDocument/2006/relationships/hyperlink" Target="https://drive.google.com/file/d/1FwBP3Wtfv8wE5yjLIxfnuYtmOSY9X2fv/view" TargetMode="External"/><Relationship Id="rId526" Type="http://schemas.openxmlformats.org/officeDocument/2006/relationships/hyperlink" Target="https://drive.google.com/file/d/1j1vFHtuYVla2aiYhnLAwAVLG2CB0om0d/view" TargetMode="External"/><Relationship Id="rId3771" Type="http://schemas.openxmlformats.org/officeDocument/2006/relationships/hyperlink" Target="https://drive.google.com/file/d/1di2f6E8B_XkZnmgaNX00UONJWR9OKFTk/view" TargetMode="External"/><Relationship Id="rId2440" Type="http://schemas.openxmlformats.org/officeDocument/2006/relationships/hyperlink" Target="https://drive.google.com/file/d/1EBs_5dngyTomYxyh3QQ6O4xjUibN-vQ3/view" TargetMode="External"/><Relationship Id="rId3770" Type="http://schemas.openxmlformats.org/officeDocument/2006/relationships/hyperlink" Target="https://drive.google.com/file/d/1zOZiavt9ItHUjHvjE_OYFs7Oj8Gxo0Mt/view" TargetMode="External"/><Relationship Id="rId521" Type="http://schemas.openxmlformats.org/officeDocument/2006/relationships/hyperlink" Target="https://drive.google.com/file/d/1j1vFHtuYVla2aiYhnLAwAVLG2CB0om0d/view" TargetMode="External"/><Relationship Id="rId1110" Type="http://schemas.openxmlformats.org/officeDocument/2006/relationships/hyperlink" Target="https://drive.google.com/file/d/1VNhtJifLVaE7oZv-eQlENCnATb6Jh-Sa/view" TargetMode="External"/><Relationship Id="rId2441" Type="http://schemas.openxmlformats.org/officeDocument/2006/relationships/hyperlink" Target="https://drive.google.com/file/d/16_NeVMvw1ano44SolFTqlEpu-M_HOzWO/view" TargetMode="External"/><Relationship Id="rId3773" Type="http://schemas.openxmlformats.org/officeDocument/2006/relationships/hyperlink" Target="https://drive.google.com/file/d/1eUPg-0eUSJPWQBet-TItViy_5_FRTaZY/view" TargetMode="External"/><Relationship Id="rId520" Type="http://schemas.openxmlformats.org/officeDocument/2006/relationships/hyperlink" Target="https://drive.google.com/file/d/1ZHTY5RYWumErtpkKqd_mZwUbfA72GJHn/view" TargetMode="External"/><Relationship Id="rId1111" Type="http://schemas.openxmlformats.org/officeDocument/2006/relationships/hyperlink" Target="https://drive.google.com/file/d/1FSN9WY2Ii2vSYcHzADQ4SBHLkeMP1TaH/view" TargetMode="External"/><Relationship Id="rId2442" Type="http://schemas.openxmlformats.org/officeDocument/2006/relationships/hyperlink" Target="https://drive.google.com/file/d/1v8VlSOWZvrW7QsVAxY6sZeV3qpcxQJEd/view" TargetMode="External"/><Relationship Id="rId3772" Type="http://schemas.openxmlformats.org/officeDocument/2006/relationships/hyperlink" Target="https://drive.google.com/file/d/1_KZVxYJO8mBj0n8kl4iy5dzeX-DjTvMd/view" TargetMode="External"/><Relationship Id="rId1112" Type="http://schemas.openxmlformats.org/officeDocument/2006/relationships/hyperlink" Target="https://drive.google.com/file/d/1-NfbwiD9ofPGH53RwCCIGXRF_qN6KD0d/view" TargetMode="External"/><Relationship Id="rId2443" Type="http://schemas.openxmlformats.org/officeDocument/2006/relationships/hyperlink" Target="https://drive.google.com/file/d/14kD7Zx_n29mG_6zDygegp5uzKpP4G7HA/view" TargetMode="External"/><Relationship Id="rId3775" Type="http://schemas.openxmlformats.org/officeDocument/2006/relationships/hyperlink" Target="https://drive.google.com/file/d/1RsChNthdxcmB9hTgJ3rV9dH9lnyvtdz6/view" TargetMode="External"/><Relationship Id="rId1113" Type="http://schemas.openxmlformats.org/officeDocument/2006/relationships/hyperlink" Target="https://drive.google.com/file/d/1CHfpRPXMf6qP8dQyNI2seii0W7ZDvx_B/view" TargetMode="External"/><Relationship Id="rId2444" Type="http://schemas.openxmlformats.org/officeDocument/2006/relationships/hyperlink" Target="https://drive.google.com/file/d/1GYWnoAgTu3gcCS2XLJGjL_rRIxiu5gtt/view" TargetMode="External"/><Relationship Id="rId3774" Type="http://schemas.openxmlformats.org/officeDocument/2006/relationships/hyperlink" Target="https://drive.google.com/file/d/1WdNhRM6xD0vd2tBpYSpfuYhPq87Pwvy0/view" TargetMode="External"/><Relationship Id="rId1103" Type="http://schemas.openxmlformats.org/officeDocument/2006/relationships/hyperlink" Target="https://drive.google.com/file/d/12m4NSS0XnY3f43rFX_jc-ScBpWeQ_LHn/view" TargetMode="External"/><Relationship Id="rId2434" Type="http://schemas.openxmlformats.org/officeDocument/2006/relationships/hyperlink" Target="https://drive.google.com/file/d/1zi0GcaxqdqZ8yGfmFo_MKpgY_qTTUyvK/view" TargetMode="External"/><Relationship Id="rId3766" Type="http://schemas.openxmlformats.org/officeDocument/2006/relationships/hyperlink" Target="https://drive.google.com/file/d/1swopcJ4ZscextkF12XVJ7CKuqDW_nfNK/view" TargetMode="External"/><Relationship Id="rId1104" Type="http://schemas.openxmlformats.org/officeDocument/2006/relationships/hyperlink" Target="https://drive.google.com/file/d/18RLXotVOC8rQ75HgsUYXCeobV6FDrO42/view" TargetMode="External"/><Relationship Id="rId2435" Type="http://schemas.openxmlformats.org/officeDocument/2006/relationships/hyperlink" Target="https://drive.google.com/file/d/1v8VlSOWZvrW7QsVAxY6sZeV3qpcxQJEd/view" TargetMode="External"/><Relationship Id="rId3765" Type="http://schemas.openxmlformats.org/officeDocument/2006/relationships/hyperlink" Target="https://drive.google.com/file/d/1NShwEflP8zaImLcCN6ZZElxc0ideWeJ3/view" TargetMode="External"/><Relationship Id="rId1105" Type="http://schemas.openxmlformats.org/officeDocument/2006/relationships/hyperlink" Target="https://drive.google.com/file/d/1C4mOEOHyaftOgsgoL9j2r3DbeW56i0eq/view" TargetMode="External"/><Relationship Id="rId2436" Type="http://schemas.openxmlformats.org/officeDocument/2006/relationships/hyperlink" Target="https://drive.google.com/file/d/14kD7Zx_n29mG_6zDygegp5uzKpP4G7HA/view" TargetMode="External"/><Relationship Id="rId3768" Type="http://schemas.openxmlformats.org/officeDocument/2006/relationships/hyperlink" Target="https://drive.google.com/file/d/1RsChNthdxcmB9hTgJ3rV9dH9lnyvtdz6/view" TargetMode="External"/><Relationship Id="rId1106" Type="http://schemas.openxmlformats.org/officeDocument/2006/relationships/hyperlink" Target="https://drive.google.com/file/d/1ICSU6WdWSBgDQe79EAulhF01RsTswkVu/view" TargetMode="External"/><Relationship Id="rId2437" Type="http://schemas.openxmlformats.org/officeDocument/2006/relationships/hyperlink" Target="https://drive.google.com/file/d/1GYWnoAgTu3gcCS2XLJGjL_rRIxiu5gtt/view" TargetMode="External"/><Relationship Id="rId3767" Type="http://schemas.openxmlformats.org/officeDocument/2006/relationships/hyperlink" Target="https://drive.google.com/file/d/1WdNhRM6xD0vd2tBpYSpfuYhPq87Pwvy0/view" TargetMode="External"/><Relationship Id="rId1107" Type="http://schemas.openxmlformats.org/officeDocument/2006/relationships/hyperlink" Target="https://drive.google.com/file/d/196hus0zH1d1ffNY1apAaUr6CCQy-Xgx_/view" TargetMode="External"/><Relationship Id="rId2438" Type="http://schemas.openxmlformats.org/officeDocument/2006/relationships/hyperlink" Target="https://drive.google.com/file/d/1NxslxAlE2FMfhT18lejsqjdJrdikJPuV/view" TargetMode="External"/><Relationship Id="rId1108" Type="http://schemas.openxmlformats.org/officeDocument/2006/relationships/hyperlink" Target="https://drive.google.com/file/d/11EX9z6vDM83XwfBlZi_jM74xQ9B7LM-2/view" TargetMode="External"/><Relationship Id="rId2439" Type="http://schemas.openxmlformats.org/officeDocument/2006/relationships/hyperlink" Target="https://drive.google.com/file/d/1sdgn5WuL9uv5fYMuv_Sms86xCfj19XeF/view" TargetMode="External"/><Relationship Id="rId3769" Type="http://schemas.openxmlformats.org/officeDocument/2006/relationships/hyperlink" Target="https://drive.google.com/file/d/16lVaBe0-1OZ1S1jLF0pZVrK-R0lZdYgP/view" TargetMode="External"/><Relationship Id="rId1109" Type="http://schemas.openxmlformats.org/officeDocument/2006/relationships/hyperlink" Target="https://drive.google.com/file/d/1g6K_7Vl1fHNX0ON9fl67i_QcU4Jr6jBv/view" TargetMode="External"/><Relationship Id="rId519" Type="http://schemas.openxmlformats.org/officeDocument/2006/relationships/hyperlink" Target="https://drive.google.com/file/d/1gkRInDfpVGIzx9RoLvc6W73NScQwSCIu/view" TargetMode="External"/><Relationship Id="rId514" Type="http://schemas.openxmlformats.org/officeDocument/2006/relationships/hyperlink" Target="https://drive.google.com/file/d/1sMnaWYdkFj3gxeIjptBLghFgwr3SU98O/view" TargetMode="External"/><Relationship Id="rId513" Type="http://schemas.openxmlformats.org/officeDocument/2006/relationships/hyperlink" Target="https://drive.google.com/file/d/1tvsYHsXRnrCuMV7X55hTOV009urGsG3h/view" TargetMode="External"/><Relationship Id="rId512" Type="http://schemas.openxmlformats.org/officeDocument/2006/relationships/hyperlink" Target="https://drive.google.com/file/d/1xWR0583A2fAMxiuLbyNIfoRYgNAZcUU5/view" TargetMode="External"/><Relationship Id="rId511" Type="http://schemas.openxmlformats.org/officeDocument/2006/relationships/hyperlink" Target="https://drive.google.com/file/d/11FdgHk8XWb0gNuKsTsnskB9ga9CFxNTd/view" TargetMode="External"/><Relationship Id="rId518" Type="http://schemas.openxmlformats.org/officeDocument/2006/relationships/hyperlink" Target="https://drive.google.com/file/d/1tvsYHsXRnrCuMV7X55hTOV009urGsG3h/view" TargetMode="External"/><Relationship Id="rId517" Type="http://schemas.openxmlformats.org/officeDocument/2006/relationships/hyperlink" Target="https://drive.google.com/file/d/1xWR0583A2fAMxiuLbyNIfoRYgNAZcUU5/view" TargetMode="External"/><Relationship Id="rId516" Type="http://schemas.openxmlformats.org/officeDocument/2006/relationships/hyperlink" Target="https://drive.google.com/file/d/11FdgHk8XWb0gNuKsTsnskB9ga9CFxNTd/view" TargetMode="External"/><Relationship Id="rId515" Type="http://schemas.openxmlformats.org/officeDocument/2006/relationships/hyperlink" Target="https://drive.google.com/file/d/1GomCQHSsdKPQfZJt2ia1FWo11UgAnPVE/view" TargetMode="External"/><Relationship Id="rId3760" Type="http://schemas.openxmlformats.org/officeDocument/2006/relationships/hyperlink" Target="https://drive.google.com/file/d/1WdNhRM6xD0vd2tBpYSpfuYhPq87Pwvy0/view" TargetMode="External"/><Relationship Id="rId510" Type="http://schemas.openxmlformats.org/officeDocument/2006/relationships/hyperlink" Target="https://drive.google.com/file/d/1y9muiGBc5xHvXM-T0VZGB1IxCps3GNA6/view" TargetMode="External"/><Relationship Id="rId2430" Type="http://schemas.openxmlformats.org/officeDocument/2006/relationships/hyperlink" Target="https://drive.google.com/file/d/1RPEvkWSIyiJiZudhd9upynzRGRHGBoYc/view" TargetMode="External"/><Relationship Id="rId3762" Type="http://schemas.openxmlformats.org/officeDocument/2006/relationships/hyperlink" Target="https://drive.google.com/file/d/16lVaBe0-1OZ1S1jLF0pZVrK-R0lZdYgP/view" TargetMode="External"/><Relationship Id="rId1100" Type="http://schemas.openxmlformats.org/officeDocument/2006/relationships/hyperlink" Target="https://drive.google.com/file/d/1EEWp0XOnVOEssN6s9BFvtQ1WDTOXPyAC/view" TargetMode="External"/><Relationship Id="rId2431" Type="http://schemas.openxmlformats.org/officeDocument/2006/relationships/hyperlink" Target="https://drive.google.com/file/d/16FPfgqceErThqEwHXAankCxN0OBweUCN/view" TargetMode="External"/><Relationship Id="rId3761" Type="http://schemas.openxmlformats.org/officeDocument/2006/relationships/hyperlink" Target="https://drive.google.com/file/d/1RsChNthdxcmB9hTgJ3rV9dH9lnyvtdz6/view" TargetMode="External"/><Relationship Id="rId1101" Type="http://schemas.openxmlformats.org/officeDocument/2006/relationships/hyperlink" Target="https://drive.google.com/file/d/1GYWnoAgTu3gcCS2XLJGjL_rRIxiu5gtt/view" TargetMode="External"/><Relationship Id="rId2432" Type="http://schemas.openxmlformats.org/officeDocument/2006/relationships/hyperlink" Target="https://drive.google.com/file/d/1EFyjlThvscA-NbLC_88CEk2_KPIOXYs3/view" TargetMode="External"/><Relationship Id="rId3764" Type="http://schemas.openxmlformats.org/officeDocument/2006/relationships/hyperlink" Target="https://drive.google.com/file/d/1di2f6E8B_XkZnmgaNX00UONJWR9OKFTk/view" TargetMode="External"/><Relationship Id="rId1102" Type="http://schemas.openxmlformats.org/officeDocument/2006/relationships/hyperlink" Target="https://drive.google.com/file/d/1hPbzvBsD5ne_T1OCATkvjc0rLG893LMi/view" TargetMode="External"/><Relationship Id="rId2433" Type="http://schemas.openxmlformats.org/officeDocument/2006/relationships/hyperlink" Target="https://drive.google.com/file/d/1CC9N5tTGCwdf6fmLoYQ9srsmC4UL-D0N/view" TargetMode="External"/><Relationship Id="rId3763" Type="http://schemas.openxmlformats.org/officeDocument/2006/relationships/hyperlink" Target="https://drive.google.com/file/d/1zOZiavt9ItHUjHvjE_OYFs7Oj8Gxo0Mt/view" TargetMode="External"/><Relationship Id="rId3711" Type="http://schemas.openxmlformats.org/officeDocument/2006/relationships/hyperlink" Target="https://drive.google.com/file/d/1dgf2Pu70yIlvaDOx85xvuQL_c-gkAIv-/view" TargetMode="External"/><Relationship Id="rId3710" Type="http://schemas.openxmlformats.org/officeDocument/2006/relationships/hyperlink" Target="https://drive.google.com/file/d/184O3bxKvUrNgsfbWlt38Q_pNHfW9H6X3/view" TargetMode="External"/><Relationship Id="rId3713" Type="http://schemas.openxmlformats.org/officeDocument/2006/relationships/hyperlink" Target="https://drive.google.com/file/d/1e1hicivIatTOMQOpN89hQ_aQ_cdtEkCr/view" TargetMode="External"/><Relationship Id="rId3712" Type="http://schemas.openxmlformats.org/officeDocument/2006/relationships/hyperlink" Target="https://drive.google.com/file/d/1Eip_scOYy0MznNlOXcs6uHGhUjv2o9Fq/view" TargetMode="External"/><Relationship Id="rId3715" Type="http://schemas.openxmlformats.org/officeDocument/2006/relationships/hyperlink" Target="https://drive.google.com/file/d/1dgf2Pu70yIlvaDOx85xvuQL_c-gkAIv-/view" TargetMode="External"/><Relationship Id="rId3714" Type="http://schemas.openxmlformats.org/officeDocument/2006/relationships/hyperlink" Target="https://drive.google.com/file/d/1jbFVePP2-yhpc3SR-beDeyXjyr-d3n8i/view" TargetMode="External"/><Relationship Id="rId3717" Type="http://schemas.openxmlformats.org/officeDocument/2006/relationships/hyperlink" Target="https://drive.google.com/file/d/1y5ucMrfBlTPRPwK8e04s0H1Ir6y8sI90/view" TargetMode="External"/><Relationship Id="rId3716" Type="http://schemas.openxmlformats.org/officeDocument/2006/relationships/hyperlink" Target="https://drive.google.com/file/d/1Eip_scOYy0MznNlOXcs6uHGhUjv2o9Fq/view" TargetMode="External"/><Relationship Id="rId3719" Type="http://schemas.openxmlformats.org/officeDocument/2006/relationships/hyperlink" Target="https://drive.google.com/file/d/1dgf2Pu70yIlvaDOx85xvuQL_c-gkAIv-/view" TargetMode="External"/><Relationship Id="rId3718" Type="http://schemas.openxmlformats.org/officeDocument/2006/relationships/hyperlink" Target="https://drive.google.com/file/d/105fINAC-Uy30eo9gD0xiNzY_SfQVCoWv/view" TargetMode="External"/><Relationship Id="rId3700" Type="http://schemas.openxmlformats.org/officeDocument/2006/relationships/hyperlink" Target="https://drive.google.com/file/d/1i6-sFMf2xpI1oMLPwd2MbnJnhgadXUWj/view" TargetMode="External"/><Relationship Id="rId3702" Type="http://schemas.openxmlformats.org/officeDocument/2006/relationships/hyperlink" Target="https://drive.google.com/file/d/1rOpVFwntDIGci21evHMtaKOBVq6SBGNc/view" TargetMode="External"/><Relationship Id="rId3701" Type="http://schemas.openxmlformats.org/officeDocument/2006/relationships/hyperlink" Target="https://drive.google.com/file/d/1kPq-wWA2HeJYlPjb8XTEfhofI0Q4TSbs/view" TargetMode="External"/><Relationship Id="rId3704" Type="http://schemas.openxmlformats.org/officeDocument/2006/relationships/hyperlink" Target="https://drive.google.com/file/d/1i6-sFMf2xpI1oMLPwd2MbnJnhgadXUWj/view" TargetMode="External"/><Relationship Id="rId3703" Type="http://schemas.openxmlformats.org/officeDocument/2006/relationships/hyperlink" Target="https://drive.google.com/file/d/1kq6rxkSqkCNqQnOo0LbvmMQ27s66e1dS/view" TargetMode="External"/><Relationship Id="rId3706" Type="http://schemas.openxmlformats.org/officeDocument/2006/relationships/hyperlink" Target="https://drive.google.com/file/d/184O3bxKvUrNgsfbWlt38Q_pNHfW9H6X3/view" TargetMode="External"/><Relationship Id="rId3705" Type="http://schemas.openxmlformats.org/officeDocument/2006/relationships/hyperlink" Target="https://drive.google.com/file/d/1yfuCt6EYVoTriPKzTdyZ_dPGilnhoWz-/view" TargetMode="External"/><Relationship Id="rId3708" Type="http://schemas.openxmlformats.org/officeDocument/2006/relationships/hyperlink" Target="https://drive.google.com/file/d/1Eip_scOYy0MznNlOXcs6uHGhUjv2o9Fq/view" TargetMode="External"/><Relationship Id="rId3707" Type="http://schemas.openxmlformats.org/officeDocument/2006/relationships/hyperlink" Target="https://drive.google.com/file/d/1dgf2Pu70yIlvaDOx85xvuQL_c-gkAIv-/view" TargetMode="External"/><Relationship Id="rId3709" Type="http://schemas.openxmlformats.org/officeDocument/2006/relationships/hyperlink" Target="https://drive.google.com/file/d/1yfuCt6EYVoTriPKzTdyZ_dPGilnhoWz-/view" TargetMode="External"/><Relationship Id="rId2401" Type="http://schemas.openxmlformats.org/officeDocument/2006/relationships/hyperlink" Target="https://drive.google.com/file/d/1Raah-12c48FCegiub8tUDDYGahKU24Aa/view" TargetMode="External"/><Relationship Id="rId3733" Type="http://schemas.openxmlformats.org/officeDocument/2006/relationships/hyperlink" Target="https://drive.google.com/file/d/1ekCgdMnhI7-RdhE7MoFko0cZvwvi7oS9/view" TargetMode="External"/><Relationship Id="rId2402" Type="http://schemas.openxmlformats.org/officeDocument/2006/relationships/hyperlink" Target="https://drive.google.com/file/d/1t23JljaYW1UjiJk6pB0Fdb4n-AUCboK9/view" TargetMode="External"/><Relationship Id="rId3732" Type="http://schemas.openxmlformats.org/officeDocument/2006/relationships/hyperlink" Target="https://drive.google.com/file/d/1Eip_scOYy0MznNlOXcs6uHGhUjv2o9Fq/view" TargetMode="External"/><Relationship Id="rId2403" Type="http://schemas.openxmlformats.org/officeDocument/2006/relationships/hyperlink" Target="https://drive.google.com/file/d/1jqEt9kw9va1vNs10LsRu2Vz4j-92aDIr/view" TargetMode="External"/><Relationship Id="rId3735" Type="http://schemas.openxmlformats.org/officeDocument/2006/relationships/hyperlink" Target="https://drive.google.com/file/d/1dgf2Pu70yIlvaDOx85xvuQL_c-gkAIv-/view" TargetMode="External"/><Relationship Id="rId2404" Type="http://schemas.openxmlformats.org/officeDocument/2006/relationships/hyperlink" Target="https://drive.google.com/file/d/16S1U0cLyY7KGMBdFglHqJtvL-jZ5FNR7/view" TargetMode="External"/><Relationship Id="rId3734" Type="http://schemas.openxmlformats.org/officeDocument/2006/relationships/hyperlink" Target="https://drive.google.com/file/d/1QldnXpk2q9TnHzBrOoZUBAyxxUIEvlH6/view" TargetMode="External"/><Relationship Id="rId2405" Type="http://schemas.openxmlformats.org/officeDocument/2006/relationships/hyperlink" Target="https://drive.google.com/file/d/1IaCdnXwIj3eROJ-NciSptImyjuz2Ye4d/view" TargetMode="External"/><Relationship Id="rId3737" Type="http://schemas.openxmlformats.org/officeDocument/2006/relationships/hyperlink" Target="https://drive.google.com/file/d/1eRY1fCk-O8po56wPrItVVw6FotPqfPQo/view" TargetMode="External"/><Relationship Id="rId2406" Type="http://schemas.openxmlformats.org/officeDocument/2006/relationships/hyperlink" Target="https://drive.google.com/file/d/1dNibZ9WPwK1sGu6TwCihRWzzde_INYsi/view" TargetMode="External"/><Relationship Id="rId3736" Type="http://schemas.openxmlformats.org/officeDocument/2006/relationships/hyperlink" Target="https://drive.google.com/file/d/1Eip_scOYy0MznNlOXcs6uHGhUjv2o9Fq/view" TargetMode="External"/><Relationship Id="rId2407" Type="http://schemas.openxmlformats.org/officeDocument/2006/relationships/hyperlink" Target="https://drive.google.com/file/d/1ScDe1hFaAjFL2ac-tkKMnkJoiiIJwmtg/view" TargetMode="External"/><Relationship Id="rId3739" Type="http://schemas.openxmlformats.org/officeDocument/2006/relationships/hyperlink" Target="https://drive.google.com/file/d/1WdNhRM6xD0vd2tBpYSpfuYhPq87Pwvy0/view" TargetMode="External"/><Relationship Id="rId2408" Type="http://schemas.openxmlformats.org/officeDocument/2006/relationships/hyperlink" Target="https://drive.google.com/file/d/1Raah-12c48FCegiub8tUDDYGahKU24Aa/view" TargetMode="External"/><Relationship Id="rId3738" Type="http://schemas.openxmlformats.org/officeDocument/2006/relationships/hyperlink" Target="https://drive.google.com/file/d/19ExAWCEPEMp64nAHMifMpDyuSMtESmqY/view" TargetMode="External"/><Relationship Id="rId2409" Type="http://schemas.openxmlformats.org/officeDocument/2006/relationships/hyperlink" Target="https://drive.google.com/file/d/1t23JljaYW1UjiJk6pB0Fdb4n-AUCboK9/view" TargetMode="External"/><Relationship Id="rId3731" Type="http://schemas.openxmlformats.org/officeDocument/2006/relationships/hyperlink" Target="https://drive.google.com/file/d/1dgf2Pu70yIlvaDOx85xvuQL_c-gkAIv-/view" TargetMode="External"/><Relationship Id="rId2400" Type="http://schemas.openxmlformats.org/officeDocument/2006/relationships/hyperlink" Target="https://drive.google.com/file/d/1ScDe1hFaAjFL2ac-tkKMnkJoiiIJwmtg/view" TargetMode="External"/><Relationship Id="rId3730" Type="http://schemas.openxmlformats.org/officeDocument/2006/relationships/hyperlink" Target="https://drive.google.com/file/d/1ovsg6w1aeuIBAW28Ij704cRiAZj3cP54/view" TargetMode="External"/><Relationship Id="rId3722" Type="http://schemas.openxmlformats.org/officeDocument/2006/relationships/hyperlink" Target="https://drive.google.com/file/d/1azNPSDpHkm447EjgbWs065yujGQFYNyM/view" TargetMode="External"/><Relationship Id="rId3721" Type="http://schemas.openxmlformats.org/officeDocument/2006/relationships/hyperlink" Target="https://drive.google.com/file/d/1cCpH7Of-md1OD2otxUC0Uidx6jso33nb/view" TargetMode="External"/><Relationship Id="rId3724" Type="http://schemas.openxmlformats.org/officeDocument/2006/relationships/hyperlink" Target="https://drive.google.com/file/d/1Eip_scOYy0MznNlOXcs6uHGhUjv2o9Fq/view" TargetMode="External"/><Relationship Id="rId3723" Type="http://schemas.openxmlformats.org/officeDocument/2006/relationships/hyperlink" Target="https://drive.google.com/file/d/1dgf2Pu70yIlvaDOx85xvuQL_c-gkAIv-/view" TargetMode="External"/><Relationship Id="rId3726" Type="http://schemas.openxmlformats.org/officeDocument/2006/relationships/hyperlink" Target="https://drive.google.com/file/d/1zSCKpX7yk7l2RTr0y8ogxvm8IMejXRC8/view" TargetMode="External"/><Relationship Id="rId3725" Type="http://schemas.openxmlformats.org/officeDocument/2006/relationships/hyperlink" Target="https://drive.google.com/file/d/1Y4BX5fKVJHIoviYz8R_D8rwBP4b-OBcD/view" TargetMode="External"/><Relationship Id="rId3728" Type="http://schemas.openxmlformats.org/officeDocument/2006/relationships/hyperlink" Target="https://drive.google.com/file/d/1Eip_scOYy0MznNlOXcs6uHGhUjv2o9Fq/view" TargetMode="External"/><Relationship Id="rId3727" Type="http://schemas.openxmlformats.org/officeDocument/2006/relationships/hyperlink" Target="https://drive.google.com/file/d/1dgf2Pu70yIlvaDOx85xvuQL_c-gkAIv-/view" TargetMode="External"/><Relationship Id="rId3729" Type="http://schemas.openxmlformats.org/officeDocument/2006/relationships/hyperlink" Target="https://drive.google.com/file/d/1iG9X0KrPpmEo0gB7MtwzHicZnpkqroej/view" TargetMode="External"/><Relationship Id="rId3720" Type="http://schemas.openxmlformats.org/officeDocument/2006/relationships/hyperlink" Target="https://drive.google.com/file/d/1Eip_scOYy0MznNlOXcs6uHGhUjv2o9Fq/view" TargetMode="External"/><Relationship Id="rId4206" Type="http://schemas.openxmlformats.org/officeDocument/2006/relationships/hyperlink" Target="https://drive.google.com/file/d/1l9RV5OhVj0EN6Ii_4tLDXxlEnFdEllZz/view" TargetMode="External"/><Relationship Id="rId4205" Type="http://schemas.openxmlformats.org/officeDocument/2006/relationships/hyperlink" Target="https://drive.google.com/file/d/1bGp7bk8J6wGnHdzulAQ57B6OOneZVpEe/view" TargetMode="External"/><Relationship Id="rId4208" Type="http://schemas.openxmlformats.org/officeDocument/2006/relationships/hyperlink" Target="https://drive.google.com/file/d/1TzY0uCXPtK6ndk3VRQX1HNv3Z4UuRtlt/view" TargetMode="External"/><Relationship Id="rId4207" Type="http://schemas.openxmlformats.org/officeDocument/2006/relationships/hyperlink" Target="https://drive.google.com/file/d/1sx4OzaMed_H_GNmMly8v4sag7w2AaExP/view" TargetMode="External"/><Relationship Id="rId590" Type="http://schemas.openxmlformats.org/officeDocument/2006/relationships/hyperlink" Target="https://drive.google.com/file/d/1EA5pYxJHWtUdtlsQZGmUcEoVFDz8-mhN/view" TargetMode="External"/><Relationship Id="rId4209" Type="http://schemas.openxmlformats.org/officeDocument/2006/relationships/hyperlink" Target="https://drive.google.com/file/d/1wt0LmSFePxyCkb8yElLAk32ZJVjaLyc9/view" TargetMode="External"/><Relationship Id="rId589" Type="http://schemas.openxmlformats.org/officeDocument/2006/relationships/hyperlink" Target="https://drive.google.com/file/d/1uF2EsQ8T_VG_6QajHorRkTMCPZrjz7E3/view" TargetMode="External"/><Relationship Id="rId588" Type="http://schemas.openxmlformats.org/officeDocument/2006/relationships/hyperlink" Target="https://drive.google.com/file/d/1Yz4gPW79idDTTex09cavJGqeAwrRosAy/view" TargetMode="External"/><Relationship Id="rId1170" Type="http://schemas.openxmlformats.org/officeDocument/2006/relationships/hyperlink" Target="https://drive.google.com/file/d/1DLFpPYfgBNTbamWc5gL3Mg9iBudtt-57/view" TargetMode="External"/><Relationship Id="rId1171" Type="http://schemas.openxmlformats.org/officeDocument/2006/relationships/hyperlink" Target="https://drive.google.com/file/d/1GtcrBm1kLdgp2M5fR1bDuDOKFwXsczSh/view" TargetMode="External"/><Relationship Id="rId583" Type="http://schemas.openxmlformats.org/officeDocument/2006/relationships/hyperlink" Target="https://drive.google.com/file/d/1yDWfUQ0QG54KjGX0nhsdFY-3Y3XP3rUW/view" TargetMode="External"/><Relationship Id="rId1172" Type="http://schemas.openxmlformats.org/officeDocument/2006/relationships/hyperlink" Target="https://drive.google.com/file/d/1QI5-yjXKONCMSlZrbvRNhfC-3zv6oxMe/view" TargetMode="External"/><Relationship Id="rId582" Type="http://schemas.openxmlformats.org/officeDocument/2006/relationships/hyperlink" Target="https://drive.google.com/file/d/1fFlex-b3ynUZIWxdlA4zAlrFH3j6a9uB/view" TargetMode="External"/><Relationship Id="rId1173" Type="http://schemas.openxmlformats.org/officeDocument/2006/relationships/hyperlink" Target="https://drive.google.com/file/d/15Pq0gRU0boj73sMt5u_bDKm8AR7IIrzr/view" TargetMode="External"/><Relationship Id="rId581" Type="http://schemas.openxmlformats.org/officeDocument/2006/relationships/hyperlink" Target="https://drive.google.com/file/d/17-qhsF9fYBDZv6HKMzHv0EDj_OiHLSep/view" TargetMode="External"/><Relationship Id="rId1174" Type="http://schemas.openxmlformats.org/officeDocument/2006/relationships/hyperlink" Target="https://drive.google.com/file/d/1ttGDn0U2xCnIexEanYXYFKYUz3C6yieT/view" TargetMode="External"/><Relationship Id="rId4200" Type="http://schemas.openxmlformats.org/officeDocument/2006/relationships/hyperlink" Target="https://drive.google.com/file/d/1l9RV5OhVj0EN6Ii_4tLDXxlEnFdEllZz/view" TargetMode="External"/><Relationship Id="rId580" Type="http://schemas.openxmlformats.org/officeDocument/2006/relationships/hyperlink" Target="https://drive.google.com/file/d/1RuFiIwz-QmqTrmd-sZ1_VkS9D8v5DvRs/view" TargetMode="External"/><Relationship Id="rId1175" Type="http://schemas.openxmlformats.org/officeDocument/2006/relationships/hyperlink" Target="https://drive.google.com/file/d/1Ee021maOhWCYFi3gIEOJR9EowdbDuoVp/view" TargetMode="External"/><Relationship Id="rId587" Type="http://schemas.openxmlformats.org/officeDocument/2006/relationships/hyperlink" Target="https://drive.google.com/file/d/17dGlycTORKDXilhDpnxPACcgpsP5bflJ/view" TargetMode="External"/><Relationship Id="rId1176" Type="http://schemas.openxmlformats.org/officeDocument/2006/relationships/hyperlink" Target="https://drive.google.com/file/d/15Pq0gRU0boj73sMt5u_bDKm8AR7IIrzr/view" TargetMode="External"/><Relationship Id="rId4202" Type="http://schemas.openxmlformats.org/officeDocument/2006/relationships/hyperlink" Target="https://drive.google.com/file/d/1TzY0uCXPtK6ndk3VRQX1HNv3Z4UuRtlt/view" TargetMode="External"/><Relationship Id="rId586" Type="http://schemas.openxmlformats.org/officeDocument/2006/relationships/hyperlink" Target="https://drive.google.com/file/d/1jNSW-cijtJjvaGUw9pO5W31y3m0wHywZ/view" TargetMode="External"/><Relationship Id="rId1177" Type="http://schemas.openxmlformats.org/officeDocument/2006/relationships/hyperlink" Target="https://drive.google.com/file/d/1sU4v_aAHBZY36WrKFsNvKlQtBKQ-S-N9/view" TargetMode="External"/><Relationship Id="rId4201" Type="http://schemas.openxmlformats.org/officeDocument/2006/relationships/hyperlink" Target="https://drive.google.com/file/d/1sx4OzaMed_H_GNmMly8v4sag7w2AaExP/view" TargetMode="External"/><Relationship Id="rId585" Type="http://schemas.openxmlformats.org/officeDocument/2006/relationships/hyperlink" Target="https://drive.google.com/file/d/1WpzzfzVMdffRcAnXouFmoDS9gZUIH8uF/view" TargetMode="External"/><Relationship Id="rId1178" Type="http://schemas.openxmlformats.org/officeDocument/2006/relationships/hyperlink" Target="https://drive.google.com/file/d/1uYqkBdSwE4gksHL2I9XE8DjKCMRlHkv-/view" TargetMode="External"/><Relationship Id="rId4204" Type="http://schemas.openxmlformats.org/officeDocument/2006/relationships/hyperlink" Target="https://drive.google.com/file/d/1pWAg7BBIg4rJUjj2I-0x3u4i80enxO4u/view" TargetMode="External"/><Relationship Id="rId584" Type="http://schemas.openxmlformats.org/officeDocument/2006/relationships/hyperlink" Target="https://drive.google.com/file/d/1RuFiIwz-QmqTrmd-sZ1_VkS9D8v5DvRs/view" TargetMode="External"/><Relationship Id="rId1179" Type="http://schemas.openxmlformats.org/officeDocument/2006/relationships/hyperlink" Target="https://drive.google.com/file/d/1GYWnoAgTu3gcCS2XLJGjL_rRIxiu5gtt/view" TargetMode="External"/><Relationship Id="rId4203" Type="http://schemas.openxmlformats.org/officeDocument/2006/relationships/hyperlink" Target="https://drive.google.com/file/d/1wt0LmSFePxyCkb8yElLAk32ZJVjaLyc9/view" TargetMode="External"/><Relationship Id="rId1169" Type="http://schemas.openxmlformats.org/officeDocument/2006/relationships/hyperlink" Target="https://drive.google.com/file/d/1Ee021maOhWCYFi3gIEOJR9EowdbDuoVp/view" TargetMode="External"/><Relationship Id="rId579" Type="http://schemas.openxmlformats.org/officeDocument/2006/relationships/hyperlink" Target="https://drive.google.com/file/d/1yDWfUQ0QG54KjGX0nhsdFY-3Y3XP3rUW/view" TargetMode="External"/><Relationship Id="rId578" Type="http://schemas.openxmlformats.org/officeDocument/2006/relationships/hyperlink" Target="https://drive.google.com/file/d/1fFlex-b3ynUZIWxdlA4zAlrFH3j6a9uB/view" TargetMode="External"/><Relationship Id="rId577" Type="http://schemas.openxmlformats.org/officeDocument/2006/relationships/hyperlink" Target="https://drive.google.com/file/d/1SQwYEJYuYXbjwqq0yTBj9K2LJnK99fja/view" TargetMode="External"/><Relationship Id="rId2490" Type="http://schemas.openxmlformats.org/officeDocument/2006/relationships/hyperlink" Target="https://drive.google.com/file/d/1qI5wryK5nQxxcoRPhvIAIltWpS3jbB2i/view" TargetMode="External"/><Relationship Id="rId1160" Type="http://schemas.openxmlformats.org/officeDocument/2006/relationships/hyperlink" Target="https://drive.google.com/file/d/1QI5-yjXKONCMSlZrbvRNhfC-3zv6oxMe/view" TargetMode="External"/><Relationship Id="rId2491" Type="http://schemas.openxmlformats.org/officeDocument/2006/relationships/hyperlink" Target="https://drive.google.com/file/d/1buRXOFfSAcPg6dSOLWBm4fkThha5BTru/view" TargetMode="External"/><Relationship Id="rId572" Type="http://schemas.openxmlformats.org/officeDocument/2006/relationships/hyperlink" Target="https://drive.google.com/file/d/1Tjoudz89D_xDgF2HTOwhagG1RZQiHzW2/view" TargetMode="External"/><Relationship Id="rId1161" Type="http://schemas.openxmlformats.org/officeDocument/2006/relationships/hyperlink" Target="https://drive.google.com/file/d/1jd9i34zKL5fuytzG65n13_HEcwNkqvW3/view" TargetMode="External"/><Relationship Id="rId2492" Type="http://schemas.openxmlformats.org/officeDocument/2006/relationships/hyperlink" Target="https://drive.google.com/file/d/1RVpyJ6DU8goLo3_AgXi5cljVisFc2J4d/view" TargetMode="External"/><Relationship Id="rId571" Type="http://schemas.openxmlformats.org/officeDocument/2006/relationships/hyperlink" Target="https://drive.google.com/file/d/15_6Og2t3Lznz6k2JQsSAnd6hE1BEBO1y/view" TargetMode="External"/><Relationship Id="rId1162" Type="http://schemas.openxmlformats.org/officeDocument/2006/relationships/hyperlink" Target="https://drive.google.com/file/d/1ttGDn0U2xCnIexEanYXYFKYUz3C6yieT/view" TargetMode="External"/><Relationship Id="rId2493" Type="http://schemas.openxmlformats.org/officeDocument/2006/relationships/hyperlink" Target="https://drive.google.com/file/d/1najY1jWWQIK5-GFZiBmdqeX2fDGllevw/view" TargetMode="External"/><Relationship Id="rId570" Type="http://schemas.openxmlformats.org/officeDocument/2006/relationships/hyperlink" Target="https://drive.google.com/file/d/13bK00qWxfcLG2YtEVUf_J52jUvJtqI9Q/view" TargetMode="External"/><Relationship Id="rId1163" Type="http://schemas.openxmlformats.org/officeDocument/2006/relationships/hyperlink" Target="https://drive.google.com/file/d/1Ee021maOhWCYFi3gIEOJR9EowdbDuoVp/view" TargetMode="External"/><Relationship Id="rId2494" Type="http://schemas.openxmlformats.org/officeDocument/2006/relationships/hyperlink" Target="https://drive.google.com/file/d/1B60HB0JHjG9NUhAF2dnnuVZ8Mc5cdYeP/view" TargetMode="External"/><Relationship Id="rId1164" Type="http://schemas.openxmlformats.org/officeDocument/2006/relationships/hyperlink" Target="https://drive.google.com/file/d/1jd9i34zKL5fuytzG65n13_HEcwNkqvW3/view" TargetMode="External"/><Relationship Id="rId2495" Type="http://schemas.openxmlformats.org/officeDocument/2006/relationships/hyperlink" Target="https://drive.google.com/file/d/183Rg-q8ugbqu8nMjeRZl1ibDLz9IRLeB/view" TargetMode="External"/><Relationship Id="rId576" Type="http://schemas.openxmlformats.org/officeDocument/2006/relationships/hyperlink" Target="https://drive.google.com/file/d/15_6Og2t3Lznz6k2JQsSAnd6hE1BEBO1y/view" TargetMode="External"/><Relationship Id="rId1165" Type="http://schemas.openxmlformats.org/officeDocument/2006/relationships/hyperlink" Target="https://drive.google.com/file/d/1GtcrBm1kLdgp2M5fR1bDuDOKFwXsczSh/view" TargetMode="External"/><Relationship Id="rId2496" Type="http://schemas.openxmlformats.org/officeDocument/2006/relationships/hyperlink" Target="https://drive.google.com/file/d/1qI5wryK5nQxxcoRPhvIAIltWpS3jbB2i/view" TargetMode="External"/><Relationship Id="rId575" Type="http://schemas.openxmlformats.org/officeDocument/2006/relationships/hyperlink" Target="https://drive.google.com/file/d/13bK00qWxfcLG2YtEVUf_J52jUvJtqI9Q/view" TargetMode="External"/><Relationship Id="rId1166" Type="http://schemas.openxmlformats.org/officeDocument/2006/relationships/hyperlink" Target="https://drive.google.com/file/d/1QI5-yjXKONCMSlZrbvRNhfC-3zv6oxMe/view" TargetMode="External"/><Relationship Id="rId2497" Type="http://schemas.openxmlformats.org/officeDocument/2006/relationships/hyperlink" Target="https://drive.google.com/file/d/1buRXOFfSAcPg6dSOLWBm4fkThha5BTru/view" TargetMode="External"/><Relationship Id="rId574" Type="http://schemas.openxmlformats.org/officeDocument/2006/relationships/hyperlink" Target="https://drive.google.com/file/d/1j1vFHtuYVla2aiYhnLAwAVLG2CB0om0d/view" TargetMode="External"/><Relationship Id="rId1167" Type="http://schemas.openxmlformats.org/officeDocument/2006/relationships/hyperlink" Target="https://drive.google.com/file/d/1DLFpPYfgBNTbamWc5gL3Mg9iBudtt-57/view" TargetMode="External"/><Relationship Id="rId2498" Type="http://schemas.openxmlformats.org/officeDocument/2006/relationships/hyperlink" Target="https://drive.google.com/file/d/1RVpyJ6DU8goLo3_AgXi5cljVisFc2J4d/view" TargetMode="External"/><Relationship Id="rId573" Type="http://schemas.openxmlformats.org/officeDocument/2006/relationships/hyperlink" Target="https://drive.google.com/file/d/1xVcjCoq5DCqsl05_jVHaqqPOOCKRijV2/view" TargetMode="External"/><Relationship Id="rId1168" Type="http://schemas.openxmlformats.org/officeDocument/2006/relationships/hyperlink" Target="https://drive.google.com/file/d/1ttGDn0U2xCnIexEanYXYFKYUz3C6yieT/view" TargetMode="External"/><Relationship Id="rId2499" Type="http://schemas.openxmlformats.org/officeDocument/2006/relationships/hyperlink" Target="https://drive.google.com/file/d/1najY1jWWQIK5-GFZiBmdqeX2fDGllevw/view" TargetMode="External"/><Relationship Id="rId1190" Type="http://schemas.openxmlformats.org/officeDocument/2006/relationships/hyperlink" Target="https://drive.google.com/file/d/1dzGIfOGC6Szo7i3-2skENOjduVcOfJLy/view" TargetMode="External"/><Relationship Id="rId1191" Type="http://schemas.openxmlformats.org/officeDocument/2006/relationships/hyperlink" Target="https://drive.google.com/file/d/1HuQnkHnEmLcSBhKGhJGzLDJnJEahaIaB/view" TargetMode="External"/><Relationship Id="rId1192" Type="http://schemas.openxmlformats.org/officeDocument/2006/relationships/hyperlink" Target="https://drive.google.com/file/d/1Z6IQ8D8JehV0xXxQjeI8Xu6zWYV9jY9Z/view" TargetMode="External"/><Relationship Id="rId1193" Type="http://schemas.openxmlformats.org/officeDocument/2006/relationships/hyperlink" Target="https://drive.google.com/file/d/1GYWnoAgTu3gcCS2XLJGjL_rRIxiu5gtt/view" TargetMode="External"/><Relationship Id="rId1194" Type="http://schemas.openxmlformats.org/officeDocument/2006/relationships/hyperlink" Target="https://drive.google.com/file/d/17IfqRlP1Mr1fpL8uYyKCs5cYqoXHC9sY/view" TargetMode="External"/><Relationship Id="rId1195" Type="http://schemas.openxmlformats.org/officeDocument/2006/relationships/hyperlink" Target="https://drive.google.com/file/d/1L1U4Un_PzMiEtYcQWuPO8q-IZumR_VZ8/view" TargetMode="External"/><Relationship Id="rId1196" Type="http://schemas.openxmlformats.org/officeDocument/2006/relationships/hyperlink" Target="https://drive.google.com/file/d/1zTsmCi4EueKXnpBRXp2AFeOefuTdtB74/view" TargetMode="External"/><Relationship Id="rId1197" Type="http://schemas.openxmlformats.org/officeDocument/2006/relationships/hyperlink" Target="https://drive.google.com/file/d/1dzGIfOGC6Szo7i3-2skENOjduVcOfJLy/view" TargetMode="External"/><Relationship Id="rId1198" Type="http://schemas.openxmlformats.org/officeDocument/2006/relationships/hyperlink" Target="https://drive.google.com/file/d/1jaU8T2D7-e9b8n0yi76DZlf0blecsma1/view" TargetMode="External"/><Relationship Id="rId1199" Type="http://schemas.openxmlformats.org/officeDocument/2006/relationships/hyperlink" Target="https://drive.google.com/file/d/1wN-li12AbEPFDfRGmtnMU9mFjbYwx1rx/view" TargetMode="External"/><Relationship Id="rId4217" Type="http://schemas.openxmlformats.org/officeDocument/2006/relationships/vmlDrawing" Target="../drawings/vmlDrawing1.vml"/><Relationship Id="rId4216" Type="http://schemas.openxmlformats.org/officeDocument/2006/relationships/drawing" Target="../drawings/drawing1.xml"/><Relationship Id="rId4219" Type="http://schemas.openxmlformats.org/officeDocument/2006/relationships/table" Target="../tables/table1.xml"/><Relationship Id="rId599" Type="http://schemas.openxmlformats.org/officeDocument/2006/relationships/hyperlink" Target="https://drive.google.com/file/d/1YLaLfAUeiD3PAXS9xU_9OrDSyzJDRUOZ/view" TargetMode="External"/><Relationship Id="rId1180" Type="http://schemas.openxmlformats.org/officeDocument/2006/relationships/hyperlink" Target="https://drive.google.com/file/d/17IfqRlP1Mr1fpL8uYyKCs5cYqoXHC9sY/view" TargetMode="External"/><Relationship Id="rId1181" Type="http://schemas.openxmlformats.org/officeDocument/2006/relationships/hyperlink" Target="https://drive.google.com/file/d/1L1U4Un_PzMiEtYcQWuPO8q-IZumR_VZ8/view" TargetMode="External"/><Relationship Id="rId1182" Type="http://schemas.openxmlformats.org/officeDocument/2006/relationships/hyperlink" Target="https://drive.google.com/file/d/1zTsmCi4EueKXnpBRXp2AFeOefuTdtB74/view" TargetMode="External"/><Relationship Id="rId594" Type="http://schemas.openxmlformats.org/officeDocument/2006/relationships/hyperlink" Target="https://drive.google.com/file/d/1uF2EsQ8T_VG_6QajHorRkTMCPZrjz7E3/view" TargetMode="External"/><Relationship Id="rId1183" Type="http://schemas.openxmlformats.org/officeDocument/2006/relationships/hyperlink" Target="https://drive.google.com/file/d/1dzGIfOGC6Szo7i3-2skENOjduVcOfJLy/view" TargetMode="External"/><Relationship Id="rId593" Type="http://schemas.openxmlformats.org/officeDocument/2006/relationships/hyperlink" Target="https://drive.google.com/file/d/1Yz4gPW79idDTTex09cavJGqeAwrRosAy/view" TargetMode="External"/><Relationship Id="rId1184" Type="http://schemas.openxmlformats.org/officeDocument/2006/relationships/hyperlink" Target="https://drive.google.com/file/d/1sU4v_aAHBZY36WrKFsNvKlQtBKQ-S-N9/view" TargetMode="External"/><Relationship Id="rId592" Type="http://schemas.openxmlformats.org/officeDocument/2006/relationships/hyperlink" Target="https://drive.google.com/file/d/17dGlycTORKDXilhDpnxPACcgpsP5bflJ/view" TargetMode="External"/><Relationship Id="rId1185" Type="http://schemas.openxmlformats.org/officeDocument/2006/relationships/hyperlink" Target="https://drive.google.com/file/d/1uYqkBdSwE4gksHL2I9XE8DjKCMRlHkv-/view" TargetMode="External"/><Relationship Id="rId4211" Type="http://schemas.openxmlformats.org/officeDocument/2006/relationships/hyperlink" Target="https://drive.google.com/file/d/1gE59C0Q7whyoDjZwF5PIVtIqZ0yI11RI/view" TargetMode="External"/><Relationship Id="rId591" Type="http://schemas.openxmlformats.org/officeDocument/2006/relationships/hyperlink" Target="https://drive.google.com/file/d/1AU8O3BiCe-H66wWZ4yuJ3Rj-YEWJ6tan/view" TargetMode="External"/><Relationship Id="rId1186" Type="http://schemas.openxmlformats.org/officeDocument/2006/relationships/hyperlink" Target="https://drive.google.com/file/d/1GYWnoAgTu3gcCS2XLJGjL_rRIxiu5gtt/view" TargetMode="External"/><Relationship Id="rId4210" Type="http://schemas.openxmlformats.org/officeDocument/2006/relationships/hyperlink" Target="https://drive.google.com/file/d/1Tvl6l4wFChxKzaCtpqmuTfpMIO08Ut9r/view" TargetMode="External"/><Relationship Id="rId598" Type="http://schemas.openxmlformats.org/officeDocument/2006/relationships/hyperlink" Target="https://drive.google.com/file/d/1R_8UTeAo9dq8P7J7Us43FcPomP_3Xclw/view" TargetMode="External"/><Relationship Id="rId1187" Type="http://schemas.openxmlformats.org/officeDocument/2006/relationships/hyperlink" Target="https://drive.google.com/file/d/17IfqRlP1Mr1fpL8uYyKCs5cYqoXHC9sY/view" TargetMode="External"/><Relationship Id="rId4213" Type="http://schemas.openxmlformats.org/officeDocument/2006/relationships/hyperlink" Target="https://drive.google.com/file/d/1OFl9i0jL5aS4xoI_e96Y6gotx3ID2AEh/view" TargetMode="External"/><Relationship Id="rId597" Type="http://schemas.openxmlformats.org/officeDocument/2006/relationships/hyperlink" Target="https://drive.google.com/file/d/11FdgHk8XWb0gNuKsTsnskB9ga9CFxNTd/view" TargetMode="External"/><Relationship Id="rId1188" Type="http://schemas.openxmlformats.org/officeDocument/2006/relationships/hyperlink" Target="https://drive.google.com/file/d/1L1U4Un_PzMiEtYcQWuPO8q-IZumR_VZ8/view" TargetMode="External"/><Relationship Id="rId4212" Type="http://schemas.openxmlformats.org/officeDocument/2006/relationships/hyperlink" Target="https://drive.google.com/file/d/1HcCK8552S9ncbfRcZdiTeF7ZA2TdQWfJ/view" TargetMode="External"/><Relationship Id="rId596" Type="http://schemas.openxmlformats.org/officeDocument/2006/relationships/hyperlink" Target="https://drive.google.com/file/d/1zo9Qhgda0pW6U0gagX1zZRy3InLVbUkL/view" TargetMode="External"/><Relationship Id="rId1189" Type="http://schemas.openxmlformats.org/officeDocument/2006/relationships/hyperlink" Target="https://drive.google.com/file/d/1zTsmCi4EueKXnpBRXp2AFeOefuTdtB74/view" TargetMode="External"/><Relationship Id="rId4215" Type="http://schemas.openxmlformats.org/officeDocument/2006/relationships/hyperlink" Target="https://drive.google.com/file/d/1GfqKkTV4p2O0xOtCDSfl-oKEwdSIUQzV/view" TargetMode="External"/><Relationship Id="rId595" Type="http://schemas.openxmlformats.org/officeDocument/2006/relationships/hyperlink" Target="https://drive.google.com/file/d/17Vdk2aFH2Vi_73sq74jf0gJm14iGt23I/view" TargetMode="External"/><Relationship Id="rId4214" Type="http://schemas.openxmlformats.org/officeDocument/2006/relationships/hyperlink" Target="https://drive.google.com/file/d/17IwTvkkMxcj4DE1gzjnmLikCbNAXAbtC/view" TargetMode="External"/><Relationship Id="rId1136" Type="http://schemas.openxmlformats.org/officeDocument/2006/relationships/hyperlink" Target="https://drive.google.com/file/d/18xXQpa09DwFtHiAgpzYjdLzGDwy0BSsP/view" TargetMode="External"/><Relationship Id="rId2467" Type="http://schemas.openxmlformats.org/officeDocument/2006/relationships/hyperlink" Target="https://drive.google.com/file/d/1U1BQe55v8IT3UPu052k2GZG3pWo0Nmyd/view" TargetMode="External"/><Relationship Id="rId3799" Type="http://schemas.openxmlformats.org/officeDocument/2006/relationships/hyperlink" Target="https://drive.google.com/file/d/1jVyQTmFJbLZ971kLg38op3I3OqBCDvhK/view" TargetMode="External"/><Relationship Id="rId1137" Type="http://schemas.openxmlformats.org/officeDocument/2006/relationships/hyperlink" Target="https://drive.google.com/file/d/1Q9U84Ml9azDmk0wYI--GDMwODWAQBVCE/view" TargetMode="External"/><Relationship Id="rId2468" Type="http://schemas.openxmlformats.org/officeDocument/2006/relationships/hyperlink" Target="https://drive.google.com/file/d/1Xn3yM7X8kc1aFSHWBHfjAHQjReHeA1Df/view" TargetMode="External"/><Relationship Id="rId3798" Type="http://schemas.openxmlformats.org/officeDocument/2006/relationships/hyperlink" Target="https://drive.google.com/file/d/1gIEBMUOwggF2lf6bh-29ALgYYmQq8dOJ/view" TargetMode="External"/><Relationship Id="rId1138" Type="http://schemas.openxmlformats.org/officeDocument/2006/relationships/hyperlink" Target="https://drive.google.com/file/d/1NSWTWEFiAiJ8WODrIH_2L59p8Ld4ka_6/view" TargetMode="External"/><Relationship Id="rId2469" Type="http://schemas.openxmlformats.org/officeDocument/2006/relationships/hyperlink" Target="https://drive.google.com/file/d/18P_F7zlb_wJJUMNJNfnRxoOl1xjkBls3/view" TargetMode="External"/><Relationship Id="rId1139" Type="http://schemas.openxmlformats.org/officeDocument/2006/relationships/hyperlink" Target="https://drive.google.com/file/d/18xXQpa09DwFtHiAgpzYjdLzGDwy0BSsP/view" TargetMode="External"/><Relationship Id="rId547" Type="http://schemas.openxmlformats.org/officeDocument/2006/relationships/hyperlink" Target="https://drive.google.com/file/d/1-DtFJuNM9Ylg6FIZir08e39d9UU6tmCd/view" TargetMode="External"/><Relationship Id="rId546" Type="http://schemas.openxmlformats.org/officeDocument/2006/relationships/hyperlink" Target="https://drive.google.com/file/d/1aHtqpbNdCDuSGuKB2QwSB6NS8CseCiGO/view" TargetMode="External"/><Relationship Id="rId545" Type="http://schemas.openxmlformats.org/officeDocument/2006/relationships/hyperlink" Target="https://drive.google.com/file/d/1fFlex-b3ynUZIWxdlA4zAlrFH3j6a9uB/view" TargetMode="External"/><Relationship Id="rId544" Type="http://schemas.openxmlformats.org/officeDocument/2006/relationships/hyperlink" Target="https://drive.google.com/file/d/1l4V11b74Ns0fC_58XmqLeQOMvLtTfn32/view" TargetMode="External"/><Relationship Id="rId549" Type="http://schemas.openxmlformats.org/officeDocument/2006/relationships/hyperlink" Target="https://drive.google.com/file/d/1XNZ7F2di2wUbsdMQ9mTJnxYl9v3vrMB8/view" TargetMode="External"/><Relationship Id="rId548" Type="http://schemas.openxmlformats.org/officeDocument/2006/relationships/hyperlink" Target="https://drive.google.com/file/d/1o-Ne-8ea0JJMGWHGHOTi9a_mujIejW4o/view" TargetMode="External"/><Relationship Id="rId3791" Type="http://schemas.openxmlformats.org/officeDocument/2006/relationships/hyperlink" Target="https://drive.google.com/file/d/1gIEBMUOwggF2lf6bh-29ALgYYmQq8dOJ/view" TargetMode="External"/><Relationship Id="rId2460" Type="http://schemas.openxmlformats.org/officeDocument/2006/relationships/hyperlink" Target="https://drive.google.com/file/d/1U1BQe55v8IT3UPu052k2GZG3pWo0Nmyd/view" TargetMode="External"/><Relationship Id="rId3790" Type="http://schemas.openxmlformats.org/officeDocument/2006/relationships/hyperlink" Target="https://drive.google.com/file/d/1CvgAUlxKh1-AqcEIVvzc0q7mxswpcmqv/view" TargetMode="External"/><Relationship Id="rId1130" Type="http://schemas.openxmlformats.org/officeDocument/2006/relationships/hyperlink" Target="https://drive.google.com/file/d/14vmVWDBLkbOgC7eSOBsHWidgU11ZtTdj/view" TargetMode="External"/><Relationship Id="rId2461" Type="http://schemas.openxmlformats.org/officeDocument/2006/relationships/hyperlink" Target="https://drive.google.com/file/d/1Xn3yM7X8kc1aFSHWBHfjAHQjReHeA1Df/view" TargetMode="External"/><Relationship Id="rId3793" Type="http://schemas.openxmlformats.org/officeDocument/2006/relationships/hyperlink" Target="https://drive.google.com/file/d/1aSQvVn2-uHm8A_yzkZ-d00Ae-w-2Z3vg/view" TargetMode="External"/><Relationship Id="rId1131" Type="http://schemas.openxmlformats.org/officeDocument/2006/relationships/hyperlink" Target="https://drive.google.com/file/d/1bVyg_H0JmMbu6P4olvqZM2e2tQ2ofpq9/view" TargetMode="External"/><Relationship Id="rId2462" Type="http://schemas.openxmlformats.org/officeDocument/2006/relationships/hyperlink" Target="https://drive.google.com/file/d/18P_F7zlb_wJJUMNJNfnRxoOl1xjkBls3/view" TargetMode="External"/><Relationship Id="rId3792" Type="http://schemas.openxmlformats.org/officeDocument/2006/relationships/hyperlink" Target="https://drive.google.com/file/d/1aEiZ46x8MRxzYpOmaqgO1WjTEXGUkBF4/view" TargetMode="External"/><Relationship Id="rId543" Type="http://schemas.openxmlformats.org/officeDocument/2006/relationships/hyperlink" Target="https://drive.google.com/file/d/1aM96zXJCpKLAiBBUKBYvhukXj5tIyxEs/view" TargetMode="External"/><Relationship Id="rId1132" Type="http://schemas.openxmlformats.org/officeDocument/2006/relationships/hyperlink" Target="https://drive.google.com/file/d/1NQEolHPi55RrgLBn0XJ4Wm7ZLYNygDTJ/view" TargetMode="External"/><Relationship Id="rId2463" Type="http://schemas.openxmlformats.org/officeDocument/2006/relationships/hyperlink" Target="https://drive.google.com/file/d/1IbDh91lF0kOTiwJEzzRyXxhXcipt1ER7/view" TargetMode="External"/><Relationship Id="rId3795" Type="http://schemas.openxmlformats.org/officeDocument/2006/relationships/hyperlink" Target="https://drive.google.com/file/d/1WdNhRM6xD0vd2tBpYSpfuYhPq87Pwvy0/view" TargetMode="External"/><Relationship Id="rId542" Type="http://schemas.openxmlformats.org/officeDocument/2006/relationships/hyperlink" Target="https://drive.google.com/file/d/1-DtFJuNM9Ylg6FIZir08e39d9UU6tmCd/view" TargetMode="External"/><Relationship Id="rId1133" Type="http://schemas.openxmlformats.org/officeDocument/2006/relationships/hyperlink" Target="https://drive.google.com/file/d/1Q9U84Ml9azDmk0wYI--GDMwODWAQBVCE/view" TargetMode="External"/><Relationship Id="rId2464" Type="http://schemas.openxmlformats.org/officeDocument/2006/relationships/hyperlink" Target="https://drive.google.com/file/d/1P7lvTDZOUFG5o9Wwau-Hx0aqZOHxkjgZ/view" TargetMode="External"/><Relationship Id="rId3794" Type="http://schemas.openxmlformats.org/officeDocument/2006/relationships/hyperlink" Target="https://drive.google.com/file/d/1Eok3W2vnEzaR7hx5D9wXt_i6iYuGDT6N/view" TargetMode="External"/><Relationship Id="rId541" Type="http://schemas.openxmlformats.org/officeDocument/2006/relationships/hyperlink" Target="https://drive.google.com/file/d/1aHtqpbNdCDuSGuKB2QwSB6NS8CseCiGO/view" TargetMode="External"/><Relationship Id="rId1134" Type="http://schemas.openxmlformats.org/officeDocument/2006/relationships/hyperlink" Target="https://drive.google.com/file/d/1NSWTWEFiAiJ8WODrIH_2L59p8Ld4ka_6/view" TargetMode="External"/><Relationship Id="rId2465" Type="http://schemas.openxmlformats.org/officeDocument/2006/relationships/hyperlink" Target="https://drive.google.com/file/d/1C_DCxxIpuguAM1L8tF_3IURTNS4Xtz1S/view" TargetMode="External"/><Relationship Id="rId3797" Type="http://schemas.openxmlformats.org/officeDocument/2006/relationships/hyperlink" Target="https://drive.google.com/file/d/1CvgAUlxKh1-AqcEIVvzc0q7mxswpcmqv/view" TargetMode="External"/><Relationship Id="rId540" Type="http://schemas.openxmlformats.org/officeDocument/2006/relationships/hyperlink" Target="https://drive.google.com/file/d/1fFlex-b3ynUZIWxdlA4zAlrFH3j6a9uB/view" TargetMode="External"/><Relationship Id="rId1135" Type="http://schemas.openxmlformats.org/officeDocument/2006/relationships/hyperlink" Target="https://drive.google.com/file/d/1gmjw91Oako3CNpXHuxMTEN0ze1l6ztnc/view" TargetMode="External"/><Relationship Id="rId2466" Type="http://schemas.openxmlformats.org/officeDocument/2006/relationships/hyperlink" Target="https://drive.google.com/file/d/1wqcU7yAyVIENZ4mZcs_-ze-JXwCYG5Hw/view" TargetMode="External"/><Relationship Id="rId3796" Type="http://schemas.openxmlformats.org/officeDocument/2006/relationships/hyperlink" Target="https://drive.google.com/file/d/14JRWQ-erk_AmjoaCpfbCpa07Lk8PYHcv/view" TargetMode="External"/><Relationship Id="rId1125" Type="http://schemas.openxmlformats.org/officeDocument/2006/relationships/hyperlink" Target="https://drive.google.com/file/d/1iXk5Ym1aGlUqQCvbjGEZVhQXO4scTr5W/view" TargetMode="External"/><Relationship Id="rId2456" Type="http://schemas.openxmlformats.org/officeDocument/2006/relationships/hyperlink" Target="https://drive.google.com/file/d/14kyO66lW40as5-SUSvLY-R3Eb9mj9VON/view" TargetMode="External"/><Relationship Id="rId3788" Type="http://schemas.openxmlformats.org/officeDocument/2006/relationships/hyperlink" Target="https://drive.google.com/file/d/1WdNhRM6xD0vd2tBpYSpfuYhPq87Pwvy0/view" TargetMode="External"/><Relationship Id="rId1126" Type="http://schemas.openxmlformats.org/officeDocument/2006/relationships/hyperlink" Target="https://drive.google.com/file/d/1OGkDT3ae4pom1ZV1a4pDVob479K51gs8/view" TargetMode="External"/><Relationship Id="rId2457" Type="http://schemas.openxmlformats.org/officeDocument/2006/relationships/hyperlink" Target="https://drive.google.com/file/d/1vpuYazwE52qKqlNmPMiWt7H2wZ9VrPZC/view" TargetMode="External"/><Relationship Id="rId3787" Type="http://schemas.openxmlformats.org/officeDocument/2006/relationships/hyperlink" Target="https://drive.google.com/file/d/1SslBnXpOgorM06TgpdzAk-keOT5dzDjQ/view" TargetMode="External"/><Relationship Id="rId1127" Type="http://schemas.openxmlformats.org/officeDocument/2006/relationships/hyperlink" Target="https://drive.google.com/file/d/1g89l_pzP91aqIAXD1G3jIgKNLb1ejg-d/view" TargetMode="External"/><Relationship Id="rId2458" Type="http://schemas.openxmlformats.org/officeDocument/2006/relationships/hyperlink" Target="https://drive.google.com/file/d/1C_DCxxIpuguAM1L8tF_3IURTNS4Xtz1S/view" TargetMode="External"/><Relationship Id="rId1128" Type="http://schemas.openxmlformats.org/officeDocument/2006/relationships/hyperlink" Target="https://drive.google.com/file/d/1jRfAwvxW9H0a4T0cEtZafCR5bN-x9bah/view" TargetMode="External"/><Relationship Id="rId2459" Type="http://schemas.openxmlformats.org/officeDocument/2006/relationships/hyperlink" Target="https://drive.google.com/file/d/1wqcU7yAyVIENZ4mZcs_-ze-JXwCYG5Hw/view" TargetMode="External"/><Relationship Id="rId3789" Type="http://schemas.openxmlformats.org/officeDocument/2006/relationships/hyperlink" Target="https://drive.google.com/file/d/14JRWQ-erk_AmjoaCpfbCpa07Lk8PYHcv/view" TargetMode="External"/><Relationship Id="rId1129" Type="http://schemas.openxmlformats.org/officeDocument/2006/relationships/hyperlink" Target="https://drive.google.com/file/d/1cJegaw06pfCUBUIPqp9WQYMYvROSY8a2/view" TargetMode="External"/><Relationship Id="rId536" Type="http://schemas.openxmlformats.org/officeDocument/2006/relationships/hyperlink" Target="https://drive.google.com/file/d/1aHtqpbNdCDuSGuKB2QwSB6NS8CseCiGO/view" TargetMode="External"/><Relationship Id="rId535" Type="http://schemas.openxmlformats.org/officeDocument/2006/relationships/hyperlink" Target="https://drive.google.com/file/d/1fFlex-b3ynUZIWxdlA4zAlrFH3j6a9uB/view" TargetMode="External"/><Relationship Id="rId534" Type="http://schemas.openxmlformats.org/officeDocument/2006/relationships/hyperlink" Target="https://drive.google.com/file/d/1DFuGaG3SvsI5GX6crY5_1c0Z5xMKY7kY/view" TargetMode="External"/><Relationship Id="rId533" Type="http://schemas.openxmlformats.org/officeDocument/2006/relationships/hyperlink" Target="https://drive.google.com/file/d/1CzSIuZRUp9DAtH44x-iirn4mkDTbS5bH/view" TargetMode="External"/><Relationship Id="rId539" Type="http://schemas.openxmlformats.org/officeDocument/2006/relationships/hyperlink" Target="https://drive.google.com/file/d/1DFuGaG3SvsI5GX6crY5_1c0Z5xMKY7kY/view" TargetMode="External"/><Relationship Id="rId538" Type="http://schemas.openxmlformats.org/officeDocument/2006/relationships/hyperlink" Target="https://drive.google.com/file/d/1CzSIuZRUp9DAtH44x-iirn4mkDTbS5bH/view" TargetMode="External"/><Relationship Id="rId537" Type="http://schemas.openxmlformats.org/officeDocument/2006/relationships/hyperlink" Target="https://drive.google.com/file/d/1-DtFJuNM9Ylg6FIZir08e39d9UU6tmCd/view" TargetMode="External"/><Relationship Id="rId3780" Type="http://schemas.openxmlformats.org/officeDocument/2006/relationships/hyperlink" Target="https://drive.google.com/file/d/1SslBnXpOgorM06TgpdzAk-keOT5dzDjQ/view" TargetMode="External"/><Relationship Id="rId2450" Type="http://schemas.openxmlformats.org/officeDocument/2006/relationships/hyperlink" Target="https://drive.google.com/file/d/17KUV2peLtmxPbNfpbZ3GHevprb7ZSlgb/view" TargetMode="External"/><Relationship Id="rId3782" Type="http://schemas.openxmlformats.org/officeDocument/2006/relationships/hyperlink" Target="https://drive.google.com/file/d/14JRWQ-erk_AmjoaCpfbCpa07Lk8PYHcv/view" TargetMode="External"/><Relationship Id="rId1120" Type="http://schemas.openxmlformats.org/officeDocument/2006/relationships/hyperlink" Target="https://drive.google.com/file/d/1f-eQS5L-bB_4g-HDY8FLLv9e2hTNVH8N/view" TargetMode="External"/><Relationship Id="rId2451" Type="http://schemas.openxmlformats.org/officeDocument/2006/relationships/hyperlink" Target="https://drive.google.com/file/d/1GYWnoAgTu3gcCS2XLJGjL_rRIxiu5gtt/view" TargetMode="External"/><Relationship Id="rId3781" Type="http://schemas.openxmlformats.org/officeDocument/2006/relationships/hyperlink" Target="https://drive.google.com/file/d/1WdNhRM6xD0vd2tBpYSpfuYhPq87Pwvy0/view" TargetMode="External"/><Relationship Id="rId532" Type="http://schemas.openxmlformats.org/officeDocument/2006/relationships/hyperlink" Target="https://drive.google.com/file/d/1RQOv8057sk0xgSOwQ12-u5kZfikiegPp/view" TargetMode="External"/><Relationship Id="rId1121" Type="http://schemas.openxmlformats.org/officeDocument/2006/relationships/hyperlink" Target="https://drive.google.com/file/d/1v8Rqs24DELqw6oe05bznjMiSLVMhxotY/view" TargetMode="External"/><Relationship Id="rId2452" Type="http://schemas.openxmlformats.org/officeDocument/2006/relationships/hyperlink" Target="https://drive.google.com/file/d/1NxslxAlE2FMfhT18lejsqjdJrdikJPuV/view" TargetMode="External"/><Relationship Id="rId3784" Type="http://schemas.openxmlformats.org/officeDocument/2006/relationships/hyperlink" Target="https://drive.google.com/file/d/1gIEBMUOwggF2lf6bh-29ALgYYmQq8dOJ/view" TargetMode="External"/><Relationship Id="rId531" Type="http://schemas.openxmlformats.org/officeDocument/2006/relationships/hyperlink" Target="https://drive.google.com/file/d/1FwBP3Wtfv8wE5yjLIxfnuYtmOSY9X2fv/view" TargetMode="External"/><Relationship Id="rId1122" Type="http://schemas.openxmlformats.org/officeDocument/2006/relationships/hyperlink" Target="https://drive.google.com/file/d/1PW-yF4biSSruurV2Y_D0kBCIsa9zzDLK/view" TargetMode="External"/><Relationship Id="rId2453" Type="http://schemas.openxmlformats.org/officeDocument/2006/relationships/hyperlink" Target="https://drive.google.com/file/d/1sdgn5WuL9uv5fYMuv_Sms86xCfj19XeF/view" TargetMode="External"/><Relationship Id="rId3783" Type="http://schemas.openxmlformats.org/officeDocument/2006/relationships/hyperlink" Target="https://drive.google.com/file/d/1CvgAUlxKh1-AqcEIVvzc0q7mxswpcmqv/view" TargetMode="External"/><Relationship Id="rId530" Type="http://schemas.openxmlformats.org/officeDocument/2006/relationships/hyperlink" Target="https://drive.google.com/file/d/1j1vFHtuYVla2aiYhnLAwAVLG2CB0om0d/view" TargetMode="External"/><Relationship Id="rId1123" Type="http://schemas.openxmlformats.org/officeDocument/2006/relationships/hyperlink" Target="https://drive.google.com/file/d/1X8dRdijnZlXdKMdo0FtEIpNBwt1ZmeA9/view" TargetMode="External"/><Relationship Id="rId2454" Type="http://schemas.openxmlformats.org/officeDocument/2006/relationships/hyperlink" Target="https://drive.google.com/file/d/1EBs_5dngyTomYxyh3QQ6O4xjUibN-vQ3/view" TargetMode="External"/><Relationship Id="rId3786" Type="http://schemas.openxmlformats.org/officeDocument/2006/relationships/hyperlink" Target="https://drive.google.com/file/d/1mbOuddyxROzSNXttIRflE4Ylm5_JBPV4/view" TargetMode="External"/><Relationship Id="rId1124" Type="http://schemas.openxmlformats.org/officeDocument/2006/relationships/hyperlink" Target="https://drive.google.com/file/d/18OcD0AghjlhwFAFz1JZGezxMfsLvPLC8/view" TargetMode="External"/><Relationship Id="rId2455" Type="http://schemas.openxmlformats.org/officeDocument/2006/relationships/hyperlink" Target="https://drive.google.com/file/d/16_NeVMvw1ano44SolFTqlEpu-M_HOzWO/view" TargetMode="External"/><Relationship Id="rId3785" Type="http://schemas.openxmlformats.org/officeDocument/2006/relationships/hyperlink" Target="https://drive.google.com/file/d/1aEiZ46x8MRxzYpOmaqgO1WjTEXGUkBF4/view" TargetMode="External"/><Relationship Id="rId1158" Type="http://schemas.openxmlformats.org/officeDocument/2006/relationships/hyperlink" Target="https://drive.google.com/file/d/1jd9i34zKL5fuytzG65n13_HEcwNkqvW3/view" TargetMode="External"/><Relationship Id="rId2489" Type="http://schemas.openxmlformats.org/officeDocument/2006/relationships/hyperlink" Target="https://drive.google.com/file/d/1_ako6NIjLnuwyx68fMIyElM33tgUhZyN/view" TargetMode="External"/><Relationship Id="rId1159" Type="http://schemas.openxmlformats.org/officeDocument/2006/relationships/hyperlink" Target="https://drive.google.com/file/d/1GtcrBm1kLdgp2M5fR1bDuDOKFwXsczSh/view" TargetMode="External"/><Relationship Id="rId569" Type="http://schemas.openxmlformats.org/officeDocument/2006/relationships/hyperlink" Target="https://drive.google.com/file/d/1j1vFHtuYVla2aiYhnLAwAVLG2CB0om0d/view" TargetMode="External"/><Relationship Id="rId568" Type="http://schemas.openxmlformats.org/officeDocument/2006/relationships/hyperlink" Target="https://drive.google.com/file/d/1VbK7iZtrku2ghsbhbFNAsxcGfoS_yhq9/view" TargetMode="External"/><Relationship Id="rId567" Type="http://schemas.openxmlformats.org/officeDocument/2006/relationships/hyperlink" Target="https://drive.google.com/file/d/1RgArrlvRq6rapYwXTzlW-UcLG3AUo8lO/view" TargetMode="External"/><Relationship Id="rId566" Type="http://schemas.openxmlformats.org/officeDocument/2006/relationships/hyperlink" Target="https://drive.google.com/file/d/1XZfqK4oVYLHh4t67l5X4B1JTU5TwV-Nd/view" TargetMode="External"/><Relationship Id="rId2480" Type="http://schemas.openxmlformats.org/officeDocument/2006/relationships/hyperlink" Target="https://drive.google.com/file/d/1BuY-m5Xd5p0hrgsKrN6xoLg_iFT36eBz/view" TargetMode="External"/><Relationship Id="rId561" Type="http://schemas.openxmlformats.org/officeDocument/2006/relationships/hyperlink" Target="https://drive.google.com/file/d/182IRB376gb25wyDSGNkf1uHUTpLEq4fI/view" TargetMode="External"/><Relationship Id="rId1150" Type="http://schemas.openxmlformats.org/officeDocument/2006/relationships/hyperlink" Target="https://drive.google.com/file/d/1NSWTWEFiAiJ8WODrIH_2L59p8Ld4ka_6/view" TargetMode="External"/><Relationship Id="rId2481" Type="http://schemas.openxmlformats.org/officeDocument/2006/relationships/hyperlink" Target="https://drive.google.com/file/d/1jyI-5JK7u-ndXhglV5XP_BmHqUSQzPca/view" TargetMode="External"/><Relationship Id="rId560" Type="http://schemas.openxmlformats.org/officeDocument/2006/relationships/hyperlink" Target="https://drive.google.com/file/d/11FdgHk8XWb0gNuKsTsnskB9ga9CFxNTd/view" TargetMode="External"/><Relationship Id="rId1151" Type="http://schemas.openxmlformats.org/officeDocument/2006/relationships/hyperlink" Target="https://drive.google.com/file/d/16KHhcqe7mnGKF79SmRf4vbw_59qsDshp/view" TargetMode="External"/><Relationship Id="rId2482" Type="http://schemas.openxmlformats.org/officeDocument/2006/relationships/hyperlink" Target="https://drive.google.com/file/d/1z9BV-ESpnoRg1hnx7WkiPgR8rNs-s-PM/view" TargetMode="External"/><Relationship Id="rId1152" Type="http://schemas.openxmlformats.org/officeDocument/2006/relationships/hyperlink" Target="https://drive.google.com/file/d/1n8SwCFnze0dKxCJPtE91lrybfOPg-t-I/view" TargetMode="External"/><Relationship Id="rId2483" Type="http://schemas.openxmlformats.org/officeDocument/2006/relationships/hyperlink" Target="https://drive.google.com/file/d/1qUTN_-OL_vrzIr-6tY6JTAxoVx8DCWuT/view" TargetMode="External"/><Relationship Id="rId1153" Type="http://schemas.openxmlformats.org/officeDocument/2006/relationships/hyperlink" Target="https://drive.google.com/file/d/1X5LNU4KIWQ8wzLe30Cr-H_QtWV_XHwg4/view" TargetMode="External"/><Relationship Id="rId2484" Type="http://schemas.openxmlformats.org/officeDocument/2006/relationships/hyperlink" Target="https://drive.google.com/file/d/1PO9TKpbAs7uehk_m_J-uTdYMd4UwWmsS/view" TargetMode="External"/><Relationship Id="rId565" Type="http://schemas.openxmlformats.org/officeDocument/2006/relationships/hyperlink" Target="https://drive.google.com/file/d/182IRB376gb25wyDSGNkf1uHUTpLEq4fI/view" TargetMode="External"/><Relationship Id="rId1154" Type="http://schemas.openxmlformats.org/officeDocument/2006/relationships/hyperlink" Target="https://drive.google.com/file/d/16KHhcqe7mnGKF79SmRf4vbw_59qsDshp/view" TargetMode="External"/><Relationship Id="rId2485" Type="http://schemas.openxmlformats.org/officeDocument/2006/relationships/hyperlink" Target="https://drive.google.com/file/d/1psgfbtAuYzFdK3_Ih-n7CyGcJX4-S4hS/view" TargetMode="External"/><Relationship Id="rId564" Type="http://schemas.openxmlformats.org/officeDocument/2006/relationships/hyperlink" Target="https://drive.google.com/file/d/11FdgHk8XWb0gNuKsTsnskB9ga9CFxNTd/view" TargetMode="External"/><Relationship Id="rId1155" Type="http://schemas.openxmlformats.org/officeDocument/2006/relationships/hyperlink" Target="https://drive.google.com/file/d/1GtcrBm1kLdgp2M5fR1bDuDOKFwXsczSh/view" TargetMode="External"/><Relationship Id="rId2486" Type="http://schemas.openxmlformats.org/officeDocument/2006/relationships/hyperlink" Target="https://drive.google.com/file/d/1BuY-m5Xd5p0hrgsKrN6xoLg_iFT36eBz/view" TargetMode="External"/><Relationship Id="rId563" Type="http://schemas.openxmlformats.org/officeDocument/2006/relationships/hyperlink" Target="https://drive.google.com/file/d/1UyN6q6YRj92hGcV7we13V9zeTI1N22AM/view" TargetMode="External"/><Relationship Id="rId1156" Type="http://schemas.openxmlformats.org/officeDocument/2006/relationships/hyperlink" Target="https://drive.google.com/file/d/1QI5-yjXKONCMSlZrbvRNhfC-3zv6oxMe/view" TargetMode="External"/><Relationship Id="rId2487" Type="http://schemas.openxmlformats.org/officeDocument/2006/relationships/hyperlink" Target="https://drive.google.com/file/d/1jyI-5JK7u-ndXhglV5XP_BmHqUSQzPca/view" TargetMode="External"/><Relationship Id="rId562" Type="http://schemas.openxmlformats.org/officeDocument/2006/relationships/hyperlink" Target="https://drive.google.com/file/d/1XZfqK4oVYLHh4t67l5X4B1JTU5TwV-Nd/view" TargetMode="External"/><Relationship Id="rId1157" Type="http://schemas.openxmlformats.org/officeDocument/2006/relationships/hyperlink" Target="https://drive.google.com/file/d/1zxE6OjdrQY2FyDQoGUs2ESZpGSlqB3iA/view" TargetMode="External"/><Relationship Id="rId2488" Type="http://schemas.openxmlformats.org/officeDocument/2006/relationships/hyperlink" Target="https://drive.google.com/file/d/1G3jgQluw_Udo16Y8BAAA0hdAH5Caqaup/view" TargetMode="External"/><Relationship Id="rId1147" Type="http://schemas.openxmlformats.org/officeDocument/2006/relationships/hyperlink" Target="https://drive.google.com/file/d/1X5LNU4KIWQ8wzLe30Cr-H_QtWV_XHwg4/view" TargetMode="External"/><Relationship Id="rId2478" Type="http://schemas.openxmlformats.org/officeDocument/2006/relationships/hyperlink" Target="https://drive.google.com/file/d/1PO9TKpbAs7uehk_m_J-uTdYMd4UwWmsS/view" TargetMode="External"/><Relationship Id="rId1148" Type="http://schemas.openxmlformats.org/officeDocument/2006/relationships/hyperlink" Target="https://drive.google.com/file/d/1dWBOLfsJdC7-fFGSnSVzj2KjAX_UQnc6/view" TargetMode="External"/><Relationship Id="rId2479" Type="http://schemas.openxmlformats.org/officeDocument/2006/relationships/hyperlink" Target="https://drive.google.com/file/d/1psgfbtAuYzFdK3_Ih-n7CyGcJX4-S4hS/view" TargetMode="External"/><Relationship Id="rId1149" Type="http://schemas.openxmlformats.org/officeDocument/2006/relationships/hyperlink" Target="https://drive.google.com/file/d/1Q9U84Ml9azDmk0wYI--GDMwODWAQBVCE/view" TargetMode="External"/><Relationship Id="rId558" Type="http://schemas.openxmlformats.org/officeDocument/2006/relationships/hyperlink" Target="https://drive.google.com/file/d/19UPLsm_WJAOMtrL4NFmgaxqgZ3eWkWWY/view" TargetMode="External"/><Relationship Id="rId557" Type="http://schemas.openxmlformats.org/officeDocument/2006/relationships/hyperlink" Target="https://drive.google.com/file/d/1_QZCm13e5GfQ6Il1mHdlxUfzKDpRa6t-/view" TargetMode="External"/><Relationship Id="rId556" Type="http://schemas.openxmlformats.org/officeDocument/2006/relationships/hyperlink" Target="https://drive.google.com/file/d/1JtzHFhfBqvh98-kmzIaLFpdGXKKp7dlg/view" TargetMode="External"/><Relationship Id="rId555" Type="http://schemas.openxmlformats.org/officeDocument/2006/relationships/hyperlink" Target="https://drive.google.com/file/d/17dGlycTORKDXilhDpnxPACcgpsP5bflJ/view" TargetMode="External"/><Relationship Id="rId559" Type="http://schemas.openxmlformats.org/officeDocument/2006/relationships/hyperlink" Target="https://drive.google.com/file/d/1rpyWmTK3dqFkX1FVN7NWX_9pYFUMu0MC/view" TargetMode="External"/><Relationship Id="rId550" Type="http://schemas.openxmlformats.org/officeDocument/2006/relationships/hyperlink" Target="https://drive.google.com/file/d/17dGlycTORKDXilhDpnxPACcgpsP5bflJ/view" TargetMode="External"/><Relationship Id="rId2470" Type="http://schemas.openxmlformats.org/officeDocument/2006/relationships/hyperlink" Target="https://drive.google.com/file/d/12ghS_NlTeYXmRvyzuCgwGISOEA2XlcKa/view" TargetMode="External"/><Relationship Id="rId1140" Type="http://schemas.openxmlformats.org/officeDocument/2006/relationships/hyperlink" Target="https://drive.google.com/file/d/1n8SwCFnze0dKxCJPtE91lrybfOPg-t-I/view" TargetMode="External"/><Relationship Id="rId2471" Type="http://schemas.openxmlformats.org/officeDocument/2006/relationships/hyperlink" Target="https://drive.google.com/file/d/1sAz2G7J9_U1d7yNjuuCb-Tzv90aUTAHD/view" TargetMode="External"/><Relationship Id="rId1141" Type="http://schemas.openxmlformats.org/officeDocument/2006/relationships/hyperlink" Target="https://drive.google.com/file/d/1X5LNU4KIWQ8wzLe30Cr-H_QtWV_XHwg4/view" TargetMode="External"/><Relationship Id="rId2472" Type="http://schemas.openxmlformats.org/officeDocument/2006/relationships/hyperlink" Target="https://drive.google.com/file/d/1PO9TKpbAs7uehk_m_J-uTdYMd4UwWmsS/view" TargetMode="External"/><Relationship Id="rId1142" Type="http://schemas.openxmlformats.org/officeDocument/2006/relationships/hyperlink" Target="https://drive.google.com/file/d/18xXQpa09DwFtHiAgpzYjdLzGDwy0BSsP/view" TargetMode="External"/><Relationship Id="rId2473" Type="http://schemas.openxmlformats.org/officeDocument/2006/relationships/hyperlink" Target="https://drive.google.com/file/d/1psgfbtAuYzFdK3_Ih-n7CyGcJX4-S4hS/view" TargetMode="External"/><Relationship Id="rId554" Type="http://schemas.openxmlformats.org/officeDocument/2006/relationships/hyperlink" Target="https://drive.google.com/file/d/10GynN0Lo3UOyRdPSjlw5VHvTTfrTGddx/view" TargetMode="External"/><Relationship Id="rId1143" Type="http://schemas.openxmlformats.org/officeDocument/2006/relationships/hyperlink" Target="https://drive.google.com/file/d/1Q9U84Ml9azDmk0wYI--GDMwODWAQBVCE/view" TargetMode="External"/><Relationship Id="rId2474" Type="http://schemas.openxmlformats.org/officeDocument/2006/relationships/hyperlink" Target="https://drive.google.com/file/d/1BuY-m5Xd5p0hrgsKrN6xoLg_iFT36eBz/view" TargetMode="External"/><Relationship Id="rId553" Type="http://schemas.openxmlformats.org/officeDocument/2006/relationships/hyperlink" Target="https://drive.google.com/file/d/1-J1bXx660ixykDDcRW0cA9cQi5JCL-TR/view" TargetMode="External"/><Relationship Id="rId1144" Type="http://schemas.openxmlformats.org/officeDocument/2006/relationships/hyperlink" Target="https://drive.google.com/file/d/1NSWTWEFiAiJ8WODrIH_2L59p8Ld4ka_6/view" TargetMode="External"/><Relationship Id="rId2475" Type="http://schemas.openxmlformats.org/officeDocument/2006/relationships/hyperlink" Target="https://drive.google.com/file/d/1jyI-5JK7u-ndXhglV5XP_BmHqUSQzPca/view" TargetMode="External"/><Relationship Id="rId552" Type="http://schemas.openxmlformats.org/officeDocument/2006/relationships/hyperlink" Target="https://drive.google.com/file/d/1_QZCm13e5GfQ6Il1mHdlxUfzKDpRa6t-/view" TargetMode="External"/><Relationship Id="rId1145" Type="http://schemas.openxmlformats.org/officeDocument/2006/relationships/hyperlink" Target="https://drive.google.com/file/d/1dWBOLfsJdC7-fFGSnSVzj2KjAX_UQnc6/view" TargetMode="External"/><Relationship Id="rId2476" Type="http://schemas.openxmlformats.org/officeDocument/2006/relationships/hyperlink" Target="https://drive.google.com/file/d/12ghS_NlTeYXmRvyzuCgwGISOEA2XlcKa/view" TargetMode="External"/><Relationship Id="rId551" Type="http://schemas.openxmlformats.org/officeDocument/2006/relationships/hyperlink" Target="https://drive.google.com/file/d/1JtzHFhfBqvh98-kmzIaLFpdGXKKp7dlg/view" TargetMode="External"/><Relationship Id="rId1146" Type="http://schemas.openxmlformats.org/officeDocument/2006/relationships/hyperlink" Target="https://drive.google.com/file/d/1n8SwCFnze0dKxCJPtE91lrybfOPg-t-I/view" TargetMode="External"/><Relationship Id="rId2477" Type="http://schemas.openxmlformats.org/officeDocument/2006/relationships/hyperlink" Target="https://drive.google.com/file/d/1sAz2G7J9_U1d7yNjuuCb-Tzv90aUTAHD/view" TargetMode="External"/><Relationship Id="rId495" Type="http://schemas.openxmlformats.org/officeDocument/2006/relationships/hyperlink" Target="https://drive.google.com/file/d/1RVRjk8Ma0WSRAZR8sa91THwg6oc51oqG/view" TargetMode="External"/><Relationship Id="rId494" Type="http://schemas.openxmlformats.org/officeDocument/2006/relationships/hyperlink" Target="https://drive.google.com/file/d/1AptxBJbjW_fHRXb_c1kqhZI6NvqckSVn/view" TargetMode="External"/><Relationship Id="rId493" Type="http://schemas.openxmlformats.org/officeDocument/2006/relationships/hyperlink" Target="https://drive.google.com/file/d/1M7rIkOfmvsgatSu0GJIpzIQIhpk19AD7/view" TargetMode="External"/><Relationship Id="rId492" Type="http://schemas.openxmlformats.org/officeDocument/2006/relationships/hyperlink" Target="https://drive.google.com/file/d/1a7G3fgqxbA9YonzUe2dt_1BH2r2Dbkcq/view" TargetMode="External"/><Relationship Id="rId499" Type="http://schemas.openxmlformats.org/officeDocument/2006/relationships/hyperlink" Target="https://drive.google.com/file/d/1ZwXEeveFBW9a5LjhDRMwfgzluDilt53q/view" TargetMode="External"/><Relationship Id="rId498" Type="http://schemas.openxmlformats.org/officeDocument/2006/relationships/hyperlink" Target="https://drive.google.com/file/d/1M7rIkOfmvsgatSu0GJIpzIQIhpk19AD7/view" TargetMode="External"/><Relationship Id="rId497" Type="http://schemas.openxmlformats.org/officeDocument/2006/relationships/hyperlink" Target="https://drive.google.com/file/d/1a7G3fgqxbA9YonzUe2dt_1BH2r2Dbkcq/view" TargetMode="External"/><Relationship Id="rId496" Type="http://schemas.openxmlformats.org/officeDocument/2006/relationships/hyperlink" Target="https://drive.google.com/file/d/17dGlycTORKDXilhDpnxPACcgpsP5bflJ/view" TargetMode="External"/><Relationship Id="rId3810" Type="http://schemas.openxmlformats.org/officeDocument/2006/relationships/hyperlink" Target="https://drive.google.com/file/d/1w4Xc4fxyGVVvHMdNcjRbkkkCQuL74csR/view" TargetMode="External"/><Relationship Id="rId3812" Type="http://schemas.openxmlformats.org/officeDocument/2006/relationships/hyperlink" Target="https://drive.google.com/file/d/1yCnIYB9Geo5X0vrLLhgpzDEKvPDxGBuT/view" TargetMode="External"/><Relationship Id="rId3811" Type="http://schemas.openxmlformats.org/officeDocument/2006/relationships/hyperlink" Target="https://drive.google.com/file/d/12jggug9t1AbmO352DP79MNNExv_Ardzw/view" TargetMode="External"/><Relationship Id="rId3814" Type="http://schemas.openxmlformats.org/officeDocument/2006/relationships/hyperlink" Target="https://drive.google.com/file/d/1_X5LT3W8Oz4lxaneIbfeXMPWKx8ytM6s/view" TargetMode="External"/><Relationship Id="rId3813" Type="http://schemas.openxmlformats.org/officeDocument/2006/relationships/hyperlink" Target="https://drive.google.com/file/d/171RQ6cX1za_-DGxeQm54FtadiXtz3H6n/view" TargetMode="External"/><Relationship Id="rId3816" Type="http://schemas.openxmlformats.org/officeDocument/2006/relationships/hyperlink" Target="https://drive.google.com/file/d/1HoepVrawBfiEqqfsgIKeqNoCDV35cwOt/view" TargetMode="External"/><Relationship Id="rId3815" Type="http://schemas.openxmlformats.org/officeDocument/2006/relationships/hyperlink" Target="https://drive.google.com/file/d/1bH3KnP-VO_Y7weml4wbM_NMncsC4-z5d/view" TargetMode="External"/><Relationship Id="rId3818" Type="http://schemas.openxmlformats.org/officeDocument/2006/relationships/hyperlink" Target="https://drive.google.com/file/d/12jggug9t1AbmO352DP79MNNExv_Ardzw/view" TargetMode="External"/><Relationship Id="rId3817" Type="http://schemas.openxmlformats.org/officeDocument/2006/relationships/hyperlink" Target="https://drive.google.com/file/d/1w4Xc4fxyGVVvHMdNcjRbkkkCQuL74csR/view" TargetMode="External"/><Relationship Id="rId3819" Type="http://schemas.openxmlformats.org/officeDocument/2006/relationships/hyperlink" Target="https://drive.google.com/file/d/1yCnIYB9Geo5X0vrLLhgpzDEKvPDxGBuT/view" TargetMode="External"/><Relationship Id="rId3801" Type="http://schemas.openxmlformats.org/officeDocument/2006/relationships/hyperlink" Target="https://drive.google.com/file/d/1LY15Ii48kXbEtJuUcfVKY3t3IUTSWo9G/view" TargetMode="External"/><Relationship Id="rId3800" Type="http://schemas.openxmlformats.org/officeDocument/2006/relationships/hyperlink" Target="https://drive.google.com/file/d/1E2-wUhqzdwt-W0w-Y-Ih7XEheb7s6-a1/view" TargetMode="External"/><Relationship Id="rId3803" Type="http://schemas.openxmlformats.org/officeDocument/2006/relationships/hyperlink" Target="https://drive.google.com/file/d/1w4Xc4fxyGVVvHMdNcjRbkkkCQuL74csR/view" TargetMode="External"/><Relationship Id="rId3802" Type="http://schemas.openxmlformats.org/officeDocument/2006/relationships/hyperlink" Target="https://drive.google.com/file/d/1HoepVrawBfiEqqfsgIKeqNoCDV35cwOt/view" TargetMode="External"/><Relationship Id="rId3805" Type="http://schemas.openxmlformats.org/officeDocument/2006/relationships/hyperlink" Target="https://drive.google.com/file/d/1yCnIYB9Geo5X0vrLLhgpzDEKvPDxGBuT/view" TargetMode="External"/><Relationship Id="rId3804" Type="http://schemas.openxmlformats.org/officeDocument/2006/relationships/hyperlink" Target="https://drive.google.com/file/d/12jggug9t1AbmO352DP79MNNExv_Ardzw/view" TargetMode="External"/><Relationship Id="rId3807" Type="http://schemas.openxmlformats.org/officeDocument/2006/relationships/hyperlink" Target="https://drive.google.com/file/d/1E2-wUhqzdwt-W0w-Y-Ih7XEheb7s6-a1/view" TargetMode="External"/><Relationship Id="rId3806" Type="http://schemas.openxmlformats.org/officeDocument/2006/relationships/hyperlink" Target="https://drive.google.com/file/d/171RQ6cX1za_-DGxeQm54FtadiXtz3H6n/view" TargetMode="External"/><Relationship Id="rId3809" Type="http://schemas.openxmlformats.org/officeDocument/2006/relationships/hyperlink" Target="https://drive.google.com/file/d/1HoepVrawBfiEqqfsgIKeqNoCDV35cwOt/view" TargetMode="External"/><Relationship Id="rId3808" Type="http://schemas.openxmlformats.org/officeDocument/2006/relationships/hyperlink" Target="https://drive.google.com/file/d/1LY15Ii48kXbEtJuUcfVKY3t3IUTSWo9G/view" TargetMode="External"/><Relationship Id="rId1213" Type="http://schemas.openxmlformats.org/officeDocument/2006/relationships/hyperlink" Target="https://drive.google.com/file/d/1QTLNrHe5e6f_gQYXsLuGnvD_Kiw-wzI3/view" TargetMode="External"/><Relationship Id="rId2544" Type="http://schemas.openxmlformats.org/officeDocument/2006/relationships/hyperlink" Target="https://drive.google.com/file/d/1npkt0wO2jdsMHlMed-RpkDDZc8kAUgT0/view" TargetMode="External"/><Relationship Id="rId3876" Type="http://schemas.openxmlformats.org/officeDocument/2006/relationships/hyperlink" Target="https://drive.google.com/file/d/1VSJEguXtTrXReY0UXBNOSnvc_i6p_jzi/view" TargetMode="External"/><Relationship Id="rId1214" Type="http://schemas.openxmlformats.org/officeDocument/2006/relationships/hyperlink" Target="https://drive.google.com/file/d/1GYWnoAgTu3gcCS2XLJGjL_rRIxiu5gtt/view" TargetMode="External"/><Relationship Id="rId2545" Type="http://schemas.openxmlformats.org/officeDocument/2006/relationships/hyperlink" Target="https://drive.google.com/file/d/19psAtFy8QWpJaDzVX8LWp0ASFMt99brR/view" TargetMode="External"/><Relationship Id="rId3875" Type="http://schemas.openxmlformats.org/officeDocument/2006/relationships/hyperlink" Target="https://drive.google.com/file/d/1Hq61ArHsORLBSetujANOkWo3XrMd70UP/view" TargetMode="External"/><Relationship Id="rId1215" Type="http://schemas.openxmlformats.org/officeDocument/2006/relationships/hyperlink" Target="https://drive.google.com/file/d/1ErPuMJfp2tH08o86xrffKOLUiKJb6LDM/view" TargetMode="External"/><Relationship Id="rId2546" Type="http://schemas.openxmlformats.org/officeDocument/2006/relationships/hyperlink" Target="https://drive.google.com/file/d/1ZznrgMxamoj761KG90A1mMMQ2v6h2TyS/view" TargetMode="External"/><Relationship Id="rId3878" Type="http://schemas.openxmlformats.org/officeDocument/2006/relationships/hyperlink" Target="https://drive.google.com/file/d/1RWHE9GTkcA93XTiO8ySB-Qt2vA9RhKEr/view" TargetMode="External"/><Relationship Id="rId1216" Type="http://schemas.openxmlformats.org/officeDocument/2006/relationships/hyperlink" Target="https://drive.google.com/file/d/1TYrsppKwD9IdNGvmhgzipovOoRTL6UDh/view" TargetMode="External"/><Relationship Id="rId2547" Type="http://schemas.openxmlformats.org/officeDocument/2006/relationships/hyperlink" Target="https://drive.google.com/file/d/1Cxhm-KEyAIa54EJkO72Nj8GY14LcPbV4/view" TargetMode="External"/><Relationship Id="rId3877" Type="http://schemas.openxmlformats.org/officeDocument/2006/relationships/hyperlink" Target="https://drive.google.com/file/d/1hn1RHIWffjXj0JLAVzB48ZAvHy-rPQ2m/view" TargetMode="External"/><Relationship Id="rId1217" Type="http://schemas.openxmlformats.org/officeDocument/2006/relationships/hyperlink" Target="https://drive.google.com/file/d/1AGGZxvbgQSgjGVQEaaOMDz88eXDwD5dz/view" TargetMode="External"/><Relationship Id="rId2548" Type="http://schemas.openxmlformats.org/officeDocument/2006/relationships/hyperlink" Target="https://drive.google.com/file/d/1fyWm0mhxfu-gN1FsWtHvZwT4JXzRfD2B/view" TargetMode="External"/><Relationship Id="rId1218" Type="http://schemas.openxmlformats.org/officeDocument/2006/relationships/hyperlink" Target="https://drive.google.com/file/d/1ECYsw9d7NE_OKfeMcMIqK0uZ_h_78OOo/view" TargetMode="External"/><Relationship Id="rId2549" Type="http://schemas.openxmlformats.org/officeDocument/2006/relationships/hyperlink" Target="https://drive.google.com/file/d/1J75f6xEYLQpQNsRD4C7Awr4GAQ-xKV-E/view" TargetMode="External"/><Relationship Id="rId3879" Type="http://schemas.openxmlformats.org/officeDocument/2006/relationships/hyperlink" Target="https://drive.google.com/file/d/1ezpltR25me9jdPg7-WjH-_Z_kWKucxZB/view" TargetMode="External"/><Relationship Id="rId1219" Type="http://schemas.openxmlformats.org/officeDocument/2006/relationships/hyperlink" Target="https://drive.google.com/file/d/1UG3hEXvsfNYlNAM_5cmSiLbt21AnkDvu/view" TargetMode="External"/><Relationship Id="rId3870" Type="http://schemas.openxmlformats.org/officeDocument/2006/relationships/hyperlink" Target="https://drive.google.com/file/d/1rOUQ2yspOCdXC9NhsPMpJRpJSpll3HpN/view" TargetMode="External"/><Relationship Id="rId2540" Type="http://schemas.openxmlformats.org/officeDocument/2006/relationships/hyperlink" Target="https://drive.google.com/file/d/1Cxhm-KEyAIa54EJkO72Nj8GY14LcPbV4/view" TargetMode="External"/><Relationship Id="rId3872" Type="http://schemas.openxmlformats.org/officeDocument/2006/relationships/hyperlink" Target="https://drive.google.com/file/d/1CSA15JdTcRmKyEvTzXuAszAk0ziLZuz2/view" TargetMode="External"/><Relationship Id="rId1210" Type="http://schemas.openxmlformats.org/officeDocument/2006/relationships/hyperlink" Target="https://drive.google.com/file/d/1diP2eS35jJ9hNJXK6zZUer-wBPYXzrie/view" TargetMode="External"/><Relationship Id="rId2541" Type="http://schemas.openxmlformats.org/officeDocument/2006/relationships/hyperlink" Target="https://drive.google.com/file/d/1fyWm0mhxfu-gN1FsWtHvZwT4JXzRfD2B/view" TargetMode="External"/><Relationship Id="rId3871" Type="http://schemas.openxmlformats.org/officeDocument/2006/relationships/hyperlink" Target="https://drive.google.com/file/d/1VSJEguXtTrXReY0UXBNOSnvc_i6p_jzi/view" TargetMode="External"/><Relationship Id="rId1211" Type="http://schemas.openxmlformats.org/officeDocument/2006/relationships/hyperlink" Target="https://drive.google.com/file/d/19y3VPRqAA2u_s96-xiRuy02JZJzANC80/view" TargetMode="External"/><Relationship Id="rId2542" Type="http://schemas.openxmlformats.org/officeDocument/2006/relationships/hyperlink" Target="https://drive.google.com/file/d/1MPGez1woTJ9YJoKv9esN_Ok-Wq4wn-1D/view" TargetMode="External"/><Relationship Id="rId3874" Type="http://schemas.openxmlformats.org/officeDocument/2006/relationships/hyperlink" Target="https://drive.google.com/file/d/1VSJEguXtTrXReY0UXBNOSnvc_i6p_jzi/view" TargetMode="External"/><Relationship Id="rId1212" Type="http://schemas.openxmlformats.org/officeDocument/2006/relationships/hyperlink" Target="https://drive.google.com/file/d/1EiKOI7r22CBZczv2Dz-ibsWONWdd8G0I/view" TargetMode="External"/><Relationship Id="rId2543" Type="http://schemas.openxmlformats.org/officeDocument/2006/relationships/hyperlink" Target="https://drive.google.com/file/d/11QnOplMXeap5Da4IohDjP-qiXqF1Bsfk/view" TargetMode="External"/><Relationship Id="rId3873" Type="http://schemas.openxmlformats.org/officeDocument/2006/relationships/hyperlink" Target="https://drive.google.com/file/d/1rOUQ2yspOCdXC9NhsPMpJRpJSpll3HpN/view" TargetMode="External"/><Relationship Id="rId1202" Type="http://schemas.openxmlformats.org/officeDocument/2006/relationships/hyperlink" Target="https://drive.google.com/file/d/1EM682dqJjkZP_kkGGCJ8oD8NsK3EMKU4/view" TargetMode="External"/><Relationship Id="rId2533" Type="http://schemas.openxmlformats.org/officeDocument/2006/relationships/hyperlink" Target="https://drive.google.com/file/d/1Cxhm-KEyAIa54EJkO72Nj8GY14LcPbV4/view" TargetMode="External"/><Relationship Id="rId3865" Type="http://schemas.openxmlformats.org/officeDocument/2006/relationships/hyperlink" Target="https://drive.google.com/file/d/1pAfjleD64k3MD3ILHZ3CSFUvUJV3ES6z/view" TargetMode="External"/><Relationship Id="rId1203" Type="http://schemas.openxmlformats.org/officeDocument/2006/relationships/hyperlink" Target="https://drive.google.com/file/d/1diP2eS35jJ9hNJXK6zZUer-wBPYXzrie/view" TargetMode="External"/><Relationship Id="rId2534" Type="http://schemas.openxmlformats.org/officeDocument/2006/relationships/hyperlink" Target="https://drive.google.com/file/d/1fyWm0mhxfu-gN1FsWtHvZwT4JXzRfD2B/view" TargetMode="External"/><Relationship Id="rId3864" Type="http://schemas.openxmlformats.org/officeDocument/2006/relationships/hyperlink" Target="https://drive.google.com/file/d/1ScDe1hFaAjFL2ac-tkKMnkJoiiIJwmtg/view" TargetMode="External"/><Relationship Id="rId1204" Type="http://schemas.openxmlformats.org/officeDocument/2006/relationships/hyperlink" Target="https://drive.google.com/file/d/19y3VPRqAA2u_s96-xiRuy02JZJzANC80/view" TargetMode="External"/><Relationship Id="rId2535" Type="http://schemas.openxmlformats.org/officeDocument/2006/relationships/hyperlink" Target="https://drive.google.com/file/d/1sDWnr9T2px7BmJfAzj5I8nRI6j5m_iJD/view" TargetMode="External"/><Relationship Id="rId3867" Type="http://schemas.openxmlformats.org/officeDocument/2006/relationships/hyperlink" Target="https://drive.google.com/file/d/1jqEt9kw9va1vNs10LsRu2Vz4j-92aDIr/view" TargetMode="External"/><Relationship Id="rId1205" Type="http://schemas.openxmlformats.org/officeDocument/2006/relationships/hyperlink" Target="https://drive.google.com/file/d/1GoNbjRnnGw_H1Ol7O1fYzG3a0ycg7-Kw/view" TargetMode="External"/><Relationship Id="rId2536" Type="http://schemas.openxmlformats.org/officeDocument/2006/relationships/hyperlink" Target="https://drive.google.com/file/d/14-eFHUQHhU2Xa-023EWRXGGlvjXZnNTn/view" TargetMode="External"/><Relationship Id="rId3866" Type="http://schemas.openxmlformats.org/officeDocument/2006/relationships/hyperlink" Target="https://drive.google.com/file/d/1L5pEmchNz81Y4LoOwMNJohPAnqegGsKd/view" TargetMode="External"/><Relationship Id="rId1206" Type="http://schemas.openxmlformats.org/officeDocument/2006/relationships/hyperlink" Target="https://drive.google.com/file/d/1rCXIQ0Pe-mlTm276Btdha6Xg9J2dTiFB/view" TargetMode="External"/><Relationship Id="rId2537" Type="http://schemas.openxmlformats.org/officeDocument/2006/relationships/hyperlink" Target="https://drive.google.com/file/d/1npkt0wO2jdsMHlMed-RpkDDZc8kAUgT0/view" TargetMode="External"/><Relationship Id="rId3869" Type="http://schemas.openxmlformats.org/officeDocument/2006/relationships/hyperlink" Target="https://drive.google.com/file/d/1CSA15JdTcRmKyEvTzXuAszAk0ziLZuz2/view" TargetMode="External"/><Relationship Id="rId1207" Type="http://schemas.openxmlformats.org/officeDocument/2006/relationships/hyperlink" Target="https://drive.google.com/file/d/1GYWnoAgTu3gcCS2XLJGjL_rRIxiu5gtt/view" TargetMode="External"/><Relationship Id="rId2538" Type="http://schemas.openxmlformats.org/officeDocument/2006/relationships/hyperlink" Target="https://drive.google.com/file/d/19psAtFy8QWpJaDzVX8LWp0ASFMt99brR/view" TargetMode="External"/><Relationship Id="rId3868" Type="http://schemas.openxmlformats.org/officeDocument/2006/relationships/hyperlink" Target="https://drive.google.com/file/d/1cN3OelYHhFLspRfuf_eoo172P6qpNpiR/view" TargetMode="External"/><Relationship Id="rId1208" Type="http://schemas.openxmlformats.org/officeDocument/2006/relationships/hyperlink" Target="https://drive.google.com/file/d/1sEUhSS7QPyEr6P4saYQSzRudDkNNdXYs/view" TargetMode="External"/><Relationship Id="rId2539" Type="http://schemas.openxmlformats.org/officeDocument/2006/relationships/hyperlink" Target="https://drive.google.com/file/d/1ZznrgMxamoj761KG90A1mMMQ2v6h2TyS/view" TargetMode="External"/><Relationship Id="rId1209" Type="http://schemas.openxmlformats.org/officeDocument/2006/relationships/hyperlink" Target="https://drive.google.com/file/d/1EM682dqJjkZP_kkGGCJ8oD8NsK3EMKU4/view" TargetMode="External"/><Relationship Id="rId3861" Type="http://schemas.openxmlformats.org/officeDocument/2006/relationships/hyperlink" Target="https://drive.google.com/file/d/1cN3OelYHhFLspRfuf_eoo172P6qpNpiR/view" TargetMode="External"/><Relationship Id="rId2530" Type="http://schemas.openxmlformats.org/officeDocument/2006/relationships/hyperlink" Target="https://drive.google.com/file/d/1npkt0wO2jdsMHlMed-RpkDDZc8kAUgT0/view" TargetMode="External"/><Relationship Id="rId3860" Type="http://schemas.openxmlformats.org/officeDocument/2006/relationships/hyperlink" Target="https://drive.google.com/file/d/1jqEt9kw9va1vNs10LsRu2Vz4j-92aDIr/view" TargetMode="External"/><Relationship Id="rId1200" Type="http://schemas.openxmlformats.org/officeDocument/2006/relationships/hyperlink" Target="https://drive.google.com/file/d/1GYWnoAgTu3gcCS2XLJGjL_rRIxiu5gtt/view" TargetMode="External"/><Relationship Id="rId2531" Type="http://schemas.openxmlformats.org/officeDocument/2006/relationships/hyperlink" Target="https://drive.google.com/file/d/19psAtFy8QWpJaDzVX8LWp0ASFMt99brR/view" TargetMode="External"/><Relationship Id="rId3863" Type="http://schemas.openxmlformats.org/officeDocument/2006/relationships/hyperlink" Target="https://drive.google.com/file/d/1rIPiVHMj3CrGwieQgPQ2xs--cKQLyA9a/view" TargetMode="External"/><Relationship Id="rId1201" Type="http://schemas.openxmlformats.org/officeDocument/2006/relationships/hyperlink" Target="https://drive.google.com/file/d/1sEUhSS7QPyEr6P4saYQSzRudDkNNdXYs/view" TargetMode="External"/><Relationship Id="rId2532" Type="http://schemas.openxmlformats.org/officeDocument/2006/relationships/hyperlink" Target="https://drive.google.com/file/d/1ZznrgMxamoj761KG90A1mMMQ2v6h2TyS/view" TargetMode="External"/><Relationship Id="rId3862" Type="http://schemas.openxmlformats.org/officeDocument/2006/relationships/hyperlink" Target="https://drive.google.com/file/d/12oMyOGi3Ooux8qAeSrTZPh9xwA9iWb2U/view" TargetMode="External"/><Relationship Id="rId1235" Type="http://schemas.openxmlformats.org/officeDocument/2006/relationships/hyperlink" Target="https://drive.google.com/file/d/1noZWBCE7bhIU8Jfq-4ShJljQUy91ZY1Q/view" TargetMode="External"/><Relationship Id="rId2566" Type="http://schemas.openxmlformats.org/officeDocument/2006/relationships/hyperlink" Target="https://drive.google.com/file/d/19seXdjCshb98abtX4Nsutl6PEWjKTUHY/view" TargetMode="External"/><Relationship Id="rId3898" Type="http://schemas.openxmlformats.org/officeDocument/2006/relationships/hyperlink" Target="https://drive.google.com/file/d/1_Jzb67evbOMA7yZrJwdLh4wUK-_OPZtl/view" TargetMode="External"/><Relationship Id="rId1236" Type="http://schemas.openxmlformats.org/officeDocument/2006/relationships/hyperlink" Target="https://drive.google.com/file/d/18DWzgCotHv-8VKPKISqXpzZH-miFmFC8/view" TargetMode="External"/><Relationship Id="rId2567" Type="http://schemas.openxmlformats.org/officeDocument/2006/relationships/hyperlink" Target="https://drive.google.com/file/d/1OBGOL8FJ41gz5vyx3KllYkAzQyuPwYa0/view" TargetMode="External"/><Relationship Id="rId3897" Type="http://schemas.openxmlformats.org/officeDocument/2006/relationships/hyperlink" Target="https://drive.google.com/file/d/1P_UrSMGr2yukWuHli7wPcUUetJ5g1So-/view" TargetMode="External"/><Relationship Id="rId1237" Type="http://schemas.openxmlformats.org/officeDocument/2006/relationships/hyperlink" Target="https://drive.google.com/file/d/1KWkfHRBEtIjIqZwItNKDHbG_vtWjFG31/view" TargetMode="External"/><Relationship Id="rId2568" Type="http://schemas.openxmlformats.org/officeDocument/2006/relationships/hyperlink" Target="https://drive.google.com/file/d/1ibA3LbL_0vpwXnn7KhZB5n1Az6HQr-p5/view" TargetMode="External"/><Relationship Id="rId1238" Type="http://schemas.openxmlformats.org/officeDocument/2006/relationships/hyperlink" Target="https://drive.google.com/file/d/1pVj_5L0tCu6fs5Lpb9PZ4JvWk6SlONJ1/view" TargetMode="External"/><Relationship Id="rId2569" Type="http://schemas.openxmlformats.org/officeDocument/2006/relationships/hyperlink" Target="https://drive.google.com/file/d/1ta98945DjBIizaXj2KUhvqEz_K7TanGk/view" TargetMode="External"/><Relationship Id="rId3899" Type="http://schemas.openxmlformats.org/officeDocument/2006/relationships/hyperlink" Target="https://drive.google.com/file/d/1npkt0wO2jdsMHlMed-RpkDDZc8kAUgT0/view" TargetMode="External"/><Relationship Id="rId1239" Type="http://schemas.openxmlformats.org/officeDocument/2006/relationships/hyperlink" Target="https://drive.google.com/file/d/1Uj68mb8F3FKYZXLnHOif6OUXjrTlHCZb/view" TargetMode="External"/><Relationship Id="rId409" Type="http://schemas.openxmlformats.org/officeDocument/2006/relationships/hyperlink" Target="https://drive.google.com/file/d/1lB7tuPer53SUrtGd4xPZAvH4vDRB3lzt/view" TargetMode="External"/><Relationship Id="rId404" Type="http://schemas.openxmlformats.org/officeDocument/2006/relationships/hyperlink" Target="https://drive.google.com/file/d/1ly2EBA97koeQSB6-BMXrvNcAVzZbatJv/view" TargetMode="External"/><Relationship Id="rId403" Type="http://schemas.openxmlformats.org/officeDocument/2006/relationships/hyperlink" Target="https://drive.google.com/file/d/1DVYWdOuwYPaLgLJ55-tPByjuOxSuLt-_/view" TargetMode="External"/><Relationship Id="rId402" Type="http://schemas.openxmlformats.org/officeDocument/2006/relationships/hyperlink" Target="https://drive.google.com/file/d/1q7nKJFL1QXTJUudAS8HVECEm86sTpdi3/view" TargetMode="External"/><Relationship Id="rId401" Type="http://schemas.openxmlformats.org/officeDocument/2006/relationships/hyperlink" Target="https://drive.google.com/file/d/1DVYWdOuwYPaLgLJ55-tPByjuOxSuLt-_/view" TargetMode="External"/><Relationship Id="rId408" Type="http://schemas.openxmlformats.org/officeDocument/2006/relationships/hyperlink" Target="https://drive.google.com/file/d/1GAASh_D4xLnR11U6E5bJDOHO5u7jeAOy/view" TargetMode="External"/><Relationship Id="rId407" Type="http://schemas.openxmlformats.org/officeDocument/2006/relationships/hyperlink" Target="https://drive.google.com/file/d/1NXPXdnRiioDiFADhWbPPoDOnOntmIUz2/view" TargetMode="External"/><Relationship Id="rId406" Type="http://schemas.openxmlformats.org/officeDocument/2006/relationships/hyperlink" Target="https://drive.google.com/file/d/1leCjjl3aC7GvJFdOJuhiLIMM1RRFCk_1/view" TargetMode="External"/><Relationship Id="rId405" Type="http://schemas.openxmlformats.org/officeDocument/2006/relationships/hyperlink" Target="https://drive.google.com/file/d/1lB7tuPer53SUrtGd4xPZAvH4vDRB3lzt/view" TargetMode="External"/><Relationship Id="rId3890" Type="http://schemas.openxmlformats.org/officeDocument/2006/relationships/hyperlink" Target="https://drive.google.com/file/d/1gJyEi94xr40wtHLCb-nk34-ddK6YocdM/view" TargetMode="External"/><Relationship Id="rId2560" Type="http://schemas.openxmlformats.org/officeDocument/2006/relationships/hyperlink" Target="https://drive.google.com/file/d/1OBGOL8FJ41gz5vyx3KllYkAzQyuPwYa0/view" TargetMode="External"/><Relationship Id="rId3892" Type="http://schemas.openxmlformats.org/officeDocument/2006/relationships/hyperlink" Target="https://drive.google.com/file/d/1gJyEi94xr40wtHLCb-nk34-ddK6YocdM/view" TargetMode="External"/><Relationship Id="rId1230" Type="http://schemas.openxmlformats.org/officeDocument/2006/relationships/hyperlink" Target="https://drive.google.com/file/d/18DWzgCotHv-8VKPKISqXpzZH-miFmFC8/view" TargetMode="External"/><Relationship Id="rId2561" Type="http://schemas.openxmlformats.org/officeDocument/2006/relationships/hyperlink" Target="https://drive.google.com/file/d/1ibA3LbL_0vpwXnn7KhZB5n1Az6HQr-p5/view" TargetMode="External"/><Relationship Id="rId3891" Type="http://schemas.openxmlformats.org/officeDocument/2006/relationships/hyperlink" Target="https://drive.google.com/file/d/1zxE6OjdrQY2FyDQoGUs2ESZpGSlqB3iA/view" TargetMode="External"/><Relationship Id="rId400" Type="http://schemas.openxmlformats.org/officeDocument/2006/relationships/hyperlink" Target="https://drive.google.com/file/d/16-LAgc5vl6lFZTBrrnT6BfKKh-2b8C86/view" TargetMode="External"/><Relationship Id="rId1231" Type="http://schemas.openxmlformats.org/officeDocument/2006/relationships/hyperlink" Target="https://drive.google.com/file/d/1KWkfHRBEtIjIqZwItNKDHbG_vtWjFG31/view" TargetMode="External"/><Relationship Id="rId2562" Type="http://schemas.openxmlformats.org/officeDocument/2006/relationships/hyperlink" Target="https://drive.google.com/file/d/1ta98945DjBIizaXj2KUhvqEz_K7TanGk/view" TargetMode="External"/><Relationship Id="rId3894" Type="http://schemas.openxmlformats.org/officeDocument/2006/relationships/hyperlink" Target="https://drive.google.com/file/d/1pWxxMkef23zVpjI9bK8gXqOUSzaepkIO/view" TargetMode="External"/><Relationship Id="rId1232" Type="http://schemas.openxmlformats.org/officeDocument/2006/relationships/hyperlink" Target="https://drive.google.com/file/d/1LFfNnC3ZxRYysmoA13YZvaL0WOcwWIub/view" TargetMode="External"/><Relationship Id="rId2563" Type="http://schemas.openxmlformats.org/officeDocument/2006/relationships/hyperlink" Target="https://drive.google.com/file/d/1TJnyLUXd43500JDahPo1rw8Q-hJkUx57/view" TargetMode="External"/><Relationship Id="rId3893" Type="http://schemas.openxmlformats.org/officeDocument/2006/relationships/hyperlink" Target="https://drive.google.com/file/d/10phlDHrk3qpevRYOyGghcS7L2LgnUSlR/view" TargetMode="External"/><Relationship Id="rId1233" Type="http://schemas.openxmlformats.org/officeDocument/2006/relationships/hyperlink" Target="https://drive.google.com/file/d/1Mz5tOYAsEDeDywZrPe_a2nrKBl3EnVlV/view" TargetMode="External"/><Relationship Id="rId2564" Type="http://schemas.openxmlformats.org/officeDocument/2006/relationships/hyperlink" Target="https://drive.google.com/file/d/1ZpOGDVQadyCsSnJCVsdwbjeFcpR_k040/view" TargetMode="External"/><Relationship Id="rId3896" Type="http://schemas.openxmlformats.org/officeDocument/2006/relationships/hyperlink" Target="https://drive.google.com/file/d/1zxE6OjdrQY2FyDQoGUs2ESZpGSlqB3iA/view" TargetMode="External"/><Relationship Id="rId1234" Type="http://schemas.openxmlformats.org/officeDocument/2006/relationships/hyperlink" Target="https://drive.google.com/file/d/1GYWnoAgTu3gcCS2XLJGjL_rRIxiu5gtt/view" TargetMode="External"/><Relationship Id="rId2565" Type="http://schemas.openxmlformats.org/officeDocument/2006/relationships/hyperlink" Target="https://drive.google.com/file/d/1npkt0wO2jdsMHlMed-RpkDDZc8kAUgT0/view" TargetMode="External"/><Relationship Id="rId3895" Type="http://schemas.openxmlformats.org/officeDocument/2006/relationships/hyperlink" Target="https://drive.google.com/file/d/1zxE6OjdrQY2FyDQoGUs2ESZpGSlqB3iA/view" TargetMode="External"/><Relationship Id="rId1224" Type="http://schemas.openxmlformats.org/officeDocument/2006/relationships/hyperlink" Target="https://drive.google.com/file/d/1AGGZxvbgQSgjGVQEaaOMDz88eXDwD5dz/view" TargetMode="External"/><Relationship Id="rId2555" Type="http://schemas.openxmlformats.org/officeDocument/2006/relationships/hyperlink" Target="https://drive.google.com/file/d/1ta98945DjBIizaXj2KUhvqEz_K7TanGk/view" TargetMode="External"/><Relationship Id="rId3887" Type="http://schemas.openxmlformats.org/officeDocument/2006/relationships/hyperlink" Target="https://drive.google.com/file/d/1CDmy0dIUry4m0sH3fjuw_5AIBNQeUet_/view" TargetMode="External"/><Relationship Id="rId1225" Type="http://schemas.openxmlformats.org/officeDocument/2006/relationships/hyperlink" Target="https://drive.google.com/file/d/1ECYsw9d7NE_OKfeMcMIqK0uZ_h_78OOo/view" TargetMode="External"/><Relationship Id="rId2556" Type="http://schemas.openxmlformats.org/officeDocument/2006/relationships/hyperlink" Target="https://drive.google.com/file/d/1J75f6xEYLQpQNsRD4C7Awr4GAQ-xKV-E/view" TargetMode="External"/><Relationship Id="rId3886" Type="http://schemas.openxmlformats.org/officeDocument/2006/relationships/hyperlink" Target="https://drive.google.com/file/d/1icpYL6luZ-w8xgK6jz86qVpI-ySQ16rU/view" TargetMode="External"/><Relationship Id="rId1226" Type="http://schemas.openxmlformats.org/officeDocument/2006/relationships/hyperlink" Target="https://drive.google.com/file/d/1Y2OsUnDDFzea4-U6oCusIAKvE_-p6Msy/view" TargetMode="External"/><Relationship Id="rId2557" Type="http://schemas.openxmlformats.org/officeDocument/2006/relationships/hyperlink" Target="https://drive.google.com/file/d/1YGHe-1SzbDzOWeZLokkythHJ8wTpHXtT/view" TargetMode="External"/><Relationship Id="rId3889" Type="http://schemas.openxmlformats.org/officeDocument/2006/relationships/hyperlink" Target="https://drive.google.com/file/d/1CDmy0dIUry4m0sH3fjuw_5AIBNQeUet_/view" TargetMode="External"/><Relationship Id="rId1227" Type="http://schemas.openxmlformats.org/officeDocument/2006/relationships/hyperlink" Target="https://drive.google.com/file/d/1qSVgaqyFI59VVy0HzCZjFJ5RUU9lEY4_/view" TargetMode="External"/><Relationship Id="rId2558" Type="http://schemas.openxmlformats.org/officeDocument/2006/relationships/hyperlink" Target="https://drive.google.com/file/d/1npkt0wO2jdsMHlMed-RpkDDZc8kAUgT0/view" TargetMode="External"/><Relationship Id="rId3888" Type="http://schemas.openxmlformats.org/officeDocument/2006/relationships/hyperlink" Target="https://drive.google.com/file/d/1O9KAhdG0GbwD2ad6n_dGwCJ-9xqKIT7a/view" TargetMode="External"/><Relationship Id="rId1228" Type="http://schemas.openxmlformats.org/officeDocument/2006/relationships/hyperlink" Target="https://drive.google.com/file/d/1GYWnoAgTu3gcCS2XLJGjL_rRIxiu5gtt/view" TargetMode="External"/><Relationship Id="rId2559" Type="http://schemas.openxmlformats.org/officeDocument/2006/relationships/hyperlink" Target="https://drive.google.com/file/d/19seXdjCshb98abtX4Nsutl6PEWjKTUHY/view" TargetMode="External"/><Relationship Id="rId1229" Type="http://schemas.openxmlformats.org/officeDocument/2006/relationships/hyperlink" Target="https://drive.google.com/file/d/1noZWBCE7bhIU8Jfq-4ShJljQUy91ZY1Q/view" TargetMode="External"/><Relationship Id="rId3881" Type="http://schemas.openxmlformats.org/officeDocument/2006/relationships/hyperlink" Target="https://drive.google.com/file/d/1RWHE9GTkcA93XTiO8ySB-Qt2vA9RhKEr/view" TargetMode="External"/><Relationship Id="rId2550" Type="http://schemas.openxmlformats.org/officeDocument/2006/relationships/hyperlink" Target="https://drive.google.com/file/d/1YGHe-1SzbDzOWeZLokkythHJ8wTpHXtT/view" TargetMode="External"/><Relationship Id="rId3880" Type="http://schemas.openxmlformats.org/officeDocument/2006/relationships/hyperlink" Target="https://drive.google.com/file/d/1hn1RHIWffjXj0JLAVzB48ZAvHy-rPQ2m/view" TargetMode="External"/><Relationship Id="rId1220" Type="http://schemas.openxmlformats.org/officeDocument/2006/relationships/hyperlink" Target="https://drive.google.com/file/d/1o_Eg0rsOOLIDYrSSi5G66A4xaF2CyuE0/view" TargetMode="External"/><Relationship Id="rId2551" Type="http://schemas.openxmlformats.org/officeDocument/2006/relationships/hyperlink" Target="https://drive.google.com/file/d/1npkt0wO2jdsMHlMed-RpkDDZc8kAUgT0/view" TargetMode="External"/><Relationship Id="rId3883" Type="http://schemas.openxmlformats.org/officeDocument/2006/relationships/hyperlink" Target="https://drive.google.com/file/d/1NbAAEqnCG6umo4AkrIwJ_e4qvbTxqxcJ/view" TargetMode="External"/><Relationship Id="rId1221" Type="http://schemas.openxmlformats.org/officeDocument/2006/relationships/hyperlink" Target="https://drive.google.com/file/d/1GYWnoAgTu3gcCS2XLJGjL_rRIxiu5gtt/view" TargetMode="External"/><Relationship Id="rId2552" Type="http://schemas.openxmlformats.org/officeDocument/2006/relationships/hyperlink" Target="https://drive.google.com/file/d/19seXdjCshb98abtX4Nsutl6PEWjKTUHY/view" TargetMode="External"/><Relationship Id="rId3882" Type="http://schemas.openxmlformats.org/officeDocument/2006/relationships/hyperlink" Target="https://drive.google.com/file/d/1ezpltR25me9jdPg7-WjH-_Z_kWKucxZB/view" TargetMode="External"/><Relationship Id="rId1222" Type="http://schemas.openxmlformats.org/officeDocument/2006/relationships/hyperlink" Target="https://drive.google.com/file/d/1ErPuMJfp2tH08o86xrffKOLUiKJb6LDM/view" TargetMode="External"/><Relationship Id="rId2553" Type="http://schemas.openxmlformats.org/officeDocument/2006/relationships/hyperlink" Target="https://drive.google.com/file/d/1OBGOL8FJ41gz5vyx3KllYkAzQyuPwYa0/view" TargetMode="External"/><Relationship Id="rId3885" Type="http://schemas.openxmlformats.org/officeDocument/2006/relationships/hyperlink" Target="https://drive.google.com/file/d/1ezpltR25me9jdPg7-WjH-_Z_kWKucxZB/view" TargetMode="External"/><Relationship Id="rId1223" Type="http://schemas.openxmlformats.org/officeDocument/2006/relationships/hyperlink" Target="https://drive.google.com/file/d/1TYrsppKwD9IdNGvmhgzipovOoRTL6UDh/view" TargetMode="External"/><Relationship Id="rId2554" Type="http://schemas.openxmlformats.org/officeDocument/2006/relationships/hyperlink" Target="https://drive.google.com/file/d/1ibA3LbL_0vpwXnn7KhZB5n1Az6HQr-p5/view" TargetMode="External"/><Relationship Id="rId3884" Type="http://schemas.openxmlformats.org/officeDocument/2006/relationships/hyperlink" Target="https://drive.google.com/file/d/1PPAA1cxSY6fHgn5PTcgmL7mIqYb7xCAR/view" TargetMode="External"/><Relationship Id="rId2500" Type="http://schemas.openxmlformats.org/officeDocument/2006/relationships/hyperlink" Target="https://drive.google.com/file/d/1W60A9SOu5HOPvJVDbCDREPJc9sHL5Y1t/view" TargetMode="External"/><Relationship Id="rId3832" Type="http://schemas.openxmlformats.org/officeDocument/2006/relationships/hyperlink" Target="https://drive.google.com/file/d/1yV_F-QZ1kODwc-jdIBJDe5ceW5kzWGXW/view" TargetMode="External"/><Relationship Id="rId2501" Type="http://schemas.openxmlformats.org/officeDocument/2006/relationships/hyperlink" Target="https://drive.google.com/file/d/1VknKFpYLV5YxrdTZjxIout7Yc4BFhIxf/view" TargetMode="External"/><Relationship Id="rId3831" Type="http://schemas.openxmlformats.org/officeDocument/2006/relationships/hyperlink" Target="https://drive.google.com/file/d/1-G0o95GzVnoySpDAADDKmw-bhnCb-zgN/view" TargetMode="External"/><Relationship Id="rId2502" Type="http://schemas.openxmlformats.org/officeDocument/2006/relationships/hyperlink" Target="https://drive.google.com/file/d/1tE3XVufp7STPk3pifB1k12iU8Wol9tkI/view" TargetMode="External"/><Relationship Id="rId3834" Type="http://schemas.openxmlformats.org/officeDocument/2006/relationships/hyperlink" Target="https://drive.google.com/file/d/171RQ6cX1za_-DGxeQm54FtadiXtz3H6n/view" TargetMode="External"/><Relationship Id="rId2503" Type="http://schemas.openxmlformats.org/officeDocument/2006/relationships/hyperlink" Target="https://drive.google.com/file/d/1eCJ74ICnNSsyRBIeXRrxZpmdNxuwp7dN/view" TargetMode="External"/><Relationship Id="rId3833" Type="http://schemas.openxmlformats.org/officeDocument/2006/relationships/hyperlink" Target="https://drive.google.com/file/d/1nObOiyOqIawd3DnsKZBjjtARP7cbtDCN/view" TargetMode="External"/><Relationship Id="rId2504" Type="http://schemas.openxmlformats.org/officeDocument/2006/relationships/hyperlink" Target="https://drive.google.com/file/d/1xxFRtEtXcYTBiw6m22uXbWxzfyf_hnez/view" TargetMode="External"/><Relationship Id="rId3836" Type="http://schemas.openxmlformats.org/officeDocument/2006/relationships/hyperlink" Target="https://drive.google.com/file/d/1IpfqXehVYZgNCXDq3eoOnTXPZLmsE6BR/view" TargetMode="External"/><Relationship Id="rId2505" Type="http://schemas.openxmlformats.org/officeDocument/2006/relationships/hyperlink" Target="https://drive.google.com/file/d/18Yu8w6MjlLPryQhR75ay1R-idTGqSEst/view" TargetMode="External"/><Relationship Id="rId3835" Type="http://schemas.openxmlformats.org/officeDocument/2006/relationships/hyperlink" Target="https://drive.google.com/file/d/1E4TdS3dNMt0GZwgblASB89b3FL7djRC_/view" TargetMode="External"/><Relationship Id="rId2506" Type="http://schemas.openxmlformats.org/officeDocument/2006/relationships/hyperlink" Target="https://drive.google.com/file/d/1VknKFpYLV5YxrdTZjxIout7Yc4BFhIxf/view" TargetMode="External"/><Relationship Id="rId3838" Type="http://schemas.openxmlformats.org/officeDocument/2006/relationships/hyperlink" Target="https://drive.google.com/file/d/1XYZFlrzljWJaofcbYkzI3gTpTSnOzmkW/view" TargetMode="External"/><Relationship Id="rId2507" Type="http://schemas.openxmlformats.org/officeDocument/2006/relationships/hyperlink" Target="https://drive.google.com/file/d/1tE3XVufp7STPk3pifB1k12iU8Wol9tkI/view" TargetMode="External"/><Relationship Id="rId3837" Type="http://schemas.openxmlformats.org/officeDocument/2006/relationships/hyperlink" Target="https://drive.google.com/file/d/1lixJQUg8CPJn04Vnva4Tc9mLA89NHGjd/view" TargetMode="External"/><Relationship Id="rId2508" Type="http://schemas.openxmlformats.org/officeDocument/2006/relationships/hyperlink" Target="https://drive.google.com/file/d/1eCJ74ICnNSsyRBIeXRrxZpmdNxuwp7dN/view" TargetMode="External"/><Relationship Id="rId2509" Type="http://schemas.openxmlformats.org/officeDocument/2006/relationships/hyperlink" Target="https://drive.google.com/file/d/1xxFRtEtXcYTBiw6m22uXbWxzfyf_hnez/view" TargetMode="External"/><Relationship Id="rId3839" Type="http://schemas.openxmlformats.org/officeDocument/2006/relationships/hyperlink" Target="https://drive.google.com/file/d/1q7-7JBPKAKbNh7qKS665dAfQ3grNMOYu/view" TargetMode="External"/><Relationship Id="rId3830" Type="http://schemas.openxmlformats.org/officeDocument/2006/relationships/hyperlink" Target="https://drive.google.com/file/d/1HoepVrawBfiEqqfsgIKeqNoCDV35cwOt/view" TargetMode="External"/><Relationship Id="rId3821" Type="http://schemas.openxmlformats.org/officeDocument/2006/relationships/hyperlink" Target="https://drive.google.com/file/d/1fk1dI_kwGfsWwXkBy7mAjjxsljc3Bm4m/view" TargetMode="External"/><Relationship Id="rId3820" Type="http://schemas.openxmlformats.org/officeDocument/2006/relationships/hyperlink" Target="https://drive.google.com/file/d/171RQ6cX1za_-DGxeQm54FtadiXtz3H6n/view" TargetMode="External"/><Relationship Id="rId3823" Type="http://schemas.openxmlformats.org/officeDocument/2006/relationships/hyperlink" Target="https://drive.google.com/file/d/1HoepVrawBfiEqqfsgIKeqNoCDV35cwOt/view" TargetMode="External"/><Relationship Id="rId3822" Type="http://schemas.openxmlformats.org/officeDocument/2006/relationships/hyperlink" Target="https://drive.google.com/file/d/1OTGwm5HcsvzbbmIQHBC0DhEVaHWN7ybV/view" TargetMode="External"/><Relationship Id="rId3825" Type="http://schemas.openxmlformats.org/officeDocument/2006/relationships/hyperlink" Target="https://drive.google.com/file/d/1yV_F-QZ1kODwc-jdIBJDe5ceW5kzWGXW/view" TargetMode="External"/><Relationship Id="rId3824" Type="http://schemas.openxmlformats.org/officeDocument/2006/relationships/hyperlink" Target="https://drive.google.com/file/d/1-G0o95GzVnoySpDAADDKmw-bhnCb-zgN/view" TargetMode="External"/><Relationship Id="rId3827" Type="http://schemas.openxmlformats.org/officeDocument/2006/relationships/hyperlink" Target="https://drive.google.com/file/d/171RQ6cX1za_-DGxeQm54FtadiXtz3H6n/view" TargetMode="External"/><Relationship Id="rId3826" Type="http://schemas.openxmlformats.org/officeDocument/2006/relationships/hyperlink" Target="https://drive.google.com/file/d/1nObOiyOqIawd3DnsKZBjjtARP7cbtDCN/view" TargetMode="External"/><Relationship Id="rId3829" Type="http://schemas.openxmlformats.org/officeDocument/2006/relationships/hyperlink" Target="https://drive.google.com/file/d/19k8neR5pjXcHfD3jTL-tTdVxIpJSvKfU/view" TargetMode="External"/><Relationship Id="rId3828" Type="http://schemas.openxmlformats.org/officeDocument/2006/relationships/hyperlink" Target="https://drive.google.com/file/d/1IUtdFRKCVIrRSxU6-HXB_rxO41axO2Dn/view" TargetMode="External"/><Relationship Id="rId2522" Type="http://schemas.openxmlformats.org/officeDocument/2006/relationships/hyperlink" Target="https://drive.google.com/file/d/14-eFHUQHhU2Xa-023EWRXGGlvjXZnNTn/view" TargetMode="External"/><Relationship Id="rId3854" Type="http://schemas.openxmlformats.org/officeDocument/2006/relationships/hyperlink" Target="https://drive.google.com/file/d/1flcdrKJuKactdZzWlsQcpGwwxlvedZ9p/view" TargetMode="External"/><Relationship Id="rId2523" Type="http://schemas.openxmlformats.org/officeDocument/2006/relationships/hyperlink" Target="https://drive.google.com/file/d/1npkt0wO2jdsMHlMed-RpkDDZc8kAUgT0/view" TargetMode="External"/><Relationship Id="rId3853" Type="http://schemas.openxmlformats.org/officeDocument/2006/relationships/hyperlink" Target="https://drive.google.com/file/d/17aySYcwof0uMjmV2bxNYT3sdVlstbEvw/view" TargetMode="External"/><Relationship Id="rId2524" Type="http://schemas.openxmlformats.org/officeDocument/2006/relationships/hyperlink" Target="https://drive.google.com/file/d/19psAtFy8QWpJaDzVX8LWp0ASFMt99brR/view" TargetMode="External"/><Relationship Id="rId3856" Type="http://schemas.openxmlformats.org/officeDocument/2006/relationships/hyperlink" Target="https://drive.google.com/file/d/1PiGAzUwtsXXaRfDhXF0yABl6VijohgNx/view" TargetMode="External"/><Relationship Id="rId2525" Type="http://schemas.openxmlformats.org/officeDocument/2006/relationships/hyperlink" Target="https://drive.google.com/file/d/1ZznrgMxamoj761KG90A1mMMQ2v6h2TyS/view" TargetMode="External"/><Relationship Id="rId3855" Type="http://schemas.openxmlformats.org/officeDocument/2006/relationships/hyperlink" Target="https://drive.google.com/file/d/1LDCSCJa1zlT6K8S9drJYNupAc-SFdpGU/view" TargetMode="External"/><Relationship Id="rId2526" Type="http://schemas.openxmlformats.org/officeDocument/2006/relationships/hyperlink" Target="https://drive.google.com/file/d/1Cxhm-KEyAIa54EJkO72Nj8GY14LcPbV4/view" TargetMode="External"/><Relationship Id="rId3858" Type="http://schemas.openxmlformats.org/officeDocument/2006/relationships/hyperlink" Target="https://drive.google.com/file/d/1pAfjleD64k3MD3ILHZ3CSFUvUJV3ES6z/view" TargetMode="External"/><Relationship Id="rId2527" Type="http://schemas.openxmlformats.org/officeDocument/2006/relationships/hyperlink" Target="https://drive.google.com/file/d/1fyWm0mhxfu-gN1FsWtHvZwT4JXzRfD2B/view" TargetMode="External"/><Relationship Id="rId3857" Type="http://schemas.openxmlformats.org/officeDocument/2006/relationships/hyperlink" Target="https://drive.google.com/file/d/1ScDe1hFaAjFL2ac-tkKMnkJoiiIJwmtg/view" TargetMode="External"/><Relationship Id="rId2528" Type="http://schemas.openxmlformats.org/officeDocument/2006/relationships/hyperlink" Target="https://drive.google.com/file/d/1sDWnr9T2px7BmJfAzj5I8nRI6j5m_iJD/view" TargetMode="External"/><Relationship Id="rId2529" Type="http://schemas.openxmlformats.org/officeDocument/2006/relationships/hyperlink" Target="https://drive.google.com/file/d/14-eFHUQHhU2Xa-023EWRXGGlvjXZnNTn/view" TargetMode="External"/><Relationship Id="rId3859" Type="http://schemas.openxmlformats.org/officeDocument/2006/relationships/hyperlink" Target="https://drive.google.com/file/d/1L5pEmchNz81Y4LoOwMNJohPAnqegGsKd/view" TargetMode="External"/><Relationship Id="rId3850" Type="http://schemas.openxmlformats.org/officeDocument/2006/relationships/hyperlink" Target="https://drive.google.com/file/d/1ScDe1hFaAjFL2ac-tkKMnkJoiiIJwmtg/view" TargetMode="External"/><Relationship Id="rId2520" Type="http://schemas.openxmlformats.org/officeDocument/2006/relationships/hyperlink" Target="https://drive.google.com/file/d/1zxE6OjdrQY2FyDQoGUs2ESZpGSlqB3iA/view" TargetMode="External"/><Relationship Id="rId3852" Type="http://schemas.openxmlformats.org/officeDocument/2006/relationships/hyperlink" Target="https://drive.google.com/file/d/1pW3lkdfxSXmi-ez-rNUvivmQSeRCg4hg/view" TargetMode="External"/><Relationship Id="rId2521" Type="http://schemas.openxmlformats.org/officeDocument/2006/relationships/hyperlink" Target="https://drive.google.com/file/d/1sDWnr9T2px7BmJfAzj5I8nRI6j5m_iJD/view" TargetMode="External"/><Relationship Id="rId3851" Type="http://schemas.openxmlformats.org/officeDocument/2006/relationships/hyperlink" Target="https://drive.google.com/file/d/1MqCzz40hPIanMCCmIOT9TG6QaOXFkorc/view" TargetMode="External"/><Relationship Id="rId2511" Type="http://schemas.openxmlformats.org/officeDocument/2006/relationships/hyperlink" Target="https://drive.google.com/file/d/1VknKFpYLV5YxrdTZjxIout7Yc4BFhIxf/view" TargetMode="External"/><Relationship Id="rId3843" Type="http://schemas.openxmlformats.org/officeDocument/2006/relationships/hyperlink" Target="https://drive.google.com/file/d/1ScDe1hFaAjFL2ac-tkKMnkJoiiIJwmtg/view" TargetMode="External"/><Relationship Id="rId2512" Type="http://schemas.openxmlformats.org/officeDocument/2006/relationships/hyperlink" Target="https://drive.google.com/file/d/1N_hUqDQZRyYKW_jEwK9jDAcxL-ZQDa5y/view" TargetMode="External"/><Relationship Id="rId3842" Type="http://schemas.openxmlformats.org/officeDocument/2006/relationships/hyperlink" Target="https://drive.google.com/file/d/1PiGAzUwtsXXaRfDhXF0yABl6VijohgNx/view" TargetMode="External"/><Relationship Id="rId2513" Type="http://schemas.openxmlformats.org/officeDocument/2006/relationships/hyperlink" Target="https://drive.google.com/file/d/1wJCHfyOpiEg2M-aJK0euywonsGbjjcqI/view" TargetMode="External"/><Relationship Id="rId3845" Type="http://schemas.openxmlformats.org/officeDocument/2006/relationships/hyperlink" Target="https://drive.google.com/file/d/1pW3lkdfxSXmi-ez-rNUvivmQSeRCg4hg/view" TargetMode="External"/><Relationship Id="rId2514" Type="http://schemas.openxmlformats.org/officeDocument/2006/relationships/hyperlink" Target="https://drive.google.com/file/d/1xxFRtEtXcYTBiw6m22uXbWxzfyf_hnez/view" TargetMode="External"/><Relationship Id="rId3844" Type="http://schemas.openxmlformats.org/officeDocument/2006/relationships/hyperlink" Target="https://drive.google.com/file/d/1MqCzz40hPIanMCCmIOT9TG6QaOXFkorc/view" TargetMode="External"/><Relationship Id="rId2515" Type="http://schemas.openxmlformats.org/officeDocument/2006/relationships/hyperlink" Target="https://drive.google.com/file/d/14MjGlzWirxOBp3OFMm0YdSHjuQn3pzaX/view" TargetMode="External"/><Relationship Id="rId3847" Type="http://schemas.openxmlformats.org/officeDocument/2006/relationships/hyperlink" Target="https://drive.google.com/file/d/1flcdrKJuKactdZzWlsQcpGwwxlvedZ9p/view" TargetMode="External"/><Relationship Id="rId2516" Type="http://schemas.openxmlformats.org/officeDocument/2006/relationships/hyperlink" Target="https://drive.google.com/file/d/1VknKFpYLV5YxrdTZjxIout7Yc4BFhIxf/view" TargetMode="External"/><Relationship Id="rId3846" Type="http://schemas.openxmlformats.org/officeDocument/2006/relationships/hyperlink" Target="https://drive.google.com/file/d/17aySYcwof0uMjmV2bxNYT3sdVlstbEvw/view" TargetMode="External"/><Relationship Id="rId2517" Type="http://schemas.openxmlformats.org/officeDocument/2006/relationships/hyperlink" Target="https://drive.google.com/file/d/1N_hUqDQZRyYKW_jEwK9jDAcxL-ZQDa5y/view" TargetMode="External"/><Relationship Id="rId3849" Type="http://schemas.openxmlformats.org/officeDocument/2006/relationships/hyperlink" Target="https://drive.google.com/file/d/1rIPiVHMj3CrGwieQgPQ2xs--cKQLyA9a/view" TargetMode="External"/><Relationship Id="rId2518" Type="http://schemas.openxmlformats.org/officeDocument/2006/relationships/hyperlink" Target="https://drive.google.com/file/d/1wJCHfyOpiEg2M-aJK0euywonsGbjjcqI/view" TargetMode="External"/><Relationship Id="rId3848" Type="http://schemas.openxmlformats.org/officeDocument/2006/relationships/hyperlink" Target="https://drive.google.com/file/d/1szWwDgdNxrde3_SGdqMqB23_IZ6ysaeS/view" TargetMode="External"/><Relationship Id="rId2519" Type="http://schemas.openxmlformats.org/officeDocument/2006/relationships/hyperlink" Target="https://drive.google.com/file/d/1xxFRtEtXcYTBiw6m22uXbWxzfyf_hnez/view" TargetMode="External"/><Relationship Id="rId3841" Type="http://schemas.openxmlformats.org/officeDocument/2006/relationships/hyperlink" Target="https://drive.google.com/file/d/1oM2_r7ojaeOZdMjKz6BuyxdUewEuKVwc/view" TargetMode="External"/><Relationship Id="rId2510" Type="http://schemas.openxmlformats.org/officeDocument/2006/relationships/hyperlink" Target="https://drive.google.com/file/d/10oPZdQnX6DwnqK-kVIOuCr9ECc6Ekfw5/view" TargetMode="External"/><Relationship Id="rId3840" Type="http://schemas.openxmlformats.org/officeDocument/2006/relationships/hyperlink" Target="https://drive.google.com/file/d/1mFEfMW8BEl-q3j-DkSLUpwexyyFRZNwA/view" TargetMode="External"/><Relationship Id="rId469" Type="http://schemas.openxmlformats.org/officeDocument/2006/relationships/hyperlink" Target="https://drive.google.com/file/d/1Gbly5Da6O7c6slOwwsVfP3AZK0mZ72gm/view" TargetMode="External"/><Relationship Id="rId468" Type="http://schemas.openxmlformats.org/officeDocument/2006/relationships/hyperlink" Target="https://drive.google.com/file/d/1GriOIVhve_QTiVEvBPLZ-6xB66tVeBEW/view" TargetMode="External"/><Relationship Id="rId467" Type="http://schemas.openxmlformats.org/officeDocument/2006/relationships/hyperlink" Target="https://drive.google.com/file/d/1Gbly5Da6O7c6slOwwsVfP3AZK0mZ72gm/view" TargetMode="External"/><Relationship Id="rId1290" Type="http://schemas.openxmlformats.org/officeDocument/2006/relationships/hyperlink" Target="https://drive.google.com/file/d/1Fzw7ruMI4RYHRLpTQezUuLASN2Wzhj5y/view" TargetMode="External"/><Relationship Id="rId1291" Type="http://schemas.openxmlformats.org/officeDocument/2006/relationships/hyperlink" Target="https://drive.google.com/file/d/1Jmv8qyDz0uolxEcQT-1O_Et6uaOeaFAv/view" TargetMode="External"/><Relationship Id="rId1292" Type="http://schemas.openxmlformats.org/officeDocument/2006/relationships/hyperlink" Target="https://drive.google.com/file/d/1UTbgHEJv7CAgAiAd32XRDCjJGA95c0M3/view" TargetMode="External"/><Relationship Id="rId462" Type="http://schemas.openxmlformats.org/officeDocument/2006/relationships/hyperlink" Target="https://drive.google.com/file/d/1p68RR0Z37jC_DT_hjKN_4et44T5bk6oD/view" TargetMode="External"/><Relationship Id="rId1293" Type="http://schemas.openxmlformats.org/officeDocument/2006/relationships/hyperlink" Target="https://drive.google.com/file/d/1nmhtg_aqpSVGks_RxpOpA-jIDg-CvdLS/view" TargetMode="External"/><Relationship Id="rId461" Type="http://schemas.openxmlformats.org/officeDocument/2006/relationships/hyperlink" Target="https://drive.google.com/file/d/1j74VJgSLqwJ5aFOMl88GDuWLwaOoOlA4/view" TargetMode="External"/><Relationship Id="rId1294" Type="http://schemas.openxmlformats.org/officeDocument/2006/relationships/hyperlink" Target="https://drive.google.com/file/d/1Rg2H3twxtQz9Kdx0rUFy2JFFVXz-iY9H/view" TargetMode="External"/><Relationship Id="rId460" Type="http://schemas.openxmlformats.org/officeDocument/2006/relationships/hyperlink" Target="https://drive.google.com/file/d/1ttTgbXfd8a3Sns1mRD04Qy4MDf0cjnOG/view" TargetMode="External"/><Relationship Id="rId1295" Type="http://schemas.openxmlformats.org/officeDocument/2006/relationships/hyperlink" Target="https://drive.google.com/file/d/1xEKuokc3vKyMV8O5S1W0gwE-gXSGqCUE/view" TargetMode="External"/><Relationship Id="rId1296" Type="http://schemas.openxmlformats.org/officeDocument/2006/relationships/hyperlink" Target="https://drive.google.com/file/d/1GYWnoAgTu3gcCS2XLJGjL_rRIxiu5gtt/view" TargetMode="External"/><Relationship Id="rId466" Type="http://schemas.openxmlformats.org/officeDocument/2006/relationships/hyperlink" Target="https://drive.google.com/file/d/1p68RR0Z37jC_DT_hjKN_4et44T5bk6oD/view" TargetMode="External"/><Relationship Id="rId1297" Type="http://schemas.openxmlformats.org/officeDocument/2006/relationships/hyperlink" Target="https://drive.google.com/file/d/1dDcQF_XiuKS1QOOuLjJBZviP5NpWCdoV/view" TargetMode="External"/><Relationship Id="rId465" Type="http://schemas.openxmlformats.org/officeDocument/2006/relationships/hyperlink" Target="https://drive.google.com/file/d/1n3_GWYfbUfg5katEFSMNXSiDqLUzsqIP/view" TargetMode="External"/><Relationship Id="rId1298" Type="http://schemas.openxmlformats.org/officeDocument/2006/relationships/hyperlink" Target="https://drive.google.com/file/d/1DyQVUAisw_4c-lM1TKytn9_i-tBO2vbA/view" TargetMode="External"/><Relationship Id="rId464" Type="http://schemas.openxmlformats.org/officeDocument/2006/relationships/hyperlink" Target="https://drive.google.com/file/d/1p68RR0Z37jC_DT_hjKN_4et44T5bk6oD/view" TargetMode="External"/><Relationship Id="rId1299" Type="http://schemas.openxmlformats.org/officeDocument/2006/relationships/hyperlink" Target="https://drive.google.com/file/d/12v97axd1ODIAicCHzpuHpdYn7kmgcxA_/view" TargetMode="External"/><Relationship Id="rId463" Type="http://schemas.openxmlformats.org/officeDocument/2006/relationships/hyperlink" Target="https://drive.google.com/file/d/1j74VJgSLqwJ5aFOMl88GDuWLwaOoOlA4/view" TargetMode="External"/><Relationship Id="rId459" Type="http://schemas.openxmlformats.org/officeDocument/2006/relationships/hyperlink" Target="https://drive.google.com/file/d/1MnYPZKEZLeBFCWMNJiVe6xRVbovTfTF5/view" TargetMode="External"/><Relationship Id="rId458" Type="http://schemas.openxmlformats.org/officeDocument/2006/relationships/hyperlink" Target="https://drive.google.com/file/d/1COoxBOI2fnNKF8xnc_2qrcN1nTUI8x3g/view" TargetMode="External"/><Relationship Id="rId457" Type="http://schemas.openxmlformats.org/officeDocument/2006/relationships/hyperlink" Target="https://drive.google.com/file/d/1Zh7uTt5lc5Gs1BWTGeNfJhc7D-_ng0wc/view" TargetMode="External"/><Relationship Id="rId456" Type="http://schemas.openxmlformats.org/officeDocument/2006/relationships/hyperlink" Target="https://drive.google.com/file/d/14lDvVKqRn6ab2kKM-OKg5n0_WKQeE1XT/view" TargetMode="External"/><Relationship Id="rId1280" Type="http://schemas.openxmlformats.org/officeDocument/2006/relationships/hyperlink" Target="https://drive.google.com/file/d/1m0kj20z8043wniutyVmn5dvRr9MlYk0A/view" TargetMode="External"/><Relationship Id="rId1281" Type="http://schemas.openxmlformats.org/officeDocument/2006/relationships/hyperlink" Target="https://drive.google.com/file/d/1qwVcDusJG64xLmKKzq8mNcnaIpxuHYfY/view" TargetMode="External"/><Relationship Id="rId451" Type="http://schemas.openxmlformats.org/officeDocument/2006/relationships/hyperlink" Target="https://drive.google.com/file/d/1TmR1KgpQLJAnA62fW3O6Y2x2Sgeem76Q/view" TargetMode="External"/><Relationship Id="rId1282" Type="http://schemas.openxmlformats.org/officeDocument/2006/relationships/hyperlink" Target="https://drive.google.com/file/d/1GYWnoAgTu3gcCS2XLJGjL_rRIxiu5gtt/view" TargetMode="External"/><Relationship Id="rId450" Type="http://schemas.openxmlformats.org/officeDocument/2006/relationships/hyperlink" Target="https://drive.google.com/file/d/17moOfJTsS5r6RMQJ4FzGga1Y883zpQE8/view" TargetMode="External"/><Relationship Id="rId1283" Type="http://schemas.openxmlformats.org/officeDocument/2006/relationships/hyperlink" Target="https://drive.google.com/file/d/1Fzw7ruMI4RYHRLpTQezUuLASN2Wzhj5y/view" TargetMode="External"/><Relationship Id="rId1284" Type="http://schemas.openxmlformats.org/officeDocument/2006/relationships/hyperlink" Target="https://drive.google.com/file/d/1Jmv8qyDz0uolxEcQT-1O_Et6uaOeaFAv/view" TargetMode="External"/><Relationship Id="rId1285" Type="http://schemas.openxmlformats.org/officeDocument/2006/relationships/hyperlink" Target="https://drive.google.com/file/d/1UTbgHEJv7CAgAiAd32XRDCjJGA95c0M3/view" TargetMode="External"/><Relationship Id="rId455" Type="http://schemas.openxmlformats.org/officeDocument/2006/relationships/hyperlink" Target="https://drive.google.com/file/d/10sDxIQ8bxLuj7gBoxwS_cQv8OW8FEXGo/view" TargetMode="External"/><Relationship Id="rId1286" Type="http://schemas.openxmlformats.org/officeDocument/2006/relationships/hyperlink" Target="https://drive.google.com/file/d/1nmhtg_aqpSVGks_RxpOpA-jIDg-CvdLS/view" TargetMode="External"/><Relationship Id="rId454" Type="http://schemas.openxmlformats.org/officeDocument/2006/relationships/hyperlink" Target="https://drive.google.com/file/d/14lDvVKqRn6ab2kKM-OKg5n0_WKQeE1XT/view" TargetMode="External"/><Relationship Id="rId1287" Type="http://schemas.openxmlformats.org/officeDocument/2006/relationships/hyperlink" Target="https://drive.google.com/file/d/1L3-GehjaRQmcigbfCOXdwDcncvSOvB9z/view" TargetMode="External"/><Relationship Id="rId453" Type="http://schemas.openxmlformats.org/officeDocument/2006/relationships/hyperlink" Target="https://drive.google.com/file/d/1v4tohbj-dz072plZvd0s0D-PjQzlClvJ/view" TargetMode="External"/><Relationship Id="rId1288" Type="http://schemas.openxmlformats.org/officeDocument/2006/relationships/hyperlink" Target="https://drive.google.com/file/d/196-ev1mikv4OBbBNHgaOouEowierulC2/view" TargetMode="External"/><Relationship Id="rId452" Type="http://schemas.openxmlformats.org/officeDocument/2006/relationships/hyperlink" Target="https://drive.google.com/file/d/1J5Z7FudzDZX5vd3FbBxnMaU2tjtXmmIb/view" TargetMode="External"/><Relationship Id="rId1289" Type="http://schemas.openxmlformats.org/officeDocument/2006/relationships/hyperlink" Target="https://drive.google.com/file/d/1GYWnoAgTu3gcCS2XLJGjL_rRIxiu5gtt/view" TargetMode="External"/><Relationship Id="rId3018" Type="http://schemas.openxmlformats.org/officeDocument/2006/relationships/hyperlink" Target="https://drive.google.com/file/d/14BALYwTeyPM6YeF4OE7iKi6PtdjqosHc/view" TargetMode="External"/><Relationship Id="rId3017" Type="http://schemas.openxmlformats.org/officeDocument/2006/relationships/hyperlink" Target="https://drive.google.com/file/d/1usZmguUmG6nDakQgL3kqQ48UZUaYzNYt/view" TargetMode="External"/><Relationship Id="rId3019" Type="http://schemas.openxmlformats.org/officeDocument/2006/relationships/hyperlink" Target="https://drive.google.com/file/d/1r6vOd9RLzTG0ugmxp_KAgYyQv0zIQFvJ/view" TargetMode="External"/><Relationship Id="rId491" Type="http://schemas.openxmlformats.org/officeDocument/2006/relationships/hyperlink" Target="https://drive.google.com/file/d/17dGlycTORKDXilhDpnxPACcgpsP5bflJ/view" TargetMode="External"/><Relationship Id="rId490" Type="http://schemas.openxmlformats.org/officeDocument/2006/relationships/hyperlink" Target="https://drive.google.com/file/d/1RVRjk8Ma0WSRAZR8sa91THwg6oc51oqG/view" TargetMode="External"/><Relationship Id="rId489" Type="http://schemas.openxmlformats.org/officeDocument/2006/relationships/hyperlink" Target="https://drive.google.com/file/d/1AptxBJbjW_fHRXb_c1kqhZI6NvqckSVn/view" TargetMode="External"/><Relationship Id="rId484" Type="http://schemas.openxmlformats.org/officeDocument/2006/relationships/hyperlink" Target="https://drive.google.com/file/d/144KjrOgG3Z3e9Q73OD6IgcU4z36KNTJt/view" TargetMode="External"/><Relationship Id="rId3010" Type="http://schemas.openxmlformats.org/officeDocument/2006/relationships/hyperlink" Target="https://drive.google.com/file/d/1usZmguUmG6nDakQgL3kqQ48UZUaYzNYt/view" TargetMode="External"/><Relationship Id="rId483" Type="http://schemas.openxmlformats.org/officeDocument/2006/relationships/hyperlink" Target="https://drive.google.com/file/d/1HmPf1vUDpbZnYOJLecpTBM3nSOiBM8Rs/view" TargetMode="External"/><Relationship Id="rId482" Type="http://schemas.openxmlformats.org/officeDocument/2006/relationships/hyperlink" Target="https://drive.google.com/file/d/1vZwdRi-wQSj8XeL66W6hGIN7QFH6aPsx/view" TargetMode="External"/><Relationship Id="rId3012" Type="http://schemas.openxmlformats.org/officeDocument/2006/relationships/hyperlink" Target="https://drive.google.com/file/d/1r6vOd9RLzTG0ugmxp_KAgYyQv0zIQFvJ/view" TargetMode="External"/><Relationship Id="rId481" Type="http://schemas.openxmlformats.org/officeDocument/2006/relationships/hyperlink" Target="https://drive.google.com/file/d/1eRPnSF0q9NOierGC9bQzgy94GzeyR66W/view" TargetMode="External"/><Relationship Id="rId3011" Type="http://schemas.openxmlformats.org/officeDocument/2006/relationships/hyperlink" Target="https://drive.google.com/file/d/14BALYwTeyPM6YeF4OE7iKi6PtdjqosHc/view" TargetMode="External"/><Relationship Id="rId488" Type="http://schemas.openxmlformats.org/officeDocument/2006/relationships/hyperlink" Target="https://drive.google.com/file/d/1vPIZIJRAehtIwj53L0ur_xhAFoTnuLdc/view" TargetMode="External"/><Relationship Id="rId3014" Type="http://schemas.openxmlformats.org/officeDocument/2006/relationships/hyperlink" Target="https://drive.google.com/file/d/1ICdzLDXXbBdyfjID-l_NyPrnqkoJv1q1/view" TargetMode="External"/><Relationship Id="rId487" Type="http://schemas.openxmlformats.org/officeDocument/2006/relationships/hyperlink" Target="https://drive.google.com/file/d/1kYxlaSeQJ4N6h9KhT7MbuKsWOvTBg-zs/view" TargetMode="External"/><Relationship Id="rId3013" Type="http://schemas.openxmlformats.org/officeDocument/2006/relationships/hyperlink" Target="https://drive.google.com/file/d/1H640A1WfEmjryiTZUMQD6oB2mxLFe_gJ/view" TargetMode="External"/><Relationship Id="rId486" Type="http://schemas.openxmlformats.org/officeDocument/2006/relationships/hyperlink" Target="https://drive.google.com/file/d/11DV-mhm89npdxsV9rAZdDjXW9NOdHrqt/view" TargetMode="External"/><Relationship Id="rId3016" Type="http://schemas.openxmlformats.org/officeDocument/2006/relationships/hyperlink" Target="https://drive.google.com/file/d/1ZK1z_LxLNG_JbCbDLhVk1RHe8ThjhMnM/view" TargetMode="External"/><Relationship Id="rId485" Type="http://schemas.openxmlformats.org/officeDocument/2006/relationships/hyperlink" Target="https://drive.google.com/file/d/1p7vPBcYrIDotIqm1E_HKD212Dalir40-/view" TargetMode="External"/><Relationship Id="rId3015" Type="http://schemas.openxmlformats.org/officeDocument/2006/relationships/hyperlink" Target="https://drive.google.com/file/d/1IjsbnJV5DRcUydL66Cyv7YWZXah2zL7o/view" TargetMode="External"/><Relationship Id="rId3007" Type="http://schemas.openxmlformats.org/officeDocument/2006/relationships/hyperlink" Target="https://drive.google.com/file/d/1ICdzLDXXbBdyfjID-l_NyPrnqkoJv1q1/view" TargetMode="External"/><Relationship Id="rId3006" Type="http://schemas.openxmlformats.org/officeDocument/2006/relationships/hyperlink" Target="https://drive.google.com/file/d/1H640A1WfEmjryiTZUMQD6oB2mxLFe_gJ/view" TargetMode="External"/><Relationship Id="rId3009" Type="http://schemas.openxmlformats.org/officeDocument/2006/relationships/hyperlink" Target="https://drive.google.com/file/d/1ZK1z_LxLNG_JbCbDLhVk1RHe8ThjhMnM/view" TargetMode="External"/><Relationship Id="rId3008" Type="http://schemas.openxmlformats.org/officeDocument/2006/relationships/hyperlink" Target="https://drive.google.com/file/d/1IjsbnJV5DRcUydL66Cyv7YWZXah2zL7o/view" TargetMode="External"/><Relationship Id="rId480" Type="http://schemas.openxmlformats.org/officeDocument/2006/relationships/hyperlink" Target="https://drive.google.com/file/d/144KjrOgG3Z3e9Q73OD6IgcU4z36KNTJt/view" TargetMode="External"/><Relationship Id="rId479" Type="http://schemas.openxmlformats.org/officeDocument/2006/relationships/hyperlink" Target="https://drive.google.com/file/d/1HmPf1vUDpbZnYOJLecpTBM3nSOiBM8Rs/view" TargetMode="External"/><Relationship Id="rId478" Type="http://schemas.openxmlformats.org/officeDocument/2006/relationships/hyperlink" Target="https://drive.google.com/file/d/1vZwdRi-wQSj8XeL66W6hGIN7QFH6aPsx/view" TargetMode="External"/><Relationship Id="rId473" Type="http://schemas.openxmlformats.org/officeDocument/2006/relationships/hyperlink" Target="https://drive.google.com/file/d/1HujjYwyGRAV_gn3IKvJQoIH6oSuO1r5B/view" TargetMode="External"/><Relationship Id="rId472" Type="http://schemas.openxmlformats.org/officeDocument/2006/relationships/hyperlink" Target="https://drive.google.com/file/d/1GriOIVhve_QTiVEvBPLZ-6xB66tVeBEW/view" TargetMode="External"/><Relationship Id="rId471" Type="http://schemas.openxmlformats.org/officeDocument/2006/relationships/hyperlink" Target="https://drive.google.com/file/d/1QzePL0q40gSUTs4XfW6xd2vMErmihTFe/view" TargetMode="External"/><Relationship Id="rId3001" Type="http://schemas.openxmlformats.org/officeDocument/2006/relationships/hyperlink" Target="https://drive.google.com/file/d/15dlF_2ciw3-9ecgEgjxxKgY5St27xij2/view" TargetMode="External"/><Relationship Id="rId470" Type="http://schemas.openxmlformats.org/officeDocument/2006/relationships/hyperlink" Target="https://drive.google.com/file/d/1GriOIVhve_QTiVEvBPLZ-6xB66tVeBEW/view" TargetMode="External"/><Relationship Id="rId3000" Type="http://schemas.openxmlformats.org/officeDocument/2006/relationships/hyperlink" Target="https://drive.google.com/file/d/1KI4tDImRkvoUBw-R2bszcyZbRSX-jEJw/view" TargetMode="External"/><Relationship Id="rId477" Type="http://schemas.openxmlformats.org/officeDocument/2006/relationships/hyperlink" Target="https://drive.google.com/file/d/1HujjYwyGRAV_gn3IKvJQoIH6oSuO1r5B/view" TargetMode="External"/><Relationship Id="rId3003" Type="http://schemas.openxmlformats.org/officeDocument/2006/relationships/hyperlink" Target="https://drive.google.com/file/d/17G7h8SFgupC2WStVCH3UbTREBVrhBDiw/view" TargetMode="External"/><Relationship Id="rId476" Type="http://schemas.openxmlformats.org/officeDocument/2006/relationships/hyperlink" Target="https://drive.google.com/file/d/144KjrOgG3Z3e9Q73OD6IgcU4z36KNTJt/view" TargetMode="External"/><Relationship Id="rId3002" Type="http://schemas.openxmlformats.org/officeDocument/2006/relationships/hyperlink" Target="https://drive.google.com/file/d/1a0fHuVDOPAGCfvxkzDWZvJMQwRLbjgZ_/view" TargetMode="External"/><Relationship Id="rId475" Type="http://schemas.openxmlformats.org/officeDocument/2006/relationships/hyperlink" Target="https://drive.google.com/file/d/1HmPf1vUDpbZnYOJLecpTBM3nSOiBM8Rs/view" TargetMode="External"/><Relationship Id="rId3005" Type="http://schemas.openxmlformats.org/officeDocument/2006/relationships/hyperlink" Target="https://drive.google.com/file/d/11Oc3yb8B2WgPq7FN0Dv-_JqVUwlTRfPp/view" TargetMode="External"/><Relationship Id="rId474" Type="http://schemas.openxmlformats.org/officeDocument/2006/relationships/hyperlink" Target="https://drive.google.com/file/d/1vZwdRi-wQSj8XeL66W6hGIN7QFH6aPsx/view" TargetMode="External"/><Relationship Id="rId3004" Type="http://schemas.openxmlformats.org/officeDocument/2006/relationships/hyperlink" Target="https://drive.google.com/file/d/1NMVJzT3bx_WNYzEvqVjXxZHf8hQ_3FEy/view" TargetMode="External"/><Relationship Id="rId1257" Type="http://schemas.openxmlformats.org/officeDocument/2006/relationships/hyperlink" Target="https://drive.google.com/file/d/19XdAC-dCR1jX7psuHS0fEv7dddZtOWbr/view" TargetMode="External"/><Relationship Id="rId2588" Type="http://schemas.openxmlformats.org/officeDocument/2006/relationships/hyperlink" Target="https://drive.google.com/file/d/1DDu5v2FGRsuHyMkoJOBQIjJuNSmmUN0L/view" TargetMode="External"/><Relationship Id="rId1258" Type="http://schemas.openxmlformats.org/officeDocument/2006/relationships/hyperlink" Target="https://drive.google.com/file/d/1bTd0An8DFR1MRyVjqvPq5vrGQtrXZJC-/view" TargetMode="External"/><Relationship Id="rId2589" Type="http://schemas.openxmlformats.org/officeDocument/2006/relationships/hyperlink" Target="https://drive.google.com/file/d/1hNloL4dbfGFSghZwuLzdWuNP--KxeC3Z/view" TargetMode="External"/><Relationship Id="rId1259" Type="http://schemas.openxmlformats.org/officeDocument/2006/relationships/hyperlink" Target="https://drive.google.com/file/d/1807AAguXVsN8ttG8PrZJtGGUZBXcui3w/view" TargetMode="External"/><Relationship Id="rId426" Type="http://schemas.openxmlformats.org/officeDocument/2006/relationships/hyperlink" Target="https://drive.google.com/file/d/1MnYPZKEZLeBFCWMNJiVe6xRVbovTfTF5/view" TargetMode="External"/><Relationship Id="rId425" Type="http://schemas.openxmlformats.org/officeDocument/2006/relationships/hyperlink" Target="https://drive.google.com/file/d/1COoxBOI2fnNKF8xnc_2qrcN1nTUI8x3g/view" TargetMode="External"/><Relationship Id="rId424" Type="http://schemas.openxmlformats.org/officeDocument/2006/relationships/hyperlink" Target="https://drive.google.com/file/d/1a4CRipeeZD-CaDJlzZj2lzsLJug4aSNh/view" TargetMode="External"/><Relationship Id="rId423" Type="http://schemas.openxmlformats.org/officeDocument/2006/relationships/hyperlink" Target="https://drive.google.com/file/d/1Sw9xeAlYzszy2TRL97oI1qu5I0yQZQ_L/view" TargetMode="External"/><Relationship Id="rId429" Type="http://schemas.openxmlformats.org/officeDocument/2006/relationships/hyperlink" Target="https://drive.google.com/file/d/1COoxBOI2fnNKF8xnc_2qrcN1nTUI8x3g/view" TargetMode="External"/><Relationship Id="rId428" Type="http://schemas.openxmlformats.org/officeDocument/2006/relationships/hyperlink" Target="https://drive.google.com/file/d/1a4CRipeeZD-CaDJlzZj2lzsLJug4aSNh/view" TargetMode="External"/><Relationship Id="rId427" Type="http://schemas.openxmlformats.org/officeDocument/2006/relationships/hyperlink" Target="https://drive.google.com/file/d/1ttTgbXfd8a3Sns1mRD04Qy4MDf0cjnOG/view" TargetMode="External"/><Relationship Id="rId2580" Type="http://schemas.openxmlformats.org/officeDocument/2006/relationships/hyperlink" Target="https://drive.google.com/file/d/1C4_AhnHngNDvtQ24RXGYyXKY-TWWrp_H/view" TargetMode="External"/><Relationship Id="rId1250" Type="http://schemas.openxmlformats.org/officeDocument/2006/relationships/hyperlink" Target="https://drive.google.com/file/d/1-iv3m-GmFKttLOQ3BxTm9RkX9dSF3G_Q/view" TargetMode="External"/><Relationship Id="rId2581" Type="http://schemas.openxmlformats.org/officeDocument/2006/relationships/hyperlink" Target="https://drive.google.com/file/d/1DDu5v2FGRsuHyMkoJOBQIjJuNSmmUN0L/view" TargetMode="External"/><Relationship Id="rId1251" Type="http://schemas.openxmlformats.org/officeDocument/2006/relationships/hyperlink" Target="https://drive.google.com/file/d/1GYWnoAgTu3gcCS2XLJGjL_rRIxiu5gtt/view" TargetMode="External"/><Relationship Id="rId2582" Type="http://schemas.openxmlformats.org/officeDocument/2006/relationships/hyperlink" Target="https://drive.google.com/file/d/1hNloL4dbfGFSghZwuLzdWuNP--KxeC3Z/view" TargetMode="External"/><Relationship Id="rId1252" Type="http://schemas.openxmlformats.org/officeDocument/2006/relationships/hyperlink" Target="https://drive.google.com/file/d/1807AAguXVsN8ttG8PrZJtGGUZBXcui3w/view" TargetMode="External"/><Relationship Id="rId2583" Type="http://schemas.openxmlformats.org/officeDocument/2006/relationships/hyperlink" Target="https://drive.google.com/file/d/1opDlr4BBHavjn-wVysZDkIhIhTRk0kCU/view" TargetMode="External"/><Relationship Id="rId422" Type="http://schemas.openxmlformats.org/officeDocument/2006/relationships/hyperlink" Target="https://drive.google.com/file/d/1lbEwqaNvIoSE1xuYU78aVMWuDg7thakw/view" TargetMode="External"/><Relationship Id="rId1253" Type="http://schemas.openxmlformats.org/officeDocument/2006/relationships/hyperlink" Target="https://drive.google.com/file/d/1D4SrpumjqZigfDuPSOMGpt2pPOHtDTw8/view" TargetMode="External"/><Relationship Id="rId2584" Type="http://schemas.openxmlformats.org/officeDocument/2006/relationships/hyperlink" Target="https://drive.google.com/file/d/1EtwIYTXcplbn9NxJT0psWR-rTl1Hm_bi/view" TargetMode="External"/><Relationship Id="rId421" Type="http://schemas.openxmlformats.org/officeDocument/2006/relationships/hyperlink" Target="https://drive.google.com/file/d/18LtuviphpZSZuOlXp1LRWM1eA5CEifa8/view" TargetMode="External"/><Relationship Id="rId1254" Type="http://schemas.openxmlformats.org/officeDocument/2006/relationships/hyperlink" Target="https://drive.google.com/file/d/1GYWnoAgTu3gcCS2XLJGjL_rRIxiu5gtt/view" TargetMode="External"/><Relationship Id="rId2585" Type="http://schemas.openxmlformats.org/officeDocument/2006/relationships/hyperlink" Target="https://drive.google.com/file/d/1wJ2R7omi88NMyMMyNr8rO5H7OA8H4QyF/view" TargetMode="External"/><Relationship Id="rId420" Type="http://schemas.openxmlformats.org/officeDocument/2006/relationships/hyperlink" Target="https://drive.google.com/file/d/1qI9LORdqFFwwYeiKGP0aR2dgQU6mJJ0v/view" TargetMode="External"/><Relationship Id="rId1255" Type="http://schemas.openxmlformats.org/officeDocument/2006/relationships/hyperlink" Target="https://drive.google.com/file/d/1g9_k2D5wtSZ0MnRuSjXGJWte47YCzehY/view" TargetMode="External"/><Relationship Id="rId2586" Type="http://schemas.openxmlformats.org/officeDocument/2006/relationships/hyperlink" Target="https://drive.google.com/file/d/1npkt0wO2jdsMHlMed-RpkDDZc8kAUgT0/view" TargetMode="External"/><Relationship Id="rId1256" Type="http://schemas.openxmlformats.org/officeDocument/2006/relationships/hyperlink" Target="https://drive.google.com/file/d/1C8xxcDO9_EpcXeHeX4bA4T_4in-HElvx/view" TargetMode="External"/><Relationship Id="rId2587" Type="http://schemas.openxmlformats.org/officeDocument/2006/relationships/hyperlink" Target="https://drive.google.com/file/d/1C4_AhnHngNDvtQ24RXGYyXKY-TWWrp_H/view" TargetMode="External"/><Relationship Id="rId1246" Type="http://schemas.openxmlformats.org/officeDocument/2006/relationships/hyperlink" Target="https://drive.google.com/file/d/1L8FzEZATAryH2HZMv-EzLXCj6hkimugK/view" TargetMode="External"/><Relationship Id="rId2577" Type="http://schemas.openxmlformats.org/officeDocument/2006/relationships/hyperlink" Target="https://drive.google.com/file/d/1edTBpSuYFhBR6YhD5aWb9Shco_1C0M3L/view" TargetMode="External"/><Relationship Id="rId1247" Type="http://schemas.openxmlformats.org/officeDocument/2006/relationships/hyperlink" Target="https://drive.google.com/file/d/1ogaeFwtIL17MiRrUukeJxizAnim-oSWB/view" TargetMode="External"/><Relationship Id="rId2578" Type="http://schemas.openxmlformats.org/officeDocument/2006/relationships/hyperlink" Target="https://drive.google.com/file/d/1aBNLWgXpNDq4BPlY-9H1EGC6I9W7lN9g/view" TargetMode="External"/><Relationship Id="rId1248" Type="http://schemas.openxmlformats.org/officeDocument/2006/relationships/hyperlink" Target="https://drive.google.com/file/d/1GYWnoAgTu3gcCS2XLJGjL_rRIxiu5gtt/view" TargetMode="External"/><Relationship Id="rId2579" Type="http://schemas.openxmlformats.org/officeDocument/2006/relationships/hyperlink" Target="https://drive.google.com/file/d/1npkt0wO2jdsMHlMed-RpkDDZc8kAUgT0/view" TargetMode="External"/><Relationship Id="rId1249" Type="http://schemas.openxmlformats.org/officeDocument/2006/relationships/hyperlink" Target="https://drive.google.com/file/d/1iW8bqMdaQtbiaDKuINwipKc62qX6PgZO/view" TargetMode="External"/><Relationship Id="rId415" Type="http://schemas.openxmlformats.org/officeDocument/2006/relationships/hyperlink" Target="https://drive.google.com/file/d/1NXPXdnRiioDiFADhWbPPoDOnOntmIUz2/view" TargetMode="External"/><Relationship Id="rId414" Type="http://schemas.openxmlformats.org/officeDocument/2006/relationships/hyperlink" Target="https://drive.google.com/file/d/1leCjjl3aC7GvJFdOJuhiLIMM1RRFCk_1/view" TargetMode="External"/><Relationship Id="rId413" Type="http://schemas.openxmlformats.org/officeDocument/2006/relationships/hyperlink" Target="https://drive.google.com/file/d/1lB7tuPer53SUrtGd4xPZAvH4vDRB3lzt/view" TargetMode="External"/><Relationship Id="rId412" Type="http://schemas.openxmlformats.org/officeDocument/2006/relationships/hyperlink" Target="https://drive.google.com/file/d/1o0bQhpCo_AWu4wzNbklNfS-yBlWxa-o6/view" TargetMode="External"/><Relationship Id="rId419" Type="http://schemas.openxmlformats.org/officeDocument/2006/relationships/hyperlink" Target="https://drive.google.com/file/d/18LtuviphpZSZuOlXp1LRWM1eA5CEifa8/view" TargetMode="External"/><Relationship Id="rId418" Type="http://schemas.openxmlformats.org/officeDocument/2006/relationships/hyperlink" Target="https://drive.google.com/file/d/1OBL72Uf79Rrm3i7WxitPi8yvTD8w-FA-/view" TargetMode="External"/><Relationship Id="rId417" Type="http://schemas.openxmlformats.org/officeDocument/2006/relationships/hyperlink" Target="https://drive.google.com/file/d/1QjEtUInnXK6RhhX59SR1iE4h3BjglAGj/view" TargetMode="External"/><Relationship Id="rId416" Type="http://schemas.openxmlformats.org/officeDocument/2006/relationships/hyperlink" Target="https://drive.google.com/file/d/1zesJJlIyXE2R2cZSd2WTsnnsGmcSWVtS/view" TargetMode="External"/><Relationship Id="rId2570" Type="http://schemas.openxmlformats.org/officeDocument/2006/relationships/hyperlink" Target="https://drive.google.com/file/d/1edTBpSuYFhBR6YhD5aWb9Shco_1C0M3L/view" TargetMode="External"/><Relationship Id="rId1240" Type="http://schemas.openxmlformats.org/officeDocument/2006/relationships/hyperlink" Target="https://drive.google.com/file/d/1pVj_5L0tCu6fs5Lpb9PZ4JvWk6SlONJ1/view" TargetMode="External"/><Relationship Id="rId2571" Type="http://schemas.openxmlformats.org/officeDocument/2006/relationships/hyperlink" Target="https://drive.google.com/file/d/1aBNLWgXpNDq4BPlY-9H1EGC6I9W7lN9g/view" TargetMode="External"/><Relationship Id="rId1241" Type="http://schemas.openxmlformats.org/officeDocument/2006/relationships/hyperlink" Target="https://drive.google.com/file/d/1Uj68mb8F3FKYZXLnHOif6OUXjrTlHCZb/view" TargetMode="External"/><Relationship Id="rId2572" Type="http://schemas.openxmlformats.org/officeDocument/2006/relationships/hyperlink" Target="https://drive.google.com/file/d/1npkt0wO2jdsMHlMed-RpkDDZc8kAUgT0/view" TargetMode="External"/><Relationship Id="rId411" Type="http://schemas.openxmlformats.org/officeDocument/2006/relationships/hyperlink" Target="https://drive.google.com/file/d/1NXPXdnRiioDiFADhWbPPoDOnOntmIUz2/view" TargetMode="External"/><Relationship Id="rId1242" Type="http://schemas.openxmlformats.org/officeDocument/2006/relationships/hyperlink" Target="https://drive.google.com/file/d/19x7kv4C5rQxu2TWl7S9nb0hg0SaRjQS7/view" TargetMode="External"/><Relationship Id="rId2573" Type="http://schemas.openxmlformats.org/officeDocument/2006/relationships/hyperlink" Target="https://drive.google.com/file/d/1C4_AhnHngNDvtQ24RXGYyXKY-TWWrp_H/view" TargetMode="External"/><Relationship Id="rId410" Type="http://schemas.openxmlformats.org/officeDocument/2006/relationships/hyperlink" Target="https://drive.google.com/file/d/1leCjjl3aC7GvJFdOJuhiLIMM1RRFCk_1/view" TargetMode="External"/><Relationship Id="rId1243" Type="http://schemas.openxmlformats.org/officeDocument/2006/relationships/hyperlink" Target="https://drive.google.com/file/d/1lCeAB1CLR_KR7lWsWrYnqqHTshnzIU98/view" TargetMode="External"/><Relationship Id="rId2574" Type="http://schemas.openxmlformats.org/officeDocument/2006/relationships/hyperlink" Target="https://drive.google.com/file/d/1DDu5v2FGRsuHyMkoJOBQIjJuNSmmUN0L/view" TargetMode="External"/><Relationship Id="rId1244" Type="http://schemas.openxmlformats.org/officeDocument/2006/relationships/hyperlink" Target="https://drive.google.com/file/d/1Tj5xmpfsRe-9_XzfKIiGQk-6wmkiUnyM/view" TargetMode="External"/><Relationship Id="rId2575" Type="http://schemas.openxmlformats.org/officeDocument/2006/relationships/hyperlink" Target="https://drive.google.com/file/d/1hNloL4dbfGFSghZwuLzdWuNP--KxeC3Z/view" TargetMode="External"/><Relationship Id="rId1245" Type="http://schemas.openxmlformats.org/officeDocument/2006/relationships/hyperlink" Target="https://drive.google.com/file/d/1GYWnoAgTu3gcCS2XLJGjL_rRIxiu5gtt/view" TargetMode="External"/><Relationship Id="rId2576" Type="http://schemas.openxmlformats.org/officeDocument/2006/relationships/hyperlink" Target="https://drive.google.com/file/d/1opDlr4BBHavjn-wVysZDkIhIhTRk0kCU/view" TargetMode="External"/><Relationship Id="rId1279" Type="http://schemas.openxmlformats.org/officeDocument/2006/relationships/hyperlink" Target="https://drive.google.com/file/d/1nmhtg_aqpSVGks_RxpOpA-jIDg-CvdLS/view" TargetMode="External"/><Relationship Id="rId448" Type="http://schemas.openxmlformats.org/officeDocument/2006/relationships/hyperlink" Target="https://drive.google.com/file/d/1qlBWEy0S44e_2Z1y7e03Ct8EOZj_8K7j/view" TargetMode="External"/><Relationship Id="rId447" Type="http://schemas.openxmlformats.org/officeDocument/2006/relationships/hyperlink" Target="https://drive.google.com/file/d/1vXLBkQtycxBOAuctsLdX5-NCGqdUmwrR/view" TargetMode="External"/><Relationship Id="rId446" Type="http://schemas.openxmlformats.org/officeDocument/2006/relationships/hyperlink" Target="https://drive.google.com/file/d/1aj6rIfRdiCu2eSqj7vnuWrH6Pko-Cjod/view" TargetMode="External"/><Relationship Id="rId445" Type="http://schemas.openxmlformats.org/officeDocument/2006/relationships/hyperlink" Target="https://drive.google.com/file/d/1xoOXhOIBUTSPZkuXQJiHr40cPOXeGSN-/view" TargetMode="External"/><Relationship Id="rId449" Type="http://schemas.openxmlformats.org/officeDocument/2006/relationships/hyperlink" Target="https://drive.google.com/file/d/1F5baCnOUJTWiP9NL9SzsJSZZR7PvcrFw/view" TargetMode="External"/><Relationship Id="rId1270" Type="http://schemas.openxmlformats.org/officeDocument/2006/relationships/hyperlink" Target="https://drive.google.com/file/d/1C8xxcDO9_EpcXeHeX4bA4T_4in-HElvx/view" TargetMode="External"/><Relationship Id="rId440" Type="http://schemas.openxmlformats.org/officeDocument/2006/relationships/hyperlink" Target="https://drive.google.com/file/d/1CGQQq1uEw_ocZ2oNUO-XB5-vwiPeXT1B/view" TargetMode="External"/><Relationship Id="rId1271" Type="http://schemas.openxmlformats.org/officeDocument/2006/relationships/hyperlink" Target="https://drive.google.com/file/d/19XdAC-dCR1jX7psuHS0fEv7dddZtOWbr/view" TargetMode="External"/><Relationship Id="rId1272" Type="http://schemas.openxmlformats.org/officeDocument/2006/relationships/hyperlink" Target="https://drive.google.com/file/d/1bTd0An8DFR1MRyVjqvPq5vrGQtrXZJC-/view" TargetMode="External"/><Relationship Id="rId1273" Type="http://schemas.openxmlformats.org/officeDocument/2006/relationships/hyperlink" Target="https://drive.google.com/file/d/1m0kj20z8043wniutyVmn5dvRr9MlYk0A/view" TargetMode="External"/><Relationship Id="rId1274" Type="http://schemas.openxmlformats.org/officeDocument/2006/relationships/hyperlink" Target="https://drive.google.com/file/d/1qwVcDusJG64xLmKKzq8mNcnaIpxuHYfY/view" TargetMode="External"/><Relationship Id="rId444" Type="http://schemas.openxmlformats.org/officeDocument/2006/relationships/hyperlink" Target="https://drive.google.com/file/d/1_gOJcPLW-CeGb-IiMMGh_q4-dq430T85/view" TargetMode="External"/><Relationship Id="rId1275" Type="http://schemas.openxmlformats.org/officeDocument/2006/relationships/hyperlink" Target="https://drive.google.com/file/d/1GYWnoAgTu3gcCS2XLJGjL_rRIxiu5gtt/view" TargetMode="External"/><Relationship Id="rId443" Type="http://schemas.openxmlformats.org/officeDocument/2006/relationships/hyperlink" Target="https://drive.google.com/file/d/1xoOXhOIBUTSPZkuXQJiHr40cPOXeGSN-/view" TargetMode="External"/><Relationship Id="rId1276" Type="http://schemas.openxmlformats.org/officeDocument/2006/relationships/hyperlink" Target="https://drive.google.com/file/d/1Fzw7ruMI4RYHRLpTQezUuLASN2Wzhj5y/view" TargetMode="External"/><Relationship Id="rId442" Type="http://schemas.openxmlformats.org/officeDocument/2006/relationships/hyperlink" Target="https://drive.google.com/file/d/1CGQQq1uEw_ocZ2oNUO-XB5-vwiPeXT1B/view" TargetMode="External"/><Relationship Id="rId1277" Type="http://schemas.openxmlformats.org/officeDocument/2006/relationships/hyperlink" Target="https://drive.google.com/file/d/1Jmv8qyDz0uolxEcQT-1O_Et6uaOeaFAv/view" TargetMode="External"/><Relationship Id="rId441" Type="http://schemas.openxmlformats.org/officeDocument/2006/relationships/hyperlink" Target="https://drive.google.com/file/d/1xoOXhOIBUTSPZkuXQJiHr40cPOXeGSN-/view" TargetMode="External"/><Relationship Id="rId1278" Type="http://schemas.openxmlformats.org/officeDocument/2006/relationships/hyperlink" Target="https://drive.google.com/file/d/1UTbgHEJv7CAgAiAd32XRDCjJGA95c0M3/view" TargetMode="External"/><Relationship Id="rId1268" Type="http://schemas.openxmlformats.org/officeDocument/2006/relationships/hyperlink" Target="https://drive.google.com/file/d/1GYWnoAgTu3gcCS2XLJGjL_rRIxiu5gtt/view" TargetMode="External"/><Relationship Id="rId2599" Type="http://schemas.openxmlformats.org/officeDocument/2006/relationships/hyperlink" Target="https://drive.google.com/file/d/1npkt0wO2jdsMHlMed-RpkDDZc8kAUgT0/view" TargetMode="External"/><Relationship Id="rId1269" Type="http://schemas.openxmlformats.org/officeDocument/2006/relationships/hyperlink" Target="https://drive.google.com/file/d/1g9_k2D5wtSZ0MnRuSjXGJWte47YCzehY/view" TargetMode="External"/><Relationship Id="rId437" Type="http://schemas.openxmlformats.org/officeDocument/2006/relationships/hyperlink" Target="https://drive.google.com/file/d/1YfkqOwzTXP70yXkmh57C4a36DK1ZEzyQ/view" TargetMode="External"/><Relationship Id="rId436" Type="http://schemas.openxmlformats.org/officeDocument/2006/relationships/hyperlink" Target="https://drive.google.com/file/d/1M80efrA8toPMAasdGPBbDh3IXsf6iu4k/view" TargetMode="External"/><Relationship Id="rId435" Type="http://schemas.openxmlformats.org/officeDocument/2006/relationships/hyperlink" Target="https://drive.google.com/file/d/1ttTgbXfd8a3Sns1mRD04Qy4MDf0cjnOG/view" TargetMode="External"/><Relationship Id="rId434" Type="http://schemas.openxmlformats.org/officeDocument/2006/relationships/hyperlink" Target="https://drive.google.com/file/d/1MnYPZKEZLeBFCWMNJiVe6xRVbovTfTF5/view" TargetMode="External"/><Relationship Id="rId439" Type="http://schemas.openxmlformats.org/officeDocument/2006/relationships/hyperlink" Target="https://drive.google.com/file/d/1YfkqOwzTXP70yXkmh57C4a36DK1ZEzyQ/view" TargetMode="External"/><Relationship Id="rId438" Type="http://schemas.openxmlformats.org/officeDocument/2006/relationships/hyperlink" Target="https://drive.google.com/file/d/1DnzZUrMwyaXa0BGbC5QuzG-RVZ0qsns7/view" TargetMode="External"/><Relationship Id="rId2590" Type="http://schemas.openxmlformats.org/officeDocument/2006/relationships/hyperlink" Target="https://drive.google.com/file/d/1opDlr4BBHavjn-wVysZDkIhIhTRk0kCU/view" TargetMode="External"/><Relationship Id="rId1260" Type="http://schemas.openxmlformats.org/officeDocument/2006/relationships/hyperlink" Target="https://drive.google.com/file/d/1D4SrpumjqZigfDuPSOMGpt2pPOHtDTw8/view" TargetMode="External"/><Relationship Id="rId2591" Type="http://schemas.openxmlformats.org/officeDocument/2006/relationships/hyperlink" Target="https://drive.google.com/file/d/1ojYel_urIWpP5vZbV163PpX-_uNP36mo/view" TargetMode="External"/><Relationship Id="rId1261" Type="http://schemas.openxmlformats.org/officeDocument/2006/relationships/hyperlink" Target="https://drive.google.com/file/d/1GYWnoAgTu3gcCS2XLJGjL_rRIxiu5gtt/view" TargetMode="External"/><Relationship Id="rId2592" Type="http://schemas.openxmlformats.org/officeDocument/2006/relationships/hyperlink" Target="https://drive.google.com/file/d/1h1LCn-UeF9VdIDSw21FwZJVC1601ciM6/view" TargetMode="External"/><Relationship Id="rId1262" Type="http://schemas.openxmlformats.org/officeDocument/2006/relationships/hyperlink" Target="https://drive.google.com/file/d/1g9_k2D5wtSZ0MnRuSjXGJWte47YCzehY/view" TargetMode="External"/><Relationship Id="rId2593" Type="http://schemas.openxmlformats.org/officeDocument/2006/relationships/hyperlink" Target="https://drive.google.com/file/d/1npkt0wO2jdsMHlMed-RpkDDZc8kAUgT0/view" TargetMode="External"/><Relationship Id="rId1263" Type="http://schemas.openxmlformats.org/officeDocument/2006/relationships/hyperlink" Target="https://drive.google.com/file/d/1C8xxcDO9_EpcXeHeX4bA4T_4in-HElvx/view" TargetMode="External"/><Relationship Id="rId2594" Type="http://schemas.openxmlformats.org/officeDocument/2006/relationships/hyperlink" Target="https://drive.google.com/file/d/1Wwcm7VU4NyxrcZ9N_DWLG15cG2RZb3Rl/view" TargetMode="External"/><Relationship Id="rId433" Type="http://schemas.openxmlformats.org/officeDocument/2006/relationships/hyperlink" Target="https://drive.google.com/file/d/1COoxBOI2fnNKF8xnc_2qrcN1nTUI8x3g/view" TargetMode="External"/><Relationship Id="rId1264" Type="http://schemas.openxmlformats.org/officeDocument/2006/relationships/hyperlink" Target="https://drive.google.com/file/d/19XdAC-dCR1jX7psuHS0fEv7dddZtOWbr/view" TargetMode="External"/><Relationship Id="rId2595" Type="http://schemas.openxmlformats.org/officeDocument/2006/relationships/hyperlink" Target="https://drive.google.com/file/d/14frZLTKFqlh3yShgIjOkibUKryN9cpW1/view" TargetMode="External"/><Relationship Id="rId432" Type="http://schemas.openxmlformats.org/officeDocument/2006/relationships/hyperlink" Target="https://drive.google.com/file/d/1V95ZchxVJDgO0lztUHoII4uhpJHz4VVZ/view" TargetMode="External"/><Relationship Id="rId1265" Type="http://schemas.openxmlformats.org/officeDocument/2006/relationships/hyperlink" Target="https://drive.google.com/file/d/1bTd0An8DFR1MRyVjqvPq5vrGQtrXZJC-/view" TargetMode="External"/><Relationship Id="rId2596" Type="http://schemas.openxmlformats.org/officeDocument/2006/relationships/hyperlink" Target="https://drive.google.com/file/d/1RWXrYNB02aoQHbGwA68JPUSRg5oV9PPd/view" TargetMode="External"/><Relationship Id="rId431" Type="http://schemas.openxmlformats.org/officeDocument/2006/relationships/hyperlink" Target="https://drive.google.com/file/d/1ttTgbXfd8a3Sns1mRD04Qy4MDf0cjnOG/view" TargetMode="External"/><Relationship Id="rId1266" Type="http://schemas.openxmlformats.org/officeDocument/2006/relationships/hyperlink" Target="https://drive.google.com/file/d/1RHn4y_mrKiM1UPEn6TGT05cJMTlWQOUc/view" TargetMode="External"/><Relationship Id="rId2597" Type="http://schemas.openxmlformats.org/officeDocument/2006/relationships/hyperlink" Target="https://drive.google.com/file/d/1wlg_Fj8508cJNxfbu-2I4ywBJ2H6jE49/view" TargetMode="External"/><Relationship Id="rId430" Type="http://schemas.openxmlformats.org/officeDocument/2006/relationships/hyperlink" Target="https://drive.google.com/file/d/1MnYPZKEZLeBFCWMNJiVe6xRVbovTfTF5/view" TargetMode="External"/><Relationship Id="rId1267" Type="http://schemas.openxmlformats.org/officeDocument/2006/relationships/hyperlink" Target="https://drive.google.com/file/d/1ZXGDzBV3EbnbNPwO_er29l9An9g6RKon/view" TargetMode="External"/><Relationship Id="rId2598" Type="http://schemas.openxmlformats.org/officeDocument/2006/relationships/hyperlink" Target="https://drive.google.com/file/d/1m40iDqMjsyMYgCFSKOpuBjGXOSTI97r-/view" TargetMode="External"/><Relationship Id="rId3070" Type="http://schemas.openxmlformats.org/officeDocument/2006/relationships/hyperlink" Target="https://drive.google.com/file/d/1ceu7ia04DO3RfRwGC5htDAZje7ZBhINP/view" TargetMode="External"/><Relationship Id="rId3072" Type="http://schemas.openxmlformats.org/officeDocument/2006/relationships/hyperlink" Target="https://drive.google.com/file/d/1yqO84FweFZ1-pPLm9yu2KZSJmLpgN0uF/view" TargetMode="External"/><Relationship Id="rId3071" Type="http://schemas.openxmlformats.org/officeDocument/2006/relationships/hyperlink" Target="https://drive.google.com/file/d/1XqeQKBZsZFQtlmWwbr9yRJJFxVlcvNIw/view" TargetMode="External"/><Relationship Id="rId3074" Type="http://schemas.openxmlformats.org/officeDocument/2006/relationships/hyperlink" Target="https://drive.google.com/file/d/1uppAYdZap_Nm8VNoAsFCXzc5Jpan3QAa/view" TargetMode="External"/><Relationship Id="rId3073" Type="http://schemas.openxmlformats.org/officeDocument/2006/relationships/hyperlink" Target="https://drive.google.com/file/d/1w1JSgRPSjtu735i4Uq5A0UZLL6OWtOCO/view" TargetMode="External"/><Relationship Id="rId3076" Type="http://schemas.openxmlformats.org/officeDocument/2006/relationships/hyperlink" Target="https://drive.google.com/file/d/1BCi-Af15yLWqFiHzJXukFZGtn2ioDkFs/view" TargetMode="External"/><Relationship Id="rId3075" Type="http://schemas.openxmlformats.org/officeDocument/2006/relationships/hyperlink" Target="https://drive.google.com/file/d/1t45QNOVLPYsv9tfpZHkV4X_PKJ7dz8Ru/view" TargetMode="External"/><Relationship Id="rId3078" Type="http://schemas.openxmlformats.org/officeDocument/2006/relationships/hyperlink" Target="https://drive.google.com/file/d/1tobpkbAhNE54_ioH1RGN0P3-P_EeHf9H/view" TargetMode="External"/><Relationship Id="rId3077" Type="http://schemas.openxmlformats.org/officeDocument/2006/relationships/hyperlink" Target="https://drive.google.com/file/d/19OjdLkXdh8Mwvqvcez7xb3Yr4kPDdut3/view" TargetMode="External"/><Relationship Id="rId3079" Type="http://schemas.openxmlformats.org/officeDocument/2006/relationships/hyperlink" Target="https://drive.google.com/file/d/1BRnBfCoHsbNriN7eYm3Q4SeUL6r6mJfD/view" TargetMode="External"/><Relationship Id="rId3061" Type="http://schemas.openxmlformats.org/officeDocument/2006/relationships/hyperlink" Target="https://drive.google.com/file/d/1faTrqC2ttZSWGQ0I9C18SjcjDVlKyp9C/view" TargetMode="External"/><Relationship Id="rId3060" Type="http://schemas.openxmlformats.org/officeDocument/2006/relationships/hyperlink" Target="https://drive.google.com/file/d/1IzRTERmb1xPU5wAqN7wCFHiiEmd75h6J/view" TargetMode="External"/><Relationship Id="rId3063" Type="http://schemas.openxmlformats.org/officeDocument/2006/relationships/hyperlink" Target="https://drive.google.com/file/d/1KKGZb56aqd9UtA2nuV1URs4NLb5AaS85/view" TargetMode="External"/><Relationship Id="rId3062" Type="http://schemas.openxmlformats.org/officeDocument/2006/relationships/hyperlink" Target="https://drive.google.com/file/d/1FzA5qwOIGnftKMp_EbwQI8XcFyXh3qCe/view" TargetMode="External"/><Relationship Id="rId3065" Type="http://schemas.openxmlformats.org/officeDocument/2006/relationships/hyperlink" Target="https://drive.google.com/file/d/1_sJ_srPlTPdq8pHJY80rsDl9Qs5RMtJ3/view" TargetMode="External"/><Relationship Id="rId3064" Type="http://schemas.openxmlformats.org/officeDocument/2006/relationships/hyperlink" Target="https://drive.google.com/file/d/1nlC-cNdZDOuMzQSb2kTvTO5Se6hYxXQ0/view" TargetMode="External"/><Relationship Id="rId3067" Type="http://schemas.openxmlformats.org/officeDocument/2006/relationships/hyperlink" Target="https://drive.google.com/file/d/1NbxSlTtgif5LPJaCtEUuwnIVTA7HI3LB/view" TargetMode="External"/><Relationship Id="rId3066" Type="http://schemas.openxmlformats.org/officeDocument/2006/relationships/hyperlink" Target="https://drive.google.com/file/d/1lCmLffGNxeJ1RCqftV_zc7k9efPxpcvt/view" TargetMode="External"/><Relationship Id="rId3069" Type="http://schemas.openxmlformats.org/officeDocument/2006/relationships/hyperlink" Target="https://drive.google.com/file/d/1SsqWk2ZPoOXKU25HVrPNV4gFfG0JrWIW/view" TargetMode="External"/><Relationship Id="rId3068" Type="http://schemas.openxmlformats.org/officeDocument/2006/relationships/hyperlink" Target="https://drive.google.com/file/d/12sqdjeqhvVHXdn3f_sQX7zJhvOxJ81Ef/view" TargetMode="External"/><Relationship Id="rId3090" Type="http://schemas.openxmlformats.org/officeDocument/2006/relationships/hyperlink" Target="https://drive.google.com/file/d/1PkynXaWnbfAApXNh6FDW1ieFQ_HOQ0dH/view" TargetMode="External"/><Relationship Id="rId3092" Type="http://schemas.openxmlformats.org/officeDocument/2006/relationships/hyperlink" Target="https://drive.google.com/file/d/1x27nSfdPGIfpWVJ9PCfBvFtwP8aIj3J1/view" TargetMode="External"/><Relationship Id="rId3091" Type="http://schemas.openxmlformats.org/officeDocument/2006/relationships/hyperlink" Target="https://drive.google.com/file/d/1wVK-sg8qZ-oPNE8dWS9iYxh4Ez6Ksyx6/view" TargetMode="External"/><Relationship Id="rId3094" Type="http://schemas.openxmlformats.org/officeDocument/2006/relationships/hyperlink" Target="https://drive.google.com/file/d/1DICzdYGfoCg6HrePUUlWQDK7THlcAb0t/view" TargetMode="External"/><Relationship Id="rId3093" Type="http://schemas.openxmlformats.org/officeDocument/2006/relationships/hyperlink" Target="https://drive.google.com/file/d/15vd9xFobjdlmXdbbKLYSx0BkmIlAc81Z/view" TargetMode="External"/><Relationship Id="rId3096" Type="http://schemas.openxmlformats.org/officeDocument/2006/relationships/hyperlink" Target="https://drive.google.com/file/d/17B2PShNxlw9xqmReWSHuJRHNCNoHgKJb/view" TargetMode="External"/><Relationship Id="rId3095" Type="http://schemas.openxmlformats.org/officeDocument/2006/relationships/hyperlink" Target="https://drive.google.com/file/d/1uibWTpovMEMjY9hsQ6RBkU2D2NCjEvnh/view" TargetMode="External"/><Relationship Id="rId3098" Type="http://schemas.openxmlformats.org/officeDocument/2006/relationships/hyperlink" Target="https://drive.google.com/file/d/1wVK-sg8qZ-oPNE8dWS9iYxh4Ez6Ksyx6/view" TargetMode="External"/><Relationship Id="rId3097" Type="http://schemas.openxmlformats.org/officeDocument/2006/relationships/hyperlink" Target="https://drive.google.com/file/d/1adHdV5mWGkozDhp4Z_wueu7ume-MUalg/view" TargetMode="External"/><Relationship Id="rId3099" Type="http://schemas.openxmlformats.org/officeDocument/2006/relationships/hyperlink" Target="https://drive.google.com/file/d/1x27nSfdPGIfpWVJ9PCfBvFtwP8aIj3J1/view" TargetMode="External"/><Relationship Id="rId3081" Type="http://schemas.openxmlformats.org/officeDocument/2006/relationships/hyperlink" Target="https://drive.google.com/file/d/1zk3vJBXEnFXj6I43ffJSpDiDm2fiKu4i/view" TargetMode="External"/><Relationship Id="rId3080" Type="http://schemas.openxmlformats.org/officeDocument/2006/relationships/hyperlink" Target="https://drive.google.com/file/d/18zeC7B2fI_sT_pPO2O87l7CHwj_XUVWE/view" TargetMode="External"/><Relationship Id="rId3083" Type="http://schemas.openxmlformats.org/officeDocument/2006/relationships/hyperlink" Target="https://drive.google.com/file/d/1syyRp6XnAYI3yc8SyxSRI8ObGCwpW9We/view" TargetMode="External"/><Relationship Id="rId3082" Type="http://schemas.openxmlformats.org/officeDocument/2006/relationships/hyperlink" Target="https://drive.google.com/file/d/1RnEXO4SFc4SE_-8NlbMn0k2MMv5LmTln/view" TargetMode="External"/><Relationship Id="rId3085" Type="http://schemas.openxmlformats.org/officeDocument/2006/relationships/hyperlink" Target="https://drive.google.com/file/d/1wioTn5vwLY7gwS5lcwRAtN-ZBpSMN07v/view" TargetMode="External"/><Relationship Id="rId3084" Type="http://schemas.openxmlformats.org/officeDocument/2006/relationships/hyperlink" Target="https://drive.google.com/file/d/1_vwFLanMckZtcS0dvS2Rk6NbnL7OMsFE/view" TargetMode="External"/><Relationship Id="rId3087" Type="http://schemas.openxmlformats.org/officeDocument/2006/relationships/hyperlink" Target="https://drive.google.com/file/d/1kIJJ03Tu-q4uQLAydcd97f5wGp9bbPeU/view" TargetMode="External"/><Relationship Id="rId3086" Type="http://schemas.openxmlformats.org/officeDocument/2006/relationships/hyperlink" Target="https://drive.google.com/file/d/1w8sEy300Rr8relGcYtwp2wyHzGlMS-qe/view" TargetMode="External"/><Relationship Id="rId3089" Type="http://schemas.openxmlformats.org/officeDocument/2006/relationships/hyperlink" Target="https://drive.google.com/file/d/1mTtq3DTFiYUHXDaO6kYUEmm5DMqHUWIq/view" TargetMode="External"/><Relationship Id="rId3088" Type="http://schemas.openxmlformats.org/officeDocument/2006/relationships/hyperlink" Target="https://drive.google.com/file/d/1kQg1ZkPDtt-_HQzX9xW8E7UUDpteB2c0/view" TargetMode="External"/><Relationship Id="rId3039" Type="http://schemas.openxmlformats.org/officeDocument/2006/relationships/hyperlink" Target="https://drive.google.com/file/d/1i8bo5W3W0z47KlPqiiAiJu3yoil6HyHe/view" TargetMode="External"/><Relationship Id="rId1" Type="http://schemas.openxmlformats.org/officeDocument/2006/relationships/comments" Target="../comments1.xml"/><Relationship Id="rId2" Type="http://schemas.openxmlformats.org/officeDocument/2006/relationships/hyperlink" Target="https://drive.google.com/file/d/1xnyIP8fSGWPVpB_VNBe6_l91PKDZR_yA/view" TargetMode="External"/><Relationship Id="rId3" Type="http://schemas.openxmlformats.org/officeDocument/2006/relationships/hyperlink" Target="https://drive.google.com/file/d/1ELulUK_WJ_14hTW5Qvd1iXBRyvlyGLR1/view" TargetMode="External"/><Relationship Id="rId4" Type="http://schemas.openxmlformats.org/officeDocument/2006/relationships/hyperlink" Target="https://drive.google.com/file/d/1jdsAuofOVrgkUqzyucIWv7c2rIQBAIEj/view" TargetMode="External"/><Relationship Id="rId3030" Type="http://schemas.openxmlformats.org/officeDocument/2006/relationships/hyperlink" Target="https://drive.google.com/file/d/1SlDDubLQpuk6MygHrae2b7UftiutFcnM/view" TargetMode="External"/><Relationship Id="rId9" Type="http://schemas.openxmlformats.org/officeDocument/2006/relationships/hyperlink" Target="https://drive.google.com/file/d/1jdsAuofOVrgkUqzyucIWv7c2rIQBAIEj/view" TargetMode="External"/><Relationship Id="rId3032" Type="http://schemas.openxmlformats.org/officeDocument/2006/relationships/hyperlink" Target="https://drive.google.com/file/d/1Yy015-o1hEAEVwI3d_ssxehuir-jk8mD/view" TargetMode="External"/><Relationship Id="rId3031" Type="http://schemas.openxmlformats.org/officeDocument/2006/relationships/hyperlink" Target="https://drive.google.com/file/d/1Zm6sVYCwpYUNN28YRKx4D6o4LVnVZx9n/view" TargetMode="External"/><Relationship Id="rId3034" Type="http://schemas.openxmlformats.org/officeDocument/2006/relationships/hyperlink" Target="https://drive.google.com/file/d/1i8bo5W3W0z47KlPqiiAiJu3yoil6HyHe/view" TargetMode="External"/><Relationship Id="rId3033" Type="http://schemas.openxmlformats.org/officeDocument/2006/relationships/hyperlink" Target="https://drive.google.com/file/d/1AA_rFtnUtQMZyeBur41RQS5xC6KNV3rh/view" TargetMode="External"/><Relationship Id="rId5" Type="http://schemas.openxmlformats.org/officeDocument/2006/relationships/hyperlink" Target="https://drive.google.com/file/d/1o0SCWCOaWVK1-BfqgYNHFokQ25CLctFU/view" TargetMode="External"/><Relationship Id="rId3036" Type="http://schemas.openxmlformats.org/officeDocument/2006/relationships/hyperlink" Target="https://drive.google.com/file/d/1Zm6sVYCwpYUNN28YRKx4D6o4LVnVZx9n/view" TargetMode="External"/><Relationship Id="rId6" Type="http://schemas.openxmlformats.org/officeDocument/2006/relationships/hyperlink" Target="https://drive.google.com/file/d/1VlK3zGwkhzZaBG0nNaeV5urL43QHUn0y/view" TargetMode="External"/><Relationship Id="rId3035" Type="http://schemas.openxmlformats.org/officeDocument/2006/relationships/hyperlink" Target="https://drive.google.com/file/d/1SlDDubLQpuk6MygHrae2b7UftiutFcnM/view" TargetMode="External"/><Relationship Id="rId7" Type="http://schemas.openxmlformats.org/officeDocument/2006/relationships/hyperlink" Target="https://drive.google.com/file/d/1xnyIP8fSGWPVpB_VNBe6_l91PKDZR_yA/view" TargetMode="External"/><Relationship Id="rId3038" Type="http://schemas.openxmlformats.org/officeDocument/2006/relationships/hyperlink" Target="https://drive.google.com/file/d/1ACCue0aARP9skOWF9vHMmw37rX74g5fA/view" TargetMode="External"/><Relationship Id="rId8" Type="http://schemas.openxmlformats.org/officeDocument/2006/relationships/hyperlink" Target="https://drive.google.com/file/d/1ELulUK_WJ_14hTW5Qvd1iXBRyvlyGLR1/view" TargetMode="External"/><Relationship Id="rId3037" Type="http://schemas.openxmlformats.org/officeDocument/2006/relationships/hyperlink" Target="https://drive.google.com/file/d/1205DGtZ6zjvKHef75OBTP8mux1sqSqNO/view" TargetMode="External"/><Relationship Id="rId3029" Type="http://schemas.openxmlformats.org/officeDocument/2006/relationships/hyperlink" Target="https://drive.google.com/file/d/1i8bo5W3W0z47KlPqiiAiJu3yoil6HyHe/view" TargetMode="External"/><Relationship Id="rId3028" Type="http://schemas.openxmlformats.org/officeDocument/2006/relationships/hyperlink" Target="https://drive.google.com/file/d/1AA_rFtnUtQMZyeBur41RQS5xC6KNV3rh/view" TargetMode="External"/><Relationship Id="rId3021" Type="http://schemas.openxmlformats.org/officeDocument/2006/relationships/hyperlink" Target="https://drive.google.com/file/d/1Pqvg63zh4B3-8g8tp8K79peUf-inY_51/view" TargetMode="External"/><Relationship Id="rId3020" Type="http://schemas.openxmlformats.org/officeDocument/2006/relationships/hyperlink" Target="https://drive.google.com/file/d/1g3AUU1Mj4TNmg85GQxkyB2haGFQyIhZg/view" TargetMode="External"/><Relationship Id="rId3023" Type="http://schemas.openxmlformats.org/officeDocument/2006/relationships/hyperlink" Target="https://drive.google.com/file/d/1ZK1z_LxLNG_JbCbDLhVk1RHe8ThjhMnM/view" TargetMode="External"/><Relationship Id="rId3022" Type="http://schemas.openxmlformats.org/officeDocument/2006/relationships/hyperlink" Target="https://drive.google.com/file/d/1IjsbnJV5DRcUydL66Cyv7YWZXah2zL7o/view" TargetMode="External"/><Relationship Id="rId3025" Type="http://schemas.openxmlformats.org/officeDocument/2006/relationships/hyperlink" Target="https://drive.google.com/file/d/14BALYwTeyPM6YeF4OE7iKi6PtdjqosHc/view" TargetMode="External"/><Relationship Id="rId3024" Type="http://schemas.openxmlformats.org/officeDocument/2006/relationships/hyperlink" Target="https://drive.google.com/file/d/1usZmguUmG6nDakQgL3kqQ48UZUaYzNYt/view" TargetMode="External"/><Relationship Id="rId3027" Type="http://schemas.openxmlformats.org/officeDocument/2006/relationships/hyperlink" Target="https://drive.google.com/file/d/1Yy015-o1hEAEVwI3d_ssxehuir-jk8mD/view" TargetMode="External"/><Relationship Id="rId3026" Type="http://schemas.openxmlformats.org/officeDocument/2006/relationships/hyperlink" Target="https://drive.google.com/file/d/1r6vOd9RLzTG0ugmxp_KAgYyQv0zIQFvJ/view" TargetMode="External"/><Relationship Id="rId3050" Type="http://schemas.openxmlformats.org/officeDocument/2006/relationships/hyperlink" Target="https://drive.google.com/file/d/1WZKUhFbQXnfQ4ZQalJzEf7scG32bMNv8/view" TargetMode="External"/><Relationship Id="rId3052" Type="http://schemas.openxmlformats.org/officeDocument/2006/relationships/hyperlink" Target="https://drive.google.com/file/d/1Y0x_p-2CaGUJcYvVgehjBzX3O02td8w5/view" TargetMode="External"/><Relationship Id="rId3051" Type="http://schemas.openxmlformats.org/officeDocument/2006/relationships/hyperlink" Target="https://drive.google.com/file/d/1Vd4D-lIUbRXPG5M7TYNuIGgNwOjWzIfy/view" TargetMode="External"/><Relationship Id="rId3054" Type="http://schemas.openxmlformats.org/officeDocument/2006/relationships/hyperlink" Target="https://drive.google.com/file/d/1BHEDx7XTBjt8XQa_8h2Dm5Eniw6N2Fla/view" TargetMode="External"/><Relationship Id="rId3053" Type="http://schemas.openxmlformats.org/officeDocument/2006/relationships/hyperlink" Target="https://drive.google.com/file/d/1-l2kD20msxUaSkmxaNSLhELVSMBJGjq7/view" TargetMode="External"/><Relationship Id="rId3056" Type="http://schemas.openxmlformats.org/officeDocument/2006/relationships/hyperlink" Target="https://drive.google.com/file/d/1LKc24JySksFK-argoq7-JIcDxi4i6Hog/view" TargetMode="External"/><Relationship Id="rId3055" Type="http://schemas.openxmlformats.org/officeDocument/2006/relationships/hyperlink" Target="https://drive.google.com/file/d/1hrtfY9jNWKJ26K4LqhCcrSQmpbCRZUkK/view" TargetMode="External"/><Relationship Id="rId3058" Type="http://schemas.openxmlformats.org/officeDocument/2006/relationships/hyperlink" Target="https://drive.google.com/file/d/1fzHewC-nA3LN1KLEJM7E7f8DFa5gDFDO/view" TargetMode="External"/><Relationship Id="rId3057" Type="http://schemas.openxmlformats.org/officeDocument/2006/relationships/hyperlink" Target="https://drive.google.com/file/d/1cF-DQUmNEFKt8OSXU0bY6E3gzEx25SvJ/view" TargetMode="External"/><Relationship Id="rId3059" Type="http://schemas.openxmlformats.org/officeDocument/2006/relationships/hyperlink" Target="https://drive.google.com/file/d/1-dbGWS0f0XDQqeXBB3Lpd2zUWch2J_9y/view" TargetMode="External"/><Relationship Id="rId3041" Type="http://schemas.openxmlformats.org/officeDocument/2006/relationships/hyperlink" Target="https://drive.google.com/file/d/1Zm6sVYCwpYUNN28YRKx4D6o4LVnVZx9n/view" TargetMode="External"/><Relationship Id="rId3040" Type="http://schemas.openxmlformats.org/officeDocument/2006/relationships/hyperlink" Target="https://drive.google.com/file/d/1SlDDubLQpuk6MygHrae2b7UftiutFcnM/view" TargetMode="External"/><Relationship Id="rId3043" Type="http://schemas.openxmlformats.org/officeDocument/2006/relationships/hyperlink" Target="https://drive.google.com/file/d/194p_k4Ha4Y2i7BsYRtkOr6gBjETF3tZc/view" TargetMode="External"/><Relationship Id="rId3042" Type="http://schemas.openxmlformats.org/officeDocument/2006/relationships/hyperlink" Target="https://drive.google.com/file/d/1GV3Igc6J_Delro02FecNYGLMGR9zFBSu/view" TargetMode="External"/><Relationship Id="rId3045" Type="http://schemas.openxmlformats.org/officeDocument/2006/relationships/hyperlink" Target="https://drive.google.com/file/d/10Vwhhat95PBiIiueBfBaVWGlBM74HdnZ/view" TargetMode="External"/><Relationship Id="rId3044" Type="http://schemas.openxmlformats.org/officeDocument/2006/relationships/hyperlink" Target="https://drive.google.com/file/d/1BGGeNJ0ZYOP5tMOMncQVBj5LRmOW8LVv/view" TargetMode="External"/><Relationship Id="rId3047" Type="http://schemas.openxmlformats.org/officeDocument/2006/relationships/hyperlink" Target="https://drive.google.com/file/d/1hQdoIIW-BVDn9VVzn0wFB0ynzEXdyEs7/view" TargetMode="External"/><Relationship Id="rId3046" Type="http://schemas.openxmlformats.org/officeDocument/2006/relationships/hyperlink" Target="https://drive.google.com/file/d/1de6KdqENwlmaG9yQcGdtlldvt26h3Ejd/view" TargetMode="External"/><Relationship Id="rId3049" Type="http://schemas.openxmlformats.org/officeDocument/2006/relationships/hyperlink" Target="https://drive.google.com/file/d/1EiODkgTeF5sev_h128GsunFjKYx7-0Ts/view" TargetMode="External"/><Relationship Id="rId3048" Type="http://schemas.openxmlformats.org/officeDocument/2006/relationships/hyperlink" Target="https://drive.google.com/file/d/1r2IDu-MbXGhBldY2QFGjedk2PhXnxs_L/view" TargetMode="External"/><Relationship Id="rId3911" Type="http://schemas.openxmlformats.org/officeDocument/2006/relationships/hyperlink" Target="https://drive.google.com/file/d/1S4FFbJPgFBMlkElS3M3Vo8DXPTf6R5oh/view" TargetMode="External"/><Relationship Id="rId3910" Type="http://schemas.openxmlformats.org/officeDocument/2006/relationships/hyperlink" Target="https://drive.google.com/file/d/1RbhHHtgLemfsVoXryWwm8s9BM9BDcvvd/view" TargetMode="External"/><Relationship Id="rId3913" Type="http://schemas.openxmlformats.org/officeDocument/2006/relationships/hyperlink" Target="https://drive.google.com/file/d/1cBCU2ODTLFo-B_pMTfXQUdgCQHayWjdg/view" TargetMode="External"/><Relationship Id="rId3912" Type="http://schemas.openxmlformats.org/officeDocument/2006/relationships/hyperlink" Target="https://drive.google.com/file/d/1LshYfXRIPyA0ywPRjh1Iwj8jsuVQfr4v/view" TargetMode="External"/><Relationship Id="rId3915" Type="http://schemas.openxmlformats.org/officeDocument/2006/relationships/hyperlink" Target="https://drive.google.com/file/d/15z5bKD0sOtohqY7CdC7FoBukzb30ks7P/view" TargetMode="External"/><Relationship Id="rId3914" Type="http://schemas.openxmlformats.org/officeDocument/2006/relationships/hyperlink" Target="https://drive.google.com/file/d/1gr6cSKqkg9alR6-9hfZ3SqGA-sgyxBQu/view" TargetMode="External"/><Relationship Id="rId3917" Type="http://schemas.openxmlformats.org/officeDocument/2006/relationships/hyperlink" Target="https://drive.google.com/file/d/1MqCzz40hPIanMCCmIOT9TG6QaOXFkorc/view" TargetMode="External"/><Relationship Id="rId3916" Type="http://schemas.openxmlformats.org/officeDocument/2006/relationships/hyperlink" Target="https://drive.google.com/file/d/1ScDe1hFaAjFL2ac-tkKMnkJoiiIJwmtg/view" TargetMode="External"/><Relationship Id="rId3919" Type="http://schemas.openxmlformats.org/officeDocument/2006/relationships/hyperlink" Target="https://drive.google.com/file/d/1z_EI0ZrU2kHGyXakj3spL0N7t4TRowfP/view" TargetMode="External"/><Relationship Id="rId3918" Type="http://schemas.openxmlformats.org/officeDocument/2006/relationships/hyperlink" Target="https://drive.google.com/file/d/17aySYcwof0uMjmV2bxNYT3sdVlstbEvw/view" TargetMode="External"/><Relationship Id="rId3900" Type="http://schemas.openxmlformats.org/officeDocument/2006/relationships/hyperlink" Target="https://drive.google.com/file/d/1Tb-SqAMqBh5Ah4UddCQeirNSR_DHuUE0/view" TargetMode="External"/><Relationship Id="rId3902" Type="http://schemas.openxmlformats.org/officeDocument/2006/relationships/hyperlink" Target="https://drive.google.com/file/d/1_Jzb67evbOMA7yZrJwdLh4wUK-_OPZtl/view" TargetMode="External"/><Relationship Id="rId3901" Type="http://schemas.openxmlformats.org/officeDocument/2006/relationships/hyperlink" Target="https://drive.google.com/file/d/1P_UrSMGr2yukWuHli7wPcUUetJ5g1So-/view" TargetMode="External"/><Relationship Id="rId3904" Type="http://schemas.openxmlformats.org/officeDocument/2006/relationships/hyperlink" Target="https://drive.google.com/file/d/1Tb-SqAMqBh5Ah4UddCQeirNSR_DHuUE0/view" TargetMode="External"/><Relationship Id="rId3903" Type="http://schemas.openxmlformats.org/officeDocument/2006/relationships/hyperlink" Target="https://drive.google.com/file/d/1npkt0wO2jdsMHlMed-RpkDDZc8kAUgT0/view" TargetMode="External"/><Relationship Id="rId3906" Type="http://schemas.openxmlformats.org/officeDocument/2006/relationships/hyperlink" Target="https://drive.google.com/file/d/13Cr7ZiF1eCwZj8xNh_muPgc_GZVUBNmk/view" TargetMode="External"/><Relationship Id="rId3905" Type="http://schemas.openxmlformats.org/officeDocument/2006/relationships/hyperlink" Target="https://drive.google.com/file/d/1BHhu2BgcST4Qo1hsxtwEEeE7MMeDFARu/view" TargetMode="External"/><Relationship Id="rId3908" Type="http://schemas.openxmlformats.org/officeDocument/2006/relationships/hyperlink" Target="https://drive.google.com/file/d/1Tb-SqAMqBh5Ah4UddCQeirNSR_DHuUE0/view" TargetMode="External"/><Relationship Id="rId3907" Type="http://schemas.openxmlformats.org/officeDocument/2006/relationships/hyperlink" Target="https://drive.google.com/file/d/1npkt0wO2jdsMHlMed-RpkDDZc8kAUgT0/view" TargetMode="External"/><Relationship Id="rId3909" Type="http://schemas.openxmlformats.org/officeDocument/2006/relationships/hyperlink" Target="https://drive.google.com/file/d/1yCAXF5AowngNDiouUayBPX9zrW9Vd2M-/view" TargetMode="External"/><Relationship Id="rId3931" Type="http://schemas.openxmlformats.org/officeDocument/2006/relationships/hyperlink" Target="https://drive.google.com/file/d/1i8bo5W3W0z47KlPqiiAiJu3yoil6HyHe/view" TargetMode="External"/><Relationship Id="rId2600" Type="http://schemas.openxmlformats.org/officeDocument/2006/relationships/hyperlink" Target="https://drive.google.com/file/d/1Wwcm7VU4NyxrcZ9N_DWLG15cG2RZb3Rl/view" TargetMode="External"/><Relationship Id="rId3930" Type="http://schemas.openxmlformats.org/officeDocument/2006/relationships/hyperlink" Target="https://drive.google.com/file/d/1tWGq4ySNPbuLnOn05dQCdFhyYyD_RYwR/view" TargetMode="External"/><Relationship Id="rId2601" Type="http://schemas.openxmlformats.org/officeDocument/2006/relationships/hyperlink" Target="https://drive.google.com/file/d/14frZLTKFqlh3yShgIjOkibUKryN9cpW1/view" TargetMode="External"/><Relationship Id="rId3933" Type="http://schemas.openxmlformats.org/officeDocument/2006/relationships/hyperlink" Target="https://drive.google.com/file/d/1Zm6sVYCwpYUNN28YRKx4D6o4LVnVZx9n/view" TargetMode="External"/><Relationship Id="rId2602" Type="http://schemas.openxmlformats.org/officeDocument/2006/relationships/hyperlink" Target="https://drive.google.com/file/d/1RWXrYNB02aoQHbGwA68JPUSRg5oV9PPd/view" TargetMode="External"/><Relationship Id="rId3932" Type="http://schemas.openxmlformats.org/officeDocument/2006/relationships/hyperlink" Target="https://drive.google.com/file/d/1SlDDubLQpuk6MygHrae2b7UftiutFcnM/view" TargetMode="External"/><Relationship Id="rId2603" Type="http://schemas.openxmlformats.org/officeDocument/2006/relationships/hyperlink" Target="https://drive.google.com/file/d/15FKMRfARn5-NclchZsFC3Y0awyQk8rHI/view" TargetMode="External"/><Relationship Id="rId3935" Type="http://schemas.openxmlformats.org/officeDocument/2006/relationships/hyperlink" Target="https://drive.google.com/file/d/17yyz9QguWxV1omfPzMRFVD7DN3Y1Pp3U/view" TargetMode="External"/><Relationship Id="rId2604" Type="http://schemas.openxmlformats.org/officeDocument/2006/relationships/hyperlink" Target="https://drive.google.com/file/d/1OJ31F90oDY8zgv1fJTukfac0sC1gVhu_/view" TargetMode="External"/><Relationship Id="rId3934" Type="http://schemas.openxmlformats.org/officeDocument/2006/relationships/hyperlink" Target="https://drive.google.com/file/d/1exZgOodTEPkEFgCXhqh-D0ByblJ7hOjV/view" TargetMode="External"/><Relationship Id="rId2605" Type="http://schemas.openxmlformats.org/officeDocument/2006/relationships/hyperlink" Target="https://drive.google.com/file/d/1npkt0wO2jdsMHlMed-RpkDDZc8kAUgT0/view" TargetMode="External"/><Relationship Id="rId3937" Type="http://schemas.openxmlformats.org/officeDocument/2006/relationships/hyperlink" Target="https://drive.google.com/file/d/170JSwtGbRtVGou5LyLe3T-mAmryuh0E6/view" TargetMode="External"/><Relationship Id="rId2606" Type="http://schemas.openxmlformats.org/officeDocument/2006/relationships/hyperlink" Target="https://drive.google.com/file/d/1QU-1I6a6nuX6CTMajKfk_6yNak7bj5QQ/view" TargetMode="External"/><Relationship Id="rId3936" Type="http://schemas.openxmlformats.org/officeDocument/2006/relationships/hyperlink" Target="https://drive.google.com/file/d/1i8bo5W3W0z47KlPqiiAiJu3yoil6HyHe/view" TargetMode="External"/><Relationship Id="rId808" Type="http://schemas.openxmlformats.org/officeDocument/2006/relationships/hyperlink" Target="https://drive.google.com/file/d/1W7xL2cQ9ER9dxUl4Szr7t0B8x18ixGnt/view" TargetMode="External"/><Relationship Id="rId2607" Type="http://schemas.openxmlformats.org/officeDocument/2006/relationships/hyperlink" Target="https://drive.google.com/file/d/1JJfpwaMGQWpDHsKLXvWRlOLRVsVC0Nsv/view" TargetMode="External"/><Relationship Id="rId3939" Type="http://schemas.openxmlformats.org/officeDocument/2006/relationships/hyperlink" Target="https://drive.google.com/file/d/1YCk3Ymy4U4frMzQZuarrNY8LHOEBF1Ch/view" TargetMode="External"/><Relationship Id="rId807" Type="http://schemas.openxmlformats.org/officeDocument/2006/relationships/hyperlink" Target="https://drive.google.com/file/d/1X6t0rnbcpeO9yPadWO94ZI09EJAYSTNQ/view" TargetMode="External"/><Relationship Id="rId2608" Type="http://schemas.openxmlformats.org/officeDocument/2006/relationships/hyperlink" Target="https://drive.google.com/file/d/1AqD2FOq-uK8_i7d1DTGJd3CeYSwQxMrz/view" TargetMode="External"/><Relationship Id="rId3938" Type="http://schemas.openxmlformats.org/officeDocument/2006/relationships/hyperlink" Target="https://drive.google.com/file/d/1nlRBqo5ftRjDVPKaqh8pxpNBFyRSEb7H/view" TargetMode="External"/><Relationship Id="rId806" Type="http://schemas.openxmlformats.org/officeDocument/2006/relationships/hyperlink" Target="https://drive.google.com/file/d/1QsIFb14_JMv390lJ_1uuknVXt4AfJ6-4/view" TargetMode="External"/><Relationship Id="rId2609" Type="http://schemas.openxmlformats.org/officeDocument/2006/relationships/hyperlink" Target="https://drive.google.com/file/d/1EJBoaHfWcawd9kWizCdmOdSLT7vCp--J/view" TargetMode="External"/><Relationship Id="rId805" Type="http://schemas.openxmlformats.org/officeDocument/2006/relationships/hyperlink" Target="https://drive.google.com/file/d/1YSKQI0UfK5wKR73ciki4-cw08xuESm6C/view" TargetMode="External"/><Relationship Id="rId809" Type="http://schemas.openxmlformats.org/officeDocument/2006/relationships/hyperlink" Target="https://drive.google.com/file/d/1gmjw91Oako3CNpXHuxMTEN0ze1l6ztnc/view" TargetMode="External"/><Relationship Id="rId800" Type="http://schemas.openxmlformats.org/officeDocument/2006/relationships/hyperlink" Target="https://drive.google.com/file/d/1NAV3m_eZij7Z1KWLsPO08qL2g14pfA80/view" TargetMode="External"/><Relationship Id="rId804" Type="http://schemas.openxmlformats.org/officeDocument/2006/relationships/hyperlink" Target="https://drive.google.com/file/d/10_KR08KdwT0-mYx2v6AYEkNKOElrvh54/view" TargetMode="External"/><Relationship Id="rId803" Type="http://schemas.openxmlformats.org/officeDocument/2006/relationships/hyperlink" Target="https://drive.google.com/file/d/1t7-vyf8Gev6b_gCwjjgRn2XF2XV4WtH_/view" TargetMode="External"/><Relationship Id="rId802" Type="http://schemas.openxmlformats.org/officeDocument/2006/relationships/hyperlink" Target="https://drive.google.com/file/d/1QsIFb14_JMv390lJ_1uuknVXt4AfJ6-4/view" TargetMode="External"/><Relationship Id="rId801" Type="http://schemas.openxmlformats.org/officeDocument/2006/relationships/hyperlink" Target="https://drive.google.com/file/d/1YSKQI0UfK5wKR73ciki4-cw08xuESm6C/view" TargetMode="External"/><Relationship Id="rId3920" Type="http://schemas.openxmlformats.org/officeDocument/2006/relationships/hyperlink" Target="https://drive.google.com/file/d/15z5bKD0sOtohqY7CdC7FoBukzb30ks7P/view" TargetMode="External"/><Relationship Id="rId3922" Type="http://schemas.openxmlformats.org/officeDocument/2006/relationships/hyperlink" Target="https://drive.google.com/file/d/1pAfjleD64k3MD3ILHZ3CSFUvUJV3ES6z/view" TargetMode="External"/><Relationship Id="rId3921" Type="http://schemas.openxmlformats.org/officeDocument/2006/relationships/hyperlink" Target="https://drive.google.com/file/d/1ScDe1hFaAjFL2ac-tkKMnkJoiiIJwmtg/view" TargetMode="External"/><Relationship Id="rId3924" Type="http://schemas.openxmlformats.org/officeDocument/2006/relationships/hyperlink" Target="https://drive.google.com/file/d/1bR_MMGOPc_HXeslUPcbfJ33bZd0VfCGr/view" TargetMode="External"/><Relationship Id="rId3923" Type="http://schemas.openxmlformats.org/officeDocument/2006/relationships/hyperlink" Target="https://drive.google.com/file/d/1jqEt9kw9va1vNs10LsRu2Vz4j-92aDIr/view" TargetMode="External"/><Relationship Id="rId3926" Type="http://schemas.openxmlformats.org/officeDocument/2006/relationships/hyperlink" Target="https://drive.google.com/file/d/1i8bo5W3W0z47KlPqiiAiJu3yoil6HyHe/view" TargetMode="External"/><Relationship Id="rId3925" Type="http://schemas.openxmlformats.org/officeDocument/2006/relationships/hyperlink" Target="https://drive.google.com/file/d/1DBCr-HU4s49mJxQIUOORcBiUK7kl3syN/view" TargetMode="External"/><Relationship Id="rId3928" Type="http://schemas.openxmlformats.org/officeDocument/2006/relationships/hyperlink" Target="https://drive.google.com/file/d/1Zm6sVYCwpYUNN28YRKx4D6o4LVnVZx9n/view" TargetMode="External"/><Relationship Id="rId3927" Type="http://schemas.openxmlformats.org/officeDocument/2006/relationships/hyperlink" Target="https://drive.google.com/file/d/1SlDDubLQpuk6MygHrae2b7UftiutFcnM/view" TargetMode="External"/><Relationship Id="rId3929" Type="http://schemas.openxmlformats.org/officeDocument/2006/relationships/hyperlink" Target="https://drive.google.com/file/d/13bYQHUkxWsraWPSK7y1OEKyZPPWtwJZl/view" TargetMode="External"/><Relationship Id="rId1334" Type="http://schemas.openxmlformats.org/officeDocument/2006/relationships/hyperlink" Target="https://drive.google.com/file/d/1Xg2csUAtWKYDlRxjo2QlzX6yK9EAmrET/view" TargetMode="External"/><Relationship Id="rId2665" Type="http://schemas.openxmlformats.org/officeDocument/2006/relationships/hyperlink" Target="https://drive.google.com/file/d/1K1BBvTsERHXK1lvTlD67x3_uQdSq2ju-/view" TargetMode="External"/><Relationship Id="rId3997" Type="http://schemas.openxmlformats.org/officeDocument/2006/relationships/hyperlink" Target="https://drive.google.com/file/d/1HFaxDuEpiEAFTT2fRhYr9pnTS5gyy9CB/view" TargetMode="External"/><Relationship Id="rId1335" Type="http://schemas.openxmlformats.org/officeDocument/2006/relationships/hyperlink" Target="https://drive.google.com/file/d/1lZVs_rYbJROFTNbVNBbtYuconwJaJQr9/view" TargetMode="External"/><Relationship Id="rId2666" Type="http://schemas.openxmlformats.org/officeDocument/2006/relationships/hyperlink" Target="https://drive.google.com/file/d/1COL40ckMwv5W5NWU00gaRpIvf2JB4PuZ/view" TargetMode="External"/><Relationship Id="rId3996" Type="http://schemas.openxmlformats.org/officeDocument/2006/relationships/hyperlink" Target="https://drive.google.com/file/d/1oBBkYqj4JqGkH5stXCPO2vwEJz9Xm5kd/view" TargetMode="External"/><Relationship Id="rId1336" Type="http://schemas.openxmlformats.org/officeDocument/2006/relationships/hyperlink" Target="https://drive.google.com/file/d/1gzGYkWEXv_cYkQ_HJ4JRsNDaNMA5iD2O/view" TargetMode="External"/><Relationship Id="rId2667" Type="http://schemas.openxmlformats.org/officeDocument/2006/relationships/hyperlink" Target="https://drive.google.com/file/d/1rzZAHU3yEMKfuGdERxrmxATPaVXyelWy/view" TargetMode="External"/><Relationship Id="rId3999" Type="http://schemas.openxmlformats.org/officeDocument/2006/relationships/hyperlink" Target="https://drive.google.com/file/d/1W1EiZzqapTaiejElNXu72pmSPnfMYAfI/view" TargetMode="External"/><Relationship Id="rId1337" Type="http://schemas.openxmlformats.org/officeDocument/2006/relationships/hyperlink" Target="https://drive.google.com/file/d/1Xg2csUAtWKYDlRxjo2QlzX6yK9EAmrET/view" TargetMode="External"/><Relationship Id="rId2668" Type="http://schemas.openxmlformats.org/officeDocument/2006/relationships/hyperlink" Target="https://drive.google.com/file/d/1WFXOzC4ZVaugRVkSlNHuNWt8tXKtX6FM/view" TargetMode="External"/><Relationship Id="rId3998" Type="http://schemas.openxmlformats.org/officeDocument/2006/relationships/hyperlink" Target="https://drive.google.com/file/d/1ts6GQahlvksofkyojIinvTJZGGOg5m1M/view" TargetMode="External"/><Relationship Id="rId1338" Type="http://schemas.openxmlformats.org/officeDocument/2006/relationships/hyperlink" Target="https://drive.google.com/file/d/1lZVs_rYbJROFTNbVNBbtYuconwJaJQr9/view" TargetMode="External"/><Relationship Id="rId2669" Type="http://schemas.openxmlformats.org/officeDocument/2006/relationships/hyperlink" Target="https://drive.google.com/file/d/1bUbXz3j_rX1k9VnUNEG37714cPv1ejwj/view" TargetMode="External"/><Relationship Id="rId1339" Type="http://schemas.openxmlformats.org/officeDocument/2006/relationships/hyperlink" Target="https://drive.google.com/file/d/1NvMu0hcS3S_F1wYX0rsILKyLvnwsLK0f/view" TargetMode="External"/><Relationship Id="rId745" Type="http://schemas.openxmlformats.org/officeDocument/2006/relationships/hyperlink" Target="https://drive.google.com/file/d/1nQDaGqE3IKtWDI33bYXi7BM4hjs-pLkG/view" TargetMode="External"/><Relationship Id="rId744" Type="http://schemas.openxmlformats.org/officeDocument/2006/relationships/hyperlink" Target="https://drive.google.com/file/d/1gmjw91Oako3CNpXHuxMTEN0ze1l6ztnc/view" TargetMode="External"/><Relationship Id="rId743" Type="http://schemas.openxmlformats.org/officeDocument/2006/relationships/hyperlink" Target="https://drive.google.com/file/d/1HH0ZkkwGJXBt5nqcOPY7K6pO-rB_AbLa/view" TargetMode="External"/><Relationship Id="rId742" Type="http://schemas.openxmlformats.org/officeDocument/2006/relationships/hyperlink" Target="https://drive.google.com/file/d/17MvgN09_NTtAyV7u7SBSZeeNli9-MbzZ/view" TargetMode="External"/><Relationship Id="rId749" Type="http://schemas.openxmlformats.org/officeDocument/2006/relationships/hyperlink" Target="https://drive.google.com/file/d/1nQDaGqE3IKtWDI33bYXi7BM4hjs-pLkG/view" TargetMode="External"/><Relationship Id="rId748" Type="http://schemas.openxmlformats.org/officeDocument/2006/relationships/hyperlink" Target="https://drive.google.com/file/d/1HH0ZkkwGJXBt5nqcOPY7K6pO-rB_AbLa/view" TargetMode="External"/><Relationship Id="rId747" Type="http://schemas.openxmlformats.org/officeDocument/2006/relationships/hyperlink" Target="https://drive.google.com/file/d/17MvgN09_NTtAyV7u7SBSZeeNli9-MbzZ/view" TargetMode="External"/><Relationship Id="rId746" Type="http://schemas.openxmlformats.org/officeDocument/2006/relationships/hyperlink" Target="https://drive.google.com/file/d/19Ha1kcjplvfgCsVEEN7w-2IcjSPOhMkQ/view" TargetMode="External"/><Relationship Id="rId3991" Type="http://schemas.openxmlformats.org/officeDocument/2006/relationships/hyperlink" Target="https://drive.google.com/file/d/1N_RMyJ6zLbv_CJQo4-iRQU0Du6D2cfUz/view" TargetMode="External"/><Relationship Id="rId2660" Type="http://schemas.openxmlformats.org/officeDocument/2006/relationships/hyperlink" Target="https://drive.google.com/file/d/1BuxOeXDATx78ghlXbkKmgVm8_x9-yYpX/view" TargetMode="External"/><Relationship Id="rId3990" Type="http://schemas.openxmlformats.org/officeDocument/2006/relationships/hyperlink" Target="https://drive.google.com/file/d/1ts6GQahlvksofkyojIinvTJZGGOg5m1M/view" TargetMode="External"/><Relationship Id="rId741" Type="http://schemas.openxmlformats.org/officeDocument/2006/relationships/hyperlink" Target="https://drive.google.com/file/d/19sQ8zXZz4gD-hfaH_IMKyDeHRYpWw-UF/view" TargetMode="External"/><Relationship Id="rId1330" Type="http://schemas.openxmlformats.org/officeDocument/2006/relationships/hyperlink" Target="https://drive.google.com/file/d/1v3Xgk9L2ECRPxdwOeKi4DIoX4X7DWUqQ/view" TargetMode="External"/><Relationship Id="rId2661" Type="http://schemas.openxmlformats.org/officeDocument/2006/relationships/hyperlink" Target="https://drive.google.com/file/d/1GYWnoAgTu3gcCS2XLJGjL_rRIxiu5gtt/view" TargetMode="External"/><Relationship Id="rId3993" Type="http://schemas.openxmlformats.org/officeDocument/2006/relationships/hyperlink" Target="https://drive.google.com/file/d/1HFaxDuEpiEAFTT2fRhYr9pnTS5gyy9CB/view" TargetMode="External"/><Relationship Id="rId740" Type="http://schemas.openxmlformats.org/officeDocument/2006/relationships/hyperlink" Target="https://drive.google.com/file/d/1Dq5_bzDUkw-7Yi2dJdG60Q4t4C1FJelL/view" TargetMode="External"/><Relationship Id="rId1331" Type="http://schemas.openxmlformats.org/officeDocument/2006/relationships/hyperlink" Target="https://drive.google.com/file/d/1FaMoWiiReHpnnxkbuISe10aPR4Vze2mQ/view" TargetMode="External"/><Relationship Id="rId2662" Type="http://schemas.openxmlformats.org/officeDocument/2006/relationships/hyperlink" Target="https://drive.google.com/file/d/1yZPrZVO3QRztKDmlbjUPV1knVl8fC6mU/view" TargetMode="External"/><Relationship Id="rId3992" Type="http://schemas.openxmlformats.org/officeDocument/2006/relationships/hyperlink" Target="https://drive.google.com/file/d/1ieMzLdbdfDsFydFz-n1b1etN1S-nzMM-/view" TargetMode="External"/><Relationship Id="rId1332" Type="http://schemas.openxmlformats.org/officeDocument/2006/relationships/hyperlink" Target="https://drive.google.com/file/d/1lQKAG9d-DagJWg1_LTIZV3lJTXjU8LUW/view" TargetMode="External"/><Relationship Id="rId2663" Type="http://schemas.openxmlformats.org/officeDocument/2006/relationships/hyperlink" Target="https://drive.google.com/file/d/1YSaKlM1kJVAeY9PXzBrBGkHKgrJKWhAP/view" TargetMode="External"/><Relationship Id="rId3995" Type="http://schemas.openxmlformats.org/officeDocument/2006/relationships/hyperlink" Target="https://drive.google.com/file/d/1NLYCjn8Fst28pNloQ5Y_blP_lhawwo8m/view" TargetMode="External"/><Relationship Id="rId1333" Type="http://schemas.openxmlformats.org/officeDocument/2006/relationships/hyperlink" Target="https://drive.google.com/file/d/1gzGYkWEXv_cYkQ_HJ4JRsNDaNMA5iD2O/view" TargetMode="External"/><Relationship Id="rId2664" Type="http://schemas.openxmlformats.org/officeDocument/2006/relationships/hyperlink" Target="https://drive.google.com/file/d/15Ib2u_XucO7O9muATbabYtJ52oysiVnf/view" TargetMode="External"/><Relationship Id="rId3994" Type="http://schemas.openxmlformats.org/officeDocument/2006/relationships/hyperlink" Target="https://drive.google.com/file/d/1ts6GQahlvksofkyojIinvTJZGGOg5m1M/view" TargetMode="External"/><Relationship Id="rId1323" Type="http://schemas.openxmlformats.org/officeDocument/2006/relationships/hyperlink" Target="https://drive.google.com/file/d/18Dr6VniNZsSqVmMEhYGYl2ub_jXbck81/view" TargetMode="External"/><Relationship Id="rId2654" Type="http://schemas.openxmlformats.org/officeDocument/2006/relationships/hyperlink" Target="https://drive.google.com/file/d/1GYWnoAgTu3gcCS2XLJGjL_rRIxiu5gtt/view" TargetMode="External"/><Relationship Id="rId3986" Type="http://schemas.openxmlformats.org/officeDocument/2006/relationships/hyperlink" Target="https://drive.google.com/file/d/1ts6GQahlvksofkyojIinvTJZGGOg5m1M/view" TargetMode="External"/><Relationship Id="rId1324" Type="http://schemas.openxmlformats.org/officeDocument/2006/relationships/hyperlink" Target="https://drive.google.com/file/d/1v3Xgk9L2ECRPxdwOeKi4DIoX4X7DWUqQ/view" TargetMode="External"/><Relationship Id="rId2655" Type="http://schemas.openxmlformats.org/officeDocument/2006/relationships/hyperlink" Target="https://drive.google.com/file/d/1yZPrZVO3QRztKDmlbjUPV1knVl8fC6mU/view" TargetMode="External"/><Relationship Id="rId3985" Type="http://schemas.openxmlformats.org/officeDocument/2006/relationships/hyperlink" Target="https://drive.google.com/file/d/1HFaxDuEpiEAFTT2fRhYr9pnTS5gyy9CB/view" TargetMode="External"/><Relationship Id="rId1325" Type="http://schemas.openxmlformats.org/officeDocument/2006/relationships/hyperlink" Target="https://drive.google.com/file/d/1FaMoWiiReHpnnxkbuISe10aPR4Vze2mQ/view" TargetMode="External"/><Relationship Id="rId2656" Type="http://schemas.openxmlformats.org/officeDocument/2006/relationships/hyperlink" Target="https://drive.google.com/file/d/1YSaKlM1kJVAeY9PXzBrBGkHKgrJKWhAP/view" TargetMode="External"/><Relationship Id="rId3988" Type="http://schemas.openxmlformats.org/officeDocument/2006/relationships/hyperlink" Target="https://drive.google.com/file/d/1pFOFg4W8wLf8i891FIG7Kl3V7KIQpFPO/view" TargetMode="External"/><Relationship Id="rId1326" Type="http://schemas.openxmlformats.org/officeDocument/2006/relationships/hyperlink" Target="https://drive.google.com/file/d/1lQKAG9d-DagJWg1_LTIZV3lJTXjU8LUW/view" TargetMode="External"/><Relationship Id="rId2657" Type="http://schemas.openxmlformats.org/officeDocument/2006/relationships/hyperlink" Target="https://drive.google.com/file/d/15Ib2u_XucO7O9muATbabYtJ52oysiVnf/view" TargetMode="External"/><Relationship Id="rId3987" Type="http://schemas.openxmlformats.org/officeDocument/2006/relationships/hyperlink" Target="https://drive.google.com/file/d/1UXNxTS-fS68xVuAsHabmXmWB4-96ZM34/view" TargetMode="External"/><Relationship Id="rId1327" Type="http://schemas.openxmlformats.org/officeDocument/2006/relationships/hyperlink" Target="https://drive.google.com/file/d/1xDrkl4Q9ZnQOT9Tw2zymxQInEFh7L5Dh/view" TargetMode="External"/><Relationship Id="rId2658" Type="http://schemas.openxmlformats.org/officeDocument/2006/relationships/hyperlink" Target="https://drive.google.com/file/d/1K1BBvTsERHXK1lvTlD67x3_uQdSq2ju-/view" TargetMode="External"/><Relationship Id="rId1328" Type="http://schemas.openxmlformats.org/officeDocument/2006/relationships/hyperlink" Target="https://drive.google.com/file/d/1_bpoDCNer_h7HuwMA-X_CG6KTm3Hj3iz/view" TargetMode="External"/><Relationship Id="rId2659" Type="http://schemas.openxmlformats.org/officeDocument/2006/relationships/hyperlink" Target="https://drive.google.com/file/d/12QX47b--SUxK1CURRxS43mf15fNW_00-/view" TargetMode="External"/><Relationship Id="rId3989" Type="http://schemas.openxmlformats.org/officeDocument/2006/relationships/hyperlink" Target="https://drive.google.com/file/d/1HFaxDuEpiEAFTT2fRhYr9pnTS5gyy9CB/view" TargetMode="External"/><Relationship Id="rId1329" Type="http://schemas.openxmlformats.org/officeDocument/2006/relationships/hyperlink" Target="https://drive.google.com/file/d/18Dr6VniNZsSqVmMEhYGYl2ub_jXbck81/view" TargetMode="External"/><Relationship Id="rId739" Type="http://schemas.openxmlformats.org/officeDocument/2006/relationships/hyperlink" Target="https://drive.google.com/file/d/18NBOWxJB5zBLJwvCg_l4FTOXYZb06Hcm/view" TargetMode="External"/><Relationship Id="rId734" Type="http://schemas.openxmlformats.org/officeDocument/2006/relationships/hyperlink" Target="https://drive.google.com/file/d/1la7x-EMdIWci96oVK9rzADkudxQF6t2V/view" TargetMode="External"/><Relationship Id="rId733" Type="http://schemas.openxmlformats.org/officeDocument/2006/relationships/hyperlink" Target="https://drive.google.com/file/d/19sQ8zXZz4gD-hfaH_IMKyDeHRYpWw-UF/view" TargetMode="External"/><Relationship Id="rId732" Type="http://schemas.openxmlformats.org/officeDocument/2006/relationships/hyperlink" Target="https://drive.google.com/file/d/1Dq5_bzDUkw-7Yi2dJdG60Q4t4C1FJelL/view" TargetMode="External"/><Relationship Id="rId731" Type="http://schemas.openxmlformats.org/officeDocument/2006/relationships/hyperlink" Target="https://drive.google.com/file/d/1gmjw91Oako3CNpXHuxMTEN0ze1l6ztnc/view" TargetMode="External"/><Relationship Id="rId738" Type="http://schemas.openxmlformats.org/officeDocument/2006/relationships/hyperlink" Target="https://drive.google.com/file/d/1ains3XBCnsYlOIgOsE9_32LQDZ_FjHp6/view" TargetMode="External"/><Relationship Id="rId737" Type="http://schemas.openxmlformats.org/officeDocument/2006/relationships/hyperlink" Target="https://drive.google.com/file/d/19sQ8zXZz4gD-hfaH_IMKyDeHRYpWw-UF/view" TargetMode="External"/><Relationship Id="rId736" Type="http://schemas.openxmlformats.org/officeDocument/2006/relationships/hyperlink" Target="https://drive.google.com/file/d/1Dq5_bzDUkw-7Yi2dJdG60Q4t4C1FJelL/view" TargetMode="External"/><Relationship Id="rId735" Type="http://schemas.openxmlformats.org/officeDocument/2006/relationships/hyperlink" Target="https://drive.google.com/file/d/10vH4vKLCzbu9B5ob9GS0e2TLCRiUmT9B/view" TargetMode="External"/><Relationship Id="rId3980" Type="http://schemas.openxmlformats.org/officeDocument/2006/relationships/hyperlink" Target="https://drive.google.com/file/d/1gY8EB7_iYgOj1FTIUFWo3rx0KYwj7OcF/view" TargetMode="External"/><Relationship Id="rId730" Type="http://schemas.openxmlformats.org/officeDocument/2006/relationships/hyperlink" Target="https://drive.google.com/file/d/10vH4vKLCzbu9B5ob9GS0e2TLCRiUmT9B/view" TargetMode="External"/><Relationship Id="rId2650" Type="http://schemas.openxmlformats.org/officeDocument/2006/relationships/hyperlink" Target="https://drive.google.com/file/d/15Ib2u_XucO7O9muATbabYtJ52oysiVnf/view" TargetMode="External"/><Relationship Id="rId3982" Type="http://schemas.openxmlformats.org/officeDocument/2006/relationships/hyperlink" Target="https://drive.google.com/file/d/1ts6GQahlvksofkyojIinvTJZGGOg5m1M/view" TargetMode="External"/><Relationship Id="rId1320" Type="http://schemas.openxmlformats.org/officeDocument/2006/relationships/hyperlink" Target="https://drive.google.com/file/d/1lQKAG9d-DagJWg1_LTIZV3lJTXjU8LUW/view" TargetMode="External"/><Relationship Id="rId2651" Type="http://schemas.openxmlformats.org/officeDocument/2006/relationships/hyperlink" Target="https://drive.google.com/file/d/1K1BBvTsERHXK1lvTlD67x3_uQdSq2ju-/view" TargetMode="External"/><Relationship Id="rId3981" Type="http://schemas.openxmlformats.org/officeDocument/2006/relationships/hyperlink" Target="https://drive.google.com/file/d/1HFaxDuEpiEAFTT2fRhYr9pnTS5gyy9CB/view" TargetMode="External"/><Relationship Id="rId1321" Type="http://schemas.openxmlformats.org/officeDocument/2006/relationships/hyperlink" Target="https://drive.google.com/file/d/1rzCbHQEAE9DzZ8VmgOKdOlQrqqP78Ge0/view" TargetMode="External"/><Relationship Id="rId2652" Type="http://schemas.openxmlformats.org/officeDocument/2006/relationships/hyperlink" Target="https://drive.google.com/file/d/1dBv0ghTZFgraDnAQ7orlH0SaXnZA8xdA/view" TargetMode="External"/><Relationship Id="rId3984" Type="http://schemas.openxmlformats.org/officeDocument/2006/relationships/hyperlink" Target="https://drive.google.com/file/d/14bwMu_pa4clCZ8qzT-sCU2WCqkRwNcmk/view" TargetMode="External"/><Relationship Id="rId1322" Type="http://schemas.openxmlformats.org/officeDocument/2006/relationships/hyperlink" Target="https://drive.google.com/file/d/1WDGqDTgJeLTAdjrnY5wAO6734hszKH1n/view" TargetMode="External"/><Relationship Id="rId2653" Type="http://schemas.openxmlformats.org/officeDocument/2006/relationships/hyperlink" Target="https://drive.google.com/file/d/1EED1OyCHaeP0O-2z9uHg27_tPAR3O0Gi/view" TargetMode="External"/><Relationship Id="rId3983" Type="http://schemas.openxmlformats.org/officeDocument/2006/relationships/hyperlink" Target="https://drive.google.com/file/d/1FWlcUiDOP0B8-7K_S1ZJklVKbhHBb6by/view" TargetMode="External"/><Relationship Id="rId1356" Type="http://schemas.openxmlformats.org/officeDocument/2006/relationships/hyperlink" Target="https://drive.google.com/file/d/1JFVBBTS2kOllhhL2oEGJlRYsmCmfhls6/view" TargetMode="External"/><Relationship Id="rId2687" Type="http://schemas.openxmlformats.org/officeDocument/2006/relationships/hyperlink" Target="https://drive.google.com/file/d/1rwH4nZC00iF9qQzqG5OS7eW4xUgvgVnF/view" TargetMode="External"/><Relationship Id="rId1357" Type="http://schemas.openxmlformats.org/officeDocument/2006/relationships/hyperlink" Target="https://drive.google.com/file/d/1PvbSE73X45EIbPWKN5VcBYwVC3GaaBhw/view" TargetMode="External"/><Relationship Id="rId2688" Type="http://schemas.openxmlformats.org/officeDocument/2006/relationships/hyperlink" Target="https://drive.google.com/file/d/1XnKnIOFEWhr_tpZWeJlhNOnZG8sp1pyM/view" TargetMode="External"/><Relationship Id="rId1358" Type="http://schemas.openxmlformats.org/officeDocument/2006/relationships/hyperlink" Target="https://drive.google.com/file/d/1GYWnoAgTu3gcCS2XLJGjL_rRIxiu5gtt/view" TargetMode="External"/><Relationship Id="rId2689" Type="http://schemas.openxmlformats.org/officeDocument/2006/relationships/hyperlink" Target="https://drive.google.com/file/d/1WFXOzC4ZVaugRVkSlNHuNWt8tXKtX6FM/view" TargetMode="External"/><Relationship Id="rId1359" Type="http://schemas.openxmlformats.org/officeDocument/2006/relationships/hyperlink" Target="https://drive.google.com/file/d/1aV3NgbT0ms2c6I6poVtG63IKTBcm6y1h/view" TargetMode="External"/><Relationship Id="rId767" Type="http://schemas.openxmlformats.org/officeDocument/2006/relationships/hyperlink" Target="https://drive.google.com/file/d/1O9frSzGkbejDy7RXMGLojGxibKW68Q2O/view" TargetMode="External"/><Relationship Id="rId766" Type="http://schemas.openxmlformats.org/officeDocument/2006/relationships/hyperlink" Target="https://drive.google.com/file/d/1UZPHiyhSPvV9V8YwxFVIfGeFoCIK7ewU/view" TargetMode="External"/><Relationship Id="rId765" Type="http://schemas.openxmlformats.org/officeDocument/2006/relationships/hyperlink" Target="https://drive.google.com/file/d/1gnhF9Njk6wLIVk90aXbo6droJDql4MWl/view" TargetMode="External"/><Relationship Id="rId764" Type="http://schemas.openxmlformats.org/officeDocument/2006/relationships/hyperlink" Target="https://drive.google.com/file/d/1q1N31_GHjreNxkCZn4PLgoW6Kig-rNW-/view" TargetMode="External"/><Relationship Id="rId769" Type="http://schemas.openxmlformats.org/officeDocument/2006/relationships/hyperlink" Target="https://drive.google.com/file/d/1tMwbHbELOzG-x6hzJGS_W9CAYJQNlIUI/view" TargetMode="External"/><Relationship Id="rId768" Type="http://schemas.openxmlformats.org/officeDocument/2006/relationships/hyperlink" Target="https://drive.google.com/file/d/1QVMSQEsFjRRPIhIxrSoazBt0nRVgo0so/view" TargetMode="External"/><Relationship Id="rId2680" Type="http://schemas.openxmlformats.org/officeDocument/2006/relationships/hyperlink" Target="https://drive.google.com/file/d/1Y63WKXevjtoOmF0zUylup4Yo8LvyBziB/view" TargetMode="External"/><Relationship Id="rId1350" Type="http://schemas.openxmlformats.org/officeDocument/2006/relationships/hyperlink" Target="https://drive.google.com/file/d/1QSqBLSrEtSEUBNERLERDqfZltEQUx45O/view" TargetMode="External"/><Relationship Id="rId2681" Type="http://schemas.openxmlformats.org/officeDocument/2006/relationships/hyperlink" Target="https://drive.google.com/file/d/18gCUWEZLZfEAQ3bniQghtkFaiWw6IRRt/view" TargetMode="External"/><Relationship Id="rId1351" Type="http://schemas.openxmlformats.org/officeDocument/2006/relationships/hyperlink" Target="https://drive.google.com/file/d/1pwFJrnNOM_DrD643JZvptOg2Lil3KRJz/view" TargetMode="External"/><Relationship Id="rId2682" Type="http://schemas.openxmlformats.org/officeDocument/2006/relationships/hyperlink" Target="https://drive.google.com/file/d/1WFXOzC4ZVaugRVkSlNHuNWt8tXKtX6FM/view" TargetMode="External"/><Relationship Id="rId763" Type="http://schemas.openxmlformats.org/officeDocument/2006/relationships/hyperlink" Target="https://drive.google.com/file/d/1O9frSzGkbejDy7RXMGLojGxibKW68Q2O/view" TargetMode="External"/><Relationship Id="rId1352" Type="http://schemas.openxmlformats.org/officeDocument/2006/relationships/hyperlink" Target="https://drive.google.com/file/d/1W2GGX8saK8wFkEM3rWdoFKOYvx2KWyL-/view" TargetMode="External"/><Relationship Id="rId2683" Type="http://schemas.openxmlformats.org/officeDocument/2006/relationships/hyperlink" Target="https://drive.google.com/file/d/1bUbXz3j_rX1k9VnUNEG37714cPv1ejwj/view" TargetMode="External"/><Relationship Id="rId762" Type="http://schemas.openxmlformats.org/officeDocument/2006/relationships/hyperlink" Target="https://drive.google.com/file/d/1UZPHiyhSPvV9V8YwxFVIfGeFoCIK7ewU/view" TargetMode="External"/><Relationship Id="rId1353" Type="http://schemas.openxmlformats.org/officeDocument/2006/relationships/hyperlink" Target="https://drive.google.com/file/d/1JFVBBTS2kOllhhL2oEGJlRYsmCmfhls6/view" TargetMode="External"/><Relationship Id="rId2684" Type="http://schemas.openxmlformats.org/officeDocument/2006/relationships/hyperlink" Target="https://drive.google.com/file/d/1tKxuPL_UVIpbe-HF3jv4rkNfHMqdHZNd/view" TargetMode="External"/><Relationship Id="rId761" Type="http://schemas.openxmlformats.org/officeDocument/2006/relationships/hyperlink" Target="https://drive.google.com/file/d/1oKtjkPLd7x6rXv9wGUOwD3pG3DogDu0Z/view" TargetMode="External"/><Relationship Id="rId1354" Type="http://schemas.openxmlformats.org/officeDocument/2006/relationships/hyperlink" Target="https://drive.google.com/file/d/1PvbSE73X45EIbPWKN5VcBYwVC3GaaBhw/view" TargetMode="External"/><Relationship Id="rId2685" Type="http://schemas.openxmlformats.org/officeDocument/2006/relationships/hyperlink" Target="https://drive.google.com/file/d/1QmExCnbuXY4P6TT3WmPvIC9lsW3AWYDE/view" TargetMode="External"/><Relationship Id="rId760" Type="http://schemas.openxmlformats.org/officeDocument/2006/relationships/hyperlink" Target="https://drive.google.com/file/d/1u1DkUvNNyL_rJMpDBHNU-YfC2dw1NgA6/view" TargetMode="External"/><Relationship Id="rId1355" Type="http://schemas.openxmlformats.org/officeDocument/2006/relationships/hyperlink" Target="https://drive.google.com/file/d/1GYWnoAgTu3gcCS2XLJGjL_rRIxiu5gtt/view" TargetMode="External"/><Relationship Id="rId2686" Type="http://schemas.openxmlformats.org/officeDocument/2006/relationships/hyperlink" Target="https://drive.google.com/file/d/1mZ16Z2XeVjA_hjr9HXGZlw0qdtVunKPI/view" TargetMode="External"/><Relationship Id="rId1345" Type="http://schemas.openxmlformats.org/officeDocument/2006/relationships/hyperlink" Target="https://drive.google.com/file/d/1zPNe_tSa7enEuViclEZQ9oAeZgi8fOsq/view" TargetMode="External"/><Relationship Id="rId2676" Type="http://schemas.openxmlformats.org/officeDocument/2006/relationships/hyperlink" Target="https://drive.google.com/file/d/1bUbXz3j_rX1k9VnUNEG37714cPv1ejwj/view" TargetMode="External"/><Relationship Id="rId1346" Type="http://schemas.openxmlformats.org/officeDocument/2006/relationships/hyperlink" Target="https://drive.google.com/file/d/1QSqBLSrEtSEUBNERLERDqfZltEQUx45O/view" TargetMode="External"/><Relationship Id="rId2677" Type="http://schemas.openxmlformats.org/officeDocument/2006/relationships/hyperlink" Target="https://drive.google.com/file/d/1tKxuPL_UVIpbe-HF3jv4rkNfHMqdHZNd/view" TargetMode="External"/><Relationship Id="rId1347" Type="http://schemas.openxmlformats.org/officeDocument/2006/relationships/hyperlink" Target="https://drive.google.com/file/d/1V9oP2FZD5QqjUqaiw4ODNydV_5alGInc/view" TargetMode="External"/><Relationship Id="rId2678" Type="http://schemas.openxmlformats.org/officeDocument/2006/relationships/hyperlink" Target="https://drive.google.com/file/d/1QmExCnbuXY4P6TT3WmPvIC9lsW3AWYDE/view" TargetMode="External"/><Relationship Id="rId1348" Type="http://schemas.openxmlformats.org/officeDocument/2006/relationships/hyperlink" Target="https://drive.google.com/file/d/1QSqBLSrEtSEUBNERLERDqfZltEQUx45O/view" TargetMode="External"/><Relationship Id="rId2679" Type="http://schemas.openxmlformats.org/officeDocument/2006/relationships/hyperlink" Target="https://drive.google.com/file/d/1mZ16Z2XeVjA_hjr9HXGZlw0qdtVunKPI/view" TargetMode="External"/><Relationship Id="rId1349" Type="http://schemas.openxmlformats.org/officeDocument/2006/relationships/hyperlink" Target="https://drive.google.com/file/d/1GXjjiHEN_9YgUcasHN9F3ltR0DpF_00p/view" TargetMode="External"/><Relationship Id="rId756" Type="http://schemas.openxmlformats.org/officeDocument/2006/relationships/hyperlink" Target="https://drive.google.com/file/d/1oKtjkPLd7x6rXv9wGUOwD3pG3DogDu0Z/view" TargetMode="External"/><Relationship Id="rId755" Type="http://schemas.openxmlformats.org/officeDocument/2006/relationships/hyperlink" Target="https://drive.google.com/file/d/1u1DkUvNNyL_rJMpDBHNU-YfC2dw1NgA6/view" TargetMode="External"/><Relationship Id="rId754" Type="http://schemas.openxmlformats.org/officeDocument/2006/relationships/hyperlink" Target="https://drive.google.com/file/d/19Ha1kcjplvfgCsVEEN7w-2IcjSPOhMkQ/view" TargetMode="External"/><Relationship Id="rId753" Type="http://schemas.openxmlformats.org/officeDocument/2006/relationships/hyperlink" Target="https://drive.google.com/file/d/1nQDaGqE3IKtWDI33bYXi7BM4hjs-pLkG/view" TargetMode="External"/><Relationship Id="rId759" Type="http://schemas.openxmlformats.org/officeDocument/2006/relationships/hyperlink" Target="https://drive.google.com/file/d/1O9frSzGkbejDy7RXMGLojGxibKW68Q2O/view" TargetMode="External"/><Relationship Id="rId758" Type="http://schemas.openxmlformats.org/officeDocument/2006/relationships/hyperlink" Target="https://drive.google.com/file/d/1UZPHiyhSPvV9V8YwxFVIfGeFoCIK7ewU/view" TargetMode="External"/><Relationship Id="rId757" Type="http://schemas.openxmlformats.org/officeDocument/2006/relationships/hyperlink" Target="https://drive.google.com/file/d/1gmjw91Oako3CNpXHuxMTEN0ze1l6ztnc/view" TargetMode="External"/><Relationship Id="rId2670" Type="http://schemas.openxmlformats.org/officeDocument/2006/relationships/hyperlink" Target="https://drive.google.com/file/d/1tKxuPL_UVIpbe-HF3jv4rkNfHMqdHZNd/view" TargetMode="External"/><Relationship Id="rId1340" Type="http://schemas.openxmlformats.org/officeDocument/2006/relationships/hyperlink" Target="https://drive.google.com/file/d/1Xg2csUAtWKYDlRxjo2QlzX6yK9EAmrET/view" TargetMode="External"/><Relationship Id="rId2671" Type="http://schemas.openxmlformats.org/officeDocument/2006/relationships/hyperlink" Target="https://drive.google.com/file/d/1QmExCnbuXY4P6TT3WmPvIC9lsW3AWYDE/view" TargetMode="External"/><Relationship Id="rId752" Type="http://schemas.openxmlformats.org/officeDocument/2006/relationships/hyperlink" Target="https://drive.google.com/file/d/1OZiqr2gknp4So-68M7bk5s30AtxFFHpM/view" TargetMode="External"/><Relationship Id="rId1341" Type="http://schemas.openxmlformats.org/officeDocument/2006/relationships/hyperlink" Target="https://drive.google.com/file/d/1Efs7mk1ac3Q1QVnQkBjuBfRMwhYI9wzR/view" TargetMode="External"/><Relationship Id="rId2672" Type="http://schemas.openxmlformats.org/officeDocument/2006/relationships/hyperlink" Target="https://drive.google.com/file/d/1mZ16Z2XeVjA_hjr9HXGZlw0qdtVunKPI/view" TargetMode="External"/><Relationship Id="rId751" Type="http://schemas.openxmlformats.org/officeDocument/2006/relationships/hyperlink" Target="https://drive.google.com/file/d/1feoz6TflckrSvgbBzgfRvyaTMD_eCmGD/view" TargetMode="External"/><Relationship Id="rId1342" Type="http://schemas.openxmlformats.org/officeDocument/2006/relationships/hyperlink" Target="https://drive.google.com/file/d/1Xg2csUAtWKYDlRxjo2QlzX6yK9EAmrET/view" TargetMode="External"/><Relationship Id="rId2673" Type="http://schemas.openxmlformats.org/officeDocument/2006/relationships/hyperlink" Target="https://drive.google.com/file/d/1COL40ckMwv5W5NWU00gaRpIvf2JB4PuZ/view" TargetMode="External"/><Relationship Id="rId750" Type="http://schemas.openxmlformats.org/officeDocument/2006/relationships/hyperlink" Target="https://drive.google.com/file/d/19Ha1kcjplvfgCsVEEN7w-2IcjSPOhMkQ/view" TargetMode="External"/><Relationship Id="rId1343" Type="http://schemas.openxmlformats.org/officeDocument/2006/relationships/hyperlink" Target="https://drive.google.com/file/d/1zPNe_tSa7enEuViclEZQ9oAeZgi8fOsq/view" TargetMode="External"/><Relationship Id="rId2674" Type="http://schemas.openxmlformats.org/officeDocument/2006/relationships/hyperlink" Target="https://drive.google.com/file/d/1rzZAHU3yEMKfuGdERxrmxATPaVXyelWy/view" TargetMode="External"/><Relationship Id="rId1344" Type="http://schemas.openxmlformats.org/officeDocument/2006/relationships/hyperlink" Target="https://drive.google.com/file/d/1QSqBLSrEtSEUBNERLERDqfZltEQUx45O/view" TargetMode="External"/><Relationship Id="rId2675" Type="http://schemas.openxmlformats.org/officeDocument/2006/relationships/hyperlink" Target="https://drive.google.com/file/d/1WFXOzC4ZVaugRVkSlNHuNWt8tXKtX6FM/view" TargetMode="External"/><Relationship Id="rId2621" Type="http://schemas.openxmlformats.org/officeDocument/2006/relationships/hyperlink" Target="https://drive.google.com/file/d/1JJfpwaMGQWpDHsKLXvWRlOLRVsVC0Nsv/view" TargetMode="External"/><Relationship Id="rId3953" Type="http://schemas.openxmlformats.org/officeDocument/2006/relationships/hyperlink" Target="https://drive.google.com/file/d/1YCk3Ymy4U4frMzQZuarrNY8LHOEBF1Ch/view" TargetMode="External"/><Relationship Id="rId2622" Type="http://schemas.openxmlformats.org/officeDocument/2006/relationships/hyperlink" Target="https://drive.google.com/file/d/1AqD2FOq-uK8_i7d1DTGJd3CeYSwQxMrz/view" TargetMode="External"/><Relationship Id="rId3952" Type="http://schemas.openxmlformats.org/officeDocument/2006/relationships/hyperlink" Target="https://drive.google.com/file/d/1nlRBqo5ftRjDVPKaqh8pxpNBFyRSEb7H/view" TargetMode="External"/><Relationship Id="rId2623" Type="http://schemas.openxmlformats.org/officeDocument/2006/relationships/hyperlink" Target="https://drive.google.com/file/d/1EJBoaHfWcawd9kWizCdmOdSLT7vCp--J/view" TargetMode="External"/><Relationship Id="rId3955" Type="http://schemas.openxmlformats.org/officeDocument/2006/relationships/hyperlink" Target="https://drive.google.com/file/d/1ekCgdMnhI7-RdhE7MoFko0cZvwvi7oS9/view" TargetMode="External"/><Relationship Id="rId2624" Type="http://schemas.openxmlformats.org/officeDocument/2006/relationships/hyperlink" Target="https://drive.google.com/file/d/1eZYsAGd5mONgRAQWllnie6GQ25EhXXP1/view" TargetMode="External"/><Relationship Id="rId3954" Type="http://schemas.openxmlformats.org/officeDocument/2006/relationships/hyperlink" Target="https://drive.google.com/file/d/13UZA2BNsAr0jxGjL3VRvPtbBghmWH43j/view" TargetMode="External"/><Relationship Id="rId2625" Type="http://schemas.openxmlformats.org/officeDocument/2006/relationships/hyperlink" Target="https://drive.google.com/file/d/1godQCLHS1-_s4XEPR3bEWgb_NnasE0Tj/view" TargetMode="External"/><Relationship Id="rId3957" Type="http://schemas.openxmlformats.org/officeDocument/2006/relationships/hyperlink" Target="https://drive.google.com/file/d/1dgf2Pu70yIlvaDOx85xvuQL_c-gkAIv-/view" TargetMode="External"/><Relationship Id="rId2626" Type="http://schemas.openxmlformats.org/officeDocument/2006/relationships/hyperlink" Target="https://drive.google.com/file/d/1GYWnoAgTu3gcCS2XLJGjL_rRIxiu5gtt/view" TargetMode="External"/><Relationship Id="rId3956" Type="http://schemas.openxmlformats.org/officeDocument/2006/relationships/hyperlink" Target="https://drive.google.com/file/d/1QldnXpk2q9TnHzBrOoZUBAyxxUIEvlH6/view" TargetMode="External"/><Relationship Id="rId2627" Type="http://schemas.openxmlformats.org/officeDocument/2006/relationships/hyperlink" Target="https://drive.google.com/file/d/19vx0kKL30yc7B6HJhq_TFw7D-UEnXsyz/view" TargetMode="External"/><Relationship Id="rId3959" Type="http://schemas.openxmlformats.org/officeDocument/2006/relationships/hyperlink" Target="https://drive.google.com/file/d/1r8vRSUIYLI4rLOrWjk3RPuF8cdPmr-qR/view" TargetMode="External"/><Relationship Id="rId2628" Type="http://schemas.openxmlformats.org/officeDocument/2006/relationships/hyperlink" Target="https://drive.google.com/file/d/1RbNWjzwbBcGYMWaRvOSaMHLvNLZ-pJIz/view" TargetMode="External"/><Relationship Id="rId3958" Type="http://schemas.openxmlformats.org/officeDocument/2006/relationships/hyperlink" Target="https://drive.google.com/file/d/1Eip_scOYy0MznNlOXcs6uHGhUjv2o9Fq/view" TargetMode="External"/><Relationship Id="rId709" Type="http://schemas.openxmlformats.org/officeDocument/2006/relationships/hyperlink" Target="https://drive.google.com/file/d/11QZoeG_txS4kDd_WnBeaE8CzR2_PKDqZ/view" TargetMode="External"/><Relationship Id="rId2629" Type="http://schemas.openxmlformats.org/officeDocument/2006/relationships/hyperlink" Target="https://drive.google.com/file/d/1LsOtPnmBdbjwkhxV_UHJWJUB8LAicE2Y/view" TargetMode="External"/><Relationship Id="rId708" Type="http://schemas.openxmlformats.org/officeDocument/2006/relationships/hyperlink" Target="https://drive.google.com/file/d/1h2kOdVQmgpOY88yHDAb_SDAyzZUCbshf/view" TargetMode="External"/><Relationship Id="rId707" Type="http://schemas.openxmlformats.org/officeDocument/2006/relationships/hyperlink" Target="https://drive.google.com/file/d/1V-yTH7IqmRM1rTOnoHLY4Zc3M9SZeK5O/view" TargetMode="External"/><Relationship Id="rId706" Type="http://schemas.openxmlformats.org/officeDocument/2006/relationships/hyperlink" Target="https://drive.google.com/file/d/146C6PXh6vb0Odfbl-exDFW3JD9YEJrXk/view" TargetMode="External"/><Relationship Id="rId701" Type="http://schemas.openxmlformats.org/officeDocument/2006/relationships/hyperlink" Target="https://drive.google.com/file/d/1gmjw91Oako3CNpXHuxMTEN0ze1l6ztnc/view" TargetMode="External"/><Relationship Id="rId700" Type="http://schemas.openxmlformats.org/officeDocument/2006/relationships/hyperlink" Target="https://drive.google.com/file/d/1To5hkvrBkb0gUt1vZLXAw3uvSdCyA5Ve/view" TargetMode="External"/><Relationship Id="rId705" Type="http://schemas.openxmlformats.org/officeDocument/2006/relationships/hyperlink" Target="https://drive.google.com/file/d/1To5hkvrBkb0gUt1vZLXAw3uvSdCyA5Ve/view" TargetMode="External"/><Relationship Id="rId704" Type="http://schemas.openxmlformats.org/officeDocument/2006/relationships/hyperlink" Target="https://drive.google.com/file/d/1o00jlcYPFvyv1Glai58F8DFJ9Ebvn9AR/view" TargetMode="External"/><Relationship Id="rId703" Type="http://schemas.openxmlformats.org/officeDocument/2006/relationships/hyperlink" Target="https://drive.google.com/file/d/1V-yTH7IqmRM1rTOnoHLY4Zc3M9SZeK5O/view" TargetMode="External"/><Relationship Id="rId702" Type="http://schemas.openxmlformats.org/officeDocument/2006/relationships/hyperlink" Target="https://drive.google.com/file/d/146C6PXh6vb0Odfbl-exDFW3JD9YEJrXk/view" TargetMode="External"/><Relationship Id="rId3951" Type="http://schemas.openxmlformats.org/officeDocument/2006/relationships/hyperlink" Target="https://drive.google.com/file/d/170JSwtGbRtVGou5LyLe3T-mAmryuh0E6/view" TargetMode="External"/><Relationship Id="rId2620" Type="http://schemas.openxmlformats.org/officeDocument/2006/relationships/hyperlink" Target="https://drive.google.com/file/d/1QU-1I6a6nuX6CTMajKfk_6yNak7bj5QQ/view" TargetMode="External"/><Relationship Id="rId3950" Type="http://schemas.openxmlformats.org/officeDocument/2006/relationships/hyperlink" Target="https://drive.google.com/file/d/1i8bo5W3W0z47KlPqiiAiJu3yoil6HyHe/view" TargetMode="External"/><Relationship Id="rId2610" Type="http://schemas.openxmlformats.org/officeDocument/2006/relationships/hyperlink" Target="https://drive.google.com/file/d/15FKMRfARn5-NclchZsFC3Y0awyQk8rHI/view" TargetMode="External"/><Relationship Id="rId3942" Type="http://schemas.openxmlformats.org/officeDocument/2006/relationships/hyperlink" Target="https://drive.google.com/file/d/17yyz9QguWxV1omfPzMRFVD7DN3Y1Pp3U/view" TargetMode="External"/><Relationship Id="rId2611" Type="http://schemas.openxmlformats.org/officeDocument/2006/relationships/hyperlink" Target="https://drive.google.com/file/d/1OJ31F90oDY8zgv1fJTukfac0sC1gVhu_/view" TargetMode="External"/><Relationship Id="rId3941" Type="http://schemas.openxmlformats.org/officeDocument/2006/relationships/hyperlink" Target="https://drive.google.com/file/d/1exZgOodTEPkEFgCXhqh-D0ByblJ7hOjV/view" TargetMode="External"/><Relationship Id="rId2612" Type="http://schemas.openxmlformats.org/officeDocument/2006/relationships/hyperlink" Target="https://drive.google.com/file/d/1npkt0wO2jdsMHlMed-RpkDDZc8kAUgT0/view" TargetMode="External"/><Relationship Id="rId3944" Type="http://schemas.openxmlformats.org/officeDocument/2006/relationships/hyperlink" Target="https://drive.google.com/file/d/170JSwtGbRtVGou5LyLe3T-mAmryuh0E6/view" TargetMode="External"/><Relationship Id="rId2613" Type="http://schemas.openxmlformats.org/officeDocument/2006/relationships/hyperlink" Target="https://drive.google.com/file/d/1QU-1I6a6nuX6CTMajKfk_6yNak7bj5QQ/view" TargetMode="External"/><Relationship Id="rId3943" Type="http://schemas.openxmlformats.org/officeDocument/2006/relationships/hyperlink" Target="https://drive.google.com/file/d/1i8bo5W3W0z47KlPqiiAiJu3yoil6HyHe/view" TargetMode="External"/><Relationship Id="rId2614" Type="http://schemas.openxmlformats.org/officeDocument/2006/relationships/hyperlink" Target="https://drive.google.com/file/d/1JJfpwaMGQWpDHsKLXvWRlOLRVsVC0Nsv/view" TargetMode="External"/><Relationship Id="rId3946" Type="http://schemas.openxmlformats.org/officeDocument/2006/relationships/hyperlink" Target="https://drive.google.com/file/d/1YCk3Ymy4U4frMzQZuarrNY8LHOEBF1Ch/view" TargetMode="External"/><Relationship Id="rId2615" Type="http://schemas.openxmlformats.org/officeDocument/2006/relationships/hyperlink" Target="https://drive.google.com/file/d/1AqD2FOq-uK8_i7d1DTGJd3CeYSwQxMrz/view" TargetMode="External"/><Relationship Id="rId3945" Type="http://schemas.openxmlformats.org/officeDocument/2006/relationships/hyperlink" Target="https://drive.google.com/file/d/1nlRBqo5ftRjDVPKaqh8pxpNBFyRSEb7H/view" TargetMode="External"/><Relationship Id="rId2616" Type="http://schemas.openxmlformats.org/officeDocument/2006/relationships/hyperlink" Target="https://drive.google.com/file/d/1EJBoaHfWcawd9kWizCdmOdSLT7vCp--J/view" TargetMode="External"/><Relationship Id="rId3948" Type="http://schemas.openxmlformats.org/officeDocument/2006/relationships/hyperlink" Target="https://drive.google.com/file/d/1kvMcPO-tB9co4MQGznMzx35FQsYLQoFv/view" TargetMode="External"/><Relationship Id="rId2617" Type="http://schemas.openxmlformats.org/officeDocument/2006/relationships/hyperlink" Target="https://drive.google.com/file/d/12CPgse26Uu-yXee_eCpjL14T_ww1BmkR/view" TargetMode="External"/><Relationship Id="rId3947" Type="http://schemas.openxmlformats.org/officeDocument/2006/relationships/hyperlink" Target="https://drive.google.com/file/d/13UZA2BNsAr0jxGjL3VRvPtbBghmWH43j/view" TargetMode="External"/><Relationship Id="rId2618" Type="http://schemas.openxmlformats.org/officeDocument/2006/relationships/hyperlink" Target="https://drive.google.com/file/d/1OliKkyDVfteNRYHEvPeT1r9cP8Q_qeLb/view" TargetMode="External"/><Relationship Id="rId2619" Type="http://schemas.openxmlformats.org/officeDocument/2006/relationships/hyperlink" Target="https://drive.google.com/file/d/1npkt0wO2jdsMHlMed-RpkDDZc8kAUgT0/view" TargetMode="External"/><Relationship Id="rId3949" Type="http://schemas.openxmlformats.org/officeDocument/2006/relationships/hyperlink" Target="https://drive.google.com/file/d/17qdbYWfBtmkHp2MClQcnBmmL8zybxe2K/view" TargetMode="External"/><Relationship Id="rId3940" Type="http://schemas.openxmlformats.org/officeDocument/2006/relationships/hyperlink" Target="https://drive.google.com/file/d/13UZA2BNsAr0jxGjL3VRvPtbBghmWH43j/view" TargetMode="External"/><Relationship Id="rId1312" Type="http://schemas.openxmlformats.org/officeDocument/2006/relationships/hyperlink" Target="https://drive.google.com/file/d/1DyQVUAisw_4c-lM1TKytn9_i-tBO2vbA/view" TargetMode="External"/><Relationship Id="rId2643" Type="http://schemas.openxmlformats.org/officeDocument/2006/relationships/hyperlink" Target="https://drive.google.com/file/d/1LsOtPnmBdbjwkhxV_UHJWJUB8LAicE2Y/view" TargetMode="External"/><Relationship Id="rId3975" Type="http://schemas.openxmlformats.org/officeDocument/2006/relationships/hyperlink" Target="https://drive.google.com/file/d/1VrCYTWVM9nnetWaOSV-AYxM15LekUE7n/view" TargetMode="External"/><Relationship Id="rId1313" Type="http://schemas.openxmlformats.org/officeDocument/2006/relationships/hyperlink" Target="https://drive.google.com/file/d/12v97axd1ODIAicCHzpuHpdYn7kmgcxA_/view" TargetMode="External"/><Relationship Id="rId2644" Type="http://schemas.openxmlformats.org/officeDocument/2006/relationships/hyperlink" Target="https://drive.google.com/file/d/1lZVs_rYbJROFTNbVNBbtYuconwJaJQr9/view" TargetMode="External"/><Relationship Id="rId3974" Type="http://schemas.openxmlformats.org/officeDocument/2006/relationships/hyperlink" Target="https://drive.google.com/file/d/1ts6GQahlvksofkyojIinvTJZGGOg5m1M/view" TargetMode="External"/><Relationship Id="rId1314" Type="http://schemas.openxmlformats.org/officeDocument/2006/relationships/hyperlink" Target="https://drive.google.com/file/d/1rzCbHQEAE9DzZ8VmgOKdOlQrqqP78Ge0/view" TargetMode="External"/><Relationship Id="rId2645" Type="http://schemas.openxmlformats.org/officeDocument/2006/relationships/hyperlink" Target="https://drive.google.com/file/d/1dBv0ghTZFgraDnAQ7orlH0SaXnZA8xdA/view" TargetMode="External"/><Relationship Id="rId3977" Type="http://schemas.openxmlformats.org/officeDocument/2006/relationships/hyperlink" Target="https://drive.google.com/file/d/1HFaxDuEpiEAFTT2fRhYr9pnTS5gyy9CB/view" TargetMode="External"/><Relationship Id="rId1315" Type="http://schemas.openxmlformats.org/officeDocument/2006/relationships/hyperlink" Target="https://drive.google.com/file/d/1WDGqDTgJeLTAdjrnY5wAO6734hszKH1n/view" TargetMode="External"/><Relationship Id="rId2646" Type="http://schemas.openxmlformats.org/officeDocument/2006/relationships/hyperlink" Target="https://drive.google.com/file/d/1EED1OyCHaeP0O-2z9uHg27_tPAR3O0Gi/view" TargetMode="External"/><Relationship Id="rId3976" Type="http://schemas.openxmlformats.org/officeDocument/2006/relationships/hyperlink" Target="https://drive.google.com/file/d/1ERT6SNN624yeuLxXwTG9X49CE4AlA23l/view" TargetMode="External"/><Relationship Id="rId1316" Type="http://schemas.openxmlformats.org/officeDocument/2006/relationships/hyperlink" Target="https://drive.google.com/file/d/16-iyvVT2Tm0AVLNBCx3PRZEuBKLTJttK/view" TargetMode="External"/><Relationship Id="rId2647" Type="http://schemas.openxmlformats.org/officeDocument/2006/relationships/hyperlink" Target="https://drive.google.com/file/d/1GYWnoAgTu3gcCS2XLJGjL_rRIxiu5gtt/view" TargetMode="External"/><Relationship Id="rId3979" Type="http://schemas.openxmlformats.org/officeDocument/2006/relationships/hyperlink" Target="https://drive.google.com/file/d/1qWqpjMSZ9Y6J2ugMTBlhYHHLgWsvHpxX/view" TargetMode="External"/><Relationship Id="rId1317" Type="http://schemas.openxmlformats.org/officeDocument/2006/relationships/hyperlink" Target="https://drive.google.com/file/d/18Dr6VniNZsSqVmMEhYGYl2ub_jXbck81/view" TargetMode="External"/><Relationship Id="rId2648" Type="http://schemas.openxmlformats.org/officeDocument/2006/relationships/hyperlink" Target="https://drive.google.com/file/d/1yZPrZVO3QRztKDmlbjUPV1knVl8fC6mU/view" TargetMode="External"/><Relationship Id="rId3978" Type="http://schemas.openxmlformats.org/officeDocument/2006/relationships/hyperlink" Target="https://drive.google.com/file/d/1ts6GQahlvksofkyojIinvTJZGGOg5m1M/view" TargetMode="External"/><Relationship Id="rId1318" Type="http://schemas.openxmlformats.org/officeDocument/2006/relationships/hyperlink" Target="https://drive.google.com/file/d/1v3Xgk9L2ECRPxdwOeKi4DIoX4X7DWUqQ/view" TargetMode="External"/><Relationship Id="rId2649" Type="http://schemas.openxmlformats.org/officeDocument/2006/relationships/hyperlink" Target="https://drive.google.com/file/d/1YSaKlM1kJVAeY9PXzBrBGkHKgrJKWhAP/view" TargetMode="External"/><Relationship Id="rId1319" Type="http://schemas.openxmlformats.org/officeDocument/2006/relationships/hyperlink" Target="https://drive.google.com/file/d/1FaMoWiiReHpnnxkbuISe10aPR4Vze2mQ/view" TargetMode="External"/><Relationship Id="rId729" Type="http://schemas.openxmlformats.org/officeDocument/2006/relationships/hyperlink" Target="https://drive.google.com/file/d/1la7x-EMdIWci96oVK9rzADkudxQF6t2V/view" TargetMode="External"/><Relationship Id="rId728" Type="http://schemas.openxmlformats.org/officeDocument/2006/relationships/hyperlink" Target="https://drive.google.com/file/d/1pW1QPRj_6_52gTDkEDdCwdwDz-5okn-9/view" TargetMode="External"/><Relationship Id="rId723" Type="http://schemas.openxmlformats.org/officeDocument/2006/relationships/hyperlink" Target="https://drive.google.com/file/d/1INE2XxmqAa_857nYA-C3_b-NvejYp2SG/view" TargetMode="External"/><Relationship Id="rId722" Type="http://schemas.openxmlformats.org/officeDocument/2006/relationships/hyperlink" Target="https://drive.google.com/file/d/1isJMaMJyRgT9qTCmc4TmXGDA8koriq1_/view" TargetMode="External"/><Relationship Id="rId721" Type="http://schemas.openxmlformats.org/officeDocument/2006/relationships/hyperlink" Target="https://drive.google.com/file/d/1G4TrFgHinKEnZIsKsSFPRjg5zLASQbJ0/view" TargetMode="External"/><Relationship Id="rId720" Type="http://schemas.openxmlformats.org/officeDocument/2006/relationships/hyperlink" Target="https://drive.google.com/file/d/1pvwb7sjgcGXz0KM9sRRgzch8S9bOyqm1/view" TargetMode="External"/><Relationship Id="rId727" Type="http://schemas.openxmlformats.org/officeDocument/2006/relationships/hyperlink" Target="https://drive.google.com/file/d/1YCzMyNP74Mc2NOoWtsydSXO6gt_Kykrw/view" TargetMode="External"/><Relationship Id="rId726" Type="http://schemas.openxmlformats.org/officeDocument/2006/relationships/hyperlink" Target="https://drive.google.com/file/d/1INE2XxmqAa_857nYA-C3_b-NvejYp2SG/view" TargetMode="External"/><Relationship Id="rId725" Type="http://schemas.openxmlformats.org/officeDocument/2006/relationships/hyperlink" Target="https://drive.google.com/file/d/1isJMaMJyRgT9qTCmc4TmXGDA8koriq1_/view" TargetMode="External"/><Relationship Id="rId724" Type="http://schemas.openxmlformats.org/officeDocument/2006/relationships/hyperlink" Target="https://drive.google.com/file/d/1gmjw91Oako3CNpXHuxMTEN0ze1l6ztnc/view" TargetMode="External"/><Relationship Id="rId3971" Type="http://schemas.openxmlformats.org/officeDocument/2006/relationships/hyperlink" Target="https://drive.google.com/file/d/1VrCYTWVM9nnetWaOSV-AYxM15LekUE7n/view" TargetMode="External"/><Relationship Id="rId2640" Type="http://schemas.openxmlformats.org/officeDocument/2006/relationships/hyperlink" Target="https://drive.google.com/file/d/1GYWnoAgTu3gcCS2XLJGjL_rRIxiu5gtt/view" TargetMode="External"/><Relationship Id="rId3970" Type="http://schemas.openxmlformats.org/officeDocument/2006/relationships/hyperlink" Target="https://drive.google.com/file/d/1Eip_scOYy0MznNlOXcs6uHGhUjv2o9Fq/view" TargetMode="External"/><Relationship Id="rId1310" Type="http://schemas.openxmlformats.org/officeDocument/2006/relationships/hyperlink" Target="https://drive.google.com/file/d/1GYWnoAgTu3gcCS2XLJGjL_rRIxiu5gtt/view" TargetMode="External"/><Relationship Id="rId2641" Type="http://schemas.openxmlformats.org/officeDocument/2006/relationships/hyperlink" Target="https://drive.google.com/file/d/19vx0kKL30yc7B6HJhq_TFw7D-UEnXsyz/view" TargetMode="External"/><Relationship Id="rId3973" Type="http://schemas.openxmlformats.org/officeDocument/2006/relationships/hyperlink" Target="https://drive.google.com/file/d/1HFaxDuEpiEAFTT2fRhYr9pnTS5gyy9CB/view" TargetMode="External"/><Relationship Id="rId1311" Type="http://schemas.openxmlformats.org/officeDocument/2006/relationships/hyperlink" Target="https://drive.google.com/file/d/1dDcQF_XiuKS1QOOuLjJBZviP5NpWCdoV/view" TargetMode="External"/><Relationship Id="rId2642" Type="http://schemas.openxmlformats.org/officeDocument/2006/relationships/hyperlink" Target="https://drive.google.com/file/d/1RbNWjzwbBcGYMWaRvOSaMHLvNLZ-pJIz/view" TargetMode="External"/><Relationship Id="rId3972" Type="http://schemas.openxmlformats.org/officeDocument/2006/relationships/hyperlink" Target="https://drive.google.com/file/d/1ERT6SNN624yeuLxXwTG9X49CE4AlA23l/view" TargetMode="External"/><Relationship Id="rId1301" Type="http://schemas.openxmlformats.org/officeDocument/2006/relationships/hyperlink" Target="https://drive.google.com/file/d/1Rg2H3twxtQz9Kdx0rUFy2JFFVXz-iY9H/view" TargetMode="External"/><Relationship Id="rId2632" Type="http://schemas.openxmlformats.org/officeDocument/2006/relationships/hyperlink" Target="https://drive.google.com/file/d/1godQCLHS1-_s4XEPR3bEWgb_NnasE0Tj/view" TargetMode="External"/><Relationship Id="rId3964" Type="http://schemas.openxmlformats.org/officeDocument/2006/relationships/hyperlink" Target="https://drive.google.com/file/d/1SxDXmW9GTwSqFEb2bzPONYFPvQ9gcNcr/view" TargetMode="External"/><Relationship Id="rId1302" Type="http://schemas.openxmlformats.org/officeDocument/2006/relationships/hyperlink" Target="https://drive.google.com/file/d/1xEKuokc3vKyMV8O5S1W0gwE-gXSGqCUE/view" TargetMode="External"/><Relationship Id="rId2633" Type="http://schemas.openxmlformats.org/officeDocument/2006/relationships/hyperlink" Target="https://drive.google.com/file/d/1GYWnoAgTu3gcCS2XLJGjL_rRIxiu5gtt/view" TargetMode="External"/><Relationship Id="rId3963" Type="http://schemas.openxmlformats.org/officeDocument/2006/relationships/hyperlink" Target="https://drive.google.com/file/d/1I39SxbYTn0fqmoabNtTpLiADYAR436k4/view" TargetMode="External"/><Relationship Id="rId1303" Type="http://schemas.openxmlformats.org/officeDocument/2006/relationships/hyperlink" Target="https://drive.google.com/file/d/1GYWnoAgTu3gcCS2XLJGjL_rRIxiu5gtt/view" TargetMode="External"/><Relationship Id="rId2634" Type="http://schemas.openxmlformats.org/officeDocument/2006/relationships/hyperlink" Target="https://drive.google.com/file/d/19vx0kKL30yc7B6HJhq_TFw7D-UEnXsyz/view" TargetMode="External"/><Relationship Id="rId3966" Type="http://schemas.openxmlformats.org/officeDocument/2006/relationships/hyperlink" Target="https://drive.google.com/file/d/1Eip_scOYy0MznNlOXcs6uHGhUjv2o9Fq/view" TargetMode="External"/><Relationship Id="rId1304" Type="http://schemas.openxmlformats.org/officeDocument/2006/relationships/hyperlink" Target="https://drive.google.com/file/d/1dDcQF_XiuKS1QOOuLjJBZviP5NpWCdoV/view" TargetMode="External"/><Relationship Id="rId2635" Type="http://schemas.openxmlformats.org/officeDocument/2006/relationships/hyperlink" Target="https://drive.google.com/file/d/1RbNWjzwbBcGYMWaRvOSaMHLvNLZ-pJIz/view" TargetMode="External"/><Relationship Id="rId3965" Type="http://schemas.openxmlformats.org/officeDocument/2006/relationships/hyperlink" Target="https://drive.google.com/file/d/1dgf2Pu70yIlvaDOx85xvuQL_c-gkAIv-/view" TargetMode="External"/><Relationship Id="rId1305" Type="http://schemas.openxmlformats.org/officeDocument/2006/relationships/hyperlink" Target="https://drive.google.com/file/d/1DyQVUAisw_4c-lM1TKytn9_i-tBO2vbA/view" TargetMode="External"/><Relationship Id="rId2636" Type="http://schemas.openxmlformats.org/officeDocument/2006/relationships/hyperlink" Target="https://drive.google.com/file/d/1LsOtPnmBdbjwkhxV_UHJWJUB8LAicE2Y/view" TargetMode="External"/><Relationship Id="rId3968" Type="http://schemas.openxmlformats.org/officeDocument/2006/relationships/hyperlink" Target="https://drive.google.com/file/d/1YIgsTIVlYu7cnmJ_aVdA6goYF3Y_X_CJ/view" TargetMode="External"/><Relationship Id="rId1306" Type="http://schemas.openxmlformats.org/officeDocument/2006/relationships/hyperlink" Target="https://drive.google.com/file/d/12v97axd1ODIAicCHzpuHpdYn7kmgcxA_/view" TargetMode="External"/><Relationship Id="rId2637" Type="http://schemas.openxmlformats.org/officeDocument/2006/relationships/hyperlink" Target="https://drive.google.com/file/d/1lZVs_rYbJROFTNbVNBbtYuconwJaJQr9/view" TargetMode="External"/><Relationship Id="rId3967" Type="http://schemas.openxmlformats.org/officeDocument/2006/relationships/hyperlink" Target="https://drive.google.com/file/d/1JQEry2Gk3yYoJOmG4MDzfyFnn1skDcDt/view" TargetMode="External"/><Relationship Id="rId1307" Type="http://schemas.openxmlformats.org/officeDocument/2006/relationships/hyperlink" Target="https://drive.google.com/file/d/1lZVs_rYbJROFTNbVNBbtYuconwJaJQr9/view" TargetMode="External"/><Relationship Id="rId2638" Type="http://schemas.openxmlformats.org/officeDocument/2006/relationships/hyperlink" Target="https://drive.google.com/file/d/17yCXv0ldTpG3h_hFcUoiG1vYsPevJ7Tq/view" TargetMode="External"/><Relationship Id="rId1308" Type="http://schemas.openxmlformats.org/officeDocument/2006/relationships/hyperlink" Target="https://drive.google.com/file/d/1ULCl3vXksDgvLtLNyD2LHnPYaOZ_t6Ia/view" TargetMode="External"/><Relationship Id="rId2639" Type="http://schemas.openxmlformats.org/officeDocument/2006/relationships/hyperlink" Target="https://drive.google.com/file/d/16qiSNtrlZSoXqT0vgQkiXBmnYEATGI22/view" TargetMode="External"/><Relationship Id="rId3969" Type="http://schemas.openxmlformats.org/officeDocument/2006/relationships/hyperlink" Target="https://drive.google.com/file/d/1dgf2Pu70yIlvaDOx85xvuQL_c-gkAIv-/view" TargetMode="External"/><Relationship Id="rId1309" Type="http://schemas.openxmlformats.org/officeDocument/2006/relationships/hyperlink" Target="https://drive.google.com/file/d/126Rz2r5E63Yo8t391gtSKaJRO4eKSoiM/view" TargetMode="External"/><Relationship Id="rId719" Type="http://schemas.openxmlformats.org/officeDocument/2006/relationships/hyperlink" Target="https://drive.google.com/file/d/1SredNQXWsorGSA97wPaLgayX-hGFrJ8M/view" TargetMode="External"/><Relationship Id="rId718" Type="http://schemas.openxmlformats.org/officeDocument/2006/relationships/hyperlink" Target="https://drive.google.com/file/d/1G4TrFgHinKEnZIsKsSFPRjg5zLASQbJ0/view" TargetMode="External"/><Relationship Id="rId717" Type="http://schemas.openxmlformats.org/officeDocument/2006/relationships/hyperlink" Target="https://drive.google.com/file/d/1KVYrlcFfO_tCEylCVDxkbsOUUAXQ_o8p/view" TargetMode="External"/><Relationship Id="rId712" Type="http://schemas.openxmlformats.org/officeDocument/2006/relationships/hyperlink" Target="https://drive.google.com/file/d/1LVgTq1ESf5WsWgdIj79khi3IHxG_2KMD/view" TargetMode="External"/><Relationship Id="rId711" Type="http://schemas.openxmlformats.org/officeDocument/2006/relationships/hyperlink" Target="https://drive.google.com/file/d/1V-yTH7IqmRM1rTOnoHLY4Zc3M9SZeK5O/view" TargetMode="External"/><Relationship Id="rId710" Type="http://schemas.openxmlformats.org/officeDocument/2006/relationships/hyperlink" Target="https://drive.google.com/file/d/146C6PXh6vb0Odfbl-exDFW3JD9YEJrXk/view" TargetMode="External"/><Relationship Id="rId716" Type="http://schemas.openxmlformats.org/officeDocument/2006/relationships/hyperlink" Target="https://drive.google.com/file/d/1LVgTq1ESf5WsWgdIj79khi3IHxG_2KMD/view" TargetMode="External"/><Relationship Id="rId715" Type="http://schemas.openxmlformats.org/officeDocument/2006/relationships/hyperlink" Target="https://drive.google.com/file/d/1G4TrFgHinKEnZIsKsSFPRjg5zLASQbJ0/view" TargetMode="External"/><Relationship Id="rId714" Type="http://schemas.openxmlformats.org/officeDocument/2006/relationships/hyperlink" Target="https://drive.google.com/file/d/1gmjw91Oako3CNpXHuxMTEN0ze1l6ztnc/view" TargetMode="External"/><Relationship Id="rId713" Type="http://schemas.openxmlformats.org/officeDocument/2006/relationships/hyperlink" Target="https://drive.google.com/file/d/1KVYrlcFfO_tCEylCVDxkbsOUUAXQ_o8p/view" TargetMode="External"/><Relationship Id="rId3960" Type="http://schemas.openxmlformats.org/officeDocument/2006/relationships/hyperlink" Target="https://drive.google.com/file/d/1vmC9yNJ5HuQ6vYKrCsMSJyrPycJ2lYsM/view" TargetMode="External"/><Relationship Id="rId2630" Type="http://schemas.openxmlformats.org/officeDocument/2006/relationships/hyperlink" Target="https://drive.google.com/file/d/1lZVs_rYbJROFTNbVNBbtYuconwJaJQr9/view" TargetMode="External"/><Relationship Id="rId3962" Type="http://schemas.openxmlformats.org/officeDocument/2006/relationships/hyperlink" Target="https://drive.google.com/file/d/1Eip_scOYy0MznNlOXcs6uHGhUjv2o9Fq/view" TargetMode="External"/><Relationship Id="rId1300" Type="http://schemas.openxmlformats.org/officeDocument/2006/relationships/hyperlink" Target="https://drive.google.com/file/d/1lZVs_rYbJROFTNbVNBbtYuconwJaJQr9/view" TargetMode="External"/><Relationship Id="rId2631" Type="http://schemas.openxmlformats.org/officeDocument/2006/relationships/hyperlink" Target="https://drive.google.com/file/d/1eZYsAGd5mONgRAQWllnie6GQ25EhXXP1/view" TargetMode="External"/><Relationship Id="rId3961" Type="http://schemas.openxmlformats.org/officeDocument/2006/relationships/hyperlink" Target="https://drive.google.com/file/d/1dgf2Pu70yIlvaDOx85xvuQL_c-gkAIv-/view" TargetMode="External"/><Relationship Id="rId3117" Type="http://schemas.openxmlformats.org/officeDocument/2006/relationships/hyperlink" Target="https://drive.google.com/file/d/17B2PShNxlw9xqmReWSHuJRHNCNoHgKJb/view" TargetMode="External"/><Relationship Id="rId3116" Type="http://schemas.openxmlformats.org/officeDocument/2006/relationships/hyperlink" Target="https://drive.google.com/file/d/1a2czzSMd7Zl9rCCdjux0tcTM_-Wwm9GF/view" TargetMode="External"/><Relationship Id="rId3119" Type="http://schemas.openxmlformats.org/officeDocument/2006/relationships/hyperlink" Target="https://drive.google.com/file/d/1DBylIE9lyeQN3ByitOI02IW0ZbXwFJfE/view" TargetMode="External"/><Relationship Id="rId3118" Type="http://schemas.openxmlformats.org/officeDocument/2006/relationships/hyperlink" Target="https://drive.google.com/file/d/1adHdV5mWGkozDhp4Z_wueu7ume-MUalg/view" TargetMode="External"/><Relationship Id="rId3111" Type="http://schemas.openxmlformats.org/officeDocument/2006/relationships/hyperlink" Target="https://drive.google.com/file/d/1adHdV5mWGkozDhp4Z_wueu7ume-MUalg/view" TargetMode="External"/><Relationship Id="rId3110" Type="http://schemas.openxmlformats.org/officeDocument/2006/relationships/hyperlink" Target="https://drive.google.com/file/d/17B2PShNxlw9xqmReWSHuJRHNCNoHgKJb/view" TargetMode="External"/><Relationship Id="rId3113" Type="http://schemas.openxmlformats.org/officeDocument/2006/relationships/hyperlink" Target="https://drive.google.com/file/d/1HMLIgKL866OjOMahENywiwpNc7mz_edD/view" TargetMode="External"/><Relationship Id="rId3112" Type="http://schemas.openxmlformats.org/officeDocument/2006/relationships/hyperlink" Target="https://drive.google.com/file/d/1TAbHXAzk2O9GZNAzQwAYSkEYgZ9J-Pf-/view" TargetMode="External"/><Relationship Id="rId3115" Type="http://schemas.openxmlformats.org/officeDocument/2006/relationships/hyperlink" Target="https://drive.google.com/file/d/1dnfUXEmfkgeuJVSulhJsB0YLkl6UYzUd/view" TargetMode="External"/><Relationship Id="rId3114" Type="http://schemas.openxmlformats.org/officeDocument/2006/relationships/hyperlink" Target="https://drive.google.com/file/d/15vd9xFobjdlmXdbbKLYSx0BkmIlAc81Z/view" TargetMode="External"/><Relationship Id="rId3106" Type="http://schemas.openxmlformats.org/officeDocument/2006/relationships/hyperlink" Target="https://drive.google.com/file/d/1APou8e_rP0EupaTZwZAk2MzKxNZmBl40/view" TargetMode="External"/><Relationship Id="rId3105" Type="http://schemas.openxmlformats.org/officeDocument/2006/relationships/hyperlink" Target="https://drive.google.com/file/d/1tKz4i6AUJsBIElGHsxYc7OphAwlholOH/view" TargetMode="External"/><Relationship Id="rId3108" Type="http://schemas.openxmlformats.org/officeDocument/2006/relationships/hyperlink" Target="https://drive.google.com/file/d/1DICzdYGfoCg6HrePUUlWQDK7THlcAb0t/view" TargetMode="External"/><Relationship Id="rId3107" Type="http://schemas.openxmlformats.org/officeDocument/2006/relationships/hyperlink" Target="https://drive.google.com/file/d/15vd9xFobjdlmXdbbKLYSx0BkmIlAc81Z/view" TargetMode="External"/><Relationship Id="rId3109" Type="http://schemas.openxmlformats.org/officeDocument/2006/relationships/hyperlink" Target="https://drive.google.com/file/d/1uibWTpovMEMjY9hsQ6RBkU2D2NCjEvnh/view" TargetMode="External"/><Relationship Id="rId3100" Type="http://schemas.openxmlformats.org/officeDocument/2006/relationships/hyperlink" Target="https://drive.google.com/file/d/15vd9xFobjdlmXdbbKLYSx0BkmIlAc81Z/view" TargetMode="External"/><Relationship Id="rId3102" Type="http://schemas.openxmlformats.org/officeDocument/2006/relationships/hyperlink" Target="https://drive.google.com/file/d/1uibWTpovMEMjY9hsQ6RBkU2D2NCjEvnh/view" TargetMode="External"/><Relationship Id="rId3101" Type="http://schemas.openxmlformats.org/officeDocument/2006/relationships/hyperlink" Target="https://drive.google.com/file/d/1DICzdYGfoCg6HrePUUlWQDK7THlcAb0t/view" TargetMode="External"/><Relationship Id="rId3104" Type="http://schemas.openxmlformats.org/officeDocument/2006/relationships/hyperlink" Target="https://drive.google.com/file/d/1adHdV5mWGkozDhp4Z_wueu7ume-MUalg/view" TargetMode="External"/><Relationship Id="rId3103" Type="http://schemas.openxmlformats.org/officeDocument/2006/relationships/hyperlink" Target="https://drive.google.com/file/d/17B2PShNxlw9xqmReWSHuJRHNCNoHgKJb/view" TargetMode="External"/><Relationship Id="rId3139" Type="http://schemas.openxmlformats.org/officeDocument/2006/relationships/hyperlink" Target="https://drive.google.com/file/d/1rbRbbs8VflxLrZ0rYNeD_K-LEMsWhVc4/view" TargetMode="External"/><Relationship Id="rId3138" Type="http://schemas.openxmlformats.org/officeDocument/2006/relationships/hyperlink" Target="https://drive.google.com/file/d/1je1WiiJsQ1sMkyGFq4O7mFIZ9hHHAPq_/view" TargetMode="External"/><Relationship Id="rId3131" Type="http://schemas.openxmlformats.org/officeDocument/2006/relationships/hyperlink" Target="https://drive.google.com/file/d/1je1WiiJsQ1sMkyGFq4O7mFIZ9hHHAPq_/view" TargetMode="External"/><Relationship Id="rId3130" Type="http://schemas.openxmlformats.org/officeDocument/2006/relationships/hyperlink" Target="https://drive.google.com/file/d/1gyjRwXtKUG-w_bsyDXaNfuwWIDgoWLZh/view" TargetMode="External"/><Relationship Id="rId3133" Type="http://schemas.openxmlformats.org/officeDocument/2006/relationships/hyperlink" Target="https://drive.google.com/file/d/1eZmzy_OvMRpQBKi8SGPf3MS8uzUFHyjL/view" TargetMode="External"/><Relationship Id="rId3132" Type="http://schemas.openxmlformats.org/officeDocument/2006/relationships/hyperlink" Target="https://drive.google.com/file/d/1rbRbbs8VflxLrZ0rYNeD_K-LEMsWhVc4/view" TargetMode="External"/><Relationship Id="rId3135" Type="http://schemas.openxmlformats.org/officeDocument/2006/relationships/hyperlink" Target="https://drive.google.com/file/d/1LlHkdR9pNZm0TtWv22sI6fgkv9V4Klzj/view" TargetMode="External"/><Relationship Id="rId3134" Type="http://schemas.openxmlformats.org/officeDocument/2006/relationships/hyperlink" Target="https://drive.google.com/file/d/14LjpWpQ2Voyl1K2l-QzOoUdY5xswf-Yg/view" TargetMode="External"/><Relationship Id="rId3137" Type="http://schemas.openxmlformats.org/officeDocument/2006/relationships/hyperlink" Target="https://drive.google.com/file/d/1gyjRwXtKUG-w_bsyDXaNfuwWIDgoWLZh/view" TargetMode="External"/><Relationship Id="rId3136" Type="http://schemas.openxmlformats.org/officeDocument/2006/relationships/hyperlink" Target="https://drive.google.com/file/d/1ikYgx8SPkhqbdhFZEtsdb6KpbywoUJht/view" TargetMode="External"/><Relationship Id="rId3128" Type="http://schemas.openxmlformats.org/officeDocument/2006/relationships/hyperlink" Target="https://drive.google.com/file/d/1LlHkdR9pNZm0TtWv22sI6fgkv9V4Klzj/view" TargetMode="External"/><Relationship Id="rId3127" Type="http://schemas.openxmlformats.org/officeDocument/2006/relationships/hyperlink" Target="https://drive.google.com/file/d/1WejDxeT44D6PG9VVoA2VLkVJzz9FSJQz/view" TargetMode="External"/><Relationship Id="rId3129" Type="http://schemas.openxmlformats.org/officeDocument/2006/relationships/hyperlink" Target="https://drive.google.com/file/d/1ikYgx8SPkhqbdhFZEtsdb6KpbywoUJht/view" TargetMode="External"/><Relationship Id="rId3120" Type="http://schemas.openxmlformats.org/officeDocument/2006/relationships/hyperlink" Target="https://drive.google.com/file/d/1WejDxeT44D6PG9VVoA2VLkVJzz9FSJQz/view" TargetMode="External"/><Relationship Id="rId3122" Type="http://schemas.openxmlformats.org/officeDocument/2006/relationships/hyperlink" Target="https://drive.google.com/file/d/1ikYgx8SPkhqbdhFZEtsdb6KpbywoUJht/view" TargetMode="External"/><Relationship Id="rId3121" Type="http://schemas.openxmlformats.org/officeDocument/2006/relationships/hyperlink" Target="https://drive.google.com/file/d/1LlHkdR9pNZm0TtWv22sI6fgkv9V4Klzj/view" TargetMode="External"/><Relationship Id="rId3124" Type="http://schemas.openxmlformats.org/officeDocument/2006/relationships/hyperlink" Target="https://drive.google.com/file/d/1je1WiiJsQ1sMkyGFq4O7mFIZ9hHHAPq_/view" TargetMode="External"/><Relationship Id="rId3123" Type="http://schemas.openxmlformats.org/officeDocument/2006/relationships/hyperlink" Target="https://drive.google.com/file/d/1gyjRwXtKUG-w_bsyDXaNfuwWIDgoWLZh/view" TargetMode="External"/><Relationship Id="rId3126" Type="http://schemas.openxmlformats.org/officeDocument/2006/relationships/hyperlink" Target="https://drive.google.com/file/d/1DBylIE9lyeQN3ByitOI02IW0ZbXwFJfE/view" TargetMode="External"/><Relationship Id="rId3125" Type="http://schemas.openxmlformats.org/officeDocument/2006/relationships/hyperlink" Target="https://drive.google.com/file/d/1rbRbbs8VflxLrZ0rYNeD_K-LEMsWhVc4/view" TargetMode="External"/><Relationship Id="rId1378" Type="http://schemas.openxmlformats.org/officeDocument/2006/relationships/hyperlink" Target="https://drive.google.com/file/d/178J6TsKN3Efd4SZZL1qxmAyU58oQfV5y/view" TargetMode="External"/><Relationship Id="rId1379" Type="http://schemas.openxmlformats.org/officeDocument/2006/relationships/hyperlink" Target="https://drive.google.com/file/d/1Ts9kLjqiNW4MJV_WVxCNM2vv-akY3mAm/view" TargetMode="External"/><Relationship Id="rId789" Type="http://schemas.openxmlformats.org/officeDocument/2006/relationships/hyperlink" Target="https://drive.google.com/file/d/1moI7d98QQlAPl-sU-qJbUwj5Q0qqO3pV/view" TargetMode="External"/><Relationship Id="rId788" Type="http://schemas.openxmlformats.org/officeDocument/2006/relationships/hyperlink" Target="https://drive.google.com/file/d/1AAIYrF8LW6ilpUhJjo1oyqwSH5FMQfGv/view" TargetMode="External"/><Relationship Id="rId787" Type="http://schemas.openxmlformats.org/officeDocument/2006/relationships/hyperlink" Target="https://drive.google.com/file/d/16ncs6SpoCcuVcX3VqOqBw-0i321WWiBP/view" TargetMode="External"/><Relationship Id="rId786" Type="http://schemas.openxmlformats.org/officeDocument/2006/relationships/hyperlink" Target="https://drive.google.com/file/d/1h3jC9AWkiPnsKWtv1L7RLuwwRK33BdwJ/view" TargetMode="External"/><Relationship Id="rId781" Type="http://schemas.openxmlformats.org/officeDocument/2006/relationships/hyperlink" Target="https://drive.google.com/file/d/1h3jC9AWkiPnsKWtv1L7RLuwwRK33BdwJ/view" TargetMode="External"/><Relationship Id="rId1370" Type="http://schemas.openxmlformats.org/officeDocument/2006/relationships/hyperlink" Target="https://drive.google.com/file/d/12WXmmdsToWyqsR3NCr9oXtVTr6NykPyE/view" TargetMode="External"/><Relationship Id="rId780" Type="http://schemas.openxmlformats.org/officeDocument/2006/relationships/hyperlink" Target="https://drive.google.com/file/d/1suxbK0vDHNiiWZLT8RMWXdoSeMCX8esf/view" TargetMode="External"/><Relationship Id="rId1371" Type="http://schemas.openxmlformats.org/officeDocument/2006/relationships/hyperlink" Target="https://drive.google.com/file/d/1awqWPwrzEXxyAA_Emqp4OF3F4km5RDzk/view" TargetMode="External"/><Relationship Id="rId1372" Type="http://schemas.openxmlformats.org/officeDocument/2006/relationships/hyperlink" Target="https://drive.google.com/file/d/1DkR7QICD4AHIdTsrSXI34Qsj2FQE2pd7/view" TargetMode="External"/><Relationship Id="rId1373" Type="http://schemas.openxmlformats.org/officeDocument/2006/relationships/hyperlink" Target="https://drive.google.com/file/d/1ProvXG6SpJzO4ya4MzsNspgJQbGWoIET/view" TargetMode="External"/><Relationship Id="rId785" Type="http://schemas.openxmlformats.org/officeDocument/2006/relationships/hyperlink" Target="https://drive.google.com/file/d/1moI7d98QQlAPl-sU-qJbUwj5Q0qqO3pV/view" TargetMode="External"/><Relationship Id="rId1374" Type="http://schemas.openxmlformats.org/officeDocument/2006/relationships/hyperlink" Target="https://drive.google.com/file/d/1kSYL7EA42siW16utkAob_21NFpavnbwl/view" TargetMode="External"/><Relationship Id="rId784" Type="http://schemas.openxmlformats.org/officeDocument/2006/relationships/hyperlink" Target="https://drive.google.com/file/d/1AAIYrF8LW6ilpUhJjo1oyqwSH5FMQfGv/view" TargetMode="External"/><Relationship Id="rId1375" Type="http://schemas.openxmlformats.org/officeDocument/2006/relationships/hyperlink" Target="https://drive.google.com/file/d/1Qi_j530TJrKEX8cYqZ8fxm4ZNhZYyjF8/view" TargetMode="External"/><Relationship Id="rId783" Type="http://schemas.openxmlformats.org/officeDocument/2006/relationships/hyperlink" Target="https://drive.google.com/file/d/1gmjw91Oako3CNpXHuxMTEN0ze1l6ztnc/view" TargetMode="External"/><Relationship Id="rId1376" Type="http://schemas.openxmlformats.org/officeDocument/2006/relationships/hyperlink" Target="https://drive.google.com/file/d/178J6TsKN3Efd4SZZL1qxmAyU58oQfV5y/view" TargetMode="External"/><Relationship Id="rId782" Type="http://schemas.openxmlformats.org/officeDocument/2006/relationships/hyperlink" Target="https://drive.google.com/file/d/16ncs6SpoCcuVcX3VqOqBw-0i321WWiBP/view" TargetMode="External"/><Relationship Id="rId1377" Type="http://schemas.openxmlformats.org/officeDocument/2006/relationships/hyperlink" Target="https://drive.google.com/file/d/1Ts9kLjqiNW4MJV_WVxCNM2vv-akY3mAm/view" TargetMode="External"/><Relationship Id="rId1367" Type="http://schemas.openxmlformats.org/officeDocument/2006/relationships/hyperlink" Target="https://drive.google.com/file/d/19q6fkr6Pqu4ZzSn5tmkr6cu4vTYhNuA8/view" TargetMode="External"/><Relationship Id="rId2698" Type="http://schemas.openxmlformats.org/officeDocument/2006/relationships/hyperlink" Target="https://drive.google.com/file/d/1TAUh4R6JxWtet0dV1-ZcXATz1e3-0RbX/view" TargetMode="External"/><Relationship Id="rId1368" Type="http://schemas.openxmlformats.org/officeDocument/2006/relationships/hyperlink" Target="https://drive.google.com/file/d/1KNx5Cic8_KwyoNWIEb4E_2CHCDoprdxs/view" TargetMode="External"/><Relationship Id="rId2699" Type="http://schemas.openxmlformats.org/officeDocument/2006/relationships/hyperlink" Target="https://drive.google.com/file/d/1mK-ktQ9bcvrXMPMExwqnaZnvAX1SDWzH/view" TargetMode="External"/><Relationship Id="rId1369" Type="http://schemas.openxmlformats.org/officeDocument/2006/relationships/hyperlink" Target="https://drive.google.com/file/d/1XGxGAXPVZX-pNmP-NxVph8uHnj7oQ4SY/view" TargetMode="External"/><Relationship Id="rId778" Type="http://schemas.openxmlformats.org/officeDocument/2006/relationships/hyperlink" Target="https://drive.google.com/file/d/1q6Wk9SK2RpcScDZRkft8oHR1jS-VV0vV/view" TargetMode="External"/><Relationship Id="rId777" Type="http://schemas.openxmlformats.org/officeDocument/2006/relationships/hyperlink" Target="https://drive.google.com/file/d/1T31AEYbsNuOhLwdDDBC6y62ExXCZd3qX/view" TargetMode="External"/><Relationship Id="rId776" Type="http://schemas.openxmlformats.org/officeDocument/2006/relationships/hyperlink" Target="https://drive.google.com/file/d/1suxbK0vDHNiiWZLT8RMWXdoSeMCX8esf/view" TargetMode="External"/><Relationship Id="rId775" Type="http://schemas.openxmlformats.org/officeDocument/2006/relationships/hyperlink" Target="https://drive.google.com/file/d/1x9jnS-nB9cxDeTSgn1_zYszptEV1DhqT/view" TargetMode="External"/><Relationship Id="rId779" Type="http://schemas.openxmlformats.org/officeDocument/2006/relationships/hyperlink" Target="https://drive.google.com/file/d/1x9jnS-nB9cxDeTSgn1_zYszptEV1DhqT/view" TargetMode="External"/><Relationship Id="rId770" Type="http://schemas.openxmlformats.org/officeDocument/2006/relationships/hyperlink" Target="https://drive.google.com/file/d/1gmjw91Oako3CNpXHuxMTEN0ze1l6ztnc/view" TargetMode="External"/><Relationship Id="rId2690" Type="http://schemas.openxmlformats.org/officeDocument/2006/relationships/hyperlink" Target="https://drive.google.com/file/d/1CDwoWez55lsfKix-el3o_ldZRkk3bPZ8/view" TargetMode="External"/><Relationship Id="rId1360" Type="http://schemas.openxmlformats.org/officeDocument/2006/relationships/hyperlink" Target="https://drive.google.com/file/d/1pvqcn-7QCo8ceT1hJ_1oLwgclfZ5wxgP/view" TargetMode="External"/><Relationship Id="rId2691" Type="http://schemas.openxmlformats.org/officeDocument/2006/relationships/hyperlink" Target="https://drive.google.com/file/d/1TAUh4R6JxWtet0dV1-ZcXATz1e3-0RbX/view" TargetMode="External"/><Relationship Id="rId1361" Type="http://schemas.openxmlformats.org/officeDocument/2006/relationships/hyperlink" Target="https://drive.google.com/file/d/1GYWnoAgTu3gcCS2XLJGjL_rRIxiu5gtt/view" TargetMode="External"/><Relationship Id="rId2692" Type="http://schemas.openxmlformats.org/officeDocument/2006/relationships/hyperlink" Target="https://drive.google.com/file/d/1mK-ktQ9bcvrXMPMExwqnaZnvAX1SDWzH/view" TargetMode="External"/><Relationship Id="rId1362" Type="http://schemas.openxmlformats.org/officeDocument/2006/relationships/hyperlink" Target="https://drive.google.com/file/d/1TZFNVmzQPzIHGczArsQ0c1KkRWDoILJf/view" TargetMode="External"/><Relationship Id="rId2693" Type="http://schemas.openxmlformats.org/officeDocument/2006/relationships/hyperlink" Target="https://drive.google.com/file/d/1QlD4YN13a3JIEpzDCTLtDfsbIgNOT6cu/view" TargetMode="External"/><Relationship Id="rId774" Type="http://schemas.openxmlformats.org/officeDocument/2006/relationships/hyperlink" Target="https://drive.google.com/file/d/1tMwbHbELOzG-x6hzJGS_W9CAYJQNlIUI/view" TargetMode="External"/><Relationship Id="rId1363" Type="http://schemas.openxmlformats.org/officeDocument/2006/relationships/hyperlink" Target="https://drive.google.com/file/d/1miygtDfb6Z1XK9jT4mjUGLUO-DiHTVLk/view" TargetMode="External"/><Relationship Id="rId2694" Type="http://schemas.openxmlformats.org/officeDocument/2006/relationships/hyperlink" Target="https://drive.google.com/file/d/1nJx2VrNRmGRQRu1rWA9H0y4LShnlJyOI/view" TargetMode="External"/><Relationship Id="rId773" Type="http://schemas.openxmlformats.org/officeDocument/2006/relationships/hyperlink" Target="https://drive.google.com/file/d/1QVMSQEsFjRRPIhIxrSoazBt0nRVgo0so/view" TargetMode="External"/><Relationship Id="rId1364" Type="http://schemas.openxmlformats.org/officeDocument/2006/relationships/hyperlink" Target="https://drive.google.com/file/d/1gmjw91Oako3CNpXHuxMTEN0ze1l6ztnc/view" TargetMode="External"/><Relationship Id="rId2695" Type="http://schemas.openxmlformats.org/officeDocument/2006/relationships/hyperlink" Target="https://drive.google.com/file/d/1CIhy437tCO3gS3cy5VuY_ybaKkG26FFQ/view" TargetMode="External"/><Relationship Id="rId772" Type="http://schemas.openxmlformats.org/officeDocument/2006/relationships/hyperlink" Target="https://drive.google.com/file/d/1suxbK0vDHNiiWZLT8RMWXdoSeMCX8esf/view" TargetMode="External"/><Relationship Id="rId1365" Type="http://schemas.openxmlformats.org/officeDocument/2006/relationships/hyperlink" Target="https://drive.google.com/file/d/1TZFNVmzQPzIHGczArsQ0c1KkRWDoILJf/view" TargetMode="External"/><Relationship Id="rId2696" Type="http://schemas.openxmlformats.org/officeDocument/2006/relationships/hyperlink" Target="https://drive.google.com/file/d/1WFXOzC4ZVaugRVkSlNHuNWt8tXKtX6FM/view" TargetMode="External"/><Relationship Id="rId771" Type="http://schemas.openxmlformats.org/officeDocument/2006/relationships/hyperlink" Target="https://drive.google.com/file/d/1x9jnS-nB9cxDeTSgn1_zYszptEV1DhqT/view" TargetMode="External"/><Relationship Id="rId1366" Type="http://schemas.openxmlformats.org/officeDocument/2006/relationships/hyperlink" Target="https://drive.google.com/file/d/1miygtDfb6Z1XK9jT4mjUGLUO-DiHTVLk/view" TargetMode="External"/><Relationship Id="rId2697" Type="http://schemas.openxmlformats.org/officeDocument/2006/relationships/hyperlink" Target="https://drive.google.com/file/d/1CDwoWez55lsfKix-el3o_ldZRkk3bPZ8/view" TargetMode="External"/><Relationship Id="rId1390" Type="http://schemas.openxmlformats.org/officeDocument/2006/relationships/hyperlink" Target="https://drive.google.com/file/d/1CHfpRPXMf6qP8dQyNI2seii0W7ZDvx_B/view" TargetMode="External"/><Relationship Id="rId1391" Type="http://schemas.openxmlformats.org/officeDocument/2006/relationships/hyperlink" Target="https://drive.google.com/file/d/14-roqzKClVpl1ezH5avo8Oaf3z_A977r/view" TargetMode="External"/><Relationship Id="rId1392" Type="http://schemas.openxmlformats.org/officeDocument/2006/relationships/hyperlink" Target="https://drive.google.com/file/d/1rlM6u1ae7VrvtUGO-yuyg3MmBER0h7oe/view" TargetMode="External"/><Relationship Id="rId1393" Type="http://schemas.openxmlformats.org/officeDocument/2006/relationships/hyperlink" Target="https://drive.google.com/file/d/1PwAoBi6k2xBvlf2aGfkM_T5yKJvroK0r/view" TargetMode="External"/><Relationship Id="rId1394" Type="http://schemas.openxmlformats.org/officeDocument/2006/relationships/hyperlink" Target="https://drive.google.com/file/d/1pdoq-z9xDTJ9cmBWGtvzE7hooTm-dzJN/view" TargetMode="External"/><Relationship Id="rId1395" Type="http://schemas.openxmlformats.org/officeDocument/2006/relationships/hyperlink" Target="https://drive.google.com/file/d/1ZEm0UEW3UPlsVp3KQpSthh2fXaV0WW-x/view" TargetMode="External"/><Relationship Id="rId1396" Type="http://schemas.openxmlformats.org/officeDocument/2006/relationships/hyperlink" Target="https://drive.google.com/file/d/16ED_2qGOW2qWXGXdWt_L71WP3_If63T4/view" TargetMode="External"/><Relationship Id="rId1397" Type="http://schemas.openxmlformats.org/officeDocument/2006/relationships/hyperlink" Target="https://drive.google.com/file/d/1N0wey8dridxF01MDtjR6-1_6xErh_G5Q/view" TargetMode="External"/><Relationship Id="rId1398" Type="http://schemas.openxmlformats.org/officeDocument/2006/relationships/hyperlink" Target="https://drive.google.com/file/d/14-roqzKClVpl1ezH5avo8Oaf3z_A977r/view" TargetMode="External"/><Relationship Id="rId1399" Type="http://schemas.openxmlformats.org/officeDocument/2006/relationships/hyperlink" Target="https://drive.google.com/file/d/1rlM6u1ae7VrvtUGO-yuyg3MmBER0h7oe/view" TargetMode="External"/><Relationship Id="rId1389" Type="http://schemas.openxmlformats.org/officeDocument/2006/relationships/hyperlink" Target="https://drive.google.com/file/d/1u8ulTFfY_TPuP5CANCsnInUNB-nh5BT7/view" TargetMode="External"/><Relationship Id="rId799" Type="http://schemas.openxmlformats.org/officeDocument/2006/relationships/hyperlink" Target="https://drive.google.com/file/d/1lPiGJVFwNrybnUTdp0mgt0V5DZ2-qO3u/view" TargetMode="External"/><Relationship Id="rId798" Type="http://schemas.openxmlformats.org/officeDocument/2006/relationships/hyperlink" Target="https://drive.google.com/file/d/1QsIFb14_JMv390lJ_1uuknVXt4AfJ6-4/view" TargetMode="External"/><Relationship Id="rId797" Type="http://schemas.openxmlformats.org/officeDocument/2006/relationships/hyperlink" Target="https://drive.google.com/file/d/1YSKQI0UfK5wKR73ciki4-cw08xuESm6C/view" TargetMode="External"/><Relationship Id="rId1380" Type="http://schemas.openxmlformats.org/officeDocument/2006/relationships/hyperlink" Target="https://drive.google.com/file/d/1WlI_VuBJtqpcdPWWckWNTIS_hXY-CV1Z/view" TargetMode="External"/><Relationship Id="rId792" Type="http://schemas.openxmlformats.org/officeDocument/2006/relationships/hyperlink" Target="https://drive.google.com/file/d/1AAIYrF8LW6ilpUhJjo1oyqwSH5FMQfGv/view" TargetMode="External"/><Relationship Id="rId1381" Type="http://schemas.openxmlformats.org/officeDocument/2006/relationships/hyperlink" Target="https://drive.google.com/file/d/1Ts9kLjqiNW4MJV_WVxCNM2vv-akY3mAm/view" TargetMode="External"/><Relationship Id="rId791" Type="http://schemas.openxmlformats.org/officeDocument/2006/relationships/hyperlink" Target="https://drive.google.com/file/d/1c_569XMeQ-I1aeBDFCf2SDa1AbrVjdmU/view" TargetMode="External"/><Relationship Id="rId1382" Type="http://schemas.openxmlformats.org/officeDocument/2006/relationships/hyperlink" Target="https://drive.google.com/file/d/1JXEz8LJj8Huvwrf6cKXx0lak9lmTOzzt/view" TargetMode="External"/><Relationship Id="rId790" Type="http://schemas.openxmlformats.org/officeDocument/2006/relationships/hyperlink" Target="https://drive.google.com/file/d/1oQHRMhezXHcI6j5P5djYeCRmK9YjkBYt/view" TargetMode="External"/><Relationship Id="rId1383" Type="http://schemas.openxmlformats.org/officeDocument/2006/relationships/hyperlink" Target="https://drive.google.com/file/d/1SDkDX2UJU38FjT93aJxBZCRWgvxALtuT/view" TargetMode="External"/><Relationship Id="rId1384" Type="http://schemas.openxmlformats.org/officeDocument/2006/relationships/hyperlink" Target="https://drive.google.com/file/d/1GYWnoAgTu3gcCS2XLJGjL_rRIxiu5gtt/view" TargetMode="External"/><Relationship Id="rId796" Type="http://schemas.openxmlformats.org/officeDocument/2006/relationships/hyperlink" Target="https://drive.google.com/file/d/1gmjw91Oako3CNpXHuxMTEN0ze1l6ztnc/view" TargetMode="External"/><Relationship Id="rId1385" Type="http://schemas.openxmlformats.org/officeDocument/2006/relationships/hyperlink" Target="https://drive.google.com/file/d/11S8LQBweIt5wNPrhyDbys-mYDHHquFuw/view" TargetMode="External"/><Relationship Id="rId795" Type="http://schemas.openxmlformats.org/officeDocument/2006/relationships/hyperlink" Target="https://drive.google.com/file/d/1NAV3m_eZij7Z1KWLsPO08qL2g14pfA80/view" TargetMode="External"/><Relationship Id="rId1386" Type="http://schemas.openxmlformats.org/officeDocument/2006/relationships/hyperlink" Target="https://drive.google.com/file/d/100iijFceuQgmZ9-6pWTUt--QyGWpiWCi/view" TargetMode="External"/><Relationship Id="rId794" Type="http://schemas.openxmlformats.org/officeDocument/2006/relationships/hyperlink" Target="https://drive.google.com/file/d/1lPiGJVFwNrybnUTdp0mgt0V5DZ2-qO3u/view" TargetMode="External"/><Relationship Id="rId1387" Type="http://schemas.openxmlformats.org/officeDocument/2006/relationships/hyperlink" Target="https://drive.google.com/file/d/1qb6UWWk84-XBk5FKTwp4cFhyqhj0cw02/view" TargetMode="External"/><Relationship Id="rId793" Type="http://schemas.openxmlformats.org/officeDocument/2006/relationships/hyperlink" Target="https://drive.google.com/file/d/1moI7d98QQlAPl-sU-qJbUwj5Q0qqO3pV/view" TargetMode="External"/><Relationship Id="rId1388" Type="http://schemas.openxmlformats.org/officeDocument/2006/relationships/hyperlink" Target="https://drive.google.com/file/d/1FSN9WY2Ii2vSYcHzADQ4SBHLkeMP1TaH/view" TargetMode="External"/><Relationship Id="rId3191" Type="http://schemas.openxmlformats.org/officeDocument/2006/relationships/hyperlink" Target="https://drive.google.com/file/d/1ntWP6BS9OTibNSMdw4YzzemMCZqml8Vc/view" TargetMode="External"/><Relationship Id="rId3190" Type="http://schemas.openxmlformats.org/officeDocument/2006/relationships/hyperlink" Target="https://drive.google.com/file/d/1LlHkdR9pNZm0TtWv22sI6fgkv9V4Klzj/view" TargetMode="External"/><Relationship Id="rId3193" Type="http://schemas.openxmlformats.org/officeDocument/2006/relationships/hyperlink" Target="https://drive.google.com/file/d/1TfWeAJG9ge4cayhOTXP-XX1OdPG2j9h0/view" TargetMode="External"/><Relationship Id="rId3192" Type="http://schemas.openxmlformats.org/officeDocument/2006/relationships/hyperlink" Target="https://drive.google.com/file/d/189E7s29qJmqYtppSh2Io6V-mIT3gGfUj/view" TargetMode="External"/><Relationship Id="rId3195" Type="http://schemas.openxmlformats.org/officeDocument/2006/relationships/hyperlink" Target="https://drive.google.com/file/d/1mlZPrMDvyaBMuEFfVnRwn18cXHAuWwGB/view" TargetMode="External"/><Relationship Id="rId3194" Type="http://schemas.openxmlformats.org/officeDocument/2006/relationships/hyperlink" Target="https://drive.google.com/file/d/1rbRbbs8VflxLrZ0rYNeD_K-LEMsWhVc4/view" TargetMode="External"/><Relationship Id="rId3197" Type="http://schemas.openxmlformats.org/officeDocument/2006/relationships/hyperlink" Target="https://drive.google.com/file/d/1LlHkdR9pNZm0TtWv22sI6fgkv9V4Klzj/view" TargetMode="External"/><Relationship Id="rId3196" Type="http://schemas.openxmlformats.org/officeDocument/2006/relationships/hyperlink" Target="https://drive.google.com/file/d/1yFEZVWwhKCdVs_bV3cvhuHFG8Ly6NHEo/view" TargetMode="External"/><Relationship Id="rId3199" Type="http://schemas.openxmlformats.org/officeDocument/2006/relationships/hyperlink" Target="https://drive.google.com/file/d/1AxiEhMHrr97kGExR9YzYU_iHn3Tj2Ege/view" TargetMode="External"/><Relationship Id="rId3198" Type="http://schemas.openxmlformats.org/officeDocument/2006/relationships/hyperlink" Target="https://drive.google.com/file/d/1dYMhNagJpyINrqJRQ1tncMGpCcgMPCA5/view" TargetMode="External"/><Relationship Id="rId3180" Type="http://schemas.openxmlformats.org/officeDocument/2006/relationships/hyperlink" Target="https://drive.google.com/file/d/1rbRbbs8VflxLrZ0rYNeD_K-LEMsWhVc4/view" TargetMode="External"/><Relationship Id="rId3182" Type="http://schemas.openxmlformats.org/officeDocument/2006/relationships/hyperlink" Target="https://drive.google.com/file/d/1swsNnPGjtM5y9HWpzjeKYsXtNBBNqQHC/view" TargetMode="External"/><Relationship Id="rId3181" Type="http://schemas.openxmlformats.org/officeDocument/2006/relationships/hyperlink" Target="https://drive.google.com/file/d/1jWT2T5V_nSintfTmCAbfWpX5ffS-qTQY/view" TargetMode="External"/><Relationship Id="rId3184" Type="http://schemas.openxmlformats.org/officeDocument/2006/relationships/hyperlink" Target="https://drive.google.com/file/d/1ntWP6BS9OTibNSMdw4YzzemMCZqml8Vc/view" TargetMode="External"/><Relationship Id="rId3183" Type="http://schemas.openxmlformats.org/officeDocument/2006/relationships/hyperlink" Target="https://drive.google.com/file/d/1LlHkdR9pNZm0TtWv22sI6fgkv9V4Klzj/view" TargetMode="External"/><Relationship Id="rId3186" Type="http://schemas.openxmlformats.org/officeDocument/2006/relationships/hyperlink" Target="https://drive.google.com/file/d/1TfWeAJG9ge4cayhOTXP-XX1OdPG2j9h0/view" TargetMode="External"/><Relationship Id="rId3185" Type="http://schemas.openxmlformats.org/officeDocument/2006/relationships/hyperlink" Target="https://drive.google.com/file/d/189E7s29qJmqYtppSh2Io6V-mIT3gGfUj/view" TargetMode="External"/><Relationship Id="rId3188" Type="http://schemas.openxmlformats.org/officeDocument/2006/relationships/hyperlink" Target="https://drive.google.com/file/d/1RHAoZSAH-u7I_kZgPiSQz9dJyWgQmDyp/view" TargetMode="External"/><Relationship Id="rId3187" Type="http://schemas.openxmlformats.org/officeDocument/2006/relationships/hyperlink" Target="https://drive.google.com/file/d/1rbRbbs8VflxLrZ0rYNeD_K-LEMsWhVc4/view" TargetMode="External"/><Relationship Id="rId3189" Type="http://schemas.openxmlformats.org/officeDocument/2006/relationships/hyperlink" Target="https://drive.google.com/file/d/1H0PyD8sM1E2Mx-d25GXrQLDJDrb3M8cf/view" TargetMode="External"/><Relationship Id="rId3151" Type="http://schemas.openxmlformats.org/officeDocument/2006/relationships/hyperlink" Target="https://drive.google.com/file/d/1R_hVb8C5dv5YOGbAug2NqJ7j0k4OutmF/view" TargetMode="External"/><Relationship Id="rId3150" Type="http://schemas.openxmlformats.org/officeDocument/2006/relationships/hyperlink" Target="https://drive.google.com/file/d/15oJtJB_k5lSH3l2F0__tU1_aD2A32Kdp/view" TargetMode="External"/><Relationship Id="rId3153" Type="http://schemas.openxmlformats.org/officeDocument/2006/relationships/hyperlink" Target="https://drive.google.com/file/d/1rbRbbs8VflxLrZ0rYNeD_K-LEMsWhVc4/view" TargetMode="External"/><Relationship Id="rId3152" Type="http://schemas.openxmlformats.org/officeDocument/2006/relationships/hyperlink" Target="https://drive.google.com/file/d/1wOn5xdsi0al5-8G_8SNZzymwxnFatWPg/view" TargetMode="External"/><Relationship Id="rId3155" Type="http://schemas.openxmlformats.org/officeDocument/2006/relationships/hyperlink" Target="https://drive.google.com/file/d/1r-utfi33tfiU8ATRkqG5KC4wcS1UVxQC/view" TargetMode="External"/><Relationship Id="rId3154" Type="http://schemas.openxmlformats.org/officeDocument/2006/relationships/hyperlink" Target="https://drive.google.com/file/d/1sccrhQBeYxNNQJnW98C4sUFkAgSyU8Lp/view" TargetMode="External"/><Relationship Id="rId3157" Type="http://schemas.openxmlformats.org/officeDocument/2006/relationships/hyperlink" Target="https://drive.google.com/file/d/15oJtJB_k5lSH3l2F0__tU1_aD2A32Kdp/view" TargetMode="External"/><Relationship Id="rId3156" Type="http://schemas.openxmlformats.org/officeDocument/2006/relationships/hyperlink" Target="https://drive.google.com/file/d/1LlHkdR9pNZm0TtWv22sI6fgkv9V4Klzj/view" TargetMode="External"/><Relationship Id="rId3159" Type="http://schemas.openxmlformats.org/officeDocument/2006/relationships/hyperlink" Target="https://drive.google.com/file/d/1wOn5xdsi0al5-8G_8SNZzymwxnFatWPg/view" TargetMode="External"/><Relationship Id="rId3158" Type="http://schemas.openxmlformats.org/officeDocument/2006/relationships/hyperlink" Target="https://drive.google.com/file/d/1R_hVb8C5dv5YOGbAug2NqJ7j0k4OutmF/view" TargetMode="External"/><Relationship Id="rId3149" Type="http://schemas.openxmlformats.org/officeDocument/2006/relationships/hyperlink" Target="https://drive.google.com/file/d/1LlHkdR9pNZm0TtWv22sI6fgkv9V4Klzj/view" TargetMode="External"/><Relationship Id="rId3140" Type="http://schemas.openxmlformats.org/officeDocument/2006/relationships/hyperlink" Target="https://drive.google.com/file/d/1kCQoUkubSZSo0C_PbfGGYOJvOwTrzYJk/view" TargetMode="External"/><Relationship Id="rId3142" Type="http://schemas.openxmlformats.org/officeDocument/2006/relationships/hyperlink" Target="https://drive.google.com/file/d/1LlHkdR9pNZm0TtWv22sI6fgkv9V4Klzj/view" TargetMode="External"/><Relationship Id="rId3141" Type="http://schemas.openxmlformats.org/officeDocument/2006/relationships/hyperlink" Target="https://drive.google.com/file/d/1j2DykVY_4jjqKJSLdbc_-KEXfAIwyHJX/view" TargetMode="External"/><Relationship Id="rId3144" Type="http://schemas.openxmlformats.org/officeDocument/2006/relationships/hyperlink" Target="https://drive.google.com/file/d/1R_hVb8C5dv5YOGbAug2NqJ7j0k4OutmF/view" TargetMode="External"/><Relationship Id="rId3143" Type="http://schemas.openxmlformats.org/officeDocument/2006/relationships/hyperlink" Target="https://drive.google.com/file/d/15oJtJB_k5lSH3l2F0__tU1_aD2A32Kdp/view" TargetMode="External"/><Relationship Id="rId3146" Type="http://schemas.openxmlformats.org/officeDocument/2006/relationships/hyperlink" Target="https://drive.google.com/file/d/1rbRbbs8VflxLrZ0rYNeD_K-LEMsWhVc4/view" TargetMode="External"/><Relationship Id="rId3145" Type="http://schemas.openxmlformats.org/officeDocument/2006/relationships/hyperlink" Target="https://drive.google.com/file/d/1wOn5xdsi0al5-8G_8SNZzymwxnFatWPg/view" TargetMode="External"/><Relationship Id="rId3148" Type="http://schemas.openxmlformats.org/officeDocument/2006/relationships/hyperlink" Target="https://drive.google.com/file/d/1j2DykVY_4jjqKJSLdbc_-KEXfAIwyHJX/view" TargetMode="External"/><Relationship Id="rId3147" Type="http://schemas.openxmlformats.org/officeDocument/2006/relationships/hyperlink" Target="https://drive.google.com/file/d/1kCQoUkubSZSo0C_PbfGGYOJvOwTrzYJk/view" TargetMode="External"/><Relationship Id="rId3171" Type="http://schemas.openxmlformats.org/officeDocument/2006/relationships/hyperlink" Target="https://drive.google.com/file/d/1R_hVb8C5dv5YOGbAug2NqJ7j0k4OutmF/view" TargetMode="External"/><Relationship Id="rId3170" Type="http://schemas.openxmlformats.org/officeDocument/2006/relationships/hyperlink" Target="https://drive.google.com/file/d/15oJtJB_k5lSH3l2F0__tU1_aD2A32Kdp/view" TargetMode="External"/><Relationship Id="rId3173" Type="http://schemas.openxmlformats.org/officeDocument/2006/relationships/hyperlink" Target="https://drive.google.com/file/d/1rbRbbs8VflxLrZ0rYNeD_K-LEMsWhVc4/view" TargetMode="External"/><Relationship Id="rId3172" Type="http://schemas.openxmlformats.org/officeDocument/2006/relationships/hyperlink" Target="https://drive.google.com/file/d/1wOn5xdsi0al5-8G_8SNZzymwxnFatWPg/view" TargetMode="External"/><Relationship Id="rId3175" Type="http://schemas.openxmlformats.org/officeDocument/2006/relationships/hyperlink" Target="https://drive.google.com/file/d/1swsNnPGjtM5y9HWpzjeKYsXtNBBNqQHC/view" TargetMode="External"/><Relationship Id="rId3174" Type="http://schemas.openxmlformats.org/officeDocument/2006/relationships/hyperlink" Target="https://drive.google.com/file/d/1jWT2T5V_nSintfTmCAbfWpX5ffS-qTQY/view" TargetMode="External"/><Relationship Id="rId3177" Type="http://schemas.openxmlformats.org/officeDocument/2006/relationships/hyperlink" Target="https://drive.google.com/file/d/1ntWP6BS9OTibNSMdw4YzzemMCZqml8Vc/view" TargetMode="External"/><Relationship Id="rId3176" Type="http://schemas.openxmlformats.org/officeDocument/2006/relationships/hyperlink" Target="https://drive.google.com/file/d/1LlHkdR9pNZm0TtWv22sI6fgkv9V4Klzj/view" TargetMode="External"/><Relationship Id="rId3179" Type="http://schemas.openxmlformats.org/officeDocument/2006/relationships/hyperlink" Target="https://drive.google.com/file/d/1TfWeAJG9ge4cayhOTXP-XX1OdPG2j9h0/view" TargetMode="External"/><Relationship Id="rId3178" Type="http://schemas.openxmlformats.org/officeDocument/2006/relationships/hyperlink" Target="https://drive.google.com/file/d/189E7s29qJmqYtppSh2Io6V-mIT3gGfUj/view" TargetMode="External"/><Relationship Id="rId3160" Type="http://schemas.openxmlformats.org/officeDocument/2006/relationships/hyperlink" Target="https://drive.google.com/file/d/1rbRbbs8VflxLrZ0rYNeD_K-LEMsWhVc4/view" TargetMode="External"/><Relationship Id="rId3162" Type="http://schemas.openxmlformats.org/officeDocument/2006/relationships/hyperlink" Target="https://drive.google.com/file/d/1TRAXbZup8nCTaNNJoEg-DmOB8nIAzI0h/view" TargetMode="External"/><Relationship Id="rId3161" Type="http://schemas.openxmlformats.org/officeDocument/2006/relationships/hyperlink" Target="https://drive.google.com/file/d/1LI519fEaqYpkS22zRP37f9t4dLNu6D15/view" TargetMode="External"/><Relationship Id="rId3164" Type="http://schemas.openxmlformats.org/officeDocument/2006/relationships/hyperlink" Target="https://drive.google.com/file/d/15oJtJB_k5lSH3l2F0__tU1_aD2A32Kdp/view" TargetMode="External"/><Relationship Id="rId3163" Type="http://schemas.openxmlformats.org/officeDocument/2006/relationships/hyperlink" Target="https://drive.google.com/file/d/1LlHkdR9pNZm0TtWv22sI6fgkv9V4Klzj/view" TargetMode="External"/><Relationship Id="rId3166" Type="http://schemas.openxmlformats.org/officeDocument/2006/relationships/hyperlink" Target="https://drive.google.com/file/d/1wOn5xdsi0al5-8G_8SNZzymwxnFatWPg/view" TargetMode="External"/><Relationship Id="rId3165" Type="http://schemas.openxmlformats.org/officeDocument/2006/relationships/hyperlink" Target="https://drive.google.com/file/d/1R_hVb8C5dv5YOGbAug2NqJ7j0k4OutmF/view" TargetMode="External"/><Relationship Id="rId3168" Type="http://schemas.openxmlformats.org/officeDocument/2006/relationships/hyperlink" Target="https://drive.google.com/file/d/1Y2sqEK_eTNUtaMIsB72p-M-Fo3tgAPdj/view" TargetMode="External"/><Relationship Id="rId3167" Type="http://schemas.openxmlformats.org/officeDocument/2006/relationships/hyperlink" Target="https://drive.google.com/file/d/1rbRbbs8VflxLrZ0rYNeD_K-LEMsWhVc4/view" TargetMode="External"/><Relationship Id="rId3169" Type="http://schemas.openxmlformats.org/officeDocument/2006/relationships/hyperlink" Target="https://drive.google.com/file/d/1LlHkdR9pNZm0TtWv22sI6fgkv9V4Klzj/view" TargetMode="External"/><Relationship Id="rId2700" Type="http://schemas.openxmlformats.org/officeDocument/2006/relationships/hyperlink" Target="https://drive.google.com/file/d/1QlD4YN13a3JIEpzDCTLtDfsbIgNOT6cu/view" TargetMode="External"/><Relationship Id="rId2701" Type="http://schemas.openxmlformats.org/officeDocument/2006/relationships/hyperlink" Target="https://drive.google.com/file/d/10vt4kdocYPQ5Jc4iEIDeG8rN8jQDaCRg/view" TargetMode="External"/><Relationship Id="rId2702" Type="http://schemas.openxmlformats.org/officeDocument/2006/relationships/hyperlink" Target="https://drive.google.com/file/d/1mBL0Kg8-1X1DH68YFJamh-nVUCR6vmeg/view" TargetMode="External"/><Relationship Id="rId2703" Type="http://schemas.openxmlformats.org/officeDocument/2006/relationships/hyperlink" Target="https://drive.google.com/file/d/1QVD7VXEbEtb4u6QS4_fGUuYCa47wKAvd/view" TargetMode="External"/><Relationship Id="rId2704" Type="http://schemas.openxmlformats.org/officeDocument/2006/relationships/hyperlink" Target="https://drive.google.com/file/d/12uMHNdbQwK_xX0FX0wc0QMe8e0qp_c3W/view" TargetMode="External"/><Relationship Id="rId2705" Type="http://schemas.openxmlformats.org/officeDocument/2006/relationships/hyperlink" Target="https://drive.google.com/file/d/17KbUxXXTyhJzBh6MFJwygcAsb5nLtVEr/view" TargetMode="External"/><Relationship Id="rId2706" Type="http://schemas.openxmlformats.org/officeDocument/2006/relationships/hyperlink" Target="https://drive.google.com/file/d/1XO9i_g7e_SXYz2FJpH5FSFdFNjj6GT5_/view" TargetMode="External"/><Relationship Id="rId2707" Type="http://schemas.openxmlformats.org/officeDocument/2006/relationships/hyperlink" Target="https://drive.google.com/file/d/1Jk75kjLXYThEPBRPmyzas3h52uBiGfK5/view" TargetMode="External"/><Relationship Id="rId2708" Type="http://schemas.openxmlformats.org/officeDocument/2006/relationships/hyperlink" Target="https://drive.google.com/file/d/1mBL0Kg8-1X1DH68YFJamh-nVUCR6vmeg/view" TargetMode="External"/><Relationship Id="rId2709" Type="http://schemas.openxmlformats.org/officeDocument/2006/relationships/hyperlink" Target="https://drive.google.com/file/d/15BdLuNAvKkKx0AtsH96rAZjDPAIQpCdA/view" TargetMode="External"/><Relationship Id="rId2720" Type="http://schemas.openxmlformats.org/officeDocument/2006/relationships/hyperlink" Target="https://drive.google.com/file/d/1iy3M4cIvUZlBoly11AKM4wtMIJHTkbik/view" TargetMode="External"/><Relationship Id="rId2721" Type="http://schemas.openxmlformats.org/officeDocument/2006/relationships/hyperlink" Target="https://drive.google.com/file/d/1hNEM3f7zkJxghfO_yv2n2PoAqAvAPSZF/view" TargetMode="External"/><Relationship Id="rId2722" Type="http://schemas.openxmlformats.org/officeDocument/2006/relationships/hyperlink" Target="https://drive.google.com/file/d/1lCMzyKaxaXDlCJGocwYB7lQcZlrg-1g9/view" TargetMode="External"/><Relationship Id="rId2723" Type="http://schemas.openxmlformats.org/officeDocument/2006/relationships/hyperlink" Target="https://drive.google.com/file/d/1F6OvPxgYWw0jdef86j3hVd2de7FhhRBx/view" TargetMode="External"/><Relationship Id="rId2724" Type="http://schemas.openxmlformats.org/officeDocument/2006/relationships/hyperlink" Target="https://drive.google.com/file/d/1aqJrEu-YSE8BNB4OF8An1ehsX4NhEh-z/view" TargetMode="External"/><Relationship Id="rId2725" Type="http://schemas.openxmlformats.org/officeDocument/2006/relationships/hyperlink" Target="https://drive.google.com/file/d/1w5xRZfgy_v1sQmbfRsmVRgaC10r5TfPS/view" TargetMode="External"/><Relationship Id="rId2726" Type="http://schemas.openxmlformats.org/officeDocument/2006/relationships/hyperlink" Target="https://drive.google.com/file/d/1Za7I-uGnHdoq_lPZxYSOTqPcCq7tntX_/view" TargetMode="External"/><Relationship Id="rId2727" Type="http://schemas.openxmlformats.org/officeDocument/2006/relationships/hyperlink" Target="https://drive.google.com/file/d/10H2gYCpfoL3UxXxRkq8LpzzJBgtovMw6/view" TargetMode="External"/><Relationship Id="rId2728" Type="http://schemas.openxmlformats.org/officeDocument/2006/relationships/hyperlink" Target="https://drive.google.com/file/d/152BWQTtfN5o9dRbRzWmFNxFTZ0KLrSlR/view" TargetMode="External"/><Relationship Id="rId2729" Type="http://schemas.openxmlformats.org/officeDocument/2006/relationships/hyperlink" Target="https://drive.google.com/file/d/1lCMzyKaxaXDlCJGocwYB7lQcZlrg-1g9/view" TargetMode="External"/><Relationship Id="rId2710" Type="http://schemas.openxmlformats.org/officeDocument/2006/relationships/hyperlink" Target="https://drive.google.com/file/d/1JiT5Yp9hTq4nb1JWwUWFpupXwBjOaCtm/view" TargetMode="External"/><Relationship Id="rId2711" Type="http://schemas.openxmlformats.org/officeDocument/2006/relationships/hyperlink" Target="https://drive.google.com/file/d/1T5Wf0clZGszHA0rXTCzH9j5TsluwLbec/view" TargetMode="External"/><Relationship Id="rId2712" Type="http://schemas.openxmlformats.org/officeDocument/2006/relationships/hyperlink" Target="https://drive.google.com/file/d/1gLvdXSVdWfjBHurdU23Rag_0k9MskfkA/view" TargetMode="External"/><Relationship Id="rId2713" Type="http://schemas.openxmlformats.org/officeDocument/2006/relationships/hyperlink" Target="https://drive.google.com/file/d/1iy3M4cIvUZlBoly11AKM4wtMIJHTkbik/view" TargetMode="External"/><Relationship Id="rId2714" Type="http://schemas.openxmlformats.org/officeDocument/2006/relationships/hyperlink" Target="https://drive.google.com/file/d/1hNEM3f7zkJxghfO_yv2n2PoAqAvAPSZF/view" TargetMode="External"/><Relationship Id="rId2715" Type="http://schemas.openxmlformats.org/officeDocument/2006/relationships/hyperlink" Target="https://drive.google.com/file/d/1lCMzyKaxaXDlCJGocwYB7lQcZlrg-1g9/view" TargetMode="External"/><Relationship Id="rId2716" Type="http://schemas.openxmlformats.org/officeDocument/2006/relationships/hyperlink" Target="https://drive.google.com/file/d/1F6OvPxgYWw0jdef86j3hVd2de7FhhRBx/view" TargetMode="External"/><Relationship Id="rId2717" Type="http://schemas.openxmlformats.org/officeDocument/2006/relationships/hyperlink" Target="https://drive.google.com/file/d/1aqJrEu-YSE8BNB4OF8An1ehsX4NhEh-z/view" TargetMode="External"/><Relationship Id="rId2718" Type="http://schemas.openxmlformats.org/officeDocument/2006/relationships/hyperlink" Target="https://drive.google.com/file/d/1w5xRZfgy_v1sQmbfRsmVRgaC10r5TfPS/view" TargetMode="External"/><Relationship Id="rId2719" Type="http://schemas.openxmlformats.org/officeDocument/2006/relationships/hyperlink" Target="https://drive.google.com/file/d/1Za7I-uGnHdoq_lPZxYSOTqPcCq7tntX_/view" TargetMode="External"/><Relationship Id="rId1455" Type="http://schemas.openxmlformats.org/officeDocument/2006/relationships/hyperlink" Target="https://drive.google.com/file/d/13CMmaO39ppB6PM0YheOM8lEHnm6HqwJP/view" TargetMode="External"/><Relationship Id="rId2786" Type="http://schemas.openxmlformats.org/officeDocument/2006/relationships/hyperlink" Target="https://drive.google.com/file/d/1KfearkFFWl75W7Q6uSFO7NrsUCMpCH6n/view" TargetMode="External"/><Relationship Id="rId1456" Type="http://schemas.openxmlformats.org/officeDocument/2006/relationships/hyperlink" Target="https://drive.google.com/file/d/1C1QbOXjUciEUtGoMdVSUJuyyqny5R1c0/view" TargetMode="External"/><Relationship Id="rId2787" Type="http://schemas.openxmlformats.org/officeDocument/2006/relationships/hyperlink" Target="https://drive.google.com/file/d/1TbcD-OuacaIWgMP18uKH3eKFIBhkkLp-/view" TargetMode="External"/><Relationship Id="rId1457" Type="http://schemas.openxmlformats.org/officeDocument/2006/relationships/hyperlink" Target="https://drive.google.com/file/d/1-jMQ0ZHKpiHpDcwkTqy8hNwgNT1adhgw/view" TargetMode="External"/><Relationship Id="rId2788" Type="http://schemas.openxmlformats.org/officeDocument/2006/relationships/hyperlink" Target="https://drive.google.com/file/d/1DPQwrDql5kLCMqdsnmM2FI2z3wLVtt_9/view" TargetMode="External"/><Relationship Id="rId1458" Type="http://schemas.openxmlformats.org/officeDocument/2006/relationships/hyperlink" Target="https://drive.google.com/file/d/1Extqm0Rf9fw5NB4zQyMw6IEou9Fce_N5/view" TargetMode="External"/><Relationship Id="rId2789" Type="http://schemas.openxmlformats.org/officeDocument/2006/relationships/hyperlink" Target="https://drive.google.com/file/d/1F2zKekh2VJjR9rNuOfpVCAs1dXr0WrEH/view" TargetMode="External"/><Relationship Id="rId1459" Type="http://schemas.openxmlformats.org/officeDocument/2006/relationships/hyperlink" Target="https://drive.google.com/file/d/13CMmaO39ppB6PM0YheOM8lEHnm6HqwJP/view" TargetMode="External"/><Relationship Id="rId629" Type="http://schemas.openxmlformats.org/officeDocument/2006/relationships/hyperlink" Target="https://drive.google.com/file/d/1P8rLtiGDhCk9dUersezqpeHAfqeqatPY/view" TargetMode="External"/><Relationship Id="rId624" Type="http://schemas.openxmlformats.org/officeDocument/2006/relationships/hyperlink" Target="https://drive.google.com/file/d/1hYoFGjEd4qPIBxEpHHAYsoMBykI_bQzq/view" TargetMode="External"/><Relationship Id="rId623" Type="http://schemas.openxmlformats.org/officeDocument/2006/relationships/hyperlink" Target="https://drive.google.com/file/d/1Cgc6KU1LwePl0_HIZXScj_Cl83tmICoi/view" TargetMode="External"/><Relationship Id="rId622" Type="http://schemas.openxmlformats.org/officeDocument/2006/relationships/hyperlink" Target="https://drive.google.com/file/d/1fFlex-b3ynUZIWxdlA4zAlrFH3j6a9uB/view" TargetMode="External"/><Relationship Id="rId621" Type="http://schemas.openxmlformats.org/officeDocument/2006/relationships/hyperlink" Target="https://drive.google.com/file/d/1PhdecW523KaEXczejONUxgm9dhJPN7rY/view" TargetMode="External"/><Relationship Id="rId628" Type="http://schemas.openxmlformats.org/officeDocument/2006/relationships/hyperlink" Target="https://drive.google.com/file/d/1mxISe6QdeWmlTEaTxcXegLWbjp2xWrhG/view" TargetMode="External"/><Relationship Id="rId627" Type="http://schemas.openxmlformats.org/officeDocument/2006/relationships/hyperlink" Target="https://drive.google.com/file/d/17dGlycTORKDXilhDpnxPACcgpsP5bflJ/view" TargetMode="External"/><Relationship Id="rId626" Type="http://schemas.openxmlformats.org/officeDocument/2006/relationships/hyperlink" Target="https://drive.google.com/file/d/1_1C1b_9jIRsrY9IzAqV0tpLZiQIDmNQ-/view" TargetMode="External"/><Relationship Id="rId625" Type="http://schemas.openxmlformats.org/officeDocument/2006/relationships/hyperlink" Target="https://drive.google.com/file/d/1RSveJoCUrFRermYXUFA-XJinHlP7uqu4/view" TargetMode="External"/><Relationship Id="rId2780" Type="http://schemas.openxmlformats.org/officeDocument/2006/relationships/hyperlink" Target="https://drive.google.com/file/d/1fZDxmYCviv62Vestma_JL5cP12Xnjfsc/view" TargetMode="External"/><Relationship Id="rId1450" Type="http://schemas.openxmlformats.org/officeDocument/2006/relationships/hyperlink" Target="https://drive.google.com/file/d/19GlN5VfDGy9Hx6ZhjWpfW6Bzp7oiOLLh/view" TargetMode="External"/><Relationship Id="rId2781" Type="http://schemas.openxmlformats.org/officeDocument/2006/relationships/hyperlink" Target="https://drive.google.com/file/d/1F2zKekh2VJjR9rNuOfpVCAs1dXr0WrEH/view" TargetMode="External"/><Relationship Id="rId620" Type="http://schemas.openxmlformats.org/officeDocument/2006/relationships/hyperlink" Target="https://drive.google.com/file/d/1kVZrfpdKVX0v5wh3c_m1QW2w_tPiBeek/view" TargetMode="External"/><Relationship Id="rId1451" Type="http://schemas.openxmlformats.org/officeDocument/2006/relationships/hyperlink" Target="https://drive.google.com/file/d/1dGBX84EV8VgbBHYnz9icI92PY_BAyvJZ/view" TargetMode="External"/><Relationship Id="rId2782" Type="http://schemas.openxmlformats.org/officeDocument/2006/relationships/hyperlink" Target="https://drive.google.com/file/d/1Drdd4zSMSj1-OjRf9F7mymvv9MVyAQYE/view" TargetMode="External"/><Relationship Id="rId1452" Type="http://schemas.openxmlformats.org/officeDocument/2006/relationships/hyperlink" Target="https://drive.google.com/file/d/1JQo8jjVkN2YONaR3N1gUOglnM1MVSDA8/view" TargetMode="External"/><Relationship Id="rId2783" Type="http://schemas.openxmlformats.org/officeDocument/2006/relationships/hyperlink" Target="https://drive.google.com/file/d/1ajZzSHSVzFsmAo7J_mHqEZRBTG9YZnlz/view" TargetMode="External"/><Relationship Id="rId1453" Type="http://schemas.openxmlformats.org/officeDocument/2006/relationships/hyperlink" Target="https://drive.google.com/file/d/1Vv-IVPP1tNfrMHZ-Pmk8GqBLk54CqwWC/view" TargetMode="External"/><Relationship Id="rId2784" Type="http://schemas.openxmlformats.org/officeDocument/2006/relationships/hyperlink" Target="https://drive.google.com/file/d/1rHx5BCFcxRilinX3BHw_ko1T5h4SiSb4/view" TargetMode="External"/><Relationship Id="rId1454" Type="http://schemas.openxmlformats.org/officeDocument/2006/relationships/hyperlink" Target="https://drive.google.com/file/d/1Extqm0Rf9fw5NB4zQyMw6IEou9Fce_N5/view" TargetMode="External"/><Relationship Id="rId2785" Type="http://schemas.openxmlformats.org/officeDocument/2006/relationships/hyperlink" Target="https://drive.google.com/file/d/1F2zKekh2VJjR9rNuOfpVCAs1dXr0WrEH/view" TargetMode="External"/><Relationship Id="rId1444" Type="http://schemas.openxmlformats.org/officeDocument/2006/relationships/hyperlink" Target="https://drive.google.com/file/d/1E9i3BQIHFqJZnYcUiLjBUMel0D6FwBo6/view" TargetMode="External"/><Relationship Id="rId2775" Type="http://schemas.openxmlformats.org/officeDocument/2006/relationships/hyperlink" Target="https://drive.google.com/file/d/1MV7FWxJlhUajcqXVz9zmKitQ3rp4fToe/view" TargetMode="External"/><Relationship Id="rId1445" Type="http://schemas.openxmlformats.org/officeDocument/2006/relationships/hyperlink" Target="https://drive.google.com/file/d/1Fl_GYheibtPsD5GNoURlaaQPj9x7v1EJ/view" TargetMode="External"/><Relationship Id="rId2776" Type="http://schemas.openxmlformats.org/officeDocument/2006/relationships/hyperlink" Target="https://drive.google.com/file/d/1vo7FJykrP7vn7Xcc3Uya_HN2RfZgcu0H/view" TargetMode="External"/><Relationship Id="rId1446" Type="http://schemas.openxmlformats.org/officeDocument/2006/relationships/hyperlink" Target="https://drive.google.com/file/d/1yUqWlMLLfENs0LPRowlW4VsUtX7cQvpT/view" TargetMode="External"/><Relationship Id="rId2777" Type="http://schemas.openxmlformats.org/officeDocument/2006/relationships/hyperlink" Target="https://drive.google.com/file/d/1F2zKekh2VJjR9rNuOfpVCAs1dXr0WrEH/view" TargetMode="External"/><Relationship Id="rId1447" Type="http://schemas.openxmlformats.org/officeDocument/2006/relationships/hyperlink" Target="https://drive.google.com/file/d/1lg3KBoD5Uls56bYcSydqzrOv6R1QJRtm/view" TargetMode="External"/><Relationship Id="rId2778" Type="http://schemas.openxmlformats.org/officeDocument/2006/relationships/hyperlink" Target="https://drive.google.com/file/d/16pNWFLkeSH7vYhnYoN_vUTn3i-Vhcuw_/view" TargetMode="External"/><Relationship Id="rId1448" Type="http://schemas.openxmlformats.org/officeDocument/2006/relationships/hyperlink" Target="https://drive.google.com/file/d/1E9i3BQIHFqJZnYcUiLjBUMel0D6FwBo6/view" TargetMode="External"/><Relationship Id="rId2779" Type="http://schemas.openxmlformats.org/officeDocument/2006/relationships/hyperlink" Target="https://drive.google.com/file/d/16KuggiN3v1N07FWGJkZhQ4tc6cU4-hBF/view" TargetMode="External"/><Relationship Id="rId1449" Type="http://schemas.openxmlformats.org/officeDocument/2006/relationships/hyperlink" Target="https://drive.google.com/file/d/1tT59GVFA1OR5hy7k5uYmwwEwehXVuGNa/view" TargetMode="External"/><Relationship Id="rId619" Type="http://schemas.openxmlformats.org/officeDocument/2006/relationships/hyperlink" Target="https://drive.google.com/file/d/1hYoFGjEd4qPIBxEpHHAYsoMBykI_bQzq/view" TargetMode="External"/><Relationship Id="rId618" Type="http://schemas.openxmlformats.org/officeDocument/2006/relationships/hyperlink" Target="https://drive.google.com/file/d/1Cgc6KU1LwePl0_HIZXScj_Cl83tmICoi/view" TargetMode="External"/><Relationship Id="rId613" Type="http://schemas.openxmlformats.org/officeDocument/2006/relationships/hyperlink" Target="https://drive.google.com/file/d/1k0Sw-HXY6INSftDGFe2DI2Q6YmdIUWxx/view" TargetMode="External"/><Relationship Id="rId612" Type="http://schemas.openxmlformats.org/officeDocument/2006/relationships/hyperlink" Target="https://drive.google.com/file/d/1j1vFHtuYVla2aiYhnLAwAVLG2CB0om0d/view" TargetMode="External"/><Relationship Id="rId611" Type="http://schemas.openxmlformats.org/officeDocument/2006/relationships/hyperlink" Target="https://drive.google.com/file/d/1fA6OnHKp_GE36ccWS0I1vgiWn4qwDV_S/view" TargetMode="External"/><Relationship Id="rId610" Type="http://schemas.openxmlformats.org/officeDocument/2006/relationships/hyperlink" Target="https://drive.google.com/file/d/1os0mw8lo58Jzu29BlOs2bgJ2_0sknfno/view" TargetMode="External"/><Relationship Id="rId617" Type="http://schemas.openxmlformats.org/officeDocument/2006/relationships/hyperlink" Target="https://drive.google.com/file/d/1fFlex-b3ynUZIWxdlA4zAlrFH3j6a9uB/view" TargetMode="External"/><Relationship Id="rId616" Type="http://schemas.openxmlformats.org/officeDocument/2006/relationships/hyperlink" Target="https://drive.google.com/file/d/1KnJtFHIv9iBFFOWgPzKxIwqCexRRR-9n/view" TargetMode="External"/><Relationship Id="rId615" Type="http://schemas.openxmlformats.org/officeDocument/2006/relationships/hyperlink" Target="https://drive.google.com/file/d/1iMbKCoNBDcG_7bLLTyb-fj8DFovszlLh/view" TargetMode="External"/><Relationship Id="rId614" Type="http://schemas.openxmlformats.org/officeDocument/2006/relationships/hyperlink" Target="https://drive.google.com/file/d/1cmVPqBvhVXJfJCQ7Xrln-B6htN-9M6Ov/view" TargetMode="External"/><Relationship Id="rId2770" Type="http://schemas.openxmlformats.org/officeDocument/2006/relationships/hyperlink" Target="https://drive.google.com/file/d/1HeMst3R1X_aLhWnscXUPZ2UxCaes7VhR/view" TargetMode="External"/><Relationship Id="rId1440" Type="http://schemas.openxmlformats.org/officeDocument/2006/relationships/hyperlink" Target="https://drive.google.com/file/d/1E9i3BQIHFqJZnYcUiLjBUMel0D6FwBo6/view" TargetMode="External"/><Relationship Id="rId2771" Type="http://schemas.openxmlformats.org/officeDocument/2006/relationships/hyperlink" Target="https://drive.google.com/file/d/14IrXb-UUsVQ2nAw6CWI_vCaF2RI3FrY9/view" TargetMode="External"/><Relationship Id="rId1441" Type="http://schemas.openxmlformats.org/officeDocument/2006/relationships/hyperlink" Target="https://drive.google.com/file/d/1v_1_jBRC7C5AFP5GUQDCN2j46oAEvTz1/view" TargetMode="External"/><Relationship Id="rId2772" Type="http://schemas.openxmlformats.org/officeDocument/2006/relationships/hyperlink" Target="https://drive.google.com/file/d/1W2iUvzIPk22H0dhg-hcKG1SUwHYeu4pX/view" TargetMode="External"/><Relationship Id="rId1442" Type="http://schemas.openxmlformats.org/officeDocument/2006/relationships/hyperlink" Target="https://drive.google.com/file/d/1J_I8RFt6gqn5vzpN5lR8w7k_yCK58us-/view" TargetMode="External"/><Relationship Id="rId2773" Type="http://schemas.openxmlformats.org/officeDocument/2006/relationships/hyperlink" Target="https://drive.google.com/file/d/1aov2LhUW-51vSCij1p2A4Y0oAjOlGIWo/view" TargetMode="External"/><Relationship Id="rId1443" Type="http://schemas.openxmlformats.org/officeDocument/2006/relationships/hyperlink" Target="https://drive.google.com/file/d/1lg3KBoD5Uls56bYcSydqzrOv6R1QJRtm/view" TargetMode="External"/><Relationship Id="rId2774" Type="http://schemas.openxmlformats.org/officeDocument/2006/relationships/hyperlink" Target="https://drive.google.com/file/d/1AKsttWZDJcNcQvRYrhke1AvYdmniafsf/view" TargetMode="External"/><Relationship Id="rId1477" Type="http://schemas.openxmlformats.org/officeDocument/2006/relationships/hyperlink" Target="https://drive.google.com/file/d/1_YW_E_I9GnlYQQmSo9dBR3c9s9Z5lcpU/view" TargetMode="External"/><Relationship Id="rId1478" Type="http://schemas.openxmlformats.org/officeDocument/2006/relationships/hyperlink" Target="https://drive.google.com/file/d/16ksLJAWww3wo_It4wVg_6usyoT8pARKa/view" TargetMode="External"/><Relationship Id="rId1479" Type="http://schemas.openxmlformats.org/officeDocument/2006/relationships/hyperlink" Target="https://drive.google.com/file/d/1D7VhhKR_haqfcpvTT6lARh9sRjxB17oJ/view" TargetMode="External"/><Relationship Id="rId646" Type="http://schemas.openxmlformats.org/officeDocument/2006/relationships/hyperlink" Target="https://drive.google.com/file/d/1KezLcNN-2Mo0YR_Fc51VpbWnE5ab7apV/view" TargetMode="External"/><Relationship Id="rId645" Type="http://schemas.openxmlformats.org/officeDocument/2006/relationships/hyperlink" Target="https://drive.google.com/file/d/1vxolT3Vr_ajvfA6YpMuyKgUcXKsRX1LU/view" TargetMode="External"/><Relationship Id="rId644" Type="http://schemas.openxmlformats.org/officeDocument/2006/relationships/hyperlink" Target="https://drive.google.com/file/d/1LSdJ9lPVFt0HiSFHT45pa_YTYYQDq342/view" TargetMode="External"/><Relationship Id="rId643" Type="http://schemas.openxmlformats.org/officeDocument/2006/relationships/hyperlink" Target="https://drive.google.com/file/d/1806sSAzPJDiy1mniiu6Q2D7XZK6CLazR/view" TargetMode="External"/><Relationship Id="rId649" Type="http://schemas.openxmlformats.org/officeDocument/2006/relationships/hyperlink" Target="https://drive.google.com/file/d/1BqlMC8_XqUMRWCtUYSbp4l9HPWzSyklX/view" TargetMode="External"/><Relationship Id="rId648" Type="http://schemas.openxmlformats.org/officeDocument/2006/relationships/hyperlink" Target="https://drive.google.com/file/d/1zhg6q_91sBU1noZa98i2fmcNvNDzfhW4/view" TargetMode="External"/><Relationship Id="rId647" Type="http://schemas.openxmlformats.org/officeDocument/2006/relationships/hyperlink" Target="https://drive.google.com/file/d/1j1vFHtuYVla2aiYhnLAwAVLG2CB0om0d/view" TargetMode="External"/><Relationship Id="rId1470" Type="http://schemas.openxmlformats.org/officeDocument/2006/relationships/hyperlink" Target="https://drive.google.com/file/d/1_YW_E_I9GnlYQQmSo9dBR3c9s9Z5lcpU/view" TargetMode="External"/><Relationship Id="rId1471" Type="http://schemas.openxmlformats.org/officeDocument/2006/relationships/hyperlink" Target="https://drive.google.com/file/d/16ksLJAWww3wo_It4wVg_6usyoT8pARKa/view" TargetMode="External"/><Relationship Id="rId1472" Type="http://schemas.openxmlformats.org/officeDocument/2006/relationships/hyperlink" Target="https://drive.google.com/file/d/1D7VhhKR_haqfcpvTT6lARh9sRjxB17oJ/view" TargetMode="External"/><Relationship Id="rId642" Type="http://schemas.openxmlformats.org/officeDocument/2006/relationships/hyperlink" Target="https://drive.google.com/file/d/11FdgHk8XWb0gNuKsTsnskB9ga9CFxNTd/view" TargetMode="External"/><Relationship Id="rId1473" Type="http://schemas.openxmlformats.org/officeDocument/2006/relationships/hyperlink" Target="https://drive.google.com/file/d/1aZU_qVd2kTZViil2EFS4-p1JnH73_opg/view" TargetMode="External"/><Relationship Id="rId641" Type="http://schemas.openxmlformats.org/officeDocument/2006/relationships/hyperlink" Target="https://drive.google.com/file/d/1OM9daK_-u9wAyYvv7TJRZ1fvm78FQxPM/view" TargetMode="External"/><Relationship Id="rId1474" Type="http://schemas.openxmlformats.org/officeDocument/2006/relationships/hyperlink" Target="https://drive.google.com/file/d/105FGN9cuU7iWmrhlc8LWReHMFN74ag1x/view" TargetMode="External"/><Relationship Id="rId640" Type="http://schemas.openxmlformats.org/officeDocument/2006/relationships/hyperlink" Target="https://drive.google.com/file/d/1lV8Yc6apeKljNfJL4y51N1LbD4tFGdl7/view" TargetMode="External"/><Relationship Id="rId1475" Type="http://schemas.openxmlformats.org/officeDocument/2006/relationships/hyperlink" Target="https://drive.google.com/file/d/1lLIxpkL-pX9ciaueesHppOtJDLP6JbBX/view" TargetMode="External"/><Relationship Id="rId1476" Type="http://schemas.openxmlformats.org/officeDocument/2006/relationships/hyperlink" Target="https://drive.google.com/file/d/1aS2L037MLQ2VZG8BdHheufdwznI_19Y1/view" TargetMode="External"/><Relationship Id="rId1466" Type="http://schemas.openxmlformats.org/officeDocument/2006/relationships/hyperlink" Target="https://drive.google.com/file/d/1v_xxiThCTzV29IxBia2syal9ASI8Eti_/view" TargetMode="External"/><Relationship Id="rId2797" Type="http://schemas.openxmlformats.org/officeDocument/2006/relationships/hyperlink" Target="https://drive.google.com/file/d/1F2zKekh2VJjR9rNuOfpVCAs1dXr0WrEH/view" TargetMode="External"/><Relationship Id="rId1467" Type="http://schemas.openxmlformats.org/officeDocument/2006/relationships/hyperlink" Target="https://drive.google.com/file/d/105FGN9cuU7iWmrhlc8LWReHMFN74ag1x/view" TargetMode="External"/><Relationship Id="rId2798" Type="http://schemas.openxmlformats.org/officeDocument/2006/relationships/hyperlink" Target="https://drive.google.com/file/d/1KfearkFFWl75W7Q6uSFO7NrsUCMpCH6n/view" TargetMode="External"/><Relationship Id="rId1468" Type="http://schemas.openxmlformats.org/officeDocument/2006/relationships/hyperlink" Target="https://drive.google.com/file/d/1lLIxpkL-pX9ciaueesHppOtJDLP6JbBX/view" TargetMode="External"/><Relationship Id="rId2799" Type="http://schemas.openxmlformats.org/officeDocument/2006/relationships/hyperlink" Target="https://drive.google.com/file/d/1TbcD-OuacaIWgMP18uKH3eKFIBhkkLp-/view" TargetMode="External"/><Relationship Id="rId1469" Type="http://schemas.openxmlformats.org/officeDocument/2006/relationships/hyperlink" Target="https://drive.google.com/file/d/1aS2L037MLQ2VZG8BdHheufdwznI_19Y1/view" TargetMode="External"/><Relationship Id="rId635" Type="http://schemas.openxmlformats.org/officeDocument/2006/relationships/hyperlink" Target="https://drive.google.com/file/d/1hbbk8BLcaK06zxXqDUDuwUW3uEB1flWx/view" TargetMode="External"/><Relationship Id="rId634" Type="http://schemas.openxmlformats.org/officeDocument/2006/relationships/hyperlink" Target="https://drive.google.com/file/d/1P8rLtiGDhCk9dUersezqpeHAfqeqatPY/view" TargetMode="External"/><Relationship Id="rId633" Type="http://schemas.openxmlformats.org/officeDocument/2006/relationships/hyperlink" Target="https://drive.google.com/file/d/1mxISe6QdeWmlTEaTxcXegLWbjp2xWrhG/view" TargetMode="External"/><Relationship Id="rId632" Type="http://schemas.openxmlformats.org/officeDocument/2006/relationships/hyperlink" Target="https://drive.google.com/file/d/17dGlycTORKDXilhDpnxPACcgpsP5bflJ/view" TargetMode="External"/><Relationship Id="rId639" Type="http://schemas.openxmlformats.org/officeDocument/2006/relationships/hyperlink" Target="https://drive.google.com/file/d/1LSdJ9lPVFt0HiSFHT45pa_YTYYQDq342/view" TargetMode="External"/><Relationship Id="rId638" Type="http://schemas.openxmlformats.org/officeDocument/2006/relationships/hyperlink" Target="https://drive.google.com/file/d/1806sSAzPJDiy1mniiu6Q2D7XZK6CLazR/view" TargetMode="External"/><Relationship Id="rId637" Type="http://schemas.openxmlformats.org/officeDocument/2006/relationships/hyperlink" Target="https://drive.google.com/file/d/11FdgHk8XWb0gNuKsTsnskB9ga9CFxNTd/view" TargetMode="External"/><Relationship Id="rId636" Type="http://schemas.openxmlformats.org/officeDocument/2006/relationships/hyperlink" Target="https://drive.google.com/file/d/1DzYaGyDD63XanOiv67Rz40k6C89r45q2/view" TargetMode="External"/><Relationship Id="rId2790" Type="http://schemas.openxmlformats.org/officeDocument/2006/relationships/hyperlink" Target="https://drive.google.com/file/d/16pNWFLkeSH7vYhnYoN_vUTn3i-Vhcuw_/view" TargetMode="External"/><Relationship Id="rId1460" Type="http://schemas.openxmlformats.org/officeDocument/2006/relationships/hyperlink" Target="https://drive.google.com/file/d/1C1QbOXjUciEUtGoMdVSUJuyyqny5R1c0/view" TargetMode="External"/><Relationship Id="rId2791" Type="http://schemas.openxmlformats.org/officeDocument/2006/relationships/hyperlink" Target="https://drive.google.com/file/d/16KuggiN3v1N07FWGJkZhQ4tc6cU4-hBF/view" TargetMode="External"/><Relationship Id="rId1461" Type="http://schemas.openxmlformats.org/officeDocument/2006/relationships/hyperlink" Target="https://drive.google.com/file/d/1Of03aAUVaK-9XWVC5XPXrn2l-KMjAMn-/view" TargetMode="External"/><Relationship Id="rId2792" Type="http://schemas.openxmlformats.org/officeDocument/2006/relationships/hyperlink" Target="https://drive.google.com/file/d/1bp7YE88Dp0hBW0dVpt3H_gWj3PETXFKx/view" TargetMode="External"/><Relationship Id="rId631" Type="http://schemas.openxmlformats.org/officeDocument/2006/relationships/hyperlink" Target="https://drive.google.com/file/d/1c4mK0PFxk5g7KSKeuNxL1CslZSATl4lg/view" TargetMode="External"/><Relationship Id="rId1462" Type="http://schemas.openxmlformats.org/officeDocument/2006/relationships/hyperlink" Target="https://drive.google.com/file/d/1Ft74mQmTD3gNlXfL1sxypgcqAxlW-YUk/view" TargetMode="External"/><Relationship Id="rId2793" Type="http://schemas.openxmlformats.org/officeDocument/2006/relationships/hyperlink" Target="https://drive.google.com/file/d/1F2zKekh2VJjR9rNuOfpVCAs1dXr0WrEH/view" TargetMode="External"/><Relationship Id="rId630" Type="http://schemas.openxmlformats.org/officeDocument/2006/relationships/hyperlink" Target="https://drive.google.com/file/d/16FJ51HpYGenTN3D1CEoZE572FFGfq4q9/view" TargetMode="External"/><Relationship Id="rId1463" Type="http://schemas.openxmlformats.org/officeDocument/2006/relationships/hyperlink" Target="https://drive.google.com/file/d/1v_xxiThCTzV29IxBia2syal9ASI8Eti_/view" TargetMode="External"/><Relationship Id="rId2794" Type="http://schemas.openxmlformats.org/officeDocument/2006/relationships/hyperlink" Target="https://drive.google.com/file/d/1Drdd4zSMSj1-OjRf9F7mymvv9MVyAQYE/view" TargetMode="External"/><Relationship Id="rId1464" Type="http://schemas.openxmlformats.org/officeDocument/2006/relationships/hyperlink" Target="https://drive.google.com/file/d/1Of03aAUVaK-9XWVC5XPXrn2l-KMjAMn-/view" TargetMode="External"/><Relationship Id="rId2795" Type="http://schemas.openxmlformats.org/officeDocument/2006/relationships/hyperlink" Target="https://drive.google.com/file/d/1ajZzSHSVzFsmAo7J_mHqEZRBTG9YZnlz/view" TargetMode="External"/><Relationship Id="rId1465" Type="http://schemas.openxmlformats.org/officeDocument/2006/relationships/hyperlink" Target="https://drive.google.com/file/d/1Ft74mQmTD3gNlXfL1sxypgcqAxlW-YUk/view" TargetMode="External"/><Relationship Id="rId2796" Type="http://schemas.openxmlformats.org/officeDocument/2006/relationships/hyperlink" Target="https://drive.google.com/file/d/1ek5GC_aii59_B56hwoAdjmp0968Nd-1o/view" TargetMode="External"/><Relationship Id="rId1411" Type="http://schemas.openxmlformats.org/officeDocument/2006/relationships/hyperlink" Target="https://drive.google.com/file/d/1N0wey8dridxF01MDtjR6-1_6xErh_G5Q/view" TargetMode="External"/><Relationship Id="rId2742" Type="http://schemas.openxmlformats.org/officeDocument/2006/relationships/hyperlink" Target="https://drive.google.com/file/d/14akJfBovEQojT3YLoryl51bSfJHn5nnG/view" TargetMode="External"/><Relationship Id="rId1412" Type="http://schemas.openxmlformats.org/officeDocument/2006/relationships/hyperlink" Target="https://drive.google.com/file/d/1gRH4RHz2dajY0FcWWG7E0m0m99Zuskfn/view" TargetMode="External"/><Relationship Id="rId2743" Type="http://schemas.openxmlformats.org/officeDocument/2006/relationships/hyperlink" Target="https://drive.google.com/file/d/1uS4QG_lOAZCHDgKFTGMsT6u8wYuPwWuh/view" TargetMode="External"/><Relationship Id="rId1413" Type="http://schemas.openxmlformats.org/officeDocument/2006/relationships/hyperlink" Target="https://drive.google.com/file/d/1GYWnoAgTu3gcCS2XLJGjL_rRIxiu5gtt/view" TargetMode="External"/><Relationship Id="rId2744" Type="http://schemas.openxmlformats.org/officeDocument/2006/relationships/hyperlink" Target="https://drive.google.com/file/d/1I17XwKzFsK6pwDwMLlsctv4zDgrFK5bg/view" TargetMode="External"/><Relationship Id="rId1414" Type="http://schemas.openxmlformats.org/officeDocument/2006/relationships/hyperlink" Target="https://drive.google.com/file/d/1gRH4RHz2dajY0FcWWG7E0m0m99Zuskfn/view" TargetMode="External"/><Relationship Id="rId2745" Type="http://schemas.openxmlformats.org/officeDocument/2006/relationships/hyperlink" Target="https://drive.google.com/file/d/1jS9ibaTyJYeLhtfyw7znZV07628usmkA/view" TargetMode="External"/><Relationship Id="rId1415" Type="http://schemas.openxmlformats.org/officeDocument/2006/relationships/hyperlink" Target="https://drive.google.com/file/d/1GYWnoAgTu3gcCS2XLJGjL_rRIxiu5gtt/view" TargetMode="External"/><Relationship Id="rId2746" Type="http://schemas.openxmlformats.org/officeDocument/2006/relationships/hyperlink" Target="https://drive.google.com/file/d/14UEeamW_OiplCMCKTRysljWkes4BiJm8/view" TargetMode="External"/><Relationship Id="rId1416" Type="http://schemas.openxmlformats.org/officeDocument/2006/relationships/hyperlink" Target="https://drive.google.com/file/d/1wBbbU9hihytBmVbiARFpmUU07Xmn1o7-/view" TargetMode="External"/><Relationship Id="rId2747" Type="http://schemas.openxmlformats.org/officeDocument/2006/relationships/hyperlink" Target="https://drive.google.com/file/d/1yIq-IzM3k4L2ddBzyRFBuH6_qP1k5ERa/view" TargetMode="External"/><Relationship Id="rId1417" Type="http://schemas.openxmlformats.org/officeDocument/2006/relationships/hyperlink" Target="https://drive.google.com/file/d/1GYWnoAgTu3gcCS2XLJGjL_rRIxiu5gtt/view" TargetMode="External"/><Relationship Id="rId2748" Type="http://schemas.openxmlformats.org/officeDocument/2006/relationships/hyperlink" Target="https://drive.google.com/file/d/1N6ZgX7AFuBOtZXVf5fz9-ogLDi9e8bS7/view" TargetMode="External"/><Relationship Id="rId1418" Type="http://schemas.openxmlformats.org/officeDocument/2006/relationships/hyperlink" Target="https://drive.google.com/file/d/1Q-Q5Rk1YHxLEPEpmzpagdHC4qozVfnzJ/view" TargetMode="External"/><Relationship Id="rId2749" Type="http://schemas.openxmlformats.org/officeDocument/2006/relationships/hyperlink" Target="https://drive.google.com/file/d/1fnapVZfjuVWdKsNA0TWg5uOpx3IDJJtH/view" TargetMode="External"/><Relationship Id="rId1419" Type="http://schemas.openxmlformats.org/officeDocument/2006/relationships/hyperlink" Target="https://drive.google.com/file/d/1tNaVGCMdfuxt4O1ZzZKQfYFjSzMdGWLK/view" TargetMode="External"/><Relationship Id="rId2740" Type="http://schemas.openxmlformats.org/officeDocument/2006/relationships/hyperlink" Target="https://drive.google.com/file/d/1yIq-IzM3k4L2ddBzyRFBuH6_qP1k5ERa/view" TargetMode="External"/><Relationship Id="rId1410" Type="http://schemas.openxmlformats.org/officeDocument/2006/relationships/hyperlink" Target="https://drive.google.com/file/d/16ED_2qGOW2qWXGXdWt_L71WP3_If63T4/view" TargetMode="External"/><Relationship Id="rId2741" Type="http://schemas.openxmlformats.org/officeDocument/2006/relationships/hyperlink" Target="https://drive.google.com/file/d/1Fblee8KVSdbL9pacloCvgbvSmA51A5Br/view" TargetMode="External"/><Relationship Id="rId1400" Type="http://schemas.openxmlformats.org/officeDocument/2006/relationships/hyperlink" Target="https://drive.google.com/file/d/1PwAoBi6k2xBvlf2aGfkM_T5yKJvroK0r/view" TargetMode="External"/><Relationship Id="rId2731" Type="http://schemas.openxmlformats.org/officeDocument/2006/relationships/hyperlink" Target="https://drive.google.com/file/d/1LcOXzC9kADU-1V-Ux6llNEc_LOwOljeH/view" TargetMode="External"/><Relationship Id="rId1401" Type="http://schemas.openxmlformats.org/officeDocument/2006/relationships/hyperlink" Target="https://drive.google.com/file/d/1pdoq-z9xDTJ9cmBWGtvzE7hooTm-dzJN/view" TargetMode="External"/><Relationship Id="rId2732" Type="http://schemas.openxmlformats.org/officeDocument/2006/relationships/hyperlink" Target="https://drive.google.com/file/d/1egJkIHJJSLsXxN03RXKPUnaGIq8YCiyQ/view" TargetMode="External"/><Relationship Id="rId1402" Type="http://schemas.openxmlformats.org/officeDocument/2006/relationships/hyperlink" Target="https://drive.google.com/file/d/1ZEm0UEW3UPlsVp3KQpSthh2fXaV0WW-x/view" TargetMode="External"/><Relationship Id="rId2733" Type="http://schemas.openxmlformats.org/officeDocument/2006/relationships/hyperlink" Target="https://drive.google.com/file/d/1FVFwY0ZzPfosAkfKBxd14dIYBmIwPoyp/view" TargetMode="External"/><Relationship Id="rId1403" Type="http://schemas.openxmlformats.org/officeDocument/2006/relationships/hyperlink" Target="https://drive.google.com/file/d/16ED_2qGOW2qWXGXdWt_L71WP3_If63T4/view" TargetMode="External"/><Relationship Id="rId2734" Type="http://schemas.openxmlformats.org/officeDocument/2006/relationships/hyperlink" Target="https://drive.google.com/file/d/1Fblee8KVSdbL9pacloCvgbvSmA51A5Br/view" TargetMode="External"/><Relationship Id="rId1404" Type="http://schemas.openxmlformats.org/officeDocument/2006/relationships/hyperlink" Target="https://drive.google.com/file/d/1N0wey8dridxF01MDtjR6-1_6xErh_G5Q/view" TargetMode="External"/><Relationship Id="rId2735" Type="http://schemas.openxmlformats.org/officeDocument/2006/relationships/hyperlink" Target="https://drive.google.com/file/d/14akJfBovEQojT3YLoryl51bSfJHn5nnG/view" TargetMode="External"/><Relationship Id="rId1405" Type="http://schemas.openxmlformats.org/officeDocument/2006/relationships/hyperlink" Target="https://drive.google.com/file/d/15vCK9gNWW2Esz9o6tLIyZxZlxbZOzYCI/view" TargetMode="External"/><Relationship Id="rId2736" Type="http://schemas.openxmlformats.org/officeDocument/2006/relationships/hyperlink" Target="https://drive.google.com/file/d/1uS4QG_lOAZCHDgKFTGMsT6u8wYuPwWuh/view" TargetMode="External"/><Relationship Id="rId1406" Type="http://schemas.openxmlformats.org/officeDocument/2006/relationships/hyperlink" Target="https://drive.google.com/file/d/1phrA3nk8kiJWtcDmBoGHEy_ZJm5FqqsL/view" TargetMode="External"/><Relationship Id="rId2737" Type="http://schemas.openxmlformats.org/officeDocument/2006/relationships/hyperlink" Target="https://drive.google.com/file/d/1I17XwKzFsK6pwDwMLlsctv4zDgrFK5bg/view" TargetMode="External"/><Relationship Id="rId1407" Type="http://schemas.openxmlformats.org/officeDocument/2006/relationships/hyperlink" Target="https://drive.google.com/file/d/1PwAoBi6k2xBvlf2aGfkM_T5yKJvroK0r/view" TargetMode="External"/><Relationship Id="rId2738" Type="http://schemas.openxmlformats.org/officeDocument/2006/relationships/hyperlink" Target="https://drive.google.com/file/d/1jS9ibaTyJYeLhtfyw7znZV07628usmkA/view" TargetMode="External"/><Relationship Id="rId1408" Type="http://schemas.openxmlformats.org/officeDocument/2006/relationships/hyperlink" Target="https://drive.google.com/file/d/1pdoq-z9xDTJ9cmBWGtvzE7hooTm-dzJN/view" TargetMode="External"/><Relationship Id="rId2739" Type="http://schemas.openxmlformats.org/officeDocument/2006/relationships/hyperlink" Target="https://drive.google.com/file/d/14UEeamW_OiplCMCKTRysljWkes4BiJm8/view" TargetMode="External"/><Relationship Id="rId1409" Type="http://schemas.openxmlformats.org/officeDocument/2006/relationships/hyperlink" Target="https://drive.google.com/file/d/1ZEm0UEW3UPlsVp3KQpSthh2fXaV0WW-x/view" TargetMode="External"/><Relationship Id="rId2730" Type="http://schemas.openxmlformats.org/officeDocument/2006/relationships/hyperlink" Target="https://drive.google.com/file/d/1TS14B1OH1d5CpH5UfLwmv3ZNyrnYnOlO/view" TargetMode="External"/><Relationship Id="rId1433" Type="http://schemas.openxmlformats.org/officeDocument/2006/relationships/hyperlink" Target="https://drive.google.com/file/d/1ewRXyLBvKeCzLXthx81j7YUyOcRK59yB/view" TargetMode="External"/><Relationship Id="rId2764" Type="http://schemas.openxmlformats.org/officeDocument/2006/relationships/hyperlink" Target="https://drive.google.com/file/d/14IrXb-UUsVQ2nAw6CWI_vCaF2RI3FrY9/view" TargetMode="External"/><Relationship Id="rId1434" Type="http://schemas.openxmlformats.org/officeDocument/2006/relationships/hyperlink" Target="https://drive.google.com/file/d/1PvtIqFZYUi5n5PHo1U7g1ZU1wLY5YHN9/view" TargetMode="External"/><Relationship Id="rId2765" Type="http://schemas.openxmlformats.org/officeDocument/2006/relationships/hyperlink" Target="https://drive.google.com/file/d/1W2iUvzIPk22H0dhg-hcKG1SUwHYeu4pX/view" TargetMode="External"/><Relationship Id="rId1435" Type="http://schemas.openxmlformats.org/officeDocument/2006/relationships/hyperlink" Target="https://drive.google.com/file/d/1i-mcbuVGFQheW3CMnS6Kx8eIbkBi4pq0/view" TargetMode="External"/><Relationship Id="rId2766" Type="http://schemas.openxmlformats.org/officeDocument/2006/relationships/hyperlink" Target="https://drive.google.com/file/d/1aov2LhUW-51vSCij1p2A4Y0oAjOlGIWo/view" TargetMode="External"/><Relationship Id="rId1436" Type="http://schemas.openxmlformats.org/officeDocument/2006/relationships/hyperlink" Target="https://drive.google.com/file/d/1v_1_jBRC7C5AFP5GUQDCN2j46oAEvTz1/view" TargetMode="External"/><Relationship Id="rId2767" Type="http://schemas.openxmlformats.org/officeDocument/2006/relationships/hyperlink" Target="https://drive.google.com/file/d/1AKsttWZDJcNcQvRYrhke1AvYdmniafsf/view" TargetMode="External"/><Relationship Id="rId1437" Type="http://schemas.openxmlformats.org/officeDocument/2006/relationships/hyperlink" Target="https://drive.google.com/file/d/1J_I8RFt6gqn5vzpN5lR8w7k_yCK58us-/view" TargetMode="External"/><Relationship Id="rId2768" Type="http://schemas.openxmlformats.org/officeDocument/2006/relationships/hyperlink" Target="https://drive.google.com/file/d/1MV7FWxJlhUajcqXVz9zmKitQ3rp4fToe/view" TargetMode="External"/><Relationship Id="rId1438" Type="http://schemas.openxmlformats.org/officeDocument/2006/relationships/hyperlink" Target="https://drive.google.com/file/d/1FCepMXbVYOD_KtPaAd6VIz-OoS_FrQuP/view" TargetMode="External"/><Relationship Id="rId2769" Type="http://schemas.openxmlformats.org/officeDocument/2006/relationships/hyperlink" Target="https://drive.google.com/file/d/1Y8uwsr7r6FzE7qyrykwX-hHXXFH6cSz_/view" TargetMode="External"/><Relationship Id="rId1439" Type="http://schemas.openxmlformats.org/officeDocument/2006/relationships/hyperlink" Target="https://drive.google.com/file/d/1lg3KBoD5Uls56bYcSydqzrOv6R1QJRtm/view" TargetMode="External"/><Relationship Id="rId609" Type="http://schemas.openxmlformats.org/officeDocument/2006/relationships/hyperlink" Target="https://drive.google.com/file/d/1cmVPqBvhVXJfJCQ7Xrln-B6htN-9M6Ov/view" TargetMode="External"/><Relationship Id="rId608" Type="http://schemas.openxmlformats.org/officeDocument/2006/relationships/hyperlink" Target="https://drive.google.com/file/d/1k0Sw-HXY6INSftDGFe2DI2Q6YmdIUWxx/view" TargetMode="External"/><Relationship Id="rId607" Type="http://schemas.openxmlformats.org/officeDocument/2006/relationships/hyperlink" Target="https://drive.google.com/file/d/1j1vFHtuYVla2aiYhnLAwAVLG2CB0om0d/view" TargetMode="External"/><Relationship Id="rId602" Type="http://schemas.openxmlformats.org/officeDocument/2006/relationships/hyperlink" Target="https://drive.google.com/file/d/11FdgHk8XWb0gNuKsTsnskB9ga9CFxNTd/view" TargetMode="External"/><Relationship Id="rId601" Type="http://schemas.openxmlformats.org/officeDocument/2006/relationships/hyperlink" Target="https://drive.google.com/file/d/1DRgNluPNhsdTvyHzupPNyx8Z74R90CEj/view" TargetMode="External"/><Relationship Id="rId600" Type="http://schemas.openxmlformats.org/officeDocument/2006/relationships/hyperlink" Target="https://drive.google.com/file/d/1AnirnimVc1JT35UXBCMOPCl2WX3oxwka/view" TargetMode="External"/><Relationship Id="rId606" Type="http://schemas.openxmlformats.org/officeDocument/2006/relationships/hyperlink" Target="https://drive.google.com/file/d/1AZr_-u62biEzTcQU2VvXTZmsmKhKFpj7/view" TargetMode="External"/><Relationship Id="rId605" Type="http://schemas.openxmlformats.org/officeDocument/2006/relationships/hyperlink" Target="https://drive.google.com/file/d/1-FtCvvjOAfZ_BhHYuoOgL_PCclPo1A_d/view" TargetMode="External"/><Relationship Id="rId604" Type="http://schemas.openxmlformats.org/officeDocument/2006/relationships/hyperlink" Target="https://drive.google.com/file/d/1YLaLfAUeiD3PAXS9xU_9OrDSyzJDRUOZ/view" TargetMode="External"/><Relationship Id="rId603" Type="http://schemas.openxmlformats.org/officeDocument/2006/relationships/hyperlink" Target="https://drive.google.com/file/d/1R_8UTeAo9dq8P7J7Us43FcPomP_3Xclw/view" TargetMode="External"/><Relationship Id="rId2760" Type="http://schemas.openxmlformats.org/officeDocument/2006/relationships/hyperlink" Target="https://drive.google.com/file/d/1AKsttWZDJcNcQvRYrhke1AvYdmniafsf/view" TargetMode="External"/><Relationship Id="rId1430" Type="http://schemas.openxmlformats.org/officeDocument/2006/relationships/hyperlink" Target="https://drive.google.com/file/d/1hpvfZDC7FYjn5HTGllmSnf_R27VFnnGV/view" TargetMode="External"/><Relationship Id="rId2761" Type="http://schemas.openxmlformats.org/officeDocument/2006/relationships/hyperlink" Target="https://drive.google.com/file/d/1MV7FWxJlhUajcqXVz9zmKitQ3rp4fToe/view" TargetMode="External"/><Relationship Id="rId1431" Type="http://schemas.openxmlformats.org/officeDocument/2006/relationships/hyperlink" Target="https://drive.google.com/file/d/1KTFuJkNxNQ0zclItXB-VQQiFeIP_iS8-/view" TargetMode="External"/><Relationship Id="rId2762" Type="http://schemas.openxmlformats.org/officeDocument/2006/relationships/hyperlink" Target="https://drive.google.com/file/d/1rkspPNbzfSl71kv9IyGcG4uEfn7YMVzv/view" TargetMode="External"/><Relationship Id="rId1432" Type="http://schemas.openxmlformats.org/officeDocument/2006/relationships/hyperlink" Target="https://drive.google.com/file/d/1GYWnoAgTu3gcCS2XLJGjL_rRIxiu5gtt/view" TargetMode="External"/><Relationship Id="rId2763" Type="http://schemas.openxmlformats.org/officeDocument/2006/relationships/hyperlink" Target="https://drive.google.com/file/d/14guNrZ5_T-b-pMZxF_WwnwPCklhUqx6s/view" TargetMode="External"/><Relationship Id="rId1422" Type="http://schemas.openxmlformats.org/officeDocument/2006/relationships/hyperlink" Target="https://drive.google.com/file/d/1PvtIqFZYUi5n5PHo1U7g1ZU1wLY5YHN9/view" TargetMode="External"/><Relationship Id="rId2753" Type="http://schemas.openxmlformats.org/officeDocument/2006/relationships/hyperlink" Target="https://drive.google.com/file/d/1F8yP-XzoC1TxA7UYSMdL2FnhktVJ0px2/view" TargetMode="External"/><Relationship Id="rId1423" Type="http://schemas.openxmlformats.org/officeDocument/2006/relationships/hyperlink" Target="https://drive.google.com/file/d/1i-mcbuVGFQheW3CMnS6Kx8eIbkBi4pq0/view" TargetMode="External"/><Relationship Id="rId2754" Type="http://schemas.openxmlformats.org/officeDocument/2006/relationships/hyperlink" Target="https://drive.google.com/file/d/1ngF-ckSIQabgq-h1Bm0r5iF0ufnHwUQ4/view" TargetMode="External"/><Relationship Id="rId1424" Type="http://schemas.openxmlformats.org/officeDocument/2006/relationships/hyperlink" Target="https://drive.google.com/file/d/1Q-Q5Rk1YHxLEPEpmzpagdHC4qozVfnzJ/view" TargetMode="External"/><Relationship Id="rId2755" Type="http://schemas.openxmlformats.org/officeDocument/2006/relationships/hyperlink" Target="https://drive.google.com/file/d/1rkspPNbzfSl71kv9IyGcG4uEfn7YMVzv/view" TargetMode="External"/><Relationship Id="rId1425" Type="http://schemas.openxmlformats.org/officeDocument/2006/relationships/hyperlink" Target="https://drive.google.com/file/d/1tNaVGCMdfuxt4O1ZzZKQfYFjSzMdGWLK/view" TargetMode="External"/><Relationship Id="rId2756" Type="http://schemas.openxmlformats.org/officeDocument/2006/relationships/hyperlink" Target="https://drive.google.com/file/d/14guNrZ5_T-b-pMZxF_WwnwPCklhUqx6s/view" TargetMode="External"/><Relationship Id="rId1426" Type="http://schemas.openxmlformats.org/officeDocument/2006/relationships/hyperlink" Target="https://drive.google.com/file/d/1GYWnoAgTu3gcCS2XLJGjL_rRIxiu5gtt/view" TargetMode="External"/><Relationship Id="rId2757" Type="http://schemas.openxmlformats.org/officeDocument/2006/relationships/hyperlink" Target="https://drive.google.com/file/d/14IrXb-UUsVQ2nAw6CWI_vCaF2RI3FrY9/view" TargetMode="External"/><Relationship Id="rId1427" Type="http://schemas.openxmlformats.org/officeDocument/2006/relationships/hyperlink" Target="https://drive.google.com/file/d/1ewRXyLBvKeCzLXthx81j7YUyOcRK59yB/view" TargetMode="External"/><Relationship Id="rId2758" Type="http://schemas.openxmlformats.org/officeDocument/2006/relationships/hyperlink" Target="https://drive.google.com/file/d/1W2iUvzIPk22H0dhg-hcKG1SUwHYeu4pX/view" TargetMode="External"/><Relationship Id="rId1428" Type="http://schemas.openxmlformats.org/officeDocument/2006/relationships/hyperlink" Target="https://drive.google.com/file/d/1PvtIqFZYUi5n5PHo1U7g1ZU1wLY5YHN9/view" TargetMode="External"/><Relationship Id="rId2759" Type="http://schemas.openxmlformats.org/officeDocument/2006/relationships/hyperlink" Target="https://drive.google.com/file/d/1aov2LhUW-51vSCij1p2A4Y0oAjOlGIWo/view" TargetMode="External"/><Relationship Id="rId1429" Type="http://schemas.openxmlformats.org/officeDocument/2006/relationships/hyperlink" Target="https://drive.google.com/file/d/1i-mcbuVGFQheW3CMnS6Kx8eIbkBi4pq0/view" TargetMode="External"/><Relationship Id="rId2750" Type="http://schemas.openxmlformats.org/officeDocument/2006/relationships/hyperlink" Target="https://drive.google.com/file/d/1uS4QG_lOAZCHDgKFTGMsT6u8wYuPwWuh/view" TargetMode="External"/><Relationship Id="rId1420" Type="http://schemas.openxmlformats.org/officeDocument/2006/relationships/hyperlink" Target="https://drive.google.com/file/d/1GYWnoAgTu3gcCS2XLJGjL_rRIxiu5gtt/view" TargetMode="External"/><Relationship Id="rId2751" Type="http://schemas.openxmlformats.org/officeDocument/2006/relationships/hyperlink" Target="https://drive.google.com/file/d/1-7P7wUUct8UMT-Qf4wU6iYKeZCEL5Xuc/view" TargetMode="External"/><Relationship Id="rId1421" Type="http://schemas.openxmlformats.org/officeDocument/2006/relationships/hyperlink" Target="https://drive.google.com/file/d/1ewRXyLBvKeCzLXthx81j7YUyOcRK59yB/view" TargetMode="External"/><Relationship Id="rId2752" Type="http://schemas.openxmlformats.org/officeDocument/2006/relationships/hyperlink" Target="https://drive.google.com/file/d/1-e4ectu7QL1sgEhZYgVWxa2IQtq6EuMO/view" TargetMode="External"/><Relationship Id="rId3238" Type="http://schemas.openxmlformats.org/officeDocument/2006/relationships/hyperlink" Target="https://drive.google.com/file/d/1ZvqDWMJxXLdGjDZTOx8bCUJjYpjq15qS/view" TargetMode="External"/><Relationship Id="rId3237" Type="http://schemas.openxmlformats.org/officeDocument/2006/relationships/hyperlink" Target="https://drive.google.com/file/d/1lQrpJBWP7B21p3eu4RVEzSkW0UjRBZa6/view" TargetMode="External"/><Relationship Id="rId3239" Type="http://schemas.openxmlformats.org/officeDocument/2006/relationships/hyperlink" Target="https://drive.google.com/file/d/15FtrKWrvl4U5KyZdAizLMQj1qBsUKEK9/view" TargetMode="External"/><Relationship Id="rId3230" Type="http://schemas.openxmlformats.org/officeDocument/2006/relationships/hyperlink" Target="https://drive.google.com/file/d/1lQrpJBWP7B21p3eu4RVEzSkW0UjRBZa6/view" TargetMode="External"/><Relationship Id="rId3232" Type="http://schemas.openxmlformats.org/officeDocument/2006/relationships/hyperlink" Target="https://drive.google.com/file/d/15FtrKWrvl4U5KyZdAizLMQj1qBsUKEK9/view" TargetMode="External"/><Relationship Id="rId3231" Type="http://schemas.openxmlformats.org/officeDocument/2006/relationships/hyperlink" Target="https://drive.google.com/file/d/1ZvqDWMJxXLdGjDZTOx8bCUJjYpjq15qS/view" TargetMode="External"/><Relationship Id="rId3234" Type="http://schemas.openxmlformats.org/officeDocument/2006/relationships/hyperlink" Target="https://drive.google.com/file/d/1yaHcDu9GBfXWxBbVG8EhP74EYVhwMW58/view" TargetMode="External"/><Relationship Id="rId3233" Type="http://schemas.openxmlformats.org/officeDocument/2006/relationships/hyperlink" Target="https://drive.google.com/file/d/1QeIS-AmxEweN-y--1oE6obcG3_h8Ts9S/view" TargetMode="External"/><Relationship Id="rId3236" Type="http://schemas.openxmlformats.org/officeDocument/2006/relationships/hyperlink" Target="https://drive.google.com/file/d/1rbRbbs8VflxLrZ0rYNeD_K-LEMsWhVc4/view" TargetMode="External"/><Relationship Id="rId3235" Type="http://schemas.openxmlformats.org/officeDocument/2006/relationships/hyperlink" Target="https://drive.google.com/file/d/16Kxx8EWDnnelporKldeteLKaRxXAOIJ3/view" TargetMode="External"/><Relationship Id="rId3227" Type="http://schemas.openxmlformats.org/officeDocument/2006/relationships/hyperlink" Target="https://drive.google.com/file/d/1AxiEhMHrr97kGExR9YzYU_iHn3Tj2Ege/view" TargetMode="External"/><Relationship Id="rId3226" Type="http://schemas.openxmlformats.org/officeDocument/2006/relationships/hyperlink" Target="https://drive.google.com/file/d/1dYMhNagJpyINrqJRQ1tncMGpCcgMPCA5/view" TargetMode="External"/><Relationship Id="rId3229" Type="http://schemas.openxmlformats.org/officeDocument/2006/relationships/hyperlink" Target="https://drive.google.com/file/d/17WSEzsBObILQVfKu5ZzriJH-krKgS2aP/view" TargetMode="External"/><Relationship Id="rId3228" Type="http://schemas.openxmlformats.org/officeDocument/2006/relationships/hyperlink" Target="https://drive.google.com/file/d/1e7G42qRNaDPxegeK0dSEOtKa1FQm60bk/view" TargetMode="External"/><Relationship Id="rId699" Type="http://schemas.openxmlformats.org/officeDocument/2006/relationships/hyperlink" Target="https://drive.google.com/file/d/1o00jlcYPFvyv1Glai58F8DFJ9Ebvn9AR/view" TargetMode="External"/><Relationship Id="rId698" Type="http://schemas.openxmlformats.org/officeDocument/2006/relationships/hyperlink" Target="https://drive.google.com/file/d/1vRdmiWiVCGkswf5fSrpWlWVGFLYtzWL7/view" TargetMode="External"/><Relationship Id="rId693" Type="http://schemas.openxmlformats.org/officeDocument/2006/relationships/hyperlink" Target="https://drive.google.com/file/d/1XWZMHtZMUaPpGIS__icfUk4zLOyODYwy/view" TargetMode="External"/><Relationship Id="rId692" Type="http://schemas.openxmlformats.org/officeDocument/2006/relationships/hyperlink" Target="https://drive.google.com/file/d/1SBw8oP2afiAJfTaXU8Drd9nLg51E_vVU/view" TargetMode="External"/><Relationship Id="rId691" Type="http://schemas.openxmlformats.org/officeDocument/2006/relationships/hyperlink" Target="https://drive.google.com/file/d/1HsDwTQ7PuflIlWdTwH4Y7-w0piXxHIc2/view" TargetMode="External"/><Relationship Id="rId3221" Type="http://schemas.openxmlformats.org/officeDocument/2006/relationships/hyperlink" Target="https://drive.google.com/file/d/1e7G42qRNaDPxegeK0dSEOtKa1FQm60bk/view" TargetMode="External"/><Relationship Id="rId690" Type="http://schemas.openxmlformats.org/officeDocument/2006/relationships/hyperlink" Target="https://drive.google.com/file/d/1gZ8F7cp5BP0WnOHPCinIb1gRN4RE2wfk/view" TargetMode="External"/><Relationship Id="rId3220" Type="http://schemas.openxmlformats.org/officeDocument/2006/relationships/hyperlink" Target="https://drive.google.com/file/d/1AxiEhMHrr97kGExR9YzYU_iHn3Tj2Ege/view" TargetMode="External"/><Relationship Id="rId697" Type="http://schemas.openxmlformats.org/officeDocument/2006/relationships/hyperlink" Target="https://drive.google.com/file/d/1JOBWMeIaH8WzUxAJ4aFSvTOPwqfLMDC-/view" TargetMode="External"/><Relationship Id="rId3223" Type="http://schemas.openxmlformats.org/officeDocument/2006/relationships/hyperlink" Target="https://drive.google.com/file/d/1Rzz7trMduBWQzZRAGuR66LlB6ksDmaMh/view" TargetMode="External"/><Relationship Id="rId696" Type="http://schemas.openxmlformats.org/officeDocument/2006/relationships/hyperlink" Target="https://drive.google.com/file/d/1SBw8oP2afiAJfTaXU8Drd9nLg51E_vVU/view" TargetMode="External"/><Relationship Id="rId3222" Type="http://schemas.openxmlformats.org/officeDocument/2006/relationships/hyperlink" Target="https://drive.google.com/file/d/17WSEzsBObILQVfKu5ZzriJH-krKgS2aP/view" TargetMode="External"/><Relationship Id="rId695" Type="http://schemas.openxmlformats.org/officeDocument/2006/relationships/hyperlink" Target="https://drive.google.com/file/d/1HsDwTQ7PuflIlWdTwH4Y7-w0piXxHIc2/view" TargetMode="External"/><Relationship Id="rId3225" Type="http://schemas.openxmlformats.org/officeDocument/2006/relationships/hyperlink" Target="https://drive.google.com/file/d/1LlHkdR9pNZm0TtWv22sI6fgkv9V4Klzj/view" TargetMode="External"/><Relationship Id="rId694" Type="http://schemas.openxmlformats.org/officeDocument/2006/relationships/hyperlink" Target="https://drive.google.com/file/d/1gZ8F7cp5BP0WnOHPCinIb1gRN4RE2wfk/view" TargetMode="External"/><Relationship Id="rId3224" Type="http://schemas.openxmlformats.org/officeDocument/2006/relationships/hyperlink" Target="https://drive.google.com/file/d/1PfhpKtJm1ljHhdlRx6UzkVOTWyrhBiMl/view" TargetMode="External"/><Relationship Id="rId3259" Type="http://schemas.openxmlformats.org/officeDocument/2006/relationships/hyperlink" Target="https://drive.google.com/file/d/1tKzhWX7Lkhp8XJ-36p4dD69T0nTfIKmK/view" TargetMode="External"/><Relationship Id="rId3250" Type="http://schemas.openxmlformats.org/officeDocument/2006/relationships/hyperlink" Target="https://drive.google.com/file/d/1rbRbbs8VflxLrZ0rYNeD_K-LEMsWhVc4/view" TargetMode="External"/><Relationship Id="rId3252" Type="http://schemas.openxmlformats.org/officeDocument/2006/relationships/hyperlink" Target="https://drive.google.com/file/d/1tKzhWX7Lkhp8XJ-36p4dD69T0nTfIKmK/view" TargetMode="External"/><Relationship Id="rId3251" Type="http://schemas.openxmlformats.org/officeDocument/2006/relationships/hyperlink" Target="https://drive.google.com/file/d/13NCNf2BehWyTYhE6s7leo7bG1t7mfar4/view" TargetMode="External"/><Relationship Id="rId3254" Type="http://schemas.openxmlformats.org/officeDocument/2006/relationships/hyperlink" Target="https://drive.google.com/file/d/1KXSz-aVzdAXfROi5aylnemy18cbQViai/view" TargetMode="External"/><Relationship Id="rId3253" Type="http://schemas.openxmlformats.org/officeDocument/2006/relationships/hyperlink" Target="https://drive.google.com/file/d/1-maUnjsUIi9MgxENCacPKXHF75UKISch/view" TargetMode="External"/><Relationship Id="rId3256" Type="http://schemas.openxmlformats.org/officeDocument/2006/relationships/hyperlink" Target="https://drive.google.com/file/d/14WSl5atMqlGO-24TigP0DXH5Hx9RtGg1/view" TargetMode="External"/><Relationship Id="rId3255" Type="http://schemas.openxmlformats.org/officeDocument/2006/relationships/hyperlink" Target="https://drive.google.com/file/d/1nC-vDyfJckDf7eqA-1snduy9U-VMg844/view" TargetMode="External"/><Relationship Id="rId3258" Type="http://schemas.openxmlformats.org/officeDocument/2006/relationships/hyperlink" Target="https://drive.google.com/file/d/13NCNf2BehWyTYhE6s7leo7bG1t7mfar4/view" TargetMode="External"/><Relationship Id="rId3257" Type="http://schemas.openxmlformats.org/officeDocument/2006/relationships/hyperlink" Target="https://drive.google.com/file/d/1tNzWX7nD4-AjpmG--tu7c7Kb-tm-1RDu/view" TargetMode="External"/><Relationship Id="rId3249" Type="http://schemas.openxmlformats.org/officeDocument/2006/relationships/hyperlink" Target="https://drive.google.com/file/d/16Kxx8EWDnnelporKldeteLKaRxXAOIJ3/view" TargetMode="External"/><Relationship Id="rId3248" Type="http://schemas.openxmlformats.org/officeDocument/2006/relationships/hyperlink" Target="https://drive.google.com/file/d/1yaHcDu9GBfXWxBbVG8EhP74EYVhwMW58/view" TargetMode="External"/><Relationship Id="rId3241" Type="http://schemas.openxmlformats.org/officeDocument/2006/relationships/hyperlink" Target="https://drive.google.com/file/d/1yaHcDu9GBfXWxBbVG8EhP74EYVhwMW58/view" TargetMode="External"/><Relationship Id="rId3240" Type="http://schemas.openxmlformats.org/officeDocument/2006/relationships/hyperlink" Target="https://drive.google.com/file/d/1QeIS-AmxEweN-y--1oE6obcG3_h8Ts9S/view" TargetMode="External"/><Relationship Id="rId3243" Type="http://schemas.openxmlformats.org/officeDocument/2006/relationships/hyperlink" Target="https://drive.google.com/file/d/1rbRbbs8VflxLrZ0rYNeD_K-LEMsWhVc4/view" TargetMode="External"/><Relationship Id="rId3242" Type="http://schemas.openxmlformats.org/officeDocument/2006/relationships/hyperlink" Target="https://drive.google.com/file/d/16Kxx8EWDnnelporKldeteLKaRxXAOIJ3/view" TargetMode="External"/><Relationship Id="rId3245" Type="http://schemas.openxmlformats.org/officeDocument/2006/relationships/hyperlink" Target="https://drive.google.com/file/d/1Uaa13Dsc8UbKetBWu9oH7eL7F_dSJLJY/view" TargetMode="External"/><Relationship Id="rId3244" Type="http://schemas.openxmlformats.org/officeDocument/2006/relationships/hyperlink" Target="https://drive.google.com/file/d/10OMlYdXJviu1MyFohMNZSzHX7wF_psMj/view" TargetMode="External"/><Relationship Id="rId3247" Type="http://schemas.openxmlformats.org/officeDocument/2006/relationships/hyperlink" Target="https://drive.google.com/file/d/1QeIS-AmxEweN-y--1oE6obcG3_h8Ts9S/view" TargetMode="External"/><Relationship Id="rId3246" Type="http://schemas.openxmlformats.org/officeDocument/2006/relationships/hyperlink" Target="https://drive.google.com/file/d/15FtrKWrvl4U5KyZdAizLMQj1qBsUKEK9/view" TargetMode="External"/><Relationship Id="rId1499" Type="http://schemas.openxmlformats.org/officeDocument/2006/relationships/hyperlink" Target="https://drive.google.com/file/d/1DjER1-X3qP-Ik8UWo8ERfs-zaLdTPSP5/view" TargetMode="External"/><Relationship Id="rId668" Type="http://schemas.openxmlformats.org/officeDocument/2006/relationships/hyperlink" Target="https://drive.google.com/file/d/1cMq4Cc-T_s_4kvKqsH1SnNYM59qwae-J/view" TargetMode="External"/><Relationship Id="rId667" Type="http://schemas.openxmlformats.org/officeDocument/2006/relationships/hyperlink" Target="https://drive.google.com/file/d/1wn8axtFWEwJj2HTY7TRXjE5ZAxCVwx9b/view" TargetMode="External"/><Relationship Id="rId666" Type="http://schemas.openxmlformats.org/officeDocument/2006/relationships/hyperlink" Target="https://drive.google.com/file/d/1mEpj7CdLElihEdaS864QlFZKpbFFUtsx/view" TargetMode="External"/><Relationship Id="rId665" Type="http://schemas.openxmlformats.org/officeDocument/2006/relationships/hyperlink" Target="https://drive.google.com/file/d/1LzOyNQUK1N-f5-bciO0zVaJsMiZIvRhe/view" TargetMode="External"/><Relationship Id="rId669" Type="http://schemas.openxmlformats.org/officeDocument/2006/relationships/hyperlink" Target="https://drive.google.com/file/d/1LzOyNQUK1N-f5-bciO0zVaJsMiZIvRhe/view" TargetMode="External"/><Relationship Id="rId1490" Type="http://schemas.openxmlformats.org/officeDocument/2006/relationships/hyperlink" Target="https://drive.google.com/file/d/1aS2L037MLQ2VZG8BdHheufdwznI_19Y1/view" TargetMode="External"/><Relationship Id="rId660" Type="http://schemas.openxmlformats.org/officeDocument/2006/relationships/hyperlink" Target="https://drive.google.com/file/d/1mEbNLkKrc7hjBkLr4hoJoy3NhVKLncEj/view" TargetMode="External"/><Relationship Id="rId1491" Type="http://schemas.openxmlformats.org/officeDocument/2006/relationships/hyperlink" Target="https://drive.google.com/file/d/1DplxW0QP6GS9X_MbQalyqAjTj4_ZLjrb/view" TargetMode="External"/><Relationship Id="rId1492" Type="http://schemas.openxmlformats.org/officeDocument/2006/relationships/hyperlink" Target="https://drive.google.com/file/d/1DjER1-X3qP-Ik8UWo8ERfs-zaLdTPSP5/view" TargetMode="External"/><Relationship Id="rId1493" Type="http://schemas.openxmlformats.org/officeDocument/2006/relationships/hyperlink" Target="https://drive.google.com/file/d/1wFpqqJoPHWsZA8vVR0UHTz_EvZzww32M/view" TargetMode="External"/><Relationship Id="rId1494" Type="http://schemas.openxmlformats.org/officeDocument/2006/relationships/hyperlink" Target="https://drive.google.com/file/d/1CKVnpunqg7VFyuYb5x0xLFLAuPyv9N4U/view" TargetMode="External"/><Relationship Id="rId664" Type="http://schemas.openxmlformats.org/officeDocument/2006/relationships/hyperlink" Target="https://drive.google.com/file/d/184z3nYogiPbBdNPNoT2WpHWcf5mrSJPX/view" TargetMode="External"/><Relationship Id="rId1495" Type="http://schemas.openxmlformats.org/officeDocument/2006/relationships/hyperlink" Target="https://drive.google.com/file/d/17m6ZWYX5s9h_dfdYpSt2r8G5I4m95mEl/view" TargetMode="External"/><Relationship Id="rId663" Type="http://schemas.openxmlformats.org/officeDocument/2006/relationships/hyperlink" Target="https://drive.google.com/file/d/1kqEwPUNp3xrzrsVyAurl-LtjaQGEokAJ/view" TargetMode="External"/><Relationship Id="rId1496" Type="http://schemas.openxmlformats.org/officeDocument/2006/relationships/hyperlink" Target="https://drive.google.com/file/d/1dPbuy3twMXalQS-dKs5WWOXwsG5F_RgM/view" TargetMode="External"/><Relationship Id="rId662" Type="http://schemas.openxmlformats.org/officeDocument/2006/relationships/hyperlink" Target="https://drive.google.com/file/d/1fFlex-b3ynUZIWxdlA4zAlrFH3j6a9uB/view" TargetMode="External"/><Relationship Id="rId1497" Type="http://schemas.openxmlformats.org/officeDocument/2006/relationships/hyperlink" Target="https://drive.google.com/file/d/1aS2L037MLQ2VZG8BdHheufdwznI_19Y1/view" TargetMode="External"/><Relationship Id="rId661" Type="http://schemas.openxmlformats.org/officeDocument/2006/relationships/hyperlink" Target="https://drive.google.com/file/d/1dp1Zfcro_6m10TD6END-meZfuOkMl2Zp/view" TargetMode="External"/><Relationship Id="rId1498" Type="http://schemas.openxmlformats.org/officeDocument/2006/relationships/hyperlink" Target="https://drive.google.com/file/d/1DplxW0QP6GS9X_MbQalyqAjTj4_ZLjrb/view" TargetMode="External"/><Relationship Id="rId1488" Type="http://schemas.openxmlformats.org/officeDocument/2006/relationships/hyperlink" Target="https://drive.google.com/file/d/1HEMpuvGiQHibMLdoPw_zlvy8m3jZtpwQ/view" TargetMode="External"/><Relationship Id="rId1489" Type="http://schemas.openxmlformats.org/officeDocument/2006/relationships/hyperlink" Target="https://drive.google.com/file/d/1Veao3OEAZObSF5wKk7X6_Gxdu3_knrqK/view" TargetMode="External"/><Relationship Id="rId657" Type="http://schemas.openxmlformats.org/officeDocument/2006/relationships/hyperlink" Target="https://drive.google.com/file/d/1fFlex-b3ynUZIWxdlA4zAlrFH3j6a9uB/view" TargetMode="External"/><Relationship Id="rId656" Type="http://schemas.openxmlformats.org/officeDocument/2006/relationships/hyperlink" Target="https://drive.google.com/file/d/1dyActiex8vHzWpnOhjLgx30qWbLJQ9cx/view" TargetMode="External"/><Relationship Id="rId655" Type="http://schemas.openxmlformats.org/officeDocument/2006/relationships/hyperlink" Target="https://drive.google.com/file/d/1pDAi6K_2xiNTnkaGUJXD4dT-3x1L8aAj/view" TargetMode="External"/><Relationship Id="rId654" Type="http://schemas.openxmlformats.org/officeDocument/2006/relationships/hyperlink" Target="https://drive.google.com/file/d/1BqlMC8_XqUMRWCtUYSbp4l9HPWzSyklX/view" TargetMode="External"/><Relationship Id="rId659" Type="http://schemas.openxmlformats.org/officeDocument/2006/relationships/hyperlink" Target="https://drive.google.com/file/d/184z3nYogiPbBdNPNoT2WpHWcf5mrSJPX/view" TargetMode="External"/><Relationship Id="rId658" Type="http://schemas.openxmlformats.org/officeDocument/2006/relationships/hyperlink" Target="https://drive.google.com/file/d/1kqEwPUNp3xrzrsVyAurl-LtjaQGEokAJ/view" TargetMode="External"/><Relationship Id="rId1480" Type="http://schemas.openxmlformats.org/officeDocument/2006/relationships/hyperlink" Target="https://drive.google.com/file/d/1aZU_qVd2kTZViil2EFS4-p1JnH73_opg/view" TargetMode="External"/><Relationship Id="rId1481" Type="http://schemas.openxmlformats.org/officeDocument/2006/relationships/hyperlink" Target="https://drive.google.com/file/d/1N6LRp7u1ImxnBMKB6X5sU03HpaEHrE4g/view" TargetMode="External"/><Relationship Id="rId1482" Type="http://schemas.openxmlformats.org/officeDocument/2006/relationships/hyperlink" Target="https://drive.google.com/file/d/1ReQu2_IYdmpPSXQFCfyr1S0uD3jMylMM/view" TargetMode="External"/><Relationship Id="rId1483" Type="http://schemas.openxmlformats.org/officeDocument/2006/relationships/hyperlink" Target="https://drive.google.com/file/d/1aS2L037MLQ2VZG8BdHheufdwznI_19Y1/view" TargetMode="External"/><Relationship Id="rId653" Type="http://schemas.openxmlformats.org/officeDocument/2006/relationships/hyperlink" Target="https://drive.google.com/file/d/1zhg6q_91sBU1noZa98i2fmcNvNDzfhW4/view" TargetMode="External"/><Relationship Id="rId1484" Type="http://schemas.openxmlformats.org/officeDocument/2006/relationships/hyperlink" Target="https://drive.google.com/file/d/1_YW_E_I9GnlYQQmSo9dBR3c9s9Z5lcpU/view" TargetMode="External"/><Relationship Id="rId652" Type="http://schemas.openxmlformats.org/officeDocument/2006/relationships/hyperlink" Target="https://drive.google.com/file/d/1j1vFHtuYVla2aiYhnLAwAVLG2CB0om0d/view" TargetMode="External"/><Relationship Id="rId1485" Type="http://schemas.openxmlformats.org/officeDocument/2006/relationships/hyperlink" Target="https://drive.google.com/file/d/16ksLJAWww3wo_It4wVg_6usyoT8pARKa/view" TargetMode="External"/><Relationship Id="rId651" Type="http://schemas.openxmlformats.org/officeDocument/2006/relationships/hyperlink" Target="https://drive.google.com/file/d/1drhiIh_zLNzdGhxc2CrV2OLQx2U6rthy/view" TargetMode="External"/><Relationship Id="rId1486" Type="http://schemas.openxmlformats.org/officeDocument/2006/relationships/hyperlink" Target="https://drive.google.com/file/d/1D7VhhKR_haqfcpvTT6lARh9sRjxB17oJ/view" TargetMode="External"/><Relationship Id="rId650" Type="http://schemas.openxmlformats.org/officeDocument/2006/relationships/hyperlink" Target="https://drive.google.com/file/d/1-wiZ4cP7J5ejiivHwL0cNak97G8XFCDf/view" TargetMode="External"/><Relationship Id="rId1487" Type="http://schemas.openxmlformats.org/officeDocument/2006/relationships/hyperlink" Target="https://drive.google.com/file/d/1aZU_qVd2kTZViil2EFS4-p1JnH73_opg/view" TargetMode="External"/><Relationship Id="rId3216" Type="http://schemas.openxmlformats.org/officeDocument/2006/relationships/hyperlink" Target="https://drive.google.com/file/d/14xUt68WxmeRL67TzW6k8Naxq6tuNf8cq/view" TargetMode="External"/><Relationship Id="rId3215" Type="http://schemas.openxmlformats.org/officeDocument/2006/relationships/hyperlink" Target="https://drive.google.com/file/d/17WSEzsBObILQVfKu5ZzriJH-krKgS2aP/view" TargetMode="External"/><Relationship Id="rId3218" Type="http://schemas.openxmlformats.org/officeDocument/2006/relationships/hyperlink" Target="https://drive.google.com/file/d/1LlHkdR9pNZm0TtWv22sI6fgkv9V4Klzj/view" TargetMode="External"/><Relationship Id="rId3217" Type="http://schemas.openxmlformats.org/officeDocument/2006/relationships/hyperlink" Target="https://drive.google.com/file/d/1U7eHK_kIrlXWpTYGawi-hdkFIzAJSi6n/view" TargetMode="External"/><Relationship Id="rId3219" Type="http://schemas.openxmlformats.org/officeDocument/2006/relationships/hyperlink" Target="https://drive.google.com/file/d/1dYMhNagJpyINrqJRQ1tncMGpCcgMPCA5/view" TargetMode="External"/><Relationship Id="rId689" Type="http://schemas.openxmlformats.org/officeDocument/2006/relationships/hyperlink" Target="https://drive.google.com/file/d/1YW0snBsYDmPa0A36tL0LmNMxZZmzSDXB/view" TargetMode="External"/><Relationship Id="rId688" Type="http://schemas.openxmlformats.org/officeDocument/2006/relationships/hyperlink" Target="https://drive.google.com/file/d/1cMq4Cc-T_s_4kvKqsH1SnNYM59qwae-J/view" TargetMode="External"/><Relationship Id="rId687" Type="http://schemas.openxmlformats.org/officeDocument/2006/relationships/hyperlink" Target="https://drive.google.com/file/d/1wn8axtFWEwJj2HTY7TRXjE5ZAxCVwx9b/view" TargetMode="External"/><Relationship Id="rId682" Type="http://schemas.openxmlformats.org/officeDocument/2006/relationships/hyperlink" Target="https://drive.google.com/file/d/1mEpj7CdLElihEdaS864QlFZKpbFFUtsx/view" TargetMode="External"/><Relationship Id="rId681" Type="http://schemas.openxmlformats.org/officeDocument/2006/relationships/hyperlink" Target="https://drive.google.com/file/d/1RuUPNmCwfT0QtfqgUzNICJ_xF-PfntCv/view" TargetMode="External"/><Relationship Id="rId680" Type="http://schemas.openxmlformats.org/officeDocument/2006/relationships/hyperlink" Target="https://drive.google.com/file/d/1cMq4Cc-T_s_4kvKqsH1SnNYM59qwae-J/view" TargetMode="External"/><Relationship Id="rId3210" Type="http://schemas.openxmlformats.org/officeDocument/2006/relationships/hyperlink" Target="https://drive.google.com/file/d/1XGp2fhv7q_p770KQTNd4W0io0UelsPSb/view" TargetMode="External"/><Relationship Id="rId686" Type="http://schemas.openxmlformats.org/officeDocument/2006/relationships/hyperlink" Target="https://drive.google.com/file/d/1mEpj7CdLElihEdaS864QlFZKpbFFUtsx/view" TargetMode="External"/><Relationship Id="rId3212" Type="http://schemas.openxmlformats.org/officeDocument/2006/relationships/hyperlink" Target="https://drive.google.com/file/d/1dYMhNagJpyINrqJRQ1tncMGpCcgMPCA5/view" TargetMode="External"/><Relationship Id="rId685" Type="http://schemas.openxmlformats.org/officeDocument/2006/relationships/hyperlink" Target="https://drive.google.com/file/d/1u37pG0gOfGuIngwDPIVqBiQ0pf0CNTYG/view" TargetMode="External"/><Relationship Id="rId3211" Type="http://schemas.openxmlformats.org/officeDocument/2006/relationships/hyperlink" Target="https://drive.google.com/file/d/1LlHkdR9pNZm0TtWv22sI6fgkv9V4Klzj/view" TargetMode="External"/><Relationship Id="rId684" Type="http://schemas.openxmlformats.org/officeDocument/2006/relationships/hyperlink" Target="https://drive.google.com/file/d/1cMq4Cc-T_s_4kvKqsH1SnNYM59qwae-J/view" TargetMode="External"/><Relationship Id="rId3214" Type="http://schemas.openxmlformats.org/officeDocument/2006/relationships/hyperlink" Target="https://drive.google.com/file/d/1e7G42qRNaDPxegeK0dSEOtKa1FQm60bk/view" TargetMode="External"/><Relationship Id="rId683" Type="http://schemas.openxmlformats.org/officeDocument/2006/relationships/hyperlink" Target="https://drive.google.com/file/d/1wn8axtFWEwJj2HTY7TRXjE5ZAxCVwx9b/view" TargetMode="External"/><Relationship Id="rId3213" Type="http://schemas.openxmlformats.org/officeDocument/2006/relationships/hyperlink" Target="https://drive.google.com/file/d/1AxiEhMHrr97kGExR9YzYU_iHn3Tj2Ege/view" TargetMode="External"/><Relationship Id="rId3205" Type="http://schemas.openxmlformats.org/officeDocument/2006/relationships/hyperlink" Target="https://drive.google.com/file/d/1dYMhNagJpyINrqJRQ1tncMGpCcgMPCA5/view" TargetMode="External"/><Relationship Id="rId3204" Type="http://schemas.openxmlformats.org/officeDocument/2006/relationships/hyperlink" Target="https://drive.google.com/file/d/1LlHkdR9pNZm0TtWv22sI6fgkv9V4Klzj/view" TargetMode="External"/><Relationship Id="rId3207" Type="http://schemas.openxmlformats.org/officeDocument/2006/relationships/hyperlink" Target="https://drive.google.com/file/d/1e7G42qRNaDPxegeK0dSEOtKa1FQm60bk/view" TargetMode="External"/><Relationship Id="rId3206" Type="http://schemas.openxmlformats.org/officeDocument/2006/relationships/hyperlink" Target="https://drive.google.com/file/d/1AxiEhMHrr97kGExR9YzYU_iHn3Tj2Ege/view" TargetMode="External"/><Relationship Id="rId3209" Type="http://schemas.openxmlformats.org/officeDocument/2006/relationships/hyperlink" Target="https://drive.google.com/file/d/1KTLv5sTHmYoevP2NLVEejH3fO8Ht1BnW/view" TargetMode="External"/><Relationship Id="rId3208" Type="http://schemas.openxmlformats.org/officeDocument/2006/relationships/hyperlink" Target="https://drive.google.com/file/d/17WSEzsBObILQVfKu5ZzriJH-krKgS2aP/view" TargetMode="External"/><Relationship Id="rId679" Type="http://schemas.openxmlformats.org/officeDocument/2006/relationships/hyperlink" Target="https://drive.google.com/file/d/1wn8axtFWEwJj2HTY7TRXjE5ZAxCVwx9b/view" TargetMode="External"/><Relationship Id="rId678" Type="http://schemas.openxmlformats.org/officeDocument/2006/relationships/hyperlink" Target="https://drive.google.com/file/d/1mEpj7CdLElihEdaS864QlFZKpbFFUtsx/view" TargetMode="External"/><Relationship Id="rId677" Type="http://schemas.openxmlformats.org/officeDocument/2006/relationships/hyperlink" Target="https://drive.google.com/file/d/143Ge31dnTLGnXp0z2WAHz7c7RIfNQYWH/view" TargetMode="External"/><Relationship Id="rId676" Type="http://schemas.openxmlformats.org/officeDocument/2006/relationships/hyperlink" Target="https://drive.google.com/file/d/1cMq4Cc-T_s_4kvKqsH1SnNYM59qwae-J/view" TargetMode="External"/><Relationship Id="rId671" Type="http://schemas.openxmlformats.org/officeDocument/2006/relationships/hyperlink" Target="https://drive.google.com/file/d/1wn8axtFWEwJj2HTY7TRXjE5ZAxCVwx9b/view" TargetMode="External"/><Relationship Id="rId670" Type="http://schemas.openxmlformats.org/officeDocument/2006/relationships/hyperlink" Target="https://drive.google.com/file/d/1mEpj7CdLElihEdaS864QlFZKpbFFUtsx/view" TargetMode="External"/><Relationship Id="rId675" Type="http://schemas.openxmlformats.org/officeDocument/2006/relationships/hyperlink" Target="https://drive.google.com/file/d/1wn8axtFWEwJj2HTY7TRXjE5ZAxCVwx9b/view" TargetMode="External"/><Relationship Id="rId3201" Type="http://schemas.openxmlformats.org/officeDocument/2006/relationships/hyperlink" Target="https://drive.google.com/file/d/17WSEzsBObILQVfKu5ZzriJH-krKgS2aP/view" TargetMode="External"/><Relationship Id="rId674" Type="http://schemas.openxmlformats.org/officeDocument/2006/relationships/hyperlink" Target="https://drive.google.com/file/d/1mEpj7CdLElihEdaS864QlFZKpbFFUtsx/view" TargetMode="External"/><Relationship Id="rId3200" Type="http://schemas.openxmlformats.org/officeDocument/2006/relationships/hyperlink" Target="https://drive.google.com/file/d/1e7G42qRNaDPxegeK0dSEOtKa1FQm60bk/view" TargetMode="External"/><Relationship Id="rId673" Type="http://schemas.openxmlformats.org/officeDocument/2006/relationships/hyperlink" Target="https://drive.google.com/file/d/1oi1zEffdlcHlDe_7Mn-sCZOuei7y2M6F/view" TargetMode="External"/><Relationship Id="rId3203" Type="http://schemas.openxmlformats.org/officeDocument/2006/relationships/hyperlink" Target="https://drive.google.com/file/d/1yFEZVWwhKCdVs_bV3cvhuHFG8Ly6NHEo/view" TargetMode="External"/><Relationship Id="rId672" Type="http://schemas.openxmlformats.org/officeDocument/2006/relationships/hyperlink" Target="https://drive.google.com/file/d/1cMq4Cc-T_s_4kvKqsH1SnNYM59qwae-J/view" TargetMode="External"/><Relationship Id="rId3202" Type="http://schemas.openxmlformats.org/officeDocument/2006/relationships/hyperlink" Target="https://drive.google.com/file/d/1mlZPrMDvyaBMuEFfVnRwn18cXHAuWwGB/view" TargetMode="External"/><Relationship Id="rId190" Type="http://schemas.openxmlformats.org/officeDocument/2006/relationships/hyperlink" Target="https://drive.google.com/file/d/1_BKfE12G4B2i38Vkg4OBNHppFUoFv_wX/view" TargetMode="External"/><Relationship Id="rId194" Type="http://schemas.openxmlformats.org/officeDocument/2006/relationships/hyperlink" Target="https://drive.google.com/file/d/1jHRMLpt4Z859ePOuw3n5BaZnPTcAb0QC/view" TargetMode="External"/><Relationship Id="rId193" Type="http://schemas.openxmlformats.org/officeDocument/2006/relationships/hyperlink" Target="https://drive.google.com/file/d/14ycSI6RunSYKIJCJ7WmN8khs3LwEwqDN/view" TargetMode="External"/><Relationship Id="rId192" Type="http://schemas.openxmlformats.org/officeDocument/2006/relationships/hyperlink" Target="https://drive.google.com/file/d/1dlWjtdpCiHDsu-4m4MXAQjceHF4wd_FX/view" TargetMode="External"/><Relationship Id="rId191" Type="http://schemas.openxmlformats.org/officeDocument/2006/relationships/hyperlink" Target="https://drive.google.com/file/d/1V5Ga-aPG4atlhr8cuw7aqm3QbAil3dTB/view" TargetMode="External"/><Relationship Id="rId187" Type="http://schemas.openxmlformats.org/officeDocument/2006/relationships/hyperlink" Target="https://drive.google.com/file/d/1dlWjtdpCiHDsu-4m4MXAQjceHF4wd_FX/view" TargetMode="External"/><Relationship Id="rId186" Type="http://schemas.openxmlformats.org/officeDocument/2006/relationships/hyperlink" Target="https://drive.google.com/file/d/1V5Ga-aPG4atlhr8cuw7aqm3QbAil3dTB/view" TargetMode="External"/><Relationship Id="rId185" Type="http://schemas.openxmlformats.org/officeDocument/2006/relationships/hyperlink" Target="https://drive.google.com/file/d/1_BKfE12G4B2i38Vkg4OBNHppFUoFv_wX/view" TargetMode="External"/><Relationship Id="rId184" Type="http://schemas.openxmlformats.org/officeDocument/2006/relationships/hyperlink" Target="https://drive.google.com/file/d/1AQVgaWWr1NacJiyd4AZVQ39LXBG1gAKk/view" TargetMode="External"/><Relationship Id="rId189" Type="http://schemas.openxmlformats.org/officeDocument/2006/relationships/hyperlink" Target="https://drive.google.com/file/d/1AQVgaWWr1NacJiyd4AZVQ39LXBG1gAKk/view" TargetMode="External"/><Relationship Id="rId188" Type="http://schemas.openxmlformats.org/officeDocument/2006/relationships/hyperlink" Target="https://drive.google.com/file/d/14ycSI6RunSYKIJCJ7WmN8khs3LwEwqDN/view" TargetMode="External"/><Relationship Id="rId183" Type="http://schemas.openxmlformats.org/officeDocument/2006/relationships/hyperlink" Target="https://drive.google.com/file/d/1J5Z7FudzDZX5vd3FbBxnMaU2tjtXmmIb/view" TargetMode="External"/><Relationship Id="rId182" Type="http://schemas.openxmlformats.org/officeDocument/2006/relationships/hyperlink" Target="https://drive.google.com/file/d/1TmR1KgpQLJAnA62fW3O6Y2x2Sgeem76Q/view" TargetMode="External"/><Relationship Id="rId181" Type="http://schemas.openxmlformats.org/officeDocument/2006/relationships/hyperlink" Target="https://drive.google.com/file/d/17moOfJTsS5r6RMQJ4FzGga1Y883zpQE8/view" TargetMode="External"/><Relationship Id="rId180" Type="http://schemas.openxmlformats.org/officeDocument/2006/relationships/hyperlink" Target="https://drive.google.com/file/d/1F5baCnOUJTWiP9NL9SzsJSZZR7PvcrFw/view" TargetMode="External"/><Relationship Id="rId176" Type="http://schemas.openxmlformats.org/officeDocument/2006/relationships/hyperlink" Target="https://drive.google.com/file/d/1VhscxE_f-1mVlTfAaTU7Fs_Jidi9KG47/view" TargetMode="External"/><Relationship Id="rId175" Type="http://schemas.openxmlformats.org/officeDocument/2006/relationships/hyperlink" Target="https://drive.google.com/file/d/1XOnvCBWq45PavWY6ZA6VX_P4o0mD_cQr/view" TargetMode="External"/><Relationship Id="rId174" Type="http://schemas.openxmlformats.org/officeDocument/2006/relationships/hyperlink" Target="https://drive.google.com/file/d/1V5Ga-aPG4atlhr8cuw7aqm3QbAil3dTB/view" TargetMode="External"/><Relationship Id="rId173" Type="http://schemas.openxmlformats.org/officeDocument/2006/relationships/hyperlink" Target="https://drive.google.com/file/d/1JS5j8-T6ALqqhMf2aooX-5zwqixX4b-q/view" TargetMode="External"/><Relationship Id="rId179" Type="http://schemas.openxmlformats.org/officeDocument/2006/relationships/hyperlink" Target="https://drive.google.com/file/d/1qlBWEy0S44e_2Z1y7e03Ct8EOZj_8K7j/view" TargetMode="External"/><Relationship Id="rId178" Type="http://schemas.openxmlformats.org/officeDocument/2006/relationships/hyperlink" Target="https://drive.google.com/file/d/17fVJnSx6cdj4XtQFI0zpeHO4Qk6c5ybk/view" TargetMode="External"/><Relationship Id="rId177" Type="http://schemas.openxmlformats.org/officeDocument/2006/relationships/hyperlink" Target="https://drive.google.com/file/d/1g9qQeNvucuuE3nbPoCUw6Pg-nux3piwq/view" TargetMode="External"/><Relationship Id="rId198" Type="http://schemas.openxmlformats.org/officeDocument/2006/relationships/hyperlink" Target="https://drive.google.com/file/d/14ycSI6RunSYKIJCJ7WmN8khs3LwEwqDN/view" TargetMode="External"/><Relationship Id="rId197" Type="http://schemas.openxmlformats.org/officeDocument/2006/relationships/hyperlink" Target="https://drive.google.com/file/d/1dlWjtdpCiHDsu-4m4MXAQjceHF4wd_FX/view" TargetMode="External"/><Relationship Id="rId196" Type="http://schemas.openxmlformats.org/officeDocument/2006/relationships/hyperlink" Target="https://drive.google.com/file/d/1V5Ga-aPG4atlhr8cuw7aqm3QbAil3dTB/view" TargetMode="External"/><Relationship Id="rId195" Type="http://schemas.openxmlformats.org/officeDocument/2006/relationships/hyperlink" Target="https://drive.google.com/file/d/14iJNopvpDNBym1EfxggFa3Tr5Xvupo_w/view" TargetMode="External"/><Relationship Id="rId199" Type="http://schemas.openxmlformats.org/officeDocument/2006/relationships/hyperlink" Target="https://drive.google.com/file/d/15_BVNFFGkKFT4egrTWizJ52rW9uZOKLf/view" TargetMode="External"/><Relationship Id="rId150" Type="http://schemas.openxmlformats.org/officeDocument/2006/relationships/hyperlink" Target="https://drive.google.com/file/d/1l7AEDCGn75l4XjQFwJRCSODBt-JV0TOV/view" TargetMode="External"/><Relationship Id="rId149" Type="http://schemas.openxmlformats.org/officeDocument/2006/relationships/hyperlink" Target="https://drive.google.com/file/d/1V5Ga-aPG4atlhr8cuw7aqm3QbAil3dTB/view" TargetMode="External"/><Relationship Id="rId148" Type="http://schemas.openxmlformats.org/officeDocument/2006/relationships/hyperlink" Target="https://drive.google.com/file/d/1PQzAJ92SHvNTEmDQVaeA2sipV5WZMUlY/view" TargetMode="External"/><Relationship Id="rId3270" Type="http://schemas.openxmlformats.org/officeDocument/2006/relationships/hyperlink" Target="https://drive.google.com/file/d/14WSl5atMqlGO-24TigP0DXH5Hx9RtGg1/view" TargetMode="External"/><Relationship Id="rId3272" Type="http://schemas.openxmlformats.org/officeDocument/2006/relationships/hyperlink" Target="https://drive.google.com/file/d/1KobnWC5yGk2DtzKt3JBaeCDiVgFOo6gO/view" TargetMode="External"/><Relationship Id="rId3271" Type="http://schemas.openxmlformats.org/officeDocument/2006/relationships/hyperlink" Target="https://drive.google.com/file/d/1tNzWX7nD4-AjpmG--tu7c7Kb-tm-1RDu/view" TargetMode="External"/><Relationship Id="rId143" Type="http://schemas.openxmlformats.org/officeDocument/2006/relationships/hyperlink" Target="https://drive.google.com/file/d/1mY7Y9GOrqVkIVBVfSxjOa36zfqoxEv8P/view" TargetMode="External"/><Relationship Id="rId3274" Type="http://schemas.openxmlformats.org/officeDocument/2006/relationships/hyperlink" Target="https://drive.google.com/file/d/1HmAhJ-YEICWzpP0soayP6DxeYjjS0f8I/view" TargetMode="External"/><Relationship Id="rId142" Type="http://schemas.openxmlformats.org/officeDocument/2006/relationships/hyperlink" Target="https://drive.google.com/file/d/1-Lcn696k1vdxUtJPqd0r3MQXgDJPGS8V/view" TargetMode="External"/><Relationship Id="rId3273" Type="http://schemas.openxmlformats.org/officeDocument/2006/relationships/hyperlink" Target="https://drive.google.com/file/d/1ravpaIeQNDsSkx4wDWJQbneGWFfGsoGZ/view" TargetMode="External"/><Relationship Id="rId141" Type="http://schemas.openxmlformats.org/officeDocument/2006/relationships/hyperlink" Target="https://drive.google.com/file/d/1ImL9cv6tMAbWb3c_Y4Ux4xLF8TsAytRj/view" TargetMode="External"/><Relationship Id="rId3276" Type="http://schemas.openxmlformats.org/officeDocument/2006/relationships/hyperlink" Target="https://drive.google.com/file/d/1mv4wWgz24VU8VuyBjMzHIxCWXmk_wxp4/view" TargetMode="External"/><Relationship Id="rId140" Type="http://schemas.openxmlformats.org/officeDocument/2006/relationships/hyperlink" Target="https://drive.google.com/file/d/11y31HPBw9gXq6FouRNHn8DUB43W7rcdK/view" TargetMode="External"/><Relationship Id="rId3275" Type="http://schemas.openxmlformats.org/officeDocument/2006/relationships/hyperlink" Target="https://drive.google.com/file/d/1CyGfz60vLO5Y5zNHIgycOTw3riS7S_1e/view" TargetMode="External"/><Relationship Id="rId147" Type="http://schemas.openxmlformats.org/officeDocument/2006/relationships/hyperlink" Target="https://drive.google.com/file/d/1sL-sEqogICPMU8giRP0nRa9VLruqv5sF/view" TargetMode="External"/><Relationship Id="rId3278" Type="http://schemas.openxmlformats.org/officeDocument/2006/relationships/hyperlink" Target="https://drive.google.com/file/d/1MnelJxKYbnBvfBrYmsp0RSa-r77TO8Rx/view" TargetMode="External"/><Relationship Id="rId146" Type="http://schemas.openxmlformats.org/officeDocument/2006/relationships/hyperlink" Target="https://drive.google.com/file/d/1lAoeXL5O2pUqC3NvLmimg9LsIV2ND1wq/view" TargetMode="External"/><Relationship Id="rId3277" Type="http://schemas.openxmlformats.org/officeDocument/2006/relationships/hyperlink" Target="https://drive.google.com/file/d/1eJo-RCSAS-wrx_0p3XpBEKYmd7deuiM3/view" TargetMode="External"/><Relationship Id="rId145" Type="http://schemas.openxmlformats.org/officeDocument/2006/relationships/hyperlink" Target="https://drive.google.com/file/d/1l7AEDCGn75l4XjQFwJRCSODBt-JV0TOV/view" TargetMode="External"/><Relationship Id="rId144" Type="http://schemas.openxmlformats.org/officeDocument/2006/relationships/hyperlink" Target="https://drive.google.com/file/d/1V5Ga-aPG4atlhr8cuw7aqm3QbAil3dTB/view" TargetMode="External"/><Relationship Id="rId3279" Type="http://schemas.openxmlformats.org/officeDocument/2006/relationships/hyperlink" Target="https://drive.google.com/file/d/1KobnWC5yGk2DtzKt3JBaeCDiVgFOo6gO/view" TargetMode="External"/><Relationship Id="rId139" Type="http://schemas.openxmlformats.org/officeDocument/2006/relationships/hyperlink" Target="https://drive.google.com/file/d/1V5Ga-aPG4atlhr8cuw7aqm3QbAil3dTB/view" TargetMode="External"/><Relationship Id="rId138" Type="http://schemas.openxmlformats.org/officeDocument/2006/relationships/hyperlink" Target="https://drive.google.com/file/d/1dT-KtZqPFhw2G8ycq_-7Z1NKdFdW8Lg5/view" TargetMode="External"/><Relationship Id="rId137" Type="http://schemas.openxmlformats.org/officeDocument/2006/relationships/hyperlink" Target="https://drive.google.com/file/d/1JuSrHKqXpqDVAQmHz39r9jBT_ens4F4f/view" TargetMode="External"/><Relationship Id="rId3261" Type="http://schemas.openxmlformats.org/officeDocument/2006/relationships/hyperlink" Target="https://drive.google.com/file/d/1KXSz-aVzdAXfROi5aylnemy18cbQViai/view" TargetMode="External"/><Relationship Id="rId3260" Type="http://schemas.openxmlformats.org/officeDocument/2006/relationships/hyperlink" Target="https://drive.google.com/file/d/1-maUnjsUIi9MgxENCacPKXHF75UKISch/view" TargetMode="External"/><Relationship Id="rId132" Type="http://schemas.openxmlformats.org/officeDocument/2006/relationships/hyperlink" Target="https://drive.google.com/file/d/1jcASK_nceF4Gqq3qWPYoh6TFkvfZkow7/view" TargetMode="External"/><Relationship Id="rId3263" Type="http://schemas.openxmlformats.org/officeDocument/2006/relationships/hyperlink" Target="https://drive.google.com/file/d/14WSl5atMqlGO-24TigP0DXH5Hx9RtGg1/view" TargetMode="External"/><Relationship Id="rId131" Type="http://schemas.openxmlformats.org/officeDocument/2006/relationships/hyperlink" Target="https://drive.google.com/file/d/1jH1oI-RvHnFa7gA4yyeWZLscT6nJI_O5/view" TargetMode="External"/><Relationship Id="rId3262" Type="http://schemas.openxmlformats.org/officeDocument/2006/relationships/hyperlink" Target="https://drive.google.com/file/d/1nC-vDyfJckDf7eqA-1snduy9U-VMg844/view" TargetMode="External"/><Relationship Id="rId130" Type="http://schemas.openxmlformats.org/officeDocument/2006/relationships/hyperlink" Target="https://drive.google.com/file/d/1LKSb90lV5GA3AckXJ0xXRbndX8uPAdqO/view" TargetMode="External"/><Relationship Id="rId3265" Type="http://schemas.openxmlformats.org/officeDocument/2006/relationships/hyperlink" Target="https://drive.google.com/file/d/1MiACRD3_NXM7C-vyyWtYbMj0tX0QM11U/view" TargetMode="External"/><Relationship Id="rId3264" Type="http://schemas.openxmlformats.org/officeDocument/2006/relationships/hyperlink" Target="https://drive.google.com/file/d/1tNzWX7nD4-AjpmG--tu7c7Kb-tm-1RDu/view" TargetMode="External"/><Relationship Id="rId136" Type="http://schemas.openxmlformats.org/officeDocument/2006/relationships/hyperlink" Target="https://drive.google.com/file/d/1ImL9cv6tMAbWb3c_Y4Ux4xLF8TsAytRj/view" TargetMode="External"/><Relationship Id="rId3267" Type="http://schemas.openxmlformats.org/officeDocument/2006/relationships/hyperlink" Target="https://drive.google.com/file/d/1-maUnjsUIi9MgxENCacPKXHF75UKISch/view" TargetMode="External"/><Relationship Id="rId135" Type="http://schemas.openxmlformats.org/officeDocument/2006/relationships/hyperlink" Target="https://drive.google.com/file/d/11y31HPBw9gXq6FouRNHn8DUB43W7rcdK/view" TargetMode="External"/><Relationship Id="rId3266" Type="http://schemas.openxmlformats.org/officeDocument/2006/relationships/hyperlink" Target="https://drive.google.com/file/d/1h568Xos9PO_dqob3SjGGG9zw6qpSTUs1/view" TargetMode="External"/><Relationship Id="rId134" Type="http://schemas.openxmlformats.org/officeDocument/2006/relationships/hyperlink" Target="https://drive.google.com/file/d/1V5Ga-aPG4atlhr8cuw7aqm3QbAil3dTB/view" TargetMode="External"/><Relationship Id="rId3269" Type="http://schemas.openxmlformats.org/officeDocument/2006/relationships/hyperlink" Target="https://drive.google.com/file/d/1nC-vDyfJckDf7eqA-1snduy9U-VMg844/view" TargetMode="External"/><Relationship Id="rId133" Type="http://schemas.openxmlformats.org/officeDocument/2006/relationships/hyperlink" Target="https://drive.google.com/file/d/1ny81IU1JPQXh1JxxF_IP6tvxk1Fod0mH/view" TargetMode="External"/><Relationship Id="rId3268" Type="http://schemas.openxmlformats.org/officeDocument/2006/relationships/hyperlink" Target="https://drive.google.com/file/d/1KXSz-aVzdAXfROi5aylnemy18cbQViai/view" TargetMode="External"/><Relationship Id="rId172" Type="http://schemas.openxmlformats.org/officeDocument/2006/relationships/hyperlink" Target="https://drive.google.com/file/d/1Qc1pp2RAaxycp1YMU-XrYR7GrXAOm8yo/view" TargetMode="External"/><Relationship Id="rId171" Type="http://schemas.openxmlformats.org/officeDocument/2006/relationships/hyperlink" Target="https://drive.google.com/file/d/1VhscxE_f-1mVlTfAaTU7Fs_Jidi9KG47/view" TargetMode="External"/><Relationship Id="rId170" Type="http://schemas.openxmlformats.org/officeDocument/2006/relationships/hyperlink" Target="https://drive.google.com/file/d/1XOnvCBWq45PavWY6ZA6VX_P4o0mD_cQr/view" TargetMode="External"/><Relationship Id="rId3290" Type="http://schemas.openxmlformats.org/officeDocument/2006/relationships/hyperlink" Target="https://drive.google.com/file/d/1mv4wWgz24VU8VuyBjMzHIxCWXmk_wxp4/view" TargetMode="External"/><Relationship Id="rId3292" Type="http://schemas.openxmlformats.org/officeDocument/2006/relationships/hyperlink" Target="https://drive.google.com/file/d/1MnelJxKYbnBvfBrYmsp0RSa-r77TO8Rx/view" TargetMode="External"/><Relationship Id="rId3291" Type="http://schemas.openxmlformats.org/officeDocument/2006/relationships/hyperlink" Target="https://drive.google.com/file/d/1eJo-RCSAS-wrx_0p3XpBEKYmd7deuiM3/view" TargetMode="External"/><Relationship Id="rId3294" Type="http://schemas.openxmlformats.org/officeDocument/2006/relationships/hyperlink" Target="https://drive.google.com/file/d/1bK4wMxf2zt6O2ozZCJMLDaUA1ChKL-jr/view" TargetMode="External"/><Relationship Id="rId3293" Type="http://schemas.openxmlformats.org/officeDocument/2006/relationships/hyperlink" Target="https://drive.google.com/file/d/1JNnzfMm4-HCQXC-R3OAKZG5sG_JB9FgU/view" TargetMode="External"/><Relationship Id="rId165" Type="http://schemas.openxmlformats.org/officeDocument/2006/relationships/hyperlink" Target="https://drive.google.com/file/d/1XOnvCBWq45PavWY6ZA6VX_P4o0mD_cQr/view" TargetMode="External"/><Relationship Id="rId3296" Type="http://schemas.openxmlformats.org/officeDocument/2006/relationships/hyperlink" Target="https://drive.google.com/file/d/1yjnr2rn2eNPFz1jJKggFJq4p-EzKIx7n/view" TargetMode="External"/><Relationship Id="rId164" Type="http://schemas.openxmlformats.org/officeDocument/2006/relationships/hyperlink" Target="https://drive.google.com/file/d/1V5Ga-aPG4atlhr8cuw7aqm3QbAil3dTB/view" TargetMode="External"/><Relationship Id="rId3295" Type="http://schemas.openxmlformats.org/officeDocument/2006/relationships/hyperlink" Target="https://drive.google.com/file/d/1Namxju0uEaphcru1U9ZVEMWcoH9y7fcY/view" TargetMode="External"/><Relationship Id="rId163" Type="http://schemas.openxmlformats.org/officeDocument/2006/relationships/hyperlink" Target="https://drive.google.com/file/d/1vpGh69HaZrSqIrLTmb0tSexZpW5UBq7z/view" TargetMode="External"/><Relationship Id="rId3298" Type="http://schemas.openxmlformats.org/officeDocument/2006/relationships/hyperlink" Target="https://drive.google.com/file/d/15r4bPlRYRtPUR8ELqY-drTep52-Yl0pv/view" TargetMode="External"/><Relationship Id="rId162" Type="http://schemas.openxmlformats.org/officeDocument/2006/relationships/hyperlink" Target="https://drive.google.com/file/d/1AYJV4C5uEiMD0h2XmM1UmTLIc7wkX88n/view" TargetMode="External"/><Relationship Id="rId3297" Type="http://schemas.openxmlformats.org/officeDocument/2006/relationships/hyperlink" Target="https://drive.google.com/file/d/11teEHIkzQpRaA1nu9Yavvin2DkxsvnzE/view" TargetMode="External"/><Relationship Id="rId169" Type="http://schemas.openxmlformats.org/officeDocument/2006/relationships/hyperlink" Target="https://drive.google.com/file/d/1V5Ga-aPG4atlhr8cuw7aqm3QbAil3dTB/view" TargetMode="External"/><Relationship Id="rId168" Type="http://schemas.openxmlformats.org/officeDocument/2006/relationships/hyperlink" Target="https://drive.google.com/file/d/1vpGh69HaZrSqIrLTmb0tSexZpW5UBq7z/view" TargetMode="External"/><Relationship Id="rId3299" Type="http://schemas.openxmlformats.org/officeDocument/2006/relationships/hyperlink" Target="https://drive.google.com/file/d/1HkrDv2J1FczN1zXyr2-FkjQ7l6wYlLFM/view" TargetMode="External"/><Relationship Id="rId167" Type="http://schemas.openxmlformats.org/officeDocument/2006/relationships/hyperlink" Target="https://drive.google.com/file/d/1AYJV4C5uEiMD0h2XmM1UmTLIc7wkX88n/view" TargetMode="External"/><Relationship Id="rId166" Type="http://schemas.openxmlformats.org/officeDocument/2006/relationships/hyperlink" Target="https://drive.google.com/file/d/1VhscxE_f-1mVlTfAaTU7Fs_Jidi9KG47/view" TargetMode="External"/><Relationship Id="rId161" Type="http://schemas.openxmlformats.org/officeDocument/2006/relationships/hyperlink" Target="https://drive.google.com/file/d/1yYoSCXzTVoVnJip7iirxaMe9IE5nWo8Y/view" TargetMode="External"/><Relationship Id="rId160" Type="http://schemas.openxmlformats.org/officeDocument/2006/relationships/hyperlink" Target="https://drive.google.com/file/d/1CPBEYqLbUrvHZnv9UT-Nl5kPJuko5E_o/view" TargetMode="External"/><Relationship Id="rId159" Type="http://schemas.openxmlformats.org/officeDocument/2006/relationships/hyperlink" Target="https://drive.google.com/file/d/1V5Ga-aPG4atlhr8cuw7aqm3QbAil3dTB/view" TargetMode="External"/><Relationship Id="rId3281" Type="http://schemas.openxmlformats.org/officeDocument/2006/relationships/hyperlink" Target="https://drive.google.com/file/d/1HmAhJ-YEICWzpP0soayP6DxeYjjS0f8I/view" TargetMode="External"/><Relationship Id="rId3280" Type="http://schemas.openxmlformats.org/officeDocument/2006/relationships/hyperlink" Target="https://drive.google.com/file/d/1ravpaIeQNDsSkx4wDWJQbneGWFfGsoGZ/view" TargetMode="External"/><Relationship Id="rId3283" Type="http://schemas.openxmlformats.org/officeDocument/2006/relationships/hyperlink" Target="https://drive.google.com/file/d/1mv4wWgz24VU8VuyBjMzHIxCWXmk_wxp4/view" TargetMode="External"/><Relationship Id="rId3282" Type="http://schemas.openxmlformats.org/officeDocument/2006/relationships/hyperlink" Target="https://drive.google.com/file/d/1CyGfz60vLO5Y5zNHIgycOTw3riS7S_1e/view" TargetMode="External"/><Relationship Id="rId154" Type="http://schemas.openxmlformats.org/officeDocument/2006/relationships/hyperlink" Target="https://drive.google.com/file/d/1V5Ga-aPG4atlhr8cuw7aqm3QbAil3dTB/view" TargetMode="External"/><Relationship Id="rId3285" Type="http://schemas.openxmlformats.org/officeDocument/2006/relationships/hyperlink" Target="https://drive.google.com/file/d/1MnelJxKYbnBvfBrYmsp0RSa-r77TO8Rx/view" TargetMode="External"/><Relationship Id="rId153" Type="http://schemas.openxmlformats.org/officeDocument/2006/relationships/hyperlink" Target="https://drive.google.com/file/d/1DWWJadRQPlui1sJ1buo1GyPa4qW0DDX7/view" TargetMode="External"/><Relationship Id="rId3284" Type="http://schemas.openxmlformats.org/officeDocument/2006/relationships/hyperlink" Target="https://drive.google.com/file/d/1eJo-RCSAS-wrx_0p3XpBEKYmd7deuiM3/view" TargetMode="External"/><Relationship Id="rId152" Type="http://schemas.openxmlformats.org/officeDocument/2006/relationships/hyperlink" Target="https://drive.google.com/file/d/1TzXycnAojCKjxk1pye6ZFWGveY6zZRaO/view" TargetMode="External"/><Relationship Id="rId3287" Type="http://schemas.openxmlformats.org/officeDocument/2006/relationships/hyperlink" Target="https://drive.google.com/file/d/1L7fbCKuUtaxNNDcJmbuuQpMLmg3NRhOu/view" TargetMode="External"/><Relationship Id="rId151" Type="http://schemas.openxmlformats.org/officeDocument/2006/relationships/hyperlink" Target="https://drive.google.com/file/d/1lAoeXL5O2pUqC3NvLmimg9LsIV2ND1wq/view" TargetMode="External"/><Relationship Id="rId3286" Type="http://schemas.openxmlformats.org/officeDocument/2006/relationships/hyperlink" Target="https://drive.google.com/file/d/1T5vpbrXhxWlieXi3ObkgNNKsD_5MgmbW/view" TargetMode="External"/><Relationship Id="rId158" Type="http://schemas.openxmlformats.org/officeDocument/2006/relationships/hyperlink" Target="https://drive.google.com/file/d/1f4lCdV6Sz6N5j2sXjAo0R_GxhktFMhWD/view" TargetMode="External"/><Relationship Id="rId3289" Type="http://schemas.openxmlformats.org/officeDocument/2006/relationships/hyperlink" Target="https://drive.google.com/file/d/1CyGfz60vLO5Y5zNHIgycOTw3riS7S_1e/view" TargetMode="External"/><Relationship Id="rId157" Type="http://schemas.openxmlformats.org/officeDocument/2006/relationships/hyperlink" Target="https://drive.google.com/file/d/1rQ9UMztU6tPrJNeuScJtb1bAZW0Mq_V0/view" TargetMode="External"/><Relationship Id="rId3288" Type="http://schemas.openxmlformats.org/officeDocument/2006/relationships/hyperlink" Target="https://drive.google.com/file/d/1HmAhJ-YEICWzpP0soayP6DxeYjjS0f8I/view" TargetMode="External"/><Relationship Id="rId156" Type="http://schemas.openxmlformats.org/officeDocument/2006/relationships/hyperlink" Target="https://drive.google.com/file/d/1yYoSCXzTVoVnJip7iirxaMe9IE5nWo8Y/view" TargetMode="External"/><Relationship Id="rId155" Type="http://schemas.openxmlformats.org/officeDocument/2006/relationships/hyperlink" Target="https://drive.google.com/file/d/1CPBEYqLbUrvHZnv9UT-Nl5kPJuko5E_o/view" TargetMode="External"/><Relationship Id="rId2820" Type="http://schemas.openxmlformats.org/officeDocument/2006/relationships/hyperlink" Target="https://drive.google.com/file/d/1RPTljLNCRsYUS9eAwiGVQRMZCZqzyQPT/view" TargetMode="External"/><Relationship Id="rId2821" Type="http://schemas.openxmlformats.org/officeDocument/2006/relationships/hyperlink" Target="https://drive.google.com/file/d/1kB8C-9bQQ4kx8tlajDAc3ZYUZClhxOIf/view" TargetMode="External"/><Relationship Id="rId2822" Type="http://schemas.openxmlformats.org/officeDocument/2006/relationships/hyperlink" Target="https://drive.google.com/file/d/1Nv1YYOzrPzvReEv-r2FckOYQoy5enS6M/view" TargetMode="External"/><Relationship Id="rId2823" Type="http://schemas.openxmlformats.org/officeDocument/2006/relationships/hyperlink" Target="https://drive.google.com/file/d/15guwas0Wigmulo2GR8QtMFLBw0Q1OjmV/view" TargetMode="External"/><Relationship Id="rId2824" Type="http://schemas.openxmlformats.org/officeDocument/2006/relationships/hyperlink" Target="https://drive.google.com/file/d/1Wley29_5ON-PY1qgBw8wEfKUPGYofibG/view" TargetMode="External"/><Relationship Id="rId2825" Type="http://schemas.openxmlformats.org/officeDocument/2006/relationships/hyperlink" Target="https://drive.google.com/file/d/1N8dgl5wh6it0sfbAF8dr5HTYDON1IrBX/view" TargetMode="External"/><Relationship Id="rId2826" Type="http://schemas.openxmlformats.org/officeDocument/2006/relationships/hyperlink" Target="https://drive.google.com/file/d/1K03FOWu-vTWkC15WNDlYbMZ68jP0s06h/view" TargetMode="External"/><Relationship Id="rId2827" Type="http://schemas.openxmlformats.org/officeDocument/2006/relationships/hyperlink" Target="https://drive.google.com/file/d/1RPTljLNCRsYUS9eAwiGVQRMZCZqzyQPT/view" TargetMode="External"/><Relationship Id="rId2828" Type="http://schemas.openxmlformats.org/officeDocument/2006/relationships/hyperlink" Target="https://drive.google.com/file/d/1kB8C-9bQQ4kx8tlajDAc3ZYUZClhxOIf/view" TargetMode="External"/><Relationship Id="rId2829" Type="http://schemas.openxmlformats.org/officeDocument/2006/relationships/hyperlink" Target="https://drive.google.com/file/d/1Nv1YYOzrPzvReEv-r2FckOYQoy5enS6M/view" TargetMode="External"/><Relationship Id="rId2810" Type="http://schemas.openxmlformats.org/officeDocument/2006/relationships/hyperlink" Target="https://drive.google.com/file/d/1MG_fbVr0L244KkM6CSCPjWWtfScGV046/view" TargetMode="External"/><Relationship Id="rId2811" Type="http://schemas.openxmlformats.org/officeDocument/2006/relationships/hyperlink" Target="https://drive.google.com/file/d/11NbuCVqH7lrtoBqf-NW_qpdZxhDtFvzO/view" TargetMode="External"/><Relationship Id="rId2812" Type="http://schemas.openxmlformats.org/officeDocument/2006/relationships/hyperlink" Target="https://drive.google.com/file/d/1vTFfupyFzh3porzaGNk0uZGe4aFww5GP/view" TargetMode="External"/><Relationship Id="rId2813" Type="http://schemas.openxmlformats.org/officeDocument/2006/relationships/hyperlink" Target="https://drive.google.com/file/d/1cG7xi4TciJuefiYX7U3XonBrMKcnwK_3/view" TargetMode="External"/><Relationship Id="rId2814" Type="http://schemas.openxmlformats.org/officeDocument/2006/relationships/hyperlink" Target="https://drive.google.com/file/d/1-P4TFvQH7MhB-PupEiHkSeMTvJZyvW8l/view" TargetMode="External"/><Relationship Id="rId2815" Type="http://schemas.openxmlformats.org/officeDocument/2006/relationships/hyperlink" Target="https://drive.google.com/file/d/1lnoJf9NzHhXiPYZVu8SSe645nMyabMUR/view" TargetMode="External"/><Relationship Id="rId2816" Type="http://schemas.openxmlformats.org/officeDocument/2006/relationships/hyperlink" Target="https://drive.google.com/file/d/1MG_fbVr0L244KkM6CSCPjWWtfScGV046/view" TargetMode="External"/><Relationship Id="rId2817" Type="http://schemas.openxmlformats.org/officeDocument/2006/relationships/hyperlink" Target="https://drive.google.com/file/d/11NbuCVqH7lrtoBqf-NW_qpdZxhDtFvzO/view" TargetMode="External"/><Relationship Id="rId2818" Type="http://schemas.openxmlformats.org/officeDocument/2006/relationships/hyperlink" Target="https://drive.google.com/file/d/1vTFfupyFzh3porzaGNk0uZGe4aFww5GP/view" TargetMode="External"/><Relationship Id="rId2819" Type="http://schemas.openxmlformats.org/officeDocument/2006/relationships/hyperlink" Target="https://drive.google.com/file/d/1K03FOWu-vTWkC15WNDlYbMZ68jP0s06h/view" TargetMode="External"/><Relationship Id="rId1510" Type="http://schemas.openxmlformats.org/officeDocument/2006/relationships/hyperlink" Target="https://drive.google.com/file/d/1LrUheXx2i6hxgvrdc6kNso_zQuhqsBuf/view" TargetMode="External"/><Relationship Id="rId2841" Type="http://schemas.openxmlformats.org/officeDocument/2006/relationships/hyperlink" Target="https://drive.google.com/file/d/1kB8C-9bQQ4kx8tlajDAc3ZYUZClhxOIf/view" TargetMode="External"/><Relationship Id="rId1511" Type="http://schemas.openxmlformats.org/officeDocument/2006/relationships/hyperlink" Target="https://drive.google.com/file/d/1Sih_BVAl_IVp4hXl2cUZ5HH1PqTgXgRi/view" TargetMode="External"/><Relationship Id="rId2842" Type="http://schemas.openxmlformats.org/officeDocument/2006/relationships/hyperlink" Target="https://drive.google.com/file/d/1Nv1YYOzrPzvReEv-r2FckOYQoy5enS6M/view" TargetMode="External"/><Relationship Id="rId1512" Type="http://schemas.openxmlformats.org/officeDocument/2006/relationships/hyperlink" Target="https://drive.google.com/file/d/1CrgsyVJkPDwIIIi4i2kWMGmBiUVGelED/view" TargetMode="External"/><Relationship Id="rId2843" Type="http://schemas.openxmlformats.org/officeDocument/2006/relationships/hyperlink" Target="https://drive.google.com/file/d/15guwas0Wigmulo2GR8QtMFLBw0Q1OjmV/view" TargetMode="External"/><Relationship Id="rId1513" Type="http://schemas.openxmlformats.org/officeDocument/2006/relationships/hyperlink" Target="https://drive.google.com/file/d/1d9_WaQrOHi2e6Pl_TLaYlRQdZjEPfYTy/view" TargetMode="External"/><Relationship Id="rId2844" Type="http://schemas.openxmlformats.org/officeDocument/2006/relationships/hyperlink" Target="https://drive.google.com/file/d/1Wley29_5ON-PY1qgBw8wEfKUPGYofibG/view" TargetMode="External"/><Relationship Id="rId1514" Type="http://schemas.openxmlformats.org/officeDocument/2006/relationships/hyperlink" Target="https://drive.google.com/file/d/1LlNI3up4HAvP5L5RHRnNa8e9JJBv2eRG/view" TargetMode="External"/><Relationship Id="rId2845" Type="http://schemas.openxmlformats.org/officeDocument/2006/relationships/hyperlink" Target="https://drive.google.com/file/d/1N8dgl5wh6it0sfbAF8dr5HTYDON1IrBX/view" TargetMode="External"/><Relationship Id="rId1515" Type="http://schemas.openxmlformats.org/officeDocument/2006/relationships/hyperlink" Target="https://drive.google.com/file/d/1aS2L037MLQ2VZG8BdHheufdwznI_19Y1/view" TargetMode="External"/><Relationship Id="rId2846" Type="http://schemas.openxmlformats.org/officeDocument/2006/relationships/hyperlink" Target="https://drive.google.com/file/d/1h6ujaxJQXA4ylPkVBtbXv2FBdk-TtDgV/view" TargetMode="External"/><Relationship Id="rId1516" Type="http://schemas.openxmlformats.org/officeDocument/2006/relationships/hyperlink" Target="https://drive.google.com/file/d/1GirlovsQXrbZ4mb6ACaDDidjvsvX9TIN/view" TargetMode="External"/><Relationship Id="rId2847" Type="http://schemas.openxmlformats.org/officeDocument/2006/relationships/hyperlink" Target="https://drive.google.com/file/d/1gQnacWf8jPxiEzoosjpBxk227rub5ecE/view" TargetMode="External"/><Relationship Id="rId1517" Type="http://schemas.openxmlformats.org/officeDocument/2006/relationships/hyperlink" Target="https://drive.google.com/file/d/1LrUheXx2i6hxgvrdc6kNso_zQuhqsBuf/view" TargetMode="External"/><Relationship Id="rId2848" Type="http://schemas.openxmlformats.org/officeDocument/2006/relationships/hyperlink" Target="https://drive.google.com/file/d/13ZT6boVJf3wBaZGn43i_awFH4t-Q9cQK/view" TargetMode="External"/><Relationship Id="rId1518" Type="http://schemas.openxmlformats.org/officeDocument/2006/relationships/hyperlink" Target="https://drive.google.com/file/d/1Sih_BVAl_IVp4hXl2cUZ5HH1PqTgXgRi/view" TargetMode="External"/><Relationship Id="rId2849" Type="http://schemas.openxmlformats.org/officeDocument/2006/relationships/hyperlink" Target="https://drive.google.com/file/d/184Kcp6fCsezEP1enPMeVkPjRHhPgOZFP/view" TargetMode="External"/><Relationship Id="rId1519" Type="http://schemas.openxmlformats.org/officeDocument/2006/relationships/hyperlink" Target="https://drive.google.com/file/d/1CrgsyVJkPDwIIIi4i2kWMGmBiUVGelED/view" TargetMode="External"/><Relationship Id="rId2840" Type="http://schemas.openxmlformats.org/officeDocument/2006/relationships/hyperlink" Target="https://drive.google.com/file/d/1c3qZ7JkTeE1HqdhRaZsRc9Ch_xT1JQP-/view" TargetMode="External"/><Relationship Id="rId2830" Type="http://schemas.openxmlformats.org/officeDocument/2006/relationships/hyperlink" Target="https://drive.google.com/file/d/15guwas0Wigmulo2GR8QtMFLBw0Q1OjmV/view" TargetMode="External"/><Relationship Id="rId1500" Type="http://schemas.openxmlformats.org/officeDocument/2006/relationships/hyperlink" Target="https://drive.google.com/file/d/1wFpqqJoPHWsZA8vVR0UHTz_EvZzww32M/view" TargetMode="External"/><Relationship Id="rId2831" Type="http://schemas.openxmlformats.org/officeDocument/2006/relationships/hyperlink" Target="https://drive.google.com/file/d/1Wley29_5ON-PY1qgBw8wEfKUPGYofibG/view" TargetMode="External"/><Relationship Id="rId1501" Type="http://schemas.openxmlformats.org/officeDocument/2006/relationships/hyperlink" Target="https://drive.google.com/file/d/1CKVnpunqg7VFyuYb5x0xLFLAuPyv9N4U/view" TargetMode="External"/><Relationship Id="rId2832" Type="http://schemas.openxmlformats.org/officeDocument/2006/relationships/hyperlink" Target="https://drive.google.com/file/d/1N8dgl5wh6it0sfbAF8dr5HTYDON1IrBX/view" TargetMode="External"/><Relationship Id="rId1502" Type="http://schemas.openxmlformats.org/officeDocument/2006/relationships/hyperlink" Target="https://drive.google.com/file/d/14iqPBiLh-VESY1MCdpkegR_4psCZESPa/view" TargetMode="External"/><Relationship Id="rId2833" Type="http://schemas.openxmlformats.org/officeDocument/2006/relationships/hyperlink" Target="https://drive.google.com/file/d/1PrjHyVQpAquU_Ywa8fnkKgS67opbPX36/view" TargetMode="External"/><Relationship Id="rId1503" Type="http://schemas.openxmlformats.org/officeDocument/2006/relationships/hyperlink" Target="https://drive.google.com/file/d/1gmjw91Oako3CNpXHuxMTEN0ze1l6ztnc/view" TargetMode="External"/><Relationship Id="rId2834" Type="http://schemas.openxmlformats.org/officeDocument/2006/relationships/hyperlink" Target="https://drive.google.com/file/d/11shCohN_bmLk_tAf1ZBF__62JUr8JnB7/view" TargetMode="External"/><Relationship Id="rId1504" Type="http://schemas.openxmlformats.org/officeDocument/2006/relationships/hyperlink" Target="https://drive.google.com/file/d/14iqPBiLh-VESY1MCdpkegR_4psCZESPa/view" TargetMode="External"/><Relationship Id="rId2835" Type="http://schemas.openxmlformats.org/officeDocument/2006/relationships/hyperlink" Target="https://drive.google.com/file/d/13ZT6boVJf3wBaZGn43i_awFH4t-Q9cQK/view" TargetMode="External"/><Relationship Id="rId1505" Type="http://schemas.openxmlformats.org/officeDocument/2006/relationships/hyperlink" Target="https://drive.google.com/file/d/1HAG8M4H6ENTR9yK5Z8CxPwS6ToZIh2OR/view" TargetMode="External"/><Relationship Id="rId2836" Type="http://schemas.openxmlformats.org/officeDocument/2006/relationships/hyperlink" Target="https://drive.google.com/file/d/184Kcp6fCsezEP1enPMeVkPjRHhPgOZFP/view" TargetMode="External"/><Relationship Id="rId1506" Type="http://schemas.openxmlformats.org/officeDocument/2006/relationships/hyperlink" Target="https://drive.google.com/file/d/1BemOOz6mX2F2RT_5mLqpxr8rrFksylCP/view" TargetMode="External"/><Relationship Id="rId2837" Type="http://schemas.openxmlformats.org/officeDocument/2006/relationships/hyperlink" Target="https://drive.google.com/file/d/1Wley29_5ON-PY1qgBw8wEfKUPGYofibG/view" TargetMode="External"/><Relationship Id="rId1507" Type="http://schemas.openxmlformats.org/officeDocument/2006/relationships/hyperlink" Target="https://drive.google.com/file/d/12QsuzHO7D0ndEg8zGnDJ4ovCEoe7t3Oz/view" TargetMode="External"/><Relationship Id="rId2838" Type="http://schemas.openxmlformats.org/officeDocument/2006/relationships/hyperlink" Target="https://drive.google.com/file/d/1k-x9tw-WMjNqjenlCF0hAfe9O71M4rRE/view" TargetMode="External"/><Relationship Id="rId1508" Type="http://schemas.openxmlformats.org/officeDocument/2006/relationships/hyperlink" Target="https://drive.google.com/file/d/1aS2L037MLQ2VZG8BdHheufdwznI_19Y1/view" TargetMode="External"/><Relationship Id="rId2839" Type="http://schemas.openxmlformats.org/officeDocument/2006/relationships/hyperlink" Target="https://drive.google.com/file/d/1AT7TPwCvt880yWfpW56fdZScUuM6MpUA/view" TargetMode="External"/><Relationship Id="rId1509" Type="http://schemas.openxmlformats.org/officeDocument/2006/relationships/hyperlink" Target="https://drive.google.com/file/d/1GirlovsQXrbZ4mb6ACaDDidjvsvX9TIN/view" TargetMode="External"/><Relationship Id="rId2800" Type="http://schemas.openxmlformats.org/officeDocument/2006/relationships/hyperlink" Target="https://drive.google.com/file/d/1oJhUuY4ZOxBIHtHZ4AIe-R1O_oWLe-RY/view" TargetMode="External"/><Relationship Id="rId2801" Type="http://schemas.openxmlformats.org/officeDocument/2006/relationships/hyperlink" Target="https://drive.google.com/file/d/18ImBAwyV9_aNJOmxJHUmuF1yquZ2ivpj/view" TargetMode="External"/><Relationship Id="rId2802" Type="http://schemas.openxmlformats.org/officeDocument/2006/relationships/hyperlink" Target="https://drive.google.com/file/d/1iLa8R7DW6scagLTEzGe56U5s7xNjwRUH/view" TargetMode="External"/><Relationship Id="rId2803" Type="http://schemas.openxmlformats.org/officeDocument/2006/relationships/hyperlink" Target="https://drive.google.com/file/d/1lnoJf9NzHhXiPYZVu8SSe645nMyabMUR/view" TargetMode="External"/><Relationship Id="rId2804" Type="http://schemas.openxmlformats.org/officeDocument/2006/relationships/hyperlink" Target="https://drive.google.com/file/d/1MG_fbVr0L244KkM6CSCPjWWtfScGV046/view" TargetMode="External"/><Relationship Id="rId2805" Type="http://schemas.openxmlformats.org/officeDocument/2006/relationships/hyperlink" Target="https://drive.google.com/file/d/11NbuCVqH7lrtoBqf-NW_qpdZxhDtFvzO/view" TargetMode="External"/><Relationship Id="rId2806" Type="http://schemas.openxmlformats.org/officeDocument/2006/relationships/hyperlink" Target="https://drive.google.com/file/d/1vTFfupyFzh3porzaGNk0uZGe4aFww5GP/view" TargetMode="External"/><Relationship Id="rId2807" Type="http://schemas.openxmlformats.org/officeDocument/2006/relationships/hyperlink" Target="https://drive.google.com/file/d/1oJhUuY4ZOxBIHtHZ4AIe-R1O_oWLe-RY/view" TargetMode="External"/><Relationship Id="rId2808" Type="http://schemas.openxmlformats.org/officeDocument/2006/relationships/hyperlink" Target="https://drive.google.com/file/d/18ImBAwyV9_aNJOmxJHUmuF1yquZ2ivpj/view" TargetMode="External"/><Relationship Id="rId2809" Type="http://schemas.openxmlformats.org/officeDocument/2006/relationships/hyperlink" Target="https://drive.google.com/file/d/1lnoJf9NzHhXiPYZVu8SSe645nMyabMUR/view" TargetMode="External"/><Relationship Id="rId1576" Type="http://schemas.openxmlformats.org/officeDocument/2006/relationships/hyperlink" Target="https://drive.google.com/file/d/1YHV7Qo0T-q6YSZBX92JyLmDUjbxWTFDa/view" TargetMode="External"/><Relationship Id="rId1577" Type="http://schemas.openxmlformats.org/officeDocument/2006/relationships/hyperlink" Target="https://drive.google.com/file/d/1whTV5E7-PYJmjYqB5ZTrLFVo50WvA13a/view" TargetMode="External"/><Relationship Id="rId1578" Type="http://schemas.openxmlformats.org/officeDocument/2006/relationships/hyperlink" Target="https://drive.google.com/file/d/1Wr8dBj8YnCsy8LioS53dNFegHqbMTyLU/view" TargetMode="External"/><Relationship Id="rId1579" Type="http://schemas.openxmlformats.org/officeDocument/2006/relationships/hyperlink" Target="https://drive.google.com/file/d/1B5sLVWHmuXbR4hx37d60YczXosbpq134/view" TargetMode="External"/><Relationship Id="rId987" Type="http://schemas.openxmlformats.org/officeDocument/2006/relationships/hyperlink" Target="https://drive.google.com/file/d/1C1QbOXjUciEUtGoMdVSUJuyyqny5R1c0/view" TargetMode="External"/><Relationship Id="rId986" Type="http://schemas.openxmlformats.org/officeDocument/2006/relationships/hyperlink" Target="https://drive.google.com/file/d/1hSqna61h3NcL8lbaihAVbfmxLqLm1-br/view" TargetMode="External"/><Relationship Id="rId985" Type="http://schemas.openxmlformats.org/officeDocument/2006/relationships/hyperlink" Target="https://drive.google.com/file/d/1dKaA-2Vun5q2sfUybTjZsLoWLargj21U/view" TargetMode="External"/><Relationship Id="rId984" Type="http://schemas.openxmlformats.org/officeDocument/2006/relationships/hyperlink" Target="https://drive.google.com/file/d/1UKHKCpudWszzMcC5P0Cch6pZZKkAyPMn/view" TargetMode="External"/><Relationship Id="rId989" Type="http://schemas.openxmlformats.org/officeDocument/2006/relationships/hyperlink" Target="https://drive.google.com/file/d/1GFFJCydVS0zLA_Y7FSrhn1DV0J3pkvcN/view" TargetMode="External"/><Relationship Id="rId988" Type="http://schemas.openxmlformats.org/officeDocument/2006/relationships/hyperlink" Target="https://drive.google.com/file/d/1NsaVskHb0ue7abGp60HM6r-S4Ygw2P2L/view" TargetMode="External"/><Relationship Id="rId1570" Type="http://schemas.openxmlformats.org/officeDocument/2006/relationships/hyperlink" Target="https://drive.google.com/file/d/1whTV5E7-PYJmjYqB5ZTrLFVo50WvA13a/view" TargetMode="External"/><Relationship Id="rId1571" Type="http://schemas.openxmlformats.org/officeDocument/2006/relationships/hyperlink" Target="https://drive.google.com/file/d/1Wr8dBj8YnCsy8LioS53dNFegHqbMTyLU/view" TargetMode="External"/><Relationship Id="rId983" Type="http://schemas.openxmlformats.org/officeDocument/2006/relationships/hyperlink" Target="https://drive.google.com/file/d/1Ft74mQmTD3gNlXfL1sxypgcqAxlW-YUk/view" TargetMode="External"/><Relationship Id="rId1572" Type="http://schemas.openxmlformats.org/officeDocument/2006/relationships/hyperlink" Target="https://drive.google.com/file/d/1B5sLVWHmuXbR4hx37d60YczXosbpq134/view" TargetMode="External"/><Relationship Id="rId982" Type="http://schemas.openxmlformats.org/officeDocument/2006/relationships/hyperlink" Target="https://drive.google.com/file/d/15GojfJ_TkYoZzv2jte2CBQ74r_mzkwuP/view" TargetMode="External"/><Relationship Id="rId1573" Type="http://schemas.openxmlformats.org/officeDocument/2006/relationships/hyperlink" Target="https://drive.google.com/file/d/1mjR1yL6fc_iWUj1kTx8wGkBTFwvAUcnR/view" TargetMode="External"/><Relationship Id="rId981" Type="http://schemas.openxmlformats.org/officeDocument/2006/relationships/hyperlink" Target="https://drive.google.com/file/d/1jZ3n9rEf1WazFffSf-SYnNTDJkGrT4ih/view" TargetMode="External"/><Relationship Id="rId1574" Type="http://schemas.openxmlformats.org/officeDocument/2006/relationships/hyperlink" Target="https://drive.google.com/file/d/1HASyPglFWnDOkdZnQXHdlJdm4RUrFAQS/view" TargetMode="External"/><Relationship Id="rId980" Type="http://schemas.openxmlformats.org/officeDocument/2006/relationships/hyperlink" Target="https://drive.google.com/file/d/1C1QbOXjUciEUtGoMdVSUJuyyqny5R1c0/view" TargetMode="External"/><Relationship Id="rId1575" Type="http://schemas.openxmlformats.org/officeDocument/2006/relationships/hyperlink" Target="https://drive.google.com/file/d/1oUrDL400ypMAxi6sCNBzlSWVQscXjHUS/view" TargetMode="External"/><Relationship Id="rId1565" Type="http://schemas.openxmlformats.org/officeDocument/2006/relationships/hyperlink" Target="https://drive.google.com/file/d/1B5sLVWHmuXbR4hx37d60YczXosbpq134/view" TargetMode="External"/><Relationship Id="rId2896" Type="http://schemas.openxmlformats.org/officeDocument/2006/relationships/hyperlink" Target="https://drive.google.com/file/d/1imOBFzDRCKhotTc5UPo1BugrRzsLWV5d/view" TargetMode="External"/><Relationship Id="rId1566" Type="http://schemas.openxmlformats.org/officeDocument/2006/relationships/hyperlink" Target="https://drive.google.com/file/d/1TIFWgisKSS5iWnJnKzyO8PO9YSC1-aaR/view" TargetMode="External"/><Relationship Id="rId2897" Type="http://schemas.openxmlformats.org/officeDocument/2006/relationships/hyperlink" Target="https://drive.google.com/file/d/1WKV3aSLEIBzbAQEWNn7L-JrsuG71MQ8F/view" TargetMode="External"/><Relationship Id="rId1567" Type="http://schemas.openxmlformats.org/officeDocument/2006/relationships/hyperlink" Target="https://drive.google.com/file/d/1TSh8qgowVzLRwisWvPR5HPJ4-1qSohV8/view" TargetMode="External"/><Relationship Id="rId2898" Type="http://schemas.openxmlformats.org/officeDocument/2006/relationships/hyperlink" Target="https://drive.google.com/file/d/1WtN9Eows27f30pwUpacmQn-yRl38tT_n/view" TargetMode="External"/><Relationship Id="rId1568" Type="http://schemas.openxmlformats.org/officeDocument/2006/relationships/hyperlink" Target="https://drive.google.com/file/d/1oUrDL400ypMAxi6sCNBzlSWVQscXjHUS/view" TargetMode="External"/><Relationship Id="rId2899" Type="http://schemas.openxmlformats.org/officeDocument/2006/relationships/hyperlink" Target="https://drive.google.com/file/d/1SeaEX9X9Gi0rbNsFcUV6h_p1lRqleHcN/view" TargetMode="External"/><Relationship Id="rId1569" Type="http://schemas.openxmlformats.org/officeDocument/2006/relationships/hyperlink" Target="https://drive.google.com/file/d/1YHV7Qo0T-q6YSZBX92JyLmDUjbxWTFDa/view" TargetMode="External"/><Relationship Id="rId976" Type="http://schemas.openxmlformats.org/officeDocument/2006/relationships/hyperlink" Target="https://drive.google.com/file/d/1Ft74mQmTD3gNlXfL1sxypgcqAxlW-YUk/view" TargetMode="External"/><Relationship Id="rId975" Type="http://schemas.openxmlformats.org/officeDocument/2006/relationships/hyperlink" Target="https://drive.google.com/file/d/1ekbf8DG7EMiyfCNxSeU19QySvIuJxOaC/view" TargetMode="External"/><Relationship Id="rId974" Type="http://schemas.openxmlformats.org/officeDocument/2006/relationships/hyperlink" Target="https://drive.google.com/file/d/10H4Ulm8SxPsRb3thdXtk9Bb-zOr3YDbl/view" TargetMode="External"/><Relationship Id="rId973" Type="http://schemas.openxmlformats.org/officeDocument/2006/relationships/hyperlink" Target="https://drive.google.com/file/d/1C1QbOXjUciEUtGoMdVSUJuyyqny5R1c0/view" TargetMode="External"/><Relationship Id="rId979" Type="http://schemas.openxmlformats.org/officeDocument/2006/relationships/hyperlink" Target="https://drive.google.com/file/d/1hSqna61h3NcL8lbaihAVbfmxLqLm1-br/view" TargetMode="External"/><Relationship Id="rId978" Type="http://schemas.openxmlformats.org/officeDocument/2006/relationships/hyperlink" Target="https://drive.google.com/file/d/1dKaA-2Vun5q2sfUybTjZsLoWLargj21U/view" TargetMode="External"/><Relationship Id="rId977" Type="http://schemas.openxmlformats.org/officeDocument/2006/relationships/hyperlink" Target="https://drive.google.com/file/d/1UKHKCpudWszzMcC5P0Cch6pZZKkAyPMn/view" TargetMode="External"/><Relationship Id="rId2890" Type="http://schemas.openxmlformats.org/officeDocument/2006/relationships/hyperlink" Target="https://drive.google.com/file/d/1WKV3aSLEIBzbAQEWNn7L-JrsuG71MQ8F/view" TargetMode="External"/><Relationship Id="rId1560" Type="http://schemas.openxmlformats.org/officeDocument/2006/relationships/hyperlink" Target="https://drive.google.com/file/d/1TSh8qgowVzLRwisWvPR5HPJ4-1qSohV8/view" TargetMode="External"/><Relationship Id="rId2891" Type="http://schemas.openxmlformats.org/officeDocument/2006/relationships/hyperlink" Target="https://drive.google.com/file/d/1WtN9Eows27f30pwUpacmQn-yRl38tT_n/view" TargetMode="External"/><Relationship Id="rId972" Type="http://schemas.openxmlformats.org/officeDocument/2006/relationships/hyperlink" Target="https://drive.google.com/file/d/1hSqna61h3NcL8lbaihAVbfmxLqLm1-br/view" TargetMode="External"/><Relationship Id="rId1561" Type="http://schemas.openxmlformats.org/officeDocument/2006/relationships/hyperlink" Target="https://drive.google.com/file/d/1oUrDL400ypMAxi6sCNBzlSWVQscXjHUS/view" TargetMode="External"/><Relationship Id="rId2892" Type="http://schemas.openxmlformats.org/officeDocument/2006/relationships/hyperlink" Target="https://drive.google.com/file/d/1SeaEX9X9Gi0rbNsFcUV6h_p1lRqleHcN/view" TargetMode="External"/><Relationship Id="rId971" Type="http://schemas.openxmlformats.org/officeDocument/2006/relationships/hyperlink" Target="https://drive.google.com/file/d/1dKaA-2Vun5q2sfUybTjZsLoWLargj21U/view" TargetMode="External"/><Relationship Id="rId1562" Type="http://schemas.openxmlformats.org/officeDocument/2006/relationships/hyperlink" Target="https://drive.google.com/file/d/1YHV7Qo0T-q6YSZBX92JyLmDUjbxWTFDa/view" TargetMode="External"/><Relationship Id="rId2893" Type="http://schemas.openxmlformats.org/officeDocument/2006/relationships/hyperlink" Target="https://drive.google.com/file/d/1PALxRH19ROcGqby6JPB6MLC9i1xth_8X/view" TargetMode="External"/><Relationship Id="rId970" Type="http://schemas.openxmlformats.org/officeDocument/2006/relationships/hyperlink" Target="https://drive.google.com/file/d/1UKHKCpudWszzMcC5P0Cch6pZZKkAyPMn/view" TargetMode="External"/><Relationship Id="rId1563" Type="http://schemas.openxmlformats.org/officeDocument/2006/relationships/hyperlink" Target="https://drive.google.com/file/d/1whTV5E7-PYJmjYqB5ZTrLFVo50WvA13a/view" TargetMode="External"/><Relationship Id="rId2894" Type="http://schemas.openxmlformats.org/officeDocument/2006/relationships/hyperlink" Target="https://drive.google.com/file/d/1eB1dzkI-8nLYTjc2CEpfvoaw1l1XJw_V/view" TargetMode="External"/><Relationship Id="rId1564" Type="http://schemas.openxmlformats.org/officeDocument/2006/relationships/hyperlink" Target="https://drive.google.com/file/d/1Wr8dBj8YnCsy8LioS53dNFegHqbMTyLU/view" TargetMode="External"/><Relationship Id="rId2895" Type="http://schemas.openxmlformats.org/officeDocument/2006/relationships/hyperlink" Target="https://drive.google.com/file/d/15T4zBr1f9LxlEt-zs3KWltO8xsnkRAyy/view" TargetMode="External"/><Relationship Id="rId1598" Type="http://schemas.openxmlformats.org/officeDocument/2006/relationships/hyperlink" Target="https://drive.google.com/file/d/1WQpVuURJNJ8umIYwZkc5RkG3DBYAiYFJ/view" TargetMode="External"/><Relationship Id="rId1599" Type="http://schemas.openxmlformats.org/officeDocument/2006/relationships/hyperlink" Target="https://drive.google.com/file/d/1JvarT7AfEiYWcva4-y7ZBQwkXK8vnkDZ/view" TargetMode="External"/><Relationship Id="rId1590" Type="http://schemas.openxmlformats.org/officeDocument/2006/relationships/hyperlink" Target="https://drive.google.com/file/d/1m95k2hty_pn8GT5VLsyNnmUyvE35s1FD/view" TargetMode="External"/><Relationship Id="rId1591" Type="http://schemas.openxmlformats.org/officeDocument/2006/relationships/hyperlink" Target="https://drive.google.com/file/d/15oMnRayf3dN6PVbK925kqMGz2ULKg63M/view" TargetMode="External"/><Relationship Id="rId1592" Type="http://schemas.openxmlformats.org/officeDocument/2006/relationships/hyperlink" Target="https://drive.google.com/file/d/18NkQrMkslA3wKJur-WnNVgGtqw5JL182/view" TargetMode="External"/><Relationship Id="rId1593" Type="http://schemas.openxmlformats.org/officeDocument/2006/relationships/hyperlink" Target="https://drive.google.com/file/d/17m_i6Db_0W2MDlelV-i-VD0xktvpzOYk/view" TargetMode="External"/><Relationship Id="rId1594" Type="http://schemas.openxmlformats.org/officeDocument/2006/relationships/hyperlink" Target="https://drive.google.com/file/d/1Z5mXJitN3GEqzFFDUOzmnp7EPfCLvv52/view" TargetMode="External"/><Relationship Id="rId1595" Type="http://schemas.openxmlformats.org/officeDocument/2006/relationships/hyperlink" Target="https://drive.google.com/file/d/1Mw78-6GlmseSutsLwV1tPYbs0nhLvTi_/view" TargetMode="External"/><Relationship Id="rId1596" Type="http://schemas.openxmlformats.org/officeDocument/2006/relationships/hyperlink" Target="https://drive.google.com/file/d/1CDmy0dIUry4m0sH3fjuw_5AIBNQeUet_/view" TargetMode="External"/><Relationship Id="rId1597" Type="http://schemas.openxmlformats.org/officeDocument/2006/relationships/hyperlink" Target="https://drive.google.com/file/d/1gGUQnLpIpeAtEL7SC8EZMUHkn3kNtXvN/view" TargetMode="External"/><Relationship Id="rId1587" Type="http://schemas.openxmlformats.org/officeDocument/2006/relationships/hyperlink" Target="https://drive.google.com/file/d/1XeubP-_5JDBXodEPtNDKbW-JeuJpZKxf/view" TargetMode="External"/><Relationship Id="rId1588" Type="http://schemas.openxmlformats.org/officeDocument/2006/relationships/hyperlink" Target="https://drive.google.com/file/d/1cpad7a6H2MrumapPkRZ1ARf0tDKk5foL/view" TargetMode="External"/><Relationship Id="rId1589" Type="http://schemas.openxmlformats.org/officeDocument/2006/relationships/hyperlink" Target="https://drive.google.com/file/d/1oUrDL400ypMAxi6sCNBzlSWVQscXjHUS/view" TargetMode="External"/><Relationship Id="rId998" Type="http://schemas.openxmlformats.org/officeDocument/2006/relationships/hyperlink" Target="https://drive.google.com/file/d/1v_xxiThCTzV29IxBia2syal9ASI8Eti_/view" TargetMode="External"/><Relationship Id="rId997" Type="http://schemas.openxmlformats.org/officeDocument/2006/relationships/hyperlink" Target="https://drive.google.com/file/d/1mBL0Kg8-1X1DH68YFJamh-nVUCR6vmeg/view" TargetMode="External"/><Relationship Id="rId996" Type="http://schemas.openxmlformats.org/officeDocument/2006/relationships/hyperlink" Target="https://drive.google.com/file/d/1VpqGQEtkjUH4o1VuawXxqBzzCEIJ5qrq/view" TargetMode="External"/><Relationship Id="rId995" Type="http://schemas.openxmlformats.org/officeDocument/2006/relationships/hyperlink" Target="https://drive.google.com/file/d/1JDTs8IIZcKRRYCv61cypaF2vy9bfVEVD/view" TargetMode="External"/><Relationship Id="rId999" Type="http://schemas.openxmlformats.org/officeDocument/2006/relationships/hyperlink" Target="https://drive.google.com/file/d/1AgEsliDCxSMfJ9j7naE3akDn-vH9w77w/view" TargetMode="External"/><Relationship Id="rId990" Type="http://schemas.openxmlformats.org/officeDocument/2006/relationships/hyperlink" Target="https://drive.google.com/file/d/1ndoWQe_BacscFlHP81ezOfK7sOcoxS1r/view" TargetMode="External"/><Relationship Id="rId1580" Type="http://schemas.openxmlformats.org/officeDocument/2006/relationships/hyperlink" Target="https://drive.google.com/file/d/1bvkGoLNDRz9PNoeYjxacTlcJPmKy8WEe/view" TargetMode="External"/><Relationship Id="rId1581" Type="http://schemas.openxmlformats.org/officeDocument/2006/relationships/hyperlink" Target="https://drive.google.com/file/d/1-YzcyexWb9T1-61n0CM5o-aqHKbfFyPH/view" TargetMode="External"/><Relationship Id="rId1582" Type="http://schemas.openxmlformats.org/officeDocument/2006/relationships/hyperlink" Target="https://drive.google.com/file/d/1oUrDL400ypMAxi6sCNBzlSWVQscXjHUS/view" TargetMode="External"/><Relationship Id="rId994" Type="http://schemas.openxmlformats.org/officeDocument/2006/relationships/hyperlink" Target="https://drive.google.com/file/d/1VNAmHfmpbOpjOlDy7as2hFNijKnteP79/view" TargetMode="External"/><Relationship Id="rId1583" Type="http://schemas.openxmlformats.org/officeDocument/2006/relationships/hyperlink" Target="https://drive.google.com/file/d/1m95k2hty_pn8GT5VLsyNnmUyvE35s1FD/view" TargetMode="External"/><Relationship Id="rId993" Type="http://schemas.openxmlformats.org/officeDocument/2006/relationships/hyperlink" Target="https://drive.google.com/file/d/1C7ykYMkNGJjuju43lt6x2ghpvBvgbma4/view" TargetMode="External"/><Relationship Id="rId1584" Type="http://schemas.openxmlformats.org/officeDocument/2006/relationships/hyperlink" Target="https://drive.google.com/file/d/15oMnRayf3dN6PVbK925kqMGz2ULKg63M/view" TargetMode="External"/><Relationship Id="rId992" Type="http://schemas.openxmlformats.org/officeDocument/2006/relationships/hyperlink" Target="https://drive.google.com/file/d/1-oU_asNYxSXG0pRaHpwrVeTFLHOAP4nn/view" TargetMode="External"/><Relationship Id="rId1585" Type="http://schemas.openxmlformats.org/officeDocument/2006/relationships/hyperlink" Target="https://drive.google.com/file/d/18NkQrMkslA3wKJur-WnNVgGtqw5JL182/view" TargetMode="External"/><Relationship Id="rId991" Type="http://schemas.openxmlformats.org/officeDocument/2006/relationships/hyperlink" Target="https://drive.google.com/file/d/1vLH75jj_hSh9lshS-fSpnCg6DUWSbZ50/view" TargetMode="External"/><Relationship Id="rId1586" Type="http://schemas.openxmlformats.org/officeDocument/2006/relationships/hyperlink" Target="https://drive.google.com/file/d/17m_i6Db_0W2MDlelV-i-VD0xktvpzOYk/view" TargetMode="External"/><Relationship Id="rId1532" Type="http://schemas.openxmlformats.org/officeDocument/2006/relationships/hyperlink" Target="https://drive.google.com/file/d/1GYWnoAgTu3gcCS2XLJGjL_rRIxiu5gtt/view" TargetMode="External"/><Relationship Id="rId2863" Type="http://schemas.openxmlformats.org/officeDocument/2006/relationships/hyperlink" Target="https://drive.google.com/file/d/1AD73QCTatX9SkBg9vWBPRiPWjOQDfwh0/view" TargetMode="External"/><Relationship Id="rId1533" Type="http://schemas.openxmlformats.org/officeDocument/2006/relationships/hyperlink" Target="https://drive.google.com/file/d/1sv7d5JxxJTViGQyeNtI9ydafr855Jyfj/view" TargetMode="External"/><Relationship Id="rId2864" Type="http://schemas.openxmlformats.org/officeDocument/2006/relationships/hyperlink" Target="https://drive.google.com/file/d/1fgckwieMObaI-dJtphy7R6DR4MiambNI/view" TargetMode="External"/><Relationship Id="rId1534" Type="http://schemas.openxmlformats.org/officeDocument/2006/relationships/hyperlink" Target="https://drive.google.com/file/d/1TXBoX4I4JXWF9Vz6f9FSBl6iHMzbGfWJ/view" TargetMode="External"/><Relationship Id="rId2865" Type="http://schemas.openxmlformats.org/officeDocument/2006/relationships/hyperlink" Target="https://drive.google.com/file/d/15X5Vdoaxm4VIqU03zU83bjgLOshMizeb/view" TargetMode="External"/><Relationship Id="rId1535" Type="http://schemas.openxmlformats.org/officeDocument/2006/relationships/hyperlink" Target="https://drive.google.com/file/d/1NzZmWLritiF9VftyE5dXsnWSywsuzeTi/view" TargetMode="External"/><Relationship Id="rId2866" Type="http://schemas.openxmlformats.org/officeDocument/2006/relationships/hyperlink" Target="https://drive.google.com/file/d/13OyZYzyo2qbv7_3k9WqWU6oCtvN_nWtY/view" TargetMode="External"/><Relationship Id="rId1536" Type="http://schemas.openxmlformats.org/officeDocument/2006/relationships/hyperlink" Target="https://drive.google.com/file/d/1GYWnoAgTu3gcCS2XLJGjL_rRIxiu5gtt/view" TargetMode="External"/><Relationship Id="rId2867" Type="http://schemas.openxmlformats.org/officeDocument/2006/relationships/hyperlink" Target="https://drive.google.com/file/d/1QpPaBf481_qp9rGqdlbS0AqKt25yIBAU/view" TargetMode="External"/><Relationship Id="rId1537" Type="http://schemas.openxmlformats.org/officeDocument/2006/relationships/hyperlink" Target="https://drive.google.com/file/d/1sv7d5JxxJTViGQyeNtI9ydafr855Jyfj/view" TargetMode="External"/><Relationship Id="rId2868" Type="http://schemas.openxmlformats.org/officeDocument/2006/relationships/hyperlink" Target="https://drive.google.com/file/d/16WYoX5fG6JzTpS6vYHMwYZYMvBzspE0I/view" TargetMode="External"/><Relationship Id="rId1538" Type="http://schemas.openxmlformats.org/officeDocument/2006/relationships/hyperlink" Target="https://drive.google.com/file/d/1QlPYwHPhBKqx_O9ia4VgZdpU-mlmlhN3/view" TargetMode="External"/><Relationship Id="rId2869" Type="http://schemas.openxmlformats.org/officeDocument/2006/relationships/hyperlink" Target="https://drive.google.com/file/d/1UkuVC1aKM6zGe5_zb3TgohclJRf-b_pz/view" TargetMode="External"/><Relationship Id="rId1539" Type="http://schemas.openxmlformats.org/officeDocument/2006/relationships/hyperlink" Target="https://drive.google.com/file/d/1GGTq8PR6DlVAb3mn7CvkmsnzE5mvos0j/view" TargetMode="External"/><Relationship Id="rId949" Type="http://schemas.openxmlformats.org/officeDocument/2006/relationships/hyperlink" Target="https://drive.google.com/file/d/18hq3K4PpsZ71aiO2sC1KFFPtpCd68-m9/view" TargetMode="External"/><Relationship Id="rId948" Type="http://schemas.openxmlformats.org/officeDocument/2006/relationships/hyperlink" Target="https://drive.google.com/file/d/1kP9A2wNz2_mL_98bLzlYyZrC19gLdcfP/view" TargetMode="External"/><Relationship Id="rId943" Type="http://schemas.openxmlformats.org/officeDocument/2006/relationships/hyperlink" Target="https://drive.google.com/file/d/18XV4efxkeJ4lrEgI0cGwNL3fAQbUG8uX/view" TargetMode="External"/><Relationship Id="rId942" Type="http://schemas.openxmlformats.org/officeDocument/2006/relationships/hyperlink" Target="https://drive.google.com/file/d/1k93yNaUdgdLCvc0BCjSQIobSayYRTJIb/view" TargetMode="External"/><Relationship Id="rId941" Type="http://schemas.openxmlformats.org/officeDocument/2006/relationships/hyperlink" Target="https://drive.google.com/file/d/19yW3wG-rpCJtUu1U88wV3FB0BsKB9-0S/view" TargetMode="External"/><Relationship Id="rId940" Type="http://schemas.openxmlformats.org/officeDocument/2006/relationships/hyperlink" Target="https://drive.google.com/file/d/1wquN3n2GN1kAu8wC5X9dzIElJvqxkBCI/view" TargetMode="External"/><Relationship Id="rId947" Type="http://schemas.openxmlformats.org/officeDocument/2006/relationships/hyperlink" Target="https://drive.google.com/file/d/1kLJDoO8Iup0Q_4fgZjiKwqyIemkwIO9y/view" TargetMode="External"/><Relationship Id="rId946" Type="http://schemas.openxmlformats.org/officeDocument/2006/relationships/hyperlink" Target="https://drive.google.com/file/d/18CsEeteo7uAGe4Wsk1TJTdqwmdDl83EO/view" TargetMode="External"/><Relationship Id="rId945" Type="http://schemas.openxmlformats.org/officeDocument/2006/relationships/hyperlink" Target="https://drive.google.com/file/d/1wl_q2M6Wt2RRbMoRuNeJNuv8TIw2vSEW/view" TargetMode="External"/><Relationship Id="rId944" Type="http://schemas.openxmlformats.org/officeDocument/2006/relationships/hyperlink" Target="https://drive.google.com/file/d/18hq3K4PpsZ71aiO2sC1KFFPtpCd68-m9/view" TargetMode="External"/><Relationship Id="rId2860" Type="http://schemas.openxmlformats.org/officeDocument/2006/relationships/hyperlink" Target="https://drive.google.com/file/d/1QpPaBf481_qp9rGqdlbS0AqKt25yIBAU/view" TargetMode="External"/><Relationship Id="rId1530" Type="http://schemas.openxmlformats.org/officeDocument/2006/relationships/hyperlink" Target="https://drive.google.com/file/d/1dhKVKn68OWCt7ASEhcpHy1l0ZNYHuubv/view" TargetMode="External"/><Relationship Id="rId2861" Type="http://schemas.openxmlformats.org/officeDocument/2006/relationships/hyperlink" Target="https://drive.google.com/file/d/16WYoX5fG6JzTpS6vYHMwYZYMvBzspE0I/view" TargetMode="External"/><Relationship Id="rId1531" Type="http://schemas.openxmlformats.org/officeDocument/2006/relationships/hyperlink" Target="https://drive.google.com/file/d/1lrxBjAUIbUyGWR4hX0LDzJyGwtnDEx81/view" TargetMode="External"/><Relationship Id="rId2862" Type="http://schemas.openxmlformats.org/officeDocument/2006/relationships/hyperlink" Target="https://drive.google.com/file/d/1UkuVC1aKM6zGe5_zb3TgohclJRf-b_pz/view" TargetMode="External"/><Relationship Id="rId1521" Type="http://schemas.openxmlformats.org/officeDocument/2006/relationships/hyperlink" Target="https://drive.google.com/file/d/1t_A478o-xmrCtp5hBIndKiIQtNlPr3rp/view" TargetMode="External"/><Relationship Id="rId2852" Type="http://schemas.openxmlformats.org/officeDocument/2006/relationships/hyperlink" Target="https://drive.google.com/file/d/1HG2CgNoRQT5QdqLE_3k5W4DY2MwrMAyi/view" TargetMode="External"/><Relationship Id="rId1522" Type="http://schemas.openxmlformats.org/officeDocument/2006/relationships/hyperlink" Target="https://drive.google.com/file/d/1SwchH4aVwIeiPm1e5fzOO_mfAYAQ-sVI/view" TargetMode="External"/><Relationship Id="rId2853" Type="http://schemas.openxmlformats.org/officeDocument/2006/relationships/hyperlink" Target="https://drive.google.com/file/d/1aHODhrqr20kWheZohs62UMaqo4vxBkFH/view" TargetMode="External"/><Relationship Id="rId1523" Type="http://schemas.openxmlformats.org/officeDocument/2006/relationships/hyperlink" Target="https://drive.google.com/file/d/1t_A478o-xmrCtp5hBIndKiIQtNlPr3rp/view" TargetMode="External"/><Relationship Id="rId2854" Type="http://schemas.openxmlformats.org/officeDocument/2006/relationships/hyperlink" Target="https://drive.google.com/file/d/1gMRJgiF4Swvk0u86uUlhycHzMy8Fr9Lu/view" TargetMode="External"/><Relationship Id="rId1524" Type="http://schemas.openxmlformats.org/officeDocument/2006/relationships/hyperlink" Target="https://drive.google.com/file/d/1JPtJzVqlMWtWrfA7kLEDN2vhbBjuNl-w/view" TargetMode="External"/><Relationship Id="rId2855" Type="http://schemas.openxmlformats.org/officeDocument/2006/relationships/hyperlink" Target="https://drive.google.com/file/d/1AZZ4V2DDKdeBm_HmLYhArPgcGJSTLZ6K/view" TargetMode="External"/><Relationship Id="rId1525" Type="http://schemas.openxmlformats.org/officeDocument/2006/relationships/hyperlink" Target="https://drive.google.com/file/d/1V_ZFYfM6FXwsBP5gEfKzMpK5nUvPhqe3/view" TargetMode="External"/><Relationship Id="rId2856" Type="http://schemas.openxmlformats.org/officeDocument/2006/relationships/hyperlink" Target="https://drive.google.com/file/d/1k43fM_SEcr310YNxcHrS-y1MOFbaXE5k/view" TargetMode="External"/><Relationship Id="rId1526" Type="http://schemas.openxmlformats.org/officeDocument/2006/relationships/hyperlink" Target="https://drive.google.com/file/d/1dhKVKn68OWCt7ASEhcpHy1l0ZNYHuubv/view" TargetMode="External"/><Relationship Id="rId2857" Type="http://schemas.openxmlformats.org/officeDocument/2006/relationships/hyperlink" Target="https://drive.google.com/file/d/1DVqao4M8i6nRjDLLFEJbDkzfrVvMRLaM/view" TargetMode="External"/><Relationship Id="rId1527" Type="http://schemas.openxmlformats.org/officeDocument/2006/relationships/hyperlink" Target="https://drive.google.com/file/d/1lrxBjAUIbUyGWR4hX0LDzJyGwtnDEx81/view" TargetMode="External"/><Relationship Id="rId2858" Type="http://schemas.openxmlformats.org/officeDocument/2006/relationships/hyperlink" Target="https://drive.google.com/file/d/13gXnUr7xblTz4qN3WXyeoo0gK8S_Y2A-/view" TargetMode="External"/><Relationship Id="rId1528" Type="http://schemas.openxmlformats.org/officeDocument/2006/relationships/hyperlink" Target="https://drive.google.com/file/d/1GYWnoAgTu3gcCS2XLJGjL_rRIxiu5gtt/view" TargetMode="External"/><Relationship Id="rId2859" Type="http://schemas.openxmlformats.org/officeDocument/2006/relationships/hyperlink" Target="https://drive.google.com/file/d/13OyZYzyo2qbv7_3k9WqWU6oCtvN_nWtY/view" TargetMode="External"/><Relationship Id="rId1529" Type="http://schemas.openxmlformats.org/officeDocument/2006/relationships/hyperlink" Target="https://drive.google.com/file/d/1sv7d5JxxJTViGQyeNtI9ydafr855Jyfj/view" TargetMode="External"/><Relationship Id="rId939" Type="http://schemas.openxmlformats.org/officeDocument/2006/relationships/hyperlink" Target="https://drive.google.com/file/d/18XV4efxkeJ4lrEgI0cGwNL3fAQbUG8uX/view" TargetMode="External"/><Relationship Id="rId938" Type="http://schemas.openxmlformats.org/officeDocument/2006/relationships/hyperlink" Target="https://drive.google.com/file/d/1k93yNaUdgdLCvc0BCjSQIobSayYRTJIb/view" TargetMode="External"/><Relationship Id="rId937" Type="http://schemas.openxmlformats.org/officeDocument/2006/relationships/hyperlink" Target="https://drive.google.com/file/d/10Jsu52idnVZ_Au0oa3ANn1fyUyllUgOk/view" TargetMode="External"/><Relationship Id="rId932" Type="http://schemas.openxmlformats.org/officeDocument/2006/relationships/hyperlink" Target="https://drive.google.com/file/d/10Jsu52idnVZ_Au0oa3ANn1fyUyllUgOk/view" TargetMode="External"/><Relationship Id="rId931" Type="http://schemas.openxmlformats.org/officeDocument/2006/relationships/hyperlink" Target="https://drive.google.com/file/d/1BfwRqfknmiPbGwaux4JL5GxrNKMq-LHV/view" TargetMode="External"/><Relationship Id="rId930" Type="http://schemas.openxmlformats.org/officeDocument/2006/relationships/hyperlink" Target="https://drive.google.com/file/d/1oA2azsg7ON8RpqvY-Eq5lfi6I5LdWhL4/view" TargetMode="External"/><Relationship Id="rId936" Type="http://schemas.openxmlformats.org/officeDocument/2006/relationships/hyperlink" Target="https://drive.google.com/file/d/1BfwRqfknmiPbGwaux4JL5GxrNKMq-LHV/view" TargetMode="External"/><Relationship Id="rId935" Type="http://schemas.openxmlformats.org/officeDocument/2006/relationships/hyperlink" Target="https://drive.google.com/file/d/18XV4efxkeJ4lrEgI0cGwNL3fAQbUG8uX/view" TargetMode="External"/><Relationship Id="rId934" Type="http://schemas.openxmlformats.org/officeDocument/2006/relationships/hyperlink" Target="https://drive.google.com/file/d/1k93yNaUdgdLCvc0BCjSQIobSayYRTJIb/view" TargetMode="External"/><Relationship Id="rId933" Type="http://schemas.openxmlformats.org/officeDocument/2006/relationships/hyperlink" Target="https://drive.google.com/file/d/1zxE6OjdrQY2FyDQoGUs2ESZpGSlqB3iA/view" TargetMode="External"/><Relationship Id="rId2850" Type="http://schemas.openxmlformats.org/officeDocument/2006/relationships/hyperlink" Target="https://drive.google.com/file/d/1Wley29_5ON-PY1qgBw8wEfKUPGYofibG/view" TargetMode="External"/><Relationship Id="rId1520" Type="http://schemas.openxmlformats.org/officeDocument/2006/relationships/hyperlink" Target="https://drive.google.com/file/d/1SwchH4aVwIeiPm1e5fzOO_mfAYAQ-sVI/view" TargetMode="External"/><Relationship Id="rId2851" Type="http://schemas.openxmlformats.org/officeDocument/2006/relationships/hyperlink" Target="https://drive.google.com/file/d/1k-x9tw-WMjNqjenlCF0hAfe9O71M4rRE/view" TargetMode="External"/><Relationship Id="rId1554" Type="http://schemas.openxmlformats.org/officeDocument/2006/relationships/hyperlink" Target="https://drive.google.com/file/d/1ScDe1hFaAjFL2ac-tkKMnkJoiiIJwmtg/view" TargetMode="External"/><Relationship Id="rId2885" Type="http://schemas.openxmlformats.org/officeDocument/2006/relationships/hyperlink" Target="https://drive.google.com/file/d/1SeaEX9X9Gi0rbNsFcUV6h_p1lRqleHcN/view" TargetMode="External"/><Relationship Id="rId1555" Type="http://schemas.openxmlformats.org/officeDocument/2006/relationships/hyperlink" Target="https://drive.google.com/file/d/1gRf3Wf3Rn6vmZchJICrqC2OHC2LKn7zP/view" TargetMode="External"/><Relationship Id="rId2886" Type="http://schemas.openxmlformats.org/officeDocument/2006/relationships/hyperlink" Target="https://drive.google.com/file/d/1PALxRH19ROcGqby6JPB6MLC9i1xth_8X/view" TargetMode="External"/><Relationship Id="rId1556" Type="http://schemas.openxmlformats.org/officeDocument/2006/relationships/hyperlink" Target="https://drive.google.com/file/d/1LIcr_QAEQbqlIVHex79kBtMSkA5XWHrc/view" TargetMode="External"/><Relationship Id="rId2887" Type="http://schemas.openxmlformats.org/officeDocument/2006/relationships/hyperlink" Target="https://drive.google.com/file/d/1Wpodd1ZtS-T1infQa2WozqznhsIyh9xg/view" TargetMode="External"/><Relationship Id="rId1557" Type="http://schemas.openxmlformats.org/officeDocument/2006/relationships/hyperlink" Target="https://drive.google.com/file/d/17aySYcwof0uMjmV2bxNYT3sdVlstbEvw/view" TargetMode="External"/><Relationship Id="rId2888" Type="http://schemas.openxmlformats.org/officeDocument/2006/relationships/hyperlink" Target="https://drive.google.com/file/d/1Dg5Cd1Q9_xZ2meSANQXDJ6fMZQEuCY_X/view" TargetMode="External"/><Relationship Id="rId1558" Type="http://schemas.openxmlformats.org/officeDocument/2006/relationships/hyperlink" Target="https://drive.google.com/file/d/1vl5scZGuRiHxX32FOiJOj0g6l2DqCwAM/view" TargetMode="External"/><Relationship Id="rId2889" Type="http://schemas.openxmlformats.org/officeDocument/2006/relationships/hyperlink" Target="https://drive.google.com/file/d/1imOBFzDRCKhotTc5UPo1BugrRzsLWV5d/view" TargetMode="External"/><Relationship Id="rId1559" Type="http://schemas.openxmlformats.org/officeDocument/2006/relationships/hyperlink" Target="https://drive.google.com/file/d/1TIFWgisKSS5iWnJnKzyO8PO9YSC1-aaR/view" TargetMode="External"/><Relationship Id="rId965" Type="http://schemas.openxmlformats.org/officeDocument/2006/relationships/hyperlink" Target="https://drive.google.com/file/d/1LNBlGUVa1WSv9cvZTjpdWvWpeSaejPkE/view" TargetMode="External"/><Relationship Id="rId964" Type="http://schemas.openxmlformats.org/officeDocument/2006/relationships/hyperlink" Target="https://drive.google.com/file/d/1MNTBJq3dnUyI5Wn507TjfVIhcTm7WO49/view" TargetMode="External"/><Relationship Id="rId963" Type="http://schemas.openxmlformats.org/officeDocument/2006/relationships/hyperlink" Target="https://drive.google.com/file/d/1WnKyBa40mF_VwjFIPVETrwR5N1m99wOq/view" TargetMode="External"/><Relationship Id="rId962" Type="http://schemas.openxmlformats.org/officeDocument/2006/relationships/hyperlink" Target="https://drive.google.com/file/d/1JDTGyWu_SGPdaClk7GUgyPHVE5O2i4AL/view" TargetMode="External"/><Relationship Id="rId969" Type="http://schemas.openxmlformats.org/officeDocument/2006/relationships/hyperlink" Target="https://drive.google.com/file/d/1Ft74mQmTD3gNlXfL1sxypgcqAxlW-YUk/view" TargetMode="External"/><Relationship Id="rId968" Type="http://schemas.openxmlformats.org/officeDocument/2006/relationships/hyperlink" Target="https://drive.google.com/file/d/1ekbf8DG7EMiyfCNxSeU19QySvIuJxOaC/view" TargetMode="External"/><Relationship Id="rId967" Type="http://schemas.openxmlformats.org/officeDocument/2006/relationships/hyperlink" Target="https://drive.google.com/file/d/10H4Ulm8SxPsRb3thdXtk9Bb-zOr3YDbl/view" TargetMode="External"/><Relationship Id="rId966" Type="http://schemas.openxmlformats.org/officeDocument/2006/relationships/hyperlink" Target="https://drive.google.com/file/d/12_8K33TpVtXL-RafKzUMtAgC0UGirqZP/view" TargetMode="External"/><Relationship Id="rId2880" Type="http://schemas.openxmlformats.org/officeDocument/2006/relationships/hyperlink" Target="https://drive.google.com/file/d/1Wpodd1ZtS-T1infQa2WozqznhsIyh9xg/view" TargetMode="External"/><Relationship Id="rId961" Type="http://schemas.openxmlformats.org/officeDocument/2006/relationships/hyperlink" Target="https://drive.google.com/file/d/12_8K33TpVtXL-RafKzUMtAgC0UGirqZP/view" TargetMode="External"/><Relationship Id="rId1550" Type="http://schemas.openxmlformats.org/officeDocument/2006/relationships/hyperlink" Target="https://drive.google.com/file/d/17aySYcwof0uMjmV2bxNYT3sdVlstbEvw/view" TargetMode="External"/><Relationship Id="rId2881" Type="http://schemas.openxmlformats.org/officeDocument/2006/relationships/hyperlink" Target="https://drive.google.com/file/d/1Dg5Cd1Q9_xZ2meSANQXDJ6fMZQEuCY_X/view" TargetMode="External"/><Relationship Id="rId960" Type="http://schemas.openxmlformats.org/officeDocument/2006/relationships/hyperlink" Target="https://drive.google.com/file/d/1LNBlGUVa1WSv9cvZTjpdWvWpeSaejPkE/view" TargetMode="External"/><Relationship Id="rId1551" Type="http://schemas.openxmlformats.org/officeDocument/2006/relationships/hyperlink" Target="https://drive.google.com/file/d/1vl5scZGuRiHxX32FOiJOj0g6l2DqCwAM/view" TargetMode="External"/><Relationship Id="rId2882" Type="http://schemas.openxmlformats.org/officeDocument/2006/relationships/hyperlink" Target="https://drive.google.com/file/d/1imOBFzDRCKhotTc5UPo1BugrRzsLWV5d/view" TargetMode="External"/><Relationship Id="rId1552" Type="http://schemas.openxmlformats.org/officeDocument/2006/relationships/hyperlink" Target="https://drive.google.com/file/d/1tPGG5tEEq2XcEYe3K7p-TMVFGIM2xBep/view" TargetMode="External"/><Relationship Id="rId2883" Type="http://schemas.openxmlformats.org/officeDocument/2006/relationships/hyperlink" Target="https://drive.google.com/file/d/1WKV3aSLEIBzbAQEWNn7L-JrsuG71MQ8F/view" TargetMode="External"/><Relationship Id="rId1553" Type="http://schemas.openxmlformats.org/officeDocument/2006/relationships/hyperlink" Target="https://drive.google.com/file/d/1YIN7QSQFvElRJHIPwFYcRG2UO58b8a7g/view" TargetMode="External"/><Relationship Id="rId2884" Type="http://schemas.openxmlformats.org/officeDocument/2006/relationships/hyperlink" Target="https://drive.google.com/file/d/1WtN9Eows27f30pwUpacmQn-yRl38tT_n/view" TargetMode="External"/><Relationship Id="rId1543" Type="http://schemas.openxmlformats.org/officeDocument/2006/relationships/hyperlink" Target="https://drive.google.com/file/d/17aySYcwof0uMjmV2bxNYT3sdVlstbEvw/view" TargetMode="External"/><Relationship Id="rId2874" Type="http://schemas.openxmlformats.org/officeDocument/2006/relationships/hyperlink" Target="https://drive.google.com/file/d/1ddFgOOYfUqR9X2vQJoEY9Ovve5yxyu8g/view" TargetMode="External"/><Relationship Id="rId1544" Type="http://schemas.openxmlformats.org/officeDocument/2006/relationships/hyperlink" Target="https://drive.google.com/file/d/1vl5scZGuRiHxX32FOiJOj0g6l2DqCwAM/view" TargetMode="External"/><Relationship Id="rId2875" Type="http://schemas.openxmlformats.org/officeDocument/2006/relationships/hyperlink" Target="https://drive.google.com/file/d/16WYoX5fG6JzTpS6vYHMwYZYMvBzspE0I/view" TargetMode="External"/><Relationship Id="rId1545" Type="http://schemas.openxmlformats.org/officeDocument/2006/relationships/hyperlink" Target="https://drive.google.com/file/d/1QlPYwHPhBKqx_O9ia4VgZdpU-mlmlhN3/view" TargetMode="External"/><Relationship Id="rId2876" Type="http://schemas.openxmlformats.org/officeDocument/2006/relationships/hyperlink" Target="https://drive.google.com/file/d/1UkuVC1aKM6zGe5_zb3TgohclJRf-b_pz/view" TargetMode="External"/><Relationship Id="rId1546" Type="http://schemas.openxmlformats.org/officeDocument/2006/relationships/hyperlink" Target="https://drive.google.com/file/d/1GGTq8PR6DlVAb3mn7CvkmsnzE5mvos0j/view" TargetMode="External"/><Relationship Id="rId2877" Type="http://schemas.openxmlformats.org/officeDocument/2006/relationships/hyperlink" Target="https://drive.google.com/file/d/1AD73QCTatX9SkBg9vWBPRiPWjOQDfwh0/view" TargetMode="External"/><Relationship Id="rId1547" Type="http://schemas.openxmlformats.org/officeDocument/2006/relationships/hyperlink" Target="https://drive.google.com/file/d/1ScDe1hFaAjFL2ac-tkKMnkJoiiIJwmtg/view" TargetMode="External"/><Relationship Id="rId2878" Type="http://schemas.openxmlformats.org/officeDocument/2006/relationships/hyperlink" Target="https://drive.google.com/file/d/1fgckwieMObaI-dJtphy7R6DR4MiambNI/view" TargetMode="External"/><Relationship Id="rId1548" Type="http://schemas.openxmlformats.org/officeDocument/2006/relationships/hyperlink" Target="https://drive.google.com/file/d/1gRf3Wf3Rn6vmZchJICrqC2OHC2LKn7zP/view" TargetMode="External"/><Relationship Id="rId2879" Type="http://schemas.openxmlformats.org/officeDocument/2006/relationships/hyperlink" Target="https://drive.google.com/file/d/15X5Vdoaxm4VIqU03zU83bjgLOshMizeb/view" TargetMode="External"/><Relationship Id="rId1549" Type="http://schemas.openxmlformats.org/officeDocument/2006/relationships/hyperlink" Target="https://drive.google.com/file/d/1LIcr_QAEQbqlIVHex79kBtMSkA5XWHrc/view" TargetMode="External"/><Relationship Id="rId959" Type="http://schemas.openxmlformats.org/officeDocument/2006/relationships/hyperlink" Target="https://drive.google.com/file/d/1MNTBJq3dnUyI5Wn507TjfVIhcTm7WO49/view" TargetMode="External"/><Relationship Id="rId954" Type="http://schemas.openxmlformats.org/officeDocument/2006/relationships/hyperlink" Target="https://drive.google.com/file/d/1MNTBJq3dnUyI5Wn507TjfVIhcTm7WO49/view" TargetMode="External"/><Relationship Id="rId953" Type="http://schemas.openxmlformats.org/officeDocument/2006/relationships/hyperlink" Target="https://drive.google.com/file/d/1WZwnydnhwgSz6Qo-kFlrhlOUfgrjidkH/view" TargetMode="External"/><Relationship Id="rId952" Type="http://schemas.openxmlformats.org/officeDocument/2006/relationships/hyperlink" Target="https://drive.google.com/file/d/1KNXLalua-bnqf9UNEvCKbk1R0iwdBsAO/view" TargetMode="External"/><Relationship Id="rId951" Type="http://schemas.openxmlformats.org/officeDocument/2006/relationships/hyperlink" Target="https://drive.google.com/file/d/1kP9A2wNz2_mL_98bLzlYyZrC19gLdcfP/view" TargetMode="External"/><Relationship Id="rId958" Type="http://schemas.openxmlformats.org/officeDocument/2006/relationships/hyperlink" Target="https://drive.google.com/file/d/1WZwnydnhwgSz6Qo-kFlrhlOUfgrjidkH/view" TargetMode="External"/><Relationship Id="rId957" Type="http://schemas.openxmlformats.org/officeDocument/2006/relationships/hyperlink" Target="https://drive.google.com/file/d/1KNXLalua-bnqf9UNEvCKbk1R0iwdBsAO/view" TargetMode="External"/><Relationship Id="rId956" Type="http://schemas.openxmlformats.org/officeDocument/2006/relationships/hyperlink" Target="https://drive.google.com/file/d/12_8K33TpVtXL-RafKzUMtAgC0UGirqZP/view" TargetMode="External"/><Relationship Id="rId955" Type="http://schemas.openxmlformats.org/officeDocument/2006/relationships/hyperlink" Target="https://drive.google.com/file/d/1LNBlGUVa1WSv9cvZTjpdWvWpeSaejPkE/view" TargetMode="External"/><Relationship Id="rId950" Type="http://schemas.openxmlformats.org/officeDocument/2006/relationships/hyperlink" Target="https://drive.google.com/file/d/1wl_q2M6Wt2RRbMoRuNeJNuv8TIw2vSEW/view" TargetMode="External"/><Relationship Id="rId2870" Type="http://schemas.openxmlformats.org/officeDocument/2006/relationships/hyperlink" Target="https://drive.google.com/file/d/1AD73QCTatX9SkBg9vWBPRiPWjOQDfwh0/view" TargetMode="External"/><Relationship Id="rId1540" Type="http://schemas.openxmlformats.org/officeDocument/2006/relationships/hyperlink" Target="https://drive.google.com/file/d/1ScDe1hFaAjFL2ac-tkKMnkJoiiIJwmtg/view" TargetMode="External"/><Relationship Id="rId2871" Type="http://schemas.openxmlformats.org/officeDocument/2006/relationships/hyperlink" Target="https://drive.google.com/file/d/1fgckwieMObaI-dJtphy7R6DR4MiambNI/view" TargetMode="External"/><Relationship Id="rId1541" Type="http://schemas.openxmlformats.org/officeDocument/2006/relationships/hyperlink" Target="https://drive.google.com/file/d/1gRf3Wf3Rn6vmZchJICrqC2OHC2LKn7zP/view" TargetMode="External"/><Relationship Id="rId2872" Type="http://schemas.openxmlformats.org/officeDocument/2006/relationships/hyperlink" Target="https://drive.google.com/file/d/15X5Vdoaxm4VIqU03zU83bjgLOshMizeb/view" TargetMode="External"/><Relationship Id="rId1542" Type="http://schemas.openxmlformats.org/officeDocument/2006/relationships/hyperlink" Target="https://drive.google.com/file/d/1LIcr_QAEQbqlIVHex79kBtMSkA5XWHrc/view" TargetMode="External"/><Relationship Id="rId2873" Type="http://schemas.openxmlformats.org/officeDocument/2006/relationships/hyperlink" Target="https://drive.google.com/file/d/1t3FyuhjslhsA7LQFEQpwG8F7Gi6UocnJ/view" TargetMode="External"/><Relationship Id="rId2027" Type="http://schemas.openxmlformats.org/officeDocument/2006/relationships/hyperlink" Target="https://drive.google.com/file/d/1h25PWU62OVHFjiiWt4vSDqGHlHN7RZ53/view" TargetMode="External"/><Relationship Id="rId3359" Type="http://schemas.openxmlformats.org/officeDocument/2006/relationships/hyperlink" Target="https://drive.google.com/file/d/1wtnGataNcZnY6_8zP9mIHshtC93eXN1G/view" TargetMode="External"/><Relationship Id="rId2028" Type="http://schemas.openxmlformats.org/officeDocument/2006/relationships/hyperlink" Target="https://drive.google.com/file/d/1gcwNC_1Vnap4_tyMsuAd-TFs_8A9fxBr/view" TargetMode="External"/><Relationship Id="rId3358" Type="http://schemas.openxmlformats.org/officeDocument/2006/relationships/hyperlink" Target="https://drive.google.com/file/d/1bf7Fd2GDFtqBnB1aEGycBcfJGm8CIDsa/view" TargetMode="External"/><Relationship Id="rId2029" Type="http://schemas.openxmlformats.org/officeDocument/2006/relationships/hyperlink" Target="https://drive.google.com/file/d/1FyzKbPj_AtisyUfd9TTkvZKb0r2j2B9E/view" TargetMode="External"/><Relationship Id="rId107" Type="http://schemas.openxmlformats.org/officeDocument/2006/relationships/hyperlink" Target="https://drive.google.com/file/d/19nMiPCE6OT331QUpPvEgtIZDLIyPshb7/view" TargetMode="External"/><Relationship Id="rId106" Type="http://schemas.openxmlformats.org/officeDocument/2006/relationships/hyperlink" Target="https://drive.google.com/file/d/1yKGz4_GZURvpgZ0icohKcvtzlf9A2fI7/view" TargetMode="External"/><Relationship Id="rId105" Type="http://schemas.openxmlformats.org/officeDocument/2006/relationships/hyperlink" Target="https://drive.google.com/file/d/1FuVYIBE_z_dfrms09HIcrewtzunYAfdO/view" TargetMode="External"/><Relationship Id="rId104" Type="http://schemas.openxmlformats.org/officeDocument/2006/relationships/hyperlink" Target="https://drive.google.com/file/d/1UvYlsiEDDR2BN21v5gd6_ZaVqR4rP20g/view" TargetMode="External"/><Relationship Id="rId109" Type="http://schemas.openxmlformats.org/officeDocument/2006/relationships/hyperlink" Target="https://drive.google.com/file/d/1Beei4KQBbdhy30B-cw404rapKqa4Tzzg/view" TargetMode="External"/><Relationship Id="rId108" Type="http://schemas.openxmlformats.org/officeDocument/2006/relationships/hyperlink" Target="https://drive.google.com/file/d/1Nm2xssyRJ7t8F6DjJW_bDc44-W8uluAe/view" TargetMode="External"/><Relationship Id="rId3351" Type="http://schemas.openxmlformats.org/officeDocument/2006/relationships/hyperlink" Target="https://drive.google.com/file/d/1bf7Fd2GDFtqBnB1aEGycBcfJGm8CIDsa/view" TargetMode="External"/><Relationship Id="rId2020" Type="http://schemas.openxmlformats.org/officeDocument/2006/relationships/hyperlink" Target="https://drive.google.com/file/d/1QgoLnum_TVGtCjH01bYv04hN2rgrxcIf/view" TargetMode="External"/><Relationship Id="rId3350" Type="http://schemas.openxmlformats.org/officeDocument/2006/relationships/hyperlink" Target="https://drive.google.com/file/d/1eqI4GVguYGStJSBeHeKKrAVYatHHZuO7/view" TargetMode="External"/><Relationship Id="rId2021" Type="http://schemas.openxmlformats.org/officeDocument/2006/relationships/hyperlink" Target="https://drive.google.com/file/d/1h25PWU62OVHFjiiWt4vSDqGHlHN7RZ53/view" TargetMode="External"/><Relationship Id="rId3353" Type="http://schemas.openxmlformats.org/officeDocument/2006/relationships/hyperlink" Target="https://drive.google.com/file/d/1S4JfH9W8YdUlVuNSnPKQVU9m0VQe7lwZ/view" TargetMode="External"/><Relationship Id="rId2022" Type="http://schemas.openxmlformats.org/officeDocument/2006/relationships/hyperlink" Target="https://drive.google.com/file/d/1gcwNC_1Vnap4_tyMsuAd-TFs_8A9fxBr/view" TargetMode="External"/><Relationship Id="rId3352" Type="http://schemas.openxmlformats.org/officeDocument/2006/relationships/hyperlink" Target="https://drive.google.com/file/d/1wtnGataNcZnY6_8zP9mIHshtC93eXN1G/view" TargetMode="External"/><Relationship Id="rId103" Type="http://schemas.openxmlformats.org/officeDocument/2006/relationships/hyperlink" Target="https://drive.google.com/file/d/1Ulcc4rHlbs1Fcvr1X2UVi2whMeWXhuVr/view" TargetMode="External"/><Relationship Id="rId2023" Type="http://schemas.openxmlformats.org/officeDocument/2006/relationships/hyperlink" Target="https://drive.google.com/file/d/1FyzKbPj_AtisyUfd9TTkvZKb0r2j2B9E/view" TargetMode="External"/><Relationship Id="rId3355" Type="http://schemas.openxmlformats.org/officeDocument/2006/relationships/hyperlink" Target="https://drive.google.com/file/d/1Kd-EGLmPC7etz88pFeMKPtqcKD5L7WF-/view" TargetMode="External"/><Relationship Id="rId102" Type="http://schemas.openxmlformats.org/officeDocument/2006/relationships/hyperlink" Target="https://drive.google.com/file/d/1g8N_cQytMtHdUo_FPCIvdyej_Kb9LZeA/view" TargetMode="External"/><Relationship Id="rId2024" Type="http://schemas.openxmlformats.org/officeDocument/2006/relationships/hyperlink" Target="https://drive.google.com/file/d/1m906J05MKKhM8w_fnPcP08xY7pq0mxwN/view" TargetMode="External"/><Relationship Id="rId3354" Type="http://schemas.openxmlformats.org/officeDocument/2006/relationships/hyperlink" Target="https://drive.google.com/file/d/1blN9txvwCLRWeBY8wBNpz0kANRpkB8CT/view" TargetMode="External"/><Relationship Id="rId101" Type="http://schemas.openxmlformats.org/officeDocument/2006/relationships/hyperlink" Target="https://drive.google.com/file/d/1fpkQNZBsmFjYwviD-zhFMMn6Tm6ttulc/view" TargetMode="External"/><Relationship Id="rId2025" Type="http://schemas.openxmlformats.org/officeDocument/2006/relationships/hyperlink" Target="https://drive.google.com/file/d/1xUAFRn8xcZTOhS-rKGE4sZAxhghTIUm9/view" TargetMode="External"/><Relationship Id="rId3357" Type="http://schemas.openxmlformats.org/officeDocument/2006/relationships/hyperlink" Target="https://drive.google.com/file/d/1eqI4GVguYGStJSBeHeKKrAVYatHHZuO7/view" TargetMode="External"/><Relationship Id="rId100" Type="http://schemas.openxmlformats.org/officeDocument/2006/relationships/hyperlink" Target="https://drive.google.com/file/d/14UXDaOyJHDnmtH6suNCzZv01VrBgP0uz/view" TargetMode="External"/><Relationship Id="rId2026" Type="http://schemas.openxmlformats.org/officeDocument/2006/relationships/hyperlink" Target="https://drive.google.com/file/d/17RK8c3kLUpLry-mvXjfg86sYKildXuND/view" TargetMode="External"/><Relationship Id="rId3356" Type="http://schemas.openxmlformats.org/officeDocument/2006/relationships/hyperlink" Target="https://drive.google.com/file/d/1ASGAtlA8B7I8-uLFZrlwM5I7syiyACgS/view" TargetMode="External"/><Relationship Id="rId2016" Type="http://schemas.openxmlformats.org/officeDocument/2006/relationships/hyperlink" Target="https://drive.google.com/file/d/1gcwNC_1Vnap4_tyMsuAd-TFs_8A9fxBr/view" TargetMode="External"/><Relationship Id="rId3348" Type="http://schemas.openxmlformats.org/officeDocument/2006/relationships/hyperlink" Target="https://drive.google.com/file/d/1wvfE_MC-WBeS_6psbn2MKiZFBmfV-UmP/view" TargetMode="External"/><Relationship Id="rId2017" Type="http://schemas.openxmlformats.org/officeDocument/2006/relationships/hyperlink" Target="https://drive.google.com/file/d/1FyzKbPj_AtisyUfd9TTkvZKb0r2j2B9E/view" TargetMode="External"/><Relationship Id="rId3347" Type="http://schemas.openxmlformats.org/officeDocument/2006/relationships/hyperlink" Target="https://drive.google.com/file/d/1Tr8S1FeDRjgmWHpuPpsKfvZTIXf8fePC/view" TargetMode="External"/><Relationship Id="rId2018" Type="http://schemas.openxmlformats.org/officeDocument/2006/relationships/hyperlink" Target="https://drive.google.com/file/d/1m906J05MKKhM8w_fnPcP08xY7pq0mxwN/view" TargetMode="External"/><Relationship Id="rId2019" Type="http://schemas.openxmlformats.org/officeDocument/2006/relationships/hyperlink" Target="https://drive.google.com/file/d/1ag90NbMptLVzLvigEpXEBPsTh9lWozCX/view" TargetMode="External"/><Relationship Id="rId3349" Type="http://schemas.openxmlformats.org/officeDocument/2006/relationships/hyperlink" Target="https://drive.google.com/file/d/1ASGAtlA8B7I8-uLFZrlwM5I7syiyACgS/view" TargetMode="External"/><Relationship Id="rId3340" Type="http://schemas.openxmlformats.org/officeDocument/2006/relationships/hyperlink" Target="https://drive.google.com/file/d/1JI_lQiENnIxgZzbjK_tuCDhKOoCcYRv5/view" TargetMode="External"/><Relationship Id="rId2010" Type="http://schemas.openxmlformats.org/officeDocument/2006/relationships/hyperlink" Target="https://drive.google.com/file/d/1XZR3uf1xzF5SSu0_vQ22P-ZyxO2zISdn/view" TargetMode="External"/><Relationship Id="rId3342" Type="http://schemas.openxmlformats.org/officeDocument/2006/relationships/hyperlink" Target="https://drive.google.com/file/d/1ASGAtlA8B7I8-uLFZrlwM5I7syiyACgS/view" TargetMode="External"/><Relationship Id="rId2011" Type="http://schemas.openxmlformats.org/officeDocument/2006/relationships/hyperlink" Target="https://drive.google.com/file/d/1lJ5jDekAuMhK9X9kwApJBX7ukTzafx9p/view" TargetMode="External"/><Relationship Id="rId3341" Type="http://schemas.openxmlformats.org/officeDocument/2006/relationships/hyperlink" Target="https://drive.google.com/file/d/1wQYmXTIFggSxSM3vWL8K-uprvnxud1qF/view" TargetMode="External"/><Relationship Id="rId2012" Type="http://schemas.openxmlformats.org/officeDocument/2006/relationships/hyperlink" Target="https://drive.google.com/file/d/1ag90NbMptLVzLvigEpXEBPsTh9lWozCX/view" TargetMode="External"/><Relationship Id="rId3344" Type="http://schemas.openxmlformats.org/officeDocument/2006/relationships/hyperlink" Target="https://drive.google.com/file/d/1bf7Fd2GDFtqBnB1aEGycBcfJGm8CIDsa/view" TargetMode="External"/><Relationship Id="rId2013" Type="http://schemas.openxmlformats.org/officeDocument/2006/relationships/hyperlink" Target="https://drive.google.com/file/d/1QgoLnum_TVGtCjH01bYv04hN2rgrxcIf/view" TargetMode="External"/><Relationship Id="rId3343" Type="http://schemas.openxmlformats.org/officeDocument/2006/relationships/hyperlink" Target="https://drive.google.com/file/d/1eqI4GVguYGStJSBeHeKKrAVYatHHZuO7/view" TargetMode="External"/><Relationship Id="rId2014" Type="http://schemas.openxmlformats.org/officeDocument/2006/relationships/hyperlink" Target="https://drive.google.com/file/d/1dv-8wPDQwrcwQzkEU_1aKwlhJ8UOOs9v/view" TargetMode="External"/><Relationship Id="rId3346" Type="http://schemas.openxmlformats.org/officeDocument/2006/relationships/hyperlink" Target="https://drive.google.com/file/d/1S4JfH9W8YdUlVuNSnPKQVU9m0VQe7lwZ/view" TargetMode="External"/><Relationship Id="rId2015" Type="http://schemas.openxmlformats.org/officeDocument/2006/relationships/hyperlink" Target="https://drive.google.com/file/d/1h25PWU62OVHFjiiWt4vSDqGHlHN7RZ53/view" TargetMode="External"/><Relationship Id="rId3345" Type="http://schemas.openxmlformats.org/officeDocument/2006/relationships/hyperlink" Target="https://drive.google.com/file/d/1wtnGataNcZnY6_8zP9mIHshtC93eXN1G/view" TargetMode="External"/><Relationship Id="rId2049" Type="http://schemas.openxmlformats.org/officeDocument/2006/relationships/hyperlink" Target="https://drive.google.com/file/d/1dcxXGlReZgoZWLLCnDMsk0n_N_EHZ_MB/view" TargetMode="External"/><Relationship Id="rId129" Type="http://schemas.openxmlformats.org/officeDocument/2006/relationships/hyperlink" Target="https://drive.google.com/file/d/1V5Ga-aPG4atlhr8cuw7aqm3QbAil3dTB/view" TargetMode="External"/><Relationship Id="rId128" Type="http://schemas.openxmlformats.org/officeDocument/2006/relationships/hyperlink" Target="https://drive.google.com/file/d/1EBxIMqPcnitOPTWnHiCmiZmrH5LEY3D-/view" TargetMode="External"/><Relationship Id="rId127" Type="http://schemas.openxmlformats.org/officeDocument/2006/relationships/hyperlink" Target="https://drive.google.com/file/d/16mo8eN0406fLwQwF0AN7m91L2hUBDn_f/view" TargetMode="External"/><Relationship Id="rId126" Type="http://schemas.openxmlformats.org/officeDocument/2006/relationships/hyperlink" Target="https://drive.google.com/file/d/1jH1oI-RvHnFa7gA4yyeWZLscT6nJI_O5/view" TargetMode="External"/><Relationship Id="rId3371" Type="http://schemas.openxmlformats.org/officeDocument/2006/relationships/hyperlink" Target="https://drive.google.com/file/d/1G7I8uykpDqn35pW5W5au1R0eBesUuJ2x/view" TargetMode="External"/><Relationship Id="rId2040" Type="http://schemas.openxmlformats.org/officeDocument/2006/relationships/hyperlink" Target="https://drive.google.com/file/d/1lOy04CnUCTmBNiqvvECuzIZmPO3wzdQo/view" TargetMode="External"/><Relationship Id="rId3370" Type="http://schemas.openxmlformats.org/officeDocument/2006/relationships/hyperlink" Target="https://drive.google.com/file/d/1nUQeoKf9SdQvfz1ADpRwkmYS5rtKUz5U/view" TargetMode="External"/><Relationship Id="rId121" Type="http://schemas.openxmlformats.org/officeDocument/2006/relationships/hyperlink" Target="https://drive.google.com/file/d/1jH1oI-RvHnFa7gA4yyeWZLscT6nJI_O5/view" TargetMode="External"/><Relationship Id="rId2041" Type="http://schemas.openxmlformats.org/officeDocument/2006/relationships/hyperlink" Target="https://drive.google.com/file/d/1NHpN2C3yyador4UIFO78XNr1m4HlZuCj/view" TargetMode="External"/><Relationship Id="rId3373" Type="http://schemas.openxmlformats.org/officeDocument/2006/relationships/hyperlink" Target="https://drive.google.com/file/d/18cQaZTs39pxOpiMdLTBHDAzvQlNWWDzQ/view" TargetMode="External"/><Relationship Id="rId120" Type="http://schemas.openxmlformats.org/officeDocument/2006/relationships/hyperlink" Target="https://drive.google.com/file/d/1LKSb90lV5GA3AckXJ0xXRbndX8uPAdqO/view" TargetMode="External"/><Relationship Id="rId2042" Type="http://schemas.openxmlformats.org/officeDocument/2006/relationships/hyperlink" Target="https://drive.google.com/file/d/1dcxXGlReZgoZWLLCnDMsk0n_N_EHZ_MB/view" TargetMode="External"/><Relationship Id="rId3372" Type="http://schemas.openxmlformats.org/officeDocument/2006/relationships/hyperlink" Target="https://drive.google.com/file/d/1Dhj1ubWcw8Q2cqAKYCpemC2WT6aqOnN9/view" TargetMode="External"/><Relationship Id="rId2043" Type="http://schemas.openxmlformats.org/officeDocument/2006/relationships/hyperlink" Target="https://drive.google.com/file/d/1fIoZdbuPCnecWghLFbJFZ6IRwBzwioRt/view" TargetMode="External"/><Relationship Id="rId3375" Type="http://schemas.openxmlformats.org/officeDocument/2006/relationships/hyperlink" Target="https://drive.google.com/file/d/1UE-np_002AOxWuofAgUT6iZXljzFJn_H/view" TargetMode="External"/><Relationship Id="rId2044" Type="http://schemas.openxmlformats.org/officeDocument/2006/relationships/hyperlink" Target="https://drive.google.com/file/d/1FDbnbD10-pnxFHnDnO317Can94kE1Z8A/view" TargetMode="External"/><Relationship Id="rId3374" Type="http://schemas.openxmlformats.org/officeDocument/2006/relationships/hyperlink" Target="https://drive.google.com/file/d/1ASGAtlA8B7I8-uLFZrlwM5I7syiyACgS/view" TargetMode="External"/><Relationship Id="rId125" Type="http://schemas.openxmlformats.org/officeDocument/2006/relationships/hyperlink" Target="https://drive.google.com/file/d/1LKSb90lV5GA3AckXJ0xXRbndX8uPAdqO/view" TargetMode="External"/><Relationship Id="rId2045" Type="http://schemas.openxmlformats.org/officeDocument/2006/relationships/hyperlink" Target="https://drive.google.com/file/d/14McXhVflV3CJadMndQPPOkwjBkZuU4R8/view" TargetMode="External"/><Relationship Id="rId3377" Type="http://schemas.openxmlformats.org/officeDocument/2006/relationships/hyperlink" Target="https://drive.google.com/file/d/1G7I8uykpDqn35pW5W5au1R0eBesUuJ2x/view" TargetMode="External"/><Relationship Id="rId124" Type="http://schemas.openxmlformats.org/officeDocument/2006/relationships/hyperlink" Target="https://drive.google.com/file/d/1V5Ga-aPG4atlhr8cuw7aqm3QbAil3dTB/view" TargetMode="External"/><Relationship Id="rId2046" Type="http://schemas.openxmlformats.org/officeDocument/2006/relationships/hyperlink" Target="https://drive.google.com/file/d/1_VARrGoo1XjzMTnZnLkj9AVJ6zd3TIGF/view" TargetMode="External"/><Relationship Id="rId3376" Type="http://schemas.openxmlformats.org/officeDocument/2006/relationships/hyperlink" Target="https://drive.google.com/file/d/1nUQeoKf9SdQvfz1ADpRwkmYS5rtKUz5U/view" TargetMode="External"/><Relationship Id="rId123" Type="http://schemas.openxmlformats.org/officeDocument/2006/relationships/hyperlink" Target="https://drive.google.com/file/d/1WOHBe_A2FwuyRr6464If8jtMVkWWYsoy/view" TargetMode="External"/><Relationship Id="rId2047" Type="http://schemas.openxmlformats.org/officeDocument/2006/relationships/hyperlink" Target="https://drive.google.com/file/d/1lOy04CnUCTmBNiqvvECuzIZmPO3wzdQo/view" TargetMode="External"/><Relationship Id="rId3379" Type="http://schemas.openxmlformats.org/officeDocument/2006/relationships/hyperlink" Target="https://drive.google.com/file/d/1nY3DCLogAoygDTYme-8acwM36-zPTJ_H/view" TargetMode="External"/><Relationship Id="rId122" Type="http://schemas.openxmlformats.org/officeDocument/2006/relationships/hyperlink" Target="https://drive.google.com/file/d/1gyLdudZuEshkXPz9bTG2eZHepy2r7wWY/view" TargetMode="External"/><Relationship Id="rId2048" Type="http://schemas.openxmlformats.org/officeDocument/2006/relationships/hyperlink" Target="https://drive.google.com/file/d/1NHpN2C3yyador4UIFO78XNr1m4HlZuCj/view" TargetMode="External"/><Relationship Id="rId3378" Type="http://schemas.openxmlformats.org/officeDocument/2006/relationships/hyperlink" Target="https://drive.google.com/file/d/1Dhj1ubWcw8Q2cqAKYCpemC2WT6aqOnN9/view" TargetMode="External"/><Relationship Id="rId2038" Type="http://schemas.openxmlformats.org/officeDocument/2006/relationships/hyperlink" Target="https://drive.google.com/file/d/1aHaW-t1UDyHJR-WHsTGfcUaS0qTy4LPw/view" TargetMode="External"/><Relationship Id="rId2039" Type="http://schemas.openxmlformats.org/officeDocument/2006/relationships/hyperlink" Target="https://drive.google.com/file/d/1cJ2dWVEPkDC9ECvm49tX6HlF4Y3lc72u/view" TargetMode="External"/><Relationship Id="rId3369" Type="http://schemas.openxmlformats.org/officeDocument/2006/relationships/hyperlink" Target="https://drive.google.com/file/d/1UE-np_002AOxWuofAgUT6iZXljzFJn_H/view" TargetMode="External"/><Relationship Id="rId118" Type="http://schemas.openxmlformats.org/officeDocument/2006/relationships/hyperlink" Target="https://drive.google.com/file/d/1WOHBe_A2FwuyRr6464If8jtMVkWWYsoy/view" TargetMode="External"/><Relationship Id="rId117" Type="http://schemas.openxmlformats.org/officeDocument/2006/relationships/hyperlink" Target="https://drive.google.com/file/d/1gyLdudZuEshkXPz9bTG2eZHepy2r7wWY/view" TargetMode="External"/><Relationship Id="rId116" Type="http://schemas.openxmlformats.org/officeDocument/2006/relationships/hyperlink" Target="https://drive.google.com/file/d/1RZyfeWC1ZkWkOOlNq1Yd4XG9UW5wtUis/view" TargetMode="External"/><Relationship Id="rId115" Type="http://schemas.openxmlformats.org/officeDocument/2006/relationships/hyperlink" Target="https://drive.google.com/file/d/1l88Zw6RqmOyTdnLZX-Iq3ZWpLYJdElOP/view" TargetMode="External"/><Relationship Id="rId3360" Type="http://schemas.openxmlformats.org/officeDocument/2006/relationships/hyperlink" Target="https://drive.google.com/file/d/1S4JfH9W8YdUlVuNSnPKQVU9m0VQe7lwZ/view" TargetMode="External"/><Relationship Id="rId119" Type="http://schemas.openxmlformats.org/officeDocument/2006/relationships/hyperlink" Target="https://drive.google.com/file/d/1V5Ga-aPG4atlhr8cuw7aqm3QbAil3dTB/view" TargetMode="External"/><Relationship Id="rId110" Type="http://schemas.openxmlformats.org/officeDocument/2006/relationships/hyperlink" Target="https://drive.google.com/file/d/1GIi-WCtaHxPxUPaWGTZbwKuhvQthOm0G/view" TargetMode="External"/><Relationship Id="rId2030" Type="http://schemas.openxmlformats.org/officeDocument/2006/relationships/hyperlink" Target="https://drive.google.com/file/d/1m906J05MKKhM8w_fnPcP08xY7pq0mxwN/view" TargetMode="External"/><Relationship Id="rId3362" Type="http://schemas.openxmlformats.org/officeDocument/2006/relationships/hyperlink" Target="https://drive.google.com/file/d/1ASGAtlA8B7I8-uLFZrlwM5I7syiyACgS/view" TargetMode="External"/><Relationship Id="rId2031" Type="http://schemas.openxmlformats.org/officeDocument/2006/relationships/hyperlink" Target="https://drive.google.com/file/d/1aHaW-t1UDyHJR-WHsTGfcUaS0qTy4LPw/view" TargetMode="External"/><Relationship Id="rId3361" Type="http://schemas.openxmlformats.org/officeDocument/2006/relationships/hyperlink" Target="https://drive.google.com/file/d/1D19tvIiCM48Eb-c8oNUwn0aqVf8P6BS9/view" TargetMode="External"/><Relationship Id="rId2032" Type="http://schemas.openxmlformats.org/officeDocument/2006/relationships/hyperlink" Target="https://drive.google.com/file/d/1cJ2dWVEPkDC9ECvm49tX6HlF4Y3lc72u/view" TargetMode="External"/><Relationship Id="rId3364" Type="http://schemas.openxmlformats.org/officeDocument/2006/relationships/hyperlink" Target="https://drive.google.com/file/d/1nUQeoKf9SdQvfz1ADpRwkmYS5rtKUz5U/view" TargetMode="External"/><Relationship Id="rId2033" Type="http://schemas.openxmlformats.org/officeDocument/2006/relationships/hyperlink" Target="https://drive.google.com/file/d/1lOy04CnUCTmBNiqvvECuzIZmPO3wzdQo/view" TargetMode="External"/><Relationship Id="rId3363" Type="http://schemas.openxmlformats.org/officeDocument/2006/relationships/hyperlink" Target="https://drive.google.com/file/d/1UE-np_002AOxWuofAgUT6iZXljzFJn_H/view" TargetMode="External"/><Relationship Id="rId114" Type="http://schemas.openxmlformats.org/officeDocument/2006/relationships/hyperlink" Target="https://drive.google.com/file/d/1wmwaKiUI6qyQXnHUBYOI5Y3K7NO95IR7/view" TargetMode="External"/><Relationship Id="rId2034" Type="http://schemas.openxmlformats.org/officeDocument/2006/relationships/hyperlink" Target="https://drive.google.com/file/d/1NHpN2C3yyador4UIFO78XNr1m4HlZuCj/view" TargetMode="External"/><Relationship Id="rId3366" Type="http://schemas.openxmlformats.org/officeDocument/2006/relationships/hyperlink" Target="https://drive.google.com/file/d/1Dhj1ubWcw8Q2cqAKYCpemC2WT6aqOnN9/view" TargetMode="External"/><Relationship Id="rId113" Type="http://schemas.openxmlformats.org/officeDocument/2006/relationships/hyperlink" Target="https://drive.google.com/file/d/18SwibubpekiCPv4FgxFxng2b9vsvZVVm/view" TargetMode="External"/><Relationship Id="rId2035" Type="http://schemas.openxmlformats.org/officeDocument/2006/relationships/hyperlink" Target="https://drive.google.com/file/d/1dcxXGlReZgoZWLLCnDMsk0n_N_EHZ_MB/view" TargetMode="External"/><Relationship Id="rId3365" Type="http://schemas.openxmlformats.org/officeDocument/2006/relationships/hyperlink" Target="https://drive.google.com/file/d/1G7I8uykpDqn35pW5W5au1R0eBesUuJ2x/view" TargetMode="External"/><Relationship Id="rId112" Type="http://schemas.openxmlformats.org/officeDocument/2006/relationships/hyperlink" Target="https://drive.google.com/file/d/1IniqWdx6dZ23zUP4yqxuS6mDaRI9wXiO/view" TargetMode="External"/><Relationship Id="rId2036" Type="http://schemas.openxmlformats.org/officeDocument/2006/relationships/hyperlink" Target="https://drive.google.com/file/d/1fIoZdbuPCnecWghLFbJFZ6IRwBzwioRt/view" TargetMode="External"/><Relationship Id="rId3368" Type="http://schemas.openxmlformats.org/officeDocument/2006/relationships/hyperlink" Target="https://drive.google.com/file/d/1ASGAtlA8B7I8-uLFZrlwM5I7syiyACgS/view" TargetMode="External"/><Relationship Id="rId111" Type="http://schemas.openxmlformats.org/officeDocument/2006/relationships/hyperlink" Target="https://drive.google.com/file/d/154uCpe84nlokGY5VxbotTM1LutbZhVpc/view" TargetMode="External"/><Relationship Id="rId2037" Type="http://schemas.openxmlformats.org/officeDocument/2006/relationships/hyperlink" Target="https://drive.google.com/file/d/1FDbnbD10-pnxFHnDnO317Can94kE1Z8A/view" TargetMode="External"/><Relationship Id="rId3367" Type="http://schemas.openxmlformats.org/officeDocument/2006/relationships/hyperlink" Target="https://drive.google.com/file/d/1D19tvIiCM48Eb-c8oNUwn0aqVf8P6BS9/view" TargetMode="External"/><Relationship Id="rId3315" Type="http://schemas.openxmlformats.org/officeDocument/2006/relationships/hyperlink" Target="https://drive.google.com/file/d/1ArFhvXDt0F3yo1iPHRkgNjH-aFamF7lC/view" TargetMode="External"/><Relationship Id="rId3314" Type="http://schemas.openxmlformats.org/officeDocument/2006/relationships/hyperlink" Target="https://drive.google.com/file/d/14rbB3zMNDFzyJFTwK8of_9j6tTuvQCWQ/view" TargetMode="External"/><Relationship Id="rId3317" Type="http://schemas.openxmlformats.org/officeDocument/2006/relationships/hyperlink" Target="https://drive.google.com/file/d/1LshYfXRIPyA0ywPRjh1Iwj8jsuVQfr4v/view" TargetMode="External"/><Relationship Id="rId3316" Type="http://schemas.openxmlformats.org/officeDocument/2006/relationships/hyperlink" Target="https://drive.google.com/file/d/1S4FFbJPgFBMlkElS3M3Vo8DXPTf6R5oh/view" TargetMode="External"/><Relationship Id="rId3319" Type="http://schemas.openxmlformats.org/officeDocument/2006/relationships/hyperlink" Target="https://drive.google.com/file/d/1KxKv6wIkNxCjhVq5SqOEAtESJybTHRBx/view" TargetMode="External"/><Relationship Id="rId3318" Type="http://schemas.openxmlformats.org/officeDocument/2006/relationships/hyperlink" Target="https://drive.google.com/file/d/1cBCU2ODTLFo-B_pMTfXQUdgCQHayWjdg/view" TargetMode="External"/><Relationship Id="rId3311" Type="http://schemas.openxmlformats.org/officeDocument/2006/relationships/hyperlink" Target="https://drive.google.com/file/d/11teEHIkzQpRaA1nu9Yavvin2DkxsvnzE/view" TargetMode="External"/><Relationship Id="rId3310" Type="http://schemas.openxmlformats.org/officeDocument/2006/relationships/hyperlink" Target="https://drive.google.com/file/d/1yjnr2rn2eNPFz1jJKggFJq4p-EzKIx7n/view" TargetMode="External"/><Relationship Id="rId3313" Type="http://schemas.openxmlformats.org/officeDocument/2006/relationships/hyperlink" Target="https://drive.google.com/file/d/1HkrDv2J1FczN1zXyr2-FkjQ7l6wYlLFM/view" TargetMode="External"/><Relationship Id="rId3312" Type="http://schemas.openxmlformats.org/officeDocument/2006/relationships/hyperlink" Target="https://drive.google.com/file/d/15r4bPlRYRtPUR8ELqY-drTep52-Yl0pv/view" TargetMode="External"/><Relationship Id="rId3304" Type="http://schemas.openxmlformats.org/officeDocument/2006/relationships/hyperlink" Target="https://drive.google.com/file/d/11teEHIkzQpRaA1nu9Yavvin2DkxsvnzE/view" TargetMode="External"/><Relationship Id="rId3303" Type="http://schemas.openxmlformats.org/officeDocument/2006/relationships/hyperlink" Target="https://drive.google.com/file/d/1yjnr2rn2eNPFz1jJKggFJq4p-EzKIx7n/view" TargetMode="External"/><Relationship Id="rId3306" Type="http://schemas.openxmlformats.org/officeDocument/2006/relationships/hyperlink" Target="https://drive.google.com/file/d/1HkrDv2J1FczN1zXyr2-FkjQ7l6wYlLFM/view" TargetMode="External"/><Relationship Id="rId3305" Type="http://schemas.openxmlformats.org/officeDocument/2006/relationships/hyperlink" Target="https://drive.google.com/file/d/15r4bPlRYRtPUR8ELqY-drTep52-Yl0pv/view" TargetMode="External"/><Relationship Id="rId3308" Type="http://schemas.openxmlformats.org/officeDocument/2006/relationships/hyperlink" Target="https://drive.google.com/file/d/10U4Cgq8BW0ANQmxMFsJOLKwWXSRB7hqc/view" TargetMode="External"/><Relationship Id="rId3307" Type="http://schemas.openxmlformats.org/officeDocument/2006/relationships/hyperlink" Target="https://drive.google.com/file/d/12WsW2lF2wVD5c64c9MSJjuVL6zuMGKil/view" TargetMode="External"/><Relationship Id="rId3309" Type="http://schemas.openxmlformats.org/officeDocument/2006/relationships/hyperlink" Target="https://drive.google.com/file/d/1Namxju0uEaphcru1U9ZVEMWcoH9y7fcY/view" TargetMode="External"/><Relationship Id="rId3300" Type="http://schemas.openxmlformats.org/officeDocument/2006/relationships/hyperlink" Target="https://drive.google.com/file/d/1JNnzfMm4-HCQXC-R3OAKZG5sG_JB9FgU/view" TargetMode="External"/><Relationship Id="rId3302" Type="http://schemas.openxmlformats.org/officeDocument/2006/relationships/hyperlink" Target="https://drive.google.com/file/d/1Namxju0uEaphcru1U9ZVEMWcoH9y7fcY/view" TargetMode="External"/><Relationship Id="rId3301" Type="http://schemas.openxmlformats.org/officeDocument/2006/relationships/hyperlink" Target="https://drive.google.com/file/d/1bK4wMxf2zt6O2ozZCJMLDaUA1ChKL-jr/view" TargetMode="External"/><Relationship Id="rId2005" Type="http://schemas.openxmlformats.org/officeDocument/2006/relationships/hyperlink" Target="https://drive.google.com/file/d/1roa-BbbjH-TGu7Su0S-t78DX3Ja2FVNf/view" TargetMode="External"/><Relationship Id="rId3337" Type="http://schemas.openxmlformats.org/officeDocument/2006/relationships/hyperlink" Target="https://drive.google.com/file/d/1bf7Fd2GDFtqBnB1aEGycBcfJGm8CIDsa/view" TargetMode="External"/><Relationship Id="rId2006" Type="http://schemas.openxmlformats.org/officeDocument/2006/relationships/hyperlink" Target="https://drive.google.com/file/d/1IT_2LhFJ9nLs5x1dpXM33OAkzQq9iMvd/view" TargetMode="External"/><Relationship Id="rId3336" Type="http://schemas.openxmlformats.org/officeDocument/2006/relationships/hyperlink" Target="https://drive.google.com/file/d/1eqI4GVguYGStJSBeHeKKrAVYatHHZuO7/view" TargetMode="External"/><Relationship Id="rId2007" Type="http://schemas.openxmlformats.org/officeDocument/2006/relationships/hyperlink" Target="https://drive.google.com/file/d/10wmE9BHttaNbymSPuaTdpowABOiNrrSn/view" TargetMode="External"/><Relationship Id="rId3339" Type="http://schemas.openxmlformats.org/officeDocument/2006/relationships/hyperlink" Target="https://drive.google.com/file/d/1S4JfH9W8YdUlVuNSnPKQVU9m0VQe7lwZ/view" TargetMode="External"/><Relationship Id="rId2008" Type="http://schemas.openxmlformats.org/officeDocument/2006/relationships/hyperlink" Target="https://drive.google.com/file/d/1y5MMYBVVRE-Tl9bZettJi8zZgYmo3aAg/view" TargetMode="External"/><Relationship Id="rId3338" Type="http://schemas.openxmlformats.org/officeDocument/2006/relationships/hyperlink" Target="https://drive.google.com/file/d/1wtnGataNcZnY6_8zP9mIHshtC93eXN1G/view" TargetMode="External"/><Relationship Id="rId2009" Type="http://schemas.openxmlformats.org/officeDocument/2006/relationships/hyperlink" Target="https://drive.google.com/file/d/1P6El6mRLyDzHraSvdjvc7pXWpu-AMxrU/view" TargetMode="External"/><Relationship Id="rId3331" Type="http://schemas.openxmlformats.org/officeDocument/2006/relationships/hyperlink" Target="https://drive.google.com/file/d/1WDxpW6ADqIb8KgeNvv7WjaxasE1xQ7k4/view" TargetMode="External"/><Relationship Id="rId2000" Type="http://schemas.openxmlformats.org/officeDocument/2006/relationships/hyperlink" Target="https://drive.google.com/file/d/10wmE9BHttaNbymSPuaTdpowABOiNrrSn/view" TargetMode="External"/><Relationship Id="rId3330" Type="http://schemas.openxmlformats.org/officeDocument/2006/relationships/hyperlink" Target="https://drive.google.com/file/d/1kY_sk0RO5cApRirejJuos4XBdhd2ayI_/view" TargetMode="External"/><Relationship Id="rId2001" Type="http://schemas.openxmlformats.org/officeDocument/2006/relationships/hyperlink" Target="https://drive.google.com/file/d/1y5MMYBVVRE-Tl9bZettJi8zZgYmo3aAg/view" TargetMode="External"/><Relationship Id="rId3333" Type="http://schemas.openxmlformats.org/officeDocument/2006/relationships/hyperlink" Target="https://drive.google.com/file/d/1JI_lQiENnIxgZzbjK_tuCDhKOoCcYRv5/view" TargetMode="External"/><Relationship Id="rId2002" Type="http://schemas.openxmlformats.org/officeDocument/2006/relationships/hyperlink" Target="https://drive.google.com/file/d/1P6El6mRLyDzHraSvdjvc7pXWpu-AMxrU/view" TargetMode="External"/><Relationship Id="rId3332" Type="http://schemas.openxmlformats.org/officeDocument/2006/relationships/hyperlink" Target="https://drive.google.com/file/d/1xzNyL1yZUrXTQtqHhT8KMoxjjD0_zCw3/view" TargetMode="External"/><Relationship Id="rId2003" Type="http://schemas.openxmlformats.org/officeDocument/2006/relationships/hyperlink" Target="https://drive.google.com/file/d/1XZR3uf1xzF5SSu0_vQ22P-ZyxO2zISdn/view" TargetMode="External"/><Relationship Id="rId3335" Type="http://schemas.openxmlformats.org/officeDocument/2006/relationships/hyperlink" Target="https://drive.google.com/file/d/1ASGAtlA8B7I8-uLFZrlwM5I7syiyACgS/view" TargetMode="External"/><Relationship Id="rId2004" Type="http://schemas.openxmlformats.org/officeDocument/2006/relationships/hyperlink" Target="https://drive.google.com/file/d/1lJ5jDekAuMhK9X9kwApJBX7ukTzafx9p/view" TargetMode="External"/><Relationship Id="rId3334" Type="http://schemas.openxmlformats.org/officeDocument/2006/relationships/hyperlink" Target="https://drive.google.com/file/d/1wQYmXTIFggSxSM3vWL8K-uprvnxud1qF/view" TargetMode="External"/><Relationship Id="rId3326" Type="http://schemas.openxmlformats.org/officeDocument/2006/relationships/hyperlink" Target="https://drive.google.com/file/d/1Wfq_DsrdCA6iN1bNW0gys1YvfefreaA6/view" TargetMode="External"/><Relationship Id="rId3325" Type="http://schemas.openxmlformats.org/officeDocument/2006/relationships/hyperlink" Target="https://drive.google.com/file/d/1KxKv6wIkNxCjhVq5SqOEAtESJybTHRBx/view" TargetMode="External"/><Relationship Id="rId3328" Type="http://schemas.openxmlformats.org/officeDocument/2006/relationships/hyperlink" Target="https://drive.google.com/file/d/1S4FFbJPgFBMlkElS3M3Vo8DXPTf6R5oh/view" TargetMode="External"/><Relationship Id="rId3327" Type="http://schemas.openxmlformats.org/officeDocument/2006/relationships/hyperlink" Target="https://drive.google.com/file/d/1SvnNBkD5YrEojgZNacDRJZ0t-CgNweh9/view" TargetMode="External"/><Relationship Id="rId3329" Type="http://schemas.openxmlformats.org/officeDocument/2006/relationships/hyperlink" Target="https://drive.google.com/file/d/1jAjbW5fKcHR8Eo6lleJ_1cR3IjGVxUZv/view" TargetMode="External"/><Relationship Id="rId3320" Type="http://schemas.openxmlformats.org/officeDocument/2006/relationships/hyperlink" Target="https://drive.google.com/file/d/14rbB3zMNDFzyJFTwK8of_9j6tTuvQCWQ/view" TargetMode="External"/><Relationship Id="rId3322" Type="http://schemas.openxmlformats.org/officeDocument/2006/relationships/hyperlink" Target="https://drive.google.com/file/d/1S4FFbJPgFBMlkElS3M3Vo8DXPTf6R5oh/view" TargetMode="External"/><Relationship Id="rId3321" Type="http://schemas.openxmlformats.org/officeDocument/2006/relationships/hyperlink" Target="https://drive.google.com/file/d/1ArFhvXDt0F3yo1iPHRkgNjH-aFamF7lC/view" TargetMode="External"/><Relationship Id="rId3324" Type="http://schemas.openxmlformats.org/officeDocument/2006/relationships/hyperlink" Target="https://drive.google.com/file/d/1cBCU2ODTLFo-B_pMTfXQUdgCQHayWjdg/view" TargetMode="External"/><Relationship Id="rId3323" Type="http://schemas.openxmlformats.org/officeDocument/2006/relationships/hyperlink" Target="https://drive.google.com/file/d/1LshYfXRIPyA0ywPRjh1Iwj8jsuVQfr4v/view" TargetMode="External"/><Relationship Id="rId2090" Type="http://schemas.openxmlformats.org/officeDocument/2006/relationships/hyperlink" Target="https://drive.google.com/file/d/1xdaNvBwCHRv8BemcvP5Rz3RYnTTjOavN/view" TargetMode="External"/><Relationship Id="rId2091" Type="http://schemas.openxmlformats.org/officeDocument/2006/relationships/hyperlink" Target="https://drive.google.com/file/d/18VFYqI9wawrJ6om_IPaLu4McwJggo61B/view" TargetMode="External"/><Relationship Id="rId2092" Type="http://schemas.openxmlformats.org/officeDocument/2006/relationships/hyperlink" Target="https://drive.google.com/file/d/1G9eeywsd2yuuJ7U6VJy1g8kDXKa6RAOQ/view" TargetMode="External"/><Relationship Id="rId2093" Type="http://schemas.openxmlformats.org/officeDocument/2006/relationships/hyperlink" Target="https://drive.google.com/file/d/157VO6w4KR58dtg3-4WyAtJ-xTIpLYfUf/view" TargetMode="External"/><Relationship Id="rId2094" Type="http://schemas.openxmlformats.org/officeDocument/2006/relationships/hyperlink" Target="https://drive.google.com/file/d/1SLNJW1t0YtpZwS1p-1QF_fNnrxVaj0ZM/view" TargetMode="External"/><Relationship Id="rId2095" Type="http://schemas.openxmlformats.org/officeDocument/2006/relationships/hyperlink" Target="https://drive.google.com/file/d/1XExe3o9_1izvB9mfah2sHdbQn41gTjS1/view" TargetMode="External"/><Relationship Id="rId2096" Type="http://schemas.openxmlformats.org/officeDocument/2006/relationships/hyperlink" Target="https://drive.google.com/file/d/1TSdMlHRX0gwwUyCNwuk8wnURwffNqz7d/view" TargetMode="External"/><Relationship Id="rId2097" Type="http://schemas.openxmlformats.org/officeDocument/2006/relationships/hyperlink" Target="https://drive.google.com/file/d/1xdaNvBwCHRv8BemcvP5Rz3RYnTTjOavN/view" TargetMode="External"/><Relationship Id="rId2098" Type="http://schemas.openxmlformats.org/officeDocument/2006/relationships/hyperlink" Target="https://drive.google.com/file/d/18VFYqI9wawrJ6om_IPaLu4McwJggo61B/view" TargetMode="External"/><Relationship Id="rId2099" Type="http://schemas.openxmlformats.org/officeDocument/2006/relationships/hyperlink" Target="https://drive.google.com/file/d/1asjGf0DLvp2ypjqvZDKyT37nrJzjmL4J/view" TargetMode="External"/><Relationship Id="rId3391" Type="http://schemas.openxmlformats.org/officeDocument/2006/relationships/hyperlink" Target="https://drive.google.com/file/d/1oqGArrryFHMFh1bNTWc4dzilh4ItdKZI/view" TargetMode="External"/><Relationship Id="rId2060" Type="http://schemas.openxmlformats.org/officeDocument/2006/relationships/hyperlink" Target="https://drive.google.com/file/d/1rXXeDQzbmsrqgkhkSeo37Vm1p5tcbSQn/view" TargetMode="External"/><Relationship Id="rId3390" Type="http://schemas.openxmlformats.org/officeDocument/2006/relationships/hyperlink" Target="https://drive.google.com/file/d/1V5lyIEP0Wd8K6XxIyPj_0xdMGN1fXs7e/view" TargetMode="External"/><Relationship Id="rId2061" Type="http://schemas.openxmlformats.org/officeDocument/2006/relationships/hyperlink" Target="https://drive.google.com/file/d/1Dr_zODWR5W8DdTdl2pvAOjmL_IjEzzEz/view" TargetMode="External"/><Relationship Id="rId3393" Type="http://schemas.openxmlformats.org/officeDocument/2006/relationships/hyperlink" Target="https://drive.google.com/file/d/16n2uOyBcNQOgM3RXFLP8AhLTtTUUPqPe/view" TargetMode="External"/><Relationship Id="rId2062" Type="http://schemas.openxmlformats.org/officeDocument/2006/relationships/hyperlink" Target="https://drive.google.com/file/d/1yoXtvn-nZmIBYTH8SYDjl2eO6pdSf6JN/view" TargetMode="External"/><Relationship Id="rId3392" Type="http://schemas.openxmlformats.org/officeDocument/2006/relationships/hyperlink" Target="https://drive.google.com/file/d/1QXhNVzr397bdLGRs5M3hm-XuODi6lWYw/view" TargetMode="External"/><Relationship Id="rId2063" Type="http://schemas.openxmlformats.org/officeDocument/2006/relationships/hyperlink" Target="https://drive.google.com/file/d/1DBBdnrLV62gV3mIYn2VBZaT0f_Z--HHA/view" TargetMode="External"/><Relationship Id="rId3395" Type="http://schemas.openxmlformats.org/officeDocument/2006/relationships/hyperlink" Target="https://drive.google.com/file/d/1jiBSaEW49yOJBFShLTWNkdjBSm060uVu/view" TargetMode="External"/><Relationship Id="rId2064" Type="http://schemas.openxmlformats.org/officeDocument/2006/relationships/hyperlink" Target="https://drive.google.com/file/d/1jkQSwuo2hO7K5l_XGzmYoI6F3L27JudK/view" TargetMode="External"/><Relationship Id="rId3394" Type="http://schemas.openxmlformats.org/officeDocument/2006/relationships/hyperlink" Target="https://drive.google.com/file/d/1CJ93iRLBkvXBhAigEseqy6tss_NIzW3S/view" TargetMode="External"/><Relationship Id="rId2065" Type="http://schemas.openxmlformats.org/officeDocument/2006/relationships/hyperlink" Target="https://drive.google.com/file/d/17utavvQ4iqVjZGD7LhbB1pNWVIi8R_0B/view" TargetMode="External"/><Relationship Id="rId3397" Type="http://schemas.openxmlformats.org/officeDocument/2006/relationships/hyperlink" Target="https://drive.google.com/file/d/1V5lyIEP0Wd8K6XxIyPj_0xdMGN1fXs7e/view" TargetMode="External"/><Relationship Id="rId2066" Type="http://schemas.openxmlformats.org/officeDocument/2006/relationships/hyperlink" Target="https://drive.google.com/file/d/14s_FQkOfd4MiCAxX04IZSs09LQh5a1-8/view" TargetMode="External"/><Relationship Id="rId3396" Type="http://schemas.openxmlformats.org/officeDocument/2006/relationships/hyperlink" Target="https://drive.google.com/file/d/1Z7vf1hutwNfJFs2fOqJQI37lI4OclLzw/view" TargetMode="External"/><Relationship Id="rId2067" Type="http://schemas.openxmlformats.org/officeDocument/2006/relationships/hyperlink" Target="https://drive.google.com/file/d/1LBv23ynqWV6w4NlMaOeFdtneW0bU7bjl/view" TargetMode="External"/><Relationship Id="rId3399" Type="http://schemas.openxmlformats.org/officeDocument/2006/relationships/hyperlink" Target="https://drive.google.com/file/d/1QXhNVzr397bdLGRs5M3hm-XuODi6lWYw/view" TargetMode="External"/><Relationship Id="rId2068" Type="http://schemas.openxmlformats.org/officeDocument/2006/relationships/hyperlink" Target="https://drive.google.com/file/d/1T-_vxZwlrpaxr2R3dcgd84ADxl9dAonS/view" TargetMode="External"/><Relationship Id="rId3398" Type="http://schemas.openxmlformats.org/officeDocument/2006/relationships/hyperlink" Target="https://drive.google.com/file/d/1oqGArrryFHMFh1bNTWc4dzilh4ItdKZI/view" TargetMode="External"/><Relationship Id="rId2069" Type="http://schemas.openxmlformats.org/officeDocument/2006/relationships/hyperlink" Target="https://drive.google.com/file/d/1cMSmpya3Hs5ODbIHKtXb2YtyvO6CvQRv/view" TargetMode="External"/><Relationship Id="rId3380" Type="http://schemas.openxmlformats.org/officeDocument/2006/relationships/hyperlink" Target="https://drive.google.com/file/d/1EsMwWMRXZa1Bq_X9ag0sneDpyXbcNm-7/view" TargetMode="External"/><Relationship Id="rId2050" Type="http://schemas.openxmlformats.org/officeDocument/2006/relationships/hyperlink" Target="https://drive.google.com/file/d/1fIoZdbuPCnecWghLFbJFZ6IRwBzwioRt/view" TargetMode="External"/><Relationship Id="rId3382" Type="http://schemas.openxmlformats.org/officeDocument/2006/relationships/hyperlink" Target="https://drive.google.com/file/d/1UE-np_002AOxWuofAgUT6iZXljzFJn_H/view" TargetMode="External"/><Relationship Id="rId2051" Type="http://schemas.openxmlformats.org/officeDocument/2006/relationships/hyperlink" Target="https://drive.google.com/file/d/1FDbnbD10-pnxFHnDnO317Can94kE1Z8A/view" TargetMode="External"/><Relationship Id="rId3381" Type="http://schemas.openxmlformats.org/officeDocument/2006/relationships/hyperlink" Target="https://drive.google.com/file/d/1ASGAtlA8B7I8-uLFZrlwM5I7syiyACgS/view" TargetMode="External"/><Relationship Id="rId2052" Type="http://schemas.openxmlformats.org/officeDocument/2006/relationships/hyperlink" Target="https://drive.google.com/file/d/1LLrUGll8m7IFoH4Ay2AutFQV-hLoiDsB/view" TargetMode="External"/><Relationship Id="rId3384" Type="http://schemas.openxmlformats.org/officeDocument/2006/relationships/hyperlink" Target="https://drive.google.com/file/d/1G7I8uykpDqn35pW5W5au1R0eBesUuJ2x/view" TargetMode="External"/><Relationship Id="rId2053" Type="http://schemas.openxmlformats.org/officeDocument/2006/relationships/hyperlink" Target="https://drive.google.com/file/d/1lOy04CnUCTmBNiqvvECuzIZmPO3wzdQo/view" TargetMode="External"/><Relationship Id="rId3383" Type="http://schemas.openxmlformats.org/officeDocument/2006/relationships/hyperlink" Target="https://drive.google.com/file/d/1nUQeoKf9SdQvfz1ADpRwkmYS5rtKUz5U/view" TargetMode="External"/><Relationship Id="rId2054" Type="http://schemas.openxmlformats.org/officeDocument/2006/relationships/hyperlink" Target="https://drive.google.com/file/d/1rXXeDQzbmsrqgkhkSeo37Vm1p5tcbSQn/view" TargetMode="External"/><Relationship Id="rId3386" Type="http://schemas.openxmlformats.org/officeDocument/2006/relationships/hyperlink" Target="https://drive.google.com/file/d/16n2uOyBcNQOgM3RXFLP8AhLTtTUUPqPe/view" TargetMode="External"/><Relationship Id="rId2055" Type="http://schemas.openxmlformats.org/officeDocument/2006/relationships/hyperlink" Target="https://drive.google.com/file/d/1Dr_zODWR5W8DdTdl2pvAOjmL_IjEzzEz/view" TargetMode="External"/><Relationship Id="rId3385" Type="http://schemas.openxmlformats.org/officeDocument/2006/relationships/hyperlink" Target="https://drive.google.com/file/d/1Dhj1ubWcw8Q2cqAKYCpemC2WT6aqOnN9/view" TargetMode="External"/><Relationship Id="rId2056" Type="http://schemas.openxmlformats.org/officeDocument/2006/relationships/hyperlink" Target="https://drive.google.com/file/d/1yoXtvn-nZmIBYTH8SYDjl2eO6pdSf6JN/view" TargetMode="External"/><Relationship Id="rId3388" Type="http://schemas.openxmlformats.org/officeDocument/2006/relationships/hyperlink" Target="https://drive.google.com/file/d/1jiBSaEW49yOJBFShLTWNkdjBSm060uVu/view" TargetMode="External"/><Relationship Id="rId2057" Type="http://schemas.openxmlformats.org/officeDocument/2006/relationships/hyperlink" Target="https://drive.google.com/file/d/1DBBdnrLV62gV3mIYn2VBZaT0f_Z--HHA/view" TargetMode="External"/><Relationship Id="rId3387" Type="http://schemas.openxmlformats.org/officeDocument/2006/relationships/hyperlink" Target="https://drive.google.com/file/d/1CJ93iRLBkvXBhAigEseqy6tss_NIzW3S/view" TargetMode="External"/><Relationship Id="rId2058" Type="http://schemas.openxmlformats.org/officeDocument/2006/relationships/hyperlink" Target="https://drive.google.com/file/d/1vN3hsYecMgUR3p03ty6MttjtTRJLUeiX/view" TargetMode="External"/><Relationship Id="rId2059" Type="http://schemas.openxmlformats.org/officeDocument/2006/relationships/hyperlink" Target="https://drive.google.com/file/d/1lOy04CnUCTmBNiqvvECuzIZmPO3wzdQo/view" TargetMode="External"/><Relationship Id="rId3389" Type="http://schemas.openxmlformats.org/officeDocument/2006/relationships/hyperlink" Target="https://drive.google.com/file/d/1Z7vf1hutwNfJFs2fOqJQI37lI4OclLzw/view" TargetMode="External"/><Relationship Id="rId2080" Type="http://schemas.openxmlformats.org/officeDocument/2006/relationships/hyperlink" Target="https://drive.google.com/file/d/14s_FQkOfd4MiCAxX04IZSs09LQh5a1-8/view" TargetMode="External"/><Relationship Id="rId2081" Type="http://schemas.openxmlformats.org/officeDocument/2006/relationships/hyperlink" Target="https://drive.google.com/file/d/1LBv23ynqWV6w4NlMaOeFdtneW0bU7bjl/view" TargetMode="External"/><Relationship Id="rId2082" Type="http://schemas.openxmlformats.org/officeDocument/2006/relationships/hyperlink" Target="https://drive.google.com/file/d/1T-_vxZwlrpaxr2R3dcgd84ADxl9dAonS/view" TargetMode="External"/><Relationship Id="rId2083" Type="http://schemas.openxmlformats.org/officeDocument/2006/relationships/hyperlink" Target="https://drive.google.com/file/d/1cMSmpya3Hs5ODbIHKtXb2YtyvO6CvQRv/view" TargetMode="External"/><Relationship Id="rId2084" Type="http://schemas.openxmlformats.org/officeDocument/2006/relationships/hyperlink" Target="https://drive.google.com/file/d/1InLXqn-nzk7XolS0dT_JlupJ-ohShT22/view" TargetMode="External"/><Relationship Id="rId2085" Type="http://schemas.openxmlformats.org/officeDocument/2006/relationships/hyperlink" Target="https://drive.google.com/file/d/1G9eeywsd2yuuJ7U6VJy1g8kDXKa6RAOQ/view" TargetMode="External"/><Relationship Id="rId2086" Type="http://schemas.openxmlformats.org/officeDocument/2006/relationships/hyperlink" Target="https://drive.google.com/file/d/157VO6w4KR58dtg3-4WyAtJ-xTIpLYfUf/view" TargetMode="External"/><Relationship Id="rId2087" Type="http://schemas.openxmlformats.org/officeDocument/2006/relationships/hyperlink" Target="https://drive.google.com/file/d/1SLNJW1t0YtpZwS1p-1QF_fNnrxVaj0ZM/view" TargetMode="External"/><Relationship Id="rId2088" Type="http://schemas.openxmlformats.org/officeDocument/2006/relationships/hyperlink" Target="https://drive.google.com/file/d/1XExe3o9_1izvB9mfah2sHdbQn41gTjS1/view" TargetMode="External"/><Relationship Id="rId2089" Type="http://schemas.openxmlformats.org/officeDocument/2006/relationships/hyperlink" Target="https://drive.google.com/file/d/1TSdMlHRX0gwwUyCNwuk8wnURwffNqz7d/view" TargetMode="External"/><Relationship Id="rId2070" Type="http://schemas.openxmlformats.org/officeDocument/2006/relationships/hyperlink" Target="https://drive.google.com/file/d/1InLXqn-nzk7XolS0dT_JlupJ-ohShT22/view" TargetMode="External"/><Relationship Id="rId2071" Type="http://schemas.openxmlformats.org/officeDocument/2006/relationships/hyperlink" Target="https://drive.google.com/file/d/1jkQSwuo2hO7K5l_XGzmYoI6F3L27JudK/view" TargetMode="External"/><Relationship Id="rId2072" Type="http://schemas.openxmlformats.org/officeDocument/2006/relationships/hyperlink" Target="https://drive.google.com/file/d/17utavvQ4iqVjZGD7LhbB1pNWVIi8R_0B/view" TargetMode="External"/><Relationship Id="rId2073" Type="http://schemas.openxmlformats.org/officeDocument/2006/relationships/hyperlink" Target="https://drive.google.com/file/d/14s_FQkOfd4MiCAxX04IZSs09LQh5a1-8/view" TargetMode="External"/><Relationship Id="rId2074" Type="http://schemas.openxmlformats.org/officeDocument/2006/relationships/hyperlink" Target="https://drive.google.com/file/d/1LBv23ynqWV6w4NlMaOeFdtneW0bU7bjl/view" TargetMode="External"/><Relationship Id="rId2075" Type="http://schemas.openxmlformats.org/officeDocument/2006/relationships/hyperlink" Target="https://drive.google.com/file/d/1T-_vxZwlrpaxr2R3dcgd84ADxl9dAonS/view" TargetMode="External"/><Relationship Id="rId2076" Type="http://schemas.openxmlformats.org/officeDocument/2006/relationships/hyperlink" Target="https://drive.google.com/file/d/1cMSmpya3Hs5ODbIHKtXb2YtyvO6CvQRv/view" TargetMode="External"/><Relationship Id="rId2077" Type="http://schemas.openxmlformats.org/officeDocument/2006/relationships/hyperlink" Target="https://drive.google.com/file/d/1InLXqn-nzk7XolS0dT_JlupJ-ohShT22/view" TargetMode="External"/><Relationship Id="rId2078" Type="http://schemas.openxmlformats.org/officeDocument/2006/relationships/hyperlink" Target="https://drive.google.com/file/d/1kgpPcASGE7Xu8C2Fze51lJKftBVMNL52/view" TargetMode="External"/><Relationship Id="rId2079" Type="http://schemas.openxmlformats.org/officeDocument/2006/relationships/hyperlink" Target="https://drive.google.com/file/d/1g3l1Ar8Pg5mWJUVGnPMqDJtKeXH9nOPy/view" TargetMode="External"/><Relationship Id="rId2940" Type="http://schemas.openxmlformats.org/officeDocument/2006/relationships/hyperlink" Target="https://drive.google.com/file/d/1gfw9VWGTBBzum3oI2l9EqRC880qNqhng/view" TargetMode="External"/><Relationship Id="rId1610" Type="http://schemas.openxmlformats.org/officeDocument/2006/relationships/hyperlink" Target="https://drive.google.com/file/d/1CDmy0dIUry4m0sH3fjuw_5AIBNQeUet_/view" TargetMode="External"/><Relationship Id="rId2941" Type="http://schemas.openxmlformats.org/officeDocument/2006/relationships/hyperlink" Target="https://drive.google.com/file/d/1jo59Fz2orJYIjrPV6EXn87gwJKwa1KBZ/view" TargetMode="External"/><Relationship Id="rId1611" Type="http://schemas.openxmlformats.org/officeDocument/2006/relationships/hyperlink" Target="https://drive.google.com/file/d/1gGUQnLpIpeAtEL7SC8EZMUHkn3kNtXvN/view" TargetMode="External"/><Relationship Id="rId2942" Type="http://schemas.openxmlformats.org/officeDocument/2006/relationships/hyperlink" Target="https://drive.google.com/file/d/1lWaR6U1rVUj8XDzqcmibVZd1H2FNVxQh/view" TargetMode="External"/><Relationship Id="rId1612" Type="http://schemas.openxmlformats.org/officeDocument/2006/relationships/hyperlink" Target="https://drive.google.com/file/d/1WQpVuURJNJ8umIYwZkc5RkG3DBYAiYFJ/view" TargetMode="External"/><Relationship Id="rId2943" Type="http://schemas.openxmlformats.org/officeDocument/2006/relationships/hyperlink" Target="https://drive.google.com/file/d/1GE8Xhs-yiNHLf1eXOORGyPV1ls3oBBfg/view" TargetMode="External"/><Relationship Id="rId1613" Type="http://schemas.openxmlformats.org/officeDocument/2006/relationships/hyperlink" Target="https://drive.google.com/file/d/1JvarT7AfEiYWcva4-y7ZBQwkXK8vnkDZ/view" TargetMode="External"/><Relationship Id="rId2944" Type="http://schemas.openxmlformats.org/officeDocument/2006/relationships/hyperlink" Target="https://drive.google.com/file/d/1-HIRP0woMh9CYeAI8z4QuHJ_buPVXMJ9/view" TargetMode="External"/><Relationship Id="rId1614" Type="http://schemas.openxmlformats.org/officeDocument/2006/relationships/hyperlink" Target="https://drive.google.com/file/d/13-A6lMrn0TOghuhoYJkp6wUYTg6eWmI3/view" TargetMode="External"/><Relationship Id="rId2945" Type="http://schemas.openxmlformats.org/officeDocument/2006/relationships/hyperlink" Target="https://drive.google.com/file/d/10_92G9Q2XbzhLIvSdmGQH2kYLv4VMckv/view" TargetMode="External"/><Relationship Id="rId1615" Type="http://schemas.openxmlformats.org/officeDocument/2006/relationships/hyperlink" Target="https://drive.google.com/file/d/1Z5mXJitN3GEqzFFDUOzmnp7EPfCLvv52/view" TargetMode="External"/><Relationship Id="rId2946" Type="http://schemas.openxmlformats.org/officeDocument/2006/relationships/hyperlink" Target="https://drive.google.com/file/d/1IUejnI8_uhq5Mr9uBk4tiUsQzXYC_pDp/view" TargetMode="External"/><Relationship Id="rId1616" Type="http://schemas.openxmlformats.org/officeDocument/2006/relationships/hyperlink" Target="https://drive.google.com/file/d/1Mw78-6GlmseSutsLwV1tPYbs0nhLvTi_/view" TargetMode="External"/><Relationship Id="rId2947" Type="http://schemas.openxmlformats.org/officeDocument/2006/relationships/hyperlink" Target="https://drive.google.com/file/d/1-VTFa8yZv4hVatfhdppIJrjFlPsfGl4c/view" TargetMode="External"/><Relationship Id="rId907" Type="http://schemas.openxmlformats.org/officeDocument/2006/relationships/hyperlink" Target="https://drive.google.com/file/d/1zxE6OjdrQY2FyDQoGUs2ESZpGSlqB3iA/view" TargetMode="External"/><Relationship Id="rId1617" Type="http://schemas.openxmlformats.org/officeDocument/2006/relationships/hyperlink" Target="https://drive.google.com/file/d/1CDmy0dIUry4m0sH3fjuw_5AIBNQeUet_/view" TargetMode="External"/><Relationship Id="rId2948" Type="http://schemas.openxmlformats.org/officeDocument/2006/relationships/hyperlink" Target="https://drive.google.com/file/d/10_Wg2N58msz49MJ2ATgkbwJCQv5BgEsK/view" TargetMode="External"/><Relationship Id="rId906" Type="http://schemas.openxmlformats.org/officeDocument/2006/relationships/hyperlink" Target="https://drive.google.com/file/d/16YCYuC8qfUW7gZjJVLoVmOtFS4Rk4Ma_/view" TargetMode="External"/><Relationship Id="rId1618" Type="http://schemas.openxmlformats.org/officeDocument/2006/relationships/hyperlink" Target="https://drive.google.com/file/d/1gGUQnLpIpeAtEL7SC8EZMUHkn3kNtXvN/view" TargetMode="External"/><Relationship Id="rId2949" Type="http://schemas.openxmlformats.org/officeDocument/2006/relationships/hyperlink" Target="https://drive.google.com/file/d/1WEwZYl8YYKNUyuyMq8rgvst0CJAKzptZ/view" TargetMode="External"/><Relationship Id="rId905" Type="http://schemas.openxmlformats.org/officeDocument/2006/relationships/hyperlink" Target="https://drive.google.com/file/d/1U5zXiBUuiFaL-ZGInSyRfb32YK5MTQnZ/view" TargetMode="External"/><Relationship Id="rId1619" Type="http://schemas.openxmlformats.org/officeDocument/2006/relationships/hyperlink" Target="https://drive.google.com/file/d/1YR44dd8ywNsbMHprADGp5r-Efe3MvF1T/view" TargetMode="External"/><Relationship Id="rId904" Type="http://schemas.openxmlformats.org/officeDocument/2006/relationships/hyperlink" Target="https://drive.google.com/file/d/1Mdin3QdSaglsUw-rESUUAW6g9oyu6bJt/view" TargetMode="External"/><Relationship Id="rId909" Type="http://schemas.openxmlformats.org/officeDocument/2006/relationships/hyperlink" Target="https://drive.google.com/file/d/1gI8Sbs3ANkI7uQ45L4ZFJPEoZT7yHJbv/view" TargetMode="External"/><Relationship Id="rId908" Type="http://schemas.openxmlformats.org/officeDocument/2006/relationships/hyperlink" Target="https://drive.google.com/file/d/15BqH_D4Jzblhwq-FhwZUVkB0ouHf_hU1/view" TargetMode="External"/><Relationship Id="rId903" Type="http://schemas.openxmlformats.org/officeDocument/2006/relationships/hyperlink" Target="https://drive.google.com/file/d/1NybuvMrbH35UWLsxaq1mSLYrI_xD511U/view" TargetMode="External"/><Relationship Id="rId902" Type="http://schemas.openxmlformats.org/officeDocument/2006/relationships/hyperlink" Target="https://drive.google.com/file/d/16ArS3A4F09XVOkEKXCHD2IeekY7MnxlG/view" TargetMode="External"/><Relationship Id="rId901" Type="http://schemas.openxmlformats.org/officeDocument/2006/relationships/hyperlink" Target="https://drive.google.com/file/d/1qpfq8C3998Ro5wYIrdnQQu8cTWzP_uLD/view" TargetMode="External"/><Relationship Id="rId900" Type="http://schemas.openxmlformats.org/officeDocument/2006/relationships/hyperlink" Target="https://drive.google.com/file/d/1Mdin3QdSaglsUw-rESUUAW6g9oyu6bJt/view" TargetMode="External"/><Relationship Id="rId2930" Type="http://schemas.openxmlformats.org/officeDocument/2006/relationships/hyperlink" Target="https://drive.google.com/file/d/1WiGDcehBvLzkeGHT6zBJkEAk0qT5a4mC/view" TargetMode="External"/><Relationship Id="rId1600" Type="http://schemas.openxmlformats.org/officeDocument/2006/relationships/hyperlink" Target="https://drive.google.com/file/d/13-A6lMrn0TOghuhoYJkp6wUYTg6eWmI3/view" TargetMode="External"/><Relationship Id="rId2931" Type="http://schemas.openxmlformats.org/officeDocument/2006/relationships/hyperlink" Target="https://drive.google.com/file/d/1fv6jOqLnzaOxRHLWaTwWCdTN3LaufyBC/view" TargetMode="External"/><Relationship Id="rId1601" Type="http://schemas.openxmlformats.org/officeDocument/2006/relationships/hyperlink" Target="https://drive.google.com/file/d/1Z5mXJitN3GEqzFFDUOzmnp7EPfCLvv52/view" TargetMode="External"/><Relationship Id="rId2932" Type="http://schemas.openxmlformats.org/officeDocument/2006/relationships/hyperlink" Target="https://drive.google.com/file/d/1jkw-wKwGYRnhKCixPLZZvoT87MVypa1K/view" TargetMode="External"/><Relationship Id="rId1602" Type="http://schemas.openxmlformats.org/officeDocument/2006/relationships/hyperlink" Target="https://drive.google.com/file/d/1Mw78-6GlmseSutsLwV1tPYbs0nhLvTi_/view" TargetMode="External"/><Relationship Id="rId2933" Type="http://schemas.openxmlformats.org/officeDocument/2006/relationships/hyperlink" Target="https://drive.google.com/file/d/1gfw9VWGTBBzum3oI2l9EqRC880qNqhng/view" TargetMode="External"/><Relationship Id="rId1603" Type="http://schemas.openxmlformats.org/officeDocument/2006/relationships/hyperlink" Target="https://drive.google.com/file/d/1CDmy0dIUry4m0sH3fjuw_5AIBNQeUet_/view" TargetMode="External"/><Relationship Id="rId2934" Type="http://schemas.openxmlformats.org/officeDocument/2006/relationships/hyperlink" Target="https://drive.google.com/file/d/1jo59Fz2orJYIjrPV6EXn87gwJKwa1KBZ/view" TargetMode="External"/><Relationship Id="rId1604" Type="http://schemas.openxmlformats.org/officeDocument/2006/relationships/hyperlink" Target="https://drive.google.com/file/d/1gGUQnLpIpeAtEL7SC8EZMUHkn3kNtXvN/view" TargetMode="External"/><Relationship Id="rId2935" Type="http://schemas.openxmlformats.org/officeDocument/2006/relationships/hyperlink" Target="https://drive.google.com/file/d/1lWaR6U1rVUj8XDzqcmibVZd1H2FNVxQh/view" TargetMode="External"/><Relationship Id="rId1605" Type="http://schemas.openxmlformats.org/officeDocument/2006/relationships/hyperlink" Target="https://drive.google.com/file/d/1WQpVuURJNJ8umIYwZkc5RkG3DBYAiYFJ/view" TargetMode="External"/><Relationship Id="rId2936" Type="http://schemas.openxmlformats.org/officeDocument/2006/relationships/hyperlink" Target="https://drive.google.com/file/d/1klMsE7J55RbOLqLRV6cDnxlD9EC3mGco/view" TargetMode="External"/><Relationship Id="rId1606" Type="http://schemas.openxmlformats.org/officeDocument/2006/relationships/hyperlink" Target="https://drive.google.com/file/d/1JvarT7AfEiYWcva4-y7ZBQwkXK8vnkDZ/view" TargetMode="External"/><Relationship Id="rId2937" Type="http://schemas.openxmlformats.org/officeDocument/2006/relationships/hyperlink" Target="https://drive.google.com/file/d/1DwiGN4Ku1B4uQM-YEkMoAlYCDpuifISr/view" TargetMode="External"/><Relationship Id="rId1607" Type="http://schemas.openxmlformats.org/officeDocument/2006/relationships/hyperlink" Target="https://drive.google.com/file/d/13-A6lMrn0TOghuhoYJkp6wUYTg6eWmI3/view" TargetMode="External"/><Relationship Id="rId2938" Type="http://schemas.openxmlformats.org/officeDocument/2006/relationships/hyperlink" Target="https://drive.google.com/file/d/1fv6jOqLnzaOxRHLWaTwWCdTN3LaufyBC/view" TargetMode="External"/><Relationship Id="rId1608" Type="http://schemas.openxmlformats.org/officeDocument/2006/relationships/hyperlink" Target="https://drive.google.com/file/d/1Z5mXJitN3GEqzFFDUOzmnp7EPfCLvv52/view" TargetMode="External"/><Relationship Id="rId2939" Type="http://schemas.openxmlformats.org/officeDocument/2006/relationships/hyperlink" Target="https://drive.google.com/file/d/1jkw-wKwGYRnhKCixPLZZvoT87MVypa1K/view" TargetMode="External"/><Relationship Id="rId1609" Type="http://schemas.openxmlformats.org/officeDocument/2006/relationships/hyperlink" Target="https://drive.google.com/file/d/1Mw78-6GlmseSutsLwV1tPYbs0nhLvTi_/view" TargetMode="External"/><Relationship Id="rId1631" Type="http://schemas.openxmlformats.org/officeDocument/2006/relationships/hyperlink" Target="https://drive.google.com/file/d/1CDmy0dIUry4m0sH3fjuw_5AIBNQeUet_/view" TargetMode="External"/><Relationship Id="rId2962" Type="http://schemas.openxmlformats.org/officeDocument/2006/relationships/hyperlink" Target="https://drive.google.com/file/d/10_Wg2N58msz49MJ2ATgkbwJCQv5BgEsK/view" TargetMode="External"/><Relationship Id="rId1632" Type="http://schemas.openxmlformats.org/officeDocument/2006/relationships/hyperlink" Target="https://drive.google.com/file/d/1Wb-_8Th4_z8qNHrhEGaI0fvfAkRe81eK/view" TargetMode="External"/><Relationship Id="rId2963" Type="http://schemas.openxmlformats.org/officeDocument/2006/relationships/hyperlink" Target="https://drive.google.com/file/d/1WEwZYl8YYKNUyuyMq8rgvst0CJAKzptZ/view" TargetMode="External"/><Relationship Id="rId1633" Type="http://schemas.openxmlformats.org/officeDocument/2006/relationships/hyperlink" Target="https://drive.google.com/file/d/1Skgk0r14hYRGPVXzSOhI7ATJl6jsWR2Q/view" TargetMode="External"/><Relationship Id="rId2964" Type="http://schemas.openxmlformats.org/officeDocument/2006/relationships/hyperlink" Target="https://drive.google.com/file/d/16R8iVBnLydFFax_WPiLPW6CtSmPL4qn4/view" TargetMode="External"/><Relationship Id="rId1634" Type="http://schemas.openxmlformats.org/officeDocument/2006/relationships/hyperlink" Target="https://drive.google.com/file/d/1qBsLDo1isbaeI-KUg5g_lstauXpiXf6P/view" TargetMode="External"/><Relationship Id="rId2965" Type="http://schemas.openxmlformats.org/officeDocument/2006/relationships/hyperlink" Target="https://drive.google.com/file/d/1j5eSROfGwoX6NdmndynilgPtU_TJV_px/view" TargetMode="External"/><Relationship Id="rId1635" Type="http://schemas.openxmlformats.org/officeDocument/2006/relationships/hyperlink" Target="https://drive.google.com/file/d/18NdX3CpuCn-0a_o1POIUUX1H-wAuR4SL/view" TargetMode="External"/><Relationship Id="rId2966" Type="http://schemas.openxmlformats.org/officeDocument/2006/relationships/hyperlink" Target="https://drive.google.com/file/d/1HoepVrawBfiEqqfsgIKeqNoCDV35cwOt/view" TargetMode="External"/><Relationship Id="rId1636" Type="http://schemas.openxmlformats.org/officeDocument/2006/relationships/hyperlink" Target="https://drive.google.com/file/d/1Wa5vjK2Knb_E4qOt21runRkd65iWrDXO/view" TargetMode="External"/><Relationship Id="rId2967" Type="http://schemas.openxmlformats.org/officeDocument/2006/relationships/hyperlink" Target="https://drive.google.com/file/d/1RB4arPPPTpdKN2jNeWtmiVjh8yKvCBqD/view" TargetMode="External"/><Relationship Id="rId1637" Type="http://schemas.openxmlformats.org/officeDocument/2006/relationships/hyperlink" Target="https://drive.google.com/file/d/1Jgr6C5y7JqpqteOYg3daoG_eyeaf4YpC/view" TargetMode="External"/><Relationship Id="rId2968" Type="http://schemas.openxmlformats.org/officeDocument/2006/relationships/hyperlink" Target="https://drive.google.com/file/d/1S2Ak4vbBir17Y7Larnp7ibiAWAUHxrqw/view" TargetMode="External"/><Relationship Id="rId1638" Type="http://schemas.openxmlformats.org/officeDocument/2006/relationships/hyperlink" Target="https://drive.google.com/file/d/1CDmy0dIUry4m0sH3fjuw_5AIBNQeUet_/view" TargetMode="External"/><Relationship Id="rId2969" Type="http://schemas.openxmlformats.org/officeDocument/2006/relationships/hyperlink" Target="https://drive.google.com/file/d/1seUYTPc7rdU49DIyvxj8rPfAtE_BqzuB/view" TargetMode="External"/><Relationship Id="rId929" Type="http://schemas.openxmlformats.org/officeDocument/2006/relationships/hyperlink" Target="https://drive.google.com/file/d/1SrLYLThswX-pacFqJpdGUkYNNETZeWuO/view" TargetMode="External"/><Relationship Id="rId1639" Type="http://schemas.openxmlformats.org/officeDocument/2006/relationships/hyperlink" Target="https://drive.google.com/file/d/1Wb-_8Th4_z8qNHrhEGaI0fvfAkRe81eK/view" TargetMode="External"/><Relationship Id="rId928" Type="http://schemas.openxmlformats.org/officeDocument/2006/relationships/hyperlink" Target="https://drive.google.com/file/d/1jSNrOdKLkz6eEW-7ZF-xXrMi1lbEo9dy/view" TargetMode="External"/><Relationship Id="rId927" Type="http://schemas.openxmlformats.org/officeDocument/2006/relationships/hyperlink" Target="https://drive.google.com/file/d/1teUhCrDqdj8oetpb78Rfs8vJrJgChWF4/view" TargetMode="External"/><Relationship Id="rId926" Type="http://schemas.openxmlformats.org/officeDocument/2006/relationships/hyperlink" Target="https://drive.google.com/file/d/1oA2azsg7ON8RpqvY-Eq5lfi6I5LdWhL4/view" TargetMode="External"/><Relationship Id="rId921" Type="http://schemas.openxmlformats.org/officeDocument/2006/relationships/hyperlink" Target="https://drive.google.com/file/d/1SrLYLThswX-pacFqJpdGUkYNNETZeWuO/view" TargetMode="External"/><Relationship Id="rId920" Type="http://schemas.openxmlformats.org/officeDocument/2006/relationships/hyperlink" Target="https://drive.google.com/file/d/1zxE6OjdrQY2FyDQoGUs2ESZpGSlqB3iA/view" TargetMode="External"/><Relationship Id="rId925" Type="http://schemas.openxmlformats.org/officeDocument/2006/relationships/hyperlink" Target="https://drive.google.com/file/d/1SrLYLThswX-pacFqJpdGUkYNNETZeWuO/view" TargetMode="External"/><Relationship Id="rId924" Type="http://schemas.openxmlformats.org/officeDocument/2006/relationships/hyperlink" Target="https://drive.google.com/file/d/1BSh8ScZD5NvTUhXHLeCu1EO3l3MF96TK/view" TargetMode="External"/><Relationship Id="rId923" Type="http://schemas.openxmlformats.org/officeDocument/2006/relationships/hyperlink" Target="https://drive.google.com/file/d/1kUtUTrqKMytAtvJgs3iQnw8u6soXKn42/view" TargetMode="External"/><Relationship Id="rId922" Type="http://schemas.openxmlformats.org/officeDocument/2006/relationships/hyperlink" Target="https://drive.google.com/file/d/1oA2azsg7ON8RpqvY-Eq5lfi6I5LdWhL4/view" TargetMode="External"/><Relationship Id="rId2960" Type="http://schemas.openxmlformats.org/officeDocument/2006/relationships/hyperlink" Target="https://drive.google.com/file/d/1IUejnI8_uhq5Mr9uBk4tiUsQzXYC_pDp/view" TargetMode="External"/><Relationship Id="rId1630" Type="http://schemas.openxmlformats.org/officeDocument/2006/relationships/hyperlink" Target="https://drive.google.com/file/d/1Jgr6C5y7JqpqteOYg3daoG_eyeaf4YpC/view" TargetMode="External"/><Relationship Id="rId2961" Type="http://schemas.openxmlformats.org/officeDocument/2006/relationships/hyperlink" Target="https://drive.google.com/file/d/1-VTFa8yZv4hVatfhdppIJrjFlPsfGl4c/view" TargetMode="External"/><Relationship Id="rId1620" Type="http://schemas.openxmlformats.org/officeDocument/2006/relationships/hyperlink" Target="https://drive.google.com/file/d/1JvarT7AfEiYWcva4-y7ZBQwkXK8vnkDZ/view" TargetMode="External"/><Relationship Id="rId2951" Type="http://schemas.openxmlformats.org/officeDocument/2006/relationships/hyperlink" Target="https://drive.google.com/file/d/1-HIRP0woMh9CYeAI8z4QuHJ_buPVXMJ9/view" TargetMode="External"/><Relationship Id="rId1621" Type="http://schemas.openxmlformats.org/officeDocument/2006/relationships/hyperlink" Target="https://drive.google.com/file/d/13-A6lMrn0TOghuhoYJkp6wUYTg6eWmI3/view" TargetMode="External"/><Relationship Id="rId2952" Type="http://schemas.openxmlformats.org/officeDocument/2006/relationships/hyperlink" Target="https://drive.google.com/file/d/10_92G9Q2XbzhLIvSdmGQH2kYLv4VMckv/view" TargetMode="External"/><Relationship Id="rId1622" Type="http://schemas.openxmlformats.org/officeDocument/2006/relationships/hyperlink" Target="https://drive.google.com/file/d/1Z5mXJitN3GEqzFFDUOzmnp7EPfCLvv52/view" TargetMode="External"/><Relationship Id="rId2953" Type="http://schemas.openxmlformats.org/officeDocument/2006/relationships/hyperlink" Target="https://drive.google.com/file/d/1IUejnI8_uhq5Mr9uBk4tiUsQzXYC_pDp/view" TargetMode="External"/><Relationship Id="rId1623" Type="http://schemas.openxmlformats.org/officeDocument/2006/relationships/hyperlink" Target="https://drive.google.com/file/d/1Mw78-6GlmseSutsLwV1tPYbs0nhLvTi_/view" TargetMode="External"/><Relationship Id="rId2954" Type="http://schemas.openxmlformats.org/officeDocument/2006/relationships/hyperlink" Target="https://drive.google.com/file/d/1-VTFa8yZv4hVatfhdppIJrjFlPsfGl4c/view" TargetMode="External"/><Relationship Id="rId1624" Type="http://schemas.openxmlformats.org/officeDocument/2006/relationships/hyperlink" Target="https://drive.google.com/file/d/1CDmy0dIUry4m0sH3fjuw_5AIBNQeUet_/view" TargetMode="External"/><Relationship Id="rId2955" Type="http://schemas.openxmlformats.org/officeDocument/2006/relationships/hyperlink" Target="https://drive.google.com/file/d/10_Wg2N58msz49MJ2ATgkbwJCQv5BgEsK/view" TargetMode="External"/><Relationship Id="rId1625" Type="http://schemas.openxmlformats.org/officeDocument/2006/relationships/hyperlink" Target="https://drive.google.com/file/d/1gGUQnLpIpeAtEL7SC8EZMUHkn3kNtXvN/view" TargetMode="External"/><Relationship Id="rId2956" Type="http://schemas.openxmlformats.org/officeDocument/2006/relationships/hyperlink" Target="https://drive.google.com/file/d/1WEwZYl8YYKNUyuyMq8rgvst0CJAKzptZ/view" TargetMode="External"/><Relationship Id="rId1626" Type="http://schemas.openxmlformats.org/officeDocument/2006/relationships/hyperlink" Target="https://drive.google.com/file/d/1YR44dd8ywNsbMHprADGp5r-Efe3MvF1T/view" TargetMode="External"/><Relationship Id="rId2957" Type="http://schemas.openxmlformats.org/officeDocument/2006/relationships/hyperlink" Target="https://drive.google.com/file/d/1-wlP9dGbQ7II-nx5cdY4UkQAQMXyJIJh/view" TargetMode="External"/><Relationship Id="rId1627" Type="http://schemas.openxmlformats.org/officeDocument/2006/relationships/hyperlink" Target="https://drive.google.com/file/d/1JvarT7AfEiYWcva4-y7ZBQwkXK8vnkDZ/view" TargetMode="External"/><Relationship Id="rId2958" Type="http://schemas.openxmlformats.org/officeDocument/2006/relationships/hyperlink" Target="https://drive.google.com/file/d/1tfqzRw0KPI2t_pPp2EzYAnf_0F9cfIGy/view" TargetMode="External"/><Relationship Id="rId918" Type="http://schemas.openxmlformats.org/officeDocument/2006/relationships/hyperlink" Target="https://drive.google.com/file/d/1kUtUTrqKMytAtvJgs3iQnw8u6soXKn42/view" TargetMode="External"/><Relationship Id="rId1628" Type="http://schemas.openxmlformats.org/officeDocument/2006/relationships/hyperlink" Target="https://drive.google.com/file/d/13-A6lMrn0TOghuhoYJkp6wUYTg6eWmI3/view" TargetMode="External"/><Relationship Id="rId2959" Type="http://schemas.openxmlformats.org/officeDocument/2006/relationships/hyperlink" Target="https://drive.google.com/file/d/10_92G9Q2XbzhLIvSdmGQH2kYLv4VMckv/view" TargetMode="External"/><Relationship Id="rId917" Type="http://schemas.openxmlformats.org/officeDocument/2006/relationships/hyperlink" Target="https://drive.google.com/file/d/1gI8Sbs3ANkI7uQ45L4ZFJPEoZT7yHJbv/view" TargetMode="External"/><Relationship Id="rId1629" Type="http://schemas.openxmlformats.org/officeDocument/2006/relationships/hyperlink" Target="https://drive.google.com/file/d/1Wa5vjK2Knb_E4qOt21runRkd65iWrDXO/view" TargetMode="External"/><Relationship Id="rId916" Type="http://schemas.openxmlformats.org/officeDocument/2006/relationships/hyperlink" Target="https://drive.google.com/file/d/15BqH_D4Jzblhwq-FhwZUVkB0ouHf_hU1/view" TargetMode="External"/><Relationship Id="rId915" Type="http://schemas.openxmlformats.org/officeDocument/2006/relationships/hyperlink" Target="https://drive.google.com/file/d/1N1oBunh0S3NhQA96FpCb5n_VggSnqWkY/view" TargetMode="External"/><Relationship Id="rId919" Type="http://schemas.openxmlformats.org/officeDocument/2006/relationships/hyperlink" Target="https://drive.google.com/file/d/1BSh8ScZD5NvTUhXHLeCu1EO3l3MF96TK/view" TargetMode="External"/><Relationship Id="rId910" Type="http://schemas.openxmlformats.org/officeDocument/2006/relationships/hyperlink" Target="https://drive.google.com/file/d/1U5zXiBUuiFaL-ZGInSyRfb32YK5MTQnZ/view" TargetMode="External"/><Relationship Id="rId914" Type="http://schemas.openxmlformats.org/officeDocument/2006/relationships/hyperlink" Target="https://drive.google.com/file/d/1_c_5_xtdYpvZnlK_dQ2GNgqfYeT4I7oc/view" TargetMode="External"/><Relationship Id="rId913" Type="http://schemas.openxmlformats.org/officeDocument/2006/relationships/hyperlink" Target="https://drive.google.com/file/d/1gI8Sbs3ANkI7uQ45L4ZFJPEoZT7yHJbv/view" TargetMode="External"/><Relationship Id="rId912" Type="http://schemas.openxmlformats.org/officeDocument/2006/relationships/hyperlink" Target="https://drive.google.com/file/d/15BqH_D4Jzblhwq-FhwZUVkB0ouHf_hU1/view" TargetMode="External"/><Relationship Id="rId911" Type="http://schemas.openxmlformats.org/officeDocument/2006/relationships/hyperlink" Target="https://drive.google.com/file/d/16YCYuC8qfUW7gZjJVLoVmOtFS4Rk4Ma_/view" TargetMode="External"/><Relationship Id="rId2950" Type="http://schemas.openxmlformats.org/officeDocument/2006/relationships/hyperlink" Target="https://drive.google.com/file/d/1GE8Xhs-yiNHLf1eXOORGyPV1ls3oBBfg/view" TargetMode="External"/><Relationship Id="rId2900" Type="http://schemas.openxmlformats.org/officeDocument/2006/relationships/hyperlink" Target="https://drive.google.com/file/d/1PALxRH19ROcGqby6JPB6MLC9i1xth_8X/view" TargetMode="External"/><Relationship Id="rId2901" Type="http://schemas.openxmlformats.org/officeDocument/2006/relationships/hyperlink" Target="https://drive.google.com/file/d/1o2ax2ayBtR-m7uKrTcGpTh479eZir80D/view" TargetMode="External"/><Relationship Id="rId2902" Type="http://schemas.openxmlformats.org/officeDocument/2006/relationships/hyperlink" Target="https://drive.google.com/file/d/1nofrwAbIn_gehKRY-Z4eFk2k3MSYkgHu/view" TargetMode="External"/><Relationship Id="rId2903" Type="http://schemas.openxmlformats.org/officeDocument/2006/relationships/hyperlink" Target="https://drive.google.com/file/d/10d94RQ20Yl6_vAr_Wruc0qqi4bi4I94e/view" TargetMode="External"/><Relationship Id="rId2904" Type="http://schemas.openxmlformats.org/officeDocument/2006/relationships/hyperlink" Target="https://drive.google.com/file/d/1P7GfRv-omtzcluXq7ImKLQPgl9cA2Rcs/view" TargetMode="External"/><Relationship Id="rId2905" Type="http://schemas.openxmlformats.org/officeDocument/2006/relationships/hyperlink" Target="https://drive.google.com/file/d/1X8ihgj-cx1lZFEmTiamdU9SntJqba3Sy/view" TargetMode="External"/><Relationship Id="rId2906" Type="http://schemas.openxmlformats.org/officeDocument/2006/relationships/hyperlink" Target="https://drive.google.com/file/d/16egu4Jzgnr5Nobthk05eNuRg3BSlIW7G/view" TargetMode="External"/><Relationship Id="rId2907" Type="http://schemas.openxmlformats.org/officeDocument/2006/relationships/hyperlink" Target="https://drive.google.com/file/d/1mZOBMQzhxUMrb9k3lajwjTueAlyZONZW/view" TargetMode="External"/><Relationship Id="rId2908" Type="http://schemas.openxmlformats.org/officeDocument/2006/relationships/hyperlink" Target="https://drive.google.com/file/d/1o2ax2ayBtR-m7uKrTcGpTh479eZir80D/view" TargetMode="External"/><Relationship Id="rId2909" Type="http://schemas.openxmlformats.org/officeDocument/2006/relationships/hyperlink" Target="https://drive.google.com/file/d/1nofrwAbIn_gehKRY-Z4eFk2k3MSYkgHu/view" TargetMode="External"/><Relationship Id="rId2920" Type="http://schemas.openxmlformats.org/officeDocument/2006/relationships/hyperlink" Target="https://drive.google.com/file/d/16egu4Jzgnr5Nobthk05eNuRg3BSlIW7G/view" TargetMode="External"/><Relationship Id="rId2921" Type="http://schemas.openxmlformats.org/officeDocument/2006/relationships/hyperlink" Target="https://drive.google.com/file/d/1mZOBMQzhxUMrb9k3lajwjTueAlyZONZW/view" TargetMode="External"/><Relationship Id="rId2922" Type="http://schemas.openxmlformats.org/officeDocument/2006/relationships/hyperlink" Target="https://drive.google.com/file/d/1UgARzNw6QfhTXHjNYeYE1aeh4N7Ugtvs/view" TargetMode="External"/><Relationship Id="rId2923" Type="http://schemas.openxmlformats.org/officeDocument/2006/relationships/hyperlink" Target="https://drive.google.com/file/d/1WiGDcehBvLzkeGHT6zBJkEAk0qT5a4mC/view" TargetMode="External"/><Relationship Id="rId2924" Type="http://schemas.openxmlformats.org/officeDocument/2006/relationships/hyperlink" Target="https://drive.google.com/file/d/1fv6jOqLnzaOxRHLWaTwWCdTN3LaufyBC/view" TargetMode="External"/><Relationship Id="rId2925" Type="http://schemas.openxmlformats.org/officeDocument/2006/relationships/hyperlink" Target="https://drive.google.com/file/d/1jkw-wKwGYRnhKCixPLZZvoT87MVypa1K/view" TargetMode="External"/><Relationship Id="rId2926" Type="http://schemas.openxmlformats.org/officeDocument/2006/relationships/hyperlink" Target="https://drive.google.com/file/d/1gfw9VWGTBBzum3oI2l9EqRC880qNqhng/view" TargetMode="External"/><Relationship Id="rId2927" Type="http://schemas.openxmlformats.org/officeDocument/2006/relationships/hyperlink" Target="https://drive.google.com/file/d/1jo59Fz2orJYIjrPV6EXn87gwJKwa1KBZ/view" TargetMode="External"/><Relationship Id="rId2928" Type="http://schemas.openxmlformats.org/officeDocument/2006/relationships/hyperlink" Target="https://drive.google.com/file/d/1lWaR6U1rVUj8XDzqcmibVZd1H2FNVxQh/view" TargetMode="External"/><Relationship Id="rId2929" Type="http://schemas.openxmlformats.org/officeDocument/2006/relationships/hyperlink" Target="https://drive.google.com/file/d/1UgARzNw6QfhTXHjNYeYE1aeh4N7Ugtvs/view" TargetMode="External"/><Relationship Id="rId2910" Type="http://schemas.openxmlformats.org/officeDocument/2006/relationships/hyperlink" Target="https://drive.google.com/file/d/10d94RQ20Yl6_vAr_Wruc0qqi4bi4I94e/view" TargetMode="External"/><Relationship Id="rId2911" Type="http://schemas.openxmlformats.org/officeDocument/2006/relationships/hyperlink" Target="https://drive.google.com/file/d/1P7GfRv-omtzcluXq7ImKLQPgl9cA2Rcs/view" TargetMode="External"/><Relationship Id="rId2912" Type="http://schemas.openxmlformats.org/officeDocument/2006/relationships/hyperlink" Target="https://drive.google.com/file/d/1X8ihgj-cx1lZFEmTiamdU9SntJqba3Sy/view" TargetMode="External"/><Relationship Id="rId2913" Type="http://schemas.openxmlformats.org/officeDocument/2006/relationships/hyperlink" Target="https://drive.google.com/file/d/16egu4Jzgnr5Nobthk05eNuRg3BSlIW7G/view" TargetMode="External"/><Relationship Id="rId2914" Type="http://schemas.openxmlformats.org/officeDocument/2006/relationships/hyperlink" Target="https://drive.google.com/file/d/1mZOBMQzhxUMrb9k3lajwjTueAlyZONZW/view" TargetMode="External"/><Relationship Id="rId2915" Type="http://schemas.openxmlformats.org/officeDocument/2006/relationships/hyperlink" Target="https://drive.google.com/file/d/11ZKBjAnKgyPxl0W3-PACwXPzRscEQEUD/view" TargetMode="External"/><Relationship Id="rId2916" Type="http://schemas.openxmlformats.org/officeDocument/2006/relationships/hyperlink" Target="https://drive.google.com/file/d/1Jjm914Kop2FpEkuUUv0tF4ZLMPJAdWYF/view" TargetMode="External"/><Relationship Id="rId2917" Type="http://schemas.openxmlformats.org/officeDocument/2006/relationships/hyperlink" Target="https://drive.google.com/file/d/10d94RQ20Yl6_vAr_Wruc0qqi4bi4I94e/view" TargetMode="External"/><Relationship Id="rId2918" Type="http://schemas.openxmlformats.org/officeDocument/2006/relationships/hyperlink" Target="https://drive.google.com/file/d/1P7GfRv-omtzcluXq7ImKLQPgl9cA2Rcs/view" TargetMode="External"/><Relationship Id="rId2919" Type="http://schemas.openxmlformats.org/officeDocument/2006/relationships/hyperlink" Target="https://drive.google.com/file/d/1X8ihgj-cx1lZFEmTiamdU9SntJqba3Sy/view" TargetMode="External"/><Relationship Id="rId1697" Type="http://schemas.openxmlformats.org/officeDocument/2006/relationships/hyperlink" Target="https://drive.google.com/file/d/19lTOcTjLRoE68ehoE7AS1dAg2znIYDu8/view" TargetMode="External"/><Relationship Id="rId1698" Type="http://schemas.openxmlformats.org/officeDocument/2006/relationships/hyperlink" Target="https://drive.google.com/file/d/1fM53G61YtPpKSLVuG7hwqfhraTJrFKqF/view" TargetMode="External"/><Relationship Id="rId1699" Type="http://schemas.openxmlformats.org/officeDocument/2006/relationships/hyperlink" Target="https://drive.google.com/file/d/1NMKSkAgzSQPkY8whcJODC5dsjJYTIIfO/view" TargetMode="External"/><Relationship Id="rId866" Type="http://schemas.openxmlformats.org/officeDocument/2006/relationships/hyperlink" Target="https://drive.google.com/file/d/1ka6agK0pQptIZqmfHlIe5bTsDdfjz3NE/view" TargetMode="External"/><Relationship Id="rId865" Type="http://schemas.openxmlformats.org/officeDocument/2006/relationships/hyperlink" Target="https://drive.google.com/file/d/1AVD06AO9XRHMc6JkLU6XOOQLPj5iYiQ0/view" TargetMode="External"/><Relationship Id="rId864" Type="http://schemas.openxmlformats.org/officeDocument/2006/relationships/hyperlink" Target="https://drive.google.com/file/d/1-WMKCyiqbzCr2DbZtczvZn5vOpAyJzl6/view" TargetMode="External"/><Relationship Id="rId863" Type="http://schemas.openxmlformats.org/officeDocument/2006/relationships/hyperlink" Target="https://drive.google.com/file/d/1Cj8tptzKvsKa4Yt4miHxGry6ywadlTRj/view" TargetMode="External"/><Relationship Id="rId869" Type="http://schemas.openxmlformats.org/officeDocument/2006/relationships/hyperlink" Target="https://drive.google.com/file/d/1uqcIAlxyl8xQtOETzh_kMvODMn5EGygP/view" TargetMode="External"/><Relationship Id="rId868" Type="http://schemas.openxmlformats.org/officeDocument/2006/relationships/hyperlink" Target="https://drive.google.com/file/d/1zxE6OjdrQY2FyDQoGUs2ESZpGSlqB3iA/view" TargetMode="External"/><Relationship Id="rId867" Type="http://schemas.openxmlformats.org/officeDocument/2006/relationships/hyperlink" Target="https://drive.google.com/file/d/1CZLoOqZ6OGawe93by03xOWy9B1JFwpnv/view" TargetMode="External"/><Relationship Id="rId1690" Type="http://schemas.openxmlformats.org/officeDocument/2006/relationships/hyperlink" Target="https://drive.google.com/file/d/1Fs787_vtvzZk2-gne9kfnM_ksGXMq8JT/view" TargetMode="External"/><Relationship Id="rId1691" Type="http://schemas.openxmlformats.org/officeDocument/2006/relationships/hyperlink" Target="https://drive.google.com/file/d/1fM53G61YtPpKSLVuG7hwqfhraTJrFKqF/view" TargetMode="External"/><Relationship Id="rId1692" Type="http://schemas.openxmlformats.org/officeDocument/2006/relationships/hyperlink" Target="https://drive.google.com/file/d/1NMKSkAgzSQPkY8whcJODC5dsjJYTIIfO/view" TargetMode="External"/><Relationship Id="rId862" Type="http://schemas.openxmlformats.org/officeDocument/2006/relationships/hyperlink" Target="https://drive.google.com/file/d/1ZWYAvd3Iyje1qkSrKmpmPCohUtcZUD5q/view" TargetMode="External"/><Relationship Id="rId1693" Type="http://schemas.openxmlformats.org/officeDocument/2006/relationships/hyperlink" Target="https://drive.google.com/file/d/14F_ei38-wacqm5F8XsFA3UVDt2i8y7-n/view" TargetMode="External"/><Relationship Id="rId861" Type="http://schemas.openxmlformats.org/officeDocument/2006/relationships/hyperlink" Target="https://drive.google.com/file/d/1zxE6OjdrQY2FyDQoGUs2ESZpGSlqB3iA/view" TargetMode="External"/><Relationship Id="rId1694" Type="http://schemas.openxmlformats.org/officeDocument/2006/relationships/hyperlink" Target="https://drive.google.com/file/d/11dKbwIgva02CnaUexN6SQ1tIWNhrZmyi/view" TargetMode="External"/><Relationship Id="rId860" Type="http://schemas.openxmlformats.org/officeDocument/2006/relationships/hyperlink" Target="https://drive.google.com/file/d/1Cj8tptzKvsKa4Yt4miHxGry6ywadlTRj/view" TargetMode="External"/><Relationship Id="rId1695" Type="http://schemas.openxmlformats.org/officeDocument/2006/relationships/hyperlink" Target="https://drive.google.com/file/d/1MTR8zic1X14wLEFKEj8o7ZBfjQhqATv2/view" TargetMode="External"/><Relationship Id="rId1696" Type="http://schemas.openxmlformats.org/officeDocument/2006/relationships/hyperlink" Target="https://drive.google.com/file/d/1EjdRSor28we9ey8U-lGi7byLj4DpflKm/view" TargetMode="External"/><Relationship Id="rId1686" Type="http://schemas.openxmlformats.org/officeDocument/2006/relationships/hyperlink" Target="https://drive.google.com/file/d/1qjZccA4ZhU5Y7L9QsnC9KDUn6ufYcNdz/view" TargetMode="External"/><Relationship Id="rId1687" Type="http://schemas.openxmlformats.org/officeDocument/2006/relationships/hyperlink" Target="https://drive.google.com/file/d/18FScGOHkYDYM73MkA9oicKil7xVAYg9e/view" TargetMode="External"/><Relationship Id="rId1688" Type="http://schemas.openxmlformats.org/officeDocument/2006/relationships/hyperlink" Target="https://drive.google.com/file/d/1yVYydrgTpsX8aYI-S3f3m4urxi2zadwE/view" TargetMode="External"/><Relationship Id="rId1689" Type="http://schemas.openxmlformats.org/officeDocument/2006/relationships/hyperlink" Target="https://drive.google.com/file/d/10j0iVerzTFFmne3Kayv1ttC5xIQuRwAR/view" TargetMode="External"/><Relationship Id="rId855" Type="http://schemas.openxmlformats.org/officeDocument/2006/relationships/hyperlink" Target="https://drive.google.com/file/d/1n88LejY6CpNvz2vbBMrMJ_X8TSkHv2FC/view" TargetMode="External"/><Relationship Id="rId854" Type="http://schemas.openxmlformats.org/officeDocument/2006/relationships/hyperlink" Target="https://drive.google.com/file/d/17AZRS6FZHbnwgzKuvR2MVtkfTm-8bfLm/view" TargetMode="External"/><Relationship Id="rId853" Type="http://schemas.openxmlformats.org/officeDocument/2006/relationships/hyperlink" Target="https://drive.google.com/file/d/16zOD_Jw2cza_gpBNeIR3qKjBEjY0jzwC/view" TargetMode="External"/><Relationship Id="rId852" Type="http://schemas.openxmlformats.org/officeDocument/2006/relationships/hyperlink" Target="https://drive.google.com/file/d/1n88LejY6CpNvz2vbBMrMJ_X8TSkHv2FC/view" TargetMode="External"/><Relationship Id="rId859" Type="http://schemas.openxmlformats.org/officeDocument/2006/relationships/hyperlink" Target="https://drive.google.com/file/d/1ZWYAvd3Iyje1qkSrKmpmPCohUtcZUD5q/view" TargetMode="External"/><Relationship Id="rId858" Type="http://schemas.openxmlformats.org/officeDocument/2006/relationships/hyperlink" Target="https://drive.google.com/file/d/1n88LejY6CpNvz2vbBMrMJ_X8TSkHv2FC/view" TargetMode="External"/><Relationship Id="rId857" Type="http://schemas.openxmlformats.org/officeDocument/2006/relationships/hyperlink" Target="https://drive.google.com/file/d/1DkRbEf_wjbTD4S8lNBpgPF5ShyYiVD9G/view" TargetMode="External"/><Relationship Id="rId856" Type="http://schemas.openxmlformats.org/officeDocument/2006/relationships/hyperlink" Target="https://drive.google.com/file/d/1rOQ6C8SKE0kbhLEcygKW-9WE-xXWFaxC/view" TargetMode="External"/><Relationship Id="rId1680" Type="http://schemas.openxmlformats.org/officeDocument/2006/relationships/hyperlink" Target="https://drive.google.com/file/d/10EQJWGxTT5iSr0FSm5qAdFWP3kC3Xp9s/view" TargetMode="External"/><Relationship Id="rId1681" Type="http://schemas.openxmlformats.org/officeDocument/2006/relationships/hyperlink" Target="https://drive.google.com/file/d/14ABbC0j4Ap8ZgCV-eTGMF3t9Tv_BAD0r/view" TargetMode="External"/><Relationship Id="rId851" Type="http://schemas.openxmlformats.org/officeDocument/2006/relationships/hyperlink" Target="https://drive.google.com/file/d/1zxE6OjdrQY2FyDQoGUs2ESZpGSlqB3iA/view" TargetMode="External"/><Relationship Id="rId1682" Type="http://schemas.openxmlformats.org/officeDocument/2006/relationships/hyperlink" Target="https://drive.google.com/file/d/1uUPLwQp6S4J1n7l26kNhmAYii4HYOGPP/view" TargetMode="External"/><Relationship Id="rId850" Type="http://schemas.openxmlformats.org/officeDocument/2006/relationships/hyperlink" Target="https://drive.google.com/file/d/17AZRS6FZHbnwgzKuvR2MVtkfTm-8bfLm/view" TargetMode="External"/><Relationship Id="rId1683" Type="http://schemas.openxmlformats.org/officeDocument/2006/relationships/hyperlink" Target="https://drive.google.com/file/d/1ZFynMQVEm7V44OCldLejlhpQj2IvJENV/view" TargetMode="External"/><Relationship Id="rId1684" Type="http://schemas.openxmlformats.org/officeDocument/2006/relationships/hyperlink" Target="https://drive.google.com/file/d/1CSSsWQJ3s8FJ-TMDkjZNlvVQP89Wk7C-/view" TargetMode="External"/><Relationship Id="rId1685" Type="http://schemas.openxmlformats.org/officeDocument/2006/relationships/hyperlink" Target="https://drive.google.com/file/d/1Li5n94yQ9Ne5f2jwJ-bxVlpbZTWObWUV/view" TargetMode="External"/><Relationship Id="rId3414" Type="http://schemas.openxmlformats.org/officeDocument/2006/relationships/hyperlink" Target="https://drive.google.com/file/d/1xgZmbJdDYbQTzRe7L86AaZLvOrz5ZR-L/view" TargetMode="External"/><Relationship Id="rId3413" Type="http://schemas.openxmlformats.org/officeDocument/2006/relationships/hyperlink" Target="https://drive.google.com/file/d/1RuRpPr-B7BD8lWgUZ0WsE6MYdzoCGhD7/view" TargetMode="External"/><Relationship Id="rId3416" Type="http://schemas.openxmlformats.org/officeDocument/2006/relationships/hyperlink" Target="https://drive.google.com/file/d/19Wu3tNQ1aTI5AxDn_AyWwSFD9xViAbCy/view" TargetMode="External"/><Relationship Id="rId3415" Type="http://schemas.openxmlformats.org/officeDocument/2006/relationships/hyperlink" Target="https://drive.google.com/file/d/1Bp3WgJtfZQoBbMUXWqNxfO7Ti_SR2Cr3/view" TargetMode="External"/><Relationship Id="rId3418" Type="http://schemas.openxmlformats.org/officeDocument/2006/relationships/hyperlink" Target="https://drive.google.com/file/d/1PHPnxxuzziy3db4W1MAGc4K1Ngxv9Iwj/view" TargetMode="External"/><Relationship Id="rId3417" Type="http://schemas.openxmlformats.org/officeDocument/2006/relationships/hyperlink" Target="https://drive.google.com/file/d/1VeP2cNBu_udC-RibeKIzsJDqDTxmPY1A/view" TargetMode="External"/><Relationship Id="rId3419" Type="http://schemas.openxmlformats.org/officeDocument/2006/relationships/hyperlink" Target="https://drive.google.com/file/d/1rh-2WLtN1NydRuenFJGKT87h9CLG1sIr/view" TargetMode="External"/><Relationship Id="rId888" Type="http://schemas.openxmlformats.org/officeDocument/2006/relationships/hyperlink" Target="https://drive.google.com/file/d/1Q7tXExjLKfbfQqWnnZzsfAuvTIn7Xsjv/view" TargetMode="External"/><Relationship Id="rId887" Type="http://schemas.openxmlformats.org/officeDocument/2006/relationships/hyperlink" Target="https://drive.google.com/file/d/1WHQ_LdPVR7udOmN7S-kYFzuxapzZw2in/view" TargetMode="External"/><Relationship Id="rId886" Type="http://schemas.openxmlformats.org/officeDocument/2006/relationships/hyperlink" Target="https://drive.google.com/file/d/1j_z-9rJreJ7fjUSGeDsiwXjB3mP4ppeQ/view" TargetMode="External"/><Relationship Id="rId885" Type="http://schemas.openxmlformats.org/officeDocument/2006/relationships/hyperlink" Target="https://drive.google.com/file/d/1P44bY2aNkfxQwq_ku9Uzgh4n0XRvY87T/view" TargetMode="External"/><Relationship Id="rId889" Type="http://schemas.openxmlformats.org/officeDocument/2006/relationships/hyperlink" Target="https://drive.google.com/file/d/1y4UnfGH0sAKoHrOQbDsx9h5kHimrOamb/view" TargetMode="External"/><Relationship Id="rId880" Type="http://schemas.openxmlformats.org/officeDocument/2006/relationships/hyperlink" Target="https://drive.google.com/file/d/1P44bY2aNkfxQwq_ku9Uzgh4n0XRvY87T/view" TargetMode="External"/><Relationship Id="rId884" Type="http://schemas.openxmlformats.org/officeDocument/2006/relationships/hyperlink" Target="https://drive.google.com/file/d/1W-OEw2hnaZUHJa6A7_ZlTTVWGwqTwifY/view" TargetMode="External"/><Relationship Id="rId3410" Type="http://schemas.openxmlformats.org/officeDocument/2006/relationships/hyperlink" Target="https://drive.google.com/file/d/1zhMHqTL0eZ6cKYYNoyjl41vGSvv_vIe4/view" TargetMode="External"/><Relationship Id="rId883" Type="http://schemas.openxmlformats.org/officeDocument/2006/relationships/hyperlink" Target="https://drive.google.com/file/d/1WHQ_LdPVR7udOmN7S-kYFzuxapzZw2in/view" TargetMode="External"/><Relationship Id="rId882" Type="http://schemas.openxmlformats.org/officeDocument/2006/relationships/hyperlink" Target="https://drive.google.com/file/d/1j_z-9rJreJ7fjUSGeDsiwXjB3mP4ppeQ/view" TargetMode="External"/><Relationship Id="rId3412" Type="http://schemas.openxmlformats.org/officeDocument/2006/relationships/hyperlink" Target="https://drive.google.com/file/d/1iw3yg7ZKR5b4fFBqIDCi_5LiQcxPm4N6/view" TargetMode="External"/><Relationship Id="rId881" Type="http://schemas.openxmlformats.org/officeDocument/2006/relationships/hyperlink" Target="https://drive.google.com/file/d/1zxE6OjdrQY2FyDQoGUs2ESZpGSlqB3iA/view" TargetMode="External"/><Relationship Id="rId3411" Type="http://schemas.openxmlformats.org/officeDocument/2006/relationships/hyperlink" Target="https://drive.google.com/file/d/1UmFXSXtgF-hVkoEenuhVywi-grvx3Swd/view" TargetMode="External"/><Relationship Id="rId3403" Type="http://schemas.openxmlformats.org/officeDocument/2006/relationships/hyperlink" Target="https://drive.google.com/file/d/1fo2GIR_bIOWOq9OYOBJcWaVFiGDtrZNM/view" TargetMode="External"/><Relationship Id="rId3402" Type="http://schemas.openxmlformats.org/officeDocument/2006/relationships/hyperlink" Target="https://drive.google.com/file/d/1jiBSaEW49yOJBFShLTWNkdjBSm060uVu/view" TargetMode="External"/><Relationship Id="rId3405" Type="http://schemas.openxmlformats.org/officeDocument/2006/relationships/hyperlink" Target="https://drive.google.com/file/d/1dC9dYuIqtDKEQhbTHQh43Dd8yWUzecm5/view" TargetMode="External"/><Relationship Id="rId3404" Type="http://schemas.openxmlformats.org/officeDocument/2006/relationships/hyperlink" Target="https://drive.google.com/file/d/12rgn7sDB9n1z1FofOOJvlWV6vvDcK7Rq/view" TargetMode="External"/><Relationship Id="rId3407" Type="http://schemas.openxmlformats.org/officeDocument/2006/relationships/hyperlink" Target="https://drive.google.com/file/d/1IllngONH1fcrfYEfn1HmWNc3mQxSOERG/view" TargetMode="External"/><Relationship Id="rId3406" Type="http://schemas.openxmlformats.org/officeDocument/2006/relationships/hyperlink" Target="https://drive.google.com/file/d/1RsyRFi8eEYoQTS87I9_fn09kNezXIGjN/view" TargetMode="External"/><Relationship Id="rId3409" Type="http://schemas.openxmlformats.org/officeDocument/2006/relationships/hyperlink" Target="https://drive.google.com/file/d/1jtfwBlcu4t_dB-q2iI990k_o8Q12IDql/view" TargetMode="External"/><Relationship Id="rId3408" Type="http://schemas.openxmlformats.org/officeDocument/2006/relationships/hyperlink" Target="https://drive.google.com/file/d/1XG6Mo8BTCrSDI_EBn9zBkDYJrpx9TUm7/view" TargetMode="External"/><Relationship Id="rId877" Type="http://schemas.openxmlformats.org/officeDocument/2006/relationships/hyperlink" Target="https://drive.google.com/file/d/1uqcIAlxyl8xQtOETzh_kMvODMn5EGygP/view" TargetMode="External"/><Relationship Id="rId876" Type="http://schemas.openxmlformats.org/officeDocument/2006/relationships/hyperlink" Target="https://drive.google.com/file/d/1OTdZWdTUtPHl0KdQqubSxThOLb8e4AbX/view" TargetMode="External"/><Relationship Id="rId875" Type="http://schemas.openxmlformats.org/officeDocument/2006/relationships/hyperlink" Target="https://drive.google.com/file/d/1LBO92WGER7HhWHSQ-amHszFSrJloSTYK/view" TargetMode="External"/><Relationship Id="rId874" Type="http://schemas.openxmlformats.org/officeDocument/2006/relationships/hyperlink" Target="https://drive.google.com/file/d/1I21_PE3Ef73mjQxxciAbRM4_eg36B8Wz/view" TargetMode="External"/><Relationship Id="rId879" Type="http://schemas.openxmlformats.org/officeDocument/2006/relationships/hyperlink" Target="https://drive.google.com/file/d/1W-OEw2hnaZUHJa6A7_ZlTTVWGwqTwifY/view" TargetMode="External"/><Relationship Id="rId878" Type="http://schemas.openxmlformats.org/officeDocument/2006/relationships/hyperlink" Target="https://drive.google.com/file/d/1I21_PE3Ef73mjQxxciAbRM4_eg36B8Wz/view" TargetMode="External"/><Relationship Id="rId873" Type="http://schemas.openxmlformats.org/officeDocument/2006/relationships/hyperlink" Target="https://drive.google.com/file/d/1uqcIAlxyl8xQtOETzh_kMvODMn5EGygP/view" TargetMode="External"/><Relationship Id="rId872" Type="http://schemas.openxmlformats.org/officeDocument/2006/relationships/hyperlink" Target="https://drive.google.com/file/d/1CZLoOqZ6OGawe93by03xOWy9B1JFwpnv/view" TargetMode="External"/><Relationship Id="rId871" Type="http://schemas.openxmlformats.org/officeDocument/2006/relationships/hyperlink" Target="https://drive.google.com/file/d/1ka6agK0pQptIZqmfHlIe5bTsDdfjz3NE/view" TargetMode="External"/><Relationship Id="rId3401" Type="http://schemas.openxmlformats.org/officeDocument/2006/relationships/hyperlink" Target="https://drive.google.com/file/d/1dhtMT3ca0vavDCkdpYjtsLU5i26QZ93U/view" TargetMode="External"/><Relationship Id="rId870" Type="http://schemas.openxmlformats.org/officeDocument/2006/relationships/hyperlink" Target="https://drive.google.com/file/d/1I21_PE3Ef73mjQxxciAbRM4_eg36B8Wz/view" TargetMode="External"/><Relationship Id="rId3400" Type="http://schemas.openxmlformats.org/officeDocument/2006/relationships/hyperlink" Target="https://drive.google.com/file/d/1GgrV3LjvYnuADDAJSapyOCvsh35bHdUv/view" TargetMode="External"/><Relationship Id="rId1653" Type="http://schemas.openxmlformats.org/officeDocument/2006/relationships/hyperlink" Target="https://drive.google.com/file/d/1Wb-_8Th4_z8qNHrhEGaI0fvfAkRe81eK/view" TargetMode="External"/><Relationship Id="rId2984" Type="http://schemas.openxmlformats.org/officeDocument/2006/relationships/hyperlink" Target="https://drive.google.com/file/d/171RQ6cX1za_-DGxeQm54FtadiXtz3H6n/view" TargetMode="External"/><Relationship Id="rId1654" Type="http://schemas.openxmlformats.org/officeDocument/2006/relationships/hyperlink" Target="https://drive.google.com/file/d/1i3Fc2ICYkZUnsM_phPxBeNFBTXpJVhI5/view" TargetMode="External"/><Relationship Id="rId2985" Type="http://schemas.openxmlformats.org/officeDocument/2006/relationships/hyperlink" Target="https://drive.google.com/file/d/1KZTFotwlnwsrWa0NuFeqVOGjphXYXAhr/view" TargetMode="External"/><Relationship Id="rId1655" Type="http://schemas.openxmlformats.org/officeDocument/2006/relationships/hyperlink" Target="https://drive.google.com/file/d/1qBsLDo1isbaeI-KUg5g_lstauXpiXf6P/view" TargetMode="External"/><Relationship Id="rId2986" Type="http://schemas.openxmlformats.org/officeDocument/2006/relationships/hyperlink" Target="https://drive.google.com/file/d/1MHj2KezNaspqhm5mGCADrHTnQ74_Lw8Z/view" TargetMode="External"/><Relationship Id="rId1656" Type="http://schemas.openxmlformats.org/officeDocument/2006/relationships/hyperlink" Target="https://drive.google.com/file/d/18NdX3CpuCn-0a_o1POIUUX1H-wAuR4SL/view" TargetMode="External"/><Relationship Id="rId2987" Type="http://schemas.openxmlformats.org/officeDocument/2006/relationships/hyperlink" Target="https://drive.google.com/file/d/15dlF_2ciw3-9ecgEgjxxKgY5St27xij2/view" TargetMode="External"/><Relationship Id="rId1657" Type="http://schemas.openxmlformats.org/officeDocument/2006/relationships/hyperlink" Target="https://drive.google.com/file/d/1saZlghGaL_knq5k2s3lXK4szDs9rSSG9/view" TargetMode="External"/><Relationship Id="rId2988" Type="http://schemas.openxmlformats.org/officeDocument/2006/relationships/hyperlink" Target="https://drive.google.com/file/d/1a0fHuVDOPAGCfvxkzDWZvJMQwRLbjgZ_/view" TargetMode="External"/><Relationship Id="rId1658" Type="http://schemas.openxmlformats.org/officeDocument/2006/relationships/hyperlink" Target="https://drive.google.com/file/d/1XvawstwT0APHuB5pXmK-1aC5ax9msUlD/view" TargetMode="External"/><Relationship Id="rId2989" Type="http://schemas.openxmlformats.org/officeDocument/2006/relationships/hyperlink" Target="https://drive.google.com/file/d/17G7h8SFgupC2WStVCH3UbTREBVrhBDiw/view" TargetMode="External"/><Relationship Id="rId1659" Type="http://schemas.openxmlformats.org/officeDocument/2006/relationships/hyperlink" Target="https://drive.google.com/file/d/1CDmy0dIUry4m0sH3fjuw_5AIBNQeUet_/view" TargetMode="External"/><Relationship Id="rId829" Type="http://schemas.openxmlformats.org/officeDocument/2006/relationships/hyperlink" Target="https://drive.google.com/file/d/1W7xL2cQ9ER9dxUl4Szr7t0B8x18ixGnt/view" TargetMode="External"/><Relationship Id="rId828" Type="http://schemas.openxmlformats.org/officeDocument/2006/relationships/hyperlink" Target="https://drive.google.com/file/d/1X6t0rnbcpeO9yPadWO94ZI09EJAYSTNQ/view" TargetMode="External"/><Relationship Id="rId827" Type="http://schemas.openxmlformats.org/officeDocument/2006/relationships/hyperlink" Target="https://drive.google.com/file/d/1kP9A2wNz2_mL_98bLzlYyZrC19gLdcfP/view" TargetMode="External"/><Relationship Id="rId822" Type="http://schemas.openxmlformats.org/officeDocument/2006/relationships/hyperlink" Target="https://drive.google.com/file/d/123EWxLwoVQxTfns7KtcYJ0ZmGmutSVmP/view" TargetMode="External"/><Relationship Id="rId821" Type="http://schemas.openxmlformats.org/officeDocument/2006/relationships/hyperlink" Target="https://drive.google.com/file/d/1W7xL2cQ9ER9dxUl4Szr7t0B8x18ixGnt/view" TargetMode="External"/><Relationship Id="rId820" Type="http://schemas.openxmlformats.org/officeDocument/2006/relationships/hyperlink" Target="https://drive.google.com/file/d/1X6t0rnbcpeO9yPadWO94ZI09EJAYSTNQ/view" TargetMode="External"/><Relationship Id="rId826" Type="http://schemas.openxmlformats.org/officeDocument/2006/relationships/hyperlink" Target="https://drive.google.com/file/d/123EWxLwoVQxTfns7KtcYJ0ZmGmutSVmP/view" TargetMode="External"/><Relationship Id="rId825" Type="http://schemas.openxmlformats.org/officeDocument/2006/relationships/hyperlink" Target="https://drive.google.com/file/d/1LmNi2zr3grzIU9V4Po0NQ_5gSQWCnq_a/view" TargetMode="External"/><Relationship Id="rId824" Type="http://schemas.openxmlformats.org/officeDocument/2006/relationships/hyperlink" Target="https://drive.google.com/file/d/1FH3040xIpIQmMJ6P0cS-AGRyYPB55Czz/view" TargetMode="External"/><Relationship Id="rId823" Type="http://schemas.openxmlformats.org/officeDocument/2006/relationships/hyperlink" Target="https://drive.google.com/file/d/1kP9A2wNz2_mL_98bLzlYyZrC19gLdcfP/view" TargetMode="External"/><Relationship Id="rId2980" Type="http://schemas.openxmlformats.org/officeDocument/2006/relationships/hyperlink" Target="https://drive.google.com/file/d/1HoepVrawBfiEqqfsgIKeqNoCDV35cwOt/view" TargetMode="External"/><Relationship Id="rId1650" Type="http://schemas.openxmlformats.org/officeDocument/2006/relationships/hyperlink" Target="https://drive.google.com/file/d/1Wa5vjK2Knb_E4qOt21runRkd65iWrDXO/view" TargetMode="External"/><Relationship Id="rId2981" Type="http://schemas.openxmlformats.org/officeDocument/2006/relationships/hyperlink" Target="https://drive.google.com/file/d/1RB4arPPPTpdKN2jNeWtmiVjh8yKvCBqD/view" TargetMode="External"/><Relationship Id="rId1651" Type="http://schemas.openxmlformats.org/officeDocument/2006/relationships/hyperlink" Target="https://drive.google.com/file/d/1Jgr6C5y7JqpqteOYg3daoG_eyeaf4YpC/view" TargetMode="External"/><Relationship Id="rId2982" Type="http://schemas.openxmlformats.org/officeDocument/2006/relationships/hyperlink" Target="https://drive.google.com/file/d/1S2Ak4vbBir17Y7Larnp7ibiAWAUHxrqw/view" TargetMode="External"/><Relationship Id="rId1652" Type="http://schemas.openxmlformats.org/officeDocument/2006/relationships/hyperlink" Target="https://drive.google.com/file/d/1CDmy0dIUry4m0sH3fjuw_5AIBNQeUet_/view" TargetMode="External"/><Relationship Id="rId2983" Type="http://schemas.openxmlformats.org/officeDocument/2006/relationships/hyperlink" Target="https://drive.google.com/file/d/1seUYTPc7rdU49DIyvxj8rPfAtE_BqzuB/view" TargetMode="External"/><Relationship Id="rId1642" Type="http://schemas.openxmlformats.org/officeDocument/2006/relationships/hyperlink" Target="https://drive.google.com/file/d/18NdX3CpuCn-0a_o1POIUUX1H-wAuR4SL/view" TargetMode="External"/><Relationship Id="rId2973" Type="http://schemas.openxmlformats.org/officeDocument/2006/relationships/hyperlink" Target="https://drive.google.com/file/d/1HoepVrawBfiEqqfsgIKeqNoCDV35cwOt/view" TargetMode="External"/><Relationship Id="rId1643" Type="http://schemas.openxmlformats.org/officeDocument/2006/relationships/hyperlink" Target="https://drive.google.com/file/d/1Wa5vjK2Knb_E4qOt21runRkd65iWrDXO/view" TargetMode="External"/><Relationship Id="rId2974" Type="http://schemas.openxmlformats.org/officeDocument/2006/relationships/hyperlink" Target="https://drive.google.com/file/d/1RB4arPPPTpdKN2jNeWtmiVjh8yKvCBqD/view" TargetMode="External"/><Relationship Id="rId1644" Type="http://schemas.openxmlformats.org/officeDocument/2006/relationships/hyperlink" Target="https://drive.google.com/file/d/1Jgr6C5y7JqpqteOYg3daoG_eyeaf4YpC/view" TargetMode="External"/><Relationship Id="rId2975" Type="http://schemas.openxmlformats.org/officeDocument/2006/relationships/hyperlink" Target="https://drive.google.com/file/d/1S2Ak4vbBir17Y7Larnp7ibiAWAUHxrqw/view" TargetMode="External"/><Relationship Id="rId1645" Type="http://schemas.openxmlformats.org/officeDocument/2006/relationships/hyperlink" Target="https://drive.google.com/file/d/1CDmy0dIUry4m0sH3fjuw_5AIBNQeUet_/view" TargetMode="External"/><Relationship Id="rId2976" Type="http://schemas.openxmlformats.org/officeDocument/2006/relationships/hyperlink" Target="https://drive.google.com/file/d/1seUYTPc7rdU49DIyvxj8rPfAtE_BqzuB/view" TargetMode="External"/><Relationship Id="rId1646" Type="http://schemas.openxmlformats.org/officeDocument/2006/relationships/hyperlink" Target="https://drive.google.com/file/d/1Wb-_8Th4_z8qNHrhEGaI0fvfAkRe81eK/view" TargetMode="External"/><Relationship Id="rId2977" Type="http://schemas.openxmlformats.org/officeDocument/2006/relationships/hyperlink" Target="https://drive.google.com/file/d/171RQ6cX1za_-DGxeQm54FtadiXtz3H6n/view" TargetMode="External"/><Relationship Id="rId1647" Type="http://schemas.openxmlformats.org/officeDocument/2006/relationships/hyperlink" Target="https://drive.google.com/file/d/1i3Fc2ICYkZUnsM_phPxBeNFBTXpJVhI5/view" TargetMode="External"/><Relationship Id="rId2978" Type="http://schemas.openxmlformats.org/officeDocument/2006/relationships/hyperlink" Target="https://drive.google.com/file/d/1hVlWHVu1XMrBJ11YZoC1cL-f5Q1JeYYL/view" TargetMode="External"/><Relationship Id="rId1648" Type="http://schemas.openxmlformats.org/officeDocument/2006/relationships/hyperlink" Target="https://drive.google.com/file/d/1qBsLDo1isbaeI-KUg5g_lstauXpiXf6P/view" TargetMode="External"/><Relationship Id="rId2979" Type="http://schemas.openxmlformats.org/officeDocument/2006/relationships/hyperlink" Target="https://drive.google.com/file/d/1dq4YRnL5QidkpNE0_f6GKom2xywdbabQ/view" TargetMode="External"/><Relationship Id="rId1649" Type="http://schemas.openxmlformats.org/officeDocument/2006/relationships/hyperlink" Target="https://drive.google.com/file/d/18NdX3CpuCn-0a_o1POIUUX1H-wAuR4SL/view" TargetMode="External"/><Relationship Id="rId819" Type="http://schemas.openxmlformats.org/officeDocument/2006/relationships/hyperlink" Target="https://drive.google.com/file/d/1kP9A2wNz2_mL_98bLzlYyZrC19gLdcfP/view" TargetMode="External"/><Relationship Id="rId818" Type="http://schemas.openxmlformats.org/officeDocument/2006/relationships/hyperlink" Target="https://drive.google.com/file/d/1VG8TOCBETmyKTLzf9JiRNjKRtDULMvkk/view" TargetMode="External"/><Relationship Id="rId817" Type="http://schemas.openxmlformats.org/officeDocument/2006/relationships/hyperlink" Target="https://drive.google.com/file/d/1LmNi2zr3grzIU9V4Po0NQ_5gSQWCnq_a/view" TargetMode="External"/><Relationship Id="rId816" Type="http://schemas.openxmlformats.org/officeDocument/2006/relationships/hyperlink" Target="https://drive.google.com/file/d/1FH3040xIpIQmMJ6P0cS-AGRyYPB55Czz/view" TargetMode="External"/><Relationship Id="rId811" Type="http://schemas.openxmlformats.org/officeDocument/2006/relationships/hyperlink" Target="https://drive.google.com/file/d/1kP9A2wNz2_mL_98bLzlYyZrC19gLdcfP/view" TargetMode="External"/><Relationship Id="rId810" Type="http://schemas.openxmlformats.org/officeDocument/2006/relationships/hyperlink" Target="https://drive.google.com/file/d/1VG8TOCBETmyKTLzf9JiRNjKRtDULMvkk/view" TargetMode="External"/><Relationship Id="rId815" Type="http://schemas.openxmlformats.org/officeDocument/2006/relationships/hyperlink" Target="https://drive.google.com/file/d/1kP9A2wNz2_mL_98bLzlYyZrC19gLdcfP/view" TargetMode="External"/><Relationship Id="rId814" Type="http://schemas.openxmlformats.org/officeDocument/2006/relationships/hyperlink" Target="https://drive.google.com/file/d/1VG8TOCBETmyKTLzf9JiRNjKRtDULMvkk/view" TargetMode="External"/><Relationship Id="rId813" Type="http://schemas.openxmlformats.org/officeDocument/2006/relationships/hyperlink" Target="https://drive.google.com/file/d/1W7xL2cQ9ER9dxUl4Szr7t0B8x18ixGnt/view" TargetMode="External"/><Relationship Id="rId812" Type="http://schemas.openxmlformats.org/officeDocument/2006/relationships/hyperlink" Target="https://drive.google.com/file/d/1X6t0rnbcpeO9yPadWO94ZI09EJAYSTNQ/view" TargetMode="External"/><Relationship Id="rId2970" Type="http://schemas.openxmlformats.org/officeDocument/2006/relationships/hyperlink" Target="https://drive.google.com/file/d/171RQ6cX1za_-DGxeQm54FtadiXtz3H6n/view" TargetMode="External"/><Relationship Id="rId1640" Type="http://schemas.openxmlformats.org/officeDocument/2006/relationships/hyperlink" Target="https://drive.google.com/file/d/1Skgk0r14hYRGPVXzSOhI7ATJl6jsWR2Q/view" TargetMode="External"/><Relationship Id="rId2971" Type="http://schemas.openxmlformats.org/officeDocument/2006/relationships/hyperlink" Target="https://drive.google.com/file/d/1hVlWHVu1XMrBJ11YZoC1cL-f5Q1JeYYL/view" TargetMode="External"/><Relationship Id="rId1641" Type="http://schemas.openxmlformats.org/officeDocument/2006/relationships/hyperlink" Target="https://drive.google.com/file/d/1qBsLDo1isbaeI-KUg5g_lstauXpiXf6P/view" TargetMode="External"/><Relationship Id="rId2972" Type="http://schemas.openxmlformats.org/officeDocument/2006/relationships/hyperlink" Target="https://drive.google.com/file/d/1dq4YRnL5QidkpNE0_f6GKom2xywdbabQ/view" TargetMode="External"/><Relationship Id="rId1675" Type="http://schemas.openxmlformats.org/officeDocument/2006/relationships/hyperlink" Target="https://drive.google.com/file/d/1S0XongISL4Zh0NQ84DBmozdoGeOT37-A/view" TargetMode="External"/><Relationship Id="rId1676" Type="http://schemas.openxmlformats.org/officeDocument/2006/relationships/hyperlink" Target="https://drive.google.com/file/d/1o3iWbTK_5cM1MS1FRx2lHu2DitAwn4mQ/view" TargetMode="External"/><Relationship Id="rId1677" Type="http://schemas.openxmlformats.org/officeDocument/2006/relationships/hyperlink" Target="https://drive.google.com/file/d/1wgdB1MVSr75sp6DSvdieTRF_fVxrN3Oc/view" TargetMode="External"/><Relationship Id="rId1678" Type="http://schemas.openxmlformats.org/officeDocument/2006/relationships/hyperlink" Target="https://drive.google.com/file/d/1bPwZhM5xLFlFcAdGv2xe2ZtNgC2hlM6X/view" TargetMode="External"/><Relationship Id="rId1679" Type="http://schemas.openxmlformats.org/officeDocument/2006/relationships/hyperlink" Target="https://drive.google.com/file/d/1DDl62OgJBEuQAi01rFZWBAn7EY199ei9/view" TargetMode="External"/><Relationship Id="rId849" Type="http://schemas.openxmlformats.org/officeDocument/2006/relationships/hyperlink" Target="https://drive.google.com/file/d/16zOD_Jw2cza_gpBNeIR3qKjBEjY0jzwC/view" TargetMode="External"/><Relationship Id="rId844" Type="http://schemas.openxmlformats.org/officeDocument/2006/relationships/hyperlink" Target="https://drive.google.com/file/d/1lK6ouIyqCvx9R9oiqHhN7an_uREe8bQt/view" TargetMode="External"/><Relationship Id="rId843" Type="http://schemas.openxmlformats.org/officeDocument/2006/relationships/hyperlink" Target="https://drive.google.com/file/d/15yzUm8ETlXCxSfmeETHYgpwrJzPN6S7e/view" TargetMode="External"/><Relationship Id="rId842" Type="http://schemas.openxmlformats.org/officeDocument/2006/relationships/hyperlink" Target="https://drive.google.com/file/d/1en2dHpOBNrYVYXO4w57cM9y1r4oXFz3h/view" TargetMode="External"/><Relationship Id="rId841" Type="http://schemas.openxmlformats.org/officeDocument/2006/relationships/hyperlink" Target="https://drive.google.com/file/d/1tv16SuhbAeqglv1svIkPTkzB5WY49htY/view" TargetMode="External"/><Relationship Id="rId848" Type="http://schemas.openxmlformats.org/officeDocument/2006/relationships/hyperlink" Target="https://drive.google.com/file/d/1lK6ouIyqCvx9R9oiqHhN7an_uREe8bQt/view" TargetMode="External"/><Relationship Id="rId847" Type="http://schemas.openxmlformats.org/officeDocument/2006/relationships/hyperlink" Target="https://drive.google.com/file/d/15yzUm8ETlXCxSfmeETHYgpwrJzPN6S7e/view" TargetMode="External"/><Relationship Id="rId846" Type="http://schemas.openxmlformats.org/officeDocument/2006/relationships/hyperlink" Target="https://drive.google.com/file/d/1vXJ3cpxp6lJzQWop9wgCsStegJrJ5Fci/view" TargetMode="External"/><Relationship Id="rId845" Type="http://schemas.openxmlformats.org/officeDocument/2006/relationships/hyperlink" Target="https://drive.google.com/file/d/1V1K5R99qqO4ew8bcOjHByr0UdJB_2dLt/view" TargetMode="External"/><Relationship Id="rId1670" Type="http://schemas.openxmlformats.org/officeDocument/2006/relationships/hyperlink" Target="https://drive.google.com/file/d/1rNhghJJkRs6rNyiFUml6Nn_mSbY6dYdV/view" TargetMode="External"/><Relationship Id="rId840" Type="http://schemas.openxmlformats.org/officeDocument/2006/relationships/hyperlink" Target="https://drive.google.com/file/d/1lK6ouIyqCvx9R9oiqHhN7an_uREe8bQt/view" TargetMode="External"/><Relationship Id="rId1671" Type="http://schemas.openxmlformats.org/officeDocument/2006/relationships/hyperlink" Target="https://drive.google.com/file/d/13BM71rfGuw-9xXSEyBM1Yy6LB5g5wixF/view" TargetMode="External"/><Relationship Id="rId1672" Type="http://schemas.openxmlformats.org/officeDocument/2006/relationships/hyperlink" Target="https://drive.google.com/file/d/1eazzJkZ6P3cHOIngH-kLW4O6NfFxDp5R/view" TargetMode="External"/><Relationship Id="rId1673" Type="http://schemas.openxmlformats.org/officeDocument/2006/relationships/hyperlink" Target="https://drive.google.com/file/d/1vialRAD1dzAGrHnezbFUrkvW6fF6LPbT/view" TargetMode="External"/><Relationship Id="rId1674" Type="http://schemas.openxmlformats.org/officeDocument/2006/relationships/hyperlink" Target="https://drive.google.com/file/d/1Fq9svAXMUzRzMHbPqNdYTUtk_2Yt1Zl_/view" TargetMode="External"/><Relationship Id="rId1664" Type="http://schemas.openxmlformats.org/officeDocument/2006/relationships/hyperlink" Target="https://drive.google.com/file/d/1KhRZFfSfMyg2iXKyDv7MrvIFriaGl_9R/view" TargetMode="External"/><Relationship Id="rId2995" Type="http://schemas.openxmlformats.org/officeDocument/2006/relationships/hyperlink" Target="https://drive.google.com/file/d/1a0fHuVDOPAGCfvxkzDWZvJMQwRLbjgZ_/view" TargetMode="External"/><Relationship Id="rId1665" Type="http://schemas.openxmlformats.org/officeDocument/2006/relationships/hyperlink" Target="https://drive.google.com/file/d/1PHNF3tLfJDwTNTfjzC4f0RbScbgCNEmD/view" TargetMode="External"/><Relationship Id="rId2996" Type="http://schemas.openxmlformats.org/officeDocument/2006/relationships/hyperlink" Target="https://drive.google.com/file/d/17G7h8SFgupC2WStVCH3UbTREBVrhBDiw/view" TargetMode="External"/><Relationship Id="rId1666" Type="http://schemas.openxmlformats.org/officeDocument/2006/relationships/hyperlink" Target="https://drive.google.com/file/d/1c7fLJo1EBWLtqnFttKfMdxgP0-_r_ejJ/view" TargetMode="External"/><Relationship Id="rId2997" Type="http://schemas.openxmlformats.org/officeDocument/2006/relationships/hyperlink" Target="https://drive.google.com/file/d/1NMVJzT3bx_WNYzEvqVjXxZHf8hQ_3FEy/view" TargetMode="External"/><Relationship Id="rId1667" Type="http://schemas.openxmlformats.org/officeDocument/2006/relationships/hyperlink" Target="https://drive.google.com/file/d/1VDNxTXybw1Kqy704anSEAu1Rx-RZfrB7/view" TargetMode="External"/><Relationship Id="rId2998" Type="http://schemas.openxmlformats.org/officeDocument/2006/relationships/hyperlink" Target="https://drive.google.com/file/d/11Oc3yb8B2WgPq7FN0Dv-_JqVUwlTRfPp/view" TargetMode="External"/><Relationship Id="rId1668" Type="http://schemas.openxmlformats.org/officeDocument/2006/relationships/hyperlink" Target="https://drive.google.com/file/d/1_ILUkgx-pYejgk6XaRB8op3C0zWs5ytT/view" TargetMode="External"/><Relationship Id="rId2999" Type="http://schemas.openxmlformats.org/officeDocument/2006/relationships/hyperlink" Target="https://drive.google.com/file/d/14Sz4U7ck5zTRHwEAJEIa-snrJEUs1_x5/view" TargetMode="External"/><Relationship Id="rId1669" Type="http://schemas.openxmlformats.org/officeDocument/2006/relationships/hyperlink" Target="https://drive.google.com/file/d/1FcBuPlGyEwxQ-pfBBKqrgxO31ibPMlRE/view" TargetMode="External"/><Relationship Id="rId839" Type="http://schemas.openxmlformats.org/officeDocument/2006/relationships/hyperlink" Target="https://drive.google.com/file/d/15yzUm8ETlXCxSfmeETHYgpwrJzPN6S7e/view" TargetMode="External"/><Relationship Id="rId838" Type="http://schemas.openxmlformats.org/officeDocument/2006/relationships/hyperlink" Target="https://drive.google.com/file/d/1zxE6OjdrQY2FyDQoGUs2ESZpGSlqB3iA/view" TargetMode="External"/><Relationship Id="rId833" Type="http://schemas.openxmlformats.org/officeDocument/2006/relationships/hyperlink" Target="https://drive.google.com/file/d/1LmNi2zr3grzIU9V4Po0NQ_5gSQWCnq_a/view" TargetMode="External"/><Relationship Id="rId832" Type="http://schemas.openxmlformats.org/officeDocument/2006/relationships/hyperlink" Target="https://drive.google.com/file/d/1FH3040xIpIQmMJ6P0cS-AGRyYPB55Czz/view" TargetMode="External"/><Relationship Id="rId831" Type="http://schemas.openxmlformats.org/officeDocument/2006/relationships/hyperlink" Target="https://drive.google.com/file/d/1kP9A2wNz2_mL_98bLzlYyZrC19gLdcfP/view" TargetMode="External"/><Relationship Id="rId830" Type="http://schemas.openxmlformats.org/officeDocument/2006/relationships/hyperlink" Target="https://drive.google.com/file/d/11MGj0ZpkqzAsKp0yHB5pc5OT9DTg59NR/view" TargetMode="External"/><Relationship Id="rId837" Type="http://schemas.openxmlformats.org/officeDocument/2006/relationships/hyperlink" Target="https://drive.google.com/file/d/1en2dHpOBNrYVYXO4w57cM9y1r4oXFz3h/view" TargetMode="External"/><Relationship Id="rId836" Type="http://schemas.openxmlformats.org/officeDocument/2006/relationships/hyperlink" Target="https://drive.google.com/file/d/1tv16SuhbAeqglv1svIkPTkzB5WY49htY/view" TargetMode="External"/><Relationship Id="rId835" Type="http://schemas.openxmlformats.org/officeDocument/2006/relationships/hyperlink" Target="https://drive.google.com/file/d/1kP9A2wNz2_mL_98bLzlYyZrC19gLdcfP/view" TargetMode="External"/><Relationship Id="rId834" Type="http://schemas.openxmlformats.org/officeDocument/2006/relationships/hyperlink" Target="https://drive.google.com/file/d/11MGj0ZpkqzAsKp0yHB5pc5OT9DTg59NR/view" TargetMode="External"/><Relationship Id="rId2990" Type="http://schemas.openxmlformats.org/officeDocument/2006/relationships/hyperlink" Target="https://drive.google.com/file/d/1NMVJzT3bx_WNYzEvqVjXxZHf8hQ_3FEy/view" TargetMode="External"/><Relationship Id="rId1660" Type="http://schemas.openxmlformats.org/officeDocument/2006/relationships/hyperlink" Target="https://drive.google.com/file/d/1pZ0Bkc1fu-YYxvfhGTq6M_Xy1nK-TaDK/view" TargetMode="External"/><Relationship Id="rId2991" Type="http://schemas.openxmlformats.org/officeDocument/2006/relationships/hyperlink" Target="https://drive.google.com/file/d/11Oc3yb8B2WgPq7FN0Dv-_JqVUwlTRfPp/view" TargetMode="External"/><Relationship Id="rId1661" Type="http://schemas.openxmlformats.org/officeDocument/2006/relationships/hyperlink" Target="https://drive.google.com/file/d/1X-3xc3A41DOcjW_cbEtufzUCaEKgVyid/view" TargetMode="External"/><Relationship Id="rId2992" Type="http://schemas.openxmlformats.org/officeDocument/2006/relationships/hyperlink" Target="https://drive.google.com/file/d/1KZTFotwlnwsrWa0NuFeqVOGjphXYXAhr/view" TargetMode="External"/><Relationship Id="rId1662" Type="http://schemas.openxmlformats.org/officeDocument/2006/relationships/hyperlink" Target="https://drive.google.com/file/d/1luoB2eOR80sD71O0E426oumYXUnA_D1n/view" TargetMode="External"/><Relationship Id="rId2993" Type="http://schemas.openxmlformats.org/officeDocument/2006/relationships/hyperlink" Target="https://drive.google.com/file/d/1MHj2KezNaspqhm5mGCADrHTnQ74_Lw8Z/view" TargetMode="External"/><Relationship Id="rId1663" Type="http://schemas.openxmlformats.org/officeDocument/2006/relationships/hyperlink" Target="https://drive.google.com/file/d/1ojUQP7wKDn7wgwnMeK5UZGmvAjnRv3Gs/view" TargetMode="External"/><Relationship Id="rId2994" Type="http://schemas.openxmlformats.org/officeDocument/2006/relationships/hyperlink" Target="https://drive.google.com/file/d/15dlF_2ciw3-9ecgEgjxxKgY5St27xij2/view" TargetMode="External"/><Relationship Id="rId2148" Type="http://schemas.openxmlformats.org/officeDocument/2006/relationships/hyperlink" Target="https://drive.google.com/file/d/1tidY4WXu07vnI6zuX_Uw1RZ419c7v7Xf/view" TargetMode="External"/><Relationship Id="rId2149" Type="http://schemas.openxmlformats.org/officeDocument/2006/relationships/hyperlink" Target="https://drive.google.com/file/d/1cyxhy6L-zfNGLXCBM4wYQd1CFwuUDKI5/view" TargetMode="External"/><Relationship Id="rId3479" Type="http://schemas.openxmlformats.org/officeDocument/2006/relationships/hyperlink" Target="https://drive.google.com/file/d/1Z7sWPAKDmVJ0Z8weYVi1zdYVps45m9yo/view" TargetMode="External"/><Relationship Id="rId3470" Type="http://schemas.openxmlformats.org/officeDocument/2006/relationships/hyperlink" Target="https://drive.google.com/file/d/151PIcVe8mYvPH5gUv9vbictKcIXDtNEj/view" TargetMode="External"/><Relationship Id="rId2140" Type="http://schemas.openxmlformats.org/officeDocument/2006/relationships/hyperlink" Target="https://drive.google.com/file/d/1xcX0sNPhGh5racV779jT-ELOsRe71ieH/view" TargetMode="External"/><Relationship Id="rId3472" Type="http://schemas.openxmlformats.org/officeDocument/2006/relationships/hyperlink" Target="https://drive.google.com/file/d/1Z7sWPAKDmVJ0Z8weYVi1zdYVps45m9yo/view" TargetMode="External"/><Relationship Id="rId2141" Type="http://schemas.openxmlformats.org/officeDocument/2006/relationships/hyperlink" Target="https://drive.google.com/file/d/1g52U7Th-yGfMHf8s274S3cweAsroSRlP/view" TargetMode="External"/><Relationship Id="rId3471" Type="http://schemas.openxmlformats.org/officeDocument/2006/relationships/hyperlink" Target="https://drive.google.com/file/d/1ahRpnzL3cjabUc3Ie9sxS2Z5zNJG_-F2/view" TargetMode="External"/><Relationship Id="rId2142" Type="http://schemas.openxmlformats.org/officeDocument/2006/relationships/hyperlink" Target="https://drive.google.com/file/d/1MMm54wsM644m4ZEV7zSXwfs3xZRmfqEr/view" TargetMode="External"/><Relationship Id="rId3474" Type="http://schemas.openxmlformats.org/officeDocument/2006/relationships/hyperlink" Target="https://drive.google.com/file/d/1ivRJgJ328m_FLG8hXpetAk-ee8W04D-0/view" TargetMode="External"/><Relationship Id="rId2143" Type="http://schemas.openxmlformats.org/officeDocument/2006/relationships/hyperlink" Target="https://drive.google.com/file/d/1tRsLjQ-ZQ3-1JkL8MyklMkUg0tepdfve/view" TargetMode="External"/><Relationship Id="rId3473" Type="http://schemas.openxmlformats.org/officeDocument/2006/relationships/hyperlink" Target="https://drive.google.com/file/d/1vWaSxOwkrhuvZCIne-qrVQGRT7O3XquE/view" TargetMode="External"/><Relationship Id="rId2144" Type="http://schemas.openxmlformats.org/officeDocument/2006/relationships/hyperlink" Target="https://drive.google.com/file/d/1jgs7pHLUJg7fkeqNZR8AY22oMajQ2axb/view" TargetMode="External"/><Relationship Id="rId3476" Type="http://schemas.openxmlformats.org/officeDocument/2006/relationships/hyperlink" Target="https://drive.google.com/file/d/1aro73Tg77IQ_5RKlRL7wU5Zi6YHizICw/view" TargetMode="External"/><Relationship Id="rId2145" Type="http://schemas.openxmlformats.org/officeDocument/2006/relationships/hyperlink" Target="https://drive.google.com/file/d/1gmjw91Oako3CNpXHuxMTEN0ze1l6ztnc/view" TargetMode="External"/><Relationship Id="rId3475" Type="http://schemas.openxmlformats.org/officeDocument/2006/relationships/hyperlink" Target="https://drive.google.com/file/d/1HbC3zi4cchPODMpu1PoVT7BdNT8IQq-X/view" TargetMode="External"/><Relationship Id="rId2146" Type="http://schemas.openxmlformats.org/officeDocument/2006/relationships/hyperlink" Target="https://drive.google.com/file/d/1tRsLjQ-ZQ3-1JkL8MyklMkUg0tepdfve/view" TargetMode="External"/><Relationship Id="rId3478" Type="http://schemas.openxmlformats.org/officeDocument/2006/relationships/hyperlink" Target="https://drive.google.com/file/d/1ahRpnzL3cjabUc3Ie9sxS2Z5zNJG_-F2/view" TargetMode="External"/><Relationship Id="rId2147" Type="http://schemas.openxmlformats.org/officeDocument/2006/relationships/hyperlink" Target="https://drive.google.com/file/d/1jgs7pHLUJg7fkeqNZR8AY22oMajQ2axb/view" TargetMode="External"/><Relationship Id="rId3477" Type="http://schemas.openxmlformats.org/officeDocument/2006/relationships/hyperlink" Target="https://drive.google.com/file/d/151PIcVe8mYvPH5gUv9vbictKcIXDtNEj/view" TargetMode="External"/><Relationship Id="rId2137" Type="http://schemas.openxmlformats.org/officeDocument/2006/relationships/hyperlink" Target="https://drive.google.com/file/d/1g52U7Th-yGfMHf8s274S3cweAsroSRlP/view" TargetMode="External"/><Relationship Id="rId3469" Type="http://schemas.openxmlformats.org/officeDocument/2006/relationships/hyperlink" Target="https://drive.google.com/file/d/1d4v_hOHQYxU1BxFt3gT-CLeezqiTt5hS/view" TargetMode="External"/><Relationship Id="rId2138" Type="http://schemas.openxmlformats.org/officeDocument/2006/relationships/hyperlink" Target="https://drive.google.com/file/d/1MMm54wsM644m4ZEV7zSXwfs3xZRmfqEr/view" TargetMode="External"/><Relationship Id="rId3468" Type="http://schemas.openxmlformats.org/officeDocument/2006/relationships/hyperlink" Target="https://drive.google.com/file/d/1c2WKF9r1igw9Z6Al4_uNIB6JYYy8BIfE/view" TargetMode="External"/><Relationship Id="rId2139" Type="http://schemas.openxmlformats.org/officeDocument/2006/relationships/hyperlink" Target="https://drive.google.com/file/d/1K8NhPs_dVBSCW6_1EQuyMdYwnNLgQlNn/view" TargetMode="External"/><Relationship Id="rId3461" Type="http://schemas.openxmlformats.org/officeDocument/2006/relationships/hyperlink" Target="https://drive.google.com/file/d/1Fi5lgL3ezq8oDI4AvjgJmHwcP6l2ZIVY/view" TargetMode="External"/><Relationship Id="rId2130" Type="http://schemas.openxmlformats.org/officeDocument/2006/relationships/hyperlink" Target="https://drive.google.com/file/d/1fUM28tPvorum3ZPiyhjgiFHlZHucQyzF/view" TargetMode="External"/><Relationship Id="rId3460" Type="http://schemas.openxmlformats.org/officeDocument/2006/relationships/hyperlink" Target="https://drive.google.com/file/d/1JWoz4stkR4uU_Dtml0ojGAaEm-59FDa1/view" TargetMode="External"/><Relationship Id="rId2131" Type="http://schemas.openxmlformats.org/officeDocument/2006/relationships/hyperlink" Target="https://drive.google.com/file/d/1TS4nBeXtwDm1-XI_h6DzpNVqkutqpOLH/view" TargetMode="External"/><Relationship Id="rId3463" Type="http://schemas.openxmlformats.org/officeDocument/2006/relationships/hyperlink" Target="https://drive.google.com/file/d/1lyyEWUSk0TRdTJYCsFjTOm7acxC2dWOv/view" TargetMode="External"/><Relationship Id="rId2132" Type="http://schemas.openxmlformats.org/officeDocument/2006/relationships/hyperlink" Target="https://drive.google.com/file/d/1xcX0sNPhGh5racV779jT-ELOsRe71ieH/view" TargetMode="External"/><Relationship Id="rId3462" Type="http://schemas.openxmlformats.org/officeDocument/2006/relationships/hyperlink" Target="https://drive.google.com/file/d/1y91e4NiJ4hMRaZAUralQMNEgLlynhXhQ/view" TargetMode="External"/><Relationship Id="rId2133" Type="http://schemas.openxmlformats.org/officeDocument/2006/relationships/hyperlink" Target="https://drive.google.com/file/d/1g52U7Th-yGfMHf8s274S3cweAsroSRlP/view" TargetMode="External"/><Relationship Id="rId3465" Type="http://schemas.openxmlformats.org/officeDocument/2006/relationships/hyperlink" Target="https://drive.google.com/file/d/1cbLOVUZ79t4YrfcX2MqQyKkfg2qULsAm/view" TargetMode="External"/><Relationship Id="rId2134" Type="http://schemas.openxmlformats.org/officeDocument/2006/relationships/hyperlink" Target="https://drive.google.com/file/d/1MMm54wsM644m4ZEV7zSXwfs3xZRmfqEr/view" TargetMode="External"/><Relationship Id="rId3464" Type="http://schemas.openxmlformats.org/officeDocument/2006/relationships/hyperlink" Target="https://drive.google.com/file/d/1UfTTa6WuGxFmt-PatqFlzBFHtRnotD2R/view" TargetMode="External"/><Relationship Id="rId2135" Type="http://schemas.openxmlformats.org/officeDocument/2006/relationships/hyperlink" Target="https://drive.google.com/file/d/1TS4nBeXtwDm1-XI_h6DzpNVqkutqpOLH/view" TargetMode="External"/><Relationship Id="rId3467" Type="http://schemas.openxmlformats.org/officeDocument/2006/relationships/hyperlink" Target="https://drive.google.com/file/d/1I1qRecqhleszhMAdQXmO3J6Ci6sxx7eS/view" TargetMode="External"/><Relationship Id="rId2136" Type="http://schemas.openxmlformats.org/officeDocument/2006/relationships/hyperlink" Target="https://drive.google.com/file/d/1xcX0sNPhGh5racV779jT-ELOsRe71ieH/view" TargetMode="External"/><Relationship Id="rId3466" Type="http://schemas.openxmlformats.org/officeDocument/2006/relationships/hyperlink" Target="https://drive.google.com/file/d/1GW7M4v753ch2Ww6lQjYl_IySmsiAtr1b/view" TargetMode="External"/><Relationship Id="rId3490" Type="http://schemas.openxmlformats.org/officeDocument/2006/relationships/hyperlink" Target="https://drive.google.com/file/d/1aro73Tg77IQ_5RKlRL7wU5Zi6YHizICw/view" TargetMode="External"/><Relationship Id="rId2160" Type="http://schemas.openxmlformats.org/officeDocument/2006/relationships/hyperlink" Target="https://drive.google.com/file/d/1XvawstwT0APHuB5pXmK-1aC5ax9msUlD/view" TargetMode="External"/><Relationship Id="rId3492" Type="http://schemas.openxmlformats.org/officeDocument/2006/relationships/hyperlink" Target="https://drive.google.com/file/d/11_XUWUH0gIxQLKERjQMRHfLzdAEH5kC6/view" TargetMode="External"/><Relationship Id="rId2161" Type="http://schemas.openxmlformats.org/officeDocument/2006/relationships/hyperlink" Target="https://drive.google.com/file/d/1CDmy0dIUry4m0sH3fjuw_5AIBNQeUet_/view" TargetMode="External"/><Relationship Id="rId3491" Type="http://schemas.openxmlformats.org/officeDocument/2006/relationships/hyperlink" Target="https://drive.google.com/file/d/1EHG5eKlhX6Urh1SGf7SULxVeDZEmp885/view" TargetMode="External"/><Relationship Id="rId2162" Type="http://schemas.openxmlformats.org/officeDocument/2006/relationships/hyperlink" Target="https://drive.google.com/file/d/1pZ0Bkc1fu-YYxvfhGTq6M_Xy1nK-TaDK/view" TargetMode="External"/><Relationship Id="rId3494" Type="http://schemas.openxmlformats.org/officeDocument/2006/relationships/hyperlink" Target="https://drive.google.com/file/d/1tZdlTvAw_OYvLq-Rd-BiOM5mdLhFdowu/view" TargetMode="External"/><Relationship Id="rId2163" Type="http://schemas.openxmlformats.org/officeDocument/2006/relationships/hyperlink" Target="https://drive.google.com/file/d/1fQnM9hzEoEekcRcdOIjx3szCGnGsfBiV/view" TargetMode="External"/><Relationship Id="rId3493" Type="http://schemas.openxmlformats.org/officeDocument/2006/relationships/hyperlink" Target="https://drive.google.com/file/d/1Z7sWPAKDmVJ0Z8weYVi1zdYVps45m9yo/view" TargetMode="External"/><Relationship Id="rId2164" Type="http://schemas.openxmlformats.org/officeDocument/2006/relationships/hyperlink" Target="https://drive.google.com/file/d/1luoB2eOR80sD71O0E426oumYXUnA_D1n/view" TargetMode="External"/><Relationship Id="rId3496" Type="http://schemas.openxmlformats.org/officeDocument/2006/relationships/hyperlink" Target="https://drive.google.com/file/d/12A1Hkil5SqnNopmMNQ4VVvNRE9Il4GpO/view" TargetMode="External"/><Relationship Id="rId2165" Type="http://schemas.openxmlformats.org/officeDocument/2006/relationships/hyperlink" Target="https://drive.google.com/file/d/1ojUQP7wKDn7wgwnMeK5UZGmvAjnRv3Gs/view" TargetMode="External"/><Relationship Id="rId3495" Type="http://schemas.openxmlformats.org/officeDocument/2006/relationships/hyperlink" Target="https://drive.google.com/file/d/1_8Fc8BkqvDSEDnQwXgwNmkJqf6gBYP7m/view" TargetMode="External"/><Relationship Id="rId2166" Type="http://schemas.openxmlformats.org/officeDocument/2006/relationships/hyperlink" Target="https://drive.google.com/file/d/1saZlghGaL_knq5k2s3lXK4szDs9rSSG9/view" TargetMode="External"/><Relationship Id="rId3498" Type="http://schemas.openxmlformats.org/officeDocument/2006/relationships/hyperlink" Target="https://drive.google.com/file/d/1OWHvJ6cOWPun2ky2Ta1v1aeGFMMnCrn4/view" TargetMode="External"/><Relationship Id="rId2167" Type="http://schemas.openxmlformats.org/officeDocument/2006/relationships/hyperlink" Target="https://drive.google.com/file/d/1XvawstwT0APHuB5pXmK-1aC5ax9msUlD/view" TargetMode="External"/><Relationship Id="rId3497" Type="http://schemas.openxmlformats.org/officeDocument/2006/relationships/hyperlink" Target="https://drive.google.com/file/d/1V75KfC1063BcnsiKPT_ZrMugz-XhOeCK/view" TargetMode="External"/><Relationship Id="rId2168" Type="http://schemas.openxmlformats.org/officeDocument/2006/relationships/hyperlink" Target="https://drive.google.com/file/d/1CDmy0dIUry4m0sH3fjuw_5AIBNQeUet_/view" TargetMode="External"/><Relationship Id="rId2169" Type="http://schemas.openxmlformats.org/officeDocument/2006/relationships/hyperlink" Target="https://drive.google.com/file/d/1pZ0Bkc1fu-YYxvfhGTq6M_Xy1nK-TaDK/view" TargetMode="External"/><Relationship Id="rId3499" Type="http://schemas.openxmlformats.org/officeDocument/2006/relationships/hyperlink" Target="https://drive.google.com/file/d/1swU_QsJbcSRsP75FRv9-iuoGGHZ3-0d9/view" TargetMode="External"/><Relationship Id="rId2159" Type="http://schemas.openxmlformats.org/officeDocument/2006/relationships/hyperlink" Target="https://drive.google.com/file/d/1saZlghGaL_knq5k2s3lXK4szDs9rSSG9/view" TargetMode="External"/><Relationship Id="rId3481" Type="http://schemas.openxmlformats.org/officeDocument/2006/relationships/hyperlink" Target="https://drive.google.com/file/d/1ivRJgJ328m_FLG8hXpetAk-ee8W04D-0/view" TargetMode="External"/><Relationship Id="rId2150" Type="http://schemas.openxmlformats.org/officeDocument/2006/relationships/hyperlink" Target="https://drive.google.com/file/d/1wLl67RiU70chMp4zFNeacDeKuIfwessm/view" TargetMode="External"/><Relationship Id="rId3480" Type="http://schemas.openxmlformats.org/officeDocument/2006/relationships/hyperlink" Target="https://drive.google.com/file/d/1vWaSxOwkrhuvZCIne-qrVQGRT7O3XquE/view" TargetMode="External"/><Relationship Id="rId2151" Type="http://schemas.openxmlformats.org/officeDocument/2006/relationships/hyperlink" Target="https://drive.google.com/file/d/1GBse8z-1mvHyY4GasvwdZG--SlYRWUUS/view" TargetMode="External"/><Relationship Id="rId3483" Type="http://schemas.openxmlformats.org/officeDocument/2006/relationships/hyperlink" Target="https://drive.google.com/file/d/1aro73Tg77IQ_5RKlRL7wU5Zi6YHizICw/view" TargetMode="External"/><Relationship Id="rId2152" Type="http://schemas.openxmlformats.org/officeDocument/2006/relationships/hyperlink" Target="https://drive.google.com/file/d/1saZlghGaL_knq5k2s3lXK4szDs9rSSG9/view" TargetMode="External"/><Relationship Id="rId3482" Type="http://schemas.openxmlformats.org/officeDocument/2006/relationships/hyperlink" Target="https://drive.google.com/file/d/1HbC3zi4cchPODMpu1PoVT7BdNT8IQq-X/view" TargetMode="External"/><Relationship Id="rId2153" Type="http://schemas.openxmlformats.org/officeDocument/2006/relationships/hyperlink" Target="https://drive.google.com/file/d/1XvawstwT0APHuB5pXmK-1aC5ax9msUlD/view" TargetMode="External"/><Relationship Id="rId3485" Type="http://schemas.openxmlformats.org/officeDocument/2006/relationships/hyperlink" Target="https://drive.google.com/file/d/13qlRml9KxuVgYJC7g_LcMxva7AHIPOP6/view" TargetMode="External"/><Relationship Id="rId2154" Type="http://schemas.openxmlformats.org/officeDocument/2006/relationships/hyperlink" Target="https://drive.google.com/file/d/1CDmy0dIUry4m0sH3fjuw_5AIBNQeUet_/view" TargetMode="External"/><Relationship Id="rId3484" Type="http://schemas.openxmlformats.org/officeDocument/2006/relationships/hyperlink" Target="https://drive.google.com/file/d/1aD1Sxn2sCpqm6syvskCroEZng4mNi3aa/view" TargetMode="External"/><Relationship Id="rId2155" Type="http://schemas.openxmlformats.org/officeDocument/2006/relationships/hyperlink" Target="https://drive.google.com/file/d/1pZ0Bkc1fu-YYxvfhGTq6M_Xy1nK-TaDK/view" TargetMode="External"/><Relationship Id="rId3487" Type="http://schemas.openxmlformats.org/officeDocument/2006/relationships/hyperlink" Target="https://drive.google.com/file/d/1vWaSxOwkrhuvZCIne-qrVQGRT7O3XquE/view" TargetMode="External"/><Relationship Id="rId2156" Type="http://schemas.openxmlformats.org/officeDocument/2006/relationships/hyperlink" Target="https://drive.google.com/file/d/1X-3xc3A41DOcjW_cbEtufzUCaEKgVyid/view" TargetMode="External"/><Relationship Id="rId3486" Type="http://schemas.openxmlformats.org/officeDocument/2006/relationships/hyperlink" Target="https://drive.google.com/file/d/1Z7sWPAKDmVJ0Z8weYVi1zdYVps45m9yo/view" TargetMode="External"/><Relationship Id="rId2157" Type="http://schemas.openxmlformats.org/officeDocument/2006/relationships/hyperlink" Target="https://drive.google.com/file/d/1luoB2eOR80sD71O0E426oumYXUnA_D1n/view" TargetMode="External"/><Relationship Id="rId3489" Type="http://schemas.openxmlformats.org/officeDocument/2006/relationships/hyperlink" Target="https://drive.google.com/file/d/1HbC3zi4cchPODMpu1PoVT7BdNT8IQq-X/view" TargetMode="External"/><Relationship Id="rId2158" Type="http://schemas.openxmlformats.org/officeDocument/2006/relationships/hyperlink" Target="https://drive.google.com/file/d/1ojUQP7wKDn7wgwnMeK5UZGmvAjnRv3Gs/view" TargetMode="External"/><Relationship Id="rId3488" Type="http://schemas.openxmlformats.org/officeDocument/2006/relationships/hyperlink" Target="https://drive.google.com/file/d/1ivRJgJ328m_FLG8hXpetAk-ee8W04D-0/view" TargetMode="External"/><Relationship Id="rId2104" Type="http://schemas.openxmlformats.org/officeDocument/2006/relationships/hyperlink" Target="https://drive.google.com/file/d/1xdaNvBwCHRv8BemcvP5Rz3RYnTTjOavN/view" TargetMode="External"/><Relationship Id="rId3436" Type="http://schemas.openxmlformats.org/officeDocument/2006/relationships/hyperlink" Target="https://drive.google.com/file/d/1pk85GwbqRKhVHSNp9n9b2P1Uda5Wt3XB/view" TargetMode="External"/><Relationship Id="rId2105" Type="http://schemas.openxmlformats.org/officeDocument/2006/relationships/hyperlink" Target="https://drive.google.com/file/d/18VFYqI9wawrJ6om_IPaLu4McwJggo61B/view" TargetMode="External"/><Relationship Id="rId3435" Type="http://schemas.openxmlformats.org/officeDocument/2006/relationships/hyperlink" Target="https://drive.google.com/file/d/18-MH_6vnFMJEJU1fUoxRVPsgf8CaGBZE/view" TargetMode="External"/><Relationship Id="rId2106" Type="http://schemas.openxmlformats.org/officeDocument/2006/relationships/hyperlink" Target="https://drive.google.com/file/d/1Ahu1RXE7mO-Ss6ywLEgFn3DH8mWarA6c/view" TargetMode="External"/><Relationship Id="rId3438" Type="http://schemas.openxmlformats.org/officeDocument/2006/relationships/hyperlink" Target="https://drive.google.com/file/d/1u7jlYprvf8OOCIFn0FLsQ5mL_s71vTkP/view" TargetMode="External"/><Relationship Id="rId2107" Type="http://schemas.openxmlformats.org/officeDocument/2006/relationships/hyperlink" Target="https://drive.google.com/file/d/1GRsek-aysfHyIoEfiPa5JYk65lxmLmVZ/view" TargetMode="External"/><Relationship Id="rId3437" Type="http://schemas.openxmlformats.org/officeDocument/2006/relationships/hyperlink" Target="https://drive.google.com/file/d/1CdTiAJRiKyQZz6VQb0StXwQaZ0EPjuin/view" TargetMode="External"/><Relationship Id="rId2108" Type="http://schemas.openxmlformats.org/officeDocument/2006/relationships/hyperlink" Target="https://drive.google.com/file/d/1T-L8D6tRvE8kdpkkKT4wqnrVjdPaSGwS/view" TargetMode="External"/><Relationship Id="rId2109" Type="http://schemas.openxmlformats.org/officeDocument/2006/relationships/hyperlink" Target="https://drive.google.com/file/d/1Kv0EGRcwsXYKpI8UanEpmMXhrUKteoV3/view" TargetMode="External"/><Relationship Id="rId3439" Type="http://schemas.openxmlformats.org/officeDocument/2006/relationships/hyperlink" Target="https://drive.google.com/file/d/1yKo7cuIyfsmHki6z1H2UJ_D03nGXN4XK/view" TargetMode="External"/><Relationship Id="rId3430" Type="http://schemas.openxmlformats.org/officeDocument/2006/relationships/hyperlink" Target="https://drive.google.com/file/d/1CdTiAJRiKyQZz6VQb0StXwQaZ0EPjuin/view" TargetMode="External"/><Relationship Id="rId2100" Type="http://schemas.openxmlformats.org/officeDocument/2006/relationships/hyperlink" Target="https://drive.google.com/file/d/1U3dZIS_c07hCbTSBWmhxPXmWuSQo_Xq2/view" TargetMode="External"/><Relationship Id="rId3432" Type="http://schemas.openxmlformats.org/officeDocument/2006/relationships/hyperlink" Target="https://drive.google.com/file/d/1yKo7cuIyfsmHki6z1H2UJ_D03nGXN4XK/view" TargetMode="External"/><Relationship Id="rId2101" Type="http://schemas.openxmlformats.org/officeDocument/2006/relationships/hyperlink" Target="https://drive.google.com/file/d/1SLNJW1t0YtpZwS1p-1QF_fNnrxVaj0ZM/view" TargetMode="External"/><Relationship Id="rId3431" Type="http://schemas.openxmlformats.org/officeDocument/2006/relationships/hyperlink" Target="https://drive.google.com/file/d/1u7jlYprvf8OOCIFn0FLsQ5mL_s71vTkP/view" TargetMode="External"/><Relationship Id="rId2102" Type="http://schemas.openxmlformats.org/officeDocument/2006/relationships/hyperlink" Target="https://drive.google.com/file/d/1XExe3o9_1izvB9mfah2sHdbQn41gTjS1/view" TargetMode="External"/><Relationship Id="rId3434" Type="http://schemas.openxmlformats.org/officeDocument/2006/relationships/hyperlink" Target="https://drive.google.com/file/d/1-YK__lowe9WTJk1Xti-l7FX9FTBAi0Ni/view" TargetMode="External"/><Relationship Id="rId2103" Type="http://schemas.openxmlformats.org/officeDocument/2006/relationships/hyperlink" Target="https://drive.google.com/file/d/1TSdMlHRX0gwwUyCNwuk8wnURwffNqz7d/view" TargetMode="External"/><Relationship Id="rId3433" Type="http://schemas.openxmlformats.org/officeDocument/2006/relationships/hyperlink" Target="https://drive.google.com/file/d/1Y8fyqzowTX0UCX4kpkU4b5d7B20Q6nsk/view" TargetMode="External"/><Relationship Id="rId3425" Type="http://schemas.openxmlformats.org/officeDocument/2006/relationships/hyperlink" Target="https://drive.google.com/file/d/1a-B79NtC1e46cB0-eZWpE66_M-hyrcTk/view" TargetMode="External"/><Relationship Id="rId3424" Type="http://schemas.openxmlformats.org/officeDocument/2006/relationships/hyperlink" Target="https://drive.google.com/file/d/1mD8g8LeA-vV0Lj-yLTUB3cHkEYoI4u5x/view" TargetMode="External"/><Relationship Id="rId3427" Type="http://schemas.openxmlformats.org/officeDocument/2006/relationships/hyperlink" Target="https://drive.google.com/file/d/1RDuVI_B3EdN19M-ThDWM6nxEm4ihmiLb/view" TargetMode="External"/><Relationship Id="rId3426" Type="http://schemas.openxmlformats.org/officeDocument/2006/relationships/hyperlink" Target="https://drive.google.com/file/d/1eN2Lfkg-PmEPBUBYx86C-o2m0ZruXY8k/view" TargetMode="External"/><Relationship Id="rId3429" Type="http://schemas.openxmlformats.org/officeDocument/2006/relationships/hyperlink" Target="https://drive.google.com/file/d/1pk85GwbqRKhVHSNp9n9b2P1Uda5Wt3XB/view" TargetMode="External"/><Relationship Id="rId3428" Type="http://schemas.openxmlformats.org/officeDocument/2006/relationships/hyperlink" Target="https://drive.google.com/file/d/18-MH_6vnFMJEJU1fUoxRVPsgf8CaGBZE/view" TargetMode="External"/><Relationship Id="rId899" Type="http://schemas.openxmlformats.org/officeDocument/2006/relationships/hyperlink" Target="https://drive.google.com/file/d/1NybuvMrbH35UWLsxaq1mSLYrI_xD511U/view" TargetMode="External"/><Relationship Id="rId898" Type="http://schemas.openxmlformats.org/officeDocument/2006/relationships/hyperlink" Target="https://drive.google.com/file/d/1IhKdDfUCwMNgTSjICVPZZ8j1j8W1qkM-/view" TargetMode="External"/><Relationship Id="rId897" Type="http://schemas.openxmlformats.org/officeDocument/2006/relationships/hyperlink" Target="https://drive.google.com/file/d/1rVQXorOQRc7GyQ2MGVEAP1vSyzr3xZOB/view" TargetMode="External"/><Relationship Id="rId896" Type="http://schemas.openxmlformats.org/officeDocument/2006/relationships/hyperlink" Target="https://drive.google.com/file/d/1Mdin3QdSaglsUw-rESUUAW6g9oyu6bJt/view" TargetMode="External"/><Relationship Id="rId891" Type="http://schemas.openxmlformats.org/officeDocument/2006/relationships/hyperlink" Target="https://drive.google.com/file/d/1WHQ_LdPVR7udOmN7S-kYFzuxapzZw2in/view" TargetMode="External"/><Relationship Id="rId890" Type="http://schemas.openxmlformats.org/officeDocument/2006/relationships/hyperlink" Target="https://drive.google.com/file/d/1j_z-9rJreJ7fjUSGeDsiwXjB3mP4ppeQ/view" TargetMode="External"/><Relationship Id="rId895" Type="http://schemas.openxmlformats.org/officeDocument/2006/relationships/hyperlink" Target="https://drive.google.com/file/d/1NybuvMrbH35UWLsxaq1mSLYrI_xD511U/view" TargetMode="External"/><Relationship Id="rId3421" Type="http://schemas.openxmlformats.org/officeDocument/2006/relationships/hyperlink" Target="https://drive.google.com/file/d/1n31tCFAIKLe9cy1j0PcT22WDmj0TxYbP/view" TargetMode="External"/><Relationship Id="rId894" Type="http://schemas.openxmlformats.org/officeDocument/2006/relationships/hyperlink" Target="https://drive.google.com/file/d/1zxE6OjdrQY2FyDQoGUs2ESZpGSlqB3iA/view" TargetMode="External"/><Relationship Id="rId3420" Type="http://schemas.openxmlformats.org/officeDocument/2006/relationships/hyperlink" Target="https://drive.google.com/file/d/1QUgkDPavUxGMGqAP5vK9XrB7C9WETueC/view" TargetMode="External"/><Relationship Id="rId893" Type="http://schemas.openxmlformats.org/officeDocument/2006/relationships/hyperlink" Target="https://drive.google.com/file/d/1IhKdDfUCwMNgTSjICVPZZ8j1j8W1qkM-/view" TargetMode="External"/><Relationship Id="rId3423" Type="http://schemas.openxmlformats.org/officeDocument/2006/relationships/hyperlink" Target="https://drive.google.com/file/d/1ok7yTPs6Gt4gHeepncSTczLcBhXfMgZ_/view" TargetMode="External"/><Relationship Id="rId892" Type="http://schemas.openxmlformats.org/officeDocument/2006/relationships/hyperlink" Target="https://drive.google.com/file/d/1rVQXorOQRc7GyQ2MGVEAP1vSyzr3xZOB/view" TargetMode="External"/><Relationship Id="rId3422" Type="http://schemas.openxmlformats.org/officeDocument/2006/relationships/hyperlink" Target="https://drive.google.com/file/d/1Chj8-cvnp-R3Cp2wzxVsSKgtll_rpEzt/view" TargetMode="External"/><Relationship Id="rId2126" Type="http://schemas.openxmlformats.org/officeDocument/2006/relationships/hyperlink" Target="https://drive.google.com/file/d/1fUM28tPvorum3ZPiyhjgiFHlZHucQyzF/view" TargetMode="External"/><Relationship Id="rId3458" Type="http://schemas.openxmlformats.org/officeDocument/2006/relationships/hyperlink" Target="https://drive.google.com/file/d/1cbLOVUZ79t4YrfcX2MqQyKkfg2qULsAm/view" TargetMode="External"/><Relationship Id="rId2127" Type="http://schemas.openxmlformats.org/officeDocument/2006/relationships/hyperlink" Target="https://drive.google.com/file/d/1KqW0SoFmoFg7tYl3sdHmURp-nskoD-bM/view" TargetMode="External"/><Relationship Id="rId3457" Type="http://schemas.openxmlformats.org/officeDocument/2006/relationships/hyperlink" Target="https://drive.google.com/file/d/12zAE_9gP9ZKkr0yyIr9CoOlYzaWAebzn/view" TargetMode="External"/><Relationship Id="rId2128" Type="http://schemas.openxmlformats.org/officeDocument/2006/relationships/hyperlink" Target="https://drive.google.com/file/d/19cEKX1j3_mKy9vyrsyQsLB3XzT2TqJAX/view" TargetMode="External"/><Relationship Id="rId2129" Type="http://schemas.openxmlformats.org/officeDocument/2006/relationships/hyperlink" Target="https://drive.google.com/file/d/1t1nybF-3X8YXWyyn9DHVSQiLPfWPmrFN/view" TargetMode="External"/><Relationship Id="rId3459" Type="http://schemas.openxmlformats.org/officeDocument/2006/relationships/hyperlink" Target="https://drive.google.com/file/d/131pHjy0267VPHlGqAFyFrxrkoVxoO_tz/view" TargetMode="External"/><Relationship Id="rId3450" Type="http://schemas.openxmlformats.org/officeDocument/2006/relationships/hyperlink" Target="https://drive.google.com/file/d/12zAE_9gP9ZKkr0yyIr9CoOlYzaWAebzn/view" TargetMode="External"/><Relationship Id="rId2120" Type="http://schemas.openxmlformats.org/officeDocument/2006/relationships/hyperlink" Target="https://drive.google.com/file/d/19cEKX1j3_mKy9vyrsyQsLB3XzT2TqJAX/view" TargetMode="External"/><Relationship Id="rId3452" Type="http://schemas.openxmlformats.org/officeDocument/2006/relationships/hyperlink" Target="https://drive.google.com/file/d/131pHjy0267VPHlGqAFyFrxrkoVxoO_tz/view" TargetMode="External"/><Relationship Id="rId2121" Type="http://schemas.openxmlformats.org/officeDocument/2006/relationships/hyperlink" Target="https://drive.google.com/file/d/1t1nybF-3X8YXWyyn9DHVSQiLPfWPmrFN/view" TargetMode="External"/><Relationship Id="rId3451" Type="http://schemas.openxmlformats.org/officeDocument/2006/relationships/hyperlink" Target="https://drive.google.com/file/d/1cbLOVUZ79t4YrfcX2MqQyKkfg2qULsAm/view" TargetMode="External"/><Relationship Id="rId2122" Type="http://schemas.openxmlformats.org/officeDocument/2006/relationships/hyperlink" Target="https://drive.google.com/file/d/1fUM28tPvorum3ZPiyhjgiFHlZHucQyzF/view" TargetMode="External"/><Relationship Id="rId3454" Type="http://schemas.openxmlformats.org/officeDocument/2006/relationships/hyperlink" Target="https://drive.google.com/file/d/1Fi5lgL3ezq8oDI4AvjgJmHwcP6l2ZIVY/view" TargetMode="External"/><Relationship Id="rId2123" Type="http://schemas.openxmlformats.org/officeDocument/2006/relationships/hyperlink" Target="https://drive.google.com/file/d/1sLPjhdidjXCN65UwcdWOY-GKE4auOBpr/view" TargetMode="External"/><Relationship Id="rId3453" Type="http://schemas.openxmlformats.org/officeDocument/2006/relationships/hyperlink" Target="https://drive.google.com/file/d/1JWoz4stkR4uU_Dtml0ojGAaEm-59FDa1/view" TargetMode="External"/><Relationship Id="rId2124" Type="http://schemas.openxmlformats.org/officeDocument/2006/relationships/hyperlink" Target="https://drive.google.com/file/d/19cEKX1j3_mKy9vyrsyQsLB3XzT2TqJAX/view" TargetMode="External"/><Relationship Id="rId3456" Type="http://schemas.openxmlformats.org/officeDocument/2006/relationships/hyperlink" Target="https://drive.google.com/file/d/1r2V7_80nP_RtPAp74x9sK6M7CFn3Y8VM/view" TargetMode="External"/><Relationship Id="rId2125" Type="http://schemas.openxmlformats.org/officeDocument/2006/relationships/hyperlink" Target="https://drive.google.com/file/d/1t1nybF-3X8YXWyyn9DHVSQiLPfWPmrFN/view" TargetMode="External"/><Relationship Id="rId3455" Type="http://schemas.openxmlformats.org/officeDocument/2006/relationships/hyperlink" Target="https://drive.google.com/file/d/1y91e4NiJ4hMRaZAUralQMNEgLlynhXhQ/view" TargetMode="External"/><Relationship Id="rId2115" Type="http://schemas.openxmlformats.org/officeDocument/2006/relationships/hyperlink" Target="https://drive.google.com/file/d/1FEQFH_6I7AbTKRYAmiaQqBqkg_EYVVal/view" TargetMode="External"/><Relationship Id="rId3447" Type="http://schemas.openxmlformats.org/officeDocument/2006/relationships/hyperlink" Target="https://drive.google.com/file/d/1hyJAkg6G4oV9qL9dJwxBGTUny_zP-acF/view" TargetMode="External"/><Relationship Id="rId2116" Type="http://schemas.openxmlformats.org/officeDocument/2006/relationships/hyperlink" Target="https://drive.google.com/file/d/1OyHhJGdovseYEUmXWxZa6XB7m5OtcLTY/view" TargetMode="External"/><Relationship Id="rId3446" Type="http://schemas.openxmlformats.org/officeDocument/2006/relationships/hyperlink" Target="https://drive.google.com/file/d/1QLAx8Qssj66izkTg5MPBB-ThxKfFsQql/view" TargetMode="External"/><Relationship Id="rId2117" Type="http://schemas.openxmlformats.org/officeDocument/2006/relationships/hyperlink" Target="https://drive.google.com/file/d/1Kv0EGRcwsXYKpI8UanEpmMXhrUKteoV3/view" TargetMode="External"/><Relationship Id="rId3449" Type="http://schemas.openxmlformats.org/officeDocument/2006/relationships/hyperlink" Target="https://drive.google.com/file/d/1r2V7_80nP_RtPAp74x9sK6M7CFn3Y8VM/view" TargetMode="External"/><Relationship Id="rId2118" Type="http://schemas.openxmlformats.org/officeDocument/2006/relationships/hyperlink" Target="https://drive.google.com/file/d/1reS9wLoWMZHSjCXMYLamtQ4TyKMeU19u/view" TargetMode="External"/><Relationship Id="rId3448" Type="http://schemas.openxmlformats.org/officeDocument/2006/relationships/hyperlink" Target="https://drive.google.com/file/d/1Y-TlNp8vQEiSiAE46KBBh23Rs2i0h02z/view" TargetMode="External"/><Relationship Id="rId2119" Type="http://schemas.openxmlformats.org/officeDocument/2006/relationships/hyperlink" Target="https://drive.google.com/file/d/1sLPjhdidjXCN65UwcdWOY-GKE4auOBpr/view" TargetMode="External"/><Relationship Id="rId3441" Type="http://schemas.openxmlformats.org/officeDocument/2006/relationships/hyperlink" Target="https://drive.google.com/file/d/1-YK__lowe9WTJk1Xti-l7FX9FTBAi0Ni/view" TargetMode="External"/><Relationship Id="rId2110" Type="http://schemas.openxmlformats.org/officeDocument/2006/relationships/hyperlink" Target="https://drive.google.com/file/d/1reS9wLoWMZHSjCXMYLamtQ4TyKMeU19u/view" TargetMode="External"/><Relationship Id="rId3440" Type="http://schemas.openxmlformats.org/officeDocument/2006/relationships/hyperlink" Target="https://drive.google.com/file/d/1Y8fyqzowTX0UCX4kpkU4b5d7B20Q6nsk/view" TargetMode="External"/><Relationship Id="rId2111" Type="http://schemas.openxmlformats.org/officeDocument/2006/relationships/hyperlink" Target="https://drive.google.com/file/d/1Ahu1RXE7mO-Ss6ywLEgFn3DH8mWarA6c/view" TargetMode="External"/><Relationship Id="rId3443" Type="http://schemas.openxmlformats.org/officeDocument/2006/relationships/hyperlink" Target="https://drive.google.com/file/d/1C6cq2S0RCM0GeLJIcIJYN0NrCBkCB8VY/view" TargetMode="External"/><Relationship Id="rId2112" Type="http://schemas.openxmlformats.org/officeDocument/2006/relationships/hyperlink" Target="https://drive.google.com/file/d/1GRsek-aysfHyIoEfiPa5JYk65lxmLmVZ/view" TargetMode="External"/><Relationship Id="rId3442" Type="http://schemas.openxmlformats.org/officeDocument/2006/relationships/hyperlink" Target="https://drive.google.com/file/d/1RnkakKD6dLPXeKCqEWf51Q0vzb-Uj-oK/view" TargetMode="External"/><Relationship Id="rId2113" Type="http://schemas.openxmlformats.org/officeDocument/2006/relationships/hyperlink" Target="https://drive.google.com/file/d/1Kv0EGRcwsXYKpI8UanEpmMXhrUKteoV3/view" TargetMode="External"/><Relationship Id="rId3445" Type="http://schemas.openxmlformats.org/officeDocument/2006/relationships/hyperlink" Target="https://drive.google.com/file/d/16IuVlAGpLWdhy5Qt7KDXNaOhg3kerUna/view" TargetMode="External"/><Relationship Id="rId2114" Type="http://schemas.openxmlformats.org/officeDocument/2006/relationships/hyperlink" Target="https://drive.google.com/file/d/1reS9wLoWMZHSjCXMYLamtQ4TyKMeU19u/view" TargetMode="External"/><Relationship Id="rId3444" Type="http://schemas.openxmlformats.org/officeDocument/2006/relationships/hyperlink" Target="https://drive.google.com/file/d/1CdTiAJRiKyQZz6VQb0StXwQaZ0EPjuin/vi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2.38"/>
    <col customWidth="1" min="2" max="2" width="11.5"/>
    <col customWidth="1" min="3" max="3" width="11.88"/>
    <col customWidth="1" min="4" max="4" width="14.0"/>
    <col customWidth="1" min="5" max="5" width="10.13"/>
    <col customWidth="1" min="6" max="6" width="7.0"/>
    <col customWidth="1" min="7" max="7" width="12.13"/>
    <col customWidth="1" min="8" max="8" width="17.63"/>
    <col customWidth="1" min="9" max="9" width="9.88"/>
    <col customWidth="1" min="10" max="10" width="26.75"/>
    <col customWidth="1" min="11" max="11" width="16.75"/>
    <col customWidth="1" min="13" max="14" width="9.38"/>
    <col customWidth="1" min="15" max="15" width="14.75"/>
    <col customWidth="1" min="16" max="16" width="12.88"/>
    <col customWidth="1" min="17" max="17" width="11.13"/>
    <col customWidth="1" min="18" max="18" width="19.13"/>
    <col customWidth="1" min="19" max="19" width="15.38"/>
    <col customWidth="1" min="20" max="20" width="20.88"/>
    <col customWidth="1" min="21" max="21" width="18.88"/>
    <col customWidth="1" min="22" max="22" width="23.13"/>
    <col customWidth="1" min="23" max="23" width="18.0"/>
    <col customWidth="1" min="24" max="24" width="30.13"/>
    <col customWidth="1" min="25" max="25" width="18.75"/>
    <col customWidth="1" min="26" max="26" width="33.0"/>
    <col customWidth="1" min="27" max="27" width="20.75"/>
    <col customWidth="1" min="28" max="28" width="17.75"/>
    <col customWidth="1" min="29" max="29" width="21.5"/>
    <col customWidth="1" min="30" max="30" width="43.0"/>
    <col customWidth="1" min="31" max="31" width="17.75"/>
    <col customWidth="1" min="32" max="32" width="19.0"/>
    <col customWidth="1" min="33" max="33" width="17.13"/>
    <col customWidth="1" min="34" max="34" width="9.75"/>
    <col customWidth="1" min="35" max="35" width="15.63"/>
    <col customWidth="1" min="36" max="36" width="17.38"/>
    <col customWidth="1" min="37" max="37" width="12.25"/>
    <col customWidth="1" min="38" max="38" width="10.25"/>
    <col customWidth="1" min="39" max="39" width="28.38"/>
    <col customWidth="1" min="40" max="40" width="40.13"/>
    <col customWidth="1" min="41" max="41" width="64.63"/>
    <col customWidth="1" min="42" max="42" width="27.63"/>
    <col customWidth="1" min="43" max="43" width="31.63"/>
    <col customWidth="1" min="44" max="44" width="25.0"/>
    <col customWidth="1" min="45" max="45" width="20.88"/>
    <col customWidth="1" min="46" max="46" width="27.75"/>
    <col customWidth="1" min="47" max="48" width="35.25"/>
  </cols>
  <sheetData>
    <row r="1" ht="15.75" customHeight="1">
      <c r="A1" s="1" t="s">
        <v>0</v>
      </c>
      <c r="B1" s="2" t="s">
        <v>1</v>
      </c>
      <c r="C1" s="2" t="s">
        <v>2</v>
      </c>
      <c r="D1" s="2" t="s">
        <v>3</v>
      </c>
      <c r="E1" s="2" t="s">
        <v>4</v>
      </c>
      <c r="F1" s="2" t="s">
        <v>5</v>
      </c>
      <c r="G1" s="2" t="s">
        <v>6</v>
      </c>
      <c r="H1" s="3" t="s">
        <v>7</v>
      </c>
      <c r="I1" s="2" t="s">
        <v>8</v>
      </c>
      <c r="J1" s="2" t="s">
        <v>9</v>
      </c>
      <c r="K1" s="2" t="s">
        <v>10</v>
      </c>
      <c r="L1" s="2" t="s">
        <v>11</v>
      </c>
      <c r="M1" s="4" t="s">
        <v>12</v>
      </c>
      <c r="N1" s="2" t="s">
        <v>13</v>
      </c>
      <c r="O1" s="2" t="s">
        <v>14</v>
      </c>
      <c r="P1" s="2" t="s">
        <v>15</v>
      </c>
      <c r="Q1" s="2" t="s">
        <v>16</v>
      </c>
      <c r="R1" s="5"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6" t="s">
        <v>47</v>
      </c>
    </row>
    <row r="2" ht="16.5" hidden="1" customHeight="1">
      <c r="A2" s="7" t="s">
        <v>48</v>
      </c>
      <c r="B2" s="7" t="s">
        <v>49</v>
      </c>
      <c r="C2" s="7" t="s">
        <v>50</v>
      </c>
      <c r="D2" s="7" t="s">
        <v>51</v>
      </c>
      <c r="E2" s="7" t="s">
        <v>52</v>
      </c>
      <c r="F2" s="7">
        <v>4169.0</v>
      </c>
      <c r="G2" s="7"/>
      <c r="H2" s="7" t="s">
        <v>53</v>
      </c>
      <c r="I2" s="8"/>
      <c r="J2" s="8"/>
      <c r="K2" s="8" t="s">
        <v>54</v>
      </c>
      <c r="L2" s="8" t="s">
        <v>55</v>
      </c>
      <c r="M2" s="8"/>
      <c r="N2" s="8" t="s">
        <v>55</v>
      </c>
      <c r="O2" s="8" t="s">
        <v>56</v>
      </c>
      <c r="P2" s="8" t="s">
        <v>57</v>
      </c>
      <c r="Q2" s="8" t="s">
        <v>58</v>
      </c>
      <c r="R2" s="8" t="s">
        <v>49</v>
      </c>
      <c r="S2" s="8" t="s">
        <v>49</v>
      </c>
      <c r="T2" s="8" t="s">
        <v>49</v>
      </c>
      <c r="U2" s="8" t="s">
        <v>49</v>
      </c>
      <c r="V2" s="8" t="s">
        <v>49</v>
      </c>
      <c r="W2" s="8" t="s">
        <v>49</v>
      </c>
      <c r="X2" s="8" t="s">
        <v>49</v>
      </c>
      <c r="Y2" s="8" t="s">
        <v>49</v>
      </c>
      <c r="Z2" s="8" t="s">
        <v>49</v>
      </c>
      <c r="AA2" s="8" t="s">
        <v>59</v>
      </c>
      <c r="AB2" s="8" t="s">
        <v>60</v>
      </c>
      <c r="AC2" s="8" t="s">
        <v>61</v>
      </c>
      <c r="AD2" s="8" t="s">
        <v>62</v>
      </c>
      <c r="AE2" s="8" t="s">
        <v>55</v>
      </c>
      <c r="AF2" s="8" t="s">
        <v>55</v>
      </c>
      <c r="AG2" s="8" t="s">
        <v>63</v>
      </c>
      <c r="AH2" s="8" t="s">
        <v>64</v>
      </c>
      <c r="AI2" s="8" t="s">
        <v>65</v>
      </c>
      <c r="AJ2" s="8" t="s">
        <v>49</v>
      </c>
      <c r="AK2" s="8" t="s">
        <v>49</v>
      </c>
      <c r="AL2" s="8" t="s">
        <v>66</v>
      </c>
      <c r="AM2" s="8" t="s">
        <v>67</v>
      </c>
      <c r="AN2" s="9" t="s">
        <v>68</v>
      </c>
      <c r="AO2" s="9" t="s">
        <v>69</v>
      </c>
      <c r="AP2" s="10" t="s">
        <v>70</v>
      </c>
      <c r="AQ2" s="11"/>
      <c r="AR2" s="10" t="s">
        <v>71</v>
      </c>
      <c r="AS2" s="12"/>
      <c r="AT2" s="10" t="s">
        <v>72</v>
      </c>
      <c r="AU2" s="11"/>
      <c r="AV2" s="13"/>
    </row>
    <row r="3" ht="16.5" hidden="1" customHeight="1">
      <c r="A3" s="7" t="s">
        <v>73</v>
      </c>
      <c r="B3" s="14" t="s">
        <v>49</v>
      </c>
      <c r="C3" s="14" t="s">
        <v>50</v>
      </c>
      <c r="D3" s="14" t="s">
        <v>51</v>
      </c>
      <c r="E3" s="7"/>
      <c r="F3" s="7">
        <v>4169.0</v>
      </c>
      <c r="G3" s="7">
        <v>4169.0</v>
      </c>
      <c r="H3" s="7" t="s">
        <v>53</v>
      </c>
      <c r="I3" s="7"/>
      <c r="J3" s="7"/>
      <c r="K3" s="8" t="s">
        <v>54</v>
      </c>
      <c r="L3" s="8" t="s">
        <v>55</v>
      </c>
      <c r="M3" s="12" t="s">
        <v>55</v>
      </c>
      <c r="N3" s="8" t="s">
        <v>55</v>
      </c>
      <c r="O3" s="8" t="s">
        <v>56</v>
      </c>
      <c r="P3" s="8" t="s">
        <v>57</v>
      </c>
      <c r="Q3" s="8" t="s">
        <v>74</v>
      </c>
      <c r="R3" s="8" t="s">
        <v>49</v>
      </c>
      <c r="S3" s="8" t="s">
        <v>49</v>
      </c>
      <c r="T3" s="8" t="s">
        <v>49</v>
      </c>
      <c r="U3" s="8" t="s">
        <v>49</v>
      </c>
      <c r="V3" s="8" t="s">
        <v>49</v>
      </c>
      <c r="W3" s="8" t="s">
        <v>49</v>
      </c>
      <c r="X3" s="8" t="s">
        <v>55</v>
      </c>
      <c r="Y3" s="8" t="s">
        <v>55</v>
      </c>
      <c r="Z3" s="8" t="s">
        <v>55</v>
      </c>
      <c r="AA3" s="8" t="s">
        <v>59</v>
      </c>
      <c r="AB3" s="8" t="s">
        <v>60</v>
      </c>
      <c r="AC3" s="8" t="s">
        <v>61</v>
      </c>
      <c r="AD3" s="8" t="s">
        <v>62</v>
      </c>
      <c r="AE3" s="8" t="s">
        <v>55</v>
      </c>
      <c r="AF3" s="8" t="s">
        <v>55</v>
      </c>
      <c r="AG3" s="8" t="s">
        <v>63</v>
      </c>
      <c r="AH3" s="8" t="s">
        <v>64</v>
      </c>
      <c r="AI3" s="8" t="s">
        <v>65</v>
      </c>
      <c r="AJ3" s="8" t="s">
        <v>49</v>
      </c>
      <c r="AK3" s="8" t="s">
        <v>55</v>
      </c>
      <c r="AL3" s="8" t="s">
        <v>66</v>
      </c>
      <c r="AM3" s="8"/>
      <c r="AN3" s="9" t="s">
        <v>68</v>
      </c>
      <c r="AO3" s="9" t="s">
        <v>69</v>
      </c>
      <c r="AP3" s="10" t="s">
        <v>70</v>
      </c>
      <c r="AQ3" s="11"/>
      <c r="AR3" s="10" t="s">
        <v>71</v>
      </c>
      <c r="AS3" s="12"/>
      <c r="AT3" s="10" t="s">
        <v>72</v>
      </c>
      <c r="AU3" s="11"/>
      <c r="AV3" s="15">
        <v>46315.0</v>
      </c>
    </row>
    <row r="4" ht="16.5" hidden="1" customHeight="1">
      <c r="A4" s="7" t="s">
        <v>75</v>
      </c>
      <c r="B4" s="14" t="s">
        <v>49</v>
      </c>
      <c r="C4" s="14" t="s">
        <v>50</v>
      </c>
      <c r="D4" s="14" t="s">
        <v>51</v>
      </c>
      <c r="E4" s="7"/>
      <c r="F4" s="7">
        <v>4170.0</v>
      </c>
      <c r="G4" s="7">
        <v>4169.0</v>
      </c>
      <c r="H4" s="7" t="s">
        <v>53</v>
      </c>
      <c r="I4" s="7"/>
      <c r="J4" s="7"/>
      <c r="K4" s="8" t="s">
        <v>76</v>
      </c>
      <c r="L4" s="8" t="s">
        <v>55</v>
      </c>
      <c r="M4" s="12" t="s">
        <v>55</v>
      </c>
      <c r="N4" s="8" t="s">
        <v>55</v>
      </c>
      <c r="O4" s="8" t="s">
        <v>56</v>
      </c>
      <c r="P4" s="8" t="s">
        <v>57</v>
      </c>
      <c r="Q4" s="8" t="s">
        <v>77</v>
      </c>
      <c r="R4" s="8" t="s">
        <v>49</v>
      </c>
      <c r="S4" s="8" t="s">
        <v>49</v>
      </c>
      <c r="T4" s="8" t="s">
        <v>49</v>
      </c>
      <c r="U4" s="8" t="s">
        <v>49</v>
      </c>
      <c r="V4" s="8" t="s">
        <v>49</v>
      </c>
      <c r="W4" s="8" t="s">
        <v>49</v>
      </c>
      <c r="X4" s="8" t="s">
        <v>55</v>
      </c>
      <c r="Y4" s="8" t="s">
        <v>55</v>
      </c>
      <c r="Z4" s="8" t="s">
        <v>55</v>
      </c>
      <c r="AA4" s="8" t="s">
        <v>59</v>
      </c>
      <c r="AB4" s="8" t="s">
        <v>60</v>
      </c>
      <c r="AC4" s="8" t="s">
        <v>61</v>
      </c>
      <c r="AD4" s="8" t="s">
        <v>78</v>
      </c>
      <c r="AE4" s="8" t="s">
        <v>55</v>
      </c>
      <c r="AF4" s="8" t="s">
        <v>55</v>
      </c>
      <c r="AG4" s="8" t="s">
        <v>63</v>
      </c>
      <c r="AH4" s="8" t="s">
        <v>64</v>
      </c>
      <c r="AI4" s="8" t="s">
        <v>65</v>
      </c>
      <c r="AJ4" s="8" t="s">
        <v>49</v>
      </c>
      <c r="AK4" s="8" t="s">
        <v>55</v>
      </c>
      <c r="AL4" s="8" t="s">
        <v>66</v>
      </c>
      <c r="AM4" s="8"/>
      <c r="AN4" s="9" t="s">
        <v>79</v>
      </c>
      <c r="AO4" s="9" t="s">
        <v>80</v>
      </c>
      <c r="AP4" s="10" t="s">
        <v>70</v>
      </c>
      <c r="AQ4" s="11"/>
      <c r="AR4" s="10" t="s">
        <v>81</v>
      </c>
      <c r="AS4" s="12"/>
      <c r="AT4" s="10" t="s">
        <v>82</v>
      </c>
      <c r="AU4" s="11"/>
      <c r="AV4" s="13"/>
    </row>
    <row r="5" ht="16.5" hidden="1" customHeight="1">
      <c r="A5" s="7" t="s">
        <v>83</v>
      </c>
      <c r="B5" s="7" t="s">
        <v>49</v>
      </c>
      <c r="C5" s="7" t="s">
        <v>50</v>
      </c>
      <c r="D5" s="7" t="s">
        <v>51</v>
      </c>
      <c r="E5" s="7" t="s">
        <v>52</v>
      </c>
      <c r="F5" s="7">
        <v>4177.0</v>
      </c>
      <c r="G5" s="7"/>
      <c r="H5" s="7" t="s">
        <v>53</v>
      </c>
      <c r="I5" s="7"/>
      <c r="J5" s="7"/>
      <c r="K5" s="8" t="s">
        <v>84</v>
      </c>
      <c r="L5" s="8" t="s">
        <v>49</v>
      </c>
      <c r="M5" s="8"/>
      <c r="N5" s="8" t="s">
        <v>85</v>
      </c>
      <c r="O5" s="8" t="s">
        <v>56</v>
      </c>
      <c r="P5" s="8" t="s">
        <v>57</v>
      </c>
      <c r="Q5" s="8" t="s">
        <v>86</v>
      </c>
      <c r="R5" s="8">
        <v>0.51</v>
      </c>
      <c r="S5" s="8" t="s">
        <v>49</v>
      </c>
      <c r="T5" s="8" t="s">
        <v>49</v>
      </c>
      <c r="U5" s="8" t="s">
        <v>87</v>
      </c>
      <c r="V5" s="8" t="s">
        <v>88</v>
      </c>
      <c r="W5" s="8" t="s">
        <v>89</v>
      </c>
      <c r="X5" s="8" t="s">
        <v>90</v>
      </c>
      <c r="Y5" s="8" t="s">
        <v>91</v>
      </c>
      <c r="Z5" s="8" t="s">
        <v>92</v>
      </c>
      <c r="AA5" s="8" t="s">
        <v>59</v>
      </c>
      <c r="AB5" s="8" t="s">
        <v>60</v>
      </c>
      <c r="AC5" s="8" t="s">
        <v>61</v>
      </c>
      <c r="AD5" s="8" t="s">
        <v>93</v>
      </c>
      <c r="AE5" s="8" t="s">
        <v>55</v>
      </c>
      <c r="AF5" s="8" t="s">
        <v>55</v>
      </c>
      <c r="AG5" s="8" t="s">
        <v>63</v>
      </c>
      <c r="AH5" s="8" t="s">
        <v>64</v>
      </c>
      <c r="AI5" s="8" t="s">
        <v>94</v>
      </c>
      <c r="AJ5" s="8" t="s">
        <v>49</v>
      </c>
      <c r="AK5" s="8" t="s">
        <v>95</v>
      </c>
      <c r="AL5" s="8" t="s">
        <v>66</v>
      </c>
      <c r="AM5" s="8" t="s">
        <v>96</v>
      </c>
      <c r="AN5" s="9" t="s">
        <v>97</v>
      </c>
      <c r="AO5" s="9" t="s">
        <v>98</v>
      </c>
      <c r="AP5" s="10" t="s">
        <v>99</v>
      </c>
      <c r="AQ5" s="10" t="s">
        <v>100</v>
      </c>
      <c r="AR5" s="10" t="s">
        <v>101</v>
      </c>
      <c r="AS5" s="12"/>
      <c r="AT5" s="10" t="s">
        <v>102</v>
      </c>
      <c r="AU5" s="10" t="s">
        <v>103</v>
      </c>
      <c r="AV5" s="13"/>
    </row>
    <row r="6" ht="16.5" hidden="1" customHeight="1">
      <c r="A6" s="7" t="s">
        <v>104</v>
      </c>
      <c r="B6" s="7" t="s">
        <v>49</v>
      </c>
      <c r="C6" s="7" t="s">
        <v>50</v>
      </c>
      <c r="D6" s="7" t="s">
        <v>51</v>
      </c>
      <c r="E6" s="7" t="s">
        <v>52</v>
      </c>
      <c r="F6" s="7">
        <v>4179.0</v>
      </c>
      <c r="G6" s="7"/>
      <c r="H6" s="7" t="s">
        <v>53</v>
      </c>
      <c r="I6" s="7"/>
      <c r="J6" s="7"/>
      <c r="K6" s="8" t="s">
        <v>84</v>
      </c>
      <c r="L6" s="8" t="s">
        <v>49</v>
      </c>
      <c r="M6" s="8"/>
      <c r="N6" s="8" t="s">
        <v>85</v>
      </c>
      <c r="O6" s="8" t="s">
        <v>56</v>
      </c>
      <c r="P6" s="8" t="s">
        <v>57</v>
      </c>
      <c r="Q6" s="8" t="s">
        <v>105</v>
      </c>
      <c r="R6" s="8">
        <v>0.49</v>
      </c>
      <c r="S6" s="8" t="s">
        <v>49</v>
      </c>
      <c r="T6" s="8" t="s">
        <v>49</v>
      </c>
      <c r="U6" s="8" t="s">
        <v>106</v>
      </c>
      <c r="V6" s="8" t="s">
        <v>107</v>
      </c>
      <c r="W6" s="8" t="s">
        <v>89</v>
      </c>
      <c r="X6" s="8" t="s">
        <v>108</v>
      </c>
      <c r="Y6" s="8" t="s">
        <v>109</v>
      </c>
      <c r="Z6" s="8" t="s">
        <v>92</v>
      </c>
      <c r="AA6" s="8" t="s">
        <v>59</v>
      </c>
      <c r="AB6" s="8" t="s">
        <v>60</v>
      </c>
      <c r="AC6" s="8" t="s">
        <v>61</v>
      </c>
      <c r="AD6" s="8" t="s">
        <v>110</v>
      </c>
      <c r="AE6" s="8" t="s">
        <v>55</v>
      </c>
      <c r="AF6" s="8" t="s">
        <v>55</v>
      </c>
      <c r="AG6" s="8" t="s">
        <v>63</v>
      </c>
      <c r="AH6" s="8" t="s">
        <v>111</v>
      </c>
      <c r="AI6" s="8" t="s">
        <v>112</v>
      </c>
      <c r="AJ6" s="8" t="s">
        <v>49</v>
      </c>
      <c r="AK6" s="8" t="s">
        <v>49</v>
      </c>
      <c r="AL6" s="8" t="s">
        <v>66</v>
      </c>
      <c r="AM6" s="8" t="s">
        <v>113</v>
      </c>
      <c r="AN6" s="9" t="s">
        <v>114</v>
      </c>
      <c r="AO6" s="9" t="s">
        <v>115</v>
      </c>
      <c r="AP6" s="10" t="s">
        <v>116</v>
      </c>
      <c r="AQ6" s="10" t="s">
        <v>117</v>
      </c>
      <c r="AR6" s="10" t="s">
        <v>118</v>
      </c>
      <c r="AS6" s="12"/>
      <c r="AT6" s="10" t="s">
        <v>119</v>
      </c>
      <c r="AU6" s="10" t="s">
        <v>120</v>
      </c>
      <c r="AV6" s="13"/>
    </row>
    <row r="7" ht="16.5" hidden="1" customHeight="1">
      <c r="A7" s="7" t="s">
        <v>121</v>
      </c>
      <c r="B7" s="14" t="s">
        <v>49</v>
      </c>
      <c r="C7" s="14" t="s">
        <v>50</v>
      </c>
      <c r="D7" s="14" t="s">
        <v>51</v>
      </c>
      <c r="E7" s="7"/>
      <c r="F7" s="7">
        <v>4179.0</v>
      </c>
      <c r="G7" s="7">
        <v>4179.0</v>
      </c>
      <c r="H7" s="7" t="s">
        <v>53</v>
      </c>
      <c r="I7" s="7"/>
      <c r="J7" s="7"/>
      <c r="K7" s="8" t="s">
        <v>84</v>
      </c>
      <c r="L7" s="8" t="s">
        <v>49</v>
      </c>
      <c r="M7" s="8"/>
      <c r="N7" s="8" t="s">
        <v>85</v>
      </c>
      <c r="O7" s="8" t="s">
        <v>56</v>
      </c>
      <c r="P7" s="8" t="s">
        <v>57</v>
      </c>
      <c r="Q7" s="8" t="s">
        <v>105</v>
      </c>
      <c r="R7" s="8">
        <v>0.49</v>
      </c>
      <c r="S7" s="8" t="s">
        <v>49</v>
      </c>
      <c r="T7" s="8" t="s">
        <v>49</v>
      </c>
      <c r="U7" s="8" t="s">
        <v>106</v>
      </c>
      <c r="V7" s="8" t="s">
        <v>107</v>
      </c>
      <c r="W7" s="8" t="s">
        <v>89</v>
      </c>
      <c r="X7" s="8" t="s">
        <v>108</v>
      </c>
      <c r="Y7" s="8" t="s">
        <v>109</v>
      </c>
      <c r="Z7" s="8" t="s">
        <v>92</v>
      </c>
      <c r="AA7" s="8" t="s">
        <v>59</v>
      </c>
      <c r="AB7" s="8" t="s">
        <v>60</v>
      </c>
      <c r="AC7" s="8" t="s">
        <v>61</v>
      </c>
      <c r="AD7" s="8" t="s">
        <v>110</v>
      </c>
      <c r="AE7" s="8" t="s">
        <v>55</v>
      </c>
      <c r="AF7" s="8" t="s">
        <v>55</v>
      </c>
      <c r="AG7" s="8" t="s">
        <v>63</v>
      </c>
      <c r="AH7" s="8" t="s">
        <v>111</v>
      </c>
      <c r="AI7" s="8" t="s">
        <v>112</v>
      </c>
      <c r="AJ7" s="8" t="s">
        <v>49</v>
      </c>
      <c r="AK7" s="8" t="s">
        <v>95</v>
      </c>
      <c r="AL7" s="8" t="s">
        <v>66</v>
      </c>
      <c r="AM7" s="8"/>
      <c r="AN7" s="9" t="s">
        <v>114</v>
      </c>
      <c r="AO7" s="9" t="s">
        <v>115</v>
      </c>
      <c r="AP7" s="10" t="s">
        <v>116</v>
      </c>
      <c r="AQ7" s="10" t="s">
        <v>117</v>
      </c>
      <c r="AR7" s="10" t="s">
        <v>118</v>
      </c>
      <c r="AS7" s="12"/>
      <c r="AT7" s="10" t="s">
        <v>119</v>
      </c>
      <c r="AU7" s="10" t="s">
        <v>120</v>
      </c>
      <c r="AV7" s="13"/>
    </row>
    <row r="8" ht="16.5" hidden="1" customHeight="1">
      <c r="A8" s="7" t="s">
        <v>122</v>
      </c>
      <c r="B8" s="14" t="s">
        <v>49</v>
      </c>
      <c r="C8" s="14" t="s">
        <v>50</v>
      </c>
      <c r="D8" s="14" t="s">
        <v>51</v>
      </c>
      <c r="E8" s="7"/>
      <c r="F8" s="7">
        <v>4180.0</v>
      </c>
      <c r="G8" s="7">
        <v>4179.0</v>
      </c>
      <c r="H8" s="7" t="s">
        <v>53</v>
      </c>
      <c r="I8" s="7"/>
      <c r="J8" s="7"/>
      <c r="K8" s="8" t="s">
        <v>84</v>
      </c>
      <c r="L8" s="8" t="s">
        <v>49</v>
      </c>
      <c r="M8" s="8"/>
      <c r="N8" s="8" t="s">
        <v>85</v>
      </c>
      <c r="O8" s="8" t="s">
        <v>56</v>
      </c>
      <c r="P8" s="8" t="s">
        <v>57</v>
      </c>
      <c r="Q8" s="8" t="s">
        <v>105</v>
      </c>
      <c r="R8" s="8">
        <v>0.49</v>
      </c>
      <c r="S8" s="8" t="s">
        <v>49</v>
      </c>
      <c r="T8" s="8" t="s">
        <v>49</v>
      </c>
      <c r="U8" s="8" t="s">
        <v>106</v>
      </c>
      <c r="V8" s="8" t="s">
        <v>107</v>
      </c>
      <c r="W8" s="8" t="s">
        <v>89</v>
      </c>
      <c r="X8" s="8" t="s">
        <v>108</v>
      </c>
      <c r="Y8" s="8" t="s">
        <v>109</v>
      </c>
      <c r="Z8" s="8" t="s">
        <v>92</v>
      </c>
      <c r="AA8" s="8" t="s">
        <v>59</v>
      </c>
      <c r="AB8" s="8" t="s">
        <v>60</v>
      </c>
      <c r="AC8" s="8" t="s">
        <v>61</v>
      </c>
      <c r="AD8" s="8" t="s">
        <v>110</v>
      </c>
      <c r="AE8" s="8" t="s">
        <v>55</v>
      </c>
      <c r="AF8" s="8" t="s">
        <v>55</v>
      </c>
      <c r="AG8" s="8" t="s">
        <v>63</v>
      </c>
      <c r="AH8" s="8" t="s">
        <v>111</v>
      </c>
      <c r="AI8" s="8" t="s">
        <v>94</v>
      </c>
      <c r="AJ8" s="8" t="s">
        <v>49</v>
      </c>
      <c r="AK8" s="8" t="s">
        <v>95</v>
      </c>
      <c r="AL8" s="8" t="s">
        <v>66</v>
      </c>
      <c r="AM8" s="8"/>
      <c r="AN8" s="9" t="s">
        <v>123</v>
      </c>
      <c r="AO8" s="9" t="s">
        <v>124</v>
      </c>
      <c r="AP8" s="10" t="s">
        <v>116</v>
      </c>
      <c r="AQ8" s="10" t="s">
        <v>117</v>
      </c>
      <c r="AR8" s="10" t="s">
        <v>118</v>
      </c>
      <c r="AS8" s="12"/>
      <c r="AT8" s="10" t="s">
        <v>119</v>
      </c>
      <c r="AU8" s="10" t="s">
        <v>120</v>
      </c>
      <c r="AV8" s="15">
        <v>46315.0</v>
      </c>
    </row>
    <row r="9" ht="16.5" hidden="1" customHeight="1">
      <c r="A9" s="7" t="s">
        <v>125</v>
      </c>
      <c r="B9" s="7" t="s">
        <v>49</v>
      </c>
      <c r="C9" s="14" t="s">
        <v>50</v>
      </c>
      <c r="D9" s="7" t="s">
        <v>51</v>
      </c>
      <c r="E9" s="7" t="s">
        <v>52</v>
      </c>
      <c r="F9" s="7">
        <v>4181.0</v>
      </c>
      <c r="G9" s="7"/>
      <c r="H9" s="7" t="s">
        <v>53</v>
      </c>
      <c r="I9" s="7"/>
      <c r="J9" s="7"/>
      <c r="K9" s="8" t="s">
        <v>84</v>
      </c>
      <c r="L9" s="8" t="s">
        <v>126</v>
      </c>
      <c r="M9" s="8"/>
      <c r="N9" s="8" t="s">
        <v>85</v>
      </c>
      <c r="O9" s="8" t="s">
        <v>56</v>
      </c>
      <c r="P9" s="8" t="s">
        <v>57</v>
      </c>
      <c r="Q9" s="8" t="s">
        <v>86</v>
      </c>
      <c r="R9" s="8">
        <v>0.5</v>
      </c>
      <c r="S9" s="8" t="s">
        <v>49</v>
      </c>
      <c r="T9" s="8" t="s">
        <v>49</v>
      </c>
      <c r="U9" s="8" t="s">
        <v>127</v>
      </c>
      <c r="V9" s="8" t="s">
        <v>128</v>
      </c>
      <c r="W9" s="8" t="s">
        <v>89</v>
      </c>
      <c r="X9" s="8" t="s">
        <v>90</v>
      </c>
      <c r="Y9" s="8" t="s">
        <v>129</v>
      </c>
      <c r="Z9" s="8" t="s">
        <v>130</v>
      </c>
      <c r="AA9" s="8" t="s">
        <v>59</v>
      </c>
      <c r="AB9" s="8" t="s">
        <v>60</v>
      </c>
      <c r="AC9" s="8" t="s">
        <v>61</v>
      </c>
      <c r="AD9" s="8" t="s">
        <v>131</v>
      </c>
      <c r="AE9" s="8" t="s">
        <v>55</v>
      </c>
      <c r="AF9" s="8" t="s">
        <v>55</v>
      </c>
      <c r="AG9" s="8" t="s">
        <v>63</v>
      </c>
      <c r="AH9" s="8" t="s">
        <v>64</v>
      </c>
      <c r="AI9" s="8" t="s">
        <v>94</v>
      </c>
      <c r="AJ9" s="8" t="s">
        <v>49</v>
      </c>
      <c r="AK9" s="8" t="s">
        <v>95</v>
      </c>
      <c r="AL9" s="8" t="s">
        <v>66</v>
      </c>
      <c r="AM9" s="8" t="s">
        <v>96</v>
      </c>
      <c r="AN9" s="16" t="s">
        <v>132</v>
      </c>
      <c r="AO9" s="9" t="s">
        <v>133</v>
      </c>
      <c r="AP9" s="10" t="s">
        <v>134</v>
      </c>
      <c r="AQ9" s="10" t="s">
        <v>135</v>
      </c>
      <c r="AR9" s="10" t="s">
        <v>136</v>
      </c>
      <c r="AS9" s="12"/>
      <c r="AT9" s="10" t="s">
        <v>137</v>
      </c>
      <c r="AU9" s="10" t="s">
        <v>138</v>
      </c>
      <c r="AV9" s="13"/>
    </row>
    <row r="10" ht="16.5" hidden="1" customHeight="1">
      <c r="A10" s="7" t="s">
        <v>139</v>
      </c>
      <c r="B10" s="7" t="s">
        <v>49</v>
      </c>
      <c r="C10" s="7" t="s">
        <v>50</v>
      </c>
      <c r="D10" s="7" t="s">
        <v>51</v>
      </c>
      <c r="E10" s="7" t="s">
        <v>52</v>
      </c>
      <c r="F10" s="7">
        <v>4182.0</v>
      </c>
      <c r="G10" s="7"/>
      <c r="H10" s="7" t="s">
        <v>53</v>
      </c>
      <c r="I10" s="7"/>
      <c r="J10" s="7"/>
      <c r="K10" s="8" t="s">
        <v>84</v>
      </c>
      <c r="L10" s="8" t="s">
        <v>49</v>
      </c>
      <c r="M10" s="8"/>
      <c r="N10" s="8" t="s">
        <v>85</v>
      </c>
      <c r="O10" s="8" t="s">
        <v>56</v>
      </c>
      <c r="P10" s="8" t="s">
        <v>57</v>
      </c>
      <c r="Q10" s="8" t="s">
        <v>140</v>
      </c>
      <c r="R10" s="8">
        <v>0.48</v>
      </c>
      <c r="S10" s="8" t="s">
        <v>49</v>
      </c>
      <c r="T10" s="8" t="s">
        <v>49</v>
      </c>
      <c r="U10" s="8" t="s">
        <v>141</v>
      </c>
      <c r="V10" s="8" t="s">
        <v>142</v>
      </c>
      <c r="W10" s="8" t="s">
        <v>89</v>
      </c>
      <c r="X10" s="8" t="s">
        <v>108</v>
      </c>
      <c r="Y10" s="8" t="s">
        <v>143</v>
      </c>
      <c r="Z10" s="8" t="s">
        <v>92</v>
      </c>
      <c r="AA10" s="8" t="s">
        <v>59</v>
      </c>
      <c r="AB10" s="8" t="s">
        <v>60</v>
      </c>
      <c r="AC10" s="8" t="s">
        <v>61</v>
      </c>
      <c r="AD10" s="8" t="s">
        <v>144</v>
      </c>
      <c r="AE10" s="8" t="s">
        <v>55</v>
      </c>
      <c r="AF10" s="8" t="s">
        <v>55</v>
      </c>
      <c r="AG10" s="8" t="s">
        <v>63</v>
      </c>
      <c r="AH10" s="8" t="s">
        <v>145</v>
      </c>
      <c r="AI10" s="8" t="s">
        <v>112</v>
      </c>
      <c r="AJ10" s="8" t="s">
        <v>49</v>
      </c>
      <c r="AK10" s="8" t="s">
        <v>49</v>
      </c>
      <c r="AL10" s="8" t="s">
        <v>66</v>
      </c>
      <c r="AM10" s="8" t="s">
        <v>146</v>
      </c>
      <c r="AN10" s="9" t="s">
        <v>147</v>
      </c>
      <c r="AO10" s="9" t="s">
        <v>148</v>
      </c>
      <c r="AP10" s="10" t="s">
        <v>149</v>
      </c>
      <c r="AQ10" s="10" t="s">
        <v>150</v>
      </c>
      <c r="AR10" s="10" t="s">
        <v>151</v>
      </c>
      <c r="AS10" s="12"/>
      <c r="AT10" s="10" t="s">
        <v>152</v>
      </c>
      <c r="AU10" s="10" t="s">
        <v>153</v>
      </c>
      <c r="AV10" s="13"/>
    </row>
    <row r="11" ht="16.5" hidden="1" customHeight="1">
      <c r="A11" s="7" t="s">
        <v>154</v>
      </c>
      <c r="B11" s="14" t="s">
        <v>49</v>
      </c>
      <c r="C11" s="14" t="s">
        <v>50</v>
      </c>
      <c r="D11" s="14" t="s">
        <v>51</v>
      </c>
      <c r="E11" s="7"/>
      <c r="F11" s="7">
        <v>4182.0</v>
      </c>
      <c r="G11" s="7">
        <v>4182.0</v>
      </c>
      <c r="H11" s="7" t="s">
        <v>53</v>
      </c>
      <c r="I11" s="7"/>
      <c r="J11" s="7"/>
      <c r="K11" s="8" t="s">
        <v>84</v>
      </c>
      <c r="L11" s="8" t="s">
        <v>49</v>
      </c>
      <c r="M11" s="8"/>
      <c r="N11" s="8" t="s">
        <v>85</v>
      </c>
      <c r="O11" s="8" t="s">
        <v>56</v>
      </c>
      <c r="P11" s="8" t="s">
        <v>57</v>
      </c>
      <c r="Q11" s="8" t="s">
        <v>140</v>
      </c>
      <c r="R11" s="8">
        <v>0.48</v>
      </c>
      <c r="S11" s="8" t="s">
        <v>49</v>
      </c>
      <c r="T11" s="8" t="s">
        <v>49</v>
      </c>
      <c r="U11" s="8" t="s">
        <v>141</v>
      </c>
      <c r="V11" s="8" t="s">
        <v>142</v>
      </c>
      <c r="W11" s="8" t="s">
        <v>89</v>
      </c>
      <c r="X11" s="8" t="s">
        <v>108</v>
      </c>
      <c r="Y11" s="8" t="s">
        <v>143</v>
      </c>
      <c r="Z11" s="8" t="s">
        <v>92</v>
      </c>
      <c r="AA11" s="8" t="s">
        <v>59</v>
      </c>
      <c r="AB11" s="8" t="s">
        <v>60</v>
      </c>
      <c r="AC11" s="8" t="s">
        <v>61</v>
      </c>
      <c r="AD11" s="8" t="s">
        <v>144</v>
      </c>
      <c r="AE11" s="8" t="s">
        <v>55</v>
      </c>
      <c r="AF11" s="8" t="s">
        <v>55</v>
      </c>
      <c r="AG11" s="8" t="s">
        <v>63</v>
      </c>
      <c r="AH11" s="8" t="s">
        <v>145</v>
      </c>
      <c r="AI11" s="8" t="s">
        <v>112</v>
      </c>
      <c r="AJ11" s="8" t="s">
        <v>49</v>
      </c>
      <c r="AK11" s="8" t="s">
        <v>95</v>
      </c>
      <c r="AL11" s="8" t="s">
        <v>66</v>
      </c>
      <c r="AM11" s="8"/>
      <c r="AN11" s="16" t="s">
        <v>147</v>
      </c>
      <c r="AO11" s="9" t="s">
        <v>148</v>
      </c>
      <c r="AP11" s="10" t="s">
        <v>149</v>
      </c>
      <c r="AQ11" s="10" t="s">
        <v>150</v>
      </c>
      <c r="AR11" s="10" t="s">
        <v>151</v>
      </c>
      <c r="AS11" s="12"/>
      <c r="AT11" s="10" t="s">
        <v>152</v>
      </c>
      <c r="AU11" s="10" t="s">
        <v>153</v>
      </c>
      <c r="AV11" s="13"/>
    </row>
    <row r="12" ht="16.5" hidden="1" customHeight="1">
      <c r="A12" s="7" t="s">
        <v>155</v>
      </c>
      <c r="B12" s="14" t="s">
        <v>49</v>
      </c>
      <c r="C12" s="14" t="s">
        <v>50</v>
      </c>
      <c r="D12" s="14" t="s">
        <v>51</v>
      </c>
      <c r="E12" s="7"/>
      <c r="F12" s="7">
        <v>4183.0</v>
      </c>
      <c r="G12" s="7">
        <v>4182.0</v>
      </c>
      <c r="H12" s="7" t="s">
        <v>53</v>
      </c>
      <c r="I12" s="7"/>
      <c r="J12" s="7"/>
      <c r="K12" s="8" t="s">
        <v>84</v>
      </c>
      <c r="L12" s="8" t="s">
        <v>49</v>
      </c>
      <c r="M12" s="8"/>
      <c r="N12" s="8" t="s">
        <v>85</v>
      </c>
      <c r="O12" s="8" t="s">
        <v>56</v>
      </c>
      <c r="P12" s="8" t="s">
        <v>57</v>
      </c>
      <c r="Q12" s="8" t="s">
        <v>140</v>
      </c>
      <c r="R12" s="8">
        <v>0.48</v>
      </c>
      <c r="S12" s="8" t="s">
        <v>49</v>
      </c>
      <c r="T12" s="8" t="s">
        <v>49</v>
      </c>
      <c r="U12" s="8" t="s">
        <v>141</v>
      </c>
      <c r="V12" s="8" t="s">
        <v>142</v>
      </c>
      <c r="W12" s="8" t="s">
        <v>89</v>
      </c>
      <c r="X12" s="8" t="s">
        <v>108</v>
      </c>
      <c r="Y12" s="8" t="s">
        <v>143</v>
      </c>
      <c r="Z12" s="8" t="s">
        <v>92</v>
      </c>
      <c r="AA12" s="8" t="s">
        <v>59</v>
      </c>
      <c r="AB12" s="8" t="s">
        <v>60</v>
      </c>
      <c r="AC12" s="8" t="s">
        <v>61</v>
      </c>
      <c r="AD12" s="8" t="s">
        <v>144</v>
      </c>
      <c r="AE12" s="8" t="s">
        <v>55</v>
      </c>
      <c r="AF12" s="8" t="s">
        <v>55</v>
      </c>
      <c r="AG12" s="8" t="s">
        <v>63</v>
      </c>
      <c r="AH12" s="8" t="s">
        <v>145</v>
      </c>
      <c r="AI12" s="8" t="s">
        <v>94</v>
      </c>
      <c r="AJ12" s="8" t="s">
        <v>49</v>
      </c>
      <c r="AK12" s="8" t="s">
        <v>95</v>
      </c>
      <c r="AL12" s="8" t="s">
        <v>66</v>
      </c>
      <c r="AM12" s="8"/>
      <c r="AN12" s="16" t="s">
        <v>156</v>
      </c>
      <c r="AO12" s="9" t="s">
        <v>157</v>
      </c>
      <c r="AP12" s="10" t="s">
        <v>149</v>
      </c>
      <c r="AQ12" s="10" t="s">
        <v>150</v>
      </c>
      <c r="AR12" s="10" t="s">
        <v>151</v>
      </c>
      <c r="AS12" s="12"/>
      <c r="AT12" s="10" t="s">
        <v>152</v>
      </c>
      <c r="AU12" s="10" t="s">
        <v>153</v>
      </c>
      <c r="AV12" s="13"/>
    </row>
    <row r="13" ht="16.5" hidden="1" customHeight="1">
      <c r="A13" s="7" t="s">
        <v>158</v>
      </c>
      <c r="B13" s="7" t="s">
        <v>49</v>
      </c>
      <c r="C13" s="7" t="s">
        <v>50</v>
      </c>
      <c r="D13" s="7" t="s">
        <v>51</v>
      </c>
      <c r="E13" s="7" t="s">
        <v>52</v>
      </c>
      <c r="F13" s="7">
        <v>4184.0</v>
      </c>
      <c r="G13" s="7"/>
      <c r="H13" s="7" t="s">
        <v>53</v>
      </c>
      <c r="I13" s="7"/>
      <c r="J13" s="7"/>
      <c r="K13" s="8" t="s">
        <v>84</v>
      </c>
      <c r="L13" s="8" t="s">
        <v>49</v>
      </c>
      <c r="M13" s="8"/>
      <c r="N13" s="8" t="s">
        <v>85</v>
      </c>
      <c r="O13" s="8" t="s">
        <v>56</v>
      </c>
      <c r="P13" s="8" t="s">
        <v>57</v>
      </c>
      <c r="Q13" s="8" t="s">
        <v>140</v>
      </c>
      <c r="R13" s="8">
        <v>0.47</v>
      </c>
      <c r="S13" s="8" t="s">
        <v>49</v>
      </c>
      <c r="T13" s="8" t="s">
        <v>49</v>
      </c>
      <c r="U13" s="8" t="s">
        <v>159</v>
      </c>
      <c r="V13" s="8" t="s">
        <v>160</v>
      </c>
      <c r="W13" s="8" t="s">
        <v>89</v>
      </c>
      <c r="X13" s="8" t="s">
        <v>108</v>
      </c>
      <c r="Y13" s="8" t="s">
        <v>161</v>
      </c>
      <c r="Z13" s="8" t="s">
        <v>92</v>
      </c>
      <c r="AA13" s="8" t="s">
        <v>59</v>
      </c>
      <c r="AB13" s="8" t="s">
        <v>60</v>
      </c>
      <c r="AC13" s="8" t="s">
        <v>61</v>
      </c>
      <c r="AD13" s="8" t="s">
        <v>162</v>
      </c>
      <c r="AE13" s="8" t="s">
        <v>55</v>
      </c>
      <c r="AF13" s="8" t="s">
        <v>55</v>
      </c>
      <c r="AG13" s="8" t="s">
        <v>63</v>
      </c>
      <c r="AH13" s="8" t="s">
        <v>145</v>
      </c>
      <c r="AI13" s="8" t="s">
        <v>112</v>
      </c>
      <c r="AJ13" s="8" t="s">
        <v>49</v>
      </c>
      <c r="AK13" s="8" t="s">
        <v>49</v>
      </c>
      <c r="AL13" s="8" t="s">
        <v>66</v>
      </c>
      <c r="AM13" s="8" t="s">
        <v>146</v>
      </c>
      <c r="AN13" s="9" t="s">
        <v>163</v>
      </c>
      <c r="AO13" s="9" t="s">
        <v>164</v>
      </c>
      <c r="AP13" s="10" t="s">
        <v>165</v>
      </c>
      <c r="AQ13" s="10" t="s">
        <v>166</v>
      </c>
      <c r="AR13" s="10" t="s">
        <v>167</v>
      </c>
      <c r="AS13" s="12"/>
      <c r="AT13" s="10" t="s">
        <v>168</v>
      </c>
      <c r="AU13" s="10" t="s">
        <v>169</v>
      </c>
      <c r="AV13" s="13"/>
    </row>
    <row r="14" ht="16.5" hidden="1" customHeight="1">
      <c r="A14" s="7" t="s">
        <v>170</v>
      </c>
      <c r="B14" s="14" t="s">
        <v>49</v>
      </c>
      <c r="C14" s="14" t="s">
        <v>50</v>
      </c>
      <c r="D14" s="14" t="s">
        <v>51</v>
      </c>
      <c r="E14" s="7"/>
      <c r="F14" s="7">
        <v>4184.0</v>
      </c>
      <c r="G14" s="7">
        <v>4184.0</v>
      </c>
      <c r="H14" s="7" t="s">
        <v>53</v>
      </c>
      <c r="I14" s="7"/>
      <c r="J14" s="7"/>
      <c r="K14" s="8" t="s">
        <v>84</v>
      </c>
      <c r="L14" s="8" t="s">
        <v>49</v>
      </c>
      <c r="M14" s="8"/>
      <c r="N14" s="8" t="s">
        <v>85</v>
      </c>
      <c r="O14" s="8" t="s">
        <v>56</v>
      </c>
      <c r="P14" s="8" t="s">
        <v>57</v>
      </c>
      <c r="Q14" s="8" t="s">
        <v>140</v>
      </c>
      <c r="R14" s="8">
        <v>0.47</v>
      </c>
      <c r="S14" s="8" t="s">
        <v>49</v>
      </c>
      <c r="T14" s="8" t="s">
        <v>49</v>
      </c>
      <c r="U14" s="8" t="s">
        <v>159</v>
      </c>
      <c r="V14" s="8" t="s">
        <v>160</v>
      </c>
      <c r="W14" s="8" t="s">
        <v>89</v>
      </c>
      <c r="X14" s="8" t="s">
        <v>108</v>
      </c>
      <c r="Y14" s="8" t="s">
        <v>161</v>
      </c>
      <c r="Z14" s="8" t="s">
        <v>92</v>
      </c>
      <c r="AA14" s="8" t="s">
        <v>59</v>
      </c>
      <c r="AB14" s="8" t="s">
        <v>60</v>
      </c>
      <c r="AC14" s="8" t="s">
        <v>61</v>
      </c>
      <c r="AD14" s="8" t="s">
        <v>171</v>
      </c>
      <c r="AE14" s="8" t="s">
        <v>55</v>
      </c>
      <c r="AF14" s="8" t="s">
        <v>55</v>
      </c>
      <c r="AG14" s="8" t="s">
        <v>63</v>
      </c>
      <c r="AH14" s="8" t="s">
        <v>145</v>
      </c>
      <c r="AI14" s="8" t="s">
        <v>112</v>
      </c>
      <c r="AJ14" s="8" t="s">
        <v>49</v>
      </c>
      <c r="AK14" s="8" t="s">
        <v>95</v>
      </c>
      <c r="AL14" s="8" t="s">
        <v>66</v>
      </c>
      <c r="AM14" s="8"/>
      <c r="AN14" s="16" t="s">
        <v>163</v>
      </c>
      <c r="AO14" s="9" t="s">
        <v>164</v>
      </c>
      <c r="AP14" s="10" t="s">
        <v>165</v>
      </c>
      <c r="AQ14" s="10" t="s">
        <v>166</v>
      </c>
      <c r="AR14" s="10" t="s">
        <v>167</v>
      </c>
      <c r="AS14" s="12"/>
      <c r="AT14" s="10" t="s">
        <v>168</v>
      </c>
      <c r="AU14" s="10" t="s">
        <v>169</v>
      </c>
      <c r="AV14" s="15">
        <v>46315.0</v>
      </c>
    </row>
    <row r="15" ht="16.5" hidden="1" customHeight="1">
      <c r="A15" s="7" t="s">
        <v>172</v>
      </c>
      <c r="B15" s="14" t="s">
        <v>49</v>
      </c>
      <c r="C15" s="14" t="s">
        <v>50</v>
      </c>
      <c r="D15" s="14" t="s">
        <v>51</v>
      </c>
      <c r="E15" s="7"/>
      <c r="F15" s="7">
        <v>4185.0</v>
      </c>
      <c r="G15" s="7">
        <v>4184.0</v>
      </c>
      <c r="H15" s="7" t="s">
        <v>53</v>
      </c>
      <c r="I15" s="7"/>
      <c r="J15" s="7"/>
      <c r="K15" s="8" t="s">
        <v>84</v>
      </c>
      <c r="L15" s="8" t="s">
        <v>49</v>
      </c>
      <c r="M15" s="8"/>
      <c r="N15" s="8" t="s">
        <v>85</v>
      </c>
      <c r="O15" s="8" t="s">
        <v>56</v>
      </c>
      <c r="P15" s="8" t="s">
        <v>57</v>
      </c>
      <c r="Q15" s="8" t="s">
        <v>140</v>
      </c>
      <c r="R15" s="8">
        <v>0.47</v>
      </c>
      <c r="S15" s="8" t="s">
        <v>49</v>
      </c>
      <c r="T15" s="8" t="s">
        <v>49</v>
      </c>
      <c r="U15" s="8" t="s">
        <v>159</v>
      </c>
      <c r="V15" s="8" t="s">
        <v>160</v>
      </c>
      <c r="W15" s="8" t="s">
        <v>89</v>
      </c>
      <c r="X15" s="8" t="s">
        <v>108</v>
      </c>
      <c r="Y15" s="8" t="s">
        <v>161</v>
      </c>
      <c r="Z15" s="8" t="s">
        <v>92</v>
      </c>
      <c r="AA15" s="8" t="s">
        <v>59</v>
      </c>
      <c r="AB15" s="8" t="s">
        <v>60</v>
      </c>
      <c r="AC15" s="8" t="s">
        <v>61</v>
      </c>
      <c r="AD15" s="8" t="s">
        <v>171</v>
      </c>
      <c r="AE15" s="8" t="s">
        <v>55</v>
      </c>
      <c r="AF15" s="8" t="s">
        <v>55</v>
      </c>
      <c r="AG15" s="8" t="s">
        <v>63</v>
      </c>
      <c r="AH15" s="8" t="s">
        <v>145</v>
      </c>
      <c r="AI15" s="8" t="s">
        <v>94</v>
      </c>
      <c r="AJ15" s="8" t="s">
        <v>49</v>
      </c>
      <c r="AK15" s="8" t="s">
        <v>95</v>
      </c>
      <c r="AL15" s="8" t="s">
        <v>66</v>
      </c>
      <c r="AM15" s="8"/>
      <c r="AN15" s="16" t="s">
        <v>173</v>
      </c>
      <c r="AO15" s="9" t="s">
        <v>174</v>
      </c>
      <c r="AP15" s="10" t="s">
        <v>165</v>
      </c>
      <c r="AQ15" s="10" t="s">
        <v>166</v>
      </c>
      <c r="AR15" s="10" t="s">
        <v>167</v>
      </c>
      <c r="AS15" s="12"/>
      <c r="AT15" s="10" t="s">
        <v>168</v>
      </c>
      <c r="AU15" s="10" t="s">
        <v>169</v>
      </c>
      <c r="AV15" s="13"/>
    </row>
    <row r="16" ht="16.5" hidden="1" customHeight="1">
      <c r="A16" s="7" t="s">
        <v>175</v>
      </c>
      <c r="B16" s="7" t="s">
        <v>49</v>
      </c>
      <c r="C16" s="7" t="s">
        <v>50</v>
      </c>
      <c r="D16" s="7" t="s">
        <v>51</v>
      </c>
      <c r="E16" s="7" t="s">
        <v>52</v>
      </c>
      <c r="F16" s="7">
        <v>4188.0</v>
      </c>
      <c r="G16" s="7"/>
      <c r="H16" s="7" t="s">
        <v>53</v>
      </c>
      <c r="I16" s="7"/>
      <c r="J16" s="7"/>
      <c r="K16" s="8" t="s">
        <v>84</v>
      </c>
      <c r="L16" s="8" t="s">
        <v>49</v>
      </c>
      <c r="M16" s="8"/>
      <c r="N16" s="8" t="s">
        <v>85</v>
      </c>
      <c r="O16" s="8" t="s">
        <v>56</v>
      </c>
      <c r="P16" s="8" t="s">
        <v>57</v>
      </c>
      <c r="Q16" s="8" t="s">
        <v>105</v>
      </c>
      <c r="R16" s="8">
        <v>0.49</v>
      </c>
      <c r="S16" s="8" t="s">
        <v>49</v>
      </c>
      <c r="T16" s="8" t="s">
        <v>49</v>
      </c>
      <c r="U16" s="8" t="s">
        <v>176</v>
      </c>
      <c r="V16" s="8" t="s">
        <v>177</v>
      </c>
      <c r="W16" s="8" t="s">
        <v>89</v>
      </c>
      <c r="X16" s="8" t="s">
        <v>90</v>
      </c>
      <c r="Y16" s="8" t="s">
        <v>178</v>
      </c>
      <c r="Z16" s="8" t="s">
        <v>92</v>
      </c>
      <c r="AA16" s="8" t="s">
        <v>59</v>
      </c>
      <c r="AB16" s="8" t="s">
        <v>60</v>
      </c>
      <c r="AC16" s="8" t="s">
        <v>61</v>
      </c>
      <c r="AD16" s="8" t="s">
        <v>179</v>
      </c>
      <c r="AE16" s="8" t="s">
        <v>55</v>
      </c>
      <c r="AF16" s="8" t="s">
        <v>55</v>
      </c>
      <c r="AG16" s="8" t="s">
        <v>63</v>
      </c>
      <c r="AH16" s="8" t="s">
        <v>64</v>
      </c>
      <c r="AI16" s="8" t="s">
        <v>94</v>
      </c>
      <c r="AJ16" s="8" t="s">
        <v>49</v>
      </c>
      <c r="AK16" s="8" t="s">
        <v>95</v>
      </c>
      <c r="AL16" s="8" t="s">
        <v>66</v>
      </c>
      <c r="AM16" s="8" t="s">
        <v>96</v>
      </c>
      <c r="AN16" s="9" t="s">
        <v>180</v>
      </c>
      <c r="AO16" s="9" t="s">
        <v>181</v>
      </c>
      <c r="AP16" s="10" t="s">
        <v>182</v>
      </c>
      <c r="AQ16" s="10" t="s">
        <v>183</v>
      </c>
      <c r="AR16" s="10" t="s">
        <v>184</v>
      </c>
      <c r="AS16" s="12"/>
      <c r="AT16" s="10" t="s">
        <v>185</v>
      </c>
      <c r="AU16" s="10" t="s">
        <v>186</v>
      </c>
      <c r="AV16" s="15">
        <v>46315.0</v>
      </c>
    </row>
    <row r="17" ht="16.5" hidden="1" customHeight="1">
      <c r="A17" s="7" t="s">
        <v>187</v>
      </c>
      <c r="B17" s="7" t="s">
        <v>49</v>
      </c>
      <c r="C17" s="7" t="s">
        <v>50</v>
      </c>
      <c r="D17" s="7" t="s">
        <v>51</v>
      </c>
      <c r="E17" s="7" t="s">
        <v>52</v>
      </c>
      <c r="F17" s="7">
        <v>4189.0</v>
      </c>
      <c r="G17" s="7"/>
      <c r="H17" s="7" t="s">
        <v>53</v>
      </c>
      <c r="I17" s="7"/>
      <c r="J17" s="7"/>
      <c r="K17" s="8" t="s">
        <v>84</v>
      </c>
      <c r="L17" s="8" t="s">
        <v>49</v>
      </c>
      <c r="M17" s="8"/>
      <c r="N17" s="8" t="s">
        <v>85</v>
      </c>
      <c r="O17" s="8" t="s">
        <v>56</v>
      </c>
      <c r="P17" s="8" t="s">
        <v>57</v>
      </c>
      <c r="Q17" s="8" t="s">
        <v>140</v>
      </c>
      <c r="R17" s="8">
        <v>0.47</v>
      </c>
      <c r="S17" s="8" t="s">
        <v>49</v>
      </c>
      <c r="T17" s="8" t="s">
        <v>49</v>
      </c>
      <c r="U17" s="8" t="s">
        <v>188</v>
      </c>
      <c r="V17" s="8" t="s">
        <v>189</v>
      </c>
      <c r="W17" s="8" t="s">
        <v>89</v>
      </c>
      <c r="X17" s="8" t="s">
        <v>90</v>
      </c>
      <c r="Y17" s="8" t="s">
        <v>190</v>
      </c>
      <c r="Z17" s="8" t="s">
        <v>92</v>
      </c>
      <c r="AA17" s="8" t="s">
        <v>59</v>
      </c>
      <c r="AB17" s="8" t="s">
        <v>60</v>
      </c>
      <c r="AC17" s="8" t="s">
        <v>61</v>
      </c>
      <c r="AD17" s="8" t="s">
        <v>191</v>
      </c>
      <c r="AE17" s="8" t="s">
        <v>55</v>
      </c>
      <c r="AF17" s="8" t="s">
        <v>55</v>
      </c>
      <c r="AG17" s="8" t="s">
        <v>63</v>
      </c>
      <c r="AH17" s="8" t="s">
        <v>145</v>
      </c>
      <c r="AI17" s="8" t="s">
        <v>94</v>
      </c>
      <c r="AJ17" s="8" t="s">
        <v>49</v>
      </c>
      <c r="AK17" s="8" t="s">
        <v>95</v>
      </c>
      <c r="AL17" s="8" t="s">
        <v>66</v>
      </c>
      <c r="AM17" s="8" t="s">
        <v>192</v>
      </c>
      <c r="AN17" s="9" t="s">
        <v>193</v>
      </c>
      <c r="AO17" s="9" t="s">
        <v>194</v>
      </c>
      <c r="AP17" s="10" t="s">
        <v>195</v>
      </c>
      <c r="AQ17" s="10" t="s">
        <v>196</v>
      </c>
      <c r="AR17" s="10" t="s">
        <v>197</v>
      </c>
      <c r="AS17" s="12"/>
      <c r="AT17" s="10" t="s">
        <v>198</v>
      </c>
      <c r="AU17" s="10" t="s">
        <v>199</v>
      </c>
      <c r="AV17" s="15">
        <v>46315.0</v>
      </c>
    </row>
    <row r="18" ht="16.5" hidden="1" customHeight="1">
      <c r="A18" s="7" t="s">
        <v>200</v>
      </c>
      <c r="B18" s="7" t="s">
        <v>49</v>
      </c>
      <c r="C18" s="7" t="s">
        <v>50</v>
      </c>
      <c r="D18" s="7" t="s">
        <v>51</v>
      </c>
      <c r="E18" s="7" t="s">
        <v>52</v>
      </c>
      <c r="F18" s="7">
        <v>4190.0</v>
      </c>
      <c r="G18" s="7"/>
      <c r="H18" s="7" t="s">
        <v>53</v>
      </c>
      <c r="I18" s="7"/>
      <c r="J18" s="7"/>
      <c r="K18" s="8" t="s">
        <v>84</v>
      </c>
      <c r="L18" s="8" t="s">
        <v>49</v>
      </c>
      <c r="M18" s="8"/>
      <c r="N18" s="8" t="s">
        <v>85</v>
      </c>
      <c r="O18" s="8" t="s">
        <v>56</v>
      </c>
      <c r="P18" s="8" t="s">
        <v>57</v>
      </c>
      <c r="Q18" s="8" t="s">
        <v>140</v>
      </c>
      <c r="R18" s="8">
        <v>0.47</v>
      </c>
      <c r="S18" s="8" t="s">
        <v>49</v>
      </c>
      <c r="T18" s="8" t="s">
        <v>49</v>
      </c>
      <c r="U18" s="8" t="s">
        <v>201</v>
      </c>
      <c r="V18" s="8" t="s">
        <v>202</v>
      </c>
      <c r="W18" s="8" t="s">
        <v>89</v>
      </c>
      <c r="X18" s="8" t="s">
        <v>90</v>
      </c>
      <c r="Y18" s="8" t="s">
        <v>203</v>
      </c>
      <c r="Z18" s="8" t="s">
        <v>130</v>
      </c>
      <c r="AA18" s="8" t="s">
        <v>59</v>
      </c>
      <c r="AB18" s="8" t="s">
        <v>60</v>
      </c>
      <c r="AC18" s="8" t="s">
        <v>61</v>
      </c>
      <c r="AD18" s="8" t="s">
        <v>204</v>
      </c>
      <c r="AE18" s="8" t="s">
        <v>55</v>
      </c>
      <c r="AF18" s="8" t="s">
        <v>55</v>
      </c>
      <c r="AG18" s="8" t="s">
        <v>63</v>
      </c>
      <c r="AH18" s="8" t="s">
        <v>111</v>
      </c>
      <c r="AI18" s="8" t="s">
        <v>94</v>
      </c>
      <c r="AJ18" s="8" t="s">
        <v>49</v>
      </c>
      <c r="AK18" s="8" t="s">
        <v>95</v>
      </c>
      <c r="AL18" s="8" t="s">
        <v>66</v>
      </c>
      <c r="AM18" s="8" t="s">
        <v>96</v>
      </c>
      <c r="AN18" s="9" t="s">
        <v>205</v>
      </c>
      <c r="AO18" s="9" t="s">
        <v>206</v>
      </c>
      <c r="AP18" s="10" t="s">
        <v>207</v>
      </c>
      <c r="AQ18" s="10" t="s">
        <v>208</v>
      </c>
      <c r="AR18" s="10" t="s">
        <v>209</v>
      </c>
      <c r="AS18" s="12"/>
      <c r="AT18" s="10" t="s">
        <v>210</v>
      </c>
      <c r="AU18" s="10" t="s">
        <v>211</v>
      </c>
      <c r="AV18" s="13"/>
    </row>
    <row r="19" ht="16.5" hidden="1" customHeight="1">
      <c r="A19" s="7" t="s">
        <v>212</v>
      </c>
      <c r="B19" s="7"/>
      <c r="C19" s="7" t="s">
        <v>213</v>
      </c>
      <c r="D19" s="7" t="s">
        <v>214</v>
      </c>
      <c r="E19" s="7" t="s">
        <v>52</v>
      </c>
      <c r="F19" s="7">
        <v>4195.0</v>
      </c>
      <c r="G19" s="7"/>
      <c r="H19" s="7" t="s">
        <v>215</v>
      </c>
      <c r="I19" s="7"/>
      <c r="J19" s="7"/>
      <c r="K19" s="8" t="s">
        <v>216</v>
      </c>
      <c r="L19" s="8" t="s">
        <v>55</v>
      </c>
      <c r="M19" s="12" t="s">
        <v>55</v>
      </c>
      <c r="N19" s="8" t="s">
        <v>55</v>
      </c>
      <c r="O19" s="8" t="s">
        <v>217</v>
      </c>
      <c r="P19" s="8" t="s">
        <v>57</v>
      </c>
      <c r="Q19" s="8" t="s">
        <v>49</v>
      </c>
      <c r="R19" s="8" t="s">
        <v>49</v>
      </c>
      <c r="S19" s="8" t="s">
        <v>49</v>
      </c>
      <c r="T19" s="8" t="s">
        <v>49</v>
      </c>
      <c r="U19" s="8" t="s">
        <v>49</v>
      </c>
      <c r="V19" s="8" t="s">
        <v>49</v>
      </c>
      <c r="W19" s="8" t="s">
        <v>49</v>
      </c>
      <c r="X19" s="8" t="s">
        <v>55</v>
      </c>
      <c r="Y19" s="8" t="s">
        <v>55</v>
      </c>
      <c r="Z19" s="8" t="s">
        <v>55</v>
      </c>
      <c r="AA19" s="8" t="s">
        <v>218</v>
      </c>
      <c r="AB19" s="8" t="s">
        <v>60</v>
      </c>
      <c r="AC19" s="8" t="s">
        <v>219</v>
      </c>
      <c r="AD19" s="8" t="s">
        <v>220</v>
      </c>
      <c r="AE19" s="8" t="s">
        <v>55</v>
      </c>
      <c r="AF19" s="8" t="s">
        <v>55</v>
      </c>
      <c r="AG19" s="8" t="s">
        <v>63</v>
      </c>
      <c r="AH19" s="8" t="s">
        <v>64</v>
      </c>
      <c r="AI19" s="8" t="s">
        <v>94</v>
      </c>
      <c r="AJ19" s="8" t="s">
        <v>49</v>
      </c>
      <c r="AK19" s="8" t="s">
        <v>55</v>
      </c>
      <c r="AL19" s="8" t="s">
        <v>221</v>
      </c>
      <c r="AM19" s="8" t="s">
        <v>222</v>
      </c>
      <c r="AN19" s="9" t="s">
        <v>223</v>
      </c>
      <c r="AO19" s="12" t="s">
        <v>224</v>
      </c>
      <c r="AP19" s="10" t="s">
        <v>225</v>
      </c>
      <c r="AQ19" s="11"/>
      <c r="AR19" s="11"/>
      <c r="AS19" s="12"/>
      <c r="AT19" s="11"/>
      <c r="AU19" s="11"/>
      <c r="AV19" s="13"/>
    </row>
    <row r="20" ht="16.5" hidden="1" customHeight="1">
      <c r="A20" s="7" t="s">
        <v>226</v>
      </c>
      <c r="B20" s="7" t="s">
        <v>49</v>
      </c>
      <c r="C20" s="7" t="s">
        <v>213</v>
      </c>
      <c r="D20" s="7" t="s">
        <v>51</v>
      </c>
      <c r="E20" s="7" t="s">
        <v>227</v>
      </c>
      <c r="F20" s="7">
        <v>4196.0</v>
      </c>
      <c r="G20" s="7"/>
      <c r="H20" s="7" t="s">
        <v>53</v>
      </c>
      <c r="I20" s="7"/>
      <c r="J20" s="7"/>
      <c r="K20" s="8" t="s">
        <v>54</v>
      </c>
      <c r="L20" s="8" t="s">
        <v>55</v>
      </c>
      <c r="M20" s="8"/>
      <c r="N20" s="8" t="s">
        <v>55</v>
      </c>
      <c r="O20" s="8" t="s">
        <v>228</v>
      </c>
      <c r="P20" s="8" t="s">
        <v>229</v>
      </c>
      <c r="Q20" s="8" t="s">
        <v>230</v>
      </c>
      <c r="R20" s="8" t="s">
        <v>49</v>
      </c>
      <c r="S20" s="8" t="s">
        <v>49</v>
      </c>
      <c r="T20" s="8" t="s">
        <v>49</v>
      </c>
      <c r="U20" s="8" t="s">
        <v>49</v>
      </c>
      <c r="V20" s="8" t="s">
        <v>49</v>
      </c>
      <c r="W20" s="8" t="s">
        <v>49</v>
      </c>
      <c r="X20" s="8" t="s">
        <v>49</v>
      </c>
      <c r="Y20" s="8" t="s">
        <v>49</v>
      </c>
      <c r="Z20" s="8" t="s">
        <v>49</v>
      </c>
      <c r="AA20" s="8" t="s">
        <v>231</v>
      </c>
      <c r="AB20" s="8" t="s">
        <v>60</v>
      </c>
      <c r="AC20" s="8" t="s">
        <v>61</v>
      </c>
      <c r="AD20" s="8" t="s">
        <v>232</v>
      </c>
      <c r="AE20" s="8" t="s">
        <v>55</v>
      </c>
      <c r="AF20" s="8" t="s">
        <v>55</v>
      </c>
      <c r="AG20" s="8" t="s">
        <v>63</v>
      </c>
      <c r="AH20" s="8" t="s">
        <v>55</v>
      </c>
      <c r="AI20" s="8" t="s">
        <v>112</v>
      </c>
      <c r="AJ20" s="8" t="s">
        <v>49</v>
      </c>
      <c r="AK20" s="8" t="s">
        <v>49</v>
      </c>
      <c r="AL20" s="8" t="s">
        <v>66</v>
      </c>
      <c r="AM20" s="8" t="s">
        <v>233</v>
      </c>
      <c r="AN20" s="9" t="s">
        <v>234</v>
      </c>
      <c r="AO20" s="9" t="s">
        <v>235</v>
      </c>
      <c r="AP20" s="10" t="s">
        <v>236</v>
      </c>
      <c r="AQ20" s="11"/>
      <c r="AR20" s="10" t="s">
        <v>237</v>
      </c>
      <c r="AS20" s="12"/>
      <c r="AT20" s="10" t="s">
        <v>238</v>
      </c>
      <c r="AU20" s="11"/>
      <c r="AV20" s="13"/>
    </row>
    <row r="21" ht="16.5" hidden="1" customHeight="1">
      <c r="A21" s="7" t="s">
        <v>239</v>
      </c>
      <c r="B21" s="7" t="s">
        <v>49</v>
      </c>
      <c r="C21" s="7" t="s">
        <v>213</v>
      </c>
      <c r="D21" s="7" t="s">
        <v>51</v>
      </c>
      <c r="E21" s="7" t="s">
        <v>227</v>
      </c>
      <c r="F21" s="7">
        <v>4196.0</v>
      </c>
      <c r="G21" s="7">
        <v>4196.0</v>
      </c>
      <c r="H21" s="7" t="s">
        <v>53</v>
      </c>
      <c r="I21" s="7"/>
      <c r="J21" s="7"/>
      <c r="K21" s="8" t="s">
        <v>54</v>
      </c>
      <c r="L21" s="8" t="s">
        <v>55</v>
      </c>
      <c r="M21" s="12" t="s">
        <v>55</v>
      </c>
      <c r="N21" s="8" t="s">
        <v>55</v>
      </c>
      <c r="O21" s="8" t="s">
        <v>228</v>
      </c>
      <c r="P21" s="8" t="s">
        <v>229</v>
      </c>
      <c r="Q21" s="8" t="s">
        <v>240</v>
      </c>
      <c r="R21" s="8" t="s">
        <v>49</v>
      </c>
      <c r="S21" s="8" t="s">
        <v>49</v>
      </c>
      <c r="T21" s="8" t="s">
        <v>49</v>
      </c>
      <c r="U21" s="8" t="s">
        <v>49</v>
      </c>
      <c r="V21" s="8" t="s">
        <v>49</v>
      </c>
      <c r="W21" s="8" t="s">
        <v>49</v>
      </c>
      <c r="X21" s="8" t="s">
        <v>55</v>
      </c>
      <c r="Y21" s="8" t="s">
        <v>55</v>
      </c>
      <c r="Z21" s="8" t="s">
        <v>55</v>
      </c>
      <c r="AA21" s="8" t="s">
        <v>231</v>
      </c>
      <c r="AB21" s="8" t="s">
        <v>60</v>
      </c>
      <c r="AC21" s="8" t="s">
        <v>61</v>
      </c>
      <c r="AD21" s="8" t="s">
        <v>232</v>
      </c>
      <c r="AE21" s="8" t="s">
        <v>55</v>
      </c>
      <c r="AF21" s="8" t="s">
        <v>55</v>
      </c>
      <c r="AG21" s="8" t="s">
        <v>63</v>
      </c>
      <c r="AH21" s="8" t="s">
        <v>55</v>
      </c>
      <c r="AI21" s="8" t="s">
        <v>112</v>
      </c>
      <c r="AJ21" s="8" t="s">
        <v>49</v>
      </c>
      <c r="AK21" s="8" t="s">
        <v>55</v>
      </c>
      <c r="AL21" s="8" t="s">
        <v>66</v>
      </c>
      <c r="AM21" s="8"/>
      <c r="AN21" s="9" t="s">
        <v>234</v>
      </c>
      <c r="AO21" s="9" t="s">
        <v>235</v>
      </c>
      <c r="AP21" s="10" t="s">
        <v>236</v>
      </c>
      <c r="AQ21" s="11"/>
      <c r="AR21" s="10" t="s">
        <v>237</v>
      </c>
      <c r="AS21" s="12"/>
      <c r="AT21" s="10" t="s">
        <v>238</v>
      </c>
      <c r="AU21" s="11"/>
      <c r="AV21" s="15">
        <v>46315.0</v>
      </c>
    </row>
    <row r="22" ht="16.5" hidden="1" customHeight="1">
      <c r="A22" s="7" t="s">
        <v>241</v>
      </c>
      <c r="B22" s="14" t="s">
        <v>49</v>
      </c>
      <c r="C22" s="14" t="s">
        <v>213</v>
      </c>
      <c r="D22" s="14" t="s">
        <v>51</v>
      </c>
      <c r="E22" s="7"/>
      <c r="F22" s="7">
        <v>4197.0</v>
      </c>
      <c r="G22" s="7">
        <v>4196.0</v>
      </c>
      <c r="H22" s="7" t="s">
        <v>53</v>
      </c>
      <c r="I22" s="7"/>
      <c r="J22" s="7"/>
      <c r="K22" s="8" t="s">
        <v>54</v>
      </c>
      <c r="L22" s="8" t="s">
        <v>55</v>
      </c>
      <c r="M22" s="12" t="s">
        <v>55</v>
      </c>
      <c r="N22" s="8" t="s">
        <v>55</v>
      </c>
      <c r="O22" s="8" t="s">
        <v>228</v>
      </c>
      <c r="P22" s="8" t="s">
        <v>229</v>
      </c>
      <c r="Q22" s="8" t="s">
        <v>240</v>
      </c>
      <c r="R22" s="8" t="s">
        <v>49</v>
      </c>
      <c r="S22" s="8" t="s">
        <v>49</v>
      </c>
      <c r="T22" s="8" t="s">
        <v>49</v>
      </c>
      <c r="U22" s="8" t="s">
        <v>49</v>
      </c>
      <c r="V22" s="8" t="s">
        <v>49</v>
      </c>
      <c r="W22" s="8" t="s">
        <v>49</v>
      </c>
      <c r="X22" s="8" t="s">
        <v>55</v>
      </c>
      <c r="Y22" s="8" t="s">
        <v>55</v>
      </c>
      <c r="Z22" s="8" t="s">
        <v>55</v>
      </c>
      <c r="AA22" s="8" t="s">
        <v>231</v>
      </c>
      <c r="AB22" s="8" t="s">
        <v>60</v>
      </c>
      <c r="AC22" s="8" t="s">
        <v>61</v>
      </c>
      <c r="AD22" s="8" t="s">
        <v>232</v>
      </c>
      <c r="AE22" s="8" t="s">
        <v>55</v>
      </c>
      <c r="AF22" s="8" t="s">
        <v>55</v>
      </c>
      <c r="AG22" s="8" t="s">
        <v>63</v>
      </c>
      <c r="AH22" s="8" t="s">
        <v>55</v>
      </c>
      <c r="AI22" s="8" t="s">
        <v>94</v>
      </c>
      <c r="AJ22" s="8" t="s">
        <v>49</v>
      </c>
      <c r="AK22" s="8" t="s">
        <v>55</v>
      </c>
      <c r="AL22" s="8" t="s">
        <v>66</v>
      </c>
      <c r="AM22" s="8"/>
      <c r="AN22" s="9" t="s">
        <v>242</v>
      </c>
      <c r="AO22" s="9" t="s">
        <v>243</v>
      </c>
      <c r="AP22" s="10" t="s">
        <v>236</v>
      </c>
      <c r="AQ22" s="11"/>
      <c r="AR22" s="10" t="s">
        <v>237</v>
      </c>
      <c r="AS22" s="12"/>
      <c r="AT22" s="10" t="s">
        <v>238</v>
      </c>
      <c r="AU22" s="11"/>
      <c r="AV22" s="15">
        <v>46341.0</v>
      </c>
    </row>
    <row r="23" ht="16.5" hidden="1" customHeight="1">
      <c r="A23" s="7" t="s">
        <v>244</v>
      </c>
      <c r="B23" s="14" t="s">
        <v>49</v>
      </c>
      <c r="C23" s="14" t="s">
        <v>213</v>
      </c>
      <c r="D23" s="14" t="s">
        <v>51</v>
      </c>
      <c r="E23" s="7"/>
      <c r="F23" s="7">
        <v>4198.0</v>
      </c>
      <c r="G23" s="7">
        <v>4196.0</v>
      </c>
      <c r="H23" s="7" t="s">
        <v>53</v>
      </c>
      <c r="I23" s="7"/>
      <c r="J23" s="7"/>
      <c r="K23" s="8" t="s">
        <v>76</v>
      </c>
      <c r="L23" s="8" t="s">
        <v>55</v>
      </c>
      <c r="M23" s="12" t="s">
        <v>55</v>
      </c>
      <c r="N23" s="8" t="s">
        <v>55</v>
      </c>
      <c r="O23" s="8" t="s">
        <v>228</v>
      </c>
      <c r="P23" s="8" t="s">
        <v>229</v>
      </c>
      <c r="Q23" s="8" t="s">
        <v>245</v>
      </c>
      <c r="R23" s="8" t="s">
        <v>49</v>
      </c>
      <c r="S23" s="8" t="s">
        <v>49</v>
      </c>
      <c r="T23" s="8" t="s">
        <v>49</v>
      </c>
      <c r="U23" s="8" t="s">
        <v>49</v>
      </c>
      <c r="V23" s="8" t="s">
        <v>49</v>
      </c>
      <c r="W23" s="8" t="s">
        <v>49</v>
      </c>
      <c r="X23" s="8" t="s">
        <v>55</v>
      </c>
      <c r="Y23" s="8" t="s">
        <v>55</v>
      </c>
      <c r="Z23" s="8" t="s">
        <v>55</v>
      </c>
      <c r="AA23" s="8" t="s">
        <v>231</v>
      </c>
      <c r="AB23" s="8" t="s">
        <v>60</v>
      </c>
      <c r="AC23" s="8" t="s">
        <v>61</v>
      </c>
      <c r="AD23" s="8" t="s">
        <v>246</v>
      </c>
      <c r="AE23" s="8" t="s">
        <v>55</v>
      </c>
      <c r="AF23" s="8" t="s">
        <v>55</v>
      </c>
      <c r="AG23" s="8" t="s">
        <v>63</v>
      </c>
      <c r="AH23" s="8" t="s">
        <v>55</v>
      </c>
      <c r="AI23" s="8" t="s">
        <v>112</v>
      </c>
      <c r="AJ23" s="8" t="s">
        <v>49</v>
      </c>
      <c r="AK23" s="8" t="s">
        <v>55</v>
      </c>
      <c r="AL23" s="8" t="s">
        <v>66</v>
      </c>
      <c r="AM23" s="8"/>
      <c r="AN23" s="9" t="s">
        <v>247</v>
      </c>
      <c r="AO23" s="9" t="s">
        <v>248</v>
      </c>
      <c r="AP23" s="10" t="s">
        <v>236</v>
      </c>
      <c r="AQ23" s="11"/>
      <c r="AR23" s="10" t="s">
        <v>249</v>
      </c>
      <c r="AS23" s="12"/>
      <c r="AT23" s="10" t="s">
        <v>250</v>
      </c>
      <c r="AU23" s="11"/>
      <c r="AV23" s="15">
        <v>46315.0</v>
      </c>
    </row>
    <row r="24" ht="16.5" hidden="1" customHeight="1">
      <c r="A24" s="7" t="s">
        <v>251</v>
      </c>
      <c r="B24" s="14" t="s">
        <v>49</v>
      </c>
      <c r="C24" s="14" t="s">
        <v>213</v>
      </c>
      <c r="D24" s="14" t="s">
        <v>51</v>
      </c>
      <c r="E24" s="7"/>
      <c r="F24" s="7">
        <v>4199.0</v>
      </c>
      <c r="G24" s="7">
        <v>4196.0</v>
      </c>
      <c r="H24" s="7" t="s">
        <v>53</v>
      </c>
      <c r="I24" s="7"/>
      <c r="J24" s="7"/>
      <c r="K24" s="8" t="s">
        <v>76</v>
      </c>
      <c r="L24" s="8" t="s">
        <v>55</v>
      </c>
      <c r="M24" s="12" t="s">
        <v>55</v>
      </c>
      <c r="N24" s="8" t="s">
        <v>55</v>
      </c>
      <c r="O24" s="8" t="s">
        <v>228</v>
      </c>
      <c r="P24" s="8" t="s">
        <v>229</v>
      </c>
      <c r="Q24" s="8" t="s">
        <v>245</v>
      </c>
      <c r="R24" s="8" t="s">
        <v>49</v>
      </c>
      <c r="S24" s="8" t="s">
        <v>49</v>
      </c>
      <c r="T24" s="8" t="s">
        <v>49</v>
      </c>
      <c r="U24" s="8" t="s">
        <v>49</v>
      </c>
      <c r="V24" s="8" t="s">
        <v>49</v>
      </c>
      <c r="W24" s="8" t="s">
        <v>49</v>
      </c>
      <c r="X24" s="8" t="s">
        <v>55</v>
      </c>
      <c r="Y24" s="8" t="s">
        <v>55</v>
      </c>
      <c r="Z24" s="8" t="s">
        <v>55</v>
      </c>
      <c r="AA24" s="8" t="s">
        <v>231</v>
      </c>
      <c r="AB24" s="8" t="s">
        <v>60</v>
      </c>
      <c r="AC24" s="8" t="s">
        <v>61</v>
      </c>
      <c r="AD24" s="8" t="s">
        <v>246</v>
      </c>
      <c r="AE24" s="8" t="s">
        <v>55</v>
      </c>
      <c r="AF24" s="8" t="s">
        <v>55</v>
      </c>
      <c r="AG24" s="8" t="s">
        <v>63</v>
      </c>
      <c r="AH24" s="8" t="s">
        <v>55</v>
      </c>
      <c r="AI24" s="8" t="s">
        <v>94</v>
      </c>
      <c r="AJ24" s="8" t="s">
        <v>49</v>
      </c>
      <c r="AK24" s="8" t="s">
        <v>55</v>
      </c>
      <c r="AL24" s="8" t="s">
        <v>66</v>
      </c>
      <c r="AM24" s="8"/>
      <c r="AN24" s="9" t="s">
        <v>252</v>
      </c>
      <c r="AO24" s="9" t="s">
        <v>253</v>
      </c>
      <c r="AP24" s="10" t="s">
        <v>236</v>
      </c>
      <c r="AQ24" s="11"/>
      <c r="AR24" s="10" t="s">
        <v>249</v>
      </c>
      <c r="AS24" s="12"/>
      <c r="AT24" s="10" t="s">
        <v>250</v>
      </c>
      <c r="AU24" s="11"/>
      <c r="AV24" s="15">
        <v>46315.0</v>
      </c>
    </row>
    <row r="25" ht="16.5" hidden="1" customHeight="1">
      <c r="A25" s="7" t="s">
        <v>254</v>
      </c>
      <c r="B25" s="14" t="s">
        <v>49</v>
      </c>
      <c r="C25" s="14" t="s">
        <v>213</v>
      </c>
      <c r="D25" s="14" t="s">
        <v>51</v>
      </c>
      <c r="E25" s="7"/>
      <c r="F25" s="7">
        <v>4200.0</v>
      </c>
      <c r="G25" s="7">
        <v>4196.0</v>
      </c>
      <c r="H25" s="7" t="s">
        <v>53</v>
      </c>
      <c r="I25" s="7"/>
      <c r="J25" s="7"/>
      <c r="K25" s="8" t="s">
        <v>255</v>
      </c>
      <c r="L25" s="8" t="s">
        <v>55</v>
      </c>
      <c r="M25" s="12" t="s">
        <v>55</v>
      </c>
      <c r="N25" s="8" t="s">
        <v>55</v>
      </c>
      <c r="O25" s="8" t="s">
        <v>228</v>
      </c>
      <c r="P25" s="8" t="s">
        <v>229</v>
      </c>
      <c r="Q25" s="8" t="s">
        <v>256</v>
      </c>
      <c r="R25" s="8" t="s">
        <v>49</v>
      </c>
      <c r="S25" s="8" t="s">
        <v>49</v>
      </c>
      <c r="T25" s="8" t="s">
        <v>49</v>
      </c>
      <c r="U25" s="8" t="s">
        <v>49</v>
      </c>
      <c r="V25" s="8" t="s">
        <v>49</v>
      </c>
      <c r="W25" s="8" t="s">
        <v>49</v>
      </c>
      <c r="X25" s="8" t="s">
        <v>55</v>
      </c>
      <c r="Y25" s="8" t="s">
        <v>55</v>
      </c>
      <c r="Z25" s="8" t="s">
        <v>55</v>
      </c>
      <c r="AA25" s="8" t="s">
        <v>231</v>
      </c>
      <c r="AB25" s="8" t="s">
        <v>60</v>
      </c>
      <c r="AC25" s="8" t="s">
        <v>61</v>
      </c>
      <c r="AD25" s="8" t="s">
        <v>257</v>
      </c>
      <c r="AE25" s="8" t="s">
        <v>55</v>
      </c>
      <c r="AF25" s="8" t="s">
        <v>55</v>
      </c>
      <c r="AG25" s="8" t="s">
        <v>63</v>
      </c>
      <c r="AH25" s="8" t="s">
        <v>55</v>
      </c>
      <c r="AI25" s="8" t="s">
        <v>112</v>
      </c>
      <c r="AJ25" s="8" t="s">
        <v>49</v>
      </c>
      <c r="AK25" s="8" t="s">
        <v>55</v>
      </c>
      <c r="AL25" s="8" t="s">
        <v>66</v>
      </c>
      <c r="AM25" s="8"/>
      <c r="AN25" s="9" t="s">
        <v>258</v>
      </c>
      <c r="AO25" s="9" t="s">
        <v>259</v>
      </c>
      <c r="AP25" s="10" t="s">
        <v>236</v>
      </c>
      <c r="AQ25" s="11"/>
      <c r="AR25" s="10" t="s">
        <v>260</v>
      </c>
      <c r="AS25" s="12"/>
      <c r="AT25" s="10" t="s">
        <v>261</v>
      </c>
      <c r="AU25" s="11"/>
      <c r="AV25" s="15">
        <v>46315.0</v>
      </c>
    </row>
    <row r="26" ht="16.5" hidden="1" customHeight="1">
      <c r="A26" s="7" t="s">
        <v>262</v>
      </c>
      <c r="B26" s="14" t="s">
        <v>49</v>
      </c>
      <c r="C26" s="14" t="s">
        <v>213</v>
      </c>
      <c r="D26" s="14" t="s">
        <v>51</v>
      </c>
      <c r="E26" s="7"/>
      <c r="F26" s="7">
        <v>4201.0</v>
      </c>
      <c r="G26" s="7">
        <v>4196.0</v>
      </c>
      <c r="H26" s="7" t="s">
        <v>53</v>
      </c>
      <c r="I26" s="7"/>
      <c r="J26" s="7"/>
      <c r="K26" s="8" t="s">
        <v>255</v>
      </c>
      <c r="L26" s="8" t="s">
        <v>55</v>
      </c>
      <c r="M26" s="12" t="s">
        <v>55</v>
      </c>
      <c r="N26" s="8" t="s">
        <v>55</v>
      </c>
      <c r="O26" s="8" t="s">
        <v>228</v>
      </c>
      <c r="P26" s="8" t="s">
        <v>229</v>
      </c>
      <c r="Q26" s="8" t="s">
        <v>256</v>
      </c>
      <c r="R26" s="8" t="s">
        <v>49</v>
      </c>
      <c r="S26" s="8" t="s">
        <v>49</v>
      </c>
      <c r="T26" s="8" t="s">
        <v>49</v>
      </c>
      <c r="U26" s="8" t="s">
        <v>49</v>
      </c>
      <c r="V26" s="8" t="s">
        <v>49</v>
      </c>
      <c r="W26" s="8" t="s">
        <v>49</v>
      </c>
      <c r="X26" s="8" t="s">
        <v>55</v>
      </c>
      <c r="Y26" s="8" t="s">
        <v>55</v>
      </c>
      <c r="Z26" s="8" t="s">
        <v>55</v>
      </c>
      <c r="AA26" s="8" t="s">
        <v>231</v>
      </c>
      <c r="AB26" s="8" t="s">
        <v>60</v>
      </c>
      <c r="AC26" s="8" t="s">
        <v>61</v>
      </c>
      <c r="AD26" s="8" t="s">
        <v>257</v>
      </c>
      <c r="AE26" s="8" t="s">
        <v>55</v>
      </c>
      <c r="AF26" s="8" t="s">
        <v>55</v>
      </c>
      <c r="AG26" s="8" t="s">
        <v>63</v>
      </c>
      <c r="AH26" s="8" t="s">
        <v>55</v>
      </c>
      <c r="AI26" s="8" t="s">
        <v>94</v>
      </c>
      <c r="AJ26" s="8" t="s">
        <v>49</v>
      </c>
      <c r="AK26" s="8" t="s">
        <v>55</v>
      </c>
      <c r="AL26" s="8" t="s">
        <v>66</v>
      </c>
      <c r="AM26" s="8"/>
      <c r="AN26" s="9" t="s">
        <v>263</v>
      </c>
      <c r="AO26" s="9" t="s">
        <v>264</v>
      </c>
      <c r="AP26" s="10" t="s">
        <v>236</v>
      </c>
      <c r="AQ26" s="11"/>
      <c r="AR26" s="10" t="s">
        <v>260</v>
      </c>
      <c r="AS26" s="12"/>
      <c r="AT26" s="10" t="s">
        <v>261</v>
      </c>
      <c r="AU26" s="11"/>
      <c r="AV26" s="15">
        <v>46341.0</v>
      </c>
    </row>
    <row r="27" ht="16.5" hidden="1" customHeight="1">
      <c r="A27" s="7" t="s">
        <v>265</v>
      </c>
      <c r="B27" s="14" t="s">
        <v>49</v>
      </c>
      <c r="C27" s="14" t="s">
        <v>213</v>
      </c>
      <c r="D27" s="14" t="s">
        <v>51</v>
      </c>
      <c r="E27" s="7"/>
      <c r="F27" s="7">
        <v>4202.0</v>
      </c>
      <c r="G27" s="7">
        <v>4196.0</v>
      </c>
      <c r="H27" s="7" t="s">
        <v>53</v>
      </c>
      <c r="I27" s="7"/>
      <c r="J27" s="7"/>
      <c r="K27" s="8" t="s">
        <v>266</v>
      </c>
      <c r="L27" s="8" t="s">
        <v>55</v>
      </c>
      <c r="M27" s="12" t="s">
        <v>55</v>
      </c>
      <c r="N27" s="8" t="s">
        <v>55</v>
      </c>
      <c r="O27" s="8" t="s">
        <v>228</v>
      </c>
      <c r="P27" s="8" t="s">
        <v>229</v>
      </c>
      <c r="Q27" s="8" t="s">
        <v>267</v>
      </c>
      <c r="R27" s="8" t="s">
        <v>49</v>
      </c>
      <c r="S27" s="8" t="s">
        <v>49</v>
      </c>
      <c r="T27" s="8" t="s">
        <v>49</v>
      </c>
      <c r="U27" s="8" t="s">
        <v>49</v>
      </c>
      <c r="V27" s="8" t="s">
        <v>49</v>
      </c>
      <c r="W27" s="8" t="s">
        <v>49</v>
      </c>
      <c r="X27" s="8" t="s">
        <v>55</v>
      </c>
      <c r="Y27" s="8" t="s">
        <v>55</v>
      </c>
      <c r="Z27" s="8" t="s">
        <v>55</v>
      </c>
      <c r="AA27" s="8" t="s">
        <v>231</v>
      </c>
      <c r="AB27" s="8" t="s">
        <v>60</v>
      </c>
      <c r="AC27" s="8" t="s">
        <v>61</v>
      </c>
      <c r="AD27" s="8" t="s">
        <v>268</v>
      </c>
      <c r="AE27" s="8" t="s">
        <v>55</v>
      </c>
      <c r="AF27" s="8" t="s">
        <v>55</v>
      </c>
      <c r="AG27" s="8" t="s">
        <v>63</v>
      </c>
      <c r="AH27" s="8" t="s">
        <v>55</v>
      </c>
      <c r="AI27" s="8" t="s">
        <v>112</v>
      </c>
      <c r="AJ27" s="8" t="s">
        <v>49</v>
      </c>
      <c r="AK27" s="8" t="s">
        <v>55</v>
      </c>
      <c r="AL27" s="8" t="s">
        <v>66</v>
      </c>
      <c r="AM27" s="8"/>
      <c r="AN27" s="9" t="s">
        <v>269</v>
      </c>
      <c r="AO27" s="9" t="s">
        <v>270</v>
      </c>
      <c r="AP27" s="10" t="s">
        <v>236</v>
      </c>
      <c r="AQ27" s="11"/>
      <c r="AR27" s="10" t="s">
        <v>271</v>
      </c>
      <c r="AS27" s="12"/>
      <c r="AT27" s="10" t="s">
        <v>272</v>
      </c>
      <c r="AU27" s="11"/>
      <c r="AV27" s="13"/>
    </row>
    <row r="28" ht="16.5" hidden="1" customHeight="1">
      <c r="A28" s="7" t="s">
        <v>273</v>
      </c>
      <c r="B28" s="14" t="s">
        <v>49</v>
      </c>
      <c r="C28" s="14" t="s">
        <v>213</v>
      </c>
      <c r="D28" s="14" t="s">
        <v>51</v>
      </c>
      <c r="E28" s="7"/>
      <c r="F28" s="7">
        <v>4203.0</v>
      </c>
      <c r="G28" s="7">
        <v>4196.0</v>
      </c>
      <c r="H28" s="7" t="s">
        <v>53</v>
      </c>
      <c r="I28" s="7"/>
      <c r="J28" s="7"/>
      <c r="K28" s="8" t="s">
        <v>266</v>
      </c>
      <c r="L28" s="8" t="s">
        <v>55</v>
      </c>
      <c r="M28" s="12" t="s">
        <v>55</v>
      </c>
      <c r="N28" s="8" t="s">
        <v>55</v>
      </c>
      <c r="O28" s="8" t="s">
        <v>228</v>
      </c>
      <c r="P28" s="8" t="s">
        <v>229</v>
      </c>
      <c r="Q28" s="8" t="s">
        <v>267</v>
      </c>
      <c r="R28" s="8" t="s">
        <v>49</v>
      </c>
      <c r="S28" s="8" t="s">
        <v>49</v>
      </c>
      <c r="T28" s="8" t="s">
        <v>49</v>
      </c>
      <c r="U28" s="8" t="s">
        <v>49</v>
      </c>
      <c r="V28" s="8" t="s">
        <v>49</v>
      </c>
      <c r="W28" s="8" t="s">
        <v>49</v>
      </c>
      <c r="X28" s="8" t="s">
        <v>55</v>
      </c>
      <c r="Y28" s="8" t="s">
        <v>55</v>
      </c>
      <c r="Z28" s="8" t="s">
        <v>55</v>
      </c>
      <c r="AA28" s="8" t="s">
        <v>231</v>
      </c>
      <c r="AB28" s="8" t="s">
        <v>60</v>
      </c>
      <c r="AC28" s="8" t="s">
        <v>61</v>
      </c>
      <c r="AD28" s="8" t="s">
        <v>268</v>
      </c>
      <c r="AE28" s="8" t="s">
        <v>55</v>
      </c>
      <c r="AF28" s="8" t="s">
        <v>55</v>
      </c>
      <c r="AG28" s="8" t="s">
        <v>63</v>
      </c>
      <c r="AH28" s="8" t="s">
        <v>55</v>
      </c>
      <c r="AI28" s="8" t="s">
        <v>94</v>
      </c>
      <c r="AJ28" s="8" t="s">
        <v>49</v>
      </c>
      <c r="AK28" s="8" t="s">
        <v>55</v>
      </c>
      <c r="AL28" s="8" t="s">
        <v>66</v>
      </c>
      <c r="AM28" s="8"/>
      <c r="AN28" s="9" t="s">
        <v>274</v>
      </c>
      <c r="AO28" s="9" t="s">
        <v>275</v>
      </c>
      <c r="AP28" s="10" t="s">
        <v>236</v>
      </c>
      <c r="AQ28" s="11"/>
      <c r="AR28" s="10" t="s">
        <v>271</v>
      </c>
      <c r="AS28" s="12"/>
      <c r="AT28" s="10" t="s">
        <v>272</v>
      </c>
      <c r="AU28" s="11"/>
      <c r="AV28" s="15">
        <v>46341.0</v>
      </c>
    </row>
    <row r="29" ht="16.5" hidden="1" customHeight="1">
      <c r="A29" s="7" t="s">
        <v>276</v>
      </c>
      <c r="B29" s="7" t="s">
        <v>49</v>
      </c>
      <c r="C29" s="7" t="s">
        <v>50</v>
      </c>
      <c r="D29" s="7" t="s">
        <v>51</v>
      </c>
      <c r="E29" s="7" t="s">
        <v>227</v>
      </c>
      <c r="F29" s="7">
        <v>4204.0</v>
      </c>
      <c r="G29" s="7"/>
      <c r="H29" s="7" t="s">
        <v>53</v>
      </c>
      <c r="I29" s="7"/>
      <c r="J29" s="7"/>
      <c r="K29" s="8" t="s">
        <v>54</v>
      </c>
      <c r="L29" s="8" t="s">
        <v>55</v>
      </c>
      <c r="M29" s="8"/>
      <c r="N29" s="8" t="s">
        <v>55</v>
      </c>
      <c r="O29" s="8" t="s">
        <v>228</v>
      </c>
      <c r="P29" s="8" t="s">
        <v>229</v>
      </c>
      <c r="Q29" s="8" t="s">
        <v>230</v>
      </c>
      <c r="R29" s="8" t="s">
        <v>49</v>
      </c>
      <c r="S29" s="8" t="s">
        <v>49</v>
      </c>
      <c r="T29" s="8" t="s">
        <v>49</v>
      </c>
      <c r="U29" s="8" t="s">
        <v>49</v>
      </c>
      <c r="V29" s="8" t="s">
        <v>49</v>
      </c>
      <c r="W29" s="8" t="s">
        <v>49</v>
      </c>
      <c r="X29" s="8" t="s">
        <v>49</v>
      </c>
      <c r="Y29" s="8" t="s">
        <v>49</v>
      </c>
      <c r="Z29" s="8" t="s">
        <v>49</v>
      </c>
      <c r="AA29" s="8" t="s">
        <v>231</v>
      </c>
      <c r="AB29" s="8" t="s">
        <v>60</v>
      </c>
      <c r="AC29" s="8" t="s">
        <v>61</v>
      </c>
      <c r="AD29" s="8" t="s">
        <v>277</v>
      </c>
      <c r="AE29" s="8" t="s">
        <v>55</v>
      </c>
      <c r="AF29" s="8" t="s">
        <v>55</v>
      </c>
      <c r="AG29" s="8" t="s">
        <v>63</v>
      </c>
      <c r="AH29" s="8" t="s">
        <v>55</v>
      </c>
      <c r="AI29" s="8" t="s">
        <v>112</v>
      </c>
      <c r="AJ29" s="8" t="s">
        <v>49</v>
      </c>
      <c r="AK29" s="8" t="s">
        <v>49</v>
      </c>
      <c r="AL29" s="8" t="s">
        <v>66</v>
      </c>
      <c r="AM29" s="8" t="s">
        <v>278</v>
      </c>
      <c r="AN29" s="16" t="s">
        <v>279</v>
      </c>
      <c r="AO29" s="9" t="s">
        <v>280</v>
      </c>
      <c r="AP29" s="10" t="s">
        <v>236</v>
      </c>
      <c r="AQ29" s="11"/>
      <c r="AR29" s="10" t="s">
        <v>281</v>
      </c>
      <c r="AS29" s="12"/>
      <c r="AT29" s="10" t="s">
        <v>282</v>
      </c>
      <c r="AU29" s="11"/>
      <c r="AV29" s="13"/>
    </row>
    <row r="30" ht="16.5" hidden="1" customHeight="1">
      <c r="A30" s="7" t="s">
        <v>283</v>
      </c>
      <c r="B30" s="7" t="s">
        <v>49</v>
      </c>
      <c r="C30" s="7" t="s">
        <v>50</v>
      </c>
      <c r="D30" s="7" t="s">
        <v>51</v>
      </c>
      <c r="E30" s="7" t="s">
        <v>227</v>
      </c>
      <c r="F30" s="7">
        <v>4204.0</v>
      </c>
      <c r="G30" s="7">
        <v>4204.0</v>
      </c>
      <c r="H30" s="7" t="s">
        <v>53</v>
      </c>
      <c r="I30" s="7"/>
      <c r="J30" s="7"/>
      <c r="K30" s="8" t="s">
        <v>54</v>
      </c>
      <c r="L30" s="8" t="s">
        <v>55</v>
      </c>
      <c r="M30" s="12" t="s">
        <v>55</v>
      </c>
      <c r="N30" s="8" t="s">
        <v>55</v>
      </c>
      <c r="O30" s="8" t="s">
        <v>228</v>
      </c>
      <c r="P30" s="8" t="s">
        <v>229</v>
      </c>
      <c r="Q30" s="8" t="s">
        <v>240</v>
      </c>
      <c r="R30" s="8" t="s">
        <v>49</v>
      </c>
      <c r="S30" s="8" t="s">
        <v>49</v>
      </c>
      <c r="T30" s="8" t="s">
        <v>49</v>
      </c>
      <c r="U30" s="8" t="s">
        <v>49</v>
      </c>
      <c r="V30" s="8" t="s">
        <v>49</v>
      </c>
      <c r="W30" s="8" t="s">
        <v>49</v>
      </c>
      <c r="X30" s="8" t="s">
        <v>55</v>
      </c>
      <c r="Y30" s="8" t="s">
        <v>55</v>
      </c>
      <c r="Z30" s="8" t="s">
        <v>55</v>
      </c>
      <c r="AA30" s="8" t="s">
        <v>231</v>
      </c>
      <c r="AB30" s="8" t="s">
        <v>60</v>
      </c>
      <c r="AC30" s="8" t="s">
        <v>61</v>
      </c>
      <c r="AD30" s="8" t="s">
        <v>277</v>
      </c>
      <c r="AE30" s="8" t="s">
        <v>55</v>
      </c>
      <c r="AF30" s="8" t="s">
        <v>55</v>
      </c>
      <c r="AG30" s="8" t="s">
        <v>63</v>
      </c>
      <c r="AH30" s="8" t="s">
        <v>55</v>
      </c>
      <c r="AI30" s="8" t="s">
        <v>112</v>
      </c>
      <c r="AJ30" s="8" t="s">
        <v>49</v>
      </c>
      <c r="AK30" s="8" t="s">
        <v>55</v>
      </c>
      <c r="AL30" s="8" t="s">
        <v>66</v>
      </c>
      <c r="AM30" s="8" t="s">
        <v>278</v>
      </c>
      <c r="AN30" s="16" t="s">
        <v>279</v>
      </c>
      <c r="AO30" s="9" t="s">
        <v>280</v>
      </c>
      <c r="AP30" s="10" t="s">
        <v>236</v>
      </c>
      <c r="AQ30" s="11"/>
      <c r="AR30" s="10" t="s">
        <v>281</v>
      </c>
      <c r="AS30" s="12"/>
      <c r="AT30" s="10" t="s">
        <v>282</v>
      </c>
      <c r="AU30" s="11"/>
      <c r="AV30" s="13"/>
    </row>
    <row r="31" ht="16.5" hidden="1" customHeight="1">
      <c r="A31" s="7" t="s">
        <v>284</v>
      </c>
      <c r="B31" s="14" t="s">
        <v>49</v>
      </c>
      <c r="C31" s="14" t="s">
        <v>50</v>
      </c>
      <c r="D31" s="14" t="s">
        <v>51</v>
      </c>
      <c r="E31" s="7"/>
      <c r="F31" s="7">
        <v>4205.0</v>
      </c>
      <c r="G31" s="7">
        <v>4204.0</v>
      </c>
      <c r="H31" s="7" t="s">
        <v>53</v>
      </c>
      <c r="I31" s="7"/>
      <c r="J31" s="7"/>
      <c r="K31" s="8" t="s">
        <v>54</v>
      </c>
      <c r="L31" s="8" t="s">
        <v>55</v>
      </c>
      <c r="M31" s="12" t="s">
        <v>55</v>
      </c>
      <c r="N31" s="8" t="s">
        <v>55</v>
      </c>
      <c r="O31" s="8" t="s">
        <v>228</v>
      </c>
      <c r="P31" s="8" t="s">
        <v>229</v>
      </c>
      <c r="Q31" s="8" t="s">
        <v>240</v>
      </c>
      <c r="R31" s="8" t="s">
        <v>49</v>
      </c>
      <c r="S31" s="8" t="s">
        <v>49</v>
      </c>
      <c r="T31" s="8" t="s">
        <v>49</v>
      </c>
      <c r="U31" s="8" t="s">
        <v>49</v>
      </c>
      <c r="V31" s="8" t="s">
        <v>49</v>
      </c>
      <c r="W31" s="8" t="s">
        <v>49</v>
      </c>
      <c r="X31" s="8" t="s">
        <v>55</v>
      </c>
      <c r="Y31" s="8" t="s">
        <v>55</v>
      </c>
      <c r="Z31" s="8" t="s">
        <v>55</v>
      </c>
      <c r="AA31" s="8" t="s">
        <v>231</v>
      </c>
      <c r="AB31" s="8" t="s">
        <v>60</v>
      </c>
      <c r="AC31" s="8" t="s">
        <v>61</v>
      </c>
      <c r="AD31" s="8" t="s">
        <v>277</v>
      </c>
      <c r="AE31" s="8" t="s">
        <v>55</v>
      </c>
      <c r="AF31" s="8" t="s">
        <v>55</v>
      </c>
      <c r="AG31" s="8" t="s">
        <v>63</v>
      </c>
      <c r="AH31" s="8" t="s">
        <v>55</v>
      </c>
      <c r="AI31" s="8" t="s">
        <v>94</v>
      </c>
      <c r="AJ31" s="8" t="s">
        <v>49</v>
      </c>
      <c r="AK31" s="8" t="s">
        <v>55</v>
      </c>
      <c r="AL31" s="8" t="s">
        <v>66</v>
      </c>
      <c r="AM31" s="8"/>
      <c r="AN31" s="16" t="s">
        <v>285</v>
      </c>
      <c r="AO31" s="9" t="s">
        <v>286</v>
      </c>
      <c r="AP31" s="10" t="s">
        <v>236</v>
      </c>
      <c r="AQ31" s="11"/>
      <c r="AR31" s="10" t="s">
        <v>281</v>
      </c>
      <c r="AS31" s="12"/>
      <c r="AT31" s="10" t="s">
        <v>282</v>
      </c>
      <c r="AU31" s="11"/>
      <c r="AV31" s="13"/>
    </row>
    <row r="32" ht="16.5" hidden="1" customHeight="1">
      <c r="A32" s="7" t="s">
        <v>287</v>
      </c>
      <c r="B32" s="14" t="s">
        <v>49</v>
      </c>
      <c r="C32" s="14" t="s">
        <v>50</v>
      </c>
      <c r="D32" s="14" t="s">
        <v>51</v>
      </c>
      <c r="E32" s="7"/>
      <c r="F32" s="7">
        <v>4217.0</v>
      </c>
      <c r="G32" s="7">
        <v>4179.0</v>
      </c>
      <c r="H32" s="7" t="s">
        <v>53</v>
      </c>
      <c r="I32" s="7"/>
      <c r="J32" s="7"/>
      <c r="K32" s="8" t="s">
        <v>84</v>
      </c>
      <c r="L32" s="8" t="s">
        <v>49</v>
      </c>
      <c r="M32" s="8"/>
      <c r="N32" s="8" t="s">
        <v>85</v>
      </c>
      <c r="O32" s="8" t="s">
        <v>56</v>
      </c>
      <c r="P32" s="8" t="s">
        <v>57</v>
      </c>
      <c r="Q32" s="8" t="s">
        <v>140</v>
      </c>
      <c r="R32" s="8">
        <v>0.48</v>
      </c>
      <c r="S32" s="8" t="s">
        <v>49</v>
      </c>
      <c r="T32" s="8" t="s">
        <v>49</v>
      </c>
      <c r="U32" s="8" t="s">
        <v>288</v>
      </c>
      <c r="V32" s="8" t="s">
        <v>289</v>
      </c>
      <c r="W32" s="8" t="s">
        <v>89</v>
      </c>
      <c r="X32" s="8" t="s">
        <v>108</v>
      </c>
      <c r="Y32" s="8" t="s">
        <v>109</v>
      </c>
      <c r="Z32" s="8" t="s">
        <v>92</v>
      </c>
      <c r="AA32" s="8" t="s">
        <v>59</v>
      </c>
      <c r="AB32" s="8" t="s">
        <v>60</v>
      </c>
      <c r="AC32" s="8" t="s">
        <v>61</v>
      </c>
      <c r="AD32" s="8" t="s">
        <v>290</v>
      </c>
      <c r="AE32" s="8" t="s">
        <v>55</v>
      </c>
      <c r="AF32" s="8" t="s">
        <v>55</v>
      </c>
      <c r="AG32" s="8" t="s">
        <v>63</v>
      </c>
      <c r="AH32" s="8" t="s">
        <v>111</v>
      </c>
      <c r="AI32" s="8" t="s">
        <v>94</v>
      </c>
      <c r="AJ32" s="8" t="s">
        <v>49</v>
      </c>
      <c r="AK32" s="8" t="s">
        <v>95</v>
      </c>
      <c r="AL32" s="8" t="s">
        <v>66</v>
      </c>
      <c r="AM32" s="8"/>
      <c r="AN32" s="9" t="s">
        <v>291</v>
      </c>
      <c r="AO32" s="9" t="s">
        <v>292</v>
      </c>
      <c r="AP32" s="10" t="s">
        <v>116</v>
      </c>
      <c r="AQ32" s="10" t="s">
        <v>293</v>
      </c>
      <c r="AR32" s="10" t="s">
        <v>294</v>
      </c>
      <c r="AS32" s="12"/>
      <c r="AT32" s="10" t="s">
        <v>295</v>
      </c>
      <c r="AU32" s="10" t="s">
        <v>296</v>
      </c>
      <c r="AV32" s="15">
        <v>46315.0</v>
      </c>
    </row>
    <row r="33" ht="16.5" hidden="1" customHeight="1">
      <c r="A33" s="7" t="s">
        <v>297</v>
      </c>
      <c r="B33" s="7"/>
      <c r="C33" s="7"/>
      <c r="D33" s="7"/>
      <c r="E33" s="7"/>
      <c r="F33" s="7">
        <v>4232.0</v>
      </c>
      <c r="G33" s="7"/>
      <c r="H33" s="7" t="s">
        <v>53</v>
      </c>
      <c r="I33" s="7"/>
      <c r="J33" s="7"/>
      <c r="K33" s="8" t="s">
        <v>266</v>
      </c>
      <c r="L33" s="8" t="s">
        <v>55</v>
      </c>
      <c r="M33" s="8"/>
      <c r="N33" s="8" t="s">
        <v>55</v>
      </c>
      <c r="O33" s="8" t="s">
        <v>228</v>
      </c>
      <c r="P33" s="8" t="s">
        <v>229</v>
      </c>
      <c r="Q33" s="8" t="s">
        <v>298</v>
      </c>
      <c r="R33" s="8" t="s">
        <v>49</v>
      </c>
      <c r="S33" s="8" t="s">
        <v>49</v>
      </c>
      <c r="T33" s="8" t="s">
        <v>49</v>
      </c>
      <c r="U33" s="8" t="s">
        <v>49</v>
      </c>
      <c r="V33" s="8" t="s">
        <v>49</v>
      </c>
      <c r="W33" s="8" t="s">
        <v>49</v>
      </c>
      <c r="X33" s="8" t="s">
        <v>49</v>
      </c>
      <c r="Y33" s="8" t="s">
        <v>49</v>
      </c>
      <c r="Z33" s="8" t="s">
        <v>49</v>
      </c>
      <c r="AA33" s="8" t="s">
        <v>231</v>
      </c>
      <c r="AB33" s="8" t="s">
        <v>60</v>
      </c>
      <c r="AC33" s="8" t="s">
        <v>61</v>
      </c>
      <c r="AD33" s="8" t="s">
        <v>299</v>
      </c>
      <c r="AE33" s="8" t="s">
        <v>55</v>
      </c>
      <c r="AF33" s="8" t="s">
        <v>55</v>
      </c>
      <c r="AG33" s="8" t="s">
        <v>63</v>
      </c>
      <c r="AH33" s="8" t="s">
        <v>55</v>
      </c>
      <c r="AI33" s="8" t="s">
        <v>94</v>
      </c>
      <c r="AJ33" s="8" t="s">
        <v>49</v>
      </c>
      <c r="AK33" s="8" t="s">
        <v>49</v>
      </c>
      <c r="AL33" s="8" t="s">
        <v>66</v>
      </c>
      <c r="AM33" s="8"/>
      <c r="AN33" s="9" t="s">
        <v>300</v>
      </c>
      <c r="AO33" s="9" t="s">
        <v>301</v>
      </c>
      <c r="AP33" s="10" t="s">
        <v>236</v>
      </c>
      <c r="AQ33" s="11"/>
      <c r="AR33" s="10" t="s">
        <v>302</v>
      </c>
      <c r="AS33" s="12"/>
      <c r="AT33" s="10" t="s">
        <v>303</v>
      </c>
      <c r="AU33" s="11"/>
      <c r="AV33" s="13"/>
    </row>
    <row r="34" ht="16.5" hidden="1" customHeight="1">
      <c r="A34" s="7" t="s">
        <v>304</v>
      </c>
      <c r="B34" s="14" t="s">
        <v>49</v>
      </c>
      <c r="C34" s="14" t="s">
        <v>213</v>
      </c>
      <c r="D34" s="14" t="s">
        <v>51</v>
      </c>
      <c r="E34" s="7"/>
      <c r="F34" s="7">
        <v>4232.0</v>
      </c>
      <c r="G34" s="7">
        <v>4232.0</v>
      </c>
      <c r="H34" s="7" t="s">
        <v>53</v>
      </c>
      <c r="I34" s="7"/>
      <c r="J34" s="7"/>
      <c r="K34" s="8" t="s">
        <v>266</v>
      </c>
      <c r="L34" s="8" t="s">
        <v>55</v>
      </c>
      <c r="M34" s="12" t="s">
        <v>55</v>
      </c>
      <c r="N34" s="8" t="s">
        <v>55</v>
      </c>
      <c r="O34" s="8" t="s">
        <v>228</v>
      </c>
      <c r="P34" s="8" t="s">
        <v>229</v>
      </c>
      <c r="Q34" s="8" t="s">
        <v>267</v>
      </c>
      <c r="R34" s="8" t="s">
        <v>49</v>
      </c>
      <c r="S34" s="8" t="s">
        <v>49</v>
      </c>
      <c r="T34" s="8" t="s">
        <v>49</v>
      </c>
      <c r="U34" s="8" t="s">
        <v>49</v>
      </c>
      <c r="V34" s="8" t="s">
        <v>49</v>
      </c>
      <c r="W34" s="8" t="s">
        <v>49</v>
      </c>
      <c r="X34" s="8" t="s">
        <v>55</v>
      </c>
      <c r="Y34" s="8" t="s">
        <v>55</v>
      </c>
      <c r="Z34" s="8" t="s">
        <v>55</v>
      </c>
      <c r="AA34" s="8" t="s">
        <v>231</v>
      </c>
      <c r="AB34" s="8" t="s">
        <v>60</v>
      </c>
      <c r="AC34" s="8" t="s">
        <v>61</v>
      </c>
      <c r="AD34" s="8" t="s">
        <v>299</v>
      </c>
      <c r="AE34" s="8" t="s">
        <v>55</v>
      </c>
      <c r="AF34" s="8" t="s">
        <v>55</v>
      </c>
      <c r="AG34" s="8" t="s">
        <v>63</v>
      </c>
      <c r="AH34" s="8" t="s">
        <v>55</v>
      </c>
      <c r="AI34" s="8" t="s">
        <v>94</v>
      </c>
      <c r="AJ34" s="8" t="s">
        <v>49</v>
      </c>
      <c r="AK34" s="8" t="s">
        <v>55</v>
      </c>
      <c r="AL34" s="8" t="s">
        <v>66</v>
      </c>
      <c r="AM34" s="8"/>
      <c r="AN34" s="9" t="s">
        <v>300</v>
      </c>
      <c r="AO34" s="9" t="s">
        <v>301</v>
      </c>
      <c r="AP34" s="10" t="s">
        <v>236</v>
      </c>
      <c r="AQ34" s="11"/>
      <c r="AR34" s="10" t="s">
        <v>302</v>
      </c>
      <c r="AS34" s="12"/>
      <c r="AT34" s="10" t="s">
        <v>303</v>
      </c>
      <c r="AU34" s="11"/>
      <c r="AV34" s="13"/>
    </row>
    <row r="35" ht="16.5" hidden="1" customHeight="1">
      <c r="A35" s="7" t="s">
        <v>305</v>
      </c>
      <c r="B35" s="14" t="s">
        <v>49</v>
      </c>
      <c r="C35" s="14" t="s">
        <v>213</v>
      </c>
      <c r="D35" s="14" t="s">
        <v>51</v>
      </c>
      <c r="E35" s="7"/>
      <c r="F35" s="7">
        <v>4233.0</v>
      </c>
      <c r="G35" s="7">
        <v>4232.0</v>
      </c>
      <c r="H35" s="7" t="s">
        <v>53</v>
      </c>
      <c r="I35" s="7"/>
      <c r="J35" s="7"/>
      <c r="K35" s="8" t="s">
        <v>266</v>
      </c>
      <c r="L35" s="8" t="s">
        <v>55</v>
      </c>
      <c r="M35" s="12" t="s">
        <v>55</v>
      </c>
      <c r="N35" s="8" t="s">
        <v>55</v>
      </c>
      <c r="O35" s="8" t="s">
        <v>228</v>
      </c>
      <c r="P35" s="8" t="s">
        <v>229</v>
      </c>
      <c r="Q35" s="8" t="s">
        <v>267</v>
      </c>
      <c r="R35" s="8" t="s">
        <v>49</v>
      </c>
      <c r="S35" s="8" t="s">
        <v>49</v>
      </c>
      <c r="T35" s="8" t="s">
        <v>49</v>
      </c>
      <c r="U35" s="8" t="s">
        <v>49</v>
      </c>
      <c r="V35" s="8" t="s">
        <v>49</v>
      </c>
      <c r="W35" s="8" t="s">
        <v>49</v>
      </c>
      <c r="X35" s="8" t="s">
        <v>55</v>
      </c>
      <c r="Y35" s="8" t="s">
        <v>55</v>
      </c>
      <c r="Z35" s="8" t="s">
        <v>55</v>
      </c>
      <c r="AA35" s="8" t="s">
        <v>231</v>
      </c>
      <c r="AB35" s="8" t="s">
        <v>60</v>
      </c>
      <c r="AC35" s="8" t="s">
        <v>61</v>
      </c>
      <c r="AD35" s="8" t="s">
        <v>299</v>
      </c>
      <c r="AE35" s="8" t="s">
        <v>55</v>
      </c>
      <c r="AF35" s="8" t="s">
        <v>55</v>
      </c>
      <c r="AG35" s="8" t="s">
        <v>63</v>
      </c>
      <c r="AH35" s="8" t="s">
        <v>55</v>
      </c>
      <c r="AI35" s="8" t="s">
        <v>112</v>
      </c>
      <c r="AJ35" s="8" t="s">
        <v>49</v>
      </c>
      <c r="AK35" s="8" t="s">
        <v>55</v>
      </c>
      <c r="AL35" s="8" t="s">
        <v>66</v>
      </c>
      <c r="AM35" s="8"/>
      <c r="AN35" s="9" t="s">
        <v>306</v>
      </c>
      <c r="AO35" s="9" t="s">
        <v>307</v>
      </c>
      <c r="AP35" s="10" t="s">
        <v>236</v>
      </c>
      <c r="AQ35" s="11"/>
      <c r="AR35" s="10" t="s">
        <v>302</v>
      </c>
      <c r="AS35" s="12"/>
      <c r="AT35" s="10" t="s">
        <v>303</v>
      </c>
      <c r="AU35" s="11"/>
      <c r="AV35" s="13"/>
    </row>
    <row r="36" ht="16.5" hidden="1" customHeight="1">
      <c r="A36" s="7" t="s">
        <v>308</v>
      </c>
      <c r="B36" s="7" t="s">
        <v>49</v>
      </c>
      <c r="C36" s="7" t="s">
        <v>50</v>
      </c>
      <c r="D36" s="7" t="s">
        <v>51</v>
      </c>
      <c r="E36" s="7" t="s">
        <v>52</v>
      </c>
      <c r="F36" s="7">
        <v>4244.0</v>
      </c>
      <c r="G36" s="7"/>
      <c r="H36" s="7" t="s">
        <v>53</v>
      </c>
      <c r="I36" s="7"/>
      <c r="J36" s="7"/>
      <c r="K36" s="8" t="s">
        <v>84</v>
      </c>
      <c r="L36" s="8" t="s">
        <v>49</v>
      </c>
      <c r="M36" s="8"/>
      <c r="N36" s="8" t="s">
        <v>85</v>
      </c>
      <c r="O36" s="8" t="s">
        <v>56</v>
      </c>
      <c r="P36" s="8" t="s">
        <v>57</v>
      </c>
      <c r="Q36" s="8" t="s">
        <v>86</v>
      </c>
      <c r="R36" s="8">
        <v>0.51</v>
      </c>
      <c r="S36" s="8" t="s">
        <v>49</v>
      </c>
      <c r="T36" s="8" t="s">
        <v>49</v>
      </c>
      <c r="U36" s="8" t="s">
        <v>309</v>
      </c>
      <c r="V36" s="8" t="s">
        <v>310</v>
      </c>
      <c r="W36" s="8" t="s">
        <v>89</v>
      </c>
      <c r="X36" s="8" t="s">
        <v>90</v>
      </c>
      <c r="Y36" s="8" t="s">
        <v>311</v>
      </c>
      <c r="Z36" s="8" t="s">
        <v>92</v>
      </c>
      <c r="AA36" s="8" t="s">
        <v>59</v>
      </c>
      <c r="AB36" s="8" t="s">
        <v>60</v>
      </c>
      <c r="AC36" s="8" t="s">
        <v>61</v>
      </c>
      <c r="AD36" s="8" t="s">
        <v>312</v>
      </c>
      <c r="AE36" s="8" t="s">
        <v>55</v>
      </c>
      <c r="AF36" s="8" t="s">
        <v>55</v>
      </c>
      <c r="AG36" s="8" t="s">
        <v>63</v>
      </c>
      <c r="AH36" s="8" t="s">
        <v>64</v>
      </c>
      <c r="AI36" s="8" t="s">
        <v>94</v>
      </c>
      <c r="AJ36" s="8" t="s">
        <v>49</v>
      </c>
      <c r="AK36" s="8" t="s">
        <v>95</v>
      </c>
      <c r="AL36" s="8" t="s">
        <v>66</v>
      </c>
      <c r="AM36" s="8" t="s">
        <v>96</v>
      </c>
      <c r="AN36" s="9" t="s">
        <v>313</v>
      </c>
      <c r="AO36" s="9" t="s">
        <v>314</v>
      </c>
      <c r="AP36" s="10" t="s">
        <v>315</v>
      </c>
      <c r="AQ36" s="10" t="s">
        <v>316</v>
      </c>
      <c r="AR36" s="10" t="s">
        <v>317</v>
      </c>
      <c r="AS36" s="12"/>
      <c r="AT36" s="10" t="s">
        <v>318</v>
      </c>
      <c r="AU36" s="10" t="s">
        <v>319</v>
      </c>
      <c r="AV36" s="15">
        <v>46315.0</v>
      </c>
    </row>
    <row r="37" ht="16.5" hidden="1" customHeight="1">
      <c r="A37" s="7" t="s">
        <v>320</v>
      </c>
      <c r="B37" s="7" t="s">
        <v>49</v>
      </c>
      <c r="C37" s="7" t="s">
        <v>50</v>
      </c>
      <c r="D37" s="7" t="s">
        <v>51</v>
      </c>
      <c r="E37" s="7" t="s">
        <v>52</v>
      </c>
      <c r="F37" s="7">
        <v>4245.0</v>
      </c>
      <c r="G37" s="7"/>
      <c r="H37" s="7" t="s">
        <v>53</v>
      </c>
      <c r="I37" s="7"/>
      <c r="J37" s="7"/>
      <c r="K37" s="8" t="s">
        <v>84</v>
      </c>
      <c r="L37" s="8" t="s">
        <v>49</v>
      </c>
      <c r="M37" s="8"/>
      <c r="N37" s="8" t="s">
        <v>85</v>
      </c>
      <c r="O37" s="8" t="s">
        <v>56</v>
      </c>
      <c r="P37" s="8" t="s">
        <v>57</v>
      </c>
      <c r="Q37" s="8" t="s">
        <v>105</v>
      </c>
      <c r="R37" s="8">
        <v>0.48</v>
      </c>
      <c r="S37" s="8" t="s">
        <v>49</v>
      </c>
      <c r="T37" s="8" t="s">
        <v>49</v>
      </c>
      <c r="U37" s="8" t="s">
        <v>321</v>
      </c>
      <c r="V37" s="8" t="s">
        <v>322</v>
      </c>
      <c r="W37" s="8" t="s">
        <v>89</v>
      </c>
      <c r="X37" s="8" t="s">
        <v>90</v>
      </c>
      <c r="Y37" s="8" t="s">
        <v>178</v>
      </c>
      <c r="Z37" s="8" t="s">
        <v>92</v>
      </c>
      <c r="AA37" s="8" t="s">
        <v>59</v>
      </c>
      <c r="AB37" s="8" t="s">
        <v>60</v>
      </c>
      <c r="AC37" s="8" t="s">
        <v>61</v>
      </c>
      <c r="AD37" s="8" t="s">
        <v>323</v>
      </c>
      <c r="AE37" s="8" t="s">
        <v>55</v>
      </c>
      <c r="AF37" s="8" t="s">
        <v>55</v>
      </c>
      <c r="AG37" s="8" t="s">
        <v>63</v>
      </c>
      <c r="AH37" s="8" t="s">
        <v>64</v>
      </c>
      <c r="AI37" s="8" t="s">
        <v>94</v>
      </c>
      <c r="AJ37" s="8" t="s">
        <v>49</v>
      </c>
      <c r="AK37" s="8" t="s">
        <v>95</v>
      </c>
      <c r="AL37" s="8" t="s">
        <v>66</v>
      </c>
      <c r="AM37" s="8" t="s">
        <v>96</v>
      </c>
      <c r="AN37" s="9" t="s">
        <v>324</v>
      </c>
      <c r="AO37" s="9" t="s">
        <v>325</v>
      </c>
      <c r="AP37" s="10" t="s">
        <v>326</v>
      </c>
      <c r="AQ37" s="10" t="s">
        <v>327</v>
      </c>
      <c r="AR37" s="10" t="s">
        <v>328</v>
      </c>
      <c r="AS37" s="12"/>
      <c r="AT37" s="10" t="s">
        <v>329</v>
      </c>
      <c r="AU37" s="10" t="s">
        <v>330</v>
      </c>
      <c r="AV37" s="15">
        <v>46315.0</v>
      </c>
    </row>
    <row r="38" ht="16.5" hidden="1" customHeight="1">
      <c r="A38" s="7" t="s">
        <v>331</v>
      </c>
      <c r="B38" s="7"/>
      <c r="C38" s="14" t="s">
        <v>332</v>
      </c>
      <c r="D38" s="7" t="s">
        <v>333</v>
      </c>
      <c r="E38" s="7" t="s">
        <v>52</v>
      </c>
      <c r="F38" s="7">
        <v>6031.0</v>
      </c>
      <c r="G38" s="7"/>
      <c r="H38" s="7" t="s">
        <v>215</v>
      </c>
      <c r="I38" s="7"/>
      <c r="J38" s="7"/>
      <c r="K38" s="8" t="s">
        <v>84</v>
      </c>
      <c r="L38" s="8" t="s">
        <v>49</v>
      </c>
      <c r="M38" s="8"/>
      <c r="N38" s="8" t="s">
        <v>85</v>
      </c>
      <c r="O38" s="8" t="s">
        <v>56</v>
      </c>
      <c r="P38" s="8" t="s">
        <v>57</v>
      </c>
      <c r="Q38" s="8" t="s">
        <v>334</v>
      </c>
      <c r="R38" s="8">
        <v>0.44</v>
      </c>
      <c r="S38" s="8" t="s">
        <v>49</v>
      </c>
      <c r="T38" s="8" t="s">
        <v>49</v>
      </c>
      <c r="U38" s="8" t="s">
        <v>335</v>
      </c>
      <c r="V38" s="8" t="s">
        <v>336</v>
      </c>
      <c r="W38" s="8" t="s">
        <v>89</v>
      </c>
      <c r="X38" s="8" t="s">
        <v>90</v>
      </c>
      <c r="Y38" s="8" t="s">
        <v>337</v>
      </c>
      <c r="Z38" s="8" t="s">
        <v>92</v>
      </c>
      <c r="AA38" s="8" t="s">
        <v>59</v>
      </c>
      <c r="AB38" s="8" t="s">
        <v>60</v>
      </c>
      <c r="AC38" s="8" t="s">
        <v>333</v>
      </c>
      <c r="AD38" s="8" t="s">
        <v>338</v>
      </c>
      <c r="AE38" s="8" t="s">
        <v>55</v>
      </c>
      <c r="AF38" s="8" t="s">
        <v>55</v>
      </c>
      <c r="AG38" s="8" t="s">
        <v>339</v>
      </c>
      <c r="AH38" s="8" t="s">
        <v>145</v>
      </c>
      <c r="AI38" s="8" t="s">
        <v>65</v>
      </c>
      <c r="AJ38" s="8" t="s">
        <v>49</v>
      </c>
      <c r="AK38" s="8" t="s">
        <v>49</v>
      </c>
      <c r="AL38" s="8" t="s">
        <v>221</v>
      </c>
      <c r="AM38" s="8" t="s">
        <v>340</v>
      </c>
      <c r="AN38" s="9" t="s">
        <v>341</v>
      </c>
      <c r="AO38" s="12" t="s">
        <v>224</v>
      </c>
      <c r="AP38" s="10" t="s">
        <v>342</v>
      </c>
      <c r="AQ38" s="11"/>
      <c r="AR38" s="11"/>
      <c r="AS38" s="12"/>
      <c r="AT38" s="11"/>
      <c r="AU38" s="11"/>
      <c r="AV38" s="13"/>
    </row>
    <row r="39" ht="16.5" hidden="1" customHeight="1">
      <c r="A39" s="7" t="s">
        <v>343</v>
      </c>
      <c r="B39" s="7" t="s">
        <v>49</v>
      </c>
      <c r="C39" s="7" t="s">
        <v>50</v>
      </c>
      <c r="D39" s="14" t="s">
        <v>344</v>
      </c>
      <c r="E39" s="7" t="s">
        <v>52</v>
      </c>
      <c r="F39" s="7">
        <v>6032.0</v>
      </c>
      <c r="G39" s="7"/>
      <c r="H39" s="7" t="s">
        <v>53</v>
      </c>
      <c r="I39" s="7"/>
      <c r="J39" s="7"/>
      <c r="K39" s="8" t="s">
        <v>84</v>
      </c>
      <c r="L39" s="8" t="s">
        <v>49</v>
      </c>
      <c r="M39" s="8"/>
      <c r="N39" s="8" t="s">
        <v>85</v>
      </c>
      <c r="O39" s="8" t="s">
        <v>56</v>
      </c>
      <c r="P39" s="8" t="s">
        <v>57</v>
      </c>
      <c r="Q39" s="8" t="s">
        <v>86</v>
      </c>
      <c r="R39" s="8">
        <v>0.46</v>
      </c>
      <c r="S39" s="8" t="s">
        <v>49</v>
      </c>
      <c r="T39" s="8" t="s">
        <v>49</v>
      </c>
      <c r="U39" s="8" t="s">
        <v>345</v>
      </c>
      <c r="V39" s="8" t="s">
        <v>346</v>
      </c>
      <c r="W39" s="8" t="s">
        <v>89</v>
      </c>
      <c r="X39" s="8" t="s">
        <v>90</v>
      </c>
      <c r="Y39" s="8" t="s">
        <v>347</v>
      </c>
      <c r="Z39" s="8" t="s">
        <v>92</v>
      </c>
      <c r="AA39" s="8" t="s">
        <v>59</v>
      </c>
      <c r="AB39" s="8" t="s">
        <v>60</v>
      </c>
      <c r="AC39" s="8" t="s">
        <v>348</v>
      </c>
      <c r="AD39" s="8" t="s">
        <v>349</v>
      </c>
      <c r="AE39" s="8" t="s">
        <v>350</v>
      </c>
      <c r="AF39" s="8" t="s">
        <v>351</v>
      </c>
      <c r="AG39" s="8" t="s">
        <v>352</v>
      </c>
      <c r="AH39" s="8" t="s">
        <v>64</v>
      </c>
      <c r="AI39" s="8" t="s">
        <v>353</v>
      </c>
      <c r="AJ39" s="8" t="s">
        <v>49</v>
      </c>
      <c r="AK39" s="8" t="s">
        <v>95</v>
      </c>
      <c r="AL39" s="8" t="s">
        <v>66</v>
      </c>
      <c r="AM39" s="8" t="s">
        <v>354</v>
      </c>
      <c r="AN39" s="16" t="s">
        <v>355</v>
      </c>
      <c r="AO39" s="9" t="s">
        <v>356</v>
      </c>
      <c r="AP39" s="10" t="s">
        <v>357</v>
      </c>
      <c r="AQ39" s="10" t="s">
        <v>358</v>
      </c>
      <c r="AR39" s="10" t="s">
        <v>359</v>
      </c>
      <c r="AS39" s="12"/>
      <c r="AT39" s="10" t="s">
        <v>360</v>
      </c>
      <c r="AU39" s="10" t="s">
        <v>361</v>
      </c>
      <c r="AV39" s="15">
        <v>46315.0</v>
      </c>
    </row>
    <row r="40" ht="16.5" hidden="1" customHeight="1">
      <c r="A40" s="7" t="s">
        <v>362</v>
      </c>
      <c r="B40" s="7"/>
      <c r="C40" s="7" t="s">
        <v>50</v>
      </c>
      <c r="D40" s="14" t="s">
        <v>344</v>
      </c>
      <c r="E40" s="7" t="s">
        <v>52</v>
      </c>
      <c r="F40" s="7">
        <v>6033.0</v>
      </c>
      <c r="G40" s="7"/>
      <c r="H40" s="7" t="s">
        <v>215</v>
      </c>
      <c r="I40" s="7"/>
      <c r="J40" s="7"/>
      <c r="K40" s="8" t="s">
        <v>84</v>
      </c>
      <c r="L40" s="8" t="s">
        <v>49</v>
      </c>
      <c r="M40" s="8"/>
      <c r="N40" s="8" t="s">
        <v>85</v>
      </c>
      <c r="O40" s="8" t="s">
        <v>56</v>
      </c>
      <c r="P40" s="8" t="s">
        <v>57</v>
      </c>
      <c r="Q40" s="8" t="s">
        <v>86</v>
      </c>
      <c r="R40" s="8">
        <v>0.47</v>
      </c>
      <c r="S40" s="8" t="s">
        <v>49</v>
      </c>
      <c r="T40" s="8" t="s">
        <v>49</v>
      </c>
      <c r="U40" s="8" t="s">
        <v>363</v>
      </c>
      <c r="V40" s="8" t="s">
        <v>364</v>
      </c>
      <c r="W40" s="8" t="s">
        <v>89</v>
      </c>
      <c r="X40" s="12" t="s">
        <v>365</v>
      </c>
      <c r="Y40" s="8" t="s">
        <v>366</v>
      </c>
      <c r="Z40" s="8" t="s">
        <v>92</v>
      </c>
      <c r="AA40" s="8" t="s">
        <v>59</v>
      </c>
      <c r="AB40" s="8" t="s">
        <v>60</v>
      </c>
      <c r="AC40" s="8" t="s">
        <v>348</v>
      </c>
      <c r="AD40" s="8" t="s">
        <v>367</v>
      </c>
      <c r="AE40" s="8" t="s">
        <v>368</v>
      </c>
      <c r="AF40" s="8" t="s">
        <v>351</v>
      </c>
      <c r="AG40" s="8" t="s">
        <v>352</v>
      </c>
      <c r="AH40" s="8" t="s">
        <v>64</v>
      </c>
      <c r="AI40" s="8" t="s">
        <v>369</v>
      </c>
      <c r="AJ40" s="8" t="s">
        <v>49</v>
      </c>
      <c r="AK40" s="8" t="s">
        <v>49</v>
      </c>
      <c r="AL40" s="8" t="s">
        <v>221</v>
      </c>
      <c r="AM40" s="8" t="s">
        <v>354</v>
      </c>
      <c r="AN40" s="16" t="s">
        <v>370</v>
      </c>
      <c r="AO40" s="12" t="s">
        <v>224</v>
      </c>
      <c r="AP40" s="10" t="s">
        <v>371</v>
      </c>
      <c r="AQ40" s="10" t="s">
        <v>372</v>
      </c>
      <c r="AR40" s="10" t="s">
        <v>373</v>
      </c>
      <c r="AS40" s="12"/>
      <c r="AT40" s="11"/>
      <c r="AU40" s="10" t="s">
        <v>374</v>
      </c>
      <c r="AV40" s="13"/>
    </row>
    <row r="41" ht="16.5" hidden="1" customHeight="1">
      <c r="A41" s="7" t="s">
        <v>375</v>
      </c>
      <c r="B41" s="7" t="s">
        <v>49</v>
      </c>
      <c r="C41" s="7" t="s">
        <v>50</v>
      </c>
      <c r="D41" s="7" t="s">
        <v>376</v>
      </c>
      <c r="E41" s="7" t="s">
        <v>52</v>
      </c>
      <c r="F41" s="7">
        <v>6034.0</v>
      </c>
      <c r="G41" s="7"/>
      <c r="H41" s="7" t="s">
        <v>53</v>
      </c>
      <c r="I41" s="7"/>
      <c r="J41" s="7"/>
      <c r="K41" s="8" t="s">
        <v>84</v>
      </c>
      <c r="L41" s="8" t="s">
        <v>377</v>
      </c>
      <c r="M41" s="8"/>
      <c r="N41" s="8" t="s">
        <v>85</v>
      </c>
      <c r="O41" s="8" t="s">
        <v>56</v>
      </c>
      <c r="P41" s="8" t="s">
        <v>57</v>
      </c>
      <c r="Q41" s="8" t="s">
        <v>86</v>
      </c>
      <c r="R41" s="8">
        <v>0.46</v>
      </c>
      <c r="S41" s="8" t="s">
        <v>49</v>
      </c>
      <c r="T41" s="8" t="s">
        <v>49</v>
      </c>
      <c r="U41" s="8" t="s">
        <v>378</v>
      </c>
      <c r="V41" s="8" t="s">
        <v>379</v>
      </c>
      <c r="W41" s="8" t="s">
        <v>89</v>
      </c>
      <c r="X41" s="8" t="s">
        <v>108</v>
      </c>
      <c r="Y41" s="8" t="s">
        <v>380</v>
      </c>
      <c r="Z41" s="8" t="s">
        <v>92</v>
      </c>
      <c r="AA41" s="8" t="s">
        <v>59</v>
      </c>
      <c r="AB41" s="8" t="s">
        <v>60</v>
      </c>
      <c r="AC41" s="8" t="s">
        <v>348</v>
      </c>
      <c r="AD41" s="8" t="s">
        <v>381</v>
      </c>
      <c r="AE41" s="8" t="s">
        <v>382</v>
      </c>
      <c r="AF41" s="8" t="s">
        <v>383</v>
      </c>
      <c r="AG41" s="8" t="s">
        <v>63</v>
      </c>
      <c r="AH41" s="8" t="s">
        <v>64</v>
      </c>
      <c r="AI41" s="8" t="s">
        <v>94</v>
      </c>
      <c r="AJ41" s="8" t="s">
        <v>49</v>
      </c>
      <c r="AK41" s="8" t="s">
        <v>49</v>
      </c>
      <c r="AL41" s="8" t="s">
        <v>66</v>
      </c>
      <c r="AM41" s="8" t="s">
        <v>384</v>
      </c>
      <c r="AN41" s="9" t="s">
        <v>385</v>
      </c>
      <c r="AO41" s="9" t="s">
        <v>386</v>
      </c>
      <c r="AP41" s="10" t="s">
        <v>387</v>
      </c>
      <c r="AQ41" s="10" t="s">
        <v>388</v>
      </c>
      <c r="AR41" s="10" t="s">
        <v>389</v>
      </c>
      <c r="AS41" s="12"/>
      <c r="AT41" s="10" t="s">
        <v>390</v>
      </c>
      <c r="AU41" s="10" t="s">
        <v>391</v>
      </c>
      <c r="AV41" s="13"/>
    </row>
    <row r="42" ht="16.5" hidden="1" customHeight="1">
      <c r="A42" s="7" t="s">
        <v>392</v>
      </c>
      <c r="B42" s="7" t="s">
        <v>49</v>
      </c>
      <c r="C42" s="7" t="s">
        <v>50</v>
      </c>
      <c r="D42" s="14" t="s">
        <v>344</v>
      </c>
      <c r="E42" s="7" t="s">
        <v>52</v>
      </c>
      <c r="F42" s="7">
        <v>6034.0</v>
      </c>
      <c r="G42" s="7">
        <v>6034.0</v>
      </c>
      <c r="H42" s="7" t="s">
        <v>53</v>
      </c>
      <c r="I42" s="7"/>
      <c r="J42" s="7"/>
      <c r="K42" s="8" t="s">
        <v>84</v>
      </c>
      <c r="L42" s="8" t="s">
        <v>377</v>
      </c>
      <c r="M42" s="8"/>
      <c r="N42" s="8" t="s">
        <v>85</v>
      </c>
      <c r="O42" s="8" t="s">
        <v>56</v>
      </c>
      <c r="P42" s="8" t="s">
        <v>57</v>
      </c>
      <c r="Q42" s="8" t="s">
        <v>86</v>
      </c>
      <c r="R42" s="8">
        <v>0.46</v>
      </c>
      <c r="S42" s="8" t="s">
        <v>49</v>
      </c>
      <c r="T42" s="8" t="s">
        <v>49</v>
      </c>
      <c r="U42" s="8" t="s">
        <v>378</v>
      </c>
      <c r="V42" s="8" t="s">
        <v>379</v>
      </c>
      <c r="W42" s="8" t="s">
        <v>89</v>
      </c>
      <c r="X42" s="8" t="s">
        <v>108</v>
      </c>
      <c r="Y42" s="8" t="s">
        <v>380</v>
      </c>
      <c r="Z42" s="8" t="s">
        <v>92</v>
      </c>
      <c r="AA42" s="8" t="s">
        <v>59</v>
      </c>
      <c r="AB42" s="8" t="s">
        <v>60</v>
      </c>
      <c r="AC42" s="8" t="s">
        <v>348</v>
      </c>
      <c r="AD42" s="8" t="s">
        <v>381</v>
      </c>
      <c r="AE42" s="8" t="s">
        <v>382</v>
      </c>
      <c r="AF42" s="8" t="s">
        <v>383</v>
      </c>
      <c r="AG42" s="8" t="s">
        <v>63</v>
      </c>
      <c r="AH42" s="8" t="s">
        <v>64</v>
      </c>
      <c r="AI42" s="8" t="s">
        <v>94</v>
      </c>
      <c r="AJ42" s="8" t="s">
        <v>49</v>
      </c>
      <c r="AK42" s="8" t="s">
        <v>95</v>
      </c>
      <c r="AL42" s="8" t="s">
        <v>66</v>
      </c>
      <c r="AM42" s="8"/>
      <c r="AN42" s="9" t="s">
        <v>385</v>
      </c>
      <c r="AO42" s="9" t="s">
        <v>386</v>
      </c>
      <c r="AP42" s="10" t="s">
        <v>387</v>
      </c>
      <c r="AQ42" s="10" t="s">
        <v>388</v>
      </c>
      <c r="AR42" s="10" t="s">
        <v>389</v>
      </c>
      <c r="AS42" s="12"/>
      <c r="AT42" s="10" t="s">
        <v>390</v>
      </c>
      <c r="AU42" s="10" t="s">
        <v>391</v>
      </c>
      <c r="AV42" s="15">
        <v>46315.0</v>
      </c>
    </row>
    <row r="43" ht="16.5" hidden="1" customHeight="1">
      <c r="A43" s="7" t="s">
        <v>393</v>
      </c>
      <c r="B43" s="14" t="s">
        <v>49</v>
      </c>
      <c r="C43" s="14" t="s">
        <v>50</v>
      </c>
      <c r="D43" s="14" t="s">
        <v>344</v>
      </c>
      <c r="E43" s="7"/>
      <c r="F43" s="7">
        <v>6035.0</v>
      </c>
      <c r="G43" s="7">
        <v>6034.0</v>
      </c>
      <c r="H43" s="7" t="s">
        <v>53</v>
      </c>
      <c r="I43" s="7"/>
      <c r="J43" s="7"/>
      <c r="K43" s="8" t="s">
        <v>84</v>
      </c>
      <c r="L43" s="8" t="s">
        <v>377</v>
      </c>
      <c r="M43" s="8"/>
      <c r="N43" s="8" t="s">
        <v>85</v>
      </c>
      <c r="O43" s="8" t="s">
        <v>56</v>
      </c>
      <c r="P43" s="8" t="s">
        <v>57</v>
      </c>
      <c r="Q43" s="8" t="s">
        <v>86</v>
      </c>
      <c r="R43" s="8">
        <v>0.46</v>
      </c>
      <c r="S43" s="8" t="s">
        <v>49</v>
      </c>
      <c r="T43" s="8" t="s">
        <v>49</v>
      </c>
      <c r="U43" s="8" t="s">
        <v>378</v>
      </c>
      <c r="V43" s="8" t="s">
        <v>379</v>
      </c>
      <c r="W43" s="8" t="s">
        <v>89</v>
      </c>
      <c r="X43" s="8" t="s">
        <v>108</v>
      </c>
      <c r="Y43" s="8" t="s">
        <v>380</v>
      </c>
      <c r="Z43" s="8" t="s">
        <v>92</v>
      </c>
      <c r="AA43" s="8" t="s">
        <v>59</v>
      </c>
      <c r="AB43" s="8" t="s">
        <v>60</v>
      </c>
      <c r="AC43" s="8" t="s">
        <v>348</v>
      </c>
      <c r="AD43" s="8" t="s">
        <v>381</v>
      </c>
      <c r="AE43" s="8" t="s">
        <v>382</v>
      </c>
      <c r="AF43" s="8" t="s">
        <v>383</v>
      </c>
      <c r="AG43" s="8" t="s">
        <v>63</v>
      </c>
      <c r="AH43" s="8" t="s">
        <v>64</v>
      </c>
      <c r="AI43" s="8" t="s">
        <v>112</v>
      </c>
      <c r="AJ43" s="8" t="s">
        <v>49</v>
      </c>
      <c r="AK43" s="8" t="s">
        <v>95</v>
      </c>
      <c r="AL43" s="8" t="s">
        <v>66</v>
      </c>
      <c r="AM43" s="8"/>
      <c r="AN43" s="16" t="s">
        <v>394</v>
      </c>
      <c r="AO43" s="9" t="s">
        <v>395</v>
      </c>
      <c r="AP43" s="10" t="s">
        <v>387</v>
      </c>
      <c r="AQ43" s="10" t="s">
        <v>388</v>
      </c>
      <c r="AR43" s="10" t="s">
        <v>389</v>
      </c>
      <c r="AS43" s="12"/>
      <c r="AT43" s="10" t="s">
        <v>390</v>
      </c>
      <c r="AU43" s="10" t="s">
        <v>391</v>
      </c>
      <c r="AV43" s="15">
        <v>46315.0</v>
      </c>
    </row>
    <row r="44" ht="16.5" hidden="1" customHeight="1">
      <c r="A44" s="7" t="s">
        <v>396</v>
      </c>
      <c r="B44" s="7"/>
      <c r="C44" s="7" t="s">
        <v>332</v>
      </c>
      <c r="D44" s="14" t="s">
        <v>344</v>
      </c>
      <c r="E44" s="7" t="s">
        <v>52</v>
      </c>
      <c r="F44" s="7">
        <v>6036.0</v>
      </c>
      <c r="G44" s="7"/>
      <c r="H44" s="7" t="s">
        <v>215</v>
      </c>
      <c r="I44" s="7"/>
      <c r="J44" s="7"/>
      <c r="K44" s="8" t="s">
        <v>397</v>
      </c>
      <c r="L44" s="8" t="s">
        <v>55</v>
      </c>
      <c r="M44" s="12" t="s">
        <v>55</v>
      </c>
      <c r="N44" s="8" t="s">
        <v>55</v>
      </c>
      <c r="O44" s="8" t="s">
        <v>56</v>
      </c>
      <c r="P44" s="8" t="s">
        <v>57</v>
      </c>
      <c r="Q44" s="8" t="s">
        <v>74</v>
      </c>
      <c r="R44" s="8" t="s">
        <v>49</v>
      </c>
      <c r="S44" s="8" t="s">
        <v>49</v>
      </c>
      <c r="T44" s="8" t="s">
        <v>49</v>
      </c>
      <c r="U44" s="8" t="s">
        <v>49</v>
      </c>
      <c r="V44" s="8" t="s">
        <v>49</v>
      </c>
      <c r="W44" s="8" t="s">
        <v>49</v>
      </c>
      <c r="X44" s="8" t="s">
        <v>55</v>
      </c>
      <c r="Y44" s="8" t="s">
        <v>55</v>
      </c>
      <c r="Z44" s="8" t="s">
        <v>55</v>
      </c>
      <c r="AA44" s="8" t="s">
        <v>218</v>
      </c>
      <c r="AB44" s="8" t="s">
        <v>60</v>
      </c>
      <c r="AC44" s="8" t="s">
        <v>348</v>
      </c>
      <c r="AD44" s="8" t="s">
        <v>398</v>
      </c>
      <c r="AE44" s="8" t="s">
        <v>399</v>
      </c>
      <c r="AF44" s="8" t="s">
        <v>400</v>
      </c>
      <c r="AG44" s="8" t="s">
        <v>352</v>
      </c>
      <c r="AH44" s="8" t="s">
        <v>64</v>
      </c>
      <c r="AI44" s="8" t="s">
        <v>369</v>
      </c>
      <c r="AJ44" s="8" t="s">
        <v>49</v>
      </c>
      <c r="AK44" s="8" t="s">
        <v>55</v>
      </c>
      <c r="AL44" s="8" t="s">
        <v>66</v>
      </c>
      <c r="AM44" s="8" t="s">
        <v>401</v>
      </c>
      <c r="AN44" s="16" t="s">
        <v>402</v>
      </c>
      <c r="AO44" s="12" t="s">
        <v>224</v>
      </c>
      <c r="AP44" s="10" t="s">
        <v>403</v>
      </c>
      <c r="AQ44" s="11"/>
      <c r="AR44" s="11"/>
      <c r="AS44" s="12"/>
      <c r="AT44" s="11"/>
      <c r="AU44" s="11"/>
      <c r="AV44" s="13"/>
    </row>
    <row r="45" ht="16.5" hidden="1" customHeight="1">
      <c r="A45" s="7" t="s">
        <v>404</v>
      </c>
      <c r="B45" s="7" t="s">
        <v>49</v>
      </c>
      <c r="C45" s="7" t="s">
        <v>50</v>
      </c>
      <c r="D45" s="7" t="s">
        <v>51</v>
      </c>
      <c r="E45" s="7" t="s">
        <v>52</v>
      </c>
      <c r="F45" s="7">
        <v>6037.0</v>
      </c>
      <c r="G45" s="7"/>
      <c r="H45" s="7" t="s">
        <v>53</v>
      </c>
      <c r="I45" s="7"/>
      <c r="J45" s="7"/>
      <c r="K45" s="8" t="s">
        <v>76</v>
      </c>
      <c r="L45" s="8" t="s">
        <v>55</v>
      </c>
      <c r="M45" s="12" t="s">
        <v>55</v>
      </c>
      <c r="N45" s="8" t="s">
        <v>55</v>
      </c>
      <c r="O45" s="8" t="s">
        <v>56</v>
      </c>
      <c r="P45" s="8" t="s">
        <v>57</v>
      </c>
      <c r="Q45" s="8" t="s">
        <v>77</v>
      </c>
      <c r="R45" s="8" t="s">
        <v>49</v>
      </c>
      <c r="S45" s="8" t="s">
        <v>49</v>
      </c>
      <c r="T45" s="8" t="s">
        <v>49</v>
      </c>
      <c r="U45" s="8" t="s">
        <v>49</v>
      </c>
      <c r="V45" s="8" t="s">
        <v>49</v>
      </c>
      <c r="W45" s="8" t="s">
        <v>49</v>
      </c>
      <c r="X45" s="8" t="s">
        <v>55</v>
      </c>
      <c r="Y45" s="8" t="s">
        <v>55</v>
      </c>
      <c r="Z45" s="8" t="s">
        <v>55</v>
      </c>
      <c r="AA45" s="8" t="s">
        <v>59</v>
      </c>
      <c r="AB45" s="8" t="s">
        <v>60</v>
      </c>
      <c r="AC45" s="8" t="s">
        <v>61</v>
      </c>
      <c r="AD45" s="8" t="s">
        <v>405</v>
      </c>
      <c r="AE45" s="8" t="s">
        <v>55</v>
      </c>
      <c r="AF45" s="8" t="s">
        <v>55</v>
      </c>
      <c r="AG45" s="8" t="s">
        <v>63</v>
      </c>
      <c r="AH45" s="8" t="s">
        <v>64</v>
      </c>
      <c r="AI45" s="8" t="s">
        <v>94</v>
      </c>
      <c r="AJ45" s="8" t="s">
        <v>49</v>
      </c>
      <c r="AK45" s="8" t="s">
        <v>55</v>
      </c>
      <c r="AL45" s="8" t="s">
        <v>66</v>
      </c>
      <c r="AM45" s="8" t="s">
        <v>406</v>
      </c>
      <c r="AN45" s="9" t="s">
        <v>407</v>
      </c>
      <c r="AO45" s="9" t="s">
        <v>408</v>
      </c>
      <c r="AP45" s="10" t="s">
        <v>409</v>
      </c>
      <c r="AQ45" s="11"/>
      <c r="AR45" s="10" t="s">
        <v>410</v>
      </c>
      <c r="AS45" s="12"/>
      <c r="AT45" s="10" t="s">
        <v>411</v>
      </c>
      <c r="AU45" s="11"/>
      <c r="AV45" s="13"/>
    </row>
    <row r="46" ht="16.5" hidden="1" customHeight="1">
      <c r="A46" s="7" t="s">
        <v>412</v>
      </c>
      <c r="B46" s="7" t="s">
        <v>49</v>
      </c>
      <c r="C46" s="7" t="s">
        <v>332</v>
      </c>
      <c r="D46" s="14" t="s">
        <v>344</v>
      </c>
      <c r="E46" s="7" t="s">
        <v>52</v>
      </c>
      <c r="F46" s="7">
        <v>6038.0</v>
      </c>
      <c r="G46" s="7"/>
      <c r="H46" s="7" t="s">
        <v>53</v>
      </c>
      <c r="I46" s="7"/>
      <c r="J46" s="7"/>
      <c r="K46" s="8" t="s">
        <v>84</v>
      </c>
      <c r="L46" s="8" t="s">
        <v>49</v>
      </c>
      <c r="M46" s="8"/>
      <c r="N46" s="8" t="s">
        <v>85</v>
      </c>
      <c r="O46" s="8" t="s">
        <v>56</v>
      </c>
      <c r="P46" s="8" t="s">
        <v>57</v>
      </c>
      <c r="Q46" s="8" t="s">
        <v>86</v>
      </c>
      <c r="R46" s="8">
        <v>0.49</v>
      </c>
      <c r="S46" s="8" t="s">
        <v>49</v>
      </c>
      <c r="T46" s="8" t="s">
        <v>49</v>
      </c>
      <c r="U46" s="8" t="s">
        <v>413</v>
      </c>
      <c r="V46" s="8" t="s">
        <v>414</v>
      </c>
      <c r="W46" s="8" t="s">
        <v>89</v>
      </c>
      <c r="X46" s="8" t="s">
        <v>415</v>
      </c>
      <c r="Y46" s="8" t="s">
        <v>416</v>
      </c>
      <c r="Z46" s="8" t="s">
        <v>92</v>
      </c>
      <c r="AA46" s="8" t="s">
        <v>59</v>
      </c>
      <c r="AB46" s="8" t="s">
        <v>60</v>
      </c>
      <c r="AC46" s="8" t="s">
        <v>348</v>
      </c>
      <c r="AD46" s="8" t="s">
        <v>417</v>
      </c>
      <c r="AE46" s="8" t="s">
        <v>418</v>
      </c>
      <c r="AF46" s="8" t="s">
        <v>419</v>
      </c>
      <c r="AG46" s="8" t="s">
        <v>352</v>
      </c>
      <c r="AH46" s="8" t="s">
        <v>64</v>
      </c>
      <c r="AI46" s="8" t="s">
        <v>353</v>
      </c>
      <c r="AJ46" s="8" t="s">
        <v>49</v>
      </c>
      <c r="AK46" s="8" t="s">
        <v>95</v>
      </c>
      <c r="AL46" s="8" t="s">
        <v>66</v>
      </c>
      <c r="AM46" s="8" t="s">
        <v>420</v>
      </c>
      <c r="AN46" s="16" t="s">
        <v>421</v>
      </c>
      <c r="AO46" s="9" t="s">
        <v>422</v>
      </c>
      <c r="AP46" s="10" t="s">
        <v>423</v>
      </c>
      <c r="AQ46" s="10" t="s">
        <v>424</v>
      </c>
      <c r="AR46" s="10" t="s">
        <v>425</v>
      </c>
      <c r="AS46" s="12"/>
      <c r="AT46" s="10" t="s">
        <v>426</v>
      </c>
      <c r="AU46" s="10" t="s">
        <v>427</v>
      </c>
      <c r="AV46" s="13"/>
    </row>
    <row r="47" ht="16.5" hidden="1" customHeight="1">
      <c r="A47" s="7" t="s">
        <v>428</v>
      </c>
      <c r="B47" s="7" t="s">
        <v>49</v>
      </c>
      <c r="C47" s="7" t="s">
        <v>332</v>
      </c>
      <c r="D47" s="14" t="s">
        <v>344</v>
      </c>
      <c r="E47" s="7" t="s">
        <v>52</v>
      </c>
      <c r="F47" s="7">
        <v>6039.0</v>
      </c>
      <c r="G47" s="7"/>
      <c r="H47" s="7" t="s">
        <v>53</v>
      </c>
      <c r="I47" s="7"/>
      <c r="J47" s="7"/>
      <c r="K47" s="8" t="s">
        <v>84</v>
      </c>
      <c r="L47" s="8" t="s">
        <v>49</v>
      </c>
      <c r="M47" s="8"/>
      <c r="N47" s="8" t="s">
        <v>85</v>
      </c>
      <c r="O47" s="8" t="s">
        <v>56</v>
      </c>
      <c r="P47" s="8" t="s">
        <v>57</v>
      </c>
      <c r="Q47" s="8" t="s">
        <v>86</v>
      </c>
      <c r="R47" s="8">
        <v>0.33</v>
      </c>
      <c r="S47" s="8" t="s">
        <v>49</v>
      </c>
      <c r="T47" s="8" t="s">
        <v>49</v>
      </c>
      <c r="U47" s="8" t="s">
        <v>429</v>
      </c>
      <c r="V47" s="8" t="s">
        <v>430</v>
      </c>
      <c r="W47" s="8" t="s">
        <v>89</v>
      </c>
      <c r="X47" s="8" t="s">
        <v>431</v>
      </c>
      <c r="Y47" s="8" t="s">
        <v>432</v>
      </c>
      <c r="Z47" s="8" t="s">
        <v>92</v>
      </c>
      <c r="AA47" s="8" t="s">
        <v>59</v>
      </c>
      <c r="AB47" s="8" t="s">
        <v>60</v>
      </c>
      <c r="AC47" s="8" t="s">
        <v>348</v>
      </c>
      <c r="AD47" s="8" t="s">
        <v>433</v>
      </c>
      <c r="AE47" s="8" t="s">
        <v>418</v>
      </c>
      <c r="AF47" s="8" t="s">
        <v>419</v>
      </c>
      <c r="AG47" s="8" t="s">
        <v>352</v>
      </c>
      <c r="AH47" s="8" t="s">
        <v>64</v>
      </c>
      <c r="AI47" s="8" t="s">
        <v>369</v>
      </c>
      <c r="AJ47" s="8" t="s">
        <v>49</v>
      </c>
      <c r="AK47" s="8" t="s">
        <v>95</v>
      </c>
      <c r="AL47" s="8" t="s">
        <v>66</v>
      </c>
      <c r="AM47" s="8" t="s">
        <v>420</v>
      </c>
      <c r="AN47" s="9" t="s">
        <v>434</v>
      </c>
      <c r="AO47" s="9" t="s">
        <v>435</v>
      </c>
      <c r="AP47" s="10" t="s">
        <v>436</v>
      </c>
      <c r="AQ47" s="10" t="s">
        <v>437</v>
      </c>
      <c r="AR47" s="10" t="s">
        <v>438</v>
      </c>
      <c r="AS47" s="12"/>
      <c r="AT47" s="10" t="s">
        <v>439</v>
      </c>
      <c r="AU47" s="10" t="s">
        <v>440</v>
      </c>
      <c r="AV47" s="15">
        <v>46315.0</v>
      </c>
    </row>
    <row r="48" ht="16.5" hidden="1" customHeight="1">
      <c r="A48" s="7" t="s">
        <v>441</v>
      </c>
      <c r="B48" s="7" t="s">
        <v>49</v>
      </c>
      <c r="C48" s="7" t="s">
        <v>213</v>
      </c>
      <c r="D48" s="7" t="s">
        <v>51</v>
      </c>
      <c r="E48" s="7" t="s">
        <v>227</v>
      </c>
      <c r="F48" s="7">
        <v>6045.0</v>
      </c>
      <c r="G48" s="7"/>
      <c r="H48" s="7" t="s">
        <v>53</v>
      </c>
      <c r="I48" s="7"/>
      <c r="J48" s="7"/>
      <c r="K48" s="8" t="s">
        <v>84</v>
      </c>
      <c r="L48" s="8" t="s">
        <v>49</v>
      </c>
      <c r="M48" s="8"/>
      <c r="N48" s="8" t="s">
        <v>85</v>
      </c>
      <c r="O48" s="8" t="s">
        <v>217</v>
      </c>
      <c r="P48" s="8" t="s">
        <v>57</v>
      </c>
      <c r="Q48" s="8" t="s">
        <v>334</v>
      </c>
      <c r="R48" s="8">
        <v>0.46</v>
      </c>
      <c r="S48" s="8" t="s">
        <v>49</v>
      </c>
      <c r="T48" s="8" t="s">
        <v>49</v>
      </c>
      <c r="U48" s="8" t="s">
        <v>442</v>
      </c>
      <c r="V48" s="8" t="s">
        <v>443</v>
      </c>
      <c r="W48" s="8" t="s">
        <v>89</v>
      </c>
      <c r="X48" s="8" t="s">
        <v>90</v>
      </c>
      <c r="Y48" s="8" t="s">
        <v>444</v>
      </c>
      <c r="Z48" s="8" t="s">
        <v>445</v>
      </c>
      <c r="AA48" s="8" t="s">
        <v>231</v>
      </c>
      <c r="AB48" s="8" t="s">
        <v>60</v>
      </c>
      <c r="AC48" s="8" t="s">
        <v>61</v>
      </c>
      <c r="AD48" s="8" t="s">
        <v>446</v>
      </c>
      <c r="AE48" s="8" t="s">
        <v>55</v>
      </c>
      <c r="AF48" s="8" t="s">
        <v>55</v>
      </c>
      <c r="AG48" s="8" t="s">
        <v>63</v>
      </c>
      <c r="AH48" s="8" t="s">
        <v>111</v>
      </c>
      <c r="AI48" s="8" t="s">
        <v>94</v>
      </c>
      <c r="AJ48" s="8" t="s">
        <v>49</v>
      </c>
      <c r="AK48" s="8" t="s">
        <v>49</v>
      </c>
      <c r="AL48" s="8" t="s">
        <v>66</v>
      </c>
      <c r="AM48" s="8" t="s">
        <v>447</v>
      </c>
      <c r="AN48" s="9" t="s">
        <v>448</v>
      </c>
      <c r="AO48" s="9" t="s">
        <v>449</v>
      </c>
      <c r="AP48" s="10" t="s">
        <v>450</v>
      </c>
      <c r="AQ48" s="10" t="s">
        <v>451</v>
      </c>
      <c r="AR48" s="10" t="s">
        <v>452</v>
      </c>
      <c r="AS48" s="12"/>
      <c r="AT48" s="10" t="s">
        <v>453</v>
      </c>
      <c r="AU48" s="10" t="s">
        <v>454</v>
      </c>
      <c r="AV48" s="13"/>
    </row>
    <row r="49" ht="16.5" hidden="1" customHeight="1">
      <c r="A49" s="7" t="s">
        <v>455</v>
      </c>
      <c r="B49" s="7" t="s">
        <v>49</v>
      </c>
      <c r="C49" s="7" t="s">
        <v>213</v>
      </c>
      <c r="D49" s="7" t="s">
        <v>51</v>
      </c>
      <c r="E49" s="7" t="s">
        <v>227</v>
      </c>
      <c r="F49" s="7">
        <v>6045.0</v>
      </c>
      <c r="G49" s="7">
        <v>6045.0</v>
      </c>
      <c r="H49" s="7" t="s">
        <v>53</v>
      </c>
      <c r="I49" s="7"/>
      <c r="J49" s="7"/>
      <c r="K49" s="8" t="s">
        <v>84</v>
      </c>
      <c r="L49" s="8" t="s">
        <v>49</v>
      </c>
      <c r="M49" s="8"/>
      <c r="N49" s="8" t="s">
        <v>85</v>
      </c>
      <c r="O49" s="8" t="s">
        <v>217</v>
      </c>
      <c r="P49" s="8" t="s">
        <v>57</v>
      </c>
      <c r="Q49" s="8" t="s">
        <v>334</v>
      </c>
      <c r="R49" s="8">
        <v>0.46</v>
      </c>
      <c r="S49" s="8" t="s">
        <v>49</v>
      </c>
      <c r="T49" s="8" t="s">
        <v>49</v>
      </c>
      <c r="U49" s="8" t="s">
        <v>442</v>
      </c>
      <c r="V49" s="8" t="s">
        <v>443</v>
      </c>
      <c r="W49" s="8" t="s">
        <v>89</v>
      </c>
      <c r="X49" s="8" t="s">
        <v>90</v>
      </c>
      <c r="Y49" s="8" t="s">
        <v>444</v>
      </c>
      <c r="Z49" s="8" t="s">
        <v>445</v>
      </c>
      <c r="AA49" s="8" t="s">
        <v>231</v>
      </c>
      <c r="AB49" s="8" t="s">
        <v>60</v>
      </c>
      <c r="AC49" s="8" t="s">
        <v>61</v>
      </c>
      <c r="AD49" s="8" t="s">
        <v>446</v>
      </c>
      <c r="AE49" s="8" t="s">
        <v>55</v>
      </c>
      <c r="AF49" s="8" t="s">
        <v>55</v>
      </c>
      <c r="AG49" s="8" t="s">
        <v>63</v>
      </c>
      <c r="AH49" s="8" t="s">
        <v>111</v>
      </c>
      <c r="AI49" s="8" t="s">
        <v>94</v>
      </c>
      <c r="AJ49" s="8" t="s">
        <v>49</v>
      </c>
      <c r="AK49" s="8" t="s">
        <v>95</v>
      </c>
      <c r="AL49" s="8" t="s">
        <v>66</v>
      </c>
      <c r="AM49" s="8"/>
      <c r="AN49" s="9" t="s">
        <v>448</v>
      </c>
      <c r="AO49" s="9" t="s">
        <v>449</v>
      </c>
      <c r="AP49" s="10" t="s">
        <v>450</v>
      </c>
      <c r="AQ49" s="10" t="s">
        <v>451</v>
      </c>
      <c r="AR49" s="10" t="s">
        <v>452</v>
      </c>
      <c r="AS49" s="12"/>
      <c r="AT49" s="10" t="s">
        <v>453</v>
      </c>
      <c r="AU49" s="10" t="s">
        <v>454</v>
      </c>
      <c r="AV49" s="13"/>
    </row>
    <row r="50" ht="16.5" hidden="1" customHeight="1">
      <c r="A50" s="7" t="s">
        <v>456</v>
      </c>
      <c r="B50" s="14" t="s">
        <v>49</v>
      </c>
      <c r="C50" s="14" t="s">
        <v>213</v>
      </c>
      <c r="D50" s="14" t="s">
        <v>51</v>
      </c>
      <c r="E50" s="7"/>
      <c r="F50" s="7">
        <v>6046.0</v>
      </c>
      <c r="G50" s="7">
        <v>6045.0</v>
      </c>
      <c r="H50" s="7" t="s">
        <v>53</v>
      </c>
      <c r="I50" s="7"/>
      <c r="J50" s="7"/>
      <c r="K50" s="8" t="s">
        <v>84</v>
      </c>
      <c r="L50" s="8" t="s">
        <v>49</v>
      </c>
      <c r="M50" s="8"/>
      <c r="N50" s="8" t="s">
        <v>85</v>
      </c>
      <c r="O50" s="8" t="s">
        <v>217</v>
      </c>
      <c r="P50" s="8" t="s">
        <v>57</v>
      </c>
      <c r="Q50" s="8" t="s">
        <v>334</v>
      </c>
      <c r="R50" s="8">
        <v>0.46</v>
      </c>
      <c r="S50" s="8" t="s">
        <v>49</v>
      </c>
      <c r="T50" s="8" t="s">
        <v>49</v>
      </c>
      <c r="U50" s="8" t="s">
        <v>442</v>
      </c>
      <c r="V50" s="8" t="s">
        <v>443</v>
      </c>
      <c r="W50" s="8" t="s">
        <v>89</v>
      </c>
      <c r="X50" s="8" t="s">
        <v>90</v>
      </c>
      <c r="Y50" s="8" t="s">
        <v>444</v>
      </c>
      <c r="Z50" s="8" t="s">
        <v>445</v>
      </c>
      <c r="AA50" s="8" t="s">
        <v>231</v>
      </c>
      <c r="AB50" s="8" t="s">
        <v>60</v>
      </c>
      <c r="AC50" s="8" t="s">
        <v>61</v>
      </c>
      <c r="AD50" s="8" t="s">
        <v>446</v>
      </c>
      <c r="AE50" s="8" t="s">
        <v>55</v>
      </c>
      <c r="AF50" s="8" t="s">
        <v>55</v>
      </c>
      <c r="AG50" s="8" t="s">
        <v>63</v>
      </c>
      <c r="AH50" s="8" t="s">
        <v>111</v>
      </c>
      <c r="AI50" s="8" t="s">
        <v>112</v>
      </c>
      <c r="AJ50" s="8" t="s">
        <v>49</v>
      </c>
      <c r="AK50" s="8" t="s">
        <v>95</v>
      </c>
      <c r="AL50" s="8" t="s">
        <v>66</v>
      </c>
      <c r="AM50" s="8"/>
      <c r="AN50" s="9" t="s">
        <v>457</v>
      </c>
      <c r="AO50" s="9" t="s">
        <v>458</v>
      </c>
      <c r="AP50" s="10" t="s">
        <v>450</v>
      </c>
      <c r="AQ50" s="10" t="s">
        <v>451</v>
      </c>
      <c r="AR50" s="10" t="s">
        <v>452</v>
      </c>
      <c r="AS50" s="12"/>
      <c r="AT50" s="10" t="s">
        <v>453</v>
      </c>
      <c r="AU50" s="10" t="s">
        <v>454</v>
      </c>
      <c r="AV50" s="13"/>
    </row>
    <row r="51" ht="16.5" hidden="1" customHeight="1">
      <c r="A51" s="7" t="s">
        <v>459</v>
      </c>
      <c r="B51" s="7"/>
      <c r="C51" s="7" t="s">
        <v>213</v>
      </c>
      <c r="D51" s="7" t="s">
        <v>376</v>
      </c>
      <c r="E51" s="7" t="s">
        <v>227</v>
      </c>
      <c r="F51" s="7">
        <v>6096.0</v>
      </c>
      <c r="G51" s="7"/>
      <c r="H51" s="7" t="s">
        <v>215</v>
      </c>
      <c r="I51" s="7"/>
      <c r="J51" s="7"/>
      <c r="K51" s="8" t="s">
        <v>397</v>
      </c>
      <c r="L51" s="8" t="s">
        <v>55</v>
      </c>
      <c r="M51" s="8"/>
      <c r="N51" s="8" t="s">
        <v>55</v>
      </c>
      <c r="O51" s="8" t="s">
        <v>228</v>
      </c>
      <c r="P51" s="8" t="s">
        <v>229</v>
      </c>
      <c r="Q51" s="8" t="s">
        <v>230</v>
      </c>
      <c r="R51" s="8" t="s">
        <v>49</v>
      </c>
      <c r="S51" s="8" t="s">
        <v>49</v>
      </c>
      <c r="T51" s="8" t="s">
        <v>49</v>
      </c>
      <c r="U51" s="8" t="s">
        <v>49</v>
      </c>
      <c r="V51" s="8" t="s">
        <v>49</v>
      </c>
      <c r="W51" s="8" t="s">
        <v>49</v>
      </c>
      <c r="X51" s="8" t="s">
        <v>49</v>
      </c>
      <c r="Y51" s="8" t="s">
        <v>49</v>
      </c>
      <c r="Z51" s="8" t="s">
        <v>49</v>
      </c>
      <c r="AA51" s="8" t="s">
        <v>231</v>
      </c>
      <c r="AB51" s="8" t="s">
        <v>55</v>
      </c>
      <c r="AC51" s="8" t="s">
        <v>348</v>
      </c>
      <c r="AD51" s="8" t="s">
        <v>460</v>
      </c>
      <c r="AE51" s="8" t="s">
        <v>461</v>
      </c>
      <c r="AF51" s="8" t="s">
        <v>462</v>
      </c>
      <c r="AG51" s="8" t="s">
        <v>145</v>
      </c>
      <c r="AH51" s="8" t="s">
        <v>55</v>
      </c>
      <c r="AI51" s="8" t="s">
        <v>463</v>
      </c>
      <c r="AJ51" s="8" t="s">
        <v>49</v>
      </c>
      <c r="AK51" s="8" t="s">
        <v>49</v>
      </c>
      <c r="AL51" s="8" t="s">
        <v>464</v>
      </c>
      <c r="AM51" s="8" t="s">
        <v>465</v>
      </c>
      <c r="AN51" s="9" t="s">
        <v>466</v>
      </c>
      <c r="AO51" s="12" t="s">
        <v>224</v>
      </c>
      <c r="AP51" s="10" t="s">
        <v>467</v>
      </c>
      <c r="AQ51" s="11"/>
      <c r="AR51" s="11"/>
      <c r="AS51" s="12"/>
      <c r="AT51" s="11"/>
      <c r="AU51" s="11"/>
      <c r="AV51" s="13"/>
    </row>
    <row r="52" ht="16.5" hidden="1" customHeight="1">
      <c r="A52" s="7" t="s">
        <v>468</v>
      </c>
      <c r="B52" s="7"/>
      <c r="C52" s="7" t="s">
        <v>213</v>
      </c>
      <c r="D52" s="14" t="s">
        <v>344</v>
      </c>
      <c r="E52" s="7" t="s">
        <v>227</v>
      </c>
      <c r="F52" s="7">
        <v>6096.0</v>
      </c>
      <c r="G52" s="7">
        <v>6096.0</v>
      </c>
      <c r="H52" s="7" t="s">
        <v>215</v>
      </c>
      <c r="I52" s="7"/>
      <c r="J52" s="7"/>
      <c r="K52" s="8" t="s">
        <v>397</v>
      </c>
      <c r="L52" s="8" t="s">
        <v>55</v>
      </c>
      <c r="M52" s="12" t="s">
        <v>55</v>
      </c>
      <c r="N52" s="8" t="s">
        <v>55</v>
      </c>
      <c r="O52" s="8" t="s">
        <v>228</v>
      </c>
      <c r="P52" s="8" t="s">
        <v>229</v>
      </c>
      <c r="Q52" s="8" t="s">
        <v>240</v>
      </c>
      <c r="R52" s="8" t="s">
        <v>49</v>
      </c>
      <c r="S52" s="8" t="s">
        <v>49</v>
      </c>
      <c r="T52" s="8" t="s">
        <v>49</v>
      </c>
      <c r="U52" s="8" t="s">
        <v>49</v>
      </c>
      <c r="V52" s="8" t="s">
        <v>49</v>
      </c>
      <c r="W52" s="8" t="s">
        <v>49</v>
      </c>
      <c r="X52" s="8" t="s">
        <v>55</v>
      </c>
      <c r="Y52" s="8" t="s">
        <v>55</v>
      </c>
      <c r="Z52" s="8" t="s">
        <v>55</v>
      </c>
      <c r="AA52" s="8" t="s">
        <v>231</v>
      </c>
      <c r="AB52" s="8" t="s">
        <v>55</v>
      </c>
      <c r="AC52" s="8" t="s">
        <v>348</v>
      </c>
      <c r="AD52" s="8" t="s">
        <v>460</v>
      </c>
      <c r="AE52" s="8" t="s">
        <v>461</v>
      </c>
      <c r="AF52" s="8" t="s">
        <v>469</v>
      </c>
      <c r="AG52" s="8" t="s">
        <v>145</v>
      </c>
      <c r="AH52" s="8" t="s">
        <v>55</v>
      </c>
      <c r="AI52" s="8" t="s">
        <v>463</v>
      </c>
      <c r="AJ52" s="8" t="s">
        <v>49</v>
      </c>
      <c r="AK52" s="8" t="s">
        <v>55</v>
      </c>
      <c r="AL52" s="8" t="s">
        <v>464</v>
      </c>
      <c r="AM52" s="8" t="s">
        <v>465</v>
      </c>
      <c r="AN52" s="9" t="s">
        <v>466</v>
      </c>
      <c r="AO52" s="12" t="s">
        <v>224</v>
      </c>
      <c r="AP52" s="10" t="s">
        <v>467</v>
      </c>
      <c r="AQ52" s="11"/>
      <c r="AR52" s="11"/>
      <c r="AS52" s="12"/>
      <c r="AT52" s="11"/>
      <c r="AU52" s="11"/>
      <c r="AV52" s="13"/>
    </row>
    <row r="53" ht="16.5" hidden="1" customHeight="1">
      <c r="A53" s="7" t="s">
        <v>470</v>
      </c>
      <c r="B53" s="7"/>
      <c r="C53" s="7" t="s">
        <v>213</v>
      </c>
      <c r="D53" s="7" t="s">
        <v>376</v>
      </c>
      <c r="E53" s="7" t="s">
        <v>227</v>
      </c>
      <c r="F53" s="7">
        <v>6097.0</v>
      </c>
      <c r="G53" s="7"/>
      <c r="H53" s="7" t="s">
        <v>215</v>
      </c>
      <c r="I53" s="7"/>
      <c r="J53" s="7"/>
      <c r="K53" s="8" t="s">
        <v>397</v>
      </c>
      <c r="L53" s="8" t="s">
        <v>55</v>
      </c>
      <c r="M53" s="8"/>
      <c r="N53" s="8" t="s">
        <v>55</v>
      </c>
      <c r="O53" s="8" t="s">
        <v>228</v>
      </c>
      <c r="P53" s="8" t="s">
        <v>229</v>
      </c>
      <c r="Q53" s="8" t="s">
        <v>230</v>
      </c>
      <c r="R53" s="8" t="s">
        <v>49</v>
      </c>
      <c r="S53" s="8" t="s">
        <v>49</v>
      </c>
      <c r="T53" s="8" t="s">
        <v>49</v>
      </c>
      <c r="U53" s="8" t="s">
        <v>49</v>
      </c>
      <c r="V53" s="8" t="s">
        <v>49</v>
      </c>
      <c r="W53" s="8" t="s">
        <v>49</v>
      </c>
      <c r="X53" s="8" t="s">
        <v>49</v>
      </c>
      <c r="Y53" s="8" t="s">
        <v>49</v>
      </c>
      <c r="Z53" s="8" t="s">
        <v>49</v>
      </c>
      <c r="AA53" s="8" t="s">
        <v>231</v>
      </c>
      <c r="AB53" s="8" t="s">
        <v>55</v>
      </c>
      <c r="AC53" s="8" t="s">
        <v>61</v>
      </c>
      <c r="AD53" s="8" t="s">
        <v>471</v>
      </c>
      <c r="AE53" s="8" t="s">
        <v>55</v>
      </c>
      <c r="AF53" s="8" t="s">
        <v>55</v>
      </c>
      <c r="AG53" s="8" t="s">
        <v>145</v>
      </c>
      <c r="AH53" s="8" t="s">
        <v>55</v>
      </c>
      <c r="AI53" s="8" t="s">
        <v>463</v>
      </c>
      <c r="AJ53" s="8" t="s">
        <v>49</v>
      </c>
      <c r="AK53" s="8" t="s">
        <v>49</v>
      </c>
      <c r="AL53" s="8" t="s">
        <v>464</v>
      </c>
      <c r="AM53" s="8" t="s">
        <v>472</v>
      </c>
      <c r="AN53" s="9" t="s">
        <v>473</v>
      </c>
      <c r="AO53" s="12" t="s">
        <v>224</v>
      </c>
      <c r="AP53" s="10" t="s">
        <v>474</v>
      </c>
      <c r="AQ53" s="11"/>
      <c r="AR53" s="11"/>
      <c r="AS53" s="12"/>
      <c r="AT53" s="11"/>
      <c r="AU53" s="11"/>
      <c r="AV53" s="13"/>
    </row>
    <row r="54" ht="16.5" hidden="1" customHeight="1">
      <c r="A54" s="7" t="s">
        <v>475</v>
      </c>
      <c r="B54" s="7"/>
      <c r="C54" s="14" t="s">
        <v>213</v>
      </c>
      <c r="D54" s="14" t="s">
        <v>344</v>
      </c>
      <c r="E54" s="7"/>
      <c r="F54" s="7">
        <v>6097.0</v>
      </c>
      <c r="G54" s="7">
        <v>6097.0</v>
      </c>
      <c r="H54" s="7" t="s">
        <v>215</v>
      </c>
      <c r="I54" s="7"/>
      <c r="J54" s="7"/>
      <c r="K54" s="8" t="s">
        <v>397</v>
      </c>
      <c r="L54" s="8" t="s">
        <v>55</v>
      </c>
      <c r="M54" s="12" t="s">
        <v>55</v>
      </c>
      <c r="N54" s="8" t="s">
        <v>55</v>
      </c>
      <c r="O54" s="8" t="s">
        <v>228</v>
      </c>
      <c r="P54" s="8" t="s">
        <v>229</v>
      </c>
      <c r="Q54" s="8" t="s">
        <v>240</v>
      </c>
      <c r="R54" s="8" t="s">
        <v>49</v>
      </c>
      <c r="S54" s="8" t="s">
        <v>49</v>
      </c>
      <c r="T54" s="8" t="s">
        <v>49</v>
      </c>
      <c r="U54" s="8" t="s">
        <v>49</v>
      </c>
      <c r="V54" s="8" t="s">
        <v>49</v>
      </c>
      <c r="W54" s="8" t="s">
        <v>49</v>
      </c>
      <c r="X54" s="8" t="s">
        <v>55</v>
      </c>
      <c r="Y54" s="8" t="s">
        <v>55</v>
      </c>
      <c r="Z54" s="8" t="s">
        <v>55</v>
      </c>
      <c r="AA54" s="8" t="s">
        <v>231</v>
      </c>
      <c r="AB54" s="8" t="s">
        <v>55</v>
      </c>
      <c r="AC54" s="8" t="s">
        <v>61</v>
      </c>
      <c r="AD54" s="8" t="s">
        <v>471</v>
      </c>
      <c r="AE54" s="8" t="s">
        <v>55</v>
      </c>
      <c r="AF54" s="8" t="s">
        <v>55</v>
      </c>
      <c r="AG54" s="8" t="s">
        <v>145</v>
      </c>
      <c r="AH54" s="8" t="s">
        <v>55</v>
      </c>
      <c r="AI54" s="8" t="s">
        <v>463</v>
      </c>
      <c r="AJ54" s="8" t="s">
        <v>49</v>
      </c>
      <c r="AK54" s="8" t="s">
        <v>55</v>
      </c>
      <c r="AL54" s="8" t="s">
        <v>464</v>
      </c>
      <c r="AM54" s="8"/>
      <c r="AN54" s="9" t="s">
        <v>473</v>
      </c>
      <c r="AO54" s="12" t="s">
        <v>224</v>
      </c>
      <c r="AP54" s="10" t="s">
        <v>474</v>
      </c>
      <c r="AQ54" s="11"/>
      <c r="AR54" s="11"/>
      <c r="AS54" s="12"/>
      <c r="AT54" s="11"/>
      <c r="AU54" s="11"/>
      <c r="AV54" s="13"/>
    </row>
    <row r="55" ht="16.5" hidden="1" customHeight="1">
      <c r="A55" s="7" t="s">
        <v>476</v>
      </c>
      <c r="B55" s="7"/>
      <c r="C55" s="14" t="s">
        <v>213</v>
      </c>
      <c r="D55" s="14" t="s">
        <v>344</v>
      </c>
      <c r="E55" s="7"/>
      <c r="F55" s="7">
        <v>6098.0</v>
      </c>
      <c r="G55" s="7">
        <v>6097.0</v>
      </c>
      <c r="H55" s="7" t="s">
        <v>215</v>
      </c>
      <c r="I55" s="7"/>
      <c r="J55" s="7"/>
      <c r="K55" s="8" t="s">
        <v>397</v>
      </c>
      <c r="L55" s="8" t="s">
        <v>55</v>
      </c>
      <c r="M55" s="12" t="s">
        <v>55</v>
      </c>
      <c r="N55" s="8" t="s">
        <v>55</v>
      </c>
      <c r="O55" s="8" t="s">
        <v>228</v>
      </c>
      <c r="P55" s="8" t="s">
        <v>229</v>
      </c>
      <c r="Q55" s="8" t="s">
        <v>240</v>
      </c>
      <c r="R55" s="8" t="s">
        <v>49</v>
      </c>
      <c r="S55" s="8" t="s">
        <v>49</v>
      </c>
      <c r="T55" s="8" t="s">
        <v>49</v>
      </c>
      <c r="U55" s="8" t="s">
        <v>49</v>
      </c>
      <c r="V55" s="8" t="s">
        <v>49</v>
      </c>
      <c r="W55" s="8" t="s">
        <v>49</v>
      </c>
      <c r="X55" s="8" t="s">
        <v>55</v>
      </c>
      <c r="Y55" s="8" t="s">
        <v>55</v>
      </c>
      <c r="Z55" s="8" t="s">
        <v>55</v>
      </c>
      <c r="AA55" s="8" t="s">
        <v>231</v>
      </c>
      <c r="AB55" s="8" t="s">
        <v>55</v>
      </c>
      <c r="AC55" s="8" t="s">
        <v>61</v>
      </c>
      <c r="AD55" s="8" t="s">
        <v>471</v>
      </c>
      <c r="AE55" s="8" t="s">
        <v>55</v>
      </c>
      <c r="AF55" s="8" t="s">
        <v>55</v>
      </c>
      <c r="AG55" s="8" t="s">
        <v>145</v>
      </c>
      <c r="AH55" s="8" t="s">
        <v>55</v>
      </c>
      <c r="AI55" s="8" t="s">
        <v>65</v>
      </c>
      <c r="AJ55" s="8" t="s">
        <v>49</v>
      </c>
      <c r="AK55" s="8" t="s">
        <v>55</v>
      </c>
      <c r="AL55" s="8" t="s">
        <v>464</v>
      </c>
      <c r="AM55" s="8"/>
      <c r="AN55" s="9" t="s">
        <v>477</v>
      </c>
      <c r="AO55" s="12" t="s">
        <v>224</v>
      </c>
      <c r="AP55" s="10" t="s">
        <v>474</v>
      </c>
      <c r="AQ55" s="11"/>
      <c r="AR55" s="11"/>
      <c r="AS55" s="12"/>
      <c r="AT55" s="11"/>
      <c r="AU55" s="11"/>
      <c r="AV55" s="13"/>
    </row>
    <row r="56" ht="16.5" hidden="1" customHeight="1">
      <c r="A56" s="7" t="s">
        <v>478</v>
      </c>
      <c r="B56" s="7" t="s">
        <v>49</v>
      </c>
      <c r="C56" s="7" t="s">
        <v>213</v>
      </c>
      <c r="D56" s="7" t="s">
        <v>376</v>
      </c>
      <c r="E56" s="7" t="s">
        <v>227</v>
      </c>
      <c r="F56" s="7">
        <v>6099.0</v>
      </c>
      <c r="G56" s="7"/>
      <c r="H56" s="7" t="s">
        <v>215</v>
      </c>
      <c r="I56" s="7"/>
      <c r="J56" s="7"/>
      <c r="K56" s="8" t="s">
        <v>54</v>
      </c>
      <c r="L56" s="8" t="s">
        <v>55</v>
      </c>
      <c r="M56" s="8"/>
      <c r="N56" s="8" t="s">
        <v>55</v>
      </c>
      <c r="O56" s="8" t="s">
        <v>228</v>
      </c>
      <c r="P56" s="8" t="s">
        <v>229</v>
      </c>
      <c r="Q56" s="8" t="s">
        <v>230</v>
      </c>
      <c r="R56" s="8" t="s">
        <v>49</v>
      </c>
      <c r="S56" s="8" t="s">
        <v>49</v>
      </c>
      <c r="T56" s="8" t="s">
        <v>49</v>
      </c>
      <c r="U56" s="8" t="s">
        <v>49</v>
      </c>
      <c r="V56" s="8" t="s">
        <v>49</v>
      </c>
      <c r="W56" s="8" t="s">
        <v>49</v>
      </c>
      <c r="X56" s="8" t="s">
        <v>49</v>
      </c>
      <c r="Y56" s="8" t="s">
        <v>49</v>
      </c>
      <c r="Z56" s="8" t="s">
        <v>49</v>
      </c>
      <c r="AA56" s="8" t="s">
        <v>231</v>
      </c>
      <c r="AB56" s="8" t="s">
        <v>55</v>
      </c>
      <c r="AC56" s="8" t="s">
        <v>348</v>
      </c>
      <c r="AD56" s="8" t="s">
        <v>479</v>
      </c>
      <c r="AE56" s="8" t="s">
        <v>480</v>
      </c>
      <c r="AF56" s="8" t="s">
        <v>481</v>
      </c>
      <c r="AG56" s="8" t="s">
        <v>145</v>
      </c>
      <c r="AH56" s="8" t="s">
        <v>55</v>
      </c>
      <c r="AI56" s="8" t="s">
        <v>463</v>
      </c>
      <c r="AJ56" s="8" t="s">
        <v>49</v>
      </c>
      <c r="AK56" s="8" t="s">
        <v>49</v>
      </c>
      <c r="AL56" s="8" t="s">
        <v>464</v>
      </c>
      <c r="AM56" s="8" t="s">
        <v>482</v>
      </c>
      <c r="AN56" s="9" t="s">
        <v>483</v>
      </c>
      <c r="AO56" s="12" t="s">
        <v>224</v>
      </c>
      <c r="AP56" s="10" t="s">
        <v>484</v>
      </c>
      <c r="AQ56" s="11"/>
      <c r="AR56" s="10" t="s">
        <v>485</v>
      </c>
      <c r="AS56" s="12"/>
      <c r="AT56" s="10" t="s">
        <v>486</v>
      </c>
      <c r="AU56" s="11"/>
      <c r="AV56" s="13"/>
    </row>
    <row r="57" ht="16.5" hidden="1" customHeight="1">
      <c r="A57" s="7" t="s">
        <v>487</v>
      </c>
      <c r="B57" s="14" t="s">
        <v>49</v>
      </c>
      <c r="C57" s="14" t="s">
        <v>213</v>
      </c>
      <c r="D57" s="14" t="s">
        <v>344</v>
      </c>
      <c r="E57" s="7"/>
      <c r="F57" s="7">
        <v>6099.0</v>
      </c>
      <c r="G57" s="7">
        <v>6099.0</v>
      </c>
      <c r="H57" s="7" t="s">
        <v>215</v>
      </c>
      <c r="I57" s="7"/>
      <c r="J57" s="7"/>
      <c r="K57" s="8" t="s">
        <v>54</v>
      </c>
      <c r="L57" s="8" t="s">
        <v>55</v>
      </c>
      <c r="M57" s="12" t="s">
        <v>55</v>
      </c>
      <c r="N57" s="8" t="s">
        <v>55</v>
      </c>
      <c r="O57" s="8" t="s">
        <v>228</v>
      </c>
      <c r="P57" s="8" t="s">
        <v>229</v>
      </c>
      <c r="Q57" s="8" t="s">
        <v>240</v>
      </c>
      <c r="R57" s="8" t="s">
        <v>49</v>
      </c>
      <c r="S57" s="8" t="s">
        <v>49</v>
      </c>
      <c r="T57" s="8" t="s">
        <v>49</v>
      </c>
      <c r="U57" s="8" t="s">
        <v>49</v>
      </c>
      <c r="V57" s="8" t="s">
        <v>49</v>
      </c>
      <c r="W57" s="8" t="s">
        <v>49</v>
      </c>
      <c r="X57" s="8" t="s">
        <v>55</v>
      </c>
      <c r="Y57" s="8" t="s">
        <v>55</v>
      </c>
      <c r="Z57" s="8" t="s">
        <v>55</v>
      </c>
      <c r="AA57" s="8" t="s">
        <v>231</v>
      </c>
      <c r="AB57" s="8" t="s">
        <v>55</v>
      </c>
      <c r="AC57" s="8" t="s">
        <v>348</v>
      </c>
      <c r="AD57" s="8" t="s">
        <v>479</v>
      </c>
      <c r="AE57" s="8" t="s">
        <v>480</v>
      </c>
      <c r="AF57" s="8" t="s">
        <v>488</v>
      </c>
      <c r="AG57" s="8" t="s">
        <v>145</v>
      </c>
      <c r="AH57" s="8" t="s">
        <v>55</v>
      </c>
      <c r="AI57" s="8" t="s">
        <v>463</v>
      </c>
      <c r="AJ57" s="8" t="s">
        <v>49</v>
      </c>
      <c r="AK57" s="8" t="s">
        <v>55</v>
      </c>
      <c r="AL57" s="8" t="s">
        <v>464</v>
      </c>
      <c r="AM57" s="8"/>
      <c r="AN57" s="9" t="s">
        <v>483</v>
      </c>
      <c r="AO57" s="12" t="s">
        <v>224</v>
      </c>
      <c r="AP57" s="10" t="s">
        <v>484</v>
      </c>
      <c r="AQ57" s="11"/>
      <c r="AR57" s="10" t="s">
        <v>485</v>
      </c>
      <c r="AS57" s="12"/>
      <c r="AT57" s="10" t="s">
        <v>486</v>
      </c>
      <c r="AU57" s="11"/>
      <c r="AV57" s="13"/>
    </row>
    <row r="58" ht="16.5" hidden="1" customHeight="1">
      <c r="A58" s="7" t="s">
        <v>489</v>
      </c>
      <c r="B58" s="14" t="s">
        <v>49</v>
      </c>
      <c r="C58" s="14" t="s">
        <v>213</v>
      </c>
      <c r="D58" s="14" t="s">
        <v>344</v>
      </c>
      <c r="E58" s="7"/>
      <c r="F58" s="7">
        <v>6100.0</v>
      </c>
      <c r="G58" s="7">
        <v>6099.0</v>
      </c>
      <c r="H58" s="7" t="s">
        <v>215</v>
      </c>
      <c r="I58" s="7"/>
      <c r="J58" s="7"/>
      <c r="K58" s="8" t="s">
        <v>54</v>
      </c>
      <c r="L58" s="8" t="s">
        <v>55</v>
      </c>
      <c r="M58" s="12" t="s">
        <v>55</v>
      </c>
      <c r="N58" s="8" t="s">
        <v>55</v>
      </c>
      <c r="O58" s="8" t="s">
        <v>228</v>
      </c>
      <c r="P58" s="8" t="s">
        <v>229</v>
      </c>
      <c r="Q58" s="8" t="s">
        <v>240</v>
      </c>
      <c r="R58" s="8" t="s">
        <v>49</v>
      </c>
      <c r="S58" s="8" t="s">
        <v>49</v>
      </c>
      <c r="T58" s="8" t="s">
        <v>49</v>
      </c>
      <c r="U58" s="8" t="s">
        <v>49</v>
      </c>
      <c r="V58" s="8" t="s">
        <v>49</v>
      </c>
      <c r="W58" s="8" t="s">
        <v>49</v>
      </c>
      <c r="X58" s="8" t="s">
        <v>55</v>
      </c>
      <c r="Y58" s="8" t="s">
        <v>55</v>
      </c>
      <c r="Z58" s="8" t="s">
        <v>55</v>
      </c>
      <c r="AA58" s="8" t="s">
        <v>231</v>
      </c>
      <c r="AB58" s="8" t="s">
        <v>55</v>
      </c>
      <c r="AC58" s="8" t="s">
        <v>348</v>
      </c>
      <c r="AD58" s="8" t="s">
        <v>479</v>
      </c>
      <c r="AE58" s="8" t="s">
        <v>480</v>
      </c>
      <c r="AF58" s="8" t="s">
        <v>488</v>
      </c>
      <c r="AG58" s="8" t="s">
        <v>145</v>
      </c>
      <c r="AH58" s="8" t="s">
        <v>55</v>
      </c>
      <c r="AI58" s="8" t="s">
        <v>490</v>
      </c>
      <c r="AJ58" s="8" t="s">
        <v>49</v>
      </c>
      <c r="AK58" s="8" t="s">
        <v>55</v>
      </c>
      <c r="AL58" s="8" t="s">
        <v>464</v>
      </c>
      <c r="AM58" s="8"/>
      <c r="AN58" s="9" t="s">
        <v>491</v>
      </c>
      <c r="AO58" s="12" t="s">
        <v>224</v>
      </c>
      <c r="AP58" s="10" t="s">
        <v>484</v>
      </c>
      <c r="AQ58" s="11"/>
      <c r="AR58" s="10" t="s">
        <v>485</v>
      </c>
      <c r="AS58" s="12"/>
      <c r="AT58" s="10" t="s">
        <v>486</v>
      </c>
      <c r="AU58" s="11"/>
      <c r="AV58" s="13"/>
    </row>
    <row r="59" ht="16.5" hidden="1" customHeight="1">
      <c r="A59" s="7" t="s">
        <v>492</v>
      </c>
      <c r="B59" s="14" t="s">
        <v>49</v>
      </c>
      <c r="C59" s="14" t="s">
        <v>213</v>
      </c>
      <c r="D59" s="14" t="s">
        <v>344</v>
      </c>
      <c r="E59" s="7"/>
      <c r="F59" s="7">
        <v>6101.0</v>
      </c>
      <c r="G59" s="7">
        <v>6099.0</v>
      </c>
      <c r="H59" s="7" t="s">
        <v>215</v>
      </c>
      <c r="I59" s="7"/>
      <c r="J59" s="7"/>
      <c r="K59" s="8" t="s">
        <v>54</v>
      </c>
      <c r="L59" s="8" t="s">
        <v>55</v>
      </c>
      <c r="M59" s="12" t="s">
        <v>55</v>
      </c>
      <c r="N59" s="8" t="s">
        <v>55</v>
      </c>
      <c r="O59" s="8" t="s">
        <v>228</v>
      </c>
      <c r="P59" s="8" t="s">
        <v>229</v>
      </c>
      <c r="Q59" s="8" t="s">
        <v>240</v>
      </c>
      <c r="R59" s="8" t="s">
        <v>49</v>
      </c>
      <c r="S59" s="8" t="s">
        <v>49</v>
      </c>
      <c r="T59" s="8" t="s">
        <v>49</v>
      </c>
      <c r="U59" s="8" t="s">
        <v>49</v>
      </c>
      <c r="V59" s="8" t="s">
        <v>49</v>
      </c>
      <c r="W59" s="8" t="s">
        <v>49</v>
      </c>
      <c r="X59" s="8" t="s">
        <v>55</v>
      </c>
      <c r="Y59" s="8" t="s">
        <v>55</v>
      </c>
      <c r="Z59" s="8" t="s">
        <v>55</v>
      </c>
      <c r="AA59" s="8" t="s">
        <v>231</v>
      </c>
      <c r="AB59" s="8" t="s">
        <v>55</v>
      </c>
      <c r="AC59" s="8" t="s">
        <v>348</v>
      </c>
      <c r="AD59" s="8" t="s">
        <v>479</v>
      </c>
      <c r="AE59" s="8" t="s">
        <v>480</v>
      </c>
      <c r="AF59" s="8" t="s">
        <v>488</v>
      </c>
      <c r="AG59" s="8" t="s">
        <v>145</v>
      </c>
      <c r="AH59" s="8" t="s">
        <v>55</v>
      </c>
      <c r="AI59" s="8" t="s">
        <v>65</v>
      </c>
      <c r="AJ59" s="8" t="s">
        <v>49</v>
      </c>
      <c r="AK59" s="8" t="s">
        <v>55</v>
      </c>
      <c r="AL59" s="8" t="s">
        <v>464</v>
      </c>
      <c r="AM59" s="8"/>
      <c r="AN59" s="9" t="s">
        <v>493</v>
      </c>
      <c r="AO59" s="12" t="s">
        <v>224</v>
      </c>
      <c r="AP59" s="10" t="s">
        <v>484</v>
      </c>
      <c r="AQ59" s="11"/>
      <c r="AR59" s="10" t="s">
        <v>485</v>
      </c>
      <c r="AS59" s="12"/>
      <c r="AT59" s="10" t="s">
        <v>486</v>
      </c>
      <c r="AU59" s="11"/>
      <c r="AV59" s="13"/>
    </row>
    <row r="60" ht="16.5" hidden="1" customHeight="1">
      <c r="A60" s="7" t="s">
        <v>494</v>
      </c>
      <c r="B60" s="7" t="s">
        <v>49</v>
      </c>
      <c r="C60" s="7" t="s">
        <v>213</v>
      </c>
      <c r="D60" s="7" t="s">
        <v>376</v>
      </c>
      <c r="E60" s="7" t="s">
        <v>227</v>
      </c>
      <c r="F60" s="7">
        <v>6102.0</v>
      </c>
      <c r="G60" s="7"/>
      <c r="H60" s="7" t="s">
        <v>215</v>
      </c>
      <c r="I60" s="7"/>
      <c r="J60" s="7"/>
      <c r="K60" s="8" t="s">
        <v>54</v>
      </c>
      <c r="L60" s="8" t="s">
        <v>55</v>
      </c>
      <c r="M60" s="8"/>
      <c r="N60" s="8" t="s">
        <v>55</v>
      </c>
      <c r="O60" s="8" t="s">
        <v>228</v>
      </c>
      <c r="P60" s="8" t="s">
        <v>229</v>
      </c>
      <c r="Q60" s="8" t="s">
        <v>230</v>
      </c>
      <c r="R60" s="8" t="s">
        <v>49</v>
      </c>
      <c r="S60" s="8" t="s">
        <v>49</v>
      </c>
      <c r="T60" s="8" t="s">
        <v>49</v>
      </c>
      <c r="U60" s="8" t="s">
        <v>49</v>
      </c>
      <c r="V60" s="8" t="s">
        <v>49</v>
      </c>
      <c r="W60" s="8" t="s">
        <v>49</v>
      </c>
      <c r="X60" s="8" t="s">
        <v>49</v>
      </c>
      <c r="Y60" s="8" t="s">
        <v>49</v>
      </c>
      <c r="Z60" s="8" t="s">
        <v>49</v>
      </c>
      <c r="AA60" s="8" t="s">
        <v>231</v>
      </c>
      <c r="AB60" s="8" t="s">
        <v>55</v>
      </c>
      <c r="AC60" s="8" t="s">
        <v>348</v>
      </c>
      <c r="AD60" s="8" t="s">
        <v>495</v>
      </c>
      <c r="AE60" s="8" t="s">
        <v>496</v>
      </c>
      <c r="AF60" s="8" t="s">
        <v>497</v>
      </c>
      <c r="AG60" s="8" t="s">
        <v>145</v>
      </c>
      <c r="AH60" s="8" t="s">
        <v>55</v>
      </c>
      <c r="AI60" s="8" t="s">
        <v>463</v>
      </c>
      <c r="AJ60" s="8" t="s">
        <v>49</v>
      </c>
      <c r="AK60" s="8" t="s">
        <v>49</v>
      </c>
      <c r="AL60" s="8" t="s">
        <v>464</v>
      </c>
      <c r="AM60" s="8" t="s">
        <v>498</v>
      </c>
      <c r="AN60" s="9" t="s">
        <v>499</v>
      </c>
      <c r="AO60" s="12" t="s">
        <v>224</v>
      </c>
      <c r="AP60" s="10" t="s">
        <v>500</v>
      </c>
      <c r="AQ60" s="11"/>
      <c r="AR60" s="10" t="s">
        <v>501</v>
      </c>
      <c r="AS60" s="12"/>
      <c r="AT60" s="10" t="s">
        <v>502</v>
      </c>
      <c r="AU60" s="11"/>
      <c r="AV60" s="13"/>
    </row>
    <row r="61" ht="16.5" hidden="1" customHeight="1">
      <c r="A61" s="7" t="s">
        <v>503</v>
      </c>
      <c r="B61" s="14" t="s">
        <v>49</v>
      </c>
      <c r="C61" s="14" t="s">
        <v>213</v>
      </c>
      <c r="D61" s="14" t="s">
        <v>344</v>
      </c>
      <c r="E61" s="7"/>
      <c r="F61" s="7">
        <v>6102.0</v>
      </c>
      <c r="G61" s="7">
        <v>6102.0</v>
      </c>
      <c r="H61" s="7" t="s">
        <v>215</v>
      </c>
      <c r="I61" s="7"/>
      <c r="J61" s="7"/>
      <c r="K61" s="8" t="s">
        <v>54</v>
      </c>
      <c r="L61" s="8" t="s">
        <v>55</v>
      </c>
      <c r="M61" s="12" t="s">
        <v>55</v>
      </c>
      <c r="N61" s="8" t="s">
        <v>55</v>
      </c>
      <c r="O61" s="8" t="s">
        <v>228</v>
      </c>
      <c r="P61" s="8" t="s">
        <v>229</v>
      </c>
      <c r="Q61" s="8" t="s">
        <v>240</v>
      </c>
      <c r="R61" s="8" t="s">
        <v>49</v>
      </c>
      <c r="S61" s="8" t="s">
        <v>49</v>
      </c>
      <c r="T61" s="8" t="s">
        <v>49</v>
      </c>
      <c r="U61" s="8" t="s">
        <v>49</v>
      </c>
      <c r="V61" s="8" t="s">
        <v>49</v>
      </c>
      <c r="W61" s="8" t="s">
        <v>49</v>
      </c>
      <c r="X61" s="8" t="s">
        <v>55</v>
      </c>
      <c r="Y61" s="8" t="s">
        <v>55</v>
      </c>
      <c r="Z61" s="8" t="s">
        <v>55</v>
      </c>
      <c r="AA61" s="8" t="s">
        <v>231</v>
      </c>
      <c r="AB61" s="8" t="s">
        <v>55</v>
      </c>
      <c r="AC61" s="8" t="s">
        <v>348</v>
      </c>
      <c r="AD61" s="8" t="s">
        <v>495</v>
      </c>
      <c r="AE61" s="8" t="s">
        <v>496</v>
      </c>
      <c r="AF61" s="8" t="s">
        <v>504</v>
      </c>
      <c r="AG61" s="8" t="s">
        <v>145</v>
      </c>
      <c r="AH61" s="8" t="s">
        <v>55</v>
      </c>
      <c r="AI61" s="8" t="s">
        <v>463</v>
      </c>
      <c r="AJ61" s="8" t="s">
        <v>49</v>
      </c>
      <c r="AK61" s="8" t="s">
        <v>55</v>
      </c>
      <c r="AL61" s="8" t="s">
        <v>464</v>
      </c>
      <c r="AM61" s="8"/>
      <c r="AN61" s="9" t="s">
        <v>499</v>
      </c>
      <c r="AO61" s="12" t="s">
        <v>224</v>
      </c>
      <c r="AP61" s="10" t="s">
        <v>500</v>
      </c>
      <c r="AQ61" s="11"/>
      <c r="AR61" s="10" t="s">
        <v>501</v>
      </c>
      <c r="AS61" s="12"/>
      <c r="AT61" s="10" t="s">
        <v>502</v>
      </c>
      <c r="AU61" s="11"/>
      <c r="AV61" s="13"/>
    </row>
    <row r="62" ht="16.5" hidden="1" customHeight="1">
      <c r="A62" s="7" t="s">
        <v>505</v>
      </c>
      <c r="B62" s="14" t="s">
        <v>49</v>
      </c>
      <c r="C62" s="14" t="s">
        <v>213</v>
      </c>
      <c r="D62" s="14" t="s">
        <v>344</v>
      </c>
      <c r="E62" s="7"/>
      <c r="F62" s="7">
        <v>6103.0</v>
      </c>
      <c r="G62" s="7">
        <v>6102.0</v>
      </c>
      <c r="H62" s="7" t="s">
        <v>215</v>
      </c>
      <c r="I62" s="7"/>
      <c r="J62" s="7"/>
      <c r="K62" s="8" t="s">
        <v>54</v>
      </c>
      <c r="L62" s="8" t="s">
        <v>55</v>
      </c>
      <c r="M62" s="12" t="s">
        <v>55</v>
      </c>
      <c r="N62" s="8" t="s">
        <v>55</v>
      </c>
      <c r="O62" s="8" t="s">
        <v>228</v>
      </c>
      <c r="P62" s="8" t="s">
        <v>229</v>
      </c>
      <c r="Q62" s="8" t="s">
        <v>240</v>
      </c>
      <c r="R62" s="8" t="s">
        <v>49</v>
      </c>
      <c r="S62" s="8" t="s">
        <v>49</v>
      </c>
      <c r="T62" s="8" t="s">
        <v>49</v>
      </c>
      <c r="U62" s="8" t="s">
        <v>49</v>
      </c>
      <c r="V62" s="8" t="s">
        <v>49</v>
      </c>
      <c r="W62" s="8" t="s">
        <v>49</v>
      </c>
      <c r="X62" s="8" t="s">
        <v>55</v>
      </c>
      <c r="Y62" s="8" t="s">
        <v>55</v>
      </c>
      <c r="Z62" s="8" t="s">
        <v>55</v>
      </c>
      <c r="AA62" s="8" t="s">
        <v>231</v>
      </c>
      <c r="AB62" s="8" t="s">
        <v>55</v>
      </c>
      <c r="AC62" s="8" t="s">
        <v>348</v>
      </c>
      <c r="AD62" s="8" t="s">
        <v>495</v>
      </c>
      <c r="AE62" s="8" t="s">
        <v>496</v>
      </c>
      <c r="AF62" s="8" t="s">
        <v>504</v>
      </c>
      <c r="AG62" s="8" t="s">
        <v>145</v>
      </c>
      <c r="AH62" s="8" t="s">
        <v>55</v>
      </c>
      <c r="AI62" s="8" t="s">
        <v>65</v>
      </c>
      <c r="AJ62" s="8" t="s">
        <v>49</v>
      </c>
      <c r="AK62" s="8" t="s">
        <v>55</v>
      </c>
      <c r="AL62" s="8" t="s">
        <v>464</v>
      </c>
      <c r="AM62" s="8"/>
      <c r="AN62" s="9" t="s">
        <v>506</v>
      </c>
      <c r="AO62" s="12" t="s">
        <v>224</v>
      </c>
      <c r="AP62" s="10" t="s">
        <v>500</v>
      </c>
      <c r="AQ62" s="11"/>
      <c r="AR62" s="10" t="s">
        <v>501</v>
      </c>
      <c r="AS62" s="12"/>
      <c r="AT62" s="10" t="s">
        <v>502</v>
      </c>
      <c r="AU62" s="11"/>
      <c r="AV62" s="13"/>
    </row>
    <row r="63" ht="16.5" hidden="1" customHeight="1">
      <c r="A63" s="7" t="s">
        <v>507</v>
      </c>
      <c r="B63" s="7" t="s">
        <v>49</v>
      </c>
      <c r="C63" s="7" t="s">
        <v>213</v>
      </c>
      <c r="D63" s="7" t="s">
        <v>376</v>
      </c>
      <c r="E63" s="7" t="s">
        <v>227</v>
      </c>
      <c r="F63" s="7">
        <v>6104.0</v>
      </c>
      <c r="G63" s="7"/>
      <c r="H63" s="7" t="s">
        <v>215</v>
      </c>
      <c r="I63" s="7"/>
      <c r="J63" s="7"/>
      <c r="K63" s="8" t="s">
        <v>54</v>
      </c>
      <c r="L63" s="8" t="s">
        <v>55</v>
      </c>
      <c r="M63" s="8"/>
      <c r="N63" s="8" t="s">
        <v>55</v>
      </c>
      <c r="O63" s="8" t="s">
        <v>228</v>
      </c>
      <c r="P63" s="8" t="s">
        <v>229</v>
      </c>
      <c r="Q63" s="8" t="s">
        <v>230</v>
      </c>
      <c r="R63" s="8" t="s">
        <v>49</v>
      </c>
      <c r="S63" s="8" t="s">
        <v>49</v>
      </c>
      <c r="T63" s="8" t="s">
        <v>49</v>
      </c>
      <c r="U63" s="8" t="s">
        <v>49</v>
      </c>
      <c r="V63" s="8" t="s">
        <v>49</v>
      </c>
      <c r="W63" s="8" t="s">
        <v>49</v>
      </c>
      <c r="X63" s="8" t="s">
        <v>49</v>
      </c>
      <c r="Y63" s="8" t="s">
        <v>49</v>
      </c>
      <c r="Z63" s="8" t="s">
        <v>49</v>
      </c>
      <c r="AA63" s="8" t="s">
        <v>231</v>
      </c>
      <c r="AB63" s="8" t="s">
        <v>55</v>
      </c>
      <c r="AC63" s="8" t="s">
        <v>348</v>
      </c>
      <c r="AD63" s="8" t="s">
        <v>508</v>
      </c>
      <c r="AE63" s="8" t="s">
        <v>509</v>
      </c>
      <c r="AF63" s="8" t="s">
        <v>510</v>
      </c>
      <c r="AG63" s="8" t="s">
        <v>145</v>
      </c>
      <c r="AH63" s="8" t="s">
        <v>55</v>
      </c>
      <c r="AI63" s="8" t="s">
        <v>463</v>
      </c>
      <c r="AJ63" s="8" t="s">
        <v>49</v>
      </c>
      <c r="AK63" s="8" t="s">
        <v>49</v>
      </c>
      <c r="AL63" s="8" t="s">
        <v>464</v>
      </c>
      <c r="AM63" s="8" t="s">
        <v>511</v>
      </c>
      <c r="AN63" s="9" t="s">
        <v>512</v>
      </c>
      <c r="AO63" s="12" t="s">
        <v>224</v>
      </c>
      <c r="AP63" s="10" t="s">
        <v>513</v>
      </c>
      <c r="AQ63" s="11"/>
      <c r="AR63" s="10" t="s">
        <v>514</v>
      </c>
      <c r="AS63" s="12"/>
      <c r="AT63" s="10" t="s">
        <v>515</v>
      </c>
      <c r="AU63" s="11"/>
      <c r="AV63" s="13"/>
    </row>
    <row r="64" ht="16.5" hidden="1" customHeight="1">
      <c r="A64" s="7" t="s">
        <v>516</v>
      </c>
      <c r="B64" s="14" t="s">
        <v>49</v>
      </c>
      <c r="C64" s="14" t="s">
        <v>213</v>
      </c>
      <c r="D64" s="14" t="s">
        <v>344</v>
      </c>
      <c r="E64" s="7"/>
      <c r="F64" s="7">
        <v>6104.0</v>
      </c>
      <c r="G64" s="7">
        <v>6104.0</v>
      </c>
      <c r="H64" s="7" t="s">
        <v>215</v>
      </c>
      <c r="I64" s="7"/>
      <c r="J64" s="7"/>
      <c r="K64" s="8" t="s">
        <v>54</v>
      </c>
      <c r="L64" s="8" t="s">
        <v>55</v>
      </c>
      <c r="M64" s="12" t="s">
        <v>55</v>
      </c>
      <c r="N64" s="8" t="s">
        <v>55</v>
      </c>
      <c r="O64" s="8" t="s">
        <v>228</v>
      </c>
      <c r="P64" s="8" t="s">
        <v>229</v>
      </c>
      <c r="Q64" s="8" t="s">
        <v>240</v>
      </c>
      <c r="R64" s="8" t="s">
        <v>49</v>
      </c>
      <c r="S64" s="8" t="s">
        <v>49</v>
      </c>
      <c r="T64" s="8" t="s">
        <v>49</v>
      </c>
      <c r="U64" s="8" t="s">
        <v>49</v>
      </c>
      <c r="V64" s="8" t="s">
        <v>49</v>
      </c>
      <c r="W64" s="8" t="s">
        <v>49</v>
      </c>
      <c r="X64" s="8" t="s">
        <v>55</v>
      </c>
      <c r="Y64" s="8" t="s">
        <v>55</v>
      </c>
      <c r="Z64" s="8" t="s">
        <v>55</v>
      </c>
      <c r="AA64" s="8" t="s">
        <v>231</v>
      </c>
      <c r="AB64" s="8" t="s">
        <v>55</v>
      </c>
      <c r="AC64" s="8" t="s">
        <v>348</v>
      </c>
      <c r="AD64" s="8" t="s">
        <v>508</v>
      </c>
      <c r="AE64" s="8" t="s">
        <v>509</v>
      </c>
      <c r="AF64" s="8" t="s">
        <v>517</v>
      </c>
      <c r="AG64" s="8" t="s">
        <v>145</v>
      </c>
      <c r="AH64" s="8" t="s">
        <v>55</v>
      </c>
      <c r="AI64" s="8" t="s">
        <v>463</v>
      </c>
      <c r="AJ64" s="8" t="s">
        <v>49</v>
      </c>
      <c r="AK64" s="8" t="s">
        <v>55</v>
      </c>
      <c r="AL64" s="8" t="s">
        <v>464</v>
      </c>
      <c r="AM64" s="8"/>
      <c r="AN64" s="9" t="s">
        <v>512</v>
      </c>
      <c r="AO64" s="12" t="s">
        <v>224</v>
      </c>
      <c r="AP64" s="10" t="s">
        <v>513</v>
      </c>
      <c r="AQ64" s="11"/>
      <c r="AR64" s="10" t="s">
        <v>514</v>
      </c>
      <c r="AS64" s="12"/>
      <c r="AT64" s="10" t="s">
        <v>515</v>
      </c>
      <c r="AU64" s="11"/>
      <c r="AV64" s="13"/>
    </row>
    <row r="65" ht="16.5" hidden="1" customHeight="1">
      <c r="A65" s="7" t="s">
        <v>518</v>
      </c>
      <c r="B65" s="7"/>
      <c r="C65" s="7" t="s">
        <v>213</v>
      </c>
      <c r="D65" s="14" t="s">
        <v>344</v>
      </c>
      <c r="E65" s="7" t="s">
        <v>227</v>
      </c>
      <c r="F65" s="7">
        <v>6106.0</v>
      </c>
      <c r="G65" s="7"/>
      <c r="H65" s="7" t="s">
        <v>215</v>
      </c>
      <c r="I65" s="7"/>
      <c r="J65" s="7"/>
      <c r="K65" s="8" t="s">
        <v>397</v>
      </c>
      <c r="L65" s="8" t="s">
        <v>55</v>
      </c>
      <c r="M65" s="12" t="s">
        <v>55</v>
      </c>
      <c r="N65" s="8" t="s">
        <v>55</v>
      </c>
      <c r="O65" s="8" t="s">
        <v>228</v>
      </c>
      <c r="P65" s="8" t="s">
        <v>229</v>
      </c>
      <c r="Q65" s="8" t="s">
        <v>240</v>
      </c>
      <c r="R65" s="8" t="s">
        <v>49</v>
      </c>
      <c r="S65" s="8" t="s">
        <v>49</v>
      </c>
      <c r="T65" s="8" t="s">
        <v>49</v>
      </c>
      <c r="U65" s="8" t="s">
        <v>49</v>
      </c>
      <c r="V65" s="8" t="s">
        <v>49</v>
      </c>
      <c r="W65" s="8" t="s">
        <v>49</v>
      </c>
      <c r="X65" s="8" t="s">
        <v>55</v>
      </c>
      <c r="Y65" s="8" t="s">
        <v>55</v>
      </c>
      <c r="Z65" s="8" t="s">
        <v>55</v>
      </c>
      <c r="AA65" s="8" t="s">
        <v>231</v>
      </c>
      <c r="AB65" s="8" t="s">
        <v>55</v>
      </c>
      <c r="AC65" s="8" t="s">
        <v>348</v>
      </c>
      <c r="AD65" s="8" t="s">
        <v>519</v>
      </c>
      <c r="AE65" s="8" t="s">
        <v>509</v>
      </c>
      <c r="AF65" s="8" t="s">
        <v>469</v>
      </c>
      <c r="AG65" s="8" t="s">
        <v>145</v>
      </c>
      <c r="AH65" s="8" t="s">
        <v>55</v>
      </c>
      <c r="AI65" s="8" t="s">
        <v>463</v>
      </c>
      <c r="AJ65" s="8" t="s">
        <v>49</v>
      </c>
      <c r="AK65" s="8" t="s">
        <v>55</v>
      </c>
      <c r="AL65" s="8" t="s">
        <v>464</v>
      </c>
      <c r="AM65" s="8" t="s">
        <v>520</v>
      </c>
      <c r="AN65" s="9" t="s">
        <v>521</v>
      </c>
      <c r="AO65" s="12" t="s">
        <v>224</v>
      </c>
      <c r="AP65" s="10" t="s">
        <v>522</v>
      </c>
      <c r="AQ65" s="11"/>
      <c r="AR65" s="11"/>
      <c r="AS65" s="12"/>
      <c r="AT65" s="11"/>
      <c r="AU65" s="11"/>
      <c r="AV65" s="13"/>
    </row>
    <row r="66" ht="16.5" hidden="1" customHeight="1">
      <c r="A66" s="7" t="s">
        <v>523</v>
      </c>
      <c r="B66" s="7" t="s">
        <v>49</v>
      </c>
      <c r="C66" s="7" t="s">
        <v>213</v>
      </c>
      <c r="D66" s="7" t="s">
        <v>51</v>
      </c>
      <c r="E66" s="7" t="s">
        <v>227</v>
      </c>
      <c r="F66" s="7">
        <v>6108.0</v>
      </c>
      <c r="G66" s="7"/>
      <c r="H66" s="7" t="s">
        <v>215</v>
      </c>
      <c r="I66" s="7"/>
      <c r="J66" s="7"/>
      <c r="K66" s="8" t="s">
        <v>54</v>
      </c>
      <c r="L66" s="8" t="s">
        <v>55</v>
      </c>
      <c r="M66" s="8"/>
      <c r="N66" s="8" t="s">
        <v>55</v>
      </c>
      <c r="O66" s="8" t="s">
        <v>228</v>
      </c>
      <c r="P66" s="8" t="s">
        <v>229</v>
      </c>
      <c r="Q66" s="8" t="s">
        <v>230</v>
      </c>
      <c r="R66" s="8" t="s">
        <v>49</v>
      </c>
      <c r="S66" s="8" t="s">
        <v>49</v>
      </c>
      <c r="T66" s="8" t="s">
        <v>49</v>
      </c>
      <c r="U66" s="8" t="s">
        <v>49</v>
      </c>
      <c r="V66" s="8" t="s">
        <v>49</v>
      </c>
      <c r="W66" s="8" t="s">
        <v>49</v>
      </c>
      <c r="X66" s="8" t="s">
        <v>49</v>
      </c>
      <c r="Y66" s="8" t="s">
        <v>49</v>
      </c>
      <c r="Z66" s="8" t="s">
        <v>49</v>
      </c>
      <c r="AA66" s="8" t="s">
        <v>231</v>
      </c>
      <c r="AB66" s="8" t="s">
        <v>55</v>
      </c>
      <c r="AC66" s="8" t="s">
        <v>61</v>
      </c>
      <c r="AD66" s="8" t="s">
        <v>524</v>
      </c>
      <c r="AE66" s="8" t="s">
        <v>55</v>
      </c>
      <c r="AF66" s="8" t="s">
        <v>55</v>
      </c>
      <c r="AG66" s="8" t="s">
        <v>145</v>
      </c>
      <c r="AH66" s="8" t="s">
        <v>55</v>
      </c>
      <c r="AI66" s="8" t="s">
        <v>463</v>
      </c>
      <c r="AJ66" s="8" t="s">
        <v>49</v>
      </c>
      <c r="AK66" s="8" t="s">
        <v>49</v>
      </c>
      <c r="AL66" s="8" t="s">
        <v>464</v>
      </c>
      <c r="AM66" s="8" t="s">
        <v>525</v>
      </c>
      <c r="AN66" s="9" t="s">
        <v>526</v>
      </c>
      <c r="AO66" s="12" t="s">
        <v>224</v>
      </c>
      <c r="AP66" s="10" t="s">
        <v>527</v>
      </c>
      <c r="AQ66" s="11"/>
      <c r="AR66" s="10" t="s">
        <v>528</v>
      </c>
      <c r="AS66" s="12"/>
      <c r="AT66" s="10" t="s">
        <v>529</v>
      </c>
      <c r="AU66" s="11"/>
      <c r="AV66" s="13"/>
    </row>
    <row r="67" ht="16.5" hidden="1" customHeight="1">
      <c r="A67" s="7" t="s">
        <v>530</v>
      </c>
      <c r="B67" s="14" t="s">
        <v>49</v>
      </c>
      <c r="C67" s="14" t="s">
        <v>213</v>
      </c>
      <c r="D67" s="14" t="s">
        <v>51</v>
      </c>
      <c r="E67" s="7"/>
      <c r="F67" s="7">
        <v>6108.0</v>
      </c>
      <c r="G67" s="7">
        <v>6108.0</v>
      </c>
      <c r="H67" s="7" t="s">
        <v>215</v>
      </c>
      <c r="I67" s="7"/>
      <c r="J67" s="7"/>
      <c r="K67" s="8" t="s">
        <v>54</v>
      </c>
      <c r="L67" s="8" t="s">
        <v>55</v>
      </c>
      <c r="M67" s="12" t="s">
        <v>55</v>
      </c>
      <c r="N67" s="8" t="s">
        <v>55</v>
      </c>
      <c r="O67" s="8" t="s">
        <v>228</v>
      </c>
      <c r="P67" s="8" t="s">
        <v>229</v>
      </c>
      <c r="Q67" s="8" t="s">
        <v>240</v>
      </c>
      <c r="R67" s="8" t="s">
        <v>49</v>
      </c>
      <c r="S67" s="8" t="s">
        <v>49</v>
      </c>
      <c r="T67" s="8" t="s">
        <v>49</v>
      </c>
      <c r="U67" s="8" t="s">
        <v>49</v>
      </c>
      <c r="V67" s="8" t="s">
        <v>49</v>
      </c>
      <c r="W67" s="8" t="s">
        <v>49</v>
      </c>
      <c r="X67" s="8" t="s">
        <v>55</v>
      </c>
      <c r="Y67" s="8" t="s">
        <v>55</v>
      </c>
      <c r="Z67" s="8" t="s">
        <v>55</v>
      </c>
      <c r="AA67" s="8" t="s">
        <v>231</v>
      </c>
      <c r="AB67" s="8" t="s">
        <v>55</v>
      </c>
      <c r="AC67" s="8" t="s">
        <v>61</v>
      </c>
      <c r="AD67" s="8" t="s">
        <v>524</v>
      </c>
      <c r="AE67" s="8" t="s">
        <v>55</v>
      </c>
      <c r="AF67" s="8" t="s">
        <v>55</v>
      </c>
      <c r="AG67" s="8" t="s">
        <v>145</v>
      </c>
      <c r="AH67" s="8" t="s">
        <v>55</v>
      </c>
      <c r="AI67" s="8" t="s">
        <v>463</v>
      </c>
      <c r="AJ67" s="8" t="s">
        <v>49</v>
      </c>
      <c r="AK67" s="8" t="s">
        <v>55</v>
      </c>
      <c r="AL67" s="8" t="s">
        <v>464</v>
      </c>
      <c r="AM67" s="8"/>
      <c r="AN67" s="9" t="s">
        <v>526</v>
      </c>
      <c r="AO67" s="12" t="s">
        <v>224</v>
      </c>
      <c r="AP67" s="10" t="s">
        <v>527</v>
      </c>
      <c r="AQ67" s="11"/>
      <c r="AR67" s="10" t="s">
        <v>528</v>
      </c>
      <c r="AS67" s="12"/>
      <c r="AT67" s="10" t="s">
        <v>529</v>
      </c>
      <c r="AU67" s="11"/>
      <c r="AV67" s="13"/>
    </row>
    <row r="68" ht="16.5" hidden="1" customHeight="1">
      <c r="A68" s="7" t="s">
        <v>531</v>
      </c>
      <c r="B68" s="14" t="s">
        <v>49</v>
      </c>
      <c r="C68" s="14" t="s">
        <v>213</v>
      </c>
      <c r="D68" s="14" t="s">
        <v>51</v>
      </c>
      <c r="E68" s="7"/>
      <c r="F68" s="7">
        <v>6109.0</v>
      </c>
      <c r="G68" s="7">
        <v>6108.0</v>
      </c>
      <c r="H68" s="7" t="s">
        <v>215</v>
      </c>
      <c r="I68" s="7"/>
      <c r="J68" s="7"/>
      <c r="K68" s="8" t="s">
        <v>54</v>
      </c>
      <c r="L68" s="8" t="s">
        <v>55</v>
      </c>
      <c r="M68" s="12" t="s">
        <v>55</v>
      </c>
      <c r="N68" s="8" t="s">
        <v>55</v>
      </c>
      <c r="O68" s="8" t="s">
        <v>228</v>
      </c>
      <c r="P68" s="8" t="s">
        <v>229</v>
      </c>
      <c r="Q68" s="8" t="s">
        <v>240</v>
      </c>
      <c r="R68" s="8" t="s">
        <v>49</v>
      </c>
      <c r="S68" s="8" t="s">
        <v>49</v>
      </c>
      <c r="T68" s="8" t="s">
        <v>49</v>
      </c>
      <c r="U68" s="8" t="s">
        <v>49</v>
      </c>
      <c r="V68" s="8" t="s">
        <v>49</v>
      </c>
      <c r="W68" s="8" t="s">
        <v>49</v>
      </c>
      <c r="X68" s="8" t="s">
        <v>55</v>
      </c>
      <c r="Y68" s="8" t="s">
        <v>55</v>
      </c>
      <c r="Z68" s="8" t="s">
        <v>55</v>
      </c>
      <c r="AA68" s="8" t="s">
        <v>231</v>
      </c>
      <c r="AB68" s="8" t="s">
        <v>55</v>
      </c>
      <c r="AC68" s="8" t="s">
        <v>61</v>
      </c>
      <c r="AD68" s="8" t="s">
        <v>524</v>
      </c>
      <c r="AE68" s="8" t="s">
        <v>55</v>
      </c>
      <c r="AF68" s="8" t="s">
        <v>55</v>
      </c>
      <c r="AG68" s="8" t="s">
        <v>145</v>
      </c>
      <c r="AH68" s="8" t="s">
        <v>55</v>
      </c>
      <c r="AI68" s="8" t="s">
        <v>65</v>
      </c>
      <c r="AJ68" s="8" t="s">
        <v>49</v>
      </c>
      <c r="AK68" s="8" t="s">
        <v>55</v>
      </c>
      <c r="AL68" s="8" t="s">
        <v>464</v>
      </c>
      <c r="AM68" s="8"/>
      <c r="AN68" s="9" t="s">
        <v>532</v>
      </c>
      <c r="AO68" s="12" t="s">
        <v>224</v>
      </c>
      <c r="AP68" s="10" t="s">
        <v>527</v>
      </c>
      <c r="AQ68" s="11"/>
      <c r="AR68" s="10" t="s">
        <v>528</v>
      </c>
      <c r="AS68" s="12"/>
      <c r="AT68" s="10" t="s">
        <v>529</v>
      </c>
      <c r="AU68" s="11"/>
      <c r="AV68" s="13"/>
    </row>
    <row r="69" ht="16.5" hidden="1" customHeight="1">
      <c r="A69" s="7" t="s">
        <v>533</v>
      </c>
      <c r="B69" s="7" t="s">
        <v>49</v>
      </c>
      <c r="C69" s="7" t="s">
        <v>213</v>
      </c>
      <c r="D69" s="7" t="s">
        <v>376</v>
      </c>
      <c r="E69" s="7" t="s">
        <v>227</v>
      </c>
      <c r="F69" s="7">
        <v>6112.0</v>
      </c>
      <c r="G69" s="7"/>
      <c r="H69" s="7" t="s">
        <v>215</v>
      </c>
      <c r="I69" s="7"/>
      <c r="J69" s="7"/>
      <c r="K69" s="8" t="s">
        <v>54</v>
      </c>
      <c r="L69" s="8" t="s">
        <v>55</v>
      </c>
      <c r="M69" s="8"/>
      <c r="N69" s="8" t="s">
        <v>55</v>
      </c>
      <c r="O69" s="8" t="s">
        <v>228</v>
      </c>
      <c r="P69" s="8" t="s">
        <v>229</v>
      </c>
      <c r="Q69" s="8" t="s">
        <v>230</v>
      </c>
      <c r="R69" s="8" t="s">
        <v>49</v>
      </c>
      <c r="S69" s="8" t="s">
        <v>49</v>
      </c>
      <c r="T69" s="8" t="s">
        <v>49</v>
      </c>
      <c r="U69" s="8" t="s">
        <v>49</v>
      </c>
      <c r="V69" s="8" t="s">
        <v>49</v>
      </c>
      <c r="W69" s="8" t="s">
        <v>49</v>
      </c>
      <c r="X69" s="8" t="s">
        <v>49</v>
      </c>
      <c r="Y69" s="8" t="s">
        <v>49</v>
      </c>
      <c r="Z69" s="8" t="s">
        <v>49</v>
      </c>
      <c r="AA69" s="8" t="s">
        <v>231</v>
      </c>
      <c r="AB69" s="8" t="s">
        <v>55</v>
      </c>
      <c r="AC69" s="8" t="s">
        <v>348</v>
      </c>
      <c r="AD69" s="8" t="s">
        <v>534</v>
      </c>
      <c r="AE69" s="8" t="s">
        <v>535</v>
      </c>
      <c r="AF69" s="8" t="s">
        <v>536</v>
      </c>
      <c r="AG69" s="8" t="s">
        <v>145</v>
      </c>
      <c r="AH69" s="8" t="s">
        <v>55</v>
      </c>
      <c r="AI69" s="8" t="s">
        <v>463</v>
      </c>
      <c r="AJ69" s="8" t="s">
        <v>49</v>
      </c>
      <c r="AK69" s="8" t="s">
        <v>49</v>
      </c>
      <c r="AL69" s="8" t="s">
        <v>464</v>
      </c>
      <c r="AM69" s="8" t="s">
        <v>537</v>
      </c>
      <c r="AN69" s="9" t="s">
        <v>538</v>
      </c>
      <c r="AO69" s="12" t="s">
        <v>224</v>
      </c>
      <c r="AP69" s="10" t="s">
        <v>539</v>
      </c>
      <c r="AQ69" s="11"/>
      <c r="AR69" s="10" t="s">
        <v>540</v>
      </c>
      <c r="AS69" s="12"/>
      <c r="AT69" s="10" t="s">
        <v>541</v>
      </c>
      <c r="AU69" s="11"/>
      <c r="AV69" s="13"/>
    </row>
    <row r="70" ht="16.5" hidden="1" customHeight="1">
      <c r="A70" s="7" t="s">
        <v>542</v>
      </c>
      <c r="B70" s="14" t="s">
        <v>49</v>
      </c>
      <c r="C70" s="14" t="s">
        <v>213</v>
      </c>
      <c r="D70" s="14" t="s">
        <v>344</v>
      </c>
      <c r="E70" s="7"/>
      <c r="F70" s="7">
        <v>6113.0</v>
      </c>
      <c r="G70" s="7">
        <v>6112.0</v>
      </c>
      <c r="H70" s="7" t="s">
        <v>215</v>
      </c>
      <c r="I70" s="7"/>
      <c r="J70" s="7"/>
      <c r="K70" s="8" t="s">
        <v>54</v>
      </c>
      <c r="L70" s="8" t="s">
        <v>55</v>
      </c>
      <c r="M70" s="12" t="s">
        <v>55</v>
      </c>
      <c r="N70" s="8" t="s">
        <v>55</v>
      </c>
      <c r="O70" s="8" t="s">
        <v>228</v>
      </c>
      <c r="P70" s="8" t="s">
        <v>229</v>
      </c>
      <c r="Q70" s="8" t="s">
        <v>240</v>
      </c>
      <c r="R70" s="8" t="s">
        <v>49</v>
      </c>
      <c r="S70" s="8" t="s">
        <v>49</v>
      </c>
      <c r="T70" s="8" t="s">
        <v>49</v>
      </c>
      <c r="U70" s="8" t="s">
        <v>49</v>
      </c>
      <c r="V70" s="8" t="s">
        <v>49</v>
      </c>
      <c r="W70" s="8" t="s">
        <v>49</v>
      </c>
      <c r="X70" s="8" t="s">
        <v>55</v>
      </c>
      <c r="Y70" s="8" t="s">
        <v>55</v>
      </c>
      <c r="Z70" s="8" t="s">
        <v>55</v>
      </c>
      <c r="AA70" s="8" t="s">
        <v>231</v>
      </c>
      <c r="AB70" s="8" t="s">
        <v>55</v>
      </c>
      <c r="AC70" s="8" t="s">
        <v>348</v>
      </c>
      <c r="AD70" s="8" t="s">
        <v>534</v>
      </c>
      <c r="AE70" s="8" t="s">
        <v>535</v>
      </c>
      <c r="AF70" s="8" t="s">
        <v>543</v>
      </c>
      <c r="AG70" s="8" t="s">
        <v>145</v>
      </c>
      <c r="AH70" s="8" t="s">
        <v>55</v>
      </c>
      <c r="AI70" s="8" t="s">
        <v>65</v>
      </c>
      <c r="AJ70" s="8" t="s">
        <v>49</v>
      </c>
      <c r="AK70" s="8" t="s">
        <v>55</v>
      </c>
      <c r="AL70" s="8" t="s">
        <v>464</v>
      </c>
      <c r="AM70" s="8"/>
      <c r="AN70" s="9" t="s">
        <v>544</v>
      </c>
      <c r="AO70" s="12" t="s">
        <v>224</v>
      </c>
      <c r="AP70" s="10" t="s">
        <v>539</v>
      </c>
      <c r="AQ70" s="11"/>
      <c r="AR70" s="10" t="s">
        <v>540</v>
      </c>
      <c r="AS70" s="12"/>
      <c r="AT70" s="10" t="s">
        <v>541</v>
      </c>
      <c r="AU70" s="11"/>
      <c r="AV70" s="13"/>
    </row>
    <row r="71" ht="16.5" hidden="1" customHeight="1">
      <c r="A71" s="7" t="s">
        <v>545</v>
      </c>
      <c r="B71" s="7"/>
      <c r="C71" s="7" t="s">
        <v>213</v>
      </c>
      <c r="D71" s="7" t="s">
        <v>376</v>
      </c>
      <c r="E71" s="7" t="s">
        <v>227</v>
      </c>
      <c r="F71" s="7">
        <v>6116.0</v>
      </c>
      <c r="G71" s="7"/>
      <c r="H71" s="7" t="s">
        <v>215</v>
      </c>
      <c r="I71" s="7"/>
      <c r="J71" s="7"/>
      <c r="K71" s="8" t="s">
        <v>397</v>
      </c>
      <c r="L71" s="8" t="s">
        <v>55</v>
      </c>
      <c r="M71" s="8"/>
      <c r="N71" s="8" t="s">
        <v>55</v>
      </c>
      <c r="O71" s="8" t="s">
        <v>228</v>
      </c>
      <c r="P71" s="8" t="s">
        <v>229</v>
      </c>
      <c r="Q71" s="8" t="s">
        <v>230</v>
      </c>
      <c r="R71" s="8" t="s">
        <v>49</v>
      </c>
      <c r="S71" s="8" t="s">
        <v>49</v>
      </c>
      <c r="T71" s="8" t="s">
        <v>49</v>
      </c>
      <c r="U71" s="8" t="s">
        <v>49</v>
      </c>
      <c r="V71" s="8" t="s">
        <v>49</v>
      </c>
      <c r="W71" s="8" t="s">
        <v>49</v>
      </c>
      <c r="X71" s="8" t="s">
        <v>49</v>
      </c>
      <c r="Y71" s="8" t="s">
        <v>49</v>
      </c>
      <c r="Z71" s="8" t="s">
        <v>49</v>
      </c>
      <c r="AA71" s="8" t="s">
        <v>231</v>
      </c>
      <c r="AB71" s="8" t="s">
        <v>55</v>
      </c>
      <c r="AC71" s="8" t="s">
        <v>348</v>
      </c>
      <c r="AD71" s="8" t="s">
        <v>546</v>
      </c>
      <c r="AE71" s="8" t="s">
        <v>547</v>
      </c>
      <c r="AF71" s="8" t="s">
        <v>548</v>
      </c>
      <c r="AG71" s="8" t="s">
        <v>145</v>
      </c>
      <c r="AH71" s="8" t="s">
        <v>55</v>
      </c>
      <c r="AI71" s="8" t="s">
        <v>463</v>
      </c>
      <c r="AJ71" s="8" t="s">
        <v>49</v>
      </c>
      <c r="AK71" s="8" t="s">
        <v>49</v>
      </c>
      <c r="AL71" s="8" t="s">
        <v>464</v>
      </c>
      <c r="AM71" s="8" t="s">
        <v>549</v>
      </c>
      <c r="AN71" s="9" t="s">
        <v>550</v>
      </c>
      <c r="AO71" s="12" t="s">
        <v>224</v>
      </c>
      <c r="AP71" s="10" t="s">
        <v>551</v>
      </c>
      <c r="AQ71" s="11"/>
      <c r="AR71" s="11"/>
      <c r="AS71" s="12"/>
      <c r="AT71" s="11"/>
      <c r="AU71" s="11"/>
      <c r="AV71" s="13"/>
    </row>
    <row r="72" ht="16.5" hidden="1" customHeight="1">
      <c r="A72" s="7" t="s">
        <v>552</v>
      </c>
      <c r="B72" s="7"/>
      <c r="C72" s="14" t="s">
        <v>213</v>
      </c>
      <c r="D72" s="14" t="s">
        <v>344</v>
      </c>
      <c r="E72" s="7"/>
      <c r="F72" s="7">
        <v>6116.0</v>
      </c>
      <c r="G72" s="7">
        <v>6116.0</v>
      </c>
      <c r="H72" s="7" t="s">
        <v>215</v>
      </c>
      <c r="I72" s="7"/>
      <c r="J72" s="7"/>
      <c r="K72" s="8" t="s">
        <v>397</v>
      </c>
      <c r="L72" s="8" t="s">
        <v>55</v>
      </c>
      <c r="M72" s="12" t="s">
        <v>55</v>
      </c>
      <c r="N72" s="8" t="s">
        <v>55</v>
      </c>
      <c r="O72" s="8" t="s">
        <v>228</v>
      </c>
      <c r="P72" s="8" t="s">
        <v>229</v>
      </c>
      <c r="Q72" s="8" t="s">
        <v>240</v>
      </c>
      <c r="R72" s="8" t="s">
        <v>49</v>
      </c>
      <c r="S72" s="8" t="s">
        <v>49</v>
      </c>
      <c r="T72" s="8" t="s">
        <v>49</v>
      </c>
      <c r="U72" s="8" t="s">
        <v>49</v>
      </c>
      <c r="V72" s="8" t="s">
        <v>49</v>
      </c>
      <c r="W72" s="8" t="s">
        <v>49</v>
      </c>
      <c r="X72" s="8" t="s">
        <v>55</v>
      </c>
      <c r="Y72" s="8" t="s">
        <v>55</v>
      </c>
      <c r="Z72" s="8" t="s">
        <v>55</v>
      </c>
      <c r="AA72" s="8" t="s">
        <v>231</v>
      </c>
      <c r="AB72" s="8" t="s">
        <v>55</v>
      </c>
      <c r="AC72" s="8" t="s">
        <v>348</v>
      </c>
      <c r="AD72" s="8" t="s">
        <v>546</v>
      </c>
      <c r="AE72" s="8" t="s">
        <v>547</v>
      </c>
      <c r="AF72" s="8" t="s">
        <v>553</v>
      </c>
      <c r="AG72" s="8" t="s">
        <v>145</v>
      </c>
      <c r="AH72" s="8" t="s">
        <v>55</v>
      </c>
      <c r="AI72" s="8" t="s">
        <v>463</v>
      </c>
      <c r="AJ72" s="8" t="s">
        <v>49</v>
      </c>
      <c r="AK72" s="8" t="s">
        <v>55</v>
      </c>
      <c r="AL72" s="8" t="s">
        <v>464</v>
      </c>
      <c r="AM72" s="8"/>
      <c r="AN72" s="9" t="s">
        <v>550</v>
      </c>
      <c r="AO72" s="12" t="s">
        <v>224</v>
      </c>
      <c r="AP72" s="10" t="s">
        <v>551</v>
      </c>
      <c r="AQ72" s="11"/>
      <c r="AR72" s="11"/>
      <c r="AS72" s="12"/>
      <c r="AT72" s="11"/>
      <c r="AU72" s="11"/>
      <c r="AV72" s="13"/>
    </row>
    <row r="73" ht="16.5" hidden="1" customHeight="1">
      <c r="A73" s="7" t="s">
        <v>554</v>
      </c>
      <c r="B73" s="7"/>
      <c r="C73" s="14" t="s">
        <v>213</v>
      </c>
      <c r="D73" s="14" t="s">
        <v>344</v>
      </c>
      <c r="E73" s="7"/>
      <c r="F73" s="7">
        <v>6117.0</v>
      </c>
      <c r="G73" s="7">
        <v>6116.0</v>
      </c>
      <c r="H73" s="7" t="s">
        <v>215</v>
      </c>
      <c r="I73" s="7"/>
      <c r="J73" s="7"/>
      <c r="K73" s="8" t="s">
        <v>397</v>
      </c>
      <c r="L73" s="8" t="s">
        <v>55</v>
      </c>
      <c r="M73" s="12" t="s">
        <v>55</v>
      </c>
      <c r="N73" s="8" t="s">
        <v>55</v>
      </c>
      <c r="O73" s="8" t="s">
        <v>228</v>
      </c>
      <c r="P73" s="8" t="s">
        <v>229</v>
      </c>
      <c r="Q73" s="8" t="s">
        <v>240</v>
      </c>
      <c r="R73" s="8" t="s">
        <v>49</v>
      </c>
      <c r="S73" s="8" t="s">
        <v>49</v>
      </c>
      <c r="T73" s="8" t="s">
        <v>49</v>
      </c>
      <c r="U73" s="8" t="s">
        <v>49</v>
      </c>
      <c r="V73" s="8" t="s">
        <v>49</v>
      </c>
      <c r="W73" s="8" t="s">
        <v>49</v>
      </c>
      <c r="X73" s="8" t="s">
        <v>55</v>
      </c>
      <c r="Y73" s="8" t="s">
        <v>55</v>
      </c>
      <c r="Z73" s="8" t="s">
        <v>55</v>
      </c>
      <c r="AA73" s="8" t="s">
        <v>231</v>
      </c>
      <c r="AB73" s="8" t="s">
        <v>55</v>
      </c>
      <c r="AC73" s="8" t="s">
        <v>348</v>
      </c>
      <c r="AD73" s="8" t="s">
        <v>546</v>
      </c>
      <c r="AE73" s="8" t="s">
        <v>547</v>
      </c>
      <c r="AF73" s="8" t="s">
        <v>553</v>
      </c>
      <c r="AG73" s="8" t="s">
        <v>145</v>
      </c>
      <c r="AH73" s="8" t="s">
        <v>55</v>
      </c>
      <c r="AI73" s="8" t="s">
        <v>65</v>
      </c>
      <c r="AJ73" s="8" t="s">
        <v>49</v>
      </c>
      <c r="AK73" s="8" t="s">
        <v>55</v>
      </c>
      <c r="AL73" s="8" t="s">
        <v>464</v>
      </c>
      <c r="AM73" s="8"/>
      <c r="AN73" s="9" t="s">
        <v>555</v>
      </c>
      <c r="AO73" s="12" t="s">
        <v>224</v>
      </c>
      <c r="AP73" s="10" t="s">
        <v>551</v>
      </c>
      <c r="AQ73" s="11"/>
      <c r="AR73" s="11"/>
      <c r="AS73" s="12"/>
      <c r="AT73" s="11"/>
      <c r="AU73" s="11"/>
      <c r="AV73" s="13"/>
    </row>
    <row r="74" ht="16.5" hidden="1" customHeight="1">
      <c r="A74" s="7" t="s">
        <v>556</v>
      </c>
      <c r="B74" s="7" t="s">
        <v>49</v>
      </c>
      <c r="C74" s="7" t="s">
        <v>213</v>
      </c>
      <c r="D74" s="7" t="s">
        <v>376</v>
      </c>
      <c r="E74" s="7" t="s">
        <v>227</v>
      </c>
      <c r="F74" s="7">
        <v>6118.0</v>
      </c>
      <c r="G74" s="7"/>
      <c r="H74" s="7" t="s">
        <v>215</v>
      </c>
      <c r="I74" s="7"/>
      <c r="J74" s="7"/>
      <c r="K74" s="8" t="s">
        <v>54</v>
      </c>
      <c r="L74" s="8" t="s">
        <v>55</v>
      </c>
      <c r="M74" s="8"/>
      <c r="N74" s="8" t="s">
        <v>55</v>
      </c>
      <c r="O74" s="8" t="s">
        <v>228</v>
      </c>
      <c r="P74" s="8" t="s">
        <v>229</v>
      </c>
      <c r="Q74" s="8" t="s">
        <v>230</v>
      </c>
      <c r="R74" s="8" t="s">
        <v>49</v>
      </c>
      <c r="S74" s="8" t="s">
        <v>49</v>
      </c>
      <c r="T74" s="8" t="s">
        <v>49</v>
      </c>
      <c r="U74" s="8" t="s">
        <v>49</v>
      </c>
      <c r="V74" s="8" t="s">
        <v>49</v>
      </c>
      <c r="W74" s="8" t="s">
        <v>49</v>
      </c>
      <c r="X74" s="8" t="s">
        <v>49</v>
      </c>
      <c r="Y74" s="8" t="s">
        <v>49</v>
      </c>
      <c r="Z74" s="8" t="s">
        <v>49</v>
      </c>
      <c r="AA74" s="8" t="s">
        <v>231</v>
      </c>
      <c r="AB74" s="8" t="s">
        <v>55</v>
      </c>
      <c r="AC74" s="8" t="s">
        <v>348</v>
      </c>
      <c r="AD74" s="8" t="s">
        <v>557</v>
      </c>
      <c r="AE74" s="8" t="s">
        <v>558</v>
      </c>
      <c r="AF74" s="8" t="s">
        <v>559</v>
      </c>
      <c r="AG74" s="8" t="s">
        <v>145</v>
      </c>
      <c r="AH74" s="8" t="s">
        <v>55</v>
      </c>
      <c r="AI74" s="8" t="s">
        <v>463</v>
      </c>
      <c r="AJ74" s="8" t="s">
        <v>49</v>
      </c>
      <c r="AK74" s="8" t="s">
        <v>49</v>
      </c>
      <c r="AL74" s="8" t="s">
        <v>464</v>
      </c>
      <c r="AM74" s="8" t="s">
        <v>560</v>
      </c>
      <c r="AN74" s="9" t="s">
        <v>561</v>
      </c>
      <c r="AO74" s="12" t="s">
        <v>224</v>
      </c>
      <c r="AP74" s="10" t="s">
        <v>562</v>
      </c>
      <c r="AQ74" s="11"/>
      <c r="AR74" s="10" t="s">
        <v>563</v>
      </c>
      <c r="AS74" s="12"/>
      <c r="AT74" s="10" t="s">
        <v>564</v>
      </c>
      <c r="AU74" s="11"/>
      <c r="AV74" s="13"/>
    </row>
    <row r="75" ht="16.5" hidden="1" customHeight="1">
      <c r="A75" s="7" t="s">
        <v>565</v>
      </c>
      <c r="B75" s="14" t="s">
        <v>49</v>
      </c>
      <c r="C75" s="14" t="s">
        <v>213</v>
      </c>
      <c r="D75" s="14" t="s">
        <v>344</v>
      </c>
      <c r="E75" s="7"/>
      <c r="F75" s="7">
        <v>6118.0</v>
      </c>
      <c r="G75" s="7">
        <v>6118.0</v>
      </c>
      <c r="H75" s="7" t="s">
        <v>215</v>
      </c>
      <c r="I75" s="7"/>
      <c r="J75" s="7"/>
      <c r="K75" s="8" t="s">
        <v>54</v>
      </c>
      <c r="L75" s="8" t="s">
        <v>55</v>
      </c>
      <c r="M75" s="12" t="s">
        <v>55</v>
      </c>
      <c r="N75" s="8" t="s">
        <v>55</v>
      </c>
      <c r="O75" s="8" t="s">
        <v>228</v>
      </c>
      <c r="P75" s="8" t="s">
        <v>229</v>
      </c>
      <c r="Q75" s="8" t="s">
        <v>240</v>
      </c>
      <c r="R75" s="8" t="s">
        <v>49</v>
      </c>
      <c r="S75" s="8" t="s">
        <v>49</v>
      </c>
      <c r="T75" s="8" t="s">
        <v>49</v>
      </c>
      <c r="U75" s="8" t="s">
        <v>49</v>
      </c>
      <c r="V75" s="8" t="s">
        <v>49</v>
      </c>
      <c r="W75" s="8" t="s">
        <v>49</v>
      </c>
      <c r="X75" s="8" t="s">
        <v>55</v>
      </c>
      <c r="Y75" s="8" t="s">
        <v>55</v>
      </c>
      <c r="Z75" s="8" t="s">
        <v>55</v>
      </c>
      <c r="AA75" s="8" t="s">
        <v>231</v>
      </c>
      <c r="AB75" s="8" t="s">
        <v>55</v>
      </c>
      <c r="AC75" s="8" t="s">
        <v>348</v>
      </c>
      <c r="AD75" s="8" t="s">
        <v>557</v>
      </c>
      <c r="AE75" s="8" t="s">
        <v>558</v>
      </c>
      <c r="AF75" s="8" t="s">
        <v>566</v>
      </c>
      <c r="AG75" s="8" t="s">
        <v>145</v>
      </c>
      <c r="AH75" s="8" t="s">
        <v>55</v>
      </c>
      <c r="AI75" s="8" t="s">
        <v>463</v>
      </c>
      <c r="AJ75" s="8" t="s">
        <v>49</v>
      </c>
      <c r="AK75" s="8" t="s">
        <v>55</v>
      </c>
      <c r="AL75" s="8" t="s">
        <v>464</v>
      </c>
      <c r="AM75" s="8"/>
      <c r="AN75" s="9" t="s">
        <v>561</v>
      </c>
      <c r="AO75" s="12" t="s">
        <v>224</v>
      </c>
      <c r="AP75" s="10" t="s">
        <v>562</v>
      </c>
      <c r="AQ75" s="11"/>
      <c r="AR75" s="10" t="s">
        <v>563</v>
      </c>
      <c r="AS75" s="12"/>
      <c r="AT75" s="10" t="s">
        <v>564</v>
      </c>
      <c r="AU75" s="11"/>
      <c r="AV75" s="13"/>
    </row>
    <row r="76" ht="16.5" hidden="1" customHeight="1">
      <c r="A76" s="7" t="s">
        <v>567</v>
      </c>
      <c r="B76" s="14" t="s">
        <v>49</v>
      </c>
      <c r="C76" s="14" t="s">
        <v>213</v>
      </c>
      <c r="D76" s="14" t="s">
        <v>344</v>
      </c>
      <c r="E76" s="7"/>
      <c r="F76" s="7">
        <v>6119.0</v>
      </c>
      <c r="G76" s="7">
        <v>6118.0</v>
      </c>
      <c r="H76" s="7" t="s">
        <v>215</v>
      </c>
      <c r="I76" s="7"/>
      <c r="J76" s="7"/>
      <c r="K76" s="8" t="s">
        <v>54</v>
      </c>
      <c r="L76" s="8" t="s">
        <v>55</v>
      </c>
      <c r="M76" s="12" t="s">
        <v>55</v>
      </c>
      <c r="N76" s="8" t="s">
        <v>55</v>
      </c>
      <c r="O76" s="8" t="s">
        <v>228</v>
      </c>
      <c r="P76" s="8" t="s">
        <v>229</v>
      </c>
      <c r="Q76" s="8" t="s">
        <v>240</v>
      </c>
      <c r="R76" s="8" t="s">
        <v>49</v>
      </c>
      <c r="S76" s="8" t="s">
        <v>49</v>
      </c>
      <c r="T76" s="8" t="s">
        <v>49</v>
      </c>
      <c r="U76" s="8" t="s">
        <v>49</v>
      </c>
      <c r="V76" s="8" t="s">
        <v>49</v>
      </c>
      <c r="W76" s="8" t="s">
        <v>49</v>
      </c>
      <c r="X76" s="8" t="s">
        <v>55</v>
      </c>
      <c r="Y76" s="8" t="s">
        <v>55</v>
      </c>
      <c r="Z76" s="8" t="s">
        <v>55</v>
      </c>
      <c r="AA76" s="8" t="s">
        <v>231</v>
      </c>
      <c r="AB76" s="8" t="s">
        <v>55</v>
      </c>
      <c r="AC76" s="8" t="s">
        <v>348</v>
      </c>
      <c r="AD76" s="8" t="s">
        <v>557</v>
      </c>
      <c r="AE76" s="8" t="s">
        <v>558</v>
      </c>
      <c r="AF76" s="8" t="s">
        <v>566</v>
      </c>
      <c r="AG76" s="8" t="s">
        <v>145</v>
      </c>
      <c r="AH76" s="8" t="s">
        <v>55</v>
      </c>
      <c r="AI76" s="8" t="s">
        <v>490</v>
      </c>
      <c r="AJ76" s="8" t="s">
        <v>49</v>
      </c>
      <c r="AK76" s="8" t="s">
        <v>55</v>
      </c>
      <c r="AL76" s="8" t="s">
        <v>464</v>
      </c>
      <c r="AM76" s="8"/>
      <c r="AN76" s="9" t="s">
        <v>568</v>
      </c>
      <c r="AO76" s="12" t="s">
        <v>224</v>
      </c>
      <c r="AP76" s="10" t="s">
        <v>562</v>
      </c>
      <c r="AQ76" s="11"/>
      <c r="AR76" s="10" t="s">
        <v>563</v>
      </c>
      <c r="AS76" s="12"/>
      <c r="AT76" s="10" t="s">
        <v>564</v>
      </c>
      <c r="AU76" s="11"/>
      <c r="AV76" s="13"/>
    </row>
    <row r="77" ht="16.5" hidden="1" customHeight="1">
      <c r="A77" s="7" t="s">
        <v>569</v>
      </c>
      <c r="B77" s="14" t="s">
        <v>49</v>
      </c>
      <c r="C77" s="14" t="s">
        <v>213</v>
      </c>
      <c r="D77" s="14" t="s">
        <v>344</v>
      </c>
      <c r="E77" s="7"/>
      <c r="F77" s="7">
        <v>6120.0</v>
      </c>
      <c r="G77" s="7">
        <v>6118.0</v>
      </c>
      <c r="H77" s="7" t="s">
        <v>215</v>
      </c>
      <c r="I77" s="7"/>
      <c r="J77" s="7"/>
      <c r="K77" s="8" t="s">
        <v>54</v>
      </c>
      <c r="L77" s="8" t="s">
        <v>55</v>
      </c>
      <c r="M77" s="12" t="s">
        <v>55</v>
      </c>
      <c r="N77" s="8" t="s">
        <v>55</v>
      </c>
      <c r="O77" s="8" t="s">
        <v>228</v>
      </c>
      <c r="P77" s="8" t="s">
        <v>229</v>
      </c>
      <c r="Q77" s="8" t="s">
        <v>240</v>
      </c>
      <c r="R77" s="8" t="s">
        <v>49</v>
      </c>
      <c r="S77" s="8" t="s">
        <v>49</v>
      </c>
      <c r="T77" s="8" t="s">
        <v>49</v>
      </c>
      <c r="U77" s="8" t="s">
        <v>49</v>
      </c>
      <c r="V77" s="8" t="s">
        <v>49</v>
      </c>
      <c r="W77" s="8" t="s">
        <v>49</v>
      </c>
      <c r="X77" s="8" t="s">
        <v>55</v>
      </c>
      <c r="Y77" s="8" t="s">
        <v>55</v>
      </c>
      <c r="Z77" s="8" t="s">
        <v>55</v>
      </c>
      <c r="AA77" s="8" t="s">
        <v>231</v>
      </c>
      <c r="AB77" s="8" t="s">
        <v>55</v>
      </c>
      <c r="AC77" s="8" t="s">
        <v>348</v>
      </c>
      <c r="AD77" s="8" t="s">
        <v>557</v>
      </c>
      <c r="AE77" s="8" t="s">
        <v>558</v>
      </c>
      <c r="AF77" s="8" t="s">
        <v>566</v>
      </c>
      <c r="AG77" s="8" t="s">
        <v>145</v>
      </c>
      <c r="AH77" s="8" t="s">
        <v>55</v>
      </c>
      <c r="AI77" s="8" t="s">
        <v>65</v>
      </c>
      <c r="AJ77" s="8" t="s">
        <v>49</v>
      </c>
      <c r="AK77" s="8" t="s">
        <v>55</v>
      </c>
      <c r="AL77" s="8" t="s">
        <v>464</v>
      </c>
      <c r="AM77" s="8"/>
      <c r="AN77" s="9" t="s">
        <v>570</v>
      </c>
      <c r="AO77" s="12" t="s">
        <v>224</v>
      </c>
      <c r="AP77" s="10" t="s">
        <v>562</v>
      </c>
      <c r="AQ77" s="11"/>
      <c r="AR77" s="10" t="s">
        <v>563</v>
      </c>
      <c r="AS77" s="12"/>
      <c r="AT77" s="10" t="s">
        <v>564</v>
      </c>
      <c r="AU77" s="11"/>
      <c r="AV77" s="13"/>
    </row>
    <row r="78" ht="16.5" hidden="1" customHeight="1">
      <c r="A78" s="7" t="s">
        <v>571</v>
      </c>
      <c r="B78" s="7"/>
      <c r="C78" s="14" t="s">
        <v>213</v>
      </c>
      <c r="D78" s="14" t="s">
        <v>344</v>
      </c>
      <c r="E78" s="7"/>
      <c r="F78" s="7">
        <v>6123.0</v>
      </c>
      <c r="G78" s="7">
        <v>6118.0</v>
      </c>
      <c r="H78" s="7" t="s">
        <v>215</v>
      </c>
      <c r="I78" s="7"/>
      <c r="J78" s="7"/>
      <c r="K78" s="8" t="s">
        <v>572</v>
      </c>
      <c r="L78" s="8" t="s">
        <v>55</v>
      </c>
      <c r="M78" s="12" t="s">
        <v>55</v>
      </c>
      <c r="N78" s="8" t="s">
        <v>55</v>
      </c>
      <c r="O78" s="8" t="s">
        <v>228</v>
      </c>
      <c r="P78" s="8" t="s">
        <v>229</v>
      </c>
      <c r="Q78" s="8" t="s">
        <v>245</v>
      </c>
      <c r="R78" s="8" t="s">
        <v>49</v>
      </c>
      <c r="S78" s="8" t="s">
        <v>49</v>
      </c>
      <c r="T78" s="8" t="s">
        <v>49</v>
      </c>
      <c r="U78" s="8" t="s">
        <v>49</v>
      </c>
      <c r="V78" s="8" t="s">
        <v>49</v>
      </c>
      <c r="W78" s="8" t="s">
        <v>49</v>
      </c>
      <c r="X78" s="8" t="s">
        <v>55</v>
      </c>
      <c r="Y78" s="8" t="s">
        <v>55</v>
      </c>
      <c r="Z78" s="8" t="s">
        <v>55</v>
      </c>
      <c r="AA78" s="8" t="s">
        <v>231</v>
      </c>
      <c r="AB78" s="8" t="s">
        <v>55</v>
      </c>
      <c r="AC78" s="8" t="s">
        <v>348</v>
      </c>
      <c r="AD78" s="8" t="s">
        <v>573</v>
      </c>
      <c r="AE78" s="8" t="s">
        <v>574</v>
      </c>
      <c r="AF78" s="8" t="s">
        <v>566</v>
      </c>
      <c r="AG78" s="8" t="s">
        <v>145</v>
      </c>
      <c r="AH78" s="8" t="s">
        <v>55</v>
      </c>
      <c r="AI78" s="8" t="s">
        <v>65</v>
      </c>
      <c r="AJ78" s="8" t="s">
        <v>49</v>
      </c>
      <c r="AK78" s="8" t="s">
        <v>55</v>
      </c>
      <c r="AL78" s="8" t="s">
        <v>464</v>
      </c>
      <c r="AM78" s="8"/>
      <c r="AN78" s="9" t="s">
        <v>575</v>
      </c>
      <c r="AO78" s="12" t="s">
        <v>224</v>
      </c>
      <c r="AP78" s="10" t="s">
        <v>562</v>
      </c>
      <c r="AQ78" s="11"/>
      <c r="AR78" s="11"/>
      <c r="AS78" s="12"/>
      <c r="AT78" s="11"/>
      <c r="AU78" s="11"/>
      <c r="AV78" s="13"/>
    </row>
    <row r="79" ht="16.5" hidden="1" customHeight="1">
      <c r="A79" s="7" t="s">
        <v>576</v>
      </c>
      <c r="B79" s="7"/>
      <c r="C79" s="7" t="s">
        <v>213</v>
      </c>
      <c r="D79" s="7" t="s">
        <v>376</v>
      </c>
      <c r="E79" s="7" t="s">
        <v>227</v>
      </c>
      <c r="F79" s="7">
        <v>6125.0</v>
      </c>
      <c r="G79" s="7"/>
      <c r="H79" s="7" t="s">
        <v>215</v>
      </c>
      <c r="I79" s="7"/>
      <c r="J79" s="7"/>
      <c r="K79" s="8" t="s">
        <v>397</v>
      </c>
      <c r="L79" s="8" t="s">
        <v>55</v>
      </c>
      <c r="M79" s="8"/>
      <c r="N79" s="8" t="s">
        <v>55</v>
      </c>
      <c r="O79" s="8" t="s">
        <v>228</v>
      </c>
      <c r="P79" s="8" t="s">
        <v>229</v>
      </c>
      <c r="Q79" s="8" t="s">
        <v>230</v>
      </c>
      <c r="R79" s="8" t="s">
        <v>49</v>
      </c>
      <c r="S79" s="8" t="s">
        <v>49</v>
      </c>
      <c r="T79" s="8" t="s">
        <v>49</v>
      </c>
      <c r="U79" s="8" t="s">
        <v>49</v>
      </c>
      <c r="V79" s="8" t="s">
        <v>49</v>
      </c>
      <c r="W79" s="8" t="s">
        <v>49</v>
      </c>
      <c r="X79" s="8" t="s">
        <v>49</v>
      </c>
      <c r="Y79" s="8" t="s">
        <v>49</v>
      </c>
      <c r="Z79" s="8" t="s">
        <v>49</v>
      </c>
      <c r="AA79" s="8" t="s">
        <v>231</v>
      </c>
      <c r="AB79" s="8" t="s">
        <v>55</v>
      </c>
      <c r="AC79" s="8" t="s">
        <v>348</v>
      </c>
      <c r="AD79" s="8" t="s">
        <v>577</v>
      </c>
      <c r="AE79" s="8" t="s">
        <v>535</v>
      </c>
      <c r="AF79" s="8" t="s">
        <v>536</v>
      </c>
      <c r="AG79" s="8" t="s">
        <v>145</v>
      </c>
      <c r="AH79" s="8" t="s">
        <v>55</v>
      </c>
      <c r="AI79" s="8" t="s">
        <v>463</v>
      </c>
      <c r="AJ79" s="8" t="s">
        <v>49</v>
      </c>
      <c r="AK79" s="8" t="s">
        <v>49</v>
      </c>
      <c r="AL79" s="8" t="s">
        <v>464</v>
      </c>
      <c r="AM79" s="8" t="s">
        <v>578</v>
      </c>
      <c r="AN79" s="9" t="s">
        <v>579</v>
      </c>
      <c r="AO79" s="12" t="s">
        <v>224</v>
      </c>
      <c r="AP79" s="10" t="s">
        <v>580</v>
      </c>
      <c r="AQ79" s="11"/>
      <c r="AR79" s="11"/>
      <c r="AS79" s="12"/>
      <c r="AT79" s="11"/>
      <c r="AU79" s="11"/>
      <c r="AV79" s="13"/>
    </row>
    <row r="80" ht="16.5" hidden="1" customHeight="1">
      <c r="A80" s="7" t="s">
        <v>581</v>
      </c>
      <c r="B80" s="7"/>
      <c r="C80" s="14" t="s">
        <v>213</v>
      </c>
      <c r="D80" s="14" t="s">
        <v>344</v>
      </c>
      <c r="E80" s="7"/>
      <c r="F80" s="7">
        <v>6126.0</v>
      </c>
      <c r="G80" s="7">
        <v>6125.0</v>
      </c>
      <c r="H80" s="7" t="s">
        <v>215</v>
      </c>
      <c r="I80" s="7"/>
      <c r="J80" s="7"/>
      <c r="K80" s="8" t="s">
        <v>397</v>
      </c>
      <c r="L80" s="8" t="s">
        <v>55</v>
      </c>
      <c r="M80" s="12" t="s">
        <v>55</v>
      </c>
      <c r="N80" s="8" t="s">
        <v>55</v>
      </c>
      <c r="O80" s="8" t="s">
        <v>228</v>
      </c>
      <c r="P80" s="8" t="s">
        <v>229</v>
      </c>
      <c r="Q80" s="8" t="s">
        <v>240</v>
      </c>
      <c r="R80" s="8" t="s">
        <v>49</v>
      </c>
      <c r="S80" s="8" t="s">
        <v>49</v>
      </c>
      <c r="T80" s="8" t="s">
        <v>49</v>
      </c>
      <c r="U80" s="8" t="s">
        <v>49</v>
      </c>
      <c r="V80" s="8" t="s">
        <v>49</v>
      </c>
      <c r="W80" s="8" t="s">
        <v>49</v>
      </c>
      <c r="X80" s="8" t="s">
        <v>55</v>
      </c>
      <c r="Y80" s="8" t="s">
        <v>55</v>
      </c>
      <c r="Z80" s="8" t="s">
        <v>55</v>
      </c>
      <c r="AA80" s="8" t="s">
        <v>231</v>
      </c>
      <c r="AB80" s="8" t="s">
        <v>55</v>
      </c>
      <c r="AC80" s="8" t="s">
        <v>348</v>
      </c>
      <c r="AD80" s="8" t="s">
        <v>577</v>
      </c>
      <c r="AE80" s="8" t="s">
        <v>535</v>
      </c>
      <c r="AF80" s="8" t="s">
        <v>543</v>
      </c>
      <c r="AG80" s="8" t="s">
        <v>145</v>
      </c>
      <c r="AH80" s="8" t="s">
        <v>55</v>
      </c>
      <c r="AI80" s="8" t="s">
        <v>490</v>
      </c>
      <c r="AJ80" s="8" t="s">
        <v>49</v>
      </c>
      <c r="AK80" s="8" t="s">
        <v>55</v>
      </c>
      <c r="AL80" s="8" t="s">
        <v>464</v>
      </c>
      <c r="AM80" s="8"/>
      <c r="AN80" s="9" t="s">
        <v>582</v>
      </c>
      <c r="AO80" s="12" t="s">
        <v>224</v>
      </c>
      <c r="AP80" s="10" t="s">
        <v>580</v>
      </c>
      <c r="AQ80" s="11"/>
      <c r="AR80" s="11"/>
      <c r="AS80" s="12"/>
      <c r="AT80" s="11"/>
      <c r="AU80" s="11"/>
      <c r="AV80" s="13"/>
    </row>
    <row r="81" ht="16.5" hidden="1" customHeight="1">
      <c r="A81" s="7" t="s">
        <v>583</v>
      </c>
      <c r="B81" s="7"/>
      <c r="C81" s="14" t="s">
        <v>213</v>
      </c>
      <c r="D81" s="14" t="s">
        <v>344</v>
      </c>
      <c r="E81" s="7"/>
      <c r="F81" s="7">
        <v>6127.0</v>
      </c>
      <c r="G81" s="7">
        <v>6125.0</v>
      </c>
      <c r="H81" s="7" t="s">
        <v>215</v>
      </c>
      <c r="I81" s="7"/>
      <c r="J81" s="7"/>
      <c r="K81" s="8" t="s">
        <v>397</v>
      </c>
      <c r="L81" s="8" t="s">
        <v>55</v>
      </c>
      <c r="M81" s="12" t="s">
        <v>55</v>
      </c>
      <c r="N81" s="8" t="s">
        <v>55</v>
      </c>
      <c r="O81" s="8" t="s">
        <v>228</v>
      </c>
      <c r="P81" s="8" t="s">
        <v>229</v>
      </c>
      <c r="Q81" s="8" t="s">
        <v>240</v>
      </c>
      <c r="R81" s="8" t="s">
        <v>49</v>
      </c>
      <c r="S81" s="8" t="s">
        <v>49</v>
      </c>
      <c r="T81" s="8" t="s">
        <v>49</v>
      </c>
      <c r="U81" s="8" t="s">
        <v>49</v>
      </c>
      <c r="V81" s="8" t="s">
        <v>49</v>
      </c>
      <c r="W81" s="8" t="s">
        <v>49</v>
      </c>
      <c r="X81" s="8" t="s">
        <v>55</v>
      </c>
      <c r="Y81" s="8" t="s">
        <v>55</v>
      </c>
      <c r="Z81" s="8" t="s">
        <v>55</v>
      </c>
      <c r="AA81" s="8" t="s">
        <v>231</v>
      </c>
      <c r="AB81" s="8" t="s">
        <v>55</v>
      </c>
      <c r="AC81" s="8" t="s">
        <v>348</v>
      </c>
      <c r="AD81" s="8" t="s">
        <v>577</v>
      </c>
      <c r="AE81" s="8" t="s">
        <v>535</v>
      </c>
      <c r="AF81" s="8" t="s">
        <v>543</v>
      </c>
      <c r="AG81" s="8" t="s">
        <v>145</v>
      </c>
      <c r="AH81" s="8" t="s">
        <v>55</v>
      </c>
      <c r="AI81" s="8" t="s">
        <v>65</v>
      </c>
      <c r="AJ81" s="8" t="s">
        <v>49</v>
      </c>
      <c r="AK81" s="8" t="s">
        <v>55</v>
      </c>
      <c r="AL81" s="8" t="s">
        <v>464</v>
      </c>
      <c r="AM81" s="8"/>
      <c r="AN81" s="9" t="s">
        <v>584</v>
      </c>
      <c r="AO81" s="12" t="s">
        <v>224</v>
      </c>
      <c r="AP81" s="10" t="s">
        <v>580</v>
      </c>
      <c r="AQ81" s="11"/>
      <c r="AR81" s="11"/>
      <c r="AS81" s="12"/>
      <c r="AT81" s="11"/>
      <c r="AU81" s="11"/>
      <c r="AV81" s="13"/>
    </row>
    <row r="82" ht="16.5" hidden="1" customHeight="1">
      <c r="A82" s="7" t="s">
        <v>585</v>
      </c>
      <c r="B82" s="7"/>
      <c r="C82" s="14" t="s">
        <v>213</v>
      </c>
      <c r="D82" s="14" t="s">
        <v>344</v>
      </c>
      <c r="E82" s="7"/>
      <c r="F82" s="7">
        <v>6128.0</v>
      </c>
      <c r="G82" s="7">
        <v>6125.0</v>
      </c>
      <c r="H82" s="7" t="s">
        <v>215</v>
      </c>
      <c r="I82" s="7"/>
      <c r="J82" s="7"/>
      <c r="K82" s="8" t="s">
        <v>572</v>
      </c>
      <c r="L82" s="8" t="s">
        <v>55</v>
      </c>
      <c r="M82" s="12" t="s">
        <v>55</v>
      </c>
      <c r="N82" s="8" t="s">
        <v>55</v>
      </c>
      <c r="O82" s="8" t="s">
        <v>228</v>
      </c>
      <c r="P82" s="8" t="s">
        <v>229</v>
      </c>
      <c r="Q82" s="8" t="s">
        <v>245</v>
      </c>
      <c r="R82" s="8" t="s">
        <v>49</v>
      </c>
      <c r="S82" s="8" t="s">
        <v>49</v>
      </c>
      <c r="T82" s="8" t="s">
        <v>49</v>
      </c>
      <c r="U82" s="8" t="s">
        <v>49</v>
      </c>
      <c r="V82" s="8" t="s">
        <v>49</v>
      </c>
      <c r="W82" s="8" t="s">
        <v>49</v>
      </c>
      <c r="X82" s="8" t="s">
        <v>55</v>
      </c>
      <c r="Y82" s="8" t="s">
        <v>55</v>
      </c>
      <c r="Z82" s="8" t="s">
        <v>55</v>
      </c>
      <c r="AA82" s="8" t="s">
        <v>231</v>
      </c>
      <c r="AB82" s="8" t="s">
        <v>55</v>
      </c>
      <c r="AC82" s="8" t="s">
        <v>348</v>
      </c>
      <c r="AD82" s="8" t="s">
        <v>586</v>
      </c>
      <c r="AE82" s="8" t="s">
        <v>587</v>
      </c>
      <c r="AF82" s="8" t="s">
        <v>543</v>
      </c>
      <c r="AG82" s="8" t="s">
        <v>145</v>
      </c>
      <c r="AH82" s="8" t="s">
        <v>55</v>
      </c>
      <c r="AI82" s="8" t="s">
        <v>463</v>
      </c>
      <c r="AJ82" s="8" t="s">
        <v>49</v>
      </c>
      <c r="AK82" s="8" t="s">
        <v>55</v>
      </c>
      <c r="AL82" s="8" t="s">
        <v>464</v>
      </c>
      <c r="AM82" s="8"/>
      <c r="AN82" s="9" t="s">
        <v>588</v>
      </c>
      <c r="AO82" s="12" t="s">
        <v>224</v>
      </c>
      <c r="AP82" s="10" t="s">
        <v>580</v>
      </c>
      <c r="AQ82" s="11"/>
      <c r="AR82" s="11"/>
      <c r="AS82" s="12"/>
      <c r="AT82" s="11"/>
      <c r="AU82" s="11"/>
      <c r="AV82" s="13"/>
    </row>
    <row r="83" ht="16.5" hidden="1" customHeight="1">
      <c r="A83" s="7" t="s">
        <v>589</v>
      </c>
      <c r="B83" s="7"/>
      <c r="C83" s="14" t="s">
        <v>213</v>
      </c>
      <c r="D83" s="14" t="s">
        <v>344</v>
      </c>
      <c r="E83" s="7"/>
      <c r="F83" s="7">
        <v>6129.0</v>
      </c>
      <c r="G83" s="7">
        <v>6125.0</v>
      </c>
      <c r="H83" s="7" t="s">
        <v>215</v>
      </c>
      <c r="I83" s="7"/>
      <c r="J83" s="7"/>
      <c r="K83" s="8" t="s">
        <v>572</v>
      </c>
      <c r="L83" s="8" t="s">
        <v>55</v>
      </c>
      <c r="M83" s="12" t="s">
        <v>55</v>
      </c>
      <c r="N83" s="8" t="s">
        <v>55</v>
      </c>
      <c r="O83" s="8" t="s">
        <v>228</v>
      </c>
      <c r="P83" s="8" t="s">
        <v>229</v>
      </c>
      <c r="Q83" s="8" t="s">
        <v>245</v>
      </c>
      <c r="R83" s="8" t="s">
        <v>49</v>
      </c>
      <c r="S83" s="8" t="s">
        <v>49</v>
      </c>
      <c r="T83" s="8" t="s">
        <v>49</v>
      </c>
      <c r="U83" s="8" t="s">
        <v>49</v>
      </c>
      <c r="V83" s="8" t="s">
        <v>49</v>
      </c>
      <c r="W83" s="8" t="s">
        <v>49</v>
      </c>
      <c r="X83" s="8" t="s">
        <v>55</v>
      </c>
      <c r="Y83" s="8" t="s">
        <v>55</v>
      </c>
      <c r="Z83" s="8" t="s">
        <v>55</v>
      </c>
      <c r="AA83" s="8" t="s">
        <v>231</v>
      </c>
      <c r="AB83" s="8" t="s">
        <v>55</v>
      </c>
      <c r="AC83" s="8" t="s">
        <v>348</v>
      </c>
      <c r="AD83" s="8" t="s">
        <v>586</v>
      </c>
      <c r="AE83" s="8" t="s">
        <v>587</v>
      </c>
      <c r="AF83" s="8" t="s">
        <v>543</v>
      </c>
      <c r="AG83" s="8" t="s">
        <v>145</v>
      </c>
      <c r="AH83" s="8" t="s">
        <v>55</v>
      </c>
      <c r="AI83" s="8" t="s">
        <v>490</v>
      </c>
      <c r="AJ83" s="8" t="s">
        <v>49</v>
      </c>
      <c r="AK83" s="8" t="s">
        <v>55</v>
      </c>
      <c r="AL83" s="8" t="s">
        <v>464</v>
      </c>
      <c r="AM83" s="8"/>
      <c r="AN83" s="9" t="s">
        <v>590</v>
      </c>
      <c r="AO83" s="12" t="s">
        <v>224</v>
      </c>
      <c r="AP83" s="10" t="s">
        <v>580</v>
      </c>
      <c r="AQ83" s="11"/>
      <c r="AR83" s="11"/>
      <c r="AS83" s="12"/>
      <c r="AT83" s="11"/>
      <c r="AU83" s="11"/>
      <c r="AV83" s="13"/>
    </row>
    <row r="84" ht="16.5" hidden="1" customHeight="1">
      <c r="A84" s="7" t="s">
        <v>591</v>
      </c>
      <c r="B84" s="7"/>
      <c r="C84" s="14" t="s">
        <v>213</v>
      </c>
      <c r="D84" s="14" t="s">
        <v>344</v>
      </c>
      <c r="E84" s="7"/>
      <c r="F84" s="7">
        <v>6130.0</v>
      </c>
      <c r="G84" s="7">
        <v>6125.0</v>
      </c>
      <c r="H84" s="7" t="s">
        <v>215</v>
      </c>
      <c r="I84" s="7"/>
      <c r="J84" s="7"/>
      <c r="K84" s="8" t="s">
        <v>572</v>
      </c>
      <c r="L84" s="8" t="s">
        <v>55</v>
      </c>
      <c r="M84" s="12" t="s">
        <v>55</v>
      </c>
      <c r="N84" s="8" t="s">
        <v>55</v>
      </c>
      <c r="O84" s="8" t="s">
        <v>228</v>
      </c>
      <c r="P84" s="8" t="s">
        <v>229</v>
      </c>
      <c r="Q84" s="8" t="s">
        <v>245</v>
      </c>
      <c r="R84" s="8" t="s">
        <v>49</v>
      </c>
      <c r="S84" s="8" t="s">
        <v>49</v>
      </c>
      <c r="T84" s="8" t="s">
        <v>49</v>
      </c>
      <c r="U84" s="8" t="s">
        <v>49</v>
      </c>
      <c r="V84" s="8" t="s">
        <v>49</v>
      </c>
      <c r="W84" s="8" t="s">
        <v>49</v>
      </c>
      <c r="X84" s="8" t="s">
        <v>55</v>
      </c>
      <c r="Y84" s="8" t="s">
        <v>55</v>
      </c>
      <c r="Z84" s="8" t="s">
        <v>55</v>
      </c>
      <c r="AA84" s="8" t="s">
        <v>231</v>
      </c>
      <c r="AB84" s="8" t="s">
        <v>55</v>
      </c>
      <c r="AC84" s="8" t="s">
        <v>348</v>
      </c>
      <c r="AD84" s="8" t="s">
        <v>586</v>
      </c>
      <c r="AE84" s="8" t="s">
        <v>587</v>
      </c>
      <c r="AF84" s="8" t="s">
        <v>543</v>
      </c>
      <c r="AG84" s="8" t="s">
        <v>145</v>
      </c>
      <c r="AH84" s="8" t="s">
        <v>55</v>
      </c>
      <c r="AI84" s="8" t="s">
        <v>65</v>
      </c>
      <c r="AJ84" s="8" t="s">
        <v>49</v>
      </c>
      <c r="AK84" s="8" t="s">
        <v>55</v>
      </c>
      <c r="AL84" s="8" t="s">
        <v>464</v>
      </c>
      <c r="AM84" s="8"/>
      <c r="AN84" s="9" t="s">
        <v>592</v>
      </c>
      <c r="AO84" s="12" t="s">
        <v>224</v>
      </c>
      <c r="AP84" s="10" t="s">
        <v>580</v>
      </c>
      <c r="AQ84" s="11"/>
      <c r="AR84" s="11"/>
      <c r="AS84" s="12"/>
      <c r="AT84" s="11"/>
      <c r="AU84" s="11"/>
      <c r="AV84" s="13"/>
    </row>
    <row r="85" ht="16.5" hidden="1" customHeight="1">
      <c r="A85" s="7" t="s">
        <v>593</v>
      </c>
      <c r="B85" s="7" t="s">
        <v>49</v>
      </c>
      <c r="C85" s="7" t="s">
        <v>213</v>
      </c>
      <c r="D85" s="14" t="s">
        <v>344</v>
      </c>
      <c r="E85" s="7" t="s">
        <v>227</v>
      </c>
      <c r="F85" s="7">
        <v>6131.0</v>
      </c>
      <c r="G85" s="7"/>
      <c r="H85" s="7" t="s">
        <v>215</v>
      </c>
      <c r="I85" s="7"/>
      <c r="J85" s="7"/>
      <c r="K85" s="8" t="s">
        <v>54</v>
      </c>
      <c r="L85" s="8" t="s">
        <v>55</v>
      </c>
      <c r="M85" s="12" t="s">
        <v>55</v>
      </c>
      <c r="N85" s="8" t="s">
        <v>55</v>
      </c>
      <c r="O85" s="8" t="s">
        <v>228</v>
      </c>
      <c r="P85" s="8" t="s">
        <v>229</v>
      </c>
      <c r="Q85" s="8" t="s">
        <v>240</v>
      </c>
      <c r="R85" s="8" t="s">
        <v>49</v>
      </c>
      <c r="S85" s="8" t="s">
        <v>49</v>
      </c>
      <c r="T85" s="8" t="s">
        <v>49</v>
      </c>
      <c r="U85" s="8" t="s">
        <v>49</v>
      </c>
      <c r="V85" s="8" t="s">
        <v>49</v>
      </c>
      <c r="W85" s="8" t="s">
        <v>49</v>
      </c>
      <c r="X85" s="8" t="s">
        <v>55</v>
      </c>
      <c r="Y85" s="8" t="s">
        <v>55</v>
      </c>
      <c r="Z85" s="8" t="s">
        <v>55</v>
      </c>
      <c r="AA85" s="8" t="s">
        <v>231</v>
      </c>
      <c r="AB85" s="8" t="s">
        <v>55</v>
      </c>
      <c r="AC85" s="8" t="s">
        <v>348</v>
      </c>
      <c r="AD85" s="8" t="s">
        <v>495</v>
      </c>
      <c r="AE85" s="8" t="s">
        <v>399</v>
      </c>
      <c r="AF85" s="8" t="s">
        <v>566</v>
      </c>
      <c r="AG85" s="8" t="s">
        <v>145</v>
      </c>
      <c r="AH85" s="8" t="s">
        <v>55</v>
      </c>
      <c r="AI85" s="8" t="s">
        <v>463</v>
      </c>
      <c r="AJ85" s="8" t="s">
        <v>49</v>
      </c>
      <c r="AK85" s="8" t="s">
        <v>55</v>
      </c>
      <c r="AL85" s="8" t="s">
        <v>464</v>
      </c>
      <c r="AM85" s="8" t="s">
        <v>594</v>
      </c>
      <c r="AN85" s="9" t="s">
        <v>595</v>
      </c>
      <c r="AO85" s="12" t="s">
        <v>224</v>
      </c>
      <c r="AP85" s="10" t="s">
        <v>596</v>
      </c>
      <c r="AQ85" s="11"/>
      <c r="AR85" s="10" t="s">
        <v>597</v>
      </c>
      <c r="AS85" s="12"/>
      <c r="AT85" s="10" t="s">
        <v>598</v>
      </c>
      <c r="AU85" s="11"/>
      <c r="AV85" s="13"/>
    </row>
    <row r="86" ht="16.5" hidden="1" customHeight="1">
      <c r="A86" s="7" t="s">
        <v>599</v>
      </c>
      <c r="B86" s="7"/>
      <c r="C86" s="7" t="s">
        <v>213</v>
      </c>
      <c r="D86" s="7" t="s">
        <v>376</v>
      </c>
      <c r="E86" s="7" t="s">
        <v>227</v>
      </c>
      <c r="F86" s="7">
        <v>6132.0</v>
      </c>
      <c r="G86" s="7"/>
      <c r="H86" s="7" t="s">
        <v>215</v>
      </c>
      <c r="I86" s="7"/>
      <c r="J86" s="7"/>
      <c r="K86" s="8" t="s">
        <v>397</v>
      </c>
      <c r="L86" s="8" t="s">
        <v>55</v>
      </c>
      <c r="M86" s="8"/>
      <c r="N86" s="8" t="s">
        <v>55</v>
      </c>
      <c r="O86" s="8" t="s">
        <v>228</v>
      </c>
      <c r="P86" s="8" t="s">
        <v>229</v>
      </c>
      <c r="Q86" s="8" t="s">
        <v>230</v>
      </c>
      <c r="R86" s="8" t="s">
        <v>49</v>
      </c>
      <c r="S86" s="8" t="s">
        <v>49</v>
      </c>
      <c r="T86" s="8" t="s">
        <v>49</v>
      </c>
      <c r="U86" s="8" t="s">
        <v>49</v>
      </c>
      <c r="V86" s="8" t="s">
        <v>49</v>
      </c>
      <c r="W86" s="8" t="s">
        <v>49</v>
      </c>
      <c r="X86" s="8" t="s">
        <v>49</v>
      </c>
      <c r="Y86" s="8" t="s">
        <v>49</v>
      </c>
      <c r="Z86" s="8" t="s">
        <v>49</v>
      </c>
      <c r="AA86" s="8" t="s">
        <v>231</v>
      </c>
      <c r="AB86" s="8" t="s">
        <v>55</v>
      </c>
      <c r="AC86" s="8" t="s">
        <v>348</v>
      </c>
      <c r="AD86" s="8" t="s">
        <v>519</v>
      </c>
      <c r="AE86" s="8" t="s">
        <v>600</v>
      </c>
      <c r="AF86" s="8" t="s">
        <v>548</v>
      </c>
      <c r="AG86" s="8" t="s">
        <v>145</v>
      </c>
      <c r="AH86" s="8" t="s">
        <v>55</v>
      </c>
      <c r="AI86" s="8" t="s">
        <v>463</v>
      </c>
      <c r="AJ86" s="8" t="s">
        <v>49</v>
      </c>
      <c r="AK86" s="8" t="s">
        <v>49</v>
      </c>
      <c r="AL86" s="8" t="s">
        <v>464</v>
      </c>
      <c r="AM86" s="8" t="s">
        <v>601</v>
      </c>
      <c r="AN86" s="9" t="s">
        <v>602</v>
      </c>
      <c r="AO86" s="12" t="s">
        <v>224</v>
      </c>
      <c r="AP86" s="10" t="s">
        <v>603</v>
      </c>
      <c r="AQ86" s="11"/>
      <c r="AR86" s="11"/>
      <c r="AS86" s="12"/>
      <c r="AT86" s="11"/>
      <c r="AU86" s="11"/>
      <c r="AV86" s="13"/>
    </row>
    <row r="87" ht="16.5" hidden="1" customHeight="1">
      <c r="A87" s="7" t="s">
        <v>604</v>
      </c>
      <c r="B87" s="7"/>
      <c r="C87" s="14" t="s">
        <v>213</v>
      </c>
      <c r="D87" s="14" t="s">
        <v>344</v>
      </c>
      <c r="E87" s="7"/>
      <c r="F87" s="7">
        <v>6132.0</v>
      </c>
      <c r="G87" s="7">
        <v>6132.0</v>
      </c>
      <c r="H87" s="7" t="s">
        <v>215</v>
      </c>
      <c r="I87" s="7"/>
      <c r="J87" s="7"/>
      <c r="K87" s="8" t="s">
        <v>397</v>
      </c>
      <c r="L87" s="8" t="s">
        <v>55</v>
      </c>
      <c r="M87" s="12" t="s">
        <v>55</v>
      </c>
      <c r="N87" s="8" t="s">
        <v>55</v>
      </c>
      <c r="O87" s="8" t="s">
        <v>228</v>
      </c>
      <c r="P87" s="8" t="s">
        <v>229</v>
      </c>
      <c r="Q87" s="8" t="s">
        <v>240</v>
      </c>
      <c r="R87" s="8" t="s">
        <v>49</v>
      </c>
      <c r="S87" s="8" t="s">
        <v>49</v>
      </c>
      <c r="T87" s="8" t="s">
        <v>49</v>
      </c>
      <c r="U87" s="8" t="s">
        <v>49</v>
      </c>
      <c r="V87" s="8" t="s">
        <v>49</v>
      </c>
      <c r="W87" s="8" t="s">
        <v>49</v>
      </c>
      <c r="X87" s="8" t="s">
        <v>55</v>
      </c>
      <c r="Y87" s="8" t="s">
        <v>55</v>
      </c>
      <c r="Z87" s="8" t="s">
        <v>55</v>
      </c>
      <c r="AA87" s="8" t="s">
        <v>231</v>
      </c>
      <c r="AB87" s="8" t="s">
        <v>55</v>
      </c>
      <c r="AC87" s="8" t="s">
        <v>348</v>
      </c>
      <c r="AD87" s="8" t="s">
        <v>519</v>
      </c>
      <c r="AE87" s="8" t="s">
        <v>600</v>
      </c>
      <c r="AF87" s="8" t="s">
        <v>553</v>
      </c>
      <c r="AG87" s="8" t="s">
        <v>145</v>
      </c>
      <c r="AH87" s="8" t="s">
        <v>55</v>
      </c>
      <c r="AI87" s="8" t="s">
        <v>463</v>
      </c>
      <c r="AJ87" s="8" t="s">
        <v>49</v>
      </c>
      <c r="AK87" s="8" t="s">
        <v>55</v>
      </c>
      <c r="AL87" s="8" t="s">
        <v>464</v>
      </c>
      <c r="AM87" s="8"/>
      <c r="AN87" s="9" t="s">
        <v>602</v>
      </c>
      <c r="AO87" s="12" t="s">
        <v>224</v>
      </c>
      <c r="AP87" s="10" t="s">
        <v>603</v>
      </c>
      <c r="AQ87" s="11"/>
      <c r="AR87" s="11"/>
      <c r="AS87" s="12"/>
      <c r="AT87" s="11"/>
      <c r="AU87" s="11"/>
      <c r="AV87" s="13"/>
    </row>
    <row r="88" ht="16.5" hidden="1" customHeight="1">
      <c r="A88" s="7" t="s">
        <v>605</v>
      </c>
      <c r="B88" s="7"/>
      <c r="C88" s="14" t="s">
        <v>213</v>
      </c>
      <c r="D88" s="14" t="s">
        <v>344</v>
      </c>
      <c r="E88" s="7"/>
      <c r="F88" s="7">
        <v>6133.0</v>
      </c>
      <c r="G88" s="7">
        <v>6132.0</v>
      </c>
      <c r="H88" s="7" t="s">
        <v>215</v>
      </c>
      <c r="I88" s="7"/>
      <c r="J88" s="7"/>
      <c r="K88" s="8" t="s">
        <v>397</v>
      </c>
      <c r="L88" s="8" t="s">
        <v>55</v>
      </c>
      <c r="M88" s="12" t="s">
        <v>55</v>
      </c>
      <c r="N88" s="8" t="s">
        <v>55</v>
      </c>
      <c r="O88" s="8" t="s">
        <v>228</v>
      </c>
      <c r="P88" s="8" t="s">
        <v>229</v>
      </c>
      <c r="Q88" s="8" t="s">
        <v>240</v>
      </c>
      <c r="R88" s="8" t="s">
        <v>49</v>
      </c>
      <c r="S88" s="8" t="s">
        <v>49</v>
      </c>
      <c r="T88" s="8" t="s">
        <v>49</v>
      </c>
      <c r="U88" s="8" t="s">
        <v>49</v>
      </c>
      <c r="V88" s="8" t="s">
        <v>49</v>
      </c>
      <c r="W88" s="8" t="s">
        <v>49</v>
      </c>
      <c r="X88" s="8" t="s">
        <v>55</v>
      </c>
      <c r="Y88" s="8" t="s">
        <v>55</v>
      </c>
      <c r="Z88" s="8" t="s">
        <v>55</v>
      </c>
      <c r="AA88" s="8" t="s">
        <v>231</v>
      </c>
      <c r="AB88" s="8" t="s">
        <v>55</v>
      </c>
      <c r="AC88" s="8" t="s">
        <v>348</v>
      </c>
      <c r="AD88" s="8" t="s">
        <v>519</v>
      </c>
      <c r="AE88" s="8" t="s">
        <v>600</v>
      </c>
      <c r="AF88" s="8" t="s">
        <v>553</v>
      </c>
      <c r="AG88" s="8" t="s">
        <v>145</v>
      </c>
      <c r="AH88" s="8" t="s">
        <v>55</v>
      </c>
      <c r="AI88" s="8" t="s">
        <v>65</v>
      </c>
      <c r="AJ88" s="8" t="s">
        <v>49</v>
      </c>
      <c r="AK88" s="8" t="s">
        <v>55</v>
      </c>
      <c r="AL88" s="8" t="s">
        <v>464</v>
      </c>
      <c r="AM88" s="8"/>
      <c r="AN88" s="9" t="s">
        <v>606</v>
      </c>
      <c r="AO88" s="12" t="s">
        <v>224</v>
      </c>
      <c r="AP88" s="10" t="s">
        <v>603</v>
      </c>
      <c r="AQ88" s="11"/>
      <c r="AR88" s="11"/>
      <c r="AS88" s="12"/>
      <c r="AT88" s="11"/>
      <c r="AU88" s="11"/>
      <c r="AV88" s="13"/>
    </row>
    <row r="89" ht="16.5" hidden="1" customHeight="1">
      <c r="A89" s="7" t="s">
        <v>607</v>
      </c>
      <c r="B89" s="7" t="s">
        <v>49</v>
      </c>
      <c r="C89" s="7" t="s">
        <v>213</v>
      </c>
      <c r="D89" s="7" t="s">
        <v>376</v>
      </c>
      <c r="E89" s="7" t="s">
        <v>227</v>
      </c>
      <c r="F89" s="7">
        <v>6134.0</v>
      </c>
      <c r="G89" s="7"/>
      <c r="H89" s="7" t="s">
        <v>215</v>
      </c>
      <c r="I89" s="7"/>
      <c r="J89" s="7"/>
      <c r="K89" s="8" t="s">
        <v>54</v>
      </c>
      <c r="L89" s="8" t="s">
        <v>55</v>
      </c>
      <c r="M89" s="8"/>
      <c r="N89" s="8" t="s">
        <v>55</v>
      </c>
      <c r="O89" s="8" t="s">
        <v>228</v>
      </c>
      <c r="P89" s="8" t="s">
        <v>229</v>
      </c>
      <c r="Q89" s="8" t="s">
        <v>230</v>
      </c>
      <c r="R89" s="8" t="s">
        <v>49</v>
      </c>
      <c r="S89" s="8" t="s">
        <v>49</v>
      </c>
      <c r="T89" s="8" t="s">
        <v>49</v>
      </c>
      <c r="U89" s="8" t="s">
        <v>49</v>
      </c>
      <c r="V89" s="8" t="s">
        <v>49</v>
      </c>
      <c r="W89" s="8" t="s">
        <v>49</v>
      </c>
      <c r="X89" s="8" t="s">
        <v>49</v>
      </c>
      <c r="Y89" s="8" t="s">
        <v>49</v>
      </c>
      <c r="Z89" s="8" t="s">
        <v>49</v>
      </c>
      <c r="AA89" s="8" t="s">
        <v>231</v>
      </c>
      <c r="AB89" s="8" t="s">
        <v>55</v>
      </c>
      <c r="AC89" s="8" t="s">
        <v>348</v>
      </c>
      <c r="AD89" s="8" t="s">
        <v>608</v>
      </c>
      <c r="AE89" s="8" t="s">
        <v>609</v>
      </c>
      <c r="AF89" s="8" t="s">
        <v>481</v>
      </c>
      <c r="AG89" s="8" t="s">
        <v>145</v>
      </c>
      <c r="AH89" s="8" t="s">
        <v>55</v>
      </c>
      <c r="AI89" s="8" t="s">
        <v>463</v>
      </c>
      <c r="AJ89" s="8" t="s">
        <v>49</v>
      </c>
      <c r="AK89" s="8" t="s">
        <v>49</v>
      </c>
      <c r="AL89" s="8" t="s">
        <v>464</v>
      </c>
      <c r="AM89" s="8" t="s">
        <v>610</v>
      </c>
      <c r="AN89" s="9" t="s">
        <v>611</v>
      </c>
      <c r="AO89" s="12" t="s">
        <v>224</v>
      </c>
      <c r="AP89" s="10" t="s">
        <v>612</v>
      </c>
      <c r="AQ89" s="11"/>
      <c r="AR89" s="10" t="s">
        <v>613</v>
      </c>
      <c r="AS89" s="12"/>
      <c r="AT89" s="10" t="s">
        <v>614</v>
      </c>
      <c r="AU89" s="11"/>
      <c r="AV89" s="13"/>
    </row>
    <row r="90" ht="16.5" hidden="1" customHeight="1">
      <c r="A90" s="7" t="s">
        <v>615</v>
      </c>
      <c r="B90" s="14" t="s">
        <v>49</v>
      </c>
      <c r="C90" s="14" t="s">
        <v>213</v>
      </c>
      <c r="D90" s="14" t="s">
        <v>344</v>
      </c>
      <c r="E90" s="7"/>
      <c r="F90" s="7">
        <v>6135.0</v>
      </c>
      <c r="G90" s="7">
        <v>6134.0</v>
      </c>
      <c r="H90" s="7" t="s">
        <v>215</v>
      </c>
      <c r="I90" s="7"/>
      <c r="J90" s="7"/>
      <c r="K90" s="8" t="s">
        <v>54</v>
      </c>
      <c r="L90" s="8" t="s">
        <v>55</v>
      </c>
      <c r="M90" s="12" t="s">
        <v>55</v>
      </c>
      <c r="N90" s="8" t="s">
        <v>55</v>
      </c>
      <c r="O90" s="8" t="s">
        <v>228</v>
      </c>
      <c r="P90" s="8" t="s">
        <v>229</v>
      </c>
      <c r="Q90" s="8" t="s">
        <v>240</v>
      </c>
      <c r="R90" s="8" t="s">
        <v>49</v>
      </c>
      <c r="S90" s="8" t="s">
        <v>49</v>
      </c>
      <c r="T90" s="8" t="s">
        <v>49</v>
      </c>
      <c r="U90" s="8" t="s">
        <v>49</v>
      </c>
      <c r="V90" s="8" t="s">
        <v>49</v>
      </c>
      <c r="W90" s="8" t="s">
        <v>49</v>
      </c>
      <c r="X90" s="8" t="s">
        <v>55</v>
      </c>
      <c r="Y90" s="8" t="s">
        <v>55</v>
      </c>
      <c r="Z90" s="8" t="s">
        <v>55</v>
      </c>
      <c r="AA90" s="8" t="s">
        <v>231</v>
      </c>
      <c r="AB90" s="8" t="s">
        <v>55</v>
      </c>
      <c r="AC90" s="8" t="s">
        <v>348</v>
      </c>
      <c r="AD90" s="8" t="s">
        <v>608</v>
      </c>
      <c r="AE90" s="8" t="s">
        <v>609</v>
      </c>
      <c r="AF90" s="8" t="s">
        <v>488</v>
      </c>
      <c r="AG90" s="8" t="s">
        <v>145</v>
      </c>
      <c r="AH90" s="8" t="s">
        <v>55</v>
      </c>
      <c r="AI90" s="8" t="s">
        <v>490</v>
      </c>
      <c r="AJ90" s="8" t="s">
        <v>49</v>
      </c>
      <c r="AK90" s="8" t="s">
        <v>55</v>
      </c>
      <c r="AL90" s="8" t="s">
        <v>464</v>
      </c>
      <c r="AM90" s="8"/>
      <c r="AN90" s="9" t="s">
        <v>616</v>
      </c>
      <c r="AO90" s="12" t="s">
        <v>224</v>
      </c>
      <c r="AP90" s="10" t="s">
        <v>612</v>
      </c>
      <c r="AQ90" s="11"/>
      <c r="AR90" s="10" t="s">
        <v>613</v>
      </c>
      <c r="AS90" s="12"/>
      <c r="AT90" s="10" t="s">
        <v>614</v>
      </c>
      <c r="AU90" s="11"/>
      <c r="AV90" s="13"/>
    </row>
    <row r="91" ht="16.5" hidden="1" customHeight="1">
      <c r="A91" s="7" t="s">
        <v>617</v>
      </c>
      <c r="B91" s="14" t="s">
        <v>49</v>
      </c>
      <c r="C91" s="14" t="s">
        <v>213</v>
      </c>
      <c r="D91" s="14" t="s">
        <v>344</v>
      </c>
      <c r="E91" s="7"/>
      <c r="F91" s="7">
        <v>6136.0</v>
      </c>
      <c r="G91" s="7">
        <v>6134.0</v>
      </c>
      <c r="H91" s="7" t="s">
        <v>215</v>
      </c>
      <c r="I91" s="7"/>
      <c r="J91" s="7"/>
      <c r="K91" s="8" t="s">
        <v>54</v>
      </c>
      <c r="L91" s="8" t="s">
        <v>55</v>
      </c>
      <c r="M91" s="12" t="s">
        <v>55</v>
      </c>
      <c r="N91" s="8" t="s">
        <v>55</v>
      </c>
      <c r="O91" s="8" t="s">
        <v>228</v>
      </c>
      <c r="P91" s="8" t="s">
        <v>229</v>
      </c>
      <c r="Q91" s="8" t="s">
        <v>240</v>
      </c>
      <c r="R91" s="8" t="s">
        <v>49</v>
      </c>
      <c r="S91" s="8" t="s">
        <v>49</v>
      </c>
      <c r="T91" s="8" t="s">
        <v>49</v>
      </c>
      <c r="U91" s="8" t="s">
        <v>49</v>
      </c>
      <c r="V91" s="8" t="s">
        <v>49</v>
      </c>
      <c r="W91" s="8" t="s">
        <v>49</v>
      </c>
      <c r="X91" s="8" t="s">
        <v>55</v>
      </c>
      <c r="Y91" s="8" t="s">
        <v>55</v>
      </c>
      <c r="Z91" s="8" t="s">
        <v>55</v>
      </c>
      <c r="AA91" s="8" t="s">
        <v>231</v>
      </c>
      <c r="AB91" s="8" t="s">
        <v>55</v>
      </c>
      <c r="AC91" s="8" t="s">
        <v>348</v>
      </c>
      <c r="AD91" s="8" t="s">
        <v>608</v>
      </c>
      <c r="AE91" s="8" t="s">
        <v>609</v>
      </c>
      <c r="AF91" s="8" t="s">
        <v>488</v>
      </c>
      <c r="AG91" s="8" t="s">
        <v>145</v>
      </c>
      <c r="AH91" s="8" t="s">
        <v>55</v>
      </c>
      <c r="AI91" s="8" t="s">
        <v>65</v>
      </c>
      <c r="AJ91" s="8" t="s">
        <v>49</v>
      </c>
      <c r="AK91" s="8" t="s">
        <v>55</v>
      </c>
      <c r="AL91" s="8" t="s">
        <v>464</v>
      </c>
      <c r="AM91" s="8"/>
      <c r="AN91" s="9" t="s">
        <v>618</v>
      </c>
      <c r="AO91" s="12" t="s">
        <v>224</v>
      </c>
      <c r="AP91" s="10" t="s">
        <v>612</v>
      </c>
      <c r="AQ91" s="11"/>
      <c r="AR91" s="10" t="s">
        <v>613</v>
      </c>
      <c r="AS91" s="12"/>
      <c r="AT91" s="10" t="s">
        <v>614</v>
      </c>
      <c r="AU91" s="11"/>
      <c r="AV91" s="13"/>
    </row>
    <row r="92" ht="16.5" hidden="1" customHeight="1">
      <c r="A92" s="7" t="s">
        <v>619</v>
      </c>
      <c r="B92" s="7"/>
      <c r="C92" s="7" t="s">
        <v>213</v>
      </c>
      <c r="D92" s="14" t="s">
        <v>344</v>
      </c>
      <c r="E92" s="7" t="s">
        <v>227</v>
      </c>
      <c r="F92" s="7">
        <v>6138.0</v>
      </c>
      <c r="G92" s="7"/>
      <c r="H92" s="7" t="s">
        <v>215</v>
      </c>
      <c r="I92" s="7"/>
      <c r="J92" s="7"/>
      <c r="K92" s="8" t="s">
        <v>397</v>
      </c>
      <c r="L92" s="8" t="s">
        <v>55</v>
      </c>
      <c r="M92" s="12" t="s">
        <v>55</v>
      </c>
      <c r="N92" s="8" t="s">
        <v>55</v>
      </c>
      <c r="O92" s="8" t="s">
        <v>228</v>
      </c>
      <c r="P92" s="8" t="s">
        <v>229</v>
      </c>
      <c r="Q92" s="8" t="s">
        <v>240</v>
      </c>
      <c r="R92" s="8" t="s">
        <v>49</v>
      </c>
      <c r="S92" s="8" t="s">
        <v>49</v>
      </c>
      <c r="T92" s="8" t="s">
        <v>49</v>
      </c>
      <c r="U92" s="8" t="s">
        <v>49</v>
      </c>
      <c r="V92" s="8" t="s">
        <v>49</v>
      </c>
      <c r="W92" s="8" t="s">
        <v>49</v>
      </c>
      <c r="X92" s="8" t="s">
        <v>55</v>
      </c>
      <c r="Y92" s="8" t="s">
        <v>55</v>
      </c>
      <c r="Z92" s="8" t="s">
        <v>55</v>
      </c>
      <c r="AA92" s="8" t="s">
        <v>231</v>
      </c>
      <c r="AB92" s="8" t="s">
        <v>55</v>
      </c>
      <c r="AC92" s="8" t="s">
        <v>348</v>
      </c>
      <c r="AD92" s="8" t="s">
        <v>620</v>
      </c>
      <c r="AE92" s="8" t="s">
        <v>461</v>
      </c>
      <c r="AF92" s="8" t="s">
        <v>469</v>
      </c>
      <c r="AG92" s="8" t="s">
        <v>145</v>
      </c>
      <c r="AH92" s="8" t="s">
        <v>55</v>
      </c>
      <c r="AI92" s="8" t="s">
        <v>463</v>
      </c>
      <c r="AJ92" s="8" t="s">
        <v>49</v>
      </c>
      <c r="AK92" s="8" t="s">
        <v>55</v>
      </c>
      <c r="AL92" s="8" t="s">
        <v>464</v>
      </c>
      <c r="AM92" s="8" t="s">
        <v>621</v>
      </c>
      <c r="AN92" s="9" t="s">
        <v>622</v>
      </c>
      <c r="AO92" s="12" t="s">
        <v>224</v>
      </c>
      <c r="AP92" s="10" t="s">
        <v>623</v>
      </c>
      <c r="AQ92" s="11"/>
      <c r="AR92" s="11"/>
      <c r="AS92" s="12"/>
      <c r="AT92" s="11"/>
      <c r="AU92" s="11"/>
      <c r="AV92" s="13"/>
    </row>
    <row r="93" ht="16.5" hidden="1" customHeight="1">
      <c r="A93" s="7" t="s">
        <v>624</v>
      </c>
      <c r="B93" s="7"/>
      <c r="C93" s="14" t="s">
        <v>213</v>
      </c>
      <c r="D93" s="14" t="s">
        <v>344</v>
      </c>
      <c r="E93" s="7"/>
      <c r="F93" s="7">
        <v>6323.0</v>
      </c>
      <c r="G93" s="7">
        <v>6097.0</v>
      </c>
      <c r="H93" s="7" t="s">
        <v>215</v>
      </c>
      <c r="I93" s="7"/>
      <c r="J93" s="7"/>
      <c r="K93" s="8" t="s">
        <v>572</v>
      </c>
      <c r="L93" s="8" t="s">
        <v>55</v>
      </c>
      <c r="M93" s="12" t="s">
        <v>55</v>
      </c>
      <c r="N93" s="8" t="s">
        <v>55</v>
      </c>
      <c r="O93" s="8" t="s">
        <v>228</v>
      </c>
      <c r="P93" s="8" t="s">
        <v>229</v>
      </c>
      <c r="Q93" s="8" t="s">
        <v>245</v>
      </c>
      <c r="R93" s="8" t="s">
        <v>49</v>
      </c>
      <c r="S93" s="8" t="s">
        <v>49</v>
      </c>
      <c r="T93" s="8" t="s">
        <v>49</v>
      </c>
      <c r="U93" s="8" t="s">
        <v>49</v>
      </c>
      <c r="V93" s="8" t="s">
        <v>49</v>
      </c>
      <c r="W93" s="8" t="s">
        <v>49</v>
      </c>
      <c r="X93" s="8" t="s">
        <v>55</v>
      </c>
      <c r="Y93" s="8" t="s">
        <v>55</v>
      </c>
      <c r="Z93" s="8" t="s">
        <v>55</v>
      </c>
      <c r="AA93" s="8" t="s">
        <v>231</v>
      </c>
      <c r="AB93" s="8" t="s">
        <v>55</v>
      </c>
      <c r="AC93" s="8" t="s">
        <v>61</v>
      </c>
      <c r="AD93" s="8" t="s">
        <v>625</v>
      </c>
      <c r="AE93" s="8" t="s">
        <v>55</v>
      </c>
      <c r="AF93" s="8" t="s">
        <v>55</v>
      </c>
      <c r="AG93" s="8" t="s">
        <v>145</v>
      </c>
      <c r="AH93" s="8" t="s">
        <v>55</v>
      </c>
      <c r="AI93" s="8" t="s">
        <v>463</v>
      </c>
      <c r="AJ93" s="8" t="s">
        <v>49</v>
      </c>
      <c r="AK93" s="8" t="s">
        <v>55</v>
      </c>
      <c r="AL93" s="8" t="s">
        <v>464</v>
      </c>
      <c r="AM93" s="8"/>
      <c r="AN93" s="9" t="s">
        <v>626</v>
      </c>
      <c r="AO93" s="12" t="s">
        <v>224</v>
      </c>
      <c r="AP93" s="10" t="s">
        <v>474</v>
      </c>
      <c r="AQ93" s="11"/>
      <c r="AR93" s="11"/>
      <c r="AS93" s="12"/>
      <c r="AT93" s="11"/>
      <c r="AU93" s="11"/>
      <c r="AV93" s="13"/>
    </row>
    <row r="94" ht="16.5" hidden="1" customHeight="1">
      <c r="A94" s="7" t="s">
        <v>627</v>
      </c>
      <c r="B94" s="7"/>
      <c r="C94" s="14" t="s">
        <v>213</v>
      </c>
      <c r="D94" s="14" t="s">
        <v>344</v>
      </c>
      <c r="E94" s="7"/>
      <c r="F94" s="7">
        <v>6324.0</v>
      </c>
      <c r="G94" s="7">
        <v>6097.0</v>
      </c>
      <c r="H94" s="7" t="s">
        <v>215</v>
      </c>
      <c r="I94" s="7"/>
      <c r="J94" s="7"/>
      <c r="K94" s="8" t="s">
        <v>572</v>
      </c>
      <c r="L94" s="8" t="s">
        <v>55</v>
      </c>
      <c r="M94" s="12" t="s">
        <v>55</v>
      </c>
      <c r="N94" s="8" t="s">
        <v>55</v>
      </c>
      <c r="O94" s="8" t="s">
        <v>228</v>
      </c>
      <c r="P94" s="8" t="s">
        <v>229</v>
      </c>
      <c r="Q94" s="8" t="s">
        <v>245</v>
      </c>
      <c r="R94" s="8" t="s">
        <v>49</v>
      </c>
      <c r="S94" s="8" t="s">
        <v>49</v>
      </c>
      <c r="T94" s="8" t="s">
        <v>49</v>
      </c>
      <c r="U94" s="8" t="s">
        <v>49</v>
      </c>
      <c r="V94" s="8" t="s">
        <v>49</v>
      </c>
      <c r="W94" s="8" t="s">
        <v>49</v>
      </c>
      <c r="X94" s="8" t="s">
        <v>55</v>
      </c>
      <c r="Y94" s="8" t="s">
        <v>55</v>
      </c>
      <c r="Z94" s="8" t="s">
        <v>55</v>
      </c>
      <c r="AA94" s="8" t="s">
        <v>231</v>
      </c>
      <c r="AB94" s="8" t="s">
        <v>55</v>
      </c>
      <c r="AC94" s="8" t="s">
        <v>61</v>
      </c>
      <c r="AD94" s="8" t="s">
        <v>625</v>
      </c>
      <c r="AE94" s="8" t="s">
        <v>55</v>
      </c>
      <c r="AF94" s="8" t="s">
        <v>55</v>
      </c>
      <c r="AG94" s="8" t="s">
        <v>145</v>
      </c>
      <c r="AH94" s="8" t="s">
        <v>55</v>
      </c>
      <c r="AI94" s="8" t="s">
        <v>65</v>
      </c>
      <c r="AJ94" s="8" t="s">
        <v>49</v>
      </c>
      <c r="AK94" s="8" t="s">
        <v>55</v>
      </c>
      <c r="AL94" s="8" t="s">
        <v>464</v>
      </c>
      <c r="AM94" s="8"/>
      <c r="AN94" s="9" t="s">
        <v>628</v>
      </c>
      <c r="AO94" s="12" t="s">
        <v>224</v>
      </c>
      <c r="AP94" s="10" t="s">
        <v>474</v>
      </c>
      <c r="AQ94" s="11"/>
      <c r="AR94" s="11"/>
      <c r="AS94" s="12"/>
      <c r="AT94" s="11"/>
      <c r="AU94" s="11"/>
      <c r="AV94" s="13"/>
    </row>
    <row r="95" ht="16.5" hidden="1" customHeight="1">
      <c r="A95" s="7" t="s">
        <v>629</v>
      </c>
      <c r="B95" s="7"/>
      <c r="C95" s="14" t="s">
        <v>213</v>
      </c>
      <c r="D95" s="14" t="s">
        <v>344</v>
      </c>
      <c r="E95" s="7"/>
      <c r="F95" s="7">
        <v>6325.0</v>
      </c>
      <c r="G95" s="7">
        <v>6108.0</v>
      </c>
      <c r="H95" s="7" t="s">
        <v>215</v>
      </c>
      <c r="I95" s="7"/>
      <c r="J95" s="7"/>
      <c r="K95" s="8" t="s">
        <v>572</v>
      </c>
      <c r="L95" s="8" t="s">
        <v>55</v>
      </c>
      <c r="M95" s="12" t="s">
        <v>55</v>
      </c>
      <c r="N95" s="8" t="s">
        <v>55</v>
      </c>
      <c r="O95" s="8" t="s">
        <v>228</v>
      </c>
      <c r="P95" s="8" t="s">
        <v>229</v>
      </c>
      <c r="Q95" s="8" t="s">
        <v>245</v>
      </c>
      <c r="R95" s="8" t="s">
        <v>49</v>
      </c>
      <c r="S95" s="8" t="s">
        <v>49</v>
      </c>
      <c r="T95" s="8" t="s">
        <v>49</v>
      </c>
      <c r="U95" s="8" t="s">
        <v>49</v>
      </c>
      <c r="V95" s="8" t="s">
        <v>49</v>
      </c>
      <c r="W95" s="8" t="s">
        <v>49</v>
      </c>
      <c r="X95" s="8" t="s">
        <v>55</v>
      </c>
      <c r="Y95" s="8" t="s">
        <v>55</v>
      </c>
      <c r="Z95" s="8" t="s">
        <v>55</v>
      </c>
      <c r="AA95" s="8" t="s">
        <v>231</v>
      </c>
      <c r="AB95" s="8" t="s">
        <v>55</v>
      </c>
      <c r="AC95" s="8" t="s">
        <v>61</v>
      </c>
      <c r="AD95" s="8" t="s">
        <v>630</v>
      </c>
      <c r="AE95" s="8" t="s">
        <v>55</v>
      </c>
      <c r="AF95" s="8" t="s">
        <v>55</v>
      </c>
      <c r="AG95" s="8" t="s">
        <v>145</v>
      </c>
      <c r="AH95" s="8" t="s">
        <v>55</v>
      </c>
      <c r="AI95" s="8" t="s">
        <v>463</v>
      </c>
      <c r="AJ95" s="8" t="s">
        <v>49</v>
      </c>
      <c r="AK95" s="8" t="s">
        <v>55</v>
      </c>
      <c r="AL95" s="8" t="s">
        <v>464</v>
      </c>
      <c r="AM95" s="8"/>
      <c r="AN95" s="9" t="s">
        <v>631</v>
      </c>
      <c r="AO95" s="12" t="s">
        <v>224</v>
      </c>
      <c r="AP95" s="10" t="s">
        <v>527</v>
      </c>
      <c r="AQ95" s="11"/>
      <c r="AR95" s="11"/>
      <c r="AS95" s="12"/>
      <c r="AT95" s="11"/>
      <c r="AU95" s="11"/>
      <c r="AV95" s="13"/>
    </row>
    <row r="96" ht="16.5" hidden="1" customHeight="1">
      <c r="A96" s="7" t="s">
        <v>632</v>
      </c>
      <c r="B96" s="7" t="s">
        <v>49</v>
      </c>
      <c r="C96" s="7" t="s">
        <v>213</v>
      </c>
      <c r="D96" s="7" t="s">
        <v>376</v>
      </c>
      <c r="E96" s="7" t="s">
        <v>227</v>
      </c>
      <c r="F96" s="7">
        <v>6327.0</v>
      </c>
      <c r="G96" s="7"/>
      <c r="H96" s="7" t="s">
        <v>215</v>
      </c>
      <c r="I96" s="7"/>
      <c r="J96" s="7"/>
      <c r="K96" s="8" t="s">
        <v>633</v>
      </c>
      <c r="L96" s="8" t="s">
        <v>55</v>
      </c>
      <c r="M96" s="8"/>
      <c r="N96" s="8" t="s">
        <v>55</v>
      </c>
      <c r="O96" s="8" t="s">
        <v>228</v>
      </c>
      <c r="P96" s="8" t="s">
        <v>229</v>
      </c>
      <c r="Q96" s="8" t="s">
        <v>230</v>
      </c>
      <c r="R96" s="8" t="s">
        <v>49</v>
      </c>
      <c r="S96" s="8" t="s">
        <v>49</v>
      </c>
      <c r="T96" s="8" t="s">
        <v>49</v>
      </c>
      <c r="U96" s="8" t="s">
        <v>49</v>
      </c>
      <c r="V96" s="8" t="s">
        <v>49</v>
      </c>
      <c r="W96" s="8" t="s">
        <v>49</v>
      </c>
      <c r="X96" s="8" t="s">
        <v>49</v>
      </c>
      <c r="Y96" s="8" t="s">
        <v>49</v>
      </c>
      <c r="Z96" s="8" t="s">
        <v>49</v>
      </c>
      <c r="AA96" s="8" t="s">
        <v>231</v>
      </c>
      <c r="AB96" s="8" t="s">
        <v>55</v>
      </c>
      <c r="AC96" s="8" t="s">
        <v>348</v>
      </c>
      <c r="AD96" s="8" t="s">
        <v>634</v>
      </c>
      <c r="AE96" s="8" t="s">
        <v>635</v>
      </c>
      <c r="AF96" s="8" t="s">
        <v>636</v>
      </c>
      <c r="AG96" s="8" t="s">
        <v>145</v>
      </c>
      <c r="AH96" s="8" t="s">
        <v>55</v>
      </c>
      <c r="AI96" s="8" t="s">
        <v>463</v>
      </c>
      <c r="AJ96" s="8" t="s">
        <v>49</v>
      </c>
      <c r="AK96" s="8" t="s">
        <v>49</v>
      </c>
      <c r="AL96" s="8" t="s">
        <v>464</v>
      </c>
      <c r="AM96" s="8" t="s">
        <v>637</v>
      </c>
      <c r="AN96" s="9" t="s">
        <v>638</v>
      </c>
      <c r="AO96" s="12" t="s">
        <v>224</v>
      </c>
      <c r="AP96" s="10" t="s">
        <v>639</v>
      </c>
      <c r="AQ96" s="11"/>
      <c r="AR96" s="10" t="s">
        <v>640</v>
      </c>
      <c r="AS96" s="12"/>
      <c r="AT96" s="10" t="s">
        <v>641</v>
      </c>
      <c r="AU96" s="11"/>
      <c r="AV96" s="13"/>
    </row>
    <row r="97" ht="16.5" hidden="1" customHeight="1">
      <c r="A97" s="7" t="s">
        <v>642</v>
      </c>
      <c r="B97" s="7" t="s">
        <v>49</v>
      </c>
      <c r="C97" s="7" t="s">
        <v>213</v>
      </c>
      <c r="D97" s="14" t="s">
        <v>344</v>
      </c>
      <c r="E97" s="7" t="s">
        <v>227</v>
      </c>
      <c r="F97" s="7">
        <v>6327.0</v>
      </c>
      <c r="G97" s="7">
        <v>6327.0</v>
      </c>
      <c r="H97" s="7" t="s">
        <v>215</v>
      </c>
      <c r="I97" s="7"/>
      <c r="J97" s="7"/>
      <c r="K97" s="8" t="s">
        <v>633</v>
      </c>
      <c r="L97" s="8" t="s">
        <v>55</v>
      </c>
      <c r="M97" s="12" t="s">
        <v>55</v>
      </c>
      <c r="N97" s="8" t="s">
        <v>55</v>
      </c>
      <c r="O97" s="8" t="s">
        <v>228</v>
      </c>
      <c r="P97" s="8" t="s">
        <v>229</v>
      </c>
      <c r="Q97" s="8" t="s">
        <v>240</v>
      </c>
      <c r="R97" s="8" t="s">
        <v>49</v>
      </c>
      <c r="S97" s="8" t="s">
        <v>49</v>
      </c>
      <c r="T97" s="8" t="s">
        <v>49</v>
      </c>
      <c r="U97" s="8" t="s">
        <v>49</v>
      </c>
      <c r="V97" s="8" t="s">
        <v>49</v>
      </c>
      <c r="W97" s="8" t="s">
        <v>49</v>
      </c>
      <c r="X97" s="8" t="s">
        <v>55</v>
      </c>
      <c r="Y97" s="8" t="s">
        <v>55</v>
      </c>
      <c r="Z97" s="8" t="s">
        <v>55</v>
      </c>
      <c r="AA97" s="8" t="s">
        <v>231</v>
      </c>
      <c r="AB97" s="8" t="s">
        <v>55</v>
      </c>
      <c r="AC97" s="8" t="s">
        <v>348</v>
      </c>
      <c r="AD97" s="8" t="s">
        <v>634</v>
      </c>
      <c r="AE97" s="8" t="s">
        <v>635</v>
      </c>
      <c r="AF97" s="8" t="s">
        <v>643</v>
      </c>
      <c r="AG97" s="8" t="s">
        <v>145</v>
      </c>
      <c r="AH97" s="8" t="s">
        <v>55</v>
      </c>
      <c r="AI97" s="8" t="s">
        <v>463</v>
      </c>
      <c r="AJ97" s="8" t="s">
        <v>49</v>
      </c>
      <c r="AK97" s="8" t="s">
        <v>55</v>
      </c>
      <c r="AL97" s="8" t="s">
        <v>464</v>
      </c>
      <c r="AM97" s="8" t="s">
        <v>637</v>
      </c>
      <c r="AN97" s="9" t="s">
        <v>638</v>
      </c>
      <c r="AO97" s="12" t="s">
        <v>224</v>
      </c>
      <c r="AP97" s="10" t="s">
        <v>639</v>
      </c>
      <c r="AQ97" s="11"/>
      <c r="AR97" s="10" t="s">
        <v>640</v>
      </c>
      <c r="AS97" s="12"/>
      <c r="AT97" s="10" t="s">
        <v>641</v>
      </c>
      <c r="AU97" s="11"/>
      <c r="AV97" s="13"/>
    </row>
    <row r="98" ht="16.5" hidden="1" customHeight="1">
      <c r="A98" s="7" t="s">
        <v>644</v>
      </c>
      <c r="B98" s="14" t="s">
        <v>49</v>
      </c>
      <c r="C98" s="14" t="s">
        <v>213</v>
      </c>
      <c r="D98" s="14" t="s">
        <v>344</v>
      </c>
      <c r="E98" s="7"/>
      <c r="F98" s="7">
        <v>6328.0</v>
      </c>
      <c r="G98" s="7">
        <v>6327.0</v>
      </c>
      <c r="H98" s="7" t="s">
        <v>215</v>
      </c>
      <c r="I98" s="7"/>
      <c r="J98" s="7"/>
      <c r="K98" s="8" t="s">
        <v>633</v>
      </c>
      <c r="L98" s="8" t="s">
        <v>55</v>
      </c>
      <c r="M98" s="12" t="s">
        <v>55</v>
      </c>
      <c r="N98" s="8" t="s">
        <v>55</v>
      </c>
      <c r="O98" s="8" t="s">
        <v>228</v>
      </c>
      <c r="P98" s="8" t="s">
        <v>229</v>
      </c>
      <c r="Q98" s="8" t="s">
        <v>240</v>
      </c>
      <c r="R98" s="8" t="s">
        <v>49</v>
      </c>
      <c r="S98" s="8" t="s">
        <v>49</v>
      </c>
      <c r="T98" s="8" t="s">
        <v>49</v>
      </c>
      <c r="U98" s="8" t="s">
        <v>49</v>
      </c>
      <c r="V98" s="8" t="s">
        <v>49</v>
      </c>
      <c r="W98" s="8" t="s">
        <v>49</v>
      </c>
      <c r="X98" s="8" t="s">
        <v>55</v>
      </c>
      <c r="Y98" s="8" t="s">
        <v>55</v>
      </c>
      <c r="Z98" s="8" t="s">
        <v>55</v>
      </c>
      <c r="AA98" s="8" t="s">
        <v>231</v>
      </c>
      <c r="AB98" s="8" t="s">
        <v>55</v>
      </c>
      <c r="AC98" s="8" t="s">
        <v>348</v>
      </c>
      <c r="AD98" s="8" t="s">
        <v>634</v>
      </c>
      <c r="AE98" s="8" t="s">
        <v>635</v>
      </c>
      <c r="AF98" s="8" t="s">
        <v>643</v>
      </c>
      <c r="AG98" s="8" t="s">
        <v>145</v>
      </c>
      <c r="AH98" s="8" t="s">
        <v>55</v>
      </c>
      <c r="AI98" s="8" t="s">
        <v>65</v>
      </c>
      <c r="AJ98" s="8" t="s">
        <v>49</v>
      </c>
      <c r="AK98" s="8" t="s">
        <v>55</v>
      </c>
      <c r="AL98" s="8" t="s">
        <v>464</v>
      </c>
      <c r="AM98" s="8"/>
      <c r="AN98" s="9" t="s">
        <v>645</v>
      </c>
      <c r="AO98" s="12" t="s">
        <v>224</v>
      </c>
      <c r="AP98" s="10" t="s">
        <v>639</v>
      </c>
      <c r="AQ98" s="11"/>
      <c r="AR98" s="10" t="s">
        <v>640</v>
      </c>
      <c r="AS98" s="12"/>
      <c r="AT98" s="10" t="s">
        <v>641</v>
      </c>
      <c r="AU98" s="11"/>
      <c r="AV98" s="13"/>
    </row>
    <row r="99" ht="16.5" hidden="1" customHeight="1">
      <c r="A99" s="7" t="s">
        <v>646</v>
      </c>
      <c r="B99" s="7"/>
      <c r="C99" s="7" t="s">
        <v>213</v>
      </c>
      <c r="D99" s="14" t="s">
        <v>344</v>
      </c>
      <c r="E99" s="7" t="s">
        <v>227</v>
      </c>
      <c r="F99" s="7">
        <v>6329.0</v>
      </c>
      <c r="G99" s="7">
        <v>6329.0</v>
      </c>
      <c r="H99" s="7" t="s">
        <v>215</v>
      </c>
      <c r="I99" s="7"/>
      <c r="J99" s="7"/>
      <c r="K99" s="8" t="s">
        <v>397</v>
      </c>
      <c r="L99" s="8" t="s">
        <v>55</v>
      </c>
      <c r="M99" s="12" t="s">
        <v>55</v>
      </c>
      <c r="N99" s="8" t="s">
        <v>55</v>
      </c>
      <c r="O99" s="8" t="s">
        <v>228</v>
      </c>
      <c r="P99" s="8" t="s">
        <v>229</v>
      </c>
      <c r="Q99" s="8" t="s">
        <v>240</v>
      </c>
      <c r="R99" s="8" t="s">
        <v>49</v>
      </c>
      <c r="S99" s="8" t="s">
        <v>49</v>
      </c>
      <c r="T99" s="8" t="s">
        <v>49</v>
      </c>
      <c r="U99" s="8" t="s">
        <v>49</v>
      </c>
      <c r="V99" s="8" t="s">
        <v>49</v>
      </c>
      <c r="W99" s="8" t="s">
        <v>49</v>
      </c>
      <c r="X99" s="8" t="s">
        <v>55</v>
      </c>
      <c r="Y99" s="8" t="s">
        <v>55</v>
      </c>
      <c r="Z99" s="8" t="s">
        <v>55</v>
      </c>
      <c r="AA99" s="8" t="s">
        <v>231</v>
      </c>
      <c r="AB99" s="8" t="s">
        <v>55</v>
      </c>
      <c r="AC99" s="8" t="s">
        <v>647</v>
      </c>
      <c r="AD99" s="8" t="s">
        <v>648</v>
      </c>
      <c r="AE99" s="8" t="s">
        <v>600</v>
      </c>
      <c r="AF99" s="8" t="s">
        <v>649</v>
      </c>
      <c r="AG99" s="8" t="s">
        <v>145</v>
      </c>
      <c r="AH99" s="8" t="s">
        <v>55</v>
      </c>
      <c r="AI99" s="8" t="s">
        <v>463</v>
      </c>
      <c r="AJ99" s="8" t="s">
        <v>49</v>
      </c>
      <c r="AK99" s="8" t="s">
        <v>55</v>
      </c>
      <c r="AL99" s="8" t="s">
        <v>464</v>
      </c>
      <c r="AM99" s="8" t="s">
        <v>650</v>
      </c>
      <c r="AN99" s="9" t="s">
        <v>651</v>
      </c>
      <c r="AO99" s="12" t="s">
        <v>224</v>
      </c>
      <c r="AP99" s="10" t="s">
        <v>652</v>
      </c>
      <c r="AQ99" s="11"/>
      <c r="AR99" s="11"/>
      <c r="AS99" s="12"/>
      <c r="AT99" s="11"/>
      <c r="AU99" s="11"/>
      <c r="AV99" s="13"/>
    </row>
    <row r="100" ht="16.5" hidden="1" customHeight="1">
      <c r="A100" s="7" t="s">
        <v>653</v>
      </c>
      <c r="B100" s="7"/>
      <c r="C100" s="14" t="s">
        <v>213</v>
      </c>
      <c r="D100" s="14" t="s">
        <v>344</v>
      </c>
      <c r="E100" s="7"/>
      <c r="F100" s="7">
        <v>6330.0</v>
      </c>
      <c r="G100" s="7">
        <v>6329.0</v>
      </c>
      <c r="H100" s="7" t="s">
        <v>215</v>
      </c>
      <c r="I100" s="7"/>
      <c r="J100" s="7"/>
      <c r="K100" s="8" t="s">
        <v>397</v>
      </c>
      <c r="L100" s="8" t="s">
        <v>55</v>
      </c>
      <c r="M100" s="12" t="s">
        <v>55</v>
      </c>
      <c r="N100" s="8" t="s">
        <v>55</v>
      </c>
      <c r="O100" s="8" t="s">
        <v>228</v>
      </c>
      <c r="P100" s="8" t="s">
        <v>229</v>
      </c>
      <c r="Q100" s="8" t="s">
        <v>240</v>
      </c>
      <c r="R100" s="8" t="s">
        <v>49</v>
      </c>
      <c r="S100" s="8" t="s">
        <v>49</v>
      </c>
      <c r="T100" s="8" t="s">
        <v>49</v>
      </c>
      <c r="U100" s="8" t="s">
        <v>49</v>
      </c>
      <c r="V100" s="8" t="s">
        <v>49</v>
      </c>
      <c r="W100" s="8" t="s">
        <v>49</v>
      </c>
      <c r="X100" s="8" t="s">
        <v>55</v>
      </c>
      <c r="Y100" s="8" t="s">
        <v>55</v>
      </c>
      <c r="Z100" s="8" t="s">
        <v>55</v>
      </c>
      <c r="AA100" s="8" t="s">
        <v>231</v>
      </c>
      <c r="AB100" s="8" t="s">
        <v>55</v>
      </c>
      <c r="AC100" s="8" t="s">
        <v>647</v>
      </c>
      <c r="AD100" s="8" t="s">
        <v>648</v>
      </c>
      <c r="AE100" s="8" t="s">
        <v>600</v>
      </c>
      <c r="AF100" s="8" t="s">
        <v>649</v>
      </c>
      <c r="AG100" s="8" t="s">
        <v>145</v>
      </c>
      <c r="AH100" s="8" t="s">
        <v>55</v>
      </c>
      <c r="AI100" s="8" t="s">
        <v>65</v>
      </c>
      <c r="AJ100" s="8" t="s">
        <v>49</v>
      </c>
      <c r="AK100" s="8" t="s">
        <v>55</v>
      </c>
      <c r="AL100" s="8" t="s">
        <v>464</v>
      </c>
      <c r="AM100" s="8"/>
      <c r="AN100" s="9" t="s">
        <v>654</v>
      </c>
      <c r="AO100" s="12" t="s">
        <v>224</v>
      </c>
      <c r="AP100" s="10" t="s">
        <v>652</v>
      </c>
      <c r="AQ100" s="11"/>
      <c r="AR100" s="11"/>
      <c r="AS100" s="12"/>
      <c r="AT100" s="11"/>
      <c r="AU100" s="11"/>
      <c r="AV100" s="13"/>
    </row>
    <row r="101" ht="16.5" hidden="1" customHeight="1">
      <c r="A101" s="7" t="s">
        <v>655</v>
      </c>
      <c r="B101" s="7"/>
      <c r="C101" s="7" t="s">
        <v>213</v>
      </c>
      <c r="D101" s="7" t="s">
        <v>376</v>
      </c>
      <c r="E101" s="7" t="s">
        <v>227</v>
      </c>
      <c r="F101" s="7">
        <v>6331.0</v>
      </c>
      <c r="G101" s="7"/>
      <c r="H101" s="7" t="s">
        <v>215</v>
      </c>
      <c r="I101" s="7"/>
      <c r="J101" s="7"/>
      <c r="K101" s="8" t="s">
        <v>397</v>
      </c>
      <c r="L101" s="8" t="s">
        <v>55</v>
      </c>
      <c r="M101" s="8"/>
      <c r="N101" s="8" t="s">
        <v>49</v>
      </c>
      <c r="O101" s="8" t="s">
        <v>228</v>
      </c>
      <c r="P101" s="8" t="s">
        <v>229</v>
      </c>
      <c r="Q101" s="8" t="s">
        <v>230</v>
      </c>
      <c r="R101" s="8" t="s">
        <v>49</v>
      </c>
      <c r="S101" s="8" t="s">
        <v>49</v>
      </c>
      <c r="T101" s="8" t="s">
        <v>49</v>
      </c>
      <c r="U101" s="8" t="s">
        <v>49</v>
      </c>
      <c r="V101" s="8" t="s">
        <v>49</v>
      </c>
      <c r="W101" s="8" t="s">
        <v>49</v>
      </c>
      <c r="X101" s="8" t="s">
        <v>49</v>
      </c>
      <c r="Y101" s="8" t="s">
        <v>49</v>
      </c>
      <c r="Z101" s="8" t="s">
        <v>49</v>
      </c>
      <c r="AA101" s="8" t="s">
        <v>231</v>
      </c>
      <c r="AB101" s="8" t="s">
        <v>55</v>
      </c>
      <c r="AC101" s="8" t="s">
        <v>647</v>
      </c>
      <c r="AD101" s="8" t="s">
        <v>656</v>
      </c>
      <c r="AE101" s="8" t="s">
        <v>600</v>
      </c>
      <c r="AF101" s="8" t="s">
        <v>649</v>
      </c>
      <c r="AG101" s="8" t="s">
        <v>145</v>
      </c>
      <c r="AH101" s="8" t="s">
        <v>55</v>
      </c>
      <c r="AI101" s="8" t="s">
        <v>463</v>
      </c>
      <c r="AJ101" s="8" t="s">
        <v>49</v>
      </c>
      <c r="AK101" s="8" t="s">
        <v>49</v>
      </c>
      <c r="AL101" s="8" t="s">
        <v>464</v>
      </c>
      <c r="AM101" s="8" t="s">
        <v>657</v>
      </c>
      <c r="AN101" s="9" t="s">
        <v>658</v>
      </c>
      <c r="AO101" s="12" t="s">
        <v>224</v>
      </c>
      <c r="AP101" s="10" t="s">
        <v>659</v>
      </c>
      <c r="AQ101" s="11"/>
      <c r="AR101" s="11"/>
      <c r="AS101" s="12"/>
      <c r="AT101" s="11"/>
      <c r="AU101" s="11"/>
      <c r="AV101" s="13"/>
    </row>
    <row r="102" ht="16.5" hidden="1" customHeight="1">
      <c r="A102" s="7" t="s">
        <v>660</v>
      </c>
      <c r="B102" s="7"/>
      <c r="C102" s="7" t="s">
        <v>213</v>
      </c>
      <c r="D102" s="14" t="s">
        <v>344</v>
      </c>
      <c r="E102" s="7" t="s">
        <v>227</v>
      </c>
      <c r="F102" s="7">
        <v>6331.0</v>
      </c>
      <c r="G102" s="7">
        <v>6331.0</v>
      </c>
      <c r="H102" s="7" t="s">
        <v>215</v>
      </c>
      <c r="I102" s="7"/>
      <c r="J102" s="7"/>
      <c r="K102" s="8" t="s">
        <v>397</v>
      </c>
      <c r="L102" s="8" t="s">
        <v>55</v>
      </c>
      <c r="M102" s="12" t="s">
        <v>55</v>
      </c>
      <c r="N102" s="8" t="s">
        <v>55</v>
      </c>
      <c r="O102" s="8" t="s">
        <v>228</v>
      </c>
      <c r="P102" s="8" t="s">
        <v>229</v>
      </c>
      <c r="Q102" s="8" t="s">
        <v>240</v>
      </c>
      <c r="R102" s="8" t="s">
        <v>49</v>
      </c>
      <c r="S102" s="8" t="s">
        <v>49</v>
      </c>
      <c r="T102" s="8" t="s">
        <v>49</v>
      </c>
      <c r="U102" s="8" t="s">
        <v>49</v>
      </c>
      <c r="V102" s="8" t="s">
        <v>49</v>
      </c>
      <c r="W102" s="8" t="s">
        <v>49</v>
      </c>
      <c r="X102" s="8" t="s">
        <v>55</v>
      </c>
      <c r="Y102" s="8" t="s">
        <v>55</v>
      </c>
      <c r="Z102" s="8" t="s">
        <v>55</v>
      </c>
      <c r="AA102" s="8" t="s">
        <v>231</v>
      </c>
      <c r="AB102" s="8" t="s">
        <v>55</v>
      </c>
      <c r="AC102" s="8" t="s">
        <v>647</v>
      </c>
      <c r="AD102" s="8" t="s">
        <v>656</v>
      </c>
      <c r="AE102" s="8" t="s">
        <v>600</v>
      </c>
      <c r="AF102" s="8" t="s">
        <v>649</v>
      </c>
      <c r="AG102" s="8" t="s">
        <v>145</v>
      </c>
      <c r="AH102" s="8" t="s">
        <v>55</v>
      </c>
      <c r="AI102" s="8" t="s">
        <v>463</v>
      </c>
      <c r="AJ102" s="8" t="s">
        <v>49</v>
      </c>
      <c r="AK102" s="8" t="s">
        <v>55</v>
      </c>
      <c r="AL102" s="8" t="s">
        <v>464</v>
      </c>
      <c r="AM102" s="8" t="s">
        <v>657</v>
      </c>
      <c r="AN102" s="9" t="s">
        <v>658</v>
      </c>
      <c r="AO102" s="12" t="s">
        <v>224</v>
      </c>
      <c r="AP102" s="10" t="s">
        <v>659</v>
      </c>
      <c r="AQ102" s="11"/>
      <c r="AR102" s="11"/>
      <c r="AS102" s="12"/>
      <c r="AT102" s="11"/>
      <c r="AU102" s="11"/>
      <c r="AV102" s="13"/>
    </row>
    <row r="103" ht="16.5" hidden="1" customHeight="1">
      <c r="A103" s="7" t="s">
        <v>661</v>
      </c>
      <c r="B103" s="7"/>
      <c r="C103" s="14" t="s">
        <v>213</v>
      </c>
      <c r="D103" s="14" t="s">
        <v>344</v>
      </c>
      <c r="E103" s="7"/>
      <c r="F103" s="7">
        <v>6332.0</v>
      </c>
      <c r="G103" s="7">
        <v>6331.0</v>
      </c>
      <c r="H103" s="7" t="s">
        <v>215</v>
      </c>
      <c r="I103" s="7"/>
      <c r="J103" s="7"/>
      <c r="K103" s="8" t="s">
        <v>397</v>
      </c>
      <c r="L103" s="8" t="s">
        <v>55</v>
      </c>
      <c r="M103" s="12" t="s">
        <v>55</v>
      </c>
      <c r="N103" s="8" t="s">
        <v>55</v>
      </c>
      <c r="O103" s="8" t="s">
        <v>228</v>
      </c>
      <c r="P103" s="8" t="s">
        <v>229</v>
      </c>
      <c r="Q103" s="8" t="s">
        <v>240</v>
      </c>
      <c r="R103" s="8" t="s">
        <v>49</v>
      </c>
      <c r="S103" s="8" t="s">
        <v>49</v>
      </c>
      <c r="T103" s="8" t="s">
        <v>49</v>
      </c>
      <c r="U103" s="8" t="s">
        <v>49</v>
      </c>
      <c r="V103" s="8" t="s">
        <v>49</v>
      </c>
      <c r="W103" s="8" t="s">
        <v>49</v>
      </c>
      <c r="X103" s="8" t="s">
        <v>55</v>
      </c>
      <c r="Y103" s="8" t="s">
        <v>55</v>
      </c>
      <c r="Z103" s="8" t="s">
        <v>55</v>
      </c>
      <c r="AA103" s="8" t="s">
        <v>231</v>
      </c>
      <c r="AB103" s="8" t="s">
        <v>55</v>
      </c>
      <c r="AC103" s="8" t="s">
        <v>647</v>
      </c>
      <c r="AD103" s="8" t="s">
        <v>656</v>
      </c>
      <c r="AE103" s="8" t="s">
        <v>600</v>
      </c>
      <c r="AF103" s="8" t="s">
        <v>649</v>
      </c>
      <c r="AG103" s="8" t="s">
        <v>145</v>
      </c>
      <c r="AH103" s="8" t="s">
        <v>55</v>
      </c>
      <c r="AI103" s="8" t="s">
        <v>65</v>
      </c>
      <c r="AJ103" s="8" t="s">
        <v>49</v>
      </c>
      <c r="AK103" s="8" t="s">
        <v>55</v>
      </c>
      <c r="AL103" s="8" t="s">
        <v>464</v>
      </c>
      <c r="AM103" s="8"/>
      <c r="AN103" s="9" t="s">
        <v>662</v>
      </c>
      <c r="AO103" s="12" t="s">
        <v>224</v>
      </c>
      <c r="AP103" s="10" t="s">
        <v>659</v>
      </c>
      <c r="AQ103" s="11"/>
      <c r="AR103" s="11"/>
      <c r="AS103" s="12"/>
      <c r="AT103" s="11"/>
      <c r="AU103" s="11"/>
      <c r="AV103" s="13"/>
    </row>
    <row r="104" ht="16.5" hidden="1" customHeight="1">
      <c r="A104" s="7" t="s">
        <v>663</v>
      </c>
      <c r="B104" s="14" t="s">
        <v>49</v>
      </c>
      <c r="C104" s="14" t="s">
        <v>50</v>
      </c>
      <c r="D104" s="14" t="s">
        <v>51</v>
      </c>
      <c r="E104" s="7"/>
      <c r="F104" s="7">
        <v>6383.0</v>
      </c>
      <c r="G104" s="7">
        <v>4179.0</v>
      </c>
      <c r="H104" s="7" t="s">
        <v>53</v>
      </c>
      <c r="I104" s="7"/>
      <c r="J104" s="7"/>
      <c r="K104" s="8" t="s">
        <v>84</v>
      </c>
      <c r="L104" s="8" t="s">
        <v>49</v>
      </c>
      <c r="M104" s="8"/>
      <c r="N104" s="8" t="s">
        <v>85</v>
      </c>
      <c r="O104" s="8" t="s">
        <v>56</v>
      </c>
      <c r="P104" s="8" t="s">
        <v>57</v>
      </c>
      <c r="Q104" s="8" t="s">
        <v>140</v>
      </c>
      <c r="R104" s="8">
        <v>0.48</v>
      </c>
      <c r="S104" s="8" t="s">
        <v>49</v>
      </c>
      <c r="T104" s="8" t="s">
        <v>49</v>
      </c>
      <c r="U104" s="8" t="s">
        <v>288</v>
      </c>
      <c r="V104" s="8" t="s">
        <v>289</v>
      </c>
      <c r="W104" s="8" t="s">
        <v>89</v>
      </c>
      <c r="X104" s="8" t="s">
        <v>108</v>
      </c>
      <c r="Y104" s="8" t="s">
        <v>109</v>
      </c>
      <c r="Z104" s="8" t="s">
        <v>92</v>
      </c>
      <c r="AA104" s="8" t="s">
        <v>59</v>
      </c>
      <c r="AB104" s="8" t="s">
        <v>60</v>
      </c>
      <c r="AC104" s="8" t="s">
        <v>61</v>
      </c>
      <c r="AD104" s="8" t="s">
        <v>290</v>
      </c>
      <c r="AE104" s="8" t="s">
        <v>55</v>
      </c>
      <c r="AF104" s="8" t="s">
        <v>55</v>
      </c>
      <c r="AG104" s="8" t="s">
        <v>63</v>
      </c>
      <c r="AH104" s="8" t="s">
        <v>111</v>
      </c>
      <c r="AI104" s="8" t="s">
        <v>112</v>
      </c>
      <c r="AJ104" s="8" t="s">
        <v>49</v>
      </c>
      <c r="AK104" s="8" t="s">
        <v>95</v>
      </c>
      <c r="AL104" s="8" t="s">
        <v>66</v>
      </c>
      <c r="AM104" s="8" t="s">
        <v>113</v>
      </c>
      <c r="AN104" s="9" t="s">
        <v>664</v>
      </c>
      <c r="AO104" s="9" t="s">
        <v>665</v>
      </c>
      <c r="AP104" s="10" t="s">
        <v>116</v>
      </c>
      <c r="AQ104" s="10" t="s">
        <v>293</v>
      </c>
      <c r="AR104" s="10" t="s">
        <v>294</v>
      </c>
      <c r="AS104" s="12"/>
      <c r="AT104" s="10" t="s">
        <v>295</v>
      </c>
      <c r="AU104" s="10" t="s">
        <v>296</v>
      </c>
      <c r="AV104" s="13"/>
    </row>
    <row r="105" ht="16.5" hidden="1" customHeight="1">
      <c r="A105" s="7" t="s">
        <v>666</v>
      </c>
      <c r="B105" s="7"/>
      <c r="C105" s="14" t="s">
        <v>213</v>
      </c>
      <c r="D105" s="14" t="s">
        <v>344</v>
      </c>
      <c r="E105" s="7"/>
      <c r="F105" s="7">
        <v>6427.0</v>
      </c>
      <c r="G105" s="7">
        <v>6118.0</v>
      </c>
      <c r="H105" s="7" t="s">
        <v>215</v>
      </c>
      <c r="I105" s="7"/>
      <c r="J105" s="7"/>
      <c r="K105" s="8" t="s">
        <v>667</v>
      </c>
      <c r="L105" s="8" t="s">
        <v>55</v>
      </c>
      <c r="M105" s="12" t="s">
        <v>55</v>
      </c>
      <c r="N105" s="8" t="s">
        <v>55</v>
      </c>
      <c r="O105" s="8" t="s">
        <v>228</v>
      </c>
      <c r="P105" s="8" t="s">
        <v>229</v>
      </c>
      <c r="Q105" s="8" t="s">
        <v>256</v>
      </c>
      <c r="R105" s="8" t="s">
        <v>49</v>
      </c>
      <c r="S105" s="8" t="s">
        <v>49</v>
      </c>
      <c r="T105" s="8" t="s">
        <v>49</v>
      </c>
      <c r="U105" s="8" t="s">
        <v>49</v>
      </c>
      <c r="V105" s="8" t="s">
        <v>49</v>
      </c>
      <c r="W105" s="8" t="s">
        <v>49</v>
      </c>
      <c r="X105" s="8" t="s">
        <v>55</v>
      </c>
      <c r="Y105" s="8" t="s">
        <v>55</v>
      </c>
      <c r="Z105" s="8" t="s">
        <v>55</v>
      </c>
      <c r="AA105" s="8" t="s">
        <v>231</v>
      </c>
      <c r="AB105" s="8" t="s">
        <v>55</v>
      </c>
      <c r="AC105" s="8" t="s">
        <v>348</v>
      </c>
      <c r="AD105" s="8" t="s">
        <v>668</v>
      </c>
      <c r="AE105" s="8" t="s">
        <v>669</v>
      </c>
      <c r="AF105" s="8" t="s">
        <v>566</v>
      </c>
      <c r="AG105" s="8" t="s">
        <v>145</v>
      </c>
      <c r="AH105" s="8" t="s">
        <v>55</v>
      </c>
      <c r="AI105" s="8" t="s">
        <v>463</v>
      </c>
      <c r="AJ105" s="8" t="s">
        <v>49</v>
      </c>
      <c r="AK105" s="8" t="s">
        <v>55</v>
      </c>
      <c r="AL105" s="8" t="s">
        <v>464</v>
      </c>
      <c r="AM105" s="8"/>
      <c r="AN105" s="9" t="s">
        <v>670</v>
      </c>
      <c r="AO105" s="12" t="s">
        <v>224</v>
      </c>
      <c r="AP105" s="10" t="s">
        <v>562</v>
      </c>
      <c r="AQ105" s="11"/>
      <c r="AR105" s="11"/>
      <c r="AS105" s="12"/>
      <c r="AT105" s="11"/>
      <c r="AU105" s="11"/>
      <c r="AV105" s="13"/>
    </row>
    <row r="106" ht="16.5" hidden="1" customHeight="1">
      <c r="A106" s="7" t="s">
        <v>671</v>
      </c>
      <c r="B106" s="7"/>
      <c r="C106" s="14" t="s">
        <v>213</v>
      </c>
      <c r="D106" s="14" t="s">
        <v>344</v>
      </c>
      <c r="E106" s="7"/>
      <c r="F106" s="7">
        <v>6428.0</v>
      </c>
      <c r="G106" s="7">
        <v>6118.0</v>
      </c>
      <c r="H106" s="7" t="s">
        <v>215</v>
      </c>
      <c r="I106" s="7"/>
      <c r="J106" s="7"/>
      <c r="K106" s="8" t="s">
        <v>667</v>
      </c>
      <c r="L106" s="8" t="s">
        <v>55</v>
      </c>
      <c r="M106" s="12" t="s">
        <v>55</v>
      </c>
      <c r="N106" s="8" t="s">
        <v>55</v>
      </c>
      <c r="O106" s="8" t="s">
        <v>228</v>
      </c>
      <c r="P106" s="8" t="s">
        <v>229</v>
      </c>
      <c r="Q106" s="8" t="s">
        <v>256</v>
      </c>
      <c r="R106" s="8" t="s">
        <v>49</v>
      </c>
      <c r="S106" s="8" t="s">
        <v>49</v>
      </c>
      <c r="T106" s="8" t="s">
        <v>49</v>
      </c>
      <c r="U106" s="8" t="s">
        <v>49</v>
      </c>
      <c r="V106" s="8" t="s">
        <v>49</v>
      </c>
      <c r="W106" s="8" t="s">
        <v>49</v>
      </c>
      <c r="X106" s="8" t="s">
        <v>55</v>
      </c>
      <c r="Y106" s="8" t="s">
        <v>55</v>
      </c>
      <c r="Z106" s="8" t="s">
        <v>55</v>
      </c>
      <c r="AA106" s="8" t="s">
        <v>231</v>
      </c>
      <c r="AB106" s="8" t="s">
        <v>55</v>
      </c>
      <c r="AC106" s="8" t="s">
        <v>348</v>
      </c>
      <c r="AD106" s="8" t="s">
        <v>668</v>
      </c>
      <c r="AE106" s="8" t="s">
        <v>669</v>
      </c>
      <c r="AF106" s="8" t="s">
        <v>566</v>
      </c>
      <c r="AG106" s="8" t="s">
        <v>145</v>
      </c>
      <c r="AH106" s="8" t="s">
        <v>55</v>
      </c>
      <c r="AI106" s="8" t="s">
        <v>65</v>
      </c>
      <c r="AJ106" s="8" t="s">
        <v>49</v>
      </c>
      <c r="AK106" s="8" t="s">
        <v>55</v>
      </c>
      <c r="AL106" s="8" t="s">
        <v>464</v>
      </c>
      <c r="AM106" s="8"/>
      <c r="AN106" s="9" t="s">
        <v>672</v>
      </c>
      <c r="AO106" s="12" t="s">
        <v>224</v>
      </c>
      <c r="AP106" s="10" t="s">
        <v>562</v>
      </c>
      <c r="AQ106" s="11"/>
      <c r="AR106" s="11"/>
      <c r="AS106" s="12"/>
      <c r="AT106" s="11"/>
      <c r="AU106" s="11"/>
      <c r="AV106" s="13"/>
    </row>
    <row r="107" ht="16.5" hidden="1" customHeight="1">
      <c r="A107" s="7" t="s">
        <v>673</v>
      </c>
      <c r="B107" s="14" t="s">
        <v>49</v>
      </c>
      <c r="C107" s="14" t="s">
        <v>213</v>
      </c>
      <c r="D107" s="14" t="s">
        <v>344</v>
      </c>
      <c r="E107" s="7"/>
      <c r="F107" s="7">
        <v>6431.0</v>
      </c>
      <c r="G107" s="7">
        <v>6327.0</v>
      </c>
      <c r="H107" s="7" t="s">
        <v>215</v>
      </c>
      <c r="I107" s="7"/>
      <c r="J107" s="7"/>
      <c r="K107" s="8" t="s">
        <v>633</v>
      </c>
      <c r="L107" s="8" t="s">
        <v>55</v>
      </c>
      <c r="M107" s="12" t="s">
        <v>55</v>
      </c>
      <c r="N107" s="8" t="s">
        <v>55</v>
      </c>
      <c r="O107" s="8" t="s">
        <v>228</v>
      </c>
      <c r="P107" s="8" t="s">
        <v>229</v>
      </c>
      <c r="Q107" s="8" t="s">
        <v>240</v>
      </c>
      <c r="R107" s="8" t="s">
        <v>49</v>
      </c>
      <c r="S107" s="8" t="s">
        <v>49</v>
      </c>
      <c r="T107" s="8" t="s">
        <v>49</v>
      </c>
      <c r="U107" s="8" t="s">
        <v>49</v>
      </c>
      <c r="V107" s="8" t="s">
        <v>49</v>
      </c>
      <c r="W107" s="8" t="s">
        <v>49</v>
      </c>
      <c r="X107" s="8" t="s">
        <v>55</v>
      </c>
      <c r="Y107" s="8" t="s">
        <v>55</v>
      </c>
      <c r="Z107" s="8" t="s">
        <v>55</v>
      </c>
      <c r="AA107" s="8" t="s">
        <v>231</v>
      </c>
      <c r="AB107" s="8" t="s">
        <v>55</v>
      </c>
      <c r="AC107" s="8" t="s">
        <v>348</v>
      </c>
      <c r="AD107" s="8" t="s">
        <v>634</v>
      </c>
      <c r="AE107" s="8" t="s">
        <v>635</v>
      </c>
      <c r="AF107" s="8" t="s">
        <v>643</v>
      </c>
      <c r="AG107" s="8" t="s">
        <v>145</v>
      </c>
      <c r="AH107" s="8" t="s">
        <v>55</v>
      </c>
      <c r="AI107" s="8" t="s">
        <v>490</v>
      </c>
      <c r="AJ107" s="8" t="s">
        <v>49</v>
      </c>
      <c r="AK107" s="8" t="s">
        <v>55</v>
      </c>
      <c r="AL107" s="8" t="s">
        <v>464</v>
      </c>
      <c r="AM107" s="8"/>
      <c r="AN107" s="9" t="s">
        <v>674</v>
      </c>
      <c r="AO107" s="12" t="s">
        <v>224</v>
      </c>
      <c r="AP107" s="10" t="s">
        <v>639</v>
      </c>
      <c r="AQ107" s="11"/>
      <c r="AR107" s="10" t="s">
        <v>640</v>
      </c>
      <c r="AS107" s="12"/>
      <c r="AT107" s="10" t="s">
        <v>641</v>
      </c>
      <c r="AU107" s="11"/>
      <c r="AV107" s="13"/>
    </row>
    <row r="108" ht="16.5" hidden="1" customHeight="1">
      <c r="A108" s="7" t="s">
        <v>675</v>
      </c>
      <c r="B108" s="7"/>
      <c r="C108" s="7" t="s">
        <v>213</v>
      </c>
      <c r="D108" s="7" t="s">
        <v>376</v>
      </c>
      <c r="E108" s="7" t="s">
        <v>227</v>
      </c>
      <c r="F108" s="7">
        <v>6432.0</v>
      </c>
      <c r="G108" s="7"/>
      <c r="H108" s="7" t="s">
        <v>215</v>
      </c>
      <c r="I108" s="7"/>
      <c r="J108" s="7"/>
      <c r="K108" s="8" t="s">
        <v>397</v>
      </c>
      <c r="L108" s="8" t="s">
        <v>55</v>
      </c>
      <c r="M108" s="8"/>
      <c r="N108" s="8" t="s">
        <v>49</v>
      </c>
      <c r="O108" s="8" t="s">
        <v>228</v>
      </c>
      <c r="P108" s="8" t="s">
        <v>229</v>
      </c>
      <c r="Q108" s="8" t="s">
        <v>230</v>
      </c>
      <c r="R108" s="8" t="s">
        <v>49</v>
      </c>
      <c r="S108" s="8" t="s">
        <v>49</v>
      </c>
      <c r="T108" s="8" t="s">
        <v>49</v>
      </c>
      <c r="U108" s="8" t="s">
        <v>49</v>
      </c>
      <c r="V108" s="8" t="s">
        <v>49</v>
      </c>
      <c r="W108" s="8" t="s">
        <v>49</v>
      </c>
      <c r="X108" s="8" t="s">
        <v>49</v>
      </c>
      <c r="Y108" s="8" t="s">
        <v>49</v>
      </c>
      <c r="Z108" s="8" t="s">
        <v>49</v>
      </c>
      <c r="AA108" s="8" t="s">
        <v>231</v>
      </c>
      <c r="AB108" s="8" t="s">
        <v>55</v>
      </c>
      <c r="AC108" s="8" t="s">
        <v>348</v>
      </c>
      <c r="AD108" s="8" t="s">
        <v>676</v>
      </c>
      <c r="AE108" s="8" t="s">
        <v>399</v>
      </c>
      <c r="AF108" s="8" t="s">
        <v>677</v>
      </c>
      <c r="AG108" s="8" t="s">
        <v>145</v>
      </c>
      <c r="AH108" s="8" t="s">
        <v>55</v>
      </c>
      <c r="AI108" s="8" t="s">
        <v>463</v>
      </c>
      <c r="AJ108" s="8" t="s">
        <v>49</v>
      </c>
      <c r="AK108" s="8" t="s">
        <v>49</v>
      </c>
      <c r="AL108" s="8" t="s">
        <v>464</v>
      </c>
      <c r="AM108" s="8" t="s">
        <v>678</v>
      </c>
      <c r="AN108" s="9" t="s">
        <v>679</v>
      </c>
      <c r="AO108" s="12" t="s">
        <v>224</v>
      </c>
      <c r="AP108" s="10" t="s">
        <v>680</v>
      </c>
      <c r="AQ108" s="11"/>
      <c r="AR108" s="11"/>
      <c r="AS108" s="12"/>
      <c r="AT108" s="11"/>
      <c r="AU108" s="11"/>
      <c r="AV108" s="13"/>
    </row>
    <row r="109" ht="16.5" hidden="1" customHeight="1">
      <c r="A109" s="7" t="s">
        <v>681</v>
      </c>
      <c r="B109" s="7"/>
      <c r="C109" s="7" t="s">
        <v>213</v>
      </c>
      <c r="D109" s="14" t="s">
        <v>344</v>
      </c>
      <c r="E109" s="7" t="s">
        <v>227</v>
      </c>
      <c r="F109" s="7">
        <v>6432.0</v>
      </c>
      <c r="G109" s="7">
        <v>6432.0</v>
      </c>
      <c r="H109" s="7" t="s">
        <v>215</v>
      </c>
      <c r="I109" s="7"/>
      <c r="J109" s="7"/>
      <c r="K109" s="8" t="s">
        <v>397</v>
      </c>
      <c r="L109" s="8" t="s">
        <v>55</v>
      </c>
      <c r="M109" s="12" t="s">
        <v>55</v>
      </c>
      <c r="N109" s="8" t="s">
        <v>55</v>
      </c>
      <c r="O109" s="8" t="s">
        <v>228</v>
      </c>
      <c r="P109" s="8" t="s">
        <v>229</v>
      </c>
      <c r="Q109" s="8" t="s">
        <v>240</v>
      </c>
      <c r="R109" s="8" t="s">
        <v>49</v>
      </c>
      <c r="S109" s="8" t="s">
        <v>49</v>
      </c>
      <c r="T109" s="8" t="s">
        <v>49</v>
      </c>
      <c r="U109" s="8" t="s">
        <v>49</v>
      </c>
      <c r="V109" s="8" t="s">
        <v>49</v>
      </c>
      <c r="W109" s="8" t="s">
        <v>49</v>
      </c>
      <c r="X109" s="8" t="s">
        <v>55</v>
      </c>
      <c r="Y109" s="8" t="s">
        <v>55</v>
      </c>
      <c r="Z109" s="8" t="s">
        <v>55</v>
      </c>
      <c r="AA109" s="8" t="s">
        <v>231</v>
      </c>
      <c r="AB109" s="8" t="s">
        <v>55</v>
      </c>
      <c r="AC109" s="8" t="s">
        <v>348</v>
      </c>
      <c r="AD109" s="8" t="s">
        <v>676</v>
      </c>
      <c r="AE109" s="8" t="s">
        <v>399</v>
      </c>
      <c r="AF109" s="8" t="s">
        <v>682</v>
      </c>
      <c r="AG109" s="8" t="s">
        <v>145</v>
      </c>
      <c r="AH109" s="8" t="s">
        <v>55</v>
      </c>
      <c r="AI109" s="8" t="s">
        <v>463</v>
      </c>
      <c r="AJ109" s="8" t="s">
        <v>49</v>
      </c>
      <c r="AK109" s="8" t="s">
        <v>55</v>
      </c>
      <c r="AL109" s="8" t="s">
        <v>464</v>
      </c>
      <c r="AM109" s="8" t="s">
        <v>678</v>
      </c>
      <c r="AN109" s="9" t="s">
        <v>679</v>
      </c>
      <c r="AO109" s="12" t="s">
        <v>224</v>
      </c>
      <c r="AP109" s="10" t="s">
        <v>680</v>
      </c>
      <c r="AQ109" s="11"/>
      <c r="AR109" s="11"/>
      <c r="AS109" s="12"/>
      <c r="AT109" s="11"/>
      <c r="AU109" s="11"/>
      <c r="AV109" s="13"/>
    </row>
    <row r="110" ht="16.5" hidden="1" customHeight="1">
      <c r="A110" s="7" t="s">
        <v>683</v>
      </c>
      <c r="B110" s="7"/>
      <c r="C110" s="14" t="s">
        <v>213</v>
      </c>
      <c r="D110" s="14" t="s">
        <v>344</v>
      </c>
      <c r="E110" s="7"/>
      <c r="F110" s="7">
        <v>6433.0</v>
      </c>
      <c r="G110" s="7">
        <v>6432.0</v>
      </c>
      <c r="H110" s="7" t="s">
        <v>215</v>
      </c>
      <c r="I110" s="7"/>
      <c r="J110" s="7"/>
      <c r="K110" s="8" t="s">
        <v>397</v>
      </c>
      <c r="L110" s="8" t="s">
        <v>55</v>
      </c>
      <c r="M110" s="12" t="s">
        <v>55</v>
      </c>
      <c r="N110" s="8" t="s">
        <v>55</v>
      </c>
      <c r="O110" s="8" t="s">
        <v>228</v>
      </c>
      <c r="P110" s="8" t="s">
        <v>229</v>
      </c>
      <c r="Q110" s="8" t="s">
        <v>240</v>
      </c>
      <c r="R110" s="8" t="s">
        <v>49</v>
      </c>
      <c r="S110" s="8" t="s">
        <v>49</v>
      </c>
      <c r="T110" s="8" t="s">
        <v>49</v>
      </c>
      <c r="U110" s="8" t="s">
        <v>49</v>
      </c>
      <c r="V110" s="8" t="s">
        <v>49</v>
      </c>
      <c r="W110" s="8" t="s">
        <v>49</v>
      </c>
      <c r="X110" s="8" t="s">
        <v>55</v>
      </c>
      <c r="Y110" s="8" t="s">
        <v>55</v>
      </c>
      <c r="Z110" s="8" t="s">
        <v>55</v>
      </c>
      <c r="AA110" s="8" t="s">
        <v>231</v>
      </c>
      <c r="AB110" s="8" t="s">
        <v>55</v>
      </c>
      <c r="AC110" s="8" t="s">
        <v>348</v>
      </c>
      <c r="AD110" s="8" t="s">
        <v>676</v>
      </c>
      <c r="AE110" s="8" t="s">
        <v>399</v>
      </c>
      <c r="AF110" s="8" t="s">
        <v>682</v>
      </c>
      <c r="AG110" s="8" t="s">
        <v>145</v>
      </c>
      <c r="AH110" s="8" t="s">
        <v>55</v>
      </c>
      <c r="AI110" s="8" t="s">
        <v>65</v>
      </c>
      <c r="AJ110" s="8" t="s">
        <v>49</v>
      </c>
      <c r="AK110" s="8" t="s">
        <v>55</v>
      </c>
      <c r="AL110" s="8" t="s">
        <v>464</v>
      </c>
      <c r="AM110" s="8"/>
      <c r="AN110" s="9" t="s">
        <v>684</v>
      </c>
      <c r="AO110" s="12" t="s">
        <v>224</v>
      </c>
      <c r="AP110" s="10" t="s">
        <v>680</v>
      </c>
      <c r="AQ110" s="11"/>
      <c r="AR110" s="11"/>
      <c r="AS110" s="12"/>
      <c r="AT110" s="11"/>
      <c r="AU110" s="11"/>
      <c r="AV110" s="13"/>
    </row>
    <row r="111" ht="16.5" hidden="1" customHeight="1">
      <c r="A111" s="7" t="s">
        <v>685</v>
      </c>
      <c r="B111" s="7"/>
      <c r="C111" s="7" t="s">
        <v>213</v>
      </c>
      <c r="D111" s="7" t="s">
        <v>376</v>
      </c>
      <c r="E111" s="7" t="s">
        <v>227</v>
      </c>
      <c r="F111" s="7">
        <v>6434.0</v>
      </c>
      <c r="G111" s="7"/>
      <c r="H111" s="7" t="s">
        <v>215</v>
      </c>
      <c r="I111" s="7"/>
      <c r="J111" s="7"/>
      <c r="K111" s="8" t="s">
        <v>397</v>
      </c>
      <c r="L111" s="8" t="s">
        <v>55</v>
      </c>
      <c r="M111" s="8"/>
      <c r="N111" s="8" t="s">
        <v>49</v>
      </c>
      <c r="O111" s="8" t="s">
        <v>228</v>
      </c>
      <c r="P111" s="8" t="s">
        <v>229</v>
      </c>
      <c r="Q111" s="8" t="s">
        <v>230</v>
      </c>
      <c r="R111" s="8" t="s">
        <v>49</v>
      </c>
      <c r="S111" s="8" t="s">
        <v>49</v>
      </c>
      <c r="T111" s="8" t="s">
        <v>49</v>
      </c>
      <c r="U111" s="8" t="s">
        <v>49</v>
      </c>
      <c r="V111" s="8" t="s">
        <v>49</v>
      </c>
      <c r="W111" s="8" t="s">
        <v>49</v>
      </c>
      <c r="X111" s="8" t="s">
        <v>49</v>
      </c>
      <c r="Y111" s="8" t="s">
        <v>49</v>
      </c>
      <c r="Z111" s="8" t="s">
        <v>49</v>
      </c>
      <c r="AA111" s="8" t="s">
        <v>231</v>
      </c>
      <c r="AB111" s="8" t="s">
        <v>55</v>
      </c>
      <c r="AC111" s="8" t="s">
        <v>348</v>
      </c>
      <c r="AD111" s="8" t="s">
        <v>686</v>
      </c>
      <c r="AE111" s="8" t="s">
        <v>399</v>
      </c>
      <c r="AF111" s="8" t="s">
        <v>677</v>
      </c>
      <c r="AG111" s="8" t="s">
        <v>145</v>
      </c>
      <c r="AH111" s="8" t="s">
        <v>55</v>
      </c>
      <c r="AI111" s="8" t="s">
        <v>463</v>
      </c>
      <c r="AJ111" s="8" t="s">
        <v>49</v>
      </c>
      <c r="AK111" s="8" t="s">
        <v>49</v>
      </c>
      <c r="AL111" s="8" t="s">
        <v>464</v>
      </c>
      <c r="AM111" s="8" t="s">
        <v>687</v>
      </c>
      <c r="AN111" s="9" t="s">
        <v>688</v>
      </c>
      <c r="AO111" s="12" t="s">
        <v>224</v>
      </c>
      <c r="AP111" s="10" t="s">
        <v>689</v>
      </c>
      <c r="AQ111" s="11"/>
      <c r="AR111" s="11"/>
      <c r="AS111" s="12"/>
      <c r="AT111" s="11"/>
      <c r="AU111" s="11"/>
      <c r="AV111" s="13"/>
    </row>
    <row r="112" ht="16.5" hidden="1" customHeight="1">
      <c r="A112" s="7" t="s">
        <v>690</v>
      </c>
      <c r="B112" s="7"/>
      <c r="C112" s="7" t="s">
        <v>213</v>
      </c>
      <c r="D112" s="14" t="s">
        <v>344</v>
      </c>
      <c r="E112" s="7" t="s">
        <v>227</v>
      </c>
      <c r="F112" s="7">
        <v>6434.0</v>
      </c>
      <c r="G112" s="7">
        <v>6434.0</v>
      </c>
      <c r="H112" s="7" t="s">
        <v>215</v>
      </c>
      <c r="I112" s="7"/>
      <c r="J112" s="7"/>
      <c r="K112" s="8" t="s">
        <v>397</v>
      </c>
      <c r="L112" s="8" t="s">
        <v>55</v>
      </c>
      <c r="M112" s="12" t="s">
        <v>55</v>
      </c>
      <c r="N112" s="8" t="s">
        <v>55</v>
      </c>
      <c r="O112" s="8" t="s">
        <v>228</v>
      </c>
      <c r="P112" s="8" t="s">
        <v>229</v>
      </c>
      <c r="Q112" s="8" t="s">
        <v>240</v>
      </c>
      <c r="R112" s="8" t="s">
        <v>49</v>
      </c>
      <c r="S112" s="8" t="s">
        <v>49</v>
      </c>
      <c r="T112" s="8" t="s">
        <v>49</v>
      </c>
      <c r="U112" s="8" t="s">
        <v>49</v>
      </c>
      <c r="V112" s="8" t="s">
        <v>49</v>
      </c>
      <c r="W112" s="8" t="s">
        <v>49</v>
      </c>
      <c r="X112" s="8" t="s">
        <v>55</v>
      </c>
      <c r="Y112" s="8" t="s">
        <v>55</v>
      </c>
      <c r="Z112" s="8" t="s">
        <v>55</v>
      </c>
      <c r="AA112" s="8" t="s">
        <v>231</v>
      </c>
      <c r="AB112" s="8" t="s">
        <v>55</v>
      </c>
      <c r="AC112" s="8" t="s">
        <v>348</v>
      </c>
      <c r="AD112" s="8" t="s">
        <v>686</v>
      </c>
      <c r="AE112" s="8" t="s">
        <v>399</v>
      </c>
      <c r="AF112" s="8" t="s">
        <v>682</v>
      </c>
      <c r="AG112" s="8" t="s">
        <v>145</v>
      </c>
      <c r="AH112" s="8" t="s">
        <v>55</v>
      </c>
      <c r="AI112" s="8" t="s">
        <v>463</v>
      </c>
      <c r="AJ112" s="8" t="s">
        <v>49</v>
      </c>
      <c r="AK112" s="8" t="s">
        <v>55</v>
      </c>
      <c r="AL112" s="8" t="s">
        <v>464</v>
      </c>
      <c r="AM112" s="8" t="s">
        <v>687</v>
      </c>
      <c r="AN112" s="9" t="s">
        <v>688</v>
      </c>
      <c r="AO112" s="12" t="s">
        <v>224</v>
      </c>
      <c r="AP112" s="10" t="s">
        <v>689</v>
      </c>
      <c r="AQ112" s="11"/>
      <c r="AR112" s="11"/>
      <c r="AS112" s="12"/>
      <c r="AT112" s="11"/>
      <c r="AU112" s="11"/>
      <c r="AV112" s="13"/>
    </row>
    <row r="113" ht="16.5" hidden="1" customHeight="1">
      <c r="A113" s="7" t="s">
        <v>691</v>
      </c>
      <c r="B113" s="7"/>
      <c r="C113" s="14" t="s">
        <v>213</v>
      </c>
      <c r="D113" s="14" t="s">
        <v>344</v>
      </c>
      <c r="E113" s="7"/>
      <c r="F113" s="7">
        <v>6435.0</v>
      </c>
      <c r="G113" s="7">
        <v>6434.0</v>
      </c>
      <c r="H113" s="7" t="s">
        <v>215</v>
      </c>
      <c r="I113" s="7"/>
      <c r="J113" s="7"/>
      <c r="K113" s="8" t="s">
        <v>397</v>
      </c>
      <c r="L113" s="8" t="s">
        <v>55</v>
      </c>
      <c r="M113" s="12" t="s">
        <v>55</v>
      </c>
      <c r="N113" s="8" t="s">
        <v>55</v>
      </c>
      <c r="O113" s="8" t="s">
        <v>228</v>
      </c>
      <c r="P113" s="8" t="s">
        <v>229</v>
      </c>
      <c r="Q113" s="8" t="s">
        <v>240</v>
      </c>
      <c r="R113" s="8" t="s">
        <v>49</v>
      </c>
      <c r="S113" s="8" t="s">
        <v>49</v>
      </c>
      <c r="T113" s="8" t="s">
        <v>49</v>
      </c>
      <c r="U113" s="8" t="s">
        <v>49</v>
      </c>
      <c r="V113" s="8" t="s">
        <v>49</v>
      </c>
      <c r="W113" s="8" t="s">
        <v>49</v>
      </c>
      <c r="X113" s="8" t="s">
        <v>55</v>
      </c>
      <c r="Y113" s="8" t="s">
        <v>55</v>
      </c>
      <c r="Z113" s="8" t="s">
        <v>55</v>
      </c>
      <c r="AA113" s="8" t="s">
        <v>231</v>
      </c>
      <c r="AB113" s="8" t="s">
        <v>55</v>
      </c>
      <c r="AC113" s="8" t="s">
        <v>348</v>
      </c>
      <c r="AD113" s="8" t="s">
        <v>686</v>
      </c>
      <c r="AE113" s="8" t="s">
        <v>399</v>
      </c>
      <c r="AF113" s="8" t="s">
        <v>682</v>
      </c>
      <c r="AG113" s="8" t="s">
        <v>145</v>
      </c>
      <c r="AH113" s="8" t="s">
        <v>55</v>
      </c>
      <c r="AI113" s="8" t="s">
        <v>65</v>
      </c>
      <c r="AJ113" s="8" t="s">
        <v>49</v>
      </c>
      <c r="AK113" s="8" t="s">
        <v>55</v>
      </c>
      <c r="AL113" s="8" t="s">
        <v>464</v>
      </c>
      <c r="AM113" s="8"/>
      <c r="AN113" s="9" t="s">
        <v>692</v>
      </c>
      <c r="AO113" s="12" t="s">
        <v>224</v>
      </c>
      <c r="AP113" s="10" t="s">
        <v>689</v>
      </c>
      <c r="AQ113" s="11"/>
      <c r="AR113" s="11"/>
      <c r="AS113" s="12"/>
      <c r="AT113" s="11"/>
      <c r="AU113" s="11"/>
      <c r="AV113" s="13"/>
    </row>
    <row r="114" ht="16.5" hidden="1" customHeight="1">
      <c r="A114" s="7" t="s">
        <v>693</v>
      </c>
      <c r="B114" s="7" t="s">
        <v>49</v>
      </c>
      <c r="C114" s="7" t="s">
        <v>213</v>
      </c>
      <c r="D114" s="7" t="s">
        <v>51</v>
      </c>
      <c r="E114" s="7" t="s">
        <v>227</v>
      </c>
      <c r="F114" s="7">
        <v>6436.0</v>
      </c>
      <c r="G114" s="7"/>
      <c r="H114" s="7" t="s">
        <v>215</v>
      </c>
      <c r="I114" s="7"/>
      <c r="J114" s="7"/>
      <c r="K114" s="8" t="s">
        <v>54</v>
      </c>
      <c r="L114" s="8" t="s">
        <v>55</v>
      </c>
      <c r="M114" s="8"/>
      <c r="N114" s="8" t="s">
        <v>55</v>
      </c>
      <c r="O114" s="8" t="s">
        <v>228</v>
      </c>
      <c r="P114" s="8" t="s">
        <v>229</v>
      </c>
      <c r="Q114" s="8" t="s">
        <v>230</v>
      </c>
      <c r="R114" s="8" t="s">
        <v>49</v>
      </c>
      <c r="S114" s="8" t="s">
        <v>49</v>
      </c>
      <c r="T114" s="8" t="s">
        <v>49</v>
      </c>
      <c r="U114" s="8" t="s">
        <v>49</v>
      </c>
      <c r="V114" s="8" t="s">
        <v>49</v>
      </c>
      <c r="W114" s="8" t="s">
        <v>49</v>
      </c>
      <c r="X114" s="8" t="s">
        <v>49</v>
      </c>
      <c r="Y114" s="8" t="s">
        <v>49</v>
      </c>
      <c r="Z114" s="8" t="s">
        <v>49</v>
      </c>
      <c r="AA114" s="8" t="s">
        <v>231</v>
      </c>
      <c r="AB114" s="8" t="s">
        <v>55</v>
      </c>
      <c r="AC114" s="8" t="s">
        <v>61</v>
      </c>
      <c r="AD114" s="8" t="s">
        <v>694</v>
      </c>
      <c r="AE114" s="8" t="s">
        <v>55</v>
      </c>
      <c r="AF114" s="8" t="s">
        <v>55</v>
      </c>
      <c r="AG114" s="8" t="s">
        <v>145</v>
      </c>
      <c r="AH114" s="8" t="s">
        <v>55</v>
      </c>
      <c r="AI114" s="8" t="s">
        <v>463</v>
      </c>
      <c r="AJ114" s="8" t="s">
        <v>49</v>
      </c>
      <c r="AK114" s="8" t="s">
        <v>49</v>
      </c>
      <c r="AL114" s="8" t="s">
        <v>464</v>
      </c>
      <c r="AM114" s="8" t="s">
        <v>695</v>
      </c>
      <c r="AN114" s="9" t="s">
        <v>696</v>
      </c>
      <c r="AO114" s="12" t="s">
        <v>224</v>
      </c>
      <c r="AP114" s="10" t="s">
        <v>697</v>
      </c>
      <c r="AQ114" s="11"/>
      <c r="AR114" s="10" t="s">
        <v>698</v>
      </c>
      <c r="AS114" s="12"/>
      <c r="AT114" s="10" t="s">
        <v>699</v>
      </c>
      <c r="AU114" s="11"/>
      <c r="AV114" s="13"/>
    </row>
    <row r="115" ht="16.5" hidden="1" customHeight="1">
      <c r="A115" s="7" t="s">
        <v>700</v>
      </c>
      <c r="B115" s="7" t="s">
        <v>49</v>
      </c>
      <c r="C115" s="7" t="s">
        <v>213</v>
      </c>
      <c r="D115" s="7" t="s">
        <v>51</v>
      </c>
      <c r="E115" s="7" t="s">
        <v>227</v>
      </c>
      <c r="F115" s="7">
        <v>6436.0</v>
      </c>
      <c r="G115" s="7">
        <v>6436.0</v>
      </c>
      <c r="H115" s="7" t="s">
        <v>215</v>
      </c>
      <c r="I115" s="7"/>
      <c r="J115" s="7"/>
      <c r="K115" s="8" t="s">
        <v>54</v>
      </c>
      <c r="L115" s="8" t="s">
        <v>55</v>
      </c>
      <c r="M115" s="12" t="s">
        <v>55</v>
      </c>
      <c r="N115" s="8" t="s">
        <v>55</v>
      </c>
      <c r="O115" s="8" t="s">
        <v>228</v>
      </c>
      <c r="P115" s="8" t="s">
        <v>229</v>
      </c>
      <c r="Q115" s="8" t="s">
        <v>240</v>
      </c>
      <c r="R115" s="8" t="s">
        <v>49</v>
      </c>
      <c r="S115" s="8" t="s">
        <v>49</v>
      </c>
      <c r="T115" s="8" t="s">
        <v>49</v>
      </c>
      <c r="U115" s="8" t="s">
        <v>49</v>
      </c>
      <c r="V115" s="8" t="s">
        <v>49</v>
      </c>
      <c r="W115" s="8" t="s">
        <v>49</v>
      </c>
      <c r="X115" s="8" t="s">
        <v>55</v>
      </c>
      <c r="Y115" s="8" t="s">
        <v>55</v>
      </c>
      <c r="Z115" s="8" t="s">
        <v>55</v>
      </c>
      <c r="AA115" s="8" t="s">
        <v>231</v>
      </c>
      <c r="AB115" s="8" t="s">
        <v>55</v>
      </c>
      <c r="AC115" s="8" t="s">
        <v>61</v>
      </c>
      <c r="AD115" s="8" t="s">
        <v>694</v>
      </c>
      <c r="AE115" s="8" t="s">
        <v>55</v>
      </c>
      <c r="AF115" s="8" t="s">
        <v>55</v>
      </c>
      <c r="AG115" s="8" t="s">
        <v>145</v>
      </c>
      <c r="AH115" s="8" t="s">
        <v>55</v>
      </c>
      <c r="AI115" s="8" t="s">
        <v>463</v>
      </c>
      <c r="AJ115" s="8" t="s">
        <v>49</v>
      </c>
      <c r="AK115" s="8" t="s">
        <v>55</v>
      </c>
      <c r="AL115" s="8" t="s">
        <v>464</v>
      </c>
      <c r="AM115" s="8" t="s">
        <v>695</v>
      </c>
      <c r="AN115" s="9" t="s">
        <v>696</v>
      </c>
      <c r="AO115" s="12" t="s">
        <v>224</v>
      </c>
      <c r="AP115" s="10" t="s">
        <v>697</v>
      </c>
      <c r="AQ115" s="11"/>
      <c r="AR115" s="10" t="s">
        <v>698</v>
      </c>
      <c r="AS115" s="12"/>
      <c r="AT115" s="10" t="s">
        <v>699</v>
      </c>
      <c r="AU115" s="11"/>
      <c r="AV115" s="13"/>
    </row>
    <row r="116" ht="16.5" hidden="1" customHeight="1">
      <c r="A116" s="7" t="s">
        <v>701</v>
      </c>
      <c r="B116" s="14" t="s">
        <v>49</v>
      </c>
      <c r="C116" s="14" t="s">
        <v>213</v>
      </c>
      <c r="D116" s="14" t="s">
        <v>51</v>
      </c>
      <c r="E116" s="7"/>
      <c r="F116" s="7">
        <v>6437.0</v>
      </c>
      <c r="G116" s="7">
        <v>6436.0</v>
      </c>
      <c r="H116" s="7" t="s">
        <v>215</v>
      </c>
      <c r="I116" s="7"/>
      <c r="J116" s="7"/>
      <c r="K116" s="8" t="s">
        <v>54</v>
      </c>
      <c r="L116" s="8" t="s">
        <v>55</v>
      </c>
      <c r="M116" s="12" t="s">
        <v>55</v>
      </c>
      <c r="N116" s="8" t="s">
        <v>55</v>
      </c>
      <c r="O116" s="8" t="s">
        <v>228</v>
      </c>
      <c r="P116" s="8" t="s">
        <v>229</v>
      </c>
      <c r="Q116" s="8" t="s">
        <v>240</v>
      </c>
      <c r="R116" s="8" t="s">
        <v>49</v>
      </c>
      <c r="S116" s="8" t="s">
        <v>49</v>
      </c>
      <c r="T116" s="8" t="s">
        <v>49</v>
      </c>
      <c r="U116" s="8" t="s">
        <v>49</v>
      </c>
      <c r="V116" s="8" t="s">
        <v>49</v>
      </c>
      <c r="W116" s="8" t="s">
        <v>49</v>
      </c>
      <c r="X116" s="8" t="s">
        <v>55</v>
      </c>
      <c r="Y116" s="8" t="s">
        <v>55</v>
      </c>
      <c r="Z116" s="8" t="s">
        <v>55</v>
      </c>
      <c r="AA116" s="8" t="s">
        <v>231</v>
      </c>
      <c r="AB116" s="8" t="s">
        <v>55</v>
      </c>
      <c r="AC116" s="8" t="s">
        <v>61</v>
      </c>
      <c r="AD116" s="8" t="s">
        <v>694</v>
      </c>
      <c r="AE116" s="8" t="s">
        <v>55</v>
      </c>
      <c r="AF116" s="8" t="s">
        <v>55</v>
      </c>
      <c r="AG116" s="8" t="s">
        <v>145</v>
      </c>
      <c r="AH116" s="8" t="s">
        <v>55</v>
      </c>
      <c r="AI116" s="8" t="s">
        <v>65</v>
      </c>
      <c r="AJ116" s="8" t="s">
        <v>49</v>
      </c>
      <c r="AK116" s="8" t="s">
        <v>55</v>
      </c>
      <c r="AL116" s="8" t="s">
        <v>464</v>
      </c>
      <c r="AM116" s="8"/>
      <c r="AN116" s="9" t="s">
        <v>702</v>
      </c>
      <c r="AO116" s="12" t="s">
        <v>224</v>
      </c>
      <c r="AP116" s="10" t="s">
        <v>697</v>
      </c>
      <c r="AQ116" s="11"/>
      <c r="AR116" s="10" t="s">
        <v>698</v>
      </c>
      <c r="AS116" s="12"/>
      <c r="AT116" s="10" t="s">
        <v>699</v>
      </c>
      <c r="AU116" s="11"/>
      <c r="AV116" s="13"/>
    </row>
    <row r="117" ht="16.5" hidden="1" customHeight="1">
      <c r="A117" s="7" t="s">
        <v>703</v>
      </c>
      <c r="B117" s="7"/>
      <c r="C117" s="7" t="s">
        <v>213</v>
      </c>
      <c r="D117" s="14" t="s">
        <v>344</v>
      </c>
      <c r="E117" s="7" t="s">
        <v>227</v>
      </c>
      <c r="F117" s="7">
        <v>6438.0</v>
      </c>
      <c r="G117" s="7"/>
      <c r="H117" s="7" t="s">
        <v>215</v>
      </c>
      <c r="I117" s="7"/>
      <c r="J117" s="7"/>
      <c r="K117" s="8" t="s">
        <v>397</v>
      </c>
      <c r="L117" s="8" t="s">
        <v>55</v>
      </c>
      <c r="M117" s="12" t="s">
        <v>55</v>
      </c>
      <c r="N117" s="8" t="s">
        <v>55</v>
      </c>
      <c r="O117" s="8" t="s">
        <v>228</v>
      </c>
      <c r="P117" s="8" t="s">
        <v>229</v>
      </c>
      <c r="Q117" s="8" t="s">
        <v>240</v>
      </c>
      <c r="R117" s="8" t="s">
        <v>49</v>
      </c>
      <c r="S117" s="8" t="s">
        <v>49</v>
      </c>
      <c r="T117" s="8" t="s">
        <v>49</v>
      </c>
      <c r="U117" s="8" t="s">
        <v>49</v>
      </c>
      <c r="V117" s="8" t="s">
        <v>49</v>
      </c>
      <c r="W117" s="8" t="s">
        <v>49</v>
      </c>
      <c r="X117" s="8" t="s">
        <v>55</v>
      </c>
      <c r="Y117" s="8" t="s">
        <v>55</v>
      </c>
      <c r="Z117" s="8" t="s">
        <v>55</v>
      </c>
      <c r="AA117" s="8" t="s">
        <v>231</v>
      </c>
      <c r="AB117" s="8" t="s">
        <v>55</v>
      </c>
      <c r="AC117" s="8" t="s">
        <v>348</v>
      </c>
      <c r="AD117" s="8" t="s">
        <v>704</v>
      </c>
      <c r="AE117" s="8" t="s">
        <v>705</v>
      </c>
      <c r="AF117" s="8" t="s">
        <v>706</v>
      </c>
      <c r="AG117" s="8" t="s">
        <v>145</v>
      </c>
      <c r="AH117" s="8" t="s">
        <v>55</v>
      </c>
      <c r="AI117" s="8" t="s">
        <v>463</v>
      </c>
      <c r="AJ117" s="8" t="s">
        <v>49</v>
      </c>
      <c r="AK117" s="8" t="s">
        <v>55</v>
      </c>
      <c r="AL117" s="8" t="s">
        <v>464</v>
      </c>
      <c r="AM117" s="8" t="s">
        <v>707</v>
      </c>
      <c r="AN117" s="9" t="s">
        <v>708</v>
      </c>
      <c r="AO117" s="12" t="s">
        <v>224</v>
      </c>
      <c r="AP117" s="10" t="s">
        <v>709</v>
      </c>
      <c r="AQ117" s="11"/>
      <c r="AR117" s="11"/>
      <c r="AS117" s="12"/>
      <c r="AT117" s="11"/>
      <c r="AU117" s="11"/>
      <c r="AV117" s="13"/>
    </row>
    <row r="118" ht="16.5" hidden="1" customHeight="1">
      <c r="A118" s="7" t="s">
        <v>710</v>
      </c>
      <c r="B118" s="7"/>
      <c r="C118" s="7" t="s">
        <v>213</v>
      </c>
      <c r="D118" s="14" t="s">
        <v>344</v>
      </c>
      <c r="E118" s="7" t="s">
        <v>227</v>
      </c>
      <c r="F118" s="7">
        <v>6439.0</v>
      </c>
      <c r="G118" s="7"/>
      <c r="H118" s="7" t="s">
        <v>215</v>
      </c>
      <c r="I118" s="7"/>
      <c r="J118" s="7"/>
      <c r="K118" s="8" t="s">
        <v>397</v>
      </c>
      <c r="L118" s="8" t="s">
        <v>55</v>
      </c>
      <c r="M118" s="12" t="s">
        <v>55</v>
      </c>
      <c r="N118" s="8" t="s">
        <v>55</v>
      </c>
      <c r="O118" s="8" t="s">
        <v>228</v>
      </c>
      <c r="P118" s="8" t="s">
        <v>229</v>
      </c>
      <c r="Q118" s="8" t="s">
        <v>240</v>
      </c>
      <c r="R118" s="8" t="s">
        <v>49</v>
      </c>
      <c r="S118" s="8" t="s">
        <v>49</v>
      </c>
      <c r="T118" s="8" t="s">
        <v>49</v>
      </c>
      <c r="U118" s="8" t="s">
        <v>49</v>
      </c>
      <c r="V118" s="8" t="s">
        <v>49</v>
      </c>
      <c r="W118" s="8" t="s">
        <v>49</v>
      </c>
      <c r="X118" s="8" t="s">
        <v>55</v>
      </c>
      <c r="Y118" s="8" t="s">
        <v>55</v>
      </c>
      <c r="Z118" s="8" t="s">
        <v>55</v>
      </c>
      <c r="AA118" s="8" t="s">
        <v>231</v>
      </c>
      <c r="AB118" s="8" t="s">
        <v>55</v>
      </c>
      <c r="AC118" s="8" t="s">
        <v>348</v>
      </c>
      <c r="AD118" s="8" t="s">
        <v>711</v>
      </c>
      <c r="AE118" s="8" t="s">
        <v>712</v>
      </c>
      <c r="AF118" s="8" t="s">
        <v>682</v>
      </c>
      <c r="AG118" s="8" t="s">
        <v>145</v>
      </c>
      <c r="AH118" s="8" t="s">
        <v>55</v>
      </c>
      <c r="AI118" s="8" t="s">
        <v>463</v>
      </c>
      <c r="AJ118" s="8" t="s">
        <v>49</v>
      </c>
      <c r="AK118" s="8" t="s">
        <v>55</v>
      </c>
      <c r="AL118" s="8" t="s">
        <v>464</v>
      </c>
      <c r="AM118" s="8" t="s">
        <v>713</v>
      </c>
      <c r="AN118" s="9" t="s">
        <v>714</v>
      </c>
      <c r="AO118" s="12" t="s">
        <v>224</v>
      </c>
      <c r="AP118" s="10" t="s">
        <v>715</v>
      </c>
      <c r="AQ118" s="11"/>
      <c r="AR118" s="11"/>
      <c r="AS118" s="12"/>
      <c r="AT118" s="11"/>
      <c r="AU118" s="11"/>
      <c r="AV118" s="13"/>
    </row>
    <row r="119" ht="16.5" hidden="1" customHeight="1">
      <c r="A119" s="7" t="s">
        <v>716</v>
      </c>
      <c r="B119" s="7" t="s">
        <v>717</v>
      </c>
      <c r="C119" s="7" t="s">
        <v>213</v>
      </c>
      <c r="D119" s="7" t="s">
        <v>51</v>
      </c>
      <c r="E119" s="7" t="s">
        <v>227</v>
      </c>
      <c r="F119" s="7">
        <v>6440.0</v>
      </c>
      <c r="G119" s="7"/>
      <c r="H119" s="7" t="s">
        <v>53</v>
      </c>
      <c r="I119" s="7"/>
      <c r="J119" s="7"/>
      <c r="K119" s="8" t="s">
        <v>54</v>
      </c>
      <c r="L119" s="8" t="s">
        <v>55</v>
      </c>
      <c r="M119" s="8"/>
      <c r="N119" s="8" t="s">
        <v>55</v>
      </c>
      <c r="O119" s="8" t="s">
        <v>228</v>
      </c>
      <c r="P119" s="8" t="s">
        <v>229</v>
      </c>
      <c r="Q119" s="8" t="s">
        <v>230</v>
      </c>
      <c r="R119" s="8" t="s">
        <v>49</v>
      </c>
      <c r="S119" s="8" t="s">
        <v>49</v>
      </c>
      <c r="T119" s="8" t="s">
        <v>49</v>
      </c>
      <c r="U119" s="8" t="s">
        <v>49</v>
      </c>
      <c r="V119" s="8" t="s">
        <v>49</v>
      </c>
      <c r="W119" s="8" t="s">
        <v>49</v>
      </c>
      <c r="X119" s="8" t="s">
        <v>49</v>
      </c>
      <c r="Y119" s="8" t="s">
        <v>49</v>
      </c>
      <c r="Z119" s="8" t="s">
        <v>49</v>
      </c>
      <c r="AA119" s="8" t="s">
        <v>231</v>
      </c>
      <c r="AB119" s="8" t="s">
        <v>60</v>
      </c>
      <c r="AC119" s="8" t="s">
        <v>61</v>
      </c>
      <c r="AD119" s="8" t="s">
        <v>718</v>
      </c>
      <c r="AE119" s="8" t="s">
        <v>55</v>
      </c>
      <c r="AF119" s="8" t="s">
        <v>55</v>
      </c>
      <c r="AG119" s="8" t="s">
        <v>719</v>
      </c>
      <c r="AH119" s="8" t="s">
        <v>55</v>
      </c>
      <c r="AI119" s="8" t="s">
        <v>94</v>
      </c>
      <c r="AJ119" s="8" t="s">
        <v>49</v>
      </c>
      <c r="AK119" s="8" t="s">
        <v>49</v>
      </c>
      <c r="AL119" s="8" t="s">
        <v>720</v>
      </c>
      <c r="AM119" s="8" t="s">
        <v>721</v>
      </c>
      <c r="AN119" s="16" t="s">
        <v>722</v>
      </c>
      <c r="AO119" s="9" t="s">
        <v>723</v>
      </c>
      <c r="AP119" s="10" t="s">
        <v>724</v>
      </c>
      <c r="AQ119" s="11"/>
      <c r="AR119" s="10" t="s">
        <v>725</v>
      </c>
      <c r="AS119" s="12"/>
      <c r="AT119" s="10" t="s">
        <v>726</v>
      </c>
      <c r="AU119" s="11"/>
      <c r="AV119" s="13"/>
    </row>
    <row r="120" ht="16.5" hidden="1" customHeight="1">
      <c r="A120" s="7" t="s">
        <v>727</v>
      </c>
      <c r="B120" s="7" t="s">
        <v>717</v>
      </c>
      <c r="C120" s="7" t="s">
        <v>213</v>
      </c>
      <c r="D120" s="7" t="s">
        <v>51</v>
      </c>
      <c r="E120" s="7" t="s">
        <v>227</v>
      </c>
      <c r="F120" s="7">
        <v>6440.0</v>
      </c>
      <c r="G120" s="7">
        <v>6440.0</v>
      </c>
      <c r="H120" s="7" t="s">
        <v>53</v>
      </c>
      <c r="I120" s="7"/>
      <c r="J120" s="7"/>
      <c r="K120" s="8" t="s">
        <v>54</v>
      </c>
      <c r="L120" s="8" t="s">
        <v>55</v>
      </c>
      <c r="M120" s="12" t="s">
        <v>55</v>
      </c>
      <c r="N120" s="8" t="s">
        <v>55</v>
      </c>
      <c r="O120" s="8" t="s">
        <v>228</v>
      </c>
      <c r="P120" s="8" t="s">
        <v>229</v>
      </c>
      <c r="Q120" s="8" t="s">
        <v>240</v>
      </c>
      <c r="R120" s="8" t="s">
        <v>49</v>
      </c>
      <c r="S120" s="8" t="s">
        <v>49</v>
      </c>
      <c r="T120" s="8" t="s">
        <v>49</v>
      </c>
      <c r="U120" s="8" t="s">
        <v>49</v>
      </c>
      <c r="V120" s="8" t="s">
        <v>49</v>
      </c>
      <c r="W120" s="8" t="s">
        <v>49</v>
      </c>
      <c r="X120" s="8" t="s">
        <v>55</v>
      </c>
      <c r="Y120" s="8" t="s">
        <v>55</v>
      </c>
      <c r="Z120" s="8" t="s">
        <v>55</v>
      </c>
      <c r="AA120" s="8" t="s">
        <v>231</v>
      </c>
      <c r="AB120" s="8" t="s">
        <v>60</v>
      </c>
      <c r="AC120" s="8" t="s">
        <v>61</v>
      </c>
      <c r="AD120" s="8" t="s">
        <v>718</v>
      </c>
      <c r="AE120" s="8" t="s">
        <v>55</v>
      </c>
      <c r="AF120" s="8" t="s">
        <v>55</v>
      </c>
      <c r="AG120" s="8" t="s">
        <v>719</v>
      </c>
      <c r="AH120" s="8" t="s">
        <v>55</v>
      </c>
      <c r="AI120" s="8" t="s">
        <v>94</v>
      </c>
      <c r="AJ120" s="8" t="s">
        <v>49</v>
      </c>
      <c r="AK120" s="8" t="s">
        <v>55</v>
      </c>
      <c r="AL120" s="8" t="s">
        <v>720</v>
      </c>
      <c r="AM120" s="8" t="s">
        <v>721</v>
      </c>
      <c r="AN120" s="9" t="s">
        <v>722</v>
      </c>
      <c r="AO120" s="9" t="s">
        <v>723</v>
      </c>
      <c r="AP120" s="10" t="s">
        <v>724</v>
      </c>
      <c r="AQ120" s="11"/>
      <c r="AR120" s="10" t="s">
        <v>725</v>
      </c>
      <c r="AS120" s="12"/>
      <c r="AT120" s="10" t="s">
        <v>726</v>
      </c>
      <c r="AU120" s="11"/>
      <c r="AV120" s="15">
        <v>46315.0</v>
      </c>
    </row>
    <row r="121" ht="16.5" hidden="1" customHeight="1">
      <c r="A121" s="7" t="s">
        <v>728</v>
      </c>
      <c r="B121" s="7" t="s">
        <v>717</v>
      </c>
      <c r="C121" s="14" t="s">
        <v>213</v>
      </c>
      <c r="D121" s="14" t="s">
        <v>51</v>
      </c>
      <c r="E121" s="7"/>
      <c r="F121" s="7">
        <v>6441.0</v>
      </c>
      <c r="G121" s="7">
        <v>6440.0</v>
      </c>
      <c r="H121" s="7" t="s">
        <v>53</v>
      </c>
      <c r="I121" s="7"/>
      <c r="J121" s="7"/>
      <c r="K121" s="8" t="s">
        <v>54</v>
      </c>
      <c r="L121" s="8" t="s">
        <v>55</v>
      </c>
      <c r="M121" s="12" t="s">
        <v>55</v>
      </c>
      <c r="N121" s="8" t="s">
        <v>55</v>
      </c>
      <c r="O121" s="8" t="s">
        <v>228</v>
      </c>
      <c r="P121" s="8" t="s">
        <v>229</v>
      </c>
      <c r="Q121" s="8" t="s">
        <v>240</v>
      </c>
      <c r="R121" s="8" t="s">
        <v>49</v>
      </c>
      <c r="S121" s="8" t="s">
        <v>49</v>
      </c>
      <c r="T121" s="8" t="s">
        <v>49</v>
      </c>
      <c r="U121" s="8" t="s">
        <v>49</v>
      </c>
      <c r="V121" s="8" t="s">
        <v>49</v>
      </c>
      <c r="W121" s="8" t="s">
        <v>49</v>
      </c>
      <c r="X121" s="8" t="s">
        <v>55</v>
      </c>
      <c r="Y121" s="8" t="s">
        <v>55</v>
      </c>
      <c r="Z121" s="8" t="s">
        <v>55</v>
      </c>
      <c r="AA121" s="8" t="s">
        <v>231</v>
      </c>
      <c r="AB121" s="8" t="s">
        <v>60</v>
      </c>
      <c r="AC121" s="8" t="s">
        <v>61</v>
      </c>
      <c r="AD121" s="8" t="s">
        <v>718</v>
      </c>
      <c r="AE121" s="8" t="s">
        <v>55</v>
      </c>
      <c r="AF121" s="8" t="s">
        <v>55</v>
      </c>
      <c r="AG121" s="8" t="s">
        <v>719</v>
      </c>
      <c r="AH121" s="8" t="s">
        <v>55</v>
      </c>
      <c r="AI121" s="8" t="s">
        <v>112</v>
      </c>
      <c r="AJ121" s="8" t="s">
        <v>49</v>
      </c>
      <c r="AK121" s="8" t="s">
        <v>55</v>
      </c>
      <c r="AL121" s="8" t="s">
        <v>720</v>
      </c>
      <c r="AM121" s="8"/>
      <c r="AN121" s="16" t="s">
        <v>729</v>
      </c>
      <c r="AO121" s="9" t="s">
        <v>730</v>
      </c>
      <c r="AP121" s="10" t="s">
        <v>724</v>
      </c>
      <c r="AQ121" s="11"/>
      <c r="AR121" s="10" t="s">
        <v>725</v>
      </c>
      <c r="AS121" s="12"/>
      <c r="AT121" s="10" t="s">
        <v>726</v>
      </c>
      <c r="AU121" s="11"/>
      <c r="AV121" s="15">
        <v>46315.0</v>
      </c>
    </row>
    <row r="122" ht="16.5" hidden="1" customHeight="1">
      <c r="A122" s="7" t="s">
        <v>731</v>
      </c>
      <c r="B122" s="7" t="s">
        <v>717</v>
      </c>
      <c r="C122" s="7" t="s">
        <v>213</v>
      </c>
      <c r="D122" s="7" t="s">
        <v>376</v>
      </c>
      <c r="E122" s="7" t="s">
        <v>227</v>
      </c>
      <c r="F122" s="7">
        <v>6442.0</v>
      </c>
      <c r="G122" s="7"/>
      <c r="H122" s="7" t="s">
        <v>53</v>
      </c>
      <c r="I122" s="7"/>
      <c r="J122" s="7"/>
      <c r="K122" s="8" t="s">
        <v>54</v>
      </c>
      <c r="L122" s="8" t="s">
        <v>55</v>
      </c>
      <c r="M122" s="8"/>
      <c r="N122" s="8" t="s">
        <v>55</v>
      </c>
      <c r="O122" s="8" t="s">
        <v>228</v>
      </c>
      <c r="P122" s="8" t="s">
        <v>229</v>
      </c>
      <c r="Q122" s="8" t="s">
        <v>230</v>
      </c>
      <c r="R122" s="8" t="s">
        <v>49</v>
      </c>
      <c r="S122" s="8" t="s">
        <v>49</v>
      </c>
      <c r="T122" s="8" t="s">
        <v>49</v>
      </c>
      <c r="U122" s="8" t="s">
        <v>49</v>
      </c>
      <c r="V122" s="8" t="s">
        <v>49</v>
      </c>
      <c r="W122" s="8" t="s">
        <v>49</v>
      </c>
      <c r="X122" s="8" t="s">
        <v>49</v>
      </c>
      <c r="Y122" s="8" t="s">
        <v>49</v>
      </c>
      <c r="Z122" s="8" t="s">
        <v>49</v>
      </c>
      <c r="AA122" s="8" t="s">
        <v>231</v>
      </c>
      <c r="AB122" s="8" t="s">
        <v>60</v>
      </c>
      <c r="AC122" s="8" t="s">
        <v>348</v>
      </c>
      <c r="AD122" s="8" t="s">
        <v>732</v>
      </c>
      <c r="AE122" s="8" t="s">
        <v>733</v>
      </c>
      <c r="AF122" s="8" t="s">
        <v>734</v>
      </c>
      <c r="AG122" s="8" t="s">
        <v>719</v>
      </c>
      <c r="AH122" s="8" t="s">
        <v>55</v>
      </c>
      <c r="AI122" s="8" t="s">
        <v>94</v>
      </c>
      <c r="AJ122" s="8" t="s">
        <v>49</v>
      </c>
      <c r="AK122" s="8" t="s">
        <v>49</v>
      </c>
      <c r="AL122" s="8" t="s">
        <v>720</v>
      </c>
      <c r="AM122" s="8" t="s">
        <v>735</v>
      </c>
      <c r="AN122" s="9" t="s">
        <v>736</v>
      </c>
      <c r="AO122" s="9" t="s">
        <v>737</v>
      </c>
      <c r="AP122" s="10" t="s">
        <v>738</v>
      </c>
      <c r="AQ122" s="11"/>
      <c r="AR122" s="10" t="s">
        <v>739</v>
      </c>
      <c r="AS122" s="12"/>
      <c r="AT122" s="10" t="s">
        <v>740</v>
      </c>
      <c r="AU122" s="11"/>
      <c r="AV122" s="13"/>
    </row>
    <row r="123" ht="16.5" hidden="1" customHeight="1">
      <c r="A123" s="7" t="s">
        <v>741</v>
      </c>
      <c r="B123" s="7" t="s">
        <v>717</v>
      </c>
      <c r="C123" s="7" t="s">
        <v>213</v>
      </c>
      <c r="D123" s="14" t="s">
        <v>344</v>
      </c>
      <c r="E123" s="7" t="s">
        <v>227</v>
      </c>
      <c r="F123" s="7">
        <v>6442.0</v>
      </c>
      <c r="G123" s="7">
        <v>6442.0</v>
      </c>
      <c r="H123" s="7" t="s">
        <v>53</v>
      </c>
      <c r="I123" s="7"/>
      <c r="J123" s="7"/>
      <c r="K123" s="8" t="s">
        <v>54</v>
      </c>
      <c r="L123" s="8" t="s">
        <v>55</v>
      </c>
      <c r="M123" s="12" t="s">
        <v>55</v>
      </c>
      <c r="N123" s="8" t="s">
        <v>55</v>
      </c>
      <c r="O123" s="8" t="s">
        <v>228</v>
      </c>
      <c r="P123" s="8" t="s">
        <v>229</v>
      </c>
      <c r="Q123" s="8" t="s">
        <v>240</v>
      </c>
      <c r="R123" s="8" t="s">
        <v>49</v>
      </c>
      <c r="S123" s="8" t="s">
        <v>49</v>
      </c>
      <c r="T123" s="8" t="s">
        <v>49</v>
      </c>
      <c r="U123" s="8" t="s">
        <v>49</v>
      </c>
      <c r="V123" s="8" t="s">
        <v>49</v>
      </c>
      <c r="W123" s="8" t="s">
        <v>49</v>
      </c>
      <c r="X123" s="8" t="s">
        <v>55</v>
      </c>
      <c r="Y123" s="8" t="s">
        <v>55</v>
      </c>
      <c r="Z123" s="8" t="s">
        <v>55</v>
      </c>
      <c r="AA123" s="8" t="s">
        <v>231</v>
      </c>
      <c r="AB123" s="8" t="s">
        <v>60</v>
      </c>
      <c r="AC123" s="8" t="s">
        <v>348</v>
      </c>
      <c r="AD123" s="8" t="s">
        <v>732</v>
      </c>
      <c r="AE123" s="8" t="s">
        <v>733</v>
      </c>
      <c r="AF123" s="8" t="s">
        <v>734</v>
      </c>
      <c r="AG123" s="8" t="s">
        <v>719</v>
      </c>
      <c r="AH123" s="8" t="s">
        <v>55</v>
      </c>
      <c r="AI123" s="8" t="s">
        <v>94</v>
      </c>
      <c r="AJ123" s="8" t="s">
        <v>49</v>
      </c>
      <c r="AK123" s="8" t="s">
        <v>55</v>
      </c>
      <c r="AL123" s="8" t="s">
        <v>720</v>
      </c>
      <c r="AM123" s="8" t="s">
        <v>735</v>
      </c>
      <c r="AN123" s="16" t="s">
        <v>736</v>
      </c>
      <c r="AO123" s="9" t="s">
        <v>737</v>
      </c>
      <c r="AP123" s="10" t="s">
        <v>738</v>
      </c>
      <c r="AQ123" s="11"/>
      <c r="AR123" s="10" t="s">
        <v>739</v>
      </c>
      <c r="AS123" s="12"/>
      <c r="AT123" s="10" t="s">
        <v>740</v>
      </c>
      <c r="AU123" s="11"/>
      <c r="AV123" s="15">
        <v>46315.0</v>
      </c>
    </row>
    <row r="124" ht="16.5" hidden="1" customHeight="1">
      <c r="A124" s="7" t="s">
        <v>742</v>
      </c>
      <c r="B124" s="14" t="s">
        <v>717</v>
      </c>
      <c r="C124" s="14" t="s">
        <v>213</v>
      </c>
      <c r="D124" s="14" t="s">
        <v>344</v>
      </c>
      <c r="E124" s="7"/>
      <c r="F124" s="7">
        <v>6443.0</v>
      </c>
      <c r="G124" s="7">
        <v>6442.0</v>
      </c>
      <c r="H124" s="7" t="s">
        <v>53</v>
      </c>
      <c r="I124" s="7"/>
      <c r="J124" s="7"/>
      <c r="K124" s="8" t="s">
        <v>54</v>
      </c>
      <c r="L124" s="8" t="s">
        <v>55</v>
      </c>
      <c r="M124" s="12" t="s">
        <v>55</v>
      </c>
      <c r="N124" s="8" t="s">
        <v>55</v>
      </c>
      <c r="O124" s="8" t="s">
        <v>228</v>
      </c>
      <c r="P124" s="8" t="s">
        <v>229</v>
      </c>
      <c r="Q124" s="8" t="s">
        <v>240</v>
      </c>
      <c r="R124" s="8" t="s">
        <v>49</v>
      </c>
      <c r="S124" s="8" t="s">
        <v>49</v>
      </c>
      <c r="T124" s="8" t="s">
        <v>49</v>
      </c>
      <c r="U124" s="8" t="s">
        <v>49</v>
      </c>
      <c r="V124" s="8" t="s">
        <v>49</v>
      </c>
      <c r="W124" s="8" t="s">
        <v>49</v>
      </c>
      <c r="X124" s="8" t="s">
        <v>55</v>
      </c>
      <c r="Y124" s="8" t="s">
        <v>55</v>
      </c>
      <c r="Z124" s="8" t="s">
        <v>55</v>
      </c>
      <c r="AA124" s="8" t="s">
        <v>231</v>
      </c>
      <c r="AB124" s="8" t="s">
        <v>60</v>
      </c>
      <c r="AC124" s="8" t="s">
        <v>348</v>
      </c>
      <c r="AD124" s="8" t="s">
        <v>732</v>
      </c>
      <c r="AE124" s="8" t="s">
        <v>733</v>
      </c>
      <c r="AF124" s="8" t="s">
        <v>734</v>
      </c>
      <c r="AG124" s="8" t="s">
        <v>719</v>
      </c>
      <c r="AH124" s="8" t="s">
        <v>55</v>
      </c>
      <c r="AI124" s="8" t="s">
        <v>112</v>
      </c>
      <c r="AJ124" s="8" t="s">
        <v>49</v>
      </c>
      <c r="AK124" s="8" t="s">
        <v>55</v>
      </c>
      <c r="AL124" s="8" t="s">
        <v>720</v>
      </c>
      <c r="AM124" s="8"/>
      <c r="AN124" s="16" t="s">
        <v>743</v>
      </c>
      <c r="AO124" s="9" t="s">
        <v>744</v>
      </c>
      <c r="AP124" s="10" t="s">
        <v>738</v>
      </c>
      <c r="AQ124" s="11"/>
      <c r="AR124" s="10" t="s">
        <v>739</v>
      </c>
      <c r="AS124" s="12"/>
      <c r="AT124" s="10" t="s">
        <v>740</v>
      </c>
      <c r="AU124" s="11"/>
      <c r="AV124" s="13"/>
    </row>
    <row r="125" ht="16.5" hidden="1" customHeight="1">
      <c r="A125" s="7" t="s">
        <v>745</v>
      </c>
      <c r="B125" s="7" t="s">
        <v>717</v>
      </c>
      <c r="C125" s="7" t="s">
        <v>213</v>
      </c>
      <c r="D125" s="7" t="s">
        <v>51</v>
      </c>
      <c r="E125" s="7" t="s">
        <v>227</v>
      </c>
      <c r="F125" s="7">
        <v>6444.0</v>
      </c>
      <c r="G125" s="7"/>
      <c r="H125" s="7" t="s">
        <v>53</v>
      </c>
      <c r="I125" s="7"/>
      <c r="J125" s="7"/>
      <c r="K125" s="8" t="s">
        <v>633</v>
      </c>
      <c r="L125" s="8" t="s">
        <v>55</v>
      </c>
      <c r="M125" s="8"/>
      <c r="N125" s="8" t="s">
        <v>55</v>
      </c>
      <c r="O125" s="8" t="s">
        <v>228</v>
      </c>
      <c r="P125" s="8" t="s">
        <v>229</v>
      </c>
      <c r="Q125" s="8" t="s">
        <v>230</v>
      </c>
      <c r="R125" s="8" t="s">
        <v>49</v>
      </c>
      <c r="S125" s="8" t="s">
        <v>49</v>
      </c>
      <c r="T125" s="8" t="s">
        <v>49</v>
      </c>
      <c r="U125" s="8" t="s">
        <v>49</v>
      </c>
      <c r="V125" s="8" t="s">
        <v>49</v>
      </c>
      <c r="W125" s="8" t="s">
        <v>49</v>
      </c>
      <c r="X125" s="8" t="s">
        <v>49</v>
      </c>
      <c r="Y125" s="8" t="s">
        <v>49</v>
      </c>
      <c r="Z125" s="8" t="s">
        <v>49</v>
      </c>
      <c r="AA125" s="8" t="s">
        <v>231</v>
      </c>
      <c r="AB125" s="8" t="s">
        <v>60</v>
      </c>
      <c r="AC125" s="8" t="s">
        <v>61</v>
      </c>
      <c r="AD125" s="8" t="s">
        <v>746</v>
      </c>
      <c r="AE125" s="8" t="s">
        <v>55</v>
      </c>
      <c r="AF125" s="8" t="s">
        <v>55</v>
      </c>
      <c r="AG125" s="8" t="s">
        <v>719</v>
      </c>
      <c r="AH125" s="8" t="s">
        <v>55</v>
      </c>
      <c r="AI125" s="8" t="s">
        <v>94</v>
      </c>
      <c r="AJ125" s="8" t="s">
        <v>49</v>
      </c>
      <c r="AK125" s="8" t="s">
        <v>49</v>
      </c>
      <c r="AL125" s="8" t="s">
        <v>720</v>
      </c>
      <c r="AM125" s="8" t="s">
        <v>747</v>
      </c>
      <c r="AN125" s="9" t="s">
        <v>748</v>
      </c>
      <c r="AO125" s="9" t="s">
        <v>749</v>
      </c>
      <c r="AP125" s="10" t="s">
        <v>750</v>
      </c>
      <c r="AQ125" s="11"/>
      <c r="AR125" s="10" t="s">
        <v>751</v>
      </c>
      <c r="AS125" s="12"/>
      <c r="AT125" s="10" t="s">
        <v>752</v>
      </c>
      <c r="AU125" s="11"/>
      <c r="AV125" s="13"/>
    </row>
    <row r="126" ht="16.5" hidden="1" customHeight="1">
      <c r="A126" s="7" t="s">
        <v>753</v>
      </c>
      <c r="B126" s="7" t="s">
        <v>717</v>
      </c>
      <c r="C126" s="7" t="s">
        <v>213</v>
      </c>
      <c r="D126" s="7" t="s">
        <v>51</v>
      </c>
      <c r="E126" s="7" t="s">
        <v>227</v>
      </c>
      <c r="F126" s="7">
        <v>6444.0</v>
      </c>
      <c r="G126" s="7">
        <v>6444.0</v>
      </c>
      <c r="H126" s="7" t="s">
        <v>53</v>
      </c>
      <c r="I126" s="7"/>
      <c r="J126" s="7"/>
      <c r="K126" s="8" t="s">
        <v>633</v>
      </c>
      <c r="L126" s="8" t="s">
        <v>55</v>
      </c>
      <c r="M126" s="12" t="s">
        <v>55</v>
      </c>
      <c r="N126" s="8" t="s">
        <v>55</v>
      </c>
      <c r="O126" s="8" t="s">
        <v>228</v>
      </c>
      <c r="P126" s="8" t="s">
        <v>229</v>
      </c>
      <c r="Q126" s="8" t="s">
        <v>240</v>
      </c>
      <c r="R126" s="8" t="s">
        <v>49</v>
      </c>
      <c r="S126" s="8" t="s">
        <v>49</v>
      </c>
      <c r="T126" s="8" t="s">
        <v>49</v>
      </c>
      <c r="U126" s="8" t="s">
        <v>49</v>
      </c>
      <c r="V126" s="8" t="s">
        <v>49</v>
      </c>
      <c r="W126" s="8" t="s">
        <v>49</v>
      </c>
      <c r="X126" s="8" t="s">
        <v>55</v>
      </c>
      <c r="Y126" s="8" t="s">
        <v>55</v>
      </c>
      <c r="Z126" s="8" t="s">
        <v>55</v>
      </c>
      <c r="AA126" s="8" t="s">
        <v>231</v>
      </c>
      <c r="AB126" s="8" t="s">
        <v>60</v>
      </c>
      <c r="AC126" s="8" t="s">
        <v>61</v>
      </c>
      <c r="AD126" s="8" t="s">
        <v>746</v>
      </c>
      <c r="AE126" s="8" t="s">
        <v>55</v>
      </c>
      <c r="AF126" s="8" t="s">
        <v>55</v>
      </c>
      <c r="AG126" s="8" t="s">
        <v>719</v>
      </c>
      <c r="AH126" s="8" t="s">
        <v>55</v>
      </c>
      <c r="AI126" s="8" t="s">
        <v>94</v>
      </c>
      <c r="AJ126" s="8" t="s">
        <v>49</v>
      </c>
      <c r="AK126" s="8" t="s">
        <v>55</v>
      </c>
      <c r="AL126" s="8" t="s">
        <v>720</v>
      </c>
      <c r="AM126" s="8" t="s">
        <v>747</v>
      </c>
      <c r="AN126" s="16" t="s">
        <v>748</v>
      </c>
      <c r="AO126" s="9" t="s">
        <v>749</v>
      </c>
      <c r="AP126" s="10" t="s">
        <v>750</v>
      </c>
      <c r="AQ126" s="11"/>
      <c r="AR126" s="10" t="s">
        <v>751</v>
      </c>
      <c r="AS126" s="12"/>
      <c r="AT126" s="10" t="s">
        <v>752</v>
      </c>
      <c r="AU126" s="11"/>
      <c r="AV126" s="15">
        <v>46315.0</v>
      </c>
    </row>
    <row r="127" ht="16.5" hidden="1" customHeight="1">
      <c r="A127" s="7" t="s">
        <v>754</v>
      </c>
      <c r="B127" s="7" t="s">
        <v>717</v>
      </c>
      <c r="C127" s="14" t="s">
        <v>213</v>
      </c>
      <c r="D127" s="14" t="s">
        <v>51</v>
      </c>
      <c r="E127" s="7"/>
      <c r="F127" s="7">
        <v>6445.0</v>
      </c>
      <c r="G127" s="7">
        <v>6444.0</v>
      </c>
      <c r="H127" s="7" t="s">
        <v>53</v>
      </c>
      <c r="I127" s="7"/>
      <c r="J127" s="7"/>
      <c r="K127" s="8" t="s">
        <v>633</v>
      </c>
      <c r="L127" s="8" t="s">
        <v>55</v>
      </c>
      <c r="M127" s="12" t="s">
        <v>55</v>
      </c>
      <c r="N127" s="8" t="s">
        <v>55</v>
      </c>
      <c r="O127" s="8" t="s">
        <v>228</v>
      </c>
      <c r="P127" s="8" t="s">
        <v>229</v>
      </c>
      <c r="Q127" s="8" t="s">
        <v>240</v>
      </c>
      <c r="R127" s="8" t="s">
        <v>49</v>
      </c>
      <c r="S127" s="8" t="s">
        <v>49</v>
      </c>
      <c r="T127" s="8" t="s">
        <v>49</v>
      </c>
      <c r="U127" s="8" t="s">
        <v>49</v>
      </c>
      <c r="V127" s="8" t="s">
        <v>49</v>
      </c>
      <c r="W127" s="8" t="s">
        <v>49</v>
      </c>
      <c r="X127" s="8" t="s">
        <v>55</v>
      </c>
      <c r="Y127" s="8" t="s">
        <v>55</v>
      </c>
      <c r="Z127" s="8" t="s">
        <v>55</v>
      </c>
      <c r="AA127" s="8" t="s">
        <v>231</v>
      </c>
      <c r="AB127" s="8" t="s">
        <v>60</v>
      </c>
      <c r="AC127" s="8" t="s">
        <v>61</v>
      </c>
      <c r="AD127" s="8" t="s">
        <v>746</v>
      </c>
      <c r="AE127" s="8" t="s">
        <v>55</v>
      </c>
      <c r="AF127" s="8" t="s">
        <v>55</v>
      </c>
      <c r="AG127" s="8" t="s">
        <v>719</v>
      </c>
      <c r="AH127" s="8" t="s">
        <v>55</v>
      </c>
      <c r="AI127" s="8" t="s">
        <v>112</v>
      </c>
      <c r="AJ127" s="8" t="s">
        <v>49</v>
      </c>
      <c r="AK127" s="8" t="s">
        <v>55</v>
      </c>
      <c r="AL127" s="8" t="s">
        <v>720</v>
      </c>
      <c r="AM127" s="8"/>
      <c r="AN127" s="12" t="s">
        <v>224</v>
      </c>
      <c r="AO127" s="9" t="s">
        <v>755</v>
      </c>
      <c r="AP127" s="10" t="s">
        <v>750</v>
      </c>
      <c r="AQ127" s="11"/>
      <c r="AR127" s="10" t="s">
        <v>751</v>
      </c>
      <c r="AS127" s="12"/>
      <c r="AT127" s="10" t="s">
        <v>752</v>
      </c>
      <c r="AU127" s="11"/>
      <c r="AV127" s="13"/>
    </row>
    <row r="128" ht="16.5" hidden="1" customHeight="1">
      <c r="A128" s="7" t="s">
        <v>756</v>
      </c>
      <c r="B128" s="7" t="s">
        <v>717</v>
      </c>
      <c r="C128" s="7" t="s">
        <v>213</v>
      </c>
      <c r="D128" s="7" t="s">
        <v>376</v>
      </c>
      <c r="E128" s="7" t="s">
        <v>227</v>
      </c>
      <c r="F128" s="7">
        <v>6446.0</v>
      </c>
      <c r="G128" s="7"/>
      <c r="H128" s="7" t="s">
        <v>53</v>
      </c>
      <c r="I128" s="7"/>
      <c r="J128" s="7"/>
      <c r="K128" s="8" t="s">
        <v>633</v>
      </c>
      <c r="L128" s="8" t="s">
        <v>55</v>
      </c>
      <c r="M128" s="8"/>
      <c r="N128" s="8" t="s">
        <v>55</v>
      </c>
      <c r="O128" s="8" t="s">
        <v>228</v>
      </c>
      <c r="P128" s="8" t="s">
        <v>229</v>
      </c>
      <c r="Q128" s="8" t="s">
        <v>230</v>
      </c>
      <c r="R128" s="8" t="s">
        <v>49</v>
      </c>
      <c r="S128" s="8" t="s">
        <v>49</v>
      </c>
      <c r="T128" s="8" t="s">
        <v>49</v>
      </c>
      <c r="U128" s="8" t="s">
        <v>49</v>
      </c>
      <c r="V128" s="8" t="s">
        <v>49</v>
      </c>
      <c r="W128" s="8" t="s">
        <v>49</v>
      </c>
      <c r="X128" s="8" t="s">
        <v>49</v>
      </c>
      <c r="Y128" s="8" t="s">
        <v>49</v>
      </c>
      <c r="Z128" s="8" t="s">
        <v>49</v>
      </c>
      <c r="AA128" s="8" t="s">
        <v>231</v>
      </c>
      <c r="AB128" s="8" t="s">
        <v>60</v>
      </c>
      <c r="AC128" s="8" t="s">
        <v>348</v>
      </c>
      <c r="AD128" s="8" t="s">
        <v>757</v>
      </c>
      <c r="AE128" s="8" t="s">
        <v>758</v>
      </c>
      <c r="AF128" s="8" t="s">
        <v>759</v>
      </c>
      <c r="AG128" s="8" t="s">
        <v>719</v>
      </c>
      <c r="AH128" s="8" t="s">
        <v>55</v>
      </c>
      <c r="AI128" s="8" t="s">
        <v>94</v>
      </c>
      <c r="AJ128" s="8" t="s">
        <v>49</v>
      </c>
      <c r="AK128" s="8" t="s">
        <v>49</v>
      </c>
      <c r="AL128" s="8" t="s">
        <v>720</v>
      </c>
      <c r="AM128" s="8" t="s">
        <v>760</v>
      </c>
      <c r="AN128" s="9" t="s">
        <v>761</v>
      </c>
      <c r="AO128" s="9" t="s">
        <v>762</v>
      </c>
      <c r="AP128" s="10" t="s">
        <v>763</v>
      </c>
      <c r="AQ128" s="11"/>
      <c r="AR128" s="10" t="s">
        <v>764</v>
      </c>
      <c r="AS128" s="12"/>
      <c r="AT128" s="10" t="s">
        <v>765</v>
      </c>
      <c r="AU128" s="11"/>
      <c r="AV128" s="13"/>
    </row>
    <row r="129" ht="16.5" hidden="1" customHeight="1">
      <c r="A129" s="7" t="s">
        <v>766</v>
      </c>
      <c r="B129" s="7" t="s">
        <v>717</v>
      </c>
      <c r="C129" s="7" t="s">
        <v>213</v>
      </c>
      <c r="D129" s="14" t="s">
        <v>344</v>
      </c>
      <c r="E129" s="7" t="s">
        <v>227</v>
      </c>
      <c r="F129" s="7">
        <v>6446.0</v>
      </c>
      <c r="G129" s="7">
        <v>6446.0</v>
      </c>
      <c r="H129" s="7" t="s">
        <v>53</v>
      </c>
      <c r="I129" s="7"/>
      <c r="J129" s="7"/>
      <c r="K129" s="8" t="s">
        <v>633</v>
      </c>
      <c r="L129" s="8" t="s">
        <v>55</v>
      </c>
      <c r="M129" s="12" t="s">
        <v>55</v>
      </c>
      <c r="N129" s="8" t="s">
        <v>55</v>
      </c>
      <c r="O129" s="8" t="s">
        <v>228</v>
      </c>
      <c r="P129" s="8" t="s">
        <v>229</v>
      </c>
      <c r="Q129" s="8" t="s">
        <v>240</v>
      </c>
      <c r="R129" s="8" t="s">
        <v>49</v>
      </c>
      <c r="S129" s="8" t="s">
        <v>49</v>
      </c>
      <c r="T129" s="8" t="s">
        <v>49</v>
      </c>
      <c r="U129" s="8" t="s">
        <v>49</v>
      </c>
      <c r="V129" s="8" t="s">
        <v>49</v>
      </c>
      <c r="W129" s="8" t="s">
        <v>49</v>
      </c>
      <c r="X129" s="8" t="s">
        <v>55</v>
      </c>
      <c r="Y129" s="8" t="s">
        <v>55</v>
      </c>
      <c r="Z129" s="8" t="s">
        <v>55</v>
      </c>
      <c r="AA129" s="8" t="s">
        <v>231</v>
      </c>
      <c r="AB129" s="8" t="s">
        <v>60</v>
      </c>
      <c r="AC129" s="8" t="s">
        <v>348</v>
      </c>
      <c r="AD129" s="8" t="s">
        <v>757</v>
      </c>
      <c r="AE129" s="8" t="s">
        <v>758</v>
      </c>
      <c r="AF129" s="8" t="s">
        <v>759</v>
      </c>
      <c r="AG129" s="8" t="s">
        <v>719</v>
      </c>
      <c r="AH129" s="8" t="s">
        <v>55</v>
      </c>
      <c r="AI129" s="8" t="s">
        <v>94</v>
      </c>
      <c r="AJ129" s="8" t="s">
        <v>49</v>
      </c>
      <c r="AK129" s="8" t="s">
        <v>55</v>
      </c>
      <c r="AL129" s="8" t="s">
        <v>720</v>
      </c>
      <c r="AM129" s="8" t="s">
        <v>760</v>
      </c>
      <c r="AN129" s="16" t="s">
        <v>761</v>
      </c>
      <c r="AO129" s="9" t="s">
        <v>762</v>
      </c>
      <c r="AP129" s="10" t="s">
        <v>763</v>
      </c>
      <c r="AQ129" s="11"/>
      <c r="AR129" s="10" t="s">
        <v>764</v>
      </c>
      <c r="AS129" s="12"/>
      <c r="AT129" s="10" t="s">
        <v>765</v>
      </c>
      <c r="AU129" s="11"/>
      <c r="AV129" s="13"/>
    </row>
    <row r="130" ht="16.5" hidden="1" customHeight="1">
      <c r="A130" s="7" t="s">
        <v>767</v>
      </c>
      <c r="B130" s="7" t="s">
        <v>717</v>
      </c>
      <c r="C130" s="14" t="s">
        <v>213</v>
      </c>
      <c r="D130" s="14" t="s">
        <v>344</v>
      </c>
      <c r="E130" s="7"/>
      <c r="F130" s="7">
        <v>6447.0</v>
      </c>
      <c r="G130" s="7">
        <v>6446.0</v>
      </c>
      <c r="H130" s="7" t="s">
        <v>53</v>
      </c>
      <c r="I130" s="7"/>
      <c r="J130" s="7"/>
      <c r="K130" s="8" t="s">
        <v>633</v>
      </c>
      <c r="L130" s="8" t="s">
        <v>55</v>
      </c>
      <c r="M130" s="12" t="s">
        <v>55</v>
      </c>
      <c r="N130" s="8" t="s">
        <v>55</v>
      </c>
      <c r="O130" s="8" t="s">
        <v>228</v>
      </c>
      <c r="P130" s="8" t="s">
        <v>229</v>
      </c>
      <c r="Q130" s="8" t="s">
        <v>240</v>
      </c>
      <c r="R130" s="8" t="s">
        <v>49</v>
      </c>
      <c r="S130" s="8" t="s">
        <v>49</v>
      </c>
      <c r="T130" s="8" t="s">
        <v>49</v>
      </c>
      <c r="U130" s="8" t="s">
        <v>49</v>
      </c>
      <c r="V130" s="8" t="s">
        <v>49</v>
      </c>
      <c r="W130" s="8" t="s">
        <v>49</v>
      </c>
      <c r="X130" s="8" t="s">
        <v>55</v>
      </c>
      <c r="Y130" s="8" t="s">
        <v>55</v>
      </c>
      <c r="Z130" s="8" t="s">
        <v>55</v>
      </c>
      <c r="AA130" s="8" t="s">
        <v>231</v>
      </c>
      <c r="AB130" s="8" t="s">
        <v>60</v>
      </c>
      <c r="AC130" s="8" t="s">
        <v>348</v>
      </c>
      <c r="AD130" s="8" t="s">
        <v>757</v>
      </c>
      <c r="AE130" s="8" t="s">
        <v>758</v>
      </c>
      <c r="AF130" s="8" t="s">
        <v>759</v>
      </c>
      <c r="AG130" s="8" t="s">
        <v>719</v>
      </c>
      <c r="AH130" s="8" t="s">
        <v>55</v>
      </c>
      <c r="AI130" s="8" t="s">
        <v>112</v>
      </c>
      <c r="AJ130" s="8" t="s">
        <v>49</v>
      </c>
      <c r="AK130" s="8" t="s">
        <v>55</v>
      </c>
      <c r="AL130" s="8" t="s">
        <v>720</v>
      </c>
      <c r="AM130" s="8"/>
      <c r="AN130" s="16" t="s">
        <v>768</v>
      </c>
      <c r="AO130" s="9" t="s">
        <v>769</v>
      </c>
      <c r="AP130" s="10" t="s">
        <v>763</v>
      </c>
      <c r="AQ130" s="11"/>
      <c r="AR130" s="10" t="s">
        <v>764</v>
      </c>
      <c r="AS130" s="12"/>
      <c r="AT130" s="10" t="s">
        <v>765</v>
      </c>
      <c r="AU130" s="11"/>
      <c r="AV130" s="13"/>
    </row>
    <row r="131" ht="16.5" hidden="1" customHeight="1">
      <c r="A131" s="7" t="s">
        <v>770</v>
      </c>
      <c r="B131" s="7" t="s">
        <v>717</v>
      </c>
      <c r="C131" s="14" t="s">
        <v>213</v>
      </c>
      <c r="D131" s="14" t="s">
        <v>51</v>
      </c>
      <c r="E131" s="7"/>
      <c r="F131" s="7">
        <v>6448.0</v>
      </c>
      <c r="G131" s="7">
        <v>6440.0</v>
      </c>
      <c r="H131" s="7" t="s">
        <v>53</v>
      </c>
      <c r="I131" s="7"/>
      <c r="J131" s="7"/>
      <c r="K131" s="8" t="s">
        <v>76</v>
      </c>
      <c r="L131" s="8" t="s">
        <v>55</v>
      </c>
      <c r="M131" s="12" t="s">
        <v>55</v>
      </c>
      <c r="N131" s="8" t="s">
        <v>55</v>
      </c>
      <c r="O131" s="8" t="s">
        <v>228</v>
      </c>
      <c r="P131" s="8" t="s">
        <v>229</v>
      </c>
      <c r="Q131" s="8" t="s">
        <v>245</v>
      </c>
      <c r="R131" s="8" t="s">
        <v>49</v>
      </c>
      <c r="S131" s="8" t="s">
        <v>49</v>
      </c>
      <c r="T131" s="8" t="s">
        <v>49</v>
      </c>
      <c r="U131" s="8" t="s">
        <v>49</v>
      </c>
      <c r="V131" s="8" t="s">
        <v>49</v>
      </c>
      <c r="W131" s="8" t="s">
        <v>49</v>
      </c>
      <c r="X131" s="8" t="s">
        <v>55</v>
      </c>
      <c r="Y131" s="8" t="s">
        <v>55</v>
      </c>
      <c r="Z131" s="8" t="s">
        <v>55</v>
      </c>
      <c r="AA131" s="8" t="s">
        <v>231</v>
      </c>
      <c r="AB131" s="8" t="s">
        <v>60</v>
      </c>
      <c r="AC131" s="8" t="s">
        <v>61</v>
      </c>
      <c r="AD131" s="8" t="s">
        <v>771</v>
      </c>
      <c r="AE131" s="8" t="s">
        <v>55</v>
      </c>
      <c r="AF131" s="8" t="s">
        <v>55</v>
      </c>
      <c r="AG131" s="8" t="s">
        <v>719</v>
      </c>
      <c r="AH131" s="8" t="s">
        <v>55</v>
      </c>
      <c r="AI131" s="8" t="s">
        <v>94</v>
      </c>
      <c r="AJ131" s="8" t="s">
        <v>49</v>
      </c>
      <c r="AK131" s="8" t="s">
        <v>55</v>
      </c>
      <c r="AL131" s="8" t="s">
        <v>720</v>
      </c>
      <c r="AM131" s="8"/>
      <c r="AN131" s="9" t="s">
        <v>772</v>
      </c>
      <c r="AO131" s="9" t="s">
        <v>773</v>
      </c>
      <c r="AP131" s="10" t="s">
        <v>724</v>
      </c>
      <c r="AQ131" s="11"/>
      <c r="AR131" s="10" t="s">
        <v>774</v>
      </c>
      <c r="AS131" s="12"/>
      <c r="AT131" s="10" t="s">
        <v>775</v>
      </c>
      <c r="AU131" s="11"/>
      <c r="AV131" s="13"/>
    </row>
    <row r="132" ht="16.5" hidden="1" customHeight="1">
      <c r="A132" s="7" t="s">
        <v>776</v>
      </c>
      <c r="B132" s="7" t="s">
        <v>717</v>
      </c>
      <c r="C132" s="14" t="s">
        <v>213</v>
      </c>
      <c r="D132" s="14" t="s">
        <v>51</v>
      </c>
      <c r="E132" s="7"/>
      <c r="F132" s="7">
        <v>6449.0</v>
      </c>
      <c r="G132" s="7">
        <v>6440.0</v>
      </c>
      <c r="H132" s="7" t="s">
        <v>53</v>
      </c>
      <c r="I132" s="7"/>
      <c r="J132" s="7"/>
      <c r="K132" s="8" t="s">
        <v>76</v>
      </c>
      <c r="L132" s="8" t="s">
        <v>55</v>
      </c>
      <c r="M132" s="12" t="s">
        <v>55</v>
      </c>
      <c r="N132" s="8" t="s">
        <v>55</v>
      </c>
      <c r="O132" s="8" t="s">
        <v>228</v>
      </c>
      <c r="P132" s="8" t="s">
        <v>229</v>
      </c>
      <c r="Q132" s="8" t="s">
        <v>245</v>
      </c>
      <c r="R132" s="8" t="s">
        <v>49</v>
      </c>
      <c r="S132" s="8" t="s">
        <v>49</v>
      </c>
      <c r="T132" s="8" t="s">
        <v>49</v>
      </c>
      <c r="U132" s="8" t="s">
        <v>49</v>
      </c>
      <c r="V132" s="8" t="s">
        <v>49</v>
      </c>
      <c r="W132" s="8" t="s">
        <v>49</v>
      </c>
      <c r="X132" s="8" t="s">
        <v>55</v>
      </c>
      <c r="Y132" s="8" t="s">
        <v>55</v>
      </c>
      <c r="Z132" s="8" t="s">
        <v>55</v>
      </c>
      <c r="AA132" s="8" t="s">
        <v>231</v>
      </c>
      <c r="AB132" s="8" t="s">
        <v>60</v>
      </c>
      <c r="AC132" s="8" t="s">
        <v>61</v>
      </c>
      <c r="AD132" s="8" t="s">
        <v>771</v>
      </c>
      <c r="AE132" s="8" t="s">
        <v>55</v>
      </c>
      <c r="AF132" s="8" t="s">
        <v>55</v>
      </c>
      <c r="AG132" s="8" t="s">
        <v>719</v>
      </c>
      <c r="AH132" s="8" t="s">
        <v>55</v>
      </c>
      <c r="AI132" s="8" t="s">
        <v>112</v>
      </c>
      <c r="AJ132" s="8" t="s">
        <v>49</v>
      </c>
      <c r="AK132" s="8" t="s">
        <v>55</v>
      </c>
      <c r="AL132" s="8" t="s">
        <v>720</v>
      </c>
      <c r="AM132" s="8"/>
      <c r="AN132" s="16" t="s">
        <v>777</v>
      </c>
      <c r="AO132" s="9" t="s">
        <v>778</v>
      </c>
      <c r="AP132" s="10" t="s">
        <v>724</v>
      </c>
      <c r="AQ132" s="11"/>
      <c r="AR132" s="10" t="s">
        <v>774</v>
      </c>
      <c r="AS132" s="12"/>
      <c r="AT132" s="10" t="s">
        <v>775</v>
      </c>
      <c r="AU132" s="11"/>
      <c r="AV132" s="13"/>
    </row>
    <row r="133" ht="16.5" hidden="1" customHeight="1">
      <c r="A133" s="7" t="s">
        <v>779</v>
      </c>
      <c r="B133" s="14" t="s">
        <v>717</v>
      </c>
      <c r="C133" s="14" t="s">
        <v>213</v>
      </c>
      <c r="D133" s="14" t="s">
        <v>344</v>
      </c>
      <c r="E133" s="7"/>
      <c r="F133" s="7">
        <v>6450.0</v>
      </c>
      <c r="G133" s="7">
        <v>6442.0</v>
      </c>
      <c r="H133" s="7" t="s">
        <v>53</v>
      </c>
      <c r="I133" s="7"/>
      <c r="J133" s="7"/>
      <c r="K133" s="8" t="s">
        <v>76</v>
      </c>
      <c r="L133" s="8" t="s">
        <v>55</v>
      </c>
      <c r="M133" s="12" t="s">
        <v>55</v>
      </c>
      <c r="N133" s="8" t="s">
        <v>55</v>
      </c>
      <c r="O133" s="8" t="s">
        <v>228</v>
      </c>
      <c r="P133" s="8" t="s">
        <v>229</v>
      </c>
      <c r="Q133" s="8" t="s">
        <v>245</v>
      </c>
      <c r="R133" s="8" t="s">
        <v>49</v>
      </c>
      <c r="S133" s="8" t="s">
        <v>49</v>
      </c>
      <c r="T133" s="8" t="s">
        <v>49</v>
      </c>
      <c r="U133" s="8" t="s">
        <v>49</v>
      </c>
      <c r="V133" s="8" t="s">
        <v>49</v>
      </c>
      <c r="W133" s="8" t="s">
        <v>49</v>
      </c>
      <c r="X133" s="8" t="s">
        <v>55</v>
      </c>
      <c r="Y133" s="8" t="s">
        <v>55</v>
      </c>
      <c r="Z133" s="8" t="s">
        <v>55</v>
      </c>
      <c r="AA133" s="8" t="s">
        <v>231</v>
      </c>
      <c r="AB133" s="8" t="s">
        <v>60</v>
      </c>
      <c r="AC133" s="8" t="s">
        <v>348</v>
      </c>
      <c r="AD133" s="8" t="s">
        <v>780</v>
      </c>
      <c r="AE133" s="8" t="s">
        <v>781</v>
      </c>
      <c r="AF133" s="8" t="s">
        <v>734</v>
      </c>
      <c r="AG133" s="8" t="s">
        <v>719</v>
      </c>
      <c r="AH133" s="8" t="s">
        <v>55</v>
      </c>
      <c r="AI133" s="8" t="s">
        <v>94</v>
      </c>
      <c r="AJ133" s="8" t="s">
        <v>49</v>
      </c>
      <c r="AK133" s="8" t="s">
        <v>55</v>
      </c>
      <c r="AL133" s="8" t="s">
        <v>720</v>
      </c>
      <c r="AM133" s="8"/>
      <c r="AN133" s="9" t="s">
        <v>782</v>
      </c>
      <c r="AO133" s="9" t="s">
        <v>783</v>
      </c>
      <c r="AP133" s="10" t="s">
        <v>738</v>
      </c>
      <c r="AQ133" s="11"/>
      <c r="AR133" s="10" t="s">
        <v>784</v>
      </c>
      <c r="AS133" s="12"/>
      <c r="AT133" s="10" t="s">
        <v>785</v>
      </c>
      <c r="AU133" s="11"/>
      <c r="AV133" s="13"/>
    </row>
    <row r="134" ht="16.5" hidden="1" customHeight="1">
      <c r="A134" s="7" t="s">
        <v>786</v>
      </c>
      <c r="B134" s="14" t="s">
        <v>717</v>
      </c>
      <c r="C134" s="14" t="s">
        <v>213</v>
      </c>
      <c r="D134" s="14" t="s">
        <v>344</v>
      </c>
      <c r="E134" s="7"/>
      <c r="F134" s="7">
        <v>6451.0</v>
      </c>
      <c r="G134" s="7">
        <v>6442.0</v>
      </c>
      <c r="H134" s="7" t="s">
        <v>53</v>
      </c>
      <c r="I134" s="7"/>
      <c r="J134" s="7"/>
      <c r="K134" s="8" t="s">
        <v>76</v>
      </c>
      <c r="L134" s="8" t="s">
        <v>55</v>
      </c>
      <c r="M134" s="12" t="s">
        <v>55</v>
      </c>
      <c r="N134" s="8" t="s">
        <v>55</v>
      </c>
      <c r="O134" s="8" t="s">
        <v>228</v>
      </c>
      <c r="P134" s="8" t="s">
        <v>229</v>
      </c>
      <c r="Q134" s="8" t="s">
        <v>245</v>
      </c>
      <c r="R134" s="8" t="s">
        <v>49</v>
      </c>
      <c r="S134" s="8" t="s">
        <v>49</v>
      </c>
      <c r="T134" s="8" t="s">
        <v>49</v>
      </c>
      <c r="U134" s="8" t="s">
        <v>49</v>
      </c>
      <c r="V134" s="8" t="s">
        <v>49</v>
      </c>
      <c r="W134" s="8" t="s">
        <v>49</v>
      </c>
      <c r="X134" s="8" t="s">
        <v>55</v>
      </c>
      <c r="Y134" s="8" t="s">
        <v>55</v>
      </c>
      <c r="Z134" s="8" t="s">
        <v>55</v>
      </c>
      <c r="AA134" s="8" t="s">
        <v>231</v>
      </c>
      <c r="AB134" s="8" t="s">
        <v>60</v>
      </c>
      <c r="AC134" s="8" t="s">
        <v>348</v>
      </c>
      <c r="AD134" s="8" t="s">
        <v>780</v>
      </c>
      <c r="AE134" s="8" t="s">
        <v>781</v>
      </c>
      <c r="AF134" s="8" t="s">
        <v>734</v>
      </c>
      <c r="AG134" s="8" t="s">
        <v>719</v>
      </c>
      <c r="AH134" s="8" t="s">
        <v>55</v>
      </c>
      <c r="AI134" s="8" t="s">
        <v>112</v>
      </c>
      <c r="AJ134" s="8" t="s">
        <v>49</v>
      </c>
      <c r="AK134" s="8" t="s">
        <v>55</v>
      </c>
      <c r="AL134" s="8" t="s">
        <v>720</v>
      </c>
      <c r="AM134" s="8"/>
      <c r="AN134" s="12" t="s">
        <v>224</v>
      </c>
      <c r="AO134" s="9" t="s">
        <v>787</v>
      </c>
      <c r="AP134" s="10" t="s">
        <v>738</v>
      </c>
      <c r="AQ134" s="11"/>
      <c r="AR134" s="10" t="s">
        <v>784</v>
      </c>
      <c r="AS134" s="12"/>
      <c r="AT134" s="10" t="s">
        <v>785</v>
      </c>
      <c r="AU134" s="11"/>
      <c r="AV134" s="13"/>
    </row>
    <row r="135" ht="16.5" hidden="1" customHeight="1">
      <c r="A135" s="7" t="s">
        <v>788</v>
      </c>
      <c r="B135" s="7" t="s">
        <v>717</v>
      </c>
      <c r="C135" s="14" t="s">
        <v>213</v>
      </c>
      <c r="D135" s="14" t="s">
        <v>51</v>
      </c>
      <c r="E135" s="7"/>
      <c r="F135" s="7">
        <v>6452.0</v>
      </c>
      <c r="G135" s="7">
        <v>6444.0</v>
      </c>
      <c r="H135" s="7" t="s">
        <v>53</v>
      </c>
      <c r="I135" s="7"/>
      <c r="J135" s="7"/>
      <c r="K135" s="8" t="s">
        <v>789</v>
      </c>
      <c r="L135" s="8" t="s">
        <v>55</v>
      </c>
      <c r="M135" s="12" t="s">
        <v>55</v>
      </c>
      <c r="N135" s="8" t="s">
        <v>55</v>
      </c>
      <c r="O135" s="8" t="s">
        <v>228</v>
      </c>
      <c r="P135" s="8" t="s">
        <v>229</v>
      </c>
      <c r="Q135" s="8" t="s">
        <v>245</v>
      </c>
      <c r="R135" s="8" t="s">
        <v>49</v>
      </c>
      <c r="S135" s="8" t="s">
        <v>49</v>
      </c>
      <c r="T135" s="8" t="s">
        <v>49</v>
      </c>
      <c r="U135" s="8" t="s">
        <v>49</v>
      </c>
      <c r="V135" s="8" t="s">
        <v>49</v>
      </c>
      <c r="W135" s="8" t="s">
        <v>49</v>
      </c>
      <c r="X135" s="8" t="s">
        <v>55</v>
      </c>
      <c r="Y135" s="8" t="s">
        <v>55</v>
      </c>
      <c r="Z135" s="8" t="s">
        <v>55</v>
      </c>
      <c r="AA135" s="8" t="s">
        <v>231</v>
      </c>
      <c r="AB135" s="8" t="s">
        <v>60</v>
      </c>
      <c r="AC135" s="8" t="s">
        <v>61</v>
      </c>
      <c r="AD135" s="8" t="s">
        <v>790</v>
      </c>
      <c r="AE135" s="8" t="s">
        <v>55</v>
      </c>
      <c r="AF135" s="8" t="s">
        <v>55</v>
      </c>
      <c r="AG135" s="8" t="s">
        <v>719</v>
      </c>
      <c r="AH135" s="8" t="s">
        <v>55</v>
      </c>
      <c r="AI135" s="8" t="s">
        <v>94</v>
      </c>
      <c r="AJ135" s="8" t="s">
        <v>49</v>
      </c>
      <c r="AK135" s="8" t="s">
        <v>55</v>
      </c>
      <c r="AL135" s="8" t="s">
        <v>720</v>
      </c>
      <c r="AM135" s="8"/>
      <c r="AN135" s="16" t="s">
        <v>791</v>
      </c>
      <c r="AO135" s="9" t="s">
        <v>792</v>
      </c>
      <c r="AP135" s="10" t="s">
        <v>750</v>
      </c>
      <c r="AQ135" s="11"/>
      <c r="AR135" s="10" t="s">
        <v>793</v>
      </c>
      <c r="AS135" s="12"/>
      <c r="AT135" s="10" t="s">
        <v>794</v>
      </c>
      <c r="AU135" s="11"/>
      <c r="AV135" s="15">
        <v>46315.0</v>
      </c>
    </row>
    <row r="136" ht="16.5" hidden="1" customHeight="1">
      <c r="A136" s="7" t="s">
        <v>795</v>
      </c>
      <c r="B136" s="7" t="s">
        <v>717</v>
      </c>
      <c r="C136" s="14" t="s">
        <v>213</v>
      </c>
      <c r="D136" s="14" t="s">
        <v>51</v>
      </c>
      <c r="E136" s="7"/>
      <c r="F136" s="7">
        <v>6453.0</v>
      </c>
      <c r="G136" s="7">
        <v>6444.0</v>
      </c>
      <c r="H136" s="7" t="s">
        <v>53</v>
      </c>
      <c r="I136" s="7"/>
      <c r="J136" s="7"/>
      <c r="K136" s="8" t="s">
        <v>789</v>
      </c>
      <c r="L136" s="8" t="s">
        <v>55</v>
      </c>
      <c r="M136" s="12" t="s">
        <v>55</v>
      </c>
      <c r="N136" s="8" t="s">
        <v>55</v>
      </c>
      <c r="O136" s="8" t="s">
        <v>228</v>
      </c>
      <c r="P136" s="8" t="s">
        <v>229</v>
      </c>
      <c r="Q136" s="8" t="s">
        <v>245</v>
      </c>
      <c r="R136" s="8" t="s">
        <v>49</v>
      </c>
      <c r="S136" s="8" t="s">
        <v>49</v>
      </c>
      <c r="T136" s="8" t="s">
        <v>49</v>
      </c>
      <c r="U136" s="8" t="s">
        <v>49</v>
      </c>
      <c r="V136" s="8" t="s">
        <v>49</v>
      </c>
      <c r="W136" s="8" t="s">
        <v>49</v>
      </c>
      <c r="X136" s="8" t="s">
        <v>55</v>
      </c>
      <c r="Y136" s="8" t="s">
        <v>55</v>
      </c>
      <c r="Z136" s="8" t="s">
        <v>55</v>
      </c>
      <c r="AA136" s="8" t="s">
        <v>231</v>
      </c>
      <c r="AB136" s="8" t="s">
        <v>60</v>
      </c>
      <c r="AC136" s="8" t="s">
        <v>61</v>
      </c>
      <c r="AD136" s="8" t="s">
        <v>790</v>
      </c>
      <c r="AE136" s="8" t="s">
        <v>55</v>
      </c>
      <c r="AF136" s="8" t="s">
        <v>55</v>
      </c>
      <c r="AG136" s="8" t="s">
        <v>719</v>
      </c>
      <c r="AH136" s="8" t="s">
        <v>55</v>
      </c>
      <c r="AI136" s="8" t="s">
        <v>112</v>
      </c>
      <c r="AJ136" s="8" t="s">
        <v>49</v>
      </c>
      <c r="AK136" s="8" t="s">
        <v>55</v>
      </c>
      <c r="AL136" s="8" t="s">
        <v>720</v>
      </c>
      <c r="AM136" s="8"/>
      <c r="AN136" s="16" t="s">
        <v>796</v>
      </c>
      <c r="AO136" s="9" t="s">
        <v>797</v>
      </c>
      <c r="AP136" s="10" t="s">
        <v>750</v>
      </c>
      <c r="AQ136" s="11"/>
      <c r="AR136" s="10" t="s">
        <v>793</v>
      </c>
      <c r="AS136" s="12"/>
      <c r="AT136" s="10" t="s">
        <v>794</v>
      </c>
      <c r="AU136" s="11"/>
      <c r="AV136" s="15">
        <v>46315.0</v>
      </c>
    </row>
    <row r="137" ht="16.5" hidden="1" customHeight="1">
      <c r="A137" s="7" t="s">
        <v>798</v>
      </c>
      <c r="B137" s="7" t="s">
        <v>717</v>
      </c>
      <c r="C137" s="14" t="s">
        <v>213</v>
      </c>
      <c r="D137" s="14" t="s">
        <v>344</v>
      </c>
      <c r="E137" s="7"/>
      <c r="F137" s="7">
        <v>6454.0</v>
      </c>
      <c r="G137" s="7">
        <v>6446.0</v>
      </c>
      <c r="H137" s="7" t="s">
        <v>53</v>
      </c>
      <c r="I137" s="7"/>
      <c r="J137" s="7"/>
      <c r="K137" s="8" t="s">
        <v>789</v>
      </c>
      <c r="L137" s="8" t="s">
        <v>55</v>
      </c>
      <c r="M137" s="12" t="s">
        <v>55</v>
      </c>
      <c r="N137" s="8" t="s">
        <v>55</v>
      </c>
      <c r="O137" s="8" t="s">
        <v>228</v>
      </c>
      <c r="P137" s="8" t="s">
        <v>229</v>
      </c>
      <c r="Q137" s="8" t="s">
        <v>245</v>
      </c>
      <c r="R137" s="8" t="s">
        <v>49</v>
      </c>
      <c r="S137" s="8" t="s">
        <v>49</v>
      </c>
      <c r="T137" s="8" t="s">
        <v>49</v>
      </c>
      <c r="U137" s="8" t="s">
        <v>49</v>
      </c>
      <c r="V137" s="8" t="s">
        <v>49</v>
      </c>
      <c r="W137" s="8" t="s">
        <v>49</v>
      </c>
      <c r="X137" s="8" t="s">
        <v>55</v>
      </c>
      <c r="Y137" s="8" t="s">
        <v>55</v>
      </c>
      <c r="Z137" s="8" t="s">
        <v>55</v>
      </c>
      <c r="AA137" s="8" t="s">
        <v>231</v>
      </c>
      <c r="AB137" s="8" t="s">
        <v>60</v>
      </c>
      <c r="AC137" s="8" t="s">
        <v>348</v>
      </c>
      <c r="AD137" s="8" t="s">
        <v>799</v>
      </c>
      <c r="AE137" s="8" t="s">
        <v>800</v>
      </c>
      <c r="AF137" s="8" t="s">
        <v>759</v>
      </c>
      <c r="AG137" s="8" t="s">
        <v>719</v>
      </c>
      <c r="AH137" s="8" t="s">
        <v>55</v>
      </c>
      <c r="AI137" s="8" t="s">
        <v>94</v>
      </c>
      <c r="AJ137" s="8" t="s">
        <v>49</v>
      </c>
      <c r="AK137" s="8" t="s">
        <v>55</v>
      </c>
      <c r="AL137" s="8" t="s">
        <v>720</v>
      </c>
      <c r="AM137" s="8"/>
      <c r="AN137" s="12" t="s">
        <v>224</v>
      </c>
      <c r="AO137" s="9" t="s">
        <v>801</v>
      </c>
      <c r="AP137" s="10" t="s">
        <v>763</v>
      </c>
      <c r="AQ137" s="11"/>
      <c r="AR137" s="10" t="s">
        <v>802</v>
      </c>
      <c r="AS137" s="12"/>
      <c r="AT137" s="10" t="s">
        <v>803</v>
      </c>
      <c r="AU137" s="11"/>
      <c r="AV137" s="13"/>
    </row>
    <row r="138" ht="16.5" hidden="1" customHeight="1">
      <c r="A138" s="7" t="s">
        <v>804</v>
      </c>
      <c r="B138" s="7" t="s">
        <v>717</v>
      </c>
      <c r="C138" s="14" t="s">
        <v>213</v>
      </c>
      <c r="D138" s="14" t="s">
        <v>344</v>
      </c>
      <c r="E138" s="7"/>
      <c r="F138" s="7">
        <v>6455.0</v>
      </c>
      <c r="G138" s="7">
        <v>6446.0</v>
      </c>
      <c r="H138" s="7" t="s">
        <v>53</v>
      </c>
      <c r="I138" s="7"/>
      <c r="J138" s="7"/>
      <c r="K138" s="8" t="s">
        <v>789</v>
      </c>
      <c r="L138" s="8" t="s">
        <v>55</v>
      </c>
      <c r="M138" s="12" t="s">
        <v>55</v>
      </c>
      <c r="N138" s="8" t="s">
        <v>55</v>
      </c>
      <c r="O138" s="8" t="s">
        <v>228</v>
      </c>
      <c r="P138" s="8" t="s">
        <v>229</v>
      </c>
      <c r="Q138" s="8" t="s">
        <v>245</v>
      </c>
      <c r="R138" s="8" t="s">
        <v>49</v>
      </c>
      <c r="S138" s="8" t="s">
        <v>49</v>
      </c>
      <c r="T138" s="8" t="s">
        <v>49</v>
      </c>
      <c r="U138" s="8" t="s">
        <v>49</v>
      </c>
      <c r="V138" s="8" t="s">
        <v>49</v>
      </c>
      <c r="W138" s="8" t="s">
        <v>49</v>
      </c>
      <c r="X138" s="8" t="s">
        <v>55</v>
      </c>
      <c r="Y138" s="8" t="s">
        <v>55</v>
      </c>
      <c r="Z138" s="8" t="s">
        <v>55</v>
      </c>
      <c r="AA138" s="8" t="s">
        <v>231</v>
      </c>
      <c r="AB138" s="8" t="s">
        <v>60</v>
      </c>
      <c r="AC138" s="8" t="s">
        <v>348</v>
      </c>
      <c r="AD138" s="8" t="s">
        <v>799</v>
      </c>
      <c r="AE138" s="8" t="s">
        <v>800</v>
      </c>
      <c r="AF138" s="8" t="s">
        <v>759</v>
      </c>
      <c r="AG138" s="8" t="s">
        <v>719</v>
      </c>
      <c r="AH138" s="8" t="s">
        <v>55</v>
      </c>
      <c r="AI138" s="8" t="s">
        <v>112</v>
      </c>
      <c r="AJ138" s="8" t="s">
        <v>49</v>
      </c>
      <c r="AK138" s="8" t="s">
        <v>55</v>
      </c>
      <c r="AL138" s="8" t="s">
        <v>720</v>
      </c>
      <c r="AM138" s="8"/>
      <c r="AN138" s="12" t="s">
        <v>224</v>
      </c>
      <c r="AO138" s="9" t="s">
        <v>805</v>
      </c>
      <c r="AP138" s="10" t="s">
        <v>763</v>
      </c>
      <c r="AQ138" s="11"/>
      <c r="AR138" s="10" t="s">
        <v>802</v>
      </c>
      <c r="AS138" s="12"/>
      <c r="AT138" s="10" t="s">
        <v>803</v>
      </c>
      <c r="AU138" s="11"/>
      <c r="AV138" s="13"/>
    </row>
    <row r="139" ht="16.5" hidden="1" customHeight="1">
      <c r="A139" s="7" t="s">
        <v>806</v>
      </c>
      <c r="B139" s="7" t="s">
        <v>717</v>
      </c>
      <c r="C139" s="14" t="s">
        <v>213</v>
      </c>
      <c r="D139" s="14" t="s">
        <v>51</v>
      </c>
      <c r="E139" s="7"/>
      <c r="F139" s="7">
        <v>6456.0</v>
      </c>
      <c r="G139" s="7">
        <v>6440.0</v>
      </c>
      <c r="H139" s="7" t="s">
        <v>53</v>
      </c>
      <c r="I139" s="7"/>
      <c r="J139" s="7"/>
      <c r="K139" s="8" t="s">
        <v>255</v>
      </c>
      <c r="L139" s="8" t="s">
        <v>55</v>
      </c>
      <c r="M139" s="12" t="s">
        <v>55</v>
      </c>
      <c r="N139" s="8" t="s">
        <v>55</v>
      </c>
      <c r="O139" s="8" t="s">
        <v>228</v>
      </c>
      <c r="P139" s="8" t="s">
        <v>229</v>
      </c>
      <c r="Q139" s="8" t="s">
        <v>256</v>
      </c>
      <c r="R139" s="8" t="s">
        <v>49</v>
      </c>
      <c r="S139" s="8" t="s">
        <v>49</v>
      </c>
      <c r="T139" s="8" t="s">
        <v>49</v>
      </c>
      <c r="U139" s="8" t="s">
        <v>49</v>
      </c>
      <c r="V139" s="8" t="s">
        <v>49</v>
      </c>
      <c r="W139" s="8" t="s">
        <v>49</v>
      </c>
      <c r="X139" s="8" t="s">
        <v>55</v>
      </c>
      <c r="Y139" s="8" t="s">
        <v>55</v>
      </c>
      <c r="Z139" s="8" t="s">
        <v>55</v>
      </c>
      <c r="AA139" s="8" t="s">
        <v>231</v>
      </c>
      <c r="AB139" s="8" t="s">
        <v>60</v>
      </c>
      <c r="AC139" s="8" t="s">
        <v>61</v>
      </c>
      <c r="AD139" s="8" t="s">
        <v>807</v>
      </c>
      <c r="AE139" s="8" t="s">
        <v>55</v>
      </c>
      <c r="AF139" s="8" t="s">
        <v>55</v>
      </c>
      <c r="AG139" s="8" t="s">
        <v>719</v>
      </c>
      <c r="AH139" s="8" t="s">
        <v>55</v>
      </c>
      <c r="AI139" s="8" t="s">
        <v>94</v>
      </c>
      <c r="AJ139" s="8" t="s">
        <v>49</v>
      </c>
      <c r="AK139" s="8" t="s">
        <v>55</v>
      </c>
      <c r="AL139" s="8" t="s">
        <v>720</v>
      </c>
      <c r="AM139" s="8"/>
      <c r="AN139" s="16" t="s">
        <v>808</v>
      </c>
      <c r="AO139" s="9" t="s">
        <v>809</v>
      </c>
      <c r="AP139" s="10" t="s">
        <v>724</v>
      </c>
      <c r="AQ139" s="11"/>
      <c r="AR139" s="10" t="s">
        <v>810</v>
      </c>
      <c r="AS139" s="12"/>
      <c r="AT139" s="10" t="s">
        <v>811</v>
      </c>
      <c r="AU139" s="11"/>
      <c r="AV139" s="13"/>
    </row>
    <row r="140" ht="16.5" hidden="1" customHeight="1">
      <c r="A140" s="7" t="s">
        <v>812</v>
      </c>
      <c r="B140" s="7" t="s">
        <v>717</v>
      </c>
      <c r="C140" s="14" t="s">
        <v>213</v>
      </c>
      <c r="D140" s="14" t="s">
        <v>51</v>
      </c>
      <c r="E140" s="7"/>
      <c r="F140" s="7">
        <v>6457.0</v>
      </c>
      <c r="G140" s="7">
        <v>6440.0</v>
      </c>
      <c r="H140" s="7" t="s">
        <v>53</v>
      </c>
      <c r="I140" s="7"/>
      <c r="J140" s="7"/>
      <c r="K140" s="8" t="s">
        <v>255</v>
      </c>
      <c r="L140" s="8" t="s">
        <v>55</v>
      </c>
      <c r="M140" s="12" t="s">
        <v>55</v>
      </c>
      <c r="N140" s="8" t="s">
        <v>55</v>
      </c>
      <c r="O140" s="8" t="s">
        <v>228</v>
      </c>
      <c r="P140" s="8" t="s">
        <v>229</v>
      </c>
      <c r="Q140" s="8" t="s">
        <v>256</v>
      </c>
      <c r="R140" s="8" t="s">
        <v>49</v>
      </c>
      <c r="S140" s="8" t="s">
        <v>49</v>
      </c>
      <c r="T140" s="8" t="s">
        <v>49</v>
      </c>
      <c r="U140" s="8" t="s">
        <v>49</v>
      </c>
      <c r="V140" s="8" t="s">
        <v>49</v>
      </c>
      <c r="W140" s="8" t="s">
        <v>49</v>
      </c>
      <c r="X140" s="8" t="s">
        <v>55</v>
      </c>
      <c r="Y140" s="8" t="s">
        <v>55</v>
      </c>
      <c r="Z140" s="8" t="s">
        <v>55</v>
      </c>
      <c r="AA140" s="8" t="s">
        <v>231</v>
      </c>
      <c r="AB140" s="8" t="s">
        <v>60</v>
      </c>
      <c r="AC140" s="8" t="s">
        <v>61</v>
      </c>
      <c r="AD140" s="8" t="s">
        <v>807</v>
      </c>
      <c r="AE140" s="8" t="s">
        <v>55</v>
      </c>
      <c r="AF140" s="8" t="s">
        <v>55</v>
      </c>
      <c r="AG140" s="8" t="s">
        <v>719</v>
      </c>
      <c r="AH140" s="8" t="s">
        <v>55</v>
      </c>
      <c r="AI140" s="8" t="s">
        <v>112</v>
      </c>
      <c r="AJ140" s="8" t="s">
        <v>49</v>
      </c>
      <c r="AK140" s="8" t="s">
        <v>55</v>
      </c>
      <c r="AL140" s="8" t="s">
        <v>720</v>
      </c>
      <c r="AM140" s="8"/>
      <c r="AN140" s="9" t="s">
        <v>813</v>
      </c>
      <c r="AO140" s="9" t="s">
        <v>814</v>
      </c>
      <c r="AP140" s="10" t="s">
        <v>724</v>
      </c>
      <c r="AQ140" s="11"/>
      <c r="AR140" s="10" t="s">
        <v>810</v>
      </c>
      <c r="AS140" s="12"/>
      <c r="AT140" s="10" t="s">
        <v>811</v>
      </c>
      <c r="AU140" s="11"/>
      <c r="AV140" s="15">
        <v>46315.0</v>
      </c>
    </row>
    <row r="141" ht="16.5" hidden="1" customHeight="1">
      <c r="A141" s="7" t="s">
        <v>815</v>
      </c>
      <c r="B141" s="14" t="s">
        <v>717</v>
      </c>
      <c r="C141" s="14" t="s">
        <v>213</v>
      </c>
      <c r="D141" s="14" t="s">
        <v>344</v>
      </c>
      <c r="E141" s="7"/>
      <c r="F141" s="7">
        <v>6458.0</v>
      </c>
      <c r="G141" s="7">
        <v>6442.0</v>
      </c>
      <c r="H141" s="7" t="s">
        <v>53</v>
      </c>
      <c r="I141" s="7"/>
      <c r="J141" s="7"/>
      <c r="K141" s="8" t="s">
        <v>255</v>
      </c>
      <c r="L141" s="8" t="s">
        <v>55</v>
      </c>
      <c r="M141" s="12" t="s">
        <v>55</v>
      </c>
      <c r="N141" s="8" t="s">
        <v>55</v>
      </c>
      <c r="O141" s="8" t="s">
        <v>228</v>
      </c>
      <c r="P141" s="8" t="s">
        <v>229</v>
      </c>
      <c r="Q141" s="8" t="s">
        <v>256</v>
      </c>
      <c r="R141" s="8" t="s">
        <v>49</v>
      </c>
      <c r="S141" s="8" t="s">
        <v>49</v>
      </c>
      <c r="T141" s="8" t="s">
        <v>49</v>
      </c>
      <c r="U141" s="8" t="s">
        <v>49</v>
      </c>
      <c r="V141" s="8" t="s">
        <v>49</v>
      </c>
      <c r="W141" s="8" t="s">
        <v>49</v>
      </c>
      <c r="X141" s="8" t="s">
        <v>55</v>
      </c>
      <c r="Y141" s="8" t="s">
        <v>55</v>
      </c>
      <c r="Z141" s="8" t="s">
        <v>55</v>
      </c>
      <c r="AA141" s="8" t="s">
        <v>231</v>
      </c>
      <c r="AB141" s="8" t="s">
        <v>60</v>
      </c>
      <c r="AC141" s="8" t="s">
        <v>348</v>
      </c>
      <c r="AD141" s="8" t="s">
        <v>816</v>
      </c>
      <c r="AE141" s="8" t="s">
        <v>817</v>
      </c>
      <c r="AF141" s="8" t="s">
        <v>734</v>
      </c>
      <c r="AG141" s="8" t="s">
        <v>719</v>
      </c>
      <c r="AH141" s="8" t="s">
        <v>55</v>
      </c>
      <c r="AI141" s="8" t="s">
        <v>94</v>
      </c>
      <c r="AJ141" s="8" t="s">
        <v>49</v>
      </c>
      <c r="AK141" s="8" t="s">
        <v>55</v>
      </c>
      <c r="AL141" s="8" t="s">
        <v>720</v>
      </c>
      <c r="AM141" s="8"/>
      <c r="AN141" s="16" t="s">
        <v>818</v>
      </c>
      <c r="AO141" s="9" t="s">
        <v>819</v>
      </c>
      <c r="AP141" s="10" t="s">
        <v>738</v>
      </c>
      <c r="AQ141" s="11"/>
      <c r="AR141" s="10" t="s">
        <v>820</v>
      </c>
      <c r="AS141" s="12"/>
      <c r="AT141" s="10" t="s">
        <v>821</v>
      </c>
      <c r="AU141" s="11"/>
      <c r="AV141" s="13"/>
    </row>
    <row r="142" ht="16.5" hidden="1" customHeight="1">
      <c r="A142" s="7" t="s">
        <v>822</v>
      </c>
      <c r="B142" s="14" t="s">
        <v>717</v>
      </c>
      <c r="C142" s="14" t="s">
        <v>213</v>
      </c>
      <c r="D142" s="14" t="s">
        <v>344</v>
      </c>
      <c r="E142" s="7"/>
      <c r="F142" s="7">
        <v>6459.0</v>
      </c>
      <c r="G142" s="7">
        <v>6442.0</v>
      </c>
      <c r="H142" s="7" t="s">
        <v>53</v>
      </c>
      <c r="I142" s="7"/>
      <c r="J142" s="7"/>
      <c r="K142" s="8" t="s">
        <v>255</v>
      </c>
      <c r="L142" s="8" t="s">
        <v>55</v>
      </c>
      <c r="M142" s="12" t="s">
        <v>55</v>
      </c>
      <c r="N142" s="8" t="s">
        <v>55</v>
      </c>
      <c r="O142" s="8" t="s">
        <v>228</v>
      </c>
      <c r="P142" s="8" t="s">
        <v>229</v>
      </c>
      <c r="Q142" s="8" t="s">
        <v>256</v>
      </c>
      <c r="R142" s="8" t="s">
        <v>49</v>
      </c>
      <c r="S142" s="8" t="s">
        <v>49</v>
      </c>
      <c r="T142" s="8" t="s">
        <v>49</v>
      </c>
      <c r="U142" s="8" t="s">
        <v>49</v>
      </c>
      <c r="V142" s="8" t="s">
        <v>49</v>
      </c>
      <c r="W142" s="8" t="s">
        <v>49</v>
      </c>
      <c r="X142" s="8" t="s">
        <v>55</v>
      </c>
      <c r="Y142" s="8" t="s">
        <v>55</v>
      </c>
      <c r="Z142" s="8" t="s">
        <v>55</v>
      </c>
      <c r="AA142" s="8" t="s">
        <v>231</v>
      </c>
      <c r="AB142" s="8" t="s">
        <v>60</v>
      </c>
      <c r="AC142" s="8" t="s">
        <v>348</v>
      </c>
      <c r="AD142" s="8" t="s">
        <v>816</v>
      </c>
      <c r="AE142" s="8" t="s">
        <v>817</v>
      </c>
      <c r="AF142" s="8" t="s">
        <v>734</v>
      </c>
      <c r="AG142" s="8" t="s">
        <v>719</v>
      </c>
      <c r="AH142" s="8" t="s">
        <v>55</v>
      </c>
      <c r="AI142" s="8" t="s">
        <v>112</v>
      </c>
      <c r="AJ142" s="8" t="s">
        <v>49</v>
      </c>
      <c r="AK142" s="8" t="s">
        <v>55</v>
      </c>
      <c r="AL142" s="8" t="s">
        <v>720</v>
      </c>
      <c r="AM142" s="8"/>
      <c r="AN142" s="16" t="s">
        <v>823</v>
      </c>
      <c r="AO142" s="9" t="s">
        <v>824</v>
      </c>
      <c r="AP142" s="10" t="s">
        <v>738</v>
      </c>
      <c r="AQ142" s="11"/>
      <c r="AR142" s="10" t="s">
        <v>820</v>
      </c>
      <c r="AS142" s="12"/>
      <c r="AT142" s="10" t="s">
        <v>821</v>
      </c>
      <c r="AU142" s="11"/>
      <c r="AV142" s="13"/>
    </row>
    <row r="143" ht="16.5" hidden="1" customHeight="1">
      <c r="A143" s="7" t="s">
        <v>825</v>
      </c>
      <c r="B143" s="7" t="s">
        <v>717</v>
      </c>
      <c r="C143" s="14" t="s">
        <v>213</v>
      </c>
      <c r="D143" s="14" t="s">
        <v>51</v>
      </c>
      <c r="E143" s="7"/>
      <c r="F143" s="7">
        <v>6460.0</v>
      </c>
      <c r="G143" s="7">
        <v>6444.0</v>
      </c>
      <c r="H143" s="7" t="s">
        <v>53</v>
      </c>
      <c r="I143" s="7"/>
      <c r="J143" s="7"/>
      <c r="K143" s="8" t="s">
        <v>826</v>
      </c>
      <c r="L143" s="8" t="s">
        <v>55</v>
      </c>
      <c r="M143" s="12" t="s">
        <v>55</v>
      </c>
      <c r="N143" s="8" t="s">
        <v>55</v>
      </c>
      <c r="O143" s="8" t="s">
        <v>228</v>
      </c>
      <c r="P143" s="8" t="s">
        <v>229</v>
      </c>
      <c r="Q143" s="8" t="s">
        <v>256</v>
      </c>
      <c r="R143" s="8" t="s">
        <v>49</v>
      </c>
      <c r="S143" s="8" t="s">
        <v>49</v>
      </c>
      <c r="T143" s="8" t="s">
        <v>49</v>
      </c>
      <c r="U143" s="8" t="s">
        <v>49</v>
      </c>
      <c r="V143" s="8" t="s">
        <v>49</v>
      </c>
      <c r="W143" s="8" t="s">
        <v>49</v>
      </c>
      <c r="X143" s="8" t="s">
        <v>55</v>
      </c>
      <c r="Y143" s="8" t="s">
        <v>55</v>
      </c>
      <c r="Z143" s="8" t="s">
        <v>55</v>
      </c>
      <c r="AA143" s="8" t="s">
        <v>231</v>
      </c>
      <c r="AB143" s="8" t="s">
        <v>60</v>
      </c>
      <c r="AC143" s="8" t="s">
        <v>61</v>
      </c>
      <c r="AD143" s="8" t="s">
        <v>827</v>
      </c>
      <c r="AE143" s="8" t="s">
        <v>55</v>
      </c>
      <c r="AF143" s="8" t="s">
        <v>55</v>
      </c>
      <c r="AG143" s="8" t="s">
        <v>719</v>
      </c>
      <c r="AH143" s="8" t="s">
        <v>55</v>
      </c>
      <c r="AI143" s="8" t="s">
        <v>94</v>
      </c>
      <c r="AJ143" s="8" t="s">
        <v>49</v>
      </c>
      <c r="AK143" s="8" t="s">
        <v>55</v>
      </c>
      <c r="AL143" s="8" t="s">
        <v>720</v>
      </c>
      <c r="AM143" s="8"/>
      <c r="AN143" s="16" t="s">
        <v>828</v>
      </c>
      <c r="AO143" s="9" t="s">
        <v>829</v>
      </c>
      <c r="AP143" s="10" t="s">
        <v>750</v>
      </c>
      <c r="AQ143" s="11"/>
      <c r="AR143" s="10" t="s">
        <v>830</v>
      </c>
      <c r="AS143" s="12"/>
      <c r="AT143" s="10" t="s">
        <v>831</v>
      </c>
      <c r="AU143" s="11"/>
      <c r="AV143" s="13"/>
    </row>
    <row r="144" ht="16.5" hidden="1" customHeight="1">
      <c r="A144" s="7" t="s">
        <v>832</v>
      </c>
      <c r="B144" s="7" t="s">
        <v>717</v>
      </c>
      <c r="C144" s="14" t="s">
        <v>213</v>
      </c>
      <c r="D144" s="14" t="s">
        <v>51</v>
      </c>
      <c r="E144" s="7"/>
      <c r="F144" s="7">
        <v>6461.0</v>
      </c>
      <c r="G144" s="7">
        <v>6444.0</v>
      </c>
      <c r="H144" s="7" t="s">
        <v>53</v>
      </c>
      <c r="I144" s="7"/>
      <c r="J144" s="7"/>
      <c r="K144" s="8" t="s">
        <v>826</v>
      </c>
      <c r="L144" s="8" t="s">
        <v>55</v>
      </c>
      <c r="M144" s="12" t="s">
        <v>55</v>
      </c>
      <c r="N144" s="8" t="s">
        <v>55</v>
      </c>
      <c r="O144" s="8" t="s">
        <v>228</v>
      </c>
      <c r="P144" s="8" t="s">
        <v>229</v>
      </c>
      <c r="Q144" s="8" t="s">
        <v>256</v>
      </c>
      <c r="R144" s="8" t="s">
        <v>49</v>
      </c>
      <c r="S144" s="8" t="s">
        <v>49</v>
      </c>
      <c r="T144" s="8" t="s">
        <v>49</v>
      </c>
      <c r="U144" s="8" t="s">
        <v>49</v>
      </c>
      <c r="V144" s="8" t="s">
        <v>49</v>
      </c>
      <c r="W144" s="8" t="s">
        <v>49</v>
      </c>
      <c r="X144" s="8" t="s">
        <v>55</v>
      </c>
      <c r="Y144" s="8" t="s">
        <v>55</v>
      </c>
      <c r="Z144" s="8" t="s">
        <v>55</v>
      </c>
      <c r="AA144" s="8" t="s">
        <v>231</v>
      </c>
      <c r="AB144" s="8" t="s">
        <v>60</v>
      </c>
      <c r="AC144" s="8" t="s">
        <v>61</v>
      </c>
      <c r="AD144" s="8" t="s">
        <v>827</v>
      </c>
      <c r="AE144" s="8" t="s">
        <v>55</v>
      </c>
      <c r="AF144" s="8" t="s">
        <v>55</v>
      </c>
      <c r="AG144" s="8" t="s">
        <v>719</v>
      </c>
      <c r="AH144" s="8" t="s">
        <v>55</v>
      </c>
      <c r="AI144" s="8" t="s">
        <v>112</v>
      </c>
      <c r="AJ144" s="8" t="s">
        <v>49</v>
      </c>
      <c r="AK144" s="8" t="s">
        <v>55</v>
      </c>
      <c r="AL144" s="8" t="s">
        <v>720</v>
      </c>
      <c r="AM144" s="8"/>
      <c r="AN144" s="16" t="s">
        <v>833</v>
      </c>
      <c r="AO144" s="9" t="s">
        <v>834</v>
      </c>
      <c r="AP144" s="10" t="s">
        <v>750</v>
      </c>
      <c r="AQ144" s="11"/>
      <c r="AR144" s="10" t="s">
        <v>830</v>
      </c>
      <c r="AS144" s="12"/>
      <c r="AT144" s="10" t="s">
        <v>831</v>
      </c>
      <c r="AU144" s="11"/>
      <c r="AV144" s="15">
        <v>46315.0</v>
      </c>
    </row>
    <row r="145" ht="16.5" hidden="1" customHeight="1">
      <c r="A145" s="7" t="s">
        <v>835</v>
      </c>
      <c r="B145" s="7" t="s">
        <v>717</v>
      </c>
      <c r="C145" s="14" t="s">
        <v>213</v>
      </c>
      <c r="D145" s="14" t="s">
        <v>344</v>
      </c>
      <c r="E145" s="7"/>
      <c r="F145" s="7">
        <v>6462.0</v>
      </c>
      <c r="G145" s="7">
        <v>6446.0</v>
      </c>
      <c r="H145" s="7" t="s">
        <v>53</v>
      </c>
      <c r="I145" s="7"/>
      <c r="J145" s="7"/>
      <c r="K145" s="8" t="s">
        <v>826</v>
      </c>
      <c r="L145" s="8" t="s">
        <v>55</v>
      </c>
      <c r="M145" s="12" t="s">
        <v>55</v>
      </c>
      <c r="N145" s="8" t="s">
        <v>55</v>
      </c>
      <c r="O145" s="8" t="s">
        <v>228</v>
      </c>
      <c r="P145" s="8" t="s">
        <v>229</v>
      </c>
      <c r="Q145" s="8" t="s">
        <v>256</v>
      </c>
      <c r="R145" s="8" t="s">
        <v>49</v>
      </c>
      <c r="S145" s="8" t="s">
        <v>49</v>
      </c>
      <c r="T145" s="8" t="s">
        <v>49</v>
      </c>
      <c r="U145" s="8" t="s">
        <v>49</v>
      </c>
      <c r="V145" s="8" t="s">
        <v>49</v>
      </c>
      <c r="W145" s="8" t="s">
        <v>49</v>
      </c>
      <c r="X145" s="8" t="s">
        <v>55</v>
      </c>
      <c r="Y145" s="8" t="s">
        <v>55</v>
      </c>
      <c r="Z145" s="8" t="s">
        <v>55</v>
      </c>
      <c r="AA145" s="8" t="s">
        <v>231</v>
      </c>
      <c r="AB145" s="8" t="s">
        <v>60</v>
      </c>
      <c r="AC145" s="8" t="s">
        <v>348</v>
      </c>
      <c r="AD145" s="8" t="s">
        <v>836</v>
      </c>
      <c r="AE145" s="8" t="s">
        <v>837</v>
      </c>
      <c r="AF145" s="8" t="s">
        <v>759</v>
      </c>
      <c r="AG145" s="8" t="s">
        <v>719</v>
      </c>
      <c r="AH145" s="8" t="s">
        <v>55</v>
      </c>
      <c r="AI145" s="8" t="s">
        <v>94</v>
      </c>
      <c r="AJ145" s="8" t="s">
        <v>49</v>
      </c>
      <c r="AK145" s="8" t="s">
        <v>55</v>
      </c>
      <c r="AL145" s="8" t="s">
        <v>720</v>
      </c>
      <c r="AM145" s="8"/>
      <c r="AN145" s="16" t="s">
        <v>838</v>
      </c>
      <c r="AO145" s="9" t="s">
        <v>839</v>
      </c>
      <c r="AP145" s="10" t="s">
        <v>763</v>
      </c>
      <c r="AQ145" s="11"/>
      <c r="AR145" s="10" t="s">
        <v>840</v>
      </c>
      <c r="AS145" s="12"/>
      <c r="AT145" s="10" t="s">
        <v>841</v>
      </c>
      <c r="AU145" s="11"/>
      <c r="AV145" s="13"/>
    </row>
    <row r="146" ht="16.5" hidden="1" customHeight="1">
      <c r="A146" s="7" t="s">
        <v>842</v>
      </c>
      <c r="B146" s="7" t="s">
        <v>717</v>
      </c>
      <c r="C146" s="14" t="s">
        <v>213</v>
      </c>
      <c r="D146" s="14" t="s">
        <v>344</v>
      </c>
      <c r="E146" s="7"/>
      <c r="F146" s="7">
        <v>6463.0</v>
      </c>
      <c r="G146" s="7">
        <v>6446.0</v>
      </c>
      <c r="H146" s="7" t="s">
        <v>53</v>
      </c>
      <c r="I146" s="7"/>
      <c r="J146" s="7"/>
      <c r="K146" s="8" t="s">
        <v>826</v>
      </c>
      <c r="L146" s="8" t="s">
        <v>55</v>
      </c>
      <c r="M146" s="12" t="s">
        <v>55</v>
      </c>
      <c r="N146" s="8" t="s">
        <v>55</v>
      </c>
      <c r="O146" s="8" t="s">
        <v>228</v>
      </c>
      <c r="P146" s="8" t="s">
        <v>229</v>
      </c>
      <c r="Q146" s="8" t="s">
        <v>256</v>
      </c>
      <c r="R146" s="8" t="s">
        <v>49</v>
      </c>
      <c r="S146" s="8" t="s">
        <v>49</v>
      </c>
      <c r="T146" s="8" t="s">
        <v>49</v>
      </c>
      <c r="U146" s="8" t="s">
        <v>49</v>
      </c>
      <c r="V146" s="8" t="s">
        <v>49</v>
      </c>
      <c r="W146" s="8" t="s">
        <v>49</v>
      </c>
      <c r="X146" s="8" t="s">
        <v>55</v>
      </c>
      <c r="Y146" s="8" t="s">
        <v>55</v>
      </c>
      <c r="Z146" s="8" t="s">
        <v>55</v>
      </c>
      <c r="AA146" s="8" t="s">
        <v>231</v>
      </c>
      <c r="AB146" s="8" t="s">
        <v>60</v>
      </c>
      <c r="AC146" s="8" t="s">
        <v>348</v>
      </c>
      <c r="AD146" s="8" t="s">
        <v>836</v>
      </c>
      <c r="AE146" s="8" t="s">
        <v>837</v>
      </c>
      <c r="AF146" s="8" t="s">
        <v>759</v>
      </c>
      <c r="AG146" s="8" t="s">
        <v>719</v>
      </c>
      <c r="AH146" s="8" t="s">
        <v>55</v>
      </c>
      <c r="AI146" s="8" t="s">
        <v>112</v>
      </c>
      <c r="AJ146" s="8" t="s">
        <v>49</v>
      </c>
      <c r="AK146" s="8" t="s">
        <v>55</v>
      </c>
      <c r="AL146" s="8" t="s">
        <v>720</v>
      </c>
      <c r="AM146" s="8"/>
      <c r="AN146" s="16" t="s">
        <v>843</v>
      </c>
      <c r="AO146" s="9" t="s">
        <v>844</v>
      </c>
      <c r="AP146" s="10" t="s">
        <v>763</v>
      </c>
      <c r="AQ146" s="11"/>
      <c r="AR146" s="10" t="s">
        <v>840</v>
      </c>
      <c r="AS146" s="12"/>
      <c r="AT146" s="10" t="s">
        <v>841</v>
      </c>
      <c r="AU146" s="11"/>
      <c r="AV146" s="15">
        <v>46315.0</v>
      </c>
    </row>
    <row r="147" ht="16.5" hidden="1" customHeight="1">
      <c r="A147" s="7" t="s">
        <v>845</v>
      </c>
      <c r="B147" s="7" t="s">
        <v>717</v>
      </c>
      <c r="C147" s="14" t="s">
        <v>213</v>
      </c>
      <c r="D147" s="14" t="s">
        <v>51</v>
      </c>
      <c r="E147" s="7"/>
      <c r="F147" s="7">
        <v>6464.0</v>
      </c>
      <c r="G147" s="7">
        <v>6440.0</v>
      </c>
      <c r="H147" s="7" t="s">
        <v>53</v>
      </c>
      <c r="I147" s="7"/>
      <c r="J147" s="7"/>
      <c r="K147" s="8" t="s">
        <v>266</v>
      </c>
      <c r="L147" s="8" t="s">
        <v>55</v>
      </c>
      <c r="M147" s="12" t="s">
        <v>55</v>
      </c>
      <c r="N147" s="8" t="s">
        <v>55</v>
      </c>
      <c r="O147" s="8" t="s">
        <v>228</v>
      </c>
      <c r="P147" s="8" t="s">
        <v>229</v>
      </c>
      <c r="Q147" s="8" t="s">
        <v>267</v>
      </c>
      <c r="R147" s="8" t="s">
        <v>49</v>
      </c>
      <c r="S147" s="8" t="s">
        <v>49</v>
      </c>
      <c r="T147" s="8" t="s">
        <v>49</v>
      </c>
      <c r="U147" s="8" t="s">
        <v>49</v>
      </c>
      <c r="V147" s="8" t="s">
        <v>49</v>
      </c>
      <c r="W147" s="8" t="s">
        <v>49</v>
      </c>
      <c r="X147" s="8" t="s">
        <v>55</v>
      </c>
      <c r="Y147" s="8" t="s">
        <v>55</v>
      </c>
      <c r="Z147" s="8" t="s">
        <v>55</v>
      </c>
      <c r="AA147" s="8" t="s">
        <v>231</v>
      </c>
      <c r="AB147" s="8" t="s">
        <v>60</v>
      </c>
      <c r="AC147" s="8" t="s">
        <v>61</v>
      </c>
      <c r="AD147" s="8" t="s">
        <v>846</v>
      </c>
      <c r="AE147" s="8" t="s">
        <v>55</v>
      </c>
      <c r="AF147" s="8" t="s">
        <v>55</v>
      </c>
      <c r="AG147" s="8" t="s">
        <v>719</v>
      </c>
      <c r="AH147" s="8" t="s">
        <v>55</v>
      </c>
      <c r="AI147" s="8" t="s">
        <v>94</v>
      </c>
      <c r="AJ147" s="8" t="s">
        <v>49</v>
      </c>
      <c r="AK147" s="8" t="s">
        <v>55</v>
      </c>
      <c r="AL147" s="8" t="s">
        <v>720</v>
      </c>
      <c r="AM147" s="8"/>
      <c r="AN147" s="16" t="s">
        <v>847</v>
      </c>
      <c r="AO147" s="9" t="s">
        <v>848</v>
      </c>
      <c r="AP147" s="10" t="s">
        <v>724</v>
      </c>
      <c r="AQ147" s="11"/>
      <c r="AR147" s="10" t="s">
        <v>849</v>
      </c>
      <c r="AS147" s="12"/>
      <c r="AT147" s="10" t="s">
        <v>850</v>
      </c>
      <c r="AU147" s="11"/>
      <c r="AV147" s="13"/>
    </row>
    <row r="148" ht="16.5" hidden="1" customHeight="1">
      <c r="A148" s="7" t="s">
        <v>851</v>
      </c>
      <c r="B148" s="7" t="s">
        <v>717</v>
      </c>
      <c r="C148" s="14" t="s">
        <v>213</v>
      </c>
      <c r="D148" s="14" t="s">
        <v>51</v>
      </c>
      <c r="E148" s="7"/>
      <c r="F148" s="7">
        <v>6465.0</v>
      </c>
      <c r="G148" s="7">
        <v>6440.0</v>
      </c>
      <c r="H148" s="7" t="s">
        <v>53</v>
      </c>
      <c r="I148" s="7"/>
      <c r="J148" s="7"/>
      <c r="K148" s="8" t="s">
        <v>266</v>
      </c>
      <c r="L148" s="8" t="s">
        <v>55</v>
      </c>
      <c r="M148" s="12" t="s">
        <v>55</v>
      </c>
      <c r="N148" s="8" t="s">
        <v>55</v>
      </c>
      <c r="O148" s="8" t="s">
        <v>228</v>
      </c>
      <c r="P148" s="8" t="s">
        <v>229</v>
      </c>
      <c r="Q148" s="8" t="s">
        <v>267</v>
      </c>
      <c r="R148" s="8" t="s">
        <v>49</v>
      </c>
      <c r="S148" s="8" t="s">
        <v>49</v>
      </c>
      <c r="T148" s="8" t="s">
        <v>49</v>
      </c>
      <c r="U148" s="8" t="s">
        <v>49</v>
      </c>
      <c r="V148" s="8" t="s">
        <v>49</v>
      </c>
      <c r="W148" s="8" t="s">
        <v>49</v>
      </c>
      <c r="X148" s="8" t="s">
        <v>55</v>
      </c>
      <c r="Y148" s="8" t="s">
        <v>55</v>
      </c>
      <c r="Z148" s="8" t="s">
        <v>55</v>
      </c>
      <c r="AA148" s="8" t="s">
        <v>231</v>
      </c>
      <c r="AB148" s="8" t="s">
        <v>60</v>
      </c>
      <c r="AC148" s="8" t="s">
        <v>61</v>
      </c>
      <c r="AD148" s="8" t="s">
        <v>846</v>
      </c>
      <c r="AE148" s="8" t="s">
        <v>55</v>
      </c>
      <c r="AF148" s="8" t="s">
        <v>55</v>
      </c>
      <c r="AG148" s="8" t="s">
        <v>719</v>
      </c>
      <c r="AH148" s="8" t="s">
        <v>55</v>
      </c>
      <c r="AI148" s="8" t="s">
        <v>112</v>
      </c>
      <c r="AJ148" s="8" t="s">
        <v>49</v>
      </c>
      <c r="AK148" s="8" t="s">
        <v>55</v>
      </c>
      <c r="AL148" s="8" t="s">
        <v>720</v>
      </c>
      <c r="AM148" s="8"/>
      <c r="AN148" s="16" t="s">
        <v>852</v>
      </c>
      <c r="AO148" s="9" t="s">
        <v>853</v>
      </c>
      <c r="AP148" s="10" t="s">
        <v>724</v>
      </c>
      <c r="AQ148" s="11"/>
      <c r="AR148" s="10" t="s">
        <v>849</v>
      </c>
      <c r="AS148" s="12"/>
      <c r="AT148" s="10" t="s">
        <v>850</v>
      </c>
      <c r="AU148" s="11"/>
      <c r="AV148" s="13"/>
    </row>
    <row r="149" ht="16.5" hidden="1" customHeight="1">
      <c r="A149" s="7" t="s">
        <v>854</v>
      </c>
      <c r="B149" s="14" t="s">
        <v>717</v>
      </c>
      <c r="C149" s="14" t="s">
        <v>213</v>
      </c>
      <c r="D149" s="14" t="s">
        <v>344</v>
      </c>
      <c r="E149" s="7"/>
      <c r="F149" s="7">
        <v>6466.0</v>
      </c>
      <c r="G149" s="7">
        <v>6442.0</v>
      </c>
      <c r="H149" s="7" t="s">
        <v>53</v>
      </c>
      <c r="I149" s="7"/>
      <c r="J149" s="7"/>
      <c r="K149" s="8" t="s">
        <v>266</v>
      </c>
      <c r="L149" s="8" t="s">
        <v>55</v>
      </c>
      <c r="M149" s="12" t="s">
        <v>55</v>
      </c>
      <c r="N149" s="8" t="s">
        <v>55</v>
      </c>
      <c r="O149" s="8" t="s">
        <v>228</v>
      </c>
      <c r="P149" s="8" t="s">
        <v>229</v>
      </c>
      <c r="Q149" s="8" t="s">
        <v>267</v>
      </c>
      <c r="R149" s="8" t="s">
        <v>49</v>
      </c>
      <c r="S149" s="8" t="s">
        <v>49</v>
      </c>
      <c r="T149" s="8" t="s">
        <v>49</v>
      </c>
      <c r="U149" s="8" t="s">
        <v>49</v>
      </c>
      <c r="V149" s="8" t="s">
        <v>49</v>
      </c>
      <c r="W149" s="8" t="s">
        <v>49</v>
      </c>
      <c r="X149" s="8" t="s">
        <v>55</v>
      </c>
      <c r="Y149" s="8" t="s">
        <v>55</v>
      </c>
      <c r="Z149" s="8" t="s">
        <v>55</v>
      </c>
      <c r="AA149" s="8" t="s">
        <v>231</v>
      </c>
      <c r="AB149" s="8" t="s">
        <v>60</v>
      </c>
      <c r="AC149" s="8" t="s">
        <v>348</v>
      </c>
      <c r="AD149" s="8" t="s">
        <v>855</v>
      </c>
      <c r="AE149" s="8" t="s">
        <v>856</v>
      </c>
      <c r="AF149" s="8" t="s">
        <v>734</v>
      </c>
      <c r="AG149" s="8" t="s">
        <v>719</v>
      </c>
      <c r="AH149" s="8" t="s">
        <v>55</v>
      </c>
      <c r="AI149" s="8" t="s">
        <v>94</v>
      </c>
      <c r="AJ149" s="8" t="s">
        <v>49</v>
      </c>
      <c r="AK149" s="8" t="s">
        <v>55</v>
      </c>
      <c r="AL149" s="8" t="s">
        <v>720</v>
      </c>
      <c r="AM149" s="8"/>
      <c r="AN149" s="16" t="s">
        <v>857</v>
      </c>
      <c r="AO149" s="9" t="s">
        <v>858</v>
      </c>
      <c r="AP149" s="10" t="s">
        <v>738</v>
      </c>
      <c r="AQ149" s="11"/>
      <c r="AR149" s="10" t="s">
        <v>859</v>
      </c>
      <c r="AS149" s="12"/>
      <c r="AT149" s="10" t="s">
        <v>860</v>
      </c>
      <c r="AU149" s="11"/>
      <c r="AV149" s="13"/>
    </row>
    <row r="150" ht="16.5" hidden="1" customHeight="1">
      <c r="A150" s="7" t="s">
        <v>861</v>
      </c>
      <c r="B150" s="14" t="s">
        <v>717</v>
      </c>
      <c r="C150" s="14" t="s">
        <v>213</v>
      </c>
      <c r="D150" s="14" t="s">
        <v>344</v>
      </c>
      <c r="E150" s="7"/>
      <c r="F150" s="7">
        <v>6467.0</v>
      </c>
      <c r="G150" s="7">
        <v>6442.0</v>
      </c>
      <c r="H150" s="7" t="s">
        <v>53</v>
      </c>
      <c r="I150" s="7"/>
      <c r="J150" s="7"/>
      <c r="K150" s="8" t="s">
        <v>266</v>
      </c>
      <c r="L150" s="8" t="s">
        <v>55</v>
      </c>
      <c r="M150" s="12" t="s">
        <v>55</v>
      </c>
      <c r="N150" s="8" t="s">
        <v>55</v>
      </c>
      <c r="O150" s="8" t="s">
        <v>228</v>
      </c>
      <c r="P150" s="8" t="s">
        <v>229</v>
      </c>
      <c r="Q150" s="8" t="s">
        <v>267</v>
      </c>
      <c r="R150" s="8" t="s">
        <v>49</v>
      </c>
      <c r="S150" s="8" t="s">
        <v>49</v>
      </c>
      <c r="T150" s="8" t="s">
        <v>49</v>
      </c>
      <c r="U150" s="8" t="s">
        <v>49</v>
      </c>
      <c r="V150" s="8" t="s">
        <v>49</v>
      </c>
      <c r="W150" s="8" t="s">
        <v>49</v>
      </c>
      <c r="X150" s="8" t="s">
        <v>55</v>
      </c>
      <c r="Y150" s="8" t="s">
        <v>55</v>
      </c>
      <c r="Z150" s="8" t="s">
        <v>55</v>
      </c>
      <c r="AA150" s="8" t="s">
        <v>231</v>
      </c>
      <c r="AB150" s="8" t="s">
        <v>60</v>
      </c>
      <c r="AC150" s="8" t="s">
        <v>348</v>
      </c>
      <c r="AD150" s="8" t="s">
        <v>855</v>
      </c>
      <c r="AE150" s="8" t="s">
        <v>856</v>
      </c>
      <c r="AF150" s="8" t="s">
        <v>734</v>
      </c>
      <c r="AG150" s="8" t="s">
        <v>719</v>
      </c>
      <c r="AH150" s="8" t="s">
        <v>55</v>
      </c>
      <c r="AI150" s="8" t="s">
        <v>112</v>
      </c>
      <c r="AJ150" s="8" t="s">
        <v>49</v>
      </c>
      <c r="AK150" s="8" t="s">
        <v>55</v>
      </c>
      <c r="AL150" s="8" t="s">
        <v>720</v>
      </c>
      <c r="AM150" s="8"/>
      <c r="AN150" s="16" t="s">
        <v>862</v>
      </c>
      <c r="AO150" s="9" t="s">
        <v>863</v>
      </c>
      <c r="AP150" s="10" t="s">
        <v>738</v>
      </c>
      <c r="AQ150" s="11"/>
      <c r="AR150" s="10" t="s">
        <v>859</v>
      </c>
      <c r="AS150" s="12"/>
      <c r="AT150" s="10" t="s">
        <v>860</v>
      </c>
      <c r="AU150" s="11"/>
      <c r="AV150" s="13"/>
    </row>
    <row r="151" ht="16.5" hidden="1" customHeight="1">
      <c r="A151" s="7" t="s">
        <v>864</v>
      </c>
      <c r="B151" s="7" t="s">
        <v>717</v>
      </c>
      <c r="C151" s="14" t="s">
        <v>213</v>
      </c>
      <c r="D151" s="14" t="s">
        <v>51</v>
      </c>
      <c r="E151" s="7"/>
      <c r="F151" s="7">
        <v>6468.0</v>
      </c>
      <c r="G151" s="7">
        <v>6444.0</v>
      </c>
      <c r="H151" s="7" t="s">
        <v>53</v>
      </c>
      <c r="I151" s="7"/>
      <c r="J151" s="7"/>
      <c r="K151" s="8" t="s">
        <v>865</v>
      </c>
      <c r="L151" s="8" t="s">
        <v>55</v>
      </c>
      <c r="M151" s="12" t="s">
        <v>55</v>
      </c>
      <c r="N151" s="8" t="s">
        <v>55</v>
      </c>
      <c r="O151" s="8" t="s">
        <v>228</v>
      </c>
      <c r="P151" s="8" t="s">
        <v>229</v>
      </c>
      <c r="Q151" s="8" t="s">
        <v>267</v>
      </c>
      <c r="R151" s="8" t="s">
        <v>49</v>
      </c>
      <c r="S151" s="8" t="s">
        <v>49</v>
      </c>
      <c r="T151" s="8" t="s">
        <v>49</v>
      </c>
      <c r="U151" s="8" t="s">
        <v>49</v>
      </c>
      <c r="V151" s="8" t="s">
        <v>49</v>
      </c>
      <c r="W151" s="8" t="s">
        <v>49</v>
      </c>
      <c r="X151" s="8" t="s">
        <v>55</v>
      </c>
      <c r="Y151" s="8" t="s">
        <v>55</v>
      </c>
      <c r="Z151" s="8" t="s">
        <v>55</v>
      </c>
      <c r="AA151" s="8" t="s">
        <v>231</v>
      </c>
      <c r="AB151" s="8" t="s">
        <v>60</v>
      </c>
      <c r="AC151" s="8" t="s">
        <v>61</v>
      </c>
      <c r="AD151" s="8" t="s">
        <v>866</v>
      </c>
      <c r="AE151" s="8" t="s">
        <v>55</v>
      </c>
      <c r="AF151" s="8" t="s">
        <v>55</v>
      </c>
      <c r="AG151" s="8" t="s">
        <v>719</v>
      </c>
      <c r="AH151" s="8" t="s">
        <v>55</v>
      </c>
      <c r="AI151" s="8" t="s">
        <v>94</v>
      </c>
      <c r="AJ151" s="8" t="s">
        <v>49</v>
      </c>
      <c r="AK151" s="8" t="s">
        <v>55</v>
      </c>
      <c r="AL151" s="8" t="s">
        <v>720</v>
      </c>
      <c r="AM151" s="8"/>
      <c r="AN151" s="16" t="s">
        <v>867</v>
      </c>
      <c r="AO151" s="9" t="s">
        <v>868</v>
      </c>
      <c r="AP151" s="10" t="s">
        <v>750</v>
      </c>
      <c r="AQ151" s="11"/>
      <c r="AR151" s="10" t="s">
        <v>869</v>
      </c>
      <c r="AS151" s="12"/>
      <c r="AT151" s="10" t="s">
        <v>870</v>
      </c>
      <c r="AU151" s="11"/>
      <c r="AV151" s="15">
        <v>46315.0</v>
      </c>
    </row>
    <row r="152" ht="16.5" hidden="1" customHeight="1">
      <c r="A152" s="7" t="s">
        <v>871</v>
      </c>
      <c r="B152" s="7" t="s">
        <v>717</v>
      </c>
      <c r="C152" s="14" t="s">
        <v>213</v>
      </c>
      <c r="D152" s="14" t="s">
        <v>51</v>
      </c>
      <c r="E152" s="7"/>
      <c r="F152" s="7">
        <v>6469.0</v>
      </c>
      <c r="G152" s="7">
        <v>6444.0</v>
      </c>
      <c r="H152" s="7" t="s">
        <v>53</v>
      </c>
      <c r="I152" s="7"/>
      <c r="J152" s="7"/>
      <c r="K152" s="8" t="s">
        <v>865</v>
      </c>
      <c r="L152" s="8" t="s">
        <v>55</v>
      </c>
      <c r="M152" s="12" t="s">
        <v>55</v>
      </c>
      <c r="N152" s="8" t="s">
        <v>55</v>
      </c>
      <c r="O152" s="8" t="s">
        <v>228</v>
      </c>
      <c r="P152" s="8" t="s">
        <v>229</v>
      </c>
      <c r="Q152" s="8" t="s">
        <v>267</v>
      </c>
      <c r="R152" s="8" t="s">
        <v>49</v>
      </c>
      <c r="S152" s="8" t="s">
        <v>49</v>
      </c>
      <c r="T152" s="8" t="s">
        <v>49</v>
      </c>
      <c r="U152" s="8" t="s">
        <v>49</v>
      </c>
      <c r="V152" s="8" t="s">
        <v>49</v>
      </c>
      <c r="W152" s="8" t="s">
        <v>49</v>
      </c>
      <c r="X152" s="8" t="s">
        <v>55</v>
      </c>
      <c r="Y152" s="8" t="s">
        <v>55</v>
      </c>
      <c r="Z152" s="8" t="s">
        <v>55</v>
      </c>
      <c r="AA152" s="8" t="s">
        <v>231</v>
      </c>
      <c r="AB152" s="8" t="s">
        <v>60</v>
      </c>
      <c r="AC152" s="8" t="s">
        <v>61</v>
      </c>
      <c r="AD152" s="8" t="s">
        <v>866</v>
      </c>
      <c r="AE152" s="8" t="s">
        <v>55</v>
      </c>
      <c r="AF152" s="8" t="s">
        <v>55</v>
      </c>
      <c r="AG152" s="8" t="s">
        <v>719</v>
      </c>
      <c r="AH152" s="8" t="s">
        <v>55</v>
      </c>
      <c r="AI152" s="8" t="s">
        <v>112</v>
      </c>
      <c r="AJ152" s="8" t="s">
        <v>49</v>
      </c>
      <c r="AK152" s="8" t="s">
        <v>55</v>
      </c>
      <c r="AL152" s="8" t="s">
        <v>720</v>
      </c>
      <c r="AM152" s="8"/>
      <c r="AN152" s="16" t="s">
        <v>872</v>
      </c>
      <c r="AO152" s="9" t="s">
        <v>873</v>
      </c>
      <c r="AP152" s="10" t="s">
        <v>750</v>
      </c>
      <c r="AQ152" s="11"/>
      <c r="AR152" s="10" t="s">
        <v>869</v>
      </c>
      <c r="AS152" s="12"/>
      <c r="AT152" s="10" t="s">
        <v>870</v>
      </c>
      <c r="AU152" s="11"/>
      <c r="AV152" s="13"/>
    </row>
    <row r="153" ht="16.5" hidden="1" customHeight="1">
      <c r="A153" s="7" t="s">
        <v>874</v>
      </c>
      <c r="B153" s="7" t="s">
        <v>717</v>
      </c>
      <c r="C153" s="14" t="s">
        <v>213</v>
      </c>
      <c r="D153" s="14" t="s">
        <v>344</v>
      </c>
      <c r="E153" s="7"/>
      <c r="F153" s="7">
        <v>6470.0</v>
      </c>
      <c r="G153" s="7">
        <v>6446.0</v>
      </c>
      <c r="H153" s="7" t="s">
        <v>53</v>
      </c>
      <c r="I153" s="7"/>
      <c r="J153" s="7"/>
      <c r="K153" s="8" t="s">
        <v>865</v>
      </c>
      <c r="L153" s="8" t="s">
        <v>55</v>
      </c>
      <c r="M153" s="12" t="s">
        <v>55</v>
      </c>
      <c r="N153" s="8" t="s">
        <v>55</v>
      </c>
      <c r="O153" s="8" t="s">
        <v>228</v>
      </c>
      <c r="P153" s="8" t="s">
        <v>229</v>
      </c>
      <c r="Q153" s="8" t="s">
        <v>267</v>
      </c>
      <c r="R153" s="8" t="s">
        <v>49</v>
      </c>
      <c r="S153" s="8" t="s">
        <v>49</v>
      </c>
      <c r="T153" s="8" t="s">
        <v>49</v>
      </c>
      <c r="U153" s="8" t="s">
        <v>49</v>
      </c>
      <c r="V153" s="8" t="s">
        <v>49</v>
      </c>
      <c r="W153" s="8" t="s">
        <v>49</v>
      </c>
      <c r="X153" s="8" t="s">
        <v>55</v>
      </c>
      <c r="Y153" s="8" t="s">
        <v>55</v>
      </c>
      <c r="Z153" s="8" t="s">
        <v>55</v>
      </c>
      <c r="AA153" s="8" t="s">
        <v>231</v>
      </c>
      <c r="AB153" s="8" t="s">
        <v>60</v>
      </c>
      <c r="AC153" s="8" t="s">
        <v>348</v>
      </c>
      <c r="AD153" s="8" t="s">
        <v>875</v>
      </c>
      <c r="AE153" s="8" t="s">
        <v>876</v>
      </c>
      <c r="AF153" s="8" t="s">
        <v>759</v>
      </c>
      <c r="AG153" s="8" t="s">
        <v>719</v>
      </c>
      <c r="AH153" s="8" t="s">
        <v>55</v>
      </c>
      <c r="AI153" s="8" t="s">
        <v>94</v>
      </c>
      <c r="AJ153" s="8" t="s">
        <v>49</v>
      </c>
      <c r="AK153" s="8" t="s">
        <v>55</v>
      </c>
      <c r="AL153" s="8" t="s">
        <v>720</v>
      </c>
      <c r="AM153" s="8"/>
      <c r="AN153" s="16" t="s">
        <v>877</v>
      </c>
      <c r="AO153" s="9" t="s">
        <v>878</v>
      </c>
      <c r="AP153" s="10" t="s">
        <v>763</v>
      </c>
      <c r="AQ153" s="11"/>
      <c r="AR153" s="10" t="s">
        <v>879</v>
      </c>
      <c r="AS153" s="12"/>
      <c r="AT153" s="10" t="s">
        <v>880</v>
      </c>
      <c r="AU153" s="11"/>
      <c r="AV153" s="13"/>
    </row>
    <row r="154" ht="16.5" hidden="1" customHeight="1">
      <c r="A154" s="7" t="s">
        <v>881</v>
      </c>
      <c r="B154" s="7" t="s">
        <v>717</v>
      </c>
      <c r="C154" s="14" t="s">
        <v>213</v>
      </c>
      <c r="D154" s="14" t="s">
        <v>344</v>
      </c>
      <c r="E154" s="7"/>
      <c r="F154" s="7">
        <v>6471.0</v>
      </c>
      <c r="G154" s="7">
        <v>6446.0</v>
      </c>
      <c r="H154" s="7" t="s">
        <v>53</v>
      </c>
      <c r="I154" s="7"/>
      <c r="J154" s="7"/>
      <c r="K154" s="8" t="s">
        <v>865</v>
      </c>
      <c r="L154" s="8" t="s">
        <v>55</v>
      </c>
      <c r="M154" s="12" t="s">
        <v>55</v>
      </c>
      <c r="N154" s="8" t="s">
        <v>55</v>
      </c>
      <c r="O154" s="8" t="s">
        <v>228</v>
      </c>
      <c r="P154" s="8" t="s">
        <v>229</v>
      </c>
      <c r="Q154" s="8" t="s">
        <v>267</v>
      </c>
      <c r="R154" s="8" t="s">
        <v>49</v>
      </c>
      <c r="S154" s="8" t="s">
        <v>49</v>
      </c>
      <c r="T154" s="8" t="s">
        <v>49</v>
      </c>
      <c r="U154" s="8" t="s">
        <v>49</v>
      </c>
      <c r="V154" s="8" t="s">
        <v>49</v>
      </c>
      <c r="W154" s="8" t="s">
        <v>49</v>
      </c>
      <c r="X154" s="8" t="s">
        <v>55</v>
      </c>
      <c r="Y154" s="8" t="s">
        <v>55</v>
      </c>
      <c r="Z154" s="8" t="s">
        <v>55</v>
      </c>
      <c r="AA154" s="8" t="s">
        <v>231</v>
      </c>
      <c r="AB154" s="8" t="s">
        <v>60</v>
      </c>
      <c r="AC154" s="8" t="s">
        <v>348</v>
      </c>
      <c r="AD154" s="8" t="s">
        <v>875</v>
      </c>
      <c r="AE154" s="8" t="s">
        <v>876</v>
      </c>
      <c r="AF154" s="8" t="s">
        <v>759</v>
      </c>
      <c r="AG154" s="8" t="s">
        <v>719</v>
      </c>
      <c r="AH154" s="8" t="s">
        <v>55</v>
      </c>
      <c r="AI154" s="8" t="s">
        <v>112</v>
      </c>
      <c r="AJ154" s="8" t="s">
        <v>49</v>
      </c>
      <c r="AK154" s="8" t="s">
        <v>55</v>
      </c>
      <c r="AL154" s="8" t="s">
        <v>720</v>
      </c>
      <c r="AM154" s="8"/>
      <c r="AN154" s="16" t="s">
        <v>882</v>
      </c>
      <c r="AO154" s="9" t="s">
        <v>883</v>
      </c>
      <c r="AP154" s="10" t="s">
        <v>763</v>
      </c>
      <c r="AQ154" s="11"/>
      <c r="AR154" s="10" t="s">
        <v>879</v>
      </c>
      <c r="AS154" s="12"/>
      <c r="AT154" s="10" t="s">
        <v>880</v>
      </c>
      <c r="AU154" s="11"/>
      <c r="AV154" s="13"/>
    </row>
    <row r="155" ht="16.5" hidden="1" customHeight="1">
      <c r="A155" s="7" t="s">
        <v>884</v>
      </c>
      <c r="B155" s="7" t="s">
        <v>49</v>
      </c>
      <c r="C155" s="7" t="s">
        <v>885</v>
      </c>
      <c r="D155" s="7" t="s">
        <v>886</v>
      </c>
      <c r="E155" s="7" t="s">
        <v>227</v>
      </c>
      <c r="F155" s="7">
        <v>6485.0</v>
      </c>
      <c r="G155" s="7"/>
      <c r="H155" s="7" t="s">
        <v>215</v>
      </c>
      <c r="I155" s="7"/>
      <c r="J155" s="7"/>
      <c r="K155" s="8" t="s">
        <v>216</v>
      </c>
      <c r="L155" s="8" t="s">
        <v>55</v>
      </c>
      <c r="M155" s="8"/>
      <c r="N155" s="8" t="s">
        <v>55</v>
      </c>
      <c r="O155" s="8" t="s">
        <v>228</v>
      </c>
      <c r="P155" s="8" t="s">
        <v>229</v>
      </c>
      <c r="Q155" s="8" t="s">
        <v>49</v>
      </c>
      <c r="R155" s="8" t="s">
        <v>49</v>
      </c>
      <c r="S155" s="8" t="s">
        <v>49</v>
      </c>
      <c r="T155" s="8" t="s">
        <v>49</v>
      </c>
      <c r="U155" s="8" t="s">
        <v>49</v>
      </c>
      <c r="V155" s="8" t="s">
        <v>49</v>
      </c>
      <c r="W155" s="8" t="s">
        <v>49</v>
      </c>
      <c r="X155" s="8" t="s">
        <v>49</v>
      </c>
      <c r="Y155" s="8" t="s">
        <v>49</v>
      </c>
      <c r="Z155" s="8" t="s">
        <v>49</v>
      </c>
      <c r="AA155" s="8" t="s">
        <v>231</v>
      </c>
      <c r="AB155" s="8" t="s">
        <v>887</v>
      </c>
      <c r="AC155" s="8" t="s">
        <v>888</v>
      </c>
      <c r="AD155" s="8" t="s">
        <v>889</v>
      </c>
      <c r="AE155" s="8" t="s">
        <v>55</v>
      </c>
      <c r="AF155" s="8" t="s">
        <v>55</v>
      </c>
      <c r="AG155" s="8" t="s">
        <v>890</v>
      </c>
      <c r="AH155" s="8" t="s">
        <v>55</v>
      </c>
      <c r="AI155" s="8" t="s">
        <v>65</v>
      </c>
      <c r="AJ155" s="8" t="s">
        <v>49</v>
      </c>
      <c r="AK155" s="8" t="s">
        <v>49</v>
      </c>
      <c r="AL155" s="8" t="s">
        <v>66</v>
      </c>
      <c r="AM155" s="8"/>
      <c r="AN155" s="9" t="s">
        <v>891</v>
      </c>
      <c r="AO155" s="12" t="s">
        <v>224</v>
      </c>
      <c r="AP155" s="10" t="s">
        <v>892</v>
      </c>
      <c r="AQ155" s="11"/>
      <c r="AR155" s="10" t="s">
        <v>893</v>
      </c>
      <c r="AS155" s="12"/>
      <c r="AT155" s="10" t="s">
        <v>894</v>
      </c>
      <c r="AU155" s="11"/>
      <c r="AV155" s="13"/>
    </row>
    <row r="156" ht="16.5" hidden="1" customHeight="1">
      <c r="A156" s="7" t="s">
        <v>895</v>
      </c>
      <c r="B156" s="12" t="s">
        <v>49</v>
      </c>
      <c r="C156" s="12" t="s">
        <v>885</v>
      </c>
      <c r="D156" s="12" t="s">
        <v>886</v>
      </c>
      <c r="E156" s="8"/>
      <c r="F156" s="7">
        <v>6485.0</v>
      </c>
      <c r="G156" s="7">
        <v>6485.0</v>
      </c>
      <c r="H156" s="14" t="s">
        <v>53</v>
      </c>
      <c r="I156" s="7"/>
      <c r="J156" s="7"/>
      <c r="K156" s="8" t="s">
        <v>216</v>
      </c>
      <c r="L156" s="8" t="s">
        <v>55</v>
      </c>
      <c r="M156" s="12" t="s">
        <v>55</v>
      </c>
      <c r="N156" s="8" t="s">
        <v>55</v>
      </c>
      <c r="O156" s="8" t="s">
        <v>228</v>
      </c>
      <c r="P156" s="8" t="s">
        <v>229</v>
      </c>
      <c r="Q156" s="8" t="s">
        <v>49</v>
      </c>
      <c r="R156" s="8" t="s">
        <v>49</v>
      </c>
      <c r="S156" s="8" t="s">
        <v>49</v>
      </c>
      <c r="T156" s="8" t="s">
        <v>49</v>
      </c>
      <c r="U156" s="8" t="s">
        <v>49</v>
      </c>
      <c r="V156" s="8" t="s">
        <v>49</v>
      </c>
      <c r="W156" s="8" t="s">
        <v>49</v>
      </c>
      <c r="X156" s="8" t="s">
        <v>55</v>
      </c>
      <c r="Y156" s="8" t="s">
        <v>55</v>
      </c>
      <c r="Z156" s="8" t="s">
        <v>55</v>
      </c>
      <c r="AA156" s="8" t="s">
        <v>231</v>
      </c>
      <c r="AB156" s="8" t="s">
        <v>887</v>
      </c>
      <c r="AC156" s="8" t="s">
        <v>888</v>
      </c>
      <c r="AD156" s="8" t="s">
        <v>889</v>
      </c>
      <c r="AE156" s="8" t="s">
        <v>55</v>
      </c>
      <c r="AF156" s="8" t="s">
        <v>55</v>
      </c>
      <c r="AG156" s="8" t="s">
        <v>890</v>
      </c>
      <c r="AH156" s="8" t="s">
        <v>55</v>
      </c>
      <c r="AI156" s="8" t="s">
        <v>65</v>
      </c>
      <c r="AJ156" s="8" t="s">
        <v>49</v>
      </c>
      <c r="AK156" s="8" t="s">
        <v>55</v>
      </c>
      <c r="AL156" s="8" t="s">
        <v>66</v>
      </c>
      <c r="AM156" s="8" t="s">
        <v>896</v>
      </c>
      <c r="AN156" s="9" t="s">
        <v>891</v>
      </c>
      <c r="AO156" s="12" t="s">
        <v>224</v>
      </c>
      <c r="AP156" s="10" t="s">
        <v>892</v>
      </c>
      <c r="AQ156" s="11"/>
      <c r="AR156" s="10" t="s">
        <v>893</v>
      </c>
      <c r="AS156" s="12"/>
      <c r="AT156" s="10" t="s">
        <v>894</v>
      </c>
      <c r="AU156" s="11"/>
      <c r="AV156" s="13"/>
    </row>
    <row r="157" ht="16.5" hidden="1" customHeight="1">
      <c r="A157" s="7" t="s">
        <v>897</v>
      </c>
      <c r="B157" s="14" t="s">
        <v>49</v>
      </c>
      <c r="C157" s="14" t="s">
        <v>885</v>
      </c>
      <c r="D157" s="14" t="s">
        <v>886</v>
      </c>
      <c r="E157" s="7"/>
      <c r="F157" s="7">
        <v>6486.0</v>
      </c>
      <c r="G157" s="7">
        <v>6485.0</v>
      </c>
      <c r="H157" s="14" t="s">
        <v>53</v>
      </c>
      <c r="I157" s="7"/>
      <c r="J157" s="7"/>
      <c r="K157" s="8" t="s">
        <v>216</v>
      </c>
      <c r="L157" s="8" t="s">
        <v>55</v>
      </c>
      <c r="M157" s="12" t="s">
        <v>55</v>
      </c>
      <c r="N157" s="8" t="s">
        <v>55</v>
      </c>
      <c r="O157" s="8" t="s">
        <v>228</v>
      </c>
      <c r="P157" s="8" t="s">
        <v>229</v>
      </c>
      <c r="Q157" s="8" t="s">
        <v>49</v>
      </c>
      <c r="R157" s="8" t="s">
        <v>49</v>
      </c>
      <c r="S157" s="8" t="s">
        <v>49</v>
      </c>
      <c r="T157" s="8" t="s">
        <v>49</v>
      </c>
      <c r="U157" s="8" t="s">
        <v>49</v>
      </c>
      <c r="V157" s="8" t="s">
        <v>49</v>
      </c>
      <c r="W157" s="8" t="s">
        <v>49</v>
      </c>
      <c r="X157" s="8" t="s">
        <v>55</v>
      </c>
      <c r="Y157" s="8" t="s">
        <v>55</v>
      </c>
      <c r="Z157" s="8" t="s">
        <v>55</v>
      </c>
      <c r="AA157" s="8" t="s">
        <v>231</v>
      </c>
      <c r="AB157" s="8" t="s">
        <v>887</v>
      </c>
      <c r="AC157" s="8" t="s">
        <v>888</v>
      </c>
      <c r="AD157" s="8" t="s">
        <v>889</v>
      </c>
      <c r="AE157" s="8" t="s">
        <v>55</v>
      </c>
      <c r="AF157" s="8" t="s">
        <v>55</v>
      </c>
      <c r="AG157" s="8" t="s">
        <v>890</v>
      </c>
      <c r="AH157" s="8" t="s">
        <v>55</v>
      </c>
      <c r="AI157" s="8" t="s">
        <v>463</v>
      </c>
      <c r="AJ157" s="8" t="s">
        <v>49</v>
      </c>
      <c r="AK157" s="8" t="s">
        <v>55</v>
      </c>
      <c r="AL157" s="8" t="s">
        <v>66</v>
      </c>
      <c r="AM157" s="8" t="s">
        <v>896</v>
      </c>
      <c r="AN157" s="9" t="s">
        <v>898</v>
      </c>
      <c r="AO157" s="12" t="s">
        <v>224</v>
      </c>
      <c r="AP157" s="10" t="s">
        <v>892</v>
      </c>
      <c r="AQ157" s="11"/>
      <c r="AR157" s="10" t="s">
        <v>893</v>
      </c>
      <c r="AS157" s="12"/>
      <c r="AT157" s="10" t="s">
        <v>894</v>
      </c>
      <c r="AU157" s="11"/>
      <c r="AV157" s="13"/>
    </row>
    <row r="158" ht="16.5" hidden="1" customHeight="1">
      <c r="A158" s="7" t="s">
        <v>899</v>
      </c>
      <c r="B158" s="14" t="s">
        <v>49</v>
      </c>
      <c r="C158" s="14" t="s">
        <v>885</v>
      </c>
      <c r="D158" s="14" t="s">
        <v>886</v>
      </c>
      <c r="E158" s="7"/>
      <c r="F158" s="7">
        <v>6487.0</v>
      </c>
      <c r="G158" s="7">
        <v>6485.0</v>
      </c>
      <c r="H158" s="14" t="s">
        <v>53</v>
      </c>
      <c r="I158" s="7"/>
      <c r="J158" s="7"/>
      <c r="K158" s="8" t="s">
        <v>216</v>
      </c>
      <c r="L158" s="8" t="s">
        <v>55</v>
      </c>
      <c r="M158" s="12" t="s">
        <v>55</v>
      </c>
      <c r="N158" s="8" t="s">
        <v>55</v>
      </c>
      <c r="O158" s="8" t="s">
        <v>228</v>
      </c>
      <c r="P158" s="8" t="s">
        <v>229</v>
      </c>
      <c r="Q158" s="8" t="s">
        <v>49</v>
      </c>
      <c r="R158" s="8" t="s">
        <v>49</v>
      </c>
      <c r="S158" s="8" t="s">
        <v>49</v>
      </c>
      <c r="T158" s="8" t="s">
        <v>49</v>
      </c>
      <c r="U158" s="8" t="s">
        <v>49</v>
      </c>
      <c r="V158" s="8" t="s">
        <v>49</v>
      </c>
      <c r="W158" s="8" t="s">
        <v>49</v>
      </c>
      <c r="X158" s="8" t="s">
        <v>55</v>
      </c>
      <c r="Y158" s="8" t="s">
        <v>55</v>
      </c>
      <c r="Z158" s="8" t="s">
        <v>55</v>
      </c>
      <c r="AA158" s="8" t="s">
        <v>231</v>
      </c>
      <c r="AB158" s="8" t="s">
        <v>887</v>
      </c>
      <c r="AC158" s="8" t="s">
        <v>888</v>
      </c>
      <c r="AD158" s="8" t="s">
        <v>889</v>
      </c>
      <c r="AE158" s="8" t="s">
        <v>55</v>
      </c>
      <c r="AF158" s="8" t="s">
        <v>55</v>
      </c>
      <c r="AG158" s="8" t="s">
        <v>890</v>
      </c>
      <c r="AH158" s="8" t="s">
        <v>55</v>
      </c>
      <c r="AI158" s="8" t="s">
        <v>900</v>
      </c>
      <c r="AJ158" s="8" t="s">
        <v>49</v>
      </c>
      <c r="AK158" s="8" t="s">
        <v>55</v>
      </c>
      <c r="AL158" s="8" t="s">
        <v>66</v>
      </c>
      <c r="AM158" s="8" t="s">
        <v>896</v>
      </c>
      <c r="AN158" s="9" t="s">
        <v>901</v>
      </c>
      <c r="AO158" s="12" t="s">
        <v>224</v>
      </c>
      <c r="AP158" s="10" t="s">
        <v>892</v>
      </c>
      <c r="AQ158" s="11"/>
      <c r="AR158" s="10" t="s">
        <v>893</v>
      </c>
      <c r="AS158" s="12"/>
      <c r="AT158" s="10" t="s">
        <v>894</v>
      </c>
      <c r="AU158" s="11"/>
      <c r="AV158" s="13"/>
    </row>
    <row r="159" ht="16.5" hidden="1" customHeight="1">
      <c r="A159" s="7" t="s">
        <v>902</v>
      </c>
      <c r="B159" s="14" t="s">
        <v>49</v>
      </c>
      <c r="C159" s="14" t="s">
        <v>885</v>
      </c>
      <c r="D159" s="14" t="s">
        <v>886</v>
      </c>
      <c r="E159" s="7"/>
      <c r="F159" s="7">
        <v>6488.0</v>
      </c>
      <c r="G159" s="7">
        <v>6485.0</v>
      </c>
      <c r="H159" s="14" t="s">
        <v>53</v>
      </c>
      <c r="I159" s="7"/>
      <c r="J159" s="7"/>
      <c r="K159" s="8" t="s">
        <v>216</v>
      </c>
      <c r="L159" s="8" t="s">
        <v>55</v>
      </c>
      <c r="M159" s="12" t="s">
        <v>55</v>
      </c>
      <c r="N159" s="8" t="s">
        <v>55</v>
      </c>
      <c r="O159" s="8" t="s">
        <v>228</v>
      </c>
      <c r="P159" s="8" t="s">
        <v>229</v>
      </c>
      <c r="Q159" s="8" t="s">
        <v>49</v>
      </c>
      <c r="R159" s="8" t="s">
        <v>49</v>
      </c>
      <c r="S159" s="8" t="s">
        <v>49</v>
      </c>
      <c r="T159" s="8" t="s">
        <v>49</v>
      </c>
      <c r="U159" s="8" t="s">
        <v>49</v>
      </c>
      <c r="V159" s="8" t="s">
        <v>49</v>
      </c>
      <c r="W159" s="8" t="s">
        <v>49</v>
      </c>
      <c r="X159" s="8" t="s">
        <v>55</v>
      </c>
      <c r="Y159" s="8" t="s">
        <v>55</v>
      </c>
      <c r="Z159" s="8" t="s">
        <v>55</v>
      </c>
      <c r="AA159" s="8" t="s">
        <v>231</v>
      </c>
      <c r="AB159" s="8" t="s">
        <v>887</v>
      </c>
      <c r="AC159" s="8" t="s">
        <v>888</v>
      </c>
      <c r="AD159" s="8" t="s">
        <v>889</v>
      </c>
      <c r="AE159" s="8" t="s">
        <v>55</v>
      </c>
      <c r="AF159" s="8" t="s">
        <v>55</v>
      </c>
      <c r="AG159" s="8" t="s">
        <v>890</v>
      </c>
      <c r="AH159" s="8" t="s">
        <v>55</v>
      </c>
      <c r="AI159" s="8" t="s">
        <v>903</v>
      </c>
      <c r="AJ159" s="8" t="s">
        <v>49</v>
      </c>
      <c r="AK159" s="8" t="s">
        <v>55</v>
      </c>
      <c r="AL159" s="8" t="s">
        <v>66</v>
      </c>
      <c r="AM159" s="8" t="s">
        <v>896</v>
      </c>
      <c r="AN159" s="9" t="s">
        <v>904</v>
      </c>
      <c r="AO159" s="12" t="s">
        <v>224</v>
      </c>
      <c r="AP159" s="10" t="s">
        <v>892</v>
      </c>
      <c r="AQ159" s="11"/>
      <c r="AR159" s="10" t="s">
        <v>893</v>
      </c>
      <c r="AS159" s="12"/>
      <c r="AT159" s="10" t="s">
        <v>894</v>
      </c>
      <c r="AU159" s="11"/>
      <c r="AV159" s="13"/>
    </row>
    <row r="160" ht="16.5" hidden="1" customHeight="1">
      <c r="A160" s="7" t="s">
        <v>905</v>
      </c>
      <c r="B160" s="14" t="s">
        <v>49</v>
      </c>
      <c r="C160" s="14" t="s">
        <v>885</v>
      </c>
      <c r="D160" s="14" t="s">
        <v>886</v>
      </c>
      <c r="E160" s="7"/>
      <c r="F160" s="7">
        <v>6489.0</v>
      </c>
      <c r="G160" s="7">
        <v>6485.0</v>
      </c>
      <c r="H160" s="14" t="s">
        <v>53</v>
      </c>
      <c r="I160" s="7"/>
      <c r="J160" s="7"/>
      <c r="K160" s="8" t="s">
        <v>216</v>
      </c>
      <c r="L160" s="8" t="s">
        <v>55</v>
      </c>
      <c r="M160" s="12" t="s">
        <v>55</v>
      </c>
      <c r="N160" s="8" t="s">
        <v>55</v>
      </c>
      <c r="O160" s="8" t="s">
        <v>228</v>
      </c>
      <c r="P160" s="8" t="s">
        <v>229</v>
      </c>
      <c r="Q160" s="8" t="s">
        <v>49</v>
      </c>
      <c r="R160" s="8" t="s">
        <v>49</v>
      </c>
      <c r="S160" s="8" t="s">
        <v>49</v>
      </c>
      <c r="T160" s="8" t="s">
        <v>49</v>
      </c>
      <c r="U160" s="8" t="s">
        <v>49</v>
      </c>
      <c r="V160" s="8" t="s">
        <v>49</v>
      </c>
      <c r="W160" s="8" t="s">
        <v>49</v>
      </c>
      <c r="X160" s="8" t="s">
        <v>55</v>
      </c>
      <c r="Y160" s="8" t="s">
        <v>55</v>
      </c>
      <c r="Z160" s="8" t="s">
        <v>55</v>
      </c>
      <c r="AA160" s="8" t="s">
        <v>231</v>
      </c>
      <c r="AB160" s="8" t="s">
        <v>887</v>
      </c>
      <c r="AC160" s="8" t="s">
        <v>888</v>
      </c>
      <c r="AD160" s="8" t="s">
        <v>889</v>
      </c>
      <c r="AE160" s="8" t="s">
        <v>55</v>
      </c>
      <c r="AF160" s="8" t="s">
        <v>55</v>
      </c>
      <c r="AG160" s="8" t="s">
        <v>890</v>
      </c>
      <c r="AH160" s="8" t="s">
        <v>55</v>
      </c>
      <c r="AI160" s="8" t="s">
        <v>906</v>
      </c>
      <c r="AJ160" s="8" t="s">
        <v>49</v>
      </c>
      <c r="AK160" s="8" t="s">
        <v>55</v>
      </c>
      <c r="AL160" s="8" t="s">
        <v>66</v>
      </c>
      <c r="AM160" s="8" t="s">
        <v>896</v>
      </c>
      <c r="AN160" s="9" t="s">
        <v>907</v>
      </c>
      <c r="AO160" s="12" t="s">
        <v>224</v>
      </c>
      <c r="AP160" s="10" t="s">
        <v>892</v>
      </c>
      <c r="AQ160" s="11"/>
      <c r="AR160" s="10" t="s">
        <v>893</v>
      </c>
      <c r="AS160" s="12"/>
      <c r="AT160" s="10" t="s">
        <v>894</v>
      </c>
      <c r="AU160" s="11"/>
      <c r="AV160" s="13"/>
    </row>
    <row r="161" ht="16.5" hidden="1" customHeight="1">
      <c r="A161" s="7" t="s">
        <v>908</v>
      </c>
      <c r="B161" s="14" t="s">
        <v>49</v>
      </c>
      <c r="C161" s="14" t="s">
        <v>885</v>
      </c>
      <c r="D161" s="14" t="s">
        <v>909</v>
      </c>
      <c r="E161" s="7"/>
      <c r="F161" s="7">
        <v>6492.0</v>
      </c>
      <c r="G161" s="7">
        <v>6490.0</v>
      </c>
      <c r="H161" s="14" t="s">
        <v>53</v>
      </c>
      <c r="I161" s="7"/>
      <c r="J161" s="7"/>
      <c r="K161" s="8" t="s">
        <v>216</v>
      </c>
      <c r="L161" s="8" t="s">
        <v>55</v>
      </c>
      <c r="M161" s="12" t="s">
        <v>55</v>
      </c>
      <c r="N161" s="8" t="s">
        <v>55</v>
      </c>
      <c r="O161" s="8" t="s">
        <v>228</v>
      </c>
      <c r="P161" s="8" t="s">
        <v>229</v>
      </c>
      <c r="Q161" s="8" t="s">
        <v>49</v>
      </c>
      <c r="R161" s="8" t="s">
        <v>49</v>
      </c>
      <c r="S161" s="8" t="s">
        <v>49</v>
      </c>
      <c r="T161" s="8" t="s">
        <v>49</v>
      </c>
      <c r="U161" s="8" t="s">
        <v>49</v>
      </c>
      <c r="V161" s="8" t="s">
        <v>49</v>
      </c>
      <c r="W161" s="8" t="s">
        <v>49</v>
      </c>
      <c r="X161" s="8" t="s">
        <v>55</v>
      </c>
      <c r="Y161" s="8" t="s">
        <v>55</v>
      </c>
      <c r="Z161" s="8" t="s">
        <v>55</v>
      </c>
      <c r="AA161" s="8" t="s">
        <v>231</v>
      </c>
      <c r="AB161" s="8" t="s">
        <v>887</v>
      </c>
      <c r="AC161" s="8" t="s">
        <v>888</v>
      </c>
      <c r="AD161" s="8" t="s">
        <v>910</v>
      </c>
      <c r="AE161" s="8" t="s">
        <v>55</v>
      </c>
      <c r="AF161" s="8" t="s">
        <v>55</v>
      </c>
      <c r="AG161" s="8" t="s">
        <v>890</v>
      </c>
      <c r="AH161" s="8" t="s">
        <v>55</v>
      </c>
      <c r="AI161" s="8" t="s">
        <v>900</v>
      </c>
      <c r="AJ161" s="8" t="s">
        <v>49</v>
      </c>
      <c r="AK161" s="8" t="s">
        <v>55</v>
      </c>
      <c r="AL161" s="8" t="s">
        <v>66</v>
      </c>
      <c r="AM161" s="8" t="s">
        <v>911</v>
      </c>
      <c r="AN161" s="9" t="s">
        <v>912</v>
      </c>
      <c r="AO161" s="12" t="s">
        <v>224</v>
      </c>
      <c r="AP161" s="10" t="s">
        <v>913</v>
      </c>
      <c r="AQ161" s="11"/>
      <c r="AR161" s="10" t="s">
        <v>914</v>
      </c>
      <c r="AS161" s="12"/>
      <c r="AT161" s="10" t="s">
        <v>915</v>
      </c>
      <c r="AU161" s="11"/>
      <c r="AV161" s="13"/>
    </row>
    <row r="162" ht="16.5" hidden="1" customHeight="1">
      <c r="A162" s="7" t="s">
        <v>916</v>
      </c>
      <c r="B162" s="14" t="s">
        <v>49</v>
      </c>
      <c r="C162" s="14" t="s">
        <v>885</v>
      </c>
      <c r="D162" s="14" t="s">
        <v>909</v>
      </c>
      <c r="E162" s="7"/>
      <c r="F162" s="7">
        <v>6494.0</v>
      </c>
      <c r="G162" s="7">
        <v>6490.0</v>
      </c>
      <c r="H162" s="14" t="s">
        <v>53</v>
      </c>
      <c r="I162" s="7"/>
      <c r="J162" s="7"/>
      <c r="K162" s="8" t="s">
        <v>216</v>
      </c>
      <c r="L162" s="8" t="s">
        <v>55</v>
      </c>
      <c r="M162" s="12" t="s">
        <v>55</v>
      </c>
      <c r="N162" s="8" t="s">
        <v>55</v>
      </c>
      <c r="O162" s="8" t="s">
        <v>228</v>
      </c>
      <c r="P162" s="8" t="s">
        <v>229</v>
      </c>
      <c r="Q162" s="8" t="s">
        <v>49</v>
      </c>
      <c r="R162" s="8" t="s">
        <v>49</v>
      </c>
      <c r="S162" s="8" t="s">
        <v>49</v>
      </c>
      <c r="T162" s="8" t="s">
        <v>49</v>
      </c>
      <c r="U162" s="8" t="s">
        <v>49</v>
      </c>
      <c r="V162" s="8" t="s">
        <v>49</v>
      </c>
      <c r="W162" s="8" t="s">
        <v>49</v>
      </c>
      <c r="X162" s="8" t="s">
        <v>55</v>
      </c>
      <c r="Y162" s="8" t="s">
        <v>55</v>
      </c>
      <c r="Z162" s="8" t="s">
        <v>55</v>
      </c>
      <c r="AA162" s="8" t="s">
        <v>231</v>
      </c>
      <c r="AB162" s="8" t="s">
        <v>887</v>
      </c>
      <c r="AC162" s="8" t="s">
        <v>888</v>
      </c>
      <c r="AD162" s="8" t="s">
        <v>910</v>
      </c>
      <c r="AE162" s="8" t="s">
        <v>55</v>
      </c>
      <c r="AF162" s="8" t="s">
        <v>55</v>
      </c>
      <c r="AG162" s="8" t="s">
        <v>890</v>
      </c>
      <c r="AH162" s="8" t="s">
        <v>55</v>
      </c>
      <c r="AI162" s="8" t="s">
        <v>906</v>
      </c>
      <c r="AJ162" s="8" t="s">
        <v>49</v>
      </c>
      <c r="AK162" s="8" t="s">
        <v>55</v>
      </c>
      <c r="AL162" s="8" t="s">
        <v>66</v>
      </c>
      <c r="AM162" s="8" t="s">
        <v>911</v>
      </c>
      <c r="AN162" s="9" t="s">
        <v>917</v>
      </c>
      <c r="AO162" s="12" t="s">
        <v>224</v>
      </c>
      <c r="AP162" s="10" t="s">
        <v>913</v>
      </c>
      <c r="AQ162" s="11"/>
      <c r="AR162" s="10" t="s">
        <v>914</v>
      </c>
      <c r="AS162" s="12"/>
      <c r="AT162" s="10" t="s">
        <v>915</v>
      </c>
      <c r="AU162" s="11"/>
      <c r="AV162" s="13"/>
    </row>
    <row r="163" ht="16.5" hidden="1" customHeight="1">
      <c r="A163" s="7" t="s">
        <v>918</v>
      </c>
      <c r="B163" s="7" t="s">
        <v>49</v>
      </c>
      <c r="C163" s="7" t="s">
        <v>919</v>
      </c>
      <c r="D163" s="7" t="s">
        <v>920</v>
      </c>
      <c r="E163" s="7" t="s">
        <v>227</v>
      </c>
      <c r="F163" s="7">
        <v>6563.0</v>
      </c>
      <c r="G163" s="7"/>
      <c r="H163" s="7" t="s">
        <v>53</v>
      </c>
      <c r="I163" s="7"/>
      <c r="J163" s="7"/>
      <c r="K163" s="8" t="s">
        <v>55</v>
      </c>
      <c r="L163" s="8" t="s">
        <v>55</v>
      </c>
      <c r="M163" s="12" t="s">
        <v>55</v>
      </c>
      <c r="N163" s="8" t="s">
        <v>55</v>
      </c>
      <c r="O163" s="8" t="s">
        <v>55</v>
      </c>
      <c r="P163" s="8" t="s">
        <v>55</v>
      </c>
      <c r="Q163" s="8" t="s">
        <v>49</v>
      </c>
      <c r="R163" s="8" t="s">
        <v>49</v>
      </c>
      <c r="S163" s="8" t="s">
        <v>49</v>
      </c>
      <c r="T163" s="8" t="s">
        <v>49</v>
      </c>
      <c r="U163" s="8" t="s">
        <v>49</v>
      </c>
      <c r="V163" s="8" t="s">
        <v>49</v>
      </c>
      <c r="W163" s="8" t="s">
        <v>49</v>
      </c>
      <c r="X163" s="8" t="s">
        <v>55</v>
      </c>
      <c r="Y163" s="8" t="s">
        <v>55</v>
      </c>
      <c r="Z163" s="8" t="s">
        <v>55</v>
      </c>
      <c r="AA163" s="8" t="s">
        <v>55</v>
      </c>
      <c r="AB163" s="8" t="s">
        <v>55</v>
      </c>
      <c r="AC163" s="8" t="s">
        <v>55</v>
      </c>
      <c r="AD163" s="8" t="s">
        <v>921</v>
      </c>
      <c r="AE163" s="8" t="s">
        <v>55</v>
      </c>
      <c r="AF163" s="8" t="s">
        <v>55</v>
      </c>
      <c r="AG163" s="8" t="s">
        <v>890</v>
      </c>
      <c r="AH163" s="8" t="s">
        <v>55</v>
      </c>
      <c r="AI163" s="8" t="s">
        <v>369</v>
      </c>
      <c r="AJ163" s="8" t="s">
        <v>49</v>
      </c>
      <c r="AK163" s="8" t="s">
        <v>55</v>
      </c>
      <c r="AL163" s="8" t="s">
        <v>720</v>
      </c>
      <c r="AM163" s="8"/>
      <c r="AN163" s="16" t="s">
        <v>922</v>
      </c>
      <c r="AO163" s="9" t="s">
        <v>923</v>
      </c>
      <c r="AP163" s="17" t="s">
        <v>924</v>
      </c>
      <c r="AQ163" s="11"/>
      <c r="AR163" s="11"/>
      <c r="AS163" s="12"/>
      <c r="AT163" s="11"/>
      <c r="AU163" s="11"/>
      <c r="AV163" s="13"/>
    </row>
    <row r="164" ht="16.5" hidden="1" customHeight="1">
      <c r="A164" s="7" t="s">
        <v>925</v>
      </c>
      <c r="B164" s="7" t="s">
        <v>49</v>
      </c>
      <c r="C164" s="7" t="s">
        <v>919</v>
      </c>
      <c r="D164" s="7" t="s">
        <v>926</v>
      </c>
      <c r="E164" s="7" t="s">
        <v>227</v>
      </c>
      <c r="F164" s="7">
        <v>6564.0</v>
      </c>
      <c r="G164" s="7"/>
      <c r="H164" s="7" t="s">
        <v>53</v>
      </c>
      <c r="I164" s="7"/>
      <c r="J164" s="7"/>
      <c r="K164" s="8" t="s">
        <v>55</v>
      </c>
      <c r="L164" s="8" t="s">
        <v>55</v>
      </c>
      <c r="M164" s="8"/>
      <c r="N164" s="8" t="s">
        <v>55</v>
      </c>
      <c r="O164" s="8" t="s">
        <v>228</v>
      </c>
      <c r="P164" s="8" t="s">
        <v>229</v>
      </c>
      <c r="Q164" s="8" t="s">
        <v>49</v>
      </c>
      <c r="R164" s="8" t="s">
        <v>49</v>
      </c>
      <c r="S164" s="8" t="s">
        <v>49</v>
      </c>
      <c r="T164" s="8" t="s">
        <v>49</v>
      </c>
      <c r="U164" s="8" t="s">
        <v>49</v>
      </c>
      <c r="V164" s="8" t="s">
        <v>49</v>
      </c>
      <c r="W164" s="8" t="s">
        <v>49</v>
      </c>
      <c r="X164" s="8" t="s">
        <v>49</v>
      </c>
      <c r="Y164" s="8" t="s">
        <v>49</v>
      </c>
      <c r="Z164" s="8" t="s">
        <v>49</v>
      </c>
      <c r="AA164" s="8" t="s">
        <v>231</v>
      </c>
      <c r="AB164" s="8" t="s">
        <v>60</v>
      </c>
      <c r="AC164" s="8" t="s">
        <v>55</v>
      </c>
      <c r="AD164" s="8" t="s">
        <v>927</v>
      </c>
      <c r="AE164" s="8" t="s">
        <v>55</v>
      </c>
      <c r="AF164" s="8" t="s">
        <v>55</v>
      </c>
      <c r="AG164" s="8" t="s">
        <v>145</v>
      </c>
      <c r="AH164" s="8" t="s">
        <v>55</v>
      </c>
      <c r="AI164" s="8" t="s">
        <v>463</v>
      </c>
      <c r="AJ164" s="8" t="s">
        <v>49</v>
      </c>
      <c r="AK164" s="8" t="s">
        <v>49</v>
      </c>
      <c r="AL164" s="8" t="s">
        <v>720</v>
      </c>
      <c r="AM164" s="8" t="s">
        <v>928</v>
      </c>
      <c r="AN164" s="9" t="s">
        <v>929</v>
      </c>
      <c r="AO164" s="9" t="s">
        <v>930</v>
      </c>
      <c r="AP164" s="18" t="s">
        <v>931</v>
      </c>
      <c r="AQ164" s="11"/>
      <c r="AR164" s="10" t="s">
        <v>932</v>
      </c>
      <c r="AS164" s="12"/>
      <c r="AT164" s="10" t="s">
        <v>933</v>
      </c>
      <c r="AU164" s="11"/>
      <c r="AV164" s="13"/>
    </row>
    <row r="165" ht="16.5" hidden="1" customHeight="1">
      <c r="A165" s="7" t="s">
        <v>934</v>
      </c>
      <c r="B165" s="7" t="s">
        <v>49</v>
      </c>
      <c r="C165" s="7" t="s">
        <v>919</v>
      </c>
      <c r="D165" s="7" t="s">
        <v>926</v>
      </c>
      <c r="E165" s="7" t="s">
        <v>227</v>
      </c>
      <c r="F165" s="7">
        <v>6564.0</v>
      </c>
      <c r="G165" s="7">
        <v>6564.0</v>
      </c>
      <c r="H165" s="7" t="s">
        <v>53</v>
      </c>
      <c r="I165" s="7"/>
      <c r="J165" s="7"/>
      <c r="K165" s="8" t="s">
        <v>55</v>
      </c>
      <c r="L165" s="8" t="s">
        <v>55</v>
      </c>
      <c r="M165" s="12" t="s">
        <v>55</v>
      </c>
      <c r="N165" s="8" t="s">
        <v>55</v>
      </c>
      <c r="O165" s="8" t="s">
        <v>228</v>
      </c>
      <c r="P165" s="8" t="s">
        <v>229</v>
      </c>
      <c r="Q165" s="8" t="s">
        <v>49</v>
      </c>
      <c r="R165" s="8" t="s">
        <v>49</v>
      </c>
      <c r="S165" s="8" t="s">
        <v>49</v>
      </c>
      <c r="T165" s="8" t="s">
        <v>49</v>
      </c>
      <c r="U165" s="8" t="s">
        <v>49</v>
      </c>
      <c r="V165" s="8" t="s">
        <v>49</v>
      </c>
      <c r="W165" s="8" t="s">
        <v>49</v>
      </c>
      <c r="X165" s="8" t="s">
        <v>55</v>
      </c>
      <c r="Y165" s="8" t="s">
        <v>55</v>
      </c>
      <c r="Z165" s="8" t="s">
        <v>55</v>
      </c>
      <c r="AA165" s="8" t="s">
        <v>231</v>
      </c>
      <c r="AB165" s="8" t="s">
        <v>60</v>
      </c>
      <c r="AC165" s="8" t="s">
        <v>55</v>
      </c>
      <c r="AD165" s="8" t="s">
        <v>927</v>
      </c>
      <c r="AE165" s="8" t="s">
        <v>55</v>
      </c>
      <c r="AF165" s="8" t="s">
        <v>55</v>
      </c>
      <c r="AG165" s="8" t="s">
        <v>145</v>
      </c>
      <c r="AH165" s="8" t="s">
        <v>55</v>
      </c>
      <c r="AI165" s="8" t="s">
        <v>463</v>
      </c>
      <c r="AJ165" s="8" t="s">
        <v>49</v>
      </c>
      <c r="AK165" s="8" t="s">
        <v>55</v>
      </c>
      <c r="AL165" s="8" t="s">
        <v>720</v>
      </c>
      <c r="AM165" s="8" t="s">
        <v>928</v>
      </c>
      <c r="AN165" s="9" t="s">
        <v>929</v>
      </c>
      <c r="AO165" s="9" t="s">
        <v>930</v>
      </c>
      <c r="AP165" s="17" t="s">
        <v>924</v>
      </c>
      <c r="AQ165" s="11"/>
      <c r="AR165" s="10" t="s">
        <v>932</v>
      </c>
      <c r="AS165" s="12"/>
      <c r="AT165" s="10" t="s">
        <v>933</v>
      </c>
      <c r="AU165" s="11"/>
      <c r="AV165" s="15">
        <v>46341.0</v>
      </c>
    </row>
    <row r="166" ht="16.5" hidden="1" customHeight="1">
      <c r="A166" s="7" t="s">
        <v>935</v>
      </c>
      <c r="B166" s="14" t="s">
        <v>49</v>
      </c>
      <c r="C166" s="7" t="s">
        <v>919</v>
      </c>
      <c r="D166" s="14" t="s">
        <v>926</v>
      </c>
      <c r="E166" s="7"/>
      <c r="F166" s="7">
        <v>6565.0</v>
      </c>
      <c r="G166" s="7">
        <v>6564.0</v>
      </c>
      <c r="H166" s="7" t="s">
        <v>53</v>
      </c>
      <c r="I166" s="7"/>
      <c r="J166" s="7"/>
      <c r="K166" s="8" t="s">
        <v>55</v>
      </c>
      <c r="L166" s="8" t="s">
        <v>55</v>
      </c>
      <c r="M166" s="12" t="s">
        <v>55</v>
      </c>
      <c r="N166" s="8" t="s">
        <v>55</v>
      </c>
      <c r="O166" s="8" t="s">
        <v>228</v>
      </c>
      <c r="P166" s="8" t="s">
        <v>229</v>
      </c>
      <c r="Q166" s="8" t="s">
        <v>49</v>
      </c>
      <c r="R166" s="8" t="s">
        <v>49</v>
      </c>
      <c r="S166" s="8" t="s">
        <v>49</v>
      </c>
      <c r="T166" s="8" t="s">
        <v>49</v>
      </c>
      <c r="U166" s="8" t="s">
        <v>49</v>
      </c>
      <c r="V166" s="8" t="s">
        <v>49</v>
      </c>
      <c r="W166" s="8" t="s">
        <v>49</v>
      </c>
      <c r="X166" s="8" t="s">
        <v>55</v>
      </c>
      <c r="Y166" s="8" t="s">
        <v>55</v>
      </c>
      <c r="Z166" s="8" t="s">
        <v>55</v>
      </c>
      <c r="AA166" s="8" t="s">
        <v>231</v>
      </c>
      <c r="AB166" s="8" t="s">
        <v>60</v>
      </c>
      <c r="AC166" s="8" t="s">
        <v>55</v>
      </c>
      <c r="AD166" s="8" t="s">
        <v>927</v>
      </c>
      <c r="AE166" s="8" t="s">
        <v>55</v>
      </c>
      <c r="AF166" s="8" t="s">
        <v>55</v>
      </c>
      <c r="AG166" s="8" t="s">
        <v>145</v>
      </c>
      <c r="AH166" s="8" t="s">
        <v>55</v>
      </c>
      <c r="AI166" s="8" t="s">
        <v>65</v>
      </c>
      <c r="AJ166" s="8" t="s">
        <v>49</v>
      </c>
      <c r="AK166" s="8" t="s">
        <v>55</v>
      </c>
      <c r="AL166" s="8" t="s">
        <v>720</v>
      </c>
      <c r="AM166" s="8" t="s">
        <v>928</v>
      </c>
      <c r="AN166" s="16" t="s">
        <v>936</v>
      </c>
      <c r="AO166" s="9" t="s">
        <v>937</v>
      </c>
      <c r="AP166" s="17" t="s">
        <v>924</v>
      </c>
      <c r="AQ166" s="11"/>
      <c r="AR166" s="10" t="s">
        <v>932</v>
      </c>
      <c r="AS166" s="12"/>
      <c r="AT166" s="10" t="s">
        <v>933</v>
      </c>
      <c r="AU166" s="11"/>
      <c r="AV166" s="15">
        <v>46315.0</v>
      </c>
    </row>
    <row r="167" ht="16.5" hidden="1" customHeight="1">
      <c r="A167" s="7" t="s">
        <v>938</v>
      </c>
      <c r="B167" s="7" t="s">
        <v>49</v>
      </c>
      <c r="C167" s="7" t="s">
        <v>919</v>
      </c>
      <c r="D167" s="7" t="s">
        <v>920</v>
      </c>
      <c r="E167" s="7" t="s">
        <v>227</v>
      </c>
      <c r="F167" s="7">
        <v>6566.0</v>
      </c>
      <c r="G167" s="7"/>
      <c r="H167" s="7" t="s">
        <v>53</v>
      </c>
      <c r="I167" s="7"/>
      <c r="J167" s="7"/>
      <c r="K167" s="8" t="s">
        <v>55</v>
      </c>
      <c r="L167" s="8" t="s">
        <v>55</v>
      </c>
      <c r="M167" s="8"/>
      <c r="N167" s="8" t="s">
        <v>55</v>
      </c>
      <c r="O167" s="8" t="s">
        <v>55</v>
      </c>
      <c r="P167" s="8" t="s">
        <v>55</v>
      </c>
      <c r="Q167" s="8" t="s">
        <v>49</v>
      </c>
      <c r="R167" s="8" t="s">
        <v>49</v>
      </c>
      <c r="S167" s="8" t="s">
        <v>49</v>
      </c>
      <c r="T167" s="8" t="s">
        <v>49</v>
      </c>
      <c r="U167" s="8" t="s">
        <v>49</v>
      </c>
      <c r="V167" s="8" t="s">
        <v>49</v>
      </c>
      <c r="W167" s="8" t="s">
        <v>49</v>
      </c>
      <c r="X167" s="8" t="s">
        <v>49</v>
      </c>
      <c r="Y167" s="8" t="s">
        <v>49</v>
      </c>
      <c r="Z167" s="8" t="s">
        <v>49</v>
      </c>
      <c r="AA167" s="8" t="s">
        <v>55</v>
      </c>
      <c r="AB167" s="8" t="s">
        <v>55</v>
      </c>
      <c r="AC167" s="8" t="s">
        <v>55</v>
      </c>
      <c r="AD167" s="8" t="s">
        <v>939</v>
      </c>
      <c r="AE167" s="8" t="s">
        <v>55</v>
      </c>
      <c r="AF167" s="8" t="s">
        <v>55</v>
      </c>
      <c r="AG167" s="8" t="s">
        <v>145</v>
      </c>
      <c r="AH167" s="8" t="s">
        <v>55</v>
      </c>
      <c r="AI167" s="8" t="s">
        <v>463</v>
      </c>
      <c r="AJ167" s="8" t="s">
        <v>49</v>
      </c>
      <c r="AK167" s="8" t="s">
        <v>49</v>
      </c>
      <c r="AL167" s="8" t="s">
        <v>720</v>
      </c>
      <c r="AM167" s="8" t="s">
        <v>928</v>
      </c>
      <c r="AN167" s="9" t="s">
        <v>940</v>
      </c>
      <c r="AO167" s="9" t="s">
        <v>941</v>
      </c>
      <c r="AP167" s="18" t="s">
        <v>931</v>
      </c>
      <c r="AQ167" s="11"/>
      <c r="AR167" s="10" t="s">
        <v>942</v>
      </c>
      <c r="AS167" s="12"/>
      <c r="AT167" s="11"/>
      <c r="AU167" s="11"/>
      <c r="AV167" s="13"/>
    </row>
    <row r="168" ht="16.5" hidden="1" customHeight="1">
      <c r="A168" s="7" t="s">
        <v>943</v>
      </c>
      <c r="B168" s="7" t="s">
        <v>49</v>
      </c>
      <c r="C168" s="7" t="s">
        <v>919</v>
      </c>
      <c r="D168" s="7" t="s">
        <v>920</v>
      </c>
      <c r="E168" s="7" t="s">
        <v>227</v>
      </c>
      <c r="F168" s="7">
        <v>6566.0</v>
      </c>
      <c r="G168" s="7">
        <v>6566.0</v>
      </c>
      <c r="H168" s="7" t="s">
        <v>53</v>
      </c>
      <c r="I168" s="7"/>
      <c r="J168" s="7"/>
      <c r="K168" s="8" t="s">
        <v>55</v>
      </c>
      <c r="L168" s="8" t="s">
        <v>55</v>
      </c>
      <c r="M168" s="12" t="s">
        <v>55</v>
      </c>
      <c r="N168" s="8" t="s">
        <v>55</v>
      </c>
      <c r="O168" s="8" t="s">
        <v>55</v>
      </c>
      <c r="P168" s="8" t="s">
        <v>55</v>
      </c>
      <c r="Q168" s="8" t="s">
        <v>49</v>
      </c>
      <c r="R168" s="8" t="s">
        <v>49</v>
      </c>
      <c r="S168" s="8" t="s">
        <v>49</v>
      </c>
      <c r="T168" s="8" t="s">
        <v>49</v>
      </c>
      <c r="U168" s="8" t="s">
        <v>49</v>
      </c>
      <c r="V168" s="8" t="s">
        <v>49</v>
      </c>
      <c r="W168" s="8" t="s">
        <v>49</v>
      </c>
      <c r="X168" s="8" t="s">
        <v>55</v>
      </c>
      <c r="Y168" s="8" t="s">
        <v>55</v>
      </c>
      <c r="Z168" s="8" t="s">
        <v>55</v>
      </c>
      <c r="AA168" s="8" t="s">
        <v>55</v>
      </c>
      <c r="AB168" s="8" t="s">
        <v>55</v>
      </c>
      <c r="AC168" s="8" t="s">
        <v>55</v>
      </c>
      <c r="AD168" s="8" t="s">
        <v>939</v>
      </c>
      <c r="AE168" s="8" t="s">
        <v>55</v>
      </c>
      <c r="AF168" s="8" t="s">
        <v>55</v>
      </c>
      <c r="AG168" s="8" t="s">
        <v>145</v>
      </c>
      <c r="AH168" s="8" t="s">
        <v>55</v>
      </c>
      <c r="AI168" s="8" t="s">
        <v>463</v>
      </c>
      <c r="AJ168" s="8" t="s">
        <v>49</v>
      </c>
      <c r="AK168" s="8" t="s">
        <v>55</v>
      </c>
      <c r="AL168" s="8" t="s">
        <v>720</v>
      </c>
      <c r="AM168" s="8" t="s">
        <v>928</v>
      </c>
      <c r="AN168" s="16" t="s">
        <v>940</v>
      </c>
      <c r="AO168" s="9" t="s">
        <v>941</v>
      </c>
      <c r="AP168" s="17" t="s">
        <v>924</v>
      </c>
      <c r="AQ168" s="11"/>
      <c r="AR168" s="10" t="s">
        <v>942</v>
      </c>
      <c r="AS168" s="12"/>
      <c r="AT168" s="11"/>
      <c r="AU168" s="11"/>
      <c r="AV168" s="15">
        <v>46341.0</v>
      </c>
    </row>
    <row r="169" ht="16.5" hidden="1" customHeight="1">
      <c r="A169" s="7" t="s">
        <v>944</v>
      </c>
      <c r="B169" s="14" t="s">
        <v>49</v>
      </c>
      <c r="C169" s="14" t="s">
        <v>919</v>
      </c>
      <c r="D169" s="14" t="s">
        <v>920</v>
      </c>
      <c r="E169" s="7"/>
      <c r="F169" s="7">
        <v>6567.0</v>
      </c>
      <c r="G169" s="7">
        <v>6566.0</v>
      </c>
      <c r="H169" s="7" t="s">
        <v>53</v>
      </c>
      <c r="I169" s="7"/>
      <c r="J169" s="7"/>
      <c r="K169" s="8" t="s">
        <v>55</v>
      </c>
      <c r="L169" s="8" t="s">
        <v>55</v>
      </c>
      <c r="M169" s="12" t="s">
        <v>55</v>
      </c>
      <c r="N169" s="8" t="s">
        <v>55</v>
      </c>
      <c r="O169" s="8" t="s">
        <v>55</v>
      </c>
      <c r="P169" s="8" t="s">
        <v>55</v>
      </c>
      <c r="Q169" s="8" t="s">
        <v>49</v>
      </c>
      <c r="R169" s="8" t="s">
        <v>49</v>
      </c>
      <c r="S169" s="8" t="s">
        <v>49</v>
      </c>
      <c r="T169" s="8" t="s">
        <v>49</v>
      </c>
      <c r="U169" s="8" t="s">
        <v>49</v>
      </c>
      <c r="V169" s="8" t="s">
        <v>49</v>
      </c>
      <c r="W169" s="8" t="s">
        <v>49</v>
      </c>
      <c r="X169" s="8" t="s">
        <v>55</v>
      </c>
      <c r="Y169" s="8" t="s">
        <v>55</v>
      </c>
      <c r="Z169" s="8" t="s">
        <v>55</v>
      </c>
      <c r="AA169" s="8" t="s">
        <v>55</v>
      </c>
      <c r="AB169" s="8" t="s">
        <v>55</v>
      </c>
      <c r="AC169" s="8" t="s">
        <v>55</v>
      </c>
      <c r="AD169" s="8" t="s">
        <v>939</v>
      </c>
      <c r="AE169" s="8" t="s">
        <v>55</v>
      </c>
      <c r="AF169" s="8" t="s">
        <v>55</v>
      </c>
      <c r="AG169" s="8" t="s">
        <v>145</v>
      </c>
      <c r="AH169" s="8" t="s">
        <v>55</v>
      </c>
      <c r="AI169" s="8" t="s">
        <v>65</v>
      </c>
      <c r="AJ169" s="8" t="s">
        <v>49</v>
      </c>
      <c r="AK169" s="8" t="s">
        <v>55</v>
      </c>
      <c r="AL169" s="8" t="s">
        <v>720</v>
      </c>
      <c r="AM169" s="8" t="s">
        <v>928</v>
      </c>
      <c r="AN169" s="9" t="s">
        <v>945</v>
      </c>
      <c r="AO169" s="9" t="s">
        <v>946</v>
      </c>
      <c r="AP169" s="17" t="s">
        <v>924</v>
      </c>
      <c r="AQ169" s="11"/>
      <c r="AR169" s="10" t="s">
        <v>942</v>
      </c>
      <c r="AS169" s="12"/>
      <c r="AT169" s="11"/>
      <c r="AU169" s="11"/>
      <c r="AV169" s="15">
        <v>46341.0</v>
      </c>
    </row>
    <row r="170" ht="16.5" hidden="1" customHeight="1">
      <c r="A170" s="7" t="s">
        <v>947</v>
      </c>
      <c r="B170" s="7" t="s">
        <v>49</v>
      </c>
      <c r="C170" s="7" t="s">
        <v>919</v>
      </c>
      <c r="D170" s="7" t="s">
        <v>920</v>
      </c>
      <c r="E170" s="7" t="s">
        <v>227</v>
      </c>
      <c r="F170" s="7">
        <v>6568.0</v>
      </c>
      <c r="G170" s="7"/>
      <c r="H170" s="7" t="s">
        <v>53</v>
      </c>
      <c r="I170" s="7"/>
      <c r="J170" s="7"/>
      <c r="K170" s="8" t="s">
        <v>55</v>
      </c>
      <c r="L170" s="8" t="s">
        <v>55</v>
      </c>
      <c r="M170" s="8"/>
      <c r="N170" s="8" t="s">
        <v>55</v>
      </c>
      <c r="O170" s="8" t="s">
        <v>228</v>
      </c>
      <c r="P170" s="8" t="s">
        <v>229</v>
      </c>
      <c r="Q170" s="8" t="s">
        <v>49</v>
      </c>
      <c r="R170" s="8" t="s">
        <v>49</v>
      </c>
      <c r="S170" s="8" t="s">
        <v>49</v>
      </c>
      <c r="T170" s="8" t="s">
        <v>49</v>
      </c>
      <c r="U170" s="8" t="s">
        <v>49</v>
      </c>
      <c r="V170" s="8" t="s">
        <v>49</v>
      </c>
      <c r="W170" s="8" t="s">
        <v>49</v>
      </c>
      <c r="X170" s="8" t="s">
        <v>49</v>
      </c>
      <c r="Y170" s="8" t="s">
        <v>49</v>
      </c>
      <c r="Z170" s="8" t="s">
        <v>49</v>
      </c>
      <c r="AA170" s="8" t="s">
        <v>231</v>
      </c>
      <c r="AB170" s="8" t="s">
        <v>60</v>
      </c>
      <c r="AC170" s="8" t="s">
        <v>55</v>
      </c>
      <c r="AD170" s="8" t="s">
        <v>948</v>
      </c>
      <c r="AE170" s="8" t="s">
        <v>55</v>
      </c>
      <c r="AF170" s="8" t="s">
        <v>55</v>
      </c>
      <c r="AG170" s="8" t="s">
        <v>145</v>
      </c>
      <c r="AH170" s="8" t="s">
        <v>55</v>
      </c>
      <c r="AI170" s="8" t="s">
        <v>463</v>
      </c>
      <c r="AJ170" s="8" t="s">
        <v>49</v>
      </c>
      <c r="AK170" s="8" t="s">
        <v>49</v>
      </c>
      <c r="AL170" s="8" t="s">
        <v>720</v>
      </c>
      <c r="AM170" s="8" t="s">
        <v>928</v>
      </c>
      <c r="AN170" s="9" t="s">
        <v>949</v>
      </c>
      <c r="AO170" s="9" t="s">
        <v>950</v>
      </c>
      <c r="AP170" s="18" t="s">
        <v>931</v>
      </c>
      <c r="AQ170" s="11"/>
      <c r="AR170" s="11"/>
      <c r="AS170" s="12"/>
      <c r="AT170" s="11"/>
      <c r="AU170" s="11"/>
      <c r="AV170" s="13"/>
    </row>
    <row r="171" ht="16.5" hidden="1" customHeight="1">
      <c r="A171" s="7" t="s">
        <v>951</v>
      </c>
      <c r="B171" s="14" t="s">
        <v>49</v>
      </c>
      <c r="C171" s="14" t="s">
        <v>919</v>
      </c>
      <c r="D171" s="14" t="s">
        <v>920</v>
      </c>
      <c r="E171" s="7"/>
      <c r="F171" s="7">
        <v>6568.0</v>
      </c>
      <c r="G171" s="7">
        <v>6568.0</v>
      </c>
      <c r="H171" s="7" t="s">
        <v>53</v>
      </c>
      <c r="I171" s="7"/>
      <c r="J171" s="7"/>
      <c r="K171" s="8" t="s">
        <v>55</v>
      </c>
      <c r="L171" s="8" t="s">
        <v>55</v>
      </c>
      <c r="M171" s="12" t="s">
        <v>55</v>
      </c>
      <c r="N171" s="8" t="s">
        <v>55</v>
      </c>
      <c r="O171" s="8" t="s">
        <v>228</v>
      </c>
      <c r="P171" s="8" t="s">
        <v>229</v>
      </c>
      <c r="Q171" s="8" t="s">
        <v>49</v>
      </c>
      <c r="R171" s="8" t="s">
        <v>49</v>
      </c>
      <c r="S171" s="8" t="s">
        <v>49</v>
      </c>
      <c r="T171" s="8" t="s">
        <v>49</v>
      </c>
      <c r="U171" s="8" t="s">
        <v>49</v>
      </c>
      <c r="V171" s="8" t="s">
        <v>49</v>
      </c>
      <c r="W171" s="8" t="s">
        <v>49</v>
      </c>
      <c r="X171" s="8" t="s">
        <v>55</v>
      </c>
      <c r="Y171" s="8" t="s">
        <v>55</v>
      </c>
      <c r="Z171" s="8" t="s">
        <v>55</v>
      </c>
      <c r="AA171" s="8" t="s">
        <v>231</v>
      </c>
      <c r="AB171" s="8" t="s">
        <v>60</v>
      </c>
      <c r="AC171" s="8" t="s">
        <v>55</v>
      </c>
      <c r="AD171" s="8" t="s">
        <v>948</v>
      </c>
      <c r="AE171" s="8" t="s">
        <v>55</v>
      </c>
      <c r="AF171" s="8" t="s">
        <v>55</v>
      </c>
      <c r="AG171" s="8" t="s">
        <v>145</v>
      </c>
      <c r="AH171" s="8" t="s">
        <v>55</v>
      </c>
      <c r="AI171" s="8" t="s">
        <v>463</v>
      </c>
      <c r="AJ171" s="8" t="s">
        <v>49</v>
      </c>
      <c r="AK171" s="8" t="s">
        <v>55</v>
      </c>
      <c r="AL171" s="8" t="s">
        <v>720</v>
      </c>
      <c r="AM171" s="8" t="s">
        <v>928</v>
      </c>
      <c r="AN171" s="9" t="s">
        <v>949</v>
      </c>
      <c r="AO171" s="9" t="s">
        <v>950</v>
      </c>
      <c r="AP171" s="17" t="s">
        <v>924</v>
      </c>
      <c r="AQ171" s="11"/>
      <c r="AR171" s="11"/>
      <c r="AS171" s="12"/>
      <c r="AT171" s="11"/>
      <c r="AU171" s="11"/>
      <c r="AV171" s="15">
        <v>46315.0</v>
      </c>
    </row>
    <row r="172" ht="16.5" hidden="1" customHeight="1">
      <c r="A172" s="7" t="s">
        <v>952</v>
      </c>
      <c r="B172" s="14" t="s">
        <v>49</v>
      </c>
      <c r="C172" s="14" t="s">
        <v>919</v>
      </c>
      <c r="D172" s="14" t="s">
        <v>920</v>
      </c>
      <c r="E172" s="7"/>
      <c r="F172" s="7">
        <v>6569.0</v>
      </c>
      <c r="G172" s="7">
        <v>6568.0</v>
      </c>
      <c r="H172" s="7" t="s">
        <v>53</v>
      </c>
      <c r="I172" s="7"/>
      <c r="J172" s="7"/>
      <c r="K172" s="8" t="s">
        <v>55</v>
      </c>
      <c r="L172" s="8" t="s">
        <v>55</v>
      </c>
      <c r="M172" s="12" t="s">
        <v>55</v>
      </c>
      <c r="N172" s="8" t="s">
        <v>55</v>
      </c>
      <c r="O172" s="8" t="s">
        <v>228</v>
      </c>
      <c r="P172" s="8" t="s">
        <v>229</v>
      </c>
      <c r="Q172" s="8" t="s">
        <v>49</v>
      </c>
      <c r="R172" s="8" t="s">
        <v>49</v>
      </c>
      <c r="S172" s="8" t="s">
        <v>49</v>
      </c>
      <c r="T172" s="8" t="s">
        <v>49</v>
      </c>
      <c r="U172" s="8" t="s">
        <v>49</v>
      </c>
      <c r="V172" s="8" t="s">
        <v>49</v>
      </c>
      <c r="W172" s="8" t="s">
        <v>49</v>
      </c>
      <c r="X172" s="8" t="s">
        <v>55</v>
      </c>
      <c r="Y172" s="8" t="s">
        <v>55</v>
      </c>
      <c r="Z172" s="8" t="s">
        <v>55</v>
      </c>
      <c r="AA172" s="8" t="s">
        <v>231</v>
      </c>
      <c r="AB172" s="8" t="s">
        <v>60</v>
      </c>
      <c r="AC172" s="8" t="s">
        <v>55</v>
      </c>
      <c r="AD172" s="8" t="s">
        <v>948</v>
      </c>
      <c r="AE172" s="8" t="s">
        <v>55</v>
      </c>
      <c r="AF172" s="8" t="s">
        <v>55</v>
      </c>
      <c r="AG172" s="8" t="s">
        <v>145</v>
      </c>
      <c r="AH172" s="8" t="s">
        <v>55</v>
      </c>
      <c r="AI172" s="8" t="s">
        <v>65</v>
      </c>
      <c r="AJ172" s="8" t="s">
        <v>49</v>
      </c>
      <c r="AK172" s="8" t="s">
        <v>55</v>
      </c>
      <c r="AL172" s="8" t="s">
        <v>720</v>
      </c>
      <c r="AM172" s="8" t="s">
        <v>928</v>
      </c>
      <c r="AN172" s="16" t="s">
        <v>953</v>
      </c>
      <c r="AO172" s="9" t="s">
        <v>954</v>
      </c>
      <c r="AP172" s="17" t="s">
        <v>924</v>
      </c>
      <c r="AQ172" s="11"/>
      <c r="AR172" s="11"/>
      <c r="AS172" s="12"/>
      <c r="AT172" s="11"/>
      <c r="AU172" s="11"/>
      <c r="AV172" s="15">
        <v>46341.0</v>
      </c>
    </row>
    <row r="173" ht="16.5" hidden="1" customHeight="1">
      <c r="A173" s="7" t="s">
        <v>955</v>
      </c>
      <c r="B173" s="7"/>
      <c r="C173" s="7" t="s">
        <v>919</v>
      </c>
      <c r="D173" s="7" t="s">
        <v>926</v>
      </c>
      <c r="E173" s="7" t="s">
        <v>227</v>
      </c>
      <c r="F173" s="7">
        <v>6570.0</v>
      </c>
      <c r="G173" s="7"/>
      <c r="H173" s="7" t="s">
        <v>53</v>
      </c>
      <c r="I173" s="7"/>
      <c r="J173" s="7"/>
      <c r="K173" s="8" t="s">
        <v>55</v>
      </c>
      <c r="L173" s="8" t="s">
        <v>55</v>
      </c>
      <c r="M173" s="8"/>
      <c r="N173" s="8" t="s">
        <v>55</v>
      </c>
      <c r="O173" s="8" t="s">
        <v>228</v>
      </c>
      <c r="P173" s="8" t="s">
        <v>229</v>
      </c>
      <c r="Q173" s="8" t="s">
        <v>49</v>
      </c>
      <c r="R173" s="8" t="s">
        <v>49</v>
      </c>
      <c r="S173" s="8" t="s">
        <v>49</v>
      </c>
      <c r="T173" s="8" t="s">
        <v>49</v>
      </c>
      <c r="U173" s="8" t="s">
        <v>49</v>
      </c>
      <c r="V173" s="8" t="s">
        <v>49</v>
      </c>
      <c r="W173" s="8" t="s">
        <v>49</v>
      </c>
      <c r="X173" s="8" t="s">
        <v>49</v>
      </c>
      <c r="Y173" s="8" t="s">
        <v>49</v>
      </c>
      <c r="Z173" s="8" t="s">
        <v>49</v>
      </c>
      <c r="AA173" s="8" t="s">
        <v>231</v>
      </c>
      <c r="AB173" s="8" t="s">
        <v>60</v>
      </c>
      <c r="AC173" s="8" t="s">
        <v>55</v>
      </c>
      <c r="AD173" s="8" t="s">
        <v>956</v>
      </c>
      <c r="AE173" s="8" t="s">
        <v>55</v>
      </c>
      <c r="AF173" s="8" t="s">
        <v>55</v>
      </c>
      <c r="AG173" s="8" t="s">
        <v>145</v>
      </c>
      <c r="AH173" s="8" t="s">
        <v>55</v>
      </c>
      <c r="AI173" s="8" t="s">
        <v>463</v>
      </c>
      <c r="AJ173" s="8" t="s">
        <v>49</v>
      </c>
      <c r="AK173" s="8" t="s">
        <v>49</v>
      </c>
      <c r="AL173" s="8" t="s">
        <v>720</v>
      </c>
      <c r="AM173" s="8"/>
      <c r="AN173" s="9" t="s">
        <v>957</v>
      </c>
      <c r="AO173" s="9" t="s">
        <v>958</v>
      </c>
      <c r="AP173" s="18" t="s">
        <v>931</v>
      </c>
      <c r="AQ173" s="11"/>
      <c r="AR173" s="10" t="s">
        <v>959</v>
      </c>
      <c r="AS173" s="12"/>
      <c r="AT173" s="10" t="s">
        <v>960</v>
      </c>
      <c r="AU173" s="11"/>
      <c r="AV173" s="13"/>
    </row>
    <row r="174" ht="16.5" hidden="1" customHeight="1">
      <c r="A174" s="7" t="s">
        <v>961</v>
      </c>
      <c r="B174" s="14" t="s">
        <v>49</v>
      </c>
      <c r="C174" s="14" t="s">
        <v>919</v>
      </c>
      <c r="D174" s="14" t="s">
        <v>926</v>
      </c>
      <c r="E174" s="7"/>
      <c r="F174" s="7">
        <v>6570.0</v>
      </c>
      <c r="G174" s="7">
        <v>6570.0</v>
      </c>
      <c r="H174" s="7" t="s">
        <v>53</v>
      </c>
      <c r="I174" s="7"/>
      <c r="J174" s="7"/>
      <c r="K174" s="8" t="s">
        <v>55</v>
      </c>
      <c r="L174" s="8" t="s">
        <v>55</v>
      </c>
      <c r="M174" s="12" t="s">
        <v>55</v>
      </c>
      <c r="N174" s="8" t="s">
        <v>55</v>
      </c>
      <c r="O174" s="8" t="s">
        <v>228</v>
      </c>
      <c r="P174" s="8" t="s">
        <v>229</v>
      </c>
      <c r="Q174" s="8" t="s">
        <v>49</v>
      </c>
      <c r="R174" s="8" t="s">
        <v>49</v>
      </c>
      <c r="S174" s="8" t="s">
        <v>49</v>
      </c>
      <c r="T174" s="8" t="s">
        <v>49</v>
      </c>
      <c r="U174" s="8" t="s">
        <v>49</v>
      </c>
      <c r="V174" s="8" t="s">
        <v>49</v>
      </c>
      <c r="W174" s="8" t="s">
        <v>49</v>
      </c>
      <c r="X174" s="8" t="s">
        <v>55</v>
      </c>
      <c r="Y174" s="8" t="s">
        <v>55</v>
      </c>
      <c r="Z174" s="8" t="s">
        <v>55</v>
      </c>
      <c r="AA174" s="8" t="s">
        <v>231</v>
      </c>
      <c r="AB174" s="8" t="s">
        <v>60</v>
      </c>
      <c r="AC174" s="8" t="s">
        <v>55</v>
      </c>
      <c r="AD174" s="8" t="s">
        <v>956</v>
      </c>
      <c r="AE174" s="8" t="s">
        <v>55</v>
      </c>
      <c r="AF174" s="8" t="s">
        <v>55</v>
      </c>
      <c r="AG174" s="8" t="s">
        <v>145</v>
      </c>
      <c r="AH174" s="8" t="s">
        <v>55</v>
      </c>
      <c r="AI174" s="8" t="s">
        <v>463</v>
      </c>
      <c r="AJ174" s="8" t="s">
        <v>49</v>
      </c>
      <c r="AK174" s="8" t="s">
        <v>55</v>
      </c>
      <c r="AL174" s="8" t="s">
        <v>720</v>
      </c>
      <c r="AM174" s="8" t="s">
        <v>928</v>
      </c>
      <c r="AN174" s="9" t="s">
        <v>957</v>
      </c>
      <c r="AO174" s="9" t="s">
        <v>958</v>
      </c>
      <c r="AP174" s="17" t="s">
        <v>924</v>
      </c>
      <c r="AQ174" s="11"/>
      <c r="AR174" s="10" t="s">
        <v>959</v>
      </c>
      <c r="AS174" s="12"/>
      <c r="AT174" s="10" t="s">
        <v>960</v>
      </c>
      <c r="AU174" s="11"/>
      <c r="AV174" s="13"/>
    </row>
    <row r="175" ht="16.5" hidden="1" customHeight="1">
      <c r="A175" s="7" t="s">
        <v>962</v>
      </c>
      <c r="B175" s="14" t="s">
        <v>49</v>
      </c>
      <c r="C175" s="14" t="s">
        <v>919</v>
      </c>
      <c r="D175" s="14" t="s">
        <v>926</v>
      </c>
      <c r="E175" s="7"/>
      <c r="F175" s="7">
        <v>6571.0</v>
      </c>
      <c r="G175" s="7">
        <v>6570.0</v>
      </c>
      <c r="H175" s="7" t="s">
        <v>53</v>
      </c>
      <c r="I175" s="7"/>
      <c r="J175" s="7"/>
      <c r="K175" s="8" t="s">
        <v>55</v>
      </c>
      <c r="L175" s="8" t="s">
        <v>55</v>
      </c>
      <c r="M175" s="12" t="s">
        <v>55</v>
      </c>
      <c r="N175" s="8" t="s">
        <v>55</v>
      </c>
      <c r="O175" s="8" t="s">
        <v>228</v>
      </c>
      <c r="P175" s="8" t="s">
        <v>229</v>
      </c>
      <c r="Q175" s="8" t="s">
        <v>49</v>
      </c>
      <c r="R175" s="8" t="s">
        <v>49</v>
      </c>
      <c r="S175" s="8" t="s">
        <v>49</v>
      </c>
      <c r="T175" s="8" t="s">
        <v>49</v>
      </c>
      <c r="U175" s="8" t="s">
        <v>49</v>
      </c>
      <c r="V175" s="8" t="s">
        <v>49</v>
      </c>
      <c r="W175" s="8" t="s">
        <v>49</v>
      </c>
      <c r="X175" s="8" t="s">
        <v>55</v>
      </c>
      <c r="Y175" s="8" t="s">
        <v>55</v>
      </c>
      <c r="Z175" s="8" t="s">
        <v>55</v>
      </c>
      <c r="AA175" s="8" t="s">
        <v>231</v>
      </c>
      <c r="AB175" s="8" t="s">
        <v>60</v>
      </c>
      <c r="AC175" s="8" t="s">
        <v>55</v>
      </c>
      <c r="AD175" s="8" t="s">
        <v>956</v>
      </c>
      <c r="AE175" s="8" t="s">
        <v>55</v>
      </c>
      <c r="AF175" s="8" t="s">
        <v>55</v>
      </c>
      <c r="AG175" s="8" t="s">
        <v>145</v>
      </c>
      <c r="AH175" s="8" t="s">
        <v>55</v>
      </c>
      <c r="AI175" s="8" t="s">
        <v>65</v>
      </c>
      <c r="AJ175" s="8" t="s">
        <v>49</v>
      </c>
      <c r="AK175" s="8" t="s">
        <v>55</v>
      </c>
      <c r="AL175" s="8" t="s">
        <v>720</v>
      </c>
      <c r="AM175" s="8" t="s">
        <v>928</v>
      </c>
      <c r="AN175" s="9" t="s">
        <v>963</v>
      </c>
      <c r="AO175" s="9" t="s">
        <v>964</v>
      </c>
      <c r="AP175" s="17" t="s">
        <v>924</v>
      </c>
      <c r="AQ175" s="11"/>
      <c r="AR175" s="10" t="s">
        <v>959</v>
      </c>
      <c r="AS175" s="12"/>
      <c r="AT175" s="10" t="s">
        <v>960</v>
      </c>
      <c r="AU175" s="11"/>
      <c r="AV175" s="13"/>
    </row>
    <row r="176" ht="16.5" hidden="1" customHeight="1">
      <c r="A176" s="7" t="s">
        <v>965</v>
      </c>
      <c r="B176" s="7" t="s">
        <v>49</v>
      </c>
      <c r="C176" s="7" t="s">
        <v>919</v>
      </c>
      <c r="D176" s="7" t="s">
        <v>926</v>
      </c>
      <c r="E176" s="7" t="s">
        <v>227</v>
      </c>
      <c r="F176" s="7">
        <v>6572.0</v>
      </c>
      <c r="G176" s="7"/>
      <c r="H176" s="7" t="s">
        <v>53</v>
      </c>
      <c r="I176" s="7"/>
      <c r="J176" s="7"/>
      <c r="K176" s="8" t="s">
        <v>55</v>
      </c>
      <c r="L176" s="8" t="s">
        <v>55</v>
      </c>
      <c r="M176" s="8"/>
      <c r="N176" s="8" t="s">
        <v>55</v>
      </c>
      <c r="O176" s="8" t="s">
        <v>228</v>
      </c>
      <c r="P176" s="8" t="s">
        <v>229</v>
      </c>
      <c r="Q176" s="8" t="s">
        <v>49</v>
      </c>
      <c r="R176" s="8" t="s">
        <v>49</v>
      </c>
      <c r="S176" s="8" t="s">
        <v>49</v>
      </c>
      <c r="T176" s="8" t="s">
        <v>49</v>
      </c>
      <c r="U176" s="8" t="s">
        <v>49</v>
      </c>
      <c r="V176" s="8" t="s">
        <v>49</v>
      </c>
      <c r="W176" s="8" t="s">
        <v>49</v>
      </c>
      <c r="X176" s="8" t="s">
        <v>49</v>
      </c>
      <c r="Y176" s="8" t="s">
        <v>49</v>
      </c>
      <c r="Z176" s="8" t="s">
        <v>49</v>
      </c>
      <c r="AA176" s="8" t="s">
        <v>231</v>
      </c>
      <c r="AB176" s="8" t="s">
        <v>60</v>
      </c>
      <c r="AC176" s="8" t="s">
        <v>55</v>
      </c>
      <c r="AD176" s="8" t="s">
        <v>966</v>
      </c>
      <c r="AE176" s="8" t="s">
        <v>55</v>
      </c>
      <c r="AF176" s="8" t="s">
        <v>55</v>
      </c>
      <c r="AG176" s="8" t="s">
        <v>145</v>
      </c>
      <c r="AH176" s="8" t="s">
        <v>55</v>
      </c>
      <c r="AI176" s="8" t="s">
        <v>463</v>
      </c>
      <c r="AJ176" s="8" t="s">
        <v>49</v>
      </c>
      <c r="AK176" s="8" t="s">
        <v>49</v>
      </c>
      <c r="AL176" s="8" t="s">
        <v>720</v>
      </c>
      <c r="AM176" s="8" t="s">
        <v>928</v>
      </c>
      <c r="AN176" s="9" t="s">
        <v>967</v>
      </c>
      <c r="AO176" s="9" t="s">
        <v>968</v>
      </c>
      <c r="AP176" s="18" t="s">
        <v>931</v>
      </c>
      <c r="AQ176" s="11"/>
      <c r="AR176" s="10" t="s">
        <v>969</v>
      </c>
      <c r="AS176" s="12"/>
      <c r="AT176" s="10" t="s">
        <v>970</v>
      </c>
      <c r="AU176" s="11"/>
      <c r="AV176" s="13"/>
    </row>
    <row r="177" ht="16.5" hidden="1" customHeight="1">
      <c r="A177" s="7" t="s">
        <v>971</v>
      </c>
      <c r="B177" s="7" t="s">
        <v>49</v>
      </c>
      <c r="C177" s="7" t="s">
        <v>919</v>
      </c>
      <c r="D177" s="7" t="s">
        <v>926</v>
      </c>
      <c r="E177" s="7" t="s">
        <v>227</v>
      </c>
      <c r="F177" s="7">
        <v>6572.0</v>
      </c>
      <c r="G177" s="7">
        <v>6572.0</v>
      </c>
      <c r="H177" s="7" t="s">
        <v>53</v>
      </c>
      <c r="I177" s="7"/>
      <c r="J177" s="7"/>
      <c r="K177" s="8" t="s">
        <v>55</v>
      </c>
      <c r="L177" s="8" t="s">
        <v>55</v>
      </c>
      <c r="M177" s="12" t="s">
        <v>55</v>
      </c>
      <c r="N177" s="8" t="s">
        <v>55</v>
      </c>
      <c r="O177" s="8" t="s">
        <v>228</v>
      </c>
      <c r="P177" s="8" t="s">
        <v>229</v>
      </c>
      <c r="Q177" s="8" t="s">
        <v>49</v>
      </c>
      <c r="R177" s="8" t="s">
        <v>49</v>
      </c>
      <c r="S177" s="8" t="s">
        <v>49</v>
      </c>
      <c r="T177" s="8" t="s">
        <v>49</v>
      </c>
      <c r="U177" s="8" t="s">
        <v>49</v>
      </c>
      <c r="V177" s="8" t="s">
        <v>49</v>
      </c>
      <c r="W177" s="8" t="s">
        <v>49</v>
      </c>
      <c r="X177" s="8" t="s">
        <v>55</v>
      </c>
      <c r="Y177" s="8" t="s">
        <v>55</v>
      </c>
      <c r="Z177" s="8" t="s">
        <v>55</v>
      </c>
      <c r="AA177" s="8" t="s">
        <v>231</v>
      </c>
      <c r="AB177" s="8" t="s">
        <v>60</v>
      </c>
      <c r="AC177" s="8" t="s">
        <v>55</v>
      </c>
      <c r="AD177" s="8" t="s">
        <v>966</v>
      </c>
      <c r="AE177" s="8" t="s">
        <v>55</v>
      </c>
      <c r="AF177" s="8" t="s">
        <v>55</v>
      </c>
      <c r="AG177" s="8" t="s">
        <v>145</v>
      </c>
      <c r="AH177" s="8" t="s">
        <v>55</v>
      </c>
      <c r="AI177" s="8" t="s">
        <v>463</v>
      </c>
      <c r="AJ177" s="8" t="s">
        <v>49</v>
      </c>
      <c r="AK177" s="8" t="s">
        <v>55</v>
      </c>
      <c r="AL177" s="8" t="s">
        <v>720</v>
      </c>
      <c r="AM177" s="8" t="s">
        <v>928</v>
      </c>
      <c r="AN177" s="9" t="s">
        <v>967</v>
      </c>
      <c r="AO177" s="9" t="s">
        <v>968</v>
      </c>
      <c r="AP177" s="17" t="s">
        <v>924</v>
      </c>
      <c r="AQ177" s="11"/>
      <c r="AR177" s="10" t="s">
        <v>969</v>
      </c>
      <c r="AS177" s="12"/>
      <c r="AT177" s="10" t="s">
        <v>970</v>
      </c>
      <c r="AU177" s="11"/>
      <c r="AV177" s="13"/>
    </row>
    <row r="178" ht="16.5" hidden="1" customHeight="1">
      <c r="A178" s="7" t="s">
        <v>972</v>
      </c>
      <c r="B178" s="14" t="s">
        <v>49</v>
      </c>
      <c r="C178" s="14" t="s">
        <v>919</v>
      </c>
      <c r="D178" s="14" t="s">
        <v>926</v>
      </c>
      <c r="E178" s="7"/>
      <c r="F178" s="7">
        <v>6573.0</v>
      </c>
      <c r="G178" s="7">
        <v>6572.0</v>
      </c>
      <c r="H178" s="7" t="s">
        <v>53</v>
      </c>
      <c r="I178" s="7"/>
      <c r="J178" s="7"/>
      <c r="K178" s="8" t="s">
        <v>55</v>
      </c>
      <c r="L178" s="8" t="s">
        <v>55</v>
      </c>
      <c r="M178" s="12" t="s">
        <v>55</v>
      </c>
      <c r="N178" s="8" t="s">
        <v>55</v>
      </c>
      <c r="O178" s="8" t="s">
        <v>228</v>
      </c>
      <c r="P178" s="8" t="s">
        <v>229</v>
      </c>
      <c r="Q178" s="8" t="s">
        <v>49</v>
      </c>
      <c r="R178" s="8" t="s">
        <v>49</v>
      </c>
      <c r="S178" s="8" t="s">
        <v>49</v>
      </c>
      <c r="T178" s="8" t="s">
        <v>49</v>
      </c>
      <c r="U178" s="8" t="s">
        <v>49</v>
      </c>
      <c r="V178" s="8" t="s">
        <v>49</v>
      </c>
      <c r="W178" s="8" t="s">
        <v>49</v>
      </c>
      <c r="X178" s="8" t="s">
        <v>55</v>
      </c>
      <c r="Y178" s="8" t="s">
        <v>55</v>
      </c>
      <c r="Z178" s="8" t="s">
        <v>55</v>
      </c>
      <c r="AA178" s="8" t="s">
        <v>231</v>
      </c>
      <c r="AB178" s="8" t="s">
        <v>60</v>
      </c>
      <c r="AC178" s="8" t="s">
        <v>55</v>
      </c>
      <c r="AD178" s="8" t="s">
        <v>966</v>
      </c>
      <c r="AE178" s="8" t="s">
        <v>55</v>
      </c>
      <c r="AF178" s="8" t="s">
        <v>55</v>
      </c>
      <c r="AG178" s="8" t="s">
        <v>145</v>
      </c>
      <c r="AH178" s="8" t="s">
        <v>55</v>
      </c>
      <c r="AI178" s="8" t="s">
        <v>65</v>
      </c>
      <c r="AJ178" s="8" t="s">
        <v>49</v>
      </c>
      <c r="AK178" s="8" t="s">
        <v>55</v>
      </c>
      <c r="AL178" s="8" t="s">
        <v>720</v>
      </c>
      <c r="AM178" s="8" t="s">
        <v>928</v>
      </c>
      <c r="AN178" s="9" t="s">
        <v>973</v>
      </c>
      <c r="AO178" s="9" t="s">
        <v>974</v>
      </c>
      <c r="AP178" s="17" t="s">
        <v>924</v>
      </c>
      <c r="AQ178" s="11"/>
      <c r="AR178" s="10" t="s">
        <v>969</v>
      </c>
      <c r="AS178" s="12"/>
      <c r="AT178" s="10" t="s">
        <v>970</v>
      </c>
      <c r="AU178" s="11"/>
      <c r="AV178" s="13"/>
    </row>
    <row r="179" ht="16.5" hidden="1" customHeight="1">
      <c r="A179" s="7" t="s">
        <v>975</v>
      </c>
      <c r="B179" s="7" t="s">
        <v>49</v>
      </c>
      <c r="C179" s="7" t="s">
        <v>919</v>
      </c>
      <c r="D179" s="7" t="s">
        <v>926</v>
      </c>
      <c r="E179" s="7" t="s">
        <v>227</v>
      </c>
      <c r="F179" s="7">
        <v>6574.0</v>
      </c>
      <c r="G179" s="7"/>
      <c r="H179" s="7" t="s">
        <v>53</v>
      </c>
      <c r="I179" s="7"/>
      <c r="J179" s="7"/>
      <c r="K179" s="8" t="s">
        <v>55</v>
      </c>
      <c r="L179" s="8" t="s">
        <v>55</v>
      </c>
      <c r="M179" s="8"/>
      <c r="N179" s="8" t="s">
        <v>55</v>
      </c>
      <c r="O179" s="8" t="s">
        <v>228</v>
      </c>
      <c r="P179" s="8" t="s">
        <v>229</v>
      </c>
      <c r="Q179" s="8" t="s">
        <v>49</v>
      </c>
      <c r="R179" s="8" t="s">
        <v>49</v>
      </c>
      <c r="S179" s="8" t="s">
        <v>49</v>
      </c>
      <c r="T179" s="8" t="s">
        <v>49</v>
      </c>
      <c r="U179" s="8" t="s">
        <v>49</v>
      </c>
      <c r="V179" s="8" t="s">
        <v>49</v>
      </c>
      <c r="W179" s="8" t="s">
        <v>49</v>
      </c>
      <c r="X179" s="8" t="s">
        <v>49</v>
      </c>
      <c r="Y179" s="8" t="s">
        <v>49</v>
      </c>
      <c r="Z179" s="8" t="s">
        <v>49</v>
      </c>
      <c r="AA179" s="8" t="s">
        <v>231</v>
      </c>
      <c r="AB179" s="8" t="s">
        <v>60</v>
      </c>
      <c r="AC179" s="8" t="s">
        <v>55</v>
      </c>
      <c r="AD179" s="8" t="s">
        <v>976</v>
      </c>
      <c r="AE179" s="8" t="s">
        <v>55</v>
      </c>
      <c r="AF179" s="8" t="s">
        <v>55</v>
      </c>
      <c r="AG179" s="8" t="s">
        <v>145</v>
      </c>
      <c r="AH179" s="8" t="s">
        <v>55</v>
      </c>
      <c r="AI179" s="8" t="s">
        <v>463</v>
      </c>
      <c r="AJ179" s="8" t="s">
        <v>49</v>
      </c>
      <c r="AK179" s="8" t="s">
        <v>49</v>
      </c>
      <c r="AL179" s="8" t="s">
        <v>720</v>
      </c>
      <c r="AM179" s="8" t="s">
        <v>928</v>
      </c>
      <c r="AN179" s="9" t="s">
        <v>977</v>
      </c>
      <c r="AO179" s="9" t="s">
        <v>978</v>
      </c>
      <c r="AP179" s="18" t="s">
        <v>931</v>
      </c>
      <c r="AQ179" s="11"/>
      <c r="AR179" s="10" t="s">
        <v>979</v>
      </c>
      <c r="AS179" s="12"/>
      <c r="AT179" s="10" t="s">
        <v>980</v>
      </c>
      <c r="AU179" s="11"/>
      <c r="AV179" s="13"/>
    </row>
    <row r="180" ht="16.5" hidden="1" customHeight="1">
      <c r="A180" s="7" t="s">
        <v>981</v>
      </c>
      <c r="B180" s="7" t="s">
        <v>49</v>
      </c>
      <c r="C180" s="7" t="s">
        <v>919</v>
      </c>
      <c r="D180" s="7" t="s">
        <v>926</v>
      </c>
      <c r="E180" s="7" t="s">
        <v>227</v>
      </c>
      <c r="F180" s="7">
        <v>6574.0</v>
      </c>
      <c r="G180" s="7">
        <v>6574.0</v>
      </c>
      <c r="H180" s="7" t="s">
        <v>53</v>
      </c>
      <c r="I180" s="7"/>
      <c r="J180" s="7"/>
      <c r="K180" s="8" t="s">
        <v>55</v>
      </c>
      <c r="L180" s="8" t="s">
        <v>55</v>
      </c>
      <c r="M180" s="12" t="s">
        <v>55</v>
      </c>
      <c r="N180" s="8" t="s">
        <v>55</v>
      </c>
      <c r="O180" s="8" t="s">
        <v>228</v>
      </c>
      <c r="P180" s="8" t="s">
        <v>229</v>
      </c>
      <c r="Q180" s="8" t="s">
        <v>49</v>
      </c>
      <c r="R180" s="8" t="s">
        <v>49</v>
      </c>
      <c r="S180" s="8" t="s">
        <v>49</v>
      </c>
      <c r="T180" s="8" t="s">
        <v>49</v>
      </c>
      <c r="U180" s="8" t="s">
        <v>49</v>
      </c>
      <c r="V180" s="8" t="s">
        <v>49</v>
      </c>
      <c r="W180" s="8" t="s">
        <v>49</v>
      </c>
      <c r="X180" s="8" t="s">
        <v>55</v>
      </c>
      <c r="Y180" s="8" t="s">
        <v>55</v>
      </c>
      <c r="Z180" s="8" t="s">
        <v>55</v>
      </c>
      <c r="AA180" s="8" t="s">
        <v>231</v>
      </c>
      <c r="AB180" s="8" t="s">
        <v>60</v>
      </c>
      <c r="AC180" s="8" t="s">
        <v>55</v>
      </c>
      <c r="AD180" s="8" t="s">
        <v>976</v>
      </c>
      <c r="AE180" s="8" t="s">
        <v>55</v>
      </c>
      <c r="AF180" s="8" t="s">
        <v>55</v>
      </c>
      <c r="AG180" s="8" t="s">
        <v>145</v>
      </c>
      <c r="AH180" s="8" t="s">
        <v>55</v>
      </c>
      <c r="AI180" s="8" t="s">
        <v>463</v>
      </c>
      <c r="AJ180" s="8" t="s">
        <v>49</v>
      </c>
      <c r="AK180" s="8" t="s">
        <v>55</v>
      </c>
      <c r="AL180" s="8" t="s">
        <v>720</v>
      </c>
      <c r="AM180" s="8" t="s">
        <v>928</v>
      </c>
      <c r="AN180" s="9" t="s">
        <v>977</v>
      </c>
      <c r="AO180" s="9" t="s">
        <v>978</v>
      </c>
      <c r="AP180" s="17" t="s">
        <v>924</v>
      </c>
      <c r="AQ180" s="11"/>
      <c r="AR180" s="10" t="s">
        <v>979</v>
      </c>
      <c r="AS180" s="12"/>
      <c r="AT180" s="10" t="s">
        <v>980</v>
      </c>
      <c r="AU180" s="11"/>
      <c r="AV180" s="13"/>
    </row>
    <row r="181" ht="16.5" hidden="1" customHeight="1">
      <c r="A181" s="7" t="s">
        <v>982</v>
      </c>
      <c r="B181" s="14" t="s">
        <v>49</v>
      </c>
      <c r="C181" s="14" t="s">
        <v>919</v>
      </c>
      <c r="D181" s="14" t="s">
        <v>926</v>
      </c>
      <c r="E181" s="7"/>
      <c r="F181" s="7">
        <v>6575.0</v>
      </c>
      <c r="G181" s="7">
        <v>6574.0</v>
      </c>
      <c r="H181" s="7" t="s">
        <v>53</v>
      </c>
      <c r="I181" s="7"/>
      <c r="J181" s="7"/>
      <c r="K181" s="8" t="s">
        <v>55</v>
      </c>
      <c r="L181" s="8" t="s">
        <v>55</v>
      </c>
      <c r="M181" s="12" t="s">
        <v>55</v>
      </c>
      <c r="N181" s="8" t="s">
        <v>55</v>
      </c>
      <c r="O181" s="8" t="s">
        <v>228</v>
      </c>
      <c r="P181" s="8" t="s">
        <v>229</v>
      </c>
      <c r="Q181" s="8" t="s">
        <v>49</v>
      </c>
      <c r="R181" s="8" t="s">
        <v>49</v>
      </c>
      <c r="S181" s="8" t="s">
        <v>49</v>
      </c>
      <c r="T181" s="8" t="s">
        <v>49</v>
      </c>
      <c r="U181" s="8" t="s">
        <v>49</v>
      </c>
      <c r="V181" s="8" t="s">
        <v>49</v>
      </c>
      <c r="W181" s="8" t="s">
        <v>49</v>
      </c>
      <c r="X181" s="8" t="s">
        <v>55</v>
      </c>
      <c r="Y181" s="8" t="s">
        <v>55</v>
      </c>
      <c r="Z181" s="8" t="s">
        <v>55</v>
      </c>
      <c r="AA181" s="8" t="s">
        <v>231</v>
      </c>
      <c r="AB181" s="8" t="s">
        <v>60</v>
      </c>
      <c r="AC181" s="8" t="s">
        <v>55</v>
      </c>
      <c r="AD181" s="8" t="s">
        <v>976</v>
      </c>
      <c r="AE181" s="8" t="s">
        <v>55</v>
      </c>
      <c r="AF181" s="8" t="s">
        <v>55</v>
      </c>
      <c r="AG181" s="8" t="s">
        <v>145</v>
      </c>
      <c r="AH181" s="8" t="s">
        <v>55</v>
      </c>
      <c r="AI181" s="8" t="s">
        <v>65</v>
      </c>
      <c r="AJ181" s="8" t="s">
        <v>49</v>
      </c>
      <c r="AK181" s="8" t="s">
        <v>55</v>
      </c>
      <c r="AL181" s="8" t="s">
        <v>720</v>
      </c>
      <c r="AM181" s="8" t="s">
        <v>928</v>
      </c>
      <c r="AN181" s="16" t="s">
        <v>983</v>
      </c>
      <c r="AO181" s="9" t="s">
        <v>984</v>
      </c>
      <c r="AP181" s="17" t="s">
        <v>924</v>
      </c>
      <c r="AQ181" s="11"/>
      <c r="AR181" s="10" t="s">
        <v>979</v>
      </c>
      <c r="AS181" s="12"/>
      <c r="AT181" s="10" t="s">
        <v>980</v>
      </c>
      <c r="AU181" s="11"/>
      <c r="AV181" s="15">
        <v>46315.0</v>
      </c>
    </row>
    <row r="182" ht="16.5" hidden="1" customHeight="1">
      <c r="A182" s="7" t="s">
        <v>985</v>
      </c>
      <c r="B182" s="7" t="s">
        <v>49</v>
      </c>
      <c r="C182" s="7" t="s">
        <v>919</v>
      </c>
      <c r="D182" s="7" t="s">
        <v>926</v>
      </c>
      <c r="E182" s="7" t="s">
        <v>227</v>
      </c>
      <c r="F182" s="7">
        <v>6576.0</v>
      </c>
      <c r="G182" s="7"/>
      <c r="H182" s="7" t="s">
        <v>53</v>
      </c>
      <c r="I182" s="7"/>
      <c r="J182" s="7"/>
      <c r="K182" s="8" t="s">
        <v>55</v>
      </c>
      <c r="L182" s="8" t="s">
        <v>55</v>
      </c>
      <c r="M182" s="8"/>
      <c r="N182" s="8" t="s">
        <v>55</v>
      </c>
      <c r="O182" s="8" t="s">
        <v>228</v>
      </c>
      <c r="P182" s="8" t="s">
        <v>229</v>
      </c>
      <c r="Q182" s="8" t="s">
        <v>49</v>
      </c>
      <c r="R182" s="8" t="s">
        <v>49</v>
      </c>
      <c r="S182" s="8" t="s">
        <v>49</v>
      </c>
      <c r="T182" s="8" t="s">
        <v>49</v>
      </c>
      <c r="U182" s="8" t="s">
        <v>49</v>
      </c>
      <c r="V182" s="8" t="s">
        <v>49</v>
      </c>
      <c r="W182" s="8" t="s">
        <v>49</v>
      </c>
      <c r="X182" s="8" t="s">
        <v>49</v>
      </c>
      <c r="Y182" s="8" t="s">
        <v>49</v>
      </c>
      <c r="Z182" s="8" t="s">
        <v>49</v>
      </c>
      <c r="AA182" s="8" t="s">
        <v>231</v>
      </c>
      <c r="AB182" s="8" t="s">
        <v>60</v>
      </c>
      <c r="AC182" s="8" t="s">
        <v>55</v>
      </c>
      <c r="AD182" s="8" t="s">
        <v>986</v>
      </c>
      <c r="AE182" s="8" t="s">
        <v>55</v>
      </c>
      <c r="AF182" s="8" t="s">
        <v>55</v>
      </c>
      <c r="AG182" s="8" t="s">
        <v>145</v>
      </c>
      <c r="AH182" s="8" t="s">
        <v>55</v>
      </c>
      <c r="AI182" s="8" t="s">
        <v>463</v>
      </c>
      <c r="AJ182" s="8" t="s">
        <v>49</v>
      </c>
      <c r="AK182" s="8" t="s">
        <v>49</v>
      </c>
      <c r="AL182" s="8" t="s">
        <v>720</v>
      </c>
      <c r="AM182" s="8" t="s">
        <v>928</v>
      </c>
      <c r="AN182" s="9" t="s">
        <v>987</v>
      </c>
      <c r="AO182" s="9" t="s">
        <v>988</v>
      </c>
      <c r="AP182" s="18" t="s">
        <v>931</v>
      </c>
      <c r="AQ182" s="11"/>
      <c r="AR182" s="10" t="s">
        <v>989</v>
      </c>
      <c r="AS182" s="12"/>
      <c r="AT182" s="10" t="s">
        <v>990</v>
      </c>
      <c r="AU182" s="11"/>
      <c r="AV182" s="13"/>
    </row>
    <row r="183" ht="16.5" hidden="1" customHeight="1">
      <c r="A183" s="7" t="s">
        <v>991</v>
      </c>
      <c r="B183" s="7" t="s">
        <v>49</v>
      </c>
      <c r="C183" s="7" t="s">
        <v>919</v>
      </c>
      <c r="D183" s="7" t="s">
        <v>926</v>
      </c>
      <c r="E183" s="7" t="s">
        <v>227</v>
      </c>
      <c r="F183" s="7">
        <v>6576.0</v>
      </c>
      <c r="G183" s="7">
        <v>6576.0</v>
      </c>
      <c r="H183" s="7" t="s">
        <v>53</v>
      </c>
      <c r="I183" s="7"/>
      <c r="J183" s="7"/>
      <c r="K183" s="8" t="s">
        <v>55</v>
      </c>
      <c r="L183" s="8" t="s">
        <v>55</v>
      </c>
      <c r="M183" s="12" t="s">
        <v>55</v>
      </c>
      <c r="N183" s="8" t="s">
        <v>55</v>
      </c>
      <c r="O183" s="8" t="s">
        <v>228</v>
      </c>
      <c r="P183" s="8" t="s">
        <v>229</v>
      </c>
      <c r="Q183" s="8" t="s">
        <v>49</v>
      </c>
      <c r="R183" s="8" t="s">
        <v>49</v>
      </c>
      <c r="S183" s="8" t="s">
        <v>49</v>
      </c>
      <c r="T183" s="8" t="s">
        <v>49</v>
      </c>
      <c r="U183" s="8" t="s">
        <v>49</v>
      </c>
      <c r="V183" s="8" t="s">
        <v>49</v>
      </c>
      <c r="W183" s="8" t="s">
        <v>49</v>
      </c>
      <c r="X183" s="8" t="s">
        <v>55</v>
      </c>
      <c r="Y183" s="8" t="s">
        <v>55</v>
      </c>
      <c r="Z183" s="8" t="s">
        <v>55</v>
      </c>
      <c r="AA183" s="8" t="s">
        <v>231</v>
      </c>
      <c r="AB183" s="8" t="s">
        <v>60</v>
      </c>
      <c r="AC183" s="8" t="s">
        <v>55</v>
      </c>
      <c r="AD183" s="8" t="s">
        <v>986</v>
      </c>
      <c r="AE183" s="8" t="s">
        <v>55</v>
      </c>
      <c r="AF183" s="8" t="s">
        <v>55</v>
      </c>
      <c r="AG183" s="8" t="s">
        <v>145</v>
      </c>
      <c r="AH183" s="8" t="s">
        <v>55</v>
      </c>
      <c r="AI183" s="8" t="s">
        <v>463</v>
      </c>
      <c r="AJ183" s="8" t="s">
        <v>49</v>
      </c>
      <c r="AK183" s="8" t="s">
        <v>55</v>
      </c>
      <c r="AL183" s="8" t="s">
        <v>720</v>
      </c>
      <c r="AM183" s="8" t="s">
        <v>928</v>
      </c>
      <c r="AN183" s="16" t="s">
        <v>987</v>
      </c>
      <c r="AO183" s="9" t="s">
        <v>988</v>
      </c>
      <c r="AP183" s="17" t="s">
        <v>924</v>
      </c>
      <c r="AQ183" s="11"/>
      <c r="AR183" s="10" t="s">
        <v>989</v>
      </c>
      <c r="AS183" s="12"/>
      <c r="AT183" s="10" t="s">
        <v>990</v>
      </c>
      <c r="AU183" s="11"/>
      <c r="AV183" s="15">
        <v>46341.0</v>
      </c>
    </row>
    <row r="184" ht="16.5" hidden="1" customHeight="1">
      <c r="A184" s="7" t="s">
        <v>992</v>
      </c>
      <c r="B184" s="14" t="s">
        <v>49</v>
      </c>
      <c r="C184" s="14" t="s">
        <v>919</v>
      </c>
      <c r="D184" s="14" t="s">
        <v>926</v>
      </c>
      <c r="E184" s="7"/>
      <c r="F184" s="7">
        <v>6577.0</v>
      </c>
      <c r="G184" s="7">
        <v>6576.0</v>
      </c>
      <c r="H184" s="7" t="s">
        <v>53</v>
      </c>
      <c r="I184" s="7"/>
      <c r="J184" s="7"/>
      <c r="K184" s="8" t="s">
        <v>55</v>
      </c>
      <c r="L184" s="8" t="s">
        <v>55</v>
      </c>
      <c r="M184" s="12" t="s">
        <v>55</v>
      </c>
      <c r="N184" s="8" t="s">
        <v>55</v>
      </c>
      <c r="O184" s="8" t="s">
        <v>228</v>
      </c>
      <c r="P184" s="8" t="s">
        <v>229</v>
      </c>
      <c r="Q184" s="8" t="s">
        <v>49</v>
      </c>
      <c r="R184" s="8" t="s">
        <v>49</v>
      </c>
      <c r="S184" s="8" t="s">
        <v>49</v>
      </c>
      <c r="T184" s="8" t="s">
        <v>49</v>
      </c>
      <c r="U184" s="8" t="s">
        <v>49</v>
      </c>
      <c r="V184" s="8" t="s">
        <v>49</v>
      </c>
      <c r="W184" s="8" t="s">
        <v>49</v>
      </c>
      <c r="X184" s="8" t="s">
        <v>55</v>
      </c>
      <c r="Y184" s="8" t="s">
        <v>55</v>
      </c>
      <c r="Z184" s="8" t="s">
        <v>55</v>
      </c>
      <c r="AA184" s="8" t="s">
        <v>231</v>
      </c>
      <c r="AB184" s="8" t="s">
        <v>60</v>
      </c>
      <c r="AC184" s="8" t="s">
        <v>55</v>
      </c>
      <c r="AD184" s="8" t="s">
        <v>986</v>
      </c>
      <c r="AE184" s="8" t="s">
        <v>55</v>
      </c>
      <c r="AF184" s="8" t="s">
        <v>55</v>
      </c>
      <c r="AG184" s="8" t="s">
        <v>145</v>
      </c>
      <c r="AH184" s="8" t="s">
        <v>55</v>
      </c>
      <c r="AI184" s="8" t="s">
        <v>65</v>
      </c>
      <c r="AJ184" s="8" t="s">
        <v>49</v>
      </c>
      <c r="AK184" s="8" t="s">
        <v>55</v>
      </c>
      <c r="AL184" s="8" t="s">
        <v>720</v>
      </c>
      <c r="AM184" s="8" t="s">
        <v>928</v>
      </c>
      <c r="AN184" s="16" t="s">
        <v>993</v>
      </c>
      <c r="AO184" s="9" t="s">
        <v>994</v>
      </c>
      <c r="AP184" s="17" t="s">
        <v>924</v>
      </c>
      <c r="AQ184" s="11"/>
      <c r="AR184" s="10" t="s">
        <v>989</v>
      </c>
      <c r="AS184" s="12"/>
      <c r="AT184" s="10" t="s">
        <v>990</v>
      </c>
      <c r="AU184" s="11"/>
      <c r="AV184" s="15">
        <v>46315.0</v>
      </c>
    </row>
    <row r="185" ht="16.5" hidden="1" customHeight="1">
      <c r="A185" s="7" t="s">
        <v>995</v>
      </c>
      <c r="B185" s="7" t="s">
        <v>49</v>
      </c>
      <c r="C185" s="7" t="s">
        <v>919</v>
      </c>
      <c r="D185" s="7" t="s">
        <v>926</v>
      </c>
      <c r="E185" s="7" t="s">
        <v>227</v>
      </c>
      <c r="F185" s="7">
        <v>6578.0</v>
      </c>
      <c r="G185" s="7"/>
      <c r="H185" s="7" t="s">
        <v>53</v>
      </c>
      <c r="I185" s="7"/>
      <c r="J185" s="7"/>
      <c r="K185" s="8" t="s">
        <v>55</v>
      </c>
      <c r="L185" s="8" t="s">
        <v>55</v>
      </c>
      <c r="M185" s="8"/>
      <c r="N185" s="8" t="s">
        <v>55</v>
      </c>
      <c r="O185" s="8" t="s">
        <v>228</v>
      </c>
      <c r="P185" s="8" t="s">
        <v>229</v>
      </c>
      <c r="Q185" s="8" t="s">
        <v>49</v>
      </c>
      <c r="R185" s="8" t="s">
        <v>49</v>
      </c>
      <c r="S185" s="8" t="s">
        <v>49</v>
      </c>
      <c r="T185" s="8" t="s">
        <v>49</v>
      </c>
      <c r="U185" s="8" t="s">
        <v>49</v>
      </c>
      <c r="V185" s="8" t="s">
        <v>49</v>
      </c>
      <c r="W185" s="8" t="s">
        <v>49</v>
      </c>
      <c r="X185" s="8" t="s">
        <v>49</v>
      </c>
      <c r="Y185" s="8" t="s">
        <v>49</v>
      </c>
      <c r="Z185" s="8" t="s">
        <v>49</v>
      </c>
      <c r="AA185" s="8" t="s">
        <v>231</v>
      </c>
      <c r="AB185" s="8" t="s">
        <v>60</v>
      </c>
      <c r="AC185" s="8" t="s">
        <v>55</v>
      </c>
      <c r="AD185" s="8" t="s">
        <v>996</v>
      </c>
      <c r="AE185" s="8" t="s">
        <v>55</v>
      </c>
      <c r="AF185" s="8" t="s">
        <v>55</v>
      </c>
      <c r="AG185" s="8" t="s">
        <v>145</v>
      </c>
      <c r="AH185" s="8" t="s">
        <v>55</v>
      </c>
      <c r="AI185" s="8" t="s">
        <v>463</v>
      </c>
      <c r="AJ185" s="8" t="s">
        <v>49</v>
      </c>
      <c r="AK185" s="8" t="s">
        <v>49</v>
      </c>
      <c r="AL185" s="8" t="s">
        <v>720</v>
      </c>
      <c r="AM185" s="8" t="s">
        <v>928</v>
      </c>
      <c r="AN185" s="9" t="s">
        <v>997</v>
      </c>
      <c r="AO185" s="9" t="s">
        <v>998</v>
      </c>
      <c r="AP185" s="18" t="s">
        <v>931</v>
      </c>
      <c r="AQ185" s="11"/>
      <c r="AR185" s="10" t="s">
        <v>999</v>
      </c>
      <c r="AS185" s="12"/>
      <c r="AT185" s="10" t="s">
        <v>1000</v>
      </c>
      <c r="AU185" s="11"/>
      <c r="AV185" s="13"/>
    </row>
    <row r="186" ht="16.5" hidden="1" customHeight="1">
      <c r="A186" s="7" t="s">
        <v>1001</v>
      </c>
      <c r="B186" s="7" t="s">
        <v>49</v>
      </c>
      <c r="C186" s="7" t="s">
        <v>919</v>
      </c>
      <c r="D186" s="7" t="s">
        <v>926</v>
      </c>
      <c r="E186" s="7" t="s">
        <v>227</v>
      </c>
      <c r="F186" s="7">
        <v>6578.0</v>
      </c>
      <c r="G186" s="7">
        <v>6578.0</v>
      </c>
      <c r="H186" s="7" t="s">
        <v>53</v>
      </c>
      <c r="I186" s="7"/>
      <c r="J186" s="7"/>
      <c r="K186" s="8" t="s">
        <v>55</v>
      </c>
      <c r="L186" s="8" t="s">
        <v>55</v>
      </c>
      <c r="M186" s="12" t="s">
        <v>55</v>
      </c>
      <c r="N186" s="8" t="s">
        <v>55</v>
      </c>
      <c r="O186" s="8" t="s">
        <v>228</v>
      </c>
      <c r="P186" s="8" t="s">
        <v>229</v>
      </c>
      <c r="Q186" s="8" t="s">
        <v>49</v>
      </c>
      <c r="R186" s="8" t="s">
        <v>49</v>
      </c>
      <c r="S186" s="8" t="s">
        <v>49</v>
      </c>
      <c r="T186" s="8" t="s">
        <v>49</v>
      </c>
      <c r="U186" s="8" t="s">
        <v>49</v>
      </c>
      <c r="V186" s="8" t="s">
        <v>49</v>
      </c>
      <c r="W186" s="8" t="s">
        <v>49</v>
      </c>
      <c r="X186" s="8" t="s">
        <v>55</v>
      </c>
      <c r="Y186" s="8" t="s">
        <v>55</v>
      </c>
      <c r="Z186" s="8" t="s">
        <v>55</v>
      </c>
      <c r="AA186" s="8" t="s">
        <v>231</v>
      </c>
      <c r="AB186" s="8" t="s">
        <v>60</v>
      </c>
      <c r="AC186" s="8" t="s">
        <v>55</v>
      </c>
      <c r="AD186" s="8" t="s">
        <v>996</v>
      </c>
      <c r="AE186" s="8" t="s">
        <v>55</v>
      </c>
      <c r="AF186" s="8" t="s">
        <v>55</v>
      </c>
      <c r="AG186" s="8" t="s">
        <v>145</v>
      </c>
      <c r="AH186" s="8" t="s">
        <v>55</v>
      </c>
      <c r="AI186" s="8" t="s">
        <v>463</v>
      </c>
      <c r="AJ186" s="8" t="s">
        <v>49</v>
      </c>
      <c r="AK186" s="8" t="s">
        <v>55</v>
      </c>
      <c r="AL186" s="8" t="s">
        <v>720</v>
      </c>
      <c r="AM186" s="8" t="s">
        <v>928</v>
      </c>
      <c r="AN186" s="9" t="s">
        <v>997</v>
      </c>
      <c r="AO186" s="9" t="s">
        <v>998</v>
      </c>
      <c r="AP186" s="17" t="s">
        <v>924</v>
      </c>
      <c r="AQ186" s="11"/>
      <c r="AR186" s="10" t="s">
        <v>999</v>
      </c>
      <c r="AS186" s="12"/>
      <c r="AT186" s="10" t="s">
        <v>1000</v>
      </c>
      <c r="AU186" s="11"/>
      <c r="AV186" s="13"/>
    </row>
    <row r="187" ht="16.5" hidden="1" customHeight="1">
      <c r="A187" s="7" t="s">
        <v>1002</v>
      </c>
      <c r="B187" s="14" t="s">
        <v>49</v>
      </c>
      <c r="C187" s="14" t="s">
        <v>919</v>
      </c>
      <c r="D187" s="14" t="s">
        <v>926</v>
      </c>
      <c r="E187" s="7"/>
      <c r="F187" s="7">
        <v>6579.0</v>
      </c>
      <c r="G187" s="7">
        <v>6578.0</v>
      </c>
      <c r="H187" s="7" t="s">
        <v>53</v>
      </c>
      <c r="I187" s="7"/>
      <c r="J187" s="7"/>
      <c r="K187" s="8" t="s">
        <v>55</v>
      </c>
      <c r="L187" s="8" t="s">
        <v>55</v>
      </c>
      <c r="M187" s="12" t="s">
        <v>55</v>
      </c>
      <c r="N187" s="8" t="s">
        <v>55</v>
      </c>
      <c r="O187" s="8" t="s">
        <v>228</v>
      </c>
      <c r="P187" s="8" t="s">
        <v>229</v>
      </c>
      <c r="Q187" s="8" t="s">
        <v>49</v>
      </c>
      <c r="R187" s="8" t="s">
        <v>49</v>
      </c>
      <c r="S187" s="8" t="s">
        <v>49</v>
      </c>
      <c r="T187" s="8" t="s">
        <v>49</v>
      </c>
      <c r="U187" s="8" t="s">
        <v>49</v>
      </c>
      <c r="V187" s="8" t="s">
        <v>49</v>
      </c>
      <c r="W187" s="8" t="s">
        <v>49</v>
      </c>
      <c r="X187" s="8" t="s">
        <v>55</v>
      </c>
      <c r="Y187" s="8" t="s">
        <v>55</v>
      </c>
      <c r="Z187" s="8" t="s">
        <v>55</v>
      </c>
      <c r="AA187" s="8" t="s">
        <v>231</v>
      </c>
      <c r="AB187" s="8" t="s">
        <v>60</v>
      </c>
      <c r="AC187" s="8" t="s">
        <v>55</v>
      </c>
      <c r="AD187" s="8" t="s">
        <v>996</v>
      </c>
      <c r="AE187" s="8" t="s">
        <v>55</v>
      </c>
      <c r="AF187" s="8" t="s">
        <v>55</v>
      </c>
      <c r="AG187" s="8" t="s">
        <v>145</v>
      </c>
      <c r="AH187" s="8" t="s">
        <v>55</v>
      </c>
      <c r="AI187" s="8" t="s">
        <v>65</v>
      </c>
      <c r="AJ187" s="8" t="s">
        <v>49</v>
      </c>
      <c r="AK187" s="8" t="s">
        <v>55</v>
      </c>
      <c r="AL187" s="8" t="s">
        <v>720</v>
      </c>
      <c r="AM187" s="8" t="s">
        <v>928</v>
      </c>
      <c r="AN187" s="9" t="s">
        <v>1003</v>
      </c>
      <c r="AO187" s="9" t="s">
        <v>1004</v>
      </c>
      <c r="AP187" s="17" t="s">
        <v>924</v>
      </c>
      <c r="AQ187" s="11"/>
      <c r="AR187" s="10" t="s">
        <v>999</v>
      </c>
      <c r="AS187" s="12"/>
      <c r="AT187" s="10" t="s">
        <v>1000</v>
      </c>
      <c r="AU187" s="11"/>
      <c r="AV187" s="13"/>
    </row>
    <row r="188" ht="16.5" hidden="1" customHeight="1">
      <c r="A188" s="7" t="s">
        <v>1005</v>
      </c>
      <c r="B188" s="7" t="s">
        <v>49</v>
      </c>
      <c r="C188" s="7" t="s">
        <v>919</v>
      </c>
      <c r="D188" s="7" t="s">
        <v>926</v>
      </c>
      <c r="E188" s="7" t="s">
        <v>227</v>
      </c>
      <c r="F188" s="7">
        <v>6580.0</v>
      </c>
      <c r="G188" s="7"/>
      <c r="H188" s="7" t="s">
        <v>53</v>
      </c>
      <c r="I188" s="7"/>
      <c r="J188" s="7"/>
      <c r="K188" s="8" t="s">
        <v>55</v>
      </c>
      <c r="L188" s="8" t="s">
        <v>55</v>
      </c>
      <c r="M188" s="8"/>
      <c r="N188" s="8" t="s">
        <v>55</v>
      </c>
      <c r="O188" s="8" t="s">
        <v>228</v>
      </c>
      <c r="P188" s="8" t="s">
        <v>229</v>
      </c>
      <c r="Q188" s="8" t="s">
        <v>49</v>
      </c>
      <c r="R188" s="8" t="s">
        <v>49</v>
      </c>
      <c r="S188" s="8" t="s">
        <v>49</v>
      </c>
      <c r="T188" s="8" t="s">
        <v>49</v>
      </c>
      <c r="U188" s="8" t="s">
        <v>49</v>
      </c>
      <c r="V188" s="8" t="s">
        <v>49</v>
      </c>
      <c r="W188" s="8" t="s">
        <v>49</v>
      </c>
      <c r="X188" s="8" t="s">
        <v>49</v>
      </c>
      <c r="Y188" s="8" t="s">
        <v>49</v>
      </c>
      <c r="Z188" s="8" t="s">
        <v>49</v>
      </c>
      <c r="AA188" s="8" t="s">
        <v>231</v>
      </c>
      <c r="AB188" s="8" t="s">
        <v>60</v>
      </c>
      <c r="AC188" s="8" t="s">
        <v>55</v>
      </c>
      <c r="AD188" s="8" t="s">
        <v>1006</v>
      </c>
      <c r="AE188" s="8" t="s">
        <v>55</v>
      </c>
      <c r="AF188" s="8" t="s">
        <v>55</v>
      </c>
      <c r="AG188" s="8" t="s">
        <v>145</v>
      </c>
      <c r="AH188" s="8" t="s">
        <v>55</v>
      </c>
      <c r="AI188" s="8" t="s">
        <v>463</v>
      </c>
      <c r="AJ188" s="8" t="s">
        <v>49</v>
      </c>
      <c r="AK188" s="8" t="s">
        <v>49</v>
      </c>
      <c r="AL188" s="8" t="s">
        <v>720</v>
      </c>
      <c r="AM188" s="8" t="s">
        <v>928</v>
      </c>
      <c r="AN188" s="9" t="s">
        <v>1007</v>
      </c>
      <c r="AO188" s="9" t="s">
        <v>1008</v>
      </c>
      <c r="AP188" s="18" t="s">
        <v>931</v>
      </c>
      <c r="AQ188" s="11"/>
      <c r="AR188" s="10" t="s">
        <v>1009</v>
      </c>
      <c r="AS188" s="12"/>
      <c r="AT188" s="10" t="s">
        <v>1010</v>
      </c>
      <c r="AU188" s="11"/>
      <c r="AV188" s="13"/>
    </row>
    <row r="189" ht="16.5" hidden="1" customHeight="1">
      <c r="A189" s="7" t="s">
        <v>1011</v>
      </c>
      <c r="B189" s="7" t="s">
        <v>49</v>
      </c>
      <c r="C189" s="7" t="s">
        <v>919</v>
      </c>
      <c r="D189" s="7" t="s">
        <v>926</v>
      </c>
      <c r="E189" s="7" t="s">
        <v>227</v>
      </c>
      <c r="F189" s="7">
        <v>6580.0</v>
      </c>
      <c r="G189" s="7">
        <v>6580.0</v>
      </c>
      <c r="H189" s="7" t="s">
        <v>53</v>
      </c>
      <c r="I189" s="7"/>
      <c r="J189" s="7"/>
      <c r="K189" s="8" t="s">
        <v>55</v>
      </c>
      <c r="L189" s="8" t="s">
        <v>55</v>
      </c>
      <c r="M189" s="12" t="s">
        <v>55</v>
      </c>
      <c r="N189" s="8" t="s">
        <v>55</v>
      </c>
      <c r="O189" s="8" t="s">
        <v>228</v>
      </c>
      <c r="P189" s="8" t="s">
        <v>229</v>
      </c>
      <c r="Q189" s="8" t="s">
        <v>49</v>
      </c>
      <c r="R189" s="8" t="s">
        <v>49</v>
      </c>
      <c r="S189" s="8" t="s">
        <v>49</v>
      </c>
      <c r="T189" s="8" t="s">
        <v>49</v>
      </c>
      <c r="U189" s="8" t="s">
        <v>49</v>
      </c>
      <c r="V189" s="8" t="s">
        <v>49</v>
      </c>
      <c r="W189" s="8" t="s">
        <v>49</v>
      </c>
      <c r="X189" s="8" t="s">
        <v>55</v>
      </c>
      <c r="Y189" s="8" t="s">
        <v>55</v>
      </c>
      <c r="Z189" s="8" t="s">
        <v>55</v>
      </c>
      <c r="AA189" s="8" t="s">
        <v>231</v>
      </c>
      <c r="AB189" s="8" t="s">
        <v>60</v>
      </c>
      <c r="AC189" s="8" t="s">
        <v>55</v>
      </c>
      <c r="AD189" s="8" t="s">
        <v>1006</v>
      </c>
      <c r="AE189" s="8" t="s">
        <v>55</v>
      </c>
      <c r="AF189" s="8" t="s">
        <v>55</v>
      </c>
      <c r="AG189" s="8" t="s">
        <v>145</v>
      </c>
      <c r="AH189" s="8" t="s">
        <v>55</v>
      </c>
      <c r="AI189" s="8" t="s">
        <v>463</v>
      </c>
      <c r="AJ189" s="8" t="s">
        <v>49</v>
      </c>
      <c r="AK189" s="8" t="s">
        <v>55</v>
      </c>
      <c r="AL189" s="8" t="s">
        <v>720</v>
      </c>
      <c r="AM189" s="8" t="s">
        <v>928</v>
      </c>
      <c r="AN189" s="9" t="s">
        <v>1007</v>
      </c>
      <c r="AO189" s="9" t="s">
        <v>1008</v>
      </c>
      <c r="AP189" s="17" t="s">
        <v>924</v>
      </c>
      <c r="AQ189" s="11"/>
      <c r="AR189" s="10" t="s">
        <v>1009</v>
      </c>
      <c r="AS189" s="12"/>
      <c r="AT189" s="10" t="s">
        <v>1010</v>
      </c>
      <c r="AU189" s="11"/>
      <c r="AV189" s="15">
        <v>46315.0</v>
      </c>
    </row>
    <row r="190" ht="16.5" hidden="1" customHeight="1">
      <c r="A190" s="7" t="s">
        <v>1012</v>
      </c>
      <c r="B190" s="14" t="s">
        <v>49</v>
      </c>
      <c r="C190" s="14" t="s">
        <v>919</v>
      </c>
      <c r="D190" s="14" t="s">
        <v>926</v>
      </c>
      <c r="E190" s="7"/>
      <c r="F190" s="7">
        <v>6581.0</v>
      </c>
      <c r="G190" s="7">
        <v>6580.0</v>
      </c>
      <c r="H190" s="7" t="s">
        <v>53</v>
      </c>
      <c r="I190" s="7"/>
      <c r="J190" s="7"/>
      <c r="K190" s="8" t="s">
        <v>55</v>
      </c>
      <c r="L190" s="8" t="s">
        <v>55</v>
      </c>
      <c r="M190" s="12" t="s">
        <v>55</v>
      </c>
      <c r="N190" s="8" t="s">
        <v>55</v>
      </c>
      <c r="O190" s="8" t="s">
        <v>228</v>
      </c>
      <c r="P190" s="8" t="s">
        <v>229</v>
      </c>
      <c r="Q190" s="8" t="s">
        <v>49</v>
      </c>
      <c r="R190" s="8" t="s">
        <v>49</v>
      </c>
      <c r="S190" s="8" t="s">
        <v>49</v>
      </c>
      <c r="T190" s="8" t="s">
        <v>49</v>
      </c>
      <c r="U190" s="8" t="s">
        <v>49</v>
      </c>
      <c r="V190" s="8" t="s">
        <v>49</v>
      </c>
      <c r="W190" s="8" t="s">
        <v>49</v>
      </c>
      <c r="X190" s="8" t="s">
        <v>55</v>
      </c>
      <c r="Y190" s="8" t="s">
        <v>55</v>
      </c>
      <c r="Z190" s="8" t="s">
        <v>55</v>
      </c>
      <c r="AA190" s="8" t="s">
        <v>231</v>
      </c>
      <c r="AB190" s="8" t="s">
        <v>60</v>
      </c>
      <c r="AC190" s="8" t="s">
        <v>55</v>
      </c>
      <c r="AD190" s="8" t="s">
        <v>1006</v>
      </c>
      <c r="AE190" s="8" t="s">
        <v>55</v>
      </c>
      <c r="AF190" s="8" t="s">
        <v>55</v>
      </c>
      <c r="AG190" s="8" t="s">
        <v>145</v>
      </c>
      <c r="AH190" s="8" t="s">
        <v>55</v>
      </c>
      <c r="AI190" s="8" t="s">
        <v>65</v>
      </c>
      <c r="AJ190" s="8" t="s">
        <v>49</v>
      </c>
      <c r="AK190" s="8" t="s">
        <v>55</v>
      </c>
      <c r="AL190" s="8" t="s">
        <v>720</v>
      </c>
      <c r="AM190" s="8" t="s">
        <v>928</v>
      </c>
      <c r="AN190" s="9" t="s">
        <v>1013</v>
      </c>
      <c r="AO190" s="9" t="s">
        <v>1014</v>
      </c>
      <c r="AP190" s="17" t="s">
        <v>924</v>
      </c>
      <c r="AQ190" s="11"/>
      <c r="AR190" s="10" t="s">
        <v>1009</v>
      </c>
      <c r="AS190" s="12"/>
      <c r="AT190" s="10" t="s">
        <v>1010</v>
      </c>
      <c r="AU190" s="11"/>
      <c r="AV190" s="15">
        <v>46315.0</v>
      </c>
    </row>
    <row r="191" ht="16.5" hidden="1" customHeight="1">
      <c r="A191" s="7" t="s">
        <v>1015</v>
      </c>
      <c r="B191" s="7" t="s">
        <v>49</v>
      </c>
      <c r="C191" s="7" t="s">
        <v>919</v>
      </c>
      <c r="D191" s="7" t="s">
        <v>1016</v>
      </c>
      <c r="E191" s="7" t="s">
        <v>227</v>
      </c>
      <c r="F191" s="7">
        <v>6582.0</v>
      </c>
      <c r="G191" s="7"/>
      <c r="H191" s="7" t="s">
        <v>53</v>
      </c>
      <c r="I191" s="7"/>
      <c r="J191" s="7"/>
      <c r="K191" s="8" t="s">
        <v>55</v>
      </c>
      <c r="L191" s="8" t="s">
        <v>55</v>
      </c>
      <c r="M191" s="8"/>
      <c r="N191" s="8" t="s">
        <v>55</v>
      </c>
      <c r="O191" s="8" t="s">
        <v>1017</v>
      </c>
      <c r="P191" s="8" t="s">
        <v>229</v>
      </c>
      <c r="Q191" s="8" t="s">
        <v>49</v>
      </c>
      <c r="R191" s="8" t="s">
        <v>49</v>
      </c>
      <c r="S191" s="8" t="s">
        <v>49</v>
      </c>
      <c r="T191" s="8" t="s">
        <v>49</v>
      </c>
      <c r="U191" s="8" t="s">
        <v>49</v>
      </c>
      <c r="V191" s="8" t="s">
        <v>49</v>
      </c>
      <c r="W191" s="8" t="s">
        <v>49</v>
      </c>
      <c r="X191" s="8" t="s">
        <v>55</v>
      </c>
      <c r="Y191" s="8" t="s">
        <v>55</v>
      </c>
      <c r="Z191" s="8" t="s">
        <v>49</v>
      </c>
      <c r="AA191" s="8" t="s">
        <v>231</v>
      </c>
      <c r="AB191" s="8" t="s">
        <v>60</v>
      </c>
      <c r="AC191" s="8" t="s">
        <v>1018</v>
      </c>
      <c r="AD191" s="8" t="s">
        <v>1019</v>
      </c>
      <c r="AE191" s="8" t="s">
        <v>55</v>
      </c>
      <c r="AF191" s="8" t="s">
        <v>55</v>
      </c>
      <c r="AG191" s="8" t="s">
        <v>63</v>
      </c>
      <c r="AH191" s="8" t="s">
        <v>55</v>
      </c>
      <c r="AI191" s="8" t="s">
        <v>1020</v>
      </c>
      <c r="AJ191" s="8" t="s">
        <v>49</v>
      </c>
      <c r="AK191" s="8" t="s">
        <v>49</v>
      </c>
      <c r="AL191" s="8" t="s">
        <v>720</v>
      </c>
      <c r="AM191" s="8" t="s">
        <v>928</v>
      </c>
      <c r="AN191" s="9" t="s">
        <v>1021</v>
      </c>
      <c r="AO191" s="9" t="s">
        <v>1022</v>
      </c>
      <c r="AP191" s="18" t="s">
        <v>931</v>
      </c>
      <c r="AQ191" s="11"/>
      <c r="AR191" s="10" t="s">
        <v>1023</v>
      </c>
      <c r="AS191" s="12"/>
      <c r="AT191" s="10" t="s">
        <v>1024</v>
      </c>
      <c r="AU191" s="11"/>
      <c r="AV191" s="13"/>
    </row>
    <row r="192" ht="16.5" hidden="1" customHeight="1">
      <c r="A192" s="7" t="s">
        <v>1025</v>
      </c>
      <c r="B192" s="7" t="s">
        <v>49</v>
      </c>
      <c r="C192" s="7" t="s">
        <v>919</v>
      </c>
      <c r="D192" s="7" t="s">
        <v>1016</v>
      </c>
      <c r="E192" s="7" t="s">
        <v>227</v>
      </c>
      <c r="F192" s="7">
        <v>6582.0</v>
      </c>
      <c r="G192" s="7">
        <v>6582.0</v>
      </c>
      <c r="H192" s="7" t="s">
        <v>53</v>
      </c>
      <c r="I192" s="7" t="s">
        <v>1026</v>
      </c>
      <c r="J192" s="7"/>
      <c r="K192" s="8" t="s">
        <v>55</v>
      </c>
      <c r="L192" s="8" t="s">
        <v>55</v>
      </c>
      <c r="M192" s="12" t="s">
        <v>55</v>
      </c>
      <c r="N192" s="8" t="s">
        <v>55</v>
      </c>
      <c r="O192" s="12" t="s">
        <v>228</v>
      </c>
      <c r="P192" s="8" t="s">
        <v>229</v>
      </c>
      <c r="Q192" s="8" t="s">
        <v>49</v>
      </c>
      <c r="R192" s="8" t="s">
        <v>49</v>
      </c>
      <c r="S192" s="8" t="s">
        <v>49</v>
      </c>
      <c r="T192" s="8" t="s">
        <v>49</v>
      </c>
      <c r="U192" s="8" t="s">
        <v>49</v>
      </c>
      <c r="V192" s="8" t="s">
        <v>49</v>
      </c>
      <c r="W192" s="8" t="s">
        <v>49</v>
      </c>
      <c r="X192" s="8" t="s">
        <v>55</v>
      </c>
      <c r="Y192" s="8" t="s">
        <v>55</v>
      </c>
      <c r="Z192" s="8" t="s">
        <v>55</v>
      </c>
      <c r="AA192" s="8" t="s">
        <v>231</v>
      </c>
      <c r="AB192" s="8" t="s">
        <v>60</v>
      </c>
      <c r="AC192" s="8" t="s">
        <v>1018</v>
      </c>
      <c r="AD192" s="12" t="s">
        <v>1027</v>
      </c>
      <c r="AE192" s="8" t="s">
        <v>55</v>
      </c>
      <c r="AF192" s="8" t="s">
        <v>55</v>
      </c>
      <c r="AG192" s="8" t="s">
        <v>63</v>
      </c>
      <c r="AH192" s="8" t="s">
        <v>55</v>
      </c>
      <c r="AI192" s="8" t="s">
        <v>1020</v>
      </c>
      <c r="AJ192" s="8" t="s">
        <v>49</v>
      </c>
      <c r="AK192" s="8" t="s">
        <v>55</v>
      </c>
      <c r="AL192" s="8" t="s">
        <v>720</v>
      </c>
      <c r="AM192" s="8" t="s">
        <v>928</v>
      </c>
      <c r="AN192" s="9" t="s">
        <v>1021</v>
      </c>
      <c r="AO192" s="9" t="s">
        <v>1022</v>
      </c>
      <c r="AP192" s="17" t="s">
        <v>924</v>
      </c>
      <c r="AQ192" s="11"/>
      <c r="AR192" s="10" t="s">
        <v>1023</v>
      </c>
      <c r="AS192" s="12"/>
      <c r="AT192" s="10" t="s">
        <v>1024</v>
      </c>
      <c r="AU192" s="11"/>
      <c r="AV192" s="15">
        <v>46315.0</v>
      </c>
    </row>
    <row r="193" ht="16.5" hidden="1" customHeight="1">
      <c r="A193" s="7" t="s">
        <v>1028</v>
      </c>
      <c r="B193" s="14" t="s">
        <v>49</v>
      </c>
      <c r="C193" s="14" t="s">
        <v>919</v>
      </c>
      <c r="D193" s="14" t="s">
        <v>1016</v>
      </c>
      <c r="E193" s="7"/>
      <c r="F193" s="7">
        <v>6583.0</v>
      </c>
      <c r="G193" s="7">
        <v>6582.0</v>
      </c>
      <c r="H193" s="7" t="s">
        <v>53</v>
      </c>
      <c r="I193" s="7" t="s">
        <v>1026</v>
      </c>
      <c r="J193" s="7"/>
      <c r="K193" s="8" t="s">
        <v>55</v>
      </c>
      <c r="L193" s="8" t="s">
        <v>55</v>
      </c>
      <c r="M193" s="12" t="s">
        <v>55</v>
      </c>
      <c r="N193" s="8" t="s">
        <v>55</v>
      </c>
      <c r="O193" s="12" t="s">
        <v>228</v>
      </c>
      <c r="P193" s="8" t="s">
        <v>229</v>
      </c>
      <c r="Q193" s="8" t="s">
        <v>49</v>
      </c>
      <c r="R193" s="8" t="s">
        <v>49</v>
      </c>
      <c r="S193" s="8" t="s">
        <v>49</v>
      </c>
      <c r="T193" s="8" t="s">
        <v>49</v>
      </c>
      <c r="U193" s="8" t="s">
        <v>49</v>
      </c>
      <c r="V193" s="8" t="s">
        <v>49</v>
      </c>
      <c r="W193" s="8" t="s">
        <v>49</v>
      </c>
      <c r="X193" s="8" t="s">
        <v>55</v>
      </c>
      <c r="Y193" s="8" t="s">
        <v>55</v>
      </c>
      <c r="Z193" s="8" t="s">
        <v>55</v>
      </c>
      <c r="AA193" s="8" t="s">
        <v>231</v>
      </c>
      <c r="AB193" s="8" t="s">
        <v>60</v>
      </c>
      <c r="AC193" s="8" t="s">
        <v>1018</v>
      </c>
      <c r="AD193" s="12" t="s">
        <v>1027</v>
      </c>
      <c r="AE193" s="8" t="s">
        <v>55</v>
      </c>
      <c r="AF193" s="8" t="s">
        <v>55</v>
      </c>
      <c r="AG193" s="8" t="s">
        <v>63</v>
      </c>
      <c r="AH193" s="8" t="s">
        <v>55</v>
      </c>
      <c r="AI193" s="8" t="s">
        <v>1029</v>
      </c>
      <c r="AJ193" s="8" t="s">
        <v>49</v>
      </c>
      <c r="AK193" s="8" t="s">
        <v>55</v>
      </c>
      <c r="AL193" s="8" t="s">
        <v>720</v>
      </c>
      <c r="AM193" s="8" t="s">
        <v>928</v>
      </c>
      <c r="AN193" s="9" t="s">
        <v>1030</v>
      </c>
      <c r="AO193" s="9" t="s">
        <v>1031</v>
      </c>
      <c r="AP193" s="17" t="s">
        <v>924</v>
      </c>
      <c r="AQ193" s="11"/>
      <c r="AR193" s="10" t="s">
        <v>1023</v>
      </c>
      <c r="AS193" s="12"/>
      <c r="AT193" s="10" t="s">
        <v>1024</v>
      </c>
      <c r="AU193" s="11"/>
      <c r="AV193" s="15">
        <v>46315.0</v>
      </c>
    </row>
    <row r="194" ht="16.5" hidden="1" customHeight="1">
      <c r="A194" s="7" t="s">
        <v>1032</v>
      </c>
      <c r="B194" s="14" t="s">
        <v>49</v>
      </c>
      <c r="C194" s="14" t="s">
        <v>919</v>
      </c>
      <c r="D194" s="14" t="s">
        <v>1016</v>
      </c>
      <c r="E194" s="7"/>
      <c r="F194" s="7">
        <v>6584.0</v>
      </c>
      <c r="G194" s="7">
        <v>6582.0</v>
      </c>
      <c r="H194" s="7" t="s">
        <v>53</v>
      </c>
      <c r="I194" s="7" t="s">
        <v>1033</v>
      </c>
      <c r="J194" s="7"/>
      <c r="K194" s="8" t="s">
        <v>55</v>
      </c>
      <c r="L194" s="8" t="s">
        <v>55</v>
      </c>
      <c r="M194" s="12" t="s">
        <v>55</v>
      </c>
      <c r="N194" s="8" t="s">
        <v>55</v>
      </c>
      <c r="O194" s="12" t="s">
        <v>228</v>
      </c>
      <c r="P194" s="8" t="s">
        <v>229</v>
      </c>
      <c r="Q194" s="8" t="s">
        <v>49</v>
      </c>
      <c r="R194" s="8" t="s">
        <v>49</v>
      </c>
      <c r="S194" s="8" t="s">
        <v>49</v>
      </c>
      <c r="T194" s="8" t="s">
        <v>49</v>
      </c>
      <c r="U194" s="8" t="s">
        <v>49</v>
      </c>
      <c r="V194" s="8" t="s">
        <v>49</v>
      </c>
      <c r="W194" s="8" t="s">
        <v>49</v>
      </c>
      <c r="X194" s="8" t="s">
        <v>55</v>
      </c>
      <c r="Y194" s="8" t="s">
        <v>55</v>
      </c>
      <c r="Z194" s="8" t="s">
        <v>55</v>
      </c>
      <c r="AA194" s="8" t="s">
        <v>231</v>
      </c>
      <c r="AB194" s="8" t="s">
        <v>60</v>
      </c>
      <c r="AC194" s="8" t="s">
        <v>1018</v>
      </c>
      <c r="AD194" s="12" t="s">
        <v>1034</v>
      </c>
      <c r="AE194" s="8" t="s">
        <v>55</v>
      </c>
      <c r="AF194" s="8" t="s">
        <v>55</v>
      </c>
      <c r="AG194" s="8" t="s">
        <v>63</v>
      </c>
      <c r="AH194" s="8" t="s">
        <v>55</v>
      </c>
      <c r="AI194" s="8" t="s">
        <v>1020</v>
      </c>
      <c r="AJ194" s="8" t="s">
        <v>49</v>
      </c>
      <c r="AK194" s="8" t="s">
        <v>55</v>
      </c>
      <c r="AL194" s="8" t="s">
        <v>720</v>
      </c>
      <c r="AM194" s="8" t="s">
        <v>928</v>
      </c>
      <c r="AN194" s="16" t="s">
        <v>1021</v>
      </c>
      <c r="AO194" s="9" t="s">
        <v>1022</v>
      </c>
      <c r="AP194" s="17" t="s">
        <v>924</v>
      </c>
      <c r="AQ194" s="11"/>
      <c r="AR194" s="10" t="s">
        <v>1035</v>
      </c>
      <c r="AS194" s="12"/>
      <c r="AT194" s="10" t="s">
        <v>1024</v>
      </c>
      <c r="AU194" s="11"/>
      <c r="AV194" s="15">
        <v>46341.0</v>
      </c>
    </row>
    <row r="195" ht="16.5" hidden="1" customHeight="1">
      <c r="A195" s="7" t="s">
        <v>1036</v>
      </c>
      <c r="B195" s="14" t="s">
        <v>49</v>
      </c>
      <c r="C195" s="14" t="s">
        <v>919</v>
      </c>
      <c r="D195" s="14" t="s">
        <v>1016</v>
      </c>
      <c r="E195" s="7"/>
      <c r="F195" s="7">
        <v>6585.0</v>
      </c>
      <c r="G195" s="7">
        <v>6582.0</v>
      </c>
      <c r="H195" s="7" t="s">
        <v>53</v>
      </c>
      <c r="I195" s="7" t="s">
        <v>1033</v>
      </c>
      <c r="J195" s="7"/>
      <c r="K195" s="8" t="s">
        <v>55</v>
      </c>
      <c r="L195" s="8" t="s">
        <v>55</v>
      </c>
      <c r="M195" s="12" t="s">
        <v>55</v>
      </c>
      <c r="N195" s="8" t="s">
        <v>55</v>
      </c>
      <c r="O195" s="12" t="s">
        <v>228</v>
      </c>
      <c r="P195" s="8" t="s">
        <v>229</v>
      </c>
      <c r="Q195" s="8" t="s">
        <v>49</v>
      </c>
      <c r="R195" s="8" t="s">
        <v>49</v>
      </c>
      <c r="S195" s="8" t="s">
        <v>49</v>
      </c>
      <c r="T195" s="8" t="s">
        <v>49</v>
      </c>
      <c r="U195" s="8" t="s">
        <v>49</v>
      </c>
      <c r="V195" s="8" t="s">
        <v>49</v>
      </c>
      <c r="W195" s="8" t="s">
        <v>49</v>
      </c>
      <c r="X195" s="8" t="s">
        <v>55</v>
      </c>
      <c r="Y195" s="8" t="s">
        <v>55</v>
      </c>
      <c r="Z195" s="8" t="s">
        <v>55</v>
      </c>
      <c r="AA195" s="8" t="s">
        <v>231</v>
      </c>
      <c r="AB195" s="8" t="s">
        <v>60</v>
      </c>
      <c r="AC195" s="8" t="s">
        <v>1018</v>
      </c>
      <c r="AD195" s="12" t="s">
        <v>1034</v>
      </c>
      <c r="AE195" s="8" t="s">
        <v>55</v>
      </c>
      <c r="AF195" s="8" t="s">
        <v>55</v>
      </c>
      <c r="AG195" s="8" t="s">
        <v>63</v>
      </c>
      <c r="AH195" s="8" t="s">
        <v>55</v>
      </c>
      <c r="AI195" s="8" t="s">
        <v>1029</v>
      </c>
      <c r="AJ195" s="8" t="s">
        <v>49</v>
      </c>
      <c r="AK195" s="8" t="s">
        <v>55</v>
      </c>
      <c r="AL195" s="8" t="s">
        <v>720</v>
      </c>
      <c r="AM195" s="8" t="s">
        <v>928</v>
      </c>
      <c r="AN195" s="9" t="s">
        <v>1030</v>
      </c>
      <c r="AO195" s="9" t="s">
        <v>1031</v>
      </c>
      <c r="AP195" s="17" t="s">
        <v>924</v>
      </c>
      <c r="AQ195" s="11"/>
      <c r="AR195" s="10" t="s">
        <v>1035</v>
      </c>
      <c r="AS195" s="12"/>
      <c r="AT195" s="10" t="s">
        <v>1024</v>
      </c>
      <c r="AU195" s="11"/>
      <c r="AV195" s="15">
        <v>46315.0</v>
      </c>
    </row>
    <row r="196" ht="16.5" hidden="1" customHeight="1">
      <c r="A196" s="7" t="s">
        <v>1037</v>
      </c>
      <c r="B196" s="14" t="s">
        <v>49</v>
      </c>
      <c r="C196" s="14" t="s">
        <v>919</v>
      </c>
      <c r="D196" s="14" t="s">
        <v>1016</v>
      </c>
      <c r="E196" s="7"/>
      <c r="F196" s="7">
        <v>6586.0</v>
      </c>
      <c r="G196" s="7">
        <v>6582.0</v>
      </c>
      <c r="H196" s="7" t="s">
        <v>53</v>
      </c>
      <c r="I196" s="7" t="s">
        <v>1038</v>
      </c>
      <c r="J196" s="7"/>
      <c r="K196" s="8" t="s">
        <v>55</v>
      </c>
      <c r="L196" s="8" t="s">
        <v>55</v>
      </c>
      <c r="M196" s="12" t="s">
        <v>55</v>
      </c>
      <c r="N196" s="8" t="s">
        <v>55</v>
      </c>
      <c r="O196" s="12" t="s">
        <v>228</v>
      </c>
      <c r="P196" s="8" t="s">
        <v>229</v>
      </c>
      <c r="Q196" s="8" t="s">
        <v>49</v>
      </c>
      <c r="R196" s="8" t="s">
        <v>49</v>
      </c>
      <c r="S196" s="8" t="s">
        <v>49</v>
      </c>
      <c r="T196" s="8" t="s">
        <v>49</v>
      </c>
      <c r="U196" s="8" t="s">
        <v>49</v>
      </c>
      <c r="V196" s="8" t="s">
        <v>49</v>
      </c>
      <c r="W196" s="8" t="s">
        <v>49</v>
      </c>
      <c r="X196" s="8" t="s">
        <v>55</v>
      </c>
      <c r="Y196" s="8" t="s">
        <v>55</v>
      </c>
      <c r="Z196" s="8" t="s">
        <v>55</v>
      </c>
      <c r="AA196" s="8" t="s">
        <v>231</v>
      </c>
      <c r="AB196" s="8" t="s">
        <v>60</v>
      </c>
      <c r="AC196" s="8" t="s">
        <v>1018</v>
      </c>
      <c r="AD196" s="12" t="s">
        <v>1039</v>
      </c>
      <c r="AE196" s="8" t="s">
        <v>55</v>
      </c>
      <c r="AF196" s="8" t="s">
        <v>55</v>
      </c>
      <c r="AG196" s="8" t="s">
        <v>63</v>
      </c>
      <c r="AH196" s="8" t="s">
        <v>55</v>
      </c>
      <c r="AI196" s="8" t="s">
        <v>1020</v>
      </c>
      <c r="AJ196" s="8" t="s">
        <v>49</v>
      </c>
      <c r="AK196" s="8" t="s">
        <v>55</v>
      </c>
      <c r="AL196" s="8" t="s">
        <v>720</v>
      </c>
      <c r="AM196" s="8" t="s">
        <v>928</v>
      </c>
      <c r="AN196" s="16" t="s">
        <v>1021</v>
      </c>
      <c r="AO196" s="9" t="s">
        <v>1022</v>
      </c>
      <c r="AP196" s="17" t="s">
        <v>924</v>
      </c>
      <c r="AQ196" s="11"/>
      <c r="AR196" s="10" t="s">
        <v>1040</v>
      </c>
      <c r="AS196" s="12"/>
      <c r="AT196" s="10" t="s">
        <v>1024</v>
      </c>
      <c r="AU196" s="11"/>
      <c r="AV196" s="15">
        <v>46341.0</v>
      </c>
    </row>
    <row r="197" ht="16.5" hidden="1" customHeight="1">
      <c r="A197" s="7" t="s">
        <v>1041</v>
      </c>
      <c r="B197" s="14" t="s">
        <v>49</v>
      </c>
      <c r="C197" s="14" t="s">
        <v>919</v>
      </c>
      <c r="D197" s="14" t="s">
        <v>1016</v>
      </c>
      <c r="E197" s="7"/>
      <c r="F197" s="7">
        <v>6587.0</v>
      </c>
      <c r="G197" s="7">
        <v>6582.0</v>
      </c>
      <c r="H197" s="7" t="s">
        <v>53</v>
      </c>
      <c r="I197" s="7" t="s">
        <v>1038</v>
      </c>
      <c r="J197" s="7"/>
      <c r="K197" s="8" t="s">
        <v>55</v>
      </c>
      <c r="L197" s="8" t="s">
        <v>55</v>
      </c>
      <c r="M197" s="12" t="s">
        <v>55</v>
      </c>
      <c r="N197" s="8" t="s">
        <v>55</v>
      </c>
      <c r="O197" s="12" t="s">
        <v>228</v>
      </c>
      <c r="P197" s="8" t="s">
        <v>229</v>
      </c>
      <c r="Q197" s="8" t="s">
        <v>49</v>
      </c>
      <c r="R197" s="8" t="s">
        <v>49</v>
      </c>
      <c r="S197" s="8" t="s">
        <v>49</v>
      </c>
      <c r="T197" s="8" t="s">
        <v>49</v>
      </c>
      <c r="U197" s="8" t="s">
        <v>49</v>
      </c>
      <c r="V197" s="8" t="s">
        <v>49</v>
      </c>
      <c r="W197" s="8" t="s">
        <v>49</v>
      </c>
      <c r="X197" s="8" t="s">
        <v>55</v>
      </c>
      <c r="Y197" s="8" t="s">
        <v>55</v>
      </c>
      <c r="Z197" s="8" t="s">
        <v>55</v>
      </c>
      <c r="AA197" s="8" t="s">
        <v>231</v>
      </c>
      <c r="AB197" s="8" t="s">
        <v>60</v>
      </c>
      <c r="AC197" s="8" t="s">
        <v>1018</v>
      </c>
      <c r="AD197" s="12" t="s">
        <v>1039</v>
      </c>
      <c r="AE197" s="8" t="s">
        <v>55</v>
      </c>
      <c r="AF197" s="8" t="s">
        <v>55</v>
      </c>
      <c r="AG197" s="8" t="s">
        <v>63</v>
      </c>
      <c r="AH197" s="8" t="s">
        <v>55</v>
      </c>
      <c r="AI197" s="8" t="s">
        <v>1029</v>
      </c>
      <c r="AJ197" s="8" t="s">
        <v>49</v>
      </c>
      <c r="AK197" s="8" t="s">
        <v>55</v>
      </c>
      <c r="AL197" s="8" t="s">
        <v>720</v>
      </c>
      <c r="AM197" s="8" t="s">
        <v>928</v>
      </c>
      <c r="AN197" s="16" t="s">
        <v>1030</v>
      </c>
      <c r="AO197" s="9" t="s">
        <v>1031</v>
      </c>
      <c r="AP197" s="17" t="s">
        <v>924</v>
      </c>
      <c r="AQ197" s="11"/>
      <c r="AR197" s="10" t="s">
        <v>1040</v>
      </c>
      <c r="AS197" s="12"/>
      <c r="AT197" s="10" t="s">
        <v>1024</v>
      </c>
      <c r="AU197" s="11"/>
      <c r="AV197" s="15">
        <v>46315.0</v>
      </c>
    </row>
    <row r="198" ht="16.5" hidden="1" customHeight="1">
      <c r="A198" s="7" t="s">
        <v>1042</v>
      </c>
      <c r="B198" s="7" t="s">
        <v>49</v>
      </c>
      <c r="C198" s="7" t="s">
        <v>919</v>
      </c>
      <c r="D198" s="7" t="s">
        <v>926</v>
      </c>
      <c r="E198" s="7" t="s">
        <v>227</v>
      </c>
      <c r="F198" s="7">
        <v>6588.0</v>
      </c>
      <c r="G198" s="7"/>
      <c r="H198" s="7" t="s">
        <v>53</v>
      </c>
      <c r="I198" s="7"/>
      <c r="J198" s="7"/>
      <c r="K198" s="8" t="s">
        <v>55</v>
      </c>
      <c r="L198" s="8" t="s">
        <v>55</v>
      </c>
      <c r="M198" s="8"/>
      <c r="N198" s="8" t="s">
        <v>55</v>
      </c>
      <c r="O198" s="8" t="s">
        <v>228</v>
      </c>
      <c r="P198" s="8" t="s">
        <v>229</v>
      </c>
      <c r="Q198" s="8" t="s">
        <v>49</v>
      </c>
      <c r="R198" s="8" t="s">
        <v>49</v>
      </c>
      <c r="S198" s="8" t="s">
        <v>49</v>
      </c>
      <c r="T198" s="8" t="s">
        <v>49</v>
      </c>
      <c r="U198" s="8" t="s">
        <v>49</v>
      </c>
      <c r="V198" s="8" t="s">
        <v>49</v>
      </c>
      <c r="W198" s="8" t="s">
        <v>49</v>
      </c>
      <c r="X198" s="8" t="s">
        <v>49</v>
      </c>
      <c r="Y198" s="8" t="s">
        <v>49</v>
      </c>
      <c r="Z198" s="8" t="s">
        <v>49</v>
      </c>
      <c r="AA198" s="8" t="s">
        <v>231</v>
      </c>
      <c r="AB198" s="8" t="s">
        <v>60</v>
      </c>
      <c r="AC198" s="8" t="s">
        <v>55</v>
      </c>
      <c r="AD198" s="8" t="s">
        <v>1043</v>
      </c>
      <c r="AE198" s="8" t="s">
        <v>55</v>
      </c>
      <c r="AF198" s="8" t="s">
        <v>55</v>
      </c>
      <c r="AG198" s="8" t="s">
        <v>145</v>
      </c>
      <c r="AH198" s="8" t="s">
        <v>55</v>
      </c>
      <c r="AI198" s="8" t="s">
        <v>463</v>
      </c>
      <c r="AJ198" s="8" t="s">
        <v>49</v>
      </c>
      <c r="AK198" s="8" t="s">
        <v>49</v>
      </c>
      <c r="AL198" s="8" t="s">
        <v>720</v>
      </c>
      <c r="AM198" s="8" t="s">
        <v>1044</v>
      </c>
      <c r="AN198" s="9" t="s">
        <v>1045</v>
      </c>
      <c r="AO198" s="9" t="s">
        <v>1046</v>
      </c>
      <c r="AP198" s="18" t="s">
        <v>1047</v>
      </c>
      <c r="AQ198" s="11"/>
      <c r="AR198" s="10" t="s">
        <v>1048</v>
      </c>
      <c r="AS198" s="12"/>
      <c r="AT198" s="10" t="s">
        <v>1049</v>
      </c>
      <c r="AU198" s="11"/>
      <c r="AV198" s="13"/>
    </row>
    <row r="199" ht="16.5" hidden="1" customHeight="1">
      <c r="A199" s="7" t="s">
        <v>1050</v>
      </c>
      <c r="B199" s="7" t="s">
        <v>49</v>
      </c>
      <c r="C199" s="7" t="s">
        <v>919</v>
      </c>
      <c r="D199" s="7" t="s">
        <v>926</v>
      </c>
      <c r="E199" s="7" t="s">
        <v>227</v>
      </c>
      <c r="F199" s="7">
        <v>6588.0</v>
      </c>
      <c r="G199" s="7">
        <v>6588.0</v>
      </c>
      <c r="H199" s="7" t="s">
        <v>53</v>
      </c>
      <c r="I199" s="7"/>
      <c r="J199" s="7"/>
      <c r="K199" s="8" t="s">
        <v>55</v>
      </c>
      <c r="L199" s="8" t="s">
        <v>55</v>
      </c>
      <c r="M199" s="12" t="s">
        <v>55</v>
      </c>
      <c r="N199" s="8" t="s">
        <v>55</v>
      </c>
      <c r="O199" s="8" t="s">
        <v>228</v>
      </c>
      <c r="P199" s="8" t="s">
        <v>229</v>
      </c>
      <c r="Q199" s="8" t="s">
        <v>49</v>
      </c>
      <c r="R199" s="8" t="s">
        <v>49</v>
      </c>
      <c r="S199" s="8" t="s">
        <v>49</v>
      </c>
      <c r="T199" s="8" t="s">
        <v>49</v>
      </c>
      <c r="U199" s="8" t="s">
        <v>49</v>
      </c>
      <c r="V199" s="8" t="s">
        <v>49</v>
      </c>
      <c r="W199" s="8" t="s">
        <v>49</v>
      </c>
      <c r="X199" s="8" t="s">
        <v>55</v>
      </c>
      <c r="Y199" s="8" t="s">
        <v>55</v>
      </c>
      <c r="Z199" s="8" t="s">
        <v>55</v>
      </c>
      <c r="AA199" s="8" t="s">
        <v>231</v>
      </c>
      <c r="AB199" s="8" t="s">
        <v>60</v>
      </c>
      <c r="AC199" s="8" t="s">
        <v>55</v>
      </c>
      <c r="AD199" s="8" t="s">
        <v>1043</v>
      </c>
      <c r="AE199" s="8" t="s">
        <v>55</v>
      </c>
      <c r="AF199" s="8" t="s">
        <v>55</v>
      </c>
      <c r="AG199" s="8" t="s">
        <v>145</v>
      </c>
      <c r="AH199" s="8" t="s">
        <v>55</v>
      </c>
      <c r="AI199" s="8" t="s">
        <v>463</v>
      </c>
      <c r="AJ199" s="8" t="s">
        <v>49</v>
      </c>
      <c r="AK199" s="8" t="s">
        <v>55</v>
      </c>
      <c r="AL199" s="8" t="s">
        <v>720</v>
      </c>
      <c r="AM199" s="8" t="s">
        <v>1044</v>
      </c>
      <c r="AN199" s="16" t="s">
        <v>1045</v>
      </c>
      <c r="AO199" s="9" t="s">
        <v>1046</v>
      </c>
      <c r="AP199" s="17" t="s">
        <v>1051</v>
      </c>
      <c r="AQ199" s="11"/>
      <c r="AR199" s="10" t="s">
        <v>1048</v>
      </c>
      <c r="AS199" s="12"/>
      <c r="AT199" s="10" t="s">
        <v>1049</v>
      </c>
      <c r="AU199" s="11"/>
      <c r="AV199" s="13"/>
    </row>
    <row r="200" ht="16.5" hidden="1" customHeight="1">
      <c r="A200" s="7" t="s">
        <v>1052</v>
      </c>
      <c r="B200" s="14" t="s">
        <v>49</v>
      </c>
      <c r="C200" s="14" t="s">
        <v>919</v>
      </c>
      <c r="D200" s="14" t="s">
        <v>926</v>
      </c>
      <c r="E200" s="7"/>
      <c r="F200" s="7">
        <v>6589.0</v>
      </c>
      <c r="G200" s="7">
        <v>6588.0</v>
      </c>
      <c r="H200" s="7" t="s">
        <v>53</v>
      </c>
      <c r="I200" s="7"/>
      <c r="J200" s="7"/>
      <c r="K200" s="8" t="s">
        <v>55</v>
      </c>
      <c r="L200" s="8" t="s">
        <v>55</v>
      </c>
      <c r="M200" s="12" t="s">
        <v>55</v>
      </c>
      <c r="N200" s="8" t="s">
        <v>55</v>
      </c>
      <c r="O200" s="8" t="s">
        <v>228</v>
      </c>
      <c r="P200" s="8" t="s">
        <v>229</v>
      </c>
      <c r="Q200" s="8" t="s">
        <v>49</v>
      </c>
      <c r="R200" s="8" t="s">
        <v>49</v>
      </c>
      <c r="S200" s="8" t="s">
        <v>49</v>
      </c>
      <c r="T200" s="8" t="s">
        <v>49</v>
      </c>
      <c r="U200" s="8" t="s">
        <v>49</v>
      </c>
      <c r="V200" s="8" t="s">
        <v>49</v>
      </c>
      <c r="W200" s="8" t="s">
        <v>49</v>
      </c>
      <c r="X200" s="8" t="s">
        <v>55</v>
      </c>
      <c r="Y200" s="8" t="s">
        <v>55</v>
      </c>
      <c r="Z200" s="8" t="s">
        <v>55</v>
      </c>
      <c r="AA200" s="8" t="s">
        <v>231</v>
      </c>
      <c r="AB200" s="8" t="s">
        <v>60</v>
      </c>
      <c r="AC200" s="8" t="s">
        <v>55</v>
      </c>
      <c r="AD200" s="8" t="s">
        <v>1043</v>
      </c>
      <c r="AE200" s="8" t="s">
        <v>55</v>
      </c>
      <c r="AF200" s="8" t="s">
        <v>55</v>
      </c>
      <c r="AG200" s="8" t="s">
        <v>145</v>
      </c>
      <c r="AH200" s="8" t="s">
        <v>55</v>
      </c>
      <c r="AI200" s="8" t="s">
        <v>65</v>
      </c>
      <c r="AJ200" s="8" t="s">
        <v>49</v>
      </c>
      <c r="AK200" s="8" t="s">
        <v>55</v>
      </c>
      <c r="AL200" s="8" t="s">
        <v>720</v>
      </c>
      <c r="AM200" s="8" t="s">
        <v>1044</v>
      </c>
      <c r="AN200" s="9" t="s">
        <v>1053</v>
      </c>
      <c r="AO200" s="9" t="s">
        <v>1054</v>
      </c>
      <c r="AP200" s="17" t="s">
        <v>1051</v>
      </c>
      <c r="AQ200" s="11"/>
      <c r="AR200" s="10" t="s">
        <v>1048</v>
      </c>
      <c r="AS200" s="12"/>
      <c r="AT200" s="10" t="s">
        <v>1049</v>
      </c>
      <c r="AU200" s="11"/>
      <c r="AV200" s="13"/>
    </row>
    <row r="201" ht="16.5" hidden="1" customHeight="1">
      <c r="A201" s="7" t="s">
        <v>1055</v>
      </c>
      <c r="B201" s="7" t="s">
        <v>49</v>
      </c>
      <c r="C201" s="7" t="s">
        <v>919</v>
      </c>
      <c r="D201" s="7" t="s">
        <v>920</v>
      </c>
      <c r="E201" s="7" t="s">
        <v>227</v>
      </c>
      <c r="F201" s="7">
        <v>6590.0</v>
      </c>
      <c r="G201" s="7"/>
      <c r="H201" s="7" t="s">
        <v>53</v>
      </c>
      <c r="I201" s="7"/>
      <c r="J201" s="7"/>
      <c r="K201" s="8" t="s">
        <v>55</v>
      </c>
      <c r="L201" s="8" t="s">
        <v>55</v>
      </c>
      <c r="M201" s="8"/>
      <c r="N201" s="8" t="s">
        <v>55</v>
      </c>
      <c r="O201" s="8" t="s">
        <v>55</v>
      </c>
      <c r="P201" s="8" t="s">
        <v>55</v>
      </c>
      <c r="Q201" s="8" t="s">
        <v>49</v>
      </c>
      <c r="R201" s="8" t="s">
        <v>49</v>
      </c>
      <c r="S201" s="8" t="s">
        <v>49</v>
      </c>
      <c r="T201" s="8" t="s">
        <v>49</v>
      </c>
      <c r="U201" s="8" t="s">
        <v>49</v>
      </c>
      <c r="V201" s="8" t="s">
        <v>49</v>
      </c>
      <c r="W201" s="8" t="s">
        <v>49</v>
      </c>
      <c r="X201" s="8" t="s">
        <v>49</v>
      </c>
      <c r="Y201" s="8" t="s">
        <v>49</v>
      </c>
      <c r="Z201" s="8" t="s">
        <v>49</v>
      </c>
      <c r="AA201" s="8" t="s">
        <v>55</v>
      </c>
      <c r="AB201" s="8" t="s">
        <v>55</v>
      </c>
      <c r="AC201" s="8" t="s">
        <v>55</v>
      </c>
      <c r="AD201" s="8" t="s">
        <v>1056</v>
      </c>
      <c r="AE201" s="8" t="s">
        <v>55</v>
      </c>
      <c r="AF201" s="8" t="s">
        <v>55</v>
      </c>
      <c r="AG201" s="8" t="s">
        <v>145</v>
      </c>
      <c r="AH201" s="8" t="s">
        <v>55</v>
      </c>
      <c r="AI201" s="8" t="s">
        <v>463</v>
      </c>
      <c r="AJ201" s="8" t="s">
        <v>49</v>
      </c>
      <c r="AK201" s="8" t="s">
        <v>49</v>
      </c>
      <c r="AL201" s="8" t="s">
        <v>720</v>
      </c>
      <c r="AM201" s="8" t="s">
        <v>1044</v>
      </c>
      <c r="AN201" s="9" t="s">
        <v>1057</v>
      </c>
      <c r="AO201" s="9" t="s">
        <v>1058</v>
      </c>
      <c r="AP201" s="18" t="s">
        <v>1047</v>
      </c>
      <c r="AQ201" s="11"/>
      <c r="AR201" s="10" t="s">
        <v>1059</v>
      </c>
      <c r="AS201" s="12"/>
      <c r="AT201" s="11"/>
      <c r="AU201" s="11"/>
      <c r="AV201" s="13"/>
    </row>
    <row r="202" ht="16.5" hidden="1" customHeight="1">
      <c r="A202" s="7" t="s">
        <v>1060</v>
      </c>
      <c r="B202" s="7" t="s">
        <v>49</v>
      </c>
      <c r="C202" s="7" t="s">
        <v>919</v>
      </c>
      <c r="D202" s="7" t="s">
        <v>920</v>
      </c>
      <c r="E202" s="7" t="s">
        <v>227</v>
      </c>
      <c r="F202" s="7">
        <v>6590.0</v>
      </c>
      <c r="G202" s="7">
        <v>6590.0</v>
      </c>
      <c r="H202" s="7" t="s">
        <v>53</v>
      </c>
      <c r="I202" s="7"/>
      <c r="J202" s="7"/>
      <c r="K202" s="8" t="s">
        <v>55</v>
      </c>
      <c r="L202" s="8" t="s">
        <v>55</v>
      </c>
      <c r="M202" s="12" t="s">
        <v>55</v>
      </c>
      <c r="N202" s="8" t="s">
        <v>55</v>
      </c>
      <c r="O202" s="8" t="s">
        <v>55</v>
      </c>
      <c r="P202" s="8" t="s">
        <v>55</v>
      </c>
      <c r="Q202" s="8" t="s">
        <v>49</v>
      </c>
      <c r="R202" s="8" t="s">
        <v>49</v>
      </c>
      <c r="S202" s="8" t="s">
        <v>49</v>
      </c>
      <c r="T202" s="8" t="s">
        <v>49</v>
      </c>
      <c r="U202" s="8" t="s">
        <v>49</v>
      </c>
      <c r="V202" s="8" t="s">
        <v>49</v>
      </c>
      <c r="W202" s="8" t="s">
        <v>49</v>
      </c>
      <c r="X202" s="8" t="s">
        <v>55</v>
      </c>
      <c r="Y202" s="8" t="s">
        <v>55</v>
      </c>
      <c r="Z202" s="8" t="s">
        <v>55</v>
      </c>
      <c r="AA202" s="8" t="s">
        <v>55</v>
      </c>
      <c r="AB202" s="8" t="s">
        <v>55</v>
      </c>
      <c r="AC202" s="8" t="s">
        <v>55</v>
      </c>
      <c r="AD202" s="12" t="s">
        <v>1061</v>
      </c>
      <c r="AE202" s="8" t="s">
        <v>55</v>
      </c>
      <c r="AF202" s="8" t="s">
        <v>55</v>
      </c>
      <c r="AG202" s="8" t="s">
        <v>145</v>
      </c>
      <c r="AH202" s="8" t="s">
        <v>55</v>
      </c>
      <c r="AI202" s="8" t="s">
        <v>463</v>
      </c>
      <c r="AJ202" s="8" t="s">
        <v>49</v>
      </c>
      <c r="AK202" s="8" t="s">
        <v>55</v>
      </c>
      <c r="AL202" s="8" t="s">
        <v>720</v>
      </c>
      <c r="AM202" s="8" t="s">
        <v>1044</v>
      </c>
      <c r="AN202" s="9" t="s">
        <v>1057</v>
      </c>
      <c r="AO202" s="9" t="s">
        <v>1058</v>
      </c>
      <c r="AP202" s="17" t="s">
        <v>1051</v>
      </c>
      <c r="AQ202" s="11"/>
      <c r="AR202" s="10" t="s">
        <v>1059</v>
      </c>
      <c r="AS202" s="12"/>
      <c r="AT202" s="11"/>
      <c r="AU202" s="11"/>
      <c r="AV202" s="15">
        <v>46315.0</v>
      </c>
    </row>
    <row r="203" ht="16.5" hidden="1" customHeight="1">
      <c r="A203" s="7" t="s">
        <v>1062</v>
      </c>
      <c r="B203" s="14" t="s">
        <v>49</v>
      </c>
      <c r="C203" s="14" t="s">
        <v>919</v>
      </c>
      <c r="D203" s="14" t="s">
        <v>920</v>
      </c>
      <c r="E203" s="7"/>
      <c r="F203" s="7">
        <v>6591.0</v>
      </c>
      <c r="G203" s="7">
        <v>6590.0</v>
      </c>
      <c r="H203" s="7" t="s">
        <v>53</v>
      </c>
      <c r="I203" s="7"/>
      <c r="J203" s="7"/>
      <c r="K203" s="8" t="s">
        <v>55</v>
      </c>
      <c r="L203" s="8" t="s">
        <v>55</v>
      </c>
      <c r="M203" s="12" t="s">
        <v>55</v>
      </c>
      <c r="N203" s="8" t="s">
        <v>55</v>
      </c>
      <c r="O203" s="8" t="s">
        <v>55</v>
      </c>
      <c r="P203" s="8" t="s">
        <v>55</v>
      </c>
      <c r="Q203" s="8" t="s">
        <v>49</v>
      </c>
      <c r="R203" s="8" t="s">
        <v>49</v>
      </c>
      <c r="S203" s="8" t="s">
        <v>49</v>
      </c>
      <c r="T203" s="8" t="s">
        <v>49</v>
      </c>
      <c r="U203" s="8" t="s">
        <v>49</v>
      </c>
      <c r="V203" s="8" t="s">
        <v>49</v>
      </c>
      <c r="W203" s="8" t="s">
        <v>49</v>
      </c>
      <c r="X203" s="8" t="s">
        <v>55</v>
      </c>
      <c r="Y203" s="8" t="s">
        <v>55</v>
      </c>
      <c r="Z203" s="8" t="s">
        <v>55</v>
      </c>
      <c r="AA203" s="8" t="s">
        <v>55</v>
      </c>
      <c r="AB203" s="8" t="s">
        <v>55</v>
      </c>
      <c r="AC203" s="8" t="s">
        <v>55</v>
      </c>
      <c r="AD203" s="12" t="s">
        <v>1061</v>
      </c>
      <c r="AE203" s="8" t="s">
        <v>55</v>
      </c>
      <c r="AF203" s="8" t="s">
        <v>55</v>
      </c>
      <c r="AG203" s="8" t="s">
        <v>145</v>
      </c>
      <c r="AH203" s="8" t="s">
        <v>55</v>
      </c>
      <c r="AI203" s="8" t="s">
        <v>65</v>
      </c>
      <c r="AJ203" s="8" t="s">
        <v>49</v>
      </c>
      <c r="AK203" s="8" t="s">
        <v>55</v>
      </c>
      <c r="AL203" s="8" t="s">
        <v>720</v>
      </c>
      <c r="AM203" s="8" t="s">
        <v>1044</v>
      </c>
      <c r="AN203" s="9" t="s">
        <v>1063</v>
      </c>
      <c r="AO203" s="9" t="s">
        <v>1064</v>
      </c>
      <c r="AP203" s="17" t="s">
        <v>1051</v>
      </c>
      <c r="AQ203" s="11"/>
      <c r="AR203" s="10" t="s">
        <v>1059</v>
      </c>
      <c r="AS203" s="12"/>
      <c r="AT203" s="11"/>
      <c r="AU203" s="11"/>
      <c r="AV203" s="13"/>
    </row>
    <row r="204" ht="16.5" hidden="1" customHeight="1">
      <c r="A204" s="7" t="s">
        <v>1065</v>
      </c>
      <c r="B204" s="7" t="s">
        <v>49</v>
      </c>
      <c r="C204" s="7" t="s">
        <v>919</v>
      </c>
      <c r="D204" s="7" t="s">
        <v>920</v>
      </c>
      <c r="E204" s="7" t="s">
        <v>227</v>
      </c>
      <c r="F204" s="7">
        <v>6592.0</v>
      </c>
      <c r="G204" s="7"/>
      <c r="H204" s="7" t="s">
        <v>53</v>
      </c>
      <c r="I204" s="7"/>
      <c r="J204" s="7"/>
      <c r="K204" s="8" t="s">
        <v>55</v>
      </c>
      <c r="L204" s="8" t="s">
        <v>55</v>
      </c>
      <c r="M204" s="8"/>
      <c r="N204" s="8" t="s">
        <v>55</v>
      </c>
      <c r="O204" s="8" t="s">
        <v>228</v>
      </c>
      <c r="P204" s="8" t="s">
        <v>229</v>
      </c>
      <c r="Q204" s="8" t="s">
        <v>49</v>
      </c>
      <c r="R204" s="8" t="s">
        <v>49</v>
      </c>
      <c r="S204" s="8" t="s">
        <v>49</v>
      </c>
      <c r="T204" s="8" t="s">
        <v>49</v>
      </c>
      <c r="U204" s="8" t="s">
        <v>49</v>
      </c>
      <c r="V204" s="8" t="s">
        <v>49</v>
      </c>
      <c r="W204" s="8" t="s">
        <v>49</v>
      </c>
      <c r="X204" s="8" t="s">
        <v>49</v>
      </c>
      <c r="Y204" s="8" t="s">
        <v>49</v>
      </c>
      <c r="Z204" s="8" t="s">
        <v>49</v>
      </c>
      <c r="AA204" s="8" t="s">
        <v>231</v>
      </c>
      <c r="AB204" s="8" t="s">
        <v>60</v>
      </c>
      <c r="AC204" s="8" t="s">
        <v>55</v>
      </c>
      <c r="AD204" s="8" t="s">
        <v>1066</v>
      </c>
      <c r="AE204" s="8" t="s">
        <v>55</v>
      </c>
      <c r="AF204" s="8" t="s">
        <v>55</v>
      </c>
      <c r="AG204" s="8" t="s">
        <v>145</v>
      </c>
      <c r="AH204" s="8" t="s">
        <v>55</v>
      </c>
      <c r="AI204" s="8" t="s">
        <v>463</v>
      </c>
      <c r="AJ204" s="8" t="s">
        <v>49</v>
      </c>
      <c r="AK204" s="8" t="s">
        <v>49</v>
      </c>
      <c r="AL204" s="8" t="s">
        <v>720</v>
      </c>
      <c r="AM204" s="8" t="s">
        <v>1044</v>
      </c>
      <c r="AN204" s="9" t="s">
        <v>1067</v>
      </c>
      <c r="AO204" s="9" t="s">
        <v>1068</v>
      </c>
      <c r="AP204" s="18" t="s">
        <v>1047</v>
      </c>
      <c r="AQ204" s="11"/>
      <c r="AR204" s="11"/>
      <c r="AS204" s="12"/>
      <c r="AT204" s="11"/>
      <c r="AU204" s="11"/>
      <c r="AV204" s="13"/>
    </row>
    <row r="205" ht="16.5" hidden="1" customHeight="1">
      <c r="A205" s="7" t="s">
        <v>1069</v>
      </c>
      <c r="B205" s="7" t="s">
        <v>49</v>
      </c>
      <c r="C205" s="7" t="s">
        <v>919</v>
      </c>
      <c r="D205" s="7" t="s">
        <v>920</v>
      </c>
      <c r="E205" s="7" t="s">
        <v>227</v>
      </c>
      <c r="F205" s="7">
        <v>6592.0</v>
      </c>
      <c r="G205" s="7">
        <v>6592.0</v>
      </c>
      <c r="H205" s="7" t="s">
        <v>53</v>
      </c>
      <c r="I205" s="7"/>
      <c r="J205" s="7"/>
      <c r="K205" s="8" t="s">
        <v>55</v>
      </c>
      <c r="L205" s="8" t="s">
        <v>55</v>
      </c>
      <c r="M205" s="12" t="s">
        <v>55</v>
      </c>
      <c r="N205" s="8" t="s">
        <v>55</v>
      </c>
      <c r="O205" s="8" t="s">
        <v>228</v>
      </c>
      <c r="P205" s="8" t="s">
        <v>229</v>
      </c>
      <c r="Q205" s="8" t="s">
        <v>49</v>
      </c>
      <c r="R205" s="8" t="s">
        <v>49</v>
      </c>
      <c r="S205" s="8" t="s">
        <v>49</v>
      </c>
      <c r="T205" s="8" t="s">
        <v>49</v>
      </c>
      <c r="U205" s="8" t="s">
        <v>49</v>
      </c>
      <c r="V205" s="8" t="s">
        <v>49</v>
      </c>
      <c r="W205" s="8" t="s">
        <v>49</v>
      </c>
      <c r="X205" s="8" t="s">
        <v>55</v>
      </c>
      <c r="Y205" s="8" t="s">
        <v>55</v>
      </c>
      <c r="Z205" s="8" t="s">
        <v>55</v>
      </c>
      <c r="AA205" s="8" t="s">
        <v>231</v>
      </c>
      <c r="AB205" s="8" t="s">
        <v>60</v>
      </c>
      <c r="AC205" s="8" t="s">
        <v>55</v>
      </c>
      <c r="AD205" s="8" t="s">
        <v>1066</v>
      </c>
      <c r="AE205" s="8" t="s">
        <v>55</v>
      </c>
      <c r="AF205" s="8" t="s">
        <v>55</v>
      </c>
      <c r="AG205" s="8" t="s">
        <v>145</v>
      </c>
      <c r="AH205" s="8" t="s">
        <v>55</v>
      </c>
      <c r="AI205" s="8" t="s">
        <v>463</v>
      </c>
      <c r="AJ205" s="8" t="s">
        <v>49</v>
      </c>
      <c r="AK205" s="8" t="s">
        <v>55</v>
      </c>
      <c r="AL205" s="8" t="s">
        <v>720</v>
      </c>
      <c r="AM205" s="8" t="s">
        <v>1044</v>
      </c>
      <c r="AN205" s="9" t="s">
        <v>1067</v>
      </c>
      <c r="AO205" s="9" t="s">
        <v>1068</v>
      </c>
      <c r="AP205" s="17" t="s">
        <v>1051</v>
      </c>
      <c r="AQ205" s="11"/>
      <c r="AR205" s="11"/>
      <c r="AS205" s="12"/>
      <c r="AT205" s="11"/>
      <c r="AU205" s="11"/>
      <c r="AV205" s="13"/>
    </row>
    <row r="206" ht="16.5" hidden="1" customHeight="1">
      <c r="A206" s="7" t="s">
        <v>1070</v>
      </c>
      <c r="B206" s="14" t="s">
        <v>49</v>
      </c>
      <c r="C206" s="14" t="s">
        <v>919</v>
      </c>
      <c r="D206" s="14" t="s">
        <v>920</v>
      </c>
      <c r="E206" s="7"/>
      <c r="F206" s="7">
        <v>6593.0</v>
      </c>
      <c r="G206" s="7">
        <v>6592.0</v>
      </c>
      <c r="H206" s="7" t="s">
        <v>53</v>
      </c>
      <c r="I206" s="7"/>
      <c r="J206" s="7"/>
      <c r="K206" s="8" t="s">
        <v>55</v>
      </c>
      <c r="L206" s="8" t="s">
        <v>55</v>
      </c>
      <c r="M206" s="12" t="s">
        <v>55</v>
      </c>
      <c r="N206" s="8" t="s">
        <v>55</v>
      </c>
      <c r="O206" s="8" t="s">
        <v>228</v>
      </c>
      <c r="P206" s="8" t="s">
        <v>229</v>
      </c>
      <c r="Q206" s="8" t="s">
        <v>49</v>
      </c>
      <c r="R206" s="8" t="s">
        <v>49</v>
      </c>
      <c r="S206" s="8" t="s">
        <v>49</v>
      </c>
      <c r="T206" s="8" t="s">
        <v>49</v>
      </c>
      <c r="U206" s="8" t="s">
        <v>49</v>
      </c>
      <c r="V206" s="8" t="s">
        <v>49</v>
      </c>
      <c r="W206" s="8" t="s">
        <v>49</v>
      </c>
      <c r="X206" s="8" t="s">
        <v>55</v>
      </c>
      <c r="Y206" s="8" t="s">
        <v>55</v>
      </c>
      <c r="Z206" s="8" t="s">
        <v>55</v>
      </c>
      <c r="AA206" s="8" t="s">
        <v>231</v>
      </c>
      <c r="AB206" s="8" t="s">
        <v>60</v>
      </c>
      <c r="AC206" s="8" t="s">
        <v>55</v>
      </c>
      <c r="AD206" s="8" t="s">
        <v>1066</v>
      </c>
      <c r="AE206" s="8" t="s">
        <v>55</v>
      </c>
      <c r="AF206" s="8" t="s">
        <v>55</v>
      </c>
      <c r="AG206" s="8" t="s">
        <v>145</v>
      </c>
      <c r="AH206" s="8" t="s">
        <v>55</v>
      </c>
      <c r="AI206" s="8" t="s">
        <v>65</v>
      </c>
      <c r="AJ206" s="8" t="s">
        <v>49</v>
      </c>
      <c r="AK206" s="8" t="s">
        <v>55</v>
      </c>
      <c r="AL206" s="8" t="s">
        <v>720</v>
      </c>
      <c r="AM206" s="8" t="s">
        <v>1044</v>
      </c>
      <c r="AN206" s="9" t="s">
        <v>1071</v>
      </c>
      <c r="AO206" s="9" t="s">
        <v>1072</v>
      </c>
      <c r="AP206" s="17" t="s">
        <v>1051</v>
      </c>
      <c r="AQ206" s="11"/>
      <c r="AR206" s="11"/>
      <c r="AS206" s="12"/>
      <c r="AT206" s="11"/>
      <c r="AU206" s="11"/>
      <c r="AV206" s="13"/>
    </row>
    <row r="207" ht="16.5" hidden="1" customHeight="1">
      <c r="A207" s="7" t="s">
        <v>1073</v>
      </c>
      <c r="B207" s="7" t="s">
        <v>49</v>
      </c>
      <c r="C207" s="7" t="s">
        <v>919</v>
      </c>
      <c r="D207" s="7" t="s">
        <v>926</v>
      </c>
      <c r="E207" s="7" t="s">
        <v>227</v>
      </c>
      <c r="F207" s="7">
        <v>6594.0</v>
      </c>
      <c r="G207" s="7"/>
      <c r="H207" s="7" t="s">
        <v>53</v>
      </c>
      <c r="I207" s="7"/>
      <c r="J207" s="7"/>
      <c r="K207" s="8" t="s">
        <v>55</v>
      </c>
      <c r="L207" s="8" t="s">
        <v>55</v>
      </c>
      <c r="M207" s="8"/>
      <c r="N207" s="8" t="s">
        <v>55</v>
      </c>
      <c r="O207" s="8" t="s">
        <v>228</v>
      </c>
      <c r="P207" s="8" t="s">
        <v>229</v>
      </c>
      <c r="Q207" s="8" t="s">
        <v>49</v>
      </c>
      <c r="R207" s="8" t="s">
        <v>49</v>
      </c>
      <c r="S207" s="8" t="s">
        <v>49</v>
      </c>
      <c r="T207" s="8" t="s">
        <v>49</v>
      </c>
      <c r="U207" s="8" t="s">
        <v>49</v>
      </c>
      <c r="V207" s="8" t="s">
        <v>49</v>
      </c>
      <c r="W207" s="8" t="s">
        <v>49</v>
      </c>
      <c r="X207" s="8" t="s">
        <v>49</v>
      </c>
      <c r="Y207" s="8" t="s">
        <v>49</v>
      </c>
      <c r="Z207" s="8" t="s">
        <v>49</v>
      </c>
      <c r="AA207" s="8" t="s">
        <v>231</v>
      </c>
      <c r="AB207" s="8" t="s">
        <v>60</v>
      </c>
      <c r="AC207" s="8" t="s">
        <v>55</v>
      </c>
      <c r="AD207" s="8" t="s">
        <v>1074</v>
      </c>
      <c r="AE207" s="8" t="s">
        <v>55</v>
      </c>
      <c r="AF207" s="8" t="s">
        <v>55</v>
      </c>
      <c r="AG207" s="8" t="s">
        <v>145</v>
      </c>
      <c r="AH207" s="8" t="s">
        <v>55</v>
      </c>
      <c r="AI207" s="8" t="s">
        <v>463</v>
      </c>
      <c r="AJ207" s="8" t="s">
        <v>49</v>
      </c>
      <c r="AK207" s="8" t="s">
        <v>49</v>
      </c>
      <c r="AL207" s="8" t="s">
        <v>720</v>
      </c>
      <c r="AM207" s="8" t="s">
        <v>1044</v>
      </c>
      <c r="AN207" s="9" t="s">
        <v>1075</v>
      </c>
      <c r="AO207" s="9" t="s">
        <v>1076</v>
      </c>
      <c r="AP207" s="18" t="s">
        <v>1047</v>
      </c>
      <c r="AQ207" s="11"/>
      <c r="AR207" s="10" t="s">
        <v>1077</v>
      </c>
      <c r="AS207" s="12"/>
      <c r="AT207" s="10" t="s">
        <v>1078</v>
      </c>
      <c r="AU207" s="11"/>
      <c r="AV207" s="13"/>
    </row>
    <row r="208" ht="16.5" hidden="1" customHeight="1">
      <c r="A208" s="7" t="s">
        <v>1079</v>
      </c>
      <c r="B208" s="7" t="s">
        <v>49</v>
      </c>
      <c r="C208" s="7" t="s">
        <v>919</v>
      </c>
      <c r="D208" s="7" t="s">
        <v>926</v>
      </c>
      <c r="E208" s="7" t="s">
        <v>227</v>
      </c>
      <c r="F208" s="7">
        <v>6594.0</v>
      </c>
      <c r="G208" s="7">
        <v>6594.0</v>
      </c>
      <c r="H208" s="7" t="s">
        <v>53</v>
      </c>
      <c r="I208" s="7"/>
      <c r="J208" s="7"/>
      <c r="K208" s="8" t="s">
        <v>55</v>
      </c>
      <c r="L208" s="8" t="s">
        <v>55</v>
      </c>
      <c r="M208" s="12" t="s">
        <v>55</v>
      </c>
      <c r="N208" s="8" t="s">
        <v>55</v>
      </c>
      <c r="O208" s="8" t="s">
        <v>228</v>
      </c>
      <c r="P208" s="8" t="s">
        <v>229</v>
      </c>
      <c r="Q208" s="8" t="s">
        <v>49</v>
      </c>
      <c r="R208" s="8" t="s">
        <v>49</v>
      </c>
      <c r="S208" s="8" t="s">
        <v>49</v>
      </c>
      <c r="T208" s="8" t="s">
        <v>49</v>
      </c>
      <c r="U208" s="8" t="s">
        <v>49</v>
      </c>
      <c r="V208" s="8" t="s">
        <v>49</v>
      </c>
      <c r="W208" s="8" t="s">
        <v>49</v>
      </c>
      <c r="X208" s="8" t="s">
        <v>55</v>
      </c>
      <c r="Y208" s="8" t="s">
        <v>55</v>
      </c>
      <c r="Z208" s="8" t="s">
        <v>55</v>
      </c>
      <c r="AA208" s="8" t="s">
        <v>231</v>
      </c>
      <c r="AB208" s="8" t="s">
        <v>60</v>
      </c>
      <c r="AC208" s="8" t="s">
        <v>55</v>
      </c>
      <c r="AD208" s="8" t="s">
        <v>1074</v>
      </c>
      <c r="AE208" s="8" t="s">
        <v>55</v>
      </c>
      <c r="AF208" s="8" t="s">
        <v>55</v>
      </c>
      <c r="AG208" s="8" t="s">
        <v>145</v>
      </c>
      <c r="AH208" s="8" t="s">
        <v>55</v>
      </c>
      <c r="AI208" s="8" t="s">
        <v>463</v>
      </c>
      <c r="AJ208" s="8" t="s">
        <v>49</v>
      </c>
      <c r="AK208" s="8" t="s">
        <v>55</v>
      </c>
      <c r="AL208" s="8" t="s">
        <v>720</v>
      </c>
      <c r="AM208" s="8" t="s">
        <v>1044</v>
      </c>
      <c r="AN208" s="9" t="s">
        <v>1075</v>
      </c>
      <c r="AO208" s="9" t="s">
        <v>1076</v>
      </c>
      <c r="AP208" s="17" t="s">
        <v>1051</v>
      </c>
      <c r="AQ208" s="11"/>
      <c r="AR208" s="10" t="s">
        <v>1077</v>
      </c>
      <c r="AS208" s="12"/>
      <c r="AT208" s="10" t="s">
        <v>1078</v>
      </c>
      <c r="AU208" s="11"/>
      <c r="AV208" s="13"/>
    </row>
    <row r="209" ht="16.5" hidden="1" customHeight="1">
      <c r="A209" s="7" t="s">
        <v>1080</v>
      </c>
      <c r="B209" s="14" t="s">
        <v>49</v>
      </c>
      <c r="C209" s="14" t="s">
        <v>919</v>
      </c>
      <c r="D209" s="14" t="s">
        <v>926</v>
      </c>
      <c r="E209" s="7"/>
      <c r="F209" s="7">
        <v>6595.0</v>
      </c>
      <c r="G209" s="7">
        <v>6594.0</v>
      </c>
      <c r="H209" s="7" t="s">
        <v>53</v>
      </c>
      <c r="I209" s="7"/>
      <c r="J209" s="7"/>
      <c r="K209" s="8" t="s">
        <v>55</v>
      </c>
      <c r="L209" s="8" t="s">
        <v>55</v>
      </c>
      <c r="M209" s="12" t="s">
        <v>55</v>
      </c>
      <c r="N209" s="8" t="s">
        <v>55</v>
      </c>
      <c r="O209" s="8" t="s">
        <v>228</v>
      </c>
      <c r="P209" s="8" t="s">
        <v>229</v>
      </c>
      <c r="Q209" s="8" t="s">
        <v>49</v>
      </c>
      <c r="R209" s="8" t="s">
        <v>49</v>
      </c>
      <c r="S209" s="8" t="s">
        <v>49</v>
      </c>
      <c r="T209" s="8" t="s">
        <v>49</v>
      </c>
      <c r="U209" s="8" t="s">
        <v>49</v>
      </c>
      <c r="V209" s="8" t="s">
        <v>49</v>
      </c>
      <c r="W209" s="8" t="s">
        <v>49</v>
      </c>
      <c r="X209" s="8" t="s">
        <v>55</v>
      </c>
      <c r="Y209" s="8" t="s">
        <v>55</v>
      </c>
      <c r="Z209" s="8" t="s">
        <v>55</v>
      </c>
      <c r="AA209" s="8" t="s">
        <v>231</v>
      </c>
      <c r="AB209" s="8" t="s">
        <v>60</v>
      </c>
      <c r="AC209" s="8" t="s">
        <v>55</v>
      </c>
      <c r="AD209" s="8" t="s">
        <v>1074</v>
      </c>
      <c r="AE209" s="8" t="s">
        <v>55</v>
      </c>
      <c r="AF209" s="8" t="s">
        <v>55</v>
      </c>
      <c r="AG209" s="8" t="s">
        <v>145</v>
      </c>
      <c r="AH209" s="8" t="s">
        <v>55</v>
      </c>
      <c r="AI209" s="8" t="s">
        <v>65</v>
      </c>
      <c r="AJ209" s="8" t="s">
        <v>49</v>
      </c>
      <c r="AK209" s="8" t="s">
        <v>55</v>
      </c>
      <c r="AL209" s="8" t="s">
        <v>720</v>
      </c>
      <c r="AM209" s="8" t="s">
        <v>1044</v>
      </c>
      <c r="AN209" s="9" t="s">
        <v>1081</v>
      </c>
      <c r="AO209" s="9" t="s">
        <v>1082</v>
      </c>
      <c r="AP209" s="17" t="s">
        <v>1051</v>
      </c>
      <c r="AQ209" s="11"/>
      <c r="AR209" s="10" t="s">
        <v>1077</v>
      </c>
      <c r="AS209" s="12"/>
      <c r="AT209" s="10" t="s">
        <v>1078</v>
      </c>
      <c r="AU209" s="11"/>
      <c r="AV209" s="13"/>
    </row>
    <row r="210" ht="16.5" hidden="1" customHeight="1">
      <c r="A210" s="7" t="s">
        <v>1083</v>
      </c>
      <c r="B210" s="7" t="s">
        <v>49</v>
      </c>
      <c r="C210" s="7" t="s">
        <v>919</v>
      </c>
      <c r="D210" s="7" t="s">
        <v>926</v>
      </c>
      <c r="E210" s="7" t="s">
        <v>227</v>
      </c>
      <c r="F210" s="7">
        <v>6596.0</v>
      </c>
      <c r="G210" s="7"/>
      <c r="H210" s="7" t="s">
        <v>53</v>
      </c>
      <c r="I210" s="7"/>
      <c r="J210" s="7"/>
      <c r="K210" s="8" t="s">
        <v>55</v>
      </c>
      <c r="L210" s="8" t="s">
        <v>55</v>
      </c>
      <c r="M210" s="8"/>
      <c r="N210" s="8" t="s">
        <v>55</v>
      </c>
      <c r="O210" s="8" t="s">
        <v>228</v>
      </c>
      <c r="P210" s="8" t="s">
        <v>229</v>
      </c>
      <c r="Q210" s="8" t="s">
        <v>49</v>
      </c>
      <c r="R210" s="8" t="s">
        <v>49</v>
      </c>
      <c r="S210" s="8" t="s">
        <v>49</v>
      </c>
      <c r="T210" s="8" t="s">
        <v>49</v>
      </c>
      <c r="U210" s="8" t="s">
        <v>49</v>
      </c>
      <c r="V210" s="8" t="s">
        <v>49</v>
      </c>
      <c r="W210" s="8" t="s">
        <v>49</v>
      </c>
      <c r="X210" s="8" t="s">
        <v>49</v>
      </c>
      <c r="Y210" s="8" t="s">
        <v>49</v>
      </c>
      <c r="Z210" s="8" t="s">
        <v>49</v>
      </c>
      <c r="AA210" s="8" t="s">
        <v>231</v>
      </c>
      <c r="AB210" s="8" t="s">
        <v>60</v>
      </c>
      <c r="AC210" s="8" t="s">
        <v>55</v>
      </c>
      <c r="AD210" s="8" t="s">
        <v>1084</v>
      </c>
      <c r="AE210" s="8" t="s">
        <v>55</v>
      </c>
      <c r="AF210" s="8" t="s">
        <v>55</v>
      </c>
      <c r="AG210" s="8" t="s">
        <v>145</v>
      </c>
      <c r="AH210" s="8" t="s">
        <v>55</v>
      </c>
      <c r="AI210" s="8" t="s">
        <v>463</v>
      </c>
      <c r="AJ210" s="8" t="s">
        <v>49</v>
      </c>
      <c r="AK210" s="8" t="s">
        <v>49</v>
      </c>
      <c r="AL210" s="8" t="s">
        <v>720</v>
      </c>
      <c r="AM210" s="8" t="s">
        <v>1044</v>
      </c>
      <c r="AN210" s="9" t="s">
        <v>1085</v>
      </c>
      <c r="AO210" s="9" t="s">
        <v>1086</v>
      </c>
      <c r="AP210" s="18" t="s">
        <v>1047</v>
      </c>
      <c r="AQ210" s="11"/>
      <c r="AR210" s="10" t="s">
        <v>1087</v>
      </c>
      <c r="AS210" s="12"/>
      <c r="AT210" s="10" t="s">
        <v>1088</v>
      </c>
      <c r="AU210" s="11"/>
      <c r="AV210" s="13"/>
    </row>
    <row r="211" ht="16.5" hidden="1" customHeight="1">
      <c r="A211" s="7" t="s">
        <v>1089</v>
      </c>
      <c r="B211" s="7" t="s">
        <v>49</v>
      </c>
      <c r="C211" s="7" t="s">
        <v>919</v>
      </c>
      <c r="D211" s="7" t="s">
        <v>926</v>
      </c>
      <c r="E211" s="7" t="s">
        <v>227</v>
      </c>
      <c r="F211" s="7">
        <v>6596.0</v>
      </c>
      <c r="G211" s="7">
        <v>6596.0</v>
      </c>
      <c r="H211" s="7" t="s">
        <v>53</v>
      </c>
      <c r="I211" s="7"/>
      <c r="J211" s="7"/>
      <c r="K211" s="8" t="s">
        <v>55</v>
      </c>
      <c r="L211" s="8" t="s">
        <v>55</v>
      </c>
      <c r="M211" s="12" t="s">
        <v>55</v>
      </c>
      <c r="N211" s="8" t="s">
        <v>55</v>
      </c>
      <c r="O211" s="8" t="s">
        <v>228</v>
      </c>
      <c r="P211" s="8" t="s">
        <v>229</v>
      </c>
      <c r="Q211" s="8" t="s">
        <v>49</v>
      </c>
      <c r="R211" s="8" t="s">
        <v>49</v>
      </c>
      <c r="S211" s="8" t="s">
        <v>49</v>
      </c>
      <c r="T211" s="8" t="s">
        <v>49</v>
      </c>
      <c r="U211" s="8" t="s">
        <v>49</v>
      </c>
      <c r="V211" s="8" t="s">
        <v>49</v>
      </c>
      <c r="W211" s="8" t="s">
        <v>49</v>
      </c>
      <c r="X211" s="8" t="s">
        <v>55</v>
      </c>
      <c r="Y211" s="8" t="s">
        <v>55</v>
      </c>
      <c r="Z211" s="8" t="s">
        <v>55</v>
      </c>
      <c r="AA211" s="8" t="s">
        <v>231</v>
      </c>
      <c r="AB211" s="8" t="s">
        <v>60</v>
      </c>
      <c r="AC211" s="8" t="s">
        <v>55</v>
      </c>
      <c r="AD211" s="8" t="s">
        <v>1084</v>
      </c>
      <c r="AE211" s="8" t="s">
        <v>55</v>
      </c>
      <c r="AF211" s="8" t="s">
        <v>55</v>
      </c>
      <c r="AG211" s="8" t="s">
        <v>145</v>
      </c>
      <c r="AH211" s="8" t="s">
        <v>55</v>
      </c>
      <c r="AI211" s="8" t="s">
        <v>463</v>
      </c>
      <c r="AJ211" s="8" t="s">
        <v>49</v>
      </c>
      <c r="AK211" s="8" t="s">
        <v>55</v>
      </c>
      <c r="AL211" s="8" t="s">
        <v>720</v>
      </c>
      <c r="AM211" s="8" t="s">
        <v>1044</v>
      </c>
      <c r="AN211" s="9" t="s">
        <v>1085</v>
      </c>
      <c r="AO211" s="9" t="s">
        <v>1086</v>
      </c>
      <c r="AP211" s="17" t="s">
        <v>1051</v>
      </c>
      <c r="AQ211" s="11"/>
      <c r="AR211" s="10" t="s">
        <v>1087</v>
      </c>
      <c r="AS211" s="12"/>
      <c r="AT211" s="10" t="s">
        <v>1088</v>
      </c>
      <c r="AU211" s="11"/>
      <c r="AV211" s="13"/>
    </row>
    <row r="212" ht="16.5" hidden="1" customHeight="1">
      <c r="A212" s="7" t="s">
        <v>1090</v>
      </c>
      <c r="B212" s="14" t="s">
        <v>49</v>
      </c>
      <c r="C212" s="14" t="s">
        <v>919</v>
      </c>
      <c r="D212" s="14" t="s">
        <v>926</v>
      </c>
      <c r="E212" s="7"/>
      <c r="F212" s="7">
        <v>6597.0</v>
      </c>
      <c r="G212" s="7">
        <v>6596.0</v>
      </c>
      <c r="H212" s="7" t="s">
        <v>53</v>
      </c>
      <c r="I212" s="7"/>
      <c r="J212" s="7"/>
      <c r="K212" s="8" t="s">
        <v>55</v>
      </c>
      <c r="L212" s="8" t="s">
        <v>55</v>
      </c>
      <c r="M212" s="12" t="s">
        <v>55</v>
      </c>
      <c r="N212" s="8" t="s">
        <v>55</v>
      </c>
      <c r="O212" s="8" t="s">
        <v>228</v>
      </c>
      <c r="P212" s="8" t="s">
        <v>229</v>
      </c>
      <c r="Q212" s="8" t="s">
        <v>49</v>
      </c>
      <c r="R212" s="8" t="s">
        <v>49</v>
      </c>
      <c r="S212" s="8" t="s">
        <v>49</v>
      </c>
      <c r="T212" s="8" t="s">
        <v>49</v>
      </c>
      <c r="U212" s="8" t="s">
        <v>49</v>
      </c>
      <c r="V212" s="8" t="s">
        <v>49</v>
      </c>
      <c r="W212" s="8" t="s">
        <v>49</v>
      </c>
      <c r="X212" s="8" t="s">
        <v>55</v>
      </c>
      <c r="Y212" s="8" t="s">
        <v>55</v>
      </c>
      <c r="Z212" s="8" t="s">
        <v>55</v>
      </c>
      <c r="AA212" s="8" t="s">
        <v>231</v>
      </c>
      <c r="AB212" s="8" t="s">
        <v>60</v>
      </c>
      <c r="AC212" s="8" t="s">
        <v>55</v>
      </c>
      <c r="AD212" s="8" t="s">
        <v>1084</v>
      </c>
      <c r="AE212" s="8" t="s">
        <v>55</v>
      </c>
      <c r="AF212" s="8" t="s">
        <v>55</v>
      </c>
      <c r="AG212" s="8" t="s">
        <v>145</v>
      </c>
      <c r="AH212" s="8" t="s">
        <v>55</v>
      </c>
      <c r="AI212" s="8" t="s">
        <v>65</v>
      </c>
      <c r="AJ212" s="8" t="s">
        <v>49</v>
      </c>
      <c r="AK212" s="8" t="s">
        <v>55</v>
      </c>
      <c r="AL212" s="8" t="s">
        <v>720</v>
      </c>
      <c r="AM212" s="8" t="s">
        <v>1044</v>
      </c>
      <c r="AN212" s="9" t="s">
        <v>1091</v>
      </c>
      <c r="AO212" s="9" t="s">
        <v>1092</v>
      </c>
      <c r="AP212" s="17" t="s">
        <v>1051</v>
      </c>
      <c r="AQ212" s="11"/>
      <c r="AR212" s="10" t="s">
        <v>1087</v>
      </c>
      <c r="AS212" s="12"/>
      <c r="AT212" s="10" t="s">
        <v>1088</v>
      </c>
      <c r="AU212" s="11"/>
      <c r="AV212" s="15">
        <v>46315.0</v>
      </c>
    </row>
    <row r="213" ht="16.5" hidden="1" customHeight="1">
      <c r="A213" s="7" t="s">
        <v>1093</v>
      </c>
      <c r="B213" s="7" t="s">
        <v>49</v>
      </c>
      <c r="C213" s="7" t="s">
        <v>919</v>
      </c>
      <c r="D213" s="7" t="s">
        <v>926</v>
      </c>
      <c r="E213" s="7" t="s">
        <v>227</v>
      </c>
      <c r="F213" s="7">
        <v>6598.0</v>
      </c>
      <c r="G213" s="7"/>
      <c r="H213" s="7" t="s">
        <v>53</v>
      </c>
      <c r="I213" s="7"/>
      <c r="J213" s="7"/>
      <c r="K213" s="8" t="s">
        <v>55</v>
      </c>
      <c r="L213" s="8" t="s">
        <v>55</v>
      </c>
      <c r="M213" s="8"/>
      <c r="N213" s="8" t="s">
        <v>55</v>
      </c>
      <c r="O213" s="8" t="s">
        <v>228</v>
      </c>
      <c r="P213" s="8" t="s">
        <v>229</v>
      </c>
      <c r="Q213" s="8" t="s">
        <v>49</v>
      </c>
      <c r="R213" s="8" t="s">
        <v>49</v>
      </c>
      <c r="S213" s="8" t="s">
        <v>49</v>
      </c>
      <c r="T213" s="8" t="s">
        <v>49</v>
      </c>
      <c r="U213" s="8" t="s">
        <v>49</v>
      </c>
      <c r="V213" s="8" t="s">
        <v>49</v>
      </c>
      <c r="W213" s="8" t="s">
        <v>49</v>
      </c>
      <c r="X213" s="8" t="s">
        <v>49</v>
      </c>
      <c r="Y213" s="8" t="s">
        <v>49</v>
      </c>
      <c r="Z213" s="8" t="s">
        <v>49</v>
      </c>
      <c r="AA213" s="8" t="s">
        <v>231</v>
      </c>
      <c r="AB213" s="8" t="s">
        <v>60</v>
      </c>
      <c r="AC213" s="8" t="s">
        <v>55</v>
      </c>
      <c r="AD213" s="8" t="s">
        <v>1094</v>
      </c>
      <c r="AE213" s="8" t="s">
        <v>55</v>
      </c>
      <c r="AF213" s="8" t="s">
        <v>55</v>
      </c>
      <c r="AG213" s="8" t="s">
        <v>145</v>
      </c>
      <c r="AH213" s="8" t="s">
        <v>55</v>
      </c>
      <c r="AI213" s="8" t="s">
        <v>463</v>
      </c>
      <c r="AJ213" s="8" t="s">
        <v>49</v>
      </c>
      <c r="AK213" s="8" t="s">
        <v>49</v>
      </c>
      <c r="AL213" s="8" t="s">
        <v>720</v>
      </c>
      <c r="AM213" s="8" t="s">
        <v>1044</v>
      </c>
      <c r="AN213" s="9" t="s">
        <v>1095</v>
      </c>
      <c r="AO213" s="9" t="s">
        <v>1096</v>
      </c>
      <c r="AP213" s="18" t="s">
        <v>1047</v>
      </c>
      <c r="AQ213" s="11"/>
      <c r="AR213" s="10" t="s">
        <v>1097</v>
      </c>
      <c r="AS213" s="12"/>
      <c r="AT213" s="10" t="s">
        <v>1098</v>
      </c>
      <c r="AU213" s="11"/>
      <c r="AV213" s="13"/>
    </row>
    <row r="214" ht="16.5" hidden="1" customHeight="1">
      <c r="A214" s="7" t="s">
        <v>1099</v>
      </c>
      <c r="B214" s="7" t="s">
        <v>49</v>
      </c>
      <c r="C214" s="7" t="s">
        <v>919</v>
      </c>
      <c r="D214" s="7" t="s">
        <v>926</v>
      </c>
      <c r="E214" s="7" t="s">
        <v>227</v>
      </c>
      <c r="F214" s="7">
        <v>6598.0</v>
      </c>
      <c r="G214" s="7">
        <v>6598.0</v>
      </c>
      <c r="H214" s="7" t="s">
        <v>53</v>
      </c>
      <c r="I214" s="7"/>
      <c r="J214" s="7"/>
      <c r="K214" s="8" t="s">
        <v>55</v>
      </c>
      <c r="L214" s="8" t="s">
        <v>55</v>
      </c>
      <c r="M214" s="12" t="s">
        <v>55</v>
      </c>
      <c r="N214" s="8" t="s">
        <v>55</v>
      </c>
      <c r="O214" s="8" t="s">
        <v>228</v>
      </c>
      <c r="P214" s="8" t="s">
        <v>229</v>
      </c>
      <c r="Q214" s="8" t="s">
        <v>49</v>
      </c>
      <c r="R214" s="8" t="s">
        <v>49</v>
      </c>
      <c r="S214" s="8" t="s">
        <v>49</v>
      </c>
      <c r="T214" s="8" t="s">
        <v>49</v>
      </c>
      <c r="U214" s="8" t="s">
        <v>49</v>
      </c>
      <c r="V214" s="8" t="s">
        <v>49</v>
      </c>
      <c r="W214" s="8" t="s">
        <v>49</v>
      </c>
      <c r="X214" s="8" t="s">
        <v>55</v>
      </c>
      <c r="Y214" s="8" t="s">
        <v>55</v>
      </c>
      <c r="Z214" s="8" t="s">
        <v>55</v>
      </c>
      <c r="AA214" s="8" t="s">
        <v>231</v>
      </c>
      <c r="AB214" s="8" t="s">
        <v>60</v>
      </c>
      <c r="AC214" s="8" t="s">
        <v>55</v>
      </c>
      <c r="AD214" s="8" t="s">
        <v>1094</v>
      </c>
      <c r="AE214" s="8" t="s">
        <v>55</v>
      </c>
      <c r="AF214" s="8" t="s">
        <v>55</v>
      </c>
      <c r="AG214" s="8" t="s">
        <v>145</v>
      </c>
      <c r="AH214" s="8" t="s">
        <v>55</v>
      </c>
      <c r="AI214" s="8" t="s">
        <v>463</v>
      </c>
      <c r="AJ214" s="8" t="s">
        <v>49</v>
      </c>
      <c r="AK214" s="8" t="s">
        <v>55</v>
      </c>
      <c r="AL214" s="8" t="s">
        <v>720</v>
      </c>
      <c r="AM214" s="8" t="s">
        <v>1044</v>
      </c>
      <c r="AN214" s="16" t="s">
        <v>1095</v>
      </c>
      <c r="AO214" s="9" t="s">
        <v>1096</v>
      </c>
      <c r="AP214" s="17" t="s">
        <v>1051</v>
      </c>
      <c r="AQ214" s="11"/>
      <c r="AR214" s="10" t="s">
        <v>1097</v>
      </c>
      <c r="AS214" s="12"/>
      <c r="AT214" s="10" t="s">
        <v>1098</v>
      </c>
      <c r="AU214" s="11"/>
      <c r="AV214" s="13"/>
    </row>
    <row r="215" ht="16.5" hidden="1" customHeight="1">
      <c r="A215" s="7" t="s">
        <v>1100</v>
      </c>
      <c r="B215" s="14" t="s">
        <v>49</v>
      </c>
      <c r="C215" s="14" t="s">
        <v>919</v>
      </c>
      <c r="D215" s="14" t="s">
        <v>926</v>
      </c>
      <c r="E215" s="7"/>
      <c r="F215" s="7">
        <v>6599.0</v>
      </c>
      <c r="G215" s="7">
        <v>6598.0</v>
      </c>
      <c r="H215" s="7" t="s">
        <v>53</v>
      </c>
      <c r="I215" s="7"/>
      <c r="J215" s="7"/>
      <c r="K215" s="8" t="s">
        <v>55</v>
      </c>
      <c r="L215" s="8" t="s">
        <v>55</v>
      </c>
      <c r="M215" s="12" t="s">
        <v>55</v>
      </c>
      <c r="N215" s="8" t="s">
        <v>55</v>
      </c>
      <c r="O215" s="8" t="s">
        <v>228</v>
      </c>
      <c r="P215" s="8" t="s">
        <v>229</v>
      </c>
      <c r="Q215" s="8" t="s">
        <v>49</v>
      </c>
      <c r="R215" s="8" t="s">
        <v>49</v>
      </c>
      <c r="S215" s="8" t="s">
        <v>49</v>
      </c>
      <c r="T215" s="8" t="s">
        <v>49</v>
      </c>
      <c r="U215" s="8" t="s">
        <v>49</v>
      </c>
      <c r="V215" s="8" t="s">
        <v>49</v>
      </c>
      <c r="W215" s="8" t="s">
        <v>49</v>
      </c>
      <c r="X215" s="8" t="s">
        <v>55</v>
      </c>
      <c r="Y215" s="8" t="s">
        <v>55</v>
      </c>
      <c r="Z215" s="8" t="s">
        <v>55</v>
      </c>
      <c r="AA215" s="8" t="s">
        <v>231</v>
      </c>
      <c r="AB215" s="8" t="s">
        <v>60</v>
      </c>
      <c r="AC215" s="8" t="s">
        <v>55</v>
      </c>
      <c r="AD215" s="8" t="s">
        <v>1094</v>
      </c>
      <c r="AE215" s="8" t="s">
        <v>55</v>
      </c>
      <c r="AF215" s="8" t="s">
        <v>55</v>
      </c>
      <c r="AG215" s="8" t="s">
        <v>145</v>
      </c>
      <c r="AH215" s="8" t="s">
        <v>55</v>
      </c>
      <c r="AI215" s="8" t="s">
        <v>65</v>
      </c>
      <c r="AJ215" s="8" t="s">
        <v>49</v>
      </c>
      <c r="AK215" s="8" t="s">
        <v>55</v>
      </c>
      <c r="AL215" s="8" t="s">
        <v>720</v>
      </c>
      <c r="AM215" s="8" t="s">
        <v>1044</v>
      </c>
      <c r="AN215" s="9" t="s">
        <v>1101</v>
      </c>
      <c r="AO215" s="9" t="s">
        <v>1102</v>
      </c>
      <c r="AP215" s="17" t="s">
        <v>1051</v>
      </c>
      <c r="AQ215" s="11"/>
      <c r="AR215" s="10" t="s">
        <v>1097</v>
      </c>
      <c r="AS215" s="12"/>
      <c r="AT215" s="10" t="s">
        <v>1098</v>
      </c>
      <c r="AU215" s="11"/>
      <c r="AV215" s="13"/>
    </row>
    <row r="216" ht="16.5" hidden="1" customHeight="1">
      <c r="A216" s="7" t="s">
        <v>1103</v>
      </c>
      <c r="B216" s="7" t="s">
        <v>49</v>
      </c>
      <c r="C216" s="7" t="s">
        <v>919</v>
      </c>
      <c r="D216" s="7" t="s">
        <v>926</v>
      </c>
      <c r="E216" s="7" t="s">
        <v>227</v>
      </c>
      <c r="F216" s="7">
        <v>6600.0</v>
      </c>
      <c r="G216" s="7"/>
      <c r="H216" s="7" t="s">
        <v>53</v>
      </c>
      <c r="I216" s="7"/>
      <c r="J216" s="7"/>
      <c r="K216" s="8" t="s">
        <v>55</v>
      </c>
      <c r="L216" s="8" t="s">
        <v>55</v>
      </c>
      <c r="M216" s="8"/>
      <c r="N216" s="8" t="s">
        <v>55</v>
      </c>
      <c r="O216" s="8" t="s">
        <v>228</v>
      </c>
      <c r="P216" s="8" t="s">
        <v>229</v>
      </c>
      <c r="Q216" s="8" t="s">
        <v>49</v>
      </c>
      <c r="R216" s="8" t="s">
        <v>49</v>
      </c>
      <c r="S216" s="8" t="s">
        <v>49</v>
      </c>
      <c r="T216" s="8" t="s">
        <v>49</v>
      </c>
      <c r="U216" s="8" t="s">
        <v>49</v>
      </c>
      <c r="V216" s="8" t="s">
        <v>49</v>
      </c>
      <c r="W216" s="8" t="s">
        <v>49</v>
      </c>
      <c r="X216" s="8" t="s">
        <v>49</v>
      </c>
      <c r="Y216" s="8" t="s">
        <v>49</v>
      </c>
      <c r="Z216" s="8" t="s">
        <v>49</v>
      </c>
      <c r="AA216" s="8" t="s">
        <v>231</v>
      </c>
      <c r="AB216" s="8" t="s">
        <v>60</v>
      </c>
      <c r="AC216" s="8" t="s">
        <v>55</v>
      </c>
      <c r="AD216" s="8" t="s">
        <v>1104</v>
      </c>
      <c r="AE216" s="8" t="s">
        <v>55</v>
      </c>
      <c r="AF216" s="8" t="s">
        <v>55</v>
      </c>
      <c r="AG216" s="8" t="s">
        <v>145</v>
      </c>
      <c r="AH216" s="8" t="s">
        <v>55</v>
      </c>
      <c r="AI216" s="8" t="s">
        <v>463</v>
      </c>
      <c r="AJ216" s="8" t="s">
        <v>49</v>
      </c>
      <c r="AK216" s="8" t="s">
        <v>49</v>
      </c>
      <c r="AL216" s="8" t="s">
        <v>720</v>
      </c>
      <c r="AM216" s="8" t="s">
        <v>1044</v>
      </c>
      <c r="AN216" s="9" t="s">
        <v>1105</v>
      </c>
      <c r="AO216" s="9" t="s">
        <v>1106</v>
      </c>
      <c r="AP216" s="18" t="s">
        <v>1047</v>
      </c>
      <c r="AQ216" s="11"/>
      <c r="AR216" s="10" t="s">
        <v>1107</v>
      </c>
      <c r="AS216" s="12"/>
      <c r="AT216" s="10" t="s">
        <v>1108</v>
      </c>
      <c r="AU216" s="11"/>
      <c r="AV216" s="13"/>
    </row>
    <row r="217" ht="16.5" hidden="1" customHeight="1">
      <c r="A217" s="7" t="s">
        <v>1109</v>
      </c>
      <c r="B217" s="7" t="s">
        <v>49</v>
      </c>
      <c r="C217" s="7" t="s">
        <v>919</v>
      </c>
      <c r="D217" s="7" t="s">
        <v>926</v>
      </c>
      <c r="E217" s="7" t="s">
        <v>227</v>
      </c>
      <c r="F217" s="7">
        <v>6600.0</v>
      </c>
      <c r="G217" s="7">
        <v>6600.0</v>
      </c>
      <c r="H217" s="7" t="s">
        <v>53</v>
      </c>
      <c r="I217" s="7"/>
      <c r="J217" s="7"/>
      <c r="K217" s="8" t="s">
        <v>55</v>
      </c>
      <c r="L217" s="8" t="s">
        <v>55</v>
      </c>
      <c r="M217" s="12" t="s">
        <v>55</v>
      </c>
      <c r="N217" s="8" t="s">
        <v>55</v>
      </c>
      <c r="O217" s="8" t="s">
        <v>228</v>
      </c>
      <c r="P217" s="8" t="s">
        <v>229</v>
      </c>
      <c r="Q217" s="8" t="s">
        <v>49</v>
      </c>
      <c r="R217" s="8" t="s">
        <v>49</v>
      </c>
      <c r="S217" s="8" t="s">
        <v>49</v>
      </c>
      <c r="T217" s="8" t="s">
        <v>49</v>
      </c>
      <c r="U217" s="8" t="s">
        <v>49</v>
      </c>
      <c r="V217" s="8" t="s">
        <v>49</v>
      </c>
      <c r="W217" s="8" t="s">
        <v>49</v>
      </c>
      <c r="X217" s="8" t="s">
        <v>55</v>
      </c>
      <c r="Y217" s="8" t="s">
        <v>55</v>
      </c>
      <c r="Z217" s="8" t="s">
        <v>55</v>
      </c>
      <c r="AA217" s="8" t="s">
        <v>231</v>
      </c>
      <c r="AB217" s="8" t="s">
        <v>60</v>
      </c>
      <c r="AC217" s="8" t="s">
        <v>55</v>
      </c>
      <c r="AD217" s="8" t="s">
        <v>1104</v>
      </c>
      <c r="AE217" s="8" t="s">
        <v>55</v>
      </c>
      <c r="AF217" s="8" t="s">
        <v>55</v>
      </c>
      <c r="AG217" s="8" t="s">
        <v>145</v>
      </c>
      <c r="AH217" s="8" t="s">
        <v>55</v>
      </c>
      <c r="AI217" s="8" t="s">
        <v>463</v>
      </c>
      <c r="AJ217" s="8" t="s">
        <v>49</v>
      </c>
      <c r="AK217" s="8" t="s">
        <v>55</v>
      </c>
      <c r="AL217" s="8" t="s">
        <v>720</v>
      </c>
      <c r="AM217" s="8" t="s">
        <v>1044</v>
      </c>
      <c r="AN217" s="9" t="s">
        <v>1105</v>
      </c>
      <c r="AO217" s="9" t="s">
        <v>1106</v>
      </c>
      <c r="AP217" s="17" t="s">
        <v>1051</v>
      </c>
      <c r="AQ217" s="11"/>
      <c r="AR217" s="10" t="s">
        <v>1107</v>
      </c>
      <c r="AS217" s="12"/>
      <c r="AT217" s="10" t="s">
        <v>1108</v>
      </c>
      <c r="AU217" s="11"/>
      <c r="AV217" s="13"/>
    </row>
    <row r="218" ht="16.5" hidden="1" customHeight="1">
      <c r="A218" s="7" t="s">
        <v>1110</v>
      </c>
      <c r="B218" s="14" t="s">
        <v>49</v>
      </c>
      <c r="C218" s="14" t="s">
        <v>919</v>
      </c>
      <c r="D218" s="14" t="s">
        <v>926</v>
      </c>
      <c r="E218" s="7"/>
      <c r="F218" s="7">
        <v>6601.0</v>
      </c>
      <c r="G218" s="7">
        <v>6600.0</v>
      </c>
      <c r="H218" s="7" t="s">
        <v>53</v>
      </c>
      <c r="I218" s="7"/>
      <c r="J218" s="7"/>
      <c r="K218" s="8" t="s">
        <v>55</v>
      </c>
      <c r="L218" s="8" t="s">
        <v>55</v>
      </c>
      <c r="M218" s="12" t="s">
        <v>55</v>
      </c>
      <c r="N218" s="8" t="s">
        <v>55</v>
      </c>
      <c r="O218" s="8" t="s">
        <v>228</v>
      </c>
      <c r="P218" s="8" t="s">
        <v>229</v>
      </c>
      <c r="Q218" s="8" t="s">
        <v>49</v>
      </c>
      <c r="R218" s="8" t="s">
        <v>49</v>
      </c>
      <c r="S218" s="8" t="s">
        <v>49</v>
      </c>
      <c r="T218" s="8" t="s">
        <v>49</v>
      </c>
      <c r="U218" s="8" t="s">
        <v>49</v>
      </c>
      <c r="V218" s="8" t="s">
        <v>49</v>
      </c>
      <c r="W218" s="8" t="s">
        <v>49</v>
      </c>
      <c r="X218" s="8" t="s">
        <v>55</v>
      </c>
      <c r="Y218" s="8" t="s">
        <v>55</v>
      </c>
      <c r="Z218" s="8" t="s">
        <v>55</v>
      </c>
      <c r="AA218" s="8" t="s">
        <v>231</v>
      </c>
      <c r="AB218" s="8" t="s">
        <v>60</v>
      </c>
      <c r="AC218" s="8" t="s">
        <v>55</v>
      </c>
      <c r="AD218" s="8" t="s">
        <v>1104</v>
      </c>
      <c r="AE218" s="8" t="s">
        <v>55</v>
      </c>
      <c r="AF218" s="8" t="s">
        <v>55</v>
      </c>
      <c r="AG218" s="8" t="s">
        <v>145</v>
      </c>
      <c r="AH218" s="8" t="s">
        <v>55</v>
      </c>
      <c r="AI218" s="8" t="s">
        <v>65</v>
      </c>
      <c r="AJ218" s="8" t="s">
        <v>49</v>
      </c>
      <c r="AK218" s="8" t="s">
        <v>55</v>
      </c>
      <c r="AL218" s="8" t="s">
        <v>720</v>
      </c>
      <c r="AM218" s="8" t="s">
        <v>1044</v>
      </c>
      <c r="AN218" s="9" t="s">
        <v>1111</v>
      </c>
      <c r="AO218" s="9" t="s">
        <v>1112</v>
      </c>
      <c r="AP218" s="17" t="s">
        <v>1051</v>
      </c>
      <c r="AQ218" s="11"/>
      <c r="AR218" s="10" t="s">
        <v>1107</v>
      </c>
      <c r="AS218" s="12"/>
      <c r="AT218" s="10" t="s">
        <v>1108</v>
      </c>
      <c r="AU218" s="11"/>
      <c r="AV218" s="15">
        <v>46315.0</v>
      </c>
    </row>
    <row r="219" ht="16.5" hidden="1" customHeight="1">
      <c r="A219" s="7" t="s">
        <v>1113</v>
      </c>
      <c r="B219" s="7" t="s">
        <v>49</v>
      </c>
      <c r="C219" s="7" t="s">
        <v>919</v>
      </c>
      <c r="D219" s="7" t="s">
        <v>926</v>
      </c>
      <c r="E219" s="7" t="s">
        <v>227</v>
      </c>
      <c r="F219" s="7">
        <v>6602.0</v>
      </c>
      <c r="G219" s="7"/>
      <c r="H219" s="7" t="s">
        <v>53</v>
      </c>
      <c r="I219" s="7"/>
      <c r="J219" s="7"/>
      <c r="K219" s="8" t="s">
        <v>55</v>
      </c>
      <c r="L219" s="8" t="s">
        <v>55</v>
      </c>
      <c r="M219" s="8"/>
      <c r="N219" s="8" t="s">
        <v>55</v>
      </c>
      <c r="O219" s="8" t="s">
        <v>228</v>
      </c>
      <c r="P219" s="8" t="s">
        <v>229</v>
      </c>
      <c r="Q219" s="8" t="s">
        <v>49</v>
      </c>
      <c r="R219" s="8" t="s">
        <v>49</v>
      </c>
      <c r="S219" s="8" t="s">
        <v>49</v>
      </c>
      <c r="T219" s="8" t="s">
        <v>49</v>
      </c>
      <c r="U219" s="8" t="s">
        <v>49</v>
      </c>
      <c r="V219" s="8" t="s">
        <v>49</v>
      </c>
      <c r="W219" s="8" t="s">
        <v>49</v>
      </c>
      <c r="X219" s="8" t="s">
        <v>49</v>
      </c>
      <c r="Y219" s="8" t="s">
        <v>49</v>
      </c>
      <c r="Z219" s="8" t="s">
        <v>49</v>
      </c>
      <c r="AA219" s="8" t="s">
        <v>231</v>
      </c>
      <c r="AB219" s="8" t="s">
        <v>60</v>
      </c>
      <c r="AC219" s="8" t="s">
        <v>55</v>
      </c>
      <c r="AD219" s="8" t="s">
        <v>1114</v>
      </c>
      <c r="AE219" s="8" t="s">
        <v>55</v>
      </c>
      <c r="AF219" s="8" t="s">
        <v>55</v>
      </c>
      <c r="AG219" s="8" t="s">
        <v>145</v>
      </c>
      <c r="AH219" s="8" t="s">
        <v>55</v>
      </c>
      <c r="AI219" s="8" t="s">
        <v>463</v>
      </c>
      <c r="AJ219" s="8" t="s">
        <v>49</v>
      </c>
      <c r="AK219" s="8" t="s">
        <v>49</v>
      </c>
      <c r="AL219" s="8" t="s">
        <v>720</v>
      </c>
      <c r="AM219" s="8" t="s">
        <v>1044</v>
      </c>
      <c r="AN219" s="9" t="s">
        <v>1115</v>
      </c>
      <c r="AO219" s="9" t="s">
        <v>1116</v>
      </c>
      <c r="AP219" s="18" t="s">
        <v>1047</v>
      </c>
      <c r="AQ219" s="11"/>
      <c r="AR219" s="10" t="s">
        <v>1117</v>
      </c>
      <c r="AS219" s="12"/>
      <c r="AT219" s="10" t="s">
        <v>1118</v>
      </c>
      <c r="AU219" s="11"/>
      <c r="AV219" s="13"/>
    </row>
    <row r="220" ht="16.5" hidden="1" customHeight="1">
      <c r="A220" s="7" t="s">
        <v>1119</v>
      </c>
      <c r="B220" s="7" t="s">
        <v>49</v>
      </c>
      <c r="C220" s="7" t="s">
        <v>919</v>
      </c>
      <c r="D220" s="7" t="s">
        <v>926</v>
      </c>
      <c r="E220" s="7" t="s">
        <v>227</v>
      </c>
      <c r="F220" s="7">
        <v>6602.0</v>
      </c>
      <c r="G220" s="7">
        <v>6602.0</v>
      </c>
      <c r="H220" s="7" t="s">
        <v>53</v>
      </c>
      <c r="I220" s="7"/>
      <c r="J220" s="7"/>
      <c r="K220" s="8" t="s">
        <v>55</v>
      </c>
      <c r="L220" s="8" t="s">
        <v>55</v>
      </c>
      <c r="M220" s="12" t="s">
        <v>55</v>
      </c>
      <c r="N220" s="8" t="s">
        <v>55</v>
      </c>
      <c r="O220" s="8" t="s">
        <v>228</v>
      </c>
      <c r="P220" s="8" t="s">
        <v>229</v>
      </c>
      <c r="Q220" s="8" t="s">
        <v>49</v>
      </c>
      <c r="R220" s="8" t="s">
        <v>49</v>
      </c>
      <c r="S220" s="8" t="s">
        <v>49</v>
      </c>
      <c r="T220" s="8" t="s">
        <v>49</v>
      </c>
      <c r="U220" s="8" t="s">
        <v>49</v>
      </c>
      <c r="V220" s="8" t="s">
        <v>49</v>
      </c>
      <c r="W220" s="8" t="s">
        <v>49</v>
      </c>
      <c r="X220" s="8" t="s">
        <v>55</v>
      </c>
      <c r="Y220" s="8" t="s">
        <v>55</v>
      </c>
      <c r="Z220" s="8" t="s">
        <v>55</v>
      </c>
      <c r="AA220" s="8" t="s">
        <v>231</v>
      </c>
      <c r="AB220" s="8" t="s">
        <v>60</v>
      </c>
      <c r="AC220" s="8" t="s">
        <v>55</v>
      </c>
      <c r="AD220" s="8" t="s">
        <v>1114</v>
      </c>
      <c r="AE220" s="8" t="s">
        <v>55</v>
      </c>
      <c r="AF220" s="8" t="s">
        <v>55</v>
      </c>
      <c r="AG220" s="8" t="s">
        <v>145</v>
      </c>
      <c r="AH220" s="8" t="s">
        <v>55</v>
      </c>
      <c r="AI220" s="8" t="s">
        <v>463</v>
      </c>
      <c r="AJ220" s="8" t="s">
        <v>49</v>
      </c>
      <c r="AK220" s="8" t="s">
        <v>55</v>
      </c>
      <c r="AL220" s="8" t="s">
        <v>720</v>
      </c>
      <c r="AM220" s="8" t="s">
        <v>1044</v>
      </c>
      <c r="AN220" s="16" t="s">
        <v>1115</v>
      </c>
      <c r="AO220" s="9" t="s">
        <v>1116</v>
      </c>
      <c r="AP220" s="17" t="s">
        <v>1051</v>
      </c>
      <c r="AQ220" s="11"/>
      <c r="AR220" s="10" t="s">
        <v>1117</v>
      </c>
      <c r="AS220" s="12"/>
      <c r="AT220" s="10" t="s">
        <v>1118</v>
      </c>
      <c r="AU220" s="11"/>
      <c r="AV220" s="13"/>
    </row>
    <row r="221" ht="16.5" hidden="1" customHeight="1">
      <c r="A221" s="7" t="s">
        <v>1120</v>
      </c>
      <c r="B221" s="14" t="s">
        <v>49</v>
      </c>
      <c r="C221" s="14" t="s">
        <v>919</v>
      </c>
      <c r="D221" s="14" t="s">
        <v>926</v>
      </c>
      <c r="E221" s="7"/>
      <c r="F221" s="7">
        <v>6603.0</v>
      </c>
      <c r="G221" s="7">
        <v>6602.0</v>
      </c>
      <c r="H221" s="7" t="s">
        <v>53</v>
      </c>
      <c r="I221" s="7"/>
      <c r="J221" s="7"/>
      <c r="K221" s="8" t="s">
        <v>55</v>
      </c>
      <c r="L221" s="8" t="s">
        <v>55</v>
      </c>
      <c r="M221" s="12" t="s">
        <v>55</v>
      </c>
      <c r="N221" s="8" t="s">
        <v>55</v>
      </c>
      <c r="O221" s="8" t="s">
        <v>228</v>
      </c>
      <c r="P221" s="8" t="s">
        <v>229</v>
      </c>
      <c r="Q221" s="8" t="s">
        <v>49</v>
      </c>
      <c r="R221" s="8" t="s">
        <v>49</v>
      </c>
      <c r="S221" s="8" t="s">
        <v>49</v>
      </c>
      <c r="T221" s="8" t="s">
        <v>49</v>
      </c>
      <c r="U221" s="8" t="s">
        <v>49</v>
      </c>
      <c r="V221" s="8" t="s">
        <v>49</v>
      </c>
      <c r="W221" s="8" t="s">
        <v>49</v>
      </c>
      <c r="X221" s="8" t="s">
        <v>55</v>
      </c>
      <c r="Y221" s="8" t="s">
        <v>55</v>
      </c>
      <c r="Z221" s="8" t="s">
        <v>55</v>
      </c>
      <c r="AA221" s="8" t="s">
        <v>231</v>
      </c>
      <c r="AB221" s="8" t="s">
        <v>60</v>
      </c>
      <c r="AC221" s="8" t="s">
        <v>55</v>
      </c>
      <c r="AD221" s="8" t="s">
        <v>1114</v>
      </c>
      <c r="AE221" s="8" t="s">
        <v>55</v>
      </c>
      <c r="AF221" s="8" t="s">
        <v>55</v>
      </c>
      <c r="AG221" s="8" t="s">
        <v>145</v>
      </c>
      <c r="AH221" s="8" t="s">
        <v>55</v>
      </c>
      <c r="AI221" s="8" t="s">
        <v>65</v>
      </c>
      <c r="AJ221" s="8" t="s">
        <v>49</v>
      </c>
      <c r="AK221" s="8" t="s">
        <v>55</v>
      </c>
      <c r="AL221" s="8" t="s">
        <v>720</v>
      </c>
      <c r="AM221" s="8" t="s">
        <v>1044</v>
      </c>
      <c r="AN221" s="9" t="s">
        <v>1121</v>
      </c>
      <c r="AO221" s="9" t="s">
        <v>1122</v>
      </c>
      <c r="AP221" s="17" t="s">
        <v>1051</v>
      </c>
      <c r="AQ221" s="11"/>
      <c r="AR221" s="10" t="s">
        <v>1117</v>
      </c>
      <c r="AS221" s="12"/>
      <c r="AT221" s="10" t="s">
        <v>1118</v>
      </c>
      <c r="AU221" s="11"/>
      <c r="AV221" s="13"/>
    </row>
    <row r="222" ht="16.5" hidden="1" customHeight="1">
      <c r="A222" s="7" t="s">
        <v>1123</v>
      </c>
      <c r="B222" s="7" t="s">
        <v>49</v>
      </c>
      <c r="C222" s="7" t="s">
        <v>919</v>
      </c>
      <c r="D222" s="7" t="s">
        <v>926</v>
      </c>
      <c r="E222" s="7" t="s">
        <v>227</v>
      </c>
      <c r="F222" s="7">
        <v>6604.0</v>
      </c>
      <c r="G222" s="7"/>
      <c r="H222" s="7" t="s">
        <v>53</v>
      </c>
      <c r="I222" s="7"/>
      <c r="J222" s="7"/>
      <c r="K222" s="8" t="s">
        <v>55</v>
      </c>
      <c r="L222" s="8" t="s">
        <v>55</v>
      </c>
      <c r="M222" s="8"/>
      <c r="N222" s="8" t="s">
        <v>55</v>
      </c>
      <c r="O222" s="8" t="s">
        <v>228</v>
      </c>
      <c r="P222" s="8" t="s">
        <v>229</v>
      </c>
      <c r="Q222" s="8" t="s">
        <v>49</v>
      </c>
      <c r="R222" s="8" t="s">
        <v>49</v>
      </c>
      <c r="S222" s="8" t="s">
        <v>49</v>
      </c>
      <c r="T222" s="8" t="s">
        <v>49</v>
      </c>
      <c r="U222" s="8" t="s">
        <v>49</v>
      </c>
      <c r="V222" s="8" t="s">
        <v>49</v>
      </c>
      <c r="W222" s="8" t="s">
        <v>49</v>
      </c>
      <c r="X222" s="8" t="s">
        <v>49</v>
      </c>
      <c r="Y222" s="8" t="s">
        <v>49</v>
      </c>
      <c r="Z222" s="8" t="s">
        <v>49</v>
      </c>
      <c r="AA222" s="8" t="s">
        <v>231</v>
      </c>
      <c r="AB222" s="8" t="s">
        <v>60</v>
      </c>
      <c r="AC222" s="8" t="s">
        <v>55</v>
      </c>
      <c r="AD222" s="8" t="s">
        <v>1124</v>
      </c>
      <c r="AE222" s="8" t="s">
        <v>55</v>
      </c>
      <c r="AF222" s="8" t="s">
        <v>55</v>
      </c>
      <c r="AG222" s="8" t="s">
        <v>145</v>
      </c>
      <c r="AH222" s="8" t="s">
        <v>55</v>
      </c>
      <c r="AI222" s="8" t="s">
        <v>463</v>
      </c>
      <c r="AJ222" s="8" t="s">
        <v>49</v>
      </c>
      <c r="AK222" s="8" t="s">
        <v>49</v>
      </c>
      <c r="AL222" s="8" t="s">
        <v>720</v>
      </c>
      <c r="AM222" s="8" t="s">
        <v>1044</v>
      </c>
      <c r="AN222" s="9" t="s">
        <v>1125</v>
      </c>
      <c r="AO222" s="9" t="s">
        <v>1126</v>
      </c>
      <c r="AP222" s="18" t="s">
        <v>1047</v>
      </c>
      <c r="AQ222" s="11"/>
      <c r="AR222" s="10" t="s">
        <v>1127</v>
      </c>
      <c r="AS222" s="12"/>
      <c r="AT222" s="10" t="s">
        <v>1128</v>
      </c>
      <c r="AU222" s="11"/>
      <c r="AV222" s="13"/>
    </row>
    <row r="223" ht="16.5" hidden="1" customHeight="1">
      <c r="A223" s="7" t="s">
        <v>1129</v>
      </c>
      <c r="B223" s="7" t="s">
        <v>49</v>
      </c>
      <c r="C223" s="7" t="s">
        <v>919</v>
      </c>
      <c r="D223" s="7" t="s">
        <v>926</v>
      </c>
      <c r="E223" s="7" t="s">
        <v>227</v>
      </c>
      <c r="F223" s="7">
        <v>6604.0</v>
      </c>
      <c r="G223" s="7">
        <v>6604.0</v>
      </c>
      <c r="H223" s="7" t="s">
        <v>53</v>
      </c>
      <c r="I223" s="7"/>
      <c r="J223" s="7"/>
      <c r="K223" s="8" t="s">
        <v>55</v>
      </c>
      <c r="L223" s="8" t="s">
        <v>55</v>
      </c>
      <c r="M223" s="12" t="s">
        <v>55</v>
      </c>
      <c r="N223" s="8" t="s">
        <v>55</v>
      </c>
      <c r="O223" s="8" t="s">
        <v>228</v>
      </c>
      <c r="P223" s="8" t="s">
        <v>229</v>
      </c>
      <c r="Q223" s="8" t="s">
        <v>49</v>
      </c>
      <c r="R223" s="8" t="s">
        <v>49</v>
      </c>
      <c r="S223" s="8" t="s">
        <v>49</v>
      </c>
      <c r="T223" s="8" t="s">
        <v>49</v>
      </c>
      <c r="U223" s="8" t="s">
        <v>49</v>
      </c>
      <c r="V223" s="8" t="s">
        <v>49</v>
      </c>
      <c r="W223" s="8" t="s">
        <v>49</v>
      </c>
      <c r="X223" s="8" t="s">
        <v>55</v>
      </c>
      <c r="Y223" s="8" t="s">
        <v>55</v>
      </c>
      <c r="Z223" s="8" t="s">
        <v>55</v>
      </c>
      <c r="AA223" s="8" t="s">
        <v>231</v>
      </c>
      <c r="AB223" s="8" t="s">
        <v>60</v>
      </c>
      <c r="AC223" s="8" t="s">
        <v>55</v>
      </c>
      <c r="AD223" s="8" t="s">
        <v>1124</v>
      </c>
      <c r="AE223" s="8" t="s">
        <v>55</v>
      </c>
      <c r="AF223" s="8" t="s">
        <v>55</v>
      </c>
      <c r="AG223" s="8" t="s">
        <v>145</v>
      </c>
      <c r="AH223" s="8" t="s">
        <v>55</v>
      </c>
      <c r="AI223" s="8" t="s">
        <v>463</v>
      </c>
      <c r="AJ223" s="8" t="s">
        <v>49</v>
      </c>
      <c r="AK223" s="8" t="s">
        <v>55</v>
      </c>
      <c r="AL223" s="8" t="s">
        <v>720</v>
      </c>
      <c r="AM223" s="8" t="s">
        <v>1044</v>
      </c>
      <c r="AN223" s="16" t="s">
        <v>1125</v>
      </c>
      <c r="AO223" s="9" t="s">
        <v>1126</v>
      </c>
      <c r="AP223" s="17" t="s">
        <v>1051</v>
      </c>
      <c r="AQ223" s="11"/>
      <c r="AR223" s="10" t="s">
        <v>1127</v>
      </c>
      <c r="AS223" s="12"/>
      <c r="AT223" s="10" t="s">
        <v>1128</v>
      </c>
      <c r="AU223" s="11"/>
      <c r="AV223" s="13"/>
    </row>
    <row r="224" ht="16.5" hidden="1" customHeight="1">
      <c r="A224" s="7" t="s">
        <v>1130</v>
      </c>
      <c r="B224" s="14" t="s">
        <v>49</v>
      </c>
      <c r="C224" s="14" t="s">
        <v>919</v>
      </c>
      <c r="D224" s="14" t="s">
        <v>926</v>
      </c>
      <c r="E224" s="7"/>
      <c r="F224" s="7">
        <v>6605.0</v>
      </c>
      <c r="G224" s="7">
        <v>6604.0</v>
      </c>
      <c r="H224" s="7" t="s">
        <v>53</v>
      </c>
      <c r="I224" s="7"/>
      <c r="J224" s="7"/>
      <c r="K224" s="8" t="s">
        <v>55</v>
      </c>
      <c r="L224" s="8" t="s">
        <v>55</v>
      </c>
      <c r="M224" s="12" t="s">
        <v>55</v>
      </c>
      <c r="N224" s="8" t="s">
        <v>55</v>
      </c>
      <c r="O224" s="8" t="s">
        <v>228</v>
      </c>
      <c r="P224" s="8" t="s">
        <v>229</v>
      </c>
      <c r="Q224" s="8" t="s">
        <v>49</v>
      </c>
      <c r="R224" s="8" t="s">
        <v>49</v>
      </c>
      <c r="S224" s="8" t="s">
        <v>49</v>
      </c>
      <c r="T224" s="8" t="s">
        <v>49</v>
      </c>
      <c r="U224" s="8" t="s">
        <v>49</v>
      </c>
      <c r="V224" s="8" t="s">
        <v>49</v>
      </c>
      <c r="W224" s="8" t="s">
        <v>49</v>
      </c>
      <c r="X224" s="8" t="s">
        <v>55</v>
      </c>
      <c r="Y224" s="8" t="s">
        <v>55</v>
      </c>
      <c r="Z224" s="8" t="s">
        <v>55</v>
      </c>
      <c r="AA224" s="8" t="s">
        <v>231</v>
      </c>
      <c r="AB224" s="8" t="s">
        <v>60</v>
      </c>
      <c r="AC224" s="8" t="s">
        <v>55</v>
      </c>
      <c r="AD224" s="8" t="s">
        <v>1124</v>
      </c>
      <c r="AE224" s="8" t="s">
        <v>55</v>
      </c>
      <c r="AF224" s="8" t="s">
        <v>55</v>
      </c>
      <c r="AG224" s="8" t="s">
        <v>145</v>
      </c>
      <c r="AH224" s="8" t="s">
        <v>55</v>
      </c>
      <c r="AI224" s="8" t="s">
        <v>65</v>
      </c>
      <c r="AJ224" s="8" t="s">
        <v>49</v>
      </c>
      <c r="AK224" s="8" t="s">
        <v>55</v>
      </c>
      <c r="AL224" s="8" t="s">
        <v>720</v>
      </c>
      <c r="AM224" s="8" t="s">
        <v>1044</v>
      </c>
      <c r="AN224" s="16" t="s">
        <v>1131</v>
      </c>
      <c r="AO224" s="9" t="s">
        <v>1132</v>
      </c>
      <c r="AP224" s="17" t="s">
        <v>1051</v>
      </c>
      <c r="AQ224" s="11"/>
      <c r="AR224" s="10" t="s">
        <v>1127</v>
      </c>
      <c r="AS224" s="12"/>
      <c r="AT224" s="10" t="s">
        <v>1128</v>
      </c>
      <c r="AU224" s="11"/>
      <c r="AV224" s="15">
        <v>46341.0</v>
      </c>
    </row>
    <row r="225" ht="16.5" customHeight="1">
      <c r="A225" s="7" t="s">
        <v>1133</v>
      </c>
      <c r="B225" s="14" t="s">
        <v>49</v>
      </c>
      <c r="C225" s="14" t="s">
        <v>919</v>
      </c>
      <c r="D225" s="14" t="s">
        <v>1016</v>
      </c>
      <c r="E225" s="7"/>
      <c r="F225" s="7">
        <v>6607.0</v>
      </c>
      <c r="G225" s="7">
        <v>6606.0</v>
      </c>
      <c r="H225" s="14" t="s">
        <v>1134</v>
      </c>
      <c r="I225" s="7" t="s">
        <v>1026</v>
      </c>
      <c r="J225" s="7"/>
      <c r="K225" s="8" t="s">
        <v>55</v>
      </c>
      <c r="L225" s="8" t="s">
        <v>55</v>
      </c>
      <c r="M225" s="12" t="s">
        <v>55</v>
      </c>
      <c r="N225" s="8" t="s">
        <v>55</v>
      </c>
      <c r="O225" s="12" t="s">
        <v>228</v>
      </c>
      <c r="P225" s="8" t="s">
        <v>229</v>
      </c>
      <c r="Q225" s="8" t="s">
        <v>49</v>
      </c>
      <c r="R225" s="8" t="s">
        <v>49</v>
      </c>
      <c r="S225" s="8" t="s">
        <v>49</v>
      </c>
      <c r="T225" s="8" t="s">
        <v>49</v>
      </c>
      <c r="U225" s="8" t="s">
        <v>49</v>
      </c>
      <c r="V225" s="8" t="s">
        <v>49</v>
      </c>
      <c r="W225" s="8" t="s">
        <v>49</v>
      </c>
      <c r="X225" s="8" t="s">
        <v>55</v>
      </c>
      <c r="Y225" s="8" t="s">
        <v>55</v>
      </c>
      <c r="Z225" s="8" t="s">
        <v>55</v>
      </c>
      <c r="AA225" s="8" t="s">
        <v>231</v>
      </c>
      <c r="AB225" s="8" t="s">
        <v>60</v>
      </c>
      <c r="AC225" s="8" t="s">
        <v>1018</v>
      </c>
      <c r="AD225" s="12" t="s">
        <v>1135</v>
      </c>
      <c r="AE225" s="8" t="s">
        <v>55</v>
      </c>
      <c r="AF225" s="8" t="s">
        <v>55</v>
      </c>
      <c r="AG225" s="8" t="s">
        <v>63</v>
      </c>
      <c r="AH225" s="8" t="s">
        <v>55</v>
      </c>
      <c r="AI225" s="8" t="s">
        <v>1029</v>
      </c>
      <c r="AJ225" s="8" t="s">
        <v>49</v>
      </c>
      <c r="AK225" s="8" t="s">
        <v>55</v>
      </c>
      <c r="AL225" s="8" t="s">
        <v>720</v>
      </c>
      <c r="AM225" s="8" t="s">
        <v>1044</v>
      </c>
      <c r="AN225" s="9" t="s">
        <v>1136</v>
      </c>
      <c r="AO225" s="9" t="s">
        <v>1137</v>
      </c>
      <c r="AP225" s="17" t="s">
        <v>1051</v>
      </c>
      <c r="AQ225" s="11"/>
      <c r="AR225" s="19"/>
      <c r="AS225" s="12"/>
      <c r="AT225" s="11"/>
      <c r="AU225" s="11"/>
      <c r="AV225" s="13"/>
    </row>
    <row r="226" ht="16.5" customHeight="1">
      <c r="A226" s="7" t="s">
        <v>1138</v>
      </c>
      <c r="B226" s="14" t="s">
        <v>49</v>
      </c>
      <c r="C226" s="14" t="s">
        <v>919</v>
      </c>
      <c r="D226" s="14" t="s">
        <v>1016</v>
      </c>
      <c r="E226" s="7"/>
      <c r="F226" s="7">
        <v>6610.0</v>
      </c>
      <c r="G226" s="7">
        <v>6606.0</v>
      </c>
      <c r="H226" s="14" t="s">
        <v>1134</v>
      </c>
      <c r="I226" s="7" t="s">
        <v>1038</v>
      </c>
      <c r="J226" s="7"/>
      <c r="K226" s="8" t="s">
        <v>55</v>
      </c>
      <c r="L226" s="8" t="s">
        <v>55</v>
      </c>
      <c r="M226" s="12" t="s">
        <v>55</v>
      </c>
      <c r="N226" s="8" t="s">
        <v>55</v>
      </c>
      <c r="O226" s="12" t="s">
        <v>228</v>
      </c>
      <c r="P226" s="8" t="s">
        <v>229</v>
      </c>
      <c r="Q226" s="8" t="s">
        <v>49</v>
      </c>
      <c r="R226" s="8" t="s">
        <v>49</v>
      </c>
      <c r="S226" s="8" t="s">
        <v>49</v>
      </c>
      <c r="T226" s="8" t="s">
        <v>49</v>
      </c>
      <c r="U226" s="8" t="s">
        <v>49</v>
      </c>
      <c r="V226" s="8" t="s">
        <v>49</v>
      </c>
      <c r="W226" s="8" t="s">
        <v>49</v>
      </c>
      <c r="X226" s="8" t="s">
        <v>55</v>
      </c>
      <c r="Y226" s="8" t="s">
        <v>55</v>
      </c>
      <c r="Z226" s="8" t="s">
        <v>55</v>
      </c>
      <c r="AA226" s="8" t="s">
        <v>231</v>
      </c>
      <c r="AB226" s="8" t="s">
        <v>60</v>
      </c>
      <c r="AC226" s="8" t="s">
        <v>1018</v>
      </c>
      <c r="AD226" s="12" t="s">
        <v>1139</v>
      </c>
      <c r="AE226" s="8" t="s">
        <v>55</v>
      </c>
      <c r="AF226" s="8" t="s">
        <v>55</v>
      </c>
      <c r="AG226" s="8" t="s">
        <v>63</v>
      </c>
      <c r="AH226" s="8" t="s">
        <v>55</v>
      </c>
      <c r="AI226" s="8" t="s">
        <v>1020</v>
      </c>
      <c r="AJ226" s="8" t="s">
        <v>49</v>
      </c>
      <c r="AK226" s="8" t="s">
        <v>55</v>
      </c>
      <c r="AL226" s="8" t="s">
        <v>720</v>
      </c>
      <c r="AM226" s="8" t="s">
        <v>1044</v>
      </c>
      <c r="AN226" s="9" t="s">
        <v>1140</v>
      </c>
      <c r="AO226" s="9" t="s">
        <v>1141</v>
      </c>
      <c r="AP226" s="17" t="s">
        <v>1051</v>
      </c>
      <c r="AQ226" s="11"/>
      <c r="AR226" s="19"/>
      <c r="AS226" s="12"/>
      <c r="AT226" s="10" t="s">
        <v>1024</v>
      </c>
      <c r="AU226" s="11"/>
      <c r="AV226" s="13"/>
    </row>
    <row r="227" ht="16.5" customHeight="1">
      <c r="A227" s="7" t="s">
        <v>1142</v>
      </c>
      <c r="B227" s="14" t="s">
        <v>49</v>
      </c>
      <c r="C227" s="14" t="s">
        <v>919</v>
      </c>
      <c r="D227" s="14" t="s">
        <v>1016</v>
      </c>
      <c r="E227" s="7"/>
      <c r="F227" s="7">
        <v>6611.0</v>
      </c>
      <c r="G227" s="7">
        <v>6606.0</v>
      </c>
      <c r="H227" s="14" t="s">
        <v>1134</v>
      </c>
      <c r="I227" s="7" t="s">
        <v>1038</v>
      </c>
      <c r="J227" s="7"/>
      <c r="K227" s="8" t="s">
        <v>55</v>
      </c>
      <c r="L227" s="8" t="s">
        <v>55</v>
      </c>
      <c r="M227" s="12" t="s">
        <v>55</v>
      </c>
      <c r="N227" s="8" t="s">
        <v>55</v>
      </c>
      <c r="O227" s="12" t="s">
        <v>228</v>
      </c>
      <c r="P227" s="8" t="s">
        <v>229</v>
      </c>
      <c r="Q227" s="8" t="s">
        <v>49</v>
      </c>
      <c r="R227" s="8" t="s">
        <v>49</v>
      </c>
      <c r="S227" s="8" t="s">
        <v>49</v>
      </c>
      <c r="T227" s="8" t="s">
        <v>49</v>
      </c>
      <c r="U227" s="8" t="s">
        <v>49</v>
      </c>
      <c r="V227" s="8" t="s">
        <v>49</v>
      </c>
      <c r="W227" s="8" t="s">
        <v>49</v>
      </c>
      <c r="X227" s="8" t="s">
        <v>55</v>
      </c>
      <c r="Y227" s="8" t="s">
        <v>55</v>
      </c>
      <c r="Z227" s="8" t="s">
        <v>55</v>
      </c>
      <c r="AA227" s="8" t="s">
        <v>231</v>
      </c>
      <c r="AB227" s="8" t="s">
        <v>60</v>
      </c>
      <c r="AC227" s="8" t="s">
        <v>1018</v>
      </c>
      <c r="AD227" s="12" t="s">
        <v>1139</v>
      </c>
      <c r="AE227" s="8" t="s">
        <v>55</v>
      </c>
      <c r="AF227" s="8" t="s">
        <v>55</v>
      </c>
      <c r="AG227" s="8" t="s">
        <v>63</v>
      </c>
      <c r="AH227" s="8" t="s">
        <v>55</v>
      </c>
      <c r="AI227" s="8" t="s">
        <v>1029</v>
      </c>
      <c r="AJ227" s="8" t="s">
        <v>49</v>
      </c>
      <c r="AK227" s="8" t="s">
        <v>55</v>
      </c>
      <c r="AL227" s="8" t="s">
        <v>720</v>
      </c>
      <c r="AM227" s="8" t="s">
        <v>1044</v>
      </c>
      <c r="AN227" s="9" t="s">
        <v>1136</v>
      </c>
      <c r="AO227" s="9" t="s">
        <v>1137</v>
      </c>
      <c r="AP227" s="17" t="s">
        <v>1051</v>
      </c>
      <c r="AQ227" s="11"/>
      <c r="AR227" s="19"/>
      <c r="AS227" s="12"/>
      <c r="AT227" s="10" t="s">
        <v>1024</v>
      </c>
      <c r="AU227" s="11"/>
      <c r="AV227" s="13"/>
    </row>
    <row r="228" ht="16.5" hidden="1" customHeight="1">
      <c r="A228" s="7" t="s">
        <v>1143</v>
      </c>
      <c r="B228" s="7" t="s">
        <v>49</v>
      </c>
      <c r="C228" s="7" t="s">
        <v>213</v>
      </c>
      <c r="D228" s="7" t="s">
        <v>1144</v>
      </c>
      <c r="E228" s="7" t="s">
        <v>227</v>
      </c>
      <c r="F228" s="7">
        <v>6612.0</v>
      </c>
      <c r="G228" s="7"/>
      <c r="H228" s="7" t="s">
        <v>53</v>
      </c>
      <c r="I228" s="7"/>
      <c r="J228" s="7"/>
      <c r="K228" s="8" t="s">
        <v>54</v>
      </c>
      <c r="L228" s="8" t="s">
        <v>55</v>
      </c>
      <c r="M228" s="8"/>
      <c r="N228" s="8" t="s">
        <v>55</v>
      </c>
      <c r="O228" s="8" t="s">
        <v>228</v>
      </c>
      <c r="P228" s="8" t="s">
        <v>229</v>
      </c>
      <c r="Q228" s="8" t="s">
        <v>1145</v>
      </c>
      <c r="R228" s="8" t="s">
        <v>49</v>
      </c>
      <c r="S228" s="8" t="s">
        <v>49</v>
      </c>
      <c r="T228" s="8" t="s">
        <v>49</v>
      </c>
      <c r="U228" s="8" t="s">
        <v>49</v>
      </c>
      <c r="V228" s="8" t="s">
        <v>49</v>
      </c>
      <c r="W228" s="8" t="s">
        <v>49</v>
      </c>
      <c r="X228" s="8" t="s">
        <v>49</v>
      </c>
      <c r="Y228" s="8" t="s">
        <v>49</v>
      </c>
      <c r="Z228" s="8" t="s">
        <v>49</v>
      </c>
      <c r="AA228" s="8" t="s">
        <v>231</v>
      </c>
      <c r="AB228" s="8" t="s">
        <v>887</v>
      </c>
      <c r="AC228" s="8" t="s">
        <v>1144</v>
      </c>
      <c r="AD228" s="8" t="s">
        <v>1146</v>
      </c>
      <c r="AE228" s="8" t="s">
        <v>55</v>
      </c>
      <c r="AF228" s="8" t="s">
        <v>55</v>
      </c>
      <c r="AG228" s="8" t="s">
        <v>890</v>
      </c>
      <c r="AH228" s="8" t="s">
        <v>55</v>
      </c>
      <c r="AI228" s="8" t="s">
        <v>112</v>
      </c>
      <c r="AJ228" s="8" t="s">
        <v>49</v>
      </c>
      <c r="AK228" s="8" t="s">
        <v>49</v>
      </c>
      <c r="AL228" s="8" t="s">
        <v>66</v>
      </c>
      <c r="AM228" s="8" t="s">
        <v>1147</v>
      </c>
      <c r="AN228" s="9" t="s">
        <v>1148</v>
      </c>
      <c r="AO228" s="9" t="s">
        <v>1149</v>
      </c>
      <c r="AP228" s="10" t="s">
        <v>1150</v>
      </c>
      <c r="AQ228" s="11"/>
      <c r="AR228" s="10" t="s">
        <v>1151</v>
      </c>
      <c r="AS228" s="12"/>
      <c r="AT228" s="10" t="s">
        <v>1152</v>
      </c>
      <c r="AU228" s="11"/>
      <c r="AV228" s="13"/>
    </row>
    <row r="229" ht="16.5" customHeight="1">
      <c r="A229" s="7" t="s">
        <v>1153</v>
      </c>
      <c r="B229" s="7" t="s">
        <v>49</v>
      </c>
      <c r="C229" s="7" t="s">
        <v>213</v>
      </c>
      <c r="D229" s="7" t="s">
        <v>1144</v>
      </c>
      <c r="E229" s="7" t="s">
        <v>227</v>
      </c>
      <c r="F229" s="7">
        <v>6612.0</v>
      </c>
      <c r="G229" s="7">
        <v>6612.0</v>
      </c>
      <c r="H229" s="14" t="s">
        <v>1134</v>
      </c>
      <c r="I229" s="7"/>
      <c r="J229" s="7"/>
      <c r="K229" s="8" t="s">
        <v>54</v>
      </c>
      <c r="L229" s="8" t="s">
        <v>55</v>
      </c>
      <c r="M229" s="12" t="s">
        <v>55</v>
      </c>
      <c r="N229" s="8" t="s">
        <v>55</v>
      </c>
      <c r="O229" s="8" t="s">
        <v>228</v>
      </c>
      <c r="P229" s="8" t="s">
        <v>229</v>
      </c>
      <c r="Q229" s="8" t="s">
        <v>1154</v>
      </c>
      <c r="R229" s="8" t="s">
        <v>49</v>
      </c>
      <c r="S229" s="8" t="s">
        <v>49</v>
      </c>
      <c r="T229" s="8" t="s">
        <v>49</v>
      </c>
      <c r="U229" s="8" t="s">
        <v>49</v>
      </c>
      <c r="V229" s="8" t="s">
        <v>49</v>
      </c>
      <c r="W229" s="8" t="s">
        <v>49</v>
      </c>
      <c r="X229" s="8" t="s">
        <v>55</v>
      </c>
      <c r="Y229" s="8" t="s">
        <v>55</v>
      </c>
      <c r="Z229" s="8" t="s">
        <v>55</v>
      </c>
      <c r="AA229" s="8" t="s">
        <v>231</v>
      </c>
      <c r="AB229" s="8" t="s">
        <v>887</v>
      </c>
      <c r="AC229" s="8" t="s">
        <v>1144</v>
      </c>
      <c r="AD229" s="8" t="s">
        <v>1146</v>
      </c>
      <c r="AE229" s="8" t="s">
        <v>55</v>
      </c>
      <c r="AF229" s="8" t="s">
        <v>55</v>
      </c>
      <c r="AG229" s="8" t="s">
        <v>890</v>
      </c>
      <c r="AH229" s="8" t="s">
        <v>55</v>
      </c>
      <c r="AI229" s="8" t="s">
        <v>112</v>
      </c>
      <c r="AJ229" s="8" t="s">
        <v>49</v>
      </c>
      <c r="AK229" s="8" t="s">
        <v>55</v>
      </c>
      <c r="AL229" s="8" t="s">
        <v>66</v>
      </c>
      <c r="AM229" s="8" t="s">
        <v>1147</v>
      </c>
      <c r="AN229" s="9" t="s">
        <v>1148</v>
      </c>
      <c r="AO229" s="9" t="s">
        <v>1149</v>
      </c>
      <c r="AP229" s="10" t="s">
        <v>1150</v>
      </c>
      <c r="AQ229" s="11"/>
      <c r="AR229" s="10" t="s">
        <v>1151</v>
      </c>
      <c r="AS229" s="12"/>
      <c r="AT229" s="10" t="s">
        <v>1152</v>
      </c>
      <c r="AU229" s="11"/>
      <c r="AV229" s="13"/>
    </row>
    <row r="230" ht="16.5" customHeight="1">
      <c r="A230" s="7" t="s">
        <v>1155</v>
      </c>
      <c r="B230" s="14" t="s">
        <v>49</v>
      </c>
      <c r="C230" s="14" t="s">
        <v>213</v>
      </c>
      <c r="D230" s="14" t="s">
        <v>1144</v>
      </c>
      <c r="E230" s="7"/>
      <c r="F230" s="7">
        <v>6613.0</v>
      </c>
      <c r="G230" s="7">
        <v>6612.0</v>
      </c>
      <c r="H230" s="14" t="s">
        <v>1134</v>
      </c>
      <c r="I230" s="7"/>
      <c r="J230" s="7"/>
      <c r="K230" s="8" t="s">
        <v>54</v>
      </c>
      <c r="L230" s="8" t="s">
        <v>55</v>
      </c>
      <c r="M230" s="12" t="s">
        <v>55</v>
      </c>
      <c r="N230" s="8" t="s">
        <v>55</v>
      </c>
      <c r="O230" s="8" t="s">
        <v>228</v>
      </c>
      <c r="P230" s="8" t="s">
        <v>229</v>
      </c>
      <c r="Q230" s="8" t="s">
        <v>1154</v>
      </c>
      <c r="R230" s="8" t="s">
        <v>49</v>
      </c>
      <c r="S230" s="8" t="s">
        <v>49</v>
      </c>
      <c r="T230" s="8" t="s">
        <v>49</v>
      </c>
      <c r="U230" s="8" t="s">
        <v>49</v>
      </c>
      <c r="V230" s="8" t="s">
        <v>49</v>
      </c>
      <c r="W230" s="8" t="s">
        <v>49</v>
      </c>
      <c r="X230" s="8" t="s">
        <v>55</v>
      </c>
      <c r="Y230" s="8" t="s">
        <v>55</v>
      </c>
      <c r="Z230" s="8" t="s">
        <v>55</v>
      </c>
      <c r="AA230" s="8" t="s">
        <v>231</v>
      </c>
      <c r="AB230" s="8" t="s">
        <v>887</v>
      </c>
      <c r="AC230" s="8" t="s">
        <v>1144</v>
      </c>
      <c r="AD230" s="8" t="s">
        <v>1146</v>
      </c>
      <c r="AE230" s="8" t="s">
        <v>55</v>
      </c>
      <c r="AF230" s="8" t="s">
        <v>55</v>
      </c>
      <c r="AG230" s="8" t="s">
        <v>890</v>
      </c>
      <c r="AH230" s="8" t="s">
        <v>55</v>
      </c>
      <c r="AI230" s="8" t="s">
        <v>94</v>
      </c>
      <c r="AJ230" s="8" t="s">
        <v>49</v>
      </c>
      <c r="AK230" s="8" t="s">
        <v>55</v>
      </c>
      <c r="AL230" s="8" t="s">
        <v>66</v>
      </c>
      <c r="AM230" s="8"/>
      <c r="AN230" s="9" t="s">
        <v>1156</v>
      </c>
      <c r="AO230" s="9" t="s">
        <v>1157</v>
      </c>
      <c r="AP230" s="10" t="s">
        <v>1150</v>
      </c>
      <c r="AQ230" s="11"/>
      <c r="AR230" s="10" t="s">
        <v>1151</v>
      </c>
      <c r="AS230" s="12"/>
      <c r="AT230" s="10" t="s">
        <v>1152</v>
      </c>
      <c r="AU230" s="11"/>
      <c r="AV230" s="13"/>
    </row>
    <row r="231" ht="16.5" hidden="1" customHeight="1">
      <c r="A231" s="7" t="s">
        <v>1158</v>
      </c>
      <c r="B231" s="7" t="s">
        <v>49</v>
      </c>
      <c r="C231" s="7" t="s">
        <v>213</v>
      </c>
      <c r="D231" s="7" t="s">
        <v>51</v>
      </c>
      <c r="E231" s="7" t="s">
        <v>227</v>
      </c>
      <c r="F231" s="7">
        <v>6614.0</v>
      </c>
      <c r="G231" s="7"/>
      <c r="H231" s="7" t="s">
        <v>53</v>
      </c>
      <c r="I231" s="7"/>
      <c r="J231" s="14" t="s">
        <v>1159</v>
      </c>
      <c r="K231" s="8" t="s">
        <v>84</v>
      </c>
      <c r="L231" s="8" t="s">
        <v>49</v>
      </c>
      <c r="M231" s="8"/>
      <c r="N231" s="8" t="s">
        <v>1160</v>
      </c>
      <c r="O231" s="8" t="s">
        <v>217</v>
      </c>
      <c r="P231" s="8" t="s">
        <v>57</v>
      </c>
      <c r="Q231" s="8" t="s">
        <v>1161</v>
      </c>
      <c r="R231" s="8">
        <v>0.55</v>
      </c>
      <c r="S231" s="8" t="s">
        <v>49</v>
      </c>
      <c r="T231" s="8" t="s">
        <v>49</v>
      </c>
      <c r="U231" s="8" t="s">
        <v>1162</v>
      </c>
      <c r="V231" s="8" t="s">
        <v>1163</v>
      </c>
      <c r="W231" s="8" t="s">
        <v>1164</v>
      </c>
      <c r="X231" s="8" t="s">
        <v>108</v>
      </c>
      <c r="Y231" s="8" t="s">
        <v>190</v>
      </c>
      <c r="Z231" s="8" t="s">
        <v>92</v>
      </c>
      <c r="AA231" s="8" t="s">
        <v>231</v>
      </c>
      <c r="AB231" s="8" t="s">
        <v>60</v>
      </c>
      <c r="AC231" s="8" t="s">
        <v>1165</v>
      </c>
      <c r="AD231" s="8" t="s">
        <v>1166</v>
      </c>
      <c r="AE231" s="8" t="s">
        <v>55</v>
      </c>
      <c r="AF231" s="8" t="s">
        <v>55</v>
      </c>
      <c r="AG231" s="8" t="s">
        <v>890</v>
      </c>
      <c r="AH231" s="8" t="s">
        <v>111</v>
      </c>
      <c r="AI231" s="8" t="s">
        <v>1029</v>
      </c>
      <c r="AJ231" s="8" t="s">
        <v>49</v>
      </c>
      <c r="AK231" s="8" t="s">
        <v>49</v>
      </c>
      <c r="AL231" s="8" t="s">
        <v>66</v>
      </c>
      <c r="AM231" s="8" t="s">
        <v>1167</v>
      </c>
      <c r="AN231" s="9" t="s">
        <v>1168</v>
      </c>
      <c r="AO231" s="9" t="s">
        <v>1169</v>
      </c>
      <c r="AP231" s="10" t="s">
        <v>1170</v>
      </c>
      <c r="AQ231" s="10" t="s">
        <v>1171</v>
      </c>
      <c r="AR231" s="10" t="s">
        <v>1172</v>
      </c>
      <c r="AS231" s="12"/>
      <c r="AT231" s="10" t="s">
        <v>1173</v>
      </c>
      <c r="AU231" s="10" t="s">
        <v>1174</v>
      </c>
      <c r="AV231" s="13"/>
    </row>
    <row r="232" ht="16.5" customHeight="1">
      <c r="A232" s="7" t="s">
        <v>1175</v>
      </c>
      <c r="B232" s="7" t="s">
        <v>49</v>
      </c>
      <c r="C232" s="7" t="s">
        <v>213</v>
      </c>
      <c r="D232" s="7" t="s">
        <v>51</v>
      </c>
      <c r="E232" s="7" t="s">
        <v>227</v>
      </c>
      <c r="F232" s="7">
        <v>6614.0</v>
      </c>
      <c r="G232" s="7">
        <v>6614.0</v>
      </c>
      <c r="H232" s="14" t="s">
        <v>1134</v>
      </c>
      <c r="I232" s="7"/>
      <c r="J232" s="14" t="s">
        <v>1159</v>
      </c>
      <c r="K232" s="8" t="s">
        <v>84</v>
      </c>
      <c r="L232" s="8" t="s">
        <v>49</v>
      </c>
      <c r="M232" s="8"/>
      <c r="N232" s="8" t="s">
        <v>1160</v>
      </c>
      <c r="O232" s="8" t="s">
        <v>217</v>
      </c>
      <c r="P232" s="8" t="s">
        <v>57</v>
      </c>
      <c r="Q232" s="8" t="s">
        <v>1161</v>
      </c>
      <c r="R232" s="8">
        <v>0.55</v>
      </c>
      <c r="S232" s="8" t="s">
        <v>49</v>
      </c>
      <c r="T232" s="8" t="s">
        <v>49</v>
      </c>
      <c r="U232" s="8" t="s">
        <v>1162</v>
      </c>
      <c r="V232" s="8" t="s">
        <v>1163</v>
      </c>
      <c r="W232" s="8" t="s">
        <v>1164</v>
      </c>
      <c r="X232" s="8" t="s">
        <v>108</v>
      </c>
      <c r="Y232" s="8" t="s">
        <v>190</v>
      </c>
      <c r="Z232" s="8" t="s">
        <v>92</v>
      </c>
      <c r="AA232" s="8" t="s">
        <v>231</v>
      </c>
      <c r="AB232" s="8" t="s">
        <v>60</v>
      </c>
      <c r="AC232" s="8" t="s">
        <v>1165</v>
      </c>
      <c r="AD232" s="8" t="s">
        <v>1166</v>
      </c>
      <c r="AE232" s="8" t="s">
        <v>55</v>
      </c>
      <c r="AF232" s="8" t="s">
        <v>55</v>
      </c>
      <c r="AG232" s="8" t="s">
        <v>890</v>
      </c>
      <c r="AH232" s="8" t="s">
        <v>111</v>
      </c>
      <c r="AI232" s="8" t="s">
        <v>1029</v>
      </c>
      <c r="AJ232" s="8" t="s">
        <v>49</v>
      </c>
      <c r="AK232" s="8" t="s">
        <v>95</v>
      </c>
      <c r="AL232" s="8" t="s">
        <v>66</v>
      </c>
      <c r="AM232" s="8" t="s">
        <v>1167</v>
      </c>
      <c r="AN232" s="9" t="s">
        <v>1168</v>
      </c>
      <c r="AO232" s="9" t="s">
        <v>1169</v>
      </c>
      <c r="AP232" s="10" t="s">
        <v>1170</v>
      </c>
      <c r="AQ232" s="10" t="s">
        <v>1171</v>
      </c>
      <c r="AR232" s="10" t="s">
        <v>1172</v>
      </c>
      <c r="AS232" s="12"/>
      <c r="AT232" s="10" t="s">
        <v>1173</v>
      </c>
      <c r="AU232" s="10" t="s">
        <v>1174</v>
      </c>
      <c r="AV232" s="13"/>
    </row>
    <row r="233" ht="16.5" customHeight="1">
      <c r="A233" s="7" t="s">
        <v>1176</v>
      </c>
      <c r="B233" s="14" t="s">
        <v>49</v>
      </c>
      <c r="C233" s="14" t="s">
        <v>213</v>
      </c>
      <c r="D233" s="14" t="s">
        <v>51</v>
      </c>
      <c r="E233" s="7"/>
      <c r="F233" s="7">
        <v>6615.0</v>
      </c>
      <c r="G233" s="7">
        <v>6614.0</v>
      </c>
      <c r="H233" s="14" t="s">
        <v>1134</v>
      </c>
      <c r="I233" s="7"/>
      <c r="J233" s="14" t="s">
        <v>1159</v>
      </c>
      <c r="K233" s="8" t="s">
        <v>84</v>
      </c>
      <c r="L233" s="8" t="s">
        <v>49</v>
      </c>
      <c r="M233" s="8"/>
      <c r="N233" s="8" t="s">
        <v>1160</v>
      </c>
      <c r="O233" s="8" t="s">
        <v>217</v>
      </c>
      <c r="P233" s="8" t="s">
        <v>57</v>
      </c>
      <c r="Q233" s="8" t="s">
        <v>1161</v>
      </c>
      <c r="R233" s="8">
        <v>0.55</v>
      </c>
      <c r="S233" s="8" t="s">
        <v>49</v>
      </c>
      <c r="T233" s="8" t="s">
        <v>49</v>
      </c>
      <c r="U233" s="8" t="s">
        <v>1162</v>
      </c>
      <c r="V233" s="8" t="s">
        <v>1163</v>
      </c>
      <c r="W233" s="8" t="s">
        <v>1164</v>
      </c>
      <c r="X233" s="8" t="s">
        <v>108</v>
      </c>
      <c r="Y233" s="8" t="s">
        <v>190</v>
      </c>
      <c r="Z233" s="8" t="s">
        <v>92</v>
      </c>
      <c r="AA233" s="8" t="s">
        <v>231</v>
      </c>
      <c r="AB233" s="8" t="s">
        <v>60</v>
      </c>
      <c r="AC233" s="8" t="s">
        <v>1165</v>
      </c>
      <c r="AD233" s="8" t="s">
        <v>1166</v>
      </c>
      <c r="AE233" s="8" t="s">
        <v>55</v>
      </c>
      <c r="AF233" s="8" t="s">
        <v>55</v>
      </c>
      <c r="AG233" s="8" t="s">
        <v>890</v>
      </c>
      <c r="AH233" s="8" t="s">
        <v>111</v>
      </c>
      <c r="AI233" s="8" t="s">
        <v>1020</v>
      </c>
      <c r="AJ233" s="8" t="s">
        <v>49</v>
      </c>
      <c r="AK233" s="8" t="s">
        <v>95</v>
      </c>
      <c r="AL233" s="8" t="s">
        <v>66</v>
      </c>
      <c r="AM233" s="8" t="s">
        <v>1177</v>
      </c>
      <c r="AN233" s="9" t="s">
        <v>1178</v>
      </c>
      <c r="AO233" s="9" t="s">
        <v>1179</v>
      </c>
      <c r="AP233" s="10" t="s">
        <v>1170</v>
      </c>
      <c r="AQ233" s="10" t="s">
        <v>1171</v>
      </c>
      <c r="AR233" s="10" t="s">
        <v>1172</v>
      </c>
      <c r="AS233" s="12"/>
      <c r="AT233" s="10" t="s">
        <v>1173</v>
      </c>
      <c r="AU233" s="10" t="s">
        <v>1174</v>
      </c>
      <c r="AV233" s="13"/>
    </row>
    <row r="234" ht="16.5" customHeight="1">
      <c r="A234" s="7" t="s">
        <v>1180</v>
      </c>
      <c r="B234" s="7" t="s">
        <v>49</v>
      </c>
      <c r="C234" s="7" t="s">
        <v>213</v>
      </c>
      <c r="D234" s="7" t="s">
        <v>51</v>
      </c>
      <c r="E234" s="7" t="s">
        <v>227</v>
      </c>
      <c r="F234" s="7">
        <v>6618.0</v>
      </c>
      <c r="G234" s="7"/>
      <c r="H234" s="14" t="s">
        <v>1134</v>
      </c>
      <c r="I234" s="7"/>
      <c r="J234" s="14" t="s">
        <v>1159</v>
      </c>
      <c r="K234" s="8" t="s">
        <v>84</v>
      </c>
      <c r="L234" s="8" t="s">
        <v>49</v>
      </c>
      <c r="M234" s="8"/>
      <c r="N234" s="8" t="s">
        <v>1160</v>
      </c>
      <c r="O234" s="8" t="s">
        <v>217</v>
      </c>
      <c r="P234" s="8" t="s">
        <v>57</v>
      </c>
      <c r="Q234" s="8" t="s">
        <v>1161</v>
      </c>
      <c r="R234" s="8">
        <v>0.55</v>
      </c>
      <c r="S234" s="8" t="s">
        <v>49</v>
      </c>
      <c r="T234" s="8" t="s">
        <v>49</v>
      </c>
      <c r="U234" s="8" t="s">
        <v>1162</v>
      </c>
      <c r="V234" s="8" t="s">
        <v>1163</v>
      </c>
      <c r="W234" s="8" t="s">
        <v>1164</v>
      </c>
      <c r="X234" s="8" t="s">
        <v>415</v>
      </c>
      <c r="Y234" s="8" t="s">
        <v>1181</v>
      </c>
      <c r="Z234" s="8" t="s">
        <v>92</v>
      </c>
      <c r="AA234" s="8" t="s">
        <v>231</v>
      </c>
      <c r="AB234" s="8" t="s">
        <v>60</v>
      </c>
      <c r="AC234" s="8" t="s">
        <v>61</v>
      </c>
      <c r="AD234" s="8" t="s">
        <v>1182</v>
      </c>
      <c r="AE234" s="8" t="s">
        <v>55</v>
      </c>
      <c r="AF234" s="8" t="s">
        <v>55</v>
      </c>
      <c r="AG234" s="8" t="s">
        <v>890</v>
      </c>
      <c r="AH234" s="8" t="s">
        <v>111</v>
      </c>
      <c r="AI234" s="8" t="s">
        <v>1020</v>
      </c>
      <c r="AJ234" s="8" t="s">
        <v>49</v>
      </c>
      <c r="AK234" s="12" t="s">
        <v>95</v>
      </c>
      <c r="AL234" s="8" t="s">
        <v>66</v>
      </c>
      <c r="AM234" s="8" t="s">
        <v>1183</v>
      </c>
      <c r="AN234" s="9" t="s">
        <v>1184</v>
      </c>
      <c r="AO234" s="9" t="s">
        <v>1185</v>
      </c>
      <c r="AP234" s="10" t="s">
        <v>1186</v>
      </c>
      <c r="AQ234" s="10" t="s">
        <v>1187</v>
      </c>
      <c r="AR234" s="10" t="s">
        <v>1188</v>
      </c>
      <c r="AS234" s="12"/>
      <c r="AT234" s="10" t="s">
        <v>1189</v>
      </c>
      <c r="AU234" s="10" t="s">
        <v>1190</v>
      </c>
      <c r="AV234" s="13"/>
    </row>
    <row r="235" ht="16.5" hidden="1" customHeight="1">
      <c r="A235" s="7" t="s">
        <v>1191</v>
      </c>
      <c r="B235" s="7" t="s">
        <v>49</v>
      </c>
      <c r="C235" s="7" t="s">
        <v>213</v>
      </c>
      <c r="D235" s="7" t="s">
        <v>51</v>
      </c>
      <c r="E235" s="7" t="s">
        <v>227</v>
      </c>
      <c r="F235" s="7">
        <v>6619.0</v>
      </c>
      <c r="G235" s="7"/>
      <c r="H235" s="7" t="s">
        <v>53</v>
      </c>
      <c r="I235" s="7"/>
      <c r="J235" s="14" t="s">
        <v>1159</v>
      </c>
      <c r="K235" s="8" t="s">
        <v>84</v>
      </c>
      <c r="L235" s="8" t="s">
        <v>49</v>
      </c>
      <c r="M235" s="8"/>
      <c r="N235" s="8" t="s">
        <v>1160</v>
      </c>
      <c r="O235" s="8" t="s">
        <v>217</v>
      </c>
      <c r="P235" s="8" t="s">
        <v>57</v>
      </c>
      <c r="Q235" s="8" t="s">
        <v>1161</v>
      </c>
      <c r="R235" s="8">
        <v>0.55</v>
      </c>
      <c r="S235" s="8" t="s">
        <v>49</v>
      </c>
      <c r="T235" s="8" t="s">
        <v>49</v>
      </c>
      <c r="U235" s="8" t="s">
        <v>1162</v>
      </c>
      <c r="V235" s="8" t="s">
        <v>1163</v>
      </c>
      <c r="W235" s="8" t="s">
        <v>1164</v>
      </c>
      <c r="X235" s="8" t="s">
        <v>415</v>
      </c>
      <c r="Y235" s="8" t="s">
        <v>1192</v>
      </c>
      <c r="Z235" s="8" t="s">
        <v>92</v>
      </c>
      <c r="AA235" s="8" t="s">
        <v>231</v>
      </c>
      <c r="AB235" s="8" t="s">
        <v>60</v>
      </c>
      <c r="AC235" s="8" t="s">
        <v>1165</v>
      </c>
      <c r="AD235" s="8" t="s">
        <v>1166</v>
      </c>
      <c r="AE235" s="8" t="s">
        <v>55</v>
      </c>
      <c r="AF235" s="8" t="s">
        <v>55</v>
      </c>
      <c r="AG235" s="8" t="s">
        <v>890</v>
      </c>
      <c r="AH235" s="8" t="s">
        <v>111</v>
      </c>
      <c r="AI235" s="8" t="s">
        <v>1020</v>
      </c>
      <c r="AJ235" s="8" t="s">
        <v>49</v>
      </c>
      <c r="AK235" s="8" t="s">
        <v>49</v>
      </c>
      <c r="AL235" s="8" t="s">
        <v>66</v>
      </c>
      <c r="AM235" s="8" t="s">
        <v>1193</v>
      </c>
      <c r="AN235" s="9" t="s">
        <v>1194</v>
      </c>
      <c r="AO235" s="9" t="s">
        <v>1195</v>
      </c>
      <c r="AP235" s="10" t="s">
        <v>1196</v>
      </c>
      <c r="AQ235" s="10" t="s">
        <v>1197</v>
      </c>
      <c r="AR235" s="10" t="s">
        <v>1198</v>
      </c>
      <c r="AS235" s="12"/>
      <c r="AT235" s="10" t="s">
        <v>1199</v>
      </c>
      <c r="AU235" s="10" t="s">
        <v>1200</v>
      </c>
      <c r="AV235" s="13"/>
    </row>
    <row r="236" ht="16.5" customHeight="1">
      <c r="A236" s="7" t="s">
        <v>1201</v>
      </c>
      <c r="B236" s="7" t="s">
        <v>49</v>
      </c>
      <c r="C236" s="7" t="s">
        <v>213</v>
      </c>
      <c r="D236" s="7" t="s">
        <v>51</v>
      </c>
      <c r="E236" s="7" t="s">
        <v>227</v>
      </c>
      <c r="F236" s="7">
        <v>6619.0</v>
      </c>
      <c r="G236" s="7">
        <v>6619.0</v>
      </c>
      <c r="H236" s="14" t="s">
        <v>1134</v>
      </c>
      <c r="I236" s="7"/>
      <c r="J236" s="14" t="s">
        <v>1159</v>
      </c>
      <c r="K236" s="8" t="s">
        <v>84</v>
      </c>
      <c r="L236" s="8" t="s">
        <v>49</v>
      </c>
      <c r="M236" s="8"/>
      <c r="N236" s="8" t="s">
        <v>1160</v>
      </c>
      <c r="O236" s="8" t="s">
        <v>217</v>
      </c>
      <c r="P236" s="8" t="s">
        <v>57</v>
      </c>
      <c r="Q236" s="8" t="s">
        <v>1161</v>
      </c>
      <c r="R236" s="8">
        <v>0.55</v>
      </c>
      <c r="S236" s="8" t="s">
        <v>49</v>
      </c>
      <c r="T236" s="8" t="s">
        <v>49</v>
      </c>
      <c r="U236" s="8" t="s">
        <v>1162</v>
      </c>
      <c r="V236" s="8" t="s">
        <v>1163</v>
      </c>
      <c r="W236" s="8" t="s">
        <v>1164</v>
      </c>
      <c r="X236" s="8" t="s">
        <v>415</v>
      </c>
      <c r="Y236" s="8" t="s">
        <v>1192</v>
      </c>
      <c r="Z236" s="8" t="s">
        <v>92</v>
      </c>
      <c r="AA236" s="8" t="s">
        <v>231</v>
      </c>
      <c r="AB236" s="8" t="s">
        <v>60</v>
      </c>
      <c r="AC236" s="8" t="s">
        <v>1165</v>
      </c>
      <c r="AD236" s="8" t="s">
        <v>1166</v>
      </c>
      <c r="AE236" s="8" t="s">
        <v>55</v>
      </c>
      <c r="AF236" s="8" t="s">
        <v>55</v>
      </c>
      <c r="AG236" s="8" t="s">
        <v>890</v>
      </c>
      <c r="AH236" s="8" t="s">
        <v>111</v>
      </c>
      <c r="AI236" s="8" t="s">
        <v>1020</v>
      </c>
      <c r="AJ236" s="8" t="s">
        <v>49</v>
      </c>
      <c r="AK236" s="8" t="s">
        <v>95</v>
      </c>
      <c r="AL236" s="8" t="s">
        <v>66</v>
      </c>
      <c r="AM236" s="8" t="s">
        <v>1193</v>
      </c>
      <c r="AN236" s="9" t="s">
        <v>1194</v>
      </c>
      <c r="AO236" s="9" t="s">
        <v>1195</v>
      </c>
      <c r="AP236" s="10" t="s">
        <v>1196</v>
      </c>
      <c r="AQ236" s="10" t="s">
        <v>1197</v>
      </c>
      <c r="AR236" s="10" t="s">
        <v>1198</v>
      </c>
      <c r="AS236" s="12"/>
      <c r="AT236" s="10" t="s">
        <v>1199</v>
      </c>
      <c r="AU236" s="10" t="s">
        <v>1200</v>
      </c>
      <c r="AV236" s="15">
        <v>46315.0</v>
      </c>
    </row>
    <row r="237" ht="16.5" hidden="1" customHeight="1">
      <c r="A237" s="7" t="s">
        <v>1202</v>
      </c>
      <c r="B237" s="7" t="s">
        <v>49</v>
      </c>
      <c r="C237" s="7" t="s">
        <v>919</v>
      </c>
      <c r="D237" s="7" t="s">
        <v>1144</v>
      </c>
      <c r="E237" s="7" t="s">
        <v>227</v>
      </c>
      <c r="F237" s="7">
        <v>6621.0</v>
      </c>
      <c r="G237" s="7"/>
      <c r="H237" s="7" t="s">
        <v>53</v>
      </c>
      <c r="I237" s="7"/>
      <c r="J237" s="7"/>
      <c r="K237" s="8" t="s">
        <v>54</v>
      </c>
      <c r="L237" s="8" t="s">
        <v>55</v>
      </c>
      <c r="M237" s="8"/>
      <c r="N237" s="8" t="s">
        <v>55</v>
      </c>
      <c r="O237" s="8" t="s">
        <v>228</v>
      </c>
      <c r="P237" s="8" t="s">
        <v>229</v>
      </c>
      <c r="Q237" s="8" t="s">
        <v>1145</v>
      </c>
      <c r="R237" s="8" t="s">
        <v>49</v>
      </c>
      <c r="S237" s="8" t="s">
        <v>49</v>
      </c>
      <c r="T237" s="8" t="s">
        <v>49</v>
      </c>
      <c r="U237" s="8" t="s">
        <v>49</v>
      </c>
      <c r="V237" s="8" t="s">
        <v>49</v>
      </c>
      <c r="W237" s="8" t="s">
        <v>49</v>
      </c>
      <c r="X237" s="8" t="s">
        <v>49</v>
      </c>
      <c r="Y237" s="8" t="s">
        <v>49</v>
      </c>
      <c r="Z237" s="8" t="s">
        <v>49</v>
      </c>
      <c r="AA237" s="8" t="s">
        <v>231</v>
      </c>
      <c r="AB237" s="8" t="s">
        <v>60</v>
      </c>
      <c r="AC237" s="8" t="s">
        <v>1016</v>
      </c>
      <c r="AD237" s="8" t="s">
        <v>1203</v>
      </c>
      <c r="AE237" s="8" t="s">
        <v>55</v>
      </c>
      <c r="AF237" s="8" t="s">
        <v>55</v>
      </c>
      <c r="AG237" s="8" t="s">
        <v>63</v>
      </c>
      <c r="AH237" s="8" t="s">
        <v>55</v>
      </c>
      <c r="AI237" s="8" t="s">
        <v>94</v>
      </c>
      <c r="AJ237" s="8" t="s">
        <v>49</v>
      </c>
      <c r="AK237" s="8" t="s">
        <v>49</v>
      </c>
      <c r="AL237" s="8" t="s">
        <v>66</v>
      </c>
      <c r="AM237" s="8" t="s">
        <v>1204</v>
      </c>
      <c r="AN237" s="9" t="s">
        <v>1205</v>
      </c>
      <c r="AO237" s="9" t="s">
        <v>1206</v>
      </c>
      <c r="AP237" s="10" t="s">
        <v>1207</v>
      </c>
      <c r="AQ237" s="11"/>
      <c r="AR237" s="10" t="s">
        <v>1208</v>
      </c>
      <c r="AS237" s="12"/>
      <c r="AT237" s="10" t="s">
        <v>1209</v>
      </c>
      <c r="AU237" s="11"/>
      <c r="AV237" s="13"/>
    </row>
    <row r="238" ht="16.5" hidden="1" customHeight="1">
      <c r="A238" s="7" t="s">
        <v>1210</v>
      </c>
      <c r="B238" s="7" t="s">
        <v>49</v>
      </c>
      <c r="C238" s="7" t="s">
        <v>919</v>
      </c>
      <c r="D238" s="7" t="s">
        <v>1144</v>
      </c>
      <c r="E238" s="7" t="s">
        <v>227</v>
      </c>
      <c r="F238" s="7">
        <v>6621.0</v>
      </c>
      <c r="G238" s="7">
        <v>6621.0</v>
      </c>
      <c r="H238" s="7" t="s">
        <v>53</v>
      </c>
      <c r="I238" s="7"/>
      <c r="J238" s="7"/>
      <c r="K238" s="8" t="s">
        <v>54</v>
      </c>
      <c r="L238" s="8" t="s">
        <v>55</v>
      </c>
      <c r="M238" s="12" t="s">
        <v>55</v>
      </c>
      <c r="N238" s="8" t="s">
        <v>55</v>
      </c>
      <c r="O238" s="8" t="s">
        <v>228</v>
      </c>
      <c r="P238" s="8" t="s">
        <v>229</v>
      </c>
      <c r="Q238" s="8" t="s">
        <v>1154</v>
      </c>
      <c r="R238" s="8" t="s">
        <v>49</v>
      </c>
      <c r="S238" s="8" t="s">
        <v>49</v>
      </c>
      <c r="T238" s="8" t="s">
        <v>49</v>
      </c>
      <c r="U238" s="8" t="s">
        <v>49</v>
      </c>
      <c r="V238" s="8" t="s">
        <v>49</v>
      </c>
      <c r="W238" s="8" t="s">
        <v>49</v>
      </c>
      <c r="X238" s="8" t="s">
        <v>55</v>
      </c>
      <c r="Y238" s="8" t="s">
        <v>55</v>
      </c>
      <c r="Z238" s="8" t="s">
        <v>55</v>
      </c>
      <c r="AA238" s="8" t="s">
        <v>231</v>
      </c>
      <c r="AB238" s="8" t="s">
        <v>60</v>
      </c>
      <c r="AC238" s="8" t="s">
        <v>1016</v>
      </c>
      <c r="AD238" s="8" t="s">
        <v>1203</v>
      </c>
      <c r="AE238" s="8" t="s">
        <v>55</v>
      </c>
      <c r="AF238" s="8" t="s">
        <v>55</v>
      </c>
      <c r="AG238" s="8" t="s">
        <v>63</v>
      </c>
      <c r="AH238" s="8" t="s">
        <v>55</v>
      </c>
      <c r="AI238" s="8" t="s">
        <v>94</v>
      </c>
      <c r="AJ238" s="8" t="s">
        <v>49</v>
      </c>
      <c r="AK238" s="8" t="s">
        <v>55</v>
      </c>
      <c r="AL238" s="8" t="s">
        <v>66</v>
      </c>
      <c r="AM238" s="8" t="s">
        <v>1204</v>
      </c>
      <c r="AN238" s="9" t="s">
        <v>1205</v>
      </c>
      <c r="AO238" s="9" t="s">
        <v>1206</v>
      </c>
      <c r="AP238" s="10" t="s">
        <v>1207</v>
      </c>
      <c r="AQ238" s="11"/>
      <c r="AR238" s="10" t="s">
        <v>1208</v>
      </c>
      <c r="AS238" s="12"/>
      <c r="AT238" s="10" t="s">
        <v>1209</v>
      </c>
      <c r="AU238" s="11"/>
      <c r="AV238" s="15">
        <v>46315.0</v>
      </c>
    </row>
    <row r="239" ht="16.5" hidden="1" customHeight="1">
      <c r="A239" s="7" t="s">
        <v>1211</v>
      </c>
      <c r="B239" s="14" t="s">
        <v>49</v>
      </c>
      <c r="C239" s="14" t="s">
        <v>919</v>
      </c>
      <c r="D239" s="14" t="s">
        <v>1144</v>
      </c>
      <c r="E239" s="7"/>
      <c r="F239" s="7">
        <v>6622.0</v>
      </c>
      <c r="G239" s="7">
        <v>6621.0</v>
      </c>
      <c r="H239" s="7" t="s">
        <v>53</v>
      </c>
      <c r="I239" s="7"/>
      <c r="J239" s="7"/>
      <c r="K239" s="8" t="s">
        <v>54</v>
      </c>
      <c r="L239" s="8" t="s">
        <v>55</v>
      </c>
      <c r="M239" s="12" t="s">
        <v>55</v>
      </c>
      <c r="N239" s="8" t="s">
        <v>55</v>
      </c>
      <c r="O239" s="8" t="s">
        <v>228</v>
      </c>
      <c r="P239" s="8" t="s">
        <v>229</v>
      </c>
      <c r="Q239" s="8" t="s">
        <v>1154</v>
      </c>
      <c r="R239" s="8" t="s">
        <v>49</v>
      </c>
      <c r="S239" s="8" t="s">
        <v>49</v>
      </c>
      <c r="T239" s="8" t="s">
        <v>49</v>
      </c>
      <c r="U239" s="8" t="s">
        <v>49</v>
      </c>
      <c r="V239" s="8" t="s">
        <v>49</v>
      </c>
      <c r="W239" s="8" t="s">
        <v>49</v>
      </c>
      <c r="X239" s="8" t="s">
        <v>55</v>
      </c>
      <c r="Y239" s="8" t="s">
        <v>55</v>
      </c>
      <c r="Z239" s="8" t="s">
        <v>55</v>
      </c>
      <c r="AA239" s="8" t="s">
        <v>231</v>
      </c>
      <c r="AB239" s="8" t="s">
        <v>60</v>
      </c>
      <c r="AC239" s="8" t="s">
        <v>1016</v>
      </c>
      <c r="AD239" s="8" t="s">
        <v>1203</v>
      </c>
      <c r="AE239" s="8" t="s">
        <v>55</v>
      </c>
      <c r="AF239" s="8" t="s">
        <v>55</v>
      </c>
      <c r="AG239" s="8" t="s">
        <v>63</v>
      </c>
      <c r="AH239" s="8" t="s">
        <v>55</v>
      </c>
      <c r="AI239" s="8" t="s">
        <v>112</v>
      </c>
      <c r="AJ239" s="8" t="s">
        <v>49</v>
      </c>
      <c r="AK239" s="8" t="s">
        <v>55</v>
      </c>
      <c r="AL239" s="8" t="s">
        <v>66</v>
      </c>
      <c r="AM239" s="8"/>
      <c r="AN239" s="16" t="s">
        <v>1212</v>
      </c>
      <c r="AO239" s="9" t="s">
        <v>1213</v>
      </c>
      <c r="AP239" s="10" t="s">
        <v>1207</v>
      </c>
      <c r="AQ239" s="11"/>
      <c r="AR239" s="10" t="s">
        <v>1208</v>
      </c>
      <c r="AS239" s="12"/>
      <c r="AT239" s="10" t="s">
        <v>1209</v>
      </c>
      <c r="AU239" s="11"/>
      <c r="AV239" s="15">
        <v>46315.0</v>
      </c>
    </row>
    <row r="240" ht="16.5" hidden="1" customHeight="1">
      <c r="A240" s="7" t="s">
        <v>1214</v>
      </c>
      <c r="B240" s="7" t="s">
        <v>49</v>
      </c>
      <c r="C240" s="7" t="s">
        <v>919</v>
      </c>
      <c r="D240" s="7" t="s">
        <v>1144</v>
      </c>
      <c r="E240" s="7" t="s">
        <v>227</v>
      </c>
      <c r="F240" s="7">
        <v>6623.0</v>
      </c>
      <c r="G240" s="7"/>
      <c r="H240" s="7" t="s">
        <v>53</v>
      </c>
      <c r="I240" s="7"/>
      <c r="J240" s="7"/>
      <c r="K240" s="8" t="s">
        <v>54</v>
      </c>
      <c r="L240" s="8" t="s">
        <v>55</v>
      </c>
      <c r="M240" s="8"/>
      <c r="N240" s="8" t="s">
        <v>55</v>
      </c>
      <c r="O240" s="8" t="s">
        <v>228</v>
      </c>
      <c r="P240" s="8" t="s">
        <v>229</v>
      </c>
      <c r="Q240" s="8" t="s">
        <v>1145</v>
      </c>
      <c r="R240" s="8" t="s">
        <v>49</v>
      </c>
      <c r="S240" s="8" t="s">
        <v>49</v>
      </c>
      <c r="T240" s="8" t="s">
        <v>49</v>
      </c>
      <c r="U240" s="8" t="s">
        <v>49</v>
      </c>
      <c r="V240" s="8" t="s">
        <v>49</v>
      </c>
      <c r="W240" s="8" t="s">
        <v>49</v>
      </c>
      <c r="X240" s="8" t="s">
        <v>49</v>
      </c>
      <c r="Y240" s="8" t="s">
        <v>49</v>
      </c>
      <c r="Z240" s="8" t="s">
        <v>49</v>
      </c>
      <c r="AA240" s="8" t="s">
        <v>231</v>
      </c>
      <c r="AB240" s="8" t="s">
        <v>60</v>
      </c>
      <c r="AC240" s="8" t="s">
        <v>1016</v>
      </c>
      <c r="AD240" s="8" t="s">
        <v>1203</v>
      </c>
      <c r="AE240" s="8" t="s">
        <v>55</v>
      </c>
      <c r="AF240" s="8" t="s">
        <v>55</v>
      </c>
      <c r="AG240" s="8" t="s">
        <v>63</v>
      </c>
      <c r="AH240" s="8" t="s">
        <v>55</v>
      </c>
      <c r="AI240" s="8" t="s">
        <v>94</v>
      </c>
      <c r="AJ240" s="8" t="s">
        <v>49</v>
      </c>
      <c r="AK240" s="8" t="s">
        <v>49</v>
      </c>
      <c r="AL240" s="8" t="s">
        <v>66</v>
      </c>
      <c r="AM240" s="8" t="s">
        <v>1215</v>
      </c>
      <c r="AN240" s="9" t="s">
        <v>1216</v>
      </c>
      <c r="AO240" s="9" t="s">
        <v>1217</v>
      </c>
      <c r="AP240" s="10" t="s">
        <v>1218</v>
      </c>
      <c r="AQ240" s="11"/>
      <c r="AR240" s="10" t="s">
        <v>1219</v>
      </c>
      <c r="AS240" s="12"/>
      <c r="AT240" s="10" t="s">
        <v>1220</v>
      </c>
      <c r="AU240" s="11"/>
      <c r="AV240" s="13"/>
    </row>
    <row r="241" ht="16.5" hidden="1" customHeight="1">
      <c r="A241" s="7" t="s">
        <v>1221</v>
      </c>
      <c r="B241" s="7" t="s">
        <v>49</v>
      </c>
      <c r="C241" s="7" t="s">
        <v>919</v>
      </c>
      <c r="D241" s="7" t="s">
        <v>1144</v>
      </c>
      <c r="E241" s="7" t="s">
        <v>227</v>
      </c>
      <c r="F241" s="7">
        <v>6623.0</v>
      </c>
      <c r="G241" s="7">
        <v>6623.0</v>
      </c>
      <c r="H241" s="7" t="s">
        <v>53</v>
      </c>
      <c r="I241" s="7"/>
      <c r="J241" s="7"/>
      <c r="K241" s="8" t="s">
        <v>54</v>
      </c>
      <c r="L241" s="8" t="s">
        <v>55</v>
      </c>
      <c r="M241" s="12" t="s">
        <v>55</v>
      </c>
      <c r="N241" s="8" t="s">
        <v>55</v>
      </c>
      <c r="O241" s="8" t="s">
        <v>228</v>
      </c>
      <c r="P241" s="8" t="s">
        <v>229</v>
      </c>
      <c r="Q241" s="8" t="s">
        <v>1154</v>
      </c>
      <c r="R241" s="8" t="s">
        <v>49</v>
      </c>
      <c r="S241" s="8" t="s">
        <v>49</v>
      </c>
      <c r="T241" s="8" t="s">
        <v>49</v>
      </c>
      <c r="U241" s="8" t="s">
        <v>49</v>
      </c>
      <c r="V241" s="8" t="s">
        <v>49</v>
      </c>
      <c r="W241" s="8" t="s">
        <v>49</v>
      </c>
      <c r="X241" s="8" t="s">
        <v>55</v>
      </c>
      <c r="Y241" s="8" t="s">
        <v>55</v>
      </c>
      <c r="Z241" s="8" t="s">
        <v>55</v>
      </c>
      <c r="AA241" s="8" t="s">
        <v>231</v>
      </c>
      <c r="AB241" s="8" t="s">
        <v>60</v>
      </c>
      <c r="AC241" s="8" t="s">
        <v>1016</v>
      </c>
      <c r="AD241" s="8" t="s">
        <v>1203</v>
      </c>
      <c r="AE241" s="8" t="s">
        <v>55</v>
      </c>
      <c r="AF241" s="8" t="s">
        <v>55</v>
      </c>
      <c r="AG241" s="8" t="s">
        <v>63</v>
      </c>
      <c r="AH241" s="8" t="s">
        <v>55</v>
      </c>
      <c r="AI241" s="8" t="s">
        <v>94</v>
      </c>
      <c r="AJ241" s="8" t="s">
        <v>49</v>
      </c>
      <c r="AK241" s="8" t="s">
        <v>55</v>
      </c>
      <c r="AL241" s="8" t="s">
        <v>66</v>
      </c>
      <c r="AM241" s="8" t="s">
        <v>1215</v>
      </c>
      <c r="AN241" s="9" t="s">
        <v>1216</v>
      </c>
      <c r="AO241" s="9" t="s">
        <v>1217</v>
      </c>
      <c r="AP241" s="10" t="s">
        <v>1218</v>
      </c>
      <c r="AQ241" s="11"/>
      <c r="AR241" s="10" t="s">
        <v>1219</v>
      </c>
      <c r="AS241" s="12"/>
      <c r="AT241" s="10" t="s">
        <v>1220</v>
      </c>
      <c r="AU241" s="11"/>
      <c r="AV241" s="15">
        <v>46315.0</v>
      </c>
    </row>
    <row r="242" ht="16.5" hidden="1" customHeight="1">
      <c r="A242" s="7" t="s">
        <v>1222</v>
      </c>
      <c r="B242" s="14" t="s">
        <v>49</v>
      </c>
      <c r="C242" s="14" t="s">
        <v>919</v>
      </c>
      <c r="D242" s="14" t="s">
        <v>1144</v>
      </c>
      <c r="E242" s="7"/>
      <c r="F242" s="7">
        <v>6624.0</v>
      </c>
      <c r="G242" s="7">
        <v>6623.0</v>
      </c>
      <c r="H242" s="7" t="s">
        <v>53</v>
      </c>
      <c r="I242" s="7"/>
      <c r="J242" s="7"/>
      <c r="K242" s="8" t="s">
        <v>54</v>
      </c>
      <c r="L242" s="8" t="s">
        <v>55</v>
      </c>
      <c r="M242" s="12" t="s">
        <v>55</v>
      </c>
      <c r="N242" s="8" t="s">
        <v>55</v>
      </c>
      <c r="O242" s="8" t="s">
        <v>228</v>
      </c>
      <c r="P242" s="8" t="s">
        <v>229</v>
      </c>
      <c r="Q242" s="8" t="s">
        <v>1154</v>
      </c>
      <c r="R242" s="8" t="s">
        <v>49</v>
      </c>
      <c r="S242" s="8" t="s">
        <v>49</v>
      </c>
      <c r="T242" s="8" t="s">
        <v>49</v>
      </c>
      <c r="U242" s="8" t="s">
        <v>49</v>
      </c>
      <c r="V242" s="8" t="s">
        <v>49</v>
      </c>
      <c r="W242" s="8" t="s">
        <v>49</v>
      </c>
      <c r="X242" s="8" t="s">
        <v>55</v>
      </c>
      <c r="Y242" s="8" t="s">
        <v>55</v>
      </c>
      <c r="Z242" s="8" t="s">
        <v>55</v>
      </c>
      <c r="AA242" s="8" t="s">
        <v>231</v>
      </c>
      <c r="AB242" s="8" t="s">
        <v>60</v>
      </c>
      <c r="AC242" s="8" t="s">
        <v>1016</v>
      </c>
      <c r="AD242" s="8" t="s">
        <v>1203</v>
      </c>
      <c r="AE242" s="8" t="s">
        <v>55</v>
      </c>
      <c r="AF242" s="8" t="s">
        <v>55</v>
      </c>
      <c r="AG242" s="8" t="s">
        <v>63</v>
      </c>
      <c r="AH242" s="8" t="s">
        <v>55</v>
      </c>
      <c r="AI242" s="8" t="s">
        <v>112</v>
      </c>
      <c r="AJ242" s="8" t="s">
        <v>49</v>
      </c>
      <c r="AK242" s="8" t="s">
        <v>55</v>
      </c>
      <c r="AL242" s="8" t="s">
        <v>66</v>
      </c>
      <c r="AM242" s="8"/>
      <c r="AN242" s="9" t="s">
        <v>1223</v>
      </c>
      <c r="AO242" s="9" t="s">
        <v>1224</v>
      </c>
      <c r="AP242" s="10" t="s">
        <v>1218</v>
      </c>
      <c r="AQ242" s="11"/>
      <c r="AR242" s="10" t="s">
        <v>1219</v>
      </c>
      <c r="AS242" s="12"/>
      <c r="AT242" s="10" t="s">
        <v>1220</v>
      </c>
      <c r="AU242" s="11"/>
      <c r="AV242" s="13"/>
    </row>
    <row r="243" ht="16.5" hidden="1" customHeight="1">
      <c r="A243" s="7" t="s">
        <v>1225</v>
      </c>
      <c r="B243" s="7" t="s">
        <v>49</v>
      </c>
      <c r="C243" s="7" t="s">
        <v>213</v>
      </c>
      <c r="D243" s="7" t="s">
        <v>1144</v>
      </c>
      <c r="E243" s="7" t="s">
        <v>227</v>
      </c>
      <c r="F243" s="7">
        <v>6625.0</v>
      </c>
      <c r="G243" s="7"/>
      <c r="H243" s="7" t="s">
        <v>53</v>
      </c>
      <c r="I243" s="7"/>
      <c r="J243" s="7"/>
      <c r="K243" s="8" t="s">
        <v>54</v>
      </c>
      <c r="L243" s="8" t="s">
        <v>55</v>
      </c>
      <c r="M243" s="8"/>
      <c r="N243" s="8" t="s">
        <v>55</v>
      </c>
      <c r="O243" s="8" t="s">
        <v>228</v>
      </c>
      <c r="P243" s="8" t="s">
        <v>229</v>
      </c>
      <c r="Q243" s="8" t="s">
        <v>1145</v>
      </c>
      <c r="R243" s="8" t="s">
        <v>49</v>
      </c>
      <c r="S243" s="8" t="s">
        <v>49</v>
      </c>
      <c r="T243" s="8" t="s">
        <v>49</v>
      </c>
      <c r="U243" s="8" t="s">
        <v>49</v>
      </c>
      <c r="V243" s="8" t="s">
        <v>49</v>
      </c>
      <c r="W243" s="8" t="s">
        <v>49</v>
      </c>
      <c r="X243" s="8" t="s">
        <v>49</v>
      </c>
      <c r="Y243" s="8" t="s">
        <v>49</v>
      </c>
      <c r="Z243" s="8" t="s">
        <v>49</v>
      </c>
      <c r="AA243" s="8" t="s">
        <v>231</v>
      </c>
      <c r="AB243" s="8" t="s">
        <v>60</v>
      </c>
      <c r="AC243" s="8" t="s">
        <v>1144</v>
      </c>
      <c r="AD243" s="8" t="s">
        <v>1203</v>
      </c>
      <c r="AE243" s="8" t="s">
        <v>55</v>
      </c>
      <c r="AF243" s="8" t="s">
        <v>55</v>
      </c>
      <c r="AG243" s="8" t="s">
        <v>63</v>
      </c>
      <c r="AH243" s="8" t="s">
        <v>55</v>
      </c>
      <c r="AI243" s="8" t="s">
        <v>94</v>
      </c>
      <c r="AJ243" s="8" t="s">
        <v>49</v>
      </c>
      <c r="AK243" s="8" t="s">
        <v>49</v>
      </c>
      <c r="AL243" s="8" t="s">
        <v>66</v>
      </c>
      <c r="AM243" s="8" t="s">
        <v>1226</v>
      </c>
      <c r="AN243" s="9" t="s">
        <v>1227</v>
      </c>
      <c r="AO243" s="9" t="s">
        <v>1228</v>
      </c>
      <c r="AP243" s="18" t="s">
        <v>1229</v>
      </c>
      <c r="AQ243" s="11"/>
      <c r="AR243" s="10" t="s">
        <v>1230</v>
      </c>
      <c r="AS243" s="12"/>
      <c r="AT243" s="10" t="s">
        <v>1231</v>
      </c>
      <c r="AU243" s="11"/>
      <c r="AV243" s="13"/>
    </row>
    <row r="244" ht="16.5" hidden="1" customHeight="1">
      <c r="A244" s="7" t="s">
        <v>1232</v>
      </c>
      <c r="B244" s="7" t="s">
        <v>49</v>
      </c>
      <c r="C244" s="7" t="s">
        <v>213</v>
      </c>
      <c r="D244" s="7" t="s">
        <v>1144</v>
      </c>
      <c r="E244" s="7" t="s">
        <v>227</v>
      </c>
      <c r="F244" s="7">
        <v>6625.0</v>
      </c>
      <c r="G244" s="7">
        <v>6625.0</v>
      </c>
      <c r="H244" s="7" t="s">
        <v>53</v>
      </c>
      <c r="I244" s="7"/>
      <c r="J244" s="7"/>
      <c r="K244" s="8" t="s">
        <v>54</v>
      </c>
      <c r="L244" s="8" t="s">
        <v>55</v>
      </c>
      <c r="M244" s="12" t="s">
        <v>55</v>
      </c>
      <c r="N244" s="8" t="s">
        <v>55</v>
      </c>
      <c r="O244" s="8" t="s">
        <v>228</v>
      </c>
      <c r="P244" s="8" t="s">
        <v>229</v>
      </c>
      <c r="Q244" s="8" t="s">
        <v>1154</v>
      </c>
      <c r="R244" s="8" t="s">
        <v>49</v>
      </c>
      <c r="S244" s="8" t="s">
        <v>49</v>
      </c>
      <c r="T244" s="8" t="s">
        <v>49</v>
      </c>
      <c r="U244" s="8" t="s">
        <v>49</v>
      </c>
      <c r="V244" s="8" t="s">
        <v>49</v>
      </c>
      <c r="W244" s="8" t="s">
        <v>49</v>
      </c>
      <c r="X244" s="8" t="s">
        <v>55</v>
      </c>
      <c r="Y244" s="8" t="s">
        <v>55</v>
      </c>
      <c r="Z244" s="8" t="s">
        <v>55</v>
      </c>
      <c r="AA244" s="8" t="s">
        <v>231</v>
      </c>
      <c r="AB244" s="8" t="s">
        <v>60</v>
      </c>
      <c r="AC244" s="8" t="s">
        <v>1144</v>
      </c>
      <c r="AD244" s="8" t="s">
        <v>1203</v>
      </c>
      <c r="AE244" s="8" t="s">
        <v>55</v>
      </c>
      <c r="AF244" s="8" t="s">
        <v>55</v>
      </c>
      <c r="AG244" s="8" t="s">
        <v>63</v>
      </c>
      <c r="AH244" s="8" t="s">
        <v>55</v>
      </c>
      <c r="AI244" s="8" t="s">
        <v>94</v>
      </c>
      <c r="AJ244" s="8" t="s">
        <v>49</v>
      </c>
      <c r="AK244" s="8" t="s">
        <v>55</v>
      </c>
      <c r="AL244" s="8" t="s">
        <v>66</v>
      </c>
      <c r="AM244" s="8" t="s">
        <v>1226</v>
      </c>
      <c r="AN244" s="9" t="s">
        <v>1227</v>
      </c>
      <c r="AO244" s="9" t="s">
        <v>1228</v>
      </c>
      <c r="AP244" s="17" t="s">
        <v>1233</v>
      </c>
      <c r="AQ244" s="11"/>
      <c r="AR244" s="10" t="s">
        <v>1230</v>
      </c>
      <c r="AS244" s="12"/>
      <c r="AT244" s="10" t="s">
        <v>1231</v>
      </c>
      <c r="AU244" s="11"/>
      <c r="AV244" s="15">
        <v>46315.0</v>
      </c>
    </row>
    <row r="245" ht="16.5" hidden="1" customHeight="1">
      <c r="A245" s="7" t="s">
        <v>1234</v>
      </c>
      <c r="B245" s="14" t="s">
        <v>49</v>
      </c>
      <c r="C245" s="14" t="s">
        <v>213</v>
      </c>
      <c r="D245" s="14" t="s">
        <v>1144</v>
      </c>
      <c r="E245" s="7"/>
      <c r="F245" s="7">
        <v>6626.0</v>
      </c>
      <c r="G245" s="7">
        <v>6625.0</v>
      </c>
      <c r="H245" s="7" t="s">
        <v>53</v>
      </c>
      <c r="I245" s="7"/>
      <c r="J245" s="7"/>
      <c r="K245" s="8" t="s">
        <v>54</v>
      </c>
      <c r="L245" s="8" t="s">
        <v>55</v>
      </c>
      <c r="M245" s="12" t="s">
        <v>55</v>
      </c>
      <c r="N245" s="8" t="s">
        <v>55</v>
      </c>
      <c r="O245" s="8" t="s">
        <v>228</v>
      </c>
      <c r="P245" s="8" t="s">
        <v>229</v>
      </c>
      <c r="Q245" s="8" t="s">
        <v>1154</v>
      </c>
      <c r="R245" s="8" t="s">
        <v>49</v>
      </c>
      <c r="S245" s="8" t="s">
        <v>49</v>
      </c>
      <c r="T245" s="8" t="s">
        <v>49</v>
      </c>
      <c r="U245" s="8" t="s">
        <v>49</v>
      </c>
      <c r="V245" s="8" t="s">
        <v>49</v>
      </c>
      <c r="W245" s="8" t="s">
        <v>49</v>
      </c>
      <c r="X245" s="8" t="s">
        <v>55</v>
      </c>
      <c r="Y245" s="8" t="s">
        <v>55</v>
      </c>
      <c r="Z245" s="8" t="s">
        <v>55</v>
      </c>
      <c r="AA245" s="8" t="s">
        <v>231</v>
      </c>
      <c r="AB245" s="8" t="s">
        <v>60</v>
      </c>
      <c r="AC245" s="8" t="s">
        <v>1144</v>
      </c>
      <c r="AD245" s="8" t="s">
        <v>1203</v>
      </c>
      <c r="AE245" s="8" t="s">
        <v>55</v>
      </c>
      <c r="AF245" s="8" t="s">
        <v>55</v>
      </c>
      <c r="AG245" s="8" t="s">
        <v>63</v>
      </c>
      <c r="AH245" s="8" t="s">
        <v>55</v>
      </c>
      <c r="AI245" s="8" t="s">
        <v>112</v>
      </c>
      <c r="AJ245" s="8" t="s">
        <v>49</v>
      </c>
      <c r="AK245" s="8" t="s">
        <v>55</v>
      </c>
      <c r="AL245" s="8" t="s">
        <v>66</v>
      </c>
      <c r="AM245" s="8"/>
      <c r="AN245" s="9" t="s">
        <v>1235</v>
      </c>
      <c r="AO245" s="9" t="s">
        <v>1236</v>
      </c>
      <c r="AP245" s="17" t="s">
        <v>1233</v>
      </c>
      <c r="AQ245" s="11"/>
      <c r="AR245" s="10" t="s">
        <v>1230</v>
      </c>
      <c r="AS245" s="12"/>
      <c r="AT245" s="10" t="s">
        <v>1231</v>
      </c>
      <c r="AU245" s="11"/>
      <c r="AV245" s="13"/>
    </row>
    <row r="246" ht="16.5" hidden="1" customHeight="1">
      <c r="A246" s="7" t="s">
        <v>1237</v>
      </c>
      <c r="B246" s="7" t="s">
        <v>49</v>
      </c>
      <c r="C246" s="7" t="s">
        <v>1238</v>
      </c>
      <c r="D246" s="7" t="s">
        <v>1239</v>
      </c>
      <c r="E246" s="7" t="s">
        <v>227</v>
      </c>
      <c r="F246" s="7">
        <v>6627.0</v>
      </c>
      <c r="G246" s="7"/>
      <c r="H246" s="7" t="s">
        <v>53</v>
      </c>
      <c r="I246" s="7"/>
      <c r="J246" s="7"/>
      <c r="K246" s="8" t="s">
        <v>55</v>
      </c>
      <c r="L246" s="8" t="s">
        <v>55</v>
      </c>
      <c r="M246" s="12" t="s">
        <v>55</v>
      </c>
      <c r="N246" s="8" t="s">
        <v>55</v>
      </c>
      <c r="O246" s="8" t="s">
        <v>55</v>
      </c>
      <c r="P246" s="8" t="s">
        <v>55</v>
      </c>
      <c r="Q246" s="8" t="s">
        <v>49</v>
      </c>
      <c r="R246" s="8" t="s">
        <v>49</v>
      </c>
      <c r="S246" s="8" t="s">
        <v>49</v>
      </c>
      <c r="T246" s="8" t="s">
        <v>49</v>
      </c>
      <c r="U246" s="8" t="s">
        <v>49</v>
      </c>
      <c r="V246" s="8" t="s">
        <v>49</v>
      </c>
      <c r="W246" s="8" t="s">
        <v>49</v>
      </c>
      <c r="X246" s="8" t="s">
        <v>55</v>
      </c>
      <c r="Y246" s="8" t="s">
        <v>55</v>
      </c>
      <c r="Z246" s="8" t="s">
        <v>55</v>
      </c>
      <c r="AA246" s="8" t="s">
        <v>55</v>
      </c>
      <c r="AB246" s="8" t="s">
        <v>55</v>
      </c>
      <c r="AC246" s="8" t="s">
        <v>348</v>
      </c>
      <c r="AD246" s="12" t="s">
        <v>1240</v>
      </c>
      <c r="AE246" s="8" t="s">
        <v>1241</v>
      </c>
      <c r="AF246" s="8" t="s">
        <v>1242</v>
      </c>
      <c r="AG246" s="8" t="s">
        <v>63</v>
      </c>
      <c r="AH246" s="8" t="s">
        <v>55</v>
      </c>
      <c r="AI246" s="8" t="s">
        <v>369</v>
      </c>
      <c r="AJ246" s="8" t="s">
        <v>49</v>
      </c>
      <c r="AK246" s="8" t="s">
        <v>55</v>
      </c>
      <c r="AL246" s="8" t="s">
        <v>720</v>
      </c>
      <c r="AM246" s="8" t="s">
        <v>1243</v>
      </c>
      <c r="AN246" s="9" t="s">
        <v>1244</v>
      </c>
      <c r="AO246" s="9" t="s">
        <v>1245</v>
      </c>
      <c r="AP246" s="17" t="s">
        <v>1237</v>
      </c>
      <c r="AQ246" s="11"/>
      <c r="AR246" s="11"/>
      <c r="AS246" s="12"/>
      <c r="AT246" s="10" t="s">
        <v>1246</v>
      </c>
      <c r="AU246" s="11"/>
      <c r="AV246" s="15">
        <v>46315.0</v>
      </c>
    </row>
    <row r="247" ht="16.5" hidden="1" customHeight="1">
      <c r="A247" s="7" t="s">
        <v>1247</v>
      </c>
      <c r="B247" s="7" t="s">
        <v>49</v>
      </c>
      <c r="C247" s="7" t="s">
        <v>1238</v>
      </c>
      <c r="D247" s="7" t="s">
        <v>920</v>
      </c>
      <c r="E247" s="7" t="s">
        <v>227</v>
      </c>
      <c r="F247" s="7">
        <v>6628.0</v>
      </c>
      <c r="G247" s="7"/>
      <c r="H247" s="7" t="s">
        <v>53</v>
      </c>
      <c r="I247" s="7"/>
      <c r="J247" s="7"/>
      <c r="K247" s="8" t="s">
        <v>55</v>
      </c>
      <c r="L247" s="8" t="s">
        <v>55</v>
      </c>
      <c r="M247" s="12" t="s">
        <v>55</v>
      </c>
      <c r="N247" s="8" t="s">
        <v>55</v>
      </c>
      <c r="O247" s="8" t="s">
        <v>55</v>
      </c>
      <c r="P247" s="8" t="s">
        <v>55</v>
      </c>
      <c r="Q247" s="8" t="s">
        <v>49</v>
      </c>
      <c r="R247" s="8" t="s">
        <v>49</v>
      </c>
      <c r="S247" s="8" t="s">
        <v>49</v>
      </c>
      <c r="T247" s="8" t="s">
        <v>49</v>
      </c>
      <c r="U247" s="8" t="s">
        <v>49</v>
      </c>
      <c r="V247" s="8" t="s">
        <v>49</v>
      </c>
      <c r="W247" s="8" t="s">
        <v>49</v>
      </c>
      <c r="X247" s="8" t="s">
        <v>55</v>
      </c>
      <c r="Y247" s="8" t="s">
        <v>55</v>
      </c>
      <c r="Z247" s="8" t="s">
        <v>55</v>
      </c>
      <c r="AA247" s="8" t="s">
        <v>55</v>
      </c>
      <c r="AB247" s="8" t="s">
        <v>55</v>
      </c>
      <c r="AC247" s="8" t="s">
        <v>55</v>
      </c>
      <c r="AD247" s="8" t="s">
        <v>55</v>
      </c>
      <c r="AE247" s="8" t="s">
        <v>55</v>
      </c>
      <c r="AF247" s="8" t="s">
        <v>55</v>
      </c>
      <c r="AG247" s="8" t="s">
        <v>1248</v>
      </c>
      <c r="AH247" s="8" t="s">
        <v>1248</v>
      </c>
      <c r="AI247" s="8" t="s">
        <v>369</v>
      </c>
      <c r="AJ247" s="8" t="s">
        <v>49</v>
      </c>
      <c r="AK247" s="8" t="s">
        <v>55</v>
      </c>
      <c r="AL247" s="8" t="s">
        <v>720</v>
      </c>
      <c r="AM247" s="8" t="s">
        <v>1243</v>
      </c>
      <c r="AN247" s="9" t="s">
        <v>1249</v>
      </c>
      <c r="AO247" s="9" t="s">
        <v>1250</v>
      </c>
      <c r="AP247" s="17" t="s">
        <v>1237</v>
      </c>
      <c r="AQ247" s="11"/>
      <c r="AR247" s="11"/>
      <c r="AS247" s="12"/>
      <c r="AT247" s="11"/>
      <c r="AU247" s="11"/>
      <c r="AV247" s="15">
        <v>46315.0</v>
      </c>
    </row>
    <row r="248" ht="16.5" hidden="1" customHeight="1">
      <c r="A248" s="7" t="s">
        <v>1251</v>
      </c>
      <c r="B248" s="7" t="s">
        <v>49</v>
      </c>
      <c r="C248" s="7" t="s">
        <v>50</v>
      </c>
      <c r="D248" s="7" t="s">
        <v>376</v>
      </c>
      <c r="E248" s="7" t="s">
        <v>227</v>
      </c>
      <c r="F248" s="7">
        <v>6631.0</v>
      </c>
      <c r="G248" s="7"/>
      <c r="H248" s="7" t="s">
        <v>53</v>
      </c>
      <c r="I248" s="7"/>
      <c r="J248" s="7"/>
      <c r="K248" s="8" t="s">
        <v>84</v>
      </c>
      <c r="L248" s="8" t="s">
        <v>49</v>
      </c>
      <c r="M248" s="8"/>
      <c r="N248" s="8" t="s">
        <v>85</v>
      </c>
      <c r="O248" s="8" t="s">
        <v>56</v>
      </c>
      <c r="P248" s="8" t="s">
        <v>57</v>
      </c>
      <c r="Q248" s="8" t="s">
        <v>86</v>
      </c>
      <c r="R248" s="8">
        <v>0.4</v>
      </c>
      <c r="S248" s="8" t="s">
        <v>49</v>
      </c>
      <c r="T248" s="8" t="s">
        <v>49</v>
      </c>
      <c r="U248" s="8" t="s">
        <v>1252</v>
      </c>
      <c r="V248" s="8" t="s">
        <v>1253</v>
      </c>
      <c r="W248" s="8" t="s">
        <v>89</v>
      </c>
      <c r="X248" s="8" t="s">
        <v>90</v>
      </c>
      <c r="Y248" s="8" t="s">
        <v>1254</v>
      </c>
      <c r="Z248" s="8" t="s">
        <v>92</v>
      </c>
      <c r="AA248" s="8" t="s">
        <v>231</v>
      </c>
      <c r="AB248" s="8" t="s">
        <v>60</v>
      </c>
      <c r="AC248" s="8" t="s">
        <v>1255</v>
      </c>
      <c r="AD248" s="8" t="s">
        <v>1256</v>
      </c>
      <c r="AE248" s="8" t="s">
        <v>1257</v>
      </c>
      <c r="AF248" s="8" t="s">
        <v>1258</v>
      </c>
      <c r="AG248" s="8" t="s">
        <v>63</v>
      </c>
      <c r="AH248" s="8" t="s">
        <v>145</v>
      </c>
      <c r="AI248" s="8" t="s">
        <v>94</v>
      </c>
      <c r="AJ248" s="8" t="s">
        <v>49</v>
      </c>
      <c r="AK248" s="8" t="s">
        <v>49</v>
      </c>
      <c r="AL248" s="8" t="s">
        <v>66</v>
      </c>
      <c r="AM248" s="8" t="s">
        <v>1259</v>
      </c>
      <c r="AN248" s="9" t="s">
        <v>1260</v>
      </c>
      <c r="AO248" s="9" t="s">
        <v>1261</v>
      </c>
      <c r="AP248" s="10" t="s">
        <v>1262</v>
      </c>
      <c r="AQ248" s="10" t="s">
        <v>1263</v>
      </c>
      <c r="AR248" s="10" t="s">
        <v>1264</v>
      </c>
      <c r="AS248" s="12"/>
      <c r="AT248" s="10" t="s">
        <v>1265</v>
      </c>
      <c r="AU248" s="10" t="s">
        <v>1266</v>
      </c>
      <c r="AV248" s="13"/>
    </row>
    <row r="249" ht="16.5" hidden="1" customHeight="1">
      <c r="A249" s="7" t="s">
        <v>1267</v>
      </c>
      <c r="B249" s="7" t="s">
        <v>49</v>
      </c>
      <c r="C249" s="7" t="s">
        <v>50</v>
      </c>
      <c r="D249" s="14" t="s">
        <v>344</v>
      </c>
      <c r="E249" s="7" t="s">
        <v>227</v>
      </c>
      <c r="F249" s="7">
        <v>6631.0</v>
      </c>
      <c r="G249" s="7">
        <v>6631.0</v>
      </c>
      <c r="H249" s="7" t="s">
        <v>53</v>
      </c>
      <c r="I249" s="7"/>
      <c r="J249" s="7"/>
      <c r="K249" s="8" t="s">
        <v>84</v>
      </c>
      <c r="L249" s="8" t="s">
        <v>49</v>
      </c>
      <c r="M249" s="8"/>
      <c r="N249" s="8" t="s">
        <v>85</v>
      </c>
      <c r="O249" s="8" t="s">
        <v>56</v>
      </c>
      <c r="P249" s="8" t="s">
        <v>57</v>
      </c>
      <c r="Q249" s="8" t="s">
        <v>86</v>
      </c>
      <c r="R249" s="8">
        <v>0.4</v>
      </c>
      <c r="S249" s="8" t="s">
        <v>49</v>
      </c>
      <c r="T249" s="8" t="s">
        <v>49</v>
      </c>
      <c r="U249" s="8" t="s">
        <v>1252</v>
      </c>
      <c r="V249" s="8" t="s">
        <v>1253</v>
      </c>
      <c r="W249" s="8" t="s">
        <v>89</v>
      </c>
      <c r="X249" s="8" t="s">
        <v>90</v>
      </c>
      <c r="Y249" s="8" t="s">
        <v>1254</v>
      </c>
      <c r="Z249" s="8" t="s">
        <v>92</v>
      </c>
      <c r="AA249" s="8" t="s">
        <v>231</v>
      </c>
      <c r="AB249" s="8" t="s">
        <v>60</v>
      </c>
      <c r="AC249" s="8" t="s">
        <v>1255</v>
      </c>
      <c r="AD249" s="8" t="s">
        <v>1256</v>
      </c>
      <c r="AE249" s="8" t="s">
        <v>1257</v>
      </c>
      <c r="AF249" s="8" t="s">
        <v>1258</v>
      </c>
      <c r="AG249" s="8" t="s">
        <v>63</v>
      </c>
      <c r="AH249" s="8" t="s">
        <v>145</v>
      </c>
      <c r="AI249" s="8" t="s">
        <v>94</v>
      </c>
      <c r="AJ249" s="8" t="s">
        <v>49</v>
      </c>
      <c r="AK249" s="8" t="s">
        <v>95</v>
      </c>
      <c r="AL249" s="8" t="s">
        <v>66</v>
      </c>
      <c r="AM249" s="8" t="s">
        <v>1259</v>
      </c>
      <c r="AN249" s="16" t="s">
        <v>1260</v>
      </c>
      <c r="AO249" s="9" t="s">
        <v>1261</v>
      </c>
      <c r="AP249" s="10" t="s">
        <v>1262</v>
      </c>
      <c r="AQ249" s="10" t="s">
        <v>1263</v>
      </c>
      <c r="AR249" s="10" t="s">
        <v>1264</v>
      </c>
      <c r="AS249" s="12"/>
      <c r="AT249" s="10" t="s">
        <v>1265</v>
      </c>
      <c r="AU249" s="10" t="s">
        <v>1266</v>
      </c>
      <c r="AV249" s="13"/>
    </row>
    <row r="250" ht="16.5" hidden="1" customHeight="1">
      <c r="A250" s="7" t="s">
        <v>1268</v>
      </c>
      <c r="B250" s="14" t="s">
        <v>49</v>
      </c>
      <c r="C250" s="14" t="s">
        <v>50</v>
      </c>
      <c r="D250" s="14" t="s">
        <v>344</v>
      </c>
      <c r="E250" s="7"/>
      <c r="F250" s="7">
        <v>6632.0</v>
      </c>
      <c r="G250" s="7">
        <v>6631.0</v>
      </c>
      <c r="H250" s="7" t="s">
        <v>53</v>
      </c>
      <c r="I250" s="7"/>
      <c r="J250" s="7"/>
      <c r="K250" s="8" t="s">
        <v>84</v>
      </c>
      <c r="L250" s="8" t="s">
        <v>49</v>
      </c>
      <c r="M250" s="8"/>
      <c r="N250" s="8" t="s">
        <v>85</v>
      </c>
      <c r="O250" s="8" t="s">
        <v>56</v>
      </c>
      <c r="P250" s="8" t="s">
        <v>57</v>
      </c>
      <c r="Q250" s="8" t="s">
        <v>86</v>
      </c>
      <c r="R250" s="8">
        <v>0.4</v>
      </c>
      <c r="S250" s="8" t="s">
        <v>49</v>
      </c>
      <c r="T250" s="8" t="s">
        <v>49</v>
      </c>
      <c r="U250" s="8" t="s">
        <v>1252</v>
      </c>
      <c r="V250" s="8" t="s">
        <v>1253</v>
      </c>
      <c r="W250" s="8" t="s">
        <v>89</v>
      </c>
      <c r="X250" s="8" t="s">
        <v>90</v>
      </c>
      <c r="Y250" s="8" t="s">
        <v>1254</v>
      </c>
      <c r="Z250" s="8" t="s">
        <v>92</v>
      </c>
      <c r="AA250" s="8" t="s">
        <v>231</v>
      </c>
      <c r="AB250" s="8" t="s">
        <v>60</v>
      </c>
      <c r="AC250" s="8" t="s">
        <v>1255</v>
      </c>
      <c r="AD250" s="8" t="s">
        <v>1256</v>
      </c>
      <c r="AE250" s="8" t="s">
        <v>1257</v>
      </c>
      <c r="AF250" s="8" t="s">
        <v>1258</v>
      </c>
      <c r="AG250" s="8" t="s">
        <v>63</v>
      </c>
      <c r="AH250" s="8" t="s">
        <v>145</v>
      </c>
      <c r="AI250" s="8" t="s">
        <v>112</v>
      </c>
      <c r="AJ250" s="8" t="s">
        <v>49</v>
      </c>
      <c r="AK250" s="8" t="s">
        <v>95</v>
      </c>
      <c r="AL250" s="8" t="s">
        <v>66</v>
      </c>
      <c r="AM250" s="8" t="s">
        <v>1259</v>
      </c>
      <c r="AN250" s="16" t="s">
        <v>1269</v>
      </c>
      <c r="AO250" s="9" t="s">
        <v>1270</v>
      </c>
      <c r="AP250" s="10" t="s">
        <v>1262</v>
      </c>
      <c r="AQ250" s="10" t="s">
        <v>1263</v>
      </c>
      <c r="AR250" s="10" t="s">
        <v>1264</v>
      </c>
      <c r="AS250" s="12"/>
      <c r="AT250" s="10" t="s">
        <v>1265</v>
      </c>
      <c r="AU250" s="10" t="s">
        <v>1266</v>
      </c>
      <c r="AV250" s="13"/>
    </row>
    <row r="251" ht="16.5" hidden="1" customHeight="1">
      <c r="A251" s="7" t="s">
        <v>1271</v>
      </c>
      <c r="B251" s="7" t="s">
        <v>49</v>
      </c>
      <c r="C251" s="7" t="s">
        <v>50</v>
      </c>
      <c r="D251" s="7" t="s">
        <v>51</v>
      </c>
      <c r="E251" s="7" t="s">
        <v>52</v>
      </c>
      <c r="F251" s="7">
        <v>6633.0</v>
      </c>
      <c r="G251" s="7"/>
      <c r="H251" s="7" t="s">
        <v>53</v>
      </c>
      <c r="I251" s="7"/>
      <c r="J251" s="7"/>
      <c r="K251" s="8" t="s">
        <v>84</v>
      </c>
      <c r="L251" s="8" t="s">
        <v>49</v>
      </c>
      <c r="M251" s="8"/>
      <c r="N251" s="8" t="s">
        <v>85</v>
      </c>
      <c r="O251" s="8" t="s">
        <v>56</v>
      </c>
      <c r="P251" s="8" t="s">
        <v>57</v>
      </c>
      <c r="Q251" s="8" t="s">
        <v>1272</v>
      </c>
      <c r="R251" s="8">
        <v>0.51</v>
      </c>
      <c r="S251" s="8" t="s">
        <v>49</v>
      </c>
      <c r="T251" s="8" t="s">
        <v>49</v>
      </c>
      <c r="U251" s="8" t="s">
        <v>1273</v>
      </c>
      <c r="V251" s="8" t="s">
        <v>1274</v>
      </c>
      <c r="W251" s="8" t="s">
        <v>89</v>
      </c>
      <c r="X251" s="8" t="s">
        <v>108</v>
      </c>
      <c r="Y251" s="8" t="s">
        <v>1275</v>
      </c>
      <c r="Z251" s="8" t="s">
        <v>92</v>
      </c>
      <c r="AA251" s="8" t="s">
        <v>59</v>
      </c>
      <c r="AB251" s="8" t="s">
        <v>60</v>
      </c>
      <c r="AC251" s="8" t="s">
        <v>61</v>
      </c>
      <c r="AD251" s="8" t="s">
        <v>1276</v>
      </c>
      <c r="AE251" s="8" t="s">
        <v>55</v>
      </c>
      <c r="AF251" s="8" t="s">
        <v>55</v>
      </c>
      <c r="AG251" s="8" t="s">
        <v>63</v>
      </c>
      <c r="AH251" s="8" t="s">
        <v>145</v>
      </c>
      <c r="AI251" s="8" t="s">
        <v>94</v>
      </c>
      <c r="AJ251" s="8" t="s">
        <v>49</v>
      </c>
      <c r="AK251" s="8" t="s">
        <v>49</v>
      </c>
      <c r="AL251" s="8" t="s">
        <v>66</v>
      </c>
      <c r="AM251" s="8" t="s">
        <v>1277</v>
      </c>
      <c r="AN251" s="9" t="s">
        <v>1278</v>
      </c>
      <c r="AO251" s="9" t="s">
        <v>1279</v>
      </c>
      <c r="AP251" s="10" t="s">
        <v>1280</v>
      </c>
      <c r="AQ251" s="10" t="s">
        <v>1281</v>
      </c>
      <c r="AR251" s="10" t="s">
        <v>1282</v>
      </c>
      <c r="AS251" s="12"/>
      <c r="AT251" s="10" t="s">
        <v>1283</v>
      </c>
      <c r="AU251" s="10" t="s">
        <v>1284</v>
      </c>
      <c r="AV251" s="13"/>
    </row>
    <row r="252" ht="16.5" hidden="1" customHeight="1">
      <c r="A252" s="7" t="s">
        <v>1285</v>
      </c>
      <c r="B252" s="7" t="s">
        <v>49</v>
      </c>
      <c r="C252" s="7" t="s">
        <v>50</v>
      </c>
      <c r="D252" s="7" t="s">
        <v>51</v>
      </c>
      <c r="E252" s="7" t="s">
        <v>52</v>
      </c>
      <c r="F252" s="7">
        <v>6633.0</v>
      </c>
      <c r="G252" s="7">
        <v>6633.0</v>
      </c>
      <c r="H252" s="7" t="s">
        <v>53</v>
      </c>
      <c r="I252" s="7"/>
      <c r="J252" s="7"/>
      <c r="K252" s="8" t="s">
        <v>84</v>
      </c>
      <c r="L252" s="8" t="s">
        <v>49</v>
      </c>
      <c r="M252" s="8"/>
      <c r="N252" s="8" t="s">
        <v>85</v>
      </c>
      <c r="O252" s="8" t="s">
        <v>56</v>
      </c>
      <c r="P252" s="8" t="s">
        <v>57</v>
      </c>
      <c r="Q252" s="8" t="s">
        <v>1272</v>
      </c>
      <c r="R252" s="8">
        <v>0.51</v>
      </c>
      <c r="S252" s="8" t="s">
        <v>49</v>
      </c>
      <c r="T252" s="8" t="s">
        <v>49</v>
      </c>
      <c r="U252" s="8" t="s">
        <v>1273</v>
      </c>
      <c r="V252" s="8" t="s">
        <v>1274</v>
      </c>
      <c r="W252" s="8" t="s">
        <v>89</v>
      </c>
      <c r="X252" s="8" t="s">
        <v>108</v>
      </c>
      <c r="Y252" s="8" t="s">
        <v>1275</v>
      </c>
      <c r="Z252" s="8" t="s">
        <v>92</v>
      </c>
      <c r="AA252" s="8" t="s">
        <v>59</v>
      </c>
      <c r="AB252" s="8" t="s">
        <v>60</v>
      </c>
      <c r="AC252" s="8" t="s">
        <v>61</v>
      </c>
      <c r="AD252" s="12" t="s">
        <v>1276</v>
      </c>
      <c r="AE252" s="8" t="s">
        <v>55</v>
      </c>
      <c r="AF252" s="8" t="s">
        <v>55</v>
      </c>
      <c r="AG252" s="8" t="s">
        <v>63</v>
      </c>
      <c r="AH252" s="8" t="s">
        <v>145</v>
      </c>
      <c r="AI252" s="8" t="s">
        <v>94</v>
      </c>
      <c r="AJ252" s="8" t="s">
        <v>49</v>
      </c>
      <c r="AK252" s="8" t="s">
        <v>95</v>
      </c>
      <c r="AL252" s="8" t="s">
        <v>66</v>
      </c>
      <c r="AM252" s="8" t="s">
        <v>1277</v>
      </c>
      <c r="AN252" s="16" t="s">
        <v>1278</v>
      </c>
      <c r="AO252" s="9" t="s">
        <v>1279</v>
      </c>
      <c r="AP252" s="10" t="s">
        <v>1280</v>
      </c>
      <c r="AQ252" s="10" t="s">
        <v>1281</v>
      </c>
      <c r="AR252" s="10" t="s">
        <v>1282</v>
      </c>
      <c r="AS252" s="12"/>
      <c r="AT252" s="10" t="s">
        <v>1283</v>
      </c>
      <c r="AU252" s="10" t="s">
        <v>1284</v>
      </c>
      <c r="AV252" s="13"/>
    </row>
    <row r="253" ht="16.5" hidden="1" customHeight="1">
      <c r="A253" s="7" t="s">
        <v>1286</v>
      </c>
      <c r="B253" s="14" t="s">
        <v>49</v>
      </c>
      <c r="C253" s="14" t="s">
        <v>50</v>
      </c>
      <c r="D253" s="14" t="s">
        <v>51</v>
      </c>
      <c r="E253" s="7"/>
      <c r="F253" s="7">
        <v>6634.0</v>
      </c>
      <c r="G253" s="7">
        <v>6633.0</v>
      </c>
      <c r="H253" s="7" t="s">
        <v>53</v>
      </c>
      <c r="I253" s="7"/>
      <c r="J253" s="7"/>
      <c r="K253" s="8" t="s">
        <v>84</v>
      </c>
      <c r="L253" s="8" t="s">
        <v>49</v>
      </c>
      <c r="M253" s="8"/>
      <c r="N253" s="8" t="s">
        <v>85</v>
      </c>
      <c r="O253" s="8" t="s">
        <v>56</v>
      </c>
      <c r="P253" s="8" t="s">
        <v>57</v>
      </c>
      <c r="Q253" s="8" t="s">
        <v>1272</v>
      </c>
      <c r="R253" s="8">
        <v>0.51</v>
      </c>
      <c r="S253" s="8" t="s">
        <v>49</v>
      </c>
      <c r="T253" s="8" t="s">
        <v>49</v>
      </c>
      <c r="U253" s="8" t="s">
        <v>1273</v>
      </c>
      <c r="V253" s="8" t="s">
        <v>1274</v>
      </c>
      <c r="W253" s="8" t="s">
        <v>89</v>
      </c>
      <c r="X253" s="8" t="s">
        <v>108</v>
      </c>
      <c r="Y253" s="8" t="s">
        <v>1275</v>
      </c>
      <c r="Z253" s="8" t="s">
        <v>92</v>
      </c>
      <c r="AA253" s="8" t="s">
        <v>59</v>
      </c>
      <c r="AB253" s="8" t="s">
        <v>60</v>
      </c>
      <c r="AC253" s="8" t="s">
        <v>61</v>
      </c>
      <c r="AD253" s="12" t="s">
        <v>1276</v>
      </c>
      <c r="AE253" s="8" t="s">
        <v>55</v>
      </c>
      <c r="AF253" s="8" t="s">
        <v>55</v>
      </c>
      <c r="AG253" s="8" t="s">
        <v>63</v>
      </c>
      <c r="AH253" s="8" t="s">
        <v>145</v>
      </c>
      <c r="AI253" s="8" t="s">
        <v>112</v>
      </c>
      <c r="AJ253" s="8" t="s">
        <v>49</v>
      </c>
      <c r="AK253" s="8" t="s">
        <v>95</v>
      </c>
      <c r="AL253" s="8" t="s">
        <v>66</v>
      </c>
      <c r="AM253" s="8" t="s">
        <v>1277</v>
      </c>
      <c r="AN253" s="16" t="s">
        <v>1287</v>
      </c>
      <c r="AO253" s="9" t="s">
        <v>1288</v>
      </c>
      <c r="AP253" s="10" t="s">
        <v>1280</v>
      </c>
      <c r="AQ253" s="10" t="s">
        <v>1281</v>
      </c>
      <c r="AR253" s="10" t="s">
        <v>1282</v>
      </c>
      <c r="AS253" s="12"/>
      <c r="AT253" s="10" t="s">
        <v>1283</v>
      </c>
      <c r="AU253" s="10" t="s">
        <v>1284</v>
      </c>
      <c r="AV253" s="15">
        <v>46315.0</v>
      </c>
    </row>
    <row r="254" ht="16.5" hidden="1" customHeight="1">
      <c r="A254" s="7" t="s">
        <v>1289</v>
      </c>
      <c r="B254" s="7" t="s">
        <v>1290</v>
      </c>
      <c r="C254" s="7" t="s">
        <v>1291</v>
      </c>
      <c r="D254" s="7" t="s">
        <v>920</v>
      </c>
      <c r="E254" s="7" t="s">
        <v>227</v>
      </c>
      <c r="F254" s="7">
        <v>6635.0</v>
      </c>
      <c r="G254" s="7"/>
      <c r="H254" s="7" t="s">
        <v>53</v>
      </c>
      <c r="I254" s="7"/>
      <c r="J254" s="7"/>
      <c r="K254" s="8" t="s">
        <v>55</v>
      </c>
      <c r="L254" s="8" t="s">
        <v>55</v>
      </c>
      <c r="M254" s="12" t="s">
        <v>55</v>
      </c>
      <c r="N254" s="8" t="s">
        <v>55</v>
      </c>
      <c r="O254" s="8" t="s">
        <v>55</v>
      </c>
      <c r="P254" s="8" t="s">
        <v>55</v>
      </c>
      <c r="Q254" s="8" t="s">
        <v>49</v>
      </c>
      <c r="R254" s="20" t="s">
        <v>49</v>
      </c>
      <c r="S254" s="8" t="s">
        <v>49</v>
      </c>
      <c r="T254" s="8" t="s">
        <v>49</v>
      </c>
      <c r="U254" s="8" t="s">
        <v>49</v>
      </c>
      <c r="V254" s="8" t="s">
        <v>49</v>
      </c>
      <c r="W254" s="8" t="s">
        <v>49</v>
      </c>
      <c r="X254" s="8" t="s">
        <v>55</v>
      </c>
      <c r="Y254" s="8" t="s">
        <v>55</v>
      </c>
      <c r="Z254" s="8" t="s">
        <v>55</v>
      </c>
      <c r="AA254" s="8" t="s">
        <v>55</v>
      </c>
      <c r="AB254" s="8" t="s">
        <v>55</v>
      </c>
      <c r="AC254" s="8" t="s">
        <v>55</v>
      </c>
      <c r="AD254" s="8" t="s">
        <v>1292</v>
      </c>
      <c r="AE254" s="8" t="s">
        <v>55</v>
      </c>
      <c r="AF254" s="8" t="s">
        <v>55</v>
      </c>
      <c r="AG254" s="8" t="s">
        <v>890</v>
      </c>
      <c r="AH254" s="8" t="s">
        <v>55</v>
      </c>
      <c r="AI254" s="8" t="s">
        <v>369</v>
      </c>
      <c r="AJ254" s="8" t="s">
        <v>49</v>
      </c>
      <c r="AK254" s="8" t="s">
        <v>55</v>
      </c>
      <c r="AL254" s="8" t="s">
        <v>720</v>
      </c>
      <c r="AM254" s="8" t="s">
        <v>1293</v>
      </c>
      <c r="AN254" s="16" t="s">
        <v>1294</v>
      </c>
      <c r="AO254" s="16" t="s">
        <v>1295</v>
      </c>
      <c r="AP254" s="10" t="s">
        <v>1296</v>
      </c>
      <c r="AQ254" s="11"/>
      <c r="AR254" s="11"/>
      <c r="AS254" s="12"/>
      <c r="AT254" s="11"/>
      <c r="AU254" s="11"/>
      <c r="AV254" s="15">
        <v>46315.0</v>
      </c>
    </row>
    <row r="255" ht="16.5" hidden="1" customHeight="1">
      <c r="A255" s="7" t="s">
        <v>1297</v>
      </c>
      <c r="B255" s="7" t="s">
        <v>49</v>
      </c>
      <c r="C255" s="7" t="s">
        <v>332</v>
      </c>
      <c r="D255" s="7" t="s">
        <v>1298</v>
      </c>
      <c r="E255" s="7" t="s">
        <v>52</v>
      </c>
      <c r="F255" s="7">
        <v>6638.0</v>
      </c>
      <c r="G255" s="7"/>
      <c r="H255" s="7" t="s">
        <v>53</v>
      </c>
      <c r="I255" s="7"/>
      <c r="J255" s="7"/>
      <c r="K255" s="8" t="s">
        <v>84</v>
      </c>
      <c r="L255" s="8" t="s">
        <v>49</v>
      </c>
      <c r="M255" s="8"/>
      <c r="N255" s="8" t="s">
        <v>85</v>
      </c>
      <c r="O255" s="8" t="s">
        <v>56</v>
      </c>
      <c r="P255" s="8" t="s">
        <v>57</v>
      </c>
      <c r="Q255" s="8" t="s">
        <v>1299</v>
      </c>
      <c r="R255" s="8">
        <v>0.48</v>
      </c>
      <c r="S255" s="8" t="s">
        <v>49</v>
      </c>
      <c r="T255" s="8" t="s">
        <v>49</v>
      </c>
      <c r="U255" s="8" t="s">
        <v>1300</v>
      </c>
      <c r="V255" s="8" t="s">
        <v>1301</v>
      </c>
      <c r="W255" s="8" t="s">
        <v>89</v>
      </c>
      <c r="X255" s="8" t="s">
        <v>108</v>
      </c>
      <c r="Y255" s="8" t="s">
        <v>1302</v>
      </c>
      <c r="Z255" s="8" t="s">
        <v>92</v>
      </c>
      <c r="AA255" s="8" t="s">
        <v>59</v>
      </c>
      <c r="AB255" s="8" t="s">
        <v>60</v>
      </c>
      <c r="AC255" s="8" t="s">
        <v>1303</v>
      </c>
      <c r="AD255" s="8" t="s">
        <v>1304</v>
      </c>
      <c r="AE255" s="8" t="s">
        <v>55</v>
      </c>
      <c r="AF255" s="8" t="s">
        <v>55</v>
      </c>
      <c r="AG255" s="8" t="s">
        <v>63</v>
      </c>
      <c r="AH255" s="8" t="s">
        <v>64</v>
      </c>
      <c r="AI255" s="8" t="s">
        <v>94</v>
      </c>
      <c r="AJ255" s="8" t="s">
        <v>49</v>
      </c>
      <c r="AK255" s="8" t="s">
        <v>95</v>
      </c>
      <c r="AL255" s="8" t="s">
        <v>66</v>
      </c>
      <c r="AM255" s="8" t="s">
        <v>1305</v>
      </c>
      <c r="AN255" s="9" t="s">
        <v>1306</v>
      </c>
      <c r="AO255" s="9" t="s">
        <v>1307</v>
      </c>
      <c r="AP255" s="10" t="s">
        <v>1308</v>
      </c>
      <c r="AQ255" s="10" t="s">
        <v>1309</v>
      </c>
      <c r="AR255" s="10" t="s">
        <v>1310</v>
      </c>
      <c r="AS255" s="12"/>
      <c r="AT255" s="10" t="s">
        <v>1311</v>
      </c>
      <c r="AU255" s="10" t="s">
        <v>1312</v>
      </c>
      <c r="AV255" s="15">
        <v>46315.0</v>
      </c>
    </row>
    <row r="256" ht="16.5" hidden="1" customHeight="1">
      <c r="A256" s="7" t="s">
        <v>1313</v>
      </c>
      <c r="B256" s="7" t="s">
        <v>49</v>
      </c>
      <c r="C256" s="7" t="s">
        <v>332</v>
      </c>
      <c r="D256" s="7" t="s">
        <v>1298</v>
      </c>
      <c r="E256" s="7" t="s">
        <v>52</v>
      </c>
      <c r="F256" s="7">
        <v>6639.0</v>
      </c>
      <c r="G256" s="7"/>
      <c r="H256" s="7" t="s">
        <v>53</v>
      </c>
      <c r="I256" s="7"/>
      <c r="J256" s="7"/>
      <c r="K256" s="8" t="s">
        <v>84</v>
      </c>
      <c r="L256" s="8" t="s">
        <v>49</v>
      </c>
      <c r="M256" s="8"/>
      <c r="N256" s="8" t="s">
        <v>85</v>
      </c>
      <c r="O256" s="8" t="s">
        <v>56</v>
      </c>
      <c r="P256" s="8" t="s">
        <v>57</v>
      </c>
      <c r="Q256" s="8" t="s">
        <v>1299</v>
      </c>
      <c r="R256" s="8">
        <v>0.47</v>
      </c>
      <c r="S256" s="8" t="s">
        <v>49</v>
      </c>
      <c r="T256" s="8" t="s">
        <v>49</v>
      </c>
      <c r="U256" s="8" t="s">
        <v>1314</v>
      </c>
      <c r="V256" s="8" t="s">
        <v>1315</v>
      </c>
      <c r="W256" s="8" t="s">
        <v>89</v>
      </c>
      <c r="X256" s="8" t="s">
        <v>90</v>
      </c>
      <c r="Y256" s="8" t="s">
        <v>1316</v>
      </c>
      <c r="Z256" s="8" t="s">
        <v>92</v>
      </c>
      <c r="AA256" s="8" t="s">
        <v>59</v>
      </c>
      <c r="AB256" s="8" t="s">
        <v>60</v>
      </c>
      <c r="AC256" s="8" t="s">
        <v>1303</v>
      </c>
      <c r="AD256" s="8" t="s">
        <v>1317</v>
      </c>
      <c r="AE256" s="8" t="s">
        <v>55</v>
      </c>
      <c r="AF256" s="8" t="s">
        <v>55</v>
      </c>
      <c r="AG256" s="8" t="s">
        <v>890</v>
      </c>
      <c r="AH256" s="8" t="s">
        <v>64</v>
      </c>
      <c r="AI256" s="8" t="s">
        <v>94</v>
      </c>
      <c r="AJ256" s="8" t="s">
        <v>49</v>
      </c>
      <c r="AK256" s="8" t="s">
        <v>95</v>
      </c>
      <c r="AL256" s="8" t="s">
        <v>66</v>
      </c>
      <c r="AM256" s="8" t="s">
        <v>1318</v>
      </c>
      <c r="AN256" s="12" t="s">
        <v>224</v>
      </c>
      <c r="AO256" s="9" t="s">
        <v>1319</v>
      </c>
      <c r="AP256" s="10" t="s">
        <v>1320</v>
      </c>
      <c r="AQ256" s="10" t="s">
        <v>1321</v>
      </c>
      <c r="AR256" s="10" t="s">
        <v>1322</v>
      </c>
      <c r="AS256" s="12"/>
      <c r="AT256" s="10" t="s">
        <v>1323</v>
      </c>
      <c r="AU256" s="10" t="s">
        <v>1324</v>
      </c>
      <c r="AV256" s="13"/>
    </row>
    <row r="257" ht="16.5" hidden="1" customHeight="1">
      <c r="A257" s="7" t="s">
        <v>1325</v>
      </c>
      <c r="B257" s="7" t="s">
        <v>49</v>
      </c>
      <c r="C257" s="7" t="s">
        <v>50</v>
      </c>
      <c r="D257" s="7" t="s">
        <v>51</v>
      </c>
      <c r="E257" s="7" t="s">
        <v>52</v>
      </c>
      <c r="F257" s="7">
        <v>6641.0</v>
      </c>
      <c r="G257" s="7"/>
      <c r="H257" s="7" t="s">
        <v>53</v>
      </c>
      <c r="I257" s="7"/>
      <c r="J257" s="7"/>
      <c r="K257" s="8" t="s">
        <v>84</v>
      </c>
      <c r="L257" s="8" t="s">
        <v>49</v>
      </c>
      <c r="M257" s="8"/>
      <c r="N257" s="8" t="s">
        <v>85</v>
      </c>
      <c r="O257" s="8" t="s">
        <v>56</v>
      </c>
      <c r="P257" s="8" t="s">
        <v>57</v>
      </c>
      <c r="Q257" s="8" t="s">
        <v>105</v>
      </c>
      <c r="R257" s="8">
        <v>0.53</v>
      </c>
      <c r="S257" s="8" t="s">
        <v>49</v>
      </c>
      <c r="T257" s="8" t="s">
        <v>49</v>
      </c>
      <c r="U257" s="8" t="s">
        <v>1326</v>
      </c>
      <c r="V257" s="8" t="s">
        <v>1327</v>
      </c>
      <c r="W257" s="8" t="s">
        <v>89</v>
      </c>
      <c r="X257" s="8" t="s">
        <v>90</v>
      </c>
      <c r="Y257" s="8" t="s">
        <v>311</v>
      </c>
      <c r="Z257" s="8" t="s">
        <v>92</v>
      </c>
      <c r="AA257" s="8" t="s">
        <v>59</v>
      </c>
      <c r="AB257" s="8" t="s">
        <v>60</v>
      </c>
      <c r="AC257" s="8" t="s">
        <v>61</v>
      </c>
      <c r="AD257" s="8" t="s">
        <v>1328</v>
      </c>
      <c r="AE257" s="8" t="s">
        <v>55</v>
      </c>
      <c r="AF257" s="8" t="s">
        <v>55</v>
      </c>
      <c r="AG257" s="8" t="s">
        <v>63</v>
      </c>
      <c r="AH257" s="8" t="s">
        <v>64</v>
      </c>
      <c r="AI257" s="8" t="s">
        <v>94</v>
      </c>
      <c r="AJ257" s="8" t="s">
        <v>49</v>
      </c>
      <c r="AK257" s="8" t="s">
        <v>95</v>
      </c>
      <c r="AL257" s="8" t="s">
        <v>66</v>
      </c>
      <c r="AM257" s="8" t="s">
        <v>96</v>
      </c>
      <c r="AN257" s="16" t="s">
        <v>1329</v>
      </c>
      <c r="AO257" s="9" t="s">
        <v>1330</v>
      </c>
      <c r="AP257" s="10" t="s">
        <v>1331</v>
      </c>
      <c r="AQ257" s="10" t="s">
        <v>1332</v>
      </c>
      <c r="AR257" s="10" t="s">
        <v>1333</v>
      </c>
      <c r="AS257" s="12"/>
      <c r="AT257" s="10" t="s">
        <v>1334</v>
      </c>
      <c r="AU257" s="10" t="s">
        <v>1335</v>
      </c>
      <c r="AV257" s="15">
        <v>46315.0</v>
      </c>
    </row>
    <row r="258" ht="16.5" hidden="1" customHeight="1">
      <c r="A258" s="7" t="s">
        <v>1336</v>
      </c>
      <c r="B258" s="7" t="s">
        <v>49</v>
      </c>
      <c r="C258" s="7" t="s">
        <v>50</v>
      </c>
      <c r="D258" s="14" t="s">
        <v>344</v>
      </c>
      <c r="E258" s="7" t="s">
        <v>52</v>
      </c>
      <c r="F258" s="7">
        <v>6642.0</v>
      </c>
      <c r="G258" s="7"/>
      <c r="H258" s="7" t="s">
        <v>53</v>
      </c>
      <c r="I258" s="7"/>
      <c r="J258" s="7"/>
      <c r="K258" s="8" t="s">
        <v>84</v>
      </c>
      <c r="L258" s="8" t="s">
        <v>49</v>
      </c>
      <c r="M258" s="8"/>
      <c r="N258" s="8" t="s">
        <v>85</v>
      </c>
      <c r="O258" s="8" t="s">
        <v>56</v>
      </c>
      <c r="P258" s="8" t="s">
        <v>57</v>
      </c>
      <c r="Q258" s="8" t="s">
        <v>105</v>
      </c>
      <c r="R258" s="8">
        <v>0.49</v>
      </c>
      <c r="S258" s="8" t="s">
        <v>49</v>
      </c>
      <c r="T258" s="8" t="s">
        <v>49</v>
      </c>
      <c r="U258" s="8" t="s">
        <v>1337</v>
      </c>
      <c r="V258" s="8" t="s">
        <v>1338</v>
      </c>
      <c r="W258" s="8" t="s">
        <v>89</v>
      </c>
      <c r="X258" s="8" t="s">
        <v>90</v>
      </c>
      <c r="Y258" s="8" t="s">
        <v>1339</v>
      </c>
      <c r="Z258" s="8" t="s">
        <v>92</v>
      </c>
      <c r="AA258" s="8" t="s">
        <v>59</v>
      </c>
      <c r="AB258" s="8" t="s">
        <v>60</v>
      </c>
      <c r="AC258" s="8" t="s">
        <v>348</v>
      </c>
      <c r="AD258" s="8" t="s">
        <v>1340</v>
      </c>
      <c r="AE258" s="8" t="s">
        <v>1341</v>
      </c>
      <c r="AF258" s="8" t="s">
        <v>351</v>
      </c>
      <c r="AG258" s="8" t="s">
        <v>63</v>
      </c>
      <c r="AH258" s="8" t="s">
        <v>64</v>
      </c>
      <c r="AI258" s="8" t="s">
        <v>94</v>
      </c>
      <c r="AJ258" s="8" t="s">
        <v>49</v>
      </c>
      <c r="AK258" s="8" t="s">
        <v>95</v>
      </c>
      <c r="AL258" s="8" t="s">
        <v>66</v>
      </c>
      <c r="AM258" s="8" t="s">
        <v>1342</v>
      </c>
      <c r="AN258" s="16" t="s">
        <v>1343</v>
      </c>
      <c r="AO258" s="9" t="s">
        <v>1344</v>
      </c>
      <c r="AP258" s="10" t="s">
        <v>1345</v>
      </c>
      <c r="AQ258" s="10" t="s">
        <v>1346</v>
      </c>
      <c r="AR258" s="10" t="s">
        <v>1347</v>
      </c>
      <c r="AS258" s="12"/>
      <c r="AT258" s="10" t="s">
        <v>1348</v>
      </c>
      <c r="AU258" s="10" t="s">
        <v>1349</v>
      </c>
      <c r="AV258" s="13"/>
    </row>
    <row r="259" ht="16.5" hidden="1" customHeight="1">
      <c r="A259" s="7" t="s">
        <v>1350</v>
      </c>
      <c r="B259" s="7" t="s">
        <v>49</v>
      </c>
      <c r="C259" s="14" t="s">
        <v>332</v>
      </c>
      <c r="D259" s="7" t="s">
        <v>920</v>
      </c>
      <c r="E259" s="7" t="s">
        <v>52</v>
      </c>
      <c r="F259" s="7">
        <v>6643.0</v>
      </c>
      <c r="G259" s="7"/>
      <c r="H259" s="7" t="s">
        <v>53</v>
      </c>
      <c r="I259" s="7"/>
      <c r="J259" s="7"/>
      <c r="K259" s="8" t="s">
        <v>55</v>
      </c>
      <c r="L259" s="8" t="s">
        <v>55</v>
      </c>
      <c r="M259" s="12" t="s">
        <v>55</v>
      </c>
      <c r="N259" s="8" t="s">
        <v>55</v>
      </c>
      <c r="O259" s="8" t="s">
        <v>55</v>
      </c>
      <c r="P259" s="8" t="s">
        <v>55</v>
      </c>
      <c r="Q259" s="8" t="s">
        <v>49</v>
      </c>
      <c r="R259" s="8" t="s">
        <v>49</v>
      </c>
      <c r="S259" s="8" t="s">
        <v>49</v>
      </c>
      <c r="T259" s="8" t="s">
        <v>49</v>
      </c>
      <c r="U259" s="8" t="s">
        <v>49</v>
      </c>
      <c r="V259" s="8" t="s">
        <v>49</v>
      </c>
      <c r="W259" s="8" t="s">
        <v>49</v>
      </c>
      <c r="X259" s="8" t="s">
        <v>55</v>
      </c>
      <c r="Y259" s="8" t="s">
        <v>55</v>
      </c>
      <c r="Z259" s="8" t="s">
        <v>55</v>
      </c>
      <c r="AA259" s="8" t="s">
        <v>55</v>
      </c>
      <c r="AB259" s="8" t="s">
        <v>55</v>
      </c>
      <c r="AC259" s="8" t="s">
        <v>55</v>
      </c>
      <c r="AD259" s="8" t="s">
        <v>1351</v>
      </c>
      <c r="AE259" s="8" t="s">
        <v>55</v>
      </c>
      <c r="AF259" s="8" t="s">
        <v>55</v>
      </c>
      <c r="AG259" s="8" t="s">
        <v>63</v>
      </c>
      <c r="AH259" s="8" t="s">
        <v>55</v>
      </c>
      <c r="AI259" s="8" t="s">
        <v>94</v>
      </c>
      <c r="AJ259" s="8" t="s">
        <v>49</v>
      </c>
      <c r="AK259" s="8" t="s">
        <v>55</v>
      </c>
      <c r="AL259" s="8" t="s">
        <v>66</v>
      </c>
      <c r="AM259" s="8" t="s">
        <v>1352</v>
      </c>
      <c r="AN259" s="9" t="s">
        <v>1353</v>
      </c>
      <c r="AO259" s="9" t="s">
        <v>1354</v>
      </c>
      <c r="AP259" s="10" t="s">
        <v>1355</v>
      </c>
      <c r="AQ259" s="11"/>
      <c r="AR259" s="11"/>
      <c r="AS259" s="12"/>
      <c r="AT259" s="10" t="s">
        <v>1356</v>
      </c>
      <c r="AU259" s="11"/>
      <c r="AV259" s="15">
        <v>46315.0</v>
      </c>
    </row>
    <row r="260" ht="16.5" hidden="1" customHeight="1">
      <c r="A260" s="7" t="s">
        <v>1357</v>
      </c>
      <c r="B260" s="7" t="s">
        <v>49</v>
      </c>
      <c r="C260" s="7" t="s">
        <v>919</v>
      </c>
      <c r="D260" s="7" t="s">
        <v>920</v>
      </c>
      <c r="E260" s="7" t="s">
        <v>227</v>
      </c>
      <c r="F260" s="7">
        <v>6644.0</v>
      </c>
      <c r="G260" s="7"/>
      <c r="H260" s="7" t="s">
        <v>53</v>
      </c>
      <c r="I260" s="7"/>
      <c r="J260" s="7"/>
      <c r="K260" s="8" t="s">
        <v>55</v>
      </c>
      <c r="L260" s="8" t="s">
        <v>55</v>
      </c>
      <c r="M260" s="8"/>
      <c r="N260" s="8" t="s">
        <v>55</v>
      </c>
      <c r="O260" s="8" t="s">
        <v>55</v>
      </c>
      <c r="P260" s="8" t="s">
        <v>55</v>
      </c>
      <c r="Q260" s="8" t="s">
        <v>49</v>
      </c>
      <c r="R260" s="8" t="s">
        <v>49</v>
      </c>
      <c r="S260" s="8" t="s">
        <v>49</v>
      </c>
      <c r="T260" s="8" t="s">
        <v>49</v>
      </c>
      <c r="U260" s="8" t="s">
        <v>49</v>
      </c>
      <c r="V260" s="8" t="s">
        <v>49</v>
      </c>
      <c r="W260" s="8" t="s">
        <v>49</v>
      </c>
      <c r="X260" s="8" t="s">
        <v>49</v>
      </c>
      <c r="Y260" s="8" t="s">
        <v>49</v>
      </c>
      <c r="Z260" s="8" t="s">
        <v>49</v>
      </c>
      <c r="AA260" s="8" t="s">
        <v>55</v>
      </c>
      <c r="AB260" s="8" t="s">
        <v>55</v>
      </c>
      <c r="AC260" s="8" t="s">
        <v>55</v>
      </c>
      <c r="AD260" s="8" t="s">
        <v>1358</v>
      </c>
      <c r="AE260" s="8" t="s">
        <v>1359</v>
      </c>
      <c r="AF260" s="8" t="s">
        <v>1360</v>
      </c>
      <c r="AG260" s="8" t="s">
        <v>63</v>
      </c>
      <c r="AH260" s="8" t="s">
        <v>55</v>
      </c>
      <c r="AI260" s="8" t="s">
        <v>65</v>
      </c>
      <c r="AJ260" s="8" t="s">
        <v>49</v>
      </c>
      <c r="AK260" s="8" t="s">
        <v>49</v>
      </c>
      <c r="AL260" s="8" t="s">
        <v>720</v>
      </c>
      <c r="AM260" s="8" t="s">
        <v>1361</v>
      </c>
      <c r="AN260" s="9" t="s">
        <v>1362</v>
      </c>
      <c r="AO260" s="9" t="s">
        <v>1363</v>
      </c>
      <c r="AP260" s="18" t="s">
        <v>931</v>
      </c>
      <c r="AQ260" s="11"/>
      <c r="AR260" s="10" t="s">
        <v>1364</v>
      </c>
      <c r="AS260" s="12"/>
      <c r="AT260" s="11"/>
      <c r="AU260" s="11"/>
      <c r="AV260" s="13"/>
    </row>
    <row r="261" ht="16.5" hidden="1" customHeight="1">
      <c r="A261" s="7" t="s">
        <v>1365</v>
      </c>
      <c r="B261" s="7" t="s">
        <v>49</v>
      </c>
      <c r="C261" s="7" t="s">
        <v>919</v>
      </c>
      <c r="D261" s="7" t="s">
        <v>920</v>
      </c>
      <c r="E261" s="7" t="s">
        <v>227</v>
      </c>
      <c r="F261" s="7">
        <v>6644.0</v>
      </c>
      <c r="G261" s="7">
        <v>6644.0</v>
      </c>
      <c r="H261" s="7" t="s">
        <v>53</v>
      </c>
      <c r="I261" s="7" t="s">
        <v>1038</v>
      </c>
      <c r="J261" s="7"/>
      <c r="K261" s="8" t="s">
        <v>55</v>
      </c>
      <c r="L261" s="8" t="s">
        <v>55</v>
      </c>
      <c r="M261" s="12" t="s">
        <v>55</v>
      </c>
      <c r="N261" s="8" t="s">
        <v>55</v>
      </c>
      <c r="O261" s="8" t="s">
        <v>55</v>
      </c>
      <c r="P261" s="8" t="s">
        <v>55</v>
      </c>
      <c r="Q261" s="8" t="s">
        <v>49</v>
      </c>
      <c r="R261" s="8" t="s">
        <v>49</v>
      </c>
      <c r="S261" s="8" t="s">
        <v>49</v>
      </c>
      <c r="T261" s="8" t="s">
        <v>49</v>
      </c>
      <c r="U261" s="8" t="s">
        <v>49</v>
      </c>
      <c r="V261" s="8" t="s">
        <v>49</v>
      </c>
      <c r="W261" s="8" t="s">
        <v>49</v>
      </c>
      <c r="X261" s="8" t="s">
        <v>55</v>
      </c>
      <c r="Y261" s="8" t="s">
        <v>55</v>
      </c>
      <c r="Z261" s="8" t="s">
        <v>55</v>
      </c>
      <c r="AA261" s="8" t="s">
        <v>55</v>
      </c>
      <c r="AB261" s="8" t="s">
        <v>55</v>
      </c>
      <c r="AC261" s="8" t="s">
        <v>55</v>
      </c>
      <c r="AD261" s="12" t="s">
        <v>1366</v>
      </c>
      <c r="AE261" s="8" t="s">
        <v>1359</v>
      </c>
      <c r="AF261" s="8" t="s">
        <v>1360</v>
      </c>
      <c r="AG261" s="8" t="s">
        <v>63</v>
      </c>
      <c r="AH261" s="8" t="s">
        <v>55</v>
      </c>
      <c r="AI261" s="8" t="s">
        <v>65</v>
      </c>
      <c r="AJ261" s="8" t="s">
        <v>49</v>
      </c>
      <c r="AK261" s="8" t="s">
        <v>55</v>
      </c>
      <c r="AL261" s="8" t="s">
        <v>720</v>
      </c>
      <c r="AM261" s="8" t="s">
        <v>1361</v>
      </c>
      <c r="AN261" s="9" t="s">
        <v>1362</v>
      </c>
      <c r="AO261" s="9" t="s">
        <v>1363</v>
      </c>
      <c r="AP261" s="17" t="s">
        <v>924</v>
      </c>
      <c r="AQ261" s="11"/>
      <c r="AR261" s="10" t="s">
        <v>1364</v>
      </c>
      <c r="AS261" s="12"/>
      <c r="AT261" s="11"/>
      <c r="AU261" s="11"/>
      <c r="AV261" s="13"/>
    </row>
    <row r="262" ht="16.5" hidden="1" customHeight="1">
      <c r="A262" s="7" t="s">
        <v>1367</v>
      </c>
      <c r="B262" s="14" t="s">
        <v>49</v>
      </c>
      <c r="C262" s="14" t="s">
        <v>919</v>
      </c>
      <c r="D262" s="14" t="s">
        <v>920</v>
      </c>
      <c r="E262" s="7"/>
      <c r="F262" s="7">
        <v>6645.0</v>
      </c>
      <c r="G262" s="7">
        <v>6644.0</v>
      </c>
      <c r="H262" s="7" t="s">
        <v>53</v>
      </c>
      <c r="I262" s="7" t="s">
        <v>1038</v>
      </c>
      <c r="J262" s="7"/>
      <c r="K262" s="8" t="s">
        <v>55</v>
      </c>
      <c r="L262" s="8" t="s">
        <v>55</v>
      </c>
      <c r="M262" s="12" t="s">
        <v>55</v>
      </c>
      <c r="N262" s="8" t="s">
        <v>55</v>
      </c>
      <c r="O262" s="8" t="s">
        <v>55</v>
      </c>
      <c r="P262" s="8" t="s">
        <v>55</v>
      </c>
      <c r="Q262" s="8" t="s">
        <v>49</v>
      </c>
      <c r="R262" s="8" t="s">
        <v>49</v>
      </c>
      <c r="S262" s="8" t="s">
        <v>49</v>
      </c>
      <c r="T262" s="8" t="s">
        <v>49</v>
      </c>
      <c r="U262" s="8" t="s">
        <v>49</v>
      </c>
      <c r="V262" s="8" t="s">
        <v>49</v>
      </c>
      <c r="W262" s="8" t="s">
        <v>49</v>
      </c>
      <c r="X262" s="8" t="s">
        <v>55</v>
      </c>
      <c r="Y262" s="8" t="s">
        <v>55</v>
      </c>
      <c r="Z262" s="8" t="s">
        <v>55</v>
      </c>
      <c r="AA262" s="8" t="s">
        <v>55</v>
      </c>
      <c r="AB262" s="8" t="s">
        <v>55</v>
      </c>
      <c r="AC262" s="8" t="s">
        <v>55</v>
      </c>
      <c r="AD262" s="12" t="s">
        <v>1366</v>
      </c>
      <c r="AE262" s="8" t="s">
        <v>1359</v>
      </c>
      <c r="AF262" s="8" t="s">
        <v>1360</v>
      </c>
      <c r="AG262" s="8" t="s">
        <v>63</v>
      </c>
      <c r="AH262" s="8" t="s">
        <v>55</v>
      </c>
      <c r="AI262" s="8" t="s">
        <v>463</v>
      </c>
      <c r="AJ262" s="8" t="s">
        <v>49</v>
      </c>
      <c r="AK262" s="8" t="s">
        <v>55</v>
      </c>
      <c r="AL262" s="8" t="s">
        <v>720</v>
      </c>
      <c r="AM262" s="8" t="s">
        <v>1361</v>
      </c>
      <c r="AN262" s="9" t="s">
        <v>1368</v>
      </c>
      <c r="AO262" s="9" t="s">
        <v>1369</v>
      </c>
      <c r="AP262" s="17" t="s">
        <v>924</v>
      </c>
      <c r="AQ262" s="11"/>
      <c r="AR262" s="10" t="s">
        <v>1364</v>
      </c>
      <c r="AS262" s="12"/>
      <c r="AT262" s="11"/>
      <c r="AU262" s="11"/>
      <c r="AV262" s="13"/>
    </row>
    <row r="263" ht="16.5" hidden="1" customHeight="1">
      <c r="A263" s="7" t="s">
        <v>1370</v>
      </c>
      <c r="B263" s="14" t="s">
        <v>49</v>
      </c>
      <c r="C263" s="14" t="s">
        <v>919</v>
      </c>
      <c r="D263" s="14" t="s">
        <v>920</v>
      </c>
      <c r="E263" s="7"/>
      <c r="F263" s="7">
        <v>6646.0</v>
      </c>
      <c r="G263" s="7">
        <v>6644.0</v>
      </c>
      <c r="H263" s="7" t="s">
        <v>53</v>
      </c>
      <c r="I263" s="7" t="s">
        <v>1033</v>
      </c>
      <c r="J263" s="7"/>
      <c r="K263" s="8" t="s">
        <v>55</v>
      </c>
      <c r="L263" s="8" t="s">
        <v>55</v>
      </c>
      <c r="M263" s="12" t="s">
        <v>55</v>
      </c>
      <c r="N263" s="8" t="s">
        <v>55</v>
      </c>
      <c r="O263" s="8" t="s">
        <v>55</v>
      </c>
      <c r="P263" s="8" t="s">
        <v>55</v>
      </c>
      <c r="Q263" s="8" t="s">
        <v>49</v>
      </c>
      <c r="R263" s="8" t="s">
        <v>49</v>
      </c>
      <c r="S263" s="8" t="s">
        <v>49</v>
      </c>
      <c r="T263" s="8" t="s">
        <v>49</v>
      </c>
      <c r="U263" s="8" t="s">
        <v>49</v>
      </c>
      <c r="V263" s="8" t="s">
        <v>49</v>
      </c>
      <c r="W263" s="8" t="s">
        <v>49</v>
      </c>
      <c r="X263" s="8" t="s">
        <v>55</v>
      </c>
      <c r="Y263" s="8" t="s">
        <v>55</v>
      </c>
      <c r="Z263" s="8" t="s">
        <v>55</v>
      </c>
      <c r="AA263" s="8" t="s">
        <v>55</v>
      </c>
      <c r="AB263" s="8" t="s">
        <v>55</v>
      </c>
      <c r="AC263" s="8" t="s">
        <v>55</v>
      </c>
      <c r="AD263" s="12" t="s">
        <v>1371</v>
      </c>
      <c r="AE263" s="8" t="s">
        <v>1372</v>
      </c>
      <c r="AF263" s="8" t="s">
        <v>1360</v>
      </c>
      <c r="AG263" s="8" t="s">
        <v>63</v>
      </c>
      <c r="AH263" s="8" t="s">
        <v>55</v>
      </c>
      <c r="AI263" s="8" t="s">
        <v>65</v>
      </c>
      <c r="AJ263" s="8" t="s">
        <v>49</v>
      </c>
      <c r="AK263" s="8" t="s">
        <v>55</v>
      </c>
      <c r="AL263" s="8" t="s">
        <v>720</v>
      </c>
      <c r="AM263" s="8" t="s">
        <v>1361</v>
      </c>
      <c r="AN263" s="9" t="s">
        <v>1362</v>
      </c>
      <c r="AO263" s="9" t="s">
        <v>1363</v>
      </c>
      <c r="AP263" s="17" t="s">
        <v>924</v>
      </c>
      <c r="AQ263" s="11"/>
      <c r="AR263" s="10" t="s">
        <v>1373</v>
      </c>
      <c r="AS263" s="12"/>
      <c r="AT263" s="11"/>
      <c r="AU263" s="11"/>
      <c r="AV263" s="13"/>
    </row>
    <row r="264" ht="16.5" hidden="1" customHeight="1">
      <c r="A264" s="7" t="s">
        <v>1374</v>
      </c>
      <c r="B264" s="14" t="s">
        <v>49</v>
      </c>
      <c r="C264" s="14" t="s">
        <v>919</v>
      </c>
      <c r="D264" s="14" t="s">
        <v>920</v>
      </c>
      <c r="E264" s="7"/>
      <c r="F264" s="7">
        <v>6647.0</v>
      </c>
      <c r="G264" s="7">
        <v>6644.0</v>
      </c>
      <c r="H264" s="7" t="s">
        <v>53</v>
      </c>
      <c r="I264" s="7" t="s">
        <v>1033</v>
      </c>
      <c r="J264" s="7"/>
      <c r="K264" s="8" t="s">
        <v>55</v>
      </c>
      <c r="L264" s="8" t="s">
        <v>55</v>
      </c>
      <c r="M264" s="12" t="s">
        <v>55</v>
      </c>
      <c r="N264" s="8" t="s">
        <v>55</v>
      </c>
      <c r="O264" s="8" t="s">
        <v>55</v>
      </c>
      <c r="P264" s="8" t="s">
        <v>55</v>
      </c>
      <c r="Q264" s="8" t="s">
        <v>49</v>
      </c>
      <c r="R264" s="8" t="s">
        <v>49</v>
      </c>
      <c r="S264" s="8" t="s">
        <v>49</v>
      </c>
      <c r="T264" s="8" t="s">
        <v>49</v>
      </c>
      <c r="U264" s="8" t="s">
        <v>49</v>
      </c>
      <c r="V264" s="8" t="s">
        <v>49</v>
      </c>
      <c r="W264" s="8" t="s">
        <v>49</v>
      </c>
      <c r="X264" s="8" t="s">
        <v>55</v>
      </c>
      <c r="Y264" s="8" t="s">
        <v>55</v>
      </c>
      <c r="Z264" s="8" t="s">
        <v>55</v>
      </c>
      <c r="AA264" s="8" t="s">
        <v>55</v>
      </c>
      <c r="AB264" s="8" t="s">
        <v>55</v>
      </c>
      <c r="AC264" s="8" t="s">
        <v>55</v>
      </c>
      <c r="AD264" s="12" t="s">
        <v>1371</v>
      </c>
      <c r="AE264" s="8" t="s">
        <v>1372</v>
      </c>
      <c r="AF264" s="8" t="s">
        <v>1360</v>
      </c>
      <c r="AG264" s="8" t="s">
        <v>63</v>
      </c>
      <c r="AH264" s="8" t="s">
        <v>55</v>
      </c>
      <c r="AI264" s="8" t="s">
        <v>463</v>
      </c>
      <c r="AJ264" s="8" t="s">
        <v>49</v>
      </c>
      <c r="AK264" s="8" t="s">
        <v>55</v>
      </c>
      <c r="AL264" s="8" t="s">
        <v>720</v>
      </c>
      <c r="AM264" s="8" t="s">
        <v>1361</v>
      </c>
      <c r="AN264" s="9" t="s">
        <v>1368</v>
      </c>
      <c r="AO264" s="9" t="s">
        <v>1369</v>
      </c>
      <c r="AP264" s="17" t="s">
        <v>924</v>
      </c>
      <c r="AQ264" s="11"/>
      <c r="AR264" s="10" t="s">
        <v>1373</v>
      </c>
      <c r="AS264" s="12"/>
      <c r="AT264" s="11"/>
      <c r="AU264" s="11"/>
      <c r="AV264" s="13"/>
    </row>
    <row r="265" ht="16.5" hidden="1" customHeight="1">
      <c r="A265" s="7" t="s">
        <v>1375</v>
      </c>
      <c r="B265" s="14" t="s">
        <v>49</v>
      </c>
      <c r="C265" s="14" t="s">
        <v>919</v>
      </c>
      <c r="D265" s="14" t="s">
        <v>920</v>
      </c>
      <c r="E265" s="7"/>
      <c r="F265" s="7">
        <v>6648.0</v>
      </c>
      <c r="G265" s="7">
        <v>6644.0</v>
      </c>
      <c r="H265" s="7" t="s">
        <v>53</v>
      </c>
      <c r="I265" s="7" t="s">
        <v>1026</v>
      </c>
      <c r="J265" s="7"/>
      <c r="K265" s="8" t="s">
        <v>55</v>
      </c>
      <c r="L265" s="8" t="s">
        <v>55</v>
      </c>
      <c r="M265" s="12" t="s">
        <v>55</v>
      </c>
      <c r="N265" s="8" t="s">
        <v>55</v>
      </c>
      <c r="O265" s="8" t="s">
        <v>55</v>
      </c>
      <c r="P265" s="8" t="s">
        <v>55</v>
      </c>
      <c r="Q265" s="8" t="s">
        <v>49</v>
      </c>
      <c r="R265" s="8" t="s">
        <v>49</v>
      </c>
      <c r="S265" s="8" t="s">
        <v>49</v>
      </c>
      <c r="T265" s="8" t="s">
        <v>49</v>
      </c>
      <c r="U265" s="8" t="s">
        <v>49</v>
      </c>
      <c r="V265" s="8" t="s">
        <v>49</v>
      </c>
      <c r="W265" s="8" t="s">
        <v>49</v>
      </c>
      <c r="X265" s="8" t="s">
        <v>55</v>
      </c>
      <c r="Y265" s="8" t="s">
        <v>55</v>
      </c>
      <c r="Z265" s="8" t="s">
        <v>55</v>
      </c>
      <c r="AA265" s="8" t="s">
        <v>55</v>
      </c>
      <c r="AB265" s="8" t="s">
        <v>55</v>
      </c>
      <c r="AC265" s="8" t="s">
        <v>55</v>
      </c>
      <c r="AD265" s="12" t="s">
        <v>1376</v>
      </c>
      <c r="AE265" s="8" t="s">
        <v>1377</v>
      </c>
      <c r="AF265" s="8" t="s">
        <v>1360</v>
      </c>
      <c r="AG265" s="8" t="s">
        <v>63</v>
      </c>
      <c r="AH265" s="8" t="s">
        <v>55</v>
      </c>
      <c r="AI265" s="8" t="s">
        <v>65</v>
      </c>
      <c r="AJ265" s="8" t="s">
        <v>49</v>
      </c>
      <c r="AK265" s="8" t="s">
        <v>55</v>
      </c>
      <c r="AL265" s="8" t="s">
        <v>720</v>
      </c>
      <c r="AM265" s="8" t="s">
        <v>1361</v>
      </c>
      <c r="AN265" s="9" t="s">
        <v>1362</v>
      </c>
      <c r="AO265" s="9" t="s">
        <v>1363</v>
      </c>
      <c r="AP265" s="17" t="s">
        <v>924</v>
      </c>
      <c r="AQ265" s="11"/>
      <c r="AR265" s="10" t="s">
        <v>1378</v>
      </c>
      <c r="AS265" s="12"/>
      <c r="AT265" s="11"/>
      <c r="AU265" s="11"/>
      <c r="AV265" s="13"/>
    </row>
    <row r="266" ht="16.5" hidden="1" customHeight="1">
      <c r="A266" s="7" t="s">
        <v>1379</v>
      </c>
      <c r="B266" s="14" t="s">
        <v>49</v>
      </c>
      <c r="C266" s="14" t="s">
        <v>919</v>
      </c>
      <c r="D266" s="14" t="s">
        <v>920</v>
      </c>
      <c r="E266" s="7"/>
      <c r="F266" s="7">
        <v>6649.0</v>
      </c>
      <c r="G266" s="7">
        <v>6644.0</v>
      </c>
      <c r="H266" s="7" t="s">
        <v>53</v>
      </c>
      <c r="I266" s="7" t="s">
        <v>1026</v>
      </c>
      <c r="J266" s="7"/>
      <c r="K266" s="8" t="s">
        <v>55</v>
      </c>
      <c r="L266" s="8" t="s">
        <v>55</v>
      </c>
      <c r="M266" s="12" t="s">
        <v>55</v>
      </c>
      <c r="N266" s="8" t="s">
        <v>55</v>
      </c>
      <c r="O266" s="8" t="s">
        <v>55</v>
      </c>
      <c r="P266" s="8" t="s">
        <v>55</v>
      </c>
      <c r="Q266" s="8" t="s">
        <v>49</v>
      </c>
      <c r="R266" s="8" t="s">
        <v>49</v>
      </c>
      <c r="S266" s="8" t="s">
        <v>49</v>
      </c>
      <c r="T266" s="8" t="s">
        <v>49</v>
      </c>
      <c r="U266" s="8" t="s">
        <v>49</v>
      </c>
      <c r="V266" s="8" t="s">
        <v>49</v>
      </c>
      <c r="W266" s="8" t="s">
        <v>49</v>
      </c>
      <c r="X266" s="8" t="s">
        <v>55</v>
      </c>
      <c r="Y266" s="8" t="s">
        <v>55</v>
      </c>
      <c r="Z266" s="8" t="s">
        <v>55</v>
      </c>
      <c r="AA266" s="8" t="s">
        <v>55</v>
      </c>
      <c r="AB266" s="8" t="s">
        <v>55</v>
      </c>
      <c r="AC266" s="8" t="s">
        <v>55</v>
      </c>
      <c r="AD266" s="12" t="s">
        <v>1376</v>
      </c>
      <c r="AE266" s="8" t="s">
        <v>1377</v>
      </c>
      <c r="AF266" s="8" t="s">
        <v>1360</v>
      </c>
      <c r="AG266" s="8" t="s">
        <v>63</v>
      </c>
      <c r="AH266" s="8" t="s">
        <v>55</v>
      </c>
      <c r="AI266" s="8" t="s">
        <v>463</v>
      </c>
      <c r="AJ266" s="8" t="s">
        <v>49</v>
      </c>
      <c r="AK266" s="8" t="s">
        <v>55</v>
      </c>
      <c r="AL266" s="8" t="s">
        <v>720</v>
      </c>
      <c r="AM266" s="8" t="s">
        <v>1361</v>
      </c>
      <c r="AN266" s="9" t="s">
        <v>1368</v>
      </c>
      <c r="AO266" s="9" t="s">
        <v>1369</v>
      </c>
      <c r="AP266" s="17" t="s">
        <v>924</v>
      </c>
      <c r="AQ266" s="11"/>
      <c r="AR266" s="10" t="s">
        <v>1378</v>
      </c>
      <c r="AS266" s="12"/>
      <c r="AT266" s="11"/>
      <c r="AU266" s="11"/>
      <c r="AV266" s="13"/>
    </row>
    <row r="267" ht="16.5" hidden="1" customHeight="1">
      <c r="A267" s="7" t="s">
        <v>1380</v>
      </c>
      <c r="B267" s="7" t="s">
        <v>49</v>
      </c>
      <c r="C267" s="7" t="s">
        <v>919</v>
      </c>
      <c r="D267" s="7" t="s">
        <v>920</v>
      </c>
      <c r="E267" s="7" t="s">
        <v>227</v>
      </c>
      <c r="F267" s="7">
        <v>6650.0</v>
      </c>
      <c r="G267" s="7"/>
      <c r="H267" s="7" t="s">
        <v>53</v>
      </c>
      <c r="I267" s="7"/>
      <c r="J267" s="7"/>
      <c r="K267" s="8" t="s">
        <v>55</v>
      </c>
      <c r="L267" s="8" t="s">
        <v>55</v>
      </c>
      <c r="M267" s="8"/>
      <c r="N267" s="8" t="s">
        <v>55</v>
      </c>
      <c r="O267" s="8" t="s">
        <v>55</v>
      </c>
      <c r="P267" s="8" t="s">
        <v>55</v>
      </c>
      <c r="Q267" s="8" t="s">
        <v>49</v>
      </c>
      <c r="R267" s="8" t="s">
        <v>49</v>
      </c>
      <c r="S267" s="8" t="s">
        <v>49</v>
      </c>
      <c r="T267" s="8" t="s">
        <v>49</v>
      </c>
      <c r="U267" s="8" t="s">
        <v>49</v>
      </c>
      <c r="V267" s="8" t="s">
        <v>49</v>
      </c>
      <c r="W267" s="8" t="s">
        <v>49</v>
      </c>
      <c r="X267" s="8" t="s">
        <v>49</v>
      </c>
      <c r="Y267" s="8" t="s">
        <v>49</v>
      </c>
      <c r="Z267" s="8" t="s">
        <v>49</v>
      </c>
      <c r="AA267" s="8" t="s">
        <v>55</v>
      </c>
      <c r="AB267" s="8" t="s">
        <v>55</v>
      </c>
      <c r="AC267" s="8" t="s">
        <v>55</v>
      </c>
      <c r="AD267" s="12" t="s">
        <v>1381</v>
      </c>
      <c r="AE267" s="8" t="s">
        <v>1382</v>
      </c>
      <c r="AF267" s="8" t="s">
        <v>1383</v>
      </c>
      <c r="AG267" s="8" t="s">
        <v>63</v>
      </c>
      <c r="AH267" s="8" t="s">
        <v>55</v>
      </c>
      <c r="AI267" s="8" t="s">
        <v>65</v>
      </c>
      <c r="AJ267" s="8" t="s">
        <v>49</v>
      </c>
      <c r="AK267" s="8" t="s">
        <v>49</v>
      </c>
      <c r="AL267" s="8" t="s">
        <v>720</v>
      </c>
      <c r="AM267" s="8" t="s">
        <v>1361</v>
      </c>
      <c r="AN267" s="16" t="s">
        <v>1384</v>
      </c>
      <c r="AO267" s="9" t="s">
        <v>1385</v>
      </c>
      <c r="AP267" s="18" t="s">
        <v>1047</v>
      </c>
      <c r="AQ267" s="11"/>
      <c r="AR267" s="10" t="s">
        <v>1386</v>
      </c>
      <c r="AS267" s="12"/>
      <c r="AT267" s="11"/>
      <c r="AU267" s="11"/>
      <c r="AV267" s="13"/>
    </row>
    <row r="268" ht="16.5" hidden="1" customHeight="1">
      <c r="A268" s="7" t="s">
        <v>1387</v>
      </c>
      <c r="B268" s="7" t="s">
        <v>49</v>
      </c>
      <c r="C268" s="7" t="s">
        <v>919</v>
      </c>
      <c r="D268" s="7" t="s">
        <v>920</v>
      </c>
      <c r="E268" s="7" t="s">
        <v>227</v>
      </c>
      <c r="F268" s="7">
        <v>6650.0</v>
      </c>
      <c r="G268" s="7">
        <v>6650.0</v>
      </c>
      <c r="H268" s="7" t="s">
        <v>53</v>
      </c>
      <c r="I268" s="7" t="s">
        <v>1038</v>
      </c>
      <c r="J268" s="7"/>
      <c r="K268" s="8" t="s">
        <v>55</v>
      </c>
      <c r="L268" s="8" t="s">
        <v>55</v>
      </c>
      <c r="M268" s="12" t="s">
        <v>55</v>
      </c>
      <c r="N268" s="8" t="s">
        <v>55</v>
      </c>
      <c r="O268" s="8" t="s">
        <v>55</v>
      </c>
      <c r="P268" s="8" t="s">
        <v>55</v>
      </c>
      <c r="Q268" s="8" t="s">
        <v>49</v>
      </c>
      <c r="R268" s="8" t="s">
        <v>49</v>
      </c>
      <c r="S268" s="8" t="s">
        <v>49</v>
      </c>
      <c r="T268" s="8" t="s">
        <v>49</v>
      </c>
      <c r="U268" s="8" t="s">
        <v>49</v>
      </c>
      <c r="V268" s="8" t="s">
        <v>49</v>
      </c>
      <c r="W268" s="8" t="s">
        <v>49</v>
      </c>
      <c r="X268" s="8" t="s">
        <v>55</v>
      </c>
      <c r="Y268" s="8" t="s">
        <v>55</v>
      </c>
      <c r="Z268" s="8" t="s">
        <v>55</v>
      </c>
      <c r="AA268" s="8" t="s">
        <v>55</v>
      </c>
      <c r="AB268" s="8" t="s">
        <v>55</v>
      </c>
      <c r="AC268" s="8" t="s">
        <v>55</v>
      </c>
      <c r="AD268" s="12" t="s">
        <v>1381</v>
      </c>
      <c r="AE268" s="8" t="s">
        <v>1382</v>
      </c>
      <c r="AF268" s="8" t="s">
        <v>1383</v>
      </c>
      <c r="AG268" s="8" t="s">
        <v>63</v>
      </c>
      <c r="AH268" s="8" t="s">
        <v>55</v>
      </c>
      <c r="AI268" s="8" t="s">
        <v>65</v>
      </c>
      <c r="AJ268" s="8" t="s">
        <v>49</v>
      </c>
      <c r="AK268" s="8" t="s">
        <v>55</v>
      </c>
      <c r="AL268" s="8" t="s">
        <v>720</v>
      </c>
      <c r="AM268" s="8" t="s">
        <v>1361</v>
      </c>
      <c r="AN268" s="16" t="s">
        <v>1384</v>
      </c>
      <c r="AO268" s="9" t="s">
        <v>1385</v>
      </c>
      <c r="AP268" s="17" t="s">
        <v>1051</v>
      </c>
      <c r="AQ268" s="11"/>
      <c r="AR268" s="10" t="s">
        <v>1386</v>
      </c>
      <c r="AS268" s="12"/>
      <c r="AT268" s="11"/>
      <c r="AU268" s="11"/>
      <c r="AV268" s="13"/>
    </row>
    <row r="269" ht="16.5" hidden="1" customHeight="1">
      <c r="A269" s="7" t="s">
        <v>1388</v>
      </c>
      <c r="B269" s="14" t="s">
        <v>49</v>
      </c>
      <c r="C269" s="14" t="s">
        <v>919</v>
      </c>
      <c r="D269" s="14" t="s">
        <v>920</v>
      </c>
      <c r="E269" s="7"/>
      <c r="F269" s="7">
        <v>6651.0</v>
      </c>
      <c r="G269" s="7">
        <v>6650.0</v>
      </c>
      <c r="H269" s="7" t="s">
        <v>53</v>
      </c>
      <c r="I269" s="7" t="s">
        <v>1038</v>
      </c>
      <c r="J269" s="7"/>
      <c r="K269" s="8" t="s">
        <v>55</v>
      </c>
      <c r="L269" s="8" t="s">
        <v>55</v>
      </c>
      <c r="M269" s="12" t="s">
        <v>55</v>
      </c>
      <c r="N269" s="8" t="s">
        <v>55</v>
      </c>
      <c r="O269" s="8" t="s">
        <v>55</v>
      </c>
      <c r="P269" s="8" t="s">
        <v>55</v>
      </c>
      <c r="Q269" s="8" t="s">
        <v>49</v>
      </c>
      <c r="R269" s="8" t="s">
        <v>49</v>
      </c>
      <c r="S269" s="8" t="s">
        <v>49</v>
      </c>
      <c r="T269" s="8" t="s">
        <v>49</v>
      </c>
      <c r="U269" s="8" t="s">
        <v>49</v>
      </c>
      <c r="V269" s="8" t="s">
        <v>49</v>
      </c>
      <c r="W269" s="8" t="s">
        <v>49</v>
      </c>
      <c r="X269" s="8" t="s">
        <v>55</v>
      </c>
      <c r="Y269" s="8" t="s">
        <v>55</v>
      </c>
      <c r="Z269" s="8" t="s">
        <v>55</v>
      </c>
      <c r="AA269" s="8" t="s">
        <v>55</v>
      </c>
      <c r="AB269" s="8" t="s">
        <v>55</v>
      </c>
      <c r="AC269" s="8" t="s">
        <v>55</v>
      </c>
      <c r="AD269" s="12" t="s">
        <v>1381</v>
      </c>
      <c r="AE269" s="8" t="s">
        <v>1382</v>
      </c>
      <c r="AF269" s="8" t="s">
        <v>1383</v>
      </c>
      <c r="AG269" s="8" t="s">
        <v>63</v>
      </c>
      <c r="AH269" s="8" t="s">
        <v>55</v>
      </c>
      <c r="AI269" s="8" t="s">
        <v>463</v>
      </c>
      <c r="AJ269" s="8" t="s">
        <v>49</v>
      </c>
      <c r="AK269" s="8" t="s">
        <v>55</v>
      </c>
      <c r="AL269" s="8" t="s">
        <v>720</v>
      </c>
      <c r="AM269" s="8" t="s">
        <v>1361</v>
      </c>
      <c r="AN269" s="16" t="s">
        <v>1389</v>
      </c>
      <c r="AO269" s="9" t="s">
        <v>1390</v>
      </c>
      <c r="AP269" s="17" t="s">
        <v>1051</v>
      </c>
      <c r="AQ269" s="11"/>
      <c r="AR269" s="10" t="s">
        <v>1386</v>
      </c>
      <c r="AS269" s="12"/>
      <c r="AT269" s="11"/>
      <c r="AU269" s="11"/>
      <c r="AV269" s="13"/>
    </row>
    <row r="270" ht="16.5" hidden="1" customHeight="1">
      <c r="A270" s="7" t="s">
        <v>1391</v>
      </c>
      <c r="B270" s="14" t="s">
        <v>49</v>
      </c>
      <c r="C270" s="14" t="s">
        <v>919</v>
      </c>
      <c r="D270" s="14" t="s">
        <v>920</v>
      </c>
      <c r="E270" s="7"/>
      <c r="F270" s="7">
        <v>6652.0</v>
      </c>
      <c r="G270" s="7">
        <v>6650.0</v>
      </c>
      <c r="H270" s="7" t="s">
        <v>53</v>
      </c>
      <c r="I270" s="7" t="s">
        <v>1033</v>
      </c>
      <c r="J270" s="7"/>
      <c r="K270" s="8" t="s">
        <v>55</v>
      </c>
      <c r="L270" s="8" t="s">
        <v>55</v>
      </c>
      <c r="M270" s="12" t="s">
        <v>55</v>
      </c>
      <c r="N270" s="8" t="s">
        <v>55</v>
      </c>
      <c r="O270" s="8" t="s">
        <v>55</v>
      </c>
      <c r="P270" s="8" t="s">
        <v>55</v>
      </c>
      <c r="Q270" s="8" t="s">
        <v>49</v>
      </c>
      <c r="R270" s="8" t="s">
        <v>49</v>
      </c>
      <c r="S270" s="8" t="s">
        <v>49</v>
      </c>
      <c r="T270" s="8" t="s">
        <v>49</v>
      </c>
      <c r="U270" s="8" t="s">
        <v>49</v>
      </c>
      <c r="V270" s="8" t="s">
        <v>49</v>
      </c>
      <c r="W270" s="8" t="s">
        <v>49</v>
      </c>
      <c r="X270" s="8" t="s">
        <v>55</v>
      </c>
      <c r="Y270" s="8" t="s">
        <v>55</v>
      </c>
      <c r="Z270" s="8" t="s">
        <v>55</v>
      </c>
      <c r="AA270" s="8" t="s">
        <v>55</v>
      </c>
      <c r="AB270" s="8" t="s">
        <v>55</v>
      </c>
      <c r="AC270" s="8" t="s">
        <v>55</v>
      </c>
      <c r="AD270" s="12" t="s">
        <v>1392</v>
      </c>
      <c r="AE270" s="8" t="s">
        <v>1393</v>
      </c>
      <c r="AF270" s="8" t="s">
        <v>1383</v>
      </c>
      <c r="AG270" s="8" t="s">
        <v>63</v>
      </c>
      <c r="AH270" s="8" t="s">
        <v>55</v>
      </c>
      <c r="AI270" s="8" t="s">
        <v>65</v>
      </c>
      <c r="AJ270" s="8" t="s">
        <v>49</v>
      </c>
      <c r="AK270" s="8" t="s">
        <v>55</v>
      </c>
      <c r="AL270" s="8" t="s">
        <v>720</v>
      </c>
      <c r="AM270" s="8" t="s">
        <v>1361</v>
      </c>
      <c r="AN270" s="16" t="s">
        <v>1384</v>
      </c>
      <c r="AO270" s="9" t="s">
        <v>1385</v>
      </c>
      <c r="AP270" s="17" t="s">
        <v>1051</v>
      </c>
      <c r="AQ270" s="11"/>
      <c r="AR270" s="10" t="s">
        <v>1394</v>
      </c>
      <c r="AS270" s="12"/>
      <c r="AT270" s="11"/>
      <c r="AU270" s="11"/>
      <c r="AV270" s="13"/>
    </row>
    <row r="271" ht="16.5" hidden="1" customHeight="1">
      <c r="A271" s="7" t="s">
        <v>1395</v>
      </c>
      <c r="B271" s="14" t="s">
        <v>49</v>
      </c>
      <c r="C271" s="14" t="s">
        <v>919</v>
      </c>
      <c r="D271" s="14" t="s">
        <v>920</v>
      </c>
      <c r="E271" s="7"/>
      <c r="F271" s="7">
        <v>6653.0</v>
      </c>
      <c r="G271" s="7">
        <v>6650.0</v>
      </c>
      <c r="H271" s="7" t="s">
        <v>53</v>
      </c>
      <c r="I271" s="7" t="s">
        <v>1033</v>
      </c>
      <c r="J271" s="7"/>
      <c r="K271" s="8" t="s">
        <v>55</v>
      </c>
      <c r="L271" s="8" t="s">
        <v>55</v>
      </c>
      <c r="M271" s="12" t="s">
        <v>55</v>
      </c>
      <c r="N271" s="8" t="s">
        <v>55</v>
      </c>
      <c r="O271" s="8" t="s">
        <v>55</v>
      </c>
      <c r="P271" s="8" t="s">
        <v>55</v>
      </c>
      <c r="Q271" s="8" t="s">
        <v>49</v>
      </c>
      <c r="R271" s="8" t="s">
        <v>49</v>
      </c>
      <c r="S271" s="8" t="s">
        <v>49</v>
      </c>
      <c r="T271" s="8" t="s">
        <v>49</v>
      </c>
      <c r="U271" s="8" t="s">
        <v>49</v>
      </c>
      <c r="V271" s="8" t="s">
        <v>49</v>
      </c>
      <c r="W271" s="8" t="s">
        <v>49</v>
      </c>
      <c r="X271" s="8" t="s">
        <v>55</v>
      </c>
      <c r="Y271" s="8" t="s">
        <v>55</v>
      </c>
      <c r="Z271" s="8" t="s">
        <v>55</v>
      </c>
      <c r="AA271" s="8" t="s">
        <v>55</v>
      </c>
      <c r="AB271" s="8" t="s">
        <v>55</v>
      </c>
      <c r="AC271" s="8" t="s">
        <v>55</v>
      </c>
      <c r="AD271" s="12" t="s">
        <v>1392</v>
      </c>
      <c r="AE271" s="8" t="s">
        <v>1393</v>
      </c>
      <c r="AF271" s="8" t="s">
        <v>1383</v>
      </c>
      <c r="AG271" s="8" t="s">
        <v>63</v>
      </c>
      <c r="AH271" s="8" t="s">
        <v>55</v>
      </c>
      <c r="AI271" s="8" t="s">
        <v>463</v>
      </c>
      <c r="AJ271" s="8" t="s">
        <v>49</v>
      </c>
      <c r="AK271" s="8" t="s">
        <v>55</v>
      </c>
      <c r="AL271" s="8" t="s">
        <v>720</v>
      </c>
      <c r="AM271" s="8" t="s">
        <v>1361</v>
      </c>
      <c r="AN271" s="16" t="s">
        <v>1389</v>
      </c>
      <c r="AO271" s="9" t="s">
        <v>1390</v>
      </c>
      <c r="AP271" s="17" t="s">
        <v>1051</v>
      </c>
      <c r="AQ271" s="11"/>
      <c r="AR271" s="10" t="s">
        <v>1394</v>
      </c>
      <c r="AS271" s="12"/>
      <c r="AT271" s="11"/>
      <c r="AU271" s="11"/>
      <c r="AV271" s="13"/>
    </row>
    <row r="272" ht="16.5" hidden="1" customHeight="1">
      <c r="A272" s="7" t="s">
        <v>1396</v>
      </c>
      <c r="B272" s="14" t="s">
        <v>49</v>
      </c>
      <c r="C272" s="14" t="s">
        <v>919</v>
      </c>
      <c r="D272" s="14" t="s">
        <v>920</v>
      </c>
      <c r="E272" s="7"/>
      <c r="F272" s="7">
        <v>6654.0</v>
      </c>
      <c r="G272" s="7">
        <v>6650.0</v>
      </c>
      <c r="H272" s="7" t="s">
        <v>53</v>
      </c>
      <c r="I272" s="7" t="s">
        <v>1026</v>
      </c>
      <c r="J272" s="7"/>
      <c r="K272" s="8" t="s">
        <v>55</v>
      </c>
      <c r="L272" s="8" t="s">
        <v>55</v>
      </c>
      <c r="M272" s="12" t="s">
        <v>55</v>
      </c>
      <c r="N272" s="8" t="s">
        <v>55</v>
      </c>
      <c r="O272" s="8" t="s">
        <v>55</v>
      </c>
      <c r="P272" s="8" t="s">
        <v>55</v>
      </c>
      <c r="Q272" s="8" t="s">
        <v>49</v>
      </c>
      <c r="R272" s="8" t="s">
        <v>49</v>
      </c>
      <c r="S272" s="8" t="s">
        <v>49</v>
      </c>
      <c r="T272" s="8" t="s">
        <v>49</v>
      </c>
      <c r="U272" s="8" t="s">
        <v>49</v>
      </c>
      <c r="V272" s="8" t="s">
        <v>49</v>
      </c>
      <c r="W272" s="8" t="s">
        <v>49</v>
      </c>
      <c r="X272" s="8" t="s">
        <v>55</v>
      </c>
      <c r="Y272" s="8" t="s">
        <v>55</v>
      </c>
      <c r="Z272" s="8" t="s">
        <v>55</v>
      </c>
      <c r="AA272" s="8" t="s">
        <v>55</v>
      </c>
      <c r="AB272" s="8" t="s">
        <v>55</v>
      </c>
      <c r="AC272" s="8" t="s">
        <v>55</v>
      </c>
      <c r="AD272" s="12" t="s">
        <v>1397</v>
      </c>
      <c r="AE272" s="8" t="s">
        <v>1398</v>
      </c>
      <c r="AF272" s="8" t="s">
        <v>1383</v>
      </c>
      <c r="AG272" s="8" t="s">
        <v>63</v>
      </c>
      <c r="AH272" s="8" t="s">
        <v>55</v>
      </c>
      <c r="AI272" s="8" t="s">
        <v>65</v>
      </c>
      <c r="AJ272" s="8" t="s">
        <v>49</v>
      </c>
      <c r="AK272" s="8" t="s">
        <v>55</v>
      </c>
      <c r="AL272" s="8" t="s">
        <v>720</v>
      </c>
      <c r="AM272" s="8" t="s">
        <v>1361</v>
      </c>
      <c r="AN272" s="16" t="s">
        <v>1384</v>
      </c>
      <c r="AO272" s="9" t="s">
        <v>1385</v>
      </c>
      <c r="AP272" s="17" t="s">
        <v>1051</v>
      </c>
      <c r="AQ272" s="11"/>
      <c r="AR272" s="10" t="s">
        <v>1399</v>
      </c>
      <c r="AS272" s="12"/>
      <c r="AT272" s="11"/>
      <c r="AU272" s="11"/>
      <c r="AV272" s="13"/>
    </row>
    <row r="273" ht="16.5" hidden="1" customHeight="1">
      <c r="A273" s="7" t="s">
        <v>1400</v>
      </c>
      <c r="B273" s="14" t="s">
        <v>49</v>
      </c>
      <c r="C273" s="14" t="s">
        <v>919</v>
      </c>
      <c r="D273" s="14" t="s">
        <v>920</v>
      </c>
      <c r="E273" s="7"/>
      <c r="F273" s="7">
        <v>6655.0</v>
      </c>
      <c r="G273" s="7">
        <v>6650.0</v>
      </c>
      <c r="H273" s="7" t="s">
        <v>53</v>
      </c>
      <c r="I273" s="7" t="s">
        <v>1026</v>
      </c>
      <c r="J273" s="7"/>
      <c r="K273" s="8" t="s">
        <v>55</v>
      </c>
      <c r="L273" s="8" t="s">
        <v>55</v>
      </c>
      <c r="M273" s="12" t="s">
        <v>55</v>
      </c>
      <c r="N273" s="8" t="s">
        <v>55</v>
      </c>
      <c r="O273" s="8" t="s">
        <v>55</v>
      </c>
      <c r="P273" s="8" t="s">
        <v>55</v>
      </c>
      <c r="Q273" s="8" t="s">
        <v>49</v>
      </c>
      <c r="R273" s="8" t="s">
        <v>49</v>
      </c>
      <c r="S273" s="8" t="s">
        <v>49</v>
      </c>
      <c r="T273" s="8" t="s">
        <v>49</v>
      </c>
      <c r="U273" s="8" t="s">
        <v>49</v>
      </c>
      <c r="V273" s="8" t="s">
        <v>49</v>
      </c>
      <c r="W273" s="8" t="s">
        <v>49</v>
      </c>
      <c r="X273" s="8" t="s">
        <v>55</v>
      </c>
      <c r="Y273" s="8" t="s">
        <v>55</v>
      </c>
      <c r="Z273" s="8" t="s">
        <v>55</v>
      </c>
      <c r="AA273" s="8" t="s">
        <v>55</v>
      </c>
      <c r="AB273" s="8" t="s">
        <v>55</v>
      </c>
      <c r="AC273" s="8" t="s">
        <v>55</v>
      </c>
      <c r="AD273" s="12" t="s">
        <v>1397</v>
      </c>
      <c r="AE273" s="8" t="s">
        <v>1398</v>
      </c>
      <c r="AF273" s="8" t="s">
        <v>1383</v>
      </c>
      <c r="AG273" s="8" t="s">
        <v>63</v>
      </c>
      <c r="AH273" s="8" t="s">
        <v>55</v>
      </c>
      <c r="AI273" s="8" t="s">
        <v>463</v>
      </c>
      <c r="AJ273" s="8" t="s">
        <v>49</v>
      </c>
      <c r="AK273" s="8" t="s">
        <v>55</v>
      </c>
      <c r="AL273" s="8" t="s">
        <v>720</v>
      </c>
      <c r="AM273" s="8" t="s">
        <v>1361</v>
      </c>
      <c r="AN273" s="16" t="s">
        <v>1389</v>
      </c>
      <c r="AO273" s="9" t="s">
        <v>1390</v>
      </c>
      <c r="AP273" s="17" t="s">
        <v>1051</v>
      </c>
      <c r="AQ273" s="11"/>
      <c r="AR273" s="10" t="s">
        <v>1399</v>
      </c>
      <c r="AS273" s="12"/>
      <c r="AT273" s="11"/>
      <c r="AU273" s="11"/>
      <c r="AV273" s="13"/>
    </row>
    <row r="274" ht="16.5" hidden="1" customHeight="1">
      <c r="A274" s="7" t="s">
        <v>1401</v>
      </c>
      <c r="B274" s="7" t="s">
        <v>1290</v>
      </c>
      <c r="C274" s="7" t="s">
        <v>1291</v>
      </c>
      <c r="D274" s="7" t="s">
        <v>1402</v>
      </c>
      <c r="E274" s="7" t="s">
        <v>227</v>
      </c>
      <c r="F274" s="7">
        <v>6656.0</v>
      </c>
      <c r="G274" s="7"/>
      <c r="H274" s="7" t="s">
        <v>53</v>
      </c>
      <c r="I274" s="7"/>
      <c r="J274" s="7"/>
      <c r="K274" s="8" t="s">
        <v>84</v>
      </c>
      <c r="L274" s="8" t="s">
        <v>1403</v>
      </c>
      <c r="M274" s="8"/>
      <c r="N274" s="8" t="s">
        <v>85</v>
      </c>
      <c r="O274" s="8" t="s">
        <v>217</v>
      </c>
      <c r="P274" s="8" t="s">
        <v>57</v>
      </c>
      <c r="Q274" s="8" t="s">
        <v>1404</v>
      </c>
      <c r="R274" s="20">
        <v>0.9</v>
      </c>
      <c r="S274" s="8" t="s">
        <v>1405</v>
      </c>
      <c r="T274" s="8" t="s">
        <v>1406</v>
      </c>
      <c r="U274" s="8" t="s">
        <v>1407</v>
      </c>
      <c r="V274" s="8" t="s">
        <v>1408</v>
      </c>
      <c r="W274" s="8" t="s">
        <v>1409</v>
      </c>
      <c r="X274" s="8" t="s">
        <v>108</v>
      </c>
      <c r="Y274" s="8" t="s">
        <v>161</v>
      </c>
      <c r="Z274" s="8" t="s">
        <v>92</v>
      </c>
      <c r="AA274" s="8" t="s">
        <v>231</v>
      </c>
      <c r="AB274" s="8" t="s">
        <v>60</v>
      </c>
      <c r="AC274" s="8" t="s">
        <v>1018</v>
      </c>
      <c r="AD274" s="8" t="s">
        <v>1410</v>
      </c>
      <c r="AE274" s="8" t="s">
        <v>49</v>
      </c>
      <c r="AF274" s="8" t="s">
        <v>49</v>
      </c>
      <c r="AG274" s="8" t="s">
        <v>63</v>
      </c>
      <c r="AH274" s="8" t="s">
        <v>145</v>
      </c>
      <c r="AI274" s="8" t="s">
        <v>463</v>
      </c>
      <c r="AJ274" s="8" t="s">
        <v>1411</v>
      </c>
      <c r="AK274" s="8" t="s">
        <v>49</v>
      </c>
      <c r="AL274" s="8" t="s">
        <v>720</v>
      </c>
      <c r="AM274" s="8" t="s">
        <v>1412</v>
      </c>
      <c r="AN274" s="9" t="s">
        <v>1413</v>
      </c>
      <c r="AO274" s="9" t="s">
        <v>1414</v>
      </c>
      <c r="AP274" s="10" t="s">
        <v>1296</v>
      </c>
      <c r="AQ274" s="10" t="s">
        <v>1415</v>
      </c>
      <c r="AR274" s="10" t="s">
        <v>1416</v>
      </c>
      <c r="AS274" s="12"/>
      <c r="AT274" s="10" t="s">
        <v>1417</v>
      </c>
      <c r="AU274" s="10" t="s">
        <v>1418</v>
      </c>
      <c r="AV274" s="13"/>
    </row>
    <row r="275" ht="16.5" hidden="1" customHeight="1">
      <c r="A275" s="7" t="s">
        <v>1419</v>
      </c>
      <c r="B275" s="7" t="s">
        <v>1290</v>
      </c>
      <c r="C275" s="7" t="s">
        <v>1291</v>
      </c>
      <c r="D275" s="7" t="s">
        <v>1402</v>
      </c>
      <c r="E275" s="7" t="s">
        <v>227</v>
      </c>
      <c r="F275" s="7">
        <v>6656.0</v>
      </c>
      <c r="G275" s="7">
        <v>6656.0</v>
      </c>
      <c r="H275" s="7" t="s">
        <v>53</v>
      </c>
      <c r="I275" s="7" t="s">
        <v>1420</v>
      </c>
      <c r="J275" s="7"/>
      <c r="K275" s="8" t="s">
        <v>84</v>
      </c>
      <c r="L275" s="8" t="s">
        <v>1403</v>
      </c>
      <c r="M275" s="8"/>
      <c r="N275" s="8" t="s">
        <v>85</v>
      </c>
      <c r="O275" s="8" t="s">
        <v>217</v>
      </c>
      <c r="P275" s="8" t="s">
        <v>57</v>
      </c>
      <c r="Q275" s="8" t="s">
        <v>1404</v>
      </c>
      <c r="R275" s="20">
        <v>0.9</v>
      </c>
      <c r="S275" s="8" t="s">
        <v>1405</v>
      </c>
      <c r="T275" s="8" t="s">
        <v>1406</v>
      </c>
      <c r="U275" s="8" t="s">
        <v>1407</v>
      </c>
      <c r="V275" s="8" t="s">
        <v>1408</v>
      </c>
      <c r="W275" s="8" t="s">
        <v>1409</v>
      </c>
      <c r="X275" s="8" t="s">
        <v>108</v>
      </c>
      <c r="Y275" s="8" t="s">
        <v>161</v>
      </c>
      <c r="Z275" s="8" t="s">
        <v>92</v>
      </c>
      <c r="AA275" s="8" t="s">
        <v>231</v>
      </c>
      <c r="AB275" s="8" t="s">
        <v>60</v>
      </c>
      <c r="AC275" s="8" t="s">
        <v>1018</v>
      </c>
      <c r="AD275" s="12" t="s">
        <v>1421</v>
      </c>
      <c r="AE275" s="8" t="s">
        <v>49</v>
      </c>
      <c r="AF275" s="8" t="s">
        <v>49</v>
      </c>
      <c r="AG275" s="8" t="s">
        <v>63</v>
      </c>
      <c r="AH275" s="8" t="s">
        <v>145</v>
      </c>
      <c r="AI275" s="8" t="s">
        <v>463</v>
      </c>
      <c r="AJ275" s="8" t="s">
        <v>1411</v>
      </c>
      <c r="AK275" s="8" t="s">
        <v>1422</v>
      </c>
      <c r="AL275" s="8" t="s">
        <v>720</v>
      </c>
      <c r="AM275" s="8" t="s">
        <v>1412</v>
      </c>
      <c r="AN275" s="9" t="s">
        <v>1413</v>
      </c>
      <c r="AO275" s="9" t="s">
        <v>1414</v>
      </c>
      <c r="AP275" s="10" t="s">
        <v>1296</v>
      </c>
      <c r="AQ275" s="10" t="s">
        <v>1415</v>
      </c>
      <c r="AR275" s="10" t="s">
        <v>1416</v>
      </c>
      <c r="AS275" s="12"/>
      <c r="AT275" s="10" t="s">
        <v>1417</v>
      </c>
      <c r="AU275" s="10" t="s">
        <v>1418</v>
      </c>
      <c r="AV275" s="13"/>
    </row>
    <row r="276" ht="16.5" hidden="1" customHeight="1">
      <c r="A276" s="7" t="s">
        <v>1423</v>
      </c>
      <c r="B276" s="7" t="s">
        <v>1290</v>
      </c>
      <c r="C276" s="14" t="s">
        <v>1291</v>
      </c>
      <c r="D276" s="14" t="s">
        <v>1402</v>
      </c>
      <c r="E276" s="7"/>
      <c r="F276" s="7">
        <v>6657.0</v>
      </c>
      <c r="G276" s="7">
        <v>6656.0</v>
      </c>
      <c r="H276" s="7" t="s">
        <v>53</v>
      </c>
      <c r="I276" s="7" t="s">
        <v>1420</v>
      </c>
      <c r="J276" s="7"/>
      <c r="K276" s="8" t="s">
        <v>84</v>
      </c>
      <c r="L276" s="8" t="s">
        <v>1403</v>
      </c>
      <c r="M276" s="8"/>
      <c r="N276" s="8" t="s">
        <v>85</v>
      </c>
      <c r="O276" s="8" t="s">
        <v>217</v>
      </c>
      <c r="P276" s="8" t="s">
        <v>57</v>
      </c>
      <c r="Q276" s="8" t="s">
        <v>1404</v>
      </c>
      <c r="R276" s="20">
        <v>0.9</v>
      </c>
      <c r="S276" s="8" t="s">
        <v>1405</v>
      </c>
      <c r="T276" s="8" t="s">
        <v>1406</v>
      </c>
      <c r="U276" s="8" t="s">
        <v>1407</v>
      </c>
      <c r="V276" s="8" t="s">
        <v>1408</v>
      </c>
      <c r="W276" s="8" t="s">
        <v>1409</v>
      </c>
      <c r="X276" s="8" t="s">
        <v>108</v>
      </c>
      <c r="Y276" s="8" t="s">
        <v>161</v>
      </c>
      <c r="Z276" s="8" t="s">
        <v>92</v>
      </c>
      <c r="AA276" s="8" t="s">
        <v>231</v>
      </c>
      <c r="AB276" s="8" t="s">
        <v>60</v>
      </c>
      <c r="AC276" s="8" t="s">
        <v>1018</v>
      </c>
      <c r="AD276" s="12" t="s">
        <v>1421</v>
      </c>
      <c r="AE276" s="8" t="s">
        <v>49</v>
      </c>
      <c r="AF276" s="8" t="s">
        <v>49</v>
      </c>
      <c r="AG276" s="8" t="s">
        <v>63</v>
      </c>
      <c r="AH276" s="8" t="s">
        <v>145</v>
      </c>
      <c r="AI276" s="8" t="s">
        <v>65</v>
      </c>
      <c r="AJ276" s="8" t="s">
        <v>1411</v>
      </c>
      <c r="AK276" s="8" t="s">
        <v>1422</v>
      </c>
      <c r="AL276" s="8" t="s">
        <v>720</v>
      </c>
      <c r="AM276" s="8" t="s">
        <v>1412</v>
      </c>
      <c r="AN276" s="9" t="s">
        <v>1424</v>
      </c>
      <c r="AO276" s="9" t="s">
        <v>1425</v>
      </c>
      <c r="AP276" s="10" t="s">
        <v>1296</v>
      </c>
      <c r="AQ276" s="10" t="s">
        <v>1415</v>
      </c>
      <c r="AR276" s="10" t="s">
        <v>1416</v>
      </c>
      <c r="AS276" s="12"/>
      <c r="AT276" s="10" t="s">
        <v>1417</v>
      </c>
      <c r="AU276" s="10" t="s">
        <v>1418</v>
      </c>
      <c r="AV276" s="15">
        <v>46315.0</v>
      </c>
    </row>
    <row r="277" ht="16.5" hidden="1" customHeight="1">
      <c r="A277" s="7" t="s">
        <v>1426</v>
      </c>
      <c r="B277" s="7" t="s">
        <v>1290</v>
      </c>
      <c r="C277" s="7" t="s">
        <v>1291</v>
      </c>
      <c r="D277" s="7" t="s">
        <v>1402</v>
      </c>
      <c r="E277" s="7" t="s">
        <v>227</v>
      </c>
      <c r="F277" s="7">
        <v>6658.0</v>
      </c>
      <c r="G277" s="7">
        <v>6656.0</v>
      </c>
      <c r="H277" s="7" t="s">
        <v>53</v>
      </c>
      <c r="I277" s="7" t="s">
        <v>1427</v>
      </c>
      <c r="J277" s="7"/>
      <c r="K277" s="8" t="s">
        <v>84</v>
      </c>
      <c r="L277" s="8" t="s">
        <v>1403</v>
      </c>
      <c r="M277" s="8"/>
      <c r="N277" s="8" t="s">
        <v>85</v>
      </c>
      <c r="O277" s="8" t="s">
        <v>217</v>
      </c>
      <c r="P277" s="8" t="s">
        <v>57</v>
      </c>
      <c r="Q277" s="8" t="s">
        <v>1428</v>
      </c>
      <c r="R277" s="20">
        <v>0.9</v>
      </c>
      <c r="S277" s="8" t="s">
        <v>1429</v>
      </c>
      <c r="T277" s="8" t="s">
        <v>1406</v>
      </c>
      <c r="U277" s="8" t="s">
        <v>1430</v>
      </c>
      <c r="V277" s="8" t="s">
        <v>1408</v>
      </c>
      <c r="W277" s="8" t="s">
        <v>1409</v>
      </c>
      <c r="X277" s="8" t="s">
        <v>108</v>
      </c>
      <c r="Y277" s="8" t="s">
        <v>161</v>
      </c>
      <c r="Z277" s="8" t="s">
        <v>92</v>
      </c>
      <c r="AA277" s="8" t="s">
        <v>231</v>
      </c>
      <c r="AB277" s="8" t="s">
        <v>60</v>
      </c>
      <c r="AC277" s="8" t="s">
        <v>1018</v>
      </c>
      <c r="AD277" s="12" t="s">
        <v>1431</v>
      </c>
      <c r="AE277" s="8" t="s">
        <v>49</v>
      </c>
      <c r="AF277" s="8" t="s">
        <v>49</v>
      </c>
      <c r="AG277" s="8" t="s">
        <v>63</v>
      </c>
      <c r="AH277" s="8" t="s">
        <v>145</v>
      </c>
      <c r="AI277" s="8" t="s">
        <v>463</v>
      </c>
      <c r="AJ277" s="8" t="s">
        <v>1411</v>
      </c>
      <c r="AK277" s="8" t="s">
        <v>1422</v>
      </c>
      <c r="AL277" s="8" t="s">
        <v>720</v>
      </c>
      <c r="AM277" s="8" t="s">
        <v>1412</v>
      </c>
      <c r="AN277" s="16" t="s">
        <v>1432</v>
      </c>
      <c r="AO277" s="9" t="s">
        <v>1433</v>
      </c>
      <c r="AP277" s="10" t="s">
        <v>1296</v>
      </c>
      <c r="AQ277" s="10" t="s">
        <v>1434</v>
      </c>
      <c r="AR277" s="10" t="s">
        <v>1435</v>
      </c>
      <c r="AS277" s="12"/>
      <c r="AT277" s="10" t="s">
        <v>1436</v>
      </c>
      <c r="AU277" s="10" t="s">
        <v>1437</v>
      </c>
      <c r="AV277" s="13"/>
    </row>
    <row r="278" ht="16.5" hidden="1" customHeight="1">
      <c r="A278" s="7" t="s">
        <v>1438</v>
      </c>
      <c r="B278" s="7" t="s">
        <v>1290</v>
      </c>
      <c r="C278" s="14" t="s">
        <v>1291</v>
      </c>
      <c r="D278" s="14" t="s">
        <v>1402</v>
      </c>
      <c r="E278" s="7"/>
      <c r="F278" s="7">
        <v>6659.0</v>
      </c>
      <c r="G278" s="7">
        <v>6656.0</v>
      </c>
      <c r="H278" s="7" t="s">
        <v>53</v>
      </c>
      <c r="I278" s="7" t="s">
        <v>1427</v>
      </c>
      <c r="J278" s="7"/>
      <c r="K278" s="8" t="s">
        <v>84</v>
      </c>
      <c r="L278" s="8" t="s">
        <v>1403</v>
      </c>
      <c r="M278" s="8"/>
      <c r="N278" s="8" t="s">
        <v>85</v>
      </c>
      <c r="O278" s="8" t="s">
        <v>217</v>
      </c>
      <c r="P278" s="8" t="s">
        <v>57</v>
      </c>
      <c r="Q278" s="8" t="s">
        <v>1428</v>
      </c>
      <c r="R278" s="20">
        <v>0.9</v>
      </c>
      <c r="S278" s="8" t="s">
        <v>1429</v>
      </c>
      <c r="T278" s="8" t="s">
        <v>1406</v>
      </c>
      <c r="U278" s="8" t="s">
        <v>1430</v>
      </c>
      <c r="V278" s="8" t="s">
        <v>1408</v>
      </c>
      <c r="W278" s="8" t="s">
        <v>1409</v>
      </c>
      <c r="X278" s="8" t="s">
        <v>108</v>
      </c>
      <c r="Y278" s="8" t="s">
        <v>161</v>
      </c>
      <c r="Z278" s="8" t="s">
        <v>92</v>
      </c>
      <c r="AA278" s="8" t="s">
        <v>231</v>
      </c>
      <c r="AB278" s="8" t="s">
        <v>60</v>
      </c>
      <c r="AC278" s="8" t="s">
        <v>1018</v>
      </c>
      <c r="AD278" s="12" t="s">
        <v>1431</v>
      </c>
      <c r="AE278" s="8" t="s">
        <v>49</v>
      </c>
      <c r="AF278" s="8" t="s">
        <v>49</v>
      </c>
      <c r="AG278" s="8" t="s">
        <v>63</v>
      </c>
      <c r="AH278" s="8" t="s">
        <v>145</v>
      </c>
      <c r="AI278" s="8" t="s">
        <v>65</v>
      </c>
      <c r="AJ278" s="8" t="s">
        <v>1411</v>
      </c>
      <c r="AK278" s="8" t="s">
        <v>1422</v>
      </c>
      <c r="AL278" s="8" t="s">
        <v>720</v>
      </c>
      <c r="AM278" s="8" t="s">
        <v>1412</v>
      </c>
      <c r="AN278" s="16" t="s">
        <v>1439</v>
      </c>
      <c r="AO278" s="9" t="s">
        <v>1440</v>
      </c>
      <c r="AP278" s="10" t="s">
        <v>1296</v>
      </c>
      <c r="AQ278" s="10" t="s">
        <v>1434</v>
      </c>
      <c r="AR278" s="10" t="s">
        <v>1435</v>
      </c>
      <c r="AS278" s="12"/>
      <c r="AT278" s="10" t="s">
        <v>1436</v>
      </c>
      <c r="AU278" s="10" t="s">
        <v>1437</v>
      </c>
      <c r="AV278" s="15">
        <v>46343.0</v>
      </c>
    </row>
    <row r="279" ht="16.5" hidden="1" customHeight="1">
      <c r="A279" s="7" t="s">
        <v>1441</v>
      </c>
      <c r="B279" s="7" t="s">
        <v>1290</v>
      </c>
      <c r="C279" s="7" t="s">
        <v>1291</v>
      </c>
      <c r="D279" s="7" t="s">
        <v>1402</v>
      </c>
      <c r="E279" s="7" t="s">
        <v>227</v>
      </c>
      <c r="F279" s="7">
        <v>6660.0</v>
      </c>
      <c r="G279" s="7">
        <v>6656.0</v>
      </c>
      <c r="H279" s="7" t="s">
        <v>53</v>
      </c>
      <c r="I279" s="7" t="s">
        <v>1442</v>
      </c>
      <c r="J279" s="7"/>
      <c r="K279" s="8" t="s">
        <v>84</v>
      </c>
      <c r="L279" s="8" t="s">
        <v>1403</v>
      </c>
      <c r="M279" s="8"/>
      <c r="N279" s="8" t="s">
        <v>85</v>
      </c>
      <c r="O279" s="8" t="s">
        <v>217</v>
      </c>
      <c r="P279" s="8" t="s">
        <v>57</v>
      </c>
      <c r="Q279" s="8" t="s">
        <v>1443</v>
      </c>
      <c r="R279" s="20">
        <v>0.9</v>
      </c>
      <c r="S279" s="8" t="s">
        <v>1444</v>
      </c>
      <c r="T279" s="8" t="s">
        <v>1406</v>
      </c>
      <c r="U279" s="8" t="s">
        <v>1445</v>
      </c>
      <c r="V279" s="8" t="s">
        <v>1408</v>
      </c>
      <c r="W279" s="8" t="s">
        <v>1409</v>
      </c>
      <c r="X279" s="8" t="s">
        <v>108</v>
      </c>
      <c r="Y279" s="8" t="s">
        <v>161</v>
      </c>
      <c r="Z279" s="8" t="s">
        <v>92</v>
      </c>
      <c r="AA279" s="8" t="s">
        <v>231</v>
      </c>
      <c r="AB279" s="8" t="s">
        <v>60</v>
      </c>
      <c r="AC279" s="8" t="s">
        <v>1018</v>
      </c>
      <c r="AD279" s="12" t="s">
        <v>1446</v>
      </c>
      <c r="AE279" s="8" t="s">
        <v>49</v>
      </c>
      <c r="AF279" s="8" t="s">
        <v>49</v>
      </c>
      <c r="AG279" s="8" t="s">
        <v>63</v>
      </c>
      <c r="AH279" s="8" t="s">
        <v>145</v>
      </c>
      <c r="AI279" s="8" t="s">
        <v>463</v>
      </c>
      <c r="AJ279" s="8" t="s">
        <v>1411</v>
      </c>
      <c r="AK279" s="8" t="s">
        <v>1422</v>
      </c>
      <c r="AL279" s="8" t="s">
        <v>720</v>
      </c>
      <c r="AM279" s="8" t="s">
        <v>1412</v>
      </c>
      <c r="AN279" s="9" t="s">
        <v>1447</v>
      </c>
      <c r="AO279" s="9" t="s">
        <v>1448</v>
      </c>
      <c r="AP279" s="10" t="s">
        <v>1296</v>
      </c>
      <c r="AQ279" s="10" t="s">
        <v>1449</v>
      </c>
      <c r="AR279" s="10" t="s">
        <v>1450</v>
      </c>
      <c r="AS279" s="12"/>
      <c r="AT279" s="10" t="s">
        <v>1451</v>
      </c>
      <c r="AU279" s="10" t="s">
        <v>1452</v>
      </c>
      <c r="AV279" s="13"/>
    </row>
    <row r="280" ht="16.5" hidden="1" customHeight="1">
      <c r="A280" s="7" t="s">
        <v>1453</v>
      </c>
      <c r="B280" s="7" t="s">
        <v>1290</v>
      </c>
      <c r="C280" s="14" t="s">
        <v>1291</v>
      </c>
      <c r="D280" s="14" t="s">
        <v>1402</v>
      </c>
      <c r="E280" s="7"/>
      <c r="F280" s="7">
        <v>6661.0</v>
      </c>
      <c r="G280" s="7">
        <v>6656.0</v>
      </c>
      <c r="H280" s="7" t="s">
        <v>53</v>
      </c>
      <c r="I280" s="7" t="s">
        <v>1442</v>
      </c>
      <c r="J280" s="7"/>
      <c r="K280" s="8" t="s">
        <v>84</v>
      </c>
      <c r="L280" s="8" t="s">
        <v>1403</v>
      </c>
      <c r="M280" s="8"/>
      <c r="N280" s="8" t="s">
        <v>85</v>
      </c>
      <c r="O280" s="8" t="s">
        <v>217</v>
      </c>
      <c r="P280" s="8" t="s">
        <v>57</v>
      </c>
      <c r="Q280" s="8" t="s">
        <v>1443</v>
      </c>
      <c r="R280" s="20">
        <v>0.9</v>
      </c>
      <c r="S280" s="8" t="s">
        <v>1444</v>
      </c>
      <c r="T280" s="8" t="s">
        <v>1406</v>
      </c>
      <c r="U280" s="8" t="s">
        <v>1445</v>
      </c>
      <c r="V280" s="8" t="s">
        <v>1408</v>
      </c>
      <c r="W280" s="8" t="s">
        <v>1409</v>
      </c>
      <c r="X280" s="8" t="s">
        <v>108</v>
      </c>
      <c r="Y280" s="8" t="s">
        <v>161</v>
      </c>
      <c r="Z280" s="8" t="s">
        <v>92</v>
      </c>
      <c r="AA280" s="8" t="s">
        <v>231</v>
      </c>
      <c r="AB280" s="8" t="s">
        <v>60</v>
      </c>
      <c r="AC280" s="8" t="s">
        <v>1018</v>
      </c>
      <c r="AD280" s="12" t="s">
        <v>1446</v>
      </c>
      <c r="AE280" s="8" t="s">
        <v>49</v>
      </c>
      <c r="AF280" s="8" t="s">
        <v>49</v>
      </c>
      <c r="AG280" s="8" t="s">
        <v>63</v>
      </c>
      <c r="AH280" s="8" t="s">
        <v>145</v>
      </c>
      <c r="AI280" s="8" t="s">
        <v>65</v>
      </c>
      <c r="AJ280" s="8" t="s">
        <v>1411</v>
      </c>
      <c r="AK280" s="8" t="s">
        <v>1422</v>
      </c>
      <c r="AL280" s="8" t="s">
        <v>720</v>
      </c>
      <c r="AM280" s="8" t="s">
        <v>1412</v>
      </c>
      <c r="AN280" s="16" t="s">
        <v>1454</v>
      </c>
      <c r="AO280" s="9" t="s">
        <v>1455</v>
      </c>
      <c r="AP280" s="10" t="s">
        <v>1296</v>
      </c>
      <c r="AQ280" s="10" t="s">
        <v>1449</v>
      </c>
      <c r="AR280" s="10" t="s">
        <v>1450</v>
      </c>
      <c r="AS280" s="12"/>
      <c r="AT280" s="10" t="s">
        <v>1451</v>
      </c>
      <c r="AU280" s="10" t="s">
        <v>1452</v>
      </c>
      <c r="AV280" s="15">
        <v>46315.0</v>
      </c>
    </row>
    <row r="281" ht="16.5" hidden="1" customHeight="1">
      <c r="A281" s="7" t="s">
        <v>1456</v>
      </c>
      <c r="B281" s="7" t="s">
        <v>1290</v>
      </c>
      <c r="C281" s="7" t="s">
        <v>1291</v>
      </c>
      <c r="D281" s="7" t="s">
        <v>1402</v>
      </c>
      <c r="E281" s="7" t="s">
        <v>227</v>
      </c>
      <c r="F281" s="7">
        <v>6662.0</v>
      </c>
      <c r="G281" s="7">
        <v>6656.0</v>
      </c>
      <c r="H281" s="7" t="s">
        <v>53</v>
      </c>
      <c r="I281" s="7" t="s">
        <v>1457</v>
      </c>
      <c r="J281" s="7"/>
      <c r="K281" s="8" t="s">
        <v>84</v>
      </c>
      <c r="L281" s="8" t="s">
        <v>1403</v>
      </c>
      <c r="M281" s="8"/>
      <c r="N281" s="8" t="s">
        <v>85</v>
      </c>
      <c r="O281" s="8" t="s">
        <v>217</v>
      </c>
      <c r="P281" s="8" t="s">
        <v>57</v>
      </c>
      <c r="Q281" s="8" t="s">
        <v>1458</v>
      </c>
      <c r="R281" s="20">
        <v>0.9</v>
      </c>
      <c r="S281" s="8" t="s">
        <v>1459</v>
      </c>
      <c r="T281" s="8" t="s">
        <v>1406</v>
      </c>
      <c r="U281" s="8" t="s">
        <v>1460</v>
      </c>
      <c r="V281" s="8" t="s">
        <v>1408</v>
      </c>
      <c r="W281" s="8" t="s">
        <v>1409</v>
      </c>
      <c r="X281" s="8" t="s">
        <v>108</v>
      </c>
      <c r="Y281" s="8" t="s">
        <v>161</v>
      </c>
      <c r="Z281" s="8" t="s">
        <v>92</v>
      </c>
      <c r="AA281" s="8" t="s">
        <v>231</v>
      </c>
      <c r="AB281" s="8" t="s">
        <v>60</v>
      </c>
      <c r="AC281" s="8" t="s">
        <v>1018</v>
      </c>
      <c r="AD281" s="12" t="s">
        <v>1461</v>
      </c>
      <c r="AE281" s="8" t="s">
        <v>49</v>
      </c>
      <c r="AF281" s="8" t="s">
        <v>49</v>
      </c>
      <c r="AG281" s="8" t="s">
        <v>63</v>
      </c>
      <c r="AH281" s="8" t="s">
        <v>145</v>
      </c>
      <c r="AI281" s="8" t="s">
        <v>463</v>
      </c>
      <c r="AJ281" s="8" t="s">
        <v>1411</v>
      </c>
      <c r="AK281" s="8" t="s">
        <v>1422</v>
      </c>
      <c r="AL281" s="8" t="s">
        <v>720</v>
      </c>
      <c r="AM281" s="8" t="s">
        <v>1412</v>
      </c>
      <c r="AN281" s="9" t="s">
        <v>1462</v>
      </c>
      <c r="AO281" s="9" t="s">
        <v>1463</v>
      </c>
      <c r="AP281" s="10" t="s">
        <v>1296</v>
      </c>
      <c r="AQ281" s="10" t="s">
        <v>1464</v>
      </c>
      <c r="AR281" s="10" t="s">
        <v>1465</v>
      </c>
      <c r="AS281" s="12"/>
      <c r="AT281" s="10" t="s">
        <v>1466</v>
      </c>
      <c r="AU281" s="11"/>
      <c r="AV281" s="13"/>
    </row>
    <row r="282" ht="16.5" hidden="1" customHeight="1">
      <c r="A282" s="7" t="s">
        <v>1467</v>
      </c>
      <c r="B282" s="7" t="s">
        <v>1290</v>
      </c>
      <c r="C282" s="14" t="s">
        <v>1291</v>
      </c>
      <c r="D282" s="14" t="s">
        <v>1402</v>
      </c>
      <c r="E282" s="7"/>
      <c r="F282" s="7">
        <v>6663.0</v>
      </c>
      <c r="G282" s="7">
        <v>6656.0</v>
      </c>
      <c r="H282" s="7" t="s">
        <v>53</v>
      </c>
      <c r="I282" s="7" t="s">
        <v>1457</v>
      </c>
      <c r="J282" s="7"/>
      <c r="K282" s="8" t="s">
        <v>84</v>
      </c>
      <c r="L282" s="8" t="s">
        <v>1403</v>
      </c>
      <c r="M282" s="8"/>
      <c r="N282" s="8" t="s">
        <v>85</v>
      </c>
      <c r="O282" s="8" t="s">
        <v>217</v>
      </c>
      <c r="P282" s="8" t="s">
        <v>57</v>
      </c>
      <c r="Q282" s="8" t="s">
        <v>1458</v>
      </c>
      <c r="R282" s="20">
        <v>0.9</v>
      </c>
      <c r="S282" s="8" t="s">
        <v>1459</v>
      </c>
      <c r="T282" s="8" t="s">
        <v>1406</v>
      </c>
      <c r="U282" s="8" t="s">
        <v>1460</v>
      </c>
      <c r="V282" s="8" t="s">
        <v>1408</v>
      </c>
      <c r="W282" s="8" t="s">
        <v>1409</v>
      </c>
      <c r="X282" s="8" t="s">
        <v>108</v>
      </c>
      <c r="Y282" s="8" t="s">
        <v>161</v>
      </c>
      <c r="Z282" s="8" t="s">
        <v>92</v>
      </c>
      <c r="AA282" s="8" t="s">
        <v>231</v>
      </c>
      <c r="AB282" s="8" t="s">
        <v>60</v>
      </c>
      <c r="AC282" s="8" t="s">
        <v>1018</v>
      </c>
      <c r="AD282" s="12" t="s">
        <v>1461</v>
      </c>
      <c r="AE282" s="8" t="s">
        <v>49</v>
      </c>
      <c r="AF282" s="8" t="s">
        <v>49</v>
      </c>
      <c r="AG282" s="8" t="s">
        <v>63</v>
      </c>
      <c r="AH282" s="8" t="s">
        <v>145</v>
      </c>
      <c r="AI282" s="8" t="s">
        <v>65</v>
      </c>
      <c r="AJ282" s="8" t="s">
        <v>1411</v>
      </c>
      <c r="AK282" s="8" t="s">
        <v>1422</v>
      </c>
      <c r="AL282" s="8" t="s">
        <v>720</v>
      </c>
      <c r="AM282" s="8" t="s">
        <v>1412</v>
      </c>
      <c r="AN282" s="16" t="s">
        <v>1468</v>
      </c>
      <c r="AO282" s="9" t="s">
        <v>1469</v>
      </c>
      <c r="AP282" s="10" t="s">
        <v>1296</v>
      </c>
      <c r="AQ282" s="10" t="s">
        <v>1464</v>
      </c>
      <c r="AR282" s="10" t="s">
        <v>1465</v>
      </c>
      <c r="AS282" s="12"/>
      <c r="AT282" s="10" t="s">
        <v>1466</v>
      </c>
      <c r="AU282" s="11"/>
      <c r="AV282" s="15">
        <v>46315.0</v>
      </c>
    </row>
    <row r="283" ht="16.5" hidden="1" customHeight="1">
      <c r="A283" s="7" t="s">
        <v>1470</v>
      </c>
      <c r="B283" s="7" t="s">
        <v>1290</v>
      </c>
      <c r="C283" s="7" t="s">
        <v>1238</v>
      </c>
      <c r="D283" s="7" t="s">
        <v>1239</v>
      </c>
      <c r="E283" s="7" t="s">
        <v>227</v>
      </c>
      <c r="F283" s="7">
        <v>6664.0</v>
      </c>
      <c r="G283" s="7"/>
      <c r="H283" s="7" t="s">
        <v>53</v>
      </c>
      <c r="I283" s="7"/>
      <c r="J283" s="7"/>
      <c r="K283" s="8" t="s">
        <v>55</v>
      </c>
      <c r="L283" s="8" t="s">
        <v>55</v>
      </c>
      <c r="M283" s="8"/>
      <c r="N283" s="8" t="s">
        <v>55</v>
      </c>
      <c r="O283" s="8" t="s">
        <v>55</v>
      </c>
      <c r="P283" s="8" t="s">
        <v>55</v>
      </c>
      <c r="Q283" s="8" t="s">
        <v>49</v>
      </c>
      <c r="R283" s="20" t="s">
        <v>49</v>
      </c>
      <c r="S283" s="8" t="s">
        <v>49</v>
      </c>
      <c r="T283" s="8" t="s">
        <v>49</v>
      </c>
      <c r="U283" s="8" t="s">
        <v>49</v>
      </c>
      <c r="V283" s="8" t="s">
        <v>49</v>
      </c>
      <c r="W283" s="8" t="s">
        <v>49</v>
      </c>
      <c r="X283" s="8" t="s">
        <v>49</v>
      </c>
      <c r="Y283" s="8" t="s">
        <v>49</v>
      </c>
      <c r="Z283" s="8" t="s">
        <v>49</v>
      </c>
      <c r="AA283" s="8" t="s">
        <v>231</v>
      </c>
      <c r="AB283" s="8" t="s">
        <v>55</v>
      </c>
      <c r="AC283" s="8" t="s">
        <v>1018</v>
      </c>
      <c r="AD283" s="8" t="s">
        <v>1471</v>
      </c>
      <c r="AE283" s="8" t="s">
        <v>55</v>
      </c>
      <c r="AF283" s="8" t="s">
        <v>55</v>
      </c>
      <c r="AG283" s="8" t="s">
        <v>63</v>
      </c>
      <c r="AH283" s="8" t="s">
        <v>55</v>
      </c>
      <c r="AI283" s="8" t="s">
        <v>463</v>
      </c>
      <c r="AJ283" s="8" t="s">
        <v>49</v>
      </c>
      <c r="AK283" s="8" t="s">
        <v>49</v>
      </c>
      <c r="AL283" s="8" t="s">
        <v>720</v>
      </c>
      <c r="AM283" s="8" t="s">
        <v>1293</v>
      </c>
      <c r="AN283" s="9" t="s">
        <v>1472</v>
      </c>
      <c r="AO283" s="9" t="s">
        <v>1473</v>
      </c>
      <c r="AP283" s="17" t="s">
        <v>55</v>
      </c>
      <c r="AQ283" s="11"/>
      <c r="AR283" s="11"/>
      <c r="AS283" s="12"/>
      <c r="AT283" s="11"/>
      <c r="AU283" s="11"/>
      <c r="AV283" s="13"/>
    </row>
    <row r="284" ht="16.5" customHeight="1">
      <c r="A284" s="7" t="s">
        <v>1474</v>
      </c>
      <c r="B284" s="7" t="s">
        <v>1290</v>
      </c>
      <c r="C284" s="7" t="s">
        <v>1238</v>
      </c>
      <c r="D284" s="7" t="s">
        <v>1239</v>
      </c>
      <c r="E284" s="7" t="s">
        <v>227</v>
      </c>
      <c r="F284" s="7">
        <v>6664.0</v>
      </c>
      <c r="G284" s="7">
        <v>6664.0</v>
      </c>
      <c r="H284" s="14" t="s">
        <v>1134</v>
      </c>
      <c r="I284" s="7"/>
      <c r="J284" s="7"/>
      <c r="K284" s="8" t="s">
        <v>55</v>
      </c>
      <c r="L284" s="8" t="s">
        <v>55</v>
      </c>
      <c r="M284" s="12" t="s">
        <v>55</v>
      </c>
      <c r="N284" s="8" t="s">
        <v>55</v>
      </c>
      <c r="O284" s="8" t="s">
        <v>55</v>
      </c>
      <c r="P284" s="8" t="s">
        <v>55</v>
      </c>
      <c r="Q284" s="8" t="s">
        <v>49</v>
      </c>
      <c r="R284" s="20" t="s">
        <v>49</v>
      </c>
      <c r="S284" s="8" t="s">
        <v>49</v>
      </c>
      <c r="T284" s="8" t="s">
        <v>49</v>
      </c>
      <c r="U284" s="8" t="s">
        <v>49</v>
      </c>
      <c r="V284" s="8" t="s">
        <v>49</v>
      </c>
      <c r="W284" s="8" t="s">
        <v>49</v>
      </c>
      <c r="X284" s="8" t="s">
        <v>55</v>
      </c>
      <c r="Y284" s="8" t="s">
        <v>55</v>
      </c>
      <c r="Z284" s="8" t="s">
        <v>55</v>
      </c>
      <c r="AA284" s="8" t="s">
        <v>231</v>
      </c>
      <c r="AB284" s="8" t="s">
        <v>55</v>
      </c>
      <c r="AC284" s="8" t="s">
        <v>1018</v>
      </c>
      <c r="AD284" s="12" t="s">
        <v>1475</v>
      </c>
      <c r="AE284" s="8" t="s">
        <v>55</v>
      </c>
      <c r="AF284" s="8" t="s">
        <v>55</v>
      </c>
      <c r="AG284" s="8" t="s">
        <v>63</v>
      </c>
      <c r="AH284" s="8" t="s">
        <v>55</v>
      </c>
      <c r="AI284" s="8" t="s">
        <v>463</v>
      </c>
      <c r="AJ284" s="8" t="s">
        <v>49</v>
      </c>
      <c r="AK284" s="8" t="s">
        <v>55</v>
      </c>
      <c r="AL284" s="8" t="s">
        <v>720</v>
      </c>
      <c r="AM284" s="8" t="s">
        <v>1293</v>
      </c>
      <c r="AN284" s="9" t="s">
        <v>1472</v>
      </c>
      <c r="AO284" s="9" t="s">
        <v>1473</v>
      </c>
      <c r="AP284" s="17" t="s">
        <v>1476</v>
      </c>
      <c r="AQ284" s="11"/>
      <c r="AR284" s="11"/>
      <c r="AS284" s="12"/>
      <c r="AT284" s="11"/>
      <c r="AU284" s="11"/>
      <c r="AV284" s="13"/>
    </row>
    <row r="285" ht="16.5" customHeight="1">
      <c r="A285" s="7" t="s">
        <v>1477</v>
      </c>
      <c r="B285" s="7" t="s">
        <v>1290</v>
      </c>
      <c r="C285" s="14" t="s">
        <v>1238</v>
      </c>
      <c r="D285" s="14" t="s">
        <v>1239</v>
      </c>
      <c r="E285" s="7"/>
      <c r="F285" s="7">
        <v>6665.0</v>
      </c>
      <c r="G285" s="7">
        <v>6664.0</v>
      </c>
      <c r="H285" s="14" t="s">
        <v>1134</v>
      </c>
      <c r="I285" s="7"/>
      <c r="J285" s="7"/>
      <c r="K285" s="8" t="s">
        <v>55</v>
      </c>
      <c r="L285" s="8" t="s">
        <v>55</v>
      </c>
      <c r="M285" s="12" t="s">
        <v>55</v>
      </c>
      <c r="N285" s="8" t="s">
        <v>55</v>
      </c>
      <c r="O285" s="8" t="s">
        <v>55</v>
      </c>
      <c r="P285" s="8" t="s">
        <v>55</v>
      </c>
      <c r="Q285" s="8" t="s">
        <v>49</v>
      </c>
      <c r="R285" s="20" t="s">
        <v>49</v>
      </c>
      <c r="S285" s="8" t="s">
        <v>49</v>
      </c>
      <c r="T285" s="8" t="s">
        <v>49</v>
      </c>
      <c r="U285" s="8" t="s">
        <v>49</v>
      </c>
      <c r="V285" s="8" t="s">
        <v>49</v>
      </c>
      <c r="W285" s="8" t="s">
        <v>49</v>
      </c>
      <c r="X285" s="8" t="s">
        <v>55</v>
      </c>
      <c r="Y285" s="8" t="s">
        <v>55</v>
      </c>
      <c r="Z285" s="8" t="s">
        <v>55</v>
      </c>
      <c r="AA285" s="8" t="s">
        <v>231</v>
      </c>
      <c r="AB285" s="8" t="s">
        <v>55</v>
      </c>
      <c r="AC285" s="8" t="s">
        <v>1018</v>
      </c>
      <c r="AD285" s="12" t="s">
        <v>1475</v>
      </c>
      <c r="AE285" s="8" t="s">
        <v>55</v>
      </c>
      <c r="AF285" s="8" t="s">
        <v>55</v>
      </c>
      <c r="AG285" s="8" t="s">
        <v>63</v>
      </c>
      <c r="AH285" s="8" t="s">
        <v>55</v>
      </c>
      <c r="AI285" s="8" t="s">
        <v>65</v>
      </c>
      <c r="AJ285" s="8" t="s">
        <v>49</v>
      </c>
      <c r="AK285" s="8" t="s">
        <v>55</v>
      </c>
      <c r="AL285" s="8" t="s">
        <v>720</v>
      </c>
      <c r="AM285" s="8" t="s">
        <v>1293</v>
      </c>
      <c r="AN285" s="9" t="s">
        <v>1478</v>
      </c>
      <c r="AO285" s="9" t="s">
        <v>1479</v>
      </c>
      <c r="AP285" s="17" t="s">
        <v>1476</v>
      </c>
      <c r="AQ285" s="11"/>
      <c r="AR285" s="11"/>
      <c r="AS285" s="12"/>
      <c r="AT285" s="11"/>
      <c r="AU285" s="11"/>
      <c r="AV285" s="13"/>
    </row>
    <row r="286" ht="16.5" hidden="1" customHeight="1">
      <c r="A286" s="7" t="s">
        <v>1480</v>
      </c>
      <c r="B286" s="7" t="s">
        <v>1290</v>
      </c>
      <c r="C286" s="7" t="s">
        <v>1291</v>
      </c>
      <c r="D286" s="7" t="s">
        <v>920</v>
      </c>
      <c r="E286" s="7" t="s">
        <v>227</v>
      </c>
      <c r="F286" s="7">
        <v>6668.0</v>
      </c>
      <c r="G286" s="7"/>
      <c r="H286" s="7" t="s">
        <v>53</v>
      </c>
      <c r="I286" s="7"/>
      <c r="J286" s="7"/>
      <c r="K286" s="8" t="s">
        <v>55</v>
      </c>
      <c r="L286" s="8" t="s">
        <v>55</v>
      </c>
      <c r="M286" s="12" t="s">
        <v>55</v>
      </c>
      <c r="N286" s="8" t="s">
        <v>55</v>
      </c>
      <c r="O286" s="8" t="s">
        <v>55</v>
      </c>
      <c r="P286" s="8" t="s">
        <v>55</v>
      </c>
      <c r="Q286" s="8" t="s">
        <v>49</v>
      </c>
      <c r="R286" s="20" t="s">
        <v>49</v>
      </c>
      <c r="S286" s="8" t="s">
        <v>49</v>
      </c>
      <c r="T286" s="8" t="s">
        <v>49</v>
      </c>
      <c r="U286" s="8" t="s">
        <v>49</v>
      </c>
      <c r="V286" s="8" t="s">
        <v>49</v>
      </c>
      <c r="W286" s="8" t="s">
        <v>49</v>
      </c>
      <c r="X286" s="8" t="s">
        <v>55</v>
      </c>
      <c r="Y286" s="8" t="s">
        <v>55</v>
      </c>
      <c r="Z286" s="8" t="s">
        <v>55</v>
      </c>
      <c r="AA286" s="8" t="s">
        <v>55</v>
      </c>
      <c r="AB286" s="8" t="s">
        <v>55</v>
      </c>
      <c r="AC286" s="8" t="s">
        <v>55</v>
      </c>
      <c r="AD286" s="8" t="s">
        <v>55</v>
      </c>
      <c r="AE286" s="8" t="s">
        <v>55</v>
      </c>
      <c r="AF286" s="8" t="s">
        <v>1481</v>
      </c>
      <c r="AG286" s="8" t="s">
        <v>890</v>
      </c>
      <c r="AH286" s="8" t="s">
        <v>55</v>
      </c>
      <c r="AI286" s="8" t="s">
        <v>369</v>
      </c>
      <c r="AJ286" s="8" t="s">
        <v>49</v>
      </c>
      <c r="AK286" s="8" t="s">
        <v>55</v>
      </c>
      <c r="AL286" s="8" t="s">
        <v>720</v>
      </c>
      <c r="AM286" s="8" t="s">
        <v>1293</v>
      </c>
      <c r="AN286" s="9" t="s">
        <v>1482</v>
      </c>
      <c r="AO286" s="12" t="s">
        <v>224</v>
      </c>
      <c r="AP286" s="10" t="s">
        <v>1296</v>
      </c>
      <c r="AQ286" s="11"/>
      <c r="AR286" s="11"/>
      <c r="AS286" s="12"/>
      <c r="AT286" s="11"/>
      <c r="AU286" s="11"/>
      <c r="AV286" s="13"/>
    </row>
    <row r="287" ht="16.5" hidden="1" customHeight="1">
      <c r="A287" s="7" t="s">
        <v>1483</v>
      </c>
      <c r="B287" s="7" t="s">
        <v>1290</v>
      </c>
      <c r="C287" s="7" t="s">
        <v>1291</v>
      </c>
      <c r="D287" s="7" t="s">
        <v>920</v>
      </c>
      <c r="E287" s="7" t="s">
        <v>227</v>
      </c>
      <c r="F287" s="7">
        <v>6669.0</v>
      </c>
      <c r="G287" s="7"/>
      <c r="H287" s="7" t="s">
        <v>53</v>
      </c>
      <c r="I287" s="7"/>
      <c r="J287" s="7"/>
      <c r="K287" s="8" t="s">
        <v>55</v>
      </c>
      <c r="L287" s="8" t="s">
        <v>55</v>
      </c>
      <c r="M287" s="12" t="s">
        <v>55</v>
      </c>
      <c r="N287" s="8" t="s">
        <v>55</v>
      </c>
      <c r="O287" s="8" t="s">
        <v>55</v>
      </c>
      <c r="P287" s="8" t="s">
        <v>55</v>
      </c>
      <c r="Q287" s="8" t="s">
        <v>49</v>
      </c>
      <c r="R287" s="20" t="s">
        <v>49</v>
      </c>
      <c r="S287" s="8" t="s">
        <v>49</v>
      </c>
      <c r="T287" s="8" t="s">
        <v>49</v>
      </c>
      <c r="U287" s="8" t="s">
        <v>49</v>
      </c>
      <c r="V287" s="8" t="s">
        <v>49</v>
      </c>
      <c r="W287" s="8" t="s">
        <v>49</v>
      </c>
      <c r="X287" s="8" t="s">
        <v>55</v>
      </c>
      <c r="Y287" s="8" t="s">
        <v>55</v>
      </c>
      <c r="Z287" s="8" t="s">
        <v>55</v>
      </c>
      <c r="AA287" s="8" t="s">
        <v>55</v>
      </c>
      <c r="AB287" s="8" t="s">
        <v>55</v>
      </c>
      <c r="AC287" s="8" t="s">
        <v>55</v>
      </c>
      <c r="AD287" s="8" t="s">
        <v>55</v>
      </c>
      <c r="AE287" s="8" t="s">
        <v>55</v>
      </c>
      <c r="AF287" s="8" t="s">
        <v>55</v>
      </c>
      <c r="AG287" s="8" t="s">
        <v>890</v>
      </c>
      <c r="AH287" s="8" t="s">
        <v>55</v>
      </c>
      <c r="AI287" s="8" t="s">
        <v>369</v>
      </c>
      <c r="AJ287" s="8" t="s">
        <v>49</v>
      </c>
      <c r="AK287" s="8" t="s">
        <v>55</v>
      </c>
      <c r="AL287" s="8" t="s">
        <v>720</v>
      </c>
      <c r="AM287" s="8" t="s">
        <v>1293</v>
      </c>
      <c r="AN287" s="9" t="s">
        <v>1484</v>
      </c>
      <c r="AO287" s="9" t="s">
        <v>1485</v>
      </c>
      <c r="AP287" s="10" t="s">
        <v>1296</v>
      </c>
      <c r="AQ287" s="11"/>
      <c r="AR287" s="11"/>
      <c r="AS287" s="12"/>
      <c r="AT287" s="11"/>
      <c r="AU287" s="11"/>
      <c r="AV287" s="13"/>
    </row>
    <row r="288" ht="16.5" hidden="1" customHeight="1">
      <c r="A288" s="7" t="s">
        <v>1486</v>
      </c>
      <c r="B288" s="7" t="s">
        <v>1290</v>
      </c>
      <c r="C288" s="7" t="s">
        <v>1291</v>
      </c>
      <c r="D288" s="7" t="s">
        <v>920</v>
      </c>
      <c r="E288" s="7" t="s">
        <v>227</v>
      </c>
      <c r="F288" s="7">
        <v>6670.0</v>
      </c>
      <c r="G288" s="7"/>
      <c r="H288" s="7" t="s">
        <v>53</v>
      </c>
      <c r="I288" s="7"/>
      <c r="J288" s="7"/>
      <c r="K288" s="8" t="s">
        <v>55</v>
      </c>
      <c r="L288" s="8" t="s">
        <v>55</v>
      </c>
      <c r="M288" s="12" t="s">
        <v>55</v>
      </c>
      <c r="N288" s="8" t="s">
        <v>55</v>
      </c>
      <c r="O288" s="8" t="s">
        <v>55</v>
      </c>
      <c r="P288" s="8" t="s">
        <v>55</v>
      </c>
      <c r="Q288" s="8" t="s">
        <v>49</v>
      </c>
      <c r="R288" s="20" t="s">
        <v>49</v>
      </c>
      <c r="S288" s="8" t="s">
        <v>49</v>
      </c>
      <c r="T288" s="8" t="s">
        <v>49</v>
      </c>
      <c r="U288" s="8" t="s">
        <v>49</v>
      </c>
      <c r="V288" s="8" t="s">
        <v>49</v>
      </c>
      <c r="W288" s="8" t="s">
        <v>49</v>
      </c>
      <c r="X288" s="8" t="s">
        <v>55</v>
      </c>
      <c r="Y288" s="8" t="s">
        <v>55</v>
      </c>
      <c r="Z288" s="8" t="s">
        <v>55</v>
      </c>
      <c r="AA288" s="8" t="s">
        <v>55</v>
      </c>
      <c r="AB288" s="8" t="s">
        <v>55</v>
      </c>
      <c r="AC288" s="8" t="s">
        <v>55</v>
      </c>
      <c r="AD288" s="8" t="s">
        <v>55</v>
      </c>
      <c r="AE288" s="8" t="s">
        <v>55</v>
      </c>
      <c r="AF288" s="8" t="s">
        <v>55</v>
      </c>
      <c r="AG288" s="8" t="s">
        <v>890</v>
      </c>
      <c r="AH288" s="8" t="s">
        <v>55</v>
      </c>
      <c r="AI288" s="8" t="s">
        <v>369</v>
      </c>
      <c r="AJ288" s="8" t="s">
        <v>49</v>
      </c>
      <c r="AK288" s="8" t="s">
        <v>55</v>
      </c>
      <c r="AL288" s="8" t="s">
        <v>720</v>
      </c>
      <c r="AM288" s="8" t="s">
        <v>1293</v>
      </c>
      <c r="AN288" s="9" t="s">
        <v>1487</v>
      </c>
      <c r="AO288" s="9" t="s">
        <v>1488</v>
      </c>
      <c r="AP288" s="10" t="s">
        <v>1296</v>
      </c>
      <c r="AQ288" s="11"/>
      <c r="AR288" s="11"/>
      <c r="AS288" s="12"/>
      <c r="AT288" s="11"/>
      <c r="AU288" s="11"/>
      <c r="AV288" s="13"/>
    </row>
    <row r="289" ht="16.5" hidden="1" customHeight="1">
      <c r="A289" s="7" t="s">
        <v>1489</v>
      </c>
      <c r="B289" s="7" t="s">
        <v>1290</v>
      </c>
      <c r="C289" s="7" t="s">
        <v>1291</v>
      </c>
      <c r="D289" s="7" t="s">
        <v>926</v>
      </c>
      <c r="E289" s="7" t="s">
        <v>227</v>
      </c>
      <c r="F289" s="7">
        <v>6671.0</v>
      </c>
      <c r="G289" s="7"/>
      <c r="H289" s="7" t="s">
        <v>53</v>
      </c>
      <c r="I289" s="7"/>
      <c r="J289" s="7"/>
      <c r="K289" s="8" t="s">
        <v>84</v>
      </c>
      <c r="L289" s="8" t="s">
        <v>1403</v>
      </c>
      <c r="M289" s="8"/>
      <c r="N289" s="8" t="s">
        <v>85</v>
      </c>
      <c r="O289" s="8" t="s">
        <v>217</v>
      </c>
      <c r="P289" s="8" t="s">
        <v>57</v>
      </c>
      <c r="Q289" s="8" t="s">
        <v>1490</v>
      </c>
      <c r="R289" s="20">
        <v>0.9</v>
      </c>
      <c r="S289" s="8" t="s">
        <v>1491</v>
      </c>
      <c r="T289" s="8" t="s">
        <v>1406</v>
      </c>
      <c r="U289" s="8" t="s">
        <v>1492</v>
      </c>
      <c r="V289" s="8" t="s">
        <v>1493</v>
      </c>
      <c r="W289" s="8" t="s">
        <v>1409</v>
      </c>
      <c r="X289" s="8" t="s">
        <v>108</v>
      </c>
      <c r="Y289" s="8" t="s">
        <v>161</v>
      </c>
      <c r="Z289" s="8" t="s">
        <v>92</v>
      </c>
      <c r="AA289" s="8" t="s">
        <v>231</v>
      </c>
      <c r="AB289" s="8" t="s">
        <v>60</v>
      </c>
      <c r="AC289" s="8" t="s">
        <v>1018</v>
      </c>
      <c r="AD289" s="8" t="s">
        <v>1494</v>
      </c>
      <c r="AE289" s="8" t="s">
        <v>49</v>
      </c>
      <c r="AF289" s="8" t="s">
        <v>49</v>
      </c>
      <c r="AG289" s="8" t="s">
        <v>63</v>
      </c>
      <c r="AH289" s="8" t="s">
        <v>145</v>
      </c>
      <c r="AI289" s="8" t="s">
        <v>463</v>
      </c>
      <c r="AJ289" s="8" t="s">
        <v>1411</v>
      </c>
      <c r="AK289" s="8" t="s">
        <v>49</v>
      </c>
      <c r="AL289" s="8" t="s">
        <v>720</v>
      </c>
      <c r="AM289" s="8" t="s">
        <v>1412</v>
      </c>
      <c r="AN289" s="9" t="s">
        <v>1495</v>
      </c>
      <c r="AO289" s="9" t="s">
        <v>1496</v>
      </c>
      <c r="AP289" s="10" t="s">
        <v>1296</v>
      </c>
      <c r="AQ289" s="10" t="s">
        <v>1497</v>
      </c>
      <c r="AR289" s="10" t="s">
        <v>1498</v>
      </c>
      <c r="AS289" s="12"/>
      <c r="AT289" s="10" t="s">
        <v>1499</v>
      </c>
      <c r="AU289" s="10" t="s">
        <v>1500</v>
      </c>
      <c r="AV289" s="13"/>
    </row>
    <row r="290" ht="16.5" hidden="1" customHeight="1">
      <c r="A290" s="7" t="s">
        <v>1501</v>
      </c>
      <c r="B290" s="7" t="s">
        <v>1290</v>
      </c>
      <c r="C290" s="7" t="s">
        <v>1291</v>
      </c>
      <c r="D290" s="7" t="s">
        <v>926</v>
      </c>
      <c r="E290" s="7" t="s">
        <v>227</v>
      </c>
      <c r="F290" s="7">
        <v>6671.0</v>
      </c>
      <c r="G290" s="7">
        <v>6671.0</v>
      </c>
      <c r="H290" s="7" t="s">
        <v>53</v>
      </c>
      <c r="I290" s="7"/>
      <c r="J290" s="7"/>
      <c r="K290" s="8" t="s">
        <v>84</v>
      </c>
      <c r="L290" s="8" t="s">
        <v>1403</v>
      </c>
      <c r="M290" s="8"/>
      <c r="N290" s="8" t="s">
        <v>85</v>
      </c>
      <c r="O290" s="8" t="s">
        <v>217</v>
      </c>
      <c r="P290" s="8" t="s">
        <v>57</v>
      </c>
      <c r="Q290" s="8" t="s">
        <v>1490</v>
      </c>
      <c r="R290" s="20">
        <v>0.9</v>
      </c>
      <c r="S290" s="8" t="s">
        <v>1491</v>
      </c>
      <c r="T290" s="8" t="s">
        <v>1406</v>
      </c>
      <c r="U290" s="8" t="s">
        <v>1492</v>
      </c>
      <c r="V290" s="8" t="s">
        <v>1493</v>
      </c>
      <c r="W290" s="8" t="s">
        <v>1409</v>
      </c>
      <c r="X290" s="8" t="s">
        <v>108</v>
      </c>
      <c r="Y290" s="8" t="s">
        <v>161</v>
      </c>
      <c r="Z290" s="8" t="s">
        <v>92</v>
      </c>
      <c r="AA290" s="8" t="s">
        <v>231</v>
      </c>
      <c r="AB290" s="8" t="s">
        <v>60</v>
      </c>
      <c r="AC290" s="8" t="s">
        <v>1018</v>
      </c>
      <c r="AD290" s="8" t="s">
        <v>1494</v>
      </c>
      <c r="AE290" s="8" t="s">
        <v>49</v>
      </c>
      <c r="AF290" s="8" t="s">
        <v>49</v>
      </c>
      <c r="AG290" s="8" t="s">
        <v>63</v>
      </c>
      <c r="AH290" s="8" t="s">
        <v>145</v>
      </c>
      <c r="AI290" s="8" t="s">
        <v>463</v>
      </c>
      <c r="AJ290" s="8" t="s">
        <v>1411</v>
      </c>
      <c r="AK290" s="8" t="s">
        <v>1422</v>
      </c>
      <c r="AL290" s="8" t="s">
        <v>720</v>
      </c>
      <c r="AM290" s="8" t="s">
        <v>1412</v>
      </c>
      <c r="AN290" s="9" t="s">
        <v>1495</v>
      </c>
      <c r="AO290" s="9" t="s">
        <v>1496</v>
      </c>
      <c r="AP290" s="10" t="s">
        <v>1296</v>
      </c>
      <c r="AQ290" s="10" t="s">
        <v>1497</v>
      </c>
      <c r="AR290" s="10" t="s">
        <v>1498</v>
      </c>
      <c r="AS290" s="12"/>
      <c r="AT290" s="10" t="s">
        <v>1499</v>
      </c>
      <c r="AU290" s="10" t="s">
        <v>1500</v>
      </c>
      <c r="AV290" s="13"/>
    </row>
    <row r="291" ht="16.5" hidden="1" customHeight="1">
      <c r="A291" s="7" t="s">
        <v>1502</v>
      </c>
      <c r="B291" s="7" t="s">
        <v>1290</v>
      </c>
      <c r="C291" s="14" t="s">
        <v>1291</v>
      </c>
      <c r="D291" s="14" t="s">
        <v>926</v>
      </c>
      <c r="E291" s="7"/>
      <c r="F291" s="7">
        <v>6672.0</v>
      </c>
      <c r="G291" s="7">
        <v>6671.0</v>
      </c>
      <c r="H291" s="7" t="s">
        <v>53</v>
      </c>
      <c r="I291" s="7"/>
      <c r="J291" s="7"/>
      <c r="K291" s="8" t="s">
        <v>84</v>
      </c>
      <c r="L291" s="8" t="s">
        <v>1403</v>
      </c>
      <c r="M291" s="8"/>
      <c r="N291" s="8" t="s">
        <v>85</v>
      </c>
      <c r="O291" s="8" t="s">
        <v>217</v>
      </c>
      <c r="P291" s="8" t="s">
        <v>57</v>
      </c>
      <c r="Q291" s="8" t="s">
        <v>1490</v>
      </c>
      <c r="R291" s="20">
        <v>0.9</v>
      </c>
      <c r="S291" s="8" t="s">
        <v>1491</v>
      </c>
      <c r="T291" s="8" t="s">
        <v>1406</v>
      </c>
      <c r="U291" s="8" t="s">
        <v>1492</v>
      </c>
      <c r="V291" s="8" t="s">
        <v>1493</v>
      </c>
      <c r="W291" s="8" t="s">
        <v>1409</v>
      </c>
      <c r="X291" s="8" t="s">
        <v>108</v>
      </c>
      <c r="Y291" s="8" t="s">
        <v>161</v>
      </c>
      <c r="Z291" s="8" t="s">
        <v>92</v>
      </c>
      <c r="AA291" s="8" t="s">
        <v>231</v>
      </c>
      <c r="AB291" s="8" t="s">
        <v>60</v>
      </c>
      <c r="AC291" s="8" t="s">
        <v>1018</v>
      </c>
      <c r="AD291" s="8" t="s">
        <v>1494</v>
      </c>
      <c r="AE291" s="8" t="s">
        <v>49</v>
      </c>
      <c r="AF291" s="8" t="s">
        <v>49</v>
      </c>
      <c r="AG291" s="8" t="s">
        <v>63</v>
      </c>
      <c r="AH291" s="8" t="s">
        <v>145</v>
      </c>
      <c r="AI291" s="8" t="s">
        <v>65</v>
      </c>
      <c r="AJ291" s="8" t="s">
        <v>1411</v>
      </c>
      <c r="AK291" s="8" t="s">
        <v>1422</v>
      </c>
      <c r="AL291" s="8" t="s">
        <v>720</v>
      </c>
      <c r="AM291" s="8" t="s">
        <v>1412</v>
      </c>
      <c r="AN291" s="9" t="s">
        <v>1503</v>
      </c>
      <c r="AO291" s="9" t="s">
        <v>1504</v>
      </c>
      <c r="AP291" s="10" t="s">
        <v>1296</v>
      </c>
      <c r="AQ291" s="10" t="s">
        <v>1497</v>
      </c>
      <c r="AR291" s="10" t="s">
        <v>1498</v>
      </c>
      <c r="AS291" s="12"/>
      <c r="AT291" s="10" t="s">
        <v>1499</v>
      </c>
      <c r="AU291" s="10" t="s">
        <v>1500</v>
      </c>
      <c r="AV291" s="13"/>
    </row>
    <row r="292" ht="16.5" hidden="1" customHeight="1">
      <c r="A292" s="7" t="s">
        <v>1505</v>
      </c>
      <c r="B292" s="7" t="s">
        <v>1290</v>
      </c>
      <c r="C292" s="7" t="s">
        <v>1291</v>
      </c>
      <c r="D292" s="7" t="s">
        <v>926</v>
      </c>
      <c r="E292" s="7" t="s">
        <v>227</v>
      </c>
      <c r="F292" s="7">
        <v>6673.0</v>
      </c>
      <c r="G292" s="7"/>
      <c r="H292" s="7" t="s">
        <v>53</v>
      </c>
      <c r="I292" s="7"/>
      <c r="J292" s="7"/>
      <c r="K292" s="8" t="s">
        <v>84</v>
      </c>
      <c r="L292" s="8" t="s">
        <v>1403</v>
      </c>
      <c r="M292" s="8"/>
      <c r="N292" s="8" t="s">
        <v>85</v>
      </c>
      <c r="O292" s="8" t="s">
        <v>217</v>
      </c>
      <c r="P292" s="8" t="s">
        <v>57</v>
      </c>
      <c r="Q292" s="8" t="s">
        <v>1428</v>
      </c>
      <c r="R292" s="20">
        <v>0.9</v>
      </c>
      <c r="S292" s="8" t="s">
        <v>1429</v>
      </c>
      <c r="T292" s="8" t="s">
        <v>1406</v>
      </c>
      <c r="U292" s="8" t="s">
        <v>1506</v>
      </c>
      <c r="V292" s="8" t="s">
        <v>1507</v>
      </c>
      <c r="W292" s="8" t="s">
        <v>1409</v>
      </c>
      <c r="X292" s="8" t="s">
        <v>108</v>
      </c>
      <c r="Y292" s="8" t="s">
        <v>161</v>
      </c>
      <c r="Z292" s="8" t="s">
        <v>92</v>
      </c>
      <c r="AA292" s="8" t="s">
        <v>231</v>
      </c>
      <c r="AB292" s="8" t="s">
        <v>60</v>
      </c>
      <c r="AC292" s="8" t="s">
        <v>1018</v>
      </c>
      <c r="AD292" s="8" t="s">
        <v>1508</v>
      </c>
      <c r="AE292" s="8" t="s">
        <v>49</v>
      </c>
      <c r="AF292" s="8" t="s">
        <v>49</v>
      </c>
      <c r="AG292" s="8" t="s">
        <v>63</v>
      </c>
      <c r="AH292" s="8" t="s">
        <v>145</v>
      </c>
      <c r="AI292" s="8" t="s">
        <v>463</v>
      </c>
      <c r="AJ292" s="8" t="s">
        <v>1411</v>
      </c>
      <c r="AK292" s="8" t="s">
        <v>49</v>
      </c>
      <c r="AL292" s="8" t="s">
        <v>720</v>
      </c>
      <c r="AM292" s="8" t="s">
        <v>1412</v>
      </c>
      <c r="AN292" s="9" t="s">
        <v>1509</v>
      </c>
      <c r="AO292" s="9" t="s">
        <v>1510</v>
      </c>
      <c r="AP292" s="10" t="s">
        <v>1296</v>
      </c>
      <c r="AQ292" s="10" t="s">
        <v>1511</v>
      </c>
      <c r="AR292" s="10" t="s">
        <v>1512</v>
      </c>
      <c r="AS292" s="12"/>
      <c r="AT292" s="10" t="s">
        <v>1513</v>
      </c>
      <c r="AU292" s="10" t="s">
        <v>1514</v>
      </c>
      <c r="AV292" s="13"/>
    </row>
    <row r="293" ht="16.5" hidden="1" customHeight="1">
      <c r="A293" s="7" t="s">
        <v>1515</v>
      </c>
      <c r="B293" s="7" t="s">
        <v>1290</v>
      </c>
      <c r="C293" s="7" t="s">
        <v>1291</v>
      </c>
      <c r="D293" s="7" t="s">
        <v>926</v>
      </c>
      <c r="E293" s="7" t="s">
        <v>227</v>
      </c>
      <c r="F293" s="7">
        <v>6673.0</v>
      </c>
      <c r="G293" s="7">
        <v>6673.0</v>
      </c>
      <c r="H293" s="7" t="s">
        <v>53</v>
      </c>
      <c r="I293" s="7"/>
      <c r="J293" s="7"/>
      <c r="K293" s="8" t="s">
        <v>84</v>
      </c>
      <c r="L293" s="8" t="s">
        <v>1403</v>
      </c>
      <c r="M293" s="8"/>
      <c r="N293" s="8" t="s">
        <v>85</v>
      </c>
      <c r="O293" s="8" t="s">
        <v>217</v>
      </c>
      <c r="P293" s="8" t="s">
        <v>57</v>
      </c>
      <c r="Q293" s="8" t="s">
        <v>1428</v>
      </c>
      <c r="R293" s="20">
        <v>0.9</v>
      </c>
      <c r="S293" s="8" t="s">
        <v>1429</v>
      </c>
      <c r="T293" s="8" t="s">
        <v>1406</v>
      </c>
      <c r="U293" s="8" t="s">
        <v>1506</v>
      </c>
      <c r="V293" s="8" t="s">
        <v>1507</v>
      </c>
      <c r="W293" s="8" t="s">
        <v>1409</v>
      </c>
      <c r="X293" s="8" t="s">
        <v>108</v>
      </c>
      <c r="Y293" s="8" t="s">
        <v>161</v>
      </c>
      <c r="Z293" s="8" t="s">
        <v>92</v>
      </c>
      <c r="AA293" s="8" t="s">
        <v>231</v>
      </c>
      <c r="AB293" s="8" t="s">
        <v>60</v>
      </c>
      <c r="AC293" s="8" t="s">
        <v>1018</v>
      </c>
      <c r="AD293" s="8" t="s">
        <v>1508</v>
      </c>
      <c r="AE293" s="8" t="s">
        <v>49</v>
      </c>
      <c r="AF293" s="8" t="s">
        <v>49</v>
      </c>
      <c r="AG293" s="8" t="s">
        <v>63</v>
      </c>
      <c r="AH293" s="8" t="s">
        <v>145</v>
      </c>
      <c r="AI293" s="8" t="s">
        <v>463</v>
      </c>
      <c r="AJ293" s="8" t="s">
        <v>1411</v>
      </c>
      <c r="AK293" s="8" t="s">
        <v>1422</v>
      </c>
      <c r="AL293" s="8" t="s">
        <v>720</v>
      </c>
      <c r="AM293" s="8" t="s">
        <v>1412</v>
      </c>
      <c r="AN293" s="9" t="s">
        <v>1509</v>
      </c>
      <c r="AO293" s="9" t="s">
        <v>1510</v>
      </c>
      <c r="AP293" s="10" t="s">
        <v>1296</v>
      </c>
      <c r="AQ293" s="10" t="s">
        <v>1511</v>
      </c>
      <c r="AR293" s="10" t="s">
        <v>1512</v>
      </c>
      <c r="AS293" s="12"/>
      <c r="AT293" s="10" t="s">
        <v>1513</v>
      </c>
      <c r="AU293" s="10" t="s">
        <v>1514</v>
      </c>
      <c r="AV293" s="13"/>
    </row>
    <row r="294" ht="16.5" hidden="1" customHeight="1">
      <c r="A294" s="7" t="s">
        <v>1516</v>
      </c>
      <c r="B294" s="7" t="s">
        <v>1290</v>
      </c>
      <c r="C294" s="14" t="s">
        <v>1291</v>
      </c>
      <c r="D294" s="14" t="s">
        <v>926</v>
      </c>
      <c r="E294" s="7"/>
      <c r="F294" s="7">
        <v>6674.0</v>
      </c>
      <c r="G294" s="7">
        <v>6673.0</v>
      </c>
      <c r="H294" s="7" t="s">
        <v>53</v>
      </c>
      <c r="I294" s="7"/>
      <c r="J294" s="7"/>
      <c r="K294" s="8" t="s">
        <v>84</v>
      </c>
      <c r="L294" s="8" t="s">
        <v>1403</v>
      </c>
      <c r="M294" s="8"/>
      <c r="N294" s="8" t="s">
        <v>85</v>
      </c>
      <c r="O294" s="8" t="s">
        <v>217</v>
      </c>
      <c r="P294" s="8" t="s">
        <v>57</v>
      </c>
      <c r="Q294" s="8" t="s">
        <v>1428</v>
      </c>
      <c r="R294" s="20">
        <v>0.9</v>
      </c>
      <c r="S294" s="8" t="s">
        <v>1429</v>
      </c>
      <c r="T294" s="8" t="s">
        <v>1406</v>
      </c>
      <c r="U294" s="8" t="s">
        <v>1506</v>
      </c>
      <c r="V294" s="8" t="s">
        <v>1507</v>
      </c>
      <c r="W294" s="8" t="s">
        <v>1409</v>
      </c>
      <c r="X294" s="8" t="s">
        <v>108</v>
      </c>
      <c r="Y294" s="8" t="s">
        <v>161</v>
      </c>
      <c r="Z294" s="8" t="s">
        <v>92</v>
      </c>
      <c r="AA294" s="8" t="s">
        <v>231</v>
      </c>
      <c r="AB294" s="8" t="s">
        <v>60</v>
      </c>
      <c r="AC294" s="8" t="s">
        <v>1018</v>
      </c>
      <c r="AD294" s="8" t="s">
        <v>1508</v>
      </c>
      <c r="AE294" s="8" t="s">
        <v>49</v>
      </c>
      <c r="AF294" s="8" t="s">
        <v>49</v>
      </c>
      <c r="AG294" s="8" t="s">
        <v>63</v>
      </c>
      <c r="AH294" s="8" t="s">
        <v>145</v>
      </c>
      <c r="AI294" s="8" t="s">
        <v>65</v>
      </c>
      <c r="AJ294" s="8" t="s">
        <v>1411</v>
      </c>
      <c r="AK294" s="8" t="s">
        <v>1422</v>
      </c>
      <c r="AL294" s="8" t="s">
        <v>720</v>
      </c>
      <c r="AM294" s="8" t="s">
        <v>1412</v>
      </c>
      <c r="AN294" s="9" t="s">
        <v>1517</v>
      </c>
      <c r="AO294" s="9" t="s">
        <v>1518</v>
      </c>
      <c r="AP294" s="10" t="s">
        <v>1296</v>
      </c>
      <c r="AQ294" s="10" t="s">
        <v>1511</v>
      </c>
      <c r="AR294" s="10" t="s">
        <v>1512</v>
      </c>
      <c r="AS294" s="12"/>
      <c r="AT294" s="10" t="s">
        <v>1513</v>
      </c>
      <c r="AU294" s="10" t="s">
        <v>1514</v>
      </c>
      <c r="AV294" s="13"/>
    </row>
    <row r="295" ht="16.5" hidden="1" customHeight="1">
      <c r="A295" s="7" t="s">
        <v>1519</v>
      </c>
      <c r="B295" s="7" t="s">
        <v>1290</v>
      </c>
      <c r="C295" s="7" t="s">
        <v>1291</v>
      </c>
      <c r="D295" s="7" t="s">
        <v>926</v>
      </c>
      <c r="E295" s="7" t="s">
        <v>227</v>
      </c>
      <c r="F295" s="7">
        <v>6675.0</v>
      </c>
      <c r="G295" s="7"/>
      <c r="H295" s="7" t="s">
        <v>53</v>
      </c>
      <c r="I295" s="7"/>
      <c r="J295" s="7"/>
      <c r="K295" s="8" t="s">
        <v>84</v>
      </c>
      <c r="L295" s="8" t="s">
        <v>1403</v>
      </c>
      <c r="M295" s="8"/>
      <c r="N295" s="8" t="s">
        <v>85</v>
      </c>
      <c r="O295" s="8" t="s">
        <v>217</v>
      </c>
      <c r="P295" s="8" t="s">
        <v>57</v>
      </c>
      <c r="Q295" s="8" t="s">
        <v>1404</v>
      </c>
      <c r="R295" s="20">
        <v>0.9</v>
      </c>
      <c r="S295" s="8" t="s">
        <v>1405</v>
      </c>
      <c r="T295" s="8" t="s">
        <v>1406</v>
      </c>
      <c r="U295" s="8" t="s">
        <v>1520</v>
      </c>
      <c r="V295" s="8" t="s">
        <v>1521</v>
      </c>
      <c r="W295" s="8" t="s">
        <v>1409</v>
      </c>
      <c r="X295" s="8" t="s">
        <v>108</v>
      </c>
      <c r="Y295" s="8" t="s">
        <v>161</v>
      </c>
      <c r="Z295" s="8" t="s">
        <v>92</v>
      </c>
      <c r="AA295" s="8" t="s">
        <v>231</v>
      </c>
      <c r="AB295" s="8" t="s">
        <v>60</v>
      </c>
      <c r="AC295" s="8" t="s">
        <v>1018</v>
      </c>
      <c r="AD295" s="8" t="s">
        <v>1522</v>
      </c>
      <c r="AE295" s="8" t="s">
        <v>49</v>
      </c>
      <c r="AF295" s="8" t="s">
        <v>49</v>
      </c>
      <c r="AG295" s="8" t="s">
        <v>63</v>
      </c>
      <c r="AH295" s="8" t="s">
        <v>145</v>
      </c>
      <c r="AI295" s="8" t="s">
        <v>463</v>
      </c>
      <c r="AJ295" s="8" t="s">
        <v>1411</v>
      </c>
      <c r="AK295" s="8" t="s">
        <v>49</v>
      </c>
      <c r="AL295" s="8" t="s">
        <v>720</v>
      </c>
      <c r="AM295" s="8" t="s">
        <v>1412</v>
      </c>
      <c r="AN295" s="9" t="s">
        <v>1523</v>
      </c>
      <c r="AO295" s="9" t="s">
        <v>1524</v>
      </c>
      <c r="AP295" s="10" t="s">
        <v>1296</v>
      </c>
      <c r="AQ295" s="10" t="s">
        <v>1525</v>
      </c>
      <c r="AR295" s="10" t="s">
        <v>1526</v>
      </c>
      <c r="AS295" s="12"/>
      <c r="AT295" s="10" t="s">
        <v>1527</v>
      </c>
      <c r="AU295" s="10" t="s">
        <v>1528</v>
      </c>
      <c r="AV295" s="13"/>
    </row>
    <row r="296" ht="16.5" hidden="1" customHeight="1">
      <c r="A296" s="7" t="s">
        <v>1529</v>
      </c>
      <c r="B296" s="7" t="s">
        <v>1290</v>
      </c>
      <c r="C296" s="14" t="s">
        <v>1291</v>
      </c>
      <c r="D296" s="14" t="s">
        <v>926</v>
      </c>
      <c r="E296" s="7"/>
      <c r="F296" s="7">
        <v>6675.0</v>
      </c>
      <c r="G296" s="7">
        <v>6675.0</v>
      </c>
      <c r="H296" s="7" t="s">
        <v>53</v>
      </c>
      <c r="I296" s="7"/>
      <c r="J296" s="7"/>
      <c r="K296" s="8" t="s">
        <v>84</v>
      </c>
      <c r="L296" s="8" t="s">
        <v>1403</v>
      </c>
      <c r="M296" s="8"/>
      <c r="N296" s="8" t="s">
        <v>85</v>
      </c>
      <c r="O296" s="8" t="s">
        <v>217</v>
      </c>
      <c r="P296" s="8" t="s">
        <v>57</v>
      </c>
      <c r="Q296" s="8" t="s">
        <v>1404</v>
      </c>
      <c r="R296" s="20">
        <v>0.9</v>
      </c>
      <c r="S296" s="8" t="s">
        <v>1405</v>
      </c>
      <c r="T296" s="8" t="s">
        <v>1406</v>
      </c>
      <c r="U296" s="8" t="s">
        <v>1520</v>
      </c>
      <c r="V296" s="8" t="s">
        <v>1521</v>
      </c>
      <c r="W296" s="8" t="s">
        <v>1409</v>
      </c>
      <c r="X296" s="8" t="s">
        <v>108</v>
      </c>
      <c r="Y296" s="8" t="s">
        <v>161</v>
      </c>
      <c r="Z296" s="8" t="s">
        <v>92</v>
      </c>
      <c r="AA296" s="8" t="s">
        <v>231</v>
      </c>
      <c r="AB296" s="8" t="s">
        <v>60</v>
      </c>
      <c r="AC296" s="8" t="s">
        <v>1018</v>
      </c>
      <c r="AD296" s="8" t="s">
        <v>1522</v>
      </c>
      <c r="AE296" s="8" t="s">
        <v>49</v>
      </c>
      <c r="AF296" s="8" t="s">
        <v>49</v>
      </c>
      <c r="AG296" s="8" t="s">
        <v>63</v>
      </c>
      <c r="AH296" s="8" t="s">
        <v>145</v>
      </c>
      <c r="AI296" s="8" t="s">
        <v>463</v>
      </c>
      <c r="AJ296" s="8" t="s">
        <v>1411</v>
      </c>
      <c r="AK296" s="8" t="s">
        <v>1422</v>
      </c>
      <c r="AL296" s="8" t="s">
        <v>720</v>
      </c>
      <c r="AM296" s="8" t="s">
        <v>1412</v>
      </c>
      <c r="AN296" s="9" t="s">
        <v>1523</v>
      </c>
      <c r="AO296" s="9" t="s">
        <v>1524</v>
      </c>
      <c r="AP296" s="10" t="s">
        <v>1296</v>
      </c>
      <c r="AQ296" s="10" t="s">
        <v>1525</v>
      </c>
      <c r="AR296" s="10" t="s">
        <v>1526</v>
      </c>
      <c r="AS296" s="12"/>
      <c r="AT296" s="10" t="s">
        <v>1527</v>
      </c>
      <c r="AU296" s="10" t="s">
        <v>1528</v>
      </c>
      <c r="AV296" s="13"/>
    </row>
    <row r="297" ht="16.5" hidden="1" customHeight="1">
      <c r="A297" s="7" t="s">
        <v>1530</v>
      </c>
      <c r="B297" s="7" t="s">
        <v>1290</v>
      </c>
      <c r="C297" s="14" t="s">
        <v>1291</v>
      </c>
      <c r="D297" s="14" t="s">
        <v>926</v>
      </c>
      <c r="E297" s="7"/>
      <c r="F297" s="7">
        <v>6676.0</v>
      </c>
      <c r="G297" s="7">
        <v>6675.0</v>
      </c>
      <c r="H297" s="7" t="s">
        <v>53</v>
      </c>
      <c r="I297" s="7"/>
      <c r="J297" s="7"/>
      <c r="K297" s="8" t="s">
        <v>84</v>
      </c>
      <c r="L297" s="8" t="s">
        <v>1403</v>
      </c>
      <c r="M297" s="8"/>
      <c r="N297" s="8" t="s">
        <v>85</v>
      </c>
      <c r="O297" s="8" t="s">
        <v>217</v>
      </c>
      <c r="P297" s="8" t="s">
        <v>57</v>
      </c>
      <c r="Q297" s="8" t="s">
        <v>1404</v>
      </c>
      <c r="R297" s="20">
        <v>0.9</v>
      </c>
      <c r="S297" s="8" t="s">
        <v>1405</v>
      </c>
      <c r="T297" s="8" t="s">
        <v>1406</v>
      </c>
      <c r="U297" s="8" t="s">
        <v>1520</v>
      </c>
      <c r="V297" s="8" t="s">
        <v>1521</v>
      </c>
      <c r="W297" s="8" t="s">
        <v>1409</v>
      </c>
      <c r="X297" s="8" t="s">
        <v>108</v>
      </c>
      <c r="Y297" s="8" t="s">
        <v>161</v>
      </c>
      <c r="Z297" s="8" t="s">
        <v>92</v>
      </c>
      <c r="AA297" s="8" t="s">
        <v>231</v>
      </c>
      <c r="AB297" s="8" t="s">
        <v>60</v>
      </c>
      <c r="AC297" s="8" t="s">
        <v>1018</v>
      </c>
      <c r="AD297" s="8" t="s">
        <v>1522</v>
      </c>
      <c r="AE297" s="8" t="s">
        <v>49</v>
      </c>
      <c r="AF297" s="8" t="s">
        <v>49</v>
      </c>
      <c r="AG297" s="8" t="s">
        <v>63</v>
      </c>
      <c r="AH297" s="8" t="s">
        <v>145</v>
      </c>
      <c r="AI297" s="8" t="s">
        <v>65</v>
      </c>
      <c r="AJ297" s="8" t="s">
        <v>1411</v>
      </c>
      <c r="AK297" s="8" t="s">
        <v>1422</v>
      </c>
      <c r="AL297" s="8" t="s">
        <v>720</v>
      </c>
      <c r="AM297" s="8" t="s">
        <v>1412</v>
      </c>
      <c r="AN297" s="9" t="s">
        <v>1531</v>
      </c>
      <c r="AO297" s="9" t="s">
        <v>1532</v>
      </c>
      <c r="AP297" s="10" t="s">
        <v>1296</v>
      </c>
      <c r="AQ297" s="10" t="s">
        <v>1525</v>
      </c>
      <c r="AR297" s="10" t="s">
        <v>1526</v>
      </c>
      <c r="AS297" s="12"/>
      <c r="AT297" s="10" t="s">
        <v>1527</v>
      </c>
      <c r="AU297" s="11"/>
      <c r="AV297" s="13"/>
    </row>
    <row r="298" ht="16.5" hidden="1" customHeight="1">
      <c r="A298" s="7" t="s">
        <v>1533</v>
      </c>
      <c r="B298" s="7" t="s">
        <v>49</v>
      </c>
      <c r="C298" s="7" t="s">
        <v>213</v>
      </c>
      <c r="D298" s="7" t="s">
        <v>376</v>
      </c>
      <c r="E298" s="7" t="s">
        <v>227</v>
      </c>
      <c r="F298" s="7">
        <v>6677.0</v>
      </c>
      <c r="G298" s="7"/>
      <c r="H298" s="7" t="s">
        <v>53</v>
      </c>
      <c r="I298" s="7"/>
      <c r="J298" s="7"/>
      <c r="K298" s="8" t="s">
        <v>1534</v>
      </c>
      <c r="L298" s="8" t="s">
        <v>126</v>
      </c>
      <c r="M298" s="8"/>
      <c r="N298" s="8" t="s">
        <v>85</v>
      </c>
      <c r="O298" s="8" t="s">
        <v>217</v>
      </c>
      <c r="P298" s="8" t="s">
        <v>57</v>
      </c>
      <c r="Q298" s="8" t="s">
        <v>86</v>
      </c>
      <c r="R298" s="8">
        <v>0.5</v>
      </c>
      <c r="S298" s="8" t="s">
        <v>49</v>
      </c>
      <c r="T298" s="8" t="s">
        <v>49</v>
      </c>
      <c r="U298" s="8" t="s">
        <v>1535</v>
      </c>
      <c r="V298" s="8" t="s">
        <v>1493</v>
      </c>
      <c r="W298" s="8" t="s">
        <v>1536</v>
      </c>
      <c r="X298" s="8" t="s">
        <v>108</v>
      </c>
      <c r="Y298" s="8" t="s">
        <v>1537</v>
      </c>
      <c r="Z298" s="8" t="s">
        <v>130</v>
      </c>
      <c r="AA298" s="8" t="s">
        <v>231</v>
      </c>
      <c r="AB298" s="8" t="s">
        <v>60</v>
      </c>
      <c r="AC298" s="8" t="s">
        <v>348</v>
      </c>
      <c r="AD298" s="8" t="s">
        <v>1538</v>
      </c>
      <c r="AE298" s="8" t="s">
        <v>1539</v>
      </c>
      <c r="AF298" s="8" t="s">
        <v>383</v>
      </c>
      <c r="AG298" s="8" t="s">
        <v>63</v>
      </c>
      <c r="AH298" s="8" t="s">
        <v>145</v>
      </c>
      <c r="AI298" s="8" t="s">
        <v>463</v>
      </c>
      <c r="AJ298" s="8" t="s">
        <v>49</v>
      </c>
      <c r="AK298" s="8" t="s">
        <v>49</v>
      </c>
      <c r="AL298" s="8" t="s">
        <v>66</v>
      </c>
      <c r="AM298" s="8" t="s">
        <v>1540</v>
      </c>
      <c r="AN298" s="9" t="s">
        <v>1541</v>
      </c>
      <c r="AO298" s="9" t="s">
        <v>1542</v>
      </c>
      <c r="AP298" s="18" t="s">
        <v>1543</v>
      </c>
      <c r="AQ298" s="10" t="s">
        <v>1544</v>
      </c>
      <c r="AR298" s="10" t="s">
        <v>1545</v>
      </c>
      <c r="AS298" s="12"/>
      <c r="AT298" s="10" t="s">
        <v>1546</v>
      </c>
      <c r="AU298" s="10" t="s">
        <v>1547</v>
      </c>
      <c r="AV298" s="13"/>
    </row>
    <row r="299" ht="16.5" hidden="1" customHeight="1">
      <c r="A299" s="7" t="s">
        <v>1548</v>
      </c>
      <c r="B299" s="7" t="s">
        <v>49</v>
      </c>
      <c r="C299" s="7" t="s">
        <v>213</v>
      </c>
      <c r="D299" s="14" t="s">
        <v>344</v>
      </c>
      <c r="E299" s="7" t="s">
        <v>227</v>
      </c>
      <c r="F299" s="7">
        <v>6677.0</v>
      </c>
      <c r="G299" s="7">
        <v>6677.0</v>
      </c>
      <c r="H299" s="7" t="s">
        <v>53</v>
      </c>
      <c r="I299" s="7"/>
      <c r="J299" s="7"/>
      <c r="K299" s="8" t="s">
        <v>1534</v>
      </c>
      <c r="L299" s="8" t="s">
        <v>126</v>
      </c>
      <c r="M299" s="12" t="s">
        <v>1549</v>
      </c>
      <c r="N299" s="8" t="s">
        <v>85</v>
      </c>
      <c r="O299" s="8" t="s">
        <v>217</v>
      </c>
      <c r="P299" s="8" t="s">
        <v>57</v>
      </c>
      <c r="Q299" s="8" t="s">
        <v>86</v>
      </c>
      <c r="R299" s="8">
        <v>0.5</v>
      </c>
      <c r="S299" s="8" t="s">
        <v>49</v>
      </c>
      <c r="T299" s="8" t="s">
        <v>49</v>
      </c>
      <c r="U299" s="8" t="s">
        <v>1535</v>
      </c>
      <c r="V299" s="8" t="s">
        <v>1493</v>
      </c>
      <c r="W299" s="8" t="s">
        <v>1536</v>
      </c>
      <c r="X299" s="8" t="s">
        <v>108</v>
      </c>
      <c r="Y299" s="8" t="s">
        <v>1537</v>
      </c>
      <c r="Z299" s="8" t="s">
        <v>130</v>
      </c>
      <c r="AA299" s="8" t="s">
        <v>231</v>
      </c>
      <c r="AB299" s="8" t="s">
        <v>60</v>
      </c>
      <c r="AC299" s="8" t="s">
        <v>348</v>
      </c>
      <c r="AD299" s="8" t="s">
        <v>1538</v>
      </c>
      <c r="AE299" s="8" t="s">
        <v>1539</v>
      </c>
      <c r="AF299" s="8" t="s">
        <v>383</v>
      </c>
      <c r="AG299" s="8" t="s">
        <v>63</v>
      </c>
      <c r="AH299" s="8" t="s">
        <v>145</v>
      </c>
      <c r="AI299" s="8" t="s">
        <v>463</v>
      </c>
      <c r="AJ299" s="8" t="s">
        <v>49</v>
      </c>
      <c r="AK299" s="8" t="s">
        <v>95</v>
      </c>
      <c r="AL299" s="8" t="s">
        <v>66</v>
      </c>
      <c r="AM299" s="8" t="s">
        <v>1540</v>
      </c>
      <c r="AN299" s="9" t="s">
        <v>1541</v>
      </c>
      <c r="AO299" s="9" t="s">
        <v>1542</v>
      </c>
      <c r="AP299" s="17" t="s">
        <v>1550</v>
      </c>
      <c r="AQ299" s="10" t="s">
        <v>1544</v>
      </c>
      <c r="AR299" s="10" t="s">
        <v>1545</v>
      </c>
      <c r="AS299" s="12"/>
      <c r="AT299" s="10" t="s">
        <v>1546</v>
      </c>
      <c r="AU299" s="10" t="s">
        <v>1547</v>
      </c>
      <c r="AV299" s="13"/>
    </row>
    <row r="300" ht="16.5" hidden="1" customHeight="1">
      <c r="A300" s="7" t="s">
        <v>1551</v>
      </c>
      <c r="B300" s="14" t="s">
        <v>49</v>
      </c>
      <c r="C300" s="14" t="s">
        <v>213</v>
      </c>
      <c r="D300" s="14" t="s">
        <v>344</v>
      </c>
      <c r="E300" s="7"/>
      <c r="F300" s="7">
        <v>6678.0</v>
      </c>
      <c r="G300" s="7">
        <v>6677.0</v>
      </c>
      <c r="H300" s="7" t="s">
        <v>53</v>
      </c>
      <c r="I300" s="7"/>
      <c r="J300" s="7"/>
      <c r="K300" s="8" t="s">
        <v>1534</v>
      </c>
      <c r="L300" s="8" t="s">
        <v>126</v>
      </c>
      <c r="M300" s="12" t="s">
        <v>1549</v>
      </c>
      <c r="N300" s="8" t="s">
        <v>85</v>
      </c>
      <c r="O300" s="8" t="s">
        <v>217</v>
      </c>
      <c r="P300" s="8" t="s">
        <v>57</v>
      </c>
      <c r="Q300" s="8" t="s">
        <v>86</v>
      </c>
      <c r="R300" s="8">
        <v>0.5</v>
      </c>
      <c r="S300" s="8" t="s">
        <v>49</v>
      </c>
      <c r="T300" s="8" t="s">
        <v>49</v>
      </c>
      <c r="U300" s="8" t="s">
        <v>1535</v>
      </c>
      <c r="V300" s="8" t="s">
        <v>1493</v>
      </c>
      <c r="W300" s="8" t="s">
        <v>1536</v>
      </c>
      <c r="X300" s="8" t="s">
        <v>108</v>
      </c>
      <c r="Y300" s="8" t="s">
        <v>1537</v>
      </c>
      <c r="Z300" s="8" t="s">
        <v>130</v>
      </c>
      <c r="AA300" s="8" t="s">
        <v>231</v>
      </c>
      <c r="AB300" s="8" t="s">
        <v>60</v>
      </c>
      <c r="AC300" s="8" t="s">
        <v>348</v>
      </c>
      <c r="AD300" s="8" t="s">
        <v>1538</v>
      </c>
      <c r="AE300" s="8" t="s">
        <v>1539</v>
      </c>
      <c r="AF300" s="8" t="s">
        <v>383</v>
      </c>
      <c r="AG300" s="8" t="s">
        <v>63</v>
      </c>
      <c r="AH300" s="8" t="s">
        <v>145</v>
      </c>
      <c r="AI300" s="8" t="s">
        <v>65</v>
      </c>
      <c r="AJ300" s="8" t="s">
        <v>49</v>
      </c>
      <c r="AK300" s="8" t="s">
        <v>95</v>
      </c>
      <c r="AL300" s="8" t="s">
        <v>66</v>
      </c>
      <c r="AM300" s="8"/>
      <c r="AN300" s="9" t="s">
        <v>1552</v>
      </c>
      <c r="AO300" s="9" t="s">
        <v>1553</v>
      </c>
      <c r="AP300" s="17" t="s">
        <v>1550</v>
      </c>
      <c r="AQ300" s="10" t="s">
        <v>1544</v>
      </c>
      <c r="AR300" s="10" t="s">
        <v>1545</v>
      </c>
      <c r="AS300" s="12"/>
      <c r="AT300" s="10" t="s">
        <v>1546</v>
      </c>
      <c r="AU300" s="10" t="s">
        <v>1547</v>
      </c>
      <c r="AV300" s="15">
        <v>46315.0</v>
      </c>
    </row>
    <row r="301" ht="16.5" hidden="1" customHeight="1">
      <c r="A301" s="7" t="s">
        <v>1554</v>
      </c>
      <c r="B301" s="7"/>
      <c r="C301" s="7" t="s">
        <v>213</v>
      </c>
      <c r="D301" s="7" t="s">
        <v>376</v>
      </c>
      <c r="E301" s="7" t="s">
        <v>227</v>
      </c>
      <c r="F301" s="7">
        <v>6679.0</v>
      </c>
      <c r="G301" s="7"/>
      <c r="H301" s="7" t="s">
        <v>215</v>
      </c>
      <c r="I301" s="7"/>
      <c r="J301" s="7"/>
      <c r="K301" s="8" t="s">
        <v>397</v>
      </c>
      <c r="L301" s="8" t="s">
        <v>55</v>
      </c>
      <c r="M301" s="8"/>
      <c r="N301" s="8" t="s">
        <v>49</v>
      </c>
      <c r="O301" s="8" t="s">
        <v>228</v>
      </c>
      <c r="P301" s="8" t="s">
        <v>229</v>
      </c>
      <c r="Q301" s="8" t="s">
        <v>230</v>
      </c>
      <c r="R301" s="8" t="s">
        <v>49</v>
      </c>
      <c r="S301" s="8" t="s">
        <v>49</v>
      </c>
      <c r="T301" s="8" t="s">
        <v>49</v>
      </c>
      <c r="U301" s="8" t="s">
        <v>49</v>
      </c>
      <c r="V301" s="8" t="s">
        <v>49</v>
      </c>
      <c r="W301" s="8" t="s">
        <v>49</v>
      </c>
      <c r="X301" s="8" t="s">
        <v>49</v>
      </c>
      <c r="Y301" s="8" t="s">
        <v>49</v>
      </c>
      <c r="Z301" s="8" t="s">
        <v>49</v>
      </c>
      <c r="AA301" s="8" t="s">
        <v>231</v>
      </c>
      <c r="AB301" s="8" t="s">
        <v>55</v>
      </c>
      <c r="AC301" s="8" t="s">
        <v>348</v>
      </c>
      <c r="AD301" s="8" t="s">
        <v>1555</v>
      </c>
      <c r="AE301" s="8" t="s">
        <v>480</v>
      </c>
      <c r="AF301" s="8" t="s">
        <v>1556</v>
      </c>
      <c r="AG301" s="8" t="s">
        <v>145</v>
      </c>
      <c r="AH301" s="8" t="s">
        <v>55</v>
      </c>
      <c r="AI301" s="8" t="s">
        <v>463</v>
      </c>
      <c r="AJ301" s="8" t="s">
        <v>49</v>
      </c>
      <c r="AK301" s="8" t="s">
        <v>49</v>
      </c>
      <c r="AL301" s="8" t="s">
        <v>464</v>
      </c>
      <c r="AM301" s="8" t="s">
        <v>1557</v>
      </c>
      <c r="AN301" s="9" t="s">
        <v>1558</v>
      </c>
      <c r="AO301" s="12" t="s">
        <v>224</v>
      </c>
      <c r="AP301" s="10" t="s">
        <v>1559</v>
      </c>
      <c r="AQ301" s="11"/>
      <c r="AR301" s="11"/>
      <c r="AS301" s="12"/>
      <c r="AT301" s="11"/>
      <c r="AU301" s="10" t="s">
        <v>1528</v>
      </c>
      <c r="AV301" s="13"/>
    </row>
    <row r="302" ht="16.5" hidden="1" customHeight="1">
      <c r="A302" s="7" t="s">
        <v>1560</v>
      </c>
      <c r="B302" s="7"/>
      <c r="C302" s="7" t="s">
        <v>213</v>
      </c>
      <c r="D302" s="14" t="s">
        <v>344</v>
      </c>
      <c r="E302" s="7" t="s">
        <v>227</v>
      </c>
      <c r="F302" s="7">
        <v>6679.0</v>
      </c>
      <c r="G302" s="7">
        <v>6679.0</v>
      </c>
      <c r="H302" s="7" t="s">
        <v>215</v>
      </c>
      <c r="I302" s="7"/>
      <c r="J302" s="7"/>
      <c r="K302" s="8" t="s">
        <v>397</v>
      </c>
      <c r="L302" s="8" t="s">
        <v>55</v>
      </c>
      <c r="M302" s="12" t="s">
        <v>55</v>
      </c>
      <c r="N302" s="8" t="s">
        <v>55</v>
      </c>
      <c r="O302" s="8" t="s">
        <v>228</v>
      </c>
      <c r="P302" s="8" t="s">
        <v>229</v>
      </c>
      <c r="Q302" s="8" t="s">
        <v>240</v>
      </c>
      <c r="R302" s="8" t="s">
        <v>49</v>
      </c>
      <c r="S302" s="8" t="s">
        <v>49</v>
      </c>
      <c r="T302" s="8" t="s">
        <v>49</v>
      </c>
      <c r="U302" s="8" t="s">
        <v>49</v>
      </c>
      <c r="V302" s="8" t="s">
        <v>49</v>
      </c>
      <c r="W302" s="8" t="s">
        <v>49</v>
      </c>
      <c r="X302" s="8" t="s">
        <v>55</v>
      </c>
      <c r="Y302" s="8" t="s">
        <v>55</v>
      </c>
      <c r="Z302" s="8" t="s">
        <v>55</v>
      </c>
      <c r="AA302" s="8" t="s">
        <v>231</v>
      </c>
      <c r="AB302" s="8" t="s">
        <v>55</v>
      </c>
      <c r="AC302" s="8" t="s">
        <v>348</v>
      </c>
      <c r="AD302" s="8" t="s">
        <v>1555</v>
      </c>
      <c r="AE302" s="8" t="s">
        <v>480</v>
      </c>
      <c r="AF302" s="8" t="s">
        <v>1561</v>
      </c>
      <c r="AG302" s="8" t="s">
        <v>145</v>
      </c>
      <c r="AH302" s="8" t="s">
        <v>55</v>
      </c>
      <c r="AI302" s="8" t="s">
        <v>463</v>
      </c>
      <c r="AJ302" s="8" t="s">
        <v>49</v>
      </c>
      <c r="AK302" s="8" t="s">
        <v>55</v>
      </c>
      <c r="AL302" s="8" t="s">
        <v>464</v>
      </c>
      <c r="AM302" s="8" t="s">
        <v>1557</v>
      </c>
      <c r="AN302" s="9" t="s">
        <v>1558</v>
      </c>
      <c r="AO302" s="12" t="s">
        <v>224</v>
      </c>
      <c r="AP302" s="10" t="s">
        <v>1559</v>
      </c>
      <c r="AQ302" s="21"/>
      <c r="AR302" s="11"/>
      <c r="AS302" s="12"/>
      <c r="AT302" s="11"/>
      <c r="AU302" s="10" t="s">
        <v>1528</v>
      </c>
      <c r="AV302" s="13"/>
    </row>
    <row r="303" ht="16.5" hidden="1" customHeight="1">
      <c r="A303" s="7" t="s">
        <v>1562</v>
      </c>
      <c r="B303" s="7"/>
      <c r="C303" s="14" t="s">
        <v>213</v>
      </c>
      <c r="D303" s="14" t="s">
        <v>344</v>
      </c>
      <c r="E303" s="7"/>
      <c r="F303" s="7">
        <v>6680.0</v>
      </c>
      <c r="G303" s="7">
        <v>6679.0</v>
      </c>
      <c r="H303" s="7" t="s">
        <v>215</v>
      </c>
      <c r="I303" s="7"/>
      <c r="J303" s="7"/>
      <c r="K303" s="8" t="s">
        <v>397</v>
      </c>
      <c r="L303" s="8" t="s">
        <v>55</v>
      </c>
      <c r="M303" s="12" t="s">
        <v>55</v>
      </c>
      <c r="N303" s="8" t="s">
        <v>55</v>
      </c>
      <c r="O303" s="8" t="s">
        <v>228</v>
      </c>
      <c r="P303" s="8" t="s">
        <v>229</v>
      </c>
      <c r="Q303" s="8" t="s">
        <v>240</v>
      </c>
      <c r="R303" s="8" t="s">
        <v>49</v>
      </c>
      <c r="S303" s="8" t="s">
        <v>49</v>
      </c>
      <c r="T303" s="8" t="s">
        <v>49</v>
      </c>
      <c r="U303" s="8" t="s">
        <v>49</v>
      </c>
      <c r="V303" s="8" t="s">
        <v>49</v>
      </c>
      <c r="W303" s="8" t="s">
        <v>49</v>
      </c>
      <c r="X303" s="8" t="s">
        <v>55</v>
      </c>
      <c r="Y303" s="8" t="s">
        <v>55</v>
      </c>
      <c r="Z303" s="8" t="s">
        <v>55</v>
      </c>
      <c r="AA303" s="8" t="s">
        <v>231</v>
      </c>
      <c r="AB303" s="8" t="s">
        <v>55</v>
      </c>
      <c r="AC303" s="8" t="s">
        <v>348</v>
      </c>
      <c r="AD303" s="8" t="s">
        <v>1555</v>
      </c>
      <c r="AE303" s="8" t="s">
        <v>480</v>
      </c>
      <c r="AF303" s="8" t="s">
        <v>1561</v>
      </c>
      <c r="AG303" s="8" t="s">
        <v>145</v>
      </c>
      <c r="AH303" s="8" t="s">
        <v>55</v>
      </c>
      <c r="AI303" s="8" t="s">
        <v>65</v>
      </c>
      <c r="AJ303" s="8" t="s">
        <v>49</v>
      </c>
      <c r="AK303" s="8" t="s">
        <v>55</v>
      </c>
      <c r="AL303" s="8" t="s">
        <v>464</v>
      </c>
      <c r="AM303" s="8"/>
      <c r="AN303" s="9" t="s">
        <v>1563</v>
      </c>
      <c r="AO303" s="12" t="s">
        <v>224</v>
      </c>
      <c r="AP303" s="10" t="s">
        <v>1559</v>
      </c>
      <c r="AQ303" s="21"/>
      <c r="AR303" s="11"/>
      <c r="AS303" s="12"/>
      <c r="AT303" s="11"/>
      <c r="AU303" s="11"/>
      <c r="AV303" s="13"/>
    </row>
    <row r="304" ht="16.5" hidden="1" customHeight="1">
      <c r="A304" s="7" t="s">
        <v>1564</v>
      </c>
      <c r="B304" s="7"/>
      <c r="C304" s="14" t="s">
        <v>213</v>
      </c>
      <c r="D304" s="14" t="s">
        <v>344</v>
      </c>
      <c r="E304" s="7"/>
      <c r="F304" s="7">
        <v>6681.0</v>
      </c>
      <c r="G304" s="7">
        <v>6679.0</v>
      </c>
      <c r="H304" s="7" t="s">
        <v>215</v>
      </c>
      <c r="I304" s="7"/>
      <c r="J304" s="7"/>
      <c r="K304" s="8" t="s">
        <v>397</v>
      </c>
      <c r="L304" s="8" t="s">
        <v>55</v>
      </c>
      <c r="M304" s="12" t="s">
        <v>55</v>
      </c>
      <c r="N304" s="8" t="s">
        <v>55</v>
      </c>
      <c r="O304" s="8" t="s">
        <v>228</v>
      </c>
      <c r="P304" s="8" t="s">
        <v>229</v>
      </c>
      <c r="Q304" s="8" t="s">
        <v>240</v>
      </c>
      <c r="R304" s="8" t="s">
        <v>49</v>
      </c>
      <c r="S304" s="8" t="s">
        <v>49</v>
      </c>
      <c r="T304" s="8" t="s">
        <v>49</v>
      </c>
      <c r="U304" s="8" t="s">
        <v>49</v>
      </c>
      <c r="V304" s="8" t="s">
        <v>49</v>
      </c>
      <c r="W304" s="8" t="s">
        <v>49</v>
      </c>
      <c r="X304" s="8" t="s">
        <v>55</v>
      </c>
      <c r="Y304" s="8" t="s">
        <v>55</v>
      </c>
      <c r="Z304" s="8" t="s">
        <v>55</v>
      </c>
      <c r="AA304" s="8" t="s">
        <v>231</v>
      </c>
      <c r="AB304" s="8" t="s">
        <v>55</v>
      </c>
      <c r="AC304" s="8" t="s">
        <v>348</v>
      </c>
      <c r="AD304" s="8" t="s">
        <v>1555</v>
      </c>
      <c r="AE304" s="8" t="s">
        <v>480</v>
      </c>
      <c r="AF304" s="8" t="s">
        <v>1561</v>
      </c>
      <c r="AG304" s="8" t="s">
        <v>145</v>
      </c>
      <c r="AH304" s="8" t="s">
        <v>55</v>
      </c>
      <c r="AI304" s="8" t="s">
        <v>490</v>
      </c>
      <c r="AJ304" s="8" t="s">
        <v>49</v>
      </c>
      <c r="AK304" s="8" t="s">
        <v>55</v>
      </c>
      <c r="AL304" s="8" t="s">
        <v>464</v>
      </c>
      <c r="AM304" s="8"/>
      <c r="AN304" s="9" t="s">
        <v>1565</v>
      </c>
      <c r="AO304" s="12" t="s">
        <v>224</v>
      </c>
      <c r="AP304" s="10" t="s">
        <v>1559</v>
      </c>
      <c r="AQ304" s="11"/>
      <c r="AR304" s="11"/>
      <c r="AS304" s="12"/>
      <c r="AT304" s="11"/>
      <c r="AU304" s="11"/>
      <c r="AV304" s="13"/>
    </row>
    <row r="305" ht="16.5" hidden="1" customHeight="1">
      <c r="A305" s="7" t="s">
        <v>1566</v>
      </c>
      <c r="B305" s="7"/>
      <c r="C305" s="7" t="s">
        <v>213</v>
      </c>
      <c r="D305" s="7" t="s">
        <v>376</v>
      </c>
      <c r="E305" s="7" t="s">
        <v>227</v>
      </c>
      <c r="F305" s="7">
        <v>6682.0</v>
      </c>
      <c r="G305" s="7"/>
      <c r="H305" s="7" t="s">
        <v>215</v>
      </c>
      <c r="I305" s="7"/>
      <c r="J305" s="7"/>
      <c r="K305" s="8" t="s">
        <v>397</v>
      </c>
      <c r="L305" s="8" t="s">
        <v>55</v>
      </c>
      <c r="M305" s="8"/>
      <c r="N305" s="8" t="s">
        <v>49</v>
      </c>
      <c r="O305" s="8" t="s">
        <v>228</v>
      </c>
      <c r="P305" s="8" t="s">
        <v>229</v>
      </c>
      <c r="Q305" s="8" t="s">
        <v>230</v>
      </c>
      <c r="R305" s="8" t="s">
        <v>49</v>
      </c>
      <c r="S305" s="8" t="s">
        <v>49</v>
      </c>
      <c r="T305" s="8" t="s">
        <v>49</v>
      </c>
      <c r="U305" s="8" t="s">
        <v>49</v>
      </c>
      <c r="V305" s="8" t="s">
        <v>49</v>
      </c>
      <c r="W305" s="8" t="s">
        <v>49</v>
      </c>
      <c r="X305" s="8" t="s">
        <v>49</v>
      </c>
      <c r="Y305" s="8" t="s">
        <v>49</v>
      </c>
      <c r="Z305" s="8" t="s">
        <v>49</v>
      </c>
      <c r="AA305" s="8" t="s">
        <v>231</v>
      </c>
      <c r="AB305" s="8" t="s">
        <v>55</v>
      </c>
      <c r="AC305" s="8" t="s">
        <v>348</v>
      </c>
      <c r="AD305" s="8" t="s">
        <v>711</v>
      </c>
      <c r="AE305" s="8" t="s">
        <v>609</v>
      </c>
      <c r="AF305" s="8" t="s">
        <v>1556</v>
      </c>
      <c r="AG305" s="8" t="s">
        <v>145</v>
      </c>
      <c r="AH305" s="8" t="s">
        <v>55</v>
      </c>
      <c r="AI305" s="8" t="s">
        <v>463</v>
      </c>
      <c r="AJ305" s="8" t="s">
        <v>49</v>
      </c>
      <c r="AK305" s="8" t="s">
        <v>49</v>
      </c>
      <c r="AL305" s="8" t="s">
        <v>464</v>
      </c>
      <c r="AM305" s="8" t="s">
        <v>1567</v>
      </c>
      <c r="AN305" s="9" t="s">
        <v>1568</v>
      </c>
      <c r="AO305" s="12" t="s">
        <v>224</v>
      </c>
      <c r="AP305" s="10" t="s">
        <v>1569</v>
      </c>
      <c r="AQ305" s="11"/>
      <c r="AR305" s="11"/>
      <c r="AS305" s="12"/>
      <c r="AT305" s="11"/>
      <c r="AU305" s="11"/>
      <c r="AV305" s="13"/>
    </row>
    <row r="306" ht="16.5" hidden="1" customHeight="1">
      <c r="A306" s="7" t="s">
        <v>1570</v>
      </c>
      <c r="B306" s="7"/>
      <c r="C306" s="7" t="s">
        <v>213</v>
      </c>
      <c r="D306" s="14" t="s">
        <v>344</v>
      </c>
      <c r="E306" s="7" t="s">
        <v>227</v>
      </c>
      <c r="F306" s="7">
        <v>6682.0</v>
      </c>
      <c r="G306" s="7">
        <v>6682.0</v>
      </c>
      <c r="H306" s="7" t="s">
        <v>215</v>
      </c>
      <c r="I306" s="7"/>
      <c r="J306" s="7"/>
      <c r="K306" s="8" t="s">
        <v>397</v>
      </c>
      <c r="L306" s="8" t="s">
        <v>55</v>
      </c>
      <c r="M306" s="12" t="s">
        <v>55</v>
      </c>
      <c r="N306" s="8" t="s">
        <v>55</v>
      </c>
      <c r="O306" s="8" t="s">
        <v>228</v>
      </c>
      <c r="P306" s="8" t="s">
        <v>229</v>
      </c>
      <c r="Q306" s="8" t="s">
        <v>240</v>
      </c>
      <c r="R306" s="8" t="s">
        <v>49</v>
      </c>
      <c r="S306" s="8" t="s">
        <v>49</v>
      </c>
      <c r="T306" s="8" t="s">
        <v>49</v>
      </c>
      <c r="U306" s="8" t="s">
        <v>49</v>
      </c>
      <c r="V306" s="8" t="s">
        <v>49</v>
      </c>
      <c r="W306" s="8" t="s">
        <v>49</v>
      </c>
      <c r="X306" s="8" t="s">
        <v>55</v>
      </c>
      <c r="Y306" s="8" t="s">
        <v>55</v>
      </c>
      <c r="Z306" s="8" t="s">
        <v>55</v>
      </c>
      <c r="AA306" s="8" t="s">
        <v>231</v>
      </c>
      <c r="AB306" s="8" t="s">
        <v>55</v>
      </c>
      <c r="AC306" s="8" t="s">
        <v>348</v>
      </c>
      <c r="AD306" s="8" t="s">
        <v>711</v>
      </c>
      <c r="AE306" s="8" t="s">
        <v>609</v>
      </c>
      <c r="AF306" s="8" t="s">
        <v>1561</v>
      </c>
      <c r="AG306" s="8" t="s">
        <v>145</v>
      </c>
      <c r="AH306" s="8" t="s">
        <v>55</v>
      </c>
      <c r="AI306" s="8" t="s">
        <v>463</v>
      </c>
      <c r="AJ306" s="8" t="s">
        <v>49</v>
      </c>
      <c r="AK306" s="8" t="s">
        <v>55</v>
      </c>
      <c r="AL306" s="8" t="s">
        <v>464</v>
      </c>
      <c r="AM306" s="8" t="s">
        <v>1567</v>
      </c>
      <c r="AN306" s="9" t="s">
        <v>1568</v>
      </c>
      <c r="AO306" s="12" t="s">
        <v>224</v>
      </c>
      <c r="AP306" s="10" t="s">
        <v>1569</v>
      </c>
      <c r="AQ306" s="11"/>
      <c r="AR306" s="11"/>
      <c r="AS306" s="12"/>
      <c r="AT306" s="11"/>
      <c r="AU306" s="11"/>
      <c r="AV306" s="13"/>
    </row>
    <row r="307" ht="16.5" hidden="1" customHeight="1">
      <c r="A307" s="7" t="s">
        <v>1571</v>
      </c>
      <c r="B307" s="7"/>
      <c r="C307" s="14" t="s">
        <v>213</v>
      </c>
      <c r="D307" s="14" t="s">
        <v>344</v>
      </c>
      <c r="E307" s="7"/>
      <c r="F307" s="7">
        <v>6683.0</v>
      </c>
      <c r="G307" s="7">
        <v>6682.0</v>
      </c>
      <c r="H307" s="7" t="s">
        <v>215</v>
      </c>
      <c r="I307" s="7"/>
      <c r="J307" s="7"/>
      <c r="K307" s="8" t="s">
        <v>397</v>
      </c>
      <c r="L307" s="8" t="s">
        <v>55</v>
      </c>
      <c r="M307" s="12" t="s">
        <v>55</v>
      </c>
      <c r="N307" s="8" t="s">
        <v>55</v>
      </c>
      <c r="O307" s="8" t="s">
        <v>228</v>
      </c>
      <c r="P307" s="8" t="s">
        <v>229</v>
      </c>
      <c r="Q307" s="8" t="s">
        <v>240</v>
      </c>
      <c r="R307" s="8" t="s">
        <v>49</v>
      </c>
      <c r="S307" s="8" t="s">
        <v>49</v>
      </c>
      <c r="T307" s="8" t="s">
        <v>49</v>
      </c>
      <c r="U307" s="8" t="s">
        <v>49</v>
      </c>
      <c r="V307" s="8" t="s">
        <v>49</v>
      </c>
      <c r="W307" s="8" t="s">
        <v>49</v>
      </c>
      <c r="X307" s="8" t="s">
        <v>55</v>
      </c>
      <c r="Y307" s="8" t="s">
        <v>55</v>
      </c>
      <c r="Z307" s="8" t="s">
        <v>55</v>
      </c>
      <c r="AA307" s="8" t="s">
        <v>231</v>
      </c>
      <c r="AB307" s="8" t="s">
        <v>55</v>
      </c>
      <c r="AC307" s="8" t="s">
        <v>348</v>
      </c>
      <c r="AD307" s="8" t="s">
        <v>711</v>
      </c>
      <c r="AE307" s="8" t="s">
        <v>609</v>
      </c>
      <c r="AF307" s="8" t="s">
        <v>1561</v>
      </c>
      <c r="AG307" s="8" t="s">
        <v>145</v>
      </c>
      <c r="AH307" s="8" t="s">
        <v>55</v>
      </c>
      <c r="AI307" s="8" t="s">
        <v>490</v>
      </c>
      <c r="AJ307" s="8" t="s">
        <v>49</v>
      </c>
      <c r="AK307" s="8" t="s">
        <v>55</v>
      </c>
      <c r="AL307" s="8" t="s">
        <v>464</v>
      </c>
      <c r="AM307" s="8"/>
      <c r="AN307" s="9" t="s">
        <v>1572</v>
      </c>
      <c r="AO307" s="12" t="s">
        <v>224</v>
      </c>
      <c r="AP307" s="10" t="s">
        <v>1569</v>
      </c>
      <c r="AQ307" s="11"/>
      <c r="AR307" s="11"/>
      <c r="AS307" s="12"/>
      <c r="AT307" s="11"/>
      <c r="AU307" s="11"/>
      <c r="AV307" s="13"/>
    </row>
    <row r="308" ht="16.5" hidden="1" customHeight="1">
      <c r="A308" s="7" t="s">
        <v>1573</v>
      </c>
      <c r="B308" s="7"/>
      <c r="C308" s="14" t="s">
        <v>213</v>
      </c>
      <c r="D308" s="14" t="s">
        <v>344</v>
      </c>
      <c r="E308" s="7"/>
      <c r="F308" s="7">
        <v>6684.0</v>
      </c>
      <c r="G308" s="7">
        <v>6682.0</v>
      </c>
      <c r="H308" s="7" t="s">
        <v>215</v>
      </c>
      <c r="I308" s="7"/>
      <c r="J308" s="7"/>
      <c r="K308" s="8" t="s">
        <v>397</v>
      </c>
      <c r="L308" s="8" t="s">
        <v>55</v>
      </c>
      <c r="M308" s="12" t="s">
        <v>55</v>
      </c>
      <c r="N308" s="8" t="s">
        <v>55</v>
      </c>
      <c r="O308" s="8" t="s">
        <v>228</v>
      </c>
      <c r="P308" s="8" t="s">
        <v>229</v>
      </c>
      <c r="Q308" s="8" t="s">
        <v>240</v>
      </c>
      <c r="R308" s="8" t="s">
        <v>49</v>
      </c>
      <c r="S308" s="8" t="s">
        <v>49</v>
      </c>
      <c r="T308" s="8" t="s">
        <v>49</v>
      </c>
      <c r="U308" s="8" t="s">
        <v>49</v>
      </c>
      <c r="V308" s="8" t="s">
        <v>49</v>
      </c>
      <c r="W308" s="8" t="s">
        <v>49</v>
      </c>
      <c r="X308" s="8" t="s">
        <v>55</v>
      </c>
      <c r="Y308" s="8" t="s">
        <v>55</v>
      </c>
      <c r="Z308" s="8" t="s">
        <v>55</v>
      </c>
      <c r="AA308" s="8" t="s">
        <v>231</v>
      </c>
      <c r="AB308" s="8" t="s">
        <v>55</v>
      </c>
      <c r="AC308" s="8" t="s">
        <v>348</v>
      </c>
      <c r="AD308" s="8" t="s">
        <v>711</v>
      </c>
      <c r="AE308" s="8" t="s">
        <v>609</v>
      </c>
      <c r="AF308" s="8" t="s">
        <v>1561</v>
      </c>
      <c r="AG308" s="8" t="s">
        <v>145</v>
      </c>
      <c r="AH308" s="8" t="s">
        <v>55</v>
      </c>
      <c r="AI308" s="8" t="s">
        <v>65</v>
      </c>
      <c r="AJ308" s="8" t="s">
        <v>49</v>
      </c>
      <c r="AK308" s="8" t="s">
        <v>55</v>
      </c>
      <c r="AL308" s="8" t="s">
        <v>464</v>
      </c>
      <c r="AM308" s="8"/>
      <c r="AN308" s="9" t="s">
        <v>1574</v>
      </c>
      <c r="AO308" s="12" t="s">
        <v>224</v>
      </c>
      <c r="AP308" s="10" t="s">
        <v>1569</v>
      </c>
      <c r="AQ308" s="11"/>
      <c r="AR308" s="11"/>
      <c r="AS308" s="12"/>
      <c r="AT308" s="11"/>
      <c r="AU308" s="11"/>
      <c r="AV308" s="13"/>
    </row>
    <row r="309" ht="16.5" hidden="1" customHeight="1">
      <c r="A309" s="7" t="s">
        <v>1575</v>
      </c>
      <c r="B309" s="7"/>
      <c r="C309" s="14" t="s">
        <v>213</v>
      </c>
      <c r="D309" s="14" t="s">
        <v>344</v>
      </c>
      <c r="E309" s="7"/>
      <c r="F309" s="7">
        <v>6685.0</v>
      </c>
      <c r="G309" s="7">
        <v>6096.0</v>
      </c>
      <c r="H309" s="7" t="s">
        <v>215</v>
      </c>
      <c r="I309" s="7"/>
      <c r="J309" s="7"/>
      <c r="K309" s="8" t="s">
        <v>397</v>
      </c>
      <c r="L309" s="8" t="s">
        <v>55</v>
      </c>
      <c r="M309" s="12" t="s">
        <v>55</v>
      </c>
      <c r="N309" s="8" t="s">
        <v>55</v>
      </c>
      <c r="O309" s="8" t="s">
        <v>228</v>
      </c>
      <c r="P309" s="8" t="s">
        <v>229</v>
      </c>
      <c r="Q309" s="8" t="s">
        <v>240</v>
      </c>
      <c r="R309" s="8" t="s">
        <v>49</v>
      </c>
      <c r="S309" s="8" t="s">
        <v>49</v>
      </c>
      <c r="T309" s="8" t="s">
        <v>49</v>
      </c>
      <c r="U309" s="8" t="s">
        <v>49</v>
      </c>
      <c r="V309" s="8" t="s">
        <v>49</v>
      </c>
      <c r="W309" s="8" t="s">
        <v>49</v>
      </c>
      <c r="X309" s="8" t="s">
        <v>55</v>
      </c>
      <c r="Y309" s="8" t="s">
        <v>55</v>
      </c>
      <c r="Z309" s="8" t="s">
        <v>55</v>
      </c>
      <c r="AA309" s="8" t="s">
        <v>231</v>
      </c>
      <c r="AB309" s="8" t="s">
        <v>55</v>
      </c>
      <c r="AC309" s="8" t="s">
        <v>348</v>
      </c>
      <c r="AD309" s="8" t="s">
        <v>460</v>
      </c>
      <c r="AE309" s="8" t="s">
        <v>461</v>
      </c>
      <c r="AF309" s="8" t="s">
        <v>469</v>
      </c>
      <c r="AG309" s="8" t="s">
        <v>145</v>
      </c>
      <c r="AH309" s="8" t="s">
        <v>55</v>
      </c>
      <c r="AI309" s="8" t="s">
        <v>65</v>
      </c>
      <c r="AJ309" s="8" t="s">
        <v>49</v>
      </c>
      <c r="AK309" s="8" t="s">
        <v>55</v>
      </c>
      <c r="AL309" s="8" t="s">
        <v>464</v>
      </c>
      <c r="AM309" s="8"/>
      <c r="AN309" s="9" t="s">
        <v>1576</v>
      </c>
      <c r="AO309" s="12" t="s">
        <v>224</v>
      </c>
      <c r="AP309" s="10" t="s">
        <v>467</v>
      </c>
      <c r="AQ309" s="11"/>
      <c r="AR309" s="11"/>
      <c r="AS309" s="12"/>
      <c r="AT309" s="11"/>
      <c r="AU309" s="11"/>
      <c r="AV309" s="13"/>
    </row>
    <row r="310" ht="16.5" hidden="1" customHeight="1">
      <c r="A310" s="7" t="s">
        <v>1577</v>
      </c>
      <c r="B310" s="7" t="s">
        <v>1290</v>
      </c>
      <c r="C310" s="7" t="s">
        <v>1291</v>
      </c>
      <c r="D310" s="7" t="s">
        <v>920</v>
      </c>
      <c r="E310" s="7" t="s">
        <v>227</v>
      </c>
      <c r="F310" s="7">
        <v>6686.0</v>
      </c>
      <c r="G310" s="7"/>
      <c r="H310" s="7" t="s">
        <v>53</v>
      </c>
      <c r="I310" s="7"/>
      <c r="J310" s="7"/>
      <c r="K310" s="8" t="s">
        <v>55</v>
      </c>
      <c r="L310" s="8" t="s">
        <v>55</v>
      </c>
      <c r="M310" s="8"/>
      <c r="N310" s="8" t="s">
        <v>55</v>
      </c>
      <c r="O310" s="8" t="s">
        <v>55</v>
      </c>
      <c r="P310" s="8" t="s">
        <v>55</v>
      </c>
      <c r="Q310" s="8" t="s">
        <v>49</v>
      </c>
      <c r="R310" s="20" t="s">
        <v>49</v>
      </c>
      <c r="S310" s="8" t="s">
        <v>49</v>
      </c>
      <c r="T310" s="8" t="s">
        <v>49</v>
      </c>
      <c r="U310" s="8" t="s">
        <v>49</v>
      </c>
      <c r="V310" s="8" t="s">
        <v>49</v>
      </c>
      <c r="W310" s="8" t="s">
        <v>49</v>
      </c>
      <c r="X310" s="8" t="s">
        <v>49</v>
      </c>
      <c r="Y310" s="8" t="s">
        <v>49</v>
      </c>
      <c r="Z310" s="8" t="s">
        <v>49</v>
      </c>
      <c r="AA310" s="8" t="s">
        <v>55</v>
      </c>
      <c r="AB310" s="8" t="s">
        <v>55</v>
      </c>
      <c r="AC310" s="8" t="s">
        <v>55</v>
      </c>
      <c r="AD310" s="8" t="s">
        <v>1578</v>
      </c>
      <c r="AE310" s="8" t="s">
        <v>55</v>
      </c>
      <c r="AF310" s="8" t="s">
        <v>55</v>
      </c>
      <c r="AG310" s="8" t="s">
        <v>145</v>
      </c>
      <c r="AH310" s="8" t="s">
        <v>55</v>
      </c>
      <c r="AI310" s="8" t="s">
        <v>463</v>
      </c>
      <c r="AJ310" s="8" t="s">
        <v>49</v>
      </c>
      <c r="AK310" s="8" t="s">
        <v>49</v>
      </c>
      <c r="AL310" s="8" t="s">
        <v>720</v>
      </c>
      <c r="AM310" s="8" t="s">
        <v>1293</v>
      </c>
      <c r="AN310" s="9" t="s">
        <v>1579</v>
      </c>
      <c r="AO310" s="9" t="s">
        <v>1580</v>
      </c>
      <c r="AP310" s="10" t="s">
        <v>1296</v>
      </c>
      <c r="AQ310" s="11"/>
      <c r="AR310" s="11"/>
      <c r="AS310" s="12"/>
      <c r="AT310" s="11"/>
      <c r="AU310" s="11"/>
      <c r="AV310" s="13"/>
    </row>
    <row r="311" ht="16.5" hidden="1" customHeight="1">
      <c r="A311" s="7" t="s">
        <v>1581</v>
      </c>
      <c r="B311" s="7" t="s">
        <v>1290</v>
      </c>
      <c r="C311" s="7" t="s">
        <v>1291</v>
      </c>
      <c r="D311" s="7" t="s">
        <v>920</v>
      </c>
      <c r="E311" s="7" t="s">
        <v>227</v>
      </c>
      <c r="F311" s="7">
        <v>6686.0</v>
      </c>
      <c r="G311" s="7">
        <v>6686.0</v>
      </c>
      <c r="H311" s="7" t="s">
        <v>53</v>
      </c>
      <c r="I311" s="7"/>
      <c r="J311" s="7"/>
      <c r="K311" s="8" t="s">
        <v>55</v>
      </c>
      <c r="L311" s="8" t="s">
        <v>55</v>
      </c>
      <c r="M311" s="12" t="s">
        <v>55</v>
      </c>
      <c r="N311" s="8" t="s">
        <v>55</v>
      </c>
      <c r="O311" s="8" t="s">
        <v>55</v>
      </c>
      <c r="P311" s="8" t="s">
        <v>55</v>
      </c>
      <c r="Q311" s="8" t="s">
        <v>49</v>
      </c>
      <c r="R311" s="20" t="s">
        <v>49</v>
      </c>
      <c r="S311" s="8" t="s">
        <v>49</v>
      </c>
      <c r="T311" s="8" t="s">
        <v>49</v>
      </c>
      <c r="U311" s="8" t="s">
        <v>49</v>
      </c>
      <c r="V311" s="8" t="s">
        <v>49</v>
      </c>
      <c r="W311" s="8" t="s">
        <v>49</v>
      </c>
      <c r="X311" s="8" t="s">
        <v>55</v>
      </c>
      <c r="Y311" s="8" t="s">
        <v>55</v>
      </c>
      <c r="Z311" s="8" t="s">
        <v>55</v>
      </c>
      <c r="AA311" s="8" t="s">
        <v>55</v>
      </c>
      <c r="AB311" s="8" t="s">
        <v>55</v>
      </c>
      <c r="AC311" s="8" t="s">
        <v>55</v>
      </c>
      <c r="AD311" s="12" t="s">
        <v>1582</v>
      </c>
      <c r="AE311" s="8" t="s">
        <v>55</v>
      </c>
      <c r="AF311" s="8" t="s">
        <v>55</v>
      </c>
      <c r="AG311" s="8" t="s">
        <v>145</v>
      </c>
      <c r="AH311" s="8" t="s">
        <v>55</v>
      </c>
      <c r="AI311" s="8" t="s">
        <v>463</v>
      </c>
      <c r="AJ311" s="8" t="s">
        <v>49</v>
      </c>
      <c r="AK311" s="8" t="s">
        <v>55</v>
      </c>
      <c r="AL311" s="8" t="s">
        <v>720</v>
      </c>
      <c r="AM311" s="8" t="s">
        <v>1293</v>
      </c>
      <c r="AN311" s="9" t="s">
        <v>1579</v>
      </c>
      <c r="AO311" s="9" t="s">
        <v>1580</v>
      </c>
      <c r="AP311" s="10" t="s">
        <v>1296</v>
      </c>
      <c r="AQ311" s="11"/>
      <c r="AR311" s="11"/>
      <c r="AS311" s="12"/>
      <c r="AT311" s="11"/>
      <c r="AU311" s="11"/>
      <c r="AV311" s="13"/>
    </row>
    <row r="312" ht="16.5" hidden="1" customHeight="1">
      <c r="A312" s="7" t="s">
        <v>1583</v>
      </c>
      <c r="B312" s="7" t="s">
        <v>1290</v>
      </c>
      <c r="C312" s="14" t="s">
        <v>1291</v>
      </c>
      <c r="D312" s="14" t="s">
        <v>920</v>
      </c>
      <c r="E312" s="7"/>
      <c r="F312" s="7">
        <v>6687.0</v>
      </c>
      <c r="G312" s="7">
        <v>6686.0</v>
      </c>
      <c r="H312" s="7" t="s">
        <v>53</v>
      </c>
      <c r="I312" s="7"/>
      <c r="J312" s="7"/>
      <c r="K312" s="8" t="s">
        <v>55</v>
      </c>
      <c r="L312" s="8" t="s">
        <v>55</v>
      </c>
      <c r="M312" s="12" t="s">
        <v>55</v>
      </c>
      <c r="N312" s="8" t="s">
        <v>55</v>
      </c>
      <c r="O312" s="8" t="s">
        <v>55</v>
      </c>
      <c r="P312" s="8" t="s">
        <v>55</v>
      </c>
      <c r="Q312" s="8" t="s">
        <v>49</v>
      </c>
      <c r="R312" s="20" t="s">
        <v>49</v>
      </c>
      <c r="S312" s="8" t="s">
        <v>49</v>
      </c>
      <c r="T312" s="8" t="s">
        <v>49</v>
      </c>
      <c r="U312" s="8" t="s">
        <v>49</v>
      </c>
      <c r="V312" s="8" t="s">
        <v>49</v>
      </c>
      <c r="W312" s="8" t="s">
        <v>49</v>
      </c>
      <c r="X312" s="8" t="s">
        <v>55</v>
      </c>
      <c r="Y312" s="8" t="s">
        <v>55</v>
      </c>
      <c r="Z312" s="8" t="s">
        <v>55</v>
      </c>
      <c r="AA312" s="8" t="s">
        <v>55</v>
      </c>
      <c r="AB312" s="8" t="s">
        <v>55</v>
      </c>
      <c r="AC312" s="8" t="s">
        <v>55</v>
      </c>
      <c r="AD312" s="12" t="s">
        <v>1582</v>
      </c>
      <c r="AE312" s="8" t="s">
        <v>55</v>
      </c>
      <c r="AF312" s="8" t="s">
        <v>55</v>
      </c>
      <c r="AG312" s="8" t="s">
        <v>145</v>
      </c>
      <c r="AH312" s="8" t="s">
        <v>55</v>
      </c>
      <c r="AI312" s="8" t="s">
        <v>65</v>
      </c>
      <c r="AJ312" s="8" t="s">
        <v>49</v>
      </c>
      <c r="AK312" s="8" t="s">
        <v>55</v>
      </c>
      <c r="AL312" s="8" t="s">
        <v>720</v>
      </c>
      <c r="AM312" s="8" t="s">
        <v>1293</v>
      </c>
      <c r="AN312" s="9" t="s">
        <v>1584</v>
      </c>
      <c r="AO312" s="9" t="s">
        <v>1585</v>
      </c>
      <c r="AP312" s="10" t="s">
        <v>1296</v>
      </c>
      <c r="AQ312" s="11"/>
      <c r="AR312" s="11"/>
      <c r="AS312" s="12"/>
      <c r="AT312" s="11"/>
      <c r="AU312" s="11"/>
      <c r="AV312" s="13"/>
    </row>
    <row r="313" ht="16.5" hidden="1" customHeight="1">
      <c r="A313" s="7" t="s">
        <v>1586</v>
      </c>
      <c r="B313" s="7" t="s">
        <v>49</v>
      </c>
      <c r="C313" s="7" t="s">
        <v>919</v>
      </c>
      <c r="D313" s="7" t="s">
        <v>920</v>
      </c>
      <c r="E313" s="7" t="s">
        <v>227</v>
      </c>
      <c r="F313" s="7">
        <v>6688.0</v>
      </c>
      <c r="G313" s="7"/>
      <c r="H313" s="7" t="s">
        <v>53</v>
      </c>
      <c r="I313" s="7"/>
      <c r="J313" s="7"/>
      <c r="K313" s="8" t="s">
        <v>55</v>
      </c>
      <c r="L313" s="8" t="s">
        <v>55</v>
      </c>
      <c r="M313" s="8"/>
      <c r="N313" s="8" t="s">
        <v>55</v>
      </c>
      <c r="O313" s="8" t="s">
        <v>228</v>
      </c>
      <c r="P313" s="8" t="s">
        <v>229</v>
      </c>
      <c r="Q313" s="8" t="s">
        <v>49</v>
      </c>
      <c r="R313" s="8" t="s">
        <v>49</v>
      </c>
      <c r="S313" s="8" t="s">
        <v>49</v>
      </c>
      <c r="T313" s="8" t="s">
        <v>49</v>
      </c>
      <c r="U313" s="8" t="s">
        <v>49</v>
      </c>
      <c r="V313" s="8" t="s">
        <v>49</v>
      </c>
      <c r="W313" s="8" t="s">
        <v>49</v>
      </c>
      <c r="X313" s="8" t="s">
        <v>49</v>
      </c>
      <c r="Y313" s="8" t="s">
        <v>49</v>
      </c>
      <c r="Z313" s="8" t="s">
        <v>49</v>
      </c>
      <c r="AA313" s="8" t="s">
        <v>231</v>
      </c>
      <c r="AB313" s="8" t="s">
        <v>60</v>
      </c>
      <c r="AC313" s="8" t="s">
        <v>55</v>
      </c>
      <c r="AD313" s="8" t="s">
        <v>1587</v>
      </c>
      <c r="AE313" s="8" t="s">
        <v>55</v>
      </c>
      <c r="AF313" s="8" t="s">
        <v>55</v>
      </c>
      <c r="AG313" s="8" t="s">
        <v>145</v>
      </c>
      <c r="AH313" s="8" t="s">
        <v>55</v>
      </c>
      <c r="AI313" s="8" t="s">
        <v>463</v>
      </c>
      <c r="AJ313" s="8" t="s">
        <v>49</v>
      </c>
      <c r="AK313" s="8" t="s">
        <v>49</v>
      </c>
      <c r="AL313" s="8" t="s">
        <v>720</v>
      </c>
      <c r="AM313" s="8" t="s">
        <v>928</v>
      </c>
      <c r="AN313" s="9" t="s">
        <v>1588</v>
      </c>
      <c r="AO313" s="9" t="s">
        <v>1589</v>
      </c>
      <c r="AP313" s="18" t="s">
        <v>931</v>
      </c>
      <c r="AQ313" s="11"/>
      <c r="AR313" s="11"/>
      <c r="AS313" s="12"/>
      <c r="AT313" s="11"/>
      <c r="AU313" s="11"/>
      <c r="AV313" s="13"/>
    </row>
    <row r="314" ht="16.5" customHeight="1">
      <c r="A314" s="7" t="s">
        <v>1590</v>
      </c>
      <c r="B314" s="7" t="s">
        <v>49</v>
      </c>
      <c r="C314" s="7" t="s">
        <v>919</v>
      </c>
      <c r="D314" s="7" t="s">
        <v>920</v>
      </c>
      <c r="E314" s="7" t="s">
        <v>227</v>
      </c>
      <c r="F314" s="7">
        <v>6688.0</v>
      </c>
      <c r="G314" s="7">
        <v>6688.0</v>
      </c>
      <c r="H314" s="14" t="s">
        <v>1134</v>
      </c>
      <c r="I314" s="7"/>
      <c r="J314" s="7"/>
      <c r="K314" s="8" t="s">
        <v>55</v>
      </c>
      <c r="L314" s="8" t="s">
        <v>55</v>
      </c>
      <c r="M314" s="12" t="s">
        <v>55</v>
      </c>
      <c r="N314" s="8" t="s">
        <v>55</v>
      </c>
      <c r="O314" s="8" t="s">
        <v>228</v>
      </c>
      <c r="P314" s="8" t="s">
        <v>229</v>
      </c>
      <c r="Q314" s="8" t="s">
        <v>49</v>
      </c>
      <c r="R314" s="8" t="s">
        <v>49</v>
      </c>
      <c r="S314" s="8" t="s">
        <v>49</v>
      </c>
      <c r="T314" s="8" t="s">
        <v>49</v>
      </c>
      <c r="U314" s="8" t="s">
        <v>49</v>
      </c>
      <c r="V314" s="8" t="s">
        <v>49</v>
      </c>
      <c r="W314" s="8" t="s">
        <v>49</v>
      </c>
      <c r="X314" s="8" t="s">
        <v>55</v>
      </c>
      <c r="Y314" s="8" t="s">
        <v>55</v>
      </c>
      <c r="Z314" s="8" t="s">
        <v>55</v>
      </c>
      <c r="AA314" s="8" t="s">
        <v>231</v>
      </c>
      <c r="AB314" s="8" t="s">
        <v>60</v>
      </c>
      <c r="AC314" s="8" t="s">
        <v>55</v>
      </c>
      <c r="AD314" s="8" t="s">
        <v>1587</v>
      </c>
      <c r="AE314" s="8" t="s">
        <v>55</v>
      </c>
      <c r="AF314" s="8" t="s">
        <v>55</v>
      </c>
      <c r="AG314" s="8" t="s">
        <v>145</v>
      </c>
      <c r="AH314" s="8" t="s">
        <v>55</v>
      </c>
      <c r="AI314" s="8" t="s">
        <v>463</v>
      </c>
      <c r="AJ314" s="8" t="s">
        <v>49</v>
      </c>
      <c r="AK314" s="8" t="s">
        <v>55</v>
      </c>
      <c r="AL314" s="8" t="s">
        <v>720</v>
      </c>
      <c r="AM314" s="8" t="s">
        <v>928</v>
      </c>
      <c r="AN314" s="9" t="s">
        <v>1588</v>
      </c>
      <c r="AO314" s="9" t="s">
        <v>1589</v>
      </c>
      <c r="AP314" s="17" t="s">
        <v>924</v>
      </c>
      <c r="AQ314" s="11"/>
      <c r="AR314" s="11"/>
      <c r="AS314" s="12"/>
      <c r="AT314" s="11"/>
      <c r="AU314" s="11"/>
      <c r="AV314" s="13"/>
    </row>
    <row r="315" ht="16.5" customHeight="1">
      <c r="A315" s="7" t="s">
        <v>1591</v>
      </c>
      <c r="B315" s="14" t="s">
        <v>49</v>
      </c>
      <c r="C315" s="14" t="s">
        <v>919</v>
      </c>
      <c r="D315" s="14" t="s">
        <v>920</v>
      </c>
      <c r="E315" s="7"/>
      <c r="F315" s="7">
        <v>6689.0</v>
      </c>
      <c r="G315" s="7">
        <v>6688.0</v>
      </c>
      <c r="H315" s="14" t="s">
        <v>1134</v>
      </c>
      <c r="I315" s="7"/>
      <c r="J315" s="7"/>
      <c r="K315" s="8" t="s">
        <v>55</v>
      </c>
      <c r="L315" s="8" t="s">
        <v>55</v>
      </c>
      <c r="M315" s="12" t="s">
        <v>55</v>
      </c>
      <c r="N315" s="8" t="s">
        <v>55</v>
      </c>
      <c r="O315" s="8" t="s">
        <v>228</v>
      </c>
      <c r="P315" s="8" t="s">
        <v>229</v>
      </c>
      <c r="Q315" s="8" t="s">
        <v>49</v>
      </c>
      <c r="R315" s="8" t="s">
        <v>49</v>
      </c>
      <c r="S315" s="8" t="s">
        <v>49</v>
      </c>
      <c r="T315" s="8" t="s">
        <v>49</v>
      </c>
      <c r="U315" s="8" t="s">
        <v>49</v>
      </c>
      <c r="V315" s="8" t="s">
        <v>49</v>
      </c>
      <c r="W315" s="8" t="s">
        <v>49</v>
      </c>
      <c r="X315" s="8" t="s">
        <v>55</v>
      </c>
      <c r="Y315" s="8" t="s">
        <v>55</v>
      </c>
      <c r="Z315" s="8" t="s">
        <v>55</v>
      </c>
      <c r="AA315" s="8" t="s">
        <v>231</v>
      </c>
      <c r="AB315" s="8" t="s">
        <v>60</v>
      </c>
      <c r="AC315" s="8" t="s">
        <v>55</v>
      </c>
      <c r="AD315" s="8" t="s">
        <v>1587</v>
      </c>
      <c r="AE315" s="8" t="s">
        <v>55</v>
      </c>
      <c r="AF315" s="8" t="s">
        <v>55</v>
      </c>
      <c r="AG315" s="8" t="s">
        <v>145</v>
      </c>
      <c r="AH315" s="8" t="s">
        <v>55</v>
      </c>
      <c r="AI315" s="8" t="s">
        <v>65</v>
      </c>
      <c r="AJ315" s="8" t="s">
        <v>49</v>
      </c>
      <c r="AK315" s="8" t="s">
        <v>55</v>
      </c>
      <c r="AL315" s="8" t="s">
        <v>720</v>
      </c>
      <c r="AM315" s="8" t="s">
        <v>928</v>
      </c>
      <c r="AN315" s="9" t="s">
        <v>1592</v>
      </c>
      <c r="AO315" s="9" t="s">
        <v>1593</v>
      </c>
      <c r="AP315" s="17" t="s">
        <v>924</v>
      </c>
      <c r="AQ315" s="11"/>
      <c r="AR315" s="11"/>
      <c r="AS315" s="12"/>
      <c r="AT315" s="11"/>
      <c r="AU315" s="11"/>
      <c r="AV315" s="13"/>
    </row>
    <row r="316" ht="16.5" hidden="1" customHeight="1">
      <c r="A316" s="7" t="s">
        <v>1594</v>
      </c>
      <c r="B316" s="7" t="s">
        <v>49</v>
      </c>
      <c r="C316" s="14" t="s">
        <v>332</v>
      </c>
      <c r="D316" s="7" t="s">
        <v>1595</v>
      </c>
      <c r="E316" s="7" t="s">
        <v>52</v>
      </c>
      <c r="F316" s="7">
        <v>6690.0</v>
      </c>
      <c r="G316" s="7"/>
      <c r="H316" s="7" t="s">
        <v>53</v>
      </c>
      <c r="I316" s="7"/>
      <c r="J316" s="7"/>
      <c r="K316" s="8" t="s">
        <v>84</v>
      </c>
      <c r="L316" s="8" t="s">
        <v>49</v>
      </c>
      <c r="M316" s="8"/>
      <c r="N316" s="8" t="s">
        <v>85</v>
      </c>
      <c r="O316" s="8" t="s">
        <v>56</v>
      </c>
      <c r="P316" s="8" t="s">
        <v>57</v>
      </c>
      <c r="Q316" s="8" t="s">
        <v>86</v>
      </c>
      <c r="R316" s="8">
        <v>0.46</v>
      </c>
      <c r="S316" s="8" t="s">
        <v>49</v>
      </c>
      <c r="T316" s="8" t="s">
        <v>49</v>
      </c>
      <c r="U316" s="8" t="s">
        <v>1596</v>
      </c>
      <c r="V316" s="8" t="s">
        <v>1597</v>
      </c>
      <c r="W316" s="8" t="s">
        <v>89</v>
      </c>
      <c r="X316" s="8" t="s">
        <v>90</v>
      </c>
      <c r="Y316" s="8" t="s">
        <v>1598</v>
      </c>
      <c r="Z316" s="8" t="s">
        <v>92</v>
      </c>
      <c r="AA316" s="8" t="s">
        <v>59</v>
      </c>
      <c r="AB316" s="8" t="s">
        <v>60</v>
      </c>
      <c r="AC316" s="8" t="s">
        <v>1599</v>
      </c>
      <c r="AD316" s="8" t="s">
        <v>1600</v>
      </c>
      <c r="AE316" s="8" t="s">
        <v>55</v>
      </c>
      <c r="AF316" s="8" t="s">
        <v>55</v>
      </c>
      <c r="AG316" s="8" t="s">
        <v>63</v>
      </c>
      <c r="AH316" s="8" t="s">
        <v>145</v>
      </c>
      <c r="AI316" s="8" t="s">
        <v>94</v>
      </c>
      <c r="AJ316" s="8" t="s">
        <v>49</v>
      </c>
      <c r="AK316" s="8" t="s">
        <v>95</v>
      </c>
      <c r="AL316" s="8" t="s">
        <v>66</v>
      </c>
      <c r="AM316" s="8" t="s">
        <v>1601</v>
      </c>
      <c r="AN316" s="9" t="s">
        <v>1602</v>
      </c>
      <c r="AO316" s="9" t="s">
        <v>1603</v>
      </c>
      <c r="AP316" s="10" t="s">
        <v>1604</v>
      </c>
      <c r="AQ316" s="10" t="s">
        <v>1605</v>
      </c>
      <c r="AR316" s="10" t="s">
        <v>1606</v>
      </c>
      <c r="AS316" s="12"/>
      <c r="AT316" s="10" t="s">
        <v>1607</v>
      </c>
      <c r="AU316" s="10" t="s">
        <v>1608</v>
      </c>
      <c r="AV316" s="13"/>
    </row>
    <row r="317" ht="16.5" hidden="1" customHeight="1">
      <c r="A317" s="7" t="s">
        <v>1609</v>
      </c>
      <c r="B317" s="7" t="s">
        <v>1290</v>
      </c>
      <c r="C317" s="7"/>
      <c r="D317" s="7"/>
      <c r="E317" s="7"/>
      <c r="F317" s="7">
        <v>6691.0</v>
      </c>
      <c r="G317" s="7"/>
      <c r="H317" s="7" t="s">
        <v>53</v>
      </c>
      <c r="I317" s="7"/>
      <c r="J317" s="7"/>
      <c r="K317" s="8" t="s">
        <v>55</v>
      </c>
      <c r="L317" s="8" t="s">
        <v>55</v>
      </c>
      <c r="M317" s="8"/>
      <c r="N317" s="8" t="s">
        <v>1610</v>
      </c>
      <c r="O317" s="8" t="s">
        <v>217</v>
      </c>
      <c r="P317" s="8" t="s">
        <v>57</v>
      </c>
      <c r="Q317" s="8" t="s">
        <v>1611</v>
      </c>
      <c r="R317" s="8">
        <v>0.98</v>
      </c>
      <c r="S317" s="8" t="s">
        <v>49</v>
      </c>
      <c r="T317" s="8" t="s">
        <v>49</v>
      </c>
      <c r="U317" s="8" t="s">
        <v>49</v>
      </c>
      <c r="V317" s="8" t="s">
        <v>49</v>
      </c>
      <c r="W317" s="8" t="s">
        <v>49</v>
      </c>
      <c r="X317" s="8" t="s">
        <v>49</v>
      </c>
      <c r="Y317" s="8" t="s">
        <v>49</v>
      </c>
      <c r="Z317" s="8" t="s">
        <v>49</v>
      </c>
      <c r="AA317" s="8" t="s">
        <v>231</v>
      </c>
      <c r="AB317" s="8" t="s">
        <v>60</v>
      </c>
      <c r="AC317" s="8" t="s">
        <v>55</v>
      </c>
      <c r="AD317" s="8" t="s">
        <v>1612</v>
      </c>
      <c r="AE317" s="8" t="s">
        <v>55</v>
      </c>
      <c r="AF317" s="8" t="s">
        <v>55</v>
      </c>
      <c r="AG317" s="8" t="s">
        <v>890</v>
      </c>
      <c r="AH317" s="8" t="s">
        <v>55</v>
      </c>
      <c r="AI317" s="8" t="s">
        <v>369</v>
      </c>
      <c r="AJ317" s="8" t="s">
        <v>1613</v>
      </c>
      <c r="AK317" s="8" t="s">
        <v>49</v>
      </c>
      <c r="AL317" s="8" t="s">
        <v>720</v>
      </c>
      <c r="AM317" s="8"/>
      <c r="AN317" s="9" t="s">
        <v>1614</v>
      </c>
      <c r="AO317" s="12" t="s">
        <v>224</v>
      </c>
      <c r="AP317" s="10" t="s">
        <v>1615</v>
      </c>
      <c r="AQ317" s="11"/>
      <c r="AR317" s="11"/>
      <c r="AS317" s="12"/>
      <c r="AT317" s="11"/>
      <c r="AU317" s="11"/>
      <c r="AV317" s="13"/>
    </row>
    <row r="318" ht="16.5" hidden="1" customHeight="1">
      <c r="A318" s="7" t="s">
        <v>1616</v>
      </c>
      <c r="B318" s="7" t="s">
        <v>1290</v>
      </c>
      <c r="C318" s="14" t="s">
        <v>1291</v>
      </c>
      <c r="D318" s="14" t="s">
        <v>920</v>
      </c>
      <c r="E318" s="7"/>
      <c r="F318" s="7">
        <v>6691.0</v>
      </c>
      <c r="G318" s="7">
        <v>6691.0</v>
      </c>
      <c r="H318" s="7" t="s">
        <v>53</v>
      </c>
      <c r="I318" s="7"/>
      <c r="J318" s="7"/>
      <c r="K318" s="8" t="s">
        <v>55</v>
      </c>
      <c r="L318" s="8" t="s">
        <v>55</v>
      </c>
      <c r="M318" s="12" t="s">
        <v>55</v>
      </c>
      <c r="N318" s="8" t="s">
        <v>1610</v>
      </c>
      <c r="O318" s="8" t="s">
        <v>217</v>
      </c>
      <c r="P318" s="8" t="s">
        <v>57</v>
      </c>
      <c r="Q318" s="8" t="s">
        <v>1611</v>
      </c>
      <c r="R318" s="8">
        <v>0.98</v>
      </c>
      <c r="S318" s="8" t="s">
        <v>49</v>
      </c>
      <c r="T318" s="8" t="s">
        <v>49</v>
      </c>
      <c r="U318" s="8" t="s">
        <v>49</v>
      </c>
      <c r="V318" s="8" t="s">
        <v>49</v>
      </c>
      <c r="W318" s="8" t="s">
        <v>49</v>
      </c>
      <c r="X318" s="8" t="s">
        <v>55</v>
      </c>
      <c r="Y318" s="8" t="s">
        <v>55</v>
      </c>
      <c r="Z318" s="8" t="s">
        <v>55</v>
      </c>
      <c r="AA318" s="8" t="s">
        <v>231</v>
      </c>
      <c r="AB318" s="8" t="s">
        <v>60</v>
      </c>
      <c r="AC318" s="8" t="s">
        <v>55</v>
      </c>
      <c r="AD318" s="8" t="s">
        <v>1612</v>
      </c>
      <c r="AE318" s="8" t="s">
        <v>55</v>
      </c>
      <c r="AF318" s="8" t="s">
        <v>55</v>
      </c>
      <c r="AG318" s="8" t="s">
        <v>890</v>
      </c>
      <c r="AH318" s="8" t="s">
        <v>55</v>
      </c>
      <c r="AI318" s="8" t="s">
        <v>369</v>
      </c>
      <c r="AJ318" s="8" t="s">
        <v>1613</v>
      </c>
      <c r="AK318" s="8" t="s">
        <v>55</v>
      </c>
      <c r="AL318" s="8" t="s">
        <v>720</v>
      </c>
      <c r="AM318" s="8"/>
      <c r="AN318" s="9" t="s">
        <v>1614</v>
      </c>
      <c r="AO318" s="12" t="s">
        <v>224</v>
      </c>
      <c r="AP318" s="10" t="s">
        <v>1615</v>
      </c>
      <c r="AQ318" s="11"/>
      <c r="AR318" s="11"/>
      <c r="AS318" s="12"/>
      <c r="AT318" s="11"/>
      <c r="AU318" s="11"/>
      <c r="AV318" s="13"/>
    </row>
    <row r="319" ht="16.5" hidden="1" customHeight="1">
      <c r="A319" s="7" t="s">
        <v>1617</v>
      </c>
      <c r="B319" s="7" t="s">
        <v>1290</v>
      </c>
      <c r="C319" s="14" t="s">
        <v>1291</v>
      </c>
      <c r="D319" s="14" t="s">
        <v>920</v>
      </c>
      <c r="E319" s="7"/>
      <c r="F319" s="7">
        <v>6692.0</v>
      </c>
      <c r="G319" s="7">
        <v>6636.0</v>
      </c>
      <c r="H319" s="7" t="s">
        <v>53</v>
      </c>
      <c r="I319" s="7"/>
      <c r="J319" s="7"/>
      <c r="K319" s="8" t="s">
        <v>55</v>
      </c>
      <c r="L319" s="8" t="s">
        <v>55</v>
      </c>
      <c r="M319" s="12" t="s">
        <v>55</v>
      </c>
      <c r="N319" s="8" t="s">
        <v>1618</v>
      </c>
      <c r="O319" s="8" t="s">
        <v>217</v>
      </c>
      <c r="P319" s="8" t="s">
        <v>57</v>
      </c>
      <c r="Q319" s="8" t="s">
        <v>1611</v>
      </c>
      <c r="R319" s="8">
        <v>0.95</v>
      </c>
      <c r="S319" s="8" t="s">
        <v>49</v>
      </c>
      <c r="T319" s="8" t="s">
        <v>49</v>
      </c>
      <c r="U319" s="8" t="s">
        <v>49</v>
      </c>
      <c r="V319" s="8" t="s">
        <v>49</v>
      </c>
      <c r="W319" s="8" t="s">
        <v>49</v>
      </c>
      <c r="X319" s="8" t="s">
        <v>55</v>
      </c>
      <c r="Y319" s="8" t="s">
        <v>55</v>
      </c>
      <c r="Z319" s="8" t="s">
        <v>55</v>
      </c>
      <c r="AA319" s="8" t="s">
        <v>231</v>
      </c>
      <c r="AB319" s="8" t="s">
        <v>60</v>
      </c>
      <c r="AC319" s="8" t="s">
        <v>55</v>
      </c>
      <c r="AD319" s="8" t="s">
        <v>1612</v>
      </c>
      <c r="AE319" s="8" t="s">
        <v>55</v>
      </c>
      <c r="AF319" s="8" t="s">
        <v>55</v>
      </c>
      <c r="AG319" s="8" t="s">
        <v>890</v>
      </c>
      <c r="AH319" s="8" t="s">
        <v>55</v>
      </c>
      <c r="AI319" s="8" t="s">
        <v>369</v>
      </c>
      <c r="AJ319" s="8" t="s">
        <v>1411</v>
      </c>
      <c r="AK319" s="8" t="s">
        <v>55</v>
      </c>
      <c r="AL319" s="8" t="s">
        <v>720</v>
      </c>
      <c r="AM319" s="8"/>
      <c r="AN319" s="12" t="s">
        <v>224</v>
      </c>
      <c r="AO319" s="9" t="s">
        <v>1619</v>
      </c>
      <c r="AP319" s="10" t="s">
        <v>1615</v>
      </c>
      <c r="AQ319" s="11"/>
      <c r="AR319" s="11"/>
      <c r="AS319" s="12"/>
      <c r="AT319" s="11"/>
      <c r="AU319" s="11"/>
      <c r="AV319" s="13"/>
    </row>
    <row r="320" ht="16.5" hidden="1" customHeight="1">
      <c r="A320" s="7" t="s">
        <v>1620</v>
      </c>
      <c r="B320" s="7" t="s">
        <v>1290</v>
      </c>
      <c r="C320" s="7" t="s">
        <v>1291</v>
      </c>
      <c r="D320" s="7" t="s">
        <v>920</v>
      </c>
      <c r="E320" s="7" t="s">
        <v>227</v>
      </c>
      <c r="F320" s="7">
        <v>6693.0</v>
      </c>
      <c r="G320" s="7"/>
      <c r="H320" s="7" t="s">
        <v>53</v>
      </c>
      <c r="I320" s="7"/>
      <c r="J320" s="7"/>
      <c r="K320" s="8" t="s">
        <v>55</v>
      </c>
      <c r="L320" s="8" t="s">
        <v>55</v>
      </c>
      <c r="M320" s="12" t="s">
        <v>55</v>
      </c>
      <c r="N320" s="8" t="s">
        <v>55</v>
      </c>
      <c r="O320" s="8" t="s">
        <v>55</v>
      </c>
      <c r="P320" s="8" t="s">
        <v>55</v>
      </c>
      <c r="Q320" s="8" t="s">
        <v>49</v>
      </c>
      <c r="R320" s="20" t="s">
        <v>49</v>
      </c>
      <c r="S320" s="8" t="s">
        <v>49</v>
      </c>
      <c r="T320" s="8" t="s">
        <v>49</v>
      </c>
      <c r="U320" s="8" t="s">
        <v>49</v>
      </c>
      <c r="V320" s="8" t="s">
        <v>49</v>
      </c>
      <c r="W320" s="8" t="s">
        <v>49</v>
      </c>
      <c r="X320" s="8" t="s">
        <v>55</v>
      </c>
      <c r="Y320" s="8" t="s">
        <v>55</v>
      </c>
      <c r="Z320" s="8" t="s">
        <v>55</v>
      </c>
      <c r="AA320" s="8" t="s">
        <v>55</v>
      </c>
      <c r="AB320" s="8" t="s">
        <v>55</v>
      </c>
      <c r="AC320" s="8" t="s">
        <v>55</v>
      </c>
      <c r="AD320" s="8" t="s">
        <v>55</v>
      </c>
      <c r="AE320" s="8" t="s">
        <v>55</v>
      </c>
      <c r="AF320" s="8" t="s">
        <v>55</v>
      </c>
      <c r="AG320" s="8" t="s">
        <v>890</v>
      </c>
      <c r="AH320" s="8" t="s">
        <v>55</v>
      </c>
      <c r="AI320" s="8" t="s">
        <v>369</v>
      </c>
      <c r="AJ320" s="8" t="s">
        <v>49</v>
      </c>
      <c r="AK320" s="8" t="s">
        <v>55</v>
      </c>
      <c r="AL320" s="8" t="s">
        <v>720</v>
      </c>
      <c r="AM320" s="8" t="s">
        <v>1293</v>
      </c>
      <c r="AN320" s="9" t="s">
        <v>1621</v>
      </c>
      <c r="AO320" s="9" t="s">
        <v>1622</v>
      </c>
      <c r="AP320" s="10" t="s">
        <v>1296</v>
      </c>
      <c r="AQ320" s="11"/>
      <c r="AR320" s="11"/>
      <c r="AS320" s="12"/>
      <c r="AT320" s="11"/>
      <c r="AU320" s="11"/>
      <c r="AV320" s="13"/>
    </row>
    <row r="321" ht="16.5" hidden="1" customHeight="1">
      <c r="A321" s="7" t="s">
        <v>1623</v>
      </c>
      <c r="B321" s="7" t="s">
        <v>49</v>
      </c>
      <c r="C321" s="7" t="s">
        <v>332</v>
      </c>
      <c r="D321" s="7" t="s">
        <v>1298</v>
      </c>
      <c r="E321" s="7" t="s">
        <v>52</v>
      </c>
      <c r="F321" s="7">
        <v>6694.0</v>
      </c>
      <c r="G321" s="7"/>
      <c r="H321" s="7" t="s">
        <v>53</v>
      </c>
      <c r="I321" s="7"/>
      <c r="J321" s="7"/>
      <c r="K321" s="8" t="s">
        <v>54</v>
      </c>
      <c r="L321" s="8" t="s">
        <v>55</v>
      </c>
      <c r="M321" s="12" t="s">
        <v>55</v>
      </c>
      <c r="N321" s="8" t="s">
        <v>55</v>
      </c>
      <c r="O321" s="8" t="s">
        <v>56</v>
      </c>
      <c r="P321" s="8" t="s">
        <v>57</v>
      </c>
      <c r="Q321" s="8" t="s">
        <v>74</v>
      </c>
      <c r="R321" s="8" t="s">
        <v>49</v>
      </c>
      <c r="S321" s="8" t="s">
        <v>49</v>
      </c>
      <c r="T321" s="8" t="s">
        <v>49</v>
      </c>
      <c r="U321" s="8" t="s">
        <v>49</v>
      </c>
      <c r="V321" s="8" t="s">
        <v>49</v>
      </c>
      <c r="W321" s="8" t="s">
        <v>49</v>
      </c>
      <c r="X321" s="8" t="s">
        <v>55</v>
      </c>
      <c r="Y321" s="8" t="s">
        <v>55</v>
      </c>
      <c r="Z321" s="8" t="s">
        <v>55</v>
      </c>
      <c r="AA321" s="8" t="s">
        <v>59</v>
      </c>
      <c r="AB321" s="8" t="s">
        <v>60</v>
      </c>
      <c r="AC321" s="8" t="s">
        <v>1303</v>
      </c>
      <c r="AD321" s="8" t="s">
        <v>1317</v>
      </c>
      <c r="AE321" s="8" t="s">
        <v>55</v>
      </c>
      <c r="AF321" s="8" t="s">
        <v>55</v>
      </c>
      <c r="AG321" s="8" t="s">
        <v>890</v>
      </c>
      <c r="AH321" s="8" t="s">
        <v>64</v>
      </c>
      <c r="AI321" s="8" t="s">
        <v>94</v>
      </c>
      <c r="AJ321" s="8" t="s">
        <v>49</v>
      </c>
      <c r="AK321" s="8" t="s">
        <v>55</v>
      </c>
      <c r="AL321" s="8" t="s">
        <v>66</v>
      </c>
      <c r="AM321" s="8" t="s">
        <v>1624</v>
      </c>
      <c r="AN321" s="16" t="s">
        <v>1625</v>
      </c>
      <c r="AO321" s="9" t="s">
        <v>1626</v>
      </c>
      <c r="AP321" s="10" t="s">
        <v>1627</v>
      </c>
      <c r="AQ321" s="10" t="s">
        <v>1321</v>
      </c>
      <c r="AR321" s="10" t="s">
        <v>1628</v>
      </c>
      <c r="AS321" s="12"/>
      <c r="AT321" s="10" t="s">
        <v>1323</v>
      </c>
      <c r="AU321" s="11"/>
      <c r="AV321" s="13"/>
    </row>
    <row r="322" ht="16.5" hidden="1" customHeight="1">
      <c r="A322" s="7" t="s">
        <v>1629</v>
      </c>
      <c r="B322" s="7" t="s">
        <v>49</v>
      </c>
      <c r="C322" s="7" t="s">
        <v>50</v>
      </c>
      <c r="D322" s="7" t="s">
        <v>376</v>
      </c>
      <c r="E322" s="7" t="s">
        <v>52</v>
      </c>
      <c r="F322" s="7">
        <v>6695.0</v>
      </c>
      <c r="G322" s="7"/>
      <c r="H322" s="7" t="s">
        <v>53</v>
      </c>
      <c r="I322" s="7"/>
      <c r="J322" s="7"/>
      <c r="K322" s="8" t="s">
        <v>84</v>
      </c>
      <c r="L322" s="8" t="s">
        <v>49</v>
      </c>
      <c r="M322" s="8"/>
      <c r="N322" s="8" t="s">
        <v>85</v>
      </c>
      <c r="O322" s="8" t="s">
        <v>56</v>
      </c>
      <c r="P322" s="8" t="s">
        <v>57</v>
      </c>
      <c r="Q322" s="8" t="s">
        <v>1630</v>
      </c>
      <c r="R322" s="8">
        <v>0.41</v>
      </c>
      <c r="S322" s="8" t="s">
        <v>49</v>
      </c>
      <c r="T322" s="8" t="s">
        <v>49</v>
      </c>
      <c r="U322" s="8" t="s">
        <v>1631</v>
      </c>
      <c r="V322" s="8" t="s">
        <v>1632</v>
      </c>
      <c r="W322" s="8" t="s">
        <v>1536</v>
      </c>
      <c r="X322" s="8" t="s">
        <v>90</v>
      </c>
      <c r="Y322" s="8" t="s">
        <v>1633</v>
      </c>
      <c r="Z322" s="8" t="s">
        <v>92</v>
      </c>
      <c r="AA322" s="8" t="s">
        <v>59</v>
      </c>
      <c r="AB322" s="8" t="s">
        <v>60</v>
      </c>
      <c r="AC322" s="8" t="s">
        <v>348</v>
      </c>
      <c r="AD322" s="8" t="s">
        <v>1634</v>
      </c>
      <c r="AE322" s="8" t="s">
        <v>1635</v>
      </c>
      <c r="AF322" s="8" t="s">
        <v>1636</v>
      </c>
      <c r="AG322" s="8" t="s">
        <v>63</v>
      </c>
      <c r="AH322" s="8" t="s">
        <v>64</v>
      </c>
      <c r="AI322" s="8" t="s">
        <v>112</v>
      </c>
      <c r="AJ322" s="8" t="s">
        <v>49</v>
      </c>
      <c r="AK322" s="8" t="s">
        <v>49</v>
      </c>
      <c r="AL322" s="8" t="s">
        <v>66</v>
      </c>
      <c r="AM322" s="8" t="s">
        <v>1637</v>
      </c>
      <c r="AN322" s="9" t="s">
        <v>1638</v>
      </c>
      <c r="AO322" s="9" t="s">
        <v>1639</v>
      </c>
      <c r="AP322" s="10" t="s">
        <v>1640</v>
      </c>
      <c r="AQ322" s="10" t="s">
        <v>1641</v>
      </c>
      <c r="AR322" s="10" t="s">
        <v>1642</v>
      </c>
      <c r="AS322" s="12"/>
      <c r="AT322" s="10" t="s">
        <v>1643</v>
      </c>
      <c r="AU322" s="10" t="s">
        <v>1644</v>
      </c>
      <c r="AV322" s="13"/>
    </row>
    <row r="323" ht="16.5" hidden="1" customHeight="1">
      <c r="A323" s="7" t="s">
        <v>1645</v>
      </c>
      <c r="B323" s="7" t="s">
        <v>49</v>
      </c>
      <c r="C323" s="7" t="s">
        <v>50</v>
      </c>
      <c r="D323" s="14" t="s">
        <v>344</v>
      </c>
      <c r="E323" s="7" t="s">
        <v>52</v>
      </c>
      <c r="F323" s="7">
        <v>6695.0</v>
      </c>
      <c r="G323" s="7">
        <v>6695.0</v>
      </c>
      <c r="H323" s="7" t="s">
        <v>53</v>
      </c>
      <c r="I323" s="7"/>
      <c r="J323" s="7"/>
      <c r="K323" s="8" t="s">
        <v>84</v>
      </c>
      <c r="L323" s="8" t="s">
        <v>49</v>
      </c>
      <c r="M323" s="8"/>
      <c r="N323" s="8" t="s">
        <v>85</v>
      </c>
      <c r="O323" s="8" t="s">
        <v>56</v>
      </c>
      <c r="P323" s="8" t="s">
        <v>57</v>
      </c>
      <c r="Q323" s="8" t="s">
        <v>1630</v>
      </c>
      <c r="R323" s="8">
        <v>0.41</v>
      </c>
      <c r="S323" s="8" t="s">
        <v>49</v>
      </c>
      <c r="T323" s="8" t="s">
        <v>49</v>
      </c>
      <c r="U323" s="8" t="s">
        <v>1631</v>
      </c>
      <c r="V323" s="8" t="s">
        <v>1632</v>
      </c>
      <c r="W323" s="8" t="s">
        <v>1536</v>
      </c>
      <c r="X323" s="8" t="s">
        <v>90</v>
      </c>
      <c r="Y323" s="8" t="s">
        <v>1633</v>
      </c>
      <c r="Z323" s="8" t="s">
        <v>92</v>
      </c>
      <c r="AA323" s="8" t="s">
        <v>59</v>
      </c>
      <c r="AB323" s="8" t="s">
        <v>60</v>
      </c>
      <c r="AC323" s="8" t="s">
        <v>348</v>
      </c>
      <c r="AD323" s="8" t="s">
        <v>1634</v>
      </c>
      <c r="AE323" s="8" t="s">
        <v>1635</v>
      </c>
      <c r="AF323" s="8" t="s">
        <v>1636</v>
      </c>
      <c r="AG323" s="8" t="s">
        <v>63</v>
      </c>
      <c r="AH323" s="8" t="s">
        <v>64</v>
      </c>
      <c r="AI323" s="8" t="s">
        <v>112</v>
      </c>
      <c r="AJ323" s="8" t="s">
        <v>49</v>
      </c>
      <c r="AK323" s="8" t="s">
        <v>95</v>
      </c>
      <c r="AL323" s="8" t="s">
        <v>66</v>
      </c>
      <c r="AM323" s="8" t="s">
        <v>1637</v>
      </c>
      <c r="AN323" s="16" t="s">
        <v>1638</v>
      </c>
      <c r="AO323" s="9" t="s">
        <v>1639</v>
      </c>
      <c r="AP323" s="10" t="s">
        <v>1640</v>
      </c>
      <c r="AQ323" s="10" t="s">
        <v>1641</v>
      </c>
      <c r="AR323" s="10" t="s">
        <v>1642</v>
      </c>
      <c r="AS323" s="12"/>
      <c r="AT323" s="10" t="s">
        <v>1643</v>
      </c>
      <c r="AU323" s="10" t="s">
        <v>1644</v>
      </c>
      <c r="AV323" s="13"/>
    </row>
    <row r="324" ht="16.5" hidden="1" customHeight="1">
      <c r="A324" s="7" t="s">
        <v>1646</v>
      </c>
      <c r="B324" s="14" t="s">
        <v>49</v>
      </c>
      <c r="C324" s="14" t="s">
        <v>50</v>
      </c>
      <c r="D324" s="14" t="s">
        <v>344</v>
      </c>
      <c r="E324" s="7"/>
      <c r="F324" s="7">
        <v>6696.0</v>
      </c>
      <c r="G324" s="7">
        <v>6695.0</v>
      </c>
      <c r="H324" s="7" t="s">
        <v>53</v>
      </c>
      <c r="I324" s="7"/>
      <c r="J324" s="7"/>
      <c r="K324" s="8" t="s">
        <v>84</v>
      </c>
      <c r="L324" s="8" t="s">
        <v>49</v>
      </c>
      <c r="M324" s="8"/>
      <c r="N324" s="8" t="s">
        <v>85</v>
      </c>
      <c r="O324" s="8" t="s">
        <v>56</v>
      </c>
      <c r="P324" s="8" t="s">
        <v>57</v>
      </c>
      <c r="Q324" s="8" t="s">
        <v>1630</v>
      </c>
      <c r="R324" s="8">
        <v>0.41</v>
      </c>
      <c r="S324" s="8" t="s">
        <v>49</v>
      </c>
      <c r="T324" s="8" t="s">
        <v>49</v>
      </c>
      <c r="U324" s="8" t="s">
        <v>1631</v>
      </c>
      <c r="V324" s="8" t="s">
        <v>1632</v>
      </c>
      <c r="W324" s="8" t="s">
        <v>1536</v>
      </c>
      <c r="X324" s="8" t="s">
        <v>90</v>
      </c>
      <c r="Y324" s="8" t="s">
        <v>1633</v>
      </c>
      <c r="Z324" s="8" t="s">
        <v>92</v>
      </c>
      <c r="AA324" s="8" t="s">
        <v>59</v>
      </c>
      <c r="AB324" s="8" t="s">
        <v>60</v>
      </c>
      <c r="AC324" s="8" t="s">
        <v>348</v>
      </c>
      <c r="AD324" s="8" t="s">
        <v>1634</v>
      </c>
      <c r="AE324" s="8" t="s">
        <v>1635</v>
      </c>
      <c r="AF324" s="8" t="s">
        <v>1636</v>
      </c>
      <c r="AG324" s="8" t="s">
        <v>63</v>
      </c>
      <c r="AH324" s="8" t="s">
        <v>64</v>
      </c>
      <c r="AI324" s="8" t="s">
        <v>94</v>
      </c>
      <c r="AJ324" s="8" t="s">
        <v>49</v>
      </c>
      <c r="AK324" s="8" t="s">
        <v>95</v>
      </c>
      <c r="AL324" s="8" t="s">
        <v>66</v>
      </c>
      <c r="AM324" s="8" t="s">
        <v>1637</v>
      </c>
      <c r="AN324" s="9" t="s">
        <v>1647</v>
      </c>
      <c r="AO324" s="9" t="s">
        <v>1648</v>
      </c>
      <c r="AP324" s="10" t="s">
        <v>1640</v>
      </c>
      <c r="AQ324" s="10" t="s">
        <v>1641</v>
      </c>
      <c r="AR324" s="10" t="s">
        <v>1642</v>
      </c>
      <c r="AS324" s="12"/>
      <c r="AT324" s="10" t="s">
        <v>1643</v>
      </c>
      <c r="AU324" s="10" t="s">
        <v>1644</v>
      </c>
      <c r="AV324" s="15">
        <v>46315.0</v>
      </c>
    </row>
    <row r="325" ht="16.5" hidden="1" customHeight="1">
      <c r="A325" s="7" t="s">
        <v>1649</v>
      </c>
      <c r="B325" s="7" t="s">
        <v>1290</v>
      </c>
      <c r="C325" s="7" t="s">
        <v>1291</v>
      </c>
      <c r="D325" s="7" t="s">
        <v>920</v>
      </c>
      <c r="E325" s="7" t="s">
        <v>227</v>
      </c>
      <c r="F325" s="7">
        <v>6697.0</v>
      </c>
      <c r="G325" s="7"/>
      <c r="H325" s="7" t="s">
        <v>53</v>
      </c>
      <c r="I325" s="7"/>
      <c r="J325" s="7"/>
      <c r="K325" s="8" t="s">
        <v>55</v>
      </c>
      <c r="L325" s="8" t="s">
        <v>55</v>
      </c>
      <c r="M325" s="8"/>
      <c r="N325" s="8" t="s">
        <v>55</v>
      </c>
      <c r="O325" s="8" t="s">
        <v>55</v>
      </c>
      <c r="P325" s="8" t="s">
        <v>55</v>
      </c>
      <c r="Q325" s="8" t="s">
        <v>49</v>
      </c>
      <c r="R325" s="8" t="s">
        <v>49</v>
      </c>
      <c r="S325" s="8" t="s">
        <v>49</v>
      </c>
      <c r="T325" s="8" t="s">
        <v>49</v>
      </c>
      <c r="U325" s="8" t="s">
        <v>49</v>
      </c>
      <c r="V325" s="8" t="s">
        <v>49</v>
      </c>
      <c r="W325" s="8" t="s">
        <v>49</v>
      </c>
      <c r="X325" s="8" t="s">
        <v>49</v>
      </c>
      <c r="Y325" s="8" t="s">
        <v>49</v>
      </c>
      <c r="Z325" s="8" t="s">
        <v>49</v>
      </c>
      <c r="AA325" s="8" t="s">
        <v>55</v>
      </c>
      <c r="AB325" s="8" t="s">
        <v>55</v>
      </c>
      <c r="AC325" s="8" t="s">
        <v>55</v>
      </c>
      <c r="AD325" s="8" t="s">
        <v>1650</v>
      </c>
      <c r="AE325" s="8" t="s">
        <v>55</v>
      </c>
      <c r="AF325" s="8" t="s">
        <v>55</v>
      </c>
      <c r="AG325" s="8" t="s">
        <v>890</v>
      </c>
      <c r="AH325" s="8" t="s">
        <v>55</v>
      </c>
      <c r="AI325" s="8" t="s">
        <v>65</v>
      </c>
      <c r="AJ325" s="8" t="s">
        <v>49</v>
      </c>
      <c r="AK325" s="8" t="s">
        <v>49</v>
      </c>
      <c r="AL325" s="8" t="s">
        <v>720</v>
      </c>
      <c r="AM325" s="8"/>
      <c r="AN325" s="9" t="s">
        <v>1651</v>
      </c>
      <c r="AO325" s="12" t="s">
        <v>224</v>
      </c>
      <c r="AP325" s="10" t="s">
        <v>1296</v>
      </c>
      <c r="AQ325" s="11"/>
      <c r="AR325" s="11"/>
      <c r="AS325" s="12"/>
      <c r="AT325" s="11"/>
      <c r="AU325" s="11"/>
      <c r="AV325" s="13"/>
    </row>
    <row r="326" ht="16.5" hidden="1" customHeight="1">
      <c r="A326" s="7" t="s">
        <v>1652</v>
      </c>
      <c r="B326" s="7" t="s">
        <v>1290</v>
      </c>
      <c r="C326" s="7" t="s">
        <v>1291</v>
      </c>
      <c r="D326" s="7" t="s">
        <v>920</v>
      </c>
      <c r="E326" s="7" t="s">
        <v>227</v>
      </c>
      <c r="F326" s="7">
        <v>6697.0</v>
      </c>
      <c r="G326" s="7">
        <v>6697.0</v>
      </c>
      <c r="H326" s="7" t="s">
        <v>53</v>
      </c>
      <c r="I326" s="7"/>
      <c r="J326" s="7"/>
      <c r="K326" s="8" t="s">
        <v>55</v>
      </c>
      <c r="L326" s="8" t="s">
        <v>55</v>
      </c>
      <c r="M326" s="12" t="s">
        <v>55</v>
      </c>
      <c r="N326" s="8" t="s">
        <v>55</v>
      </c>
      <c r="O326" s="8" t="s">
        <v>55</v>
      </c>
      <c r="P326" s="8" t="s">
        <v>55</v>
      </c>
      <c r="Q326" s="8" t="s">
        <v>49</v>
      </c>
      <c r="R326" s="8" t="s">
        <v>49</v>
      </c>
      <c r="S326" s="8" t="s">
        <v>49</v>
      </c>
      <c r="T326" s="8" t="s">
        <v>49</v>
      </c>
      <c r="U326" s="8" t="s">
        <v>49</v>
      </c>
      <c r="V326" s="8" t="s">
        <v>49</v>
      </c>
      <c r="W326" s="8" t="s">
        <v>49</v>
      </c>
      <c r="X326" s="8" t="s">
        <v>55</v>
      </c>
      <c r="Y326" s="8" t="s">
        <v>55</v>
      </c>
      <c r="Z326" s="8" t="s">
        <v>55</v>
      </c>
      <c r="AA326" s="8" t="s">
        <v>55</v>
      </c>
      <c r="AB326" s="8" t="s">
        <v>55</v>
      </c>
      <c r="AC326" s="8" t="s">
        <v>55</v>
      </c>
      <c r="AD326" s="8" t="s">
        <v>1650</v>
      </c>
      <c r="AE326" s="8" t="s">
        <v>55</v>
      </c>
      <c r="AF326" s="8" t="s">
        <v>55</v>
      </c>
      <c r="AG326" s="8" t="s">
        <v>890</v>
      </c>
      <c r="AH326" s="8" t="s">
        <v>55</v>
      </c>
      <c r="AI326" s="8" t="s">
        <v>65</v>
      </c>
      <c r="AJ326" s="8" t="s">
        <v>49</v>
      </c>
      <c r="AK326" s="8" t="s">
        <v>55</v>
      </c>
      <c r="AL326" s="8" t="s">
        <v>720</v>
      </c>
      <c r="AM326" s="8"/>
      <c r="AN326" s="16" t="s">
        <v>1651</v>
      </c>
      <c r="AO326" s="12" t="s">
        <v>224</v>
      </c>
      <c r="AP326" s="10" t="s">
        <v>1296</v>
      </c>
      <c r="AQ326" s="11"/>
      <c r="AR326" s="11"/>
      <c r="AS326" s="12"/>
      <c r="AT326" s="11"/>
      <c r="AU326" s="11"/>
      <c r="AV326" s="13"/>
    </row>
    <row r="327" ht="16.5" hidden="1" customHeight="1">
      <c r="A327" s="7" t="s">
        <v>1653</v>
      </c>
      <c r="B327" s="7" t="s">
        <v>1290</v>
      </c>
      <c r="C327" s="14" t="s">
        <v>1291</v>
      </c>
      <c r="D327" s="14" t="s">
        <v>920</v>
      </c>
      <c r="E327" s="7"/>
      <c r="F327" s="7">
        <v>6698.0</v>
      </c>
      <c r="G327" s="7">
        <v>6697.0</v>
      </c>
      <c r="H327" s="7" t="s">
        <v>53</v>
      </c>
      <c r="I327" s="7"/>
      <c r="J327" s="7"/>
      <c r="K327" s="8" t="s">
        <v>55</v>
      </c>
      <c r="L327" s="8" t="s">
        <v>55</v>
      </c>
      <c r="M327" s="12" t="s">
        <v>55</v>
      </c>
      <c r="N327" s="8" t="s">
        <v>55</v>
      </c>
      <c r="O327" s="8" t="s">
        <v>55</v>
      </c>
      <c r="P327" s="8" t="s">
        <v>55</v>
      </c>
      <c r="Q327" s="8" t="s">
        <v>49</v>
      </c>
      <c r="R327" s="8" t="s">
        <v>49</v>
      </c>
      <c r="S327" s="8" t="s">
        <v>49</v>
      </c>
      <c r="T327" s="8" t="s">
        <v>49</v>
      </c>
      <c r="U327" s="8" t="s">
        <v>49</v>
      </c>
      <c r="V327" s="8" t="s">
        <v>49</v>
      </c>
      <c r="W327" s="8" t="s">
        <v>49</v>
      </c>
      <c r="X327" s="8" t="s">
        <v>55</v>
      </c>
      <c r="Y327" s="8" t="s">
        <v>55</v>
      </c>
      <c r="Z327" s="8" t="s">
        <v>55</v>
      </c>
      <c r="AA327" s="8" t="s">
        <v>55</v>
      </c>
      <c r="AB327" s="8" t="s">
        <v>55</v>
      </c>
      <c r="AC327" s="8" t="s">
        <v>55</v>
      </c>
      <c r="AD327" s="8" t="s">
        <v>1650</v>
      </c>
      <c r="AE327" s="8" t="s">
        <v>55</v>
      </c>
      <c r="AF327" s="8" t="s">
        <v>55</v>
      </c>
      <c r="AG327" s="8" t="s">
        <v>890</v>
      </c>
      <c r="AH327" s="8" t="s">
        <v>55</v>
      </c>
      <c r="AI327" s="8" t="s">
        <v>463</v>
      </c>
      <c r="AJ327" s="8" t="s">
        <v>49</v>
      </c>
      <c r="AK327" s="8" t="s">
        <v>55</v>
      </c>
      <c r="AL327" s="8" t="s">
        <v>720</v>
      </c>
      <c r="AM327" s="8"/>
      <c r="AN327" s="9" t="s">
        <v>1654</v>
      </c>
      <c r="AO327" s="12" t="s">
        <v>224</v>
      </c>
      <c r="AP327" s="10" t="s">
        <v>1296</v>
      </c>
      <c r="AQ327" s="11"/>
      <c r="AR327" s="11"/>
      <c r="AS327" s="12"/>
      <c r="AT327" s="11"/>
      <c r="AU327" s="11"/>
      <c r="AV327" s="15">
        <v>46315.0</v>
      </c>
    </row>
    <row r="328" ht="16.5" hidden="1" customHeight="1">
      <c r="A328" s="7" t="s">
        <v>1655</v>
      </c>
      <c r="B328" s="7" t="s">
        <v>1290</v>
      </c>
      <c r="C328" s="7" t="s">
        <v>1291</v>
      </c>
      <c r="D328" s="7" t="s">
        <v>926</v>
      </c>
      <c r="E328" s="7" t="s">
        <v>227</v>
      </c>
      <c r="F328" s="7">
        <v>6699.0</v>
      </c>
      <c r="G328" s="7"/>
      <c r="H328" s="7" t="s">
        <v>53</v>
      </c>
      <c r="I328" s="7"/>
      <c r="J328" s="7"/>
      <c r="K328" s="8" t="s">
        <v>84</v>
      </c>
      <c r="L328" s="8" t="s">
        <v>1403</v>
      </c>
      <c r="M328" s="8"/>
      <c r="N328" s="8" t="s">
        <v>85</v>
      </c>
      <c r="O328" s="8" t="s">
        <v>217</v>
      </c>
      <c r="P328" s="8" t="s">
        <v>57</v>
      </c>
      <c r="Q328" s="8" t="s">
        <v>1404</v>
      </c>
      <c r="R328" s="20">
        <v>0.96</v>
      </c>
      <c r="S328" s="8" t="s">
        <v>1405</v>
      </c>
      <c r="T328" s="8" t="s">
        <v>1406</v>
      </c>
      <c r="U328" s="8" t="s">
        <v>1656</v>
      </c>
      <c r="V328" s="8" t="s">
        <v>1657</v>
      </c>
      <c r="W328" s="8" t="s">
        <v>1409</v>
      </c>
      <c r="X328" s="8" t="s">
        <v>108</v>
      </c>
      <c r="Y328" s="8" t="s">
        <v>161</v>
      </c>
      <c r="Z328" s="8" t="s">
        <v>92</v>
      </c>
      <c r="AA328" s="8" t="s">
        <v>231</v>
      </c>
      <c r="AB328" s="8" t="s">
        <v>60</v>
      </c>
      <c r="AC328" s="8" t="s">
        <v>1658</v>
      </c>
      <c r="AD328" s="8" t="s">
        <v>1659</v>
      </c>
      <c r="AE328" s="8" t="s">
        <v>49</v>
      </c>
      <c r="AF328" s="8" t="s">
        <v>49</v>
      </c>
      <c r="AG328" s="8" t="s">
        <v>63</v>
      </c>
      <c r="AH328" s="8" t="s">
        <v>145</v>
      </c>
      <c r="AI328" s="8" t="s">
        <v>65</v>
      </c>
      <c r="AJ328" s="8" t="s">
        <v>1411</v>
      </c>
      <c r="AK328" s="8" t="s">
        <v>49</v>
      </c>
      <c r="AL328" s="8" t="s">
        <v>720</v>
      </c>
      <c r="AM328" s="8" t="s">
        <v>1412</v>
      </c>
      <c r="AN328" s="9" t="s">
        <v>1660</v>
      </c>
      <c r="AO328" s="9" t="s">
        <v>1661</v>
      </c>
      <c r="AP328" s="10" t="s">
        <v>1296</v>
      </c>
      <c r="AQ328" s="10" t="s">
        <v>1662</v>
      </c>
      <c r="AR328" s="11"/>
      <c r="AS328" s="12"/>
      <c r="AT328" s="10" t="s">
        <v>1663</v>
      </c>
      <c r="AU328" s="10" t="s">
        <v>1664</v>
      </c>
      <c r="AV328" s="13"/>
    </row>
    <row r="329" ht="16.5" hidden="1" customHeight="1">
      <c r="A329" s="7" t="s">
        <v>1665</v>
      </c>
      <c r="B329" s="7" t="s">
        <v>1290</v>
      </c>
      <c r="C329" s="7" t="s">
        <v>1291</v>
      </c>
      <c r="D329" s="7" t="s">
        <v>926</v>
      </c>
      <c r="E329" s="7" t="s">
        <v>227</v>
      </c>
      <c r="F329" s="7">
        <v>6699.0</v>
      </c>
      <c r="G329" s="7">
        <v>6699.0</v>
      </c>
      <c r="H329" s="7" t="s">
        <v>53</v>
      </c>
      <c r="I329" s="7"/>
      <c r="J329" s="7"/>
      <c r="K329" s="8" t="s">
        <v>84</v>
      </c>
      <c r="L329" s="8" t="s">
        <v>1403</v>
      </c>
      <c r="M329" s="8"/>
      <c r="N329" s="8" t="s">
        <v>85</v>
      </c>
      <c r="O329" s="8" t="s">
        <v>217</v>
      </c>
      <c r="P329" s="8" t="s">
        <v>57</v>
      </c>
      <c r="Q329" s="8" t="s">
        <v>1404</v>
      </c>
      <c r="R329" s="20">
        <v>0.9</v>
      </c>
      <c r="S329" s="8" t="s">
        <v>1405</v>
      </c>
      <c r="T329" s="8" t="s">
        <v>1406</v>
      </c>
      <c r="U329" s="8" t="s">
        <v>1656</v>
      </c>
      <c r="V329" s="8" t="s">
        <v>1657</v>
      </c>
      <c r="W329" s="8" t="s">
        <v>1409</v>
      </c>
      <c r="X329" s="8" t="s">
        <v>108</v>
      </c>
      <c r="Y329" s="8" t="s">
        <v>161</v>
      </c>
      <c r="Z329" s="8" t="s">
        <v>92</v>
      </c>
      <c r="AA329" s="8" t="s">
        <v>231</v>
      </c>
      <c r="AB329" s="8" t="s">
        <v>60</v>
      </c>
      <c r="AC329" s="8" t="s">
        <v>1658</v>
      </c>
      <c r="AD329" s="8" t="s">
        <v>1659</v>
      </c>
      <c r="AE329" s="8" t="s">
        <v>49</v>
      </c>
      <c r="AF329" s="8" t="s">
        <v>49</v>
      </c>
      <c r="AG329" s="8" t="s">
        <v>63</v>
      </c>
      <c r="AH329" s="8" t="s">
        <v>145</v>
      </c>
      <c r="AI329" s="8" t="s">
        <v>65</v>
      </c>
      <c r="AJ329" s="8" t="s">
        <v>1411</v>
      </c>
      <c r="AK329" s="8" t="s">
        <v>1422</v>
      </c>
      <c r="AL329" s="8" t="s">
        <v>720</v>
      </c>
      <c r="AM329" s="8" t="s">
        <v>1412</v>
      </c>
      <c r="AN329" s="9" t="s">
        <v>1660</v>
      </c>
      <c r="AO329" s="9" t="s">
        <v>1661</v>
      </c>
      <c r="AP329" s="10" t="s">
        <v>1296</v>
      </c>
      <c r="AQ329" s="10" t="s">
        <v>1662</v>
      </c>
      <c r="AR329" s="11"/>
      <c r="AS329" s="12"/>
      <c r="AT329" s="10" t="s">
        <v>1663</v>
      </c>
      <c r="AU329" s="10" t="s">
        <v>1664</v>
      </c>
      <c r="AV329" s="13"/>
    </row>
    <row r="330" ht="16.5" hidden="1" customHeight="1">
      <c r="A330" s="7" t="s">
        <v>1666</v>
      </c>
      <c r="B330" s="7" t="s">
        <v>1290</v>
      </c>
      <c r="C330" s="14" t="s">
        <v>1291</v>
      </c>
      <c r="D330" s="14" t="s">
        <v>926</v>
      </c>
      <c r="E330" s="7"/>
      <c r="F330" s="7">
        <v>6700.0</v>
      </c>
      <c r="G330" s="7">
        <v>6699.0</v>
      </c>
      <c r="H330" s="7" t="s">
        <v>53</v>
      </c>
      <c r="I330" s="7"/>
      <c r="J330" s="7"/>
      <c r="K330" s="8" t="s">
        <v>84</v>
      </c>
      <c r="L330" s="8" t="s">
        <v>1403</v>
      </c>
      <c r="M330" s="8"/>
      <c r="N330" s="8" t="s">
        <v>85</v>
      </c>
      <c r="O330" s="8" t="s">
        <v>217</v>
      </c>
      <c r="P330" s="8" t="s">
        <v>57</v>
      </c>
      <c r="Q330" s="8" t="s">
        <v>1404</v>
      </c>
      <c r="R330" s="20">
        <v>0.9</v>
      </c>
      <c r="S330" s="8" t="s">
        <v>1405</v>
      </c>
      <c r="T330" s="8" t="s">
        <v>1406</v>
      </c>
      <c r="U330" s="8" t="s">
        <v>1656</v>
      </c>
      <c r="V330" s="8" t="s">
        <v>1657</v>
      </c>
      <c r="W330" s="8" t="s">
        <v>1409</v>
      </c>
      <c r="X330" s="8" t="s">
        <v>108</v>
      </c>
      <c r="Y330" s="8" t="s">
        <v>161</v>
      </c>
      <c r="Z330" s="8" t="s">
        <v>92</v>
      </c>
      <c r="AA330" s="8" t="s">
        <v>231</v>
      </c>
      <c r="AB330" s="8" t="s">
        <v>60</v>
      </c>
      <c r="AC330" s="8" t="s">
        <v>1658</v>
      </c>
      <c r="AD330" s="8" t="s">
        <v>1659</v>
      </c>
      <c r="AE330" s="8" t="s">
        <v>49</v>
      </c>
      <c r="AF330" s="8" t="s">
        <v>49</v>
      </c>
      <c r="AG330" s="8" t="s">
        <v>63</v>
      </c>
      <c r="AH330" s="8" t="s">
        <v>145</v>
      </c>
      <c r="AI330" s="8" t="s">
        <v>463</v>
      </c>
      <c r="AJ330" s="8" t="s">
        <v>1411</v>
      </c>
      <c r="AK330" s="8" t="s">
        <v>1422</v>
      </c>
      <c r="AL330" s="8" t="s">
        <v>720</v>
      </c>
      <c r="AM330" s="8" t="s">
        <v>1667</v>
      </c>
      <c r="AN330" s="9" t="s">
        <v>1668</v>
      </c>
      <c r="AO330" s="9" t="s">
        <v>1669</v>
      </c>
      <c r="AP330" s="10" t="s">
        <v>1296</v>
      </c>
      <c r="AQ330" s="10" t="s">
        <v>1662</v>
      </c>
      <c r="AR330" s="11"/>
      <c r="AS330" s="12"/>
      <c r="AT330" s="10" t="s">
        <v>1663</v>
      </c>
      <c r="AU330" s="10" t="s">
        <v>1664</v>
      </c>
      <c r="AV330" s="13"/>
    </row>
    <row r="331" ht="16.5" hidden="1" customHeight="1">
      <c r="A331" s="7" t="s">
        <v>1670</v>
      </c>
      <c r="B331" s="7" t="s">
        <v>49</v>
      </c>
      <c r="C331" s="7" t="s">
        <v>213</v>
      </c>
      <c r="D331" s="7" t="s">
        <v>1144</v>
      </c>
      <c r="E331" s="7" t="s">
        <v>227</v>
      </c>
      <c r="F331" s="7">
        <v>6701.0</v>
      </c>
      <c r="G331" s="7"/>
      <c r="H331" s="7" t="s">
        <v>53</v>
      </c>
      <c r="I331" s="7"/>
      <c r="J331" s="7"/>
      <c r="K331" s="8" t="s">
        <v>633</v>
      </c>
      <c r="L331" s="8" t="s">
        <v>55</v>
      </c>
      <c r="M331" s="8"/>
      <c r="N331" s="8" t="s">
        <v>55</v>
      </c>
      <c r="O331" s="8" t="s">
        <v>228</v>
      </c>
      <c r="P331" s="8" t="s">
        <v>229</v>
      </c>
      <c r="Q331" s="8" t="s">
        <v>1145</v>
      </c>
      <c r="R331" s="8" t="s">
        <v>49</v>
      </c>
      <c r="S331" s="8" t="s">
        <v>49</v>
      </c>
      <c r="T331" s="8" t="s">
        <v>49</v>
      </c>
      <c r="U331" s="8" t="s">
        <v>49</v>
      </c>
      <c r="V331" s="8" t="s">
        <v>49</v>
      </c>
      <c r="W331" s="8" t="s">
        <v>49</v>
      </c>
      <c r="X331" s="8" t="s">
        <v>49</v>
      </c>
      <c r="Y331" s="8" t="s">
        <v>49</v>
      </c>
      <c r="Z331" s="8" t="s">
        <v>49</v>
      </c>
      <c r="AA331" s="8" t="s">
        <v>231</v>
      </c>
      <c r="AB331" s="8" t="s">
        <v>887</v>
      </c>
      <c r="AC331" s="8" t="s">
        <v>1144</v>
      </c>
      <c r="AD331" s="8" t="s">
        <v>1671</v>
      </c>
      <c r="AE331" s="8" t="s">
        <v>55</v>
      </c>
      <c r="AF331" s="8" t="s">
        <v>55</v>
      </c>
      <c r="AG331" s="8" t="s">
        <v>890</v>
      </c>
      <c r="AH331" s="8" t="s">
        <v>55</v>
      </c>
      <c r="AI331" s="8" t="s">
        <v>112</v>
      </c>
      <c r="AJ331" s="8" t="s">
        <v>49</v>
      </c>
      <c r="AK331" s="8" t="s">
        <v>49</v>
      </c>
      <c r="AL331" s="8" t="s">
        <v>66</v>
      </c>
      <c r="AM331" s="8" t="s">
        <v>1672</v>
      </c>
      <c r="AN331" s="9" t="s">
        <v>1673</v>
      </c>
      <c r="AO331" s="9" t="s">
        <v>1674</v>
      </c>
      <c r="AP331" s="18" t="s">
        <v>1675</v>
      </c>
      <c r="AQ331" s="11"/>
      <c r="AR331" s="10" t="s">
        <v>1676</v>
      </c>
      <c r="AS331" s="12"/>
      <c r="AT331" s="10" t="s">
        <v>1677</v>
      </c>
      <c r="AU331" s="11"/>
      <c r="AV331" s="13"/>
    </row>
    <row r="332" ht="16.5" customHeight="1">
      <c r="A332" s="7" t="s">
        <v>1678</v>
      </c>
      <c r="B332" s="7" t="s">
        <v>49</v>
      </c>
      <c r="C332" s="7" t="s">
        <v>213</v>
      </c>
      <c r="D332" s="7" t="s">
        <v>1144</v>
      </c>
      <c r="E332" s="7" t="s">
        <v>227</v>
      </c>
      <c r="F332" s="7">
        <v>6701.0</v>
      </c>
      <c r="G332" s="7">
        <v>6701.0</v>
      </c>
      <c r="H332" s="14" t="s">
        <v>1134</v>
      </c>
      <c r="I332" s="7"/>
      <c r="J332" s="7"/>
      <c r="K332" s="8" t="s">
        <v>633</v>
      </c>
      <c r="L332" s="8" t="s">
        <v>55</v>
      </c>
      <c r="M332" s="12" t="s">
        <v>55</v>
      </c>
      <c r="N332" s="8" t="s">
        <v>55</v>
      </c>
      <c r="O332" s="8" t="s">
        <v>228</v>
      </c>
      <c r="P332" s="8" t="s">
        <v>229</v>
      </c>
      <c r="Q332" s="8" t="s">
        <v>1154</v>
      </c>
      <c r="R332" s="8" t="s">
        <v>49</v>
      </c>
      <c r="S332" s="8" t="s">
        <v>49</v>
      </c>
      <c r="T332" s="8" t="s">
        <v>49</v>
      </c>
      <c r="U332" s="8" t="s">
        <v>49</v>
      </c>
      <c r="V332" s="8" t="s">
        <v>49</v>
      </c>
      <c r="W332" s="8" t="s">
        <v>49</v>
      </c>
      <c r="X332" s="8" t="s">
        <v>55</v>
      </c>
      <c r="Y332" s="8" t="s">
        <v>55</v>
      </c>
      <c r="Z332" s="8" t="s">
        <v>55</v>
      </c>
      <c r="AA332" s="8" t="s">
        <v>231</v>
      </c>
      <c r="AB332" s="8" t="s">
        <v>887</v>
      </c>
      <c r="AC332" s="8" t="s">
        <v>1144</v>
      </c>
      <c r="AD332" s="8" t="s">
        <v>1671</v>
      </c>
      <c r="AE332" s="8" t="s">
        <v>55</v>
      </c>
      <c r="AF332" s="8" t="s">
        <v>55</v>
      </c>
      <c r="AG332" s="8" t="s">
        <v>890</v>
      </c>
      <c r="AH332" s="8" t="s">
        <v>55</v>
      </c>
      <c r="AI332" s="8" t="s">
        <v>112</v>
      </c>
      <c r="AJ332" s="8" t="s">
        <v>49</v>
      </c>
      <c r="AK332" s="8" t="s">
        <v>55</v>
      </c>
      <c r="AL332" s="8" t="s">
        <v>66</v>
      </c>
      <c r="AM332" s="8" t="s">
        <v>1672</v>
      </c>
      <c r="AN332" s="9" t="s">
        <v>1673</v>
      </c>
      <c r="AO332" s="9" t="s">
        <v>1674</v>
      </c>
      <c r="AP332" s="17" t="s">
        <v>1670</v>
      </c>
      <c r="AQ332" s="11"/>
      <c r="AR332" s="10" t="s">
        <v>1676</v>
      </c>
      <c r="AS332" s="12"/>
      <c r="AT332" s="10" t="s">
        <v>1677</v>
      </c>
      <c r="AU332" s="11"/>
      <c r="AV332" s="13"/>
    </row>
    <row r="333" ht="16.5" customHeight="1">
      <c r="A333" s="7" t="s">
        <v>1679</v>
      </c>
      <c r="B333" s="14" t="s">
        <v>49</v>
      </c>
      <c r="C333" s="14" t="s">
        <v>213</v>
      </c>
      <c r="D333" s="14" t="s">
        <v>1144</v>
      </c>
      <c r="E333" s="7"/>
      <c r="F333" s="7">
        <v>6702.0</v>
      </c>
      <c r="G333" s="7">
        <v>6701.0</v>
      </c>
      <c r="H333" s="14" t="s">
        <v>1134</v>
      </c>
      <c r="I333" s="7"/>
      <c r="J333" s="7"/>
      <c r="K333" s="8" t="s">
        <v>633</v>
      </c>
      <c r="L333" s="8" t="s">
        <v>55</v>
      </c>
      <c r="M333" s="12" t="s">
        <v>55</v>
      </c>
      <c r="N333" s="8" t="s">
        <v>55</v>
      </c>
      <c r="O333" s="8" t="s">
        <v>228</v>
      </c>
      <c r="P333" s="8" t="s">
        <v>229</v>
      </c>
      <c r="Q333" s="8" t="s">
        <v>1154</v>
      </c>
      <c r="R333" s="8" t="s">
        <v>49</v>
      </c>
      <c r="S333" s="8" t="s">
        <v>49</v>
      </c>
      <c r="T333" s="8" t="s">
        <v>49</v>
      </c>
      <c r="U333" s="8" t="s">
        <v>49</v>
      </c>
      <c r="V333" s="8" t="s">
        <v>49</v>
      </c>
      <c r="W333" s="8" t="s">
        <v>49</v>
      </c>
      <c r="X333" s="8" t="s">
        <v>55</v>
      </c>
      <c r="Y333" s="8" t="s">
        <v>55</v>
      </c>
      <c r="Z333" s="8" t="s">
        <v>55</v>
      </c>
      <c r="AA333" s="8" t="s">
        <v>231</v>
      </c>
      <c r="AB333" s="8" t="s">
        <v>887</v>
      </c>
      <c r="AC333" s="8" t="s">
        <v>1144</v>
      </c>
      <c r="AD333" s="8" t="s">
        <v>1671</v>
      </c>
      <c r="AE333" s="8" t="s">
        <v>55</v>
      </c>
      <c r="AF333" s="8" t="s">
        <v>55</v>
      </c>
      <c r="AG333" s="8" t="s">
        <v>890</v>
      </c>
      <c r="AH333" s="8" t="s">
        <v>55</v>
      </c>
      <c r="AI333" s="8" t="s">
        <v>94</v>
      </c>
      <c r="AJ333" s="8" t="s">
        <v>49</v>
      </c>
      <c r="AK333" s="8" t="s">
        <v>55</v>
      </c>
      <c r="AL333" s="8" t="s">
        <v>66</v>
      </c>
      <c r="AM333" s="8"/>
      <c r="AN333" s="9" t="s">
        <v>1680</v>
      </c>
      <c r="AO333" s="9" t="s">
        <v>1681</v>
      </c>
      <c r="AP333" s="17" t="s">
        <v>1670</v>
      </c>
      <c r="AQ333" s="11"/>
      <c r="AR333" s="10" t="s">
        <v>1676</v>
      </c>
      <c r="AS333" s="12"/>
      <c r="AT333" s="10" t="s">
        <v>1677</v>
      </c>
      <c r="AU333" s="11"/>
      <c r="AV333" s="13"/>
    </row>
    <row r="334" ht="16.5" customHeight="1">
      <c r="A334" s="7" t="s">
        <v>1682</v>
      </c>
      <c r="B334" s="14" t="s">
        <v>49</v>
      </c>
      <c r="C334" s="14" t="s">
        <v>213</v>
      </c>
      <c r="D334" s="14" t="s">
        <v>51</v>
      </c>
      <c r="E334" s="7"/>
      <c r="F334" s="7">
        <v>6712.0</v>
      </c>
      <c r="G334" s="7">
        <v>6619.0</v>
      </c>
      <c r="H334" s="14" t="s">
        <v>1134</v>
      </c>
      <c r="I334" s="7"/>
      <c r="J334" s="14" t="s">
        <v>1159</v>
      </c>
      <c r="K334" s="8" t="s">
        <v>84</v>
      </c>
      <c r="L334" s="8" t="s">
        <v>49</v>
      </c>
      <c r="M334" s="8"/>
      <c r="N334" s="8" t="s">
        <v>85</v>
      </c>
      <c r="O334" s="8" t="s">
        <v>217</v>
      </c>
      <c r="P334" s="8" t="s">
        <v>57</v>
      </c>
      <c r="Q334" s="8" t="s">
        <v>1161</v>
      </c>
      <c r="R334" s="8">
        <v>0.58</v>
      </c>
      <c r="S334" s="8" t="s">
        <v>49</v>
      </c>
      <c r="T334" s="8" t="s">
        <v>49</v>
      </c>
      <c r="U334" s="8" t="s">
        <v>1683</v>
      </c>
      <c r="V334" s="8" t="s">
        <v>1684</v>
      </c>
      <c r="W334" s="8" t="s">
        <v>1536</v>
      </c>
      <c r="X334" s="8" t="s">
        <v>108</v>
      </c>
      <c r="Y334" s="8" t="s">
        <v>1685</v>
      </c>
      <c r="Z334" s="8" t="s">
        <v>92</v>
      </c>
      <c r="AA334" s="8" t="s">
        <v>231</v>
      </c>
      <c r="AB334" s="8" t="s">
        <v>60</v>
      </c>
      <c r="AC334" s="8" t="s">
        <v>1165</v>
      </c>
      <c r="AD334" s="8" t="s">
        <v>1166</v>
      </c>
      <c r="AE334" s="8" t="s">
        <v>55</v>
      </c>
      <c r="AF334" s="8" t="s">
        <v>55</v>
      </c>
      <c r="AG334" s="8" t="s">
        <v>890</v>
      </c>
      <c r="AH334" s="8" t="s">
        <v>111</v>
      </c>
      <c r="AI334" s="8" t="s">
        <v>1020</v>
      </c>
      <c r="AJ334" s="8" t="s">
        <v>49</v>
      </c>
      <c r="AK334" s="8" t="s">
        <v>95</v>
      </c>
      <c r="AL334" s="8" t="s">
        <v>66</v>
      </c>
      <c r="AM334" s="8"/>
      <c r="AN334" s="9" t="s">
        <v>1686</v>
      </c>
      <c r="AO334" s="12" t="s">
        <v>224</v>
      </c>
      <c r="AP334" s="17" t="s">
        <v>1687</v>
      </c>
      <c r="AQ334" s="10" t="s">
        <v>1688</v>
      </c>
      <c r="AR334" s="10" t="s">
        <v>1689</v>
      </c>
      <c r="AS334" s="12"/>
      <c r="AT334" s="11"/>
      <c r="AU334" s="10" t="s">
        <v>1200</v>
      </c>
      <c r="AV334" s="15">
        <v>46315.0</v>
      </c>
    </row>
    <row r="335" ht="16.5" customHeight="1">
      <c r="A335" s="7" t="s">
        <v>1690</v>
      </c>
      <c r="B335" s="14" t="s">
        <v>49</v>
      </c>
      <c r="C335" s="14" t="s">
        <v>213</v>
      </c>
      <c r="D335" s="14" t="s">
        <v>51</v>
      </c>
      <c r="E335" s="7"/>
      <c r="F335" s="7">
        <v>6714.0</v>
      </c>
      <c r="G335" s="7">
        <v>6614.0</v>
      </c>
      <c r="H335" s="14" t="s">
        <v>1134</v>
      </c>
      <c r="I335" s="7"/>
      <c r="J335" s="14" t="s">
        <v>1159</v>
      </c>
      <c r="K335" s="8" t="s">
        <v>84</v>
      </c>
      <c r="L335" s="8" t="s">
        <v>49</v>
      </c>
      <c r="M335" s="8"/>
      <c r="N335" s="8" t="s">
        <v>85</v>
      </c>
      <c r="O335" s="8" t="s">
        <v>217</v>
      </c>
      <c r="P335" s="8" t="s">
        <v>57</v>
      </c>
      <c r="Q335" s="8" t="s">
        <v>1161</v>
      </c>
      <c r="R335" s="8">
        <v>0.58</v>
      </c>
      <c r="S335" s="8" t="s">
        <v>49</v>
      </c>
      <c r="T335" s="8" t="s">
        <v>49</v>
      </c>
      <c r="U335" s="8" t="s">
        <v>1691</v>
      </c>
      <c r="V335" s="8" t="s">
        <v>1692</v>
      </c>
      <c r="W335" s="8" t="s">
        <v>1536</v>
      </c>
      <c r="X335" s="8" t="s">
        <v>108</v>
      </c>
      <c r="Y335" s="8" t="s">
        <v>190</v>
      </c>
      <c r="Z335" s="8" t="s">
        <v>92</v>
      </c>
      <c r="AA335" s="8" t="s">
        <v>231</v>
      </c>
      <c r="AB335" s="8" t="s">
        <v>60</v>
      </c>
      <c r="AC335" s="8" t="s">
        <v>1165</v>
      </c>
      <c r="AD335" s="8" t="s">
        <v>1166</v>
      </c>
      <c r="AE335" s="8" t="s">
        <v>55</v>
      </c>
      <c r="AF335" s="8" t="s">
        <v>55</v>
      </c>
      <c r="AG335" s="8" t="s">
        <v>890</v>
      </c>
      <c r="AH335" s="8" t="s">
        <v>111</v>
      </c>
      <c r="AI335" s="8" t="s">
        <v>1020</v>
      </c>
      <c r="AJ335" s="8" t="s">
        <v>49</v>
      </c>
      <c r="AK335" s="8" t="s">
        <v>95</v>
      </c>
      <c r="AL335" s="8" t="s">
        <v>66</v>
      </c>
      <c r="AM335" s="8"/>
      <c r="AN335" s="9" t="s">
        <v>1693</v>
      </c>
      <c r="AO335" s="12" t="s">
        <v>224</v>
      </c>
      <c r="AP335" s="17" t="s">
        <v>1694</v>
      </c>
      <c r="AQ335" s="10" t="s">
        <v>1695</v>
      </c>
      <c r="AR335" s="10" t="s">
        <v>1696</v>
      </c>
      <c r="AS335" s="12"/>
      <c r="AT335" s="11"/>
      <c r="AU335" s="10" t="s">
        <v>1697</v>
      </c>
      <c r="AV335" s="15">
        <v>46315.0</v>
      </c>
    </row>
    <row r="336" ht="16.5" customHeight="1">
      <c r="A336" s="7" t="s">
        <v>1698</v>
      </c>
      <c r="B336" s="14" t="s">
        <v>49</v>
      </c>
      <c r="C336" s="14" t="s">
        <v>213</v>
      </c>
      <c r="D336" s="14" t="s">
        <v>51</v>
      </c>
      <c r="E336" s="7"/>
      <c r="F336" s="7">
        <v>6715.0</v>
      </c>
      <c r="G336" s="7">
        <v>6614.0</v>
      </c>
      <c r="H336" s="14" t="s">
        <v>1134</v>
      </c>
      <c r="I336" s="7"/>
      <c r="J336" s="14" t="s">
        <v>1159</v>
      </c>
      <c r="K336" s="8" t="s">
        <v>84</v>
      </c>
      <c r="L336" s="8" t="s">
        <v>49</v>
      </c>
      <c r="M336" s="8"/>
      <c r="N336" s="8" t="s">
        <v>85</v>
      </c>
      <c r="O336" s="8" t="s">
        <v>217</v>
      </c>
      <c r="P336" s="8" t="s">
        <v>57</v>
      </c>
      <c r="Q336" s="8" t="s">
        <v>1161</v>
      </c>
      <c r="R336" s="8">
        <v>0.58</v>
      </c>
      <c r="S336" s="8" t="s">
        <v>49</v>
      </c>
      <c r="T336" s="8" t="s">
        <v>49</v>
      </c>
      <c r="U336" s="8" t="s">
        <v>1699</v>
      </c>
      <c r="V336" s="8" t="s">
        <v>1700</v>
      </c>
      <c r="W336" s="8" t="s">
        <v>1536</v>
      </c>
      <c r="X336" s="8" t="s">
        <v>108</v>
      </c>
      <c r="Y336" s="8" t="s">
        <v>190</v>
      </c>
      <c r="Z336" s="8" t="s">
        <v>92</v>
      </c>
      <c r="AA336" s="8" t="s">
        <v>231</v>
      </c>
      <c r="AB336" s="8" t="s">
        <v>60</v>
      </c>
      <c r="AC336" s="8" t="s">
        <v>1165</v>
      </c>
      <c r="AD336" s="8" t="s">
        <v>1166</v>
      </c>
      <c r="AE336" s="8" t="s">
        <v>55</v>
      </c>
      <c r="AF336" s="8" t="s">
        <v>55</v>
      </c>
      <c r="AG336" s="8" t="s">
        <v>890</v>
      </c>
      <c r="AH336" s="8" t="s">
        <v>111</v>
      </c>
      <c r="AI336" s="8" t="s">
        <v>1029</v>
      </c>
      <c r="AJ336" s="8" t="s">
        <v>49</v>
      </c>
      <c r="AK336" s="8" t="s">
        <v>95</v>
      </c>
      <c r="AL336" s="8" t="s">
        <v>66</v>
      </c>
      <c r="AM336" s="8"/>
      <c r="AN336" s="9" t="s">
        <v>1701</v>
      </c>
      <c r="AO336" s="12" t="s">
        <v>224</v>
      </c>
      <c r="AP336" s="17" t="s">
        <v>1694</v>
      </c>
      <c r="AQ336" s="10" t="s">
        <v>1695</v>
      </c>
      <c r="AR336" s="10" t="s">
        <v>1696</v>
      </c>
      <c r="AS336" s="12"/>
      <c r="AT336" s="11"/>
      <c r="AU336" s="10" t="s">
        <v>1697</v>
      </c>
      <c r="AV336" s="15">
        <v>46315.0</v>
      </c>
    </row>
    <row r="337" ht="16.5" hidden="1" customHeight="1">
      <c r="A337" s="7" t="s">
        <v>1702</v>
      </c>
      <c r="B337" s="7"/>
      <c r="C337" s="7" t="s">
        <v>213</v>
      </c>
      <c r="D337" s="7" t="s">
        <v>920</v>
      </c>
      <c r="E337" s="7" t="s">
        <v>227</v>
      </c>
      <c r="F337" s="7">
        <v>6716.0</v>
      </c>
      <c r="G337" s="7"/>
      <c r="H337" s="7" t="s">
        <v>215</v>
      </c>
      <c r="I337" s="7"/>
      <c r="J337" s="7"/>
      <c r="K337" s="8" t="s">
        <v>55</v>
      </c>
      <c r="L337" s="8" t="s">
        <v>55</v>
      </c>
      <c r="M337" s="8"/>
      <c r="N337" s="8" t="s">
        <v>49</v>
      </c>
      <c r="O337" s="8" t="s">
        <v>217</v>
      </c>
      <c r="P337" s="8" t="s">
        <v>57</v>
      </c>
      <c r="Q337" s="8" t="s">
        <v>49</v>
      </c>
      <c r="R337" s="8" t="s">
        <v>49</v>
      </c>
      <c r="S337" s="8" t="s">
        <v>49</v>
      </c>
      <c r="T337" s="8" t="s">
        <v>49</v>
      </c>
      <c r="U337" s="8" t="s">
        <v>49</v>
      </c>
      <c r="V337" s="8" t="s">
        <v>49</v>
      </c>
      <c r="W337" s="8" t="s">
        <v>49</v>
      </c>
      <c r="X337" s="8" t="s">
        <v>49</v>
      </c>
      <c r="Y337" s="8" t="s">
        <v>49</v>
      </c>
      <c r="Z337" s="8" t="s">
        <v>49</v>
      </c>
      <c r="AA337" s="8" t="s">
        <v>231</v>
      </c>
      <c r="AB337" s="8" t="s">
        <v>60</v>
      </c>
      <c r="AC337" s="8" t="s">
        <v>55</v>
      </c>
      <c r="AD337" s="8" t="s">
        <v>1703</v>
      </c>
      <c r="AE337" s="8" t="s">
        <v>55</v>
      </c>
      <c r="AF337" s="8" t="s">
        <v>55</v>
      </c>
      <c r="AG337" s="8" t="s">
        <v>890</v>
      </c>
      <c r="AH337" s="8" t="s">
        <v>55</v>
      </c>
      <c r="AI337" s="8" t="s">
        <v>1020</v>
      </c>
      <c r="AJ337" s="8" t="s">
        <v>49</v>
      </c>
      <c r="AK337" s="8" t="s">
        <v>49</v>
      </c>
      <c r="AL337" s="8" t="s">
        <v>66</v>
      </c>
      <c r="AM337" s="8"/>
      <c r="AN337" s="9" t="s">
        <v>1704</v>
      </c>
      <c r="AO337" s="12" t="s">
        <v>224</v>
      </c>
      <c r="AP337" s="10" t="s">
        <v>1170</v>
      </c>
      <c r="AQ337" s="10" t="s">
        <v>1705</v>
      </c>
      <c r="AR337" s="11"/>
      <c r="AS337" s="12"/>
      <c r="AT337" s="11"/>
      <c r="AU337" s="11"/>
      <c r="AV337" s="13"/>
    </row>
    <row r="338" ht="16.5" hidden="1" customHeight="1">
      <c r="A338" s="7" t="s">
        <v>1706</v>
      </c>
      <c r="B338" s="7"/>
      <c r="C338" s="7" t="s">
        <v>213</v>
      </c>
      <c r="D338" s="7" t="s">
        <v>920</v>
      </c>
      <c r="E338" s="7" t="s">
        <v>227</v>
      </c>
      <c r="F338" s="7">
        <v>6716.0</v>
      </c>
      <c r="G338" s="7">
        <v>6716.0</v>
      </c>
      <c r="H338" s="7" t="s">
        <v>215</v>
      </c>
      <c r="I338" s="7"/>
      <c r="J338" s="7"/>
      <c r="K338" s="8" t="s">
        <v>55</v>
      </c>
      <c r="L338" s="8" t="s">
        <v>55</v>
      </c>
      <c r="M338" s="12" t="s">
        <v>55</v>
      </c>
      <c r="N338" s="8" t="s">
        <v>55</v>
      </c>
      <c r="O338" s="8" t="s">
        <v>217</v>
      </c>
      <c r="P338" s="8" t="s">
        <v>57</v>
      </c>
      <c r="Q338" s="8" t="s">
        <v>49</v>
      </c>
      <c r="R338" s="8" t="s">
        <v>49</v>
      </c>
      <c r="S338" s="8" t="s">
        <v>49</v>
      </c>
      <c r="T338" s="8" t="s">
        <v>49</v>
      </c>
      <c r="U338" s="8" t="s">
        <v>49</v>
      </c>
      <c r="V338" s="8" t="s">
        <v>49</v>
      </c>
      <c r="W338" s="8" t="s">
        <v>49</v>
      </c>
      <c r="X338" s="8" t="s">
        <v>55</v>
      </c>
      <c r="Y338" s="8" t="s">
        <v>55</v>
      </c>
      <c r="Z338" s="8" t="s">
        <v>55</v>
      </c>
      <c r="AA338" s="8" t="s">
        <v>231</v>
      </c>
      <c r="AB338" s="8" t="s">
        <v>60</v>
      </c>
      <c r="AC338" s="8" t="s">
        <v>55</v>
      </c>
      <c r="AD338" s="12" t="s">
        <v>1707</v>
      </c>
      <c r="AE338" s="8" t="s">
        <v>55</v>
      </c>
      <c r="AF338" s="8" t="s">
        <v>55</v>
      </c>
      <c r="AG338" s="8" t="s">
        <v>890</v>
      </c>
      <c r="AH338" s="8" t="s">
        <v>55</v>
      </c>
      <c r="AI338" s="8" t="s">
        <v>1020</v>
      </c>
      <c r="AJ338" s="8" t="s">
        <v>49</v>
      </c>
      <c r="AK338" s="8" t="s">
        <v>55</v>
      </c>
      <c r="AL338" s="8" t="s">
        <v>66</v>
      </c>
      <c r="AM338" s="8"/>
      <c r="AN338" s="9" t="s">
        <v>1704</v>
      </c>
      <c r="AO338" s="12" t="s">
        <v>224</v>
      </c>
      <c r="AP338" s="10" t="s">
        <v>1170</v>
      </c>
      <c r="AQ338" s="10" t="s">
        <v>1705</v>
      </c>
      <c r="AR338" s="11"/>
      <c r="AS338" s="12"/>
      <c r="AT338" s="11"/>
      <c r="AU338" s="11"/>
      <c r="AV338" s="13"/>
    </row>
    <row r="339" ht="16.5" hidden="1" customHeight="1">
      <c r="A339" s="7" t="s">
        <v>1708</v>
      </c>
      <c r="B339" s="7" t="s">
        <v>49</v>
      </c>
      <c r="C339" s="7" t="s">
        <v>50</v>
      </c>
      <c r="D339" s="7" t="s">
        <v>51</v>
      </c>
      <c r="E339" s="7" t="s">
        <v>52</v>
      </c>
      <c r="F339" s="7">
        <v>6718.0</v>
      </c>
      <c r="G339" s="7"/>
      <c r="H339" s="7" t="s">
        <v>53</v>
      </c>
      <c r="I339" s="7"/>
      <c r="J339" s="7"/>
      <c r="K339" s="8" t="s">
        <v>84</v>
      </c>
      <c r="L339" s="8" t="s">
        <v>49</v>
      </c>
      <c r="M339" s="8"/>
      <c r="N339" s="8" t="s">
        <v>85</v>
      </c>
      <c r="O339" s="8" t="s">
        <v>56</v>
      </c>
      <c r="P339" s="8" t="s">
        <v>57</v>
      </c>
      <c r="Q339" s="8" t="s">
        <v>1709</v>
      </c>
      <c r="R339" s="8">
        <v>0.6</v>
      </c>
      <c r="S339" s="8" t="s">
        <v>49</v>
      </c>
      <c r="T339" s="8" t="s">
        <v>49</v>
      </c>
      <c r="U339" s="8" t="s">
        <v>1710</v>
      </c>
      <c r="V339" s="8" t="s">
        <v>1711</v>
      </c>
      <c r="W339" s="8" t="s">
        <v>1536</v>
      </c>
      <c r="X339" s="8" t="s">
        <v>415</v>
      </c>
      <c r="Y339" s="8" t="s">
        <v>1712</v>
      </c>
      <c r="Z339" s="8" t="s">
        <v>92</v>
      </c>
      <c r="AA339" s="8" t="s">
        <v>59</v>
      </c>
      <c r="AB339" s="8" t="s">
        <v>60</v>
      </c>
      <c r="AC339" s="8" t="s">
        <v>61</v>
      </c>
      <c r="AD339" s="8" t="s">
        <v>1713</v>
      </c>
      <c r="AE339" s="8" t="s">
        <v>55</v>
      </c>
      <c r="AF339" s="8" t="s">
        <v>55</v>
      </c>
      <c r="AG339" s="8" t="s">
        <v>63</v>
      </c>
      <c r="AH339" s="8" t="s">
        <v>145</v>
      </c>
      <c r="AI339" s="8" t="s">
        <v>112</v>
      </c>
      <c r="AJ339" s="8" t="s">
        <v>49</v>
      </c>
      <c r="AK339" s="8" t="s">
        <v>49</v>
      </c>
      <c r="AL339" s="8" t="s">
        <v>66</v>
      </c>
      <c r="AM339" s="8" t="s">
        <v>1714</v>
      </c>
      <c r="AN339" s="9" t="s">
        <v>1715</v>
      </c>
      <c r="AO339" s="9" t="s">
        <v>1716</v>
      </c>
      <c r="AP339" s="10" t="s">
        <v>1717</v>
      </c>
      <c r="AQ339" s="10" t="s">
        <v>1718</v>
      </c>
      <c r="AR339" s="10" t="s">
        <v>1719</v>
      </c>
      <c r="AS339" s="12"/>
      <c r="AT339" s="10" t="s">
        <v>1720</v>
      </c>
      <c r="AU339" s="10" t="s">
        <v>1721</v>
      </c>
      <c r="AV339" s="13"/>
    </row>
    <row r="340" ht="16.5" hidden="1" customHeight="1">
      <c r="A340" s="7" t="s">
        <v>1722</v>
      </c>
      <c r="B340" s="7" t="s">
        <v>49</v>
      </c>
      <c r="C340" s="7" t="s">
        <v>50</v>
      </c>
      <c r="D340" s="7" t="s">
        <v>51</v>
      </c>
      <c r="E340" s="7" t="s">
        <v>52</v>
      </c>
      <c r="F340" s="7">
        <v>6718.0</v>
      </c>
      <c r="G340" s="7">
        <v>6718.0</v>
      </c>
      <c r="H340" s="7" t="s">
        <v>53</v>
      </c>
      <c r="I340" s="7"/>
      <c r="J340" s="7"/>
      <c r="K340" s="8" t="s">
        <v>84</v>
      </c>
      <c r="L340" s="8" t="s">
        <v>49</v>
      </c>
      <c r="M340" s="8"/>
      <c r="N340" s="8" t="s">
        <v>85</v>
      </c>
      <c r="O340" s="8" t="s">
        <v>56</v>
      </c>
      <c r="P340" s="8" t="s">
        <v>57</v>
      </c>
      <c r="Q340" s="8" t="s">
        <v>1709</v>
      </c>
      <c r="R340" s="8">
        <v>0.6</v>
      </c>
      <c r="S340" s="8" t="s">
        <v>49</v>
      </c>
      <c r="T340" s="8" t="s">
        <v>49</v>
      </c>
      <c r="U340" s="8" t="s">
        <v>1710</v>
      </c>
      <c r="V340" s="8" t="s">
        <v>1711</v>
      </c>
      <c r="W340" s="8" t="s">
        <v>1536</v>
      </c>
      <c r="X340" s="8" t="s">
        <v>415</v>
      </c>
      <c r="Y340" s="8" t="s">
        <v>1712</v>
      </c>
      <c r="Z340" s="8" t="s">
        <v>92</v>
      </c>
      <c r="AA340" s="8" t="s">
        <v>59</v>
      </c>
      <c r="AB340" s="8" t="s">
        <v>60</v>
      </c>
      <c r="AC340" s="8" t="s">
        <v>61</v>
      </c>
      <c r="AD340" s="8" t="s">
        <v>1713</v>
      </c>
      <c r="AE340" s="8" t="s">
        <v>55</v>
      </c>
      <c r="AF340" s="8" t="s">
        <v>55</v>
      </c>
      <c r="AG340" s="8" t="s">
        <v>63</v>
      </c>
      <c r="AH340" s="8" t="s">
        <v>145</v>
      </c>
      <c r="AI340" s="8" t="s">
        <v>112</v>
      </c>
      <c r="AJ340" s="8" t="s">
        <v>49</v>
      </c>
      <c r="AK340" s="8" t="s">
        <v>95</v>
      </c>
      <c r="AL340" s="8" t="s">
        <v>66</v>
      </c>
      <c r="AM340" s="8" t="s">
        <v>1714</v>
      </c>
      <c r="AN340" s="9" t="s">
        <v>1715</v>
      </c>
      <c r="AO340" s="9" t="s">
        <v>1716</v>
      </c>
      <c r="AP340" s="10" t="s">
        <v>1717</v>
      </c>
      <c r="AQ340" s="10" t="s">
        <v>1718</v>
      </c>
      <c r="AR340" s="10" t="s">
        <v>1719</v>
      </c>
      <c r="AS340" s="12"/>
      <c r="AT340" s="10" t="s">
        <v>1720</v>
      </c>
      <c r="AU340" s="10" t="s">
        <v>1721</v>
      </c>
      <c r="AV340" s="13"/>
    </row>
    <row r="341" ht="16.5" hidden="1" customHeight="1">
      <c r="A341" s="7" t="s">
        <v>1723</v>
      </c>
      <c r="B341" s="14" t="s">
        <v>49</v>
      </c>
      <c r="C341" s="14" t="s">
        <v>50</v>
      </c>
      <c r="D341" s="14" t="s">
        <v>51</v>
      </c>
      <c r="E341" s="7"/>
      <c r="F341" s="7">
        <v>6719.0</v>
      </c>
      <c r="G341" s="7">
        <v>6718.0</v>
      </c>
      <c r="H341" s="7" t="s">
        <v>53</v>
      </c>
      <c r="I341" s="7"/>
      <c r="J341" s="7"/>
      <c r="K341" s="8" t="s">
        <v>84</v>
      </c>
      <c r="L341" s="8" t="s">
        <v>49</v>
      </c>
      <c r="M341" s="8"/>
      <c r="N341" s="8" t="s">
        <v>85</v>
      </c>
      <c r="O341" s="8" t="s">
        <v>56</v>
      </c>
      <c r="P341" s="8" t="s">
        <v>57</v>
      </c>
      <c r="Q341" s="8" t="s">
        <v>1709</v>
      </c>
      <c r="R341" s="8">
        <v>0.6</v>
      </c>
      <c r="S341" s="8" t="s">
        <v>49</v>
      </c>
      <c r="T341" s="8" t="s">
        <v>49</v>
      </c>
      <c r="U341" s="8" t="s">
        <v>1710</v>
      </c>
      <c r="V341" s="8" t="s">
        <v>1711</v>
      </c>
      <c r="W341" s="8" t="s">
        <v>1536</v>
      </c>
      <c r="X341" s="8" t="s">
        <v>415</v>
      </c>
      <c r="Y341" s="8" t="s">
        <v>1712</v>
      </c>
      <c r="Z341" s="8" t="s">
        <v>92</v>
      </c>
      <c r="AA341" s="8" t="s">
        <v>59</v>
      </c>
      <c r="AB341" s="8" t="s">
        <v>60</v>
      </c>
      <c r="AC341" s="8" t="s">
        <v>61</v>
      </c>
      <c r="AD341" s="8" t="s">
        <v>1713</v>
      </c>
      <c r="AE341" s="8" t="s">
        <v>55</v>
      </c>
      <c r="AF341" s="8" t="s">
        <v>55</v>
      </c>
      <c r="AG341" s="8" t="s">
        <v>63</v>
      </c>
      <c r="AH341" s="8" t="s">
        <v>145</v>
      </c>
      <c r="AI341" s="8" t="s">
        <v>94</v>
      </c>
      <c r="AJ341" s="8" t="s">
        <v>49</v>
      </c>
      <c r="AK341" s="8" t="s">
        <v>95</v>
      </c>
      <c r="AL341" s="8" t="s">
        <v>66</v>
      </c>
      <c r="AM341" s="8" t="s">
        <v>1714</v>
      </c>
      <c r="AN341" s="9" t="s">
        <v>1724</v>
      </c>
      <c r="AO341" s="9" t="s">
        <v>1725</v>
      </c>
      <c r="AP341" s="10" t="s">
        <v>1717</v>
      </c>
      <c r="AQ341" s="10" t="s">
        <v>1718</v>
      </c>
      <c r="AR341" s="10" t="s">
        <v>1719</v>
      </c>
      <c r="AS341" s="12"/>
      <c r="AT341" s="10" t="s">
        <v>1720</v>
      </c>
      <c r="AU341" s="10" t="s">
        <v>1721</v>
      </c>
      <c r="AV341" s="15">
        <v>46315.0</v>
      </c>
    </row>
    <row r="342" ht="16.5" hidden="1" customHeight="1">
      <c r="A342" s="7" t="s">
        <v>1726</v>
      </c>
      <c r="B342" s="14" t="s">
        <v>49</v>
      </c>
      <c r="C342" s="14" t="s">
        <v>50</v>
      </c>
      <c r="D342" s="14" t="s">
        <v>51</v>
      </c>
      <c r="E342" s="7"/>
      <c r="F342" s="7">
        <v>6720.0</v>
      </c>
      <c r="G342" s="7">
        <v>6718.0</v>
      </c>
      <c r="H342" s="7" t="s">
        <v>53</v>
      </c>
      <c r="I342" s="7"/>
      <c r="J342" s="7"/>
      <c r="K342" s="8" t="s">
        <v>84</v>
      </c>
      <c r="L342" s="8" t="s">
        <v>49</v>
      </c>
      <c r="M342" s="8"/>
      <c r="N342" s="8" t="s">
        <v>85</v>
      </c>
      <c r="O342" s="8" t="s">
        <v>56</v>
      </c>
      <c r="P342" s="8" t="s">
        <v>57</v>
      </c>
      <c r="Q342" s="8" t="s">
        <v>1727</v>
      </c>
      <c r="R342" s="8">
        <v>0.6</v>
      </c>
      <c r="S342" s="8" t="s">
        <v>49</v>
      </c>
      <c r="T342" s="8" t="s">
        <v>49</v>
      </c>
      <c r="U342" s="8" t="s">
        <v>1728</v>
      </c>
      <c r="V342" s="8" t="s">
        <v>322</v>
      </c>
      <c r="W342" s="8" t="s">
        <v>1536</v>
      </c>
      <c r="X342" s="8" t="s">
        <v>415</v>
      </c>
      <c r="Y342" s="8" t="s">
        <v>1712</v>
      </c>
      <c r="Z342" s="8" t="s">
        <v>92</v>
      </c>
      <c r="AA342" s="8" t="s">
        <v>59</v>
      </c>
      <c r="AB342" s="8" t="s">
        <v>60</v>
      </c>
      <c r="AC342" s="8" t="s">
        <v>61</v>
      </c>
      <c r="AD342" s="8" t="s">
        <v>1729</v>
      </c>
      <c r="AE342" s="8" t="s">
        <v>55</v>
      </c>
      <c r="AF342" s="8" t="s">
        <v>55</v>
      </c>
      <c r="AG342" s="8" t="s">
        <v>63</v>
      </c>
      <c r="AH342" s="8" t="s">
        <v>145</v>
      </c>
      <c r="AI342" s="8" t="s">
        <v>112</v>
      </c>
      <c r="AJ342" s="8" t="s">
        <v>49</v>
      </c>
      <c r="AK342" s="8" t="s">
        <v>95</v>
      </c>
      <c r="AL342" s="8" t="s">
        <v>66</v>
      </c>
      <c r="AM342" s="8" t="s">
        <v>1714</v>
      </c>
      <c r="AN342" s="9" t="s">
        <v>1730</v>
      </c>
      <c r="AO342" s="9" t="s">
        <v>1731</v>
      </c>
      <c r="AP342" s="10" t="s">
        <v>1717</v>
      </c>
      <c r="AQ342" s="10" t="s">
        <v>1732</v>
      </c>
      <c r="AR342" s="10" t="s">
        <v>1733</v>
      </c>
      <c r="AS342" s="12"/>
      <c r="AT342" s="10" t="s">
        <v>1734</v>
      </c>
      <c r="AU342" s="10" t="s">
        <v>1735</v>
      </c>
      <c r="AV342" s="13"/>
    </row>
    <row r="343" ht="16.5" hidden="1" customHeight="1">
      <c r="A343" s="7" t="s">
        <v>1736</v>
      </c>
      <c r="B343" s="14" t="s">
        <v>49</v>
      </c>
      <c r="C343" s="14" t="s">
        <v>50</v>
      </c>
      <c r="D343" s="14" t="s">
        <v>51</v>
      </c>
      <c r="E343" s="7"/>
      <c r="F343" s="7">
        <v>6721.0</v>
      </c>
      <c r="G343" s="7">
        <v>6718.0</v>
      </c>
      <c r="H343" s="7" t="s">
        <v>53</v>
      </c>
      <c r="I343" s="7"/>
      <c r="J343" s="7"/>
      <c r="K343" s="8" t="s">
        <v>84</v>
      </c>
      <c r="L343" s="8" t="s">
        <v>49</v>
      </c>
      <c r="M343" s="8"/>
      <c r="N343" s="8" t="s">
        <v>85</v>
      </c>
      <c r="O343" s="8" t="s">
        <v>56</v>
      </c>
      <c r="P343" s="8" t="s">
        <v>57</v>
      </c>
      <c r="Q343" s="8" t="s">
        <v>1727</v>
      </c>
      <c r="R343" s="8">
        <v>0.6</v>
      </c>
      <c r="S343" s="8" t="s">
        <v>49</v>
      </c>
      <c r="T343" s="8" t="s">
        <v>49</v>
      </c>
      <c r="U343" s="8" t="s">
        <v>1728</v>
      </c>
      <c r="V343" s="8" t="s">
        <v>322</v>
      </c>
      <c r="W343" s="8" t="s">
        <v>1536</v>
      </c>
      <c r="X343" s="8" t="s">
        <v>415</v>
      </c>
      <c r="Y343" s="8" t="s">
        <v>1712</v>
      </c>
      <c r="Z343" s="8" t="s">
        <v>92</v>
      </c>
      <c r="AA343" s="8" t="s">
        <v>59</v>
      </c>
      <c r="AB343" s="8" t="s">
        <v>60</v>
      </c>
      <c r="AC343" s="8" t="s">
        <v>61</v>
      </c>
      <c r="AD343" s="8" t="s">
        <v>1729</v>
      </c>
      <c r="AE343" s="8" t="s">
        <v>55</v>
      </c>
      <c r="AF343" s="8" t="s">
        <v>55</v>
      </c>
      <c r="AG343" s="8" t="s">
        <v>63</v>
      </c>
      <c r="AH343" s="8" t="s">
        <v>145</v>
      </c>
      <c r="AI343" s="8" t="s">
        <v>94</v>
      </c>
      <c r="AJ343" s="8" t="s">
        <v>49</v>
      </c>
      <c r="AK343" s="8" t="s">
        <v>95</v>
      </c>
      <c r="AL343" s="8" t="s">
        <v>66</v>
      </c>
      <c r="AM343" s="8" t="s">
        <v>1714</v>
      </c>
      <c r="AN343" s="9" t="s">
        <v>1737</v>
      </c>
      <c r="AO343" s="9" t="s">
        <v>1738</v>
      </c>
      <c r="AP343" s="10" t="s">
        <v>1717</v>
      </c>
      <c r="AQ343" s="10" t="s">
        <v>1732</v>
      </c>
      <c r="AR343" s="10" t="s">
        <v>1733</v>
      </c>
      <c r="AS343" s="12"/>
      <c r="AT343" s="10" t="s">
        <v>1734</v>
      </c>
      <c r="AU343" s="10" t="s">
        <v>1735</v>
      </c>
      <c r="AV343" s="15">
        <v>46315.0</v>
      </c>
    </row>
    <row r="344" ht="16.5" hidden="1" customHeight="1">
      <c r="A344" s="7" t="s">
        <v>1739</v>
      </c>
      <c r="B344" s="7" t="s">
        <v>49</v>
      </c>
      <c r="C344" s="7" t="s">
        <v>919</v>
      </c>
      <c r="D344" s="7" t="s">
        <v>920</v>
      </c>
      <c r="E344" s="7" t="s">
        <v>227</v>
      </c>
      <c r="F344" s="7">
        <v>6722.0</v>
      </c>
      <c r="G344" s="7"/>
      <c r="H344" s="7" t="s">
        <v>215</v>
      </c>
      <c r="I344" s="7"/>
      <c r="J344" s="7"/>
      <c r="K344" s="8" t="s">
        <v>55</v>
      </c>
      <c r="L344" s="8" t="s">
        <v>55</v>
      </c>
      <c r="M344" s="8"/>
      <c r="N344" s="8" t="s">
        <v>55</v>
      </c>
      <c r="O344" s="8" t="s">
        <v>228</v>
      </c>
      <c r="P344" s="8" t="s">
        <v>229</v>
      </c>
      <c r="Q344" s="8" t="s">
        <v>49</v>
      </c>
      <c r="R344" s="8" t="s">
        <v>49</v>
      </c>
      <c r="S344" s="8" t="s">
        <v>49</v>
      </c>
      <c r="T344" s="8" t="s">
        <v>49</v>
      </c>
      <c r="U344" s="8" t="s">
        <v>49</v>
      </c>
      <c r="V344" s="8" t="s">
        <v>49</v>
      </c>
      <c r="W344" s="8" t="s">
        <v>49</v>
      </c>
      <c r="X344" s="8" t="s">
        <v>49</v>
      </c>
      <c r="Y344" s="8" t="s">
        <v>49</v>
      </c>
      <c r="Z344" s="8" t="s">
        <v>49</v>
      </c>
      <c r="AA344" s="8" t="s">
        <v>231</v>
      </c>
      <c r="AB344" s="8" t="s">
        <v>60</v>
      </c>
      <c r="AC344" s="8" t="s">
        <v>55</v>
      </c>
      <c r="AD344" s="8" t="s">
        <v>948</v>
      </c>
      <c r="AE344" s="8" t="s">
        <v>55</v>
      </c>
      <c r="AF344" s="8" t="s">
        <v>55</v>
      </c>
      <c r="AG344" s="8" t="s">
        <v>145</v>
      </c>
      <c r="AH344" s="8" t="s">
        <v>55</v>
      </c>
      <c r="AI344" s="8" t="s">
        <v>65</v>
      </c>
      <c r="AJ344" s="8" t="s">
        <v>49</v>
      </c>
      <c r="AK344" s="8" t="s">
        <v>49</v>
      </c>
      <c r="AL344" s="8" t="s">
        <v>720</v>
      </c>
      <c r="AM344" s="8" t="s">
        <v>928</v>
      </c>
      <c r="AN344" s="9" t="s">
        <v>1740</v>
      </c>
      <c r="AO344" s="12" t="s">
        <v>224</v>
      </c>
      <c r="AP344" s="18" t="s">
        <v>931</v>
      </c>
      <c r="AQ344" s="11"/>
      <c r="AR344" s="11"/>
      <c r="AS344" s="12"/>
      <c r="AT344" s="11"/>
      <c r="AU344" s="11"/>
      <c r="AV344" s="13"/>
    </row>
    <row r="345" ht="16.5" hidden="1" customHeight="1">
      <c r="A345" s="7" t="s">
        <v>1741</v>
      </c>
      <c r="B345" s="7" t="s">
        <v>49</v>
      </c>
      <c r="C345" s="7" t="s">
        <v>919</v>
      </c>
      <c r="D345" s="7" t="s">
        <v>920</v>
      </c>
      <c r="E345" s="7" t="s">
        <v>227</v>
      </c>
      <c r="F345" s="7">
        <v>6722.0</v>
      </c>
      <c r="G345" s="7">
        <v>6722.0</v>
      </c>
      <c r="H345" s="7" t="s">
        <v>215</v>
      </c>
      <c r="I345" s="7"/>
      <c r="J345" s="7"/>
      <c r="K345" s="8" t="s">
        <v>55</v>
      </c>
      <c r="L345" s="8" t="s">
        <v>55</v>
      </c>
      <c r="M345" s="12" t="s">
        <v>55</v>
      </c>
      <c r="N345" s="8" t="s">
        <v>55</v>
      </c>
      <c r="O345" s="8" t="s">
        <v>228</v>
      </c>
      <c r="P345" s="8" t="s">
        <v>229</v>
      </c>
      <c r="Q345" s="8" t="s">
        <v>49</v>
      </c>
      <c r="R345" s="8" t="s">
        <v>49</v>
      </c>
      <c r="S345" s="8" t="s">
        <v>49</v>
      </c>
      <c r="T345" s="8" t="s">
        <v>49</v>
      </c>
      <c r="U345" s="8" t="s">
        <v>49</v>
      </c>
      <c r="V345" s="8" t="s">
        <v>49</v>
      </c>
      <c r="W345" s="8" t="s">
        <v>49</v>
      </c>
      <c r="X345" s="8" t="s">
        <v>55</v>
      </c>
      <c r="Y345" s="8" t="s">
        <v>55</v>
      </c>
      <c r="Z345" s="8" t="s">
        <v>55</v>
      </c>
      <c r="AA345" s="8" t="s">
        <v>231</v>
      </c>
      <c r="AB345" s="8" t="s">
        <v>60</v>
      </c>
      <c r="AC345" s="8" t="s">
        <v>55</v>
      </c>
      <c r="AD345" s="8" t="s">
        <v>948</v>
      </c>
      <c r="AE345" s="8" t="s">
        <v>55</v>
      </c>
      <c r="AF345" s="8" t="s">
        <v>55</v>
      </c>
      <c r="AG345" s="8" t="s">
        <v>145</v>
      </c>
      <c r="AH345" s="8" t="s">
        <v>55</v>
      </c>
      <c r="AI345" s="8" t="s">
        <v>65</v>
      </c>
      <c r="AJ345" s="8" t="s">
        <v>49</v>
      </c>
      <c r="AK345" s="8" t="s">
        <v>55</v>
      </c>
      <c r="AL345" s="8" t="s">
        <v>720</v>
      </c>
      <c r="AM345" s="8" t="s">
        <v>928</v>
      </c>
      <c r="AN345" s="9" t="s">
        <v>1740</v>
      </c>
      <c r="AO345" s="12" t="s">
        <v>224</v>
      </c>
      <c r="AP345" s="17" t="s">
        <v>924</v>
      </c>
      <c r="AQ345" s="11"/>
      <c r="AR345" s="11"/>
      <c r="AS345" s="12"/>
      <c r="AT345" s="11"/>
      <c r="AU345" s="11"/>
      <c r="AV345" s="13"/>
    </row>
    <row r="346" ht="16.5" hidden="1" customHeight="1">
      <c r="A346" s="7" t="s">
        <v>1742</v>
      </c>
      <c r="B346" s="14" t="s">
        <v>49</v>
      </c>
      <c r="C346" s="14" t="s">
        <v>919</v>
      </c>
      <c r="D346" s="14" t="s">
        <v>920</v>
      </c>
      <c r="E346" s="7"/>
      <c r="F346" s="7">
        <v>6723.0</v>
      </c>
      <c r="G346" s="7">
        <v>6722.0</v>
      </c>
      <c r="H346" s="7" t="s">
        <v>215</v>
      </c>
      <c r="I346" s="7"/>
      <c r="J346" s="7"/>
      <c r="K346" s="8" t="s">
        <v>55</v>
      </c>
      <c r="L346" s="8" t="s">
        <v>55</v>
      </c>
      <c r="M346" s="12" t="s">
        <v>55</v>
      </c>
      <c r="N346" s="8" t="s">
        <v>55</v>
      </c>
      <c r="O346" s="8" t="s">
        <v>228</v>
      </c>
      <c r="P346" s="8" t="s">
        <v>229</v>
      </c>
      <c r="Q346" s="8" t="s">
        <v>49</v>
      </c>
      <c r="R346" s="8" t="s">
        <v>49</v>
      </c>
      <c r="S346" s="8" t="s">
        <v>49</v>
      </c>
      <c r="T346" s="8" t="s">
        <v>49</v>
      </c>
      <c r="U346" s="8" t="s">
        <v>49</v>
      </c>
      <c r="V346" s="8" t="s">
        <v>49</v>
      </c>
      <c r="W346" s="8" t="s">
        <v>49</v>
      </c>
      <c r="X346" s="8" t="s">
        <v>55</v>
      </c>
      <c r="Y346" s="8" t="s">
        <v>55</v>
      </c>
      <c r="Z346" s="8" t="s">
        <v>55</v>
      </c>
      <c r="AA346" s="8" t="s">
        <v>231</v>
      </c>
      <c r="AB346" s="8" t="s">
        <v>60</v>
      </c>
      <c r="AC346" s="8" t="s">
        <v>55</v>
      </c>
      <c r="AD346" s="8" t="s">
        <v>948</v>
      </c>
      <c r="AE346" s="8" t="s">
        <v>55</v>
      </c>
      <c r="AF346" s="8" t="s">
        <v>55</v>
      </c>
      <c r="AG346" s="8" t="s">
        <v>145</v>
      </c>
      <c r="AH346" s="8" t="s">
        <v>55</v>
      </c>
      <c r="AI346" s="8" t="s">
        <v>463</v>
      </c>
      <c r="AJ346" s="8" t="s">
        <v>49</v>
      </c>
      <c r="AK346" s="8" t="s">
        <v>55</v>
      </c>
      <c r="AL346" s="8" t="s">
        <v>720</v>
      </c>
      <c r="AM346" s="8" t="s">
        <v>928</v>
      </c>
      <c r="AN346" s="9" t="s">
        <v>1743</v>
      </c>
      <c r="AO346" s="12" t="s">
        <v>224</v>
      </c>
      <c r="AP346" s="17" t="s">
        <v>924</v>
      </c>
      <c r="AQ346" s="11"/>
      <c r="AR346" s="11"/>
      <c r="AS346" s="12"/>
      <c r="AT346" s="11"/>
      <c r="AU346" s="11"/>
      <c r="AV346" s="13"/>
    </row>
    <row r="347" ht="16.5" hidden="1" customHeight="1">
      <c r="A347" s="7" t="s">
        <v>1744</v>
      </c>
      <c r="B347" s="14" t="s">
        <v>49</v>
      </c>
      <c r="C347" s="14" t="s">
        <v>50</v>
      </c>
      <c r="D347" s="14" t="s">
        <v>51</v>
      </c>
      <c r="E347" s="7"/>
      <c r="F347" s="7">
        <v>6724.0</v>
      </c>
      <c r="G347" s="7">
        <v>6718.0</v>
      </c>
      <c r="H347" s="7" t="s">
        <v>53</v>
      </c>
      <c r="I347" s="7"/>
      <c r="J347" s="7"/>
      <c r="K347" s="8" t="s">
        <v>84</v>
      </c>
      <c r="L347" s="8" t="s">
        <v>49</v>
      </c>
      <c r="M347" s="8"/>
      <c r="N347" s="8" t="s">
        <v>85</v>
      </c>
      <c r="O347" s="8" t="s">
        <v>56</v>
      </c>
      <c r="P347" s="8" t="s">
        <v>57</v>
      </c>
      <c r="Q347" s="8" t="s">
        <v>1272</v>
      </c>
      <c r="R347" s="8">
        <v>0.6</v>
      </c>
      <c r="S347" s="8" t="s">
        <v>49</v>
      </c>
      <c r="T347" s="8" t="s">
        <v>49</v>
      </c>
      <c r="U347" s="8" t="s">
        <v>1745</v>
      </c>
      <c r="V347" s="8" t="s">
        <v>1327</v>
      </c>
      <c r="W347" s="8" t="s">
        <v>1536</v>
      </c>
      <c r="X347" s="8" t="s">
        <v>415</v>
      </c>
      <c r="Y347" s="8" t="s">
        <v>1712</v>
      </c>
      <c r="Z347" s="8" t="s">
        <v>92</v>
      </c>
      <c r="AA347" s="8" t="s">
        <v>59</v>
      </c>
      <c r="AB347" s="8" t="s">
        <v>60</v>
      </c>
      <c r="AC347" s="8" t="s">
        <v>61</v>
      </c>
      <c r="AD347" s="8" t="s">
        <v>1746</v>
      </c>
      <c r="AE347" s="8" t="s">
        <v>55</v>
      </c>
      <c r="AF347" s="8" t="s">
        <v>55</v>
      </c>
      <c r="AG347" s="8" t="s">
        <v>63</v>
      </c>
      <c r="AH347" s="8" t="s">
        <v>145</v>
      </c>
      <c r="AI347" s="8" t="s">
        <v>112</v>
      </c>
      <c r="AJ347" s="8" t="s">
        <v>49</v>
      </c>
      <c r="AK347" s="8" t="s">
        <v>95</v>
      </c>
      <c r="AL347" s="8" t="s">
        <v>66</v>
      </c>
      <c r="AM347" s="8" t="s">
        <v>1714</v>
      </c>
      <c r="AN347" s="9" t="s">
        <v>1747</v>
      </c>
      <c r="AO347" s="9" t="s">
        <v>1748</v>
      </c>
      <c r="AP347" s="10" t="s">
        <v>1717</v>
      </c>
      <c r="AQ347" s="10" t="s">
        <v>1749</v>
      </c>
      <c r="AR347" s="10" t="s">
        <v>1750</v>
      </c>
      <c r="AS347" s="12"/>
      <c r="AT347" s="10" t="s">
        <v>1751</v>
      </c>
      <c r="AU347" s="10" t="s">
        <v>1752</v>
      </c>
      <c r="AV347" s="13"/>
    </row>
    <row r="348" ht="16.5" hidden="1" customHeight="1">
      <c r="A348" s="7" t="s">
        <v>1753</v>
      </c>
      <c r="B348" s="14" t="s">
        <v>49</v>
      </c>
      <c r="C348" s="14" t="s">
        <v>50</v>
      </c>
      <c r="D348" s="14" t="s">
        <v>51</v>
      </c>
      <c r="E348" s="7"/>
      <c r="F348" s="7">
        <v>6725.0</v>
      </c>
      <c r="G348" s="7">
        <v>6718.0</v>
      </c>
      <c r="H348" s="7" t="s">
        <v>53</v>
      </c>
      <c r="I348" s="7"/>
      <c r="J348" s="7"/>
      <c r="K348" s="8" t="s">
        <v>84</v>
      </c>
      <c r="L348" s="8" t="s">
        <v>49</v>
      </c>
      <c r="M348" s="8"/>
      <c r="N348" s="8" t="s">
        <v>85</v>
      </c>
      <c r="O348" s="8" t="s">
        <v>56</v>
      </c>
      <c r="P348" s="8" t="s">
        <v>57</v>
      </c>
      <c r="Q348" s="8" t="s">
        <v>1272</v>
      </c>
      <c r="R348" s="8">
        <v>0.6</v>
      </c>
      <c r="S348" s="8" t="s">
        <v>49</v>
      </c>
      <c r="T348" s="8" t="s">
        <v>49</v>
      </c>
      <c r="U348" s="8" t="s">
        <v>1745</v>
      </c>
      <c r="V348" s="8" t="s">
        <v>1327</v>
      </c>
      <c r="W348" s="8" t="s">
        <v>1536</v>
      </c>
      <c r="X348" s="8" t="s">
        <v>415</v>
      </c>
      <c r="Y348" s="8" t="s">
        <v>1712</v>
      </c>
      <c r="Z348" s="8" t="s">
        <v>92</v>
      </c>
      <c r="AA348" s="8" t="s">
        <v>59</v>
      </c>
      <c r="AB348" s="8" t="s">
        <v>60</v>
      </c>
      <c r="AC348" s="8" t="s">
        <v>61</v>
      </c>
      <c r="AD348" s="8" t="s">
        <v>1746</v>
      </c>
      <c r="AE348" s="8" t="s">
        <v>55</v>
      </c>
      <c r="AF348" s="8" t="s">
        <v>55</v>
      </c>
      <c r="AG348" s="8" t="s">
        <v>63</v>
      </c>
      <c r="AH348" s="8" t="s">
        <v>145</v>
      </c>
      <c r="AI348" s="8" t="s">
        <v>94</v>
      </c>
      <c r="AJ348" s="8" t="s">
        <v>49</v>
      </c>
      <c r="AK348" s="8" t="s">
        <v>95</v>
      </c>
      <c r="AL348" s="8" t="s">
        <v>66</v>
      </c>
      <c r="AM348" s="8" t="s">
        <v>1714</v>
      </c>
      <c r="AN348" s="9" t="s">
        <v>1754</v>
      </c>
      <c r="AO348" s="9" t="s">
        <v>1755</v>
      </c>
      <c r="AP348" s="10" t="s">
        <v>1717</v>
      </c>
      <c r="AQ348" s="10" t="s">
        <v>1749</v>
      </c>
      <c r="AR348" s="10" t="s">
        <v>1750</v>
      </c>
      <c r="AS348" s="12"/>
      <c r="AT348" s="10" t="s">
        <v>1751</v>
      </c>
      <c r="AU348" s="10" t="s">
        <v>1752</v>
      </c>
      <c r="AV348" s="13"/>
    </row>
    <row r="349" ht="16.5" hidden="1" customHeight="1">
      <c r="A349" s="7" t="s">
        <v>1756</v>
      </c>
      <c r="B349" s="7" t="s">
        <v>49</v>
      </c>
      <c r="C349" s="7" t="s">
        <v>919</v>
      </c>
      <c r="D349" s="7" t="s">
        <v>920</v>
      </c>
      <c r="E349" s="7" t="s">
        <v>227</v>
      </c>
      <c r="F349" s="7">
        <v>6726.0</v>
      </c>
      <c r="G349" s="7"/>
      <c r="H349" s="7" t="s">
        <v>53</v>
      </c>
      <c r="I349" s="7"/>
      <c r="J349" s="7"/>
      <c r="K349" s="8" t="s">
        <v>55</v>
      </c>
      <c r="L349" s="8" t="s">
        <v>55</v>
      </c>
      <c r="M349" s="8"/>
      <c r="N349" s="8" t="s">
        <v>55</v>
      </c>
      <c r="O349" s="8" t="s">
        <v>228</v>
      </c>
      <c r="P349" s="8" t="s">
        <v>229</v>
      </c>
      <c r="Q349" s="8" t="s">
        <v>49</v>
      </c>
      <c r="R349" s="8" t="s">
        <v>49</v>
      </c>
      <c r="S349" s="8" t="s">
        <v>49</v>
      </c>
      <c r="T349" s="8" t="s">
        <v>49</v>
      </c>
      <c r="U349" s="8" t="s">
        <v>49</v>
      </c>
      <c r="V349" s="8" t="s">
        <v>49</v>
      </c>
      <c r="W349" s="8" t="s">
        <v>49</v>
      </c>
      <c r="X349" s="8" t="s">
        <v>49</v>
      </c>
      <c r="Y349" s="8" t="s">
        <v>49</v>
      </c>
      <c r="Z349" s="8" t="s">
        <v>49</v>
      </c>
      <c r="AA349" s="8" t="s">
        <v>231</v>
      </c>
      <c r="AB349" s="8" t="s">
        <v>60</v>
      </c>
      <c r="AC349" s="8" t="s">
        <v>55</v>
      </c>
      <c r="AD349" s="8" t="s">
        <v>1757</v>
      </c>
      <c r="AE349" s="8" t="s">
        <v>55</v>
      </c>
      <c r="AF349" s="8" t="s">
        <v>55</v>
      </c>
      <c r="AG349" s="8" t="s">
        <v>145</v>
      </c>
      <c r="AH349" s="8" t="s">
        <v>55</v>
      </c>
      <c r="AI349" s="8" t="s">
        <v>463</v>
      </c>
      <c r="AJ349" s="8" t="s">
        <v>49</v>
      </c>
      <c r="AK349" s="8" t="s">
        <v>49</v>
      </c>
      <c r="AL349" s="8" t="s">
        <v>720</v>
      </c>
      <c r="AM349" s="8"/>
      <c r="AN349" s="9" t="s">
        <v>1758</v>
      </c>
      <c r="AO349" s="9" t="s">
        <v>1759</v>
      </c>
      <c r="AP349" s="17" t="s">
        <v>55</v>
      </c>
      <c r="AQ349" s="11"/>
      <c r="AR349" s="11"/>
      <c r="AS349" s="12"/>
      <c r="AT349" s="11"/>
      <c r="AU349" s="11"/>
      <c r="AV349" s="13"/>
    </row>
    <row r="350" ht="16.5" hidden="1" customHeight="1">
      <c r="A350" s="7" t="s">
        <v>1760</v>
      </c>
      <c r="B350" s="7" t="s">
        <v>49</v>
      </c>
      <c r="C350" s="7" t="s">
        <v>919</v>
      </c>
      <c r="D350" s="7" t="s">
        <v>920</v>
      </c>
      <c r="E350" s="7" t="s">
        <v>227</v>
      </c>
      <c r="F350" s="7">
        <v>6726.0</v>
      </c>
      <c r="G350" s="7">
        <v>6726.0</v>
      </c>
      <c r="H350" s="7" t="s">
        <v>53</v>
      </c>
      <c r="I350" s="7"/>
      <c r="J350" s="7"/>
      <c r="K350" s="8" t="s">
        <v>55</v>
      </c>
      <c r="L350" s="8" t="s">
        <v>55</v>
      </c>
      <c r="M350" s="12" t="s">
        <v>55</v>
      </c>
      <c r="N350" s="8" t="s">
        <v>55</v>
      </c>
      <c r="O350" s="8" t="s">
        <v>228</v>
      </c>
      <c r="P350" s="8" t="s">
        <v>229</v>
      </c>
      <c r="Q350" s="8" t="s">
        <v>49</v>
      </c>
      <c r="R350" s="8" t="s">
        <v>49</v>
      </c>
      <c r="S350" s="8" t="s">
        <v>49</v>
      </c>
      <c r="T350" s="8" t="s">
        <v>49</v>
      </c>
      <c r="U350" s="8" t="s">
        <v>49</v>
      </c>
      <c r="V350" s="8" t="s">
        <v>49</v>
      </c>
      <c r="W350" s="8" t="s">
        <v>49</v>
      </c>
      <c r="X350" s="8" t="s">
        <v>55</v>
      </c>
      <c r="Y350" s="8" t="s">
        <v>55</v>
      </c>
      <c r="Z350" s="8" t="s">
        <v>55</v>
      </c>
      <c r="AA350" s="8" t="s">
        <v>231</v>
      </c>
      <c r="AB350" s="8" t="s">
        <v>60</v>
      </c>
      <c r="AC350" s="8" t="s">
        <v>55</v>
      </c>
      <c r="AD350" s="8" t="s">
        <v>1757</v>
      </c>
      <c r="AE350" s="8" t="s">
        <v>55</v>
      </c>
      <c r="AF350" s="8" t="s">
        <v>55</v>
      </c>
      <c r="AG350" s="8" t="s">
        <v>145</v>
      </c>
      <c r="AH350" s="8" t="s">
        <v>55</v>
      </c>
      <c r="AI350" s="8" t="s">
        <v>463</v>
      </c>
      <c r="AJ350" s="8" t="s">
        <v>49</v>
      </c>
      <c r="AK350" s="8" t="s">
        <v>55</v>
      </c>
      <c r="AL350" s="8" t="s">
        <v>720</v>
      </c>
      <c r="AM350" s="8"/>
      <c r="AN350" s="9" t="s">
        <v>1758</v>
      </c>
      <c r="AO350" s="9" t="s">
        <v>1759</v>
      </c>
      <c r="AP350" s="17" t="s">
        <v>1761</v>
      </c>
      <c r="AQ350" s="11"/>
      <c r="AR350" s="11"/>
      <c r="AS350" s="12"/>
      <c r="AT350" s="11"/>
      <c r="AU350" s="11"/>
      <c r="AV350" s="13"/>
    </row>
    <row r="351" ht="16.5" hidden="1" customHeight="1">
      <c r="A351" s="7" t="s">
        <v>1762</v>
      </c>
      <c r="B351" s="14" t="s">
        <v>49</v>
      </c>
      <c r="C351" s="14" t="s">
        <v>919</v>
      </c>
      <c r="D351" s="14" t="s">
        <v>920</v>
      </c>
      <c r="E351" s="7"/>
      <c r="F351" s="7">
        <v>6727.0</v>
      </c>
      <c r="G351" s="7">
        <v>6726.0</v>
      </c>
      <c r="H351" s="7" t="s">
        <v>53</v>
      </c>
      <c r="I351" s="7"/>
      <c r="J351" s="7"/>
      <c r="K351" s="8" t="s">
        <v>55</v>
      </c>
      <c r="L351" s="8" t="s">
        <v>55</v>
      </c>
      <c r="M351" s="12" t="s">
        <v>55</v>
      </c>
      <c r="N351" s="8" t="s">
        <v>55</v>
      </c>
      <c r="O351" s="8" t="s">
        <v>228</v>
      </c>
      <c r="P351" s="8" t="s">
        <v>229</v>
      </c>
      <c r="Q351" s="8" t="s">
        <v>49</v>
      </c>
      <c r="R351" s="8" t="s">
        <v>49</v>
      </c>
      <c r="S351" s="8" t="s">
        <v>49</v>
      </c>
      <c r="T351" s="8" t="s">
        <v>49</v>
      </c>
      <c r="U351" s="8" t="s">
        <v>49</v>
      </c>
      <c r="V351" s="8" t="s">
        <v>49</v>
      </c>
      <c r="W351" s="8" t="s">
        <v>49</v>
      </c>
      <c r="X351" s="8" t="s">
        <v>55</v>
      </c>
      <c r="Y351" s="8" t="s">
        <v>55</v>
      </c>
      <c r="Z351" s="8" t="s">
        <v>55</v>
      </c>
      <c r="AA351" s="8" t="s">
        <v>231</v>
      </c>
      <c r="AB351" s="8" t="s">
        <v>60</v>
      </c>
      <c r="AC351" s="8" t="s">
        <v>55</v>
      </c>
      <c r="AD351" s="8" t="s">
        <v>1757</v>
      </c>
      <c r="AE351" s="8" t="s">
        <v>55</v>
      </c>
      <c r="AF351" s="8" t="s">
        <v>55</v>
      </c>
      <c r="AG351" s="8" t="s">
        <v>145</v>
      </c>
      <c r="AH351" s="8" t="s">
        <v>55</v>
      </c>
      <c r="AI351" s="8" t="s">
        <v>65</v>
      </c>
      <c r="AJ351" s="8" t="s">
        <v>49</v>
      </c>
      <c r="AK351" s="8" t="s">
        <v>55</v>
      </c>
      <c r="AL351" s="8" t="s">
        <v>720</v>
      </c>
      <c r="AM351" s="8"/>
      <c r="AN351" s="9" t="s">
        <v>1763</v>
      </c>
      <c r="AO351" s="9" t="s">
        <v>1764</v>
      </c>
      <c r="AP351" s="17" t="s">
        <v>1761</v>
      </c>
      <c r="AQ351" s="11"/>
      <c r="AR351" s="11"/>
      <c r="AS351" s="12"/>
      <c r="AT351" s="11"/>
      <c r="AU351" s="11"/>
      <c r="AV351" s="13"/>
    </row>
    <row r="352" ht="16.5" hidden="1" customHeight="1">
      <c r="A352" s="7" t="s">
        <v>1765</v>
      </c>
      <c r="B352" s="7" t="s">
        <v>1290</v>
      </c>
      <c r="C352" s="7" t="s">
        <v>1291</v>
      </c>
      <c r="D352" s="7" t="s">
        <v>926</v>
      </c>
      <c r="E352" s="7" t="s">
        <v>227</v>
      </c>
      <c r="F352" s="7">
        <v>6734.0</v>
      </c>
      <c r="G352" s="7"/>
      <c r="H352" s="7" t="s">
        <v>53</v>
      </c>
      <c r="I352" s="7"/>
      <c r="J352" s="7"/>
      <c r="K352" s="8" t="s">
        <v>55</v>
      </c>
      <c r="L352" s="8" t="s">
        <v>55</v>
      </c>
      <c r="M352" s="8"/>
      <c r="N352" s="8" t="s">
        <v>55</v>
      </c>
      <c r="O352" s="8" t="s">
        <v>217</v>
      </c>
      <c r="P352" s="8" t="s">
        <v>57</v>
      </c>
      <c r="Q352" s="8" t="s">
        <v>49</v>
      </c>
      <c r="R352" s="20" t="s">
        <v>49</v>
      </c>
      <c r="S352" s="8" t="s">
        <v>49</v>
      </c>
      <c r="T352" s="8" t="s">
        <v>49</v>
      </c>
      <c r="U352" s="8" t="s">
        <v>49</v>
      </c>
      <c r="V352" s="8" t="s">
        <v>49</v>
      </c>
      <c r="W352" s="8" t="s">
        <v>49</v>
      </c>
      <c r="X352" s="8" t="s">
        <v>49</v>
      </c>
      <c r="Y352" s="8" t="s">
        <v>49</v>
      </c>
      <c r="Z352" s="8" t="s">
        <v>49</v>
      </c>
      <c r="AA352" s="8" t="s">
        <v>231</v>
      </c>
      <c r="AB352" s="8" t="s">
        <v>60</v>
      </c>
      <c r="AC352" s="8" t="s">
        <v>1018</v>
      </c>
      <c r="AD352" s="8" t="s">
        <v>1766</v>
      </c>
      <c r="AE352" s="8" t="s">
        <v>49</v>
      </c>
      <c r="AF352" s="8" t="s">
        <v>49</v>
      </c>
      <c r="AG352" s="8" t="s">
        <v>63</v>
      </c>
      <c r="AH352" s="8" t="s">
        <v>55</v>
      </c>
      <c r="AI352" s="8" t="s">
        <v>463</v>
      </c>
      <c r="AJ352" s="8" t="s">
        <v>49</v>
      </c>
      <c r="AK352" s="8" t="s">
        <v>49</v>
      </c>
      <c r="AL352" s="8" t="s">
        <v>720</v>
      </c>
      <c r="AM352" s="8" t="s">
        <v>1293</v>
      </c>
      <c r="AN352" s="9" t="s">
        <v>1767</v>
      </c>
      <c r="AO352" s="9" t="s">
        <v>1768</v>
      </c>
      <c r="AP352" s="10" t="s">
        <v>1296</v>
      </c>
      <c r="AQ352" s="11"/>
      <c r="AR352" s="11"/>
      <c r="AS352" s="12"/>
      <c r="AT352" s="10" t="s">
        <v>1769</v>
      </c>
      <c r="AU352" s="11"/>
      <c r="AV352" s="13"/>
    </row>
    <row r="353" ht="16.5" hidden="1" customHeight="1">
      <c r="A353" s="7" t="s">
        <v>1770</v>
      </c>
      <c r="B353" s="7" t="s">
        <v>1290</v>
      </c>
      <c r="C353" s="7" t="s">
        <v>1291</v>
      </c>
      <c r="D353" s="7" t="s">
        <v>926</v>
      </c>
      <c r="E353" s="7" t="s">
        <v>227</v>
      </c>
      <c r="F353" s="7">
        <v>6734.0</v>
      </c>
      <c r="G353" s="7">
        <v>6734.0</v>
      </c>
      <c r="H353" s="7" t="s">
        <v>53</v>
      </c>
      <c r="I353" s="7"/>
      <c r="J353" s="7"/>
      <c r="K353" s="8" t="s">
        <v>55</v>
      </c>
      <c r="L353" s="8" t="s">
        <v>55</v>
      </c>
      <c r="M353" s="12" t="s">
        <v>55</v>
      </c>
      <c r="N353" s="8" t="s">
        <v>55</v>
      </c>
      <c r="O353" s="8" t="s">
        <v>217</v>
      </c>
      <c r="P353" s="8" t="s">
        <v>57</v>
      </c>
      <c r="Q353" s="8" t="s">
        <v>49</v>
      </c>
      <c r="R353" s="20" t="s">
        <v>49</v>
      </c>
      <c r="S353" s="8" t="s">
        <v>49</v>
      </c>
      <c r="T353" s="8" t="s">
        <v>49</v>
      </c>
      <c r="U353" s="8" t="s">
        <v>49</v>
      </c>
      <c r="V353" s="8" t="s">
        <v>49</v>
      </c>
      <c r="W353" s="8" t="s">
        <v>49</v>
      </c>
      <c r="X353" s="8" t="s">
        <v>55</v>
      </c>
      <c r="Y353" s="8" t="s">
        <v>55</v>
      </c>
      <c r="Z353" s="8" t="s">
        <v>55</v>
      </c>
      <c r="AA353" s="8" t="s">
        <v>231</v>
      </c>
      <c r="AB353" s="8" t="s">
        <v>60</v>
      </c>
      <c r="AC353" s="8" t="s">
        <v>1018</v>
      </c>
      <c r="AD353" s="12" t="s">
        <v>1771</v>
      </c>
      <c r="AE353" s="8" t="s">
        <v>49</v>
      </c>
      <c r="AF353" s="8" t="s">
        <v>49</v>
      </c>
      <c r="AG353" s="8" t="s">
        <v>63</v>
      </c>
      <c r="AH353" s="8" t="s">
        <v>55</v>
      </c>
      <c r="AI353" s="8" t="s">
        <v>463</v>
      </c>
      <c r="AJ353" s="8" t="s">
        <v>49</v>
      </c>
      <c r="AK353" s="8" t="s">
        <v>55</v>
      </c>
      <c r="AL353" s="8" t="s">
        <v>720</v>
      </c>
      <c r="AM353" s="8" t="s">
        <v>1293</v>
      </c>
      <c r="AN353" s="9" t="s">
        <v>1767</v>
      </c>
      <c r="AO353" s="9" t="s">
        <v>1768</v>
      </c>
      <c r="AP353" s="10" t="s">
        <v>1296</v>
      </c>
      <c r="AQ353" s="11"/>
      <c r="AR353" s="11"/>
      <c r="AS353" s="12"/>
      <c r="AT353" s="10" t="s">
        <v>1769</v>
      </c>
      <c r="AU353" s="11"/>
      <c r="AV353" s="13"/>
    </row>
    <row r="354" ht="16.5" hidden="1" customHeight="1">
      <c r="A354" s="7" t="s">
        <v>1772</v>
      </c>
      <c r="B354" s="7" t="s">
        <v>1290</v>
      </c>
      <c r="C354" s="14" t="s">
        <v>1291</v>
      </c>
      <c r="D354" s="14" t="s">
        <v>926</v>
      </c>
      <c r="E354" s="7"/>
      <c r="F354" s="7">
        <v>6735.0</v>
      </c>
      <c r="G354" s="7">
        <v>6734.0</v>
      </c>
      <c r="H354" s="7" t="s">
        <v>53</v>
      </c>
      <c r="I354" s="7"/>
      <c r="J354" s="7"/>
      <c r="K354" s="8" t="s">
        <v>55</v>
      </c>
      <c r="L354" s="8" t="s">
        <v>55</v>
      </c>
      <c r="M354" s="12" t="s">
        <v>55</v>
      </c>
      <c r="N354" s="8" t="s">
        <v>55</v>
      </c>
      <c r="O354" s="8" t="s">
        <v>217</v>
      </c>
      <c r="P354" s="8" t="s">
        <v>57</v>
      </c>
      <c r="Q354" s="8" t="s">
        <v>49</v>
      </c>
      <c r="R354" s="20" t="s">
        <v>49</v>
      </c>
      <c r="S354" s="8" t="s">
        <v>49</v>
      </c>
      <c r="T354" s="8" t="s">
        <v>49</v>
      </c>
      <c r="U354" s="8" t="s">
        <v>49</v>
      </c>
      <c r="V354" s="8" t="s">
        <v>49</v>
      </c>
      <c r="W354" s="8" t="s">
        <v>49</v>
      </c>
      <c r="X354" s="8" t="s">
        <v>55</v>
      </c>
      <c r="Y354" s="8" t="s">
        <v>55</v>
      </c>
      <c r="Z354" s="8" t="s">
        <v>55</v>
      </c>
      <c r="AA354" s="8" t="s">
        <v>231</v>
      </c>
      <c r="AB354" s="8" t="s">
        <v>60</v>
      </c>
      <c r="AC354" s="8" t="s">
        <v>1018</v>
      </c>
      <c r="AD354" s="12" t="s">
        <v>1771</v>
      </c>
      <c r="AE354" s="8" t="s">
        <v>49</v>
      </c>
      <c r="AF354" s="8" t="s">
        <v>49</v>
      </c>
      <c r="AG354" s="8" t="s">
        <v>63</v>
      </c>
      <c r="AH354" s="8" t="s">
        <v>55</v>
      </c>
      <c r="AI354" s="8" t="s">
        <v>65</v>
      </c>
      <c r="AJ354" s="8" t="s">
        <v>49</v>
      </c>
      <c r="AK354" s="8" t="s">
        <v>55</v>
      </c>
      <c r="AL354" s="8" t="s">
        <v>720</v>
      </c>
      <c r="AM354" s="8" t="s">
        <v>1293</v>
      </c>
      <c r="AN354" s="9" t="s">
        <v>1773</v>
      </c>
      <c r="AO354" s="9" t="s">
        <v>1774</v>
      </c>
      <c r="AP354" s="10" t="s">
        <v>1296</v>
      </c>
      <c r="AQ354" s="11"/>
      <c r="AR354" s="11"/>
      <c r="AS354" s="12"/>
      <c r="AT354" s="10" t="s">
        <v>1769</v>
      </c>
      <c r="AU354" s="11"/>
      <c r="AV354" s="13"/>
    </row>
    <row r="355" ht="16.5" hidden="1" customHeight="1">
      <c r="A355" s="7" t="s">
        <v>1775</v>
      </c>
      <c r="B355" s="7" t="s">
        <v>49</v>
      </c>
      <c r="C355" s="7" t="s">
        <v>213</v>
      </c>
      <c r="D355" s="7" t="s">
        <v>51</v>
      </c>
      <c r="E355" s="7" t="s">
        <v>227</v>
      </c>
      <c r="F355" s="7">
        <v>6736.0</v>
      </c>
      <c r="G355" s="7"/>
      <c r="H355" s="7" t="s">
        <v>53</v>
      </c>
      <c r="I355" s="7"/>
      <c r="J355" s="7"/>
      <c r="K355" s="8" t="s">
        <v>84</v>
      </c>
      <c r="L355" s="8" t="s">
        <v>377</v>
      </c>
      <c r="M355" s="8"/>
      <c r="N355" s="8" t="s">
        <v>85</v>
      </c>
      <c r="O355" s="8" t="s">
        <v>217</v>
      </c>
      <c r="P355" s="8" t="s">
        <v>57</v>
      </c>
      <c r="Q355" s="8" t="s">
        <v>140</v>
      </c>
      <c r="R355" s="8">
        <v>0.5</v>
      </c>
      <c r="S355" s="8" t="s">
        <v>49</v>
      </c>
      <c r="T355" s="8" t="s">
        <v>49</v>
      </c>
      <c r="U355" s="8" t="s">
        <v>1776</v>
      </c>
      <c r="V355" s="8" t="s">
        <v>1777</v>
      </c>
      <c r="W355" s="8" t="s">
        <v>1778</v>
      </c>
      <c r="X355" s="8" t="s">
        <v>108</v>
      </c>
      <c r="Y355" s="8" t="s">
        <v>1779</v>
      </c>
      <c r="Z355" s="8" t="s">
        <v>130</v>
      </c>
      <c r="AA355" s="8" t="s">
        <v>231</v>
      </c>
      <c r="AB355" s="8" t="s">
        <v>60</v>
      </c>
      <c r="AC355" s="8" t="s">
        <v>61</v>
      </c>
      <c r="AD355" s="8" t="s">
        <v>1780</v>
      </c>
      <c r="AE355" s="8" t="s">
        <v>55</v>
      </c>
      <c r="AF355" s="8" t="s">
        <v>55</v>
      </c>
      <c r="AG355" s="8" t="s">
        <v>63</v>
      </c>
      <c r="AH355" s="8" t="s">
        <v>145</v>
      </c>
      <c r="AI355" s="8" t="s">
        <v>94</v>
      </c>
      <c r="AJ355" s="8" t="s">
        <v>49</v>
      </c>
      <c r="AK355" s="8" t="s">
        <v>49</v>
      </c>
      <c r="AL355" s="8" t="s">
        <v>66</v>
      </c>
      <c r="AM355" s="8" t="s">
        <v>1781</v>
      </c>
      <c r="AN355" s="9" t="s">
        <v>1782</v>
      </c>
      <c r="AO355" s="9" t="s">
        <v>1783</v>
      </c>
      <c r="AP355" s="10" t="s">
        <v>1784</v>
      </c>
      <c r="AQ355" s="10" t="s">
        <v>1785</v>
      </c>
      <c r="AR355" s="10" t="s">
        <v>1786</v>
      </c>
      <c r="AS355" s="12"/>
      <c r="AT355" s="10" t="s">
        <v>1787</v>
      </c>
      <c r="AU355" s="10" t="s">
        <v>1788</v>
      </c>
      <c r="AV355" s="13"/>
    </row>
    <row r="356" ht="16.5" hidden="1" customHeight="1">
      <c r="A356" s="7" t="s">
        <v>1789</v>
      </c>
      <c r="B356" s="7" t="s">
        <v>49</v>
      </c>
      <c r="C356" s="7" t="s">
        <v>213</v>
      </c>
      <c r="D356" s="7" t="s">
        <v>51</v>
      </c>
      <c r="E356" s="7" t="s">
        <v>227</v>
      </c>
      <c r="F356" s="7">
        <v>6736.0</v>
      </c>
      <c r="G356" s="7">
        <v>6736.0</v>
      </c>
      <c r="H356" s="7" t="s">
        <v>53</v>
      </c>
      <c r="I356" s="7"/>
      <c r="J356" s="7"/>
      <c r="K356" s="8" t="s">
        <v>84</v>
      </c>
      <c r="L356" s="8" t="s">
        <v>377</v>
      </c>
      <c r="M356" s="12" t="s">
        <v>1549</v>
      </c>
      <c r="N356" s="8" t="s">
        <v>85</v>
      </c>
      <c r="O356" s="8" t="s">
        <v>217</v>
      </c>
      <c r="P356" s="8" t="s">
        <v>57</v>
      </c>
      <c r="Q356" s="8" t="s">
        <v>140</v>
      </c>
      <c r="R356" s="8">
        <v>0.5</v>
      </c>
      <c r="S356" s="8" t="s">
        <v>49</v>
      </c>
      <c r="T356" s="8" t="s">
        <v>49</v>
      </c>
      <c r="U356" s="8" t="s">
        <v>1776</v>
      </c>
      <c r="V356" s="8" t="s">
        <v>1777</v>
      </c>
      <c r="W356" s="8" t="s">
        <v>1778</v>
      </c>
      <c r="X356" s="8" t="s">
        <v>108</v>
      </c>
      <c r="Y356" s="8" t="s">
        <v>1779</v>
      </c>
      <c r="Z356" s="8" t="s">
        <v>130</v>
      </c>
      <c r="AA356" s="8" t="s">
        <v>231</v>
      </c>
      <c r="AB356" s="8" t="s">
        <v>60</v>
      </c>
      <c r="AC356" s="8" t="s">
        <v>61</v>
      </c>
      <c r="AD356" s="8" t="s">
        <v>1780</v>
      </c>
      <c r="AE356" s="8" t="s">
        <v>55</v>
      </c>
      <c r="AF356" s="8" t="s">
        <v>55</v>
      </c>
      <c r="AG356" s="8" t="s">
        <v>63</v>
      </c>
      <c r="AH356" s="8" t="s">
        <v>145</v>
      </c>
      <c r="AI356" s="8" t="s">
        <v>94</v>
      </c>
      <c r="AJ356" s="8" t="s">
        <v>49</v>
      </c>
      <c r="AK356" s="8" t="s">
        <v>95</v>
      </c>
      <c r="AL356" s="8" t="s">
        <v>66</v>
      </c>
      <c r="AM356" s="8" t="s">
        <v>1781</v>
      </c>
      <c r="AN356" s="16" t="s">
        <v>1782</v>
      </c>
      <c r="AO356" s="9" t="s">
        <v>1783</v>
      </c>
      <c r="AP356" s="10" t="s">
        <v>1784</v>
      </c>
      <c r="AQ356" s="10" t="s">
        <v>1785</v>
      </c>
      <c r="AR356" s="10" t="s">
        <v>1786</v>
      </c>
      <c r="AS356" s="12"/>
      <c r="AT356" s="10" t="s">
        <v>1787</v>
      </c>
      <c r="AU356" s="10" t="s">
        <v>1788</v>
      </c>
      <c r="AV356" s="15">
        <v>46315.0</v>
      </c>
    </row>
    <row r="357" ht="16.5" hidden="1" customHeight="1">
      <c r="A357" s="7" t="s">
        <v>1790</v>
      </c>
      <c r="B357" s="14" t="s">
        <v>49</v>
      </c>
      <c r="C357" s="14" t="s">
        <v>213</v>
      </c>
      <c r="D357" s="14" t="s">
        <v>51</v>
      </c>
      <c r="E357" s="7"/>
      <c r="F357" s="7">
        <v>6737.0</v>
      </c>
      <c r="G357" s="7">
        <v>6736.0</v>
      </c>
      <c r="H357" s="7" t="s">
        <v>53</v>
      </c>
      <c r="I357" s="7"/>
      <c r="J357" s="7"/>
      <c r="K357" s="8" t="s">
        <v>84</v>
      </c>
      <c r="L357" s="8" t="s">
        <v>377</v>
      </c>
      <c r="M357" s="12" t="s">
        <v>1549</v>
      </c>
      <c r="N357" s="8" t="s">
        <v>85</v>
      </c>
      <c r="O357" s="8" t="s">
        <v>217</v>
      </c>
      <c r="P357" s="8" t="s">
        <v>57</v>
      </c>
      <c r="Q357" s="8" t="s">
        <v>140</v>
      </c>
      <c r="R357" s="8">
        <v>0.5</v>
      </c>
      <c r="S357" s="8" t="s">
        <v>49</v>
      </c>
      <c r="T357" s="8" t="s">
        <v>49</v>
      </c>
      <c r="U357" s="8" t="s">
        <v>1776</v>
      </c>
      <c r="V357" s="8" t="s">
        <v>1777</v>
      </c>
      <c r="W357" s="8" t="s">
        <v>1778</v>
      </c>
      <c r="X357" s="8" t="s">
        <v>108</v>
      </c>
      <c r="Y357" s="8" t="s">
        <v>1779</v>
      </c>
      <c r="Z357" s="8" t="s">
        <v>130</v>
      </c>
      <c r="AA357" s="8" t="s">
        <v>231</v>
      </c>
      <c r="AB357" s="8" t="s">
        <v>60</v>
      </c>
      <c r="AC357" s="8" t="s">
        <v>61</v>
      </c>
      <c r="AD357" s="8" t="s">
        <v>1780</v>
      </c>
      <c r="AE357" s="8" t="s">
        <v>55</v>
      </c>
      <c r="AF357" s="8" t="s">
        <v>55</v>
      </c>
      <c r="AG357" s="8" t="s">
        <v>63</v>
      </c>
      <c r="AH357" s="8" t="s">
        <v>145</v>
      </c>
      <c r="AI357" s="8" t="s">
        <v>112</v>
      </c>
      <c r="AJ357" s="8" t="s">
        <v>49</v>
      </c>
      <c r="AK357" s="8" t="s">
        <v>95</v>
      </c>
      <c r="AL357" s="8" t="s">
        <v>66</v>
      </c>
      <c r="AM357" s="8" t="s">
        <v>1791</v>
      </c>
      <c r="AN357" s="9" t="s">
        <v>1792</v>
      </c>
      <c r="AO357" s="9" t="s">
        <v>1793</v>
      </c>
      <c r="AP357" s="10" t="s">
        <v>1784</v>
      </c>
      <c r="AQ357" s="10" t="s">
        <v>1785</v>
      </c>
      <c r="AR357" s="10" t="s">
        <v>1786</v>
      </c>
      <c r="AS357" s="12"/>
      <c r="AT357" s="10" t="s">
        <v>1787</v>
      </c>
      <c r="AU357" s="10" t="s">
        <v>1788</v>
      </c>
      <c r="AV357" s="15">
        <v>46315.0</v>
      </c>
    </row>
    <row r="358" ht="16.5" hidden="1" customHeight="1">
      <c r="A358" s="7" t="s">
        <v>1794</v>
      </c>
      <c r="B358" s="7" t="s">
        <v>49</v>
      </c>
      <c r="C358" s="7" t="s">
        <v>213</v>
      </c>
      <c r="D358" s="7" t="s">
        <v>51</v>
      </c>
      <c r="E358" s="7" t="s">
        <v>227</v>
      </c>
      <c r="F358" s="7">
        <v>6738.0</v>
      </c>
      <c r="G358" s="7"/>
      <c r="H358" s="7" t="s">
        <v>53</v>
      </c>
      <c r="I358" s="7"/>
      <c r="J358" s="7"/>
      <c r="K358" s="8" t="s">
        <v>84</v>
      </c>
      <c r="L358" s="8" t="s">
        <v>126</v>
      </c>
      <c r="M358" s="8"/>
      <c r="N358" s="8" t="s">
        <v>85</v>
      </c>
      <c r="O358" s="8" t="s">
        <v>217</v>
      </c>
      <c r="P358" s="8" t="s">
        <v>57</v>
      </c>
      <c r="Q358" s="8" t="s">
        <v>334</v>
      </c>
      <c r="R358" s="8">
        <v>0.46</v>
      </c>
      <c r="S358" s="8" t="s">
        <v>49</v>
      </c>
      <c r="T358" s="8" t="s">
        <v>49</v>
      </c>
      <c r="U358" s="8" t="s">
        <v>1795</v>
      </c>
      <c r="V358" s="8" t="s">
        <v>1796</v>
      </c>
      <c r="W358" s="8" t="s">
        <v>1536</v>
      </c>
      <c r="X358" s="8" t="s">
        <v>1797</v>
      </c>
      <c r="Y358" s="8" t="s">
        <v>1798</v>
      </c>
      <c r="Z358" s="8" t="s">
        <v>92</v>
      </c>
      <c r="AA358" s="8" t="s">
        <v>231</v>
      </c>
      <c r="AB358" s="8" t="s">
        <v>60</v>
      </c>
      <c r="AC358" s="8" t="s">
        <v>61</v>
      </c>
      <c r="AD358" s="8" t="s">
        <v>1799</v>
      </c>
      <c r="AE358" s="8" t="s">
        <v>55</v>
      </c>
      <c r="AF358" s="8" t="s">
        <v>55</v>
      </c>
      <c r="AG358" s="8" t="s">
        <v>63</v>
      </c>
      <c r="AH358" s="8" t="s">
        <v>111</v>
      </c>
      <c r="AI358" s="8" t="s">
        <v>94</v>
      </c>
      <c r="AJ358" s="8" t="s">
        <v>49</v>
      </c>
      <c r="AK358" s="8" t="s">
        <v>49</v>
      </c>
      <c r="AL358" s="8" t="s">
        <v>66</v>
      </c>
      <c r="AM358" s="8" t="s">
        <v>1800</v>
      </c>
      <c r="AN358" s="9" t="s">
        <v>1801</v>
      </c>
      <c r="AO358" s="9" t="s">
        <v>1802</v>
      </c>
      <c r="AP358" s="10" t="s">
        <v>1803</v>
      </c>
      <c r="AQ358" s="10" t="s">
        <v>1804</v>
      </c>
      <c r="AR358" s="10" t="s">
        <v>1805</v>
      </c>
      <c r="AS358" s="12"/>
      <c r="AT358" s="10" t="s">
        <v>1806</v>
      </c>
      <c r="AU358" s="10" t="s">
        <v>1807</v>
      </c>
      <c r="AV358" s="13"/>
    </row>
    <row r="359" ht="16.5" hidden="1" customHeight="1">
      <c r="A359" s="7" t="s">
        <v>1808</v>
      </c>
      <c r="B359" s="7" t="s">
        <v>49</v>
      </c>
      <c r="C359" s="7" t="s">
        <v>213</v>
      </c>
      <c r="D359" s="7" t="s">
        <v>51</v>
      </c>
      <c r="E359" s="7" t="s">
        <v>227</v>
      </c>
      <c r="F359" s="7">
        <v>6738.0</v>
      </c>
      <c r="G359" s="7">
        <v>6738.0</v>
      </c>
      <c r="H359" s="7" t="s">
        <v>53</v>
      </c>
      <c r="I359" s="7" t="s">
        <v>1809</v>
      </c>
      <c r="J359" s="7"/>
      <c r="K359" s="8" t="s">
        <v>84</v>
      </c>
      <c r="L359" s="8" t="s">
        <v>126</v>
      </c>
      <c r="M359" s="8"/>
      <c r="N359" s="8" t="s">
        <v>85</v>
      </c>
      <c r="O359" s="8" t="s">
        <v>217</v>
      </c>
      <c r="P359" s="8" t="s">
        <v>57</v>
      </c>
      <c r="Q359" s="8" t="s">
        <v>334</v>
      </c>
      <c r="R359" s="8">
        <v>0.46</v>
      </c>
      <c r="S359" s="8" t="s">
        <v>49</v>
      </c>
      <c r="T359" s="8" t="s">
        <v>49</v>
      </c>
      <c r="U359" s="8" t="s">
        <v>1795</v>
      </c>
      <c r="V359" s="8" t="s">
        <v>1796</v>
      </c>
      <c r="W359" s="8" t="s">
        <v>1536</v>
      </c>
      <c r="X359" s="8" t="s">
        <v>1797</v>
      </c>
      <c r="Y359" s="8" t="s">
        <v>1798</v>
      </c>
      <c r="Z359" s="8" t="s">
        <v>92</v>
      </c>
      <c r="AA359" s="8" t="s">
        <v>231</v>
      </c>
      <c r="AB359" s="8" t="s">
        <v>60</v>
      </c>
      <c r="AC359" s="8" t="s">
        <v>61</v>
      </c>
      <c r="AD359" s="8" t="s">
        <v>1799</v>
      </c>
      <c r="AE359" s="8" t="s">
        <v>55</v>
      </c>
      <c r="AF359" s="8" t="s">
        <v>55</v>
      </c>
      <c r="AG359" s="8" t="s">
        <v>63</v>
      </c>
      <c r="AH359" s="8" t="s">
        <v>111</v>
      </c>
      <c r="AI359" s="8" t="s">
        <v>94</v>
      </c>
      <c r="AJ359" s="8" t="s">
        <v>49</v>
      </c>
      <c r="AK359" s="8" t="s">
        <v>95</v>
      </c>
      <c r="AL359" s="8" t="s">
        <v>66</v>
      </c>
      <c r="AM359" s="8" t="s">
        <v>1800</v>
      </c>
      <c r="AN359" s="9" t="s">
        <v>1801</v>
      </c>
      <c r="AO359" s="9" t="s">
        <v>1802</v>
      </c>
      <c r="AP359" s="10" t="s">
        <v>1803</v>
      </c>
      <c r="AQ359" s="10" t="s">
        <v>1804</v>
      </c>
      <c r="AR359" s="10" t="s">
        <v>1805</v>
      </c>
      <c r="AS359" s="12"/>
      <c r="AT359" s="10" t="s">
        <v>1806</v>
      </c>
      <c r="AU359" s="10" t="s">
        <v>1807</v>
      </c>
      <c r="AV359" s="15">
        <v>46343.0</v>
      </c>
    </row>
    <row r="360" ht="16.5" hidden="1" customHeight="1">
      <c r="A360" s="7" t="s">
        <v>1810</v>
      </c>
      <c r="B360" s="14" t="s">
        <v>49</v>
      </c>
      <c r="C360" s="14" t="s">
        <v>213</v>
      </c>
      <c r="D360" s="14" t="s">
        <v>51</v>
      </c>
      <c r="E360" s="7"/>
      <c r="F360" s="7">
        <v>6739.0</v>
      </c>
      <c r="G360" s="7">
        <v>6738.0</v>
      </c>
      <c r="H360" s="7" t="s">
        <v>53</v>
      </c>
      <c r="I360" s="7" t="s">
        <v>1809</v>
      </c>
      <c r="J360" s="7"/>
      <c r="K360" s="8" t="s">
        <v>84</v>
      </c>
      <c r="L360" s="8" t="s">
        <v>126</v>
      </c>
      <c r="M360" s="8"/>
      <c r="N360" s="8" t="s">
        <v>85</v>
      </c>
      <c r="O360" s="8" t="s">
        <v>217</v>
      </c>
      <c r="P360" s="8" t="s">
        <v>57</v>
      </c>
      <c r="Q360" s="8" t="s">
        <v>334</v>
      </c>
      <c r="R360" s="8">
        <v>0.46</v>
      </c>
      <c r="S360" s="8" t="s">
        <v>49</v>
      </c>
      <c r="T360" s="8" t="s">
        <v>49</v>
      </c>
      <c r="U360" s="8" t="s">
        <v>1795</v>
      </c>
      <c r="V360" s="8" t="s">
        <v>1796</v>
      </c>
      <c r="W360" s="8" t="s">
        <v>1536</v>
      </c>
      <c r="X360" s="8" t="s">
        <v>1797</v>
      </c>
      <c r="Y360" s="8" t="s">
        <v>1798</v>
      </c>
      <c r="Z360" s="8" t="s">
        <v>92</v>
      </c>
      <c r="AA360" s="8" t="s">
        <v>231</v>
      </c>
      <c r="AB360" s="8" t="s">
        <v>60</v>
      </c>
      <c r="AC360" s="8" t="s">
        <v>61</v>
      </c>
      <c r="AD360" s="8" t="s">
        <v>1799</v>
      </c>
      <c r="AE360" s="8" t="s">
        <v>55</v>
      </c>
      <c r="AF360" s="8" t="s">
        <v>55</v>
      </c>
      <c r="AG360" s="8" t="s">
        <v>63</v>
      </c>
      <c r="AH360" s="8" t="s">
        <v>111</v>
      </c>
      <c r="AI360" s="8" t="s">
        <v>112</v>
      </c>
      <c r="AJ360" s="8" t="s">
        <v>49</v>
      </c>
      <c r="AK360" s="8" t="s">
        <v>95</v>
      </c>
      <c r="AL360" s="8" t="s">
        <v>66</v>
      </c>
      <c r="AM360" s="8"/>
      <c r="AN360" s="9" t="s">
        <v>1811</v>
      </c>
      <c r="AO360" s="9" t="s">
        <v>1812</v>
      </c>
      <c r="AP360" s="10" t="s">
        <v>1803</v>
      </c>
      <c r="AQ360" s="10" t="s">
        <v>1804</v>
      </c>
      <c r="AR360" s="10" t="s">
        <v>1805</v>
      </c>
      <c r="AS360" s="12"/>
      <c r="AT360" s="10" t="s">
        <v>1806</v>
      </c>
      <c r="AU360" s="10" t="s">
        <v>1807</v>
      </c>
      <c r="AV360" s="13"/>
    </row>
    <row r="361" ht="16.5" hidden="1" customHeight="1">
      <c r="A361" s="7" t="s">
        <v>1813</v>
      </c>
      <c r="B361" s="14" t="s">
        <v>49</v>
      </c>
      <c r="C361" s="14" t="s">
        <v>213</v>
      </c>
      <c r="D361" s="14" t="s">
        <v>51</v>
      </c>
      <c r="E361" s="7"/>
      <c r="F361" s="7">
        <v>6740.0</v>
      </c>
      <c r="G361" s="7">
        <v>6738.0</v>
      </c>
      <c r="H361" s="7" t="s">
        <v>53</v>
      </c>
      <c r="I361" s="7" t="s">
        <v>1814</v>
      </c>
      <c r="J361" s="7"/>
      <c r="K361" s="8" t="s">
        <v>84</v>
      </c>
      <c r="L361" s="8" t="s">
        <v>126</v>
      </c>
      <c r="M361" s="8"/>
      <c r="N361" s="8" t="s">
        <v>85</v>
      </c>
      <c r="O361" s="8" t="s">
        <v>217</v>
      </c>
      <c r="P361" s="8" t="s">
        <v>57</v>
      </c>
      <c r="Q361" s="8" t="s">
        <v>334</v>
      </c>
      <c r="R361" s="8">
        <v>0.46</v>
      </c>
      <c r="S361" s="8" t="s">
        <v>49</v>
      </c>
      <c r="T361" s="8" t="s">
        <v>49</v>
      </c>
      <c r="U361" s="8" t="s">
        <v>1795</v>
      </c>
      <c r="V361" s="8" t="s">
        <v>1796</v>
      </c>
      <c r="W361" s="8" t="s">
        <v>1536</v>
      </c>
      <c r="X361" s="8" t="s">
        <v>1797</v>
      </c>
      <c r="Y361" s="8" t="s">
        <v>1798</v>
      </c>
      <c r="Z361" s="8" t="s">
        <v>92</v>
      </c>
      <c r="AA361" s="8" t="s">
        <v>231</v>
      </c>
      <c r="AB361" s="8" t="s">
        <v>60</v>
      </c>
      <c r="AC361" s="8" t="s">
        <v>61</v>
      </c>
      <c r="AD361" s="8" t="s">
        <v>1815</v>
      </c>
      <c r="AE361" s="8" t="s">
        <v>55</v>
      </c>
      <c r="AF361" s="8" t="s">
        <v>55</v>
      </c>
      <c r="AG361" s="8" t="s">
        <v>63</v>
      </c>
      <c r="AH361" s="8" t="s">
        <v>111</v>
      </c>
      <c r="AI361" s="8" t="s">
        <v>94</v>
      </c>
      <c r="AJ361" s="8" t="s">
        <v>49</v>
      </c>
      <c r="AK361" s="8" t="s">
        <v>95</v>
      </c>
      <c r="AL361" s="8" t="s">
        <v>66</v>
      </c>
      <c r="AM361" s="8"/>
      <c r="AN361" s="9" t="s">
        <v>1816</v>
      </c>
      <c r="AO361" s="9" t="s">
        <v>1817</v>
      </c>
      <c r="AP361" s="10" t="s">
        <v>1803</v>
      </c>
      <c r="AQ361" s="10" t="s">
        <v>1818</v>
      </c>
      <c r="AR361" s="10" t="s">
        <v>1819</v>
      </c>
      <c r="AS361" s="12"/>
      <c r="AT361" s="10" t="s">
        <v>1820</v>
      </c>
      <c r="AU361" s="10" t="s">
        <v>1821</v>
      </c>
      <c r="AV361" s="13"/>
    </row>
    <row r="362" ht="16.5" hidden="1" customHeight="1">
      <c r="A362" s="7" t="s">
        <v>1822</v>
      </c>
      <c r="B362" s="14" t="s">
        <v>49</v>
      </c>
      <c r="C362" s="14" t="s">
        <v>213</v>
      </c>
      <c r="D362" s="14" t="s">
        <v>51</v>
      </c>
      <c r="E362" s="7"/>
      <c r="F362" s="7">
        <v>6741.0</v>
      </c>
      <c r="G362" s="7">
        <v>6738.0</v>
      </c>
      <c r="H362" s="7" t="s">
        <v>53</v>
      </c>
      <c r="I362" s="7" t="s">
        <v>1814</v>
      </c>
      <c r="J362" s="7"/>
      <c r="K362" s="8" t="s">
        <v>84</v>
      </c>
      <c r="L362" s="8" t="s">
        <v>126</v>
      </c>
      <c r="M362" s="8"/>
      <c r="N362" s="8" t="s">
        <v>85</v>
      </c>
      <c r="O362" s="8" t="s">
        <v>217</v>
      </c>
      <c r="P362" s="8" t="s">
        <v>57</v>
      </c>
      <c r="Q362" s="8" t="s">
        <v>334</v>
      </c>
      <c r="R362" s="8">
        <v>0.46</v>
      </c>
      <c r="S362" s="8" t="s">
        <v>49</v>
      </c>
      <c r="T362" s="8" t="s">
        <v>49</v>
      </c>
      <c r="U362" s="8" t="s">
        <v>1795</v>
      </c>
      <c r="V362" s="8" t="s">
        <v>1796</v>
      </c>
      <c r="W362" s="8" t="s">
        <v>1536</v>
      </c>
      <c r="X362" s="8" t="s">
        <v>1797</v>
      </c>
      <c r="Y362" s="8" t="s">
        <v>1798</v>
      </c>
      <c r="Z362" s="8" t="s">
        <v>92</v>
      </c>
      <c r="AA362" s="8" t="s">
        <v>231</v>
      </c>
      <c r="AB362" s="8" t="s">
        <v>60</v>
      </c>
      <c r="AC362" s="8" t="s">
        <v>61</v>
      </c>
      <c r="AD362" s="8" t="s">
        <v>1815</v>
      </c>
      <c r="AE362" s="8" t="s">
        <v>55</v>
      </c>
      <c r="AF362" s="8" t="s">
        <v>55</v>
      </c>
      <c r="AG362" s="8" t="s">
        <v>63</v>
      </c>
      <c r="AH362" s="8" t="s">
        <v>111</v>
      </c>
      <c r="AI362" s="8" t="s">
        <v>112</v>
      </c>
      <c r="AJ362" s="8" t="s">
        <v>49</v>
      </c>
      <c r="AK362" s="8" t="s">
        <v>95</v>
      </c>
      <c r="AL362" s="8" t="s">
        <v>66</v>
      </c>
      <c r="AM362" s="8"/>
      <c r="AN362" s="9" t="s">
        <v>1823</v>
      </c>
      <c r="AO362" s="9" t="s">
        <v>1824</v>
      </c>
      <c r="AP362" s="10" t="s">
        <v>1803</v>
      </c>
      <c r="AQ362" s="10" t="s">
        <v>1818</v>
      </c>
      <c r="AR362" s="10" t="s">
        <v>1819</v>
      </c>
      <c r="AS362" s="12"/>
      <c r="AT362" s="10" t="s">
        <v>1820</v>
      </c>
      <c r="AU362" s="10" t="s">
        <v>1821</v>
      </c>
      <c r="AV362" s="13"/>
    </row>
    <row r="363" ht="16.5" hidden="1" customHeight="1">
      <c r="A363" s="7" t="s">
        <v>1825</v>
      </c>
      <c r="B363" s="7" t="s">
        <v>1826</v>
      </c>
      <c r="C363" s="7" t="s">
        <v>1827</v>
      </c>
      <c r="D363" s="7" t="s">
        <v>1595</v>
      </c>
      <c r="E363" s="7" t="s">
        <v>52</v>
      </c>
      <c r="F363" s="7">
        <v>6742.0</v>
      </c>
      <c r="G363" s="7"/>
      <c r="H363" s="7" t="s">
        <v>53</v>
      </c>
      <c r="I363" s="7"/>
      <c r="J363" s="7"/>
      <c r="K363" s="8" t="s">
        <v>84</v>
      </c>
      <c r="L363" s="8" t="s">
        <v>126</v>
      </c>
      <c r="M363" s="8"/>
      <c r="N363" s="8" t="s">
        <v>85</v>
      </c>
      <c r="O363" s="8" t="s">
        <v>56</v>
      </c>
      <c r="P363" s="8" t="s">
        <v>57</v>
      </c>
      <c r="Q363" s="8" t="s">
        <v>334</v>
      </c>
      <c r="R363" s="20">
        <v>0.45</v>
      </c>
      <c r="S363" s="8" t="s">
        <v>49</v>
      </c>
      <c r="T363" s="8" t="s">
        <v>49</v>
      </c>
      <c r="U363" s="8" t="s">
        <v>1828</v>
      </c>
      <c r="V363" s="8" t="s">
        <v>1829</v>
      </c>
      <c r="W363" s="8" t="s">
        <v>1536</v>
      </c>
      <c r="X363" s="8" t="s">
        <v>108</v>
      </c>
      <c r="Y363" s="8" t="s">
        <v>1830</v>
      </c>
      <c r="Z363" s="8" t="s">
        <v>1831</v>
      </c>
      <c r="AA363" s="8" t="s">
        <v>59</v>
      </c>
      <c r="AB363" s="8" t="s">
        <v>60</v>
      </c>
      <c r="AC363" s="8" t="s">
        <v>1599</v>
      </c>
      <c r="AD363" s="8" t="s">
        <v>1832</v>
      </c>
      <c r="AE363" s="8" t="s">
        <v>55</v>
      </c>
      <c r="AF363" s="8" t="s">
        <v>55</v>
      </c>
      <c r="AG363" s="8" t="s">
        <v>63</v>
      </c>
      <c r="AH363" s="8" t="s">
        <v>1833</v>
      </c>
      <c r="AI363" s="8" t="s">
        <v>94</v>
      </c>
      <c r="AJ363" s="8" t="s">
        <v>49</v>
      </c>
      <c r="AK363" s="8" t="s">
        <v>49</v>
      </c>
      <c r="AL363" s="8" t="s">
        <v>66</v>
      </c>
      <c r="AM363" s="8" t="s">
        <v>1834</v>
      </c>
      <c r="AN363" s="9" t="s">
        <v>1835</v>
      </c>
      <c r="AO363" s="9" t="s">
        <v>1836</v>
      </c>
      <c r="AP363" s="10" t="s">
        <v>1837</v>
      </c>
      <c r="AQ363" s="10" t="s">
        <v>1838</v>
      </c>
      <c r="AR363" s="10" t="s">
        <v>1839</v>
      </c>
      <c r="AS363" s="12"/>
      <c r="AT363" s="10" t="s">
        <v>1840</v>
      </c>
      <c r="AU363" s="10" t="s">
        <v>1841</v>
      </c>
      <c r="AV363" s="13"/>
    </row>
    <row r="364" ht="16.5" hidden="1" customHeight="1">
      <c r="A364" s="7" t="s">
        <v>1842</v>
      </c>
      <c r="B364" s="7" t="s">
        <v>1826</v>
      </c>
      <c r="C364" s="14" t="s">
        <v>332</v>
      </c>
      <c r="D364" s="7" t="s">
        <v>1595</v>
      </c>
      <c r="E364" s="7" t="s">
        <v>52</v>
      </c>
      <c r="F364" s="7">
        <v>6742.0</v>
      </c>
      <c r="G364" s="7">
        <v>6742.0</v>
      </c>
      <c r="H364" s="7" t="s">
        <v>53</v>
      </c>
      <c r="I364" s="7"/>
      <c r="J364" s="7"/>
      <c r="K364" s="8" t="s">
        <v>84</v>
      </c>
      <c r="L364" s="8" t="s">
        <v>126</v>
      </c>
      <c r="M364" s="8"/>
      <c r="N364" s="8" t="s">
        <v>85</v>
      </c>
      <c r="O364" s="8" t="s">
        <v>56</v>
      </c>
      <c r="P364" s="8" t="s">
        <v>57</v>
      </c>
      <c r="Q364" s="8" t="s">
        <v>334</v>
      </c>
      <c r="R364" s="20">
        <v>0.45</v>
      </c>
      <c r="S364" s="8" t="s">
        <v>49</v>
      </c>
      <c r="T364" s="8" t="s">
        <v>49</v>
      </c>
      <c r="U364" s="8" t="s">
        <v>1828</v>
      </c>
      <c r="V364" s="8" t="s">
        <v>1829</v>
      </c>
      <c r="W364" s="8" t="s">
        <v>1536</v>
      </c>
      <c r="X364" s="8" t="s">
        <v>108</v>
      </c>
      <c r="Y364" s="8" t="s">
        <v>1830</v>
      </c>
      <c r="Z364" s="8" t="s">
        <v>1831</v>
      </c>
      <c r="AA364" s="8" t="s">
        <v>59</v>
      </c>
      <c r="AB364" s="8" t="s">
        <v>60</v>
      </c>
      <c r="AC364" s="8" t="s">
        <v>1599</v>
      </c>
      <c r="AD364" s="8" t="s">
        <v>1832</v>
      </c>
      <c r="AE364" s="8" t="s">
        <v>55</v>
      </c>
      <c r="AF364" s="8" t="s">
        <v>55</v>
      </c>
      <c r="AG364" s="8" t="s">
        <v>63</v>
      </c>
      <c r="AH364" s="8" t="s">
        <v>1833</v>
      </c>
      <c r="AI364" s="8" t="s">
        <v>94</v>
      </c>
      <c r="AJ364" s="8" t="s">
        <v>49</v>
      </c>
      <c r="AK364" s="8" t="s">
        <v>95</v>
      </c>
      <c r="AL364" s="8" t="s">
        <v>66</v>
      </c>
      <c r="AM364" s="8" t="s">
        <v>1834</v>
      </c>
      <c r="AN364" s="9" t="s">
        <v>1835</v>
      </c>
      <c r="AO364" s="9" t="s">
        <v>1836</v>
      </c>
      <c r="AP364" s="10" t="s">
        <v>1837</v>
      </c>
      <c r="AQ364" s="10" t="s">
        <v>1838</v>
      </c>
      <c r="AR364" s="10" t="s">
        <v>1839</v>
      </c>
      <c r="AS364" s="12"/>
      <c r="AT364" s="10" t="s">
        <v>1840</v>
      </c>
      <c r="AU364" s="10" t="s">
        <v>1841</v>
      </c>
      <c r="AV364" s="13"/>
    </row>
    <row r="365" ht="16.5" hidden="1" customHeight="1">
      <c r="A365" s="7" t="s">
        <v>1843</v>
      </c>
      <c r="B365" s="7" t="s">
        <v>1826</v>
      </c>
      <c r="C365" s="14" t="s">
        <v>332</v>
      </c>
      <c r="D365" s="14" t="s">
        <v>1595</v>
      </c>
      <c r="E365" s="7"/>
      <c r="F365" s="7">
        <v>6743.0</v>
      </c>
      <c r="G365" s="7">
        <v>6742.0</v>
      </c>
      <c r="H365" s="7" t="s">
        <v>53</v>
      </c>
      <c r="I365" s="7"/>
      <c r="J365" s="7"/>
      <c r="K365" s="8" t="s">
        <v>84</v>
      </c>
      <c r="L365" s="8" t="s">
        <v>126</v>
      </c>
      <c r="M365" s="8"/>
      <c r="N365" s="8" t="s">
        <v>85</v>
      </c>
      <c r="O365" s="8" t="s">
        <v>56</v>
      </c>
      <c r="P365" s="8" t="s">
        <v>57</v>
      </c>
      <c r="Q365" s="8" t="s">
        <v>334</v>
      </c>
      <c r="R365" s="20">
        <v>0.45</v>
      </c>
      <c r="S365" s="8" t="s">
        <v>49</v>
      </c>
      <c r="T365" s="8" t="s">
        <v>49</v>
      </c>
      <c r="U365" s="8" t="s">
        <v>1828</v>
      </c>
      <c r="V365" s="8" t="s">
        <v>1829</v>
      </c>
      <c r="W365" s="8" t="s">
        <v>89</v>
      </c>
      <c r="X365" s="8" t="s">
        <v>108</v>
      </c>
      <c r="Y365" s="8" t="s">
        <v>1830</v>
      </c>
      <c r="Z365" s="8" t="s">
        <v>1831</v>
      </c>
      <c r="AA365" s="8" t="s">
        <v>59</v>
      </c>
      <c r="AB365" s="8" t="s">
        <v>60</v>
      </c>
      <c r="AC365" s="8" t="s">
        <v>1599</v>
      </c>
      <c r="AD365" s="8" t="s">
        <v>1832</v>
      </c>
      <c r="AE365" s="8" t="s">
        <v>55</v>
      </c>
      <c r="AF365" s="8" t="s">
        <v>55</v>
      </c>
      <c r="AG365" s="8" t="s">
        <v>63</v>
      </c>
      <c r="AH365" s="8" t="s">
        <v>1833</v>
      </c>
      <c r="AI365" s="8" t="s">
        <v>94</v>
      </c>
      <c r="AJ365" s="8" t="s">
        <v>49</v>
      </c>
      <c r="AK365" s="8" t="s">
        <v>95</v>
      </c>
      <c r="AL365" s="8" t="s">
        <v>66</v>
      </c>
      <c r="AM365" s="8" t="s">
        <v>1834</v>
      </c>
      <c r="AN365" s="9" t="s">
        <v>1835</v>
      </c>
      <c r="AO365" s="9" t="s">
        <v>1836</v>
      </c>
      <c r="AP365" s="10" t="s">
        <v>1837</v>
      </c>
      <c r="AQ365" s="10" t="s">
        <v>1838</v>
      </c>
      <c r="AR365" s="10" t="s">
        <v>1839</v>
      </c>
      <c r="AS365" s="12"/>
      <c r="AT365" s="10" t="s">
        <v>1840</v>
      </c>
      <c r="AU365" s="10" t="s">
        <v>1841</v>
      </c>
      <c r="AV365" s="13"/>
    </row>
    <row r="366" ht="16.5" hidden="1" customHeight="1">
      <c r="A366" s="7" t="s">
        <v>1844</v>
      </c>
      <c r="B366" s="7" t="s">
        <v>1826</v>
      </c>
      <c r="C366" s="14" t="s">
        <v>332</v>
      </c>
      <c r="D366" s="14" t="s">
        <v>1595</v>
      </c>
      <c r="E366" s="7"/>
      <c r="F366" s="7">
        <v>6744.0</v>
      </c>
      <c r="G366" s="7">
        <v>6742.0</v>
      </c>
      <c r="H366" s="7" t="s">
        <v>53</v>
      </c>
      <c r="I366" s="7"/>
      <c r="J366" s="7"/>
      <c r="K366" s="8" t="s">
        <v>84</v>
      </c>
      <c r="L366" s="8" t="s">
        <v>126</v>
      </c>
      <c r="M366" s="12" t="s">
        <v>55</v>
      </c>
      <c r="N366" s="8" t="s">
        <v>85</v>
      </c>
      <c r="O366" s="8" t="s">
        <v>1845</v>
      </c>
      <c r="P366" s="8" t="s">
        <v>55</v>
      </c>
      <c r="Q366" s="8" t="s">
        <v>334</v>
      </c>
      <c r="R366" s="20" t="s">
        <v>55</v>
      </c>
      <c r="S366" s="8" t="s">
        <v>49</v>
      </c>
      <c r="T366" s="8" t="s">
        <v>49</v>
      </c>
      <c r="U366" s="8" t="s">
        <v>1828</v>
      </c>
      <c r="V366" s="8" t="s">
        <v>1829</v>
      </c>
      <c r="W366" s="8" t="s">
        <v>1536</v>
      </c>
      <c r="X366" s="8" t="s">
        <v>108</v>
      </c>
      <c r="Y366" s="8" t="s">
        <v>1830</v>
      </c>
      <c r="Z366" s="8" t="s">
        <v>1831</v>
      </c>
      <c r="AA366" s="8" t="s">
        <v>59</v>
      </c>
      <c r="AB366" s="8" t="s">
        <v>1846</v>
      </c>
      <c r="AC366" s="8" t="s">
        <v>1599</v>
      </c>
      <c r="AD366" s="8" t="s">
        <v>1832</v>
      </c>
      <c r="AE366" s="8" t="s">
        <v>55</v>
      </c>
      <c r="AF366" s="8" t="s">
        <v>55</v>
      </c>
      <c r="AG366" s="8" t="s">
        <v>63</v>
      </c>
      <c r="AH366" s="8" t="s">
        <v>1833</v>
      </c>
      <c r="AI366" s="8" t="s">
        <v>94</v>
      </c>
      <c r="AJ366" s="8" t="s">
        <v>49</v>
      </c>
      <c r="AK366" s="8" t="s">
        <v>95</v>
      </c>
      <c r="AL366" s="8" t="s">
        <v>66</v>
      </c>
      <c r="AM366" s="8" t="s">
        <v>1834</v>
      </c>
      <c r="AN366" s="9" t="s">
        <v>1835</v>
      </c>
      <c r="AO366" s="9" t="s">
        <v>1836</v>
      </c>
      <c r="AP366" s="10" t="s">
        <v>1837</v>
      </c>
      <c r="AQ366" s="10" t="s">
        <v>1838</v>
      </c>
      <c r="AR366" s="10" t="s">
        <v>1847</v>
      </c>
      <c r="AS366" s="12"/>
      <c r="AT366" s="10" t="s">
        <v>1840</v>
      </c>
      <c r="AU366" s="10" t="s">
        <v>1841</v>
      </c>
      <c r="AV366" s="15">
        <v>46315.0</v>
      </c>
    </row>
    <row r="367" ht="16.5" hidden="1" customHeight="1">
      <c r="A367" s="7" t="s">
        <v>1848</v>
      </c>
      <c r="B367" s="7" t="s">
        <v>1826</v>
      </c>
      <c r="C367" s="14" t="s">
        <v>332</v>
      </c>
      <c r="D367" s="14" t="s">
        <v>1595</v>
      </c>
      <c r="E367" s="7"/>
      <c r="F367" s="7">
        <v>6745.0</v>
      </c>
      <c r="G367" s="7">
        <v>6742.0</v>
      </c>
      <c r="H367" s="7" t="s">
        <v>53</v>
      </c>
      <c r="I367" s="7"/>
      <c r="J367" s="7"/>
      <c r="K367" s="8" t="s">
        <v>84</v>
      </c>
      <c r="L367" s="8" t="s">
        <v>126</v>
      </c>
      <c r="M367" s="12" t="s">
        <v>55</v>
      </c>
      <c r="N367" s="8" t="s">
        <v>85</v>
      </c>
      <c r="O367" s="8" t="s">
        <v>1845</v>
      </c>
      <c r="P367" s="8" t="s">
        <v>55</v>
      </c>
      <c r="Q367" s="8" t="s">
        <v>334</v>
      </c>
      <c r="R367" s="20" t="s">
        <v>55</v>
      </c>
      <c r="S367" s="8" t="s">
        <v>49</v>
      </c>
      <c r="T367" s="8" t="s">
        <v>49</v>
      </c>
      <c r="U367" s="8" t="s">
        <v>1828</v>
      </c>
      <c r="V367" s="8" t="s">
        <v>1829</v>
      </c>
      <c r="W367" s="8" t="s">
        <v>89</v>
      </c>
      <c r="X367" s="8" t="s">
        <v>108</v>
      </c>
      <c r="Y367" s="8" t="s">
        <v>1830</v>
      </c>
      <c r="Z367" s="8" t="s">
        <v>1831</v>
      </c>
      <c r="AA367" s="8" t="s">
        <v>59</v>
      </c>
      <c r="AB367" s="8" t="s">
        <v>1846</v>
      </c>
      <c r="AC367" s="8" t="s">
        <v>1599</v>
      </c>
      <c r="AD367" s="8" t="s">
        <v>1832</v>
      </c>
      <c r="AE367" s="8" t="s">
        <v>55</v>
      </c>
      <c r="AF367" s="8" t="s">
        <v>55</v>
      </c>
      <c r="AG367" s="8" t="s">
        <v>63</v>
      </c>
      <c r="AH367" s="8" t="s">
        <v>1833</v>
      </c>
      <c r="AI367" s="8" t="s">
        <v>94</v>
      </c>
      <c r="AJ367" s="8" t="s">
        <v>49</v>
      </c>
      <c r="AK367" s="8" t="s">
        <v>95</v>
      </c>
      <c r="AL367" s="8" t="s">
        <v>66</v>
      </c>
      <c r="AM367" s="8" t="s">
        <v>1834</v>
      </c>
      <c r="AN367" s="9" t="s">
        <v>1835</v>
      </c>
      <c r="AO367" s="9" t="s">
        <v>1836</v>
      </c>
      <c r="AP367" s="10" t="s">
        <v>1837</v>
      </c>
      <c r="AQ367" s="10" t="s">
        <v>1838</v>
      </c>
      <c r="AR367" s="10" t="s">
        <v>1847</v>
      </c>
      <c r="AS367" s="12"/>
      <c r="AT367" s="10" t="s">
        <v>1840</v>
      </c>
      <c r="AU367" s="10" t="s">
        <v>1841</v>
      </c>
      <c r="AV367" s="13"/>
    </row>
    <row r="368" ht="16.5" hidden="1" customHeight="1">
      <c r="A368" s="7" t="s">
        <v>1849</v>
      </c>
      <c r="B368" s="7" t="s">
        <v>1826</v>
      </c>
      <c r="C368" s="14" t="s">
        <v>332</v>
      </c>
      <c r="D368" s="14" t="s">
        <v>1595</v>
      </c>
      <c r="E368" s="7"/>
      <c r="F368" s="7">
        <v>6746.0</v>
      </c>
      <c r="G368" s="7">
        <v>6742.0</v>
      </c>
      <c r="H368" s="7" t="s">
        <v>53</v>
      </c>
      <c r="I368" s="7"/>
      <c r="J368" s="7"/>
      <c r="K368" s="8" t="s">
        <v>84</v>
      </c>
      <c r="L368" s="8" t="s">
        <v>126</v>
      </c>
      <c r="M368" s="8"/>
      <c r="N368" s="8" t="s">
        <v>85</v>
      </c>
      <c r="O368" s="8" t="s">
        <v>56</v>
      </c>
      <c r="P368" s="8" t="s">
        <v>57</v>
      </c>
      <c r="Q368" s="8" t="s">
        <v>1299</v>
      </c>
      <c r="R368" s="20">
        <v>0.49</v>
      </c>
      <c r="S368" s="8" t="s">
        <v>49</v>
      </c>
      <c r="T368" s="8" t="s">
        <v>49</v>
      </c>
      <c r="U368" s="8" t="s">
        <v>1850</v>
      </c>
      <c r="V368" s="8" t="s">
        <v>1851</v>
      </c>
      <c r="W368" s="8" t="s">
        <v>1536</v>
      </c>
      <c r="X368" s="8" t="s">
        <v>108</v>
      </c>
      <c r="Y368" s="8" t="s">
        <v>1830</v>
      </c>
      <c r="Z368" s="8" t="s">
        <v>1852</v>
      </c>
      <c r="AA368" s="8" t="s">
        <v>59</v>
      </c>
      <c r="AB368" s="8" t="s">
        <v>60</v>
      </c>
      <c r="AC368" s="8" t="s">
        <v>1599</v>
      </c>
      <c r="AD368" s="8" t="s">
        <v>1853</v>
      </c>
      <c r="AE368" s="8" t="s">
        <v>55</v>
      </c>
      <c r="AF368" s="8" t="s">
        <v>55</v>
      </c>
      <c r="AG368" s="8" t="s">
        <v>63</v>
      </c>
      <c r="AH368" s="8" t="s">
        <v>1833</v>
      </c>
      <c r="AI368" s="8" t="s">
        <v>94</v>
      </c>
      <c r="AJ368" s="8" t="s">
        <v>49</v>
      </c>
      <c r="AK368" s="8" t="s">
        <v>95</v>
      </c>
      <c r="AL368" s="8" t="s">
        <v>66</v>
      </c>
      <c r="AM368" s="8" t="s">
        <v>1834</v>
      </c>
      <c r="AN368" s="9" t="s">
        <v>1854</v>
      </c>
      <c r="AO368" s="9" t="s">
        <v>1855</v>
      </c>
      <c r="AP368" s="10" t="s">
        <v>1837</v>
      </c>
      <c r="AQ368" s="10" t="s">
        <v>1856</v>
      </c>
      <c r="AR368" s="10" t="s">
        <v>1857</v>
      </c>
      <c r="AS368" s="12"/>
      <c r="AT368" s="10" t="s">
        <v>1858</v>
      </c>
      <c r="AU368" s="10" t="s">
        <v>1859</v>
      </c>
      <c r="AV368" s="13"/>
    </row>
    <row r="369" ht="16.5" hidden="1" customHeight="1">
      <c r="A369" s="7" t="s">
        <v>1860</v>
      </c>
      <c r="B369" s="7" t="s">
        <v>1826</v>
      </c>
      <c r="C369" s="14" t="s">
        <v>332</v>
      </c>
      <c r="D369" s="14" t="s">
        <v>1595</v>
      </c>
      <c r="E369" s="7"/>
      <c r="F369" s="7">
        <v>6747.0</v>
      </c>
      <c r="G369" s="7">
        <v>6742.0</v>
      </c>
      <c r="H369" s="7" t="s">
        <v>53</v>
      </c>
      <c r="I369" s="7"/>
      <c r="J369" s="7"/>
      <c r="K369" s="8" t="s">
        <v>84</v>
      </c>
      <c r="L369" s="8" t="s">
        <v>126</v>
      </c>
      <c r="M369" s="8"/>
      <c r="N369" s="8" t="s">
        <v>85</v>
      </c>
      <c r="O369" s="8" t="s">
        <v>56</v>
      </c>
      <c r="P369" s="8" t="s">
        <v>57</v>
      </c>
      <c r="Q369" s="8" t="s">
        <v>1299</v>
      </c>
      <c r="R369" s="20">
        <v>0.49</v>
      </c>
      <c r="S369" s="8" t="s">
        <v>49</v>
      </c>
      <c r="T369" s="8" t="s">
        <v>49</v>
      </c>
      <c r="U369" s="8" t="s">
        <v>1850</v>
      </c>
      <c r="V369" s="8" t="s">
        <v>1851</v>
      </c>
      <c r="W369" s="8" t="s">
        <v>89</v>
      </c>
      <c r="X369" s="8" t="s">
        <v>108</v>
      </c>
      <c r="Y369" s="8" t="s">
        <v>1830</v>
      </c>
      <c r="Z369" s="8" t="s">
        <v>1852</v>
      </c>
      <c r="AA369" s="8" t="s">
        <v>59</v>
      </c>
      <c r="AB369" s="8" t="s">
        <v>60</v>
      </c>
      <c r="AC369" s="8" t="s">
        <v>1599</v>
      </c>
      <c r="AD369" s="8" t="s">
        <v>1853</v>
      </c>
      <c r="AE369" s="8" t="s">
        <v>55</v>
      </c>
      <c r="AF369" s="8" t="s">
        <v>55</v>
      </c>
      <c r="AG369" s="8" t="s">
        <v>63</v>
      </c>
      <c r="AH369" s="8" t="s">
        <v>1833</v>
      </c>
      <c r="AI369" s="8" t="s">
        <v>94</v>
      </c>
      <c r="AJ369" s="8" t="s">
        <v>49</v>
      </c>
      <c r="AK369" s="8" t="s">
        <v>95</v>
      </c>
      <c r="AL369" s="8" t="s">
        <v>66</v>
      </c>
      <c r="AM369" s="8" t="s">
        <v>1834</v>
      </c>
      <c r="AN369" s="9" t="s">
        <v>1854</v>
      </c>
      <c r="AO369" s="9" t="s">
        <v>1855</v>
      </c>
      <c r="AP369" s="10" t="s">
        <v>1837</v>
      </c>
      <c r="AQ369" s="10" t="s">
        <v>1856</v>
      </c>
      <c r="AR369" s="10" t="s">
        <v>1857</v>
      </c>
      <c r="AS369" s="12"/>
      <c r="AT369" s="10" t="s">
        <v>1858</v>
      </c>
      <c r="AU369" s="10" t="s">
        <v>1859</v>
      </c>
      <c r="AV369" s="13"/>
    </row>
    <row r="370" ht="16.5" hidden="1" customHeight="1">
      <c r="A370" s="7" t="s">
        <v>1861</v>
      </c>
      <c r="B370" s="7" t="s">
        <v>1826</v>
      </c>
      <c r="C370" s="14" t="s">
        <v>332</v>
      </c>
      <c r="D370" s="14" t="s">
        <v>1595</v>
      </c>
      <c r="E370" s="7"/>
      <c r="F370" s="7">
        <v>6748.0</v>
      </c>
      <c r="G370" s="7">
        <v>6742.0</v>
      </c>
      <c r="H370" s="7" t="s">
        <v>53</v>
      </c>
      <c r="I370" s="7"/>
      <c r="J370" s="7"/>
      <c r="K370" s="8" t="s">
        <v>84</v>
      </c>
      <c r="L370" s="8" t="s">
        <v>126</v>
      </c>
      <c r="M370" s="12" t="s">
        <v>55</v>
      </c>
      <c r="N370" s="8" t="s">
        <v>85</v>
      </c>
      <c r="O370" s="8" t="s">
        <v>1845</v>
      </c>
      <c r="P370" s="8" t="s">
        <v>55</v>
      </c>
      <c r="Q370" s="8" t="s">
        <v>1299</v>
      </c>
      <c r="R370" s="20" t="s">
        <v>55</v>
      </c>
      <c r="S370" s="8" t="s">
        <v>49</v>
      </c>
      <c r="T370" s="8" t="s">
        <v>49</v>
      </c>
      <c r="U370" s="8" t="s">
        <v>1850</v>
      </c>
      <c r="V370" s="8" t="s">
        <v>1851</v>
      </c>
      <c r="W370" s="8" t="s">
        <v>1536</v>
      </c>
      <c r="X370" s="8" t="s">
        <v>108</v>
      </c>
      <c r="Y370" s="8" t="s">
        <v>1830</v>
      </c>
      <c r="Z370" s="8" t="s">
        <v>1852</v>
      </c>
      <c r="AA370" s="8" t="s">
        <v>59</v>
      </c>
      <c r="AB370" s="8" t="s">
        <v>1846</v>
      </c>
      <c r="AC370" s="8" t="s">
        <v>1599</v>
      </c>
      <c r="AD370" s="8" t="s">
        <v>1853</v>
      </c>
      <c r="AE370" s="8" t="s">
        <v>55</v>
      </c>
      <c r="AF370" s="8" t="s">
        <v>55</v>
      </c>
      <c r="AG370" s="8" t="s">
        <v>63</v>
      </c>
      <c r="AH370" s="8" t="s">
        <v>1833</v>
      </c>
      <c r="AI370" s="8" t="s">
        <v>94</v>
      </c>
      <c r="AJ370" s="8" t="s">
        <v>49</v>
      </c>
      <c r="AK370" s="8" t="s">
        <v>95</v>
      </c>
      <c r="AL370" s="8" t="s">
        <v>66</v>
      </c>
      <c r="AM370" s="8" t="s">
        <v>1834</v>
      </c>
      <c r="AN370" s="9" t="s">
        <v>1854</v>
      </c>
      <c r="AO370" s="9" t="s">
        <v>1855</v>
      </c>
      <c r="AP370" s="10" t="s">
        <v>1837</v>
      </c>
      <c r="AQ370" s="10" t="s">
        <v>1856</v>
      </c>
      <c r="AR370" s="10" t="s">
        <v>1862</v>
      </c>
      <c r="AS370" s="12"/>
      <c r="AT370" s="10" t="s">
        <v>1858</v>
      </c>
      <c r="AU370" s="10" t="s">
        <v>1859</v>
      </c>
      <c r="AV370" s="15">
        <v>46315.0</v>
      </c>
    </row>
    <row r="371" ht="16.5" hidden="1" customHeight="1">
      <c r="A371" s="7" t="s">
        <v>1863</v>
      </c>
      <c r="B371" s="7" t="s">
        <v>1826</v>
      </c>
      <c r="C371" s="14" t="s">
        <v>332</v>
      </c>
      <c r="D371" s="14" t="s">
        <v>1595</v>
      </c>
      <c r="E371" s="7"/>
      <c r="F371" s="7">
        <v>6749.0</v>
      </c>
      <c r="G371" s="7">
        <v>6742.0</v>
      </c>
      <c r="H371" s="7" t="s">
        <v>53</v>
      </c>
      <c r="I371" s="7"/>
      <c r="J371" s="7"/>
      <c r="K371" s="8" t="s">
        <v>84</v>
      </c>
      <c r="L371" s="8" t="s">
        <v>126</v>
      </c>
      <c r="M371" s="12" t="s">
        <v>55</v>
      </c>
      <c r="N371" s="8" t="s">
        <v>85</v>
      </c>
      <c r="O371" s="8" t="s">
        <v>1845</v>
      </c>
      <c r="P371" s="8" t="s">
        <v>55</v>
      </c>
      <c r="Q371" s="8" t="s">
        <v>1299</v>
      </c>
      <c r="R371" s="20" t="s">
        <v>55</v>
      </c>
      <c r="S371" s="8" t="s">
        <v>49</v>
      </c>
      <c r="T371" s="8" t="s">
        <v>49</v>
      </c>
      <c r="U371" s="8" t="s">
        <v>1850</v>
      </c>
      <c r="V371" s="8" t="s">
        <v>1851</v>
      </c>
      <c r="W371" s="8" t="s">
        <v>89</v>
      </c>
      <c r="X371" s="8" t="s">
        <v>108</v>
      </c>
      <c r="Y371" s="8" t="s">
        <v>1830</v>
      </c>
      <c r="Z371" s="8" t="s">
        <v>1852</v>
      </c>
      <c r="AA371" s="8" t="s">
        <v>59</v>
      </c>
      <c r="AB371" s="8" t="s">
        <v>1846</v>
      </c>
      <c r="AC371" s="8" t="s">
        <v>1599</v>
      </c>
      <c r="AD371" s="8" t="s">
        <v>1853</v>
      </c>
      <c r="AE371" s="8" t="s">
        <v>55</v>
      </c>
      <c r="AF371" s="8" t="s">
        <v>55</v>
      </c>
      <c r="AG371" s="8" t="s">
        <v>63</v>
      </c>
      <c r="AH371" s="8" t="s">
        <v>1833</v>
      </c>
      <c r="AI371" s="8" t="s">
        <v>94</v>
      </c>
      <c r="AJ371" s="8" t="s">
        <v>49</v>
      </c>
      <c r="AK371" s="8" t="s">
        <v>95</v>
      </c>
      <c r="AL371" s="8" t="s">
        <v>66</v>
      </c>
      <c r="AM371" s="8" t="s">
        <v>1834</v>
      </c>
      <c r="AN371" s="9" t="s">
        <v>1854</v>
      </c>
      <c r="AO371" s="9" t="s">
        <v>1855</v>
      </c>
      <c r="AP371" s="10" t="s">
        <v>1837</v>
      </c>
      <c r="AQ371" s="10" t="s">
        <v>1856</v>
      </c>
      <c r="AR371" s="10" t="s">
        <v>1862</v>
      </c>
      <c r="AS371" s="12"/>
      <c r="AT371" s="10" t="s">
        <v>1858</v>
      </c>
      <c r="AU371" s="10" t="s">
        <v>1859</v>
      </c>
      <c r="AV371" s="13"/>
    </row>
    <row r="372" ht="16.5" hidden="1" customHeight="1">
      <c r="A372" s="7" t="s">
        <v>1864</v>
      </c>
      <c r="B372" s="7" t="s">
        <v>1826</v>
      </c>
      <c r="C372" s="14" t="s">
        <v>332</v>
      </c>
      <c r="D372" s="14" t="s">
        <v>1595</v>
      </c>
      <c r="E372" s="7"/>
      <c r="F372" s="7">
        <v>6750.0</v>
      </c>
      <c r="G372" s="7">
        <v>6742.0</v>
      </c>
      <c r="H372" s="7" t="s">
        <v>53</v>
      </c>
      <c r="I372" s="7"/>
      <c r="J372" s="7"/>
      <c r="K372" s="8" t="s">
        <v>84</v>
      </c>
      <c r="L372" s="8" t="s">
        <v>126</v>
      </c>
      <c r="M372" s="8"/>
      <c r="N372" s="8" t="s">
        <v>85</v>
      </c>
      <c r="O372" s="8" t="s">
        <v>56</v>
      </c>
      <c r="P372" s="8" t="s">
        <v>57</v>
      </c>
      <c r="Q372" s="8" t="s">
        <v>1865</v>
      </c>
      <c r="R372" s="20">
        <v>0.51</v>
      </c>
      <c r="S372" s="8" t="s">
        <v>49</v>
      </c>
      <c r="T372" s="8" t="s">
        <v>49</v>
      </c>
      <c r="U372" s="8" t="s">
        <v>1866</v>
      </c>
      <c r="V372" s="8" t="s">
        <v>1796</v>
      </c>
      <c r="W372" s="8" t="s">
        <v>1536</v>
      </c>
      <c r="X372" s="8" t="s">
        <v>108</v>
      </c>
      <c r="Y372" s="8" t="s">
        <v>1830</v>
      </c>
      <c r="Z372" s="8" t="s">
        <v>1852</v>
      </c>
      <c r="AA372" s="8" t="s">
        <v>59</v>
      </c>
      <c r="AB372" s="8" t="s">
        <v>60</v>
      </c>
      <c r="AC372" s="8" t="s">
        <v>1599</v>
      </c>
      <c r="AD372" s="8" t="s">
        <v>1867</v>
      </c>
      <c r="AE372" s="8" t="s">
        <v>55</v>
      </c>
      <c r="AF372" s="8" t="s">
        <v>55</v>
      </c>
      <c r="AG372" s="8" t="s">
        <v>63</v>
      </c>
      <c r="AH372" s="8" t="s">
        <v>1833</v>
      </c>
      <c r="AI372" s="8" t="s">
        <v>94</v>
      </c>
      <c r="AJ372" s="8" t="s">
        <v>49</v>
      </c>
      <c r="AK372" s="8" t="s">
        <v>95</v>
      </c>
      <c r="AL372" s="8" t="s">
        <v>66</v>
      </c>
      <c r="AM372" s="8" t="s">
        <v>1834</v>
      </c>
      <c r="AN372" s="9" t="s">
        <v>1868</v>
      </c>
      <c r="AO372" s="9" t="s">
        <v>1869</v>
      </c>
      <c r="AP372" s="10" t="s">
        <v>1837</v>
      </c>
      <c r="AQ372" s="10" t="s">
        <v>1870</v>
      </c>
      <c r="AR372" s="10" t="s">
        <v>1871</v>
      </c>
      <c r="AS372" s="12"/>
      <c r="AT372" s="10" t="s">
        <v>1872</v>
      </c>
      <c r="AU372" s="10" t="s">
        <v>1873</v>
      </c>
      <c r="AV372" s="13"/>
    </row>
    <row r="373" ht="16.5" hidden="1" customHeight="1">
      <c r="A373" s="7" t="s">
        <v>1874</v>
      </c>
      <c r="B373" s="7" t="s">
        <v>49</v>
      </c>
      <c r="C373" s="7" t="s">
        <v>332</v>
      </c>
      <c r="D373" s="7" t="s">
        <v>1298</v>
      </c>
      <c r="E373" s="7" t="s">
        <v>52</v>
      </c>
      <c r="F373" s="7">
        <v>6751.0</v>
      </c>
      <c r="G373" s="7"/>
      <c r="H373" s="7" t="s">
        <v>53</v>
      </c>
      <c r="I373" s="7"/>
      <c r="J373" s="7"/>
      <c r="K373" s="8" t="s">
        <v>84</v>
      </c>
      <c r="L373" s="8" t="s">
        <v>126</v>
      </c>
      <c r="M373" s="8"/>
      <c r="N373" s="8" t="s">
        <v>85</v>
      </c>
      <c r="O373" s="8" t="s">
        <v>56</v>
      </c>
      <c r="P373" s="8" t="s">
        <v>57</v>
      </c>
      <c r="Q373" s="8" t="s">
        <v>140</v>
      </c>
      <c r="R373" s="8">
        <v>0.48</v>
      </c>
      <c r="S373" s="8" t="s">
        <v>49</v>
      </c>
      <c r="T373" s="8" t="s">
        <v>49</v>
      </c>
      <c r="U373" s="8" t="s">
        <v>1875</v>
      </c>
      <c r="V373" s="8" t="s">
        <v>1507</v>
      </c>
      <c r="W373" s="8" t="s">
        <v>89</v>
      </c>
      <c r="X373" s="8" t="s">
        <v>108</v>
      </c>
      <c r="Y373" s="8" t="s">
        <v>1876</v>
      </c>
      <c r="Z373" s="8" t="s">
        <v>1852</v>
      </c>
      <c r="AA373" s="8" t="s">
        <v>59</v>
      </c>
      <c r="AB373" s="8" t="s">
        <v>60</v>
      </c>
      <c r="AC373" s="8" t="s">
        <v>1303</v>
      </c>
      <c r="AD373" s="8" t="s">
        <v>1877</v>
      </c>
      <c r="AE373" s="8" t="s">
        <v>55</v>
      </c>
      <c r="AF373" s="8" t="s">
        <v>55</v>
      </c>
      <c r="AG373" s="8" t="s">
        <v>63</v>
      </c>
      <c r="AH373" s="8" t="s">
        <v>64</v>
      </c>
      <c r="AI373" s="8" t="s">
        <v>94</v>
      </c>
      <c r="AJ373" s="8" t="s">
        <v>49</v>
      </c>
      <c r="AK373" s="8" t="s">
        <v>95</v>
      </c>
      <c r="AL373" s="8" t="s">
        <v>66</v>
      </c>
      <c r="AM373" s="8" t="s">
        <v>1878</v>
      </c>
      <c r="AN373" s="9" t="s">
        <v>1879</v>
      </c>
      <c r="AO373" s="9" t="s">
        <v>1880</v>
      </c>
      <c r="AP373" s="10" t="s">
        <v>1881</v>
      </c>
      <c r="AQ373" s="10" t="s">
        <v>1882</v>
      </c>
      <c r="AR373" s="10" t="s">
        <v>1883</v>
      </c>
      <c r="AS373" s="12"/>
      <c r="AT373" s="10" t="s">
        <v>1884</v>
      </c>
      <c r="AU373" s="10" t="s">
        <v>1885</v>
      </c>
      <c r="AV373" s="15">
        <v>46315.0</v>
      </c>
    </row>
    <row r="374" ht="16.5" hidden="1" customHeight="1">
      <c r="A374" s="7" t="s">
        <v>1886</v>
      </c>
      <c r="B374" s="7" t="s">
        <v>49</v>
      </c>
      <c r="C374" s="14" t="s">
        <v>332</v>
      </c>
      <c r="D374" s="7" t="s">
        <v>333</v>
      </c>
      <c r="E374" s="7" t="s">
        <v>52</v>
      </c>
      <c r="F374" s="7">
        <v>6752.0</v>
      </c>
      <c r="G374" s="7"/>
      <c r="H374" s="7" t="s">
        <v>53</v>
      </c>
      <c r="I374" s="7"/>
      <c r="J374" s="7"/>
      <c r="K374" s="8" t="s">
        <v>84</v>
      </c>
      <c r="L374" s="8" t="s">
        <v>126</v>
      </c>
      <c r="M374" s="8"/>
      <c r="N374" s="8" t="s">
        <v>85</v>
      </c>
      <c r="O374" s="8" t="s">
        <v>56</v>
      </c>
      <c r="P374" s="8" t="s">
        <v>57</v>
      </c>
      <c r="Q374" s="8" t="s">
        <v>1887</v>
      </c>
      <c r="R374" s="8">
        <v>0.5</v>
      </c>
      <c r="S374" s="8" t="s">
        <v>49</v>
      </c>
      <c r="T374" s="8" t="s">
        <v>49</v>
      </c>
      <c r="U374" s="8" t="s">
        <v>1888</v>
      </c>
      <c r="V374" s="8" t="s">
        <v>1253</v>
      </c>
      <c r="W374" s="8" t="s">
        <v>89</v>
      </c>
      <c r="X374" s="8" t="s">
        <v>108</v>
      </c>
      <c r="Y374" s="8" t="s">
        <v>1889</v>
      </c>
      <c r="Z374" s="8" t="s">
        <v>1852</v>
      </c>
      <c r="AA374" s="8" t="s">
        <v>59</v>
      </c>
      <c r="AB374" s="8" t="s">
        <v>60</v>
      </c>
      <c r="AC374" s="8" t="s">
        <v>333</v>
      </c>
      <c r="AD374" s="8" t="s">
        <v>1890</v>
      </c>
      <c r="AE374" s="8" t="s">
        <v>55</v>
      </c>
      <c r="AF374" s="8" t="s">
        <v>1891</v>
      </c>
      <c r="AG374" s="8" t="s">
        <v>63</v>
      </c>
      <c r="AH374" s="8" t="s">
        <v>111</v>
      </c>
      <c r="AI374" s="8" t="s">
        <v>94</v>
      </c>
      <c r="AJ374" s="8" t="s">
        <v>49</v>
      </c>
      <c r="AK374" s="8" t="s">
        <v>95</v>
      </c>
      <c r="AL374" s="8" t="s">
        <v>66</v>
      </c>
      <c r="AM374" s="8" t="s">
        <v>1892</v>
      </c>
      <c r="AN374" s="9" t="s">
        <v>1893</v>
      </c>
      <c r="AO374" s="9" t="s">
        <v>1894</v>
      </c>
      <c r="AP374" s="10" t="s">
        <v>1895</v>
      </c>
      <c r="AQ374" s="10" t="s">
        <v>1896</v>
      </c>
      <c r="AR374" s="10" t="s">
        <v>1897</v>
      </c>
      <c r="AS374" s="12"/>
      <c r="AT374" s="10" t="s">
        <v>1898</v>
      </c>
      <c r="AU374" s="10" t="s">
        <v>1899</v>
      </c>
      <c r="AV374" s="15">
        <v>46315.0</v>
      </c>
    </row>
    <row r="375" ht="16.5" hidden="1" customHeight="1">
      <c r="A375" s="7" t="s">
        <v>1900</v>
      </c>
      <c r="B375" s="7" t="s">
        <v>49</v>
      </c>
      <c r="C375" s="7" t="s">
        <v>332</v>
      </c>
      <c r="D375" s="7" t="s">
        <v>1298</v>
      </c>
      <c r="E375" s="7" t="s">
        <v>52</v>
      </c>
      <c r="F375" s="7">
        <v>6755.0</v>
      </c>
      <c r="G375" s="7"/>
      <c r="H375" s="7" t="s">
        <v>53</v>
      </c>
      <c r="I375" s="7"/>
      <c r="J375" s="7"/>
      <c r="K375" s="8" t="s">
        <v>84</v>
      </c>
      <c r="L375" s="8" t="s">
        <v>126</v>
      </c>
      <c r="M375" s="8"/>
      <c r="N375" s="8" t="s">
        <v>85</v>
      </c>
      <c r="O375" s="8" t="s">
        <v>56</v>
      </c>
      <c r="P375" s="8" t="s">
        <v>57</v>
      </c>
      <c r="Q375" s="8" t="s">
        <v>1299</v>
      </c>
      <c r="R375" s="8">
        <v>0.47</v>
      </c>
      <c r="S375" s="8" t="s">
        <v>49</v>
      </c>
      <c r="T375" s="8" t="s">
        <v>49</v>
      </c>
      <c r="U375" s="8" t="s">
        <v>1901</v>
      </c>
      <c r="V375" s="8" t="s">
        <v>1902</v>
      </c>
      <c r="W375" s="8" t="s">
        <v>89</v>
      </c>
      <c r="X375" s="8" t="s">
        <v>108</v>
      </c>
      <c r="Y375" s="8" t="s">
        <v>1779</v>
      </c>
      <c r="Z375" s="8" t="s">
        <v>92</v>
      </c>
      <c r="AA375" s="8" t="s">
        <v>59</v>
      </c>
      <c r="AB375" s="8" t="s">
        <v>60</v>
      </c>
      <c r="AC375" s="8" t="s">
        <v>1303</v>
      </c>
      <c r="AD375" s="8" t="s">
        <v>1903</v>
      </c>
      <c r="AE375" s="8" t="s">
        <v>55</v>
      </c>
      <c r="AF375" s="8" t="s">
        <v>55</v>
      </c>
      <c r="AG375" s="8" t="s">
        <v>63</v>
      </c>
      <c r="AH375" s="8" t="s">
        <v>111</v>
      </c>
      <c r="AI375" s="8" t="s">
        <v>94</v>
      </c>
      <c r="AJ375" s="8" t="s">
        <v>49</v>
      </c>
      <c r="AK375" s="8" t="s">
        <v>95</v>
      </c>
      <c r="AL375" s="8" t="s">
        <v>66</v>
      </c>
      <c r="AM375" s="8" t="s">
        <v>1904</v>
      </c>
      <c r="AN375" s="12" t="s">
        <v>224</v>
      </c>
      <c r="AO375" s="9" t="s">
        <v>1905</v>
      </c>
      <c r="AP375" s="10" t="s">
        <v>1906</v>
      </c>
      <c r="AQ375" s="10" t="s">
        <v>1907</v>
      </c>
      <c r="AR375" s="10" t="s">
        <v>1908</v>
      </c>
      <c r="AS375" s="12"/>
      <c r="AT375" s="10" t="s">
        <v>1909</v>
      </c>
      <c r="AU375" s="10" t="s">
        <v>1910</v>
      </c>
      <c r="AV375" s="13"/>
    </row>
    <row r="376" ht="16.5" hidden="1" customHeight="1">
      <c r="A376" s="7" t="s">
        <v>1911</v>
      </c>
      <c r="B376" s="7" t="s">
        <v>49</v>
      </c>
      <c r="C376" s="7" t="s">
        <v>332</v>
      </c>
      <c r="D376" s="7" t="s">
        <v>1298</v>
      </c>
      <c r="E376" s="7" t="s">
        <v>52</v>
      </c>
      <c r="F376" s="7">
        <v>6756.0</v>
      </c>
      <c r="G376" s="7"/>
      <c r="H376" s="7" t="s">
        <v>53</v>
      </c>
      <c r="I376" s="7"/>
      <c r="J376" s="7"/>
      <c r="K376" s="8" t="s">
        <v>84</v>
      </c>
      <c r="L376" s="8" t="s">
        <v>126</v>
      </c>
      <c r="M376" s="8"/>
      <c r="N376" s="8" t="s">
        <v>85</v>
      </c>
      <c r="O376" s="8" t="s">
        <v>56</v>
      </c>
      <c r="P376" s="8" t="s">
        <v>57</v>
      </c>
      <c r="Q376" s="8" t="s">
        <v>140</v>
      </c>
      <c r="R376" s="8">
        <v>0.48</v>
      </c>
      <c r="S376" s="8" t="s">
        <v>49</v>
      </c>
      <c r="T376" s="8" t="s">
        <v>49</v>
      </c>
      <c r="U376" s="8" t="s">
        <v>1912</v>
      </c>
      <c r="V376" s="8" t="s">
        <v>1902</v>
      </c>
      <c r="W376" s="8" t="s">
        <v>89</v>
      </c>
      <c r="X376" s="8" t="s">
        <v>108</v>
      </c>
      <c r="Y376" s="8" t="s">
        <v>1913</v>
      </c>
      <c r="Z376" s="8" t="s">
        <v>1852</v>
      </c>
      <c r="AA376" s="8" t="s">
        <v>59</v>
      </c>
      <c r="AB376" s="8" t="s">
        <v>60</v>
      </c>
      <c r="AC376" s="8" t="s">
        <v>1303</v>
      </c>
      <c r="AD376" s="8" t="s">
        <v>1914</v>
      </c>
      <c r="AE376" s="8" t="s">
        <v>55</v>
      </c>
      <c r="AF376" s="8" t="s">
        <v>55</v>
      </c>
      <c r="AG376" s="8" t="s">
        <v>63</v>
      </c>
      <c r="AH376" s="8" t="s">
        <v>111</v>
      </c>
      <c r="AI376" s="8" t="s">
        <v>94</v>
      </c>
      <c r="AJ376" s="8" t="s">
        <v>49</v>
      </c>
      <c r="AK376" s="8" t="s">
        <v>95</v>
      </c>
      <c r="AL376" s="8" t="s">
        <v>66</v>
      </c>
      <c r="AM376" s="8" t="s">
        <v>1915</v>
      </c>
      <c r="AN376" s="9" t="s">
        <v>1916</v>
      </c>
      <c r="AO376" s="9" t="s">
        <v>1917</v>
      </c>
      <c r="AP376" s="10" t="s">
        <v>1918</v>
      </c>
      <c r="AQ376" s="10" t="s">
        <v>1919</v>
      </c>
      <c r="AR376" s="10" t="s">
        <v>1920</v>
      </c>
      <c r="AS376" s="12"/>
      <c r="AT376" s="10" t="s">
        <v>1921</v>
      </c>
      <c r="AU376" s="10" t="s">
        <v>1922</v>
      </c>
      <c r="AV376" s="15">
        <v>46315.0</v>
      </c>
    </row>
    <row r="377" ht="16.5" hidden="1" customHeight="1">
      <c r="A377" s="7" t="s">
        <v>1923</v>
      </c>
      <c r="B377" s="7" t="s">
        <v>49</v>
      </c>
      <c r="C377" s="7" t="s">
        <v>332</v>
      </c>
      <c r="D377" s="7" t="s">
        <v>51</v>
      </c>
      <c r="E377" s="7" t="s">
        <v>52</v>
      </c>
      <c r="F377" s="7">
        <v>6757.0</v>
      </c>
      <c r="G377" s="7"/>
      <c r="H377" s="7" t="s">
        <v>53</v>
      </c>
      <c r="I377" s="7"/>
      <c r="J377" s="7"/>
      <c r="K377" s="8" t="s">
        <v>84</v>
      </c>
      <c r="L377" s="8" t="s">
        <v>126</v>
      </c>
      <c r="M377" s="8"/>
      <c r="N377" s="8" t="s">
        <v>85</v>
      </c>
      <c r="O377" s="8" t="s">
        <v>56</v>
      </c>
      <c r="P377" s="8" t="s">
        <v>57</v>
      </c>
      <c r="Q377" s="8" t="s">
        <v>86</v>
      </c>
      <c r="R377" s="8">
        <v>0.5</v>
      </c>
      <c r="S377" s="8" t="s">
        <v>49</v>
      </c>
      <c r="T377" s="8" t="s">
        <v>49</v>
      </c>
      <c r="U377" s="8" t="s">
        <v>321</v>
      </c>
      <c r="V377" s="8" t="s">
        <v>1700</v>
      </c>
      <c r="W377" s="8" t="s">
        <v>89</v>
      </c>
      <c r="X377" s="8" t="s">
        <v>108</v>
      </c>
      <c r="Y377" s="8" t="s">
        <v>1924</v>
      </c>
      <c r="Z377" s="8" t="s">
        <v>1852</v>
      </c>
      <c r="AA377" s="8" t="s">
        <v>59</v>
      </c>
      <c r="AB377" s="8" t="s">
        <v>60</v>
      </c>
      <c r="AC377" s="8" t="s">
        <v>1303</v>
      </c>
      <c r="AD377" s="8" t="s">
        <v>1925</v>
      </c>
      <c r="AE377" s="8" t="s">
        <v>55</v>
      </c>
      <c r="AF377" s="8" t="s">
        <v>55</v>
      </c>
      <c r="AG377" s="8" t="s">
        <v>63</v>
      </c>
      <c r="AH377" s="8" t="s">
        <v>64</v>
      </c>
      <c r="AI377" s="8" t="s">
        <v>94</v>
      </c>
      <c r="AJ377" s="8" t="s">
        <v>49</v>
      </c>
      <c r="AK377" s="8" t="s">
        <v>49</v>
      </c>
      <c r="AL377" s="8" t="s">
        <v>66</v>
      </c>
      <c r="AM377" s="8" t="s">
        <v>1926</v>
      </c>
      <c r="AN377" s="9" t="s">
        <v>1927</v>
      </c>
      <c r="AO377" s="9" t="s">
        <v>1928</v>
      </c>
      <c r="AP377" s="10" t="s">
        <v>1929</v>
      </c>
      <c r="AQ377" s="10" t="s">
        <v>1930</v>
      </c>
      <c r="AR377" s="10" t="s">
        <v>1931</v>
      </c>
      <c r="AS377" s="12"/>
      <c r="AT377" s="10" t="s">
        <v>1932</v>
      </c>
      <c r="AU377" s="10" t="s">
        <v>1933</v>
      </c>
      <c r="AV377" s="13"/>
    </row>
    <row r="378" ht="16.5" hidden="1" customHeight="1">
      <c r="A378" s="7" t="s">
        <v>1934</v>
      </c>
      <c r="B378" s="7" t="s">
        <v>49</v>
      </c>
      <c r="C378" s="7" t="s">
        <v>332</v>
      </c>
      <c r="D378" s="7" t="s">
        <v>51</v>
      </c>
      <c r="E378" s="7" t="s">
        <v>52</v>
      </c>
      <c r="F378" s="7">
        <v>6757.0</v>
      </c>
      <c r="G378" s="7">
        <v>6757.0</v>
      </c>
      <c r="H378" s="7" t="s">
        <v>53</v>
      </c>
      <c r="I378" s="7"/>
      <c r="J378" s="7"/>
      <c r="K378" s="8" t="s">
        <v>84</v>
      </c>
      <c r="L378" s="8" t="s">
        <v>126</v>
      </c>
      <c r="M378" s="8"/>
      <c r="N378" s="8" t="s">
        <v>85</v>
      </c>
      <c r="O378" s="8" t="s">
        <v>56</v>
      </c>
      <c r="P378" s="8" t="s">
        <v>57</v>
      </c>
      <c r="Q378" s="8" t="s">
        <v>86</v>
      </c>
      <c r="R378" s="8">
        <v>0.5</v>
      </c>
      <c r="S378" s="8" t="s">
        <v>49</v>
      </c>
      <c r="T378" s="8" t="s">
        <v>49</v>
      </c>
      <c r="U378" s="8" t="s">
        <v>321</v>
      </c>
      <c r="V378" s="8" t="s">
        <v>1700</v>
      </c>
      <c r="W378" s="8" t="s">
        <v>89</v>
      </c>
      <c r="X378" s="8" t="s">
        <v>108</v>
      </c>
      <c r="Y378" s="8" t="s">
        <v>1924</v>
      </c>
      <c r="Z378" s="8" t="s">
        <v>1852</v>
      </c>
      <c r="AA378" s="8" t="s">
        <v>59</v>
      </c>
      <c r="AB378" s="8" t="s">
        <v>60</v>
      </c>
      <c r="AC378" s="8" t="s">
        <v>1303</v>
      </c>
      <c r="AD378" s="8" t="s">
        <v>1925</v>
      </c>
      <c r="AE378" s="8" t="s">
        <v>55</v>
      </c>
      <c r="AF378" s="8" t="s">
        <v>55</v>
      </c>
      <c r="AG378" s="8" t="s">
        <v>63</v>
      </c>
      <c r="AH378" s="8" t="s">
        <v>64</v>
      </c>
      <c r="AI378" s="8" t="s">
        <v>94</v>
      </c>
      <c r="AJ378" s="8" t="s">
        <v>49</v>
      </c>
      <c r="AK378" s="8" t="s">
        <v>95</v>
      </c>
      <c r="AL378" s="8" t="s">
        <v>66</v>
      </c>
      <c r="AM378" s="8" t="s">
        <v>1926</v>
      </c>
      <c r="AN378" s="9" t="s">
        <v>1927</v>
      </c>
      <c r="AO378" s="9" t="s">
        <v>1928</v>
      </c>
      <c r="AP378" s="10" t="s">
        <v>1929</v>
      </c>
      <c r="AQ378" s="10" t="s">
        <v>1930</v>
      </c>
      <c r="AR378" s="10" t="s">
        <v>1931</v>
      </c>
      <c r="AS378" s="12"/>
      <c r="AT378" s="10" t="s">
        <v>1932</v>
      </c>
      <c r="AU378" s="10" t="s">
        <v>1933</v>
      </c>
      <c r="AV378" s="15">
        <v>46315.0</v>
      </c>
    </row>
    <row r="379" ht="16.5" hidden="1" customHeight="1">
      <c r="A379" s="7" t="s">
        <v>1935</v>
      </c>
      <c r="B379" s="7" t="s">
        <v>49</v>
      </c>
      <c r="C379" s="7" t="s">
        <v>332</v>
      </c>
      <c r="D379" s="7" t="s">
        <v>376</v>
      </c>
      <c r="E379" s="7" t="s">
        <v>52</v>
      </c>
      <c r="F379" s="7">
        <v>6758.0</v>
      </c>
      <c r="G379" s="7"/>
      <c r="H379" s="7" t="s">
        <v>53</v>
      </c>
      <c r="I379" s="7"/>
      <c r="J379" s="7"/>
      <c r="K379" s="8" t="s">
        <v>84</v>
      </c>
      <c r="L379" s="8" t="s">
        <v>126</v>
      </c>
      <c r="M379" s="8"/>
      <c r="N379" s="8" t="s">
        <v>85</v>
      </c>
      <c r="O379" s="8" t="s">
        <v>56</v>
      </c>
      <c r="P379" s="8" t="s">
        <v>57</v>
      </c>
      <c r="Q379" s="8" t="s">
        <v>86</v>
      </c>
      <c r="R379" s="8" t="s">
        <v>1936</v>
      </c>
      <c r="S379" s="8" t="s">
        <v>49</v>
      </c>
      <c r="T379" s="8" t="s">
        <v>49</v>
      </c>
      <c r="U379" s="8" t="s">
        <v>1937</v>
      </c>
      <c r="V379" s="8" t="s">
        <v>1632</v>
      </c>
      <c r="W379" s="8" t="s">
        <v>89</v>
      </c>
      <c r="X379" s="8" t="s">
        <v>108</v>
      </c>
      <c r="Y379" s="8" t="s">
        <v>1938</v>
      </c>
      <c r="Z379" s="8" t="s">
        <v>1831</v>
      </c>
      <c r="AA379" s="8" t="s">
        <v>59</v>
      </c>
      <c r="AB379" s="8" t="s">
        <v>60</v>
      </c>
      <c r="AC379" s="8" t="s">
        <v>348</v>
      </c>
      <c r="AD379" s="8" t="s">
        <v>1939</v>
      </c>
      <c r="AE379" s="8" t="s">
        <v>1940</v>
      </c>
      <c r="AF379" s="8" t="s">
        <v>1941</v>
      </c>
      <c r="AG379" s="8" t="s">
        <v>63</v>
      </c>
      <c r="AH379" s="8" t="s">
        <v>111</v>
      </c>
      <c r="AI379" s="8" t="s">
        <v>94</v>
      </c>
      <c r="AJ379" s="8" t="s">
        <v>49</v>
      </c>
      <c r="AK379" s="8" t="s">
        <v>49</v>
      </c>
      <c r="AL379" s="8" t="s">
        <v>66</v>
      </c>
      <c r="AM379" s="8"/>
      <c r="AN379" s="9" t="s">
        <v>1942</v>
      </c>
      <c r="AO379" s="9" t="s">
        <v>1943</v>
      </c>
      <c r="AP379" s="10" t="s">
        <v>1944</v>
      </c>
      <c r="AQ379" s="10" t="s">
        <v>1945</v>
      </c>
      <c r="AR379" s="10" t="s">
        <v>1946</v>
      </c>
      <c r="AS379" s="12"/>
      <c r="AT379" s="10" t="s">
        <v>1947</v>
      </c>
      <c r="AU379" s="10" t="s">
        <v>1948</v>
      </c>
      <c r="AV379" s="13"/>
    </row>
    <row r="380" ht="16.5" hidden="1" customHeight="1">
      <c r="A380" s="7" t="s">
        <v>1935</v>
      </c>
      <c r="B380" s="7" t="s">
        <v>49</v>
      </c>
      <c r="C380" s="7" t="s">
        <v>332</v>
      </c>
      <c r="D380" s="14" t="s">
        <v>344</v>
      </c>
      <c r="E380" s="7" t="s">
        <v>52</v>
      </c>
      <c r="F380" s="7">
        <v>6758.0</v>
      </c>
      <c r="G380" s="7">
        <v>6758.0</v>
      </c>
      <c r="H380" s="7" t="s">
        <v>53</v>
      </c>
      <c r="I380" s="7"/>
      <c r="J380" s="7"/>
      <c r="K380" s="8" t="s">
        <v>84</v>
      </c>
      <c r="L380" s="8" t="s">
        <v>126</v>
      </c>
      <c r="M380" s="8"/>
      <c r="N380" s="8" t="s">
        <v>85</v>
      </c>
      <c r="O380" s="8" t="s">
        <v>56</v>
      </c>
      <c r="P380" s="8" t="s">
        <v>57</v>
      </c>
      <c r="Q380" s="8" t="s">
        <v>86</v>
      </c>
      <c r="R380" s="8" t="s">
        <v>1936</v>
      </c>
      <c r="S380" s="8" t="s">
        <v>49</v>
      </c>
      <c r="T380" s="8" t="s">
        <v>49</v>
      </c>
      <c r="U380" s="8" t="s">
        <v>1937</v>
      </c>
      <c r="V380" s="8" t="s">
        <v>1632</v>
      </c>
      <c r="W380" s="8" t="s">
        <v>89</v>
      </c>
      <c r="X380" s="8" t="s">
        <v>108</v>
      </c>
      <c r="Y380" s="8" t="s">
        <v>1938</v>
      </c>
      <c r="Z380" s="8" t="s">
        <v>1831</v>
      </c>
      <c r="AA380" s="8" t="s">
        <v>59</v>
      </c>
      <c r="AB380" s="8" t="s">
        <v>60</v>
      </c>
      <c r="AC380" s="8" t="s">
        <v>348</v>
      </c>
      <c r="AD380" s="8" t="s">
        <v>1939</v>
      </c>
      <c r="AE380" s="8" t="s">
        <v>1940</v>
      </c>
      <c r="AF380" s="8" t="s">
        <v>1941</v>
      </c>
      <c r="AG380" s="8" t="s">
        <v>63</v>
      </c>
      <c r="AH380" s="8" t="s">
        <v>111</v>
      </c>
      <c r="AI380" s="8" t="s">
        <v>94</v>
      </c>
      <c r="AJ380" s="8" t="s">
        <v>49</v>
      </c>
      <c r="AK380" s="8" t="s">
        <v>95</v>
      </c>
      <c r="AL380" s="8" t="s">
        <v>66</v>
      </c>
      <c r="AM380" s="8" t="s">
        <v>1949</v>
      </c>
      <c r="AN380" s="9" t="s">
        <v>1942</v>
      </c>
      <c r="AO380" s="9" t="s">
        <v>1943</v>
      </c>
      <c r="AP380" s="10" t="s">
        <v>1944</v>
      </c>
      <c r="AQ380" s="10" t="s">
        <v>1945</v>
      </c>
      <c r="AR380" s="10" t="s">
        <v>1946</v>
      </c>
      <c r="AS380" s="12"/>
      <c r="AT380" s="10" t="s">
        <v>1947</v>
      </c>
      <c r="AU380" s="10" t="s">
        <v>1948</v>
      </c>
      <c r="AV380" s="13"/>
    </row>
    <row r="381" ht="16.5" hidden="1" customHeight="1">
      <c r="A381" s="7" t="s">
        <v>1950</v>
      </c>
      <c r="B381" s="7" t="s">
        <v>49</v>
      </c>
      <c r="C381" s="7" t="s">
        <v>332</v>
      </c>
      <c r="D381" s="7" t="s">
        <v>376</v>
      </c>
      <c r="E381" s="7" t="s">
        <v>52</v>
      </c>
      <c r="F381" s="7">
        <v>6759.0</v>
      </c>
      <c r="G381" s="7"/>
      <c r="H381" s="7" t="s">
        <v>53</v>
      </c>
      <c r="I381" s="7"/>
      <c r="J381" s="7"/>
      <c r="K381" s="8" t="s">
        <v>84</v>
      </c>
      <c r="L381" s="8" t="s">
        <v>126</v>
      </c>
      <c r="M381" s="8"/>
      <c r="N381" s="8" t="s">
        <v>85</v>
      </c>
      <c r="O381" s="8" t="s">
        <v>56</v>
      </c>
      <c r="P381" s="8" t="s">
        <v>57</v>
      </c>
      <c r="Q381" s="8" t="s">
        <v>86</v>
      </c>
      <c r="R381" s="8">
        <v>0.9</v>
      </c>
      <c r="S381" s="8" t="s">
        <v>49</v>
      </c>
      <c r="T381" s="8" t="s">
        <v>49</v>
      </c>
      <c r="U381" s="8" t="s">
        <v>1951</v>
      </c>
      <c r="V381" s="8" t="s">
        <v>1338</v>
      </c>
      <c r="W381" s="8" t="s">
        <v>89</v>
      </c>
      <c r="X381" s="8" t="s">
        <v>108</v>
      </c>
      <c r="Y381" s="8" t="s">
        <v>1952</v>
      </c>
      <c r="Z381" s="8" t="s">
        <v>1831</v>
      </c>
      <c r="AA381" s="8" t="s">
        <v>59</v>
      </c>
      <c r="AB381" s="8" t="s">
        <v>60</v>
      </c>
      <c r="AC381" s="8" t="s">
        <v>348</v>
      </c>
      <c r="AD381" s="8" t="s">
        <v>1953</v>
      </c>
      <c r="AE381" s="8" t="s">
        <v>1954</v>
      </c>
      <c r="AF381" s="8" t="s">
        <v>1955</v>
      </c>
      <c r="AG381" s="8" t="s">
        <v>63</v>
      </c>
      <c r="AH381" s="8" t="s">
        <v>64</v>
      </c>
      <c r="AI381" s="8" t="s">
        <v>94</v>
      </c>
      <c r="AJ381" s="8" t="s">
        <v>49</v>
      </c>
      <c r="AK381" s="8" t="s">
        <v>49</v>
      </c>
      <c r="AL381" s="8" t="s">
        <v>66</v>
      </c>
      <c r="AM381" s="8" t="s">
        <v>1949</v>
      </c>
      <c r="AN381" s="9" t="s">
        <v>1956</v>
      </c>
      <c r="AO381" s="9" t="s">
        <v>1957</v>
      </c>
      <c r="AP381" s="10" t="s">
        <v>1958</v>
      </c>
      <c r="AQ381" s="10" t="s">
        <v>1959</v>
      </c>
      <c r="AR381" s="10" t="s">
        <v>1960</v>
      </c>
      <c r="AS381" s="12"/>
      <c r="AT381" s="10" t="s">
        <v>1961</v>
      </c>
      <c r="AU381" s="10" t="s">
        <v>1962</v>
      </c>
      <c r="AV381" s="13"/>
    </row>
    <row r="382" ht="16.5" hidden="1" customHeight="1">
      <c r="A382" s="7" t="s">
        <v>1963</v>
      </c>
      <c r="B382" s="7" t="s">
        <v>49</v>
      </c>
      <c r="C382" s="7" t="s">
        <v>332</v>
      </c>
      <c r="D382" s="14" t="s">
        <v>344</v>
      </c>
      <c r="E382" s="7" t="s">
        <v>52</v>
      </c>
      <c r="F382" s="7">
        <v>6759.0</v>
      </c>
      <c r="G382" s="7">
        <v>6759.0</v>
      </c>
      <c r="H382" s="7" t="s">
        <v>53</v>
      </c>
      <c r="I382" s="7"/>
      <c r="J382" s="7"/>
      <c r="K382" s="8" t="s">
        <v>84</v>
      </c>
      <c r="L382" s="8" t="s">
        <v>126</v>
      </c>
      <c r="M382" s="8"/>
      <c r="N382" s="8" t="s">
        <v>85</v>
      </c>
      <c r="O382" s="8" t="s">
        <v>56</v>
      </c>
      <c r="P382" s="8" t="s">
        <v>57</v>
      </c>
      <c r="Q382" s="8" t="s">
        <v>86</v>
      </c>
      <c r="R382" s="8">
        <v>0.9</v>
      </c>
      <c r="S382" s="8" t="s">
        <v>49</v>
      </c>
      <c r="T382" s="8" t="s">
        <v>49</v>
      </c>
      <c r="U382" s="8" t="s">
        <v>1951</v>
      </c>
      <c r="V382" s="8" t="s">
        <v>1338</v>
      </c>
      <c r="W382" s="8" t="s">
        <v>89</v>
      </c>
      <c r="X382" s="8" t="s">
        <v>108</v>
      </c>
      <c r="Y382" s="8" t="s">
        <v>1952</v>
      </c>
      <c r="Z382" s="8" t="s">
        <v>1831</v>
      </c>
      <c r="AA382" s="8" t="s">
        <v>59</v>
      </c>
      <c r="AB382" s="8" t="s">
        <v>60</v>
      </c>
      <c r="AC382" s="8" t="s">
        <v>348</v>
      </c>
      <c r="AD382" s="8" t="s">
        <v>1953</v>
      </c>
      <c r="AE382" s="8" t="s">
        <v>1954</v>
      </c>
      <c r="AF382" s="8" t="s">
        <v>1955</v>
      </c>
      <c r="AG382" s="8" t="s">
        <v>63</v>
      </c>
      <c r="AH382" s="8" t="s">
        <v>64</v>
      </c>
      <c r="AI382" s="8" t="s">
        <v>94</v>
      </c>
      <c r="AJ382" s="8" t="s">
        <v>49</v>
      </c>
      <c r="AK382" s="8" t="s">
        <v>95</v>
      </c>
      <c r="AL382" s="8" t="s">
        <v>66</v>
      </c>
      <c r="AM382" s="8" t="s">
        <v>1949</v>
      </c>
      <c r="AN382" s="9" t="s">
        <v>1956</v>
      </c>
      <c r="AO382" s="9" t="s">
        <v>1957</v>
      </c>
      <c r="AP382" s="10" t="s">
        <v>1958</v>
      </c>
      <c r="AQ382" s="10" t="s">
        <v>1959</v>
      </c>
      <c r="AR382" s="10" t="s">
        <v>1960</v>
      </c>
      <c r="AS382" s="12"/>
      <c r="AT382" s="10" t="s">
        <v>1961</v>
      </c>
      <c r="AU382" s="10" t="s">
        <v>1962</v>
      </c>
      <c r="AV382" s="15">
        <v>46315.0</v>
      </c>
    </row>
    <row r="383" ht="16.5" hidden="1" customHeight="1">
      <c r="A383" s="7" t="s">
        <v>1964</v>
      </c>
      <c r="B383" s="7"/>
      <c r="C383" s="7" t="s">
        <v>332</v>
      </c>
      <c r="D383" s="7" t="s">
        <v>376</v>
      </c>
      <c r="E383" s="7" t="s">
        <v>52</v>
      </c>
      <c r="F383" s="7">
        <v>6760.0</v>
      </c>
      <c r="G383" s="7"/>
      <c r="H383" s="7" t="s">
        <v>53</v>
      </c>
      <c r="I383" s="7"/>
      <c r="J383" s="7"/>
      <c r="K383" s="8" t="s">
        <v>84</v>
      </c>
      <c r="L383" s="8" t="s">
        <v>126</v>
      </c>
      <c r="M383" s="8"/>
      <c r="N383" s="8" t="s">
        <v>85</v>
      </c>
      <c r="O383" s="8" t="s">
        <v>56</v>
      </c>
      <c r="P383" s="8" t="s">
        <v>57</v>
      </c>
      <c r="Q383" s="8" t="s">
        <v>86</v>
      </c>
      <c r="R383" s="8">
        <v>0.9</v>
      </c>
      <c r="S383" s="8" t="s">
        <v>49</v>
      </c>
      <c r="T383" s="8" t="s">
        <v>49</v>
      </c>
      <c r="U383" s="8" t="s">
        <v>1965</v>
      </c>
      <c r="V383" s="8" t="s">
        <v>1966</v>
      </c>
      <c r="W383" s="8" t="s">
        <v>89</v>
      </c>
      <c r="X383" s="8" t="s">
        <v>108</v>
      </c>
      <c r="Y383" s="8" t="s">
        <v>1967</v>
      </c>
      <c r="Z383" s="8" t="s">
        <v>1831</v>
      </c>
      <c r="AA383" s="8" t="s">
        <v>59</v>
      </c>
      <c r="AB383" s="8" t="s">
        <v>60</v>
      </c>
      <c r="AC383" s="8" t="s">
        <v>348</v>
      </c>
      <c r="AD383" s="8" t="s">
        <v>1953</v>
      </c>
      <c r="AE383" s="8" t="s">
        <v>1954</v>
      </c>
      <c r="AF383" s="8" t="s">
        <v>1955</v>
      </c>
      <c r="AG383" s="8" t="s">
        <v>63</v>
      </c>
      <c r="AH383" s="8" t="s">
        <v>64</v>
      </c>
      <c r="AI383" s="8" t="s">
        <v>94</v>
      </c>
      <c r="AJ383" s="8" t="s">
        <v>49</v>
      </c>
      <c r="AK383" s="8" t="s">
        <v>49</v>
      </c>
      <c r="AL383" s="8" t="s">
        <v>66</v>
      </c>
      <c r="AM383" s="8"/>
      <c r="AN383" s="16" t="s">
        <v>1968</v>
      </c>
      <c r="AO383" s="9" t="s">
        <v>1969</v>
      </c>
      <c r="AP383" s="10" t="s">
        <v>1958</v>
      </c>
      <c r="AQ383" s="10" t="s">
        <v>1970</v>
      </c>
      <c r="AR383" s="10" t="s">
        <v>1971</v>
      </c>
      <c r="AS383" s="12"/>
      <c r="AT383" s="10" t="s">
        <v>1972</v>
      </c>
      <c r="AU383" s="10" t="s">
        <v>1973</v>
      </c>
      <c r="AV383" s="13"/>
    </row>
    <row r="384" ht="16.5" hidden="1" customHeight="1">
      <c r="A384" s="7" t="s">
        <v>1964</v>
      </c>
      <c r="B384" s="14" t="s">
        <v>49</v>
      </c>
      <c r="C384" s="7" t="s">
        <v>332</v>
      </c>
      <c r="D384" s="14" t="s">
        <v>344</v>
      </c>
      <c r="E384" s="7" t="s">
        <v>52</v>
      </c>
      <c r="F384" s="7">
        <v>6760.0</v>
      </c>
      <c r="G384" s="7">
        <v>6760.0</v>
      </c>
      <c r="H384" s="7" t="s">
        <v>53</v>
      </c>
      <c r="I384" s="7"/>
      <c r="J384" s="7"/>
      <c r="K384" s="8" t="s">
        <v>84</v>
      </c>
      <c r="L384" s="8" t="s">
        <v>126</v>
      </c>
      <c r="M384" s="8"/>
      <c r="N384" s="8" t="s">
        <v>85</v>
      </c>
      <c r="O384" s="8" t="s">
        <v>56</v>
      </c>
      <c r="P384" s="8" t="s">
        <v>57</v>
      </c>
      <c r="Q384" s="8" t="s">
        <v>86</v>
      </c>
      <c r="R384" s="8">
        <v>0.9</v>
      </c>
      <c r="S384" s="8" t="s">
        <v>49</v>
      </c>
      <c r="T384" s="8" t="s">
        <v>49</v>
      </c>
      <c r="U384" s="8" t="s">
        <v>1965</v>
      </c>
      <c r="V384" s="8" t="s">
        <v>1966</v>
      </c>
      <c r="W384" s="8" t="s">
        <v>89</v>
      </c>
      <c r="X384" s="8" t="s">
        <v>108</v>
      </c>
      <c r="Y384" s="8" t="s">
        <v>1967</v>
      </c>
      <c r="Z384" s="8" t="s">
        <v>1831</v>
      </c>
      <c r="AA384" s="8" t="s">
        <v>59</v>
      </c>
      <c r="AB384" s="8" t="s">
        <v>60</v>
      </c>
      <c r="AC384" s="8" t="s">
        <v>348</v>
      </c>
      <c r="AD384" s="8" t="s">
        <v>1953</v>
      </c>
      <c r="AE384" s="8" t="s">
        <v>1954</v>
      </c>
      <c r="AF384" s="8" t="s">
        <v>1955</v>
      </c>
      <c r="AG384" s="8" t="s">
        <v>63</v>
      </c>
      <c r="AH384" s="8" t="s">
        <v>64</v>
      </c>
      <c r="AI384" s="8" t="s">
        <v>94</v>
      </c>
      <c r="AJ384" s="8" t="s">
        <v>49</v>
      </c>
      <c r="AK384" s="8" t="s">
        <v>95</v>
      </c>
      <c r="AL384" s="8" t="s">
        <v>66</v>
      </c>
      <c r="AM384" s="8" t="s">
        <v>1949</v>
      </c>
      <c r="AN384" s="16" t="s">
        <v>1968</v>
      </c>
      <c r="AO384" s="9" t="s">
        <v>1969</v>
      </c>
      <c r="AP384" s="10" t="s">
        <v>1958</v>
      </c>
      <c r="AQ384" s="10" t="s">
        <v>1970</v>
      </c>
      <c r="AR384" s="10" t="s">
        <v>1971</v>
      </c>
      <c r="AS384" s="12"/>
      <c r="AT384" s="10" t="s">
        <v>1972</v>
      </c>
      <c r="AU384" s="10" t="s">
        <v>1973</v>
      </c>
      <c r="AV384" s="13"/>
    </row>
    <row r="385" ht="16.5" hidden="1" customHeight="1">
      <c r="A385" s="7" t="s">
        <v>1974</v>
      </c>
      <c r="B385" s="7" t="s">
        <v>49</v>
      </c>
      <c r="C385" s="7" t="s">
        <v>332</v>
      </c>
      <c r="D385" s="7" t="s">
        <v>1298</v>
      </c>
      <c r="E385" s="7" t="s">
        <v>52</v>
      </c>
      <c r="F385" s="7">
        <v>6761.0</v>
      </c>
      <c r="G385" s="7"/>
      <c r="H385" s="7"/>
      <c r="I385" s="7"/>
      <c r="J385" s="7"/>
      <c r="K385" s="8" t="s">
        <v>84</v>
      </c>
      <c r="L385" s="8" t="s">
        <v>377</v>
      </c>
      <c r="M385" s="8"/>
      <c r="N385" s="8" t="s">
        <v>85</v>
      </c>
      <c r="O385" s="8" t="s">
        <v>56</v>
      </c>
      <c r="P385" s="8" t="s">
        <v>57</v>
      </c>
      <c r="Q385" s="8" t="s">
        <v>140</v>
      </c>
      <c r="R385" s="8" t="s">
        <v>1975</v>
      </c>
      <c r="S385" s="8" t="s">
        <v>49</v>
      </c>
      <c r="T385" s="8" t="s">
        <v>49</v>
      </c>
      <c r="U385" s="8" t="s">
        <v>1976</v>
      </c>
      <c r="V385" s="8" t="s">
        <v>1977</v>
      </c>
      <c r="W385" s="8" t="s">
        <v>89</v>
      </c>
      <c r="X385" s="8" t="s">
        <v>108</v>
      </c>
      <c r="Y385" s="8" t="s">
        <v>1978</v>
      </c>
      <c r="Z385" s="8" t="s">
        <v>1831</v>
      </c>
      <c r="AA385" s="8" t="s">
        <v>59</v>
      </c>
      <c r="AB385" s="8" t="s">
        <v>60</v>
      </c>
      <c r="AC385" s="8" t="s">
        <v>1303</v>
      </c>
      <c r="AD385" s="8" t="s">
        <v>1979</v>
      </c>
      <c r="AE385" s="8" t="s">
        <v>55</v>
      </c>
      <c r="AF385" s="8" t="s">
        <v>55</v>
      </c>
      <c r="AG385" s="8" t="s">
        <v>63</v>
      </c>
      <c r="AH385" s="8" t="s">
        <v>145</v>
      </c>
      <c r="AI385" s="8" t="s">
        <v>94</v>
      </c>
      <c r="AJ385" s="8" t="s">
        <v>49</v>
      </c>
      <c r="AK385" s="8" t="s">
        <v>49</v>
      </c>
      <c r="AL385" s="8" t="s">
        <v>66</v>
      </c>
      <c r="AM385" s="8"/>
      <c r="AN385" s="16" t="s">
        <v>1980</v>
      </c>
      <c r="AO385" s="9" t="s">
        <v>1981</v>
      </c>
      <c r="AP385" s="10" t="s">
        <v>1982</v>
      </c>
      <c r="AQ385" s="10" t="s">
        <v>1983</v>
      </c>
      <c r="AR385" s="10" t="s">
        <v>1984</v>
      </c>
      <c r="AS385" s="12"/>
      <c r="AT385" s="10" t="s">
        <v>1985</v>
      </c>
      <c r="AU385" s="10" t="s">
        <v>1986</v>
      </c>
      <c r="AV385" s="13"/>
    </row>
    <row r="386" ht="16.5" hidden="1" customHeight="1">
      <c r="A386" s="7" t="s">
        <v>1987</v>
      </c>
      <c r="B386" s="7" t="s">
        <v>49</v>
      </c>
      <c r="C386" s="7" t="s">
        <v>332</v>
      </c>
      <c r="D386" s="7" t="s">
        <v>1298</v>
      </c>
      <c r="E386" s="7" t="s">
        <v>52</v>
      </c>
      <c r="F386" s="7">
        <v>6761.0</v>
      </c>
      <c r="G386" s="7">
        <v>6761.0</v>
      </c>
      <c r="H386" s="7" t="s">
        <v>53</v>
      </c>
      <c r="I386" s="7"/>
      <c r="J386" s="7"/>
      <c r="K386" s="8" t="s">
        <v>84</v>
      </c>
      <c r="L386" s="8" t="s">
        <v>377</v>
      </c>
      <c r="M386" s="8"/>
      <c r="N386" s="8" t="s">
        <v>85</v>
      </c>
      <c r="O386" s="8" t="s">
        <v>56</v>
      </c>
      <c r="P386" s="8" t="s">
        <v>57</v>
      </c>
      <c r="Q386" s="8" t="s">
        <v>140</v>
      </c>
      <c r="R386" s="8" t="s">
        <v>1975</v>
      </c>
      <c r="S386" s="8" t="s">
        <v>49</v>
      </c>
      <c r="T386" s="8" t="s">
        <v>49</v>
      </c>
      <c r="U386" s="8" t="s">
        <v>1976</v>
      </c>
      <c r="V386" s="8" t="s">
        <v>1977</v>
      </c>
      <c r="W386" s="8" t="s">
        <v>89</v>
      </c>
      <c r="X386" s="8" t="s">
        <v>108</v>
      </c>
      <c r="Y386" s="8" t="s">
        <v>1978</v>
      </c>
      <c r="Z386" s="8" t="s">
        <v>1831</v>
      </c>
      <c r="AA386" s="8" t="s">
        <v>59</v>
      </c>
      <c r="AB386" s="8" t="s">
        <v>60</v>
      </c>
      <c r="AC386" s="8" t="s">
        <v>1303</v>
      </c>
      <c r="AD386" s="8" t="s">
        <v>1979</v>
      </c>
      <c r="AE386" s="8" t="s">
        <v>55</v>
      </c>
      <c r="AF386" s="8" t="s">
        <v>55</v>
      </c>
      <c r="AG386" s="8" t="s">
        <v>63</v>
      </c>
      <c r="AH386" s="8" t="s">
        <v>145</v>
      </c>
      <c r="AI386" s="8" t="s">
        <v>94</v>
      </c>
      <c r="AJ386" s="8" t="s">
        <v>49</v>
      </c>
      <c r="AK386" s="8" t="s">
        <v>95</v>
      </c>
      <c r="AL386" s="8" t="s">
        <v>66</v>
      </c>
      <c r="AM386" s="8" t="s">
        <v>1988</v>
      </c>
      <c r="AN386" s="16" t="s">
        <v>1980</v>
      </c>
      <c r="AO386" s="9" t="s">
        <v>1981</v>
      </c>
      <c r="AP386" s="10" t="s">
        <v>1982</v>
      </c>
      <c r="AQ386" s="10" t="s">
        <v>1983</v>
      </c>
      <c r="AR386" s="10" t="s">
        <v>1984</v>
      </c>
      <c r="AS386" s="12"/>
      <c r="AT386" s="10" t="s">
        <v>1985</v>
      </c>
      <c r="AU386" s="10" t="s">
        <v>1986</v>
      </c>
      <c r="AV386" s="15">
        <v>46315.0</v>
      </c>
    </row>
    <row r="387" ht="16.5" hidden="1" customHeight="1">
      <c r="A387" s="7" t="s">
        <v>1989</v>
      </c>
      <c r="B387" s="7" t="s">
        <v>49</v>
      </c>
      <c r="C387" s="7" t="s">
        <v>332</v>
      </c>
      <c r="D387" s="7" t="s">
        <v>1298</v>
      </c>
      <c r="E387" s="7" t="s">
        <v>52</v>
      </c>
      <c r="F387" s="7">
        <v>6762.0</v>
      </c>
      <c r="G387" s="7">
        <v>6761.0</v>
      </c>
      <c r="H387" s="7" t="s">
        <v>53</v>
      </c>
      <c r="I387" s="7"/>
      <c r="J387" s="7"/>
      <c r="K387" s="8" t="s">
        <v>84</v>
      </c>
      <c r="L387" s="8" t="s">
        <v>377</v>
      </c>
      <c r="M387" s="8"/>
      <c r="N387" s="8" t="s">
        <v>85</v>
      </c>
      <c r="O387" s="8" t="s">
        <v>56</v>
      </c>
      <c r="P387" s="8" t="s">
        <v>57</v>
      </c>
      <c r="Q387" s="8" t="s">
        <v>140</v>
      </c>
      <c r="R387" s="8" t="s">
        <v>1975</v>
      </c>
      <c r="S387" s="8" t="s">
        <v>49</v>
      </c>
      <c r="T387" s="8" t="s">
        <v>49</v>
      </c>
      <c r="U387" s="8" t="s">
        <v>1976</v>
      </c>
      <c r="V387" s="8" t="s">
        <v>1977</v>
      </c>
      <c r="W387" s="8" t="s">
        <v>89</v>
      </c>
      <c r="X387" s="8" t="s">
        <v>108</v>
      </c>
      <c r="Y387" s="8" t="s">
        <v>1978</v>
      </c>
      <c r="Z387" s="8" t="s">
        <v>1831</v>
      </c>
      <c r="AA387" s="8" t="s">
        <v>59</v>
      </c>
      <c r="AB387" s="8" t="s">
        <v>60</v>
      </c>
      <c r="AC387" s="8" t="s">
        <v>1303</v>
      </c>
      <c r="AD387" s="8" t="s">
        <v>1990</v>
      </c>
      <c r="AE387" s="8" t="s">
        <v>55</v>
      </c>
      <c r="AF387" s="8" t="s">
        <v>55</v>
      </c>
      <c r="AG387" s="8" t="s">
        <v>63</v>
      </c>
      <c r="AH387" s="8" t="s">
        <v>145</v>
      </c>
      <c r="AI387" s="8" t="s">
        <v>94</v>
      </c>
      <c r="AJ387" s="8" t="s">
        <v>49</v>
      </c>
      <c r="AK387" s="8" t="s">
        <v>95</v>
      </c>
      <c r="AL387" s="8" t="s">
        <v>66</v>
      </c>
      <c r="AM387" s="8" t="s">
        <v>1988</v>
      </c>
      <c r="AN387" s="16" t="s">
        <v>1991</v>
      </c>
      <c r="AO387" s="9" t="s">
        <v>1992</v>
      </c>
      <c r="AP387" s="10" t="s">
        <v>1982</v>
      </c>
      <c r="AQ387" s="10" t="s">
        <v>1993</v>
      </c>
      <c r="AR387" s="10" t="s">
        <v>1994</v>
      </c>
      <c r="AS387" s="12"/>
      <c r="AT387" s="10" t="s">
        <v>1995</v>
      </c>
      <c r="AU387" s="10" t="s">
        <v>1996</v>
      </c>
      <c r="AV387" s="13"/>
    </row>
    <row r="388" ht="16.5" hidden="1" customHeight="1">
      <c r="A388" s="7" t="s">
        <v>1997</v>
      </c>
      <c r="B388" s="7" t="s">
        <v>1826</v>
      </c>
      <c r="C388" s="7" t="s">
        <v>1827</v>
      </c>
      <c r="D388" s="7" t="s">
        <v>920</v>
      </c>
      <c r="E388" s="7" t="s">
        <v>52</v>
      </c>
      <c r="F388" s="7">
        <v>6763.0</v>
      </c>
      <c r="G388" s="7"/>
      <c r="H388" s="7" t="s">
        <v>53</v>
      </c>
      <c r="I388" s="7" t="s">
        <v>1998</v>
      </c>
      <c r="J388" s="7"/>
      <c r="K388" s="8" t="s">
        <v>55</v>
      </c>
      <c r="L388" s="8" t="s">
        <v>55</v>
      </c>
      <c r="M388" s="8"/>
      <c r="N388" s="8" t="s">
        <v>55</v>
      </c>
      <c r="O388" s="8" t="s">
        <v>55</v>
      </c>
      <c r="P388" s="8" t="s">
        <v>55</v>
      </c>
      <c r="Q388" s="8" t="s">
        <v>49</v>
      </c>
      <c r="R388" s="20" t="s">
        <v>49</v>
      </c>
      <c r="S388" s="8" t="s">
        <v>49</v>
      </c>
      <c r="T388" s="8" t="s">
        <v>49</v>
      </c>
      <c r="U388" s="8" t="s">
        <v>49</v>
      </c>
      <c r="V388" s="8" t="s">
        <v>49</v>
      </c>
      <c r="W388" s="8" t="s">
        <v>49</v>
      </c>
      <c r="X388" s="8" t="s">
        <v>49</v>
      </c>
      <c r="Y388" s="8" t="s">
        <v>49</v>
      </c>
      <c r="Z388" s="8" t="s">
        <v>49</v>
      </c>
      <c r="AA388" s="8" t="s">
        <v>55</v>
      </c>
      <c r="AB388" s="8" t="s">
        <v>55</v>
      </c>
      <c r="AC388" s="8" t="s">
        <v>55</v>
      </c>
      <c r="AD388" s="8" t="s">
        <v>1999</v>
      </c>
      <c r="AE388" s="8" t="s">
        <v>55</v>
      </c>
      <c r="AF388" s="8" t="s">
        <v>55</v>
      </c>
      <c r="AG388" s="8" t="s">
        <v>63</v>
      </c>
      <c r="AH388" s="8" t="s">
        <v>55</v>
      </c>
      <c r="AI388" s="8" t="s">
        <v>94</v>
      </c>
      <c r="AJ388" s="8" t="s">
        <v>49</v>
      </c>
      <c r="AK388" s="8" t="s">
        <v>49</v>
      </c>
      <c r="AL388" s="8" t="s">
        <v>66</v>
      </c>
      <c r="AM388" s="8" t="s">
        <v>1834</v>
      </c>
      <c r="AN388" s="9" t="s">
        <v>2000</v>
      </c>
      <c r="AO388" s="12" t="s">
        <v>224</v>
      </c>
      <c r="AP388" s="10" t="s">
        <v>1837</v>
      </c>
      <c r="AQ388" s="11"/>
      <c r="AR388" s="11"/>
      <c r="AS388" s="12"/>
      <c r="AT388" s="11"/>
      <c r="AU388" s="11"/>
      <c r="AV388" s="13"/>
    </row>
    <row r="389" ht="16.5" hidden="1" customHeight="1">
      <c r="A389" s="7" t="s">
        <v>2001</v>
      </c>
      <c r="B389" s="7" t="s">
        <v>1826</v>
      </c>
      <c r="C389" s="14" t="s">
        <v>332</v>
      </c>
      <c r="D389" s="7" t="s">
        <v>920</v>
      </c>
      <c r="E389" s="7" t="s">
        <v>52</v>
      </c>
      <c r="F389" s="7">
        <v>6763.0</v>
      </c>
      <c r="G389" s="7">
        <v>6763.0</v>
      </c>
      <c r="H389" s="7" t="s">
        <v>53</v>
      </c>
      <c r="I389" s="7" t="s">
        <v>1998</v>
      </c>
      <c r="J389" s="7"/>
      <c r="K389" s="8" t="s">
        <v>55</v>
      </c>
      <c r="L389" s="8" t="s">
        <v>55</v>
      </c>
      <c r="M389" s="12" t="s">
        <v>55</v>
      </c>
      <c r="N389" s="8" t="s">
        <v>55</v>
      </c>
      <c r="O389" s="8" t="s">
        <v>55</v>
      </c>
      <c r="P389" s="8" t="s">
        <v>55</v>
      </c>
      <c r="Q389" s="8" t="s">
        <v>55</v>
      </c>
      <c r="R389" s="20" t="s">
        <v>55</v>
      </c>
      <c r="S389" s="8" t="s">
        <v>55</v>
      </c>
      <c r="T389" s="8" t="s">
        <v>55</v>
      </c>
      <c r="U389" s="8" t="s">
        <v>55</v>
      </c>
      <c r="V389" s="8" t="s">
        <v>55</v>
      </c>
      <c r="W389" s="8" t="s">
        <v>49</v>
      </c>
      <c r="X389" s="8" t="s">
        <v>55</v>
      </c>
      <c r="Y389" s="8" t="s">
        <v>55</v>
      </c>
      <c r="Z389" s="8" t="s">
        <v>55</v>
      </c>
      <c r="AA389" s="8" t="s">
        <v>55</v>
      </c>
      <c r="AB389" s="8" t="s">
        <v>55</v>
      </c>
      <c r="AC389" s="8" t="s">
        <v>55</v>
      </c>
      <c r="AD389" s="8" t="s">
        <v>1999</v>
      </c>
      <c r="AE389" s="8" t="s">
        <v>55</v>
      </c>
      <c r="AF389" s="8" t="s">
        <v>55</v>
      </c>
      <c r="AG389" s="8" t="s">
        <v>63</v>
      </c>
      <c r="AH389" s="8" t="s">
        <v>55</v>
      </c>
      <c r="AI389" s="8" t="s">
        <v>94</v>
      </c>
      <c r="AJ389" s="8" t="s">
        <v>49</v>
      </c>
      <c r="AK389" s="8" t="s">
        <v>55</v>
      </c>
      <c r="AL389" s="8" t="s">
        <v>66</v>
      </c>
      <c r="AM389" s="8" t="s">
        <v>1834</v>
      </c>
      <c r="AN389" s="16" t="s">
        <v>2000</v>
      </c>
      <c r="AO389" s="12" t="s">
        <v>224</v>
      </c>
      <c r="AP389" s="10" t="s">
        <v>1837</v>
      </c>
      <c r="AQ389" s="11"/>
      <c r="AR389" s="11"/>
      <c r="AS389" s="12"/>
      <c r="AT389" s="11"/>
      <c r="AU389" s="11"/>
      <c r="AV389" s="13"/>
    </row>
    <row r="390" ht="16.5" hidden="1" customHeight="1">
      <c r="A390" s="7" t="s">
        <v>2002</v>
      </c>
      <c r="B390" s="7" t="s">
        <v>1826</v>
      </c>
      <c r="C390" s="14" t="s">
        <v>332</v>
      </c>
      <c r="D390" s="7" t="s">
        <v>920</v>
      </c>
      <c r="E390" s="7" t="s">
        <v>52</v>
      </c>
      <c r="F390" s="7">
        <v>6764.0</v>
      </c>
      <c r="G390" s="7">
        <v>6763.0</v>
      </c>
      <c r="H390" s="7" t="s">
        <v>53</v>
      </c>
      <c r="I390" s="7" t="s">
        <v>2003</v>
      </c>
      <c r="J390" s="7"/>
      <c r="K390" s="8" t="s">
        <v>55</v>
      </c>
      <c r="L390" s="8" t="s">
        <v>55</v>
      </c>
      <c r="M390" s="12" t="s">
        <v>55</v>
      </c>
      <c r="N390" s="8" t="s">
        <v>55</v>
      </c>
      <c r="O390" s="8" t="s">
        <v>55</v>
      </c>
      <c r="P390" s="8" t="s">
        <v>55</v>
      </c>
      <c r="Q390" s="8" t="s">
        <v>55</v>
      </c>
      <c r="R390" s="20" t="s">
        <v>55</v>
      </c>
      <c r="S390" s="8" t="s">
        <v>55</v>
      </c>
      <c r="T390" s="8" t="s">
        <v>55</v>
      </c>
      <c r="U390" s="8" t="s">
        <v>55</v>
      </c>
      <c r="V390" s="8" t="s">
        <v>55</v>
      </c>
      <c r="W390" s="8" t="s">
        <v>49</v>
      </c>
      <c r="X390" s="8" t="s">
        <v>55</v>
      </c>
      <c r="Y390" s="8" t="s">
        <v>55</v>
      </c>
      <c r="Z390" s="8" t="s">
        <v>55</v>
      </c>
      <c r="AA390" s="8" t="s">
        <v>55</v>
      </c>
      <c r="AB390" s="8" t="s">
        <v>55</v>
      </c>
      <c r="AC390" s="8" t="s">
        <v>55</v>
      </c>
      <c r="AD390" s="8" t="s">
        <v>2004</v>
      </c>
      <c r="AE390" s="8" t="s">
        <v>55</v>
      </c>
      <c r="AF390" s="8" t="s">
        <v>55</v>
      </c>
      <c r="AG390" s="8" t="s">
        <v>63</v>
      </c>
      <c r="AH390" s="8" t="s">
        <v>55</v>
      </c>
      <c r="AI390" s="8" t="s">
        <v>94</v>
      </c>
      <c r="AJ390" s="8" t="s">
        <v>49</v>
      </c>
      <c r="AK390" s="8" t="s">
        <v>55</v>
      </c>
      <c r="AL390" s="8" t="s">
        <v>66</v>
      </c>
      <c r="AM390" s="8" t="s">
        <v>1834</v>
      </c>
      <c r="AN390" s="16" t="s">
        <v>2005</v>
      </c>
      <c r="AO390" s="12" t="s">
        <v>224</v>
      </c>
      <c r="AP390" s="10" t="s">
        <v>1837</v>
      </c>
      <c r="AQ390" s="11"/>
      <c r="AR390" s="11"/>
      <c r="AS390" s="12"/>
      <c r="AT390" s="11"/>
      <c r="AU390" s="11"/>
      <c r="AV390" s="15">
        <v>46315.0</v>
      </c>
    </row>
    <row r="391" ht="16.5" hidden="1" customHeight="1">
      <c r="A391" s="7" t="s">
        <v>2006</v>
      </c>
      <c r="B391" s="7" t="s">
        <v>2007</v>
      </c>
      <c r="C391" s="7" t="s">
        <v>213</v>
      </c>
      <c r="D391" s="7" t="s">
        <v>214</v>
      </c>
      <c r="E391" s="7" t="s">
        <v>227</v>
      </c>
      <c r="F391" s="7">
        <v>6765.0</v>
      </c>
      <c r="G391" s="7"/>
      <c r="H391" s="7" t="s">
        <v>53</v>
      </c>
      <c r="I391" s="7" t="s">
        <v>1427</v>
      </c>
      <c r="J391" s="7"/>
      <c r="K391" s="8" t="s">
        <v>2008</v>
      </c>
      <c r="L391" s="8" t="s">
        <v>126</v>
      </c>
      <c r="M391" s="8"/>
      <c r="N391" s="8" t="s">
        <v>85</v>
      </c>
      <c r="O391" s="8" t="s">
        <v>56</v>
      </c>
      <c r="P391" s="8" t="s">
        <v>57</v>
      </c>
      <c r="Q391" s="8" t="s">
        <v>2009</v>
      </c>
      <c r="R391" s="8">
        <v>0.97</v>
      </c>
      <c r="S391" s="8" t="s">
        <v>49</v>
      </c>
      <c r="T391" s="8" t="s">
        <v>49</v>
      </c>
      <c r="U391" s="8" t="s">
        <v>2010</v>
      </c>
      <c r="V391" s="8" t="s">
        <v>443</v>
      </c>
      <c r="W391" s="8" t="s">
        <v>1409</v>
      </c>
      <c r="X391" s="8" t="s">
        <v>108</v>
      </c>
      <c r="Y391" s="8" t="s">
        <v>432</v>
      </c>
      <c r="Z391" s="8" t="s">
        <v>1831</v>
      </c>
      <c r="AA391" s="8" t="s">
        <v>231</v>
      </c>
      <c r="AB391" s="8" t="s">
        <v>60</v>
      </c>
      <c r="AC391" s="8" t="s">
        <v>219</v>
      </c>
      <c r="AD391" s="8" t="s">
        <v>2011</v>
      </c>
      <c r="AE391" s="8" t="s">
        <v>55</v>
      </c>
      <c r="AF391" s="8" t="s">
        <v>55</v>
      </c>
      <c r="AG391" s="8" t="s">
        <v>63</v>
      </c>
      <c r="AH391" s="8" t="s">
        <v>111</v>
      </c>
      <c r="AI391" s="8" t="s">
        <v>65</v>
      </c>
      <c r="AJ391" s="8" t="s">
        <v>49</v>
      </c>
      <c r="AK391" s="8" t="s">
        <v>49</v>
      </c>
      <c r="AL391" s="8" t="s">
        <v>2012</v>
      </c>
      <c r="AM391" s="8" t="s">
        <v>2013</v>
      </c>
      <c r="AN391" s="9" t="s">
        <v>2014</v>
      </c>
      <c r="AO391" s="9" t="s">
        <v>2015</v>
      </c>
      <c r="AP391" s="10" t="s">
        <v>2016</v>
      </c>
      <c r="AQ391" s="10" t="s">
        <v>2017</v>
      </c>
      <c r="AR391" s="10" t="s">
        <v>2018</v>
      </c>
      <c r="AS391" s="12"/>
      <c r="AT391" s="10" t="s">
        <v>2019</v>
      </c>
      <c r="AU391" s="10" t="s">
        <v>2020</v>
      </c>
      <c r="AV391" s="13"/>
    </row>
    <row r="392" ht="16.5" hidden="1" customHeight="1">
      <c r="A392" s="7" t="s">
        <v>2021</v>
      </c>
      <c r="B392" s="7" t="s">
        <v>2007</v>
      </c>
      <c r="C392" s="7" t="s">
        <v>213</v>
      </c>
      <c r="D392" s="7" t="s">
        <v>214</v>
      </c>
      <c r="E392" s="7" t="s">
        <v>227</v>
      </c>
      <c r="F392" s="7">
        <v>6765.0</v>
      </c>
      <c r="G392" s="7">
        <v>6765.0</v>
      </c>
      <c r="H392" s="7" t="s">
        <v>53</v>
      </c>
      <c r="I392" s="7" t="s">
        <v>1427</v>
      </c>
      <c r="J392" s="7"/>
      <c r="K392" s="8" t="s">
        <v>2008</v>
      </c>
      <c r="L392" s="8" t="s">
        <v>126</v>
      </c>
      <c r="M392" s="8"/>
      <c r="N392" s="8" t="s">
        <v>85</v>
      </c>
      <c r="O392" s="8" t="s">
        <v>56</v>
      </c>
      <c r="P392" s="8" t="s">
        <v>57</v>
      </c>
      <c r="Q392" s="8" t="s">
        <v>2009</v>
      </c>
      <c r="R392" s="8">
        <v>0.95</v>
      </c>
      <c r="S392" s="8" t="s">
        <v>49</v>
      </c>
      <c r="T392" s="8" t="s">
        <v>49</v>
      </c>
      <c r="U392" s="8" t="s">
        <v>2010</v>
      </c>
      <c r="V392" s="8" t="s">
        <v>443</v>
      </c>
      <c r="W392" s="8" t="s">
        <v>1409</v>
      </c>
      <c r="X392" s="8" t="s">
        <v>108</v>
      </c>
      <c r="Y392" s="8" t="s">
        <v>432</v>
      </c>
      <c r="Z392" s="8" t="s">
        <v>1831</v>
      </c>
      <c r="AA392" s="8" t="s">
        <v>231</v>
      </c>
      <c r="AB392" s="8" t="s">
        <v>60</v>
      </c>
      <c r="AC392" s="8" t="s">
        <v>219</v>
      </c>
      <c r="AD392" s="8" t="s">
        <v>2011</v>
      </c>
      <c r="AE392" s="8" t="s">
        <v>55</v>
      </c>
      <c r="AF392" s="8" t="s">
        <v>55</v>
      </c>
      <c r="AG392" s="8" t="s">
        <v>63</v>
      </c>
      <c r="AH392" s="8" t="s">
        <v>111</v>
      </c>
      <c r="AI392" s="8" t="s">
        <v>65</v>
      </c>
      <c r="AJ392" s="8" t="s">
        <v>49</v>
      </c>
      <c r="AK392" s="8" t="s">
        <v>1422</v>
      </c>
      <c r="AL392" s="8" t="s">
        <v>2012</v>
      </c>
      <c r="AM392" s="8" t="s">
        <v>2013</v>
      </c>
      <c r="AN392" s="16" t="s">
        <v>2014</v>
      </c>
      <c r="AO392" s="9" t="s">
        <v>2015</v>
      </c>
      <c r="AP392" s="10" t="s">
        <v>2016</v>
      </c>
      <c r="AQ392" s="10" t="s">
        <v>2017</v>
      </c>
      <c r="AR392" s="10" t="s">
        <v>2018</v>
      </c>
      <c r="AS392" s="12"/>
      <c r="AT392" s="10" t="s">
        <v>2019</v>
      </c>
      <c r="AU392" s="10" t="s">
        <v>2020</v>
      </c>
      <c r="AV392" s="15">
        <v>46315.0</v>
      </c>
    </row>
    <row r="393" ht="16.5" hidden="1" customHeight="1">
      <c r="A393" s="7" t="s">
        <v>2022</v>
      </c>
      <c r="B393" s="7" t="s">
        <v>2007</v>
      </c>
      <c r="C393" s="14" t="s">
        <v>213</v>
      </c>
      <c r="D393" s="14" t="s">
        <v>214</v>
      </c>
      <c r="E393" s="7"/>
      <c r="F393" s="7">
        <v>6766.0</v>
      </c>
      <c r="G393" s="7">
        <v>6765.0</v>
      </c>
      <c r="H393" s="7" t="s">
        <v>53</v>
      </c>
      <c r="I393" s="7" t="s">
        <v>1427</v>
      </c>
      <c r="J393" s="7"/>
      <c r="K393" s="8" t="s">
        <v>2008</v>
      </c>
      <c r="L393" s="8" t="s">
        <v>126</v>
      </c>
      <c r="M393" s="8"/>
      <c r="N393" s="8" t="s">
        <v>85</v>
      </c>
      <c r="O393" s="8" t="s">
        <v>56</v>
      </c>
      <c r="P393" s="8" t="s">
        <v>57</v>
      </c>
      <c r="Q393" s="8" t="s">
        <v>2009</v>
      </c>
      <c r="R393" s="8">
        <v>0.95</v>
      </c>
      <c r="S393" s="8" t="s">
        <v>49</v>
      </c>
      <c r="T393" s="8" t="s">
        <v>49</v>
      </c>
      <c r="U393" s="8" t="s">
        <v>2010</v>
      </c>
      <c r="V393" s="8" t="s">
        <v>443</v>
      </c>
      <c r="W393" s="8" t="s">
        <v>1409</v>
      </c>
      <c r="X393" s="8" t="s">
        <v>108</v>
      </c>
      <c r="Y393" s="8" t="s">
        <v>432</v>
      </c>
      <c r="Z393" s="8" t="s">
        <v>1831</v>
      </c>
      <c r="AA393" s="8" t="s">
        <v>231</v>
      </c>
      <c r="AB393" s="8" t="s">
        <v>60</v>
      </c>
      <c r="AC393" s="8" t="s">
        <v>219</v>
      </c>
      <c r="AD393" s="8" t="s">
        <v>2011</v>
      </c>
      <c r="AE393" s="8" t="s">
        <v>55</v>
      </c>
      <c r="AF393" s="8" t="s">
        <v>55</v>
      </c>
      <c r="AG393" s="8" t="s">
        <v>63</v>
      </c>
      <c r="AH393" s="8" t="s">
        <v>111</v>
      </c>
      <c r="AI393" s="8" t="s">
        <v>463</v>
      </c>
      <c r="AJ393" s="8" t="s">
        <v>49</v>
      </c>
      <c r="AK393" s="8" t="s">
        <v>1422</v>
      </c>
      <c r="AL393" s="8" t="s">
        <v>2012</v>
      </c>
      <c r="AM393" s="8" t="s">
        <v>2023</v>
      </c>
      <c r="AN393" s="16" t="s">
        <v>2024</v>
      </c>
      <c r="AO393" s="9" t="s">
        <v>2025</v>
      </c>
      <c r="AP393" s="10" t="s">
        <v>2016</v>
      </c>
      <c r="AQ393" s="10" t="s">
        <v>2017</v>
      </c>
      <c r="AR393" s="10" t="s">
        <v>2018</v>
      </c>
      <c r="AS393" s="12"/>
      <c r="AT393" s="10" t="s">
        <v>2019</v>
      </c>
      <c r="AU393" s="10" t="s">
        <v>2020</v>
      </c>
      <c r="AV393" s="15">
        <v>46315.0</v>
      </c>
    </row>
    <row r="394" ht="16.5" hidden="1" customHeight="1">
      <c r="A394" s="7" t="s">
        <v>2026</v>
      </c>
      <c r="B394" s="7" t="s">
        <v>49</v>
      </c>
      <c r="C394" s="7" t="s">
        <v>213</v>
      </c>
      <c r="D394" s="7" t="s">
        <v>51</v>
      </c>
      <c r="E394" s="7" t="s">
        <v>227</v>
      </c>
      <c r="F394" s="7">
        <v>6767.0</v>
      </c>
      <c r="G394" s="7"/>
      <c r="H394" s="7" t="s">
        <v>53</v>
      </c>
      <c r="I394" s="7"/>
      <c r="J394" s="14" t="s">
        <v>1159</v>
      </c>
      <c r="K394" s="8" t="s">
        <v>84</v>
      </c>
      <c r="L394" s="8" t="s">
        <v>49</v>
      </c>
      <c r="M394" s="8"/>
      <c r="N394" s="8" t="s">
        <v>85</v>
      </c>
      <c r="O394" s="8" t="s">
        <v>217</v>
      </c>
      <c r="P394" s="8" t="s">
        <v>57</v>
      </c>
      <c r="Q394" s="8" t="s">
        <v>1161</v>
      </c>
      <c r="R394" s="8">
        <v>0.58</v>
      </c>
      <c r="S394" s="8" t="s">
        <v>49</v>
      </c>
      <c r="T394" s="8" t="s">
        <v>49</v>
      </c>
      <c r="U394" s="8" t="s">
        <v>2027</v>
      </c>
      <c r="V394" s="8" t="s">
        <v>1301</v>
      </c>
      <c r="W394" s="8" t="s">
        <v>1778</v>
      </c>
      <c r="X394" s="8" t="s">
        <v>108</v>
      </c>
      <c r="Y394" s="8" t="s">
        <v>1779</v>
      </c>
      <c r="Z394" s="8" t="s">
        <v>92</v>
      </c>
      <c r="AA394" s="8" t="s">
        <v>231</v>
      </c>
      <c r="AB394" s="8" t="s">
        <v>60</v>
      </c>
      <c r="AC394" s="8" t="s">
        <v>1165</v>
      </c>
      <c r="AD394" s="8" t="s">
        <v>2028</v>
      </c>
      <c r="AE394" s="8" t="s">
        <v>55</v>
      </c>
      <c r="AF394" s="8" t="s">
        <v>55</v>
      </c>
      <c r="AG394" s="8" t="s">
        <v>890</v>
      </c>
      <c r="AH394" s="8" t="s">
        <v>111</v>
      </c>
      <c r="AI394" s="8" t="s">
        <v>112</v>
      </c>
      <c r="AJ394" s="8" t="s">
        <v>49</v>
      </c>
      <c r="AK394" s="8" t="s">
        <v>95</v>
      </c>
      <c r="AL394" s="8" t="s">
        <v>66</v>
      </c>
      <c r="AM394" s="8" t="s">
        <v>2029</v>
      </c>
      <c r="AN394" s="9" t="s">
        <v>2030</v>
      </c>
      <c r="AO394" s="9" t="s">
        <v>2031</v>
      </c>
      <c r="AP394" s="10" t="s">
        <v>2032</v>
      </c>
      <c r="AQ394" s="10" t="s">
        <v>2033</v>
      </c>
      <c r="AR394" s="10" t="s">
        <v>2034</v>
      </c>
      <c r="AS394" s="12"/>
      <c r="AT394" s="10" t="s">
        <v>2035</v>
      </c>
      <c r="AU394" s="10" t="s">
        <v>2036</v>
      </c>
      <c r="AV394" s="13"/>
    </row>
    <row r="395" ht="16.5" hidden="1" customHeight="1">
      <c r="A395" s="7" t="s">
        <v>2037</v>
      </c>
      <c r="B395" s="7" t="s">
        <v>49</v>
      </c>
      <c r="C395" s="7" t="s">
        <v>213</v>
      </c>
      <c r="D395" s="7" t="s">
        <v>51</v>
      </c>
      <c r="E395" s="7" t="s">
        <v>227</v>
      </c>
      <c r="F395" s="7">
        <v>6768.0</v>
      </c>
      <c r="G395" s="7"/>
      <c r="H395" s="7" t="s">
        <v>53</v>
      </c>
      <c r="I395" s="7"/>
      <c r="J395" s="14" t="s">
        <v>1159</v>
      </c>
      <c r="K395" s="8" t="s">
        <v>84</v>
      </c>
      <c r="L395" s="8" t="s">
        <v>49</v>
      </c>
      <c r="M395" s="8"/>
      <c r="N395" s="8" t="s">
        <v>85</v>
      </c>
      <c r="O395" s="8" t="s">
        <v>217</v>
      </c>
      <c r="P395" s="8" t="s">
        <v>57</v>
      </c>
      <c r="Q395" s="8" t="s">
        <v>1161</v>
      </c>
      <c r="R395" s="8">
        <v>0.62</v>
      </c>
      <c r="S395" s="8" t="s">
        <v>49</v>
      </c>
      <c r="T395" s="8" t="s">
        <v>49</v>
      </c>
      <c r="U395" s="8" t="s">
        <v>2038</v>
      </c>
      <c r="V395" s="8" t="s">
        <v>1597</v>
      </c>
      <c r="W395" s="8" t="s">
        <v>1778</v>
      </c>
      <c r="X395" s="8" t="s">
        <v>108</v>
      </c>
      <c r="Y395" s="8" t="s">
        <v>1779</v>
      </c>
      <c r="Z395" s="8" t="s">
        <v>92</v>
      </c>
      <c r="AA395" s="8" t="s">
        <v>231</v>
      </c>
      <c r="AB395" s="8" t="s">
        <v>60</v>
      </c>
      <c r="AC395" s="8" t="s">
        <v>1165</v>
      </c>
      <c r="AD395" s="8" t="s">
        <v>2039</v>
      </c>
      <c r="AE395" s="8" t="s">
        <v>55</v>
      </c>
      <c r="AF395" s="8" t="s">
        <v>55</v>
      </c>
      <c r="AG395" s="8" t="s">
        <v>339</v>
      </c>
      <c r="AH395" s="8" t="s">
        <v>111</v>
      </c>
      <c r="AI395" s="8" t="s">
        <v>2040</v>
      </c>
      <c r="AJ395" s="8" t="s">
        <v>49</v>
      </c>
      <c r="AK395" s="8" t="s">
        <v>95</v>
      </c>
      <c r="AL395" s="8" t="s">
        <v>66</v>
      </c>
      <c r="AM395" s="8" t="s">
        <v>2041</v>
      </c>
      <c r="AN395" s="9" t="s">
        <v>2042</v>
      </c>
      <c r="AO395" s="9" t="s">
        <v>2043</v>
      </c>
      <c r="AP395" s="10" t="s">
        <v>2044</v>
      </c>
      <c r="AQ395" s="10" t="s">
        <v>2045</v>
      </c>
      <c r="AR395" s="10" t="s">
        <v>2046</v>
      </c>
      <c r="AS395" s="12"/>
      <c r="AT395" s="10" t="s">
        <v>2047</v>
      </c>
      <c r="AU395" s="10" t="s">
        <v>2048</v>
      </c>
      <c r="AV395" s="13"/>
    </row>
    <row r="396" ht="16.5" hidden="1" customHeight="1">
      <c r="A396" s="7" t="s">
        <v>2049</v>
      </c>
      <c r="B396" s="7" t="s">
        <v>49</v>
      </c>
      <c r="C396" s="7" t="s">
        <v>213</v>
      </c>
      <c r="D396" s="7" t="s">
        <v>51</v>
      </c>
      <c r="E396" s="7" t="s">
        <v>227</v>
      </c>
      <c r="F396" s="7">
        <v>6769.0</v>
      </c>
      <c r="G396" s="7"/>
      <c r="H396" s="7" t="s">
        <v>53</v>
      </c>
      <c r="I396" s="7"/>
      <c r="J396" s="14" t="s">
        <v>1159</v>
      </c>
      <c r="K396" s="8" t="s">
        <v>84</v>
      </c>
      <c r="L396" s="8" t="s">
        <v>49</v>
      </c>
      <c r="M396" s="8"/>
      <c r="N396" s="8" t="s">
        <v>85</v>
      </c>
      <c r="O396" s="8" t="s">
        <v>217</v>
      </c>
      <c r="P396" s="8" t="s">
        <v>57</v>
      </c>
      <c r="Q396" s="8" t="s">
        <v>1161</v>
      </c>
      <c r="R396" s="8">
        <v>0.58</v>
      </c>
      <c r="S396" s="8" t="s">
        <v>49</v>
      </c>
      <c r="T396" s="8" t="s">
        <v>49</v>
      </c>
      <c r="U396" s="8" t="s">
        <v>2038</v>
      </c>
      <c r="V396" s="8" t="s">
        <v>1597</v>
      </c>
      <c r="W396" s="8" t="s">
        <v>1778</v>
      </c>
      <c r="X396" s="8" t="s">
        <v>108</v>
      </c>
      <c r="Y396" s="8" t="s">
        <v>1779</v>
      </c>
      <c r="Z396" s="8" t="s">
        <v>92</v>
      </c>
      <c r="AA396" s="8" t="s">
        <v>231</v>
      </c>
      <c r="AB396" s="8" t="s">
        <v>60</v>
      </c>
      <c r="AC396" s="8" t="s">
        <v>1165</v>
      </c>
      <c r="AD396" s="8" t="s">
        <v>2050</v>
      </c>
      <c r="AE396" s="8" t="s">
        <v>55</v>
      </c>
      <c r="AF396" s="8" t="s">
        <v>55</v>
      </c>
      <c r="AG396" s="8" t="s">
        <v>339</v>
      </c>
      <c r="AH396" s="8" t="s">
        <v>111</v>
      </c>
      <c r="AI396" s="8" t="s">
        <v>2040</v>
      </c>
      <c r="AJ396" s="8" t="s">
        <v>49</v>
      </c>
      <c r="AK396" s="8" t="s">
        <v>49</v>
      </c>
      <c r="AL396" s="8" t="s">
        <v>66</v>
      </c>
      <c r="AM396" s="8" t="s">
        <v>2041</v>
      </c>
      <c r="AN396" s="9" t="s">
        <v>2051</v>
      </c>
      <c r="AO396" s="9" t="s">
        <v>2052</v>
      </c>
      <c r="AP396" s="10" t="s">
        <v>2053</v>
      </c>
      <c r="AQ396" s="10" t="s">
        <v>2054</v>
      </c>
      <c r="AR396" s="10" t="s">
        <v>2055</v>
      </c>
      <c r="AS396" s="12"/>
      <c r="AT396" s="10" t="s">
        <v>2056</v>
      </c>
      <c r="AU396" s="10" t="s">
        <v>2057</v>
      </c>
      <c r="AV396" s="13"/>
    </row>
    <row r="397" ht="16.5" customHeight="1">
      <c r="A397" s="7" t="s">
        <v>2058</v>
      </c>
      <c r="B397" s="7" t="s">
        <v>49</v>
      </c>
      <c r="C397" s="7" t="s">
        <v>213</v>
      </c>
      <c r="D397" s="7" t="s">
        <v>51</v>
      </c>
      <c r="E397" s="7" t="s">
        <v>227</v>
      </c>
      <c r="F397" s="7">
        <v>6769.0</v>
      </c>
      <c r="G397" s="7">
        <v>6769.0</v>
      </c>
      <c r="H397" s="14" t="s">
        <v>1134</v>
      </c>
      <c r="I397" s="7"/>
      <c r="J397" s="14" t="s">
        <v>1159</v>
      </c>
      <c r="K397" s="8" t="s">
        <v>84</v>
      </c>
      <c r="L397" s="8" t="s">
        <v>49</v>
      </c>
      <c r="M397" s="8"/>
      <c r="N397" s="8" t="s">
        <v>85</v>
      </c>
      <c r="O397" s="8" t="s">
        <v>217</v>
      </c>
      <c r="P397" s="8" t="s">
        <v>57</v>
      </c>
      <c r="Q397" s="8" t="s">
        <v>1161</v>
      </c>
      <c r="R397" s="8">
        <v>0.58</v>
      </c>
      <c r="S397" s="8" t="s">
        <v>49</v>
      </c>
      <c r="T397" s="8" t="s">
        <v>49</v>
      </c>
      <c r="U397" s="8" t="s">
        <v>2038</v>
      </c>
      <c r="V397" s="8" t="s">
        <v>1597</v>
      </c>
      <c r="W397" s="8" t="s">
        <v>1778</v>
      </c>
      <c r="X397" s="8" t="s">
        <v>108</v>
      </c>
      <c r="Y397" s="8" t="s">
        <v>1779</v>
      </c>
      <c r="Z397" s="8" t="s">
        <v>92</v>
      </c>
      <c r="AA397" s="8" t="s">
        <v>231</v>
      </c>
      <c r="AB397" s="8" t="s">
        <v>60</v>
      </c>
      <c r="AC397" s="8" t="s">
        <v>1165</v>
      </c>
      <c r="AD397" s="8" t="s">
        <v>2050</v>
      </c>
      <c r="AE397" s="8" t="s">
        <v>55</v>
      </c>
      <c r="AF397" s="8" t="s">
        <v>55</v>
      </c>
      <c r="AG397" s="8" t="s">
        <v>339</v>
      </c>
      <c r="AH397" s="8" t="s">
        <v>111</v>
      </c>
      <c r="AI397" s="8" t="s">
        <v>2040</v>
      </c>
      <c r="AJ397" s="8" t="s">
        <v>49</v>
      </c>
      <c r="AK397" s="8" t="s">
        <v>95</v>
      </c>
      <c r="AL397" s="8" t="s">
        <v>66</v>
      </c>
      <c r="AM397" s="8" t="s">
        <v>2041</v>
      </c>
      <c r="AN397" s="16" t="s">
        <v>2051</v>
      </c>
      <c r="AO397" s="9" t="s">
        <v>2052</v>
      </c>
      <c r="AP397" s="10" t="s">
        <v>2053</v>
      </c>
      <c r="AQ397" s="10" t="s">
        <v>2054</v>
      </c>
      <c r="AR397" s="10" t="s">
        <v>2055</v>
      </c>
      <c r="AS397" s="12"/>
      <c r="AT397" s="10" t="s">
        <v>2056</v>
      </c>
      <c r="AU397" s="10" t="s">
        <v>2057</v>
      </c>
      <c r="AV397" s="15">
        <v>46315.0</v>
      </c>
    </row>
    <row r="398" ht="16.5" customHeight="1">
      <c r="A398" s="7" t="s">
        <v>2059</v>
      </c>
      <c r="B398" s="14" t="s">
        <v>49</v>
      </c>
      <c r="C398" s="14" t="s">
        <v>213</v>
      </c>
      <c r="D398" s="14" t="s">
        <v>51</v>
      </c>
      <c r="E398" s="7"/>
      <c r="F398" s="7">
        <v>6770.0</v>
      </c>
      <c r="G398" s="7">
        <v>6769.0</v>
      </c>
      <c r="H398" s="14" t="s">
        <v>1134</v>
      </c>
      <c r="I398" s="7"/>
      <c r="J398" s="14" t="s">
        <v>1159</v>
      </c>
      <c r="K398" s="8" t="s">
        <v>84</v>
      </c>
      <c r="L398" s="8" t="s">
        <v>49</v>
      </c>
      <c r="M398" s="8"/>
      <c r="N398" s="8" t="s">
        <v>85</v>
      </c>
      <c r="O398" s="8" t="s">
        <v>217</v>
      </c>
      <c r="P398" s="8" t="s">
        <v>57</v>
      </c>
      <c r="Q398" s="8" t="s">
        <v>1161</v>
      </c>
      <c r="R398" s="8">
        <v>0.58</v>
      </c>
      <c r="S398" s="8" t="s">
        <v>49</v>
      </c>
      <c r="T398" s="8" t="s">
        <v>49</v>
      </c>
      <c r="U398" s="8" t="s">
        <v>2038</v>
      </c>
      <c r="V398" s="8" t="s">
        <v>1597</v>
      </c>
      <c r="W398" s="8" t="s">
        <v>1778</v>
      </c>
      <c r="X398" s="8" t="s">
        <v>108</v>
      </c>
      <c r="Y398" s="8" t="s">
        <v>1779</v>
      </c>
      <c r="Z398" s="8" t="s">
        <v>92</v>
      </c>
      <c r="AA398" s="8" t="s">
        <v>231</v>
      </c>
      <c r="AB398" s="8" t="s">
        <v>60</v>
      </c>
      <c r="AC398" s="8" t="s">
        <v>1165</v>
      </c>
      <c r="AD398" s="8" t="s">
        <v>2050</v>
      </c>
      <c r="AE398" s="8" t="s">
        <v>55</v>
      </c>
      <c r="AF398" s="8" t="s">
        <v>55</v>
      </c>
      <c r="AG398" s="8" t="s">
        <v>339</v>
      </c>
      <c r="AH398" s="8" t="s">
        <v>111</v>
      </c>
      <c r="AI398" s="8" t="s">
        <v>2060</v>
      </c>
      <c r="AJ398" s="8" t="s">
        <v>49</v>
      </c>
      <c r="AK398" s="8" t="s">
        <v>95</v>
      </c>
      <c r="AL398" s="8" t="s">
        <v>66</v>
      </c>
      <c r="AM398" s="8" t="s">
        <v>1791</v>
      </c>
      <c r="AN398" s="16" t="s">
        <v>2061</v>
      </c>
      <c r="AO398" s="9" t="s">
        <v>2062</v>
      </c>
      <c r="AP398" s="10" t="s">
        <v>2053</v>
      </c>
      <c r="AQ398" s="10" t="s">
        <v>2054</v>
      </c>
      <c r="AR398" s="10" t="s">
        <v>2055</v>
      </c>
      <c r="AS398" s="12"/>
      <c r="AT398" s="10" t="s">
        <v>2056</v>
      </c>
      <c r="AU398" s="10" t="s">
        <v>2057</v>
      </c>
      <c r="AV398" s="15">
        <v>46315.0</v>
      </c>
    </row>
    <row r="399" ht="16.5" hidden="1" customHeight="1">
      <c r="A399" s="7" t="s">
        <v>2063</v>
      </c>
      <c r="B399" s="7" t="s">
        <v>49</v>
      </c>
      <c r="C399" s="7" t="s">
        <v>213</v>
      </c>
      <c r="D399" s="7" t="s">
        <v>51</v>
      </c>
      <c r="E399" s="7" t="s">
        <v>227</v>
      </c>
      <c r="F399" s="7">
        <v>6771.0</v>
      </c>
      <c r="G399" s="7"/>
      <c r="H399" s="7" t="s">
        <v>53</v>
      </c>
      <c r="I399" s="7"/>
      <c r="J399" s="14" t="s">
        <v>1159</v>
      </c>
      <c r="K399" s="8" t="s">
        <v>84</v>
      </c>
      <c r="L399" s="8" t="s">
        <v>49</v>
      </c>
      <c r="M399" s="8"/>
      <c r="N399" s="8" t="s">
        <v>85</v>
      </c>
      <c r="O399" s="8" t="s">
        <v>217</v>
      </c>
      <c r="P399" s="8" t="s">
        <v>57</v>
      </c>
      <c r="Q399" s="8" t="s">
        <v>1161</v>
      </c>
      <c r="R399" s="8">
        <v>0.63</v>
      </c>
      <c r="S399" s="8" t="s">
        <v>49</v>
      </c>
      <c r="T399" s="8" t="s">
        <v>49</v>
      </c>
      <c r="U399" s="8" t="s">
        <v>2064</v>
      </c>
      <c r="V399" s="8" t="s">
        <v>142</v>
      </c>
      <c r="W399" s="8" t="s">
        <v>1778</v>
      </c>
      <c r="X399" s="8" t="s">
        <v>1797</v>
      </c>
      <c r="Y399" s="8" t="s">
        <v>2065</v>
      </c>
      <c r="Z399" s="8" t="s">
        <v>445</v>
      </c>
      <c r="AA399" s="8" t="s">
        <v>231</v>
      </c>
      <c r="AB399" s="8" t="s">
        <v>60</v>
      </c>
      <c r="AC399" s="8" t="s">
        <v>1165</v>
      </c>
      <c r="AD399" s="8" t="s">
        <v>2066</v>
      </c>
      <c r="AE399" s="8" t="s">
        <v>55</v>
      </c>
      <c r="AF399" s="8" t="s">
        <v>55</v>
      </c>
      <c r="AG399" s="8" t="s">
        <v>890</v>
      </c>
      <c r="AH399" s="8" t="s">
        <v>111</v>
      </c>
      <c r="AI399" s="8" t="s">
        <v>2067</v>
      </c>
      <c r="AJ399" s="8" t="s">
        <v>49</v>
      </c>
      <c r="AK399" s="8" t="s">
        <v>95</v>
      </c>
      <c r="AL399" s="8" t="s">
        <v>66</v>
      </c>
      <c r="AM399" s="8" t="s">
        <v>2068</v>
      </c>
      <c r="AN399" s="9" t="s">
        <v>2069</v>
      </c>
      <c r="AO399" s="9" t="s">
        <v>2070</v>
      </c>
      <c r="AP399" s="10" t="s">
        <v>2071</v>
      </c>
      <c r="AQ399" s="10" t="s">
        <v>2072</v>
      </c>
      <c r="AR399" s="10" t="s">
        <v>2073</v>
      </c>
      <c r="AS399" s="12"/>
      <c r="AT399" s="10" t="s">
        <v>2074</v>
      </c>
      <c r="AU399" s="10" t="s">
        <v>2075</v>
      </c>
      <c r="AV399" s="13"/>
    </row>
    <row r="400" ht="16.5" hidden="1" customHeight="1">
      <c r="A400" s="7" t="s">
        <v>2076</v>
      </c>
      <c r="B400" s="7" t="s">
        <v>49</v>
      </c>
      <c r="C400" s="7" t="s">
        <v>213</v>
      </c>
      <c r="D400" s="7" t="s">
        <v>51</v>
      </c>
      <c r="E400" s="7" t="s">
        <v>227</v>
      </c>
      <c r="F400" s="7">
        <v>6772.0</v>
      </c>
      <c r="G400" s="7"/>
      <c r="H400" s="7" t="s">
        <v>53</v>
      </c>
      <c r="I400" s="7"/>
      <c r="J400" s="14" t="s">
        <v>1159</v>
      </c>
      <c r="K400" s="8" t="s">
        <v>84</v>
      </c>
      <c r="L400" s="8" t="s">
        <v>49</v>
      </c>
      <c r="M400" s="8"/>
      <c r="N400" s="8" t="s">
        <v>85</v>
      </c>
      <c r="O400" s="8" t="s">
        <v>217</v>
      </c>
      <c r="P400" s="8" t="s">
        <v>57</v>
      </c>
      <c r="Q400" s="8" t="s">
        <v>1161</v>
      </c>
      <c r="R400" s="8">
        <v>0.63</v>
      </c>
      <c r="S400" s="8" t="s">
        <v>49</v>
      </c>
      <c r="T400" s="8" t="s">
        <v>49</v>
      </c>
      <c r="U400" s="8" t="s">
        <v>2077</v>
      </c>
      <c r="V400" s="8" t="s">
        <v>2078</v>
      </c>
      <c r="W400" s="8" t="s">
        <v>1778</v>
      </c>
      <c r="X400" s="8" t="s">
        <v>108</v>
      </c>
      <c r="Y400" s="8" t="s">
        <v>1779</v>
      </c>
      <c r="Z400" s="8" t="s">
        <v>92</v>
      </c>
      <c r="AA400" s="8" t="s">
        <v>231</v>
      </c>
      <c r="AB400" s="8" t="s">
        <v>60</v>
      </c>
      <c r="AC400" s="8" t="s">
        <v>1165</v>
      </c>
      <c r="AD400" s="8" t="s">
        <v>2079</v>
      </c>
      <c r="AE400" s="8" t="s">
        <v>55</v>
      </c>
      <c r="AF400" s="8" t="s">
        <v>55</v>
      </c>
      <c r="AG400" s="8" t="s">
        <v>339</v>
      </c>
      <c r="AH400" s="8" t="s">
        <v>111</v>
      </c>
      <c r="AI400" s="8" t="s">
        <v>2040</v>
      </c>
      <c r="AJ400" s="8" t="s">
        <v>49</v>
      </c>
      <c r="AK400" s="8" t="s">
        <v>95</v>
      </c>
      <c r="AL400" s="8" t="s">
        <v>66</v>
      </c>
      <c r="AM400" s="8" t="s">
        <v>2068</v>
      </c>
      <c r="AN400" s="9" t="s">
        <v>2080</v>
      </c>
      <c r="AO400" s="9" t="s">
        <v>2081</v>
      </c>
      <c r="AP400" s="10" t="s">
        <v>2082</v>
      </c>
      <c r="AQ400" s="10" t="s">
        <v>2083</v>
      </c>
      <c r="AR400" s="10" t="s">
        <v>2084</v>
      </c>
      <c r="AS400" s="12"/>
      <c r="AT400" s="10" t="s">
        <v>2085</v>
      </c>
      <c r="AU400" s="10" t="s">
        <v>2086</v>
      </c>
      <c r="AV400" s="13"/>
    </row>
    <row r="401" ht="16.5" hidden="1" customHeight="1">
      <c r="A401" s="7" t="s">
        <v>2087</v>
      </c>
      <c r="B401" s="7" t="s">
        <v>49</v>
      </c>
      <c r="C401" s="7" t="s">
        <v>213</v>
      </c>
      <c r="D401" s="7" t="s">
        <v>51</v>
      </c>
      <c r="E401" s="7" t="s">
        <v>227</v>
      </c>
      <c r="F401" s="7">
        <v>6773.0</v>
      </c>
      <c r="G401" s="7"/>
      <c r="H401" s="7" t="s">
        <v>53</v>
      </c>
      <c r="I401" s="7"/>
      <c r="J401" s="14" t="s">
        <v>1159</v>
      </c>
      <c r="K401" s="8" t="s">
        <v>84</v>
      </c>
      <c r="L401" s="8" t="s">
        <v>49</v>
      </c>
      <c r="M401" s="8"/>
      <c r="N401" s="8" t="s">
        <v>85</v>
      </c>
      <c r="O401" s="8" t="s">
        <v>217</v>
      </c>
      <c r="P401" s="8" t="s">
        <v>57</v>
      </c>
      <c r="Q401" s="8" t="s">
        <v>2088</v>
      </c>
      <c r="R401" s="8">
        <v>0.6</v>
      </c>
      <c r="S401" s="8" t="s">
        <v>49</v>
      </c>
      <c r="T401" s="8" t="s">
        <v>49</v>
      </c>
      <c r="U401" s="8" t="s">
        <v>2089</v>
      </c>
      <c r="V401" s="8" t="s">
        <v>2078</v>
      </c>
      <c r="W401" s="8" t="s">
        <v>1778</v>
      </c>
      <c r="X401" s="8" t="s">
        <v>1797</v>
      </c>
      <c r="Y401" s="8" t="s">
        <v>2065</v>
      </c>
      <c r="Z401" s="8" t="s">
        <v>92</v>
      </c>
      <c r="AA401" s="8" t="s">
        <v>231</v>
      </c>
      <c r="AB401" s="8" t="s">
        <v>60</v>
      </c>
      <c r="AC401" s="8" t="s">
        <v>1165</v>
      </c>
      <c r="AD401" s="8" t="s">
        <v>2090</v>
      </c>
      <c r="AE401" s="8" t="s">
        <v>55</v>
      </c>
      <c r="AF401" s="8" t="s">
        <v>55</v>
      </c>
      <c r="AG401" s="8" t="s">
        <v>339</v>
      </c>
      <c r="AH401" s="8" t="s">
        <v>111</v>
      </c>
      <c r="AI401" s="8" t="s">
        <v>463</v>
      </c>
      <c r="AJ401" s="8" t="s">
        <v>49</v>
      </c>
      <c r="AK401" s="8" t="s">
        <v>49</v>
      </c>
      <c r="AL401" s="8" t="s">
        <v>66</v>
      </c>
      <c r="AM401" s="8" t="s">
        <v>2068</v>
      </c>
      <c r="AN401" s="9" t="s">
        <v>2091</v>
      </c>
      <c r="AO401" s="9" t="s">
        <v>2092</v>
      </c>
      <c r="AP401" s="10" t="s">
        <v>2093</v>
      </c>
      <c r="AQ401" s="10" t="s">
        <v>2094</v>
      </c>
      <c r="AR401" s="10" t="s">
        <v>2095</v>
      </c>
      <c r="AS401" s="12"/>
      <c r="AT401" s="10" t="s">
        <v>2096</v>
      </c>
      <c r="AU401" s="10" t="s">
        <v>2097</v>
      </c>
      <c r="AV401" s="13"/>
    </row>
    <row r="402" ht="16.5" hidden="1" customHeight="1">
      <c r="A402" s="7" t="s">
        <v>2098</v>
      </c>
      <c r="B402" s="7" t="s">
        <v>49</v>
      </c>
      <c r="C402" s="7" t="s">
        <v>213</v>
      </c>
      <c r="D402" s="7" t="s">
        <v>51</v>
      </c>
      <c r="E402" s="7" t="s">
        <v>227</v>
      </c>
      <c r="F402" s="7">
        <v>6773.0</v>
      </c>
      <c r="G402" s="7">
        <v>6773.0</v>
      </c>
      <c r="H402" s="7" t="s">
        <v>53</v>
      </c>
      <c r="I402" s="7"/>
      <c r="J402" s="14" t="s">
        <v>1159</v>
      </c>
      <c r="K402" s="8" t="s">
        <v>84</v>
      </c>
      <c r="L402" s="8" t="s">
        <v>49</v>
      </c>
      <c r="M402" s="8"/>
      <c r="N402" s="8" t="s">
        <v>85</v>
      </c>
      <c r="O402" s="8" t="s">
        <v>217</v>
      </c>
      <c r="P402" s="8" t="s">
        <v>57</v>
      </c>
      <c r="Q402" s="8" t="s">
        <v>2088</v>
      </c>
      <c r="R402" s="8">
        <v>0.6</v>
      </c>
      <c r="S402" s="8" t="s">
        <v>49</v>
      </c>
      <c r="T402" s="8" t="s">
        <v>49</v>
      </c>
      <c r="U402" s="8" t="s">
        <v>2089</v>
      </c>
      <c r="V402" s="8" t="s">
        <v>2078</v>
      </c>
      <c r="W402" s="8" t="s">
        <v>1778</v>
      </c>
      <c r="X402" s="8" t="s">
        <v>1797</v>
      </c>
      <c r="Y402" s="8" t="s">
        <v>2065</v>
      </c>
      <c r="Z402" s="8" t="s">
        <v>92</v>
      </c>
      <c r="AA402" s="8" t="s">
        <v>231</v>
      </c>
      <c r="AB402" s="8" t="s">
        <v>60</v>
      </c>
      <c r="AC402" s="8" t="s">
        <v>1165</v>
      </c>
      <c r="AD402" s="8" t="s">
        <v>2090</v>
      </c>
      <c r="AE402" s="8" t="s">
        <v>55</v>
      </c>
      <c r="AF402" s="8" t="s">
        <v>55</v>
      </c>
      <c r="AG402" s="8" t="s">
        <v>339</v>
      </c>
      <c r="AH402" s="8" t="s">
        <v>111</v>
      </c>
      <c r="AI402" s="8" t="s">
        <v>463</v>
      </c>
      <c r="AJ402" s="8" t="s">
        <v>49</v>
      </c>
      <c r="AK402" s="8" t="s">
        <v>95</v>
      </c>
      <c r="AL402" s="8" t="s">
        <v>66</v>
      </c>
      <c r="AM402" s="8" t="s">
        <v>2068</v>
      </c>
      <c r="AN402" s="9" t="s">
        <v>2091</v>
      </c>
      <c r="AO402" s="9" t="s">
        <v>2092</v>
      </c>
      <c r="AP402" s="10" t="s">
        <v>2093</v>
      </c>
      <c r="AQ402" s="10" t="s">
        <v>2094</v>
      </c>
      <c r="AR402" s="10" t="s">
        <v>2095</v>
      </c>
      <c r="AS402" s="12"/>
      <c r="AT402" s="10" t="s">
        <v>2096</v>
      </c>
      <c r="AU402" s="10" t="s">
        <v>2097</v>
      </c>
      <c r="AV402" s="13"/>
    </row>
    <row r="403" ht="16.5" hidden="1" customHeight="1">
      <c r="A403" s="7" t="s">
        <v>2099</v>
      </c>
      <c r="B403" s="14" t="s">
        <v>49</v>
      </c>
      <c r="C403" s="14" t="s">
        <v>213</v>
      </c>
      <c r="D403" s="14" t="s">
        <v>51</v>
      </c>
      <c r="E403" s="7"/>
      <c r="F403" s="7">
        <v>6774.0</v>
      </c>
      <c r="G403" s="7">
        <v>6773.0</v>
      </c>
      <c r="H403" s="7" t="s">
        <v>53</v>
      </c>
      <c r="I403" s="7"/>
      <c r="J403" s="14" t="s">
        <v>1159</v>
      </c>
      <c r="K403" s="8" t="s">
        <v>84</v>
      </c>
      <c r="L403" s="8" t="s">
        <v>49</v>
      </c>
      <c r="M403" s="8"/>
      <c r="N403" s="8" t="s">
        <v>85</v>
      </c>
      <c r="O403" s="8" t="s">
        <v>217</v>
      </c>
      <c r="P403" s="8" t="s">
        <v>57</v>
      </c>
      <c r="Q403" s="8" t="s">
        <v>2088</v>
      </c>
      <c r="R403" s="8">
        <v>0.6</v>
      </c>
      <c r="S403" s="8" t="s">
        <v>49</v>
      </c>
      <c r="T403" s="8" t="s">
        <v>49</v>
      </c>
      <c r="U403" s="8" t="s">
        <v>2089</v>
      </c>
      <c r="V403" s="8" t="s">
        <v>2078</v>
      </c>
      <c r="W403" s="8" t="s">
        <v>1778</v>
      </c>
      <c r="X403" s="8" t="s">
        <v>1797</v>
      </c>
      <c r="Y403" s="8" t="s">
        <v>2065</v>
      </c>
      <c r="Z403" s="8" t="s">
        <v>92</v>
      </c>
      <c r="AA403" s="8" t="s">
        <v>231</v>
      </c>
      <c r="AB403" s="8" t="s">
        <v>60</v>
      </c>
      <c r="AC403" s="8" t="s">
        <v>1165</v>
      </c>
      <c r="AD403" s="8" t="s">
        <v>2090</v>
      </c>
      <c r="AE403" s="8" t="s">
        <v>55</v>
      </c>
      <c r="AF403" s="8" t="s">
        <v>55</v>
      </c>
      <c r="AG403" s="8" t="s">
        <v>339</v>
      </c>
      <c r="AH403" s="8" t="s">
        <v>111</v>
      </c>
      <c r="AI403" s="8" t="s">
        <v>65</v>
      </c>
      <c r="AJ403" s="8" t="s">
        <v>49</v>
      </c>
      <c r="AK403" s="8" t="s">
        <v>95</v>
      </c>
      <c r="AL403" s="8" t="s">
        <v>66</v>
      </c>
      <c r="AM403" s="8" t="s">
        <v>1791</v>
      </c>
      <c r="AN403" s="9" t="s">
        <v>2100</v>
      </c>
      <c r="AO403" s="9" t="s">
        <v>2101</v>
      </c>
      <c r="AP403" s="10" t="s">
        <v>2093</v>
      </c>
      <c r="AQ403" s="10" t="s">
        <v>2094</v>
      </c>
      <c r="AR403" s="10" t="s">
        <v>2095</v>
      </c>
      <c r="AS403" s="12"/>
      <c r="AT403" s="10" t="s">
        <v>2096</v>
      </c>
      <c r="AU403" s="10" t="s">
        <v>2097</v>
      </c>
      <c r="AV403" s="15">
        <v>46315.0</v>
      </c>
    </row>
    <row r="404" ht="16.5" hidden="1" customHeight="1">
      <c r="A404" s="7" t="s">
        <v>2102</v>
      </c>
      <c r="B404" s="14" t="s">
        <v>49</v>
      </c>
      <c r="C404" s="14" t="s">
        <v>213</v>
      </c>
      <c r="D404" s="14" t="s">
        <v>51</v>
      </c>
      <c r="E404" s="7"/>
      <c r="F404" s="7">
        <v>6775.0</v>
      </c>
      <c r="G404" s="7">
        <v>6773.0</v>
      </c>
      <c r="H404" s="7" t="s">
        <v>53</v>
      </c>
      <c r="I404" s="7"/>
      <c r="J404" s="14" t="s">
        <v>1159</v>
      </c>
      <c r="K404" s="8" t="s">
        <v>84</v>
      </c>
      <c r="L404" s="8" t="s">
        <v>49</v>
      </c>
      <c r="M404" s="8"/>
      <c r="N404" s="8" t="s">
        <v>85</v>
      </c>
      <c r="O404" s="8" t="s">
        <v>217</v>
      </c>
      <c r="P404" s="8" t="s">
        <v>57</v>
      </c>
      <c r="Q404" s="8" t="s">
        <v>1161</v>
      </c>
      <c r="R404" s="8">
        <v>0.6</v>
      </c>
      <c r="S404" s="8" t="s">
        <v>49</v>
      </c>
      <c r="T404" s="8" t="s">
        <v>49</v>
      </c>
      <c r="U404" s="8" t="s">
        <v>1430</v>
      </c>
      <c r="V404" s="8" t="s">
        <v>2103</v>
      </c>
      <c r="W404" s="8" t="s">
        <v>1778</v>
      </c>
      <c r="X404" s="8" t="s">
        <v>1797</v>
      </c>
      <c r="Y404" s="8" t="s">
        <v>2065</v>
      </c>
      <c r="Z404" s="8" t="s">
        <v>92</v>
      </c>
      <c r="AA404" s="8" t="s">
        <v>231</v>
      </c>
      <c r="AB404" s="8" t="s">
        <v>60</v>
      </c>
      <c r="AC404" s="8" t="s">
        <v>1165</v>
      </c>
      <c r="AD404" s="8" t="s">
        <v>2104</v>
      </c>
      <c r="AE404" s="8" t="s">
        <v>55</v>
      </c>
      <c r="AF404" s="8" t="s">
        <v>55</v>
      </c>
      <c r="AG404" s="8" t="s">
        <v>339</v>
      </c>
      <c r="AH404" s="8" t="s">
        <v>111</v>
      </c>
      <c r="AI404" s="8" t="s">
        <v>463</v>
      </c>
      <c r="AJ404" s="8" t="s">
        <v>49</v>
      </c>
      <c r="AK404" s="8" t="s">
        <v>95</v>
      </c>
      <c r="AL404" s="8" t="s">
        <v>66</v>
      </c>
      <c r="AM404" s="8" t="s">
        <v>1791</v>
      </c>
      <c r="AN404" s="9" t="s">
        <v>2105</v>
      </c>
      <c r="AO404" s="9" t="s">
        <v>2106</v>
      </c>
      <c r="AP404" s="10" t="s">
        <v>2093</v>
      </c>
      <c r="AQ404" s="10" t="s">
        <v>2107</v>
      </c>
      <c r="AR404" s="18" t="s">
        <v>2108</v>
      </c>
      <c r="AS404" s="12"/>
      <c r="AT404" s="10" t="s">
        <v>2109</v>
      </c>
      <c r="AU404" s="10" t="s">
        <v>2110</v>
      </c>
      <c r="AV404" s="15">
        <v>46315.0</v>
      </c>
    </row>
    <row r="405" ht="16.5" hidden="1" customHeight="1">
      <c r="A405" s="7" t="s">
        <v>2111</v>
      </c>
      <c r="B405" s="14" t="s">
        <v>49</v>
      </c>
      <c r="C405" s="14" t="s">
        <v>213</v>
      </c>
      <c r="D405" s="14" t="s">
        <v>51</v>
      </c>
      <c r="E405" s="7"/>
      <c r="F405" s="7">
        <v>6776.0</v>
      </c>
      <c r="G405" s="7">
        <v>6773.0</v>
      </c>
      <c r="H405" s="7" t="s">
        <v>53</v>
      </c>
      <c r="I405" s="7"/>
      <c r="J405" s="14" t="s">
        <v>1159</v>
      </c>
      <c r="K405" s="8" t="s">
        <v>84</v>
      </c>
      <c r="L405" s="8" t="s">
        <v>49</v>
      </c>
      <c r="M405" s="8"/>
      <c r="N405" s="8" t="s">
        <v>85</v>
      </c>
      <c r="O405" s="8" t="s">
        <v>217</v>
      </c>
      <c r="P405" s="8" t="s">
        <v>57</v>
      </c>
      <c r="Q405" s="8" t="s">
        <v>1161</v>
      </c>
      <c r="R405" s="8">
        <v>0.6</v>
      </c>
      <c r="S405" s="8" t="s">
        <v>49</v>
      </c>
      <c r="T405" s="8" t="s">
        <v>49</v>
      </c>
      <c r="U405" s="8" t="s">
        <v>1430</v>
      </c>
      <c r="V405" s="8" t="s">
        <v>2103</v>
      </c>
      <c r="W405" s="8" t="s">
        <v>1778</v>
      </c>
      <c r="X405" s="8" t="s">
        <v>1797</v>
      </c>
      <c r="Y405" s="8" t="s">
        <v>2065</v>
      </c>
      <c r="Z405" s="8" t="s">
        <v>92</v>
      </c>
      <c r="AA405" s="8" t="s">
        <v>231</v>
      </c>
      <c r="AB405" s="8" t="s">
        <v>60</v>
      </c>
      <c r="AC405" s="8" t="s">
        <v>1165</v>
      </c>
      <c r="AD405" s="8" t="s">
        <v>2104</v>
      </c>
      <c r="AE405" s="8" t="s">
        <v>55</v>
      </c>
      <c r="AF405" s="8" t="s">
        <v>55</v>
      </c>
      <c r="AG405" s="8" t="s">
        <v>339</v>
      </c>
      <c r="AH405" s="8" t="s">
        <v>111</v>
      </c>
      <c r="AI405" s="8" t="s">
        <v>65</v>
      </c>
      <c r="AJ405" s="8" t="s">
        <v>49</v>
      </c>
      <c r="AK405" s="8" t="s">
        <v>95</v>
      </c>
      <c r="AL405" s="8" t="s">
        <v>66</v>
      </c>
      <c r="AM405" s="8" t="s">
        <v>1791</v>
      </c>
      <c r="AN405" s="9" t="s">
        <v>2112</v>
      </c>
      <c r="AO405" s="9" t="s">
        <v>2113</v>
      </c>
      <c r="AP405" s="10" t="s">
        <v>2093</v>
      </c>
      <c r="AQ405" s="10" t="s">
        <v>2107</v>
      </c>
      <c r="AR405" s="18" t="s">
        <v>2108</v>
      </c>
      <c r="AS405" s="12"/>
      <c r="AT405" s="10" t="s">
        <v>2109</v>
      </c>
      <c r="AU405" s="10" t="s">
        <v>2110</v>
      </c>
      <c r="AV405" s="13"/>
    </row>
    <row r="406" ht="16.5" hidden="1" customHeight="1">
      <c r="A406" s="7" t="s">
        <v>2114</v>
      </c>
      <c r="B406" s="14" t="s">
        <v>49</v>
      </c>
      <c r="C406" s="14" t="s">
        <v>213</v>
      </c>
      <c r="D406" s="14" t="s">
        <v>51</v>
      </c>
      <c r="E406" s="7"/>
      <c r="F406" s="7">
        <v>6777.0</v>
      </c>
      <c r="G406" s="7">
        <v>6773.0</v>
      </c>
      <c r="H406" s="7" t="s">
        <v>53</v>
      </c>
      <c r="I406" s="7"/>
      <c r="J406" s="14" t="s">
        <v>1159</v>
      </c>
      <c r="K406" s="8" t="s">
        <v>84</v>
      </c>
      <c r="L406" s="8" t="s">
        <v>49</v>
      </c>
      <c r="M406" s="8"/>
      <c r="N406" s="8" t="s">
        <v>85</v>
      </c>
      <c r="O406" s="8" t="s">
        <v>217</v>
      </c>
      <c r="P406" s="8" t="s">
        <v>57</v>
      </c>
      <c r="Q406" s="8" t="s">
        <v>2115</v>
      </c>
      <c r="R406" s="8">
        <v>0.62</v>
      </c>
      <c r="S406" s="8" t="s">
        <v>49</v>
      </c>
      <c r="T406" s="8" t="s">
        <v>49</v>
      </c>
      <c r="U406" s="8" t="s">
        <v>2116</v>
      </c>
      <c r="V406" s="8" t="s">
        <v>142</v>
      </c>
      <c r="W406" s="8" t="s">
        <v>1778</v>
      </c>
      <c r="X406" s="8" t="s">
        <v>1797</v>
      </c>
      <c r="Y406" s="8" t="s">
        <v>2065</v>
      </c>
      <c r="Z406" s="8" t="s">
        <v>92</v>
      </c>
      <c r="AA406" s="8" t="s">
        <v>231</v>
      </c>
      <c r="AB406" s="8" t="s">
        <v>60</v>
      </c>
      <c r="AC406" s="8" t="s">
        <v>1165</v>
      </c>
      <c r="AD406" s="8" t="s">
        <v>2117</v>
      </c>
      <c r="AE406" s="8" t="s">
        <v>55</v>
      </c>
      <c r="AF406" s="8" t="s">
        <v>55</v>
      </c>
      <c r="AG406" s="8" t="s">
        <v>339</v>
      </c>
      <c r="AH406" s="8" t="s">
        <v>111</v>
      </c>
      <c r="AI406" s="8" t="s">
        <v>463</v>
      </c>
      <c r="AJ406" s="8" t="s">
        <v>49</v>
      </c>
      <c r="AK406" s="8" t="s">
        <v>95</v>
      </c>
      <c r="AL406" s="8" t="s">
        <v>66</v>
      </c>
      <c r="AM406" s="8" t="s">
        <v>1791</v>
      </c>
      <c r="AN406" s="9" t="s">
        <v>2118</v>
      </c>
      <c r="AO406" s="9" t="s">
        <v>2119</v>
      </c>
      <c r="AP406" s="10" t="s">
        <v>2093</v>
      </c>
      <c r="AQ406" s="10" t="s">
        <v>2120</v>
      </c>
      <c r="AR406" s="10" t="s">
        <v>2121</v>
      </c>
      <c r="AS406" s="12"/>
      <c r="AT406" s="10" t="s">
        <v>2122</v>
      </c>
      <c r="AU406" s="10" t="s">
        <v>2123</v>
      </c>
      <c r="AV406" s="13"/>
    </row>
    <row r="407" ht="16.5" hidden="1" customHeight="1">
      <c r="A407" s="7" t="s">
        <v>2124</v>
      </c>
      <c r="B407" s="14" t="s">
        <v>49</v>
      </c>
      <c r="C407" s="14" t="s">
        <v>213</v>
      </c>
      <c r="D407" s="14" t="s">
        <v>51</v>
      </c>
      <c r="E407" s="7"/>
      <c r="F407" s="7">
        <v>6778.0</v>
      </c>
      <c r="G407" s="7">
        <v>6773.0</v>
      </c>
      <c r="H407" s="7" t="s">
        <v>53</v>
      </c>
      <c r="I407" s="7"/>
      <c r="J407" s="14" t="s">
        <v>1159</v>
      </c>
      <c r="K407" s="8" t="s">
        <v>84</v>
      </c>
      <c r="L407" s="8" t="s">
        <v>49</v>
      </c>
      <c r="M407" s="8"/>
      <c r="N407" s="8" t="s">
        <v>85</v>
      </c>
      <c r="O407" s="8" t="s">
        <v>217</v>
      </c>
      <c r="P407" s="8" t="s">
        <v>57</v>
      </c>
      <c r="Q407" s="8" t="s">
        <v>2115</v>
      </c>
      <c r="R407" s="8">
        <v>0.62</v>
      </c>
      <c r="S407" s="8" t="s">
        <v>49</v>
      </c>
      <c r="T407" s="8" t="s">
        <v>49</v>
      </c>
      <c r="U407" s="8" t="s">
        <v>2116</v>
      </c>
      <c r="V407" s="8" t="s">
        <v>142</v>
      </c>
      <c r="W407" s="8" t="s">
        <v>1778</v>
      </c>
      <c r="X407" s="8" t="s">
        <v>1797</v>
      </c>
      <c r="Y407" s="8" t="s">
        <v>2065</v>
      </c>
      <c r="Z407" s="8" t="s">
        <v>92</v>
      </c>
      <c r="AA407" s="8" t="s">
        <v>231</v>
      </c>
      <c r="AB407" s="8" t="s">
        <v>60</v>
      </c>
      <c r="AC407" s="8" t="s">
        <v>1165</v>
      </c>
      <c r="AD407" s="8" t="s">
        <v>2117</v>
      </c>
      <c r="AE407" s="8" t="s">
        <v>55</v>
      </c>
      <c r="AF407" s="8" t="s">
        <v>55</v>
      </c>
      <c r="AG407" s="8" t="s">
        <v>339</v>
      </c>
      <c r="AH407" s="8" t="s">
        <v>111</v>
      </c>
      <c r="AI407" s="8" t="s">
        <v>65</v>
      </c>
      <c r="AJ407" s="8" t="s">
        <v>49</v>
      </c>
      <c r="AK407" s="8" t="s">
        <v>95</v>
      </c>
      <c r="AL407" s="8" t="s">
        <v>66</v>
      </c>
      <c r="AM407" s="8" t="s">
        <v>1791</v>
      </c>
      <c r="AN407" s="9" t="s">
        <v>2125</v>
      </c>
      <c r="AO407" s="9" t="s">
        <v>2126</v>
      </c>
      <c r="AP407" s="10" t="s">
        <v>2093</v>
      </c>
      <c r="AQ407" s="10" t="s">
        <v>2120</v>
      </c>
      <c r="AR407" s="10" t="s">
        <v>2121</v>
      </c>
      <c r="AS407" s="12"/>
      <c r="AT407" s="10" t="s">
        <v>2122</v>
      </c>
      <c r="AU407" s="10" t="s">
        <v>2123</v>
      </c>
      <c r="AV407" s="15">
        <v>46315.0</v>
      </c>
    </row>
    <row r="408" ht="16.5" hidden="1" customHeight="1">
      <c r="A408" s="7" t="s">
        <v>2127</v>
      </c>
      <c r="B408" s="7" t="s">
        <v>49</v>
      </c>
      <c r="C408" s="7" t="s">
        <v>213</v>
      </c>
      <c r="D408" s="7" t="s">
        <v>51</v>
      </c>
      <c r="E408" s="7" t="s">
        <v>227</v>
      </c>
      <c r="F408" s="7">
        <v>6780.0</v>
      </c>
      <c r="G408" s="7"/>
      <c r="H408" s="7" t="s">
        <v>53</v>
      </c>
      <c r="I408" s="7"/>
      <c r="J408" s="14" t="s">
        <v>1159</v>
      </c>
      <c r="K408" s="8" t="s">
        <v>84</v>
      </c>
      <c r="L408" s="8" t="s">
        <v>49</v>
      </c>
      <c r="M408" s="8"/>
      <c r="N408" s="8" t="s">
        <v>85</v>
      </c>
      <c r="O408" s="8" t="s">
        <v>217</v>
      </c>
      <c r="P408" s="8" t="s">
        <v>57</v>
      </c>
      <c r="Q408" s="8" t="s">
        <v>1161</v>
      </c>
      <c r="R408" s="8">
        <v>0.62</v>
      </c>
      <c r="S408" s="8" t="s">
        <v>49</v>
      </c>
      <c r="T408" s="8" t="s">
        <v>49</v>
      </c>
      <c r="U408" s="8" t="s">
        <v>2128</v>
      </c>
      <c r="V408" s="8" t="s">
        <v>2129</v>
      </c>
      <c r="W408" s="8" t="s">
        <v>1778</v>
      </c>
      <c r="X408" s="8" t="s">
        <v>108</v>
      </c>
      <c r="Y408" s="8" t="s">
        <v>2065</v>
      </c>
      <c r="Z408" s="8" t="s">
        <v>92</v>
      </c>
      <c r="AA408" s="8" t="s">
        <v>231</v>
      </c>
      <c r="AB408" s="8" t="s">
        <v>60</v>
      </c>
      <c r="AC408" s="8" t="s">
        <v>1165</v>
      </c>
      <c r="AD408" s="8" t="s">
        <v>2130</v>
      </c>
      <c r="AE408" s="8" t="s">
        <v>55</v>
      </c>
      <c r="AF408" s="8" t="s">
        <v>55</v>
      </c>
      <c r="AG408" s="8" t="s">
        <v>339</v>
      </c>
      <c r="AH408" s="8" t="s">
        <v>111</v>
      </c>
      <c r="AI408" s="8" t="s">
        <v>112</v>
      </c>
      <c r="AJ408" s="8" t="s">
        <v>49</v>
      </c>
      <c r="AK408" s="8" t="s">
        <v>49</v>
      </c>
      <c r="AL408" s="8" t="s">
        <v>66</v>
      </c>
      <c r="AM408" s="8" t="s">
        <v>2041</v>
      </c>
      <c r="AN408" s="9" t="s">
        <v>2131</v>
      </c>
      <c r="AO408" s="9" t="s">
        <v>2132</v>
      </c>
      <c r="AP408" s="10" t="s">
        <v>2133</v>
      </c>
      <c r="AQ408" s="10" t="s">
        <v>2134</v>
      </c>
      <c r="AR408" s="10" t="s">
        <v>2135</v>
      </c>
      <c r="AS408" s="12"/>
      <c r="AT408" s="10" t="s">
        <v>2136</v>
      </c>
      <c r="AU408" s="10" t="s">
        <v>2137</v>
      </c>
      <c r="AV408" s="13"/>
    </row>
    <row r="409" ht="16.5" hidden="1" customHeight="1">
      <c r="A409" s="7" t="s">
        <v>2138</v>
      </c>
      <c r="B409" s="7" t="s">
        <v>49</v>
      </c>
      <c r="C409" s="7" t="s">
        <v>213</v>
      </c>
      <c r="D409" s="7" t="s">
        <v>51</v>
      </c>
      <c r="E409" s="7" t="s">
        <v>227</v>
      </c>
      <c r="F409" s="7">
        <v>6780.0</v>
      </c>
      <c r="G409" s="7">
        <v>6780.0</v>
      </c>
      <c r="H409" s="7" t="s">
        <v>53</v>
      </c>
      <c r="I409" s="7"/>
      <c r="J409" s="14" t="s">
        <v>1159</v>
      </c>
      <c r="K409" s="8" t="s">
        <v>84</v>
      </c>
      <c r="L409" s="8" t="s">
        <v>49</v>
      </c>
      <c r="M409" s="8"/>
      <c r="N409" s="8" t="s">
        <v>85</v>
      </c>
      <c r="O409" s="8" t="s">
        <v>217</v>
      </c>
      <c r="P409" s="8" t="s">
        <v>57</v>
      </c>
      <c r="Q409" s="8" t="s">
        <v>1161</v>
      </c>
      <c r="R409" s="8">
        <v>0.62</v>
      </c>
      <c r="S409" s="8" t="s">
        <v>49</v>
      </c>
      <c r="T409" s="8" t="s">
        <v>49</v>
      </c>
      <c r="U409" s="8" t="s">
        <v>2128</v>
      </c>
      <c r="V409" s="8" t="s">
        <v>2129</v>
      </c>
      <c r="W409" s="8" t="s">
        <v>1778</v>
      </c>
      <c r="X409" s="8" t="s">
        <v>108</v>
      </c>
      <c r="Y409" s="8" t="s">
        <v>2065</v>
      </c>
      <c r="Z409" s="8" t="s">
        <v>92</v>
      </c>
      <c r="AA409" s="8" t="s">
        <v>231</v>
      </c>
      <c r="AB409" s="8" t="s">
        <v>60</v>
      </c>
      <c r="AC409" s="8" t="s">
        <v>1165</v>
      </c>
      <c r="AD409" s="8" t="s">
        <v>2130</v>
      </c>
      <c r="AE409" s="8" t="s">
        <v>55</v>
      </c>
      <c r="AF409" s="8" t="s">
        <v>55</v>
      </c>
      <c r="AG409" s="8" t="s">
        <v>339</v>
      </c>
      <c r="AH409" s="8" t="s">
        <v>111</v>
      </c>
      <c r="AI409" s="8" t="s">
        <v>112</v>
      </c>
      <c r="AJ409" s="8" t="s">
        <v>49</v>
      </c>
      <c r="AK409" s="8" t="s">
        <v>95</v>
      </c>
      <c r="AL409" s="8" t="s">
        <v>66</v>
      </c>
      <c r="AM409" s="8" t="s">
        <v>2041</v>
      </c>
      <c r="AN409" s="16" t="s">
        <v>2131</v>
      </c>
      <c r="AO409" s="9" t="s">
        <v>2132</v>
      </c>
      <c r="AP409" s="10" t="s">
        <v>2133</v>
      </c>
      <c r="AQ409" s="10" t="s">
        <v>2134</v>
      </c>
      <c r="AR409" s="10" t="s">
        <v>2135</v>
      </c>
      <c r="AS409" s="12"/>
      <c r="AT409" s="10" t="s">
        <v>2136</v>
      </c>
      <c r="AU409" s="10" t="s">
        <v>2137</v>
      </c>
      <c r="AV409" s="13"/>
    </row>
    <row r="410" ht="16.5" hidden="1" customHeight="1">
      <c r="A410" s="7" t="s">
        <v>2139</v>
      </c>
      <c r="B410" s="14" t="s">
        <v>49</v>
      </c>
      <c r="C410" s="14" t="s">
        <v>213</v>
      </c>
      <c r="D410" s="14" t="s">
        <v>51</v>
      </c>
      <c r="E410" s="7"/>
      <c r="F410" s="7">
        <v>6781.0</v>
      </c>
      <c r="G410" s="7">
        <v>6780.0</v>
      </c>
      <c r="H410" s="7" t="s">
        <v>53</v>
      </c>
      <c r="I410" s="7"/>
      <c r="J410" s="14" t="s">
        <v>1159</v>
      </c>
      <c r="K410" s="8" t="s">
        <v>84</v>
      </c>
      <c r="L410" s="8" t="s">
        <v>49</v>
      </c>
      <c r="M410" s="8"/>
      <c r="N410" s="8" t="s">
        <v>85</v>
      </c>
      <c r="O410" s="8" t="s">
        <v>217</v>
      </c>
      <c r="P410" s="8" t="s">
        <v>57</v>
      </c>
      <c r="Q410" s="8" t="s">
        <v>1161</v>
      </c>
      <c r="R410" s="8">
        <v>0.62</v>
      </c>
      <c r="S410" s="8" t="s">
        <v>49</v>
      </c>
      <c r="T410" s="8" t="s">
        <v>49</v>
      </c>
      <c r="U410" s="8" t="s">
        <v>2128</v>
      </c>
      <c r="V410" s="8" t="s">
        <v>2129</v>
      </c>
      <c r="W410" s="8" t="s">
        <v>1778</v>
      </c>
      <c r="X410" s="8" t="s">
        <v>108</v>
      </c>
      <c r="Y410" s="8" t="s">
        <v>2065</v>
      </c>
      <c r="Z410" s="8" t="s">
        <v>92</v>
      </c>
      <c r="AA410" s="8" t="s">
        <v>231</v>
      </c>
      <c r="AB410" s="8" t="s">
        <v>60</v>
      </c>
      <c r="AC410" s="8" t="s">
        <v>1165</v>
      </c>
      <c r="AD410" s="8" t="s">
        <v>2130</v>
      </c>
      <c r="AE410" s="8" t="s">
        <v>55</v>
      </c>
      <c r="AF410" s="8" t="s">
        <v>55</v>
      </c>
      <c r="AG410" s="8" t="s">
        <v>339</v>
      </c>
      <c r="AH410" s="8" t="s">
        <v>111</v>
      </c>
      <c r="AI410" s="8" t="s">
        <v>94</v>
      </c>
      <c r="AJ410" s="8" t="s">
        <v>49</v>
      </c>
      <c r="AK410" s="8" t="s">
        <v>95</v>
      </c>
      <c r="AL410" s="8" t="s">
        <v>66</v>
      </c>
      <c r="AM410" s="8" t="s">
        <v>2041</v>
      </c>
      <c r="AN410" s="16" t="s">
        <v>2140</v>
      </c>
      <c r="AO410" s="9" t="s">
        <v>2141</v>
      </c>
      <c r="AP410" s="10" t="s">
        <v>2133</v>
      </c>
      <c r="AQ410" s="10" t="s">
        <v>2134</v>
      </c>
      <c r="AR410" s="10" t="s">
        <v>2135</v>
      </c>
      <c r="AS410" s="12"/>
      <c r="AT410" s="10" t="s">
        <v>2136</v>
      </c>
      <c r="AU410" s="10" t="s">
        <v>2137</v>
      </c>
      <c r="AV410" s="13"/>
    </row>
    <row r="411" ht="16.5" hidden="1" customHeight="1">
      <c r="A411" s="7" t="s">
        <v>2142</v>
      </c>
      <c r="B411" s="14" t="s">
        <v>49</v>
      </c>
      <c r="C411" s="14" t="s">
        <v>213</v>
      </c>
      <c r="D411" s="14" t="s">
        <v>51</v>
      </c>
      <c r="E411" s="7"/>
      <c r="F411" s="7">
        <v>6782.0</v>
      </c>
      <c r="G411" s="7">
        <v>6780.0</v>
      </c>
      <c r="H411" s="7" t="s">
        <v>53</v>
      </c>
      <c r="I411" s="7"/>
      <c r="J411" s="14" t="s">
        <v>1159</v>
      </c>
      <c r="K411" s="8" t="s">
        <v>84</v>
      </c>
      <c r="L411" s="8" t="s">
        <v>49</v>
      </c>
      <c r="M411" s="8"/>
      <c r="N411" s="8" t="s">
        <v>85</v>
      </c>
      <c r="O411" s="8" t="s">
        <v>217</v>
      </c>
      <c r="P411" s="8" t="s">
        <v>57</v>
      </c>
      <c r="Q411" s="8" t="s">
        <v>1161</v>
      </c>
      <c r="R411" s="8">
        <v>0.62</v>
      </c>
      <c r="S411" s="8" t="s">
        <v>49</v>
      </c>
      <c r="T411" s="8" t="s">
        <v>49</v>
      </c>
      <c r="U411" s="8" t="s">
        <v>2128</v>
      </c>
      <c r="V411" s="8" t="s">
        <v>2129</v>
      </c>
      <c r="W411" s="8" t="s">
        <v>1778</v>
      </c>
      <c r="X411" s="8" t="s">
        <v>108</v>
      </c>
      <c r="Y411" s="8" t="s">
        <v>2065</v>
      </c>
      <c r="Z411" s="8" t="s">
        <v>92</v>
      </c>
      <c r="AA411" s="8" t="s">
        <v>231</v>
      </c>
      <c r="AB411" s="8" t="s">
        <v>60</v>
      </c>
      <c r="AC411" s="8" t="s">
        <v>1165</v>
      </c>
      <c r="AD411" s="8" t="s">
        <v>2130</v>
      </c>
      <c r="AE411" s="8" t="s">
        <v>55</v>
      </c>
      <c r="AF411" s="8" t="s">
        <v>55</v>
      </c>
      <c r="AG411" s="8" t="s">
        <v>339</v>
      </c>
      <c r="AH411" s="8" t="s">
        <v>111</v>
      </c>
      <c r="AI411" s="8" t="s">
        <v>2040</v>
      </c>
      <c r="AJ411" s="8" t="s">
        <v>49</v>
      </c>
      <c r="AK411" s="8" t="s">
        <v>95</v>
      </c>
      <c r="AL411" s="8" t="s">
        <v>66</v>
      </c>
      <c r="AM411" s="8" t="s">
        <v>2041</v>
      </c>
      <c r="AN411" s="16" t="s">
        <v>2143</v>
      </c>
      <c r="AO411" s="9" t="s">
        <v>2144</v>
      </c>
      <c r="AP411" s="10" t="s">
        <v>2133</v>
      </c>
      <c r="AQ411" s="10" t="s">
        <v>2134</v>
      </c>
      <c r="AR411" s="10" t="s">
        <v>2135</v>
      </c>
      <c r="AS411" s="12"/>
      <c r="AT411" s="10" t="s">
        <v>2136</v>
      </c>
      <c r="AU411" s="10" t="s">
        <v>2137</v>
      </c>
      <c r="AV411" s="13"/>
    </row>
    <row r="412" ht="16.5" hidden="1" customHeight="1">
      <c r="A412" s="7" t="s">
        <v>2145</v>
      </c>
      <c r="B412" s="14" t="s">
        <v>49</v>
      </c>
      <c r="C412" s="14" t="s">
        <v>213</v>
      </c>
      <c r="D412" s="14" t="s">
        <v>51</v>
      </c>
      <c r="E412" s="7"/>
      <c r="F412" s="7">
        <v>6783.0</v>
      </c>
      <c r="G412" s="7">
        <v>6780.0</v>
      </c>
      <c r="H412" s="7" t="s">
        <v>53</v>
      </c>
      <c r="I412" s="7"/>
      <c r="J412" s="14" t="s">
        <v>1159</v>
      </c>
      <c r="K412" s="8" t="s">
        <v>84</v>
      </c>
      <c r="L412" s="8" t="s">
        <v>49</v>
      </c>
      <c r="M412" s="8"/>
      <c r="N412" s="8" t="s">
        <v>85</v>
      </c>
      <c r="O412" s="8" t="s">
        <v>217</v>
      </c>
      <c r="P412" s="8" t="s">
        <v>57</v>
      </c>
      <c r="Q412" s="8" t="s">
        <v>1161</v>
      </c>
      <c r="R412" s="8">
        <v>0.62</v>
      </c>
      <c r="S412" s="8" t="s">
        <v>49</v>
      </c>
      <c r="T412" s="8" t="s">
        <v>49</v>
      </c>
      <c r="U412" s="8" t="s">
        <v>2128</v>
      </c>
      <c r="V412" s="8" t="s">
        <v>2129</v>
      </c>
      <c r="W412" s="8" t="s">
        <v>1778</v>
      </c>
      <c r="X412" s="8" t="s">
        <v>108</v>
      </c>
      <c r="Y412" s="8" t="s">
        <v>2065</v>
      </c>
      <c r="Z412" s="8" t="s">
        <v>92</v>
      </c>
      <c r="AA412" s="8" t="s">
        <v>231</v>
      </c>
      <c r="AB412" s="8" t="s">
        <v>60</v>
      </c>
      <c r="AC412" s="8" t="s">
        <v>1165</v>
      </c>
      <c r="AD412" s="8" t="s">
        <v>2130</v>
      </c>
      <c r="AE412" s="8" t="s">
        <v>55</v>
      </c>
      <c r="AF412" s="8" t="s">
        <v>55</v>
      </c>
      <c r="AG412" s="8" t="s">
        <v>339</v>
      </c>
      <c r="AH412" s="8" t="s">
        <v>111</v>
      </c>
      <c r="AI412" s="8" t="s">
        <v>2060</v>
      </c>
      <c r="AJ412" s="8" t="s">
        <v>49</v>
      </c>
      <c r="AK412" s="8" t="s">
        <v>95</v>
      </c>
      <c r="AL412" s="8" t="s">
        <v>66</v>
      </c>
      <c r="AM412" s="8" t="s">
        <v>2041</v>
      </c>
      <c r="AN412" s="16" t="s">
        <v>2146</v>
      </c>
      <c r="AO412" s="9" t="s">
        <v>2147</v>
      </c>
      <c r="AP412" s="10" t="s">
        <v>2133</v>
      </c>
      <c r="AQ412" s="10" t="s">
        <v>2134</v>
      </c>
      <c r="AR412" s="10" t="s">
        <v>2135</v>
      </c>
      <c r="AS412" s="12"/>
      <c r="AT412" s="10" t="s">
        <v>2136</v>
      </c>
      <c r="AU412" s="10" t="s">
        <v>2137</v>
      </c>
      <c r="AV412" s="13"/>
    </row>
    <row r="413" ht="16.5" hidden="1" customHeight="1">
      <c r="A413" s="7" t="s">
        <v>2148</v>
      </c>
      <c r="B413" s="7" t="s">
        <v>49</v>
      </c>
      <c r="C413" s="7" t="s">
        <v>213</v>
      </c>
      <c r="D413" s="7" t="s">
        <v>51</v>
      </c>
      <c r="E413" s="7" t="s">
        <v>227</v>
      </c>
      <c r="F413" s="7">
        <v>6784.0</v>
      </c>
      <c r="G413" s="7"/>
      <c r="H413" s="7" t="s">
        <v>53</v>
      </c>
      <c r="I413" s="7"/>
      <c r="J413" s="14" t="s">
        <v>1159</v>
      </c>
      <c r="K413" s="8" t="s">
        <v>84</v>
      </c>
      <c r="L413" s="8" t="s">
        <v>49</v>
      </c>
      <c r="M413" s="8"/>
      <c r="N413" s="8" t="s">
        <v>85</v>
      </c>
      <c r="O413" s="8" t="s">
        <v>217</v>
      </c>
      <c r="P413" s="8" t="s">
        <v>57</v>
      </c>
      <c r="Q413" s="8" t="s">
        <v>1727</v>
      </c>
      <c r="R413" s="8">
        <v>0.58</v>
      </c>
      <c r="S413" s="8" t="s">
        <v>49</v>
      </c>
      <c r="T413" s="8" t="s">
        <v>49</v>
      </c>
      <c r="U413" s="8" t="s">
        <v>1430</v>
      </c>
      <c r="V413" s="8" t="s">
        <v>1301</v>
      </c>
      <c r="W413" s="8" t="s">
        <v>1778</v>
      </c>
      <c r="X413" s="8" t="s">
        <v>1797</v>
      </c>
      <c r="Y413" s="8" t="s">
        <v>2149</v>
      </c>
      <c r="Z413" s="8" t="s">
        <v>445</v>
      </c>
      <c r="AA413" s="8" t="s">
        <v>231</v>
      </c>
      <c r="AB413" s="8" t="s">
        <v>60</v>
      </c>
      <c r="AC413" s="8" t="s">
        <v>1165</v>
      </c>
      <c r="AD413" s="8" t="s">
        <v>2150</v>
      </c>
      <c r="AE413" s="8" t="s">
        <v>55</v>
      </c>
      <c r="AF413" s="8" t="s">
        <v>55</v>
      </c>
      <c r="AG413" s="8" t="s">
        <v>890</v>
      </c>
      <c r="AH413" s="8" t="s">
        <v>2151</v>
      </c>
      <c r="AI413" s="8" t="s">
        <v>463</v>
      </c>
      <c r="AJ413" s="8" t="s">
        <v>49</v>
      </c>
      <c r="AK413" s="8" t="s">
        <v>49</v>
      </c>
      <c r="AL413" s="8" t="s">
        <v>66</v>
      </c>
      <c r="AM413" s="8" t="s">
        <v>2152</v>
      </c>
      <c r="AN413" s="9" t="s">
        <v>2153</v>
      </c>
      <c r="AO413" s="9" t="s">
        <v>2154</v>
      </c>
      <c r="AP413" s="10" t="s">
        <v>2155</v>
      </c>
      <c r="AQ413" s="10" t="s">
        <v>2156</v>
      </c>
      <c r="AR413" s="10" t="s">
        <v>2157</v>
      </c>
      <c r="AS413" s="12"/>
      <c r="AT413" s="10" t="s">
        <v>2158</v>
      </c>
      <c r="AU413" s="10" t="s">
        <v>2159</v>
      </c>
      <c r="AV413" s="13"/>
    </row>
    <row r="414" ht="16.5" hidden="1" customHeight="1">
      <c r="A414" s="7" t="s">
        <v>2160</v>
      </c>
      <c r="B414" s="7" t="s">
        <v>49</v>
      </c>
      <c r="C414" s="7" t="s">
        <v>213</v>
      </c>
      <c r="D414" s="7" t="s">
        <v>51</v>
      </c>
      <c r="E414" s="7" t="s">
        <v>227</v>
      </c>
      <c r="F414" s="7">
        <v>6784.0</v>
      </c>
      <c r="G414" s="7">
        <v>6784.0</v>
      </c>
      <c r="H414" s="7" t="s">
        <v>53</v>
      </c>
      <c r="I414" s="7"/>
      <c r="J414" s="14" t="s">
        <v>1159</v>
      </c>
      <c r="K414" s="8" t="s">
        <v>84</v>
      </c>
      <c r="L414" s="8" t="s">
        <v>49</v>
      </c>
      <c r="M414" s="8"/>
      <c r="N414" s="8" t="s">
        <v>85</v>
      </c>
      <c r="O414" s="8" t="s">
        <v>217</v>
      </c>
      <c r="P414" s="8" t="s">
        <v>57</v>
      </c>
      <c r="Q414" s="8" t="s">
        <v>1727</v>
      </c>
      <c r="R414" s="8">
        <v>0.58</v>
      </c>
      <c r="S414" s="8" t="s">
        <v>49</v>
      </c>
      <c r="T414" s="8" t="s">
        <v>49</v>
      </c>
      <c r="U414" s="8" t="s">
        <v>1430</v>
      </c>
      <c r="V414" s="8" t="s">
        <v>1301</v>
      </c>
      <c r="W414" s="8" t="s">
        <v>1778</v>
      </c>
      <c r="X414" s="8" t="s">
        <v>1797</v>
      </c>
      <c r="Y414" s="8" t="s">
        <v>2149</v>
      </c>
      <c r="Z414" s="8" t="s">
        <v>445</v>
      </c>
      <c r="AA414" s="8" t="s">
        <v>231</v>
      </c>
      <c r="AB414" s="8" t="s">
        <v>60</v>
      </c>
      <c r="AC414" s="8" t="s">
        <v>1165</v>
      </c>
      <c r="AD414" s="8" t="s">
        <v>2150</v>
      </c>
      <c r="AE414" s="8" t="s">
        <v>55</v>
      </c>
      <c r="AF414" s="8" t="s">
        <v>55</v>
      </c>
      <c r="AG414" s="8" t="s">
        <v>890</v>
      </c>
      <c r="AH414" s="8" t="s">
        <v>2151</v>
      </c>
      <c r="AI414" s="8" t="s">
        <v>463</v>
      </c>
      <c r="AJ414" s="8" t="s">
        <v>49</v>
      </c>
      <c r="AK414" s="8" t="s">
        <v>95</v>
      </c>
      <c r="AL414" s="8" t="s">
        <v>66</v>
      </c>
      <c r="AM414" s="8" t="s">
        <v>2152</v>
      </c>
      <c r="AN414" s="16" t="s">
        <v>2153</v>
      </c>
      <c r="AO414" s="9" t="s">
        <v>2154</v>
      </c>
      <c r="AP414" s="10" t="s">
        <v>2155</v>
      </c>
      <c r="AQ414" s="10" t="s">
        <v>2156</v>
      </c>
      <c r="AR414" s="10" t="s">
        <v>2157</v>
      </c>
      <c r="AS414" s="12"/>
      <c r="AT414" s="10" t="s">
        <v>2158</v>
      </c>
      <c r="AU414" s="10" t="s">
        <v>2159</v>
      </c>
      <c r="AV414" s="15">
        <v>46315.0</v>
      </c>
    </row>
    <row r="415" ht="16.5" hidden="1" customHeight="1">
      <c r="A415" s="7" t="s">
        <v>2161</v>
      </c>
      <c r="B415" s="14" t="s">
        <v>49</v>
      </c>
      <c r="C415" s="14" t="s">
        <v>213</v>
      </c>
      <c r="D415" s="14" t="s">
        <v>51</v>
      </c>
      <c r="E415" s="7"/>
      <c r="F415" s="7">
        <v>6785.0</v>
      </c>
      <c r="G415" s="7">
        <v>6784.0</v>
      </c>
      <c r="H415" s="7" t="s">
        <v>53</v>
      </c>
      <c r="I415" s="7"/>
      <c r="J415" s="14" t="s">
        <v>1159</v>
      </c>
      <c r="K415" s="8" t="s">
        <v>84</v>
      </c>
      <c r="L415" s="8" t="s">
        <v>49</v>
      </c>
      <c r="M415" s="8"/>
      <c r="N415" s="8" t="s">
        <v>85</v>
      </c>
      <c r="O415" s="8" t="s">
        <v>217</v>
      </c>
      <c r="P415" s="8" t="s">
        <v>57</v>
      </c>
      <c r="Q415" s="8" t="s">
        <v>1727</v>
      </c>
      <c r="R415" s="8">
        <v>0.58</v>
      </c>
      <c r="S415" s="8" t="s">
        <v>49</v>
      </c>
      <c r="T415" s="8" t="s">
        <v>49</v>
      </c>
      <c r="U415" s="8" t="s">
        <v>1430</v>
      </c>
      <c r="V415" s="8" t="s">
        <v>1301</v>
      </c>
      <c r="W415" s="8" t="s">
        <v>1778</v>
      </c>
      <c r="X415" s="8" t="s">
        <v>1797</v>
      </c>
      <c r="Y415" s="8" t="s">
        <v>2149</v>
      </c>
      <c r="Z415" s="8" t="s">
        <v>445</v>
      </c>
      <c r="AA415" s="8" t="s">
        <v>231</v>
      </c>
      <c r="AB415" s="8" t="s">
        <v>60</v>
      </c>
      <c r="AC415" s="8" t="s">
        <v>1165</v>
      </c>
      <c r="AD415" s="8" t="s">
        <v>2150</v>
      </c>
      <c r="AE415" s="8" t="s">
        <v>55</v>
      </c>
      <c r="AF415" s="8" t="s">
        <v>55</v>
      </c>
      <c r="AG415" s="8" t="s">
        <v>890</v>
      </c>
      <c r="AH415" s="8" t="s">
        <v>2151</v>
      </c>
      <c r="AI415" s="8" t="s">
        <v>65</v>
      </c>
      <c r="AJ415" s="8" t="s">
        <v>49</v>
      </c>
      <c r="AK415" s="8" t="s">
        <v>95</v>
      </c>
      <c r="AL415" s="8" t="s">
        <v>66</v>
      </c>
      <c r="AM415" s="8" t="s">
        <v>1791</v>
      </c>
      <c r="AN415" s="16" t="s">
        <v>2162</v>
      </c>
      <c r="AO415" s="9" t="s">
        <v>2163</v>
      </c>
      <c r="AP415" s="10" t="s">
        <v>2155</v>
      </c>
      <c r="AQ415" s="10" t="s">
        <v>2156</v>
      </c>
      <c r="AR415" s="10" t="s">
        <v>2157</v>
      </c>
      <c r="AS415" s="12"/>
      <c r="AT415" s="10" t="s">
        <v>2158</v>
      </c>
      <c r="AU415" s="10" t="s">
        <v>2159</v>
      </c>
      <c r="AV415" s="15">
        <v>46315.0</v>
      </c>
    </row>
    <row r="416" ht="16.5" hidden="1" customHeight="1">
      <c r="A416" s="7" t="s">
        <v>2164</v>
      </c>
      <c r="B416" s="7" t="s">
        <v>49</v>
      </c>
      <c r="C416" s="7" t="s">
        <v>213</v>
      </c>
      <c r="D416" s="7" t="s">
        <v>51</v>
      </c>
      <c r="E416" s="7" t="s">
        <v>227</v>
      </c>
      <c r="F416" s="7">
        <v>6786.0</v>
      </c>
      <c r="G416" s="7"/>
      <c r="H416" s="7" t="s">
        <v>53</v>
      </c>
      <c r="I416" s="7"/>
      <c r="J416" s="14" t="s">
        <v>1159</v>
      </c>
      <c r="K416" s="8" t="s">
        <v>84</v>
      </c>
      <c r="L416" s="8" t="s">
        <v>49</v>
      </c>
      <c r="M416" s="8"/>
      <c r="N416" s="8" t="s">
        <v>85</v>
      </c>
      <c r="O416" s="8" t="s">
        <v>217</v>
      </c>
      <c r="P416" s="8" t="s">
        <v>57</v>
      </c>
      <c r="Q416" s="8" t="s">
        <v>2165</v>
      </c>
      <c r="R416" s="8">
        <v>0.62</v>
      </c>
      <c r="S416" s="8" t="s">
        <v>49</v>
      </c>
      <c r="T416" s="8" t="s">
        <v>49</v>
      </c>
      <c r="U416" s="8" t="s">
        <v>2166</v>
      </c>
      <c r="V416" s="8" t="s">
        <v>2167</v>
      </c>
      <c r="W416" s="8" t="s">
        <v>1778</v>
      </c>
      <c r="X416" s="8" t="s">
        <v>1797</v>
      </c>
      <c r="Y416" s="8" t="s">
        <v>2168</v>
      </c>
      <c r="Z416" s="8" t="s">
        <v>92</v>
      </c>
      <c r="AA416" s="8" t="s">
        <v>231</v>
      </c>
      <c r="AB416" s="8" t="s">
        <v>60</v>
      </c>
      <c r="AC416" s="8" t="s">
        <v>1165</v>
      </c>
      <c r="AD416" s="8" t="s">
        <v>2169</v>
      </c>
      <c r="AE416" s="8" t="s">
        <v>55</v>
      </c>
      <c r="AF416" s="8" t="s">
        <v>55</v>
      </c>
      <c r="AG416" s="8" t="s">
        <v>890</v>
      </c>
      <c r="AH416" s="8" t="s">
        <v>111</v>
      </c>
      <c r="AI416" s="8" t="s">
        <v>2170</v>
      </c>
      <c r="AJ416" s="8" t="s">
        <v>49</v>
      </c>
      <c r="AK416" s="8" t="s">
        <v>49</v>
      </c>
      <c r="AL416" s="8" t="s">
        <v>66</v>
      </c>
      <c r="AM416" s="8" t="s">
        <v>2152</v>
      </c>
      <c r="AN416" s="9" t="s">
        <v>2171</v>
      </c>
      <c r="AO416" s="9" t="s">
        <v>2172</v>
      </c>
      <c r="AP416" s="10" t="s">
        <v>2173</v>
      </c>
      <c r="AQ416" s="10" t="s">
        <v>2174</v>
      </c>
      <c r="AR416" s="10" t="s">
        <v>2175</v>
      </c>
      <c r="AS416" s="12"/>
      <c r="AT416" s="10" t="s">
        <v>2176</v>
      </c>
      <c r="AU416" s="10" t="s">
        <v>2177</v>
      </c>
      <c r="AV416" s="13"/>
    </row>
    <row r="417" ht="16.5" hidden="1" customHeight="1">
      <c r="A417" s="7" t="s">
        <v>2178</v>
      </c>
      <c r="B417" s="7" t="s">
        <v>49</v>
      </c>
      <c r="C417" s="7" t="s">
        <v>213</v>
      </c>
      <c r="D417" s="7" t="s">
        <v>51</v>
      </c>
      <c r="E417" s="7" t="s">
        <v>227</v>
      </c>
      <c r="F417" s="7">
        <v>6786.0</v>
      </c>
      <c r="G417" s="7">
        <v>6786.0</v>
      </c>
      <c r="H417" s="7" t="s">
        <v>53</v>
      </c>
      <c r="I417" s="7"/>
      <c r="J417" s="14" t="s">
        <v>1159</v>
      </c>
      <c r="K417" s="8" t="s">
        <v>84</v>
      </c>
      <c r="L417" s="8" t="s">
        <v>49</v>
      </c>
      <c r="M417" s="8"/>
      <c r="N417" s="8" t="s">
        <v>85</v>
      </c>
      <c r="O417" s="8" t="s">
        <v>217</v>
      </c>
      <c r="P417" s="8" t="s">
        <v>57</v>
      </c>
      <c r="Q417" s="8" t="s">
        <v>2165</v>
      </c>
      <c r="R417" s="8">
        <v>0.62</v>
      </c>
      <c r="S417" s="8" t="s">
        <v>49</v>
      </c>
      <c r="T417" s="8" t="s">
        <v>49</v>
      </c>
      <c r="U417" s="8" t="s">
        <v>2166</v>
      </c>
      <c r="V417" s="8" t="s">
        <v>2167</v>
      </c>
      <c r="W417" s="8" t="s">
        <v>1778</v>
      </c>
      <c r="X417" s="8" t="s">
        <v>1797</v>
      </c>
      <c r="Y417" s="8" t="s">
        <v>2168</v>
      </c>
      <c r="Z417" s="8" t="s">
        <v>92</v>
      </c>
      <c r="AA417" s="8" t="s">
        <v>231</v>
      </c>
      <c r="AB417" s="8" t="s">
        <v>60</v>
      </c>
      <c r="AC417" s="8" t="s">
        <v>1165</v>
      </c>
      <c r="AD417" s="8" t="s">
        <v>2169</v>
      </c>
      <c r="AE417" s="8" t="s">
        <v>55</v>
      </c>
      <c r="AF417" s="8" t="s">
        <v>55</v>
      </c>
      <c r="AG417" s="8" t="s">
        <v>890</v>
      </c>
      <c r="AH417" s="8" t="s">
        <v>111</v>
      </c>
      <c r="AI417" s="8" t="s">
        <v>2170</v>
      </c>
      <c r="AJ417" s="8" t="s">
        <v>49</v>
      </c>
      <c r="AK417" s="8" t="s">
        <v>95</v>
      </c>
      <c r="AL417" s="8" t="s">
        <v>66</v>
      </c>
      <c r="AM417" s="8" t="s">
        <v>2152</v>
      </c>
      <c r="AN417" s="16" t="s">
        <v>2171</v>
      </c>
      <c r="AO417" s="9" t="s">
        <v>2172</v>
      </c>
      <c r="AP417" s="10" t="s">
        <v>2173</v>
      </c>
      <c r="AQ417" s="10" t="s">
        <v>2174</v>
      </c>
      <c r="AR417" s="10" t="s">
        <v>2175</v>
      </c>
      <c r="AS417" s="12"/>
      <c r="AT417" s="10" t="s">
        <v>2176</v>
      </c>
      <c r="AU417" s="10" t="s">
        <v>2177</v>
      </c>
      <c r="AV417" s="13"/>
    </row>
    <row r="418" ht="16.5" hidden="1" customHeight="1">
      <c r="A418" s="7" t="s">
        <v>2179</v>
      </c>
      <c r="B418" s="14" t="s">
        <v>49</v>
      </c>
      <c r="C418" s="14" t="s">
        <v>213</v>
      </c>
      <c r="D418" s="14" t="s">
        <v>51</v>
      </c>
      <c r="E418" s="7"/>
      <c r="F418" s="7">
        <v>6787.0</v>
      </c>
      <c r="G418" s="7">
        <v>6786.0</v>
      </c>
      <c r="H418" s="7" t="s">
        <v>53</v>
      </c>
      <c r="I418" s="7"/>
      <c r="J418" s="14" t="s">
        <v>1159</v>
      </c>
      <c r="K418" s="8" t="s">
        <v>84</v>
      </c>
      <c r="L418" s="8" t="s">
        <v>49</v>
      </c>
      <c r="M418" s="8"/>
      <c r="N418" s="8" t="s">
        <v>85</v>
      </c>
      <c r="O418" s="8" t="s">
        <v>217</v>
      </c>
      <c r="P418" s="8" t="s">
        <v>57</v>
      </c>
      <c r="Q418" s="8" t="s">
        <v>2165</v>
      </c>
      <c r="R418" s="8">
        <v>0.62</v>
      </c>
      <c r="S418" s="8" t="s">
        <v>49</v>
      </c>
      <c r="T418" s="8" t="s">
        <v>49</v>
      </c>
      <c r="U418" s="8" t="s">
        <v>2166</v>
      </c>
      <c r="V418" s="8" t="s">
        <v>2167</v>
      </c>
      <c r="W418" s="8" t="s">
        <v>1778</v>
      </c>
      <c r="X418" s="8" t="s">
        <v>1797</v>
      </c>
      <c r="Y418" s="8" t="s">
        <v>2168</v>
      </c>
      <c r="Z418" s="8" t="s">
        <v>92</v>
      </c>
      <c r="AA418" s="8" t="s">
        <v>231</v>
      </c>
      <c r="AB418" s="8" t="s">
        <v>60</v>
      </c>
      <c r="AC418" s="8" t="s">
        <v>1165</v>
      </c>
      <c r="AD418" s="8" t="s">
        <v>2169</v>
      </c>
      <c r="AE418" s="8" t="s">
        <v>55</v>
      </c>
      <c r="AF418" s="8" t="s">
        <v>55</v>
      </c>
      <c r="AG418" s="8" t="s">
        <v>890</v>
      </c>
      <c r="AH418" s="8" t="s">
        <v>111</v>
      </c>
      <c r="AI418" s="8" t="s">
        <v>2180</v>
      </c>
      <c r="AJ418" s="8" t="s">
        <v>49</v>
      </c>
      <c r="AK418" s="8" t="s">
        <v>95</v>
      </c>
      <c r="AL418" s="8" t="s">
        <v>66</v>
      </c>
      <c r="AM418" s="8" t="s">
        <v>1791</v>
      </c>
      <c r="AN418" s="16" t="s">
        <v>2181</v>
      </c>
      <c r="AO418" s="9" t="s">
        <v>2182</v>
      </c>
      <c r="AP418" s="10" t="s">
        <v>2173</v>
      </c>
      <c r="AQ418" s="10" t="s">
        <v>2174</v>
      </c>
      <c r="AR418" s="10" t="s">
        <v>2175</v>
      </c>
      <c r="AS418" s="12"/>
      <c r="AT418" s="10" t="s">
        <v>2176</v>
      </c>
      <c r="AU418" s="10" t="s">
        <v>2177</v>
      </c>
      <c r="AV418" s="13"/>
    </row>
    <row r="419" ht="16.5" hidden="1" customHeight="1">
      <c r="A419" s="7" t="s">
        <v>2183</v>
      </c>
      <c r="B419" s="7" t="s">
        <v>49</v>
      </c>
      <c r="C419" s="7" t="s">
        <v>213</v>
      </c>
      <c r="D419" s="7" t="s">
        <v>51</v>
      </c>
      <c r="E419" s="7" t="s">
        <v>227</v>
      </c>
      <c r="F419" s="7">
        <v>6788.0</v>
      </c>
      <c r="G419" s="7"/>
      <c r="H419" s="7" t="s">
        <v>53</v>
      </c>
      <c r="I419" s="7"/>
      <c r="J419" s="14" t="s">
        <v>1159</v>
      </c>
      <c r="K419" s="8" t="s">
        <v>84</v>
      </c>
      <c r="L419" s="8" t="s">
        <v>49</v>
      </c>
      <c r="M419" s="8"/>
      <c r="N419" s="8" t="s">
        <v>85</v>
      </c>
      <c r="O419" s="8" t="s">
        <v>217</v>
      </c>
      <c r="P419" s="8" t="s">
        <v>57</v>
      </c>
      <c r="Q419" s="8" t="s">
        <v>2165</v>
      </c>
      <c r="R419" s="8">
        <v>0.56</v>
      </c>
      <c r="S419" s="8" t="s">
        <v>49</v>
      </c>
      <c r="T419" s="8" t="s">
        <v>49</v>
      </c>
      <c r="U419" s="8" t="s">
        <v>2184</v>
      </c>
      <c r="V419" s="8" t="s">
        <v>2185</v>
      </c>
      <c r="W419" s="8" t="s">
        <v>1778</v>
      </c>
      <c r="X419" s="8" t="s">
        <v>1797</v>
      </c>
      <c r="Y419" s="8" t="s">
        <v>2186</v>
      </c>
      <c r="Z419" s="8" t="s">
        <v>92</v>
      </c>
      <c r="AA419" s="8" t="s">
        <v>231</v>
      </c>
      <c r="AB419" s="8" t="s">
        <v>60</v>
      </c>
      <c r="AC419" s="8" t="s">
        <v>1165</v>
      </c>
      <c r="AD419" s="8" t="s">
        <v>2187</v>
      </c>
      <c r="AE419" s="8" t="s">
        <v>55</v>
      </c>
      <c r="AF419" s="8" t="s">
        <v>55</v>
      </c>
      <c r="AG419" s="8" t="s">
        <v>890</v>
      </c>
      <c r="AH419" s="8" t="s">
        <v>2151</v>
      </c>
      <c r="AI419" s="8" t="s">
        <v>112</v>
      </c>
      <c r="AJ419" s="8" t="s">
        <v>49</v>
      </c>
      <c r="AK419" s="8" t="s">
        <v>49</v>
      </c>
      <c r="AL419" s="8" t="s">
        <v>66</v>
      </c>
      <c r="AM419" s="8" t="s">
        <v>2152</v>
      </c>
      <c r="AN419" s="9" t="s">
        <v>2188</v>
      </c>
      <c r="AO419" s="9" t="s">
        <v>2189</v>
      </c>
      <c r="AP419" s="10" t="s">
        <v>2190</v>
      </c>
      <c r="AQ419" s="10" t="s">
        <v>2191</v>
      </c>
      <c r="AR419" s="10" t="s">
        <v>2192</v>
      </c>
      <c r="AS419" s="12"/>
      <c r="AT419" s="10" t="s">
        <v>2193</v>
      </c>
      <c r="AU419" s="10" t="s">
        <v>2194</v>
      </c>
      <c r="AV419" s="13"/>
    </row>
    <row r="420" ht="16.5" hidden="1" customHeight="1">
      <c r="A420" s="7" t="s">
        <v>2195</v>
      </c>
      <c r="B420" s="7" t="s">
        <v>49</v>
      </c>
      <c r="C420" s="7" t="s">
        <v>213</v>
      </c>
      <c r="D420" s="7" t="s">
        <v>51</v>
      </c>
      <c r="E420" s="7" t="s">
        <v>227</v>
      </c>
      <c r="F420" s="7">
        <v>6788.0</v>
      </c>
      <c r="G420" s="7">
        <v>6788.0</v>
      </c>
      <c r="H420" s="7" t="s">
        <v>53</v>
      </c>
      <c r="I420" s="7"/>
      <c r="J420" s="14" t="s">
        <v>1159</v>
      </c>
      <c r="K420" s="8" t="s">
        <v>84</v>
      </c>
      <c r="L420" s="8" t="s">
        <v>49</v>
      </c>
      <c r="M420" s="8"/>
      <c r="N420" s="8" t="s">
        <v>85</v>
      </c>
      <c r="O420" s="8" t="s">
        <v>217</v>
      </c>
      <c r="P420" s="8" t="s">
        <v>57</v>
      </c>
      <c r="Q420" s="8" t="s">
        <v>2165</v>
      </c>
      <c r="R420" s="8">
        <v>0.56</v>
      </c>
      <c r="S420" s="8" t="s">
        <v>49</v>
      </c>
      <c r="T420" s="8" t="s">
        <v>49</v>
      </c>
      <c r="U420" s="8" t="s">
        <v>2184</v>
      </c>
      <c r="V420" s="8" t="s">
        <v>2185</v>
      </c>
      <c r="W420" s="8" t="s">
        <v>1778</v>
      </c>
      <c r="X420" s="8" t="s">
        <v>1797</v>
      </c>
      <c r="Y420" s="8" t="s">
        <v>2186</v>
      </c>
      <c r="Z420" s="8" t="s">
        <v>92</v>
      </c>
      <c r="AA420" s="8" t="s">
        <v>231</v>
      </c>
      <c r="AB420" s="8" t="s">
        <v>60</v>
      </c>
      <c r="AC420" s="8" t="s">
        <v>1165</v>
      </c>
      <c r="AD420" s="8" t="s">
        <v>2187</v>
      </c>
      <c r="AE420" s="8" t="s">
        <v>55</v>
      </c>
      <c r="AF420" s="8" t="s">
        <v>55</v>
      </c>
      <c r="AG420" s="8" t="s">
        <v>890</v>
      </c>
      <c r="AH420" s="8" t="s">
        <v>2151</v>
      </c>
      <c r="AI420" s="8" t="s">
        <v>112</v>
      </c>
      <c r="AJ420" s="8" t="s">
        <v>49</v>
      </c>
      <c r="AK420" s="8" t="s">
        <v>95</v>
      </c>
      <c r="AL420" s="8" t="s">
        <v>66</v>
      </c>
      <c r="AM420" s="8" t="s">
        <v>2152</v>
      </c>
      <c r="AN420" s="16" t="s">
        <v>2188</v>
      </c>
      <c r="AO420" s="9" t="s">
        <v>2189</v>
      </c>
      <c r="AP420" s="10" t="s">
        <v>2190</v>
      </c>
      <c r="AQ420" s="10" t="s">
        <v>2191</v>
      </c>
      <c r="AR420" s="10" t="s">
        <v>2192</v>
      </c>
      <c r="AS420" s="12"/>
      <c r="AT420" s="10" t="s">
        <v>2193</v>
      </c>
      <c r="AU420" s="10" t="s">
        <v>2194</v>
      </c>
      <c r="AV420" s="13"/>
    </row>
    <row r="421" ht="16.5" hidden="1" customHeight="1">
      <c r="A421" s="7" t="s">
        <v>2196</v>
      </c>
      <c r="B421" s="14" t="s">
        <v>49</v>
      </c>
      <c r="C421" s="14" t="s">
        <v>213</v>
      </c>
      <c r="D421" s="14" t="s">
        <v>51</v>
      </c>
      <c r="E421" s="7"/>
      <c r="F421" s="7">
        <v>6789.0</v>
      </c>
      <c r="G421" s="7">
        <v>6788.0</v>
      </c>
      <c r="H421" s="7" t="s">
        <v>53</v>
      </c>
      <c r="I421" s="7"/>
      <c r="J421" s="14" t="s">
        <v>1159</v>
      </c>
      <c r="K421" s="8" t="s">
        <v>84</v>
      </c>
      <c r="L421" s="8" t="s">
        <v>49</v>
      </c>
      <c r="M421" s="8"/>
      <c r="N421" s="8" t="s">
        <v>85</v>
      </c>
      <c r="O421" s="8" t="s">
        <v>217</v>
      </c>
      <c r="P421" s="8" t="s">
        <v>57</v>
      </c>
      <c r="Q421" s="8" t="s">
        <v>2165</v>
      </c>
      <c r="R421" s="8">
        <v>0.56</v>
      </c>
      <c r="S421" s="8" t="s">
        <v>49</v>
      </c>
      <c r="T421" s="8" t="s">
        <v>49</v>
      </c>
      <c r="U421" s="8" t="s">
        <v>2184</v>
      </c>
      <c r="V421" s="8" t="s">
        <v>2185</v>
      </c>
      <c r="W421" s="8" t="s">
        <v>1778</v>
      </c>
      <c r="X421" s="8" t="s">
        <v>1797</v>
      </c>
      <c r="Y421" s="8" t="s">
        <v>2186</v>
      </c>
      <c r="Z421" s="8" t="s">
        <v>92</v>
      </c>
      <c r="AA421" s="8" t="s">
        <v>231</v>
      </c>
      <c r="AB421" s="8" t="s">
        <v>60</v>
      </c>
      <c r="AC421" s="8" t="s">
        <v>1165</v>
      </c>
      <c r="AD421" s="8" t="s">
        <v>2187</v>
      </c>
      <c r="AE421" s="8" t="s">
        <v>55</v>
      </c>
      <c r="AF421" s="8" t="s">
        <v>55</v>
      </c>
      <c r="AG421" s="8" t="s">
        <v>890</v>
      </c>
      <c r="AH421" s="8" t="s">
        <v>2151</v>
      </c>
      <c r="AI421" s="8" t="s">
        <v>94</v>
      </c>
      <c r="AJ421" s="8" t="s">
        <v>49</v>
      </c>
      <c r="AK421" s="8" t="s">
        <v>95</v>
      </c>
      <c r="AL421" s="8" t="s">
        <v>66</v>
      </c>
      <c r="AM421" s="8" t="s">
        <v>2152</v>
      </c>
      <c r="AN421" s="16" t="s">
        <v>2197</v>
      </c>
      <c r="AO421" s="9" t="s">
        <v>2198</v>
      </c>
      <c r="AP421" s="10" t="s">
        <v>2190</v>
      </c>
      <c r="AQ421" s="10" t="s">
        <v>2191</v>
      </c>
      <c r="AR421" s="10" t="s">
        <v>2192</v>
      </c>
      <c r="AS421" s="12"/>
      <c r="AT421" s="10" t="s">
        <v>2193</v>
      </c>
      <c r="AU421" s="10" t="s">
        <v>2194</v>
      </c>
      <c r="AV421" s="13"/>
    </row>
    <row r="422" ht="16.5" hidden="1" customHeight="1">
      <c r="A422" s="7" t="s">
        <v>2199</v>
      </c>
      <c r="B422" s="7" t="s">
        <v>49</v>
      </c>
      <c r="C422" s="7" t="s">
        <v>213</v>
      </c>
      <c r="D422" s="7" t="s">
        <v>51</v>
      </c>
      <c r="E422" s="7" t="s">
        <v>227</v>
      </c>
      <c r="F422" s="7">
        <v>6790.0</v>
      </c>
      <c r="G422" s="7"/>
      <c r="H422" s="7" t="s">
        <v>53</v>
      </c>
      <c r="I422" s="7"/>
      <c r="J422" s="14" t="s">
        <v>1159</v>
      </c>
      <c r="K422" s="8" t="s">
        <v>84</v>
      </c>
      <c r="L422" s="8" t="s">
        <v>49</v>
      </c>
      <c r="M422" s="8"/>
      <c r="N422" s="8" t="s">
        <v>85</v>
      </c>
      <c r="O422" s="8" t="s">
        <v>217</v>
      </c>
      <c r="P422" s="8" t="s">
        <v>57</v>
      </c>
      <c r="Q422" s="8" t="s">
        <v>2165</v>
      </c>
      <c r="R422" s="8">
        <v>0.64</v>
      </c>
      <c r="S422" s="8" t="s">
        <v>49</v>
      </c>
      <c r="T422" s="8" t="s">
        <v>49</v>
      </c>
      <c r="U422" s="8" t="s">
        <v>1492</v>
      </c>
      <c r="V422" s="8" t="s">
        <v>142</v>
      </c>
      <c r="W422" s="8" t="s">
        <v>1778</v>
      </c>
      <c r="X422" s="8" t="s">
        <v>1797</v>
      </c>
      <c r="Y422" s="8" t="s">
        <v>161</v>
      </c>
      <c r="Z422" s="8" t="s">
        <v>92</v>
      </c>
      <c r="AA422" s="8" t="s">
        <v>231</v>
      </c>
      <c r="AB422" s="8" t="s">
        <v>60</v>
      </c>
      <c r="AC422" s="8" t="s">
        <v>1165</v>
      </c>
      <c r="AD422" s="8" t="s">
        <v>2200</v>
      </c>
      <c r="AE422" s="8" t="s">
        <v>55</v>
      </c>
      <c r="AF422" s="8" t="s">
        <v>55</v>
      </c>
      <c r="AG422" s="8" t="s">
        <v>890</v>
      </c>
      <c r="AH422" s="8" t="s">
        <v>111</v>
      </c>
      <c r="AI422" s="8" t="s">
        <v>112</v>
      </c>
      <c r="AJ422" s="8" t="s">
        <v>49</v>
      </c>
      <c r="AK422" s="8" t="s">
        <v>49</v>
      </c>
      <c r="AL422" s="8" t="s">
        <v>66</v>
      </c>
      <c r="AM422" s="8" t="s">
        <v>2152</v>
      </c>
      <c r="AN422" s="9" t="s">
        <v>2201</v>
      </c>
      <c r="AO422" s="9" t="s">
        <v>2202</v>
      </c>
      <c r="AP422" s="10" t="s">
        <v>2203</v>
      </c>
      <c r="AQ422" s="10" t="s">
        <v>2204</v>
      </c>
      <c r="AR422" s="10" t="s">
        <v>2205</v>
      </c>
      <c r="AS422" s="12"/>
      <c r="AT422" s="10" t="s">
        <v>2206</v>
      </c>
      <c r="AU422" s="10" t="s">
        <v>2207</v>
      </c>
      <c r="AV422" s="13"/>
    </row>
    <row r="423" ht="16.5" hidden="1" customHeight="1">
      <c r="A423" s="7" t="s">
        <v>2208</v>
      </c>
      <c r="B423" s="7" t="s">
        <v>49</v>
      </c>
      <c r="C423" s="7" t="s">
        <v>213</v>
      </c>
      <c r="D423" s="7" t="s">
        <v>51</v>
      </c>
      <c r="E423" s="7" t="s">
        <v>227</v>
      </c>
      <c r="F423" s="7">
        <v>6790.0</v>
      </c>
      <c r="G423" s="7">
        <v>6790.0</v>
      </c>
      <c r="H423" s="7" t="s">
        <v>53</v>
      </c>
      <c r="I423" s="7"/>
      <c r="J423" s="14" t="s">
        <v>1159</v>
      </c>
      <c r="K423" s="8" t="s">
        <v>84</v>
      </c>
      <c r="L423" s="8" t="s">
        <v>49</v>
      </c>
      <c r="M423" s="8"/>
      <c r="N423" s="8" t="s">
        <v>85</v>
      </c>
      <c r="O423" s="8" t="s">
        <v>217</v>
      </c>
      <c r="P423" s="8" t="s">
        <v>57</v>
      </c>
      <c r="Q423" s="8" t="s">
        <v>2165</v>
      </c>
      <c r="R423" s="8">
        <v>0.64</v>
      </c>
      <c r="S423" s="8" t="s">
        <v>49</v>
      </c>
      <c r="T423" s="8" t="s">
        <v>49</v>
      </c>
      <c r="U423" s="8" t="s">
        <v>1492</v>
      </c>
      <c r="V423" s="8" t="s">
        <v>142</v>
      </c>
      <c r="W423" s="8" t="s">
        <v>1778</v>
      </c>
      <c r="X423" s="8" t="s">
        <v>1797</v>
      </c>
      <c r="Y423" s="8" t="s">
        <v>161</v>
      </c>
      <c r="Z423" s="8" t="s">
        <v>92</v>
      </c>
      <c r="AA423" s="8" t="s">
        <v>231</v>
      </c>
      <c r="AB423" s="8" t="s">
        <v>60</v>
      </c>
      <c r="AC423" s="8" t="s">
        <v>1165</v>
      </c>
      <c r="AD423" s="8" t="s">
        <v>2200</v>
      </c>
      <c r="AE423" s="8" t="s">
        <v>55</v>
      </c>
      <c r="AF423" s="8" t="s">
        <v>55</v>
      </c>
      <c r="AG423" s="8" t="s">
        <v>890</v>
      </c>
      <c r="AH423" s="8" t="s">
        <v>111</v>
      </c>
      <c r="AI423" s="8" t="s">
        <v>112</v>
      </c>
      <c r="AJ423" s="8" t="s">
        <v>49</v>
      </c>
      <c r="AK423" s="8" t="s">
        <v>95</v>
      </c>
      <c r="AL423" s="8" t="s">
        <v>66</v>
      </c>
      <c r="AM423" s="8" t="s">
        <v>2152</v>
      </c>
      <c r="AN423" s="16" t="s">
        <v>2201</v>
      </c>
      <c r="AO423" s="9" t="s">
        <v>2202</v>
      </c>
      <c r="AP423" s="10" t="s">
        <v>2203</v>
      </c>
      <c r="AQ423" s="10" t="s">
        <v>2204</v>
      </c>
      <c r="AR423" s="10" t="s">
        <v>2205</v>
      </c>
      <c r="AS423" s="12"/>
      <c r="AT423" s="10" t="s">
        <v>2206</v>
      </c>
      <c r="AU423" s="10" t="s">
        <v>2207</v>
      </c>
      <c r="AV423" s="13"/>
    </row>
    <row r="424" ht="16.5" hidden="1" customHeight="1">
      <c r="A424" s="7" t="s">
        <v>2209</v>
      </c>
      <c r="B424" s="14" t="s">
        <v>49</v>
      </c>
      <c r="C424" s="14" t="s">
        <v>213</v>
      </c>
      <c r="D424" s="14" t="s">
        <v>51</v>
      </c>
      <c r="E424" s="7"/>
      <c r="F424" s="7">
        <v>6791.0</v>
      </c>
      <c r="G424" s="7">
        <v>6790.0</v>
      </c>
      <c r="H424" s="7" t="s">
        <v>53</v>
      </c>
      <c r="I424" s="7"/>
      <c r="J424" s="14" t="s">
        <v>1159</v>
      </c>
      <c r="K424" s="8" t="s">
        <v>84</v>
      </c>
      <c r="L424" s="8" t="s">
        <v>49</v>
      </c>
      <c r="M424" s="8"/>
      <c r="N424" s="8" t="s">
        <v>85</v>
      </c>
      <c r="O424" s="8" t="s">
        <v>217</v>
      </c>
      <c r="P424" s="8" t="s">
        <v>57</v>
      </c>
      <c r="Q424" s="8" t="s">
        <v>2165</v>
      </c>
      <c r="R424" s="8">
        <v>0.64</v>
      </c>
      <c r="S424" s="8" t="s">
        <v>49</v>
      </c>
      <c r="T424" s="8" t="s">
        <v>49</v>
      </c>
      <c r="U424" s="8" t="s">
        <v>1492</v>
      </c>
      <c r="V424" s="8" t="s">
        <v>142</v>
      </c>
      <c r="W424" s="8" t="s">
        <v>1778</v>
      </c>
      <c r="X424" s="8" t="s">
        <v>1797</v>
      </c>
      <c r="Y424" s="8" t="s">
        <v>161</v>
      </c>
      <c r="Z424" s="8" t="s">
        <v>92</v>
      </c>
      <c r="AA424" s="8" t="s">
        <v>231</v>
      </c>
      <c r="AB424" s="8" t="s">
        <v>60</v>
      </c>
      <c r="AC424" s="8" t="s">
        <v>1165</v>
      </c>
      <c r="AD424" s="8" t="s">
        <v>2200</v>
      </c>
      <c r="AE424" s="8" t="s">
        <v>55</v>
      </c>
      <c r="AF424" s="8" t="s">
        <v>55</v>
      </c>
      <c r="AG424" s="8" t="s">
        <v>890</v>
      </c>
      <c r="AH424" s="8" t="s">
        <v>111</v>
      </c>
      <c r="AI424" s="8" t="s">
        <v>94</v>
      </c>
      <c r="AJ424" s="8" t="s">
        <v>49</v>
      </c>
      <c r="AK424" s="8" t="s">
        <v>95</v>
      </c>
      <c r="AL424" s="8" t="s">
        <v>66</v>
      </c>
      <c r="AM424" s="8" t="s">
        <v>2152</v>
      </c>
      <c r="AN424" s="16" t="s">
        <v>2210</v>
      </c>
      <c r="AO424" s="9" t="s">
        <v>2211</v>
      </c>
      <c r="AP424" s="10" t="s">
        <v>2203</v>
      </c>
      <c r="AQ424" s="10" t="s">
        <v>2204</v>
      </c>
      <c r="AR424" s="10" t="s">
        <v>2205</v>
      </c>
      <c r="AS424" s="12"/>
      <c r="AT424" s="10" t="s">
        <v>2206</v>
      </c>
      <c r="AU424" s="10" t="s">
        <v>2207</v>
      </c>
      <c r="AV424" s="13"/>
    </row>
    <row r="425" ht="16.5" hidden="1" customHeight="1">
      <c r="A425" s="7" t="s">
        <v>2212</v>
      </c>
      <c r="B425" s="7" t="s">
        <v>49</v>
      </c>
      <c r="C425" s="7" t="s">
        <v>213</v>
      </c>
      <c r="D425" s="7" t="s">
        <v>214</v>
      </c>
      <c r="E425" s="7" t="s">
        <v>227</v>
      </c>
      <c r="F425" s="7">
        <v>6792.0</v>
      </c>
      <c r="G425" s="7"/>
      <c r="H425" s="7" t="s">
        <v>53</v>
      </c>
      <c r="I425" s="7"/>
      <c r="J425" s="7"/>
      <c r="K425" s="8" t="s">
        <v>84</v>
      </c>
      <c r="L425" s="8" t="s">
        <v>49</v>
      </c>
      <c r="M425" s="8"/>
      <c r="N425" s="8" t="s">
        <v>85</v>
      </c>
      <c r="O425" s="8" t="s">
        <v>56</v>
      </c>
      <c r="P425" s="8" t="s">
        <v>57</v>
      </c>
      <c r="Q425" s="8" t="s">
        <v>2213</v>
      </c>
      <c r="R425" s="8">
        <v>0.52</v>
      </c>
      <c r="S425" s="8" t="s">
        <v>49</v>
      </c>
      <c r="T425" s="8" t="s">
        <v>49</v>
      </c>
      <c r="U425" s="8" t="s">
        <v>2214</v>
      </c>
      <c r="V425" s="8" t="s">
        <v>2215</v>
      </c>
      <c r="W425" s="8" t="s">
        <v>1778</v>
      </c>
      <c r="X425" s="8" t="s">
        <v>1797</v>
      </c>
      <c r="Y425" s="8" t="s">
        <v>1685</v>
      </c>
      <c r="Z425" s="8" t="s">
        <v>92</v>
      </c>
      <c r="AA425" s="8" t="s">
        <v>231</v>
      </c>
      <c r="AB425" s="8" t="s">
        <v>60</v>
      </c>
      <c r="AC425" s="8" t="s">
        <v>219</v>
      </c>
      <c r="AD425" s="8" t="s">
        <v>2216</v>
      </c>
      <c r="AE425" s="8" t="s">
        <v>55</v>
      </c>
      <c r="AF425" s="8" t="s">
        <v>55</v>
      </c>
      <c r="AG425" s="8" t="s">
        <v>890</v>
      </c>
      <c r="AH425" s="8" t="s">
        <v>2151</v>
      </c>
      <c r="AI425" s="8" t="s">
        <v>112</v>
      </c>
      <c r="AJ425" s="8" t="s">
        <v>49</v>
      </c>
      <c r="AK425" s="8" t="s">
        <v>49</v>
      </c>
      <c r="AL425" s="8" t="s">
        <v>66</v>
      </c>
      <c r="AM425" s="8" t="s">
        <v>2217</v>
      </c>
      <c r="AN425" s="9" t="s">
        <v>2218</v>
      </c>
      <c r="AO425" s="9" t="s">
        <v>2219</v>
      </c>
      <c r="AP425" s="18" t="s">
        <v>2220</v>
      </c>
      <c r="AQ425" s="10" t="s">
        <v>2221</v>
      </c>
      <c r="AR425" s="10" t="s">
        <v>2222</v>
      </c>
      <c r="AS425" s="12"/>
      <c r="AT425" s="10" t="s">
        <v>2223</v>
      </c>
      <c r="AU425" s="10" t="s">
        <v>2224</v>
      </c>
      <c r="AV425" s="13"/>
    </row>
    <row r="426" ht="16.5" hidden="1" customHeight="1">
      <c r="A426" s="7" t="s">
        <v>2225</v>
      </c>
      <c r="B426" s="7" t="s">
        <v>49</v>
      </c>
      <c r="C426" s="7" t="s">
        <v>213</v>
      </c>
      <c r="D426" s="7" t="s">
        <v>214</v>
      </c>
      <c r="E426" s="7" t="s">
        <v>227</v>
      </c>
      <c r="F426" s="7">
        <v>6792.0</v>
      </c>
      <c r="G426" s="7">
        <v>6792.0</v>
      </c>
      <c r="H426" s="7" t="s">
        <v>53</v>
      </c>
      <c r="I426" s="7"/>
      <c r="J426" s="7"/>
      <c r="K426" s="8" t="s">
        <v>84</v>
      </c>
      <c r="L426" s="8" t="s">
        <v>49</v>
      </c>
      <c r="M426" s="8"/>
      <c r="N426" s="8" t="s">
        <v>85</v>
      </c>
      <c r="O426" s="8" t="s">
        <v>56</v>
      </c>
      <c r="P426" s="8" t="s">
        <v>57</v>
      </c>
      <c r="Q426" s="8" t="s">
        <v>2213</v>
      </c>
      <c r="R426" s="8">
        <v>0.52</v>
      </c>
      <c r="S426" s="8" t="s">
        <v>49</v>
      </c>
      <c r="T426" s="8" t="s">
        <v>49</v>
      </c>
      <c r="U426" s="8" t="s">
        <v>2214</v>
      </c>
      <c r="V426" s="8" t="s">
        <v>2215</v>
      </c>
      <c r="W426" s="8" t="s">
        <v>1778</v>
      </c>
      <c r="X426" s="8" t="s">
        <v>1797</v>
      </c>
      <c r="Y426" s="8" t="s">
        <v>1685</v>
      </c>
      <c r="Z426" s="8" t="s">
        <v>92</v>
      </c>
      <c r="AA426" s="8" t="s">
        <v>231</v>
      </c>
      <c r="AB426" s="8" t="s">
        <v>60</v>
      </c>
      <c r="AC426" s="8" t="s">
        <v>219</v>
      </c>
      <c r="AD426" s="8" t="s">
        <v>2216</v>
      </c>
      <c r="AE426" s="8" t="s">
        <v>55</v>
      </c>
      <c r="AF426" s="8" t="s">
        <v>55</v>
      </c>
      <c r="AG426" s="8" t="s">
        <v>890</v>
      </c>
      <c r="AH426" s="8" t="s">
        <v>2151</v>
      </c>
      <c r="AI426" s="8" t="s">
        <v>112</v>
      </c>
      <c r="AJ426" s="8" t="s">
        <v>49</v>
      </c>
      <c r="AK426" s="8" t="s">
        <v>95</v>
      </c>
      <c r="AL426" s="8" t="s">
        <v>66</v>
      </c>
      <c r="AM426" s="8" t="s">
        <v>2217</v>
      </c>
      <c r="AN426" s="9" t="s">
        <v>2218</v>
      </c>
      <c r="AO426" s="9" t="s">
        <v>2219</v>
      </c>
      <c r="AP426" s="17" t="s">
        <v>2226</v>
      </c>
      <c r="AQ426" s="10" t="s">
        <v>2221</v>
      </c>
      <c r="AR426" s="10" t="s">
        <v>2222</v>
      </c>
      <c r="AS426" s="12"/>
      <c r="AT426" s="10" t="s">
        <v>2223</v>
      </c>
      <c r="AU426" s="10" t="s">
        <v>2224</v>
      </c>
      <c r="AV426" s="13"/>
    </row>
    <row r="427" ht="16.5" hidden="1" customHeight="1">
      <c r="A427" s="7" t="s">
        <v>2227</v>
      </c>
      <c r="B427" s="14" t="s">
        <v>49</v>
      </c>
      <c r="C427" s="14" t="s">
        <v>213</v>
      </c>
      <c r="D427" s="14" t="s">
        <v>214</v>
      </c>
      <c r="E427" s="7"/>
      <c r="F427" s="7">
        <v>6793.0</v>
      </c>
      <c r="G427" s="7">
        <v>6792.0</v>
      </c>
      <c r="H427" s="7" t="s">
        <v>53</v>
      </c>
      <c r="I427" s="7"/>
      <c r="J427" s="7"/>
      <c r="K427" s="8" t="s">
        <v>84</v>
      </c>
      <c r="L427" s="8" t="s">
        <v>49</v>
      </c>
      <c r="M427" s="8"/>
      <c r="N427" s="8" t="s">
        <v>85</v>
      </c>
      <c r="O427" s="8" t="s">
        <v>56</v>
      </c>
      <c r="P427" s="8" t="s">
        <v>57</v>
      </c>
      <c r="Q427" s="8" t="s">
        <v>2213</v>
      </c>
      <c r="R427" s="8">
        <v>0.52</v>
      </c>
      <c r="S427" s="8" t="s">
        <v>49</v>
      </c>
      <c r="T427" s="8" t="s">
        <v>49</v>
      </c>
      <c r="U427" s="8" t="s">
        <v>2214</v>
      </c>
      <c r="V427" s="8" t="s">
        <v>2215</v>
      </c>
      <c r="W427" s="8" t="s">
        <v>1778</v>
      </c>
      <c r="X427" s="8" t="s">
        <v>1797</v>
      </c>
      <c r="Y427" s="8" t="s">
        <v>1685</v>
      </c>
      <c r="Z427" s="8" t="s">
        <v>92</v>
      </c>
      <c r="AA427" s="8" t="s">
        <v>231</v>
      </c>
      <c r="AB427" s="8" t="s">
        <v>60</v>
      </c>
      <c r="AC427" s="8" t="s">
        <v>219</v>
      </c>
      <c r="AD427" s="8" t="s">
        <v>2216</v>
      </c>
      <c r="AE427" s="8" t="s">
        <v>55</v>
      </c>
      <c r="AF427" s="8" t="s">
        <v>55</v>
      </c>
      <c r="AG427" s="8" t="s">
        <v>890</v>
      </c>
      <c r="AH427" s="8" t="s">
        <v>2151</v>
      </c>
      <c r="AI427" s="8" t="s">
        <v>94</v>
      </c>
      <c r="AJ427" s="8" t="s">
        <v>49</v>
      </c>
      <c r="AK427" s="8" t="s">
        <v>95</v>
      </c>
      <c r="AL427" s="8" t="s">
        <v>66</v>
      </c>
      <c r="AM427" s="8" t="s">
        <v>1791</v>
      </c>
      <c r="AN427" s="9" t="s">
        <v>2228</v>
      </c>
      <c r="AO427" s="9" t="s">
        <v>2229</v>
      </c>
      <c r="AP427" s="17" t="s">
        <v>2226</v>
      </c>
      <c r="AQ427" s="10" t="s">
        <v>2221</v>
      </c>
      <c r="AR427" s="10" t="s">
        <v>2222</v>
      </c>
      <c r="AS427" s="12"/>
      <c r="AT427" s="10" t="s">
        <v>2223</v>
      </c>
      <c r="AU427" s="10" t="s">
        <v>2224</v>
      </c>
      <c r="AV427" s="13"/>
    </row>
    <row r="428" ht="16.5" hidden="1" customHeight="1">
      <c r="A428" s="7" t="s">
        <v>2230</v>
      </c>
      <c r="B428" s="7" t="s">
        <v>49</v>
      </c>
      <c r="C428" s="7" t="s">
        <v>213</v>
      </c>
      <c r="D428" s="7" t="s">
        <v>214</v>
      </c>
      <c r="E428" s="7" t="s">
        <v>227</v>
      </c>
      <c r="F428" s="7">
        <v>6794.0</v>
      </c>
      <c r="G428" s="7"/>
      <c r="H428" s="7" t="s">
        <v>53</v>
      </c>
      <c r="I428" s="7"/>
      <c r="J428" s="7"/>
      <c r="K428" s="8" t="s">
        <v>84</v>
      </c>
      <c r="L428" s="8" t="s">
        <v>49</v>
      </c>
      <c r="M428" s="8"/>
      <c r="N428" s="8" t="s">
        <v>85</v>
      </c>
      <c r="O428" s="8" t="s">
        <v>56</v>
      </c>
      <c r="P428" s="8" t="s">
        <v>57</v>
      </c>
      <c r="Q428" s="8" t="s">
        <v>2165</v>
      </c>
      <c r="R428" s="8">
        <v>0.55</v>
      </c>
      <c r="S428" s="8" t="s">
        <v>49</v>
      </c>
      <c r="T428" s="8" t="s">
        <v>49</v>
      </c>
      <c r="U428" s="8" t="s">
        <v>2231</v>
      </c>
      <c r="V428" s="8" t="s">
        <v>2232</v>
      </c>
      <c r="W428" s="8" t="s">
        <v>1778</v>
      </c>
      <c r="X428" s="8" t="s">
        <v>1797</v>
      </c>
      <c r="Y428" s="8" t="s">
        <v>2149</v>
      </c>
      <c r="Z428" s="8" t="s">
        <v>92</v>
      </c>
      <c r="AA428" s="8" t="s">
        <v>231</v>
      </c>
      <c r="AB428" s="8" t="s">
        <v>60</v>
      </c>
      <c r="AC428" s="8" t="s">
        <v>219</v>
      </c>
      <c r="AD428" s="8" t="s">
        <v>2233</v>
      </c>
      <c r="AE428" s="8" t="s">
        <v>55</v>
      </c>
      <c r="AF428" s="8" t="s">
        <v>55</v>
      </c>
      <c r="AG428" s="8" t="s">
        <v>890</v>
      </c>
      <c r="AH428" s="8" t="s">
        <v>2151</v>
      </c>
      <c r="AI428" s="8" t="s">
        <v>112</v>
      </c>
      <c r="AJ428" s="8" t="s">
        <v>49</v>
      </c>
      <c r="AK428" s="8" t="s">
        <v>49</v>
      </c>
      <c r="AL428" s="8" t="s">
        <v>66</v>
      </c>
      <c r="AM428" s="8" t="s">
        <v>2217</v>
      </c>
      <c r="AN428" s="9" t="s">
        <v>2234</v>
      </c>
      <c r="AO428" s="9" t="s">
        <v>2235</v>
      </c>
      <c r="AP428" s="10" t="s">
        <v>2236</v>
      </c>
      <c r="AQ428" s="10" t="s">
        <v>2237</v>
      </c>
      <c r="AR428" s="10" t="s">
        <v>2238</v>
      </c>
      <c r="AS428" s="12"/>
      <c r="AT428" s="10" t="s">
        <v>2239</v>
      </c>
      <c r="AU428" s="10" t="s">
        <v>2240</v>
      </c>
      <c r="AV428" s="13"/>
    </row>
    <row r="429" ht="16.5" hidden="1" customHeight="1">
      <c r="A429" s="7" t="s">
        <v>2241</v>
      </c>
      <c r="B429" s="7" t="s">
        <v>49</v>
      </c>
      <c r="C429" s="7" t="s">
        <v>213</v>
      </c>
      <c r="D429" s="7" t="s">
        <v>214</v>
      </c>
      <c r="E429" s="7" t="s">
        <v>227</v>
      </c>
      <c r="F429" s="7">
        <v>6794.0</v>
      </c>
      <c r="G429" s="7">
        <v>6794.0</v>
      </c>
      <c r="H429" s="7" t="s">
        <v>53</v>
      </c>
      <c r="I429" s="7"/>
      <c r="J429" s="7"/>
      <c r="K429" s="8" t="s">
        <v>84</v>
      </c>
      <c r="L429" s="8" t="s">
        <v>49</v>
      </c>
      <c r="M429" s="8"/>
      <c r="N429" s="8" t="s">
        <v>85</v>
      </c>
      <c r="O429" s="8" t="s">
        <v>56</v>
      </c>
      <c r="P429" s="8" t="s">
        <v>57</v>
      </c>
      <c r="Q429" s="8" t="s">
        <v>2165</v>
      </c>
      <c r="R429" s="8">
        <v>0.55</v>
      </c>
      <c r="S429" s="8" t="s">
        <v>49</v>
      </c>
      <c r="T429" s="8" t="s">
        <v>49</v>
      </c>
      <c r="U429" s="8" t="s">
        <v>2231</v>
      </c>
      <c r="V429" s="8" t="s">
        <v>2232</v>
      </c>
      <c r="W429" s="8" t="s">
        <v>1778</v>
      </c>
      <c r="X429" s="8" t="s">
        <v>1797</v>
      </c>
      <c r="Y429" s="8" t="s">
        <v>2149</v>
      </c>
      <c r="Z429" s="8" t="s">
        <v>92</v>
      </c>
      <c r="AA429" s="8" t="s">
        <v>231</v>
      </c>
      <c r="AB429" s="8" t="s">
        <v>60</v>
      </c>
      <c r="AC429" s="8" t="s">
        <v>219</v>
      </c>
      <c r="AD429" s="8" t="s">
        <v>2233</v>
      </c>
      <c r="AE429" s="8" t="s">
        <v>55</v>
      </c>
      <c r="AF429" s="8" t="s">
        <v>55</v>
      </c>
      <c r="AG429" s="8" t="s">
        <v>890</v>
      </c>
      <c r="AH429" s="8" t="s">
        <v>2151</v>
      </c>
      <c r="AI429" s="8" t="s">
        <v>112</v>
      </c>
      <c r="AJ429" s="8" t="s">
        <v>49</v>
      </c>
      <c r="AK429" s="8" t="s">
        <v>95</v>
      </c>
      <c r="AL429" s="8" t="s">
        <v>66</v>
      </c>
      <c r="AM429" s="8" t="s">
        <v>2217</v>
      </c>
      <c r="AN429" s="9" t="s">
        <v>2234</v>
      </c>
      <c r="AO429" s="9" t="s">
        <v>2235</v>
      </c>
      <c r="AP429" s="10" t="s">
        <v>2236</v>
      </c>
      <c r="AQ429" s="10" t="s">
        <v>2237</v>
      </c>
      <c r="AR429" s="10" t="s">
        <v>2238</v>
      </c>
      <c r="AS429" s="12"/>
      <c r="AT429" s="10" t="s">
        <v>2239</v>
      </c>
      <c r="AU429" s="10" t="s">
        <v>2240</v>
      </c>
      <c r="AV429" s="13"/>
    </row>
    <row r="430" ht="16.5" hidden="1" customHeight="1">
      <c r="A430" s="7" t="s">
        <v>2242</v>
      </c>
      <c r="B430" s="14" t="s">
        <v>49</v>
      </c>
      <c r="C430" s="14" t="s">
        <v>213</v>
      </c>
      <c r="D430" s="14" t="s">
        <v>214</v>
      </c>
      <c r="E430" s="7"/>
      <c r="F430" s="7">
        <v>6795.0</v>
      </c>
      <c r="G430" s="7">
        <v>6794.0</v>
      </c>
      <c r="H430" s="7" t="s">
        <v>53</v>
      </c>
      <c r="I430" s="7"/>
      <c r="J430" s="7"/>
      <c r="K430" s="8" t="s">
        <v>84</v>
      </c>
      <c r="L430" s="8" t="s">
        <v>49</v>
      </c>
      <c r="M430" s="8"/>
      <c r="N430" s="8" t="s">
        <v>85</v>
      </c>
      <c r="O430" s="8" t="s">
        <v>56</v>
      </c>
      <c r="P430" s="8" t="s">
        <v>57</v>
      </c>
      <c r="Q430" s="8" t="s">
        <v>2165</v>
      </c>
      <c r="R430" s="8">
        <v>0.55</v>
      </c>
      <c r="S430" s="8" t="s">
        <v>49</v>
      </c>
      <c r="T430" s="8" t="s">
        <v>49</v>
      </c>
      <c r="U430" s="8" t="s">
        <v>2231</v>
      </c>
      <c r="V430" s="8" t="s">
        <v>2232</v>
      </c>
      <c r="W430" s="8" t="s">
        <v>1778</v>
      </c>
      <c r="X430" s="8" t="s">
        <v>1797</v>
      </c>
      <c r="Y430" s="8" t="s">
        <v>2149</v>
      </c>
      <c r="Z430" s="8" t="s">
        <v>92</v>
      </c>
      <c r="AA430" s="8" t="s">
        <v>231</v>
      </c>
      <c r="AB430" s="8" t="s">
        <v>60</v>
      </c>
      <c r="AC430" s="8" t="s">
        <v>219</v>
      </c>
      <c r="AD430" s="8" t="s">
        <v>2233</v>
      </c>
      <c r="AE430" s="8" t="s">
        <v>55</v>
      </c>
      <c r="AF430" s="8" t="s">
        <v>55</v>
      </c>
      <c r="AG430" s="8" t="s">
        <v>890</v>
      </c>
      <c r="AH430" s="8" t="s">
        <v>2151</v>
      </c>
      <c r="AI430" s="8" t="s">
        <v>94</v>
      </c>
      <c r="AJ430" s="8" t="s">
        <v>49</v>
      </c>
      <c r="AK430" s="8" t="s">
        <v>95</v>
      </c>
      <c r="AL430" s="8" t="s">
        <v>66</v>
      </c>
      <c r="AM430" s="8" t="s">
        <v>1791</v>
      </c>
      <c r="AN430" s="9" t="s">
        <v>2243</v>
      </c>
      <c r="AO430" s="9" t="s">
        <v>2244</v>
      </c>
      <c r="AP430" s="10" t="s">
        <v>2236</v>
      </c>
      <c r="AQ430" s="10" t="s">
        <v>2237</v>
      </c>
      <c r="AR430" s="10" t="s">
        <v>2238</v>
      </c>
      <c r="AS430" s="12"/>
      <c r="AT430" s="10" t="s">
        <v>2239</v>
      </c>
      <c r="AU430" s="10" t="s">
        <v>2240</v>
      </c>
      <c r="AV430" s="13"/>
    </row>
    <row r="431" ht="16.5" hidden="1" customHeight="1">
      <c r="A431" s="7" t="s">
        <v>2245</v>
      </c>
      <c r="B431" s="14" t="s">
        <v>49</v>
      </c>
      <c r="C431" s="14" t="s">
        <v>213</v>
      </c>
      <c r="D431" s="14" t="s">
        <v>214</v>
      </c>
      <c r="E431" s="7"/>
      <c r="F431" s="7">
        <v>6796.0</v>
      </c>
      <c r="G431" s="7">
        <v>6794.0</v>
      </c>
      <c r="H431" s="7" t="s">
        <v>53</v>
      </c>
      <c r="I431" s="7"/>
      <c r="J431" s="7"/>
      <c r="K431" s="8" t="s">
        <v>84</v>
      </c>
      <c r="L431" s="8" t="s">
        <v>49</v>
      </c>
      <c r="M431" s="8"/>
      <c r="N431" s="8" t="s">
        <v>85</v>
      </c>
      <c r="O431" s="8" t="s">
        <v>56</v>
      </c>
      <c r="P431" s="8" t="s">
        <v>57</v>
      </c>
      <c r="Q431" s="8" t="s">
        <v>1727</v>
      </c>
      <c r="R431" s="8">
        <v>0.57</v>
      </c>
      <c r="S431" s="8" t="s">
        <v>49</v>
      </c>
      <c r="T431" s="8" t="s">
        <v>49</v>
      </c>
      <c r="U431" s="8" t="s">
        <v>2246</v>
      </c>
      <c r="V431" s="8" t="s">
        <v>1796</v>
      </c>
      <c r="W431" s="8" t="s">
        <v>1778</v>
      </c>
      <c r="X431" s="8" t="s">
        <v>1797</v>
      </c>
      <c r="Y431" s="8" t="s">
        <v>2247</v>
      </c>
      <c r="Z431" s="8" t="s">
        <v>92</v>
      </c>
      <c r="AA431" s="8" t="s">
        <v>231</v>
      </c>
      <c r="AB431" s="8" t="s">
        <v>60</v>
      </c>
      <c r="AC431" s="8" t="s">
        <v>219</v>
      </c>
      <c r="AD431" s="8" t="s">
        <v>2248</v>
      </c>
      <c r="AE431" s="8" t="s">
        <v>55</v>
      </c>
      <c r="AF431" s="8" t="s">
        <v>55</v>
      </c>
      <c r="AG431" s="8" t="s">
        <v>890</v>
      </c>
      <c r="AH431" s="8" t="s">
        <v>2151</v>
      </c>
      <c r="AI431" s="8" t="s">
        <v>112</v>
      </c>
      <c r="AJ431" s="8" t="s">
        <v>49</v>
      </c>
      <c r="AK431" s="8" t="s">
        <v>95</v>
      </c>
      <c r="AL431" s="8" t="s">
        <v>66</v>
      </c>
      <c r="AM431" s="8" t="s">
        <v>1791</v>
      </c>
      <c r="AN431" s="9" t="s">
        <v>2249</v>
      </c>
      <c r="AO431" s="12" t="s">
        <v>224</v>
      </c>
      <c r="AP431" s="10" t="s">
        <v>2236</v>
      </c>
      <c r="AQ431" s="10" t="s">
        <v>2250</v>
      </c>
      <c r="AR431" s="10" t="s">
        <v>2251</v>
      </c>
      <c r="AS431" s="12"/>
      <c r="AT431" s="10" t="s">
        <v>2252</v>
      </c>
      <c r="AU431" s="10" t="s">
        <v>2253</v>
      </c>
      <c r="AV431" s="13"/>
    </row>
    <row r="432" ht="16.5" hidden="1" customHeight="1">
      <c r="A432" s="7" t="s">
        <v>2254</v>
      </c>
      <c r="B432" s="14" t="s">
        <v>49</v>
      </c>
      <c r="C432" s="14" t="s">
        <v>213</v>
      </c>
      <c r="D432" s="14" t="s">
        <v>214</v>
      </c>
      <c r="E432" s="7"/>
      <c r="F432" s="7">
        <v>6797.0</v>
      </c>
      <c r="G432" s="7">
        <v>6794.0</v>
      </c>
      <c r="H432" s="7" t="s">
        <v>53</v>
      </c>
      <c r="I432" s="7"/>
      <c r="J432" s="7"/>
      <c r="K432" s="8" t="s">
        <v>84</v>
      </c>
      <c r="L432" s="8" t="s">
        <v>49</v>
      </c>
      <c r="M432" s="8"/>
      <c r="N432" s="8" t="s">
        <v>85</v>
      </c>
      <c r="O432" s="8" t="s">
        <v>56</v>
      </c>
      <c r="P432" s="8" t="s">
        <v>57</v>
      </c>
      <c r="Q432" s="8" t="s">
        <v>1727</v>
      </c>
      <c r="R432" s="8">
        <v>0.6</v>
      </c>
      <c r="S432" s="8" t="s">
        <v>49</v>
      </c>
      <c r="T432" s="8" t="s">
        <v>49</v>
      </c>
      <c r="U432" s="8" t="s">
        <v>2246</v>
      </c>
      <c r="V432" s="8" t="s">
        <v>1796</v>
      </c>
      <c r="W432" s="8" t="s">
        <v>1778</v>
      </c>
      <c r="X432" s="8" t="s">
        <v>1797</v>
      </c>
      <c r="Y432" s="8" t="s">
        <v>2247</v>
      </c>
      <c r="Z432" s="8" t="s">
        <v>92</v>
      </c>
      <c r="AA432" s="8" t="s">
        <v>231</v>
      </c>
      <c r="AB432" s="8" t="s">
        <v>60</v>
      </c>
      <c r="AC432" s="8" t="s">
        <v>219</v>
      </c>
      <c r="AD432" s="8" t="s">
        <v>2248</v>
      </c>
      <c r="AE432" s="8" t="s">
        <v>55</v>
      </c>
      <c r="AF432" s="8" t="s">
        <v>55</v>
      </c>
      <c r="AG432" s="8" t="s">
        <v>890</v>
      </c>
      <c r="AH432" s="8" t="s">
        <v>2151</v>
      </c>
      <c r="AI432" s="8" t="s">
        <v>94</v>
      </c>
      <c r="AJ432" s="8" t="s">
        <v>49</v>
      </c>
      <c r="AK432" s="8" t="s">
        <v>95</v>
      </c>
      <c r="AL432" s="8" t="s">
        <v>66</v>
      </c>
      <c r="AM432" s="8" t="s">
        <v>1791</v>
      </c>
      <c r="AN432" s="9" t="s">
        <v>2255</v>
      </c>
      <c r="AO432" s="12" t="s">
        <v>224</v>
      </c>
      <c r="AP432" s="10" t="s">
        <v>2236</v>
      </c>
      <c r="AQ432" s="10" t="s">
        <v>2250</v>
      </c>
      <c r="AR432" s="10" t="s">
        <v>2251</v>
      </c>
      <c r="AS432" s="12"/>
      <c r="AT432" s="10" t="s">
        <v>2252</v>
      </c>
      <c r="AU432" s="10" t="s">
        <v>2253</v>
      </c>
      <c r="AV432" s="13"/>
    </row>
    <row r="433" ht="16.5" hidden="1" customHeight="1">
      <c r="A433" s="7" t="s">
        <v>2256</v>
      </c>
      <c r="B433" s="7" t="s">
        <v>49</v>
      </c>
      <c r="C433" s="7" t="s">
        <v>213</v>
      </c>
      <c r="D433" s="7" t="s">
        <v>51</v>
      </c>
      <c r="E433" s="7" t="s">
        <v>227</v>
      </c>
      <c r="F433" s="7">
        <v>6798.0</v>
      </c>
      <c r="G433" s="7"/>
      <c r="H433" s="7" t="s">
        <v>53</v>
      </c>
      <c r="I433" s="7"/>
      <c r="J433" s="14" t="s">
        <v>1159</v>
      </c>
      <c r="K433" s="8" t="s">
        <v>84</v>
      </c>
      <c r="L433" s="8" t="s">
        <v>49</v>
      </c>
      <c r="M433" s="8"/>
      <c r="N433" s="8" t="s">
        <v>85</v>
      </c>
      <c r="O433" s="8" t="s">
        <v>217</v>
      </c>
      <c r="P433" s="8" t="s">
        <v>57</v>
      </c>
      <c r="Q433" s="8" t="s">
        <v>1428</v>
      </c>
      <c r="R433" s="8">
        <v>0.62</v>
      </c>
      <c r="S433" s="8" t="s">
        <v>49</v>
      </c>
      <c r="T433" s="8" t="s">
        <v>49</v>
      </c>
      <c r="U433" s="8" t="s">
        <v>2257</v>
      </c>
      <c r="V433" s="8" t="s">
        <v>177</v>
      </c>
      <c r="W433" s="8" t="s">
        <v>1778</v>
      </c>
      <c r="X433" s="8" t="s">
        <v>1797</v>
      </c>
      <c r="Y433" s="8" t="s">
        <v>1779</v>
      </c>
      <c r="Z433" s="8" t="s">
        <v>92</v>
      </c>
      <c r="AA433" s="8" t="s">
        <v>231</v>
      </c>
      <c r="AB433" s="8" t="s">
        <v>60</v>
      </c>
      <c r="AC433" s="8" t="s">
        <v>1165</v>
      </c>
      <c r="AD433" s="8" t="s">
        <v>2258</v>
      </c>
      <c r="AE433" s="8" t="s">
        <v>55</v>
      </c>
      <c r="AF433" s="8" t="s">
        <v>55</v>
      </c>
      <c r="AG433" s="8" t="s">
        <v>890</v>
      </c>
      <c r="AH433" s="8" t="s">
        <v>2151</v>
      </c>
      <c r="AI433" s="8" t="s">
        <v>2040</v>
      </c>
      <c r="AJ433" s="8" t="s">
        <v>49</v>
      </c>
      <c r="AK433" s="8" t="s">
        <v>49</v>
      </c>
      <c r="AL433" s="8" t="s">
        <v>66</v>
      </c>
      <c r="AM433" s="8" t="s">
        <v>2259</v>
      </c>
      <c r="AN433" s="9" t="s">
        <v>2260</v>
      </c>
      <c r="AO433" s="9" t="s">
        <v>2261</v>
      </c>
      <c r="AP433" s="10" t="s">
        <v>2262</v>
      </c>
      <c r="AQ433" s="10" t="s">
        <v>2263</v>
      </c>
      <c r="AR433" s="10" t="s">
        <v>2264</v>
      </c>
      <c r="AS433" s="12"/>
      <c r="AT433" s="10" t="s">
        <v>2265</v>
      </c>
      <c r="AU433" s="10" t="s">
        <v>2266</v>
      </c>
      <c r="AV433" s="13"/>
    </row>
    <row r="434" ht="16.5" hidden="1" customHeight="1">
      <c r="A434" s="7" t="s">
        <v>2267</v>
      </c>
      <c r="B434" s="7" t="s">
        <v>49</v>
      </c>
      <c r="C434" s="7" t="s">
        <v>213</v>
      </c>
      <c r="D434" s="7" t="s">
        <v>51</v>
      </c>
      <c r="E434" s="7" t="s">
        <v>227</v>
      </c>
      <c r="F434" s="7">
        <v>6798.0</v>
      </c>
      <c r="G434" s="7">
        <v>6798.0</v>
      </c>
      <c r="H434" s="7" t="s">
        <v>53</v>
      </c>
      <c r="I434" s="7"/>
      <c r="J434" s="14" t="s">
        <v>1159</v>
      </c>
      <c r="K434" s="8" t="s">
        <v>84</v>
      </c>
      <c r="L434" s="8" t="s">
        <v>49</v>
      </c>
      <c r="M434" s="8"/>
      <c r="N434" s="8" t="s">
        <v>85</v>
      </c>
      <c r="O434" s="8" t="s">
        <v>217</v>
      </c>
      <c r="P434" s="8" t="s">
        <v>57</v>
      </c>
      <c r="Q434" s="8" t="s">
        <v>1428</v>
      </c>
      <c r="R434" s="8">
        <v>0.62</v>
      </c>
      <c r="S434" s="8" t="s">
        <v>49</v>
      </c>
      <c r="T434" s="8" t="s">
        <v>49</v>
      </c>
      <c r="U434" s="8" t="s">
        <v>2257</v>
      </c>
      <c r="V434" s="8" t="s">
        <v>177</v>
      </c>
      <c r="W434" s="8" t="s">
        <v>1778</v>
      </c>
      <c r="X434" s="8" t="s">
        <v>1797</v>
      </c>
      <c r="Y434" s="8" t="s">
        <v>1779</v>
      </c>
      <c r="Z434" s="8" t="s">
        <v>92</v>
      </c>
      <c r="AA434" s="8" t="s">
        <v>231</v>
      </c>
      <c r="AB434" s="8" t="s">
        <v>60</v>
      </c>
      <c r="AC434" s="8" t="s">
        <v>1165</v>
      </c>
      <c r="AD434" s="8" t="s">
        <v>2258</v>
      </c>
      <c r="AE434" s="8" t="s">
        <v>55</v>
      </c>
      <c r="AF434" s="8" t="s">
        <v>55</v>
      </c>
      <c r="AG434" s="8" t="s">
        <v>890</v>
      </c>
      <c r="AH434" s="8" t="s">
        <v>2151</v>
      </c>
      <c r="AI434" s="8" t="s">
        <v>2040</v>
      </c>
      <c r="AJ434" s="8" t="s">
        <v>49</v>
      </c>
      <c r="AK434" s="8" t="s">
        <v>95</v>
      </c>
      <c r="AL434" s="8" t="s">
        <v>66</v>
      </c>
      <c r="AM434" s="8" t="s">
        <v>2259</v>
      </c>
      <c r="AN434" s="16" t="s">
        <v>2260</v>
      </c>
      <c r="AO434" s="9" t="s">
        <v>2261</v>
      </c>
      <c r="AP434" s="10" t="s">
        <v>2262</v>
      </c>
      <c r="AQ434" s="10" t="s">
        <v>2263</v>
      </c>
      <c r="AR434" s="10" t="s">
        <v>2264</v>
      </c>
      <c r="AS434" s="12"/>
      <c r="AT434" s="10" t="s">
        <v>2265</v>
      </c>
      <c r="AU434" s="10" t="s">
        <v>2266</v>
      </c>
      <c r="AV434" s="13"/>
    </row>
    <row r="435" ht="16.5" hidden="1" customHeight="1">
      <c r="A435" s="7" t="s">
        <v>2268</v>
      </c>
      <c r="B435" s="14" t="s">
        <v>49</v>
      </c>
      <c r="C435" s="14" t="s">
        <v>213</v>
      </c>
      <c r="D435" s="14" t="s">
        <v>51</v>
      </c>
      <c r="E435" s="7"/>
      <c r="F435" s="7">
        <v>6799.0</v>
      </c>
      <c r="G435" s="7">
        <v>6798.0</v>
      </c>
      <c r="H435" s="7" t="s">
        <v>53</v>
      </c>
      <c r="I435" s="7"/>
      <c r="J435" s="14" t="s">
        <v>1159</v>
      </c>
      <c r="K435" s="8" t="s">
        <v>84</v>
      </c>
      <c r="L435" s="8" t="s">
        <v>49</v>
      </c>
      <c r="M435" s="8"/>
      <c r="N435" s="8" t="s">
        <v>85</v>
      </c>
      <c r="O435" s="8" t="s">
        <v>217</v>
      </c>
      <c r="P435" s="8" t="s">
        <v>57</v>
      </c>
      <c r="Q435" s="8" t="s">
        <v>1428</v>
      </c>
      <c r="R435" s="8">
        <v>0.62</v>
      </c>
      <c r="S435" s="8" t="s">
        <v>49</v>
      </c>
      <c r="T435" s="8" t="s">
        <v>49</v>
      </c>
      <c r="U435" s="8" t="s">
        <v>2257</v>
      </c>
      <c r="V435" s="8" t="s">
        <v>177</v>
      </c>
      <c r="W435" s="8" t="s">
        <v>1778</v>
      </c>
      <c r="X435" s="8" t="s">
        <v>1797</v>
      </c>
      <c r="Y435" s="8" t="s">
        <v>1779</v>
      </c>
      <c r="Z435" s="8" t="s">
        <v>92</v>
      </c>
      <c r="AA435" s="8" t="s">
        <v>231</v>
      </c>
      <c r="AB435" s="8" t="s">
        <v>60</v>
      </c>
      <c r="AC435" s="8" t="s">
        <v>1165</v>
      </c>
      <c r="AD435" s="8" t="s">
        <v>2258</v>
      </c>
      <c r="AE435" s="8" t="s">
        <v>55</v>
      </c>
      <c r="AF435" s="8" t="s">
        <v>55</v>
      </c>
      <c r="AG435" s="8" t="s">
        <v>890</v>
      </c>
      <c r="AH435" s="8" t="s">
        <v>2151</v>
      </c>
      <c r="AI435" s="8" t="s">
        <v>2060</v>
      </c>
      <c r="AJ435" s="8" t="s">
        <v>49</v>
      </c>
      <c r="AK435" s="8" t="s">
        <v>95</v>
      </c>
      <c r="AL435" s="8" t="s">
        <v>66</v>
      </c>
      <c r="AM435" s="8" t="s">
        <v>1791</v>
      </c>
      <c r="AN435" s="16" t="s">
        <v>2269</v>
      </c>
      <c r="AO435" s="9" t="s">
        <v>2270</v>
      </c>
      <c r="AP435" s="10" t="s">
        <v>2262</v>
      </c>
      <c r="AQ435" s="10" t="s">
        <v>2263</v>
      </c>
      <c r="AR435" s="10" t="s">
        <v>2264</v>
      </c>
      <c r="AS435" s="12"/>
      <c r="AT435" s="10" t="s">
        <v>2265</v>
      </c>
      <c r="AU435" s="10" t="s">
        <v>2266</v>
      </c>
      <c r="AV435" s="13"/>
    </row>
    <row r="436" ht="16.5" hidden="1" customHeight="1">
      <c r="A436" s="7" t="s">
        <v>2271</v>
      </c>
      <c r="B436" s="7" t="s">
        <v>49</v>
      </c>
      <c r="C436" s="7" t="s">
        <v>213</v>
      </c>
      <c r="D436" s="7" t="s">
        <v>214</v>
      </c>
      <c r="E436" s="7" t="s">
        <v>227</v>
      </c>
      <c r="F436" s="7">
        <v>6800.0</v>
      </c>
      <c r="G436" s="7"/>
      <c r="H436" s="7" t="s">
        <v>53</v>
      </c>
      <c r="I436" s="7"/>
      <c r="J436" s="7"/>
      <c r="K436" s="8" t="s">
        <v>84</v>
      </c>
      <c r="L436" s="8" t="s">
        <v>49</v>
      </c>
      <c r="M436" s="8"/>
      <c r="N436" s="8" t="s">
        <v>85</v>
      </c>
      <c r="O436" s="8" t="s">
        <v>56</v>
      </c>
      <c r="P436" s="8" t="s">
        <v>57</v>
      </c>
      <c r="Q436" s="8" t="s">
        <v>2272</v>
      </c>
      <c r="R436" s="8">
        <v>0.62</v>
      </c>
      <c r="S436" s="8" t="s">
        <v>49</v>
      </c>
      <c r="T436" s="8" t="s">
        <v>49</v>
      </c>
      <c r="U436" s="8" t="s">
        <v>2038</v>
      </c>
      <c r="V436" s="8" t="s">
        <v>1253</v>
      </c>
      <c r="W436" s="8" t="s">
        <v>1778</v>
      </c>
      <c r="X436" s="8" t="s">
        <v>1797</v>
      </c>
      <c r="Y436" s="8" t="s">
        <v>2149</v>
      </c>
      <c r="Z436" s="8" t="s">
        <v>92</v>
      </c>
      <c r="AA436" s="8" t="s">
        <v>231</v>
      </c>
      <c r="AB436" s="8" t="s">
        <v>60</v>
      </c>
      <c r="AC436" s="8" t="s">
        <v>219</v>
      </c>
      <c r="AD436" s="8" t="s">
        <v>2273</v>
      </c>
      <c r="AE436" s="8" t="s">
        <v>55</v>
      </c>
      <c r="AF436" s="8" t="s">
        <v>55</v>
      </c>
      <c r="AG436" s="8" t="s">
        <v>890</v>
      </c>
      <c r="AH436" s="8" t="s">
        <v>2151</v>
      </c>
      <c r="AI436" s="8" t="s">
        <v>112</v>
      </c>
      <c r="AJ436" s="8" t="s">
        <v>49</v>
      </c>
      <c r="AK436" s="8" t="s">
        <v>49</v>
      </c>
      <c r="AL436" s="8" t="s">
        <v>66</v>
      </c>
      <c r="AM436" s="8" t="s">
        <v>2217</v>
      </c>
      <c r="AN436" s="9" t="s">
        <v>2274</v>
      </c>
      <c r="AO436" s="9" t="s">
        <v>2275</v>
      </c>
      <c r="AP436" s="10" t="s">
        <v>2276</v>
      </c>
      <c r="AQ436" s="10" t="s">
        <v>2277</v>
      </c>
      <c r="AR436" s="10" t="s">
        <v>2278</v>
      </c>
      <c r="AS436" s="12"/>
      <c r="AT436" s="10" t="s">
        <v>2279</v>
      </c>
      <c r="AU436" s="10" t="s">
        <v>2280</v>
      </c>
      <c r="AV436" s="13"/>
    </row>
    <row r="437" ht="16.5" hidden="1" customHeight="1">
      <c r="A437" s="7" t="s">
        <v>2281</v>
      </c>
      <c r="B437" s="7" t="s">
        <v>49</v>
      </c>
      <c r="C437" s="7" t="s">
        <v>213</v>
      </c>
      <c r="D437" s="7" t="s">
        <v>214</v>
      </c>
      <c r="E437" s="7" t="s">
        <v>227</v>
      </c>
      <c r="F437" s="7">
        <v>6800.0</v>
      </c>
      <c r="G437" s="7">
        <v>6800.0</v>
      </c>
      <c r="H437" s="7" t="s">
        <v>53</v>
      </c>
      <c r="I437" s="7"/>
      <c r="J437" s="7"/>
      <c r="K437" s="8" t="s">
        <v>84</v>
      </c>
      <c r="L437" s="8" t="s">
        <v>49</v>
      </c>
      <c r="M437" s="8"/>
      <c r="N437" s="8" t="s">
        <v>85</v>
      </c>
      <c r="O437" s="8" t="s">
        <v>56</v>
      </c>
      <c r="P437" s="8" t="s">
        <v>57</v>
      </c>
      <c r="Q437" s="8" t="s">
        <v>2272</v>
      </c>
      <c r="R437" s="8">
        <v>0.62</v>
      </c>
      <c r="S437" s="8" t="s">
        <v>49</v>
      </c>
      <c r="T437" s="8" t="s">
        <v>49</v>
      </c>
      <c r="U437" s="8" t="s">
        <v>2038</v>
      </c>
      <c r="V437" s="8" t="s">
        <v>1253</v>
      </c>
      <c r="W437" s="8" t="s">
        <v>1778</v>
      </c>
      <c r="X437" s="8" t="s">
        <v>1797</v>
      </c>
      <c r="Y437" s="8" t="s">
        <v>2149</v>
      </c>
      <c r="Z437" s="8" t="s">
        <v>92</v>
      </c>
      <c r="AA437" s="8" t="s">
        <v>231</v>
      </c>
      <c r="AB437" s="8" t="s">
        <v>60</v>
      </c>
      <c r="AC437" s="8" t="s">
        <v>219</v>
      </c>
      <c r="AD437" s="8" t="s">
        <v>2273</v>
      </c>
      <c r="AE437" s="8" t="s">
        <v>55</v>
      </c>
      <c r="AF437" s="8" t="s">
        <v>55</v>
      </c>
      <c r="AG437" s="8" t="s">
        <v>890</v>
      </c>
      <c r="AH437" s="8" t="s">
        <v>2151</v>
      </c>
      <c r="AI437" s="8" t="s">
        <v>112</v>
      </c>
      <c r="AJ437" s="8" t="s">
        <v>49</v>
      </c>
      <c r="AK437" s="8" t="s">
        <v>95</v>
      </c>
      <c r="AL437" s="8" t="s">
        <v>66</v>
      </c>
      <c r="AM437" s="8" t="s">
        <v>2217</v>
      </c>
      <c r="AN437" s="16" t="s">
        <v>2274</v>
      </c>
      <c r="AO437" s="9" t="s">
        <v>2275</v>
      </c>
      <c r="AP437" s="10" t="s">
        <v>2276</v>
      </c>
      <c r="AQ437" s="10" t="s">
        <v>2277</v>
      </c>
      <c r="AR437" s="10" t="s">
        <v>2278</v>
      </c>
      <c r="AS437" s="12"/>
      <c r="AT437" s="10" t="s">
        <v>2279</v>
      </c>
      <c r="AU437" s="10" t="s">
        <v>2280</v>
      </c>
      <c r="AV437" s="13"/>
    </row>
    <row r="438" ht="16.5" hidden="1" customHeight="1">
      <c r="A438" s="7" t="s">
        <v>2282</v>
      </c>
      <c r="B438" s="14" t="s">
        <v>49</v>
      </c>
      <c r="C438" s="14" t="s">
        <v>213</v>
      </c>
      <c r="D438" s="14" t="s">
        <v>214</v>
      </c>
      <c r="E438" s="7"/>
      <c r="F438" s="7">
        <v>6801.0</v>
      </c>
      <c r="G438" s="7">
        <v>6800.0</v>
      </c>
      <c r="H438" s="7" t="s">
        <v>53</v>
      </c>
      <c r="I438" s="7"/>
      <c r="J438" s="7"/>
      <c r="K438" s="8" t="s">
        <v>84</v>
      </c>
      <c r="L438" s="8" t="s">
        <v>49</v>
      </c>
      <c r="M438" s="8"/>
      <c r="N438" s="8" t="s">
        <v>85</v>
      </c>
      <c r="O438" s="8" t="s">
        <v>56</v>
      </c>
      <c r="P438" s="8" t="s">
        <v>57</v>
      </c>
      <c r="Q438" s="8" t="s">
        <v>2272</v>
      </c>
      <c r="R438" s="8">
        <v>0.62</v>
      </c>
      <c r="S438" s="8" t="s">
        <v>49</v>
      </c>
      <c r="T438" s="8" t="s">
        <v>49</v>
      </c>
      <c r="U438" s="8" t="s">
        <v>2038</v>
      </c>
      <c r="V438" s="8" t="s">
        <v>1253</v>
      </c>
      <c r="W438" s="8" t="s">
        <v>1778</v>
      </c>
      <c r="X438" s="8" t="s">
        <v>1797</v>
      </c>
      <c r="Y438" s="8" t="s">
        <v>2149</v>
      </c>
      <c r="Z438" s="8" t="s">
        <v>92</v>
      </c>
      <c r="AA438" s="8" t="s">
        <v>231</v>
      </c>
      <c r="AB438" s="8" t="s">
        <v>60</v>
      </c>
      <c r="AC438" s="8" t="s">
        <v>219</v>
      </c>
      <c r="AD438" s="8" t="s">
        <v>2273</v>
      </c>
      <c r="AE438" s="8" t="s">
        <v>55</v>
      </c>
      <c r="AF438" s="8" t="s">
        <v>55</v>
      </c>
      <c r="AG438" s="8" t="s">
        <v>890</v>
      </c>
      <c r="AH438" s="8" t="s">
        <v>2151</v>
      </c>
      <c r="AI438" s="8" t="s">
        <v>94</v>
      </c>
      <c r="AJ438" s="8" t="s">
        <v>49</v>
      </c>
      <c r="AK438" s="8" t="s">
        <v>95</v>
      </c>
      <c r="AL438" s="8" t="s">
        <v>66</v>
      </c>
      <c r="AM438" s="8" t="s">
        <v>1791</v>
      </c>
      <c r="AN438" s="16" t="s">
        <v>2283</v>
      </c>
      <c r="AO438" s="9" t="s">
        <v>2284</v>
      </c>
      <c r="AP438" s="10" t="s">
        <v>2276</v>
      </c>
      <c r="AQ438" s="10" t="s">
        <v>2277</v>
      </c>
      <c r="AR438" s="10" t="s">
        <v>2278</v>
      </c>
      <c r="AS438" s="12"/>
      <c r="AT438" s="10" t="s">
        <v>2279</v>
      </c>
      <c r="AU438" s="10" t="s">
        <v>2280</v>
      </c>
      <c r="AV438" s="15">
        <v>46315.0</v>
      </c>
    </row>
    <row r="439" ht="16.5" hidden="1" customHeight="1">
      <c r="A439" s="7" t="s">
        <v>2285</v>
      </c>
      <c r="B439" s="7" t="s">
        <v>49</v>
      </c>
      <c r="C439" s="7" t="s">
        <v>213</v>
      </c>
      <c r="D439" s="7" t="s">
        <v>214</v>
      </c>
      <c r="E439" s="7" t="s">
        <v>227</v>
      </c>
      <c r="F439" s="7">
        <v>6802.0</v>
      </c>
      <c r="G439" s="7"/>
      <c r="H439" s="7" t="s">
        <v>53</v>
      </c>
      <c r="I439" s="7"/>
      <c r="J439" s="7"/>
      <c r="K439" s="8" t="s">
        <v>84</v>
      </c>
      <c r="L439" s="8" t="s">
        <v>49</v>
      </c>
      <c r="M439" s="8"/>
      <c r="N439" s="8" t="s">
        <v>85</v>
      </c>
      <c r="O439" s="8" t="s">
        <v>56</v>
      </c>
      <c r="P439" s="8" t="s">
        <v>57</v>
      </c>
      <c r="Q439" s="8" t="s">
        <v>2286</v>
      </c>
      <c r="R439" s="8">
        <v>0.58</v>
      </c>
      <c r="S439" s="8" t="s">
        <v>49</v>
      </c>
      <c r="T439" s="8" t="s">
        <v>49</v>
      </c>
      <c r="U439" s="8" t="s">
        <v>2287</v>
      </c>
      <c r="V439" s="8" t="s">
        <v>2288</v>
      </c>
      <c r="W439" s="8" t="s">
        <v>1778</v>
      </c>
      <c r="X439" s="8" t="s">
        <v>108</v>
      </c>
      <c r="Y439" s="8" t="s">
        <v>49</v>
      </c>
      <c r="Z439" s="8" t="s">
        <v>92</v>
      </c>
      <c r="AA439" s="8" t="s">
        <v>231</v>
      </c>
      <c r="AB439" s="8" t="s">
        <v>60</v>
      </c>
      <c r="AC439" s="8" t="s">
        <v>219</v>
      </c>
      <c r="AD439" s="8" t="s">
        <v>2289</v>
      </c>
      <c r="AE439" s="8" t="s">
        <v>55</v>
      </c>
      <c r="AF439" s="8" t="s">
        <v>55</v>
      </c>
      <c r="AG439" s="8" t="s">
        <v>890</v>
      </c>
      <c r="AH439" s="8" t="s">
        <v>2151</v>
      </c>
      <c r="AI439" s="8" t="s">
        <v>112</v>
      </c>
      <c r="AJ439" s="8" t="s">
        <v>49</v>
      </c>
      <c r="AK439" s="8" t="s">
        <v>49</v>
      </c>
      <c r="AL439" s="8" t="s">
        <v>66</v>
      </c>
      <c r="AM439" s="8" t="s">
        <v>2217</v>
      </c>
      <c r="AN439" s="9" t="s">
        <v>2290</v>
      </c>
      <c r="AO439" s="9" t="s">
        <v>2291</v>
      </c>
      <c r="AP439" s="18" t="s">
        <v>2292</v>
      </c>
      <c r="AQ439" s="11"/>
      <c r="AR439" s="10" t="s">
        <v>2293</v>
      </c>
      <c r="AS439" s="12"/>
      <c r="AT439" s="10" t="s">
        <v>2294</v>
      </c>
      <c r="AU439" s="11"/>
      <c r="AV439" s="13"/>
    </row>
    <row r="440" ht="16.5" hidden="1" customHeight="1">
      <c r="A440" s="7" t="s">
        <v>2295</v>
      </c>
      <c r="B440" s="7" t="s">
        <v>49</v>
      </c>
      <c r="C440" s="7" t="s">
        <v>213</v>
      </c>
      <c r="D440" s="7" t="s">
        <v>214</v>
      </c>
      <c r="E440" s="7" t="s">
        <v>227</v>
      </c>
      <c r="F440" s="7">
        <v>6802.0</v>
      </c>
      <c r="G440" s="7">
        <v>6802.0</v>
      </c>
      <c r="H440" s="7" t="s">
        <v>53</v>
      </c>
      <c r="I440" s="7"/>
      <c r="J440" s="7"/>
      <c r="K440" s="8" t="s">
        <v>84</v>
      </c>
      <c r="L440" s="8" t="s">
        <v>49</v>
      </c>
      <c r="M440" s="8"/>
      <c r="N440" s="8" t="s">
        <v>85</v>
      </c>
      <c r="O440" s="8" t="s">
        <v>56</v>
      </c>
      <c r="P440" s="8" t="s">
        <v>57</v>
      </c>
      <c r="Q440" s="8" t="s">
        <v>2286</v>
      </c>
      <c r="R440" s="8">
        <v>0.58</v>
      </c>
      <c r="S440" s="8" t="s">
        <v>49</v>
      </c>
      <c r="T440" s="8" t="s">
        <v>49</v>
      </c>
      <c r="U440" s="8" t="s">
        <v>2287</v>
      </c>
      <c r="V440" s="8" t="s">
        <v>2288</v>
      </c>
      <c r="W440" s="8" t="s">
        <v>1778</v>
      </c>
      <c r="X440" s="8" t="s">
        <v>108</v>
      </c>
      <c r="Y440" s="8" t="s">
        <v>49</v>
      </c>
      <c r="Z440" s="8" t="s">
        <v>92</v>
      </c>
      <c r="AA440" s="8" t="s">
        <v>231</v>
      </c>
      <c r="AB440" s="8" t="s">
        <v>60</v>
      </c>
      <c r="AC440" s="8" t="s">
        <v>219</v>
      </c>
      <c r="AD440" s="12" t="s">
        <v>2289</v>
      </c>
      <c r="AE440" s="8" t="s">
        <v>55</v>
      </c>
      <c r="AF440" s="8" t="s">
        <v>55</v>
      </c>
      <c r="AG440" s="8" t="s">
        <v>890</v>
      </c>
      <c r="AH440" s="8" t="s">
        <v>2151</v>
      </c>
      <c r="AI440" s="8" t="s">
        <v>112</v>
      </c>
      <c r="AJ440" s="8" t="s">
        <v>49</v>
      </c>
      <c r="AK440" s="8" t="s">
        <v>95</v>
      </c>
      <c r="AL440" s="8" t="s">
        <v>66</v>
      </c>
      <c r="AM440" s="8" t="s">
        <v>2217</v>
      </c>
      <c r="AN440" s="16" t="s">
        <v>2290</v>
      </c>
      <c r="AO440" s="9" t="s">
        <v>2291</v>
      </c>
      <c r="AP440" s="17" t="s">
        <v>2296</v>
      </c>
      <c r="AQ440" s="11"/>
      <c r="AR440" s="10" t="s">
        <v>2293</v>
      </c>
      <c r="AS440" s="12"/>
      <c r="AT440" s="10" t="s">
        <v>2294</v>
      </c>
      <c r="AU440" s="11"/>
      <c r="AV440" s="13"/>
    </row>
    <row r="441" ht="16.5" hidden="1" customHeight="1">
      <c r="A441" s="7" t="s">
        <v>2297</v>
      </c>
      <c r="B441" s="14" t="s">
        <v>49</v>
      </c>
      <c r="C441" s="14" t="s">
        <v>213</v>
      </c>
      <c r="D441" s="14" t="s">
        <v>214</v>
      </c>
      <c r="E441" s="7"/>
      <c r="F441" s="7">
        <v>6803.0</v>
      </c>
      <c r="G441" s="7">
        <v>6802.0</v>
      </c>
      <c r="H441" s="7" t="s">
        <v>53</v>
      </c>
      <c r="I441" s="7"/>
      <c r="J441" s="7"/>
      <c r="K441" s="8" t="s">
        <v>84</v>
      </c>
      <c r="L441" s="8" t="s">
        <v>49</v>
      </c>
      <c r="M441" s="8"/>
      <c r="N441" s="8" t="s">
        <v>85</v>
      </c>
      <c r="O441" s="8" t="s">
        <v>56</v>
      </c>
      <c r="P441" s="8" t="s">
        <v>57</v>
      </c>
      <c r="Q441" s="8" t="s">
        <v>2286</v>
      </c>
      <c r="R441" s="8">
        <v>0.58</v>
      </c>
      <c r="S441" s="8" t="s">
        <v>49</v>
      </c>
      <c r="T441" s="8" t="s">
        <v>49</v>
      </c>
      <c r="U441" s="8" t="s">
        <v>2287</v>
      </c>
      <c r="V441" s="8" t="s">
        <v>2288</v>
      </c>
      <c r="W441" s="8" t="s">
        <v>1778</v>
      </c>
      <c r="X441" s="8" t="s">
        <v>108</v>
      </c>
      <c r="Y441" s="8" t="s">
        <v>49</v>
      </c>
      <c r="Z441" s="8" t="s">
        <v>92</v>
      </c>
      <c r="AA441" s="8" t="s">
        <v>231</v>
      </c>
      <c r="AB441" s="8" t="s">
        <v>60</v>
      </c>
      <c r="AC441" s="8" t="s">
        <v>219</v>
      </c>
      <c r="AD441" s="12" t="s">
        <v>2289</v>
      </c>
      <c r="AE441" s="8" t="s">
        <v>55</v>
      </c>
      <c r="AF441" s="8" t="s">
        <v>55</v>
      </c>
      <c r="AG441" s="8" t="s">
        <v>890</v>
      </c>
      <c r="AH441" s="8" t="s">
        <v>2151</v>
      </c>
      <c r="AI441" s="8" t="s">
        <v>94</v>
      </c>
      <c r="AJ441" s="8" t="s">
        <v>49</v>
      </c>
      <c r="AK441" s="8" t="s">
        <v>95</v>
      </c>
      <c r="AL441" s="8" t="s">
        <v>66</v>
      </c>
      <c r="AM441" s="8" t="s">
        <v>1791</v>
      </c>
      <c r="AN441" s="16" t="s">
        <v>2298</v>
      </c>
      <c r="AO441" s="9" t="s">
        <v>2299</v>
      </c>
      <c r="AP441" s="17" t="s">
        <v>2296</v>
      </c>
      <c r="AQ441" s="11"/>
      <c r="AR441" s="10" t="s">
        <v>2293</v>
      </c>
      <c r="AS441" s="12"/>
      <c r="AT441" s="10" t="s">
        <v>2294</v>
      </c>
      <c r="AU441" s="11"/>
      <c r="AV441" s="13"/>
    </row>
    <row r="442" ht="16.5" hidden="1" customHeight="1">
      <c r="A442" s="7" t="s">
        <v>2300</v>
      </c>
      <c r="B442" s="7" t="s">
        <v>49</v>
      </c>
      <c r="C442" s="7" t="s">
        <v>213</v>
      </c>
      <c r="D442" s="7" t="s">
        <v>376</v>
      </c>
      <c r="E442" s="7" t="s">
        <v>227</v>
      </c>
      <c r="F442" s="7">
        <v>6804.0</v>
      </c>
      <c r="G442" s="7"/>
      <c r="H442" s="7" t="s">
        <v>215</v>
      </c>
      <c r="I442" s="7"/>
      <c r="J442" s="7"/>
      <c r="K442" s="8" t="s">
        <v>54</v>
      </c>
      <c r="L442" s="8" t="s">
        <v>55</v>
      </c>
      <c r="M442" s="8"/>
      <c r="N442" s="8" t="s">
        <v>55</v>
      </c>
      <c r="O442" s="8" t="s">
        <v>228</v>
      </c>
      <c r="P442" s="8" t="s">
        <v>229</v>
      </c>
      <c r="Q442" s="8" t="s">
        <v>230</v>
      </c>
      <c r="R442" s="8" t="s">
        <v>49</v>
      </c>
      <c r="S442" s="8" t="s">
        <v>49</v>
      </c>
      <c r="T442" s="8" t="s">
        <v>49</v>
      </c>
      <c r="U442" s="8" t="s">
        <v>49</v>
      </c>
      <c r="V442" s="8" t="s">
        <v>49</v>
      </c>
      <c r="W442" s="8" t="s">
        <v>49</v>
      </c>
      <c r="X442" s="8" t="s">
        <v>49</v>
      </c>
      <c r="Y442" s="8" t="s">
        <v>49</v>
      </c>
      <c r="Z442" s="8" t="s">
        <v>49</v>
      </c>
      <c r="AA442" s="8" t="s">
        <v>231</v>
      </c>
      <c r="AB442" s="8" t="s">
        <v>55</v>
      </c>
      <c r="AC442" s="8" t="s">
        <v>348</v>
      </c>
      <c r="AD442" s="8" t="s">
        <v>2301</v>
      </c>
      <c r="AE442" s="8" t="s">
        <v>547</v>
      </c>
      <c r="AF442" s="8" t="s">
        <v>1556</v>
      </c>
      <c r="AG442" s="8" t="s">
        <v>145</v>
      </c>
      <c r="AH442" s="8" t="s">
        <v>55</v>
      </c>
      <c r="AI442" s="8" t="s">
        <v>463</v>
      </c>
      <c r="AJ442" s="8" t="s">
        <v>49</v>
      </c>
      <c r="AK442" s="8" t="s">
        <v>49</v>
      </c>
      <c r="AL442" s="8" t="s">
        <v>464</v>
      </c>
      <c r="AM442" s="8" t="s">
        <v>2302</v>
      </c>
      <c r="AN442" s="9" t="s">
        <v>2303</v>
      </c>
      <c r="AO442" s="12" t="s">
        <v>224</v>
      </c>
      <c r="AP442" s="10" t="s">
        <v>2304</v>
      </c>
      <c r="AQ442" s="11"/>
      <c r="AR442" s="10" t="s">
        <v>2305</v>
      </c>
      <c r="AS442" s="12"/>
      <c r="AT442" s="10" t="s">
        <v>2306</v>
      </c>
      <c r="AU442" s="11"/>
      <c r="AV442" s="13"/>
    </row>
    <row r="443" ht="16.5" hidden="1" customHeight="1">
      <c r="A443" s="7" t="s">
        <v>2307</v>
      </c>
      <c r="B443" s="7" t="s">
        <v>49</v>
      </c>
      <c r="C443" s="7" t="s">
        <v>213</v>
      </c>
      <c r="D443" s="14" t="s">
        <v>344</v>
      </c>
      <c r="E443" s="7" t="s">
        <v>227</v>
      </c>
      <c r="F443" s="7">
        <v>6804.0</v>
      </c>
      <c r="G443" s="7">
        <v>6804.0</v>
      </c>
      <c r="H443" s="7" t="s">
        <v>215</v>
      </c>
      <c r="I443" s="7"/>
      <c r="J443" s="7"/>
      <c r="K443" s="8" t="s">
        <v>54</v>
      </c>
      <c r="L443" s="8" t="s">
        <v>55</v>
      </c>
      <c r="M443" s="12" t="s">
        <v>55</v>
      </c>
      <c r="N443" s="8" t="s">
        <v>55</v>
      </c>
      <c r="O443" s="8" t="s">
        <v>228</v>
      </c>
      <c r="P443" s="8" t="s">
        <v>229</v>
      </c>
      <c r="Q443" s="8" t="s">
        <v>240</v>
      </c>
      <c r="R443" s="8" t="s">
        <v>49</v>
      </c>
      <c r="S443" s="8" t="s">
        <v>49</v>
      </c>
      <c r="T443" s="8" t="s">
        <v>49</v>
      </c>
      <c r="U443" s="8" t="s">
        <v>49</v>
      </c>
      <c r="V443" s="8" t="s">
        <v>49</v>
      </c>
      <c r="W443" s="8" t="s">
        <v>49</v>
      </c>
      <c r="X443" s="8" t="s">
        <v>55</v>
      </c>
      <c r="Y443" s="8" t="s">
        <v>55</v>
      </c>
      <c r="Z443" s="8" t="s">
        <v>55</v>
      </c>
      <c r="AA443" s="8" t="s">
        <v>231</v>
      </c>
      <c r="AB443" s="8" t="s">
        <v>55</v>
      </c>
      <c r="AC443" s="8" t="s">
        <v>348</v>
      </c>
      <c r="AD443" s="8" t="s">
        <v>2301</v>
      </c>
      <c r="AE443" s="8" t="s">
        <v>547</v>
      </c>
      <c r="AF443" s="8" t="s">
        <v>1561</v>
      </c>
      <c r="AG443" s="8" t="s">
        <v>145</v>
      </c>
      <c r="AH443" s="8" t="s">
        <v>55</v>
      </c>
      <c r="AI443" s="8" t="s">
        <v>463</v>
      </c>
      <c r="AJ443" s="8" t="s">
        <v>49</v>
      </c>
      <c r="AK443" s="8" t="s">
        <v>55</v>
      </c>
      <c r="AL443" s="8" t="s">
        <v>464</v>
      </c>
      <c r="AM443" s="8" t="s">
        <v>2302</v>
      </c>
      <c r="AN443" s="9" t="s">
        <v>2303</v>
      </c>
      <c r="AO443" s="12" t="s">
        <v>224</v>
      </c>
      <c r="AP443" s="10" t="s">
        <v>2304</v>
      </c>
      <c r="AQ443" s="11"/>
      <c r="AR443" s="10" t="s">
        <v>2305</v>
      </c>
      <c r="AS443" s="12"/>
      <c r="AT443" s="10" t="s">
        <v>2306</v>
      </c>
      <c r="AU443" s="11"/>
      <c r="AV443" s="13"/>
    </row>
    <row r="444" ht="16.5" hidden="1" customHeight="1">
      <c r="A444" s="7" t="s">
        <v>2308</v>
      </c>
      <c r="B444" s="14" t="s">
        <v>49</v>
      </c>
      <c r="C444" s="14" t="s">
        <v>213</v>
      </c>
      <c r="D444" s="14" t="s">
        <v>344</v>
      </c>
      <c r="E444" s="7"/>
      <c r="F444" s="7">
        <v>6805.0</v>
      </c>
      <c r="G444" s="7">
        <v>6804.0</v>
      </c>
      <c r="H444" s="7" t="s">
        <v>215</v>
      </c>
      <c r="I444" s="7"/>
      <c r="J444" s="7"/>
      <c r="K444" s="8" t="s">
        <v>54</v>
      </c>
      <c r="L444" s="8" t="s">
        <v>55</v>
      </c>
      <c r="M444" s="12" t="s">
        <v>55</v>
      </c>
      <c r="N444" s="8" t="s">
        <v>55</v>
      </c>
      <c r="O444" s="8" t="s">
        <v>228</v>
      </c>
      <c r="P444" s="8" t="s">
        <v>229</v>
      </c>
      <c r="Q444" s="8" t="s">
        <v>240</v>
      </c>
      <c r="R444" s="8" t="s">
        <v>49</v>
      </c>
      <c r="S444" s="8" t="s">
        <v>49</v>
      </c>
      <c r="T444" s="8" t="s">
        <v>49</v>
      </c>
      <c r="U444" s="8" t="s">
        <v>49</v>
      </c>
      <c r="V444" s="8" t="s">
        <v>49</v>
      </c>
      <c r="W444" s="8" t="s">
        <v>49</v>
      </c>
      <c r="X444" s="8" t="s">
        <v>55</v>
      </c>
      <c r="Y444" s="8" t="s">
        <v>55</v>
      </c>
      <c r="Z444" s="8" t="s">
        <v>55</v>
      </c>
      <c r="AA444" s="8" t="s">
        <v>231</v>
      </c>
      <c r="AB444" s="8" t="s">
        <v>55</v>
      </c>
      <c r="AC444" s="8" t="s">
        <v>348</v>
      </c>
      <c r="AD444" s="8" t="s">
        <v>2301</v>
      </c>
      <c r="AE444" s="8" t="s">
        <v>547</v>
      </c>
      <c r="AF444" s="8" t="s">
        <v>1561</v>
      </c>
      <c r="AG444" s="8" t="s">
        <v>145</v>
      </c>
      <c r="AH444" s="8" t="s">
        <v>55</v>
      </c>
      <c r="AI444" s="8" t="s">
        <v>65</v>
      </c>
      <c r="AJ444" s="8" t="s">
        <v>49</v>
      </c>
      <c r="AK444" s="8" t="s">
        <v>55</v>
      </c>
      <c r="AL444" s="8" t="s">
        <v>464</v>
      </c>
      <c r="AM444" s="8"/>
      <c r="AN444" s="9" t="s">
        <v>2309</v>
      </c>
      <c r="AO444" s="12" t="s">
        <v>224</v>
      </c>
      <c r="AP444" s="10" t="s">
        <v>2304</v>
      </c>
      <c r="AQ444" s="11"/>
      <c r="AR444" s="10" t="s">
        <v>2305</v>
      </c>
      <c r="AS444" s="12"/>
      <c r="AT444" s="10" t="s">
        <v>2306</v>
      </c>
      <c r="AU444" s="11"/>
      <c r="AV444" s="13"/>
    </row>
    <row r="445" ht="16.5" hidden="1" customHeight="1">
      <c r="A445" s="7" t="s">
        <v>2310</v>
      </c>
      <c r="B445" s="7" t="s">
        <v>49</v>
      </c>
      <c r="C445" s="7" t="s">
        <v>213</v>
      </c>
      <c r="D445" s="7" t="s">
        <v>376</v>
      </c>
      <c r="E445" s="7" t="s">
        <v>227</v>
      </c>
      <c r="F445" s="7">
        <v>6806.0</v>
      </c>
      <c r="G445" s="7"/>
      <c r="H445" s="7" t="s">
        <v>215</v>
      </c>
      <c r="I445" s="7"/>
      <c r="J445" s="7"/>
      <c r="K445" s="8" t="s">
        <v>54</v>
      </c>
      <c r="L445" s="8" t="s">
        <v>55</v>
      </c>
      <c r="M445" s="8"/>
      <c r="N445" s="8" t="s">
        <v>55</v>
      </c>
      <c r="O445" s="8" t="s">
        <v>228</v>
      </c>
      <c r="P445" s="8" t="s">
        <v>229</v>
      </c>
      <c r="Q445" s="8" t="s">
        <v>230</v>
      </c>
      <c r="R445" s="8" t="s">
        <v>49</v>
      </c>
      <c r="S445" s="8" t="s">
        <v>49</v>
      </c>
      <c r="T445" s="8" t="s">
        <v>49</v>
      </c>
      <c r="U445" s="8" t="s">
        <v>49</v>
      </c>
      <c r="V445" s="8" t="s">
        <v>49</v>
      </c>
      <c r="W445" s="8" t="s">
        <v>49</v>
      </c>
      <c r="X445" s="8" t="s">
        <v>49</v>
      </c>
      <c r="Y445" s="8" t="s">
        <v>49</v>
      </c>
      <c r="Z445" s="8" t="s">
        <v>49</v>
      </c>
      <c r="AA445" s="8" t="s">
        <v>231</v>
      </c>
      <c r="AB445" s="8" t="s">
        <v>55</v>
      </c>
      <c r="AC445" s="8" t="s">
        <v>348</v>
      </c>
      <c r="AD445" s="8" t="s">
        <v>2311</v>
      </c>
      <c r="AE445" s="8" t="s">
        <v>547</v>
      </c>
      <c r="AF445" s="8" t="s">
        <v>1556</v>
      </c>
      <c r="AG445" s="8" t="s">
        <v>145</v>
      </c>
      <c r="AH445" s="8" t="s">
        <v>55</v>
      </c>
      <c r="AI445" s="8" t="s">
        <v>463</v>
      </c>
      <c r="AJ445" s="8" t="s">
        <v>49</v>
      </c>
      <c r="AK445" s="8" t="s">
        <v>49</v>
      </c>
      <c r="AL445" s="8" t="s">
        <v>464</v>
      </c>
      <c r="AM445" s="8" t="s">
        <v>2312</v>
      </c>
      <c r="AN445" s="9" t="s">
        <v>2313</v>
      </c>
      <c r="AO445" s="12" t="s">
        <v>224</v>
      </c>
      <c r="AP445" s="10" t="s">
        <v>2314</v>
      </c>
      <c r="AQ445" s="11"/>
      <c r="AR445" s="10" t="s">
        <v>2315</v>
      </c>
      <c r="AS445" s="12"/>
      <c r="AT445" s="10" t="s">
        <v>2316</v>
      </c>
      <c r="AU445" s="11"/>
      <c r="AV445" s="13"/>
    </row>
    <row r="446" ht="16.5" hidden="1" customHeight="1">
      <c r="A446" s="7" t="s">
        <v>2317</v>
      </c>
      <c r="B446" s="7" t="s">
        <v>49</v>
      </c>
      <c r="C446" s="7" t="s">
        <v>213</v>
      </c>
      <c r="D446" s="14" t="s">
        <v>344</v>
      </c>
      <c r="E446" s="7" t="s">
        <v>227</v>
      </c>
      <c r="F446" s="7">
        <v>6806.0</v>
      </c>
      <c r="G446" s="7">
        <v>6806.0</v>
      </c>
      <c r="H446" s="7" t="s">
        <v>215</v>
      </c>
      <c r="I446" s="7"/>
      <c r="J446" s="7"/>
      <c r="K446" s="8" t="s">
        <v>54</v>
      </c>
      <c r="L446" s="8" t="s">
        <v>55</v>
      </c>
      <c r="M446" s="12" t="s">
        <v>55</v>
      </c>
      <c r="N446" s="8" t="s">
        <v>55</v>
      </c>
      <c r="O446" s="8" t="s">
        <v>228</v>
      </c>
      <c r="P446" s="8" t="s">
        <v>229</v>
      </c>
      <c r="Q446" s="8" t="s">
        <v>240</v>
      </c>
      <c r="R446" s="8" t="s">
        <v>49</v>
      </c>
      <c r="S446" s="8" t="s">
        <v>49</v>
      </c>
      <c r="T446" s="8" t="s">
        <v>49</v>
      </c>
      <c r="U446" s="8" t="s">
        <v>49</v>
      </c>
      <c r="V446" s="8" t="s">
        <v>49</v>
      </c>
      <c r="W446" s="8" t="s">
        <v>49</v>
      </c>
      <c r="X446" s="8" t="s">
        <v>55</v>
      </c>
      <c r="Y446" s="8" t="s">
        <v>55</v>
      </c>
      <c r="Z446" s="8" t="s">
        <v>55</v>
      </c>
      <c r="AA446" s="8" t="s">
        <v>231</v>
      </c>
      <c r="AB446" s="8" t="s">
        <v>55</v>
      </c>
      <c r="AC446" s="8" t="s">
        <v>348</v>
      </c>
      <c r="AD446" s="8" t="s">
        <v>2311</v>
      </c>
      <c r="AE446" s="8" t="s">
        <v>547</v>
      </c>
      <c r="AF446" s="8" t="s">
        <v>1561</v>
      </c>
      <c r="AG446" s="8" t="s">
        <v>145</v>
      </c>
      <c r="AH446" s="8" t="s">
        <v>55</v>
      </c>
      <c r="AI446" s="8" t="s">
        <v>463</v>
      </c>
      <c r="AJ446" s="8" t="s">
        <v>49</v>
      </c>
      <c r="AK446" s="8" t="s">
        <v>55</v>
      </c>
      <c r="AL446" s="8" t="s">
        <v>464</v>
      </c>
      <c r="AM446" s="8" t="s">
        <v>2312</v>
      </c>
      <c r="AN446" s="9" t="s">
        <v>2313</v>
      </c>
      <c r="AO446" s="12" t="s">
        <v>224</v>
      </c>
      <c r="AP446" s="10" t="s">
        <v>2314</v>
      </c>
      <c r="AQ446" s="11"/>
      <c r="AR446" s="10" t="s">
        <v>2315</v>
      </c>
      <c r="AS446" s="12"/>
      <c r="AT446" s="10" t="s">
        <v>2316</v>
      </c>
      <c r="AU446" s="11"/>
      <c r="AV446" s="13"/>
    </row>
    <row r="447" ht="16.5" hidden="1" customHeight="1">
      <c r="A447" s="7" t="s">
        <v>2318</v>
      </c>
      <c r="B447" s="14" t="s">
        <v>49</v>
      </c>
      <c r="C447" s="14" t="s">
        <v>213</v>
      </c>
      <c r="D447" s="14" t="s">
        <v>344</v>
      </c>
      <c r="E447" s="7"/>
      <c r="F447" s="7">
        <v>6807.0</v>
      </c>
      <c r="G447" s="7">
        <v>6806.0</v>
      </c>
      <c r="H447" s="7" t="s">
        <v>215</v>
      </c>
      <c r="I447" s="7"/>
      <c r="J447" s="7"/>
      <c r="K447" s="8" t="s">
        <v>54</v>
      </c>
      <c r="L447" s="8" t="s">
        <v>55</v>
      </c>
      <c r="M447" s="12" t="s">
        <v>55</v>
      </c>
      <c r="N447" s="8" t="s">
        <v>55</v>
      </c>
      <c r="O447" s="8" t="s">
        <v>228</v>
      </c>
      <c r="P447" s="8" t="s">
        <v>229</v>
      </c>
      <c r="Q447" s="8" t="s">
        <v>240</v>
      </c>
      <c r="R447" s="8" t="s">
        <v>49</v>
      </c>
      <c r="S447" s="8" t="s">
        <v>49</v>
      </c>
      <c r="T447" s="8" t="s">
        <v>49</v>
      </c>
      <c r="U447" s="8" t="s">
        <v>49</v>
      </c>
      <c r="V447" s="8" t="s">
        <v>49</v>
      </c>
      <c r="W447" s="8" t="s">
        <v>49</v>
      </c>
      <c r="X447" s="8" t="s">
        <v>55</v>
      </c>
      <c r="Y447" s="8" t="s">
        <v>55</v>
      </c>
      <c r="Z447" s="8" t="s">
        <v>55</v>
      </c>
      <c r="AA447" s="8" t="s">
        <v>231</v>
      </c>
      <c r="AB447" s="8" t="s">
        <v>55</v>
      </c>
      <c r="AC447" s="8" t="s">
        <v>348</v>
      </c>
      <c r="AD447" s="8" t="s">
        <v>2311</v>
      </c>
      <c r="AE447" s="8" t="s">
        <v>547</v>
      </c>
      <c r="AF447" s="8" t="s">
        <v>1561</v>
      </c>
      <c r="AG447" s="8" t="s">
        <v>145</v>
      </c>
      <c r="AH447" s="8" t="s">
        <v>55</v>
      </c>
      <c r="AI447" s="8" t="s">
        <v>65</v>
      </c>
      <c r="AJ447" s="8" t="s">
        <v>49</v>
      </c>
      <c r="AK447" s="8" t="s">
        <v>55</v>
      </c>
      <c r="AL447" s="8" t="s">
        <v>464</v>
      </c>
      <c r="AM447" s="8"/>
      <c r="AN447" s="9" t="s">
        <v>2319</v>
      </c>
      <c r="AO447" s="12" t="s">
        <v>224</v>
      </c>
      <c r="AP447" s="10" t="s">
        <v>2314</v>
      </c>
      <c r="AQ447" s="11"/>
      <c r="AR447" s="10" t="s">
        <v>2315</v>
      </c>
      <c r="AS447" s="12"/>
      <c r="AT447" s="10" t="s">
        <v>2316</v>
      </c>
      <c r="AU447" s="11"/>
      <c r="AV447" s="13"/>
    </row>
    <row r="448" ht="16.5" hidden="1" customHeight="1">
      <c r="A448" s="7" t="s">
        <v>2320</v>
      </c>
      <c r="B448" s="7" t="s">
        <v>49</v>
      </c>
      <c r="C448" s="7" t="s">
        <v>919</v>
      </c>
      <c r="D448" s="7" t="s">
        <v>920</v>
      </c>
      <c r="E448" s="7" t="s">
        <v>227</v>
      </c>
      <c r="F448" s="7">
        <v>6810.0</v>
      </c>
      <c r="G448" s="7"/>
      <c r="H448" s="7" t="s">
        <v>53</v>
      </c>
      <c r="I448" s="7"/>
      <c r="J448" s="7"/>
      <c r="K448" s="8" t="s">
        <v>55</v>
      </c>
      <c r="L448" s="8" t="s">
        <v>55</v>
      </c>
      <c r="M448" s="8"/>
      <c r="N448" s="8" t="s">
        <v>55</v>
      </c>
      <c r="O448" s="8" t="s">
        <v>55</v>
      </c>
      <c r="P448" s="8" t="s">
        <v>55</v>
      </c>
      <c r="Q448" s="8" t="s">
        <v>49</v>
      </c>
      <c r="R448" s="8" t="s">
        <v>49</v>
      </c>
      <c r="S448" s="8" t="s">
        <v>49</v>
      </c>
      <c r="T448" s="8" t="s">
        <v>49</v>
      </c>
      <c r="U448" s="8" t="s">
        <v>49</v>
      </c>
      <c r="V448" s="8" t="s">
        <v>49</v>
      </c>
      <c r="W448" s="8" t="s">
        <v>49</v>
      </c>
      <c r="X448" s="8" t="s">
        <v>55</v>
      </c>
      <c r="Y448" s="8" t="s">
        <v>55</v>
      </c>
      <c r="Z448" s="8" t="s">
        <v>49</v>
      </c>
      <c r="AA448" s="8" t="s">
        <v>55</v>
      </c>
      <c r="AB448" s="8" t="s">
        <v>55</v>
      </c>
      <c r="AC448" s="8" t="s">
        <v>55</v>
      </c>
      <c r="AD448" s="8" t="s">
        <v>2321</v>
      </c>
      <c r="AE448" s="8" t="s">
        <v>55</v>
      </c>
      <c r="AF448" s="8" t="s">
        <v>55</v>
      </c>
      <c r="AG448" s="8" t="s">
        <v>2151</v>
      </c>
      <c r="AH448" s="8" t="s">
        <v>55</v>
      </c>
      <c r="AI448" s="8" t="s">
        <v>1020</v>
      </c>
      <c r="AJ448" s="8" t="s">
        <v>49</v>
      </c>
      <c r="AK448" s="8" t="s">
        <v>49</v>
      </c>
      <c r="AL448" s="8" t="s">
        <v>720</v>
      </c>
      <c r="AM448" s="8" t="s">
        <v>928</v>
      </c>
      <c r="AN448" s="9" t="s">
        <v>2322</v>
      </c>
      <c r="AO448" s="9" t="s">
        <v>2323</v>
      </c>
      <c r="AP448" s="18" t="s">
        <v>931</v>
      </c>
      <c r="AQ448" s="11"/>
      <c r="AR448" s="11"/>
      <c r="AS448" s="12"/>
      <c r="AT448" s="11"/>
      <c r="AU448" s="11"/>
      <c r="AV448" s="13"/>
    </row>
    <row r="449" ht="16.5" hidden="1" customHeight="1">
      <c r="A449" s="7" t="s">
        <v>2324</v>
      </c>
      <c r="B449" s="7" t="s">
        <v>49</v>
      </c>
      <c r="C449" s="7" t="s">
        <v>919</v>
      </c>
      <c r="D449" s="7" t="s">
        <v>920</v>
      </c>
      <c r="E449" s="7" t="s">
        <v>227</v>
      </c>
      <c r="F449" s="7">
        <v>6810.0</v>
      </c>
      <c r="G449" s="7">
        <v>6810.0</v>
      </c>
      <c r="H449" s="7" t="s">
        <v>53</v>
      </c>
      <c r="I449" s="7"/>
      <c r="J449" s="7"/>
      <c r="K449" s="8" t="s">
        <v>55</v>
      </c>
      <c r="L449" s="8" t="s">
        <v>55</v>
      </c>
      <c r="M449" s="12" t="s">
        <v>55</v>
      </c>
      <c r="N449" s="8" t="s">
        <v>55</v>
      </c>
      <c r="O449" s="8" t="s">
        <v>55</v>
      </c>
      <c r="P449" s="8" t="s">
        <v>55</v>
      </c>
      <c r="Q449" s="8" t="s">
        <v>49</v>
      </c>
      <c r="R449" s="8" t="s">
        <v>49</v>
      </c>
      <c r="S449" s="8" t="s">
        <v>49</v>
      </c>
      <c r="T449" s="8" t="s">
        <v>49</v>
      </c>
      <c r="U449" s="8" t="s">
        <v>49</v>
      </c>
      <c r="V449" s="8" t="s">
        <v>49</v>
      </c>
      <c r="W449" s="8" t="s">
        <v>49</v>
      </c>
      <c r="X449" s="8" t="s">
        <v>55</v>
      </c>
      <c r="Y449" s="8" t="s">
        <v>55</v>
      </c>
      <c r="Z449" s="8" t="s">
        <v>55</v>
      </c>
      <c r="AA449" s="8" t="s">
        <v>55</v>
      </c>
      <c r="AB449" s="8" t="s">
        <v>55</v>
      </c>
      <c r="AC449" s="8" t="s">
        <v>55</v>
      </c>
      <c r="AD449" s="12" t="s">
        <v>2325</v>
      </c>
      <c r="AE449" s="8" t="s">
        <v>55</v>
      </c>
      <c r="AF449" s="8" t="s">
        <v>55</v>
      </c>
      <c r="AG449" s="8" t="s">
        <v>2151</v>
      </c>
      <c r="AH449" s="8" t="s">
        <v>55</v>
      </c>
      <c r="AI449" s="8" t="s">
        <v>1020</v>
      </c>
      <c r="AJ449" s="8" t="s">
        <v>49</v>
      </c>
      <c r="AK449" s="8" t="s">
        <v>55</v>
      </c>
      <c r="AL449" s="8" t="s">
        <v>720</v>
      </c>
      <c r="AM449" s="8" t="s">
        <v>928</v>
      </c>
      <c r="AN449" s="9" t="s">
        <v>2322</v>
      </c>
      <c r="AO449" s="9" t="s">
        <v>2323</v>
      </c>
      <c r="AP449" s="17" t="s">
        <v>924</v>
      </c>
      <c r="AQ449" s="11"/>
      <c r="AR449" s="11"/>
      <c r="AS449" s="12"/>
      <c r="AT449" s="11"/>
      <c r="AU449" s="11"/>
      <c r="AV449" s="15">
        <v>46315.0</v>
      </c>
    </row>
    <row r="450" ht="16.5" hidden="1" customHeight="1">
      <c r="A450" s="7" t="s">
        <v>2326</v>
      </c>
      <c r="B450" s="14" t="s">
        <v>49</v>
      </c>
      <c r="C450" s="14" t="s">
        <v>919</v>
      </c>
      <c r="D450" s="14" t="s">
        <v>920</v>
      </c>
      <c r="E450" s="7"/>
      <c r="F450" s="7">
        <v>6811.0</v>
      </c>
      <c r="G450" s="7">
        <v>6810.0</v>
      </c>
      <c r="H450" s="7" t="s">
        <v>53</v>
      </c>
      <c r="I450" s="7"/>
      <c r="J450" s="7"/>
      <c r="K450" s="8" t="s">
        <v>55</v>
      </c>
      <c r="L450" s="8" t="s">
        <v>55</v>
      </c>
      <c r="M450" s="12" t="s">
        <v>55</v>
      </c>
      <c r="N450" s="8" t="s">
        <v>55</v>
      </c>
      <c r="O450" s="8" t="s">
        <v>55</v>
      </c>
      <c r="P450" s="8" t="s">
        <v>55</v>
      </c>
      <c r="Q450" s="8" t="s">
        <v>49</v>
      </c>
      <c r="R450" s="8" t="s">
        <v>49</v>
      </c>
      <c r="S450" s="8" t="s">
        <v>49</v>
      </c>
      <c r="T450" s="8" t="s">
        <v>49</v>
      </c>
      <c r="U450" s="8" t="s">
        <v>49</v>
      </c>
      <c r="V450" s="8" t="s">
        <v>49</v>
      </c>
      <c r="W450" s="8" t="s">
        <v>49</v>
      </c>
      <c r="X450" s="8" t="s">
        <v>55</v>
      </c>
      <c r="Y450" s="8" t="s">
        <v>55</v>
      </c>
      <c r="Z450" s="8" t="s">
        <v>55</v>
      </c>
      <c r="AA450" s="8" t="s">
        <v>55</v>
      </c>
      <c r="AB450" s="8" t="s">
        <v>55</v>
      </c>
      <c r="AC450" s="8" t="s">
        <v>55</v>
      </c>
      <c r="AD450" s="12" t="s">
        <v>2325</v>
      </c>
      <c r="AE450" s="8" t="s">
        <v>55</v>
      </c>
      <c r="AF450" s="8" t="s">
        <v>55</v>
      </c>
      <c r="AG450" s="8" t="s">
        <v>2151</v>
      </c>
      <c r="AH450" s="8" t="s">
        <v>55</v>
      </c>
      <c r="AI450" s="8" t="s">
        <v>1029</v>
      </c>
      <c r="AJ450" s="8" t="s">
        <v>49</v>
      </c>
      <c r="AK450" s="8" t="s">
        <v>55</v>
      </c>
      <c r="AL450" s="8" t="s">
        <v>720</v>
      </c>
      <c r="AM450" s="8" t="s">
        <v>928</v>
      </c>
      <c r="AN450" s="9" t="s">
        <v>2327</v>
      </c>
      <c r="AO450" s="9" t="s">
        <v>2328</v>
      </c>
      <c r="AP450" s="17" t="s">
        <v>924</v>
      </c>
      <c r="AQ450" s="11"/>
      <c r="AR450" s="11"/>
      <c r="AS450" s="12"/>
      <c r="AT450" s="11"/>
      <c r="AU450" s="11"/>
      <c r="AV450" s="13"/>
    </row>
    <row r="451" ht="16.5" hidden="1" customHeight="1">
      <c r="A451" s="7" t="s">
        <v>2329</v>
      </c>
      <c r="B451" s="7"/>
      <c r="C451" s="7" t="s">
        <v>1238</v>
      </c>
      <c r="D451" s="7" t="s">
        <v>1239</v>
      </c>
      <c r="E451" s="7" t="s">
        <v>227</v>
      </c>
      <c r="F451" s="7">
        <v>6812.0</v>
      </c>
      <c r="G451" s="7"/>
      <c r="H451" s="7" t="s">
        <v>215</v>
      </c>
      <c r="I451" s="7"/>
      <c r="J451" s="7"/>
      <c r="K451" s="8" t="s">
        <v>55</v>
      </c>
      <c r="L451" s="8" t="s">
        <v>55</v>
      </c>
      <c r="M451" s="12" t="s">
        <v>55</v>
      </c>
      <c r="N451" s="8" t="s">
        <v>55</v>
      </c>
      <c r="O451" s="8" t="s">
        <v>55</v>
      </c>
      <c r="P451" s="8" t="s">
        <v>55</v>
      </c>
      <c r="Q451" s="8" t="s">
        <v>49</v>
      </c>
      <c r="R451" s="8" t="s">
        <v>49</v>
      </c>
      <c r="S451" s="8" t="s">
        <v>49</v>
      </c>
      <c r="T451" s="8" t="s">
        <v>49</v>
      </c>
      <c r="U451" s="8" t="s">
        <v>49</v>
      </c>
      <c r="V451" s="8" t="s">
        <v>49</v>
      </c>
      <c r="W451" s="8" t="s">
        <v>49</v>
      </c>
      <c r="X451" s="8" t="s">
        <v>55</v>
      </c>
      <c r="Y451" s="8" t="s">
        <v>55</v>
      </c>
      <c r="Z451" s="8" t="s">
        <v>55</v>
      </c>
      <c r="AA451" s="8" t="s">
        <v>55</v>
      </c>
      <c r="AB451" s="8" t="s">
        <v>55</v>
      </c>
      <c r="AC451" s="8" t="s">
        <v>61</v>
      </c>
      <c r="AD451" s="12" t="s">
        <v>2330</v>
      </c>
      <c r="AE451" s="8" t="s">
        <v>55</v>
      </c>
      <c r="AF451" s="8" t="s">
        <v>55</v>
      </c>
      <c r="AG451" s="8" t="s">
        <v>63</v>
      </c>
      <c r="AH451" s="8" t="s">
        <v>145</v>
      </c>
      <c r="AI451" s="8" t="s">
        <v>369</v>
      </c>
      <c r="AJ451" s="8" t="s">
        <v>49</v>
      </c>
      <c r="AK451" s="8" t="s">
        <v>55</v>
      </c>
      <c r="AL451" s="8" t="s">
        <v>720</v>
      </c>
      <c r="AM451" s="8" t="s">
        <v>2331</v>
      </c>
      <c r="AN451" s="9" t="s">
        <v>2332</v>
      </c>
      <c r="AO451" s="12" t="s">
        <v>224</v>
      </c>
      <c r="AP451" s="10" t="s">
        <v>2333</v>
      </c>
      <c r="AQ451" s="11"/>
      <c r="AR451" s="11"/>
      <c r="AS451" s="12"/>
      <c r="AT451" s="11"/>
      <c r="AU451" s="11"/>
      <c r="AV451" s="13"/>
    </row>
    <row r="452" ht="16.5" hidden="1" customHeight="1">
      <c r="A452" s="7" t="s">
        <v>2334</v>
      </c>
      <c r="B452" s="7" t="s">
        <v>1826</v>
      </c>
      <c r="C452" s="14" t="s">
        <v>332</v>
      </c>
      <c r="D452" s="14" t="s">
        <v>1595</v>
      </c>
      <c r="E452" s="7"/>
      <c r="F452" s="7">
        <v>6813.0</v>
      </c>
      <c r="G452" s="7">
        <v>6742.0</v>
      </c>
      <c r="H452" s="7" t="s">
        <v>53</v>
      </c>
      <c r="I452" s="7"/>
      <c r="J452" s="7"/>
      <c r="K452" s="8" t="s">
        <v>84</v>
      </c>
      <c r="L452" s="8" t="s">
        <v>126</v>
      </c>
      <c r="M452" s="8"/>
      <c r="N452" s="8" t="s">
        <v>85</v>
      </c>
      <c r="O452" s="8" t="s">
        <v>56</v>
      </c>
      <c r="P452" s="8" t="s">
        <v>57</v>
      </c>
      <c r="Q452" s="8" t="s">
        <v>1865</v>
      </c>
      <c r="R452" s="20">
        <v>0.51</v>
      </c>
      <c r="S452" s="8" t="s">
        <v>49</v>
      </c>
      <c r="T452" s="8" t="s">
        <v>49</v>
      </c>
      <c r="U452" s="8" t="s">
        <v>1866</v>
      </c>
      <c r="V452" s="8" t="s">
        <v>1796</v>
      </c>
      <c r="W452" s="8" t="s">
        <v>89</v>
      </c>
      <c r="X452" s="8" t="s">
        <v>108</v>
      </c>
      <c r="Y452" s="8" t="s">
        <v>1830</v>
      </c>
      <c r="Z452" s="8" t="s">
        <v>1852</v>
      </c>
      <c r="AA452" s="8" t="s">
        <v>59</v>
      </c>
      <c r="AB452" s="8" t="s">
        <v>60</v>
      </c>
      <c r="AC452" s="8" t="s">
        <v>1599</v>
      </c>
      <c r="AD452" s="8" t="s">
        <v>1867</v>
      </c>
      <c r="AE452" s="8" t="s">
        <v>55</v>
      </c>
      <c r="AF452" s="8" t="s">
        <v>55</v>
      </c>
      <c r="AG452" s="8" t="s">
        <v>63</v>
      </c>
      <c r="AH452" s="8" t="s">
        <v>1833</v>
      </c>
      <c r="AI452" s="8" t="s">
        <v>94</v>
      </c>
      <c r="AJ452" s="8" t="s">
        <v>49</v>
      </c>
      <c r="AK452" s="8" t="s">
        <v>95</v>
      </c>
      <c r="AL452" s="8" t="s">
        <v>66</v>
      </c>
      <c r="AM452" s="8" t="s">
        <v>1834</v>
      </c>
      <c r="AN452" s="9" t="s">
        <v>1868</v>
      </c>
      <c r="AO452" s="9" t="s">
        <v>1869</v>
      </c>
      <c r="AP452" s="10" t="s">
        <v>1837</v>
      </c>
      <c r="AQ452" s="10" t="s">
        <v>1870</v>
      </c>
      <c r="AR452" s="10" t="s">
        <v>1871</v>
      </c>
      <c r="AS452" s="12"/>
      <c r="AT452" s="10" t="s">
        <v>1872</v>
      </c>
      <c r="AU452" s="10" t="s">
        <v>1873</v>
      </c>
      <c r="AV452" s="13"/>
    </row>
    <row r="453" ht="16.5" hidden="1" customHeight="1">
      <c r="A453" s="7" t="s">
        <v>2335</v>
      </c>
      <c r="B453" s="7" t="s">
        <v>1826</v>
      </c>
      <c r="C453" s="14" t="s">
        <v>332</v>
      </c>
      <c r="D453" s="14" t="s">
        <v>1595</v>
      </c>
      <c r="E453" s="7"/>
      <c r="F453" s="7">
        <v>6814.0</v>
      </c>
      <c r="G453" s="7">
        <v>6742.0</v>
      </c>
      <c r="H453" s="7" t="s">
        <v>53</v>
      </c>
      <c r="I453" s="7"/>
      <c r="J453" s="7"/>
      <c r="K453" s="8" t="s">
        <v>84</v>
      </c>
      <c r="L453" s="8" t="s">
        <v>126</v>
      </c>
      <c r="M453" s="12" t="s">
        <v>55</v>
      </c>
      <c r="N453" s="8" t="s">
        <v>85</v>
      </c>
      <c r="O453" s="8" t="s">
        <v>1845</v>
      </c>
      <c r="P453" s="8" t="s">
        <v>55</v>
      </c>
      <c r="Q453" s="8" t="s">
        <v>1865</v>
      </c>
      <c r="R453" s="20" t="s">
        <v>55</v>
      </c>
      <c r="S453" s="8" t="s">
        <v>49</v>
      </c>
      <c r="T453" s="8" t="s">
        <v>49</v>
      </c>
      <c r="U453" s="8" t="s">
        <v>1866</v>
      </c>
      <c r="V453" s="8" t="s">
        <v>1796</v>
      </c>
      <c r="W453" s="8" t="s">
        <v>1536</v>
      </c>
      <c r="X453" s="8" t="s">
        <v>108</v>
      </c>
      <c r="Y453" s="8" t="s">
        <v>1830</v>
      </c>
      <c r="Z453" s="8" t="s">
        <v>1852</v>
      </c>
      <c r="AA453" s="8" t="s">
        <v>59</v>
      </c>
      <c r="AB453" s="8" t="s">
        <v>1846</v>
      </c>
      <c r="AC453" s="8" t="s">
        <v>1599</v>
      </c>
      <c r="AD453" s="8" t="s">
        <v>1867</v>
      </c>
      <c r="AE453" s="8" t="s">
        <v>55</v>
      </c>
      <c r="AF453" s="8" t="s">
        <v>55</v>
      </c>
      <c r="AG453" s="8" t="s">
        <v>63</v>
      </c>
      <c r="AH453" s="8" t="s">
        <v>1833</v>
      </c>
      <c r="AI453" s="8" t="s">
        <v>94</v>
      </c>
      <c r="AJ453" s="8" t="s">
        <v>49</v>
      </c>
      <c r="AK453" s="8" t="s">
        <v>95</v>
      </c>
      <c r="AL453" s="8" t="s">
        <v>66</v>
      </c>
      <c r="AM453" s="8" t="s">
        <v>1834</v>
      </c>
      <c r="AN453" s="9" t="s">
        <v>1868</v>
      </c>
      <c r="AO453" s="9" t="s">
        <v>1869</v>
      </c>
      <c r="AP453" s="10" t="s">
        <v>1837</v>
      </c>
      <c r="AQ453" s="10" t="s">
        <v>1870</v>
      </c>
      <c r="AR453" s="10" t="s">
        <v>2336</v>
      </c>
      <c r="AS453" s="12"/>
      <c r="AT453" s="10" t="s">
        <v>1872</v>
      </c>
      <c r="AU453" s="10" t="s">
        <v>1873</v>
      </c>
      <c r="AV453" s="15">
        <v>46315.0</v>
      </c>
    </row>
    <row r="454" ht="16.5" hidden="1" customHeight="1">
      <c r="A454" s="7" t="s">
        <v>2337</v>
      </c>
      <c r="B454" s="7" t="s">
        <v>1826</v>
      </c>
      <c r="C454" s="14" t="s">
        <v>332</v>
      </c>
      <c r="D454" s="14" t="s">
        <v>1595</v>
      </c>
      <c r="E454" s="7"/>
      <c r="F454" s="7">
        <v>6815.0</v>
      </c>
      <c r="G454" s="7">
        <v>6742.0</v>
      </c>
      <c r="H454" s="7" t="s">
        <v>53</v>
      </c>
      <c r="I454" s="7"/>
      <c r="J454" s="7"/>
      <c r="K454" s="8" t="s">
        <v>84</v>
      </c>
      <c r="L454" s="8" t="s">
        <v>126</v>
      </c>
      <c r="M454" s="12" t="s">
        <v>55</v>
      </c>
      <c r="N454" s="8" t="s">
        <v>85</v>
      </c>
      <c r="O454" s="8" t="s">
        <v>1845</v>
      </c>
      <c r="P454" s="8" t="s">
        <v>55</v>
      </c>
      <c r="Q454" s="8" t="s">
        <v>1865</v>
      </c>
      <c r="R454" s="20" t="s">
        <v>55</v>
      </c>
      <c r="S454" s="8" t="s">
        <v>49</v>
      </c>
      <c r="T454" s="8" t="s">
        <v>49</v>
      </c>
      <c r="U454" s="8" t="s">
        <v>1866</v>
      </c>
      <c r="V454" s="8" t="s">
        <v>1796</v>
      </c>
      <c r="W454" s="8" t="s">
        <v>89</v>
      </c>
      <c r="X454" s="8" t="s">
        <v>108</v>
      </c>
      <c r="Y454" s="8" t="s">
        <v>1830</v>
      </c>
      <c r="Z454" s="8" t="s">
        <v>1852</v>
      </c>
      <c r="AA454" s="8" t="s">
        <v>59</v>
      </c>
      <c r="AB454" s="8" t="s">
        <v>1846</v>
      </c>
      <c r="AC454" s="8" t="s">
        <v>1599</v>
      </c>
      <c r="AD454" s="8" t="s">
        <v>1867</v>
      </c>
      <c r="AE454" s="8" t="s">
        <v>55</v>
      </c>
      <c r="AF454" s="8" t="s">
        <v>55</v>
      </c>
      <c r="AG454" s="8" t="s">
        <v>63</v>
      </c>
      <c r="AH454" s="8" t="s">
        <v>1833</v>
      </c>
      <c r="AI454" s="8" t="s">
        <v>94</v>
      </c>
      <c r="AJ454" s="8" t="s">
        <v>49</v>
      </c>
      <c r="AK454" s="8" t="s">
        <v>95</v>
      </c>
      <c r="AL454" s="8" t="s">
        <v>66</v>
      </c>
      <c r="AM454" s="8" t="s">
        <v>1834</v>
      </c>
      <c r="AN454" s="9" t="s">
        <v>1868</v>
      </c>
      <c r="AO454" s="9" t="s">
        <v>1869</v>
      </c>
      <c r="AP454" s="10" t="s">
        <v>1837</v>
      </c>
      <c r="AQ454" s="10" t="s">
        <v>1870</v>
      </c>
      <c r="AR454" s="10" t="s">
        <v>2336</v>
      </c>
      <c r="AS454" s="12"/>
      <c r="AT454" s="10" t="s">
        <v>1872</v>
      </c>
      <c r="AU454" s="10" t="s">
        <v>1873</v>
      </c>
      <c r="AV454" s="13"/>
    </row>
    <row r="455" ht="16.5" hidden="1" customHeight="1">
      <c r="A455" s="7" t="s">
        <v>2338</v>
      </c>
      <c r="B455" s="7" t="s">
        <v>49</v>
      </c>
      <c r="C455" s="7" t="s">
        <v>50</v>
      </c>
      <c r="D455" s="7" t="s">
        <v>51</v>
      </c>
      <c r="E455" s="7" t="s">
        <v>52</v>
      </c>
      <c r="F455" s="7">
        <v>6816.0</v>
      </c>
      <c r="G455" s="7"/>
      <c r="H455" s="7" t="s">
        <v>53</v>
      </c>
      <c r="I455" s="7"/>
      <c r="J455" s="7"/>
      <c r="K455" s="8" t="s">
        <v>84</v>
      </c>
      <c r="L455" s="8" t="s">
        <v>126</v>
      </c>
      <c r="M455" s="8"/>
      <c r="N455" s="8" t="s">
        <v>85</v>
      </c>
      <c r="O455" s="8" t="s">
        <v>56</v>
      </c>
      <c r="P455" s="8" t="s">
        <v>57</v>
      </c>
      <c r="Q455" s="8" t="s">
        <v>1887</v>
      </c>
      <c r="R455" s="8">
        <v>0.45</v>
      </c>
      <c r="S455" s="8" t="s">
        <v>49</v>
      </c>
      <c r="T455" s="8" t="s">
        <v>49</v>
      </c>
      <c r="U455" s="8" t="s">
        <v>2339</v>
      </c>
      <c r="V455" s="8" t="s">
        <v>107</v>
      </c>
      <c r="W455" s="8" t="s">
        <v>89</v>
      </c>
      <c r="X455" s="8" t="s">
        <v>108</v>
      </c>
      <c r="Y455" s="8" t="s">
        <v>2065</v>
      </c>
      <c r="Z455" s="8" t="s">
        <v>1852</v>
      </c>
      <c r="AA455" s="8" t="s">
        <v>59</v>
      </c>
      <c r="AB455" s="8" t="s">
        <v>60</v>
      </c>
      <c r="AC455" s="8" t="s">
        <v>61</v>
      </c>
      <c r="AD455" s="8" t="s">
        <v>2340</v>
      </c>
      <c r="AE455" s="8" t="s">
        <v>55</v>
      </c>
      <c r="AF455" s="8" t="s">
        <v>55</v>
      </c>
      <c r="AG455" s="8" t="s">
        <v>63</v>
      </c>
      <c r="AH455" s="8" t="s">
        <v>111</v>
      </c>
      <c r="AI455" s="8" t="s">
        <v>94</v>
      </c>
      <c r="AJ455" s="8" t="s">
        <v>49</v>
      </c>
      <c r="AK455" s="8" t="s">
        <v>95</v>
      </c>
      <c r="AL455" s="8" t="s">
        <v>66</v>
      </c>
      <c r="AM455" s="8" t="s">
        <v>2341</v>
      </c>
      <c r="AN455" s="16" t="s">
        <v>2342</v>
      </c>
      <c r="AO455" s="9" t="s">
        <v>2343</v>
      </c>
      <c r="AP455" s="10" t="s">
        <v>2344</v>
      </c>
      <c r="AQ455" s="10" t="s">
        <v>2345</v>
      </c>
      <c r="AR455" s="10" t="s">
        <v>2346</v>
      </c>
      <c r="AS455" s="12"/>
      <c r="AT455" s="10" t="s">
        <v>2347</v>
      </c>
      <c r="AU455" s="10" t="s">
        <v>2348</v>
      </c>
      <c r="AV455" s="13"/>
    </row>
    <row r="456" ht="16.5" hidden="1" customHeight="1">
      <c r="A456" s="7" t="s">
        <v>2349</v>
      </c>
      <c r="B456" s="14" t="s">
        <v>49</v>
      </c>
      <c r="C456" s="14" t="s">
        <v>332</v>
      </c>
      <c r="D456" s="14" t="s">
        <v>51</v>
      </c>
      <c r="E456" s="7"/>
      <c r="F456" s="7">
        <v>6817.0</v>
      </c>
      <c r="G456" s="7">
        <v>6757.0</v>
      </c>
      <c r="H456" s="7" t="s">
        <v>53</v>
      </c>
      <c r="I456" s="7"/>
      <c r="J456" s="7"/>
      <c r="K456" s="8" t="s">
        <v>84</v>
      </c>
      <c r="L456" s="8" t="s">
        <v>126</v>
      </c>
      <c r="M456" s="12" t="s">
        <v>55</v>
      </c>
      <c r="N456" s="8" t="s">
        <v>85</v>
      </c>
      <c r="O456" s="8" t="s">
        <v>1845</v>
      </c>
      <c r="P456" s="8" t="s">
        <v>55</v>
      </c>
      <c r="Q456" s="8" t="s">
        <v>86</v>
      </c>
      <c r="R456" s="8" t="s">
        <v>49</v>
      </c>
      <c r="S456" s="8" t="s">
        <v>49</v>
      </c>
      <c r="T456" s="8" t="s">
        <v>49</v>
      </c>
      <c r="U456" s="8" t="s">
        <v>321</v>
      </c>
      <c r="V456" s="8" t="s">
        <v>1700</v>
      </c>
      <c r="W456" s="8" t="s">
        <v>89</v>
      </c>
      <c r="X456" s="8" t="s">
        <v>108</v>
      </c>
      <c r="Y456" s="8" t="s">
        <v>1924</v>
      </c>
      <c r="Z456" s="8" t="s">
        <v>1852</v>
      </c>
      <c r="AA456" s="8" t="s">
        <v>59</v>
      </c>
      <c r="AB456" s="8" t="s">
        <v>1846</v>
      </c>
      <c r="AC456" s="8" t="s">
        <v>1303</v>
      </c>
      <c r="AD456" s="8" t="s">
        <v>1925</v>
      </c>
      <c r="AE456" s="8" t="s">
        <v>55</v>
      </c>
      <c r="AF456" s="8" t="s">
        <v>55</v>
      </c>
      <c r="AG456" s="8" t="s">
        <v>63</v>
      </c>
      <c r="AH456" s="8" t="s">
        <v>64</v>
      </c>
      <c r="AI456" s="8" t="s">
        <v>94</v>
      </c>
      <c r="AJ456" s="8" t="s">
        <v>49</v>
      </c>
      <c r="AK456" s="8" t="s">
        <v>95</v>
      </c>
      <c r="AL456" s="8" t="s">
        <v>66</v>
      </c>
      <c r="AM456" s="8" t="s">
        <v>2350</v>
      </c>
      <c r="AN456" s="9" t="s">
        <v>1927</v>
      </c>
      <c r="AO456" s="9" t="s">
        <v>1928</v>
      </c>
      <c r="AP456" s="10" t="s">
        <v>1929</v>
      </c>
      <c r="AQ456" s="10" t="s">
        <v>1930</v>
      </c>
      <c r="AR456" s="10" t="s">
        <v>2351</v>
      </c>
      <c r="AS456" s="12"/>
      <c r="AT456" s="10" t="s">
        <v>1932</v>
      </c>
      <c r="AU456" s="10" t="s">
        <v>1933</v>
      </c>
      <c r="AV456" s="15">
        <v>46315.0</v>
      </c>
    </row>
    <row r="457" ht="16.5" hidden="1" customHeight="1">
      <c r="A457" s="7" t="s">
        <v>2352</v>
      </c>
      <c r="B457" s="14" t="s">
        <v>49</v>
      </c>
      <c r="C457" s="14" t="s">
        <v>332</v>
      </c>
      <c r="D457" s="14" t="s">
        <v>344</v>
      </c>
      <c r="E457" s="7"/>
      <c r="F457" s="7">
        <v>6818.0</v>
      </c>
      <c r="G457" s="7">
        <v>6758.0</v>
      </c>
      <c r="H457" s="7" t="s">
        <v>53</v>
      </c>
      <c r="I457" s="7"/>
      <c r="J457" s="7"/>
      <c r="K457" s="8" t="s">
        <v>84</v>
      </c>
      <c r="L457" s="8" t="s">
        <v>126</v>
      </c>
      <c r="M457" s="12" t="s">
        <v>55</v>
      </c>
      <c r="N457" s="8" t="s">
        <v>85</v>
      </c>
      <c r="O457" s="8" t="s">
        <v>1845</v>
      </c>
      <c r="P457" s="8" t="s">
        <v>55</v>
      </c>
      <c r="Q457" s="8" t="s">
        <v>86</v>
      </c>
      <c r="R457" s="8" t="s">
        <v>49</v>
      </c>
      <c r="S457" s="8" t="s">
        <v>49</v>
      </c>
      <c r="T457" s="8" t="s">
        <v>49</v>
      </c>
      <c r="U457" s="8" t="s">
        <v>1937</v>
      </c>
      <c r="V457" s="8" t="s">
        <v>1632</v>
      </c>
      <c r="W457" s="8" t="s">
        <v>89</v>
      </c>
      <c r="X457" s="8" t="s">
        <v>108</v>
      </c>
      <c r="Y457" s="8" t="s">
        <v>1938</v>
      </c>
      <c r="Z457" s="8" t="s">
        <v>1831</v>
      </c>
      <c r="AA457" s="8" t="s">
        <v>59</v>
      </c>
      <c r="AB457" s="8" t="s">
        <v>1846</v>
      </c>
      <c r="AC457" s="8" t="s">
        <v>348</v>
      </c>
      <c r="AD457" s="8" t="s">
        <v>1939</v>
      </c>
      <c r="AE457" s="8" t="s">
        <v>1940</v>
      </c>
      <c r="AF457" s="8" t="s">
        <v>1941</v>
      </c>
      <c r="AG457" s="8" t="s">
        <v>63</v>
      </c>
      <c r="AH457" s="8" t="s">
        <v>111</v>
      </c>
      <c r="AI457" s="8" t="s">
        <v>94</v>
      </c>
      <c r="AJ457" s="8" t="s">
        <v>49</v>
      </c>
      <c r="AK457" s="8" t="s">
        <v>95</v>
      </c>
      <c r="AL457" s="8" t="s">
        <v>66</v>
      </c>
      <c r="AM457" s="8" t="s">
        <v>2353</v>
      </c>
      <c r="AN457" s="9" t="s">
        <v>1942</v>
      </c>
      <c r="AO457" s="9" t="s">
        <v>1943</v>
      </c>
      <c r="AP457" s="10" t="s">
        <v>1944</v>
      </c>
      <c r="AQ457" s="10" t="s">
        <v>1945</v>
      </c>
      <c r="AR457" s="10" t="s">
        <v>2354</v>
      </c>
      <c r="AS457" s="12"/>
      <c r="AT457" s="10" t="s">
        <v>1947</v>
      </c>
      <c r="AU457" s="10" t="s">
        <v>1948</v>
      </c>
      <c r="AV457" s="13"/>
    </row>
    <row r="458" ht="16.5" hidden="1" customHeight="1">
      <c r="A458" s="7" t="s">
        <v>2355</v>
      </c>
      <c r="B458" s="14" t="s">
        <v>49</v>
      </c>
      <c r="C458" s="14" t="s">
        <v>332</v>
      </c>
      <c r="D458" s="14" t="s">
        <v>344</v>
      </c>
      <c r="E458" s="7"/>
      <c r="F458" s="7">
        <v>6819.0</v>
      </c>
      <c r="G458" s="7">
        <v>6759.0</v>
      </c>
      <c r="H458" s="7" t="s">
        <v>53</v>
      </c>
      <c r="I458" s="7"/>
      <c r="J458" s="7"/>
      <c r="K458" s="8" t="s">
        <v>84</v>
      </c>
      <c r="L458" s="8" t="s">
        <v>126</v>
      </c>
      <c r="M458" s="12" t="s">
        <v>55</v>
      </c>
      <c r="N458" s="8" t="s">
        <v>85</v>
      </c>
      <c r="O458" s="8" t="s">
        <v>1845</v>
      </c>
      <c r="P458" s="8" t="s">
        <v>55</v>
      </c>
      <c r="Q458" s="8" t="s">
        <v>86</v>
      </c>
      <c r="R458" s="8" t="s">
        <v>49</v>
      </c>
      <c r="S458" s="8" t="s">
        <v>49</v>
      </c>
      <c r="T458" s="8" t="s">
        <v>49</v>
      </c>
      <c r="U458" s="8" t="s">
        <v>1951</v>
      </c>
      <c r="V458" s="8" t="s">
        <v>1338</v>
      </c>
      <c r="W458" s="8" t="s">
        <v>89</v>
      </c>
      <c r="X458" s="8" t="s">
        <v>108</v>
      </c>
      <c r="Y458" s="8" t="s">
        <v>1952</v>
      </c>
      <c r="Z458" s="8" t="s">
        <v>1831</v>
      </c>
      <c r="AA458" s="8" t="s">
        <v>59</v>
      </c>
      <c r="AB458" s="8" t="s">
        <v>1846</v>
      </c>
      <c r="AC458" s="8" t="s">
        <v>348</v>
      </c>
      <c r="AD458" s="8" t="s">
        <v>1953</v>
      </c>
      <c r="AE458" s="8" t="s">
        <v>1954</v>
      </c>
      <c r="AF458" s="8" t="s">
        <v>1955</v>
      </c>
      <c r="AG458" s="8" t="s">
        <v>63</v>
      </c>
      <c r="AH458" s="8" t="s">
        <v>64</v>
      </c>
      <c r="AI458" s="8" t="s">
        <v>94</v>
      </c>
      <c r="AJ458" s="8" t="s">
        <v>49</v>
      </c>
      <c r="AK458" s="8" t="s">
        <v>95</v>
      </c>
      <c r="AL458" s="8" t="s">
        <v>66</v>
      </c>
      <c r="AM458" s="8" t="s">
        <v>2353</v>
      </c>
      <c r="AN458" s="9" t="s">
        <v>1956</v>
      </c>
      <c r="AO458" s="9" t="s">
        <v>1957</v>
      </c>
      <c r="AP458" s="10" t="s">
        <v>1958</v>
      </c>
      <c r="AQ458" s="10" t="s">
        <v>1959</v>
      </c>
      <c r="AR458" s="10" t="s">
        <v>2356</v>
      </c>
      <c r="AS458" s="17"/>
      <c r="AT458" s="10" t="s">
        <v>1961</v>
      </c>
      <c r="AU458" s="10" t="s">
        <v>1962</v>
      </c>
      <c r="AV458" s="15">
        <v>46315.0</v>
      </c>
    </row>
    <row r="459" ht="16.5" hidden="1" customHeight="1">
      <c r="A459" s="7" t="s">
        <v>2357</v>
      </c>
      <c r="B459" s="14" t="s">
        <v>49</v>
      </c>
      <c r="C459" s="14" t="s">
        <v>332</v>
      </c>
      <c r="D459" s="14" t="s">
        <v>344</v>
      </c>
      <c r="E459" s="7"/>
      <c r="F459" s="7">
        <v>6820.0</v>
      </c>
      <c r="G459" s="7">
        <v>6760.0</v>
      </c>
      <c r="H459" s="7" t="s">
        <v>53</v>
      </c>
      <c r="I459" s="7"/>
      <c r="J459" s="7"/>
      <c r="K459" s="8" t="s">
        <v>84</v>
      </c>
      <c r="L459" s="8" t="s">
        <v>126</v>
      </c>
      <c r="M459" s="12" t="s">
        <v>55</v>
      </c>
      <c r="N459" s="8" t="s">
        <v>85</v>
      </c>
      <c r="O459" s="8" t="s">
        <v>1845</v>
      </c>
      <c r="P459" s="8" t="s">
        <v>55</v>
      </c>
      <c r="Q459" s="8" t="s">
        <v>86</v>
      </c>
      <c r="R459" s="8" t="s">
        <v>49</v>
      </c>
      <c r="S459" s="8" t="s">
        <v>49</v>
      </c>
      <c r="T459" s="8" t="s">
        <v>49</v>
      </c>
      <c r="U459" s="8" t="s">
        <v>1965</v>
      </c>
      <c r="V459" s="8" t="s">
        <v>1966</v>
      </c>
      <c r="W459" s="8" t="s">
        <v>89</v>
      </c>
      <c r="X459" s="8" t="s">
        <v>108</v>
      </c>
      <c r="Y459" s="8" t="s">
        <v>1967</v>
      </c>
      <c r="Z459" s="8" t="s">
        <v>1831</v>
      </c>
      <c r="AA459" s="8" t="s">
        <v>59</v>
      </c>
      <c r="AB459" s="8" t="s">
        <v>1846</v>
      </c>
      <c r="AC459" s="8" t="s">
        <v>348</v>
      </c>
      <c r="AD459" s="8" t="s">
        <v>1953</v>
      </c>
      <c r="AE459" s="8" t="s">
        <v>1954</v>
      </c>
      <c r="AF459" s="8" t="s">
        <v>1955</v>
      </c>
      <c r="AG459" s="8" t="s">
        <v>63</v>
      </c>
      <c r="AH459" s="8" t="s">
        <v>64</v>
      </c>
      <c r="AI459" s="8" t="s">
        <v>94</v>
      </c>
      <c r="AJ459" s="8" t="s">
        <v>49</v>
      </c>
      <c r="AK459" s="8" t="s">
        <v>95</v>
      </c>
      <c r="AL459" s="8" t="s">
        <v>66</v>
      </c>
      <c r="AM459" s="8" t="s">
        <v>2353</v>
      </c>
      <c r="AN459" s="9" t="s">
        <v>1968</v>
      </c>
      <c r="AO459" s="9" t="s">
        <v>1969</v>
      </c>
      <c r="AP459" s="10" t="s">
        <v>1958</v>
      </c>
      <c r="AQ459" s="10" t="s">
        <v>1970</v>
      </c>
      <c r="AR459" s="10" t="s">
        <v>2358</v>
      </c>
      <c r="AS459" s="12"/>
      <c r="AT459" s="10" t="s">
        <v>1972</v>
      </c>
      <c r="AU459" s="10" t="s">
        <v>1973</v>
      </c>
      <c r="AV459" s="13"/>
    </row>
    <row r="460" ht="16.5" hidden="1" customHeight="1">
      <c r="A460" s="7" t="s">
        <v>2359</v>
      </c>
      <c r="B460" s="7" t="s">
        <v>1826</v>
      </c>
      <c r="C460" s="14" t="s">
        <v>332</v>
      </c>
      <c r="D460" s="7" t="s">
        <v>920</v>
      </c>
      <c r="E460" s="7" t="s">
        <v>52</v>
      </c>
      <c r="F460" s="7">
        <v>6821.0</v>
      </c>
      <c r="G460" s="7"/>
      <c r="H460" s="7" t="s">
        <v>53</v>
      </c>
      <c r="I460" s="7"/>
      <c r="J460" s="7"/>
      <c r="K460" s="8" t="s">
        <v>55</v>
      </c>
      <c r="L460" s="8" t="s">
        <v>55</v>
      </c>
      <c r="M460" s="12" t="s">
        <v>55</v>
      </c>
      <c r="N460" s="8" t="s">
        <v>55</v>
      </c>
      <c r="O460" s="8" t="s">
        <v>55</v>
      </c>
      <c r="P460" s="8" t="s">
        <v>55</v>
      </c>
      <c r="Q460" s="8" t="s">
        <v>55</v>
      </c>
      <c r="R460" s="20" t="s">
        <v>55</v>
      </c>
      <c r="S460" s="8" t="s">
        <v>55</v>
      </c>
      <c r="T460" s="8" t="s">
        <v>55</v>
      </c>
      <c r="U460" s="8" t="s">
        <v>55</v>
      </c>
      <c r="V460" s="8" t="s">
        <v>55</v>
      </c>
      <c r="W460" s="8" t="s">
        <v>49</v>
      </c>
      <c r="X460" s="8" t="s">
        <v>55</v>
      </c>
      <c r="Y460" s="8" t="s">
        <v>55</v>
      </c>
      <c r="Z460" s="8" t="s">
        <v>55</v>
      </c>
      <c r="AA460" s="8" t="s">
        <v>55</v>
      </c>
      <c r="AB460" s="8" t="s">
        <v>55</v>
      </c>
      <c r="AC460" s="8" t="s">
        <v>55</v>
      </c>
      <c r="AD460" s="8" t="s">
        <v>2360</v>
      </c>
      <c r="AE460" s="8" t="s">
        <v>55</v>
      </c>
      <c r="AF460" s="8" t="s">
        <v>55</v>
      </c>
      <c r="AG460" s="8" t="s">
        <v>2361</v>
      </c>
      <c r="AH460" s="8" t="s">
        <v>55</v>
      </c>
      <c r="AI460" s="8" t="s">
        <v>65</v>
      </c>
      <c r="AJ460" s="8" t="s">
        <v>49</v>
      </c>
      <c r="AK460" s="8" t="s">
        <v>55</v>
      </c>
      <c r="AL460" s="8" t="s">
        <v>66</v>
      </c>
      <c r="AM460" s="8" t="s">
        <v>1834</v>
      </c>
      <c r="AN460" s="9" t="s">
        <v>2362</v>
      </c>
      <c r="AO460" s="12" t="s">
        <v>224</v>
      </c>
      <c r="AP460" s="10" t="s">
        <v>1837</v>
      </c>
      <c r="AQ460" s="11"/>
      <c r="AR460" s="11"/>
      <c r="AS460" s="12"/>
      <c r="AT460" s="11"/>
      <c r="AU460" s="11"/>
      <c r="AV460" s="13"/>
    </row>
    <row r="461" ht="16.5" hidden="1" customHeight="1">
      <c r="A461" s="7" t="s">
        <v>2363</v>
      </c>
      <c r="B461" s="7" t="s">
        <v>1826</v>
      </c>
      <c r="C461" s="14" t="s">
        <v>332</v>
      </c>
      <c r="D461" s="7" t="s">
        <v>920</v>
      </c>
      <c r="E461" s="7" t="s">
        <v>52</v>
      </c>
      <c r="F461" s="7">
        <v>6822.0</v>
      </c>
      <c r="G461" s="7"/>
      <c r="H461" s="7" t="s">
        <v>53</v>
      </c>
      <c r="I461" s="7"/>
      <c r="J461" s="7"/>
      <c r="K461" s="8" t="s">
        <v>55</v>
      </c>
      <c r="L461" s="8" t="s">
        <v>55</v>
      </c>
      <c r="M461" s="12" t="s">
        <v>55</v>
      </c>
      <c r="N461" s="8" t="s">
        <v>55</v>
      </c>
      <c r="O461" s="8" t="s">
        <v>55</v>
      </c>
      <c r="P461" s="8" t="s">
        <v>55</v>
      </c>
      <c r="Q461" s="8" t="s">
        <v>55</v>
      </c>
      <c r="R461" s="20" t="s">
        <v>55</v>
      </c>
      <c r="S461" s="8" t="s">
        <v>55</v>
      </c>
      <c r="T461" s="8" t="s">
        <v>55</v>
      </c>
      <c r="U461" s="8" t="s">
        <v>55</v>
      </c>
      <c r="V461" s="8" t="s">
        <v>55</v>
      </c>
      <c r="W461" s="8" t="s">
        <v>49</v>
      </c>
      <c r="X461" s="8" t="s">
        <v>55</v>
      </c>
      <c r="Y461" s="8" t="s">
        <v>55</v>
      </c>
      <c r="Z461" s="8" t="s">
        <v>55</v>
      </c>
      <c r="AA461" s="8" t="s">
        <v>55</v>
      </c>
      <c r="AB461" s="8" t="s">
        <v>55</v>
      </c>
      <c r="AC461" s="8" t="s">
        <v>55</v>
      </c>
      <c r="AD461" s="8" t="s">
        <v>2364</v>
      </c>
      <c r="AE461" s="8" t="s">
        <v>55</v>
      </c>
      <c r="AF461" s="8" t="s">
        <v>55</v>
      </c>
      <c r="AG461" s="8" t="s">
        <v>63</v>
      </c>
      <c r="AH461" s="8" t="s">
        <v>55</v>
      </c>
      <c r="AI461" s="8" t="s">
        <v>94</v>
      </c>
      <c r="AJ461" s="8" t="s">
        <v>49</v>
      </c>
      <c r="AK461" s="8" t="s">
        <v>55</v>
      </c>
      <c r="AL461" s="8" t="s">
        <v>66</v>
      </c>
      <c r="AM461" s="8" t="s">
        <v>1834</v>
      </c>
      <c r="AN461" s="9" t="s">
        <v>2365</v>
      </c>
      <c r="AO461" s="12" t="s">
        <v>224</v>
      </c>
      <c r="AP461" s="10" t="s">
        <v>1837</v>
      </c>
      <c r="AQ461" s="11"/>
      <c r="AR461" s="11"/>
      <c r="AS461" s="12"/>
      <c r="AT461" s="11"/>
      <c r="AU461" s="11"/>
      <c r="AV461" s="13"/>
    </row>
    <row r="462" ht="16.5" hidden="1" customHeight="1">
      <c r="A462" s="7" t="s">
        <v>2366</v>
      </c>
      <c r="B462" s="7" t="s">
        <v>49</v>
      </c>
      <c r="C462" s="14" t="s">
        <v>332</v>
      </c>
      <c r="D462" s="7" t="s">
        <v>920</v>
      </c>
      <c r="E462" s="7" t="s">
        <v>52</v>
      </c>
      <c r="F462" s="7">
        <v>6823.0</v>
      </c>
      <c r="G462" s="7"/>
      <c r="H462" s="7" t="s">
        <v>53</v>
      </c>
      <c r="I462" s="7"/>
      <c r="J462" s="7"/>
      <c r="K462" s="8" t="s">
        <v>55</v>
      </c>
      <c r="L462" s="8" t="s">
        <v>55</v>
      </c>
      <c r="M462" s="12" t="s">
        <v>55</v>
      </c>
      <c r="N462" s="8" t="s">
        <v>55</v>
      </c>
      <c r="O462" s="8" t="s">
        <v>55</v>
      </c>
      <c r="P462" s="8" t="s">
        <v>55</v>
      </c>
      <c r="Q462" s="8" t="s">
        <v>49</v>
      </c>
      <c r="R462" s="8" t="s">
        <v>49</v>
      </c>
      <c r="S462" s="8" t="s">
        <v>49</v>
      </c>
      <c r="T462" s="8" t="s">
        <v>49</v>
      </c>
      <c r="U462" s="8" t="s">
        <v>49</v>
      </c>
      <c r="V462" s="8" t="s">
        <v>49</v>
      </c>
      <c r="W462" s="8" t="s">
        <v>49</v>
      </c>
      <c r="X462" s="8" t="s">
        <v>55</v>
      </c>
      <c r="Y462" s="8" t="s">
        <v>55</v>
      </c>
      <c r="Z462" s="8" t="s">
        <v>55</v>
      </c>
      <c r="AA462" s="8" t="s">
        <v>2367</v>
      </c>
      <c r="AB462" s="8" t="s">
        <v>60</v>
      </c>
      <c r="AC462" s="8" t="s">
        <v>55</v>
      </c>
      <c r="AD462" s="8" t="s">
        <v>2368</v>
      </c>
      <c r="AE462" s="8" t="s">
        <v>55</v>
      </c>
      <c r="AF462" s="8" t="s">
        <v>55</v>
      </c>
      <c r="AG462" s="8" t="s">
        <v>2369</v>
      </c>
      <c r="AH462" s="8" t="s">
        <v>55</v>
      </c>
      <c r="AI462" s="8" t="s">
        <v>65</v>
      </c>
      <c r="AJ462" s="8" t="s">
        <v>49</v>
      </c>
      <c r="AK462" s="8" t="s">
        <v>55</v>
      </c>
      <c r="AL462" s="8" t="s">
        <v>66</v>
      </c>
      <c r="AM462" s="8" t="s">
        <v>1352</v>
      </c>
      <c r="AN462" s="16" t="s">
        <v>2370</v>
      </c>
      <c r="AO462" s="16" t="s">
        <v>2371</v>
      </c>
      <c r="AP462" s="10" t="s">
        <v>2372</v>
      </c>
      <c r="AQ462" s="11"/>
      <c r="AR462" s="11"/>
      <c r="AS462" s="12"/>
      <c r="AT462" s="11"/>
      <c r="AU462" s="11"/>
      <c r="AV462" s="13"/>
    </row>
    <row r="463" ht="16.5" hidden="1" customHeight="1">
      <c r="A463" s="7" t="s">
        <v>2373</v>
      </c>
      <c r="B463" s="7" t="s">
        <v>49</v>
      </c>
      <c r="C463" s="14" t="s">
        <v>332</v>
      </c>
      <c r="D463" s="7" t="s">
        <v>920</v>
      </c>
      <c r="E463" s="7" t="s">
        <v>52</v>
      </c>
      <c r="F463" s="7">
        <v>6824.0</v>
      </c>
      <c r="G463" s="7"/>
      <c r="H463" s="7" t="s">
        <v>53</v>
      </c>
      <c r="I463" s="7"/>
      <c r="J463" s="7"/>
      <c r="K463" s="8" t="s">
        <v>55</v>
      </c>
      <c r="L463" s="8" t="s">
        <v>55</v>
      </c>
      <c r="M463" s="12" t="s">
        <v>55</v>
      </c>
      <c r="N463" s="8" t="s">
        <v>55</v>
      </c>
      <c r="O463" s="8" t="s">
        <v>55</v>
      </c>
      <c r="P463" s="8" t="s">
        <v>55</v>
      </c>
      <c r="Q463" s="8" t="s">
        <v>49</v>
      </c>
      <c r="R463" s="8" t="s">
        <v>49</v>
      </c>
      <c r="S463" s="8" t="s">
        <v>49</v>
      </c>
      <c r="T463" s="8" t="s">
        <v>49</v>
      </c>
      <c r="U463" s="8" t="s">
        <v>49</v>
      </c>
      <c r="V463" s="8" t="s">
        <v>49</v>
      </c>
      <c r="W463" s="8" t="s">
        <v>49</v>
      </c>
      <c r="X463" s="8" t="s">
        <v>55</v>
      </c>
      <c r="Y463" s="8" t="s">
        <v>55</v>
      </c>
      <c r="Z463" s="8" t="s">
        <v>55</v>
      </c>
      <c r="AA463" s="8" t="s">
        <v>2367</v>
      </c>
      <c r="AB463" s="8" t="s">
        <v>60</v>
      </c>
      <c r="AC463" s="8" t="s">
        <v>55</v>
      </c>
      <c r="AD463" s="8" t="s">
        <v>2374</v>
      </c>
      <c r="AE463" s="8" t="s">
        <v>55</v>
      </c>
      <c r="AF463" s="8" t="s">
        <v>55</v>
      </c>
      <c r="AG463" s="8" t="s">
        <v>2369</v>
      </c>
      <c r="AH463" s="8" t="s">
        <v>55</v>
      </c>
      <c r="AI463" s="8" t="s">
        <v>65</v>
      </c>
      <c r="AJ463" s="8" t="s">
        <v>49</v>
      </c>
      <c r="AK463" s="8" t="s">
        <v>55</v>
      </c>
      <c r="AL463" s="8" t="s">
        <v>66</v>
      </c>
      <c r="AM463" s="8" t="s">
        <v>1352</v>
      </c>
      <c r="AN463" s="16" t="s">
        <v>2375</v>
      </c>
      <c r="AO463" s="16" t="s">
        <v>2376</v>
      </c>
      <c r="AP463" s="10" t="s">
        <v>2372</v>
      </c>
      <c r="AQ463" s="11"/>
      <c r="AR463" s="11"/>
      <c r="AS463" s="12"/>
      <c r="AT463" s="11"/>
      <c r="AU463" s="11"/>
      <c r="AV463" s="13"/>
    </row>
    <row r="464" ht="16.5" hidden="1" customHeight="1">
      <c r="A464" s="7" t="s">
        <v>2377</v>
      </c>
      <c r="B464" s="7" t="s">
        <v>1826</v>
      </c>
      <c r="C464" s="14" t="s">
        <v>332</v>
      </c>
      <c r="D464" s="7" t="s">
        <v>920</v>
      </c>
      <c r="E464" s="7" t="s">
        <v>52</v>
      </c>
      <c r="F464" s="7">
        <v>6825.0</v>
      </c>
      <c r="G464" s="7"/>
      <c r="H464" s="7" t="s">
        <v>53</v>
      </c>
      <c r="I464" s="7"/>
      <c r="J464" s="7"/>
      <c r="K464" s="8" t="s">
        <v>55</v>
      </c>
      <c r="L464" s="8" t="s">
        <v>55</v>
      </c>
      <c r="M464" s="12" t="s">
        <v>55</v>
      </c>
      <c r="N464" s="8" t="s">
        <v>55</v>
      </c>
      <c r="O464" s="8" t="s">
        <v>55</v>
      </c>
      <c r="P464" s="8" t="s">
        <v>55</v>
      </c>
      <c r="Q464" s="8" t="s">
        <v>55</v>
      </c>
      <c r="R464" s="20" t="s">
        <v>55</v>
      </c>
      <c r="S464" s="8" t="s">
        <v>55</v>
      </c>
      <c r="T464" s="8" t="s">
        <v>55</v>
      </c>
      <c r="U464" s="8" t="s">
        <v>55</v>
      </c>
      <c r="V464" s="8" t="s">
        <v>55</v>
      </c>
      <c r="W464" s="8" t="s">
        <v>49</v>
      </c>
      <c r="X464" s="8" t="s">
        <v>55</v>
      </c>
      <c r="Y464" s="8" t="s">
        <v>55</v>
      </c>
      <c r="Z464" s="8" t="s">
        <v>55</v>
      </c>
      <c r="AA464" s="8" t="s">
        <v>55</v>
      </c>
      <c r="AB464" s="8" t="s">
        <v>55</v>
      </c>
      <c r="AC464" s="8" t="s">
        <v>55</v>
      </c>
      <c r="AD464" s="8" t="s">
        <v>2378</v>
      </c>
      <c r="AE464" s="8" t="s">
        <v>55</v>
      </c>
      <c r="AF464" s="8" t="s">
        <v>55</v>
      </c>
      <c r="AG464" s="8" t="s">
        <v>63</v>
      </c>
      <c r="AH464" s="8" t="s">
        <v>55</v>
      </c>
      <c r="AI464" s="8" t="s">
        <v>94</v>
      </c>
      <c r="AJ464" s="8" t="s">
        <v>49</v>
      </c>
      <c r="AK464" s="8" t="s">
        <v>55</v>
      </c>
      <c r="AL464" s="8" t="s">
        <v>66</v>
      </c>
      <c r="AM464" s="8" t="s">
        <v>1834</v>
      </c>
      <c r="AN464" s="16" t="s">
        <v>2379</v>
      </c>
      <c r="AO464" s="12" t="s">
        <v>224</v>
      </c>
      <c r="AP464" s="10" t="s">
        <v>1837</v>
      </c>
      <c r="AQ464" s="11"/>
      <c r="AR464" s="11"/>
      <c r="AS464" s="12"/>
      <c r="AT464" s="11"/>
      <c r="AU464" s="11"/>
      <c r="AV464" s="13"/>
    </row>
    <row r="465" ht="16.5" hidden="1" customHeight="1">
      <c r="A465" s="7" t="s">
        <v>2380</v>
      </c>
      <c r="B465" s="7" t="s">
        <v>49</v>
      </c>
      <c r="C465" s="7" t="s">
        <v>213</v>
      </c>
      <c r="D465" s="7" t="s">
        <v>1144</v>
      </c>
      <c r="E465" s="7" t="s">
        <v>227</v>
      </c>
      <c r="F465" s="7">
        <v>6826.0</v>
      </c>
      <c r="G465" s="7"/>
      <c r="H465" s="7" t="s">
        <v>53</v>
      </c>
      <c r="I465" s="7"/>
      <c r="J465" s="7"/>
      <c r="K465" s="8" t="s">
        <v>1534</v>
      </c>
      <c r="L465" s="8" t="s">
        <v>49</v>
      </c>
      <c r="M465" s="8"/>
      <c r="N465" s="8" t="s">
        <v>85</v>
      </c>
      <c r="O465" s="8" t="s">
        <v>217</v>
      </c>
      <c r="P465" s="8" t="s">
        <v>57</v>
      </c>
      <c r="Q465" s="8" t="s">
        <v>1299</v>
      </c>
      <c r="R465" s="8">
        <v>0.52</v>
      </c>
      <c r="S465" s="8" t="s">
        <v>49</v>
      </c>
      <c r="T465" s="8" t="s">
        <v>49</v>
      </c>
      <c r="U465" s="8" t="s">
        <v>2381</v>
      </c>
      <c r="V465" s="8" t="s">
        <v>443</v>
      </c>
      <c r="W465" s="8" t="s">
        <v>89</v>
      </c>
      <c r="X465" s="8" t="s">
        <v>108</v>
      </c>
      <c r="Y465" s="8" t="s">
        <v>1830</v>
      </c>
      <c r="Z465" s="8" t="s">
        <v>2382</v>
      </c>
      <c r="AA465" s="8" t="s">
        <v>231</v>
      </c>
      <c r="AB465" s="8" t="s">
        <v>60</v>
      </c>
      <c r="AC465" s="8" t="s">
        <v>1144</v>
      </c>
      <c r="AD465" s="8" t="s">
        <v>2383</v>
      </c>
      <c r="AE465" s="8" t="s">
        <v>55</v>
      </c>
      <c r="AF465" s="8" t="s">
        <v>55</v>
      </c>
      <c r="AG465" s="8" t="s">
        <v>63</v>
      </c>
      <c r="AH465" s="8" t="s">
        <v>111</v>
      </c>
      <c r="AI465" s="8" t="s">
        <v>94</v>
      </c>
      <c r="AJ465" s="8" t="s">
        <v>49</v>
      </c>
      <c r="AK465" s="8" t="s">
        <v>49</v>
      </c>
      <c r="AL465" s="8" t="s">
        <v>66</v>
      </c>
      <c r="AM465" s="8" t="s">
        <v>2384</v>
      </c>
      <c r="AN465" s="9" t="s">
        <v>2385</v>
      </c>
      <c r="AO465" s="9" t="s">
        <v>2386</v>
      </c>
      <c r="AP465" s="10" t="s">
        <v>2387</v>
      </c>
      <c r="AQ465" s="10" t="s">
        <v>2388</v>
      </c>
      <c r="AR465" s="10" t="s">
        <v>2389</v>
      </c>
      <c r="AS465" s="12"/>
      <c r="AT465" s="10" t="s">
        <v>2390</v>
      </c>
      <c r="AU465" s="11"/>
      <c r="AV465" s="13"/>
    </row>
    <row r="466" ht="16.5" hidden="1" customHeight="1">
      <c r="A466" s="7" t="s">
        <v>2391</v>
      </c>
      <c r="B466" s="7" t="s">
        <v>49</v>
      </c>
      <c r="C466" s="7" t="s">
        <v>213</v>
      </c>
      <c r="D466" s="7" t="s">
        <v>1144</v>
      </c>
      <c r="E466" s="7" t="s">
        <v>227</v>
      </c>
      <c r="F466" s="7">
        <v>6826.0</v>
      </c>
      <c r="G466" s="7">
        <v>6826.0</v>
      </c>
      <c r="H466" s="7" t="s">
        <v>53</v>
      </c>
      <c r="I466" s="7"/>
      <c r="J466" s="7"/>
      <c r="K466" s="8" t="s">
        <v>1534</v>
      </c>
      <c r="L466" s="8" t="s">
        <v>49</v>
      </c>
      <c r="M466" s="8"/>
      <c r="N466" s="8" t="s">
        <v>85</v>
      </c>
      <c r="O466" s="8" t="s">
        <v>217</v>
      </c>
      <c r="P466" s="8" t="s">
        <v>57</v>
      </c>
      <c r="Q466" s="8" t="s">
        <v>1299</v>
      </c>
      <c r="R466" s="8">
        <v>0.52</v>
      </c>
      <c r="S466" s="8" t="s">
        <v>49</v>
      </c>
      <c r="T466" s="8" t="s">
        <v>49</v>
      </c>
      <c r="U466" s="8" t="s">
        <v>2381</v>
      </c>
      <c r="V466" s="8" t="s">
        <v>443</v>
      </c>
      <c r="W466" s="8" t="s">
        <v>89</v>
      </c>
      <c r="X466" s="8" t="s">
        <v>108</v>
      </c>
      <c r="Y466" s="8" t="s">
        <v>1830</v>
      </c>
      <c r="Z466" s="8" t="s">
        <v>2382</v>
      </c>
      <c r="AA466" s="8" t="s">
        <v>231</v>
      </c>
      <c r="AB466" s="8" t="s">
        <v>60</v>
      </c>
      <c r="AC466" s="8" t="s">
        <v>1144</v>
      </c>
      <c r="AD466" s="8" t="s">
        <v>2383</v>
      </c>
      <c r="AE466" s="8" t="s">
        <v>55</v>
      </c>
      <c r="AF466" s="8" t="s">
        <v>55</v>
      </c>
      <c r="AG466" s="8" t="s">
        <v>63</v>
      </c>
      <c r="AH466" s="8" t="s">
        <v>111</v>
      </c>
      <c r="AI466" s="8" t="s">
        <v>94</v>
      </c>
      <c r="AJ466" s="8" t="s">
        <v>49</v>
      </c>
      <c r="AK466" s="8" t="s">
        <v>95</v>
      </c>
      <c r="AL466" s="8" t="s">
        <v>66</v>
      </c>
      <c r="AM466" s="8" t="s">
        <v>2392</v>
      </c>
      <c r="AN466" s="9" t="s">
        <v>2385</v>
      </c>
      <c r="AO466" s="9" t="s">
        <v>2386</v>
      </c>
      <c r="AP466" s="10" t="s">
        <v>2387</v>
      </c>
      <c r="AQ466" s="10" t="s">
        <v>2388</v>
      </c>
      <c r="AR466" s="10" t="s">
        <v>2389</v>
      </c>
      <c r="AS466" s="12"/>
      <c r="AT466" s="10" t="s">
        <v>2390</v>
      </c>
      <c r="AU466" s="11"/>
      <c r="AV466" s="13"/>
    </row>
    <row r="467" ht="16.5" hidden="1" customHeight="1">
      <c r="A467" s="7" t="s">
        <v>2393</v>
      </c>
      <c r="B467" s="14" t="s">
        <v>49</v>
      </c>
      <c r="C467" s="14" t="s">
        <v>213</v>
      </c>
      <c r="D467" s="14" t="s">
        <v>1144</v>
      </c>
      <c r="E467" s="7"/>
      <c r="F467" s="7">
        <v>6827.0</v>
      </c>
      <c r="G467" s="7">
        <v>6826.0</v>
      </c>
      <c r="H467" s="7" t="s">
        <v>53</v>
      </c>
      <c r="I467" s="7"/>
      <c r="J467" s="7"/>
      <c r="K467" s="8" t="s">
        <v>1534</v>
      </c>
      <c r="L467" s="8" t="s">
        <v>49</v>
      </c>
      <c r="M467" s="8"/>
      <c r="N467" s="8" t="s">
        <v>85</v>
      </c>
      <c r="O467" s="8" t="s">
        <v>217</v>
      </c>
      <c r="P467" s="8" t="s">
        <v>57</v>
      </c>
      <c r="Q467" s="8" t="s">
        <v>2394</v>
      </c>
      <c r="R467" s="8">
        <v>0.52</v>
      </c>
      <c r="S467" s="8" t="s">
        <v>49</v>
      </c>
      <c r="T467" s="8" t="s">
        <v>49</v>
      </c>
      <c r="U467" s="8" t="s">
        <v>2395</v>
      </c>
      <c r="V467" s="8" t="s">
        <v>2396</v>
      </c>
      <c r="W467" s="8" t="s">
        <v>89</v>
      </c>
      <c r="X467" s="8" t="s">
        <v>108</v>
      </c>
      <c r="Y467" s="8" t="s">
        <v>1830</v>
      </c>
      <c r="Z467" s="8" t="s">
        <v>2382</v>
      </c>
      <c r="AA467" s="8" t="s">
        <v>231</v>
      </c>
      <c r="AB467" s="8" t="s">
        <v>60</v>
      </c>
      <c r="AC467" s="8" t="s">
        <v>1144</v>
      </c>
      <c r="AD467" s="8" t="s">
        <v>2397</v>
      </c>
      <c r="AE467" s="8" t="s">
        <v>55</v>
      </c>
      <c r="AF467" s="8" t="s">
        <v>55</v>
      </c>
      <c r="AG467" s="8" t="s">
        <v>63</v>
      </c>
      <c r="AH467" s="8" t="s">
        <v>111</v>
      </c>
      <c r="AI467" s="8" t="s">
        <v>94</v>
      </c>
      <c r="AJ467" s="8" t="s">
        <v>49</v>
      </c>
      <c r="AK467" s="8" t="s">
        <v>95</v>
      </c>
      <c r="AL467" s="8" t="s">
        <v>66</v>
      </c>
      <c r="AM467" s="8"/>
      <c r="AN467" s="9" t="s">
        <v>2398</v>
      </c>
      <c r="AO467" s="12" t="s">
        <v>224</v>
      </c>
      <c r="AP467" s="10" t="s">
        <v>2387</v>
      </c>
      <c r="AQ467" s="10" t="s">
        <v>2399</v>
      </c>
      <c r="AR467" s="10" t="s">
        <v>2400</v>
      </c>
      <c r="AS467" s="12"/>
      <c r="AT467" s="10" t="s">
        <v>2401</v>
      </c>
      <c r="AU467" s="11"/>
      <c r="AV467" s="13"/>
    </row>
    <row r="468" ht="16.5" hidden="1" customHeight="1">
      <c r="A468" s="7" t="s">
        <v>2402</v>
      </c>
      <c r="B468" s="14" t="s">
        <v>49</v>
      </c>
      <c r="C468" s="14" t="s">
        <v>213</v>
      </c>
      <c r="D468" s="14" t="s">
        <v>1144</v>
      </c>
      <c r="E468" s="7"/>
      <c r="F468" s="7">
        <v>6828.0</v>
      </c>
      <c r="G468" s="7">
        <v>6826.0</v>
      </c>
      <c r="H468" s="7" t="s">
        <v>53</v>
      </c>
      <c r="I468" s="7"/>
      <c r="J468" s="7"/>
      <c r="K468" s="8" t="s">
        <v>1534</v>
      </c>
      <c r="L468" s="8" t="s">
        <v>49</v>
      </c>
      <c r="M468" s="8"/>
      <c r="N468" s="8" t="s">
        <v>85</v>
      </c>
      <c r="O468" s="8" t="s">
        <v>217</v>
      </c>
      <c r="P468" s="8" t="s">
        <v>57</v>
      </c>
      <c r="Q468" s="8" t="s">
        <v>1428</v>
      </c>
      <c r="R468" s="8">
        <v>0.52</v>
      </c>
      <c r="S468" s="8" t="s">
        <v>49</v>
      </c>
      <c r="T468" s="8" t="s">
        <v>49</v>
      </c>
      <c r="U468" s="8" t="s">
        <v>2403</v>
      </c>
      <c r="V468" s="8" t="s">
        <v>2167</v>
      </c>
      <c r="W468" s="8" t="s">
        <v>89</v>
      </c>
      <c r="X468" s="8" t="s">
        <v>108</v>
      </c>
      <c r="Y468" s="8" t="s">
        <v>1830</v>
      </c>
      <c r="Z468" s="8" t="s">
        <v>2382</v>
      </c>
      <c r="AA468" s="8" t="s">
        <v>231</v>
      </c>
      <c r="AB468" s="8" t="s">
        <v>60</v>
      </c>
      <c r="AC468" s="8" t="s">
        <v>1144</v>
      </c>
      <c r="AD468" s="8" t="s">
        <v>2404</v>
      </c>
      <c r="AE468" s="8" t="s">
        <v>55</v>
      </c>
      <c r="AF468" s="8" t="s">
        <v>55</v>
      </c>
      <c r="AG468" s="8" t="s">
        <v>63</v>
      </c>
      <c r="AH468" s="8" t="s">
        <v>111</v>
      </c>
      <c r="AI468" s="8" t="s">
        <v>94</v>
      </c>
      <c r="AJ468" s="8" t="s">
        <v>49</v>
      </c>
      <c r="AK468" s="8" t="s">
        <v>95</v>
      </c>
      <c r="AL468" s="8" t="s">
        <v>66</v>
      </c>
      <c r="AM468" s="8"/>
      <c r="AN468" s="9" t="s">
        <v>2405</v>
      </c>
      <c r="AO468" s="12" t="s">
        <v>224</v>
      </c>
      <c r="AP468" s="10" t="s">
        <v>2387</v>
      </c>
      <c r="AQ468" s="10" t="s">
        <v>2406</v>
      </c>
      <c r="AR468" s="10" t="s">
        <v>2407</v>
      </c>
      <c r="AS468" s="12"/>
      <c r="AT468" s="10" t="s">
        <v>2408</v>
      </c>
      <c r="AU468" s="11"/>
      <c r="AV468" s="15">
        <v>46315.0</v>
      </c>
    </row>
    <row r="469" ht="16.5" hidden="1" customHeight="1">
      <c r="A469" s="7" t="s">
        <v>2409</v>
      </c>
      <c r="B469" s="7" t="s">
        <v>49</v>
      </c>
      <c r="C469" s="7" t="s">
        <v>213</v>
      </c>
      <c r="D469" s="7" t="s">
        <v>920</v>
      </c>
      <c r="E469" s="7" t="s">
        <v>227</v>
      </c>
      <c r="F469" s="7">
        <v>6829.0</v>
      </c>
      <c r="G469" s="7"/>
      <c r="H469" s="7" t="s">
        <v>53</v>
      </c>
      <c r="I469" s="7"/>
      <c r="J469" s="7"/>
      <c r="K469" s="8" t="s">
        <v>55</v>
      </c>
      <c r="L469" s="8" t="s">
        <v>55</v>
      </c>
      <c r="M469" s="8"/>
      <c r="N469" s="8" t="s">
        <v>55</v>
      </c>
      <c r="O469" s="8" t="s">
        <v>55</v>
      </c>
      <c r="P469" s="8" t="s">
        <v>55</v>
      </c>
      <c r="Q469" s="8" t="s">
        <v>49</v>
      </c>
      <c r="R469" s="8" t="s">
        <v>49</v>
      </c>
      <c r="S469" s="8" t="s">
        <v>49</v>
      </c>
      <c r="T469" s="8" t="s">
        <v>49</v>
      </c>
      <c r="U469" s="8" t="s">
        <v>49</v>
      </c>
      <c r="V469" s="8" t="s">
        <v>49</v>
      </c>
      <c r="W469" s="8" t="s">
        <v>49</v>
      </c>
      <c r="X469" s="8" t="s">
        <v>49</v>
      </c>
      <c r="Y469" s="8" t="s">
        <v>49</v>
      </c>
      <c r="Z469" s="8" t="s">
        <v>49</v>
      </c>
      <c r="AA469" s="8" t="s">
        <v>231</v>
      </c>
      <c r="AB469" s="8" t="s">
        <v>60</v>
      </c>
      <c r="AC469" s="8" t="s">
        <v>55</v>
      </c>
      <c r="AD469" s="8" t="s">
        <v>2410</v>
      </c>
      <c r="AE469" s="8" t="s">
        <v>55</v>
      </c>
      <c r="AF469" s="8" t="s">
        <v>55</v>
      </c>
      <c r="AG469" s="8" t="s">
        <v>890</v>
      </c>
      <c r="AH469" s="8" t="s">
        <v>55</v>
      </c>
      <c r="AI469" s="8" t="s">
        <v>112</v>
      </c>
      <c r="AJ469" s="8" t="s">
        <v>49</v>
      </c>
      <c r="AK469" s="8" t="s">
        <v>49</v>
      </c>
      <c r="AL469" s="8" t="s">
        <v>66</v>
      </c>
      <c r="AM469" s="8" t="s">
        <v>2411</v>
      </c>
      <c r="AN469" s="9" t="s">
        <v>2412</v>
      </c>
      <c r="AO469" s="9" t="s">
        <v>2413</v>
      </c>
      <c r="AP469" s="10" t="s">
        <v>2093</v>
      </c>
      <c r="AQ469" s="11"/>
      <c r="AR469" s="11"/>
      <c r="AS469" s="12"/>
      <c r="AT469" s="11"/>
      <c r="AU469" s="11"/>
      <c r="AV469" s="13"/>
    </row>
    <row r="470" ht="16.5" hidden="1" customHeight="1">
      <c r="A470" s="22" t="s">
        <v>2414</v>
      </c>
      <c r="B470" s="7" t="s">
        <v>49</v>
      </c>
      <c r="C470" s="7" t="s">
        <v>213</v>
      </c>
      <c r="D470" s="7" t="s">
        <v>920</v>
      </c>
      <c r="E470" s="7" t="s">
        <v>227</v>
      </c>
      <c r="F470" s="7">
        <v>6829.0</v>
      </c>
      <c r="G470" s="7">
        <v>6829.0</v>
      </c>
      <c r="H470" s="7" t="s">
        <v>53</v>
      </c>
      <c r="I470" s="7"/>
      <c r="J470" s="7"/>
      <c r="K470" s="8" t="s">
        <v>55</v>
      </c>
      <c r="L470" s="8" t="s">
        <v>55</v>
      </c>
      <c r="M470" s="12" t="s">
        <v>55</v>
      </c>
      <c r="N470" s="8" t="s">
        <v>55</v>
      </c>
      <c r="O470" s="8" t="s">
        <v>55</v>
      </c>
      <c r="P470" s="8" t="s">
        <v>55</v>
      </c>
      <c r="Q470" s="8" t="s">
        <v>49</v>
      </c>
      <c r="R470" s="8" t="s">
        <v>49</v>
      </c>
      <c r="S470" s="8" t="s">
        <v>49</v>
      </c>
      <c r="T470" s="8" t="s">
        <v>49</v>
      </c>
      <c r="U470" s="8" t="s">
        <v>49</v>
      </c>
      <c r="V470" s="8" t="s">
        <v>49</v>
      </c>
      <c r="W470" s="8" t="s">
        <v>49</v>
      </c>
      <c r="X470" s="8" t="s">
        <v>55</v>
      </c>
      <c r="Y470" s="8" t="s">
        <v>55</v>
      </c>
      <c r="Z470" s="8" t="s">
        <v>55</v>
      </c>
      <c r="AA470" s="8" t="s">
        <v>231</v>
      </c>
      <c r="AB470" s="8" t="s">
        <v>60</v>
      </c>
      <c r="AC470" s="8" t="s">
        <v>55</v>
      </c>
      <c r="AD470" s="12" t="s">
        <v>2415</v>
      </c>
      <c r="AE470" s="8" t="s">
        <v>55</v>
      </c>
      <c r="AF470" s="8" t="s">
        <v>55</v>
      </c>
      <c r="AG470" s="8" t="s">
        <v>890</v>
      </c>
      <c r="AH470" s="8" t="s">
        <v>55</v>
      </c>
      <c r="AI470" s="8" t="s">
        <v>112</v>
      </c>
      <c r="AJ470" s="8" t="s">
        <v>49</v>
      </c>
      <c r="AK470" s="8" t="s">
        <v>55</v>
      </c>
      <c r="AL470" s="8" t="s">
        <v>66</v>
      </c>
      <c r="AM470" s="8" t="s">
        <v>2411</v>
      </c>
      <c r="AN470" s="9" t="s">
        <v>2412</v>
      </c>
      <c r="AO470" s="9" t="s">
        <v>2413</v>
      </c>
      <c r="AP470" s="10" t="s">
        <v>2093</v>
      </c>
      <c r="AQ470" s="11"/>
      <c r="AR470" s="11"/>
      <c r="AS470" s="12"/>
      <c r="AT470" s="11"/>
      <c r="AU470" s="11"/>
      <c r="AV470" s="15">
        <v>46315.0</v>
      </c>
    </row>
    <row r="471" ht="16.5" hidden="1" customHeight="1">
      <c r="A471" s="22" t="s">
        <v>2416</v>
      </c>
      <c r="B471" s="14" t="s">
        <v>49</v>
      </c>
      <c r="C471" s="14" t="s">
        <v>213</v>
      </c>
      <c r="D471" s="14" t="s">
        <v>920</v>
      </c>
      <c r="E471" s="7"/>
      <c r="F471" s="7">
        <v>6830.0</v>
      </c>
      <c r="G471" s="7">
        <v>6829.0</v>
      </c>
      <c r="H471" s="7" t="s">
        <v>53</v>
      </c>
      <c r="I471" s="7"/>
      <c r="J471" s="7"/>
      <c r="K471" s="8" t="s">
        <v>55</v>
      </c>
      <c r="L471" s="8" t="s">
        <v>55</v>
      </c>
      <c r="M471" s="12" t="s">
        <v>55</v>
      </c>
      <c r="N471" s="8" t="s">
        <v>55</v>
      </c>
      <c r="O471" s="8" t="s">
        <v>55</v>
      </c>
      <c r="P471" s="8" t="s">
        <v>55</v>
      </c>
      <c r="Q471" s="8" t="s">
        <v>49</v>
      </c>
      <c r="R471" s="8" t="s">
        <v>49</v>
      </c>
      <c r="S471" s="8" t="s">
        <v>49</v>
      </c>
      <c r="T471" s="8" t="s">
        <v>49</v>
      </c>
      <c r="U471" s="8" t="s">
        <v>49</v>
      </c>
      <c r="V471" s="8" t="s">
        <v>49</v>
      </c>
      <c r="W471" s="8" t="s">
        <v>49</v>
      </c>
      <c r="X471" s="8" t="s">
        <v>55</v>
      </c>
      <c r="Y471" s="8" t="s">
        <v>55</v>
      </c>
      <c r="Z471" s="8" t="s">
        <v>55</v>
      </c>
      <c r="AA471" s="8" t="s">
        <v>231</v>
      </c>
      <c r="AB471" s="8" t="s">
        <v>60</v>
      </c>
      <c r="AC471" s="8" t="s">
        <v>55</v>
      </c>
      <c r="AD471" s="12" t="s">
        <v>2415</v>
      </c>
      <c r="AE471" s="8" t="s">
        <v>55</v>
      </c>
      <c r="AF471" s="8" t="s">
        <v>55</v>
      </c>
      <c r="AG471" s="8" t="s">
        <v>890</v>
      </c>
      <c r="AH471" s="8" t="s">
        <v>55</v>
      </c>
      <c r="AI471" s="8" t="s">
        <v>94</v>
      </c>
      <c r="AJ471" s="8" t="s">
        <v>49</v>
      </c>
      <c r="AK471" s="8" t="s">
        <v>55</v>
      </c>
      <c r="AL471" s="8" t="s">
        <v>66</v>
      </c>
      <c r="AM471" s="8" t="s">
        <v>2411</v>
      </c>
      <c r="AN471" s="9" t="s">
        <v>2417</v>
      </c>
      <c r="AO471" s="9" t="s">
        <v>2418</v>
      </c>
      <c r="AP471" s="10" t="s">
        <v>2093</v>
      </c>
      <c r="AQ471" s="11"/>
      <c r="AR471" s="11"/>
      <c r="AS471" s="12"/>
      <c r="AT471" s="11"/>
      <c r="AU471" s="11"/>
      <c r="AV471" s="15">
        <v>46315.0</v>
      </c>
    </row>
    <row r="472" ht="16.5" hidden="1" customHeight="1">
      <c r="A472" s="7" t="s">
        <v>2419</v>
      </c>
      <c r="B472" s="7" t="s">
        <v>2420</v>
      </c>
      <c r="C472" s="7" t="s">
        <v>213</v>
      </c>
      <c r="D472" s="7" t="s">
        <v>376</v>
      </c>
      <c r="E472" s="7" t="s">
        <v>227</v>
      </c>
      <c r="F472" s="7">
        <v>6831.0</v>
      </c>
      <c r="G472" s="7"/>
      <c r="H472" s="7" t="s">
        <v>53</v>
      </c>
      <c r="I472" s="7"/>
      <c r="J472" s="7"/>
      <c r="K472" s="8" t="s">
        <v>84</v>
      </c>
      <c r="L472" s="8" t="s">
        <v>49</v>
      </c>
      <c r="M472" s="8"/>
      <c r="N472" s="8" t="s">
        <v>2421</v>
      </c>
      <c r="O472" s="8" t="s">
        <v>217</v>
      </c>
      <c r="P472" s="8" t="s">
        <v>57</v>
      </c>
      <c r="Q472" s="8" t="s">
        <v>1458</v>
      </c>
      <c r="R472" s="8">
        <v>0.95</v>
      </c>
      <c r="S472" s="8" t="s">
        <v>49</v>
      </c>
      <c r="T472" s="8" t="s">
        <v>49</v>
      </c>
      <c r="U472" s="8" t="s">
        <v>2422</v>
      </c>
      <c r="V472" s="8" t="s">
        <v>289</v>
      </c>
      <c r="W472" s="8" t="s">
        <v>2423</v>
      </c>
      <c r="X472" s="8" t="s">
        <v>108</v>
      </c>
      <c r="Y472" s="8" t="s">
        <v>2424</v>
      </c>
      <c r="Z472" s="8" t="s">
        <v>1852</v>
      </c>
      <c r="AA472" s="8" t="s">
        <v>2425</v>
      </c>
      <c r="AB472" s="8" t="s">
        <v>60</v>
      </c>
      <c r="AC472" s="8" t="s">
        <v>348</v>
      </c>
      <c r="AD472" s="8" t="s">
        <v>2426</v>
      </c>
      <c r="AE472" s="8" t="s">
        <v>2427</v>
      </c>
      <c r="AF472" s="8" t="s">
        <v>2428</v>
      </c>
      <c r="AG472" s="8" t="s">
        <v>2429</v>
      </c>
      <c r="AH472" s="8" t="s">
        <v>111</v>
      </c>
      <c r="AI472" s="8" t="s">
        <v>112</v>
      </c>
      <c r="AJ472" s="8" t="s">
        <v>2430</v>
      </c>
      <c r="AK472" s="8" t="s">
        <v>49</v>
      </c>
      <c r="AL472" s="8" t="s">
        <v>2431</v>
      </c>
      <c r="AM472" s="8" t="s">
        <v>2432</v>
      </c>
      <c r="AN472" s="9" t="s">
        <v>2433</v>
      </c>
      <c r="AO472" s="9" t="s">
        <v>2434</v>
      </c>
      <c r="AP472" s="10" t="s">
        <v>2435</v>
      </c>
      <c r="AQ472" s="10" t="s">
        <v>2436</v>
      </c>
      <c r="AR472" s="10" t="s">
        <v>2437</v>
      </c>
      <c r="AS472" s="12"/>
      <c r="AT472" s="10" t="s">
        <v>2438</v>
      </c>
      <c r="AU472" s="10" t="s">
        <v>2439</v>
      </c>
      <c r="AV472" s="13"/>
    </row>
    <row r="473" ht="16.5" hidden="1" customHeight="1">
      <c r="A473" s="7" t="s">
        <v>2440</v>
      </c>
      <c r="B473" s="7" t="s">
        <v>2420</v>
      </c>
      <c r="C473" s="7" t="s">
        <v>213</v>
      </c>
      <c r="D473" s="14" t="s">
        <v>344</v>
      </c>
      <c r="E473" s="7" t="s">
        <v>227</v>
      </c>
      <c r="F473" s="7">
        <v>6831.0</v>
      </c>
      <c r="G473" s="7">
        <v>6831.0</v>
      </c>
      <c r="H473" s="7" t="s">
        <v>53</v>
      </c>
      <c r="I473" s="7" t="s">
        <v>2441</v>
      </c>
      <c r="J473" s="7"/>
      <c r="K473" s="8" t="s">
        <v>84</v>
      </c>
      <c r="L473" s="8" t="s">
        <v>49</v>
      </c>
      <c r="M473" s="12" t="s">
        <v>1549</v>
      </c>
      <c r="N473" s="8" t="s">
        <v>2421</v>
      </c>
      <c r="O473" s="8" t="s">
        <v>217</v>
      </c>
      <c r="P473" s="8" t="s">
        <v>57</v>
      </c>
      <c r="Q473" s="8" t="s">
        <v>1458</v>
      </c>
      <c r="R473" s="8">
        <v>0.95</v>
      </c>
      <c r="S473" s="8" t="s">
        <v>49</v>
      </c>
      <c r="T473" s="8" t="s">
        <v>49</v>
      </c>
      <c r="U473" s="8" t="s">
        <v>2422</v>
      </c>
      <c r="V473" s="8" t="s">
        <v>289</v>
      </c>
      <c r="W473" s="8" t="s">
        <v>2442</v>
      </c>
      <c r="X473" s="8" t="s">
        <v>108</v>
      </c>
      <c r="Y473" s="8" t="s">
        <v>2424</v>
      </c>
      <c r="Z473" s="8" t="s">
        <v>1852</v>
      </c>
      <c r="AA473" s="8" t="s">
        <v>2425</v>
      </c>
      <c r="AB473" s="8" t="s">
        <v>60</v>
      </c>
      <c r="AC473" s="8" t="s">
        <v>348</v>
      </c>
      <c r="AD473" s="12" t="s">
        <v>2426</v>
      </c>
      <c r="AE473" s="8" t="s">
        <v>2427</v>
      </c>
      <c r="AF473" s="8" t="s">
        <v>2428</v>
      </c>
      <c r="AG473" s="8" t="s">
        <v>2429</v>
      </c>
      <c r="AH473" s="8" t="s">
        <v>111</v>
      </c>
      <c r="AI473" s="8" t="s">
        <v>112</v>
      </c>
      <c r="AJ473" s="8" t="s">
        <v>2430</v>
      </c>
      <c r="AK473" s="8" t="s">
        <v>2443</v>
      </c>
      <c r="AL473" s="8" t="s">
        <v>2431</v>
      </c>
      <c r="AM473" s="8" t="s">
        <v>2432</v>
      </c>
      <c r="AN473" s="9" t="s">
        <v>2433</v>
      </c>
      <c r="AO473" s="9" t="s">
        <v>2434</v>
      </c>
      <c r="AP473" s="10" t="s">
        <v>2435</v>
      </c>
      <c r="AQ473" s="10" t="s">
        <v>2436</v>
      </c>
      <c r="AR473" s="10" t="s">
        <v>2437</v>
      </c>
      <c r="AS473" s="12"/>
      <c r="AT473" s="10" t="s">
        <v>2438</v>
      </c>
      <c r="AU473" s="10" t="s">
        <v>2439</v>
      </c>
      <c r="AV473" s="13"/>
    </row>
    <row r="474" ht="16.5" hidden="1" customHeight="1">
      <c r="A474" s="7" t="s">
        <v>2444</v>
      </c>
      <c r="B474" s="7" t="s">
        <v>2420</v>
      </c>
      <c r="C474" s="7" t="s">
        <v>213</v>
      </c>
      <c r="D474" s="14" t="s">
        <v>344</v>
      </c>
      <c r="E474" s="7" t="s">
        <v>227</v>
      </c>
      <c r="F474" s="7">
        <v>6832.0</v>
      </c>
      <c r="G474" s="7">
        <v>6831.0</v>
      </c>
      <c r="H474" s="7" t="s">
        <v>53</v>
      </c>
      <c r="I474" s="7" t="s">
        <v>2445</v>
      </c>
      <c r="J474" s="7"/>
      <c r="K474" s="8" t="s">
        <v>84</v>
      </c>
      <c r="L474" s="8" t="s">
        <v>49</v>
      </c>
      <c r="M474" s="12" t="s">
        <v>1549</v>
      </c>
      <c r="N474" s="8" t="s">
        <v>2421</v>
      </c>
      <c r="O474" s="8" t="s">
        <v>217</v>
      </c>
      <c r="P474" s="8" t="s">
        <v>57</v>
      </c>
      <c r="Q474" s="8" t="s">
        <v>2446</v>
      </c>
      <c r="R474" s="8">
        <v>0.95</v>
      </c>
      <c r="S474" s="8" t="s">
        <v>49</v>
      </c>
      <c r="T474" s="8" t="s">
        <v>49</v>
      </c>
      <c r="U474" s="8" t="s">
        <v>2447</v>
      </c>
      <c r="V474" s="8" t="s">
        <v>2129</v>
      </c>
      <c r="W474" s="8" t="s">
        <v>2442</v>
      </c>
      <c r="X474" s="8" t="s">
        <v>108</v>
      </c>
      <c r="Y474" s="8" t="s">
        <v>2424</v>
      </c>
      <c r="Z474" s="8" t="s">
        <v>1852</v>
      </c>
      <c r="AA474" s="8" t="s">
        <v>2425</v>
      </c>
      <c r="AB474" s="8" t="s">
        <v>60</v>
      </c>
      <c r="AC474" s="8" t="s">
        <v>348</v>
      </c>
      <c r="AD474" s="12" t="s">
        <v>2448</v>
      </c>
      <c r="AE474" s="8" t="s">
        <v>2449</v>
      </c>
      <c r="AF474" s="8" t="s">
        <v>2428</v>
      </c>
      <c r="AG474" s="8" t="s">
        <v>2429</v>
      </c>
      <c r="AH474" s="8" t="s">
        <v>111</v>
      </c>
      <c r="AI474" s="8" t="s">
        <v>112</v>
      </c>
      <c r="AJ474" s="8" t="s">
        <v>2430</v>
      </c>
      <c r="AK474" s="8" t="s">
        <v>2443</v>
      </c>
      <c r="AL474" s="8" t="s">
        <v>2431</v>
      </c>
      <c r="AM474" s="8" t="s">
        <v>2432</v>
      </c>
      <c r="AN474" s="9" t="s">
        <v>2450</v>
      </c>
      <c r="AO474" s="9" t="s">
        <v>2451</v>
      </c>
      <c r="AP474" s="10" t="s">
        <v>2435</v>
      </c>
      <c r="AQ474" s="10" t="s">
        <v>2452</v>
      </c>
      <c r="AR474" s="10" t="s">
        <v>2453</v>
      </c>
      <c r="AS474" s="12"/>
      <c r="AT474" s="10" t="s">
        <v>2454</v>
      </c>
      <c r="AU474" s="10" t="s">
        <v>2455</v>
      </c>
      <c r="AV474" s="13"/>
    </row>
    <row r="475" ht="16.5" hidden="1" customHeight="1">
      <c r="A475" s="7" t="s">
        <v>2456</v>
      </c>
      <c r="B475" s="7" t="s">
        <v>2420</v>
      </c>
      <c r="C475" s="7" t="s">
        <v>213</v>
      </c>
      <c r="D475" s="7" t="s">
        <v>376</v>
      </c>
      <c r="E475" s="7" t="s">
        <v>227</v>
      </c>
      <c r="F475" s="7">
        <v>6834.0</v>
      </c>
      <c r="G475" s="7"/>
      <c r="H475" s="7" t="s">
        <v>53</v>
      </c>
      <c r="I475" s="7" t="s">
        <v>2457</v>
      </c>
      <c r="J475" s="7"/>
      <c r="K475" s="8" t="s">
        <v>1534</v>
      </c>
      <c r="L475" s="8" t="s">
        <v>49</v>
      </c>
      <c r="M475" s="8"/>
      <c r="N475" s="8" t="s">
        <v>85</v>
      </c>
      <c r="O475" s="8" t="s">
        <v>217</v>
      </c>
      <c r="P475" s="8" t="s">
        <v>57</v>
      </c>
      <c r="Q475" s="8" t="s">
        <v>2458</v>
      </c>
      <c r="R475" s="8">
        <v>0.95</v>
      </c>
      <c r="S475" s="8" t="s">
        <v>49</v>
      </c>
      <c r="T475" s="8" t="s">
        <v>49</v>
      </c>
      <c r="U475" s="8" t="s">
        <v>2459</v>
      </c>
      <c r="V475" s="8" t="s">
        <v>1692</v>
      </c>
      <c r="W475" s="8" t="s">
        <v>2460</v>
      </c>
      <c r="X475" s="8" t="s">
        <v>90</v>
      </c>
      <c r="Y475" s="8" t="s">
        <v>2461</v>
      </c>
      <c r="Z475" s="8" t="s">
        <v>92</v>
      </c>
      <c r="AA475" s="8" t="s">
        <v>2462</v>
      </c>
      <c r="AB475" s="8" t="s">
        <v>60</v>
      </c>
      <c r="AC475" s="8" t="s">
        <v>348</v>
      </c>
      <c r="AD475" s="8" t="s">
        <v>2463</v>
      </c>
      <c r="AE475" s="8" t="s">
        <v>2464</v>
      </c>
      <c r="AF475" s="8" t="s">
        <v>2465</v>
      </c>
      <c r="AG475" s="8" t="s">
        <v>2429</v>
      </c>
      <c r="AH475" s="8" t="s">
        <v>111</v>
      </c>
      <c r="AI475" s="8" t="s">
        <v>112</v>
      </c>
      <c r="AJ475" s="8" t="s">
        <v>2430</v>
      </c>
      <c r="AK475" s="8" t="s">
        <v>49</v>
      </c>
      <c r="AL475" s="8" t="s">
        <v>2431</v>
      </c>
      <c r="AM475" s="8" t="s">
        <v>2466</v>
      </c>
      <c r="AN475" s="9" t="s">
        <v>2467</v>
      </c>
      <c r="AO475" s="9" t="s">
        <v>2468</v>
      </c>
      <c r="AP475" s="10" t="s">
        <v>2469</v>
      </c>
      <c r="AQ475" s="10" t="s">
        <v>2470</v>
      </c>
      <c r="AR475" s="10" t="s">
        <v>2471</v>
      </c>
      <c r="AS475" s="12"/>
      <c r="AT475" s="10" t="s">
        <v>2472</v>
      </c>
      <c r="AU475" s="10" t="s">
        <v>2473</v>
      </c>
      <c r="AV475" s="13"/>
    </row>
    <row r="476" ht="16.5" hidden="1" customHeight="1">
      <c r="A476" s="7" t="s">
        <v>2474</v>
      </c>
      <c r="B476" s="7" t="s">
        <v>2420</v>
      </c>
      <c r="C476" s="7" t="s">
        <v>213</v>
      </c>
      <c r="D476" s="14" t="s">
        <v>344</v>
      </c>
      <c r="E476" s="7" t="s">
        <v>227</v>
      </c>
      <c r="F476" s="7">
        <v>6834.0</v>
      </c>
      <c r="G476" s="7">
        <v>6834.0</v>
      </c>
      <c r="H476" s="7" t="s">
        <v>53</v>
      </c>
      <c r="I476" s="7" t="s">
        <v>2457</v>
      </c>
      <c r="J476" s="7"/>
      <c r="K476" s="8" t="s">
        <v>1534</v>
      </c>
      <c r="L476" s="8" t="s">
        <v>49</v>
      </c>
      <c r="M476" s="12" t="s">
        <v>1549</v>
      </c>
      <c r="N476" s="8" t="s">
        <v>85</v>
      </c>
      <c r="O476" s="8" t="s">
        <v>217</v>
      </c>
      <c r="P476" s="8" t="s">
        <v>57</v>
      </c>
      <c r="Q476" s="8" t="s">
        <v>2458</v>
      </c>
      <c r="R476" s="8">
        <v>0.95</v>
      </c>
      <c r="S476" s="8" t="s">
        <v>49</v>
      </c>
      <c r="T476" s="8" t="s">
        <v>49</v>
      </c>
      <c r="U476" s="8" t="s">
        <v>2459</v>
      </c>
      <c r="V476" s="8" t="s">
        <v>1692</v>
      </c>
      <c r="W476" s="8" t="s">
        <v>2460</v>
      </c>
      <c r="X476" s="8" t="s">
        <v>90</v>
      </c>
      <c r="Y476" s="8" t="s">
        <v>2461</v>
      </c>
      <c r="Z476" s="8" t="s">
        <v>92</v>
      </c>
      <c r="AA476" s="8" t="s">
        <v>2462</v>
      </c>
      <c r="AB476" s="8" t="s">
        <v>60</v>
      </c>
      <c r="AC476" s="8" t="s">
        <v>348</v>
      </c>
      <c r="AD476" s="8" t="s">
        <v>2463</v>
      </c>
      <c r="AE476" s="8" t="s">
        <v>2464</v>
      </c>
      <c r="AF476" s="8" t="s">
        <v>2465</v>
      </c>
      <c r="AG476" s="8" t="s">
        <v>2429</v>
      </c>
      <c r="AH476" s="8" t="s">
        <v>111</v>
      </c>
      <c r="AI476" s="8" t="s">
        <v>112</v>
      </c>
      <c r="AJ476" s="8" t="s">
        <v>2430</v>
      </c>
      <c r="AK476" s="8" t="s">
        <v>1422</v>
      </c>
      <c r="AL476" s="8" t="s">
        <v>2431</v>
      </c>
      <c r="AM476" s="8" t="s">
        <v>2466</v>
      </c>
      <c r="AN476" s="9" t="s">
        <v>2467</v>
      </c>
      <c r="AO476" s="9" t="s">
        <v>2468</v>
      </c>
      <c r="AP476" s="10" t="s">
        <v>2469</v>
      </c>
      <c r="AQ476" s="10" t="s">
        <v>2470</v>
      </c>
      <c r="AR476" s="10" t="s">
        <v>2471</v>
      </c>
      <c r="AS476" s="12"/>
      <c r="AT476" s="10" t="s">
        <v>2472</v>
      </c>
      <c r="AU476" s="10" t="s">
        <v>2473</v>
      </c>
      <c r="AV476" s="13"/>
    </row>
    <row r="477" ht="16.5" hidden="1" customHeight="1">
      <c r="A477" s="7" t="s">
        <v>2475</v>
      </c>
      <c r="B477" s="7" t="s">
        <v>2420</v>
      </c>
      <c r="C477" s="7" t="s">
        <v>213</v>
      </c>
      <c r="D477" s="14" t="s">
        <v>344</v>
      </c>
      <c r="E477" s="7" t="s">
        <v>227</v>
      </c>
      <c r="F477" s="7">
        <v>6835.0</v>
      </c>
      <c r="G477" s="7">
        <v>6834.0</v>
      </c>
      <c r="H477" s="7" t="s">
        <v>53</v>
      </c>
      <c r="I477" s="7" t="s">
        <v>2476</v>
      </c>
      <c r="J477" s="7"/>
      <c r="K477" s="8" t="s">
        <v>1534</v>
      </c>
      <c r="L477" s="8" t="s">
        <v>49</v>
      </c>
      <c r="M477" s="12" t="s">
        <v>1549</v>
      </c>
      <c r="N477" s="8" t="s">
        <v>2477</v>
      </c>
      <c r="O477" s="8" t="s">
        <v>217</v>
      </c>
      <c r="P477" s="8" t="s">
        <v>57</v>
      </c>
      <c r="Q477" s="8" t="s">
        <v>2478</v>
      </c>
      <c r="R477" s="8">
        <v>0.95</v>
      </c>
      <c r="S477" s="8" t="s">
        <v>49</v>
      </c>
      <c r="T477" s="8" t="s">
        <v>49</v>
      </c>
      <c r="U477" s="8" t="s">
        <v>2479</v>
      </c>
      <c r="V477" s="8" t="s">
        <v>1163</v>
      </c>
      <c r="W477" s="8" t="s">
        <v>2460</v>
      </c>
      <c r="X477" s="8" t="s">
        <v>90</v>
      </c>
      <c r="Y477" s="8" t="s">
        <v>2461</v>
      </c>
      <c r="Z477" s="8" t="s">
        <v>92</v>
      </c>
      <c r="AA477" s="8" t="s">
        <v>2462</v>
      </c>
      <c r="AB477" s="8" t="s">
        <v>60</v>
      </c>
      <c r="AC477" s="8" t="s">
        <v>348</v>
      </c>
      <c r="AD477" s="8" t="s">
        <v>2480</v>
      </c>
      <c r="AE477" s="8" t="s">
        <v>2481</v>
      </c>
      <c r="AF477" s="8" t="s">
        <v>2482</v>
      </c>
      <c r="AG477" s="8" t="s">
        <v>2429</v>
      </c>
      <c r="AH477" s="8" t="s">
        <v>111</v>
      </c>
      <c r="AI477" s="8" t="s">
        <v>112</v>
      </c>
      <c r="AJ477" s="8" t="s">
        <v>2430</v>
      </c>
      <c r="AK477" s="8" t="s">
        <v>1422</v>
      </c>
      <c r="AL477" s="8" t="s">
        <v>2431</v>
      </c>
      <c r="AM477" s="8" t="s">
        <v>2466</v>
      </c>
      <c r="AN477" s="9" t="s">
        <v>2483</v>
      </c>
      <c r="AO477" s="9" t="s">
        <v>2484</v>
      </c>
      <c r="AP477" s="10" t="s">
        <v>2469</v>
      </c>
      <c r="AQ477" s="10" t="s">
        <v>2485</v>
      </c>
      <c r="AR477" s="10" t="s">
        <v>2486</v>
      </c>
      <c r="AS477" s="12"/>
      <c r="AT477" s="10" t="s">
        <v>2487</v>
      </c>
      <c r="AU477" s="10" t="s">
        <v>2488</v>
      </c>
      <c r="AV477" s="13"/>
    </row>
    <row r="478" ht="16.5" hidden="1" customHeight="1">
      <c r="A478" s="7" t="s">
        <v>2489</v>
      </c>
      <c r="B478" s="7" t="s">
        <v>2420</v>
      </c>
      <c r="C478" s="7" t="s">
        <v>213</v>
      </c>
      <c r="D478" s="14" t="s">
        <v>344</v>
      </c>
      <c r="E478" s="7" t="s">
        <v>227</v>
      </c>
      <c r="F478" s="7">
        <v>6837.0</v>
      </c>
      <c r="G478" s="7"/>
      <c r="H478" s="7" t="s">
        <v>53</v>
      </c>
      <c r="I478" s="7"/>
      <c r="J478" s="7"/>
      <c r="K478" s="8" t="s">
        <v>84</v>
      </c>
      <c r="L478" s="8" t="s">
        <v>49</v>
      </c>
      <c r="M478" s="12" t="s">
        <v>1549</v>
      </c>
      <c r="N478" s="8" t="s">
        <v>85</v>
      </c>
      <c r="O478" s="8" t="s">
        <v>217</v>
      </c>
      <c r="P478" s="8" t="s">
        <v>57</v>
      </c>
      <c r="Q478" s="8" t="s">
        <v>2490</v>
      </c>
      <c r="R478" s="8">
        <v>0.95</v>
      </c>
      <c r="S478" s="8" t="s">
        <v>49</v>
      </c>
      <c r="T478" s="8" t="s">
        <v>49</v>
      </c>
      <c r="U478" s="8" t="s">
        <v>2491</v>
      </c>
      <c r="V478" s="8" t="s">
        <v>1829</v>
      </c>
      <c r="W478" s="8" t="s">
        <v>2492</v>
      </c>
      <c r="X478" s="8" t="s">
        <v>108</v>
      </c>
      <c r="Y478" s="8" t="s">
        <v>2424</v>
      </c>
      <c r="Z478" s="8" t="s">
        <v>1852</v>
      </c>
      <c r="AA478" s="8" t="s">
        <v>2425</v>
      </c>
      <c r="AB478" s="8" t="s">
        <v>60</v>
      </c>
      <c r="AC478" s="8" t="s">
        <v>348</v>
      </c>
      <c r="AD478" s="8" t="s">
        <v>2493</v>
      </c>
      <c r="AE478" s="8" t="s">
        <v>2494</v>
      </c>
      <c r="AF478" s="8" t="s">
        <v>2495</v>
      </c>
      <c r="AG478" s="8" t="s">
        <v>2429</v>
      </c>
      <c r="AH478" s="8" t="s">
        <v>111</v>
      </c>
      <c r="AI478" s="8" t="s">
        <v>112</v>
      </c>
      <c r="AJ478" s="8" t="s">
        <v>2430</v>
      </c>
      <c r="AK478" s="8" t="s">
        <v>1422</v>
      </c>
      <c r="AL478" s="8" t="s">
        <v>2431</v>
      </c>
      <c r="AM478" s="8" t="s">
        <v>2496</v>
      </c>
      <c r="AN478" s="9" t="s">
        <v>2497</v>
      </c>
      <c r="AO478" s="9" t="s">
        <v>2498</v>
      </c>
      <c r="AP478" s="10" t="s">
        <v>2499</v>
      </c>
      <c r="AQ478" s="10" t="s">
        <v>2500</v>
      </c>
      <c r="AR478" s="10" t="s">
        <v>2501</v>
      </c>
      <c r="AS478" s="12"/>
      <c r="AT478" s="10" t="s">
        <v>2502</v>
      </c>
      <c r="AU478" s="10" t="s">
        <v>2503</v>
      </c>
      <c r="AV478" s="13"/>
    </row>
    <row r="479" ht="16.5" hidden="1" customHeight="1">
      <c r="A479" s="7" t="s">
        <v>2504</v>
      </c>
      <c r="B479" s="7" t="s">
        <v>49</v>
      </c>
      <c r="C479" s="7" t="s">
        <v>213</v>
      </c>
      <c r="D479" s="7" t="s">
        <v>51</v>
      </c>
      <c r="E479" s="7" t="s">
        <v>227</v>
      </c>
      <c r="F479" s="7">
        <v>6838.0</v>
      </c>
      <c r="G479" s="7"/>
      <c r="H479" s="7" t="s">
        <v>53</v>
      </c>
      <c r="I479" s="7"/>
      <c r="J479" s="7"/>
      <c r="K479" s="8" t="s">
        <v>84</v>
      </c>
      <c r="L479" s="8" t="s">
        <v>126</v>
      </c>
      <c r="M479" s="8"/>
      <c r="N479" s="8" t="s">
        <v>85</v>
      </c>
      <c r="O479" s="8" t="s">
        <v>217</v>
      </c>
      <c r="P479" s="8" t="s">
        <v>57</v>
      </c>
      <c r="Q479" s="8" t="s">
        <v>1299</v>
      </c>
      <c r="R479" s="8">
        <v>0.6</v>
      </c>
      <c r="S479" s="8" t="s">
        <v>49</v>
      </c>
      <c r="T479" s="8" t="s">
        <v>49</v>
      </c>
      <c r="U479" s="8" t="s">
        <v>2505</v>
      </c>
      <c r="V479" s="8" t="s">
        <v>2129</v>
      </c>
      <c r="W479" s="8" t="s">
        <v>1536</v>
      </c>
      <c r="X479" s="8" t="s">
        <v>108</v>
      </c>
      <c r="Y479" s="8" t="s">
        <v>432</v>
      </c>
      <c r="Z479" s="8" t="s">
        <v>1831</v>
      </c>
      <c r="AA479" s="8" t="s">
        <v>231</v>
      </c>
      <c r="AB479" s="8" t="s">
        <v>60</v>
      </c>
      <c r="AC479" s="8" t="s">
        <v>61</v>
      </c>
      <c r="AD479" s="8" t="s">
        <v>2506</v>
      </c>
      <c r="AE479" s="8" t="s">
        <v>55</v>
      </c>
      <c r="AF479" s="8" t="s">
        <v>55</v>
      </c>
      <c r="AG479" s="8" t="s">
        <v>63</v>
      </c>
      <c r="AH479" s="8" t="s">
        <v>111</v>
      </c>
      <c r="AI479" s="8" t="s">
        <v>463</v>
      </c>
      <c r="AJ479" s="8" t="s">
        <v>49</v>
      </c>
      <c r="AK479" s="8" t="s">
        <v>49</v>
      </c>
      <c r="AL479" s="8" t="s">
        <v>720</v>
      </c>
      <c r="AM479" s="8" t="s">
        <v>2507</v>
      </c>
      <c r="AN479" s="9" t="s">
        <v>2508</v>
      </c>
      <c r="AO479" s="9" t="s">
        <v>2509</v>
      </c>
      <c r="AP479" s="10" t="s">
        <v>2510</v>
      </c>
      <c r="AQ479" s="10" t="s">
        <v>2511</v>
      </c>
      <c r="AR479" s="18" t="s">
        <v>2512</v>
      </c>
      <c r="AS479" s="12"/>
      <c r="AT479" s="10" t="s">
        <v>2513</v>
      </c>
      <c r="AU479" s="10" t="s">
        <v>2514</v>
      </c>
      <c r="AV479" s="13"/>
    </row>
    <row r="480" ht="16.5" hidden="1" customHeight="1">
      <c r="A480" s="7" t="s">
        <v>2515</v>
      </c>
      <c r="B480" s="7" t="s">
        <v>49</v>
      </c>
      <c r="C480" s="7" t="s">
        <v>213</v>
      </c>
      <c r="D480" s="7" t="s">
        <v>51</v>
      </c>
      <c r="E480" s="7" t="s">
        <v>227</v>
      </c>
      <c r="F480" s="7">
        <v>6838.0</v>
      </c>
      <c r="G480" s="7">
        <v>6838.0</v>
      </c>
      <c r="H480" s="7" t="s">
        <v>53</v>
      </c>
      <c r="I480" s="7"/>
      <c r="J480" s="7"/>
      <c r="K480" s="8" t="s">
        <v>84</v>
      </c>
      <c r="L480" s="8" t="s">
        <v>126</v>
      </c>
      <c r="M480" s="8"/>
      <c r="N480" s="8" t="s">
        <v>85</v>
      </c>
      <c r="O480" s="8" t="s">
        <v>217</v>
      </c>
      <c r="P480" s="8" t="s">
        <v>57</v>
      </c>
      <c r="Q480" s="8" t="s">
        <v>1299</v>
      </c>
      <c r="R480" s="8">
        <v>0.55</v>
      </c>
      <c r="S480" s="8" t="s">
        <v>49</v>
      </c>
      <c r="T480" s="8" t="s">
        <v>49</v>
      </c>
      <c r="U480" s="8" t="s">
        <v>2505</v>
      </c>
      <c r="V480" s="8" t="s">
        <v>2129</v>
      </c>
      <c r="W480" s="8" t="s">
        <v>1536</v>
      </c>
      <c r="X480" s="8" t="s">
        <v>108</v>
      </c>
      <c r="Y480" s="8" t="s">
        <v>432</v>
      </c>
      <c r="Z480" s="8" t="s">
        <v>1831</v>
      </c>
      <c r="AA480" s="8" t="s">
        <v>231</v>
      </c>
      <c r="AB480" s="8" t="s">
        <v>60</v>
      </c>
      <c r="AC480" s="8" t="s">
        <v>61</v>
      </c>
      <c r="AD480" s="8" t="s">
        <v>2506</v>
      </c>
      <c r="AE480" s="8" t="s">
        <v>55</v>
      </c>
      <c r="AF480" s="8" t="s">
        <v>55</v>
      </c>
      <c r="AG480" s="8" t="s">
        <v>63</v>
      </c>
      <c r="AH480" s="8" t="s">
        <v>111</v>
      </c>
      <c r="AI480" s="8" t="s">
        <v>463</v>
      </c>
      <c r="AJ480" s="8" t="s">
        <v>49</v>
      </c>
      <c r="AK480" s="8" t="s">
        <v>1422</v>
      </c>
      <c r="AL480" s="8" t="s">
        <v>720</v>
      </c>
      <c r="AM480" s="8" t="s">
        <v>2507</v>
      </c>
      <c r="AN480" s="9" t="s">
        <v>2508</v>
      </c>
      <c r="AO480" s="9" t="s">
        <v>2509</v>
      </c>
      <c r="AP480" s="10" t="s">
        <v>2510</v>
      </c>
      <c r="AQ480" s="10" t="s">
        <v>2511</v>
      </c>
      <c r="AR480" s="18" t="s">
        <v>2512</v>
      </c>
      <c r="AS480" s="12"/>
      <c r="AT480" s="10" t="s">
        <v>2513</v>
      </c>
      <c r="AU480" s="10" t="s">
        <v>2514</v>
      </c>
      <c r="AV480" s="13"/>
    </row>
    <row r="481" ht="16.5" hidden="1" customHeight="1">
      <c r="A481" s="7" t="s">
        <v>2516</v>
      </c>
      <c r="B481" s="14" t="s">
        <v>49</v>
      </c>
      <c r="C481" s="14" t="s">
        <v>213</v>
      </c>
      <c r="D481" s="14" t="s">
        <v>51</v>
      </c>
      <c r="E481" s="7"/>
      <c r="F481" s="7">
        <v>6839.0</v>
      </c>
      <c r="G481" s="7">
        <v>6838.0</v>
      </c>
      <c r="H481" s="7" t="s">
        <v>53</v>
      </c>
      <c r="I481" s="7"/>
      <c r="J481" s="7"/>
      <c r="K481" s="8" t="s">
        <v>84</v>
      </c>
      <c r="L481" s="8" t="s">
        <v>126</v>
      </c>
      <c r="M481" s="8"/>
      <c r="N481" s="8" t="s">
        <v>85</v>
      </c>
      <c r="O481" s="8" t="s">
        <v>217</v>
      </c>
      <c r="P481" s="8" t="s">
        <v>57</v>
      </c>
      <c r="Q481" s="8" t="s">
        <v>1299</v>
      </c>
      <c r="R481" s="8">
        <v>0.55</v>
      </c>
      <c r="S481" s="8" t="s">
        <v>49</v>
      </c>
      <c r="T481" s="8" t="s">
        <v>49</v>
      </c>
      <c r="U481" s="8" t="s">
        <v>2505</v>
      </c>
      <c r="V481" s="8" t="s">
        <v>2129</v>
      </c>
      <c r="W481" s="8" t="s">
        <v>1536</v>
      </c>
      <c r="X481" s="8" t="s">
        <v>108</v>
      </c>
      <c r="Y481" s="8" t="s">
        <v>432</v>
      </c>
      <c r="Z481" s="8" t="s">
        <v>1831</v>
      </c>
      <c r="AA481" s="8" t="s">
        <v>231</v>
      </c>
      <c r="AB481" s="8" t="s">
        <v>60</v>
      </c>
      <c r="AC481" s="8" t="s">
        <v>61</v>
      </c>
      <c r="AD481" s="8" t="s">
        <v>2506</v>
      </c>
      <c r="AE481" s="8" t="s">
        <v>55</v>
      </c>
      <c r="AF481" s="8" t="s">
        <v>55</v>
      </c>
      <c r="AG481" s="8" t="s">
        <v>63</v>
      </c>
      <c r="AH481" s="8" t="s">
        <v>111</v>
      </c>
      <c r="AI481" s="8" t="s">
        <v>65</v>
      </c>
      <c r="AJ481" s="8" t="s">
        <v>49</v>
      </c>
      <c r="AK481" s="8" t="s">
        <v>1422</v>
      </c>
      <c r="AL481" s="8" t="s">
        <v>720</v>
      </c>
      <c r="AM481" s="8"/>
      <c r="AN481" s="9" t="s">
        <v>2517</v>
      </c>
      <c r="AO481" s="9" t="s">
        <v>2518</v>
      </c>
      <c r="AP481" s="10" t="s">
        <v>2510</v>
      </c>
      <c r="AQ481" s="10" t="s">
        <v>2511</v>
      </c>
      <c r="AR481" s="18" t="s">
        <v>2512</v>
      </c>
      <c r="AS481" s="12"/>
      <c r="AT481" s="10" t="s">
        <v>2513</v>
      </c>
      <c r="AU481" s="10" t="s">
        <v>2514</v>
      </c>
      <c r="AV481" s="15">
        <v>46315.0</v>
      </c>
    </row>
    <row r="482" ht="16.5" hidden="1" customHeight="1">
      <c r="A482" s="7" t="s">
        <v>2519</v>
      </c>
      <c r="B482" s="7" t="s">
        <v>49</v>
      </c>
      <c r="C482" s="7" t="s">
        <v>213</v>
      </c>
      <c r="D482" s="7" t="s">
        <v>51</v>
      </c>
      <c r="E482" s="7" t="s">
        <v>227</v>
      </c>
      <c r="F482" s="7">
        <v>6840.0</v>
      </c>
      <c r="G482" s="7"/>
      <c r="H482" s="7" t="s">
        <v>53</v>
      </c>
      <c r="I482" s="7"/>
      <c r="J482" s="7"/>
      <c r="K482" s="8" t="s">
        <v>84</v>
      </c>
      <c r="L482" s="8" t="s">
        <v>126</v>
      </c>
      <c r="M482" s="8"/>
      <c r="N482" s="8" t="s">
        <v>85</v>
      </c>
      <c r="O482" s="8" t="s">
        <v>217</v>
      </c>
      <c r="P482" s="8" t="s">
        <v>57</v>
      </c>
      <c r="Q482" s="8" t="s">
        <v>1299</v>
      </c>
      <c r="R482" s="8">
        <v>0.6</v>
      </c>
      <c r="S482" s="8" t="s">
        <v>49</v>
      </c>
      <c r="T482" s="8" t="s">
        <v>49</v>
      </c>
      <c r="U482" s="8" t="s">
        <v>2520</v>
      </c>
      <c r="V482" s="8" t="s">
        <v>1163</v>
      </c>
      <c r="W482" s="8" t="s">
        <v>1536</v>
      </c>
      <c r="X482" s="8" t="s">
        <v>108</v>
      </c>
      <c r="Y482" s="8" t="s">
        <v>432</v>
      </c>
      <c r="Z482" s="8" t="s">
        <v>1831</v>
      </c>
      <c r="AA482" s="8" t="s">
        <v>231</v>
      </c>
      <c r="AB482" s="8" t="s">
        <v>60</v>
      </c>
      <c r="AC482" s="8" t="s">
        <v>61</v>
      </c>
      <c r="AD482" s="8" t="s">
        <v>2521</v>
      </c>
      <c r="AE482" s="8" t="s">
        <v>55</v>
      </c>
      <c r="AF482" s="8" t="s">
        <v>55</v>
      </c>
      <c r="AG482" s="8" t="s">
        <v>63</v>
      </c>
      <c r="AH482" s="8" t="s">
        <v>111</v>
      </c>
      <c r="AI482" s="8" t="s">
        <v>463</v>
      </c>
      <c r="AJ482" s="8" t="s">
        <v>49</v>
      </c>
      <c r="AK482" s="8" t="s">
        <v>49</v>
      </c>
      <c r="AL482" s="8" t="s">
        <v>720</v>
      </c>
      <c r="AM482" s="8" t="s">
        <v>2507</v>
      </c>
      <c r="AN482" s="9" t="s">
        <v>2522</v>
      </c>
      <c r="AO482" s="9" t="s">
        <v>2523</v>
      </c>
      <c r="AP482" s="10" t="s">
        <v>2524</v>
      </c>
      <c r="AQ482" s="10" t="s">
        <v>2525</v>
      </c>
      <c r="AR482" s="10" t="s">
        <v>2526</v>
      </c>
      <c r="AS482" s="12"/>
      <c r="AT482" s="10" t="s">
        <v>2527</v>
      </c>
      <c r="AU482" s="10" t="s">
        <v>2528</v>
      </c>
      <c r="AV482" s="13"/>
    </row>
    <row r="483" ht="16.5" hidden="1" customHeight="1">
      <c r="A483" s="7" t="s">
        <v>2529</v>
      </c>
      <c r="B483" s="7" t="s">
        <v>49</v>
      </c>
      <c r="C483" s="7" t="s">
        <v>213</v>
      </c>
      <c r="D483" s="7" t="s">
        <v>51</v>
      </c>
      <c r="E483" s="7" t="s">
        <v>227</v>
      </c>
      <c r="F483" s="7">
        <v>6840.0</v>
      </c>
      <c r="G483" s="7">
        <v>6840.0</v>
      </c>
      <c r="H483" s="7" t="s">
        <v>53</v>
      </c>
      <c r="I483" s="7"/>
      <c r="J483" s="7"/>
      <c r="K483" s="8" t="s">
        <v>84</v>
      </c>
      <c r="L483" s="8" t="s">
        <v>126</v>
      </c>
      <c r="M483" s="8"/>
      <c r="N483" s="8" t="s">
        <v>85</v>
      </c>
      <c r="O483" s="8" t="s">
        <v>217</v>
      </c>
      <c r="P483" s="8" t="s">
        <v>57</v>
      </c>
      <c r="Q483" s="8" t="s">
        <v>1299</v>
      </c>
      <c r="R483" s="8">
        <v>0.55</v>
      </c>
      <c r="S483" s="8" t="s">
        <v>49</v>
      </c>
      <c r="T483" s="8" t="s">
        <v>49</v>
      </c>
      <c r="U483" s="8" t="s">
        <v>2520</v>
      </c>
      <c r="V483" s="8" t="s">
        <v>1163</v>
      </c>
      <c r="W483" s="8" t="s">
        <v>1536</v>
      </c>
      <c r="X483" s="8" t="s">
        <v>108</v>
      </c>
      <c r="Y483" s="8" t="s">
        <v>432</v>
      </c>
      <c r="Z483" s="8" t="s">
        <v>1831</v>
      </c>
      <c r="AA483" s="8" t="s">
        <v>231</v>
      </c>
      <c r="AB483" s="8" t="s">
        <v>60</v>
      </c>
      <c r="AC483" s="8" t="s">
        <v>61</v>
      </c>
      <c r="AD483" s="8" t="s">
        <v>2521</v>
      </c>
      <c r="AE483" s="8" t="s">
        <v>55</v>
      </c>
      <c r="AF483" s="8" t="s">
        <v>55</v>
      </c>
      <c r="AG483" s="8" t="s">
        <v>63</v>
      </c>
      <c r="AH483" s="8" t="s">
        <v>111</v>
      </c>
      <c r="AI483" s="8" t="s">
        <v>463</v>
      </c>
      <c r="AJ483" s="8" t="s">
        <v>49</v>
      </c>
      <c r="AK483" s="8" t="s">
        <v>1422</v>
      </c>
      <c r="AL483" s="8" t="s">
        <v>720</v>
      </c>
      <c r="AM483" s="8" t="s">
        <v>2507</v>
      </c>
      <c r="AN483" s="9" t="s">
        <v>2522</v>
      </c>
      <c r="AO483" s="9" t="s">
        <v>2523</v>
      </c>
      <c r="AP483" s="10" t="s">
        <v>2524</v>
      </c>
      <c r="AQ483" s="10" t="s">
        <v>2525</v>
      </c>
      <c r="AR483" s="10" t="s">
        <v>2526</v>
      </c>
      <c r="AS483" s="12"/>
      <c r="AT483" s="10" t="s">
        <v>2527</v>
      </c>
      <c r="AU483" s="10" t="s">
        <v>2528</v>
      </c>
      <c r="AV483" s="13"/>
    </row>
    <row r="484" ht="16.5" hidden="1" customHeight="1">
      <c r="A484" s="7" t="s">
        <v>2530</v>
      </c>
      <c r="B484" s="14" t="s">
        <v>49</v>
      </c>
      <c r="C484" s="14" t="s">
        <v>213</v>
      </c>
      <c r="D484" s="14" t="s">
        <v>51</v>
      </c>
      <c r="E484" s="7"/>
      <c r="F484" s="7">
        <v>6841.0</v>
      </c>
      <c r="G484" s="7">
        <v>6840.0</v>
      </c>
      <c r="H484" s="7" t="s">
        <v>53</v>
      </c>
      <c r="I484" s="7"/>
      <c r="J484" s="7"/>
      <c r="K484" s="8" t="s">
        <v>84</v>
      </c>
      <c r="L484" s="8" t="s">
        <v>126</v>
      </c>
      <c r="M484" s="8"/>
      <c r="N484" s="8" t="s">
        <v>85</v>
      </c>
      <c r="O484" s="8" t="s">
        <v>217</v>
      </c>
      <c r="P484" s="8" t="s">
        <v>57</v>
      </c>
      <c r="Q484" s="8" t="s">
        <v>1299</v>
      </c>
      <c r="R484" s="8">
        <v>0.55</v>
      </c>
      <c r="S484" s="8" t="s">
        <v>49</v>
      </c>
      <c r="T484" s="8" t="s">
        <v>49</v>
      </c>
      <c r="U484" s="8" t="s">
        <v>2520</v>
      </c>
      <c r="V484" s="8" t="s">
        <v>1163</v>
      </c>
      <c r="W484" s="8" t="s">
        <v>1536</v>
      </c>
      <c r="X484" s="8" t="s">
        <v>108</v>
      </c>
      <c r="Y484" s="8" t="s">
        <v>432</v>
      </c>
      <c r="Z484" s="8" t="s">
        <v>1831</v>
      </c>
      <c r="AA484" s="8" t="s">
        <v>231</v>
      </c>
      <c r="AB484" s="8" t="s">
        <v>60</v>
      </c>
      <c r="AC484" s="8" t="s">
        <v>61</v>
      </c>
      <c r="AD484" s="8" t="s">
        <v>2521</v>
      </c>
      <c r="AE484" s="8" t="s">
        <v>55</v>
      </c>
      <c r="AF484" s="8" t="s">
        <v>55</v>
      </c>
      <c r="AG484" s="8" t="s">
        <v>63</v>
      </c>
      <c r="AH484" s="8" t="s">
        <v>111</v>
      </c>
      <c r="AI484" s="8" t="s">
        <v>65</v>
      </c>
      <c r="AJ484" s="8" t="s">
        <v>49</v>
      </c>
      <c r="AK484" s="8" t="s">
        <v>1422</v>
      </c>
      <c r="AL484" s="8" t="s">
        <v>720</v>
      </c>
      <c r="AM484" s="8"/>
      <c r="AN484" s="9" t="s">
        <v>2531</v>
      </c>
      <c r="AO484" s="9" t="s">
        <v>2532</v>
      </c>
      <c r="AP484" s="10" t="s">
        <v>2524</v>
      </c>
      <c r="AQ484" s="10" t="s">
        <v>2525</v>
      </c>
      <c r="AR484" s="10" t="s">
        <v>2526</v>
      </c>
      <c r="AS484" s="12"/>
      <c r="AT484" s="10" t="s">
        <v>2527</v>
      </c>
      <c r="AU484" s="10" t="s">
        <v>2528</v>
      </c>
      <c r="AV484" s="13"/>
    </row>
    <row r="485" ht="16.5" hidden="1" customHeight="1">
      <c r="A485" s="7" t="s">
        <v>2533</v>
      </c>
      <c r="B485" s="7" t="s">
        <v>49</v>
      </c>
      <c r="C485" s="7" t="s">
        <v>50</v>
      </c>
      <c r="D485" s="7" t="s">
        <v>51</v>
      </c>
      <c r="E485" s="7" t="s">
        <v>227</v>
      </c>
      <c r="F485" s="7">
        <v>6842.0</v>
      </c>
      <c r="G485" s="7"/>
      <c r="H485" s="7" t="s">
        <v>53</v>
      </c>
      <c r="I485" s="7"/>
      <c r="J485" s="7"/>
      <c r="K485" s="8" t="s">
        <v>2534</v>
      </c>
      <c r="L485" s="8" t="s">
        <v>126</v>
      </c>
      <c r="M485" s="8"/>
      <c r="N485" s="8" t="s">
        <v>85</v>
      </c>
      <c r="O485" s="8" t="s">
        <v>217</v>
      </c>
      <c r="P485" s="8" t="s">
        <v>57</v>
      </c>
      <c r="Q485" s="8" t="s">
        <v>334</v>
      </c>
      <c r="R485" s="8">
        <v>0.5</v>
      </c>
      <c r="S485" s="8" t="s">
        <v>49</v>
      </c>
      <c r="T485" s="8" t="s">
        <v>49</v>
      </c>
      <c r="U485" s="8" t="s">
        <v>429</v>
      </c>
      <c r="V485" s="8" t="s">
        <v>2535</v>
      </c>
      <c r="W485" s="8" t="s">
        <v>89</v>
      </c>
      <c r="X485" s="8" t="s">
        <v>108</v>
      </c>
      <c r="Y485" s="8" t="s">
        <v>2536</v>
      </c>
      <c r="Z485" s="8" t="s">
        <v>2537</v>
      </c>
      <c r="AA485" s="8" t="s">
        <v>231</v>
      </c>
      <c r="AB485" s="8" t="s">
        <v>60</v>
      </c>
      <c r="AC485" s="8" t="s">
        <v>61</v>
      </c>
      <c r="AD485" s="8" t="s">
        <v>2538</v>
      </c>
      <c r="AE485" s="8" t="s">
        <v>55</v>
      </c>
      <c r="AF485" s="8" t="s">
        <v>55</v>
      </c>
      <c r="AG485" s="8" t="s">
        <v>339</v>
      </c>
      <c r="AH485" s="8" t="s">
        <v>145</v>
      </c>
      <c r="AI485" s="8" t="s">
        <v>2539</v>
      </c>
      <c r="AJ485" s="8" t="s">
        <v>49</v>
      </c>
      <c r="AK485" s="8" t="s">
        <v>49</v>
      </c>
      <c r="AL485" s="8" t="s">
        <v>66</v>
      </c>
      <c r="AM485" s="8" t="s">
        <v>2540</v>
      </c>
      <c r="AN485" s="9" t="s">
        <v>2541</v>
      </c>
      <c r="AO485" s="9" t="s">
        <v>2542</v>
      </c>
      <c r="AP485" s="10" t="s">
        <v>2543</v>
      </c>
      <c r="AQ485" s="10" t="s">
        <v>2544</v>
      </c>
      <c r="AR485" s="10" t="s">
        <v>2545</v>
      </c>
      <c r="AS485" s="12"/>
      <c r="AT485" s="10" t="s">
        <v>2546</v>
      </c>
      <c r="AU485" s="10" t="s">
        <v>2547</v>
      </c>
      <c r="AV485" s="13"/>
    </row>
    <row r="486" ht="16.5" hidden="1" customHeight="1">
      <c r="A486" s="7" t="s">
        <v>2548</v>
      </c>
      <c r="B486" s="7" t="s">
        <v>49</v>
      </c>
      <c r="C486" s="7" t="s">
        <v>50</v>
      </c>
      <c r="D486" s="7" t="s">
        <v>51</v>
      </c>
      <c r="E486" s="7" t="s">
        <v>227</v>
      </c>
      <c r="F486" s="7">
        <v>6842.0</v>
      </c>
      <c r="G486" s="7">
        <v>6842.0</v>
      </c>
      <c r="H486" s="7" t="s">
        <v>53</v>
      </c>
      <c r="I486" s="7"/>
      <c r="J486" s="7"/>
      <c r="K486" s="8" t="s">
        <v>2534</v>
      </c>
      <c r="L486" s="8" t="s">
        <v>126</v>
      </c>
      <c r="M486" s="8"/>
      <c r="N486" s="8" t="s">
        <v>85</v>
      </c>
      <c r="O486" s="8" t="s">
        <v>217</v>
      </c>
      <c r="P486" s="8" t="s">
        <v>57</v>
      </c>
      <c r="Q486" s="8" t="s">
        <v>334</v>
      </c>
      <c r="R486" s="8">
        <v>0.5</v>
      </c>
      <c r="S486" s="8" t="s">
        <v>49</v>
      </c>
      <c r="T486" s="8" t="s">
        <v>49</v>
      </c>
      <c r="U486" s="8" t="s">
        <v>429</v>
      </c>
      <c r="V486" s="8" t="s">
        <v>2535</v>
      </c>
      <c r="W486" s="8" t="s">
        <v>89</v>
      </c>
      <c r="X486" s="8" t="s">
        <v>108</v>
      </c>
      <c r="Y486" s="8" t="s">
        <v>2536</v>
      </c>
      <c r="Z486" s="8" t="s">
        <v>2537</v>
      </c>
      <c r="AA486" s="8" t="s">
        <v>231</v>
      </c>
      <c r="AB486" s="8" t="s">
        <v>60</v>
      </c>
      <c r="AC486" s="8" t="s">
        <v>61</v>
      </c>
      <c r="AD486" s="8" t="s">
        <v>2538</v>
      </c>
      <c r="AE486" s="8" t="s">
        <v>55</v>
      </c>
      <c r="AF486" s="8" t="s">
        <v>55</v>
      </c>
      <c r="AG486" s="8" t="s">
        <v>339</v>
      </c>
      <c r="AH486" s="8" t="s">
        <v>145</v>
      </c>
      <c r="AI486" s="8" t="s">
        <v>2539</v>
      </c>
      <c r="AJ486" s="8" t="s">
        <v>49</v>
      </c>
      <c r="AK486" s="8" t="s">
        <v>95</v>
      </c>
      <c r="AL486" s="8" t="s">
        <v>66</v>
      </c>
      <c r="AM486" s="8" t="s">
        <v>2540</v>
      </c>
      <c r="AN486" s="16" t="s">
        <v>2541</v>
      </c>
      <c r="AO486" s="9" t="s">
        <v>2542</v>
      </c>
      <c r="AP486" s="10" t="s">
        <v>2543</v>
      </c>
      <c r="AQ486" s="10" t="s">
        <v>2544</v>
      </c>
      <c r="AR486" s="10" t="s">
        <v>2545</v>
      </c>
      <c r="AS486" s="12"/>
      <c r="AT486" s="10" t="s">
        <v>2546</v>
      </c>
      <c r="AU486" s="10" t="s">
        <v>2547</v>
      </c>
      <c r="AV486" s="13"/>
    </row>
    <row r="487" ht="16.5" hidden="1" customHeight="1">
      <c r="A487" s="7" t="s">
        <v>2549</v>
      </c>
      <c r="B487" s="7" t="s">
        <v>49</v>
      </c>
      <c r="C487" s="7" t="s">
        <v>50</v>
      </c>
      <c r="D487" s="7" t="s">
        <v>51</v>
      </c>
      <c r="E487" s="7" t="s">
        <v>52</v>
      </c>
      <c r="F487" s="7">
        <v>6843.0</v>
      </c>
      <c r="G487" s="7"/>
      <c r="H487" s="7" t="s">
        <v>53</v>
      </c>
      <c r="I487" s="7"/>
      <c r="J487" s="7"/>
      <c r="K487" s="8" t="s">
        <v>84</v>
      </c>
      <c r="L487" s="8" t="s">
        <v>49</v>
      </c>
      <c r="M487" s="8"/>
      <c r="N487" s="8" t="s">
        <v>85</v>
      </c>
      <c r="O487" s="8" t="s">
        <v>56</v>
      </c>
      <c r="P487" s="8" t="s">
        <v>57</v>
      </c>
      <c r="Q487" s="8" t="s">
        <v>140</v>
      </c>
      <c r="R487" s="8">
        <v>0.5</v>
      </c>
      <c r="S487" s="8" t="s">
        <v>49</v>
      </c>
      <c r="T487" s="8" t="s">
        <v>49</v>
      </c>
      <c r="U487" s="8" t="s">
        <v>2550</v>
      </c>
      <c r="V487" s="8" t="s">
        <v>2551</v>
      </c>
      <c r="W487" s="8" t="s">
        <v>89</v>
      </c>
      <c r="X487" s="8" t="s">
        <v>90</v>
      </c>
      <c r="Y487" s="8" t="s">
        <v>2552</v>
      </c>
      <c r="Z487" s="8" t="s">
        <v>55</v>
      </c>
      <c r="AA487" s="8" t="s">
        <v>59</v>
      </c>
      <c r="AB487" s="8" t="s">
        <v>60</v>
      </c>
      <c r="AC487" s="8" t="s">
        <v>61</v>
      </c>
      <c r="AD487" s="8" t="s">
        <v>2553</v>
      </c>
      <c r="AE487" s="8" t="s">
        <v>55</v>
      </c>
      <c r="AF487" s="8" t="s">
        <v>55</v>
      </c>
      <c r="AG487" s="8" t="s">
        <v>145</v>
      </c>
      <c r="AH487" s="8" t="s">
        <v>145</v>
      </c>
      <c r="AI487" s="8" t="s">
        <v>112</v>
      </c>
      <c r="AJ487" s="8" t="s">
        <v>49</v>
      </c>
      <c r="AK487" s="8" t="s">
        <v>49</v>
      </c>
      <c r="AL487" s="8" t="s">
        <v>66</v>
      </c>
      <c r="AM487" s="8" t="s">
        <v>2554</v>
      </c>
      <c r="AN487" s="16" t="s">
        <v>2555</v>
      </c>
      <c r="AO487" s="9" t="s">
        <v>2556</v>
      </c>
      <c r="AP487" s="10" t="s">
        <v>2557</v>
      </c>
      <c r="AQ487" s="10" t="s">
        <v>2558</v>
      </c>
      <c r="AR487" s="10" t="s">
        <v>2559</v>
      </c>
      <c r="AS487" s="12"/>
      <c r="AT487" s="10" t="s">
        <v>2560</v>
      </c>
      <c r="AU487" s="10" t="s">
        <v>2561</v>
      </c>
      <c r="AV487" s="13"/>
    </row>
    <row r="488" ht="16.5" hidden="1" customHeight="1">
      <c r="A488" s="7" t="s">
        <v>2562</v>
      </c>
      <c r="B488" s="7" t="s">
        <v>49</v>
      </c>
      <c r="C488" s="7" t="s">
        <v>50</v>
      </c>
      <c r="D488" s="7" t="s">
        <v>51</v>
      </c>
      <c r="E488" s="7" t="s">
        <v>52</v>
      </c>
      <c r="F488" s="7">
        <v>6843.0</v>
      </c>
      <c r="G488" s="7">
        <v>6843.0</v>
      </c>
      <c r="H488" s="7" t="s">
        <v>53</v>
      </c>
      <c r="I488" s="7"/>
      <c r="J488" s="7"/>
      <c r="K488" s="8" t="s">
        <v>84</v>
      </c>
      <c r="L488" s="8" t="s">
        <v>49</v>
      </c>
      <c r="M488" s="8"/>
      <c r="N488" s="8" t="s">
        <v>85</v>
      </c>
      <c r="O488" s="8" t="s">
        <v>56</v>
      </c>
      <c r="P488" s="8" t="s">
        <v>57</v>
      </c>
      <c r="Q488" s="8" t="s">
        <v>140</v>
      </c>
      <c r="R488" s="8">
        <v>0.5</v>
      </c>
      <c r="S488" s="8" t="s">
        <v>49</v>
      </c>
      <c r="T488" s="8" t="s">
        <v>49</v>
      </c>
      <c r="U488" s="8" t="s">
        <v>2550</v>
      </c>
      <c r="V488" s="8" t="s">
        <v>2551</v>
      </c>
      <c r="W488" s="8" t="s">
        <v>89</v>
      </c>
      <c r="X488" s="8" t="s">
        <v>90</v>
      </c>
      <c r="Y488" s="8" t="s">
        <v>2552</v>
      </c>
      <c r="Z488" s="8" t="s">
        <v>55</v>
      </c>
      <c r="AA488" s="8" t="s">
        <v>59</v>
      </c>
      <c r="AB488" s="8" t="s">
        <v>60</v>
      </c>
      <c r="AC488" s="8" t="s">
        <v>61</v>
      </c>
      <c r="AD488" s="8" t="s">
        <v>2553</v>
      </c>
      <c r="AE488" s="8" t="s">
        <v>55</v>
      </c>
      <c r="AF488" s="8" t="s">
        <v>55</v>
      </c>
      <c r="AG488" s="8" t="s">
        <v>145</v>
      </c>
      <c r="AH488" s="8" t="s">
        <v>145</v>
      </c>
      <c r="AI488" s="8" t="s">
        <v>112</v>
      </c>
      <c r="AJ488" s="8" t="s">
        <v>49</v>
      </c>
      <c r="AK488" s="8" t="s">
        <v>95</v>
      </c>
      <c r="AL488" s="8" t="s">
        <v>66</v>
      </c>
      <c r="AM488" s="8" t="s">
        <v>2554</v>
      </c>
      <c r="AN488" s="9" t="s">
        <v>2555</v>
      </c>
      <c r="AO488" s="9" t="s">
        <v>2556</v>
      </c>
      <c r="AP488" s="10" t="s">
        <v>2557</v>
      </c>
      <c r="AQ488" s="10" t="s">
        <v>2558</v>
      </c>
      <c r="AR488" s="10" t="s">
        <v>2559</v>
      </c>
      <c r="AS488" s="12"/>
      <c r="AT488" s="10" t="s">
        <v>2560</v>
      </c>
      <c r="AU488" s="10" t="s">
        <v>2561</v>
      </c>
      <c r="AV488" s="15">
        <v>46315.0</v>
      </c>
    </row>
    <row r="489" ht="16.5" hidden="1" customHeight="1">
      <c r="A489" s="7" t="s">
        <v>2563</v>
      </c>
      <c r="B489" s="14" t="s">
        <v>49</v>
      </c>
      <c r="C489" s="14" t="s">
        <v>50</v>
      </c>
      <c r="D489" s="14" t="s">
        <v>51</v>
      </c>
      <c r="E489" s="7"/>
      <c r="F489" s="7">
        <v>6844.0</v>
      </c>
      <c r="G489" s="7">
        <v>6843.0</v>
      </c>
      <c r="H489" s="7" t="s">
        <v>53</v>
      </c>
      <c r="I489" s="7"/>
      <c r="J489" s="7"/>
      <c r="K489" s="8" t="s">
        <v>84</v>
      </c>
      <c r="L489" s="8" t="s">
        <v>49</v>
      </c>
      <c r="M489" s="8"/>
      <c r="N489" s="8" t="s">
        <v>85</v>
      </c>
      <c r="O489" s="8" t="s">
        <v>56</v>
      </c>
      <c r="P489" s="8" t="s">
        <v>57</v>
      </c>
      <c r="Q489" s="8" t="s">
        <v>140</v>
      </c>
      <c r="R489" s="8">
        <v>0.5</v>
      </c>
      <c r="S489" s="8" t="s">
        <v>49</v>
      </c>
      <c r="T489" s="8" t="s">
        <v>49</v>
      </c>
      <c r="U489" s="8" t="s">
        <v>2550</v>
      </c>
      <c r="V489" s="8" t="s">
        <v>2551</v>
      </c>
      <c r="W489" s="8" t="s">
        <v>89</v>
      </c>
      <c r="X489" s="8" t="s">
        <v>90</v>
      </c>
      <c r="Y489" s="8" t="s">
        <v>2552</v>
      </c>
      <c r="Z489" s="8" t="s">
        <v>55</v>
      </c>
      <c r="AA489" s="8" t="s">
        <v>59</v>
      </c>
      <c r="AB489" s="8" t="s">
        <v>60</v>
      </c>
      <c r="AC489" s="8" t="s">
        <v>61</v>
      </c>
      <c r="AD489" s="8" t="s">
        <v>2553</v>
      </c>
      <c r="AE489" s="8" t="s">
        <v>55</v>
      </c>
      <c r="AF489" s="8" t="s">
        <v>55</v>
      </c>
      <c r="AG489" s="8" t="s">
        <v>145</v>
      </c>
      <c r="AH489" s="8" t="s">
        <v>145</v>
      </c>
      <c r="AI489" s="8" t="s">
        <v>94</v>
      </c>
      <c r="AJ489" s="8" t="s">
        <v>49</v>
      </c>
      <c r="AK489" s="8" t="s">
        <v>95</v>
      </c>
      <c r="AL489" s="8" t="s">
        <v>66</v>
      </c>
      <c r="AM489" s="8" t="s">
        <v>2554</v>
      </c>
      <c r="AN489" s="9" t="s">
        <v>2564</v>
      </c>
      <c r="AO489" s="9" t="s">
        <v>2565</v>
      </c>
      <c r="AP489" s="10" t="s">
        <v>2557</v>
      </c>
      <c r="AQ489" s="10" t="s">
        <v>2558</v>
      </c>
      <c r="AR489" s="10" t="s">
        <v>2559</v>
      </c>
      <c r="AS489" s="12"/>
      <c r="AT489" s="10" t="s">
        <v>2560</v>
      </c>
      <c r="AU489" s="10" t="s">
        <v>2561</v>
      </c>
      <c r="AV489" s="15">
        <v>46315.0</v>
      </c>
    </row>
    <row r="490" ht="16.5" hidden="1" customHeight="1">
      <c r="A490" s="7" t="s">
        <v>2566</v>
      </c>
      <c r="B490" s="7" t="s">
        <v>49</v>
      </c>
      <c r="C490" s="7" t="s">
        <v>50</v>
      </c>
      <c r="D490" s="7" t="s">
        <v>51</v>
      </c>
      <c r="E490" s="7" t="s">
        <v>52</v>
      </c>
      <c r="F490" s="7">
        <v>6845.0</v>
      </c>
      <c r="G490" s="7"/>
      <c r="H490" s="7" t="s">
        <v>53</v>
      </c>
      <c r="I490" s="7"/>
      <c r="J490" s="7"/>
      <c r="K490" s="8" t="s">
        <v>84</v>
      </c>
      <c r="L490" s="8" t="s">
        <v>49</v>
      </c>
      <c r="M490" s="8"/>
      <c r="N490" s="8" t="s">
        <v>85</v>
      </c>
      <c r="O490" s="8" t="s">
        <v>56</v>
      </c>
      <c r="P490" s="8" t="s">
        <v>57</v>
      </c>
      <c r="Q490" s="8" t="s">
        <v>140</v>
      </c>
      <c r="R490" s="8">
        <v>0.5</v>
      </c>
      <c r="S490" s="8" t="s">
        <v>49</v>
      </c>
      <c r="T490" s="8" t="s">
        <v>49</v>
      </c>
      <c r="U490" s="8" t="s">
        <v>2550</v>
      </c>
      <c r="V490" s="8" t="s">
        <v>2551</v>
      </c>
      <c r="W490" s="8" t="s">
        <v>89</v>
      </c>
      <c r="X490" s="8" t="s">
        <v>90</v>
      </c>
      <c r="Y490" s="8" t="s">
        <v>2552</v>
      </c>
      <c r="Z490" s="8" t="s">
        <v>55</v>
      </c>
      <c r="AA490" s="8" t="s">
        <v>59</v>
      </c>
      <c r="AB490" s="8" t="s">
        <v>60</v>
      </c>
      <c r="AC490" s="8" t="s">
        <v>61</v>
      </c>
      <c r="AD490" s="8" t="s">
        <v>2567</v>
      </c>
      <c r="AE490" s="8" t="s">
        <v>55</v>
      </c>
      <c r="AF490" s="8" t="s">
        <v>55</v>
      </c>
      <c r="AG490" s="8" t="s">
        <v>145</v>
      </c>
      <c r="AH490" s="8" t="s">
        <v>145</v>
      </c>
      <c r="AI490" s="8" t="s">
        <v>112</v>
      </c>
      <c r="AJ490" s="8" t="s">
        <v>49</v>
      </c>
      <c r="AK490" s="8" t="s">
        <v>49</v>
      </c>
      <c r="AL490" s="8" t="s">
        <v>66</v>
      </c>
      <c r="AM490" s="8" t="s">
        <v>2554</v>
      </c>
      <c r="AN490" s="9" t="s">
        <v>2568</v>
      </c>
      <c r="AO490" s="9" t="s">
        <v>2569</v>
      </c>
      <c r="AP490" s="10" t="s">
        <v>2557</v>
      </c>
      <c r="AQ490" s="10" t="s">
        <v>2558</v>
      </c>
      <c r="AR490" s="10" t="s">
        <v>2570</v>
      </c>
      <c r="AS490" s="12"/>
      <c r="AT490" s="10" t="s">
        <v>2571</v>
      </c>
      <c r="AU490" s="10" t="s">
        <v>2572</v>
      </c>
      <c r="AV490" s="13"/>
    </row>
    <row r="491" ht="16.5" hidden="1" customHeight="1">
      <c r="A491" s="7" t="s">
        <v>2573</v>
      </c>
      <c r="B491" s="7" t="s">
        <v>49</v>
      </c>
      <c r="C491" s="7" t="s">
        <v>50</v>
      </c>
      <c r="D491" s="7" t="s">
        <v>51</v>
      </c>
      <c r="E491" s="7" t="s">
        <v>52</v>
      </c>
      <c r="F491" s="7">
        <v>6845.0</v>
      </c>
      <c r="G491" s="7">
        <v>6845.0</v>
      </c>
      <c r="H491" s="7" t="s">
        <v>53</v>
      </c>
      <c r="I491" s="7"/>
      <c r="J491" s="7"/>
      <c r="K491" s="8" t="s">
        <v>84</v>
      </c>
      <c r="L491" s="8" t="s">
        <v>49</v>
      </c>
      <c r="M491" s="8"/>
      <c r="N491" s="8" t="s">
        <v>85</v>
      </c>
      <c r="O491" s="8" t="s">
        <v>56</v>
      </c>
      <c r="P491" s="8" t="s">
        <v>57</v>
      </c>
      <c r="Q491" s="8" t="s">
        <v>140</v>
      </c>
      <c r="R491" s="8">
        <v>0.5</v>
      </c>
      <c r="S491" s="8" t="s">
        <v>49</v>
      </c>
      <c r="T491" s="8" t="s">
        <v>49</v>
      </c>
      <c r="U491" s="8" t="s">
        <v>2550</v>
      </c>
      <c r="V491" s="8" t="s">
        <v>2551</v>
      </c>
      <c r="W491" s="8" t="s">
        <v>89</v>
      </c>
      <c r="X491" s="8" t="s">
        <v>90</v>
      </c>
      <c r="Y491" s="8" t="s">
        <v>2552</v>
      </c>
      <c r="Z491" s="8" t="s">
        <v>55</v>
      </c>
      <c r="AA491" s="8" t="s">
        <v>59</v>
      </c>
      <c r="AB491" s="8" t="s">
        <v>60</v>
      </c>
      <c r="AC491" s="8" t="s">
        <v>61</v>
      </c>
      <c r="AD491" s="8" t="s">
        <v>2567</v>
      </c>
      <c r="AE491" s="8" t="s">
        <v>55</v>
      </c>
      <c r="AF491" s="8" t="s">
        <v>55</v>
      </c>
      <c r="AG491" s="8" t="s">
        <v>145</v>
      </c>
      <c r="AH491" s="8" t="s">
        <v>145</v>
      </c>
      <c r="AI491" s="8" t="s">
        <v>112</v>
      </c>
      <c r="AJ491" s="8" t="s">
        <v>49</v>
      </c>
      <c r="AK491" s="8" t="s">
        <v>95</v>
      </c>
      <c r="AL491" s="8" t="s">
        <v>66</v>
      </c>
      <c r="AM491" s="8" t="s">
        <v>2554</v>
      </c>
      <c r="AN491" s="9" t="s">
        <v>2568</v>
      </c>
      <c r="AO491" s="9" t="s">
        <v>2569</v>
      </c>
      <c r="AP491" s="10" t="s">
        <v>2557</v>
      </c>
      <c r="AQ491" s="10" t="s">
        <v>2558</v>
      </c>
      <c r="AR491" s="10" t="s">
        <v>2570</v>
      </c>
      <c r="AS491" s="12"/>
      <c r="AT491" s="10" t="s">
        <v>2571</v>
      </c>
      <c r="AU491" s="10" t="s">
        <v>2572</v>
      </c>
      <c r="AV491" s="13"/>
    </row>
    <row r="492" ht="16.5" hidden="1" customHeight="1">
      <c r="A492" s="7" t="s">
        <v>2574</v>
      </c>
      <c r="B492" s="14" t="s">
        <v>49</v>
      </c>
      <c r="C492" s="14" t="s">
        <v>50</v>
      </c>
      <c r="D492" s="14" t="s">
        <v>51</v>
      </c>
      <c r="E492" s="7"/>
      <c r="F492" s="7">
        <v>6846.0</v>
      </c>
      <c r="G492" s="7">
        <v>6845.0</v>
      </c>
      <c r="H492" s="7" t="s">
        <v>53</v>
      </c>
      <c r="I492" s="7"/>
      <c r="J492" s="7"/>
      <c r="K492" s="8" t="s">
        <v>84</v>
      </c>
      <c r="L492" s="8" t="s">
        <v>49</v>
      </c>
      <c r="M492" s="8"/>
      <c r="N492" s="8" t="s">
        <v>85</v>
      </c>
      <c r="O492" s="8" t="s">
        <v>56</v>
      </c>
      <c r="P492" s="8" t="s">
        <v>57</v>
      </c>
      <c r="Q492" s="8" t="s">
        <v>140</v>
      </c>
      <c r="R492" s="8">
        <v>0.5</v>
      </c>
      <c r="S492" s="8" t="s">
        <v>49</v>
      </c>
      <c r="T492" s="8" t="s">
        <v>49</v>
      </c>
      <c r="U492" s="8" t="s">
        <v>2550</v>
      </c>
      <c r="V492" s="8" t="s">
        <v>2551</v>
      </c>
      <c r="W492" s="8" t="s">
        <v>89</v>
      </c>
      <c r="X492" s="8" t="s">
        <v>90</v>
      </c>
      <c r="Y492" s="8" t="s">
        <v>2552</v>
      </c>
      <c r="Z492" s="8" t="s">
        <v>55</v>
      </c>
      <c r="AA492" s="8" t="s">
        <v>59</v>
      </c>
      <c r="AB492" s="8" t="s">
        <v>60</v>
      </c>
      <c r="AC492" s="8" t="s">
        <v>61</v>
      </c>
      <c r="AD492" s="8" t="s">
        <v>2567</v>
      </c>
      <c r="AE492" s="8" t="s">
        <v>55</v>
      </c>
      <c r="AF492" s="8" t="s">
        <v>55</v>
      </c>
      <c r="AG492" s="8" t="s">
        <v>145</v>
      </c>
      <c r="AH492" s="8" t="s">
        <v>145</v>
      </c>
      <c r="AI492" s="8" t="s">
        <v>94</v>
      </c>
      <c r="AJ492" s="8" t="s">
        <v>49</v>
      </c>
      <c r="AK492" s="8" t="s">
        <v>95</v>
      </c>
      <c r="AL492" s="8" t="s">
        <v>66</v>
      </c>
      <c r="AM492" s="8" t="s">
        <v>2554</v>
      </c>
      <c r="AN492" s="9" t="s">
        <v>2575</v>
      </c>
      <c r="AO492" s="9" t="s">
        <v>2576</v>
      </c>
      <c r="AP492" s="10" t="s">
        <v>2557</v>
      </c>
      <c r="AQ492" s="10" t="s">
        <v>2558</v>
      </c>
      <c r="AR492" s="10" t="s">
        <v>2570</v>
      </c>
      <c r="AS492" s="12"/>
      <c r="AT492" s="10" t="s">
        <v>2571</v>
      </c>
      <c r="AU492" s="10" t="s">
        <v>2572</v>
      </c>
      <c r="AV492" s="15">
        <v>46315.0</v>
      </c>
    </row>
    <row r="493" ht="16.5" hidden="1" customHeight="1">
      <c r="A493" s="7" t="s">
        <v>2577</v>
      </c>
      <c r="B493" s="14" t="s">
        <v>49</v>
      </c>
      <c r="C493" s="14" t="s">
        <v>213</v>
      </c>
      <c r="D493" s="14" t="s">
        <v>51</v>
      </c>
      <c r="E493" s="7"/>
      <c r="F493" s="7">
        <v>6847.0</v>
      </c>
      <c r="G493" s="7">
        <v>6736.0</v>
      </c>
      <c r="H493" s="7" t="s">
        <v>53</v>
      </c>
      <c r="I493" s="7"/>
      <c r="J493" s="7"/>
      <c r="K493" s="8" t="s">
        <v>84</v>
      </c>
      <c r="L493" s="8" t="s">
        <v>377</v>
      </c>
      <c r="M493" s="8"/>
      <c r="N493" s="8" t="s">
        <v>85</v>
      </c>
      <c r="O493" s="8" t="s">
        <v>217</v>
      </c>
      <c r="P493" s="8" t="s">
        <v>57</v>
      </c>
      <c r="Q493" s="8" t="s">
        <v>1865</v>
      </c>
      <c r="R493" s="8">
        <v>0.5</v>
      </c>
      <c r="S493" s="8" t="s">
        <v>49</v>
      </c>
      <c r="T493" s="8" t="s">
        <v>49</v>
      </c>
      <c r="U493" s="8" t="s">
        <v>2395</v>
      </c>
      <c r="V493" s="8" t="s">
        <v>1301</v>
      </c>
      <c r="W493" s="8" t="s">
        <v>1778</v>
      </c>
      <c r="X493" s="8" t="s">
        <v>108</v>
      </c>
      <c r="Y493" s="8" t="s">
        <v>1779</v>
      </c>
      <c r="Z493" s="8" t="s">
        <v>130</v>
      </c>
      <c r="AA493" s="8" t="s">
        <v>231</v>
      </c>
      <c r="AB493" s="8" t="s">
        <v>60</v>
      </c>
      <c r="AC493" s="8" t="s">
        <v>61</v>
      </c>
      <c r="AD493" s="8" t="s">
        <v>2578</v>
      </c>
      <c r="AE493" s="8" t="s">
        <v>55</v>
      </c>
      <c r="AF493" s="8" t="s">
        <v>55</v>
      </c>
      <c r="AG493" s="8" t="s">
        <v>63</v>
      </c>
      <c r="AH493" s="8" t="s">
        <v>145</v>
      </c>
      <c r="AI493" s="8" t="s">
        <v>112</v>
      </c>
      <c r="AJ493" s="8" t="s">
        <v>49</v>
      </c>
      <c r="AK493" s="8" t="s">
        <v>95</v>
      </c>
      <c r="AL493" s="8" t="s">
        <v>66</v>
      </c>
      <c r="AM493" s="8" t="s">
        <v>1791</v>
      </c>
      <c r="AN493" s="16" t="s">
        <v>2579</v>
      </c>
      <c r="AO493" s="9" t="s">
        <v>2580</v>
      </c>
      <c r="AP493" s="10" t="s">
        <v>1784</v>
      </c>
      <c r="AQ493" s="10" t="s">
        <v>2581</v>
      </c>
      <c r="AR493" s="10" t="s">
        <v>2582</v>
      </c>
      <c r="AS493" s="12"/>
      <c r="AT493" s="10" t="s">
        <v>2583</v>
      </c>
      <c r="AU493" s="10" t="s">
        <v>2584</v>
      </c>
      <c r="AV493" s="15">
        <v>46315.0</v>
      </c>
    </row>
    <row r="494" ht="16.5" hidden="1" customHeight="1">
      <c r="A494" s="7" t="s">
        <v>2585</v>
      </c>
      <c r="B494" s="14" t="s">
        <v>49</v>
      </c>
      <c r="C494" s="14" t="s">
        <v>213</v>
      </c>
      <c r="D494" s="14" t="s">
        <v>51</v>
      </c>
      <c r="E494" s="7"/>
      <c r="F494" s="7">
        <v>6848.0</v>
      </c>
      <c r="G494" s="7">
        <v>6736.0</v>
      </c>
      <c r="H494" s="7" t="s">
        <v>53</v>
      </c>
      <c r="I494" s="7"/>
      <c r="J494" s="7"/>
      <c r="K494" s="8" t="s">
        <v>84</v>
      </c>
      <c r="L494" s="8" t="s">
        <v>377</v>
      </c>
      <c r="M494" s="8"/>
      <c r="N494" s="8" t="s">
        <v>85</v>
      </c>
      <c r="O494" s="8" t="s">
        <v>217</v>
      </c>
      <c r="P494" s="8" t="s">
        <v>57</v>
      </c>
      <c r="Q494" s="8" t="s">
        <v>1865</v>
      </c>
      <c r="R494" s="8">
        <v>0.5</v>
      </c>
      <c r="S494" s="8" t="s">
        <v>49</v>
      </c>
      <c r="T494" s="8" t="s">
        <v>49</v>
      </c>
      <c r="U494" s="8" t="s">
        <v>2395</v>
      </c>
      <c r="V494" s="8" t="s">
        <v>1301</v>
      </c>
      <c r="W494" s="8" t="s">
        <v>1778</v>
      </c>
      <c r="X494" s="8" t="s">
        <v>108</v>
      </c>
      <c r="Y494" s="8" t="s">
        <v>1779</v>
      </c>
      <c r="Z494" s="8" t="s">
        <v>130</v>
      </c>
      <c r="AA494" s="8" t="s">
        <v>231</v>
      </c>
      <c r="AB494" s="8" t="s">
        <v>60</v>
      </c>
      <c r="AC494" s="8" t="s">
        <v>61</v>
      </c>
      <c r="AD494" s="8" t="s">
        <v>2578</v>
      </c>
      <c r="AE494" s="8" t="s">
        <v>55</v>
      </c>
      <c r="AF494" s="8" t="s">
        <v>55</v>
      </c>
      <c r="AG494" s="8" t="s">
        <v>63</v>
      </c>
      <c r="AH494" s="8" t="s">
        <v>145</v>
      </c>
      <c r="AI494" s="8" t="s">
        <v>94</v>
      </c>
      <c r="AJ494" s="8" t="s">
        <v>49</v>
      </c>
      <c r="AK494" s="8" t="s">
        <v>95</v>
      </c>
      <c r="AL494" s="8" t="s">
        <v>66</v>
      </c>
      <c r="AM494" s="8" t="s">
        <v>1791</v>
      </c>
      <c r="AN494" s="16" t="s">
        <v>2586</v>
      </c>
      <c r="AO494" s="9" t="s">
        <v>2587</v>
      </c>
      <c r="AP494" s="10" t="s">
        <v>1784</v>
      </c>
      <c r="AQ494" s="10" t="s">
        <v>2581</v>
      </c>
      <c r="AR494" s="10" t="s">
        <v>2582</v>
      </c>
      <c r="AS494" s="12"/>
      <c r="AT494" s="10" t="s">
        <v>2583</v>
      </c>
      <c r="AU494" s="10" t="s">
        <v>2584</v>
      </c>
      <c r="AV494" s="15">
        <v>46315.0</v>
      </c>
    </row>
    <row r="495" ht="16.5" hidden="1" customHeight="1">
      <c r="A495" s="7" t="s">
        <v>2588</v>
      </c>
      <c r="B495" s="14" t="s">
        <v>49</v>
      </c>
      <c r="C495" s="14" t="s">
        <v>213</v>
      </c>
      <c r="D495" s="14" t="s">
        <v>51</v>
      </c>
      <c r="E495" s="7"/>
      <c r="F495" s="7">
        <v>6849.0</v>
      </c>
      <c r="G495" s="7">
        <v>6773.0</v>
      </c>
      <c r="H495" s="7" t="s">
        <v>53</v>
      </c>
      <c r="I495" s="7"/>
      <c r="J495" s="14" t="s">
        <v>1159</v>
      </c>
      <c r="K495" s="8" t="s">
        <v>84</v>
      </c>
      <c r="L495" s="8" t="s">
        <v>49</v>
      </c>
      <c r="M495" s="8"/>
      <c r="N495" s="8" t="s">
        <v>85</v>
      </c>
      <c r="O495" s="8" t="s">
        <v>217</v>
      </c>
      <c r="P495" s="8" t="s">
        <v>57</v>
      </c>
      <c r="Q495" s="8" t="s">
        <v>1161</v>
      </c>
      <c r="R495" s="8">
        <v>0.6</v>
      </c>
      <c r="S495" s="8" t="s">
        <v>49</v>
      </c>
      <c r="T495" s="8" t="s">
        <v>49</v>
      </c>
      <c r="U495" s="8" t="s">
        <v>1430</v>
      </c>
      <c r="V495" s="8" t="s">
        <v>2103</v>
      </c>
      <c r="W495" s="8" t="s">
        <v>1778</v>
      </c>
      <c r="X495" s="8" t="s">
        <v>1797</v>
      </c>
      <c r="Y495" s="8" t="s">
        <v>2065</v>
      </c>
      <c r="Z495" s="8" t="s">
        <v>92</v>
      </c>
      <c r="AA495" s="8" t="s">
        <v>231</v>
      </c>
      <c r="AB495" s="8" t="s">
        <v>60</v>
      </c>
      <c r="AC495" s="8" t="s">
        <v>1165</v>
      </c>
      <c r="AD495" s="8" t="s">
        <v>2104</v>
      </c>
      <c r="AE495" s="8" t="s">
        <v>55</v>
      </c>
      <c r="AF495" s="8" t="s">
        <v>55</v>
      </c>
      <c r="AG495" s="8" t="s">
        <v>339</v>
      </c>
      <c r="AH495" s="8" t="s">
        <v>111</v>
      </c>
      <c r="AI495" s="8" t="s">
        <v>2040</v>
      </c>
      <c r="AJ495" s="8" t="s">
        <v>49</v>
      </c>
      <c r="AK495" s="8" t="s">
        <v>95</v>
      </c>
      <c r="AL495" s="8" t="s">
        <v>66</v>
      </c>
      <c r="AM495" s="8" t="s">
        <v>2041</v>
      </c>
      <c r="AN495" s="16" t="s">
        <v>2589</v>
      </c>
      <c r="AO495" s="9" t="s">
        <v>2590</v>
      </c>
      <c r="AP495" s="10" t="s">
        <v>2093</v>
      </c>
      <c r="AQ495" s="10" t="s">
        <v>2107</v>
      </c>
      <c r="AR495" s="10" t="s">
        <v>2108</v>
      </c>
      <c r="AS495" s="12"/>
      <c r="AT495" s="10" t="s">
        <v>2109</v>
      </c>
      <c r="AU495" s="10" t="s">
        <v>2110</v>
      </c>
      <c r="AV495" s="13"/>
    </row>
    <row r="496" ht="16.5" hidden="1" customHeight="1">
      <c r="A496" s="7" t="s">
        <v>2591</v>
      </c>
      <c r="B496" s="14" t="s">
        <v>49</v>
      </c>
      <c r="C496" s="14" t="s">
        <v>213</v>
      </c>
      <c r="D496" s="14" t="s">
        <v>1144</v>
      </c>
      <c r="E496" s="7"/>
      <c r="F496" s="7">
        <v>6850.0</v>
      </c>
      <c r="G496" s="7">
        <v>6826.0</v>
      </c>
      <c r="H496" s="7" t="s">
        <v>53</v>
      </c>
      <c r="I496" s="7"/>
      <c r="J496" s="7"/>
      <c r="K496" s="8" t="s">
        <v>1534</v>
      </c>
      <c r="L496" s="8" t="s">
        <v>49</v>
      </c>
      <c r="M496" s="8"/>
      <c r="N496" s="8" t="s">
        <v>85</v>
      </c>
      <c r="O496" s="8" t="s">
        <v>217</v>
      </c>
      <c r="P496" s="8" t="s">
        <v>57</v>
      </c>
      <c r="Q496" s="8" t="s">
        <v>1299</v>
      </c>
      <c r="R496" s="8">
        <v>0.52</v>
      </c>
      <c r="S496" s="8" t="s">
        <v>49</v>
      </c>
      <c r="T496" s="8" t="s">
        <v>49</v>
      </c>
      <c r="U496" s="8" t="s">
        <v>2381</v>
      </c>
      <c r="V496" s="8" t="s">
        <v>443</v>
      </c>
      <c r="W496" s="8" t="s">
        <v>89</v>
      </c>
      <c r="X496" s="8" t="s">
        <v>108</v>
      </c>
      <c r="Y496" s="8" t="s">
        <v>1830</v>
      </c>
      <c r="Z496" s="8" t="s">
        <v>2382</v>
      </c>
      <c r="AA496" s="8" t="s">
        <v>231</v>
      </c>
      <c r="AB496" s="8" t="s">
        <v>60</v>
      </c>
      <c r="AC496" s="8" t="s">
        <v>1144</v>
      </c>
      <c r="AD496" s="8" t="s">
        <v>2383</v>
      </c>
      <c r="AE496" s="8" t="s">
        <v>55</v>
      </c>
      <c r="AF496" s="8" t="s">
        <v>55</v>
      </c>
      <c r="AG496" s="8" t="s">
        <v>63</v>
      </c>
      <c r="AH496" s="8" t="s">
        <v>111</v>
      </c>
      <c r="AI496" s="8" t="s">
        <v>112</v>
      </c>
      <c r="AJ496" s="8" t="s">
        <v>49</v>
      </c>
      <c r="AK496" s="8" t="s">
        <v>95</v>
      </c>
      <c r="AL496" s="8" t="s">
        <v>66</v>
      </c>
      <c r="AM496" s="8"/>
      <c r="AN496" s="9" t="s">
        <v>2592</v>
      </c>
      <c r="AO496" s="9" t="s">
        <v>2593</v>
      </c>
      <c r="AP496" s="10" t="s">
        <v>2387</v>
      </c>
      <c r="AQ496" s="10" t="s">
        <v>2388</v>
      </c>
      <c r="AR496" s="10" t="s">
        <v>2389</v>
      </c>
      <c r="AS496" s="12"/>
      <c r="AT496" s="10" t="s">
        <v>2390</v>
      </c>
      <c r="AU496" s="11"/>
      <c r="AV496" s="13"/>
    </row>
    <row r="497" ht="16.5" hidden="1" customHeight="1">
      <c r="A497" s="7" t="s">
        <v>2594</v>
      </c>
      <c r="B497" s="14" t="s">
        <v>49</v>
      </c>
      <c r="C497" s="14" t="s">
        <v>213</v>
      </c>
      <c r="D497" s="14" t="s">
        <v>1144</v>
      </c>
      <c r="E497" s="7"/>
      <c r="F497" s="7">
        <v>6851.0</v>
      </c>
      <c r="G497" s="7">
        <v>6826.0</v>
      </c>
      <c r="H497" s="7" t="s">
        <v>53</v>
      </c>
      <c r="I497" s="7"/>
      <c r="J497" s="7"/>
      <c r="K497" s="8" t="s">
        <v>1534</v>
      </c>
      <c r="L497" s="8" t="s">
        <v>49</v>
      </c>
      <c r="M497" s="8"/>
      <c r="N497" s="8" t="s">
        <v>85</v>
      </c>
      <c r="O497" s="8" t="s">
        <v>217</v>
      </c>
      <c r="P497" s="8" t="s">
        <v>57</v>
      </c>
      <c r="Q497" s="8" t="s">
        <v>2394</v>
      </c>
      <c r="R497" s="8">
        <v>0.52</v>
      </c>
      <c r="S497" s="8" t="s">
        <v>49</v>
      </c>
      <c r="T497" s="8" t="s">
        <v>49</v>
      </c>
      <c r="U497" s="8" t="s">
        <v>2395</v>
      </c>
      <c r="V497" s="8" t="s">
        <v>2396</v>
      </c>
      <c r="W497" s="8" t="s">
        <v>89</v>
      </c>
      <c r="X497" s="8" t="s">
        <v>108</v>
      </c>
      <c r="Y497" s="8" t="s">
        <v>1830</v>
      </c>
      <c r="Z497" s="8" t="s">
        <v>2382</v>
      </c>
      <c r="AA497" s="8" t="s">
        <v>231</v>
      </c>
      <c r="AB497" s="8" t="s">
        <v>60</v>
      </c>
      <c r="AC497" s="8" t="s">
        <v>1144</v>
      </c>
      <c r="AD497" s="8" t="s">
        <v>2397</v>
      </c>
      <c r="AE497" s="8" t="s">
        <v>55</v>
      </c>
      <c r="AF497" s="8" t="s">
        <v>55</v>
      </c>
      <c r="AG497" s="8" t="s">
        <v>63</v>
      </c>
      <c r="AH497" s="8" t="s">
        <v>111</v>
      </c>
      <c r="AI497" s="8" t="s">
        <v>112</v>
      </c>
      <c r="AJ497" s="8" t="s">
        <v>49</v>
      </c>
      <c r="AK497" s="8" t="s">
        <v>95</v>
      </c>
      <c r="AL497" s="8" t="s">
        <v>66</v>
      </c>
      <c r="AM497" s="8"/>
      <c r="AN497" s="16" t="s">
        <v>2595</v>
      </c>
      <c r="AO497" s="12" t="s">
        <v>224</v>
      </c>
      <c r="AP497" s="10" t="s">
        <v>2387</v>
      </c>
      <c r="AQ497" s="10" t="s">
        <v>2399</v>
      </c>
      <c r="AR497" s="10" t="s">
        <v>2400</v>
      </c>
      <c r="AS497" s="12"/>
      <c r="AT497" s="10" t="s">
        <v>2401</v>
      </c>
      <c r="AU497" s="11"/>
      <c r="AV497" s="13"/>
    </row>
    <row r="498" ht="16.5" hidden="1" customHeight="1">
      <c r="A498" s="7" t="s">
        <v>2596</v>
      </c>
      <c r="B498" s="14" t="s">
        <v>49</v>
      </c>
      <c r="C498" s="14" t="s">
        <v>213</v>
      </c>
      <c r="D498" s="14" t="s">
        <v>1144</v>
      </c>
      <c r="E498" s="7"/>
      <c r="F498" s="7">
        <v>6852.0</v>
      </c>
      <c r="G498" s="7">
        <v>6826.0</v>
      </c>
      <c r="H498" s="7" t="s">
        <v>53</v>
      </c>
      <c r="I498" s="7"/>
      <c r="J498" s="7"/>
      <c r="K498" s="8" t="s">
        <v>1534</v>
      </c>
      <c r="L498" s="8" t="s">
        <v>49</v>
      </c>
      <c r="M498" s="8"/>
      <c r="N498" s="8" t="s">
        <v>85</v>
      </c>
      <c r="O498" s="8" t="s">
        <v>217</v>
      </c>
      <c r="P498" s="8" t="s">
        <v>57</v>
      </c>
      <c r="Q498" s="8" t="s">
        <v>1428</v>
      </c>
      <c r="R498" s="8">
        <v>0.52</v>
      </c>
      <c r="S498" s="8" t="s">
        <v>49</v>
      </c>
      <c r="T498" s="8" t="s">
        <v>49</v>
      </c>
      <c r="U498" s="8" t="s">
        <v>2403</v>
      </c>
      <c r="V498" s="8" t="s">
        <v>2167</v>
      </c>
      <c r="W498" s="8" t="s">
        <v>89</v>
      </c>
      <c r="X498" s="8" t="s">
        <v>108</v>
      </c>
      <c r="Y498" s="8" t="s">
        <v>1830</v>
      </c>
      <c r="Z498" s="8" t="s">
        <v>2382</v>
      </c>
      <c r="AA498" s="8" t="s">
        <v>231</v>
      </c>
      <c r="AB498" s="8" t="s">
        <v>60</v>
      </c>
      <c r="AC498" s="8" t="s">
        <v>1144</v>
      </c>
      <c r="AD498" s="8" t="s">
        <v>2404</v>
      </c>
      <c r="AE498" s="8" t="s">
        <v>55</v>
      </c>
      <c r="AF498" s="8" t="s">
        <v>55</v>
      </c>
      <c r="AG498" s="8" t="s">
        <v>63</v>
      </c>
      <c r="AH498" s="8" t="s">
        <v>111</v>
      </c>
      <c r="AI498" s="8" t="s">
        <v>112</v>
      </c>
      <c r="AJ498" s="8" t="s">
        <v>49</v>
      </c>
      <c r="AK498" s="8" t="s">
        <v>95</v>
      </c>
      <c r="AL498" s="8" t="s">
        <v>66</v>
      </c>
      <c r="AM498" s="8"/>
      <c r="AN498" s="9" t="s">
        <v>2597</v>
      </c>
      <c r="AO498" s="12" t="s">
        <v>224</v>
      </c>
      <c r="AP498" s="10" t="s">
        <v>2387</v>
      </c>
      <c r="AQ498" s="10" t="s">
        <v>2406</v>
      </c>
      <c r="AR498" s="10" t="s">
        <v>2407</v>
      </c>
      <c r="AS498" s="12"/>
      <c r="AT498" s="10" t="s">
        <v>2408</v>
      </c>
      <c r="AU498" s="11"/>
      <c r="AV498" s="15">
        <v>46315.0</v>
      </c>
    </row>
    <row r="499" ht="16.5" hidden="1" customHeight="1">
      <c r="A499" s="7" t="s">
        <v>2598</v>
      </c>
      <c r="B499" s="7" t="s">
        <v>1290</v>
      </c>
      <c r="C499" s="7" t="s">
        <v>1291</v>
      </c>
      <c r="D499" s="7" t="s">
        <v>926</v>
      </c>
      <c r="E499" s="7" t="s">
        <v>227</v>
      </c>
      <c r="F499" s="7">
        <v>6853.0</v>
      </c>
      <c r="G499" s="7"/>
      <c r="H499" s="7" t="s">
        <v>53</v>
      </c>
      <c r="I499" s="7"/>
      <c r="J499" s="7"/>
      <c r="K499" s="8" t="s">
        <v>84</v>
      </c>
      <c r="L499" s="8" t="s">
        <v>1403</v>
      </c>
      <c r="M499" s="8"/>
      <c r="N499" s="8" t="s">
        <v>85</v>
      </c>
      <c r="O499" s="8" t="s">
        <v>217</v>
      </c>
      <c r="P499" s="8" t="s">
        <v>57</v>
      </c>
      <c r="Q499" s="8" t="s">
        <v>105</v>
      </c>
      <c r="R499" s="20">
        <v>0.9</v>
      </c>
      <c r="S499" s="8" t="s">
        <v>2599</v>
      </c>
      <c r="T499" s="8" t="s">
        <v>1406</v>
      </c>
      <c r="U499" s="8" t="s">
        <v>2520</v>
      </c>
      <c r="V499" s="8" t="s">
        <v>2600</v>
      </c>
      <c r="W499" s="8" t="s">
        <v>1409</v>
      </c>
      <c r="X499" s="8" t="s">
        <v>108</v>
      </c>
      <c r="Y499" s="8" t="s">
        <v>161</v>
      </c>
      <c r="Z499" s="8" t="s">
        <v>92</v>
      </c>
      <c r="AA499" s="8" t="s">
        <v>231</v>
      </c>
      <c r="AB499" s="8" t="s">
        <v>60</v>
      </c>
      <c r="AC499" s="8" t="s">
        <v>1018</v>
      </c>
      <c r="AD499" s="8" t="s">
        <v>2601</v>
      </c>
      <c r="AE499" s="8" t="s">
        <v>49</v>
      </c>
      <c r="AF499" s="8" t="s">
        <v>49</v>
      </c>
      <c r="AG499" s="8" t="s">
        <v>63</v>
      </c>
      <c r="AH499" s="8" t="s">
        <v>145</v>
      </c>
      <c r="AI499" s="8" t="s">
        <v>463</v>
      </c>
      <c r="AJ499" s="8" t="s">
        <v>1411</v>
      </c>
      <c r="AK499" s="8" t="s">
        <v>49</v>
      </c>
      <c r="AL499" s="8" t="s">
        <v>720</v>
      </c>
      <c r="AM499" s="8" t="s">
        <v>1412</v>
      </c>
      <c r="AN499" s="9" t="s">
        <v>2602</v>
      </c>
      <c r="AO499" s="9" t="s">
        <v>2603</v>
      </c>
      <c r="AP499" s="10" t="s">
        <v>1296</v>
      </c>
      <c r="AQ499" s="10" t="s">
        <v>2604</v>
      </c>
      <c r="AR499" s="10" t="s">
        <v>2605</v>
      </c>
      <c r="AS499" s="12"/>
      <c r="AT499" s="10" t="s">
        <v>2606</v>
      </c>
      <c r="AU499" s="10" t="s">
        <v>2607</v>
      </c>
      <c r="AV499" s="13"/>
    </row>
    <row r="500" ht="16.5" hidden="1" customHeight="1">
      <c r="A500" s="7" t="s">
        <v>2608</v>
      </c>
      <c r="B500" s="7" t="s">
        <v>1290</v>
      </c>
      <c r="C500" s="7" t="s">
        <v>1291</v>
      </c>
      <c r="D500" s="7" t="s">
        <v>926</v>
      </c>
      <c r="E500" s="7" t="s">
        <v>227</v>
      </c>
      <c r="F500" s="7">
        <v>6853.0</v>
      </c>
      <c r="G500" s="7">
        <v>6853.0</v>
      </c>
      <c r="H500" s="7" t="s">
        <v>53</v>
      </c>
      <c r="I500" s="7"/>
      <c r="J500" s="7"/>
      <c r="K500" s="8" t="s">
        <v>84</v>
      </c>
      <c r="L500" s="8" t="s">
        <v>1403</v>
      </c>
      <c r="M500" s="8"/>
      <c r="N500" s="8" t="s">
        <v>85</v>
      </c>
      <c r="O500" s="8" t="s">
        <v>217</v>
      </c>
      <c r="P500" s="8" t="s">
        <v>57</v>
      </c>
      <c r="Q500" s="8" t="s">
        <v>105</v>
      </c>
      <c r="R500" s="20">
        <v>0.9</v>
      </c>
      <c r="S500" s="8" t="s">
        <v>2599</v>
      </c>
      <c r="T500" s="8" t="s">
        <v>1406</v>
      </c>
      <c r="U500" s="8" t="s">
        <v>2520</v>
      </c>
      <c r="V500" s="8" t="s">
        <v>2600</v>
      </c>
      <c r="W500" s="8" t="s">
        <v>1409</v>
      </c>
      <c r="X500" s="8" t="s">
        <v>108</v>
      </c>
      <c r="Y500" s="8" t="s">
        <v>161</v>
      </c>
      <c r="Z500" s="8" t="s">
        <v>92</v>
      </c>
      <c r="AA500" s="8" t="s">
        <v>231</v>
      </c>
      <c r="AB500" s="8" t="s">
        <v>60</v>
      </c>
      <c r="AC500" s="8" t="s">
        <v>1018</v>
      </c>
      <c r="AD500" s="12" t="s">
        <v>2609</v>
      </c>
      <c r="AE500" s="8" t="s">
        <v>49</v>
      </c>
      <c r="AF500" s="8" t="s">
        <v>49</v>
      </c>
      <c r="AG500" s="8" t="s">
        <v>63</v>
      </c>
      <c r="AH500" s="8" t="s">
        <v>145</v>
      </c>
      <c r="AI500" s="8" t="s">
        <v>463</v>
      </c>
      <c r="AJ500" s="8" t="s">
        <v>1411</v>
      </c>
      <c r="AK500" s="8" t="s">
        <v>1422</v>
      </c>
      <c r="AL500" s="8" t="s">
        <v>720</v>
      </c>
      <c r="AM500" s="8" t="s">
        <v>1412</v>
      </c>
      <c r="AN500" s="16" t="s">
        <v>2602</v>
      </c>
      <c r="AO500" s="9" t="s">
        <v>2603</v>
      </c>
      <c r="AP500" s="10" t="s">
        <v>1296</v>
      </c>
      <c r="AQ500" s="10" t="s">
        <v>2604</v>
      </c>
      <c r="AR500" s="10" t="s">
        <v>2605</v>
      </c>
      <c r="AS500" s="12"/>
      <c r="AT500" s="10" t="s">
        <v>2606</v>
      </c>
      <c r="AU500" s="10" t="s">
        <v>2607</v>
      </c>
      <c r="AV500" s="13"/>
    </row>
    <row r="501" ht="16.5" hidden="1" customHeight="1">
      <c r="A501" s="7" t="s">
        <v>2610</v>
      </c>
      <c r="B501" s="7" t="s">
        <v>1290</v>
      </c>
      <c r="C501" s="14" t="s">
        <v>1291</v>
      </c>
      <c r="D501" s="14" t="s">
        <v>926</v>
      </c>
      <c r="E501" s="7"/>
      <c r="F501" s="7">
        <v>6854.0</v>
      </c>
      <c r="G501" s="7">
        <v>6853.0</v>
      </c>
      <c r="H501" s="7" t="s">
        <v>53</v>
      </c>
      <c r="I501" s="7"/>
      <c r="J501" s="7"/>
      <c r="K501" s="8" t="s">
        <v>84</v>
      </c>
      <c r="L501" s="8" t="s">
        <v>1403</v>
      </c>
      <c r="M501" s="8"/>
      <c r="N501" s="8" t="s">
        <v>85</v>
      </c>
      <c r="O501" s="8" t="s">
        <v>217</v>
      </c>
      <c r="P501" s="8" t="s">
        <v>57</v>
      </c>
      <c r="Q501" s="8" t="s">
        <v>105</v>
      </c>
      <c r="R501" s="20">
        <v>0.9</v>
      </c>
      <c r="S501" s="8" t="s">
        <v>2599</v>
      </c>
      <c r="T501" s="8" t="s">
        <v>1406</v>
      </c>
      <c r="U501" s="8" t="s">
        <v>2520</v>
      </c>
      <c r="V501" s="8" t="s">
        <v>2600</v>
      </c>
      <c r="W501" s="8" t="s">
        <v>1409</v>
      </c>
      <c r="X501" s="8" t="s">
        <v>108</v>
      </c>
      <c r="Y501" s="8" t="s">
        <v>161</v>
      </c>
      <c r="Z501" s="8" t="s">
        <v>92</v>
      </c>
      <c r="AA501" s="8" t="s">
        <v>231</v>
      </c>
      <c r="AB501" s="8" t="s">
        <v>60</v>
      </c>
      <c r="AC501" s="8" t="s">
        <v>1018</v>
      </c>
      <c r="AD501" s="12" t="s">
        <v>2609</v>
      </c>
      <c r="AE501" s="8" t="s">
        <v>49</v>
      </c>
      <c r="AF501" s="8" t="s">
        <v>49</v>
      </c>
      <c r="AG501" s="8" t="s">
        <v>63</v>
      </c>
      <c r="AH501" s="8" t="s">
        <v>145</v>
      </c>
      <c r="AI501" s="8" t="s">
        <v>65</v>
      </c>
      <c r="AJ501" s="8" t="s">
        <v>1411</v>
      </c>
      <c r="AK501" s="8" t="s">
        <v>1422</v>
      </c>
      <c r="AL501" s="8" t="s">
        <v>720</v>
      </c>
      <c r="AM501" s="8" t="s">
        <v>1412</v>
      </c>
      <c r="AN501" s="16" t="s">
        <v>2611</v>
      </c>
      <c r="AO501" s="9" t="s">
        <v>2612</v>
      </c>
      <c r="AP501" s="10" t="s">
        <v>1296</v>
      </c>
      <c r="AQ501" s="10" t="s">
        <v>2604</v>
      </c>
      <c r="AR501" s="10" t="s">
        <v>2605</v>
      </c>
      <c r="AS501" s="12"/>
      <c r="AT501" s="10" t="s">
        <v>2606</v>
      </c>
      <c r="AU501" s="10" t="s">
        <v>2607</v>
      </c>
      <c r="AV501" s="13"/>
    </row>
    <row r="502" ht="16.5" hidden="1" customHeight="1">
      <c r="A502" s="7" t="s">
        <v>2613</v>
      </c>
      <c r="B502" s="14" t="s">
        <v>49</v>
      </c>
      <c r="C502" s="14" t="s">
        <v>50</v>
      </c>
      <c r="D502" s="14" t="s">
        <v>51</v>
      </c>
      <c r="E502" s="7"/>
      <c r="F502" s="7">
        <v>6855.0</v>
      </c>
      <c r="G502" s="7">
        <v>6842.0</v>
      </c>
      <c r="H502" s="7" t="s">
        <v>53</v>
      </c>
      <c r="I502" s="7"/>
      <c r="J502" s="7"/>
      <c r="K502" s="8" t="s">
        <v>2534</v>
      </c>
      <c r="L502" s="8" t="s">
        <v>126</v>
      </c>
      <c r="M502" s="8"/>
      <c r="N502" s="8" t="s">
        <v>85</v>
      </c>
      <c r="O502" s="8" t="s">
        <v>217</v>
      </c>
      <c r="P502" s="8" t="s">
        <v>57</v>
      </c>
      <c r="Q502" s="8" t="s">
        <v>334</v>
      </c>
      <c r="R502" s="8">
        <v>0.5</v>
      </c>
      <c r="S502" s="8" t="s">
        <v>49</v>
      </c>
      <c r="T502" s="8" t="s">
        <v>49</v>
      </c>
      <c r="U502" s="8" t="s">
        <v>429</v>
      </c>
      <c r="V502" s="8" t="s">
        <v>2535</v>
      </c>
      <c r="W502" s="8" t="s">
        <v>89</v>
      </c>
      <c r="X502" s="8" t="s">
        <v>108</v>
      </c>
      <c r="Y502" s="8" t="s">
        <v>2536</v>
      </c>
      <c r="Z502" s="8" t="s">
        <v>2537</v>
      </c>
      <c r="AA502" s="8" t="s">
        <v>231</v>
      </c>
      <c r="AB502" s="8" t="s">
        <v>60</v>
      </c>
      <c r="AC502" s="8" t="s">
        <v>61</v>
      </c>
      <c r="AD502" s="8" t="s">
        <v>2538</v>
      </c>
      <c r="AE502" s="8" t="s">
        <v>55</v>
      </c>
      <c r="AF502" s="8" t="s">
        <v>55</v>
      </c>
      <c r="AG502" s="8" t="s">
        <v>339</v>
      </c>
      <c r="AH502" s="8" t="s">
        <v>145</v>
      </c>
      <c r="AI502" s="8" t="s">
        <v>94</v>
      </c>
      <c r="AJ502" s="8" t="s">
        <v>49</v>
      </c>
      <c r="AK502" s="8" t="s">
        <v>95</v>
      </c>
      <c r="AL502" s="8" t="s">
        <v>66</v>
      </c>
      <c r="AM502" s="8" t="s">
        <v>2540</v>
      </c>
      <c r="AN502" s="16" t="s">
        <v>2614</v>
      </c>
      <c r="AO502" s="9" t="s">
        <v>2615</v>
      </c>
      <c r="AP502" s="10" t="s">
        <v>2543</v>
      </c>
      <c r="AQ502" s="10" t="s">
        <v>2544</v>
      </c>
      <c r="AR502" s="10" t="s">
        <v>2545</v>
      </c>
      <c r="AS502" s="12"/>
      <c r="AT502" s="10" t="s">
        <v>2546</v>
      </c>
      <c r="AU502" s="10" t="s">
        <v>2547</v>
      </c>
      <c r="AV502" s="13"/>
    </row>
    <row r="503" ht="16.5" hidden="1" customHeight="1">
      <c r="A503" s="7" t="s">
        <v>2616</v>
      </c>
      <c r="B503" s="14" t="s">
        <v>49</v>
      </c>
      <c r="C503" s="14" t="s">
        <v>50</v>
      </c>
      <c r="D503" s="14" t="s">
        <v>51</v>
      </c>
      <c r="E503" s="7"/>
      <c r="F503" s="7">
        <v>6856.0</v>
      </c>
      <c r="G503" s="7">
        <v>6842.0</v>
      </c>
      <c r="H503" s="7" t="s">
        <v>53</v>
      </c>
      <c r="I503" s="7"/>
      <c r="J503" s="7"/>
      <c r="K503" s="8" t="s">
        <v>2534</v>
      </c>
      <c r="L503" s="8" t="s">
        <v>126</v>
      </c>
      <c r="M503" s="8"/>
      <c r="N503" s="8" t="s">
        <v>85</v>
      </c>
      <c r="O503" s="8" t="s">
        <v>217</v>
      </c>
      <c r="P503" s="8" t="s">
        <v>57</v>
      </c>
      <c r="Q503" s="8" t="s">
        <v>334</v>
      </c>
      <c r="R503" s="8">
        <v>0.5</v>
      </c>
      <c r="S503" s="8" t="s">
        <v>49</v>
      </c>
      <c r="T503" s="8" t="s">
        <v>49</v>
      </c>
      <c r="U503" s="8" t="s">
        <v>429</v>
      </c>
      <c r="V503" s="8" t="s">
        <v>2535</v>
      </c>
      <c r="W503" s="8" t="s">
        <v>89</v>
      </c>
      <c r="X503" s="8" t="s">
        <v>108</v>
      </c>
      <c r="Y503" s="8" t="s">
        <v>2536</v>
      </c>
      <c r="Z503" s="8" t="s">
        <v>2537</v>
      </c>
      <c r="AA503" s="8" t="s">
        <v>231</v>
      </c>
      <c r="AB503" s="8" t="s">
        <v>60</v>
      </c>
      <c r="AC503" s="8" t="s">
        <v>61</v>
      </c>
      <c r="AD503" s="8" t="s">
        <v>2538</v>
      </c>
      <c r="AE503" s="8" t="s">
        <v>55</v>
      </c>
      <c r="AF503" s="8" t="s">
        <v>55</v>
      </c>
      <c r="AG503" s="8" t="s">
        <v>339</v>
      </c>
      <c r="AH503" s="8" t="s">
        <v>145</v>
      </c>
      <c r="AI503" s="8" t="s">
        <v>112</v>
      </c>
      <c r="AJ503" s="8" t="s">
        <v>49</v>
      </c>
      <c r="AK503" s="8" t="s">
        <v>95</v>
      </c>
      <c r="AL503" s="8" t="s">
        <v>66</v>
      </c>
      <c r="AM503" s="8" t="s">
        <v>2540</v>
      </c>
      <c r="AN503" s="16" t="s">
        <v>2617</v>
      </c>
      <c r="AO503" s="9" t="s">
        <v>2618</v>
      </c>
      <c r="AP503" s="10" t="s">
        <v>2543</v>
      </c>
      <c r="AQ503" s="10" t="s">
        <v>2544</v>
      </c>
      <c r="AR503" s="10" t="s">
        <v>2545</v>
      </c>
      <c r="AS503" s="12"/>
      <c r="AT503" s="10" t="s">
        <v>2546</v>
      </c>
      <c r="AU503" s="10" t="s">
        <v>2547</v>
      </c>
      <c r="AV503" s="13"/>
    </row>
    <row r="504" ht="16.5" hidden="1" customHeight="1">
      <c r="A504" s="7" t="s">
        <v>2619</v>
      </c>
      <c r="B504" s="7" t="s">
        <v>49</v>
      </c>
      <c r="C504" s="7" t="s">
        <v>919</v>
      </c>
      <c r="D504" s="7" t="s">
        <v>2620</v>
      </c>
      <c r="E504" s="7" t="s">
        <v>227</v>
      </c>
      <c r="F504" s="7">
        <v>6857.0</v>
      </c>
      <c r="G504" s="7">
        <v>6857.0</v>
      </c>
      <c r="H504" s="7" t="s">
        <v>53</v>
      </c>
      <c r="I504" s="7"/>
      <c r="J504" s="7"/>
      <c r="K504" s="8" t="s">
        <v>2534</v>
      </c>
      <c r="L504" s="8" t="s">
        <v>49</v>
      </c>
      <c r="M504" s="8"/>
      <c r="N504" s="8" t="s">
        <v>85</v>
      </c>
      <c r="O504" s="8" t="s">
        <v>217</v>
      </c>
      <c r="P504" s="8" t="s">
        <v>57</v>
      </c>
      <c r="Q504" s="8" t="s">
        <v>2490</v>
      </c>
      <c r="R504" s="8">
        <v>0.97</v>
      </c>
      <c r="S504" s="8" t="s">
        <v>49</v>
      </c>
      <c r="T504" s="8" t="s">
        <v>49</v>
      </c>
      <c r="U504" s="8" t="s">
        <v>2621</v>
      </c>
      <c r="V504" s="8" t="s">
        <v>2622</v>
      </c>
      <c r="W504" s="8" t="s">
        <v>2623</v>
      </c>
      <c r="X504" s="8" t="s">
        <v>108</v>
      </c>
      <c r="Y504" s="8" t="s">
        <v>1876</v>
      </c>
      <c r="Z504" s="8" t="s">
        <v>130</v>
      </c>
      <c r="AA504" s="8" t="s">
        <v>231</v>
      </c>
      <c r="AB504" s="8" t="s">
        <v>60</v>
      </c>
      <c r="AC504" s="8" t="s">
        <v>1016</v>
      </c>
      <c r="AD504" s="8" t="s">
        <v>2624</v>
      </c>
      <c r="AE504" s="8" t="s">
        <v>55</v>
      </c>
      <c r="AF504" s="8" t="s">
        <v>55</v>
      </c>
      <c r="AG504" s="8" t="s">
        <v>63</v>
      </c>
      <c r="AH504" s="8" t="s">
        <v>111</v>
      </c>
      <c r="AI504" s="8" t="s">
        <v>112</v>
      </c>
      <c r="AJ504" s="8" t="s">
        <v>49</v>
      </c>
      <c r="AK504" s="8" t="s">
        <v>2625</v>
      </c>
      <c r="AL504" s="8" t="s">
        <v>2431</v>
      </c>
      <c r="AM504" s="8" t="s">
        <v>2626</v>
      </c>
      <c r="AN504" s="9" t="s">
        <v>2627</v>
      </c>
      <c r="AO504" s="9" t="s">
        <v>2628</v>
      </c>
      <c r="AP504" s="17" t="s">
        <v>2629</v>
      </c>
      <c r="AQ504" s="10" t="s">
        <v>2630</v>
      </c>
      <c r="AR504" s="10" t="s">
        <v>2631</v>
      </c>
      <c r="AS504" s="12"/>
      <c r="AT504" s="10" t="s">
        <v>2632</v>
      </c>
      <c r="AU504" s="10" t="s">
        <v>2633</v>
      </c>
      <c r="AV504" s="13"/>
    </row>
    <row r="505" ht="16.5" hidden="1" customHeight="1">
      <c r="A505" s="7" t="s">
        <v>2634</v>
      </c>
      <c r="B505" s="7" t="s">
        <v>49</v>
      </c>
      <c r="C505" s="7" t="s">
        <v>919</v>
      </c>
      <c r="D505" s="7" t="s">
        <v>2620</v>
      </c>
      <c r="E505" s="7" t="s">
        <v>227</v>
      </c>
      <c r="F505" s="7">
        <v>6857.0</v>
      </c>
      <c r="G505" s="7">
        <v>6857.0</v>
      </c>
      <c r="H505" s="7" t="s">
        <v>53</v>
      </c>
      <c r="I505" s="7" t="s">
        <v>1420</v>
      </c>
      <c r="J505" s="7"/>
      <c r="K505" s="8" t="s">
        <v>2534</v>
      </c>
      <c r="L505" s="8" t="s">
        <v>49</v>
      </c>
      <c r="M505" s="8"/>
      <c r="N505" s="8" t="s">
        <v>85</v>
      </c>
      <c r="O505" s="8" t="s">
        <v>217</v>
      </c>
      <c r="P505" s="8" t="s">
        <v>57</v>
      </c>
      <c r="Q505" s="8" t="s">
        <v>2490</v>
      </c>
      <c r="R505" s="8">
        <v>0.97</v>
      </c>
      <c r="S505" s="8" t="s">
        <v>49</v>
      </c>
      <c r="T505" s="8" t="s">
        <v>49</v>
      </c>
      <c r="U505" s="8" t="s">
        <v>2621</v>
      </c>
      <c r="V505" s="8" t="s">
        <v>2622</v>
      </c>
      <c r="W505" s="8" t="s">
        <v>2623</v>
      </c>
      <c r="X505" s="8" t="s">
        <v>108</v>
      </c>
      <c r="Y505" s="8" t="s">
        <v>1876</v>
      </c>
      <c r="Z505" s="8" t="s">
        <v>130</v>
      </c>
      <c r="AA505" s="8" t="s">
        <v>231</v>
      </c>
      <c r="AB505" s="8" t="s">
        <v>60</v>
      </c>
      <c r="AC505" s="8" t="s">
        <v>1016</v>
      </c>
      <c r="AD505" s="8" t="s">
        <v>2624</v>
      </c>
      <c r="AE505" s="8" t="s">
        <v>55</v>
      </c>
      <c r="AF505" s="8" t="s">
        <v>55</v>
      </c>
      <c r="AG505" s="8" t="s">
        <v>63</v>
      </c>
      <c r="AH505" s="8" t="s">
        <v>111</v>
      </c>
      <c r="AI505" s="8" t="s">
        <v>112</v>
      </c>
      <c r="AJ505" s="8" t="s">
        <v>49</v>
      </c>
      <c r="AK505" s="12" t="s">
        <v>2625</v>
      </c>
      <c r="AL505" s="8" t="s">
        <v>2431</v>
      </c>
      <c r="AM505" s="8" t="s">
        <v>2626</v>
      </c>
      <c r="AN505" s="9" t="s">
        <v>2627</v>
      </c>
      <c r="AO505" s="9" t="s">
        <v>2628</v>
      </c>
      <c r="AP505" s="17" t="s">
        <v>2629</v>
      </c>
      <c r="AQ505" s="10" t="s">
        <v>2630</v>
      </c>
      <c r="AR505" s="10" t="s">
        <v>2631</v>
      </c>
      <c r="AS505" s="12"/>
      <c r="AT505" s="10" t="s">
        <v>2632</v>
      </c>
      <c r="AU505" s="10" t="s">
        <v>2633</v>
      </c>
      <c r="AV505" s="13"/>
    </row>
    <row r="506" ht="16.5" hidden="1" customHeight="1">
      <c r="A506" s="7" t="s">
        <v>2635</v>
      </c>
      <c r="B506" s="14" t="s">
        <v>49</v>
      </c>
      <c r="C506" s="14" t="s">
        <v>919</v>
      </c>
      <c r="D506" s="14" t="s">
        <v>2620</v>
      </c>
      <c r="E506" s="7"/>
      <c r="F506" s="7">
        <v>6858.0</v>
      </c>
      <c r="G506" s="7">
        <v>6857.0</v>
      </c>
      <c r="H506" s="7" t="s">
        <v>53</v>
      </c>
      <c r="I506" s="7" t="s">
        <v>1420</v>
      </c>
      <c r="J506" s="7"/>
      <c r="K506" s="8" t="s">
        <v>2534</v>
      </c>
      <c r="L506" s="8" t="s">
        <v>49</v>
      </c>
      <c r="M506" s="8"/>
      <c r="N506" s="8" t="s">
        <v>85</v>
      </c>
      <c r="O506" s="8" t="s">
        <v>217</v>
      </c>
      <c r="P506" s="8" t="s">
        <v>57</v>
      </c>
      <c r="Q506" s="8" t="s">
        <v>2490</v>
      </c>
      <c r="R506" s="8">
        <v>0.97</v>
      </c>
      <c r="S506" s="8" t="s">
        <v>49</v>
      </c>
      <c r="T506" s="8" t="s">
        <v>49</v>
      </c>
      <c r="U506" s="8" t="s">
        <v>2621</v>
      </c>
      <c r="V506" s="8" t="s">
        <v>2622</v>
      </c>
      <c r="W506" s="8" t="s">
        <v>2623</v>
      </c>
      <c r="X506" s="8" t="s">
        <v>108</v>
      </c>
      <c r="Y506" s="8" t="s">
        <v>1876</v>
      </c>
      <c r="Z506" s="8" t="s">
        <v>130</v>
      </c>
      <c r="AA506" s="8" t="s">
        <v>231</v>
      </c>
      <c r="AB506" s="8" t="s">
        <v>60</v>
      </c>
      <c r="AC506" s="8" t="s">
        <v>1016</v>
      </c>
      <c r="AD506" s="8" t="s">
        <v>2624</v>
      </c>
      <c r="AE506" s="8" t="s">
        <v>55</v>
      </c>
      <c r="AF506" s="8" t="s">
        <v>55</v>
      </c>
      <c r="AG506" s="8" t="s">
        <v>63</v>
      </c>
      <c r="AH506" s="8" t="s">
        <v>111</v>
      </c>
      <c r="AI506" s="8" t="s">
        <v>94</v>
      </c>
      <c r="AJ506" s="8" t="s">
        <v>49</v>
      </c>
      <c r="AK506" s="8" t="s">
        <v>2625</v>
      </c>
      <c r="AL506" s="8" t="s">
        <v>2431</v>
      </c>
      <c r="AM506" s="8" t="s">
        <v>2626</v>
      </c>
      <c r="AN506" s="9" t="s">
        <v>2636</v>
      </c>
      <c r="AO506" s="9" t="s">
        <v>2637</v>
      </c>
      <c r="AP506" s="17" t="s">
        <v>2629</v>
      </c>
      <c r="AQ506" s="10" t="s">
        <v>2630</v>
      </c>
      <c r="AR506" s="10" t="s">
        <v>2631</v>
      </c>
      <c r="AS506" s="12"/>
      <c r="AT506" s="10" t="s">
        <v>2632</v>
      </c>
      <c r="AU506" s="10" t="s">
        <v>2633</v>
      </c>
      <c r="AV506" s="13"/>
    </row>
    <row r="507" ht="16.5" hidden="1" customHeight="1">
      <c r="A507" s="7" t="s">
        <v>2638</v>
      </c>
      <c r="B507" s="7" t="s">
        <v>49</v>
      </c>
      <c r="C507" s="7" t="s">
        <v>919</v>
      </c>
      <c r="D507" s="7" t="s">
        <v>2620</v>
      </c>
      <c r="E507" s="7" t="s">
        <v>227</v>
      </c>
      <c r="F507" s="7">
        <v>6859.0</v>
      </c>
      <c r="G507" s="7">
        <v>6857.0</v>
      </c>
      <c r="H507" s="7" t="s">
        <v>53</v>
      </c>
      <c r="I507" s="7" t="s">
        <v>1427</v>
      </c>
      <c r="J507" s="7"/>
      <c r="K507" s="8" t="s">
        <v>2534</v>
      </c>
      <c r="L507" s="8" t="s">
        <v>49</v>
      </c>
      <c r="M507" s="8"/>
      <c r="N507" s="8" t="s">
        <v>85</v>
      </c>
      <c r="O507" s="8" t="s">
        <v>217</v>
      </c>
      <c r="P507" s="8" t="s">
        <v>57</v>
      </c>
      <c r="Q507" s="8" t="s">
        <v>1727</v>
      </c>
      <c r="R507" s="8">
        <v>0.97</v>
      </c>
      <c r="S507" s="8" t="s">
        <v>49</v>
      </c>
      <c r="T507" s="8" t="s">
        <v>49</v>
      </c>
      <c r="U507" s="8" t="s">
        <v>2639</v>
      </c>
      <c r="V507" s="8" t="s">
        <v>2640</v>
      </c>
      <c r="W507" s="8" t="s">
        <v>2623</v>
      </c>
      <c r="X507" s="8" t="s">
        <v>108</v>
      </c>
      <c r="Y507" s="8" t="s">
        <v>1876</v>
      </c>
      <c r="Z507" s="8" t="s">
        <v>92</v>
      </c>
      <c r="AA507" s="8" t="s">
        <v>231</v>
      </c>
      <c r="AB507" s="8" t="s">
        <v>60</v>
      </c>
      <c r="AC507" s="8" t="s">
        <v>1016</v>
      </c>
      <c r="AD507" s="8" t="s">
        <v>2641</v>
      </c>
      <c r="AE507" s="8" t="s">
        <v>55</v>
      </c>
      <c r="AF507" s="8" t="s">
        <v>55</v>
      </c>
      <c r="AG507" s="8" t="s">
        <v>63</v>
      </c>
      <c r="AH507" s="8" t="s">
        <v>111</v>
      </c>
      <c r="AI507" s="8" t="s">
        <v>112</v>
      </c>
      <c r="AJ507" s="8" t="s">
        <v>49</v>
      </c>
      <c r="AK507" s="8" t="s">
        <v>2625</v>
      </c>
      <c r="AL507" s="8" t="s">
        <v>2431</v>
      </c>
      <c r="AM507" s="8" t="s">
        <v>2626</v>
      </c>
      <c r="AN507" s="9" t="s">
        <v>2642</v>
      </c>
      <c r="AO507" s="9" t="s">
        <v>2643</v>
      </c>
      <c r="AP507" s="17" t="s">
        <v>2629</v>
      </c>
      <c r="AQ507" s="10" t="s">
        <v>2644</v>
      </c>
      <c r="AR507" s="10" t="s">
        <v>2645</v>
      </c>
      <c r="AS507" s="12"/>
      <c r="AT507" s="10" t="s">
        <v>2646</v>
      </c>
      <c r="AU507" s="10" t="s">
        <v>2647</v>
      </c>
      <c r="AV507" s="13"/>
    </row>
    <row r="508" ht="16.5" hidden="1" customHeight="1">
      <c r="A508" s="7" t="s">
        <v>2648</v>
      </c>
      <c r="B508" s="14" t="s">
        <v>49</v>
      </c>
      <c r="C508" s="14" t="s">
        <v>919</v>
      </c>
      <c r="D508" s="14" t="s">
        <v>2620</v>
      </c>
      <c r="E508" s="7"/>
      <c r="F508" s="7">
        <v>6860.0</v>
      </c>
      <c r="G508" s="7">
        <v>6857.0</v>
      </c>
      <c r="H508" s="7" t="s">
        <v>53</v>
      </c>
      <c r="I508" s="7" t="s">
        <v>1427</v>
      </c>
      <c r="J508" s="7"/>
      <c r="K508" s="8" t="s">
        <v>2534</v>
      </c>
      <c r="L508" s="8" t="s">
        <v>49</v>
      </c>
      <c r="M508" s="8"/>
      <c r="N508" s="8" t="s">
        <v>85</v>
      </c>
      <c r="O508" s="8" t="s">
        <v>217</v>
      </c>
      <c r="P508" s="8" t="s">
        <v>57</v>
      </c>
      <c r="Q508" s="8" t="s">
        <v>1727</v>
      </c>
      <c r="R508" s="8">
        <v>0.97</v>
      </c>
      <c r="S508" s="8" t="s">
        <v>49</v>
      </c>
      <c r="T508" s="8" t="s">
        <v>49</v>
      </c>
      <c r="U508" s="8" t="s">
        <v>2639</v>
      </c>
      <c r="V508" s="8" t="s">
        <v>2640</v>
      </c>
      <c r="W508" s="8" t="s">
        <v>2623</v>
      </c>
      <c r="X508" s="8" t="s">
        <v>108</v>
      </c>
      <c r="Y508" s="8" t="s">
        <v>1876</v>
      </c>
      <c r="Z508" s="8" t="s">
        <v>92</v>
      </c>
      <c r="AA508" s="8" t="s">
        <v>231</v>
      </c>
      <c r="AB508" s="8" t="s">
        <v>60</v>
      </c>
      <c r="AC508" s="8" t="s">
        <v>1016</v>
      </c>
      <c r="AD508" s="8" t="s">
        <v>2641</v>
      </c>
      <c r="AE508" s="8" t="s">
        <v>55</v>
      </c>
      <c r="AF508" s="8" t="s">
        <v>55</v>
      </c>
      <c r="AG508" s="8" t="s">
        <v>63</v>
      </c>
      <c r="AH508" s="8" t="s">
        <v>111</v>
      </c>
      <c r="AI508" s="8" t="s">
        <v>94</v>
      </c>
      <c r="AJ508" s="8" t="s">
        <v>49</v>
      </c>
      <c r="AK508" s="8" t="s">
        <v>2625</v>
      </c>
      <c r="AL508" s="8" t="s">
        <v>2431</v>
      </c>
      <c r="AM508" s="8" t="s">
        <v>2626</v>
      </c>
      <c r="AN508" s="9" t="s">
        <v>2649</v>
      </c>
      <c r="AO508" s="9" t="s">
        <v>2650</v>
      </c>
      <c r="AP508" s="17" t="s">
        <v>2629</v>
      </c>
      <c r="AQ508" s="10" t="s">
        <v>2644</v>
      </c>
      <c r="AR508" s="10" t="s">
        <v>2645</v>
      </c>
      <c r="AS508" s="12"/>
      <c r="AT508" s="10" t="s">
        <v>2646</v>
      </c>
      <c r="AU508" s="10" t="s">
        <v>2647</v>
      </c>
      <c r="AV508" s="13"/>
    </row>
    <row r="509" ht="16.5" hidden="1" customHeight="1">
      <c r="A509" s="7" t="s">
        <v>2651</v>
      </c>
      <c r="B509" s="14" t="s">
        <v>49</v>
      </c>
      <c r="C509" s="14" t="s">
        <v>50</v>
      </c>
      <c r="D509" s="14" t="s">
        <v>51</v>
      </c>
      <c r="E509" s="7"/>
      <c r="F509" s="7">
        <v>6868.0</v>
      </c>
      <c r="G509" s="7">
        <v>6843.0</v>
      </c>
      <c r="H509" s="7" t="s">
        <v>53</v>
      </c>
      <c r="I509" s="7"/>
      <c r="J509" s="7"/>
      <c r="K509" s="8" t="s">
        <v>84</v>
      </c>
      <c r="L509" s="8" t="s">
        <v>49</v>
      </c>
      <c r="M509" s="8"/>
      <c r="N509" s="8" t="s">
        <v>85</v>
      </c>
      <c r="O509" s="8" t="s">
        <v>56</v>
      </c>
      <c r="P509" s="8" t="s">
        <v>57</v>
      </c>
      <c r="Q509" s="8" t="s">
        <v>105</v>
      </c>
      <c r="R509" s="8">
        <v>0.5</v>
      </c>
      <c r="S509" s="8" t="s">
        <v>49</v>
      </c>
      <c r="T509" s="8" t="s">
        <v>49</v>
      </c>
      <c r="U509" s="8" t="s">
        <v>2652</v>
      </c>
      <c r="V509" s="8" t="s">
        <v>2653</v>
      </c>
      <c r="W509" s="8" t="s">
        <v>89</v>
      </c>
      <c r="X509" s="8" t="s">
        <v>90</v>
      </c>
      <c r="Y509" s="8" t="s">
        <v>1302</v>
      </c>
      <c r="Z509" s="8" t="s">
        <v>55</v>
      </c>
      <c r="AA509" s="8" t="s">
        <v>59</v>
      </c>
      <c r="AB509" s="8" t="s">
        <v>60</v>
      </c>
      <c r="AC509" s="8" t="s">
        <v>61</v>
      </c>
      <c r="AD509" s="8" t="s">
        <v>2654</v>
      </c>
      <c r="AE509" s="8" t="s">
        <v>55</v>
      </c>
      <c r="AF509" s="8" t="s">
        <v>55</v>
      </c>
      <c r="AG509" s="8" t="s">
        <v>145</v>
      </c>
      <c r="AH509" s="8" t="s">
        <v>145</v>
      </c>
      <c r="AI509" s="8" t="s">
        <v>94</v>
      </c>
      <c r="AJ509" s="8" t="s">
        <v>49</v>
      </c>
      <c r="AK509" s="8" t="s">
        <v>95</v>
      </c>
      <c r="AL509" s="8" t="s">
        <v>66</v>
      </c>
      <c r="AM509" s="8" t="s">
        <v>2554</v>
      </c>
      <c r="AN509" s="16" t="s">
        <v>2655</v>
      </c>
      <c r="AO509" s="12" t="s">
        <v>224</v>
      </c>
      <c r="AP509" s="10" t="s">
        <v>2557</v>
      </c>
      <c r="AQ509" s="19"/>
      <c r="AR509" s="10" t="s">
        <v>2656</v>
      </c>
      <c r="AS509" s="12"/>
      <c r="AT509" s="10" t="s">
        <v>2657</v>
      </c>
      <c r="AU509" s="10" t="s">
        <v>2658</v>
      </c>
      <c r="AV509" s="15">
        <v>46341.0</v>
      </c>
    </row>
    <row r="510" ht="16.5" hidden="1" customHeight="1">
      <c r="A510" s="7" t="s">
        <v>2659</v>
      </c>
      <c r="B510" s="14" t="s">
        <v>49</v>
      </c>
      <c r="C510" s="14" t="s">
        <v>50</v>
      </c>
      <c r="D510" s="14" t="s">
        <v>51</v>
      </c>
      <c r="E510" s="7"/>
      <c r="F510" s="7">
        <v>6869.0</v>
      </c>
      <c r="G510" s="7">
        <v>6843.0</v>
      </c>
      <c r="H510" s="7" t="s">
        <v>53</v>
      </c>
      <c r="I510" s="7"/>
      <c r="J510" s="7"/>
      <c r="K510" s="8" t="s">
        <v>84</v>
      </c>
      <c r="L510" s="8" t="s">
        <v>49</v>
      </c>
      <c r="M510" s="8"/>
      <c r="N510" s="8" t="s">
        <v>85</v>
      </c>
      <c r="O510" s="8" t="s">
        <v>56</v>
      </c>
      <c r="P510" s="8" t="s">
        <v>57</v>
      </c>
      <c r="Q510" s="8" t="s">
        <v>105</v>
      </c>
      <c r="R510" s="8">
        <v>0.5</v>
      </c>
      <c r="S510" s="8" t="s">
        <v>49</v>
      </c>
      <c r="T510" s="8" t="s">
        <v>49</v>
      </c>
      <c r="U510" s="8" t="s">
        <v>2652</v>
      </c>
      <c r="V510" s="8" t="s">
        <v>2653</v>
      </c>
      <c r="W510" s="8" t="s">
        <v>89</v>
      </c>
      <c r="X510" s="8" t="s">
        <v>90</v>
      </c>
      <c r="Y510" s="8" t="s">
        <v>1302</v>
      </c>
      <c r="Z510" s="8" t="s">
        <v>55</v>
      </c>
      <c r="AA510" s="8" t="s">
        <v>59</v>
      </c>
      <c r="AB510" s="8" t="s">
        <v>60</v>
      </c>
      <c r="AC510" s="8" t="s">
        <v>61</v>
      </c>
      <c r="AD510" s="8" t="s">
        <v>2654</v>
      </c>
      <c r="AE510" s="8" t="s">
        <v>55</v>
      </c>
      <c r="AF510" s="8" t="s">
        <v>55</v>
      </c>
      <c r="AG510" s="8" t="s">
        <v>145</v>
      </c>
      <c r="AH510" s="8" t="s">
        <v>145</v>
      </c>
      <c r="AI510" s="8" t="s">
        <v>112</v>
      </c>
      <c r="AJ510" s="8" t="s">
        <v>49</v>
      </c>
      <c r="AK510" s="8" t="s">
        <v>95</v>
      </c>
      <c r="AL510" s="8" t="s">
        <v>66</v>
      </c>
      <c r="AM510" s="8" t="s">
        <v>2554</v>
      </c>
      <c r="AN510" s="16" t="s">
        <v>2660</v>
      </c>
      <c r="AO510" s="12" t="s">
        <v>224</v>
      </c>
      <c r="AP510" s="10" t="s">
        <v>2557</v>
      </c>
      <c r="AQ510" s="19"/>
      <c r="AR510" s="10" t="s">
        <v>2656</v>
      </c>
      <c r="AS510" s="12"/>
      <c r="AT510" s="10" t="s">
        <v>2657</v>
      </c>
      <c r="AU510" s="10" t="s">
        <v>2658</v>
      </c>
      <c r="AV510" s="13"/>
    </row>
    <row r="511" ht="16.5" hidden="1" customHeight="1">
      <c r="A511" s="7" t="s">
        <v>2661</v>
      </c>
      <c r="B511" s="14" t="s">
        <v>49</v>
      </c>
      <c r="C511" s="14" t="s">
        <v>50</v>
      </c>
      <c r="D511" s="14" t="s">
        <v>51</v>
      </c>
      <c r="E511" s="7"/>
      <c r="F511" s="7">
        <v>6870.0</v>
      </c>
      <c r="G511" s="7">
        <v>6845.0</v>
      </c>
      <c r="H511" s="7" t="s">
        <v>53</v>
      </c>
      <c r="I511" s="7"/>
      <c r="J511" s="7"/>
      <c r="K511" s="8" t="s">
        <v>84</v>
      </c>
      <c r="L511" s="8" t="s">
        <v>49</v>
      </c>
      <c r="M511" s="8"/>
      <c r="N511" s="8" t="s">
        <v>85</v>
      </c>
      <c r="O511" s="8" t="s">
        <v>56</v>
      </c>
      <c r="P511" s="8" t="s">
        <v>57</v>
      </c>
      <c r="Q511" s="8" t="s">
        <v>105</v>
      </c>
      <c r="R511" s="8">
        <v>0.5</v>
      </c>
      <c r="S511" s="8" t="s">
        <v>49</v>
      </c>
      <c r="T511" s="8" t="s">
        <v>49</v>
      </c>
      <c r="U511" s="8" t="s">
        <v>2652</v>
      </c>
      <c r="V511" s="8" t="s">
        <v>2653</v>
      </c>
      <c r="W511" s="8" t="s">
        <v>89</v>
      </c>
      <c r="X511" s="8" t="s">
        <v>90</v>
      </c>
      <c r="Y511" s="8" t="s">
        <v>1302</v>
      </c>
      <c r="Z511" s="8" t="s">
        <v>55</v>
      </c>
      <c r="AA511" s="8" t="s">
        <v>59</v>
      </c>
      <c r="AB511" s="8" t="s">
        <v>60</v>
      </c>
      <c r="AC511" s="8" t="s">
        <v>61</v>
      </c>
      <c r="AD511" s="8" t="s">
        <v>2662</v>
      </c>
      <c r="AE511" s="8" t="s">
        <v>55</v>
      </c>
      <c r="AF511" s="8" t="s">
        <v>55</v>
      </c>
      <c r="AG511" s="8" t="s">
        <v>145</v>
      </c>
      <c r="AH511" s="8" t="s">
        <v>145</v>
      </c>
      <c r="AI511" s="8" t="s">
        <v>94</v>
      </c>
      <c r="AJ511" s="8" t="s">
        <v>49</v>
      </c>
      <c r="AK511" s="8" t="s">
        <v>95</v>
      </c>
      <c r="AL511" s="8" t="s">
        <v>66</v>
      </c>
      <c r="AM511" s="8" t="s">
        <v>2554</v>
      </c>
      <c r="AN511" s="16" t="s">
        <v>2663</v>
      </c>
      <c r="AO511" s="12" t="s">
        <v>224</v>
      </c>
      <c r="AP511" s="10" t="s">
        <v>2557</v>
      </c>
      <c r="AQ511" s="19"/>
      <c r="AR511" s="10" t="s">
        <v>2664</v>
      </c>
      <c r="AS511" s="12"/>
      <c r="AT511" s="10" t="s">
        <v>2665</v>
      </c>
      <c r="AU511" s="10" t="s">
        <v>2666</v>
      </c>
      <c r="AV511" s="15">
        <v>46341.0</v>
      </c>
    </row>
    <row r="512" ht="16.5" hidden="1" customHeight="1">
      <c r="A512" s="7" t="s">
        <v>2667</v>
      </c>
      <c r="B512" s="14" t="s">
        <v>49</v>
      </c>
      <c r="C512" s="14" t="s">
        <v>50</v>
      </c>
      <c r="D512" s="14" t="s">
        <v>51</v>
      </c>
      <c r="E512" s="7"/>
      <c r="F512" s="7">
        <v>6871.0</v>
      </c>
      <c r="G512" s="7">
        <v>6845.0</v>
      </c>
      <c r="H512" s="7" t="s">
        <v>53</v>
      </c>
      <c r="I512" s="7"/>
      <c r="J512" s="7"/>
      <c r="K512" s="8" t="s">
        <v>84</v>
      </c>
      <c r="L512" s="8" t="s">
        <v>49</v>
      </c>
      <c r="M512" s="8"/>
      <c r="N512" s="8" t="s">
        <v>85</v>
      </c>
      <c r="O512" s="8" t="s">
        <v>56</v>
      </c>
      <c r="P512" s="8" t="s">
        <v>57</v>
      </c>
      <c r="Q512" s="8" t="s">
        <v>105</v>
      </c>
      <c r="R512" s="8">
        <v>0.5</v>
      </c>
      <c r="S512" s="8" t="s">
        <v>49</v>
      </c>
      <c r="T512" s="8" t="s">
        <v>49</v>
      </c>
      <c r="U512" s="8" t="s">
        <v>2652</v>
      </c>
      <c r="V512" s="8" t="s">
        <v>2653</v>
      </c>
      <c r="W512" s="8" t="s">
        <v>89</v>
      </c>
      <c r="X512" s="8" t="s">
        <v>90</v>
      </c>
      <c r="Y512" s="8" t="s">
        <v>1302</v>
      </c>
      <c r="Z512" s="8" t="s">
        <v>55</v>
      </c>
      <c r="AA512" s="8" t="s">
        <v>59</v>
      </c>
      <c r="AB512" s="8" t="s">
        <v>60</v>
      </c>
      <c r="AC512" s="8" t="s">
        <v>61</v>
      </c>
      <c r="AD512" s="8" t="s">
        <v>2662</v>
      </c>
      <c r="AE512" s="8" t="s">
        <v>55</v>
      </c>
      <c r="AF512" s="8" t="s">
        <v>55</v>
      </c>
      <c r="AG512" s="8" t="s">
        <v>145</v>
      </c>
      <c r="AH512" s="8" t="s">
        <v>145</v>
      </c>
      <c r="AI512" s="8" t="s">
        <v>112</v>
      </c>
      <c r="AJ512" s="8" t="s">
        <v>49</v>
      </c>
      <c r="AK512" s="8" t="s">
        <v>95</v>
      </c>
      <c r="AL512" s="8" t="s">
        <v>66</v>
      </c>
      <c r="AM512" s="8" t="s">
        <v>2554</v>
      </c>
      <c r="AN512" s="9" t="s">
        <v>2668</v>
      </c>
      <c r="AO512" s="12" t="s">
        <v>224</v>
      </c>
      <c r="AP512" s="10" t="s">
        <v>2557</v>
      </c>
      <c r="AQ512" s="19"/>
      <c r="AR512" s="10" t="s">
        <v>2664</v>
      </c>
      <c r="AS512" s="12"/>
      <c r="AT512" s="10" t="s">
        <v>2665</v>
      </c>
      <c r="AU512" s="10" t="s">
        <v>2666</v>
      </c>
      <c r="AV512" s="13"/>
    </row>
    <row r="513" ht="16.5" hidden="1" customHeight="1">
      <c r="A513" s="7" t="s">
        <v>2669</v>
      </c>
      <c r="B513" s="7" t="s">
        <v>49</v>
      </c>
      <c r="C513" s="7" t="s">
        <v>919</v>
      </c>
      <c r="D513" s="7" t="s">
        <v>920</v>
      </c>
      <c r="E513" s="7" t="s">
        <v>227</v>
      </c>
      <c r="F513" s="7">
        <v>7008.0</v>
      </c>
      <c r="G513" s="7"/>
      <c r="H513" s="7" t="s">
        <v>2670</v>
      </c>
      <c r="I513" s="7"/>
      <c r="J513" s="7"/>
      <c r="K513" s="8" t="s">
        <v>55</v>
      </c>
      <c r="L513" s="8" t="s">
        <v>55</v>
      </c>
      <c r="M513" s="8"/>
      <c r="N513" s="8" t="s">
        <v>55</v>
      </c>
      <c r="O513" s="8" t="s">
        <v>228</v>
      </c>
      <c r="P513" s="8" t="s">
        <v>229</v>
      </c>
      <c r="Q513" s="8" t="s">
        <v>49</v>
      </c>
      <c r="R513" s="8" t="s">
        <v>49</v>
      </c>
      <c r="S513" s="8" t="s">
        <v>49</v>
      </c>
      <c r="T513" s="8" t="s">
        <v>49</v>
      </c>
      <c r="U513" s="8" t="s">
        <v>49</v>
      </c>
      <c r="V513" s="8" t="s">
        <v>49</v>
      </c>
      <c r="W513" s="8" t="s">
        <v>49</v>
      </c>
      <c r="X513" s="8" t="s">
        <v>49</v>
      </c>
      <c r="Y513" s="8" t="s">
        <v>49</v>
      </c>
      <c r="Z513" s="8" t="s">
        <v>49</v>
      </c>
      <c r="AA513" s="8" t="s">
        <v>231</v>
      </c>
      <c r="AB513" s="8" t="s">
        <v>60</v>
      </c>
      <c r="AC513" s="8" t="s">
        <v>55</v>
      </c>
      <c r="AD513" s="8" t="s">
        <v>1066</v>
      </c>
      <c r="AE513" s="8" t="s">
        <v>55</v>
      </c>
      <c r="AF513" s="8" t="s">
        <v>55</v>
      </c>
      <c r="AG513" s="8" t="s">
        <v>145</v>
      </c>
      <c r="AH513" s="8" t="s">
        <v>55</v>
      </c>
      <c r="AI513" s="8" t="s">
        <v>463</v>
      </c>
      <c r="AJ513" s="8" t="s">
        <v>49</v>
      </c>
      <c r="AK513" s="8" t="s">
        <v>49</v>
      </c>
      <c r="AL513" s="8" t="s">
        <v>720</v>
      </c>
      <c r="AM513" s="8" t="s">
        <v>1044</v>
      </c>
      <c r="AN513" s="12" t="s">
        <v>224</v>
      </c>
      <c r="AO513" s="12" t="s">
        <v>224</v>
      </c>
      <c r="AP513" s="18" t="s">
        <v>1047</v>
      </c>
      <c r="AQ513" s="11"/>
      <c r="AR513" s="11"/>
      <c r="AS513" s="12"/>
      <c r="AT513" s="11"/>
      <c r="AU513" s="11"/>
      <c r="AV513" s="13"/>
    </row>
    <row r="514" ht="16.5" hidden="1" customHeight="1">
      <c r="A514" s="7" t="s">
        <v>2671</v>
      </c>
      <c r="B514" s="7" t="s">
        <v>49</v>
      </c>
      <c r="C514" s="7" t="s">
        <v>919</v>
      </c>
      <c r="D514" s="7" t="s">
        <v>920</v>
      </c>
      <c r="E514" s="7" t="s">
        <v>227</v>
      </c>
      <c r="F514" s="7">
        <v>7008.0</v>
      </c>
      <c r="G514" s="7">
        <v>7008.0</v>
      </c>
      <c r="H514" s="14" t="s">
        <v>2670</v>
      </c>
      <c r="I514" s="7"/>
      <c r="J514" s="7"/>
      <c r="K514" s="8" t="s">
        <v>55</v>
      </c>
      <c r="L514" s="8" t="s">
        <v>55</v>
      </c>
      <c r="M514" s="12" t="s">
        <v>55</v>
      </c>
      <c r="N514" s="8" t="s">
        <v>55</v>
      </c>
      <c r="O514" s="8" t="s">
        <v>228</v>
      </c>
      <c r="P514" s="8" t="s">
        <v>229</v>
      </c>
      <c r="Q514" s="8" t="s">
        <v>49</v>
      </c>
      <c r="R514" s="8" t="s">
        <v>49</v>
      </c>
      <c r="S514" s="8" t="s">
        <v>49</v>
      </c>
      <c r="T514" s="8" t="s">
        <v>49</v>
      </c>
      <c r="U514" s="8" t="s">
        <v>49</v>
      </c>
      <c r="V514" s="8" t="s">
        <v>49</v>
      </c>
      <c r="W514" s="8" t="s">
        <v>49</v>
      </c>
      <c r="X514" s="8" t="s">
        <v>55</v>
      </c>
      <c r="Y514" s="8" t="s">
        <v>55</v>
      </c>
      <c r="Z514" s="8" t="s">
        <v>55</v>
      </c>
      <c r="AA514" s="8" t="s">
        <v>231</v>
      </c>
      <c r="AB514" s="8" t="s">
        <v>60</v>
      </c>
      <c r="AC514" s="8" t="s">
        <v>55</v>
      </c>
      <c r="AD514" s="8" t="s">
        <v>1066</v>
      </c>
      <c r="AE514" s="8" t="s">
        <v>55</v>
      </c>
      <c r="AF514" s="8" t="s">
        <v>55</v>
      </c>
      <c r="AG514" s="8" t="s">
        <v>145</v>
      </c>
      <c r="AH514" s="8" t="s">
        <v>55</v>
      </c>
      <c r="AI514" s="8" t="s">
        <v>463</v>
      </c>
      <c r="AJ514" s="8" t="s">
        <v>49</v>
      </c>
      <c r="AK514" s="8" t="s">
        <v>55</v>
      </c>
      <c r="AL514" s="8" t="s">
        <v>720</v>
      </c>
      <c r="AM514" s="8" t="s">
        <v>1044</v>
      </c>
      <c r="AN514" s="12" t="s">
        <v>224</v>
      </c>
      <c r="AO514" s="12" t="s">
        <v>224</v>
      </c>
      <c r="AP514" s="17" t="s">
        <v>1051</v>
      </c>
      <c r="AQ514" s="11"/>
      <c r="AR514" s="11"/>
      <c r="AS514" s="12"/>
      <c r="AT514" s="11"/>
      <c r="AU514" s="11"/>
      <c r="AV514" s="13"/>
    </row>
    <row r="515" ht="16.5" hidden="1" customHeight="1">
      <c r="A515" s="7" t="s">
        <v>2672</v>
      </c>
      <c r="B515" s="14" t="s">
        <v>49</v>
      </c>
      <c r="C515" s="14" t="s">
        <v>919</v>
      </c>
      <c r="D515" s="14" t="s">
        <v>920</v>
      </c>
      <c r="E515" s="7"/>
      <c r="F515" s="7">
        <v>7009.0</v>
      </c>
      <c r="G515" s="7">
        <v>7008.0</v>
      </c>
      <c r="H515" s="14" t="s">
        <v>2670</v>
      </c>
      <c r="I515" s="7"/>
      <c r="J515" s="7"/>
      <c r="K515" s="8" t="s">
        <v>55</v>
      </c>
      <c r="L515" s="8" t="s">
        <v>55</v>
      </c>
      <c r="M515" s="12" t="s">
        <v>55</v>
      </c>
      <c r="N515" s="8" t="s">
        <v>55</v>
      </c>
      <c r="O515" s="8" t="s">
        <v>228</v>
      </c>
      <c r="P515" s="8" t="s">
        <v>229</v>
      </c>
      <c r="Q515" s="8" t="s">
        <v>49</v>
      </c>
      <c r="R515" s="8" t="s">
        <v>49</v>
      </c>
      <c r="S515" s="8" t="s">
        <v>49</v>
      </c>
      <c r="T515" s="8" t="s">
        <v>49</v>
      </c>
      <c r="U515" s="8" t="s">
        <v>49</v>
      </c>
      <c r="V515" s="8" t="s">
        <v>49</v>
      </c>
      <c r="W515" s="8" t="s">
        <v>49</v>
      </c>
      <c r="X515" s="8" t="s">
        <v>55</v>
      </c>
      <c r="Y515" s="8" t="s">
        <v>55</v>
      </c>
      <c r="Z515" s="8" t="s">
        <v>55</v>
      </c>
      <c r="AA515" s="8" t="s">
        <v>231</v>
      </c>
      <c r="AB515" s="8" t="s">
        <v>60</v>
      </c>
      <c r="AC515" s="8" t="s">
        <v>55</v>
      </c>
      <c r="AD515" s="8" t="s">
        <v>1066</v>
      </c>
      <c r="AE515" s="8" t="s">
        <v>55</v>
      </c>
      <c r="AF515" s="8" t="s">
        <v>55</v>
      </c>
      <c r="AG515" s="8" t="s">
        <v>145</v>
      </c>
      <c r="AH515" s="8" t="s">
        <v>55</v>
      </c>
      <c r="AI515" s="8" t="s">
        <v>65</v>
      </c>
      <c r="AJ515" s="8" t="s">
        <v>49</v>
      </c>
      <c r="AK515" s="8" t="s">
        <v>55</v>
      </c>
      <c r="AL515" s="8" t="s">
        <v>720</v>
      </c>
      <c r="AM515" s="8" t="s">
        <v>1044</v>
      </c>
      <c r="AN515" s="12" t="s">
        <v>224</v>
      </c>
      <c r="AO515" s="12" t="s">
        <v>224</v>
      </c>
      <c r="AP515" s="17" t="s">
        <v>1051</v>
      </c>
      <c r="AQ515" s="11"/>
      <c r="AR515" s="11"/>
      <c r="AS515" s="12"/>
      <c r="AT515" s="11"/>
      <c r="AU515" s="11"/>
      <c r="AV515" s="13"/>
    </row>
    <row r="516" ht="16.5" hidden="1" customHeight="1">
      <c r="A516" s="7" t="s">
        <v>2673</v>
      </c>
      <c r="B516" s="7" t="s">
        <v>1290</v>
      </c>
      <c r="C516" s="7" t="s">
        <v>1291</v>
      </c>
      <c r="D516" s="7" t="s">
        <v>1402</v>
      </c>
      <c r="E516" s="7" t="s">
        <v>227</v>
      </c>
      <c r="F516" s="7">
        <v>7010.0</v>
      </c>
      <c r="G516" s="7"/>
      <c r="H516" s="7" t="s">
        <v>53</v>
      </c>
      <c r="I516" s="7"/>
      <c r="J516" s="7"/>
      <c r="K516" s="8" t="s">
        <v>84</v>
      </c>
      <c r="L516" s="8" t="s">
        <v>1403</v>
      </c>
      <c r="M516" s="8"/>
      <c r="N516" s="8" t="s">
        <v>85</v>
      </c>
      <c r="O516" s="8" t="s">
        <v>217</v>
      </c>
      <c r="P516" s="8" t="s">
        <v>57</v>
      </c>
      <c r="Q516" s="8" t="s">
        <v>1404</v>
      </c>
      <c r="R516" s="20">
        <v>0.96</v>
      </c>
      <c r="S516" s="8" t="s">
        <v>1405</v>
      </c>
      <c r="T516" s="8" t="s">
        <v>1406</v>
      </c>
      <c r="U516" s="8" t="s">
        <v>1407</v>
      </c>
      <c r="V516" s="8" t="s">
        <v>1408</v>
      </c>
      <c r="W516" s="8" t="s">
        <v>1409</v>
      </c>
      <c r="X516" s="8" t="s">
        <v>108</v>
      </c>
      <c r="Y516" s="8" t="s">
        <v>161</v>
      </c>
      <c r="Z516" s="8" t="s">
        <v>92</v>
      </c>
      <c r="AA516" s="8" t="s">
        <v>231</v>
      </c>
      <c r="AB516" s="8" t="s">
        <v>60</v>
      </c>
      <c r="AC516" s="8" t="s">
        <v>348</v>
      </c>
      <c r="AD516" s="8" t="s">
        <v>2674</v>
      </c>
      <c r="AE516" s="8" t="s">
        <v>2675</v>
      </c>
      <c r="AF516" s="8" t="s">
        <v>2676</v>
      </c>
      <c r="AG516" s="8" t="s">
        <v>63</v>
      </c>
      <c r="AH516" s="8" t="s">
        <v>145</v>
      </c>
      <c r="AI516" s="8" t="s">
        <v>463</v>
      </c>
      <c r="AJ516" s="8" t="s">
        <v>1411</v>
      </c>
      <c r="AK516" s="8" t="s">
        <v>49</v>
      </c>
      <c r="AL516" s="8" t="s">
        <v>720</v>
      </c>
      <c r="AM516" s="8" t="s">
        <v>1667</v>
      </c>
      <c r="AN516" s="9" t="s">
        <v>2677</v>
      </c>
      <c r="AO516" s="9" t="s">
        <v>2678</v>
      </c>
      <c r="AP516" s="10" t="s">
        <v>2679</v>
      </c>
      <c r="AQ516" s="10" t="s">
        <v>2680</v>
      </c>
      <c r="AR516" s="10" t="s">
        <v>2681</v>
      </c>
      <c r="AS516" s="12"/>
      <c r="AT516" s="10" t="s">
        <v>2682</v>
      </c>
      <c r="AU516" s="10" t="s">
        <v>2683</v>
      </c>
      <c r="AV516" s="13"/>
    </row>
    <row r="517" ht="16.5" hidden="1" customHeight="1">
      <c r="A517" s="7" t="s">
        <v>2684</v>
      </c>
      <c r="B517" s="7" t="s">
        <v>1290</v>
      </c>
      <c r="C517" s="7" t="s">
        <v>1291</v>
      </c>
      <c r="D517" s="7" t="s">
        <v>1402</v>
      </c>
      <c r="E517" s="7" t="s">
        <v>227</v>
      </c>
      <c r="F517" s="7">
        <v>7010.0</v>
      </c>
      <c r="G517" s="7">
        <v>7010.0</v>
      </c>
      <c r="H517" s="7" t="s">
        <v>53</v>
      </c>
      <c r="I517" s="7" t="s">
        <v>1420</v>
      </c>
      <c r="J517" s="7"/>
      <c r="K517" s="8" t="s">
        <v>84</v>
      </c>
      <c r="L517" s="8" t="s">
        <v>1403</v>
      </c>
      <c r="M517" s="8"/>
      <c r="N517" s="8" t="s">
        <v>85</v>
      </c>
      <c r="O517" s="8" t="s">
        <v>217</v>
      </c>
      <c r="P517" s="8" t="s">
        <v>57</v>
      </c>
      <c r="Q517" s="8" t="s">
        <v>1404</v>
      </c>
      <c r="R517" s="20">
        <v>0.9</v>
      </c>
      <c r="S517" s="8" t="s">
        <v>1405</v>
      </c>
      <c r="T517" s="8" t="s">
        <v>1406</v>
      </c>
      <c r="U517" s="8" t="s">
        <v>1407</v>
      </c>
      <c r="V517" s="8" t="s">
        <v>1408</v>
      </c>
      <c r="W517" s="8" t="s">
        <v>1409</v>
      </c>
      <c r="X517" s="8" t="s">
        <v>108</v>
      </c>
      <c r="Y517" s="8" t="s">
        <v>161</v>
      </c>
      <c r="Z517" s="8" t="s">
        <v>92</v>
      </c>
      <c r="AA517" s="8" t="s">
        <v>231</v>
      </c>
      <c r="AB517" s="8" t="s">
        <v>60</v>
      </c>
      <c r="AC517" s="8" t="s">
        <v>348</v>
      </c>
      <c r="AD517" s="8" t="s">
        <v>2674</v>
      </c>
      <c r="AE517" s="8" t="s">
        <v>2675</v>
      </c>
      <c r="AF517" s="8" t="s">
        <v>2676</v>
      </c>
      <c r="AG517" s="8" t="s">
        <v>63</v>
      </c>
      <c r="AH517" s="8" t="s">
        <v>145</v>
      </c>
      <c r="AI517" s="8" t="s">
        <v>463</v>
      </c>
      <c r="AJ517" s="8" t="s">
        <v>1411</v>
      </c>
      <c r="AK517" s="8" t="s">
        <v>1422</v>
      </c>
      <c r="AL517" s="8" t="s">
        <v>720</v>
      </c>
      <c r="AM517" s="8" t="s">
        <v>1667</v>
      </c>
      <c r="AN517" s="9" t="s">
        <v>2677</v>
      </c>
      <c r="AO517" s="9" t="s">
        <v>2678</v>
      </c>
      <c r="AP517" s="10" t="s">
        <v>2679</v>
      </c>
      <c r="AQ517" s="10" t="s">
        <v>2680</v>
      </c>
      <c r="AR517" s="10" t="s">
        <v>2681</v>
      </c>
      <c r="AS517" s="12"/>
      <c r="AT517" s="10" t="s">
        <v>2682</v>
      </c>
      <c r="AU517" s="10" t="s">
        <v>2683</v>
      </c>
      <c r="AV517" s="13"/>
    </row>
    <row r="518" ht="16.5" hidden="1" customHeight="1">
      <c r="A518" s="7" t="s">
        <v>2685</v>
      </c>
      <c r="B518" s="7" t="s">
        <v>1290</v>
      </c>
      <c r="C518" s="7" t="s">
        <v>1291</v>
      </c>
      <c r="D518" s="7" t="s">
        <v>1402</v>
      </c>
      <c r="E518" s="7" t="s">
        <v>227</v>
      </c>
      <c r="F518" s="7">
        <v>7010.0</v>
      </c>
      <c r="G518" s="7">
        <v>7010.0</v>
      </c>
      <c r="H518" s="7" t="s">
        <v>53</v>
      </c>
      <c r="I518" s="7" t="s">
        <v>1420</v>
      </c>
      <c r="J518" s="7"/>
      <c r="K518" s="8" t="s">
        <v>84</v>
      </c>
      <c r="L518" s="8" t="s">
        <v>1403</v>
      </c>
      <c r="M518" s="8"/>
      <c r="N518" s="8" t="s">
        <v>85</v>
      </c>
      <c r="O518" s="8" t="s">
        <v>217</v>
      </c>
      <c r="P518" s="8" t="s">
        <v>57</v>
      </c>
      <c r="Q518" s="8" t="s">
        <v>1404</v>
      </c>
      <c r="R518" s="23" t="s">
        <v>2686</v>
      </c>
      <c r="S518" s="8" t="s">
        <v>1405</v>
      </c>
      <c r="T518" s="8" t="s">
        <v>1406</v>
      </c>
      <c r="U518" s="8" t="s">
        <v>1407</v>
      </c>
      <c r="V518" s="8" t="s">
        <v>1408</v>
      </c>
      <c r="W518" s="8" t="s">
        <v>1409</v>
      </c>
      <c r="X518" s="8" t="s">
        <v>108</v>
      </c>
      <c r="Y518" s="8" t="s">
        <v>161</v>
      </c>
      <c r="Z518" s="8" t="s">
        <v>92</v>
      </c>
      <c r="AA518" s="8" t="s">
        <v>231</v>
      </c>
      <c r="AB518" s="8" t="s">
        <v>60</v>
      </c>
      <c r="AC518" s="8" t="s">
        <v>348</v>
      </c>
      <c r="AD518" s="8" t="s">
        <v>2674</v>
      </c>
      <c r="AE518" s="8" t="s">
        <v>2675</v>
      </c>
      <c r="AF518" s="8" t="s">
        <v>2676</v>
      </c>
      <c r="AG518" s="8" t="s">
        <v>63</v>
      </c>
      <c r="AH518" s="8" t="s">
        <v>145</v>
      </c>
      <c r="AI518" s="8" t="s">
        <v>463</v>
      </c>
      <c r="AJ518" s="8" t="s">
        <v>1411</v>
      </c>
      <c r="AK518" s="12" t="s">
        <v>1422</v>
      </c>
      <c r="AL518" s="8" t="s">
        <v>720</v>
      </c>
      <c r="AM518" s="8" t="s">
        <v>1667</v>
      </c>
      <c r="AN518" s="9" t="s">
        <v>2677</v>
      </c>
      <c r="AO518" s="9" t="s">
        <v>2678</v>
      </c>
      <c r="AP518" s="10" t="s">
        <v>2679</v>
      </c>
      <c r="AQ518" s="10" t="s">
        <v>2680</v>
      </c>
      <c r="AR518" s="10" t="s">
        <v>2681</v>
      </c>
      <c r="AS518" s="12"/>
      <c r="AT518" s="10" t="s">
        <v>2682</v>
      </c>
      <c r="AU518" s="10" t="s">
        <v>2683</v>
      </c>
      <c r="AV518" s="13"/>
    </row>
    <row r="519" ht="16.5" hidden="1" customHeight="1">
      <c r="A519" s="7" t="s">
        <v>2687</v>
      </c>
      <c r="B519" s="7" t="s">
        <v>1290</v>
      </c>
      <c r="C519" s="14" t="s">
        <v>1291</v>
      </c>
      <c r="D519" s="14" t="s">
        <v>1402</v>
      </c>
      <c r="E519" s="7"/>
      <c r="F519" s="7">
        <v>7011.0</v>
      </c>
      <c r="G519" s="7">
        <v>7010.0</v>
      </c>
      <c r="H519" s="7" t="s">
        <v>53</v>
      </c>
      <c r="I519" s="7" t="s">
        <v>1420</v>
      </c>
      <c r="J519" s="7"/>
      <c r="K519" s="8" t="s">
        <v>84</v>
      </c>
      <c r="L519" s="8" t="s">
        <v>1403</v>
      </c>
      <c r="M519" s="8"/>
      <c r="N519" s="8" t="s">
        <v>85</v>
      </c>
      <c r="O519" s="8" t="s">
        <v>217</v>
      </c>
      <c r="P519" s="8" t="s">
        <v>57</v>
      </c>
      <c r="Q519" s="8" t="s">
        <v>1404</v>
      </c>
      <c r="R519" s="20">
        <v>0.9</v>
      </c>
      <c r="S519" s="8" t="s">
        <v>1405</v>
      </c>
      <c r="T519" s="8" t="s">
        <v>1406</v>
      </c>
      <c r="U519" s="8" t="s">
        <v>1407</v>
      </c>
      <c r="V519" s="8" t="s">
        <v>1408</v>
      </c>
      <c r="W519" s="8" t="s">
        <v>1409</v>
      </c>
      <c r="X519" s="8" t="s">
        <v>108</v>
      </c>
      <c r="Y519" s="8" t="s">
        <v>161</v>
      </c>
      <c r="Z519" s="8" t="s">
        <v>92</v>
      </c>
      <c r="AA519" s="8" t="s">
        <v>231</v>
      </c>
      <c r="AB519" s="8" t="s">
        <v>60</v>
      </c>
      <c r="AC519" s="8" t="s">
        <v>348</v>
      </c>
      <c r="AD519" s="8" t="s">
        <v>2674</v>
      </c>
      <c r="AE519" s="8" t="s">
        <v>2675</v>
      </c>
      <c r="AF519" s="8" t="s">
        <v>2676</v>
      </c>
      <c r="AG519" s="8" t="s">
        <v>63</v>
      </c>
      <c r="AH519" s="8" t="s">
        <v>145</v>
      </c>
      <c r="AI519" s="8" t="s">
        <v>65</v>
      </c>
      <c r="AJ519" s="8" t="s">
        <v>1411</v>
      </c>
      <c r="AK519" s="8" t="s">
        <v>1422</v>
      </c>
      <c r="AL519" s="8" t="s">
        <v>720</v>
      </c>
      <c r="AM519" s="8" t="s">
        <v>1667</v>
      </c>
      <c r="AN519" s="9" t="s">
        <v>2688</v>
      </c>
      <c r="AO519" s="9" t="s">
        <v>2689</v>
      </c>
      <c r="AP519" s="10" t="s">
        <v>2679</v>
      </c>
      <c r="AQ519" s="10" t="s">
        <v>2680</v>
      </c>
      <c r="AR519" s="10" t="s">
        <v>2681</v>
      </c>
      <c r="AS519" s="12"/>
      <c r="AT519" s="10" t="s">
        <v>2682</v>
      </c>
      <c r="AU519" s="10" t="s">
        <v>2683</v>
      </c>
      <c r="AV519" s="13"/>
    </row>
    <row r="520" ht="16.5" hidden="1" customHeight="1">
      <c r="A520" s="7" t="s">
        <v>2690</v>
      </c>
      <c r="B520" s="7" t="s">
        <v>1290</v>
      </c>
      <c r="C520" s="7" t="s">
        <v>1291</v>
      </c>
      <c r="D520" s="7" t="s">
        <v>1402</v>
      </c>
      <c r="E520" s="7" t="s">
        <v>227</v>
      </c>
      <c r="F520" s="7">
        <v>7012.0</v>
      </c>
      <c r="G520" s="7">
        <v>7010.0</v>
      </c>
      <c r="H520" s="7" t="s">
        <v>53</v>
      </c>
      <c r="I520" s="7" t="s">
        <v>1427</v>
      </c>
      <c r="J520" s="7"/>
      <c r="K520" s="8" t="s">
        <v>84</v>
      </c>
      <c r="L520" s="8" t="s">
        <v>1403</v>
      </c>
      <c r="M520" s="8"/>
      <c r="N520" s="8" t="s">
        <v>85</v>
      </c>
      <c r="O520" s="8" t="s">
        <v>217</v>
      </c>
      <c r="P520" s="8" t="s">
        <v>57</v>
      </c>
      <c r="Q520" s="8" t="s">
        <v>1428</v>
      </c>
      <c r="R520" s="20">
        <v>0.9</v>
      </c>
      <c r="S520" s="8" t="s">
        <v>1429</v>
      </c>
      <c r="T520" s="8" t="s">
        <v>1406</v>
      </c>
      <c r="U520" s="8" t="s">
        <v>1430</v>
      </c>
      <c r="V520" s="8" t="s">
        <v>1408</v>
      </c>
      <c r="W520" s="8" t="s">
        <v>1409</v>
      </c>
      <c r="X520" s="8" t="s">
        <v>108</v>
      </c>
      <c r="Y520" s="8" t="s">
        <v>161</v>
      </c>
      <c r="Z520" s="8" t="s">
        <v>92</v>
      </c>
      <c r="AA520" s="8" t="s">
        <v>231</v>
      </c>
      <c r="AB520" s="8" t="s">
        <v>60</v>
      </c>
      <c r="AC520" s="8" t="s">
        <v>348</v>
      </c>
      <c r="AD520" s="8" t="s">
        <v>2691</v>
      </c>
      <c r="AE520" s="8" t="s">
        <v>2692</v>
      </c>
      <c r="AF520" s="8" t="s">
        <v>2676</v>
      </c>
      <c r="AG520" s="8" t="s">
        <v>63</v>
      </c>
      <c r="AH520" s="8" t="s">
        <v>145</v>
      </c>
      <c r="AI520" s="8" t="s">
        <v>463</v>
      </c>
      <c r="AJ520" s="8" t="s">
        <v>1411</v>
      </c>
      <c r="AK520" s="8" t="s">
        <v>1422</v>
      </c>
      <c r="AL520" s="8" t="s">
        <v>720</v>
      </c>
      <c r="AM520" s="8" t="s">
        <v>1667</v>
      </c>
      <c r="AN520" s="9" t="s">
        <v>2693</v>
      </c>
      <c r="AO520" s="9" t="s">
        <v>2694</v>
      </c>
      <c r="AP520" s="10" t="s">
        <v>2679</v>
      </c>
      <c r="AQ520" s="10" t="s">
        <v>2695</v>
      </c>
      <c r="AR520" s="10" t="s">
        <v>2696</v>
      </c>
      <c r="AS520" s="12"/>
      <c r="AT520" s="10" t="s">
        <v>2697</v>
      </c>
      <c r="AU520" s="10" t="s">
        <v>2698</v>
      </c>
      <c r="AV520" s="13"/>
    </row>
    <row r="521" ht="16.5" hidden="1" customHeight="1">
      <c r="A521" s="7" t="s">
        <v>2699</v>
      </c>
      <c r="B521" s="7" t="s">
        <v>1290</v>
      </c>
      <c r="C521" s="7" t="s">
        <v>1291</v>
      </c>
      <c r="D521" s="7" t="s">
        <v>1402</v>
      </c>
      <c r="E521" s="7" t="s">
        <v>227</v>
      </c>
      <c r="F521" s="7">
        <v>7012.0</v>
      </c>
      <c r="G521" s="7">
        <v>7010.0</v>
      </c>
      <c r="H521" s="7" t="s">
        <v>53</v>
      </c>
      <c r="I521" s="7" t="s">
        <v>1427</v>
      </c>
      <c r="J521" s="7"/>
      <c r="K521" s="8" t="s">
        <v>84</v>
      </c>
      <c r="L521" s="8" t="s">
        <v>1403</v>
      </c>
      <c r="M521" s="8"/>
      <c r="N521" s="8" t="s">
        <v>85</v>
      </c>
      <c r="O521" s="8" t="s">
        <v>217</v>
      </c>
      <c r="P521" s="8" t="s">
        <v>57</v>
      </c>
      <c r="Q521" s="8" t="s">
        <v>1428</v>
      </c>
      <c r="R521" s="23" t="s">
        <v>2686</v>
      </c>
      <c r="S521" s="8" t="s">
        <v>1429</v>
      </c>
      <c r="T521" s="8" t="s">
        <v>1406</v>
      </c>
      <c r="U521" s="8" t="s">
        <v>1430</v>
      </c>
      <c r="V521" s="8" t="s">
        <v>1408</v>
      </c>
      <c r="W521" s="8" t="s">
        <v>1409</v>
      </c>
      <c r="X521" s="8" t="s">
        <v>108</v>
      </c>
      <c r="Y521" s="8" t="s">
        <v>161</v>
      </c>
      <c r="Z521" s="8" t="s">
        <v>92</v>
      </c>
      <c r="AA521" s="8" t="s">
        <v>231</v>
      </c>
      <c r="AB521" s="8" t="s">
        <v>60</v>
      </c>
      <c r="AC521" s="8" t="s">
        <v>348</v>
      </c>
      <c r="AD521" s="8" t="s">
        <v>2691</v>
      </c>
      <c r="AE521" s="8" t="s">
        <v>2692</v>
      </c>
      <c r="AF521" s="8" t="s">
        <v>2676</v>
      </c>
      <c r="AG521" s="8" t="s">
        <v>63</v>
      </c>
      <c r="AH521" s="8" t="s">
        <v>145</v>
      </c>
      <c r="AI521" s="8" t="s">
        <v>463</v>
      </c>
      <c r="AJ521" s="8" t="s">
        <v>1411</v>
      </c>
      <c r="AK521" s="12" t="s">
        <v>1422</v>
      </c>
      <c r="AL521" s="8" t="s">
        <v>720</v>
      </c>
      <c r="AM521" s="8" t="s">
        <v>1667</v>
      </c>
      <c r="AN521" s="9" t="s">
        <v>2693</v>
      </c>
      <c r="AO521" s="9" t="s">
        <v>2694</v>
      </c>
      <c r="AP521" s="10" t="s">
        <v>2679</v>
      </c>
      <c r="AQ521" s="10" t="s">
        <v>2695</v>
      </c>
      <c r="AR521" s="10" t="s">
        <v>2696</v>
      </c>
      <c r="AS521" s="12"/>
      <c r="AT521" s="10" t="s">
        <v>2697</v>
      </c>
      <c r="AU521" s="10" t="s">
        <v>2698</v>
      </c>
      <c r="AV521" s="13"/>
    </row>
    <row r="522" ht="16.5" hidden="1" customHeight="1">
      <c r="A522" s="7" t="s">
        <v>2700</v>
      </c>
      <c r="B522" s="7" t="s">
        <v>1290</v>
      </c>
      <c r="C522" s="14" t="s">
        <v>1291</v>
      </c>
      <c r="D522" s="14" t="s">
        <v>1402</v>
      </c>
      <c r="E522" s="7"/>
      <c r="F522" s="7">
        <v>7013.0</v>
      </c>
      <c r="G522" s="7">
        <v>7010.0</v>
      </c>
      <c r="H522" s="7" t="s">
        <v>53</v>
      </c>
      <c r="I522" s="7" t="s">
        <v>1427</v>
      </c>
      <c r="J522" s="7"/>
      <c r="K522" s="8" t="s">
        <v>84</v>
      </c>
      <c r="L522" s="8" t="s">
        <v>1403</v>
      </c>
      <c r="M522" s="8"/>
      <c r="N522" s="8" t="s">
        <v>85</v>
      </c>
      <c r="O522" s="8" t="s">
        <v>217</v>
      </c>
      <c r="P522" s="8" t="s">
        <v>57</v>
      </c>
      <c r="Q522" s="8" t="s">
        <v>1428</v>
      </c>
      <c r="R522" s="20">
        <v>0.9</v>
      </c>
      <c r="S522" s="8" t="s">
        <v>1429</v>
      </c>
      <c r="T522" s="8" t="s">
        <v>1406</v>
      </c>
      <c r="U522" s="8" t="s">
        <v>1430</v>
      </c>
      <c r="V522" s="8" t="s">
        <v>1408</v>
      </c>
      <c r="W522" s="8" t="s">
        <v>1409</v>
      </c>
      <c r="X522" s="8" t="s">
        <v>108</v>
      </c>
      <c r="Y522" s="8" t="s">
        <v>161</v>
      </c>
      <c r="Z522" s="8" t="s">
        <v>92</v>
      </c>
      <c r="AA522" s="8" t="s">
        <v>231</v>
      </c>
      <c r="AB522" s="8" t="s">
        <v>60</v>
      </c>
      <c r="AC522" s="8" t="s">
        <v>348</v>
      </c>
      <c r="AD522" s="8" t="s">
        <v>2691</v>
      </c>
      <c r="AE522" s="8" t="s">
        <v>2692</v>
      </c>
      <c r="AF522" s="8" t="s">
        <v>2676</v>
      </c>
      <c r="AG522" s="8" t="s">
        <v>63</v>
      </c>
      <c r="AH522" s="8" t="s">
        <v>145</v>
      </c>
      <c r="AI522" s="8" t="s">
        <v>65</v>
      </c>
      <c r="AJ522" s="8" t="s">
        <v>1411</v>
      </c>
      <c r="AK522" s="8" t="s">
        <v>1422</v>
      </c>
      <c r="AL522" s="8" t="s">
        <v>720</v>
      </c>
      <c r="AM522" s="8" t="s">
        <v>1667</v>
      </c>
      <c r="AN522" s="9" t="s">
        <v>2701</v>
      </c>
      <c r="AO522" s="9" t="s">
        <v>2702</v>
      </c>
      <c r="AP522" s="10" t="s">
        <v>2679</v>
      </c>
      <c r="AQ522" s="10" t="s">
        <v>2695</v>
      </c>
      <c r="AR522" s="10" t="s">
        <v>2696</v>
      </c>
      <c r="AS522" s="12"/>
      <c r="AT522" s="10" t="s">
        <v>2697</v>
      </c>
      <c r="AU522" s="10" t="s">
        <v>2698</v>
      </c>
      <c r="AV522" s="13"/>
    </row>
    <row r="523" ht="16.5" hidden="1" customHeight="1">
      <c r="A523" s="7" t="s">
        <v>2703</v>
      </c>
      <c r="B523" s="7" t="s">
        <v>1290</v>
      </c>
      <c r="C523" s="7" t="s">
        <v>1291</v>
      </c>
      <c r="D523" s="7" t="s">
        <v>1402</v>
      </c>
      <c r="E523" s="7" t="s">
        <v>227</v>
      </c>
      <c r="F523" s="7">
        <v>7014.0</v>
      </c>
      <c r="G523" s="7">
        <v>7010.0</v>
      </c>
      <c r="H523" s="7" t="s">
        <v>53</v>
      </c>
      <c r="I523" s="7" t="s">
        <v>1442</v>
      </c>
      <c r="J523" s="7"/>
      <c r="K523" s="8" t="s">
        <v>84</v>
      </c>
      <c r="L523" s="8" t="s">
        <v>1403</v>
      </c>
      <c r="M523" s="8"/>
      <c r="N523" s="8" t="s">
        <v>85</v>
      </c>
      <c r="O523" s="8" t="s">
        <v>217</v>
      </c>
      <c r="P523" s="8" t="s">
        <v>57</v>
      </c>
      <c r="Q523" s="8" t="s">
        <v>1443</v>
      </c>
      <c r="R523" s="20">
        <v>0.9</v>
      </c>
      <c r="S523" s="8" t="s">
        <v>1444</v>
      </c>
      <c r="T523" s="8" t="s">
        <v>1406</v>
      </c>
      <c r="U523" s="8" t="s">
        <v>1445</v>
      </c>
      <c r="V523" s="8" t="s">
        <v>1408</v>
      </c>
      <c r="W523" s="8" t="s">
        <v>1409</v>
      </c>
      <c r="X523" s="8" t="s">
        <v>108</v>
      </c>
      <c r="Y523" s="8" t="s">
        <v>161</v>
      </c>
      <c r="Z523" s="8" t="s">
        <v>92</v>
      </c>
      <c r="AA523" s="8" t="s">
        <v>231</v>
      </c>
      <c r="AB523" s="8" t="s">
        <v>60</v>
      </c>
      <c r="AC523" s="8" t="s">
        <v>348</v>
      </c>
      <c r="AD523" s="8" t="s">
        <v>2704</v>
      </c>
      <c r="AE523" s="8" t="s">
        <v>2705</v>
      </c>
      <c r="AF523" s="8" t="s">
        <v>2676</v>
      </c>
      <c r="AG523" s="8" t="s">
        <v>63</v>
      </c>
      <c r="AH523" s="8" t="s">
        <v>145</v>
      </c>
      <c r="AI523" s="8" t="s">
        <v>463</v>
      </c>
      <c r="AJ523" s="8" t="s">
        <v>1411</v>
      </c>
      <c r="AK523" s="8" t="s">
        <v>1422</v>
      </c>
      <c r="AL523" s="8" t="s">
        <v>720</v>
      </c>
      <c r="AM523" s="8" t="s">
        <v>1667</v>
      </c>
      <c r="AN523" s="9" t="s">
        <v>2706</v>
      </c>
      <c r="AO523" s="9" t="s">
        <v>2707</v>
      </c>
      <c r="AP523" s="10" t="s">
        <v>2679</v>
      </c>
      <c r="AQ523" s="10" t="s">
        <v>2708</v>
      </c>
      <c r="AR523" s="10" t="s">
        <v>2709</v>
      </c>
      <c r="AS523" s="12"/>
      <c r="AT523" s="10" t="s">
        <v>2710</v>
      </c>
      <c r="AU523" s="10" t="s">
        <v>2711</v>
      </c>
      <c r="AV523" s="13"/>
    </row>
    <row r="524" ht="16.5" hidden="1" customHeight="1">
      <c r="A524" s="7" t="s">
        <v>2712</v>
      </c>
      <c r="B524" s="7" t="s">
        <v>1290</v>
      </c>
      <c r="C524" s="7" t="s">
        <v>1291</v>
      </c>
      <c r="D524" s="7" t="s">
        <v>1402</v>
      </c>
      <c r="E524" s="7" t="s">
        <v>227</v>
      </c>
      <c r="F524" s="7">
        <v>7014.0</v>
      </c>
      <c r="G524" s="7">
        <v>7010.0</v>
      </c>
      <c r="H524" s="7" t="s">
        <v>53</v>
      </c>
      <c r="I524" s="7" t="s">
        <v>1442</v>
      </c>
      <c r="J524" s="7"/>
      <c r="K524" s="8" t="s">
        <v>84</v>
      </c>
      <c r="L524" s="8" t="s">
        <v>1403</v>
      </c>
      <c r="M524" s="8"/>
      <c r="N524" s="8" t="s">
        <v>85</v>
      </c>
      <c r="O524" s="8" t="s">
        <v>217</v>
      </c>
      <c r="P524" s="8" t="s">
        <v>57</v>
      </c>
      <c r="Q524" s="8" t="s">
        <v>1443</v>
      </c>
      <c r="R524" s="23" t="s">
        <v>2686</v>
      </c>
      <c r="S524" s="8" t="s">
        <v>1444</v>
      </c>
      <c r="T524" s="8" t="s">
        <v>1406</v>
      </c>
      <c r="U524" s="8" t="s">
        <v>1445</v>
      </c>
      <c r="V524" s="8" t="s">
        <v>1408</v>
      </c>
      <c r="W524" s="8" t="s">
        <v>1409</v>
      </c>
      <c r="X524" s="8" t="s">
        <v>108</v>
      </c>
      <c r="Y524" s="8" t="s">
        <v>161</v>
      </c>
      <c r="Z524" s="8" t="s">
        <v>92</v>
      </c>
      <c r="AA524" s="8" t="s">
        <v>231</v>
      </c>
      <c r="AB524" s="8" t="s">
        <v>60</v>
      </c>
      <c r="AC524" s="8" t="s">
        <v>348</v>
      </c>
      <c r="AD524" s="8" t="s">
        <v>2704</v>
      </c>
      <c r="AE524" s="8" t="s">
        <v>2705</v>
      </c>
      <c r="AF524" s="8" t="s">
        <v>2676</v>
      </c>
      <c r="AG524" s="8" t="s">
        <v>63</v>
      </c>
      <c r="AH524" s="8" t="s">
        <v>145</v>
      </c>
      <c r="AI524" s="8" t="s">
        <v>463</v>
      </c>
      <c r="AJ524" s="8" t="s">
        <v>1411</v>
      </c>
      <c r="AK524" s="12" t="s">
        <v>1422</v>
      </c>
      <c r="AL524" s="8" t="s">
        <v>720</v>
      </c>
      <c r="AM524" s="8" t="s">
        <v>1667</v>
      </c>
      <c r="AN524" s="9" t="s">
        <v>2706</v>
      </c>
      <c r="AO524" s="9" t="s">
        <v>2707</v>
      </c>
      <c r="AP524" s="10" t="s">
        <v>2679</v>
      </c>
      <c r="AQ524" s="10" t="s">
        <v>2708</v>
      </c>
      <c r="AR524" s="10" t="s">
        <v>2709</v>
      </c>
      <c r="AS524" s="12"/>
      <c r="AT524" s="10" t="s">
        <v>2710</v>
      </c>
      <c r="AU524" s="10" t="s">
        <v>2711</v>
      </c>
      <c r="AV524" s="13"/>
    </row>
    <row r="525" ht="16.5" hidden="1" customHeight="1">
      <c r="A525" s="7" t="s">
        <v>2713</v>
      </c>
      <c r="B525" s="7" t="s">
        <v>1290</v>
      </c>
      <c r="C525" s="14" t="s">
        <v>1291</v>
      </c>
      <c r="D525" s="14" t="s">
        <v>1402</v>
      </c>
      <c r="E525" s="7"/>
      <c r="F525" s="7">
        <v>7015.0</v>
      </c>
      <c r="G525" s="7">
        <v>7010.0</v>
      </c>
      <c r="H525" s="7" t="s">
        <v>53</v>
      </c>
      <c r="I525" s="7" t="s">
        <v>1442</v>
      </c>
      <c r="J525" s="7"/>
      <c r="K525" s="8" t="s">
        <v>84</v>
      </c>
      <c r="L525" s="8" t="s">
        <v>1403</v>
      </c>
      <c r="M525" s="8"/>
      <c r="N525" s="8" t="s">
        <v>85</v>
      </c>
      <c r="O525" s="8" t="s">
        <v>217</v>
      </c>
      <c r="P525" s="8" t="s">
        <v>57</v>
      </c>
      <c r="Q525" s="8" t="s">
        <v>1443</v>
      </c>
      <c r="R525" s="20">
        <v>0.9</v>
      </c>
      <c r="S525" s="8" t="s">
        <v>1444</v>
      </c>
      <c r="T525" s="8" t="s">
        <v>1406</v>
      </c>
      <c r="U525" s="8" t="s">
        <v>1445</v>
      </c>
      <c r="V525" s="8" t="s">
        <v>1408</v>
      </c>
      <c r="W525" s="8" t="s">
        <v>1409</v>
      </c>
      <c r="X525" s="8" t="s">
        <v>108</v>
      </c>
      <c r="Y525" s="8" t="s">
        <v>161</v>
      </c>
      <c r="Z525" s="8" t="s">
        <v>92</v>
      </c>
      <c r="AA525" s="8" t="s">
        <v>231</v>
      </c>
      <c r="AB525" s="8" t="s">
        <v>60</v>
      </c>
      <c r="AC525" s="8" t="s">
        <v>348</v>
      </c>
      <c r="AD525" s="8" t="s">
        <v>2704</v>
      </c>
      <c r="AE525" s="8" t="s">
        <v>2705</v>
      </c>
      <c r="AF525" s="8" t="s">
        <v>2676</v>
      </c>
      <c r="AG525" s="8" t="s">
        <v>63</v>
      </c>
      <c r="AH525" s="8" t="s">
        <v>145</v>
      </c>
      <c r="AI525" s="8" t="s">
        <v>65</v>
      </c>
      <c r="AJ525" s="8" t="s">
        <v>1411</v>
      </c>
      <c r="AK525" s="8" t="s">
        <v>1422</v>
      </c>
      <c r="AL525" s="8" t="s">
        <v>720</v>
      </c>
      <c r="AM525" s="8" t="s">
        <v>1667</v>
      </c>
      <c r="AN525" s="9" t="s">
        <v>2714</v>
      </c>
      <c r="AO525" s="9" t="s">
        <v>2715</v>
      </c>
      <c r="AP525" s="10" t="s">
        <v>2679</v>
      </c>
      <c r="AQ525" s="10" t="s">
        <v>2708</v>
      </c>
      <c r="AR525" s="10" t="s">
        <v>2709</v>
      </c>
      <c r="AS525" s="12"/>
      <c r="AT525" s="10" t="s">
        <v>2710</v>
      </c>
      <c r="AU525" s="10" t="s">
        <v>2711</v>
      </c>
      <c r="AV525" s="13"/>
    </row>
    <row r="526" ht="16.5" hidden="1" customHeight="1">
      <c r="A526" s="7" t="s">
        <v>2716</v>
      </c>
      <c r="B526" s="7" t="s">
        <v>1290</v>
      </c>
      <c r="C526" s="7" t="s">
        <v>1291</v>
      </c>
      <c r="D526" s="7" t="s">
        <v>1402</v>
      </c>
      <c r="E526" s="7" t="s">
        <v>227</v>
      </c>
      <c r="F526" s="7">
        <v>7016.0</v>
      </c>
      <c r="G526" s="7">
        <v>7010.0</v>
      </c>
      <c r="H526" s="7" t="s">
        <v>53</v>
      </c>
      <c r="I526" s="7" t="s">
        <v>1457</v>
      </c>
      <c r="J526" s="7"/>
      <c r="K526" s="8" t="s">
        <v>84</v>
      </c>
      <c r="L526" s="8" t="s">
        <v>1403</v>
      </c>
      <c r="M526" s="8"/>
      <c r="N526" s="8" t="s">
        <v>85</v>
      </c>
      <c r="O526" s="8" t="s">
        <v>217</v>
      </c>
      <c r="P526" s="8" t="s">
        <v>57</v>
      </c>
      <c r="Q526" s="8" t="s">
        <v>1458</v>
      </c>
      <c r="R526" s="20">
        <v>0.9</v>
      </c>
      <c r="S526" s="8" t="s">
        <v>1459</v>
      </c>
      <c r="T526" s="8" t="s">
        <v>1406</v>
      </c>
      <c r="U526" s="8" t="s">
        <v>1460</v>
      </c>
      <c r="V526" s="8" t="s">
        <v>1408</v>
      </c>
      <c r="W526" s="8" t="s">
        <v>1409</v>
      </c>
      <c r="X526" s="8" t="s">
        <v>108</v>
      </c>
      <c r="Y526" s="8" t="s">
        <v>161</v>
      </c>
      <c r="Z526" s="8" t="s">
        <v>92</v>
      </c>
      <c r="AA526" s="8" t="s">
        <v>231</v>
      </c>
      <c r="AB526" s="8" t="s">
        <v>60</v>
      </c>
      <c r="AC526" s="8" t="s">
        <v>348</v>
      </c>
      <c r="AD526" s="8" t="s">
        <v>2717</v>
      </c>
      <c r="AE526" s="8" t="s">
        <v>2718</v>
      </c>
      <c r="AF526" s="8" t="s">
        <v>2676</v>
      </c>
      <c r="AG526" s="8" t="s">
        <v>63</v>
      </c>
      <c r="AH526" s="8" t="s">
        <v>145</v>
      </c>
      <c r="AI526" s="8" t="s">
        <v>463</v>
      </c>
      <c r="AJ526" s="8" t="s">
        <v>1411</v>
      </c>
      <c r="AK526" s="8" t="s">
        <v>1422</v>
      </c>
      <c r="AL526" s="8" t="s">
        <v>720</v>
      </c>
      <c r="AM526" s="8" t="s">
        <v>1667</v>
      </c>
      <c r="AN526" s="9" t="s">
        <v>2719</v>
      </c>
      <c r="AO526" s="9" t="s">
        <v>2720</v>
      </c>
      <c r="AP526" s="10" t="s">
        <v>2679</v>
      </c>
      <c r="AQ526" s="10" t="s">
        <v>2721</v>
      </c>
      <c r="AR526" s="10" t="s">
        <v>2722</v>
      </c>
      <c r="AS526" s="12"/>
      <c r="AT526" s="10" t="s">
        <v>2723</v>
      </c>
      <c r="AU526" s="11"/>
      <c r="AV526" s="13"/>
    </row>
    <row r="527" ht="16.5" hidden="1" customHeight="1">
      <c r="A527" s="7" t="s">
        <v>2724</v>
      </c>
      <c r="B527" s="7" t="s">
        <v>1290</v>
      </c>
      <c r="C527" s="7" t="s">
        <v>1291</v>
      </c>
      <c r="D527" s="7" t="s">
        <v>1402</v>
      </c>
      <c r="E527" s="7" t="s">
        <v>227</v>
      </c>
      <c r="F527" s="7">
        <v>7017.0</v>
      </c>
      <c r="G527" s="7">
        <v>7010.0</v>
      </c>
      <c r="H527" s="7" t="s">
        <v>53</v>
      </c>
      <c r="I527" s="7" t="s">
        <v>1457</v>
      </c>
      <c r="J527" s="7"/>
      <c r="K527" s="8" t="s">
        <v>84</v>
      </c>
      <c r="L527" s="8" t="s">
        <v>1403</v>
      </c>
      <c r="M527" s="8"/>
      <c r="N527" s="8" t="s">
        <v>85</v>
      </c>
      <c r="O527" s="8" t="s">
        <v>217</v>
      </c>
      <c r="P527" s="8" t="s">
        <v>57</v>
      </c>
      <c r="Q527" s="8" t="s">
        <v>1458</v>
      </c>
      <c r="R527" s="20">
        <v>0.9</v>
      </c>
      <c r="S527" s="8" t="s">
        <v>1459</v>
      </c>
      <c r="T527" s="8" t="s">
        <v>1406</v>
      </c>
      <c r="U527" s="8" t="s">
        <v>1460</v>
      </c>
      <c r="V527" s="8" t="s">
        <v>1408</v>
      </c>
      <c r="W527" s="8" t="s">
        <v>1409</v>
      </c>
      <c r="X527" s="8" t="s">
        <v>108</v>
      </c>
      <c r="Y527" s="8" t="s">
        <v>161</v>
      </c>
      <c r="Z527" s="8" t="s">
        <v>92</v>
      </c>
      <c r="AA527" s="8" t="s">
        <v>231</v>
      </c>
      <c r="AB527" s="8" t="s">
        <v>60</v>
      </c>
      <c r="AC527" s="8" t="s">
        <v>348</v>
      </c>
      <c r="AD527" s="8" t="s">
        <v>2717</v>
      </c>
      <c r="AE527" s="8" t="s">
        <v>2718</v>
      </c>
      <c r="AF527" s="8" t="s">
        <v>2676</v>
      </c>
      <c r="AG527" s="8" t="s">
        <v>63</v>
      </c>
      <c r="AH527" s="8" t="s">
        <v>145</v>
      </c>
      <c r="AI527" s="8" t="s">
        <v>65</v>
      </c>
      <c r="AJ527" s="8" t="s">
        <v>1411</v>
      </c>
      <c r="AK527" s="8" t="s">
        <v>1422</v>
      </c>
      <c r="AL527" s="8" t="s">
        <v>720</v>
      </c>
      <c r="AM527" s="8" t="s">
        <v>1667</v>
      </c>
      <c r="AN527" s="9" t="s">
        <v>2725</v>
      </c>
      <c r="AO527" s="9" t="s">
        <v>2726</v>
      </c>
      <c r="AP527" s="10" t="s">
        <v>2679</v>
      </c>
      <c r="AQ527" s="10" t="s">
        <v>2721</v>
      </c>
      <c r="AR527" s="10" t="s">
        <v>2722</v>
      </c>
      <c r="AS527" s="12"/>
      <c r="AT527" s="10" t="s">
        <v>2723</v>
      </c>
      <c r="AU527" s="11"/>
      <c r="AV527" s="13"/>
    </row>
    <row r="528" ht="16.5" hidden="1" customHeight="1">
      <c r="A528" s="7" t="s">
        <v>2727</v>
      </c>
      <c r="B528" s="7" t="s">
        <v>1290</v>
      </c>
      <c r="C528" s="7" t="s">
        <v>1291</v>
      </c>
      <c r="D528" s="7" t="s">
        <v>926</v>
      </c>
      <c r="E528" s="7" t="s">
        <v>227</v>
      </c>
      <c r="F528" s="7">
        <v>7018.0</v>
      </c>
      <c r="G528" s="7"/>
      <c r="H528" s="7" t="s">
        <v>53</v>
      </c>
      <c r="I528" s="7"/>
      <c r="J528" s="7"/>
      <c r="K528" s="8" t="s">
        <v>84</v>
      </c>
      <c r="L528" s="8" t="s">
        <v>1403</v>
      </c>
      <c r="M528" s="8"/>
      <c r="N528" s="8" t="s">
        <v>85</v>
      </c>
      <c r="O528" s="8" t="s">
        <v>217</v>
      </c>
      <c r="P528" s="8" t="s">
        <v>57</v>
      </c>
      <c r="Q528" s="8" t="s">
        <v>1404</v>
      </c>
      <c r="R528" s="20">
        <v>0.96</v>
      </c>
      <c r="S528" s="8" t="s">
        <v>1405</v>
      </c>
      <c r="T528" s="8" t="s">
        <v>1406</v>
      </c>
      <c r="U528" s="8" t="s">
        <v>1520</v>
      </c>
      <c r="V528" s="8" t="s">
        <v>1521</v>
      </c>
      <c r="W528" s="8" t="s">
        <v>1409</v>
      </c>
      <c r="X528" s="8" t="s">
        <v>108</v>
      </c>
      <c r="Y528" s="8" t="s">
        <v>161</v>
      </c>
      <c r="Z528" s="8" t="s">
        <v>92</v>
      </c>
      <c r="AA528" s="8" t="s">
        <v>231</v>
      </c>
      <c r="AB528" s="8" t="s">
        <v>60</v>
      </c>
      <c r="AC528" s="8" t="s">
        <v>348</v>
      </c>
      <c r="AD528" s="8" t="s">
        <v>2728</v>
      </c>
      <c r="AE528" s="8" t="s">
        <v>2729</v>
      </c>
      <c r="AF528" s="8" t="s">
        <v>2676</v>
      </c>
      <c r="AG528" s="8" t="s">
        <v>63</v>
      </c>
      <c r="AH528" s="8" t="s">
        <v>145</v>
      </c>
      <c r="AI528" s="8" t="s">
        <v>463</v>
      </c>
      <c r="AJ528" s="8" t="s">
        <v>1411</v>
      </c>
      <c r="AK528" s="8" t="s">
        <v>49</v>
      </c>
      <c r="AL528" s="8" t="s">
        <v>720</v>
      </c>
      <c r="AM528" s="8" t="s">
        <v>1412</v>
      </c>
      <c r="AN528" s="9" t="s">
        <v>2730</v>
      </c>
      <c r="AO528" s="9" t="s">
        <v>2731</v>
      </c>
      <c r="AP528" s="10" t="s">
        <v>2679</v>
      </c>
      <c r="AQ528" s="10" t="s">
        <v>2732</v>
      </c>
      <c r="AR528" s="10" t="s">
        <v>2733</v>
      </c>
      <c r="AS528" s="12"/>
      <c r="AT528" s="10" t="s">
        <v>2734</v>
      </c>
      <c r="AU528" s="10" t="s">
        <v>2735</v>
      </c>
      <c r="AV528" s="13"/>
    </row>
    <row r="529" ht="16.5" hidden="1" customHeight="1">
      <c r="A529" s="7" t="s">
        <v>2736</v>
      </c>
      <c r="B529" s="7" t="s">
        <v>1290</v>
      </c>
      <c r="C529" s="7" t="s">
        <v>1291</v>
      </c>
      <c r="D529" s="7" t="s">
        <v>926</v>
      </c>
      <c r="E529" s="7" t="s">
        <v>227</v>
      </c>
      <c r="F529" s="7">
        <v>7018.0</v>
      </c>
      <c r="G529" s="7">
        <v>7018.0</v>
      </c>
      <c r="H529" s="7" t="s">
        <v>53</v>
      </c>
      <c r="I529" s="7"/>
      <c r="J529" s="7"/>
      <c r="K529" s="8" t="s">
        <v>84</v>
      </c>
      <c r="L529" s="8" t="s">
        <v>1403</v>
      </c>
      <c r="M529" s="8"/>
      <c r="N529" s="8" t="s">
        <v>85</v>
      </c>
      <c r="O529" s="8" t="s">
        <v>217</v>
      </c>
      <c r="P529" s="8" t="s">
        <v>57</v>
      </c>
      <c r="Q529" s="8" t="s">
        <v>1404</v>
      </c>
      <c r="R529" s="20">
        <v>0.9</v>
      </c>
      <c r="S529" s="8" t="s">
        <v>1405</v>
      </c>
      <c r="T529" s="8" t="s">
        <v>1406</v>
      </c>
      <c r="U529" s="8" t="s">
        <v>1520</v>
      </c>
      <c r="V529" s="8" t="s">
        <v>1521</v>
      </c>
      <c r="W529" s="8" t="s">
        <v>1409</v>
      </c>
      <c r="X529" s="8" t="s">
        <v>108</v>
      </c>
      <c r="Y529" s="8" t="s">
        <v>161</v>
      </c>
      <c r="Z529" s="8" t="s">
        <v>92</v>
      </c>
      <c r="AA529" s="8" t="s">
        <v>231</v>
      </c>
      <c r="AB529" s="8" t="s">
        <v>60</v>
      </c>
      <c r="AC529" s="8" t="s">
        <v>348</v>
      </c>
      <c r="AD529" s="8" t="s">
        <v>2728</v>
      </c>
      <c r="AE529" s="12" t="s">
        <v>2729</v>
      </c>
      <c r="AF529" s="8" t="s">
        <v>2676</v>
      </c>
      <c r="AG529" s="8" t="s">
        <v>63</v>
      </c>
      <c r="AH529" s="8" t="s">
        <v>145</v>
      </c>
      <c r="AI529" s="8" t="s">
        <v>463</v>
      </c>
      <c r="AJ529" s="8" t="s">
        <v>1411</v>
      </c>
      <c r="AK529" s="8" t="s">
        <v>1422</v>
      </c>
      <c r="AL529" s="8" t="s">
        <v>720</v>
      </c>
      <c r="AM529" s="8" t="s">
        <v>1412</v>
      </c>
      <c r="AN529" s="9" t="s">
        <v>2730</v>
      </c>
      <c r="AO529" s="9" t="s">
        <v>2731</v>
      </c>
      <c r="AP529" s="10" t="s">
        <v>2679</v>
      </c>
      <c r="AQ529" s="10" t="s">
        <v>2732</v>
      </c>
      <c r="AR529" s="10" t="s">
        <v>2733</v>
      </c>
      <c r="AS529" s="12"/>
      <c r="AT529" s="10" t="s">
        <v>2734</v>
      </c>
      <c r="AU529" s="10" t="s">
        <v>2735</v>
      </c>
      <c r="AV529" s="13"/>
    </row>
    <row r="530" ht="16.5" hidden="1" customHeight="1">
      <c r="A530" s="7" t="s">
        <v>2737</v>
      </c>
      <c r="B530" s="7" t="s">
        <v>1290</v>
      </c>
      <c r="C530" s="14" t="s">
        <v>1291</v>
      </c>
      <c r="D530" s="14" t="s">
        <v>926</v>
      </c>
      <c r="E530" s="7"/>
      <c r="F530" s="7">
        <v>7019.0</v>
      </c>
      <c r="G530" s="7">
        <v>7018.0</v>
      </c>
      <c r="H530" s="7" t="s">
        <v>53</v>
      </c>
      <c r="I530" s="7"/>
      <c r="J530" s="7"/>
      <c r="K530" s="8" t="s">
        <v>84</v>
      </c>
      <c r="L530" s="8" t="s">
        <v>1403</v>
      </c>
      <c r="M530" s="8"/>
      <c r="N530" s="8" t="s">
        <v>85</v>
      </c>
      <c r="O530" s="8" t="s">
        <v>217</v>
      </c>
      <c r="P530" s="8" t="s">
        <v>57</v>
      </c>
      <c r="Q530" s="8" t="s">
        <v>1404</v>
      </c>
      <c r="R530" s="20">
        <v>0.9</v>
      </c>
      <c r="S530" s="8" t="s">
        <v>1405</v>
      </c>
      <c r="T530" s="8" t="s">
        <v>1406</v>
      </c>
      <c r="U530" s="8" t="s">
        <v>1520</v>
      </c>
      <c r="V530" s="8" t="s">
        <v>1521</v>
      </c>
      <c r="W530" s="8" t="s">
        <v>1409</v>
      </c>
      <c r="X530" s="8" t="s">
        <v>108</v>
      </c>
      <c r="Y530" s="8" t="s">
        <v>161</v>
      </c>
      <c r="Z530" s="8" t="s">
        <v>92</v>
      </c>
      <c r="AA530" s="8" t="s">
        <v>231</v>
      </c>
      <c r="AB530" s="8" t="s">
        <v>60</v>
      </c>
      <c r="AC530" s="8" t="s">
        <v>348</v>
      </c>
      <c r="AD530" s="8" t="s">
        <v>2728</v>
      </c>
      <c r="AE530" s="12" t="s">
        <v>2729</v>
      </c>
      <c r="AF530" s="8" t="s">
        <v>2676</v>
      </c>
      <c r="AG530" s="8" t="s">
        <v>63</v>
      </c>
      <c r="AH530" s="8" t="s">
        <v>145</v>
      </c>
      <c r="AI530" s="8" t="s">
        <v>65</v>
      </c>
      <c r="AJ530" s="8" t="s">
        <v>1411</v>
      </c>
      <c r="AK530" s="8" t="s">
        <v>1422</v>
      </c>
      <c r="AL530" s="8" t="s">
        <v>720</v>
      </c>
      <c r="AM530" s="8" t="s">
        <v>1412</v>
      </c>
      <c r="AN530" s="9" t="s">
        <v>2738</v>
      </c>
      <c r="AO530" s="9" t="s">
        <v>2739</v>
      </c>
      <c r="AP530" s="10" t="s">
        <v>2679</v>
      </c>
      <c r="AQ530" s="10" t="s">
        <v>2732</v>
      </c>
      <c r="AR530" s="10" t="s">
        <v>2733</v>
      </c>
      <c r="AS530" s="12"/>
      <c r="AT530" s="10" t="s">
        <v>2734</v>
      </c>
      <c r="AU530" s="10" t="s">
        <v>2735</v>
      </c>
      <c r="AV530" s="13"/>
    </row>
    <row r="531" ht="16.5" hidden="1" customHeight="1">
      <c r="A531" s="7" t="s">
        <v>2740</v>
      </c>
      <c r="B531" s="7" t="s">
        <v>1290</v>
      </c>
      <c r="C531" s="7" t="s">
        <v>1291</v>
      </c>
      <c r="D531" s="7" t="s">
        <v>926</v>
      </c>
      <c r="E531" s="7" t="s">
        <v>227</v>
      </c>
      <c r="F531" s="7">
        <v>7020.0</v>
      </c>
      <c r="G531" s="7"/>
      <c r="H531" s="7" t="s">
        <v>53</v>
      </c>
      <c r="I531" s="7"/>
      <c r="J531" s="7"/>
      <c r="K531" s="8" t="s">
        <v>84</v>
      </c>
      <c r="L531" s="8" t="s">
        <v>1403</v>
      </c>
      <c r="M531" s="8"/>
      <c r="N531" s="8" t="s">
        <v>85</v>
      </c>
      <c r="O531" s="8" t="s">
        <v>217</v>
      </c>
      <c r="P531" s="8" t="s">
        <v>57</v>
      </c>
      <c r="Q531" s="8" t="s">
        <v>1404</v>
      </c>
      <c r="R531" s="20">
        <v>0.96</v>
      </c>
      <c r="S531" s="8" t="s">
        <v>1405</v>
      </c>
      <c r="T531" s="8" t="s">
        <v>1406</v>
      </c>
      <c r="U531" s="8" t="s">
        <v>1520</v>
      </c>
      <c r="V531" s="8" t="s">
        <v>1521</v>
      </c>
      <c r="W531" s="8" t="s">
        <v>1409</v>
      </c>
      <c r="X531" s="8" t="s">
        <v>108</v>
      </c>
      <c r="Y531" s="8" t="s">
        <v>161</v>
      </c>
      <c r="Z531" s="8" t="s">
        <v>92</v>
      </c>
      <c r="AA531" s="8" t="s">
        <v>231</v>
      </c>
      <c r="AB531" s="8" t="s">
        <v>60</v>
      </c>
      <c r="AC531" s="8" t="s">
        <v>1018</v>
      </c>
      <c r="AD531" s="8" t="s">
        <v>2741</v>
      </c>
      <c r="AE531" s="8" t="s">
        <v>49</v>
      </c>
      <c r="AF531" s="8" t="s">
        <v>49</v>
      </c>
      <c r="AG531" s="8" t="s">
        <v>63</v>
      </c>
      <c r="AH531" s="8" t="s">
        <v>145</v>
      </c>
      <c r="AI531" s="8" t="s">
        <v>463</v>
      </c>
      <c r="AJ531" s="8" t="s">
        <v>1411</v>
      </c>
      <c r="AK531" s="8" t="s">
        <v>49</v>
      </c>
      <c r="AL531" s="8" t="s">
        <v>720</v>
      </c>
      <c r="AM531" s="8" t="s">
        <v>1412</v>
      </c>
      <c r="AN531" s="9" t="s">
        <v>2742</v>
      </c>
      <c r="AO531" s="9" t="s">
        <v>2743</v>
      </c>
      <c r="AP531" s="10" t="s">
        <v>1296</v>
      </c>
      <c r="AQ531" s="10" t="s">
        <v>2744</v>
      </c>
      <c r="AR531" s="10" t="s">
        <v>2745</v>
      </c>
      <c r="AS531" s="12"/>
      <c r="AT531" s="10" t="s">
        <v>2746</v>
      </c>
      <c r="AU531" s="10" t="s">
        <v>2747</v>
      </c>
      <c r="AV531" s="13"/>
    </row>
    <row r="532" ht="16.5" hidden="1" customHeight="1">
      <c r="A532" s="7" t="s">
        <v>2748</v>
      </c>
      <c r="B532" s="7" t="s">
        <v>1290</v>
      </c>
      <c r="C532" s="7" t="s">
        <v>1291</v>
      </c>
      <c r="D532" s="7" t="s">
        <v>926</v>
      </c>
      <c r="E532" s="7" t="s">
        <v>227</v>
      </c>
      <c r="F532" s="7">
        <v>7020.0</v>
      </c>
      <c r="G532" s="7">
        <v>7020.0</v>
      </c>
      <c r="H532" s="7" t="s">
        <v>53</v>
      </c>
      <c r="I532" s="7"/>
      <c r="J532" s="7"/>
      <c r="K532" s="8" t="s">
        <v>84</v>
      </c>
      <c r="L532" s="8" t="s">
        <v>1403</v>
      </c>
      <c r="M532" s="8"/>
      <c r="N532" s="8" t="s">
        <v>85</v>
      </c>
      <c r="O532" s="8" t="s">
        <v>217</v>
      </c>
      <c r="P532" s="8" t="s">
        <v>57</v>
      </c>
      <c r="Q532" s="8" t="s">
        <v>1404</v>
      </c>
      <c r="R532" s="20">
        <v>0.9</v>
      </c>
      <c r="S532" s="8" t="s">
        <v>1405</v>
      </c>
      <c r="T532" s="8" t="s">
        <v>1406</v>
      </c>
      <c r="U532" s="8" t="s">
        <v>1520</v>
      </c>
      <c r="V532" s="8" t="s">
        <v>1521</v>
      </c>
      <c r="W532" s="8" t="s">
        <v>1409</v>
      </c>
      <c r="X532" s="8" t="s">
        <v>108</v>
      </c>
      <c r="Y532" s="8" t="s">
        <v>161</v>
      </c>
      <c r="Z532" s="8" t="s">
        <v>92</v>
      </c>
      <c r="AA532" s="8" t="s">
        <v>231</v>
      </c>
      <c r="AB532" s="8" t="s">
        <v>60</v>
      </c>
      <c r="AC532" s="8" t="s">
        <v>1018</v>
      </c>
      <c r="AD532" s="12" t="s">
        <v>2741</v>
      </c>
      <c r="AE532" s="8" t="s">
        <v>49</v>
      </c>
      <c r="AF532" s="8" t="s">
        <v>49</v>
      </c>
      <c r="AG532" s="8" t="s">
        <v>63</v>
      </c>
      <c r="AH532" s="8" t="s">
        <v>145</v>
      </c>
      <c r="AI532" s="8" t="s">
        <v>463</v>
      </c>
      <c r="AJ532" s="8" t="s">
        <v>1411</v>
      </c>
      <c r="AK532" s="8" t="s">
        <v>1422</v>
      </c>
      <c r="AL532" s="8" t="s">
        <v>720</v>
      </c>
      <c r="AM532" s="8" t="s">
        <v>1412</v>
      </c>
      <c r="AN532" s="9" t="s">
        <v>2742</v>
      </c>
      <c r="AO532" s="9" t="s">
        <v>2743</v>
      </c>
      <c r="AP532" s="10" t="s">
        <v>1296</v>
      </c>
      <c r="AQ532" s="10" t="s">
        <v>2744</v>
      </c>
      <c r="AR532" s="10" t="s">
        <v>2745</v>
      </c>
      <c r="AS532" s="12"/>
      <c r="AT532" s="10" t="s">
        <v>2746</v>
      </c>
      <c r="AU532" s="10" t="s">
        <v>2747</v>
      </c>
      <c r="AV532" s="13"/>
    </row>
    <row r="533" ht="16.5" hidden="1" customHeight="1">
      <c r="A533" s="7" t="s">
        <v>2749</v>
      </c>
      <c r="B533" s="7" t="s">
        <v>1290</v>
      </c>
      <c r="C533" s="14" t="s">
        <v>1291</v>
      </c>
      <c r="D533" s="14" t="s">
        <v>926</v>
      </c>
      <c r="E533" s="7" t="s">
        <v>227</v>
      </c>
      <c r="F533" s="7">
        <v>7021.0</v>
      </c>
      <c r="G533" s="7">
        <v>7020.0</v>
      </c>
      <c r="H533" s="7" t="s">
        <v>53</v>
      </c>
      <c r="I533" s="7"/>
      <c r="J533" s="7"/>
      <c r="K533" s="8" t="s">
        <v>84</v>
      </c>
      <c r="L533" s="8" t="s">
        <v>1403</v>
      </c>
      <c r="M533" s="8"/>
      <c r="N533" s="8" t="s">
        <v>85</v>
      </c>
      <c r="O533" s="8" t="s">
        <v>217</v>
      </c>
      <c r="P533" s="8" t="s">
        <v>57</v>
      </c>
      <c r="Q533" s="8" t="s">
        <v>1404</v>
      </c>
      <c r="R533" s="20">
        <v>0.9</v>
      </c>
      <c r="S533" s="8" t="s">
        <v>1405</v>
      </c>
      <c r="T533" s="8" t="s">
        <v>1406</v>
      </c>
      <c r="U533" s="8" t="s">
        <v>1520</v>
      </c>
      <c r="V533" s="8" t="s">
        <v>1521</v>
      </c>
      <c r="W533" s="8" t="s">
        <v>1409</v>
      </c>
      <c r="X533" s="8" t="s">
        <v>108</v>
      </c>
      <c r="Y533" s="8" t="s">
        <v>161</v>
      </c>
      <c r="Z533" s="8" t="s">
        <v>92</v>
      </c>
      <c r="AA533" s="8" t="s">
        <v>231</v>
      </c>
      <c r="AB533" s="8" t="s">
        <v>60</v>
      </c>
      <c r="AC533" s="8" t="s">
        <v>1018</v>
      </c>
      <c r="AD533" s="12" t="s">
        <v>2741</v>
      </c>
      <c r="AE533" s="8" t="s">
        <v>49</v>
      </c>
      <c r="AF533" s="8" t="s">
        <v>49</v>
      </c>
      <c r="AG533" s="8" t="s">
        <v>63</v>
      </c>
      <c r="AH533" s="8" t="s">
        <v>145</v>
      </c>
      <c r="AI533" s="8" t="s">
        <v>65</v>
      </c>
      <c r="AJ533" s="8" t="s">
        <v>1411</v>
      </c>
      <c r="AK533" s="8" t="s">
        <v>1422</v>
      </c>
      <c r="AL533" s="8" t="s">
        <v>720</v>
      </c>
      <c r="AM533" s="8" t="s">
        <v>1412</v>
      </c>
      <c r="AN533" s="9" t="s">
        <v>2750</v>
      </c>
      <c r="AO533" s="9" t="s">
        <v>2751</v>
      </c>
      <c r="AP533" s="10" t="s">
        <v>1296</v>
      </c>
      <c r="AQ533" s="10" t="s">
        <v>2744</v>
      </c>
      <c r="AR533" s="10" t="s">
        <v>2745</v>
      </c>
      <c r="AS533" s="12"/>
      <c r="AT533" s="10" t="s">
        <v>2746</v>
      </c>
      <c r="AU533" s="10" t="s">
        <v>2747</v>
      </c>
      <c r="AV533" s="13"/>
    </row>
    <row r="534" ht="16.5" hidden="1" customHeight="1">
      <c r="A534" s="7" t="s">
        <v>2752</v>
      </c>
      <c r="B534" s="7" t="s">
        <v>1290</v>
      </c>
      <c r="C534" s="7" t="s">
        <v>1291</v>
      </c>
      <c r="D534" s="7" t="s">
        <v>926</v>
      </c>
      <c r="E534" s="21"/>
      <c r="F534" s="7">
        <v>7022.0</v>
      </c>
      <c r="G534" s="7"/>
      <c r="H534" s="7" t="s">
        <v>53</v>
      </c>
      <c r="I534" s="7"/>
      <c r="J534" s="7"/>
      <c r="K534" s="8" t="s">
        <v>84</v>
      </c>
      <c r="L534" s="8" t="s">
        <v>1403</v>
      </c>
      <c r="M534" s="8"/>
      <c r="N534" s="8" t="s">
        <v>85</v>
      </c>
      <c r="O534" s="8" t="s">
        <v>217</v>
      </c>
      <c r="P534" s="8" t="s">
        <v>57</v>
      </c>
      <c r="Q534" s="8" t="s">
        <v>2394</v>
      </c>
      <c r="R534" s="20">
        <v>0.96</v>
      </c>
      <c r="S534" s="8" t="s">
        <v>1491</v>
      </c>
      <c r="T534" s="8" t="s">
        <v>1406</v>
      </c>
      <c r="U534" s="8" t="s">
        <v>1492</v>
      </c>
      <c r="V534" s="8" t="s">
        <v>2753</v>
      </c>
      <c r="W534" s="8" t="s">
        <v>1409</v>
      </c>
      <c r="X534" s="8" t="s">
        <v>108</v>
      </c>
      <c r="Y534" s="8" t="s">
        <v>161</v>
      </c>
      <c r="Z534" s="8" t="s">
        <v>92</v>
      </c>
      <c r="AA534" s="8" t="s">
        <v>231</v>
      </c>
      <c r="AB534" s="8" t="s">
        <v>60</v>
      </c>
      <c r="AC534" s="8" t="s">
        <v>1018</v>
      </c>
      <c r="AD534" s="8" t="s">
        <v>2754</v>
      </c>
      <c r="AE534" s="8" t="s">
        <v>49</v>
      </c>
      <c r="AF534" s="8" t="s">
        <v>49</v>
      </c>
      <c r="AG534" s="8" t="s">
        <v>63</v>
      </c>
      <c r="AH534" s="8" t="s">
        <v>145</v>
      </c>
      <c r="AI534" s="8" t="s">
        <v>463</v>
      </c>
      <c r="AJ534" s="8" t="s">
        <v>1411</v>
      </c>
      <c r="AK534" s="8" t="s">
        <v>49</v>
      </c>
      <c r="AL534" s="8" t="s">
        <v>720</v>
      </c>
      <c r="AM534" s="8" t="s">
        <v>1412</v>
      </c>
      <c r="AN534" s="9" t="s">
        <v>2755</v>
      </c>
      <c r="AO534" s="9" t="s">
        <v>2756</v>
      </c>
      <c r="AP534" s="10" t="s">
        <v>1296</v>
      </c>
      <c r="AQ534" s="10" t="s">
        <v>2757</v>
      </c>
      <c r="AR534" s="10" t="s">
        <v>2758</v>
      </c>
      <c r="AS534" s="12"/>
      <c r="AT534" s="10" t="s">
        <v>2759</v>
      </c>
      <c r="AU534" s="10" t="s">
        <v>2760</v>
      </c>
      <c r="AV534" s="13"/>
    </row>
    <row r="535" ht="16.5" hidden="1" customHeight="1">
      <c r="A535" s="7" t="s">
        <v>2761</v>
      </c>
      <c r="B535" s="7" t="s">
        <v>1290</v>
      </c>
      <c r="C535" s="7" t="s">
        <v>1291</v>
      </c>
      <c r="D535" s="7" t="s">
        <v>926</v>
      </c>
      <c r="E535" s="7" t="s">
        <v>227</v>
      </c>
      <c r="F535" s="7">
        <v>7022.0</v>
      </c>
      <c r="G535" s="7">
        <v>7022.0</v>
      </c>
      <c r="H535" s="7" t="s">
        <v>53</v>
      </c>
      <c r="I535" s="7"/>
      <c r="J535" s="7"/>
      <c r="K535" s="8" t="s">
        <v>84</v>
      </c>
      <c r="L535" s="8" t="s">
        <v>1403</v>
      </c>
      <c r="M535" s="8"/>
      <c r="N535" s="8" t="s">
        <v>85</v>
      </c>
      <c r="O535" s="8" t="s">
        <v>217</v>
      </c>
      <c r="P535" s="8" t="s">
        <v>57</v>
      </c>
      <c r="Q535" s="8" t="s">
        <v>2394</v>
      </c>
      <c r="R535" s="23" t="s">
        <v>2762</v>
      </c>
      <c r="S535" s="8" t="s">
        <v>1491</v>
      </c>
      <c r="T535" s="8" t="s">
        <v>1406</v>
      </c>
      <c r="U535" s="8" t="s">
        <v>1492</v>
      </c>
      <c r="V535" s="8" t="s">
        <v>2753</v>
      </c>
      <c r="W535" s="8" t="s">
        <v>1409</v>
      </c>
      <c r="X535" s="8" t="s">
        <v>108</v>
      </c>
      <c r="Y535" s="8" t="s">
        <v>161</v>
      </c>
      <c r="Z535" s="8" t="s">
        <v>92</v>
      </c>
      <c r="AA535" s="8" t="s">
        <v>231</v>
      </c>
      <c r="AB535" s="8" t="s">
        <v>60</v>
      </c>
      <c r="AC535" s="8" t="s">
        <v>1018</v>
      </c>
      <c r="AD535" s="8" t="s">
        <v>2754</v>
      </c>
      <c r="AE535" s="8" t="s">
        <v>49</v>
      </c>
      <c r="AF535" s="8" t="s">
        <v>49</v>
      </c>
      <c r="AG535" s="8" t="s">
        <v>63</v>
      </c>
      <c r="AH535" s="8" t="s">
        <v>145</v>
      </c>
      <c r="AI535" s="8" t="s">
        <v>463</v>
      </c>
      <c r="AJ535" s="8" t="s">
        <v>1411</v>
      </c>
      <c r="AK535" s="8" t="s">
        <v>1422</v>
      </c>
      <c r="AL535" s="8" t="s">
        <v>720</v>
      </c>
      <c r="AM535" s="8" t="s">
        <v>1412</v>
      </c>
      <c r="AN535" s="9" t="s">
        <v>2755</v>
      </c>
      <c r="AO535" s="9" t="s">
        <v>2756</v>
      </c>
      <c r="AP535" s="10" t="s">
        <v>1296</v>
      </c>
      <c r="AQ535" s="10" t="s">
        <v>2757</v>
      </c>
      <c r="AR535" s="10" t="s">
        <v>2758</v>
      </c>
      <c r="AS535" s="12"/>
      <c r="AT535" s="10" t="s">
        <v>2759</v>
      </c>
      <c r="AU535" s="10" t="s">
        <v>2760</v>
      </c>
      <c r="AV535" s="13"/>
    </row>
    <row r="536" ht="16.5" hidden="1" customHeight="1">
      <c r="A536" s="7" t="s">
        <v>2763</v>
      </c>
      <c r="B536" s="7" t="s">
        <v>1290</v>
      </c>
      <c r="C536" s="14" t="s">
        <v>1291</v>
      </c>
      <c r="D536" s="14" t="s">
        <v>926</v>
      </c>
      <c r="E536" s="7"/>
      <c r="F536" s="7">
        <v>7023.0</v>
      </c>
      <c r="G536" s="7">
        <v>7022.0</v>
      </c>
      <c r="H536" s="7" t="s">
        <v>53</v>
      </c>
      <c r="I536" s="7"/>
      <c r="J536" s="7"/>
      <c r="K536" s="8" t="s">
        <v>84</v>
      </c>
      <c r="L536" s="8" t="s">
        <v>1403</v>
      </c>
      <c r="M536" s="8"/>
      <c r="N536" s="8" t="s">
        <v>85</v>
      </c>
      <c r="O536" s="8" t="s">
        <v>217</v>
      </c>
      <c r="P536" s="8" t="s">
        <v>57</v>
      </c>
      <c r="Q536" s="8" t="s">
        <v>2394</v>
      </c>
      <c r="R536" s="23" t="s">
        <v>2762</v>
      </c>
      <c r="S536" s="8" t="s">
        <v>1491</v>
      </c>
      <c r="T536" s="8" t="s">
        <v>1406</v>
      </c>
      <c r="U536" s="8" t="s">
        <v>1492</v>
      </c>
      <c r="V536" s="8" t="s">
        <v>2753</v>
      </c>
      <c r="W536" s="8" t="s">
        <v>1409</v>
      </c>
      <c r="X536" s="8" t="s">
        <v>108</v>
      </c>
      <c r="Y536" s="8" t="s">
        <v>161</v>
      </c>
      <c r="Z536" s="8" t="s">
        <v>92</v>
      </c>
      <c r="AA536" s="8" t="s">
        <v>231</v>
      </c>
      <c r="AB536" s="8" t="s">
        <v>60</v>
      </c>
      <c r="AC536" s="8" t="s">
        <v>1018</v>
      </c>
      <c r="AD536" s="8" t="s">
        <v>2754</v>
      </c>
      <c r="AE536" s="8" t="s">
        <v>49</v>
      </c>
      <c r="AF536" s="8" t="s">
        <v>49</v>
      </c>
      <c r="AG536" s="8" t="s">
        <v>63</v>
      </c>
      <c r="AH536" s="8" t="s">
        <v>145</v>
      </c>
      <c r="AI536" s="8" t="s">
        <v>65</v>
      </c>
      <c r="AJ536" s="8" t="s">
        <v>1411</v>
      </c>
      <c r="AK536" s="8" t="s">
        <v>1422</v>
      </c>
      <c r="AL536" s="8" t="s">
        <v>720</v>
      </c>
      <c r="AM536" s="8" t="s">
        <v>1412</v>
      </c>
      <c r="AN536" s="9" t="s">
        <v>2764</v>
      </c>
      <c r="AO536" s="9" t="s">
        <v>2765</v>
      </c>
      <c r="AP536" s="10" t="s">
        <v>1296</v>
      </c>
      <c r="AQ536" s="10" t="s">
        <v>2757</v>
      </c>
      <c r="AR536" s="10" t="s">
        <v>2758</v>
      </c>
      <c r="AS536" s="12"/>
      <c r="AT536" s="10" t="s">
        <v>2759</v>
      </c>
      <c r="AU536" s="10" t="s">
        <v>2760</v>
      </c>
      <c r="AV536" s="13"/>
    </row>
    <row r="537" ht="16.5" hidden="1" customHeight="1">
      <c r="A537" s="7" t="s">
        <v>2766</v>
      </c>
      <c r="B537" s="7" t="s">
        <v>49</v>
      </c>
      <c r="C537" s="7" t="s">
        <v>213</v>
      </c>
      <c r="D537" s="7" t="s">
        <v>51</v>
      </c>
      <c r="E537" s="7" t="s">
        <v>227</v>
      </c>
      <c r="F537" s="7">
        <v>7024.0</v>
      </c>
      <c r="G537" s="7"/>
      <c r="H537" s="7" t="s">
        <v>53</v>
      </c>
      <c r="I537" s="7"/>
      <c r="J537" s="14" t="s">
        <v>1159</v>
      </c>
      <c r="K537" s="8" t="s">
        <v>84</v>
      </c>
      <c r="L537" s="8" t="s">
        <v>49</v>
      </c>
      <c r="M537" s="8"/>
      <c r="N537" s="8" t="s">
        <v>85</v>
      </c>
      <c r="O537" s="8" t="s">
        <v>217</v>
      </c>
      <c r="P537" s="8" t="s">
        <v>57</v>
      </c>
      <c r="Q537" s="8" t="s">
        <v>2490</v>
      </c>
      <c r="R537" s="8">
        <v>0.55</v>
      </c>
      <c r="S537" s="8" t="s">
        <v>49</v>
      </c>
      <c r="T537" s="8" t="s">
        <v>49</v>
      </c>
      <c r="U537" s="8" t="s">
        <v>2767</v>
      </c>
      <c r="V537" s="8" t="s">
        <v>1597</v>
      </c>
      <c r="W537" s="8" t="s">
        <v>1778</v>
      </c>
      <c r="X537" s="8" t="s">
        <v>108</v>
      </c>
      <c r="Y537" s="8" t="s">
        <v>2768</v>
      </c>
      <c r="Z537" s="8" t="s">
        <v>92</v>
      </c>
      <c r="AA537" s="8" t="s">
        <v>231</v>
      </c>
      <c r="AB537" s="8" t="s">
        <v>60</v>
      </c>
      <c r="AC537" s="8" t="s">
        <v>61</v>
      </c>
      <c r="AD537" s="8" t="s">
        <v>2769</v>
      </c>
      <c r="AE537" s="8" t="s">
        <v>55</v>
      </c>
      <c r="AF537" s="8" t="s">
        <v>55</v>
      </c>
      <c r="AG537" s="8" t="s">
        <v>890</v>
      </c>
      <c r="AH537" s="8" t="s">
        <v>2151</v>
      </c>
      <c r="AI537" s="8" t="s">
        <v>112</v>
      </c>
      <c r="AJ537" s="8" t="s">
        <v>49</v>
      </c>
      <c r="AK537" s="8" t="s">
        <v>49</v>
      </c>
      <c r="AL537" s="8" t="s">
        <v>66</v>
      </c>
      <c r="AM537" s="8" t="s">
        <v>2770</v>
      </c>
      <c r="AN537" s="9" t="s">
        <v>2771</v>
      </c>
      <c r="AO537" s="9" t="s">
        <v>2772</v>
      </c>
      <c r="AP537" s="10" t="s">
        <v>2773</v>
      </c>
      <c r="AQ537" s="10" t="s">
        <v>2774</v>
      </c>
      <c r="AR537" s="10" t="s">
        <v>2775</v>
      </c>
      <c r="AS537" s="12"/>
      <c r="AT537" s="10" t="s">
        <v>2776</v>
      </c>
      <c r="AU537" s="10" t="s">
        <v>2777</v>
      </c>
      <c r="AV537" s="13"/>
    </row>
    <row r="538" ht="16.5" hidden="1" customHeight="1">
      <c r="A538" s="7" t="s">
        <v>2778</v>
      </c>
      <c r="B538" s="7" t="s">
        <v>49</v>
      </c>
      <c r="C538" s="7" t="s">
        <v>213</v>
      </c>
      <c r="D538" s="7" t="s">
        <v>51</v>
      </c>
      <c r="E538" s="7" t="s">
        <v>227</v>
      </c>
      <c r="F538" s="7">
        <v>7024.0</v>
      </c>
      <c r="G538" s="7">
        <v>7024.0</v>
      </c>
      <c r="H538" s="7" t="s">
        <v>53</v>
      </c>
      <c r="I538" s="7"/>
      <c r="J538" s="14" t="s">
        <v>1159</v>
      </c>
      <c r="K538" s="8" t="s">
        <v>84</v>
      </c>
      <c r="L538" s="8" t="s">
        <v>49</v>
      </c>
      <c r="M538" s="8"/>
      <c r="N538" s="8" t="s">
        <v>85</v>
      </c>
      <c r="O538" s="8" t="s">
        <v>217</v>
      </c>
      <c r="P538" s="8" t="s">
        <v>57</v>
      </c>
      <c r="Q538" s="8" t="s">
        <v>2490</v>
      </c>
      <c r="R538" s="8">
        <v>0.55</v>
      </c>
      <c r="S538" s="8" t="s">
        <v>49</v>
      </c>
      <c r="T538" s="8" t="s">
        <v>49</v>
      </c>
      <c r="U538" s="8" t="s">
        <v>2767</v>
      </c>
      <c r="V538" s="8" t="s">
        <v>1597</v>
      </c>
      <c r="W538" s="8" t="s">
        <v>1778</v>
      </c>
      <c r="X538" s="8" t="s">
        <v>108</v>
      </c>
      <c r="Y538" s="8" t="s">
        <v>2768</v>
      </c>
      <c r="Z538" s="8" t="s">
        <v>92</v>
      </c>
      <c r="AA538" s="8" t="s">
        <v>231</v>
      </c>
      <c r="AB538" s="8" t="s">
        <v>60</v>
      </c>
      <c r="AC538" s="8" t="s">
        <v>61</v>
      </c>
      <c r="AD538" s="8" t="s">
        <v>2769</v>
      </c>
      <c r="AE538" s="8" t="s">
        <v>55</v>
      </c>
      <c r="AF538" s="8" t="s">
        <v>55</v>
      </c>
      <c r="AG538" s="8" t="s">
        <v>890</v>
      </c>
      <c r="AH538" s="8" t="s">
        <v>2151</v>
      </c>
      <c r="AI538" s="8" t="s">
        <v>112</v>
      </c>
      <c r="AJ538" s="8" t="s">
        <v>49</v>
      </c>
      <c r="AK538" s="8" t="s">
        <v>95</v>
      </c>
      <c r="AL538" s="8" t="s">
        <v>66</v>
      </c>
      <c r="AM538" s="8" t="s">
        <v>2770</v>
      </c>
      <c r="AN538" s="9" t="s">
        <v>2771</v>
      </c>
      <c r="AO538" s="9" t="s">
        <v>2772</v>
      </c>
      <c r="AP538" s="10" t="s">
        <v>2773</v>
      </c>
      <c r="AQ538" s="10" t="s">
        <v>2774</v>
      </c>
      <c r="AR538" s="10" t="s">
        <v>2775</v>
      </c>
      <c r="AS538" s="12"/>
      <c r="AT538" s="10" t="s">
        <v>2776</v>
      </c>
      <c r="AU538" s="10" t="s">
        <v>2777</v>
      </c>
      <c r="AV538" s="15">
        <v>46315.0</v>
      </c>
    </row>
    <row r="539" ht="16.5" hidden="1" customHeight="1">
      <c r="A539" s="7" t="s">
        <v>2779</v>
      </c>
      <c r="B539" s="14" t="s">
        <v>49</v>
      </c>
      <c r="C539" s="14" t="s">
        <v>213</v>
      </c>
      <c r="D539" s="14" t="s">
        <v>51</v>
      </c>
      <c r="E539" s="7"/>
      <c r="F539" s="7">
        <v>7025.0</v>
      </c>
      <c r="G539" s="7">
        <v>7024.0</v>
      </c>
      <c r="H539" s="7" t="s">
        <v>53</v>
      </c>
      <c r="I539" s="7"/>
      <c r="J539" s="14" t="s">
        <v>1159</v>
      </c>
      <c r="K539" s="8" t="s">
        <v>84</v>
      </c>
      <c r="L539" s="8" t="s">
        <v>49</v>
      </c>
      <c r="M539" s="8"/>
      <c r="N539" s="8" t="s">
        <v>85</v>
      </c>
      <c r="O539" s="8" t="s">
        <v>217</v>
      </c>
      <c r="P539" s="8" t="s">
        <v>57</v>
      </c>
      <c r="Q539" s="8" t="s">
        <v>2490</v>
      </c>
      <c r="R539" s="8">
        <v>0.55</v>
      </c>
      <c r="S539" s="8" t="s">
        <v>49</v>
      </c>
      <c r="T539" s="8" t="s">
        <v>49</v>
      </c>
      <c r="U539" s="8" t="s">
        <v>2767</v>
      </c>
      <c r="V539" s="8" t="s">
        <v>1597</v>
      </c>
      <c r="W539" s="8" t="s">
        <v>1778</v>
      </c>
      <c r="X539" s="8" t="s">
        <v>108</v>
      </c>
      <c r="Y539" s="8" t="s">
        <v>2768</v>
      </c>
      <c r="Z539" s="8" t="s">
        <v>92</v>
      </c>
      <c r="AA539" s="8" t="s">
        <v>231</v>
      </c>
      <c r="AB539" s="8" t="s">
        <v>60</v>
      </c>
      <c r="AC539" s="8" t="s">
        <v>61</v>
      </c>
      <c r="AD539" s="8" t="s">
        <v>2769</v>
      </c>
      <c r="AE539" s="8" t="s">
        <v>55</v>
      </c>
      <c r="AF539" s="8" t="s">
        <v>55</v>
      </c>
      <c r="AG539" s="8" t="s">
        <v>890</v>
      </c>
      <c r="AH539" s="8" t="s">
        <v>2151</v>
      </c>
      <c r="AI539" s="8" t="s">
        <v>94</v>
      </c>
      <c r="AJ539" s="8" t="s">
        <v>49</v>
      </c>
      <c r="AK539" s="8" t="s">
        <v>95</v>
      </c>
      <c r="AL539" s="8" t="s">
        <v>66</v>
      </c>
      <c r="AM539" s="8" t="s">
        <v>1791</v>
      </c>
      <c r="AN539" s="9" t="s">
        <v>2780</v>
      </c>
      <c r="AO539" s="9" t="s">
        <v>2781</v>
      </c>
      <c r="AP539" s="10" t="s">
        <v>2773</v>
      </c>
      <c r="AQ539" s="10" t="s">
        <v>2774</v>
      </c>
      <c r="AR539" s="10" t="s">
        <v>2775</v>
      </c>
      <c r="AS539" s="12"/>
      <c r="AT539" s="10" t="s">
        <v>2776</v>
      </c>
      <c r="AU539" s="10" t="s">
        <v>2777</v>
      </c>
      <c r="AV539" s="15">
        <v>46315.0</v>
      </c>
    </row>
    <row r="540" ht="16.5" hidden="1" customHeight="1">
      <c r="A540" s="7" t="s">
        <v>2782</v>
      </c>
      <c r="B540" s="14" t="s">
        <v>49</v>
      </c>
      <c r="C540" s="14" t="s">
        <v>213</v>
      </c>
      <c r="D540" s="14" t="s">
        <v>51</v>
      </c>
      <c r="E540" s="7"/>
      <c r="F540" s="7">
        <v>7026.0</v>
      </c>
      <c r="G540" s="7">
        <v>7024.0</v>
      </c>
      <c r="H540" s="7" t="s">
        <v>53</v>
      </c>
      <c r="I540" s="7"/>
      <c r="J540" s="14" t="s">
        <v>1159</v>
      </c>
      <c r="K540" s="8" t="s">
        <v>84</v>
      </c>
      <c r="L540" s="8" t="s">
        <v>49</v>
      </c>
      <c r="M540" s="8"/>
      <c r="N540" s="8" t="s">
        <v>85</v>
      </c>
      <c r="O540" s="8" t="s">
        <v>217</v>
      </c>
      <c r="P540" s="8" t="s">
        <v>57</v>
      </c>
      <c r="Q540" s="8" t="s">
        <v>1161</v>
      </c>
      <c r="R540" s="8">
        <v>0.57</v>
      </c>
      <c r="S540" s="8" t="s">
        <v>49</v>
      </c>
      <c r="T540" s="8" t="s">
        <v>49</v>
      </c>
      <c r="U540" s="8" t="s">
        <v>2783</v>
      </c>
      <c r="V540" s="8" t="s">
        <v>1597</v>
      </c>
      <c r="W540" s="8" t="s">
        <v>1778</v>
      </c>
      <c r="X540" s="8" t="s">
        <v>108</v>
      </c>
      <c r="Y540" s="8" t="s">
        <v>2784</v>
      </c>
      <c r="Z540" s="8" t="s">
        <v>92</v>
      </c>
      <c r="AA540" s="8" t="s">
        <v>231</v>
      </c>
      <c r="AB540" s="8" t="s">
        <v>60</v>
      </c>
      <c r="AC540" s="8" t="s">
        <v>61</v>
      </c>
      <c r="AD540" s="8" t="s">
        <v>2785</v>
      </c>
      <c r="AE540" s="8" t="s">
        <v>55</v>
      </c>
      <c r="AF540" s="8" t="s">
        <v>55</v>
      </c>
      <c r="AG540" s="8" t="s">
        <v>890</v>
      </c>
      <c r="AH540" s="8" t="s">
        <v>2151</v>
      </c>
      <c r="AI540" s="8" t="s">
        <v>112</v>
      </c>
      <c r="AJ540" s="8" t="s">
        <v>49</v>
      </c>
      <c r="AK540" s="8" t="s">
        <v>95</v>
      </c>
      <c r="AL540" s="8" t="s">
        <v>66</v>
      </c>
      <c r="AM540" s="8" t="s">
        <v>1791</v>
      </c>
      <c r="AN540" s="16" t="s">
        <v>2786</v>
      </c>
      <c r="AO540" s="9" t="s">
        <v>2787</v>
      </c>
      <c r="AP540" s="10" t="s">
        <v>2773</v>
      </c>
      <c r="AQ540" s="10" t="s">
        <v>2788</v>
      </c>
      <c r="AR540" s="10" t="s">
        <v>2789</v>
      </c>
      <c r="AS540" s="12"/>
      <c r="AT540" s="10" t="s">
        <v>2790</v>
      </c>
      <c r="AU540" s="10" t="s">
        <v>2791</v>
      </c>
      <c r="AV540" s="13"/>
    </row>
    <row r="541" ht="16.5" hidden="1" customHeight="1">
      <c r="A541" s="7" t="s">
        <v>2792</v>
      </c>
      <c r="B541" s="14" t="s">
        <v>49</v>
      </c>
      <c r="C541" s="14" t="s">
        <v>213</v>
      </c>
      <c r="D541" s="14" t="s">
        <v>51</v>
      </c>
      <c r="E541" s="7"/>
      <c r="F541" s="7">
        <v>7027.0</v>
      </c>
      <c r="G541" s="7">
        <v>7024.0</v>
      </c>
      <c r="H541" s="7" t="s">
        <v>53</v>
      </c>
      <c r="I541" s="7"/>
      <c r="J541" s="14" t="s">
        <v>1159</v>
      </c>
      <c r="K541" s="8" t="s">
        <v>84</v>
      </c>
      <c r="L541" s="8" t="s">
        <v>49</v>
      </c>
      <c r="M541" s="8"/>
      <c r="N541" s="8" t="s">
        <v>85</v>
      </c>
      <c r="O541" s="8" t="s">
        <v>217</v>
      </c>
      <c r="P541" s="8" t="s">
        <v>57</v>
      </c>
      <c r="Q541" s="8" t="s">
        <v>1161</v>
      </c>
      <c r="R541" s="8">
        <v>0.57</v>
      </c>
      <c r="S541" s="8" t="s">
        <v>49</v>
      </c>
      <c r="T541" s="8" t="s">
        <v>49</v>
      </c>
      <c r="U541" s="8" t="s">
        <v>2783</v>
      </c>
      <c r="V541" s="8" t="s">
        <v>1597</v>
      </c>
      <c r="W541" s="8" t="s">
        <v>1778</v>
      </c>
      <c r="X541" s="8" t="s">
        <v>108</v>
      </c>
      <c r="Y541" s="8" t="s">
        <v>2784</v>
      </c>
      <c r="Z541" s="8" t="s">
        <v>92</v>
      </c>
      <c r="AA541" s="8" t="s">
        <v>231</v>
      </c>
      <c r="AB541" s="8" t="s">
        <v>60</v>
      </c>
      <c r="AC541" s="8" t="s">
        <v>61</v>
      </c>
      <c r="AD541" s="8" t="s">
        <v>2785</v>
      </c>
      <c r="AE541" s="8" t="s">
        <v>55</v>
      </c>
      <c r="AF541" s="8" t="s">
        <v>55</v>
      </c>
      <c r="AG541" s="8" t="s">
        <v>890</v>
      </c>
      <c r="AH541" s="8" t="s">
        <v>2151</v>
      </c>
      <c r="AI541" s="8" t="s">
        <v>94</v>
      </c>
      <c r="AJ541" s="8" t="s">
        <v>49</v>
      </c>
      <c r="AK541" s="8" t="s">
        <v>95</v>
      </c>
      <c r="AL541" s="8" t="s">
        <v>66</v>
      </c>
      <c r="AM541" s="8" t="s">
        <v>1791</v>
      </c>
      <c r="AN541" s="9" t="s">
        <v>2793</v>
      </c>
      <c r="AO541" s="9" t="s">
        <v>2794</v>
      </c>
      <c r="AP541" s="10" t="s">
        <v>2773</v>
      </c>
      <c r="AQ541" s="10" t="s">
        <v>2788</v>
      </c>
      <c r="AR541" s="10" t="s">
        <v>2789</v>
      </c>
      <c r="AS541" s="12"/>
      <c r="AT541" s="10" t="s">
        <v>2790</v>
      </c>
      <c r="AU541" s="10" t="s">
        <v>2791</v>
      </c>
      <c r="AV541" s="13"/>
    </row>
    <row r="542" ht="16.5" hidden="1" customHeight="1">
      <c r="A542" s="7" t="s">
        <v>2795</v>
      </c>
      <c r="B542" s="14" t="s">
        <v>49</v>
      </c>
      <c r="C542" s="14" t="s">
        <v>213</v>
      </c>
      <c r="D542" s="14" t="s">
        <v>51</v>
      </c>
      <c r="E542" s="7"/>
      <c r="F542" s="7">
        <v>7028.0</v>
      </c>
      <c r="G542" s="7">
        <v>6619.0</v>
      </c>
      <c r="H542" s="7" t="s">
        <v>53</v>
      </c>
      <c r="I542" s="7"/>
      <c r="J542" s="7"/>
      <c r="K542" s="8" t="s">
        <v>84</v>
      </c>
      <c r="L542" s="8" t="s">
        <v>49</v>
      </c>
      <c r="M542" s="8"/>
      <c r="N542" s="8" t="s">
        <v>85</v>
      </c>
      <c r="O542" s="8" t="s">
        <v>217</v>
      </c>
      <c r="P542" s="8" t="s">
        <v>57</v>
      </c>
      <c r="Q542" s="8" t="s">
        <v>1299</v>
      </c>
      <c r="R542" s="8">
        <v>0.47</v>
      </c>
      <c r="S542" s="8" t="s">
        <v>49</v>
      </c>
      <c r="T542" s="8" t="s">
        <v>49</v>
      </c>
      <c r="U542" s="8" t="s">
        <v>2796</v>
      </c>
      <c r="V542" s="8" t="s">
        <v>1692</v>
      </c>
      <c r="W542" s="8" t="s">
        <v>2623</v>
      </c>
      <c r="X542" s="8" t="s">
        <v>108</v>
      </c>
      <c r="Y542" s="8" t="s">
        <v>2797</v>
      </c>
      <c r="Z542" s="8" t="s">
        <v>2382</v>
      </c>
      <c r="AA542" s="8" t="s">
        <v>231</v>
      </c>
      <c r="AB542" s="8" t="s">
        <v>60</v>
      </c>
      <c r="AC542" s="8" t="s">
        <v>1165</v>
      </c>
      <c r="AD542" s="12" t="s">
        <v>2798</v>
      </c>
      <c r="AE542" s="8" t="s">
        <v>55</v>
      </c>
      <c r="AF542" s="8" t="s">
        <v>55</v>
      </c>
      <c r="AG542" s="8" t="s">
        <v>890</v>
      </c>
      <c r="AH542" s="8" t="s">
        <v>111</v>
      </c>
      <c r="AI542" s="8" t="s">
        <v>1020</v>
      </c>
      <c r="AJ542" s="8" t="s">
        <v>49</v>
      </c>
      <c r="AK542" s="8" t="s">
        <v>95</v>
      </c>
      <c r="AL542" s="8" t="s">
        <v>66</v>
      </c>
      <c r="AM542" s="8" t="s">
        <v>2799</v>
      </c>
      <c r="AN542" s="9" t="s">
        <v>2800</v>
      </c>
      <c r="AO542" s="12" t="s">
        <v>224</v>
      </c>
      <c r="AP542" s="10" t="s">
        <v>1196</v>
      </c>
      <c r="AQ542" s="10" t="s">
        <v>2801</v>
      </c>
      <c r="AR542" s="10" t="s">
        <v>2802</v>
      </c>
      <c r="AS542" s="12"/>
      <c r="AT542" s="10" t="s">
        <v>2803</v>
      </c>
      <c r="AU542" s="10" t="s">
        <v>2804</v>
      </c>
      <c r="AV542" s="15">
        <v>46315.0</v>
      </c>
    </row>
    <row r="543" ht="16.5" hidden="1" customHeight="1">
      <c r="A543" s="7" t="s">
        <v>2805</v>
      </c>
      <c r="B543" s="14" t="s">
        <v>49</v>
      </c>
      <c r="C543" s="14" t="s">
        <v>213</v>
      </c>
      <c r="D543" s="14" t="s">
        <v>51</v>
      </c>
      <c r="E543" s="7"/>
      <c r="F543" s="7">
        <v>7029.0</v>
      </c>
      <c r="G543" s="7">
        <v>6619.0</v>
      </c>
      <c r="H543" s="7" t="s">
        <v>53</v>
      </c>
      <c r="I543" s="7"/>
      <c r="J543" s="7"/>
      <c r="K543" s="8" t="s">
        <v>84</v>
      </c>
      <c r="L543" s="8" t="s">
        <v>49</v>
      </c>
      <c r="M543" s="8"/>
      <c r="N543" s="8" t="s">
        <v>85</v>
      </c>
      <c r="O543" s="8" t="s">
        <v>217</v>
      </c>
      <c r="P543" s="8" t="s">
        <v>57</v>
      </c>
      <c r="Q543" s="8" t="s">
        <v>2394</v>
      </c>
      <c r="R543" s="8">
        <v>0.55</v>
      </c>
      <c r="S543" s="8" t="s">
        <v>49</v>
      </c>
      <c r="T543" s="8" t="s">
        <v>49</v>
      </c>
      <c r="U543" s="8" t="s">
        <v>2806</v>
      </c>
      <c r="V543" s="8" t="s">
        <v>2807</v>
      </c>
      <c r="W543" s="8" t="s">
        <v>2623</v>
      </c>
      <c r="X543" s="8" t="s">
        <v>108</v>
      </c>
      <c r="Y543" s="8" t="s">
        <v>2797</v>
      </c>
      <c r="Z543" s="8" t="s">
        <v>2382</v>
      </c>
      <c r="AA543" s="8" t="s">
        <v>231</v>
      </c>
      <c r="AB543" s="8" t="s">
        <v>60</v>
      </c>
      <c r="AC543" s="8" t="s">
        <v>1165</v>
      </c>
      <c r="AD543" s="12" t="s">
        <v>2808</v>
      </c>
      <c r="AE543" s="8" t="s">
        <v>55</v>
      </c>
      <c r="AF543" s="8" t="s">
        <v>55</v>
      </c>
      <c r="AG543" s="8" t="s">
        <v>890</v>
      </c>
      <c r="AH543" s="8" t="s">
        <v>111</v>
      </c>
      <c r="AI543" s="8" t="s">
        <v>1020</v>
      </c>
      <c r="AJ543" s="8" t="s">
        <v>49</v>
      </c>
      <c r="AK543" s="8" t="s">
        <v>95</v>
      </c>
      <c r="AL543" s="8" t="s">
        <v>66</v>
      </c>
      <c r="AM543" s="8" t="s">
        <v>2799</v>
      </c>
      <c r="AN543" s="9" t="s">
        <v>2809</v>
      </c>
      <c r="AO543" s="12" t="s">
        <v>224</v>
      </c>
      <c r="AP543" s="10" t="s">
        <v>1196</v>
      </c>
      <c r="AQ543" s="10" t="s">
        <v>2810</v>
      </c>
      <c r="AR543" s="10" t="s">
        <v>2811</v>
      </c>
      <c r="AS543" s="12"/>
      <c r="AT543" s="10" t="s">
        <v>2812</v>
      </c>
      <c r="AU543" s="10" t="s">
        <v>2813</v>
      </c>
      <c r="AV543" s="15">
        <v>46315.0</v>
      </c>
    </row>
    <row r="544" ht="16.5" hidden="1" customHeight="1">
      <c r="A544" s="7" t="s">
        <v>2814</v>
      </c>
      <c r="B544" s="7" t="s">
        <v>2815</v>
      </c>
      <c r="C544" s="7" t="s">
        <v>213</v>
      </c>
      <c r="D544" s="7" t="s">
        <v>51</v>
      </c>
      <c r="E544" s="7" t="s">
        <v>227</v>
      </c>
      <c r="F544" s="7">
        <v>7030.0</v>
      </c>
      <c r="G544" s="7"/>
      <c r="H544" s="7" t="s">
        <v>53</v>
      </c>
      <c r="I544" s="7"/>
      <c r="J544" s="7"/>
      <c r="K544" s="8" t="s">
        <v>84</v>
      </c>
      <c r="L544" s="8" t="s">
        <v>49</v>
      </c>
      <c r="M544" s="8"/>
      <c r="N544" s="8" t="s">
        <v>85</v>
      </c>
      <c r="O544" s="8" t="s">
        <v>217</v>
      </c>
      <c r="P544" s="8" t="s">
        <v>57</v>
      </c>
      <c r="Q544" s="8" t="s">
        <v>2088</v>
      </c>
      <c r="R544" s="8">
        <v>0.53</v>
      </c>
      <c r="S544" s="8" t="s">
        <v>49</v>
      </c>
      <c r="T544" s="8" t="s">
        <v>49</v>
      </c>
      <c r="U544" s="8" t="s">
        <v>2816</v>
      </c>
      <c r="V544" s="8" t="s">
        <v>2807</v>
      </c>
      <c r="W544" s="8" t="s">
        <v>2623</v>
      </c>
      <c r="X544" s="8" t="s">
        <v>108</v>
      </c>
      <c r="Y544" s="8" t="s">
        <v>2768</v>
      </c>
      <c r="Z544" s="8" t="s">
        <v>92</v>
      </c>
      <c r="AA544" s="8" t="s">
        <v>231</v>
      </c>
      <c r="AB544" s="8" t="s">
        <v>60</v>
      </c>
      <c r="AC544" s="8" t="s">
        <v>1165</v>
      </c>
      <c r="AD544" s="8" t="s">
        <v>2817</v>
      </c>
      <c r="AE544" s="8" t="s">
        <v>55</v>
      </c>
      <c r="AF544" s="8" t="s">
        <v>55</v>
      </c>
      <c r="AG544" s="8" t="s">
        <v>2818</v>
      </c>
      <c r="AH544" s="8" t="s">
        <v>2151</v>
      </c>
      <c r="AI544" s="8" t="s">
        <v>2067</v>
      </c>
      <c r="AJ544" s="8" t="s">
        <v>49</v>
      </c>
      <c r="AK544" s="8" t="s">
        <v>49</v>
      </c>
      <c r="AL544" s="8" t="s">
        <v>66</v>
      </c>
      <c r="AM544" s="8" t="s">
        <v>2819</v>
      </c>
      <c r="AN544" s="9" t="s">
        <v>2820</v>
      </c>
      <c r="AO544" s="9" t="s">
        <v>2821</v>
      </c>
      <c r="AP544" s="10" t="s">
        <v>2822</v>
      </c>
      <c r="AQ544" s="10" t="s">
        <v>2823</v>
      </c>
      <c r="AR544" s="10" t="s">
        <v>2824</v>
      </c>
      <c r="AS544" s="12"/>
      <c r="AT544" s="10" t="s">
        <v>2825</v>
      </c>
      <c r="AU544" s="10" t="s">
        <v>2826</v>
      </c>
      <c r="AV544" s="13"/>
    </row>
    <row r="545" ht="16.5" hidden="1" customHeight="1">
      <c r="A545" s="7" t="s">
        <v>2827</v>
      </c>
      <c r="B545" s="7" t="s">
        <v>2815</v>
      </c>
      <c r="C545" s="7" t="s">
        <v>213</v>
      </c>
      <c r="D545" s="7" t="s">
        <v>51</v>
      </c>
      <c r="E545" s="7" t="s">
        <v>227</v>
      </c>
      <c r="F545" s="7">
        <v>7030.0</v>
      </c>
      <c r="G545" s="7">
        <v>7030.0</v>
      </c>
      <c r="H545" s="7" t="s">
        <v>53</v>
      </c>
      <c r="I545" s="7"/>
      <c r="J545" s="7"/>
      <c r="K545" s="8" t="s">
        <v>84</v>
      </c>
      <c r="L545" s="8" t="s">
        <v>49</v>
      </c>
      <c r="M545" s="8"/>
      <c r="N545" s="8" t="s">
        <v>85</v>
      </c>
      <c r="O545" s="8" t="s">
        <v>217</v>
      </c>
      <c r="P545" s="8" t="s">
        <v>57</v>
      </c>
      <c r="Q545" s="8" t="s">
        <v>2088</v>
      </c>
      <c r="R545" s="8">
        <v>0.53</v>
      </c>
      <c r="S545" s="8" t="s">
        <v>49</v>
      </c>
      <c r="T545" s="8" t="s">
        <v>49</v>
      </c>
      <c r="U545" s="8" t="s">
        <v>2816</v>
      </c>
      <c r="V545" s="8" t="s">
        <v>2807</v>
      </c>
      <c r="W545" s="8" t="s">
        <v>2623</v>
      </c>
      <c r="X545" s="8" t="s">
        <v>108</v>
      </c>
      <c r="Y545" s="8" t="s">
        <v>2768</v>
      </c>
      <c r="Z545" s="8" t="s">
        <v>92</v>
      </c>
      <c r="AA545" s="8" t="s">
        <v>231</v>
      </c>
      <c r="AB545" s="8" t="s">
        <v>60</v>
      </c>
      <c r="AC545" s="8" t="s">
        <v>1165</v>
      </c>
      <c r="AD545" s="8" t="s">
        <v>2817</v>
      </c>
      <c r="AE545" s="8" t="s">
        <v>55</v>
      </c>
      <c r="AF545" s="8" t="s">
        <v>55</v>
      </c>
      <c r="AG545" s="8" t="s">
        <v>2818</v>
      </c>
      <c r="AH545" s="8" t="s">
        <v>2151</v>
      </c>
      <c r="AI545" s="8" t="s">
        <v>2067</v>
      </c>
      <c r="AJ545" s="8" t="s">
        <v>49</v>
      </c>
      <c r="AK545" s="8" t="s">
        <v>95</v>
      </c>
      <c r="AL545" s="8" t="s">
        <v>66</v>
      </c>
      <c r="AM545" s="8" t="s">
        <v>2819</v>
      </c>
      <c r="AN545" s="9" t="s">
        <v>2820</v>
      </c>
      <c r="AO545" s="9" t="s">
        <v>2821</v>
      </c>
      <c r="AP545" s="10" t="s">
        <v>2822</v>
      </c>
      <c r="AQ545" s="10" t="s">
        <v>2823</v>
      </c>
      <c r="AR545" s="10" t="s">
        <v>2824</v>
      </c>
      <c r="AS545" s="12"/>
      <c r="AT545" s="10" t="s">
        <v>2825</v>
      </c>
      <c r="AU545" s="10" t="s">
        <v>2826</v>
      </c>
      <c r="AV545" s="13"/>
    </row>
    <row r="546" ht="16.5" hidden="1" customHeight="1">
      <c r="A546" s="7" t="s">
        <v>2828</v>
      </c>
      <c r="B546" s="7" t="s">
        <v>2815</v>
      </c>
      <c r="C546" s="14" t="s">
        <v>213</v>
      </c>
      <c r="D546" s="14" t="s">
        <v>51</v>
      </c>
      <c r="E546" s="7"/>
      <c r="F546" s="7">
        <v>7031.0</v>
      </c>
      <c r="G546" s="7">
        <v>7030.0</v>
      </c>
      <c r="H546" s="7" t="s">
        <v>53</v>
      </c>
      <c r="I546" s="7"/>
      <c r="J546" s="7"/>
      <c r="K546" s="8" t="s">
        <v>84</v>
      </c>
      <c r="L546" s="8" t="s">
        <v>49</v>
      </c>
      <c r="M546" s="8"/>
      <c r="N546" s="8" t="s">
        <v>85</v>
      </c>
      <c r="O546" s="8" t="s">
        <v>217</v>
      </c>
      <c r="P546" s="8" t="s">
        <v>57</v>
      </c>
      <c r="Q546" s="8" t="s">
        <v>2394</v>
      </c>
      <c r="R546" s="8">
        <v>0.56</v>
      </c>
      <c r="S546" s="8" t="s">
        <v>49</v>
      </c>
      <c r="T546" s="8" t="s">
        <v>49</v>
      </c>
      <c r="U546" s="8" t="s">
        <v>2829</v>
      </c>
      <c r="V546" s="8" t="s">
        <v>1507</v>
      </c>
      <c r="W546" s="8" t="s">
        <v>2623</v>
      </c>
      <c r="X546" s="8" t="s">
        <v>108</v>
      </c>
      <c r="Y546" s="8" t="s">
        <v>2768</v>
      </c>
      <c r="Z546" s="8" t="s">
        <v>92</v>
      </c>
      <c r="AA546" s="8" t="s">
        <v>231</v>
      </c>
      <c r="AB546" s="8" t="s">
        <v>60</v>
      </c>
      <c r="AC546" s="8" t="s">
        <v>1165</v>
      </c>
      <c r="AD546" s="8" t="s">
        <v>2830</v>
      </c>
      <c r="AE546" s="8" t="s">
        <v>55</v>
      </c>
      <c r="AF546" s="8" t="s">
        <v>55</v>
      </c>
      <c r="AG546" s="8" t="s">
        <v>2818</v>
      </c>
      <c r="AH546" s="8" t="s">
        <v>2151</v>
      </c>
      <c r="AI546" s="8" t="s">
        <v>2067</v>
      </c>
      <c r="AJ546" s="8" t="s">
        <v>49</v>
      </c>
      <c r="AK546" s="8" t="s">
        <v>95</v>
      </c>
      <c r="AL546" s="8" t="s">
        <v>66</v>
      </c>
      <c r="AM546" s="8" t="s">
        <v>2819</v>
      </c>
      <c r="AN546" s="9" t="s">
        <v>2831</v>
      </c>
      <c r="AO546" s="9" t="s">
        <v>2832</v>
      </c>
      <c r="AP546" s="10" t="s">
        <v>2822</v>
      </c>
      <c r="AQ546" s="10" t="s">
        <v>2833</v>
      </c>
      <c r="AR546" s="10" t="s">
        <v>2834</v>
      </c>
      <c r="AS546" s="12"/>
      <c r="AT546" s="10" t="s">
        <v>2835</v>
      </c>
      <c r="AU546" s="10" t="s">
        <v>2836</v>
      </c>
      <c r="AV546" s="13"/>
    </row>
    <row r="547" ht="16.5" hidden="1" customHeight="1">
      <c r="A547" s="7" t="s">
        <v>2837</v>
      </c>
      <c r="B547" s="7" t="s">
        <v>2815</v>
      </c>
      <c r="C547" s="7" t="s">
        <v>213</v>
      </c>
      <c r="D547" s="7" t="s">
        <v>51</v>
      </c>
      <c r="E547" s="7" t="s">
        <v>227</v>
      </c>
      <c r="F547" s="7">
        <v>7032.0</v>
      </c>
      <c r="G547" s="7"/>
      <c r="H547" s="7" t="s">
        <v>53</v>
      </c>
      <c r="I547" s="7"/>
      <c r="J547" s="7"/>
      <c r="K547" s="8" t="s">
        <v>84</v>
      </c>
      <c r="L547" s="8" t="s">
        <v>49</v>
      </c>
      <c r="M547" s="8"/>
      <c r="N547" s="8" t="s">
        <v>85</v>
      </c>
      <c r="O547" s="8" t="s">
        <v>217</v>
      </c>
      <c r="P547" s="8" t="s">
        <v>57</v>
      </c>
      <c r="Q547" s="8" t="s">
        <v>2088</v>
      </c>
      <c r="R547" s="8">
        <v>0.53</v>
      </c>
      <c r="S547" s="8" t="s">
        <v>49</v>
      </c>
      <c r="T547" s="8" t="s">
        <v>49</v>
      </c>
      <c r="U547" s="8" t="s">
        <v>2838</v>
      </c>
      <c r="V547" s="8" t="s">
        <v>1684</v>
      </c>
      <c r="W547" s="8" t="s">
        <v>2623</v>
      </c>
      <c r="X547" s="8" t="s">
        <v>108</v>
      </c>
      <c r="Y547" s="8" t="s">
        <v>2768</v>
      </c>
      <c r="Z547" s="8" t="s">
        <v>92</v>
      </c>
      <c r="AA547" s="8" t="s">
        <v>231</v>
      </c>
      <c r="AB547" s="8" t="s">
        <v>60</v>
      </c>
      <c r="AC547" s="8" t="s">
        <v>1165</v>
      </c>
      <c r="AD547" s="8" t="s">
        <v>2839</v>
      </c>
      <c r="AE547" s="8" t="s">
        <v>55</v>
      </c>
      <c r="AF547" s="8" t="s">
        <v>55</v>
      </c>
      <c r="AG547" s="8" t="s">
        <v>2818</v>
      </c>
      <c r="AH547" s="8" t="s">
        <v>2151</v>
      </c>
      <c r="AI547" s="8" t="s">
        <v>2067</v>
      </c>
      <c r="AJ547" s="8" t="s">
        <v>49</v>
      </c>
      <c r="AK547" s="8" t="s">
        <v>49</v>
      </c>
      <c r="AL547" s="8" t="s">
        <v>66</v>
      </c>
      <c r="AM547" s="8" t="s">
        <v>2819</v>
      </c>
      <c r="AN547" s="9" t="s">
        <v>2840</v>
      </c>
      <c r="AO547" s="9" t="s">
        <v>2841</v>
      </c>
      <c r="AP547" s="10" t="s">
        <v>2842</v>
      </c>
      <c r="AQ547" s="10" t="s">
        <v>2843</v>
      </c>
      <c r="AR547" s="10" t="s">
        <v>2844</v>
      </c>
      <c r="AS547" s="12"/>
      <c r="AT547" s="10" t="s">
        <v>2845</v>
      </c>
      <c r="AU547" s="10" t="s">
        <v>2846</v>
      </c>
      <c r="AV547" s="13"/>
    </row>
    <row r="548" ht="16.5" hidden="1" customHeight="1">
      <c r="A548" s="7" t="s">
        <v>2847</v>
      </c>
      <c r="B548" s="7" t="s">
        <v>2815</v>
      </c>
      <c r="C548" s="7" t="s">
        <v>213</v>
      </c>
      <c r="D548" s="7" t="s">
        <v>51</v>
      </c>
      <c r="E548" s="7" t="s">
        <v>227</v>
      </c>
      <c r="F548" s="7">
        <v>7032.0</v>
      </c>
      <c r="G548" s="7">
        <v>7032.0</v>
      </c>
      <c r="H548" s="7" t="s">
        <v>53</v>
      </c>
      <c r="I548" s="7"/>
      <c r="J548" s="7"/>
      <c r="K548" s="8" t="s">
        <v>84</v>
      </c>
      <c r="L548" s="8" t="s">
        <v>49</v>
      </c>
      <c r="M548" s="8"/>
      <c r="N548" s="8" t="s">
        <v>85</v>
      </c>
      <c r="O548" s="8" t="s">
        <v>217</v>
      </c>
      <c r="P548" s="8" t="s">
        <v>57</v>
      </c>
      <c r="Q548" s="8" t="s">
        <v>2088</v>
      </c>
      <c r="R548" s="8">
        <v>0.53</v>
      </c>
      <c r="S548" s="8" t="s">
        <v>49</v>
      </c>
      <c r="T548" s="8" t="s">
        <v>49</v>
      </c>
      <c r="U548" s="8" t="s">
        <v>2838</v>
      </c>
      <c r="V548" s="8" t="s">
        <v>1684</v>
      </c>
      <c r="W548" s="8" t="s">
        <v>2623</v>
      </c>
      <c r="X548" s="8" t="s">
        <v>108</v>
      </c>
      <c r="Y548" s="8" t="s">
        <v>2768</v>
      </c>
      <c r="Z548" s="8" t="s">
        <v>92</v>
      </c>
      <c r="AA548" s="8" t="s">
        <v>231</v>
      </c>
      <c r="AB548" s="8" t="s">
        <v>60</v>
      </c>
      <c r="AC548" s="8" t="s">
        <v>1165</v>
      </c>
      <c r="AD548" s="8" t="s">
        <v>2839</v>
      </c>
      <c r="AE548" s="8" t="s">
        <v>55</v>
      </c>
      <c r="AF548" s="8" t="s">
        <v>55</v>
      </c>
      <c r="AG548" s="8" t="s">
        <v>2818</v>
      </c>
      <c r="AH548" s="8" t="s">
        <v>2151</v>
      </c>
      <c r="AI548" s="8" t="s">
        <v>2067</v>
      </c>
      <c r="AJ548" s="8" t="s">
        <v>49</v>
      </c>
      <c r="AK548" s="8" t="s">
        <v>95</v>
      </c>
      <c r="AL548" s="8" t="s">
        <v>66</v>
      </c>
      <c r="AM548" s="8" t="s">
        <v>2819</v>
      </c>
      <c r="AN548" s="9" t="s">
        <v>2840</v>
      </c>
      <c r="AO548" s="9" t="s">
        <v>2841</v>
      </c>
      <c r="AP548" s="10" t="s">
        <v>2842</v>
      </c>
      <c r="AQ548" s="10" t="s">
        <v>2843</v>
      </c>
      <c r="AR548" s="10" t="s">
        <v>2844</v>
      </c>
      <c r="AS548" s="12"/>
      <c r="AT548" s="10" t="s">
        <v>2845</v>
      </c>
      <c r="AU548" s="10" t="s">
        <v>2846</v>
      </c>
      <c r="AV548" s="13"/>
    </row>
    <row r="549" ht="16.5" hidden="1" customHeight="1">
      <c r="A549" s="7" t="s">
        <v>2848</v>
      </c>
      <c r="B549" s="7" t="s">
        <v>2815</v>
      </c>
      <c r="C549" s="14" t="s">
        <v>213</v>
      </c>
      <c r="D549" s="14" t="s">
        <v>51</v>
      </c>
      <c r="E549" s="7"/>
      <c r="F549" s="7">
        <v>7033.0</v>
      </c>
      <c r="G549" s="7">
        <v>7032.0</v>
      </c>
      <c r="H549" s="7" t="s">
        <v>53</v>
      </c>
      <c r="I549" s="7"/>
      <c r="J549" s="7"/>
      <c r="K549" s="8" t="s">
        <v>84</v>
      </c>
      <c r="L549" s="8" t="s">
        <v>49</v>
      </c>
      <c r="M549" s="8"/>
      <c r="N549" s="8" t="s">
        <v>85</v>
      </c>
      <c r="O549" s="8" t="s">
        <v>217</v>
      </c>
      <c r="P549" s="8" t="s">
        <v>57</v>
      </c>
      <c r="Q549" s="8" t="s">
        <v>2165</v>
      </c>
      <c r="R549" s="8">
        <v>0.57</v>
      </c>
      <c r="S549" s="8" t="s">
        <v>49</v>
      </c>
      <c r="T549" s="8" t="s">
        <v>49</v>
      </c>
      <c r="U549" s="8" t="s">
        <v>2849</v>
      </c>
      <c r="V549" s="8" t="s">
        <v>1301</v>
      </c>
      <c r="W549" s="8" t="s">
        <v>2623</v>
      </c>
      <c r="X549" s="8" t="s">
        <v>108</v>
      </c>
      <c r="Y549" s="8" t="s">
        <v>2768</v>
      </c>
      <c r="Z549" s="8" t="s">
        <v>92</v>
      </c>
      <c r="AA549" s="8" t="s">
        <v>231</v>
      </c>
      <c r="AB549" s="8" t="s">
        <v>60</v>
      </c>
      <c r="AC549" s="8" t="s">
        <v>1165</v>
      </c>
      <c r="AD549" s="8" t="s">
        <v>2850</v>
      </c>
      <c r="AE549" s="8" t="s">
        <v>55</v>
      </c>
      <c r="AF549" s="8" t="s">
        <v>55</v>
      </c>
      <c r="AG549" s="8" t="s">
        <v>2818</v>
      </c>
      <c r="AH549" s="8" t="s">
        <v>2151</v>
      </c>
      <c r="AI549" s="8" t="s">
        <v>2067</v>
      </c>
      <c r="AJ549" s="8" t="s">
        <v>49</v>
      </c>
      <c r="AK549" s="8" t="s">
        <v>95</v>
      </c>
      <c r="AL549" s="8" t="s">
        <v>66</v>
      </c>
      <c r="AM549" s="8" t="s">
        <v>2819</v>
      </c>
      <c r="AN549" s="9" t="s">
        <v>2851</v>
      </c>
      <c r="AO549" s="9" t="s">
        <v>2852</v>
      </c>
      <c r="AP549" s="10" t="s">
        <v>2842</v>
      </c>
      <c r="AQ549" s="10" t="s">
        <v>2853</v>
      </c>
      <c r="AR549" s="10" t="s">
        <v>2854</v>
      </c>
      <c r="AS549" s="12"/>
      <c r="AT549" s="10" t="s">
        <v>2855</v>
      </c>
      <c r="AU549" s="10" t="s">
        <v>2856</v>
      </c>
      <c r="AV549" s="13"/>
    </row>
    <row r="550" ht="16.5" hidden="1" customHeight="1">
      <c r="A550" s="7" t="s">
        <v>2857</v>
      </c>
      <c r="B550" s="7" t="s">
        <v>49</v>
      </c>
      <c r="C550" s="7" t="s">
        <v>213</v>
      </c>
      <c r="D550" s="7" t="s">
        <v>51</v>
      </c>
      <c r="E550" s="7" t="s">
        <v>227</v>
      </c>
      <c r="F550" s="7">
        <v>7034.0</v>
      </c>
      <c r="G550" s="7"/>
      <c r="H550" s="7" t="s">
        <v>53</v>
      </c>
      <c r="I550" s="7"/>
      <c r="J550" s="14" t="s">
        <v>1159</v>
      </c>
      <c r="K550" s="8" t="s">
        <v>84</v>
      </c>
      <c r="L550" s="8" t="s">
        <v>49</v>
      </c>
      <c r="M550" s="8"/>
      <c r="N550" s="8" t="s">
        <v>85</v>
      </c>
      <c r="O550" s="8" t="s">
        <v>217</v>
      </c>
      <c r="P550" s="8" t="s">
        <v>57</v>
      </c>
      <c r="Q550" s="8" t="s">
        <v>2165</v>
      </c>
      <c r="R550" s="8">
        <v>0.57</v>
      </c>
      <c r="S550" s="8" t="s">
        <v>49</v>
      </c>
      <c r="T550" s="8" t="s">
        <v>49</v>
      </c>
      <c r="U550" s="8" t="s">
        <v>2858</v>
      </c>
      <c r="V550" s="8" t="s">
        <v>1274</v>
      </c>
      <c r="W550" s="8" t="s">
        <v>2859</v>
      </c>
      <c r="X550" s="8" t="s">
        <v>108</v>
      </c>
      <c r="Y550" s="8" t="s">
        <v>190</v>
      </c>
      <c r="Z550" s="8" t="s">
        <v>92</v>
      </c>
      <c r="AA550" s="8" t="s">
        <v>231</v>
      </c>
      <c r="AB550" s="8" t="s">
        <v>60</v>
      </c>
      <c r="AC550" s="8" t="s">
        <v>1165</v>
      </c>
      <c r="AD550" s="8" t="s">
        <v>2860</v>
      </c>
      <c r="AE550" s="8" t="s">
        <v>55</v>
      </c>
      <c r="AF550" s="8" t="s">
        <v>55</v>
      </c>
      <c r="AG550" s="8" t="s">
        <v>890</v>
      </c>
      <c r="AH550" s="8" t="s">
        <v>2151</v>
      </c>
      <c r="AI550" s="8" t="s">
        <v>112</v>
      </c>
      <c r="AJ550" s="8" t="s">
        <v>49</v>
      </c>
      <c r="AK550" s="8" t="s">
        <v>49</v>
      </c>
      <c r="AL550" s="8" t="s">
        <v>66</v>
      </c>
      <c r="AM550" s="8" t="s">
        <v>2861</v>
      </c>
      <c r="AN550" s="9" t="s">
        <v>2862</v>
      </c>
      <c r="AO550" s="9" t="s">
        <v>2863</v>
      </c>
      <c r="AP550" s="10" t="s">
        <v>2864</v>
      </c>
      <c r="AQ550" s="10" t="s">
        <v>2865</v>
      </c>
      <c r="AR550" s="10" t="s">
        <v>2866</v>
      </c>
      <c r="AS550" s="12"/>
      <c r="AT550" s="10" t="s">
        <v>2867</v>
      </c>
      <c r="AU550" s="10" t="s">
        <v>2868</v>
      </c>
      <c r="AV550" s="13"/>
    </row>
    <row r="551" ht="16.5" hidden="1" customHeight="1">
      <c r="A551" s="7" t="s">
        <v>2869</v>
      </c>
      <c r="B551" s="7" t="s">
        <v>49</v>
      </c>
      <c r="C551" s="7" t="s">
        <v>213</v>
      </c>
      <c r="D551" s="7" t="s">
        <v>51</v>
      </c>
      <c r="E551" s="7" t="s">
        <v>227</v>
      </c>
      <c r="F551" s="7">
        <v>7034.0</v>
      </c>
      <c r="G551" s="7">
        <v>7034.0</v>
      </c>
      <c r="H551" s="7" t="s">
        <v>53</v>
      </c>
      <c r="I551" s="7"/>
      <c r="J551" s="14" t="s">
        <v>1159</v>
      </c>
      <c r="K551" s="8" t="s">
        <v>84</v>
      </c>
      <c r="L551" s="8" t="s">
        <v>49</v>
      </c>
      <c r="M551" s="8"/>
      <c r="N551" s="8" t="s">
        <v>85</v>
      </c>
      <c r="O551" s="8" t="s">
        <v>217</v>
      </c>
      <c r="P551" s="8" t="s">
        <v>57</v>
      </c>
      <c r="Q551" s="8" t="s">
        <v>2165</v>
      </c>
      <c r="R551" s="8">
        <v>0.57</v>
      </c>
      <c r="S551" s="8" t="s">
        <v>49</v>
      </c>
      <c r="T551" s="8" t="s">
        <v>49</v>
      </c>
      <c r="U551" s="8" t="s">
        <v>2858</v>
      </c>
      <c r="V551" s="8" t="s">
        <v>1274</v>
      </c>
      <c r="W551" s="8" t="s">
        <v>2859</v>
      </c>
      <c r="X551" s="8" t="s">
        <v>108</v>
      </c>
      <c r="Y551" s="8" t="s">
        <v>190</v>
      </c>
      <c r="Z551" s="8" t="s">
        <v>92</v>
      </c>
      <c r="AA551" s="8" t="s">
        <v>231</v>
      </c>
      <c r="AB551" s="8" t="s">
        <v>60</v>
      </c>
      <c r="AC551" s="8" t="s">
        <v>1165</v>
      </c>
      <c r="AD551" s="8" t="s">
        <v>2860</v>
      </c>
      <c r="AE551" s="8" t="s">
        <v>55</v>
      </c>
      <c r="AF551" s="8" t="s">
        <v>55</v>
      </c>
      <c r="AG551" s="8" t="s">
        <v>890</v>
      </c>
      <c r="AH551" s="8" t="s">
        <v>2151</v>
      </c>
      <c r="AI551" s="8" t="s">
        <v>112</v>
      </c>
      <c r="AJ551" s="8" t="s">
        <v>49</v>
      </c>
      <c r="AK551" s="8" t="s">
        <v>95</v>
      </c>
      <c r="AL551" s="8" t="s">
        <v>66</v>
      </c>
      <c r="AM551" s="8" t="s">
        <v>2861</v>
      </c>
      <c r="AN551" s="16" t="s">
        <v>2862</v>
      </c>
      <c r="AO551" s="9" t="s">
        <v>2863</v>
      </c>
      <c r="AP551" s="10" t="s">
        <v>2864</v>
      </c>
      <c r="AQ551" s="10" t="s">
        <v>2865</v>
      </c>
      <c r="AR551" s="10" t="s">
        <v>2866</v>
      </c>
      <c r="AS551" s="12"/>
      <c r="AT551" s="10" t="s">
        <v>2867</v>
      </c>
      <c r="AU551" s="10" t="s">
        <v>2868</v>
      </c>
      <c r="AV551" s="15">
        <v>46315.0</v>
      </c>
    </row>
    <row r="552" ht="16.5" hidden="1" customHeight="1">
      <c r="A552" s="7" t="s">
        <v>2870</v>
      </c>
      <c r="B552" s="14" t="s">
        <v>49</v>
      </c>
      <c r="C552" s="14" t="s">
        <v>213</v>
      </c>
      <c r="D552" s="14" t="s">
        <v>51</v>
      </c>
      <c r="E552" s="7"/>
      <c r="F552" s="7">
        <v>7035.0</v>
      </c>
      <c r="G552" s="7">
        <v>7034.0</v>
      </c>
      <c r="H552" s="7" t="s">
        <v>53</v>
      </c>
      <c r="I552" s="7"/>
      <c r="J552" s="14" t="s">
        <v>1159</v>
      </c>
      <c r="K552" s="8" t="s">
        <v>84</v>
      </c>
      <c r="L552" s="8" t="s">
        <v>49</v>
      </c>
      <c r="M552" s="8"/>
      <c r="N552" s="8" t="s">
        <v>85</v>
      </c>
      <c r="O552" s="8" t="s">
        <v>217</v>
      </c>
      <c r="P552" s="8" t="s">
        <v>57</v>
      </c>
      <c r="Q552" s="8" t="s">
        <v>2165</v>
      </c>
      <c r="R552" s="8">
        <v>0.57</v>
      </c>
      <c r="S552" s="8" t="s">
        <v>49</v>
      </c>
      <c r="T552" s="8" t="s">
        <v>49</v>
      </c>
      <c r="U552" s="8" t="s">
        <v>2858</v>
      </c>
      <c r="V552" s="8" t="s">
        <v>1274</v>
      </c>
      <c r="W552" s="8" t="s">
        <v>2859</v>
      </c>
      <c r="X552" s="8" t="s">
        <v>108</v>
      </c>
      <c r="Y552" s="8" t="s">
        <v>190</v>
      </c>
      <c r="Z552" s="8" t="s">
        <v>92</v>
      </c>
      <c r="AA552" s="8" t="s">
        <v>231</v>
      </c>
      <c r="AB552" s="8" t="s">
        <v>60</v>
      </c>
      <c r="AC552" s="8" t="s">
        <v>1165</v>
      </c>
      <c r="AD552" s="8" t="s">
        <v>2860</v>
      </c>
      <c r="AE552" s="8" t="s">
        <v>55</v>
      </c>
      <c r="AF552" s="8" t="s">
        <v>55</v>
      </c>
      <c r="AG552" s="8" t="s">
        <v>890</v>
      </c>
      <c r="AH552" s="8" t="s">
        <v>2151</v>
      </c>
      <c r="AI552" s="8" t="s">
        <v>94</v>
      </c>
      <c r="AJ552" s="8" t="s">
        <v>49</v>
      </c>
      <c r="AK552" s="8" t="s">
        <v>95</v>
      </c>
      <c r="AL552" s="8" t="s">
        <v>66</v>
      </c>
      <c r="AM552" s="8" t="s">
        <v>2871</v>
      </c>
      <c r="AN552" s="9" t="s">
        <v>2872</v>
      </c>
      <c r="AO552" s="9" t="s">
        <v>2873</v>
      </c>
      <c r="AP552" s="10" t="s">
        <v>2864</v>
      </c>
      <c r="AQ552" s="10" t="s">
        <v>2865</v>
      </c>
      <c r="AR552" s="10" t="s">
        <v>2866</v>
      </c>
      <c r="AS552" s="12"/>
      <c r="AT552" s="10" t="s">
        <v>2867</v>
      </c>
      <c r="AU552" s="10" t="s">
        <v>2868</v>
      </c>
      <c r="AV552" s="15">
        <v>46315.0</v>
      </c>
    </row>
    <row r="553" ht="16.5" hidden="1" customHeight="1">
      <c r="A553" s="7" t="s">
        <v>2874</v>
      </c>
      <c r="B553" s="14" t="s">
        <v>49</v>
      </c>
      <c r="C553" s="14" t="s">
        <v>213</v>
      </c>
      <c r="D553" s="14" t="s">
        <v>1144</v>
      </c>
      <c r="E553" s="7"/>
      <c r="F553" s="7">
        <v>7036.0</v>
      </c>
      <c r="G553" s="7">
        <v>6826.0</v>
      </c>
      <c r="H553" s="7" t="s">
        <v>53</v>
      </c>
      <c r="I553" s="7"/>
      <c r="J553" s="7"/>
      <c r="K553" s="8" t="s">
        <v>1534</v>
      </c>
      <c r="L553" s="8" t="s">
        <v>49</v>
      </c>
      <c r="M553" s="8"/>
      <c r="N553" s="8" t="s">
        <v>85</v>
      </c>
      <c r="O553" s="8" t="s">
        <v>217</v>
      </c>
      <c r="P553" s="8" t="s">
        <v>57</v>
      </c>
      <c r="Q553" s="8" t="s">
        <v>1299</v>
      </c>
      <c r="R553" s="8">
        <v>0.49</v>
      </c>
      <c r="S553" s="8" t="s">
        <v>49</v>
      </c>
      <c r="T553" s="8" t="s">
        <v>49</v>
      </c>
      <c r="U553" s="8" t="s">
        <v>2381</v>
      </c>
      <c r="V553" s="8" t="s">
        <v>443</v>
      </c>
      <c r="W553" s="8" t="s">
        <v>2875</v>
      </c>
      <c r="X553" s="8" t="s">
        <v>108</v>
      </c>
      <c r="Y553" s="8" t="s">
        <v>1830</v>
      </c>
      <c r="Z553" s="8" t="s">
        <v>2382</v>
      </c>
      <c r="AA553" s="8" t="s">
        <v>231</v>
      </c>
      <c r="AB553" s="8" t="s">
        <v>60</v>
      </c>
      <c r="AC553" s="8" t="s">
        <v>1144</v>
      </c>
      <c r="AD553" s="8" t="s">
        <v>2383</v>
      </c>
      <c r="AE553" s="8" t="s">
        <v>55</v>
      </c>
      <c r="AF553" s="8" t="s">
        <v>55</v>
      </c>
      <c r="AG553" s="8" t="s">
        <v>63</v>
      </c>
      <c r="AH553" s="8" t="s">
        <v>111</v>
      </c>
      <c r="AI553" s="8" t="s">
        <v>112</v>
      </c>
      <c r="AJ553" s="8" t="s">
        <v>49</v>
      </c>
      <c r="AK553" s="8" t="s">
        <v>95</v>
      </c>
      <c r="AL553" s="8" t="s">
        <v>66</v>
      </c>
      <c r="AM553" s="8" t="s">
        <v>2876</v>
      </c>
      <c r="AN553" s="9" t="s">
        <v>2877</v>
      </c>
      <c r="AO553" s="12" t="s">
        <v>224</v>
      </c>
      <c r="AP553" s="10" t="s">
        <v>2878</v>
      </c>
      <c r="AQ553" s="10" t="s">
        <v>2879</v>
      </c>
      <c r="AR553" s="10" t="s">
        <v>2880</v>
      </c>
      <c r="AS553" s="12"/>
      <c r="AT553" s="11"/>
      <c r="AU553" s="11"/>
      <c r="AV553" s="13"/>
    </row>
    <row r="554" ht="16.5" hidden="1" customHeight="1">
      <c r="A554" s="7" t="s">
        <v>2881</v>
      </c>
      <c r="B554" s="14" t="s">
        <v>49</v>
      </c>
      <c r="C554" s="14" t="s">
        <v>213</v>
      </c>
      <c r="D554" s="14" t="s">
        <v>1144</v>
      </c>
      <c r="E554" s="7"/>
      <c r="F554" s="7">
        <v>7037.0</v>
      </c>
      <c r="G554" s="7">
        <v>6826.0</v>
      </c>
      <c r="H554" s="7" t="s">
        <v>53</v>
      </c>
      <c r="I554" s="7"/>
      <c r="J554" s="7"/>
      <c r="K554" s="8" t="s">
        <v>1534</v>
      </c>
      <c r="L554" s="8" t="s">
        <v>49</v>
      </c>
      <c r="M554" s="8"/>
      <c r="N554" s="8" t="s">
        <v>85</v>
      </c>
      <c r="O554" s="8" t="s">
        <v>217</v>
      </c>
      <c r="P554" s="8" t="s">
        <v>57</v>
      </c>
      <c r="Q554" s="8" t="s">
        <v>2394</v>
      </c>
      <c r="R554" s="8">
        <v>0.49</v>
      </c>
      <c r="S554" s="8" t="s">
        <v>49</v>
      </c>
      <c r="T554" s="8" t="s">
        <v>49</v>
      </c>
      <c r="U554" s="8" t="s">
        <v>2395</v>
      </c>
      <c r="V554" s="8" t="s">
        <v>2396</v>
      </c>
      <c r="W554" s="8" t="s">
        <v>2875</v>
      </c>
      <c r="X554" s="8" t="s">
        <v>108</v>
      </c>
      <c r="Y554" s="8" t="s">
        <v>1830</v>
      </c>
      <c r="Z554" s="8" t="s">
        <v>2382</v>
      </c>
      <c r="AA554" s="8" t="s">
        <v>231</v>
      </c>
      <c r="AB554" s="8" t="s">
        <v>60</v>
      </c>
      <c r="AC554" s="8" t="s">
        <v>1144</v>
      </c>
      <c r="AD554" s="8" t="s">
        <v>2397</v>
      </c>
      <c r="AE554" s="8" t="s">
        <v>55</v>
      </c>
      <c r="AF554" s="8" t="s">
        <v>55</v>
      </c>
      <c r="AG554" s="8" t="s">
        <v>63</v>
      </c>
      <c r="AH554" s="8" t="s">
        <v>111</v>
      </c>
      <c r="AI554" s="8" t="s">
        <v>112</v>
      </c>
      <c r="AJ554" s="8" t="s">
        <v>49</v>
      </c>
      <c r="AK554" s="8" t="s">
        <v>95</v>
      </c>
      <c r="AL554" s="8" t="s">
        <v>66</v>
      </c>
      <c r="AM554" s="8" t="s">
        <v>2876</v>
      </c>
      <c r="AN554" s="9" t="s">
        <v>2882</v>
      </c>
      <c r="AO554" s="12" t="s">
        <v>224</v>
      </c>
      <c r="AP554" s="10" t="s">
        <v>2878</v>
      </c>
      <c r="AQ554" s="10" t="s">
        <v>2883</v>
      </c>
      <c r="AR554" s="10" t="s">
        <v>2884</v>
      </c>
      <c r="AS554" s="12"/>
      <c r="AT554" s="11"/>
      <c r="AU554" s="11"/>
      <c r="AV554" s="13"/>
    </row>
    <row r="555" ht="16.5" hidden="1" customHeight="1">
      <c r="A555" s="7" t="s">
        <v>2885</v>
      </c>
      <c r="B555" s="14" t="s">
        <v>49</v>
      </c>
      <c r="C555" s="14" t="s">
        <v>213</v>
      </c>
      <c r="D555" s="14" t="s">
        <v>1144</v>
      </c>
      <c r="E555" s="7"/>
      <c r="F555" s="7">
        <v>7038.0</v>
      </c>
      <c r="G555" s="7">
        <v>6826.0</v>
      </c>
      <c r="H555" s="7" t="s">
        <v>53</v>
      </c>
      <c r="I555" s="7"/>
      <c r="J555" s="7"/>
      <c r="K555" s="8" t="s">
        <v>1534</v>
      </c>
      <c r="L555" s="8" t="s">
        <v>49</v>
      </c>
      <c r="M555" s="8"/>
      <c r="N555" s="8" t="s">
        <v>85</v>
      </c>
      <c r="O555" s="8" t="s">
        <v>217</v>
      </c>
      <c r="P555" s="8" t="s">
        <v>57</v>
      </c>
      <c r="Q555" s="8" t="s">
        <v>1428</v>
      </c>
      <c r="R555" s="8">
        <v>0.49</v>
      </c>
      <c r="S555" s="8" t="s">
        <v>49</v>
      </c>
      <c r="T555" s="8" t="s">
        <v>49</v>
      </c>
      <c r="U555" s="8" t="s">
        <v>2403</v>
      </c>
      <c r="V555" s="8" t="s">
        <v>2167</v>
      </c>
      <c r="W555" s="8" t="s">
        <v>2875</v>
      </c>
      <c r="X555" s="8" t="s">
        <v>108</v>
      </c>
      <c r="Y555" s="8" t="s">
        <v>1830</v>
      </c>
      <c r="Z555" s="8" t="s">
        <v>2382</v>
      </c>
      <c r="AA555" s="8" t="s">
        <v>231</v>
      </c>
      <c r="AB555" s="8" t="s">
        <v>60</v>
      </c>
      <c r="AC555" s="8" t="s">
        <v>1144</v>
      </c>
      <c r="AD555" s="8" t="s">
        <v>2404</v>
      </c>
      <c r="AE555" s="8" t="s">
        <v>55</v>
      </c>
      <c r="AF555" s="8" t="s">
        <v>55</v>
      </c>
      <c r="AG555" s="8" t="s">
        <v>63</v>
      </c>
      <c r="AH555" s="8" t="s">
        <v>111</v>
      </c>
      <c r="AI555" s="8" t="s">
        <v>112</v>
      </c>
      <c r="AJ555" s="8" t="s">
        <v>49</v>
      </c>
      <c r="AK555" s="8" t="s">
        <v>95</v>
      </c>
      <c r="AL555" s="8" t="s">
        <v>66</v>
      </c>
      <c r="AM555" s="8" t="s">
        <v>2876</v>
      </c>
      <c r="AN555" s="9" t="s">
        <v>2886</v>
      </c>
      <c r="AO555" s="12" t="s">
        <v>224</v>
      </c>
      <c r="AP555" s="10" t="s">
        <v>2878</v>
      </c>
      <c r="AQ555" s="10" t="s">
        <v>2887</v>
      </c>
      <c r="AR555" s="10" t="s">
        <v>2888</v>
      </c>
      <c r="AS555" s="12"/>
      <c r="AT555" s="11"/>
      <c r="AU555" s="11"/>
      <c r="AV555" s="13"/>
    </row>
    <row r="556" ht="16.5" hidden="1" customHeight="1">
      <c r="A556" s="7" t="s">
        <v>2889</v>
      </c>
      <c r="B556" s="14" t="s">
        <v>49</v>
      </c>
      <c r="C556" s="14" t="s">
        <v>213</v>
      </c>
      <c r="D556" s="14" t="s">
        <v>1144</v>
      </c>
      <c r="E556" s="7"/>
      <c r="F556" s="7">
        <v>7039.0</v>
      </c>
      <c r="G556" s="7">
        <v>6826.0</v>
      </c>
      <c r="H556" s="7" t="s">
        <v>53</v>
      </c>
      <c r="I556" s="7"/>
      <c r="J556" s="7"/>
      <c r="K556" s="8" t="s">
        <v>1534</v>
      </c>
      <c r="L556" s="8" t="s">
        <v>49</v>
      </c>
      <c r="M556" s="8"/>
      <c r="N556" s="8" t="s">
        <v>85</v>
      </c>
      <c r="O556" s="8" t="s">
        <v>217</v>
      </c>
      <c r="P556" s="8" t="s">
        <v>57</v>
      </c>
      <c r="Q556" s="8" t="s">
        <v>1299</v>
      </c>
      <c r="R556" s="8">
        <v>0.49</v>
      </c>
      <c r="S556" s="8" t="s">
        <v>49</v>
      </c>
      <c r="T556" s="8" t="s">
        <v>49</v>
      </c>
      <c r="U556" s="8" t="s">
        <v>2381</v>
      </c>
      <c r="V556" s="8" t="s">
        <v>443</v>
      </c>
      <c r="W556" s="8" t="s">
        <v>2875</v>
      </c>
      <c r="X556" s="8" t="s">
        <v>108</v>
      </c>
      <c r="Y556" s="8" t="s">
        <v>1830</v>
      </c>
      <c r="Z556" s="8" t="s">
        <v>2382</v>
      </c>
      <c r="AA556" s="8" t="s">
        <v>231</v>
      </c>
      <c r="AB556" s="8" t="s">
        <v>60</v>
      </c>
      <c r="AC556" s="8" t="s">
        <v>1144</v>
      </c>
      <c r="AD556" s="8" t="s">
        <v>2383</v>
      </c>
      <c r="AE556" s="8" t="s">
        <v>55</v>
      </c>
      <c r="AF556" s="8" t="s">
        <v>55</v>
      </c>
      <c r="AG556" s="8" t="s">
        <v>63</v>
      </c>
      <c r="AH556" s="8" t="s">
        <v>111</v>
      </c>
      <c r="AI556" s="8" t="s">
        <v>94</v>
      </c>
      <c r="AJ556" s="8" t="s">
        <v>49</v>
      </c>
      <c r="AK556" s="8" t="s">
        <v>95</v>
      </c>
      <c r="AL556" s="8" t="s">
        <v>66</v>
      </c>
      <c r="AM556" s="8" t="s">
        <v>2876</v>
      </c>
      <c r="AN556" s="9" t="s">
        <v>2890</v>
      </c>
      <c r="AO556" s="12" t="s">
        <v>224</v>
      </c>
      <c r="AP556" s="10" t="s">
        <v>2878</v>
      </c>
      <c r="AQ556" s="10" t="s">
        <v>2879</v>
      </c>
      <c r="AR556" s="10" t="s">
        <v>2880</v>
      </c>
      <c r="AS556" s="12"/>
      <c r="AT556" s="11"/>
      <c r="AU556" s="11"/>
      <c r="AV556" s="13"/>
    </row>
    <row r="557" ht="16.5" hidden="1" customHeight="1">
      <c r="A557" s="7" t="s">
        <v>2891</v>
      </c>
      <c r="B557" s="14" t="s">
        <v>49</v>
      </c>
      <c r="C557" s="14" t="s">
        <v>213</v>
      </c>
      <c r="D557" s="14" t="s">
        <v>1144</v>
      </c>
      <c r="E557" s="7"/>
      <c r="F557" s="7">
        <v>7040.0</v>
      </c>
      <c r="G557" s="7">
        <v>6826.0</v>
      </c>
      <c r="H557" s="7" t="s">
        <v>53</v>
      </c>
      <c r="I557" s="7"/>
      <c r="J557" s="7"/>
      <c r="K557" s="8" t="s">
        <v>1534</v>
      </c>
      <c r="L557" s="8" t="s">
        <v>49</v>
      </c>
      <c r="M557" s="8"/>
      <c r="N557" s="8" t="s">
        <v>85</v>
      </c>
      <c r="O557" s="8" t="s">
        <v>217</v>
      </c>
      <c r="P557" s="8" t="s">
        <v>57</v>
      </c>
      <c r="Q557" s="8" t="s">
        <v>2394</v>
      </c>
      <c r="R557" s="8">
        <v>0.49</v>
      </c>
      <c r="S557" s="8" t="s">
        <v>49</v>
      </c>
      <c r="T557" s="8" t="s">
        <v>49</v>
      </c>
      <c r="U557" s="8" t="s">
        <v>2395</v>
      </c>
      <c r="V557" s="8" t="s">
        <v>2396</v>
      </c>
      <c r="W557" s="8" t="s">
        <v>2875</v>
      </c>
      <c r="X557" s="8" t="s">
        <v>108</v>
      </c>
      <c r="Y557" s="8" t="s">
        <v>1830</v>
      </c>
      <c r="Z557" s="8" t="s">
        <v>2382</v>
      </c>
      <c r="AA557" s="8" t="s">
        <v>231</v>
      </c>
      <c r="AB557" s="8" t="s">
        <v>60</v>
      </c>
      <c r="AC557" s="8" t="s">
        <v>1144</v>
      </c>
      <c r="AD557" s="8" t="s">
        <v>2397</v>
      </c>
      <c r="AE557" s="8" t="s">
        <v>55</v>
      </c>
      <c r="AF557" s="8" t="s">
        <v>55</v>
      </c>
      <c r="AG557" s="8" t="s">
        <v>63</v>
      </c>
      <c r="AH557" s="8" t="s">
        <v>111</v>
      </c>
      <c r="AI557" s="8" t="s">
        <v>94</v>
      </c>
      <c r="AJ557" s="8" t="s">
        <v>49</v>
      </c>
      <c r="AK557" s="8" t="s">
        <v>95</v>
      </c>
      <c r="AL557" s="8" t="s">
        <v>66</v>
      </c>
      <c r="AM557" s="8" t="s">
        <v>2876</v>
      </c>
      <c r="AN557" s="9" t="s">
        <v>2892</v>
      </c>
      <c r="AO557" s="12" t="s">
        <v>224</v>
      </c>
      <c r="AP557" s="10" t="s">
        <v>2878</v>
      </c>
      <c r="AQ557" s="10" t="s">
        <v>2883</v>
      </c>
      <c r="AR557" s="10" t="s">
        <v>2884</v>
      </c>
      <c r="AS557" s="12"/>
      <c r="AT557" s="11"/>
      <c r="AU557" s="11"/>
      <c r="AV557" s="13"/>
    </row>
    <row r="558" ht="16.5" hidden="1" customHeight="1">
      <c r="A558" s="7" t="s">
        <v>2893</v>
      </c>
      <c r="B558" s="14" t="s">
        <v>49</v>
      </c>
      <c r="C558" s="14" t="s">
        <v>213</v>
      </c>
      <c r="D558" s="14" t="s">
        <v>1144</v>
      </c>
      <c r="E558" s="7"/>
      <c r="F558" s="7">
        <v>7041.0</v>
      </c>
      <c r="G558" s="7">
        <v>6826.0</v>
      </c>
      <c r="H558" s="7" t="s">
        <v>53</v>
      </c>
      <c r="I558" s="7"/>
      <c r="J558" s="7"/>
      <c r="K558" s="8" t="s">
        <v>1534</v>
      </c>
      <c r="L558" s="8" t="s">
        <v>49</v>
      </c>
      <c r="M558" s="8"/>
      <c r="N558" s="8" t="s">
        <v>85</v>
      </c>
      <c r="O558" s="8" t="s">
        <v>217</v>
      </c>
      <c r="P558" s="8" t="s">
        <v>57</v>
      </c>
      <c r="Q558" s="8" t="s">
        <v>1428</v>
      </c>
      <c r="R558" s="8">
        <v>0.49</v>
      </c>
      <c r="S558" s="8" t="s">
        <v>49</v>
      </c>
      <c r="T558" s="8" t="s">
        <v>49</v>
      </c>
      <c r="U558" s="8" t="s">
        <v>2403</v>
      </c>
      <c r="V558" s="8" t="s">
        <v>2167</v>
      </c>
      <c r="W558" s="8" t="s">
        <v>2875</v>
      </c>
      <c r="X558" s="8" t="s">
        <v>108</v>
      </c>
      <c r="Y558" s="8" t="s">
        <v>1830</v>
      </c>
      <c r="Z558" s="8" t="s">
        <v>2382</v>
      </c>
      <c r="AA558" s="8" t="s">
        <v>231</v>
      </c>
      <c r="AB558" s="8" t="s">
        <v>60</v>
      </c>
      <c r="AC558" s="8" t="s">
        <v>1144</v>
      </c>
      <c r="AD558" s="8" t="s">
        <v>2404</v>
      </c>
      <c r="AE558" s="8" t="s">
        <v>55</v>
      </c>
      <c r="AF558" s="8" t="s">
        <v>55</v>
      </c>
      <c r="AG558" s="8" t="s">
        <v>63</v>
      </c>
      <c r="AH558" s="8" t="s">
        <v>111</v>
      </c>
      <c r="AI558" s="8" t="s">
        <v>94</v>
      </c>
      <c r="AJ558" s="8" t="s">
        <v>49</v>
      </c>
      <c r="AK558" s="8" t="s">
        <v>95</v>
      </c>
      <c r="AL558" s="8" t="s">
        <v>66</v>
      </c>
      <c r="AM558" s="8" t="s">
        <v>2876</v>
      </c>
      <c r="AN558" s="16" t="s">
        <v>2894</v>
      </c>
      <c r="AO558" s="12" t="s">
        <v>224</v>
      </c>
      <c r="AP558" s="10" t="s">
        <v>2878</v>
      </c>
      <c r="AQ558" s="10" t="s">
        <v>2887</v>
      </c>
      <c r="AR558" s="10" t="s">
        <v>2888</v>
      </c>
      <c r="AS558" s="12"/>
      <c r="AT558" s="11"/>
      <c r="AU558" s="11"/>
      <c r="AV558" s="13"/>
    </row>
    <row r="559" ht="16.5" hidden="1" customHeight="1">
      <c r="A559" s="7" t="s">
        <v>2895</v>
      </c>
      <c r="B559" s="7" t="s">
        <v>2007</v>
      </c>
      <c r="C559" s="7" t="s">
        <v>213</v>
      </c>
      <c r="D559" s="7" t="s">
        <v>214</v>
      </c>
      <c r="E559" s="7" t="s">
        <v>227</v>
      </c>
      <c r="F559" s="7">
        <v>7042.0</v>
      </c>
      <c r="G559" s="7"/>
      <c r="H559" s="7"/>
      <c r="I559" s="7" t="s">
        <v>1427</v>
      </c>
      <c r="J559" s="7"/>
      <c r="K559" s="8" t="s">
        <v>2008</v>
      </c>
      <c r="L559" s="8" t="s">
        <v>126</v>
      </c>
      <c r="M559" s="8"/>
      <c r="N559" s="8" t="s">
        <v>85</v>
      </c>
      <c r="O559" s="8" t="s">
        <v>217</v>
      </c>
      <c r="P559" s="8" t="s">
        <v>57</v>
      </c>
      <c r="Q559" s="8" t="s">
        <v>2009</v>
      </c>
      <c r="R559" s="8">
        <v>0.97</v>
      </c>
      <c r="S559" s="8" t="s">
        <v>49</v>
      </c>
      <c r="T559" s="8" t="s">
        <v>49</v>
      </c>
      <c r="U559" s="8" t="s">
        <v>2896</v>
      </c>
      <c r="V559" s="8" t="s">
        <v>2897</v>
      </c>
      <c r="W559" s="8" t="s">
        <v>1409</v>
      </c>
      <c r="X559" s="8" t="s">
        <v>108</v>
      </c>
      <c r="Y559" s="8" t="s">
        <v>2898</v>
      </c>
      <c r="Z559" s="8" t="s">
        <v>1831</v>
      </c>
      <c r="AA559" s="8" t="s">
        <v>231</v>
      </c>
      <c r="AB559" s="8" t="s">
        <v>60</v>
      </c>
      <c r="AC559" s="8" t="s">
        <v>219</v>
      </c>
      <c r="AD559" s="8" t="s">
        <v>2011</v>
      </c>
      <c r="AE559" s="8" t="s">
        <v>55</v>
      </c>
      <c r="AF559" s="8" t="s">
        <v>55</v>
      </c>
      <c r="AG559" s="8" t="s">
        <v>63</v>
      </c>
      <c r="AH559" s="8" t="s">
        <v>111</v>
      </c>
      <c r="AI559" s="8" t="s">
        <v>65</v>
      </c>
      <c r="AJ559" s="8" t="s">
        <v>49</v>
      </c>
      <c r="AK559" s="8" t="s">
        <v>49</v>
      </c>
      <c r="AL559" s="8" t="s">
        <v>2012</v>
      </c>
      <c r="AM559" s="8"/>
      <c r="AN559" s="9" t="s">
        <v>2899</v>
      </c>
      <c r="AO559" s="9" t="s">
        <v>2900</v>
      </c>
      <c r="AP559" s="18" t="s">
        <v>2901</v>
      </c>
      <c r="AQ559" s="10" t="s">
        <v>2902</v>
      </c>
      <c r="AR559" s="10" t="s">
        <v>2903</v>
      </c>
      <c r="AS559" s="12"/>
      <c r="AT559" s="10" t="s">
        <v>2904</v>
      </c>
      <c r="AU559" s="10" t="s">
        <v>2905</v>
      </c>
      <c r="AV559" s="13"/>
    </row>
    <row r="560" ht="16.5" hidden="1" customHeight="1">
      <c r="A560" s="7" t="s">
        <v>2906</v>
      </c>
      <c r="B560" s="7" t="s">
        <v>2007</v>
      </c>
      <c r="C560" s="14" t="s">
        <v>213</v>
      </c>
      <c r="D560" s="14" t="s">
        <v>214</v>
      </c>
      <c r="E560" s="7"/>
      <c r="F560" s="7">
        <v>7042.0</v>
      </c>
      <c r="G560" s="7">
        <v>7042.0</v>
      </c>
      <c r="H560" s="7" t="s">
        <v>53</v>
      </c>
      <c r="I560" s="7" t="s">
        <v>1427</v>
      </c>
      <c r="J560" s="7"/>
      <c r="K560" s="8" t="s">
        <v>2008</v>
      </c>
      <c r="L560" s="8" t="s">
        <v>126</v>
      </c>
      <c r="M560" s="8"/>
      <c r="N560" s="8" t="s">
        <v>85</v>
      </c>
      <c r="O560" s="8" t="s">
        <v>217</v>
      </c>
      <c r="P560" s="8" t="s">
        <v>57</v>
      </c>
      <c r="Q560" s="8" t="s">
        <v>2009</v>
      </c>
      <c r="R560" s="8">
        <v>0.95</v>
      </c>
      <c r="S560" s="8" t="s">
        <v>49</v>
      </c>
      <c r="T560" s="8" t="s">
        <v>49</v>
      </c>
      <c r="U560" s="12" t="s">
        <v>2896</v>
      </c>
      <c r="V560" s="8" t="s">
        <v>2897</v>
      </c>
      <c r="W560" s="8" t="s">
        <v>1409</v>
      </c>
      <c r="X560" s="8" t="s">
        <v>108</v>
      </c>
      <c r="Y560" s="8" t="s">
        <v>2898</v>
      </c>
      <c r="Z560" s="8" t="s">
        <v>1831</v>
      </c>
      <c r="AA560" s="8" t="s">
        <v>231</v>
      </c>
      <c r="AB560" s="8" t="s">
        <v>60</v>
      </c>
      <c r="AC560" s="8" t="s">
        <v>219</v>
      </c>
      <c r="AD560" s="8" t="s">
        <v>2011</v>
      </c>
      <c r="AE560" s="8" t="s">
        <v>55</v>
      </c>
      <c r="AF560" s="8" t="s">
        <v>55</v>
      </c>
      <c r="AG560" s="8" t="s">
        <v>63</v>
      </c>
      <c r="AH560" s="8" t="s">
        <v>111</v>
      </c>
      <c r="AI560" s="8" t="s">
        <v>65</v>
      </c>
      <c r="AJ560" s="8" t="s">
        <v>49</v>
      </c>
      <c r="AK560" s="8" t="s">
        <v>1422</v>
      </c>
      <c r="AL560" s="8" t="s">
        <v>2012</v>
      </c>
      <c r="AM560" s="8" t="s">
        <v>2023</v>
      </c>
      <c r="AN560" s="9" t="s">
        <v>2899</v>
      </c>
      <c r="AO560" s="9" t="s">
        <v>2900</v>
      </c>
      <c r="AP560" s="17" t="s">
        <v>2907</v>
      </c>
      <c r="AQ560" s="10" t="s">
        <v>2902</v>
      </c>
      <c r="AR560" s="10" t="s">
        <v>2903</v>
      </c>
      <c r="AS560" s="12"/>
      <c r="AT560" s="10" t="s">
        <v>2904</v>
      </c>
      <c r="AU560" s="10" t="s">
        <v>2905</v>
      </c>
      <c r="AV560" s="13"/>
    </row>
    <row r="561" ht="16.5" hidden="1" customHeight="1">
      <c r="A561" s="7" t="s">
        <v>2908</v>
      </c>
      <c r="B561" s="7" t="s">
        <v>2007</v>
      </c>
      <c r="C561" s="14" t="s">
        <v>213</v>
      </c>
      <c r="D561" s="14" t="s">
        <v>214</v>
      </c>
      <c r="E561" s="7"/>
      <c r="F561" s="7">
        <v>7043.0</v>
      </c>
      <c r="G561" s="7">
        <v>7042.0</v>
      </c>
      <c r="H561" s="7" t="s">
        <v>53</v>
      </c>
      <c r="I561" s="7" t="s">
        <v>1427</v>
      </c>
      <c r="J561" s="7"/>
      <c r="K561" s="8" t="s">
        <v>2008</v>
      </c>
      <c r="L561" s="8" t="s">
        <v>126</v>
      </c>
      <c r="M561" s="8"/>
      <c r="N561" s="8" t="s">
        <v>85</v>
      </c>
      <c r="O561" s="8" t="s">
        <v>217</v>
      </c>
      <c r="P561" s="8" t="s">
        <v>57</v>
      </c>
      <c r="Q561" s="8" t="s">
        <v>2009</v>
      </c>
      <c r="R561" s="8">
        <v>0.95</v>
      </c>
      <c r="S561" s="8" t="s">
        <v>49</v>
      </c>
      <c r="T561" s="8" t="s">
        <v>49</v>
      </c>
      <c r="U561" s="12" t="s">
        <v>2896</v>
      </c>
      <c r="V561" s="8" t="s">
        <v>2897</v>
      </c>
      <c r="W561" s="8" t="s">
        <v>1409</v>
      </c>
      <c r="X561" s="8" t="s">
        <v>108</v>
      </c>
      <c r="Y561" s="8" t="s">
        <v>2898</v>
      </c>
      <c r="Z561" s="8" t="s">
        <v>1831</v>
      </c>
      <c r="AA561" s="8" t="s">
        <v>231</v>
      </c>
      <c r="AB561" s="8" t="s">
        <v>60</v>
      </c>
      <c r="AC561" s="8" t="s">
        <v>219</v>
      </c>
      <c r="AD561" s="8" t="s">
        <v>2011</v>
      </c>
      <c r="AE561" s="8" t="s">
        <v>55</v>
      </c>
      <c r="AF561" s="8" t="s">
        <v>55</v>
      </c>
      <c r="AG561" s="8" t="s">
        <v>63</v>
      </c>
      <c r="AH561" s="8" t="s">
        <v>111</v>
      </c>
      <c r="AI561" s="8" t="s">
        <v>463</v>
      </c>
      <c r="AJ561" s="8" t="s">
        <v>49</v>
      </c>
      <c r="AK561" s="8" t="s">
        <v>1422</v>
      </c>
      <c r="AL561" s="8" t="s">
        <v>2012</v>
      </c>
      <c r="AM561" s="8" t="s">
        <v>2023</v>
      </c>
      <c r="AN561" s="9" t="s">
        <v>2909</v>
      </c>
      <c r="AO561" s="9" t="s">
        <v>2910</v>
      </c>
      <c r="AP561" s="17" t="s">
        <v>2907</v>
      </c>
      <c r="AQ561" s="10" t="s">
        <v>2902</v>
      </c>
      <c r="AR561" s="10" t="s">
        <v>2903</v>
      </c>
      <c r="AS561" s="12"/>
      <c r="AT561" s="10" t="s">
        <v>2904</v>
      </c>
      <c r="AU561" s="10" t="s">
        <v>2905</v>
      </c>
      <c r="AV561" s="13"/>
    </row>
    <row r="562" ht="16.5" hidden="1" customHeight="1">
      <c r="A562" s="7" t="s">
        <v>2911</v>
      </c>
      <c r="B562" s="7" t="s">
        <v>2007</v>
      </c>
      <c r="C562" s="7" t="s">
        <v>213</v>
      </c>
      <c r="D562" s="7" t="s">
        <v>214</v>
      </c>
      <c r="E562" s="7" t="s">
        <v>227</v>
      </c>
      <c r="F562" s="7">
        <v>7044.0</v>
      </c>
      <c r="G562" s="7">
        <v>6765.0</v>
      </c>
      <c r="H562" s="7" t="s">
        <v>53</v>
      </c>
      <c r="I562" s="7" t="s">
        <v>1442</v>
      </c>
      <c r="J562" s="7"/>
      <c r="K562" s="8" t="s">
        <v>2008</v>
      </c>
      <c r="L562" s="8" t="s">
        <v>126</v>
      </c>
      <c r="M562" s="8"/>
      <c r="N562" s="8" t="s">
        <v>85</v>
      </c>
      <c r="O562" s="8" t="s">
        <v>217</v>
      </c>
      <c r="P562" s="8" t="s">
        <v>57</v>
      </c>
      <c r="Q562" s="8" t="s">
        <v>2912</v>
      </c>
      <c r="R562" s="8">
        <v>0.95</v>
      </c>
      <c r="S562" s="8" t="s">
        <v>49</v>
      </c>
      <c r="T562" s="8" t="s">
        <v>49</v>
      </c>
      <c r="U562" s="8" t="s">
        <v>2913</v>
      </c>
      <c r="V562" s="8" t="s">
        <v>443</v>
      </c>
      <c r="W562" s="8" t="s">
        <v>1409</v>
      </c>
      <c r="X562" s="8" t="s">
        <v>108</v>
      </c>
      <c r="Y562" s="8" t="s">
        <v>432</v>
      </c>
      <c r="Z562" s="8" t="s">
        <v>1831</v>
      </c>
      <c r="AA562" s="8" t="s">
        <v>231</v>
      </c>
      <c r="AB562" s="8" t="s">
        <v>60</v>
      </c>
      <c r="AC562" s="8" t="s">
        <v>219</v>
      </c>
      <c r="AD562" s="8" t="s">
        <v>2914</v>
      </c>
      <c r="AE562" s="8" t="s">
        <v>55</v>
      </c>
      <c r="AF562" s="8" t="s">
        <v>55</v>
      </c>
      <c r="AG562" s="8" t="s">
        <v>63</v>
      </c>
      <c r="AH562" s="8" t="s">
        <v>111</v>
      </c>
      <c r="AI562" s="8" t="s">
        <v>65</v>
      </c>
      <c r="AJ562" s="8" t="s">
        <v>49</v>
      </c>
      <c r="AK562" s="8" t="s">
        <v>1422</v>
      </c>
      <c r="AL562" s="8" t="s">
        <v>2012</v>
      </c>
      <c r="AM562" s="8" t="s">
        <v>2013</v>
      </c>
      <c r="AN562" s="9" t="s">
        <v>2915</v>
      </c>
      <c r="AO562" s="9" t="s">
        <v>2916</v>
      </c>
      <c r="AP562" s="10" t="s">
        <v>2016</v>
      </c>
      <c r="AQ562" s="10" t="s">
        <v>2917</v>
      </c>
      <c r="AR562" s="10" t="s">
        <v>2918</v>
      </c>
      <c r="AS562" s="12"/>
      <c r="AT562" s="10" t="s">
        <v>2919</v>
      </c>
      <c r="AU562" s="10" t="s">
        <v>2920</v>
      </c>
      <c r="AV562" s="13"/>
    </row>
    <row r="563" ht="16.5" hidden="1" customHeight="1">
      <c r="A563" s="7" t="s">
        <v>2921</v>
      </c>
      <c r="B563" s="7" t="s">
        <v>2007</v>
      </c>
      <c r="C563" s="7" t="s">
        <v>213</v>
      </c>
      <c r="D563" s="7" t="s">
        <v>214</v>
      </c>
      <c r="E563" s="7" t="s">
        <v>227</v>
      </c>
      <c r="F563" s="7">
        <v>7044.0</v>
      </c>
      <c r="G563" s="7">
        <v>6765.0</v>
      </c>
      <c r="H563" s="7" t="s">
        <v>53</v>
      </c>
      <c r="I563" s="7" t="s">
        <v>1442</v>
      </c>
      <c r="J563" s="7"/>
      <c r="K563" s="8" t="s">
        <v>2008</v>
      </c>
      <c r="L563" s="8" t="s">
        <v>126</v>
      </c>
      <c r="M563" s="8"/>
      <c r="N563" s="8" t="s">
        <v>85</v>
      </c>
      <c r="O563" s="8" t="s">
        <v>217</v>
      </c>
      <c r="P563" s="8" t="s">
        <v>57</v>
      </c>
      <c r="Q563" s="8" t="s">
        <v>2912</v>
      </c>
      <c r="R563" s="23" t="s">
        <v>2762</v>
      </c>
      <c r="S563" s="8" t="s">
        <v>49</v>
      </c>
      <c r="T563" s="8" t="s">
        <v>49</v>
      </c>
      <c r="U563" s="8" t="s">
        <v>2913</v>
      </c>
      <c r="V563" s="8" t="s">
        <v>443</v>
      </c>
      <c r="W563" s="8" t="s">
        <v>1409</v>
      </c>
      <c r="X563" s="8" t="s">
        <v>108</v>
      </c>
      <c r="Y563" s="8" t="s">
        <v>432</v>
      </c>
      <c r="Z563" s="8" t="s">
        <v>1831</v>
      </c>
      <c r="AA563" s="8" t="s">
        <v>231</v>
      </c>
      <c r="AB563" s="8" t="s">
        <v>60</v>
      </c>
      <c r="AC563" s="8" t="s">
        <v>219</v>
      </c>
      <c r="AD563" s="8" t="s">
        <v>2914</v>
      </c>
      <c r="AE563" s="8" t="s">
        <v>55</v>
      </c>
      <c r="AF563" s="8" t="s">
        <v>55</v>
      </c>
      <c r="AG563" s="8" t="s">
        <v>63</v>
      </c>
      <c r="AH563" s="8" t="s">
        <v>111</v>
      </c>
      <c r="AI563" s="8" t="s">
        <v>65</v>
      </c>
      <c r="AJ563" s="8" t="s">
        <v>49</v>
      </c>
      <c r="AK563" s="12" t="s">
        <v>1422</v>
      </c>
      <c r="AL563" s="8" t="s">
        <v>2012</v>
      </c>
      <c r="AM563" s="8" t="s">
        <v>2013</v>
      </c>
      <c r="AN563" s="9" t="s">
        <v>2915</v>
      </c>
      <c r="AO563" s="9" t="s">
        <v>2916</v>
      </c>
      <c r="AP563" s="10" t="s">
        <v>2016</v>
      </c>
      <c r="AQ563" s="10" t="s">
        <v>2917</v>
      </c>
      <c r="AR563" s="10" t="s">
        <v>2918</v>
      </c>
      <c r="AS563" s="12"/>
      <c r="AT563" s="10" t="s">
        <v>2919</v>
      </c>
      <c r="AU563" s="10" t="s">
        <v>2920</v>
      </c>
      <c r="AV563" s="13"/>
    </row>
    <row r="564" ht="16.5" hidden="1" customHeight="1">
      <c r="A564" s="7" t="s">
        <v>2922</v>
      </c>
      <c r="B564" s="7" t="s">
        <v>2007</v>
      </c>
      <c r="C564" s="14" t="s">
        <v>213</v>
      </c>
      <c r="D564" s="14" t="s">
        <v>214</v>
      </c>
      <c r="E564" s="7"/>
      <c r="F564" s="7">
        <v>7045.0</v>
      </c>
      <c r="G564" s="7">
        <v>7042.0</v>
      </c>
      <c r="H564" s="7" t="s">
        <v>53</v>
      </c>
      <c r="I564" s="7" t="s">
        <v>1442</v>
      </c>
      <c r="J564" s="7"/>
      <c r="K564" s="8" t="s">
        <v>2008</v>
      </c>
      <c r="L564" s="8" t="s">
        <v>126</v>
      </c>
      <c r="M564" s="8"/>
      <c r="N564" s="8" t="s">
        <v>85</v>
      </c>
      <c r="O564" s="8" t="s">
        <v>217</v>
      </c>
      <c r="P564" s="8" t="s">
        <v>57</v>
      </c>
      <c r="Q564" s="8" t="s">
        <v>2912</v>
      </c>
      <c r="R564" s="8">
        <v>0.95</v>
      </c>
      <c r="S564" s="8" t="s">
        <v>49</v>
      </c>
      <c r="T564" s="8" t="s">
        <v>49</v>
      </c>
      <c r="U564" s="12" t="s">
        <v>2923</v>
      </c>
      <c r="V564" s="8" t="s">
        <v>2924</v>
      </c>
      <c r="W564" s="8" t="s">
        <v>1409</v>
      </c>
      <c r="X564" s="8" t="s">
        <v>108</v>
      </c>
      <c r="Y564" s="8" t="s">
        <v>2898</v>
      </c>
      <c r="Z564" s="8" t="s">
        <v>1831</v>
      </c>
      <c r="AA564" s="8" t="s">
        <v>231</v>
      </c>
      <c r="AB564" s="8" t="s">
        <v>60</v>
      </c>
      <c r="AC564" s="8" t="s">
        <v>219</v>
      </c>
      <c r="AD564" s="8" t="s">
        <v>2914</v>
      </c>
      <c r="AE564" s="8" t="s">
        <v>55</v>
      </c>
      <c r="AF564" s="8" t="s">
        <v>55</v>
      </c>
      <c r="AG564" s="8" t="s">
        <v>63</v>
      </c>
      <c r="AH564" s="8" t="s">
        <v>111</v>
      </c>
      <c r="AI564" s="8" t="s">
        <v>65</v>
      </c>
      <c r="AJ564" s="8" t="s">
        <v>49</v>
      </c>
      <c r="AK564" s="8" t="s">
        <v>1422</v>
      </c>
      <c r="AL564" s="8" t="s">
        <v>2012</v>
      </c>
      <c r="AM564" s="8" t="s">
        <v>2023</v>
      </c>
      <c r="AN564" s="16" t="s">
        <v>2925</v>
      </c>
      <c r="AO564" s="9" t="s">
        <v>2926</v>
      </c>
      <c r="AP564" s="17" t="s">
        <v>2907</v>
      </c>
      <c r="AQ564" s="10" t="s">
        <v>2927</v>
      </c>
      <c r="AR564" s="10" t="s">
        <v>2928</v>
      </c>
      <c r="AS564" s="12"/>
      <c r="AT564" s="10" t="s">
        <v>2919</v>
      </c>
      <c r="AU564" s="10" t="s">
        <v>2929</v>
      </c>
      <c r="AV564" s="13"/>
    </row>
    <row r="565" ht="16.5" hidden="1" customHeight="1">
      <c r="A565" s="7" t="s">
        <v>2930</v>
      </c>
      <c r="B565" s="7" t="s">
        <v>2007</v>
      </c>
      <c r="C565" s="14" t="s">
        <v>213</v>
      </c>
      <c r="D565" s="14" t="s">
        <v>214</v>
      </c>
      <c r="E565" s="7"/>
      <c r="F565" s="7">
        <v>7046.0</v>
      </c>
      <c r="G565" s="7">
        <v>6765.0</v>
      </c>
      <c r="H565" s="7" t="s">
        <v>53</v>
      </c>
      <c r="I565" s="7" t="s">
        <v>1442</v>
      </c>
      <c r="J565" s="7"/>
      <c r="K565" s="8" t="s">
        <v>2008</v>
      </c>
      <c r="L565" s="8" t="s">
        <v>126</v>
      </c>
      <c r="M565" s="8"/>
      <c r="N565" s="8" t="s">
        <v>85</v>
      </c>
      <c r="O565" s="8" t="s">
        <v>217</v>
      </c>
      <c r="P565" s="8" t="s">
        <v>57</v>
      </c>
      <c r="Q565" s="8" t="s">
        <v>2912</v>
      </c>
      <c r="R565" s="8">
        <v>0.95</v>
      </c>
      <c r="S565" s="8" t="s">
        <v>49</v>
      </c>
      <c r="T565" s="8" t="s">
        <v>49</v>
      </c>
      <c r="U565" s="8" t="s">
        <v>2913</v>
      </c>
      <c r="V565" s="8" t="s">
        <v>443</v>
      </c>
      <c r="W565" s="8" t="s">
        <v>1409</v>
      </c>
      <c r="X565" s="8" t="s">
        <v>108</v>
      </c>
      <c r="Y565" s="8" t="s">
        <v>432</v>
      </c>
      <c r="Z565" s="8" t="s">
        <v>1831</v>
      </c>
      <c r="AA565" s="8" t="s">
        <v>231</v>
      </c>
      <c r="AB565" s="8" t="s">
        <v>60</v>
      </c>
      <c r="AC565" s="8" t="s">
        <v>219</v>
      </c>
      <c r="AD565" s="8" t="s">
        <v>2914</v>
      </c>
      <c r="AE565" s="8" t="s">
        <v>55</v>
      </c>
      <c r="AF565" s="8" t="s">
        <v>55</v>
      </c>
      <c r="AG565" s="8" t="s">
        <v>63</v>
      </c>
      <c r="AH565" s="8" t="s">
        <v>111</v>
      </c>
      <c r="AI565" s="8" t="s">
        <v>463</v>
      </c>
      <c r="AJ565" s="8" t="s">
        <v>49</v>
      </c>
      <c r="AK565" s="8" t="s">
        <v>1422</v>
      </c>
      <c r="AL565" s="8" t="s">
        <v>2012</v>
      </c>
      <c r="AM565" s="8" t="s">
        <v>2023</v>
      </c>
      <c r="AN565" s="9" t="s">
        <v>2931</v>
      </c>
      <c r="AO565" s="9" t="s">
        <v>2932</v>
      </c>
      <c r="AP565" s="10" t="s">
        <v>2016</v>
      </c>
      <c r="AQ565" s="10" t="s">
        <v>2917</v>
      </c>
      <c r="AR565" s="10" t="s">
        <v>2918</v>
      </c>
      <c r="AS565" s="12"/>
      <c r="AT565" s="10" t="s">
        <v>2919</v>
      </c>
      <c r="AU565" s="10" t="s">
        <v>2920</v>
      </c>
      <c r="AV565" s="13"/>
    </row>
    <row r="566" ht="16.5" hidden="1" customHeight="1">
      <c r="A566" s="7" t="s">
        <v>2933</v>
      </c>
      <c r="B566" s="7" t="s">
        <v>2007</v>
      </c>
      <c r="C566" s="14" t="s">
        <v>213</v>
      </c>
      <c r="D566" s="14" t="s">
        <v>214</v>
      </c>
      <c r="E566" s="7"/>
      <c r="F566" s="7">
        <v>7047.0</v>
      </c>
      <c r="G566" s="7">
        <v>7042.0</v>
      </c>
      <c r="H566" s="7" t="s">
        <v>53</v>
      </c>
      <c r="I566" s="7" t="s">
        <v>1442</v>
      </c>
      <c r="J566" s="7"/>
      <c r="K566" s="8" t="s">
        <v>2008</v>
      </c>
      <c r="L566" s="8" t="s">
        <v>126</v>
      </c>
      <c r="M566" s="8"/>
      <c r="N566" s="8" t="s">
        <v>85</v>
      </c>
      <c r="O566" s="8" t="s">
        <v>217</v>
      </c>
      <c r="P566" s="8" t="s">
        <v>57</v>
      </c>
      <c r="Q566" s="8" t="s">
        <v>2912</v>
      </c>
      <c r="R566" s="8">
        <v>0.95</v>
      </c>
      <c r="S566" s="8" t="s">
        <v>49</v>
      </c>
      <c r="T566" s="8" t="s">
        <v>49</v>
      </c>
      <c r="U566" s="12" t="s">
        <v>2923</v>
      </c>
      <c r="V566" s="8" t="s">
        <v>2924</v>
      </c>
      <c r="W566" s="8" t="s">
        <v>1409</v>
      </c>
      <c r="X566" s="8" t="s">
        <v>108</v>
      </c>
      <c r="Y566" s="8" t="s">
        <v>2898</v>
      </c>
      <c r="Z566" s="8" t="s">
        <v>1831</v>
      </c>
      <c r="AA566" s="8" t="s">
        <v>231</v>
      </c>
      <c r="AB566" s="8" t="s">
        <v>60</v>
      </c>
      <c r="AC566" s="8" t="s">
        <v>219</v>
      </c>
      <c r="AD566" s="8" t="s">
        <v>2914</v>
      </c>
      <c r="AE566" s="8" t="s">
        <v>55</v>
      </c>
      <c r="AF566" s="8" t="s">
        <v>55</v>
      </c>
      <c r="AG566" s="8" t="s">
        <v>63</v>
      </c>
      <c r="AH566" s="8" t="s">
        <v>111</v>
      </c>
      <c r="AI566" s="8" t="s">
        <v>463</v>
      </c>
      <c r="AJ566" s="8" t="s">
        <v>49</v>
      </c>
      <c r="AK566" s="8" t="s">
        <v>1422</v>
      </c>
      <c r="AL566" s="8" t="s">
        <v>2012</v>
      </c>
      <c r="AM566" s="8" t="s">
        <v>2023</v>
      </c>
      <c r="AN566" s="9" t="s">
        <v>2934</v>
      </c>
      <c r="AO566" s="9" t="s">
        <v>2935</v>
      </c>
      <c r="AP566" s="17" t="s">
        <v>2907</v>
      </c>
      <c r="AQ566" s="10" t="s">
        <v>2927</v>
      </c>
      <c r="AR566" s="10" t="s">
        <v>2928</v>
      </c>
      <c r="AS566" s="12"/>
      <c r="AT566" s="10" t="s">
        <v>2919</v>
      </c>
      <c r="AU566" s="10" t="s">
        <v>2929</v>
      </c>
      <c r="AV566" s="15">
        <v>46315.0</v>
      </c>
    </row>
    <row r="567" ht="16.5" hidden="1" customHeight="1">
      <c r="A567" s="7" t="s">
        <v>2936</v>
      </c>
      <c r="B567" s="7" t="s">
        <v>49</v>
      </c>
      <c r="C567" s="7" t="s">
        <v>885</v>
      </c>
      <c r="D567" s="7" t="s">
        <v>886</v>
      </c>
      <c r="E567" s="7" t="s">
        <v>227</v>
      </c>
      <c r="F567" s="7">
        <v>7048.0</v>
      </c>
      <c r="G567" s="7"/>
      <c r="H567" s="7" t="s">
        <v>53</v>
      </c>
      <c r="I567" s="7"/>
      <c r="J567" s="7"/>
      <c r="K567" s="8" t="s">
        <v>84</v>
      </c>
      <c r="L567" s="8" t="s">
        <v>126</v>
      </c>
      <c r="M567" s="8"/>
      <c r="N567" s="8" t="s">
        <v>1610</v>
      </c>
      <c r="O567" s="8" t="s">
        <v>217</v>
      </c>
      <c r="P567" s="8" t="s">
        <v>57</v>
      </c>
      <c r="Q567" s="8" t="s">
        <v>1887</v>
      </c>
      <c r="R567" s="8">
        <v>0.4</v>
      </c>
      <c r="S567" s="8" t="s">
        <v>49</v>
      </c>
      <c r="T567" s="8" t="s">
        <v>49</v>
      </c>
      <c r="U567" s="8" t="s">
        <v>2937</v>
      </c>
      <c r="V567" s="8" t="s">
        <v>443</v>
      </c>
      <c r="W567" s="8" t="s">
        <v>1536</v>
      </c>
      <c r="X567" s="8" t="s">
        <v>1797</v>
      </c>
      <c r="Y567" s="8" t="s">
        <v>2938</v>
      </c>
      <c r="Z567" s="8" t="s">
        <v>1831</v>
      </c>
      <c r="AA567" s="8" t="s">
        <v>231</v>
      </c>
      <c r="AB567" s="8" t="s">
        <v>60</v>
      </c>
      <c r="AC567" s="8" t="s">
        <v>888</v>
      </c>
      <c r="AD567" s="8" t="s">
        <v>2939</v>
      </c>
      <c r="AE567" s="8" t="s">
        <v>55</v>
      </c>
      <c r="AF567" s="8" t="s">
        <v>55</v>
      </c>
      <c r="AG567" s="8" t="s">
        <v>63</v>
      </c>
      <c r="AH567" s="8" t="s">
        <v>145</v>
      </c>
      <c r="AI567" s="8" t="s">
        <v>94</v>
      </c>
      <c r="AJ567" s="8" t="s">
        <v>49</v>
      </c>
      <c r="AK567" s="8" t="s">
        <v>2940</v>
      </c>
      <c r="AL567" s="8" t="s">
        <v>720</v>
      </c>
      <c r="AM567" s="8" t="s">
        <v>2941</v>
      </c>
      <c r="AN567" s="9" t="s">
        <v>2942</v>
      </c>
      <c r="AO567" s="9" t="s">
        <v>2943</v>
      </c>
      <c r="AP567" s="10" t="s">
        <v>2944</v>
      </c>
      <c r="AQ567" s="10" t="s">
        <v>2945</v>
      </c>
      <c r="AR567" s="10" t="s">
        <v>2946</v>
      </c>
      <c r="AS567" s="12"/>
      <c r="AT567" s="10" t="s">
        <v>2947</v>
      </c>
      <c r="AU567" s="10" t="s">
        <v>2948</v>
      </c>
      <c r="AV567" s="13"/>
    </row>
    <row r="568" ht="16.5" hidden="1" customHeight="1">
      <c r="A568" s="7" t="s">
        <v>2949</v>
      </c>
      <c r="B568" s="7" t="s">
        <v>49</v>
      </c>
      <c r="C568" s="7" t="s">
        <v>213</v>
      </c>
      <c r="D568" s="7" t="s">
        <v>214</v>
      </c>
      <c r="E568" s="7" t="s">
        <v>227</v>
      </c>
      <c r="F568" s="7">
        <v>7049.0</v>
      </c>
      <c r="G568" s="7"/>
      <c r="H568" s="7" t="s">
        <v>53</v>
      </c>
      <c r="I568" s="7"/>
      <c r="J568" s="7"/>
      <c r="K568" s="8" t="s">
        <v>1534</v>
      </c>
      <c r="L568" s="8" t="s">
        <v>126</v>
      </c>
      <c r="M568" s="8"/>
      <c r="N568" s="8" t="s">
        <v>1610</v>
      </c>
      <c r="O568" s="8" t="s">
        <v>56</v>
      </c>
      <c r="P568" s="8" t="s">
        <v>57</v>
      </c>
      <c r="Q568" s="8" t="s">
        <v>140</v>
      </c>
      <c r="R568" s="8">
        <v>0.95</v>
      </c>
      <c r="S568" s="8" t="s">
        <v>49</v>
      </c>
      <c r="T568" s="8" t="s">
        <v>49</v>
      </c>
      <c r="U568" s="8" t="s">
        <v>2950</v>
      </c>
      <c r="V568" s="8" t="s">
        <v>1493</v>
      </c>
      <c r="W568" s="8" t="s">
        <v>89</v>
      </c>
      <c r="X568" s="8" t="s">
        <v>108</v>
      </c>
      <c r="Y568" s="8" t="s">
        <v>2951</v>
      </c>
      <c r="Z568" s="8" t="s">
        <v>92</v>
      </c>
      <c r="AA568" s="8" t="s">
        <v>231</v>
      </c>
      <c r="AB568" s="8" t="s">
        <v>60</v>
      </c>
      <c r="AC568" s="8" t="s">
        <v>219</v>
      </c>
      <c r="AD568" s="8" t="s">
        <v>2952</v>
      </c>
      <c r="AE568" s="8" t="s">
        <v>55</v>
      </c>
      <c r="AF568" s="8" t="s">
        <v>55</v>
      </c>
      <c r="AG568" s="8" t="s">
        <v>63</v>
      </c>
      <c r="AH568" s="8" t="s">
        <v>111</v>
      </c>
      <c r="AI568" s="8" t="s">
        <v>112</v>
      </c>
      <c r="AJ568" s="8" t="s">
        <v>49</v>
      </c>
      <c r="AK568" s="8" t="s">
        <v>49</v>
      </c>
      <c r="AL568" s="8" t="s">
        <v>720</v>
      </c>
      <c r="AM568" s="8" t="s">
        <v>2953</v>
      </c>
      <c r="AN568" s="9" t="s">
        <v>2954</v>
      </c>
      <c r="AO568" s="9" t="s">
        <v>2955</v>
      </c>
      <c r="AP568" s="10" t="s">
        <v>2956</v>
      </c>
      <c r="AQ568" s="10" t="s">
        <v>2957</v>
      </c>
      <c r="AR568" s="10" t="s">
        <v>2958</v>
      </c>
      <c r="AS568" s="12"/>
      <c r="AT568" s="10" t="s">
        <v>2959</v>
      </c>
      <c r="AU568" s="10" t="s">
        <v>2960</v>
      </c>
      <c r="AV568" s="13"/>
    </row>
    <row r="569" ht="16.5" hidden="1" customHeight="1">
      <c r="A569" s="7" t="s">
        <v>2961</v>
      </c>
      <c r="B569" s="7" t="s">
        <v>49</v>
      </c>
      <c r="C569" s="7" t="s">
        <v>213</v>
      </c>
      <c r="D569" s="7" t="s">
        <v>214</v>
      </c>
      <c r="E569" s="7" t="s">
        <v>227</v>
      </c>
      <c r="F569" s="7">
        <v>7049.0</v>
      </c>
      <c r="G569" s="7">
        <v>7049.0</v>
      </c>
      <c r="H569" s="7" t="s">
        <v>53</v>
      </c>
      <c r="I569" s="7"/>
      <c r="J569" s="7"/>
      <c r="K569" s="8" t="s">
        <v>1534</v>
      </c>
      <c r="L569" s="8" t="s">
        <v>126</v>
      </c>
      <c r="M569" s="12" t="s">
        <v>1549</v>
      </c>
      <c r="N569" s="8" t="s">
        <v>1610</v>
      </c>
      <c r="O569" s="8" t="s">
        <v>56</v>
      </c>
      <c r="P569" s="8" t="s">
        <v>57</v>
      </c>
      <c r="Q569" s="8" t="s">
        <v>140</v>
      </c>
      <c r="R569" s="8">
        <v>0.9</v>
      </c>
      <c r="S569" s="8" t="s">
        <v>49</v>
      </c>
      <c r="T569" s="8" t="s">
        <v>49</v>
      </c>
      <c r="U569" s="8" t="s">
        <v>2950</v>
      </c>
      <c r="V569" s="8" t="s">
        <v>1493</v>
      </c>
      <c r="W569" s="8" t="s">
        <v>89</v>
      </c>
      <c r="X569" s="8" t="s">
        <v>108</v>
      </c>
      <c r="Y569" s="8" t="s">
        <v>2951</v>
      </c>
      <c r="Z569" s="8" t="s">
        <v>92</v>
      </c>
      <c r="AA569" s="8" t="s">
        <v>231</v>
      </c>
      <c r="AB569" s="8" t="s">
        <v>60</v>
      </c>
      <c r="AC569" s="8" t="s">
        <v>219</v>
      </c>
      <c r="AD569" s="8" t="s">
        <v>2952</v>
      </c>
      <c r="AE569" s="8" t="s">
        <v>55</v>
      </c>
      <c r="AF569" s="8" t="s">
        <v>55</v>
      </c>
      <c r="AG569" s="8" t="s">
        <v>63</v>
      </c>
      <c r="AH569" s="8" t="s">
        <v>111</v>
      </c>
      <c r="AI569" s="8" t="s">
        <v>112</v>
      </c>
      <c r="AJ569" s="8" t="s">
        <v>49</v>
      </c>
      <c r="AK569" s="8" t="s">
        <v>2940</v>
      </c>
      <c r="AL569" s="8" t="s">
        <v>720</v>
      </c>
      <c r="AM569" s="8" t="s">
        <v>2953</v>
      </c>
      <c r="AN569" s="16" t="s">
        <v>2954</v>
      </c>
      <c r="AO569" s="9" t="s">
        <v>2955</v>
      </c>
      <c r="AP569" s="10" t="s">
        <v>2956</v>
      </c>
      <c r="AQ569" s="10" t="s">
        <v>2957</v>
      </c>
      <c r="AR569" s="10" t="s">
        <v>2958</v>
      </c>
      <c r="AS569" s="12"/>
      <c r="AT569" s="10" t="s">
        <v>2959</v>
      </c>
      <c r="AU569" s="10" t="s">
        <v>2960</v>
      </c>
      <c r="AV569" s="13"/>
    </row>
    <row r="570" ht="16.5" hidden="1" customHeight="1">
      <c r="A570" s="7" t="s">
        <v>2962</v>
      </c>
      <c r="B570" s="14" t="s">
        <v>49</v>
      </c>
      <c r="C570" s="14" t="s">
        <v>213</v>
      </c>
      <c r="D570" s="14" t="s">
        <v>214</v>
      </c>
      <c r="E570" s="7"/>
      <c r="F570" s="7">
        <v>7050.0</v>
      </c>
      <c r="G570" s="7">
        <v>7049.0</v>
      </c>
      <c r="H570" s="7" t="s">
        <v>53</v>
      </c>
      <c r="I570" s="7"/>
      <c r="J570" s="7"/>
      <c r="K570" s="8" t="s">
        <v>1534</v>
      </c>
      <c r="L570" s="8" t="s">
        <v>126</v>
      </c>
      <c r="M570" s="12" t="s">
        <v>1549</v>
      </c>
      <c r="N570" s="8" t="s">
        <v>1610</v>
      </c>
      <c r="O570" s="8" t="s">
        <v>56</v>
      </c>
      <c r="P570" s="8" t="s">
        <v>57</v>
      </c>
      <c r="Q570" s="8" t="s">
        <v>140</v>
      </c>
      <c r="R570" s="8">
        <v>0.9</v>
      </c>
      <c r="S570" s="8" t="s">
        <v>49</v>
      </c>
      <c r="T570" s="8" t="s">
        <v>49</v>
      </c>
      <c r="U570" s="8" t="s">
        <v>2950</v>
      </c>
      <c r="V570" s="8" t="s">
        <v>1493</v>
      </c>
      <c r="W570" s="8" t="s">
        <v>89</v>
      </c>
      <c r="X570" s="8" t="s">
        <v>108</v>
      </c>
      <c r="Y570" s="8" t="s">
        <v>2951</v>
      </c>
      <c r="Z570" s="8" t="s">
        <v>92</v>
      </c>
      <c r="AA570" s="8" t="s">
        <v>231</v>
      </c>
      <c r="AB570" s="8" t="s">
        <v>60</v>
      </c>
      <c r="AC570" s="8" t="s">
        <v>219</v>
      </c>
      <c r="AD570" s="8" t="s">
        <v>2952</v>
      </c>
      <c r="AE570" s="8" t="s">
        <v>55</v>
      </c>
      <c r="AF570" s="8" t="s">
        <v>55</v>
      </c>
      <c r="AG570" s="8" t="s">
        <v>63</v>
      </c>
      <c r="AH570" s="8" t="s">
        <v>111</v>
      </c>
      <c r="AI570" s="8" t="s">
        <v>94</v>
      </c>
      <c r="AJ570" s="8" t="s">
        <v>49</v>
      </c>
      <c r="AK570" s="8" t="s">
        <v>2940</v>
      </c>
      <c r="AL570" s="8" t="s">
        <v>720</v>
      </c>
      <c r="AM570" s="8"/>
      <c r="AN570" s="9" t="s">
        <v>2963</v>
      </c>
      <c r="AO570" s="9" t="s">
        <v>2964</v>
      </c>
      <c r="AP570" s="10" t="s">
        <v>2956</v>
      </c>
      <c r="AQ570" s="10" t="s">
        <v>2957</v>
      </c>
      <c r="AR570" s="10" t="s">
        <v>2958</v>
      </c>
      <c r="AS570" s="12"/>
      <c r="AT570" s="10" t="s">
        <v>2959</v>
      </c>
      <c r="AU570" s="10" t="s">
        <v>2960</v>
      </c>
      <c r="AV570" s="15">
        <v>46315.0</v>
      </c>
    </row>
    <row r="571" ht="16.5" hidden="1" customHeight="1">
      <c r="A571" s="7" t="s">
        <v>2965</v>
      </c>
      <c r="B571" s="7" t="s">
        <v>49</v>
      </c>
      <c r="C571" s="7" t="s">
        <v>213</v>
      </c>
      <c r="D571" s="7" t="s">
        <v>214</v>
      </c>
      <c r="E571" s="7" t="s">
        <v>227</v>
      </c>
      <c r="F571" s="7">
        <v>7051.0</v>
      </c>
      <c r="G571" s="7"/>
      <c r="H571" s="7" t="s">
        <v>53</v>
      </c>
      <c r="I571" s="7"/>
      <c r="J571" s="7"/>
      <c r="K571" s="8" t="s">
        <v>2534</v>
      </c>
      <c r="L571" s="8" t="s">
        <v>126</v>
      </c>
      <c r="M571" s="8"/>
      <c r="N571" s="8" t="s">
        <v>1610</v>
      </c>
      <c r="O571" s="8" t="s">
        <v>56</v>
      </c>
      <c r="P571" s="8" t="s">
        <v>57</v>
      </c>
      <c r="Q571" s="8" t="s">
        <v>2088</v>
      </c>
      <c r="R571" s="8">
        <v>0.96</v>
      </c>
      <c r="S571" s="8" t="s">
        <v>49</v>
      </c>
      <c r="T571" s="8" t="s">
        <v>49</v>
      </c>
      <c r="U571" s="8" t="s">
        <v>2966</v>
      </c>
      <c r="V571" s="8" t="s">
        <v>2967</v>
      </c>
      <c r="W571" s="8" t="s">
        <v>89</v>
      </c>
      <c r="X571" s="8" t="s">
        <v>108</v>
      </c>
      <c r="Y571" s="8" t="s">
        <v>2968</v>
      </c>
      <c r="Z571" s="8" t="s">
        <v>2969</v>
      </c>
      <c r="AA571" s="8" t="s">
        <v>231</v>
      </c>
      <c r="AB571" s="8" t="s">
        <v>60</v>
      </c>
      <c r="AC571" s="8" t="s">
        <v>219</v>
      </c>
      <c r="AD571" s="8" t="s">
        <v>2970</v>
      </c>
      <c r="AE571" s="8" t="s">
        <v>55</v>
      </c>
      <c r="AF571" s="8" t="s">
        <v>55</v>
      </c>
      <c r="AG571" s="8" t="s">
        <v>63</v>
      </c>
      <c r="AH571" s="8" t="s">
        <v>145</v>
      </c>
      <c r="AI571" s="8" t="s">
        <v>112</v>
      </c>
      <c r="AJ571" s="8" t="s">
        <v>49</v>
      </c>
      <c r="AK571" s="8" t="s">
        <v>49</v>
      </c>
      <c r="AL571" s="8" t="s">
        <v>720</v>
      </c>
      <c r="AM571" s="8" t="s">
        <v>2953</v>
      </c>
      <c r="AN571" s="9" t="s">
        <v>2971</v>
      </c>
      <c r="AO571" s="9" t="s">
        <v>2972</v>
      </c>
      <c r="AP571" s="10" t="s">
        <v>2973</v>
      </c>
      <c r="AQ571" s="10" t="s">
        <v>2974</v>
      </c>
      <c r="AR571" s="10" t="s">
        <v>2975</v>
      </c>
      <c r="AS571" s="12"/>
      <c r="AT571" s="10" t="s">
        <v>2976</v>
      </c>
      <c r="AU571" s="10" t="s">
        <v>2977</v>
      </c>
      <c r="AV571" s="13"/>
    </row>
    <row r="572" ht="16.5" hidden="1" customHeight="1">
      <c r="A572" s="7" t="s">
        <v>2978</v>
      </c>
      <c r="B572" s="7" t="s">
        <v>49</v>
      </c>
      <c r="C572" s="7" t="s">
        <v>213</v>
      </c>
      <c r="D572" s="7" t="s">
        <v>214</v>
      </c>
      <c r="E572" s="7" t="s">
        <v>227</v>
      </c>
      <c r="F572" s="7">
        <v>7051.0</v>
      </c>
      <c r="G572" s="7">
        <v>7051.0</v>
      </c>
      <c r="H572" s="7" t="s">
        <v>53</v>
      </c>
      <c r="I572" s="7"/>
      <c r="J572" s="7"/>
      <c r="K572" s="8" t="s">
        <v>2534</v>
      </c>
      <c r="L572" s="8" t="s">
        <v>126</v>
      </c>
      <c r="M572" s="12" t="s">
        <v>1549</v>
      </c>
      <c r="N572" s="8" t="s">
        <v>1610</v>
      </c>
      <c r="O572" s="8" t="s">
        <v>56</v>
      </c>
      <c r="P572" s="8" t="s">
        <v>57</v>
      </c>
      <c r="Q572" s="8" t="s">
        <v>2088</v>
      </c>
      <c r="R572" s="8">
        <v>0.9</v>
      </c>
      <c r="S572" s="8" t="s">
        <v>49</v>
      </c>
      <c r="T572" s="8" t="s">
        <v>49</v>
      </c>
      <c r="U572" s="8" t="s">
        <v>2966</v>
      </c>
      <c r="V572" s="8" t="s">
        <v>2967</v>
      </c>
      <c r="W572" s="8" t="s">
        <v>89</v>
      </c>
      <c r="X572" s="8" t="s">
        <v>108</v>
      </c>
      <c r="Y572" s="8" t="s">
        <v>2968</v>
      </c>
      <c r="Z572" s="8" t="s">
        <v>2969</v>
      </c>
      <c r="AA572" s="8" t="s">
        <v>231</v>
      </c>
      <c r="AB572" s="8" t="s">
        <v>60</v>
      </c>
      <c r="AC572" s="8" t="s">
        <v>219</v>
      </c>
      <c r="AD572" s="8" t="s">
        <v>2970</v>
      </c>
      <c r="AE572" s="8" t="s">
        <v>55</v>
      </c>
      <c r="AF572" s="8" t="s">
        <v>55</v>
      </c>
      <c r="AG572" s="8" t="s">
        <v>63</v>
      </c>
      <c r="AH572" s="8" t="s">
        <v>145</v>
      </c>
      <c r="AI572" s="8" t="s">
        <v>112</v>
      </c>
      <c r="AJ572" s="8" t="s">
        <v>49</v>
      </c>
      <c r="AK572" s="8" t="s">
        <v>2940</v>
      </c>
      <c r="AL572" s="8" t="s">
        <v>720</v>
      </c>
      <c r="AM572" s="8" t="s">
        <v>2953</v>
      </c>
      <c r="AN572" s="9" t="s">
        <v>2971</v>
      </c>
      <c r="AO572" s="9" t="s">
        <v>2972</v>
      </c>
      <c r="AP572" s="10" t="s">
        <v>2973</v>
      </c>
      <c r="AQ572" s="10" t="s">
        <v>2974</v>
      </c>
      <c r="AR572" s="10" t="s">
        <v>2975</v>
      </c>
      <c r="AS572" s="12"/>
      <c r="AT572" s="10" t="s">
        <v>2976</v>
      </c>
      <c r="AU572" s="10" t="s">
        <v>2977</v>
      </c>
      <c r="AV572" s="15">
        <v>46315.0</v>
      </c>
    </row>
    <row r="573" ht="16.5" hidden="1" customHeight="1">
      <c r="A573" s="7" t="s">
        <v>2979</v>
      </c>
      <c r="B573" s="14" t="s">
        <v>49</v>
      </c>
      <c r="C573" s="14" t="s">
        <v>213</v>
      </c>
      <c r="D573" s="14" t="s">
        <v>214</v>
      </c>
      <c r="E573" s="7"/>
      <c r="F573" s="7">
        <v>7052.0</v>
      </c>
      <c r="G573" s="7">
        <v>7051.0</v>
      </c>
      <c r="H573" s="7" t="s">
        <v>53</v>
      </c>
      <c r="I573" s="7"/>
      <c r="J573" s="7"/>
      <c r="K573" s="8" t="s">
        <v>2534</v>
      </c>
      <c r="L573" s="8" t="s">
        <v>126</v>
      </c>
      <c r="M573" s="12" t="s">
        <v>1549</v>
      </c>
      <c r="N573" s="8" t="s">
        <v>1610</v>
      </c>
      <c r="O573" s="8" t="s">
        <v>56</v>
      </c>
      <c r="P573" s="8" t="s">
        <v>57</v>
      </c>
      <c r="Q573" s="8" t="s">
        <v>2088</v>
      </c>
      <c r="R573" s="8">
        <v>0.9</v>
      </c>
      <c r="S573" s="8" t="s">
        <v>49</v>
      </c>
      <c r="T573" s="8" t="s">
        <v>49</v>
      </c>
      <c r="U573" s="8" t="s">
        <v>2966</v>
      </c>
      <c r="V573" s="8" t="s">
        <v>2967</v>
      </c>
      <c r="W573" s="8" t="s">
        <v>89</v>
      </c>
      <c r="X573" s="8" t="s">
        <v>108</v>
      </c>
      <c r="Y573" s="8" t="s">
        <v>2968</v>
      </c>
      <c r="Z573" s="8" t="s">
        <v>2969</v>
      </c>
      <c r="AA573" s="8" t="s">
        <v>231</v>
      </c>
      <c r="AB573" s="8" t="s">
        <v>60</v>
      </c>
      <c r="AC573" s="8" t="s">
        <v>219</v>
      </c>
      <c r="AD573" s="8" t="s">
        <v>2970</v>
      </c>
      <c r="AE573" s="8" t="s">
        <v>55</v>
      </c>
      <c r="AF573" s="8" t="s">
        <v>55</v>
      </c>
      <c r="AG573" s="8" t="s">
        <v>63</v>
      </c>
      <c r="AH573" s="8" t="s">
        <v>145</v>
      </c>
      <c r="AI573" s="8" t="s">
        <v>94</v>
      </c>
      <c r="AJ573" s="8" t="s">
        <v>49</v>
      </c>
      <c r="AK573" s="8" t="s">
        <v>2940</v>
      </c>
      <c r="AL573" s="8" t="s">
        <v>720</v>
      </c>
      <c r="AM573" s="8"/>
      <c r="AN573" s="9" t="s">
        <v>2980</v>
      </c>
      <c r="AO573" s="9" t="s">
        <v>2981</v>
      </c>
      <c r="AP573" s="10" t="s">
        <v>2973</v>
      </c>
      <c r="AQ573" s="10" t="s">
        <v>2974</v>
      </c>
      <c r="AR573" s="10" t="s">
        <v>2975</v>
      </c>
      <c r="AS573" s="12"/>
      <c r="AT573" s="10" t="s">
        <v>2976</v>
      </c>
      <c r="AU573" s="10" t="s">
        <v>2977</v>
      </c>
      <c r="AV573" s="13"/>
    </row>
    <row r="574" ht="16.5" hidden="1" customHeight="1">
      <c r="A574" s="7" t="s">
        <v>2982</v>
      </c>
      <c r="B574" s="7" t="s">
        <v>49</v>
      </c>
      <c r="C574" s="7" t="s">
        <v>213</v>
      </c>
      <c r="D574" s="7" t="s">
        <v>214</v>
      </c>
      <c r="E574" s="7" t="s">
        <v>227</v>
      </c>
      <c r="F574" s="7">
        <v>7053.0</v>
      </c>
      <c r="G574" s="7"/>
      <c r="H574" s="7" t="s">
        <v>53</v>
      </c>
      <c r="I574" s="7"/>
      <c r="J574" s="7"/>
      <c r="K574" s="8" t="s">
        <v>84</v>
      </c>
      <c r="L574" s="8" t="s">
        <v>1403</v>
      </c>
      <c r="M574" s="8"/>
      <c r="N574" s="8" t="s">
        <v>1610</v>
      </c>
      <c r="O574" s="8" t="s">
        <v>56</v>
      </c>
      <c r="P574" s="8" t="s">
        <v>57</v>
      </c>
      <c r="Q574" s="8" t="s">
        <v>2983</v>
      </c>
      <c r="R574" s="8">
        <v>0.93</v>
      </c>
      <c r="S574" s="8" t="s">
        <v>49</v>
      </c>
      <c r="T574" s="8" t="s">
        <v>49</v>
      </c>
      <c r="U574" s="8" t="s">
        <v>2984</v>
      </c>
      <c r="V574" s="8" t="s">
        <v>1711</v>
      </c>
      <c r="W574" s="8" t="s">
        <v>89</v>
      </c>
      <c r="X574" s="8" t="s">
        <v>108</v>
      </c>
      <c r="Y574" s="8" t="s">
        <v>2985</v>
      </c>
      <c r="Z574" s="8" t="s">
        <v>1852</v>
      </c>
      <c r="AA574" s="8" t="s">
        <v>231</v>
      </c>
      <c r="AB574" s="8" t="s">
        <v>60</v>
      </c>
      <c r="AC574" s="8" t="s">
        <v>219</v>
      </c>
      <c r="AD574" s="8" t="s">
        <v>2986</v>
      </c>
      <c r="AE574" s="8" t="s">
        <v>55</v>
      </c>
      <c r="AF574" s="8" t="s">
        <v>55</v>
      </c>
      <c r="AG574" s="8" t="s">
        <v>63</v>
      </c>
      <c r="AH574" s="8" t="s">
        <v>111</v>
      </c>
      <c r="AI574" s="8" t="s">
        <v>112</v>
      </c>
      <c r="AJ574" s="8" t="s">
        <v>49</v>
      </c>
      <c r="AK574" s="8" t="s">
        <v>49</v>
      </c>
      <c r="AL574" s="8" t="s">
        <v>720</v>
      </c>
      <c r="AM574" s="8" t="s">
        <v>2987</v>
      </c>
      <c r="AN574" s="9" t="s">
        <v>2988</v>
      </c>
      <c r="AO574" s="9" t="s">
        <v>2989</v>
      </c>
      <c r="AP574" s="10" t="s">
        <v>2990</v>
      </c>
      <c r="AQ574" s="10" t="s">
        <v>2991</v>
      </c>
      <c r="AR574" s="10" t="s">
        <v>2992</v>
      </c>
      <c r="AS574" s="12"/>
      <c r="AT574" s="10" t="s">
        <v>2993</v>
      </c>
      <c r="AU574" s="10" t="s">
        <v>2994</v>
      </c>
      <c r="AV574" s="13"/>
    </row>
    <row r="575" ht="16.5" hidden="1" customHeight="1">
      <c r="A575" s="7" t="s">
        <v>2995</v>
      </c>
      <c r="B575" s="7" t="s">
        <v>49</v>
      </c>
      <c r="C575" s="7" t="s">
        <v>213</v>
      </c>
      <c r="D575" s="7" t="s">
        <v>214</v>
      </c>
      <c r="E575" s="7" t="s">
        <v>227</v>
      </c>
      <c r="F575" s="7">
        <v>7053.0</v>
      </c>
      <c r="G575" s="7">
        <v>7053.0</v>
      </c>
      <c r="H575" s="7" t="s">
        <v>53</v>
      </c>
      <c r="I575" s="7"/>
      <c r="J575" s="7"/>
      <c r="K575" s="8" t="s">
        <v>84</v>
      </c>
      <c r="L575" s="8" t="s">
        <v>1403</v>
      </c>
      <c r="M575" s="8"/>
      <c r="N575" s="8" t="s">
        <v>1610</v>
      </c>
      <c r="O575" s="8" t="s">
        <v>56</v>
      </c>
      <c r="P575" s="8" t="s">
        <v>57</v>
      </c>
      <c r="Q575" s="8" t="s">
        <v>2983</v>
      </c>
      <c r="R575" s="8">
        <v>0.9</v>
      </c>
      <c r="S575" s="8" t="s">
        <v>49</v>
      </c>
      <c r="T575" s="8" t="s">
        <v>49</v>
      </c>
      <c r="U575" s="8" t="s">
        <v>2984</v>
      </c>
      <c r="V575" s="8" t="s">
        <v>1711</v>
      </c>
      <c r="W575" s="8" t="s">
        <v>89</v>
      </c>
      <c r="X575" s="8" t="s">
        <v>108</v>
      </c>
      <c r="Y575" s="8" t="s">
        <v>2985</v>
      </c>
      <c r="Z575" s="8" t="s">
        <v>1852</v>
      </c>
      <c r="AA575" s="8" t="s">
        <v>231</v>
      </c>
      <c r="AB575" s="8" t="s">
        <v>60</v>
      </c>
      <c r="AC575" s="8" t="s">
        <v>219</v>
      </c>
      <c r="AD575" s="8" t="s">
        <v>2986</v>
      </c>
      <c r="AE575" s="8" t="s">
        <v>55</v>
      </c>
      <c r="AF575" s="8" t="s">
        <v>55</v>
      </c>
      <c r="AG575" s="8" t="s">
        <v>63</v>
      </c>
      <c r="AH575" s="8" t="s">
        <v>111</v>
      </c>
      <c r="AI575" s="8" t="s">
        <v>112</v>
      </c>
      <c r="AJ575" s="8" t="s">
        <v>49</v>
      </c>
      <c r="AK575" s="8" t="s">
        <v>2940</v>
      </c>
      <c r="AL575" s="8" t="s">
        <v>720</v>
      </c>
      <c r="AM575" s="8" t="s">
        <v>2987</v>
      </c>
      <c r="AN575" s="16" t="s">
        <v>2988</v>
      </c>
      <c r="AO575" s="9" t="s">
        <v>2989</v>
      </c>
      <c r="AP575" s="10" t="s">
        <v>2990</v>
      </c>
      <c r="AQ575" s="10" t="s">
        <v>2991</v>
      </c>
      <c r="AR575" s="10" t="s">
        <v>2992</v>
      </c>
      <c r="AS575" s="12"/>
      <c r="AT575" s="10" t="s">
        <v>2993</v>
      </c>
      <c r="AU575" s="10" t="s">
        <v>2994</v>
      </c>
      <c r="AV575" s="13"/>
    </row>
    <row r="576" ht="16.5" hidden="1" customHeight="1">
      <c r="A576" s="7" t="s">
        <v>2996</v>
      </c>
      <c r="B576" s="14" t="s">
        <v>49</v>
      </c>
      <c r="C576" s="14" t="s">
        <v>213</v>
      </c>
      <c r="D576" s="14" t="s">
        <v>214</v>
      </c>
      <c r="E576" s="7"/>
      <c r="F576" s="7">
        <v>7054.0</v>
      </c>
      <c r="G576" s="7">
        <v>7053.0</v>
      </c>
      <c r="H576" s="7" t="s">
        <v>53</v>
      </c>
      <c r="I576" s="7"/>
      <c r="J576" s="7"/>
      <c r="K576" s="8" t="s">
        <v>84</v>
      </c>
      <c r="L576" s="8" t="s">
        <v>1403</v>
      </c>
      <c r="M576" s="8"/>
      <c r="N576" s="8" t="s">
        <v>1610</v>
      </c>
      <c r="O576" s="8" t="s">
        <v>56</v>
      </c>
      <c r="P576" s="8" t="s">
        <v>57</v>
      </c>
      <c r="Q576" s="8" t="s">
        <v>2983</v>
      </c>
      <c r="R576" s="8">
        <v>0.9</v>
      </c>
      <c r="S576" s="8" t="s">
        <v>49</v>
      </c>
      <c r="T576" s="8" t="s">
        <v>49</v>
      </c>
      <c r="U576" s="8" t="s">
        <v>2984</v>
      </c>
      <c r="V576" s="8" t="s">
        <v>1711</v>
      </c>
      <c r="W576" s="8" t="s">
        <v>89</v>
      </c>
      <c r="X576" s="8" t="s">
        <v>108</v>
      </c>
      <c r="Y576" s="8" t="s">
        <v>2985</v>
      </c>
      <c r="Z576" s="8" t="s">
        <v>1852</v>
      </c>
      <c r="AA576" s="8" t="s">
        <v>231</v>
      </c>
      <c r="AB576" s="8" t="s">
        <v>60</v>
      </c>
      <c r="AC576" s="8" t="s">
        <v>219</v>
      </c>
      <c r="AD576" s="8" t="s">
        <v>2986</v>
      </c>
      <c r="AE576" s="8" t="s">
        <v>55</v>
      </c>
      <c r="AF576" s="8" t="s">
        <v>55</v>
      </c>
      <c r="AG576" s="8" t="s">
        <v>63</v>
      </c>
      <c r="AH576" s="8" t="s">
        <v>111</v>
      </c>
      <c r="AI576" s="8" t="s">
        <v>94</v>
      </c>
      <c r="AJ576" s="8" t="s">
        <v>49</v>
      </c>
      <c r="AK576" s="8" t="s">
        <v>2940</v>
      </c>
      <c r="AL576" s="8" t="s">
        <v>720</v>
      </c>
      <c r="AM576" s="8"/>
      <c r="AN576" s="9" t="s">
        <v>2997</v>
      </c>
      <c r="AO576" s="9" t="s">
        <v>2998</v>
      </c>
      <c r="AP576" s="10" t="s">
        <v>2990</v>
      </c>
      <c r="AQ576" s="10" t="s">
        <v>2991</v>
      </c>
      <c r="AR576" s="10" t="s">
        <v>2992</v>
      </c>
      <c r="AS576" s="12"/>
      <c r="AT576" s="10" t="s">
        <v>2993</v>
      </c>
      <c r="AU576" s="10" t="s">
        <v>2994</v>
      </c>
      <c r="AV576" s="15">
        <v>46315.0</v>
      </c>
    </row>
    <row r="577" ht="16.5" hidden="1" customHeight="1">
      <c r="A577" s="7" t="s">
        <v>2999</v>
      </c>
      <c r="B577" s="7" t="s">
        <v>49</v>
      </c>
      <c r="C577" s="7" t="s">
        <v>213</v>
      </c>
      <c r="D577" s="7" t="s">
        <v>214</v>
      </c>
      <c r="E577" s="7" t="s">
        <v>227</v>
      </c>
      <c r="F577" s="7">
        <v>7055.0</v>
      </c>
      <c r="G577" s="7"/>
      <c r="H577" s="7" t="s">
        <v>53</v>
      </c>
      <c r="I577" s="7"/>
      <c r="J577" s="7"/>
      <c r="K577" s="8" t="s">
        <v>3000</v>
      </c>
      <c r="L577" s="8" t="s">
        <v>126</v>
      </c>
      <c r="M577" s="8"/>
      <c r="N577" s="8" t="s">
        <v>1610</v>
      </c>
      <c r="O577" s="8" t="s">
        <v>56</v>
      </c>
      <c r="P577" s="8" t="s">
        <v>57</v>
      </c>
      <c r="Q577" s="8" t="s">
        <v>1887</v>
      </c>
      <c r="R577" s="8">
        <v>0.94</v>
      </c>
      <c r="S577" s="8" t="s">
        <v>49</v>
      </c>
      <c r="T577" s="8" t="s">
        <v>49</v>
      </c>
      <c r="U577" s="8" t="s">
        <v>2505</v>
      </c>
      <c r="V577" s="8" t="s">
        <v>443</v>
      </c>
      <c r="W577" s="8" t="s">
        <v>89</v>
      </c>
      <c r="X577" s="8" t="s">
        <v>108</v>
      </c>
      <c r="Y577" s="8" t="s">
        <v>1924</v>
      </c>
      <c r="Z577" s="8" t="s">
        <v>2969</v>
      </c>
      <c r="AA577" s="8" t="s">
        <v>231</v>
      </c>
      <c r="AB577" s="8" t="s">
        <v>60</v>
      </c>
      <c r="AC577" s="8" t="s">
        <v>219</v>
      </c>
      <c r="AD577" s="8" t="s">
        <v>3001</v>
      </c>
      <c r="AE577" s="8" t="s">
        <v>55</v>
      </c>
      <c r="AF577" s="8" t="s">
        <v>55</v>
      </c>
      <c r="AG577" s="8" t="s">
        <v>63</v>
      </c>
      <c r="AH577" s="8" t="s">
        <v>145</v>
      </c>
      <c r="AI577" s="8" t="s">
        <v>112</v>
      </c>
      <c r="AJ577" s="8" t="s">
        <v>49</v>
      </c>
      <c r="AK577" s="8" t="s">
        <v>49</v>
      </c>
      <c r="AL577" s="8" t="s">
        <v>720</v>
      </c>
      <c r="AM577" s="8" t="s">
        <v>2953</v>
      </c>
      <c r="AN577" s="9" t="s">
        <v>3002</v>
      </c>
      <c r="AO577" s="9" t="s">
        <v>3003</v>
      </c>
      <c r="AP577" s="10" t="s">
        <v>3004</v>
      </c>
      <c r="AQ577" s="10" t="s">
        <v>3005</v>
      </c>
      <c r="AR577" s="10" t="s">
        <v>3006</v>
      </c>
      <c r="AS577" s="12"/>
      <c r="AT577" s="10" t="s">
        <v>3007</v>
      </c>
      <c r="AU577" s="10" t="s">
        <v>3008</v>
      </c>
      <c r="AV577" s="13"/>
    </row>
    <row r="578" ht="16.5" hidden="1" customHeight="1">
      <c r="A578" s="7" t="s">
        <v>3009</v>
      </c>
      <c r="B578" s="7" t="s">
        <v>49</v>
      </c>
      <c r="C578" s="7" t="s">
        <v>213</v>
      </c>
      <c r="D578" s="7" t="s">
        <v>214</v>
      </c>
      <c r="E578" s="7" t="s">
        <v>227</v>
      </c>
      <c r="F578" s="7">
        <v>7055.0</v>
      </c>
      <c r="G578" s="7">
        <v>7055.0</v>
      </c>
      <c r="H578" s="7" t="s">
        <v>53</v>
      </c>
      <c r="I578" s="7"/>
      <c r="J578" s="7"/>
      <c r="K578" s="8" t="s">
        <v>3000</v>
      </c>
      <c r="L578" s="8" t="s">
        <v>126</v>
      </c>
      <c r="M578" s="12" t="s">
        <v>1549</v>
      </c>
      <c r="N578" s="8" t="s">
        <v>1610</v>
      </c>
      <c r="O578" s="8" t="s">
        <v>56</v>
      </c>
      <c r="P578" s="8" t="s">
        <v>57</v>
      </c>
      <c r="Q578" s="8" t="s">
        <v>1887</v>
      </c>
      <c r="R578" s="8">
        <v>0.94</v>
      </c>
      <c r="S578" s="8" t="s">
        <v>49</v>
      </c>
      <c r="T578" s="8" t="s">
        <v>49</v>
      </c>
      <c r="U578" s="8" t="s">
        <v>2505</v>
      </c>
      <c r="V578" s="8" t="s">
        <v>443</v>
      </c>
      <c r="W578" s="8" t="s">
        <v>89</v>
      </c>
      <c r="X578" s="8" t="s">
        <v>108</v>
      </c>
      <c r="Y578" s="8" t="s">
        <v>1924</v>
      </c>
      <c r="Z578" s="8" t="s">
        <v>2969</v>
      </c>
      <c r="AA578" s="8" t="s">
        <v>231</v>
      </c>
      <c r="AB578" s="8" t="s">
        <v>60</v>
      </c>
      <c r="AC578" s="8" t="s">
        <v>219</v>
      </c>
      <c r="AD578" s="8" t="s">
        <v>3001</v>
      </c>
      <c r="AE578" s="8" t="s">
        <v>55</v>
      </c>
      <c r="AF578" s="8" t="s">
        <v>55</v>
      </c>
      <c r="AG578" s="8" t="s">
        <v>63</v>
      </c>
      <c r="AH578" s="8" t="s">
        <v>145</v>
      </c>
      <c r="AI578" s="8" t="s">
        <v>112</v>
      </c>
      <c r="AJ578" s="8" t="s">
        <v>49</v>
      </c>
      <c r="AK578" s="8" t="s">
        <v>2940</v>
      </c>
      <c r="AL578" s="8" t="s">
        <v>720</v>
      </c>
      <c r="AM578" s="8" t="s">
        <v>2953</v>
      </c>
      <c r="AN578" s="9" t="s">
        <v>3002</v>
      </c>
      <c r="AO578" s="9" t="s">
        <v>3003</v>
      </c>
      <c r="AP578" s="10" t="s">
        <v>3004</v>
      </c>
      <c r="AQ578" s="10" t="s">
        <v>3005</v>
      </c>
      <c r="AR578" s="10" t="s">
        <v>3006</v>
      </c>
      <c r="AS578" s="12"/>
      <c r="AT578" s="10" t="s">
        <v>3007</v>
      </c>
      <c r="AU578" s="10" t="s">
        <v>3008</v>
      </c>
      <c r="AV578" s="15">
        <v>46315.0</v>
      </c>
    </row>
    <row r="579" ht="16.5" hidden="1" customHeight="1">
      <c r="A579" s="7" t="s">
        <v>3010</v>
      </c>
      <c r="B579" s="14" t="s">
        <v>49</v>
      </c>
      <c r="C579" s="14" t="s">
        <v>213</v>
      </c>
      <c r="D579" s="14" t="s">
        <v>214</v>
      </c>
      <c r="E579" s="7"/>
      <c r="F579" s="7">
        <v>7056.0</v>
      </c>
      <c r="G579" s="7">
        <v>7055.0</v>
      </c>
      <c r="H579" s="7" t="s">
        <v>53</v>
      </c>
      <c r="I579" s="7"/>
      <c r="J579" s="7"/>
      <c r="K579" s="8" t="s">
        <v>3000</v>
      </c>
      <c r="L579" s="8" t="s">
        <v>126</v>
      </c>
      <c r="M579" s="12" t="s">
        <v>1549</v>
      </c>
      <c r="N579" s="8" t="s">
        <v>1610</v>
      </c>
      <c r="O579" s="8" t="s">
        <v>56</v>
      </c>
      <c r="P579" s="8" t="s">
        <v>57</v>
      </c>
      <c r="Q579" s="8" t="s">
        <v>1887</v>
      </c>
      <c r="R579" s="8">
        <v>0.94</v>
      </c>
      <c r="S579" s="8" t="s">
        <v>49</v>
      </c>
      <c r="T579" s="8" t="s">
        <v>49</v>
      </c>
      <c r="U579" s="8" t="s">
        <v>2505</v>
      </c>
      <c r="V579" s="8" t="s">
        <v>443</v>
      </c>
      <c r="W579" s="8" t="s">
        <v>89</v>
      </c>
      <c r="X579" s="8" t="s">
        <v>108</v>
      </c>
      <c r="Y579" s="8" t="s">
        <v>1924</v>
      </c>
      <c r="Z579" s="8" t="s">
        <v>2969</v>
      </c>
      <c r="AA579" s="8" t="s">
        <v>231</v>
      </c>
      <c r="AB579" s="8" t="s">
        <v>60</v>
      </c>
      <c r="AC579" s="8" t="s">
        <v>219</v>
      </c>
      <c r="AD579" s="8" t="s">
        <v>3001</v>
      </c>
      <c r="AE579" s="8" t="s">
        <v>55</v>
      </c>
      <c r="AF579" s="8" t="s">
        <v>55</v>
      </c>
      <c r="AG579" s="8" t="s">
        <v>63</v>
      </c>
      <c r="AH579" s="8" t="s">
        <v>145</v>
      </c>
      <c r="AI579" s="8" t="s">
        <v>94</v>
      </c>
      <c r="AJ579" s="8" t="s">
        <v>49</v>
      </c>
      <c r="AK579" s="8" t="s">
        <v>2940</v>
      </c>
      <c r="AL579" s="8" t="s">
        <v>720</v>
      </c>
      <c r="AM579" s="8"/>
      <c r="AN579" s="9" t="s">
        <v>3011</v>
      </c>
      <c r="AO579" s="9" t="s">
        <v>3012</v>
      </c>
      <c r="AP579" s="10" t="s">
        <v>3004</v>
      </c>
      <c r="AQ579" s="10" t="s">
        <v>3005</v>
      </c>
      <c r="AR579" s="10" t="s">
        <v>3006</v>
      </c>
      <c r="AS579" s="12"/>
      <c r="AT579" s="10" t="s">
        <v>3007</v>
      </c>
      <c r="AU579" s="10" t="s">
        <v>3008</v>
      </c>
      <c r="AV579" s="15">
        <v>46315.0</v>
      </c>
    </row>
    <row r="580" ht="16.5" hidden="1" customHeight="1">
      <c r="A580" s="7" t="s">
        <v>3013</v>
      </c>
      <c r="B580" s="7" t="s">
        <v>49</v>
      </c>
      <c r="C580" s="7" t="s">
        <v>213</v>
      </c>
      <c r="D580" s="7" t="s">
        <v>214</v>
      </c>
      <c r="E580" s="7" t="s">
        <v>227</v>
      </c>
      <c r="F580" s="7">
        <v>7057.0</v>
      </c>
      <c r="G580" s="7"/>
      <c r="H580" s="7" t="s">
        <v>53</v>
      </c>
      <c r="I580" s="7"/>
      <c r="J580" s="7"/>
      <c r="K580" s="8" t="s">
        <v>2534</v>
      </c>
      <c r="L580" s="8" t="s">
        <v>377</v>
      </c>
      <c r="M580" s="8"/>
      <c r="N580" s="8" t="s">
        <v>1610</v>
      </c>
      <c r="O580" s="8" t="s">
        <v>56</v>
      </c>
      <c r="P580" s="8" t="s">
        <v>57</v>
      </c>
      <c r="Q580" s="8" t="s">
        <v>3014</v>
      </c>
      <c r="R580" s="8">
        <v>0.96</v>
      </c>
      <c r="S580" s="8" t="s">
        <v>49</v>
      </c>
      <c r="T580" s="8" t="s">
        <v>49</v>
      </c>
      <c r="U580" s="8" t="s">
        <v>3015</v>
      </c>
      <c r="V580" s="8" t="s">
        <v>3016</v>
      </c>
      <c r="W580" s="8" t="s">
        <v>89</v>
      </c>
      <c r="X580" s="8" t="s">
        <v>108</v>
      </c>
      <c r="Y580" s="8" t="s">
        <v>91</v>
      </c>
      <c r="Z580" s="8" t="s">
        <v>3017</v>
      </c>
      <c r="AA580" s="8" t="s">
        <v>231</v>
      </c>
      <c r="AB580" s="8" t="s">
        <v>60</v>
      </c>
      <c r="AC580" s="8" t="s">
        <v>219</v>
      </c>
      <c r="AD580" s="8" t="s">
        <v>3018</v>
      </c>
      <c r="AE580" s="8" t="s">
        <v>55</v>
      </c>
      <c r="AF580" s="8" t="s">
        <v>55</v>
      </c>
      <c r="AG580" s="8" t="s">
        <v>63</v>
      </c>
      <c r="AH580" s="8" t="s">
        <v>145</v>
      </c>
      <c r="AI580" s="8" t="s">
        <v>112</v>
      </c>
      <c r="AJ580" s="8" t="s">
        <v>49</v>
      </c>
      <c r="AK580" s="8" t="s">
        <v>49</v>
      </c>
      <c r="AL580" s="8" t="s">
        <v>720</v>
      </c>
      <c r="AM580" s="8" t="s">
        <v>2953</v>
      </c>
      <c r="AN580" s="9" t="s">
        <v>3019</v>
      </c>
      <c r="AO580" s="9" t="s">
        <v>3020</v>
      </c>
      <c r="AP580" s="10" t="s">
        <v>3021</v>
      </c>
      <c r="AQ580" s="10" t="s">
        <v>3022</v>
      </c>
      <c r="AR580" s="18" t="s">
        <v>3023</v>
      </c>
      <c r="AS580" s="12"/>
      <c r="AT580" s="10" t="s">
        <v>3024</v>
      </c>
      <c r="AU580" s="10" t="s">
        <v>3025</v>
      </c>
      <c r="AV580" s="13"/>
    </row>
    <row r="581" ht="16.5" hidden="1" customHeight="1">
      <c r="A581" s="7" t="s">
        <v>3026</v>
      </c>
      <c r="B581" s="7" t="s">
        <v>49</v>
      </c>
      <c r="C581" s="7" t="s">
        <v>213</v>
      </c>
      <c r="D581" s="7" t="s">
        <v>214</v>
      </c>
      <c r="E581" s="7" t="s">
        <v>227</v>
      </c>
      <c r="F581" s="7">
        <v>7057.0</v>
      </c>
      <c r="G581" s="7">
        <v>7057.0</v>
      </c>
      <c r="H581" s="7" t="s">
        <v>53</v>
      </c>
      <c r="I581" s="7"/>
      <c r="J581" s="7"/>
      <c r="K581" s="8" t="s">
        <v>2534</v>
      </c>
      <c r="L581" s="8" t="s">
        <v>377</v>
      </c>
      <c r="M581" s="12" t="s">
        <v>1549</v>
      </c>
      <c r="N581" s="8" t="s">
        <v>1610</v>
      </c>
      <c r="O581" s="8" t="s">
        <v>56</v>
      </c>
      <c r="P581" s="8" t="s">
        <v>57</v>
      </c>
      <c r="Q581" s="8" t="s">
        <v>3014</v>
      </c>
      <c r="R581" s="8">
        <v>0.96</v>
      </c>
      <c r="S581" s="8" t="s">
        <v>49</v>
      </c>
      <c r="T581" s="8" t="s">
        <v>49</v>
      </c>
      <c r="U581" s="8" t="s">
        <v>3015</v>
      </c>
      <c r="V581" s="8" t="s">
        <v>3016</v>
      </c>
      <c r="W581" s="8" t="s">
        <v>89</v>
      </c>
      <c r="X581" s="8" t="s">
        <v>108</v>
      </c>
      <c r="Y581" s="8" t="s">
        <v>91</v>
      </c>
      <c r="Z581" s="8" t="s">
        <v>3017</v>
      </c>
      <c r="AA581" s="8" t="s">
        <v>231</v>
      </c>
      <c r="AB581" s="8" t="s">
        <v>60</v>
      </c>
      <c r="AC581" s="8" t="s">
        <v>219</v>
      </c>
      <c r="AD581" s="8" t="s">
        <v>3018</v>
      </c>
      <c r="AE581" s="8" t="s">
        <v>55</v>
      </c>
      <c r="AF581" s="8" t="s">
        <v>55</v>
      </c>
      <c r="AG581" s="8" t="s">
        <v>63</v>
      </c>
      <c r="AH581" s="8" t="s">
        <v>145</v>
      </c>
      <c r="AI581" s="8" t="s">
        <v>112</v>
      </c>
      <c r="AJ581" s="8" t="s">
        <v>49</v>
      </c>
      <c r="AK581" s="8" t="s">
        <v>2940</v>
      </c>
      <c r="AL581" s="8" t="s">
        <v>720</v>
      </c>
      <c r="AM581" s="8" t="s">
        <v>2953</v>
      </c>
      <c r="AN581" s="9" t="s">
        <v>3019</v>
      </c>
      <c r="AO581" s="9" t="s">
        <v>3020</v>
      </c>
      <c r="AP581" s="10" t="s">
        <v>3021</v>
      </c>
      <c r="AQ581" s="10" t="s">
        <v>3022</v>
      </c>
      <c r="AR581" s="18" t="s">
        <v>3023</v>
      </c>
      <c r="AS581" s="12"/>
      <c r="AT581" s="10" t="s">
        <v>3024</v>
      </c>
      <c r="AU581" s="10" t="s">
        <v>3025</v>
      </c>
      <c r="AV581" s="13"/>
    </row>
    <row r="582" ht="16.5" hidden="1" customHeight="1">
      <c r="A582" s="7" t="s">
        <v>3027</v>
      </c>
      <c r="B582" s="14" t="s">
        <v>49</v>
      </c>
      <c r="C582" s="14" t="s">
        <v>213</v>
      </c>
      <c r="D582" s="14" t="s">
        <v>214</v>
      </c>
      <c r="E582" s="7"/>
      <c r="F582" s="7">
        <v>7058.0</v>
      </c>
      <c r="G582" s="7">
        <v>7057.0</v>
      </c>
      <c r="H582" s="7" t="s">
        <v>53</v>
      </c>
      <c r="I582" s="7"/>
      <c r="J582" s="7"/>
      <c r="K582" s="8" t="s">
        <v>2534</v>
      </c>
      <c r="L582" s="8" t="s">
        <v>377</v>
      </c>
      <c r="M582" s="12" t="s">
        <v>1549</v>
      </c>
      <c r="N582" s="8" t="s">
        <v>1610</v>
      </c>
      <c r="O582" s="8" t="s">
        <v>56</v>
      </c>
      <c r="P582" s="8" t="s">
        <v>57</v>
      </c>
      <c r="Q582" s="8" t="s">
        <v>3014</v>
      </c>
      <c r="R582" s="8">
        <v>0.96</v>
      </c>
      <c r="S582" s="8" t="s">
        <v>49</v>
      </c>
      <c r="T582" s="8" t="s">
        <v>49</v>
      </c>
      <c r="U582" s="8" t="s">
        <v>3015</v>
      </c>
      <c r="V582" s="8" t="s">
        <v>3016</v>
      </c>
      <c r="W582" s="8" t="s">
        <v>89</v>
      </c>
      <c r="X582" s="8" t="s">
        <v>108</v>
      </c>
      <c r="Y582" s="8" t="s">
        <v>91</v>
      </c>
      <c r="Z582" s="8" t="s">
        <v>3017</v>
      </c>
      <c r="AA582" s="8" t="s">
        <v>231</v>
      </c>
      <c r="AB582" s="8" t="s">
        <v>60</v>
      </c>
      <c r="AC582" s="8" t="s">
        <v>219</v>
      </c>
      <c r="AD582" s="8" t="s">
        <v>3018</v>
      </c>
      <c r="AE582" s="8" t="s">
        <v>55</v>
      </c>
      <c r="AF582" s="8" t="s">
        <v>55</v>
      </c>
      <c r="AG582" s="8" t="s">
        <v>63</v>
      </c>
      <c r="AH582" s="8" t="s">
        <v>145</v>
      </c>
      <c r="AI582" s="8" t="s">
        <v>94</v>
      </c>
      <c r="AJ582" s="8" t="s">
        <v>49</v>
      </c>
      <c r="AK582" s="8" t="s">
        <v>2940</v>
      </c>
      <c r="AL582" s="8" t="s">
        <v>720</v>
      </c>
      <c r="AM582" s="8"/>
      <c r="AN582" s="9" t="s">
        <v>3028</v>
      </c>
      <c r="AO582" s="9" t="s">
        <v>3029</v>
      </c>
      <c r="AP582" s="10" t="s">
        <v>3021</v>
      </c>
      <c r="AQ582" s="10" t="s">
        <v>3022</v>
      </c>
      <c r="AR582" s="18" t="s">
        <v>3023</v>
      </c>
      <c r="AS582" s="12"/>
      <c r="AT582" s="10" t="s">
        <v>3024</v>
      </c>
      <c r="AU582" s="10" t="s">
        <v>3025</v>
      </c>
      <c r="AV582" s="13"/>
    </row>
    <row r="583" ht="16.5" hidden="1" customHeight="1">
      <c r="A583" s="7" t="s">
        <v>3030</v>
      </c>
      <c r="B583" s="7" t="s">
        <v>2007</v>
      </c>
      <c r="C583" s="7" t="s">
        <v>213</v>
      </c>
      <c r="D583" s="7" t="s">
        <v>214</v>
      </c>
      <c r="E583" s="7" t="s">
        <v>227</v>
      </c>
      <c r="F583" s="7">
        <v>7059.0</v>
      </c>
      <c r="G583" s="7">
        <v>7060.0</v>
      </c>
      <c r="H583" s="7" t="s">
        <v>53</v>
      </c>
      <c r="I583" s="7"/>
      <c r="J583" s="7"/>
      <c r="K583" s="8" t="s">
        <v>2008</v>
      </c>
      <c r="L583" s="8" t="s">
        <v>126</v>
      </c>
      <c r="M583" s="12" t="s">
        <v>1549</v>
      </c>
      <c r="N583" s="8" t="s">
        <v>1610</v>
      </c>
      <c r="O583" s="8" t="s">
        <v>56</v>
      </c>
      <c r="P583" s="8" t="s">
        <v>57</v>
      </c>
      <c r="Q583" s="8" t="s">
        <v>3031</v>
      </c>
      <c r="R583" s="8">
        <v>0.95</v>
      </c>
      <c r="S583" s="8" t="s">
        <v>49</v>
      </c>
      <c r="T583" s="8" t="s">
        <v>49</v>
      </c>
      <c r="U583" s="8" t="s">
        <v>3032</v>
      </c>
      <c r="V583" s="8" t="s">
        <v>2897</v>
      </c>
      <c r="W583" s="8" t="s">
        <v>89</v>
      </c>
      <c r="X583" s="8" t="s">
        <v>108</v>
      </c>
      <c r="Y583" s="8" t="s">
        <v>3033</v>
      </c>
      <c r="Z583" s="8" t="s">
        <v>2969</v>
      </c>
      <c r="AA583" s="8" t="s">
        <v>231</v>
      </c>
      <c r="AB583" s="8" t="s">
        <v>60</v>
      </c>
      <c r="AC583" s="8" t="s">
        <v>219</v>
      </c>
      <c r="AD583" s="8" t="s">
        <v>3034</v>
      </c>
      <c r="AE583" s="8" t="s">
        <v>55</v>
      </c>
      <c r="AF583" s="8" t="s">
        <v>55</v>
      </c>
      <c r="AG583" s="8" t="s">
        <v>63</v>
      </c>
      <c r="AH583" s="8" t="s">
        <v>145</v>
      </c>
      <c r="AI583" s="8" t="s">
        <v>112</v>
      </c>
      <c r="AJ583" s="8" t="s">
        <v>49</v>
      </c>
      <c r="AK583" s="8" t="s">
        <v>2940</v>
      </c>
      <c r="AL583" s="8" t="s">
        <v>720</v>
      </c>
      <c r="AM583" s="8" t="s">
        <v>2953</v>
      </c>
      <c r="AN583" s="9" t="s">
        <v>3035</v>
      </c>
      <c r="AO583" s="9" t="s">
        <v>3036</v>
      </c>
      <c r="AP583" s="10" t="s">
        <v>3037</v>
      </c>
      <c r="AQ583" s="10" t="s">
        <v>3038</v>
      </c>
      <c r="AR583" s="10" t="s">
        <v>3039</v>
      </c>
      <c r="AS583" s="12"/>
      <c r="AT583" s="10" t="s">
        <v>3040</v>
      </c>
      <c r="AU583" s="10" t="s">
        <v>3041</v>
      </c>
      <c r="AV583" s="13"/>
    </row>
    <row r="584" ht="16.5" hidden="1" customHeight="1">
      <c r="A584" s="7" t="s">
        <v>3042</v>
      </c>
      <c r="B584" s="7" t="s">
        <v>2007</v>
      </c>
      <c r="C584" s="7" t="s">
        <v>213</v>
      </c>
      <c r="D584" s="7" t="s">
        <v>214</v>
      </c>
      <c r="E584" s="7" t="s">
        <v>227</v>
      </c>
      <c r="F584" s="7">
        <v>7060.0</v>
      </c>
      <c r="G584" s="7"/>
      <c r="H584" s="7" t="s">
        <v>53</v>
      </c>
      <c r="I584" s="7"/>
      <c r="J584" s="7"/>
      <c r="K584" s="8" t="s">
        <v>2008</v>
      </c>
      <c r="L584" s="8" t="s">
        <v>126</v>
      </c>
      <c r="M584" s="8"/>
      <c r="N584" s="8" t="s">
        <v>1610</v>
      </c>
      <c r="O584" s="8" t="s">
        <v>56</v>
      </c>
      <c r="P584" s="8" t="s">
        <v>57</v>
      </c>
      <c r="Q584" s="8" t="s">
        <v>3031</v>
      </c>
      <c r="R584" s="8">
        <v>0.95</v>
      </c>
      <c r="S584" s="8" t="s">
        <v>49</v>
      </c>
      <c r="T584" s="8" t="s">
        <v>49</v>
      </c>
      <c r="U584" s="8" t="s">
        <v>3032</v>
      </c>
      <c r="V584" s="8" t="s">
        <v>2897</v>
      </c>
      <c r="W584" s="8" t="s">
        <v>89</v>
      </c>
      <c r="X584" s="8" t="s">
        <v>108</v>
      </c>
      <c r="Y584" s="8" t="s">
        <v>3033</v>
      </c>
      <c r="Z584" s="8" t="s">
        <v>2969</v>
      </c>
      <c r="AA584" s="8" t="s">
        <v>231</v>
      </c>
      <c r="AB584" s="8" t="s">
        <v>60</v>
      </c>
      <c r="AC584" s="8" t="s">
        <v>219</v>
      </c>
      <c r="AD584" s="8" t="s">
        <v>3034</v>
      </c>
      <c r="AE584" s="8" t="s">
        <v>55</v>
      </c>
      <c r="AF584" s="8" t="s">
        <v>55</v>
      </c>
      <c r="AG584" s="8" t="s">
        <v>63</v>
      </c>
      <c r="AH584" s="8" t="s">
        <v>145</v>
      </c>
      <c r="AI584" s="8" t="s">
        <v>94</v>
      </c>
      <c r="AJ584" s="8" t="s">
        <v>49</v>
      </c>
      <c r="AK584" s="8" t="s">
        <v>49</v>
      </c>
      <c r="AL584" s="8" t="s">
        <v>720</v>
      </c>
      <c r="AM584" s="8"/>
      <c r="AN584" s="9" t="s">
        <v>3043</v>
      </c>
      <c r="AO584" s="9" t="s">
        <v>3044</v>
      </c>
      <c r="AP584" s="10" t="s">
        <v>3037</v>
      </c>
      <c r="AQ584" s="10" t="s">
        <v>3038</v>
      </c>
      <c r="AR584" s="10" t="s">
        <v>3039</v>
      </c>
      <c r="AS584" s="12"/>
      <c r="AT584" s="10" t="s">
        <v>3040</v>
      </c>
      <c r="AU584" s="10" t="s">
        <v>3041</v>
      </c>
      <c r="AV584" s="13"/>
    </row>
    <row r="585" ht="16.5" hidden="1" customHeight="1">
      <c r="A585" s="7" t="s">
        <v>3045</v>
      </c>
      <c r="B585" s="7" t="s">
        <v>2007</v>
      </c>
      <c r="C585" s="7" t="s">
        <v>213</v>
      </c>
      <c r="D585" s="7" t="s">
        <v>214</v>
      </c>
      <c r="E585" s="7" t="s">
        <v>227</v>
      </c>
      <c r="F585" s="7">
        <v>7060.0</v>
      </c>
      <c r="G585" s="7">
        <v>7060.0</v>
      </c>
      <c r="H585" s="7" t="s">
        <v>53</v>
      </c>
      <c r="I585" s="7"/>
      <c r="J585" s="7"/>
      <c r="K585" s="8" t="s">
        <v>2008</v>
      </c>
      <c r="L585" s="8" t="s">
        <v>126</v>
      </c>
      <c r="M585" s="12" t="s">
        <v>1549</v>
      </c>
      <c r="N585" s="8" t="s">
        <v>1610</v>
      </c>
      <c r="O585" s="8" t="s">
        <v>56</v>
      </c>
      <c r="P585" s="8" t="s">
        <v>57</v>
      </c>
      <c r="Q585" s="8" t="s">
        <v>3031</v>
      </c>
      <c r="R585" s="8">
        <v>0.95</v>
      </c>
      <c r="S585" s="8" t="s">
        <v>49</v>
      </c>
      <c r="T585" s="8" t="s">
        <v>49</v>
      </c>
      <c r="U585" s="8" t="s">
        <v>3032</v>
      </c>
      <c r="V585" s="8" t="s">
        <v>2897</v>
      </c>
      <c r="W585" s="8" t="s">
        <v>89</v>
      </c>
      <c r="X585" s="8" t="s">
        <v>108</v>
      </c>
      <c r="Y585" s="8" t="s">
        <v>3033</v>
      </c>
      <c r="Z585" s="8" t="s">
        <v>2969</v>
      </c>
      <c r="AA585" s="8" t="s">
        <v>231</v>
      </c>
      <c r="AB585" s="8" t="s">
        <v>60</v>
      </c>
      <c r="AC585" s="8" t="s">
        <v>219</v>
      </c>
      <c r="AD585" s="8" t="s">
        <v>3034</v>
      </c>
      <c r="AE585" s="8" t="s">
        <v>55</v>
      </c>
      <c r="AF585" s="8" t="s">
        <v>55</v>
      </c>
      <c r="AG585" s="8" t="s">
        <v>63</v>
      </c>
      <c r="AH585" s="8" t="s">
        <v>145</v>
      </c>
      <c r="AI585" s="8" t="s">
        <v>94</v>
      </c>
      <c r="AJ585" s="8" t="s">
        <v>49</v>
      </c>
      <c r="AK585" s="8" t="s">
        <v>2940</v>
      </c>
      <c r="AL585" s="8" t="s">
        <v>720</v>
      </c>
      <c r="AM585" s="8" t="s">
        <v>2953</v>
      </c>
      <c r="AN585" s="9" t="s">
        <v>3043</v>
      </c>
      <c r="AO585" s="9" t="s">
        <v>3044</v>
      </c>
      <c r="AP585" s="10" t="s">
        <v>3037</v>
      </c>
      <c r="AQ585" s="10" t="s">
        <v>3038</v>
      </c>
      <c r="AR585" s="10" t="s">
        <v>3039</v>
      </c>
      <c r="AS585" s="12"/>
      <c r="AT585" s="10" t="s">
        <v>3040</v>
      </c>
      <c r="AU585" s="10" t="s">
        <v>3041</v>
      </c>
      <c r="AV585" s="13"/>
    </row>
    <row r="586" ht="16.5" hidden="1" customHeight="1">
      <c r="A586" s="7" t="s">
        <v>3046</v>
      </c>
      <c r="B586" s="7" t="s">
        <v>49</v>
      </c>
      <c r="C586" s="7" t="s">
        <v>213</v>
      </c>
      <c r="D586" s="7" t="s">
        <v>214</v>
      </c>
      <c r="E586" s="7" t="s">
        <v>227</v>
      </c>
      <c r="F586" s="7">
        <v>7061.0</v>
      </c>
      <c r="G586" s="7"/>
      <c r="H586" s="7" t="s">
        <v>53</v>
      </c>
      <c r="I586" s="7"/>
      <c r="J586" s="7"/>
      <c r="K586" s="8" t="s">
        <v>2008</v>
      </c>
      <c r="L586" s="8" t="s">
        <v>377</v>
      </c>
      <c r="M586" s="8"/>
      <c r="N586" s="8" t="s">
        <v>1610</v>
      </c>
      <c r="O586" s="8" t="s">
        <v>56</v>
      </c>
      <c r="P586" s="8" t="s">
        <v>57</v>
      </c>
      <c r="Q586" s="8" t="s">
        <v>3047</v>
      </c>
      <c r="R586" s="8">
        <v>0.6</v>
      </c>
      <c r="S586" s="8" t="s">
        <v>49</v>
      </c>
      <c r="T586" s="8" t="s">
        <v>49</v>
      </c>
      <c r="U586" s="8" t="s">
        <v>3048</v>
      </c>
      <c r="V586" s="8" t="s">
        <v>346</v>
      </c>
      <c r="W586" s="8" t="s">
        <v>89</v>
      </c>
      <c r="X586" s="8" t="s">
        <v>108</v>
      </c>
      <c r="Y586" s="8" t="s">
        <v>2985</v>
      </c>
      <c r="Z586" s="8" t="s">
        <v>2969</v>
      </c>
      <c r="AA586" s="8" t="s">
        <v>231</v>
      </c>
      <c r="AB586" s="8" t="s">
        <v>60</v>
      </c>
      <c r="AC586" s="8" t="s">
        <v>219</v>
      </c>
      <c r="AD586" s="8" t="s">
        <v>3049</v>
      </c>
      <c r="AE586" s="8" t="s">
        <v>55</v>
      </c>
      <c r="AF586" s="8" t="s">
        <v>55</v>
      </c>
      <c r="AG586" s="8" t="s">
        <v>63</v>
      </c>
      <c r="AH586" s="8" t="s">
        <v>111</v>
      </c>
      <c r="AI586" s="8" t="s">
        <v>112</v>
      </c>
      <c r="AJ586" s="8" t="s">
        <v>49</v>
      </c>
      <c r="AK586" s="8" t="s">
        <v>49</v>
      </c>
      <c r="AL586" s="8" t="s">
        <v>720</v>
      </c>
      <c r="AM586" s="8" t="s">
        <v>3050</v>
      </c>
      <c r="AN586" s="16" t="s">
        <v>3051</v>
      </c>
      <c r="AO586" s="9" t="s">
        <v>3052</v>
      </c>
      <c r="AP586" s="10" t="s">
        <v>3053</v>
      </c>
      <c r="AQ586" s="10" t="s">
        <v>3054</v>
      </c>
      <c r="AR586" s="18" t="s">
        <v>3055</v>
      </c>
      <c r="AS586" s="12"/>
      <c r="AT586" s="10" t="s">
        <v>3056</v>
      </c>
      <c r="AU586" s="10" t="s">
        <v>3057</v>
      </c>
      <c r="AV586" s="13"/>
    </row>
    <row r="587" ht="16.5" hidden="1" customHeight="1">
      <c r="A587" s="7" t="s">
        <v>3058</v>
      </c>
      <c r="B587" s="7" t="s">
        <v>49</v>
      </c>
      <c r="C587" s="7" t="s">
        <v>213</v>
      </c>
      <c r="D587" s="7" t="s">
        <v>214</v>
      </c>
      <c r="E587" s="7" t="s">
        <v>227</v>
      </c>
      <c r="F587" s="7">
        <v>7061.0</v>
      </c>
      <c r="G587" s="7">
        <v>7061.0</v>
      </c>
      <c r="H587" s="7" t="s">
        <v>53</v>
      </c>
      <c r="I587" s="7"/>
      <c r="J587" s="7"/>
      <c r="K587" s="8" t="s">
        <v>2008</v>
      </c>
      <c r="L587" s="8" t="s">
        <v>377</v>
      </c>
      <c r="M587" s="12" t="s">
        <v>1549</v>
      </c>
      <c r="N587" s="8" t="s">
        <v>1610</v>
      </c>
      <c r="O587" s="8" t="s">
        <v>56</v>
      </c>
      <c r="P587" s="8" t="s">
        <v>57</v>
      </c>
      <c r="Q587" s="8" t="s">
        <v>3047</v>
      </c>
      <c r="R587" s="8">
        <v>0.6</v>
      </c>
      <c r="S587" s="8" t="s">
        <v>49</v>
      </c>
      <c r="T587" s="8" t="s">
        <v>49</v>
      </c>
      <c r="U587" s="8" t="s">
        <v>3048</v>
      </c>
      <c r="V587" s="8" t="s">
        <v>346</v>
      </c>
      <c r="W587" s="8" t="s">
        <v>89</v>
      </c>
      <c r="X587" s="8" t="s">
        <v>108</v>
      </c>
      <c r="Y587" s="8" t="s">
        <v>2985</v>
      </c>
      <c r="Z587" s="8" t="s">
        <v>2969</v>
      </c>
      <c r="AA587" s="8" t="s">
        <v>231</v>
      </c>
      <c r="AB587" s="8" t="s">
        <v>60</v>
      </c>
      <c r="AC587" s="8" t="s">
        <v>219</v>
      </c>
      <c r="AD587" s="8" t="s">
        <v>3049</v>
      </c>
      <c r="AE587" s="8" t="s">
        <v>55</v>
      </c>
      <c r="AF587" s="8" t="s">
        <v>55</v>
      </c>
      <c r="AG587" s="8" t="s">
        <v>63</v>
      </c>
      <c r="AH587" s="8" t="s">
        <v>111</v>
      </c>
      <c r="AI587" s="8" t="s">
        <v>112</v>
      </c>
      <c r="AJ587" s="8" t="s">
        <v>49</v>
      </c>
      <c r="AK587" s="8" t="s">
        <v>2940</v>
      </c>
      <c r="AL587" s="8" t="s">
        <v>720</v>
      </c>
      <c r="AM587" s="8" t="s">
        <v>3050</v>
      </c>
      <c r="AN587" s="9" t="s">
        <v>3051</v>
      </c>
      <c r="AO587" s="9" t="s">
        <v>3052</v>
      </c>
      <c r="AP587" s="10" t="s">
        <v>3053</v>
      </c>
      <c r="AQ587" s="10" t="s">
        <v>3054</v>
      </c>
      <c r="AR587" s="18" t="s">
        <v>3055</v>
      </c>
      <c r="AS587" s="12"/>
      <c r="AT587" s="10" t="s">
        <v>3056</v>
      </c>
      <c r="AU587" s="10" t="s">
        <v>3057</v>
      </c>
      <c r="AV587" s="13"/>
    </row>
    <row r="588" ht="16.5" hidden="1" customHeight="1">
      <c r="A588" s="7" t="s">
        <v>3059</v>
      </c>
      <c r="B588" s="14" t="s">
        <v>49</v>
      </c>
      <c r="C588" s="14" t="s">
        <v>213</v>
      </c>
      <c r="D588" s="14" t="s">
        <v>214</v>
      </c>
      <c r="E588" s="7"/>
      <c r="F588" s="7">
        <v>7062.0</v>
      </c>
      <c r="G588" s="7">
        <v>7061.0</v>
      </c>
      <c r="H588" s="7" t="s">
        <v>53</v>
      </c>
      <c r="I588" s="7"/>
      <c r="J588" s="7"/>
      <c r="K588" s="8" t="s">
        <v>2008</v>
      </c>
      <c r="L588" s="8" t="s">
        <v>377</v>
      </c>
      <c r="M588" s="12" t="s">
        <v>1549</v>
      </c>
      <c r="N588" s="8" t="s">
        <v>1610</v>
      </c>
      <c r="O588" s="8" t="s">
        <v>56</v>
      </c>
      <c r="P588" s="8" t="s">
        <v>57</v>
      </c>
      <c r="Q588" s="8" t="s">
        <v>3047</v>
      </c>
      <c r="R588" s="8">
        <v>0.6</v>
      </c>
      <c r="S588" s="8" t="s">
        <v>49</v>
      </c>
      <c r="T588" s="8" t="s">
        <v>49</v>
      </c>
      <c r="U588" s="8" t="s">
        <v>3048</v>
      </c>
      <c r="V588" s="8" t="s">
        <v>346</v>
      </c>
      <c r="W588" s="8" t="s">
        <v>89</v>
      </c>
      <c r="X588" s="8" t="s">
        <v>108</v>
      </c>
      <c r="Y588" s="8" t="s">
        <v>2985</v>
      </c>
      <c r="Z588" s="8" t="s">
        <v>2969</v>
      </c>
      <c r="AA588" s="8" t="s">
        <v>231</v>
      </c>
      <c r="AB588" s="8" t="s">
        <v>60</v>
      </c>
      <c r="AC588" s="8" t="s">
        <v>219</v>
      </c>
      <c r="AD588" s="8" t="s">
        <v>3049</v>
      </c>
      <c r="AE588" s="8" t="s">
        <v>55</v>
      </c>
      <c r="AF588" s="8" t="s">
        <v>55</v>
      </c>
      <c r="AG588" s="8" t="s">
        <v>63</v>
      </c>
      <c r="AH588" s="8" t="s">
        <v>111</v>
      </c>
      <c r="AI588" s="8" t="s">
        <v>94</v>
      </c>
      <c r="AJ588" s="8" t="s">
        <v>49</v>
      </c>
      <c r="AK588" s="8" t="s">
        <v>2940</v>
      </c>
      <c r="AL588" s="8" t="s">
        <v>720</v>
      </c>
      <c r="AM588" s="8"/>
      <c r="AN588" s="9" t="s">
        <v>3060</v>
      </c>
      <c r="AO588" s="9" t="s">
        <v>3061</v>
      </c>
      <c r="AP588" s="10" t="s">
        <v>3053</v>
      </c>
      <c r="AQ588" s="10" t="s">
        <v>3054</v>
      </c>
      <c r="AR588" s="18" t="s">
        <v>3055</v>
      </c>
      <c r="AS588" s="12"/>
      <c r="AT588" s="10" t="s">
        <v>3056</v>
      </c>
      <c r="AU588" s="10" t="s">
        <v>3057</v>
      </c>
      <c r="AV588" s="13"/>
    </row>
    <row r="589" ht="16.5" hidden="1" customHeight="1">
      <c r="A589" s="7" t="s">
        <v>3062</v>
      </c>
      <c r="B589" s="7" t="s">
        <v>49</v>
      </c>
      <c r="C589" s="7" t="s">
        <v>213</v>
      </c>
      <c r="D589" s="7" t="s">
        <v>214</v>
      </c>
      <c r="E589" s="7" t="s">
        <v>227</v>
      </c>
      <c r="F589" s="7">
        <v>7063.0</v>
      </c>
      <c r="G589" s="7"/>
      <c r="H589" s="7" t="s">
        <v>53</v>
      </c>
      <c r="I589" s="7"/>
      <c r="J589" s="7"/>
      <c r="K589" s="8" t="s">
        <v>2008</v>
      </c>
      <c r="L589" s="8" t="s">
        <v>377</v>
      </c>
      <c r="M589" s="8"/>
      <c r="N589" s="8" t="s">
        <v>1610</v>
      </c>
      <c r="O589" s="8" t="s">
        <v>56</v>
      </c>
      <c r="P589" s="8" t="s">
        <v>57</v>
      </c>
      <c r="Q589" s="8" t="s">
        <v>3047</v>
      </c>
      <c r="R589" s="8">
        <v>0.6</v>
      </c>
      <c r="S589" s="8" t="s">
        <v>49</v>
      </c>
      <c r="T589" s="8" t="s">
        <v>49</v>
      </c>
      <c r="U589" s="8" t="s">
        <v>3063</v>
      </c>
      <c r="V589" s="8" t="s">
        <v>3064</v>
      </c>
      <c r="W589" s="8" t="s">
        <v>89</v>
      </c>
      <c r="X589" s="8" t="s">
        <v>108</v>
      </c>
      <c r="Y589" s="8" t="s">
        <v>1633</v>
      </c>
      <c r="Z589" s="8" t="s">
        <v>2969</v>
      </c>
      <c r="AA589" s="8" t="s">
        <v>231</v>
      </c>
      <c r="AB589" s="8" t="s">
        <v>60</v>
      </c>
      <c r="AC589" s="8" t="s">
        <v>219</v>
      </c>
      <c r="AD589" s="8" t="s">
        <v>3065</v>
      </c>
      <c r="AE589" s="8" t="s">
        <v>55</v>
      </c>
      <c r="AF589" s="8" t="s">
        <v>55</v>
      </c>
      <c r="AG589" s="8" t="s">
        <v>63</v>
      </c>
      <c r="AH589" s="8" t="s">
        <v>111</v>
      </c>
      <c r="AI589" s="8" t="s">
        <v>112</v>
      </c>
      <c r="AJ589" s="8" t="s">
        <v>49</v>
      </c>
      <c r="AK589" s="8" t="s">
        <v>49</v>
      </c>
      <c r="AL589" s="8" t="s">
        <v>720</v>
      </c>
      <c r="AM589" s="8" t="s">
        <v>2953</v>
      </c>
      <c r="AN589" s="9" t="s">
        <v>3066</v>
      </c>
      <c r="AO589" s="9" t="s">
        <v>3067</v>
      </c>
      <c r="AP589" s="10" t="s">
        <v>3068</v>
      </c>
      <c r="AQ589" s="10" t="s">
        <v>3069</v>
      </c>
      <c r="AR589" s="10" t="s">
        <v>3070</v>
      </c>
      <c r="AS589" s="12"/>
      <c r="AT589" s="10" t="s">
        <v>3071</v>
      </c>
      <c r="AU589" s="10" t="s">
        <v>3072</v>
      </c>
      <c r="AV589" s="13"/>
    </row>
    <row r="590" ht="16.5" hidden="1" customHeight="1">
      <c r="A590" s="7" t="s">
        <v>3073</v>
      </c>
      <c r="B590" s="7" t="s">
        <v>49</v>
      </c>
      <c r="C590" s="7" t="s">
        <v>213</v>
      </c>
      <c r="D590" s="7" t="s">
        <v>214</v>
      </c>
      <c r="E590" s="7" t="s">
        <v>227</v>
      </c>
      <c r="F590" s="7">
        <v>7063.0</v>
      </c>
      <c r="G590" s="7">
        <v>7063.0</v>
      </c>
      <c r="H590" s="7" t="s">
        <v>53</v>
      </c>
      <c r="I590" s="7"/>
      <c r="J590" s="7"/>
      <c r="K590" s="8" t="s">
        <v>2008</v>
      </c>
      <c r="L590" s="8" t="s">
        <v>377</v>
      </c>
      <c r="M590" s="8"/>
      <c r="N590" s="8" t="s">
        <v>1610</v>
      </c>
      <c r="O590" s="8" t="s">
        <v>56</v>
      </c>
      <c r="P590" s="8" t="s">
        <v>57</v>
      </c>
      <c r="Q590" s="8" t="s">
        <v>3047</v>
      </c>
      <c r="R590" s="8">
        <v>0.6</v>
      </c>
      <c r="S590" s="8" t="s">
        <v>49</v>
      </c>
      <c r="T590" s="8" t="s">
        <v>49</v>
      </c>
      <c r="U590" s="8" t="s">
        <v>3063</v>
      </c>
      <c r="V590" s="8" t="s">
        <v>3064</v>
      </c>
      <c r="W590" s="8" t="s">
        <v>89</v>
      </c>
      <c r="X590" s="8" t="s">
        <v>108</v>
      </c>
      <c r="Y590" s="8" t="s">
        <v>1633</v>
      </c>
      <c r="Z590" s="8" t="s">
        <v>2969</v>
      </c>
      <c r="AA590" s="8" t="s">
        <v>231</v>
      </c>
      <c r="AB590" s="8" t="s">
        <v>60</v>
      </c>
      <c r="AC590" s="8" t="s">
        <v>219</v>
      </c>
      <c r="AD590" s="8" t="s">
        <v>3065</v>
      </c>
      <c r="AE590" s="8" t="s">
        <v>55</v>
      </c>
      <c r="AF590" s="8" t="s">
        <v>55</v>
      </c>
      <c r="AG590" s="8" t="s">
        <v>63</v>
      </c>
      <c r="AH590" s="8" t="s">
        <v>111</v>
      </c>
      <c r="AI590" s="8" t="s">
        <v>112</v>
      </c>
      <c r="AJ590" s="8" t="s">
        <v>49</v>
      </c>
      <c r="AK590" s="8" t="s">
        <v>2940</v>
      </c>
      <c r="AL590" s="8" t="s">
        <v>720</v>
      </c>
      <c r="AM590" s="8" t="s">
        <v>2953</v>
      </c>
      <c r="AN590" s="9" t="s">
        <v>3066</v>
      </c>
      <c r="AO590" s="9" t="s">
        <v>3067</v>
      </c>
      <c r="AP590" s="10" t="s">
        <v>3068</v>
      </c>
      <c r="AQ590" s="10" t="s">
        <v>3069</v>
      </c>
      <c r="AR590" s="10" t="s">
        <v>3070</v>
      </c>
      <c r="AS590" s="12"/>
      <c r="AT590" s="10" t="s">
        <v>3071</v>
      </c>
      <c r="AU590" s="10" t="s">
        <v>3072</v>
      </c>
      <c r="AV590" s="13"/>
    </row>
    <row r="591" ht="16.5" hidden="1" customHeight="1">
      <c r="A591" s="7" t="s">
        <v>3074</v>
      </c>
      <c r="B591" s="14" t="s">
        <v>49</v>
      </c>
      <c r="C591" s="14" t="s">
        <v>213</v>
      </c>
      <c r="D591" s="14" t="s">
        <v>214</v>
      </c>
      <c r="E591" s="7"/>
      <c r="F591" s="7">
        <v>7064.0</v>
      </c>
      <c r="G591" s="7">
        <v>7063.0</v>
      </c>
      <c r="H591" s="7" t="s">
        <v>53</v>
      </c>
      <c r="I591" s="7"/>
      <c r="J591" s="7"/>
      <c r="K591" s="8" t="s">
        <v>2008</v>
      </c>
      <c r="L591" s="8" t="s">
        <v>377</v>
      </c>
      <c r="M591" s="8"/>
      <c r="N591" s="8" t="s">
        <v>1610</v>
      </c>
      <c r="O591" s="8" t="s">
        <v>56</v>
      </c>
      <c r="P591" s="8" t="s">
        <v>57</v>
      </c>
      <c r="Q591" s="8" t="s">
        <v>3047</v>
      </c>
      <c r="R591" s="8">
        <v>0.6</v>
      </c>
      <c r="S591" s="8" t="s">
        <v>49</v>
      </c>
      <c r="T591" s="8" t="s">
        <v>49</v>
      </c>
      <c r="U591" s="8" t="s">
        <v>3063</v>
      </c>
      <c r="V591" s="8" t="s">
        <v>3064</v>
      </c>
      <c r="W591" s="8" t="s">
        <v>89</v>
      </c>
      <c r="X591" s="8" t="s">
        <v>108</v>
      </c>
      <c r="Y591" s="8" t="s">
        <v>1633</v>
      </c>
      <c r="Z591" s="8" t="s">
        <v>2969</v>
      </c>
      <c r="AA591" s="8" t="s">
        <v>231</v>
      </c>
      <c r="AB591" s="8" t="s">
        <v>60</v>
      </c>
      <c r="AC591" s="8" t="s">
        <v>219</v>
      </c>
      <c r="AD591" s="8" t="s">
        <v>3065</v>
      </c>
      <c r="AE591" s="8" t="s">
        <v>55</v>
      </c>
      <c r="AF591" s="8" t="s">
        <v>55</v>
      </c>
      <c r="AG591" s="8" t="s">
        <v>63</v>
      </c>
      <c r="AH591" s="8" t="s">
        <v>111</v>
      </c>
      <c r="AI591" s="8" t="s">
        <v>94</v>
      </c>
      <c r="AJ591" s="8" t="s">
        <v>49</v>
      </c>
      <c r="AK591" s="8" t="s">
        <v>2940</v>
      </c>
      <c r="AL591" s="8" t="s">
        <v>720</v>
      </c>
      <c r="AM591" s="8"/>
      <c r="AN591" s="9" t="s">
        <v>3075</v>
      </c>
      <c r="AO591" s="9" t="s">
        <v>3076</v>
      </c>
      <c r="AP591" s="10" t="s">
        <v>3068</v>
      </c>
      <c r="AQ591" s="10" t="s">
        <v>3069</v>
      </c>
      <c r="AR591" s="10" t="s">
        <v>3070</v>
      </c>
      <c r="AS591" s="12"/>
      <c r="AT591" s="10" t="s">
        <v>3071</v>
      </c>
      <c r="AU591" s="10" t="s">
        <v>3072</v>
      </c>
      <c r="AV591" s="13"/>
    </row>
    <row r="592" ht="16.5" hidden="1" customHeight="1">
      <c r="A592" s="7" t="s">
        <v>3077</v>
      </c>
      <c r="B592" s="7" t="s">
        <v>2007</v>
      </c>
      <c r="C592" s="7" t="s">
        <v>213</v>
      </c>
      <c r="D592" s="7" t="s">
        <v>214</v>
      </c>
      <c r="E592" s="7" t="s">
        <v>227</v>
      </c>
      <c r="F592" s="7">
        <v>7065.0</v>
      </c>
      <c r="G592" s="7"/>
      <c r="H592" s="7" t="s">
        <v>53</v>
      </c>
      <c r="I592" s="7"/>
      <c r="J592" s="7"/>
      <c r="K592" s="8" t="s">
        <v>2534</v>
      </c>
      <c r="L592" s="8" t="s">
        <v>3078</v>
      </c>
      <c r="M592" s="8"/>
      <c r="N592" s="8" t="s">
        <v>85</v>
      </c>
      <c r="O592" s="8" t="s">
        <v>56</v>
      </c>
      <c r="P592" s="8" t="s">
        <v>57</v>
      </c>
      <c r="Q592" s="8" t="s">
        <v>3079</v>
      </c>
      <c r="R592" s="8">
        <v>0.95</v>
      </c>
      <c r="S592" s="8" t="s">
        <v>49</v>
      </c>
      <c r="T592" s="8" t="s">
        <v>49</v>
      </c>
      <c r="U592" s="8" t="s">
        <v>3080</v>
      </c>
      <c r="V592" s="8" t="s">
        <v>1657</v>
      </c>
      <c r="W592" s="8" t="s">
        <v>89</v>
      </c>
      <c r="X592" s="8" t="s">
        <v>108</v>
      </c>
      <c r="Y592" s="8" t="s">
        <v>3081</v>
      </c>
      <c r="Z592" s="8" t="s">
        <v>1831</v>
      </c>
      <c r="AA592" s="8" t="s">
        <v>231</v>
      </c>
      <c r="AB592" s="8" t="s">
        <v>60</v>
      </c>
      <c r="AC592" s="8" t="s">
        <v>219</v>
      </c>
      <c r="AD592" s="8" t="s">
        <v>3082</v>
      </c>
      <c r="AE592" s="8" t="s">
        <v>55</v>
      </c>
      <c r="AF592" s="8" t="s">
        <v>55</v>
      </c>
      <c r="AG592" s="8" t="s">
        <v>3083</v>
      </c>
      <c r="AH592" s="8" t="s">
        <v>111</v>
      </c>
      <c r="AI592" s="8" t="s">
        <v>2060</v>
      </c>
      <c r="AJ592" s="8" t="s">
        <v>49</v>
      </c>
      <c r="AK592" s="8" t="s">
        <v>49</v>
      </c>
      <c r="AL592" s="8" t="s">
        <v>720</v>
      </c>
      <c r="AM592" s="8" t="s">
        <v>3084</v>
      </c>
      <c r="AN592" s="9" t="s">
        <v>3085</v>
      </c>
      <c r="AO592" s="9" t="s">
        <v>3086</v>
      </c>
      <c r="AP592" s="10" t="s">
        <v>3087</v>
      </c>
      <c r="AQ592" s="10" t="s">
        <v>3088</v>
      </c>
      <c r="AR592" s="19"/>
      <c r="AS592" s="12"/>
      <c r="AT592" s="11"/>
      <c r="AU592" s="10" t="s">
        <v>3089</v>
      </c>
      <c r="AV592" s="13"/>
    </row>
    <row r="593" ht="16.5" customHeight="1">
      <c r="A593" s="7" t="s">
        <v>3090</v>
      </c>
      <c r="B593" s="7" t="s">
        <v>2007</v>
      </c>
      <c r="C593" s="7" t="s">
        <v>213</v>
      </c>
      <c r="D593" s="7" t="s">
        <v>214</v>
      </c>
      <c r="E593" s="7" t="s">
        <v>227</v>
      </c>
      <c r="F593" s="7">
        <v>7065.0</v>
      </c>
      <c r="G593" s="7">
        <v>7065.0</v>
      </c>
      <c r="H593" s="14" t="s">
        <v>1134</v>
      </c>
      <c r="I593" s="7"/>
      <c r="J593" s="7"/>
      <c r="K593" s="8" t="s">
        <v>2534</v>
      </c>
      <c r="L593" s="8" t="s">
        <v>3078</v>
      </c>
      <c r="M593" s="8"/>
      <c r="N593" s="8" t="s">
        <v>85</v>
      </c>
      <c r="O593" s="8" t="s">
        <v>56</v>
      </c>
      <c r="P593" s="8" t="s">
        <v>57</v>
      </c>
      <c r="Q593" s="8" t="s">
        <v>3079</v>
      </c>
      <c r="R593" s="8">
        <v>0.95</v>
      </c>
      <c r="S593" s="8" t="s">
        <v>49</v>
      </c>
      <c r="T593" s="8" t="s">
        <v>49</v>
      </c>
      <c r="U593" s="8" t="s">
        <v>3080</v>
      </c>
      <c r="V593" s="8" t="s">
        <v>1657</v>
      </c>
      <c r="W593" s="8" t="s">
        <v>89</v>
      </c>
      <c r="X593" s="8" t="s">
        <v>108</v>
      </c>
      <c r="Y593" s="8" t="s">
        <v>3081</v>
      </c>
      <c r="Z593" s="8" t="s">
        <v>1831</v>
      </c>
      <c r="AA593" s="8" t="s">
        <v>231</v>
      </c>
      <c r="AB593" s="8" t="s">
        <v>60</v>
      </c>
      <c r="AC593" s="8" t="s">
        <v>219</v>
      </c>
      <c r="AD593" s="8" t="s">
        <v>3082</v>
      </c>
      <c r="AE593" s="8" t="s">
        <v>55</v>
      </c>
      <c r="AF593" s="8" t="s">
        <v>55</v>
      </c>
      <c r="AG593" s="8" t="s">
        <v>3083</v>
      </c>
      <c r="AH593" s="8" t="s">
        <v>111</v>
      </c>
      <c r="AI593" s="8" t="s">
        <v>2060</v>
      </c>
      <c r="AJ593" s="8" t="s">
        <v>49</v>
      </c>
      <c r="AK593" s="8" t="s">
        <v>1422</v>
      </c>
      <c r="AL593" s="8" t="s">
        <v>720</v>
      </c>
      <c r="AM593" s="8" t="s">
        <v>3084</v>
      </c>
      <c r="AN593" s="16" t="s">
        <v>3085</v>
      </c>
      <c r="AO593" s="9" t="s">
        <v>3086</v>
      </c>
      <c r="AP593" s="10" t="s">
        <v>3087</v>
      </c>
      <c r="AQ593" s="10" t="s">
        <v>3088</v>
      </c>
      <c r="AR593" s="19"/>
      <c r="AS593" s="12"/>
      <c r="AT593" s="11"/>
      <c r="AU593" s="10" t="s">
        <v>3089</v>
      </c>
      <c r="AV593" s="15">
        <v>46315.0</v>
      </c>
    </row>
    <row r="594" ht="16.5" customHeight="1">
      <c r="A594" s="7" t="s">
        <v>3091</v>
      </c>
      <c r="B594" s="7" t="s">
        <v>2007</v>
      </c>
      <c r="C594" s="7" t="s">
        <v>213</v>
      </c>
      <c r="D594" s="7" t="s">
        <v>214</v>
      </c>
      <c r="E594" s="7" t="s">
        <v>227</v>
      </c>
      <c r="F594" s="7">
        <v>7066.0</v>
      </c>
      <c r="G594" s="7">
        <v>7065.0</v>
      </c>
      <c r="H594" s="14" t="s">
        <v>1134</v>
      </c>
      <c r="I594" s="7"/>
      <c r="J594" s="7"/>
      <c r="K594" s="8" t="s">
        <v>2534</v>
      </c>
      <c r="L594" s="8" t="s">
        <v>3078</v>
      </c>
      <c r="M594" s="8"/>
      <c r="N594" s="8" t="s">
        <v>85</v>
      </c>
      <c r="O594" s="8" t="s">
        <v>56</v>
      </c>
      <c r="P594" s="8" t="s">
        <v>57</v>
      </c>
      <c r="Q594" s="8" t="s">
        <v>3079</v>
      </c>
      <c r="R594" s="8">
        <v>0.95</v>
      </c>
      <c r="S594" s="8" t="s">
        <v>49</v>
      </c>
      <c r="T594" s="8" t="s">
        <v>49</v>
      </c>
      <c r="U594" s="8" t="s">
        <v>3080</v>
      </c>
      <c r="V594" s="8" t="s">
        <v>1657</v>
      </c>
      <c r="W594" s="8" t="s">
        <v>1536</v>
      </c>
      <c r="X594" s="8" t="s">
        <v>108</v>
      </c>
      <c r="Y594" s="8" t="s">
        <v>3081</v>
      </c>
      <c r="Z594" s="8" t="s">
        <v>1831</v>
      </c>
      <c r="AA594" s="8" t="s">
        <v>231</v>
      </c>
      <c r="AB594" s="8" t="s">
        <v>60</v>
      </c>
      <c r="AC594" s="8" t="s">
        <v>219</v>
      </c>
      <c r="AD594" s="8" t="s">
        <v>3082</v>
      </c>
      <c r="AE594" s="8" t="s">
        <v>55</v>
      </c>
      <c r="AF594" s="8" t="s">
        <v>55</v>
      </c>
      <c r="AG594" s="8" t="s">
        <v>3083</v>
      </c>
      <c r="AH594" s="8" t="s">
        <v>111</v>
      </c>
      <c r="AI594" s="8" t="s">
        <v>2060</v>
      </c>
      <c r="AJ594" s="8" t="s">
        <v>49</v>
      </c>
      <c r="AK594" s="8" t="s">
        <v>1422</v>
      </c>
      <c r="AL594" s="8" t="s">
        <v>720</v>
      </c>
      <c r="AM594" s="8"/>
      <c r="AN594" s="9" t="s">
        <v>3092</v>
      </c>
      <c r="AO594" s="9" t="s">
        <v>3093</v>
      </c>
      <c r="AP594" s="10" t="s">
        <v>3087</v>
      </c>
      <c r="AQ594" s="10" t="s">
        <v>3088</v>
      </c>
      <c r="AR594" s="19"/>
      <c r="AS594" s="12"/>
      <c r="AT594" s="11"/>
      <c r="AU594" s="10" t="s">
        <v>3089</v>
      </c>
      <c r="AV594" s="15">
        <v>46315.0</v>
      </c>
    </row>
    <row r="595" ht="16.5" hidden="1" customHeight="1">
      <c r="A595" s="7" t="s">
        <v>3094</v>
      </c>
      <c r="B595" s="7" t="s">
        <v>2815</v>
      </c>
      <c r="C595" s="7" t="s">
        <v>213</v>
      </c>
      <c r="D595" s="7" t="s">
        <v>214</v>
      </c>
      <c r="E595" s="7" t="s">
        <v>227</v>
      </c>
      <c r="F595" s="7">
        <v>7067.0</v>
      </c>
      <c r="G595" s="7"/>
      <c r="H595" s="7" t="s">
        <v>53</v>
      </c>
      <c r="I595" s="7"/>
      <c r="J595" s="7"/>
      <c r="K595" s="8" t="s">
        <v>3095</v>
      </c>
      <c r="L595" s="8" t="s">
        <v>3096</v>
      </c>
      <c r="M595" s="8"/>
      <c r="N595" s="8" t="s">
        <v>1610</v>
      </c>
      <c r="O595" s="8" t="s">
        <v>56</v>
      </c>
      <c r="P595" s="8" t="s">
        <v>57</v>
      </c>
      <c r="Q595" s="8" t="s">
        <v>140</v>
      </c>
      <c r="R595" s="8">
        <v>0.95</v>
      </c>
      <c r="S595" s="8" t="s">
        <v>49</v>
      </c>
      <c r="T595" s="8" t="s">
        <v>49</v>
      </c>
      <c r="U595" s="8" t="s">
        <v>3097</v>
      </c>
      <c r="V595" s="8" t="s">
        <v>346</v>
      </c>
      <c r="W595" s="8" t="s">
        <v>89</v>
      </c>
      <c r="X595" s="8" t="s">
        <v>108</v>
      </c>
      <c r="Y595" s="8" t="s">
        <v>91</v>
      </c>
      <c r="Z595" s="8" t="s">
        <v>2969</v>
      </c>
      <c r="AA595" s="8" t="s">
        <v>231</v>
      </c>
      <c r="AB595" s="8" t="s">
        <v>60</v>
      </c>
      <c r="AC595" s="8" t="s">
        <v>219</v>
      </c>
      <c r="AD595" s="8" t="s">
        <v>3098</v>
      </c>
      <c r="AE595" s="8" t="s">
        <v>55</v>
      </c>
      <c r="AF595" s="8" t="s">
        <v>55</v>
      </c>
      <c r="AG595" s="8" t="s">
        <v>2818</v>
      </c>
      <c r="AH595" s="8" t="s">
        <v>111</v>
      </c>
      <c r="AI595" s="8" t="s">
        <v>65</v>
      </c>
      <c r="AJ595" s="8" t="s">
        <v>49</v>
      </c>
      <c r="AK595" s="8" t="s">
        <v>2940</v>
      </c>
      <c r="AL595" s="8" t="s">
        <v>720</v>
      </c>
      <c r="AM595" s="8" t="s">
        <v>3099</v>
      </c>
      <c r="AN595" s="9" t="s">
        <v>3100</v>
      </c>
      <c r="AO595" s="9" t="s">
        <v>3101</v>
      </c>
      <c r="AP595" s="10" t="s">
        <v>3102</v>
      </c>
      <c r="AQ595" s="10" t="s">
        <v>3103</v>
      </c>
      <c r="AR595" s="10" t="s">
        <v>3104</v>
      </c>
      <c r="AS595" s="12"/>
      <c r="AT595" s="10" t="s">
        <v>3105</v>
      </c>
      <c r="AU595" s="10" t="s">
        <v>3106</v>
      </c>
      <c r="AV595" s="15">
        <v>46315.0</v>
      </c>
    </row>
    <row r="596" ht="16.5" hidden="1" customHeight="1">
      <c r="A596" s="7" t="s">
        <v>3107</v>
      </c>
      <c r="B596" s="7" t="s">
        <v>2815</v>
      </c>
      <c r="C596" s="7" t="s">
        <v>213</v>
      </c>
      <c r="D596" s="7" t="s">
        <v>214</v>
      </c>
      <c r="E596" s="7" t="s">
        <v>227</v>
      </c>
      <c r="F596" s="7">
        <v>7068.0</v>
      </c>
      <c r="G596" s="7"/>
      <c r="H596" s="7" t="s">
        <v>53</v>
      </c>
      <c r="I596" s="7"/>
      <c r="J596" s="7"/>
      <c r="K596" s="8" t="s">
        <v>3095</v>
      </c>
      <c r="L596" s="8" t="s">
        <v>3096</v>
      </c>
      <c r="M596" s="8"/>
      <c r="N596" s="8" t="s">
        <v>1610</v>
      </c>
      <c r="O596" s="8" t="s">
        <v>56</v>
      </c>
      <c r="P596" s="8" t="s">
        <v>57</v>
      </c>
      <c r="Q596" s="8" t="s">
        <v>140</v>
      </c>
      <c r="R596" s="8">
        <v>0.95</v>
      </c>
      <c r="S596" s="8" t="s">
        <v>49</v>
      </c>
      <c r="T596" s="8" t="s">
        <v>49</v>
      </c>
      <c r="U596" s="8" t="s">
        <v>3108</v>
      </c>
      <c r="V596" s="8" t="s">
        <v>3109</v>
      </c>
      <c r="W596" s="8" t="s">
        <v>89</v>
      </c>
      <c r="X596" s="8" t="s">
        <v>108</v>
      </c>
      <c r="Y596" s="8" t="s">
        <v>143</v>
      </c>
      <c r="Z596" s="8" t="s">
        <v>1852</v>
      </c>
      <c r="AA596" s="8" t="s">
        <v>231</v>
      </c>
      <c r="AB596" s="8" t="s">
        <v>60</v>
      </c>
      <c r="AC596" s="8" t="s">
        <v>219</v>
      </c>
      <c r="AD596" s="8" t="s">
        <v>3110</v>
      </c>
      <c r="AE596" s="8" t="s">
        <v>55</v>
      </c>
      <c r="AF596" s="8" t="s">
        <v>55</v>
      </c>
      <c r="AG596" s="8" t="s">
        <v>2818</v>
      </c>
      <c r="AH596" s="8" t="s">
        <v>111</v>
      </c>
      <c r="AI596" s="8" t="s">
        <v>65</v>
      </c>
      <c r="AJ596" s="8" t="s">
        <v>49</v>
      </c>
      <c r="AK596" s="8" t="s">
        <v>2940</v>
      </c>
      <c r="AL596" s="8" t="s">
        <v>720</v>
      </c>
      <c r="AM596" s="8" t="s">
        <v>3099</v>
      </c>
      <c r="AN596" s="9" t="s">
        <v>3111</v>
      </c>
      <c r="AO596" s="9" t="s">
        <v>3112</v>
      </c>
      <c r="AP596" s="10" t="s">
        <v>3113</v>
      </c>
      <c r="AQ596" s="10" t="s">
        <v>3114</v>
      </c>
      <c r="AR596" s="10" t="s">
        <v>3115</v>
      </c>
      <c r="AS596" s="12"/>
      <c r="AT596" s="10" t="s">
        <v>3116</v>
      </c>
      <c r="AU596" s="10" t="s">
        <v>3117</v>
      </c>
      <c r="AV596" s="15">
        <v>46315.0</v>
      </c>
    </row>
    <row r="597" ht="16.5" hidden="1" customHeight="1">
      <c r="A597" s="7" t="s">
        <v>3118</v>
      </c>
      <c r="B597" s="7" t="s">
        <v>2815</v>
      </c>
      <c r="C597" s="7" t="s">
        <v>213</v>
      </c>
      <c r="D597" s="7" t="s">
        <v>214</v>
      </c>
      <c r="E597" s="7" t="s">
        <v>227</v>
      </c>
      <c r="F597" s="7">
        <v>7069.0</v>
      </c>
      <c r="G597" s="7"/>
      <c r="H597" s="7" t="s">
        <v>53</v>
      </c>
      <c r="I597" s="7"/>
      <c r="J597" s="7"/>
      <c r="K597" s="8" t="s">
        <v>1534</v>
      </c>
      <c r="L597" s="8" t="s">
        <v>1403</v>
      </c>
      <c r="M597" s="8"/>
      <c r="N597" s="8" t="s">
        <v>1610</v>
      </c>
      <c r="O597" s="8" t="s">
        <v>56</v>
      </c>
      <c r="P597" s="8" t="s">
        <v>57</v>
      </c>
      <c r="Q597" s="8" t="s">
        <v>140</v>
      </c>
      <c r="R597" s="8">
        <v>0.95</v>
      </c>
      <c r="S597" s="8" t="s">
        <v>49</v>
      </c>
      <c r="T597" s="8" t="s">
        <v>49</v>
      </c>
      <c r="U597" s="8" t="s">
        <v>3119</v>
      </c>
      <c r="V597" s="8" t="s">
        <v>160</v>
      </c>
      <c r="W597" s="8" t="s">
        <v>89</v>
      </c>
      <c r="X597" s="8" t="s">
        <v>108</v>
      </c>
      <c r="Y597" s="8" t="s">
        <v>1302</v>
      </c>
      <c r="Z597" s="8" t="s">
        <v>1852</v>
      </c>
      <c r="AA597" s="8" t="s">
        <v>231</v>
      </c>
      <c r="AB597" s="8" t="s">
        <v>60</v>
      </c>
      <c r="AC597" s="8" t="s">
        <v>219</v>
      </c>
      <c r="AD597" s="8" t="s">
        <v>3120</v>
      </c>
      <c r="AE597" s="8" t="s">
        <v>55</v>
      </c>
      <c r="AF597" s="8" t="s">
        <v>55</v>
      </c>
      <c r="AG597" s="8" t="s">
        <v>2818</v>
      </c>
      <c r="AH597" s="8" t="s">
        <v>111</v>
      </c>
      <c r="AI597" s="8" t="s">
        <v>65</v>
      </c>
      <c r="AJ597" s="8" t="s">
        <v>49</v>
      </c>
      <c r="AK597" s="8" t="s">
        <v>2940</v>
      </c>
      <c r="AL597" s="8" t="s">
        <v>720</v>
      </c>
      <c r="AM597" s="8" t="s">
        <v>3099</v>
      </c>
      <c r="AN597" s="9" t="s">
        <v>3121</v>
      </c>
      <c r="AO597" s="9" t="s">
        <v>3122</v>
      </c>
      <c r="AP597" s="10" t="s">
        <v>3123</v>
      </c>
      <c r="AQ597" s="10" t="s">
        <v>3124</v>
      </c>
      <c r="AR597" s="10" t="s">
        <v>3125</v>
      </c>
      <c r="AS597" s="12"/>
      <c r="AT597" s="10" t="s">
        <v>3126</v>
      </c>
      <c r="AU597" s="10" t="s">
        <v>3127</v>
      </c>
      <c r="AV597" s="15">
        <v>46315.0</v>
      </c>
    </row>
    <row r="598" ht="16.5" hidden="1" customHeight="1">
      <c r="A598" s="7" t="s">
        <v>3128</v>
      </c>
      <c r="B598" s="7" t="s">
        <v>2815</v>
      </c>
      <c r="C598" s="7" t="s">
        <v>213</v>
      </c>
      <c r="D598" s="7" t="s">
        <v>214</v>
      </c>
      <c r="E598" s="7" t="s">
        <v>227</v>
      </c>
      <c r="F598" s="7">
        <v>7070.0</v>
      </c>
      <c r="G598" s="7"/>
      <c r="H598" s="7" t="s">
        <v>53</v>
      </c>
      <c r="I598" s="7"/>
      <c r="J598" s="7"/>
      <c r="K598" s="8" t="s">
        <v>3095</v>
      </c>
      <c r="L598" s="8" t="s">
        <v>3096</v>
      </c>
      <c r="M598" s="8"/>
      <c r="N598" s="8" t="s">
        <v>1610</v>
      </c>
      <c r="O598" s="8" t="s">
        <v>56</v>
      </c>
      <c r="P598" s="8" t="s">
        <v>57</v>
      </c>
      <c r="Q598" s="8" t="s">
        <v>140</v>
      </c>
      <c r="R598" s="8">
        <v>0.95</v>
      </c>
      <c r="S598" s="8" t="s">
        <v>49</v>
      </c>
      <c r="T598" s="8" t="s">
        <v>49</v>
      </c>
      <c r="U598" s="8" t="s">
        <v>3129</v>
      </c>
      <c r="V598" s="8" t="s">
        <v>1253</v>
      </c>
      <c r="W598" s="8" t="s">
        <v>89</v>
      </c>
      <c r="X598" s="8" t="s">
        <v>108</v>
      </c>
      <c r="Y598" s="8" t="s">
        <v>161</v>
      </c>
      <c r="Z598" s="8" t="s">
        <v>1852</v>
      </c>
      <c r="AA598" s="8" t="s">
        <v>231</v>
      </c>
      <c r="AB598" s="8" t="s">
        <v>60</v>
      </c>
      <c r="AC598" s="8" t="s">
        <v>219</v>
      </c>
      <c r="AD598" s="8" t="s">
        <v>3130</v>
      </c>
      <c r="AE598" s="8" t="s">
        <v>55</v>
      </c>
      <c r="AF598" s="8" t="s">
        <v>55</v>
      </c>
      <c r="AG598" s="8" t="s">
        <v>2818</v>
      </c>
      <c r="AH598" s="8" t="s">
        <v>111</v>
      </c>
      <c r="AI598" s="8" t="s">
        <v>65</v>
      </c>
      <c r="AJ598" s="8" t="s">
        <v>49</v>
      </c>
      <c r="AK598" s="8" t="s">
        <v>2940</v>
      </c>
      <c r="AL598" s="8" t="s">
        <v>720</v>
      </c>
      <c r="AM598" s="8" t="s">
        <v>3099</v>
      </c>
      <c r="AN598" s="9" t="s">
        <v>3131</v>
      </c>
      <c r="AO598" s="9" t="s">
        <v>3132</v>
      </c>
      <c r="AP598" s="10" t="s">
        <v>3133</v>
      </c>
      <c r="AQ598" s="10" t="s">
        <v>3134</v>
      </c>
      <c r="AR598" s="10" t="s">
        <v>3135</v>
      </c>
      <c r="AS598" s="12"/>
      <c r="AT598" s="10" t="s">
        <v>3136</v>
      </c>
      <c r="AU598" s="10" t="s">
        <v>3137</v>
      </c>
      <c r="AV598" s="13"/>
    </row>
    <row r="599" ht="16.5" hidden="1" customHeight="1">
      <c r="A599" s="7" t="s">
        <v>3138</v>
      </c>
      <c r="B599" s="7" t="s">
        <v>2815</v>
      </c>
      <c r="C599" s="7" t="s">
        <v>213</v>
      </c>
      <c r="D599" s="7" t="s">
        <v>214</v>
      </c>
      <c r="E599" s="7" t="s">
        <v>227</v>
      </c>
      <c r="F599" s="7">
        <v>7071.0</v>
      </c>
      <c r="G599" s="7"/>
      <c r="H599" s="7" t="s">
        <v>53</v>
      </c>
      <c r="I599" s="7"/>
      <c r="J599" s="7"/>
      <c r="K599" s="8" t="s">
        <v>3095</v>
      </c>
      <c r="L599" s="8" t="s">
        <v>3096</v>
      </c>
      <c r="M599" s="8"/>
      <c r="N599" s="8" t="s">
        <v>1610</v>
      </c>
      <c r="O599" s="8" t="s">
        <v>56</v>
      </c>
      <c r="P599" s="8" t="s">
        <v>57</v>
      </c>
      <c r="Q599" s="8" t="s">
        <v>140</v>
      </c>
      <c r="R599" s="8">
        <v>0.95</v>
      </c>
      <c r="S599" s="8" t="s">
        <v>49</v>
      </c>
      <c r="T599" s="8" t="s">
        <v>49</v>
      </c>
      <c r="U599" s="8" t="s">
        <v>3139</v>
      </c>
      <c r="V599" s="8" t="s">
        <v>1796</v>
      </c>
      <c r="W599" s="8" t="s">
        <v>89</v>
      </c>
      <c r="X599" s="8" t="s">
        <v>108</v>
      </c>
      <c r="Y599" s="8" t="s">
        <v>432</v>
      </c>
      <c r="Z599" s="8" t="s">
        <v>2382</v>
      </c>
      <c r="AA599" s="8" t="s">
        <v>231</v>
      </c>
      <c r="AB599" s="8" t="s">
        <v>60</v>
      </c>
      <c r="AC599" s="8" t="s">
        <v>219</v>
      </c>
      <c r="AD599" s="8" t="s">
        <v>3140</v>
      </c>
      <c r="AE599" s="8" t="s">
        <v>55</v>
      </c>
      <c r="AF599" s="8" t="s">
        <v>55</v>
      </c>
      <c r="AG599" s="8" t="s">
        <v>2818</v>
      </c>
      <c r="AH599" s="8" t="s">
        <v>111</v>
      </c>
      <c r="AI599" s="8" t="s">
        <v>65</v>
      </c>
      <c r="AJ599" s="8" t="s">
        <v>49</v>
      </c>
      <c r="AK599" s="8" t="s">
        <v>2940</v>
      </c>
      <c r="AL599" s="8" t="s">
        <v>720</v>
      </c>
      <c r="AM599" s="8" t="s">
        <v>3099</v>
      </c>
      <c r="AN599" s="9" t="s">
        <v>3141</v>
      </c>
      <c r="AO599" s="9" t="s">
        <v>3142</v>
      </c>
      <c r="AP599" s="10" t="s">
        <v>3143</v>
      </c>
      <c r="AQ599" s="10" t="s">
        <v>3144</v>
      </c>
      <c r="AR599" s="10" t="s">
        <v>3145</v>
      </c>
      <c r="AS599" s="12"/>
      <c r="AT599" s="10" t="s">
        <v>3146</v>
      </c>
      <c r="AU599" s="10" t="s">
        <v>3147</v>
      </c>
      <c r="AV599" s="15">
        <v>46315.0</v>
      </c>
    </row>
    <row r="600" ht="16.5" hidden="1" customHeight="1">
      <c r="A600" s="7" t="s">
        <v>3148</v>
      </c>
      <c r="B600" s="7" t="s">
        <v>2815</v>
      </c>
      <c r="C600" s="7" t="s">
        <v>50</v>
      </c>
      <c r="D600" s="7" t="s">
        <v>51</v>
      </c>
      <c r="E600" s="7" t="s">
        <v>227</v>
      </c>
      <c r="F600" s="7">
        <v>7072.0</v>
      </c>
      <c r="G600" s="7"/>
      <c r="H600" s="7" t="s">
        <v>53</v>
      </c>
      <c r="I600" s="7"/>
      <c r="J600" s="7"/>
      <c r="K600" s="8" t="s">
        <v>1534</v>
      </c>
      <c r="L600" s="8" t="s">
        <v>1403</v>
      </c>
      <c r="M600" s="8"/>
      <c r="N600" s="8" t="s">
        <v>85</v>
      </c>
      <c r="O600" s="8" t="s">
        <v>217</v>
      </c>
      <c r="P600" s="8" t="s">
        <v>57</v>
      </c>
      <c r="Q600" s="8" t="s">
        <v>334</v>
      </c>
      <c r="R600" s="8">
        <v>0.5</v>
      </c>
      <c r="S600" s="8" t="s">
        <v>49</v>
      </c>
      <c r="T600" s="8" t="s">
        <v>49</v>
      </c>
      <c r="U600" s="8" t="s">
        <v>3149</v>
      </c>
      <c r="V600" s="8" t="s">
        <v>414</v>
      </c>
      <c r="W600" s="8" t="s">
        <v>89</v>
      </c>
      <c r="X600" s="8" t="s">
        <v>1797</v>
      </c>
      <c r="Y600" s="8" t="s">
        <v>3150</v>
      </c>
      <c r="Z600" s="8" t="s">
        <v>2969</v>
      </c>
      <c r="AA600" s="8" t="s">
        <v>231</v>
      </c>
      <c r="AB600" s="8" t="s">
        <v>60</v>
      </c>
      <c r="AC600" s="8" t="s">
        <v>61</v>
      </c>
      <c r="AD600" s="8" t="s">
        <v>3151</v>
      </c>
      <c r="AE600" s="8" t="s">
        <v>55</v>
      </c>
      <c r="AF600" s="8" t="s">
        <v>55</v>
      </c>
      <c r="AG600" s="8" t="s">
        <v>2818</v>
      </c>
      <c r="AH600" s="8" t="s">
        <v>111</v>
      </c>
      <c r="AI600" s="8" t="s">
        <v>65</v>
      </c>
      <c r="AJ600" s="8" t="s">
        <v>49</v>
      </c>
      <c r="AK600" s="8" t="s">
        <v>2940</v>
      </c>
      <c r="AL600" s="8" t="s">
        <v>720</v>
      </c>
      <c r="AM600" s="8" t="s">
        <v>3152</v>
      </c>
      <c r="AN600" s="9" t="s">
        <v>3153</v>
      </c>
      <c r="AO600" s="9" t="s">
        <v>3154</v>
      </c>
      <c r="AP600" s="10" t="s">
        <v>3155</v>
      </c>
      <c r="AQ600" s="10" t="s">
        <v>3156</v>
      </c>
      <c r="AR600" s="10" t="s">
        <v>3157</v>
      </c>
      <c r="AS600" s="12"/>
      <c r="AT600" s="10" t="s">
        <v>3158</v>
      </c>
      <c r="AU600" s="10" t="s">
        <v>3159</v>
      </c>
      <c r="AV600" s="15">
        <v>46315.0</v>
      </c>
    </row>
    <row r="601" ht="16.5" hidden="1" customHeight="1">
      <c r="A601" s="7" t="s">
        <v>3160</v>
      </c>
      <c r="B601" s="7" t="s">
        <v>49</v>
      </c>
      <c r="C601" s="7" t="s">
        <v>213</v>
      </c>
      <c r="D601" s="7" t="s">
        <v>214</v>
      </c>
      <c r="E601" s="7" t="s">
        <v>227</v>
      </c>
      <c r="F601" s="7">
        <v>7073.0</v>
      </c>
      <c r="G601" s="7"/>
      <c r="H601" s="7" t="s">
        <v>53</v>
      </c>
      <c r="I601" s="7"/>
      <c r="J601" s="7"/>
      <c r="K601" s="8" t="s">
        <v>3095</v>
      </c>
      <c r="L601" s="8" t="s">
        <v>3096</v>
      </c>
      <c r="M601" s="8"/>
      <c r="N601" s="8" t="s">
        <v>1610</v>
      </c>
      <c r="O601" s="8" t="s">
        <v>56</v>
      </c>
      <c r="P601" s="8" t="s">
        <v>57</v>
      </c>
      <c r="Q601" s="8" t="s">
        <v>140</v>
      </c>
      <c r="R601" s="8">
        <v>0.97</v>
      </c>
      <c r="S601" s="8" t="s">
        <v>49</v>
      </c>
      <c r="T601" s="8" t="s">
        <v>49</v>
      </c>
      <c r="U601" s="8" t="s">
        <v>3161</v>
      </c>
      <c r="V601" s="8" t="s">
        <v>1163</v>
      </c>
      <c r="W601" s="8" t="s">
        <v>89</v>
      </c>
      <c r="X601" s="8" t="s">
        <v>108</v>
      </c>
      <c r="Y601" s="8" t="s">
        <v>161</v>
      </c>
      <c r="Z601" s="8" t="s">
        <v>92</v>
      </c>
      <c r="AA601" s="8" t="s">
        <v>231</v>
      </c>
      <c r="AB601" s="8" t="s">
        <v>60</v>
      </c>
      <c r="AC601" s="8" t="s">
        <v>219</v>
      </c>
      <c r="AD601" s="8" t="s">
        <v>3162</v>
      </c>
      <c r="AE601" s="8" t="s">
        <v>55</v>
      </c>
      <c r="AF601" s="8" t="s">
        <v>55</v>
      </c>
      <c r="AG601" s="8" t="s">
        <v>63</v>
      </c>
      <c r="AH601" s="8" t="s">
        <v>111</v>
      </c>
      <c r="AI601" s="8" t="s">
        <v>65</v>
      </c>
      <c r="AJ601" s="8" t="s">
        <v>49</v>
      </c>
      <c r="AK601" s="8" t="s">
        <v>2940</v>
      </c>
      <c r="AL601" s="8" t="s">
        <v>720</v>
      </c>
      <c r="AM601" s="8" t="s">
        <v>2953</v>
      </c>
      <c r="AN601" s="9" t="s">
        <v>3163</v>
      </c>
      <c r="AO601" s="9" t="s">
        <v>3164</v>
      </c>
      <c r="AP601" s="10" t="s">
        <v>3165</v>
      </c>
      <c r="AQ601" s="10" t="s">
        <v>3166</v>
      </c>
      <c r="AR601" s="10" t="s">
        <v>3167</v>
      </c>
      <c r="AS601" s="12"/>
      <c r="AT601" s="10" t="s">
        <v>3168</v>
      </c>
      <c r="AU601" s="10" t="s">
        <v>3169</v>
      </c>
      <c r="AV601" s="15">
        <v>46315.0</v>
      </c>
    </row>
    <row r="602" ht="16.5" hidden="1" customHeight="1">
      <c r="A602" s="7" t="s">
        <v>3170</v>
      </c>
      <c r="B602" s="7" t="s">
        <v>49</v>
      </c>
      <c r="C602" s="7" t="s">
        <v>213</v>
      </c>
      <c r="D602" s="7" t="s">
        <v>214</v>
      </c>
      <c r="E602" s="7" t="s">
        <v>227</v>
      </c>
      <c r="F602" s="7">
        <v>7074.0</v>
      </c>
      <c r="G602" s="7"/>
      <c r="H602" s="7" t="s">
        <v>53</v>
      </c>
      <c r="I602" s="7"/>
      <c r="J602" s="7"/>
      <c r="K602" s="8" t="s">
        <v>3095</v>
      </c>
      <c r="L602" s="8" t="s">
        <v>3096</v>
      </c>
      <c r="M602" s="8"/>
      <c r="N602" s="8" t="s">
        <v>1610</v>
      </c>
      <c r="O602" s="8" t="s">
        <v>56</v>
      </c>
      <c r="P602" s="8" t="s">
        <v>57</v>
      </c>
      <c r="Q602" s="8" t="s">
        <v>140</v>
      </c>
      <c r="R602" s="8">
        <v>0.95</v>
      </c>
      <c r="S602" s="8" t="s">
        <v>49</v>
      </c>
      <c r="T602" s="8" t="s">
        <v>49</v>
      </c>
      <c r="U602" s="8" t="s">
        <v>3171</v>
      </c>
      <c r="V602" s="8" t="s">
        <v>128</v>
      </c>
      <c r="W602" s="8" t="s">
        <v>89</v>
      </c>
      <c r="X602" s="8" t="s">
        <v>108</v>
      </c>
      <c r="Y602" s="8" t="s">
        <v>2938</v>
      </c>
      <c r="Z602" s="8" t="s">
        <v>1831</v>
      </c>
      <c r="AA602" s="8" t="s">
        <v>231</v>
      </c>
      <c r="AB602" s="8" t="s">
        <v>60</v>
      </c>
      <c r="AC602" s="8" t="s">
        <v>219</v>
      </c>
      <c r="AD602" s="8" t="s">
        <v>3172</v>
      </c>
      <c r="AE602" s="8" t="s">
        <v>55</v>
      </c>
      <c r="AF602" s="8" t="s">
        <v>55</v>
      </c>
      <c r="AG602" s="8" t="s">
        <v>63</v>
      </c>
      <c r="AH602" s="8" t="s">
        <v>111</v>
      </c>
      <c r="AI602" s="8" t="s">
        <v>3173</v>
      </c>
      <c r="AJ602" s="8" t="s">
        <v>49</v>
      </c>
      <c r="AK602" s="8" t="s">
        <v>49</v>
      </c>
      <c r="AL602" s="8" t="s">
        <v>720</v>
      </c>
      <c r="AM602" s="8" t="s">
        <v>3174</v>
      </c>
      <c r="AN602" s="9" t="s">
        <v>3175</v>
      </c>
      <c r="AO602" s="9" t="s">
        <v>3176</v>
      </c>
      <c r="AP602" s="10" t="s">
        <v>3177</v>
      </c>
      <c r="AQ602" s="10" t="s">
        <v>3178</v>
      </c>
      <c r="AR602" s="18" t="s">
        <v>3179</v>
      </c>
      <c r="AS602" s="12"/>
      <c r="AT602" s="10" t="s">
        <v>3180</v>
      </c>
      <c r="AU602" s="10" t="s">
        <v>3181</v>
      </c>
      <c r="AV602" s="13"/>
    </row>
    <row r="603" ht="16.5" hidden="1" customHeight="1">
      <c r="A603" s="7" t="s">
        <v>3182</v>
      </c>
      <c r="B603" s="7" t="s">
        <v>49</v>
      </c>
      <c r="C603" s="7" t="s">
        <v>213</v>
      </c>
      <c r="D603" s="7" t="s">
        <v>214</v>
      </c>
      <c r="E603" s="7" t="s">
        <v>227</v>
      </c>
      <c r="F603" s="7">
        <v>7074.0</v>
      </c>
      <c r="G603" s="7">
        <v>7074.0</v>
      </c>
      <c r="H603" s="7" t="s">
        <v>53</v>
      </c>
      <c r="I603" s="7"/>
      <c r="J603" s="7"/>
      <c r="K603" s="8" t="s">
        <v>3095</v>
      </c>
      <c r="L603" s="8" t="s">
        <v>3096</v>
      </c>
      <c r="M603" s="8"/>
      <c r="N603" s="8" t="s">
        <v>1610</v>
      </c>
      <c r="O603" s="8" t="s">
        <v>56</v>
      </c>
      <c r="P603" s="8" t="s">
        <v>57</v>
      </c>
      <c r="Q603" s="8" t="s">
        <v>140</v>
      </c>
      <c r="R603" s="8">
        <v>0.95</v>
      </c>
      <c r="S603" s="8" t="s">
        <v>49</v>
      </c>
      <c r="T603" s="8" t="s">
        <v>49</v>
      </c>
      <c r="U603" s="8" t="s">
        <v>3171</v>
      </c>
      <c r="V603" s="8" t="s">
        <v>128</v>
      </c>
      <c r="W603" s="8" t="s">
        <v>89</v>
      </c>
      <c r="X603" s="8" t="s">
        <v>108</v>
      </c>
      <c r="Y603" s="8" t="s">
        <v>2938</v>
      </c>
      <c r="Z603" s="8" t="s">
        <v>1831</v>
      </c>
      <c r="AA603" s="8" t="s">
        <v>231</v>
      </c>
      <c r="AB603" s="8" t="s">
        <v>60</v>
      </c>
      <c r="AC603" s="8" t="s">
        <v>219</v>
      </c>
      <c r="AD603" s="8" t="s">
        <v>3172</v>
      </c>
      <c r="AE603" s="8" t="s">
        <v>55</v>
      </c>
      <c r="AF603" s="8" t="s">
        <v>55</v>
      </c>
      <c r="AG603" s="8" t="s">
        <v>63</v>
      </c>
      <c r="AH603" s="8" t="s">
        <v>111</v>
      </c>
      <c r="AI603" s="8" t="s">
        <v>3173</v>
      </c>
      <c r="AJ603" s="8" t="s">
        <v>49</v>
      </c>
      <c r="AK603" s="8" t="s">
        <v>2940</v>
      </c>
      <c r="AL603" s="8" t="s">
        <v>720</v>
      </c>
      <c r="AM603" s="8" t="s">
        <v>3174</v>
      </c>
      <c r="AN603" s="9" t="s">
        <v>3175</v>
      </c>
      <c r="AO603" s="9" t="s">
        <v>3176</v>
      </c>
      <c r="AP603" s="10" t="s">
        <v>3177</v>
      </c>
      <c r="AQ603" s="10" t="s">
        <v>3178</v>
      </c>
      <c r="AR603" s="18" t="s">
        <v>3179</v>
      </c>
      <c r="AS603" s="12"/>
      <c r="AT603" s="10" t="s">
        <v>3180</v>
      </c>
      <c r="AU603" s="10" t="s">
        <v>3181</v>
      </c>
      <c r="AV603" s="15">
        <v>46315.0</v>
      </c>
    </row>
    <row r="604" ht="16.5" hidden="1" customHeight="1">
      <c r="A604" s="7" t="s">
        <v>3183</v>
      </c>
      <c r="B604" s="14" t="s">
        <v>49</v>
      </c>
      <c r="C604" s="14" t="s">
        <v>213</v>
      </c>
      <c r="D604" s="14" t="s">
        <v>214</v>
      </c>
      <c r="E604" s="7"/>
      <c r="F604" s="7">
        <v>7075.0</v>
      </c>
      <c r="G604" s="7">
        <v>7074.0</v>
      </c>
      <c r="H604" s="7" t="s">
        <v>53</v>
      </c>
      <c r="I604" s="7"/>
      <c r="J604" s="7"/>
      <c r="K604" s="8" t="s">
        <v>3095</v>
      </c>
      <c r="L604" s="8" t="s">
        <v>3096</v>
      </c>
      <c r="M604" s="8"/>
      <c r="N604" s="8" t="s">
        <v>1610</v>
      </c>
      <c r="O604" s="8" t="s">
        <v>56</v>
      </c>
      <c r="P604" s="8" t="s">
        <v>57</v>
      </c>
      <c r="Q604" s="8" t="s">
        <v>140</v>
      </c>
      <c r="R604" s="8">
        <v>0.95</v>
      </c>
      <c r="S604" s="8" t="s">
        <v>49</v>
      </c>
      <c r="T604" s="8" t="s">
        <v>49</v>
      </c>
      <c r="U604" s="8" t="s">
        <v>3171</v>
      </c>
      <c r="V604" s="8" t="s">
        <v>128</v>
      </c>
      <c r="W604" s="8" t="s">
        <v>89</v>
      </c>
      <c r="X604" s="8" t="s">
        <v>108</v>
      </c>
      <c r="Y604" s="8" t="s">
        <v>2938</v>
      </c>
      <c r="Z604" s="8" t="s">
        <v>1831</v>
      </c>
      <c r="AA604" s="8" t="s">
        <v>231</v>
      </c>
      <c r="AB604" s="8" t="s">
        <v>60</v>
      </c>
      <c r="AC604" s="8" t="s">
        <v>219</v>
      </c>
      <c r="AD604" s="8" t="s">
        <v>3172</v>
      </c>
      <c r="AE604" s="8" t="s">
        <v>55</v>
      </c>
      <c r="AF604" s="8" t="s">
        <v>55</v>
      </c>
      <c r="AG604" s="8" t="s">
        <v>63</v>
      </c>
      <c r="AH604" s="8" t="s">
        <v>111</v>
      </c>
      <c r="AI604" s="8" t="s">
        <v>94</v>
      </c>
      <c r="AJ604" s="8" t="s">
        <v>49</v>
      </c>
      <c r="AK604" s="8" t="s">
        <v>2940</v>
      </c>
      <c r="AL604" s="8" t="s">
        <v>720</v>
      </c>
      <c r="AM604" s="8"/>
      <c r="AN604" s="9" t="s">
        <v>3184</v>
      </c>
      <c r="AO604" s="9" t="s">
        <v>3185</v>
      </c>
      <c r="AP604" s="10" t="s">
        <v>3177</v>
      </c>
      <c r="AQ604" s="10" t="s">
        <v>3178</v>
      </c>
      <c r="AR604" s="18" t="s">
        <v>3179</v>
      </c>
      <c r="AS604" s="12"/>
      <c r="AT604" s="10" t="s">
        <v>3180</v>
      </c>
      <c r="AU604" s="10" t="s">
        <v>3181</v>
      </c>
      <c r="AV604" s="15">
        <v>46315.0</v>
      </c>
    </row>
    <row r="605" ht="16.5" hidden="1" customHeight="1">
      <c r="A605" s="7" t="s">
        <v>3186</v>
      </c>
      <c r="B605" s="14" t="s">
        <v>49</v>
      </c>
      <c r="C605" s="14" t="s">
        <v>213</v>
      </c>
      <c r="D605" s="14" t="s">
        <v>214</v>
      </c>
      <c r="E605" s="7"/>
      <c r="F605" s="7">
        <v>7076.0</v>
      </c>
      <c r="G605" s="7">
        <v>7074.0</v>
      </c>
      <c r="H605" s="7" t="s">
        <v>53</v>
      </c>
      <c r="I605" s="7"/>
      <c r="J605" s="7"/>
      <c r="K605" s="8" t="s">
        <v>3095</v>
      </c>
      <c r="L605" s="8" t="s">
        <v>3096</v>
      </c>
      <c r="M605" s="8"/>
      <c r="N605" s="8" t="s">
        <v>1610</v>
      </c>
      <c r="O605" s="8" t="s">
        <v>56</v>
      </c>
      <c r="P605" s="8" t="s">
        <v>57</v>
      </c>
      <c r="Q605" s="8" t="s">
        <v>140</v>
      </c>
      <c r="R605" s="8">
        <v>0.95</v>
      </c>
      <c r="S605" s="8" t="s">
        <v>49</v>
      </c>
      <c r="T605" s="8" t="s">
        <v>49</v>
      </c>
      <c r="U605" s="8" t="s">
        <v>3187</v>
      </c>
      <c r="V605" s="8" t="s">
        <v>1315</v>
      </c>
      <c r="W605" s="8" t="s">
        <v>89</v>
      </c>
      <c r="X605" s="8" t="s">
        <v>1797</v>
      </c>
      <c r="Y605" s="8" t="s">
        <v>3188</v>
      </c>
      <c r="Z605" s="8" t="s">
        <v>1831</v>
      </c>
      <c r="AA605" s="8" t="s">
        <v>231</v>
      </c>
      <c r="AB605" s="8" t="s">
        <v>60</v>
      </c>
      <c r="AC605" s="8" t="s">
        <v>219</v>
      </c>
      <c r="AD605" s="8" t="s">
        <v>3189</v>
      </c>
      <c r="AE605" s="8" t="s">
        <v>55</v>
      </c>
      <c r="AF605" s="8" t="s">
        <v>55</v>
      </c>
      <c r="AG605" s="8" t="s">
        <v>63</v>
      </c>
      <c r="AH605" s="8" t="s">
        <v>111</v>
      </c>
      <c r="AI605" s="8" t="s">
        <v>94</v>
      </c>
      <c r="AJ605" s="8" t="s">
        <v>49</v>
      </c>
      <c r="AK605" s="8" t="s">
        <v>2940</v>
      </c>
      <c r="AL605" s="8" t="s">
        <v>720</v>
      </c>
      <c r="AM605" s="8"/>
      <c r="AN605" s="9" t="s">
        <v>3190</v>
      </c>
      <c r="AO605" s="9" t="s">
        <v>3191</v>
      </c>
      <c r="AP605" s="10" t="s">
        <v>3177</v>
      </c>
      <c r="AQ605" s="10" t="s">
        <v>3192</v>
      </c>
      <c r="AR605" s="10" t="s">
        <v>3193</v>
      </c>
      <c r="AS605" s="12"/>
      <c r="AT605" s="10" t="s">
        <v>3194</v>
      </c>
      <c r="AU605" s="10" t="s">
        <v>3195</v>
      </c>
      <c r="AV605" s="13"/>
    </row>
    <row r="606" ht="16.5" hidden="1" customHeight="1">
      <c r="A606" s="7" t="s">
        <v>3196</v>
      </c>
      <c r="B606" s="7" t="s">
        <v>3197</v>
      </c>
      <c r="C606" s="7" t="s">
        <v>213</v>
      </c>
      <c r="D606" s="7" t="s">
        <v>214</v>
      </c>
      <c r="E606" s="7" t="s">
        <v>227</v>
      </c>
      <c r="F606" s="7">
        <v>7077.0</v>
      </c>
      <c r="G606" s="7"/>
      <c r="H606" s="7" t="s">
        <v>53</v>
      </c>
      <c r="I606" s="7"/>
      <c r="J606" s="7"/>
      <c r="K606" s="8" t="s">
        <v>84</v>
      </c>
      <c r="L606" s="8" t="s">
        <v>377</v>
      </c>
      <c r="M606" s="8"/>
      <c r="N606" s="8" t="s">
        <v>85</v>
      </c>
      <c r="O606" s="8" t="s">
        <v>56</v>
      </c>
      <c r="P606" s="8" t="s">
        <v>57</v>
      </c>
      <c r="Q606" s="8" t="s">
        <v>1887</v>
      </c>
      <c r="R606" s="8">
        <v>0.6</v>
      </c>
      <c r="S606" s="8" t="s">
        <v>49</v>
      </c>
      <c r="T606" s="8" t="s">
        <v>49</v>
      </c>
      <c r="U606" s="8" t="s">
        <v>3198</v>
      </c>
      <c r="V606" s="8" t="s">
        <v>1851</v>
      </c>
      <c r="W606" s="8" t="s">
        <v>89</v>
      </c>
      <c r="X606" s="8" t="s">
        <v>108</v>
      </c>
      <c r="Y606" s="8" t="s">
        <v>1316</v>
      </c>
      <c r="Z606" s="8" t="s">
        <v>2382</v>
      </c>
      <c r="AA606" s="8" t="s">
        <v>231</v>
      </c>
      <c r="AB606" s="8" t="s">
        <v>60</v>
      </c>
      <c r="AC606" s="8" t="s">
        <v>219</v>
      </c>
      <c r="AD606" s="8" t="s">
        <v>3199</v>
      </c>
      <c r="AE606" s="8" t="s">
        <v>55</v>
      </c>
      <c r="AF606" s="8" t="s">
        <v>55</v>
      </c>
      <c r="AG606" s="8" t="s">
        <v>63</v>
      </c>
      <c r="AH606" s="8" t="s">
        <v>64</v>
      </c>
      <c r="AI606" s="8" t="s">
        <v>65</v>
      </c>
      <c r="AJ606" s="8" t="s">
        <v>49</v>
      </c>
      <c r="AK606" s="8" t="s">
        <v>49</v>
      </c>
      <c r="AL606" s="8" t="s">
        <v>66</v>
      </c>
      <c r="AM606" s="8" t="s">
        <v>3200</v>
      </c>
      <c r="AN606" s="9" t="s">
        <v>3201</v>
      </c>
      <c r="AO606" s="9" t="s">
        <v>3202</v>
      </c>
      <c r="AP606" s="10" t="s">
        <v>3203</v>
      </c>
      <c r="AQ606" s="10" t="s">
        <v>3204</v>
      </c>
      <c r="AR606" s="10" t="s">
        <v>3205</v>
      </c>
      <c r="AS606" s="12"/>
      <c r="AT606" s="10" t="s">
        <v>3206</v>
      </c>
      <c r="AU606" s="10" t="s">
        <v>3207</v>
      </c>
      <c r="AV606" s="13"/>
    </row>
    <row r="607" ht="16.5" hidden="1" customHeight="1">
      <c r="A607" s="7" t="s">
        <v>3208</v>
      </c>
      <c r="B607" s="7" t="s">
        <v>3197</v>
      </c>
      <c r="C607" s="7" t="s">
        <v>213</v>
      </c>
      <c r="D607" s="7" t="s">
        <v>214</v>
      </c>
      <c r="E607" s="7" t="s">
        <v>227</v>
      </c>
      <c r="F607" s="7">
        <v>7077.0</v>
      </c>
      <c r="G607" s="7">
        <v>7077.0</v>
      </c>
      <c r="H607" s="7" t="s">
        <v>53</v>
      </c>
      <c r="I607" s="7"/>
      <c r="J607" s="7"/>
      <c r="K607" s="8" t="s">
        <v>84</v>
      </c>
      <c r="L607" s="8" t="s">
        <v>377</v>
      </c>
      <c r="M607" s="8"/>
      <c r="N607" s="8" t="s">
        <v>85</v>
      </c>
      <c r="O607" s="8" t="s">
        <v>56</v>
      </c>
      <c r="P607" s="8" t="s">
        <v>57</v>
      </c>
      <c r="Q607" s="8" t="s">
        <v>1887</v>
      </c>
      <c r="R607" s="8">
        <v>0.6</v>
      </c>
      <c r="S607" s="8" t="s">
        <v>49</v>
      </c>
      <c r="T607" s="8" t="s">
        <v>49</v>
      </c>
      <c r="U607" s="8" t="s">
        <v>3198</v>
      </c>
      <c r="V607" s="8" t="s">
        <v>1851</v>
      </c>
      <c r="W607" s="8" t="s">
        <v>89</v>
      </c>
      <c r="X607" s="8" t="s">
        <v>108</v>
      </c>
      <c r="Y607" s="8" t="s">
        <v>1316</v>
      </c>
      <c r="Z607" s="8" t="s">
        <v>2382</v>
      </c>
      <c r="AA607" s="8" t="s">
        <v>231</v>
      </c>
      <c r="AB607" s="8" t="s">
        <v>60</v>
      </c>
      <c r="AC607" s="8" t="s">
        <v>219</v>
      </c>
      <c r="AD607" s="8" t="s">
        <v>3199</v>
      </c>
      <c r="AE607" s="8" t="s">
        <v>55</v>
      </c>
      <c r="AF607" s="8" t="s">
        <v>55</v>
      </c>
      <c r="AG607" s="8" t="s">
        <v>63</v>
      </c>
      <c r="AH607" s="8" t="s">
        <v>64</v>
      </c>
      <c r="AI607" s="8" t="s">
        <v>65</v>
      </c>
      <c r="AJ607" s="8" t="s">
        <v>49</v>
      </c>
      <c r="AK607" s="8" t="s">
        <v>95</v>
      </c>
      <c r="AL607" s="8" t="s">
        <v>66</v>
      </c>
      <c r="AM607" s="8" t="s">
        <v>3200</v>
      </c>
      <c r="AN607" s="9" t="s">
        <v>3201</v>
      </c>
      <c r="AO607" s="9" t="s">
        <v>3202</v>
      </c>
      <c r="AP607" s="10" t="s">
        <v>3203</v>
      </c>
      <c r="AQ607" s="10" t="s">
        <v>3204</v>
      </c>
      <c r="AR607" s="10" t="s">
        <v>3205</v>
      </c>
      <c r="AS607" s="12"/>
      <c r="AT607" s="10" t="s">
        <v>3206</v>
      </c>
      <c r="AU607" s="10" t="s">
        <v>3207</v>
      </c>
      <c r="AV607" s="13"/>
    </row>
    <row r="608" ht="16.5" hidden="1" customHeight="1">
      <c r="A608" s="7" t="s">
        <v>3209</v>
      </c>
      <c r="B608" s="7" t="s">
        <v>3197</v>
      </c>
      <c r="C608" s="14" t="s">
        <v>213</v>
      </c>
      <c r="D608" s="14" t="s">
        <v>214</v>
      </c>
      <c r="E608" s="7"/>
      <c r="F608" s="7">
        <v>7078.0</v>
      </c>
      <c r="G608" s="7">
        <v>7077.0</v>
      </c>
      <c r="H608" s="7" t="s">
        <v>53</v>
      </c>
      <c r="I608" s="7"/>
      <c r="J608" s="7"/>
      <c r="K608" s="8" t="s">
        <v>84</v>
      </c>
      <c r="L608" s="8" t="s">
        <v>377</v>
      </c>
      <c r="M608" s="8"/>
      <c r="N608" s="8" t="s">
        <v>85</v>
      </c>
      <c r="O608" s="8" t="s">
        <v>56</v>
      </c>
      <c r="P608" s="8" t="s">
        <v>57</v>
      </c>
      <c r="Q608" s="8" t="s">
        <v>1887</v>
      </c>
      <c r="R608" s="8">
        <v>0.6</v>
      </c>
      <c r="S608" s="8" t="s">
        <v>49</v>
      </c>
      <c r="T608" s="8" t="s">
        <v>49</v>
      </c>
      <c r="U608" s="8" t="s">
        <v>3198</v>
      </c>
      <c r="V608" s="8" t="s">
        <v>1851</v>
      </c>
      <c r="W608" s="8" t="s">
        <v>89</v>
      </c>
      <c r="X608" s="8" t="s">
        <v>108</v>
      </c>
      <c r="Y608" s="8" t="s">
        <v>1316</v>
      </c>
      <c r="Z608" s="8" t="s">
        <v>2382</v>
      </c>
      <c r="AA608" s="8" t="s">
        <v>231</v>
      </c>
      <c r="AB608" s="8" t="s">
        <v>60</v>
      </c>
      <c r="AC608" s="8" t="s">
        <v>219</v>
      </c>
      <c r="AD608" s="8" t="s">
        <v>3199</v>
      </c>
      <c r="AE608" s="8" t="s">
        <v>55</v>
      </c>
      <c r="AF608" s="8" t="s">
        <v>55</v>
      </c>
      <c r="AG608" s="8" t="s">
        <v>63</v>
      </c>
      <c r="AH608" s="8" t="s">
        <v>64</v>
      </c>
      <c r="AI608" s="8" t="s">
        <v>463</v>
      </c>
      <c r="AJ608" s="8" t="s">
        <v>49</v>
      </c>
      <c r="AK608" s="8" t="s">
        <v>95</v>
      </c>
      <c r="AL608" s="8" t="s">
        <v>66</v>
      </c>
      <c r="AM608" s="8"/>
      <c r="AN608" s="9" t="s">
        <v>3210</v>
      </c>
      <c r="AO608" s="9" t="s">
        <v>3211</v>
      </c>
      <c r="AP608" s="10" t="s">
        <v>3203</v>
      </c>
      <c r="AQ608" s="10" t="s">
        <v>3204</v>
      </c>
      <c r="AR608" s="10" t="s">
        <v>3205</v>
      </c>
      <c r="AS608" s="12"/>
      <c r="AT608" s="10" t="s">
        <v>3206</v>
      </c>
      <c r="AU608" s="10" t="s">
        <v>3207</v>
      </c>
      <c r="AV608" s="15">
        <v>46315.0</v>
      </c>
    </row>
    <row r="609" ht="16.5" hidden="1" customHeight="1">
      <c r="A609" s="7" t="s">
        <v>3212</v>
      </c>
      <c r="B609" s="7" t="s">
        <v>3197</v>
      </c>
      <c r="C609" s="7" t="s">
        <v>213</v>
      </c>
      <c r="D609" s="7" t="s">
        <v>214</v>
      </c>
      <c r="E609" s="7" t="s">
        <v>227</v>
      </c>
      <c r="F609" s="7">
        <v>7079.0</v>
      </c>
      <c r="G609" s="7"/>
      <c r="H609" s="7" t="s">
        <v>53</v>
      </c>
      <c r="I609" s="7"/>
      <c r="J609" s="7"/>
      <c r="K609" s="8" t="s">
        <v>84</v>
      </c>
      <c r="L609" s="8" t="s">
        <v>377</v>
      </c>
      <c r="M609" s="8"/>
      <c r="N609" s="8" t="s">
        <v>85</v>
      </c>
      <c r="O609" s="8" t="s">
        <v>56</v>
      </c>
      <c r="P609" s="8" t="s">
        <v>57</v>
      </c>
      <c r="Q609" s="8" t="s">
        <v>1887</v>
      </c>
      <c r="R609" s="8">
        <v>0.6</v>
      </c>
      <c r="S609" s="8" t="s">
        <v>49</v>
      </c>
      <c r="T609" s="8" t="s">
        <v>49</v>
      </c>
      <c r="U609" s="8" t="s">
        <v>3198</v>
      </c>
      <c r="V609" s="8" t="s">
        <v>1851</v>
      </c>
      <c r="W609" s="8" t="s">
        <v>89</v>
      </c>
      <c r="X609" s="8" t="s">
        <v>108</v>
      </c>
      <c r="Y609" s="8" t="s">
        <v>1316</v>
      </c>
      <c r="Z609" s="8" t="s">
        <v>2382</v>
      </c>
      <c r="AA609" s="8" t="s">
        <v>231</v>
      </c>
      <c r="AB609" s="8" t="s">
        <v>60</v>
      </c>
      <c r="AC609" s="8" t="s">
        <v>219</v>
      </c>
      <c r="AD609" s="8" t="s">
        <v>3213</v>
      </c>
      <c r="AE609" s="8" t="s">
        <v>55</v>
      </c>
      <c r="AF609" s="8" t="s">
        <v>55</v>
      </c>
      <c r="AG609" s="8" t="s">
        <v>63</v>
      </c>
      <c r="AH609" s="8" t="s">
        <v>64</v>
      </c>
      <c r="AI609" s="8" t="s">
        <v>65</v>
      </c>
      <c r="AJ609" s="8" t="s">
        <v>49</v>
      </c>
      <c r="AK609" s="8" t="s">
        <v>49</v>
      </c>
      <c r="AL609" s="8" t="s">
        <v>66</v>
      </c>
      <c r="AM609" s="8" t="s">
        <v>3174</v>
      </c>
      <c r="AN609" s="9" t="s">
        <v>3214</v>
      </c>
      <c r="AO609" s="9" t="s">
        <v>3215</v>
      </c>
      <c r="AP609" s="10" t="s">
        <v>3203</v>
      </c>
      <c r="AQ609" s="10" t="s">
        <v>3216</v>
      </c>
      <c r="AR609" s="10" t="s">
        <v>3217</v>
      </c>
      <c r="AS609" s="12"/>
      <c r="AT609" s="10" t="s">
        <v>3218</v>
      </c>
      <c r="AU609" s="10" t="s">
        <v>3207</v>
      </c>
      <c r="AV609" s="13"/>
    </row>
    <row r="610" ht="16.5" hidden="1" customHeight="1">
      <c r="A610" s="7" t="s">
        <v>3219</v>
      </c>
      <c r="B610" s="7" t="s">
        <v>3197</v>
      </c>
      <c r="C610" s="7" t="s">
        <v>213</v>
      </c>
      <c r="D610" s="7" t="s">
        <v>214</v>
      </c>
      <c r="E610" s="7" t="s">
        <v>227</v>
      </c>
      <c r="F610" s="7">
        <v>7079.0</v>
      </c>
      <c r="G610" s="7">
        <v>7079.0</v>
      </c>
      <c r="H610" s="7" t="s">
        <v>53</v>
      </c>
      <c r="I610" s="7"/>
      <c r="J610" s="7"/>
      <c r="K610" s="8" t="s">
        <v>84</v>
      </c>
      <c r="L610" s="8" t="s">
        <v>377</v>
      </c>
      <c r="M610" s="8"/>
      <c r="N610" s="8" t="s">
        <v>85</v>
      </c>
      <c r="O610" s="8" t="s">
        <v>56</v>
      </c>
      <c r="P610" s="8" t="s">
        <v>57</v>
      </c>
      <c r="Q610" s="8" t="s">
        <v>1887</v>
      </c>
      <c r="R610" s="8">
        <v>0.6</v>
      </c>
      <c r="S610" s="8" t="s">
        <v>49</v>
      </c>
      <c r="T610" s="8" t="s">
        <v>49</v>
      </c>
      <c r="U610" s="8" t="s">
        <v>3198</v>
      </c>
      <c r="V610" s="8" t="s">
        <v>1851</v>
      </c>
      <c r="W610" s="8" t="s">
        <v>89</v>
      </c>
      <c r="X610" s="8" t="s">
        <v>108</v>
      </c>
      <c r="Y610" s="8" t="s">
        <v>1316</v>
      </c>
      <c r="Z610" s="8" t="s">
        <v>2382</v>
      </c>
      <c r="AA610" s="8" t="s">
        <v>231</v>
      </c>
      <c r="AB610" s="8" t="s">
        <v>60</v>
      </c>
      <c r="AC610" s="8" t="s">
        <v>219</v>
      </c>
      <c r="AD610" s="8" t="s">
        <v>3213</v>
      </c>
      <c r="AE610" s="8" t="s">
        <v>55</v>
      </c>
      <c r="AF610" s="8" t="s">
        <v>55</v>
      </c>
      <c r="AG610" s="8" t="s">
        <v>63</v>
      </c>
      <c r="AH610" s="8" t="s">
        <v>64</v>
      </c>
      <c r="AI610" s="8" t="s">
        <v>65</v>
      </c>
      <c r="AJ610" s="8" t="s">
        <v>49</v>
      </c>
      <c r="AK610" s="8" t="s">
        <v>95</v>
      </c>
      <c r="AL610" s="8" t="s">
        <v>66</v>
      </c>
      <c r="AM610" s="8" t="s">
        <v>3174</v>
      </c>
      <c r="AN610" s="9" t="s">
        <v>3214</v>
      </c>
      <c r="AO610" s="9" t="s">
        <v>3215</v>
      </c>
      <c r="AP610" s="10" t="s">
        <v>3203</v>
      </c>
      <c r="AQ610" s="10" t="s">
        <v>3216</v>
      </c>
      <c r="AR610" s="10" t="s">
        <v>3217</v>
      </c>
      <c r="AS610" s="12"/>
      <c r="AT610" s="10" t="s">
        <v>3218</v>
      </c>
      <c r="AU610" s="10" t="s">
        <v>3207</v>
      </c>
      <c r="AV610" s="15">
        <v>46315.0</v>
      </c>
    </row>
    <row r="611" ht="16.5" hidden="1" customHeight="1">
      <c r="A611" s="7" t="s">
        <v>3220</v>
      </c>
      <c r="B611" s="7" t="s">
        <v>3197</v>
      </c>
      <c r="C611" s="14" t="s">
        <v>213</v>
      </c>
      <c r="D611" s="14" t="s">
        <v>214</v>
      </c>
      <c r="E611" s="7"/>
      <c r="F611" s="7">
        <v>7080.0</v>
      </c>
      <c r="G611" s="7">
        <v>7079.0</v>
      </c>
      <c r="H611" s="7" t="s">
        <v>53</v>
      </c>
      <c r="I611" s="7"/>
      <c r="J611" s="7"/>
      <c r="K611" s="8" t="s">
        <v>84</v>
      </c>
      <c r="L611" s="8" t="s">
        <v>377</v>
      </c>
      <c r="M611" s="8"/>
      <c r="N611" s="8" t="s">
        <v>85</v>
      </c>
      <c r="O611" s="8" t="s">
        <v>56</v>
      </c>
      <c r="P611" s="8" t="s">
        <v>57</v>
      </c>
      <c r="Q611" s="8" t="s">
        <v>1887</v>
      </c>
      <c r="R611" s="8">
        <v>0.6</v>
      </c>
      <c r="S611" s="8" t="s">
        <v>49</v>
      </c>
      <c r="T611" s="8" t="s">
        <v>49</v>
      </c>
      <c r="U611" s="8" t="s">
        <v>3198</v>
      </c>
      <c r="V611" s="8" t="s">
        <v>1851</v>
      </c>
      <c r="W611" s="8" t="s">
        <v>89</v>
      </c>
      <c r="X611" s="8" t="s">
        <v>108</v>
      </c>
      <c r="Y611" s="8" t="s">
        <v>1316</v>
      </c>
      <c r="Z611" s="8" t="s">
        <v>2382</v>
      </c>
      <c r="AA611" s="8" t="s">
        <v>231</v>
      </c>
      <c r="AB611" s="8" t="s">
        <v>60</v>
      </c>
      <c r="AC611" s="8" t="s">
        <v>219</v>
      </c>
      <c r="AD611" s="8" t="s">
        <v>3213</v>
      </c>
      <c r="AE611" s="8" t="s">
        <v>55</v>
      </c>
      <c r="AF611" s="8" t="s">
        <v>55</v>
      </c>
      <c r="AG611" s="8" t="s">
        <v>63</v>
      </c>
      <c r="AH611" s="8" t="s">
        <v>64</v>
      </c>
      <c r="AI611" s="8" t="s">
        <v>463</v>
      </c>
      <c r="AJ611" s="8" t="s">
        <v>49</v>
      </c>
      <c r="AK611" s="8" t="s">
        <v>95</v>
      </c>
      <c r="AL611" s="8" t="s">
        <v>66</v>
      </c>
      <c r="AM611" s="8"/>
      <c r="AN611" s="9" t="s">
        <v>3221</v>
      </c>
      <c r="AO611" s="9" t="s">
        <v>3222</v>
      </c>
      <c r="AP611" s="10" t="s">
        <v>3203</v>
      </c>
      <c r="AQ611" s="10" t="s">
        <v>3216</v>
      </c>
      <c r="AR611" s="10" t="s">
        <v>3217</v>
      </c>
      <c r="AS611" s="12"/>
      <c r="AT611" s="10" t="s">
        <v>3218</v>
      </c>
      <c r="AU611" s="10" t="s">
        <v>3207</v>
      </c>
      <c r="AV611" s="13"/>
    </row>
    <row r="612" ht="16.5" hidden="1" customHeight="1">
      <c r="A612" s="7" t="s">
        <v>3223</v>
      </c>
      <c r="B612" s="7" t="s">
        <v>3197</v>
      </c>
      <c r="C612" s="14" t="s">
        <v>213</v>
      </c>
      <c r="D612" s="14" t="s">
        <v>214</v>
      </c>
      <c r="E612" s="7"/>
      <c r="F612" s="7">
        <v>7081.0</v>
      </c>
      <c r="G612" s="7">
        <v>7079.0</v>
      </c>
      <c r="H612" s="7" t="s">
        <v>53</v>
      </c>
      <c r="I612" s="7"/>
      <c r="J612" s="7"/>
      <c r="K612" s="8" t="s">
        <v>84</v>
      </c>
      <c r="L612" s="8" t="s">
        <v>377</v>
      </c>
      <c r="M612" s="8"/>
      <c r="N612" s="8" t="s">
        <v>85</v>
      </c>
      <c r="O612" s="8" t="s">
        <v>56</v>
      </c>
      <c r="P612" s="8" t="s">
        <v>57</v>
      </c>
      <c r="Q612" s="8" t="s">
        <v>1887</v>
      </c>
      <c r="R612" s="8">
        <v>0.6</v>
      </c>
      <c r="S612" s="8" t="s">
        <v>49</v>
      </c>
      <c r="T612" s="8" t="s">
        <v>49</v>
      </c>
      <c r="U612" s="8" t="s">
        <v>3198</v>
      </c>
      <c r="V612" s="8" t="s">
        <v>1851</v>
      </c>
      <c r="W612" s="8" t="s">
        <v>89</v>
      </c>
      <c r="X612" s="8" t="s">
        <v>108</v>
      </c>
      <c r="Y612" s="8" t="s">
        <v>1316</v>
      </c>
      <c r="Z612" s="8" t="s">
        <v>2382</v>
      </c>
      <c r="AA612" s="8" t="s">
        <v>231</v>
      </c>
      <c r="AB612" s="8" t="s">
        <v>60</v>
      </c>
      <c r="AC612" s="8" t="s">
        <v>219</v>
      </c>
      <c r="AD612" s="8" t="s">
        <v>3213</v>
      </c>
      <c r="AE612" s="8" t="s">
        <v>55</v>
      </c>
      <c r="AF612" s="8" t="s">
        <v>55</v>
      </c>
      <c r="AG612" s="8" t="s">
        <v>63</v>
      </c>
      <c r="AH612" s="8" t="s">
        <v>64</v>
      </c>
      <c r="AI612" s="8" t="s">
        <v>900</v>
      </c>
      <c r="AJ612" s="8" t="s">
        <v>49</v>
      </c>
      <c r="AK612" s="8" t="s">
        <v>95</v>
      </c>
      <c r="AL612" s="8" t="s">
        <v>66</v>
      </c>
      <c r="AM612" s="8"/>
      <c r="AN612" s="9" t="s">
        <v>3224</v>
      </c>
      <c r="AO612" s="9" t="s">
        <v>3225</v>
      </c>
      <c r="AP612" s="10" t="s">
        <v>3203</v>
      </c>
      <c r="AQ612" s="10" t="s">
        <v>3216</v>
      </c>
      <c r="AR612" s="10" t="s">
        <v>3217</v>
      </c>
      <c r="AS612" s="12"/>
      <c r="AT612" s="10" t="s">
        <v>3218</v>
      </c>
      <c r="AU612" s="10" t="s">
        <v>3207</v>
      </c>
      <c r="AV612" s="15">
        <v>46315.0</v>
      </c>
    </row>
    <row r="613" ht="16.5" hidden="1" customHeight="1">
      <c r="A613" s="7" t="s">
        <v>3226</v>
      </c>
      <c r="B613" s="7" t="s">
        <v>3197</v>
      </c>
      <c r="C613" s="14" t="s">
        <v>213</v>
      </c>
      <c r="D613" s="14" t="s">
        <v>214</v>
      </c>
      <c r="E613" s="7"/>
      <c r="F613" s="7">
        <v>7082.0</v>
      </c>
      <c r="G613" s="7">
        <v>7079.0</v>
      </c>
      <c r="H613" s="7" t="s">
        <v>53</v>
      </c>
      <c r="I613" s="7"/>
      <c r="J613" s="7"/>
      <c r="K613" s="8" t="s">
        <v>84</v>
      </c>
      <c r="L613" s="8" t="s">
        <v>377</v>
      </c>
      <c r="M613" s="8"/>
      <c r="N613" s="8" t="s">
        <v>85</v>
      </c>
      <c r="O613" s="8" t="s">
        <v>56</v>
      </c>
      <c r="P613" s="8" t="s">
        <v>57</v>
      </c>
      <c r="Q613" s="8" t="s">
        <v>1887</v>
      </c>
      <c r="R613" s="8">
        <v>0.6</v>
      </c>
      <c r="S613" s="8" t="s">
        <v>49</v>
      </c>
      <c r="T613" s="8" t="s">
        <v>49</v>
      </c>
      <c r="U613" s="8" t="s">
        <v>3198</v>
      </c>
      <c r="V613" s="8" t="s">
        <v>1851</v>
      </c>
      <c r="W613" s="8" t="s">
        <v>89</v>
      </c>
      <c r="X613" s="8" t="s">
        <v>108</v>
      </c>
      <c r="Y613" s="8" t="s">
        <v>1316</v>
      </c>
      <c r="Z613" s="8" t="s">
        <v>2382</v>
      </c>
      <c r="AA613" s="8" t="s">
        <v>231</v>
      </c>
      <c r="AB613" s="8" t="s">
        <v>60</v>
      </c>
      <c r="AC613" s="8" t="s">
        <v>219</v>
      </c>
      <c r="AD613" s="8" t="s">
        <v>3213</v>
      </c>
      <c r="AE613" s="8" t="s">
        <v>55</v>
      </c>
      <c r="AF613" s="8" t="s">
        <v>55</v>
      </c>
      <c r="AG613" s="8" t="s">
        <v>63</v>
      </c>
      <c r="AH613" s="8" t="s">
        <v>64</v>
      </c>
      <c r="AI613" s="8" t="s">
        <v>903</v>
      </c>
      <c r="AJ613" s="8" t="s">
        <v>49</v>
      </c>
      <c r="AK613" s="8" t="s">
        <v>95</v>
      </c>
      <c r="AL613" s="8" t="s">
        <v>66</v>
      </c>
      <c r="AM613" s="8" t="s">
        <v>3200</v>
      </c>
      <c r="AN613" s="12" t="s">
        <v>224</v>
      </c>
      <c r="AO613" s="9" t="s">
        <v>3227</v>
      </c>
      <c r="AP613" s="10" t="s">
        <v>3203</v>
      </c>
      <c r="AQ613" s="10" t="s">
        <v>3216</v>
      </c>
      <c r="AR613" s="10" t="s">
        <v>3217</v>
      </c>
      <c r="AS613" s="12"/>
      <c r="AT613" s="10" t="s">
        <v>3218</v>
      </c>
      <c r="AU613" s="10" t="s">
        <v>3207</v>
      </c>
      <c r="AV613" s="15">
        <v>46315.0</v>
      </c>
    </row>
    <row r="614" ht="16.5" hidden="1" customHeight="1">
      <c r="A614" s="7" t="s">
        <v>3228</v>
      </c>
      <c r="B614" s="7" t="s">
        <v>3197</v>
      </c>
      <c r="C614" s="7" t="s">
        <v>213</v>
      </c>
      <c r="D614" s="7" t="s">
        <v>214</v>
      </c>
      <c r="E614" s="7" t="s">
        <v>227</v>
      </c>
      <c r="F614" s="7">
        <v>7083.0</v>
      </c>
      <c r="G614" s="7"/>
      <c r="H614" s="7"/>
      <c r="I614" s="7"/>
      <c r="J614" s="7"/>
      <c r="K614" s="8" t="s">
        <v>84</v>
      </c>
      <c r="L614" s="8" t="s">
        <v>377</v>
      </c>
      <c r="M614" s="8"/>
      <c r="N614" s="8" t="s">
        <v>85</v>
      </c>
      <c r="O614" s="8" t="s">
        <v>56</v>
      </c>
      <c r="P614" s="8" t="s">
        <v>57</v>
      </c>
      <c r="Q614" s="8" t="s">
        <v>1887</v>
      </c>
      <c r="R614" s="8">
        <v>0.6</v>
      </c>
      <c r="S614" s="8" t="s">
        <v>49</v>
      </c>
      <c r="T614" s="8" t="s">
        <v>49</v>
      </c>
      <c r="U614" s="8" t="s">
        <v>3198</v>
      </c>
      <c r="V614" s="8" t="s">
        <v>1851</v>
      </c>
      <c r="W614" s="8" t="s">
        <v>89</v>
      </c>
      <c r="X614" s="8" t="s">
        <v>108</v>
      </c>
      <c r="Y614" s="8" t="s">
        <v>1316</v>
      </c>
      <c r="Z614" s="8" t="s">
        <v>2382</v>
      </c>
      <c r="AA614" s="8" t="s">
        <v>231</v>
      </c>
      <c r="AB614" s="8" t="s">
        <v>60</v>
      </c>
      <c r="AC614" s="8" t="s">
        <v>219</v>
      </c>
      <c r="AD614" s="8" t="s">
        <v>3229</v>
      </c>
      <c r="AE614" s="8" t="s">
        <v>55</v>
      </c>
      <c r="AF614" s="8" t="s">
        <v>55</v>
      </c>
      <c r="AG614" s="8" t="s">
        <v>63</v>
      </c>
      <c r="AH614" s="8" t="s">
        <v>64</v>
      </c>
      <c r="AI614" s="8" t="s">
        <v>65</v>
      </c>
      <c r="AJ614" s="8" t="s">
        <v>49</v>
      </c>
      <c r="AK614" s="8" t="s">
        <v>49</v>
      </c>
      <c r="AL614" s="8" t="s">
        <v>66</v>
      </c>
      <c r="AM614" s="8"/>
      <c r="AN614" s="9" t="s">
        <v>3230</v>
      </c>
      <c r="AO614" s="9" t="s">
        <v>3231</v>
      </c>
      <c r="AP614" s="10" t="s">
        <v>3203</v>
      </c>
      <c r="AQ614" s="10" t="s">
        <v>3232</v>
      </c>
      <c r="AR614" s="10" t="s">
        <v>3233</v>
      </c>
      <c r="AS614" s="12"/>
      <c r="AT614" s="10" t="s">
        <v>3234</v>
      </c>
      <c r="AU614" s="10" t="s">
        <v>3207</v>
      </c>
      <c r="AV614" s="13"/>
    </row>
    <row r="615" ht="16.5" hidden="1" customHeight="1">
      <c r="A615" s="7" t="s">
        <v>3235</v>
      </c>
      <c r="B615" s="7" t="s">
        <v>3197</v>
      </c>
      <c r="C615" s="14" t="s">
        <v>213</v>
      </c>
      <c r="D615" s="14" t="s">
        <v>214</v>
      </c>
      <c r="E615" s="7"/>
      <c r="F615" s="7">
        <v>7083.0</v>
      </c>
      <c r="G615" s="7">
        <v>7083.0</v>
      </c>
      <c r="H615" s="7" t="s">
        <v>53</v>
      </c>
      <c r="I615" s="7"/>
      <c r="J615" s="7"/>
      <c r="K615" s="8" t="s">
        <v>84</v>
      </c>
      <c r="L615" s="8" t="s">
        <v>377</v>
      </c>
      <c r="M615" s="8"/>
      <c r="N615" s="8" t="s">
        <v>85</v>
      </c>
      <c r="O615" s="8" t="s">
        <v>56</v>
      </c>
      <c r="P615" s="8" t="s">
        <v>57</v>
      </c>
      <c r="Q615" s="8" t="s">
        <v>1887</v>
      </c>
      <c r="R615" s="8">
        <v>0.6</v>
      </c>
      <c r="S615" s="8" t="s">
        <v>49</v>
      </c>
      <c r="T615" s="8" t="s">
        <v>49</v>
      </c>
      <c r="U615" s="8" t="s">
        <v>3198</v>
      </c>
      <c r="V615" s="8" t="s">
        <v>1851</v>
      </c>
      <c r="W615" s="8" t="s">
        <v>89</v>
      </c>
      <c r="X615" s="8" t="s">
        <v>108</v>
      </c>
      <c r="Y615" s="8" t="s">
        <v>1316</v>
      </c>
      <c r="Z615" s="8" t="s">
        <v>2382</v>
      </c>
      <c r="AA615" s="8" t="s">
        <v>231</v>
      </c>
      <c r="AB615" s="8" t="s">
        <v>60</v>
      </c>
      <c r="AC615" s="8" t="s">
        <v>219</v>
      </c>
      <c r="AD615" s="8" t="s">
        <v>3229</v>
      </c>
      <c r="AE615" s="8" t="s">
        <v>55</v>
      </c>
      <c r="AF615" s="8" t="s">
        <v>55</v>
      </c>
      <c r="AG615" s="8" t="s">
        <v>63</v>
      </c>
      <c r="AH615" s="8" t="s">
        <v>64</v>
      </c>
      <c r="AI615" s="8" t="s">
        <v>65</v>
      </c>
      <c r="AJ615" s="8" t="s">
        <v>49</v>
      </c>
      <c r="AK615" s="8" t="s">
        <v>95</v>
      </c>
      <c r="AL615" s="8" t="s">
        <v>66</v>
      </c>
      <c r="AM615" s="8"/>
      <c r="AN615" s="9" t="s">
        <v>3230</v>
      </c>
      <c r="AO615" s="9" t="s">
        <v>3231</v>
      </c>
      <c r="AP615" s="10" t="s">
        <v>3203</v>
      </c>
      <c r="AQ615" s="10" t="s">
        <v>3232</v>
      </c>
      <c r="AR615" s="10" t="s">
        <v>3233</v>
      </c>
      <c r="AS615" s="12"/>
      <c r="AT615" s="10" t="s">
        <v>3234</v>
      </c>
      <c r="AU615" s="10" t="s">
        <v>3207</v>
      </c>
      <c r="AV615" s="15">
        <v>46315.0</v>
      </c>
    </row>
    <row r="616" ht="16.5" hidden="1" customHeight="1">
      <c r="A616" s="7" t="s">
        <v>3236</v>
      </c>
      <c r="B616" s="7" t="s">
        <v>3197</v>
      </c>
      <c r="C616" s="14" t="s">
        <v>213</v>
      </c>
      <c r="D616" s="14" t="s">
        <v>214</v>
      </c>
      <c r="E616" s="7"/>
      <c r="F616" s="7">
        <v>7084.0</v>
      </c>
      <c r="G616" s="7">
        <v>7083.0</v>
      </c>
      <c r="H616" s="7" t="s">
        <v>53</v>
      </c>
      <c r="I616" s="7"/>
      <c r="J616" s="7"/>
      <c r="K616" s="8" t="s">
        <v>84</v>
      </c>
      <c r="L616" s="8" t="s">
        <v>377</v>
      </c>
      <c r="M616" s="8"/>
      <c r="N616" s="8" t="s">
        <v>85</v>
      </c>
      <c r="O616" s="8" t="s">
        <v>56</v>
      </c>
      <c r="P616" s="8" t="s">
        <v>57</v>
      </c>
      <c r="Q616" s="8" t="s">
        <v>1887</v>
      </c>
      <c r="R616" s="8">
        <v>0.6</v>
      </c>
      <c r="S616" s="8" t="s">
        <v>49</v>
      </c>
      <c r="T616" s="8" t="s">
        <v>49</v>
      </c>
      <c r="U616" s="8" t="s">
        <v>3198</v>
      </c>
      <c r="V616" s="8" t="s">
        <v>1851</v>
      </c>
      <c r="W616" s="8" t="s">
        <v>89</v>
      </c>
      <c r="X616" s="8" t="s">
        <v>108</v>
      </c>
      <c r="Y616" s="8" t="s">
        <v>1316</v>
      </c>
      <c r="Z616" s="8" t="s">
        <v>2382</v>
      </c>
      <c r="AA616" s="8" t="s">
        <v>231</v>
      </c>
      <c r="AB616" s="8" t="s">
        <v>60</v>
      </c>
      <c r="AC616" s="8" t="s">
        <v>219</v>
      </c>
      <c r="AD616" s="8" t="s">
        <v>3229</v>
      </c>
      <c r="AE616" s="8" t="s">
        <v>55</v>
      </c>
      <c r="AF616" s="8" t="s">
        <v>55</v>
      </c>
      <c r="AG616" s="8" t="s">
        <v>63</v>
      </c>
      <c r="AH616" s="8" t="s">
        <v>64</v>
      </c>
      <c r="AI616" s="8" t="s">
        <v>463</v>
      </c>
      <c r="AJ616" s="8" t="s">
        <v>49</v>
      </c>
      <c r="AK616" s="8" t="s">
        <v>95</v>
      </c>
      <c r="AL616" s="8" t="s">
        <v>66</v>
      </c>
      <c r="AM616" s="8"/>
      <c r="AN616" s="9" t="s">
        <v>3237</v>
      </c>
      <c r="AO616" s="9" t="s">
        <v>3238</v>
      </c>
      <c r="AP616" s="10" t="s">
        <v>3203</v>
      </c>
      <c r="AQ616" s="10" t="s">
        <v>3232</v>
      </c>
      <c r="AR616" s="10" t="s">
        <v>3233</v>
      </c>
      <c r="AS616" s="12"/>
      <c r="AT616" s="10" t="s">
        <v>3234</v>
      </c>
      <c r="AU616" s="10" t="s">
        <v>3207</v>
      </c>
      <c r="AV616" s="13"/>
    </row>
    <row r="617" ht="16.5" hidden="1" customHeight="1">
      <c r="A617" s="7" t="s">
        <v>3239</v>
      </c>
      <c r="B617" s="7" t="s">
        <v>3197</v>
      </c>
      <c r="C617" s="7" t="s">
        <v>213</v>
      </c>
      <c r="D617" s="7" t="s">
        <v>214</v>
      </c>
      <c r="E617" s="7" t="s">
        <v>227</v>
      </c>
      <c r="F617" s="7">
        <v>7085.0</v>
      </c>
      <c r="G617" s="7"/>
      <c r="H617" s="7"/>
      <c r="I617" s="7"/>
      <c r="J617" s="7"/>
      <c r="K617" s="8" t="s">
        <v>84</v>
      </c>
      <c r="L617" s="8" t="s">
        <v>377</v>
      </c>
      <c r="M617" s="8"/>
      <c r="N617" s="8" t="s">
        <v>85</v>
      </c>
      <c r="O617" s="8" t="s">
        <v>56</v>
      </c>
      <c r="P617" s="8" t="s">
        <v>57</v>
      </c>
      <c r="Q617" s="8" t="s">
        <v>1887</v>
      </c>
      <c r="R617" s="8">
        <v>0.6</v>
      </c>
      <c r="S617" s="8" t="s">
        <v>49</v>
      </c>
      <c r="T617" s="8" t="s">
        <v>49</v>
      </c>
      <c r="U617" s="8" t="s">
        <v>3198</v>
      </c>
      <c r="V617" s="8" t="s">
        <v>1851</v>
      </c>
      <c r="W617" s="8" t="s">
        <v>89</v>
      </c>
      <c r="X617" s="8" t="s">
        <v>108</v>
      </c>
      <c r="Y617" s="8" t="s">
        <v>1316</v>
      </c>
      <c r="Z617" s="8" t="s">
        <v>2382</v>
      </c>
      <c r="AA617" s="8" t="s">
        <v>231</v>
      </c>
      <c r="AB617" s="8" t="s">
        <v>60</v>
      </c>
      <c r="AC617" s="8" t="s">
        <v>219</v>
      </c>
      <c r="AD617" s="8" t="s">
        <v>3240</v>
      </c>
      <c r="AE617" s="8" t="s">
        <v>55</v>
      </c>
      <c r="AF617" s="8" t="s">
        <v>55</v>
      </c>
      <c r="AG617" s="8" t="s">
        <v>63</v>
      </c>
      <c r="AH617" s="8" t="s">
        <v>64</v>
      </c>
      <c r="AI617" s="8" t="s">
        <v>65</v>
      </c>
      <c r="AJ617" s="8" t="s">
        <v>49</v>
      </c>
      <c r="AK617" s="8" t="s">
        <v>49</v>
      </c>
      <c r="AL617" s="8" t="s">
        <v>66</v>
      </c>
      <c r="AM617" s="8"/>
      <c r="AN617" s="9" t="s">
        <v>3241</v>
      </c>
      <c r="AO617" s="9" t="s">
        <v>3242</v>
      </c>
      <c r="AP617" s="10" t="s">
        <v>3203</v>
      </c>
      <c r="AQ617" s="10" t="s">
        <v>3243</v>
      </c>
      <c r="AR617" s="10" t="s">
        <v>3244</v>
      </c>
      <c r="AS617" s="12"/>
      <c r="AT617" s="10" t="s">
        <v>3245</v>
      </c>
      <c r="AU617" s="10" t="s">
        <v>3246</v>
      </c>
      <c r="AV617" s="13"/>
    </row>
    <row r="618" ht="16.5" hidden="1" customHeight="1">
      <c r="A618" s="7" t="s">
        <v>3247</v>
      </c>
      <c r="B618" s="7" t="s">
        <v>3197</v>
      </c>
      <c r="C618" s="14" t="s">
        <v>213</v>
      </c>
      <c r="D618" s="14" t="s">
        <v>214</v>
      </c>
      <c r="E618" s="7"/>
      <c r="F618" s="7">
        <v>7085.0</v>
      </c>
      <c r="G618" s="7">
        <v>7085.0</v>
      </c>
      <c r="H618" s="7" t="s">
        <v>53</v>
      </c>
      <c r="I618" s="7"/>
      <c r="J618" s="7"/>
      <c r="K618" s="8" t="s">
        <v>84</v>
      </c>
      <c r="L618" s="8" t="s">
        <v>377</v>
      </c>
      <c r="M618" s="8"/>
      <c r="N618" s="8" t="s">
        <v>85</v>
      </c>
      <c r="O618" s="8" t="s">
        <v>56</v>
      </c>
      <c r="P618" s="8" t="s">
        <v>57</v>
      </c>
      <c r="Q618" s="8" t="s">
        <v>1887</v>
      </c>
      <c r="R618" s="8">
        <v>0.6</v>
      </c>
      <c r="S618" s="8" t="s">
        <v>49</v>
      </c>
      <c r="T618" s="8" t="s">
        <v>49</v>
      </c>
      <c r="U618" s="8" t="s">
        <v>3198</v>
      </c>
      <c r="V618" s="8" t="s">
        <v>1851</v>
      </c>
      <c r="W618" s="8" t="s">
        <v>89</v>
      </c>
      <c r="X618" s="8" t="s">
        <v>108</v>
      </c>
      <c r="Y618" s="8" t="s">
        <v>1316</v>
      </c>
      <c r="Z618" s="8" t="s">
        <v>2382</v>
      </c>
      <c r="AA618" s="8" t="s">
        <v>231</v>
      </c>
      <c r="AB618" s="8" t="s">
        <v>60</v>
      </c>
      <c r="AC618" s="8" t="s">
        <v>219</v>
      </c>
      <c r="AD618" s="8" t="s">
        <v>3240</v>
      </c>
      <c r="AE618" s="8" t="s">
        <v>55</v>
      </c>
      <c r="AF618" s="8" t="s">
        <v>55</v>
      </c>
      <c r="AG618" s="8" t="s">
        <v>63</v>
      </c>
      <c r="AH618" s="8" t="s">
        <v>64</v>
      </c>
      <c r="AI618" s="8" t="s">
        <v>65</v>
      </c>
      <c r="AJ618" s="8" t="s">
        <v>49</v>
      </c>
      <c r="AK618" s="8" t="s">
        <v>95</v>
      </c>
      <c r="AL618" s="8" t="s">
        <v>66</v>
      </c>
      <c r="AM618" s="8"/>
      <c r="AN618" s="9" t="s">
        <v>3241</v>
      </c>
      <c r="AO618" s="9" t="s">
        <v>3242</v>
      </c>
      <c r="AP618" s="10" t="s">
        <v>3203</v>
      </c>
      <c r="AQ618" s="10" t="s">
        <v>3243</v>
      </c>
      <c r="AR618" s="10" t="s">
        <v>3244</v>
      </c>
      <c r="AS618" s="12"/>
      <c r="AT618" s="10" t="s">
        <v>3245</v>
      </c>
      <c r="AU618" s="10" t="s">
        <v>3246</v>
      </c>
      <c r="AV618" s="15">
        <v>46315.0</v>
      </c>
    </row>
    <row r="619" ht="16.5" hidden="1" customHeight="1">
      <c r="A619" s="7" t="s">
        <v>3248</v>
      </c>
      <c r="B619" s="7" t="s">
        <v>3197</v>
      </c>
      <c r="C619" s="14" t="s">
        <v>213</v>
      </c>
      <c r="D619" s="14" t="s">
        <v>214</v>
      </c>
      <c r="E619" s="7"/>
      <c r="F619" s="7">
        <v>7086.0</v>
      </c>
      <c r="G619" s="7">
        <v>7085.0</v>
      </c>
      <c r="H619" s="7" t="s">
        <v>53</v>
      </c>
      <c r="I619" s="7"/>
      <c r="J619" s="7"/>
      <c r="K619" s="8" t="s">
        <v>84</v>
      </c>
      <c r="L619" s="8" t="s">
        <v>377</v>
      </c>
      <c r="M619" s="8"/>
      <c r="N619" s="8" t="s">
        <v>85</v>
      </c>
      <c r="O619" s="8" t="s">
        <v>56</v>
      </c>
      <c r="P619" s="8" t="s">
        <v>57</v>
      </c>
      <c r="Q619" s="8" t="s">
        <v>1887</v>
      </c>
      <c r="R619" s="8">
        <v>0.6</v>
      </c>
      <c r="S619" s="8" t="s">
        <v>49</v>
      </c>
      <c r="T619" s="8" t="s">
        <v>49</v>
      </c>
      <c r="U619" s="8" t="s">
        <v>3198</v>
      </c>
      <c r="V619" s="8" t="s">
        <v>1851</v>
      </c>
      <c r="W619" s="8" t="s">
        <v>89</v>
      </c>
      <c r="X619" s="8" t="s">
        <v>108</v>
      </c>
      <c r="Y619" s="8" t="s">
        <v>1316</v>
      </c>
      <c r="Z619" s="8" t="s">
        <v>2382</v>
      </c>
      <c r="AA619" s="8" t="s">
        <v>231</v>
      </c>
      <c r="AB619" s="8" t="s">
        <v>60</v>
      </c>
      <c r="AC619" s="8" t="s">
        <v>219</v>
      </c>
      <c r="AD619" s="8" t="s">
        <v>3240</v>
      </c>
      <c r="AE619" s="8" t="s">
        <v>55</v>
      </c>
      <c r="AF619" s="8" t="s">
        <v>55</v>
      </c>
      <c r="AG619" s="8" t="s">
        <v>63</v>
      </c>
      <c r="AH619" s="8" t="s">
        <v>64</v>
      </c>
      <c r="AI619" s="8" t="s">
        <v>463</v>
      </c>
      <c r="AJ619" s="8" t="s">
        <v>49</v>
      </c>
      <c r="AK619" s="8" t="s">
        <v>95</v>
      </c>
      <c r="AL619" s="8" t="s">
        <v>66</v>
      </c>
      <c r="AM619" s="8"/>
      <c r="AN619" s="16" t="s">
        <v>3249</v>
      </c>
      <c r="AO619" s="9" t="s">
        <v>3250</v>
      </c>
      <c r="AP619" s="10" t="s">
        <v>3203</v>
      </c>
      <c r="AQ619" s="10" t="s">
        <v>3243</v>
      </c>
      <c r="AR619" s="10" t="s">
        <v>3244</v>
      </c>
      <c r="AS619" s="12"/>
      <c r="AT619" s="10" t="s">
        <v>3245</v>
      </c>
      <c r="AU619" s="10" t="s">
        <v>3246</v>
      </c>
      <c r="AV619" s="15">
        <v>46341.0</v>
      </c>
    </row>
    <row r="620" ht="16.5" hidden="1" customHeight="1">
      <c r="A620" s="7" t="s">
        <v>3251</v>
      </c>
      <c r="B620" s="7" t="s">
        <v>3197</v>
      </c>
      <c r="C620" s="14" t="s">
        <v>213</v>
      </c>
      <c r="D620" s="14" t="s">
        <v>214</v>
      </c>
      <c r="E620" s="7"/>
      <c r="F620" s="7">
        <v>7087.0</v>
      </c>
      <c r="G620" s="7">
        <v>7085.0</v>
      </c>
      <c r="H620" s="7" t="s">
        <v>53</v>
      </c>
      <c r="I620" s="7"/>
      <c r="J620" s="7"/>
      <c r="K620" s="8" t="s">
        <v>84</v>
      </c>
      <c r="L620" s="8" t="s">
        <v>377</v>
      </c>
      <c r="M620" s="8"/>
      <c r="N620" s="8" t="s">
        <v>85</v>
      </c>
      <c r="O620" s="8" t="s">
        <v>56</v>
      </c>
      <c r="P620" s="8" t="s">
        <v>57</v>
      </c>
      <c r="Q620" s="8" t="s">
        <v>1887</v>
      </c>
      <c r="R620" s="8">
        <v>0.6</v>
      </c>
      <c r="S620" s="8" t="s">
        <v>49</v>
      </c>
      <c r="T620" s="8" t="s">
        <v>49</v>
      </c>
      <c r="U620" s="8" t="s">
        <v>3198</v>
      </c>
      <c r="V620" s="8" t="s">
        <v>1851</v>
      </c>
      <c r="W620" s="8" t="s">
        <v>89</v>
      </c>
      <c r="X620" s="8" t="s">
        <v>108</v>
      </c>
      <c r="Y620" s="8" t="s">
        <v>1316</v>
      </c>
      <c r="Z620" s="8" t="s">
        <v>2382</v>
      </c>
      <c r="AA620" s="8" t="s">
        <v>231</v>
      </c>
      <c r="AB620" s="8" t="s">
        <v>60</v>
      </c>
      <c r="AC620" s="8" t="s">
        <v>219</v>
      </c>
      <c r="AD620" s="8" t="s">
        <v>3240</v>
      </c>
      <c r="AE620" s="8" t="s">
        <v>55</v>
      </c>
      <c r="AF620" s="8" t="s">
        <v>55</v>
      </c>
      <c r="AG620" s="8" t="s">
        <v>63</v>
      </c>
      <c r="AH620" s="8" t="s">
        <v>64</v>
      </c>
      <c r="AI620" s="8" t="s">
        <v>900</v>
      </c>
      <c r="AJ620" s="8" t="s">
        <v>49</v>
      </c>
      <c r="AK620" s="8" t="s">
        <v>95</v>
      </c>
      <c r="AL620" s="8" t="s">
        <v>66</v>
      </c>
      <c r="AM620" s="8"/>
      <c r="AN620" s="9" t="s">
        <v>3252</v>
      </c>
      <c r="AO620" s="9" t="s">
        <v>3253</v>
      </c>
      <c r="AP620" s="10" t="s">
        <v>3203</v>
      </c>
      <c r="AQ620" s="10" t="s">
        <v>3243</v>
      </c>
      <c r="AR620" s="10" t="s">
        <v>3244</v>
      </c>
      <c r="AS620" s="12"/>
      <c r="AT620" s="10" t="s">
        <v>3245</v>
      </c>
      <c r="AU620" s="10" t="s">
        <v>3246</v>
      </c>
      <c r="AV620" s="15">
        <v>46341.0</v>
      </c>
    </row>
    <row r="621" ht="16.5" hidden="1" customHeight="1">
      <c r="A621" s="7" t="s">
        <v>3254</v>
      </c>
      <c r="B621" s="7" t="s">
        <v>3197</v>
      </c>
      <c r="C621" s="14" t="s">
        <v>213</v>
      </c>
      <c r="D621" s="14" t="s">
        <v>214</v>
      </c>
      <c r="E621" s="7"/>
      <c r="F621" s="7">
        <v>7088.0</v>
      </c>
      <c r="G621" s="7">
        <v>7085.0</v>
      </c>
      <c r="H621" s="7" t="s">
        <v>53</v>
      </c>
      <c r="I621" s="7"/>
      <c r="J621" s="7"/>
      <c r="K621" s="8" t="s">
        <v>84</v>
      </c>
      <c r="L621" s="8" t="s">
        <v>377</v>
      </c>
      <c r="M621" s="8"/>
      <c r="N621" s="8" t="s">
        <v>85</v>
      </c>
      <c r="O621" s="8" t="s">
        <v>56</v>
      </c>
      <c r="P621" s="8" t="s">
        <v>57</v>
      </c>
      <c r="Q621" s="8" t="s">
        <v>1887</v>
      </c>
      <c r="R621" s="8">
        <v>0.6</v>
      </c>
      <c r="S621" s="8" t="s">
        <v>49</v>
      </c>
      <c r="T621" s="8" t="s">
        <v>49</v>
      </c>
      <c r="U621" s="8" t="s">
        <v>3198</v>
      </c>
      <c r="V621" s="8" t="s">
        <v>1851</v>
      </c>
      <c r="W621" s="8" t="s">
        <v>89</v>
      </c>
      <c r="X621" s="8" t="s">
        <v>108</v>
      </c>
      <c r="Y621" s="8" t="s">
        <v>1316</v>
      </c>
      <c r="Z621" s="8" t="s">
        <v>2382</v>
      </c>
      <c r="AA621" s="8" t="s">
        <v>231</v>
      </c>
      <c r="AB621" s="8" t="s">
        <v>60</v>
      </c>
      <c r="AC621" s="8" t="s">
        <v>219</v>
      </c>
      <c r="AD621" s="8" t="s">
        <v>3240</v>
      </c>
      <c r="AE621" s="8" t="s">
        <v>55</v>
      </c>
      <c r="AF621" s="8" t="s">
        <v>55</v>
      </c>
      <c r="AG621" s="8" t="s">
        <v>63</v>
      </c>
      <c r="AH621" s="8" t="s">
        <v>64</v>
      </c>
      <c r="AI621" s="8" t="s">
        <v>903</v>
      </c>
      <c r="AJ621" s="8" t="s">
        <v>49</v>
      </c>
      <c r="AK621" s="8" t="s">
        <v>95</v>
      </c>
      <c r="AL621" s="8" t="s">
        <v>66</v>
      </c>
      <c r="AM621" s="8"/>
      <c r="AN621" s="16" t="s">
        <v>3255</v>
      </c>
      <c r="AO621" s="9" t="s">
        <v>3256</v>
      </c>
      <c r="AP621" s="10" t="s">
        <v>3203</v>
      </c>
      <c r="AQ621" s="10" t="s">
        <v>3243</v>
      </c>
      <c r="AR621" s="10" t="s">
        <v>3244</v>
      </c>
      <c r="AS621" s="12"/>
      <c r="AT621" s="10" t="s">
        <v>3245</v>
      </c>
      <c r="AU621" s="10" t="s">
        <v>3246</v>
      </c>
      <c r="AV621" s="13"/>
    </row>
    <row r="622" ht="16.5" hidden="1" customHeight="1">
      <c r="A622" s="7" t="s">
        <v>3257</v>
      </c>
      <c r="B622" s="7" t="s">
        <v>3197</v>
      </c>
      <c r="C622" s="7" t="s">
        <v>50</v>
      </c>
      <c r="D622" s="7" t="s">
        <v>51</v>
      </c>
      <c r="E622" s="7" t="s">
        <v>227</v>
      </c>
      <c r="F622" s="7">
        <v>7089.0</v>
      </c>
      <c r="G622" s="7"/>
      <c r="H622" s="7" t="s">
        <v>53</v>
      </c>
      <c r="I622" s="7"/>
      <c r="J622" s="7"/>
      <c r="K622" s="8" t="s">
        <v>84</v>
      </c>
      <c r="L622" s="8" t="s">
        <v>377</v>
      </c>
      <c r="M622" s="8"/>
      <c r="N622" s="8" t="s">
        <v>85</v>
      </c>
      <c r="O622" s="8" t="s">
        <v>217</v>
      </c>
      <c r="P622" s="8" t="s">
        <v>57</v>
      </c>
      <c r="Q622" s="8" t="s">
        <v>1887</v>
      </c>
      <c r="R622" s="8">
        <v>0.6</v>
      </c>
      <c r="S622" s="8" t="s">
        <v>49</v>
      </c>
      <c r="T622" s="8" t="s">
        <v>49</v>
      </c>
      <c r="U622" s="8" t="s">
        <v>3198</v>
      </c>
      <c r="V622" s="8" t="s">
        <v>1851</v>
      </c>
      <c r="W622" s="8" t="s">
        <v>89</v>
      </c>
      <c r="X622" s="8" t="s">
        <v>108</v>
      </c>
      <c r="Y622" s="8" t="s">
        <v>1316</v>
      </c>
      <c r="Z622" s="8" t="s">
        <v>2382</v>
      </c>
      <c r="AA622" s="8" t="s">
        <v>231</v>
      </c>
      <c r="AB622" s="8" t="s">
        <v>60</v>
      </c>
      <c r="AC622" s="8" t="s">
        <v>61</v>
      </c>
      <c r="AD622" s="8" t="s">
        <v>3258</v>
      </c>
      <c r="AE622" s="8" t="s">
        <v>55</v>
      </c>
      <c r="AF622" s="8" t="s">
        <v>55</v>
      </c>
      <c r="AG622" s="8" t="s">
        <v>2429</v>
      </c>
      <c r="AH622" s="8" t="s">
        <v>64</v>
      </c>
      <c r="AI622" s="8" t="s">
        <v>65</v>
      </c>
      <c r="AJ622" s="8" t="s">
        <v>49</v>
      </c>
      <c r="AK622" s="8" t="s">
        <v>49</v>
      </c>
      <c r="AL622" s="8" t="s">
        <v>66</v>
      </c>
      <c r="AM622" s="8" t="s">
        <v>3174</v>
      </c>
      <c r="AN622" s="9" t="s">
        <v>3259</v>
      </c>
      <c r="AO622" s="9" t="s">
        <v>3260</v>
      </c>
      <c r="AP622" s="10" t="s">
        <v>3261</v>
      </c>
      <c r="AQ622" s="10" t="s">
        <v>3262</v>
      </c>
      <c r="AR622" s="10" t="s">
        <v>3263</v>
      </c>
      <c r="AS622" s="12"/>
      <c r="AT622" s="10" t="s">
        <v>3264</v>
      </c>
      <c r="AU622" s="10" t="s">
        <v>3265</v>
      </c>
      <c r="AV622" s="13"/>
    </row>
    <row r="623" ht="16.5" hidden="1" customHeight="1">
      <c r="A623" s="7" t="s">
        <v>3266</v>
      </c>
      <c r="B623" s="7" t="s">
        <v>3197</v>
      </c>
      <c r="C623" s="7" t="s">
        <v>50</v>
      </c>
      <c r="D623" s="7" t="s">
        <v>51</v>
      </c>
      <c r="E623" s="7" t="s">
        <v>227</v>
      </c>
      <c r="F623" s="7">
        <v>7089.0</v>
      </c>
      <c r="G623" s="7">
        <v>7089.0</v>
      </c>
      <c r="H623" s="7" t="s">
        <v>53</v>
      </c>
      <c r="I623" s="7"/>
      <c r="J623" s="7"/>
      <c r="K623" s="8" t="s">
        <v>84</v>
      </c>
      <c r="L623" s="8" t="s">
        <v>377</v>
      </c>
      <c r="M623" s="8"/>
      <c r="N623" s="8" t="s">
        <v>85</v>
      </c>
      <c r="O623" s="8" t="s">
        <v>217</v>
      </c>
      <c r="P623" s="8" t="s">
        <v>57</v>
      </c>
      <c r="Q623" s="8" t="s">
        <v>1887</v>
      </c>
      <c r="R623" s="8">
        <v>0.6</v>
      </c>
      <c r="S623" s="8" t="s">
        <v>49</v>
      </c>
      <c r="T623" s="8" t="s">
        <v>49</v>
      </c>
      <c r="U623" s="8" t="s">
        <v>3198</v>
      </c>
      <c r="V623" s="8" t="s">
        <v>1851</v>
      </c>
      <c r="W623" s="8" t="s">
        <v>89</v>
      </c>
      <c r="X623" s="8" t="s">
        <v>108</v>
      </c>
      <c r="Y623" s="8" t="s">
        <v>1316</v>
      </c>
      <c r="Z623" s="8" t="s">
        <v>2382</v>
      </c>
      <c r="AA623" s="8" t="s">
        <v>231</v>
      </c>
      <c r="AB623" s="8" t="s">
        <v>60</v>
      </c>
      <c r="AC623" s="8" t="s">
        <v>61</v>
      </c>
      <c r="AD623" s="8" t="s">
        <v>3258</v>
      </c>
      <c r="AE623" s="8" t="s">
        <v>55</v>
      </c>
      <c r="AF623" s="8" t="s">
        <v>55</v>
      </c>
      <c r="AG623" s="8" t="s">
        <v>2429</v>
      </c>
      <c r="AH623" s="8" t="s">
        <v>64</v>
      </c>
      <c r="AI623" s="8" t="s">
        <v>65</v>
      </c>
      <c r="AJ623" s="8" t="s">
        <v>49</v>
      </c>
      <c r="AK623" s="8" t="s">
        <v>95</v>
      </c>
      <c r="AL623" s="8" t="s">
        <v>66</v>
      </c>
      <c r="AM623" s="8" t="s">
        <v>3174</v>
      </c>
      <c r="AN623" s="16" t="s">
        <v>3259</v>
      </c>
      <c r="AO623" s="16" t="s">
        <v>3260</v>
      </c>
      <c r="AP623" s="10" t="s">
        <v>3261</v>
      </c>
      <c r="AQ623" s="10" t="s">
        <v>3262</v>
      </c>
      <c r="AR623" s="10" t="s">
        <v>3263</v>
      </c>
      <c r="AS623" s="12"/>
      <c r="AT623" s="10" t="s">
        <v>3264</v>
      </c>
      <c r="AU623" s="10" t="s">
        <v>3265</v>
      </c>
      <c r="AV623" s="13"/>
    </row>
    <row r="624" ht="16.5" hidden="1" customHeight="1">
      <c r="A624" s="7" t="s">
        <v>3267</v>
      </c>
      <c r="B624" s="7" t="s">
        <v>3197</v>
      </c>
      <c r="C624" s="14" t="s">
        <v>50</v>
      </c>
      <c r="D624" s="14" t="s">
        <v>51</v>
      </c>
      <c r="E624" s="7"/>
      <c r="F624" s="7">
        <v>7090.0</v>
      </c>
      <c r="G624" s="7">
        <v>7089.0</v>
      </c>
      <c r="H624" s="7" t="s">
        <v>53</v>
      </c>
      <c r="I624" s="7"/>
      <c r="J624" s="7"/>
      <c r="K624" s="8" t="s">
        <v>84</v>
      </c>
      <c r="L624" s="8" t="s">
        <v>377</v>
      </c>
      <c r="M624" s="8"/>
      <c r="N624" s="8" t="s">
        <v>85</v>
      </c>
      <c r="O624" s="8" t="s">
        <v>217</v>
      </c>
      <c r="P624" s="8" t="s">
        <v>57</v>
      </c>
      <c r="Q624" s="8" t="s">
        <v>1887</v>
      </c>
      <c r="R624" s="8">
        <v>0.6</v>
      </c>
      <c r="S624" s="8" t="s">
        <v>49</v>
      </c>
      <c r="T624" s="8" t="s">
        <v>49</v>
      </c>
      <c r="U624" s="8" t="s">
        <v>3198</v>
      </c>
      <c r="V624" s="8" t="s">
        <v>1851</v>
      </c>
      <c r="W624" s="8" t="s">
        <v>89</v>
      </c>
      <c r="X624" s="8" t="s">
        <v>108</v>
      </c>
      <c r="Y624" s="8" t="s">
        <v>1316</v>
      </c>
      <c r="Z624" s="8" t="s">
        <v>2382</v>
      </c>
      <c r="AA624" s="8" t="s">
        <v>231</v>
      </c>
      <c r="AB624" s="8" t="s">
        <v>60</v>
      </c>
      <c r="AC624" s="8" t="s">
        <v>61</v>
      </c>
      <c r="AD624" s="8" t="s">
        <v>3258</v>
      </c>
      <c r="AE624" s="8" t="s">
        <v>55</v>
      </c>
      <c r="AF624" s="8" t="s">
        <v>55</v>
      </c>
      <c r="AG624" s="8" t="s">
        <v>2429</v>
      </c>
      <c r="AH624" s="8" t="s">
        <v>64</v>
      </c>
      <c r="AI624" s="8" t="s">
        <v>463</v>
      </c>
      <c r="AJ624" s="8" t="s">
        <v>49</v>
      </c>
      <c r="AK624" s="8" t="s">
        <v>95</v>
      </c>
      <c r="AL624" s="8" t="s">
        <v>66</v>
      </c>
      <c r="AM624" s="8"/>
      <c r="AN624" s="16" t="s">
        <v>3268</v>
      </c>
      <c r="AO624" s="16" t="s">
        <v>3269</v>
      </c>
      <c r="AP624" s="10" t="s">
        <v>3261</v>
      </c>
      <c r="AQ624" s="10" t="s">
        <v>3262</v>
      </c>
      <c r="AR624" s="10" t="s">
        <v>3263</v>
      </c>
      <c r="AS624" s="12"/>
      <c r="AT624" s="10" t="s">
        <v>3264</v>
      </c>
      <c r="AU624" s="10" t="s">
        <v>3265</v>
      </c>
      <c r="AV624" s="13"/>
    </row>
    <row r="625" ht="16.5" hidden="1" customHeight="1">
      <c r="A625" s="7" t="s">
        <v>3270</v>
      </c>
      <c r="B625" s="7" t="s">
        <v>3197</v>
      </c>
      <c r="C625" s="7" t="s">
        <v>885</v>
      </c>
      <c r="D625" s="7" t="s">
        <v>886</v>
      </c>
      <c r="E625" s="7" t="s">
        <v>227</v>
      </c>
      <c r="F625" s="7">
        <v>7091.0</v>
      </c>
      <c r="G625" s="7"/>
      <c r="H625" s="7" t="s">
        <v>53</v>
      </c>
      <c r="I625" s="7"/>
      <c r="J625" s="7"/>
      <c r="K625" s="8" t="s">
        <v>84</v>
      </c>
      <c r="L625" s="8" t="s">
        <v>49</v>
      </c>
      <c r="M625" s="8"/>
      <c r="N625" s="8" t="s">
        <v>1610</v>
      </c>
      <c r="O625" s="8" t="s">
        <v>217</v>
      </c>
      <c r="P625" s="8" t="s">
        <v>57</v>
      </c>
      <c r="Q625" s="8" t="s">
        <v>86</v>
      </c>
      <c r="R625" s="8">
        <v>0.37</v>
      </c>
      <c r="S625" s="8" t="s">
        <v>49</v>
      </c>
      <c r="T625" s="8" t="s">
        <v>49</v>
      </c>
      <c r="U625" s="8" t="s">
        <v>3271</v>
      </c>
      <c r="V625" s="8" t="s">
        <v>1163</v>
      </c>
      <c r="W625" s="8" t="s">
        <v>89</v>
      </c>
      <c r="X625" s="8" t="s">
        <v>1797</v>
      </c>
      <c r="Y625" s="8" t="s">
        <v>1316</v>
      </c>
      <c r="Z625" s="8" t="s">
        <v>1852</v>
      </c>
      <c r="AA625" s="8" t="s">
        <v>231</v>
      </c>
      <c r="AB625" s="8" t="s">
        <v>60</v>
      </c>
      <c r="AC625" s="8" t="s">
        <v>888</v>
      </c>
      <c r="AD625" s="8" t="s">
        <v>3272</v>
      </c>
      <c r="AE625" s="8" t="s">
        <v>55</v>
      </c>
      <c r="AF625" s="8" t="s">
        <v>55</v>
      </c>
      <c r="AG625" s="8" t="s">
        <v>63</v>
      </c>
      <c r="AH625" s="8" t="s">
        <v>64</v>
      </c>
      <c r="AI625" s="8" t="s">
        <v>490</v>
      </c>
      <c r="AJ625" s="8" t="s">
        <v>49</v>
      </c>
      <c r="AK625" s="8" t="s">
        <v>49</v>
      </c>
      <c r="AL625" s="8" t="s">
        <v>66</v>
      </c>
      <c r="AM625" s="8" t="s">
        <v>2941</v>
      </c>
      <c r="AN625" s="9" t="s">
        <v>3273</v>
      </c>
      <c r="AO625" s="9" t="s">
        <v>3274</v>
      </c>
      <c r="AP625" s="10" t="s">
        <v>3275</v>
      </c>
      <c r="AQ625" s="10" t="s">
        <v>3276</v>
      </c>
      <c r="AR625" s="10" t="s">
        <v>3277</v>
      </c>
      <c r="AS625" s="12"/>
      <c r="AT625" s="10" t="s">
        <v>3278</v>
      </c>
      <c r="AU625" s="10" t="s">
        <v>3279</v>
      </c>
      <c r="AV625" s="13"/>
    </row>
    <row r="626" ht="16.5" hidden="1" customHeight="1">
      <c r="A626" s="7" t="s">
        <v>3280</v>
      </c>
      <c r="B626" s="7" t="s">
        <v>3197</v>
      </c>
      <c r="C626" s="7" t="s">
        <v>885</v>
      </c>
      <c r="D626" s="7" t="s">
        <v>886</v>
      </c>
      <c r="E626" s="7" t="s">
        <v>227</v>
      </c>
      <c r="F626" s="7">
        <v>7091.0</v>
      </c>
      <c r="G626" s="7">
        <v>7091.0</v>
      </c>
      <c r="H626" s="7" t="s">
        <v>53</v>
      </c>
      <c r="I626" s="7"/>
      <c r="J626" s="7"/>
      <c r="K626" s="8" t="s">
        <v>84</v>
      </c>
      <c r="L626" s="8" t="s">
        <v>49</v>
      </c>
      <c r="M626" s="8"/>
      <c r="N626" s="8" t="s">
        <v>1610</v>
      </c>
      <c r="O626" s="8" t="s">
        <v>217</v>
      </c>
      <c r="P626" s="8" t="s">
        <v>57</v>
      </c>
      <c r="Q626" s="8" t="s">
        <v>86</v>
      </c>
      <c r="R626" s="8">
        <v>0.37</v>
      </c>
      <c r="S626" s="8" t="s">
        <v>49</v>
      </c>
      <c r="T626" s="8" t="s">
        <v>49</v>
      </c>
      <c r="U626" s="8" t="s">
        <v>3271</v>
      </c>
      <c r="V626" s="8" t="s">
        <v>1163</v>
      </c>
      <c r="W626" s="8" t="s">
        <v>89</v>
      </c>
      <c r="X626" s="8" t="s">
        <v>1797</v>
      </c>
      <c r="Y626" s="8" t="s">
        <v>1316</v>
      </c>
      <c r="Z626" s="8" t="s">
        <v>1852</v>
      </c>
      <c r="AA626" s="8" t="s">
        <v>231</v>
      </c>
      <c r="AB626" s="8" t="s">
        <v>60</v>
      </c>
      <c r="AC626" s="8" t="s">
        <v>888</v>
      </c>
      <c r="AD626" s="8" t="s">
        <v>3272</v>
      </c>
      <c r="AE626" s="8" t="s">
        <v>55</v>
      </c>
      <c r="AF626" s="8" t="s">
        <v>55</v>
      </c>
      <c r="AG626" s="8" t="s">
        <v>63</v>
      </c>
      <c r="AH626" s="8" t="s">
        <v>64</v>
      </c>
      <c r="AI626" s="8" t="s">
        <v>490</v>
      </c>
      <c r="AJ626" s="8" t="s">
        <v>49</v>
      </c>
      <c r="AK626" s="8" t="s">
        <v>95</v>
      </c>
      <c r="AL626" s="8" t="s">
        <v>66</v>
      </c>
      <c r="AM626" s="8" t="s">
        <v>2941</v>
      </c>
      <c r="AN626" s="9" t="s">
        <v>3273</v>
      </c>
      <c r="AO626" s="9" t="s">
        <v>3274</v>
      </c>
      <c r="AP626" s="10" t="s">
        <v>3275</v>
      </c>
      <c r="AQ626" s="10" t="s">
        <v>3276</v>
      </c>
      <c r="AR626" s="10" t="s">
        <v>3277</v>
      </c>
      <c r="AS626" s="12"/>
      <c r="AT626" s="10" t="s">
        <v>3278</v>
      </c>
      <c r="AU626" s="10" t="s">
        <v>3279</v>
      </c>
      <c r="AV626" s="13"/>
    </row>
    <row r="627" ht="16.5" hidden="1" customHeight="1">
      <c r="A627" s="7" t="s">
        <v>3281</v>
      </c>
      <c r="B627" s="7" t="s">
        <v>3197</v>
      </c>
      <c r="C627" s="14" t="s">
        <v>885</v>
      </c>
      <c r="D627" s="14" t="s">
        <v>886</v>
      </c>
      <c r="E627" s="7"/>
      <c r="F627" s="7">
        <v>7092.0</v>
      </c>
      <c r="G627" s="7">
        <v>7091.0</v>
      </c>
      <c r="H627" s="7" t="s">
        <v>53</v>
      </c>
      <c r="I627" s="7"/>
      <c r="J627" s="7"/>
      <c r="K627" s="8" t="s">
        <v>84</v>
      </c>
      <c r="L627" s="8" t="s">
        <v>49</v>
      </c>
      <c r="M627" s="8"/>
      <c r="N627" s="8" t="s">
        <v>1610</v>
      </c>
      <c r="O627" s="8" t="s">
        <v>217</v>
      </c>
      <c r="P627" s="8" t="s">
        <v>57</v>
      </c>
      <c r="Q627" s="8" t="s">
        <v>86</v>
      </c>
      <c r="R627" s="8">
        <v>0.37</v>
      </c>
      <c r="S627" s="8" t="s">
        <v>49</v>
      </c>
      <c r="T627" s="8" t="s">
        <v>49</v>
      </c>
      <c r="U627" s="8" t="s">
        <v>3271</v>
      </c>
      <c r="V627" s="8" t="s">
        <v>1163</v>
      </c>
      <c r="W627" s="8" t="s">
        <v>89</v>
      </c>
      <c r="X627" s="8" t="s">
        <v>1797</v>
      </c>
      <c r="Y627" s="8" t="s">
        <v>1316</v>
      </c>
      <c r="Z627" s="8" t="s">
        <v>1852</v>
      </c>
      <c r="AA627" s="8" t="s">
        <v>231</v>
      </c>
      <c r="AB627" s="8" t="s">
        <v>60</v>
      </c>
      <c r="AC627" s="8" t="s">
        <v>888</v>
      </c>
      <c r="AD627" s="8" t="s">
        <v>3272</v>
      </c>
      <c r="AE627" s="8" t="s">
        <v>55</v>
      </c>
      <c r="AF627" s="8" t="s">
        <v>55</v>
      </c>
      <c r="AG627" s="8" t="s">
        <v>63</v>
      </c>
      <c r="AH627" s="8" t="s">
        <v>64</v>
      </c>
      <c r="AI627" s="8" t="s">
        <v>112</v>
      </c>
      <c r="AJ627" s="8" t="s">
        <v>49</v>
      </c>
      <c r="AK627" s="8" t="s">
        <v>95</v>
      </c>
      <c r="AL627" s="8" t="s">
        <v>66</v>
      </c>
      <c r="AM627" s="8"/>
      <c r="AN627" s="9" t="s">
        <v>3282</v>
      </c>
      <c r="AO627" s="9" t="s">
        <v>3283</v>
      </c>
      <c r="AP627" s="10" t="s">
        <v>3275</v>
      </c>
      <c r="AQ627" s="10" t="s">
        <v>3276</v>
      </c>
      <c r="AR627" s="10" t="s">
        <v>3277</v>
      </c>
      <c r="AS627" s="12"/>
      <c r="AT627" s="10" t="s">
        <v>3278</v>
      </c>
      <c r="AU627" s="10" t="s">
        <v>3279</v>
      </c>
      <c r="AV627" s="13"/>
    </row>
    <row r="628" ht="16.5" hidden="1" customHeight="1">
      <c r="A628" s="7" t="s">
        <v>3284</v>
      </c>
      <c r="B628" s="7" t="s">
        <v>49</v>
      </c>
      <c r="C628" s="7" t="s">
        <v>50</v>
      </c>
      <c r="D628" s="7" t="s">
        <v>51</v>
      </c>
      <c r="E628" s="7" t="s">
        <v>227</v>
      </c>
      <c r="F628" s="7">
        <v>7093.0</v>
      </c>
      <c r="G628" s="7"/>
      <c r="H628" s="7" t="s">
        <v>53</v>
      </c>
      <c r="I628" s="7"/>
      <c r="J628" s="7"/>
      <c r="K628" s="8" t="s">
        <v>84</v>
      </c>
      <c r="L628" s="8" t="s">
        <v>49</v>
      </c>
      <c r="M628" s="8"/>
      <c r="N628" s="8" t="s">
        <v>85</v>
      </c>
      <c r="O628" s="8" t="s">
        <v>217</v>
      </c>
      <c r="P628" s="8" t="s">
        <v>57</v>
      </c>
      <c r="Q628" s="8" t="s">
        <v>86</v>
      </c>
      <c r="R628" s="8">
        <v>0.53</v>
      </c>
      <c r="S628" s="8" t="s">
        <v>49</v>
      </c>
      <c r="T628" s="8" t="s">
        <v>49</v>
      </c>
      <c r="U628" s="8" t="s">
        <v>3285</v>
      </c>
      <c r="V628" s="8" t="s">
        <v>289</v>
      </c>
      <c r="W628" s="8" t="s">
        <v>89</v>
      </c>
      <c r="X628" s="8" t="s">
        <v>108</v>
      </c>
      <c r="Y628" s="8" t="s">
        <v>1779</v>
      </c>
      <c r="Z628" s="8" t="s">
        <v>1852</v>
      </c>
      <c r="AA628" s="8" t="s">
        <v>231</v>
      </c>
      <c r="AB628" s="8" t="s">
        <v>60</v>
      </c>
      <c r="AC628" s="8" t="s">
        <v>61</v>
      </c>
      <c r="AD628" s="8" t="s">
        <v>3286</v>
      </c>
      <c r="AE628" s="8" t="s">
        <v>55</v>
      </c>
      <c r="AF628" s="8" t="s">
        <v>55</v>
      </c>
      <c r="AG628" s="8" t="s">
        <v>63</v>
      </c>
      <c r="AH628" s="8" t="s">
        <v>145</v>
      </c>
      <c r="AI628" s="8" t="s">
        <v>94</v>
      </c>
      <c r="AJ628" s="8" t="s">
        <v>49</v>
      </c>
      <c r="AK628" s="8" t="s">
        <v>49</v>
      </c>
      <c r="AL628" s="8" t="s">
        <v>66</v>
      </c>
      <c r="AM628" s="8" t="s">
        <v>3287</v>
      </c>
      <c r="AN628" s="9" t="s">
        <v>3288</v>
      </c>
      <c r="AO628" s="9" t="s">
        <v>3289</v>
      </c>
      <c r="AP628" s="10" t="s">
        <v>3290</v>
      </c>
      <c r="AQ628" s="10" t="s">
        <v>3291</v>
      </c>
      <c r="AR628" s="10" t="s">
        <v>3292</v>
      </c>
      <c r="AS628" s="12"/>
      <c r="AT628" s="10" t="s">
        <v>3293</v>
      </c>
      <c r="AU628" s="10" t="s">
        <v>3294</v>
      </c>
      <c r="AV628" s="13"/>
    </row>
    <row r="629" ht="16.5" hidden="1" customHeight="1">
      <c r="A629" s="7" t="s">
        <v>3295</v>
      </c>
      <c r="B629" s="7" t="s">
        <v>49</v>
      </c>
      <c r="C629" s="7" t="s">
        <v>50</v>
      </c>
      <c r="D629" s="7" t="s">
        <v>51</v>
      </c>
      <c r="E629" s="7" t="s">
        <v>227</v>
      </c>
      <c r="F629" s="7">
        <v>7093.0</v>
      </c>
      <c r="G629" s="7">
        <v>7093.0</v>
      </c>
      <c r="H629" s="7" t="s">
        <v>53</v>
      </c>
      <c r="I629" s="7"/>
      <c r="J629" s="7"/>
      <c r="K629" s="8" t="s">
        <v>84</v>
      </c>
      <c r="L629" s="8" t="s">
        <v>49</v>
      </c>
      <c r="M629" s="8"/>
      <c r="N629" s="8" t="s">
        <v>85</v>
      </c>
      <c r="O629" s="8" t="s">
        <v>217</v>
      </c>
      <c r="P629" s="8" t="s">
        <v>57</v>
      </c>
      <c r="Q629" s="8" t="s">
        <v>86</v>
      </c>
      <c r="R629" s="8">
        <v>0.53</v>
      </c>
      <c r="S629" s="8" t="s">
        <v>49</v>
      </c>
      <c r="T629" s="8" t="s">
        <v>49</v>
      </c>
      <c r="U629" s="8" t="s">
        <v>3285</v>
      </c>
      <c r="V629" s="8" t="s">
        <v>289</v>
      </c>
      <c r="W629" s="8" t="s">
        <v>89</v>
      </c>
      <c r="X629" s="8" t="s">
        <v>108</v>
      </c>
      <c r="Y629" s="8" t="s">
        <v>1779</v>
      </c>
      <c r="Z629" s="8" t="s">
        <v>1852</v>
      </c>
      <c r="AA629" s="8" t="s">
        <v>231</v>
      </c>
      <c r="AB629" s="8" t="s">
        <v>60</v>
      </c>
      <c r="AC629" s="8" t="s">
        <v>61</v>
      </c>
      <c r="AD629" s="8" t="s">
        <v>3286</v>
      </c>
      <c r="AE629" s="8" t="s">
        <v>55</v>
      </c>
      <c r="AF629" s="8" t="s">
        <v>55</v>
      </c>
      <c r="AG629" s="8" t="s">
        <v>63</v>
      </c>
      <c r="AH629" s="8" t="s">
        <v>145</v>
      </c>
      <c r="AI629" s="8" t="s">
        <v>94</v>
      </c>
      <c r="AJ629" s="8" t="s">
        <v>49</v>
      </c>
      <c r="AK629" s="8" t="s">
        <v>95</v>
      </c>
      <c r="AL629" s="8" t="s">
        <v>66</v>
      </c>
      <c r="AM629" s="8" t="s">
        <v>3287</v>
      </c>
      <c r="AN629" s="16" t="s">
        <v>3288</v>
      </c>
      <c r="AO629" s="9" t="s">
        <v>3289</v>
      </c>
      <c r="AP629" s="10" t="s">
        <v>3290</v>
      </c>
      <c r="AQ629" s="10" t="s">
        <v>3291</v>
      </c>
      <c r="AR629" s="10" t="s">
        <v>3292</v>
      </c>
      <c r="AS629" s="12"/>
      <c r="AT629" s="10" t="s">
        <v>3293</v>
      </c>
      <c r="AU629" s="10" t="s">
        <v>3294</v>
      </c>
      <c r="AV629" s="15">
        <v>46341.0</v>
      </c>
    </row>
    <row r="630" ht="16.5" hidden="1" customHeight="1">
      <c r="A630" s="7" t="s">
        <v>3296</v>
      </c>
      <c r="B630" s="14" t="s">
        <v>49</v>
      </c>
      <c r="C630" s="14" t="s">
        <v>50</v>
      </c>
      <c r="D630" s="14" t="s">
        <v>51</v>
      </c>
      <c r="E630" s="7"/>
      <c r="F630" s="7">
        <v>7094.0</v>
      </c>
      <c r="G630" s="7">
        <v>7093.0</v>
      </c>
      <c r="H630" s="7" t="s">
        <v>53</v>
      </c>
      <c r="I630" s="7"/>
      <c r="J630" s="7"/>
      <c r="K630" s="8" t="s">
        <v>84</v>
      </c>
      <c r="L630" s="8" t="s">
        <v>49</v>
      </c>
      <c r="M630" s="8"/>
      <c r="N630" s="8" t="s">
        <v>85</v>
      </c>
      <c r="O630" s="8" t="s">
        <v>217</v>
      </c>
      <c r="P630" s="8" t="s">
        <v>57</v>
      </c>
      <c r="Q630" s="8" t="s">
        <v>86</v>
      </c>
      <c r="R630" s="8">
        <v>0.53</v>
      </c>
      <c r="S630" s="8" t="s">
        <v>49</v>
      </c>
      <c r="T630" s="8" t="s">
        <v>49</v>
      </c>
      <c r="U630" s="8" t="s">
        <v>3285</v>
      </c>
      <c r="V630" s="8" t="s">
        <v>289</v>
      </c>
      <c r="W630" s="8" t="s">
        <v>89</v>
      </c>
      <c r="X630" s="8" t="s">
        <v>108</v>
      </c>
      <c r="Y630" s="8" t="s">
        <v>1779</v>
      </c>
      <c r="Z630" s="8" t="s">
        <v>1852</v>
      </c>
      <c r="AA630" s="8" t="s">
        <v>231</v>
      </c>
      <c r="AB630" s="8" t="s">
        <v>60</v>
      </c>
      <c r="AC630" s="8" t="s">
        <v>61</v>
      </c>
      <c r="AD630" s="8" t="s">
        <v>3286</v>
      </c>
      <c r="AE630" s="8" t="s">
        <v>55</v>
      </c>
      <c r="AF630" s="8" t="s">
        <v>55</v>
      </c>
      <c r="AG630" s="8" t="s">
        <v>63</v>
      </c>
      <c r="AH630" s="8" t="s">
        <v>145</v>
      </c>
      <c r="AI630" s="8" t="s">
        <v>112</v>
      </c>
      <c r="AJ630" s="8" t="s">
        <v>49</v>
      </c>
      <c r="AK630" s="8" t="s">
        <v>95</v>
      </c>
      <c r="AL630" s="8" t="s">
        <v>66</v>
      </c>
      <c r="AM630" s="8" t="s">
        <v>3287</v>
      </c>
      <c r="AN630" s="9" t="s">
        <v>3297</v>
      </c>
      <c r="AO630" s="9" t="s">
        <v>3298</v>
      </c>
      <c r="AP630" s="10" t="s">
        <v>3290</v>
      </c>
      <c r="AQ630" s="10" t="s">
        <v>3291</v>
      </c>
      <c r="AR630" s="10" t="s">
        <v>3292</v>
      </c>
      <c r="AS630" s="12"/>
      <c r="AT630" s="10" t="s">
        <v>3293</v>
      </c>
      <c r="AU630" s="10" t="s">
        <v>3294</v>
      </c>
      <c r="AV630" s="13"/>
    </row>
    <row r="631" ht="16.5" hidden="1" customHeight="1">
      <c r="A631" s="7" t="s">
        <v>3299</v>
      </c>
      <c r="B631" s="7" t="s">
        <v>49</v>
      </c>
      <c r="C631" s="7" t="s">
        <v>885</v>
      </c>
      <c r="D631" s="7" t="s">
        <v>909</v>
      </c>
      <c r="E631" s="7" t="s">
        <v>227</v>
      </c>
      <c r="F631" s="7">
        <v>7095.0</v>
      </c>
      <c r="G631" s="7"/>
      <c r="H631" s="7" t="s">
        <v>53</v>
      </c>
      <c r="I631" s="7"/>
      <c r="J631" s="7"/>
      <c r="K631" s="8" t="s">
        <v>84</v>
      </c>
      <c r="L631" s="8" t="s">
        <v>377</v>
      </c>
      <c r="M631" s="8"/>
      <c r="N631" s="8" t="s">
        <v>85</v>
      </c>
      <c r="O631" s="8" t="s">
        <v>217</v>
      </c>
      <c r="P631" s="8" t="s">
        <v>57</v>
      </c>
      <c r="Q631" s="8" t="s">
        <v>1887</v>
      </c>
      <c r="R631" s="8">
        <v>0.4</v>
      </c>
      <c r="S631" s="8" t="s">
        <v>49</v>
      </c>
      <c r="T631" s="8" t="s">
        <v>49</v>
      </c>
      <c r="U631" s="8" t="s">
        <v>3300</v>
      </c>
      <c r="V631" s="8" t="s">
        <v>1163</v>
      </c>
      <c r="W631" s="8" t="s">
        <v>89</v>
      </c>
      <c r="X631" s="8" t="s">
        <v>1797</v>
      </c>
      <c r="Y631" s="8" t="s">
        <v>3301</v>
      </c>
      <c r="Z631" s="8" t="s">
        <v>2969</v>
      </c>
      <c r="AA631" s="8" t="s">
        <v>231</v>
      </c>
      <c r="AB631" s="8" t="s">
        <v>60</v>
      </c>
      <c r="AC631" s="8" t="s">
        <v>888</v>
      </c>
      <c r="AD631" s="8" t="s">
        <v>3302</v>
      </c>
      <c r="AE631" s="8" t="s">
        <v>55</v>
      </c>
      <c r="AF631" s="8" t="s">
        <v>55</v>
      </c>
      <c r="AG631" s="8" t="s">
        <v>890</v>
      </c>
      <c r="AH631" s="8" t="s">
        <v>64</v>
      </c>
      <c r="AI631" s="8" t="s">
        <v>94</v>
      </c>
      <c r="AJ631" s="8" t="s">
        <v>49</v>
      </c>
      <c r="AK631" s="8" t="s">
        <v>49</v>
      </c>
      <c r="AL631" s="8" t="s">
        <v>66</v>
      </c>
      <c r="AM631" s="8" t="s">
        <v>3303</v>
      </c>
      <c r="AN631" s="9" t="s">
        <v>3304</v>
      </c>
      <c r="AO631" s="9" t="s">
        <v>3305</v>
      </c>
      <c r="AP631" s="10" t="s">
        <v>3306</v>
      </c>
      <c r="AQ631" s="10" t="s">
        <v>3307</v>
      </c>
      <c r="AR631" s="10" t="s">
        <v>3308</v>
      </c>
      <c r="AS631" s="12"/>
      <c r="AT631" s="10" t="s">
        <v>3309</v>
      </c>
      <c r="AU631" s="10" t="s">
        <v>3310</v>
      </c>
      <c r="AV631" s="13"/>
    </row>
    <row r="632" ht="16.5" hidden="1" customHeight="1">
      <c r="A632" s="7" t="s">
        <v>3311</v>
      </c>
      <c r="B632" s="7" t="s">
        <v>49</v>
      </c>
      <c r="C632" s="7" t="s">
        <v>885</v>
      </c>
      <c r="D632" s="7" t="s">
        <v>909</v>
      </c>
      <c r="E632" s="7" t="s">
        <v>227</v>
      </c>
      <c r="F632" s="7">
        <v>7095.0</v>
      </c>
      <c r="G632" s="7">
        <v>7095.0</v>
      </c>
      <c r="H632" s="7" t="s">
        <v>53</v>
      </c>
      <c r="I632" s="7"/>
      <c r="J632" s="7"/>
      <c r="K632" s="8" t="s">
        <v>84</v>
      </c>
      <c r="L632" s="8" t="s">
        <v>377</v>
      </c>
      <c r="M632" s="8"/>
      <c r="N632" s="8" t="s">
        <v>85</v>
      </c>
      <c r="O632" s="8" t="s">
        <v>217</v>
      </c>
      <c r="P632" s="8" t="s">
        <v>57</v>
      </c>
      <c r="Q632" s="8" t="s">
        <v>1887</v>
      </c>
      <c r="R632" s="8">
        <v>0.4</v>
      </c>
      <c r="S632" s="8" t="s">
        <v>49</v>
      </c>
      <c r="T632" s="8" t="s">
        <v>49</v>
      </c>
      <c r="U632" s="8" t="s">
        <v>3300</v>
      </c>
      <c r="V632" s="8" t="s">
        <v>1163</v>
      </c>
      <c r="W632" s="8" t="s">
        <v>89</v>
      </c>
      <c r="X632" s="8" t="s">
        <v>1797</v>
      </c>
      <c r="Y632" s="8" t="s">
        <v>3301</v>
      </c>
      <c r="Z632" s="8" t="s">
        <v>2969</v>
      </c>
      <c r="AA632" s="8" t="s">
        <v>231</v>
      </c>
      <c r="AB632" s="8" t="s">
        <v>60</v>
      </c>
      <c r="AC632" s="8" t="s">
        <v>888</v>
      </c>
      <c r="AD632" s="8" t="s">
        <v>3302</v>
      </c>
      <c r="AE632" s="8" t="s">
        <v>55</v>
      </c>
      <c r="AF632" s="8" t="s">
        <v>55</v>
      </c>
      <c r="AG632" s="8" t="s">
        <v>890</v>
      </c>
      <c r="AH632" s="8" t="s">
        <v>64</v>
      </c>
      <c r="AI632" s="8" t="s">
        <v>94</v>
      </c>
      <c r="AJ632" s="8" t="s">
        <v>49</v>
      </c>
      <c r="AK632" s="8" t="s">
        <v>95</v>
      </c>
      <c r="AL632" s="8" t="s">
        <v>66</v>
      </c>
      <c r="AM632" s="8" t="s">
        <v>3303</v>
      </c>
      <c r="AN632" s="9" t="s">
        <v>3304</v>
      </c>
      <c r="AO632" s="9" t="s">
        <v>3305</v>
      </c>
      <c r="AP632" s="10" t="s">
        <v>3306</v>
      </c>
      <c r="AQ632" s="10" t="s">
        <v>3307</v>
      </c>
      <c r="AR632" s="10" t="s">
        <v>3308</v>
      </c>
      <c r="AS632" s="12"/>
      <c r="AT632" s="10" t="s">
        <v>3309</v>
      </c>
      <c r="AU632" s="10" t="s">
        <v>3310</v>
      </c>
      <c r="AV632" s="15">
        <v>46315.0</v>
      </c>
    </row>
    <row r="633" ht="16.5" hidden="1" customHeight="1">
      <c r="A633" s="7" t="s">
        <v>3312</v>
      </c>
      <c r="B633" s="14" t="s">
        <v>49</v>
      </c>
      <c r="C633" s="14" t="s">
        <v>885</v>
      </c>
      <c r="D633" s="14" t="s">
        <v>909</v>
      </c>
      <c r="E633" s="7"/>
      <c r="F633" s="7">
        <v>7096.0</v>
      </c>
      <c r="G633" s="7">
        <v>7095.0</v>
      </c>
      <c r="H633" s="7" t="s">
        <v>53</v>
      </c>
      <c r="I633" s="7"/>
      <c r="J633" s="7"/>
      <c r="K633" s="8" t="s">
        <v>84</v>
      </c>
      <c r="L633" s="8" t="s">
        <v>377</v>
      </c>
      <c r="M633" s="8"/>
      <c r="N633" s="8" t="s">
        <v>85</v>
      </c>
      <c r="O633" s="8" t="s">
        <v>217</v>
      </c>
      <c r="P633" s="8" t="s">
        <v>57</v>
      </c>
      <c r="Q633" s="8" t="s">
        <v>1887</v>
      </c>
      <c r="R633" s="8">
        <v>0.4</v>
      </c>
      <c r="S633" s="8" t="s">
        <v>49</v>
      </c>
      <c r="T633" s="8" t="s">
        <v>49</v>
      </c>
      <c r="U633" s="8" t="s">
        <v>3300</v>
      </c>
      <c r="V633" s="8" t="s">
        <v>1163</v>
      </c>
      <c r="W633" s="8" t="s">
        <v>89</v>
      </c>
      <c r="X633" s="8" t="s">
        <v>1797</v>
      </c>
      <c r="Y633" s="8" t="s">
        <v>3301</v>
      </c>
      <c r="Z633" s="8" t="s">
        <v>2969</v>
      </c>
      <c r="AA633" s="8" t="s">
        <v>231</v>
      </c>
      <c r="AB633" s="8" t="s">
        <v>60</v>
      </c>
      <c r="AC633" s="8" t="s">
        <v>888</v>
      </c>
      <c r="AD633" s="8" t="s">
        <v>3302</v>
      </c>
      <c r="AE633" s="8" t="s">
        <v>55</v>
      </c>
      <c r="AF633" s="8" t="s">
        <v>55</v>
      </c>
      <c r="AG633" s="8" t="s">
        <v>890</v>
      </c>
      <c r="AH633" s="8" t="s">
        <v>64</v>
      </c>
      <c r="AI633" s="8" t="s">
        <v>112</v>
      </c>
      <c r="AJ633" s="8" t="s">
        <v>49</v>
      </c>
      <c r="AK633" s="8" t="s">
        <v>95</v>
      </c>
      <c r="AL633" s="8" t="s">
        <v>66</v>
      </c>
      <c r="AM633" s="8" t="s">
        <v>3303</v>
      </c>
      <c r="AN633" s="16" t="s">
        <v>3313</v>
      </c>
      <c r="AO633" s="9" t="s">
        <v>3314</v>
      </c>
      <c r="AP633" s="10" t="s">
        <v>3306</v>
      </c>
      <c r="AQ633" s="10" t="s">
        <v>3307</v>
      </c>
      <c r="AR633" s="10" t="s">
        <v>3308</v>
      </c>
      <c r="AS633" s="12"/>
      <c r="AT633" s="10" t="s">
        <v>3309</v>
      </c>
      <c r="AU633" s="10" t="s">
        <v>3310</v>
      </c>
      <c r="AV633" s="13"/>
    </row>
    <row r="634" ht="16.5" hidden="1" customHeight="1">
      <c r="A634" s="7" t="s">
        <v>3315</v>
      </c>
      <c r="B634" s="7" t="s">
        <v>49</v>
      </c>
      <c r="C634" s="7" t="s">
        <v>50</v>
      </c>
      <c r="D634" s="7" t="s">
        <v>51</v>
      </c>
      <c r="E634" s="7" t="s">
        <v>227</v>
      </c>
      <c r="F634" s="7">
        <v>7097.0</v>
      </c>
      <c r="G634" s="7"/>
      <c r="H634" s="7" t="s">
        <v>53</v>
      </c>
      <c r="I634" s="7"/>
      <c r="J634" s="7"/>
      <c r="K634" s="8" t="s">
        <v>2534</v>
      </c>
      <c r="L634" s="8" t="s">
        <v>49</v>
      </c>
      <c r="M634" s="8"/>
      <c r="N634" s="8" t="s">
        <v>85</v>
      </c>
      <c r="O634" s="8" t="s">
        <v>217</v>
      </c>
      <c r="P634" s="8" t="s">
        <v>57</v>
      </c>
      <c r="Q634" s="8" t="s">
        <v>1299</v>
      </c>
      <c r="R634" s="8">
        <v>0.6</v>
      </c>
      <c r="S634" s="8" t="s">
        <v>49</v>
      </c>
      <c r="T634" s="8" t="s">
        <v>49</v>
      </c>
      <c r="U634" s="8" t="s">
        <v>3316</v>
      </c>
      <c r="V634" s="8" t="s">
        <v>336</v>
      </c>
      <c r="W634" s="8" t="s">
        <v>89</v>
      </c>
      <c r="X634" s="8" t="s">
        <v>108</v>
      </c>
      <c r="Y634" s="8" t="s">
        <v>3317</v>
      </c>
      <c r="Z634" s="8" t="s">
        <v>92</v>
      </c>
      <c r="AA634" s="8" t="s">
        <v>231</v>
      </c>
      <c r="AB634" s="8" t="s">
        <v>60</v>
      </c>
      <c r="AC634" s="8" t="s">
        <v>61</v>
      </c>
      <c r="AD634" s="8" t="s">
        <v>3318</v>
      </c>
      <c r="AE634" s="8" t="s">
        <v>55</v>
      </c>
      <c r="AF634" s="8" t="s">
        <v>55</v>
      </c>
      <c r="AG634" s="8" t="s">
        <v>3319</v>
      </c>
      <c r="AH634" s="8" t="s">
        <v>3320</v>
      </c>
      <c r="AI634" s="8" t="s">
        <v>369</v>
      </c>
      <c r="AJ634" s="8" t="s">
        <v>49</v>
      </c>
      <c r="AK634" s="8" t="s">
        <v>49</v>
      </c>
      <c r="AL634" s="8" t="s">
        <v>66</v>
      </c>
      <c r="AM634" s="8" t="s">
        <v>3321</v>
      </c>
      <c r="AN634" s="16" t="s">
        <v>3322</v>
      </c>
      <c r="AO634" s="9" t="s">
        <v>3323</v>
      </c>
      <c r="AP634" s="10" t="s">
        <v>3324</v>
      </c>
      <c r="AQ634" s="10" t="s">
        <v>3325</v>
      </c>
      <c r="AR634" s="10" t="s">
        <v>3326</v>
      </c>
      <c r="AS634" s="12"/>
      <c r="AT634" s="11"/>
      <c r="AU634" s="10" t="s">
        <v>3327</v>
      </c>
      <c r="AV634" s="13"/>
    </row>
    <row r="635" ht="16.5" customHeight="1">
      <c r="A635" s="7" t="s">
        <v>3328</v>
      </c>
      <c r="B635" s="7" t="s">
        <v>49</v>
      </c>
      <c r="C635" s="7" t="s">
        <v>50</v>
      </c>
      <c r="D635" s="7" t="s">
        <v>51</v>
      </c>
      <c r="E635" s="7" t="s">
        <v>227</v>
      </c>
      <c r="F635" s="7">
        <v>7097.0</v>
      </c>
      <c r="G635" s="7">
        <v>7097.0</v>
      </c>
      <c r="H635" s="14" t="s">
        <v>1134</v>
      </c>
      <c r="I635" s="7"/>
      <c r="J635" s="7"/>
      <c r="K635" s="8" t="s">
        <v>2534</v>
      </c>
      <c r="L635" s="8" t="s">
        <v>49</v>
      </c>
      <c r="M635" s="8"/>
      <c r="N635" s="8" t="s">
        <v>85</v>
      </c>
      <c r="O635" s="8" t="s">
        <v>217</v>
      </c>
      <c r="P635" s="8" t="s">
        <v>57</v>
      </c>
      <c r="Q635" s="8" t="s">
        <v>1299</v>
      </c>
      <c r="R635" s="8">
        <v>0.6</v>
      </c>
      <c r="S635" s="8" t="s">
        <v>49</v>
      </c>
      <c r="T635" s="8" t="s">
        <v>49</v>
      </c>
      <c r="U635" s="8" t="s">
        <v>3316</v>
      </c>
      <c r="V635" s="8" t="s">
        <v>336</v>
      </c>
      <c r="W635" s="8" t="s">
        <v>89</v>
      </c>
      <c r="X635" s="8" t="s">
        <v>108</v>
      </c>
      <c r="Y635" s="8" t="s">
        <v>3317</v>
      </c>
      <c r="Z635" s="8" t="s">
        <v>92</v>
      </c>
      <c r="AA635" s="8" t="s">
        <v>231</v>
      </c>
      <c r="AB635" s="8" t="s">
        <v>60</v>
      </c>
      <c r="AC635" s="8" t="s">
        <v>61</v>
      </c>
      <c r="AD635" s="8" t="s">
        <v>3318</v>
      </c>
      <c r="AE635" s="8" t="s">
        <v>55</v>
      </c>
      <c r="AF635" s="8" t="s">
        <v>55</v>
      </c>
      <c r="AG635" s="8" t="s">
        <v>3319</v>
      </c>
      <c r="AH635" s="8" t="s">
        <v>3320</v>
      </c>
      <c r="AI635" s="8" t="s">
        <v>369</v>
      </c>
      <c r="AJ635" s="8" t="s">
        <v>49</v>
      </c>
      <c r="AK635" s="8" t="s">
        <v>95</v>
      </c>
      <c r="AL635" s="8" t="s">
        <v>66</v>
      </c>
      <c r="AM635" s="8" t="s">
        <v>3321</v>
      </c>
      <c r="AN635" s="16" t="s">
        <v>3322</v>
      </c>
      <c r="AO635" s="9" t="s">
        <v>3323</v>
      </c>
      <c r="AP635" s="10" t="s">
        <v>3324</v>
      </c>
      <c r="AQ635" s="10" t="s">
        <v>3325</v>
      </c>
      <c r="AR635" s="10" t="s">
        <v>3326</v>
      </c>
      <c r="AS635" s="12"/>
      <c r="AT635" s="11"/>
      <c r="AU635" s="10" t="s">
        <v>3327</v>
      </c>
      <c r="AV635" s="15">
        <v>46315.0</v>
      </c>
    </row>
    <row r="636" ht="16.5" customHeight="1">
      <c r="A636" s="24" t="s">
        <v>3329</v>
      </c>
      <c r="B636" s="24" t="s">
        <v>49</v>
      </c>
      <c r="C636" s="24" t="s">
        <v>50</v>
      </c>
      <c r="D636" s="24" t="s">
        <v>51</v>
      </c>
      <c r="E636" s="24" t="s">
        <v>227</v>
      </c>
      <c r="F636" s="24">
        <v>7098.0</v>
      </c>
      <c r="G636" s="24">
        <v>7097.0</v>
      </c>
      <c r="H636" s="25" t="s">
        <v>1134</v>
      </c>
      <c r="I636" s="24"/>
      <c r="J636" s="24"/>
      <c r="K636" s="26" t="s">
        <v>2534</v>
      </c>
      <c r="L636" s="26" t="s">
        <v>49</v>
      </c>
      <c r="M636" s="26"/>
      <c r="N636" s="26" t="s">
        <v>85</v>
      </c>
      <c r="O636" s="26" t="s">
        <v>217</v>
      </c>
      <c r="P636" s="26" t="s">
        <v>57</v>
      </c>
      <c r="Q636" s="26" t="s">
        <v>1865</v>
      </c>
      <c r="R636" s="26">
        <v>0.55</v>
      </c>
      <c r="S636" s="26" t="s">
        <v>49</v>
      </c>
      <c r="T636" s="26" t="s">
        <v>49</v>
      </c>
      <c r="U636" s="26" t="s">
        <v>3330</v>
      </c>
      <c r="V636" s="26" t="s">
        <v>3331</v>
      </c>
      <c r="W636" s="26" t="s">
        <v>89</v>
      </c>
      <c r="X636" s="26" t="s">
        <v>108</v>
      </c>
      <c r="Y636" s="26" t="s">
        <v>2247</v>
      </c>
      <c r="Z636" s="26" t="s">
        <v>92</v>
      </c>
      <c r="AA636" s="26" t="s">
        <v>231</v>
      </c>
      <c r="AB636" s="26" t="s">
        <v>60</v>
      </c>
      <c r="AC636" s="26" t="s">
        <v>61</v>
      </c>
      <c r="AD636" s="26" t="s">
        <v>3332</v>
      </c>
      <c r="AE636" s="26" t="s">
        <v>55</v>
      </c>
      <c r="AF636" s="26" t="s">
        <v>55</v>
      </c>
      <c r="AG636" s="26" t="s">
        <v>3319</v>
      </c>
      <c r="AH636" s="26" t="s">
        <v>3320</v>
      </c>
      <c r="AI636" s="26" t="s">
        <v>369</v>
      </c>
      <c r="AJ636" s="26" t="s">
        <v>49</v>
      </c>
      <c r="AK636" s="26" t="s">
        <v>95</v>
      </c>
      <c r="AL636" s="26" t="s">
        <v>66</v>
      </c>
      <c r="AM636" s="26" t="s">
        <v>3321</v>
      </c>
      <c r="AN636" s="27" t="s">
        <v>3333</v>
      </c>
      <c r="AO636" s="28" t="s">
        <v>3334</v>
      </c>
      <c r="AP636" s="29" t="s">
        <v>3324</v>
      </c>
      <c r="AQ636" s="29" t="s">
        <v>3335</v>
      </c>
      <c r="AR636" s="29" t="s">
        <v>3336</v>
      </c>
      <c r="AS636" s="30"/>
      <c r="AT636" s="29" t="s">
        <v>3337</v>
      </c>
      <c r="AU636" s="29" t="s">
        <v>3338</v>
      </c>
      <c r="AV636" s="31"/>
    </row>
    <row r="637" ht="16.5" hidden="1" customHeight="1">
      <c r="A637" s="7" t="s">
        <v>3339</v>
      </c>
      <c r="B637" s="7" t="s">
        <v>49</v>
      </c>
      <c r="C637" s="7" t="s">
        <v>50</v>
      </c>
      <c r="D637" s="7" t="s">
        <v>51</v>
      </c>
      <c r="E637" s="7" t="s">
        <v>52</v>
      </c>
      <c r="F637" s="7">
        <v>7099.0</v>
      </c>
      <c r="G637" s="7"/>
      <c r="H637" s="7" t="s">
        <v>53</v>
      </c>
      <c r="I637" s="7"/>
      <c r="J637" s="7"/>
      <c r="K637" s="8" t="s">
        <v>84</v>
      </c>
      <c r="L637" s="8" t="s">
        <v>49</v>
      </c>
      <c r="M637" s="8"/>
      <c r="N637" s="8" t="s">
        <v>85</v>
      </c>
      <c r="O637" s="8" t="s">
        <v>56</v>
      </c>
      <c r="P637" s="8" t="s">
        <v>57</v>
      </c>
      <c r="Q637" s="8" t="s">
        <v>1299</v>
      </c>
      <c r="R637" s="8">
        <v>0.58</v>
      </c>
      <c r="S637" s="8" t="s">
        <v>3340</v>
      </c>
      <c r="T637" s="8" t="s">
        <v>2288</v>
      </c>
      <c r="U637" s="8" t="s">
        <v>3341</v>
      </c>
      <c r="V637" s="8" t="s">
        <v>1657</v>
      </c>
      <c r="W637" s="8" t="s">
        <v>1778</v>
      </c>
      <c r="X637" s="8" t="s">
        <v>108</v>
      </c>
      <c r="Y637" s="8" t="s">
        <v>3342</v>
      </c>
      <c r="Z637" s="8" t="s">
        <v>1852</v>
      </c>
      <c r="AA637" s="8" t="s">
        <v>3343</v>
      </c>
      <c r="AB637" s="8" t="s">
        <v>60</v>
      </c>
      <c r="AC637" s="8" t="s">
        <v>61</v>
      </c>
      <c r="AD637" s="8" t="s">
        <v>3344</v>
      </c>
      <c r="AE637" s="8" t="s">
        <v>55</v>
      </c>
      <c r="AF637" s="8" t="s">
        <v>55</v>
      </c>
      <c r="AG637" s="8" t="s">
        <v>339</v>
      </c>
      <c r="AH637" s="8" t="s">
        <v>145</v>
      </c>
      <c r="AI637" s="8" t="s">
        <v>1029</v>
      </c>
      <c r="AJ637" s="8" t="s">
        <v>49</v>
      </c>
      <c r="AK637" s="8" t="s">
        <v>49</v>
      </c>
      <c r="AL637" s="8" t="s">
        <v>66</v>
      </c>
      <c r="AM637" s="8" t="s">
        <v>3345</v>
      </c>
      <c r="AN637" s="16" t="s">
        <v>3346</v>
      </c>
      <c r="AO637" s="9" t="s">
        <v>3347</v>
      </c>
      <c r="AP637" s="10" t="s">
        <v>3348</v>
      </c>
      <c r="AQ637" s="10" t="s">
        <v>3349</v>
      </c>
      <c r="AR637" s="10" t="s">
        <v>3350</v>
      </c>
      <c r="AS637" s="12"/>
      <c r="AT637" s="10" t="s">
        <v>3351</v>
      </c>
      <c r="AU637" s="10" t="s">
        <v>3352</v>
      </c>
      <c r="AV637" s="13"/>
    </row>
    <row r="638" ht="16.5" hidden="1" customHeight="1">
      <c r="A638" s="7" t="s">
        <v>3353</v>
      </c>
      <c r="B638" s="7" t="s">
        <v>49</v>
      </c>
      <c r="C638" s="7" t="s">
        <v>50</v>
      </c>
      <c r="D638" s="7" t="s">
        <v>51</v>
      </c>
      <c r="E638" s="7" t="s">
        <v>52</v>
      </c>
      <c r="F638" s="7">
        <v>7099.0</v>
      </c>
      <c r="G638" s="7">
        <v>7099.0</v>
      </c>
      <c r="H638" s="7" t="s">
        <v>53</v>
      </c>
      <c r="I638" s="7"/>
      <c r="J638" s="7"/>
      <c r="K638" s="8" t="s">
        <v>84</v>
      </c>
      <c r="L638" s="8" t="s">
        <v>49</v>
      </c>
      <c r="M638" s="8"/>
      <c r="N638" s="8" t="s">
        <v>85</v>
      </c>
      <c r="O638" s="8" t="s">
        <v>56</v>
      </c>
      <c r="P638" s="8" t="s">
        <v>57</v>
      </c>
      <c r="Q638" s="8" t="s">
        <v>1299</v>
      </c>
      <c r="R638" s="8">
        <v>0.58</v>
      </c>
      <c r="S638" s="8" t="s">
        <v>3340</v>
      </c>
      <c r="T638" s="8" t="s">
        <v>2288</v>
      </c>
      <c r="U638" s="8" t="s">
        <v>3341</v>
      </c>
      <c r="V638" s="8" t="s">
        <v>1657</v>
      </c>
      <c r="W638" s="8" t="s">
        <v>1778</v>
      </c>
      <c r="X638" s="8" t="s">
        <v>108</v>
      </c>
      <c r="Y638" s="8" t="s">
        <v>3342</v>
      </c>
      <c r="Z638" s="8" t="s">
        <v>1852</v>
      </c>
      <c r="AA638" s="8" t="s">
        <v>3343</v>
      </c>
      <c r="AB638" s="8" t="s">
        <v>60</v>
      </c>
      <c r="AC638" s="8" t="s">
        <v>61</v>
      </c>
      <c r="AD638" s="8" t="s">
        <v>3344</v>
      </c>
      <c r="AE638" s="8" t="s">
        <v>55</v>
      </c>
      <c r="AF638" s="8" t="s">
        <v>55</v>
      </c>
      <c r="AG638" s="8" t="s">
        <v>339</v>
      </c>
      <c r="AH638" s="8" t="s">
        <v>145</v>
      </c>
      <c r="AI638" s="8" t="s">
        <v>1029</v>
      </c>
      <c r="AJ638" s="8" t="s">
        <v>49</v>
      </c>
      <c r="AK638" s="8" t="s">
        <v>95</v>
      </c>
      <c r="AL638" s="8" t="s">
        <v>66</v>
      </c>
      <c r="AM638" s="8" t="s">
        <v>3345</v>
      </c>
      <c r="AN638" s="9" t="s">
        <v>3346</v>
      </c>
      <c r="AO638" s="9" t="s">
        <v>3347</v>
      </c>
      <c r="AP638" s="10" t="s">
        <v>3348</v>
      </c>
      <c r="AQ638" s="10" t="s">
        <v>3349</v>
      </c>
      <c r="AR638" s="10" t="s">
        <v>3350</v>
      </c>
      <c r="AS638" s="12"/>
      <c r="AT638" s="10" t="s">
        <v>3351</v>
      </c>
      <c r="AU638" s="10" t="s">
        <v>3352</v>
      </c>
      <c r="AV638" s="15">
        <v>46315.0</v>
      </c>
    </row>
    <row r="639" ht="16.5" hidden="1" customHeight="1">
      <c r="A639" s="7" t="s">
        <v>3354</v>
      </c>
      <c r="B639" s="14" t="s">
        <v>49</v>
      </c>
      <c r="C639" s="14" t="s">
        <v>50</v>
      </c>
      <c r="D639" s="14" t="s">
        <v>51</v>
      </c>
      <c r="E639" s="7"/>
      <c r="F639" s="7">
        <v>7100.0</v>
      </c>
      <c r="G639" s="7">
        <v>7099.0</v>
      </c>
      <c r="H639" s="7" t="s">
        <v>53</v>
      </c>
      <c r="I639" s="7"/>
      <c r="J639" s="7"/>
      <c r="K639" s="8" t="s">
        <v>84</v>
      </c>
      <c r="L639" s="8" t="s">
        <v>49</v>
      </c>
      <c r="M639" s="8"/>
      <c r="N639" s="8" t="s">
        <v>85</v>
      </c>
      <c r="O639" s="8" t="s">
        <v>56</v>
      </c>
      <c r="P639" s="8" t="s">
        <v>57</v>
      </c>
      <c r="Q639" s="8" t="s">
        <v>1299</v>
      </c>
      <c r="R639" s="8">
        <v>0.58</v>
      </c>
      <c r="S639" s="8" t="s">
        <v>3340</v>
      </c>
      <c r="T639" s="8" t="s">
        <v>2288</v>
      </c>
      <c r="U639" s="8" t="s">
        <v>3341</v>
      </c>
      <c r="V639" s="8" t="s">
        <v>1657</v>
      </c>
      <c r="W639" s="8" t="s">
        <v>3355</v>
      </c>
      <c r="X639" s="8" t="s">
        <v>108</v>
      </c>
      <c r="Y639" s="8" t="s">
        <v>3342</v>
      </c>
      <c r="Z639" s="8" t="s">
        <v>1852</v>
      </c>
      <c r="AA639" s="8" t="s">
        <v>3343</v>
      </c>
      <c r="AB639" s="8" t="s">
        <v>60</v>
      </c>
      <c r="AC639" s="8" t="s">
        <v>61</v>
      </c>
      <c r="AD639" s="8" t="s">
        <v>3344</v>
      </c>
      <c r="AE639" s="8" t="s">
        <v>55</v>
      </c>
      <c r="AF639" s="8" t="s">
        <v>55</v>
      </c>
      <c r="AG639" s="8" t="s">
        <v>339</v>
      </c>
      <c r="AH639" s="8" t="s">
        <v>145</v>
      </c>
      <c r="AI639" s="8" t="s">
        <v>1029</v>
      </c>
      <c r="AJ639" s="8" t="s">
        <v>49</v>
      </c>
      <c r="AK639" s="8" t="s">
        <v>95</v>
      </c>
      <c r="AL639" s="8" t="s">
        <v>66</v>
      </c>
      <c r="AM639" s="8" t="s">
        <v>3356</v>
      </c>
      <c r="AN639" s="16" t="s">
        <v>3357</v>
      </c>
      <c r="AO639" s="9" t="s">
        <v>3358</v>
      </c>
      <c r="AP639" s="10" t="s">
        <v>3348</v>
      </c>
      <c r="AQ639" s="10" t="s">
        <v>3349</v>
      </c>
      <c r="AR639" s="10" t="s">
        <v>3350</v>
      </c>
      <c r="AS639" s="12"/>
      <c r="AT639" s="10" t="s">
        <v>3351</v>
      </c>
      <c r="AU639" s="10" t="s">
        <v>3352</v>
      </c>
      <c r="AV639" s="15">
        <v>46315.0</v>
      </c>
    </row>
    <row r="640" ht="16.5" hidden="1" customHeight="1">
      <c r="A640" s="7" t="s">
        <v>3359</v>
      </c>
      <c r="B640" s="14" t="s">
        <v>49</v>
      </c>
      <c r="C640" s="14" t="s">
        <v>50</v>
      </c>
      <c r="D640" s="14" t="s">
        <v>51</v>
      </c>
      <c r="E640" s="7"/>
      <c r="F640" s="7">
        <v>7101.0</v>
      </c>
      <c r="G640" s="7">
        <v>7099.0</v>
      </c>
      <c r="H640" s="7" t="s">
        <v>53</v>
      </c>
      <c r="I640" s="7"/>
      <c r="J640" s="7"/>
      <c r="K640" s="8" t="s">
        <v>84</v>
      </c>
      <c r="L640" s="8" t="s">
        <v>49</v>
      </c>
      <c r="M640" s="8"/>
      <c r="N640" s="8" t="s">
        <v>85</v>
      </c>
      <c r="O640" s="8" t="s">
        <v>56</v>
      </c>
      <c r="P640" s="8" t="s">
        <v>57</v>
      </c>
      <c r="Q640" s="8" t="s">
        <v>1299</v>
      </c>
      <c r="R640" s="8">
        <v>0.58</v>
      </c>
      <c r="S640" s="8" t="s">
        <v>3340</v>
      </c>
      <c r="T640" s="8" t="s">
        <v>2288</v>
      </c>
      <c r="U640" s="8" t="s">
        <v>3341</v>
      </c>
      <c r="V640" s="8" t="s">
        <v>1657</v>
      </c>
      <c r="W640" s="8" t="s">
        <v>1778</v>
      </c>
      <c r="X640" s="8" t="s">
        <v>108</v>
      </c>
      <c r="Y640" s="8" t="s">
        <v>3342</v>
      </c>
      <c r="Z640" s="8" t="s">
        <v>1852</v>
      </c>
      <c r="AA640" s="8" t="s">
        <v>3343</v>
      </c>
      <c r="AB640" s="8" t="s">
        <v>60</v>
      </c>
      <c r="AC640" s="8" t="s">
        <v>61</v>
      </c>
      <c r="AD640" s="8" t="s">
        <v>3344</v>
      </c>
      <c r="AE640" s="8" t="s">
        <v>55</v>
      </c>
      <c r="AF640" s="8" t="s">
        <v>55</v>
      </c>
      <c r="AG640" s="8" t="s">
        <v>339</v>
      </c>
      <c r="AH640" s="8" t="s">
        <v>145</v>
      </c>
      <c r="AI640" s="8" t="s">
        <v>1020</v>
      </c>
      <c r="AJ640" s="8" t="s">
        <v>49</v>
      </c>
      <c r="AK640" s="8" t="s">
        <v>95</v>
      </c>
      <c r="AL640" s="8" t="s">
        <v>66</v>
      </c>
      <c r="AM640" s="8" t="s">
        <v>3345</v>
      </c>
      <c r="AN640" s="16" t="s">
        <v>3360</v>
      </c>
      <c r="AO640" s="9" t="s">
        <v>3361</v>
      </c>
      <c r="AP640" s="10" t="s">
        <v>3348</v>
      </c>
      <c r="AQ640" s="10" t="s">
        <v>3349</v>
      </c>
      <c r="AR640" s="10" t="s">
        <v>3350</v>
      </c>
      <c r="AS640" s="12"/>
      <c r="AT640" s="10" t="s">
        <v>3351</v>
      </c>
      <c r="AU640" s="10" t="s">
        <v>3352</v>
      </c>
      <c r="AV640" s="15">
        <v>46315.0</v>
      </c>
    </row>
    <row r="641" ht="16.5" hidden="1" customHeight="1">
      <c r="A641" s="7" t="s">
        <v>3362</v>
      </c>
      <c r="B641" s="7" t="s">
        <v>49</v>
      </c>
      <c r="C641" s="7" t="s">
        <v>50</v>
      </c>
      <c r="D641" s="7" t="s">
        <v>51</v>
      </c>
      <c r="E641" s="7" t="s">
        <v>52</v>
      </c>
      <c r="F641" s="7">
        <v>7102.0</v>
      </c>
      <c r="G641" s="7"/>
      <c r="H641" s="7" t="s">
        <v>53</v>
      </c>
      <c r="I641" s="7"/>
      <c r="J641" s="7"/>
      <c r="K641" s="8" t="s">
        <v>84</v>
      </c>
      <c r="L641" s="8" t="s">
        <v>49</v>
      </c>
      <c r="M641" s="8"/>
      <c r="N641" s="8" t="s">
        <v>85</v>
      </c>
      <c r="O641" s="8" t="s">
        <v>56</v>
      </c>
      <c r="P641" s="8" t="s">
        <v>57</v>
      </c>
      <c r="Q641" s="8" t="s">
        <v>1299</v>
      </c>
      <c r="R641" s="8">
        <v>0.58</v>
      </c>
      <c r="S641" s="8" t="s">
        <v>3340</v>
      </c>
      <c r="T641" s="8" t="s">
        <v>2288</v>
      </c>
      <c r="U641" s="8" t="s">
        <v>3341</v>
      </c>
      <c r="V641" s="8" t="s">
        <v>1657</v>
      </c>
      <c r="W641" s="8" t="s">
        <v>1778</v>
      </c>
      <c r="X641" s="8" t="s">
        <v>108</v>
      </c>
      <c r="Y641" s="8" t="s">
        <v>2797</v>
      </c>
      <c r="Z641" s="8" t="s">
        <v>1852</v>
      </c>
      <c r="AA641" s="8" t="s">
        <v>3343</v>
      </c>
      <c r="AB641" s="8" t="s">
        <v>60</v>
      </c>
      <c r="AC641" s="8" t="s">
        <v>61</v>
      </c>
      <c r="AD641" s="8" t="s">
        <v>3363</v>
      </c>
      <c r="AE641" s="8" t="s">
        <v>55</v>
      </c>
      <c r="AF641" s="8" t="s">
        <v>55</v>
      </c>
      <c r="AG641" s="8" t="s">
        <v>339</v>
      </c>
      <c r="AH641" s="8" t="s">
        <v>145</v>
      </c>
      <c r="AI641" s="8" t="s">
        <v>1029</v>
      </c>
      <c r="AJ641" s="8" t="s">
        <v>49</v>
      </c>
      <c r="AK641" s="8" t="s">
        <v>49</v>
      </c>
      <c r="AL641" s="8" t="s">
        <v>66</v>
      </c>
      <c r="AM641" s="8" t="s">
        <v>3345</v>
      </c>
      <c r="AN641" s="12" t="s">
        <v>224</v>
      </c>
      <c r="AO641" s="9" t="s">
        <v>3364</v>
      </c>
      <c r="AP641" s="10" t="s">
        <v>3348</v>
      </c>
      <c r="AQ641" s="10" t="s">
        <v>3365</v>
      </c>
      <c r="AR641" s="10" t="s">
        <v>3366</v>
      </c>
      <c r="AS641" s="12"/>
      <c r="AT641" s="10" t="s">
        <v>3367</v>
      </c>
      <c r="AU641" s="10" t="s">
        <v>3368</v>
      </c>
      <c r="AV641" s="13"/>
    </row>
    <row r="642" ht="16.5" hidden="1" customHeight="1">
      <c r="A642" s="7" t="s">
        <v>3369</v>
      </c>
      <c r="B642" s="7" t="s">
        <v>49</v>
      </c>
      <c r="C642" s="7" t="s">
        <v>50</v>
      </c>
      <c r="D642" s="7" t="s">
        <v>51</v>
      </c>
      <c r="E642" s="7" t="s">
        <v>52</v>
      </c>
      <c r="F642" s="7">
        <v>7102.0</v>
      </c>
      <c r="G642" s="7">
        <v>7102.0</v>
      </c>
      <c r="H642" s="7" t="s">
        <v>53</v>
      </c>
      <c r="I642" s="7"/>
      <c r="J642" s="7"/>
      <c r="K642" s="8" t="s">
        <v>84</v>
      </c>
      <c r="L642" s="8" t="s">
        <v>49</v>
      </c>
      <c r="M642" s="8"/>
      <c r="N642" s="8" t="s">
        <v>85</v>
      </c>
      <c r="O642" s="8" t="s">
        <v>56</v>
      </c>
      <c r="P642" s="8" t="s">
        <v>57</v>
      </c>
      <c r="Q642" s="8" t="s">
        <v>1299</v>
      </c>
      <c r="R642" s="8">
        <v>0.58</v>
      </c>
      <c r="S642" s="8" t="s">
        <v>3340</v>
      </c>
      <c r="T642" s="8" t="s">
        <v>2288</v>
      </c>
      <c r="U642" s="8" t="s">
        <v>3341</v>
      </c>
      <c r="V642" s="8" t="s">
        <v>1657</v>
      </c>
      <c r="W642" s="8" t="s">
        <v>1778</v>
      </c>
      <c r="X642" s="8" t="s">
        <v>108</v>
      </c>
      <c r="Y642" s="8" t="s">
        <v>2797</v>
      </c>
      <c r="Z642" s="8" t="s">
        <v>1852</v>
      </c>
      <c r="AA642" s="8" t="s">
        <v>3343</v>
      </c>
      <c r="AB642" s="8" t="s">
        <v>60</v>
      </c>
      <c r="AC642" s="8" t="s">
        <v>61</v>
      </c>
      <c r="AD642" s="8" t="s">
        <v>3363</v>
      </c>
      <c r="AE642" s="8" t="s">
        <v>55</v>
      </c>
      <c r="AF642" s="8" t="s">
        <v>55</v>
      </c>
      <c r="AG642" s="8" t="s">
        <v>339</v>
      </c>
      <c r="AH642" s="8" t="s">
        <v>145</v>
      </c>
      <c r="AI642" s="8" t="s">
        <v>1029</v>
      </c>
      <c r="AJ642" s="8" t="s">
        <v>49</v>
      </c>
      <c r="AK642" s="8" t="s">
        <v>95</v>
      </c>
      <c r="AL642" s="8" t="s">
        <v>66</v>
      </c>
      <c r="AM642" s="8" t="s">
        <v>3345</v>
      </c>
      <c r="AN642" s="12" t="s">
        <v>224</v>
      </c>
      <c r="AO642" s="32" t="s">
        <v>3364</v>
      </c>
      <c r="AP642" s="10" t="s">
        <v>3348</v>
      </c>
      <c r="AQ642" s="10" t="s">
        <v>3365</v>
      </c>
      <c r="AR642" s="10" t="s">
        <v>3366</v>
      </c>
      <c r="AS642" s="12"/>
      <c r="AT642" s="10" t="s">
        <v>3367</v>
      </c>
      <c r="AU642" s="10" t="s">
        <v>3368</v>
      </c>
      <c r="AV642" s="15">
        <v>46315.0</v>
      </c>
    </row>
    <row r="643" ht="16.5" hidden="1" customHeight="1">
      <c r="A643" s="7" t="s">
        <v>3370</v>
      </c>
      <c r="B643" s="14" t="s">
        <v>49</v>
      </c>
      <c r="C643" s="14" t="s">
        <v>50</v>
      </c>
      <c r="D643" s="14" t="s">
        <v>51</v>
      </c>
      <c r="E643" s="7"/>
      <c r="F643" s="7">
        <v>7103.0</v>
      </c>
      <c r="G643" s="7">
        <v>7102.0</v>
      </c>
      <c r="H643" s="7" t="s">
        <v>53</v>
      </c>
      <c r="I643" s="7"/>
      <c r="J643" s="7"/>
      <c r="K643" s="8" t="s">
        <v>84</v>
      </c>
      <c r="L643" s="8" t="s">
        <v>49</v>
      </c>
      <c r="M643" s="8"/>
      <c r="N643" s="8" t="s">
        <v>85</v>
      </c>
      <c r="O643" s="8" t="s">
        <v>56</v>
      </c>
      <c r="P643" s="8" t="s">
        <v>57</v>
      </c>
      <c r="Q643" s="8" t="s">
        <v>1299</v>
      </c>
      <c r="R643" s="8">
        <v>0.58</v>
      </c>
      <c r="S643" s="8" t="s">
        <v>3340</v>
      </c>
      <c r="T643" s="8" t="s">
        <v>2288</v>
      </c>
      <c r="U643" s="8" t="s">
        <v>3341</v>
      </c>
      <c r="V643" s="8" t="s">
        <v>1657</v>
      </c>
      <c r="W643" s="8" t="s">
        <v>3355</v>
      </c>
      <c r="X643" s="8" t="s">
        <v>108</v>
      </c>
      <c r="Y643" s="8" t="s">
        <v>2797</v>
      </c>
      <c r="Z643" s="8" t="s">
        <v>1852</v>
      </c>
      <c r="AA643" s="8" t="s">
        <v>3343</v>
      </c>
      <c r="AB643" s="8" t="s">
        <v>60</v>
      </c>
      <c r="AC643" s="8" t="s">
        <v>61</v>
      </c>
      <c r="AD643" s="8" t="s">
        <v>3363</v>
      </c>
      <c r="AE643" s="8" t="s">
        <v>55</v>
      </c>
      <c r="AF643" s="8" t="s">
        <v>55</v>
      </c>
      <c r="AG643" s="8" t="s">
        <v>339</v>
      </c>
      <c r="AH643" s="8" t="s">
        <v>145</v>
      </c>
      <c r="AI643" s="8" t="s">
        <v>1029</v>
      </c>
      <c r="AJ643" s="8" t="s">
        <v>49</v>
      </c>
      <c r="AK643" s="8" t="s">
        <v>95</v>
      </c>
      <c r="AL643" s="8" t="s">
        <v>66</v>
      </c>
      <c r="AM643" s="8" t="s">
        <v>3356</v>
      </c>
      <c r="AN643" s="12" t="s">
        <v>224</v>
      </c>
      <c r="AO643" s="9" t="s">
        <v>3371</v>
      </c>
      <c r="AP643" s="10" t="s">
        <v>3348</v>
      </c>
      <c r="AQ643" s="10" t="s">
        <v>3365</v>
      </c>
      <c r="AR643" s="10" t="s">
        <v>3366</v>
      </c>
      <c r="AS643" s="12"/>
      <c r="AT643" s="10" t="s">
        <v>3367</v>
      </c>
      <c r="AU643" s="10" t="s">
        <v>3368</v>
      </c>
      <c r="AV643" s="15">
        <v>46315.0</v>
      </c>
    </row>
    <row r="644" ht="16.5" hidden="1" customHeight="1">
      <c r="A644" s="7" t="s">
        <v>3372</v>
      </c>
      <c r="B644" s="14" t="s">
        <v>49</v>
      </c>
      <c r="C644" s="14" t="s">
        <v>50</v>
      </c>
      <c r="D644" s="14" t="s">
        <v>51</v>
      </c>
      <c r="E644" s="7"/>
      <c r="F644" s="7">
        <v>7104.0</v>
      </c>
      <c r="G644" s="7">
        <v>7102.0</v>
      </c>
      <c r="H644" s="7" t="s">
        <v>53</v>
      </c>
      <c r="I644" s="7"/>
      <c r="J644" s="7"/>
      <c r="K644" s="8" t="s">
        <v>84</v>
      </c>
      <c r="L644" s="8" t="s">
        <v>49</v>
      </c>
      <c r="M644" s="8"/>
      <c r="N644" s="8" t="s">
        <v>85</v>
      </c>
      <c r="O644" s="8" t="s">
        <v>56</v>
      </c>
      <c r="P644" s="8" t="s">
        <v>57</v>
      </c>
      <c r="Q644" s="8" t="s">
        <v>1299</v>
      </c>
      <c r="R644" s="8">
        <v>0.58</v>
      </c>
      <c r="S644" s="8" t="s">
        <v>3340</v>
      </c>
      <c r="T644" s="8" t="s">
        <v>2288</v>
      </c>
      <c r="U644" s="8" t="s">
        <v>3341</v>
      </c>
      <c r="V644" s="8" t="s">
        <v>1657</v>
      </c>
      <c r="W644" s="8" t="s">
        <v>1778</v>
      </c>
      <c r="X644" s="8" t="s">
        <v>108</v>
      </c>
      <c r="Y644" s="8" t="s">
        <v>2797</v>
      </c>
      <c r="Z644" s="8" t="s">
        <v>1852</v>
      </c>
      <c r="AA644" s="8" t="s">
        <v>3343</v>
      </c>
      <c r="AB644" s="8" t="s">
        <v>60</v>
      </c>
      <c r="AC644" s="8" t="s">
        <v>61</v>
      </c>
      <c r="AD644" s="8" t="s">
        <v>3363</v>
      </c>
      <c r="AE644" s="8" t="s">
        <v>55</v>
      </c>
      <c r="AF644" s="8" t="s">
        <v>55</v>
      </c>
      <c r="AG644" s="8" t="s">
        <v>339</v>
      </c>
      <c r="AH644" s="8" t="s">
        <v>145</v>
      </c>
      <c r="AI644" s="8" t="s">
        <v>1020</v>
      </c>
      <c r="AJ644" s="8" t="s">
        <v>49</v>
      </c>
      <c r="AK644" s="8" t="s">
        <v>95</v>
      </c>
      <c r="AL644" s="8" t="s">
        <v>66</v>
      </c>
      <c r="AM644" s="8" t="s">
        <v>3345</v>
      </c>
      <c r="AN644" s="9" t="s">
        <v>3373</v>
      </c>
      <c r="AO644" s="9" t="s">
        <v>3374</v>
      </c>
      <c r="AP644" s="10" t="s">
        <v>3348</v>
      </c>
      <c r="AQ644" s="10" t="s">
        <v>3365</v>
      </c>
      <c r="AR644" s="10" t="s">
        <v>3366</v>
      </c>
      <c r="AS644" s="12"/>
      <c r="AT644" s="10" t="s">
        <v>3367</v>
      </c>
      <c r="AU644" s="10" t="s">
        <v>3368</v>
      </c>
      <c r="AV644" s="15">
        <v>46315.0</v>
      </c>
    </row>
    <row r="645" ht="16.5" hidden="1" customHeight="1">
      <c r="A645" s="7" t="s">
        <v>3375</v>
      </c>
      <c r="B645" s="7" t="s">
        <v>49</v>
      </c>
      <c r="C645" s="7" t="s">
        <v>332</v>
      </c>
      <c r="D645" s="7" t="s">
        <v>1298</v>
      </c>
      <c r="E645" s="7" t="s">
        <v>52</v>
      </c>
      <c r="F645" s="7">
        <v>7105.0</v>
      </c>
      <c r="G645" s="7"/>
      <c r="H645" s="7" t="s">
        <v>53</v>
      </c>
      <c r="I645" s="7"/>
      <c r="J645" s="7"/>
      <c r="K645" s="8" t="s">
        <v>84</v>
      </c>
      <c r="L645" s="8" t="s">
        <v>49</v>
      </c>
      <c r="M645" s="8"/>
      <c r="N645" s="8" t="s">
        <v>85</v>
      </c>
      <c r="O645" s="8" t="s">
        <v>56</v>
      </c>
      <c r="P645" s="8" t="s">
        <v>57</v>
      </c>
      <c r="Q645" s="8" t="s">
        <v>3376</v>
      </c>
      <c r="R645" s="8">
        <v>0.6</v>
      </c>
      <c r="S645" s="8" t="s">
        <v>49</v>
      </c>
      <c r="T645" s="8" t="s">
        <v>49</v>
      </c>
      <c r="U645" s="8" t="s">
        <v>3377</v>
      </c>
      <c r="V645" s="8" t="s">
        <v>3378</v>
      </c>
      <c r="W645" s="8" t="s">
        <v>89</v>
      </c>
      <c r="X645" s="8" t="s">
        <v>90</v>
      </c>
      <c r="Y645" s="8" t="s">
        <v>3379</v>
      </c>
      <c r="Z645" s="8" t="s">
        <v>2969</v>
      </c>
      <c r="AA645" s="8" t="s">
        <v>59</v>
      </c>
      <c r="AB645" s="8" t="s">
        <v>60</v>
      </c>
      <c r="AC645" s="8" t="s">
        <v>1303</v>
      </c>
      <c r="AD645" s="8" t="s">
        <v>3380</v>
      </c>
      <c r="AE645" s="8" t="s">
        <v>55</v>
      </c>
      <c r="AF645" s="8" t="s">
        <v>55</v>
      </c>
      <c r="AG645" s="8" t="s">
        <v>63</v>
      </c>
      <c r="AH645" s="8" t="s">
        <v>64</v>
      </c>
      <c r="AI645" s="8" t="s">
        <v>94</v>
      </c>
      <c r="AJ645" s="8" t="s">
        <v>49</v>
      </c>
      <c r="AK645" s="8" t="s">
        <v>49</v>
      </c>
      <c r="AL645" s="8" t="s">
        <v>66</v>
      </c>
      <c r="AM645" s="8" t="s">
        <v>3381</v>
      </c>
      <c r="AN645" s="9" t="s">
        <v>3382</v>
      </c>
      <c r="AO645" s="9" t="s">
        <v>3383</v>
      </c>
      <c r="AP645" s="10" t="s">
        <v>3384</v>
      </c>
      <c r="AQ645" s="10" t="s">
        <v>3385</v>
      </c>
      <c r="AR645" s="10" t="s">
        <v>3386</v>
      </c>
      <c r="AS645" s="12"/>
      <c r="AT645" s="10" t="s">
        <v>3387</v>
      </c>
      <c r="AU645" s="10" t="s">
        <v>3388</v>
      </c>
      <c r="AV645" s="13"/>
    </row>
    <row r="646" ht="16.5" hidden="1" customHeight="1">
      <c r="A646" s="7" t="s">
        <v>3389</v>
      </c>
      <c r="B646" s="7" t="s">
        <v>49</v>
      </c>
      <c r="C646" s="7" t="s">
        <v>332</v>
      </c>
      <c r="D646" s="7" t="s">
        <v>1298</v>
      </c>
      <c r="E646" s="7" t="s">
        <v>52</v>
      </c>
      <c r="F646" s="7">
        <v>7105.0</v>
      </c>
      <c r="G646" s="7">
        <v>7105.0</v>
      </c>
      <c r="H646" s="7" t="s">
        <v>53</v>
      </c>
      <c r="I646" s="7"/>
      <c r="J646" s="7"/>
      <c r="K646" s="8" t="s">
        <v>84</v>
      </c>
      <c r="L646" s="8" t="s">
        <v>49</v>
      </c>
      <c r="M646" s="8"/>
      <c r="N646" s="8" t="s">
        <v>85</v>
      </c>
      <c r="O646" s="8" t="s">
        <v>56</v>
      </c>
      <c r="P646" s="8" t="s">
        <v>57</v>
      </c>
      <c r="Q646" s="8" t="s">
        <v>3376</v>
      </c>
      <c r="R646" s="8">
        <v>0.6</v>
      </c>
      <c r="S646" s="8" t="s">
        <v>49</v>
      </c>
      <c r="T646" s="8" t="s">
        <v>49</v>
      </c>
      <c r="U646" s="8" t="s">
        <v>3377</v>
      </c>
      <c r="V646" s="8" t="s">
        <v>3378</v>
      </c>
      <c r="W646" s="8" t="s">
        <v>89</v>
      </c>
      <c r="X646" s="8" t="s">
        <v>90</v>
      </c>
      <c r="Y646" s="8" t="s">
        <v>3379</v>
      </c>
      <c r="Z646" s="8" t="s">
        <v>2969</v>
      </c>
      <c r="AA646" s="8" t="s">
        <v>59</v>
      </c>
      <c r="AB646" s="8" t="s">
        <v>60</v>
      </c>
      <c r="AC646" s="8" t="s">
        <v>1303</v>
      </c>
      <c r="AD646" s="8" t="s">
        <v>3380</v>
      </c>
      <c r="AE646" s="8" t="s">
        <v>55</v>
      </c>
      <c r="AF646" s="8" t="s">
        <v>55</v>
      </c>
      <c r="AG646" s="8" t="s">
        <v>63</v>
      </c>
      <c r="AH646" s="8" t="s">
        <v>64</v>
      </c>
      <c r="AI646" s="8" t="s">
        <v>94</v>
      </c>
      <c r="AJ646" s="8" t="s">
        <v>49</v>
      </c>
      <c r="AK646" s="8" t="s">
        <v>95</v>
      </c>
      <c r="AL646" s="8" t="s">
        <v>66</v>
      </c>
      <c r="AM646" s="8" t="s">
        <v>3381</v>
      </c>
      <c r="AN646" s="9" t="s">
        <v>3382</v>
      </c>
      <c r="AO646" s="9" t="s">
        <v>3383</v>
      </c>
      <c r="AP646" s="10" t="s">
        <v>3384</v>
      </c>
      <c r="AQ646" s="10" t="s">
        <v>3385</v>
      </c>
      <c r="AR646" s="10" t="s">
        <v>3386</v>
      </c>
      <c r="AS646" s="12"/>
      <c r="AT646" s="10" t="s">
        <v>3387</v>
      </c>
      <c r="AU646" s="10" t="s">
        <v>3388</v>
      </c>
      <c r="AV646" s="15">
        <v>46315.0</v>
      </c>
    </row>
    <row r="647" ht="16.5" hidden="1" customHeight="1">
      <c r="A647" s="7" t="s">
        <v>3390</v>
      </c>
      <c r="B647" s="14" t="s">
        <v>49</v>
      </c>
      <c r="C647" s="14" t="s">
        <v>332</v>
      </c>
      <c r="D647" s="14" t="s">
        <v>1298</v>
      </c>
      <c r="E647" s="7"/>
      <c r="F647" s="7">
        <v>7106.0</v>
      </c>
      <c r="G647" s="7">
        <v>7105.0</v>
      </c>
      <c r="H647" s="7" t="s">
        <v>53</v>
      </c>
      <c r="I647" s="7"/>
      <c r="J647" s="7"/>
      <c r="K647" s="8" t="s">
        <v>84</v>
      </c>
      <c r="L647" s="8" t="s">
        <v>49</v>
      </c>
      <c r="M647" s="8"/>
      <c r="N647" s="8" t="s">
        <v>85</v>
      </c>
      <c r="O647" s="8" t="s">
        <v>56</v>
      </c>
      <c r="P647" s="8" t="s">
        <v>57</v>
      </c>
      <c r="Q647" s="8" t="s">
        <v>3391</v>
      </c>
      <c r="R647" s="8">
        <v>0.72</v>
      </c>
      <c r="S647" s="8" t="s">
        <v>49</v>
      </c>
      <c r="T647" s="8" t="s">
        <v>49</v>
      </c>
      <c r="U647" s="8" t="s">
        <v>3392</v>
      </c>
      <c r="V647" s="8" t="s">
        <v>3393</v>
      </c>
      <c r="W647" s="8" t="s">
        <v>89</v>
      </c>
      <c r="X647" s="8" t="s">
        <v>90</v>
      </c>
      <c r="Y647" s="8" t="s">
        <v>2065</v>
      </c>
      <c r="Z647" s="8" t="s">
        <v>2969</v>
      </c>
      <c r="AA647" s="8" t="s">
        <v>59</v>
      </c>
      <c r="AB647" s="8" t="s">
        <v>60</v>
      </c>
      <c r="AC647" s="8" t="s">
        <v>1303</v>
      </c>
      <c r="AD647" s="8" t="s">
        <v>3394</v>
      </c>
      <c r="AE647" s="8" t="s">
        <v>55</v>
      </c>
      <c r="AF647" s="8" t="s">
        <v>55</v>
      </c>
      <c r="AG647" s="8" t="s">
        <v>63</v>
      </c>
      <c r="AH647" s="8" t="s">
        <v>64</v>
      </c>
      <c r="AI647" s="8" t="s">
        <v>94</v>
      </c>
      <c r="AJ647" s="8" t="s">
        <v>49</v>
      </c>
      <c r="AK647" s="8" t="s">
        <v>95</v>
      </c>
      <c r="AL647" s="8" t="s">
        <v>66</v>
      </c>
      <c r="AM647" s="8" t="s">
        <v>3395</v>
      </c>
      <c r="AN647" s="9" t="s">
        <v>3396</v>
      </c>
      <c r="AO647" s="9" t="s">
        <v>3397</v>
      </c>
      <c r="AP647" s="10" t="s">
        <v>3384</v>
      </c>
      <c r="AQ647" s="10" t="s">
        <v>3398</v>
      </c>
      <c r="AR647" s="10" t="s">
        <v>3399</v>
      </c>
      <c r="AS647" s="12"/>
      <c r="AT647" s="10" t="s">
        <v>3400</v>
      </c>
      <c r="AU647" s="10" t="s">
        <v>3401</v>
      </c>
      <c r="AV647" s="13"/>
    </row>
    <row r="648" ht="16.5" hidden="1" customHeight="1">
      <c r="A648" s="7" t="s">
        <v>3402</v>
      </c>
      <c r="B648" s="7" t="s">
        <v>49</v>
      </c>
      <c r="C648" s="7" t="s">
        <v>332</v>
      </c>
      <c r="D648" s="7" t="s">
        <v>1298</v>
      </c>
      <c r="E648" s="7" t="s">
        <v>52</v>
      </c>
      <c r="F648" s="7">
        <v>7107.0</v>
      </c>
      <c r="G648" s="7"/>
      <c r="H648" s="7" t="s">
        <v>53</v>
      </c>
      <c r="I648" s="7"/>
      <c r="J648" s="7"/>
      <c r="K648" s="8" t="s">
        <v>84</v>
      </c>
      <c r="L648" s="8" t="s">
        <v>49</v>
      </c>
      <c r="M648" s="8"/>
      <c r="N648" s="8" t="s">
        <v>85</v>
      </c>
      <c r="O648" s="8" t="s">
        <v>56</v>
      </c>
      <c r="P648" s="8" t="s">
        <v>57</v>
      </c>
      <c r="Q648" s="8" t="s">
        <v>3403</v>
      </c>
      <c r="R648" s="8">
        <v>0.78</v>
      </c>
      <c r="S648" s="8" t="s">
        <v>49</v>
      </c>
      <c r="T648" s="8" t="s">
        <v>49</v>
      </c>
      <c r="U648" s="8" t="s">
        <v>3404</v>
      </c>
      <c r="V648" s="8" t="s">
        <v>2167</v>
      </c>
      <c r="W648" s="8" t="s">
        <v>89</v>
      </c>
      <c r="X648" s="8" t="s">
        <v>90</v>
      </c>
      <c r="Y648" s="8" t="s">
        <v>337</v>
      </c>
      <c r="Z648" s="8" t="s">
        <v>2969</v>
      </c>
      <c r="AA648" s="8" t="s">
        <v>59</v>
      </c>
      <c r="AB648" s="8" t="s">
        <v>60</v>
      </c>
      <c r="AC648" s="8" t="s">
        <v>1303</v>
      </c>
      <c r="AD648" s="8" t="s">
        <v>3405</v>
      </c>
      <c r="AE648" s="8" t="s">
        <v>55</v>
      </c>
      <c r="AF648" s="8" t="s">
        <v>55</v>
      </c>
      <c r="AG648" s="8" t="s">
        <v>63</v>
      </c>
      <c r="AH648" s="8" t="s">
        <v>145</v>
      </c>
      <c r="AI648" s="8" t="s">
        <v>94</v>
      </c>
      <c r="AJ648" s="8" t="s">
        <v>49</v>
      </c>
      <c r="AK648" s="8" t="s">
        <v>95</v>
      </c>
      <c r="AL648" s="8" t="s">
        <v>66</v>
      </c>
      <c r="AM648" s="8" t="s">
        <v>3406</v>
      </c>
      <c r="AN648" s="16" t="s">
        <v>3407</v>
      </c>
      <c r="AO648" s="9" t="s">
        <v>3408</v>
      </c>
      <c r="AP648" s="10" t="s">
        <v>3409</v>
      </c>
      <c r="AQ648" s="10" t="s">
        <v>3410</v>
      </c>
      <c r="AR648" s="10" t="s">
        <v>3411</v>
      </c>
      <c r="AS648" s="12"/>
      <c r="AT648" s="10" t="s">
        <v>3412</v>
      </c>
      <c r="AU648" s="10" t="s">
        <v>3413</v>
      </c>
      <c r="AV648" s="15">
        <v>46341.0</v>
      </c>
    </row>
    <row r="649" ht="16.5" hidden="1" customHeight="1">
      <c r="A649" s="7" t="s">
        <v>3414</v>
      </c>
      <c r="B649" s="7" t="s">
        <v>49</v>
      </c>
      <c r="C649" s="7" t="s">
        <v>50</v>
      </c>
      <c r="D649" s="7" t="s">
        <v>51</v>
      </c>
      <c r="E649" s="7" t="s">
        <v>52</v>
      </c>
      <c r="F649" s="7">
        <v>7108.0</v>
      </c>
      <c r="G649" s="7"/>
      <c r="H649" s="7" t="s">
        <v>53</v>
      </c>
      <c r="I649" s="7"/>
      <c r="J649" s="7"/>
      <c r="K649" s="8" t="s">
        <v>84</v>
      </c>
      <c r="L649" s="8" t="s">
        <v>49</v>
      </c>
      <c r="M649" s="8"/>
      <c r="N649" s="8" t="s">
        <v>85</v>
      </c>
      <c r="O649" s="8" t="s">
        <v>56</v>
      </c>
      <c r="P649" s="8" t="s">
        <v>57</v>
      </c>
      <c r="Q649" s="8" t="s">
        <v>3415</v>
      </c>
      <c r="R649" s="8">
        <v>0.82</v>
      </c>
      <c r="S649" s="8" t="s">
        <v>49</v>
      </c>
      <c r="T649" s="8" t="s">
        <v>49</v>
      </c>
      <c r="U649" s="8" t="s">
        <v>3416</v>
      </c>
      <c r="V649" s="8" t="s">
        <v>1657</v>
      </c>
      <c r="W649" s="8" t="s">
        <v>89</v>
      </c>
      <c r="X649" s="8" t="s">
        <v>90</v>
      </c>
      <c r="Y649" s="8" t="s">
        <v>3417</v>
      </c>
      <c r="Z649" s="8" t="s">
        <v>92</v>
      </c>
      <c r="AA649" s="8" t="s">
        <v>59</v>
      </c>
      <c r="AB649" s="8" t="s">
        <v>60</v>
      </c>
      <c r="AC649" s="8" t="s">
        <v>61</v>
      </c>
      <c r="AD649" s="8" t="s">
        <v>3418</v>
      </c>
      <c r="AE649" s="8" t="s">
        <v>55</v>
      </c>
      <c r="AF649" s="8" t="s">
        <v>55</v>
      </c>
      <c r="AG649" s="8" t="s">
        <v>63</v>
      </c>
      <c r="AH649" s="8" t="s">
        <v>64</v>
      </c>
      <c r="AI649" s="8" t="s">
        <v>94</v>
      </c>
      <c r="AJ649" s="8" t="s">
        <v>49</v>
      </c>
      <c r="AK649" s="8" t="s">
        <v>95</v>
      </c>
      <c r="AL649" s="8" t="s">
        <v>66</v>
      </c>
      <c r="AM649" s="8" t="s">
        <v>3419</v>
      </c>
      <c r="AN649" s="9" t="s">
        <v>3420</v>
      </c>
      <c r="AO649" s="9" t="s">
        <v>3421</v>
      </c>
      <c r="AP649" s="10" t="s">
        <v>3422</v>
      </c>
      <c r="AQ649" s="10" t="s">
        <v>3423</v>
      </c>
      <c r="AR649" s="10" t="s">
        <v>3424</v>
      </c>
      <c r="AS649" s="12"/>
      <c r="AT649" s="10" t="s">
        <v>3425</v>
      </c>
      <c r="AU649" s="10" t="s">
        <v>3426</v>
      </c>
      <c r="AV649" s="15">
        <v>46341.0</v>
      </c>
    </row>
    <row r="650" ht="16.5" hidden="1" customHeight="1">
      <c r="A650" s="7" t="s">
        <v>3427</v>
      </c>
      <c r="B650" s="7" t="s">
        <v>49</v>
      </c>
      <c r="C650" s="7" t="s">
        <v>50</v>
      </c>
      <c r="D650" s="7" t="s">
        <v>51</v>
      </c>
      <c r="E650" s="7" t="s">
        <v>52</v>
      </c>
      <c r="F650" s="7">
        <v>7109.0</v>
      </c>
      <c r="G650" s="7"/>
      <c r="H650" s="7" t="s">
        <v>53</v>
      </c>
      <c r="I650" s="7"/>
      <c r="J650" s="7"/>
      <c r="K650" s="8" t="s">
        <v>84</v>
      </c>
      <c r="L650" s="8" t="s">
        <v>49</v>
      </c>
      <c r="M650" s="8"/>
      <c r="N650" s="8" t="s">
        <v>85</v>
      </c>
      <c r="O650" s="8" t="s">
        <v>56</v>
      </c>
      <c r="P650" s="8" t="s">
        <v>57</v>
      </c>
      <c r="Q650" s="8" t="s">
        <v>3415</v>
      </c>
      <c r="R650" s="8">
        <v>0.83</v>
      </c>
      <c r="S650" s="8" t="s">
        <v>49</v>
      </c>
      <c r="T650" s="8" t="s">
        <v>49</v>
      </c>
      <c r="U650" s="8" t="s">
        <v>3161</v>
      </c>
      <c r="V650" s="8" t="s">
        <v>3428</v>
      </c>
      <c r="W650" s="8" t="s">
        <v>89</v>
      </c>
      <c r="X650" s="8" t="s">
        <v>90</v>
      </c>
      <c r="Y650" s="8" t="s">
        <v>3429</v>
      </c>
      <c r="Z650" s="8" t="s">
        <v>92</v>
      </c>
      <c r="AA650" s="8" t="s">
        <v>59</v>
      </c>
      <c r="AB650" s="8" t="s">
        <v>60</v>
      </c>
      <c r="AC650" s="8" t="s">
        <v>61</v>
      </c>
      <c r="AD650" s="8" t="s">
        <v>3430</v>
      </c>
      <c r="AE650" s="8" t="s">
        <v>55</v>
      </c>
      <c r="AF650" s="8" t="s">
        <v>55</v>
      </c>
      <c r="AG650" s="8" t="s">
        <v>63</v>
      </c>
      <c r="AH650" s="8" t="s">
        <v>64</v>
      </c>
      <c r="AI650" s="8" t="s">
        <v>94</v>
      </c>
      <c r="AJ650" s="8" t="s">
        <v>49</v>
      </c>
      <c r="AK650" s="8" t="s">
        <v>95</v>
      </c>
      <c r="AL650" s="8" t="s">
        <v>66</v>
      </c>
      <c r="AM650" s="8" t="s">
        <v>3431</v>
      </c>
      <c r="AN650" s="9" t="s">
        <v>3432</v>
      </c>
      <c r="AO650" s="9" t="s">
        <v>3433</v>
      </c>
      <c r="AP650" s="10" t="s">
        <v>3434</v>
      </c>
      <c r="AQ650" s="10" t="s">
        <v>3435</v>
      </c>
      <c r="AR650" s="10" t="s">
        <v>3436</v>
      </c>
      <c r="AS650" s="12"/>
      <c r="AT650" s="10" t="s">
        <v>3437</v>
      </c>
      <c r="AU650" s="10" t="s">
        <v>3438</v>
      </c>
      <c r="AV650" s="15">
        <v>46315.0</v>
      </c>
    </row>
    <row r="651" ht="16.5" hidden="1" customHeight="1">
      <c r="A651" s="7" t="s">
        <v>3439</v>
      </c>
      <c r="B651" s="7" t="s">
        <v>49</v>
      </c>
      <c r="C651" s="7" t="s">
        <v>50</v>
      </c>
      <c r="D651" s="7" t="s">
        <v>51</v>
      </c>
      <c r="E651" s="7" t="s">
        <v>52</v>
      </c>
      <c r="F651" s="7">
        <v>7110.0</v>
      </c>
      <c r="G651" s="7"/>
      <c r="H651" s="7" t="s">
        <v>53</v>
      </c>
      <c r="I651" s="7"/>
      <c r="J651" s="7"/>
      <c r="K651" s="8" t="s">
        <v>84</v>
      </c>
      <c r="L651" s="8" t="s">
        <v>49</v>
      </c>
      <c r="M651" s="8"/>
      <c r="N651" s="8" t="s">
        <v>85</v>
      </c>
      <c r="O651" s="8" t="s">
        <v>56</v>
      </c>
      <c r="P651" s="8" t="s">
        <v>57</v>
      </c>
      <c r="Q651" s="8" t="s">
        <v>140</v>
      </c>
      <c r="R651" s="8">
        <v>0.6</v>
      </c>
      <c r="S651" s="8" t="s">
        <v>49</v>
      </c>
      <c r="T651" s="8" t="s">
        <v>49</v>
      </c>
      <c r="U651" s="8" t="s">
        <v>3440</v>
      </c>
      <c r="V651" s="8" t="s">
        <v>107</v>
      </c>
      <c r="W651" s="8" t="s">
        <v>89</v>
      </c>
      <c r="X651" s="8" t="s">
        <v>415</v>
      </c>
      <c r="Y651" s="8" t="s">
        <v>3441</v>
      </c>
      <c r="Z651" s="8" t="s">
        <v>2382</v>
      </c>
      <c r="AA651" s="8" t="s">
        <v>59</v>
      </c>
      <c r="AB651" s="8" t="s">
        <v>60</v>
      </c>
      <c r="AC651" s="8" t="s">
        <v>61</v>
      </c>
      <c r="AD651" s="8" t="s">
        <v>3442</v>
      </c>
      <c r="AE651" s="8" t="s">
        <v>55</v>
      </c>
      <c r="AF651" s="8" t="s">
        <v>55</v>
      </c>
      <c r="AG651" s="8" t="s">
        <v>2429</v>
      </c>
      <c r="AH651" s="8" t="s">
        <v>111</v>
      </c>
      <c r="AI651" s="8" t="s">
        <v>94</v>
      </c>
      <c r="AJ651" s="8" t="s">
        <v>49</v>
      </c>
      <c r="AK651" s="8" t="s">
        <v>49</v>
      </c>
      <c r="AL651" s="8" t="s">
        <v>66</v>
      </c>
      <c r="AM651" s="8" t="s">
        <v>3443</v>
      </c>
      <c r="AN651" s="9" t="s">
        <v>3444</v>
      </c>
      <c r="AO651" s="9" t="s">
        <v>3445</v>
      </c>
      <c r="AP651" s="10" t="s">
        <v>3446</v>
      </c>
      <c r="AQ651" s="10" t="s">
        <v>3447</v>
      </c>
      <c r="AR651" s="10" t="s">
        <v>3448</v>
      </c>
      <c r="AS651" s="12"/>
      <c r="AT651" s="10" t="s">
        <v>3449</v>
      </c>
      <c r="AU651" s="10" t="s">
        <v>3450</v>
      </c>
      <c r="AV651" s="13"/>
    </row>
    <row r="652" ht="16.5" hidden="1" customHeight="1">
      <c r="A652" s="7" t="s">
        <v>3451</v>
      </c>
      <c r="B652" s="7" t="s">
        <v>49</v>
      </c>
      <c r="C652" s="7" t="s">
        <v>50</v>
      </c>
      <c r="D652" s="7" t="s">
        <v>51</v>
      </c>
      <c r="E652" s="7" t="s">
        <v>52</v>
      </c>
      <c r="F652" s="7">
        <v>7110.0</v>
      </c>
      <c r="G652" s="7">
        <v>7110.0</v>
      </c>
      <c r="H652" s="7" t="s">
        <v>53</v>
      </c>
      <c r="I652" s="7"/>
      <c r="J652" s="7"/>
      <c r="K652" s="8" t="s">
        <v>84</v>
      </c>
      <c r="L652" s="8" t="s">
        <v>49</v>
      </c>
      <c r="M652" s="8"/>
      <c r="N652" s="8" t="s">
        <v>85</v>
      </c>
      <c r="O652" s="8" t="s">
        <v>56</v>
      </c>
      <c r="P652" s="8" t="s">
        <v>57</v>
      </c>
      <c r="Q652" s="8" t="s">
        <v>140</v>
      </c>
      <c r="R652" s="8">
        <v>0.6</v>
      </c>
      <c r="S652" s="8" t="s">
        <v>49</v>
      </c>
      <c r="T652" s="8" t="s">
        <v>49</v>
      </c>
      <c r="U652" s="8" t="s">
        <v>3440</v>
      </c>
      <c r="V652" s="8" t="s">
        <v>107</v>
      </c>
      <c r="W652" s="8" t="s">
        <v>89</v>
      </c>
      <c r="X652" s="8" t="s">
        <v>415</v>
      </c>
      <c r="Y652" s="8" t="s">
        <v>3441</v>
      </c>
      <c r="Z652" s="8" t="s">
        <v>2382</v>
      </c>
      <c r="AA652" s="8" t="s">
        <v>59</v>
      </c>
      <c r="AB652" s="8" t="s">
        <v>60</v>
      </c>
      <c r="AC652" s="8" t="s">
        <v>61</v>
      </c>
      <c r="AD652" s="8" t="s">
        <v>3442</v>
      </c>
      <c r="AE652" s="8" t="s">
        <v>55</v>
      </c>
      <c r="AF652" s="8" t="s">
        <v>55</v>
      </c>
      <c r="AG652" s="8" t="s">
        <v>2429</v>
      </c>
      <c r="AH652" s="8" t="s">
        <v>111</v>
      </c>
      <c r="AI652" s="8" t="s">
        <v>94</v>
      </c>
      <c r="AJ652" s="8" t="s">
        <v>49</v>
      </c>
      <c r="AK652" s="8" t="s">
        <v>95</v>
      </c>
      <c r="AL652" s="8" t="s">
        <v>66</v>
      </c>
      <c r="AM652" s="8" t="s">
        <v>3443</v>
      </c>
      <c r="AN652" s="9" t="s">
        <v>3444</v>
      </c>
      <c r="AO652" s="9" t="s">
        <v>3445</v>
      </c>
      <c r="AP652" s="10" t="s">
        <v>3446</v>
      </c>
      <c r="AQ652" s="10" t="s">
        <v>3447</v>
      </c>
      <c r="AR652" s="10" t="s">
        <v>3448</v>
      </c>
      <c r="AS652" s="12"/>
      <c r="AT652" s="10" t="s">
        <v>3449</v>
      </c>
      <c r="AU652" s="10" t="s">
        <v>3450</v>
      </c>
      <c r="AV652" s="13"/>
    </row>
    <row r="653" ht="16.5" hidden="1" customHeight="1">
      <c r="A653" s="7" t="s">
        <v>3452</v>
      </c>
      <c r="B653" s="14" t="s">
        <v>49</v>
      </c>
      <c r="C653" s="14" t="s">
        <v>50</v>
      </c>
      <c r="D653" s="14" t="s">
        <v>51</v>
      </c>
      <c r="E653" s="7"/>
      <c r="F653" s="7">
        <v>7111.0</v>
      </c>
      <c r="G653" s="7">
        <v>7110.0</v>
      </c>
      <c r="H653" s="7" t="s">
        <v>53</v>
      </c>
      <c r="I653" s="7"/>
      <c r="J653" s="7"/>
      <c r="K653" s="8" t="s">
        <v>84</v>
      </c>
      <c r="L653" s="8" t="s">
        <v>49</v>
      </c>
      <c r="M653" s="8"/>
      <c r="N653" s="8" t="s">
        <v>85</v>
      </c>
      <c r="O653" s="8" t="s">
        <v>56</v>
      </c>
      <c r="P653" s="8" t="s">
        <v>57</v>
      </c>
      <c r="Q653" s="8" t="s">
        <v>1865</v>
      </c>
      <c r="R653" s="8">
        <v>0.52</v>
      </c>
      <c r="S653" s="8" t="s">
        <v>49</v>
      </c>
      <c r="T653" s="8" t="s">
        <v>49</v>
      </c>
      <c r="U653" s="8" t="s">
        <v>3453</v>
      </c>
      <c r="V653" s="8" t="s">
        <v>3454</v>
      </c>
      <c r="W653" s="8" t="s">
        <v>89</v>
      </c>
      <c r="X653" s="8" t="s">
        <v>415</v>
      </c>
      <c r="Y653" s="8" t="s">
        <v>3441</v>
      </c>
      <c r="Z653" s="8" t="s">
        <v>2382</v>
      </c>
      <c r="AA653" s="8" t="s">
        <v>59</v>
      </c>
      <c r="AB653" s="8" t="s">
        <v>60</v>
      </c>
      <c r="AC653" s="8" t="s">
        <v>61</v>
      </c>
      <c r="AD653" s="8" t="s">
        <v>3455</v>
      </c>
      <c r="AE653" s="8" t="s">
        <v>55</v>
      </c>
      <c r="AF653" s="8" t="s">
        <v>55</v>
      </c>
      <c r="AG653" s="8" t="s">
        <v>2429</v>
      </c>
      <c r="AH653" s="8" t="s">
        <v>111</v>
      </c>
      <c r="AI653" s="8" t="s">
        <v>94</v>
      </c>
      <c r="AJ653" s="8" t="s">
        <v>49</v>
      </c>
      <c r="AK653" s="8" t="s">
        <v>95</v>
      </c>
      <c r="AL653" s="8" t="s">
        <v>66</v>
      </c>
      <c r="AM653" s="8" t="s">
        <v>3443</v>
      </c>
      <c r="AN653" s="16" t="s">
        <v>3456</v>
      </c>
      <c r="AO653" s="9" t="s">
        <v>3457</v>
      </c>
      <c r="AP653" s="10" t="s">
        <v>3446</v>
      </c>
      <c r="AQ653" s="10" t="s">
        <v>3458</v>
      </c>
      <c r="AR653" s="10" t="s">
        <v>3459</v>
      </c>
      <c r="AS653" s="12"/>
      <c r="AT653" s="10" t="s">
        <v>3460</v>
      </c>
      <c r="AU653" s="10" t="s">
        <v>3461</v>
      </c>
      <c r="AV653" s="13"/>
    </row>
    <row r="654" ht="16.5" hidden="1" customHeight="1">
      <c r="A654" s="7" t="s">
        <v>3462</v>
      </c>
      <c r="B654" s="7" t="s">
        <v>49</v>
      </c>
      <c r="C654" s="7" t="s">
        <v>332</v>
      </c>
      <c r="D654" s="7" t="s">
        <v>1298</v>
      </c>
      <c r="E654" s="7" t="s">
        <v>52</v>
      </c>
      <c r="F654" s="7">
        <v>7112.0</v>
      </c>
      <c r="G654" s="7"/>
      <c r="H654" s="7" t="s">
        <v>53</v>
      </c>
      <c r="I654" s="7"/>
      <c r="J654" s="7"/>
      <c r="K654" s="8" t="s">
        <v>84</v>
      </c>
      <c r="L654" s="8" t="s">
        <v>49</v>
      </c>
      <c r="M654" s="8"/>
      <c r="N654" s="8" t="s">
        <v>85</v>
      </c>
      <c r="O654" s="8" t="s">
        <v>56</v>
      </c>
      <c r="P654" s="8" t="s">
        <v>57</v>
      </c>
      <c r="Q654" s="8" t="s">
        <v>140</v>
      </c>
      <c r="R654" s="8">
        <v>0.5</v>
      </c>
      <c r="S654" s="8" t="s">
        <v>49</v>
      </c>
      <c r="T654" s="8" t="s">
        <v>49</v>
      </c>
      <c r="U654" s="8" t="s">
        <v>3463</v>
      </c>
      <c r="V654" s="8" t="s">
        <v>1274</v>
      </c>
      <c r="W654" s="8" t="s">
        <v>89</v>
      </c>
      <c r="X654" s="8" t="s">
        <v>415</v>
      </c>
      <c r="Y654" s="8" t="s">
        <v>3464</v>
      </c>
      <c r="Z654" s="8" t="s">
        <v>2969</v>
      </c>
      <c r="AA654" s="8" t="s">
        <v>59</v>
      </c>
      <c r="AB654" s="8" t="s">
        <v>60</v>
      </c>
      <c r="AC654" s="8" t="s">
        <v>1303</v>
      </c>
      <c r="AD654" s="8" t="s">
        <v>3465</v>
      </c>
      <c r="AE654" s="8" t="s">
        <v>55</v>
      </c>
      <c r="AF654" s="8" t="s">
        <v>55</v>
      </c>
      <c r="AG654" s="8" t="s">
        <v>63</v>
      </c>
      <c r="AH654" s="8" t="s">
        <v>111</v>
      </c>
      <c r="AI654" s="8" t="s">
        <v>94</v>
      </c>
      <c r="AJ654" s="8" t="s">
        <v>49</v>
      </c>
      <c r="AK654" s="8" t="s">
        <v>49</v>
      </c>
      <c r="AL654" s="8" t="s">
        <v>66</v>
      </c>
      <c r="AM654" s="8" t="s">
        <v>3443</v>
      </c>
      <c r="AN654" s="9" t="s">
        <v>3466</v>
      </c>
      <c r="AO654" s="9" t="s">
        <v>3467</v>
      </c>
      <c r="AP654" s="10" t="s">
        <v>3468</v>
      </c>
      <c r="AQ654" s="10" t="s">
        <v>3469</v>
      </c>
      <c r="AR654" s="10" t="s">
        <v>3470</v>
      </c>
      <c r="AS654" s="12"/>
      <c r="AT654" s="10" t="s">
        <v>3471</v>
      </c>
      <c r="AU654" s="10" t="s">
        <v>3472</v>
      </c>
      <c r="AV654" s="13"/>
    </row>
    <row r="655" ht="16.5" hidden="1" customHeight="1">
      <c r="A655" s="7" t="s">
        <v>3473</v>
      </c>
      <c r="B655" s="7" t="s">
        <v>49</v>
      </c>
      <c r="C655" s="7" t="s">
        <v>332</v>
      </c>
      <c r="D655" s="7" t="s">
        <v>1298</v>
      </c>
      <c r="E655" s="7" t="s">
        <v>52</v>
      </c>
      <c r="F655" s="7">
        <v>7112.0</v>
      </c>
      <c r="G655" s="7">
        <v>7112.0</v>
      </c>
      <c r="H655" s="7" t="s">
        <v>53</v>
      </c>
      <c r="I655" s="7"/>
      <c r="J655" s="7"/>
      <c r="K655" s="8" t="s">
        <v>84</v>
      </c>
      <c r="L655" s="8" t="s">
        <v>49</v>
      </c>
      <c r="M655" s="8"/>
      <c r="N655" s="8" t="s">
        <v>85</v>
      </c>
      <c r="O655" s="8" t="s">
        <v>56</v>
      </c>
      <c r="P655" s="8" t="s">
        <v>57</v>
      </c>
      <c r="Q655" s="8" t="s">
        <v>140</v>
      </c>
      <c r="R655" s="8">
        <v>0.5</v>
      </c>
      <c r="S655" s="8" t="s">
        <v>49</v>
      </c>
      <c r="T655" s="8" t="s">
        <v>49</v>
      </c>
      <c r="U655" s="8" t="s">
        <v>3463</v>
      </c>
      <c r="V655" s="8" t="s">
        <v>1274</v>
      </c>
      <c r="W655" s="8" t="s">
        <v>89</v>
      </c>
      <c r="X655" s="8" t="s">
        <v>415</v>
      </c>
      <c r="Y655" s="8" t="s">
        <v>3464</v>
      </c>
      <c r="Z655" s="8" t="s">
        <v>2969</v>
      </c>
      <c r="AA655" s="8" t="s">
        <v>59</v>
      </c>
      <c r="AB655" s="8" t="s">
        <v>60</v>
      </c>
      <c r="AC655" s="8" t="s">
        <v>1303</v>
      </c>
      <c r="AD655" s="8" t="s">
        <v>3465</v>
      </c>
      <c r="AE655" s="8" t="s">
        <v>55</v>
      </c>
      <c r="AF655" s="8" t="s">
        <v>55</v>
      </c>
      <c r="AG655" s="8" t="s">
        <v>63</v>
      </c>
      <c r="AH655" s="8" t="s">
        <v>111</v>
      </c>
      <c r="AI655" s="8" t="s">
        <v>94</v>
      </c>
      <c r="AJ655" s="8" t="s">
        <v>49</v>
      </c>
      <c r="AK655" s="8" t="s">
        <v>95</v>
      </c>
      <c r="AL655" s="8" t="s">
        <v>66</v>
      </c>
      <c r="AM655" s="8" t="s">
        <v>3443</v>
      </c>
      <c r="AN655" s="16" t="s">
        <v>3466</v>
      </c>
      <c r="AO655" s="9" t="s">
        <v>3467</v>
      </c>
      <c r="AP655" s="10" t="s">
        <v>3468</v>
      </c>
      <c r="AQ655" s="10" t="s">
        <v>3469</v>
      </c>
      <c r="AR655" s="10" t="s">
        <v>3470</v>
      </c>
      <c r="AS655" s="12"/>
      <c r="AT655" s="10" t="s">
        <v>3471</v>
      </c>
      <c r="AU655" s="10" t="s">
        <v>3472</v>
      </c>
      <c r="AV655" s="13"/>
    </row>
    <row r="656" ht="16.5" hidden="1" customHeight="1">
      <c r="A656" s="7" t="s">
        <v>3474</v>
      </c>
      <c r="B656" s="14" t="s">
        <v>49</v>
      </c>
      <c r="C656" s="14" t="s">
        <v>332</v>
      </c>
      <c r="D656" s="14" t="s">
        <v>1298</v>
      </c>
      <c r="E656" s="7"/>
      <c r="F656" s="7">
        <v>7113.0</v>
      </c>
      <c r="G656" s="7">
        <v>7112.0</v>
      </c>
      <c r="H656" s="7" t="s">
        <v>53</v>
      </c>
      <c r="I656" s="7"/>
      <c r="J656" s="7"/>
      <c r="K656" s="8" t="s">
        <v>84</v>
      </c>
      <c r="L656" s="8" t="s">
        <v>49</v>
      </c>
      <c r="M656" s="8"/>
      <c r="N656" s="8" t="s">
        <v>85</v>
      </c>
      <c r="O656" s="8" t="s">
        <v>56</v>
      </c>
      <c r="P656" s="8" t="s">
        <v>57</v>
      </c>
      <c r="Q656" s="8" t="s">
        <v>1272</v>
      </c>
      <c r="R656" s="8">
        <v>0.43</v>
      </c>
      <c r="S656" s="8" t="s">
        <v>49</v>
      </c>
      <c r="T656" s="8" t="s">
        <v>49</v>
      </c>
      <c r="U656" s="8" t="s">
        <v>3475</v>
      </c>
      <c r="V656" s="8" t="s">
        <v>443</v>
      </c>
      <c r="W656" s="8" t="s">
        <v>89</v>
      </c>
      <c r="X656" s="8" t="s">
        <v>415</v>
      </c>
      <c r="Y656" s="8" t="s">
        <v>3464</v>
      </c>
      <c r="Z656" s="8" t="s">
        <v>2537</v>
      </c>
      <c r="AA656" s="8" t="s">
        <v>59</v>
      </c>
      <c r="AB656" s="8" t="s">
        <v>60</v>
      </c>
      <c r="AC656" s="8" t="s">
        <v>1303</v>
      </c>
      <c r="AD656" s="8" t="s">
        <v>3476</v>
      </c>
      <c r="AE656" s="8" t="s">
        <v>55</v>
      </c>
      <c r="AF656" s="8" t="s">
        <v>55</v>
      </c>
      <c r="AG656" s="8" t="s">
        <v>63</v>
      </c>
      <c r="AH656" s="8" t="s">
        <v>111</v>
      </c>
      <c r="AI656" s="8" t="s">
        <v>94</v>
      </c>
      <c r="AJ656" s="8" t="s">
        <v>49</v>
      </c>
      <c r="AK656" s="8" t="s">
        <v>95</v>
      </c>
      <c r="AL656" s="8" t="s">
        <v>66</v>
      </c>
      <c r="AM656" s="8" t="s">
        <v>3443</v>
      </c>
      <c r="AN656" s="9" t="s">
        <v>3477</v>
      </c>
      <c r="AO656" s="9" t="s">
        <v>3478</v>
      </c>
      <c r="AP656" s="10" t="s">
        <v>3468</v>
      </c>
      <c r="AQ656" s="10" t="s">
        <v>3479</v>
      </c>
      <c r="AR656" s="10" t="s">
        <v>3480</v>
      </c>
      <c r="AS656" s="12"/>
      <c r="AT656" s="10" t="s">
        <v>3481</v>
      </c>
      <c r="AU656" s="10" t="s">
        <v>3482</v>
      </c>
      <c r="AV656" s="13"/>
    </row>
    <row r="657" ht="16.5" hidden="1" customHeight="1">
      <c r="A657" s="7" t="s">
        <v>3483</v>
      </c>
      <c r="B657" s="7" t="s">
        <v>49</v>
      </c>
      <c r="C657" s="7" t="s">
        <v>213</v>
      </c>
      <c r="D657" s="7" t="s">
        <v>51</v>
      </c>
      <c r="E657" s="7" t="s">
        <v>227</v>
      </c>
      <c r="F657" s="7">
        <v>7114.0</v>
      </c>
      <c r="G657" s="7"/>
      <c r="H657" s="7" t="s">
        <v>53</v>
      </c>
      <c r="I657" s="7"/>
      <c r="J657" s="7"/>
      <c r="K657" s="8" t="s">
        <v>3095</v>
      </c>
      <c r="L657" s="8" t="s">
        <v>3484</v>
      </c>
      <c r="M657" s="8"/>
      <c r="N657" s="8" t="s">
        <v>85</v>
      </c>
      <c r="O657" s="8" t="s">
        <v>217</v>
      </c>
      <c r="P657" s="8" t="s">
        <v>57</v>
      </c>
      <c r="Q657" s="8" t="s">
        <v>140</v>
      </c>
      <c r="R657" s="8">
        <v>0.55</v>
      </c>
      <c r="S657" s="8" t="s">
        <v>49</v>
      </c>
      <c r="T657" s="8" t="s">
        <v>49</v>
      </c>
      <c r="U657" s="8" t="s">
        <v>3485</v>
      </c>
      <c r="V657" s="8" t="s">
        <v>1253</v>
      </c>
      <c r="W657" s="8" t="s">
        <v>1536</v>
      </c>
      <c r="X657" s="8" t="s">
        <v>1797</v>
      </c>
      <c r="Y657" s="8" t="s">
        <v>3486</v>
      </c>
      <c r="Z657" s="8" t="s">
        <v>445</v>
      </c>
      <c r="AA657" s="8" t="s">
        <v>231</v>
      </c>
      <c r="AB657" s="8" t="s">
        <v>60</v>
      </c>
      <c r="AC657" s="8" t="s">
        <v>61</v>
      </c>
      <c r="AD657" s="8" t="s">
        <v>3487</v>
      </c>
      <c r="AE657" s="8" t="s">
        <v>55</v>
      </c>
      <c r="AF657" s="8" t="s">
        <v>55</v>
      </c>
      <c r="AG657" s="8" t="s">
        <v>63</v>
      </c>
      <c r="AH657" s="8" t="s">
        <v>111</v>
      </c>
      <c r="AI657" s="8" t="s">
        <v>94</v>
      </c>
      <c r="AJ657" s="8" t="s">
        <v>49</v>
      </c>
      <c r="AK657" s="8" t="s">
        <v>49</v>
      </c>
      <c r="AL657" s="8" t="s">
        <v>720</v>
      </c>
      <c r="AM657" s="8" t="s">
        <v>3488</v>
      </c>
      <c r="AN657" s="9" t="s">
        <v>3489</v>
      </c>
      <c r="AO657" s="9" t="s">
        <v>3490</v>
      </c>
      <c r="AP657" s="10" t="s">
        <v>3491</v>
      </c>
      <c r="AQ657" s="10" t="s">
        <v>3492</v>
      </c>
      <c r="AR657" s="10" t="s">
        <v>3493</v>
      </c>
      <c r="AS657" s="12"/>
      <c r="AT657" s="10" t="s">
        <v>3494</v>
      </c>
      <c r="AU657" s="10" t="s">
        <v>3495</v>
      </c>
      <c r="AV657" s="13"/>
    </row>
    <row r="658" ht="16.5" customHeight="1">
      <c r="A658" s="7" t="s">
        <v>3496</v>
      </c>
      <c r="B658" s="7" t="s">
        <v>49</v>
      </c>
      <c r="C658" s="7" t="s">
        <v>213</v>
      </c>
      <c r="D658" s="7" t="s">
        <v>51</v>
      </c>
      <c r="E658" s="7" t="s">
        <v>227</v>
      </c>
      <c r="F658" s="7">
        <v>7114.0</v>
      </c>
      <c r="G658" s="7">
        <v>7114.0</v>
      </c>
      <c r="H658" s="14" t="s">
        <v>1134</v>
      </c>
      <c r="I658" s="7"/>
      <c r="J658" s="7"/>
      <c r="K658" s="8" t="s">
        <v>3095</v>
      </c>
      <c r="L658" s="8" t="s">
        <v>3484</v>
      </c>
      <c r="M658" s="8"/>
      <c r="N658" s="8" t="s">
        <v>85</v>
      </c>
      <c r="O658" s="8" t="s">
        <v>217</v>
      </c>
      <c r="P658" s="8" t="s">
        <v>57</v>
      </c>
      <c r="Q658" s="8" t="s">
        <v>140</v>
      </c>
      <c r="R658" s="8">
        <v>0.55</v>
      </c>
      <c r="S658" s="8" t="s">
        <v>49</v>
      </c>
      <c r="T658" s="8" t="s">
        <v>49</v>
      </c>
      <c r="U658" s="8" t="s">
        <v>3485</v>
      </c>
      <c r="V658" s="8" t="s">
        <v>1253</v>
      </c>
      <c r="W658" s="8" t="s">
        <v>1536</v>
      </c>
      <c r="X658" s="8" t="s">
        <v>1797</v>
      </c>
      <c r="Y658" s="8" t="s">
        <v>3486</v>
      </c>
      <c r="Z658" s="8" t="s">
        <v>445</v>
      </c>
      <c r="AA658" s="8" t="s">
        <v>231</v>
      </c>
      <c r="AB658" s="8" t="s">
        <v>60</v>
      </c>
      <c r="AC658" s="8" t="s">
        <v>61</v>
      </c>
      <c r="AD658" s="8" t="s">
        <v>3487</v>
      </c>
      <c r="AE658" s="8" t="s">
        <v>55</v>
      </c>
      <c r="AF658" s="8" t="s">
        <v>55</v>
      </c>
      <c r="AG658" s="8" t="s">
        <v>63</v>
      </c>
      <c r="AH658" s="8" t="s">
        <v>111</v>
      </c>
      <c r="AI658" s="8" t="s">
        <v>94</v>
      </c>
      <c r="AJ658" s="8" t="s">
        <v>49</v>
      </c>
      <c r="AK658" s="8" t="s">
        <v>2940</v>
      </c>
      <c r="AL658" s="8" t="s">
        <v>720</v>
      </c>
      <c r="AM658" s="8" t="s">
        <v>3488</v>
      </c>
      <c r="AN658" s="9" t="s">
        <v>3489</v>
      </c>
      <c r="AO658" s="9" t="s">
        <v>3490</v>
      </c>
      <c r="AP658" s="10" t="s">
        <v>3491</v>
      </c>
      <c r="AQ658" s="10" t="s">
        <v>3492</v>
      </c>
      <c r="AR658" s="10" t="s">
        <v>3493</v>
      </c>
      <c r="AS658" s="12"/>
      <c r="AT658" s="10" t="s">
        <v>3494</v>
      </c>
      <c r="AU658" s="10" t="s">
        <v>3495</v>
      </c>
      <c r="AV658" s="15">
        <v>46315.0</v>
      </c>
    </row>
    <row r="659" ht="16.5" customHeight="1">
      <c r="A659" s="7" t="s">
        <v>3497</v>
      </c>
      <c r="B659" s="14" t="s">
        <v>49</v>
      </c>
      <c r="C659" s="14" t="s">
        <v>213</v>
      </c>
      <c r="D659" s="14" t="s">
        <v>51</v>
      </c>
      <c r="E659" s="7"/>
      <c r="F659" s="7">
        <v>7115.0</v>
      </c>
      <c r="G659" s="7">
        <v>7114.0</v>
      </c>
      <c r="H659" s="14" t="s">
        <v>1134</v>
      </c>
      <c r="I659" s="7"/>
      <c r="J659" s="7"/>
      <c r="K659" s="8" t="s">
        <v>3095</v>
      </c>
      <c r="L659" s="8" t="s">
        <v>3484</v>
      </c>
      <c r="M659" s="8"/>
      <c r="N659" s="8" t="s">
        <v>85</v>
      </c>
      <c r="O659" s="8" t="s">
        <v>217</v>
      </c>
      <c r="P659" s="8" t="s">
        <v>57</v>
      </c>
      <c r="Q659" s="8" t="s">
        <v>140</v>
      </c>
      <c r="R659" s="8">
        <v>0.55</v>
      </c>
      <c r="S659" s="8" t="s">
        <v>49</v>
      </c>
      <c r="T659" s="8" t="s">
        <v>49</v>
      </c>
      <c r="U659" s="8" t="s">
        <v>3485</v>
      </c>
      <c r="V659" s="8" t="s">
        <v>1253</v>
      </c>
      <c r="W659" s="8" t="s">
        <v>1536</v>
      </c>
      <c r="X659" s="8" t="s">
        <v>1797</v>
      </c>
      <c r="Y659" s="8" t="s">
        <v>3486</v>
      </c>
      <c r="Z659" s="8" t="s">
        <v>445</v>
      </c>
      <c r="AA659" s="8" t="s">
        <v>231</v>
      </c>
      <c r="AB659" s="8" t="s">
        <v>60</v>
      </c>
      <c r="AC659" s="8" t="s">
        <v>61</v>
      </c>
      <c r="AD659" s="8" t="s">
        <v>3487</v>
      </c>
      <c r="AE659" s="8" t="s">
        <v>55</v>
      </c>
      <c r="AF659" s="8" t="s">
        <v>55</v>
      </c>
      <c r="AG659" s="8" t="s">
        <v>63</v>
      </c>
      <c r="AH659" s="8" t="s">
        <v>111</v>
      </c>
      <c r="AI659" s="8" t="s">
        <v>112</v>
      </c>
      <c r="AJ659" s="8" t="s">
        <v>49</v>
      </c>
      <c r="AK659" s="8" t="s">
        <v>2940</v>
      </c>
      <c r="AL659" s="8" t="s">
        <v>720</v>
      </c>
      <c r="AM659" s="8"/>
      <c r="AN659" s="9" t="s">
        <v>3498</v>
      </c>
      <c r="AO659" s="9" t="s">
        <v>3499</v>
      </c>
      <c r="AP659" s="10" t="s">
        <v>3491</v>
      </c>
      <c r="AQ659" s="10" t="s">
        <v>3492</v>
      </c>
      <c r="AR659" s="10" t="s">
        <v>3493</v>
      </c>
      <c r="AS659" s="12"/>
      <c r="AT659" s="10" t="s">
        <v>3494</v>
      </c>
      <c r="AU659" s="10" t="s">
        <v>3495</v>
      </c>
      <c r="AV659" s="13"/>
    </row>
    <row r="660" ht="16.5" customHeight="1">
      <c r="A660" s="7" t="s">
        <v>3500</v>
      </c>
      <c r="B660" s="14" t="s">
        <v>49</v>
      </c>
      <c r="C660" s="14" t="s">
        <v>213</v>
      </c>
      <c r="D660" s="14" t="s">
        <v>51</v>
      </c>
      <c r="E660" s="7"/>
      <c r="F660" s="7">
        <v>7116.0</v>
      </c>
      <c r="G660" s="7">
        <v>7114.0</v>
      </c>
      <c r="H660" s="14" t="s">
        <v>1134</v>
      </c>
      <c r="I660" s="7"/>
      <c r="J660" s="7"/>
      <c r="K660" s="8" t="s">
        <v>3095</v>
      </c>
      <c r="L660" s="8" t="s">
        <v>3484</v>
      </c>
      <c r="M660" s="8"/>
      <c r="N660" s="8" t="s">
        <v>85</v>
      </c>
      <c r="O660" s="8" t="s">
        <v>217</v>
      </c>
      <c r="P660" s="8" t="s">
        <v>57</v>
      </c>
      <c r="Q660" s="8" t="s">
        <v>2394</v>
      </c>
      <c r="R660" s="8">
        <v>0.55</v>
      </c>
      <c r="S660" s="8" t="s">
        <v>49</v>
      </c>
      <c r="T660" s="8" t="s">
        <v>49</v>
      </c>
      <c r="U660" s="8" t="s">
        <v>3501</v>
      </c>
      <c r="V660" s="8" t="s">
        <v>1301</v>
      </c>
      <c r="W660" s="8" t="s">
        <v>1536</v>
      </c>
      <c r="X660" s="8" t="s">
        <v>1797</v>
      </c>
      <c r="Y660" s="8" t="s">
        <v>3502</v>
      </c>
      <c r="Z660" s="8" t="s">
        <v>445</v>
      </c>
      <c r="AA660" s="8" t="s">
        <v>231</v>
      </c>
      <c r="AB660" s="8" t="s">
        <v>60</v>
      </c>
      <c r="AC660" s="8" t="s">
        <v>61</v>
      </c>
      <c r="AD660" s="8" t="s">
        <v>3503</v>
      </c>
      <c r="AE660" s="8" t="s">
        <v>55</v>
      </c>
      <c r="AF660" s="8" t="s">
        <v>55</v>
      </c>
      <c r="AG660" s="8" t="s">
        <v>63</v>
      </c>
      <c r="AH660" s="8" t="s">
        <v>111</v>
      </c>
      <c r="AI660" s="8" t="s">
        <v>94</v>
      </c>
      <c r="AJ660" s="8" t="s">
        <v>49</v>
      </c>
      <c r="AK660" s="8" t="s">
        <v>2940</v>
      </c>
      <c r="AL660" s="8" t="s">
        <v>720</v>
      </c>
      <c r="AM660" s="8"/>
      <c r="AN660" s="9" t="s">
        <v>3504</v>
      </c>
      <c r="AO660" s="9" t="s">
        <v>3505</v>
      </c>
      <c r="AP660" s="10" t="s">
        <v>3491</v>
      </c>
      <c r="AQ660" s="10" t="s">
        <v>3506</v>
      </c>
      <c r="AR660" s="10" t="s">
        <v>3507</v>
      </c>
      <c r="AS660" s="12"/>
      <c r="AT660" s="10" t="s">
        <v>3508</v>
      </c>
      <c r="AU660" s="10" t="s">
        <v>3509</v>
      </c>
      <c r="AV660" s="15">
        <v>46315.0</v>
      </c>
    </row>
    <row r="661" ht="16.5" customHeight="1">
      <c r="A661" s="7" t="s">
        <v>3510</v>
      </c>
      <c r="B661" s="14" t="s">
        <v>49</v>
      </c>
      <c r="C661" s="14" t="s">
        <v>213</v>
      </c>
      <c r="D661" s="14" t="s">
        <v>51</v>
      </c>
      <c r="E661" s="7"/>
      <c r="F661" s="7">
        <v>7117.0</v>
      </c>
      <c r="G661" s="7">
        <v>7114.0</v>
      </c>
      <c r="H661" s="14" t="s">
        <v>1134</v>
      </c>
      <c r="I661" s="7"/>
      <c r="J661" s="7"/>
      <c r="K661" s="8" t="s">
        <v>3095</v>
      </c>
      <c r="L661" s="8" t="s">
        <v>3484</v>
      </c>
      <c r="M661" s="8"/>
      <c r="N661" s="8" t="s">
        <v>85</v>
      </c>
      <c r="O661" s="8" t="s">
        <v>217</v>
      </c>
      <c r="P661" s="8" t="s">
        <v>57</v>
      </c>
      <c r="Q661" s="8" t="s">
        <v>2394</v>
      </c>
      <c r="R661" s="8">
        <v>0.55</v>
      </c>
      <c r="S661" s="8" t="s">
        <v>49</v>
      </c>
      <c r="T661" s="8" t="s">
        <v>49</v>
      </c>
      <c r="U661" s="8" t="s">
        <v>3501</v>
      </c>
      <c r="V661" s="8" t="s">
        <v>1301</v>
      </c>
      <c r="W661" s="8" t="s">
        <v>1536</v>
      </c>
      <c r="X661" s="8" t="s">
        <v>1797</v>
      </c>
      <c r="Y661" s="8" t="s">
        <v>3502</v>
      </c>
      <c r="Z661" s="8" t="s">
        <v>445</v>
      </c>
      <c r="AA661" s="8" t="s">
        <v>231</v>
      </c>
      <c r="AB661" s="8" t="s">
        <v>60</v>
      </c>
      <c r="AC661" s="8" t="s">
        <v>61</v>
      </c>
      <c r="AD661" s="8" t="s">
        <v>3503</v>
      </c>
      <c r="AE661" s="8" t="s">
        <v>55</v>
      </c>
      <c r="AF661" s="8" t="s">
        <v>55</v>
      </c>
      <c r="AG661" s="8" t="s">
        <v>63</v>
      </c>
      <c r="AH661" s="8" t="s">
        <v>111</v>
      </c>
      <c r="AI661" s="8" t="s">
        <v>112</v>
      </c>
      <c r="AJ661" s="8" t="s">
        <v>49</v>
      </c>
      <c r="AK661" s="8" t="s">
        <v>2940</v>
      </c>
      <c r="AL661" s="8" t="s">
        <v>720</v>
      </c>
      <c r="AM661" s="8"/>
      <c r="AN661" s="9" t="s">
        <v>3511</v>
      </c>
      <c r="AO661" s="9" t="s">
        <v>3512</v>
      </c>
      <c r="AP661" s="10" t="s">
        <v>3491</v>
      </c>
      <c r="AQ661" s="10" t="s">
        <v>3506</v>
      </c>
      <c r="AR661" s="10" t="s">
        <v>3507</v>
      </c>
      <c r="AS661" s="12"/>
      <c r="AT661" s="10" t="s">
        <v>3508</v>
      </c>
      <c r="AU661" s="10" t="s">
        <v>3509</v>
      </c>
      <c r="AV661" s="15">
        <v>46315.0</v>
      </c>
    </row>
    <row r="662" ht="16.5" hidden="1" customHeight="1">
      <c r="A662" s="7" t="s">
        <v>3513</v>
      </c>
      <c r="B662" s="7" t="s">
        <v>49</v>
      </c>
      <c r="C662" s="7" t="s">
        <v>213</v>
      </c>
      <c r="D662" s="7" t="s">
        <v>376</v>
      </c>
      <c r="E662" s="7" t="s">
        <v>227</v>
      </c>
      <c r="F662" s="7">
        <v>7118.0</v>
      </c>
      <c r="G662" s="7"/>
      <c r="H662" s="7" t="s">
        <v>53</v>
      </c>
      <c r="I662" s="7"/>
      <c r="J662" s="7"/>
      <c r="K662" s="8" t="s">
        <v>54</v>
      </c>
      <c r="L662" s="8" t="s">
        <v>55</v>
      </c>
      <c r="M662" s="8"/>
      <c r="N662" s="8" t="s">
        <v>55</v>
      </c>
      <c r="O662" s="8" t="s">
        <v>228</v>
      </c>
      <c r="P662" s="8" t="s">
        <v>229</v>
      </c>
      <c r="Q662" s="8" t="s">
        <v>230</v>
      </c>
      <c r="R662" s="8" t="s">
        <v>49</v>
      </c>
      <c r="S662" s="8" t="s">
        <v>49</v>
      </c>
      <c r="T662" s="8" t="s">
        <v>49</v>
      </c>
      <c r="U662" s="8" t="s">
        <v>49</v>
      </c>
      <c r="V662" s="8" t="s">
        <v>49</v>
      </c>
      <c r="W662" s="8" t="s">
        <v>49</v>
      </c>
      <c r="X662" s="8" t="s">
        <v>49</v>
      </c>
      <c r="Y662" s="8" t="s">
        <v>49</v>
      </c>
      <c r="Z662" s="8" t="s">
        <v>49</v>
      </c>
      <c r="AA662" s="8" t="s">
        <v>231</v>
      </c>
      <c r="AB662" s="8" t="s">
        <v>60</v>
      </c>
      <c r="AC662" s="8" t="s">
        <v>348</v>
      </c>
      <c r="AD662" s="8" t="s">
        <v>3514</v>
      </c>
      <c r="AE662" s="8" t="s">
        <v>3515</v>
      </c>
      <c r="AF662" s="8" t="s">
        <v>3516</v>
      </c>
      <c r="AG662" s="8" t="s">
        <v>63</v>
      </c>
      <c r="AH662" s="8" t="s">
        <v>55</v>
      </c>
      <c r="AI662" s="8" t="s">
        <v>112</v>
      </c>
      <c r="AJ662" s="8" t="s">
        <v>49</v>
      </c>
      <c r="AK662" s="8" t="s">
        <v>49</v>
      </c>
      <c r="AL662" s="8" t="s">
        <v>720</v>
      </c>
      <c r="AM662" s="8" t="s">
        <v>3517</v>
      </c>
      <c r="AN662" s="9" t="s">
        <v>3518</v>
      </c>
      <c r="AO662" s="9" t="s">
        <v>3519</v>
      </c>
      <c r="AP662" s="10" t="s">
        <v>3520</v>
      </c>
      <c r="AQ662" s="11"/>
      <c r="AR662" s="10" t="s">
        <v>3521</v>
      </c>
      <c r="AS662" s="12"/>
      <c r="AT662" s="10" t="s">
        <v>3522</v>
      </c>
      <c r="AU662" s="11"/>
      <c r="AV662" s="13"/>
    </row>
    <row r="663" ht="16.5" hidden="1" customHeight="1">
      <c r="A663" s="7" t="s">
        <v>3523</v>
      </c>
      <c r="B663" s="7" t="s">
        <v>49</v>
      </c>
      <c r="C663" s="7" t="s">
        <v>213</v>
      </c>
      <c r="D663" s="14" t="s">
        <v>344</v>
      </c>
      <c r="E663" s="7" t="s">
        <v>227</v>
      </c>
      <c r="F663" s="7">
        <v>7118.0</v>
      </c>
      <c r="G663" s="7">
        <v>7118.0</v>
      </c>
      <c r="H663" s="7" t="s">
        <v>53</v>
      </c>
      <c r="I663" s="7"/>
      <c r="J663" s="7"/>
      <c r="K663" s="8" t="s">
        <v>54</v>
      </c>
      <c r="L663" s="8" t="s">
        <v>55</v>
      </c>
      <c r="M663" s="12" t="s">
        <v>55</v>
      </c>
      <c r="N663" s="8" t="s">
        <v>55</v>
      </c>
      <c r="O663" s="8" t="s">
        <v>228</v>
      </c>
      <c r="P663" s="8" t="s">
        <v>229</v>
      </c>
      <c r="Q663" s="8" t="s">
        <v>240</v>
      </c>
      <c r="R663" s="8" t="s">
        <v>49</v>
      </c>
      <c r="S663" s="8" t="s">
        <v>49</v>
      </c>
      <c r="T663" s="8" t="s">
        <v>49</v>
      </c>
      <c r="U663" s="8" t="s">
        <v>49</v>
      </c>
      <c r="V663" s="8" t="s">
        <v>49</v>
      </c>
      <c r="W663" s="8" t="s">
        <v>49</v>
      </c>
      <c r="X663" s="8" t="s">
        <v>55</v>
      </c>
      <c r="Y663" s="8" t="s">
        <v>55</v>
      </c>
      <c r="Z663" s="8" t="s">
        <v>55</v>
      </c>
      <c r="AA663" s="8" t="s">
        <v>231</v>
      </c>
      <c r="AB663" s="8" t="s">
        <v>60</v>
      </c>
      <c r="AC663" s="8" t="s">
        <v>348</v>
      </c>
      <c r="AD663" s="12" t="s">
        <v>3524</v>
      </c>
      <c r="AE663" s="8" t="s">
        <v>3515</v>
      </c>
      <c r="AF663" s="8" t="s">
        <v>3525</v>
      </c>
      <c r="AG663" s="8" t="s">
        <v>63</v>
      </c>
      <c r="AH663" s="8" t="s">
        <v>55</v>
      </c>
      <c r="AI663" s="8" t="s">
        <v>112</v>
      </c>
      <c r="AJ663" s="8" t="s">
        <v>49</v>
      </c>
      <c r="AK663" s="8" t="s">
        <v>55</v>
      </c>
      <c r="AL663" s="8" t="s">
        <v>720</v>
      </c>
      <c r="AM663" s="8" t="s">
        <v>3517</v>
      </c>
      <c r="AN663" s="9" t="s">
        <v>3518</v>
      </c>
      <c r="AO663" s="9" t="s">
        <v>3519</v>
      </c>
      <c r="AP663" s="10" t="s">
        <v>3520</v>
      </c>
      <c r="AQ663" s="11"/>
      <c r="AR663" s="10" t="s">
        <v>3521</v>
      </c>
      <c r="AS663" s="12"/>
      <c r="AT663" s="10" t="s">
        <v>3522</v>
      </c>
      <c r="AU663" s="11"/>
      <c r="AV663" s="15">
        <v>46315.0</v>
      </c>
    </row>
    <row r="664" ht="16.5" hidden="1" customHeight="1">
      <c r="A664" s="7" t="s">
        <v>3526</v>
      </c>
      <c r="B664" s="14" t="s">
        <v>49</v>
      </c>
      <c r="C664" s="14" t="s">
        <v>213</v>
      </c>
      <c r="D664" s="14" t="s">
        <v>344</v>
      </c>
      <c r="E664" s="7"/>
      <c r="F664" s="7">
        <v>7119.0</v>
      </c>
      <c r="G664" s="7">
        <v>7118.0</v>
      </c>
      <c r="H664" s="7" t="s">
        <v>53</v>
      </c>
      <c r="I664" s="7"/>
      <c r="J664" s="7"/>
      <c r="K664" s="8" t="s">
        <v>54</v>
      </c>
      <c r="L664" s="8" t="s">
        <v>55</v>
      </c>
      <c r="M664" s="12" t="s">
        <v>55</v>
      </c>
      <c r="N664" s="8" t="s">
        <v>55</v>
      </c>
      <c r="O664" s="8" t="s">
        <v>228</v>
      </c>
      <c r="P664" s="8" t="s">
        <v>229</v>
      </c>
      <c r="Q664" s="8" t="s">
        <v>240</v>
      </c>
      <c r="R664" s="8" t="s">
        <v>49</v>
      </c>
      <c r="S664" s="8" t="s">
        <v>49</v>
      </c>
      <c r="T664" s="8" t="s">
        <v>49</v>
      </c>
      <c r="U664" s="8" t="s">
        <v>49</v>
      </c>
      <c r="V664" s="8" t="s">
        <v>49</v>
      </c>
      <c r="W664" s="8" t="s">
        <v>49</v>
      </c>
      <c r="X664" s="8" t="s">
        <v>55</v>
      </c>
      <c r="Y664" s="8" t="s">
        <v>55</v>
      </c>
      <c r="Z664" s="8" t="s">
        <v>55</v>
      </c>
      <c r="AA664" s="8" t="s">
        <v>231</v>
      </c>
      <c r="AB664" s="8" t="s">
        <v>60</v>
      </c>
      <c r="AC664" s="8" t="s">
        <v>348</v>
      </c>
      <c r="AD664" s="12" t="s">
        <v>3524</v>
      </c>
      <c r="AE664" s="8" t="s">
        <v>3515</v>
      </c>
      <c r="AF664" s="8" t="s">
        <v>3525</v>
      </c>
      <c r="AG664" s="8" t="s">
        <v>63</v>
      </c>
      <c r="AH664" s="8" t="s">
        <v>55</v>
      </c>
      <c r="AI664" s="8" t="s">
        <v>94</v>
      </c>
      <c r="AJ664" s="8" t="s">
        <v>49</v>
      </c>
      <c r="AK664" s="8" t="s">
        <v>55</v>
      </c>
      <c r="AL664" s="8" t="s">
        <v>720</v>
      </c>
      <c r="AM664" s="8"/>
      <c r="AN664" s="9" t="s">
        <v>3527</v>
      </c>
      <c r="AO664" s="9" t="s">
        <v>3528</v>
      </c>
      <c r="AP664" s="10" t="s">
        <v>3520</v>
      </c>
      <c r="AQ664" s="11"/>
      <c r="AR664" s="10" t="s">
        <v>3521</v>
      </c>
      <c r="AS664" s="12"/>
      <c r="AT664" s="10" t="s">
        <v>3522</v>
      </c>
      <c r="AU664" s="11"/>
      <c r="AV664" s="13"/>
    </row>
    <row r="665" ht="16.5" hidden="1" customHeight="1">
      <c r="A665" s="7" t="s">
        <v>3529</v>
      </c>
      <c r="B665" s="7" t="s">
        <v>49</v>
      </c>
      <c r="C665" s="7" t="s">
        <v>213</v>
      </c>
      <c r="D665" s="7" t="s">
        <v>376</v>
      </c>
      <c r="E665" s="7" t="s">
        <v>227</v>
      </c>
      <c r="F665" s="7">
        <v>7120.0</v>
      </c>
      <c r="G665" s="7"/>
      <c r="H665" s="7" t="s">
        <v>53</v>
      </c>
      <c r="I665" s="7"/>
      <c r="J665" s="33" t="s">
        <v>3530</v>
      </c>
      <c r="K665" s="8" t="s">
        <v>54</v>
      </c>
      <c r="L665" s="8" t="s">
        <v>55</v>
      </c>
      <c r="M665" s="8"/>
      <c r="N665" s="8" t="s">
        <v>55</v>
      </c>
      <c r="O665" s="8" t="s">
        <v>228</v>
      </c>
      <c r="P665" s="8" t="s">
        <v>229</v>
      </c>
      <c r="Q665" s="8" t="s">
        <v>230</v>
      </c>
      <c r="R665" s="8" t="s">
        <v>49</v>
      </c>
      <c r="S665" s="8" t="s">
        <v>49</v>
      </c>
      <c r="T665" s="8" t="s">
        <v>49</v>
      </c>
      <c r="U665" s="8" t="s">
        <v>49</v>
      </c>
      <c r="V665" s="8" t="s">
        <v>49</v>
      </c>
      <c r="W665" s="8" t="s">
        <v>49</v>
      </c>
      <c r="X665" s="8" t="s">
        <v>49</v>
      </c>
      <c r="Y665" s="8" t="s">
        <v>49</v>
      </c>
      <c r="Z665" s="8" t="s">
        <v>49</v>
      </c>
      <c r="AA665" s="8" t="s">
        <v>231</v>
      </c>
      <c r="AB665" s="8" t="s">
        <v>60</v>
      </c>
      <c r="AC665" s="8" t="s">
        <v>348</v>
      </c>
      <c r="AD665" s="8" t="s">
        <v>3531</v>
      </c>
      <c r="AE665" s="8" t="s">
        <v>3532</v>
      </c>
      <c r="AF665" s="8" t="s">
        <v>481</v>
      </c>
      <c r="AG665" s="8" t="s">
        <v>2429</v>
      </c>
      <c r="AH665" s="8" t="s">
        <v>55</v>
      </c>
      <c r="AI665" s="8" t="s">
        <v>490</v>
      </c>
      <c r="AJ665" s="8" t="s">
        <v>49</v>
      </c>
      <c r="AK665" s="8" t="s">
        <v>49</v>
      </c>
      <c r="AL665" s="8" t="s">
        <v>720</v>
      </c>
      <c r="AM665" s="8" t="s">
        <v>3533</v>
      </c>
      <c r="AN665" s="9" t="s">
        <v>3534</v>
      </c>
      <c r="AO665" s="9" t="s">
        <v>3535</v>
      </c>
      <c r="AP665" s="10" t="s">
        <v>3536</v>
      </c>
      <c r="AQ665" s="11"/>
      <c r="AR665" s="10" t="s">
        <v>3537</v>
      </c>
      <c r="AS665" s="12"/>
      <c r="AT665" s="10" t="s">
        <v>3538</v>
      </c>
      <c r="AU665" s="11"/>
      <c r="AV665" s="13"/>
    </row>
    <row r="666" ht="16.5" hidden="1" customHeight="1">
      <c r="A666" s="7" t="s">
        <v>3539</v>
      </c>
      <c r="B666" s="7" t="s">
        <v>49</v>
      </c>
      <c r="C666" s="7" t="s">
        <v>213</v>
      </c>
      <c r="D666" s="14" t="s">
        <v>344</v>
      </c>
      <c r="E666" s="7" t="s">
        <v>227</v>
      </c>
      <c r="F666" s="7">
        <v>7120.0</v>
      </c>
      <c r="G666" s="7">
        <v>7120.0</v>
      </c>
      <c r="H666" s="7" t="s">
        <v>53</v>
      </c>
      <c r="I666" s="7"/>
      <c r="J666" s="33" t="s">
        <v>3530</v>
      </c>
      <c r="K666" s="8" t="s">
        <v>54</v>
      </c>
      <c r="L666" s="8" t="s">
        <v>55</v>
      </c>
      <c r="M666" s="12" t="s">
        <v>55</v>
      </c>
      <c r="N666" s="8" t="s">
        <v>55</v>
      </c>
      <c r="O666" s="8" t="s">
        <v>228</v>
      </c>
      <c r="P666" s="8" t="s">
        <v>229</v>
      </c>
      <c r="Q666" s="8" t="s">
        <v>240</v>
      </c>
      <c r="R666" s="8" t="s">
        <v>49</v>
      </c>
      <c r="S666" s="8" t="s">
        <v>49</v>
      </c>
      <c r="T666" s="8" t="s">
        <v>49</v>
      </c>
      <c r="U666" s="8" t="s">
        <v>49</v>
      </c>
      <c r="V666" s="8" t="s">
        <v>49</v>
      </c>
      <c r="W666" s="8" t="s">
        <v>49</v>
      </c>
      <c r="X666" s="8" t="s">
        <v>55</v>
      </c>
      <c r="Y666" s="8" t="s">
        <v>55</v>
      </c>
      <c r="Z666" s="8" t="s">
        <v>55</v>
      </c>
      <c r="AA666" s="8" t="s">
        <v>231</v>
      </c>
      <c r="AB666" s="8" t="s">
        <v>60</v>
      </c>
      <c r="AC666" s="8" t="s">
        <v>348</v>
      </c>
      <c r="AD666" s="8" t="s">
        <v>3531</v>
      </c>
      <c r="AE666" s="8" t="s">
        <v>3532</v>
      </c>
      <c r="AF666" s="8" t="s">
        <v>488</v>
      </c>
      <c r="AG666" s="8" t="s">
        <v>2429</v>
      </c>
      <c r="AH666" s="8" t="s">
        <v>55</v>
      </c>
      <c r="AI666" s="8" t="s">
        <v>490</v>
      </c>
      <c r="AJ666" s="8" t="s">
        <v>49</v>
      </c>
      <c r="AK666" s="8" t="s">
        <v>55</v>
      </c>
      <c r="AL666" s="8" t="s">
        <v>720</v>
      </c>
      <c r="AM666" s="8" t="s">
        <v>3533</v>
      </c>
      <c r="AN666" s="9" t="s">
        <v>3534</v>
      </c>
      <c r="AO666" s="9" t="s">
        <v>3535</v>
      </c>
      <c r="AP666" s="10" t="s">
        <v>3536</v>
      </c>
      <c r="AQ666" s="11"/>
      <c r="AR666" s="10" t="s">
        <v>3537</v>
      </c>
      <c r="AS666" s="12"/>
      <c r="AT666" s="10" t="s">
        <v>3538</v>
      </c>
      <c r="AU666" s="11"/>
      <c r="AV666" s="15">
        <v>46315.0</v>
      </c>
    </row>
    <row r="667" ht="16.5" hidden="1" customHeight="1">
      <c r="A667" s="7" t="s">
        <v>3540</v>
      </c>
      <c r="B667" s="14" t="s">
        <v>49</v>
      </c>
      <c r="C667" s="14" t="s">
        <v>213</v>
      </c>
      <c r="D667" s="14" t="s">
        <v>344</v>
      </c>
      <c r="E667" s="7"/>
      <c r="F667" s="7">
        <v>7121.0</v>
      </c>
      <c r="G667" s="7">
        <v>7120.0</v>
      </c>
      <c r="H667" s="7" t="s">
        <v>53</v>
      </c>
      <c r="I667" s="7"/>
      <c r="J667" s="33" t="s">
        <v>3530</v>
      </c>
      <c r="K667" s="8" t="s">
        <v>54</v>
      </c>
      <c r="L667" s="8" t="s">
        <v>55</v>
      </c>
      <c r="M667" s="12" t="s">
        <v>55</v>
      </c>
      <c r="N667" s="8" t="s">
        <v>55</v>
      </c>
      <c r="O667" s="8" t="s">
        <v>228</v>
      </c>
      <c r="P667" s="8" t="s">
        <v>229</v>
      </c>
      <c r="Q667" s="8" t="s">
        <v>240</v>
      </c>
      <c r="R667" s="8" t="s">
        <v>49</v>
      </c>
      <c r="S667" s="8" t="s">
        <v>49</v>
      </c>
      <c r="T667" s="8" t="s">
        <v>49</v>
      </c>
      <c r="U667" s="8" t="s">
        <v>49</v>
      </c>
      <c r="V667" s="8" t="s">
        <v>49</v>
      </c>
      <c r="W667" s="8" t="s">
        <v>49</v>
      </c>
      <c r="X667" s="8" t="s">
        <v>55</v>
      </c>
      <c r="Y667" s="8" t="s">
        <v>55</v>
      </c>
      <c r="Z667" s="8" t="s">
        <v>55</v>
      </c>
      <c r="AA667" s="8" t="s">
        <v>231</v>
      </c>
      <c r="AB667" s="8" t="s">
        <v>60</v>
      </c>
      <c r="AC667" s="8" t="s">
        <v>348</v>
      </c>
      <c r="AD667" s="8" t="s">
        <v>3531</v>
      </c>
      <c r="AE667" s="8" t="s">
        <v>3532</v>
      </c>
      <c r="AF667" s="8" t="s">
        <v>488</v>
      </c>
      <c r="AG667" s="8" t="s">
        <v>2429</v>
      </c>
      <c r="AH667" s="8" t="s">
        <v>55</v>
      </c>
      <c r="AI667" s="8" t="s">
        <v>94</v>
      </c>
      <c r="AJ667" s="8" t="s">
        <v>49</v>
      </c>
      <c r="AK667" s="8" t="s">
        <v>55</v>
      </c>
      <c r="AL667" s="8" t="s">
        <v>720</v>
      </c>
      <c r="AM667" s="8" t="s">
        <v>3533</v>
      </c>
      <c r="AN667" s="9" t="s">
        <v>3541</v>
      </c>
      <c r="AO667" s="9" t="s">
        <v>3542</v>
      </c>
      <c r="AP667" s="10" t="s">
        <v>3536</v>
      </c>
      <c r="AQ667" s="11"/>
      <c r="AR667" s="10" t="s">
        <v>3537</v>
      </c>
      <c r="AS667" s="12"/>
      <c r="AT667" s="10" t="s">
        <v>3538</v>
      </c>
      <c r="AU667" s="11"/>
      <c r="AV667" s="15">
        <v>46315.0</v>
      </c>
    </row>
    <row r="668" ht="16.5" hidden="1" customHeight="1">
      <c r="A668" s="7" t="s">
        <v>3543</v>
      </c>
      <c r="B668" s="7" t="s">
        <v>49</v>
      </c>
      <c r="C668" s="7" t="s">
        <v>213</v>
      </c>
      <c r="D668" s="7" t="s">
        <v>376</v>
      </c>
      <c r="E668" s="7" t="s">
        <v>227</v>
      </c>
      <c r="F668" s="7">
        <v>7122.0</v>
      </c>
      <c r="G668" s="7"/>
      <c r="H668" s="7" t="s">
        <v>53</v>
      </c>
      <c r="I668" s="7"/>
      <c r="J668" s="7"/>
      <c r="K668" s="8" t="s">
        <v>54</v>
      </c>
      <c r="L668" s="8" t="s">
        <v>55</v>
      </c>
      <c r="M668" s="8"/>
      <c r="N668" s="8" t="s">
        <v>55</v>
      </c>
      <c r="O668" s="8" t="s">
        <v>228</v>
      </c>
      <c r="P668" s="8" t="s">
        <v>229</v>
      </c>
      <c r="Q668" s="8" t="s">
        <v>230</v>
      </c>
      <c r="R668" s="8" t="s">
        <v>49</v>
      </c>
      <c r="S668" s="8" t="s">
        <v>49</v>
      </c>
      <c r="T668" s="8" t="s">
        <v>49</v>
      </c>
      <c r="U668" s="8" t="s">
        <v>49</v>
      </c>
      <c r="V668" s="8" t="s">
        <v>49</v>
      </c>
      <c r="W668" s="8" t="s">
        <v>49</v>
      </c>
      <c r="X668" s="8" t="s">
        <v>49</v>
      </c>
      <c r="Y668" s="8" t="s">
        <v>49</v>
      </c>
      <c r="Z668" s="8" t="s">
        <v>49</v>
      </c>
      <c r="AA668" s="8" t="s">
        <v>231</v>
      </c>
      <c r="AB668" s="8" t="s">
        <v>60</v>
      </c>
      <c r="AC668" s="8" t="s">
        <v>348</v>
      </c>
      <c r="AD668" s="8" t="s">
        <v>3544</v>
      </c>
      <c r="AE668" s="8" t="s">
        <v>3545</v>
      </c>
      <c r="AF668" s="8" t="s">
        <v>3546</v>
      </c>
      <c r="AG668" s="8" t="s">
        <v>63</v>
      </c>
      <c r="AH668" s="8" t="s">
        <v>55</v>
      </c>
      <c r="AI668" s="8" t="s">
        <v>112</v>
      </c>
      <c r="AJ668" s="8" t="s">
        <v>49</v>
      </c>
      <c r="AK668" s="8" t="s">
        <v>49</v>
      </c>
      <c r="AL668" s="8" t="s">
        <v>720</v>
      </c>
      <c r="AM668" s="8" t="s">
        <v>3547</v>
      </c>
      <c r="AN668" s="9" t="s">
        <v>3548</v>
      </c>
      <c r="AO668" s="9" t="s">
        <v>3549</v>
      </c>
      <c r="AP668" s="10" t="s">
        <v>3550</v>
      </c>
      <c r="AQ668" s="11"/>
      <c r="AR668" s="10" t="s">
        <v>3551</v>
      </c>
      <c r="AS668" s="12"/>
      <c r="AT668" s="10" t="s">
        <v>3552</v>
      </c>
      <c r="AU668" s="21"/>
      <c r="AV668" s="34"/>
    </row>
    <row r="669" ht="16.5" hidden="1" customHeight="1">
      <c r="A669" s="7" t="s">
        <v>3553</v>
      </c>
      <c r="B669" s="7" t="s">
        <v>49</v>
      </c>
      <c r="C669" s="7" t="s">
        <v>213</v>
      </c>
      <c r="D669" s="14" t="s">
        <v>344</v>
      </c>
      <c r="E669" s="7" t="s">
        <v>227</v>
      </c>
      <c r="F669" s="7">
        <v>7122.0</v>
      </c>
      <c r="G669" s="7">
        <v>7122.0</v>
      </c>
      <c r="H669" s="7" t="s">
        <v>53</v>
      </c>
      <c r="I669" s="7"/>
      <c r="J669" s="7"/>
      <c r="K669" s="8" t="s">
        <v>54</v>
      </c>
      <c r="L669" s="8" t="s">
        <v>55</v>
      </c>
      <c r="M669" s="12" t="s">
        <v>55</v>
      </c>
      <c r="N669" s="8" t="s">
        <v>55</v>
      </c>
      <c r="O669" s="8" t="s">
        <v>228</v>
      </c>
      <c r="P669" s="8" t="s">
        <v>229</v>
      </c>
      <c r="Q669" s="8" t="s">
        <v>240</v>
      </c>
      <c r="R669" s="8" t="s">
        <v>49</v>
      </c>
      <c r="S669" s="8" t="s">
        <v>49</v>
      </c>
      <c r="T669" s="8" t="s">
        <v>49</v>
      </c>
      <c r="U669" s="8" t="s">
        <v>49</v>
      </c>
      <c r="V669" s="8" t="s">
        <v>49</v>
      </c>
      <c r="W669" s="8" t="s">
        <v>49</v>
      </c>
      <c r="X669" s="8" t="s">
        <v>55</v>
      </c>
      <c r="Y669" s="8" t="s">
        <v>55</v>
      </c>
      <c r="Z669" s="8" t="s">
        <v>55</v>
      </c>
      <c r="AA669" s="8" t="s">
        <v>231</v>
      </c>
      <c r="AB669" s="8" t="s">
        <v>60</v>
      </c>
      <c r="AC669" s="8" t="s">
        <v>348</v>
      </c>
      <c r="AD669" s="8" t="s">
        <v>3544</v>
      </c>
      <c r="AE669" s="8" t="s">
        <v>3545</v>
      </c>
      <c r="AF669" s="8" t="s">
        <v>3554</v>
      </c>
      <c r="AG669" s="8" t="s">
        <v>63</v>
      </c>
      <c r="AH669" s="8" t="s">
        <v>55</v>
      </c>
      <c r="AI669" s="8" t="s">
        <v>112</v>
      </c>
      <c r="AJ669" s="8" t="s">
        <v>49</v>
      </c>
      <c r="AK669" s="8" t="s">
        <v>55</v>
      </c>
      <c r="AL669" s="8" t="s">
        <v>720</v>
      </c>
      <c r="AM669" s="8" t="s">
        <v>3547</v>
      </c>
      <c r="AN669" s="9" t="s">
        <v>3548</v>
      </c>
      <c r="AO669" s="9" t="s">
        <v>3549</v>
      </c>
      <c r="AP669" s="10" t="s">
        <v>3550</v>
      </c>
      <c r="AQ669" s="11"/>
      <c r="AR669" s="10" t="s">
        <v>3551</v>
      </c>
      <c r="AS669" s="12"/>
      <c r="AT669" s="10" t="s">
        <v>3552</v>
      </c>
      <c r="AU669" s="11"/>
      <c r="AV669" s="15">
        <v>46315.0</v>
      </c>
    </row>
    <row r="670" ht="16.5" hidden="1" customHeight="1">
      <c r="A670" s="7" t="s">
        <v>3555</v>
      </c>
      <c r="B670" s="14" t="s">
        <v>49</v>
      </c>
      <c r="C670" s="14" t="s">
        <v>213</v>
      </c>
      <c r="D670" s="14" t="s">
        <v>344</v>
      </c>
      <c r="E670" s="7"/>
      <c r="F670" s="7">
        <v>7123.0</v>
      </c>
      <c r="G670" s="7">
        <v>7122.0</v>
      </c>
      <c r="H670" s="7" t="s">
        <v>53</v>
      </c>
      <c r="I670" s="7"/>
      <c r="J670" s="7"/>
      <c r="K670" s="8" t="s">
        <v>54</v>
      </c>
      <c r="L670" s="8" t="s">
        <v>55</v>
      </c>
      <c r="M670" s="12" t="s">
        <v>55</v>
      </c>
      <c r="N670" s="8" t="s">
        <v>55</v>
      </c>
      <c r="O670" s="8" t="s">
        <v>228</v>
      </c>
      <c r="P670" s="8" t="s">
        <v>229</v>
      </c>
      <c r="Q670" s="8" t="s">
        <v>240</v>
      </c>
      <c r="R670" s="8" t="s">
        <v>49</v>
      </c>
      <c r="S670" s="8" t="s">
        <v>49</v>
      </c>
      <c r="T670" s="8" t="s">
        <v>49</v>
      </c>
      <c r="U670" s="8" t="s">
        <v>49</v>
      </c>
      <c r="V670" s="8" t="s">
        <v>49</v>
      </c>
      <c r="W670" s="8" t="s">
        <v>49</v>
      </c>
      <c r="X670" s="8" t="s">
        <v>55</v>
      </c>
      <c r="Y670" s="8" t="s">
        <v>55</v>
      </c>
      <c r="Z670" s="8" t="s">
        <v>55</v>
      </c>
      <c r="AA670" s="8" t="s">
        <v>231</v>
      </c>
      <c r="AB670" s="8" t="s">
        <v>60</v>
      </c>
      <c r="AC670" s="8" t="s">
        <v>348</v>
      </c>
      <c r="AD670" s="8" t="s">
        <v>3544</v>
      </c>
      <c r="AE670" s="8" t="s">
        <v>3545</v>
      </c>
      <c r="AF670" s="8" t="s">
        <v>3554</v>
      </c>
      <c r="AG670" s="8" t="s">
        <v>63</v>
      </c>
      <c r="AH670" s="8" t="s">
        <v>55</v>
      </c>
      <c r="AI670" s="8" t="s">
        <v>94</v>
      </c>
      <c r="AJ670" s="8" t="s">
        <v>49</v>
      </c>
      <c r="AK670" s="8" t="s">
        <v>55</v>
      </c>
      <c r="AL670" s="8" t="s">
        <v>720</v>
      </c>
      <c r="AM670" s="8"/>
      <c r="AN670" s="9" t="s">
        <v>3556</v>
      </c>
      <c r="AO670" s="9" t="s">
        <v>3557</v>
      </c>
      <c r="AP670" s="10" t="s">
        <v>3550</v>
      </c>
      <c r="AQ670" s="11"/>
      <c r="AR670" s="10" t="s">
        <v>3551</v>
      </c>
      <c r="AS670" s="12"/>
      <c r="AT670" s="10" t="s">
        <v>3552</v>
      </c>
      <c r="AU670" s="11"/>
      <c r="AV670" s="15">
        <v>46315.0</v>
      </c>
    </row>
    <row r="671" ht="16.5" hidden="1" customHeight="1">
      <c r="A671" s="7" t="s">
        <v>3558</v>
      </c>
      <c r="B671" s="7" t="s">
        <v>49</v>
      </c>
      <c r="C671" s="7" t="s">
        <v>213</v>
      </c>
      <c r="D671" s="7" t="s">
        <v>376</v>
      </c>
      <c r="E671" s="7" t="s">
        <v>227</v>
      </c>
      <c r="F671" s="7">
        <v>7124.0</v>
      </c>
      <c r="G671" s="7"/>
      <c r="H671" s="7" t="s">
        <v>53</v>
      </c>
      <c r="I671" s="7"/>
      <c r="J671" s="7"/>
      <c r="K671" s="8" t="s">
        <v>54</v>
      </c>
      <c r="L671" s="8" t="s">
        <v>55</v>
      </c>
      <c r="M671" s="8"/>
      <c r="N671" s="8" t="s">
        <v>55</v>
      </c>
      <c r="O671" s="8" t="s">
        <v>228</v>
      </c>
      <c r="P671" s="8" t="s">
        <v>229</v>
      </c>
      <c r="Q671" s="8" t="s">
        <v>230</v>
      </c>
      <c r="R671" s="8" t="s">
        <v>49</v>
      </c>
      <c r="S671" s="8" t="s">
        <v>49</v>
      </c>
      <c r="T671" s="8" t="s">
        <v>49</v>
      </c>
      <c r="U671" s="8" t="s">
        <v>49</v>
      </c>
      <c r="V671" s="8" t="s">
        <v>49</v>
      </c>
      <c r="W671" s="8" t="s">
        <v>49</v>
      </c>
      <c r="X671" s="8" t="s">
        <v>49</v>
      </c>
      <c r="Y671" s="8" t="s">
        <v>49</v>
      </c>
      <c r="Z671" s="8" t="s">
        <v>49</v>
      </c>
      <c r="AA671" s="8" t="s">
        <v>231</v>
      </c>
      <c r="AB671" s="8" t="s">
        <v>60</v>
      </c>
      <c r="AC671" s="8" t="s">
        <v>348</v>
      </c>
      <c r="AD671" s="8" t="s">
        <v>3559</v>
      </c>
      <c r="AE671" s="8" t="s">
        <v>3560</v>
      </c>
      <c r="AF671" s="8" t="s">
        <v>3546</v>
      </c>
      <c r="AG671" s="8" t="s">
        <v>63</v>
      </c>
      <c r="AH671" s="8" t="s">
        <v>55</v>
      </c>
      <c r="AI671" s="8" t="s">
        <v>112</v>
      </c>
      <c r="AJ671" s="8" t="s">
        <v>49</v>
      </c>
      <c r="AK671" s="8" t="s">
        <v>49</v>
      </c>
      <c r="AL671" s="8" t="s">
        <v>720</v>
      </c>
      <c r="AM671" s="8" t="s">
        <v>3561</v>
      </c>
      <c r="AN671" s="9" t="s">
        <v>3562</v>
      </c>
      <c r="AO671" s="9" t="s">
        <v>3563</v>
      </c>
      <c r="AP671" s="10" t="s">
        <v>3564</v>
      </c>
      <c r="AQ671" s="11"/>
      <c r="AR671" s="10" t="s">
        <v>3565</v>
      </c>
      <c r="AS671" s="12"/>
      <c r="AT671" s="10" t="s">
        <v>3566</v>
      </c>
      <c r="AU671" s="11"/>
      <c r="AV671" s="13"/>
    </row>
    <row r="672" ht="16.5" hidden="1" customHeight="1">
      <c r="A672" s="7" t="s">
        <v>3567</v>
      </c>
      <c r="B672" s="7" t="s">
        <v>49</v>
      </c>
      <c r="C672" s="7" t="s">
        <v>213</v>
      </c>
      <c r="D672" s="14" t="s">
        <v>344</v>
      </c>
      <c r="E672" s="7" t="s">
        <v>227</v>
      </c>
      <c r="F672" s="7">
        <v>7124.0</v>
      </c>
      <c r="G672" s="7">
        <v>7124.0</v>
      </c>
      <c r="H672" s="7" t="s">
        <v>53</v>
      </c>
      <c r="I672" s="7"/>
      <c r="J672" s="7"/>
      <c r="K672" s="8" t="s">
        <v>54</v>
      </c>
      <c r="L672" s="8" t="s">
        <v>55</v>
      </c>
      <c r="M672" s="12" t="s">
        <v>55</v>
      </c>
      <c r="N672" s="8" t="s">
        <v>55</v>
      </c>
      <c r="O672" s="8" t="s">
        <v>228</v>
      </c>
      <c r="P672" s="8" t="s">
        <v>229</v>
      </c>
      <c r="Q672" s="8" t="s">
        <v>240</v>
      </c>
      <c r="R672" s="8" t="s">
        <v>49</v>
      </c>
      <c r="S672" s="8" t="s">
        <v>49</v>
      </c>
      <c r="T672" s="8" t="s">
        <v>49</v>
      </c>
      <c r="U672" s="8" t="s">
        <v>49</v>
      </c>
      <c r="V672" s="8" t="s">
        <v>49</v>
      </c>
      <c r="W672" s="8" t="s">
        <v>49</v>
      </c>
      <c r="X672" s="8" t="s">
        <v>55</v>
      </c>
      <c r="Y672" s="8" t="s">
        <v>55</v>
      </c>
      <c r="Z672" s="8" t="s">
        <v>55</v>
      </c>
      <c r="AA672" s="8" t="s">
        <v>231</v>
      </c>
      <c r="AB672" s="8" t="s">
        <v>60</v>
      </c>
      <c r="AC672" s="8" t="s">
        <v>348</v>
      </c>
      <c r="AD672" s="8" t="s">
        <v>3559</v>
      </c>
      <c r="AE672" s="8" t="s">
        <v>3560</v>
      </c>
      <c r="AF672" s="8" t="s">
        <v>3554</v>
      </c>
      <c r="AG672" s="8" t="s">
        <v>63</v>
      </c>
      <c r="AH672" s="8" t="s">
        <v>55</v>
      </c>
      <c r="AI672" s="8" t="s">
        <v>112</v>
      </c>
      <c r="AJ672" s="8" t="s">
        <v>49</v>
      </c>
      <c r="AK672" s="8" t="s">
        <v>55</v>
      </c>
      <c r="AL672" s="8" t="s">
        <v>720</v>
      </c>
      <c r="AM672" s="8" t="s">
        <v>3561</v>
      </c>
      <c r="AN672" s="9" t="s">
        <v>3562</v>
      </c>
      <c r="AO672" s="9" t="s">
        <v>3563</v>
      </c>
      <c r="AP672" s="10" t="s">
        <v>3564</v>
      </c>
      <c r="AQ672" s="11"/>
      <c r="AR672" s="10" t="s">
        <v>3565</v>
      </c>
      <c r="AS672" s="12"/>
      <c r="AT672" s="10" t="s">
        <v>3566</v>
      </c>
      <c r="AU672" s="11"/>
      <c r="AV672" s="15">
        <v>46341.0</v>
      </c>
    </row>
    <row r="673" ht="16.5" hidden="1" customHeight="1">
      <c r="A673" s="7" t="s">
        <v>3568</v>
      </c>
      <c r="B673" s="14" t="s">
        <v>49</v>
      </c>
      <c r="C673" s="14" t="s">
        <v>213</v>
      </c>
      <c r="D673" s="14" t="s">
        <v>344</v>
      </c>
      <c r="E673" s="7"/>
      <c r="F673" s="7">
        <v>7125.0</v>
      </c>
      <c r="G673" s="7">
        <v>7124.0</v>
      </c>
      <c r="H673" s="7" t="s">
        <v>53</v>
      </c>
      <c r="I673" s="7"/>
      <c r="J673" s="7"/>
      <c r="K673" s="8" t="s">
        <v>54</v>
      </c>
      <c r="L673" s="8" t="s">
        <v>55</v>
      </c>
      <c r="M673" s="12" t="s">
        <v>55</v>
      </c>
      <c r="N673" s="8" t="s">
        <v>55</v>
      </c>
      <c r="O673" s="8" t="s">
        <v>228</v>
      </c>
      <c r="P673" s="8" t="s">
        <v>229</v>
      </c>
      <c r="Q673" s="8" t="s">
        <v>240</v>
      </c>
      <c r="R673" s="8" t="s">
        <v>49</v>
      </c>
      <c r="S673" s="8" t="s">
        <v>49</v>
      </c>
      <c r="T673" s="8" t="s">
        <v>49</v>
      </c>
      <c r="U673" s="8" t="s">
        <v>49</v>
      </c>
      <c r="V673" s="8" t="s">
        <v>49</v>
      </c>
      <c r="W673" s="8" t="s">
        <v>49</v>
      </c>
      <c r="X673" s="8" t="s">
        <v>55</v>
      </c>
      <c r="Y673" s="8" t="s">
        <v>55</v>
      </c>
      <c r="Z673" s="8" t="s">
        <v>55</v>
      </c>
      <c r="AA673" s="8" t="s">
        <v>231</v>
      </c>
      <c r="AB673" s="8" t="s">
        <v>60</v>
      </c>
      <c r="AC673" s="8" t="s">
        <v>348</v>
      </c>
      <c r="AD673" s="8" t="s">
        <v>3559</v>
      </c>
      <c r="AE673" s="8" t="s">
        <v>3560</v>
      </c>
      <c r="AF673" s="8" t="s">
        <v>3554</v>
      </c>
      <c r="AG673" s="8" t="s">
        <v>63</v>
      </c>
      <c r="AH673" s="8" t="s">
        <v>55</v>
      </c>
      <c r="AI673" s="8" t="s">
        <v>94</v>
      </c>
      <c r="AJ673" s="8" t="s">
        <v>49</v>
      </c>
      <c r="AK673" s="8" t="s">
        <v>55</v>
      </c>
      <c r="AL673" s="8" t="s">
        <v>720</v>
      </c>
      <c r="AM673" s="8"/>
      <c r="AN673" s="9" t="s">
        <v>3569</v>
      </c>
      <c r="AO673" s="9" t="s">
        <v>3570</v>
      </c>
      <c r="AP673" s="10" t="s">
        <v>3564</v>
      </c>
      <c r="AQ673" s="11"/>
      <c r="AR673" s="10" t="s">
        <v>3565</v>
      </c>
      <c r="AS673" s="12"/>
      <c r="AT673" s="10" t="s">
        <v>3566</v>
      </c>
      <c r="AU673" s="11"/>
      <c r="AV673" s="13"/>
    </row>
    <row r="674" ht="16.5" hidden="1" customHeight="1">
      <c r="A674" s="7" t="s">
        <v>3571</v>
      </c>
      <c r="B674" s="7" t="s">
        <v>49</v>
      </c>
      <c r="C674" s="7" t="s">
        <v>213</v>
      </c>
      <c r="D674" s="7" t="s">
        <v>376</v>
      </c>
      <c r="E674" s="7" t="s">
        <v>227</v>
      </c>
      <c r="F674" s="7">
        <v>7126.0</v>
      </c>
      <c r="G674" s="7"/>
      <c r="H674" s="7" t="s">
        <v>53</v>
      </c>
      <c r="I674" s="7"/>
      <c r="J674" s="7"/>
      <c r="K674" s="8" t="s">
        <v>54</v>
      </c>
      <c r="L674" s="8" t="s">
        <v>55</v>
      </c>
      <c r="M674" s="8"/>
      <c r="N674" s="8" t="s">
        <v>55</v>
      </c>
      <c r="O674" s="8" t="s">
        <v>228</v>
      </c>
      <c r="P674" s="8" t="s">
        <v>229</v>
      </c>
      <c r="Q674" s="8" t="s">
        <v>230</v>
      </c>
      <c r="R674" s="8" t="s">
        <v>49</v>
      </c>
      <c r="S674" s="8" t="s">
        <v>49</v>
      </c>
      <c r="T674" s="8" t="s">
        <v>49</v>
      </c>
      <c r="U674" s="8" t="s">
        <v>49</v>
      </c>
      <c r="V674" s="8" t="s">
        <v>49</v>
      </c>
      <c r="W674" s="8" t="s">
        <v>49</v>
      </c>
      <c r="X674" s="8" t="s">
        <v>49</v>
      </c>
      <c r="Y674" s="8" t="s">
        <v>49</v>
      </c>
      <c r="Z674" s="8" t="s">
        <v>49</v>
      </c>
      <c r="AA674" s="8" t="s">
        <v>231</v>
      </c>
      <c r="AB674" s="8" t="s">
        <v>60</v>
      </c>
      <c r="AC674" s="8" t="s">
        <v>348</v>
      </c>
      <c r="AD674" s="8" t="s">
        <v>3572</v>
      </c>
      <c r="AE674" s="8" t="s">
        <v>3573</v>
      </c>
      <c r="AF674" s="8" t="s">
        <v>497</v>
      </c>
      <c r="AG674" s="8" t="s">
        <v>63</v>
      </c>
      <c r="AH674" s="8" t="s">
        <v>55</v>
      </c>
      <c r="AI674" s="8" t="s">
        <v>112</v>
      </c>
      <c r="AJ674" s="8" t="s">
        <v>49</v>
      </c>
      <c r="AK674" s="8" t="s">
        <v>49</v>
      </c>
      <c r="AL674" s="8" t="s">
        <v>720</v>
      </c>
      <c r="AM674" s="8" t="s">
        <v>3574</v>
      </c>
      <c r="AN674" s="9" t="s">
        <v>3575</v>
      </c>
      <c r="AO674" s="9" t="s">
        <v>3576</v>
      </c>
      <c r="AP674" s="10" t="s">
        <v>3577</v>
      </c>
      <c r="AQ674" s="11"/>
      <c r="AR674" s="10" t="s">
        <v>3578</v>
      </c>
      <c r="AS674" s="12"/>
      <c r="AT674" s="10" t="s">
        <v>3579</v>
      </c>
      <c r="AU674" s="11"/>
      <c r="AV674" s="13"/>
    </row>
    <row r="675" ht="16.5" hidden="1" customHeight="1">
      <c r="A675" s="7" t="s">
        <v>3580</v>
      </c>
      <c r="B675" s="7" t="s">
        <v>49</v>
      </c>
      <c r="C675" s="7" t="s">
        <v>213</v>
      </c>
      <c r="D675" s="14" t="s">
        <v>344</v>
      </c>
      <c r="E675" s="7" t="s">
        <v>227</v>
      </c>
      <c r="F675" s="7">
        <v>7126.0</v>
      </c>
      <c r="G675" s="7">
        <v>7126.0</v>
      </c>
      <c r="H675" s="7" t="s">
        <v>53</v>
      </c>
      <c r="I675" s="7"/>
      <c r="J675" s="7"/>
      <c r="K675" s="8" t="s">
        <v>54</v>
      </c>
      <c r="L675" s="8" t="s">
        <v>55</v>
      </c>
      <c r="M675" s="12" t="s">
        <v>55</v>
      </c>
      <c r="N675" s="8" t="s">
        <v>55</v>
      </c>
      <c r="O675" s="8" t="s">
        <v>228</v>
      </c>
      <c r="P675" s="8" t="s">
        <v>229</v>
      </c>
      <c r="Q675" s="8" t="s">
        <v>240</v>
      </c>
      <c r="R675" s="8" t="s">
        <v>49</v>
      </c>
      <c r="S675" s="8" t="s">
        <v>49</v>
      </c>
      <c r="T675" s="8" t="s">
        <v>49</v>
      </c>
      <c r="U675" s="8" t="s">
        <v>49</v>
      </c>
      <c r="V675" s="8" t="s">
        <v>49</v>
      </c>
      <c r="W675" s="8" t="s">
        <v>49</v>
      </c>
      <c r="X675" s="8" t="s">
        <v>55</v>
      </c>
      <c r="Y675" s="8" t="s">
        <v>55</v>
      </c>
      <c r="Z675" s="8" t="s">
        <v>55</v>
      </c>
      <c r="AA675" s="8" t="s">
        <v>231</v>
      </c>
      <c r="AB675" s="8" t="s">
        <v>60</v>
      </c>
      <c r="AC675" s="8" t="s">
        <v>348</v>
      </c>
      <c r="AD675" s="12" t="s">
        <v>3572</v>
      </c>
      <c r="AE675" s="8" t="s">
        <v>3573</v>
      </c>
      <c r="AF675" s="8" t="s">
        <v>504</v>
      </c>
      <c r="AG675" s="8" t="s">
        <v>63</v>
      </c>
      <c r="AH675" s="8" t="s">
        <v>55</v>
      </c>
      <c r="AI675" s="8" t="s">
        <v>112</v>
      </c>
      <c r="AJ675" s="8" t="s">
        <v>49</v>
      </c>
      <c r="AK675" s="8" t="s">
        <v>55</v>
      </c>
      <c r="AL675" s="8" t="s">
        <v>720</v>
      </c>
      <c r="AM675" s="8" t="s">
        <v>3574</v>
      </c>
      <c r="AN675" s="9" t="s">
        <v>3575</v>
      </c>
      <c r="AO675" s="9" t="s">
        <v>3576</v>
      </c>
      <c r="AP675" s="10" t="s">
        <v>3577</v>
      </c>
      <c r="AQ675" s="11"/>
      <c r="AR675" s="10" t="s">
        <v>3578</v>
      </c>
      <c r="AS675" s="12"/>
      <c r="AT675" s="10" t="s">
        <v>3579</v>
      </c>
      <c r="AU675" s="11"/>
      <c r="AV675" s="15">
        <v>46315.0</v>
      </c>
    </row>
    <row r="676" ht="16.5" hidden="1" customHeight="1">
      <c r="A676" s="7" t="s">
        <v>3581</v>
      </c>
      <c r="B676" s="14" t="s">
        <v>49</v>
      </c>
      <c r="C676" s="14" t="s">
        <v>213</v>
      </c>
      <c r="D676" s="14" t="s">
        <v>344</v>
      </c>
      <c r="E676" s="7"/>
      <c r="F676" s="7">
        <v>7127.0</v>
      </c>
      <c r="G676" s="7">
        <v>7126.0</v>
      </c>
      <c r="H676" s="7" t="s">
        <v>53</v>
      </c>
      <c r="I676" s="7"/>
      <c r="J676" s="7"/>
      <c r="K676" s="8" t="s">
        <v>54</v>
      </c>
      <c r="L676" s="8" t="s">
        <v>55</v>
      </c>
      <c r="M676" s="12" t="s">
        <v>55</v>
      </c>
      <c r="N676" s="8" t="s">
        <v>55</v>
      </c>
      <c r="O676" s="8" t="s">
        <v>228</v>
      </c>
      <c r="P676" s="8" t="s">
        <v>229</v>
      </c>
      <c r="Q676" s="8" t="s">
        <v>240</v>
      </c>
      <c r="R676" s="8" t="s">
        <v>49</v>
      </c>
      <c r="S676" s="8" t="s">
        <v>49</v>
      </c>
      <c r="T676" s="8" t="s">
        <v>49</v>
      </c>
      <c r="U676" s="8" t="s">
        <v>49</v>
      </c>
      <c r="V676" s="8" t="s">
        <v>49</v>
      </c>
      <c r="W676" s="8" t="s">
        <v>49</v>
      </c>
      <c r="X676" s="8" t="s">
        <v>55</v>
      </c>
      <c r="Y676" s="8" t="s">
        <v>55</v>
      </c>
      <c r="Z676" s="8" t="s">
        <v>55</v>
      </c>
      <c r="AA676" s="8" t="s">
        <v>231</v>
      </c>
      <c r="AB676" s="8" t="s">
        <v>60</v>
      </c>
      <c r="AC676" s="8" t="s">
        <v>348</v>
      </c>
      <c r="AD676" s="12" t="s">
        <v>3572</v>
      </c>
      <c r="AE676" s="8" t="s">
        <v>3573</v>
      </c>
      <c r="AF676" s="8" t="s">
        <v>504</v>
      </c>
      <c r="AG676" s="8" t="s">
        <v>63</v>
      </c>
      <c r="AH676" s="8" t="s">
        <v>55</v>
      </c>
      <c r="AI676" s="8" t="s">
        <v>94</v>
      </c>
      <c r="AJ676" s="8" t="s">
        <v>49</v>
      </c>
      <c r="AK676" s="8" t="s">
        <v>55</v>
      </c>
      <c r="AL676" s="8" t="s">
        <v>720</v>
      </c>
      <c r="AM676" s="8"/>
      <c r="AN676" s="9" t="s">
        <v>3582</v>
      </c>
      <c r="AO676" s="9" t="s">
        <v>3583</v>
      </c>
      <c r="AP676" s="10" t="s">
        <v>3577</v>
      </c>
      <c r="AQ676" s="11"/>
      <c r="AR676" s="10" t="s">
        <v>3578</v>
      </c>
      <c r="AS676" s="12"/>
      <c r="AT676" s="10" t="s">
        <v>3579</v>
      </c>
      <c r="AU676" s="11"/>
      <c r="AV676" s="13"/>
    </row>
    <row r="677" ht="16.5" hidden="1" customHeight="1">
      <c r="A677" s="7" t="s">
        <v>3584</v>
      </c>
      <c r="B677" s="14" t="s">
        <v>49</v>
      </c>
      <c r="C677" s="14" t="s">
        <v>213</v>
      </c>
      <c r="D677" s="14" t="s">
        <v>344</v>
      </c>
      <c r="E677" s="7"/>
      <c r="F677" s="7">
        <v>7128.0</v>
      </c>
      <c r="G677" s="7">
        <v>6677.0</v>
      </c>
      <c r="H677" s="7" t="s">
        <v>53</v>
      </c>
      <c r="I677" s="7"/>
      <c r="J677" s="7"/>
      <c r="K677" s="8" t="s">
        <v>1534</v>
      </c>
      <c r="L677" s="8" t="s">
        <v>126</v>
      </c>
      <c r="M677" s="12" t="s">
        <v>1549</v>
      </c>
      <c r="N677" s="8" t="s">
        <v>85</v>
      </c>
      <c r="O677" s="8" t="s">
        <v>217</v>
      </c>
      <c r="P677" s="8" t="s">
        <v>57</v>
      </c>
      <c r="Q677" s="8" t="s">
        <v>86</v>
      </c>
      <c r="R677" s="8">
        <v>0.5</v>
      </c>
      <c r="S677" s="8" t="s">
        <v>49</v>
      </c>
      <c r="T677" s="8" t="s">
        <v>49</v>
      </c>
      <c r="U677" s="8" t="s">
        <v>1535</v>
      </c>
      <c r="V677" s="8" t="s">
        <v>1493</v>
      </c>
      <c r="W677" s="8" t="s">
        <v>89</v>
      </c>
      <c r="X677" s="8" t="s">
        <v>108</v>
      </c>
      <c r="Y677" s="8" t="s">
        <v>1537</v>
      </c>
      <c r="Z677" s="8" t="s">
        <v>130</v>
      </c>
      <c r="AA677" s="8" t="s">
        <v>231</v>
      </c>
      <c r="AB677" s="8" t="s">
        <v>60</v>
      </c>
      <c r="AC677" s="8" t="s">
        <v>348</v>
      </c>
      <c r="AD677" s="8" t="s">
        <v>1538</v>
      </c>
      <c r="AE677" s="8" t="s">
        <v>1539</v>
      </c>
      <c r="AF677" s="8" t="s">
        <v>383</v>
      </c>
      <c r="AG677" s="8" t="s">
        <v>63</v>
      </c>
      <c r="AH677" s="8" t="s">
        <v>145</v>
      </c>
      <c r="AI677" s="8" t="s">
        <v>65</v>
      </c>
      <c r="AJ677" s="8" t="s">
        <v>49</v>
      </c>
      <c r="AK677" s="8" t="s">
        <v>95</v>
      </c>
      <c r="AL677" s="8" t="s">
        <v>66</v>
      </c>
      <c r="AM677" s="8"/>
      <c r="AN677" s="16" t="s">
        <v>3585</v>
      </c>
      <c r="AO677" s="9" t="s">
        <v>3586</v>
      </c>
      <c r="AP677" s="17" t="s">
        <v>1550</v>
      </c>
      <c r="AQ677" s="10" t="s">
        <v>1544</v>
      </c>
      <c r="AR677" s="10" t="s">
        <v>3587</v>
      </c>
      <c r="AS677" s="12"/>
      <c r="AT677" s="10" t="s">
        <v>1546</v>
      </c>
      <c r="AU677" s="10" t="s">
        <v>1547</v>
      </c>
      <c r="AV677" s="15">
        <v>46315.0</v>
      </c>
    </row>
    <row r="678" ht="16.5" hidden="1" customHeight="1">
      <c r="A678" s="7" t="s">
        <v>3588</v>
      </c>
      <c r="B678" s="7" t="s">
        <v>49</v>
      </c>
      <c r="C678" s="7" t="s">
        <v>332</v>
      </c>
      <c r="D678" s="7" t="s">
        <v>51</v>
      </c>
      <c r="E678" s="7" t="s">
        <v>52</v>
      </c>
      <c r="F678" s="7">
        <v>7133.0</v>
      </c>
      <c r="G678" s="7"/>
      <c r="H678" s="7"/>
      <c r="I678" s="7"/>
      <c r="J678" s="7"/>
      <c r="K678" s="8" t="s">
        <v>84</v>
      </c>
      <c r="L678" s="8" t="s">
        <v>126</v>
      </c>
      <c r="M678" s="8"/>
      <c r="N678" s="8" t="s">
        <v>85</v>
      </c>
      <c r="O678" s="8" t="s">
        <v>56</v>
      </c>
      <c r="P678" s="8" t="s">
        <v>57</v>
      </c>
      <c r="Q678" s="8" t="s">
        <v>3403</v>
      </c>
      <c r="R678" s="8">
        <v>0.5</v>
      </c>
      <c r="S678" s="8" t="s">
        <v>49</v>
      </c>
      <c r="T678" s="8" t="s">
        <v>49</v>
      </c>
      <c r="U678" s="8" t="s">
        <v>442</v>
      </c>
      <c r="V678" s="8" t="s">
        <v>3454</v>
      </c>
      <c r="W678" s="8" t="s">
        <v>89</v>
      </c>
      <c r="X678" s="8" t="s">
        <v>108</v>
      </c>
      <c r="Y678" s="8" t="s">
        <v>3589</v>
      </c>
      <c r="Z678" s="8" t="s">
        <v>1852</v>
      </c>
      <c r="AA678" s="8" t="s">
        <v>59</v>
      </c>
      <c r="AB678" s="8" t="s">
        <v>60</v>
      </c>
      <c r="AC678" s="8" t="s">
        <v>1303</v>
      </c>
      <c r="AD678" s="8" t="s">
        <v>1925</v>
      </c>
      <c r="AE678" s="8" t="s">
        <v>55</v>
      </c>
      <c r="AF678" s="8" t="s">
        <v>55</v>
      </c>
      <c r="AG678" s="8" t="s">
        <v>63</v>
      </c>
      <c r="AH678" s="8" t="s">
        <v>64</v>
      </c>
      <c r="AI678" s="8" t="s">
        <v>94</v>
      </c>
      <c r="AJ678" s="8" t="s">
        <v>49</v>
      </c>
      <c r="AK678" s="8" t="s">
        <v>49</v>
      </c>
      <c r="AL678" s="8" t="s">
        <v>66</v>
      </c>
      <c r="AM678" s="8"/>
      <c r="AN678" s="9" t="s">
        <v>3590</v>
      </c>
      <c r="AO678" s="9" t="s">
        <v>3591</v>
      </c>
      <c r="AP678" s="10" t="s">
        <v>1929</v>
      </c>
      <c r="AQ678" s="10" t="s">
        <v>3592</v>
      </c>
      <c r="AR678" s="10" t="s">
        <v>3593</v>
      </c>
      <c r="AS678" s="12"/>
      <c r="AT678" s="10" t="s">
        <v>3594</v>
      </c>
      <c r="AU678" s="10" t="s">
        <v>3595</v>
      </c>
      <c r="AV678" s="13"/>
    </row>
    <row r="679" ht="16.5" hidden="1" customHeight="1">
      <c r="A679" s="7" t="s">
        <v>3596</v>
      </c>
      <c r="B679" s="14" t="s">
        <v>49</v>
      </c>
      <c r="C679" s="14" t="s">
        <v>332</v>
      </c>
      <c r="D679" s="14" t="s">
        <v>51</v>
      </c>
      <c r="E679" s="7"/>
      <c r="F679" s="7">
        <v>7133.0</v>
      </c>
      <c r="G679" s="7">
        <v>7133.0</v>
      </c>
      <c r="H679" s="7" t="s">
        <v>53</v>
      </c>
      <c r="I679" s="7"/>
      <c r="J679" s="7"/>
      <c r="K679" s="8" t="s">
        <v>84</v>
      </c>
      <c r="L679" s="8" t="s">
        <v>126</v>
      </c>
      <c r="M679" s="8"/>
      <c r="N679" s="8" t="s">
        <v>85</v>
      </c>
      <c r="O679" s="8" t="s">
        <v>56</v>
      </c>
      <c r="P679" s="8" t="s">
        <v>57</v>
      </c>
      <c r="Q679" s="8" t="s">
        <v>3403</v>
      </c>
      <c r="R679" s="8">
        <v>0.5</v>
      </c>
      <c r="S679" s="8" t="s">
        <v>49</v>
      </c>
      <c r="T679" s="8" t="s">
        <v>49</v>
      </c>
      <c r="U679" s="8" t="s">
        <v>442</v>
      </c>
      <c r="V679" s="8" t="s">
        <v>3454</v>
      </c>
      <c r="W679" s="8" t="s">
        <v>89</v>
      </c>
      <c r="X679" s="8" t="s">
        <v>108</v>
      </c>
      <c r="Y679" s="8" t="s">
        <v>3589</v>
      </c>
      <c r="Z679" s="8" t="s">
        <v>1852</v>
      </c>
      <c r="AA679" s="8" t="s">
        <v>59</v>
      </c>
      <c r="AB679" s="8" t="s">
        <v>60</v>
      </c>
      <c r="AC679" s="8" t="s">
        <v>1303</v>
      </c>
      <c r="AD679" s="8" t="s">
        <v>1925</v>
      </c>
      <c r="AE679" s="8" t="s">
        <v>55</v>
      </c>
      <c r="AF679" s="8" t="s">
        <v>55</v>
      </c>
      <c r="AG679" s="8" t="s">
        <v>63</v>
      </c>
      <c r="AH679" s="8" t="s">
        <v>64</v>
      </c>
      <c r="AI679" s="8" t="s">
        <v>94</v>
      </c>
      <c r="AJ679" s="8" t="s">
        <v>49</v>
      </c>
      <c r="AK679" s="8" t="s">
        <v>95</v>
      </c>
      <c r="AL679" s="8" t="s">
        <v>66</v>
      </c>
      <c r="AM679" s="8"/>
      <c r="AN679" s="9" t="s">
        <v>3590</v>
      </c>
      <c r="AO679" s="9" t="s">
        <v>3591</v>
      </c>
      <c r="AP679" s="10" t="s">
        <v>1929</v>
      </c>
      <c r="AQ679" s="10" t="s">
        <v>3592</v>
      </c>
      <c r="AR679" s="10" t="s">
        <v>3593</v>
      </c>
      <c r="AS679" s="12"/>
      <c r="AT679" s="10" t="s">
        <v>3594</v>
      </c>
      <c r="AU679" s="10" t="s">
        <v>3595</v>
      </c>
      <c r="AV679" s="15">
        <v>46315.0</v>
      </c>
    </row>
    <row r="680" ht="16.5" hidden="1" customHeight="1">
      <c r="A680" s="7" t="s">
        <v>3597</v>
      </c>
      <c r="B680" s="14" t="s">
        <v>49</v>
      </c>
      <c r="C680" s="14" t="s">
        <v>332</v>
      </c>
      <c r="D680" s="14" t="s">
        <v>51</v>
      </c>
      <c r="E680" s="7"/>
      <c r="F680" s="7">
        <v>7134.0</v>
      </c>
      <c r="G680" s="7">
        <v>7133.0</v>
      </c>
      <c r="H680" s="7" t="s">
        <v>53</v>
      </c>
      <c r="I680" s="7"/>
      <c r="J680" s="7"/>
      <c r="K680" s="8" t="s">
        <v>84</v>
      </c>
      <c r="L680" s="8" t="s">
        <v>126</v>
      </c>
      <c r="M680" s="12" t="s">
        <v>55</v>
      </c>
      <c r="N680" s="8" t="s">
        <v>85</v>
      </c>
      <c r="O680" s="8" t="s">
        <v>1845</v>
      </c>
      <c r="P680" s="8" t="s">
        <v>55</v>
      </c>
      <c r="Q680" s="8" t="s">
        <v>3403</v>
      </c>
      <c r="R680" s="8" t="s">
        <v>49</v>
      </c>
      <c r="S680" s="8" t="s">
        <v>49</v>
      </c>
      <c r="T680" s="8" t="s">
        <v>49</v>
      </c>
      <c r="U680" s="8" t="s">
        <v>442</v>
      </c>
      <c r="V680" s="8" t="s">
        <v>3454</v>
      </c>
      <c r="W680" s="8" t="s">
        <v>89</v>
      </c>
      <c r="X680" s="8" t="s">
        <v>108</v>
      </c>
      <c r="Y680" s="8" t="s">
        <v>3589</v>
      </c>
      <c r="Z680" s="8" t="s">
        <v>1852</v>
      </c>
      <c r="AA680" s="8" t="s">
        <v>59</v>
      </c>
      <c r="AB680" s="8" t="s">
        <v>1846</v>
      </c>
      <c r="AC680" s="8" t="s">
        <v>1303</v>
      </c>
      <c r="AD680" s="8" t="s">
        <v>1925</v>
      </c>
      <c r="AE680" s="8" t="s">
        <v>55</v>
      </c>
      <c r="AF680" s="8" t="s">
        <v>55</v>
      </c>
      <c r="AG680" s="8" t="s">
        <v>63</v>
      </c>
      <c r="AH680" s="8" t="s">
        <v>64</v>
      </c>
      <c r="AI680" s="8" t="s">
        <v>94</v>
      </c>
      <c r="AJ680" s="8" t="s">
        <v>49</v>
      </c>
      <c r="AK680" s="8" t="s">
        <v>95</v>
      </c>
      <c r="AL680" s="8" t="s">
        <v>66</v>
      </c>
      <c r="AM680" s="8"/>
      <c r="AN680" s="9" t="s">
        <v>3590</v>
      </c>
      <c r="AO680" s="9" t="s">
        <v>3591</v>
      </c>
      <c r="AP680" s="10" t="s">
        <v>1929</v>
      </c>
      <c r="AQ680" s="10" t="s">
        <v>3592</v>
      </c>
      <c r="AR680" s="10" t="s">
        <v>3598</v>
      </c>
      <c r="AS680" s="12"/>
      <c r="AT680" s="10" t="s">
        <v>3599</v>
      </c>
      <c r="AU680" s="10" t="s">
        <v>3595</v>
      </c>
      <c r="AV680" s="15">
        <v>46315.0</v>
      </c>
    </row>
    <row r="681" ht="16.5" hidden="1" customHeight="1">
      <c r="A681" s="7" t="s">
        <v>3600</v>
      </c>
      <c r="B681" s="14" t="s">
        <v>49</v>
      </c>
      <c r="C681" s="14" t="s">
        <v>919</v>
      </c>
      <c r="D681" s="14" t="s">
        <v>920</v>
      </c>
      <c r="E681" s="7"/>
      <c r="F681" s="7">
        <v>7171.0</v>
      </c>
      <c r="G681" s="7">
        <v>6722.0</v>
      </c>
      <c r="H681" s="7" t="s">
        <v>53</v>
      </c>
      <c r="I681" s="7"/>
      <c r="J681" s="7"/>
      <c r="K681" s="8" t="s">
        <v>55</v>
      </c>
      <c r="L681" s="8" t="s">
        <v>55</v>
      </c>
      <c r="M681" s="12" t="s">
        <v>55</v>
      </c>
      <c r="N681" s="8" t="s">
        <v>55</v>
      </c>
      <c r="O681" s="8" t="s">
        <v>228</v>
      </c>
      <c r="P681" s="8" t="s">
        <v>229</v>
      </c>
      <c r="Q681" s="8" t="s">
        <v>49</v>
      </c>
      <c r="R681" s="8" t="s">
        <v>49</v>
      </c>
      <c r="S681" s="8" t="s">
        <v>49</v>
      </c>
      <c r="T681" s="8" t="s">
        <v>49</v>
      </c>
      <c r="U681" s="8" t="s">
        <v>49</v>
      </c>
      <c r="V681" s="8" t="s">
        <v>49</v>
      </c>
      <c r="W681" s="8" t="s">
        <v>49</v>
      </c>
      <c r="X681" s="8" t="s">
        <v>55</v>
      </c>
      <c r="Y681" s="8" t="s">
        <v>55</v>
      </c>
      <c r="Z681" s="8" t="s">
        <v>55</v>
      </c>
      <c r="AA681" s="8" t="s">
        <v>231</v>
      </c>
      <c r="AB681" s="8" t="s">
        <v>60</v>
      </c>
      <c r="AC681" s="8" t="s">
        <v>55</v>
      </c>
      <c r="AD681" s="8" t="s">
        <v>3601</v>
      </c>
      <c r="AE681" s="8" t="s">
        <v>55</v>
      </c>
      <c r="AF681" s="8" t="s">
        <v>55</v>
      </c>
      <c r="AG681" s="8" t="s">
        <v>145</v>
      </c>
      <c r="AH681" s="8" t="s">
        <v>55</v>
      </c>
      <c r="AI681" s="8" t="s">
        <v>65</v>
      </c>
      <c r="AJ681" s="8" t="s">
        <v>49</v>
      </c>
      <c r="AK681" s="8" t="s">
        <v>55</v>
      </c>
      <c r="AL681" s="8" t="s">
        <v>720</v>
      </c>
      <c r="AM681" s="8" t="s">
        <v>3602</v>
      </c>
      <c r="AN681" s="16" t="s">
        <v>3603</v>
      </c>
      <c r="AO681" s="9" t="s">
        <v>3604</v>
      </c>
      <c r="AP681" s="17" t="s">
        <v>924</v>
      </c>
      <c r="AQ681" s="11"/>
      <c r="AR681" s="11"/>
      <c r="AS681" s="12"/>
      <c r="AT681" s="11"/>
      <c r="AU681" s="11"/>
      <c r="AV681" s="15">
        <v>46315.0</v>
      </c>
    </row>
    <row r="682" ht="16.5" hidden="1" customHeight="1">
      <c r="A682" s="7" t="s">
        <v>3605</v>
      </c>
      <c r="B682" s="14" t="s">
        <v>49</v>
      </c>
      <c r="C682" s="14" t="s">
        <v>919</v>
      </c>
      <c r="D682" s="14" t="s">
        <v>920</v>
      </c>
      <c r="E682" s="7"/>
      <c r="F682" s="7">
        <v>7172.0</v>
      </c>
      <c r="G682" s="7">
        <v>6722.0</v>
      </c>
      <c r="H682" s="7" t="s">
        <v>53</v>
      </c>
      <c r="I682" s="7"/>
      <c r="J682" s="7"/>
      <c r="K682" s="8" t="s">
        <v>55</v>
      </c>
      <c r="L682" s="8" t="s">
        <v>55</v>
      </c>
      <c r="M682" s="12" t="s">
        <v>55</v>
      </c>
      <c r="N682" s="8" t="s">
        <v>55</v>
      </c>
      <c r="O682" s="8" t="s">
        <v>228</v>
      </c>
      <c r="P682" s="8" t="s">
        <v>229</v>
      </c>
      <c r="Q682" s="8" t="s">
        <v>49</v>
      </c>
      <c r="R682" s="8" t="s">
        <v>49</v>
      </c>
      <c r="S682" s="8" t="s">
        <v>49</v>
      </c>
      <c r="T682" s="8" t="s">
        <v>49</v>
      </c>
      <c r="U682" s="8" t="s">
        <v>49</v>
      </c>
      <c r="V682" s="8" t="s">
        <v>49</v>
      </c>
      <c r="W682" s="8" t="s">
        <v>49</v>
      </c>
      <c r="X682" s="8" t="s">
        <v>55</v>
      </c>
      <c r="Y682" s="8" t="s">
        <v>55</v>
      </c>
      <c r="Z682" s="8" t="s">
        <v>55</v>
      </c>
      <c r="AA682" s="8" t="s">
        <v>231</v>
      </c>
      <c r="AB682" s="8" t="s">
        <v>60</v>
      </c>
      <c r="AC682" s="8" t="s">
        <v>55</v>
      </c>
      <c r="AD682" s="8" t="s">
        <v>3601</v>
      </c>
      <c r="AE682" s="8" t="s">
        <v>55</v>
      </c>
      <c r="AF682" s="8" t="s">
        <v>55</v>
      </c>
      <c r="AG682" s="8" t="s">
        <v>145</v>
      </c>
      <c r="AH682" s="8" t="s">
        <v>55</v>
      </c>
      <c r="AI682" s="8" t="s">
        <v>463</v>
      </c>
      <c r="AJ682" s="8" t="s">
        <v>49</v>
      </c>
      <c r="AK682" s="8" t="s">
        <v>55</v>
      </c>
      <c r="AL682" s="8" t="s">
        <v>720</v>
      </c>
      <c r="AM682" s="8" t="s">
        <v>3602</v>
      </c>
      <c r="AN682" s="16" t="s">
        <v>3606</v>
      </c>
      <c r="AO682" s="9" t="s">
        <v>3607</v>
      </c>
      <c r="AP682" s="17" t="s">
        <v>924</v>
      </c>
      <c r="AQ682" s="11"/>
      <c r="AR682" s="11"/>
      <c r="AS682" s="12"/>
      <c r="AT682" s="11"/>
      <c r="AU682" s="11"/>
      <c r="AV682" s="15">
        <v>46315.0</v>
      </c>
    </row>
    <row r="683" ht="16.5" hidden="1" customHeight="1">
      <c r="A683" s="7" t="s">
        <v>3608</v>
      </c>
      <c r="B683" s="7" t="s">
        <v>49</v>
      </c>
      <c r="C683" s="7" t="s">
        <v>50</v>
      </c>
      <c r="D683" s="7" t="s">
        <v>51</v>
      </c>
      <c r="E683" s="7" t="s">
        <v>52</v>
      </c>
      <c r="F683" s="7">
        <v>7176.0</v>
      </c>
      <c r="G683" s="7"/>
      <c r="H683" s="7" t="s">
        <v>53</v>
      </c>
      <c r="I683" s="7"/>
      <c r="J683" s="7"/>
      <c r="K683" s="8" t="s">
        <v>84</v>
      </c>
      <c r="L683" s="8" t="s">
        <v>49</v>
      </c>
      <c r="M683" s="8"/>
      <c r="N683" s="8" t="s">
        <v>85</v>
      </c>
      <c r="O683" s="8" t="s">
        <v>56</v>
      </c>
      <c r="P683" s="8" t="s">
        <v>57</v>
      </c>
      <c r="Q683" s="8" t="s">
        <v>2088</v>
      </c>
      <c r="R683" s="8">
        <v>0.5</v>
      </c>
      <c r="S683" s="8" t="s">
        <v>49</v>
      </c>
      <c r="T683" s="8" t="s">
        <v>49</v>
      </c>
      <c r="U683" s="8" t="s">
        <v>3609</v>
      </c>
      <c r="V683" s="8" t="s">
        <v>3610</v>
      </c>
      <c r="W683" s="8" t="s">
        <v>89</v>
      </c>
      <c r="X683" s="8" t="s">
        <v>415</v>
      </c>
      <c r="Y683" s="8" t="s">
        <v>3611</v>
      </c>
      <c r="Z683" s="8" t="s">
        <v>92</v>
      </c>
      <c r="AA683" s="8" t="s">
        <v>59</v>
      </c>
      <c r="AB683" s="8" t="s">
        <v>60</v>
      </c>
      <c r="AC683" s="8" t="s">
        <v>61</v>
      </c>
      <c r="AD683" s="8" t="s">
        <v>3612</v>
      </c>
      <c r="AE683" s="8" t="s">
        <v>55</v>
      </c>
      <c r="AF683" s="8" t="s">
        <v>55</v>
      </c>
      <c r="AG683" s="8" t="s">
        <v>63</v>
      </c>
      <c r="AH683" s="8" t="s">
        <v>145</v>
      </c>
      <c r="AI683" s="8" t="s">
        <v>94</v>
      </c>
      <c r="AJ683" s="8" t="s">
        <v>49</v>
      </c>
      <c r="AK683" s="8" t="s">
        <v>95</v>
      </c>
      <c r="AL683" s="8" t="s">
        <v>66</v>
      </c>
      <c r="AM683" s="8" t="s">
        <v>3613</v>
      </c>
      <c r="AN683" s="9" t="s">
        <v>3614</v>
      </c>
      <c r="AO683" s="9" t="s">
        <v>3615</v>
      </c>
      <c r="AP683" s="10" t="s">
        <v>3616</v>
      </c>
      <c r="AQ683" s="10" t="s">
        <v>3617</v>
      </c>
      <c r="AR683" s="10" t="s">
        <v>3618</v>
      </c>
      <c r="AS683" s="12"/>
      <c r="AT683" s="10" t="s">
        <v>3619</v>
      </c>
      <c r="AU683" s="10" t="s">
        <v>3620</v>
      </c>
      <c r="AV683" s="15">
        <v>46315.0</v>
      </c>
    </row>
    <row r="684" ht="16.5" hidden="1" customHeight="1">
      <c r="A684" s="35" t="s">
        <v>3621</v>
      </c>
      <c r="B684" s="35" t="s">
        <v>3622</v>
      </c>
      <c r="C684" s="35" t="s">
        <v>213</v>
      </c>
      <c r="D684" s="35" t="s">
        <v>376</v>
      </c>
      <c r="E684" s="35" t="s">
        <v>227</v>
      </c>
      <c r="F684" s="35">
        <v>7180.0</v>
      </c>
      <c r="G684" s="35"/>
      <c r="H684" s="35" t="s">
        <v>3623</v>
      </c>
      <c r="I684" s="35"/>
      <c r="J684" s="35"/>
      <c r="K684" s="35" t="s">
        <v>3095</v>
      </c>
      <c r="L684" s="35" t="s">
        <v>126</v>
      </c>
      <c r="M684" s="35"/>
      <c r="N684" s="35" t="s">
        <v>85</v>
      </c>
      <c r="O684" s="35" t="s">
        <v>217</v>
      </c>
      <c r="P684" s="35" t="s">
        <v>57</v>
      </c>
      <c r="Q684" s="35" t="s">
        <v>334</v>
      </c>
      <c r="R684" s="35">
        <v>0.5</v>
      </c>
      <c r="S684" s="35" t="s">
        <v>49</v>
      </c>
      <c r="T684" s="35" t="s">
        <v>49</v>
      </c>
      <c r="U684" s="35" t="s">
        <v>3624</v>
      </c>
      <c r="V684" s="35" t="s">
        <v>3109</v>
      </c>
      <c r="W684" s="35" t="s">
        <v>1536</v>
      </c>
      <c r="X684" s="35" t="s">
        <v>108</v>
      </c>
      <c r="Y684" s="35" t="s">
        <v>432</v>
      </c>
      <c r="Z684" s="35" t="s">
        <v>1831</v>
      </c>
      <c r="AA684" s="35" t="s">
        <v>231</v>
      </c>
      <c r="AB684" s="35" t="s">
        <v>60</v>
      </c>
      <c r="AC684" s="35" t="s">
        <v>348</v>
      </c>
      <c r="AD684" s="35" t="s">
        <v>3625</v>
      </c>
      <c r="AE684" s="35" t="s">
        <v>3626</v>
      </c>
      <c r="AF684" s="35" t="s">
        <v>3627</v>
      </c>
      <c r="AG684" s="35" t="s">
        <v>63</v>
      </c>
      <c r="AH684" s="35" t="s">
        <v>145</v>
      </c>
      <c r="AI684" s="35" t="s">
        <v>490</v>
      </c>
      <c r="AJ684" s="35" t="s">
        <v>49</v>
      </c>
      <c r="AK684" s="35" t="s">
        <v>49</v>
      </c>
      <c r="AL684" s="35" t="s">
        <v>2431</v>
      </c>
      <c r="AM684" s="35"/>
      <c r="AN684" s="36" t="s">
        <v>3628</v>
      </c>
      <c r="AO684" s="36" t="s">
        <v>3629</v>
      </c>
      <c r="AP684" s="37" t="s">
        <v>3630</v>
      </c>
      <c r="AQ684" s="37" t="s">
        <v>3631</v>
      </c>
      <c r="AR684" s="36" t="s">
        <v>3632</v>
      </c>
      <c r="AS684" s="38"/>
      <c r="AT684" s="35"/>
      <c r="AU684" s="35"/>
      <c r="AV684" s="13"/>
    </row>
    <row r="685" ht="16.5" customHeight="1">
      <c r="A685" s="35" t="s">
        <v>3633</v>
      </c>
      <c r="B685" s="35" t="s">
        <v>3622</v>
      </c>
      <c r="C685" s="35" t="s">
        <v>213</v>
      </c>
      <c r="D685" s="38" t="s">
        <v>344</v>
      </c>
      <c r="E685" s="35" t="s">
        <v>227</v>
      </c>
      <c r="F685" s="35">
        <v>7179.0</v>
      </c>
      <c r="G685" s="35">
        <v>7180.0</v>
      </c>
      <c r="H685" s="38" t="s">
        <v>1134</v>
      </c>
      <c r="I685" s="35"/>
      <c r="J685" s="35"/>
      <c r="K685" s="35" t="s">
        <v>3095</v>
      </c>
      <c r="L685" s="35" t="s">
        <v>126</v>
      </c>
      <c r="M685" s="38" t="s">
        <v>1549</v>
      </c>
      <c r="N685" s="35" t="s">
        <v>85</v>
      </c>
      <c r="O685" s="35" t="s">
        <v>217</v>
      </c>
      <c r="P685" s="35" t="s">
        <v>57</v>
      </c>
      <c r="Q685" s="35" t="s">
        <v>334</v>
      </c>
      <c r="R685" s="35">
        <v>0.5</v>
      </c>
      <c r="S685" s="35" t="s">
        <v>49</v>
      </c>
      <c r="T685" s="35" t="s">
        <v>49</v>
      </c>
      <c r="U685" s="35" t="s">
        <v>3624</v>
      </c>
      <c r="V685" s="35" t="s">
        <v>3109</v>
      </c>
      <c r="W685" s="35" t="s">
        <v>1536</v>
      </c>
      <c r="X685" s="35" t="s">
        <v>108</v>
      </c>
      <c r="Y685" s="35" t="s">
        <v>432</v>
      </c>
      <c r="Z685" s="35" t="s">
        <v>1831</v>
      </c>
      <c r="AA685" s="35" t="s">
        <v>231</v>
      </c>
      <c r="AB685" s="35" t="s">
        <v>60</v>
      </c>
      <c r="AC685" s="35" t="s">
        <v>348</v>
      </c>
      <c r="AD685" s="35" t="s">
        <v>3625</v>
      </c>
      <c r="AE685" s="35" t="s">
        <v>3626</v>
      </c>
      <c r="AF685" s="35" t="s">
        <v>3627</v>
      </c>
      <c r="AG685" s="35" t="s">
        <v>63</v>
      </c>
      <c r="AH685" s="35" t="s">
        <v>145</v>
      </c>
      <c r="AI685" s="38" t="s">
        <v>112</v>
      </c>
      <c r="AJ685" s="35" t="s">
        <v>49</v>
      </c>
      <c r="AK685" s="35" t="s">
        <v>2625</v>
      </c>
      <c r="AL685" s="35" t="s">
        <v>2431</v>
      </c>
      <c r="AM685" s="35"/>
      <c r="AN685" s="37" t="s">
        <v>3634</v>
      </c>
      <c r="AO685" s="36" t="s">
        <v>3635</v>
      </c>
      <c r="AP685" s="37" t="s">
        <v>3630</v>
      </c>
      <c r="AQ685" s="37" t="s">
        <v>3631</v>
      </c>
      <c r="AR685" s="36" t="s">
        <v>3632</v>
      </c>
      <c r="AS685" s="38"/>
      <c r="AT685" s="35"/>
      <c r="AU685" s="35"/>
      <c r="AV685" s="13"/>
    </row>
    <row r="686" ht="16.5" customHeight="1">
      <c r="A686" s="35" t="s">
        <v>3636</v>
      </c>
      <c r="B686" s="35" t="s">
        <v>3622</v>
      </c>
      <c r="C686" s="35" t="s">
        <v>213</v>
      </c>
      <c r="D686" s="38" t="s">
        <v>344</v>
      </c>
      <c r="E686" s="35" t="s">
        <v>227</v>
      </c>
      <c r="F686" s="35">
        <v>7180.0</v>
      </c>
      <c r="G686" s="35">
        <v>7180.0</v>
      </c>
      <c r="H686" s="38" t="s">
        <v>1134</v>
      </c>
      <c r="I686" s="35"/>
      <c r="J686" s="35"/>
      <c r="K686" s="35" t="s">
        <v>3095</v>
      </c>
      <c r="L686" s="35" t="s">
        <v>126</v>
      </c>
      <c r="M686" s="38" t="s">
        <v>1549</v>
      </c>
      <c r="N686" s="35" t="s">
        <v>85</v>
      </c>
      <c r="O686" s="35" t="s">
        <v>217</v>
      </c>
      <c r="P686" s="35" t="s">
        <v>57</v>
      </c>
      <c r="Q686" s="35" t="s">
        <v>334</v>
      </c>
      <c r="R686" s="35">
        <v>0.5</v>
      </c>
      <c r="S686" s="35" t="s">
        <v>49</v>
      </c>
      <c r="T686" s="35" t="s">
        <v>49</v>
      </c>
      <c r="U686" s="35" t="s">
        <v>3624</v>
      </c>
      <c r="V686" s="35" t="s">
        <v>3109</v>
      </c>
      <c r="W686" s="35" t="s">
        <v>1536</v>
      </c>
      <c r="X686" s="35" t="s">
        <v>108</v>
      </c>
      <c r="Y686" s="35" t="s">
        <v>432</v>
      </c>
      <c r="Z686" s="35" t="s">
        <v>1831</v>
      </c>
      <c r="AA686" s="35" t="s">
        <v>231</v>
      </c>
      <c r="AB686" s="35" t="s">
        <v>60</v>
      </c>
      <c r="AC686" s="35" t="s">
        <v>348</v>
      </c>
      <c r="AD686" s="35" t="s">
        <v>3625</v>
      </c>
      <c r="AE686" s="35" t="s">
        <v>3626</v>
      </c>
      <c r="AF686" s="35" t="s">
        <v>3627</v>
      </c>
      <c r="AG686" s="35" t="s">
        <v>63</v>
      </c>
      <c r="AH686" s="35" t="s">
        <v>145</v>
      </c>
      <c r="AI686" s="35" t="s">
        <v>490</v>
      </c>
      <c r="AJ686" s="35" t="s">
        <v>49</v>
      </c>
      <c r="AK686" s="35" t="s">
        <v>2625</v>
      </c>
      <c r="AL686" s="35" t="s">
        <v>2431</v>
      </c>
      <c r="AM686" s="35"/>
      <c r="AN686" s="37" t="s">
        <v>3628</v>
      </c>
      <c r="AO686" s="36" t="s">
        <v>3629</v>
      </c>
      <c r="AP686" s="37" t="s">
        <v>3630</v>
      </c>
      <c r="AQ686" s="37" t="s">
        <v>3631</v>
      </c>
      <c r="AR686" s="36" t="s">
        <v>3632</v>
      </c>
      <c r="AS686" s="38"/>
      <c r="AT686" s="35"/>
      <c r="AU686" s="35"/>
      <c r="AV686" s="13"/>
    </row>
    <row r="687" ht="16.5" customHeight="1">
      <c r="A687" s="35" t="s">
        <v>3637</v>
      </c>
      <c r="B687" s="35" t="s">
        <v>3622</v>
      </c>
      <c r="C687" s="35" t="s">
        <v>213</v>
      </c>
      <c r="D687" s="38" t="s">
        <v>344</v>
      </c>
      <c r="E687" s="35" t="s">
        <v>227</v>
      </c>
      <c r="F687" s="35">
        <v>7181.0</v>
      </c>
      <c r="G687" s="35">
        <v>7180.0</v>
      </c>
      <c r="H687" s="38" t="s">
        <v>1134</v>
      </c>
      <c r="I687" s="35"/>
      <c r="J687" s="35"/>
      <c r="K687" s="35" t="s">
        <v>3095</v>
      </c>
      <c r="L687" s="35" t="s">
        <v>126</v>
      </c>
      <c r="M687" s="38" t="s">
        <v>1549</v>
      </c>
      <c r="N687" s="35" t="s">
        <v>85</v>
      </c>
      <c r="O687" s="35" t="s">
        <v>217</v>
      </c>
      <c r="P687" s="35" t="s">
        <v>57</v>
      </c>
      <c r="Q687" s="35" t="s">
        <v>334</v>
      </c>
      <c r="R687" s="35">
        <v>0.5</v>
      </c>
      <c r="S687" s="35" t="s">
        <v>49</v>
      </c>
      <c r="T687" s="35" t="s">
        <v>49</v>
      </c>
      <c r="U687" s="35" t="s">
        <v>3624</v>
      </c>
      <c r="V687" s="35" t="s">
        <v>3109</v>
      </c>
      <c r="W687" s="35" t="s">
        <v>89</v>
      </c>
      <c r="X687" s="35" t="s">
        <v>108</v>
      </c>
      <c r="Y687" s="35" t="s">
        <v>432</v>
      </c>
      <c r="Z687" s="35" t="s">
        <v>1831</v>
      </c>
      <c r="AA687" s="35" t="s">
        <v>231</v>
      </c>
      <c r="AB687" s="35" t="s">
        <v>60</v>
      </c>
      <c r="AC687" s="35" t="s">
        <v>348</v>
      </c>
      <c r="AD687" s="35" t="s">
        <v>3625</v>
      </c>
      <c r="AE687" s="35" t="s">
        <v>3626</v>
      </c>
      <c r="AF687" s="35" t="s">
        <v>3627</v>
      </c>
      <c r="AG687" s="35" t="s">
        <v>63</v>
      </c>
      <c r="AH687" s="35" t="s">
        <v>145</v>
      </c>
      <c r="AI687" s="35" t="s">
        <v>490</v>
      </c>
      <c r="AJ687" s="35" t="s">
        <v>49</v>
      </c>
      <c r="AK687" s="35" t="s">
        <v>2625</v>
      </c>
      <c r="AL687" s="35" t="s">
        <v>2431</v>
      </c>
      <c r="AM687" s="35"/>
      <c r="AN687" s="37" t="s">
        <v>3638</v>
      </c>
      <c r="AO687" s="36" t="s">
        <v>3639</v>
      </c>
      <c r="AP687" s="37" t="s">
        <v>3630</v>
      </c>
      <c r="AQ687" s="37" t="s">
        <v>3631</v>
      </c>
      <c r="AR687" s="36" t="s">
        <v>3632</v>
      </c>
      <c r="AS687" s="38"/>
      <c r="AT687" s="35"/>
      <c r="AU687" s="35"/>
      <c r="AV687" s="13"/>
    </row>
    <row r="688" ht="16.5" customHeight="1">
      <c r="A688" s="35" t="s">
        <v>3640</v>
      </c>
      <c r="B688" s="35" t="s">
        <v>3622</v>
      </c>
      <c r="C688" s="35" t="s">
        <v>213</v>
      </c>
      <c r="D688" s="38" t="s">
        <v>344</v>
      </c>
      <c r="E688" s="35" t="s">
        <v>227</v>
      </c>
      <c r="F688" s="35">
        <v>7281.0</v>
      </c>
      <c r="G688" s="35">
        <v>7180.0</v>
      </c>
      <c r="H688" s="38" t="s">
        <v>1134</v>
      </c>
      <c r="I688" s="35"/>
      <c r="J688" s="35"/>
      <c r="K688" s="35" t="s">
        <v>3095</v>
      </c>
      <c r="L688" s="35" t="s">
        <v>126</v>
      </c>
      <c r="M688" s="38" t="s">
        <v>1549</v>
      </c>
      <c r="N688" s="35" t="s">
        <v>85</v>
      </c>
      <c r="O688" s="35" t="s">
        <v>217</v>
      </c>
      <c r="P688" s="35" t="s">
        <v>57</v>
      </c>
      <c r="Q688" s="35" t="s">
        <v>334</v>
      </c>
      <c r="R688" s="35">
        <v>0.5</v>
      </c>
      <c r="S688" s="35" t="s">
        <v>49</v>
      </c>
      <c r="T688" s="35" t="s">
        <v>49</v>
      </c>
      <c r="U688" s="35" t="s">
        <v>3624</v>
      </c>
      <c r="V688" s="35" t="s">
        <v>3109</v>
      </c>
      <c r="W688" s="35" t="s">
        <v>89</v>
      </c>
      <c r="X688" s="35" t="s">
        <v>108</v>
      </c>
      <c r="Y688" s="35" t="s">
        <v>432</v>
      </c>
      <c r="Z688" s="35" t="s">
        <v>1831</v>
      </c>
      <c r="AA688" s="35" t="s">
        <v>231</v>
      </c>
      <c r="AB688" s="35" t="s">
        <v>60</v>
      </c>
      <c r="AC688" s="35" t="s">
        <v>348</v>
      </c>
      <c r="AD688" s="35" t="s">
        <v>3625</v>
      </c>
      <c r="AE688" s="35" t="s">
        <v>3626</v>
      </c>
      <c r="AF688" s="35" t="s">
        <v>3627</v>
      </c>
      <c r="AG688" s="35" t="s">
        <v>63</v>
      </c>
      <c r="AH688" s="35" t="s">
        <v>145</v>
      </c>
      <c r="AI688" s="35" t="s">
        <v>112</v>
      </c>
      <c r="AJ688" s="35" t="s">
        <v>49</v>
      </c>
      <c r="AK688" s="35" t="s">
        <v>2625</v>
      </c>
      <c r="AL688" s="35" t="s">
        <v>2431</v>
      </c>
      <c r="AM688" s="35"/>
      <c r="AN688" s="36" t="s">
        <v>3641</v>
      </c>
      <c r="AO688" s="36" t="s">
        <v>3642</v>
      </c>
      <c r="AP688" s="37" t="s">
        <v>3630</v>
      </c>
      <c r="AQ688" s="37" t="s">
        <v>3631</v>
      </c>
      <c r="AR688" s="38" t="s">
        <v>224</v>
      </c>
      <c r="AS688" s="38"/>
      <c r="AT688" s="35"/>
      <c r="AU688" s="35"/>
      <c r="AV688" s="13"/>
    </row>
    <row r="689" ht="16.5" customHeight="1">
      <c r="A689" s="35" t="s">
        <v>3643</v>
      </c>
      <c r="B689" s="35" t="s">
        <v>3622</v>
      </c>
      <c r="C689" s="35" t="s">
        <v>213</v>
      </c>
      <c r="D689" s="38" t="s">
        <v>344</v>
      </c>
      <c r="E689" s="35" t="s">
        <v>227</v>
      </c>
      <c r="F689" s="35">
        <v>7282.0</v>
      </c>
      <c r="G689" s="35">
        <v>7180.0</v>
      </c>
      <c r="H689" s="38" t="s">
        <v>1134</v>
      </c>
      <c r="I689" s="35"/>
      <c r="J689" s="35"/>
      <c r="K689" s="35" t="s">
        <v>3095</v>
      </c>
      <c r="L689" s="35" t="s">
        <v>126</v>
      </c>
      <c r="M689" s="38" t="s">
        <v>1549</v>
      </c>
      <c r="N689" s="35" t="s">
        <v>85</v>
      </c>
      <c r="O689" s="35" t="s">
        <v>217</v>
      </c>
      <c r="P689" s="35" t="s">
        <v>57</v>
      </c>
      <c r="Q689" s="35" t="s">
        <v>334</v>
      </c>
      <c r="R689" s="35">
        <v>0.5</v>
      </c>
      <c r="S689" s="35" t="s">
        <v>49</v>
      </c>
      <c r="T689" s="35" t="s">
        <v>49</v>
      </c>
      <c r="U689" s="35" t="s">
        <v>3624</v>
      </c>
      <c r="V689" s="35" t="s">
        <v>3109</v>
      </c>
      <c r="W689" s="35" t="s">
        <v>1536</v>
      </c>
      <c r="X689" s="35" t="s">
        <v>108</v>
      </c>
      <c r="Y689" s="35" t="s">
        <v>432</v>
      </c>
      <c r="Z689" s="35" t="s">
        <v>1831</v>
      </c>
      <c r="AA689" s="35" t="s">
        <v>231</v>
      </c>
      <c r="AB689" s="35" t="s">
        <v>60</v>
      </c>
      <c r="AC689" s="35" t="s">
        <v>348</v>
      </c>
      <c r="AD689" s="35" t="s">
        <v>3625</v>
      </c>
      <c r="AE689" s="35" t="s">
        <v>3626</v>
      </c>
      <c r="AF689" s="35" t="s">
        <v>3627</v>
      </c>
      <c r="AG689" s="35" t="s">
        <v>63</v>
      </c>
      <c r="AH689" s="35" t="s">
        <v>145</v>
      </c>
      <c r="AI689" s="35" t="s">
        <v>94</v>
      </c>
      <c r="AJ689" s="35" t="s">
        <v>49</v>
      </c>
      <c r="AK689" s="35" t="s">
        <v>2625</v>
      </c>
      <c r="AL689" s="35" t="s">
        <v>2431</v>
      </c>
      <c r="AM689" s="35"/>
      <c r="AN689" s="37" t="s">
        <v>3644</v>
      </c>
      <c r="AO689" s="36" t="s">
        <v>3645</v>
      </c>
      <c r="AP689" s="37" t="s">
        <v>3630</v>
      </c>
      <c r="AQ689" s="37" t="s">
        <v>3631</v>
      </c>
      <c r="AR689" s="38" t="s">
        <v>224</v>
      </c>
      <c r="AS689" s="38"/>
      <c r="AT689" s="35"/>
      <c r="AU689" s="35"/>
      <c r="AV689" s="13"/>
    </row>
    <row r="690" ht="16.5" customHeight="1">
      <c r="A690" s="35" t="s">
        <v>3646</v>
      </c>
      <c r="B690" s="35" t="s">
        <v>3622</v>
      </c>
      <c r="C690" s="35" t="s">
        <v>213</v>
      </c>
      <c r="D690" s="38" t="s">
        <v>344</v>
      </c>
      <c r="E690" s="35" t="s">
        <v>227</v>
      </c>
      <c r="F690" s="35">
        <v>7283.0</v>
      </c>
      <c r="G690" s="35">
        <v>7180.0</v>
      </c>
      <c r="H690" s="38" t="s">
        <v>1134</v>
      </c>
      <c r="I690" s="35"/>
      <c r="J690" s="35"/>
      <c r="K690" s="35" t="s">
        <v>3095</v>
      </c>
      <c r="L690" s="35" t="s">
        <v>126</v>
      </c>
      <c r="M690" s="38" t="s">
        <v>1549</v>
      </c>
      <c r="N690" s="35" t="s">
        <v>85</v>
      </c>
      <c r="O690" s="35" t="s">
        <v>217</v>
      </c>
      <c r="P690" s="35" t="s">
        <v>57</v>
      </c>
      <c r="Q690" s="35" t="s">
        <v>334</v>
      </c>
      <c r="R690" s="35">
        <v>0.5</v>
      </c>
      <c r="S690" s="35" t="s">
        <v>49</v>
      </c>
      <c r="T690" s="35" t="s">
        <v>49</v>
      </c>
      <c r="U690" s="35" t="s">
        <v>3624</v>
      </c>
      <c r="V690" s="35" t="s">
        <v>3109</v>
      </c>
      <c r="W690" s="35" t="s">
        <v>89</v>
      </c>
      <c r="X690" s="35" t="s">
        <v>108</v>
      </c>
      <c r="Y690" s="35" t="s">
        <v>432</v>
      </c>
      <c r="Z690" s="35" t="s">
        <v>1831</v>
      </c>
      <c r="AA690" s="35" t="s">
        <v>231</v>
      </c>
      <c r="AB690" s="35" t="s">
        <v>60</v>
      </c>
      <c r="AC690" s="35" t="s">
        <v>348</v>
      </c>
      <c r="AD690" s="35" t="s">
        <v>3625</v>
      </c>
      <c r="AE690" s="35" t="s">
        <v>3626</v>
      </c>
      <c r="AF690" s="35" t="s">
        <v>3627</v>
      </c>
      <c r="AG690" s="35" t="s">
        <v>63</v>
      </c>
      <c r="AH690" s="35" t="s">
        <v>145</v>
      </c>
      <c r="AI690" s="35" t="s">
        <v>94</v>
      </c>
      <c r="AJ690" s="35" t="s">
        <v>49</v>
      </c>
      <c r="AK690" s="35" t="s">
        <v>2625</v>
      </c>
      <c r="AL690" s="35" t="s">
        <v>2431</v>
      </c>
      <c r="AM690" s="35"/>
      <c r="AN690" s="37" t="s">
        <v>3647</v>
      </c>
      <c r="AO690" s="36" t="s">
        <v>3648</v>
      </c>
      <c r="AP690" s="37" t="s">
        <v>3630</v>
      </c>
      <c r="AQ690" s="37" t="s">
        <v>3631</v>
      </c>
      <c r="AR690" s="38" t="s">
        <v>224</v>
      </c>
      <c r="AS690" s="38"/>
      <c r="AT690" s="35"/>
      <c r="AU690" s="35"/>
      <c r="AV690" s="13"/>
    </row>
    <row r="691" ht="16.5" hidden="1" customHeight="1">
      <c r="A691" s="35" t="s">
        <v>3649</v>
      </c>
      <c r="B691" s="35" t="s">
        <v>3622</v>
      </c>
      <c r="C691" s="35" t="s">
        <v>213</v>
      </c>
      <c r="D691" s="35" t="s">
        <v>376</v>
      </c>
      <c r="E691" s="35" t="s">
        <v>227</v>
      </c>
      <c r="F691" s="35">
        <v>7177.0</v>
      </c>
      <c r="G691" s="35"/>
      <c r="H691" s="35" t="s">
        <v>3623</v>
      </c>
      <c r="I691" s="35"/>
      <c r="J691" s="35"/>
      <c r="K691" s="35" t="s">
        <v>3095</v>
      </c>
      <c r="L691" s="35" t="s">
        <v>126</v>
      </c>
      <c r="M691" s="35"/>
      <c r="N691" s="35" t="s">
        <v>1610</v>
      </c>
      <c r="O691" s="35" t="s">
        <v>217</v>
      </c>
      <c r="P691" s="35" t="s">
        <v>57</v>
      </c>
      <c r="Q691" s="35" t="s">
        <v>334</v>
      </c>
      <c r="R691" s="35">
        <v>0.95</v>
      </c>
      <c r="S691" s="35" t="s">
        <v>49</v>
      </c>
      <c r="T691" s="35" t="s">
        <v>49</v>
      </c>
      <c r="U691" s="35" t="s">
        <v>3624</v>
      </c>
      <c r="V691" s="35" t="s">
        <v>3109</v>
      </c>
      <c r="W691" s="35" t="s">
        <v>1536</v>
      </c>
      <c r="X691" s="35" t="s">
        <v>108</v>
      </c>
      <c r="Y691" s="35" t="s">
        <v>432</v>
      </c>
      <c r="Z691" s="35" t="s">
        <v>1831</v>
      </c>
      <c r="AA691" s="35" t="s">
        <v>231</v>
      </c>
      <c r="AB691" s="35" t="s">
        <v>60</v>
      </c>
      <c r="AC691" s="35" t="s">
        <v>348</v>
      </c>
      <c r="AD691" s="35" t="s">
        <v>3625</v>
      </c>
      <c r="AE691" s="35" t="s">
        <v>3626</v>
      </c>
      <c r="AF691" s="35" t="s">
        <v>3627</v>
      </c>
      <c r="AG691" s="35" t="s">
        <v>63</v>
      </c>
      <c r="AH691" s="35" t="s">
        <v>145</v>
      </c>
      <c r="AI691" s="35" t="s">
        <v>490</v>
      </c>
      <c r="AJ691" s="35" t="s">
        <v>49</v>
      </c>
      <c r="AK691" s="35" t="s">
        <v>49</v>
      </c>
      <c r="AL691" s="35" t="s">
        <v>2431</v>
      </c>
      <c r="AM691" s="35"/>
      <c r="AN691" s="37" t="s">
        <v>3650</v>
      </c>
      <c r="AO691" s="36" t="s">
        <v>3651</v>
      </c>
      <c r="AP691" s="37" t="s">
        <v>3630</v>
      </c>
      <c r="AQ691" s="37" t="s">
        <v>3631</v>
      </c>
      <c r="AR691" s="36" t="s">
        <v>3632</v>
      </c>
      <c r="AS691" s="38"/>
      <c r="AT691" s="35"/>
      <c r="AU691" s="35"/>
      <c r="AV691" s="13"/>
    </row>
    <row r="692" ht="16.5" customHeight="1">
      <c r="A692" s="35" t="s">
        <v>3652</v>
      </c>
      <c r="B692" s="35" t="s">
        <v>3622</v>
      </c>
      <c r="C692" s="35" t="s">
        <v>213</v>
      </c>
      <c r="D692" s="38" t="s">
        <v>344</v>
      </c>
      <c r="E692" s="35" t="s">
        <v>227</v>
      </c>
      <c r="F692" s="35">
        <v>7177.0</v>
      </c>
      <c r="G692" s="35">
        <v>7177.0</v>
      </c>
      <c r="H692" s="38" t="s">
        <v>1134</v>
      </c>
      <c r="I692" s="35"/>
      <c r="J692" s="35"/>
      <c r="K692" s="35" t="s">
        <v>3095</v>
      </c>
      <c r="L692" s="35" t="s">
        <v>126</v>
      </c>
      <c r="M692" s="38" t="s">
        <v>1549</v>
      </c>
      <c r="N692" s="35" t="s">
        <v>1610</v>
      </c>
      <c r="O692" s="35" t="s">
        <v>217</v>
      </c>
      <c r="P692" s="35" t="s">
        <v>57</v>
      </c>
      <c r="Q692" s="35" t="s">
        <v>334</v>
      </c>
      <c r="R692" s="35">
        <v>0.95</v>
      </c>
      <c r="S692" s="35" t="s">
        <v>49</v>
      </c>
      <c r="T692" s="35" t="s">
        <v>49</v>
      </c>
      <c r="U692" s="35" t="s">
        <v>3624</v>
      </c>
      <c r="V692" s="35" t="s">
        <v>3109</v>
      </c>
      <c r="W692" s="35" t="s">
        <v>1536</v>
      </c>
      <c r="X692" s="35" t="s">
        <v>108</v>
      </c>
      <c r="Y692" s="35" t="s">
        <v>432</v>
      </c>
      <c r="Z692" s="35" t="s">
        <v>1831</v>
      </c>
      <c r="AA692" s="35" t="s">
        <v>231</v>
      </c>
      <c r="AB692" s="35" t="s">
        <v>60</v>
      </c>
      <c r="AC692" s="35" t="s">
        <v>348</v>
      </c>
      <c r="AD692" s="35" t="s">
        <v>3625</v>
      </c>
      <c r="AE692" s="35" t="s">
        <v>3626</v>
      </c>
      <c r="AF692" s="35" t="s">
        <v>3627</v>
      </c>
      <c r="AG692" s="35" t="s">
        <v>63</v>
      </c>
      <c r="AH692" s="35" t="s">
        <v>145</v>
      </c>
      <c r="AI692" s="35" t="s">
        <v>490</v>
      </c>
      <c r="AJ692" s="35" t="s">
        <v>49</v>
      </c>
      <c r="AK692" s="35" t="s">
        <v>2625</v>
      </c>
      <c r="AL692" s="35" t="s">
        <v>2431</v>
      </c>
      <c r="AM692" s="35"/>
      <c r="AN692" s="36" t="s">
        <v>3650</v>
      </c>
      <c r="AO692" s="36" t="s">
        <v>3651</v>
      </c>
      <c r="AP692" s="37" t="s">
        <v>3630</v>
      </c>
      <c r="AQ692" s="37" t="s">
        <v>3631</v>
      </c>
      <c r="AR692" s="36" t="s">
        <v>3632</v>
      </c>
      <c r="AS692" s="38"/>
      <c r="AT692" s="35"/>
      <c r="AU692" s="35"/>
      <c r="AV692" s="13"/>
    </row>
    <row r="693" ht="16.5" customHeight="1">
      <c r="A693" s="35" t="s">
        <v>3653</v>
      </c>
      <c r="B693" s="35" t="s">
        <v>3622</v>
      </c>
      <c r="C693" s="35" t="s">
        <v>213</v>
      </c>
      <c r="D693" s="38" t="s">
        <v>344</v>
      </c>
      <c r="E693" s="35" t="s">
        <v>227</v>
      </c>
      <c r="F693" s="35">
        <v>7178.0</v>
      </c>
      <c r="G693" s="35">
        <v>7177.0</v>
      </c>
      <c r="H693" s="38" t="s">
        <v>1134</v>
      </c>
      <c r="I693" s="35"/>
      <c r="J693" s="35"/>
      <c r="K693" s="35" t="s">
        <v>3095</v>
      </c>
      <c r="L693" s="35" t="s">
        <v>126</v>
      </c>
      <c r="M693" s="38" t="s">
        <v>1549</v>
      </c>
      <c r="N693" s="35" t="s">
        <v>1610</v>
      </c>
      <c r="O693" s="35" t="s">
        <v>217</v>
      </c>
      <c r="P693" s="35" t="s">
        <v>57</v>
      </c>
      <c r="Q693" s="35" t="s">
        <v>334</v>
      </c>
      <c r="R693" s="35">
        <v>0.95</v>
      </c>
      <c r="S693" s="35" t="s">
        <v>49</v>
      </c>
      <c r="T693" s="35" t="s">
        <v>49</v>
      </c>
      <c r="U693" s="35" t="s">
        <v>3624</v>
      </c>
      <c r="V693" s="35" t="s">
        <v>3109</v>
      </c>
      <c r="W693" s="35" t="s">
        <v>89</v>
      </c>
      <c r="X693" s="35" t="s">
        <v>108</v>
      </c>
      <c r="Y693" s="35" t="s">
        <v>432</v>
      </c>
      <c r="Z693" s="35" t="s">
        <v>1831</v>
      </c>
      <c r="AA693" s="35" t="s">
        <v>231</v>
      </c>
      <c r="AB693" s="35" t="s">
        <v>60</v>
      </c>
      <c r="AC693" s="35" t="s">
        <v>348</v>
      </c>
      <c r="AD693" s="35" t="s">
        <v>3625</v>
      </c>
      <c r="AE693" s="35" t="s">
        <v>3626</v>
      </c>
      <c r="AF693" s="35" t="s">
        <v>3627</v>
      </c>
      <c r="AG693" s="35" t="s">
        <v>63</v>
      </c>
      <c r="AH693" s="35" t="s">
        <v>145</v>
      </c>
      <c r="AI693" s="35" t="s">
        <v>490</v>
      </c>
      <c r="AJ693" s="35" t="s">
        <v>49</v>
      </c>
      <c r="AK693" s="35" t="s">
        <v>2625</v>
      </c>
      <c r="AL693" s="35" t="s">
        <v>2431</v>
      </c>
      <c r="AM693" s="35"/>
      <c r="AN693" s="37" t="s">
        <v>3654</v>
      </c>
      <c r="AO693" s="36" t="s">
        <v>3655</v>
      </c>
      <c r="AP693" s="37" t="s">
        <v>3630</v>
      </c>
      <c r="AQ693" s="37" t="s">
        <v>3631</v>
      </c>
      <c r="AR693" s="36" t="s">
        <v>3632</v>
      </c>
      <c r="AS693" s="38"/>
      <c r="AT693" s="35"/>
      <c r="AU693" s="35"/>
      <c r="AV693" s="13"/>
    </row>
    <row r="694" ht="16.5" customHeight="1">
      <c r="A694" s="35" t="s">
        <v>3656</v>
      </c>
      <c r="B694" s="35" t="s">
        <v>3622</v>
      </c>
      <c r="C694" s="35" t="s">
        <v>213</v>
      </c>
      <c r="D694" s="38" t="s">
        <v>344</v>
      </c>
      <c r="E694" s="35" t="s">
        <v>227</v>
      </c>
      <c r="F694" s="35">
        <v>7280.0</v>
      </c>
      <c r="G694" s="35">
        <v>7177.0</v>
      </c>
      <c r="H694" s="38" t="s">
        <v>1134</v>
      </c>
      <c r="I694" s="35"/>
      <c r="J694" s="35"/>
      <c r="K694" s="35" t="s">
        <v>3095</v>
      </c>
      <c r="L694" s="35" t="s">
        <v>126</v>
      </c>
      <c r="M694" s="38" t="s">
        <v>1549</v>
      </c>
      <c r="N694" s="35" t="s">
        <v>1610</v>
      </c>
      <c r="O694" s="35" t="s">
        <v>217</v>
      </c>
      <c r="P694" s="35" t="s">
        <v>57</v>
      </c>
      <c r="Q694" s="35" t="s">
        <v>334</v>
      </c>
      <c r="R694" s="35">
        <v>0.95</v>
      </c>
      <c r="S694" s="35" t="s">
        <v>49</v>
      </c>
      <c r="T694" s="35" t="s">
        <v>49</v>
      </c>
      <c r="U694" s="35" t="s">
        <v>3624</v>
      </c>
      <c r="V694" s="35" t="s">
        <v>3109</v>
      </c>
      <c r="W694" s="35" t="s">
        <v>89</v>
      </c>
      <c r="X694" s="35" t="s">
        <v>108</v>
      </c>
      <c r="Y694" s="35" t="s">
        <v>432</v>
      </c>
      <c r="Z694" s="35" t="s">
        <v>1831</v>
      </c>
      <c r="AA694" s="35" t="s">
        <v>231</v>
      </c>
      <c r="AB694" s="35" t="s">
        <v>60</v>
      </c>
      <c r="AC694" s="35" t="s">
        <v>348</v>
      </c>
      <c r="AD694" s="35" t="s">
        <v>3625</v>
      </c>
      <c r="AE694" s="35" t="s">
        <v>3626</v>
      </c>
      <c r="AF694" s="35" t="s">
        <v>3627</v>
      </c>
      <c r="AG694" s="35" t="s">
        <v>63</v>
      </c>
      <c r="AH694" s="35" t="s">
        <v>145</v>
      </c>
      <c r="AI694" s="35" t="s">
        <v>94</v>
      </c>
      <c r="AJ694" s="35" t="s">
        <v>49</v>
      </c>
      <c r="AK694" s="35" t="s">
        <v>2625</v>
      </c>
      <c r="AL694" s="35" t="s">
        <v>2431</v>
      </c>
      <c r="AM694" s="35"/>
      <c r="AN694" s="37" t="s">
        <v>3657</v>
      </c>
      <c r="AO694" s="36" t="s">
        <v>3658</v>
      </c>
      <c r="AP694" s="37" t="s">
        <v>3630</v>
      </c>
      <c r="AQ694" s="37" t="s">
        <v>3631</v>
      </c>
      <c r="AR694" s="38" t="s">
        <v>224</v>
      </c>
      <c r="AS694" s="38"/>
      <c r="AT694" s="35"/>
      <c r="AU694" s="35"/>
      <c r="AV694" s="13"/>
    </row>
    <row r="695" ht="16.5" customHeight="1">
      <c r="A695" s="35" t="s">
        <v>3659</v>
      </c>
      <c r="B695" s="35" t="s">
        <v>3622</v>
      </c>
      <c r="C695" s="35" t="s">
        <v>213</v>
      </c>
      <c r="D695" s="38" t="s">
        <v>344</v>
      </c>
      <c r="E695" s="35" t="s">
        <v>227</v>
      </c>
      <c r="F695" s="35">
        <v>7317.0</v>
      </c>
      <c r="G695" s="35">
        <v>7177.0</v>
      </c>
      <c r="H695" s="38" t="s">
        <v>1134</v>
      </c>
      <c r="I695" s="35"/>
      <c r="J695" s="35"/>
      <c r="K695" s="35" t="s">
        <v>3095</v>
      </c>
      <c r="L695" s="35" t="s">
        <v>126</v>
      </c>
      <c r="M695" s="38" t="s">
        <v>1549</v>
      </c>
      <c r="N695" s="35" t="s">
        <v>1610</v>
      </c>
      <c r="O695" s="35" t="s">
        <v>217</v>
      </c>
      <c r="P695" s="35" t="s">
        <v>57</v>
      </c>
      <c r="Q695" s="35" t="s">
        <v>334</v>
      </c>
      <c r="R695" s="35">
        <v>0.95</v>
      </c>
      <c r="S695" s="35" t="s">
        <v>49</v>
      </c>
      <c r="T695" s="35" t="s">
        <v>49</v>
      </c>
      <c r="U695" s="35" t="s">
        <v>3624</v>
      </c>
      <c r="V695" s="35" t="s">
        <v>3109</v>
      </c>
      <c r="W695" s="35" t="s">
        <v>1536</v>
      </c>
      <c r="X695" s="35" t="s">
        <v>108</v>
      </c>
      <c r="Y695" s="35" t="s">
        <v>432</v>
      </c>
      <c r="Z695" s="35" t="s">
        <v>1831</v>
      </c>
      <c r="AA695" s="35" t="s">
        <v>231</v>
      </c>
      <c r="AB695" s="35" t="s">
        <v>60</v>
      </c>
      <c r="AC695" s="35" t="s">
        <v>348</v>
      </c>
      <c r="AD695" s="35" t="s">
        <v>3625</v>
      </c>
      <c r="AE695" s="35" t="s">
        <v>3626</v>
      </c>
      <c r="AF695" s="35" t="s">
        <v>3627</v>
      </c>
      <c r="AG695" s="35" t="s">
        <v>63</v>
      </c>
      <c r="AH695" s="35" t="s">
        <v>145</v>
      </c>
      <c r="AI695" s="35" t="s">
        <v>94</v>
      </c>
      <c r="AJ695" s="35" t="s">
        <v>49</v>
      </c>
      <c r="AK695" s="35" t="s">
        <v>2625</v>
      </c>
      <c r="AL695" s="35" t="s">
        <v>2431</v>
      </c>
      <c r="AM695" s="35"/>
      <c r="AN695" s="37" t="s">
        <v>3660</v>
      </c>
      <c r="AO695" s="36" t="s">
        <v>3661</v>
      </c>
      <c r="AP695" s="37" t="s">
        <v>3630</v>
      </c>
      <c r="AQ695" s="37" t="s">
        <v>3631</v>
      </c>
      <c r="AR695" s="38" t="s">
        <v>224</v>
      </c>
      <c r="AS695" s="38"/>
      <c r="AT695" s="35"/>
      <c r="AU695" s="35"/>
      <c r="AV695" s="13"/>
    </row>
    <row r="696" ht="16.5" hidden="1" customHeight="1">
      <c r="A696" s="35" t="s">
        <v>3662</v>
      </c>
      <c r="B696" s="35" t="s">
        <v>3622</v>
      </c>
      <c r="C696" s="35" t="s">
        <v>213</v>
      </c>
      <c r="D696" s="35" t="s">
        <v>376</v>
      </c>
      <c r="E696" s="35" t="s">
        <v>227</v>
      </c>
      <c r="F696" s="35">
        <v>7182.0</v>
      </c>
      <c r="G696" s="35"/>
      <c r="H696" s="35" t="s">
        <v>3623</v>
      </c>
      <c r="I696" s="35"/>
      <c r="J696" s="35"/>
      <c r="K696" s="35" t="s">
        <v>3095</v>
      </c>
      <c r="L696" s="35" t="s">
        <v>126</v>
      </c>
      <c r="M696" s="35"/>
      <c r="N696" s="35" t="s">
        <v>85</v>
      </c>
      <c r="O696" s="35" t="s">
        <v>217</v>
      </c>
      <c r="P696" s="35" t="s">
        <v>57</v>
      </c>
      <c r="Q696" s="35" t="s">
        <v>1887</v>
      </c>
      <c r="R696" s="35">
        <v>0.5</v>
      </c>
      <c r="S696" s="35" t="s">
        <v>49</v>
      </c>
      <c r="T696" s="35" t="s">
        <v>49</v>
      </c>
      <c r="U696" s="35" t="s">
        <v>3663</v>
      </c>
      <c r="V696" s="35" t="s">
        <v>2897</v>
      </c>
      <c r="W696" s="35" t="s">
        <v>1536</v>
      </c>
      <c r="X696" s="35" t="s">
        <v>108</v>
      </c>
      <c r="Y696" s="35" t="s">
        <v>432</v>
      </c>
      <c r="Z696" s="35" t="s">
        <v>1831</v>
      </c>
      <c r="AA696" s="35" t="s">
        <v>231</v>
      </c>
      <c r="AB696" s="35" t="s">
        <v>60</v>
      </c>
      <c r="AC696" s="35" t="s">
        <v>348</v>
      </c>
      <c r="AD696" s="35" t="s">
        <v>3664</v>
      </c>
      <c r="AE696" s="35" t="s">
        <v>3665</v>
      </c>
      <c r="AF696" s="35" t="s">
        <v>3627</v>
      </c>
      <c r="AG696" s="35" t="s">
        <v>63</v>
      </c>
      <c r="AH696" s="35" t="s">
        <v>145</v>
      </c>
      <c r="AI696" s="35" t="s">
        <v>3666</v>
      </c>
      <c r="AJ696" s="35" t="s">
        <v>49</v>
      </c>
      <c r="AK696" s="35" t="s">
        <v>49</v>
      </c>
      <c r="AL696" s="35" t="s">
        <v>2431</v>
      </c>
      <c r="AM696" s="35"/>
      <c r="AN696" s="37" t="s">
        <v>3667</v>
      </c>
      <c r="AO696" s="36" t="s">
        <v>3668</v>
      </c>
      <c r="AP696" s="37" t="s">
        <v>3669</v>
      </c>
      <c r="AQ696" s="37" t="s">
        <v>3670</v>
      </c>
      <c r="AR696" s="36" t="s">
        <v>3671</v>
      </c>
      <c r="AS696" s="38"/>
      <c r="AT696" s="35"/>
      <c r="AU696" s="35"/>
      <c r="AV696" s="13"/>
    </row>
    <row r="697" ht="16.5" customHeight="1">
      <c r="A697" s="35" t="s">
        <v>3672</v>
      </c>
      <c r="B697" s="35" t="s">
        <v>3622</v>
      </c>
      <c r="C697" s="35" t="s">
        <v>213</v>
      </c>
      <c r="D697" s="38" t="s">
        <v>344</v>
      </c>
      <c r="E697" s="35" t="s">
        <v>227</v>
      </c>
      <c r="F697" s="35">
        <v>7182.0</v>
      </c>
      <c r="G697" s="35">
        <v>7182.0</v>
      </c>
      <c r="H697" s="38" t="s">
        <v>1134</v>
      </c>
      <c r="I697" s="35"/>
      <c r="J697" s="35"/>
      <c r="K697" s="35" t="s">
        <v>3095</v>
      </c>
      <c r="L697" s="35" t="s">
        <v>126</v>
      </c>
      <c r="M697" s="38" t="s">
        <v>1549</v>
      </c>
      <c r="N697" s="35" t="s">
        <v>85</v>
      </c>
      <c r="O697" s="35" t="s">
        <v>217</v>
      </c>
      <c r="P697" s="35" t="s">
        <v>57</v>
      </c>
      <c r="Q697" s="35" t="s">
        <v>1887</v>
      </c>
      <c r="R697" s="35">
        <v>0.5</v>
      </c>
      <c r="S697" s="35" t="s">
        <v>49</v>
      </c>
      <c r="T697" s="35" t="s">
        <v>49</v>
      </c>
      <c r="U697" s="35" t="s">
        <v>3663</v>
      </c>
      <c r="V697" s="35" t="s">
        <v>2897</v>
      </c>
      <c r="W697" s="35" t="s">
        <v>1536</v>
      </c>
      <c r="X697" s="35" t="s">
        <v>108</v>
      </c>
      <c r="Y697" s="35" t="s">
        <v>432</v>
      </c>
      <c r="Z697" s="35" t="s">
        <v>1831</v>
      </c>
      <c r="AA697" s="35" t="s">
        <v>231</v>
      </c>
      <c r="AB697" s="35" t="s">
        <v>60</v>
      </c>
      <c r="AC697" s="35" t="s">
        <v>348</v>
      </c>
      <c r="AD697" s="35" t="s">
        <v>3664</v>
      </c>
      <c r="AE697" s="35" t="s">
        <v>3665</v>
      </c>
      <c r="AF697" s="35" t="s">
        <v>3627</v>
      </c>
      <c r="AG697" s="35" t="s">
        <v>63</v>
      </c>
      <c r="AH697" s="35" t="s">
        <v>145</v>
      </c>
      <c r="AI697" s="38" t="s">
        <v>112</v>
      </c>
      <c r="AJ697" s="35" t="s">
        <v>49</v>
      </c>
      <c r="AK697" s="35" t="s">
        <v>2625</v>
      </c>
      <c r="AL697" s="35" t="s">
        <v>2431</v>
      </c>
      <c r="AM697" s="35"/>
      <c r="AN697" s="37" t="s">
        <v>3667</v>
      </c>
      <c r="AO697" s="36" t="s">
        <v>3668</v>
      </c>
      <c r="AP697" s="37" t="s">
        <v>3669</v>
      </c>
      <c r="AQ697" s="37" t="s">
        <v>3670</v>
      </c>
      <c r="AR697" s="36" t="s">
        <v>3671</v>
      </c>
      <c r="AS697" s="38"/>
      <c r="AT697" s="35"/>
      <c r="AU697" s="35"/>
      <c r="AV697" s="13"/>
    </row>
    <row r="698" ht="16.5" customHeight="1">
      <c r="A698" s="35" t="s">
        <v>3673</v>
      </c>
      <c r="B698" s="35" t="s">
        <v>3622</v>
      </c>
      <c r="C698" s="35" t="s">
        <v>213</v>
      </c>
      <c r="D698" s="38" t="s">
        <v>344</v>
      </c>
      <c r="E698" s="35" t="s">
        <v>227</v>
      </c>
      <c r="F698" s="35">
        <v>7183.0</v>
      </c>
      <c r="G698" s="35">
        <v>7182.0</v>
      </c>
      <c r="H698" s="38" t="s">
        <v>1134</v>
      </c>
      <c r="I698" s="35"/>
      <c r="J698" s="35"/>
      <c r="K698" s="35" t="s">
        <v>3095</v>
      </c>
      <c r="L698" s="35" t="s">
        <v>126</v>
      </c>
      <c r="M698" s="38" t="s">
        <v>1549</v>
      </c>
      <c r="N698" s="35" t="s">
        <v>85</v>
      </c>
      <c r="O698" s="35" t="s">
        <v>217</v>
      </c>
      <c r="P698" s="35" t="s">
        <v>57</v>
      </c>
      <c r="Q698" s="35" t="s">
        <v>1887</v>
      </c>
      <c r="R698" s="35">
        <v>0.5</v>
      </c>
      <c r="S698" s="35" t="s">
        <v>49</v>
      </c>
      <c r="T698" s="35" t="s">
        <v>49</v>
      </c>
      <c r="U698" s="35" t="s">
        <v>3663</v>
      </c>
      <c r="V698" s="35" t="s">
        <v>2897</v>
      </c>
      <c r="W698" s="35" t="s">
        <v>1536</v>
      </c>
      <c r="X698" s="35" t="s">
        <v>108</v>
      </c>
      <c r="Y698" s="35" t="s">
        <v>432</v>
      </c>
      <c r="Z698" s="35" t="s">
        <v>1831</v>
      </c>
      <c r="AA698" s="35" t="s">
        <v>231</v>
      </c>
      <c r="AB698" s="35" t="s">
        <v>60</v>
      </c>
      <c r="AC698" s="35" t="s">
        <v>348</v>
      </c>
      <c r="AD698" s="35" t="s">
        <v>3664</v>
      </c>
      <c r="AE698" s="35" t="s">
        <v>3665</v>
      </c>
      <c r="AF698" s="35" t="s">
        <v>3627</v>
      </c>
      <c r="AG698" s="35" t="s">
        <v>63</v>
      </c>
      <c r="AH698" s="35" t="s">
        <v>145</v>
      </c>
      <c r="AI698" s="35" t="s">
        <v>490</v>
      </c>
      <c r="AJ698" s="35" t="s">
        <v>49</v>
      </c>
      <c r="AK698" s="35" t="s">
        <v>2625</v>
      </c>
      <c r="AL698" s="35" t="s">
        <v>2431</v>
      </c>
      <c r="AM698" s="35"/>
      <c r="AN698" s="37" t="s">
        <v>3674</v>
      </c>
      <c r="AO698" s="36" t="s">
        <v>3675</v>
      </c>
      <c r="AP698" s="37" t="s">
        <v>3669</v>
      </c>
      <c r="AQ698" s="37" t="s">
        <v>3670</v>
      </c>
      <c r="AR698" s="36" t="s">
        <v>3671</v>
      </c>
      <c r="AS698" s="38"/>
      <c r="AT698" s="35"/>
      <c r="AU698" s="35"/>
      <c r="AV698" s="13"/>
    </row>
    <row r="699" ht="16.5" customHeight="1">
      <c r="A699" s="35" t="s">
        <v>3676</v>
      </c>
      <c r="B699" s="35" t="s">
        <v>3622</v>
      </c>
      <c r="C699" s="35" t="s">
        <v>213</v>
      </c>
      <c r="D699" s="38" t="s">
        <v>344</v>
      </c>
      <c r="E699" s="35" t="s">
        <v>227</v>
      </c>
      <c r="F699" s="35">
        <v>7184.0</v>
      </c>
      <c r="G699" s="35">
        <v>7182.0</v>
      </c>
      <c r="H699" s="38" t="s">
        <v>1134</v>
      </c>
      <c r="I699" s="35"/>
      <c r="J699" s="35"/>
      <c r="K699" s="35" t="s">
        <v>3095</v>
      </c>
      <c r="L699" s="35" t="s">
        <v>126</v>
      </c>
      <c r="M699" s="38" t="s">
        <v>1549</v>
      </c>
      <c r="N699" s="35" t="s">
        <v>85</v>
      </c>
      <c r="O699" s="35" t="s">
        <v>217</v>
      </c>
      <c r="P699" s="35" t="s">
        <v>57</v>
      </c>
      <c r="Q699" s="35" t="s">
        <v>1887</v>
      </c>
      <c r="R699" s="35">
        <v>0.5</v>
      </c>
      <c r="S699" s="35" t="s">
        <v>49</v>
      </c>
      <c r="T699" s="35" t="s">
        <v>49</v>
      </c>
      <c r="U699" s="35" t="s">
        <v>3663</v>
      </c>
      <c r="V699" s="35" t="s">
        <v>2897</v>
      </c>
      <c r="W699" s="35" t="s">
        <v>89</v>
      </c>
      <c r="X699" s="35" t="s">
        <v>108</v>
      </c>
      <c r="Y699" s="35" t="s">
        <v>432</v>
      </c>
      <c r="Z699" s="35" t="s">
        <v>1831</v>
      </c>
      <c r="AA699" s="35" t="s">
        <v>231</v>
      </c>
      <c r="AB699" s="35" t="s">
        <v>60</v>
      </c>
      <c r="AC699" s="35" t="s">
        <v>348</v>
      </c>
      <c r="AD699" s="35" t="s">
        <v>3664</v>
      </c>
      <c r="AE699" s="35" t="s">
        <v>3665</v>
      </c>
      <c r="AF699" s="35" t="s">
        <v>3627</v>
      </c>
      <c r="AG699" s="35" t="s">
        <v>63</v>
      </c>
      <c r="AH699" s="35" t="s">
        <v>145</v>
      </c>
      <c r="AI699" s="35" t="s">
        <v>490</v>
      </c>
      <c r="AJ699" s="35" t="s">
        <v>49</v>
      </c>
      <c r="AK699" s="35" t="s">
        <v>2625</v>
      </c>
      <c r="AL699" s="35" t="s">
        <v>2431</v>
      </c>
      <c r="AM699" s="35"/>
      <c r="AN699" s="37" t="s">
        <v>3677</v>
      </c>
      <c r="AO699" s="36" t="s">
        <v>3678</v>
      </c>
      <c r="AP699" s="37" t="s">
        <v>3669</v>
      </c>
      <c r="AQ699" s="37" t="s">
        <v>3670</v>
      </c>
      <c r="AR699" s="36" t="s">
        <v>3671</v>
      </c>
      <c r="AS699" s="38"/>
      <c r="AT699" s="35"/>
      <c r="AU699" s="35"/>
      <c r="AV699" s="13"/>
    </row>
    <row r="700" ht="16.5" customHeight="1">
      <c r="A700" s="35" t="s">
        <v>3679</v>
      </c>
      <c r="B700" s="35" t="s">
        <v>3622</v>
      </c>
      <c r="C700" s="35" t="s">
        <v>213</v>
      </c>
      <c r="D700" s="38" t="s">
        <v>344</v>
      </c>
      <c r="E700" s="35" t="s">
        <v>227</v>
      </c>
      <c r="F700" s="35">
        <v>7284.0</v>
      </c>
      <c r="G700" s="35">
        <v>7182.0</v>
      </c>
      <c r="H700" s="38" t="s">
        <v>1134</v>
      </c>
      <c r="I700" s="35"/>
      <c r="J700" s="35"/>
      <c r="K700" s="35" t="s">
        <v>3095</v>
      </c>
      <c r="L700" s="35" t="s">
        <v>126</v>
      </c>
      <c r="M700" s="38" t="s">
        <v>1549</v>
      </c>
      <c r="N700" s="35" t="s">
        <v>85</v>
      </c>
      <c r="O700" s="35" t="s">
        <v>217</v>
      </c>
      <c r="P700" s="35" t="s">
        <v>57</v>
      </c>
      <c r="Q700" s="35" t="s">
        <v>1887</v>
      </c>
      <c r="R700" s="35">
        <v>0.5</v>
      </c>
      <c r="S700" s="35" t="s">
        <v>49</v>
      </c>
      <c r="T700" s="35" t="s">
        <v>49</v>
      </c>
      <c r="U700" s="35" t="s">
        <v>3663</v>
      </c>
      <c r="V700" s="35" t="s">
        <v>2897</v>
      </c>
      <c r="W700" s="35" t="s">
        <v>89</v>
      </c>
      <c r="X700" s="35" t="s">
        <v>108</v>
      </c>
      <c r="Y700" s="35" t="s">
        <v>432</v>
      </c>
      <c r="Z700" s="35" t="s">
        <v>1831</v>
      </c>
      <c r="AA700" s="35" t="s">
        <v>231</v>
      </c>
      <c r="AB700" s="35" t="s">
        <v>60</v>
      </c>
      <c r="AC700" s="35" t="s">
        <v>348</v>
      </c>
      <c r="AD700" s="35" t="s">
        <v>3664</v>
      </c>
      <c r="AE700" s="35" t="s">
        <v>3665</v>
      </c>
      <c r="AF700" s="35" t="s">
        <v>3627</v>
      </c>
      <c r="AG700" s="35" t="s">
        <v>63</v>
      </c>
      <c r="AH700" s="35" t="s">
        <v>145</v>
      </c>
      <c r="AI700" s="35" t="s">
        <v>112</v>
      </c>
      <c r="AJ700" s="35" t="s">
        <v>49</v>
      </c>
      <c r="AK700" s="35" t="s">
        <v>2625</v>
      </c>
      <c r="AL700" s="35" t="s">
        <v>2431</v>
      </c>
      <c r="AM700" s="35"/>
      <c r="AN700" s="36" t="s">
        <v>3680</v>
      </c>
      <c r="AO700" s="36" t="s">
        <v>3681</v>
      </c>
      <c r="AP700" s="37" t="s">
        <v>3669</v>
      </c>
      <c r="AQ700" s="37" t="s">
        <v>3670</v>
      </c>
      <c r="AR700" s="38" t="s">
        <v>224</v>
      </c>
      <c r="AS700" s="38"/>
      <c r="AT700" s="35"/>
      <c r="AU700" s="35"/>
      <c r="AV700" s="13"/>
    </row>
    <row r="701" ht="16.5" customHeight="1">
      <c r="A701" s="35" t="s">
        <v>3682</v>
      </c>
      <c r="B701" s="35" t="s">
        <v>3622</v>
      </c>
      <c r="C701" s="35" t="s">
        <v>213</v>
      </c>
      <c r="D701" s="38" t="s">
        <v>344</v>
      </c>
      <c r="E701" s="35" t="s">
        <v>227</v>
      </c>
      <c r="F701" s="35">
        <v>7285.0</v>
      </c>
      <c r="G701" s="35">
        <v>7182.0</v>
      </c>
      <c r="H701" s="38" t="s">
        <v>1134</v>
      </c>
      <c r="I701" s="35"/>
      <c r="J701" s="35"/>
      <c r="K701" s="35" t="s">
        <v>3095</v>
      </c>
      <c r="L701" s="35" t="s">
        <v>126</v>
      </c>
      <c r="M701" s="38" t="s">
        <v>1549</v>
      </c>
      <c r="N701" s="35" t="s">
        <v>85</v>
      </c>
      <c r="O701" s="35" t="s">
        <v>217</v>
      </c>
      <c r="P701" s="35" t="s">
        <v>57</v>
      </c>
      <c r="Q701" s="35" t="s">
        <v>1887</v>
      </c>
      <c r="R701" s="35">
        <v>0.5</v>
      </c>
      <c r="S701" s="35" t="s">
        <v>49</v>
      </c>
      <c r="T701" s="35" t="s">
        <v>49</v>
      </c>
      <c r="U701" s="35" t="s">
        <v>3663</v>
      </c>
      <c r="V701" s="35" t="s">
        <v>2897</v>
      </c>
      <c r="W701" s="35" t="s">
        <v>1536</v>
      </c>
      <c r="X701" s="35" t="s">
        <v>108</v>
      </c>
      <c r="Y701" s="35" t="s">
        <v>432</v>
      </c>
      <c r="Z701" s="35" t="s">
        <v>1831</v>
      </c>
      <c r="AA701" s="35" t="s">
        <v>231</v>
      </c>
      <c r="AB701" s="35" t="s">
        <v>60</v>
      </c>
      <c r="AC701" s="35" t="s">
        <v>348</v>
      </c>
      <c r="AD701" s="35" t="s">
        <v>3664</v>
      </c>
      <c r="AE701" s="35" t="s">
        <v>3665</v>
      </c>
      <c r="AF701" s="35" t="s">
        <v>3627</v>
      </c>
      <c r="AG701" s="35" t="s">
        <v>63</v>
      </c>
      <c r="AH701" s="35" t="s">
        <v>145</v>
      </c>
      <c r="AI701" s="35" t="s">
        <v>94</v>
      </c>
      <c r="AJ701" s="35" t="s">
        <v>49</v>
      </c>
      <c r="AK701" s="35" t="s">
        <v>2625</v>
      </c>
      <c r="AL701" s="35" t="s">
        <v>2431</v>
      </c>
      <c r="AM701" s="35"/>
      <c r="AN701" s="37" t="s">
        <v>3683</v>
      </c>
      <c r="AO701" s="36" t="s">
        <v>3684</v>
      </c>
      <c r="AP701" s="37" t="s">
        <v>3669</v>
      </c>
      <c r="AQ701" s="37" t="s">
        <v>3670</v>
      </c>
      <c r="AR701" s="38" t="s">
        <v>224</v>
      </c>
      <c r="AS701" s="38"/>
      <c r="AT701" s="35"/>
      <c r="AU701" s="35"/>
      <c r="AV701" s="13"/>
    </row>
    <row r="702" ht="16.5" customHeight="1">
      <c r="A702" s="35" t="s">
        <v>3685</v>
      </c>
      <c r="B702" s="35" t="s">
        <v>3622</v>
      </c>
      <c r="C702" s="35" t="s">
        <v>213</v>
      </c>
      <c r="D702" s="38" t="s">
        <v>344</v>
      </c>
      <c r="E702" s="35" t="s">
        <v>227</v>
      </c>
      <c r="F702" s="35">
        <v>7286.0</v>
      </c>
      <c r="G702" s="35">
        <v>7182.0</v>
      </c>
      <c r="H702" s="38" t="s">
        <v>1134</v>
      </c>
      <c r="I702" s="35"/>
      <c r="J702" s="35"/>
      <c r="K702" s="35" t="s">
        <v>3095</v>
      </c>
      <c r="L702" s="35" t="s">
        <v>126</v>
      </c>
      <c r="M702" s="38" t="s">
        <v>1549</v>
      </c>
      <c r="N702" s="35" t="s">
        <v>85</v>
      </c>
      <c r="O702" s="35" t="s">
        <v>217</v>
      </c>
      <c r="P702" s="35" t="s">
        <v>57</v>
      </c>
      <c r="Q702" s="35" t="s">
        <v>1887</v>
      </c>
      <c r="R702" s="35">
        <v>0.5</v>
      </c>
      <c r="S702" s="35" t="s">
        <v>49</v>
      </c>
      <c r="T702" s="35" t="s">
        <v>49</v>
      </c>
      <c r="U702" s="35" t="s">
        <v>3663</v>
      </c>
      <c r="V702" s="35" t="s">
        <v>2897</v>
      </c>
      <c r="W702" s="35" t="s">
        <v>89</v>
      </c>
      <c r="X702" s="35" t="s">
        <v>108</v>
      </c>
      <c r="Y702" s="35" t="s">
        <v>432</v>
      </c>
      <c r="Z702" s="35" t="s">
        <v>1831</v>
      </c>
      <c r="AA702" s="35" t="s">
        <v>231</v>
      </c>
      <c r="AB702" s="35" t="s">
        <v>60</v>
      </c>
      <c r="AC702" s="35" t="s">
        <v>348</v>
      </c>
      <c r="AD702" s="35" t="s">
        <v>3664</v>
      </c>
      <c r="AE702" s="35" t="s">
        <v>3665</v>
      </c>
      <c r="AF702" s="35" t="s">
        <v>3627</v>
      </c>
      <c r="AG702" s="35" t="s">
        <v>63</v>
      </c>
      <c r="AH702" s="35" t="s">
        <v>145</v>
      </c>
      <c r="AI702" s="35" t="s">
        <v>94</v>
      </c>
      <c r="AJ702" s="35" t="s">
        <v>49</v>
      </c>
      <c r="AK702" s="35" t="s">
        <v>2625</v>
      </c>
      <c r="AL702" s="35" t="s">
        <v>2431</v>
      </c>
      <c r="AM702" s="35"/>
      <c r="AN702" s="37" t="s">
        <v>3686</v>
      </c>
      <c r="AO702" s="36" t="s">
        <v>3687</v>
      </c>
      <c r="AP702" s="37" t="s">
        <v>3669</v>
      </c>
      <c r="AQ702" s="37" t="s">
        <v>3670</v>
      </c>
      <c r="AR702" s="38" t="s">
        <v>224</v>
      </c>
      <c r="AS702" s="38"/>
      <c r="AT702" s="35"/>
      <c r="AU702" s="35"/>
      <c r="AV702" s="13"/>
    </row>
    <row r="703" ht="16.5" hidden="1" customHeight="1">
      <c r="A703" s="35" t="s">
        <v>3688</v>
      </c>
      <c r="B703" s="35" t="s">
        <v>3622</v>
      </c>
      <c r="C703" s="35" t="s">
        <v>213</v>
      </c>
      <c r="D703" s="35" t="s">
        <v>376</v>
      </c>
      <c r="E703" s="35" t="s">
        <v>227</v>
      </c>
      <c r="F703" s="35">
        <v>7187.0</v>
      </c>
      <c r="G703" s="35"/>
      <c r="H703" s="35" t="s">
        <v>3623</v>
      </c>
      <c r="I703" s="35"/>
      <c r="J703" s="35"/>
      <c r="K703" s="35" t="s">
        <v>3095</v>
      </c>
      <c r="L703" s="35" t="s">
        <v>126</v>
      </c>
      <c r="M703" s="35"/>
      <c r="N703" s="35" t="s">
        <v>85</v>
      </c>
      <c r="O703" s="35" t="s">
        <v>217</v>
      </c>
      <c r="P703" s="35" t="s">
        <v>57</v>
      </c>
      <c r="Q703" s="35" t="s">
        <v>1299</v>
      </c>
      <c r="R703" s="35">
        <v>0.6</v>
      </c>
      <c r="S703" s="35" t="s">
        <v>49</v>
      </c>
      <c r="T703" s="35" t="s">
        <v>49</v>
      </c>
      <c r="U703" s="35" t="s">
        <v>3689</v>
      </c>
      <c r="V703" s="35" t="s">
        <v>3690</v>
      </c>
      <c r="W703" s="35" t="s">
        <v>1536</v>
      </c>
      <c r="X703" s="35" t="s">
        <v>108</v>
      </c>
      <c r="Y703" s="35" t="s">
        <v>432</v>
      </c>
      <c r="Z703" s="35" t="s">
        <v>1831</v>
      </c>
      <c r="AA703" s="35" t="s">
        <v>231</v>
      </c>
      <c r="AB703" s="35" t="s">
        <v>60</v>
      </c>
      <c r="AC703" s="35" t="s">
        <v>348</v>
      </c>
      <c r="AD703" s="35" t="s">
        <v>3691</v>
      </c>
      <c r="AE703" s="35" t="s">
        <v>3692</v>
      </c>
      <c r="AF703" s="35" t="s">
        <v>3627</v>
      </c>
      <c r="AG703" s="35" t="s">
        <v>63</v>
      </c>
      <c r="AH703" s="35" t="s">
        <v>145</v>
      </c>
      <c r="AI703" s="35" t="s">
        <v>3666</v>
      </c>
      <c r="AJ703" s="35" t="s">
        <v>49</v>
      </c>
      <c r="AK703" s="35" t="s">
        <v>49</v>
      </c>
      <c r="AL703" s="35" t="s">
        <v>2431</v>
      </c>
      <c r="AM703" s="35"/>
      <c r="AN703" s="36" t="s">
        <v>3693</v>
      </c>
      <c r="AO703" s="36" t="s">
        <v>3694</v>
      </c>
      <c r="AP703" s="37" t="s">
        <v>3695</v>
      </c>
      <c r="AQ703" s="37" t="s">
        <v>3696</v>
      </c>
      <c r="AR703" s="38" t="s">
        <v>224</v>
      </c>
      <c r="AS703" s="38"/>
      <c r="AT703" s="35"/>
      <c r="AU703" s="35"/>
      <c r="AV703" s="13"/>
    </row>
    <row r="704" ht="16.5" customHeight="1">
      <c r="A704" s="35" t="s">
        <v>3697</v>
      </c>
      <c r="B704" s="35" t="s">
        <v>3622</v>
      </c>
      <c r="C704" s="35" t="s">
        <v>213</v>
      </c>
      <c r="D704" s="38" t="s">
        <v>344</v>
      </c>
      <c r="E704" s="35" t="s">
        <v>227</v>
      </c>
      <c r="F704" s="35">
        <v>7187.0</v>
      </c>
      <c r="G704" s="35">
        <v>7187.0</v>
      </c>
      <c r="H704" s="38" t="s">
        <v>1134</v>
      </c>
      <c r="I704" s="35"/>
      <c r="J704" s="35"/>
      <c r="K704" s="35" t="s">
        <v>3095</v>
      </c>
      <c r="L704" s="35" t="s">
        <v>126</v>
      </c>
      <c r="M704" s="38" t="s">
        <v>1549</v>
      </c>
      <c r="N704" s="35" t="s">
        <v>85</v>
      </c>
      <c r="O704" s="35" t="s">
        <v>217</v>
      </c>
      <c r="P704" s="35" t="s">
        <v>57</v>
      </c>
      <c r="Q704" s="35" t="s">
        <v>1299</v>
      </c>
      <c r="R704" s="35">
        <v>0.6</v>
      </c>
      <c r="S704" s="35" t="s">
        <v>49</v>
      </c>
      <c r="T704" s="35" t="s">
        <v>49</v>
      </c>
      <c r="U704" s="35" t="s">
        <v>3689</v>
      </c>
      <c r="V704" s="35" t="s">
        <v>3690</v>
      </c>
      <c r="W704" s="35" t="s">
        <v>1536</v>
      </c>
      <c r="X704" s="35" t="s">
        <v>108</v>
      </c>
      <c r="Y704" s="35" t="s">
        <v>432</v>
      </c>
      <c r="Z704" s="35" t="s">
        <v>1831</v>
      </c>
      <c r="AA704" s="35" t="s">
        <v>231</v>
      </c>
      <c r="AB704" s="35" t="s">
        <v>60</v>
      </c>
      <c r="AC704" s="35" t="s">
        <v>348</v>
      </c>
      <c r="AD704" s="35" t="s">
        <v>3691</v>
      </c>
      <c r="AE704" s="35" t="s">
        <v>3692</v>
      </c>
      <c r="AF704" s="35" t="s">
        <v>3627</v>
      </c>
      <c r="AG704" s="35" t="s">
        <v>63</v>
      </c>
      <c r="AH704" s="35" t="s">
        <v>145</v>
      </c>
      <c r="AI704" s="38" t="s">
        <v>112</v>
      </c>
      <c r="AJ704" s="35" t="s">
        <v>49</v>
      </c>
      <c r="AK704" s="35" t="s">
        <v>2625</v>
      </c>
      <c r="AL704" s="35" t="s">
        <v>2431</v>
      </c>
      <c r="AM704" s="35"/>
      <c r="AN704" s="36" t="s">
        <v>3693</v>
      </c>
      <c r="AO704" s="36" t="s">
        <v>3694</v>
      </c>
      <c r="AP704" s="37" t="s">
        <v>3695</v>
      </c>
      <c r="AQ704" s="37" t="s">
        <v>3696</v>
      </c>
      <c r="AR704" s="38" t="s">
        <v>224</v>
      </c>
      <c r="AS704" s="38"/>
      <c r="AT704" s="35"/>
      <c r="AU704" s="35"/>
      <c r="AV704" s="13"/>
    </row>
    <row r="705" ht="16.5" customHeight="1">
      <c r="A705" s="35" t="s">
        <v>3698</v>
      </c>
      <c r="B705" s="35" t="s">
        <v>3622</v>
      </c>
      <c r="C705" s="35" t="s">
        <v>213</v>
      </c>
      <c r="D705" s="38" t="s">
        <v>344</v>
      </c>
      <c r="E705" s="35" t="s">
        <v>227</v>
      </c>
      <c r="F705" s="35">
        <v>7188.0</v>
      </c>
      <c r="G705" s="35">
        <v>7187.0</v>
      </c>
      <c r="H705" s="38" t="s">
        <v>1134</v>
      </c>
      <c r="I705" s="35"/>
      <c r="J705" s="35"/>
      <c r="K705" s="35" t="s">
        <v>3095</v>
      </c>
      <c r="L705" s="35" t="s">
        <v>126</v>
      </c>
      <c r="M705" s="38" t="s">
        <v>1549</v>
      </c>
      <c r="N705" s="35" t="s">
        <v>85</v>
      </c>
      <c r="O705" s="35" t="s">
        <v>217</v>
      </c>
      <c r="P705" s="35" t="s">
        <v>57</v>
      </c>
      <c r="Q705" s="35" t="s">
        <v>1299</v>
      </c>
      <c r="R705" s="35">
        <v>0.6</v>
      </c>
      <c r="S705" s="35" t="s">
        <v>49</v>
      </c>
      <c r="T705" s="35" t="s">
        <v>49</v>
      </c>
      <c r="U705" s="35" t="s">
        <v>3689</v>
      </c>
      <c r="V705" s="35" t="s">
        <v>3690</v>
      </c>
      <c r="W705" s="35" t="s">
        <v>1536</v>
      </c>
      <c r="X705" s="35" t="s">
        <v>108</v>
      </c>
      <c r="Y705" s="35" t="s">
        <v>432</v>
      </c>
      <c r="Z705" s="35" t="s">
        <v>1831</v>
      </c>
      <c r="AA705" s="35" t="s">
        <v>231</v>
      </c>
      <c r="AB705" s="35" t="s">
        <v>60</v>
      </c>
      <c r="AC705" s="35" t="s">
        <v>348</v>
      </c>
      <c r="AD705" s="35" t="s">
        <v>3691</v>
      </c>
      <c r="AE705" s="35" t="s">
        <v>3692</v>
      </c>
      <c r="AF705" s="35" t="s">
        <v>3627</v>
      </c>
      <c r="AG705" s="35" t="s">
        <v>63</v>
      </c>
      <c r="AH705" s="35" t="s">
        <v>145</v>
      </c>
      <c r="AI705" s="35" t="s">
        <v>490</v>
      </c>
      <c r="AJ705" s="35" t="s">
        <v>49</v>
      </c>
      <c r="AK705" s="35" t="s">
        <v>2625</v>
      </c>
      <c r="AL705" s="35" t="s">
        <v>2431</v>
      </c>
      <c r="AM705" s="35"/>
      <c r="AN705" s="36" t="s">
        <v>3699</v>
      </c>
      <c r="AO705" s="36" t="s">
        <v>3700</v>
      </c>
      <c r="AP705" s="37" t="s">
        <v>3695</v>
      </c>
      <c r="AQ705" s="37" t="s">
        <v>3696</v>
      </c>
      <c r="AR705" s="38" t="s">
        <v>224</v>
      </c>
      <c r="AS705" s="38"/>
      <c r="AT705" s="35"/>
      <c r="AU705" s="35"/>
      <c r="AV705" s="13"/>
    </row>
    <row r="706" ht="16.5" customHeight="1">
      <c r="A706" s="35" t="s">
        <v>3701</v>
      </c>
      <c r="B706" s="35" t="s">
        <v>3622</v>
      </c>
      <c r="C706" s="35" t="s">
        <v>213</v>
      </c>
      <c r="D706" s="38" t="s">
        <v>344</v>
      </c>
      <c r="E706" s="35" t="s">
        <v>227</v>
      </c>
      <c r="F706" s="35">
        <v>7189.0</v>
      </c>
      <c r="G706" s="35">
        <v>7187.0</v>
      </c>
      <c r="H706" s="38" t="s">
        <v>1134</v>
      </c>
      <c r="I706" s="35"/>
      <c r="J706" s="35"/>
      <c r="K706" s="35" t="s">
        <v>3095</v>
      </c>
      <c r="L706" s="35" t="s">
        <v>126</v>
      </c>
      <c r="M706" s="38" t="s">
        <v>1549</v>
      </c>
      <c r="N706" s="35" t="s">
        <v>85</v>
      </c>
      <c r="O706" s="35" t="s">
        <v>217</v>
      </c>
      <c r="P706" s="35" t="s">
        <v>57</v>
      </c>
      <c r="Q706" s="35" t="s">
        <v>1299</v>
      </c>
      <c r="R706" s="35">
        <v>0.6</v>
      </c>
      <c r="S706" s="35" t="s">
        <v>49</v>
      </c>
      <c r="T706" s="35" t="s">
        <v>49</v>
      </c>
      <c r="U706" s="35" t="s">
        <v>3689</v>
      </c>
      <c r="V706" s="35" t="s">
        <v>3690</v>
      </c>
      <c r="W706" s="35" t="s">
        <v>89</v>
      </c>
      <c r="X706" s="35" t="s">
        <v>108</v>
      </c>
      <c r="Y706" s="35" t="s">
        <v>432</v>
      </c>
      <c r="Z706" s="35" t="s">
        <v>1831</v>
      </c>
      <c r="AA706" s="35" t="s">
        <v>231</v>
      </c>
      <c r="AB706" s="35" t="s">
        <v>60</v>
      </c>
      <c r="AC706" s="35" t="s">
        <v>348</v>
      </c>
      <c r="AD706" s="35" t="s">
        <v>3691</v>
      </c>
      <c r="AE706" s="35" t="s">
        <v>3692</v>
      </c>
      <c r="AF706" s="35" t="s">
        <v>3627</v>
      </c>
      <c r="AG706" s="35" t="s">
        <v>63</v>
      </c>
      <c r="AH706" s="35" t="s">
        <v>145</v>
      </c>
      <c r="AI706" s="35" t="s">
        <v>490</v>
      </c>
      <c r="AJ706" s="35" t="s">
        <v>49</v>
      </c>
      <c r="AK706" s="35" t="s">
        <v>2625</v>
      </c>
      <c r="AL706" s="35" t="s">
        <v>2431</v>
      </c>
      <c r="AM706" s="35"/>
      <c r="AN706" s="36" t="s">
        <v>3702</v>
      </c>
      <c r="AO706" s="36" t="s">
        <v>3703</v>
      </c>
      <c r="AP706" s="37" t="s">
        <v>3695</v>
      </c>
      <c r="AQ706" s="37" t="s">
        <v>3696</v>
      </c>
      <c r="AR706" s="38" t="s">
        <v>224</v>
      </c>
      <c r="AS706" s="38"/>
      <c r="AT706" s="35"/>
      <c r="AU706" s="35"/>
      <c r="AV706" s="13"/>
    </row>
    <row r="707" ht="16.5" customHeight="1">
      <c r="A707" s="35" t="s">
        <v>3704</v>
      </c>
      <c r="B707" s="35" t="s">
        <v>3622</v>
      </c>
      <c r="C707" s="35" t="s">
        <v>213</v>
      </c>
      <c r="D707" s="38" t="s">
        <v>344</v>
      </c>
      <c r="E707" s="35" t="s">
        <v>227</v>
      </c>
      <c r="F707" s="35">
        <v>7289.0</v>
      </c>
      <c r="G707" s="35">
        <v>7187.0</v>
      </c>
      <c r="H707" s="38" t="s">
        <v>1134</v>
      </c>
      <c r="I707" s="35"/>
      <c r="J707" s="35"/>
      <c r="K707" s="35" t="s">
        <v>3095</v>
      </c>
      <c r="L707" s="35" t="s">
        <v>126</v>
      </c>
      <c r="M707" s="38" t="s">
        <v>1549</v>
      </c>
      <c r="N707" s="35" t="s">
        <v>85</v>
      </c>
      <c r="O707" s="35" t="s">
        <v>217</v>
      </c>
      <c r="P707" s="35" t="s">
        <v>57</v>
      </c>
      <c r="Q707" s="35" t="s">
        <v>1299</v>
      </c>
      <c r="R707" s="35">
        <v>0.6</v>
      </c>
      <c r="S707" s="35" t="s">
        <v>49</v>
      </c>
      <c r="T707" s="35" t="s">
        <v>49</v>
      </c>
      <c r="U707" s="35" t="s">
        <v>3689</v>
      </c>
      <c r="V707" s="35" t="s">
        <v>3690</v>
      </c>
      <c r="W707" s="35" t="s">
        <v>89</v>
      </c>
      <c r="X707" s="35" t="s">
        <v>108</v>
      </c>
      <c r="Y707" s="35" t="s">
        <v>432</v>
      </c>
      <c r="Z707" s="35" t="s">
        <v>1831</v>
      </c>
      <c r="AA707" s="35" t="s">
        <v>231</v>
      </c>
      <c r="AB707" s="35" t="s">
        <v>60</v>
      </c>
      <c r="AC707" s="35" t="s">
        <v>348</v>
      </c>
      <c r="AD707" s="35" t="s">
        <v>3691</v>
      </c>
      <c r="AE707" s="35" t="s">
        <v>3692</v>
      </c>
      <c r="AF707" s="35" t="s">
        <v>3627</v>
      </c>
      <c r="AG707" s="35" t="s">
        <v>63</v>
      </c>
      <c r="AH707" s="35" t="s">
        <v>145</v>
      </c>
      <c r="AI707" s="35" t="s">
        <v>112</v>
      </c>
      <c r="AJ707" s="35" t="s">
        <v>49</v>
      </c>
      <c r="AK707" s="35" t="s">
        <v>2625</v>
      </c>
      <c r="AL707" s="35" t="s">
        <v>2431</v>
      </c>
      <c r="AM707" s="35"/>
      <c r="AN707" s="36" t="s">
        <v>3705</v>
      </c>
      <c r="AO707" s="36" t="s">
        <v>3706</v>
      </c>
      <c r="AP707" s="37" t="s">
        <v>3695</v>
      </c>
      <c r="AQ707" s="37" t="s">
        <v>3696</v>
      </c>
      <c r="AR707" s="38" t="s">
        <v>224</v>
      </c>
      <c r="AS707" s="38"/>
      <c r="AT707" s="35"/>
      <c r="AU707" s="35"/>
      <c r="AV707" s="13"/>
    </row>
    <row r="708" ht="16.5" customHeight="1">
      <c r="A708" s="35" t="s">
        <v>3707</v>
      </c>
      <c r="B708" s="35" t="s">
        <v>3622</v>
      </c>
      <c r="C708" s="35" t="s">
        <v>213</v>
      </c>
      <c r="D708" s="38" t="s">
        <v>344</v>
      </c>
      <c r="E708" s="35" t="s">
        <v>227</v>
      </c>
      <c r="F708" s="35">
        <v>7290.0</v>
      </c>
      <c r="G708" s="35">
        <v>7187.0</v>
      </c>
      <c r="H708" s="38" t="s">
        <v>1134</v>
      </c>
      <c r="I708" s="35"/>
      <c r="J708" s="35"/>
      <c r="K708" s="35" t="s">
        <v>3095</v>
      </c>
      <c r="L708" s="35" t="s">
        <v>126</v>
      </c>
      <c r="M708" s="38" t="s">
        <v>1549</v>
      </c>
      <c r="N708" s="35" t="s">
        <v>85</v>
      </c>
      <c r="O708" s="35" t="s">
        <v>217</v>
      </c>
      <c r="P708" s="35" t="s">
        <v>57</v>
      </c>
      <c r="Q708" s="35" t="s">
        <v>1299</v>
      </c>
      <c r="R708" s="35">
        <v>0.6</v>
      </c>
      <c r="S708" s="35" t="s">
        <v>49</v>
      </c>
      <c r="T708" s="35" t="s">
        <v>49</v>
      </c>
      <c r="U708" s="35" t="s">
        <v>3689</v>
      </c>
      <c r="V708" s="35" t="s">
        <v>3690</v>
      </c>
      <c r="W708" s="35" t="s">
        <v>1536</v>
      </c>
      <c r="X708" s="35" t="s">
        <v>108</v>
      </c>
      <c r="Y708" s="35" t="s">
        <v>432</v>
      </c>
      <c r="Z708" s="35" t="s">
        <v>1831</v>
      </c>
      <c r="AA708" s="35" t="s">
        <v>231</v>
      </c>
      <c r="AB708" s="35" t="s">
        <v>60</v>
      </c>
      <c r="AC708" s="35" t="s">
        <v>348</v>
      </c>
      <c r="AD708" s="35" t="s">
        <v>3691</v>
      </c>
      <c r="AE708" s="35" t="s">
        <v>3692</v>
      </c>
      <c r="AF708" s="35" t="s">
        <v>3627</v>
      </c>
      <c r="AG708" s="35" t="s">
        <v>63</v>
      </c>
      <c r="AH708" s="35" t="s">
        <v>145</v>
      </c>
      <c r="AI708" s="35" t="s">
        <v>94</v>
      </c>
      <c r="AJ708" s="35" t="s">
        <v>49</v>
      </c>
      <c r="AK708" s="35" t="s">
        <v>2625</v>
      </c>
      <c r="AL708" s="35" t="s">
        <v>2431</v>
      </c>
      <c r="AM708" s="35"/>
      <c r="AN708" s="37" t="s">
        <v>3708</v>
      </c>
      <c r="AO708" s="36" t="s">
        <v>3709</v>
      </c>
      <c r="AP708" s="37" t="s">
        <v>3695</v>
      </c>
      <c r="AQ708" s="37" t="s">
        <v>3696</v>
      </c>
      <c r="AR708" s="38" t="s">
        <v>224</v>
      </c>
      <c r="AS708" s="38"/>
      <c r="AT708" s="35"/>
      <c r="AU708" s="35"/>
      <c r="AV708" s="13"/>
    </row>
    <row r="709" ht="16.5" customHeight="1">
      <c r="A709" s="35" t="s">
        <v>3710</v>
      </c>
      <c r="B709" s="35" t="s">
        <v>3622</v>
      </c>
      <c r="C709" s="35" t="s">
        <v>213</v>
      </c>
      <c r="D709" s="38" t="s">
        <v>344</v>
      </c>
      <c r="E709" s="35" t="s">
        <v>227</v>
      </c>
      <c r="F709" s="35">
        <v>7291.0</v>
      </c>
      <c r="G709" s="35">
        <v>7187.0</v>
      </c>
      <c r="H709" s="38" t="s">
        <v>1134</v>
      </c>
      <c r="I709" s="35"/>
      <c r="J709" s="35"/>
      <c r="K709" s="35" t="s">
        <v>3095</v>
      </c>
      <c r="L709" s="35" t="s">
        <v>126</v>
      </c>
      <c r="M709" s="38" t="s">
        <v>1549</v>
      </c>
      <c r="N709" s="35" t="s">
        <v>85</v>
      </c>
      <c r="O709" s="35" t="s">
        <v>217</v>
      </c>
      <c r="P709" s="35" t="s">
        <v>57</v>
      </c>
      <c r="Q709" s="35" t="s">
        <v>1299</v>
      </c>
      <c r="R709" s="35">
        <v>0.6</v>
      </c>
      <c r="S709" s="35" t="s">
        <v>49</v>
      </c>
      <c r="T709" s="35" t="s">
        <v>49</v>
      </c>
      <c r="U709" s="35" t="s">
        <v>3689</v>
      </c>
      <c r="V709" s="35" t="s">
        <v>3690</v>
      </c>
      <c r="W709" s="35" t="s">
        <v>89</v>
      </c>
      <c r="X709" s="35" t="s">
        <v>108</v>
      </c>
      <c r="Y709" s="35" t="s">
        <v>432</v>
      </c>
      <c r="Z709" s="35" t="s">
        <v>1831</v>
      </c>
      <c r="AA709" s="35" t="s">
        <v>231</v>
      </c>
      <c r="AB709" s="35" t="s">
        <v>60</v>
      </c>
      <c r="AC709" s="35" t="s">
        <v>348</v>
      </c>
      <c r="AD709" s="35" t="s">
        <v>3691</v>
      </c>
      <c r="AE709" s="35" t="s">
        <v>3692</v>
      </c>
      <c r="AF709" s="35" t="s">
        <v>3627</v>
      </c>
      <c r="AG709" s="35" t="s">
        <v>63</v>
      </c>
      <c r="AH709" s="35" t="s">
        <v>145</v>
      </c>
      <c r="AI709" s="35" t="s">
        <v>94</v>
      </c>
      <c r="AJ709" s="35" t="s">
        <v>49</v>
      </c>
      <c r="AK709" s="35" t="s">
        <v>2625</v>
      </c>
      <c r="AL709" s="35" t="s">
        <v>2431</v>
      </c>
      <c r="AM709" s="35"/>
      <c r="AN709" s="37" t="s">
        <v>3711</v>
      </c>
      <c r="AO709" s="36" t="s">
        <v>3712</v>
      </c>
      <c r="AP709" s="37" t="s">
        <v>3695</v>
      </c>
      <c r="AQ709" s="37" t="s">
        <v>3696</v>
      </c>
      <c r="AR709" s="38" t="s">
        <v>224</v>
      </c>
      <c r="AS709" s="38"/>
      <c r="AT709" s="35"/>
      <c r="AU709" s="35"/>
      <c r="AV709" s="13"/>
    </row>
    <row r="710" ht="16.5" hidden="1" customHeight="1">
      <c r="A710" s="35" t="s">
        <v>3713</v>
      </c>
      <c r="B710" s="35" t="s">
        <v>3622</v>
      </c>
      <c r="C710" s="35" t="s">
        <v>213</v>
      </c>
      <c r="D710" s="35" t="s">
        <v>376</v>
      </c>
      <c r="E710" s="35" t="s">
        <v>227</v>
      </c>
      <c r="F710" s="35">
        <v>7185.0</v>
      </c>
      <c r="G710" s="35"/>
      <c r="H710" s="35" t="s">
        <v>3623</v>
      </c>
      <c r="I710" s="35"/>
      <c r="J710" s="35"/>
      <c r="K710" s="35" t="s">
        <v>3095</v>
      </c>
      <c r="L710" s="35" t="s">
        <v>126</v>
      </c>
      <c r="M710" s="35"/>
      <c r="N710" s="35" t="s">
        <v>1610</v>
      </c>
      <c r="O710" s="35" t="s">
        <v>217</v>
      </c>
      <c r="P710" s="35" t="s">
        <v>57</v>
      </c>
      <c r="Q710" s="35" t="s">
        <v>1299</v>
      </c>
      <c r="R710" s="35">
        <v>0.95</v>
      </c>
      <c r="S710" s="35" t="s">
        <v>49</v>
      </c>
      <c r="T710" s="35" t="s">
        <v>49</v>
      </c>
      <c r="U710" s="35" t="s">
        <v>3689</v>
      </c>
      <c r="V710" s="35" t="s">
        <v>3690</v>
      </c>
      <c r="W710" s="35" t="s">
        <v>1536</v>
      </c>
      <c r="X710" s="35" t="s">
        <v>108</v>
      </c>
      <c r="Y710" s="35" t="s">
        <v>432</v>
      </c>
      <c r="Z710" s="35" t="s">
        <v>1831</v>
      </c>
      <c r="AA710" s="35" t="s">
        <v>231</v>
      </c>
      <c r="AB710" s="35" t="s">
        <v>60</v>
      </c>
      <c r="AC710" s="35" t="s">
        <v>348</v>
      </c>
      <c r="AD710" s="35" t="s">
        <v>3691</v>
      </c>
      <c r="AE710" s="35" t="s">
        <v>3692</v>
      </c>
      <c r="AF710" s="35" t="s">
        <v>3627</v>
      </c>
      <c r="AG710" s="35" t="s">
        <v>63</v>
      </c>
      <c r="AH710" s="35" t="s">
        <v>145</v>
      </c>
      <c r="AI710" s="35" t="s">
        <v>490</v>
      </c>
      <c r="AJ710" s="35" t="s">
        <v>49</v>
      </c>
      <c r="AK710" s="35" t="s">
        <v>49</v>
      </c>
      <c r="AL710" s="35" t="s">
        <v>2431</v>
      </c>
      <c r="AM710" s="35"/>
      <c r="AN710" s="36" t="s">
        <v>3714</v>
      </c>
      <c r="AO710" s="36" t="s">
        <v>3715</v>
      </c>
      <c r="AP710" s="37" t="s">
        <v>3695</v>
      </c>
      <c r="AQ710" s="37" t="s">
        <v>3696</v>
      </c>
      <c r="AR710" s="38" t="s">
        <v>224</v>
      </c>
      <c r="AS710" s="38"/>
      <c r="AT710" s="35"/>
      <c r="AU710" s="35"/>
      <c r="AV710" s="13"/>
    </row>
    <row r="711" ht="16.5" hidden="1" customHeight="1">
      <c r="A711" s="7" t="s">
        <v>3716</v>
      </c>
      <c r="B711" s="7" t="s">
        <v>49</v>
      </c>
      <c r="C711" s="7" t="s">
        <v>213</v>
      </c>
      <c r="D711" s="7" t="s">
        <v>376</v>
      </c>
      <c r="E711" s="7" t="s">
        <v>227</v>
      </c>
      <c r="F711" s="7">
        <v>7201.0</v>
      </c>
      <c r="G711" s="7"/>
      <c r="H711" s="14" t="s">
        <v>53</v>
      </c>
      <c r="I711" s="7"/>
      <c r="J711" s="7"/>
      <c r="K711" s="8" t="s">
        <v>2534</v>
      </c>
      <c r="L711" s="8" t="s">
        <v>49</v>
      </c>
      <c r="M711" s="8"/>
      <c r="N711" s="8" t="s">
        <v>85</v>
      </c>
      <c r="O711" s="8" t="s">
        <v>217</v>
      </c>
      <c r="P711" s="8" t="s">
        <v>57</v>
      </c>
      <c r="Q711" s="8" t="s">
        <v>1887</v>
      </c>
      <c r="R711" s="8">
        <v>0.6</v>
      </c>
      <c r="S711" s="8" t="s">
        <v>49</v>
      </c>
      <c r="T711" s="8" t="s">
        <v>49</v>
      </c>
      <c r="U711" s="8" t="s">
        <v>3717</v>
      </c>
      <c r="V711" s="8" t="s">
        <v>3718</v>
      </c>
      <c r="W711" s="8" t="s">
        <v>3719</v>
      </c>
      <c r="X711" s="8" t="s">
        <v>108</v>
      </c>
      <c r="Y711" s="8" t="s">
        <v>1779</v>
      </c>
      <c r="Z711" s="8" t="s">
        <v>92</v>
      </c>
      <c r="AA711" s="8" t="s">
        <v>231</v>
      </c>
      <c r="AB711" s="8" t="s">
        <v>60</v>
      </c>
      <c r="AC711" s="8" t="s">
        <v>348</v>
      </c>
      <c r="AD711" s="8" t="s">
        <v>3720</v>
      </c>
      <c r="AE711" s="8" t="s">
        <v>3721</v>
      </c>
      <c r="AF711" s="8" t="s">
        <v>3722</v>
      </c>
      <c r="AG711" s="8" t="s">
        <v>63</v>
      </c>
      <c r="AH711" s="8" t="s">
        <v>145</v>
      </c>
      <c r="AI711" s="8" t="s">
        <v>112</v>
      </c>
      <c r="AJ711" s="8" t="s">
        <v>49</v>
      </c>
      <c r="AK711" s="8" t="s">
        <v>49</v>
      </c>
      <c r="AL711" s="8" t="s">
        <v>2431</v>
      </c>
      <c r="AM711" s="8"/>
      <c r="AN711" s="9" t="s">
        <v>3723</v>
      </c>
      <c r="AO711" s="9" t="s">
        <v>3724</v>
      </c>
      <c r="AP711" s="10" t="s">
        <v>3725</v>
      </c>
      <c r="AQ711" s="10" t="s">
        <v>3726</v>
      </c>
      <c r="AR711" s="18" t="s">
        <v>3727</v>
      </c>
      <c r="AS711" s="12"/>
      <c r="AT711" s="10" t="s">
        <v>3728</v>
      </c>
      <c r="AU711" s="10" t="s">
        <v>3729</v>
      </c>
      <c r="AV711" s="13"/>
    </row>
    <row r="712" ht="16.5" hidden="1" customHeight="1">
      <c r="A712" s="7" t="s">
        <v>3730</v>
      </c>
      <c r="B712" s="7" t="s">
        <v>49</v>
      </c>
      <c r="C712" s="7" t="s">
        <v>213</v>
      </c>
      <c r="D712" s="14" t="s">
        <v>344</v>
      </c>
      <c r="E712" s="7" t="s">
        <v>227</v>
      </c>
      <c r="F712" s="7">
        <v>7201.0</v>
      </c>
      <c r="G712" s="7">
        <v>7201.0</v>
      </c>
      <c r="H712" s="14" t="s">
        <v>53</v>
      </c>
      <c r="I712" s="7"/>
      <c r="J712" s="7"/>
      <c r="K712" s="8" t="s">
        <v>2534</v>
      </c>
      <c r="L712" s="8" t="s">
        <v>49</v>
      </c>
      <c r="M712" s="8"/>
      <c r="N712" s="8" t="s">
        <v>85</v>
      </c>
      <c r="O712" s="8" t="s">
        <v>217</v>
      </c>
      <c r="P712" s="8" t="s">
        <v>57</v>
      </c>
      <c r="Q712" s="8" t="s">
        <v>1887</v>
      </c>
      <c r="R712" s="8">
        <v>0.6</v>
      </c>
      <c r="S712" s="8" t="s">
        <v>49</v>
      </c>
      <c r="T712" s="8" t="s">
        <v>49</v>
      </c>
      <c r="U712" s="8" t="s">
        <v>3717</v>
      </c>
      <c r="V712" s="8" t="s">
        <v>3718</v>
      </c>
      <c r="W712" s="8" t="s">
        <v>3719</v>
      </c>
      <c r="X712" s="8" t="s">
        <v>108</v>
      </c>
      <c r="Y712" s="8" t="s">
        <v>1779</v>
      </c>
      <c r="Z712" s="8" t="s">
        <v>92</v>
      </c>
      <c r="AA712" s="8" t="s">
        <v>231</v>
      </c>
      <c r="AB712" s="8" t="s">
        <v>60</v>
      </c>
      <c r="AC712" s="8" t="s">
        <v>348</v>
      </c>
      <c r="AD712" s="8" t="s">
        <v>3720</v>
      </c>
      <c r="AE712" s="8" t="s">
        <v>3721</v>
      </c>
      <c r="AF712" s="8" t="s">
        <v>3722</v>
      </c>
      <c r="AG712" s="8" t="s">
        <v>63</v>
      </c>
      <c r="AH712" s="8" t="s">
        <v>145</v>
      </c>
      <c r="AI712" s="8" t="s">
        <v>112</v>
      </c>
      <c r="AJ712" s="8" t="s">
        <v>49</v>
      </c>
      <c r="AK712" s="8" t="s">
        <v>2625</v>
      </c>
      <c r="AL712" s="8" t="s">
        <v>2431</v>
      </c>
      <c r="AM712" s="8"/>
      <c r="AN712" s="16" t="s">
        <v>3723</v>
      </c>
      <c r="AO712" s="9" t="s">
        <v>3724</v>
      </c>
      <c r="AP712" s="10" t="s">
        <v>3725</v>
      </c>
      <c r="AQ712" s="10" t="s">
        <v>3726</v>
      </c>
      <c r="AR712" s="18" t="s">
        <v>3727</v>
      </c>
      <c r="AS712" s="12"/>
      <c r="AT712" s="10" t="s">
        <v>3728</v>
      </c>
      <c r="AU712" s="10" t="s">
        <v>3729</v>
      </c>
      <c r="AV712" s="13"/>
    </row>
    <row r="713" ht="16.5" hidden="1" customHeight="1">
      <c r="A713" s="7" t="s">
        <v>3731</v>
      </c>
      <c r="B713" s="14" t="s">
        <v>49</v>
      </c>
      <c r="C713" s="14" t="s">
        <v>213</v>
      </c>
      <c r="D713" s="14" t="s">
        <v>344</v>
      </c>
      <c r="E713" s="7"/>
      <c r="F713" s="7">
        <v>7202.0</v>
      </c>
      <c r="G713" s="7">
        <v>7201.0</v>
      </c>
      <c r="H713" s="14" t="s">
        <v>53</v>
      </c>
      <c r="I713" s="7"/>
      <c r="J713" s="7"/>
      <c r="K713" s="8" t="s">
        <v>2534</v>
      </c>
      <c r="L713" s="8" t="s">
        <v>49</v>
      </c>
      <c r="M713" s="8"/>
      <c r="N713" s="8" t="s">
        <v>85</v>
      </c>
      <c r="O713" s="8" t="s">
        <v>217</v>
      </c>
      <c r="P713" s="8" t="s">
        <v>57</v>
      </c>
      <c r="Q713" s="8" t="s">
        <v>1887</v>
      </c>
      <c r="R713" s="8">
        <v>0.6</v>
      </c>
      <c r="S713" s="8" t="s">
        <v>49</v>
      </c>
      <c r="T713" s="8" t="s">
        <v>49</v>
      </c>
      <c r="U713" s="8" t="s">
        <v>3717</v>
      </c>
      <c r="V713" s="8" t="s">
        <v>3718</v>
      </c>
      <c r="W713" s="8" t="s">
        <v>89</v>
      </c>
      <c r="X713" s="8" t="s">
        <v>108</v>
      </c>
      <c r="Y713" s="8" t="s">
        <v>1779</v>
      </c>
      <c r="Z713" s="8" t="s">
        <v>92</v>
      </c>
      <c r="AA713" s="8" t="s">
        <v>231</v>
      </c>
      <c r="AB713" s="8" t="s">
        <v>60</v>
      </c>
      <c r="AC713" s="8" t="s">
        <v>348</v>
      </c>
      <c r="AD713" s="8" t="s">
        <v>3720</v>
      </c>
      <c r="AE713" s="8" t="s">
        <v>3721</v>
      </c>
      <c r="AF713" s="8" t="s">
        <v>3722</v>
      </c>
      <c r="AG713" s="8" t="s">
        <v>63</v>
      </c>
      <c r="AH713" s="8" t="s">
        <v>145</v>
      </c>
      <c r="AI713" s="8" t="s">
        <v>112</v>
      </c>
      <c r="AJ713" s="8" t="s">
        <v>49</v>
      </c>
      <c r="AK713" s="8" t="s">
        <v>2625</v>
      </c>
      <c r="AL713" s="8" t="s">
        <v>2431</v>
      </c>
      <c r="AM713" s="8"/>
      <c r="AN713" s="16" t="s">
        <v>3732</v>
      </c>
      <c r="AO713" s="9" t="s">
        <v>3733</v>
      </c>
      <c r="AP713" s="10" t="s">
        <v>3725</v>
      </c>
      <c r="AQ713" s="10" t="s">
        <v>3726</v>
      </c>
      <c r="AR713" s="18" t="s">
        <v>3727</v>
      </c>
      <c r="AS713" s="12"/>
      <c r="AT713" s="10" t="s">
        <v>3728</v>
      </c>
      <c r="AU713" s="10" t="s">
        <v>3734</v>
      </c>
      <c r="AV713" s="13"/>
    </row>
    <row r="714" ht="16.5" hidden="1" customHeight="1">
      <c r="A714" s="7" t="s">
        <v>3735</v>
      </c>
      <c r="B714" s="7" t="s">
        <v>49</v>
      </c>
      <c r="C714" s="7" t="s">
        <v>213</v>
      </c>
      <c r="D714" s="7" t="s">
        <v>376</v>
      </c>
      <c r="E714" s="7" t="s">
        <v>227</v>
      </c>
      <c r="F714" s="7">
        <v>7203.0</v>
      </c>
      <c r="G714" s="7"/>
      <c r="H714" s="14" t="s">
        <v>53</v>
      </c>
      <c r="I714" s="7"/>
      <c r="J714" s="7"/>
      <c r="K714" s="8" t="s">
        <v>2534</v>
      </c>
      <c r="L714" s="8" t="s">
        <v>49</v>
      </c>
      <c r="M714" s="8"/>
      <c r="N714" s="8" t="s">
        <v>85</v>
      </c>
      <c r="O714" s="8" t="s">
        <v>217</v>
      </c>
      <c r="P714" s="8" t="s">
        <v>57</v>
      </c>
      <c r="Q714" s="8" t="s">
        <v>140</v>
      </c>
      <c r="R714" s="8">
        <v>0.6</v>
      </c>
      <c r="S714" s="8" t="s">
        <v>49</v>
      </c>
      <c r="T714" s="8" t="s">
        <v>49</v>
      </c>
      <c r="U714" s="8" t="s">
        <v>3340</v>
      </c>
      <c r="V714" s="8" t="s">
        <v>3736</v>
      </c>
      <c r="W714" s="8" t="s">
        <v>3719</v>
      </c>
      <c r="X714" s="8" t="s">
        <v>108</v>
      </c>
      <c r="Y714" s="8" t="s">
        <v>1779</v>
      </c>
      <c r="Z714" s="8" t="s">
        <v>92</v>
      </c>
      <c r="AA714" s="8" t="s">
        <v>231</v>
      </c>
      <c r="AB714" s="8" t="s">
        <v>60</v>
      </c>
      <c r="AC714" s="8" t="s">
        <v>348</v>
      </c>
      <c r="AD714" s="8" t="s">
        <v>3737</v>
      </c>
      <c r="AE714" s="8" t="s">
        <v>3738</v>
      </c>
      <c r="AF714" s="8" t="s">
        <v>3739</v>
      </c>
      <c r="AG714" s="8" t="s">
        <v>63</v>
      </c>
      <c r="AH714" s="8" t="s">
        <v>145</v>
      </c>
      <c r="AI714" s="8" t="s">
        <v>112</v>
      </c>
      <c r="AJ714" s="8" t="s">
        <v>49</v>
      </c>
      <c r="AK714" s="8" t="s">
        <v>49</v>
      </c>
      <c r="AL714" s="8" t="s">
        <v>2431</v>
      </c>
      <c r="AM714" s="8"/>
      <c r="AN714" s="9" t="s">
        <v>3740</v>
      </c>
      <c r="AO714" s="9" t="s">
        <v>3741</v>
      </c>
      <c r="AP714" s="10" t="s">
        <v>3725</v>
      </c>
      <c r="AQ714" s="10" t="s">
        <v>3742</v>
      </c>
      <c r="AR714" s="18" t="s">
        <v>3743</v>
      </c>
      <c r="AS714" s="12"/>
      <c r="AT714" s="10" t="s">
        <v>3744</v>
      </c>
      <c r="AU714" s="10" t="s">
        <v>3745</v>
      </c>
      <c r="AV714" s="13"/>
    </row>
    <row r="715" ht="16.5" hidden="1" customHeight="1">
      <c r="A715" s="7" t="s">
        <v>3746</v>
      </c>
      <c r="B715" s="7" t="s">
        <v>49</v>
      </c>
      <c r="C715" s="7" t="s">
        <v>213</v>
      </c>
      <c r="D715" s="14" t="s">
        <v>344</v>
      </c>
      <c r="E715" s="7" t="s">
        <v>227</v>
      </c>
      <c r="F715" s="7">
        <v>7203.0</v>
      </c>
      <c r="G715" s="7">
        <v>7203.0</v>
      </c>
      <c r="H715" s="14" t="s">
        <v>53</v>
      </c>
      <c r="I715" s="7"/>
      <c r="J715" s="7"/>
      <c r="K715" s="8" t="s">
        <v>2534</v>
      </c>
      <c r="L715" s="8" t="s">
        <v>49</v>
      </c>
      <c r="M715" s="8"/>
      <c r="N715" s="8" t="s">
        <v>85</v>
      </c>
      <c r="O715" s="8" t="s">
        <v>217</v>
      </c>
      <c r="P715" s="8" t="s">
        <v>57</v>
      </c>
      <c r="Q715" s="8" t="s">
        <v>140</v>
      </c>
      <c r="R715" s="8">
        <v>0.6</v>
      </c>
      <c r="S715" s="8" t="s">
        <v>49</v>
      </c>
      <c r="T715" s="8" t="s">
        <v>49</v>
      </c>
      <c r="U715" s="8" t="s">
        <v>3340</v>
      </c>
      <c r="V715" s="8" t="s">
        <v>3736</v>
      </c>
      <c r="W715" s="8" t="s">
        <v>3719</v>
      </c>
      <c r="X715" s="8" t="s">
        <v>108</v>
      </c>
      <c r="Y715" s="8" t="s">
        <v>1779</v>
      </c>
      <c r="Z715" s="8" t="s">
        <v>92</v>
      </c>
      <c r="AA715" s="8" t="s">
        <v>231</v>
      </c>
      <c r="AB715" s="8" t="s">
        <v>60</v>
      </c>
      <c r="AC715" s="8" t="s">
        <v>348</v>
      </c>
      <c r="AD715" s="8" t="s">
        <v>3737</v>
      </c>
      <c r="AE715" s="8" t="s">
        <v>3738</v>
      </c>
      <c r="AF715" s="8" t="s">
        <v>3739</v>
      </c>
      <c r="AG715" s="8" t="s">
        <v>63</v>
      </c>
      <c r="AH715" s="8" t="s">
        <v>145</v>
      </c>
      <c r="AI715" s="8" t="s">
        <v>112</v>
      </c>
      <c r="AJ715" s="8" t="s">
        <v>49</v>
      </c>
      <c r="AK715" s="8" t="s">
        <v>2625</v>
      </c>
      <c r="AL715" s="8" t="s">
        <v>2431</v>
      </c>
      <c r="AM715" s="8"/>
      <c r="AN715" s="9" t="s">
        <v>3740</v>
      </c>
      <c r="AO715" s="9" t="s">
        <v>3741</v>
      </c>
      <c r="AP715" s="10" t="s">
        <v>3725</v>
      </c>
      <c r="AQ715" s="10" t="s">
        <v>3742</v>
      </c>
      <c r="AR715" s="18" t="s">
        <v>3743</v>
      </c>
      <c r="AS715" s="12"/>
      <c r="AT715" s="10" t="s">
        <v>3744</v>
      </c>
      <c r="AU715" s="10" t="s">
        <v>3745</v>
      </c>
      <c r="AV715" s="13"/>
    </row>
    <row r="716" ht="16.5" hidden="1" customHeight="1">
      <c r="A716" s="7" t="s">
        <v>3747</v>
      </c>
      <c r="B716" s="14" t="s">
        <v>49</v>
      </c>
      <c r="C716" s="14" t="s">
        <v>213</v>
      </c>
      <c r="D716" s="14" t="s">
        <v>344</v>
      </c>
      <c r="E716" s="7"/>
      <c r="F716" s="7">
        <v>7204.0</v>
      </c>
      <c r="G716" s="7">
        <v>7203.0</v>
      </c>
      <c r="H716" s="14" t="s">
        <v>53</v>
      </c>
      <c r="I716" s="7"/>
      <c r="J716" s="7"/>
      <c r="K716" s="8" t="s">
        <v>2534</v>
      </c>
      <c r="L716" s="8" t="s">
        <v>49</v>
      </c>
      <c r="M716" s="8"/>
      <c r="N716" s="8" t="s">
        <v>85</v>
      </c>
      <c r="O716" s="8" t="s">
        <v>217</v>
      </c>
      <c r="P716" s="8" t="s">
        <v>57</v>
      </c>
      <c r="Q716" s="8" t="s">
        <v>140</v>
      </c>
      <c r="R716" s="8">
        <v>0.6</v>
      </c>
      <c r="S716" s="8" t="s">
        <v>49</v>
      </c>
      <c r="T716" s="8" t="s">
        <v>49</v>
      </c>
      <c r="U716" s="8" t="s">
        <v>3340</v>
      </c>
      <c r="V716" s="8" t="s">
        <v>3736</v>
      </c>
      <c r="W716" s="8" t="s">
        <v>89</v>
      </c>
      <c r="X716" s="8" t="s">
        <v>108</v>
      </c>
      <c r="Y716" s="8" t="s">
        <v>1779</v>
      </c>
      <c r="Z716" s="8" t="s">
        <v>92</v>
      </c>
      <c r="AA716" s="8" t="s">
        <v>231</v>
      </c>
      <c r="AB716" s="8" t="s">
        <v>60</v>
      </c>
      <c r="AC716" s="8" t="s">
        <v>348</v>
      </c>
      <c r="AD716" s="8" t="s">
        <v>3737</v>
      </c>
      <c r="AE716" s="8" t="s">
        <v>3738</v>
      </c>
      <c r="AF716" s="8" t="s">
        <v>3739</v>
      </c>
      <c r="AG716" s="8" t="s">
        <v>63</v>
      </c>
      <c r="AH716" s="8" t="s">
        <v>145</v>
      </c>
      <c r="AI716" s="8" t="s">
        <v>112</v>
      </c>
      <c r="AJ716" s="8" t="s">
        <v>49</v>
      </c>
      <c r="AK716" s="8" t="s">
        <v>2625</v>
      </c>
      <c r="AL716" s="8" t="s">
        <v>2431</v>
      </c>
      <c r="AM716" s="8"/>
      <c r="AN716" s="9" t="s">
        <v>3748</v>
      </c>
      <c r="AO716" s="9" t="s">
        <v>3749</v>
      </c>
      <c r="AP716" s="10" t="s">
        <v>3725</v>
      </c>
      <c r="AQ716" s="10" t="s">
        <v>3742</v>
      </c>
      <c r="AR716" s="18" t="s">
        <v>3743</v>
      </c>
      <c r="AS716" s="12"/>
      <c r="AT716" s="10" t="s">
        <v>3744</v>
      </c>
      <c r="AU716" s="10" t="s">
        <v>3750</v>
      </c>
      <c r="AV716" s="13"/>
    </row>
    <row r="717" ht="16.5" hidden="1" customHeight="1">
      <c r="A717" s="7" t="s">
        <v>3751</v>
      </c>
      <c r="B717" s="7" t="s">
        <v>49</v>
      </c>
      <c r="C717" s="7" t="s">
        <v>213</v>
      </c>
      <c r="D717" s="7" t="s">
        <v>376</v>
      </c>
      <c r="E717" s="7" t="s">
        <v>227</v>
      </c>
      <c r="F717" s="7">
        <v>7205.0</v>
      </c>
      <c r="G717" s="7"/>
      <c r="H717" s="14" t="s">
        <v>53</v>
      </c>
      <c r="I717" s="7"/>
      <c r="J717" s="7"/>
      <c r="K717" s="8" t="s">
        <v>2534</v>
      </c>
      <c r="L717" s="8" t="s">
        <v>49</v>
      </c>
      <c r="M717" s="8"/>
      <c r="N717" s="8" t="s">
        <v>85</v>
      </c>
      <c r="O717" s="8" t="s">
        <v>217</v>
      </c>
      <c r="P717" s="8" t="s">
        <v>57</v>
      </c>
      <c r="Q717" s="8" t="s">
        <v>1865</v>
      </c>
      <c r="R717" s="8">
        <v>0.6</v>
      </c>
      <c r="S717" s="8" t="s">
        <v>49</v>
      </c>
      <c r="T717" s="8" t="s">
        <v>49</v>
      </c>
      <c r="U717" s="8" t="s">
        <v>3330</v>
      </c>
      <c r="V717" s="8" t="s">
        <v>3331</v>
      </c>
      <c r="W717" s="8" t="s">
        <v>3719</v>
      </c>
      <c r="X717" s="8" t="s">
        <v>108</v>
      </c>
      <c r="Y717" s="8" t="s">
        <v>1779</v>
      </c>
      <c r="Z717" s="8" t="s">
        <v>92</v>
      </c>
      <c r="AA717" s="8" t="s">
        <v>231</v>
      </c>
      <c r="AB717" s="8" t="s">
        <v>60</v>
      </c>
      <c r="AC717" s="8" t="s">
        <v>348</v>
      </c>
      <c r="AD717" s="8" t="s">
        <v>3752</v>
      </c>
      <c r="AE717" s="8" t="s">
        <v>3753</v>
      </c>
      <c r="AF717" s="8" t="s">
        <v>3754</v>
      </c>
      <c r="AG717" s="8" t="s">
        <v>63</v>
      </c>
      <c r="AH717" s="8" t="s">
        <v>145</v>
      </c>
      <c r="AI717" s="8" t="s">
        <v>112</v>
      </c>
      <c r="AJ717" s="8" t="s">
        <v>49</v>
      </c>
      <c r="AK717" s="8" t="s">
        <v>49</v>
      </c>
      <c r="AL717" s="8" t="s">
        <v>2431</v>
      </c>
      <c r="AM717" s="8"/>
      <c r="AN717" s="9" t="s">
        <v>3755</v>
      </c>
      <c r="AO717" s="9" t="s">
        <v>3756</v>
      </c>
      <c r="AP717" s="10" t="s">
        <v>3725</v>
      </c>
      <c r="AQ717" s="10" t="s">
        <v>3757</v>
      </c>
      <c r="AR717" s="18" t="s">
        <v>3758</v>
      </c>
      <c r="AS717" s="12"/>
      <c r="AT717" s="10" t="s">
        <v>3759</v>
      </c>
      <c r="AU717" s="10" t="s">
        <v>3760</v>
      </c>
      <c r="AV717" s="13"/>
    </row>
    <row r="718" ht="16.5" hidden="1" customHeight="1">
      <c r="A718" s="7" t="s">
        <v>3761</v>
      </c>
      <c r="B718" s="7" t="s">
        <v>49</v>
      </c>
      <c r="C718" s="7" t="s">
        <v>213</v>
      </c>
      <c r="D718" s="14" t="s">
        <v>344</v>
      </c>
      <c r="E718" s="7" t="s">
        <v>227</v>
      </c>
      <c r="F718" s="7">
        <v>7205.0</v>
      </c>
      <c r="G718" s="7">
        <v>7205.0</v>
      </c>
      <c r="H718" s="14" t="s">
        <v>53</v>
      </c>
      <c r="I718" s="7"/>
      <c r="J718" s="7"/>
      <c r="K718" s="8" t="s">
        <v>2534</v>
      </c>
      <c r="L718" s="8" t="s">
        <v>49</v>
      </c>
      <c r="M718" s="8"/>
      <c r="N718" s="8" t="s">
        <v>85</v>
      </c>
      <c r="O718" s="8" t="s">
        <v>217</v>
      </c>
      <c r="P718" s="8" t="s">
        <v>57</v>
      </c>
      <c r="Q718" s="8" t="s">
        <v>1865</v>
      </c>
      <c r="R718" s="8">
        <v>0.55</v>
      </c>
      <c r="S718" s="8" t="s">
        <v>49</v>
      </c>
      <c r="T718" s="8" t="s">
        <v>49</v>
      </c>
      <c r="U718" s="8" t="s">
        <v>3330</v>
      </c>
      <c r="V718" s="8" t="s">
        <v>3331</v>
      </c>
      <c r="W718" s="8" t="s">
        <v>3719</v>
      </c>
      <c r="X718" s="8" t="s">
        <v>108</v>
      </c>
      <c r="Y718" s="8" t="s">
        <v>1779</v>
      </c>
      <c r="Z718" s="8" t="s">
        <v>92</v>
      </c>
      <c r="AA718" s="8" t="s">
        <v>231</v>
      </c>
      <c r="AB718" s="8" t="s">
        <v>60</v>
      </c>
      <c r="AC718" s="8" t="s">
        <v>348</v>
      </c>
      <c r="AD718" s="8" t="s">
        <v>3752</v>
      </c>
      <c r="AE718" s="8" t="s">
        <v>3753</v>
      </c>
      <c r="AF718" s="8" t="s">
        <v>3754</v>
      </c>
      <c r="AG718" s="8" t="s">
        <v>63</v>
      </c>
      <c r="AH718" s="8" t="s">
        <v>145</v>
      </c>
      <c r="AI718" s="8" t="s">
        <v>112</v>
      </c>
      <c r="AJ718" s="8" t="s">
        <v>49</v>
      </c>
      <c r="AK718" s="8" t="s">
        <v>2625</v>
      </c>
      <c r="AL718" s="8" t="s">
        <v>2431</v>
      </c>
      <c r="AM718" s="8"/>
      <c r="AN718" s="16" t="s">
        <v>3755</v>
      </c>
      <c r="AO718" s="9" t="s">
        <v>3756</v>
      </c>
      <c r="AP718" s="10" t="s">
        <v>3725</v>
      </c>
      <c r="AQ718" s="10" t="s">
        <v>3757</v>
      </c>
      <c r="AR718" s="18" t="s">
        <v>3758</v>
      </c>
      <c r="AS718" s="12"/>
      <c r="AT718" s="10" t="s">
        <v>3759</v>
      </c>
      <c r="AU718" s="10" t="s">
        <v>3760</v>
      </c>
      <c r="AV718" s="13"/>
    </row>
    <row r="719" ht="16.5" hidden="1" customHeight="1">
      <c r="A719" s="7" t="s">
        <v>3762</v>
      </c>
      <c r="B719" s="14" t="s">
        <v>49</v>
      </c>
      <c r="C719" s="14" t="s">
        <v>213</v>
      </c>
      <c r="D719" s="14" t="s">
        <v>344</v>
      </c>
      <c r="E719" s="7"/>
      <c r="F719" s="7">
        <v>7206.0</v>
      </c>
      <c r="G719" s="7">
        <v>7205.0</v>
      </c>
      <c r="H719" s="14" t="s">
        <v>53</v>
      </c>
      <c r="I719" s="7"/>
      <c r="J719" s="7"/>
      <c r="K719" s="8" t="s">
        <v>2534</v>
      </c>
      <c r="L719" s="8" t="s">
        <v>49</v>
      </c>
      <c r="M719" s="8"/>
      <c r="N719" s="8" t="s">
        <v>85</v>
      </c>
      <c r="O719" s="8" t="s">
        <v>217</v>
      </c>
      <c r="P719" s="8" t="s">
        <v>57</v>
      </c>
      <c r="Q719" s="8" t="s">
        <v>1865</v>
      </c>
      <c r="R719" s="8">
        <v>0.55</v>
      </c>
      <c r="S719" s="8" t="s">
        <v>49</v>
      </c>
      <c r="T719" s="8" t="s">
        <v>49</v>
      </c>
      <c r="U719" s="8" t="s">
        <v>3330</v>
      </c>
      <c r="V719" s="8" t="s">
        <v>3331</v>
      </c>
      <c r="W719" s="8" t="s">
        <v>89</v>
      </c>
      <c r="X719" s="8" t="s">
        <v>108</v>
      </c>
      <c r="Y719" s="8" t="s">
        <v>1779</v>
      </c>
      <c r="Z719" s="8" t="s">
        <v>92</v>
      </c>
      <c r="AA719" s="8" t="s">
        <v>231</v>
      </c>
      <c r="AB719" s="8" t="s">
        <v>60</v>
      </c>
      <c r="AC719" s="8" t="s">
        <v>348</v>
      </c>
      <c r="AD719" s="8" t="s">
        <v>3752</v>
      </c>
      <c r="AE719" s="8" t="s">
        <v>3753</v>
      </c>
      <c r="AF719" s="8" t="s">
        <v>3754</v>
      </c>
      <c r="AG719" s="8" t="s">
        <v>63</v>
      </c>
      <c r="AH719" s="8" t="s">
        <v>145</v>
      </c>
      <c r="AI719" s="8" t="s">
        <v>112</v>
      </c>
      <c r="AJ719" s="8" t="s">
        <v>49</v>
      </c>
      <c r="AK719" s="8" t="s">
        <v>2625</v>
      </c>
      <c r="AL719" s="8" t="s">
        <v>2431</v>
      </c>
      <c r="AM719" s="8"/>
      <c r="AN719" s="16" t="s">
        <v>3763</v>
      </c>
      <c r="AO719" s="9" t="s">
        <v>3764</v>
      </c>
      <c r="AP719" s="10" t="s">
        <v>3725</v>
      </c>
      <c r="AQ719" s="10" t="s">
        <v>3757</v>
      </c>
      <c r="AR719" s="18" t="s">
        <v>3758</v>
      </c>
      <c r="AS719" s="12"/>
      <c r="AT719" s="10" t="s">
        <v>3759</v>
      </c>
      <c r="AU719" s="10" t="s">
        <v>3765</v>
      </c>
      <c r="AV719" s="13"/>
    </row>
    <row r="720" ht="16.5" hidden="1" customHeight="1">
      <c r="A720" s="7" t="s">
        <v>3766</v>
      </c>
      <c r="B720" s="7" t="s">
        <v>2007</v>
      </c>
      <c r="C720" s="7" t="s">
        <v>213</v>
      </c>
      <c r="D720" s="7" t="s">
        <v>214</v>
      </c>
      <c r="E720" s="7" t="s">
        <v>227</v>
      </c>
      <c r="F720" s="7">
        <v>7211.0</v>
      </c>
      <c r="G720" s="7"/>
      <c r="H720" s="7"/>
      <c r="I720" s="7"/>
      <c r="J720" s="7"/>
      <c r="K720" s="8" t="s">
        <v>2008</v>
      </c>
      <c r="L720" s="8" t="s">
        <v>377</v>
      </c>
      <c r="M720" s="8"/>
      <c r="N720" s="8" t="s">
        <v>85</v>
      </c>
      <c r="O720" s="8" t="s">
        <v>56</v>
      </c>
      <c r="P720" s="8" t="s">
        <v>57</v>
      </c>
      <c r="Q720" s="8" t="s">
        <v>3767</v>
      </c>
      <c r="R720" s="8">
        <v>0.95</v>
      </c>
      <c r="S720" s="8" t="s">
        <v>49</v>
      </c>
      <c r="T720" s="8" t="s">
        <v>49</v>
      </c>
      <c r="U720" s="8" t="s">
        <v>3768</v>
      </c>
      <c r="V720" s="8" t="s">
        <v>1829</v>
      </c>
      <c r="W720" s="8" t="s">
        <v>2623</v>
      </c>
      <c r="X720" s="8" t="s">
        <v>108</v>
      </c>
      <c r="Y720" s="8" t="s">
        <v>3769</v>
      </c>
      <c r="Z720" s="8" t="s">
        <v>1831</v>
      </c>
      <c r="AA720" s="8" t="s">
        <v>231</v>
      </c>
      <c r="AB720" s="8" t="s">
        <v>60</v>
      </c>
      <c r="AC720" s="8" t="s">
        <v>219</v>
      </c>
      <c r="AD720" s="8" t="s">
        <v>3770</v>
      </c>
      <c r="AE720" s="8" t="s">
        <v>55</v>
      </c>
      <c r="AF720" s="8" t="s">
        <v>55</v>
      </c>
      <c r="AG720" s="8" t="s">
        <v>63</v>
      </c>
      <c r="AH720" s="8" t="s">
        <v>145</v>
      </c>
      <c r="AI720" s="8" t="s">
        <v>112</v>
      </c>
      <c r="AJ720" s="8" t="s">
        <v>49</v>
      </c>
      <c r="AK720" s="8" t="s">
        <v>49</v>
      </c>
      <c r="AL720" s="8" t="s">
        <v>720</v>
      </c>
      <c r="AM720" s="8"/>
      <c r="AN720" s="9" t="s">
        <v>3771</v>
      </c>
      <c r="AO720" s="9" t="s">
        <v>3772</v>
      </c>
      <c r="AP720" s="10" t="s">
        <v>3037</v>
      </c>
      <c r="AQ720" s="10" t="s">
        <v>3773</v>
      </c>
      <c r="AR720" s="10" t="s">
        <v>3774</v>
      </c>
      <c r="AS720" s="12"/>
      <c r="AT720" s="10" t="s">
        <v>3775</v>
      </c>
      <c r="AU720" s="10" t="s">
        <v>3776</v>
      </c>
      <c r="AV720" s="13"/>
    </row>
    <row r="721" ht="16.5" hidden="1" customHeight="1">
      <c r="A721" s="7" t="s">
        <v>3777</v>
      </c>
      <c r="B721" s="7" t="s">
        <v>2007</v>
      </c>
      <c r="C721" s="14" t="s">
        <v>213</v>
      </c>
      <c r="D721" s="14" t="s">
        <v>214</v>
      </c>
      <c r="E721" s="7"/>
      <c r="F721" s="7">
        <v>7211.0</v>
      </c>
      <c r="G721" s="7">
        <v>7211.0</v>
      </c>
      <c r="H721" s="14" t="s">
        <v>53</v>
      </c>
      <c r="I721" s="7"/>
      <c r="J721" s="7"/>
      <c r="K721" s="8" t="s">
        <v>2008</v>
      </c>
      <c r="L721" s="8" t="s">
        <v>377</v>
      </c>
      <c r="M721" s="8"/>
      <c r="N721" s="8" t="s">
        <v>85</v>
      </c>
      <c r="O721" s="8" t="s">
        <v>56</v>
      </c>
      <c r="P721" s="8" t="s">
        <v>57</v>
      </c>
      <c r="Q721" s="8" t="s">
        <v>3767</v>
      </c>
      <c r="R721" s="8">
        <v>0.95</v>
      </c>
      <c r="S721" s="8" t="s">
        <v>49</v>
      </c>
      <c r="T721" s="8" t="s">
        <v>49</v>
      </c>
      <c r="U721" s="8" t="s">
        <v>3768</v>
      </c>
      <c r="V721" s="8" t="s">
        <v>1829</v>
      </c>
      <c r="W721" s="8" t="s">
        <v>2623</v>
      </c>
      <c r="X721" s="8" t="s">
        <v>108</v>
      </c>
      <c r="Y721" s="8" t="s">
        <v>3769</v>
      </c>
      <c r="Z721" s="8" t="s">
        <v>1831</v>
      </c>
      <c r="AA721" s="8" t="s">
        <v>231</v>
      </c>
      <c r="AB721" s="8" t="s">
        <v>60</v>
      </c>
      <c r="AC721" s="8" t="s">
        <v>219</v>
      </c>
      <c r="AD721" s="8" t="s">
        <v>3770</v>
      </c>
      <c r="AE721" s="8" t="s">
        <v>55</v>
      </c>
      <c r="AF721" s="8" t="s">
        <v>55</v>
      </c>
      <c r="AG721" s="8" t="s">
        <v>63</v>
      </c>
      <c r="AH721" s="8" t="s">
        <v>145</v>
      </c>
      <c r="AI721" s="8" t="s">
        <v>112</v>
      </c>
      <c r="AJ721" s="8" t="s">
        <v>49</v>
      </c>
      <c r="AK721" s="8" t="s">
        <v>2940</v>
      </c>
      <c r="AL721" s="8" t="s">
        <v>720</v>
      </c>
      <c r="AM721" s="8" t="s">
        <v>2799</v>
      </c>
      <c r="AN721" s="9" t="s">
        <v>3771</v>
      </c>
      <c r="AO721" s="9" t="s">
        <v>3772</v>
      </c>
      <c r="AP721" s="10" t="s">
        <v>3037</v>
      </c>
      <c r="AQ721" s="10" t="s">
        <v>3773</v>
      </c>
      <c r="AR721" s="10" t="s">
        <v>3774</v>
      </c>
      <c r="AS721" s="12"/>
      <c r="AT721" s="10" t="s">
        <v>3775</v>
      </c>
      <c r="AU721" s="10" t="s">
        <v>3776</v>
      </c>
      <c r="AV721" s="15">
        <v>46315.0</v>
      </c>
    </row>
    <row r="722" ht="16.5" hidden="1" customHeight="1">
      <c r="A722" s="7" t="s">
        <v>3778</v>
      </c>
      <c r="B722" s="7" t="s">
        <v>2007</v>
      </c>
      <c r="C722" s="14" t="s">
        <v>213</v>
      </c>
      <c r="D722" s="14" t="s">
        <v>214</v>
      </c>
      <c r="E722" s="7"/>
      <c r="F722" s="7">
        <v>7212.0</v>
      </c>
      <c r="G722" s="7">
        <v>7211.0</v>
      </c>
      <c r="H722" s="14" t="s">
        <v>53</v>
      </c>
      <c r="I722" s="7"/>
      <c r="J722" s="7"/>
      <c r="K722" s="8" t="s">
        <v>2008</v>
      </c>
      <c r="L722" s="8" t="s">
        <v>377</v>
      </c>
      <c r="M722" s="8"/>
      <c r="N722" s="8" t="s">
        <v>85</v>
      </c>
      <c r="O722" s="8" t="s">
        <v>56</v>
      </c>
      <c r="P722" s="8" t="s">
        <v>57</v>
      </c>
      <c r="Q722" s="8" t="s">
        <v>3767</v>
      </c>
      <c r="R722" s="8">
        <v>0.95</v>
      </c>
      <c r="S722" s="8" t="s">
        <v>49</v>
      </c>
      <c r="T722" s="8" t="s">
        <v>49</v>
      </c>
      <c r="U722" s="8" t="s">
        <v>3768</v>
      </c>
      <c r="V722" s="8" t="s">
        <v>1829</v>
      </c>
      <c r="W722" s="8" t="s">
        <v>2623</v>
      </c>
      <c r="X722" s="8" t="s">
        <v>108</v>
      </c>
      <c r="Y722" s="8" t="s">
        <v>3769</v>
      </c>
      <c r="Z722" s="8" t="s">
        <v>1831</v>
      </c>
      <c r="AA722" s="8" t="s">
        <v>231</v>
      </c>
      <c r="AB722" s="8" t="s">
        <v>60</v>
      </c>
      <c r="AC722" s="8" t="s">
        <v>219</v>
      </c>
      <c r="AD722" s="8" t="s">
        <v>3770</v>
      </c>
      <c r="AE722" s="8" t="s">
        <v>55</v>
      </c>
      <c r="AF722" s="8" t="s">
        <v>55</v>
      </c>
      <c r="AG722" s="8" t="s">
        <v>63</v>
      </c>
      <c r="AH722" s="8" t="s">
        <v>145</v>
      </c>
      <c r="AI722" s="8" t="s">
        <v>94</v>
      </c>
      <c r="AJ722" s="8" t="s">
        <v>49</v>
      </c>
      <c r="AK722" s="8" t="s">
        <v>2940</v>
      </c>
      <c r="AL722" s="8" t="s">
        <v>720</v>
      </c>
      <c r="AM722" s="8" t="s">
        <v>2799</v>
      </c>
      <c r="AN722" s="9" t="s">
        <v>3779</v>
      </c>
      <c r="AO722" s="9" t="s">
        <v>3780</v>
      </c>
      <c r="AP722" s="10" t="s">
        <v>3037</v>
      </c>
      <c r="AQ722" s="10" t="s">
        <v>3773</v>
      </c>
      <c r="AR722" s="10" t="s">
        <v>3774</v>
      </c>
      <c r="AS722" s="12"/>
      <c r="AT722" s="10" t="s">
        <v>3775</v>
      </c>
      <c r="AU722" s="10" t="s">
        <v>3776</v>
      </c>
      <c r="AV722" s="13"/>
    </row>
    <row r="723" ht="16.5" hidden="1" customHeight="1">
      <c r="A723" s="7" t="s">
        <v>3781</v>
      </c>
      <c r="B723" s="7" t="s">
        <v>2007</v>
      </c>
      <c r="C723" s="14" t="s">
        <v>213</v>
      </c>
      <c r="D723" s="14" t="s">
        <v>214</v>
      </c>
      <c r="E723" s="7"/>
      <c r="F723" s="7">
        <v>7213.0</v>
      </c>
      <c r="G723" s="7">
        <v>7211.0</v>
      </c>
      <c r="H723" s="14" t="s">
        <v>53</v>
      </c>
      <c r="I723" s="7"/>
      <c r="J723" s="7"/>
      <c r="K723" s="8" t="s">
        <v>2008</v>
      </c>
      <c r="L723" s="8" t="s">
        <v>377</v>
      </c>
      <c r="M723" s="8"/>
      <c r="N723" s="8" t="s">
        <v>85</v>
      </c>
      <c r="O723" s="8" t="s">
        <v>56</v>
      </c>
      <c r="P723" s="8" t="s">
        <v>57</v>
      </c>
      <c r="Q723" s="8" t="s">
        <v>3782</v>
      </c>
      <c r="R723" s="8">
        <v>0.65</v>
      </c>
      <c r="S723" s="8" t="s">
        <v>49</v>
      </c>
      <c r="T723" s="8" t="s">
        <v>49</v>
      </c>
      <c r="U723" s="8" t="s">
        <v>3783</v>
      </c>
      <c r="V723" s="8" t="s">
        <v>1700</v>
      </c>
      <c r="W723" s="8" t="s">
        <v>2623</v>
      </c>
      <c r="X723" s="8" t="s">
        <v>108</v>
      </c>
      <c r="Y723" s="8" t="s">
        <v>3769</v>
      </c>
      <c r="Z723" s="8" t="s">
        <v>2382</v>
      </c>
      <c r="AA723" s="8" t="s">
        <v>231</v>
      </c>
      <c r="AB723" s="8" t="s">
        <v>60</v>
      </c>
      <c r="AC723" s="8" t="s">
        <v>219</v>
      </c>
      <c r="AD723" s="8" t="s">
        <v>3784</v>
      </c>
      <c r="AE723" s="8" t="s">
        <v>55</v>
      </c>
      <c r="AF723" s="8" t="s">
        <v>55</v>
      </c>
      <c r="AG723" s="8" t="s">
        <v>63</v>
      </c>
      <c r="AH723" s="8" t="s">
        <v>145</v>
      </c>
      <c r="AI723" s="8" t="s">
        <v>112</v>
      </c>
      <c r="AJ723" s="8" t="s">
        <v>49</v>
      </c>
      <c r="AK723" s="8" t="s">
        <v>2940</v>
      </c>
      <c r="AL723" s="8" t="s">
        <v>720</v>
      </c>
      <c r="AM723" s="8" t="s">
        <v>2799</v>
      </c>
      <c r="AN723" s="9" t="s">
        <v>3785</v>
      </c>
      <c r="AO723" s="9" t="s">
        <v>3786</v>
      </c>
      <c r="AP723" s="10" t="s">
        <v>3037</v>
      </c>
      <c r="AQ723" s="10" t="s">
        <v>3787</v>
      </c>
      <c r="AR723" s="10" t="s">
        <v>3788</v>
      </c>
      <c r="AS723" s="12"/>
      <c r="AT723" s="10" t="s">
        <v>3789</v>
      </c>
      <c r="AU723" s="10" t="s">
        <v>3790</v>
      </c>
      <c r="AV723" s="15">
        <v>46315.0</v>
      </c>
    </row>
    <row r="724" ht="16.5" hidden="1" customHeight="1">
      <c r="A724" s="7" t="s">
        <v>3791</v>
      </c>
      <c r="B724" s="7" t="s">
        <v>2007</v>
      </c>
      <c r="C724" s="14" t="s">
        <v>213</v>
      </c>
      <c r="D724" s="14" t="s">
        <v>214</v>
      </c>
      <c r="E724" s="7"/>
      <c r="F724" s="7">
        <v>7214.0</v>
      </c>
      <c r="G724" s="7">
        <v>7211.0</v>
      </c>
      <c r="H724" s="14" t="s">
        <v>53</v>
      </c>
      <c r="I724" s="7"/>
      <c r="J724" s="7"/>
      <c r="K724" s="8" t="s">
        <v>2008</v>
      </c>
      <c r="L724" s="8" t="s">
        <v>377</v>
      </c>
      <c r="M724" s="8"/>
      <c r="N724" s="8" t="s">
        <v>85</v>
      </c>
      <c r="O724" s="8" t="s">
        <v>56</v>
      </c>
      <c r="P724" s="8" t="s">
        <v>57</v>
      </c>
      <c r="Q724" s="8" t="s">
        <v>3782</v>
      </c>
      <c r="R724" s="8">
        <v>0.65</v>
      </c>
      <c r="S724" s="8" t="s">
        <v>49</v>
      </c>
      <c r="T724" s="8" t="s">
        <v>49</v>
      </c>
      <c r="U724" s="8" t="s">
        <v>3783</v>
      </c>
      <c r="V724" s="8" t="s">
        <v>1700</v>
      </c>
      <c r="W724" s="8" t="s">
        <v>2623</v>
      </c>
      <c r="X724" s="8" t="s">
        <v>108</v>
      </c>
      <c r="Y724" s="8" t="s">
        <v>3769</v>
      </c>
      <c r="Z724" s="8" t="s">
        <v>2382</v>
      </c>
      <c r="AA724" s="8" t="s">
        <v>231</v>
      </c>
      <c r="AB724" s="8" t="s">
        <v>60</v>
      </c>
      <c r="AC724" s="8" t="s">
        <v>219</v>
      </c>
      <c r="AD724" s="8" t="s">
        <v>3784</v>
      </c>
      <c r="AE724" s="8" t="s">
        <v>55</v>
      </c>
      <c r="AF724" s="8" t="s">
        <v>55</v>
      </c>
      <c r="AG724" s="8" t="s">
        <v>63</v>
      </c>
      <c r="AH724" s="8" t="s">
        <v>145</v>
      </c>
      <c r="AI724" s="8" t="s">
        <v>94</v>
      </c>
      <c r="AJ724" s="8" t="s">
        <v>49</v>
      </c>
      <c r="AK724" s="8" t="s">
        <v>2940</v>
      </c>
      <c r="AL724" s="8" t="s">
        <v>720</v>
      </c>
      <c r="AM724" s="8" t="s">
        <v>2799</v>
      </c>
      <c r="AN724" s="9" t="s">
        <v>3792</v>
      </c>
      <c r="AO724" s="9" t="s">
        <v>3793</v>
      </c>
      <c r="AP724" s="10" t="s">
        <v>3037</v>
      </c>
      <c r="AQ724" s="10" t="s">
        <v>3787</v>
      </c>
      <c r="AR724" s="10" t="s">
        <v>3788</v>
      </c>
      <c r="AS724" s="12"/>
      <c r="AT724" s="10" t="s">
        <v>3789</v>
      </c>
      <c r="AU724" s="10" t="s">
        <v>3790</v>
      </c>
      <c r="AV724" s="13"/>
    </row>
    <row r="725" ht="16.5" hidden="1" customHeight="1">
      <c r="A725" s="7" t="s">
        <v>3794</v>
      </c>
      <c r="B725" s="7" t="s">
        <v>2420</v>
      </c>
      <c r="C725" s="7" t="s">
        <v>213</v>
      </c>
      <c r="D725" s="14" t="s">
        <v>344</v>
      </c>
      <c r="E725" s="7" t="s">
        <v>227</v>
      </c>
      <c r="F725" s="7">
        <v>7215.0</v>
      </c>
      <c r="G725" s="7"/>
      <c r="H725" s="14" t="s">
        <v>53</v>
      </c>
      <c r="I725" s="7"/>
      <c r="J725" s="7"/>
      <c r="K725" s="8" t="s">
        <v>84</v>
      </c>
      <c r="L725" s="8" t="s">
        <v>49</v>
      </c>
      <c r="M725" s="12" t="s">
        <v>1549</v>
      </c>
      <c r="N725" s="8" t="s">
        <v>2421</v>
      </c>
      <c r="O725" s="8" t="s">
        <v>217</v>
      </c>
      <c r="P725" s="8" t="s">
        <v>57</v>
      </c>
      <c r="Q725" s="8" t="s">
        <v>1161</v>
      </c>
      <c r="R725" s="8">
        <v>0.9</v>
      </c>
      <c r="S725" s="8" t="s">
        <v>49</v>
      </c>
      <c r="T725" s="8" t="s">
        <v>49</v>
      </c>
      <c r="U725" s="8" t="s">
        <v>3795</v>
      </c>
      <c r="V725" s="8" t="s">
        <v>1163</v>
      </c>
      <c r="W725" s="8" t="s">
        <v>3796</v>
      </c>
      <c r="X725" s="8" t="s">
        <v>108</v>
      </c>
      <c r="Y725" s="8" t="s">
        <v>1685</v>
      </c>
      <c r="Z725" s="8" t="s">
        <v>92</v>
      </c>
      <c r="AA725" s="8" t="s">
        <v>2462</v>
      </c>
      <c r="AB725" s="8" t="s">
        <v>60</v>
      </c>
      <c r="AC725" s="8" t="s">
        <v>348</v>
      </c>
      <c r="AD725" s="8" t="s">
        <v>3797</v>
      </c>
      <c r="AE725" s="8" t="s">
        <v>2427</v>
      </c>
      <c r="AF725" s="8" t="s">
        <v>3754</v>
      </c>
      <c r="AG725" s="8" t="s">
        <v>2429</v>
      </c>
      <c r="AH725" s="8" t="s">
        <v>111</v>
      </c>
      <c r="AI725" s="8" t="s">
        <v>112</v>
      </c>
      <c r="AJ725" s="8" t="s">
        <v>2430</v>
      </c>
      <c r="AK725" s="8" t="s">
        <v>1422</v>
      </c>
      <c r="AL725" s="8" t="s">
        <v>2431</v>
      </c>
      <c r="AM725" s="8"/>
      <c r="AN725" s="16" t="s">
        <v>3798</v>
      </c>
      <c r="AO725" s="9" t="s">
        <v>3799</v>
      </c>
      <c r="AP725" s="10" t="s">
        <v>2435</v>
      </c>
      <c r="AQ725" s="11"/>
      <c r="AR725" s="10" t="s">
        <v>3800</v>
      </c>
      <c r="AS725" s="12"/>
      <c r="AT725" s="10" t="s">
        <v>3801</v>
      </c>
      <c r="AU725" s="10" t="s">
        <v>3802</v>
      </c>
      <c r="AV725" s="15">
        <v>46315.0</v>
      </c>
    </row>
    <row r="726" ht="16.5" hidden="1" customHeight="1">
      <c r="A726" s="7" t="s">
        <v>3803</v>
      </c>
      <c r="B726" s="14" t="s">
        <v>49</v>
      </c>
      <c r="C726" s="14" t="s">
        <v>213</v>
      </c>
      <c r="D726" s="14" t="s">
        <v>51</v>
      </c>
      <c r="E726" s="7"/>
      <c r="F726" s="7">
        <v>7216.0</v>
      </c>
      <c r="G726" s="7">
        <v>6736.0</v>
      </c>
      <c r="H726" s="14" t="s">
        <v>53</v>
      </c>
      <c r="I726" s="7"/>
      <c r="J726" s="7"/>
      <c r="K726" s="8" t="s">
        <v>84</v>
      </c>
      <c r="L726" s="8" t="s">
        <v>377</v>
      </c>
      <c r="M726" s="8"/>
      <c r="N726" s="8" t="s">
        <v>85</v>
      </c>
      <c r="O726" s="8" t="s">
        <v>217</v>
      </c>
      <c r="P726" s="8" t="s">
        <v>57</v>
      </c>
      <c r="Q726" s="8" t="s">
        <v>140</v>
      </c>
      <c r="R726" s="8">
        <v>0.5</v>
      </c>
      <c r="S726" s="8" t="s">
        <v>49</v>
      </c>
      <c r="T726" s="8" t="s">
        <v>49</v>
      </c>
      <c r="U726" s="8" t="s">
        <v>3804</v>
      </c>
      <c r="V726" s="8" t="s">
        <v>1301</v>
      </c>
      <c r="W726" s="8" t="s">
        <v>1778</v>
      </c>
      <c r="X726" s="8" t="s">
        <v>108</v>
      </c>
      <c r="Y726" s="8" t="s">
        <v>1779</v>
      </c>
      <c r="Z726" s="8" t="s">
        <v>130</v>
      </c>
      <c r="AA726" s="8" t="s">
        <v>3805</v>
      </c>
      <c r="AB726" s="8" t="s">
        <v>60</v>
      </c>
      <c r="AC726" s="8" t="s">
        <v>61</v>
      </c>
      <c r="AD726" s="8" t="s">
        <v>1780</v>
      </c>
      <c r="AE726" s="8" t="s">
        <v>55</v>
      </c>
      <c r="AF726" s="8" t="s">
        <v>55</v>
      </c>
      <c r="AG726" s="8" t="s">
        <v>63</v>
      </c>
      <c r="AH726" s="8" t="s">
        <v>145</v>
      </c>
      <c r="AI726" s="8" t="s">
        <v>112</v>
      </c>
      <c r="AJ726" s="8" t="s">
        <v>49</v>
      </c>
      <c r="AK726" s="8" t="s">
        <v>95</v>
      </c>
      <c r="AL726" s="8" t="s">
        <v>66</v>
      </c>
      <c r="AM726" s="8" t="s">
        <v>3806</v>
      </c>
      <c r="AN726" s="9" t="s">
        <v>3807</v>
      </c>
      <c r="AO726" s="9" t="s">
        <v>3808</v>
      </c>
      <c r="AP726" s="10" t="s">
        <v>1784</v>
      </c>
      <c r="AQ726" s="10" t="s">
        <v>3809</v>
      </c>
      <c r="AR726" s="10" t="s">
        <v>3810</v>
      </c>
      <c r="AS726" s="12"/>
      <c r="AT726" s="10" t="s">
        <v>1787</v>
      </c>
      <c r="AU726" s="10" t="s">
        <v>3811</v>
      </c>
      <c r="AV726" s="13"/>
    </row>
    <row r="727" ht="16.5" hidden="1" customHeight="1">
      <c r="A727" s="7" t="s">
        <v>3812</v>
      </c>
      <c r="B727" s="14" t="s">
        <v>49</v>
      </c>
      <c r="C727" s="14" t="s">
        <v>213</v>
      </c>
      <c r="D727" s="14" t="s">
        <v>51</v>
      </c>
      <c r="E727" s="7"/>
      <c r="F727" s="7">
        <v>7217.0</v>
      </c>
      <c r="G727" s="7">
        <v>6736.0</v>
      </c>
      <c r="H727" s="14" t="s">
        <v>53</v>
      </c>
      <c r="I727" s="7"/>
      <c r="J727" s="7"/>
      <c r="K727" s="8" t="s">
        <v>84</v>
      </c>
      <c r="L727" s="8" t="s">
        <v>377</v>
      </c>
      <c r="M727" s="8"/>
      <c r="N727" s="8" t="s">
        <v>85</v>
      </c>
      <c r="O727" s="8" t="s">
        <v>217</v>
      </c>
      <c r="P727" s="8" t="s">
        <v>57</v>
      </c>
      <c r="Q727" s="8" t="s">
        <v>140</v>
      </c>
      <c r="R727" s="8">
        <v>0.5</v>
      </c>
      <c r="S727" s="8" t="s">
        <v>49</v>
      </c>
      <c r="T727" s="8" t="s">
        <v>49</v>
      </c>
      <c r="U727" s="8" t="s">
        <v>3804</v>
      </c>
      <c r="V727" s="8" t="s">
        <v>1301</v>
      </c>
      <c r="W727" s="8" t="s">
        <v>1778</v>
      </c>
      <c r="X727" s="8" t="s">
        <v>108</v>
      </c>
      <c r="Y727" s="8" t="s">
        <v>1779</v>
      </c>
      <c r="Z727" s="8" t="s">
        <v>130</v>
      </c>
      <c r="AA727" s="8" t="s">
        <v>3805</v>
      </c>
      <c r="AB727" s="8" t="s">
        <v>60</v>
      </c>
      <c r="AC727" s="8" t="s">
        <v>61</v>
      </c>
      <c r="AD727" s="8" t="s">
        <v>1780</v>
      </c>
      <c r="AE727" s="8" t="s">
        <v>55</v>
      </c>
      <c r="AF727" s="8" t="s">
        <v>55</v>
      </c>
      <c r="AG727" s="8" t="s">
        <v>63</v>
      </c>
      <c r="AH727" s="8" t="s">
        <v>145</v>
      </c>
      <c r="AI727" s="8" t="s">
        <v>94</v>
      </c>
      <c r="AJ727" s="8" t="s">
        <v>49</v>
      </c>
      <c r="AK727" s="8" t="s">
        <v>95</v>
      </c>
      <c r="AL727" s="8" t="s">
        <v>66</v>
      </c>
      <c r="AM727" s="8" t="s">
        <v>3806</v>
      </c>
      <c r="AN727" s="16" t="s">
        <v>3813</v>
      </c>
      <c r="AO727" s="9" t="s">
        <v>3814</v>
      </c>
      <c r="AP727" s="10" t="s">
        <v>1784</v>
      </c>
      <c r="AQ727" s="10" t="s">
        <v>3809</v>
      </c>
      <c r="AR727" s="10" t="s">
        <v>3810</v>
      </c>
      <c r="AS727" s="12"/>
      <c r="AT727" s="10" t="s">
        <v>1787</v>
      </c>
      <c r="AU727" s="10" t="s">
        <v>3811</v>
      </c>
      <c r="AV727" s="13"/>
    </row>
    <row r="728" ht="16.5" hidden="1" customHeight="1">
      <c r="A728" s="7" t="s">
        <v>3815</v>
      </c>
      <c r="B728" s="14" t="s">
        <v>49</v>
      </c>
      <c r="C728" s="14" t="s">
        <v>213</v>
      </c>
      <c r="D728" s="14" t="s">
        <v>51</v>
      </c>
      <c r="E728" s="7"/>
      <c r="F728" s="7">
        <v>7218.0</v>
      </c>
      <c r="G728" s="7">
        <v>6736.0</v>
      </c>
      <c r="H728" s="14" t="s">
        <v>53</v>
      </c>
      <c r="I728" s="7"/>
      <c r="J728" s="7"/>
      <c r="K728" s="8" t="s">
        <v>84</v>
      </c>
      <c r="L728" s="8" t="s">
        <v>377</v>
      </c>
      <c r="M728" s="8"/>
      <c r="N728" s="8" t="s">
        <v>85</v>
      </c>
      <c r="O728" s="8" t="s">
        <v>217</v>
      </c>
      <c r="P728" s="8" t="s">
        <v>57</v>
      </c>
      <c r="Q728" s="8" t="s">
        <v>1865</v>
      </c>
      <c r="R728" s="8">
        <v>0.45</v>
      </c>
      <c r="S728" s="8" t="s">
        <v>49</v>
      </c>
      <c r="T728" s="8" t="s">
        <v>49</v>
      </c>
      <c r="U728" s="8" t="s">
        <v>3816</v>
      </c>
      <c r="V728" s="8" t="s">
        <v>2924</v>
      </c>
      <c r="W728" s="8" t="s">
        <v>1778</v>
      </c>
      <c r="X728" s="8" t="s">
        <v>108</v>
      </c>
      <c r="Y728" s="8" t="s">
        <v>1779</v>
      </c>
      <c r="Z728" s="8" t="s">
        <v>130</v>
      </c>
      <c r="AA728" s="8" t="s">
        <v>3805</v>
      </c>
      <c r="AB728" s="8" t="s">
        <v>60</v>
      </c>
      <c r="AC728" s="8" t="s">
        <v>61</v>
      </c>
      <c r="AD728" s="8" t="s">
        <v>2578</v>
      </c>
      <c r="AE728" s="8" t="s">
        <v>55</v>
      </c>
      <c r="AF728" s="8" t="s">
        <v>55</v>
      </c>
      <c r="AG728" s="8" t="s">
        <v>63</v>
      </c>
      <c r="AH728" s="8" t="s">
        <v>145</v>
      </c>
      <c r="AI728" s="8" t="s">
        <v>112</v>
      </c>
      <c r="AJ728" s="8" t="s">
        <v>49</v>
      </c>
      <c r="AK728" s="8" t="s">
        <v>95</v>
      </c>
      <c r="AL728" s="8" t="s">
        <v>66</v>
      </c>
      <c r="AM728" s="8" t="s">
        <v>3806</v>
      </c>
      <c r="AN728" s="16" t="s">
        <v>3817</v>
      </c>
      <c r="AO728" s="9" t="s">
        <v>3808</v>
      </c>
      <c r="AP728" s="10" t="s">
        <v>1784</v>
      </c>
      <c r="AQ728" s="10" t="s">
        <v>3818</v>
      </c>
      <c r="AR728" s="10" t="s">
        <v>3819</v>
      </c>
      <c r="AS728" s="12"/>
      <c r="AT728" s="10" t="s">
        <v>2583</v>
      </c>
      <c r="AU728" s="10" t="s">
        <v>3820</v>
      </c>
      <c r="AV728" s="13"/>
    </row>
    <row r="729" ht="16.5" hidden="1" customHeight="1">
      <c r="A729" s="7" t="s">
        <v>3821</v>
      </c>
      <c r="B729" s="14" t="s">
        <v>49</v>
      </c>
      <c r="C729" s="14" t="s">
        <v>213</v>
      </c>
      <c r="D729" s="14" t="s">
        <v>51</v>
      </c>
      <c r="E729" s="7"/>
      <c r="F729" s="7">
        <v>7219.0</v>
      </c>
      <c r="G729" s="7">
        <v>6736.0</v>
      </c>
      <c r="H729" s="14" t="s">
        <v>53</v>
      </c>
      <c r="I729" s="7"/>
      <c r="J729" s="7"/>
      <c r="K729" s="8" t="s">
        <v>84</v>
      </c>
      <c r="L729" s="8" t="s">
        <v>377</v>
      </c>
      <c r="M729" s="8"/>
      <c r="N729" s="8" t="s">
        <v>85</v>
      </c>
      <c r="O729" s="8" t="s">
        <v>217</v>
      </c>
      <c r="P729" s="8" t="s">
        <v>57</v>
      </c>
      <c r="Q729" s="8" t="s">
        <v>1865</v>
      </c>
      <c r="R729" s="8">
        <v>0.45</v>
      </c>
      <c r="S729" s="8" t="s">
        <v>49</v>
      </c>
      <c r="T729" s="8" t="s">
        <v>49</v>
      </c>
      <c r="U729" s="8" t="s">
        <v>3816</v>
      </c>
      <c r="V729" s="8" t="s">
        <v>2924</v>
      </c>
      <c r="W729" s="8" t="s">
        <v>1778</v>
      </c>
      <c r="X729" s="8" t="s">
        <v>108</v>
      </c>
      <c r="Y729" s="8" t="s">
        <v>1779</v>
      </c>
      <c r="Z729" s="8" t="s">
        <v>130</v>
      </c>
      <c r="AA729" s="8" t="s">
        <v>3805</v>
      </c>
      <c r="AB729" s="8" t="s">
        <v>60</v>
      </c>
      <c r="AC729" s="8" t="s">
        <v>61</v>
      </c>
      <c r="AD729" s="8" t="s">
        <v>2578</v>
      </c>
      <c r="AE729" s="8" t="s">
        <v>55</v>
      </c>
      <c r="AF729" s="8" t="s">
        <v>55</v>
      </c>
      <c r="AG729" s="8" t="s">
        <v>63</v>
      </c>
      <c r="AH729" s="8" t="s">
        <v>145</v>
      </c>
      <c r="AI729" s="8" t="s">
        <v>94</v>
      </c>
      <c r="AJ729" s="8" t="s">
        <v>49</v>
      </c>
      <c r="AK729" s="8" t="s">
        <v>95</v>
      </c>
      <c r="AL729" s="8" t="s">
        <v>66</v>
      </c>
      <c r="AM729" s="8" t="s">
        <v>3806</v>
      </c>
      <c r="AN729" s="16" t="s">
        <v>3822</v>
      </c>
      <c r="AO729" s="9" t="s">
        <v>3814</v>
      </c>
      <c r="AP729" s="10" t="s">
        <v>1784</v>
      </c>
      <c r="AQ729" s="10" t="s">
        <v>3818</v>
      </c>
      <c r="AR729" s="10" t="s">
        <v>3819</v>
      </c>
      <c r="AS729" s="12"/>
      <c r="AT729" s="10" t="s">
        <v>2583</v>
      </c>
      <c r="AU729" s="10" t="s">
        <v>3820</v>
      </c>
      <c r="AV729" s="15">
        <v>46315.0</v>
      </c>
    </row>
    <row r="730" ht="16.5" hidden="1" customHeight="1">
      <c r="A730" s="7" t="s">
        <v>3823</v>
      </c>
      <c r="B730" s="7" t="s">
        <v>49</v>
      </c>
      <c r="C730" s="7" t="s">
        <v>213</v>
      </c>
      <c r="D730" s="7" t="s">
        <v>920</v>
      </c>
      <c r="E730" s="7" t="s">
        <v>227</v>
      </c>
      <c r="F730" s="7">
        <v>7220.0</v>
      </c>
      <c r="G730" s="7"/>
      <c r="H730" s="14" t="s">
        <v>53</v>
      </c>
      <c r="I730" s="7"/>
      <c r="J730" s="7"/>
      <c r="K730" s="8" t="s">
        <v>55</v>
      </c>
      <c r="L730" s="8" t="s">
        <v>55</v>
      </c>
      <c r="M730" s="8"/>
      <c r="N730" s="8" t="s">
        <v>55</v>
      </c>
      <c r="O730" s="8" t="s">
        <v>55</v>
      </c>
      <c r="P730" s="8" t="s">
        <v>55</v>
      </c>
      <c r="Q730" s="8" t="s">
        <v>49</v>
      </c>
      <c r="R730" s="8" t="s">
        <v>49</v>
      </c>
      <c r="S730" s="8" t="s">
        <v>49</v>
      </c>
      <c r="T730" s="8" t="s">
        <v>49</v>
      </c>
      <c r="U730" s="8" t="s">
        <v>49</v>
      </c>
      <c r="V730" s="8" t="s">
        <v>49</v>
      </c>
      <c r="W730" s="8" t="s">
        <v>49</v>
      </c>
      <c r="X730" s="8" t="s">
        <v>49</v>
      </c>
      <c r="Y730" s="8" t="s">
        <v>49</v>
      </c>
      <c r="Z730" s="8" t="s">
        <v>49</v>
      </c>
      <c r="AA730" s="8" t="s">
        <v>55</v>
      </c>
      <c r="AB730" s="8" t="s">
        <v>55</v>
      </c>
      <c r="AC730" s="8" t="s">
        <v>55</v>
      </c>
      <c r="AD730" s="8" t="s">
        <v>3824</v>
      </c>
      <c r="AE730" s="8" t="s">
        <v>3825</v>
      </c>
      <c r="AF730" s="8" t="s">
        <v>49</v>
      </c>
      <c r="AG730" s="8" t="s">
        <v>63</v>
      </c>
      <c r="AH730" s="8" t="s">
        <v>55</v>
      </c>
      <c r="AI730" s="8" t="s">
        <v>94</v>
      </c>
      <c r="AJ730" s="8" t="s">
        <v>49</v>
      </c>
      <c r="AK730" s="8" t="s">
        <v>49</v>
      </c>
      <c r="AL730" s="8" t="s">
        <v>720</v>
      </c>
      <c r="AM730" s="8"/>
      <c r="AN730" s="9" t="s">
        <v>3826</v>
      </c>
      <c r="AO730" s="9" t="s">
        <v>3827</v>
      </c>
      <c r="AP730" s="17" t="s">
        <v>55</v>
      </c>
      <c r="AQ730" s="11"/>
      <c r="AR730" s="11"/>
      <c r="AS730" s="12"/>
      <c r="AT730" s="10" t="s">
        <v>3828</v>
      </c>
      <c r="AU730" s="11"/>
      <c r="AV730" s="13"/>
    </row>
    <row r="731" ht="16.5" hidden="1" customHeight="1">
      <c r="A731" s="7" t="s">
        <v>3829</v>
      </c>
      <c r="B731" s="7" t="s">
        <v>49</v>
      </c>
      <c r="C731" s="7" t="s">
        <v>213</v>
      </c>
      <c r="D731" s="7" t="s">
        <v>920</v>
      </c>
      <c r="E731" s="7" t="s">
        <v>227</v>
      </c>
      <c r="F731" s="7">
        <v>7220.0</v>
      </c>
      <c r="G731" s="7">
        <v>7220.0</v>
      </c>
      <c r="H731" s="14" t="s">
        <v>53</v>
      </c>
      <c r="I731" s="7"/>
      <c r="J731" s="7"/>
      <c r="K731" s="8" t="s">
        <v>55</v>
      </c>
      <c r="L731" s="8" t="s">
        <v>55</v>
      </c>
      <c r="M731" s="12" t="s">
        <v>55</v>
      </c>
      <c r="N731" s="8" t="s">
        <v>55</v>
      </c>
      <c r="O731" s="8" t="s">
        <v>55</v>
      </c>
      <c r="P731" s="8" t="s">
        <v>55</v>
      </c>
      <c r="Q731" s="8" t="s">
        <v>49</v>
      </c>
      <c r="R731" s="8" t="s">
        <v>49</v>
      </c>
      <c r="S731" s="8" t="s">
        <v>49</v>
      </c>
      <c r="T731" s="8" t="s">
        <v>49</v>
      </c>
      <c r="U731" s="8" t="s">
        <v>49</v>
      </c>
      <c r="V731" s="8" t="s">
        <v>49</v>
      </c>
      <c r="W731" s="8" t="s">
        <v>49</v>
      </c>
      <c r="X731" s="8" t="s">
        <v>55</v>
      </c>
      <c r="Y731" s="8" t="s">
        <v>55</v>
      </c>
      <c r="Z731" s="8" t="s">
        <v>55</v>
      </c>
      <c r="AA731" s="8" t="s">
        <v>55</v>
      </c>
      <c r="AB731" s="8" t="s">
        <v>55</v>
      </c>
      <c r="AC731" s="8" t="s">
        <v>55</v>
      </c>
      <c r="AD731" s="8" t="s">
        <v>3824</v>
      </c>
      <c r="AE731" s="8" t="s">
        <v>3825</v>
      </c>
      <c r="AF731" s="8" t="s">
        <v>49</v>
      </c>
      <c r="AG731" s="8" t="s">
        <v>63</v>
      </c>
      <c r="AH731" s="8" t="s">
        <v>55</v>
      </c>
      <c r="AI731" s="8" t="s">
        <v>94</v>
      </c>
      <c r="AJ731" s="8" t="s">
        <v>49</v>
      </c>
      <c r="AK731" s="8" t="s">
        <v>55</v>
      </c>
      <c r="AL731" s="8" t="s">
        <v>720</v>
      </c>
      <c r="AM731" s="8"/>
      <c r="AN731" s="9" t="s">
        <v>3826</v>
      </c>
      <c r="AO731" s="9" t="s">
        <v>3827</v>
      </c>
      <c r="AP731" s="17" t="s">
        <v>3830</v>
      </c>
      <c r="AQ731" s="11"/>
      <c r="AR731" s="11"/>
      <c r="AS731" s="12"/>
      <c r="AT731" s="10" t="s">
        <v>3828</v>
      </c>
      <c r="AU731" s="11"/>
      <c r="AV731" s="15">
        <v>46315.0</v>
      </c>
    </row>
    <row r="732" ht="16.5" hidden="1" customHeight="1">
      <c r="A732" s="7" t="s">
        <v>3831</v>
      </c>
      <c r="B732" s="14" t="s">
        <v>49</v>
      </c>
      <c r="C732" s="14" t="s">
        <v>213</v>
      </c>
      <c r="D732" s="14" t="s">
        <v>920</v>
      </c>
      <c r="E732" s="7"/>
      <c r="F732" s="7">
        <v>7221.0</v>
      </c>
      <c r="G732" s="7">
        <v>7220.0</v>
      </c>
      <c r="H732" s="14" t="s">
        <v>53</v>
      </c>
      <c r="I732" s="7"/>
      <c r="J732" s="7"/>
      <c r="K732" s="8" t="s">
        <v>55</v>
      </c>
      <c r="L732" s="8" t="s">
        <v>55</v>
      </c>
      <c r="M732" s="12" t="s">
        <v>55</v>
      </c>
      <c r="N732" s="8" t="s">
        <v>55</v>
      </c>
      <c r="O732" s="8" t="s">
        <v>55</v>
      </c>
      <c r="P732" s="8" t="s">
        <v>55</v>
      </c>
      <c r="Q732" s="8" t="s">
        <v>49</v>
      </c>
      <c r="R732" s="8" t="s">
        <v>49</v>
      </c>
      <c r="S732" s="8" t="s">
        <v>49</v>
      </c>
      <c r="T732" s="8" t="s">
        <v>49</v>
      </c>
      <c r="U732" s="8" t="s">
        <v>49</v>
      </c>
      <c r="V732" s="8" t="s">
        <v>49</v>
      </c>
      <c r="W732" s="8" t="s">
        <v>49</v>
      </c>
      <c r="X732" s="8" t="s">
        <v>55</v>
      </c>
      <c r="Y732" s="8" t="s">
        <v>55</v>
      </c>
      <c r="Z732" s="8" t="s">
        <v>55</v>
      </c>
      <c r="AA732" s="8" t="s">
        <v>55</v>
      </c>
      <c r="AB732" s="8" t="s">
        <v>55</v>
      </c>
      <c r="AC732" s="8" t="s">
        <v>55</v>
      </c>
      <c r="AD732" s="8" t="s">
        <v>3824</v>
      </c>
      <c r="AE732" s="8" t="s">
        <v>3825</v>
      </c>
      <c r="AF732" s="8" t="s">
        <v>49</v>
      </c>
      <c r="AG732" s="8" t="s">
        <v>63</v>
      </c>
      <c r="AH732" s="8" t="s">
        <v>55</v>
      </c>
      <c r="AI732" s="8" t="s">
        <v>112</v>
      </c>
      <c r="AJ732" s="8" t="s">
        <v>49</v>
      </c>
      <c r="AK732" s="8" t="s">
        <v>55</v>
      </c>
      <c r="AL732" s="8" t="s">
        <v>720</v>
      </c>
      <c r="AM732" s="8"/>
      <c r="AN732" s="9" t="s">
        <v>3832</v>
      </c>
      <c r="AO732" s="12" t="s">
        <v>224</v>
      </c>
      <c r="AP732" s="17" t="s">
        <v>3830</v>
      </c>
      <c r="AQ732" s="11"/>
      <c r="AR732" s="11"/>
      <c r="AS732" s="12"/>
      <c r="AT732" s="10" t="s">
        <v>3828</v>
      </c>
      <c r="AU732" s="11"/>
      <c r="AV732" s="15">
        <v>46315.0</v>
      </c>
    </row>
    <row r="733" ht="16.5" hidden="1" customHeight="1">
      <c r="A733" s="7" t="s">
        <v>3833</v>
      </c>
      <c r="B733" s="7" t="s">
        <v>49</v>
      </c>
      <c r="C733" s="7" t="s">
        <v>213</v>
      </c>
      <c r="D733" s="7" t="s">
        <v>920</v>
      </c>
      <c r="E733" s="7" t="s">
        <v>227</v>
      </c>
      <c r="F733" s="7">
        <v>7222.0</v>
      </c>
      <c r="G733" s="7"/>
      <c r="H733" s="14" t="s">
        <v>53</v>
      </c>
      <c r="I733" s="7"/>
      <c r="J733" s="7"/>
      <c r="K733" s="8" t="s">
        <v>55</v>
      </c>
      <c r="L733" s="8" t="s">
        <v>55</v>
      </c>
      <c r="M733" s="8"/>
      <c r="N733" s="8" t="s">
        <v>55</v>
      </c>
      <c r="O733" s="8" t="s">
        <v>55</v>
      </c>
      <c r="P733" s="8" t="s">
        <v>55</v>
      </c>
      <c r="Q733" s="8" t="s">
        <v>49</v>
      </c>
      <c r="R733" s="8" t="s">
        <v>49</v>
      </c>
      <c r="S733" s="8" t="s">
        <v>49</v>
      </c>
      <c r="T733" s="8" t="s">
        <v>49</v>
      </c>
      <c r="U733" s="8" t="s">
        <v>49</v>
      </c>
      <c r="V733" s="8" t="s">
        <v>49</v>
      </c>
      <c r="W733" s="8" t="s">
        <v>49</v>
      </c>
      <c r="X733" s="8" t="s">
        <v>49</v>
      </c>
      <c r="Y733" s="8" t="s">
        <v>49</v>
      </c>
      <c r="Z733" s="8" t="s">
        <v>49</v>
      </c>
      <c r="AA733" s="8" t="s">
        <v>55</v>
      </c>
      <c r="AB733" s="8" t="s">
        <v>55</v>
      </c>
      <c r="AC733" s="8" t="s">
        <v>55</v>
      </c>
      <c r="AD733" s="8" t="s">
        <v>3834</v>
      </c>
      <c r="AE733" s="8" t="s">
        <v>55</v>
      </c>
      <c r="AF733" s="8" t="s">
        <v>55</v>
      </c>
      <c r="AG733" s="8" t="s">
        <v>63</v>
      </c>
      <c r="AH733" s="8" t="s">
        <v>55</v>
      </c>
      <c r="AI733" s="8" t="s">
        <v>94</v>
      </c>
      <c r="AJ733" s="8" t="s">
        <v>49</v>
      </c>
      <c r="AK733" s="8" t="s">
        <v>49</v>
      </c>
      <c r="AL733" s="8" t="s">
        <v>720</v>
      </c>
      <c r="AM733" s="8"/>
      <c r="AN733" s="9" t="s">
        <v>3835</v>
      </c>
      <c r="AO733" s="9" t="s">
        <v>3836</v>
      </c>
      <c r="AP733" s="17" t="s">
        <v>55</v>
      </c>
      <c r="AQ733" s="11"/>
      <c r="AR733" s="11"/>
      <c r="AS733" s="12"/>
      <c r="AT733" s="10" t="s">
        <v>3837</v>
      </c>
      <c r="AU733" s="11"/>
      <c r="AV733" s="13"/>
    </row>
    <row r="734" ht="16.5" hidden="1" customHeight="1">
      <c r="A734" s="7" t="s">
        <v>3838</v>
      </c>
      <c r="B734" s="7" t="s">
        <v>49</v>
      </c>
      <c r="C734" s="7" t="s">
        <v>213</v>
      </c>
      <c r="D734" s="7" t="s">
        <v>920</v>
      </c>
      <c r="E734" s="7" t="s">
        <v>227</v>
      </c>
      <c r="F734" s="7">
        <v>7222.0</v>
      </c>
      <c r="G734" s="7">
        <v>7222.0</v>
      </c>
      <c r="H734" s="14" t="s">
        <v>53</v>
      </c>
      <c r="I734" s="7"/>
      <c r="J734" s="7"/>
      <c r="K734" s="8" t="s">
        <v>55</v>
      </c>
      <c r="L734" s="8" t="s">
        <v>55</v>
      </c>
      <c r="M734" s="12" t="s">
        <v>55</v>
      </c>
      <c r="N734" s="8" t="s">
        <v>55</v>
      </c>
      <c r="O734" s="8" t="s">
        <v>55</v>
      </c>
      <c r="P734" s="8" t="s">
        <v>55</v>
      </c>
      <c r="Q734" s="8" t="s">
        <v>49</v>
      </c>
      <c r="R734" s="8" t="s">
        <v>49</v>
      </c>
      <c r="S734" s="8" t="s">
        <v>49</v>
      </c>
      <c r="T734" s="8" t="s">
        <v>49</v>
      </c>
      <c r="U734" s="8" t="s">
        <v>49</v>
      </c>
      <c r="V734" s="8" t="s">
        <v>49</v>
      </c>
      <c r="W734" s="8" t="s">
        <v>49</v>
      </c>
      <c r="X734" s="8" t="s">
        <v>55</v>
      </c>
      <c r="Y734" s="8" t="s">
        <v>55</v>
      </c>
      <c r="Z734" s="8" t="s">
        <v>55</v>
      </c>
      <c r="AA734" s="8" t="s">
        <v>55</v>
      </c>
      <c r="AB734" s="8" t="s">
        <v>55</v>
      </c>
      <c r="AC734" s="8" t="s">
        <v>55</v>
      </c>
      <c r="AD734" s="8" t="s">
        <v>3834</v>
      </c>
      <c r="AE734" s="8" t="s">
        <v>55</v>
      </c>
      <c r="AF734" s="8" t="s">
        <v>55</v>
      </c>
      <c r="AG734" s="8" t="s">
        <v>63</v>
      </c>
      <c r="AH734" s="8" t="s">
        <v>55</v>
      </c>
      <c r="AI734" s="8" t="s">
        <v>94</v>
      </c>
      <c r="AJ734" s="8" t="s">
        <v>49</v>
      </c>
      <c r="AK734" s="8" t="s">
        <v>55</v>
      </c>
      <c r="AL734" s="8" t="s">
        <v>720</v>
      </c>
      <c r="AM734" s="8"/>
      <c r="AN734" s="9" t="s">
        <v>3835</v>
      </c>
      <c r="AO734" s="9" t="s">
        <v>3836</v>
      </c>
      <c r="AP734" s="17" t="s">
        <v>3830</v>
      </c>
      <c r="AQ734" s="11"/>
      <c r="AR734" s="11"/>
      <c r="AS734" s="12"/>
      <c r="AT734" s="10" t="s">
        <v>3837</v>
      </c>
      <c r="AU734" s="11"/>
      <c r="AV734" s="15">
        <v>46315.0</v>
      </c>
    </row>
    <row r="735" ht="16.5" hidden="1" customHeight="1">
      <c r="A735" s="7" t="s">
        <v>3839</v>
      </c>
      <c r="B735" s="14" t="s">
        <v>49</v>
      </c>
      <c r="C735" s="14" t="s">
        <v>213</v>
      </c>
      <c r="D735" s="14" t="s">
        <v>920</v>
      </c>
      <c r="E735" s="7"/>
      <c r="F735" s="7">
        <v>7223.0</v>
      </c>
      <c r="G735" s="7">
        <v>7222.0</v>
      </c>
      <c r="H735" s="14" t="s">
        <v>53</v>
      </c>
      <c r="I735" s="7"/>
      <c r="J735" s="7"/>
      <c r="K735" s="8" t="s">
        <v>55</v>
      </c>
      <c r="L735" s="8" t="s">
        <v>55</v>
      </c>
      <c r="M735" s="12" t="s">
        <v>55</v>
      </c>
      <c r="N735" s="8" t="s">
        <v>55</v>
      </c>
      <c r="O735" s="8" t="s">
        <v>55</v>
      </c>
      <c r="P735" s="8" t="s">
        <v>55</v>
      </c>
      <c r="Q735" s="8" t="s">
        <v>49</v>
      </c>
      <c r="R735" s="8" t="s">
        <v>49</v>
      </c>
      <c r="S735" s="8" t="s">
        <v>49</v>
      </c>
      <c r="T735" s="8" t="s">
        <v>49</v>
      </c>
      <c r="U735" s="8" t="s">
        <v>49</v>
      </c>
      <c r="V735" s="8" t="s">
        <v>49</v>
      </c>
      <c r="W735" s="8" t="s">
        <v>49</v>
      </c>
      <c r="X735" s="8" t="s">
        <v>55</v>
      </c>
      <c r="Y735" s="8" t="s">
        <v>55</v>
      </c>
      <c r="Z735" s="8" t="s">
        <v>55</v>
      </c>
      <c r="AA735" s="8" t="s">
        <v>55</v>
      </c>
      <c r="AB735" s="8" t="s">
        <v>55</v>
      </c>
      <c r="AC735" s="8" t="s">
        <v>55</v>
      </c>
      <c r="AD735" s="8" t="s">
        <v>3834</v>
      </c>
      <c r="AE735" s="8" t="s">
        <v>55</v>
      </c>
      <c r="AF735" s="8" t="s">
        <v>55</v>
      </c>
      <c r="AG735" s="8" t="s">
        <v>63</v>
      </c>
      <c r="AH735" s="8" t="s">
        <v>55</v>
      </c>
      <c r="AI735" s="8" t="s">
        <v>112</v>
      </c>
      <c r="AJ735" s="8" t="s">
        <v>49</v>
      </c>
      <c r="AK735" s="8" t="s">
        <v>55</v>
      </c>
      <c r="AL735" s="8" t="s">
        <v>720</v>
      </c>
      <c r="AM735" s="8"/>
      <c r="AN735" s="9" t="s">
        <v>3840</v>
      </c>
      <c r="AO735" s="9" t="s">
        <v>3841</v>
      </c>
      <c r="AP735" s="17" t="s">
        <v>3830</v>
      </c>
      <c r="AQ735" s="11"/>
      <c r="AR735" s="11"/>
      <c r="AS735" s="12"/>
      <c r="AT735" s="10" t="s">
        <v>3837</v>
      </c>
      <c r="AU735" s="11"/>
      <c r="AV735" s="15">
        <v>46315.0</v>
      </c>
    </row>
    <row r="736" ht="16.5" hidden="1" customHeight="1">
      <c r="A736" s="7" t="s">
        <v>3842</v>
      </c>
      <c r="B736" s="7" t="s">
        <v>1826</v>
      </c>
      <c r="C736" s="14" t="s">
        <v>332</v>
      </c>
      <c r="D736" s="7" t="s">
        <v>920</v>
      </c>
      <c r="E736" s="7" t="s">
        <v>52</v>
      </c>
      <c r="F736" s="7">
        <v>7224.0</v>
      </c>
      <c r="G736" s="7">
        <v>6763.0</v>
      </c>
      <c r="H736" s="14" t="s">
        <v>53</v>
      </c>
      <c r="I736" s="7" t="s">
        <v>1427</v>
      </c>
      <c r="J736" s="7"/>
      <c r="K736" s="8" t="s">
        <v>55</v>
      </c>
      <c r="L736" s="8" t="s">
        <v>55</v>
      </c>
      <c r="M736" s="12" t="s">
        <v>55</v>
      </c>
      <c r="N736" s="8" t="s">
        <v>55</v>
      </c>
      <c r="O736" s="8" t="s">
        <v>55</v>
      </c>
      <c r="P736" s="8" t="s">
        <v>55</v>
      </c>
      <c r="Q736" s="8" t="s">
        <v>55</v>
      </c>
      <c r="R736" s="20" t="s">
        <v>55</v>
      </c>
      <c r="S736" s="8" t="s">
        <v>55</v>
      </c>
      <c r="T736" s="8" t="s">
        <v>55</v>
      </c>
      <c r="U736" s="8" t="s">
        <v>55</v>
      </c>
      <c r="V736" s="8" t="s">
        <v>55</v>
      </c>
      <c r="W736" s="8" t="s">
        <v>49</v>
      </c>
      <c r="X736" s="8" t="s">
        <v>55</v>
      </c>
      <c r="Y736" s="8" t="s">
        <v>55</v>
      </c>
      <c r="Z736" s="8" t="s">
        <v>55</v>
      </c>
      <c r="AA736" s="8" t="s">
        <v>55</v>
      </c>
      <c r="AB736" s="8" t="s">
        <v>55</v>
      </c>
      <c r="AC736" s="8" t="s">
        <v>55</v>
      </c>
      <c r="AD736" s="8" t="s">
        <v>3843</v>
      </c>
      <c r="AE736" s="8" t="s">
        <v>55</v>
      </c>
      <c r="AF736" s="8" t="s">
        <v>55</v>
      </c>
      <c r="AG736" s="8" t="s">
        <v>63</v>
      </c>
      <c r="AH736" s="8" t="s">
        <v>55</v>
      </c>
      <c r="AI736" s="8" t="s">
        <v>94</v>
      </c>
      <c r="AJ736" s="8" t="s">
        <v>49</v>
      </c>
      <c r="AK736" s="8" t="s">
        <v>55</v>
      </c>
      <c r="AL736" s="8" t="s">
        <v>66</v>
      </c>
      <c r="AM736" s="8"/>
      <c r="AN736" s="9" t="s">
        <v>3844</v>
      </c>
      <c r="AO736" s="12" t="s">
        <v>224</v>
      </c>
      <c r="AP736" s="10" t="s">
        <v>1837</v>
      </c>
      <c r="AQ736" s="11"/>
      <c r="AR736" s="11"/>
      <c r="AS736" s="12"/>
      <c r="AT736" s="11"/>
      <c r="AU736" s="11"/>
      <c r="AV736" s="15">
        <v>46315.0</v>
      </c>
    </row>
    <row r="737" ht="16.5" hidden="1" customHeight="1">
      <c r="A737" s="7" t="s">
        <v>3845</v>
      </c>
      <c r="B737" s="7" t="s">
        <v>1826</v>
      </c>
      <c r="C737" s="14" t="s">
        <v>332</v>
      </c>
      <c r="D737" s="7" t="s">
        <v>920</v>
      </c>
      <c r="E737" s="7" t="s">
        <v>52</v>
      </c>
      <c r="F737" s="7">
        <v>7225.0</v>
      </c>
      <c r="G737" s="7">
        <v>6763.0</v>
      </c>
      <c r="H737" s="14" t="s">
        <v>53</v>
      </c>
      <c r="I737" s="7" t="s">
        <v>1442</v>
      </c>
      <c r="J737" s="7"/>
      <c r="K737" s="8" t="s">
        <v>55</v>
      </c>
      <c r="L737" s="8" t="s">
        <v>55</v>
      </c>
      <c r="M737" s="12" t="s">
        <v>55</v>
      </c>
      <c r="N737" s="8" t="s">
        <v>55</v>
      </c>
      <c r="O737" s="8" t="s">
        <v>55</v>
      </c>
      <c r="P737" s="8" t="s">
        <v>55</v>
      </c>
      <c r="Q737" s="8" t="s">
        <v>55</v>
      </c>
      <c r="R737" s="20" t="s">
        <v>55</v>
      </c>
      <c r="S737" s="8" t="s">
        <v>55</v>
      </c>
      <c r="T737" s="8" t="s">
        <v>55</v>
      </c>
      <c r="U737" s="8" t="s">
        <v>55</v>
      </c>
      <c r="V737" s="8" t="s">
        <v>55</v>
      </c>
      <c r="W737" s="8" t="s">
        <v>49</v>
      </c>
      <c r="X737" s="8" t="s">
        <v>55</v>
      </c>
      <c r="Y737" s="8" t="s">
        <v>55</v>
      </c>
      <c r="Z737" s="8" t="s">
        <v>55</v>
      </c>
      <c r="AA737" s="8" t="s">
        <v>55</v>
      </c>
      <c r="AB737" s="8" t="s">
        <v>55</v>
      </c>
      <c r="AC737" s="8" t="s">
        <v>55</v>
      </c>
      <c r="AD737" s="8" t="s">
        <v>3846</v>
      </c>
      <c r="AE737" s="8" t="s">
        <v>55</v>
      </c>
      <c r="AF737" s="8" t="s">
        <v>55</v>
      </c>
      <c r="AG737" s="8" t="s">
        <v>63</v>
      </c>
      <c r="AH737" s="8" t="s">
        <v>55</v>
      </c>
      <c r="AI737" s="8" t="s">
        <v>94</v>
      </c>
      <c r="AJ737" s="8" t="s">
        <v>49</v>
      </c>
      <c r="AK737" s="8" t="s">
        <v>55</v>
      </c>
      <c r="AL737" s="8" t="s">
        <v>66</v>
      </c>
      <c r="AM737" s="8"/>
      <c r="AN737" s="9" t="s">
        <v>3847</v>
      </c>
      <c r="AO737" s="12" t="s">
        <v>224</v>
      </c>
      <c r="AP737" s="10" t="s">
        <v>1837</v>
      </c>
      <c r="AQ737" s="11"/>
      <c r="AR737" s="11"/>
      <c r="AS737" s="12"/>
      <c r="AT737" s="11"/>
      <c r="AU737" s="11"/>
      <c r="AV737" s="15">
        <v>46315.0</v>
      </c>
    </row>
    <row r="738" ht="16.5" hidden="1" customHeight="1">
      <c r="A738" s="7" t="s">
        <v>3848</v>
      </c>
      <c r="B738" s="7" t="s">
        <v>49</v>
      </c>
      <c r="C738" s="7" t="s">
        <v>919</v>
      </c>
      <c r="D738" s="7" t="s">
        <v>920</v>
      </c>
      <c r="E738" s="7" t="s">
        <v>227</v>
      </c>
      <c r="F738" s="7">
        <v>7226.0</v>
      </c>
      <c r="G738" s="7"/>
      <c r="H738" s="14" t="s">
        <v>53</v>
      </c>
      <c r="I738" s="7"/>
      <c r="J738" s="7"/>
      <c r="K738" s="8" t="s">
        <v>55</v>
      </c>
      <c r="L738" s="8" t="s">
        <v>55</v>
      </c>
      <c r="M738" s="8"/>
      <c r="N738" s="8" t="s">
        <v>55</v>
      </c>
      <c r="O738" s="8" t="s">
        <v>228</v>
      </c>
      <c r="P738" s="8" t="s">
        <v>229</v>
      </c>
      <c r="Q738" s="8" t="s">
        <v>49</v>
      </c>
      <c r="R738" s="8" t="s">
        <v>49</v>
      </c>
      <c r="S738" s="8" t="s">
        <v>49</v>
      </c>
      <c r="T738" s="8" t="s">
        <v>49</v>
      </c>
      <c r="U738" s="8" t="s">
        <v>49</v>
      </c>
      <c r="V738" s="8" t="s">
        <v>49</v>
      </c>
      <c r="W738" s="8" t="s">
        <v>49</v>
      </c>
      <c r="X738" s="8" t="s">
        <v>49</v>
      </c>
      <c r="Y738" s="8" t="s">
        <v>49</v>
      </c>
      <c r="Z738" s="8" t="s">
        <v>49</v>
      </c>
      <c r="AA738" s="8" t="s">
        <v>231</v>
      </c>
      <c r="AB738" s="8" t="s">
        <v>60</v>
      </c>
      <c r="AC738" s="8" t="s">
        <v>55</v>
      </c>
      <c r="AD738" s="8" t="s">
        <v>3849</v>
      </c>
      <c r="AE738" s="8" t="s">
        <v>55</v>
      </c>
      <c r="AF738" s="8" t="s">
        <v>55</v>
      </c>
      <c r="AG738" s="8" t="s">
        <v>145</v>
      </c>
      <c r="AH738" s="8" t="s">
        <v>55</v>
      </c>
      <c r="AI738" s="8" t="s">
        <v>65</v>
      </c>
      <c r="AJ738" s="8" t="s">
        <v>49</v>
      </c>
      <c r="AK738" s="8" t="s">
        <v>49</v>
      </c>
      <c r="AL738" s="8" t="s">
        <v>720</v>
      </c>
      <c r="AM738" s="8" t="s">
        <v>3602</v>
      </c>
      <c r="AN738" s="9" t="s">
        <v>3850</v>
      </c>
      <c r="AO738" s="12" t="s">
        <v>224</v>
      </c>
      <c r="AP738" s="18" t="s">
        <v>1047</v>
      </c>
      <c r="AQ738" s="11"/>
      <c r="AR738" s="11"/>
      <c r="AS738" s="12"/>
      <c r="AT738" s="11"/>
      <c r="AU738" s="11"/>
      <c r="AV738" s="13"/>
    </row>
    <row r="739" ht="16.5" hidden="1" customHeight="1">
      <c r="A739" s="7" t="s">
        <v>3851</v>
      </c>
      <c r="B739" s="14" t="s">
        <v>49</v>
      </c>
      <c r="C739" s="14" t="s">
        <v>919</v>
      </c>
      <c r="D739" s="14" t="s">
        <v>920</v>
      </c>
      <c r="E739" s="7"/>
      <c r="F739" s="7">
        <v>7226.0</v>
      </c>
      <c r="G739" s="7">
        <v>7226.0</v>
      </c>
      <c r="H739" s="14" t="s">
        <v>53</v>
      </c>
      <c r="I739" s="7"/>
      <c r="J739" s="7"/>
      <c r="K739" s="8" t="s">
        <v>55</v>
      </c>
      <c r="L739" s="8" t="s">
        <v>55</v>
      </c>
      <c r="M739" s="12" t="s">
        <v>55</v>
      </c>
      <c r="N739" s="8" t="s">
        <v>55</v>
      </c>
      <c r="O739" s="8" t="s">
        <v>228</v>
      </c>
      <c r="P739" s="8" t="s">
        <v>229</v>
      </c>
      <c r="Q739" s="8" t="s">
        <v>49</v>
      </c>
      <c r="R739" s="8" t="s">
        <v>49</v>
      </c>
      <c r="S739" s="8" t="s">
        <v>49</v>
      </c>
      <c r="T739" s="8" t="s">
        <v>49</v>
      </c>
      <c r="U739" s="8" t="s">
        <v>49</v>
      </c>
      <c r="V739" s="8" t="s">
        <v>49</v>
      </c>
      <c r="W739" s="8" t="s">
        <v>49</v>
      </c>
      <c r="X739" s="8" t="s">
        <v>55</v>
      </c>
      <c r="Y739" s="8" t="s">
        <v>55</v>
      </c>
      <c r="Z739" s="8" t="s">
        <v>55</v>
      </c>
      <c r="AA739" s="8" t="s">
        <v>231</v>
      </c>
      <c r="AB739" s="8" t="s">
        <v>60</v>
      </c>
      <c r="AC739" s="8" t="s">
        <v>55</v>
      </c>
      <c r="AD739" s="8" t="s">
        <v>3849</v>
      </c>
      <c r="AE739" s="8" t="s">
        <v>55</v>
      </c>
      <c r="AF739" s="8" t="s">
        <v>55</v>
      </c>
      <c r="AG739" s="8" t="s">
        <v>145</v>
      </c>
      <c r="AH739" s="8" t="s">
        <v>55</v>
      </c>
      <c r="AI739" s="8" t="s">
        <v>65</v>
      </c>
      <c r="AJ739" s="8" t="s">
        <v>49</v>
      </c>
      <c r="AK739" s="8" t="s">
        <v>55</v>
      </c>
      <c r="AL739" s="8" t="s">
        <v>720</v>
      </c>
      <c r="AM739" s="8" t="s">
        <v>3602</v>
      </c>
      <c r="AN739" s="9" t="s">
        <v>3850</v>
      </c>
      <c r="AO739" s="12" t="s">
        <v>224</v>
      </c>
      <c r="AP739" s="17" t="s">
        <v>1051</v>
      </c>
      <c r="AQ739" s="11"/>
      <c r="AR739" s="11"/>
      <c r="AS739" s="12"/>
      <c r="AT739" s="11"/>
      <c r="AU739" s="11"/>
      <c r="AV739" s="15">
        <v>46315.0</v>
      </c>
    </row>
    <row r="740" ht="16.5" hidden="1" customHeight="1">
      <c r="A740" s="7" t="s">
        <v>3852</v>
      </c>
      <c r="B740" s="14" t="s">
        <v>49</v>
      </c>
      <c r="C740" s="14" t="s">
        <v>919</v>
      </c>
      <c r="D740" s="14" t="s">
        <v>920</v>
      </c>
      <c r="E740" s="7"/>
      <c r="F740" s="7">
        <v>7227.0</v>
      </c>
      <c r="G740" s="7">
        <v>7226.0</v>
      </c>
      <c r="H740" s="14" t="s">
        <v>53</v>
      </c>
      <c r="I740" s="7"/>
      <c r="J740" s="7"/>
      <c r="K740" s="8" t="s">
        <v>55</v>
      </c>
      <c r="L740" s="8" t="s">
        <v>55</v>
      </c>
      <c r="M740" s="12" t="s">
        <v>55</v>
      </c>
      <c r="N740" s="8" t="s">
        <v>55</v>
      </c>
      <c r="O740" s="8" t="s">
        <v>228</v>
      </c>
      <c r="P740" s="8" t="s">
        <v>229</v>
      </c>
      <c r="Q740" s="8" t="s">
        <v>49</v>
      </c>
      <c r="R740" s="8" t="s">
        <v>49</v>
      </c>
      <c r="S740" s="8" t="s">
        <v>49</v>
      </c>
      <c r="T740" s="8" t="s">
        <v>49</v>
      </c>
      <c r="U740" s="8" t="s">
        <v>49</v>
      </c>
      <c r="V740" s="8" t="s">
        <v>49</v>
      </c>
      <c r="W740" s="8" t="s">
        <v>49</v>
      </c>
      <c r="X740" s="8" t="s">
        <v>55</v>
      </c>
      <c r="Y740" s="8" t="s">
        <v>55</v>
      </c>
      <c r="Z740" s="8" t="s">
        <v>55</v>
      </c>
      <c r="AA740" s="8" t="s">
        <v>231</v>
      </c>
      <c r="AB740" s="8" t="s">
        <v>60</v>
      </c>
      <c r="AC740" s="8" t="s">
        <v>55</v>
      </c>
      <c r="AD740" s="8" t="s">
        <v>3849</v>
      </c>
      <c r="AE740" s="8" t="s">
        <v>55</v>
      </c>
      <c r="AF740" s="8" t="s">
        <v>55</v>
      </c>
      <c r="AG740" s="8" t="s">
        <v>145</v>
      </c>
      <c r="AH740" s="8" t="s">
        <v>55</v>
      </c>
      <c r="AI740" s="8" t="s">
        <v>463</v>
      </c>
      <c r="AJ740" s="8" t="s">
        <v>49</v>
      </c>
      <c r="AK740" s="8" t="s">
        <v>55</v>
      </c>
      <c r="AL740" s="8" t="s">
        <v>720</v>
      </c>
      <c r="AM740" s="8" t="s">
        <v>3602</v>
      </c>
      <c r="AN740" s="9" t="s">
        <v>3853</v>
      </c>
      <c r="AO740" s="12" t="s">
        <v>224</v>
      </c>
      <c r="AP740" s="17" t="s">
        <v>1051</v>
      </c>
      <c r="AQ740" s="11"/>
      <c r="AR740" s="11"/>
      <c r="AS740" s="12"/>
      <c r="AT740" s="11"/>
      <c r="AU740" s="11"/>
      <c r="AV740" s="15">
        <v>46315.0</v>
      </c>
    </row>
    <row r="741" ht="16.5" hidden="1" customHeight="1">
      <c r="A741" s="7" t="s">
        <v>3854</v>
      </c>
      <c r="B741" s="7" t="s">
        <v>49</v>
      </c>
      <c r="C741" s="7" t="s">
        <v>213</v>
      </c>
      <c r="D741" s="7" t="s">
        <v>920</v>
      </c>
      <c r="E741" s="7" t="s">
        <v>227</v>
      </c>
      <c r="F741" s="7">
        <v>7228.0</v>
      </c>
      <c r="G741" s="7"/>
      <c r="H741" s="14" t="s">
        <v>53</v>
      </c>
      <c r="I741" s="7"/>
      <c r="J741" s="7"/>
      <c r="K741" s="8" t="s">
        <v>55</v>
      </c>
      <c r="L741" s="8" t="s">
        <v>55</v>
      </c>
      <c r="M741" s="12" t="s">
        <v>55</v>
      </c>
      <c r="N741" s="8" t="s">
        <v>55</v>
      </c>
      <c r="O741" s="8" t="s">
        <v>217</v>
      </c>
      <c r="P741" s="8" t="s">
        <v>57</v>
      </c>
      <c r="Q741" s="8" t="s">
        <v>49</v>
      </c>
      <c r="R741" s="8" t="s">
        <v>49</v>
      </c>
      <c r="S741" s="8" t="s">
        <v>49</v>
      </c>
      <c r="T741" s="8" t="s">
        <v>49</v>
      </c>
      <c r="U741" s="8" t="s">
        <v>49</v>
      </c>
      <c r="V741" s="8" t="s">
        <v>49</v>
      </c>
      <c r="W741" s="8" t="s">
        <v>49</v>
      </c>
      <c r="X741" s="8" t="s">
        <v>55</v>
      </c>
      <c r="Y741" s="8" t="s">
        <v>55</v>
      </c>
      <c r="Z741" s="8" t="s">
        <v>55</v>
      </c>
      <c r="AA741" s="8" t="s">
        <v>231</v>
      </c>
      <c r="AB741" s="8" t="s">
        <v>60</v>
      </c>
      <c r="AC741" s="8" t="s">
        <v>55</v>
      </c>
      <c r="AD741" s="8" t="s">
        <v>3855</v>
      </c>
      <c r="AE741" s="8" t="s">
        <v>55</v>
      </c>
      <c r="AF741" s="8" t="s">
        <v>55</v>
      </c>
      <c r="AG741" s="8" t="s">
        <v>890</v>
      </c>
      <c r="AH741" s="8" t="s">
        <v>55</v>
      </c>
      <c r="AI741" s="8" t="s">
        <v>369</v>
      </c>
      <c r="AJ741" s="8" t="s">
        <v>49</v>
      </c>
      <c r="AK741" s="8" t="s">
        <v>55</v>
      </c>
      <c r="AL741" s="8" t="s">
        <v>720</v>
      </c>
      <c r="AM741" s="8"/>
      <c r="AN741" s="9" t="s">
        <v>3856</v>
      </c>
      <c r="AO741" s="12" t="s">
        <v>224</v>
      </c>
      <c r="AP741" s="17" t="s">
        <v>3830</v>
      </c>
      <c r="AQ741" s="11"/>
      <c r="AR741" s="11"/>
      <c r="AS741" s="12"/>
      <c r="AT741" s="11"/>
      <c r="AU741" s="11"/>
      <c r="AV741" s="15">
        <v>46343.0</v>
      </c>
    </row>
    <row r="742" ht="16.5" hidden="1" customHeight="1">
      <c r="A742" s="7" t="s">
        <v>3857</v>
      </c>
      <c r="B742" s="7" t="s">
        <v>49</v>
      </c>
      <c r="C742" s="7" t="s">
        <v>919</v>
      </c>
      <c r="D742" s="7" t="s">
        <v>920</v>
      </c>
      <c r="E742" s="7" t="s">
        <v>227</v>
      </c>
      <c r="F742" s="7">
        <v>7233.0</v>
      </c>
      <c r="G742" s="7"/>
      <c r="H742" s="7" t="s">
        <v>215</v>
      </c>
      <c r="I742" s="7"/>
      <c r="J742" s="7"/>
      <c r="K742" s="8" t="s">
        <v>55</v>
      </c>
      <c r="L742" s="8" t="s">
        <v>55</v>
      </c>
      <c r="M742" s="8"/>
      <c r="N742" s="8" t="s">
        <v>55</v>
      </c>
      <c r="O742" s="8" t="s">
        <v>55</v>
      </c>
      <c r="P742" s="8" t="s">
        <v>55</v>
      </c>
      <c r="Q742" s="8" t="s">
        <v>49</v>
      </c>
      <c r="R742" s="8" t="s">
        <v>49</v>
      </c>
      <c r="S742" s="8" t="s">
        <v>49</v>
      </c>
      <c r="T742" s="8" t="s">
        <v>49</v>
      </c>
      <c r="U742" s="8" t="s">
        <v>49</v>
      </c>
      <c r="V742" s="8" t="s">
        <v>49</v>
      </c>
      <c r="W742" s="8" t="s">
        <v>49</v>
      </c>
      <c r="X742" s="8" t="s">
        <v>49</v>
      </c>
      <c r="Y742" s="8" t="s">
        <v>49</v>
      </c>
      <c r="Z742" s="8" t="s">
        <v>49</v>
      </c>
      <c r="AA742" s="8" t="s">
        <v>55</v>
      </c>
      <c r="AB742" s="8" t="s">
        <v>55</v>
      </c>
      <c r="AC742" s="8" t="s">
        <v>55</v>
      </c>
      <c r="AD742" s="8" t="s">
        <v>1061</v>
      </c>
      <c r="AE742" s="8" t="s">
        <v>55</v>
      </c>
      <c r="AF742" s="8" t="s">
        <v>55</v>
      </c>
      <c r="AG742" s="8" t="s">
        <v>145</v>
      </c>
      <c r="AH742" s="8" t="s">
        <v>55</v>
      </c>
      <c r="AI742" s="8" t="s">
        <v>65</v>
      </c>
      <c r="AJ742" s="8" t="s">
        <v>49</v>
      </c>
      <c r="AK742" s="8" t="s">
        <v>49</v>
      </c>
      <c r="AL742" s="8" t="s">
        <v>720</v>
      </c>
      <c r="AM742" s="8"/>
      <c r="AN742" s="12" t="s">
        <v>224</v>
      </c>
      <c r="AO742" s="12" t="s">
        <v>224</v>
      </c>
      <c r="AP742" s="18" t="s">
        <v>1047</v>
      </c>
      <c r="AQ742" s="11"/>
      <c r="AR742" s="11"/>
      <c r="AS742" s="12"/>
      <c r="AT742" s="11"/>
      <c r="AU742" s="11"/>
      <c r="AV742" s="13"/>
    </row>
    <row r="743" ht="16.5" hidden="1" customHeight="1">
      <c r="A743" s="7" t="s">
        <v>3858</v>
      </c>
      <c r="B743" s="7" t="s">
        <v>49</v>
      </c>
      <c r="C743" s="7" t="s">
        <v>919</v>
      </c>
      <c r="D743" s="7" t="s">
        <v>920</v>
      </c>
      <c r="E743" s="7" t="s">
        <v>227</v>
      </c>
      <c r="F743" s="7">
        <v>7233.0</v>
      </c>
      <c r="G743" s="7">
        <v>7233.0</v>
      </c>
      <c r="H743" s="7" t="s">
        <v>215</v>
      </c>
      <c r="I743" s="7"/>
      <c r="J743" s="7"/>
      <c r="K743" s="8" t="s">
        <v>55</v>
      </c>
      <c r="L743" s="8" t="s">
        <v>55</v>
      </c>
      <c r="M743" s="12" t="s">
        <v>55</v>
      </c>
      <c r="N743" s="8" t="s">
        <v>55</v>
      </c>
      <c r="O743" s="8" t="s">
        <v>55</v>
      </c>
      <c r="P743" s="8" t="s">
        <v>55</v>
      </c>
      <c r="Q743" s="8" t="s">
        <v>49</v>
      </c>
      <c r="R743" s="8" t="s">
        <v>49</v>
      </c>
      <c r="S743" s="8" t="s">
        <v>49</v>
      </c>
      <c r="T743" s="8" t="s">
        <v>49</v>
      </c>
      <c r="U743" s="8" t="s">
        <v>49</v>
      </c>
      <c r="V743" s="8" t="s">
        <v>49</v>
      </c>
      <c r="W743" s="8" t="s">
        <v>49</v>
      </c>
      <c r="X743" s="8" t="s">
        <v>55</v>
      </c>
      <c r="Y743" s="8" t="s">
        <v>55</v>
      </c>
      <c r="Z743" s="8" t="s">
        <v>55</v>
      </c>
      <c r="AA743" s="8" t="s">
        <v>55</v>
      </c>
      <c r="AB743" s="8" t="s">
        <v>55</v>
      </c>
      <c r="AC743" s="8" t="s">
        <v>55</v>
      </c>
      <c r="AD743" s="8" t="s">
        <v>1061</v>
      </c>
      <c r="AE743" s="8" t="s">
        <v>55</v>
      </c>
      <c r="AF743" s="8" t="s">
        <v>55</v>
      </c>
      <c r="AG743" s="8" t="s">
        <v>145</v>
      </c>
      <c r="AH743" s="8" t="s">
        <v>55</v>
      </c>
      <c r="AI743" s="8" t="s">
        <v>65</v>
      </c>
      <c r="AJ743" s="8" t="s">
        <v>49</v>
      </c>
      <c r="AK743" s="8" t="s">
        <v>55</v>
      </c>
      <c r="AL743" s="8" t="s">
        <v>720</v>
      </c>
      <c r="AM743" s="8"/>
      <c r="AN743" s="12" t="s">
        <v>224</v>
      </c>
      <c r="AO743" s="12" t="s">
        <v>224</v>
      </c>
      <c r="AP743" s="17" t="s">
        <v>1051</v>
      </c>
      <c r="AQ743" s="39"/>
      <c r="AR743" s="11"/>
      <c r="AS743" s="12"/>
      <c r="AT743" s="11"/>
      <c r="AU743" s="11"/>
      <c r="AV743" s="13"/>
    </row>
    <row r="744" ht="16.5" hidden="1" customHeight="1">
      <c r="A744" s="7" t="s">
        <v>3859</v>
      </c>
      <c r="B744" s="14" t="s">
        <v>49</v>
      </c>
      <c r="C744" s="14" t="s">
        <v>919</v>
      </c>
      <c r="D744" s="14" t="s">
        <v>920</v>
      </c>
      <c r="E744" s="7"/>
      <c r="F744" s="7">
        <v>7234.0</v>
      </c>
      <c r="G744" s="7">
        <v>7233.0</v>
      </c>
      <c r="H744" s="7" t="s">
        <v>215</v>
      </c>
      <c r="I744" s="7"/>
      <c r="J744" s="7"/>
      <c r="K744" s="8" t="s">
        <v>55</v>
      </c>
      <c r="L744" s="8" t="s">
        <v>55</v>
      </c>
      <c r="M744" s="12" t="s">
        <v>55</v>
      </c>
      <c r="N744" s="8" t="s">
        <v>55</v>
      </c>
      <c r="O744" s="8" t="s">
        <v>55</v>
      </c>
      <c r="P744" s="8" t="s">
        <v>55</v>
      </c>
      <c r="Q744" s="8" t="s">
        <v>49</v>
      </c>
      <c r="R744" s="8" t="s">
        <v>49</v>
      </c>
      <c r="S744" s="8" t="s">
        <v>49</v>
      </c>
      <c r="T744" s="8" t="s">
        <v>49</v>
      </c>
      <c r="U744" s="8" t="s">
        <v>49</v>
      </c>
      <c r="V744" s="8" t="s">
        <v>49</v>
      </c>
      <c r="W744" s="8" t="s">
        <v>49</v>
      </c>
      <c r="X744" s="8" t="s">
        <v>55</v>
      </c>
      <c r="Y744" s="8" t="s">
        <v>55</v>
      </c>
      <c r="Z744" s="8" t="s">
        <v>55</v>
      </c>
      <c r="AA744" s="8" t="s">
        <v>55</v>
      </c>
      <c r="AB744" s="8" t="s">
        <v>55</v>
      </c>
      <c r="AC744" s="8" t="s">
        <v>55</v>
      </c>
      <c r="AD744" s="8" t="s">
        <v>1061</v>
      </c>
      <c r="AE744" s="8" t="s">
        <v>55</v>
      </c>
      <c r="AF744" s="8" t="s">
        <v>55</v>
      </c>
      <c r="AG744" s="8" t="s">
        <v>145</v>
      </c>
      <c r="AH744" s="8" t="s">
        <v>55</v>
      </c>
      <c r="AI744" s="8" t="s">
        <v>463</v>
      </c>
      <c r="AJ744" s="8" t="s">
        <v>49</v>
      </c>
      <c r="AK744" s="8" t="s">
        <v>55</v>
      </c>
      <c r="AL744" s="8" t="s">
        <v>720</v>
      </c>
      <c r="AM744" s="8"/>
      <c r="AN744" s="12" t="s">
        <v>224</v>
      </c>
      <c r="AO744" s="12" t="s">
        <v>224</v>
      </c>
      <c r="AP744" s="17" t="s">
        <v>1051</v>
      </c>
      <c r="AQ744" s="11"/>
      <c r="AR744" s="11"/>
      <c r="AS744" s="12"/>
      <c r="AT744" s="11"/>
      <c r="AU744" s="11"/>
      <c r="AV744" s="13"/>
    </row>
    <row r="745" ht="16.5" hidden="1" customHeight="1">
      <c r="A745" s="7" t="s">
        <v>3860</v>
      </c>
      <c r="B745" s="7" t="s">
        <v>49</v>
      </c>
      <c r="C745" s="7" t="s">
        <v>919</v>
      </c>
      <c r="D745" s="7" t="s">
        <v>926</v>
      </c>
      <c r="E745" s="7" t="s">
        <v>227</v>
      </c>
      <c r="F745" s="7">
        <v>7235.0</v>
      </c>
      <c r="G745" s="7"/>
      <c r="H745" s="7" t="s">
        <v>215</v>
      </c>
      <c r="I745" s="7"/>
      <c r="J745" s="7"/>
      <c r="K745" s="8" t="s">
        <v>55</v>
      </c>
      <c r="L745" s="8" t="s">
        <v>55</v>
      </c>
      <c r="M745" s="8"/>
      <c r="N745" s="8" t="s">
        <v>55</v>
      </c>
      <c r="O745" s="8" t="s">
        <v>228</v>
      </c>
      <c r="P745" s="8" t="s">
        <v>229</v>
      </c>
      <c r="Q745" s="8" t="s">
        <v>49</v>
      </c>
      <c r="R745" s="8" t="s">
        <v>49</v>
      </c>
      <c r="S745" s="8" t="s">
        <v>49</v>
      </c>
      <c r="T745" s="8" t="s">
        <v>49</v>
      </c>
      <c r="U745" s="8" t="s">
        <v>49</v>
      </c>
      <c r="V745" s="8" t="s">
        <v>49</v>
      </c>
      <c r="W745" s="8" t="s">
        <v>49</v>
      </c>
      <c r="X745" s="8" t="s">
        <v>49</v>
      </c>
      <c r="Y745" s="8" t="s">
        <v>49</v>
      </c>
      <c r="Z745" s="8" t="s">
        <v>49</v>
      </c>
      <c r="AA745" s="8" t="s">
        <v>231</v>
      </c>
      <c r="AB745" s="8" t="s">
        <v>60</v>
      </c>
      <c r="AC745" s="8" t="s">
        <v>55</v>
      </c>
      <c r="AD745" s="8" t="s">
        <v>1043</v>
      </c>
      <c r="AE745" s="8" t="s">
        <v>55</v>
      </c>
      <c r="AF745" s="8" t="s">
        <v>55</v>
      </c>
      <c r="AG745" s="8" t="s">
        <v>145</v>
      </c>
      <c r="AH745" s="8" t="s">
        <v>55</v>
      </c>
      <c r="AI745" s="8" t="s">
        <v>65</v>
      </c>
      <c r="AJ745" s="8" t="s">
        <v>49</v>
      </c>
      <c r="AK745" s="8" t="s">
        <v>49</v>
      </c>
      <c r="AL745" s="8" t="s">
        <v>720</v>
      </c>
      <c r="AM745" s="8"/>
      <c r="AN745" s="12" t="s">
        <v>224</v>
      </c>
      <c r="AO745" s="12" t="s">
        <v>224</v>
      </c>
      <c r="AP745" s="18" t="s">
        <v>1047</v>
      </c>
      <c r="AQ745" s="11"/>
      <c r="AR745" s="11"/>
      <c r="AS745" s="12"/>
      <c r="AT745" s="11"/>
      <c r="AU745" s="11"/>
      <c r="AV745" s="13"/>
    </row>
    <row r="746" ht="16.5" hidden="1" customHeight="1">
      <c r="A746" s="7" t="s">
        <v>3861</v>
      </c>
      <c r="B746" s="7" t="s">
        <v>49</v>
      </c>
      <c r="C746" s="7" t="s">
        <v>919</v>
      </c>
      <c r="D746" s="7" t="s">
        <v>926</v>
      </c>
      <c r="E746" s="7" t="s">
        <v>227</v>
      </c>
      <c r="F746" s="7">
        <v>7235.0</v>
      </c>
      <c r="G746" s="7">
        <v>7235.0</v>
      </c>
      <c r="H746" s="7" t="s">
        <v>215</v>
      </c>
      <c r="I746" s="7"/>
      <c r="J746" s="7"/>
      <c r="K746" s="8" t="s">
        <v>55</v>
      </c>
      <c r="L746" s="8" t="s">
        <v>55</v>
      </c>
      <c r="M746" s="12" t="s">
        <v>55</v>
      </c>
      <c r="N746" s="8" t="s">
        <v>55</v>
      </c>
      <c r="O746" s="8" t="s">
        <v>228</v>
      </c>
      <c r="P746" s="8" t="s">
        <v>229</v>
      </c>
      <c r="Q746" s="8" t="s">
        <v>49</v>
      </c>
      <c r="R746" s="8" t="s">
        <v>49</v>
      </c>
      <c r="S746" s="8" t="s">
        <v>49</v>
      </c>
      <c r="T746" s="8" t="s">
        <v>49</v>
      </c>
      <c r="U746" s="8" t="s">
        <v>49</v>
      </c>
      <c r="V746" s="8" t="s">
        <v>49</v>
      </c>
      <c r="W746" s="8" t="s">
        <v>49</v>
      </c>
      <c r="X746" s="8" t="s">
        <v>55</v>
      </c>
      <c r="Y746" s="8" t="s">
        <v>55</v>
      </c>
      <c r="Z746" s="8" t="s">
        <v>55</v>
      </c>
      <c r="AA746" s="8" t="s">
        <v>231</v>
      </c>
      <c r="AB746" s="8" t="s">
        <v>60</v>
      </c>
      <c r="AC746" s="8" t="s">
        <v>55</v>
      </c>
      <c r="AD746" s="8" t="s">
        <v>1043</v>
      </c>
      <c r="AE746" s="8" t="s">
        <v>55</v>
      </c>
      <c r="AF746" s="8" t="s">
        <v>55</v>
      </c>
      <c r="AG746" s="8" t="s">
        <v>145</v>
      </c>
      <c r="AH746" s="8" t="s">
        <v>55</v>
      </c>
      <c r="AI746" s="8" t="s">
        <v>65</v>
      </c>
      <c r="AJ746" s="8" t="s">
        <v>49</v>
      </c>
      <c r="AK746" s="8" t="s">
        <v>55</v>
      </c>
      <c r="AL746" s="8" t="s">
        <v>720</v>
      </c>
      <c r="AM746" s="8"/>
      <c r="AN746" s="12" t="s">
        <v>224</v>
      </c>
      <c r="AO746" s="12" t="s">
        <v>224</v>
      </c>
      <c r="AP746" s="17" t="s">
        <v>1051</v>
      </c>
      <c r="AQ746" s="11"/>
      <c r="AR746" s="11"/>
      <c r="AS746" s="12"/>
      <c r="AT746" s="11"/>
      <c r="AU746" s="11"/>
      <c r="AV746" s="15">
        <v>46341.0</v>
      </c>
    </row>
    <row r="747" ht="16.5" hidden="1" customHeight="1">
      <c r="A747" s="7" t="s">
        <v>3862</v>
      </c>
      <c r="B747" s="14" t="s">
        <v>49</v>
      </c>
      <c r="C747" s="14" t="s">
        <v>919</v>
      </c>
      <c r="D747" s="14" t="s">
        <v>926</v>
      </c>
      <c r="E747" s="7"/>
      <c r="F747" s="7">
        <v>7236.0</v>
      </c>
      <c r="G747" s="7">
        <v>7235.0</v>
      </c>
      <c r="H747" s="7" t="s">
        <v>215</v>
      </c>
      <c r="I747" s="7"/>
      <c r="J747" s="7"/>
      <c r="K747" s="8" t="s">
        <v>55</v>
      </c>
      <c r="L747" s="8" t="s">
        <v>55</v>
      </c>
      <c r="M747" s="12" t="s">
        <v>55</v>
      </c>
      <c r="N747" s="8" t="s">
        <v>55</v>
      </c>
      <c r="O747" s="8" t="s">
        <v>228</v>
      </c>
      <c r="P747" s="8" t="s">
        <v>229</v>
      </c>
      <c r="Q747" s="8" t="s">
        <v>49</v>
      </c>
      <c r="R747" s="8" t="s">
        <v>49</v>
      </c>
      <c r="S747" s="8" t="s">
        <v>49</v>
      </c>
      <c r="T747" s="8" t="s">
        <v>49</v>
      </c>
      <c r="U747" s="8" t="s">
        <v>49</v>
      </c>
      <c r="V747" s="8" t="s">
        <v>49</v>
      </c>
      <c r="W747" s="8" t="s">
        <v>49</v>
      </c>
      <c r="X747" s="8" t="s">
        <v>55</v>
      </c>
      <c r="Y747" s="8" t="s">
        <v>55</v>
      </c>
      <c r="Z747" s="8" t="s">
        <v>55</v>
      </c>
      <c r="AA747" s="8" t="s">
        <v>231</v>
      </c>
      <c r="AB747" s="8" t="s">
        <v>60</v>
      </c>
      <c r="AC747" s="8" t="s">
        <v>55</v>
      </c>
      <c r="AD747" s="8" t="s">
        <v>1043</v>
      </c>
      <c r="AE747" s="8" t="s">
        <v>55</v>
      </c>
      <c r="AF747" s="8" t="s">
        <v>55</v>
      </c>
      <c r="AG747" s="8" t="s">
        <v>145</v>
      </c>
      <c r="AH747" s="8" t="s">
        <v>55</v>
      </c>
      <c r="AI747" s="8" t="s">
        <v>463</v>
      </c>
      <c r="AJ747" s="8" t="s">
        <v>49</v>
      </c>
      <c r="AK747" s="8" t="s">
        <v>55</v>
      </c>
      <c r="AL747" s="8" t="s">
        <v>720</v>
      </c>
      <c r="AM747" s="8"/>
      <c r="AN747" s="12" t="s">
        <v>224</v>
      </c>
      <c r="AO747" s="12" t="s">
        <v>224</v>
      </c>
      <c r="AP747" s="17" t="s">
        <v>1051</v>
      </c>
      <c r="AQ747" s="11"/>
      <c r="AR747" s="11"/>
      <c r="AS747" s="12"/>
      <c r="AT747" s="11"/>
      <c r="AU747" s="11"/>
      <c r="AV747" s="13"/>
    </row>
    <row r="748" ht="16.5" hidden="1" customHeight="1">
      <c r="A748" s="7" t="s">
        <v>3863</v>
      </c>
      <c r="B748" s="7" t="s">
        <v>1290</v>
      </c>
      <c r="C748" s="7" t="s">
        <v>1291</v>
      </c>
      <c r="D748" s="7" t="s">
        <v>920</v>
      </c>
      <c r="E748" s="7" t="s">
        <v>227</v>
      </c>
      <c r="F748" s="7">
        <v>7238.0</v>
      </c>
      <c r="G748" s="7"/>
      <c r="H748" s="14" t="s">
        <v>53</v>
      </c>
      <c r="I748" s="7"/>
      <c r="J748" s="7"/>
      <c r="K748" s="8" t="s">
        <v>55</v>
      </c>
      <c r="L748" s="8" t="s">
        <v>55</v>
      </c>
      <c r="M748" s="8"/>
      <c r="N748" s="8" t="s">
        <v>55</v>
      </c>
      <c r="O748" s="8" t="s">
        <v>55</v>
      </c>
      <c r="P748" s="8" t="s">
        <v>55</v>
      </c>
      <c r="Q748" s="8" t="s">
        <v>49</v>
      </c>
      <c r="R748" s="20" t="s">
        <v>49</v>
      </c>
      <c r="S748" s="8" t="s">
        <v>49</v>
      </c>
      <c r="T748" s="8" t="s">
        <v>49</v>
      </c>
      <c r="U748" s="8" t="s">
        <v>49</v>
      </c>
      <c r="V748" s="8" t="s">
        <v>49</v>
      </c>
      <c r="W748" s="8" t="s">
        <v>49</v>
      </c>
      <c r="X748" s="8" t="s">
        <v>49</v>
      </c>
      <c r="Y748" s="8" t="s">
        <v>49</v>
      </c>
      <c r="Z748" s="8" t="s">
        <v>49</v>
      </c>
      <c r="AA748" s="8" t="s">
        <v>55</v>
      </c>
      <c r="AB748" s="8" t="s">
        <v>55</v>
      </c>
      <c r="AC748" s="8" t="s">
        <v>55</v>
      </c>
      <c r="AD748" s="8" t="s">
        <v>49</v>
      </c>
      <c r="AE748" s="8" t="s">
        <v>55</v>
      </c>
      <c r="AF748" s="8" t="s">
        <v>55</v>
      </c>
      <c r="AG748" s="8" t="s">
        <v>63</v>
      </c>
      <c r="AH748" s="8" t="s">
        <v>55</v>
      </c>
      <c r="AI748" s="8" t="s">
        <v>463</v>
      </c>
      <c r="AJ748" s="8" t="s">
        <v>49</v>
      </c>
      <c r="AK748" s="8" t="s">
        <v>49</v>
      </c>
      <c r="AL748" s="8" t="s">
        <v>720</v>
      </c>
      <c r="AM748" s="8"/>
      <c r="AN748" s="9" t="s">
        <v>3864</v>
      </c>
      <c r="AO748" s="9" t="s">
        <v>3865</v>
      </c>
      <c r="AP748" s="10" t="s">
        <v>2679</v>
      </c>
      <c r="AQ748" s="11"/>
      <c r="AR748" s="10" t="s">
        <v>3866</v>
      </c>
      <c r="AS748" s="12"/>
      <c r="AT748" s="11"/>
      <c r="AU748" s="11"/>
      <c r="AV748" s="13"/>
    </row>
    <row r="749" ht="16.5" customHeight="1">
      <c r="A749" s="7" t="s">
        <v>3867</v>
      </c>
      <c r="B749" s="14" t="s">
        <v>49</v>
      </c>
      <c r="C749" s="7" t="s">
        <v>1291</v>
      </c>
      <c r="D749" s="7" t="s">
        <v>920</v>
      </c>
      <c r="E749" s="7" t="s">
        <v>227</v>
      </c>
      <c r="F749" s="7">
        <v>7238.0</v>
      </c>
      <c r="G749" s="7">
        <v>7238.0</v>
      </c>
      <c r="H749" s="14" t="s">
        <v>1134</v>
      </c>
      <c r="I749" s="7"/>
      <c r="J749" s="7"/>
      <c r="K749" s="8" t="s">
        <v>55</v>
      </c>
      <c r="L749" s="8" t="s">
        <v>55</v>
      </c>
      <c r="M749" s="12" t="s">
        <v>55</v>
      </c>
      <c r="N749" s="8" t="s">
        <v>55</v>
      </c>
      <c r="O749" s="8" t="s">
        <v>55</v>
      </c>
      <c r="P749" s="8" t="s">
        <v>55</v>
      </c>
      <c r="Q749" s="8" t="s">
        <v>49</v>
      </c>
      <c r="R749" s="20" t="s">
        <v>49</v>
      </c>
      <c r="S749" s="8" t="s">
        <v>49</v>
      </c>
      <c r="T749" s="8" t="s">
        <v>49</v>
      </c>
      <c r="U749" s="8" t="s">
        <v>49</v>
      </c>
      <c r="V749" s="8" t="s">
        <v>49</v>
      </c>
      <c r="W749" s="8" t="s">
        <v>49</v>
      </c>
      <c r="X749" s="8" t="s">
        <v>55</v>
      </c>
      <c r="Y749" s="8" t="s">
        <v>55</v>
      </c>
      <c r="Z749" s="8" t="s">
        <v>55</v>
      </c>
      <c r="AA749" s="8" t="s">
        <v>55</v>
      </c>
      <c r="AB749" s="8" t="s">
        <v>55</v>
      </c>
      <c r="AC749" s="8" t="s">
        <v>55</v>
      </c>
      <c r="AD749" s="8" t="s">
        <v>49</v>
      </c>
      <c r="AE749" s="8" t="s">
        <v>55</v>
      </c>
      <c r="AF749" s="8" t="s">
        <v>55</v>
      </c>
      <c r="AG749" s="8" t="s">
        <v>63</v>
      </c>
      <c r="AH749" s="8" t="s">
        <v>55</v>
      </c>
      <c r="AI749" s="8" t="s">
        <v>463</v>
      </c>
      <c r="AJ749" s="8" t="s">
        <v>49</v>
      </c>
      <c r="AK749" s="8" t="s">
        <v>55</v>
      </c>
      <c r="AL749" s="8" t="s">
        <v>720</v>
      </c>
      <c r="AM749" s="8"/>
      <c r="AN749" s="9" t="s">
        <v>3864</v>
      </c>
      <c r="AO749" s="9" t="s">
        <v>3865</v>
      </c>
      <c r="AP749" s="10" t="s">
        <v>2679</v>
      </c>
      <c r="AQ749" s="11"/>
      <c r="AR749" s="10" t="s">
        <v>3866</v>
      </c>
      <c r="AS749" s="12"/>
      <c r="AT749" s="11"/>
      <c r="AU749" s="11"/>
      <c r="AV749" s="13"/>
    </row>
    <row r="750" ht="16.5" customHeight="1">
      <c r="A750" s="7" t="s">
        <v>3868</v>
      </c>
      <c r="B750" s="14" t="s">
        <v>49</v>
      </c>
      <c r="C750" s="14" t="s">
        <v>1291</v>
      </c>
      <c r="D750" s="14" t="s">
        <v>920</v>
      </c>
      <c r="E750" s="7"/>
      <c r="F750" s="7">
        <v>7239.0</v>
      </c>
      <c r="G750" s="7">
        <v>7238.0</v>
      </c>
      <c r="H750" s="14" t="s">
        <v>1134</v>
      </c>
      <c r="I750" s="7"/>
      <c r="J750" s="7"/>
      <c r="K750" s="8" t="s">
        <v>55</v>
      </c>
      <c r="L750" s="8" t="s">
        <v>55</v>
      </c>
      <c r="M750" s="12" t="s">
        <v>55</v>
      </c>
      <c r="N750" s="8" t="s">
        <v>55</v>
      </c>
      <c r="O750" s="8" t="s">
        <v>55</v>
      </c>
      <c r="P750" s="8" t="s">
        <v>55</v>
      </c>
      <c r="Q750" s="8" t="s">
        <v>49</v>
      </c>
      <c r="R750" s="20" t="s">
        <v>49</v>
      </c>
      <c r="S750" s="8" t="s">
        <v>49</v>
      </c>
      <c r="T750" s="8" t="s">
        <v>49</v>
      </c>
      <c r="U750" s="8" t="s">
        <v>49</v>
      </c>
      <c r="V750" s="8" t="s">
        <v>49</v>
      </c>
      <c r="W750" s="8" t="s">
        <v>49</v>
      </c>
      <c r="X750" s="8" t="s">
        <v>55</v>
      </c>
      <c r="Y750" s="8" t="s">
        <v>55</v>
      </c>
      <c r="Z750" s="8" t="s">
        <v>55</v>
      </c>
      <c r="AA750" s="8" t="s">
        <v>55</v>
      </c>
      <c r="AB750" s="8" t="s">
        <v>55</v>
      </c>
      <c r="AC750" s="8" t="s">
        <v>55</v>
      </c>
      <c r="AD750" s="8" t="s">
        <v>49</v>
      </c>
      <c r="AE750" s="8" t="s">
        <v>55</v>
      </c>
      <c r="AF750" s="8" t="s">
        <v>55</v>
      </c>
      <c r="AG750" s="8" t="s">
        <v>63</v>
      </c>
      <c r="AH750" s="8" t="s">
        <v>55</v>
      </c>
      <c r="AI750" s="8" t="s">
        <v>65</v>
      </c>
      <c r="AJ750" s="8" t="s">
        <v>49</v>
      </c>
      <c r="AK750" s="8" t="s">
        <v>55</v>
      </c>
      <c r="AL750" s="8" t="s">
        <v>720</v>
      </c>
      <c r="AM750" s="8"/>
      <c r="AN750" s="9" t="s">
        <v>3869</v>
      </c>
      <c r="AO750" s="9" t="s">
        <v>3870</v>
      </c>
      <c r="AP750" s="10" t="s">
        <v>2679</v>
      </c>
      <c r="AQ750" s="11"/>
      <c r="AR750" s="10" t="s">
        <v>3866</v>
      </c>
      <c r="AS750" s="12"/>
      <c r="AT750" s="11"/>
      <c r="AU750" s="11"/>
      <c r="AV750" s="13"/>
    </row>
    <row r="751" ht="16.5" customHeight="1">
      <c r="A751" s="7" t="s">
        <v>3871</v>
      </c>
      <c r="B751" s="7" t="s">
        <v>49</v>
      </c>
      <c r="C751" s="7" t="s">
        <v>50</v>
      </c>
      <c r="D751" s="7" t="s">
        <v>51</v>
      </c>
      <c r="E751" s="7" t="s">
        <v>227</v>
      </c>
      <c r="F751" s="7">
        <v>7246.0</v>
      </c>
      <c r="G751" s="7">
        <v>7097.0</v>
      </c>
      <c r="H751" s="14" t="s">
        <v>1134</v>
      </c>
      <c r="I751" s="8"/>
      <c r="J751" s="8"/>
      <c r="K751" s="8" t="s">
        <v>2534</v>
      </c>
      <c r="L751" s="8" t="s">
        <v>49</v>
      </c>
      <c r="M751" s="8"/>
      <c r="N751" s="8" t="s">
        <v>85</v>
      </c>
      <c r="O751" s="8" t="s">
        <v>217</v>
      </c>
      <c r="P751" s="8" t="s">
        <v>57</v>
      </c>
      <c r="Q751" s="8" t="s">
        <v>1299</v>
      </c>
      <c r="R751" s="8">
        <v>0.6</v>
      </c>
      <c r="S751" s="8" t="s">
        <v>49</v>
      </c>
      <c r="T751" s="8" t="s">
        <v>49</v>
      </c>
      <c r="U751" s="8" t="s">
        <v>3316</v>
      </c>
      <c r="V751" s="8" t="s">
        <v>336</v>
      </c>
      <c r="W751" s="8" t="s">
        <v>89</v>
      </c>
      <c r="X751" s="8" t="s">
        <v>108</v>
      </c>
      <c r="Y751" s="8" t="s">
        <v>3317</v>
      </c>
      <c r="Z751" s="8" t="s">
        <v>92</v>
      </c>
      <c r="AA751" s="8" t="s">
        <v>231</v>
      </c>
      <c r="AB751" s="8" t="s">
        <v>60</v>
      </c>
      <c r="AC751" s="8" t="s">
        <v>61</v>
      </c>
      <c r="AD751" s="8" t="s">
        <v>3318</v>
      </c>
      <c r="AE751" s="8" t="s">
        <v>55</v>
      </c>
      <c r="AF751" s="8" t="s">
        <v>55</v>
      </c>
      <c r="AG751" s="8" t="s">
        <v>3319</v>
      </c>
      <c r="AH751" s="8" t="s">
        <v>3320</v>
      </c>
      <c r="AI751" s="8" t="s">
        <v>2539</v>
      </c>
      <c r="AJ751" s="8" t="s">
        <v>49</v>
      </c>
      <c r="AK751" s="8" t="s">
        <v>95</v>
      </c>
      <c r="AL751" s="8" t="s">
        <v>66</v>
      </c>
      <c r="AM751" s="8"/>
      <c r="AN751" s="40" t="s">
        <v>3872</v>
      </c>
      <c r="AO751" s="9" t="s">
        <v>3873</v>
      </c>
      <c r="AP751" s="10" t="s">
        <v>3324</v>
      </c>
      <c r="AQ751" s="16" t="s">
        <v>3325</v>
      </c>
      <c r="AR751" s="9" t="s">
        <v>3326</v>
      </c>
      <c r="AS751" s="12"/>
      <c r="AT751" s="8"/>
      <c r="AU751" s="8"/>
      <c r="AV751" s="41"/>
    </row>
    <row r="752" ht="16.5" hidden="1" customHeight="1">
      <c r="A752" s="7" t="s">
        <v>3874</v>
      </c>
      <c r="B752" s="7" t="s">
        <v>49</v>
      </c>
      <c r="C752" s="7" t="s">
        <v>213</v>
      </c>
      <c r="D752" s="7" t="s">
        <v>51</v>
      </c>
      <c r="E752" s="7" t="s">
        <v>52</v>
      </c>
      <c r="F752" s="7">
        <v>7248.0</v>
      </c>
      <c r="G752" s="7">
        <v>6736.0</v>
      </c>
      <c r="H752" s="14" t="s">
        <v>53</v>
      </c>
      <c r="I752" s="7"/>
      <c r="J752" s="7"/>
      <c r="K752" s="8" t="s">
        <v>84</v>
      </c>
      <c r="L752" s="8" t="s">
        <v>377</v>
      </c>
      <c r="M752" s="8"/>
      <c r="N752" s="8" t="s">
        <v>85</v>
      </c>
      <c r="O752" s="8" t="s">
        <v>217</v>
      </c>
      <c r="P752" s="8" t="s">
        <v>57</v>
      </c>
      <c r="Q752" s="8" t="s">
        <v>140</v>
      </c>
      <c r="R752" s="8">
        <v>0.5</v>
      </c>
      <c r="S752" s="8" t="s">
        <v>49</v>
      </c>
      <c r="T752" s="8" t="s">
        <v>49</v>
      </c>
      <c r="U752" s="8" t="s">
        <v>3804</v>
      </c>
      <c r="V752" s="8" t="s">
        <v>1301</v>
      </c>
      <c r="W752" s="8" t="s">
        <v>1778</v>
      </c>
      <c r="X752" s="8" t="s">
        <v>108</v>
      </c>
      <c r="Y752" s="8" t="s">
        <v>1779</v>
      </c>
      <c r="Z752" s="8" t="s">
        <v>130</v>
      </c>
      <c r="AA752" s="8" t="s">
        <v>3805</v>
      </c>
      <c r="AB752" s="8" t="s">
        <v>60</v>
      </c>
      <c r="AC752" s="8" t="s">
        <v>61</v>
      </c>
      <c r="AD752" s="8" t="s">
        <v>1780</v>
      </c>
      <c r="AE752" s="8" t="s">
        <v>55</v>
      </c>
      <c r="AF752" s="8" t="s">
        <v>55</v>
      </c>
      <c r="AG752" s="8" t="s">
        <v>63</v>
      </c>
      <c r="AH752" s="8" t="s">
        <v>145</v>
      </c>
      <c r="AI752" s="8" t="s">
        <v>2067</v>
      </c>
      <c r="AJ752" s="8" t="s">
        <v>49</v>
      </c>
      <c r="AK752" s="8" t="s">
        <v>95</v>
      </c>
      <c r="AL752" s="8" t="s">
        <v>66</v>
      </c>
      <c r="AM752" s="8" t="s">
        <v>3806</v>
      </c>
      <c r="AN752" s="16" t="s">
        <v>3875</v>
      </c>
      <c r="AO752" s="9" t="s">
        <v>3876</v>
      </c>
      <c r="AP752" s="10" t="s">
        <v>1784</v>
      </c>
      <c r="AQ752" s="10" t="s">
        <v>3809</v>
      </c>
      <c r="AR752" s="17" t="s">
        <v>224</v>
      </c>
      <c r="AS752" s="12"/>
      <c r="AT752" s="10" t="s">
        <v>1787</v>
      </c>
      <c r="AU752" s="11"/>
      <c r="AV752" s="13"/>
    </row>
    <row r="753" ht="16.5" hidden="1" customHeight="1">
      <c r="A753" s="7" t="s">
        <v>3877</v>
      </c>
      <c r="B753" s="7" t="s">
        <v>49</v>
      </c>
      <c r="C753" s="7" t="s">
        <v>213</v>
      </c>
      <c r="D753" s="7" t="s">
        <v>51</v>
      </c>
      <c r="E753" s="7" t="s">
        <v>52</v>
      </c>
      <c r="F753" s="7">
        <v>7249.0</v>
      </c>
      <c r="G753" s="7">
        <v>6736.0</v>
      </c>
      <c r="H753" s="14" t="s">
        <v>53</v>
      </c>
      <c r="I753" s="7"/>
      <c r="J753" s="7"/>
      <c r="K753" s="8" t="s">
        <v>84</v>
      </c>
      <c r="L753" s="8" t="s">
        <v>377</v>
      </c>
      <c r="M753" s="8"/>
      <c r="N753" s="8" t="s">
        <v>85</v>
      </c>
      <c r="O753" s="8" t="s">
        <v>217</v>
      </c>
      <c r="P753" s="8" t="s">
        <v>57</v>
      </c>
      <c r="Q753" s="8" t="s">
        <v>1865</v>
      </c>
      <c r="R753" s="8">
        <v>0.45</v>
      </c>
      <c r="S753" s="8" t="s">
        <v>49</v>
      </c>
      <c r="T753" s="8" t="s">
        <v>49</v>
      </c>
      <c r="U753" s="8" t="s">
        <v>3816</v>
      </c>
      <c r="V753" s="8" t="s">
        <v>2924</v>
      </c>
      <c r="W753" s="8" t="s">
        <v>1778</v>
      </c>
      <c r="X753" s="8" t="s">
        <v>108</v>
      </c>
      <c r="Y753" s="8" t="s">
        <v>1779</v>
      </c>
      <c r="Z753" s="8" t="s">
        <v>130</v>
      </c>
      <c r="AA753" s="8" t="s">
        <v>3805</v>
      </c>
      <c r="AB753" s="8" t="s">
        <v>60</v>
      </c>
      <c r="AC753" s="8" t="s">
        <v>61</v>
      </c>
      <c r="AD753" s="8" t="s">
        <v>2578</v>
      </c>
      <c r="AE753" s="8" t="s">
        <v>55</v>
      </c>
      <c r="AF753" s="8" t="s">
        <v>55</v>
      </c>
      <c r="AG753" s="8" t="s">
        <v>63</v>
      </c>
      <c r="AH753" s="8" t="s">
        <v>145</v>
      </c>
      <c r="AI753" s="8" t="s">
        <v>2067</v>
      </c>
      <c r="AJ753" s="8" t="s">
        <v>49</v>
      </c>
      <c r="AK753" s="8" t="s">
        <v>95</v>
      </c>
      <c r="AL753" s="8" t="s">
        <v>66</v>
      </c>
      <c r="AM753" s="8" t="s">
        <v>3806</v>
      </c>
      <c r="AN753" s="16" t="s">
        <v>3878</v>
      </c>
      <c r="AO753" s="9" t="s">
        <v>3876</v>
      </c>
      <c r="AP753" s="10" t="s">
        <v>1784</v>
      </c>
      <c r="AQ753" s="10" t="s">
        <v>3818</v>
      </c>
      <c r="AR753" s="17" t="s">
        <v>224</v>
      </c>
      <c r="AS753" s="12"/>
      <c r="AT753" s="10" t="s">
        <v>2583</v>
      </c>
      <c r="AU753" s="11"/>
      <c r="AV753" s="13"/>
    </row>
    <row r="754" ht="15.75" customHeight="1">
      <c r="A754" s="7" t="s">
        <v>3879</v>
      </c>
      <c r="B754" s="7" t="s">
        <v>2007</v>
      </c>
      <c r="C754" s="7" t="s">
        <v>213</v>
      </c>
      <c r="D754" s="7" t="s">
        <v>214</v>
      </c>
      <c r="E754" s="7" t="s">
        <v>227</v>
      </c>
      <c r="F754" s="7">
        <v>7250.0</v>
      </c>
      <c r="G754" s="7">
        <v>7065.0</v>
      </c>
      <c r="H754" s="14" t="s">
        <v>1134</v>
      </c>
      <c r="I754" s="7"/>
      <c r="J754" s="7"/>
      <c r="K754" s="8" t="s">
        <v>2534</v>
      </c>
      <c r="L754" s="8" t="s">
        <v>3078</v>
      </c>
      <c r="M754" s="8"/>
      <c r="N754" s="8" t="s">
        <v>85</v>
      </c>
      <c r="O754" s="8" t="s">
        <v>56</v>
      </c>
      <c r="P754" s="8" t="s">
        <v>57</v>
      </c>
      <c r="Q754" s="8" t="s">
        <v>3079</v>
      </c>
      <c r="R754" s="8">
        <v>0.95</v>
      </c>
      <c r="S754" s="8" t="s">
        <v>49</v>
      </c>
      <c r="T754" s="8" t="s">
        <v>49</v>
      </c>
      <c r="U754" s="8" t="s">
        <v>3080</v>
      </c>
      <c r="V754" s="8" t="s">
        <v>1657</v>
      </c>
      <c r="W754" s="8" t="s">
        <v>89</v>
      </c>
      <c r="X754" s="8" t="s">
        <v>108</v>
      </c>
      <c r="Y754" s="8" t="s">
        <v>3081</v>
      </c>
      <c r="Z754" s="8" t="s">
        <v>1831</v>
      </c>
      <c r="AA754" s="8" t="s">
        <v>231</v>
      </c>
      <c r="AB754" s="8" t="s">
        <v>60</v>
      </c>
      <c r="AC754" s="8" t="s">
        <v>219</v>
      </c>
      <c r="AD754" s="8" t="s">
        <v>3082</v>
      </c>
      <c r="AE754" s="8" t="s">
        <v>55</v>
      </c>
      <c r="AF754" s="8" t="s">
        <v>55</v>
      </c>
      <c r="AG754" s="8" t="s">
        <v>3083</v>
      </c>
      <c r="AH754" s="8" t="s">
        <v>111</v>
      </c>
      <c r="AI754" s="8" t="s">
        <v>65</v>
      </c>
      <c r="AJ754" s="8" t="s">
        <v>49</v>
      </c>
      <c r="AK754" s="8" t="s">
        <v>1422</v>
      </c>
      <c r="AL754" s="8" t="s">
        <v>720</v>
      </c>
      <c r="AM754" s="8"/>
      <c r="AN754" s="40" t="s">
        <v>3880</v>
      </c>
      <c r="AO754" s="9" t="s">
        <v>3881</v>
      </c>
      <c r="AP754" s="10" t="s">
        <v>3087</v>
      </c>
      <c r="AQ754" s="10" t="s">
        <v>3088</v>
      </c>
      <c r="AR754" s="17" t="s">
        <v>224</v>
      </c>
      <c r="AS754" s="12"/>
      <c r="AT754" s="11"/>
      <c r="AU754" s="10" t="s">
        <v>3089</v>
      </c>
      <c r="AV754" s="15">
        <v>46315.0</v>
      </c>
    </row>
    <row r="755" ht="15.75" hidden="1" customHeight="1">
      <c r="A755" s="7" t="s">
        <v>3882</v>
      </c>
      <c r="B755" s="7" t="s">
        <v>2007</v>
      </c>
      <c r="C755" s="7" t="s">
        <v>213</v>
      </c>
      <c r="D755" s="7" t="s">
        <v>214</v>
      </c>
      <c r="E755" s="7" t="s">
        <v>227</v>
      </c>
      <c r="F755" s="7">
        <v>7251.0</v>
      </c>
      <c r="G755" s="7">
        <v>7065.0</v>
      </c>
      <c r="H755" s="14" t="s">
        <v>53</v>
      </c>
      <c r="I755" s="8"/>
      <c r="J755" s="8"/>
      <c r="K755" s="8" t="s">
        <v>2534</v>
      </c>
      <c r="L755" s="8" t="s">
        <v>3078</v>
      </c>
      <c r="M755" s="8"/>
      <c r="N755" s="8" t="s">
        <v>85</v>
      </c>
      <c r="O755" s="8" t="s">
        <v>56</v>
      </c>
      <c r="P755" s="8" t="s">
        <v>57</v>
      </c>
      <c r="Q755" s="8" t="s">
        <v>3079</v>
      </c>
      <c r="R755" s="8">
        <v>0.95</v>
      </c>
      <c r="S755" s="8" t="s">
        <v>49</v>
      </c>
      <c r="T755" s="8" t="s">
        <v>49</v>
      </c>
      <c r="U755" s="8" t="s">
        <v>3080</v>
      </c>
      <c r="V755" s="8" t="s">
        <v>1657</v>
      </c>
      <c r="W755" s="8" t="s">
        <v>89</v>
      </c>
      <c r="X755" s="8" t="s">
        <v>108</v>
      </c>
      <c r="Y755" s="8" t="s">
        <v>3081</v>
      </c>
      <c r="Z755" s="8" t="s">
        <v>1831</v>
      </c>
      <c r="AA755" s="8" t="s">
        <v>231</v>
      </c>
      <c r="AB755" s="8" t="s">
        <v>60</v>
      </c>
      <c r="AC755" s="8" t="s">
        <v>219</v>
      </c>
      <c r="AD755" s="8" t="s">
        <v>3082</v>
      </c>
      <c r="AE755" s="8" t="s">
        <v>55</v>
      </c>
      <c r="AF755" s="8" t="s">
        <v>55</v>
      </c>
      <c r="AG755" s="8" t="s">
        <v>3083</v>
      </c>
      <c r="AH755" s="8" t="s">
        <v>111</v>
      </c>
      <c r="AI755" s="8" t="s">
        <v>2040</v>
      </c>
      <c r="AJ755" s="8" t="s">
        <v>49</v>
      </c>
      <c r="AK755" s="8" t="s">
        <v>1422</v>
      </c>
      <c r="AL755" s="8" t="s">
        <v>720</v>
      </c>
      <c r="AM755" s="8"/>
      <c r="AN755" s="40" t="s">
        <v>3883</v>
      </c>
      <c r="AO755" s="9" t="s">
        <v>3884</v>
      </c>
      <c r="AP755" s="10" t="s">
        <v>3087</v>
      </c>
      <c r="AQ755" s="16" t="s">
        <v>3088</v>
      </c>
      <c r="AR755" s="12" t="s">
        <v>224</v>
      </c>
      <c r="AS755" s="12"/>
      <c r="AT755" s="8"/>
      <c r="AU755" s="16" t="s">
        <v>3089</v>
      </c>
      <c r="AV755" s="41"/>
    </row>
    <row r="756" ht="15.75" hidden="1" customHeight="1">
      <c r="A756" s="7" t="s">
        <v>3885</v>
      </c>
      <c r="B756" s="7" t="s">
        <v>2007</v>
      </c>
      <c r="C756" s="7" t="s">
        <v>213</v>
      </c>
      <c r="D756" s="7" t="s">
        <v>214</v>
      </c>
      <c r="E756" s="7" t="s">
        <v>227</v>
      </c>
      <c r="F756" s="7">
        <v>7252.0</v>
      </c>
      <c r="G756" s="7"/>
      <c r="H756" s="14" t="s">
        <v>53</v>
      </c>
      <c r="I756" s="8"/>
      <c r="J756" s="8"/>
      <c r="K756" s="8" t="s">
        <v>2534</v>
      </c>
      <c r="L756" s="8" t="s">
        <v>3078</v>
      </c>
      <c r="M756" s="8"/>
      <c r="N756" s="8" t="s">
        <v>85</v>
      </c>
      <c r="O756" s="8" t="s">
        <v>56</v>
      </c>
      <c r="P756" s="8" t="s">
        <v>57</v>
      </c>
      <c r="Q756" s="8" t="s">
        <v>3886</v>
      </c>
      <c r="R756" s="8">
        <v>0.95</v>
      </c>
      <c r="S756" s="8" t="s">
        <v>49</v>
      </c>
      <c r="T756" s="8" t="s">
        <v>49</v>
      </c>
      <c r="U756" s="8" t="s">
        <v>3887</v>
      </c>
      <c r="V756" s="8" t="s">
        <v>443</v>
      </c>
      <c r="W756" s="8" t="s">
        <v>89</v>
      </c>
      <c r="X756" s="8" t="s">
        <v>108</v>
      </c>
      <c r="Y756" s="8" t="s">
        <v>3081</v>
      </c>
      <c r="Z756" s="8" t="s">
        <v>1831</v>
      </c>
      <c r="AA756" s="8" t="s">
        <v>231</v>
      </c>
      <c r="AB756" s="8" t="s">
        <v>60</v>
      </c>
      <c r="AC756" s="8" t="s">
        <v>219</v>
      </c>
      <c r="AD756" s="8" t="s">
        <v>3888</v>
      </c>
      <c r="AE756" s="8" t="s">
        <v>55</v>
      </c>
      <c r="AF756" s="8" t="s">
        <v>55</v>
      </c>
      <c r="AG756" s="8" t="s">
        <v>3083</v>
      </c>
      <c r="AH756" s="8" t="s">
        <v>111</v>
      </c>
      <c r="AI756" s="8" t="s">
        <v>65</v>
      </c>
      <c r="AJ756" s="8" t="s">
        <v>49</v>
      </c>
      <c r="AK756" s="8" t="s">
        <v>1422</v>
      </c>
      <c r="AL756" s="8" t="s">
        <v>720</v>
      </c>
      <c r="AM756" s="8"/>
      <c r="AN756" s="40" t="s">
        <v>3889</v>
      </c>
      <c r="AO756" s="9" t="s">
        <v>3890</v>
      </c>
      <c r="AP756" s="10" t="s">
        <v>3087</v>
      </c>
      <c r="AQ756" s="16" t="s">
        <v>3891</v>
      </c>
      <c r="AR756" s="9" t="s">
        <v>3892</v>
      </c>
      <c r="AS756" s="12"/>
      <c r="AT756" s="16" t="s">
        <v>3893</v>
      </c>
      <c r="AU756" s="16" t="s">
        <v>3894</v>
      </c>
      <c r="AV756" s="41"/>
    </row>
    <row r="757" ht="15.75" hidden="1" customHeight="1">
      <c r="A757" s="7" t="s">
        <v>3895</v>
      </c>
      <c r="B757" s="7" t="s">
        <v>2007</v>
      </c>
      <c r="C757" s="7" t="s">
        <v>213</v>
      </c>
      <c r="D757" s="7" t="s">
        <v>214</v>
      </c>
      <c r="E757" s="7" t="s">
        <v>227</v>
      </c>
      <c r="F757" s="7">
        <v>7252.0</v>
      </c>
      <c r="G757" s="7">
        <v>7252.0</v>
      </c>
      <c r="H757" s="14" t="s">
        <v>53</v>
      </c>
      <c r="I757" s="8"/>
      <c r="J757" s="8"/>
      <c r="K757" s="8" t="s">
        <v>2534</v>
      </c>
      <c r="L757" s="8" t="s">
        <v>3078</v>
      </c>
      <c r="M757" s="8"/>
      <c r="N757" s="8" t="s">
        <v>85</v>
      </c>
      <c r="O757" s="8" t="s">
        <v>56</v>
      </c>
      <c r="P757" s="8" t="s">
        <v>57</v>
      </c>
      <c r="Q757" s="8" t="s">
        <v>3886</v>
      </c>
      <c r="R757" s="8">
        <v>0.95</v>
      </c>
      <c r="S757" s="8" t="s">
        <v>49</v>
      </c>
      <c r="T757" s="8" t="s">
        <v>49</v>
      </c>
      <c r="U757" s="8" t="s">
        <v>3887</v>
      </c>
      <c r="V757" s="8" t="s">
        <v>443</v>
      </c>
      <c r="W757" s="8" t="s">
        <v>89</v>
      </c>
      <c r="X757" s="8" t="s">
        <v>108</v>
      </c>
      <c r="Y757" s="8" t="s">
        <v>3081</v>
      </c>
      <c r="Z757" s="8" t="s">
        <v>1831</v>
      </c>
      <c r="AA757" s="8" t="s">
        <v>231</v>
      </c>
      <c r="AB757" s="8" t="s">
        <v>60</v>
      </c>
      <c r="AC757" s="8" t="s">
        <v>219</v>
      </c>
      <c r="AD757" s="8" t="s">
        <v>3888</v>
      </c>
      <c r="AE757" s="8" t="s">
        <v>55</v>
      </c>
      <c r="AF757" s="8" t="s">
        <v>55</v>
      </c>
      <c r="AG757" s="8" t="s">
        <v>3083</v>
      </c>
      <c r="AH757" s="8" t="s">
        <v>111</v>
      </c>
      <c r="AI757" s="8" t="s">
        <v>65</v>
      </c>
      <c r="AJ757" s="8" t="s">
        <v>49</v>
      </c>
      <c r="AK757" s="8" t="s">
        <v>1422</v>
      </c>
      <c r="AL757" s="8" t="s">
        <v>720</v>
      </c>
      <c r="AM757" s="8"/>
      <c r="AN757" s="40" t="s">
        <v>3889</v>
      </c>
      <c r="AO757" s="9" t="s">
        <v>3890</v>
      </c>
      <c r="AP757" s="10" t="s">
        <v>3087</v>
      </c>
      <c r="AQ757" s="16" t="s">
        <v>3891</v>
      </c>
      <c r="AR757" s="9" t="s">
        <v>3892</v>
      </c>
      <c r="AS757" s="12"/>
      <c r="AT757" s="16" t="s">
        <v>3893</v>
      </c>
      <c r="AU757" s="16" t="s">
        <v>3894</v>
      </c>
      <c r="AV757" s="42">
        <v>46315.0</v>
      </c>
    </row>
    <row r="758" ht="15.75" hidden="1" customHeight="1">
      <c r="A758" s="7" t="s">
        <v>3896</v>
      </c>
      <c r="B758" s="7" t="s">
        <v>2007</v>
      </c>
      <c r="C758" s="7" t="s">
        <v>213</v>
      </c>
      <c r="D758" s="7" t="s">
        <v>214</v>
      </c>
      <c r="E758" s="7" t="s">
        <v>227</v>
      </c>
      <c r="F758" s="7">
        <v>7253.0</v>
      </c>
      <c r="G758" s="7">
        <v>7252.0</v>
      </c>
      <c r="H758" s="14" t="s">
        <v>53</v>
      </c>
      <c r="I758" s="8"/>
      <c r="J758" s="8"/>
      <c r="K758" s="8" t="s">
        <v>2534</v>
      </c>
      <c r="L758" s="8" t="s">
        <v>3078</v>
      </c>
      <c r="M758" s="8"/>
      <c r="N758" s="8" t="s">
        <v>85</v>
      </c>
      <c r="O758" s="8" t="s">
        <v>56</v>
      </c>
      <c r="P758" s="8" t="s">
        <v>57</v>
      </c>
      <c r="Q758" s="8" t="s">
        <v>3886</v>
      </c>
      <c r="R758" s="8">
        <v>0.95</v>
      </c>
      <c r="S758" s="8" t="s">
        <v>49</v>
      </c>
      <c r="T758" s="8" t="s">
        <v>49</v>
      </c>
      <c r="U758" s="8" t="s">
        <v>3887</v>
      </c>
      <c r="V758" s="8" t="s">
        <v>443</v>
      </c>
      <c r="W758" s="8" t="s">
        <v>89</v>
      </c>
      <c r="X758" s="8" t="s">
        <v>108</v>
      </c>
      <c r="Y758" s="8" t="s">
        <v>3081</v>
      </c>
      <c r="Z758" s="8" t="s">
        <v>1831</v>
      </c>
      <c r="AA758" s="8" t="s">
        <v>231</v>
      </c>
      <c r="AB758" s="8" t="s">
        <v>60</v>
      </c>
      <c r="AC758" s="8" t="s">
        <v>219</v>
      </c>
      <c r="AD758" s="8" t="s">
        <v>3888</v>
      </c>
      <c r="AE758" s="8" t="s">
        <v>55</v>
      </c>
      <c r="AF758" s="8" t="s">
        <v>55</v>
      </c>
      <c r="AG758" s="8" t="s">
        <v>3083</v>
      </c>
      <c r="AH758" s="8" t="s">
        <v>111</v>
      </c>
      <c r="AI758" s="8" t="s">
        <v>2060</v>
      </c>
      <c r="AJ758" s="8" t="s">
        <v>49</v>
      </c>
      <c r="AK758" s="8" t="s">
        <v>1422</v>
      </c>
      <c r="AL758" s="8" t="s">
        <v>720</v>
      </c>
      <c r="AM758" s="8"/>
      <c r="AN758" s="9" t="s">
        <v>3897</v>
      </c>
      <c r="AO758" s="9" t="s">
        <v>3898</v>
      </c>
      <c r="AP758" s="10" t="s">
        <v>3087</v>
      </c>
      <c r="AQ758" s="16" t="s">
        <v>3891</v>
      </c>
      <c r="AR758" s="9" t="s">
        <v>3892</v>
      </c>
      <c r="AS758" s="12"/>
      <c r="AT758" s="16" t="s">
        <v>3893</v>
      </c>
      <c r="AU758" s="16" t="s">
        <v>3894</v>
      </c>
      <c r="AV758" s="42">
        <v>46315.0</v>
      </c>
    </row>
    <row r="759" ht="15.75" customHeight="1">
      <c r="A759" s="35" t="s">
        <v>3899</v>
      </c>
      <c r="B759" s="35" t="s">
        <v>3622</v>
      </c>
      <c r="C759" s="35" t="s">
        <v>213</v>
      </c>
      <c r="D759" s="38" t="s">
        <v>344</v>
      </c>
      <c r="E759" s="35" t="s">
        <v>227</v>
      </c>
      <c r="F759" s="35">
        <v>7185.0</v>
      </c>
      <c r="G759" s="35">
        <v>7185.0</v>
      </c>
      <c r="H759" s="38" t="s">
        <v>1134</v>
      </c>
      <c r="I759" s="35"/>
      <c r="J759" s="35"/>
      <c r="K759" s="35" t="s">
        <v>3095</v>
      </c>
      <c r="L759" s="35" t="s">
        <v>126</v>
      </c>
      <c r="M759" s="38" t="s">
        <v>1549</v>
      </c>
      <c r="N759" s="35" t="s">
        <v>1610</v>
      </c>
      <c r="O759" s="35" t="s">
        <v>217</v>
      </c>
      <c r="P759" s="35" t="s">
        <v>57</v>
      </c>
      <c r="Q759" s="35" t="s">
        <v>1299</v>
      </c>
      <c r="R759" s="35">
        <v>0.95</v>
      </c>
      <c r="S759" s="35" t="s">
        <v>49</v>
      </c>
      <c r="T759" s="35" t="s">
        <v>49</v>
      </c>
      <c r="U759" s="35" t="s">
        <v>3689</v>
      </c>
      <c r="V759" s="35" t="s">
        <v>3690</v>
      </c>
      <c r="W759" s="35" t="s">
        <v>1536</v>
      </c>
      <c r="X759" s="35" t="s">
        <v>108</v>
      </c>
      <c r="Y759" s="35" t="s">
        <v>432</v>
      </c>
      <c r="Z759" s="35" t="s">
        <v>1831</v>
      </c>
      <c r="AA759" s="35" t="s">
        <v>231</v>
      </c>
      <c r="AB759" s="35" t="s">
        <v>60</v>
      </c>
      <c r="AC759" s="35" t="s">
        <v>348</v>
      </c>
      <c r="AD759" s="35" t="s">
        <v>3691</v>
      </c>
      <c r="AE759" s="35" t="s">
        <v>3692</v>
      </c>
      <c r="AF759" s="35" t="s">
        <v>3627</v>
      </c>
      <c r="AG759" s="35" t="s">
        <v>63</v>
      </c>
      <c r="AH759" s="35" t="s">
        <v>145</v>
      </c>
      <c r="AI759" s="35" t="s">
        <v>490</v>
      </c>
      <c r="AJ759" s="35" t="s">
        <v>49</v>
      </c>
      <c r="AK759" s="35" t="s">
        <v>2625</v>
      </c>
      <c r="AL759" s="35" t="s">
        <v>2431</v>
      </c>
      <c r="AM759" s="35"/>
      <c r="AN759" s="36" t="s">
        <v>3714</v>
      </c>
      <c r="AO759" s="36" t="s">
        <v>3715</v>
      </c>
      <c r="AP759" s="37" t="s">
        <v>3695</v>
      </c>
      <c r="AQ759" s="37" t="s">
        <v>3696</v>
      </c>
      <c r="AR759" s="17" t="s">
        <v>224</v>
      </c>
      <c r="AS759" s="17"/>
      <c r="AT759" s="11"/>
      <c r="AU759" s="35"/>
      <c r="AV759" s="13"/>
    </row>
    <row r="760" ht="15.75" customHeight="1">
      <c r="A760" s="35" t="s">
        <v>3900</v>
      </c>
      <c r="B760" s="35" t="s">
        <v>3622</v>
      </c>
      <c r="C760" s="38" t="s">
        <v>213</v>
      </c>
      <c r="D760" s="38" t="s">
        <v>344</v>
      </c>
      <c r="E760" s="35"/>
      <c r="F760" s="35">
        <v>7186.0</v>
      </c>
      <c r="G760" s="35">
        <v>7185.0</v>
      </c>
      <c r="H760" s="38" t="s">
        <v>1134</v>
      </c>
      <c r="I760" s="35"/>
      <c r="J760" s="35"/>
      <c r="K760" s="35" t="s">
        <v>3095</v>
      </c>
      <c r="L760" s="35" t="s">
        <v>126</v>
      </c>
      <c r="M760" s="38" t="s">
        <v>1549</v>
      </c>
      <c r="N760" s="35" t="s">
        <v>1610</v>
      </c>
      <c r="O760" s="35" t="s">
        <v>217</v>
      </c>
      <c r="P760" s="35" t="s">
        <v>57</v>
      </c>
      <c r="Q760" s="35" t="s">
        <v>1299</v>
      </c>
      <c r="R760" s="35">
        <v>0.95</v>
      </c>
      <c r="S760" s="35" t="s">
        <v>49</v>
      </c>
      <c r="T760" s="35" t="s">
        <v>49</v>
      </c>
      <c r="U760" s="35" t="s">
        <v>3689</v>
      </c>
      <c r="V760" s="35" t="s">
        <v>3690</v>
      </c>
      <c r="W760" s="35" t="s">
        <v>89</v>
      </c>
      <c r="X760" s="35" t="s">
        <v>108</v>
      </c>
      <c r="Y760" s="35" t="s">
        <v>432</v>
      </c>
      <c r="Z760" s="35" t="s">
        <v>1831</v>
      </c>
      <c r="AA760" s="35" t="s">
        <v>231</v>
      </c>
      <c r="AB760" s="35" t="s">
        <v>60</v>
      </c>
      <c r="AC760" s="35" t="s">
        <v>348</v>
      </c>
      <c r="AD760" s="35" t="s">
        <v>3691</v>
      </c>
      <c r="AE760" s="35" t="s">
        <v>3692</v>
      </c>
      <c r="AF760" s="35" t="s">
        <v>3627</v>
      </c>
      <c r="AG760" s="35" t="s">
        <v>63</v>
      </c>
      <c r="AH760" s="35" t="s">
        <v>145</v>
      </c>
      <c r="AI760" s="35" t="s">
        <v>490</v>
      </c>
      <c r="AJ760" s="35" t="s">
        <v>49</v>
      </c>
      <c r="AK760" s="35" t="s">
        <v>2625</v>
      </c>
      <c r="AL760" s="35" t="s">
        <v>2431</v>
      </c>
      <c r="AM760" s="35"/>
      <c r="AN760" s="36" t="s">
        <v>3901</v>
      </c>
      <c r="AO760" s="36" t="s">
        <v>3902</v>
      </c>
      <c r="AP760" s="37" t="s">
        <v>3695</v>
      </c>
      <c r="AQ760" s="37" t="s">
        <v>3696</v>
      </c>
      <c r="AR760" s="17" t="s">
        <v>224</v>
      </c>
      <c r="AS760" s="17"/>
      <c r="AT760" s="11"/>
      <c r="AU760" s="35"/>
      <c r="AV760" s="13"/>
    </row>
    <row r="761" ht="15.75" customHeight="1">
      <c r="A761" s="35" t="s">
        <v>3903</v>
      </c>
      <c r="B761" s="35" t="s">
        <v>3622</v>
      </c>
      <c r="C761" s="35" t="s">
        <v>213</v>
      </c>
      <c r="D761" s="38" t="s">
        <v>344</v>
      </c>
      <c r="E761" s="35" t="s">
        <v>227</v>
      </c>
      <c r="F761" s="35">
        <v>7287.0</v>
      </c>
      <c r="G761" s="35">
        <v>7185.0</v>
      </c>
      <c r="H761" s="38" t="s">
        <v>1134</v>
      </c>
      <c r="I761" s="35"/>
      <c r="J761" s="35"/>
      <c r="K761" s="35" t="s">
        <v>3095</v>
      </c>
      <c r="L761" s="35" t="s">
        <v>126</v>
      </c>
      <c r="M761" s="38" t="s">
        <v>1549</v>
      </c>
      <c r="N761" s="35" t="s">
        <v>1610</v>
      </c>
      <c r="O761" s="35" t="s">
        <v>217</v>
      </c>
      <c r="P761" s="35" t="s">
        <v>57</v>
      </c>
      <c r="Q761" s="35" t="s">
        <v>1299</v>
      </c>
      <c r="R761" s="35">
        <v>0.95</v>
      </c>
      <c r="S761" s="35" t="s">
        <v>49</v>
      </c>
      <c r="T761" s="35" t="s">
        <v>49</v>
      </c>
      <c r="U761" s="35" t="s">
        <v>3689</v>
      </c>
      <c r="V761" s="35" t="s">
        <v>3690</v>
      </c>
      <c r="W761" s="35" t="s">
        <v>1536</v>
      </c>
      <c r="X761" s="35" t="s">
        <v>108</v>
      </c>
      <c r="Y761" s="35" t="s">
        <v>432</v>
      </c>
      <c r="Z761" s="35" t="s">
        <v>1831</v>
      </c>
      <c r="AA761" s="35" t="s">
        <v>231</v>
      </c>
      <c r="AB761" s="35" t="s">
        <v>60</v>
      </c>
      <c r="AC761" s="35" t="s">
        <v>348</v>
      </c>
      <c r="AD761" s="35" t="s">
        <v>3691</v>
      </c>
      <c r="AE761" s="35" t="s">
        <v>3692</v>
      </c>
      <c r="AF761" s="35" t="s">
        <v>3627</v>
      </c>
      <c r="AG761" s="35" t="s">
        <v>63</v>
      </c>
      <c r="AH761" s="35" t="s">
        <v>145</v>
      </c>
      <c r="AI761" s="35" t="s">
        <v>94</v>
      </c>
      <c r="AJ761" s="35" t="s">
        <v>49</v>
      </c>
      <c r="AK761" s="35" t="s">
        <v>2625</v>
      </c>
      <c r="AL761" s="35" t="s">
        <v>2431</v>
      </c>
      <c r="AM761" s="35"/>
      <c r="AN761" s="37" t="s">
        <v>3904</v>
      </c>
      <c r="AO761" s="36" t="s">
        <v>3905</v>
      </c>
      <c r="AP761" s="37" t="s">
        <v>3695</v>
      </c>
      <c r="AQ761" s="37" t="s">
        <v>3696</v>
      </c>
      <c r="AR761" s="17" t="s">
        <v>224</v>
      </c>
      <c r="AS761" s="17"/>
      <c r="AT761" s="11"/>
      <c r="AU761" s="35"/>
      <c r="AV761" s="13"/>
    </row>
    <row r="762" ht="15.75" customHeight="1">
      <c r="A762" s="35" t="s">
        <v>3906</v>
      </c>
      <c r="B762" s="35" t="s">
        <v>3622</v>
      </c>
      <c r="C762" s="35" t="s">
        <v>213</v>
      </c>
      <c r="D762" s="38" t="s">
        <v>344</v>
      </c>
      <c r="E762" s="35" t="s">
        <v>227</v>
      </c>
      <c r="F762" s="35">
        <v>7288.0</v>
      </c>
      <c r="G762" s="35">
        <v>7185.0</v>
      </c>
      <c r="H762" s="38" t="s">
        <v>1134</v>
      </c>
      <c r="I762" s="35"/>
      <c r="J762" s="35"/>
      <c r="K762" s="35" t="s">
        <v>3095</v>
      </c>
      <c r="L762" s="35" t="s">
        <v>126</v>
      </c>
      <c r="M762" s="38" t="s">
        <v>1549</v>
      </c>
      <c r="N762" s="35" t="s">
        <v>1610</v>
      </c>
      <c r="O762" s="35" t="s">
        <v>217</v>
      </c>
      <c r="P762" s="35" t="s">
        <v>57</v>
      </c>
      <c r="Q762" s="35" t="s">
        <v>1299</v>
      </c>
      <c r="R762" s="35">
        <v>0.95</v>
      </c>
      <c r="S762" s="35" t="s">
        <v>49</v>
      </c>
      <c r="T762" s="35" t="s">
        <v>49</v>
      </c>
      <c r="U762" s="35" t="s">
        <v>3689</v>
      </c>
      <c r="V762" s="35" t="s">
        <v>3690</v>
      </c>
      <c r="W762" s="35" t="s">
        <v>89</v>
      </c>
      <c r="X762" s="35" t="s">
        <v>108</v>
      </c>
      <c r="Y762" s="35" t="s">
        <v>432</v>
      </c>
      <c r="Z762" s="35" t="s">
        <v>1831</v>
      </c>
      <c r="AA762" s="35" t="s">
        <v>231</v>
      </c>
      <c r="AB762" s="35" t="s">
        <v>60</v>
      </c>
      <c r="AC762" s="35" t="s">
        <v>348</v>
      </c>
      <c r="AD762" s="35" t="s">
        <v>3691</v>
      </c>
      <c r="AE762" s="35" t="s">
        <v>3692</v>
      </c>
      <c r="AF762" s="35" t="s">
        <v>3627</v>
      </c>
      <c r="AG762" s="35" t="s">
        <v>63</v>
      </c>
      <c r="AH762" s="35" t="s">
        <v>145</v>
      </c>
      <c r="AI762" s="35" t="s">
        <v>94</v>
      </c>
      <c r="AJ762" s="35" t="s">
        <v>49</v>
      </c>
      <c r="AK762" s="35" t="s">
        <v>2625</v>
      </c>
      <c r="AL762" s="35" t="s">
        <v>2431</v>
      </c>
      <c r="AM762" s="35"/>
      <c r="AN762" s="37" t="s">
        <v>3907</v>
      </c>
      <c r="AO762" s="36" t="s">
        <v>3908</v>
      </c>
      <c r="AP762" s="37" t="s">
        <v>3695</v>
      </c>
      <c r="AQ762" s="37" t="s">
        <v>3696</v>
      </c>
      <c r="AR762" s="17" t="s">
        <v>224</v>
      </c>
      <c r="AS762" s="17"/>
      <c r="AT762" s="11"/>
      <c r="AU762" s="35"/>
      <c r="AV762" s="13"/>
    </row>
    <row r="763" ht="15.75" hidden="1" customHeight="1">
      <c r="A763" s="35" t="s">
        <v>3909</v>
      </c>
      <c r="B763" s="35" t="s">
        <v>3622</v>
      </c>
      <c r="C763" s="35" t="s">
        <v>213</v>
      </c>
      <c r="D763" s="35" t="s">
        <v>376</v>
      </c>
      <c r="E763" s="35" t="s">
        <v>227</v>
      </c>
      <c r="F763" s="35">
        <v>7192.0</v>
      </c>
      <c r="G763" s="35"/>
      <c r="H763" s="35" t="s">
        <v>3623</v>
      </c>
      <c r="I763" s="35"/>
      <c r="J763" s="35"/>
      <c r="K763" s="35" t="s">
        <v>3095</v>
      </c>
      <c r="L763" s="35" t="s">
        <v>126</v>
      </c>
      <c r="M763" s="35"/>
      <c r="N763" s="35" t="s">
        <v>85</v>
      </c>
      <c r="O763" s="35" t="s">
        <v>217</v>
      </c>
      <c r="P763" s="35" t="s">
        <v>57</v>
      </c>
      <c r="Q763" s="35" t="s">
        <v>1865</v>
      </c>
      <c r="R763" s="35">
        <v>0.5</v>
      </c>
      <c r="S763" s="35" t="s">
        <v>49</v>
      </c>
      <c r="T763" s="35" t="s">
        <v>49</v>
      </c>
      <c r="U763" s="35" t="s">
        <v>2491</v>
      </c>
      <c r="V763" s="35" t="s">
        <v>2753</v>
      </c>
      <c r="W763" s="35" t="s">
        <v>1536</v>
      </c>
      <c r="X763" s="35" t="s">
        <v>108</v>
      </c>
      <c r="Y763" s="35" t="s">
        <v>432</v>
      </c>
      <c r="Z763" s="35" t="s">
        <v>1852</v>
      </c>
      <c r="AA763" s="35" t="s">
        <v>231</v>
      </c>
      <c r="AB763" s="35" t="s">
        <v>60</v>
      </c>
      <c r="AC763" s="35" t="s">
        <v>348</v>
      </c>
      <c r="AD763" s="35" t="s">
        <v>3910</v>
      </c>
      <c r="AE763" s="35" t="s">
        <v>3911</v>
      </c>
      <c r="AF763" s="35" t="s">
        <v>3739</v>
      </c>
      <c r="AG763" s="35" t="s">
        <v>63</v>
      </c>
      <c r="AH763" s="35" t="s">
        <v>145</v>
      </c>
      <c r="AI763" s="35" t="s">
        <v>3666</v>
      </c>
      <c r="AJ763" s="35" t="s">
        <v>49</v>
      </c>
      <c r="AK763" s="35" t="s">
        <v>49</v>
      </c>
      <c r="AL763" s="35" t="s">
        <v>2431</v>
      </c>
      <c r="AM763" s="35"/>
      <c r="AN763" s="36" t="s">
        <v>3912</v>
      </c>
      <c r="AO763" s="36" t="s">
        <v>3913</v>
      </c>
      <c r="AP763" s="37" t="s">
        <v>3914</v>
      </c>
      <c r="AQ763" s="37" t="s">
        <v>3915</v>
      </c>
      <c r="AR763" s="17" t="s">
        <v>224</v>
      </c>
      <c r="AS763" s="17"/>
      <c r="AT763" s="11"/>
      <c r="AU763" s="35"/>
      <c r="AV763" s="13"/>
    </row>
    <row r="764" ht="15.75" customHeight="1">
      <c r="A764" s="35" t="s">
        <v>3916</v>
      </c>
      <c r="B764" s="35" t="s">
        <v>3622</v>
      </c>
      <c r="C764" s="35" t="s">
        <v>213</v>
      </c>
      <c r="D764" s="38" t="s">
        <v>344</v>
      </c>
      <c r="E764" s="35" t="s">
        <v>227</v>
      </c>
      <c r="F764" s="35">
        <v>7192.0</v>
      </c>
      <c r="G764" s="35">
        <v>7192.0</v>
      </c>
      <c r="H764" s="38" t="s">
        <v>1134</v>
      </c>
      <c r="I764" s="35"/>
      <c r="J764" s="35"/>
      <c r="K764" s="35" t="s">
        <v>3095</v>
      </c>
      <c r="L764" s="35" t="s">
        <v>126</v>
      </c>
      <c r="M764" s="38" t="s">
        <v>1549</v>
      </c>
      <c r="N764" s="35" t="s">
        <v>85</v>
      </c>
      <c r="O764" s="35" t="s">
        <v>217</v>
      </c>
      <c r="P764" s="35" t="s">
        <v>57</v>
      </c>
      <c r="Q764" s="35" t="s">
        <v>1865</v>
      </c>
      <c r="R764" s="35">
        <v>0.5</v>
      </c>
      <c r="S764" s="35" t="s">
        <v>49</v>
      </c>
      <c r="T764" s="35" t="s">
        <v>49</v>
      </c>
      <c r="U764" s="35" t="s">
        <v>2491</v>
      </c>
      <c r="V764" s="35" t="s">
        <v>2753</v>
      </c>
      <c r="W764" s="35" t="s">
        <v>1536</v>
      </c>
      <c r="X764" s="35" t="s">
        <v>108</v>
      </c>
      <c r="Y764" s="35" t="s">
        <v>432</v>
      </c>
      <c r="Z764" s="35" t="s">
        <v>1852</v>
      </c>
      <c r="AA764" s="35" t="s">
        <v>231</v>
      </c>
      <c r="AB764" s="35" t="s">
        <v>60</v>
      </c>
      <c r="AC764" s="35" t="s">
        <v>348</v>
      </c>
      <c r="AD764" s="35" t="s">
        <v>3910</v>
      </c>
      <c r="AE764" s="35" t="s">
        <v>3911</v>
      </c>
      <c r="AF764" s="35" t="s">
        <v>3739</v>
      </c>
      <c r="AG764" s="35" t="s">
        <v>63</v>
      </c>
      <c r="AH764" s="35" t="s">
        <v>145</v>
      </c>
      <c r="AI764" s="38" t="s">
        <v>112</v>
      </c>
      <c r="AJ764" s="35" t="s">
        <v>49</v>
      </c>
      <c r="AK764" s="35" t="s">
        <v>2625</v>
      </c>
      <c r="AL764" s="35" t="s">
        <v>2431</v>
      </c>
      <c r="AM764" s="35"/>
      <c r="AN764" s="36" t="s">
        <v>3912</v>
      </c>
      <c r="AO764" s="36" t="s">
        <v>3913</v>
      </c>
      <c r="AP764" s="37" t="s">
        <v>3914</v>
      </c>
      <c r="AQ764" s="37" t="s">
        <v>3915</v>
      </c>
      <c r="AR764" s="17" t="s">
        <v>224</v>
      </c>
      <c r="AS764" s="17"/>
      <c r="AT764" s="11"/>
      <c r="AU764" s="35"/>
      <c r="AV764" s="13"/>
    </row>
    <row r="765" ht="15.75" customHeight="1">
      <c r="A765" s="35" t="s">
        <v>3917</v>
      </c>
      <c r="B765" s="35" t="s">
        <v>3622</v>
      </c>
      <c r="C765" s="35" t="s">
        <v>213</v>
      </c>
      <c r="D765" s="38" t="s">
        <v>344</v>
      </c>
      <c r="E765" s="35" t="s">
        <v>227</v>
      </c>
      <c r="F765" s="35">
        <v>7193.0</v>
      </c>
      <c r="G765" s="35">
        <v>7192.0</v>
      </c>
      <c r="H765" s="38" t="s">
        <v>1134</v>
      </c>
      <c r="I765" s="35"/>
      <c r="J765" s="35"/>
      <c r="K765" s="35" t="s">
        <v>3095</v>
      </c>
      <c r="L765" s="35" t="s">
        <v>126</v>
      </c>
      <c r="M765" s="38" t="s">
        <v>1549</v>
      </c>
      <c r="N765" s="35" t="s">
        <v>85</v>
      </c>
      <c r="O765" s="35" t="s">
        <v>217</v>
      </c>
      <c r="P765" s="35" t="s">
        <v>57</v>
      </c>
      <c r="Q765" s="35" t="s">
        <v>1865</v>
      </c>
      <c r="R765" s="35">
        <v>0.5</v>
      </c>
      <c r="S765" s="35" t="s">
        <v>49</v>
      </c>
      <c r="T765" s="35" t="s">
        <v>49</v>
      </c>
      <c r="U765" s="35" t="s">
        <v>2491</v>
      </c>
      <c r="V765" s="35" t="s">
        <v>2753</v>
      </c>
      <c r="W765" s="35" t="s">
        <v>1536</v>
      </c>
      <c r="X765" s="35" t="s">
        <v>108</v>
      </c>
      <c r="Y765" s="35" t="s">
        <v>432</v>
      </c>
      <c r="Z765" s="35" t="s">
        <v>1852</v>
      </c>
      <c r="AA765" s="35" t="s">
        <v>231</v>
      </c>
      <c r="AB765" s="35" t="s">
        <v>60</v>
      </c>
      <c r="AC765" s="35" t="s">
        <v>348</v>
      </c>
      <c r="AD765" s="35" t="s">
        <v>3910</v>
      </c>
      <c r="AE765" s="35" t="s">
        <v>3911</v>
      </c>
      <c r="AF765" s="35" t="s">
        <v>3739</v>
      </c>
      <c r="AG765" s="35" t="s">
        <v>63</v>
      </c>
      <c r="AH765" s="35" t="s">
        <v>145</v>
      </c>
      <c r="AI765" s="35" t="s">
        <v>490</v>
      </c>
      <c r="AJ765" s="35" t="s">
        <v>49</v>
      </c>
      <c r="AK765" s="35" t="s">
        <v>2625</v>
      </c>
      <c r="AL765" s="35" t="s">
        <v>2431</v>
      </c>
      <c r="AM765" s="35"/>
      <c r="AN765" s="36" t="s">
        <v>3918</v>
      </c>
      <c r="AO765" s="36" t="s">
        <v>3919</v>
      </c>
      <c r="AP765" s="37" t="s">
        <v>3914</v>
      </c>
      <c r="AQ765" s="37" t="s">
        <v>3915</v>
      </c>
      <c r="AR765" s="17" t="s">
        <v>224</v>
      </c>
      <c r="AS765" s="17"/>
      <c r="AT765" s="11"/>
      <c r="AU765" s="35"/>
      <c r="AV765" s="13"/>
    </row>
    <row r="766" ht="15.75" customHeight="1">
      <c r="A766" s="35" t="s">
        <v>3920</v>
      </c>
      <c r="B766" s="35" t="s">
        <v>3622</v>
      </c>
      <c r="C766" s="35" t="s">
        <v>213</v>
      </c>
      <c r="D766" s="38" t="s">
        <v>344</v>
      </c>
      <c r="E766" s="35" t="s">
        <v>227</v>
      </c>
      <c r="F766" s="35">
        <v>7194.0</v>
      </c>
      <c r="G766" s="35">
        <v>7192.0</v>
      </c>
      <c r="H766" s="38" t="s">
        <v>1134</v>
      </c>
      <c r="I766" s="35"/>
      <c r="J766" s="35"/>
      <c r="K766" s="35" t="s">
        <v>3095</v>
      </c>
      <c r="L766" s="35" t="s">
        <v>126</v>
      </c>
      <c r="M766" s="38" t="s">
        <v>1549</v>
      </c>
      <c r="N766" s="35" t="s">
        <v>85</v>
      </c>
      <c r="O766" s="35" t="s">
        <v>217</v>
      </c>
      <c r="P766" s="35" t="s">
        <v>57</v>
      </c>
      <c r="Q766" s="35" t="s">
        <v>1865</v>
      </c>
      <c r="R766" s="35">
        <v>0.5</v>
      </c>
      <c r="S766" s="35" t="s">
        <v>49</v>
      </c>
      <c r="T766" s="35" t="s">
        <v>49</v>
      </c>
      <c r="U766" s="35" t="s">
        <v>2491</v>
      </c>
      <c r="V766" s="35" t="s">
        <v>2753</v>
      </c>
      <c r="W766" s="35" t="s">
        <v>89</v>
      </c>
      <c r="X766" s="35" t="s">
        <v>108</v>
      </c>
      <c r="Y766" s="35" t="s">
        <v>432</v>
      </c>
      <c r="Z766" s="35" t="s">
        <v>1852</v>
      </c>
      <c r="AA766" s="35" t="s">
        <v>231</v>
      </c>
      <c r="AB766" s="35" t="s">
        <v>60</v>
      </c>
      <c r="AC766" s="35" t="s">
        <v>348</v>
      </c>
      <c r="AD766" s="35" t="s">
        <v>3910</v>
      </c>
      <c r="AE766" s="35" t="s">
        <v>3911</v>
      </c>
      <c r="AF766" s="35" t="s">
        <v>3739</v>
      </c>
      <c r="AG766" s="35" t="s">
        <v>63</v>
      </c>
      <c r="AH766" s="35" t="s">
        <v>145</v>
      </c>
      <c r="AI766" s="35" t="s">
        <v>490</v>
      </c>
      <c r="AJ766" s="35" t="s">
        <v>49</v>
      </c>
      <c r="AK766" s="35" t="s">
        <v>2625</v>
      </c>
      <c r="AL766" s="35" t="s">
        <v>2431</v>
      </c>
      <c r="AM766" s="35"/>
      <c r="AN766" s="36" t="s">
        <v>3921</v>
      </c>
      <c r="AO766" s="36" t="s">
        <v>3922</v>
      </c>
      <c r="AP766" s="37" t="s">
        <v>3914</v>
      </c>
      <c r="AQ766" s="37" t="s">
        <v>3915</v>
      </c>
      <c r="AR766" s="17" t="s">
        <v>224</v>
      </c>
      <c r="AS766" s="17"/>
      <c r="AT766" s="11"/>
      <c r="AU766" s="35"/>
      <c r="AV766" s="13"/>
    </row>
    <row r="767" ht="15.75" customHeight="1">
      <c r="A767" s="35" t="s">
        <v>3923</v>
      </c>
      <c r="B767" s="35" t="s">
        <v>3622</v>
      </c>
      <c r="C767" s="35" t="s">
        <v>213</v>
      </c>
      <c r="D767" s="38" t="s">
        <v>344</v>
      </c>
      <c r="E767" s="35" t="s">
        <v>227</v>
      </c>
      <c r="F767" s="35">
        <v>7294.0</v>
      </c>
      <c r="G767" s="35">
        <v>7192.0</v>
      </c>
      <c r="H767" s="38" t="s">
        <v>1134</v>
      </c>
      <c r="I767" s="35"/>
      <c r="J767" s="35"/>
      <c r="K767" s="35" t="s">
        <v>3095</v>
      </c>
      <c r="L767" s="35" t="s">
        <v>126</v>
      </c>
      <c r="M767" s="38" t="s">
        <v>1549</v>
      </c>
      <c r="N767" s="35" t="s">
        <v>85</v>
      </c>
      <c r="O767" s="35" t="s">
        <v>217</v>
      </c>
      <c r="P767" s="35" t="s">
        <v>57</v>
      </c>
      <c r="Q767" s="35" t="s">
        <v>1865</v>
      </c>
      <c r="R767" s="35">
        <v>0.5</v>
      </c>
      <c r="S767" s="35" t="s">
        <v>49</v>
      </c>
      <c r="T767" s="35" t="s">
        <v>49</v>
      </c>
      <c r="U767" s="35" t="s">
        <v>2491</v>
      </c>
      <c r="V767" s="35" t="s">
        <v>2753</v>
      </c>
      <c r="W767" s="35" t="s">
        <v>89</v>
      </c>
      <c r="X767" s="35" t="s">
        <v>108</v>
      </c>
      <c r="Y767" s="35" t="s">
        <v>432</v>
      </c>
      <c r="Z767" s="35" t="s">
        <v>1852</v>
      </c>
      <c r="AA767" s="35" t="s">
        <v>231</v>
      </c>
      <c r="AB767" s="35" t="s">
        <v>60</v>
      </c>
      <c r="AC767" s="35" t="s">
        <v>348</v>
      </c>
      <c r="AD767" s="35" t="s">
        <v>3910</v>
      </c>
      <c r="AE767" s="35" t="s">
        <v>3911</v>
      </c>
      <c r="AF767" s="35" t="s">
        <v>3739</v>
      </c>
      <c r="AG767" s="35" t="s">
        <v>63</v>
      </c>
      <c r="AH767" s="35" t="s">
        <v>145</v>
      </c>
      <c r="AI767" s="35" t="s">
        <v>112</v>
      </c>
      <c r="AJ767" s="35" t="s">
        <v>49</v>
      </c>
      <c r="AK767" s="35" t="s">
        <v>2625</v>
      </c>
      <c r="AL767" s="35" t="s">
        <v>2431</v>
      </c>
      <c r="AM767" s="35"/>
      <c r="AN767" s="36" t="s">
        <v>3924</v>
      </c>
      <c r="AO767" s="36" t="s">
        <v>3925</v>
      </c>
      <c r="AP767" s="37" t="s">
        <v>3914</v>
      </c>
      <c r="AQ767" s="37" t="s">
        <v>3915</v>
      </c>
      <c r="AR767" s="17" t="s">
        <v>224</v>
      </c>
      <c r="AS767" s="17"/>
      <c r="AT767" s="11"/>
      <c r="AU767" s="35"/>
      <c r="AV767" s="13"/>
    </row>
    <row r="768" ht="15.75" customHeight="1">
      <c r="A768" s="35" t="s">
        <v>3926</v>
      </c>
      <c r="B768" s="35" t="s">
        <v>3622</v>
      </c>
      <c r="C768" s="35" t="s">
        <v>213</v>
      </c>
      <c r="D768" s="38" t="s">
        <v>344</v>
      </c>
      <c r="E768" s="35" t="s">
        <v>227</v>
      </c>
      <c r="F768" s="35">
        <v>7295.0</v>
      </c>
      <c r="G768" s="35">
        <v>7192.0</v>
      </c>
      <c r="H768" s="38" t="s">
        <v>1134</v>
      </c>
      <c r="I768" s="35"/>
      <c r="J768" s="35"/>
      <c r="K768" s="35" t="s">
        <v>3095</v>
      </c>
      <c r="L768" s="35" t="s">
        <v>126</v>
      </c>
      <c r="M768" s="38" t="s">
        <v>1549</v>
      </c>
      <c r="N768" s="35" t="s">
        <v>85</v>
      </c>
      <c r="O768" s="35" t="s">
        <v>217</v>
      </c>
      <c r="P768" s="35" t="s">
        <v>57</v>
      </c>
      <c r="Q768" s="35" t="s">
        <v>1865</v>
      </c>
      <c r="R768" s="35">
        <v>0.5</v>
      </c>
      <c r="S768" s="35" t="s">
        <v>49</v>
      </c>
      <c r="T768" s="35" t="s">
        <v>49</v>
      </c>
      <c r="U768" s="35" t="s">
        <v>2491</v>
      </c>
      <c r="V768" s="35" t="s">
        <v>2753</v>
      </c>
      <c r="W768" s="35" t="s">
        <v>1536</v>
      </c>
      <c r="X768" s="35" t="s">
        <v>108</v>
      </c>
      <c r="Y768" s="35" t="s">
        <v>432</v>
      </c>
      <c r="Z768" s="35" t="s">
        <v>1852</v>
      </c>
      <c r="AA768" s="35" t="s">
        <v>231</v>
      </c>
      <c r="AB768" s="35" t="s">
        <v>60</v>
      </c>
      <c r="AC768" s="35" t="s">
        <v>348</v>
      </c>
      <c r="AD768" s="35" t="s">
        <v>3910</v>
      </c>
      <c r="AE768" s="35" t="s">
        <v>3911</v>
      </c>
      <c r="AF768" s="35" t="s">
        <v>3739</v>
      </c>
      <c r="AG768" s="35" t="s">
        <v>63</v>
      </c>
      <c r="AH768" s="35" t="s">
        <v>145</v>
      </c>
      <c r="AI768" s="35" t="s">
        <v>94</v>
      </c>
      <c r="AJ768" s="35" t="s">
        <v>49</v>
      </c>
      <c r="AK768" s="35" t="s">
        <v>2625</v>
      </c>
      <c r="AL768" s="35" t="s">
        <v>2431</v>
      </c>
      <c r="AM768" s="35"/>
      <c r="AN768" s="37" t="s">
        <v>3927</v>
      </c>
      <c r="AO768" s="36" t="s">
        <v>3928</v>
      </c>
      <c r="AP768" s="37" t="s">
        <v>3914</v>
      </c>
      <c r="AQ768" s="37" t="s">
        <v>3915</v>
      </c>
      <c r="AR768" s="17" t="s">
        <v>224</v>
      </c>
      <c r="AS768" s="17"/>
      <c r="AT768" s="11"/>
      <c r="AU768" s="35"/>
      <c r="AV768" s="13"/>
    </row>
    <row r="769" ht="15.75" customHeight="1">
      <c r="A769" s="35" t="s">
        <v>3929</v>
      </c>
      <c r="B769" s="35" t="s">
        <v>3622</v>
      </c>
      <c r="C769" s="35" t="s">
        <v>213</v>
      </c>
      <c r="D769" s="38" t="s">
        <v>344</v>
      </c>
      <c r="E769" s="35" t="s">
        <v>227</v>
      </c>
      <c r="F769" s="35">
        <v>7296.0</v>
      </c>
      <c r="G769" s="35">
        <v>7192.0</v>
      </c>
      <c r="H769" s="38" t="s">
        <v>1134</v>
      </c>
      <c r="I769" s="35"/>
      <c r="J769" s="35"/>
      <c r="K769" s="35" t="s">
        <v>3095</v>
      </c>
      <c r="L769" s="35" t="s">
        <v>126</v>
      </c>
      <c r="M769" s="38" t="s">
        <v>1549</v>
      </c>
      <c r="N769" s="35" t="s">
        <v>85</v>
      </c>
      <c r="O769" s="35" t="s">
        <v>217</v>
      </c>
      <c r="P769" s="35" t="s">
        <v>57</v>
      </c>
      <c r="Q769" s="35" t="s">
        <v>1865</v>
      </c>
      <c r="R769" s="35">
        <v>0.5</v>
      </c>
      <c r="S769" s="35" t="s">
        <v>49</v>
      </c>
      <c r="T769" s="35" t="s">
        <v>49</v>
      </c>
      <c r="U769" s="35" t="s">
        <v>2491</v>
      </c>
      <c r="V769" s="35" t="s">
        <v>2753</v>
      </c>
      <c r="W769" s="35" t="s">
        <v>89</v>
      </c>
      <c r="X769" s="35" t="s">
        <v>108</v>
      </c>
      <c r="Y769" s="35" t="s">
        <v>432</v>
      </c>
      <c r="Z769" s="35" t="s">
        <v>1852</v>
      </c>
      <c r="AA769" s="35" t="s">
        <v>231</v>
      </c>
      <c r="AB769" s="35" t="s">
        <v>60</v>
      </c>
      <c r="AC769" s="35" t="s">
        <v>348</v>
      </c>
      <c r="AD769" s="35" t="s">
        <v>3910</v>
      </c>
      <c r="AE769" s="35" t="s">
        <v>3911</v>
      </c>
      <c r="AF769" s="35" t="s">
        <v>3739</v>
      </c>
      <c r="AG769" s="35" t="s">
        <v>63</v>
      </c>
      <c r="AH769" s="35" t="s">
        <v>145</v>
      </c>
      <c r="AI769" s="35" t="s">
        <v>94</v>
      </c>
      <c r="AJ769" s="35" t="s">
        <v>49</v>
      </c>
      <c r="AK769" s="35" t="s">
        <v>2625</v>
      </c>
      <c r="AL769" s="35" t="s">
        <v>2431</v>
      </c>
      <c r="AM769" s="35"/>
      <c r="AN769" s="37" t="s">
        <v>3930</v>
      </c>
      <c r="AO769" s="36" t="s">
        <v>3931</v>
      </c>
      <c r="AP769" s="37" t="s">
        <v>3914</v>
      </c>
      <c r="AQ769" s="37" t="s">
        <v>3915</v>
      </c>
      <c r="AR769" s="17" t="s">
        <v>224</v>
      </c>
      <c r="AS769" s="17"/>
      <c r="AT769" s="11"/>
      <c r="AU769" s="35"/>
      <c r="AV769" s="13"/>
    </row>
    <row r="770" ht="15.75" hidden="1" customHeight="1">
      <c r="A770" s="35" t="s">
        <v>3932</v>
      </c>
      <c r="B770" s="35" t="s">
        <v>3622</v>
      </c>
      <c r="C770" s="35" t="s">
        <v>213</v>
      </c>
      <c r="D770" s="35" t="s">
        <v>376</v>
      </c>
      <c r="E770" s="35" t="s">
        <v>227</v>
      </c>
      <c r="F770" s="35">
        <v>7190.0</v>
      </c>
      <c r="G770" s="35"/>
      <c r="H770" s="35" t="s">
        <v>3623</v>
      </c>
      <c r="I770" s="35"/>
      <c r="J770" s="35"/>
      <c r="K770" s="35" t="s">
        <v>3095</v>
      </c>
      <c r="L770" s="35" t="s">
        <v>126</v>
      </c>
      <c r="M770" s="35"/>
      <c r="N770" s="35" t="s">
        <v>1610</v>
      </c>
      <c r="O770" s="35" t="s">
        <v>217</v>
      </c>
      <c r="P770" s="35" t="s">
        <v>57</v>
      </c>
      <c r="Q770" s="35" t="s">
        <v>1865</v>
      </c>
      <c r="R770" s="35">
        <v>0.95</v>
      </c>
      <c r="S770" s="35" t="s">
        <v>49</v>
      </c>
      <c r="T770" s="35" t="s">
        <v>49</v>
      </c>
      <c r="U770" s="35" t="s">
        <v>2491</v>
      </c>
      <c r="V770" s="35" t="s">
        <v>2753</v>
      </c>
      <c r="W770" s="35" t="s">
        <v>1536</v>
      </c>
      <c r="X770" s="35" t="s">
        <v>108</v>
      </c>
      <c r="Y770" s="35" t="s">
        <v>432</v>
      </c>
      <c r="Z770" s="35" t="s">
        <v>1852</v>
      </c>
      <c r="AA770" s="35" t="s">
        <v>231</v>
      </c>
      <c r="AB770" s="35" t="s">
        <v>60</v>
      </c>
      <c r="AC770" s="35" t="s">
        <v>348</v>
      </c>
      <c r="AD770" s="35" t="s">
        <v>3910</v>
      </c>
      <c r="AE770" s="35" t="s">
        <v>3911</v>
      </c>
      <c r="AF770" s="35" t="s">
        <v>3739</v>
      </c>
      <c r="AG770" s="35" t="s">
        <v>63</v>
      </c>
      <c r="AH770" s="35" t="s">
        <v>145</v>
      </c>
      <c r="AI770" s="35" t="s">
        <v>490</v>
      </c>
      <c r="AJ770" s="35" t="s">
        <v>49</v>
      </c>
      <c r="AK770" s="35" t="s">
        <v>49</v>
      </c>
      <c r="AL770" s="35" t="s">
        <v>2431</v>
      </c>
      <c r="AM770" s="35"/>
      <c r="AN770" s="36" t="s">
        <v>3933</v>
      </c>
      <c r="AO770" s="36" t="s">
        <v>3934</v>
      </c>
      <c r="AP770" s="37" t="s">
        <v>3914</v>
      </c>
      <c r="AQ770" s="37" t="s">
        <v>3915</v>
      </c>
      <c r="AR770" s="17" t="s">
        <v>224</v>
      </c>
      <c r="AS770" s="17"/>
      <c r="AT770" s="11"/>
      <c r="AU770" s="35"/>
      <c r="AV770" s="13"/>
    </row>
    <row r="771" ht="15.75" customHeight="1">
      <c r="A771" s="35" t="s">
        <v>3935</v>
      </c>
      <c r="B771" s="35" t="s">
        <v>3622</v>
      </c>
      <c r="C771" s="35" t="s">
        <v>213</v>
      </c>
      <c r="D771" s="38" t="s">
        <v>344</v>
      </c>
      <c r="E771" s="35" t="s">
        <v>227</v>
      </c>
      <c r="F771" s="35">
        <v>7190.0</v>
      </c>
      <c r="G771" s="35">
        <v>7190.0</v>
      </c>
      <c r="H771" s="38" t="s">
        <v>1134</v>
      </c>
      <c r="I771" s="35"/>
      <c r="J771" s="35"/>
      <c r="K771" s="35" t="s">
        <v>3095</v>
      </c>
      <c r="L771" s="35" t="s">
        <v>126</v>
      </c>
      <c r="M771" s="38" t="s">
        <v>1549</v>
      </c>
      <c r="N771" s="35" t="s">
        <v>1610</v>
      </c>
      <c r="O771" s="35" t="s">
        <v>217</v>
      </c>
      <c r="P771" s="35" t="s">
        <v>57</v>
      </c>
      <c r="Q771" s="35" t="s">
        <v>1865</v>
      </c>
      <c r="R771" s="35">
        <v>0.95</v>
      </c>
      <c r="S771" s="35" t="s">
        <v>49</v>
      </c>
      <c r="T771" s="35" t="s">
        <v>49</v>
      </c>
      <c r="U771" s="35" t="s">
        <v>2491</v>
      </c>
      <c r="V771" s="35" t="s">
        <v>2753</v>
      </c>
      <c r="W771" s="35" t="s">
        <v>1536</v>
      </c>
      <c r="X771" s="35" t="s">
        <v>108</v>
      </c>
      <c r="Y771" s="35" t="s">
        <v>432</v>
      </c>
      <c r="Z771" s="35" t="s">
        <v>1852</v>
      </c>
      <c r="AA771" s="35" t="s">
        <v>231</v>
      </c>
      <c r="AB771" s="35" t="s">
        <v>60</v>
      </c>
      <c r="AC771" s="35" t="s">
        <v>348</v>
      </c>
      <c r="AD771" s="35" t="s">
        <v>3910</v>
      </c>
      <c r="AE771" s="35" t="s">
        <v>3911</v>
      </c>
      <c r="AF771" s="35" t="s">
        <v>3739</v>
      </c>
      <c r="AG771" s="35" t="s">
        <v>63</v>
      </c>
      <c r="AH771" s="35" t="s">
        <v>145</v>
      </c>
      <c r="AI771" s="35" t="s">
        <v>490</v>
      </c>
      <c r="AJ771" s="35" t="s">
        <v>49</v>
      </c>
      <c r="AK771" s="35" t="s">
        <v>2625</v>
      </c>
      <c r="AL771" s="35" t="s">
        <v>2431</v>
      </c>
      <c r="AM771" s="35"/>
      <c r="AN771" s="36" t="s">
        <v>3933</v>
      </c>
      <c r="AO771" s="36" t="s">
        <v>3934</v>
      </c>
      <c r="AP771" s="37" t="s">
        <v>3914</v>
      </c>
      <c r="AQ771" s="37" t="s">
        <v>3915</v>
      </c>
      <c r="AR771" s="17" t="s">
        <v>224</v>
      </c>
      <c r="AS771" s="17"/>
      <c r="AT771" s="11"/>
      <c r="AU771" s="35"/>
      <c r="AV771" s="13"/>
    </row>
    <row r="772" ht="15.75" customHeight="1">
      <c r="A772" s="35" t="s">
        <v>3936</v>
      </c>
      <c r="B772" s="35" t="s">
        <v>3622</v>
      </c>
      <c r="C772" s="35" t="s">
        <v>213</v>
      </c>
      <c r="D772" s="38" t="s">
        <v>344</v>
      </c>
      <c r="E772" s="35" t="s">
        <v>227</v>
      </c>
      <c r="F772" s="35">
        <v>7191.0</v>
      </c>
      <c r="G772" s="35">
        <v>7190.0</v>
      </c>
      <c r="H772" s="38" t="s">
        <v>1134</v>
      </c>
      <c r="I772" s="35"/>
      <c r="J772" s="35"/>
      <c r="K772" s="35" t="s">
        <v>3095</v>
      </c>
      <c r="L772" s="35" t="s">
        <v>126</v>
      </c>
      <c r="M772" s="38" t="s">
        <v>1549</v>
      </c>
      <c r="N772" s="35" t="s">
        <v>1610</v>
      </c>
      <c r="O772" s="35" t="s">
        <v>217</v>
      </c>
      <c r="P772" s="35" t="s">
        <v>57</v>
      </c>
      <c r="Q772" s="35" t="s">
        <v>1865</v>
      </c>
      <c r="R772" s="35">
        <v>0.95</v>
      </c>
      <c r="S772" s="35" t="s">
        <v>49</v>
      </c>
      <c r="T772" s="35" t="s">
        <v>49</v>
      </c>
      <c r="U772" s="35" t="s">
        <v>2491</v>
      </c>
      <c r="V772" s="35" t="s">
        <v>2753</v>
      </c>
      <c r="W772" s="35" t="s">
        <v>89</v>
      </c>
      <c r="X772" s="35" t="s">
        <v>108</v>
      </c>
      <c r="Y772" s="35" t="s">
        <v>432</v>
      </c>
      <c r="Z772" s="35" t="s">
        <v>1852</v>
      </c>
      <c r="AA772" s="35" t="s">
        <v>231</v>
      </c>
      <c r="AB772" s="35" t="s">
        <v>60</v>
      </c>
      <c r="AC772" s="35" t="s">
        <v>348</v>
      </c>
      <c r="AD772" s="35" t="s">
        <v>3910</v>
      </c>
      <c r="AE772" s="35" t="s">
        <v>3911</v>
      </c>
      <c r="AF772" s="35" t="s">
        <v>3739</v>
      </c>
      <c r="AG772" s="35" t="s">
        <v>63</v>
      </c>
      <c r="AH772" s="35" t="s">
        <v>145</v>
      </c>
      <c r="AI772" s="35" t="s">
        <v>490</v>
      </c>
      <c r="AJ772" s="35" t="s">
        <v>49</v>
      </c>
      <c r="AK772" s="35" t="s">
        <v>2625</v>
      </c>
      <c r="AL772" s="35" t="s">
        <v>2431</v>
      </c>
      <c r="AM772" s="35"/>
      <c r="AN772" s="36" t="s">
        <v>3937</v>
      </c>
      <c r="AO772" s="36" t="s">
        <v>3938</v>
      </c>
      <c r="AP772" s="37" t="s">
        <v>3914</v>
      </c>
      <c r="AQ772" s="37" t="s">
        <v>3915</v>
      </c>
      <c r="AR772" s="17" t="s">
        <v>224</v>
      </c>
      <c r="AS772" s="17"/>
      <c r="AT772" s="11"/>
      <c r="AU772" s="35"/>
      <c r="AV772" s="13"/>
    </row>
    <row r="773" ht="15.75" customHeight="1">
      <c r="A773" s="35" t="s">
        <v>3939</v>
      </c>
      <c r="B773" s="35" t="s">
        <v>3622</v>
      </c>
      <c r="C773" s="35" t="s">
        <v>213</v>
      </c>
      <c r="D773" s="38" t="s">
        <v>344</v>
      </c>
      <c r="E773" s="35" t="s">
        <v>227</v>
      </c>
      <c r="F773" s="35">
        <v>7292.0</v>
      </c>
      <c r="G773" s="35">
        <v>7190.0</v>
      </c>
      <c r="H773" s="38" t="s">
        <v>1134</v>
      </c>
      <c r="I773" s="35"/>
      <c r="J773" s="35"/>
      <c r="K773" s="35" t="s">
        <v>3095</v>
      </c>
      <c r="L773" s="35" t="s">
        <v>126</v>
      </c>
      <c r="M773" s="38" t="s">
        <v>1549</v>
      </c>
      <c r="N773" s="35" t="s">
        <v>1610</v>
      </c>
      <c r="O773" s="35" t="s">
        <v>217</v>
      </c>
      <c r="P773" s="35" t="s">
        <v>57</v>
      </c>
      <c r="Q773" s="35" t="s">
        <v>1865</v>
      </c>
      <c r="R773" s="35">
        <v>0.95</v>
      </c>
      <c r="S773" s="35" t="s">
        <v>49</v>
      </c>
      <c r="T773" s="35" t="s">
        <v>49</v>
      </c>
      <c r="U773" s="35" t="s">
        <v>2491</v>
      </c>
      <c r="V773" s="35" t="s">
        <v>2753</v>
      </c>
      <c r="W773" s="35" t="s">
        <v>1536</v>
      </c>
      <c r="X773" s="35" t="s">
        <v>108</v>
      </c>
      <c r="Y773" s="35" t="s">
        <v>432</v>
      </c>
      <c r="Z773" s="35" t="s">
        <v>1852</v>
      </c>
      <c r="AA773" s="35" t="s">
        <v>231</v>
      </c>
      <c r="AB773" s="35" t="s">
        <v>60</v>
      </c>
      <c r="AC773" s="35" t="s">
        <v>348</v>
      </c>
      <c r="AD773" s="35" t="s">
        <v>3910</v>
      </c>
      <c r="AE773" s="35" t="s">
        <v>3911</v>
      </c>
      <c r="AF773" s="35" t="s">
        <v>3739</v>
      </c>
      <c r="AG773" s="35" t="s">
        <v>63</v>
      </c>
      <c r="AH773" s="35" t="s">
        <v>145</v>
      </c>
      <c r="AI773" s="35" t="s">
        <v>94</v>
      </c>
      <c r="AJ773" s="35" t="s">
        <v>49</v>
      </c>
      <c r="AK773" s="35" t="s">
        <v>2625</v>
      </c>
      <c r="AL773" s="35" t="s">
        <v>2431</v>
      </c>
      <c r="AM773" s="35"/>
      <c r="AN773" s="37" t="s">
        <v>3940</v>
      </c>
      <c r="AO773" s="36" t="s">
        <v>3941</v>
      </c>
      <c r="AP773" s="37" t="s">
        <v>3914</v>
      </c>
      <c r="AQ773" s="37" t="s">
        <v>3915</v>
      </c>
      <c r="AR773" s="17" t="s">
        <v>224</v>
      </c>
      <c r="AS773" s="17"/>
      <c r="AT773" s="11"/>
      <c r="AU773" s="35"/>
      <c r="AV773" s="13"/>
    </row>
    <row r="774" ht="15.75" customHeight="1">
      <c r="A774" s="35" t="s">
        <v>3942</v>
      </c>
      <c r="B774" s="35" t="s">
        <v>3622</v>
      </c>
      <c r="C774" s="35" t="s">
        <v>213</v>
      </c>
      <c r="D774" s="38" t="s">
        <v>344</v>
      </c>
      <c r="E774" s="35" t="s">
        <v>227</v>
      </c>
      <c r="F774" s="35">
        <v>7293.0</v>
      </c>
      <c r="G774" s="35">
        <v>7190.0</v>
      </c>
      <c r="H774" s="38" t="s">
        <v>1134</v>
      </c>
      <c r="I774" s="35"/>
      <c r="J774" s="35"/>
      <c r="K774" s="35" t="s">
        <v>3095</v>
      </c>
      <c r="L774" s="35" t="s">
        <v>126</v>
      </c>
      <c r="M774" s="38" t="s">
        <v>1549</v>
      </c>
      <c r="N774" s="35" t="s">
        <v>1610</v>
      </c>
      <c r="O774" s="35" t="s">
        <v>217</v>
      </c>
      <c r="P774" s="35" t="s">
        <v>57</v>
      </c>
      <c r="Q774" s="35" t="s">
        <v>1865</v>
      </c>
      <c r="R774" s="35">
        <v>0.95</v>
      </c>
      <c r="S774" s="35" t="s">
        <v>49</v>
      </c>
      <c r="T774" s="35" t="s">
        <v>49</v>
      </c>
      <c r="U774" s="35" t="s">
        <v>2491</v>
      </c>
      <c r="V774" s="35" t="s">
        <v>2753</v>
      </c>
      <c r="W774" s="35" t="s">
        <v>89</v>
      </c>
      <c r="X774" s="35" t="s">
        <v>108</v>
      </c>
      <c r="Y774" s="35" t="s">
        <v>432</v>
      </c>
      <c r="Z774" s="35" t="s">
        <v>1852</v>
      </c>
      <c r="AA774" s="35" t="s">
        <v>231</v>
      </c>
      <c r="AB774" s="35" t="s">
        <v>60</v>
      </c>
      <c r="AC774" s="35" t="s">
        <v>348</v>
      </c>
      <c r="AD774" s="35" t="s">
        <v>3910</v>
      </c>
      <c r="AE774" s="35" t="s">
        <v>3911</v>
      </c>
      <c r="AF774" s="35" t="s">
        <v>3739</v>
      </c>
      <c r="AG774" s="35" t="s">
        <v>63</v>
      </c>
      <c r="AH774" s="35" t="s">
        <v>145</v>
      </c>
      <c r="AI774" s="35" t="s">
        <v>94</v>
      </c>
      <c r="AJ774" s="35" t="s">
        <v>49</v>
      </c>
      <c r="AK774" s="35" t="s">
        <v>2625</v>
      </c>
      <c r="AL774" s="35" t="s">
        <v>2431</v>
      </c>
      <c r="AM774" s="35"/>
      <c r="AN774" s="37" t="s">
        <v>3943</v>
      </c>
      <c r="AO774" s="36" t="s">
        <v>3944</v>
      </c>
      <c r="AP774" s="37" t="s">
        <v>3914</v>
      </c>
      <c r="AQ774" s="37" t="s">
        <v>3915</v>
      </c>
      <c r="AR774" s="17" t="s">
        <v>224</v>
      </c>
      <c r="AS774" s="17"/>
      <c r="AT774" s="11"/>
      <c r="AU774" s="35"/>
      <c r="AV774" s="13"/>
    </row>
    <row r="775" ht="15.75" hidden="1" customHeight="1">
      <c r="A775" s="35" t="s">
        <v>3945</v>
      </c>
      <c r="B775" s="35" t="s">
        <v>3622</v>
      </c>
      <c r="C775" s="35" t="s">
        <v>213</v>
      </c>
      <c r="D775" s="35" t="s">
        <v>51</v>
      </c>
      <c r="E775" s="35" t="s">
        <v>227</v>
      </c>
      <c r="F775" s="35">
        <v>7195.0</v>
      </c>
      <c r="G775" s="35"/>
      <c r="H775" s="35" t="s">
        <v>3623</v>
      </c>
      <c r="I775" s="35"/>
      <c r="J775" s="35"/>
      <c r="K775" s="35" t="s">
        <v>3095</v>
      </c>
      <c r="L775" s="35" t="s">
        <v>126</v>
      </c>
      <c r="M775" s="35"/>
      <c r="N775" s="35" t="s">
        <v>85</v>
      </c>
      <c r="O775" s="35" t="s">
        <v>217</v>
      </c>
      <c r="P775" s="35" t="s">
        <v>57</v>
      </c>
      <c r="Q775" s="35" t="s">
        <v>1887</v>
      </c>
      <c r="R775" s="35">
        <v>0.45</v>
      </c>
      <c r="S775" s="35" t="s">
        <v>49</v>
      </c>
      <c r="T775" s="35" t="s">
        <v>49</v>
      </c>
      <c r="U775" s="35" t="s">
        <v>3946</v>
      </c>
      <c r="V775" s="35" t="s">
        <v>3947</v>
      </c>
      <c r="W775" s="35" t="s">
        <v>1536</v>
      </c>
      <c r="X775" s="35" t="s">
        <v>108</v>
      </c>
      <c r="Y775" s="35" t="s">
        <v>432</v>
      </c>
      <c r="Z775" s="35" t="s">
        <v>1852</v>
      </c>
      <c r="AA775" s="35" t="s">
        <v>231</v>
      </c>
      <c r="AB775" s="35" t="s">
        <v>60</v>
      </c>
      <c r="AC775" s="35" t="s">
        <v>61</v>
      </c>
      <c r="AD775" s="35" t="s">
        <v>3948</v>
      </c>
      <c r="AE775" s="35" t="s">
        <v>55</v>
      </c>
      <c r="AF775" s="35" t="s">
        <v>55</v>
      </c>
      <c r="AG775" s="35" t="s">
        <v>63</v>
      </c>
      <c r="AH775" s="35" t="s">
        <v>145</v>
      </c>
      <c r="AI775" s="35" t="s">
        <v>3666</v>
      </c>
      <c r="AJ775" s="35" t="s">
        <v>49</v>
      </c>
      <c r="AK775" s="35" t="s">
        <v>49</v>
      </c>
      <c r="AL775" s="35" t="s">
        <v>2431</v>
      </c>
      <c r="AM775" s="35"/>
      <c r="AN775" s="36" t="s">
        <v>3949</v>
      </c>
      <c r="AO775" s="36" t="s">
        <v>3950</v>
      </c>
      <c r="AP775" s="37" t="s">
        <v>3951</v>
      </c>
      <c r="AQ775" s="37" t="s">
        <v>3952</v>
      </c>
      <c r="AR775" s="18" t="s">
        <v>3953</v>
      </c>
      <c r="AS775" s="17"/>
      <c r="AT775" s="10" t="s">
        <v>3954</v>
      </c>
      <c r="AU775" s="35"/>
      <c r="AV775" s="13"/>
    </row>
    <row r="776" ht="15.75" hidden="1" customHeight="1">
      <c r="A776" s="35" t="s">
        <v>3955</v>
      </c>
      <c r="B776" s="35" t="s">
        <v>3622</v>
      </c>
      <c r="C776" s="35" t="s">
        <v>213</v>
      </c>
      <c r="D776" s="35" t="s">
        <v>51</v>
      </c>
      <c r="E776" s="35" t="s">
        <v>227</v>
      </c>
      <c r="F776" s="35">
        <v>7195.0</v>
      </c>
      <c r="G776" s="35">
        <v>7195.0</v>
      </c>
      <c r="H776" s="38" t="s">
        <v>53</v>
      </c>
      <c r="I776" s="35"/>
      <c r="J776" s="35"/>
      <c r="K776" s="35" t="s">
        <v>3095</v>
      </c>
      <c r="L776" s="35" t="s">
        <v>126</v>
      </c>
      <c r="M776" s="35"/>
      <c r="N776" s="35" t="s">
        <v>85</v>
      </c>
      <c r="O776" s="35" t="s">
        <v>217</v>
      </c>
      <c r="P776" s="35" t="s">
        <v>57</v>
      </c>
      <c r="Q776" s="35" t="s">
        <v>1887</v>
      </c>
      <c r="R776" s="35">
        <v>0.45</v>
      </c>
      <c r="S776" s="35" t="s">
        <v>49</v>
      </c>
      <c r="T776" s="35" t="s">
        <v>49</v>
      </c>
      <c r="U776" s="35" t="s">
        <v>3946</v>
      </c>
      <c r="V776" s="35" t="s">
        <v>3947</v>
      </c>
      <c r="W776" s="35" t="s">
        <v>1536</v>
      </c>
      <c r="X776" s="35" t="s">
        <v>108</v>
      </c>
      <c r="Y776" s="35" t="s">
        <v>432</v>
      </c>
      <c r="Z776" s="35" t="s">
        <v>1852</v>
      </c>
      <c r="AA776" s="35" t="s">
        <v>231</v>
      </c>
      <c r="AB776" s="35" t="s">
        <v>60</v>
      </c>
      <c r="AC776" s="35" t="s">
        <v>61</v>
      </c>
      <c r="AD776" s="35" t="s">
        <v>3948</v>
      </c>
      <c r="AE776" s="35" t="s">
        <v>55</v>
      </c>
      <c r="AF776" s="35" t="s">
        <v>55</v>
      </c>
      <c r="AG776" s="35" t="s">
        <v>63</v>
      </c>
      <c r="AH776" s="35" t="s">
        <v>145</v>
      </c>
      <c r="AI776" s="35" t="s">
        <v>112</v>
      </c>
      <c r="AJ776" s="35" t="s">
        <v>49</v>
      </c>
      <c r="AK776" s="35" t="s">
        <v>2625</v>
      </c>
      <c r="AL776" s="35" t="s">
        <v>2431</v>
      </c>
      <c r="AM776" s="35"/>
      <c r="AN776" s="37" t="s">
        <v>3949</v>
      </c>
      <c r="AO776" s="36" t="s">
        <v>3950</v>
      </c>
      <c r="AP776" s="37" t="s">
        <v>3951</v>
      </c>
      <c r="AQ776" s="37" t="s">
        <v>3952</v>
      </c>
      <c r="AR776" s="18" t="s">
        <v>3953</v>
      </c>
      <c r="AS776" s="17"/>
      <c r="AT776" s="10" t="s">
        <v>3954</v>
      </c>
      <c r="AU776" s="35"/>
      <c r="AV776" s="13"/>
    </row>
    <row r="777" ht="15.75" hidden="1" customHeight="1">
      <c r="A777" s="35" t="s">
        <v>3956</v>
      </c>
      <c r="B777" s="35" t="s">
        <v>3622</v>
      </c>
      <c r="C777" s="35" t="s">
        <v>213</v>
      </c>
      <c r="D777" s="35" t="s">
        <v>51</v>
      </c>
      <c r="E777" s="35" t="s">
        <v>227</v>
      </c>
      <c r="F777" s="35">
        <v>7196.0</v>
      </c>
      <c r="G777" s="35">
        <v>7195.0</v>
      </c>
      <c r="H777" s="38" t="s">
        <v>53</v>
      </c>
      <c r="I777" s="35"/>
      <c r="J777" s="35"/>
      <c r="K777" s="35" t="s">
        <v>3095</v>
      </c>
      <c r="L777" s="35" t="s">
        <v>126</v>
      </c>
      <c r="M777" s="35"/>
      <c r="N777" s="35" t="s">
        <v>85</v>
      </c>
      <c r="O777" s="35" t="s">
        <v>217</v>
      </c>
      <c r="P777" s="35" t="s">
        <v>57</v>
      </c>
      <c r="Q777" s="35" t="s">
        <v>1887</v>
      </c>
      <c r="R777" s="35">
        <v>0.45</v>
      </c>
      <c r="S777" s="35" t="s">
        <v>49</v>
      </c>
      <c r="T777" s="35" t="s">
        <v>49</v>
      </c>
      <c r="U777" s="35" t="s">
        <v>3946</v>
      </c>
      <c r="V777" s="35" t="s">
        <v>3947</v>
      </c>
      <c r="W777" s="35" t="s">
        <v>1536</v>
      </c>
      <c r="X777" s="35" t="s">
        <v>108</v>
      </c>
      <c r="Y777" s="35" t="s">
        <v>432</v>
      </c>
      <c r="Z777" s="35" t="s">
        <v>1852</v>
      </c>
      <c r="AA777" s="35" t="s">
        <v>231</v>
      </c>
      <c r="AB777" s="35" t="s">
        <v>60</v>
      </c>
      <c r="AC777" s="35" t="s">
        <v>61</v>
      </c>
      <c r="AD777" s="35" t="s">
        <v>3948</v>
      </c>
      <c r="AE777" s="35" t="s">
        <v>55</v>
      </c>
      <c r="AF777" s="35" t="s">
        <v>55</v>
      </c>
      <c r="AG777" s="35" t="s">
        <v>63</v>
      </c>
      <c r="AH777" s="35" t="s">
        <v>145</v>
      </c>
      <c r="AI777" s="35" t="s">
        <v>490</v>
      </c>
      <c r="AJ777" s="35" t="s">
        <v>49</v>
      </c>
      <c r="AK777" s="35" t="s">
        <v>2625</v>
      </c>
      <c r="AL777" s="35" t="s">
        <v>2431</v>
      </c>
      <c r="AM777" s="35"/>
      <c r="AN777" s="37" t="s">
        <v>3957</v>
      </c>
      <c r="AO777" s="36" t="s">
        <v>3958</v>
      </c>
      <c r="AP777" s="37" t="s">
        <v>3951</v>
      </c>
      <c r="AQ777" s="37" t="s">
        <v>3952</v>
      </c>
      <c r="AR777" s="18" t="s">
        <v>3953</v>
      </c>
      <c r="AS777" s="17"/>
      <c r="AT777" s="10" t="s">
        <v>3954</v>
      </c>
      <c r="AU777" s="35"/>
      <c r="AV777" s="13"/>
    </row>
    <row r="778" ht="15.75" hidden="1" customHeight="1">
      <c r="A778" s="35" t="s">
        <v>3959</v>
      </c>
      <c r="B778" s="35" t="s">
        <v>3622</v>
      </c>
      <c r="C778" s="35" t="s">
        <v>213</v>
      </c>
      <c r="D778" s="35" t="s">
        <v>51</v>
      </c>
      <c r="E778" s="35" t="s">
        <v>227</v>
      </c>
      <c r="F778" s="35">
        <v>7197.0</v>
      </c>
      <c r="G778" s="35">
        <v>7195.0</v>
      </c>
      <c r="H778" s="38" t="s">
        <v>53</v>
      </c>
      <c r="I778" s="35"/>
      <c r="J778" s="35"/>
      <c r="K778" s="35" t="s">
        <v>3095</v>
      </c>
      <c r="L778" s="35" t="s">
        <v>126</v>
      </c>
      <c r="M778" s="35"/>
      <c r="N778" s="35" t="s">
        <v>85</v>
      </c>
      <c r="O778" s="35" t="s">
        <v>217</v>
      </c>
      <c r="P778" s="35" t="s">
        <v>57</v>
      </c>
      <c r="Q778" s="35" t="s">
        <v>1887</v>
      </c>
      <c r="R778" s="35">
        <v>0.45</v>
      </c>
      <c r="S778" s="35" t="s">
        <v>49</v>
      </c>
      <c r="T778" s="35" t="s">
        <v>49</v>
      </c>
      <c r="U778" s="35" t="s">
        <v>3946</v>
      </c>
      <c r="V778" s="35" t="s">
        <v>3947</v>
      </c>
      <c r="W778" s="35" t="s">
        <v>89</v>
      </c>
      <c r="X778" s="35" t="s">
        <v>108</v>
      </c>
      <c r="Y778" s="35" t="s">
        <v>432</v>
      </c>
      <c r="Z778" s="35" t="s">
        <v>1852</v>
      </c>
      <c r="AA778" s="35" t="s">
        <v>231</v>
      </c>
      <c r="AB778" s="35" t="s">
        <v>60</v>
      </c>
      <c r="AC778" s="35" t="s">
        <v>61</v>
      </c>
      <c r="AD778" s="35" t="s">
        <v>3948</v>
      </c>
      <c r="AE778" s="35" t="s">
        <v>55</v>
      </c>
      <c r="AF778" s="35" t="s">
        <v>55</v>
      </c>
      <c r="AG778" s="35" t="s">
        <v>63</v>
      </c>
      <c r="AH778" s="35" t="s">
        <v>145</v>
      </c>
      <c r="AI778" s="35" t="s">
        <v>490</v>
      </c>
      <c r="AJ778" s="35" t="s">
        <v>49</v>
      </c>
      <c r="AK778" s="35" t="s">
        <v>2625</v>
      </c>
      <c r="AL778" s="35" t="s">
        <v>2431</v>
      </c>
      <c r="AM778" s="35"/>
      <c r="AN778" s="36" t="s">
        <v>3960</v>
      </c>
      <c r="AO778" s="36" t="s">
        <v>3961</v>
      </c>
      <c r="AP778" s="37" t="s">
        <v>3951</v>
      </c>
      <c r="AQ778" s="37" t="s">
        <v>3952</v>
      </c>
      <c r="AR778" s="18" t="s">
        <v>3953</v>
      </c>
      <c r="AS778" s="17"/>
      <c r="AT778" s="10" t="s">
        <v>3954</v>
      </c>
      <c r="AU778" s="35"/>
      <c r="AV778" s="15">
        <v>46343.0</v>
      </c>
    </row>
    <row r="779" ht="15.75" hidden="1" customHeight="1">
      <c r="A779" s="35" t="s">
        <v>3962</v>
      </c>
      <c r="B779" s="35" t="s">
        <v>3622</v>
      </c>
      <c r="C779" s="35" t="s">
        <v>213</v>
      </c>
      <c r="D779" s="35" t="s">
        <v>51</v>
      </c>
      <c r="E779" s="35" t="s">
        <v>227</v>
      </c>
      <c r="F779" s="35">
        <v>7297.0</v>
      </c>
      <c r="G779" s="35">
        <v>7195.0</v>
      </c>
      <c r="H779" s="14" t="s">
        <v>53</v>
      </c>
      <c r="I779" s="35"/>
      <c r="J779" s="35"/>
      <c r="K779" s="35" t="s">
        <v>3095</v>
      </c>
      <c r="L779" s="35" t="s">
        <v>126</v>
      </c>
      <c r="M779" s="35"/>
      <c r="N779" s="35" t="s">
        <v>85</v>
      </c>
      <c r="O779" s="35" t="s">
        <v>217</v>
      </c>
      <c r="P779" s="35" t="s">
        <v>57</v>
      </c>
      <c r="Q779" s="35" t="s">
        <v>1887</v>
      </c>
      <c r="R779" s="35">
        <v>0.45</v>
      </c>
      <c r="S779" s="35" t="s">
        <v>49</v>
      </c>
      <c r="T779" s="35" t="s">
        <v>49</v>
      </c>
      <c r="U779" s="35" t="s">
        <v>3946</v>
      </c>
      <c r="V779" s="35" t="s">
        <v>3947</v>
      </c>
      <c r="W779" s="35" t="s">
        <v>89</v>
      </c>
      <c r="X779" s="35" t="s">
        <v>108</v>
      </c>
      <c r="Y779" s="35" t="s">
        <v>432</v>
      </c>
      <c r="Z779" s="35" t="s">
        <v>1852</v>
      </c>
      <c r="AA779" s="35" t="s">
        <v>231</v>
      </c>
      <c r="AB779" s="35" t="s">
        <v>60</v>
      </c>
      <c r="AC779" s="35" t="s">
        <v>61</v>
      </c>
      <c r="AD779" s="35" t="s">
        <v>3948</v>
      </c>
      <c r="AE779" s="35" t="s">
        <v>55</v>
      </c>
      <c r="AF779" s="35" t="s">
        <v>55</v>
      </c>
      <c r="AG779" s="35" t="s">
        <v>63</v>
      </c>
      <c r="AH779" s="35" t="s">
        <v>145</v>
      </c>
      <c r="AI779" s="35" t="s">
        <v>112</v>
      </c>
      <c r="AJ779" s="35" t="s">
        <v>49</v>
      </c>
      <c r="AK779" s="35" t="s">
        <v>2625</v>
      </c>
      <c r="AL779" s="35" t="s">
        <v>2431</v>
      </c>
      <c r="AM779" s="35"/>
      <c r="AN779" s="37" t="s">
        <v>3963</v>
      </c>
      <c r="AO779" s="36" t="s">
        <v>3964</v>
      </c>
      <c r="AP779" s="37" t="s">
        <v>3951</v>
      </c>
      <c r="AQ779" s="37" t="s">
        <v>3952</v>
      </c>
      <c r="AR779" s="18" t="s">
        <v>3953</v>
      </c>
      <c r="AS779" s="17"/>
      <c r="AT779" s="10" t="s">
        <v>3954</v>
      </c>
      <c r="AU779" s="35"/>
      <c r="AV779" s="15">
        <v>46343.0</v>
      </c>
    </row>
    <row r="780" ht="15.75" hidden="1" customHeight="1">
      <c r="A780" s="35" t="s">
        <v>3965</v>
      </c>
      <c r="B780" s="35" t="s">
        <v>3622</v>
      </c>
      <c r="C780" s="35" t="s">
        <v>213</v>
      </c>
      <c r="D780" s="35" t="s">
        <v>51</v>
      </c>
      <c r="E780" s="35" t="s">
        <v>227</v>
      </c>
      <c r="F780" s="35">
        <v>7298.0</v>
      </c>
      <c r="G780" s="35">
        <v>7195.0</v>
      </c>
      <c r="H780" s="14" t="s">
        <v>53</v>
      </c>
      <c r="I780" s="35"/>
      <c r="J780" s="35"/>
      <c r="K780" s="35" t="s">
        <v>3095</v>
      </c>
      <c r="L780" s="35" t="s">
        <v>126</v>
      </c>
      <c r="M780" s="35"/>
      <c r="N780" s="35" t="s">
        <v>85</v>
      </c>
      <c r="O780" s="35" t="s">
        <v>217</v>
      </c>
      <c r="P780" s="35" t="s">
        <v>57</v>
      </c>
      <c r="Q780" s="35" t="s">
        <v>1887</v>
      </c>
      <c r="R780" s="35">
        <v>0.45</v>
      </c>
      <c r="S780" s="35" t="s">
        <v>49</v>
      </c>
      <c r="T780" s="35" t="s">
        <v>49</v>
      </c>
      <c r="U780" s="35" t="s">
        <v>3946</v>
      </c>
      <c r="V780" s="35" t="s">
        <v>3947</v>
      </c>
      <c r="W780" s="35" t="s">
        <v>1536</v>
      </c>
      <c r="X780" s="35" t="s">
        <v>108</v>
      </c>
      <c r="Y780" s="35" t="s">
        <v>432</v>
      </c>
      <c r="Z780" s="35" t="s">
        <v>1852</v>
      </c>
      <c r="AA780" s="35" t="s">
        <v>231</v>
      </c>
      <c r="AB780" s="35" t="s">
        <v>60</v>
      </c>
      <c r="AC780" s="35" t="s">
        <v>61</v>
      </c>
      <c r="AD780" s="35" t="s">
        <v>3948</v>
      </c>
      <c r="AE780" s="35" t="s">
        <v>55</v>
      </c>
      <c r="AF780" s="35" t="s">
        <v>55</v>
      </c>
      <c r="AG780" s="35" t="s">
        <v>63</v>
      </c>
      <c r="AH780" s="35" t="s">
        <v>145</v>
      </c>
      <c r="AI780" s="35" t="s">
        <v>94</v>
      </c>
      <c r="AJ780" s="35" t="s">
        <v>49</v>
      </c>
      <c r="AK780" s="35" t="s">
        <v>2625</v>
      </c>
      <c r="AL780" s="35" t="s">
        <v>2431</v>
      </c>
      <c r="AM780" s="35"/>
      <c r="AN780" s="36" t="s">
        <v>3966</v>
      </c>
      <c r="AO780" s="36" t="s">
        <v>3967</v>
      </c>
      <c r="AP780" s="37" t="s">
        <v>3951</v>
      </c>
      <c r="AQ780" s="37" t="s">
        <v>3952</v>
      </c>
      <c r="AR780" s="18" t="s">
        <v>3953</v>
      </c>
      <c r="AS780" s="17"/>
      <c r="AT780" s="10" t="s">
        <v>3954</v>
      </c>
      <c r="AU780" s="35"/>
      <c r="AV780" s="15">
        <v>46343.0</v>
      </c>
    </row>
    <row r="781" ht="15.75" hidden="1" customHeight="1">
      <c r="A781" s="35" t="s">
        <v>3968</v>
      </c>
      <c r="B781" s="35" t="s">
        <v>3622</v>
      </c>
      <c r="C781" s="35" t="s">
        <v>213</v>
      </c>
      <c r="D781" s="35" t="s">
        <v>51</v>
      </c>
      <c r="E781" s="35" t="s">
        <v>227</v>
      </c>
      <c r="F781" s="35">
        <v>7299.0</v>
      </c>
      <c r="G781" s="35">
        <v>7195.0</v>
      </c>
      <c r="H781" s="14" t="s">
        <v>53</v>
      </c>
      <c r="I781" s="35"/>
      <c r="J781" s="35"/>
      <c r="K781" s="35" t="s">
        <v>3095</v>
      </c>
      <c r="L781" s="35" t="s">
        <v>126</v>
      </c>
      <c r="M781" s="35"/>
      <c r="N781" s="35" t="s">
        <v>85</v>
      </c>
      <c r="O781" s="35" t="s">
        <v>217</v>
      </c>
      <c r="P781" s="35" t="s">
        <v>57</v>
      </c>
      <c r="Q781" s="35" t="s">
        <v>1887</v>
      </c>
      <c r="R781" s="35">
        <v>0.45</v>
      </c>
      <c r="S781" s="35" t="s">
        <v>49</v>
      </c>
      <c r="T781" s="35" t="s">
        <v>49</v>
      </c>
      <c r="U781" s="35" t="s">
        <v>3946</v>
      </c>
      <c r="V781" s="35" t="s">
        <v>3947</v>
      </c>
      <c r="W781" s="35" t="s">
        <v>89</v>
      </c>
      <c r="X781" s="35" t="s">
        <v>108</v>
      </c>
      <c r="Y781" s="35" t="s">
        <v>432</v>
      </c>
      <c r="Z781" s="35" t="s">
        <v>1852</v>
      </c>
      <c r="AA781" s="35" t="s">
        <v>231</v>
      </c>
      <c r="AB781" s="35" t="s">
        <v>60</v>
      </c>
      <c r="AC781" s="35" t="s">
        <v>61</v>
      </c>
      <c r="AD781" s="35" t="s">
        <v>3948</v>
      </c>
      <c r="AE781" s="35" t="s">
        <v>55</v>
      </c>
      <c r="AF781" s="35" t="s">
        <v>55</v>
      </c>
      <c r="AG781" s="35" t="s">
        <v>63</v>
      </c>
      <c r="AH781" s="35" t="s">
        <v>145</v>
      </c>
      <c r="AI781" s="35" t="s">
        <v>94</v>
      </c>
      <c r="AJ781" s="35" t="s">
        <v>49</v>
      </c>
      <c r="AK781" s="35" t="s">
        <v>2625</v>
      </c>
      <c r="AL781" s="35" t="s">
        <v>2431</v>
      </c>
      <c r="AM781" s="35"/>
      <c r="AN781" s="36" t="s">
        <v>3969</v>
      </c>
      <c r="AO781" s="36" t="s">
        <v>3970</v>
      </c>
      <c r="AP781" s="37" t="s">
        <v>3951</v>
      </c>
      <c r="AQ781" s="37" t="s">
        <v>3952</v>
      </c>
      <c r="AR781" s="18" t="s">
        <v>3953</v>
      </c>
      <c r="AS781" s="17"/>
      <c r="AT781" s="10" t="s">
        <v>3954</v>
      </c>
      <c r="AU781" s="35"/>
      <c r="AV781" s="15">
        <v>46343.0</v>
      </c>
    </row>
    <row r="782" ht="15.75" hidden="1" customHeight="1">
      <c r="A782" s="35" t="s">
        <v>3971</v>
      </c>
      <c r="B782" s="35" t="s">
        <v>3622</v>
      </c>
      <c r="C782" s="35" t="s">
        <v>213</v>
      </c>
      <c r="D782" s="35" t="s">
        <v>51</v>
      </c>
      <c r="E782" s="35" t="s">
        <v>227</v>
      </c>
      <c r="F782" s="35">
        <v>7198.0</v>
      </c>
      <c r="G782" s="35"/>
      <c r="H782" s="35" t="s">
        <v>3623</v>
      </c>
      <c r="I782" s="35"/>
      <c r="J782" s="35"/>
      <c r="K782" s="35" t="s">
        <v>3095</v>
      </c>
      <c r="L782" s="35" t="s">
        <v>126</v>
      </c>
      <c r="M782" s="35"/>
      <c r="N782" s="35" t="s">
        <v>85</v>
      </c>
      <c r="O782" s="35" t="s">
        <v>217</v>
      </c>
      <c r="P782" s="35" t="s">
        <v>57</v>
      </c>
      <c r="Q782" s="35" t="s">
        <v>2088</v>
      </c>
      <c r="R782" s="35">
        <v>0.5</v>
      </c>
      <c r="S782" s="35" t="s">
        <v>49</v>
      </c>
      <c r="T782" s="35" t="s">
        <v>49</v>
      </c>
      <c r="U782" s="35" t="s">
        <v>3972</v>
      </c>
      <c r="V782" s="35" t="s">
        <v>3973</v>
      </c>
      <c r="W782" s="35" t="s">
        <v>1536</v>
      </c>
      <c r="X782" s="35" t="s">
        <v>108</v>
      </c>
      <c r="Y782" s="35" t="s">
        <v>432</v>
      </c>
      <c r="Z782" s="35" t="s">
        <v>92</v>
      </c>
      <c r="AA782" s="35" t="s">
        <v>231</v>
      </c>
      <c r="AB782" s="35" t="s">
        <v>60</v>
      </c>
      <c r="AC782" s="35" t="s">
        <v>61</v>
      </c>
      <c r="AD782" s="35" t="s">
        <v>3974</v>
      </c>
      <c r="AE782" s="35" t="s">
        <v>55</v>
      </c>
      <c r="AF782" s="35" t="s">
        <v>55</v>
      </c>
      <c r="AG782" s="35" t="s">
        <v>63</v>
      </c>
      <c r="AH782" s="35" t="s">
        <v>145</v>
      </c>
      <c r="AI782" s="35" t="s">
        <v>3666</v>
      </c>
      <c r="AJ782" s="35" t="s">
        <v>49</v>
      </c>
      <c r="AK782" s="35" t="s">
        <v>49</v>
      </c>
      <c r="AL782" s="35" t="s">
        <v>2431</v>
      </c>
      <c r="AM782" s="35"/>
      <c r="AN782" s="37" t="s">
        <v>3975</v>
      </c>
      <c r="AO782" s="36" t="s">
        <v>3976</v>
      </c>
      <c r="AP782" s="37" t="s">
        <v>3977</v>
      </c>
      <c r="AQ782" s="37" t="s">
        <v>3978</v>
      </c>
      <c r="AR782" s="18" t="s">
        <v>3979</v>
      </c>
      <c r="AS782" s="17"/>
      <c r="AT782" s="10" t="s">
        <v>3980</v>
      </c>
      <c r="AU782" s="35"/>
      <c r="AV782" s="13"/>
    </row>
    <row r="783" ht="15.75" hidden="1" customHeight="1">
      <c r="A783" s="35" t="s">
        <v>3981</v>
      </c>
      <c r="B783" s="35" t="s">
        <v>3622</v>
      </c>
      <c r="C783" s="35" t="s">
        <v>213</v>
      </c>
      <c r="D783" s="35" t="s">
        <v>51</v>
      </c>
      <c r="E783" s="35" t="s">
        <v>227</v>
      </c>
      <c r="F783" s="35">
        <v>7198.0</v>
      </c>
      <c r="G783" s="35">
        <v>7198.0</v>
      </c>
      <c r="H783" s="38" t="s">
        <v>53</v>
      </c>
      <c r="I783" s="35"/>
      <c r="J783" s="35"/>
      <c r="K783" s="35" t="s">
        <v>3095</v>
      </c>
      <c r="L783" s="35" t="s">
        <v>126</v>
      </c>
      <c r="M783" s="35"/>
      <c r="N783" s="35" t="s">
        <v>85</v>
      </c>
      <c r="O783" s="35" t="s">
        <v>217</v>
      </c>
      <c r="P783" s="35" t="s">
        <v>57</v>
      </c>
      <c r="Q783" s="35" t="s">
        <v>2088</v>
      </c>
      <c r="R783" s="35">
        <v>0.5</v>
      </c>
      <c r="S783" s="35" t="s">
        <v>49</v>
      </c>
      <c r="T783" s="35" t="s">
        <v>49</v>
      </c>
      <c r="U783" s="35" t="s">
        <v>3972</v>
      </c>
      <c r="V783" s="35" t="s">
        <v>3973</v>
      </c>
      <c r="W783" s="35" t="s">
        <v>1536</v>
      </c>
      <c r="X783" s="35" t="s">
        <v>108</v>
      </c>
      <c r="Y783" s="35" t="s">
        <v>432</v>
      </c>
      <c r="Z783" s="35" t="s">
        <v>92</v>
      </c>
      <c r="AA783" s="35" t="s">
        <v>231</v>
      </c>
      <c r="AB783" s="35" t="s">
        <v>60</v>
      </c>
      <c r="AC783" s="35" t="s">
        <v>61</v>
      </c>
      <c r="AD783" s="35" t="s">
        <v>3974</v>
      </c>
      <c r="AE783" s="35" t="s">
        <v>55</v>
      </c>
      <c r="AF783" s="35" t="s">
        <v>55</v>
      </c>
      <c r="AG783" s="35" t="s">
        <v>63</v>
      </c>
      <c r="AH783" s="35" t="s">
        <v>145</v>
      </c>
      <c r="AI783" s="35" t="s">
        <v>112</v>
      </c>
      <c r="AJ783" s="35" t="s">
        <v>49</v>
      </c>
      <c r="AK783" s="35" t="s">
        <v>2625</v>
      </c>
      <c r="AL783" s="35" t="s">
        <v>2431</v>
      </c>
      <c r="AM783" s="35"/>
      <c r="AN783" s="37" t="s">
        <v>3975</v>
      </c>
      <c r="AO783" s="36" t="s">
        <v>3976</v>
      </c>
      <c r="AP783" s="37" t="s">
        <v>3977</v>
      </c>
      <c r="AQ783" s="37" t="s">
        <v>3978</v>
      </c>
      <c r="AR783" s="18" t="s">
        <v>3979</v>
      </c>
      <c r="AS783" s="17"/>
      <c r="AT783" s="10" t="s">
        <v>3980</v>
      </c>
      <c r="AU783" s="35"/>
      <c r="AV783" s="13"/>
    </row>
    <row r="784" ht="15.75" hidden="1" customHeight="1">
      <c r="A784" s="35" t="s">
        <v>3982</v>
      </c>
      <c r="B784" s="35" t="s">
        <v>3622</v>
      </c>
      <c r="C784" s="35" t="s">
        <v>213</v>
      </c>
      <c r="D784" s="35" t="s">
        <v>51</v>
      </c>
      <c r="E784" s="35" t="s">
        <v>227</v>
      </c>
      <c r="F784" s="35">
        <v>7199.0</v>
      </c>
      <c r="G784" s="35">
        <v>7198.0</v>
      </c>
      <c r="H784" s="38" t="s">
        <v>53</v>
      </c>
      <c r="I784" s="35"/>
      <c r="J784" s="35"/>
      <c r="K784" s="35" t="s">
        <v>3095</v>
      </c>
      <c r="L784" s="35" t="s">
        <v>126</v>
      </c>
      <c r="M784" s="35"/>
      <c r="N784" s="35" t="s">
        <v>85</v>
      </c>
      <c r="O784" s="35" t="s">
        <v>217</v>
      </c>
      <c r="P784" s="35" t="s">
        <v>57</v>
      </c>
      <c r="Q784" s="35" t="s">
        <v>2088</v>
      </c>
      <c r="R784" s="35">
        <v>0.5</v>
      </c>
      <c r="S784" s="35" t="s">
        <v>49</v>
      </c>
      <c r="T784" s="35" t="s">
        <v>49</v>
      </c>
      <c r="U784" s="35" t="s">
        <v>3972</v>
      </c>
      <c r="V784" s="35" t="s">
        <v>3973</v>
      </c>
      <c r="W784" s="35" t="s">
        <v>1536</v>
      </c>
      <c r="X784" s="35" t="s">
        <v>108</v>
      </c>
      <c r="Y784" s="35" t="s">
        <v>432</v>
      </c>
      <c r="Z784" s="35" t="s">
        <v>92</v>
      </c>
      <c r="AA784" s="35" t="s">
        <v>231</v>
      </c>
      <c r="AB784" s="35" t="s">
        <v>60</v>
      </c>
      <c r="AC784" s="35" t="s">
        <v>61</v>
      </c>
      <c r="AD784" s="35" t="s">
        <v>3974</v>
      </c>
      <c r="AE784" s="35" t="s">
        <v>55</v>
      </c>
      <c r="AF784" s="35" t="s">
        <v>55</v>
      </c>
      <c r="AG784" s="35" t="s">
        <v>63</v>
      </c>
      <c r="AH784" s="35" t="s">
        <v>145</v>
      </c>
      <c r="AI784" s="35" t="s">
        <v>490</v>
      </c>
      <c r="AJ784" s="35" t="s">
        <v>49</v>
      </c>
      <c r="AK784" s="35" t="s">
        <v>2625</v>
      </c>
      <c r="AL784" s="35" t="s">
        <v>2431</v>
      </c>
      <c r="AM784" s="35"/>
      <c r="AN784" s="36" t="s">
        <v>3983</v>
      </c>
      <c r="AO784" s="36" t="s">
        <v>3984</v>
      </c>
      <c r="AP784" s="37" t="s">
        <v>3977</v>
      </c>
      <c r="AQ784" s="37" t="s">
        <v>3978</v>
      </c>
      <c r="AR784" s="18" t="s">
        <v>3979</v>
      </c>
      <c r="AS784" s="17"/>
      <c r="AT784" s="10" t="s">
        <v>3980</v>
      </c>
      <c r="AU784" s="35"/>
      <c r="AV784" s="13"/>
    </row>
    <row r="785" ht="15.75" hidden="1" customHeight="1">
      <c r="A785" s="35" t="s">
        <v>3985</v>
      </c>
      <c r="B785" s="35" t="s">
        <v>3622</v>
      </c>
      <c r="C785" s="35" t="s">
        <v>213</v>
      </c>
      <c r="D785" s="35" t="s">
        <v>51</v>
      </c>
      <c r="E785" s="35" t="s">
        <v>227</v>
      </c>
      <c r="F785" s="35">
        <v>7200.0</v>
      </c>
      <c r="G785" s="35">
        <v>7198.0</v>
      </c>
      <c r="H785" s="38" t="s">
        <v>53</v>
      </c>
      <c r="I785" s="35"/>
      <c r="J785" s="35"/>
      <c r="K785" s="35" t="s">
        <v>3095</v>
      </c>
      <c r="L785" s="35" t="s">
        <v>126</v>
      </c>
      <c r="M785" s="35"/>
      <c r="N785" s="35" t="s">
        <v>85</v>
      </c>
      <c r="O785" s="35" t="s">
        <v>217</v>
      </c>
      <c r="P785" s="35" t="s">
        <v>57</v>
      </c>
      <c r="Q785" s="35" t="s">
        <v>2088</v>
      </c>
      <c r="R785" s="35">
        <v>0.5</v>
      </c>
      <c r="S785" s="35" t="s">
        <v>49</v>
      </c>
      <c r="T785" s="35" t="s">
        <v>49</v>
      </c>
      <c r="U785" s="35" t="s">
        <v>3972</v>
      </c>
      <c r="V785" s="35" t="s">
        <v>3973</v>
      </c>
      <c r="W785" s="35" t="s">
        <v>89</v>
      </c>
      <c r="X785" s="35" t="s">
        <v>108</v>
      </c>
      <c r="Y785" s="35" t="s">
        <v>432</v>
      </c>
      <c r="Z785" s="35" t="s">
        <v>92</v>
      </c>
      <c r="AA785" s="35" t="s">
        <v>231</v>
      </c>
      <c r="AB785" s="35" t="s">
        <v>60</v>
      </c>
      <c r="AC785" s="35" t="s">
        <v>61</v>
      </c>
      <c r="AD785" s="35" t="s">
        <v>3974</v>
      </c>
      <c r="AE785" s="35" t="s">
        <v>55</v>
      </c>
      <c r="AF785" s="35" t="s">
        <v>55</v>
      </c>
      <c r="AG785" s="35" t="s">
        <v>63</v>
      </c>
      <c r="AH785" s="35" t="s">
        <v>145</v>
      </c>
      <c r="AI785" s="35" t="s">
        <v>490</v>
      </c>
      <c r="AJ785" s="35" t="s">
        <v>49</v>
      </c>
      <c r="AK785" s="35" t="s">
        <v>2625</v>
      </c>
      <c r="AL785" s="35" t="s">
        <v>2431</v>
      </c>
      <c r="AM785" s="35"/>
      <c r="AN785" s="36" t="s">
        <v>3986</v>
      </c>
      <c r="AO785" s="36" t="s">
        <v>3987</v>
      </c>
      <c r="AP785" s="37" t="s">
        <v>3977</v>
      </c>
      <c r="AQ785" s="37" t="s">
        <v>3978</v>
      </c>
      <c r="AR785" s="18" t="s">
        <v>3979</v>
      </c>
      <c r="AS785" s="17"/>
      <c r="AT785" s="10" t="s">
        <v>3980</v>
      </c>
      <c r="AU785" s="35"/>
      <c r="AV785" s="15">
        <v>46343.0</v>
      </c>
    </row>
    <row r="786" ht="15.75" hidden="1" customHeight="1">
      <c r="A786" s="35" t="s">
        <v>3988</v>
      </c>
      <c r="B786" s="35" t="s">
        <v>3622</v>
      </c>
      <c r="C786" s="35" t="s">
        <v>213</v>
      </c>
      <c r="D786" s="35" t="s">
        <v>51</v>
      </c>
      <c r="E786" s="35" t="s">
        <v>227</v>
      </c>
      <c r="F786" s="35">
        <v>7300.0</v>
      </c>
      <c r="G786" s="35">
        <v>7198.0</v>
      </c>
      <c r="H786" s="14" t="s">
        <v>53</v>
      </c>
      <c r="I786" s="35"/>
      <c r="J786" s="35"/>
      <c r="K786" s="35" t="s">
        <v>3095</v>
      </c>
      <c r="L786" s="35" t="s">
        <v>126</v>
      </c>
      <c r="M786" s="35"/>
      <c r="N786" s="35" t="s">
        <v>85</v>
      </c>
      <c r="O786" s="35" t="s">
        <v>217</v>
      </c>
      <c r="P786" s="35" t="s">
        <v>57</v>
      </c>
      <c r="Q786" s="35" t="s">
        <v>2088</v>
      </c>
      <c r="R786" s="35">
        <v>0.5</v>
      </c>
      <c r="S786" s="35" t="s">
        <v>49</v>
      </c>
      <c r="T786" s="35" t="s">
        <v>49</v>
      </c>
      <c r="U786" s="35" t="s">
        <v>3972</v>
      </c>
      <c r="V786" s="35" t="s">
        <v>3973</v>
      </c>
      <c r="W786" s="35" t="s">
        <v>89</v>
      </c>
      <c r="X786" s="35" t="s">
        <v>108</v>
      </c>
      <c r="Y786" s="35" t="s">
        <v>432</v>
      </c>
      <c r="Z786" s="35" t="s">
        <v>92</v>
      </c>
      <c r="AA786" s="35" t="s">
        <v>231</v>
      </c>
      <c r="AB786" s="35" t="s">
        <v>60</v>
      </c>
      <c r="AC786" s="35" t="s">
        <v>61</v>
      </c>
      <c r="AD786" s="35" t="s">
        <v>3974</v>
      </c>
      <c r="AE786" s="35" t="s">
        <v>55</v>
      </c>
      <c r="AF786" s="35" t="s">
        <v>55</v>
      </c>
      <c r="AG786" s="35" t="s">
        <v>63</v>
      </c>
      <c r="AH786" s="35" t="s">
        <v>145</v>
      </c>
      <c r="AI786" s="35" t="s">
        <v>112</v>
      </c>
      <c r="AJ786" s="35" t="s">
        <v>49</v>
      </c>
      <c r="AK786" s="35" t="s">
        <v>2625</v>
      </c>
      <c r="AL786" s="35" t="s">
        <v>2431</v>
      </c>
      <c r="AM786" s="35"/>
      <c r="AN786" s="37" t="s">
        <v>3989</v>
      </c>
      <c r="AO786" s="36" t="s">
        <v>3990</v>
      </c>
      <c r="AP786" s="37" t="s">
        <v>3977</v>
      </c>
      <c r="AQ786" s="37" t="s">
        <v>3978</v>
      </c>
      <c r="AR786" s="18" t="s">
        <v>3979</v>
      </c>
      <c r="AS786" s="17"/>
      <c r="AT786" s="10" t="s">
        <v>3980</v>
      </c>
      <c r="AU786" s="35"/>
      <c r="AV786" s="15">
        <v>46343.0</v>
      </c>
    </row>
    <row r="787" ht="15.75" hidden="1" customHeight="1">
      <c r="A787" s="35" t="s">
        <v>3991</v>
      </c>
      <c r="B787" s="35" t="s">
        <v>3622</v>
      </c>
      <c r="C787" s="35" t="s">
        <v>213</v>
      </c>
      <c r="D787" s="35" t="s">
        <v>51</v>
      </c>
      <c r="E787" s="35" t="s">
        <v>227</v>
      </c>
      <c r="F787" s="35">
        <v>7301.0</v>
      </c>
      <c r="G787" s="35">
        <v>7198.0</v>
      </c>
      <c r="H787" s="14" t="s">
        <v>53</v>
      </c>
      <c r="I787" s="35"/>
      <c r="J787" s="35"/>
      <c r="K787" s="35" t="s">
        <v>3095</v>
      </c>
      <c r="L787" s="35" t="s">
        <v>126</v>
      </c>
      <c r="M787" s="35"/>
      <c r="N787" s="35" t="s">
        <v>85</v>
      </c>
      <c r="O787" s="35" t="s">
        <v>217</v>
      </c>
      <c r="P787" s="35" t="s">
        <v>57</v>
      </c>
      <c r="Q787" s="35" t="s">
        <v>2088</v>
      </c>
      <c r="R787" s="35">
        <v>0.5</v>
      </c>
      <c r="S787" s="35" t="s">
        <v>49</v>
      </c>
      <c r="T787" s="35" t="s">
        <v>49</v>
      </c>
      <c r="U787" s="35" t="s">
        <v>3972</v>
      </c>
      <c r="V787" s="35" t="s">
        <v>3973</v>
      </c>
      <c r="W787" s="35" t="s">
        <v>1536</v>
      </c>
      <c r="X787" s="35" t="s">
        <v>108</v>
      </c>
      <c r="Y787" s="35" t="s">
        <v>432</v>
      </c>
      <c r="Z787" s="35" t="s">
        <v>92</v>
      </c>
      <c r="AA787" s="35" t="s">
        <v>231</v>
      </c>
      <c r="AB787" s="35" t="s">
        <v>60</v>
      </c>
      <c r="AC787" s="35" t="s">
        <v>61</v>
      </c>
      <c r="AD787" s="35" t="s">
        <v>3974</v>
      </c>
      <c r="AE787" s="35" t="s">
        <v>55</v>
      </c>
      <c r="AF787" s="35" t="s">
        <v>55</v>
      </c>
      <c r="AG787" s="35" t="s">
        <v>63</v>
      </c>
      <c r="AH787" s="35" t="s">
        <v>145</v>
      </c>
      <c r="AI787" s="35" t="s">
        <v>94</v>
      </c>
      <c r="AJ787" s="35" t="s">
        <v>49</v>
      </c>
      <c r="AK787" s="35" t="s">
        <v>2625</v>
      </c>
      <c r="AL787" s="35" t="s">
        <v>2431</v>
      </c>
      <c r="AM787" s="35"/>
      <c r="AN787" s="36" t="s">
        <v>3992</v>
      </c>
      <c r="AO787" s="36" t="s">
        <v>3993</v>
      </c>
      <c r="AP787" s="37" t="s">
        <v>3977</v>
      </c>
      <c r="AQ787" s="37" t="s">
        <v>3978</v>
      </c>
      <c r="AR787" s="18" t="s">
        <v>3979</v>
      </c>
      <c r="AS787" s="17"/>
      <c r="AT787" s="10" t="s">
        <v>3980</v>
      </c>
      <c r="AU787" s="35"/>
      <c r="AV787" s="15">
        <v>46343.0</v>
      </c>
    </row>
    <row r="788" ht="15.75" hidden="1" customHeight="1">
      <c r="A788" s="35" t="s">
        <v>3994</v>
      </c>
      <c r="B788" s="35" t="s">
        <v>3622</v>
      </c>
      <c r="C788" s="35" t="s">
        <v>213</v>
      </c>
      <c r="D788" s="35" t="s">
        <v>51</v>
      </c>
      <c r="E788" s="35" t="s">
        <v>227</v>
      </c>
      <c r="F788" s="35">
        <v>7302.0</v>
      </c>
      <c r="G788" s="35">
        <v>7198.0</v>
      </c>
      <c r="H788" s="14" t="s">
        <v>53</v>
      </c>
      <c r="I788" s="35"/>
      <c r="J788" s="35"/>
      <c r="K788" s="35" t="s">
        <v>3095</v>
      </c>
      <c r="L788" s="35" t="s">
        <v>126</v>
      </c>
      <c r="M788" s="35"/>
      <c r="N788" s="35" t="s">
        <v>85</v>
      </c>
      <c r="O788" s="35" t="s">
        <v>217</v>
      </c>
      <c r="P788" s="35" t="s">
        <v>57</v>
      </c>
      <c r="Q788" s="35" t="s">
        <v>2088</v>
      </c>
      <c r="R788" s="35">
        <v>0.5</v>
      </c>
      <c r="S788" s="35" t="s">
        <v>49</v>
      </c>
      <c r="T788" s="35" t="s">
        <v>49</v>
      </c>
      <c r="U788" s="35" t="s">
        <v>3972</v>
      </c>
      <c r="V788" s="35" t="s">
        <v>3973</v>
      </c>
      <c r="W788" s="35" t="s">
        <v>89</v>
      </c>
      <c r="X788" s="35" t="s">
        <v>108</v>
      </c>
      <c r="Y788" s="35" t="s">
        <v>432</v>
      </c>
      <c r="Z788" s="35" t="s">
        <v>92</v>
      </c>
      <c r="AA788" s="35" t="s">
        <v>231</v>
      </c>
      <c r="AB788" s="35" t="s">
        <v>60</v>
      </c>
      <c r="AC788" s="35" t="s">
        <v>61</v>
      </c>
      <c r="AD788" s="35" t="s">
        <v>3974</v>
      </c>
      <c r="AE788" s="35" t="s">
        <v>55</v>
      </c>
      <c r="AF788" s="35" t="s">
        <v>55</v>
      </c>
      <c r="AG788" s="35" t="s">
        <v>63</v>
      </c>
      <c r="AH788" s="35" t="s">
        <v>145</v>
      </c>
      <c r="AI788" s="35" t="s">
        <v>94</v>
      </c>
      <c r="AJ788" s="35" t="s">
        <v>49</v>
      </c>
      <c r="AK788" s="35" t="s">
        <v>2625</v>
      </c>
      <c r="AL788" s="35" t="s">
        <v>2431</v>
      </c>
      <c r="AM788" s="35"/>
      <c r="AN788" s="36" t="s">
        <v>3995</v>
      </c>
      <c r="AO788" s="36" t="s">
        <v>3996</v>
      </c>
      <c r="AP788" s="37" t="s">
        <v>3977</v>
      </c>
      <c r="AQ788" s="37" t="s">
        <v>3978</v>
      </c>
      <c r="AR788" s="18" t="s">
        <v>3979</v>
      </c>
      <c r="AS788" s="17"/>
      <c r="AT788" s="10" t="s">
        <v>3980</v>
      </c>
      <c r="AU788" s="35"/>
      <c r="AV788" s="15">
        <v>46343.0</v>
      </c>
    </row>
    <row r="789" ht="15.75" hidden="1" customHeight="1">
      <c r="A789" s="43" t="s">
        <v>1025</v>
      </c>
      <c r="B789" s="44"/>
      <c r="C789" s="7" t="s">
        <v>919</v>
      </c>
      <c r="D789" s="7" t="s">
        <v>1016</v>
      </c>
      <c r="E789" s="7" t="s">
        <v>227</v>
      </c>
      <c r="F789" s="43">
        <v>6582.0</v>
      </c>
      <c r="G789" s="7"/>
      <c r="H789" s="7" t="s">
        <v>3623</v>
      </c>
      <c r="I789" s="8"/>
      <c r="J789" s="8"/>
      <c r="K789" s="8" t="s">
        <v>55</v>
      </c>
      <c r="L789" s="8" t="s">
        <v>55</v>
      </c>
      <c r="M789" s="8"/>
      <c r="N789" s="8" t="s">
        <v>55</v>
      </c>
      <c r="O789" s="8" t="s">
        <v>228</v>
      </c>
      <c r="P789" s="8" t="s">
        <v>229</v>
      </c>
      <c r="Q789" s="8" t="s">
        <v>49</v>
      </c>
      <c r="R789" s="20" t="s">
        <v>49</v>
      </c>
      <c r="S789" s="8" t="s">
        <v>49</v>
      </c>
      <c r="T789" s="8" t="s">
        <v>49</v>
      </c>
      <c r="U789" s="8" t="s">
        <v>49</v>
      </c>
      <c r="V789" s="8" t="s">
        <v>49</v>
      </c>
      <c r="W789" s="8" t="s">
        <v>49</v>
      </c>
      <c r="X789" s="8" t="s">
        <v>55</v>
      </c>
      <c r="Y789" s="8" t="s">
        <v>55</v>
      </c>
      <c r="Z789" s="8"/>
      <c r="AA789" s="8" t="s">
        <v>231</v>
      </c>
      <c r="AB789" s="8" t="s">
        <v>60</v>
      </c>
      <c r="AC789" s="8" t="s">
        <v>1018</v>
      </c>
      <c r="AD789" s="8" t="s">
        <v>1027</v>
      </c>
      <c r="AE789" s="8" t="s">
        <v>55</v>
      </c>
      <c r="AF789" s="8" t="s">
        <v>55</v>
      </c>
      <c r="AG789" s="8" t="s">
        <v>63</v>
      </c>
      <c r="AH789" s="8" t="s">
        <v>55</v>
      </c>
      <c r="AI789" s="8" t="s">
        <v>1020</v>
      </c>
      <c r="AJ789" s="8" t="s">
        <v>49</v>
      </c>
      <c r="AK789" s="8"/>
      <c r="AL789" s="8" t="s">
        <v>720</v>
      </c>
      <c r="AM789" s="8"/>
      <c r="AN789" s="9" t="s">
        <v>1021</v>
      </c>
      <c r="AO789" s="9" t="s">
        <v>1022</v>
      </c>
      <c r="AP789" s="18" t="s">
        <v>931</v>
      </c>
      <c r="AQ789" s="8"/>
      <c r="AR789" s="9" t="s">
        <v>1023</v>
      </c>
      <c r="AS789" s="12"/>
      <c r="AT789" s="16" t="s">
        <v>1024</v>
      </c>
      <c r="AU789" s="8"/>
      <c r="AV789" s="41"/>
    </row>
    <row r="790" ht="15.75" hidden="1" customHeight="1">
      <c r="A790" s="43" t="s">
        <v>2324</v>
      </c>
      <c r="B790" s="44"/>
      <c r="C790" s="7" t="s">
        <v>919</v>
      </c>
      <c r="D790" s="7" t="s">
        <v>1016</v>
      </c>
      <c r="E790" s="7" t="s">
        <v>227</v>
      </c>
      <c r="F790" s="43">
        <v>6810.0</v>
      </c>
      <c r="G790" s="7"/>
      <c r="H790" s="7" t="s">
        <v>3623</v>
      </c>
      <c r="I790" s="8"/>
      <c r="J790" s="8"/>
      <c r="K790" s="8" t="s">
        <v>55</v>
      </c>
      <c r="L790" s="8" t="s">
        <v>55</v>
      </c>
      <c r="M790" s="8"/>
      <c r="N790" s="8" t="s">
        <v>55</v>
      </c>
      <c r="O790" s="8" t="s">
        <v>55</v>
      </c>
      <c r="P790" s="8" t="s">
        <v>55</v>
      </c>
      <c r="Q790" s="8" t="s">
        <v>49</v>
      </c>
      <c r="R790" s="20" t="s">
        <v>49</v>
      </c>
      <c r="S790" s="8" t="s">
        <v>49</v>
      </c>
      <c r="T790" s="8" t="s">
        <v>49</v>
      </c>
      <c r="U790" s="8" t="s">
        <v>49</v>
      </c>
      <c r="V790" s="8" t="s">
        <v>49</v>
      </c>
      <c r="W790" s="8" t="s">
        <v>49</v>
      </c>
      <c r="X790" s="8" t="s">
        <v>55</v>
      </c>
      <c r="Y790" s="8" t="s">
        <v>55</v>
      </c>
      <c r="Z790" s="8"/>
      <c r="AA790" s="8" t="s">
        <v>55</v>
      </c>
      <c r="AB790" s="8" t="s">
        <v>55</v>
      </c>
      <c r="AC790" s="8" t="s">
        <v>55</v>
      </c>
      <c r="AD790" s="8" t="s">
        <v>2325</v>
      </c>
      <c r="AE790" s="8" t="s">
        <v>55</v>
      </c>
      <c r="AF790" s="8" t="s">
        <v>55</v>
      </c>
      <c r="AG790" s="8" t="s">
        <v>2151</v>
      </c>
      <c r="AH790" s="8" t="s">
        <v>55</v>
      </c>
      <c r="AI790" s="8" t="s">
        <v>1020</v>
      </c>
      <c r="AJ790" s="8" t="s">
        <v>49</v>
      </c>
      <c r="AK790" s="8"/>
      <c r="AL790" s="8" t="s">
        <v>720</v>
      </c>
      <c r="AM790" s="8"/>
      <c r="AN790" s="9" t="s">
        <v>2322</v>
      </c>
      <c r="AO790" s="9" t="s">
        <v>2323</v>
      </c>
      <c r="AP790" s="18" t="s">
        <v>931</v>
      </c>
      <c r="AQ790" s="8"/>
      <c r="AR790" s="8"/>
      <c r="AS790" s="12"/>
      <c r="AT790" s="8"/>
      <c r="AU790" s="8"/>
      <c r="AV790" s="41"/>
    </row>
    <row r="791" ht="15.75" hidden="1" customHeight="1">
      <c r="A791" s="45" t="s">
        <v>1142</v>
      </c>
      <c r="B791" s="46"/>
      <c r="C791" s="47" t="s">
        <v>919</v>
      </c>
      <c r="D791" s="47" t="s">
        <v>1016</v>
      </c>
      <c r="E791" s="47" t="s">
        <v>227</v>
      </c>
      <c r="G791" s="45">
        <v>7241.0</v>
      </c>
      <c r="H791" s="14" t="s">
        <v>53</v>
      </c>
      <c r="I791" s="46"/>
      <c r="J791" s="46"/>
      <c r="K791" s="46" t="s">
        <v>55</v>
      </c>
      <c r="L791" s="46" t="s">
        <v>55</v>
      </c>
      <c r="M791" s="48" t="s">
        <v>55</v>
      </c>
      <c r="N791" s="46" t="s">
        <v>55</v>
      </c>
      <c r="O791" s="46" t="s">
        <v>228</v>
      </c>
      <c r="P791" s="46" t="s">
        <v>229</v>
      </c>
      <c r="Q791" s="46" t="s">
        <v>55</v>
      </c>
      <c r="R791" s="49" t="s">
        <v>55</v>
      </c>
      <c r="S791" s="46" t="s">
        <v>55</v>
      </c>
      <c r="T791" s="46" t="s">
        <v>55</v>
      </c>
      <c r="U791" s="46" t="s">
        <v>55</v>
      </c>
      <c r="V791" s="46" t="s">
        <v>55</v>
      </c>
      <c r="W791" s="46" t="s">
        <v>55</v>
      </c>
      <c r="X791" s="46" t="s">
        <v>55</v>
      </c>
      <c r="Y791" s="46" t="s">
        <v>55</v>
      </c>
      <c r="Z791" s="48" t="s">
        <v>55</v>
      </c>
      <c r="AA791" s="46" t="s">
        <v>231</v>
      </c>
      <c r="AB791" s="46" t="s">
        <v>60</v>
      </c>
      <c r="AC791" s="46" t="s">
        <v>1018</v>
      </c>
      <c r="AD791" s="46" t="s">
        <v>1139</v>
      </c>
      <c r="AE791" s="46" t="s">
        <v>55</v>
      </c>
      <c r="AF791" s="46" t="s">
        <v>55</v>
      </c>
      <c r="AG791" s="46" t="s">
        <v>63</v>
      </c>
      <c r="AH791" s="46" t="s">
        <v>55</v>
      </c>
      <c r="AI791" s="46" t="s">
        <v>65</v>
      </c>
      <c r="AJ791" s="46" t="s">
        <v>49</v>
      </c>
      <c r="AK791" s="48" t="s">
        <v>55</v>
      </c>
      <c r="AL791" s="46" t="s">
        <v>720</v>
      </c>
      <c r="AM791" s="46"/>
      <c r="AN791" s="48"/>
      <c r="AO791" s="50" t="s">
        <v>3997</v>
      </c>
      <c r="AP791" s="51" t="s">
        <v>1051</v>
      </c>
      <c r="AQ791" s="46"/>
      <c r="AR791" s="46"/>
      <c r="AS791" s="48"/>
      <c r="AT791" s="52" t="s">
        <v>1024</v>
      </c>
      <c r="AU791" s="46"/>
      <c r="AV791" s="53">
        <v>46315.0</v>
      </c>
    </row>
    <row r="792" ht="15.75" hidden="1" customHeight="1">
      <c r="A792" s="43" t="s">
        <v>3998</v>
      </c>
      <c r="B792" s="54" t="s">
        <v>49</v>
      </c>
      <c r="C792" s="7" t="s">
        <v>919</v>
      </c>
      <c r="D792" s="7" t="s">
        <v>1016</v>
      </c>
      <c r="E792" s="7" t="s">
        <v>227</v>
      </c>
      <c r="F792" s="43">
        <v>7229.0</v>
      </c>
      <c r="G792" s="45">
        <v>7241.0</v>
      </c>
      <c r="H792" s="14" t="s">
        <v>53</v>
      </c>
      <c r="I792" s="8"/>
      <c r="J792" s="8"/>
      <c r="K792" s="8" t="s">
        <v>55</v>
      </c>
      <c r="L792" s="8" t="s">
        <v>55</v>
      </c>
      <c r="M792" s="12" t="s">
        <v>55</v>
      </c>
      <c r="N792" s="8" t="s">
        <v>55</v>
      </c>
      <c r="O792" s="8" t="s">
        <v>228</v>
      </c>
      <c r="P792" s="8" t="s">
        <v>229</v>
      </c>
      <c r="Q792" s="8" t="s">
        <v>49</v>
      </c>
      <c r="R792" s="20" t="s">
        <v>49</v>
      </c>
      <c r="S792" s="8" t="s">
        <v>49</v>
      </c>
      <c r="T792" s="8" t="s">
        <v>49</v>
      </c>
      <c r="U792" s="8" t="s">
        <v>49</v>
      </c>
      <c r="V792" s="8" t="s">
        <v>49</v>
      </c>
      <c r="W792" s="8" t="s">
        <v>49</v>
      </c>
      <c r="X792" s="8" t="s">
        <v>55</v>
      </c>
      <c r="Y792" s="8" t="s">
        <v>55</v>
      </c>
      <c r="Z792" s="12" t="s">
        <v>55</v>
      </c>
      <c r="AA792" s="8" t="s">
        <v>231</v>
      </c>
      <c r="AB792" s="8" t="s">
        <v>60</v>
      </c>
      <c r="AC792" s="8" t="s">
        <v>1018</v>
      </c>
      <c r="AD792" s="8" t="s">
        <v>3999</v>
      </c>
      <c r="AE792" s="8" t="s">
        <v>55</v>
      </c>
      <c r="AF792" s="8" t="s">
        <v>55</v>
      </c>
      <c r="AG792" s="8" t="s">
        <v>63</v>
      </c>
      <c r="AH792" s="8" t="s">
        <v>55</v>
      </c>
      <c r="AI792" s="8" t="s">
        <v>65</v>
      </c>
      <c r="AJ792" s="8" t="s">
        <v>49</v>
      </c>
      <c r="AK792" s="12" t="s">
        <v>55</v>
      </c>
      <c r="AL792" s="8" t="s">
        <v>720</v>
      </c>
      <c r="AM792" s="8"/>
      <c r="AN792" s="12"/>
      <c r="AO792" s="9" t="s">
        <v>3997</v>
      </c>
      <c r="AP792" s="17" t="s">
        <v>1051</v>
      </c>
      <c r="AQ792" s="8"/>
      <c r="AR792" s="16" t="s">
        <v>4000</v>
      </c>
      <c r="AS792" s="12"/>
      <c r="AT792" s="16" t="s">
        <v>4001</v>
      </c>
      <c r="AU792" s="8"/>
      <c r="AV792" s="42">
        <v>46315.0</v>
      </c>
    </row>
    <row r="793" ht="15.75" hidden="1" customHeight="1">
      <c r="A793" s="43" t="s">
        <v>4002</v>
      </c>
      <c r="B793" s="54" t="s">
        <v>49</v>
      </c>
      <c r="C793" s="7" t="s">
        <v>919</v>
      </c>
      <c r="D793" s="7" t="s">
        <v>1016</v>
      </c>
      <c r="E793" s="7" t="s">
        <v>227</v>
      </c>
      <c r="F793" s="43">
        <v>7230.0</v>
      </c>
      <c r="G793" s="45">
        <v>7241.0</v>
      </c>
      <c r="H793" s="14" t="s">
        <v>53</v>
      </c>
      <c r="I793" s="8"/>
      <c r="J793" s="8"/>
      <c r="K793" s="8" t="s">
        <v>55</v>
      </c>
      <c r="L793" s="8" t="s">
        <v>55</v>
      </c>
      <c r="M793" s="12" t="s">
        <v>55</v>
      </c>
      <c r="N793" s="8" t="s">
        <v>55</v>
      </c>
      <c r="O793" s="8" t="s">
        <v>228</v>
      </c>
      <c r="P793" s="8" t="s">
        <v>229</v>
      </c>
      <c r="Q793" s="8" t="s">
        <v>49</v>
      </c>
      <c r="R793" s="20" t="s">
        <v>49</v>
      </c>
      <c r="S793" s="8" t="s">
        <v>49</v>
      </c>
      <c r="T793" s="8" t="s">
        <v>49</v>
      </c>
      <c r="U793" s="8" t="s">
        <v>49</v>
      </c>
      <c r="V793" s="8" t="s">
        <v>49</v>
      </c>
      <c r="W793" s="8" t="s">
        <v>49</v>
      </c>
      <c r="X793" s="8" t="s">
        <v>55</v>
      </c>
      <c r="Y793" s="8" t="s">
        <v>55</v>
      </c>
      <c r="Z793" s="12" t="s">
        <v>55</v>
      </c>
      <c r="AA793" s="8" t="s">
        <v>231</v>
      </c>
      <c r="AB793" s="8" t="s">
        <v>60</v>
      </c>
      <c r="AC793" s="8" t="s">
        <v>1018</v>
      </c>
      <c r="AD793" s="8" t="s">
        <v>3999</v>
      </c>
      <c r="AE793" s="8" t="s">
        <v>55</v>
      </c>
      <c r="AF793" s="8" t="s">
        <v>55</v>
      </c>
      <c r="AG793" s="8" t="s">
        <v>63</v>
      </c>
      <c r="AH793" s="8" t="s">
        <v>55</v>
      </c>
      <c r="AI793" s="8" t="s">
        <v>463</v>
      </c>
      <c r="AJ793" s="8" t="s">
        <v>49</v>
      </c>
      <c r="AK793" s="12" t="s">
        <v>55</v>
      </c>
      <c r="AL793" s="8" t="s">
        <v>720</v>
      </c>
      <c r="AM793" s="8"/>
      <c r="AN793" s="12"/>
      <c r="AO793" s="9" t="s">
        <v>4003</v>
      </c>
      <c r="AP793" s="17" t="s">
        <v>1051</v>
      </c>
      <c r="AQ793" s="8"/>
      <c r="AR793" s="16" t="s">
        <v>4000</v>
      </c>
      <c r="AS793" s="12"/>
      <c r="AT793" s="16" t="s">
        <v>4001</v>
      </c>
      <c r="AU793" s="8"/>
      <c r="AV793" s="41"/>
    </row>
    <row r="794" ht="15.75" hidden="1" customHeight="1">
      <c r="A794" s="43" t="s">
        <v>1133</v>
      </c>
      <c r="B794" s="54" t="s">
        <v>49</v>
      </c>
      <c r="C794" s="7" t="s">
        <v>919</v>
      </c>
      <c r="D794" s="7" t="s">
        <v>1016</v>
      </c>
      <c r="E794" s="7" t="s">
        <v>227</v>
      </c>
      <c r="F794" s="43">
        <v>7231.0</v>
      </c>
      <c r="G794" s="45">
        <v>7241.0</v>
      </c>
      <c r="H794" s="14" t="s">
        <v>53</v>
      </c>
      <c r="I794" s="8"/>
      <c r="J794" s="8"/>
      <c r="K794" s="8" t="s">
        <v>55</v>
      </c>
      <c r="L794" s="8" t="s">
        <v>55</v>
      </c>
      <c r="M794" s="12" t="s">
        <v>55</v>
      </c>
      <c r="N794" s="8" t="s">
        <v>55</v>
      </c>
      <c r="O794" s="8" t="s">
        <v>228</v>
      </c>
      <c r="P794" s="8" t="s">
        <v>229</v>
      </c>
      <c r="Q794" s="8" t="s">
        <v>49</v>
      </c>
      <c r="R794" s="20" t="s">
        <v>49</v>
      </c>
      <c r="S794" s="8" t="s">
        <v>49</v>
      </c>
      <c r="T794" s="8" t="s">
        <v>49</v>
      </c>
      <c r="U794" s="8" t="s">
        <v>49</v>
      </c>
      <c r="V794" s="8" t="s">
        <v>49</v>
      </c>
      <c r="W794" s="8" t="s">
        <v>49</v>
      </c>
      <c r="X794" s="8" t="s">
        <v>55</v>
      </c>
      <c r="Y794" s="8" t="s">
        <v>55</v>
      </c>
      <c r="Z794" s="12" t="s">
        <v>55</v>
      </c>
      <c r="AA794" s="8" t="s">
        <v>231</v>
      </c>
      <c r="AB794" s="8" t="s">
        <v>60</v>
      </c>
      <c r="AC794" s="8" t="s">
        <v>1018</v>
      </c>
      <c r="AD794" s="8" t="s">
        <v>1135</v>
      </c>
      <c r="AE794" s="8" t="s">
        <v>55</v>
      </c>
      <c r="AF794" s="8" t="s">
        <v>55</v>
      </c>
      <c r="AG794" s="8" t="s">
        <v>63</v>
      </c>
      <c r="AH794" s="8" t="s">
        <v>55</v>
      </c>
      <c r="AI794" s="8" t="s">
        <v>65</v>
      </c>
      <c r="AJ794" s="8" t="s">
        <v>49</v>
      </c>
      <c r="AK794" s="12" t="s">
        <v>55</v>
      </c>
      <c r="AL794" s="8" t="s">
        <v>720</v>
      </c>
      <c r="AM794" s="8"/>
      <c r="AN794" s="12"/>
      <c r="AO794" s="9" t="s">
        <v>3997</v>
      </c>
      <c r="AP794" s="17" t="s">
        <v>1051</v>
      </c>
      <c r="AQ794" s="8"/>
      <c r="AR794" s="16" t="s">
        <v>4004</v>
      </c>
      <c r="AS794" s="12"/>
      <c r="AT794" s="16" t="s">
        <v>4001</v>
      </c>
      <c r="AU794" s="8"/>
      <c r="AV794" s="42">
        <v>46315.0</v>
      </c>
    </row>
    <row r="795" ht="15.75" hidden="1" customHeight="1">
      <c r="A795" s="43" t="s">
        <v>4005</v>
      </c>
      <c r="B795" s="54" t="s">
        <v>49</v>
      </c>
      <c r="C795" s="7" t="s">
        <v>919</v>
      </c>
      <c r="D795" s="7" t="s">
        <v>1016</v>
      </c>
      <c r="E795" s="7" t="s">
        <v>227</v>
      </c>
      <c r="F795" s="43">
        <v>7232.0</v>
      </c>
      <c r="G795" s="45">
        <v>7241.0</v>
      </c>
      <c r="H795" s="14" t="s">
        <v>53</v>
      </c>
      <c r="I795" s="8"/>
      <c r="J795" s="8"/>
      <c r="K795" s="8" t="s">
        <v>55</v>
      </c>
      <c r="L795" s="8" t="s">
        <v>55</v>
      </c>
      <c r="M795" s="12" t="s">
        <v>55</v>
      </c>
      <c r="N795" s="8" t="s">
        <v>55</v>
      </c>
      <c r="O795" s="8" t="s">
        <v>228</v>
      </c>
      <c r="P795" s="8" t="s">
        <v>229</v>
      </c>
      <c r="Q795" s="8" t="s">
        <v>49</v>
      </c>
      <c r="R795" s="20" t="s">
        <v>49</v>
      </c>
      <c r="S795" s="8" t="s">
        <v>49</v>
      </c>
      <c r="T795" s="8" t="s">
        <v>49</v>
      </c>
      <c r="U795" s="8" t="s">
        <v>49</v>
      </c>
      <c r="V795" s="8" t="s">
        <v>49</v>
      </c>
      <c r="W795" s="8" t="s">
        <v>49</v>
      </c>
      <c r="X795" s="8" t="s">
        <v>55</v>
      </c>
      <c r="Y795" s="8" t="s">
        <v>55</v>
      </c>
      <c r="Z795" s="12" t="s">
        <v>55</v>
      </c>
      <c r="AA795" s="8" t="s">
        <v>231</v>
      </c>
      <c r="AB795" s="8" t="s">
        <v>60</v>
      </c>
      <c r="AC795" s="8" t="s">
        <v>1018</v>
      </c>
      <c r="AD795" s="8" t="s">
        <v>1135</v>
      </c>
      <c r="AE795" s="8" t="s">
        <v>55</v>
      </c>
      <c r="AF795" s="8" t="s">
        <v>55</v>
      </c>
      <c r="AG795" s="8" t="s">
        <v>63</v>
      </c>
      <c r="AH795" s="8" t="s">
        <v>55</v>
      </c>
      <c r="AI795" s="8" t="s">
        <v>463</v>
      </c>
      <c r="AJ795" s="8" t="s">
        <v>49</v>
      </c>
      <c r="AK795" s="12" t="s">
        <v>55</v>
      </c>
      <c r="AL795" s="8" t="s">
        <v>720</v>
      </c>
      <c r="AM795" s="8"/>
      <c r="AN795" s="8"/>
      <c r="AO795" s="9" t="s">
        <v>4003</v>
      </c>
      <c r="AP795" s="17" t="s">
        <v>1051</v>
      </c>
      <c r="AQ795" s="8"/>
      <c r="AR795" s="16" t="s">
        <v>4004</v>
      </c>
      <c r="AS795" s="12"/>
      <c r="AT795" s="16" t="s">
        <v>4001</v>
      </c>
      <c r="AU795" s="8"/>
      <c r="AV795" s="42">
        <v>46315.0</v>
      </c>
    </row>
    <row r="796" ht="15.75" hidden="1" customHeight="1">
      <c r="A796" s="43" t="s">
        <v>1142</v>
      </c>
      <c r="B796" s="54" t="s">
        <v>49</v>
      </c>
      <c r="C796" s="7" t="s">
        <v>919</v>
      </c>
      <c r="D796" s="7" t="s">
        <v>1016</v>
      </c>
      <c r="E796" s="7" t="s">
        <v>227</v>
      </c>
      <c r="F796" s="43">
        <v>7241.0</v>
      </c>
      <c r="G796" s="45">
        <v>7241.0</v>
      </c>
      <c r="H796" s="14" t="s">
        <v>53</v>
      </c>
      <c r="I796" s="8"/>
      <c r="J796" s="8"/>
      <c r="K796" s="8" t="s">
        <v>55</v>
      </c>
      <c r="L796" s="8" t="s">
        <v>55</v>
      </c>
      <c r="M796" s="12" t="s">
        <v>55</v>
      </c>
      <c r="N796" s="8" t="s">
        <v>55</v>
      </c>
      <c r="O796" s="8" t="s">
        <v>228</v>
      </c>
      <c r="P796" s="8" t="s">
        <v>229</v>
      </c>
      <c r="Q796" s="8" t="s">
        <v>55</v>
      </c>
      <c r="R796" s="20" t="s">
        <v>55</v>
      </c>
      <c r="S796" s="8" t="s">
        <v>55</v>
      </c>
      <c r="T796" s="8" t="s">
        <v>55</v>
      </c>
      <c r="U796" s="8" t="s">
        <v>55</v>
      </c>
      <c r="V796" s="8" t="s">
        <v>55</v>
      </c>
      <c r="W796" s="8" t="s">
        <v>55</v>
      </c>
      <c r="X796" s="8" t="s">
        <v>55</v>
      </c>
      <c r="Y796" s="8" t="s">
        <v>55</v>
      </c>
      <c r="Z796" s="12" t="s">
        <v>55</v>
      </c>
      <c r="AA796" s="8" t="s">
        <v>231</v>
      </c>
      <c r="AB796" s="8" t="s">
        <v>60</v>
      </c>
      <c r="AC796" s="8" t="s">
        <v>1018</v>
      </c>
      <c r="AD796" s="8" t="s">
        <v>1139</v>
      </c>
      <c r="AE796" s="8" t="s">
        <v>55</v>
      </c>
      <c r="AF796" s="8" t="s">
        <v>55</v>
      </c>
      <c r="AG796" s="8" t="s">
        <v>63</v>
      </c>
      <c r="AH796" s="8" t="s">
        <v>55</v>
      </c>
      <c r="AI796" s="8" t="s">
        <v>65</v>
      </c>
      <c r="AJ796" s="8" t="s">
        <v>49</v>
      </c>
      <c r="AK796" s="12" t="s">
        <v>55</v>
      </c>
      <c r="AL796" s="8" t="s">
        <v>720</v>
      </c>
      <c r="AM796" s="8"/>
      <c r="AN796" s="8"/>
      <c r="AO796" s="16" t="s">
        <v>3997</v>
      </c>
      <c r="AP796" s="17" t="s">
        <v>1051</v>
      </c>
      <c r="AQ796" s="8"/>
      <c r="AR796" s="16" t="s">
        <v>4006</v>
      </c>
      <c r="AS796" s="12"/>
      <c r="AT796" s="16" t="s">
        <v>1024</v>
      </c>
      <c r="AU796" s="8"/>
      <c r="AV796" s="42">
        <v>46315.0</v>
      </c>
    </row>
    <row r="797" ht="15.75" hidden="1" customHeight="1">
      <c r="A797" s="43" t="s">
        <v>1138</v>
      </c>
      <c r="B797" s="54" t="s">
        <v>49</v>
      </c>
      <c r="C797" s="7" t="s">
        <v>919</v>
      </c>
      <c r="D797" s="7" t="s">
        <v>1016</v>
      </c>
      <c r="E797" s="7" t="s">
        <v>227</v>
      </c>
      <c r="F797" s="43">
        <v>7242.0</v>
      </c>
      <c r="G797" s="45">
        <v>7241.0</v>
      </c>
      <c r="H797" s="14" t="s">
        <v>53</v>
      </c>
      <c r="I797" s="8"/>
      <c r="J797" s="8"/>
      <c r="K797" s="8" t="s">
        <v>55</v>
      </c>
      <c r="L797" s="8" t="s">
        <v>55</v>
      </c>
      <c r="M797" s="12" t="s">
        <v>55</v>
      </c>
      <c r="N797" s="8" t="s">
        <v>55</v>
      </c>
      <c r="O797" s="8" t="s">
        <v>228</v>
      </c>
      <c r="P797" s="8" t="s">
        <v>229</v>
      </c>
      <c r="Q797" s="8" t="s">
        <v>55</v>
      </c>
      <c r="R797" s="20" t="s">
        <v>55</v>
      </c>
      <c r="S797" s="8" t="s">
        <v>55</v>
      </c>
      <c r="T797" s="8" t="s">
        <v>55</v>
      </c>
      <c r="U797" s="8" t="s">
        <v>55</v>
      </c>
      <c r="V797" s="8" t="s">
        <v>55</v>
      </c>
      <c r="W797" s="8" t="s">
        <v>55</v>
      </c>
      <c r="X797" s="8" t="s">
        <v>55</v>
      </c>
      <c r="Y797" s="8" t="s">
        <v>55</v>
      </c>
      <c r="Z797" s="12" t="s">
        <v>55</v>
      </c>
      <c r="AA797" s="8" t="s">
        <v>231</v>
      </c>
      <c r="AB797" s="8" t="s">
        <v>60</v>
      </c>
      <c r="AC797" s="8" t="s">
        <v>1018</v>
      </c>
      <c r="AD797" s="8" t="s">
        <v>1139</v>
      </c>
      <c r="AE797" s="8" t="s">
        <v>55</v>
      </c>
      <c r="AF797" s="8" t="s">
        <v>55</v>
      </c>
      <c r="AG797" s="8" t="s">
        <v>63</v>
      </c>
      <c r="AH797" s="8" t="s">
        <v>55</v>
      </c>
      <c r="AI797" s="8" t="s">
        <v>463</v>
      </c>
      <c r="AJ797" s="8" t="s">
        <v>49</v>
      </c>
      <c r="AK797" s="12" t="s">
        <v>55</v>
      </c>
      <c r="AL797" s="8" t="s">
        <v>720</v>
      </c>
      <c r="AM797" s="8"/>
      <c r="AN797" s="8"/>
      <c r="AO797" s="16" t="s">
        <v>4003</v>
      </c>
      <c r="AP797" s="17" t="s">
        <v>1051</v>
      </c>
      <c r="AQ797" s="8"/>
      <c r="AR797" s="16" t="s">
        <v>4006</v>
      </c>
      <c r="AS797" s="12"/>
      <c r="AT797" s="16" t="s">
        <v>1024</v>
      </c>
      <c r="AU797" s="8"/>
      <c r="AV797" s="42">
        <v>46341.0</v>
      </c>
    </row>
    <row r="798" ht="15.75" hidden="1" customHeight="1">
      <c r="A798" s="54" t="s">
        <v>4007</v>
      </c>
      <c r="B798" s="54" t="s">
        <v>49</v>
      </c>
      <c r="C798" s="14" t="s">
        <v>213</v>
      </c>
      <c r="D798" s="14" t="s">
        <v>344</v>
      </c>
      <c r="E798" s="14" t="s">
        <v>227</v>
      </c>
      <c r="F798" s="54">
        <v>7240.0</v>
      </c>
      <c r="G798" s="7">
        <v>7120.0</v>
      </c>
      <c r="H798" s="14" t="s">
        <v>4008</v>
      </c>
      <c r="I798" s="55"/>
      <c r="J798" s="33" t="s">
        <v>3530</v>
      </c>
      <c r="K798" s="56" t="s">
        <v>54</v>
      </c>
      <c r="L798" s="56" t="s">
        <v>55</v>
      </c>
      <c r="M798" s="56" t="s">
        <v>55</v>
      </c>
      <c r="N798" s="56" t="s">
        <v>55</v>
      </c>
      <c r="O798" s="56" t="s">
        <v>228</v>
      </c>
      <c r="P798" s="56" t="s">
        <v>229</v>
      </c>
      <c r="Q798" s="56" t="s">
        <v>240</v>
      </c>
      <c r="R798" s="56" t="s">
        <v>55</v>
      </c>
      <c r="S798" s="56" t="s">
        <v>55</v>
      </c>
      <c r="T798" s="56" t="s">
        <v>55</v>
      </c>
      <c r="U798" s="56" t="s">
        <v>55</v>
      </c>
      <c r="V798" s="56" t="s">
        <v>55</v>
      </c>
      <c r="W798" s="56" t="s">
        <v>55</v>
      </c>
      <c r="X798" s="12" t="s">
        <v>55</v>
      </c>
      <c r="Y798" s="56" t="s">
        <v>55</v>
      </c>
      <c r="Z798" s="56" t="s">
        <v>55</v>
      </c>
      <c r="AA798" s="56" t="s">
        <v>231</v>
      </c>
      <c r="AB798" s="56" t="s">
        <v>60</v>
      </c>
      <c r="AC798" s="56" t="s">
        <v>348</v>
      </c>
      <c r="AD798" s="56" t="s">
        <v>3531</v>
      </c>
      <c r="AE798" s="56" t="s">
        <v>3532</v>
      </c>
      <c r="AF798" s="56" t="s">
        <v>488</v>
      </c>
      <c r="AG798" s="56" t="s">
        <v>2429</v>
      </c>
      <c r="AH798" s="56" t="s">
        <v>55</v>
      </c>
      <c r="AI798" s="56" t="s">
        <v>112</v>
      </c>
      <c r="AJ798" s="56" t="s">
        <v>49</v>
      </c>
      <c r="AK798" s="56" t="s">
        <v>55</v>
      </c>
      <c r="AL798" s="56" t="s">
        <v>720</v>
      </c>
      <c r="AM798" s="8" t="s">
        <v>3533</v>
      </c>
      <c r="AN798" s="57" t="s">
        <v>4009</v>
      </c>
      <c r="AO798" s="57" t="s">
        <v>4010</v>
      </c>
      <c r="AP798" s="57" t="s">
        <v>3536</v>
      </c>
      <c r="AQ798" s="58"/>
      <c r="AR798" s="57" t="s">
        <v>3537</v>
      </c>
      <c r="AS798" s="58"/>
      <c r="AT798" s="9" t="s">
        <v>3538</v>
      </c>
      <c r="AU798" s="58"/>
      <c r="AV798" s="59">
        <v>46315.0</v>
      </c>
    </row>
    <row r="799" ht="15.75" hidden="1" customHeight="1">
      <c r="A799" s="60" t="s">
        <v>4011</v>
      </c>
      <c r="B799" s="60" t="s">
        <v>1826</v>
      </c>
      <c r="C799" s="61" t="s">
        <v>332</v>
      </c>
      <c r="D799" s="62" t="s">
        <v>1595</v>
      </c>
      <c r="E799" s="61" t="s">
        <v>52</v>
      </c>
      <c r="F799" s="60">
        <v>7303.0</v>
      </c>
      <c r="G799" s="7">
        <v>6742.0</v>
      </c>
      <c r="H799" s="14" t="s">
        <v>4008</v>
      </c>
      <c r="I799" s="63"/>
      <c r="J799" s="63"/>
      <c r="K799" s="56" t="s">
        <v>84</v>
      </c>
      <c r="L799" s="56" t="s">
        <v>126</v>
      </c>
      <c r="M799" s="63"/>
      <c r="N799" s="56" t="s">
        <v>85</v>
      </c>
      <c r="O799" s="56" t="s">
        <v>56</v>
      </c>
      <c r="P799" s="56" t="s">
        <v>57</v>
      </c>
      <c r="Q799" s="56" t="s">
        <v>334</v>
      </c>
      <c r="R799" s="64" t="s">
        <v>4012</v>
      </c>
      <c r="S799" s="56" t="s">
        <v>49</v>
      </c>
      <c r="T799" s="56" t="s">
        <v>49</v>
      </c>
      <c r="U799" s="56" t="s">
        <v>1828</v>
      </c>
      <c r="V799" s="56" t="s">
        <v>1829</v>
      </c>
      <c r="W799" s="56" t="s">
        <v>4013</v>
      </c>
      <c r="X799" s="12" t="s">
        <v>108</v>
      </c>
      <c r="Y799" s="56" t="s">
        <v>1830</v>
      </c>
      <c r="Z799" s="56" t="s">
        <v>1831</v>
      </c>
      <c r="AA799" s="56" t="s">
        <v>59</v>
      </c>
      <c r="AB799" s="56" t="s">
        <v>60</v>
      </c>
      <c r="AC799" s="56" t="s">
        <v>1599</v>
      </c>
      <c r="AD799" s="56" t="s">
        <v>1832</v>
      </c>
      <c r="AE799" s="56" t="s">
        <v>55</v>
      </c>
      <c r="AF799" s="56" t="s">
        <v>55</v>
      </c>
      <c r="AG799" s="56" t="s">
        <v>63</v>
      </c>
      <c r="AH799" s="56" t="s">
        <v>1833</v>
      </c>
      <c r="AI799" s="56" t="s">
        <v>94</v>
      </c>
      <c r="AJ799" s="56" t="s">
        <v>49</v>
      </c>
      <c r="AK799" s="56" t="s">
        <v>95</v>
      </c>
      <c r="AL799" s="56" t="s">
        <v>66</v>
      </c>
      <c r="AM799" s="65"/>
      <c r="AN799" s="66" t="s">
        <v>1835</v>
      </c>
      <c r="AO799" s="66" t="s">
        <v>1836</v>
      </c>
      <c r="AP799" s="57" t="s">
        <v>1837</v>
      </c>
      <c r="AQ799" s="66" t="s">
        <v>1838</v>
      </c>
      <c r="AR799" s="66" t="s">
        <v>1839</v>
      </c>
      <c r="AS799" s="67"/>
      <c r="AT799" s="16" t="s">
        <v>1840</v>
      </c>
      <c r="AU799" s="66" t="s">
        <v>1841</v>
      </c>
      <c r="AV799" s="59">
        <v>46315.0</v>
      </c>
    </row>
    <row r="800" ht="15.75" hidden="1" customHeight="1">
      <c r="A800" s="60" t="s">
        <v>4014</v>
      </c>
      <c r="B800" s="60" t="s">
        <v>1826</v>
      </c>
      <c r="C800" s="61" t="s">
        <v>332</v>
      </c>
      <c r="D800" s="62" t="s">
        <v>1595</v>
      </c>
      <c r="E800" s="61" t="s">
        <v>52</v>
      </c>
      <c r="F800" s="60">
        <v>7304.0</v>
      </c>
      <c r="G800" s="7">
        <v>6742.0</v>
      </c>
      <c r="H800" s="14" t="s">
        <v>4008</v>
      </c>
      <c r="I800" s="63"/>
      <c r="J800" s="63"/>
      <c r="K800" s="56" t="s">
        <v>84</v>
      </c>
      <c r="L800" s="56" t="s">
        <v>126</v>
      </c>
      <c r="M800" s="56" t="s">
        <v>55</v>
      </c>
      <c r="N800" s="56" t="s">
        <v>85</v>
      </c>
      <c r="O800" s="56" t="s">
        <v>1845</v>
      </c>
      <c r="P800" s="56" t="s">
        <v>55</v>
      </c>
      <c r="Q800" s="56" t="s">
        <v>334</v>
      </c>
      <c r="R800" s="56" t="s">
        <v>55</v>
      </c>
      <c r="S800" s="56" t="s">
        <v>49</v>
      </c>
      <c r="T800" s="56" t="s">
        <v>49</v>
      </c>
      <c r="U800" s="56" t="s">
        <v>1828</v>
      </c>
      <c r="V800" s="56" t="s">
        <v>1829</v>
      </c>
      <c r="W800" s="56" t="s">
        <v>4013</v>
      </c>
      <c r="X800" s="12" t="s">
        <v>108</v>
      </c>
      <c r="Y800" s="56" t="s">
        <v>1830</v>
      </c>
      <c r="Z800" s="56" t="s">
        <v>1831</v>
      </c>
      <c r="AA800" s="56" t="s">
        <v>59</v>
      </c>
      <c r="AB800" s="56" t="s">
        <v>1846</v>
      </c>
      <c r="AC800" s="56" t="s">
        <v>1599</v>
      </c>
      <c r="AD800" s="56" t="s">
        <v>1832</v>
      </c>
      <c r="AE800" s="56" t="s">
        <v>55</v>
      </c>
      <c r="AF800" s="56" t="s">
        <v>55</v>
      </c>
      <c r="AG800" s="56" t="s">
        <v>63</v>
      </c>
      <c r="AH800" s="56" t="s">
        <v>1833</v>
      </c>
      <c r="AI800" s="56" t="s">
        <v>94</v>
      </c>
      <c r="AJ800" s="56" t="s">
        <v>49</v>
      </c>
      <c r="AK800" s="56" t="s">
        <v>95</v>
      </c>
      <c r="AL800" s="56" t="s">
        <v>66</v>
      </c>
      <c r="AM800" s="65"/>
      <c r="AN800" s="66" t="s">
        <v>1868</v>
      </c>
      <c r="AO800" s="66" t="s">
        <v>4015</v>
      </c>
      <c r="AP800" s="57" t="s">
        <v>1837</v>
      </c>
      <c r="AQ800" s="66" t="s">
        <v>1838</v>
      </c>
      <c r="AR800" s="66" t="s">
        <v>1847</v>
      </c>
      <c r="AS800" s="67"/>
      <c r="AT800" s="16" t="s">
        <v>1840</v>
      </c>
      <c r="AU800" s="66" t="s">
        <v>1841</v>
      </c>
      <c r="AV800" s="59">
        <v>46315.0</v>
      </c>
    </row>
    <row r="801" ht="15.75" hidden="1" customHeight="1">
      <c r="A801" s="60" t="s">
        <v>4016</v>
      </c>
      <c r="B801" s="60" t="s">
        <v>1826</v>
      </c>
      <c r="C801" s="61" t="s">
        <v>332</v>
      </c>
      <c r="D801" s="62" t="s">
        <v>1595</v>
      </c>
      <c r="E801" s="61" t="s">
        <v>52</v>
      </c>
      <c r="F801" s="60">
        <v>7305.0</v>
      </c>
      <c r="G801" s="7">
        <v>6742.0</v>
      </c>
      <c r="H801" s="14" t="s">
        <v>4008</v>
      </c>
      <c r="I801" s="63"/>
      <c r="J801" s="63"/>
      <c r="K801" s="56" t="s">
        <v>84</v>
      </c>
      <c r="L801" s="56" t="s">
        <v>126</v>
      </c>
      <c r="M801" s="63"/>
      <c r="N801" s="56" t="s">
        <v>85</v>
      </c>
      <c r="O801" s="56" t="s">
        <v>56</v>
      </c>
      <c r="P801" s="56" t="s">
        <v>57</v>
      </c>
      <c r="Q801" s="56" t="s">
        <v>1299</v>
      </c>
      <c r="R801" s="64" t="s">
        <v>4012</v>
      </c>
      <c r="S801" s="56" t="s">
        <v>49</v>
      </c>
      <c r="T801" s="56" t="s">
        <v>49</v>
      </c>
      <c r="U801" s="56" t="s">
        <v>1850</v>
      </c>
      <c r="V801" s="56" t="s">
        <v>1851</v>
      </c>
      <c r="W801" s="56" t="s">
        <v>4013</v>
      </c>
      <c r="X801" s="12" t="s">
        <v>108</v>
      </c>
      <c r="Y801" s="56" t="s">
        <v>1830</v>
      </c>
      <c r="Z801" s="56" t="s">
        <v>1852</v>
      </c>
      <c r="AA801" s="56" t="s">
        <v>59</v>
      </c>
      <c r="AB801" s="56" t="s">
        <v>60</v>
      </c>
      <c r="AC801" s="56" t="s">
        <v>1599</v>
      </c>
      <c r="AD801" s="56" t="s">
        <v>1853</v>
      </c>
      <c r="AE801" s="56" t="s">
        <v>55</v>
      </c>
      <c r="AF801" s="56" t="s">
        <v>55</v>
      </c>
      <c r="AG801" s="56" t="s">
        <v>63</v>
      </c>
      <c r="AH801" s="56" t="s">
        <v>1833</v>
      </c>
      <c r="AI801" s="56" t="s">
        <v>94</v>
      </c>
      <c r="AJ801" s="56" t="s">
        <v>49</v>
      </c>
      <c r="AK801" s="56" t="s">
        <v>95</v>
      </c>
      <c r="AL801" s="56" t="s">
        <v>66</v>
      </c>
      <c r="AM801" s="65"/>
      <c r="AN801" s="66" t="s">
        <v>1854</v>
      </c>
      <c r="AO801" s="66" t="s">
        <v>1855</v>
      </c>
      <c r="AP801" s="57" t="s">
        <v>1837</v>
      </c>
      <c r="AQ801" s="66" t="s">
        <v>1856</v>
      </c>
      <c r="AR801" s="66" t="s">
        <v>1857</v>
      </c>
      <c r="AS801" s="67"/>
      <c r="AT801" s="16" t="s">
        <v>1858</v>
      </c>
      <c r="AU801" s="66" t="s">
        <v>1859</v>
      </c>
      <c r="AV801" s="59">
        <v>46315.0</v>
      </c>
    </row>
    <row r="802" ht="15.75" hidden="1" customHeight="1">
      <c r="A802" s="60" t="s">
        <v>4017</v>
      </c>
      <c r="B802" s="60" t="s">
        <v>1826</v>
      </c>
      <c r="C802" s="61" t="s">
        <v>332</v>
      </c>
      <c r="D802" s="62" t="s">
        <v>1595</v>
      </c>
      <c r="E802" s="61" t="s">
        <v>52</v>
      </c>
      <c r="F802" s="60">
        <v>7306.0</v>
      </c>
      <c r="G802" s="7">
        <v>6742.0</v>
      </c>
      <c r="H802" s="14" t="s">
        <v>4008</v>
      </c>
      <c r="I802" s="63"/>
      <c r="J802" s="63"/>
      <c r="K802" s="56" t="s">
        <v>84</v>
      </c>
      <c r="L802" s="56" t="s">
        <v>126</v>
      </c>
      <c r="M802" s="56" t="s">
        <v>55</v>
      </c>
      <c r="N802" s="56" t="s">
        <v>85</v>
      </c>
      <c r="O802" s="56" t="s">
        <v>1845</v>
      </c>
      <c r="P802" s="56" t="s">
        <v>55</v>
      </c>
      <c r="Q802" s="56" t="s">
        <v>1299</v>
      </c>
      <c r="R802" s="56" t="s">
        <v>55</v>
      </c>
      <c r="S802" s="56" t="s">
        <v>49</v>
      </c>
      <c r="T802" s="56" t="s">
        <v>49</v>
      </c>
      <c r="U802" s="56" t="s">
        <v>1850</v>
      </c>
      <c r="V802" s="56" t="s">
        <v>1851</v>
      </c>
      <c r="W802" s="56" t="s">
        <v>4013</v>
      </c>
      <c r="X802" s="12" t="s">
        <v>108</v>
      </c>
      <c r="Y802" s="56" t="s">
        <v>1830</v>
      </c>
      <c r="Z802" s="56" t="s">
        <v>1852</v>
      </c>
      <c r="AA802" s="56" t="s">
        <v>59</v>
      </c>
      <c r="AB802" s="56" t="s">
        <v>1846</v>
      </c>
      <c r="AC802" s="56" t="s">
        <v>1599</v>
      </c>
      <c r="AD802" s="56" t="s">
        <v>1853</v>
      </c>
      <c r="AE802" s="56" t="s">
        <v>55</v>
      </c>
      <c r="AF802" s="56" t="s">
        <v>55</v>
      </c>
      <c r="AG802" s="56" t="s">
        <v>63</v>
      </c>
      <c r="AH802" s="56" t="s">
        <v>1833</v>
      </c>
      <c r="AI802" s="56" t="s">
        <v>94</v>
      </c>
      <c r="AJ802" s="56" t="s">
        <v>49</v>
      </c>
      <c r="AK802" s="56" t="s">
        <v>95</v>
      </c>
      <c r="AL802" s="56" t="s">
        <v>66</v>
      </c>
      <c r="AM802" s="65"/>
      <c r="AN802" s="66" t="s">
        <v>1854</v>
      </c>
      <c r="AO802" s="66" t="s">
        <v>1855</v>
      </c>
      <c r="AP802" s="57" t="s">
        <v>1837</v>
      </c>
      <c r="AQ802" s="66" t="s">
        <v>1856</v>
      </c>
      <c r="AR802" s="66" t="s">
        <v>1862</v>
      </c>
      <c r="AS802" s="67"/>
      <c r="AT802" s="16" t="s">
        <v>1858</v>
      </c>
      <c r="AU802" s="66" t="s">
        <v>1859</v>
      </c>
      <c r="AV802" s="59">
        <v>46315.0</v>
      </c>
    </row>
    <row r="803" ht="15.75" hidden="1" customHeight="1">
      <c r="A803" s="60" t="s">
        <v>4018</v>
      </c>
      <c r="B803" s="60" t="s">
        <v>1826</v>
      </c>
      <c r="C803" s="61" t="s">
        <v>332</v>
      </c>
      <c r="D803" s="62" t="s">
        <v>1595</v>
      </c>
      <c r="E803" s="61" t="s">
        <v>52</v>
      </c>
      <c r="F803" s="60">
        <v>7307.0</v>
      </c>
      <c r="G803" s="7">
        <v>6742.0</v>
      </c>
      <c r="H803" s="14" t="s">
        <v>4008</v>
      </c>
      <c r="I803" s="63"/>
      <c r="J803" s="63"/>
      <c r="K803" s="56" t="s">
        <v>84</v>
      </c>
      <c r="L803" s="56" t="s">
        <v>126</v>
      </c>
      <c r="M803" s="63"/>
      <c r="N803" s="56" t="s">
        <v>85</v>
      </c>
      <c r="O803" s="56" t="s">
        <v>56</v>
      </c>
      <c r="P803" s="56" t="s">
        <v>57</v>
      </c>
      <c r="Q803" s="56" t="s">
        <v>1865</v>
      </c>
      <c r="R803" s="64" t="s">
        <v>4012</v>
      </c>
      <c r="S803" s="56" t="s">
        <v>49</v>
      </c>
      <c r="T803" s="56" t="s">
        <v>49</v>
      </c>
      <c r="U803" s="56" t="s">
        <v>1866</v>
      </c>
      <c r="V803" s="56" t="s">
        <v>1796</v>
      </c>
      <c r="W803" s="56" t="s">
        <v>4013</v>
      </c>
      <c r="X803" s="12" t="s">
        <v>108</v>
      </c>
      <c r="Y803" s="56" t="s">
        <v>1830</v>
      </c>
      <c r="Z803" s="56" t="s">
        <v>1852</v>
      </c>
      <c r="AA803" s="56" t="s">
        <v>59</v>
      </c>
      <c r="AB803" s="56" t="s">
        <v>60</v>
      </c>
      <c r="AC803" s="56" t="s">
        <v>1599</v>
      </c>
      <c r="AD803" s="56" t="s">
        <v>1867</v>
      </c>
      <c r="AE803" s="56" t="s">
        <v>55</v>
      </c>
      <c r="AF803" s="56" t="s">
        <v>55</v>
      </c>
      <c r="AG803" s="56" t="s">
        <v>63</v>
      </c>
      <c r="AH803" s="56" t="s">
        <v>1833</v>
      </c>
      <c r="AI803" s="56" t="s">
        <v>94</v>
      </c>
      <c r="AJ803" s="56" t="s">
        <v>49</v>
      </c>
      <c r="AK803" s="56" t="s">
        <v>95</v>
      </c>
      <c r="AL803" s="56" t="s">
        <v>66</v>
      </c>
      <c r="AM803" s="65"/>
      <c r="AN803" s="67"/>
      <c r="AO803" s="67"/>
      <c r="AP803" s="57" t="s">
        <v>1837</v>
      </c>
      <c r="AQ803" s="66" t="s">
        <v>1870</v>
      </c>
      <c r="AR803" s="66" t="s">
        <v>1871</v>
      </c>
      <c r="AS803" s="67"/>
      <c r="AT803" s="16" t="s">
        <v>1872</v>
      </c>
      <c r="AU803" s="66" t="s">
        <v>1873</v>
      </c>
      <c r="AV803" s="59">
        <v>46315.0</v>
      </c>
    </row>
    <row r="804" ht="15.75" hidden="1" customHeight="1">
      <c r="A804" s="60" t="s">
        <v>4019</v>
      </c>
      <c r="B804" s="60" t="s">
        <v>1826</v>
      </c>
      <c r="C804" s="61" t="s">
        <v>332</v>
      </c>
      <c r="D804" s="62" t="s">
        <v>1595</v>
      </c>
      <c r="E804" s="61" t="s">
        <v>52</v>
      </c>
      <c r="F804" s="60">
        <v>7308.0</v>
      </c>
      <c r="G804" s="7">
        <v>6742.0</v>
      </c>
      <c r="H804" s="14" t="s">
        <v>4008</v>
      </c>
      <c r="I804" s="63"/>
      <c r="J804" s="63"/>
      <c r="K804" s="56" t="s">
        <v>84</v>
      </c>
      <c r="L804" s="56" t="s">
        <v>126</v>
      </c>
      <c r="M804" s="56" t="s">
        <v>55</v>
      </c>
      <c r="N804" s="56" t="s">
        <v>85</v>
      </c>
      <c r="O804" s="56" t="s">
        <v>1845</v>
      </c>
      <c r="P804" s="56" t="s">
        <v>55</v>
      </c>
      <c r="Q804" s="56" t="s">
        <v>1865</v>
      </c>
      <c r="R804" s="56" t="s">
        <v>55</v>
      </c>
      <c r="S804" s="56" t="s">
        <v>49</v>
      </c>
      <c r="T804" s="56" t="s">
        <v>49</v>
      </c>
      <c r="U804" s="56" t="s">
        <v>1866</v>
      </c>
      <c r="V804" s="56" t="s">
        <v>1796</v>
      </c>
      <c r="W804" s="56" t="s">
        <v>4013</v>
      </c>
      <c r="X804" s="12" t="s">
        <v>108</v>
      </c>
      <c r="Y804" s="56" t="s">
        <v>1830</v>
      </c>
      <c r="Z804" s="56" t="s">
        <v>1852</v>
      </c>
      <c r="AA804" s="56" t="s">
        <v>59</v>
      </c>
      <c r="AB804" s="56" t="s">
        <v>1846</v>
      </c>
      <c r="AC804" s="56" t="s">
        <v>1599</v>
      </c>
      <c r="AD804" s="56" t="s">
        <v>1867</v>
      </c>
      <c r="AE804" s="56" t="s">
        <v>55</v>
      </c>
      <c r="AF804" s="56" t="s">
        <v>55</v>
      </c>
      <c r="AG804" s="56" t="s">
        <v>63</v>
      </c>
      <c r="AH804" s="56" t="s">
        <v>1833</v>
      </c>
      <c r="AI804" s="56" t="s">
        <v>94</v>
      </c>
      <c r="AJ804" s="56" t="s">
        <v>49</v>
      </c>
      <c r="AK804" s="56" t="s">
        <v>95</v>
      </c>
      <c r="AL804" s="56" t="s">
        <v>66</v>
      </c>
      <c r="AM804" s="65"/>
      <c r="AN804" s="66" t="s">
        <v>1868</v>
      </c>
      <c r="AO804" s="66" t="s">
        <v>1869</v>
      </c>
      <c r="AP804" s="57" t="s">
        <v>1837</v>
      </c>
      <c r="AQ804" s="66" t="s">
        <v>1870</v>
      </c>
      <c r="AR804" s="66" t="s">
        <v>2336</v>
      </c>
      <c r="AS804" s="67"/>
      <c r="AT804" s="16" t="s">
        <v>1872</v>
      </c>
      <c r="AU804" s="66" t="s">
        <v>1873</v>
      </c>
      <c r="AV804" s="59">
        <v>46315.0</v>
      </c>
    </row>
    <row r="805" ht="15.75" hidden="1" customHeight="1">
      <c r="A805" s="60" t="s">
        <v>4020</v>
      </c>
      <c r="B805" s="60" t="s">
        <v>49</v>
      </c>
      <c r="C805" s="61" t="s">
        <v>213</v>
      </c>
      <c r="D805" s="62" t="s">
        <v>214</v>
      </c>
      <c r="E805" s="61" t="s">
        <v>227</v>
      </c>
      <c r="F805" s="60">
        <v>7309.0</v>
      </c>
      <c r="G805" s="68"/>
      <c r="H805" s="14" t="s">
        <v>4008</v>
      </c>
      <c r="I805" s="63"/>
      <c r="J805" s="63"/>
      <c r="K805" s="56" t="s">
        <v>2008</v>
      </c>
      <c r="L805" s="56" t="s">
        <v>3096</v>
      </c>
      <c r="M805" s="56" t="s">
        <v>1549</v>
      </c>
      <c r="N805" s="56" t="s">
        <v>1610</v>
      </c>
      <c r="O805" s="56" t="s">
        <v>56</v>
      </c>
      <c r="P805" s="56" t="s">
        <v>57</v>
      </c>
      <c r="Q805" s="56" t="s">
        <v>1611</v>
      </c>
      <c r="R805" s="64" t="s">
        <v>2762</v>
      </c>
      <c r="S805" s="56" t="s">
        <v>49</v>
      </c>
      <c r="T805" s="56" t="s">
        <v>49</v>
      </c>
      <c r="U805" s="56" t="s">
        <v>4021</v>
      </c>
      <c r="V805" s="56" t="s">
        <v>4022</v>
      </c>
      <c r="W805" s="56" t="s">
        <v>89</v>
      </c>
      <c r="X805" s="12" t="s">
        <v>108</v>
      </c>
      <c r="Y805" s="56" t="s">
        <v>4023</v>
      </c>
      <c r="Z805" s="56" t="s">
        <v>55</v>
      </c>
      <c r="AA805" s="56" t="s">
        <v>231</v>
      </c>
      <c r="AB805" s="56" t="s">
        <v>60</v>
      </c>
      <c r="AC805" s="56" t="s">
        <v>219</v>
      </c>
      <c r="AD805" s="56" t="s">
        <v>4024</v>
      </c>
      <c r="AE805" s="56" t="s">
        <v>55</v>
      </c>
      <c r="AF805" s="56" t="s">
        <v>55</v>
      </c>
      <c r="AG805" s="56" t="s">
        <v>63</v>
      </c>
      <c r="AH805" s="56" t="s">
        <v>145</v>
      </c>
      <c r="AI805" s="56" t="s">
        <v>94</v>
      </c>
      <c r="AJ805" s="56" t="s">
        <v>49</v>
      </c>
      <c r="AK805" s="56" t="s">
        <v>2940</v>
      </c>
      <c r="AL805" s="56" t="s">
        <v>720</v>
      </c>
      <c r="AM805" s="65"/>
      <c r="AN805" s="66" t="s">
        <v>4025</v>
      </c>
      <c r="AO805" s="66" t="s">
        <v>4026</v>
      </c>
      <c r="AP805" s="69" t="s">
        <v>4027</v>
      </c>
      <c r="AQ805" s="66" t="s">
        <v>4028</v>
      </c>
      <c r="AR805" s="66" t="s">
        <v>4029</v>
      </c>
      <c r="AS805" s="67"/>
      <c r="AT805" s="16" t="s">
        <v>4030</v>
      </c>
      <c r="AU805" s="66" t="s">
        <v>4031</v>
      </c>
      <c r="AV805" s="59">
        <v>46315.0</v>
      </c>
    </row>
    <row r="806" ht="15.75" hidden="1" customHeight="1">
      <c r="A806" s="60" t="s">
        <v>4020</v>
      </c>
      <c r="B806" s="60" t="s">
        <v>49</v>
      </c>
      <c r="C806" s="61" t="s">
        <v>213</v>
      </c>
      <c r="D806" s="62" t="s">
        <v>51</v>
      </c>
      <c r="E806" s="61" t="s">
        <v>227</v>
      </c>
      <c r="F806" s="60">
        <v>7309.0</v>
      </c>
      <c r="G806" s="60">
        <v>7309.0</v>
      </c>
      <c r="H806" s="14" t="s">
        <v>4008</v>
      </c>
      <c r="I806" s="63"/>
      <c r="J806" s="63"/>
      <c r="K806" s="56" t="s">
        <v>2008</v>
      </c>
      <c r="L806" s="56" t="s">
        <v>3096</v>
      </c>
      <c r="M806" s="56" t="s">
        <v>1549</v>
      </c>
      <c r="N806" s="56" t="s">
        <v>1610</v>
      </c>
      <c r="O806" s="56" t="s">
        <v>56</v>
      </c>
      <c r="P806" s="56" t="s">
        <v>57</v>
      </c>
      <c r="Q806" s="56" t="s">
        <v>1611</v>
      </c>
      <c r="R806" s="64" t="s">
        <v>2762</v>
      </c>
      <c r="S806" s="56" t="s">
        <v>49</v>
      </c>
      <c r="T806" s="56" t="s">
        <v>49</v>
      </c>
      <c r="U806" s="56" t="s">
        <v>4021</v>
      </c>
      <c r="V806" s="56" t="s">
        <v>4022</v>
      </c>
      <c r="W806" s="56" t="s">
        <v>89</v>
      </c>
      <c r="X806" s="12" t="s">
        <v>108</v>
      </c>
      <c r="Y806" s="56" t="s">
        <v>4023</v>
      </c>
      <c r="Z806" s="56" t="s">
        <v>55</v>
      </c>
      <c r="AA806" s="56" t="s">
        <v>231</v>
      </c>
      <c r="AB806" s="56" t="s">
        <v>60</v>
      </c>
      <c r="AC806" s="56" t="s">
        <v>61</v>
      </c>
      <c r="AD806" s="56" t="s">
        <v>4024</v>
      </c>
      <c r="AE806" s="56" t="s">
        <v>55</v>
      </c>
      <c r="AF806" s="56" t="s">
        <v>55</v>
      </c>
      <c r="AG806" s="56" t="s">
        <v>63</v>
      </c>
      <c r="AH806" s="56" t="s">
        <v>145</v>
      </c>
      <c r="AI806" s="56" t="s">
        <v>94</v>
      </c>
      <c r="AJ806" s="56" t="s">
        <v>49</v>
      </c>
      <c r="AK806" s="56" t="s">
        <v>2940</v>
      </c>
      <c r="AL806" s="56" t="s">
        <v>720</v>
      </c>
      <c r="AM806" s="65"/>
      <c r="AN806" s="66" t="s">
        <v>4025</v>
      </c>
      <c r="AO806" s="66" t="s">
        <v>4026</v>
      </c>
      <c r="AP806" s="69" t="s">
        <v>4027</v>
      </c>
      <c r="AQ806" s="66" t="s">
        <v>4028</v>
      </c>
      <c r="AR806" s="66" t="s">
        <v>4029</v>
      </c>
      <c r="AS806" s="67"/>
      <c r="AT806" s="16" t="s">
        <v>4030</v>
      </c>
      <c r="AU806" s="66" t="s">
        <v>4031</v>
      </c>
      <c r="AV806" s="59">
        <v>46315.0</v>
      </c>
    </row>
    <row r="807" ht="15.75" hidden="1" customHeight="1">
      <c r="A807" s="60" t="s">
        <v>4032</v>
      </c>
      <c r="B807" s="60" t="s">
        <v>49</v>
      </c>
      <c r="C807" s="61" t="s">
        <v>213</v>
      </c>
      <c r="D807" s="62" t="s">
        <v>51</v>
      </c>
      <c r="E807" s="61" t="s">
        <v>227</v>
      </c>
      <c r="F807" s="60">
        <v>7310.0</v>
      </c>
      <c r="G807" s="60">
        <v>7309.0</v>
      </c>
      <c r="H807" s="14" t="s">
        <v>4008</v>
      </c>
      <c r="I807" s="63"/>
      <c r="J807" s="63"/>
      <c r="K807" s="56" t="s">
        <v>2534</v>
      </c>
      <c r="L807" s="56" t="s">
        <v>3096</v>
      </c>
      <c r="M807" s="56" t="s">
        <v>1549</v>
      </c>
      <c r="N807" s="56" t="s">
        <v>1610</v>
      </c>
      <c r="O807" s="56" t="s">
        <v>56</v>
      </c>
      <c r="P807" s="56" t="s">
        <v>57</v>
      </c>
      <c r="Q807" s="56" t="s">
        <v>1611</v>
      </c>
      <c r="R807" s="64" t="s">
        <v>2762</v>
      </c>
      <c r="S807" s="56" t="s">
        <v>49</v>
      </c>
      <c r="T807" s="56" t="s">
        <v>49</v>
      </c>
      <c r="U807" s="56" t="s">
        <v>4021</v>
      </c>
      <c r="V807" s="56" t="s">
        <v>4022</v>
      </c>
      <c r="W807" s="56" t="s">
        <v>89</v>
      </c>
      <c r="X807" s="12" t="s">
        <v>108</v>
      </c>
      <c r="Y807" s="56" t="s">
        <v>4023</v>
      </c>
      <c r="Z807" s="56" t="s">
        <v>55</v>
      </c>
      <c r="AA807" s="56" t="s">
        <v>231</v>
      </c>
      <c r="AB807" s="56" t="s">
        <v>60</v>
      </c>
      <c r="AC807" s="56" t="s">
        <v>61</v>
      </c>
      <c r="AD807" s="56" t="s">
        <v>4024</v>
      </c>
      <c r="AE807" s="56" t="s">
        <v>55</v>
      </c>
      <c r="AF807" s="56" t="s">
        <v>55</v>
      </c>
      <c r="AG807" s="56" t="s">
        <v>63</v>
      </c>
      <c r="AH807" s="56" t="s">
        <v>145</v>
      </c>
      <c r="AI807" s="56" t="s">
        <v>112</v>
      </c>
      <c r="AJ807" s="56" t="s">
        <v>49</v>
      </c>
      <c r="AK807" s="56" t="s">
        <v>2940</v>
      </c>
      <c r="AL807" s="56" t="s">
        <v>720</v>
      </c>
      <c r="AM807" s="65"/>
      <c r="AN807" s="66" t="s">
        <v>4033</v>
      </c>
      <c r="AO807" s="66" t="s">
        <v>4034</v>
      </c>
      <c r="AP807" s="69" t="s">
        <v>4027</v>
      </c>
      <c r="AQ807" s="66" t="s">
        <v>4035</v>
      </c>
      <c r="AR807" s="66" t="s">
        <v>4029</v>
      </c>
      <c r="AS807" s="67"/>
      <c r="AT807" s="16" t="s">
        <v>4030</v>
      </c>
      <c r="AU807" s="66" t="s">
        <v>4036</v>
      </c>
      <c r="AV807" s="59">
        <v>46315.0</v>
      </c>
    </row>
    <row r="808" ht="15.75" hidden="1" customHeight="1">
      <c r="A808" s="60" t="s">
        <v>4037</v>
      </c>
      <c r="B808" s="60" t="s">
        <v>2815</v>
      </c>
      <c r="C808" s="61" t="s">
        <v>50</v>
      </c>
      <c r="D808" s="62" t="s">
        <v>51</v>
      </c>
      <c r="E808" s="61" t="s">
        <v>227</v>
      </c>
      <c r="F808" s="60">
        <v>7425.0</v>
      </c>
      <c r="G808" s="70"/>
      <c r="H808" s="14" t="s">
        <v>4008</v>
      </c>
      <c r="I808" s="63"/>
      <c r="J808" s="63"/>
      <c r="K808" s="56" t="s">
        <v>1534</v>
      </c>
      <c r="L808" s="56" t="s">
        <v>1403</v>
      </c>
      <c r="M808" s="56" t="s">
        <v>1549</v>
      </c>
      <c r="N808" s="56" t="s">
        <v>85</v>
      </c>
      <c r="O808" s="56" t="s">
        <v>56</v>
      </c>
      <c r="P808" s="56" t="s">
        <v>57</v>
      </c>
      <c r="Q808" s="56" t="s">
        <v>334</v>
      </c>
      <c r="R808" s="64" t="s">
        <v>4038</v>
      </c>
      <c r="S808" s="56" t="s">
        <v>49</v>
      </c>
      <c r="T808" s="56" t="s">
        <v>49</v>
      </c>
      <c r="U808" s="56" t="s">
        <v>4039</v>
      </c>
      <c r="V808" s="56" t="s">
        <v>4040</v>
      </c>
      <c r="W808" s="56" t="s">
        <v>89</v>
      </c>
      <c r="X808" s="12" t="s">
        <v>1797</v>
      </c>
      <c r="Y808" s="56" t="s">
        <v>4041</v>
      </c>
      <c r="Z808" s="56" t="s">
        <v>55</v>
      </c>
      <c r="AA808" s="56" t="s">
        <v>231</v>
      </c>
      <c r="AB808" s="56" t="s">
        <v>60</v>
      </c>
      <c r="AC808" s="56" t="s">
        <v>61</v>
      </c>
      <c r="AD808" s="56" t="s">
        <v>4042</v>
      </c>
      <c r="AE808" s="56" t="s">
        <v>55</v>
      </c>
      <c r="AF808" s="56" t="s">
        <v>55</v>
      </c>
      <c r="AG808" s="56" t="s">
        <v>2818</v>
      </c>
      <c r="AH808" s="56" t="s">
        <v>145</v>
      </c>
      <c r="AI808" s="56" t="s">
        <v>4043</v>
      </c>
      <c r="AJ808" s="56" t="s">
        <v>49</v>
      </c>
      <c r="AK808" s="56" t="s">
        <v>2940</v>
      </c>
      <c r="AL808" s="56" t="s">
        <v>720</v>
      </c>
      <c r="AM808" s="65"/>
      <c r="AN808" s="71"/>
      <c r="AO808" s="66" t="s">
        <v>4044</v>
      </c>
      <c r="AP808" s="69" t="s">
        <v>4045</v>
      </c>
      <c r="AQ808" s="66" t="s">
        <v>4046</v>
      </c>
      <c r="AR808" s="67"/>
      <c r="AS808" s="67"/>
      <c r="AT808" s="16" t="s">
        <v>4047</v>
      </c>
      <c r="AU808" s="66" t="s">
        <v>4048</v>
      </c>
      <c r="AV808" s="59">
        <v>46315.0</v>
      </c>
    </row>
    <row r="809" ht="15.75" hidden="1" customHeight="1">
      <c r="A809" s="60" t="s">
        <v>4049</v>
      </c>
      <c r="B809" s="60" t="s">
        <v>49</v>
      </c>
      <c r="C809" s="61" t="s">
        <v>213</v>
      </c>
      <c r="D809" s="62" t="s">
        <v>214</v>
      </c>
      <c r="E809" s="61" t="s">
        <v>227</v>
      </c>
      <c r="F809" s="60">
        <v>7426.0</v>
      </c>
      <c r="G809" s="70"/>
      <c r="H809" s="14" t="s">
        <v>4008</v>
      </c>
      <c r="I809" s="63"/>
      <c r="J809" s="63"/>
      <c r="K809" s="56" t="s">
        <v>1534</v>
      </c>
      <c r="L809" s="56" t="s">
        <v>1403</v>
      </c>
      <c r="M809" s="56" t="s">
        <v>1549</v>
      </c>
      <c r="N809" s="56" t="s">
        <v>1610</v>
      </c>
      <c r="O809" s="56" t="s">
        <v>56</v>
      </c>
      <c r="P809" s="56" t="s">
        <v>57</v>
      </c>
      <c r="Q809" s="56" t="s">
        <v>1299</v>
      </c>
      <c r="R809" s="64" t="s">
        <v>2762</v>
      </c>
      <c r="S809" s="56" t="s">
        <v>49</v>
      </c>
      <c r="T809" s="56" t="s">
        <v>49</v>
      </c>
      <c r="U809" s="56" t="s">
        <v>4050</v>
      </c>
      <c r="V809" s="56" t="s">
        <v>2396</v>
      </c>
      <c r="W809" s="56" t="s">
        <v>89</v>
      </c>
      <c r="X809" s="12" t="s">
        <v>1797</v>
      </c>
      <c r="Y809" s="56" t="s">
        <v>2938</v>
      </c>
      <c r="Z809" s="56" t="s">
        <v>1852</v>
      </c>
      <c r="AA809" s="56" t="s">
        <v>231</v>
      </c>
      <c r="AB809" s="56" t="s">
        <v>60</v>
      </c>
      <c r="AC809" s="56" t="s">
        <v>219</v>
      </c>
      <c r="AD809" s="56" t="s">
        <v>4051</v>
      </c>
      <c r="AE809" s="56" t="s">
        <v>55</v>
      </c>
      <c r="AF809" s="56" t="s">
        <v>55</v>
      </c>
      <c r="AG809" s="56" t="s">
        <v>63</v>
      </c>
      <c r="AH809" s="56" t="s">
        <v>111</v>
      </c>
      <c r="AI809" s="56" t="s">
        <v>463</v>
      </c>
      <c r="AJ809" s="56" t="s">
        <v>49</v>
      </c>
      <c r="AK809" s="56" t="s">
        <v>2940</v>
      </c>
      <c r="AL809" s="56" t="s">
        <v>720</v>
      </c>
      <c r="AM809" s="65"/>
      <c r="AN809" s="66" t="s">
        <v>4052</v>
      </c>
      <c r="AO809" s="66" t="s">
        <v>4053</v>
      </c>
      <c r="AP809" s="69" t="s">
        <v>4054</v>
      </c>
      <c r="AQ809" s="66" t="s">
        <v>4055</v>
      </c>
      <c r="AR809" s="66" t="s">
        <v>4056</v>
      </c>
      <c r="AS809" s="67"/>
      <c r="AT809" s="16" t="s">
        <v>4057</v>
      </c>
      <c r="AU809" s="66" t="s">
        <v>4058</v>
      </c>
      <c r="AV809" s="59">
        <v>46315.0</v>
      </c>
    </row>
    <row r="810" ht="15.75" hidden="1" customHeight="1">
      <c r="A810" s="60" t="s">
        <v>4049</v>
      </c>
      <c r="B810" s="60" t="s">
        <v>49</v>
      </c>
      <c r="C810" s="61" t="s">
        <v>213</v>
      </c>
      <c r="D810" s="62" t="s">
        <v>214</v>
      </c>
      <c r="E810" s="61" t="s">
        <v>227</v>
      </c>
      <c r="F810" s="60">
        <v>7426.0</v>
      </c>
      <c r="G810" s="60">
        <v>7426.0</v>
      </c>
      <c r="H810" s="14" t="s">
        <v>4008</v>
      </c>
      <c r="I810" s="63"/>
      <c r="J810" s="63"/>
      <c r="K810" s="56" t="s">
        <v>1534</v>
      </c>
      <c r="L810" s="56" t="s">
        <v>1403</v>
      </c>
      <c r="M810" s="56" t="s">
        <v>1549</v>
      </c>
      <c r="N810" s="56" t="s">
        <v>1610</v>
      </c>
      <c r="O810" s="56" t="s">
        <v>56</v>
      </c>
      <c r="P810" s="56" t="s">
        <v>57</v>
      </c>
      <c r="Q810" s="56" t="s">
        <v>1299</v>
      </c>
      <c r="R810" s="64" t="s">
        <v>2762</v>
      </c>
      <c r="S810" s="56" t="s">
        <v>49</v>
      </c>
      <c r="T810" s="56" t="s">
        <v>49</v>
      </c>
      <c r="U810" s="56" t="s">
        <v>4050</v>
      </c>
      <c r="V810" s="56" t="s">
        <v>2396</v>
      </c>
      <c r="W810" s="56" t="s">
        <v>89</v>
      </c>
      <c r="X810" s="12" t="s">
        <v>1797</v>
      </c>
      <c r="Y810" s="56" t="s">
        <v>2938</v>
      </c>
      <c r="Z810" s="56" t="s">
        <v>1852</v>
      </c>
      <c r="AA810" s="56" t="s">
        <v>231</v>
      </c>
      <c r="AB810" s="56" t="s">
        <v>60</v>
      </c>
      <c r="AC810" s="56" t="s">
        <v>219</v>
      </c>
      <c r="AD810" s="56" t="s">
        <v>4051</v>
      </c>
      <c r="AE810" s="56" t="s">
        <v>55</v>
      </c>
      <c r="AF810" s="56" t="s">
        <v>55</v>
      </c>
      <c r="AG810" s="56" t="s">
        <v>63</v>
      </c>
      <c r="AH810" s="56" t="s">
        <v>111</v>
      </c>
      <c r="AI810" s="56" t="s">
        <v>463</v>
      </c>
      <c r="AJ810" s="56" t="s">
        <v>49</v>
      </c>
      <c r="AK810" s="56" t="s">
        <v>2940</v>
      </c>
      <c r="AL810" s="56" t="s">
        <v>720</v>
      </c>
      <c r="AM810" s="65"/>
      <c r="AN810" s="66" t="s">
        <v>4052</v>
      </c>
      <c r="AO810" s="66" t="s">
        <v>4053</v>
      </c>
      <c r="AP810" s="69" t="s">
        <v>4054</v>
      </c>
      <c r="AQ810" s="66" t="s">
        <v>4055</v>
      </c>
      <c r="AR810" s="66" t="s">
        <v>4056</v>
      </c>
      <c r="AS810" s="67"/>
      <c r="AT810" s="16" t="s">
        <v>4057</v>
      </c>
      <c r="AU810" s="66" t="s">
        <v>4058</v>
      </c>
      <c r="AV810" s="59">
        <v>46315.0</v>
      </c>
    </row>
    <row r="811" ht="15.75" hidden="1" customHeight="1">
      <c r="A811" s="60" t="s">
        <v>4059</v>
      </c>
      <c r="B811" s="60" t="s">
        <v>49</v>
      </c>
      <c r="C811" s="61" t="s">
        <v>213</v>
      </c>
      <c r="D811" s="62" t="s">
        <v>214</v>
      </c>
      <c r="E811" s="61" t="s">
        <v>227</v>
      </c>
      <c r="F811" s="60">
        <v>7427.0</v>
      </c>
      <c r="G811" s="60">
        <v>7426.0</v>
      </c>
      <c r="H811" s="14" t="s">
        <v>4008</v>
      </c>
      <c r="I811" s="63"/>
      <c r="J811" s="63"/>
      <c r="K811" s="56" t="s">
        <v>1534</v>
      </c>
      <c r="L811" s="56" t="s">
        <v>1403</v>
      </c>
      <c r="M811" s="56" t="s">
        <v>1549</v>
      </c>
      <c r="N811" s="56" t="s">
        <v>1610</v>
      </c>
      <c r="O811" s="56" t="s">
        <v>56</v>
      </c>
      <c r="P811" s="56" t="s">
        <v>57</v>
      </c>
      <c r="Q811" s="56" t="s">
        <v>1299</v>
      </c>
      <c r="R811" s="64" t="s">
        <v>2762</v>
      </c>
      <c r="S811" s="56" t="s">
        <v>49</v>
      </c>
      <c r="T811" s="56" t="s">
        <v>49</v>
      </c>
      <c r="U811" s="56" t="s">
        <v>4060</v>
      </c>
      <c r="V811" s="56" t="s">
        <v>4061</v>
      </c>
      <c r="W811" s="56" t="s">
        <v>89</v>
      </c>
      <c r="X811" s="12" t="s">
        <v>1797</v>
      </c>
      <c r="Y811" s="56" t="s">
        <v>2938</v>
      </c>
      <c r="Z811" s="56" t="s">
        <v>1852</v>
      </c>
      <c r="AA811" s="56" t="s">
        <v>231</v>
      </c>
      <c r="AB811" s="56" t="s">
        <v>60</v>
      </c>
      <c r="AC811" s="56" t="s">
        <v>219</v>
      </c>
      <c r="AD811" s="56" t="s">
        <v>4062</v>
      </c>
      <c r="AE811" s="56" t="s">
        <v>55</v>
      </c>
      <c r="AF811" s="56" t="s">
        <v>55</v>
      </c>
      <c r="AG811" s="56" t="s">
        <v>63</v>
      </c>
      <c r="AH811" s="56" t="s">
        <v>111</v>
      </c>
      <c r="AI811" s="56" t="s">
        <v>463</v>
      </c>
      <c r="AJ811" s="56" t="s">
        <v>49</v>
      </c>
      <c r="AK811" s="56" t="s">
        <v>2940</v>
      </c>
      <c r="AL811" s="56" t="s">
        <v>720</v>
      </c>
      <c r="AM811" s="65"/>
      <c r="AN811" s="66" t="s">
        <v>4063</v>
      </c>
      <c r="AO811" s="66" t="s">
        <v>4064</v>
      </c>
      <c r="AP811" s="69" t="s">
        <v>4054</v>
      </c>
      <c r="AQ811" s="66" t="s">
        <v>4065</v>
      </c>
      <c r="AR811" s="66" t="s">
        <v>4066</v>
      </c>
      <c r="AS811" s="67"/>
      <c r="AT811" s="16" t="s">
        <v>4067</v>
      </c>
      <c r="AU811" s="66" t="s">
        <v>4068</v>
      </c>
      <c r="AV811" s="59">
        <v>46315.0</v>
      </c>
    </row>
    <row r="812" ht="15.75" hidden="1" customHeight="1">
      <c r="A812" s="60"/>
      <c r="B812" s="60"/>
      <c r="C812" s="61"/>
      <c r="D812" s="62"/>
      <c r="E812" s="61"/>
      <c r="F812" s="60"/>
      <c r="G812" s="70"/>
      <c r="H812" s="14"/>
      <c r="I812" s="63"/>
      <c r="J812" s="63"/>
      <c r="K812" s="56"/>
      <c r="L812" s="56"/>
      <c r="M812" s="56"/>
      <c r="N812" s="56"/>
      <c r="O812" s="56"/>
      <c r="P812" s="56"/>
      <c r="Q812" s="56"/>
      <c r="R812" s="56"/>
      <c r="S812" s="56"/>
      <c r="T812" s="56"/>
      <c r="U812" s="56"/>
      <c r="V812" s="56"/>
      <c r="W812" s="56"/>
      <c r="X812" s="12"/>
      <c r="Y812" s="56"/>
      <c r="Z812" s="56"/>
      <c r="AA812" s="56"/>
      <c r="AB812" s="56"/>
      <c r="AC812" s="56"/>
      <c r="AD812" s="56"/>
      <c r="AE812" s="56"/>
      <c r="AF812" s="56"/>
      <c r="AG812" s="56"/>
      <c r="AH812" s="56"/>
      <c r="AI812" s="56"/>
      <c r="AJ812" s="56"/>
      <c r="AK812" s="56"/>
      <c r="AL812" s="56"/>
      <c r="AM812" s="65"/>
      <c r="AN812" s="67"/>
      <c r="AO812" s="67"/>
      <c r="AP812" s="69"/>
      <c r="AQ812" s="67"/>
      <c r="AR812" s="67"/>
      <c r="AS812" s="67"/>
      <c r="AT812" s="8"/>
      <c r="AU812" s="67"/>
      <c r="AV812" s="59"/>
    </row>
    <row r="813" ht="15.75" hidden="1" customHeight="1">
      <c r="A813" s="60"/>
      <c r="B813" s="60"/>
      <c r="C813" s="61"/>
      <c r="D813" s="62"/>
      <c r="E813" s="61"/>
      <c r="F813" s="60"/>
      <c r="G813" s="70"/>
      <c r="H813" s="14"/>
      <c r="I813" s="63"/>
      <c r="J813" s="63"/>
      <c r="K813" s="56"/>
      <c r="L813" s="56"/>
      <c r="M813" s="56"/>
      <c r="N813" s="56"/>
      <c r="O813" s="56"/>
      <c r="P813" s="56"/>
      <c r="Q813" s="56"/>
      <c r="R813" s="56"/>
      <c r="S813" s="56"/>
      <c r="T813" s="56"/>
      <c r="U813" s="56"/>
      <c r="V813" s="56"/>
      <c r="W813" s="56"/>
      <c r="X813" s="12"/>
      <c r="Y813" s="56"/>
      <c r="Z813" s="56"/>
      <c r="AA813" s="56"/>
      <c r="AB813" s="56"/>
      <c r="AC813" s="56"/>
      <c r="AD813" s="56"/>
      <c r="AE813" s="56"/>
      <c r="AF813" s="56"/>
      <c r="AG813" s="56"/>
      <c r="AH813" s="56"/>
      <c r="AI813" s="56"/>
      <c r="AJ813" s="56"/>
      <c r="AK813" s="56"/>
      <c r="AL813" s="56"/>
      <c r="AM813" s="65"/>
      <c r="AN813" s="67"/>
      <c r="AO813" s="67"/>
      <c r="AP813" s="69"/>
      <c r="AQ813" s="67"/>
      <c r="AR813" s="67"/>
      <c r="AS813" s="67"/>
      <c r="AT813" s="8"/>
      <c r="AU813" s="67"/>
      <c r="AV813" s="59"/>
    </row>
    <row r="814" ht="15.75" customHeight="1">
      <c r="A814" s="72"/>
      <c r="B814" s="72"/>
      <c r="C814" s="73"/>
      <c r="D814" s="74"/>
      <c r="E814" s="73"/>
      <c r="F814" s="72"/>
      <c r="G814" s="74"/>
      <c r="H814" s="74"/>
      <c r="I814" s="75"/>
      <c r="J814" s="75"/>
      <c r="K814" s="75"/>
      <c r="L814" s="75"/>
      <c r="M814" s="75"/>
      <c r="N814" s="75"/>
      <c r="O814" s="75"/>
      <c r="P814" s="75"/>
      <c r="Q814" s="75"/>
      <c r="R814" s="76"/>
      <c r="S814" s="75"/>
      <c r="T814" s="75"/>
      <c r="U814" s="75"/>
      <c r="V814" s="75"/>
      <c r="W814" s="75"/>
      <c r="X814" s="77"/>
      <c r="Y814" s="75"/>
      <c r="Z814" s="75"/>
      <c r="AA814" s="75"/>
      <c r="AB814" s="75"/>
      <c r="AC814" s="75"/>
      <c r="AD814" s="75"/>
      <c r="AE814" s="75"/>
      <c r="AF814" s="75"/>
      <c r="AG814" s="75"/>
      <c r="AH814" s="75"/>
      <c r="AI814" s="75"/>
      <c r="AJ814" s="75"/>
      <c r="AK814" s="75"/>
      <c r="AL814" s="75"/>
      <c r="AM814" s="78"/>
      <c r="AN814" s="79"/>
      <c r="AO814" s="79"/>
      <c r="AP814" s="79"/>
      <c r="AQ814" s="79"/>
      <c r="AR814" s="79"/>
      <c r="AS814" s="79"/>
      <c r="AT814" s="77"/>
      <c r="AU814" s="79"/>
      <c r="AV814" s="80"/>
    </row>
    <row r="815" ht="15.75" customHeight="1">
      <c r="A815" s="72"/>
      <c r="B815" s="72"/>
      <c r="C815" s="73"/>
      <c r="D815" s="74"/>
      <c r="E815" s="73"/>
      <c r="F815" s="72"/>
      <c r="G815" s="74"/>
      <c r="H815" s="74"/>
      <c r="I815" s="75"/>
      <c r="J815" s="75"/>
      <c r="K815" s="75"/>
      <c r="L815" s="75"/>
      <c r="M815" s="75"/>
      <c r="N815" s="75"/>
      <c r="O815" s="75"/>
      <c r="P815" s="75"/>
      <c r="Q815" s="75"/>
      <c r="R815" s="76"/>
      <c r="S815" s="75"/>
      <c r="T815" s="75"/>
      <c r="U815" s="75"/>
      <c r="V815" s="75"/>
      <c r="W815" s="75"/>
      <c r="X815" s="77"/>
      <c r="Y815" s="75"/>
      <c r="Z815" s="75"/>
      <c r="AA815" s="75"/>
      <c r="AB815" s="75"/>
      <c r="AC815" s="75"/>
      <c r="AD815" s="75"/>
      <c r="AE815" s="75"/>
      <c r="AF815" s="75"/>
      <c r="AG815" s="75"/>
      <c r="AH815" s="75"/>
      <c r="AI815" s="75"/>
      <c r="AJ815" s="75"/>
      <c r="AK815" s="75"/>
      <c r="AL815" s="75"/>
      <c r="AM815" s="78"/>
      <c r="AN815" s="79"/>
      <c r="AO815" s="79"/>
      <c r="AP815" s="79"/>
      <c r="AQ815" s="79"/>
      <c r="AR815" s="79"/>
      <c r="AS815" s="79"/>
      <c r="AT815" s="77"/>
      <c r="AU815" s="79"/>
      <c r="AV815" s="80"/>
    </row>
    <row r="816" ht="15.75" customHeight="1">
      <c r="A816" s="72"/>
      <c r="B816" s="72"/>
      <c r="C816" s="73"/>
      <c r="D816" s="74"/>
      <c r="E816" s="73"/>
      <c r="F816" s="72"/>
      <c r="G816" s="74"/>
      <c r="H816" s="74"/>
      <c r="I816" s="75"/>
      <c r="J816" s="75"/>
      <c r="K816" s="75"/>
      <c r="L816" s="75"/>
      <c r="M816" s="75"/>
      <c r="N816" s="75"/>
      <c r="O816" s="75"/>
      <c r="P816" s="75"/>
      <c r="Q816" s="75"/>
      <c r="R816" s="76"/>
      <c r="S816" s="75"/>
      <c r="T816" s="75"/>
      <c r="U816" s="75"/>
      <c r="V816" s="75"/>
      <c r="W816" s="75"/>
      <c r="X816" s="77"/>
      <c r="Y816" s="75"/>
      <c r="Z816" s="75"/>
      <c r="AA816" s="75"/>
      <c r="AB816" s="75"/>
      <c r="AC816" s="75"/>
      <c r="AD816" s="75"/>
      <c r="AE816" s="75"/>
      <c r="AF816" s="75"/>
      <c r="AG816" s="75"/>
      <c r="AH816" s="75"/>
      <c r="AI816" s="75"/>
      <c r="AJ816" s="75"/>
      <c r="AK816" s="75"/>
      <c r="AL816" s="75"/>
      <c r="AM816" s="78"/>
      <c r="AN816" s="79"/>
      <c r="AO816" s="79"/>
      <c r="AP816" s="79"/>
      <c r="AQ816" s="79"/>
      <c r="AR816" s="79"/>
      <c r="AS816" s="79"/>
      <c r="AT816" s="77"/>
      <c r="AU816" s="79"/>
      <c r="AV816" s="80"/>
    </row>
    <row r="817" ht="15.75" customHeight="1">
      <c r="A817" s="72"/>
      <c r="B817" s="72"/>
      <c r="C817" s="73"/>
      <c r="D817" s="74"/>
      <c r="E817" s="73"/>
      <c r="F817" s="72"/>
      <c r="G817" s="74"/>
      <c r="H817" s="74"/>
      <c r="I817" s="75"/>
      <c r="J817" s="75"/>
      <c r="K817" s="75"/>
      <c r="L817" s="75"/>
      <c r="M817" s="75"/>
      <c r="N817" s="75"/>
      <c r="O817" s="75"/>
      <c r="P817" s="75"/>
      <c r="Q817" s="75"/>
      <c r="R817" s="76"/>
      <c r="S817" s="75"/>
      <c r="T817" s="75"/>
      <c r="U817" s="75"/>
      <c r="V817" s="75"/>
      <c r="W817" s="75"/>
      <c r="X817" s="77"/>
      <c r="Y817" s="75"/>
      <c r="Z817" s="75"/>
      <c r="AA817" s="75"/>
      <c r="AB817" s="75"/>
      <c r="AC817" s="75"/>
      <c r="AD817" s="75"/>
      <c r="AE817" s="75"/>
      <c r="AF817" s="75"/>
      <c r="AG817" s="75"/>
      <c r="AH817" s="75"/>
      <c r="AI817" s="75"/>
      <c r="AJ817" s="75"/>
      <c r="AK817" s="75"/>
      <c r="AL817" s="75"/>
      <c r="AM817" s="78"/>
      <c r="AN817" s="79"/>
      <c r="AO817" s="79"/>
      <c r="AP817" s="79"/>
      <c r="AQ817" s="79"/>
      <c r="AR817" s="79"/>
      <c r="AS817" s="79"/>
      <c r="AT817" s="77"/>
      <c r="AU817" s="79"/>
      <c r="AV817" s="80"/>
    </row>
    <row r="818" ht="15.75" customHeight="1">
      <c r="A818" s="72"/>
      <c r="B818" s="72"/>
      <c r="C818" s="73"/>
      <c r="D818" s="74"/>
      <c r="E818" s="73"/>
      <c r="F818" s="72"/>
      <c r="G818" s="74"/>
      <c r="H818" s="74"/>
      <c r="I818" s="75"/>
      <c r="J818" s="75"/>
      <c r="K818" s="75"/>
      <c r="L818" s="75"/>
      <c r="M818" s="75"/>
      <c r="N818" s="75"/>
      <c r="O818" s="75"/>
      <c r="P818" s="75"/>
      <c r="Q818" s="75"/>
      <c r="R818" s="76"/>
      <c r="S818" s="75"/>
      <c r="T818" s="75"/>
      <c r="U818" s="75"/>
      <c r="V818" s="75"/>
      <c r="W818" s="75"/>
      <c r="X818" s="77"/>
      <c r="Y818" s="75"/>
      <c r="Z818" s="75"/>
      <c r="AA818" s="75"/>
      <c r="AB818" s="75"/>
      <c r="AC818" s="75"/>
      <c r="AD818" s="75"/>
      <c r="AE818" s="75"/>
      <c r="AF818" s="75"/>
      <c r="AG818" s="75"/>
      <c r="AH818" s="75"/>
      <c r="AI818" s="75"/>
      <c r="AJ818" s="75"/>
      <c r="AK818" s="75"/>
      <c r="AL818" s="75"/>
      <c r="AM818" s="78"/>
      <c r="AN818" s="79"/>
      <c r="AO818" s="79"/>
      <c r="AP818" s="79"/>
      <c r="AQ818" s="79"/>
      <c r="AR818" s="79"/>
      <c r="AS818" s="79"/>
      <c r="AT818" s="77"/>
      <c r="AU818" s="79"/>
      <c r="AV818" s="80"/>
    </row>
    <row r="819" ht="15.75" customHeight="1">
      <c r="A819" s="72"/>
      <c r="B819" s="72"/>
      <c r="C819" s="73"/>
      <c r="D819" s="74"/>
      <c r="E819" s="73"/>
      <c r="F819" s="72"/>
      <c r="G819" s="74"/>
      <c r="H819" s="74"/>
      <c r="I819" s="75"/>
      <c r="J819" s="75"/>
      <c r="K819" s="75"/>
      <c r="L819" s="75"/>
      <c r="M819" s="75"/>
      <c r="N819" s="75"/>
      <c r="O819" s="75"/>
      <c r="P819" s="75"/>
      <c r="Q819" s="75"/>
      <c r="R819" s="76"/>
      <c r="S819" s="75"/>
      <c r="T819" s="75"/>
      <c r="U819" s="75"/>
      <c r="V819" s="75"/>
      <c r="W819" s="75"/>
      <c r="X819" s="77"/>
      <c r="Y819" s="75"/>
      <c r="Z819" s="75"/>
      <c r="AA819" s="75"/>
      <c r="AB819" s="75"/>
      <c r="AC819" s="75"/>
      <c r="AD819" s="75"/>
      <c r="AE819" s="75"/>
      <c r="AF819" s="75"/>
      <c r="AG819" s="75"/>
      <c r="AH819" s="75"/>
      <c r="AI819" s="75"/>
      <c r="AJ819" s="75"/>
      <c r="AK819" s="75"/>
      <c r="AL819" s="75"/>
      <c r="AM819" s="78"/>
      <c r="AN819" s="79"/>
      <c r="AO819" s="79"/>
      <c r="AP819" s="79"/>
      <c r="AQ819" s="79"/>
      <c r="AR819" s="79"/>
      <c r="AS819" s="79"/>
      <c r="AT819" s="77"/>
      <c r="AU819" s="79"/>
      <c r="AV819" s="80"/>
    </row>
    <row r="820" ht="15.75" customHeight="1">
      <c r="A820" s="72"/>
      <c r="B820" s="72"/>
      <c r="C820" s="73"/>
      <c r="D820" s="74"/>
      <c r="E820" s="73"/>
      <c r="F820" s="72"/>
      <c r="G820" s="74"/>
      <c r="H820" s="74"/>
      <c r="I820" s="75"/>
      <c r="J820" s="75"/>
      <c r="K820" s="75"/>
      <c r="L820" s="75"/>
      <c r="M820" s="75"/>
      <c r="N820" s="75"/>
      <c r="O820" s="75"/>
      <c r="P820" s="75"/>
      <c r="Q820" s="75"/>
      <c r="R820" s="76"/>
      <c r="S820" s="75"/>
      <c r="T820" s="75"/>
      <c r="U820" s="75"/>
      <c r="V820" s="75"/>
      <c r="W820" s="75"/>
      <c r="X820" s="77"/>
      <c r="Y820" s="75"/>
      <c r="Z820" s="75"/>
      <c r="AA820" s="75"/>
      <c r="AB820" s="75"/>
      <c r="AC820" s="75"/>
      <c r="AD820" s="75"/>
      <c r="AE820" s="75"/>
      <c r="AF820" s="75"/>
      <c r="AG820" s="75"/>
      <c r="AH820" s="75"/>
      <c r="AI820" s="75"/>
      <c r="AJ820" s="75"/>
      <c r="AK820" s="75"/>
      <c r="AL820" s="75"/>
      <c r="AM820" s="78"/>
      <c r="AN820" s="79"/>
      <c r="AO820" s="79"/>
      <c r="AP820" s="79"/>
      <c r="AQ820" s="79"/>
      <c r="AR820" s="79"/>
      <c r="AS820" s="79"/>
      <c r="AT820" s="77"/>
      <c r="AU820" s="79"/>
      <c r="AV820" s="80"/>
    </row>
    <row r="821" ht="15.75" customHeight="1">
      <c r="A821" s="72"/>
      <c r="B821" s="72"/>
      <c r="C821" s="73"/>
      <c r="D821" s="74"/>
      <c r="E821" s="73"/>
      <c r="F821" s="72"/>
      <c r="G821" s="74"/>
      <c r="H821" s="74"/>
      <c r="I821" s="75"/>
      <c r="J821" s="75"/>
      <c r="K821" s="75"/>
      <c r="L821" s="75"/>
      <c r="M821" s="75"/>
      <c r="N821" s="75"/>
      <c r="O821" s="75"/>
      <c r="P821" s="75"/>
      <c r="Q821" s="75"/>
      <c r="R821" s="76"/>
      <c r="S821" s="75"/>
      <c r="T821" s="75"/>
      <c r="U821" s="75"/>
      <c r="V821" s="75"/>
      <c r="W821" s="75"/>
      <c r="X821" s="77"/>
      <c r="Y821" s="75"/>
      <c r="Z821" s="75"/>
      <c r="AA821" s="75"/>
      <c r="AB821" s="75"/>
      <c r="AC821" s="75"/>
      <c r="AD821" s="75"/>
      <c r="AE821" s="75"/>
      <c r="AF821" s="75"/>
      <c r="AG821" s="75"/>
      <c r="AH821" s="75"/>
      <c r="AI821" s="75"/>
      <c r="AJ821" s="75"/>
      <c r="AK821" s="75"/>
      <c r="AL821" s="75"/>
      <c r="AM821" s="78"/>
      <c r="AN821" s="79"/>
      <c r="AO821" s="79"/>
      <c r="AP821" s="79"/>
      <c r="AQ821" s="79"/>
      <c r="AR821" s="79"/>
      <c r="AS821" s="79"/>
      <c r="AT821" s="77"/>
      <c r="AU821" s="79"/>
      <c r="AV821" s="80"/>
    </row>
    <row r="822" ht="15.75" customHeight="1">
      <c r="A822" s="72"/>
      <c r="B822" s="72"/>
      <c r="C822" s="73"/>
      <c r="D822" s="74"/>
      <c r="E822" s="73"/>
      <c r="F822" s="72"/>
      <c r="G822" s="74"/>
      <c r="H822" s="74"/>
      <c r="I822" s="75"/>
      <c r="J822" s="75"/>
      <c r="K822" s="75"/>
      <c r="L822" s="75"/>
      <c r="M822" s="75"/>
      <c r="N822" s="75"/>
      <c r="O822" s="75"/>
      <c r="P822" s="75"/>
      <c r="Q822" s="75"/>
      <c r="R822" s="76"/>
      <c r="S822" s="75"/>
      <c r="T822" s="75"/>
      <c r="U822" s="75"/>
      <c r="V822" s="75"/>
      <c r="W822" s="75"/>
      <c r="X822" s="77"/>
      <c r="Y822" s="75"/>
      <c r="Z822" s="75"/>
      <c r="AA822" s="75"/>
      <c r="AB822" s="75"/>
      <c r="AC822" s="75"/>
      <c r="AD822" s="75"/>
      <c r="AE822" s="75"/>
      <c r="AF822" s="75"/>
      <c r="AG822" s="75"/>
      <c r="AH822" s="75"/>
      <c r="AI822" s="75"/>
      <c r="AJ822" s="75"/>
      <c r="AK822" s="75"/>
      <c r="AL822" s="75"/>
      <c r="AM822" s="78"/>
      <c r="AN822" s="79"/>
      <c r="AO822" s="79"/>
      <c r="AP822" s="79"/>
      <c r="AQ822" s="79"/>
      <c r="AR822" s="79"/>
      <c r="AS822" s="79"/>
      <c r="AT822" s="77"/>
      <c r="AU822" s="79"/>
      <c r="AV822" s="80"/>
    </row>
    <row r="823" ht="15.75" customHeight="1">
      <c r="A823" s="72"/>
      <c r="B823" s="72"/>
      <c r="C823" s="73"/>
      <c r="D823" s="74"/>
      <c r="E823" s="73"/>
      <c r="F823" s="72"/>
      <c r="G823" s="74"/>
      <c r="H823" s="74"/>
      <c r="I823" s="75"/>
      <c r="J823" s="75"/>
      <c r="K823" s="75"/>
      <c r="L823" s="75"/>
      <c r="M823" s="75"/>
      <c r="N823" s="75"/>
      <c r="O823" s="75"/>
      <c r="P823" s="75"/>
      <c r="Q823" s="75"/>
      <c r="R823" s="76"/>
      <c r="S823" s="75"/>
      <c r="T823" s="75"/>
      <c r="U823" s="75"/>
      <c r="V823" s="75"/>
      <c r="W823" s="75"/>
      <c r="X823" s="77"/>
      <c r="Y823" s="75"/>
      <c r="Z823" s="75"/>
      <c r="AA823" s="75"/>
      <c r="AB823" s="75"/>
      <c r="AC823" s="75"/>
      <c r="AD823" s="75"/>
      <c r="AE823" s="75"/>
      <c r="AF823" s="75"/>
      <c r="AG823" s="75"/>
      <c r="AH823" s="75"/>
      <c r="AI823" s="75"/>
      <c r="AJ823" s="75"/>
      <c r="AK823" s="75"/>
      <c r="AL823" s="75"/>
      <c r="AM823" s="78"/>
      <c r="AN823" s="79"/>
      <c r="AO823" s="79"/>
      <c r="AP823" s="79"/>
      <c r="AQ823" s="79"/>
      <c r="AR823" s="79"/>
      <c r="AS823" s="79"/>
      <c r="AT823" s="77"/>
      <c r="AU823" s="79"/>
      <c r="AV823" s="80"/>
    </row>
    <row r="824" ht="15.75" customHeight="1">
      <c r="A824" s="72"/>
      <c r="B824" s="72"/>
      <c r="C824" s="73"/>
      <c r="D824" s="74"/>
      <c r="E824" s="73"/>
      <c r="F824" s="72"/>
      <c r="G824" s="74"/>
      <c r="H824" s="74"/>
      <c r="I824" s="75"/>
      <c r="J824" s="75"/>
      <c r="K824" s="75"/>
      <c r="L824" s="75"/>
      <c r="M824" s="75"/>
      <c r="N824" s="75"/>
      <c r="O824" s="75"/>
      <c r="P824" s="75"/>
      <c r="Q824" s="75"/>
      <c r="R824" s="76"/>
      <c r="S824" s="75"/>
      <c r="T824" s="75"/>
      <c r="U824" s="75"/>
      <c r="V824" s="75"/>
      <c r="W824" s="75"/>
      <c r="X824" s="77"/>
      <c r="Y824" s="75"/>
      <c r="Z824" s="75"/>
      <c r="AA824" s="75"/>
      <c r="AB824" s="75"/>
      <c r="AC824" s="75"/>
      <c r="AD824" s="75"/>
      <c r="AE824" s="75"/>
      <c r="AF824" s="75"/>
      <c r="AG824" s="75"/>
      <c r="AH824" s="75"/>
      <c r="AI824" s="75"/>
      <c r="AJ824" s="75"/>
      <c r="AK824" s="75"/>
      <c r="AL824" s="75"/>
      <c r="AM824" s="78"/>
      <c r="AN824" s="79"/>
      <c r="AO824" s="79"/>
      <c r="AP824" s="79"/>
      <c r="AQ824" s="79"/>
      <c r="AR824" s="79"/>
      <c r="AS824" s="79"/>
      <c r="AT824" s="77"/>
      <c r="AU824" s="79"/>
      <c r="AV824" s="80"/>
    </row>
    <row r="825" ht="15.75" customHeight="1">
      <c r="A825" s="72"/>
      <c r="B825" s="72"/>
      <c r="C825" s="73"/>
      <c r="D825" s="74"/>
      <c r="E825" s="73"/>
      <c r="F825" s="72"/>
      <c r="G825" s="74"/>
      <c r="H825" s="74"/>
      <c r="I825" s="75"/>
      <c r="J825" s="75"/>
      <c r="K825" s="75"/>
      <c r="L825" s="75"/>
      <c r="M825" s="75"/>
      <c r="N825" s="75"/>
      <c r="O825" s="75"/>
      <c r="P825" s="75"/>
      <c r="Q825" s="75"/>
      <c r="R825" s="76"/>
      <c r="S825" s="75"/>
      <c r="T825" s="75"/>
      <c r="U825" s="75"/>
      <c r="V825" s="75"/>
      <c r="W825" s="75"/>
      <c r="X825" s="77"/>
      <c r="Y825" s="75"/>
      <c r="Z825" s="75"/>
      <c r="AA825" s="75"/>
      <c r="AB825" s="75"/>
      <c r="AC825" s="75"/>
      <c r="AD825" s="75"/>
      <c r="AE825" s="75"/>
      <c r="AF825" s="75"/>
      <c r="AG825" s="75"/>
      <c r="AH825" s="75"/>
      <c r="AI825" s="75"/>
      <c r="AJ825" s="75"/>
      <c r="AK825" s="75"/>
      <c r="AL825" s="75"/>
      <c r="AM825" s="78"/>
      <c r="AN825" s="79"/>
      <c r="AO825" s="79"/>
      <c r="AP825" s="79"/>
      <c r="AQ825" s="79"/>
      <c r="AR825" s="79"/>
      <c r="AS825" s="79"/>
      <c r="AT825" s="77"/>
      <c r="AU825" s="79"/>
      <c r="AV825" s="80"/>
    </row>
    <row r="826" ht="15.75" customHeight="1">
      <c r="A826" s="72"/>
      <c r="B826" s="72"/>
      <c r="C826" s="73"/>
      <c r="D826" s="74"/>
      <c r="E826" s="73"/>
      <c r="F826" s="72"/>
      <c r="G826" s="74"/>
      <c r="H826" s="74"/>
      <c r="I826" s="75"/>
      <c r="J826" s="75"/>
      <c r="K826" s="75"/>
      <c r="L826" s="75"/>
      <c r="M826" s="75"/>
      <c r="N826" s="75"/>
      <c r="O826" s="75"/>
      <c r="P826" s="75"/>
      <c r="Q826" s="75"/>
      <c r="R826" s="76"/>
      <c r="S826" s="75"/>
      <c r="T826" s="75"/>
      <c r="U826" s="75"/>
      <c r="V826" s="75"/>
      <c r="W826" s="75"/>
      <c r="X826" s="77"/>
      <c r="Y826" s="75"/>
      <c r="Z826" s="75"/>
      <c r="AA826" s="75"/>
      <c r="AB826" s="75"/>
      <c r="AC826" s="75"/>
      <c r="AD826" s="75"/>
      <c r="AE826" s="75"/>
      <c r="AF826" s="75"/>
      <c r="AG826" s="75"/>
      <c r="AH826" s="75"/>
      <c r="AI826" s="75"/>
      <c r="AJ826" s="75"/>
      <c r="AK826" s="75"/>
      <c r="AL826" s="75"/>
      <c r="AM826" s="78"/>
      <c r="AN826" s="79"/>
      <c r="AO826" s="79"/>
      <c r="AP826" s="79"/>
      <c r="AQ826" s="79"/>
      <c r="AR826" s="79"/>
      <c r="AS826" s="79"/>
      <c r="AT826" s="77"/>
      <c r="AU826" s="79"/>
      <c r="AV826" s="80"/>
    </row>
    <row r="827" ht="15.75" customHeight="1">
      <c r="A827" s="72"/>
      <c r="B827" s="72"/>
      <c r="C827" s="73"/>
      <c r="D827" s="74"/>
      <c r="E827" s="73"/>
      <c r="F827" s="72"/>
      <c r="G827" s="74"/>
      <c r="H827" s="74"/>
      <c r="I827" s="75"/>
      <c r="J827" s="75"/>
      <c r="K827" s="75"/>
      <c r="L827" s="75"/>
      <c r="M827" s="75"/>
      <c r="N827" s="75"/>
      <c r="O827" s="75"/>
      <c r="P827" s="75"/>
      <c r="Q827" s="75"/>
      <c r="R827" s="76"/>
      <c r="S827" s="75"/>
      <c r="T827" s="75"/>
      <c r="U827" s="75"/>
      <c r="V827" s="75"/>
      <c r="W827" s="75"/>
      <c r="X827" s="77"/>
      <c r="Y827" s="75"/>
      <c r="Z827" s="75"/>
      <c r="AA827" s="75"/>
      <c r="AB827" s="75"/>
      <c r="AC827" s="75"/>
      <c r="AD827" s="75"/>
      <c r="AE827" s="75"/>
      <c r="AF827" s="75"/>
      <c r="AG827" s="75"/>
      <c r="AH827" s="75"/>
      <c r="AI827" s="75"/>
      <c r="AJ827" s="75"/>
      <c r="AK827" s="75"/>
      <c r="AL827" s="75"/>
      <c r="AM827" s="78"/>
      <c r="AN827" s="79"/>
      <c r="AO827" s="79"/>
      <c r="AP827" s="79"/>
      <c r="AQ827" s="79"/>
      <c r="AR827" s="79"/>
      <c r="AS827" s="79"/>
      <c r="AT827" s="77"/>
      <c r="AU827" s="79"/>
      <c r="AV827" s="80"/>
    </row>
    <row r="828" ht="15.75" customHeight="1">
      <c r="A828" s="72"/>
      <c r="B828" s="72"/>
      <c r="C828" s="73"/>
      <c r="D828" s="74"/>
      <c r="E828" s="73"/>
      <c r="F828" s="72"/>
      <c r="G828" s="74"/>
      <c r="H828" s="74"/>
      <c r="I828" s="75"/>
      <c r="J828" s="75"/>
      <c r="K828" s="75"/>
      <c r="L828" s="75"/>
      <c r="M828" s="75"/>
      <c r="N828" s="75"/>
      <c r="O828" s="75"/>
      <c r="P828" s="75"/>
      <c r="Q828" s="75"/>
      <c r="R828" s="76"/>
      <c r="S828" s="75"/>
      <c r="T828" s="75"/>
      <c r="U828" s="75"/>
      <c r="V828" s="75"/>
      <c r="W828" s="75"/>
      <c r="X828" s="77"/>
      <c r="Y828" s="75"/>
      <c r="Z828" s="75"/>
      <c r="AA828" s="75"/>
      <c r="AB828" s="75"/>
      <c r="AC828" s="75"/>
      <c r="AD828" s="75"/>
      <c r="AE828" s="75"/>
      <c r="AF828" s="75"/>
      <c r="AG828" s="75"/>
      <c r="AH828" s="75"/>
      <c r="AI828" s="75"/>
      <c r="AJ828" s="75"/>
      <c r="AK828" s="75"/>
      <c r="AL828" s="75"/>
      <c r="AM828" s="78"/>
      <c r="AN828" s="79"/>
      <c r="AO828" s="79"/>
      <c r="AP828" s="79"/>
      <c r="AQ828" s="79"/>
      <c r="AR828" s="79"/>
      <c r="AS828" s="79"/>
      <c r="AT828" s="77"/>
      <c r="AU828" s="79"/>
      <c r="AV828" s="80"/>
    </row>
    <row r="829" ht="15.75" customHeight="1">
      <c r="A829" s="72"/>
      <c r="B829" s="72"/>
      <c r="C829" s="73"/>
      <c r="D829" s="74"/>
      <c r="E829" s="73"/>
      <c r="F829" s="72"/>
      <c r="G829" s="74"/>
      <c r="H829" s="74"/>
      <c r="I829" s="75"/>
      <c r="J829" s="75"/>
      <c r="K829" s="75"/>
      <c r="L829" s="75"/>
      <c r="M829" s="75"/>
      <c r="N829" s="75"/>
      <c r="O829" s="75"/>
      <c r="P829" s="75"/>
      <c r="Q829" s="75"/>
      <c r="R829" s="76"/>
      <c r="S829" s="75"/>
      <c r="T829" s="75"/>
      <c r="U829" s="75"/>
      <c r="V829" s="75"/>
      <c r="W829" s="75"/>
      <c r="X829" s="77"/>
      <c r="Y829" s="75"/>
      <c r="Z829" s="75"/>
      <c r="AA829" s="75"/>
      <c r="AB829" s="75"/>
      <c r="AC829" s="75"/>
      <c r="AD829" s="75"/>
      <c r="AE829" s="75"/>
      <c r="AF829" s="75"/>
      <c r="AG829" s="75"/>
      <c r="AH829" s="75"/>
      <c r="AI829" s="75"/>
      <c r="AJ829" s="75"/>
      <c r="AK829" s="75"/>
      <c r="AL829" s="75"/>
      <c r="AM829" s="78"/>
      <c r="AN829" s="79"/>
      <c r="AO829" s="79"/>
      <c r="AP829" s="79"/>
      <c r="AQ829" s="79"/>
      <c r="AR829" s="79"/>
      <c r="AS829" s="79"/>
      <c r="AT829" s="77"/>
      <c r="AU829" s="79"/>
      <c r="AV829" s="80"/>
    </row>
    <row r="830" ht="15.75" customHeight="1">
      <c r="A830" s="72"/>
      <c r="B830" s="72"/>
      <c r="C830" s="73"/>
      <c r="D830" s="74"/>
      <c r="E830" s="73"/>
      <c r="F830" s="72"/>
      <c r="G830" s="74"/>
      <c r="H830" s="74"/>
      <c r="I830" s="75"/>
      <c r="J830" s="75"/>
      <c r="K830" s="75"/>
      <c r="L830" s="75"/>
      <c r="M830" s="75"/>
      <c r="N830" s="75"/>
      <c r="O830" s="75"/>
      <c r="P830" s="75"/>
      <c r="Q830" s="75"/>
      <c r="R830" s="76"/>
      <c r="S830" s="75"/>
      <c r="T830" s="75"/>
      <c r="U830" s="75"/>
      <c r="V830" s="75"/>
      <c r="W830" s="75"/>
      <c r="X830" s="77"/>
      <c r="Y830" s="75"/>
      <c r="Z830" s="75"/>
      <c r="AA830" s="75"/>
      <c r="AB830" s="75"/>
      <c r="AC830" s="75"/>
      <c r="AD830" s="75"/>
      <c r="AE830" s="75"/>
      <c r="AF830" s="75"/>
      <c r="AG830" s="75"/>
      <c r="AH830" s="75"/>
      <c r="AI830" s="75"/>
      <c r="AJ830" s="75"/>
      <c r="AK830" s="75"/>
      <c r="AL830" s="75"/>
      <c r="AM830" s="78"/>
      <c r="AN830" s="79"/>
      <c r="AO830" s="79"/>
      <c r="AP830" s="79"/>
      <c r="AQ830" s="79"/>
      <c r="AR830" s="79"/>
      <c r="AS830" s="79"/>
      <c r="AT830" s="77"/>
      <c r="AU830" s="79"/>
      <c r="AV830" s="80"/>
    </row>
    <row r="831" ht="15.75" customHeight="1">
      <c r="A831" s="72"/>
      <c r="B831" s="72"/>
      <c r="C831" s="73"/>
      <c r="D831" s="74"/>
      <c r="E831" s="73"/>
      <c r="F831" s="72"/>
      <c r="G831" s="74"/>
      <c r="H831" s="74"/>
      <c r="I831" s="75"/>
      <c r="J831" s="75"/>
      <c r="K831" s="75"/>
      <c r="L831" s="75"/>
      <c r="M831" s="75"/>
      <c r="N831" s="75"/>
      <c r="O831" s="75"/>
      <c r="P831" s="75"/>
      <c r="Q831" s="75"/>
      <c r="R831" s="76"/>
      <c r="S831" s="75"/>
      <c r="T831" s="75"/>
      <c r="U831" s="75"/>
      <c r="V831" s="75"/>
      <c r="W831" s="75"/>
      <c r="X831" s="77"/>
      <c r="Y831" s="75"/>
      <c r="Z831" s="75"/>
      <c r="AA831" s="75"/>
      <c r="AB831" s="75"/>
      <c r="AC831" s="75"/>
      <c r="AD831" s="75"/>
      <c r="AE831" s="75"/>
      <c r="AF831" s="75"/>
      <c r="AG831" s="75"/>
      <c r="AH831" s="75"/>
      <c r="AI831" s="75"/>
      <c r="AJ831" s="75"/>
      <c r="AK831" s="75"/>
      <c r="AL831" s="75"/>
      <c r="AM831" s="78"/>
      <c r="AN831" s="79"/>
      <c r="AO831" s="79"/>
      <c r="AP831" s="79"/>
      <c r="AQ831" s="79"/>
      <c r="AR831" s="79"/>
      <c r="AS831" s="79"/>
      <c r="AT831" s="77"/>
      <c r="AU831" s="79"/>
      <c r="AV831" s="80"/>
    </row>
    <row r="832" ht="15.75" customHeight="1">
      <c r="A832" s="72"/>
      <c r="B832" s="72"/>
      <c r="C832" s="73"/>
      <c r="D832" s="74"/>
      <c r="E832" s="73"/>
      <c r="F832" s="72"/>
      <c r="G832" s="74"/>
      <c r="H832" s="74"/>
      <c r="I832" s="75"/>
      <c r="J832" s="75"/>
      <c r="K832" s="75"/>
      <c r="L832" s="75"/>
      <c r="M832" s="75"/>
      <c r="N832" s="75"/>
      <c r="O832" s="75"/>
      <c r="P832" s="75"/>
      <c r="Q832" s="75"/>
      <c r="R832" s="76"/>
      <c r="S832" s="75"/>
      <c r="T832" s="75"/>
      <c r="U832" s="75"/>
      <c r="V832" s="75"/>
      <c r="W832" s="75"/>
      <c r="X832" s="77"/>
      <c r="Y832" s="75"/>
      <c r="Z832" s="75"/>
      <c r="AA832" s="75"/>
      <c r="AB832" s="75"/>
      <c r="AC832" s="75"/>
      <c r="AD832" s="75"/>
      <c r="AE832" s="75"/>
      <c r="AF832" s="75"/>
      <c r="AG832" s="75"/>
      <c r="AH832" s="75"/>
      <c r="AI832" s="75"/>
      <c r="AJ832" s="75"/>
      <c r="AK832" s="75"/>
      <c r="AL832" s="75"/>
      <c r="AM832" s="78"/>
      <c r="AN832" s="79"/>
      <c r="AO832" s="79"/>
      <c r="AP832" s="79"/>
      <c r="AQ832" s="79"/>
      <c r="AR832" s="79"/>
      <c r="AS832" s="79"/>
      <c r="AT832" s="77"/>
      <c r="AU832" s="79"/>
      <c r="AV832" s="80"/>
    </row>
    <row r="833" ht="15.75" customHeight="1">
      <c r="A833" s="72"/>
      <c r="B833" s="72"/>
      <c r="C833" s="73"/>
      <c r="D833" s="74"/>
      <c r="E833" s="73"/>
      <c r="F833" s="72"/>
      <c r="G833" s="74"/>
      <c r="H833" s="74"/>
      <c r="I833" s="75"/>
      <c r="J833" s="75"/>
      <c r="K833" s="75"/>
      <c r="L833" s="75"/>
      <c r="M833" s="75"/>
      <c r="N833" s="75"/>
      <c r="O833" s="75"/>
      <c r="P833" s="75"/>
      <c r="Q833" s="75"/>
      <c r="R833" s="76"/>
      <c r="S833" s="75"/>
      <c r="T833" s="75"/>
      <c r="U833" s="75"/>
      <c r="V833" s="75"/>
      <c r="W833" s="75"/>
      <c r="X833" s="77"/>
      <c r="Y833" s="75"/>
      <c r="Z833" s="75"/>
      <c r="AA833" s="75"/>
      <c r="AB833" s="75"/>
      <c r="AC833" s="75"/>
      <c r="AD833" s="75"/>
      <c r="AE833" s="75"/>
      <c r="AF833" s="75"/>
      <c r="AG833" s="75"/>
      <c r="AH833" s="75"/>
      <c r="AI833" s="75"/>
      <c r="AJ833" s="75"/>
      <c r="AK833" s="75"/>
      <c r="AL833" s="75"/>
      <c r="AM833" s="78"/>
      <c r="AN833" s="79"/>
      <c r="AO833" s="79"/>
      <c r="AP833" s="79"/>
      <c r="AQ833" s="79"/>
      <c r="AR833" s="79"/>
      <c r="AS833" s="79"/>
      <c r="AT833" s="77"/>
      <c r="AU833" s="79"/>
      <c r="AV833" s="80"/>
    </row>
    <row r="834" ht="15.75" customHeight="1">
      <c r="A834" s="72"/>
      <c r="B834" s="72"/>
      <c r="C834" s="73"/>
      <c r="D834" s="74"/>
      <c r="E834" s="73"/>
      <c r="F834" s="72"/>
      <c r="G834" s="74"/>
      <c r="H834" s="74"/>
      <c r="I834" s="75"/>
      <c r="J834" s="75"/>
      <c r="K834" s="75"/>
      <c r="L834" s="75"/>
      <c r="M834" s="75"/>
      <c r="N834" s="75"/>
      <c r="O834" s="75"/>
      <c r="P834" s="75"/>
      <c r="Q834" s="75"/>
      <c r="R834" s="76"/>
      <c r="S834" s="75"/>
      <c r="T834" s="75"/>
      <c r="U834" s="75"/>
      <c r="V834" s="75"/>
      <c r="W834" s="75"/>
      <c r="X834" s="77"/>
      <c r="Y834" s="75"/>
      <c r="Z834" s="75"/>
      <c r="AA834" s="75"/>
      <c r="AB834" s="75"/>
      <c r="AC834" s="75"/>
      <c r="AD834" s="75"/>
      <c r="AE834" s="75"/>
      <c r="AF834" s="75"/>
      <c r="AG834" s="75"/>
      <c r="AH834" s="75"/>
      <c r="AI834" s="75"/>
      <c r="AJ834" s="75"/>
      <c r="AK834" s="75"/>
      <c r="AL834" s="75"/>
      <c r="AM834" s="78"/>
      <c r="AN834" s="79"/>
      <c r="AO834" s="79"/>
      <c r="AP834" s="79"/>
      <c r="AQ834" s="79"/>
      <c r="AR834" s="79"/>
      <c r="AS834" s="79"/>
      <c r="AT834" s="77"/>
      <c r="AU834" s="79"/>
      <c r="AV834" s="80"/>
    </row>
    <row r="835" ht="15.75" customHeight="1">
      <c r="A835" s="72"/>
      <c r="B835" s="72"/>
      <c r="C835" s="73"/>
      <c r="D835" s="74"/>
      <c r="E835" s="73"/>
      <c r="F835" s="72"/>
      <c r="G835" s="74"/>
      <c r="H835" s="74"/>
      <c r="I835" s="75"/>
      <c r="J835" s="75"/>
      <c r="K835" s="75"/>
      <c r="L835" s="75"/>
      <c r="M835" s="75"/>
      <c r="N835" s="75"/>
      <c r="O835" s="75"/>
      <c r="P835" s="75"/>
      <c r="Q835" s="75"/>
      <c r="R835" s="76"/>
      <c r="S835" s="75"/>
      <c r="T835" s="75"/>
      <c r="U835" s="75"/>
      <c r="V835" s="75"/>
      <c r="W835" s="75"/>
      <c r="X835" s="77"/>
      <c r="Y835" s="75"/>
      <c r="Z835" s="75"/>
      <c r="AA835" s="75"/>
      <c r="AB835" s="75"/>
      <c r="AC835" s="75"/>
      <c r="AD835" s="75"/>
      <c r="AE835" s="75"/>
      <c r="AF835" s="75"/>
      <c r="AG835" s="75"/>
      <c r="AH835" s="75"/>
      <c r="AI835" s="75"/>
      <c r="AJ835" s="75"/>
      <c r="AK835" s="75"/>
      <c r="AL835" s="75"/>
      <c r="AM835" s="78"/>
      <c r="AN835" s="79"/>
      <c r="AO835" s="79"/>
      <c r="AP835" s="79"/>
      <c r="AQ835" s="79"/>
      <c r="AR835" s="79"/>
      <c r="AS835" s="79"/>
      <c r="AT835" s="77"/>
      <c r="AU835" s="79"/>
      <c r="AV835" s="80"/>
    </row>
    <row r="836" ht="15.75" customHeight="1">
      <c r="A836" s="72"/>
      <c r="B836" s="72"/>
      <c r="C836" s="73"/>
      <c r="D836" s="74"/>
      <c r="E836" s="73"/>
      <c r="F836" s="72"/>
      <c r="G836" s="74"/>
      <c r="H836" s="74"/>
      <c r="I836" s="75"/>
      <c r="J836" s="75"/>
      <c r="K836" s="75"/>
      <c r="L836" s="75"/>
      <c r="M836" s="75"/>
      <c r="N836" s="75"/>
      <c r="O836" s="75"/>
      <c r="P836" s="75"/>
      <c r="Q836" s="75"/>
      <c r="R836" s="76"/>
      <c r="S836" s="75"/>
      <c r="T836" s="75"/>
      <c r="U836" s="75"/>
      <c r="V836" s="75"/>
      <c r="W836" s="75"/>
      <c r="X836" s="77"/>
      <c r="Y836" s="75"/>
      <c r="Z836" s="75"/>
      <c r="AA836" s="75"/>
      <c r="AB836" s="75"/>
      <c r="AC836" s="75"/>
      <c r="AD836" s="75"/>
      <c r="AE836" s="75"/>
      <c r="AF836" s="75"/>
      <c r="AG836" s="75"/>
      <c r="AH836" s="75"/>
      <c r="AI836" s="75"/>
      <c r="AJ836" s="75"/>
      <c r="AK836" s="75"/>
      <c r="AL836" s="75"/>
      <c r="AM836" s="78"/>
      <c r="AN836" s="79"/>
      <c r="AO836" s="79"/>
      <c r="AP836" s="79"/>
      <c r="AQ836" s="79"/>
      <c r="AR836" s="79"/>
      <c r="AS836" s="79"/>
      <c r="AT836" s="77"/>
      <c r="AU836" s="79"/>
      <c r="AV836" s="80"/>
    </row>
    <row r="837" ht="15.75" customHeight="1">
      <c r="A837" s="72"/>
      <c r="B837" s="72"/>
      <c r="C837" s="73"/>
      <c r="D837" s="74"/>
      <c r="E837" s="73"/>
      <c r="F837" s="72"/>
      <c r="G837" s="74"/>
      <c r="H837" s="74"/>
      <c r="I837" s="75"/>
      <c r="J837" s="75"/>
      <c r="K837" s="75"/>
      <c r="L837" s="75"/>
      <c r="M837" s="75"/>
      <c r="N837" s="75"/>
      <c r="O837" s="75"/>
      <c r="P837" s="75"/>
      <c r="Q837" s="75"/>
      <c r="R837" s="76"/>
      <c r="S837" s="75"/>
      <c r="T837" s="75"/>
      <c r="U837" s="75"/>
      <c r="V837" s="75"/>
      <c r="W837" s="75"/>
      <c r="X837" s="77"/>
      <c r="Y837" s="75"/>
      <c r="Z837" s="75"/>
      <c r="AA837" s="75"/>
      <c r="AB837" s="75"/>
      <c r="AC837" s="75"/>
      <c r="AD837" s="75"/>
      <c r="AE837" s="75"/>
      <c r="AF837" s="75"/>
      <c r="AG837" s="75"/>
      <c r="AH837" s="75"/>
      <c r="AI837" s="75"/>
      <c r="AJ837" s="75"/>
      <c r="AK837" s="75"/>
      <c r="AL837" s="75"/>
      <c r="AM837" s="78"/>
      <c r="AN837" s="79"/>
      <c r="AO837" s="79"/>
      <c r="AP837" s="79"/>
      <c r="AQ837" s="79"/>
      <c r="AR837" s="79"/>
      <c r="AS837" s="79"/>
      <c r="AT837" s="77"/>
      <c r="AU837" s="79"/>
      <c r="AV837" s="80"/>
    </row>
    <row r="838" ht="15.75" customHeight="1">
      <c r="A838" s="72"/>
      <c r="B838" s="72"/>
      <c r="C838" s="73"/>
      <c r="D838" s="74"/>
      <c r="E838" s="73"/>
      <c r="F838" s="72"/>
      <c r="G838" s="74"/>
      <c r="H838" s="74"/>
      <c r="I838" s="75"/>
      <c r="J838" s="75"/>
      <c r="K838" s="75"/>
      <c r="L838" s="75"/>
      <c r="M838" s="75"/>
      <c r="N838" s="75"/>
      <c r="O838" s="75"/>
      <c r="P838" s="75"/>
      <c r="Q838" s="75"/>
      <c r="R838" s="76"/>
      <c r="S838" s="75"/>
      <c r="T838" s="75"/>
      <c r="U838" s="75"/>
      <c r="V838" s="75"/>
      <c r="W838" s="75"/>
      <c r="X838" s="77"/>
      <c r="Y838" s="75"/>
      <c r="Z838" s="75"/>
      <c r="AA838" s="75"/>
      <c r="AB838" s="75"/>
      <c r="AC838" s="75"/>
      <c r="AD838" s="75"/>
      <c r="AE838" s="75"/>
      <c r="AF838" s="75"/>
      <c r="AG838" s="75"/>
      <c r="AH838" s="75"/>
      <c r="AI838" s="75"/>
      <c r="AJ838" s="75"/>
      <c r="AK838" s="75"/>
      <c r="AL838" s="75"/>
      <c r="AM838" s="78"/>
      <c r="AN838" s="79"/>
      <c r="AO838" s="79"/>
      <c r="AP838" s="79"/>
      <c r="AQ838" s="79"/>
      <c r="AR838" s="79"/>
      <c r="AS838" s="79"/>
      <c r="AT838" s="77"/>
      <c r="AU838" s="79"/>
      <c r="AV838" s="80"/>
    </row>
    <row r="839" ht="15.75" customHeight="1">
      <c r="A839" s="72"/>
      <c r="B839" s="72"/>
      <c r="C839" s="73"/>
      <c r="D839" s="74"/>
      <c r="E839" s="73"/>
      <c r="F839" s="72"/>
      <c r="G839" s="74"/>
      <c r="H839" s="74"/>
      <c r="I839" s="75"/>
      <c r="J839" s="75"/>
      <c r="K839" s="75"/>
      <c r="L839" s="75"/>
      <c r="M839" s="75"/>
      <c r="N839" s="75"/>
      <c r="O839" s="75"/>
      <c r="P839" s="75"/>
      <c r="Q839" s="75"/>
      <c r="R839" s="76"/>
      <c r="S839" s="75"/>
      <c r="T839" s="75"/>
      <c r="U839" s="75"/>
      <c r="V839" s="75"/>
      <c r="W839" s="75"/>
      <c r="X839" s="77"/>
      <c r="Y839" s="75"/>
      <c r="Z839" s="75"/>
      <c r="AA839" s="75"/>
      <c r="AB839" s="75"/>
      <c r="AC839" s="75"/>
      <c r="AD839" s="75"/>
      <c r="AE839" s="75"/>
      <c r="AF839" s="75"/>
      <c r="AG839" s="75"/>
      <c r="AH839" s="75"/>
      <c r="AI839" s="75"/>
      <c r="AJ839" s="75"/>
      <c r="AK839" s="75"/>
      <c r="AL839" s="75"/>
      <c r="AM839" s="78"/>
      <c r="AN839" s="79"/>
      <c r="AO839" s="79"/>
      <c r="AP839" s="79"/>
      <c r="AQ839" s="79"/>
      <c r="AR839" s="79"/>
      <c r="AS839" s="79"/>
      <c r="AT839" s="77"/>
      <c r="AU839" s="79"/>
      <c r="AV839" s="80"/>
    </row>
    <row r="840" ht="15.75" customHeight="1">
      <c r="A840" s="72"/>
      <c r="B840" s="72"/>
      <c r="C840" s="73"/>
      <c r="D840" s="74"/>
      <c r="E840" s="73"/>
      <c r="F840" s="72"/>
      <c r="G840" s="74"/>
      <c r="H840" s="74"/>
      <c r="I840" s="75"/>
      <c r="J840" s="75"/>
      <c r="K840" s="75"/>
      <c r="L840" s="75"/>
      <c r="M840" s="75"/>
      <c r="N840" s="75"/>
      <c r="O840" s="75"/>
      <c r="P840" s="75"/>
      <c r="Q840" s="75"/>
      <c r="R840" s="76"/>
      <c r="S840" s="75"/>
      <c r="T840" s="75"/>
      <c r="U840" s="75"/>
      <c r="V840" s="75"/>
      <c r="W840" s="75"/>
      <c r="X840" s="77"/>
      <c r="Y840" s="75"/>
      <c r="Z840" s="75"/>
      <c r="AA840" s="75"/>
      <c r="AB840" s="75"/>
      <c r="AC840" s="75"/>
      <c r="AD840" s="75"/>
      <c r="AE840" s="75"/>
      <c r="AF840" s="75"/>
      <c r="AG840" s="75"/>
      <c r="AH840" s="75"/>
      <c r="AI840" s="75"/>
      <c r="AJ840" s="75"/>
      <c r="AK840" s="75"/>
      <c r="AL840" s="75"/>
      <c r="AM840" s="78"/>
      <c r="AN840" s="79"/>
      <c r="AO840" s="79"/>
      <c r="AP840" s="79"/>
      <c r="AQ840" s="79"/>
      <c r="AR840" s="79"/>
      <c r="AS840" s="79"/>
      <c r="AT840" s="77"/>
      <c r="AU840" s="79"/>
      <c r="AV840" s="80"/>
    </row>
    <row r="841" ht="15.75" customHeight="1">
      <c r="A841" s="72"/>
      <c r="B841" s="72"/>
      <c r="C841" s="73"/>
      <c r="D841" s="74"/>
      <c r="E841" s="73"/>
      <c r="F841" s="72"/>
      <c r="G841" s="74"/>
      <c r="H841" s="74"/>
      <c r="I841" s="75"/>
      <c r="J841" s="75"/>
      <c r="K841" s="75"/>
      <c r="L841" s="75"/>
      <c r="M841" s="75"/>
      <c r="N841" s="75"/>
      <c r="O841" s="75"/>
      <c r="P841" s="75"/>
      <c r="Q841" s="75"/>
      <c r="R841" s="76"/>
      <c r="S841" s="75"/>
      <c r="T841" s="75"/>
      <c r="U841" s="75"/>
      <c r="V841" s="75"/>
      <c r="W841" s="75"/>
      <c r="X841" s="77"/>
      <c r="Y841" s="75"/>
      <c r="Z841" s="75"/>
      <c r="AA841" s="75"/>
      <c r="AB841" s="75"/>
      <c r="AC841" s="75"/>
      <c r="AD841" s="75"/>
      <c r="AE841" s="75"/>
      <c r="AF841" s="75"/>
      <c r="AG841" s="75"/>
      <c r="AH841" s="75"/>
      <c r="AI841" s="75"/>
      <c r="AJ841" s="75"/>
      <c r="AK841" s="75"/>
      <c r="AL841" s="75"/>
      <c r="AM841" s="78"/>
      <c r="AN841" s="79"/>
      <c r="AO841" s="79"/>
      <c r="AP841" s="79"/>
      <c r="AQ841" s="79"/>
      <c r="AR841" s="79"/>
      <c r="AS841" s="79"/>
      <c r="AT841" s="77"/>
      <c r="AU841" s="79"/>
      <c r="AV841" s="80"/>
    </row>
    <row r="842" ht="15.75" customHeight="1">
      <c r="A842" s="72"/>
      <c r="B842" s="72"/>
      <c r="C842" s="73"/>
      <c r="D842" s="74"/>
      <c r="E842" s="73"/>
      <c r="F842" s="72"/>
      <c r="G842" s="74"/>
      <c r="H842" s="74"/>
      <c r="I842" s="75"/>
      <c r="J842" s="75"/>
      <c r="K842" s="75"/>
      <c r="L842" s="75"/>
      <c r="M842" s="75"/>
      <c r="N842" s="75"/>
      <c r="O842" s="75"/>
      <c r="P842" s="75"/>
      <c r="Q842" s="75"/>
      <c r="R842" s="76"/>
      <c r="S842" s="75"/>
      <c r="T842" s="75"/>
      <c r="U842" s="75"/>
      <c r="V842" s="75"/>
      <c r="W842" s="75"/>
      <c r="X842" s="77"/>
      <c r="Y842" s="75"/>
      <c r="Z842" s="75"/>
      <c r="AA842" s="75"/>
      <c r="AB842" s="75"/>
      <c r="AC842" s="75"/>
      <c r="AD842" s="75"/>
      <c r="AE842" s="75"/>
      <c r="AF842" s="75"/>
      <c r="AG842" s="75"/>
      <c r="AH842" s="75"/>
      <c r="AI842" s="75"/>
      <c r="AJ842" s="75"/>
      <c r="AK842" s="75"/>
      <c r="AL842" s="75"/>
      <c r="AM842" s="78"/>
      <c r="AN842" s="79"/>
      <c r="AO842" s="79"/>
      <c r="AP842" s="79"/>
      <c r="AQ842" s="79"/>
      <c r="AR842" s="79"/>
      <c r="AS842" s="79"/>
      <c r="AT842" s="77"/>
      <c r="AU842" s="79"/>
      <c r="AV842" s="80"/>
    </row>
    <row r="843" ht="15.75" customHeight="1">
      <c r="A843" s="72"/>
      <c r="B843" s="72"/>
      <c r="C843" s="73"/>
      <c r="D843" s="74"/>
      <c r="E843" s="73"/>
      <c r="F843" s="72"/>
      <c r="G843" s="74"/>
      <c r="H843" s="74"/>
      <c r="I843" s="75"/>
      <c r="J843" s="75"/>
      <c r="K843" s="75"/>
      <c r="L843" s="75"/>
      <c r="M843" s="75"/>
      <c r="N843" s="75"/>
      <c r="O843" s="75"/>
      <c r="P843" s="75"/>
      <c r="Q843" s="75"/>
      <c r="R843" s="76"/>
      <c r="S843" s="75"/>
      <c r="T843" s="75"/>
      <c r="U843" s="75"/>
      <c r="V843" s="75"/>
      <c r="W843" s="75"/>
      <c r="X843" s="77"/>
      <c r="Y843" s="75"/>
      <c r="Z843" s="75"/>
      <c r="AA843" s="75"/>
      <c r="AB843" s="75"/>
      <c r="AC843" s="75"/>
      <c r="AD843" s="75"/>
      <c r="AE843" s="75"/>
      <c r="AF843" s="75"/>
      <c r="AG843" s="75"/>
      <c r="AH843" s="75"/>
      <c r="AI843" s="75"/>
      <c r="AJ843" s="75"/>
      <c r="AK843" s="75"/>
      <c r="AL843" s="75"/>
      <c r="AM843" s="78"/>
      <c r="AN843" s="79"/>
      <c r="AO843" s="79"/>
      <c r="AP843" s="79"/>
      <c r="AQ843" s="79"/>
      <c r="AR843" s="79"/>
      <c r="AS843" s="79"/>
      <c r="AT843" s="77"/>
      <c r="AU843" s="79"/>
      <c r="AV843" s="80"/>
    </row>
    <row r="844" ht="15.75" customHeight="1">
      <c r="A844" s="72"/>
      <c r="B844" s="72"/>
      <c r="C844" s="73"/>
      <c r="D844" s="74"/>
      <c r="E844" s="73"/>
      <c r="F844" s="72"/>
      <c r="G844" s="74"/>
      <c r="H844" s="74"/>
      <c r="I844" s="75"/>
      <c r="J844" s="75"/>
      <c r="K844" s="75"/>
      <c r="L844" s="75"/>
      <c r="M844" s="75"/>
      <c r="N844" s="75"/>
      <c r="O844" s="75"/>
      <c r="P844" s="75"/>
      <c r="Q844" s="75"/>
      <c r="R844" s="76"/>
      <c r="S844" s="75"/>
      <c r="T844" s="75"/>
      <c r="U844" s="75"/>
      <c r="V844" s="75"/>
      <c r="W844" s="75"/>
      <c r="X844" s="77"/>
      <c r="Y844" s="75"/>
      <c r="Z844" s="75"/>
      <c r="AA844" s="75"/>
      <c r="AB844" s="75"/>
      <c r="AC844" s="75"/>
      <c r="AD844" s="75"/>
      <c r="AE844" s="75"/>
      <c r="AF844" s="75"/>
      <c r="AG844" s="75"/>
      <c r="AH844" s="75"/>
      <c r="AI844" s="75"/>
      <c r="AJ844" s="75"/>
      <c r="AK844" s="75"/>
      <c r="AL844" s="75"/>
      <c r="AM844" s="78"/>
      <c r="AN844" s="79"/>
      <c r="AO844" s="79"/>
      <c r="AP844" s="79"/>
      <c r="AQ844" s="79"/>
      <c r="AR844" s="79"/>
      <c r="AS844" s="79"/>
      <c r="AT844" s="77"/>
      <c r="AU844" s="79"/>
      <c r="AV844" s="80"/>
    </row>
    <row r="845" ht="15.75" customHeight="1">
      <c r="A845" s="72"/>
      <c r="B845" s="72"/>
      <c r="C845" s="73"/>
      <c r="D845" s="74"/>
      <c r="E845" s="73"/>
      <c r="F845" s="72"/>
      <c r="G845" s="74"/>
      <c r="H845" s="74"/>
      <c r="I845" s="75"/>
      <c r="J845" s="75"/>
      <c r="K845" s="75"/>
      <c r="L845" s="75"/>
      <c r="M845" s="75"/>
      <c r="N845" s="75"/>
      <c r="O845" s="75"/>
      <c r="P845" s="75"/>
      <c r="Q845" s="75"/>
      <c r="R845" s="76"/>
      <c r="S845" s="75"/>
      <c r="T845" s="75"/>
      <c r="U845" s="75"/>
      <c r="V845" s="75"/>
      <c r="W845" s="75"/>
      <c r="X845" s="77"/>
      <c r="Y845" s="75"/>
      <c r="Z845" s="75"/>
      <c r="AA845" s="75"/>
      <c r="AB845" s="75"/>
      <c r="AC845" s="75"/>
      <c r="AD845" s="75"/>
      <c r="AE845" s="75"/>
      <c r="AF845" s="75"/>
      <c r="AG845" s="75"/>
      <c r="AH845" s="75"/>
      <c r="AI845" s="75"/>
      <c r="AJ845" s="75"/>
      <c r="AK845" s="75"/>
      <c r="AL845" s="75"/>
      <c r="AM845" s="78"/>
      <c r="AN845" s="79"/>
      <c r="AO845" s="79"/>
      <c r="AP845" s="79"/>
      <c r="AQ845" s="79"/>
      <c r="AR845" s="79"/>
      <c r="AS845" s="79"/>
      <c r="AT845" s="77"/>
      <c r="AU845" s="79"/>
      <c r="AV845" s="80"/>
    </row>
    <row r="846" ht="15.75" customHeight="1">
      <c r="A846" s="72"/>
      <c r="B846" s="72"/>
      <c r="C846" s="73"/>
      <c r="D846" s="74"/>
      <c r="E846" s="73"/>
      <c r="F846" s="72"/>
      <c r="G846" s="74"/>
      <c r="H846" s="74"/>
      <c r="I846" s="75"/>
      <c r="J846" s="75"/>
      <c r="K846" s="75"/>
      <c r="L846" s="75"/>
      <c r="M846" s="75"/>
      <c r="N846" s="75"/>
      <c r="O846" s="75"/>
      <c r="P846" s="75"/>
      <c r="Q846" s="75"/>
      <c r="R846" s="76"/>
      <c r="S846" s="75"/>
      <c r="T846" s="75"/>
      <c r="U846" s="75"/>
      <c r="V846" s="75"/>
      <c r="W846" s="75"/>
      <c r="X846" s="77"/>
      <c r="Y846" s="75"/>
      <c r="Z846" s="75"/>
      <c r="AA846" s="75"/>
      <c r="AB846" s="75"/>
      <c r="AC846" s="75"/>
      <c r="AD846" s="75"/>
      <c r="AE846" s="75"/>
      <c r="AF846" s="75"/>
      <c r="AG846" s="75"/>
      <c r="AH846" s="75"/>
      <c r="AI846" s="75"/>
      <c r="AJ846" s="75"/>
      <c r="AK846" s="75"/>
      <c r="AL846" s="75"/>
      <c r="AM846" s="78"/>
      <c r="AN846" s="79"/>
      <c r="AO846" s="79"/>
      <c r="AP846" s="79"/>
      <c r="AQ846" s="79"/>
      <c r="AR846" s="79"/>
      <c r="AS846" s="79"/>
      <c r="AT846" s="77"/>
      <c r="AU846" s="79"/>
      <c r="AV846" s="80"/>
    </row>
    <row r="847" ht="15.75" customHeight="1">
      <c r="A847" s="72"/>
      <c r="B847" s="72"/>
      <c r="C847" s="73"/>
      <c r="D847" s="74"/>
      <c r="E847" s="73"/>
      <c r="F847" s="72"/>
      <c r="G847" s="74"/>
      <c r="H847" s="74"/>
      <c r="I847" s="75"/>
      <c r="J847" s="75"/>
      <c r="K847" s="75"/>
      <c r="L847" s="75"/>
      <c r="M847" s="75"/>
      <c r="N847" s="75"/>
      <c r="O847" s="75"/>
      <c r="P847" s="75"/>
      <c r="Q847" s="75"/>
      <c r="R847" s="76"/>
      <c r="S847" s="75"/>
      <c r="T847" s="75"/>
      <c r="U847" s="75"/>
      <c r="V847" s="75"/>
      <c r="W847" s="75"/>
      <c r="X847" s="77"/>
      <c r="Y847" s="75"/>
      <c r="Z847" s="75"/>
      <c r="AA847" s="75"/>
      <c r="AB847" s="75"/>
      <c r="AC847" s="75"/>
      <c r="AD847" s="75"/>
      <c r="AE847" s="75"/>
      <c r="AF847" s="75"/>
      <c r="AG847" s="75"/>
      <c r="AH847" s="75"/>
      <c r="AI847" s="75"/>
      <c r="AJ847" s="75"/>
      <c r="AK847" s="75"/>
      <c r="AL847" s="75"/>
      <c r="AM847" s="78"/>
      <c r="AN847" s="79"/>
      <c r="AO847" s="79"/>
      <c r="AP847" s="79"/>
      <c r="AQ847" s="79"/>
      <c r="AR847" s="79"/>
      <c r="AS847" s="79"/>
      <c r="AT847" s="77"/>
      <c r="AU847" s="79"/>
      <c r="AV847" s="80"/>
    </row>
    <row r="848" ht="15.75" customHeight="1">
      <c r="A848" s="72"/>
      <c r="B848" s="72"/>
      <c r="C848" s="73"/>
      <c r="D848" s="74"/>
      <c r="E848" s="73"/>
      <c r="F848" s="72"/>
      <c r="G848" s="74"/>
      <c r="H848" s="74"/>
      <c r="I848" s="75"/>
      <c r="J848" s="75"/>
      <c r="K848" s="75"/>
      <c r="L848" s="75"/>
      <c r="M848" s="75"/>
      <c r="N848" s="75"/>
      <c r="O848" s="75"/>
      <c r="P848" s="75"/>
      <c r="Q848" s="75"/>
      <c r="R848" s="76"/>
      <c r="S848" s="75"/>
      <c r="T848" s="75"/>
      <c r="U848" s="75"/>
      <c r="V848" s="75"/>
      <c r="W848" s="75"/>
      <c r="X848" s="77"/>
      <c r="Y848" s="75"/>
      <c r="Z848" s="75"/>
      <c r="AA848" s="75"/>
      <c r="AB848" s="75"/>
      <c r="AC848" s="75"/>
      <c r="AD848" s="75"/>
      <c r="AE848" s="75"/>
      <c r="AF848" s="75"/>
      <c r="AG848" s="75"/>
      <c r="AH848" s="75"/>
      <c r="AI848" s="75"/>
      <c r="AJ848" s="75"/>
      <c r="AK848" s="75"/>
      <c r="AL848" s="75"/>
      <c r="AM848" s="78"/>
      <c r="AN848" s="79"/>
      <c r="AO848" s="79"/>
      <c r="AP848" s="79"/>
      <c r="AQ848" s="79"/>
      <c r="AR848" s="79"/>
      <c r="AS848" s="79"/>
      <c r="AT848" s="77"/>
      <c r="AU848" s="79"/>
      <c r="AV848" s="80"/>
    </row>
    <row r="849" ht="15.75" customHeight="1">
      <c r="A849" s="72"/>
      <c r="B849" s="72"/>
      <c r="C849" s="73"/>
      <c r="D849" s="74"/>
      <c r="E849" s="73"/>
      <c r="F849" s="72"/>
      <c r="G849" s="74"/>
      <c r="H849" s="74"/>
      <c r="I849" s="75"/>
      <c r="J849" s="75"/>
      <c r="K849" s="75"/>
      <c r="L849" s="75"/>
      <c r="M849" s="75"/>
      <c r="N849" s="75"/>
      <c r="O849" s="75"/>
      <c r="P849" s="75"/>
      <c r="Q849" s="75"/>
      <c r="R849" s="76"/>
      <c r="S849" s="75"/>
      <c r="T849" s="75"/>
      <c r="U849" s="75"/>
      <c r="V849" s="75"/>
      <c r="W849" s="75"/>
      <c r="X849" s="77"/>
      <c r="Y849" s="75"/>
      <c r="Z849" s="75"/>
      <c r="AA849" s="75"/>
      <c r="AB849" s="75"/>
      <c r="AC849" s="75"/>
      <c r="AD849" s="75"/>
      <c r="AE849" s="75"/>
      <c r="AF849" s="75"/>
      <c r="AG849" s="75"/>
      <c r="AH849" s="75"/>
      <c r="AI849" s="75"/>
      <c r="AJ849" s="75"/>
      <c r="AK849" s="75"/>
      <c r="AL849" s="75"/>
      <c r="AM849" s="78"/>
      <c r="AN849" s="79"/>
      <c r="AO849" s="79"/>
      <c r="AP849" s="79"/>
      <c r="AQ849" s="79"/>
      <c r="AR849" s="79"/>
      <c r="AS849" s="79"/>
      <c r="AT849" s="77"/>
      <c r="AU849" s="79"/>
      <c r="AV849" s="80"/>
    </row>
    <row r="850" ht="15.75" customHeight="1">
      <c r="A850" s="72"/>
      <c r="B850" s="72"/>
      <c r="C850" s="73"/>
      <c r="D850" s="74"/>
      <c r="E850" s="73"/>
      <c r="F850" s="72"/>
      <c r="G850" s="74"/>
      <c r="H850" s="74"/>
      <c r="I850" s="75"/>
      <c r="J850" s="75"/>
      <c r="K850" s="75"/>
      <c r="L850" s="75"/>
      <c r="M850" s="75"/>
      <c r="N850" s="75"/>
      <c r="O850" s="75"/>
      <c r="P850" s="75"/>
      <c r="Q850" s="75"/>
      <c r="R850" s="76"/>
      <c r="S850" s="75"/>
      <c r="T850" s="75"/>
      <c r="U850" s="75"/>
      <c r="V850" s="75"/>
      <c r="W850" s="75"/>
      <c r="X850" s="77"/>
      <c r="Y850" s="75"/>
      <c r="Z850" s="75"/>
      <c r="AA850" s="75"/>
      <c r="AB850" s="75"/>
      <c r="AC850" s="75"/>
      <c r="AD850" s="75"/>
      <c r="AE850" s="75"/>
      <c r="AF850" s="75"/>
      <c r="AG850" s="75"/>
      <c r="AH850" s="75"/>
      <c r="AI850" s="75"/>
      <c r="AJ850" s="75"/>
      <c r="AK850" s="75"/>
      <c r="AL850" s="75"/>
      <c r="AM850" s="78"/>
      <c r="AN850" s="79"/>
      <c r="AO850" s="79"/>
      <c r="AP850" s="79"/>
      <c r="AQ850" s="79"/>
      <c r="AR850" s="79"/>
      <c r="AS850" s="79"/>
      <c r="AT850" s="77"/>
      <c r="AU850" s="79"/>
      <c r="AV850" s="80"/>
    </row>
    <row r="851" ht="15.75" customHeight="1">
      <c r="A851" s="72"/>
      <c r="B851" s="72"/>
      <c r="C851" s="73"/>
      <c r="D851" s="74"/>
      <c r="E851" s="73"/>
      <c r="F851" s="72"/>
      <c r="G851" s="74"/>
      <c r="H851" s="74"/>
      <c r="I851" s="75"/>
      <c r="J851" s="75"/>
      <c r="K851" s="75"/>
      <c r="L851" s="75"/>
      <c r="M851" s="75"/>
      <c r="N851" s="75"/>
      <c r="O851" s="75"/>
      <c r="P851" s="75"/>
      <c r="Q851" s="75"/>
      <c r="R851" s="76"/>
      <c r="S851" s="75"/>
      <c r="T851" s="75"/>
      <c r="U851" s="75"/>
      <c r="V851" s="75"/>
      <c r="W851" s="75"/>
      <c r="X851" s="77"/>
      <c r="Y851" s="75"/>
      <c r="Z851" s="75"/>
      <c r="AA851" s="75"/>
      <c r="AB851" s="75"/>
      <c r="AC851" s="75"/>
      <c r="AD851" s="75"/>
      <c r="AE851" s="75"/>
      <c r="AF851" s="75"/>
      <c r="AG851" s="75"/>
      <c r="AH851" s="75"/>
      <c r="AI851" s="75"/>
      <c r="AJ851" s="75"/>
      <c r="AK851" s="75"/>
      <c r="AL851" s="75"/>
      <c r="AM851" s="78"/>
      <c r="AN851" s="79"/>
      <c r="AO851" s="79"/>
      <c r="AP851" s="79"/>
      <c r="AQ851" s="79"/>
      <c r="AR851" s="79"/>
      <c r="AS851" s="79"/>
      <c r="AT851" s="77"/>
      <c r="AU851" s="79"/>
      <c r="AV851" s="80"/>
    </row>
    <row r="852" ht="15.75" customHeight="1">
      <c r="A852" s="72"/>
      <c r="B852" s="72"/>
      <c r="C852" s="73"/>
      <c r="D852" s="74"/>
      <c r="E852" s="73"/>
      <c r="F852" s="72"/>
      <c r="G852" s="74"/>
      <c r="H852" s="74"/>
      <c r="I852" s="75"/>
      <c r="J852" s="75"/>
      <c r="K852" s="75"/>
      <c r="L852" s="75"/>
      <c r="M852" s="75"/>
      <c r="N852" s="75"/>
      <c r="O852" s="75"/>
      <c r="P852" s="75"/>
      <c r="Q852" s="75"/>
      <c r="R852" s="76"/>
      <c r="S852" s="75"/>
      <c r="T852" s="75"/>
      <c r="U852" s="75"/>
      <c r="V852" s="75"/>
      <c r="W852" s="75"/>
      <c r="X852" s="77"/>
      <c r="Y852" s="75"/>
      <c r="Z852" s="75"/>
      <c r="AA852" s="75"/>
      <c r="AB852" s="75"/>
      <c r="AC852" s="75"/>
      <c r="AD852" s="75"/>
      <c r="AE852" s="75"/>
      <c r="AF852" s="75"/>
      <c r="AG852" s="75"/>
      <c r="AH852" s="75"/>
      <c r="AI852" s="75"/>
      <c r="AJ852" s="75"/>
      <c r="AK852" s="75"/>
      <c r="AL852" s="75"/>
      <c r="AM852" s="78"/>
      <c r="AN852" s="79"/>
      <c r="AO852" s="79"/>
      <c r="AP852" s="79"/>
      <c r="AQ852" s="79"/>
      <c r="AR852" s="79"/>
      <c r="AS852" s="79"/>
      <c r="AT852" s="77"/>
      <c r="AU852" s="79"/>
      <c r="AV852" s="80"/>
    </row>
    <row r="853" ht="15.75" customHeight="1">
      <c r="A853" s="72"/>
      <c r="B853" s="72"/>
      <c r="C853" s="73"/>
      <c r="D853" s="74"/>
      <c r="E853" s="73"/>
      <c r="F853" s="72"/>
      <c r="G853" s="74"/>
      <c r="H853" s="74"/>
      <c r="I853" s="75"/>
      <c r="J853" s="75"/>
      <c r="K853" s="75"/>
      <c r="L853" s="75"/>
      <c r="M853" s="75"/>
      <c r="N853" s="75"/>
      <c r="O853" s="75"/>
      <c r="P853" s="75"/>
      <c r="Q853" s="75"/>
      <c r="R853" s="76"/>
      <c r="S853" s="75"/>
      <c r="T853" s="75"/>
      <c r="U853" s="75"/>
      <c r="V853" s="75"/>
      <c r="W853" s="75"/>
      <c r="X853" s="77"/>
      <c r="Y853" s="75"/>
      <c r="Z853" s="75"/>
      <c r="AA853" s="75"/>
      <c r="AB853" s="75"/>
      <c r="AC853" s="75"/>
      <c r="AD853" s="75"/>
      <c r="AE853" s="75"/>
      <c r="AF853" s="75"/>
      <c r="AG853" s="75"/>
      <c r="AH853" s="75"/>
      <c r="AI853" s="75"/>
      <c r="AJ853" s="75"/>
      <c r="AK853" s="75"/>
      <c r="AL853" s="75"/>
      <c r="AM853" s="78"/>
      <c r="AN853" s="79"/>
      <c r="AO853" s="79"/>
      <c r="AP853" s="79"/>
      <c r="AQ853" s="79"/>
      <c r="AR853" s="79"/>
      <c r="AS853" s="79"/>
      <c r="AT853" s="77"/>
      <c r="AU853" s="79"/>
      <c r="AV853" s="80"/>
    </row>
    <row r="854" ht="15.75" customHeight="1">
      <c r="A854" s="72"/>
      <c r="B854" s="72"/>
      <c r="C854" s="73"/>
      <c r="D854" s="74"/>
      <c r="E854" s="73"/>
      <c r="F854" s="72"/>
      <c r="G854" s="74"/>
      <c r="H854" s="74"/>
      <c r="I854" s="75"/>
      <c r="J854" s="75"/>
      <c r="K854" s="75"/>
      <c r="L854" s="75"/>
      <c r="M854" s="75"/>
      <c r="N854" s="75"/>
      <c r="O854" s="75"/>
      <c r="P854" s="75"/>
      <c r="Q854" s="75"/>
      <c r="R854" s="76"/>
      <c r="S854" s="75"/>
      <c r="T854" s="75"/>
      <c r="U854" s="75"/>
      <c r="V854" s="75"/>
      <c r="W854" s="75"/>
      <c r="X854" s="77"/>
      <c r="Y854" s="75"/>
      <c r="Z854" s="75"/>
      <c r="AA854" s="75"/>
      <c r="AB854" s="75"/>
      <c r="AC854" s="75"/>
      <c r="AD854" s="75"/>
      <c r="AE854" s="75"/>
      <c r="AF854" s="75"/>
      <c r="AG854" s="75"/>
      <c r="AH854" s="75"/>
      <c r="AI854" s="75"/>
      <c r="AJ854" s="75"/>
      <c r="AK854" s="75"/>
      <c r="AL854" s="75"/>
      <c r="AM854" s="78"/>
      <c r="AN854" s="79"/>
      <c r="AO854" s="79"/>
      <c r="AP854" s="79"/>
      <c r="AQ854" s="79"/>
      <c r="AR854" s="79"/>
      <c r="AS854" s="79"/>
      <c r="AT854" s="77"/>
      <c r="AU854" s="79"/>
      <c r="AV854" s="80"/>
    </row>
    <row r="855" ht="15.75" customHeight="1">
      <c r="A855" s="72"/>
      <c r="B855" s="72"/>
      <c r="C855" s="73"/>
      <c r="D855" s="74"/>
      <c r="E855" s="73"/>
      <c r="F855" s="72"/>
      <c r="G855" s="74"/>
      <c r="H855" s="74"/>
      <c r="I855" s="75"/>
      <c r="J855" s="75"/>
      <c r="K855" s="75"/>
      <c r="L855" s="75"/>
      <c r="M855" s="75"/>
      <c r="N855" s="75"/>
      <c r="O855" s="75"/>
      <c r="P855" s="75"/>
      <c r="Q855" s="75"/>
      <c r="R855" s="76"/>
      <c r="S855" s="75"/>
      <c r="T855" s="75"/>
      <c r="U855" s="75"/>
      <c r="V855" s="75"/>
      <c r="W855" s="75"/>
      <c r="X855" s="77"/>
      <c r="Y855" s="75"/>
      <c r="Z855" s="75"/>
      <c r="AA855" s="75"/>
      <c r="AB855" s="75"/>
      <c r="AC855" s="75"/>
      <c r="AD855" s="75"/>
      <c r="AE855" s="75"/>
      <c r="AF855" s="75"/>
      <c r="AG855" s="75"/>
      <c r="AH855" s="75"/>
      <c r="AI855" s="75"/>
      <c r="AJ855" s="75"/>
      <c r="AK855" s="75"/>
      <c r="AL855" s="75"/>
      <c r="AM855" s="78"/>
      <c r="AN855" s="79"/>
      <c r="AO855" s="79"/>
      <c r="AP855" s="79"/>
      <c r="AQ855" s="79"/>
      <c r="AR855" s="79"/>
      <c r="AS855" s="79"/>
      <c r="AT855" s="77"/>
      <c r="AU855" s="79"/>
      <c r="AV855" s="80"/>
    </row>
    <row r="856" ht="15.75" customHeight="1">
      <c r="A856" s="72"/>
      <c r="B856" s="72"/>
      <c r="C856" s="73"/>
      <c r="D856" s="74"/>
      <c r="E856" s="73"/>
      <c r="F856" s="72"/>
      <c r="G856" s="74"/>
      <c r="H856" s="74"/>
      <c r="I856" s="75"/>
      <c r="J856" s="75"/>
      <c r="K856" s="75"/>
      <c r="L856" s="75"/>
      <c r="M856" s="75"/>
      <c r="N856" s="75"/>
      <c r="O856" s="75"/>
      <c r="P856" s="75"/>
      <c r="Q856" s="75"/>
      <c r="R856" s="76"/>
      <c r="S856" s="75"/>
      <c r="T856" s="75"/>
      <c r="U856" s="75"/>
      <c r="V856" s="75"/>
      <c r="W856" s="75"/>
      <c r="X856" s="77"/>
      <c r="Y856" s="75"/>
      <c r="Z856" s="75"/>
      <c r="AA856" s="75"/>
      <c r="AB856" s="75"/>
      <c r="AC856" s="75"/>
      <c r="AD856" s="75"/>
      <c r="AE856" s="75"/>
      <c r="AF856" s="75"/>
      <c r="AG856" s="75"/>
      <c r="AH856" s="75"/>
      <c r="AI856" s="75"/>
      <c r="AJ856" s="75"/>
      <c r="AK856" s="75"/>
      <c r="AL856" s="75"/>
      <c r="AM856" s="78"/>
      <c r="AN856" s="79"/>
      <c r="AO856" s="79"/>
      <c r="AP856" s="79"/>
      <c r="AQ856" s="79"/>
      <c r="AR856" s="79"/>
      <c r="AS856" s="79"/>
      <c r="AT856" s="77"/>
      <c r="AU856" s="79"/>
      <c r="AV856" s="80"/>
    </row>
    <row r="857" ht="15.75" customHeight="1">
      <c r="A857" s="72"/>
      <c r="B857" s="72"/>
      <c r="C857" s="73"/>
      <c r="D857" s="74"/>
      <c r="E857" s="73"/>
      <c r="F857" s="72"/>
      <c r="G857" s="74"/>
      <c r="H857" s="74"/>
      <c r="I857" s="75"/>
      <c r="J857" s="75"/>
      <c r="K857" s="75"/>
      <c r="L857" s="75"/>
      <c r="M857" s="75"/>
      <c r="N857" s="75"/>
      <c r="O857" s="75"/>
      <c r="P857" s="75"/>
      <c r="Q857" s="75"/>
      <c r="R857" s="76"/>
      <c r="S857" s="75"/>
      <c r="T857" s="75"/>
      <c r="U857" s="75"/>
      <c r="V857" s="75"/>
      <c r="W857" s="75"/>
      <c r="X857" s="77"/>
      <c r="Y857" s="75"/>
      <c r="Z857" s="75"/>
      <c r="AA857" s="75"/>
      <c r="AB857" s="75"/>
      <c r="AC857" s="75"/>
      <c r="AD857" s="75"/>
      <c r="AE857" s="75"/>
      <c r="AF857" s="75"/>
      <c r="AG857" s="75"/>
      <c r="AH857" s="75"/>
      <c r="AI857" s="75"/>
      <c r="AJ857" s="75"/>
      <c r="AK857" s="75"/>
      <c r="AL857" s="75"/>
      <c r="AM857" s="78"/>
      <c r="AN857" s="79"/>
      <c r="AO857" s="79"/>
      <c r="AP857" s="79"/>
      <c r="AQ857" s="79"/>
      <c r="AR857" s="79"/>
      <c r="AS857" s="79"/>
      <c r="AT857" s="77"/>
      <c r="AU857" s="79"/>
      <c r="AV857" s="80"/>
    </row>
    <row r="858" ht="15.75" customHeight="1">
      <c r="A858" s="72"/>
      <c r="B858" s="72"/>
      <c r="C858" s="73"/>
      <c r="D858" s="74"/>
      <c r="E858" s="73"/>
      <c r="F858" s="72"/>
      <c r="G858" s="74"/>
      <c r="H858" s="74"/>
      <c r="I858" s="75"/>
      <c r="J858" s="75"/>
      <c r="K858" s="75"/>
      <c r="L858" s="75"/>
      <c r="M858" s="75"/>
      <c r="N858" s="75"/>
      <c r="O858" s="75"/>
      <c r="P858" s="75"/>
      <c r="Q858" s="75"/>
      <c r="R858" s="76"/>
      <c r="S858" s="75"/>
      <c r="T858" s="75"/>
      <c r="U858" s="75"/>
      <c r="V858" s="75"/>
      <c r="W858" s="75"/>
      <c r="X858" s="77"/>
      <c r="Y858" s="75"/>
      <c r="Z858" s="75"/>
      <c r="AA858" s="75"/>
      <c r="AB858" s="75"/>
      <c r="AC858" s="75"/>
      <c r="AD858" s="75"/>
      <c r="AE858" s="75"/>
      <c r="AF858" s="75"/>
      <c r="AG858" s="75"/>
      <c r="AH858" s="75"/>
      <c r="AI858" s="75"/>
      <c r="AJ858" s="75"/>
      <c r="AK858" s="75"/>
      <c r="AL858" s="75"/>
      <c r="AM858" s="78"/>
      <c r="AN858" s="79"/>
      <c r="AO858" s="79"/>
      <c r="AP858" s="79"/>
      <c r="AQ858" s="79"/>
      <c r="AR858" s="79"/>
      <c r="AS858" s="79"/>
      <c r="AT858" s="77"/>
      <c r="AU858" s="79"/>
      <c r="AV858" s="80"/>
    </row>
    <row r="859" ht="15.75" customHeight="1">
      <c r="A859" s="72"/>
      <c r="B859" s="72"/>
      <c r="C859" s="73"/>
      <c r="D859" s="74"/>
      <c r="E859" s="73"/>
      <c r="F859" s="72"/>
      <c r="G859" s="74"/>
      <c r="H859" s="74"/>
      <c r="I859" s="75"/>
      <c r="J859" s="75"/>
      <c r="K859" s="75"/>
      <c r="L859" s="75"/>
      <c r="M859" s="75"/>
      <c r="N859" s="75"/>
      <c r="O859" s="75"/>
      <c r="P859" s="75"/>
      <c r="Q859" s="75"/>
      <c r="R859" s="76"/>
      <c r="S859" s="75"/>
      <c r="T859" s="75"/>
      <c r="U859" s="75"/>
      <c r="V859" s="75"/>
      <c r="W859" s="75"/>
      <c r="X859" s="77"/>
      <c r="Y859" s="75"/>
      <c r="Z859" s="75"/>
      <c r="AA859" s="75"/>
      <c r="AB859" s="75"/>
      <c r="AC859" s="75"/>
      <c r="AD859" s="75"/>
      <c r="AE859" s="75"/>
      <c r="AF859" s="75"/>
      <c r="AG859" s="75"/>
      <c r="AH859" s="75"/>
      <c r="AI859" s="75"/>
      <c r="AJ859" s="75"/>
      <c r="AK859" s="75"/>
      <c r="AL859" s="75"/>
      <c r="AM859" s="78"/>
      <c r="AN859" s="79"/>
      <c r="AO859" s="79"/>
      <c r="AP859" s="79"/>
      <c r="AQ859" s="79"/>
      <c r="AR859" s="79"/>
      <c r="AS859" s="79"/>
      <c r="AT859" s="77"/>
      <c r="AU859" s="79"/>
      <c r="AV859" s="80"/>
    </row>
    <row r="860" ht="15.75" customHeight="1">
      <c r="A860" s="72"/>
      <c r="B860" s="72"/>
      <c r="C860" s="73"/>
      <c r="D860" s="74"/>
      <c r="E860" s="73"/>
      <c r="F860" s="72"/>
      <c r="G860" s="74"/>
      <c r="H860" s="74"/>
      <c r="I860" s="75"/>
      <c r="J860" s="75"/>
      <c r="K860" s="75"/>
      <c r="L860" s="75"/>
      <c r="M860" s="75"/>
      <c r="N860" s="75"/>
      <c r="O860" s="75"/>
      <c r="P860" s="75"/>
      <c r="Q860" s="75"/>
      <c r="R860" s="76"/>
      <c r="S860" s="75"/>
      <c r="T860" s="75"/>
      <c r="U860" s="75"/>
      <c r="V860" s="75"/>
      <c r="W860" s="75"/>
      <c r="X860" s="77"/>
      <c r="Y860" s="75"/>
      <c r="Z860" s="75"/>
      <c r="AA860" s="75"/>
      <c r="AB860" s="75"/>
      <c r="AC860" s="75"/>
      <c r="AD860" s="75"/>
      <c r="AE860" s="75"/>
      <c r="AF860" s="75"/>
      <c r="AG860" s="75"/>
      <c r="AH860" s="75"/>
      <c r="AI860" s="75"/>
      <c r="AJ860" s="75"/>
      <c r="AK860" s="75"/>
      <c r="AL860" s="75"/>
      <c r="AM860" s="78"/>
      <c r="AN860" s="79"/>
      <c r="AO860" s="79"/>
      <c r="AP860" s="79"/>
      <c r="AQ860" s="79"/>
      <c r="AR860" s="79"/>
      <c r="AS860" s="79"/>
      <c r="AT860" s="77"/>
      <c r="AU860" s="79"/>
      <c r="AV860" s="80"/>
    </row>
    <row r="861" ht="15.75" customHeight="1">
      <c r="A861" s="72"/>
      <c r="B861" s="72"/>
      <c r="C861" s="73"/>
      <c r="D861" s="74"/>
      <c r="E861" s="73"/>
      <c r="F861" s="72"/>
      <c r="G861" s="74"/>
      <c r="H861" s="74"/>
      <c r="I861" s="75"/>
      <c r="J861" s="75"/>
      <c r="K861" s="75"/>
      <c r="L861" s="75"/>
      <c r="M861" s="75"/>
      <c r="N861" s="75"/>
      <c r="O861" s="75"/>
      <c r="P861" s="75"/>
      <c r="Q861" s="75"/>
      <c r="R861" s="76"/>
      <c r="S861" s="75"/>
      <c r="T861" s="75"/>
      <c r="U861" s="75"/>
      <c r="V861" s="75"/>
      <c r="W861" s="75"/>
      <c r="X861" s="77"/>
      <c r="Y861" s="75"/>
      <c r="Z861" s="75"/>
      <c r="AA861" s="75"/>
      <c r="AB861" s="75"/>
      <c r="AC861" s="75"/>
      <c r="AD861" s="75"/>
      <c r="AE861" s="75"/>
      <c r="AF861" s="75"/>
      <c r="AG861" s="75"/>
      <c r="AH861" s="75"/>
      <c r="AI861" s="75"/>
      <c r="AJ861" s="75"/>
      <c r="AK861" s="75"/>
      <c r="AL861" s="75"/>
      <c r="AM861" s="78"/>
      <c r="AN861" s="79"/>
      <c r="AO861" s="79"/>
      <c r="AP861" s="79"/>
      <c r="AQ861" s="79"/>
      <c r="AR861" s="79"/>
      <c r="AS861" s="79"/>
      <c r="AT861" s="77"/>
      <c r="AU861" s="79"/>
      <c r="AV861" s="80"/>
    </row>
    <row r="862" ht="15.75" customHeight="1">
      <c r="A862" s="72"/>
      <c r="B862" s="72"/>
      <c r="C862" s="73"/>
      <c r="D862" s="74"/>
      <c r="E862" s="73"/>
      <c r="F862" s="72"/>
      <c r="G862" s="74"/>
      <c r="H862" s="74"/>
      <c r="I862" s="75"/>
      <c r="J862" s="75"/>
      <c r="K862" s="75"/>
      <c r="L862" s="75"/>
      <c r="M862" s="75"/>
      <c r="N862" s="75"/>
      <c r="O862" s="75"/>
      <c r="P862" s="75"/>
      <c r="Q862" s="75"/>
      <c r="R862" s="76"/>
      <c r="S862" s="75"/>
      <c r="T862" s="75"/>
      <c r="U862" s="75"/>
      <c r="V862" s="75"/>
      <c r="W862" s="75"/>
      <c r="X862" s="77"/>
      <c r="Y862" s="75"/>
      <c r="Z862" s="75"/>
      <c r="AA862" s="75"/>
      <c r="AB862" s="75"/>
      <c r="AC862" s="75"/>
      <c r="AD862" s="75"/>
      <c r="AE862" s="75"/>
      <c r="AF862" s="75"/>
      <c r="AG862" s="75"/>
      <c r="AH862" s="75"/>
      <c r="AI862" s="75"/>
      <c r="AJ862" s="75"/>
      <c r="AK862" s="75"/>
      <c r="AL862" s="75"/>
      <c r="AM862" s="78"/>
      <c r="AN862" s="79"/>
      <c r="AO862" s="79"/>
      <c r="AP862" s="79"/>
      <c r="AQ862" s="79"/>
      <c r="AR862" s="79"/>
      <c r="AS862" s="79"/>
      <c r="AT862" s="77"/>
      <c r="AU862" s="79"/>
      <c r="AV862" s="80"/>
    </row>
    <row r="863" ht="15.75" customHeight="1">
      <c r="A863" s="72"/>
      <c r="B863" s="72"/>
      <c r="C863" s="73"/>
      <c r="D863" s="74"/>
      <c r="E863" s="73"/>
      <c r="F863" s="72"/>
      <c r="G863" s="74"/>
      <c r="H863" s="74"/>
      <c r="I863" s="75"/>
      <c r="J863" s="75"/>
      <c r="K863" s="75"/>
      <c r="L863" s="75"/>
      <c r="M863" s="75"/>
      <c r="N863" s="75"/>
      <c r="O863" s="75"/>
      <c r="P863" s="75"/>
      <c r="Q863" s="75"/>
      <c r="R863" s="76"/>
      <c r="S863" s="75"/>
      <c r="T863" s="75"/>
      <c r="U863" s="75"/>
      <c r="V863" s="75"/>
      <c r="W863" s="75"/>
      <c r="X863" s="77"/>
      <c r="Y863" s="75"/>
      <c r="Z863" s="75"/>
      <c r="AA863" s="75"/>
      <c r="AB863" s="75"/>
      <c r="AC863" s="75"/>
      <c r="AD863" s="75"/>
      <c r="AE863" s="75"/>
      <c r="AF863" s="75"/>
      <c r="AG863" s="75"/>
      <c r="AH863" s="75"/>
      <c r="AI863" s="75"/>
      <c r="AJ863" s="75"/>
      <c r="AK863" s="75"/>
      <c r="AL863" s="75"/>
      <c r="AM863" s="78"/>
      <c r="AN863" s="79"/>
      <c r="AO863" s="79"/>
      <c r="AP863" s="79"/>
      <c r="AQ863" s="79"/>
      <c r="AR863" s="79"/>
      <c r="AS863" s="79"/>
      <c r="AT863" s="77"/>
      <c r="AU863" s="79"/>
      <c r="AV863" s="80"/>
    </row>
    <row r="864" ht="15.75" customHeight="1">
      <c r="A864" s="72"/>
      <c r="B864" s="72"/>
      <c r="C864" s="73"/>
      <c r="D864" s="74"/>
      <c r="E864" s="73"/>
      <c r="F864" s="72"/>
      <c r="G864" s="74"/>
      <c r="H864" s="74"/>
      <c r="I864" s="75"/>
      <c r="J864" s="75"/>
      <c r="K864" s="75"/>
      <c r="L864" s="75"/>
      <c r="M864" s="75"/>
      <c r="N864" s="75"/>
      <c r="O864" s="75"/>
      <c r="P864" s="75"/>
      <c r="Q864" s="75"/>
      <c r="R864" s="76"/>
      <c r="S864" s="75"/>
      <c r="T864" s="75"/>
      <c r="U864" s="75"/>
      <c r="V864" s="75"/>
      <c r="W864" s="75"/>
      <c r="X864" s="77"/>
      <c r="Y864" s="75"/>
      <c r="Z864" s="75"/>
      <c r="AA864" s="75"/>
      <c r="AB864" s="75"/>
      <c r="AC864" s="75"/>
      <c r="AD864" s="75"/>
      <c r="AE864" s="75"/>
      <c r="AF864" s="75"/>
      <c r="AG864" s="75"/>
      <c r="AH864" s="75"/>
      <c r="AI864" s="75"/>
      <c r="AJ864" s="75"/>
      <c r="AK864" s="75"/>
      <c r="AL864" s="75"/>
      <c r="AM864" s="78"/>
      <c r="AN864" s="79"/>
      <c r="AO864" s="79"/>
      <c r="AP864" s="79"/>
      <c r="AQ864" s="79"/>
      <c r="AR864" s="79"/>
      <c r="AS864" s="79"/>
      <c r="AT864" s="77"/>
      <c r="AU864" s="79"/>
      <c r="AV864" s="80"/>
    </row>
    <row r="865" ht="15.75" customHeight="1">
      <c r="A865" s="72"/>
      <c r="B865" s="72"/>
      <c r="C865" s="73"/>
      <c r="D865" s="74"/>
      <c r="E865" s="73"/>
      <c r="F865" s="72"/>
      <c r="G865" s="74"/>
      <c r="H865" s="74"/>
      <c r="I865" s="75"/>
      <c r="J865" s="75"/>
      <c r="K865" s="75"/>
      <c r="L865" s="75"/>
      <c r="M865" s="75"/>
      <c r="N865" s="75"/>
      <c r="O865" s="75"/>
      <c r="P865" s="75"/>
      <c r="Q865" s="75"/>
      <c r="R865" s="76"/>
      <c r="S865" s="75"/>
      <c r="T865" s="75"/>
      <c r="U865" s="75"/>
      <c r="V865" s="75"/>
      <c r="W865" s="75"/>
      <c r="X865" s="77"/>
      <c r="Y865" s="75"/>
      <c r="Z865" s="75"/>
      <c r="AA865" s="75"/>
      <c r="AB865" s="75"/>
      <c r="AC865" s="75"/>
      <c r="AD865" s="75"/>
      <c r="AE865" s="75"/>
      <c r="AF865" s="75"/>
      <c r="AG865" s="75"/>
      <c r="AH865" s="75"/>
      <c r="AI865" s="75"/>
      <c r="AJ865" s="75"/>
      <c r="AK865" s="75"/>
      <c r="AL865" s="75"/>
      <c r="AM865" s="78"/>
      <c r="AN865" s="79"/>
      <c r="AO865" s="79"/>
      <c r="AP865" s="79"/>
      <c r="AQ865" s="79"/>
      <c r="AR865" s="79"/>
      <c r="AS865" s="79"/>
      <c r="AT865" s="77"/>
      <c r="AU865" s="79"/>
      <c r="AV865" s="80"/>
    </row>
    <row r="866" ht="15.75" customHeight="1">
      <c r="A866" s="72"/>
      <c r="B866" s="72"/>
      <c r="C866" s="73"/>
      <c r="D866" s="74"/>
      <c r="E866" s="73"/>
      <c r="F866" s="72"/>
      <c r="G866" s="74"/>
      <c r="H866" s="74"/>
      <c r="I866" s="75"/>
      <c r="J866" s="75"/>
      <c r="K866" s="75"/>
      <c r="L866" s="75"/>
      <c r="M866" s="75"/>
      <c r="N866" s="75"/>
      <c r="O866" s="75"/>
      <c r="P866" s="75"/>
      <c r="Q866" s="75"/>
      <c r="R866" s="76"/>
      <c r="S866" s="75"/>
      <c r="T866" s="75"/>
      <c r="U866" s="75"/>
      <c r="V866" s="75"/>
      <c r="W866" s="75"/>
      <c r="X866" s="77"/>
      <c r="Y866" s="75"/>
      <c r="Z866" s="75"/>
      <c r="AA866" s="75"/>
      <c r="AB866" s="75"/>
      <c r="AC866" s="75"/>
      <c r="AD866" s="75"/>
      <c r="AE866" s="75"/>
      <c r="AF866" s="75"/>
      <c r="AG866" s="75"/>
      <c r="AH866" s="75"/>
      <c r="AI866" s="75"/>
      <c r="AJ866" s="75"/>
      <c r="AK866" s="75"/>
      <c r="AL866" s="75"/>
      <c r="AM866" s="78"/>
      <c r="AN866" s="79"/>
      <c r="AO866" s="79"/>
      <c r="AP866" s="79"/>
      <c r="AQ866" s="79"/>
      <c r="AR866" s="79"/>
      <c r="AS866" s="79"/>
      <c r="AT866" s="77"/>
      <c r="AU866" s="79"/>
      <c r="AV866" s="80"/>
    </row>
    <row r="867" ht="15.75" customHeight="1">
      <c r="A867" s="72"/>
      <c r="B867" s="72"/>
      <c r="C867" s="73"/>
      <c r="D867" s="74"/>
      <c r="E867" s="73"/>
      <c r="F867" s="72"/>
      <c r="G867" s="74"/>
      <c r="H867" s="74"/>
      <c r="I867" s="75"/>
      <c r="J867" s="75"/>
      <c r="K867" s="75"/>
      <c r="L867" s="75"/>
      <c r="M867" s="75"/>
      <c r="N867" s="75"/>
      <c r="O867" s="75"/>
      <c r="P867" s="75"/>
      <c r="Q867" s="75"/>
      <c r="R867" s="76"/>
      <c r="S867" s="75"/>
      <c r="T867" s="75"/>
      <c r="U867" s="75"/>
      <c r="V867" s="75"/>
      <c r="W867" s="75"/>
      <c r="X867" s="77"/>
      <c r="Y867" s="75"/>
      <c r="Z867" s="75"/>
      <c r="AA867" s="75"/>
      <c r="AB867" s="75"/>
      <c r="AC867" s="75"/>
      <c r="AD867" s="75"/>
      <c r="AE867" s="75"/>
      <c r="AF867" s="75"/>
      <c r="AG867" s="75"/>
      <c r="AH867" s="75"/>
      <c r="AI867" s="75"/>
      <c r="AJ867" s="75"/>
      <c r="AK867" s="75"/>
      <c r="AL867" s="75"/>
      <c r="AM867" s="78"/>
      <c r="AN867" s="79"/>
      <c r="AO867" s="79"/>
      <c r="AP867" s="79"/>
      <c r="AQ867" s="79"/>
      <c r="AR867" s="79"/>
      <c r="AS867" s="79"/>
      <c r="AT867" s="77"/>
      <c r="AU867" s="79"/>
      <c r="AV867" s="80"/>
    </row>
    <row r="868" ht="15.75" customHeight="1">
      <c r="A868" s="72"/>
      <c r="B868" s="72"/>
      <c r="C868" s="73"/>
      <c r="D868" s="74"/>
      <c r="E868" s="73"/>
      <c r="F868" s="72"/>
      <c r="G868" s="74"/>
      <c r="H868" s="74"/>
      <c r="I868" s="75"/>
      <c r="J868" s="75"/>
      <c r="K868" s="75"/>
      <c r="L868" s="75"/>
      <c r="M868" s="75"/>
      <c r="N868" s="75"/>
      <c r="O868" s="75"/>
      <c r="P868" s="75"/>
      <c r="Q868" s="75"/>
      <c r="R868" s="76"/>
      <c r="S868" s="75"/>
      <c r="T868" s="75"/>
      <c r="U868" s="75"/>
      <c r="V868" s="75"/>
      <c r="W868" s="75"/>
      <c r="X868" s="77"/>
      <c r="Y868" s="75"/>
      <c r="Z868" s="75"/>
      <c r="AA868" s="75"/>
      <c r="AB868" s="75"/>
      <c r="AC868" s="75"/>
      <c r="AD868" s="75"/>
      <c r="AE868" s="75"/>
      <c r="AF868" s="75"/>
      <c r="AG868" s="75"/>
      <c r="AH868" s="75"/>
      <c r="AI868" s="75"/>
      <c r="AJ868" s="75"/>
      <c r="AK868" s="75"/>
      <c r="AL868" s="75"/>
      <c r="AM868" s="78"/>
      <c r="AN868" s="79"/>
      <c r="AO868" s="79"/>
      <c r="AP868" s="79"/>
      <c r="AQ868" s="79"/>
      <c r="AR868" s="79"/>
      <c r="AS868" s="79"/>
      <c r="AT868" s="77"/>
      <c r="AU868" s="79"/>
      <c r="AV868" s="80"/>
    </row>
    <row r="869" ht="15.75" customHeight="1">
      <c r="A869" s="72"/>
      <c r="B869" s="72"/>
      <c r="C869" s="73"/>
      <c r="D869" s="74"/>
      <c r="E869" s="73"/>
      <c r="F869" s="72"/>
      <c r="G869" s="74"/>
      <c r="H869" s="74"/>
      <c r="I869" s="75"/>
      <c r="J869" s="75"/>
      <c r="K869" s="75"/>
      <c r="L869" s="75"/>
      <c r="M869" s="75"/>
      <c r="N869" s="75"/>
      <c r="O869" s="75"/>
      <c r="P869" s="75"/>
      <c r="Q869" s="75"/>
      <c r="R869" s="76"/>
      <c r="S869" s="75"/>
      <c r="T869" s="75"/>
      <c r="U869" s="75"/>
      <c r="V869" s="75"/>
      <c r="W869" s="75"/>
      <c r="X869" s="77"/>
      <c r="Y869" s="75"/>
      <c r="Z869" s="75"/>
      <c r="AA869" s="75"/>
      <c r="AB869" s="75"/>
      <c r="AC869" s="75"/>
      <c r="AD869" s="75"/>
      <c r="AE869" s="75"/>
      <c r="AF869" s="75"/>
      <c r="AG869" s="75"/>
      <c r="AH869" s="75"/>
      <c r="AI869" s="75"/>
      <c r="AJ869" s="75"/>
      <c r="AK869" s="75"/>
      <c r="AL869" s="75"/>
      <c r="AM869" s="78"/>
      <c r="AN869" s="79"/>
      <c r="AO869" s="79"/>
      <c r="AP869" s="79"/>
      <c r="AQ869" s="79"/>
      <c r="AR869" s="79"/>
      <c r="AS869" s="79"/>
      <c r="AT869" s="77"/>
      <c r="AU869" s="79"/>
      <c r="AV869" s="80"/>
    </row>
    <row r="870" ht="15.75" customHeight="1">
      <c r="A870" s="72"/>
      <c r="B870" s="72"/>
      <c r="C870" s="73"/>
      <c r="D870" s="74"/>
      <c r="E870" s="73"/>
      <c r="F870" s="72"/>
      <c r="G870" s="74"/>
      <c r="H870" s="74"/>
      <c r="I870" s="75"/>
      <c r="J870" s="75"/>
      <c r="K870" s="75"/>
      <c r="L870" s="75"/>
      <c r="M870" s="75"/>
      <c r="N870" s="75"/>
      <c r="O870" s="75"/>
      <c r="P870" s="75"/>
      <c r="Q870" s="75"/>
      <c r="R870" s="76"/>
      <c r="S870" s="75"/>
      <c r="T870" s="75"/>
      <c r="U870" s="75"/>
      <c r="V870" s="75"/>
      <c r="W870" s="75"/>
      <c r="X870" s="77"/>
      <c r="Y870" s="75"/>
      <c r="Z870" s="75"/>
      <c r="AA870" s="75"/>
      <c r="AB870" s="75"/>
      <c r="AC870" s="75"/>
      <c r="AD870" s="75"/>
      <c r="AE870" s="75"/>
      <c r="AF870" s="75"/>
      <c r="AG870" s="75"/>
      <c r="AH870" s="75"/>
      <c r="AI870" s="75"/>
      <c r="AJ870" s="75"/>
      <c r="AK870" s="75"/>
      <c r="AL870" s="75"/>
      <c r="AM870" s="78"/>
      <c r="AN870" s="79"/>
      <c r="AO870" s="79"/>
      <c r="AP870" s="79"/>
      <c r="AQ870" s="79"/>
      <c r="AR870" s="79"/>
      <c r="AS870" s="79"/>
      <c r="AT870" s="77"/>
      <c r="AU870" s="79"/>
      <c r="AV870" s="80"/>
    </row>
    <row r="871" ht="15.75" customHeight="1">
      <c r="A871" s="72"/>
      <c r="B871" s="72"/>
      <c r="C871" s="73"/>
      <c r="D871" s="74"/>
      <c r="E871" s="73"/>
      <c r="F871" s="72"/>
      <c r="G871" s="74"/>
      <c r="H871" s="74"/>
      <c r="I871" s="75"/>
      <c r="J871" s="75"/>
      <c r="K871" s="75"/>
      <c r="L871" s="75"/>
      <c r="M871" s="75"/>
      <c r="N871" s="75"/>
      <c r="O871" s="75"/>
      <c r="P871" s="75"/>
      <c r="Q871" s="75"/>
      <c r="R871" s="76"/>
      <c r="S871" s="75"/>
      <c r="T871" s="75"/>
      <c r="U871" s="75"/>
      <c r="V871" s="75"/>
      <c r="W871" s="75"/>
      <c r="X871" s="77"/>
      <c r="Y871" s="75"/>
      <c r="Z871" s="75"/>
      <c r="AA871" s="75"/>
      <c r="AB871" s="75"/>
      <c r="AC871" s="75"/>
      <c r="AD871" s="75"/>
      <c r="AE871" s="75"/>
      <c r="AF871" s="75"/>
      <c r="AG871" s="75"/>
      <c r="AH871" s="75"/>
      <c r="AI871" s="75"/>
      <c r="AJ871" s="75"/>
      <c r="AK871" s="75"/>
      <c r="AL871" s="75"/>
      <c r="AM871" s="78"/>
      <c r="AN871" s="79"/>
      <c r="AO871" s="79"/>
      <c r="AP871" s="79"/>
      <c r="AQ871" s="79"/>
      <c r="AR871" s="79"/>
      <c r="AS871" s="79"/>
      <c r="AT871" s="77"/>
      <c r="AU871" s="79"/>
      <c r="AV871" s="80"/>
    </row>
    <row r="872" ht="15.75" customHeight="1">
      <c r="A872" s="72"/>
      <c r="B872" s="72"/>
      <c r="C872" s="73"/>
      <c r="D872" s="74"/>
      <c r="E872" s="73"/>
      <c r="F872" s="72"/>
      <c r="G872" s="74"/>
      <c r="H872" s="74"/>
      <c r="I872" s="75"/>
      <c r="J872" s="75"/>
      <c r="K872" s="75"/>
      <c r="L872" s="75"/>
      <c r="M872" s="75"/>
      <c r="N872" s="75"/>
      <c r="O872" s="75"/>
      <c r="P872" s="75"/>
      <c r="Q872" s="75"/>
      <c r="R872" s="76"/>
      <c r="S872" s="75"/>
      <c r="T872" s="75"/>
      <c r="U872" s="75"/>
      <c r="V872" s="75"/>
      <c r="W872" s="75"/>
      <c r="X872" s="77"/>
      <c r="Y872" s="75"/>
      <c r="Z872" s="75"/>
      <c r="AA872" s="75"/>
      <c r="AB872" s="75"/>
      <c r="AC872" s="75"/>
      <c r="AD872" s="75"/>
      <c r="AE872" s="75"/>
      <c r="AF872" s="75"/>
      <c r="AG872" s="75"/>
      <c r="AH872" s="75"/>
      <c r="AI872" s="75"/>
      <c r="AJ872" s="75"/>
      <c r="AK872" s="75"/>
      <c r="AL872" s="75"/>
      <c r="AM872" s="78"/>
      <c r="AN872" s="79"/>
      <c r="AO872" s="79"/>
      <c r="AP872" s="79"/>
      <c r="AQ872" s="79"/>
      <c r="AR872" s="79"/>
      <c r="AS872" s="79"/>
      <c r="AT872" s="77"/>
      <c r="AU872" s="79"/>
      <c r="AV872" s="80"/>
    </row>
    <row r="873" ht="15.75" customHeight="1">
      <c r="A873" s="72"/>
      <c r="B873" s="72"/>
      <c r="C873" s="73"/>
      <c r="D873" s="74"/>
      <c r="E873" s="73"/>
      <c r="F873" s="72"/>
      <c r="G873" s="74"/>
      <c r="H873" s="74"/>
      <c r="I873" s="75"/>
      <c r="J873" s="75"/>
      <c r="K873" s="75"/>
      <c r="L873" s="75"/>
      <c r="M873" s="75"/>
      <c r="N873" s="75"/>
      <c r="O873" s="75"/>
      <c r="P873" s="75"/>
      <c r="Q873" s="75"/>
      <c r="R873" s="76"/>
      <c r="S873" s="75"/>
      <c r="T873" s="75"/>
      <c r="U873" s="75"/>
      <c r="V873" s="75"/>
      <c r="W873" s="75"/>
      <c r="X873" s="77"/>
      <c r="Y873" s="75"/>
      <c r="Z873" s="75"/>
      <c r="AA873" s="75"/>
      <c r="AB873" s="75"/>
      <c r="AC873" s="75"/>
      <c r="AD873" s="75"/>
      <c r="AE873" s="75"/>
      <c r="AF873" s="75"/>
      <c r="AG873" s="75"/>
      <c r="AH873" s="75"/>
      <c r="AI873" s="75"/>
      <c r="AJ873" s="75"/>
      <c r="AK873" s="75"/>
      <c r="AL873" s="75"/>
      <c r="AM873" s="78"/>
      <c r="AN873" s="79"/>
      <c r="AO873" s="79"/>
      <c r="AP873" s="79"/>
      <c r="AQ873" s="79"/>
      <c r="AR873" s="79"/>
      <c r="AS873" s="79"/>
      <c r="AT873" s="77"/>
      <c r="AU873" s="79"/>
      <c r="AV873" s="80"/>
    </row>
    <row r="874" ht="15.75" customHeight="1">
      <c r="A874" s="72"/>
      <c r="B874" s="72"/>
      <c r="C874" s="73"/>
      <c r="D874" s="74"/>
      <c r="E874" s="73"/>
      <c r="F874" s="72"/>
      <c r="G874" s="74"/>
      <c r="H874" s="74"/>
      <c r="I874" s="75"/>
      <c r="J874" s="75"/>
      <c r="K874" s="75"/>
      <c r="L874" s="75"/>
      <c r="M874" s="75"/>
      <c r="N874" s="75"/>
      <c r="O874" s="75"/>
      <c r="P874" s="75"/>
      <c r="Q874" s="75"/>
      <c r="R874" s="76"/>
      <c r="S874" s="75"/>
      <c r="T874" s="75"/>
      <c r="U874" s="75"/>
      <c r="V874" s="75"/>
      <c r="W874" s="75"/>
      <c r="X874" s="77"/>
      <c r="Y874" s="75"/>
      <c r="Z874" s="75"/>
      <c r="AA874" s="75"/>
      <c r="AB874" s="75"/>
      <c r="AC874" s="75"/>
      <c r="AD874" s="75"/>
      <c r="AE874" s="75"/>
      <c r="AF874" s="75"/>
      <c r="AG874" s="75"/>
      <c r="AH874" s="75"/>
      <c r="AI874" s="75"/>
      <c r="AJ874" s="75"/>
      <c r="AK874" s="75"/>
      <c r="AL874" s="75"/>
      <c r="AM874" s="78"/>
      <c r="AN874" s="79"/>
      <c r="AO874" s="79"/>
      <c r="AP874" s="79"/>
      <c r="AQ874" s="79"/>
      <c r="AR874" s="79"/>
      <c r="AS874" s="79"/>
      <c r="AT874" s="77"/>
      <c r="AU874" s="79"/>
      <c r="AV874" s="80"/>
    </row>
    <row r="875" ht="15.75" customHeight="1">
      <c r="A875" s="72"/>
      <c r="B875" s="72"/>
      <c r="C875" s="73"/>
      <c r="D875" s="74"/>
      <c r="E875" s="73"/>
      <c r="F875" s="72"/>
      <c r="G875" s="74"/>
      <c r="H875" s="74"/>
      <c r="I875" s="75"/>
      <c r="J875" s="75"/>
      <c r="K875" s="75"/>
      <c r="L875" s="75"/>
      <c r="M875" s="75"/>
      <c r="N875" s="75"/>
      <c r="O875" s="75"/>
      <c r="P875" s="75"/>
      <c r="Q875" s="75"/>
      <c r="R875" s="76"/>
      <c r="S875" s="75"/>
      <c r="T875" s="75"/>
      <c r="U875" s="75"/>
      <c r="V875" s="75"/>
      <c r="W875" s="75"/>
      <c r="X875" s="77"/>
      <c r="Y875" s="75"/>
      <c r="Z875" s="75"/>
      <c r="AA875" s="75"/>
      <c r="AB875" s="75"/>
      <c r="AC875" s="75"/>
      <c r="AD875" s="75"/>
      <c r="AE875" s="75"/>
      <c r="AF875" s="75"/>
      <c r="AG875" s="75"/>
      <c r="AH875" s="75"/>
      <c r="AI875" s="75"/>
      <c r="AJ875" s="75"/>
      <c r="AK875" s="75"/>
      <c r="AL875" s="75"/>
      <c r="AM875" s="78"/>
      <c r="AN875" s="79"/>
      <c r="AO875" s="79"/>
      <c r="AP875" s="79"/>
      <c r="AQ875" s="79"/>
      <c r="AR875" s="79"/>
      <c r="AS875" s="79"/>
      <c r="AT875" s="77"/>
      <c r="AU875" s="79"/>
      <c r="AV875" s="80"/>
    </row>
    <row r="876" ht="15.75" customHeight="1">
      <c r="A876" s="72"/>
      <c r="B876" s="72"/>
      <c r="C876" s="73"/>
      <c r="D876" s="74"/>
      <c r="E876" s="73"/>
      <c r="F876" s="72"/>
      <c r="G876" s="74"/>
      <c r="H876" s="74"/>
      <c r="I876" s="75"/>
      <c r="J876" s="75"/>
      <c r="K876" s="75"/>
      <c r="L876" s="75"/>
      <c r="M876" s="75"/>
      <c r="N876" s="75"/>
      <c r="O876" s="75"/>
      <c r="P876" s="75"/>
      <c r="Q876" s="75"/>
      <c r="R876" s="76"/>
      <c r="S876" s="75"/>
      <c r="T876" s="75"/>
      <c r="U876" s="75"/>
      <c r="V876" s="75"/>
      <c r="W876" s="75"/>
      <c r="X876" s="77"/>
      <c r="Y876" s="75"/>
      <c r="Z876" s="75"/>
      <c r="AA876" s="75"/>
      <c r="AB876" s="75"/>
      <c r="AC876" s="75"/>
      <c r="AD876" s="75"/>
      <c r="AE876" s="75"/>
      <c r="AF876" s="75"/>
      <c r="AG876" s="75"/>
      <c r="AH876" s="75"/>
      <c r="AI876" s="75"/>
      <c r="AJ876" s="75"/>
      <c r="AK876" s="75"/>
      <c r="AL876" s="75"/>
      <c r="AM876" s="78"/>
      <c r="AN876" s="79"/>
      <c r="AO876" s="79"/>
      <c r="AP876" s="79"/>
      <c r="AQ876" s="79"/>
      <c r="AR876" s="79"/>
      <c r="AS876" s="79"/>
      <c r="AT876" s="77"/>
      <c r="AU876" s="79"/>
      <c r="AV876" s="80"/>
    </row>
    <row r="877" ht="15.75" customHeight="1">
      <c r="A877" s="72"/>
      <c r="B877" s="72"/>
      <c r="C877" s="73"/>
      <c r="D877" s="74"/>
      <c r="E877" s="73"/>
      <c r="F877" s="72"/>
      <c r="G877" s="74"/>
      <c r="H877" s="74"/>
      <c r="I877" s="75"/>
      <c r="J877" s="75"/>
      <c r="K877" s="75"/>
      <c r="L877" s="75"/>
      <c r="M877" s="75"/>
      <c r="N877" s="75"/>
      <c r="O877" s="75"/>
      <c r="P877" s="75"/>
      <c r="Q877" s="75"/>
      <c r="R877" s="76"/>
      <c r="S877" s="75"/>
      <c r="T877" s="75"/>
      <c r="U877" s="75"/>
      <c r="V877" s="75"/>
      <c r="W877" s="75"/>
      <c r="X877" s="77"/>
      <c r="Y877" s="75"/>
      <c r="Z877" s="75"/>
      <c r="AA877" s="75"/>
      <c r="AB877" s="75"/>
      <c r="AC877" s="75"/>
      <c r="AD877" s="75"/>
      <c r="AE877" s="75"/>
      <c r="AF877" s="75"/>
      <c r="AG877" s="75"/>
      <c r="AH877" s="75"/>
      <c r="AI877" s="75"/>
      <c r="AJ877" s="75"/>
      <c r="AK877" s="75"/>
      <c r="AL877" s="75"/>
      <c r="AM877" s="78"/>
      <c r="AN877" s="79"/>
      <c r="AO877" s="79"/>
      <c r="AP877" s="79"/>
      <c r="AQ877" s="79"/>
      <c r="AR877" s="79"/>
      <c r="AS877" s="79"/>
      <c r="AT877" s="77"/>
      <c r="AU877" s="79"/>
      <c r="AV877" s="80"/>
    </row>
    <row r="878" ht="15.75" customHeight="1">
      <c r="A878" s="72"/>
      <c r="B878" s="72"/>
      <c r="C878" s="73"/>
      <c r="D878" s="74"/>
      <c r="E878" s="73"/>
      <c r="F878" s="72"/>
      <c r="G878" s="74"/>
      <c r="H878" s="74"/>
      <c r="I878" s="75"/>
      <c r="J878" s="75"/>
      <c r="K878" s="75"/>
      <c r="L878" s="75"/>
      <c r="M878" s="75"/>
      <c r="N878" s="75"/>
      <c r="O878" s="75"/>
      <c r="P878" s="75"/>
      <c r="Q878" s="75"/>
      <c r="R878" s="76"/>
      <c r="S878" s="75"/>
      <c r="T878" s="75"/>
      <c r="U878" s="75"/>
      <c r="V878" s="75"/>
      <c r="W878" s="75"/>
      <c r="X878" s="77"/>
      <c r="Y878" s="75"/>
      <c r="Z878" s="75"/>
      <c r="AA878" s="75"/>
      <c r="AB878" s="75"/>
      <c r="AC878" s="75"/>
      <c r="AD878" s="75"/>
      <c r="AE878" s="75"/>
      <c r="AF878" s="75"/>
      <c r="AG878" s="75"/>
      <c r="AH878" s="75"/>
      <c r="AI878" s="75"/>
      <c r="AJ878" s="75"/>
      <c r="AK878" s="75"/>
      <c r="AL878" s="75"/>
      <c r="AM878" s="78"/>
      <c r="AN878" s="79"/>
      <c r="AO878" s="79"/>
      <c r="AP878" s="79"/>
      <c r="AQ878" s="79"/>
      <c r="AR878" s="79"/>
      <c r="AS878" s="79"/>
      <c r="AT878" s="77"/>
      <c r="AU878" s="79"/>
      <c r="AV878" s="80"/>
    </row>
    <row r="879" ht="15.75" customHeight="1">
      <c r="A879" s="72"/>
      <c r="B879" s="72"/>
      <c r="C879" s="73"/>
      <c r="D879" s="74"/>
      <c r="E879" s="73"/>
      <c r="F879" s="72"/>
      <c r="G879" s="74"/>
      <c r="H879" s="74"/>
      <c r="I879" s="75"/>
      <c r="J879" s="75"/>
      <c r="K879" s="75"/>
      <c r="L879" s="75"/>
      <c r="M879" s="75"/>
      <c r="N879" s="75"/>
      <c r="O879" s="75"/>
      <c r="P879" s="75"/>
      <c r="Q879" s="75"/>
      <c r="R879" s="76"/>
      <c r="S879" s="75"/>
      <c r="T879" s="75"/>
      <c r="U879" s="75"/>
      <c r="V879" s="75"/>
      <c r="W879" s="75"/>
      <c r="X879" s="77"/>
      <c r="Y879" s="75"/>
      <c r="Z879" s="75"/>
      <c r="AA879" s="75"/>
      <c r="AB879" s="75"/>
      <c r="AC879" s="75"/>
      <c r="AD879" s="75"/>
      <c r="AE879" s="75"/>
      <c r="AF879" s="75"/>
      <c r="AG879" s="75"/>
      <c r="AH879" s="75"/>
      <c r="AI879" s="75"/>
      <c r="AJ879" s="75"/>
      <c r="AK879" s="75"/>
      <c r="AL879" s="75"/>
      <c r="AM879" s="78"/>
      <c r="AN879" s="79"/>
      <c r="AO879" s="79"/>
      <c r="AP879" s="79"/>
      <c r="AQ879" s="79"/>
      <c r="AR879" s="79"/>
      <c r="AS879" s="79"/>
      <c r="AT879" s="77"/>
      <c r="AU879" s="79"/>
      <c r="AV879" s="80"/>
    </row>
    <row r="880" ht="15.75" customHeight="1">
      <c r="A880" s="72"/>
      <c r="B880" s="72"/>
      <c r="C880" s="73"/>
      <c r="D880" s="74"/>
      <c r="E880" s="73"/>
      <c r="F880" s="72"/>
      <c r="G880" s="74"/>
      <c r="H880" s="74"/>
      <c r="I880" s="75"/>
      <c r="J880" s="75"/>
      <c r="K880" s="75"/>
      <c r="L880" s="75"/>
      <c r="M880" s="75"/>
      <c r="N880" s="75"/>
      <c r="O880" s="75"/>
      <c r="P880" s="75"/>
      <c r="Q880" s="75"/>
      <c r="R880" s="76"/>
      <c r="S880" s="75"/>
      <c r="T880" s="75"/>
      <c r="U880" s="75"/>
      <c r="V880" s="75"/>
      <c r="W880" s="75"/>
      <c r="X880" s="77"/>
      <c r="Y880" s="75"/>
      <c r="Z880" s="75"/>
      <c r="AA880" s="75"/>
      <c r="AB880" s="75"/>
      <c r="AC880" s="75"/>
      <c r="AD880" s="75"/>
      <c r="AE880" s="75"/>
      <c r="AF880" s="75"/>
      <c r="AG880" s="75"/>
      <c r="AH880" s="75"/>
      <c r="AI880" s="75"/>
      <c r="AJ880" s="75"/>
      <c r="AK880" s="75"/>
      <c r="AL880" s="75"/>
      <c r="AM880" s="78"/>
      <c r="AN880" s="79"/>
      <c r="AO880" s="79"/>
      <c r="AP880" s="79"/>
      <c r="AQ880" s="79"/>
      <c r="AR880" s="79"/>
      <c r="AS880" s="79"/>
      <c r="AT880" s="77"/>
      <c r="AU880" s="79"/>
      <c r="AV880" s="80"/>
    </row>
    <row r="881" ht="15.75" customHeight="1">
      <c r="A881" s="72"/>
      <c r="B881" s="72"/>
      <c r="C881" s="73"/>
      <c r="D881" s="74"/>
      <c r="E881" s="73"/>
      <c r="F881" s="72"/>
      <c r="G881" s="74"/>
      <c r="H881" s="74"/>
      <c r="I881" s="75"/>
      <c r="J881" s="75"/>
      <c r="K881" s="75"/>
      <c r="L881" s="75"/>
      <c r="M881" s="75"/>
      <c r="N881" s="75"/>
      <c r="O881" s="75"/>
      <c r="P881" s="75"/>
      <c r="Q881" s="75"/>
      <c r="R881" s="76"/>
      <c r="S881" s="75"/>
      <c r="T881" s="75"/>
      <c r="U881" s="75"/>
      <c r="V881" s="75"/>
      <c r="W881" s="75"/>
      <c r="X881" s="77"/>
      <c r="Y881" s="75"/>
      <c r="Z881" s="75"/>
      <c r="AA881" s="75"/>
      <c r="AB881" s="75"/>
      <c r="AC881" s="75"/>
      <c r="AD881" s="75"/>
      <c r="AE881" s="75"/>
      <c r="AF881" s="75"/>
      <c r="AG881" s="75"/>
      <c r="AH881" s="75"/>
      <c r="AI881" s="75"/>
      <c r="AJ881" s="75"/>
      <c r="AK881" s="75"/>
      <c r="AL881" s="75"/>
      <c r="AM881" s="78"/>
      <c r="AN881" s="79"/>
      <c r="AO881" s="79"/>
      <c r="AP881" s="79"/>
      <c r="AQ881" s="79"/>
      <c r="AR881" s="79"/>
      <c r="AS881" s="79"/>
      <c r="AT881" s="77"/>
      <c r="AU881" s="79"/>
      <c r="AV881" s="80"/>
    </row>
    <row r="882" ht="15.75" customHeight="1">
      <c r="A882" s="72"/>
      <c r="B882" s="72"/>
      <c r="C882" s="73"/>
      <c r="D882" s="74"/>
      <c r="E882" s="73"/>
      <c r="F882" s="72"/>
      <c r="G882" s="74"/>
      <c r="H882" s="74"/>
      <c r="I882" s="75"/>
      <c r="J882" s="75"/>
      <c r="K882" s="75"/>
      <c r="L882" s="75"/>
      <c r="M882" s="75"/>
      <c r="N882" s="75"/>
      <c r="O882" s="75"/>
      <c r="P882" s="75"/>
      <c r="Q882" s="75"/>
      <c r="R882" s="76"/>
      <c r="S882" s="75"/>
      <c r="T882" s="75"/>
      <c r="U882" s="75"/>
      <c r="V882" s="75"/>
      <c r="W882" s="75"/>
      <c r="X882" s="77"/>
      <c r="Y882" s="75"/>
      <c r="Z882" s="75"/>
      <c r="AA882" s="75"/>
      <c r="AB882" s="75"/>
      <c r="AC882" s="75"/>
      <c r="AD882" s="75"/>
      <c r="AE882" s="75"/>
      <c r="AF882" s="75"/>
      <c r="AG882" s="75"/>
      <c r="AH882" s="75"/>
      <c r="AI882" s="75"/>
      <c r="AJ882" s="75"/>
      <c r="AK882" s="75"/>
      <c r="AL882" s="75"/>
      <c r="AM882" s="78"/>
      <c r="AN882" s="79"/>
      <c r="AO882" s="79"/>
      <c r="AP882" s="79"/>
      <c r="AQ882" s="79"/>
      <c r="AR882" s="79"/>
      <c r="AS882" s="79"/>
      <c r="AT882" s="77"/>
      <c r="AU882" s="79"/>
      <c r="AV882" s="80"/>
    </row>
    <row r="883" ht="15.75" customHeight="1">
      <c r="A883" s="72"/>
      <c r="B883" s="72"/>
      <c r="C883" s="73"/>
      <c r="D883" s="74"/>
      <c r="E883" s="73"/>
      <c r="F883" s="72"/>
      <c r="G883" s="74"/>
      <c r="H883" s="74"/>
      <c r="I883" s="75"/>
      <c r="J883" s="75"/>
      <c r="K883" s="75"/>
      <c r="L883" s="75"/>
      <c r="M883" s="75"/>
      <c r="N883" s="75"/>
      <c r="O883" s="75"/>
      <c r="P883" s="75"/>
      <c r="Q883" s="75"/>
      <c r="R883" s="76"/>
      <c r="S883" s="75"/>
      <c r="T883" s="75"/>
      <c r="U883" s="75"/>
      <c r="V883" s="75"/>
      <c r="W883" s="75"/>
      <c r="X883" s="77"/>
      <c r="Y883" s="75"/>
      <c r="Z883" s="75"/>
      <c r="AA883" s="75"/>
      <c r="AB883" s="75"/>
      <c r="AC883" s="75"/>
      <c r="AD883" s="75"/>
      <c r="AE883" s="75"/>
      <c r="AF883" s="75"/>
      <c r="AG883" s="75"/>
      <c r="AH883" s="75"/>
      <c r="AI883" s="75"/>
      <c r="AJ883" s="75"/>
      <c r="AK883" s="75"/>
      <c r="AL883" s="75"/>
      <c r="AM883" s="78"/>
      <c r="AN883" s="79"/>
      <c r="AO883" s="79"/>
      <c r="AP883" s="79"/>
      <c r="AQ883" s="79"/>
      <c r="AR883" s="79"/>
      <c r="AS883" s="79"/>
      <c r="AT883" s="77"/>
      <c r="AU883" s="79"/>
      <c r="AV883" s="80"/>
    </row>
    <row r="884" ht="15.75" customHeight="1">
      <c r="A884" s="72"/>
      <c r="B884" s="72"/>
      <c r="C884" s="73"/>
      <c r="D884" s="74"/>
      <c r="E884" s="73"/>
      <c r="F884" s="72"/>
      <c r="G884" s="74"/>
      <c r="H884" s="74"/>
      <c r="I884" s="75"/>
      <c r="J884" s="75"/>
      <c r="K884" s="75"/>
      <c r="L884" s="75"/>
      <c r="M884" s="75"/>
      <c r="N884" s="75"/>
      <c r="O884" s="75"/>
      <c r="P884" s="75"/>
      <c r="Q884" s="75"/>
      <c r="R884" s="76"/>
      <c r="S884" s="75"/>
      <c r="T884" s="75"/>
      <c r="U884" s="75"/>
      <c r="V884" s="75"/>
      <c r="W884" s="75"/>
      <c r="X884" s="77"/>
      <c r="Y884" s="75"/>
      <c r="Z884" s="75"/>
      <c r="AA884" s="75"/>
      <c r="AB884" s="75"/>
      <c r="AC884" s="75"/>
      <c r="AD884" s="75"/>
      <c r="AE884" s="75"/>
      <c r="AF884" s="75"/>
      <c r="AG884" s="75"/>
      <c r="AH884" s="75"/>
      <c r="AI884" s="75"/>
      <c r="AJ884" s="75"/>
      <c r="AK884" s="75"/>
      <c r="AL884" s="75"/>
      <c r="AM884" s="78"/>
      <c r="AN884" s="79"/>
      <c r="AO884" s="79"/>
      <c r="AP884" s="79"/>
      <c r="AQ884" s="79"/>
      <c r="AR884" s="79"/>
      <c r="AS884" s="79"/>
      <c r="AT884" s="77"/>
      <c r="AU884" s="79"/>
      <c r="AV884" s="80"/>
    </row>
    <row r="885" ht="15.75" customHeight="1">
      <c r="A885" s="72"/>
      <c r="B885" s="72"/>
      <c r="C885" s="73"/>
      <c r="D885" s="74"/>
      <c r="E885" s="73"/>
      <c r="F885" s="72"/>
      <c r="G885" s="74"/>
      <c r="H885" s="74"/>
      <c r="I885" s="75"/>
      <c r="J885" s="75"/>
      <c r="K885" s="75"/>
      <c r="L885" s="75"/>
      <c r="M885" s="75"/>
      <c r="N885" s="75"/>
      <c r="O885" s="75"/>
      <c r="P885" s="75"/>
      <c r="Q885" s="75"/>
      <c r="R885" s="76"/>
      <c r="S885" s="75"/>
      <c r="T885" s="75"/>
      <c r="U885" s="75"/>
      <c r="V885" s="75"/>
      <c r="W885" s="75"/>
      <c r="X885" s="77"/>
      <c r="Y885" s="75"/>
      <c r="Z885" s="75"/>
      <c r="AA885" s="75"/>
      <c r="AB885" s="75"/>
      <c r="AC885" s="75"/>
      <c r="AD885" s="75"/>
      <c r="AE885" s="75"/>
      <c r="AF885" s="75"/>
      <c r="AG885" s="75"/>
      <c r="AH885" s="75"/>
      <c r="AI885" s="75"/>
      <c r="AJ885" s="75"/>
      <c r="AK885" s="75"/>
      <c r="AL885" s="75"/>
      <c r="AM885" s="78"/>
      <c r="AN885" s="79"/>
      <c r="AO885" s="79"/>
      <c r="AP885" s="79"/>
      <c r="AQ885" s="79"/>
      <c r="AR885" s="79"/>
      <c r="AS885" s="79"/>
      <c r="AT885" s="77"/>
      <c r="AU885" s="79"/>
      <c r="AV885" s="80"/>
    </row>
    <row r="886" ht="15.75" customHeight="1">
      <c r="A886" s="72"/>
      <c r="B886" s="72"/>
      <c r="C886" s="73"/>
      <c r="D886" s="74"/>
      <c r="E886" s="73"/>
      <c r="F886" s="72"/>
      <c r="G886" s="74"/>
      <c r="H886" s="74"/>
      <c r="I886" s="75"/>
      <c r="J886" s="75"/>
      <c r="K886" s="75"/>
      <c r="L886" s="75"/>
      <c r="M886" s="75"/>
      <c r="N886" s="75"/>
      <c r="O886" s="75"/>
      <c r="P886" s="75"/>
      <c r="Q886" s="75"/>
      <c r="R886" s="76"/>
      <c r="S886" s="75"/>
      <c r="T886" s="75"/>
      <c r="U886" s="75"/>
      <c r="V886" s="75"/>
      <c r="W886" s="75"/>
      <c r="X886" s="77"/>
      <c r="Y886" s="75"/>
      <c r="Z886" s="75"/>
      <c r="AA886" s="75"/>
      <c r="AB886" s="75"/>
      <c r="AC886" s="75"/>
      <c r="AD886" s="75"/>
      <c r="AE886" s="75"/>
      <c r="AF886" s="75"/>
      <c r="AG886" s="75"/>
      <c r="AH886" s="75"/>
      <c r="AI886" s="75"/>
      <c r="AJ886" s="75"/>
      <c r="AK886" s="75"/>
      <c r="AL886" s="75"/>
      <c r="AM886" s="78"/>
      <c r="AN886" s="79"/>
      <c r="AO886" s="79"/>
      <c r="AP886" s="79"/>
      <c r="AQ886" s="79"/>
      <c r="AR886" s="79"/>
      <c r="AS886" s="79"/>
      <c r="AT886" s="77"/>
      <c r="AU886" s="79"/>
      <c r="AV886" s="80"/>
    </row>
    <row r="887" ht="15.75" customHeight="1">
      <c r="A887" s="72"/>
      <c r="B887" s="72"/>
      <c r="C887" s="73"/>
      <c r="D887" s="74"/>
      <c r="E887" s="73"/>
      <c r="F887" s="72"/>
      <c r="G887" s="74"/>
      <c r="H887" s="74"/>
      <c r="I887" s="75"/>
      <c r="J887" s="75"/>
      <c r="K887" s="75"/>
      <c r="L887" s="75"/>
      <c r="M887" s="75"/>
      <c r="N887" s="75"/>
      <c r="O887" s="75"/>
      <c r="P887" s="75"/>
      <c r="Q887" s="75"/>
      <c r="R887" s="76"/>
      <c r="S887" s="75"/>
      <c r="T887" s="75"/>
      <c r="U887" s="75"/>
      <c r="V887" s="75"/>
      <c r="W887" s="75"/>
      <c r="X887" s="77"/>
      <c r="Y887" s="75"/>
      <c r="Z887" s="75"/>
      <c r="AA887" s="75"/>
      <c r="AB887" s="75"/>
      <c r="AC887" s="75"/>
      <c r="AD887" s="75"/>
      <c r="AE887" s="75"/>
      <c r="AF887" s="75"/>
      <c r="AG887" s="75"/>
      <c r="AH887" s="75"/>
      <c r="AI887" s="75"/>
      <c r="AJ887" s="75"/>
      <c r="AK887" s="75"/>
      <c r="AL887" s="75"/>
      <c r="AM887" s="78"/>
      <c r="AN887" s="79"/>
      <c r="AO887" s="79"/>
      <c r="AP887" s="79"/>
      <c r="AQ887" s="79"/>
      <c r="AR887" s="79"/>
      <c r="AS887" s="79"/>
      <c r="AT887" s="77"/>
      <c r="AU887" s="79"/>
      <c r="AV887" s="80"/>
    </row>
    <row r="888" ht="15.75" customHeight="1">
      <c r="A888" s="72"/>
      <c r="B888" s="72"/>
      <c r="C888" s="73"/>
      <c r="D888" s="74"/>
      <c r="E888" s="73"/>
      <c r="F888" s="72"/>
      <c r="G888" s="74"/>
      <c r="H888" s="74"/>
      <c r="I888" s="75"/>
      <c r="J888" s="75"/>
      <c r="K888" s="75"/>
      <c r="L888" s="75"/>
      <c r="M888" s="75"/>
      <c r="N888" s="75"/>
      <c r="O888" s="75"/>
      <c r="P888" s="75"/>
      <c r="Q888" s="75"/>
      <c r="R888" s="76"/>
      <c r="S888" s="75"/>
      <c r="T888" s="75"/>
      <c r="U888" s="75"/>
      <c r="V888" s="75"/>
      <c r="W888" s="75"/>
      <c r="X888" s="77"/>
      <c r="Y888" s="75"/>
      <c r="Z888" s="75"/>
      <c r="AA888" s="75"/>
      <c r="AB888" s="75"/>
      <c r="AC888" s="75"/>
      <c r="AD888" s="75"/>
      <c r="AE888" s="75"/>
      <c r="AF888" s="75"/>
      <c r="AG888" s="75"/>
      <c r="AH888" s="75"/>
      <c r="AI888" s="75"/>
      <c r="AJ888" s="75"/>
      <c r="AK888" s="75"/>
      <c r="AL888" s="75"/>
      <c r="AM888" s="78"/>
      <c r="AN888" s="79"/>
      <c r="AO888" s="79"/>
      <c r="AP888" s="79"/>
      <c r="AQ888" s="79"/>
      <c r="AR888" s="79"/>
      <c r="AS888" s="79"/>
      <c r="AT888" s="77"/>
      <c r="AU888" s="79"/>
      <c r="AV888" s="80"/>
    </row>
    <row r="889" ht="15.75" customHeight="1">
      <c r="A889" s="72"/>
      <c r="B889" s="72"/>
      <c r="C889" s="73"/>
      <c r="D889" s="74"/>
      <c r="E889" s="73"/>
      <c r="F889" s="72"/>
      <c r="G889" s="74"/>
      <c r="H889" s="74"/>
      <c r="I889" s="75"/>
      <c r="J889" s="75"/>
      <c r="K889" s="75"/>
      <c r="L889" s="75"/>
      <c r="M889" s="75"/>
      <c r="N889" s="75"/>
      <c r="O889" s="75"/>
      <c r="P889" s="75"/>
      <c r="Q889" s="75"/>
      <c r="R889" s="76"/>
      <c r="S889" s="75"/>
      <c r="T889" s="75"/>
      <c r="U889" s="75"/>
      <c r="V889" s="75"/>
      <c r="W889" s="75"/>
      <c r="X889" s="77"/>
      <c r="Y889" s="75"/>
      <c r="Z889" s="75"/>
      <c r="AA889" s="75"/>
      <c r="AB889" s="75"/>
      <c r="AC889" s="75"/>
      <c r="AD889" s="75"/>
      <c r="AE889" s="75"/>
      <c r="AF889" s="75"/>
      <c r="AG889" s="75"/>
      <c r="AH889" s="75"/>
      <c r="AI889" s="75"/>
      <c r="AJ889" s="75"/>
      <c r="AK889" s="75"/>
      <c r="AL889" s="75"/>
      <c r="AM889" s="78"/>
      <c r="AN889" s="79"/>
      <c r="AO889" s="79"/>
      <c r="AP889" s="79"/>
      <c r="AQ889" s="79"/>
      <c r="AR889" s="79"/>
      <c r="AS889" s="79"/>
      <c r="AT889" s="77"/>
      <c r="AU889" s="79"/>
      <c r="AV889" s="80"/>
    </row>
    <row r="890" ht="15.75" customHeight="1">
      <c r="A890" s="72"/>
      <c r="B890" s="72"/>
      <c r="C890" s="73"/>
      <c r="D890" s="74"/>
      <c r="E890" s="73"/>
      <c r="F890" s="72"/>
      <c r="G890" s="74"/>
      <c r="H890" s="74"/>
      <c r="I890" s="75"/>
      <c r="J890" s="75"/>
      <c r="K890" s="75"/>
      <c r="L890" s="75"/>
      <c r="M890" s="75"/>
      <c r="N890" s="75"/>
      <c r="O890" s="75"/>
      <c r="P890" s="75"/>
      <c r="Q890" s="75"/>
      <c r="R890" s="76"/>
      <c r="S890" s="75"/>
      <c r="T890" s="75"/>
      <c r="U890" s="75"/>
      <c r="V890" s="75"/>
      <c r="W890" s="75"/>
      <c r="X890" s="77"/>
      <c r="Y890" s="75"/>
      <c r="Z890" s="75"/>
      <c r="AA890" s="75"/>
      <c r="AB890" s="75"/>
      <c r="AC890" s="75"/>
      <c r="AD890" s="75"/>
      <c r="AE890" s="75"/>
      <c r="AF890" s="75"/>
      <c r="AG890" s="75"/>
      <c r="AH890" s="75"/>
      <c r="AI890" s="75"/>
      <c r="AJ890" s="75"/>
      <c r="AK890" s="75"/>
      <c r="AL890" s="75"/>
      <c r="AM890" s="78"/>
      <c r="AN890" s="79"/>
      <c r="AO890" s="79"/>
      <c r="AP890" s="79"/>
      <c r="AQ890" s="79"/>
      <c r="AR890" s="79"/>
      <c r="AS890" s="79"/>
      <c r="AT890" s="77"/>
      <c r="AU890" s="79"/>
      <c r="AV890" s="80"/>
    </row>
    <row r="891" ht="15.75" customHeight="1">
      <c r="A891" s="72"/>
      <c r="B891" s="72"/>
      <c r="C891" s="73"/>
      <c r="D891" s="74"/>
      <c r="E891" s="73"/>
      <c r="F891" s="72"/>
      <c r="G891" s="74"/>
      <c r="H891" s="74"/>
      <c r="I891" s="75"/>
      <c r="J891" s="75"/>
      <c r="K891" s="75"/>
      <c r="L891" s="75"/>
      <c r="M891" s="75"/>
      <c r="N891" s="75"/>
      <c r="O891" s="75"/>
      <c r="P891" s="75"/>
      <c r="Q891" s="75"/>
      <c r="R891" s="76"/>
      <c r="S891" s="75"/>
      <c r="T891" s="75"/>
      <c r="U891" s="75"/>
      <c r="V891" s="75"/>
      <c r="W891" s="75"/>
      <c r="X891" s="77"/>
      <c r="Y891" s="75"/>
      <c r="Z891" s="75"/>
      <c r="AA891" s="75"/>
      <c r="AB891" s="75"/>
      <c r="AC891" s="75"/>
      <c r="AD891" s="75"/>
      <c r="AE891" s="75"/>
      <c r="AF891" s="75"/>
      <c r="AG891" s="75"/>
      <c r="AH891" s="75"/>
      <c r="AI891" s="75"/>
      <c r="AJ891" s="75"/>
      <c r="AK891" s="75"/>
      <c r="AL891" s="75"/>
      <c r="AM891" s="78"/>
      <c r="AN891" s="79"/>
      <c r="AO891" s="79"/>
      <c r="AP891" s="79"/>
      <c r="AQ891" s="79"/>
      <c r="AR891" s="79"/>
      <c r="AS891" s="79"/>
      <c r="AT891" s="77"/>
      <c r="AU891" s="79"/>
      <c r="AV891" s="80"/>
    </row>
    <row r="892" ht="15.75" customHeight="1">
      <c r="A892" s="72"/>
      <c r="B892" s="72"/>
      <c r="C892" s="73"/>
      <c r="D892" s="74"/>
      <c r="E892" s="73"/>
      <c r="F892" s="72"/>
      <c r="G892" s="74"/>
      <c r="H892" s="74"/>
      <c r="I892" s="75"/>
      <c r="J892" s="75"/>
      <c r="K892" s="75"/>
      <c r="L892" s="75"/>
      <c r="M892" s="75"/>
      <c r="N892" s="75"/>
      <c r="O892" s="75"/>
      <c r="P892" s="75"/>
      <c r="Q892" s="75"/>
      <c r="R892" s="76"/>
      <c r="S892" s="75"/>
      <c r="T892" s="75"/>
      <c r="U892" s="75"/>
      <c r="V892" s="75"/>
      <c r="W892" s="75"/>
      <c r="X892" s="77"/>
      <c r="Y892" s="75"/>
      <c r="Z892" s="75"/>
      <c r="AA892" s="75"/>
      <c r="AB892" s="75"/>
      <c r="AC892" s="75"/>
      <c r="AD892" s="75"/>
      <c r="AE892" s="75"/>
      <c r="AF892" s="75"/>
      <c r="AG892" s="75"/>
      <c r="AH892" s="75"/>
      <c r="AI892" s="75"/>
      <c r="AJ892" s="75"/>
      <c r="AK892" s="75"/>
      <c r="AL892" s="75"/>
      <c r="AM892" s="78"/>
      <c r="AN892" s="79"/>
      <c r="AO892" s="79"/>
      <c r="AP892" s="79"/>
      <c r="AQ892" s="79"/>
      <c r="AR892" s="79"/>
      <c r="AS892" s="79"/>
      <c r="AT892" s="77"/>
      <c r="AU892" s="79"/>
      <c r="AV892" s="80"/>
    </row>
    <row r="893" ht="15.75" customHeight="1">
      <c r="A893" s="72"/>
      <c r="B893" s="72"/>
      <c r="C893" s="73"/>
      <c r="D893" s="74"/>
      <c r="E893" s="73"/>
      <c r="F893" s="72"/>
      <c r="G893" s="74"/>
      <c r="H893" s="74"/>
      <c r="I893" s="75"/>
      <c r="J893" s="75"/>
      <c r="K893" s="75"/>
      <c r="L893" s="75"/>
      <c r="M893" s="75"/>
      <c r="N893" s="75"/>
      <c r="O893" s="75"/>
      <c r="P893" s="75"/>
      <c r="Q893" s="75"/>
      <c r="R893" s="76"/>
      <c r="S893" s="75"/>
      <c r="T893" s="75"/>
      <c r="U893" s="75"/>
      <c r="V893" s="75"/>
      <c r="W893" s="75"/>
      <c r="X893" s="77"/>
      <c r="Y893" s="75"/>
      <c r="Z893" s="75"/>
      <c r="AA893" s="75"/>
      <c r="AB893" s="75"/>
      <c r="AC893" s="75"/>
      <c r="AD893" s="75"/>
      <c r="AE893" s="75"/>
      <c r="AF893" s="75"/>
      <c r="AG893" s="75"/>
      <c r="AH893" s="75"/>
      <c r="AI893" s="75"/>
      <c r="AJ893" s="75"/>
      <c r="AK893" s="75"/>
      <c r="AL893" s="75"/>
      <c r="AM893" s="78"/>
      <c r="AN893" s="79"/>
      <c r="AO893" s="79"/>
      <c r="AP893" s="79"/>
      <c r="AQ893" s="79"/>
      <c r="AR893" s="79"/>
      <c r="AS893" s="79"/>
      <c r="AT893" s="77"/>
      <c r="AU893" s="79"/>
      <c r="AV893" s="80"/>
    </row>
    <row r="894" ht="15.75" customHeight="1">
      <c r="A894" s="72"/>
      <c r="B894" s="72"/>
      <c r="C894" s="73"/>
      <c r="D894" s="74"/>
      <c r="E894" s="73"/>
      <c r="F894" s="72"/>
      <c r="G894" s="74"/>
      <c r="H894" s="74"/>
      <c r="I894" s="75"/>
      <c r="J894" s="75"/>
      <c r="K894" s="75"/>
      <c r="L894" s="75"/>
      <c r="M894" s="75"/>
      <c r="N894" s="75"/>
      <c r="O894" s="75"/>
      <c r="P894" s="75"/>
      <c r="Q894" s="75"/>
      <c r="R894" s="76"/>
      <c r="S894" s="75"/>
      <c r="T894" s="75"/>
      <c r="U894" s="75"/>
      <c r="V894" s="75"/>
      <c r="W894" s="75"/>
      <c r="X894" s="77"/>
      <c r="Y894" s="75"/>
      <c r="Z894" s="75"/>
      <c r="AA894" s="75"/>
      <c r="AB894" s="75"/>
      <c r="AC894" s="75"/>
      <c r="AD894" s="75"/>
      <c r="AE894" s="75"/>
      <c r="AF894" s="75"/>
      <c r="AG894" s="75"/>
      <c r="AH894" s="75"/>
      <c r="AI894" s="75"/>
      <c r="AJ894" s="75"/>
      <c r="AK894" s="75"/>
      <c r="AL894" s="75"/>
      <c r="AM894" s="78"/>
      <c r="AN894" s="79"/>
      <c r="AO894" s="79"/>
      <c r="AP894" s="79"/>
      <c r="AQ894" s="79"/>
      <c r="AR894" s="79"/>
      <c r="AS894" s="79"/>
      <c r="AT894" s="77"/>
      <c r="AU894" s="79"/>
      <c r="AV894" s="80"/>
    </row>
    <row r="895" ht="15.75" customHeight="1">
      <c r="A895" s="72"/>
      <c r="B895" s="72"/>
      <c r="C895" s="73"/>
      <c r="D895" s="74"/>
      <c r="E895" s="73"/>
      <c r="F895" s="72"/>
      <c r="G895" s="74"/>
      <c r="H895" s="74"/>
      <c r="I895" s="75"/>
      <c r="J895" s="75"/>
      <c r="K895" s="75"/>
      <c r="L895" s="75"/>
      <c r="M895" s="75"/>
      <c r="N895" s="75"/>
      <c r="O895" s="75"/>
      <c r="P895" s="75"/>
      <c r="Q895" s="75"/>
      <c r="R895" s="76"/>
      <c r="S895" s="75"/>
      <c r="T895" s="75"/>
      <c r="U895" s="75"/>
      <c r="V895" s="75"/>
      <c r="W895" s="75"/>
      <c r="X895" s="77"/>
      <c r="Y895" s="75"/>
      <c r="Z895" s="75"/>
      <c r="AA895" s="75"/>
      <c r="AB895" s="75"/>
      <c r="AC895" s="75"/>
      <c r="AD895" s="75"/>
      <c r="AE895" s="75"/>
      <c r="AF895" s="75"/>
      <c r="AG895" s="75"/>
      <c r="AH895" s="75"/>
      <c r="AI895" s="75"/>
      <c r="AJ895" s="75"/>
      <c r="AK895" s="75"/>
      <c r="AL895" s="75"/>
      <c r="AM895" s="78"/>
      <c r="AN895" s="79"/>
      <c r="AO895" s="79"/>
      <c r="AP895" s="79"/>
      <c r="AQ895" s="79"/>
      <c r="AR895" s="79"/>
      <c r="AS895" s="79"/>
      <c r="AT895" s="77"/>
      <c r="AU895" s="79"/>
      <c r="AV895" s="80"/>
    </row>
    <row r="896" ht="15.75" customHeight="1">
      <c r="A896" s="72"/>
      <c r="B896" s="72"/>
      <c r="C896" s="73"/>
      <c r="D896" s="74"/>
      <c r="E896" s="73"/>
      <c r="F896" s="72"/>
      <c r="G896" s="74"/>
      <c r="H896" s="74"/>
      <c r="I896" s="75"/>
      <c r="J896" s="75"/>
      <c r="K896" s="75"/>
      <c r="L896" s="75"/>
      <c r="M896" s="75"/>
      <c r="N896" s="75"/>
      <c r="O896" s="75"/>
      <c r="P896" s="75"/>
      <c r="Q896" s="75"/>
      <c r="R896" s="76"/>
      <c r="S896" s="75"/>
      <c r="T896" s="75"/>
      <c r="U896" s="75"/>
      <c r="V896" s="75"/>
      <c r="W896" s="75"/>
      <c r="X896" s="77"/>
      <c r="Y896" s="75"/>
      <c r="Z896" s="75"/>
      <c r="AA896" s="75"/>
      <c r="AB896" s="75"/>
      <c r="AC896" s="75"/>
      <c r="AD896" s="75"/>
      <c r="AE896" s="75"/>
      <c r="AF896" s="75"/>
      <c r="AG896" s="75"/>
      <c r="AH896" s="75"/>
      <c r="AI896" s="75"/>
      <c r="AJ896" s="75"/>
      <c r="AK896" s="75"/>
      <c r="AL896" s="75"/>
      <c r="AM896" s="78"/>
      <c r="AN896" s="79"/>
      <c r="AO896" s="79"/>
      <c r="AP896" s="79"/>
      <c r="AQ896" s="79"/>
      <c r="AR896" s="79"/>
      <c r="AS896" s="79"/>
      <c r="AT896" s="77"/>
      <c r="AU896" s="79"/>
      <c r="AV896" s="80"/>
    </row>
    <row r="897" ht="15.75" customHeight="1">
      <c r="A897" s="72"/>
      <c r="B897" s="72"/>
      <c r="C897" s="73"/>
      <c r="D897" s="74"/>
      <c r="E897" s="73"/>
      <c r="F897" s="72"/>
      <c r="G897" s="74"/>
      <c r="H897" s="74"/>
      <c r="I897" s="75"/>
      <c r="J897" s="75"/>
      <c r="K897" s="75"/>
      <c r="L897" s="75"/>
      <c r="M897" s="75"/>
      <c r="N897" s="75"/>
      <c r="O897" s="75"/>
      <c r="P897" s="75"/>
      <c r="Q897" s="75"/>
      <c r="R897" s="76"/>
      <c r="S897" s="75"/>
      <c r="T897" s="75"/>
      <c r="U897" s="75"/>
      <c r="V897" s="75"/>
      <c r="W897" s="75"/>
      <c r="X897" s="77"/>
      <c r="Y897" s="75"/>
      <c r="Z897" s="75"/>
      <c r="AA897" s="75"/>
      <c r="AB897" s="75"/>
      <c r="AC897" s="75"/>
      <c r="AD897" s="75"/>
      <c r="AE897" s="75"/>
      <c r="AF897" s="75"/>
      <c r="AG897" s="75"/>
      <c r="AH897" s="75"/>
      <c r="AI897" s="75"/>
      <c r="AJ897" s="75"/>
      <c r="AK897" s="75"/>
      <c r="AL897" s="75"/>
      <c r="AM897" s="78"/>
      <c r="AN897" s="79"/>
      <c r="AO897" s="79"/>
      <c r="AP897" s="79"/>
      <c r="AQ897" s="79"/>
      <c r="AR897" s="79"/>
      <c r="AS897" s="79"/>
      <c r="AT897" s="77"/>
      <c r="AU897" s="79"/>
      <c r="AV897" s="80"/>
    </row>
    <row r="898" ht="15.75" customHeight="1">
      <c r="A898" s="72"/>
      <c r="B898" s="72"/>
      <c r="C898" s="73"/>
      <c r="D898" s="74"/>
      <c r="E898" s="73"/>
      <c r="F898" s="72"/>
      <c r="G898" s="74"/>
      <c r="H898" s="74"/>
      <c r="I898" s="75"/>
      <c r="J898" s="75"/>
      <c r="K898" s="75"/>
      <c r="L898" s="75"/>
      <c r="M898" s="75"/>
      <c r="N898" s="75"/>
      <c r="O898" s="75"/>
      <c r="P898" s="75"/>
      <c r="Q898" s="75"/>
      <c r="R898" s="76"/>
      <c r="S898" s="75"/>
      <c r="T898" s="75"/>
      <c r="U898" s="75"/>
      <c r="V898" s="75"/>
      <c r="W898" s="75"/>
      <c r="X898" s="77"/>
      <c r="Y898" s="75"/>
      <c r="Z898" s="75"/>
      <c r="AA898" s="75"/>
      <c r="AB898" s="75"/>
      <c r="AC898" s="75"/>
      <c r="AD898" s="75"/>
      <c r="AE898" s="75"/>
      <c r="AF898" s="75"/>
      <c r="AG898" s="75"/>
      <c r="AH898" s="75"/>
      <c r="AI898" s="75"/>
      <c r="AJ898" s="75"/>
      <c r="AK898" s="75"/>
      <c r="AL898" s="75"/>
      <c r="AM898" s="78"/>
      <c r="AN898" s="79"/>
      <c r="AO898" s="79"/>
      <c r="AP898" s="79"/>
      <c r="AQ898" s="79"/>
      <c r="AR898" s="79"/>
      <c r="AS898" s="79"/>
      <c r="AT898" s="77"/>
      <c r="AU898" s="79"/>
      <c r="AV898" s="80"/>
    </row>
    <row r="899" ht="15.75" customHeight="1">
      <c r="A899" s="72"/>
      <c r="B899" s="72"/>
      <c r="C899" s="73"/>
      <c r="D899" s="74"/>
      <c r="E899" s="73"/>
      <c r="F899" s="72"/>
      <c r="G899" s="74"/>
      <c r="H899" s="74"/>
      <c r="I899" s="75"/>
      <c r="J899" s="75"/>
      <c r="K899" s="75"/>
      <c r="L899" s="75"/>
      <c r="M899" s="75"/>
      <c r="N899" s="75"/>
      <c r="O899" s="75"/>
      <c r="P899" s="75"/>
      <c r="Q899" s="75"/>
      <c r="R899" s="76"/>
      <c r="S899" s="75"/>
      <c r="T899" s="75"/>
      <c r="U899" s="75"/>
      <c r="V899" s="75"/>
      <c r="W899" s="75"/>
      <c r="X899" s="77"/>
      <c r="Y899" s="75"/>
      <c r="Z899" s="75"/>
      <c r="AA899" s="75"/>
      <c r="AB899" s="75"/>
      <c r="AC899" s="75"/>
      <c r="AD899" s="75"/>
      <c r="AE899" s="75"/>
      <c r="AF899" s="75"/>
      <c r="AG899" s="75"/>
      <c r="AH899" s="75"/>
      <c r="AI899" s="75"/>
      <c r="AJ899" s="75"/>
      <c r="AK899" s="75"/>
      <c r="AL899" s="75"/>
      <c r="AM899" s="78"/>
      <c r="AN899" s="79"/>
      <c r="AO899" s="79"/>
      <c r="AP899" s="79"/>
      <c r="AQ899" s="79"/>
      <c r="AR899" s="79"/>
      <c r="AS899" s="79"/>
      <c r="AT899" s="77"/>
      <c r="AU899" s="79"/>
      <c r="AV899" s="80"/>
    </row>
    <row r="900" ht="15.75" customHeight="1">
      <c r="A900" s="72"/>
      <c r="B900" s="72"/>
      <c r="C900" s="73"/>
      <c r="D900" s="74"/>
      <c r="E900" s="73"/>
      <c r="F900" s="72"/>
      <c r="G900" s="74"/>
      <c r="H900" s="74"/>
      <c r="I900" s="75"/>
      <c r="J900" s="75"/>
      <c r="K900" s="75"/>
      <c r="L900" s="75"/>
      <c r="M900" s="75"/>
      <c r="N900" s="75"/>
      <c r="O900" s="75"/>
      <c r="P900" s="75"/>
      <c r="Q900" s="75"/>
      <c r="R900" s="76"/>
      <c r="S900" s="75"/>
      <c r="T900" s="75"/>
      <c r="U900" s="75"/>
      <c r="V900" s="75"/>
      <c r="W900" s="75"/>
      <c r="X900" s="77"/>
      <c r="Y900" s="75"/>
      <c r="Z900" s="75"/>
      <c r="AA900" s="75"/>
      <c r="AB900" s="75"/>
      <c r="AC900" s="75"/>
      <c r="AD900" s="75"/>
      <c r="AE900" s="75"/>
      <c r="AF900" s="75"/>
      <c r="AG900" s="75"/>
      <c r="AH900" s="75"/>
      <c r="AI900" s="75"/>
      <c r="AJ900" s="75"/>
      <c r="AK900" s="75"/>
      <c r="AL900" s="75"/>
      <c r="AM900" s="78"/>
      <c r="AN900" s="79"/>
      <c r="AO900" s="79"/>
      <c r="AP900" s="79"/>
      <c r="AQ900" s="79"/>
      <c r="AR900" s="79"/>
      <c r="AS900" s="79"/>
      <c r="AT900" s="77"/>
      <c r="AU900" s="79"/>
      <c r="AV900" s="80"/>
    </row>
    <row r="901" ht="15.75" customHeight="1">
      <c r="A901" s="72"/>
      <c r="B901" s="72"/>
      <c r="C901" s="73"/>
      <c r="D901" s="74"/>
      <c r="E901" s="73"/>
      <c r="F901" s="72"/>
      <c r="G901" s="74"/>
      <c r="H901" s="74"/>
      <c r="I901" s="75"/>
      <c r="J901" s="75"/>
      <c r="K901" s="75"/>
      <c r="L901" s="75"/>
      <c r="M901" s="75"/>
      <c r="N901" s="75"/>
      <c r="O901" s="75"/>
      <c r="P901" s="75"/>
      <c r="Q901" s="75"/>
      <c r="R901" s="76"/>
      <c r="S901" s="75"/>
      <c r="T901" s="75"/>
      <c r="U901" s="75"/>
      <c r="V901" s="75"/>
      <c r="W901" s="75"/>
      <c r="X901" s="77"/>
      <c r="Y901" s="75"/>
      <c r="Z901" s="75"/>
      <c r="AA901" s="75"/>
      <c r="AB901" s="75"/>
      <c r="AC901" s="75"/>
      <c r="AD901" s="75"/>
      <c r="AE901" s="75"/>
      <c r="AF901" s="75"/>
      <c r="AG901" s="75"/>
      <c r="AH901" s="75"/>
      <c r="AI901" s="75"/>
      <c r="AJ901" s="75"/>
      <c r="AK901" s="75"/>
      <c r="AL901" s="75"/>
      <c r="AM901" s="78"/>
      <c r="AN901" s="79"/>
      <c r="AO901" s="79"/>
      <c r="AP901" s="79"/>
      <c r="AQ901" s="79"/>
      <c r="AR901" s="79"/>
      <c r="AS901" s="79"/>
      <c r="AT901" s="77"/>
      <c r="AU901" s="79"/>
      <c r="AV901" s="80"/>
    </row>
    <row r="902" ht="15.75" customHeight="1">
      <c r="A902" s="72"/>
      <c r="B902" s="72"/>
      <c r="C902" s="73"/>
      <c r="D902" s="74"/>
      <c r="E902" s="73"/>
      <c r="F902" s="72"/>
      <c r="G902" s="74"/>
      <c r="H902" s="74"/>
      <c r="I902" s="75"/>
      <c r="J902" s="75"/>
      <c r="K902" s="75"/>
      <c r="L902" s="75"/>
      <c r="M902" s="75"/>
      <c r="N902" s="75"/>
      <c r="O902" s="75"/>
      <c r="P902" s="75"/>
      <c r="Q902" s="75"/>
      <c r="R902" s="76"/>
      <c r="S902" s="75"/>
      <c r="T902" s="75"/>
      <c r="U902" s="75"/>
      <c r="V902" s="75"/>
      <c r="W902" s="75"/>
      <c r="X902" s="77"/>
      <c r="Y902" s="75"/>
      <c r="Z902" s="75"/>
      <c r="AA902" s="75"/>
      <c r="AB902" s="75"/>
      <c r="AC902" s="75"/>
      <c r="AD902" s="75"/>
      <c r="AE902" s="75"/>
      <c r="AF902" s="75"/>
      <c r="AG902" s="75"/>
      <c r="AH902" s="75"/>
      <c r="AI902" s="75"/>
      <c r="AJ902" s="75"/>
      <c r="AK902" s="75"/>
      <c r="AL902" s="75"/>
      <c r="AM902" s="78"/>
      <c r="AN902" s="79"/>
      <c r="AO902" s="79"/>
      <c r="AP902" s="79"/>
      <c r="AQ902" s="79"/>
      <c r="AR902" s="79"/>
      <c r="AS902" s="79"/>
      <c r="AT902" s="77"/>
      <c r="AU902" s="79"/>
      <c r="AV902" s="80"/>
    </row>
    <row r="903" ht="15.75" customHeight="1">
      <c r="A903" s="72"/>
      <c r="B903" s="72"/>
      <c r="C903" s="73"/>
      <c r="D903" s="74"/>
      <c r="E903" s="73"/>
      <c r="F903" s="72"/>
      <c r="G903" s="74"/>
      <c r="H903" s="74"/>
      <c r="I903" s="75"/>
      <c r="J903" s="75"/>
      <c r="K903" s="75"/>
      <c r="L903" s="75"/>
      <c r="M903" s="75"/>
      <c r="N903" s="75"/>
      <c r="O903" s="75"/>
      <c r="P903" s="75"/>
      <c r="Q903" s="75"/>
      <c r="R903" s="76"/>
      <c r="S903" s="75"/>
      <c r="T903" s="75"/>
      <c r="U903" s="75"/>
      <c r="V903" s="75"/>
      <c r="W903" s="75"/>
      <c r="X903" s="77"/>
      <c r="Y903" s="75"/>
      <c r="Z903" s="75"/>
      <c r="AA903" s="75"/>
      <c r="AB903" s="75"/>
      <c r="AC903" s="75"/>
      <c r="AD903" s="75"/>
      <c r="AE903" s="75"/>
      <c r="AF903" s="75"/>
      <c r="AG903" s="75"/>
      <c r="AH903" s="75"/>
      <c r="AI903" s="75"/>
      <c r="AJ903" s="75"/>
      <c r="AK903" s="75"/>
      <c r="AL903" s="75"/>
      <c r="AM903" s="78"/>
      <c r="AN903" s="79"/>
      <c r="AO903" s="79"/>
      <c r="AP903" s="79"/>
      <c r="AQ903" s="79"/>
      <c r="AR903" s="79"/>
      <c r="AS903" s="79"/>
      <c r="AT903" s="77"/>
      <c r="AU903" s="79"/>
      <c r="AV903" s="80"/>
    </row>
    <row r="904" ht="15.75" customHeight="1">
      <c r="A904" s="72"/>
      <c r="B904" s="72"/>
      <c r="C904" s="73"/>
      <c r="D904" s="74"/>
      <c r="E904" s="73"/>
      <c r="F904" s="72"/>
      <c r="G904" s="74"/>
      <c r="H904" s="74"/>
      <c r="I904" s="75"/>
      <c r="J904" s="75"/>
      <c r="K904" s="75"/>
      <c r="L904" s="75"/>
      <c r="M904" s="75"/>
      <c r="N904" s="75"/>
      <c r="O904" s="75"/>
      <c r="P904" s="75"/>
      <c r="Q904" s="75"/>
      <c r="R904" s="76"/>
      <c r="S904" s="75"/>
      <c r="T904" s="75"/>
      <c r="U904" s="75"/>
      <c r="V904" s="75"/>
      <c r="W904" s="75"/>
      <c r="X904" s="77"/>
      <c r="Y904" s="75"/>
      <c r="Z904" s="75"/>
      <c r="AA904" s="75"/>
      <c r="AB904" s="75"/>
      <c r="AC904" s="75"/>
      <c r="AD904" s="75"/>
      <c r="AE904" s="75"/>
      <c r="AF904" s="75"/>
      <c r="AG904" s="75"/>
      <c r="AH904" s="75"/>
      <c r="AI904" s="75"/>
      <c r="AJ904" s="75"/>
      <c r="AK904" s="75"/>
      <c r="AL904" s="75"/>
      <c r="AM904" s="78"/>
      <c r="AN904" s="79"/>
      <c r="AO904" s="79"/>
      <c r="AP904" s="79"/>
      <c r="AQ904" s="79"/>
      <c r="AR904" s="79"/>
      <c r="AS904" s="79"/>
      <c r="AT904" s="77"/>
      <c r="AU904" s="79"/>
      <c r="AV904" s="80"/>
    </row>
    <row r="905" ht="15.75" customHeight="1">
      <c r="A905" s="72"/>
      <c r="B905" s="72"/>
      <c r="C905" s="73"/>
      <c r="D905" s="74"/>
      <c r="E905" s="73"/>
      <c r="F905" s="72"/>
      <c r="G905" s="74"/>
      <c r="H905" s="74"/>
      <c r="I905" s="75"/>
      <c r="J905" s="75"/>
      <c r="K905" s="75"/>
      <c r="L905" s="75"/>
      <c r="M905" s="75"/>
      <c r="N905" s="75"/>
      <c r="O905" s="75"/>
      <c r="P905" s="75"/>
      <c r="Q905" s="75"/>
      <c r="R905" s="76"/>
      <c r="S905" s="75"/>
      <c r="T905" s="75"/>
      <c r="U905" s="75"/>
      <c r="V905" s="75"/>
      <c r="W905" s="75"/>
      <c r="X905" s="77"/>
      <c r="Y905" s="75"/>
      <c r="Z905" s="75"/>
      <c r="AA905" s="75"/>
      <c r="AB905" s="75"/>
      <c r="AC905" s="75"/>
      <c r="AD905" s="75"/>
      <c r="AE905" s="75"/>
      <c r="AF905" s="75"/>
      <c r="AG905" s="75"/>
      <c r="AH905" s="75"/>
      <c r="AI905" s="75"/>
      <c r="AJ905" s="75"/>
      <c r="AK905" s="75"/>
      <c r="AL905" s="75"/>
      <c r="AM905" s="78"/>
      <c r="AN905" s="79"/>
      <c r="AO905" s="79"/>
      <c r="AP905" s="79"/>
      <c r="AQ905" s="79"/>
      <c r="AR905" s="79"/>
      <c r="AS905" s="79"/>
      <c r="AT905" s="77"/>
      <c r="AU905" s="79"/>
      <c r="AV905" s="80"/>
    </row>
    <row r="906" ht="15.75" customHeight="1">
      <c r="A906" s="72"/>
      <c r="B906" s="72"/>
      <c r="C906" s="73"/>
      <c r="D906" s="74"/>
      <c r="E906" s="73"/>
      <c r="F906" s="72"/>
      <c r="G906" s="74"/>
      <c r="H906" s="74"/>
      <c r="I906" s="75"/>
      <c r="J906" s="75"/>
      <c r="K906" s="75"/>
      <c r="L906" s="75"/>
      <c r="M906" s="75"/>
      <c r="N906" s="75"/>
      <c r="O906" s="75"/>
      <c r="P906" s="75"/>
      <c r="Q906" s="75"/>
      <c r="R906" s="76"/>
      <c r="S906" s="75"/>
      <c r="T906" s="75"/>
      <c r="U906" s="75"/>
      <c r="V906" s="75"/>
      <c r="W906" s="75"/>
      <c r="X906" s="77"/>
      <c r="Y906" s="75"/>
      <c r="Z906" s="75"/>
      <c r="AA906" s="75"/>
      <c r="AB906" s="75"/>
      <c r="AC906" s="75"/>
      <c r="AD906" s="75"/>
      <c r="AE906" s="75"/>
      <c r="AF906" s="75"/>
      <c r="AG906" s="75"/>
      <c r="AH906" s="75"/>
      <c r="AI906" s="75"/>
      <c r="AJ906" s="75"/>
      <c r="AK906" s="75"/>
      <c r="AL906" s="75"/>
      <c r="AM906" s="78"/>
      <c r="AN906" s="79"/>
      <c r="AO906" s="79"/>
      <c r="AP906" s="79"/>
      <c r="AQ906" s="79"/>
      <c r="AR906" s="79"/>
      <c r="AS906" s="79"/>
      <c r="AT906" s="77"/>
      <c r="AU906" s="79"/>
      <c r="AV906" s="80"/>
    </row>
    <row r="907" ht="15.75" customHeight="1">
      <c r="A907" s="72"/>
      <c r="B907" s="72"/>
      <c r="C907" s="73"/>
      <c r="D907" s="74"/>
      <c r="E907" s="73"/>
      <c r="F907" s="72"/>
      <c r="G907" s="74"/>
      <c r="H907" s="74"/>
      <c r="I907" s="75"/>
      <c r="J907" s="75"/>
      <c r="K907" s="75"/>
      <c r="L907" s="75"/>
      <c r="M907" s="75"/>
      <c r="N907" s="75"/>
      <c r="O907" s="75"/>
      <c r="P907" s="75"/>
      <c r="Q907" s="75"/>
      <c r="R907" s="76"/>
      <c r="S907" s="75"/>
      <c r="T907" s="75"/>
      <c r="U907" s="75"/>
      <c r="V907" s="75"/>
      <c r="W907" s="75"/>
      <c r="X907" s="77"/>
      <c r="Y907" s="75"/>
      <c r="Z907" s="75"/>
      <c r="AA907" s="75"/>
      <c r="AB907" s="75"/>
      <c r="AC907" s="75"/>
      <c r="AD907" s="75"/>
      <c r="AE907" s="75"/>
      <c r="AF907" s="75"/>
      <c r="AG907" s="75"/>
      <c r="AH907" s="75"/>
      <c r="AI907" s="75"/>
      <c r="AJ907" s="75"/>
      <c r="AK907" s="75"/>
      <c r="AL907" s="75"/>
      <c r="AM907" s="78"/>
      <c r="AN907" s="79"/>
      <c r="AO907" s="79"/>
      <c r="AP907" s="79"/>
      <c r="AQ907" s="79"/>
      <c r="AR907" s="79"/>
      <c r="AS907" s="79"/>
      <c r="AT907" s="77"/>
      <c r="AU907" s="79"/>
      <c r="AV907" s="80"/>
    </row>
    <row r="908" ht="15.75" customHeight="1">
      <c r="A908" s="72"/>
      <c r="B908" s="72"/>
      <c r="C908" s="73"/>
      <c r="D908" s="74"/>
      <c r="E908" s="73"/>
      <c r="F908" s="72"/>
      <c r="G908" s="74"/>
      <c r="H908" s="74"/>
      <c r="I908" s="75"/>
      <c r="J908" s="75"/>
      <c r="K908" s="75"/>
      <c r="L908" s="75"/>
      <c r="M908" s="75"/>
      <c r="N908" s="75"/>
      <c r="O908" s="75"/>
      <c r="P908" s="75"/>
      <c r="Q908" s="75"/>
      <c r="R908" s="76"/>
      <c r="S908" s="75"/>
      <c r="T908" s="75"/>
      <c r="U908" s="75"/>
      <c r="V908" s="75"/>
      <c r="W908" s="75"/>
      <c r="X908" s="77"/>
      <c r="Y908" s="75"/>
      <c r="Z908" s="75"/>
      <c r="AA908" s="75"/>
      <c r="AB908" s="75"/>
      <c r="AC908" s="75"/>
      <c r="AD908" s="75"/>
      <c r="AE908" s="75"/>
      <c r="AF908" s="75"/>
      <c r="AG908" s="75"/>
      <c r="AH908" s="75"/>
      <c r="AI908" s="75"/>
      <c r="AJ908" s="75"/>
      <c r="AK908" s="75"/>
      <c r="AL908" s="75"/>
      <c r="AM908" s="78"/>
      <c r="AN908" s="79"/>
      <c r="AO908" s="79"/>
      <c r="AP908" s="79"/>
      <c r="AQ908" s="79"/>
      <c r="AR908" s="79"/>
      <c r="AS908" s="79"/>
      <c r="AT908" s="77"/>
      <c r="AU908" s="79"/>
      <c r="AV908" s="80"/>
    </row>
    <row r="909" ht="15.75" customHeight="1">
      <c r="A909" s="72"/>
      <c r="B909" s="72"/>
      <c r="C909" s="73"/>
      <c r="D909" s="74"/>
      <c r="E909" s="73"/>
      <c r="F909" s="72"/>
      <c r="G909" s="74"/>
      <c r="H909" s="74"/>
      <c r="I909" s="75"/>
      <c r="J909" s="75"/>
      <c r="K909" s="75"/>
      <c r="L909" s="75"/>
      <c r="M909" s="75"/>
      <c r="N909" s="75"/>
      <c r="O909" s="75"/>
      <c r="P909" s="75"/>
      <c r="Q909" s="75"/>
      <c r="R909" s="76"/>
      <c r="S909" s="75"/>
      <c r="T909" s="75"/>
      <c r="U909" s="75"/>
      <c r="V909" s="75"/>
      <c r="W909" s="75"/>
      <c r="X909" s="77"/>
      <c r="Y909" s="75"/>
      <c r="Z909" s="75"/>
      <c r="AA909" s="75"/>
      <c r="AB909" s="75"/>
      <c r="AC909" s="75"/>
      <c r="AD909" s="75"/>
      <c r="AE909" s="75"/>
      <c r="AF909" s="75"/>
      <c r="AG909" s="75"/>
      <c r="AH909" s="75"/>
      <c r="AI909" s="75"/>
      <c r="AJ909" s="75"/>
      <c r="AK909" s="75"/>
      <c r="AL909" s="75"/>
      <c r="AM909" s="78"/>
      <c r="AN909" s="79"/>
      <c r="AO909" s="79"/>
      <c r="AP909" s="79"/>
      <c r="AQ909" s="79"/>
      <c r="AR909" s="79"/>
      <c r="AS909" s="79"/>
      <c r="AT909" s="77"/>
      <c r="AU909" s="79"/>
      <c r="AV909" s="80"/>
    </row>
    <row r="910" ht="15.75" customHeight="1">
      <c r="A910" s="72"/>
      <c r="B910" s="72"/>
      <c r="C910" s="73"/>
      <c r="D910" s="74"/>
      <c r="E910" s="73"/>
      <c r="F910" s="72"/>
      <c r="G910" s="74"/>
      <c r="H910" s="74"/>
      <c r="I910" s="75"/>
      <c r="J910" s="75"/>
      <c r="K910" s="75"/>
      <c r="L910" s="75"/>
      <c r="M910" s="75"/>
      <c r="N910" s="75"/>
      <c r="O910" s="75"/>
      <c r="P910" s="75"/>
      <c r="Q910" s="75"/>
      <c r="R910" s="76"/>
      <c r="S910" s="75"/>
      <c r="T910" s="75"/>
      <c r="U910" s="75"/>
      <c r="V910" s="75"/>
      <c r="W910" s="75"/>
      <c r="X910" s="77"/>
      <c r="Y910" s="75"/>
      <c r="Z910" s="75"/>
      <c r="AA910" s="75"/>
      <c r="AB910" s="75"/>
      <c r="AC910" s="75"/>
      <c r="AD910" s="75"/>
      <c r="AE910" s="75"/>
      <c r="AF910" s="75"/>
      <c r="AG910" s="75"/>
      <c r="AH910" s="75"/>
      <c r="AI910" s="75"/>
      <c r="AJ910" s="75"/>
      <c r="AK910" s="75"/>
      <c r="AL910" s="75"/>
      <c r="AM910" s="78"/>
      <c r="AN910" s="79"/>
      <c r="AO910" s="79"/>
      <c r="AP910" s="79"/>
      <c r="AQ910" s="79"/>
      <c r="AR910" s="79"/>
      <c r="AS910" s="79"/>
      <c r="AT910" s="77"/>
      <c r="AU910" s="79"/>
      <c r="AV910" s="80"/>
    </row>
    <row r="911" ht="15.75" customHeight="1">
      <c r="A911" s="72"/>
      <c r="B911" s="72"/>
      <c r="C911" s="73"/>
      <c r="D911" s="74"/>
      <c r="E911" s="73"/>
      <c r="F911" s="72"/>
      <c r="G911" s="74"/>
      <c r="H911" s="74"/>
      <c r="I911" s="75"/>
      <c r="J911" s="75"/>
      <c r="K911" s="75"/>
      <c r="L911" s="75"/>
      <c r="M911" s="75"/>
      <c r="N911" s="75"/>
      <c r="O911" s="75"/>
      <c r="P911" s="75"/>
      <c r="Q911" s="75"/>
      <c r="R911" s="76"/>
      <c r="S911" s="75"/>
      <c r="T911" s="75"/>
      <c r="U911" s="75"/>
      <c r="V911" s="75"/>
      <c r="W911" s="75"/>
      <c r="X911" s="77"/>
      <c r="Y911" s="75"/>
      <c r="Z911" s="75"/>
      <c r="AA911" s="75"/>
      <c r="AB911" s="75"/>
      <c r="AC911" s="75"/>
      <c r="AD911" s="75"/>
      <c r="AE911" s="75"/>
      <c r="AF911" s="75"/>
      <c r="AG911" s="75"/>
      <c r="AH911" s="75"/>
      <c r="AI911" s="75"/>
      <c r="AJ911" s="75"/>
      <c r="AK911" s="75"/>
      <c r="AL911" s="75"/>
      <c r="AM911" s="78"/>
      <c r="AN911" s="79"/>
      <c r="AO911" s="79"/>
      <c r="AP911" s="79"/>
      <c r="AQ911" s="79"/>
      <c r="AR911" s="79"/>
      <c r="AS911" s="79"/>
      <c r="AT911" s="77"/>
      <c r="AU911" s="79"/>
      <c r="AV911" s="80"/>
    </row>
    <row r="912" ht="15.75" customHeight="1">
      <c r="A912" s="72"/>
      <c r="B912" s="72"/>
      <c r="C912" s="73"/>
      <c r="D912" s="74"/>
      <c r="E912" s="73"/>
      <c r="F912" s="72"/>
      <c r="G912" s="74"/>
      <c r="H912" s="74"/>
      <c r="I912" s="75"/>
      <c r="J912" s="75"/>
      <c r="K912" s="75"/>
      <c r="L912" s="75"/>
      <c r="M912" s="75"/>
      <c r="N912" s="75"/>
      <c r="O912" s="75"/>
      <c r="P912" s="75"/>
      <c r="Q912" s="75"/>
      <c r="R912" s="76"/>
      <c r="S912" s="75"/>
      <c r="T912" s="75"/>
      <c r="U912" s="75"/>
      <c r="V912" s="75"/>
      <c r="W912" s="75"/>
      <c r="X912" s="77"/>
      <c r="Y912" s="75"/>
      <c r="Z912" s="75"/>
      <c r="AA912" s="75"/>
      <c r="AB912" s="75"/>
      <c r="AC912" s="75"/>
      <c r="AD912" s="75"/>
      <c r="AE912" s="75"/>
      <c r="AF912" s="75"/>
      <c r="AG912" s="75"/>
      <c r="AH912" s="75"/>
      <c r="AI912" s="75"/>
      <c r="AJ912" s="75"/>
      <c r="AK912" s="75"/>
      <c r="AL912" s="75"/>
      <c r="AM912" s="78"/>
      <c r="AN912" s="79"/>
      <c r="AO912" s="79"/>
      <c r="AP912" s="79"/>
      <c r="AQ912" s="79"/>
      <c r="AR912" s="79"/>
      <c r="AS912" s="79"/>
      <c r="AT912" s="77"/>
      <c r="AU912" s="79"/>
      <c r="AV912" s="80"/>
    </row>
    <row r="913" ht="15.75" customHeight="1">
      <c r="A913" s="72"/>
      <c r="B913" s="72"/>
      <c r="C913" s="73"/>
      <c r="D913" s="74"/>
      <c r="E913" s="73"/>
      <c r="F913" s="72"/>
      <c r="G913" s="74"/>
      <c r="H913" s="74"/>
      <c r="I913" s="75"/>
      <c r="J913" s="75"/>
      <c r="K913" s="75"/>
      <c r="L913" s="75"/>
      <c r="M913" s="75"/>
      <c r="N913" s="75"/>
      <c r="O913" s="75"/>
      <c r="P913" s="75"/>
      <c r="Q913" s="75"/>
      <c r="R913" s="76"/>
      <c r="S913" s="75"/>
      <c r="T913" s="75"/>
      <c r="U913" s="75"/>
      <c r="V913" s="75"/>
      <c r="W913" s="75"/>
      <c r="X913" s="77"/>
      <c r="Y913" s="75"/>
      <c r="Z913" s="75"/>
      <c r="AA913" s="75"/>
      <c r="AB913" s="75"/>
      <c r="AC913" s="75"/>
      <c r="AD913" s="75"/>
      <c r="AE913" s="75"/>
      <c r="AF913" s="75"/>
      <c r="AG913" s="75"/>
      <c r="AH913" s="75"/>
      <c r="AI913" s="75"/>
      <c r="AJ913" s="75"/>
      <c r="AK913" s="75"/>
      <c r="AL913" s="75"/>
      <c r="AM913" s="78"/>
      <c r="AN913" s="79"/>
      <c r="AO913" s="79"/>
      <c r="AP913" s="79"/>
      <c r="AQ913" s="79"/>
      <c r="AR913" s="79"/>
      <c r="AS913" s="79"/>
      <c r="AT913" s="77"/>
      <c r="AU913" s="79"/>
      <c r="AV913" s="80"/>
    </row>
    <row r="914" ht="15.75" customHeight="1">
      <c r="A914" s="72"/>
      <c r="B914" s="72"/>
      <c r="C914" s="73"/>
      <c r="D914" s="74"/>
      <c r="E914" s="73"/>
      <c r="F914" s="72"/>
      <c r="G914" s="74"/>
      <c r="H914" s="74"/>
      <c r="I914" s="75"/>
      <c r="J914" s="75"/>
      <c r="K914" s="75"/>
      <c r="L914" s="75"/>
      <c r="M914" s="75"/>
      <c r="N914" s="75"/>
      <c r="O914" s="75"/>
      <c r="P914" s="75"/>
      <c r="Q914" s="75"/>
      <c r="R914" s="76"/>
      <c r="S914" s="75"/>
      <c r="T914" s="75"/>
      <c r="U914" s="75"/>
      <c r="V914" s="75"/>
      <c r="W914" s="75"/>
      <c r="X914" s="77"/>
      <c r="Y914" s="75"/>
      <c r="Z914" s="75"/>
      <c r="AA914" s="75"/>
      <c r="AB914" s="75"/>
      <c r="AC914" s="75"/>
      <c r="AD914" s="75"/>
      <c r="AE914" s="75"/>
      <c r="AF914" s="75"/>
      <c r="AG914" s="75"/>
      <c r="AH914" s="75"/>
      <c r="AI914" s="75"/>
      <c r="AJ914" s="75"/>
      <c r="AK914" s="75"/>
      <c r="AL914" s="75"/>
      <c r="AM914" s="78"/>
      <c r="AN914" s="79"/>
      <c r="AO914" s="79"/>
      <c r="AP914" s="79"/>
      <c r="AQ914" s="79"/>
      <c r="AR914" s="79"/>
      <c r="AS914" s="79"/>
      <c r="AT914" s="77"/>
      <c r="AU914" s="79"/>
      <c r="AV914" s="80"/>
    </row>
    <row r="915" ht="15.75" customHeight="1">
      <c r="A915" s="72"/>
      <c r="B915" s="72"/>
      <c r="C915" s="73"/>
      <c r="D915" s="74"/>
      <c r="E915" s="73"/>
      <c r="F915" s="72"/>
      <c r="G915" s="74"/>
      <c r="H915" s="74"/>
      <c r="I915" s="75"/>
      <c r="J915" s="75"/>
      <c r="K915" s="75"/>
      <c r="L915" s="75"/>
      <c r="M915" s="75"/>
      <c r="N915" s="75"/>
      <c r="O915" s="75"/>
      <c r="P915" s="75"/>
      <c r="Q915" s="75"/>
      <c r="R915" s="76"/>
      <c r="S915" s="75"/>
      <c r="T915" s="75"/>
      <c r="U915" s="75"/>
      <c r="V915" s="75"/>
      <c r="W915" s="75"/>
      <c r="X915" s="77"/>
      <c r="Y915" s="75"/>
      <c r="Z915" s="75"/>
      <c r="AA915" s="75"/>
      <c r="AB915" s="75"/>
      <c r="AC915" s="75"/>
      <c r="AD915" s="75"/>
      <c r="AE915" s="75"/>
      <c r="AF915" s="75"/>
      <c r="AG915" s="75"/>
      <c r="AH915" s="75"/>
      <c r="AI915" s="75"/>
      <c r="AJ915" s="75"/>
      <c r="AK915" s="75"/>
      <c r="AL915" s="75"/>
      <c r="AM915" s="78"/>
      <c r="AN915" s="79"/>
      <c r="AO915" s="79"/>
      <c r="AP915" s="79"/>
      <c r="AQ915" s="79"/>
      <c r="AR915" s="79"/>
      <c r="AS915" s="79"/>
      <c r="AT915" s="77"/>
      <c r="AU915" s="79"/>
      <c r="AV915" s="80"/>
    </row>
    <row r="916" ht="15.75" customHeight="1">
      <c r="A916" s="72"/>
      <c r="B916" s="72"/>
      <c r="C916" s="73"/>
      <c r="D916" s="74"/>
      <c r="E916" s="73"/>
      <c r="F916" s="72"/>
      <c r="G916" s="74"/>
      <c r="H916" s="74"/>
      <c r="I916" s="75"/>
      <c r="J916" s="75"/>
      <c r="K916" s="75"/>
      <c r="L916" s="75"/>
      <c r="M916" s="75"/>
      <c r="N916" s="75"/>
      <c r="O916" s="75"/>
      <c r="P916" s="75"/>
      <c r="Q916" s="75"/>
      <c r="R916" s="76"/>
      <c r="S916" s="75"/>
      <c r="T916" s="75"/>
      <c r="U916" s="75"/>
      <c r="V916" s="75"/>
      <c r="W916" s="75"/>
      <c r="X916" s="77"/>
      <c r="Y916" s="75"/>
      <c r="Z916" s="75"/>
      <c r="AA916" s="75"/>
      <c r="AB916" s="75"/>
      <c r="AC916" s="75"/>
      <c r="AD916" s="75"/>
      <c r="AE916" s="75"/>
      <c r="AF916" s="75"/>
      <c r="AG916" s="75"/>
      <c r="AH916" s="75"/>
      <c r="AI916" s="75"/>
      <c r="AJ916" s="75"/>
      <c r="AK916" s="75"/>
      <c r="AL916" s="75"/>
      <c r="AM916" s="78"/>
      <c r="AN916" s="79"/>
      <c r="AO916" s="79"/>
      <c r="AP916" s="79"/>
      <c r="AQ916" s="79"/>
      <c r="AR916" s="79"/>
      <c r="AS916" s="79"/>
      <c r="AT916" s="77"/>
      <c r="AU916" s="79"/>
      <c r="AV916" s="80"/>
    </row>
    <row r="917" ht="15.75" customHeight="1">
      <c r="A917" s="72"/>
      <c r="B917" s="72"/>
      <c r="C917" s="73"/>
      <c r="D917" s="74"/>
      <c r="E917" s="73"/>
      <c r="F917" s="72"/>
      <c r="G917" s="74"/>
      <c r="H917" s="74"/>
      <c r="I917" s="75"/>
      <c r="J917" s="75"/>
      <c r="K917" s="75"/>
      <c r="L917" s="75"/>
      <c r="M917" s="75"/>
      <c r="N917" s="75"/>
      <c r="O917" s="75"/>
      <c r="P917" s="75"/>
      <c r="Q917" s="75"/>
      <c r="R917" s="76"/>
      <c r="S917" s="75"/>
      <c r="T917" s="75"/>
      <c r="U917" s="75"/>
      <c r="V917" s="75"/>
      <c r="W917" s="75"/>
      <c r="X917" s="77"/>
      <c r="Y917" s="75"/>
      <c r="Z917" s="75"/>
      <c r="AA917" s="75"/>
      <c r="AB917" s="75"/>
      <c r="AC917" s="75"/>
      <c r="AD917" s="75"/>
      <c r="AE917" s="75"/>
      <c r="AF917" s="75"/>
      <c r="AG917" s="75"/>
      <c r="AH917" s="75"/>
      <c r="AI917" s="75"/>
      <c r="AJ917" s="75"/>
      <c r="AK917" s="75"/>
      <c r="AL917" s="75"/>
      <c r="AM917" s="78"/>
      <c r="AN917" s="79"/>
      <c r="AO917" s="79"/>
      <c r="AP917" s="79"/>
      <c r="AQ917" s="79"/>
      <c r="AR917" s="79"/>
      <c r="AS917" s="79"/>
      <c r="AT917" s="77"/>
      <c r="AU917" s="79"/>
      <c r="AV917" s="80"/>
    </row>
    <row r="918" ht="15.75" customHeight="1">
      <c r="A918" s="72"/>
      <c r="B918" s="72"/>
      <c r="C918" s="73"/>
      <c r="D918" s="74"/>
      <c r="E918" s="73"/>
      <c r="F918" s="72"/>
      <c r="G918" s="74"/>
      <c r="H918" s="74"/>
      <c r="I918" s="75"/>
      <c r="J918" s="75"/>
      <c r="K918" s="75"/>
      <c r="L918" s="75"/>
      <c r="M918" s="75"/>
      <c r="N918" s="75"/>
      <c r="O918" s="75"/>
      <c r="P918" s="75"/>
      <c r="Q918" s="75"/>
      <c r="R918" s="76"/>
      <c r="S918" s="75"/>
      <c r="T918" s="75"/>
      <c r="U918" s="75"/>
      <c r="V918" s="75"/>
      <c r="W918" s="75"/>
      <c r="X918" s="77"/>
      <c r="Y918" s="75"/>
      <c r="Z918" s="75"/>
      <c r="AA918" s="75"/>
      <c r="AB918" s="75"/>
      <c r="AC918" s="75"/>
      <c r="AD918" s="75"/>
      <c r="AE918" s="75"/>
      <c r="AF918" s="75"/>
      <c r="AG918" s="75"/>
      <c r="AH918" s="75"/>
      <c r="AI918" s="75"/>
      <c r="AJ918" s="75"/>
      <c r="AK918" s="75"/>
      <c r="AL918" s="75"/>
      <c r="AM918" s="78"/>
      <c r="AN918" s="79"/>
      <c r="AO918" s="79"/>
      <c r="AP918" s="79"/>
      <c r="AQ918" s="79"/>
      <c r="AR918" s="79"/>
      <c r="AS918" s="79"/>
      <c r="AT918" s="77"/>
      <c r="AU918" s="79"/>
      <c r="AV918" s="80"/>
    </row>
    <row r="919" ht="15.75" customHeight="1">
      <c r="A919" s="72"/>
      <c r="B919" s="72"/>
      <c r="C919" s="73"/>
      <c r="D919" s="74"/>
      <c r="E919" s="73"/>
      <c r="F919" s="72"/>
      <c r="G919" s="74"/>
      <c r="H919" s="74"/>
      <c r="I919" s="75"/>
      <c r="J919" s="75"/>
      <c r="K919" s="75"/>
      <c r="L919" s="75"/>
      <c r="M919" s="75"/>
      <c r="N919" s="75"/>
      <c r="O919" s="75"/>
      <c r="P919" s="75"/>
      <c r="Q919" s="75"/>
      <c r="R919" s="76"/>
      <c r="S919" s="75"/>
      <c r="T919" s="75"/>
      <c r="U919" s="75"/>
      <c r="V919" s="75"/>
      <c r="W919" s="75"/>
      <c r="X919" s="77"/>
      <c r="Y919" s="75"/>
      <c r="Z919" s="75"/>
      <c r="AA919" s="75"/>
      <c r="AB919" s="75"/>
      <c r="AC919" s="75"/>
      <c r="AD919" s="75"/>
      <c r="AE919" s="75"/>
      <c r="AF919" s="75"/>
      <c r="AG919" s="75"/>
      <c r="AH919" s="75"/>
      <c r="AI919" s="75"/>
      <c r="AJ919" s="75"/>
      <c r="AK919" s="75"/>
      <c r="AL919" s="75"/>
      <c r="AM919" s="78"/>
      <c r="AN919" s="79"/>
      <c r="AO919" s="79"/>
      <c r="AP919" s="79"/>
      <c r="AQ919" s="79"/>
      <c r="AR919" s="79"/>
      <c r="AS919" s="79"/>
      <c r="AT919" s="77"/>
      <c r="AU919" s="79"/>
      <c r="AV919" s="80"/>
    </row>
    <row r="920" ht="15.75" customHeight="1">
      <c r="A920" s="72"/>
      <c r="B920" s="72"/>
      <c r="C920" s="73"/>
      <c r="D920" s="74"/>
      <c r="E920" s="73"/>
      <c r="F920" s="72"/>
      <c r="G920" s="74"/>
      <c r="H920" s="74"/>
      <c r="I920" s="75"/>
      <c r="J920" s="75"/>
      <c r="K920" s="75"/>
      <c r="L920" s="75"/>
      <c r="M920" s="75"/>
      <c r="N920" s="75"/>
      <c r="O920" s="75"/>
      <c r="P920" s="75"/>
      <c r="Q920" s="75"/>
      <c r="R920" s="76"/>
      <c r="S920" s="75"/>
      <c r="T920" s="75"/>
      <c r="U920" s="75"/>
      <c r="V920" s="75"/>
      <c r="W920" s="75"/>
      <c r="X920" s="77"/>
      <c r="Y920" s="75"/>
      <c r="Z920" s="75"/>
      <c r="AA920" s="75"/>
      <c r="AB920" s="75"/>
      <c r="AC920" s="75"/>
      <c r="AD920" s="75"/>
      <c r="AE920" s="75"/>
      <c r="AF920" s="75"/>
      <c r="AG920" s="75"/>
      <c r="AH920" s="75"/>
      <c r="AI920" s="75"/>
      <c r="AJ920" s="75"/>
      <c r="AK920" s="75"/>
      <c r="AL920" s="75"/>
      <c r="AM920" s="78"/>
      <c r="AN920" s="79"/>
      <c r="AO920" s="79"/>
      <c r="AP920" s="79"/>
      <c r="AQ920" s="79"/>
      <c r="AR920" s="79"/>
      <c r="AS920" s="79"/>
      <c r="AT920" s="77"/>
      <c r="AU920" s="79"/>
      <c r="AV920" s="80"/>
    </row>
    <row r="921" ht="15.75" customHeight="1">
      <c r="A921" s="72"/>
      <c r="B921" s="72"/>
      <c r="C921" s="73"/>
      <c r="D921" s="74"/>
      <c r="E921" s="73"/>
      <c r="F921" s="72"/>
      <c r="G921" s="74"/>
      <c r="H921" s="74"/>
      <c r="I921" s="75"/>
      <c r="J921" s="75"/>
      <c r="K921" s="75"/>
      <c r="L921" s="75"/>
      <c r="M921" s="75"/>
      <c r="N921" s="75"/>
      <c r="O921" s="75"/>
      <c r="P921" s="75"/>
      <c r="Q921" s="75"/>
      <c r="R921" s="76"/>
      <c r="S921" s="75"/>
      <c r="T921" s="75"/>
      <c r="U921" s="75"/>
      <c r="V921" s="75"/>
      <c r="W921" s="75"/>
      <c r="X921" s="77"/>
      <c r="Y921" s="75"/>
      <c r="Z921" s="75"/>
      <c r="AA921" s="75"/>
      <c r="AB921" s="75"/>
      <c r="AC921" s="75"/>
      <c r="AD921" s="75"/>
      <c r="AE921" s="75"/>
      <c r="AF921" s="75"/>
      <c r="AG921" s="75"/>
      <c r="AH921" s="75"/>
      <c r="AI921" s="75"/>
      <c r="AJ921" s="75"/>
      <c r="AK921" s="75"/>
      <c r="AL921" s="75"/>
      <c r="AM921" s="78"/>
      <c r="AN921" s="79"/>
      <c r="AO921" s="79"/>
      <c r="AP921" s="79"/>
      <c r="AQ921" s="79"/>
      <c r="AR921" s="79"/>
      <c r="AS921" s="79"/>
      <c r="AT921" s="77"/>
      <c r="AU921" s="79"/>
      <c r="AV921" s="80"/>
    </row>
    <row r="922" ht="15.75" customHeight="1">
      <c r="A922" s="72"/>
      <c r="B922" s="72"/>
      <c r="C922" s="73"/>
      <c r="D922" s="74"/>
      <c r="E922" s="73"/>
      <c r="F922" s="72"/>
      <c r="G922" s="74"/>
      <c r="H922" s="74"/>
      <c r="I922" s="75"/>
      <c r="J922" s="75"/>
      <c r="K922" s="75"/>
      <c r="L922" s="75"/>
      <c r="M922" s="75"/>
      <c r="N922" s="75"/>
      <c r="O922" s="75"/>
      <c r="P922" s="75"/>
      <c r="Q922" s="75"/>
      <c r="R922" s="76"/>
      <c r="S922" s="75"/>
      <c r="T922" s="75"/>
      <c r="U922" s="75"/>
      <c r="V922" s="75"/>
      <c r="W922" s="75"/>
      <c r="X922" s="77"/>
      <c r="Y922" s="75"/>
      <c r="Z922" s="75"/>
      <c r="AA922" s="75"/>
      <c r="AB922" s="75"/>
      <c r="AC922" s="75"/>
      <c r="AD922" s="75"/>
      <c r="AE922" s="75"/>
      <c r="AF922" s="75"/>
      <c r="AG922" s="75"/>
      <c r="AH922" s="75"/>
      <c r="AI922" s="75"/>
      <c r="AJ922" s="75"/>
      <c r="AK922" s="75"/>
      <c r="AL922" s="75"/>
      <c r="AM922" s="78"/>
      <c r="AN922" s="79"/>
      <c r="AO922" s="79"/>
      <c r="AP922" s="79"/>
      <c r="AQ922" s="79"/>
      <c r="AR922" s="79"/>
      <c r="AS922" s="79"/>
      <c r="AT922" s="77"/>
      <c r="AU922" s="79"/>
      <c r="AV922" s="80"/>
    </row>
    <row r="923" ht="15.75" customHeight="1">
      <c r="A923" s="72"/>
      <c r="B923" s="72"/>
      <c r="C923" s="73"/>
      <c r="D923" s="74"/>
      <c r="E923" s="73"/>
      <c r="F923" s="72"/>
      <c r="G923" s="74"/>
      <c r="H923" s="74"/>
      <c r="I923" s="75"/>
      <c r="J923" s="75"/>
      <c r="K923" s="75"/>
      <c r="L923" s="75"/>
      <c r="M923" s="75"/>
      <c r="N923" s="75"/>
      <c r="O923" s="75"/>
      <c r="P923" s="75"/>
      <c r="Q923" s="75"/>
      <c r="R923" s="76"/>
      <c r="S923" s="75"/>
      <c r="T923" s="75"/>
      <c r="U923" s="75"/>
      <c r="V923" s="75"/>
      <c r="W923" s="75"/>
      <c r="X923" s="77"/>
      <c r="Y923" s="75"/>
      <c r="Z923" s="75"/>
      <c r="AA923" s="75"/>
      <c r="AB923" s="75"/>
      <c r="AC923" s="75"/>
      <c r="AD923" s="75"/>
      <c r="AE923" s="75"/>
      <c r="AF923" s="75"/>
      <c r="AG923" s="75"/>
      <c r="AH923" s="75"/>
      <c r="AI923" s="75"/>
      <c r="AJ923" s="75"/>
      <c r="AK923" s="75"/>
      <c r="AL923" s="75"/>
      <c r="AM923" s="78"/>
      <c r="AN923" s="79"/>
      <c r="AO923" s="79"/>
      <c r="AP923" s="79"/>
      <c r="AQ923" s="79"/>
      <c r="AR923" s="79"/>
      <c r="AS923" s="79"/>
      <c r="AT923" s="77"/>
      <c r="AU923" s="79"/>
      <c r="AV923" s="80"/>
    </row>
    <row r="924" ht="15.75" customHeight="1">
      <c r="A924" s="72"/>
      <c r="B924" s="72"/>
      <c r="C924" s="73"/>
      <c r="D924" s="74"/>
      <c r="E924" s="73"/>
      <c r="F924" s="72"/>
      <c r="G924" s="74"/>
      <c r="H924" s="74"/>
      <c r="I924" s="75"/>
      <c r="J924" s="75"/>
      <c r="K924" s="75"/>
      <c r="L924" s="75"/>
      <c r="M924" s="75"/>
      <c r="N924" s="75"/>
      <c r="O924" s="75"/>
      <c r="P924" s="75"/>
      <c r="Q924" s="75"/>
      <c r="R924" s="76"/>
      <c r="S924" s="75"/>
      <c r="T924" s="75"/>
      <c r="U924" s="75"/>
      <c r="V924" s="75"/>
      <c r="W924" s="75"/>
      <c r="X924" s="77"/>
      <c r="Y924" s="75"/>
      <c r="Z924" s="75"/>
      <c r="AA924" s="75"/>
      <c r="AB924" s="75"/>
      <c r="AC924" s="75"/>
      <c r="AD924" s="75"/>
      <c r="AE924" s="75"/>
      <c r="AF924" s="75"/>
      <c r="AG924" s="75"/>
      <c r="AH924" s="75"/>
      <c r="AI924" s="75"/>
      <c r="AJ924" s="75"/>
      <c r="AK924" s="75"/>
      <c r="AL924" s="75"/>
      <c r="AM924" s="78"/>
      <c r="AN924" s="79"/>
      <c r="AO924" s="79"/>
      <c r="AP924" s="79"/>
      <c r="AQ924" s="79"/>
      <c r="AR924" s="79"/>
      <c r="AS924" s="79"/>
      <c r="AT924" s="77"/>
      <c r="AU924" s="79"/>
      <c r="AV924" s="80"/>
    </row>
    <row r="925" ht="15.75" customHeight="1">
      <c r="A925" s="72"/>
      <c r="B925" s="72"/>
      <c r="C925" s="73"/>
      <c r="D925" s="74"/>
      <c r="E925" s="73"/>
      <c r="F925" s="72"/>
      <c r="G925" s="74"/>
      <c r="H925" s="74"/>
      <c r="I925" s="75"/>
      <c r="J925" s="75"/>
      <c r="K925" s="75"/>
      <c r="L925" s="75"/>
      <c r="M925" s="75"/>
      <c r="N925" s="75"/>
      <c r="O925" s="75"/>
      <c r="P925" s="75"/>
      <c r="Q925" s="75"/>
      <c r="R925" s="76"/>
      <c r="S925" s="75"/>
      <c r="T925" s="75"/>
      <c r="U925" s="75"/>
      <c r="V925" s="75"/>
      <c r="W925" s="75"/>
      <c r="X925" s="77"/>
      <c r="Y925" s="75"/>
      <c r="Z925" s="75"/>
      <c r="AA925" s="75"/>
      <c r="AB925" s="75"/>
      <c r="AC925" s="75"/>
      <c r="AD925" s="75"/>
      <c r="AE925" s="75"/>
      <c r="AF925" s="75"/>
      <c r="AG925" s="75"/>
      <c r="AH925" s="75"/>
      <c r="AI925" s="75"/>
      <c r="AJ925" s="75"/>
      <c r="AK925" s="75"/>
      <c r="AL925" s="75"/>
      <c r="AM925" s="78"/>
      <c r="AN925" s="79"/>
      <c r="AO925" s="79"/>
      <c r="AP925" s="79"/>
      <c r="AQ925" s="79"/>
      <c r="AR925" s="79"/>
      <c r="AS925" s="79"/>
      <c r="AT925" s="77"/>
      <c r="AU925" s="79"/>
      <c r="AV925" s="80"/>
    </row>
    <row r="926" ht="15.75" customHeight="1">
      <c r="A926" s="72"/>
      <c r="B926" s="72"/>
      <c r="C926" s="73"/>
      <c r="D926" s="74"/>
      <c r="E926" s="73"/>
      <c r="F926" s="72"/>
      <c r="G926" s="74"/>
      <c r="H926" s="74"/>
      <c r="I926" s="75"/>
      <c r="J926" s="75"/>
      <c r="K926" s="75"/>
      <c r="L926" s="75"/>
      <c r="M926" s="75"/>
      <c r="N926" s="75"/>
      <c r="O926" s="75"/>
      <c r="P926" s="75"/>
      <c r="Q926" s="75"/>
      <c r="R926" s="76"/>
      <c r="S926" s="75"/>
      <c r="T926" s="75"/>
      <c r="U926" s="75"/>
      <c r="V926" s="75"/>
      <c r="W926" s="75"/>
      <c r="X926" s="77"/>
      <c r="Y926" s="75"/>
      <c r="Z926" s="75"/>
      <c r="AA926" s="75"/>
      <c r="AB926" s="75"/>
      <c r="AC926" s="75"/>
      <c r="AD926" s="75"/>
      <c r="AE926" s="75"/>
      <c r="AF926" s="75"/>
      <c r="AG926" s="75"/>
      <c r="AH926" s="75"/>
      <c r="AI926" s="75"/>
      <c r="AJ926" s="75"/>
      <c r="AK926" s="75"/>
      <c r="AL926" s="75"/>
      <c r="AM926" s="78"/>
      <c r="AN926" s="79"/>
      <c r="AO926" s="79"/>
      <c r="AP926" s="79"/>
      <c r="AQ926" s="79"/>
      <c r="AR926" s="79"/>
      <c r="AS926" s="79"/>
      <c r="AT926" s="77"/>
      <c r="AU926" s="79"/>
      <c r="AV926" s="80"/>
    </row>
    <row r="927" ht="15.75" customHeight="1">
      <c r="A927" s="72"/>
      <c r="B927" s="72"/>
      <c r="C927" s="73"/>
      <c r="D927" s="74"/>
      <c r="E927" s="73"/>
      <c r="F927" s="72"/>
      <c r="G927" s="74"/>
      <c r="H927" s="74"/>
      <c r="I927" s="75"/>
      <c r="J927" s="75"/>
      <c r="K927" s="75"/>
      <c r="L927" s="75"/>
      <c r="M927" s="75"/>
      <c r="N927" s="75"/>
      <c r="O927" s="75"/>
      <c r="P927" s="75"/>
      <c r="Q927" s="75"/>
      <c r="R927" s="76"/>
      <c r="S927" s="75"/>
      <c r="T927" s="75"/>
      <c r="U927" s="75"/>
      <c r="V927" s="75"/>
      <c r="W927" s="75"/>
      <c r="X927" s="77"/>
      <c r="Y927" s="75"/>
      <c r="Z927" s="75"/>
      <c r="AA927" s="75"/>
      <c r="AB927" s="75"/>
      <c r="AC927" s="75"/>
      <c r="AD927" s="75"/>
      <c r="AE927" s="75"/>
      <c r="AF927" s="75"/>
      <c r="AG927" s="75"/>
      <c r="AH927" s="75"/>
      <c r="AI927" s="75"/>
      <c r="AJ927" s="75"/>
      <c r="AK927" s="75"/>
      <c r="AL927" s="75"/>
      <c r="AM927" s="78"/>
      <c r="AN927" s="79"/>
      <c r="AO927" s="79"/>
      <c r="AP927" s="79"/>
      <c r="AQ927" s="79"/>
      <c r="AR927" s="79"/>
      <c r="AS927" s="79"/>
      <c r="AT927" s="77"/>
      <c r="AU927" s="79"/>
      <c r="AV927" s="80"/>
    </row>
    <row r="928" ht="15.75" customHeight="1">
      <c r="A928" s="72"/>
      <c r="B928" s="72"/>
      <c r="C928" s="73"/>
      <c r="D928" s="74"/>
      <c r="E928" s="73"/>
      <c r="F928" s="72"/>
      <c r="G928" s="74"/>
      <c r="H928" s="74"/>
      <c r="I928" s="75"/>
      <c r="J928" s="75"/>
      <c r="K928" s="75"/>
      <c r="L928" s="75"/>
      <c r="M928" s="75"/>
      <c r="N928" s="75"/>
      <c r="O928" s="75"/>
      <c r="P928" s="75"/>
      <c r="Q928" s="75"/>
      <c r="R928" s="76"/>
      <c r="S928" s="75"/>
      <c r="T928" s="75"/>
      <c r="U928" s="75"/>
      <c r="V928" s="75"/>
      <c r="W928" s="75"/>
      <c r="X928" s="77"/>
      <c r="Y928" s="75"/>
      <c r="Z928" s="75"/>
      <c r="AA928" s="75"/>
      <c r="AB928" s="75"/>
      <c r="AC928" s="75"/>
      <c r="AD928" s="75"/>
      <c r="AE928" s="75"/>
      <c r="AF928" s="75"/>
      <c r="AG928" s="75"/>
      <c r="AH928" s="75"/>
      <c r="AI928" s="75"/>
      <c r="AJ928" s="75"/>
      <c r="AK928" s="75"/>
      <c r="AL928" s="75"/>
      <c r="AM928" s="78"/>
      <c r="AN928" s="79"/>
      <c r="AO928" s="79"/>
      <c r="AP928" s="79"/>
      <c r="AQ928" s="79"/>
      <c r="AR928" s="79"/>
      <c r="AS928" s="79"/>
      <c r="AT928" s="77"/>
      <c r="AU928" s="79"/>
      <c r="AV928" s="80"/>
    </row>
    <row r="929" ht="15.75" customHeight="1">
      <c r="A929" s="72"/>
      <c r="B929" s="72"/>
      <c r="C929" s="73"/>
      <c r="D929" s="74"/>
      <c r="E929" s="73"/>
      <c r="F929" s="72"/>
      <c r="G929" s="74"/>
      <c r="H929" s="74"/>
      <c r="I929" s="75"/>
      <c r="J929" s="75"/>
      <c r="K929" s="75"/>
      <c r="L929" s="75"/>
      <c r="M929" s="75"/>
      <c r="N929" s="75"/>
      <c r="O929" s="75"/>
      <c r="P929" s="75"/>
      <c r="Q929" s="75"/>
      <c r="R929" s="76"/>
      <c r="S929" s="75"/>
      <c r="T929" s="75"/>
      <c r="U929" s="75"/>
      <c r="V929" s="75"/>
      <c r="W929" s="75"/>
      <c r="X929" s="77"/>
      <c r="Y929" s="75"/>
      <c r="Z929" s="75"/>
      <c r="AA929" s="75"/>
      <c r="AB929" s="75"/>
      <c r="AC929" s="75"/>
      <c r="AD929" s="75"/>
      <c r="AE929" s="75"/>
      <c r="AF929" s="75"/>
      <c r="AG929" s="75"/>
      <c r="AH929" s="75"/>
      <c r="AI929" s="75"/>
      <c r="AJ929" s="75"/>
      <c r="AK929" s="75"/>
      <c r="AL929" s="75"/>
      <c r="AM929" s="78"/>
      <c r="AN929" s="79"/>
      <c r="AO929" s="79"/>
      <c r="AP929" s="79"/>
      <c r="AQ929" s="79"/>
      <c r="AR929" s="79"/>
      <c r="AS929" s="79"/>
      <c r="AT929" s="77"/>
      <c r="AU929" s="79"/>
      <c r="AV929" s="80"/>
    </row>
    <row r="930" ht="15.75" customHeight="1">
      <c r="A930" s="72"/>
      <c r="B930" s="72"/>
      <c r="C930" s="73"/>
      <c r="D930" s="74"/>
      <c r="E930" s="73"/>
      <c r="F930" s="72"/>
      <c r="G930" s="74"/>
      <c r="H930" s="74"/>
      <c r="I930" s="75"/>
      <c r="J930" s="75"/>
      <c r="K930" s="75"/>
      <c r="L930" s="75"/>
      <c r="M930" s="75"/>
      <c r="N930" s="75"/>
      <c r="O930" s="75"/>
      <c r="P930" s="75"/>
      <c r="Q930" s="75"/>
      <c r="R930" s="76"/>
      <c r="S930" s="75"/>
      <c r="T930" s="75"/>
      <c r="U930" s="75"/>
      <c r="V930" s="75"/>
      <c r="W930" s="75"/>
      <c r="X930" s="77"/>
      <c r="Y930" s="75"/>
      <c r="Z930" s="75"/>
      <c r="AA930" s="75"/>
      <c r="AB930" s="75"/>
      <c r="AC930" s="75"/>
      <c r="AD930" s="75"/>
      <c r="AE930" s="75"/>
      <c r="AF930" s="75"/>
      <c r="AG930" s="75"/>
      <c r="AH930" s="75"/>
      <c r="AI930" s="75"/>
      <c r="AJ930" s="75"/>
      <c r="AK930" s="75"/>
      <c r="AL930" s="75"/>
      <c r="AM930" s="78"/>
      <c r="AN930" s="79"/>
      <c r="AO930" s="79"/>
      <c r="AP930" s="79"/>
      <c r="AQ930" s="79"/>
      <c r="AR930" s="79"/>
      <c r="AS930" s="79"/>
      <c r="AT930" s="77"/>
      <c r="AU930" s="79"/>
      <c r="AV930" s="80"/>
    </row>
    <row r="931" ht="15.75" customHeight="1">
      <c r="A931" s="72"/>
      <c r="B931" s="72"/>
      <c r="C931" s="73"/>
      <c r="D931" s="74"/>
      <c r="E931" s="73"/>
      <c r="F931" s="72"/>
      <c r="G931" s="74"/>
      <c r="H931" s="74"/>
      <c r="I931" s="75"/>
      <c r="J931" s="75"/>
      <c r="K931" s="75"/>
      <c r="L931" s="75"/>
      <c r="M931" s="75"/>
      <c r="N931" s="75"/>
      <c r="O931" s="75"/>
      <c r="P931" s="75"/>
      <c r="Q931" s="75"/>
      <c r="R931" s="76"/>
      <c r="S931" s="75"/>
      <c r="T931" s="75"/>
      <c r="U931" s="75"/>
      <c r="V931" s="75"/>
      <c r="W931" s="75"/>
      <c r="X931" s="77"/>
      <c r="Y931" s="75"/>
      <c r="Z931" s="75"/>
      <c r="AA931" s="75"/>
      <c r="AB931" s="75"/>
      <c r="AC931" s="75"/>
      <c r="AD931" s="75"/>
      <c r="AE931" s="75"/>
      <c r="AF931" s="75"/>
      <c r="AG931" s="75"/>
      <c r="AH931" s="75"/>
      <c r="AI931" s="75"/>
      <c r="AJ931" s="75"/>
      <c r="AK931" s="75"/>
      <c r="AL931" s="75"/>
      <c r="AM931" s="78"/>
      <c r="AN931" s="79"/>
      <c r="AO931" s="79"/>
      <c r="AP931" s="79"/>
      <c r="AQ931" s="79"/>
      <c r="AR931" s="79"/>
      <c r="AS931" s="79"/>
      <c r="AT931" s="77"/>
      <c r="AU931" s="79"/>
      <c r="AV931" s="80"/>
    </row>
    <row r="932" ht="15.75" customHeight="1">
      <c r="A932" s="72"/>
      <c r="B932" s="72"/>
      <c r="C932" s="73"/>
      <c r="D932" s="74"/>
      <c r="E932" s="73"/>
      <c r="F932" s="72"/>
      <c r="G932" s="74"/>
      <c r="H932" s="74"/>
      <c r="I932" s="75"/>
      <c r="J932" s="75"/>
      <c r="K932" s="75"/>
      <c r="L932" s="75"/>
      <c r="M932" s="75"/>
      <c r="N932" s="75"/>
      <c r="O932" s="75"/>
      <c r="P932" s="75"/>
      <c r="Q932" s="75"/>
      <c r="R932" s="76"/>
      <c r="S932" s="75"/>
      <c r="T932" s="75"/>
      <c r="U932" s="75"/>
      <c r="V932" s="75"/>
      <c r="W932" s="75"/>
      <c r="X932" s="77"/>
      <c r="Y932" s="75"/>
      <c r="Z932" s="75"/>
      <c r="AA932" s="75"/>
      <c r="AB932" s="75"/>
      <c r="AC932" s="75"/>
      <c r="AD932" s="75"/>
      <c r="AE932" s="75"/>
      <c r="AF932" s="75"/>
      <c r="AG932" s="75"/>
      <c r="AH932" s="75"/>
      <c r="AI932" s="75"/>
      <c r="AJ932" s="75"/>
      <c r="AK932" s="75"/>
      <c r="AL932" s="75"/>
      <c r="AM932" s="78"/>
      <c r="AN932" s="79"/>
      <c r="AO932" s="79"/>
      <c r="AP932" s="79"/>
      <c r="AQ932" s="79"/>
      <c r="AR932" s="79"/>
      <c r="AS932" s="79"/>
      <c r="AT932" s="77"/>
      <c r="AU932" s="79"/>
      <c r="AV932" s="80"/>
    </row>
    <row r="933" ht="15.75" customHeight="1">
      <c r="A933" s="72"/>
      <c r="B933" s="72"/>
      <c r="C933" s="73"/>
      <c r="D933" s="74"/>
      <c r="E933" s="73"/>
      <c r="F933" s="72"/>
      <c r="G933" s="74"/>
      <c r="H933" s="74"/>
      <c r="I933" s="75"/>
      <c r="J933" s="75"/>
      <c r="K933" s="75"/>
      <c r="L933" s="75"/>
      <c r="M933" s="75"/>
      <c r="N933" s="75"/>
      <c r="O933" s="75"/>
      <c r="P933" s="75"/>
      <c r="Q933" s="75"/>
      <c r="R933" s="76"/>
      <c r="S933" s="75"/>
      <c r="T933" s="75"/>
      <c r="U933" s="75"/>
      <c r="V933" s="75"/>
      <c r="W933" s="75"/>
      <c r="X933" s="77"/>
      <c r="Y933" s="75"/>
      <c r="Z933" s="75"/>
      <c r="AA933" s="75"/>
      <c r="AB933" s="75"/>
      <c r="AC933" s="75"/>
      <c r="AD933" s="75"/>
      <c r="AE933" s="75"/>
      <c r="AF933" s="75"/>
      <c r="AG933" s="75"/>
      <c r="AH933" s="75"/>
      <c r="AI933" s="75"/>
      <c r="AJ933" s="75"/>
      <c r="AK933" s="75"/>
      <c r="AL933" s="75"/>
      <c r="AM933" s="78"/>
      <c r="AN933" s="79"/>
      <c r="AO933" s="79"/>
      <c r="AP933" s="79"/>
      <c r="AQ933" s="79"/>
      <c r="AR933" s="79"/>
      <c r="AS933" s="79"/>
      <c r="AT933" s="77"/>
      <c r="AU933" s="79"/>
      <c r="AV933" s="80"/>
    </row>
    <row r="934" ht="15.75" customHeight="1">
      <c r="A934" s="72"/>
      <c r="B934" s="72"/>
      <c r="C934" s="73"/>
      <c r="D934" s="74"/>
      <c r="E934" s="73"/>
      <c r="F934" s="72"/>
      <c r="G934" s="74"/>
      <c r="H934" s="74"/>
      <c r="I934" s="75"/>
      <c r="J934" s="75"/>
      <c r="K934" s="75"/>
      <c r="L934" s="75"/>
      <c r="M934" s="75"/>
      <c r="N934" s="75"/>
      <c r="O934" s="75"/>
      <c r="P934" s="75"/>
      <c r="Q934" s="75"/>
      <c r="R934" s="76"/>
      <c r="S934" s="75"/>
      <c r="T934" s="75"/>
      <c r="U934" s="75"/>
      <c r="V934" s="75"/>
      <c r="W934" s="75"/>
      <c r="X934" s="77"/>
      <c r="Y934" s="75"/>
      <c r="Z934" s="75"/>
      <c r="AA934" s="75"/>
      <c r="AB934" s="75"/>
      <c r="AC934" s="75"/>
      <c r="AD934" s="75"/>
      <c r="AE934" s="75"/>
      <c r="AF934" s="75"/>
      <c r="AG934" s="75"/>
      <c r="AH934" s="75"/>
      <c r="AI934" s="75"/>
      <c r="AJ934" s="75"/>
      <c r="AK934" s="75"/>
      <c r="AL934" s="75"/>
      <c r="AM934" s="78"/>
      <c r="AN934" s="79"/>
      <c r="AO934" s="79"/>
      <c r="AP934" s="79"/>
      <c r="AQ934" s="79"/>
      <c r="AR934" s="79"/>
      <c r="AS934" s="79"/>
      <c r="AT934" s="77"/>
      <c r="AU934" s="79"/>
      <c r="AV934" s="80"/>
    </row>
    <row r="935" ht="15.75" customHeight="1">
      <c r="A935" s="72"/>
      <c r="B935" s="72"/>
      <c r="C935" s="73"/>
      <c r="D935" s="74"/>
      <c r="E935" s="73"/>
      <c r="F935" s="72"/>
      <c r="G935" s="74"/>
      <c r="H935" s="74"/>
      <c r="I935" s="75"/>
      <c r="J935" s="75"/>
      <c r="K935" s="75"/>
      <c r="L935" s="75"/>
      <c r="M935" s="75"/>
      <c r="N935" s="75"/>
      <c r="O935" s="75"/>
      <c r="P935" s="75"/>
      <c r="Q935" s="75"/>
      <c r="R935" s="76"/>
      <c r="S935" s="75"/>
      <c r="T935" s="75"/>
      <c r="U935" s="75"/>
      <c r="V935" s="75"/>
      <c r="W935" s="75"/>
      <c r="X935" s="77"/>
      <c r="Y935" s="75"/>
      <c r="Z935" s="75"/>
      <c r="AA935" s="75"/>
      <c r="AB935" s="75"/>
      <c r="AC935" s="75"/>
      <c r="AD935" s="75"/>
      <c r="AE935" s="75"/>
      <c r="AF935" s="75"/>
      <c r="AG935" s="75"/>
      <c r="AH935" s="75"/>
      <c r="AI935" s="75"/>
      <c r="AJ935" s="75"/>
      <c r="AK935" s="75"/>
      <c r="AL935" s="75"/>
      <c r="AM935" s="78"/>
      <c r="AN935" s="79"/>
      <c r="AO935" s="79"/>
      <c r="AP935" s="79"/>
      <c r="AQ935" s="79"/>
      <c r="AR935" s="79"/>
      <c r="AS935" s="79"/>
      <c r="AT935" s="77"/>
      <c r="AU935" s="79"/>
      <c r="AV935" s="80"/>
    </row>
    <row r="936" ht="15.75" customHeight="1">
      <c r="A936" s="72"/>
      <c r="B936" s="72"/>
      <c r="C936" s="73"/>
      <c r="D936" s="74"/>
      <c r="E936" s="73"/>
      <c r="F936" s="72"/>
      <c r="G936" s="74"/>
      <c r="H936" s="74"/>
      <c r="I936" s="75"/>
      <c r="J936" s="75"/>
      <c r="K936" s="75"/>
      <c r="L936" s="75"/>
      <c r="M936" s="75"/>
      <c r="N936" s="75"/>
      <c r="O936" s="75"/>
      <c r="P936" s="75"/>
      <c r="Q936" s="75"/>
      <c r="R936" s="76"/>
      <c r="S936" s="75"/>
      <c r="T936" s="75"/>
      <c r="U936" s="75"/>
      <c r="V936" s="75"/>
      <c r="W936" s="75"/>
      <c r="X936" s="77"/>
      <c r="Y936" s="75"/>
      <c r="Z936" s="75"/>
      <c r="AA936" s="75"/>
      <c r="AB936" s="75"/>
      <c r="AC936" s="75"/>
      <c r="AD936" s="75"/>
      <c r="AE936" s="75"/>
      <c r="AF936" s="75"/>
      <c r="AG936" s="75"/>
      <c r="AH936" s="75"/>
      <c r="AI936" s="75"/>
      <c r="AJ936" s="75"/>
      <c r="AK936" s="75"/>
      <c r="AL936" s="75"/>
      <c r="AM936" s="78"/>
      <c r="AN936" s="79"/>
      <c r="AO936" s="79"/>
      <c r="AP936" s="79"/>
      <c r="AQ936" s="79"/>
      <c r="AR936" s="79"/>
      <c r="AS936" s="79"/>
      <c r="AT936" s="77"/>
      <c r="AU936" s="79"/>
      <c r="AV936" s="80"/>
    </row>
    <row r="937" ht="15.75" customHeight="1">
      <c r="A937" s="72"/>
      <c r="B937" s="72"/>
      <c r="C937" s="73"/>
      <c r="D937" s="74"/>
      <c r="E937" s="73"/>
      <c r="F937" s="72"/>
      <c r="G937" s="74"/>
      <c r="H937" s="74"/>
      <c r="I937" s="75"/>
      <c r="J937" s="75"/>
      <c r="K937" s="75"/>
      <c r="L937" s="75"/>
      <c r="M937" s="75"/>
      <c r="N937" s="75"/>
      <c r="O937" s="75"/>
      <c r="P937" s="75"/>
      <c r="Q937" s="75"/>
      <c r="R937" s="76"/>
      <c r="S937" s="75"/>
      <c r="T937" s="75"/>
      <c r="U937" s="75"/>
      <c r="V937" s="75"/>
      <c r="W937" s="75"/>
      <c r="X937" s="77"/>
      <c r="Y937" s="75"/>
      <c r="Z937" s="75"/>
      <c r="AA937" s="75"/>
      <c r="AB937" s="75"/>
      <c r="AC937" s="75"/>
      <c r="AD937" s="75"/>
      <c r="AE937" s="75"/>
      <c r="AF937" s="75"/>
      <c r="AG937" s="75"/>
      <c r="AH937" s="75"/>
      <c r="AI937" s="75"/>
      <c r="AJ937" s="75"/>
      <c r="AK937" s="75"/>
      <c r="AL937" s="75"/>
      <c r="AM937" s="78"/>
      <c r="AN937" s="79"/>
      <c r="AO937" s="79"/>
      <c r="AP937" s="79"/>
      <c r="AQ937" s="79"/>
      <c r="AR937" s="79"/>
      <c r="AS937" s="79"/>
      <c r="AT937" s="77"/>
      <c r="AU937" s="79"/>
      <c r="AV937" s="80"/>
    </row>
    <row r="938" ht="15.75" customHeight="1">
      <c r="A938" s="72"/>
      <c r="B938" s="72"/>
      <c r="C938" s="73"/>
      <c r="D938" s="74"/>
      <c r="E938" s="73"/>
      <c r="F938" s="72"/>
      <c r="G938" s="74"/>
      <c r="H938" s="74"/>
      <c r="I938" s="75"/>
      <c r="J938" s="75"/>
      <c r="K938" s="75"/>
      <c r="L938" s="75"/>
      <c r="M938" s="75"/>
      <c r="N938" s="75"/>
      <c r="O938" s="75"/>
      <c r="P938" s="75"/>
      <c r="Q938" s="75"/>
      <c r="R938" s="76"/>
      <c r="S938" s="75"/>
      <c r="T938" s="75"/>
      <c r="U938" s="75"/>
      <c r="V938" s="75"/>
      <c r="W938" s="75"/>
      <c r="X938" s="77"/>
      <c r="Y938" s="75"/>
      <c r="Z938" s="75"/>
      <c r="AA938" s="75"/>
      <c r="AB938" s="75"/>
      <c r="AC938" s="75"/>
      <c r="AD938" s="75"/>
      <c r="AE938" s="75"/>
      <c r="AF938" s="75"/>
      <c r="AG938" s="75"/>
      <c r="AH938" s="75"/>
      <c r="AI938" s="75"/>
      <c r="AJ938" s="75"/>
      <c r="AK938" s="75"/>
      <c r="AL938" s="75"/>
      <c r="AM938" s="78"/>
      <c r="AN938" s="79"/>
      <c r="AO938" s="79"/>
      <c r="AP938" s="79"/>
      <c r="AQ938" s="79"/>
      <c r="AR938" s="79"/>
      <c r="AS938" s="79"/>
      <c r="AT938" s="77"/>
      <c r="AU938" s="79"/>
      <c r="AV938" s="80"/>
    </row>
    <row r="939" ht="15.75" customHeight="1">
      <c r="A939" s="72"/>
      <c r="B939" s="72"/>
      <c r="C939" s="73"/>
      <c r="D939" s="74"/>
      <c r="E939" s="73"/>
      <c r="F939" s="72"/>
      <c r="G939" s="74"/>
      <c r="H939" s="74"/>
      <c r="I939" s="75"/>
      <c r="J939" s="75"/>
      <c r="K939" s="75"/>
      <c r="L939" s="75"/>
      <c r="M939" s="75"/>
      <c r="N939" s="75"/>
      <c r="O939" s="75"/>
      <c r="P939" s="75"/>
      <c r="Q939" s="75"/>
      <c r="R939" s="76"/>
      <c r="S939" s="75"/>
      <c r="T939" s="75"/>
      <c r="U939" s="75"/>
      <c r="V939" s="75"/>
      <c r="W939" s="75"/>
      <c r="X939" s="77"/>
      <c r="Y939" s="75"/>
      <c r="Z939" s="75"/>
      <c r="AA939" s="75"/>
      <c r="AB939" s="75"/>
      <c r="AC939" s="75"/>
      <c r="AD939" s="75"/>
      <c r="AE939" s="75"/>
      <c r="AF939" s="75"/>
      <c r="AG939" s="75"/>
      <c r="AH939" s="75"/>
      <c r="AI939" s="75"/>
      <c r="AJ939" s="75"/>
      <c r="AK939" s="75"/>
      <c r="AL939" s="75"/>
      <c r="AM939" s="78"/>
      <c r="AN939" s="79"/>
      <c r="AO939" s="79"/>
      <c r="AP939" s="79"/>
      <c r="AQ939" s="79"/>
      <c r="AR939" s="79"/>
      <c r="AS939" s="79"/>
      <c r="AT939" s="77"/>
      <c r="AU939" s="79"/>
      <c r="AV939" s="80"/>
    </row>
    <row r="940" ht="15.75" customHeight="1">
      <c r="A940" s="72"/>
      <c r="B940" s="72"/>
      <c r="C940" s="73"/>
      <c r="D940" s="74"/>
      <c r="E940" s="73"/>
      <c r="F940" s="72"/>
      <c r="G940" s="74"/>
      <c r="H940" s="74"/>
      <c r="I940" s="75"/>
      <c r="J940" s="75"/>
      <c r="K940" s="75"/>
      <c r="L940" s="75"/>
      <c r="M940" s="75"/>
      <c r="N940" s="75"/>
      <c r="O940" s="75"/>
      <c r="P940" s="75"/>
      <c r="Q940" s="75"/>
      <c r="R940" s="76"/>
      <c r="S940" s="75"/>
      <c r="T940" s="75"/>
      <c r="U940" s="75"/>
      <c r="V940" s="75"/>
      <c r="W940" s="75"/>
      <c r="X940" s="77"/>
      <c r="Y940" s="75"/>
      <c r="Z940" s="75"/>
      <c r="AA940" s="75"/>
      <c r="AB940" s="75"/>
      <c r="AC940" s="75"/>
      <c r="AD940" s="75"/>
      <c r="AE940" s="75"/>
      <c r="AF940" s="75"/>
      <c r="AG940" s="75"/>
      <c r="AH940" s="75"/>
      <c r="AI940" s="75"/>
      <c r="AJ940" s="75"/>
      <c r="AK940" s="75"/>
      <c r="AL940" s="75"/>
      <c r="AM940" s="78"/>
      <c r="AN940" s="79"/>
      <c r="AO940" s="79"/>
      <c r="AP940" s="79"/>
      <c r="AQ940" s="79"/>
      <c r="AR940" s="79"/>
      <c r="AS940" s="79"/>
      <c r="AT940" s="77"/>
      <c r="AU940" s="79"/>
      <c r="AV940" s="80"/>
    </row>
    <row r="941" ht="15.75" customHeight="1">
      <c r="A941" s="72"/>
      <c r="B941" s="72"/>
      <c r="C941" s="73"/>
      <c r="D941" s="74"/>
      <c r="E941" s="73"/>
      <c r="F941" s="72"/>
      <c r="G941" s="74"/>
      <c r="H941" s="74"/>
      <c r="I941" s="75"/>
      <c r="J941" s="75"/>
      <c r="K941" s="75"/>
      <c r="L941" s="75"/>
      <c r="M941" s="75"/>
      <c r="N941" s="75"/>
      <c r="O941" s="75"/>
      <c r="P941" s="75"/>
      <c r="Q941" s="75"/>
      <c r="R941" s="76"/>
      <c r="S941" s="75"/>
      <c r="T941" s="75"/>
      <c r="U941" s="75"/>
      <c r="V941" s="75"/>
      <c r="W941" s="75"/>
      <c r="X941" s="77"/>
      <c r="Y941" s="75"/>
      <c r="Z941" s="75"/>
      <c r="AA941" s="75"/>
      <c r="AB941" s="75"/>
      <c r="AC941" s="75"/>
      <c r="AD941" s="75"/>
      <c r="AE941" s="75"/>
      <c r="AF941" s="75"/>
      <c r="AG941" s="75"/>
      <c r="AH941" s="75"/>
      <c r="AI941" s="75"/>
      <c r="AJ941" s="75"/>
      <c r="AK941" s="75"/>
      <c r="AL941" s="75"/>
      <c r="AM941" s="78"/>
      <c r="AN941" s="79"/>
      <c r="AO941" s="79"/>
      <c r="AP941" s="79"/>
      <c r="AQ941" s="79"/>
      <c r="AR941" s="79"/>
      <c r="AS941" s="79"/>
      <c r="AT941" s="77"/>
      <c r="AU941" s="79"/>
      <c r="AV941" s="80"/>
    </row>
    <row r="942" ht="15.75" customHeight="1">
      <c r="A942" s="72"/>
      <c r="B942" s="72"/>
      <c r="C942" s="73"/>
      <c r="D942" s="74"/>
      <c r="E942" s="73"/>
      <c r="F942" s="72"/>
      <c r="G942" s="74"/>
      <c r="H942" s="74"/>
      <c r="I942" s="75"/>
      <c r="J942" s="75"/>
      <c r="K942" s="75"/>
      <c r="L942" s="75"/>
      <c r="M942" s="75"/>
      <c r="N942" s="75"/>
      <c r="O942" s="75"/>
      <c r="P942" s="75"/>
      <c r="Q942" s="75"/>
      <c r="R942" s="76"/>
      <c r="S942" s="75"/>
      <c r="T942" s="75"/>
      <c r="U942" s="75"/>
      <c r="V942" s="75"/>
      <c r="W942" s="75"/>
      <c r="X942" s="77"/>
      <c r="Y942" s="75"/>
      <c r="Z942" s="75"/>
      <c r="AA942" s="75"/>
      <c r="AB942" s="75"/>
      <c r="AC942" s="75"/>
      <c r="AD942" s="75"/>
      <c r="AE942" s="75"/>
      <c r="AF942" s="75"/>
      <c r="AG942" s="75"/>
      <c r="AH942" s="75"/>
      <c r="AI942" s="75"/>
      <c r="AJ942" s="75"/>
      <c r="AK942" s="75"/>
      <c r="AL942" s="75"/>
      <c r="AM942" s="78"/>
      <c r="AN942" s="79"/>
      <c r="AO942" s="79"/>
      <c r="AP942" s="79"/>
      <c r="AQ942" s="79"/>
      <c r="AR942" s="79"/>
      <c r="AS942" s="79"/>
      <c r="AT942" s="77"/>
      <c r="AU942" s="79"/>
      <c r="AV942" s="80"/>
    </row>
    <row r="943" ht="15.75" customHeight="1">
      <c r="A943" s="72"/>
      <c r="B943" s="72"/>
      <c r="C943" s="73"/>
      <c r="D943" s="74"/>
      <c r="E943" s="73"/>
      <c r="F943" s="72"/>
      <c r="G943" s="74"/>
      <c r="H943" s="74"/>
      <c r="I943" s="75"/>
      <c r="J943" s="75"/>
      <c r="K943" s="75"/>
      <c r="L943" s="75"/>
      <c r="M943" s="75"/>
      <c r="N943" s="75"/>
      <c r="O943" s="75"/>
      <c r="P943" s="75"/>
      <c r="Q943" s="75"/>
      <c r="R943" s="76"/>
      <c r="S943" s="75"/>
      <c r="T943" s="75"/>
      <c r="U943" s="75"/>
      <c r="V943" s="75"/>
      <c r="W943" s="75"/>
      <c r="X943" s="77"/>
      <c r="Y943" s="75"/>
      <c r="Z943" s="75"/>
      <c r="AA943" s="75"/>
      <c r="AB943" s="75"/>
      <c r="AC943" s="75"/>
      <c r="AD943" s="75"/>
      <c r="AE943" s="75"/>
      <c r="AF943" s="75"/>
      <c r="AG943" s="75"/>
      <c r="AH943" s="75"/>
      <c r="AI943" s="75"/>
      <c r="AJ943" s="75"/>
      <c r="AK943" s="75"/>
      <c r="AL943" s="75"/>
      <c r="AM943" s="78"/>
      <c r="AN943" s="79"/>
      <c r="AO943" s="79"/>
      <c r="AP943" s="79"/>
      <c r="AQ943" s="79"/>
      <c r="AR943" s="79"/>
      <c r="AS943" s="79"/>
      <c r="AT943" s="77"/>
      <c r="AU943" s="79"/>
      <c r="AV943" s="80"/>
    </row>
    <row r="944" ht="15.75" customHeight="1">
      <c r="A944" s="72"/>
      <c r="B944" s="72"/>
      <c r="C944" s="73"/>
      <c r="D944" s="74"/>
      <c r="E944" s="73"/>
      <c r="F944" s="72"/>
      <c r="G944" s="74"/>
      <c r="H944" s="74"/>
      <c r="I944" s="75"/>
      <c r="J944" s="75"/>
      <c r="K944" s="75"/>
      <c r="L944" s="75"/>
      <c r="M944" s="75"/>
      <c r="N944" s="75"/>
      <c r="O944" s="75"/>
      <c r="P944" s="75"/>
      <c r="Q944" s="75"/>
      <c r="R944" s="76"/>
      <c r="S944" s="75"/>
      <c r="T944" s="75"/>
      <c r="U944" s="75"/>
      <c r="V944" s="75"/>
      <c r="W944" s="75"/>
      <c r="X944" s="77"/>
      <c r="Y944" s="75"/>
      <c r="Z944" s="75"/>
      <c r="AA944" s="75"/>
      <c r="AB944" s="75"/>
      <c r="AC944" s="75"/>
      <c r="AD944" s="75"/>
      <c r="AE944" s="75"/>
      <c r="AF944" s="75"/>
      <c r="AG944" s="75"/>
      <c r="AH944" s="75"/>
      <c r="AI944" s="75"/>
      <c r="AJ944" s="75"/>
      <c r="AK944" s="75"/>
      <c r="AL944" s="75"/>
      <c r="AM944" s="78"/>
      <c r="AN944" s="79"/>
      <c r="AO944" s="79"/>
      <c r="AP944" s="79"/>
      <c r="AQ944" s="79"/>
      <c r="AR944" s="79"/>
      <c r="AS944" s="79"/>
      <c r="AT944" s="77"/>
      <c r="AU944" s="79"/>
      <c r="AV944" s="80"/>
    </row>
    <row r="945" ht="15.75" customHeight="1">
      <c r="A945" s="72"/>
      <c r="B945" s="72"/>
      <c r="C945" s="73"/>
      <c r="D945" s="74"/>
      <c r="E945" s="73"/>
      <c r="F945" s="72"/>
      <c r="G945" s="74"/>
      <c r="H945" s="74"/>
      <c r="I945" s="75"/>
      <c r="J945" s="75"/>
      <c r="K945" s="75"/>
      <c r="L945" s="75"/>
      <c r="M945" s="75"/>
      <c r="N945" s="75"/>
      <c r="O945" s="75"/>
      <c r="P945" s="75"/>
      <c r="Q945" s="75"/>
      <c r="R945" s="76"/>
      <c r="S945" s="75"/>
      <c r="T945" s="75"/>
      <c r="U945" s="75"/>
      <c r="V945" s="75"/>
      <c r="W945" s="75"/>
      <c r="X945" s="77"/>
      <c r="Y945" s="75"/>
      <c r="Z945" s="75"/>
      <c r="AA945" s="75"/>
      <c r="AB945" s="75"/>
      <c r="AC945" s="75"/>
      <c r="AD945" s="75"/>
      <c r="AE945" s="75"/>
      <c r="AF945" s="75"/>
      <c r="AG945" s="75"/>
      <c r="AH945" s="75"/>
      <c r="AI945" s="75"/>
      <c r="AJ945" s="75"/>
      <c r="AK945" s="75"/>
      <c r="AL945" s="75"/>
      <c r="AM945" s="78"/>
      <c r="AN945" s="79"/>
      <c r="AO945" s="79"/>
      <c r="AP945" s="79"/>
      <c r="AQ945" s="79"/>
      <c r="AR945" s="79"/>
      <c r="AS945" s="79"/>
      <c r="AT945" s="77"/>
      <c r="AU945" s="79"/>
      <c r="AV945" s="80"/>
    </row>
    <row r="946" ht="15.75" customHeight="1">
      <c r="A946" s="72"/>
      <c r="B946" s="72"/>
      <c r="C946" s="73"/>
      <c r="D946" s="74"/>
      <c r="E946" s="73"/>
      <c r="F946" s="72"/>
      <c r="G946" s="74"/>
      <c r="H946" s="74"/>
      <c r="I946" s="75"/>
      <c r="J946" s="75"/>
      <c r="K946" s="75"/>
      <c r="L946" s="75"/>
      <c r="M946" s="75"/>
      <c r="N946" s="75"/>
      <c r="O946" s="75"/>
      <c r="P946" s="75"/>
      <c r="Q946" s="75"/>
      <c r="R946" s="76"/>
      <c r="S946" s="75"/>
      <c r="T946" s="75"/>
      <c r="U946" s="75"/>
      <c r="V946" s="75"/>
      <c r="W946" s="75"/>
      <c r="X946" s="77"/>
      <c r="Y946" s="75"/>
      <c r="Z946" s="75"/>
      <c r="AA946" s="75"/>
      <c r="AB946" s="75"/>
      <c r="AC946" s="75"/>
      <c r="AD946" s="75"/>
      <c r="AE946" s="75"/>
      <c r="AF946" s="75"/>
      <c r="AG946" s="75"/>
      <c r="AH946" s="75"/>
      <c r="AI946" s="75"/>
      <c r="AJ946" s="75"/>
      <c r="AK946" s="75"/>
      <c r="AL946" s="75"/>
      <c r="AM946" s="78"/>
      <c r="AN946" s="79"/>
      <c r="AO946" s="79"/>
      <c r="AP946" s="79"/>
      <c r="AQ946" s="79"/>
      <c r="AR946" s="79"/>
      <c r="AS946" s="79"/>
      <c r="AT946" s="77"/>
      <c r="AU946" s="79"/>
      <c r="AV946" s="80"/>
    </row>
    <row r="947" ht="15.75" customHeight="1">
      <c r="A947" s="72"/>
      <c r="B947" s="72"/>
      <c r="C947" s="73"/>
      <c r="D947" s="74"/>
      <c r="E947" s="73"/>
      <c r="F947" s="72"/>
      <c r="G947" s="74"/>
      <c r="H947" s="74"/>
      <c r="I947" s="75"/>
      <c r="J947" s="75"/>
      <c r="K947" s="75"/>
      <c r="L947" s="75"/>
      <c r="M947" s="75"/>
      <c r="N947" s="75"/>
      <c r="O947" s="75"/>
      <c r="P947" s="75"/>
      <c r="Q947" s="75"/>
      <c r="R947" s="76"/>
      <c r="S947" s="75"/>
      <c r="T947" s="75"/>
      <c r="U947" s="75"/>
      <c r="V947" s="75"/>
      <c r="W947" s="75"/>
      <c r="X947" s="77"/>
      <c r="Y947" s="75"/>
      <c r="Z947" s="75"/>
      <c r="AA947" s="75"/>
      <c r="AB947" s="75"/>
      <c r="AC947" s="75"/>
      <c r="AD947" s="75"/>
      <c r="AE947" s="75"/>
      <c r="AF947" s="75"/>
      <c r="AG947" s="75"/>
      <c r="AH947" s="75"/>
      <c r="AI947" s="75"/>
      <c r="AJ947" s="75"/>
      <c r="AK947" s="75"/>
      <c r="AL947" s="75"/>
      <c r="AM947" s="78"/>
      <c r="AN947" s="79"/>
      <c r="AO947" s="79"/>
      <c r="AP947" s="79"/>
      <c r="AQ947" s="79"/>
      <c r="AR947" s="79"/>
      <c r="AS947" s="79"/>
      <c r="AT947" s="77"/>
      <c r="AU947" s="79"/>
      <c r="AV947" s="80"/>
    </row>
    <row r="948" ht="15.75" customHeight="1">
      <c r="A948" s="72"/>
      <c r="B948" s="72"/>
      <c r="C948" s="73"/>
      <c r="D948" s="74"/>
      <c r="E948" s="73"/>
      <c r="F948" s="72"/>
      <c r="G948" s="74"/>
      <c r="H948" s="74"/>
      <c r="I948" s="75"/>
      <c r="J948" s="75"/>
      <c r="K948" s="75"/>
      <c r="L948" s="75"/>
      <c r="M948" s="75"/>
      <c r="N948" s="75"/>
      <c r="O948" s="75"/>
      <c r="P948" s="75"/>
      <c r="Q948" s="75"/>
      <c r="R948" s="76"/>
      <c r="S948" s="75"/>
      <c r="T948" s="75"/>
      <c r="U948" s="75"/>
      <c r="V948" s="75"/>
      <c r="W948" s="75"/>
      <c r="X948" s="77"/>
      <c r="Y948" s="75"/>
      <c r="Z948" s="75"/>
      <c r="AA948" s="75"/>
      <c r="AB948" s="75"/>
      <c r="AC948" s="75"/>
      <c r="AD948" s="75"/>
      <c r="AE948" s="75"/>
      <c r="AF948" s="75"/>
      <c r="AG948" s="75"/>
      <c r="AH948" s="75"/>
      <c r="AI948" s="75"/>
      <c r="AJ948" s="75"/>
      <c r="AK948" s="75"/>
      <c r="AL948" s="75"/>
      <c r="AM948" s="78"/>
      <c r="AN948" s="79"/>
      <c r="AO948" s="79"/>
      <c r="AP948" s="79"/>
      <c r="AQ948" s="79"/>
      <c r="AR948" s="79"/>
      <c r="AS948" s="79"/>
      <c r="AT948" s="77"/>
      <c r="AU948" s="79"/>
      <c r="AV948" s="80"/>
    </row>
    <row r="949" ht="15.75" customHeight="1">
      <c r="A949" s="72"/>
      <c r="B949" s="72"/>
      <c r="C949" s="73"/>
      <c r="D949" s="74"/>
      <c r="E949" s="73"/>
      <c r="F949" s="72"/>
      <c r="G949" s="74"/>
      <c r="H949" s="74"/>
      <c r="I949" s="75"/>
      <c r="J949" s="75"/>
      <c r="K949" s="75"/>
      <c r="L949" s="75"/>
      <c r="M949" s="75"/>
      <c r="N949" s="75"/>
      <c r="O949" s="75"/>
      <c r="P949" s="75"/>
      <c r="Q949" s="75"/>
      <c r="R949" s="76"/>
      <c r="S949" s="75"/>
      <c r="T949" s="75"/>
      <c r="U949" s="75"/>
      <c r="V949" s="75"/>
      <c r="W949" s="75"/>
      <c r="X949" s="77"/>
      <c r="Y949" s="75"/>
      <c r="Z949" s="75"/>
      <c r="AA949" s="75"/>
      <c r="AB949" s="75"/>
      <c r="AC949" s="75"/>
      <c r="AD949" s="75"/>
      <c r="AE949" s="75"/>
      <c r="AF949" s="75"/>
      <c r="AG949" s="75"/>
      <c r="AH949" s="75"/>
      <c r="AI949" s="75"/>
      <c r="AJ949" s="75"/>
      <c r="AK949" s="75"/>
      <c r="AL949" s="75"/>
      <c r="AM949" s="78"/>
      <c r="AN949" s="79"/>
      <c r="AO949" s="79"/>
      <c r="AP949" s="79"/>
      <c r="AQ949" s="79"/>
      <c r="AR949" s="79"/>
      <c r="AS949" s="79"/>
      <c r="AT949" s="77"/>
      <c r="AU949" s="79"/>
      <c r="AV949" s="80"/>
    </row>
    <row r="950" ht="15.75" customHeight="1">
      <c r="A950" s="72"/>
      <c r="B950" s="72"/>
      <c r="C950" s="73"/>
      <c r="D950" s="74"/>
      <c r="E950" s="73"/>
      <c r="F950" s="72"/>
      <c r="G950" s="74"/>
      <c r="H950" s="74"/>
      <c r="I950" s="75"/>
      <c r="J950" s="75"/>
      <c r="K950" s="75"/>
      <c r="L950" s="75"/>
      <c r="M950" s="75"/>
      <c r="N950" s="75"/>
      <c r="O950" s="75"/>
      <c r="P950" s="75"/>
      <c r="Q950" s="75"/>
      <c r="R950" s="76"/>
      <c r="S950" s="75"/>
      <c r="T950" s="75"/>
      <c r="U950" s="75"/>
      <c r="V950" s="75"/>
      <c r="W950" s="75"/>
      <c r="X950" s="77"/>
      <c r="Y950" s="75"/>
      <c r="Z950" s="75"/>
      <c r="AA950" s="75"/>
      <c r="AB950" s="75"/>
      <c r="AC950" s="75"/>
      <c r="AD950" s="75"/>
      <c r="AE950" s="75"/>
      <c r="AF950" s="75"/>
      <c r="AG950" s="75"/>
      <c r="AH950" s="75"/>
      <c r="AI950" s="75"/>
      <c r="AJ950" s="75"/>
      <c r="AK950" s="75"/>
      <c r="AL950" s="75"/>
      <c r="AM950" s="78"/>
      <c r="AN950" s="79"/>
      <c r="AO950" s="79"/>
      <c r="AP950" s="79"/>
      <c r="AQ950" s="79"/>
      <c r="AR950" s="79"/>
      <c r="AS950" s="79"/>
      <c r="AT950" s="77"/>
      <c r="AU950" s="79"/>
      <c r="AV950" s="80"/>
    </row>
    <row r="951" ht="15.75" customHeight="1">
      <c r="A951" s="72"/>
      <c r="B951" s="72"/>
      <c r="C951" s="73"/>
      <c r="D951" s="74"/>
      <c r="E951" s="73"/>
      <c r="F951" s="72"/>
      <c r="G951" s="74"/>
      <c r="H951" s="74"/>
      <c r="I951" s="75"/>
      <c r="J951" s="75"/>
      <c r="K951" s="75"/>
      <c r="L951" s="75"/>
      <c r="M951" s="75"/>
      <c r="N951" s="75"/>
      <c r="O951" s="75"/>
      <c r="P951" s="75"/>
      <c r="Q951" s="75"/>
      <c r="R951" s="76"/>
      <c r="S951" s="75"/>
      <c r="T951" s="75"/>
      <c r="U951" s="75"/>
      <c r="V951" s="75"/>
      <c r="W951" s="75"/>
      <c r="X951" s="77"/>
      <c r="Y951" s="75"/>
      <c r="Z951" s="75"/>
      <c r="AA951" s="75"/>
      <c r="AB951" s="75"/>
      <c r="AC951" s="75"/>
      <c r="AD951" s="75"/>
      <c r="AE951" s="75"/>
      <c r="AF951" s="75"/>
      <c r="AG951" s="75"/>
      <c r="AH951" s="75"/>
      <c r="AI951" s="75"/>
      <c r="AJ951" s="75"/>
      <c r="AK951" s="75"/>
      <c r="AL951" s="75"/>
      <c r="AM951" s="78"/>
      <c r="AN951" s="79"/>
      <c r="AO951" s="79"/>
      <c r="AP951" s="79"/>
      <c r="AQ951" s="79"/>
      <c r="AR951" s="79"/>
      <c r="AS951" s="79"/>
      <c r="AT951" s="77"/>
      <c r="AU951" s="79"/>
      <c r="AV951" s="80"/>
    </row>
    <row r="952" ht="15.75" customHeight="1">
      <c r="A952" s="72"/>
      <c r="B952" s="72"/>
      <c r="C952" s="73"/>
      <c r="D952" s="74"/>
      <c r="E952" s="73"/>
      <c r="F952" s="72"/>
      <c r="G952" s="74"/>
      <c r="H952" s="74"/>
      <c r="I952" s="75"/>
      <c r="J952" s="75"/>
      <c r="K952" s="75"/>
      <c r="L952" s="75"/>
      <c r="M952" s="75"/>
      <c r="N952" s="75"/>
      <c r="O952" s="75"/>
      <c r="P952" s="75"/>
      <c r="Q952" s="75"/>
      <c r="R952" s="76"/>
      <c r="S952" s="75"/>
      <c r="T952" s="75"/>
      <c r="U952" s="75"/>
      <c r="V952" s="75"/>
      <c r="W952" s="75"/>
      <c r="X952" s="77"/>
      <c r="Y952" s="75"/>
      <c r="Z952" s="75"/>
      <c r="AA952" s="75"/>
      <c r="AB952" s="75"/>
      <c r="AC952" s="75"/>
      <c r="AD952" s="75"/>
      <c r="AE952" s="75"/>
      <c r="AF952" s="75"/>
      <c r="AG952" s="75"/>
      <c r="AH952" s="75"/>
      <c r="AI952" s="75"/>
      <c r="AJ952" s="75"/>
      <c r="AK952" s="75"/>
      <c r="AL952" s="75"/>
      <c r="AM952" s="78"/>
      <c r="AN952" s="79"/>
      <c r="AO952" s="79"/>
      <c r="AP952" s="79"/>
      <c r="AQ952" s="79"/>
      <c r="AR952" s="79"/>
      <c r="AS952" s="79"/>
      <c r="AT952" s="77"/>
      <c r="AU952" s="79"/>
      <c r="AV952" s="80"/>
    </row>
    <row r="953" ht="15.75" customHeight="1">
      <c r="A953" s="72"/>
      <c r="B953" s="72"/>
      <c r="C953" s="73"/>
      <c r="D953" s="74"/>
      <c r="E953" s="73"/>
      <c r="F953" s="72"/>
      <c r="G953" s="74"/>
      <c r="H953" s="74"/>
      <c r="I953" s="75"/>
      <c r="J953" s="75"/>
      <c r="K953" s="75"/>
      <c r="L953" s="75"/>
      <c r="M953" s="75"/>
      <c r="N953" s="75"/>
      <c r="O953" s="75"/>
      <c r="P953" s="75"/>
      <c r="Q953" s="75"/>
      <c r="R953" s="76"/>
      <c r="S953" s="75"/>
      <c r="T953" s="75"/>
      <c r="U953" s="75"/>
      <c r="V953" s="75"/>
      <c r="W953" s="75"/>
      <c r="X953" s="77"/>
      <c r="Y953" s="75"/>
      <c r="Z953" s="75"/>
      <c r="AA953" s="75"/>
      <c r="AB953" s="75"/>
      <c r="AC953" s="75"/>
      <c r="AD953" s="75"/>
      <c r="AE953" s="75"/>
      <c r="AF953" s="75"/>
      <c r="AG953" s="75"/>
      <c r="AH953" s="75"/>
      <c r="AI953" s="75"/>
      <c r="AJ953" s="75"/>
      <c r="AK953" s="75"/>
      <c r="AL953" s="75"/>
      <c r="AM953" s="78"/>
      <c r="AN953" s="79"/>
      <c r="AO953" s="79"/>
      <c r="AP953" s="79"/>
      <c r="AQ953" s="79"/>
      <c r="AR953" s="79"/>
      <c r="AS953" s="79"/>
      <c r="AT953" s="77"/>
      <c r="AU953" s="79"/>
      <c r="AV953" s="80"/>
    </row>
    <row r="954" ht="15.75" customHeight="1">
      <c r="A954" s="72"/>
      <c r="B954" s="72"/>
      <c r="C954" s="73"/>
      <c r="D954" s="74"/>
      <c r="E954" s="73"/>
      <c r="F954" s="72"/>
      <c r="G954" s="74"/>
      <c r="H954" s="74"/>
      <c r="I954" s="75"/>
      <c r="J954" s="75"/>
      <c r="K954" s="75"/>
      <c r="L954" s="75"/>
      <c r="M954" s="75"/>
      <c r="N954" s="75"/>
      <c r="O954" s="75"/>
      <c r="P954" s="75"/>
      <c r="Q954" s="75"/>
      <c r="R954" s="76"/>
      <c r="S954" s="75"/>
      <c r="T954" s="75"/>
      <c r="U954" s="75"/>
      <c r="V954" s="75"/>
      <c r="W954" s="75"/>
      <c r="X954" s="77"/>
      <c r="Y954" s="75"/>
      <c r="Z954" s="75"/>
      <c r="AA954" s="75"/>
      <c r="AB954" s="75"/>
      <c r="AC954" s="75"/>
      <c r="AD954" s="75"/>
      <c r="AE954" s="75"/>
      <c r="AF954" s="75"/>
      <c r="AG954" s="75"/>
      <c r="AH954" s="75"/>
      <c r="AI954" s="75"/>
      <c r="AJ954" s="75"/>
      <c r="AK954" s="75"/>
      <c r="AL954" s="75"/>
      <c r="AM954" s="78"/>
      <c r="AN954" s="79"/>
      <c r="AO954" s="79"/>
      <c r="AP954" s="79"/>
      <c r="AQ954" s="79"/>
      <c r="AR954" s="79"/>
      <c r="AS954" s="79"/>
      <c r="AT954" s="77"/>
      <c r="AU954" s="79"/>
      <c r="AV954" s="80"/>
    </row>
    <row r="955" ht="15.75" customHeight="1">
      <c r="A955" s="72"/>
      <c r="B955" s="72"/>
      <c r="C955" s="73"/>
      <c r="D955" s="74"/>
      <c r="E955" s="73"/>
      <c r="F955" s="72"/>
      <c r="G955" s="74"/>
      <c r="H955" s="74"/>
      <c r="I955" s="75"/>
      <c r="J955" s="75"/>
      <c r="K955" s="75"/>
      <c r="L955" s="75"/>
      <c r="M955" s="75"/>
      <c r="N955" s="75"/>
      <c r="O955" s="75"/>
      <c r="P955" s="75"/>
      <c r="Q955" s="75"/>
      <c r="R955" s="76"/>
      <c r="S955" s="75"/>
      <c r="T955" s="75"/>
      <c r="U955" s="75"/>
      <c r="V955" s="75"/>
      <c r="W955" s="75"/>
      <c r="X955" s="77"/>
      <c r="Y955" s="75"/>
      <c r="Z955" s="75"/>
      <c r="AA955" s="75"/>
      <c r="AB955" s="75"/>
      <c r="AC955" s="75"/>
      <c r="AD955" s="75"/>
      <c r="AE955" s="75"/>
      <c r="AF955" s="75"/>
      <c r="AG955" s="75"/>
      <c r="AH955" s="75"/>
      <c r="AI955" s="75"/>
      <c r="AJ955" s="75"/>
      <c r="AK955" s="75"/>
      <c r="AL955" s="75"/>
      <c r="AM955" s="78"/>
      <c r="AN955" s="79"/>
      <c r="AO955" s="79"/>
      <c r="AP955" s="79"/>
      <c r="AQ955" s="79"/>
      <c r="AR955" s="79"/>
      <c r="AS955" s="79"/>
      <c r="AT955" s="77"/>
      <c r="AU955" s="79"/>
      <c r="AV955" s="80"/>
    </row>
    <row r="956" ht="15.75" customHeight="1">
      <c r="A956" s="72"/>
      <c r="B956" s="72"/>
      <c r="C956" s="73"/>
      <c r="D956" s="74"/>
      <c r="E956" s="73"/>
      <c r="F956" s="72"/>
      <c r="G956" s="74"/>
      <c r="H956" s="74"/>
      <c r="I956" s="75"/>
      <c r="J956" s="75"/>
      <c r="K956" s="75"/>
      <c r="L956" s="75"/>
      <c r="M956" s="75"/>
      <c r="N956" s="75"/>
      <c r="O956" s="75"/>
      <c r="P956" s="75"/>
      <c r="Q956" s="75"/>
      <c r="R956" s="76"/>
      <c r="S956" s="75"/>
      <c r="T956" s="75"/>
      <c r="U956" s="75"/>
      <c r="V956" s="75"/>
      <c r="W956" s="75"/>
      <c r="X956" s="77"/>
      <c r="Y956" s="75"/>
      <c r="Z956" s="75"/>
      <c r="AA956" s="75"/>
      <c r="AB956" s="75"/>
      <c r="AC956" s="75"/>
      <c r="AD956" s="75"/>
      <c r="AE956" s="75"/>
      <c r="AF956" s="75"/>
      <c r="AG956" s="75"/>
      <c r="AH956" s="75"/>
      <c r="AI956" s="75"/>
      <c r="AJ956" s="75"/>
      <c r="AK956" s="75"/>
      <c r="AL956" s="75"/>
      <c r="AM956" s="78"/>
      <c r="AN956" s="79"/>
      <c r="AO956" s="79"/>
      <c r="AP956" s="79"/>
      <c r="AQ956" s="79"/>
      <c r="AR956" s="79"/>
      <c r="AS956" s="79"/>
      <c r="AT956" s="77"/>
      <c r="AU956" s="79"/>
      <c r="AV956" s="80"/>
    </row>
    <row r="957" ht="15.75" customHeight="1">
      <c r="A957" s="72"/>
      <c r="B957" s="72"/>
      <c r="C957" s="73"/>
      <c r="D957" s="74"/>
      <c r="E957" s="73"/>
      <c r="F957" s="72"/>
      <c r="G957" s="74"/>
      <c r="H957" s="74"/>
      <c r="I957" s="75"/>
      <c r="J957" s="75"/>
      <c r="K957" s="75"/>
      <c r="L957" s="75"/>
      <c r="M957" s="75"/>
      <c r="N957" s="75"/>
      <c r="O957" s="75"/>
      <c r="P957" s="75"/>
      <c r="Q957" s="75"/>
      <c r="R957" s="76"/>
      <c r="S957" s="75"/>
      <c r="T957" s="75"/>
      <c r="U957" s="75"/>
      <c r="V957" s="75"/>
      <c r="W957" s="75"/>
      <c r="X957" s="77"/>
      <c r="Y957" s="75"/>
      <c r="Z957" s="75"/>
      <c r="AA957" s="75"/>
      <c r="AB957" s="75"/>
      <c r="AC957" s="75"/>
      <c r="AD957" s="75"/>
      <c r="AE957" s="75"/>
      <c r="AF957" s="75"/>
      <c r="AG957" s="75"/>
      <c r="AH957" s="75"/>
      <c r="AI957" s="75"/>
      <c r="AJ957" s="75"/>
      <c r="AK957" s="75"/>
      <c r="AL957" s="75"/>
      <c r="AM957" s="78"/>
      <c r="AN957" s="79"/>
      <c r="AO957" s="79"/>
      <c r="AP957" s="79"/>
      <c r="AQ957" s="79"/>
      <c r="AR957" s="79"/>
      <c r="AS957" s="79"/>
      <c r="AT957" s="77"/>
      <c r="AU957" s="79"/>
      <c r="AV957" s="80"/>
    </row>
    <row r="958" ht="15.75" customHeight="1">
      <c r="A958" s="72"/>
      <c r="B958" s="72"/>
      <c r="C958" s="73"/>
      <c r="D958" s="74"/>
      <c r="E958" s="73"/>
      <c r="F958" s="72"/>
      <c r="G958" s="74"/>
      <c r="H958" s="74"/>
      <c r="I958" s="75"/>
      <c r="J958" s="75"/>
      <c r="K958" s="75"/>
      <c r="L958" s="75"/>
      <c r="M958" s="75"/>
      <c r="N958" s="75"/>
      <c r="O958" s="75"/>
      <c r="P958" s="75"/>
      <c r="Q958" s="75"/>
      <c r="R958" s="76"/>
      <c r="S958" s="75"/>
      <c r="T958" s="75"/>
      <c r="U958" s="75"/>
      <c r="V958" s="75"/>
      <c r="W958" s="75"/>
      <c r="X958" s="77"/>
      <c r="Y958" s="75"/>
      <c r="Z958" s="75"/>
      <c r="AA958" s="75"/>
      <c r="AB958" s="75"/>
      <c r="AC958" s="75"/>
      <c r="AD958" s="75"/>
      <c r="AE958" s="75"/>
      <c r="AF958" s="75"/>
      <c r="AG958" s="75"/>
      <c r="AH958" s="75"/>
      <c r="AI958" s="75"/>
      <c r="AJ958" s="75"/>
      <c r="AK958" s="75"/>
      <c r="AL958" s="75"/>
      <c r="AM958" s="78"/>
      <c r="AN958" s="79"/>
      <c r="AO958" s="79"/>
      <c r="AP958" s="79"/>
      <c r="AQ958" s="79"/>
      <c r="AR958" s="79"/>
      <c r="AS958" s="79"/>
      <c r="AT958" s="77"/>
      <c r="AU958" s="79"/>
      <c r="AV958" s="80"/>
    </row>
    <row r="959" ht="15.75" customHeight="1">
      <c r="A959" s="72"/>
      <c r="B959" s="72"/>
      <c r="C959" s="73"/>
      <c r="D959" s="74"/>
      <c r="E959" s="73"/>
      <c r="F959" s="72"/>
      <c r="G959" s="74"/>
      <c r="H959" s="74"/>
      <c r="I959" s="75"/>
      <c r="J959" s="75"/>
      <c r="K959" s="75"/>
      <c r="L959" s="75"/>
      <c r="M959" s="75"/>
      <c r="N959" s="75"/>
      <c r="O959" s="75"/>
      <c r="P959" s="75"/>
      <c r="Q959" s="75"/>
      <c r="R959" s="76"/>
      <c r="S959" s="75"/>
      <c r="T959" s="75"/>
      <c r="U959" s="75"/>
      <c r="V959" s="75"/>
      <c r="W959" s="75"/>
      <c r="X959" s="77"/>
      <c r="Y959" s="75"/>
      <c r="Z959" s="75"/>
      <c r="AA959" s="75"/>
      <c r="AB959" s="75"/>
      <c r="AC959" s="75"/>
      <c r="AD959" s="75"/>
      <c r="AE959" s="75"/>
      <c r="AF959" s="75"/>
      <c r="AG959" s="75"/>
      <c r="AH959" s="75"/>
      <c r="AI959" s="75"/>
      <c r="AJ959" s="75"/>
      <c r="AK959" s="75"/>
      <c r="AL959" s="75"/>
      <c r="AM959" s="78"/>
      <c r="AN959" s="79"/>
      <c r="AO959" s="79"/>
      <c r="AP959" s="79"/>
      <c r="AQ959" s="79"/>
      <c r="AR959" s="79"/>
      <c r="AS959" s="79"/>
      <c r="AT959" s="77"/>
      <c r="AU959" s="79"/>
      <c r="AV959" s="80"/>
    </row>
    <row r="960" ht="15.75" customHeight="1">
      <c r="A960" s="72"/>
      <c r="B960" s="72"/>
      <c r="C960" s="73"/>
      <c r="D960" s="74"/>
      <c r="E960" s="73"/>
      <c r="F960" s="72"/>
      <c r="G960" s="74"/>
      <c r="H960" s="74"/>
      <c r="I960" s="75"/>
      <c r="J960" s="75"/>
      <c r="K960" s="75"/>
      <c r="L960" s="75"/>
      <c r="M960" s="75"/>
      <c r="N960" s="75"/>
      <c r="O960" s="75"/>
      <c r="P960" s="75"/>
      <c r="Q960" s="75"/>
      <c r="R960" s="76"/>
      <c r="S960" s="75"/>
      <c r="T960" s="75"/>
      <c r="U960" s="75"/>
      <c r="V960" s="75"/>
      <c r="W960" s="75"/>
      <c r="X960" s="77"/>
      <c r="Y960" s="75"/>
      <c r="Z960" s="75"/>
      <c r="AA960" s="75"/>
      <c r="AB960" s="75"/>
      <c r="AC960" s="75"/>
      <c r="AD960" s="75"/>
      <c r="AE960" s="75"/>
      <c r="AF960" s="75"/>
      <c r="AG960" s="75"/>
      <c r="AH960" s="75"/>
      <c r="AI960" s="75"/>
      <c r="AJ960" s="75"/>
      <c r="AK960" s="75"/>
      <c r="AL960" s="75"/>
      <c r="AM960" s="78"/>
      <c r="AN960" s="79"/>
      <c r="AO960" s="79"/>
      <c r="AP960" s="79"/>
      <c r="AQ960" s="79"/>
      <c r="AR960" s="79"/>
      <c r="AS960" s="79"/>
      <c r="AT960" s="77"/>
      <c r="AU960" s="79"/>
      <c r="AV960" s="80"/>
    </row>
    <row r="961" ht="15.75" customHeight="1">
      <c r="A961" s="72"/>
      <c r="B961" s="72"/>
      <c r="C961" s="73"/>
      <c r="D961" s="74"/>
      <c r="E961" s="73"/>
      <c r="F961" s="72"/>
      <c r="G961" s="74"/>
      <c r="H961" s="74"/>
      <c r="I961" s="75"/>
      <c r="J961" s="75"/>
      <c r="K961" s="75"/>
      <c r="L961" s="75"/>
      <c r="M961" s="75"/>
      <c r="N961" s="75"/>
      <c r="O961" s="75"/>
      <c r="P961" s="75"/>
      <c r="Q961" s="75"/>
      <c r="R961" s="76"/>
      <c r="S961" s="75"/>
      <c r="T961" s="75"/>
      <c r="U961" s="75"/>
      <c r="V961" s="75"/>
      <c r="W961" s="75"/>
      <c r="X961" s="77"/>
      <c r="Y961" s="75"/>
      <c r="Z961" s="75"/>
      <c r="AA961" s="75"/>
      <c r="AB961" s="75"/>
      <c r="AC961" s="75"/>
      <c r="AD961" s="75"/>
      <c r="AE961" s="75"/>
      <c r="AF961" s="75"/>
      <c r="AG961" s="75"/>
      <c r="AH961" s="75"/>
      <c r="AI961" s="75"/>
      <c r="AJ961" s="75"/>
      <c r="AK961" s="75"/>
      <c r="AL961" s="75"/>
      <c r="AM961" s="78"/>
      <c r="AN961" s="79"/>
      <c r="AO961" s="79"/>
      <c r="AP961" s="79"/>
      <c r="AQ961" s="79"/>
      <c r="AR961" s="79"/>
      <c r="AS961" s="79"/>
      <c r="AT961" s="77"/>
      <c r="AU961" s="79"/>
      <c r="AV961" s="80"/>
    </row>
    <row r="962" ht="15.75" customHeight="1">
      <c r="A962" s="72"/>
      <c r="B962" s="72"/>
      <c r="C962" s="73"/>
      <c r="D962" s="74"/>
      <c r="E962" s="73"/>
      <c r="F962" s="72"/>
      <c r="G962" s="74"/>
      <c r="H962" s="74"/>
      <c r="I962" s="75"/>
      <c r="J962" s="75"/>
      <c r="K962" s="75"/>
      <c r="L962" s="75"/>
      <c r="M962" s="75"/>
      <c r="N962" s="75"/>
      <c r="O962" s="75"/>
      <c r="P962" s="75"/>
      <c r="Q962" s="75"/>
      <c r="R962" s="76"/>
      <c r="S962" s="75"/>
      <c r="T962" s="75"/>
      <c r="U962" s="75"/>
      <c r="V962" s="75"/>
      <c r="W962" s="75"/>
      <c r="X962" s="77"/>
      <c r="Y962" s="75"/>
      <c r="Z962" s="75"/>
      <c r="AA962" s="75"/>
      <c r="AB962" s="75"/>
      <c r="AC962" s="75"/>
      <c r="AD962" s="75"/>
      <c r="AE962" s="75"/>
      <c r="AF962" s="75"/>
      <c r="AG962" s="75"/>
      <c r="AH962" s="75"/>
      <c r="AI962" s="75"/>
      <c r="AJ962" s="75"/>
      <c r="AK962" s="75"/>
      <c r="AL962" s="75"/>
      <c r="AM962" s="78"/>
      <c r="AN962" s="79"/>
      <c r="AO962" s="79"/>
      <c r="AP962" s="79"/>
      <c r="AQ962" s="79"/>
      <c r="AR962" s="79"/>
      <c r="AS962" s="79"/>
      <c r="AT962" s="77"/>
      <c r="AU962" s="79"/>
      <c r="AV962" s="80"/>
    </row>
    <row r="963" ht="15.75" customHeight="1">
      <c r="A963" s="72"/>
      <c r="B963" s="72"/>
      <c r="C963" s="73"/>
      <c r="D963" s="74"/>
      <c r="E963" s="73"/>
      <c r="F963" s="72"/>
      <c r="G963" s="74"/>
      <c r="H963" s="74"/>
      <c r="I963" s="75"/>
      <c r="J963" s="75"/>
      <c r="K963" s="75"/>
      <c r="L963" s="75"/>
      <c r="M963" s="75"/>
      <c r="N963" s="75"/>
      <c r="O963" s="75"/>
      <c r="P963" s="75"/>
      <c r="Q963" s="75"/>
      <c r="R963" s="76"/>
      <c r="S963" s="75"/>
      <c r="T963" s="75"/>
      <c r="U963" s="75"/>
      <c r="V963" s="75"/>
      <c r="W963" s="75"/>
      <c r="X963" s="77"/>
      <c r="Y963" s="75"/>
      <c r="Z963" s="75"/>
      <c r="AA963" s="75"/>
      <c r="AB963" s="75"/>
      <c r="AC963" s="75"/>
      <c r="AD963" s="75"/>
      <c r="AE963" s="75"/>
      <c r="AF963" s="75"/>
      <c r="AG963" s="75"/>
      <c r="AH963" s="75"/>
      <c r="AI963" s="75"/>
      <c r="AJ963" s="75"/>
      <c r="AK963" s="75"/>
      <c r="AL963" s="75"/>
      <c r="AM963" s="78"/>
      <c r="AN963" s="79"/>
      <c r="AO963" s="79"/>
      <c r="AP963" s="79"/>
      <c r="AQ963" s="79"/>
      <c r="AR963" s="79"/>
      <c r="AS963" s="79"/>
      <c r="AT963" s="77"/>
      <c r="AU963" s="79"/>
      <c r="AV963" s="80"/>
    </row>
    <row r="964" ht="15.75" customHeight="1">
      <c r="A964" s="72"/>
      <c r="B964" s="72"/>
      <c r="C964" s="73"/>
      <c r="D964" s="74"/>
      <c r="E964" s="73"/>
      <c r="F964" s="72"/>
      <c r="G964" s="74"/>
      <c r="H964" s="74"/>
      <c r="I964" s="75"/>
      <c r="J964" s="75"/>
      <c r="K964" s="75"/>
      <c r="L964" s="75"/>
      <c r="M964" s="75"/>
      <c r="N964" s="75"/>
      <c r="O964" s="75"/>
      <c r="P964" s="75"/>
      <c r="Q964" s="75"/>
      <c r="R964" s="76"/>
      <c r="S964" s="75"/>
      <c r="T964" s="75"/>
      <c r="U964" s="75"/>
      <c r="V964" s="75"/>
      <c r="W964" s="75"/>
      <c r="X964" s="77"/>
      <c r="Y964" s="75"/>
      <c r="Z964" s="75"/>
      <c r="AA964" s="75"/>
      <c r="AB964" s="75"/>
      <c r="AC964" s="75"/>
      <c r="AD964" s="75"/>
      <c r="AE964" s="75"/>
      <c r="AF964" s="75"/>
      <c r="AG964" s="75"/>
      <c r="AH964" s="75"/>
      <c r="AI964" s="75"/>
      <c r="AJ964" s="75"/>
      <c r="AK964" s="75"/>
      <c r="AL964" s="75"/>
      <c r="AM964" s="78"/>
      <c r="AN964" s="79"/>
      <c r="AO964" s="79"/>
      <c r="AP964" s="79"/>
      <c r="AQ964" s="79"/>
      <c r="AR964" s="79"/>
      <c r="AS964" s="79"/>
      <c r="AT964" s="77"/>
      <c r="AU964" s="79"/>
      <c r="AV964" s="80"/>
    </row>
    <row r="965" ht="15.75" customHeight="1">
      <c r="A965" s="72"/>
      <c r="B965" s="72"/>
      <c r="C965" s="73"/>
      <c r="D965" s="74"/>
      <c r="E965" s="73"/>
      <c r="F965" s="72"/>
      <c r="G965" s="74"/>
      <c r="H965" s="74"/>
      <c r="I965" s="75"/>
      <c r="J965" s="75"/>
      <c r="K965" s="75"/>
      <c r="L965" s="75"/>
      <c r="M965" s="75"/>
      <c r="N965" s="75"/>
      <c r="O965" s="75"/>
      <c r="P965" s="75"/>
      <c r="Q965" s="75"/>
      <c r="R965" s="76"/>
      <c r="S965" s="75"/>
      <c r="T965" s="75"/>
      <c r="U965" s="75"/>
      <c r="V965" s="75"/>
      <c r="W965" s="75"/>
      <c r="X965" s="77"/>
      <c r="Y965" s="75"/>
      <c r="Z965" s="75"/>
      <c r="AA965" s="75"/>
      <c r="AB965" s="75"/>
      <c r="AC965" s="75"/>
      <c r="AD965" s="75"/>
      <c r="AE965" s="75"/>
      <c r="AF965" s="75"/>
      <c r="AG965" s="75"/>
      <c r="AH965" s="75"/>
      <c r="AI965" s="75"/>
      <c r="AJ965" s="75"/>
      <c r="AK965" s="75"/>
      <c r="AL965" s="75"/>
      <c r="AM965" s="78"/>
      <c r="AN965" s="79"/>
      <c r="AO965" s="79"/>
      <c r="AP965" s="79"/>
      <c r="AQ965" s="79"/>
      <c r="AR965" s="79"/>
      <c r="AS965" s="79"/>
      <c r="AT965" s="77"/>
      <c r="AU965" s="79"/>
      <c r="AV965" s="80"/>
    </row>
    <row r="966" ht="15.75" customHeight="1">
      <c r="A966" s="72"/>
      <c r="B966" s="72"/>
      <c r="C966" s="73"/>
      <c r="D966" s="74"/>
      <c r="E966" s="73"/>
      <c r="F966" s="72"/>
      <c r="G966" s="74"/>
      <c r="H966" s="74"/>
      <c r="I966" s="75"/>
      <c r="J966" s="75"/>
      <c r="K966" s="75"/>
      <c r="L966" s="75"/>
      <c r="M966" s="75"/>
      <c r="N966" s="75"/>
      <c r="O966" s="75"/>
      <c r="P966" s="75"/>
      <c r="Q966" s="75"/>
      <c r="R966" s="76"/>
      <c r="S966" s="75"/>
      <c r="T966" s="75"/>
      <c r="U966" s="75"/>
      <c r="V966" s="75"/>
      <c r="W966" s="75"/>
      <c r="X966" s="77"/>
      <c r="Y966" s="75"/>
      <c r="Z966" s="75"/>
      <c r="AA966" s="75"/>
      <c r="AB966" s="75"/>
      <c r="AC966" s="75"/>
      <c r="AD966" s="75"/>
      <c r="AE966" s="75"/>
      <c r="AF966" s="75"/>
      <c r="AG966" s="75"/>
      <c r="AH966" s="75"/>
      <c r="AI966" s="75"/>
      <c r="AJ966" s="75"/>
      <c r="AK966" s="75"/>
      <c r="AL966" s="75"/>
      <c r="AM966" s="78"/>
      <c r="AN966" s="79"/>
      <c r="AO966" s="79"/>
      <c r="AP966" s="79"/>
      <c r="AQ966" s="79"/>
      <c r="AR966" s="79"/>
      <c r="AS966" s="79"/>
      <c r="AT966" s="77"/>
      <c r="AU966" s="79"/>
      <c r="AV966" s="80"/>
    </row>
    <row r="967" ht="15.75" customHeight="1">
      <c r="A967" s="72"/>
      <c r="B967" s="72"/>
      <c r="C967" s="73"/>
      <c r="D967" s="74"/>
      <c r="E967" s="73"/>
      <c r="F967" s="72"/>
      <c r="G967" s="74"/>
      <c r="H967" s="74"/>
      <c r="I967" s="75"/>
      <c r="J967" s="75"/>
      <c r="K967" s="75"/>
      <c r="L967" s="75"/>
      <c r="M967" s="75"/>
      <c r="N967" s="75"/>
      <c r="O967" s="75"/>
      <c r="P967" s="75"/>
      <c r="Q967" s="75"/>
      <c r="R967" s="76"/>
      <c r="S967" s="75"/>
      <c r="T967" s="75"/>
      <c r="U967" s="75"/>
      <c r="V967" s="75"/>
      <c r="W967" s="75"/>
      <c r="X967" s="77"/>
      <c r="Y967" s="75"/>
      <c r="Z967" s="75"/>
      <c r="AA967" s="75"/>
      <c r="AB967" s="75"/>
      <c r="AC967" s="75"/>
      <c r="AD967" s="75"/>
      <c r="AE967" s="75"/>
      <c r="AF967" s="75"/>
      <c r="AG967" s="75"/>
      <c r="AH967" s="75"/>
      <c r="AI967" s="75"/>
      <c r="AJ967" s="75"/>
      <c r="AK967" s="75"/>
      <c r="AL967" s="75"/>
      <c r="AM967" s="78"/>
      <c r="AN967" s="79"/>
      <c r="AO967" s="79"/>
      <c r="AP967" s="79"/>
      <c r="AQ967" s="79"/>
      <c r="AR967" s="79"/>
      <c r="AS967" s="79"/>
      <c r="AT967" s="77"/>
      <c r="AU967" s="79"/>
      <c r="AV967" s="80"/>
    </row>
    <row r="968" ht="15.75" customHeight="1">
      <c r="A968" s="72"/>
      <c r="B968" s="72"/>
      <c r="C968" s="73"/>
      <c r="D968" s="74"/>
      <c r="E968" s="73"/>
      <c r="F968" s="72"/>
      <c r="G968" s="74"/>
      <c r="H968" s="74"/>
      <c r="I968" s="75"/>
      <c r="J968" s="75"/>
      <c r="K968" s="75"/>
      <c r="L968" s="75"/>
      <c r="M968" s="75"/>
      <c r="N968" s="75"/>
      <c r="O968" s="75"/>
      <c r="P968" s="75"/>
      <c r="Q968" s="75"/>
      <c r="R968" s="76"/>
      <c r="S968" s="75"/>
      <c r="T968" s="75"/>
      <c r="U968" s="75"/>
      <c r="V968" s="75"/>
      <c r="W968" s="75"/>
      <c r="X968" s="77"/>
      <c r="Y968" s="75"/>
      <c r="Z968" s="75"/>
      <c r="AA968" s="75"/>
      <c r="AB968" s="75"/>
      <c r="AC968" s="75"/>
      <c r="AD968" s="75"/>
      <c r="AE968" s="75"/>
      <c r="AF968" s="75"/>
      <c r="AG968" s="75"/>
      <c r="AH968" s="75"/>
      <c r="AI968" s="75"/>
      <c r="AJ968" s="75"/>
      <c r="AK968" s="75"/>
      <c r="AL968" s="75"/>
      <c r="AM968" s="78"/>
      <c r="AN968" s="79"/>
      <c r="AO968" s="79"/>
      <c r="AP968" s="79"/>
      <c r="AQ968" s="79"/>
      <c r="AR968" s="79"/>
      <c r="AS968" s="79"/>
      <c r="AT968" s="77"/>
      <c r="AU968" s="79"/>
      <c r="AV968" s="80"/>
    </row>
    <row r="969" ht="15.75" customHeight="1">
      <c r="A969" s="72"/>
      <c r="B969" s="72"/>
      <c r="C969" s="73"/>
      <c r="D969" s="74"/>
      <c r="E969" s="73"/>
      <c r="F969" s="72"/>
      <c r="G969" s="74"/>
      <c r="H969" s="74"/>
      <c r="I969" s="75"/>
      <c r="J969" s="75"/>
      <c r="K969" s="75"/>
      <c r="L969" s="75"/>
      <c r="M969" s="75"/>
      <c r="N969" s="75"/>
      <c r="O969" s="75"/>
      <c r="P969" s="75"/>
      <c r="Q969" s="75"/>
      <c r="R969" s="76"/>
      <c r="S969" s="75"/>
      <c r="T969" s="75"/>
      <c r="U969" s="75"/>
      <c r="V969" s="75"/>
      <c r="W969" s="75"/>
      <c r="X969" s="77"/>
      <c r="Y969" s="75"/>
      <c r="Z969" s="75"/>
      <c r="AA969" s="75"/>
      <c r="AB969" s="75"/>
      <c r="AC969" s="75"/>
      <c r="AD969" s="75"/>
      <c r="AE969" s="75"/>
      <c r="AF969" s="75"/>
      <c r="AG969" s="75"/>
      <c r="AH969" s="75"/>
      <c r="AI969" s="75"/>
      <c r="AJ969" s="75"/>
      <c r="AK969" s="75"/>
      <c r="AL969" s="75"/>
      <c r="AM969" s="78"/>
      <c r="AN969" s="79"/>
      <c r="AO969" s="79"/>
      <c r="AP969" s="79"/>
      <c r="AQ969" s="79"/>
      <c r="AR969" s="79"/>
      <c r="AS969" s="79"/>
      <c r="AT969" s="77"/>
      <c r="AU969" s="79"/>
      <c r="AV969" s="80"/>
    </row>
    <row r="970" ht="15.75" customHeight="1">
      <c r="A970" s="72"/>
      <c r="B970" s="72"/>
      <c r="C970" s="73"/>
      <c r="D970" s="74"/>
      <c r="E970" s="73"/>
      <c r="F970" s="72"/>
      <c r="G970" s="74"/>
      <c r="H970" s="74"/>
      <c r="I970" s="75"/>
      <c r="J970" s="75"/>
      <c r="K970" s="75"/>
      <c r="L970" s="75"/>
      <c r="M970" s="75"/>
      <c r="N970" s="75"/>
      <c r="O970" s="75"/>
      <c r="P970" s="75"/>
      <c r="Q970" s="75"/>
      <c r="R970" s="76"/>
      <c r="S970" s="75"/>
      <c r="T970" s="75"/>
      <c r="U970" s="75"/>
      <c r="V970" s="75"/>
      <c r="W970" s="75"/>
      <c r="X970" s="77"/>
      <c r="Y970" s="75"/>
      <c r="Z970" s="75"/>
      <c r="AA970" s="75"/>
      <c r="AB970" s="75"/>
      <c r="AC970" s="75"/>
      <c r="AD970" s="75"/>
      <c r="AE970" s="75"/>
      <c r="AF970" s="75"/>
      <c r="AG970" s="75"/>
      <c r="AH970" s="75"/>
      <c r="AI970" s="75"/>
      <c r="AJ970" s="75"/>
      <c r="AK970" s="75"/>
      <c r="AL970" s="75"/>
      <c r="AM970" s="78"/>
      <c r="AN970" s="79"/>
      <c r="AO970" s="79"/>
      <c r="AP970" s="79"/>
      <c r="AQ970" s="79"/>
      <c r="AR970" s="79"/>
      <c r="AS970" s="79"/>
      <c r="AT970" s="77"/>
      <c r="AU970" s="79"/>
      <c r="AV970" s="80"/>
    </row>
    <row r="971" ht="15.75" customHeight="1">
      <c r="A971" s="72"/>
      <c r="B971" s="72"/>
      <c r="C971" s="73"/>
      <c r="D971" s="74"/>
      <c r="E971" s="73"/>
      <c r="F971" s="72"/>
      <c r="G971" s="74"/>
      <c r="H971" s="74"/>
      <c r="I971" s="75"/>
      <c r="J971" s="75"/>
      <c r="K971" s="75"/>
      <c r="L971" s="75"/>
      <c r="M971" s="75"/>
      <c r="N971" s="75"/>
      <c r="O971" s="75"/>
      <c r="P971" s="75"/>
      <c r="Q971" s="75"/>
      <c r="R971" s="76"/>
      <c r="S971" s="75"/>
      <c r="T971" s="75"/>
      <c r="U971" s="75"/>
      <c r="V971" s="75"/>
      <c r="W971" s="75"/>
      <c r="X971" s="77"/>
      <c r="Y971" s="75"/>
      <c r="Z971" s="75"/>
      <c r="AA971" s="75"/>
      <c r="AB971" s="75"/>
      <c r="AC971" s="75"/>
      <c r="AD971" s="75"/>
      <c r="AE971" s="75"/>
      <c r="AF971" s="75"/>
      <c r="AG971" s="75"/>
      <c r="AH971" s="75"/>
      <c r="AI971" s="75"/>
      <c r="AJ971" s="75"/>
      <c r="AK971" s="75"/>
      <c r="AL971" s="75"/>
      <c r="AM971" s="78"/>
      <c r="AN971" s="79"/>
      <c r="AO971" s="79"/>
      <c r="AP971" s="79"/>
      <c r="AQ971" s="79"/>
      <c r="AR971" s="79"/>
      <c r="AS971" s="79"/>
      <c r="AT971" s="77"/>
      <c r="AU971" s="79"/>
      <c r="AV971" s="80"/>
    </row>
    <row r="972" ht="15.75" customHeight="1">
      <c r="A972" s="72"/>
      <c r="B972" s="72"/>
      <c r="C972" s="73"/>
      <c r="D972" s="74"/>
      <c r="E972" s="73"/>
      <c r="F972" s="72"/>
      <c r="G972" s="74"/>
      <c r="H972" s="74"/>
      <c r="I972" s="75"/>
      <c r="J972" s="75"/>
      <c r="K972" s="75"/>
      <c r="L972" s="75"/>
      <c r="M972" s="75"/>
      <c r="N972" s="75"/>
      <c r="O972" s="75"/>
      <c r="P972" s="75"/>
      <c r="Q972" s="75"/>
      <c r="R972" s="76"/>
      <c r="S972" s="75"/>
      <c r="T972" s="75"/>
      <c r="U972" s="75"/>
      <c r="V972" s="75"/>
      <c r="W972" s="75"/>
      <c r="X972" s="77"/>
      <c r="Y972" s="75"/>
      <c r="Z972" s="75"/>
      <c r="AA972" s="75"/>
      <c r="AB972" s="75"/>
      <c r="AC972" s="75"/>
      <c r="AD972" s="75"/>
      <c r="AE972" s="75"/>
      <c r="AF972" s="75"/>
      <c r="AG972" s="75"/>
      <c r="AH972" s="75"/>
      <c r="AI972" s="75"/>
      <c r="AJ972" s="75"/>
      <c r="AK972" s="75"/>
      <c r="AL972" s="75"/>
      <c r="AM972" s="78"/>
      <c r="AN972" s="79"/>
      <c r="AO972" s="79"/>
      <c r="AP972" s="79"/>
      <c r="AQ972" s="79"/>
      <c r="AR972" s="79"/>
      <c r="AS972" s="79"/>
      <c r="AT972" s="77"/>
      <c r="AU972" s="79"/>
      <c r="AV972" s="80"/>
    </row>
    <row r="973" ht="15.75" customHeight="1">
      <c r="A973" s="72"/>
      <c r="B973" s="72"/>
      <c r="C973" s="73"/>
      <c r="D973" s="74"/>
      <c r="E973" s="73"/>
      <c r="F973" s="72"/>
      <c r="G973" s="74"/>
      <c r="H973" s="74"/>
      <c r="I973" s="75"/>
      <c r="J973" s="75"/>
      <c r="K973" s="75"/>
      <c r="L973" s="75"/>
      <c r="M973" s="75"/>
      <c r="N973" s="75"/>
      <c r="O973" s="75"/>
      <c r="P973" s="75"/>
      <c r="Q973" s="75"/>
      <c r="R973" s="76"/>
      <c r="S973" s="75"/>
      <c r="T973" s="75"/>
      <c r="U973" s="75"/>
      <c r="V973" s="75"/>
      <c r="W973" s="75"/>
      <c r="X973" s="77"/>
      <c r="Y973" s="75"/>
      <c r="Z973" s="75"/>
      <c r="AA973" s="75"/>
      <c r="AB973" s="75"/>
      <c r="AC973" s="75"/>
      <c r="AD973" s="75"/>
      <c r="AE973" s="75"/>
      <c r="AF973" s="75"/>
      <c r="AG973" s="75"/>
      <c r="AH973" s="75"/>
      <c r="AI973" s="75"/>
      <c r="AJ973" s="75"/>
      <c r="AK973" s="75"/>
      <c r="AL973" s="75"/>
      <c r="AM973" s="78"/>
      <c r="AN973" s="79"/>
      <c r="AO973" s="79"/>
      <c r="AP973" s="79"/>
      <c r="AQ973" s="79"/>
      <c r="AR973" s="79"/>
      <c r="AS973" s="79"/>
      <c r="AT973" s="77"/>
      <c r="AU973" s="79"/>
      <c r="AV973" s="80"/>
    </row>
    <row r="974" ht="15.75" customHeight="1">
      <c r="A974" s="72"/>
      <c r="B974" s="72"/>
      <c r="C974" s="73"/>
      <c r="D974" s="74"/>
      <c r="E974" s="73"/>
      <c r="F974" s="72"/>
      <c r="G974" s="74"/>
      <c r="H974" s="74"/>
      <c r="I974" s="75"/>
      <c r="J974" s="75"/>
      <c r="K974" s="75"/>
      <c r="L974" s="75"/>
      <c r="M974" s="75"/>
      <c r="N974" s="75"/>
      <c r="O974" s="75"/>
      <c r="P974" s="75"/>
      <c r="Q974" s="75"/>
      <c r="R974" s="76"/>
      <c r="S974" s="75"/>
      <c r="T974" s="75"/>
      <c r="U974" s="75"/>
      <c r="V974" s="75"/>
      <c r="W974" s="75"/>
      <c r="X974" s="77"/>
      <c r="Y974" s="75"/>
      <c r="Z974" s="75"/>
      <c r="AA974" s="75"/>
      <c r="AB974" s="75"/>
      <c r="AC974" s="75"/>
      <c r="AD974" s="75"/>
      <c r="AE974" s="75"/>
      <c r="AF974" s="75"/>
      <c r="AG974" s="75"/>
      <c r="AH974" s="75"/>
      <c r="AI974" s="75"/>
      <c r="AJ974" s="75"/>
      <c r="AK974" s="75"/>
      <c r="AL974" s="75"/>
      <c r="AM974" s="78"/>
      <c r="AN974" s="79"/>
      <c r="AO974" s="79"/>
      <c r="AP974" s="79"/>
      <c r="AQ974" s="79"/>
      <c r="AR974" s="79"/>
      <c r="AS974" s="79"/>
      <c r="AT974" s="77"/>
      <c r="AU974" s="79"/>
      <c r="AV974" s="80"/>
    </row>
    <row r="975" ht="15.75" customHeight="1">
      <c r="A975" s="72"/>
      <c r="B975" s="72"/>
      <c r="C975" s="73"/>
      <c r="D975" s="74"/>
      <c r="E975" s="73"/>
      <c r="F975" s="72"/>
      <c r="G975" s="74"/>
      <c r="H975" s="74"/>
      <c r="I975" s="75"/>
      <c r="J975" s="75"/>
      <c r="K975" s="75"/>
      <c r="L975" s="75"/>
      <c r="M975" s="75"/>
      <c r="N975" s="75"/>
      <c r="O975" s="75"/>
      <c r="P975" s="75"/>
      <c r="Q975" s="75"/>
      <c r="R975" s="76"/>
      <c r="S975" s="75"/>
      <c r="T975" s="75"/>
      <c r="U975" s="75"/>
      <c r="V975" s="75"/>
      <c r="W975" s="75"/>
      <c r="X975" s="77"/>
      <c r="Y975" s="75"/>
      <c r="Z975" s="75"/>
      <c r="AA975" s="75"/>
      <c r="AB975" s="75"/>
      <c r="AC975" s="75"/>
      <c r="AD975" s="75"/>
      <c r="AE975" s="75"/>
      <c r="AF975" s="75"/>
      <c r="AG975" s="75"/>
      <c r="AH975" s="75"/>
      <c r="AI975" s="75"/>
      <c r="AJ975" s="75"/>
      <c r="AK975" s="75"/>
      <c r="AL975" s="75"/>
      <c r="AM975" s="78"/>
      <c r="AN975" s="79"/>
      <c r="AO975" s="79"/>
      <c r="AP975" s="79"/>
      <c r="AQ975" s="79"/>
      <c r="AR975" s="79"/>
      <c r="AS975" s="79"/>
      <c r="AT975" s="77"/>
      <c r="AU975" s="79"/>
      <c r="AV975" s="80"/>
    </row>
    <row r="976" ht="15.75" customHeight="1">
      <c r="A976" s="72"/>
      <c r="B976" s="72"/>
      <c r="C976" s="73"/>
      <c r="D976" s="74"/>
      <c r="E976" s="73"/>
      <c r="F976" s="72"/>
      <c r="G976" s="74"/>
      <c r="H976" s="74"/>
      <c r="I976" s="75"/>
      <c r="J976" s="75"/>
      <c r="K976" s="75"/>
      <c r="L976" s="75"/>
      <c r="M976" s="75"/>
      <c r="N976" s="75"/>
      <c r="O976" s="75"/>
      <c r="P976" s="75"/>
      <c r="Q976" s="75"/>
      <c r="R976" s="76"/>
      <c r="S976" s="75"/>
      <c r="T976" s="75"/>
      <c r="U976" s="75"/>
      <c r="V976" s="75"/>
      <c r="W976" s="75"/>
      <c r="X976" s="77"/>
      <c r="Y976" s="75"/>
      <c r="Z976" s="75"/>
      <c r="AA976" s="75"/>
      <c r="AB976" s="75"/>
      <c r="AC976" s="75"/>
      <c r="AD976" s="75"/>
      <c r="AE976" s="75"/>
      <c r="AF976" s="75"/>
      <c r="AG976" s="75"/>
      <c r="AH976" s="75"/>
      <c r="AI976" s="75"/>
      <c r="AJ976" s="75"/>
      <c r="AK976" s="75"/>
      <c r="AL976" s="75"/>
      <c r="AM976" s="78"/>
      <c r="AN976" s="79"/>
      <c r="AO976" s="79"/>
      <c r="AP976" s="79"/>
      <c r="AQ976" s="79"/>
      <c r="AR976" s="79"/>
      <c r="AS976" s="79"/>
      <c r="AT976" s="77"/>
      <c r="AU976" s="79"/>
      <c r="AV976" s="80"/>
    </row>
    <row r="977" ht="15.75" customHeight="1">
      <c r="A977" s="72"/>
      <c r="B977" s="72"/>
      <c r="C977" s="73"/>
      <c r="D977" s="74"/>
      <c r="E977" s="73"/>
      <c r="F977" s="72"/>
      <c r="G977" s="74"/>
      <c r="H977" s="74"/>
      <c r="I977" s="75"/>
      <c r="J977" s="75"/>
      <c r="K977" s="75"/>
      <c r="L977" s="75"/>
      <c r="M977" s="75"/>
      <c r="N977" s="75"/>
      <c r="O977" s="75"/>
      <c r="P977" s="75"/>
      <c r="Q977" s="75"/>
      <c r="R977" s="76"/>
      <c r="S977" s="75"/>
      <c r="T977" s="75"/>
      <c r="U977" s="75"/>
      <c r="V977" s="75"/>
      <c r="W977" s="75"/>
      <c r="X977" s="77"/>
      <c r="Y977" s="75"/>
      <c r="Z977" s="75"/>
      <c r="AA977" s="75"/>
      <c r="AB977" s="75"/>
      <c r="AC977" s="75"/>
      <c r="AD977" s="75"/>
      <c r="AE977" s="75"/>
      <c r="AF977" s="75"/>
      <c r="AG977" s="75"/>
      <c r="AH977" s="75"/>
      <c r="AI977" s="75"/>
      <c r="AJ977" s="75"/>
      <c r="AK977" s="75"/>
      <c r="AL977" s="75"/>
      <c r="AM977" s="78"/>
      <c r="AN977" s="79"/>
      <c r="AO977" s="79"/>
      <c r="AP977" s="79"/>
      <c r="AQ977" s="79"/>
      <c r="AR977" s="79"/>
      <c r="AS977" s="79"/>
      <c r="AT977" s="77"/>
      <c r="AU977" s="79"/>
      <c r="AV977" s="80"/>
    </row>
    <row r="978" ht="15.75" customHeight="1">
      <c r="A978" s="72"/>
      <c r="B978" s="72"/>
      <c r="C978" s="73"/>
      <c r="D978" s="74"/>
      <c r="E978" s="73"/>
      <c r="F978" s="72"/>
      <c r="G978" s="74"/>
      <c r="H978" s="74"/>
      <c r="I978" s="75"/>
      <c r="J978" s="75"/>
      <c r="K978" s="75"/>
      <c r="L978" s="75"/>
      <c r="M978" s="75"/>
      <c r="N978" s="75"/>
      <c r="O978" s="75"/>
      <c r="P978" s="75"/>
      <c r="Q978" s="75"/>
      <c r="R978" s="76"/>
      <c r="S978" s="75"/>
      <c r="T978" s="75"/>
      <c r="U978" s="75"/>
      <c r="V978" s="75"/>
      <c r="W978" s="75"/>
      <c r="X978" s="77"/>
      <c r="Y978" s="75"/>
      <c r="Z978" s="75"/>
      <c r="AA978" s="75"/>
      <c r="AB978" s="75"/>
      <c r="AC978" s="75"/>
      <c r="AD978" s="75"/>
      <c r="AE978" s="75"/>
      <c r="AF978" s="75"/>
      <c r="AG978" s="75"/>
      <c r="AH978" s="75"/>
      <c r="AI978" s="75"/>
      <c r="AJ978" s="75"/>
      <c r="AK978" s="75"/>
      <c r="AL978" s="75"/>
      <c r="AM978" s="78"/>
      <c r="AN978" s="79"/>
      <c r="AO978" s="79"/>
      <c r="AP978" s="79"/>
      <c r="AQ978" s="79"/>
      <c r="AR978" s="79"/>
      <c r="AS978" s="79"/>
      <c r="AT978" s="77"/>
      <c r="AU978" s="79"/>
      <c r="AV978" s="80"/>
    </row>
    <row r="979" ht="15.75" customHeight="1">
      <c r="A979" s="72"/>
      <c r="B979" s="72"/>
      <c r="C979" s="73"/>
      <c r="D979" s="74"/>
      <c r="E979" s="73"/>
      <c r="F979" s="72"/>
      <c r="G979" s="74"/>
      <c r="H979" s="74"/>
      <c r="I979" s="75"/>
      <c r="J979" s="75"/>
      <c r="K979" s="75"/>
      <c r="L979" s="75"/>
      <c r="M979" s="75"/>
      <c r="N979" s="75"/>
      <c r="O979" s="75"/>
      <c r="P979" s="75"/>
      <c r="Q979" s="75"/>
      <c r="R979" s="76"/>
      <c r="S979" s="75"/>
      <c r="T979" s="75"/>
      <c r="U979" s="75"/>
      <c r="V979" s="75"/>
      <c r="W979" s="75"/>
      <c r="X979" s="77"/>
      <c r="Y979" s="75"/>
      <c r="Z979" s="75"/>
      <c r="AA979" s="75"/>
      <c r="AB979" s="75"/>
      <c r="AC979" s="75"/>
      <c r="AD979" s="75"/>
      <c r="AE979" s="75"/>
      <c r="AF979" s="75"/>
      <c r="AG979" s="75"/>
      <c r="AH979" s="75"/>
      <c r="AI979" s="75"/>
      <c r="AJ979" s="75"/>
      <c r="AK979" s="75"/>
      <c r="AL979" s="75"/>
      <c r="AM979" s="78"/>
      <c r="AN979" s="79"/>
      <c r="AO979" s="79"/>
      <c r="AP979" s="79"/>
      <c r="AQ979" s="79"/>
      <c r="AR979" s="79"/>
      <c r="AS979" s="79"/>
      <c r="AT979" s="77"/>
      <c r="AU979" s="79"/>
      <c r="AV979" s="80"/>
    </row>
    <row r="980" ht="15.75" customHeight="1">
      <c r="A980" s="72"/>
      <c r="B980" s="72"/>
      <c r="C980" s="73"/>
      <c r="D980" s="74"/>
      <c r="E980" s="73"/>
      <c r="F980" s="72"/>
      <c r="G980" s="74"/>
      <c r="H980" s="74"/>
      <c r="I980" s="75"/>
      <c r="J980" s="75"/>
      <c r="K980" s="75"/>
      <c r="L980" s="75"/>
      <c r="M980" s="75"/>
      <c r="N980" s="75"/>
      <c r="O980" s="75"/>
      <c r="P980" s="75"/>
      <c r="Q980" s="75"/>
      <c r="R980" s="76"/>
      <c r="S980" s="75"/>
      <c r="T980" s="75"/>
      <c r="U980" s="75"/>
      <c r="V980" s="75"/>
      <c r="W980" s="75"/>
      <c r="X980" s="77"/>
      <c r="Y980" s="75"/>
      <c r="Z980" s="75"/>
      <c r="AA980" s="75"/>
      <c r="AB980" s="75"/>
      <c r="AC980" s="75"/>
      <c r="AD980" s="75"/>
      <c r="AE980" s="75"/>
      <c r="AF980" s="75"/>
      <c r="AG980" s="75"/>
      <c r="AH980" s="75"/>
      <c r="AI980" s="75"/>
      <c r="AJ980" s="75"/>
      <c r="AK980" s="75"/>
      <c r="AL980" s="75"/>
      <c r="AM980" s="78"/>
      <c r="AN980" s="79"/>
      <c r="AO980" s="79"/>
      <c r="AP980" s="79"/>
      <c r="AQ980" s="79"/>
      <c r="AR980" s="79"/>
      <c r="AS980" s="79"/>
      <c r="AT980" s="77"/>
      <c r="AU980" s="79"/>
      <c r="AV980" s="80"/>
    </row>
    <row r="981" ht="15.75" customHeight="1">
      <c r="A981" s="72"/>
      <c r="B981" s="72"/>
      <c r="C981" s="73"/>
      <c r="D981" s="74"/>
      <c r="E981" s="73"/>
      <c r="F981" s="72"/>
      <c r="G981" s="74"/>
      <c r="H981" s="74"/>
      <c r="I981" s="75"/>
      <c r="J981" s="75"/>
      <c r="K981" s="75"/>
      <c r="L981" s="75"/>
      <c r="M981" s="75"/>
      <c r="N981" s="75"/>
      <c r="O981" s="75"/>
      <c r="P981" s="75"/>
      <c r="Q981" s="75"/>
      <c r="R981" s="76"/>
      <c r="S981" s="75"/>
      <c r="T981" s="75"/>
      <c r="U981" s="75"/>
      <c r="V981" s="75"/>
      <c r="W981" s="75"/>
      <c r="X981" s="77"/>
      <c r="Y981" s="75"/>
      <c r="Z981" s="75"/>
      <c r="AA981" s="75"/>
      <c r="AB981" s="75"/>
      <c r="AC981" s="75"/>
      <c r="AD981" s="75"/>
      <c r="AE981" s="75"/>
      <c r="AF981" s="75"/>
      <c r="AG981" s="75"/>
      <c r="AH981" s="75"/>
      <c r="AI981" s="75"/>
      <c r="AJ981" s="75"/>
      <c r="AK981" s="75"/>
      <c r="AL981" s="75"/>
      <c r="AM981" s="78"/>
      <c r="AN981" s="79"/>
      <c r="AO981" s="79"/>
      <c r="AP981" s="79"/>
      <c r="AQ981" s="79"/>
      <c r="AR981" s="79"/>
      <c r="AS981" s="79"/>
      <c r="AT981" s="77"/>
      <c r="AU981" s="79"/>
      <c r="AV981" s="80"/>
    </row>
    <row r="982" ht="15.75" customHeight="1">
      <c r="A982" s="72"/>
      <c r="B982" s="72"/>
      <c r="C982" s="73"/>
      <c r="D982" s="74"/>
      <c r="E982" s="73"/>
      <c r="F982" s="72"/>
      <c r="G982" s="74"/>
      <c r="H982" s="74"/>
      <c r="I982" s="75"/>
      <c r="J982" s="75"/>
      <c r="K982" s="75"/>
      <c r="L982" s="75"/>
      <c r="M982" s="75"/>
      <c r="N982" s="75"/>
      <c r="O982" s="75"/>
      <c r="P982" s="75"/>
      <c r="Q982" s="75"/>
      <c r="R982" s="76"/>
      <c r="S982" s="75"/>
      <c r="T982" s="75"/>
      <c r="U982" s="75"/>
      <c r="V982" s="75"/>
      <c r="W982" s="75"/>
      <c r="X982" s="77"/>
      <c r="Y982" s="75"/>
      <c r="Z982" s="75"/>
      <c r="AA982" s="75"/>
      <c r="AB982" s="75"/>
      <c r="AC982" s="75"/>
      <c r="AD982" s="75"/>
      <c r="AE982" s="75"/>
      <c r="AF982" s="75"/>
      <c r="AG982" s="75"/>
      <c r="AH982" s="75"/>
      <c r="AI982" s="75"/>
      <c r="AJ982" s="75"/>
      <c r="AK982" s="75"/>
      <c r="AL982" s="75"/>
      <c r="AM982" s="78"/>
      <c r="AN982" s="79"/>
      <c r="AO982" s="79"/>
      <c r="AP982" s="79"/>
      <c r="AQ982" s="79"/>
      <c r="AR982" s="79"/>
      <c r="AS982" s="79"/>
      <c r="AT982" s="77"/>
      <c r="AU982" s="79"/>
      <c r="AV982" s="80"/>
    </row>
    <row r="983" ht="15.75" customHeight="1">
      <c r="A983" s="72"/>
      <c r="B983" s="72"/>
      <c r="C983" s="73"/>
      <c r="D983" s="74"/>
      <c r="E983" s="73"/>
      <c r="F983" s="72"/>
      <c r="G983" s="74"/>
      <c r="H983" s="74"/>
      <c r="I983" s="75"/>
      <c r="J983" s="75"/>
      <c r="K983" s="75"/>
      <c r="L983" s="75"/>
      <c r="M983" s="75"/>
      <c r="N983" s="75"/>
      <c r="O983" s="75"/>
      <c r="P983" s="75"/>
      <c r="Q983" s="75"/>
      <c r="R983" s="76"/>
      <c r="S983" s="75"/>
      <c r="T983" s="75"/>
      <c r="U983" s="75"/>
      <c r="V983" s="75"/>
      <c r="W983" s="75"/>
      <c r="X983" s="77"/>
      <c r="Y983" s="75"/>
      <c r="Z983" s="75"/>
      <c r="AA983" s="75"/>
      <c r="AB983" s="75"/>
      <c r="AC983" s="75"/>
      <c r="AD983" s="75"/>
      <c r="AE983" s="75"/>
      <c r="AF983" s="75"/>
      <c r="AG983" s="75"/>
      <c r="AH983" s="75"/>
      <c r="AI983" s="75"/>
      <c r="AJ983" s="75"/>
      <c r="AK983" s="75"/>
      <c r="AL983" s="75"/>
      <c r="AM983" s="78"/>
      <c r="AN983" s="79"/>
      <c r="AO983" s="79"/>
      <c r="AP983" s="79"/>
      <c r="AQ983" s="79"/>
      <c r="AR983" s="79"/>
      <c r="AS983" s="79"/>
      <c r="AT983" s="77"/>
      <c r="AU983" s="79"/>
      <c r="AV983" s="80"/>
    </row>
    <row r="984" ht="15.75" customHeight="1">
      <c r="A984" s="72"/>
      <c r="B984" s="72"/>
      <c r="C984" s="73"/>
      <c r="D984" s="74"/>
      <c r="E984" s="73"/>
      <c r="F984" s="72"/>
      <c r="G984" s="74"/>
      <c r="H984" s="74"/>
      <c r="I984" s="75"/>
      <c r="J984" s="75"/>
      <c r="K984" s="75"/>
      <c r="L984" s="75"/>
      <c r="M984" s="75"/>
      <c r="N984" s="75"/>
      <c r="O984" s="75"/>
      <c r="P984" s="75"/>
      <c r="Q984" s="75"/>
      <c r="R984" s="76"/>
      <c r="S984" s="75"/>
      <c r="T984" s="75"/>
      <c r="U984" s="75"/>
      <c r="V984" s="75"/>
      <c r="W984" s="75"/>
      <c r="X984" s="77"/>
      <c r="Y984" s="75"/>
      <c r="Z984" s="75"/>
      <c r="AA984" s="75"/>
      <c r="AB984" s="75"/>
      <c r="AC984" s="75"/>
      <c r="AD984" s="75"/>
      <c r="AE984" s="75"/>
      <c r="AF984" s="75"/>
      <c r="AG984" s="75"/>
      <c r="AH984" s="75"/>
      <c r="AI984" s="75"/>
      <c r="AJ984" s="75"/>
      <c r="AK984" s="75"/>
      <c r="AL984" s="75"/>
      <c r="AM984" s="78"/>
      <c r="AN984" s="79"/>
      <c r="AO984" s="79"/>
      <c r="AP984" s="79"/>
      <c r="AQ984" s="79"/>
      <c r="AR984" s="79"/>
      <c r="AS984" s="79"/>
      <c r="AT984" s="77"/>
      <c r="AU984" s="79"/>
      <c r="AV984" s="80"/>
    </row>
    <row r="985" ht="15.75" customHeight="1">
      <c r="A985" s="72"/>
      <c r="B985" s="72"/>
      <c r="C985" s="73"/>
      <c r="D985" s="74"/>
      <c r="E985" s="73"/>
      <c r="F985" s="72"/>
      <c r="G985" s="74"/>
      <c r="H985" s="74"/>
      <c r="I985" s="75"/>
      <c r="J985" s="75"/>
      <c r="K985" s="75"/>
      <c r="L985" s="75"/>
      <c r="M985" s="75"/>
      <c r="N985" s="75"/>
      <c r="O985" s="75"/>
      <c r="P985" s="75"/>
      <c r="Q985" s="75"/>
      <c r="R985" s="76"/>
      <c r="S985" s="75"/>
      <c r="T985" s="75"/>
      <c r="U985" s="75"/>
      <c r="V985" s="75"/>
      <c r="W985" s="75"/>
      <c r="X985" s="77"/>
      <c r="Y985" s="75"/>
      <c r="Z985" s="75"/>
      <c r="AA985" s="75"/>
      <c r="AB985" s="75"/>
      <c r="AC985" s="75"/>
      <c r="AD985" s="75"/>
      <c r="AE985" s="75"/>
      <c r="AF985" s="75"/>
      <c r="AG985" s="75"/>
      <c r="AH985" s="75"/>
      <c r="AI985" s="75"/>
      <c r="AJ985" s="75"/>
      <c r="AK985" s="75"/>
      <c r="AL985" s="75"/>
      <c r="AM985" s="78"/>
      <c r="AN985" s="79"/>
      <c r="AO985" s="79"/>
      <c r="AP985" s="79"/>
      <c r="AQ985" s="79"/>
      <c r="AR985" s="79"/>
      <c r="AS985" s="79"/>
      <c r="AT985" s="77"/>
      <c r="AU985" s="79"/>
      <c r="AV985" s="80"/>
    </row>
    <row r="986" ht="15.75" customHeight="1">
      <c r="A986" s="72"/>
      <c r="B986" s="72"/>
      <c r="C986" s="73"/>
      <c r="D986" s="74"/>
      <c r="E986" s="73"/>
      <c r="F986" s="72"/>
      <c r="G986" s="74"/>
      <c r="H986" s="74"/>
      <c r="I986" s="75"/>
      <c r="J986" s="75"/>
      <c r="K986" s="75"/>
      <c r="L986" s="75"/>
      <c r="M986" s="75"/>
      <c r="N986" s="75"/>
      <c r="O986" s="75"/>
      <c r="P986" s="75"/>
      <c r="Q986" s="75"/>
      <c r="R986" s="76"/>
      <c r="S986" s="75"/>
      <c r="T986" s="75"/>
      <c r="U986" s="75"/>
      <c r="V986" s="75"/>
      <c r="W986" s="75"/>
      <c r="X986" s="77"/>
      <c r="Y986" s="75"/>
      <c r="Z986" s="75"/>
      <c r="AA986" s="75"/>
      <c r="AB986" s="75"/>
      <c r="AC986" s="75"/>
      <c r="AD986" s="75"/>
      <c r="AE986" s="75"/>
      <c r="AF986" s="75"/>
      <c r="AG986" s="75"/>
      <c r="AH986" s="75"/>
      <c r="AI986" s="75"/>
      <c r="AJ986" s="75"/>
      <c r="AK986" s="75"/>
      <c r="AL986" s="75"/>
      <c r="AM986" s="78"/>
      <c r="AN986" s="79"/>
      <c r="AO986" s="79"/>
      <c r="AP986" s="79"/>
      <c r="AQ986" s="79"/>
      <c r="AR986" s="79"/>
      <c r="AS986" s="79"/>
      <c r="AT986" s="77"/>
      <c r="AU986" s="79"/>
      <c r="AV986" s="80"/>
    </row>
    <row r="987" ht="15.75" customHeight="1">
      <c r="A987" s="72"/>
      <c r="B987" s="72"/>
      <c r="C987" s="73"/>
      <c r="D987" s="74"/>
      <c r="E987" s="73"/>
      <c r="F987" s="72"/>
      <c r="G987" s="74"/>
      <c r="H987" s="74"/>
      <c r="I987" s="75"/>
      <c r="J987" s="75"/>
      <c r="K987" s="75"/>
      <c r="L987" s="75"/>
      <c r="M987" s="75"/>
      <c r="N987" s="75"/>
      <c r="O987" s="75"/>
      <c r="P987" s="75"/>
      <c r="Q987" s="75"/>
      <c r="R987" s="76"/>
      <c r="S987" s="75"/>
      <c r="T987" s="75"/>
      <c r="U987" s="75"/>
      <c r="V987" s="75"/>
      <c r="W987" s="75"/>
      <c r="X987" s="77"/>
      <c r="Y987" s="75"/>
      <c r="Z987" s="75"/>
      <c r="AA987" s="75"/>
      <c r="AB987" s="75"/>
      <c r="AC987" s="75"/>
      <c r="AD987" s="75"/>
      <c r="AE987" s="75"/>
      <c r="AF987" s="75"/>
      <c r="AG987" s="75"/>
      <c r="AH987" s="75"/>
      <c r="AI987" s="75"/>
      <c r="AJ987" s="75"/>
      <c r="AK987" s="75"/>
      <c r="AL987" s="75"/>
      <c r="AM987" s="78"/>
      <c r="AN987" s="79"/>
      <c r="AO987" s="79"/>
      <c r="AP987" s="79"/>
      <c r="AQ987" s="79"/>
      <c r="AR987" s="79"/>
      <c r="AS987" s="79"/>
      <c r="AT987" s="77"/>
      <c r="AU987" s="79"/>
      <c r="AV987" s="80"/>
    </row>
    <row r="988" ht="15.75" customHeight="1">
      <c r="A988" s="72"/>
      <c r="B988" s="72"/>
      <c r="C988" s="73"/>
      <c r="D988" s="74"/>
      <c r="E988" s="73"/>
      <c r="F988" s="72"/>
      <c r="G988" s="74"/>
      <c r="H988" s="74"/>
      <c r="I988" s="75"/>
      <c r="J988" s="75"/>
      <c r="K988" s="75"/>
      <c r="L988" s="75"/>
      <c r="M988" s="75"/>
      <c r="N988" s="75"/>
      <c r="O988" s="75"/>
      <c r="P988" s="75"/>
      <c r="Q988" s="75"/>
      <c r="R988" s="76"/>
      <c r="S988" s="75"/>
      <c r="T988" s="75"/>
      <c r="U988" s="75"/>
      <c r="V988" s="75"/>
      <c r="W988" s="75"/>
      <c r="X988" s="77"/>
      <c r="Y988" s="75"/>
      <c r="Z988" s="75"/>
      <c r="AA988" s="75"/>
      <c r="AB988" s="75"/>
      <c r="AC988" s="75"/>
      <c r="AD988" s="75"/>
      <c r="AE988" s="75"/>
      <c r="AF988" s="75"/>
      <c r="AG988" s="75"/>
      <c r="AH988" s="75"/>
      <c r="AI988" s="75"/>
      <c r="AJ988" s="75"/>
      <c r="AK988" s="75"/>
      <c r="AL988" s="75"/>
      <c r="AM988" s="78"/>
      <c r="AN988" s="79"/>
      <c r="AO988" s="79"/>
      <c r="AP988" s="79"/>
      <c r="AQ988" s="79"/>
      <c r="AR988" s="79"/>
      <c r="AS988" s="79"/>
      <c r="AT988" s="77"/>
      <c r="AU988" s="79"/>
      <c r="AV988" s="80"/>
    </row>
    <row r="989" ht="15.75" customHeight="1">
      <c r="A989" s="72"/>
      <c r="B989" s="72"/>
      <c r="C989" s="73"/>
      <c r="D989" s="74"/>
      <c r="E989" s="73"/>
      <c r="F989" s="72"/>
      <c r="G989" s="74"/>
      <c r="H989" s="74"/>
      <c r="I989" s="75"/>
      <c r="J989" s="75"/>
      <c r="K989" s="75"/>
      <c r="L989" s="75"/>
      <c r="M989" s="75"/>
      <c r="N989" s="75"/>
      <c r="O989" s="75"/>
      <c r="P989" s="75"/>
      <c r="Q989" s="75"/>
      <c r="R989" s="76"/>
      <c r="S989" s="75"/>
      <c r="T989" s="75"/>
      <c r="U989" s="75"/>
      <c r="V989" s="75"/>
      <c r="W989" s="75"/>
      <c r="X989" s="77"/>
      <c r="Y989" s="75"/>
      <c r="Z989" s="75"/>
      <c r="AA989" s="75"/>
      <c r="AB989" s="75"/>
      <c r="AC989" s="75"/>
      <c r="AD989" s="75"/>
      <c r="AE989" s="75"/>
      <c r="AF989" s="75"/>
      <c r="AG989" s="75"/>
      <c r="AH989" s="75"/>
      <c r="AI989" s="75"/>
      <c r="AJ989" s="75"/>
      <c r="AK989" s="75"/>
      <c r="AL989" s="75"/>
      <c r="AM989" s="78"/>
      <c r="AN989" s="79"/>
      <c r="AO989" s="79"/>
      <c r="AP989" s="79"/>
      <c r="AQ989" s="79"/>
      <c r="AR989" s="79"/>
      <c r="AS989" s="79"/>
      <c r="AT989" s="77"/>
      <c r="AU989" s="79"/>
      <c r="AV989" s="80"/>
    </row>
    <row r="990" ht="15.75" customHeight="1">
      <c r="A990" s="72"/>
      <c r="B990" s="72"/>
      <c r="C990" s="73"/>
      <c r="D990" s="74"/>
      <c r="E990" s="73"/>
      <c r="F990" s="72"/>
      <c r="G990" s="74"/>
      <c r="H990" s="74"/>
      <c r="I990" s="75"/>
      <c r="J990" s="75"/>
      <c r="K990" s="75"/>
      <c r="L990" s="75"/>
      <c r="M990" s="75"/>
      <c r="N990" s="75"/>
      <c r="O990" s="75"/>
      <c r="P990" s="75"/>
      <c r="Q990" s="75"/>
      <c r="R990" s="76"/>
      <c r="S990" s="75"/>
      <c r="T990" s="75"/>
      <c r="U990" s="75"/>
      <c r="V990" s="75"/>
      <c r="W990" s="75"/>
      <c r="X990" s="77"/>
      <c r="Y990" s="75"/>
      <c r="Z990" s="75"/>
      <c r="AA990" s="75"/>
      <c r="AB990" s="75"/>
      <c r="AC990" s="75"/>
      <c r="AD990" s="75"/>
      <c r="AE990" s="75"/>
      <c r="AF990" s="75"/>
      <c r="AG990" s="75"/>
      <c r="AH990" s="75"/>
      <c r="AI990" s="75"/>
      <c r="AJ990" s="75"/>
      <c r="AK990" s="75"/>
      <c r="AL990" s="75"/>
      <c r="AM990" s="78"/>
      <c r="AN990" s="79"/>
      <c r="AO990" s="79"/>
      <c r="AP990" s="79"/>
      <c r="AQ990" s="79"/>
      <c r="AR990" s="79"/>
      <c r="AS990" s="79"/>
      <c r="AT990" s="77"/>
      <c r="AU990" s="79"/>
      <c r="AV990" s="80"/>
    </row>
    <row r="991" ht="15.75" customHeight="1">
      <c r="A991" s="72"/>
      <c r="B991" s="72"/>
      <c r="C991" s="73"/>
      <c r="D991" s="74"/>
      <c r="E991" s="73"/>
      <c r="F991" s="72"/>
      <c r="G991" s="74"/>
      <c r="H991" s="74"/>
      <c r="I991" s="75"/>
      <c r="J991" s="75"/>
      <c r="K991" s="75"/>
      <c r="L991" s="75"/>
      <c r="M991" s="75"/>
      <c r="N991" s="75"/>
      <c r="O991" s="75"/>
      <c r="P991" s="75"/>
      <c r="Q991" s="75"/>
      <c r="R991" s="76"/>
      <c r="S991" s="75"/>
      <c r="T991" s="75"/>
      <c r="U991" s="75"/>
      <c r="V991" s="75"/>
      <c r="W991" s="75"/>
      <c r="X991" s="77"/>
      <c r="Y991" s="75"/>
      <c r="Z991" s="75"/>
      <c r="AA991" s="75"/>
      <c r="AB991" s="75"/>
      <c r="AC991" s="75"/>
      <c r="AD991" s="75"/>
      <c r="AE991" s="75"/>
      <c r="AF991" s="75"/>
      <c r="AG991" s="75"/>
      <c r="AH991" s="75"/>
      <c r="AI991" s="75"/>
      <c r="AJ991" s="75"/>
      <c r="AK991" s="75"/>
      <c r="AL991" s="75"/>
      <c r="AM991" s="78"/>
      <c r="AN991" s="79"/>
      <c r="AO991" s="79"/>
      <c r="AP991" s="79"/>
      <c r="AQ991" s="79"/>
      <c r="AR991" s="79"/>
      <c r="AS991" s="79"/>
      <c r="AT991" s="77"/>
      <c r="AU991" s="79"/>
      <c r="AV991" s="80"/>
    </row>
    <row r="992" ht="15.75" customHeight="1">
      <c r="A992" s="72"/>
      <c r="B992" s="72"/>
      <c r="C992" s="73"/>
      <c r="D992" s="74"/>
      <c r="E992" s="73"/>
      <c r="F992" s="72"/>
      <c r="G992" s="74"/>
      <c r="H992" s="74"/>
      <c r="I992" s="75"/>
      <c r="J992" s="75"/>
      <c r="K992" s="75"/>
      <c r="L992" s="75"/>
      <c r="M992" s="75"/>
      <c r="N992" s="75"/>
      <c r="O992" s="75"/>
      <c r="P992" s="75"/>
      <c r="Q992" s="75"/>
      <c r="R992" s="76"/>
      <c r="S992" s="75"/>
      <c r="T992" s="75"/>
      <c r="U992" s="75"/>
      <c r="V992" s="75"/>
      <c r="W992" s="75"/>
      <c r="X992" s="77"/>
      <c r="Y992" s="75"/>
      <c r="Z992" s="75"/>
      <c r="AA992" s="75"/>
      <c r="AB992" s="75"/>
      <c r="AC992" s="75"/>
      <c r="AD992" s="75"/>
      <c r="AE992" s="75"/>
      <c r="AF992" s="75"/>
      <c r="AG992" s="75"/>
      <c r="AH992" s="75"/>
      <c r="AI992" s="75"/>
      <c r="AJ992" s="75"/>
      <c r="AK992" s="75"/>
      <c r="AL992" s="75"/>
      <c r="AM992" s="78"/>
      <c r="AN992" s="79"/>
      <c r="AO992" s="79"/>
      <c r="AP992" s="79"/>
      <c r="AQ992" s="79"/>
      <c r="AR992" s="79"/>
      <c r="AS992" s="79"/>
      <c r="AT992" s="77"/>
      <c r="AU992" s="79"/>
      <c r="AV992" s="80"/>
    </row>
    <row r="993" ht="15.75" customHeight="1">
      <c r="A993" s="72"/>
      <c r="B993" s="72"/>
      <c r="C993" s="73"/>
      <c r="D993" s="74"/>
      <c r="E993" s="73"/>
      <c r="F993" s="72"/>
      <c r="G993" s="74"/>
      <c r="H993" s="74"/>
      <c r="I993" s="75"/>
      <c r="J993" s="75"/>
      <c r="K993" s="75"/>
      <c r="L993" s="75"/>
      <c r="M993" s="75"/>
      <c r="N993" s="75"/>
      <c r="O993" s="75"/>
      <c r="P993" s="75"/>
      <c r="Q993" s="75"/>
      <c r="R993" s="76"/>
      <c r="S993" s="75"/>
      <c r="T993" s="75"/>
      <c r="U993" s="75"/>
      <c r="V993" s="75"/>
      <c r="W993" s="75"/>
      <c r="X993" s="77"/>
      <c r="Y993" s="75"/>
      <c r="Z993" s="75"/>
      <c r="AA993" s="75"/>
      <c r="AB993" s="75"/>
      <c r="AC993" s="75"/>
      <c r="AD993" s="75"/>
      <c r="AE993" s="75"/>
      <c r="AF993" s="75"/>
      <c r="AG993" s="75"/>
      <c r="AH993" s="75"/>
      <c r="AI993" s="75"/>
      <c r="AJ993" s="75"/>
      <c r="AK993" s="75"/>
      <c r="AL993" s="75"/>
      <c r="AM993" s="78"/>
      <c r="AN993" s="79"/>
      <c r="AO993" s="79"/>
      <c r="AP993" s="79"/>
      <c r="AQ993" s="79"/>
      <c r="AR993" s="79"/>
      <c r="AS993" s="79"/>
      <c r="AT993" s="77"/>
      <c r="AU993" s="79"/>
      <c r="AV993" s="80"/>
    </row>
    <row r="994" ht="15.75" customHeight="1">
      <c r="A994" s="72"/>
      <c r="B994" s="72"/>
      <c r="C994" s="73"/>
      <c r="D994" s="74"/>
      <c r="E994" s="73"/>
      <c r="F994" s="72"/>
      <c r="G994" s="74"/>
      <c r="H994" s="74"/>
      <c r="I994" s="75"/>
      <c r="J994" s="75"/>
      <c r="K994" s="75"/>
      <c r="L994" s="75"/>
      <c r="M994" s="75"/>
      <c r="N994" s="75"/>
      <c r="O994" s="75"/>
      <c r="P994" s="75"/>
      <c r="Q994" s="75"/>
      <c r="R994" s="76"/>
      <c r="S994" s="75"/>
      <c r="T994" s="75"/>
      <c r="U994" s="75"/>
      <c r="V994" s="75"/>
      <c r="W994" s="75"/>
      <c r="X994" s="77"/>
      <c r="Y994" s="75"/>
      <c r="Z994" s="75"/>
      <c r="AA994" s="75"/>
      <c r="AB994" s="75"/>
      <c r="AC994" s="75"/>
      <c r="AD994" s="75"/>
      <c r="AE994" s="75"/>
      <c r="AF994" s="75"/>
      <c r="AG994" s="75"/>
      <c r="AH994" s="75"/>
      <c r="AI994" s="75"/>
      <c r="AJ994" s="75"/>
      <c r="AK994" s="75"/>
      <c r="AL994" s="75"/>
      <c r="AM994" s="78"/>
      <c r="AN994" s="79"/>
      <c r="AO994" s="79"/>
      <c r="AP994" s="79"/>
      <c r="AQ994" s="79"/>
      <c r="AR994" s="79"/>
      <c r="AS994" s="79"/>
      <c r="AT994" s="77"/>
      <c r="AU994" s="79"/>
      <c r="AV994" s="80"/>
    </row>
    <row r="995" ht="15.75" customHeight="1">
      <c r="A995" s="72"/>
      <c r="B995" s="72"/>
      <c r="C995" s="73"/>
      <c r="D995" s="74"/>
      <c r="E995" s="73"/>
      <c r="F995" s="72"/>
      <c r="G995" s="74"/>
      <c r="H995" s="74"/>
      <c r="I995" s="75"/>
      <c r="J995" s="75"/>
      <c r="K995" s="75"/>
      <c r="L995" s="75"/>
      <c r="M995" s="75"/>
      <c r="N995" s="75"/>
      <c r="O995" s="75"/>
      <c r="P995" s="75"/>
      <c r="Q995" s="75"/>
      <c r="R995" s="76"/>
      <c r="S995" s="75"/>
      <c r="T995" s="75"/>
      <c r="U995" s="75"/>
      <c r="V995" s="75"/>
      <c r="W995" s="75"/>
      <c r="X995" s="77"/>
      <c r="Y995" s="75"/>
      <c r="Z995" s="75"/>
      <c r="AA995" s="75"/>
      <c r="AB995" s="75"/>
      <c r="AC995" s="75"/>
      <c r="AD995" s="75"/>
      <c r="AE995" s="75"/>
      <c r="AF995" s="75"/>
      <c r="AG995" s="75"/>
      <c r="AH995" s="75"/>
      <c r="AI995" s="75"/>
      <c r="AJ995" s="75"/>
      <c r="AK995" s="75"/>
      <c r="AL995" s="75"/>
      <c r="AM995" s="78"/>
      <c r="AN995" s="79"/>
      <c r="AO995" s="79"/>
      <c r="AP995" s="79"/>
      <c r="AQ995" s="79"/>
      <c r="AR995" s="79"/>
      <c r="AS995" s="79"/>
      <c r="AT995" s="77"/>
      <c r="AU995" s="79"/>
      <c r="AV995" s="80"/>
    </row>
    <row r="996" ht="15.75" customHeight="1">
      <c r="A996" s="72"/>
      <c r="B996" s="72"/>
      <c r="C996" s="73"/>
      <c r="D996" s="74"/>
      <c r="E996" s="73"/>
      <c r="F996" s="72"/>
      <c r="G996" s="74"/>
      <c r="H996" s="74"/>
      <c r="I996" s="75"/>
      <c r="J996" s="75"/>
      <c r="K996" s="75"/>
      <c r="L996" s="75"/>
      <c r="M996" s="75"/>
      <c r="N996" s="75"/>
      <c r="O996" s="75"/>
      <c r="P996" s="75"/>
      <c r="Q996" s="75"/>
      <c r="R996" s="76"/>
      <c r="S996" s="75"/>
      <c r="T996" s="75"/>
      <c r="U996" s="75"/>
      <c r="V996" s="75"/>
      <c r="W996" s="75"/>
      <c r="X996" s="77"/>
      <c r="Y996" s="75"/>
      <c r="Z996" s="75"/>
      <c r="AA996" s="75"/>
      <c r="AB996" s="75"/>
      <c r="AC996" s="75"/>
      <c r="AD996" s="75"/>
      <c r="AE996" s="75"/>
      <c r="AF996" s="75"/>
      <c r="AG996" s="75"/>
      <c r="AH996" s="75"/>
      <c r="AI996" s="75"/>
      <c r="AJ996" s="75"/>
      <c r="AK996" s="75"/>
      <c r="AL996" s="75"/>
      <c r="AM996" s="78"/>
      <c r="AN996" s="79"/>
      <c r="AO996" s="79"/>
      <c r="AP996" s="79"/>
      <c r="AQ996" s="79"/>
      <c r="AR996" s="79"/>
      <c r="AS996" s="79"/>
      <c r="AT996" s="77"/>
      <c r="AU996" s="79"/>
      <c r="AV996" s="80"/>
    </row>
    <row r="997" ht="15.75" customHeight="1">
      <c r="A997" s="72"/>
      <c r="B997" s="72"/>
      <c r="C997" s="73"/>
      <c r="D997" s="74"/>
      <c r="E997" s="73"/>
      <c r="F997" s="72"/>
      <c r="G997" s="74"/>
      <c r="H997" s="74"/>
      <c r="I997" s="75"/>
      <c r="J997" s="75"/>
      <c r="K997" s="75"/>
      <c r="L997" s="75"/>
      <c r="M997" s="75"/>
      <c r="N997" s="75"/>
      <c r="O997" s="75"/>
      <c r="P997" s="75"/>
      <c r="Q997" s="75"/>
      <c r="R997" s="76"/>
      <c r="S997" s="75"/>
      <c r="T997" s="75"/>
      <c r="U997" s="75"/>
      <c r="V997" s="75"/>
      <c r="W997" s="75"/>
      <c r="X997" s="77"/>
      <c r="Y997" s="75"/>
      <c r="Z997" s="75"/>
      <c r="AA997" s="75"/>
      <c r="AB997" s="75"/>
      <c r="AC997" s="75"/>
      <c r="AD997" s="75"/>
      <c r="AE997" s="75"/>
      <c r="AF997" s="75"/>
      <c r="AG997" s="75"/>
      <c r="AH997" s="75"/>
      <c r="AI997" s="75"/>
      <c r="AJ997" s="75"/>
      <c r="AK997" s="75"/>
      <c r="AL997" s="75"/>
      <c r="AM997" s="78"/>
      <c r="AN997" s="79"/>
      <c r="AO997" s="79"/>
      <c r="AP997" s="79"/>
      <c r="AQ997" s="79"/>
      <c r="AR997" s="79"/>
      <c r="AS997" s="79"/>
      <c r="AT997" s="77"/>
      <c r="AU997" s="79"/>
      <c r="AV997" s="80"/>
    </row>
    <row r="998" ht="15.75" customHeight="1">
      <c r="A998" s="72"/>
      <c r="B998" s="72"/>
      <c r="C998" s="73"/>
      <c r="D998" s="74"/>
      <c r="E998" s="73"/>
      <c r="F998" s="72"/>
      <c r="G998" s="74"/>
      <c r="H998" s="74"/>
      <c r="I998" s="75"/>
      <c r="J998" s="75"/>
      <c r="K998" s="75"/>
      <c r="L998" s="75"/>
      <c r="M998" s="75"/>
      <c r="N998" s="75"/>
      <c r="O998" s="75"/>
      <c r="P998" s="75"/>
      <c r="Q998" s="75"/>
      <c r="R998" s="76"/>
      <c r="S998" s="75"/>
      <c r="T998" s="75"/>
      <c r="U998" s="75"/>
      <c r="V998" s="75"/>
      <c r="W998" s="75"/>
      <c r="X998" s="77"/>
      <c r="Y998" s="75"/>
      <c r="Z998" s="75"/>
      <c r="AA998" s="75"/>
      <c r="AB998" s="75"/>
      <c r="AC998" s="75"/>
      <c r="AD998" s="75"/>
      <c r="AE998" s="75"/>
      <c r="AF998" s="75"/>
      <c r="AG998" s="75"/>
      <c r="AH998" s="75"/>
      <c r="AI998" s="75"/>
      <c r="AJ998" s="75"/>
      <c r="AK998" s="75"/>
      <c r="AL998" s="75"/>
      <c r="AM998" s="78"/>
      <c r="AN998" s="79"/>
      <c r="AO998" s="79"/>
      <c r="AP998" s="79"/>
      <c r="AQ998" s="79"/>
      <c r="AR998" s="79"/>
      <c r="AS998" s="79"/>
      <c r="AT998" s="77"/>
      <c r="AU998" s="79"/>
      <c r="AV998" s="80"/>
    </row>
    <row r="999" ht="15.75" customHeight="1">
      <c r="A999" s="72"/>
      <c r="B999" s="72"/>
      <c r="C999" s="73"/>
      <c r="D999" s="74"/>
      <c r="E999" s="73"/>
      <c r="F999" s="72"/>
      <c r="G999" s="74"/>
      <c r="H999" s="74"/>
      <c r="I999" s="75"/>
      <c r="J999" s="75"/>
      <c r="K999" s="75"/>
      <c r="L999" s="75"/>
      <c r="M999" s="75"/>
      <c r="N999" s="75"/>
      <c r="O999" s="75"/>
      <c r="P999" s="75"/>
      <c r="Q999" s="75"/>
      <c r="R999" s="76"/>
      <c r="S999" s="75"/>
      <c r="T999" s="75"/>
      <c r="U999" s="75"/>
      <c r="V999" s="75"/>
      <c r="W999" s="75"/>
      <c r="X999" s="77"/>
      <c r="Y999" s="75"/>
      <c r="Z999" s="75"/>
      <c r="AA999" s="75"/>
      <c r="AB999" s="75"/>
      <c r="AC999" s="75"/>
      <c r="AD999" s="75"/>
      <c r="AE999" s="75"/>
      <c r="AF999" s="75"/>
      <c r="AG999" s="75"/>
      <c r="AH999" s="75"/>
      <c r="AI999" s="75"/>
      <c r="AJ999" s="75"/>
      <c r="AK999" s="75"/>
      <c r="AL999" s="75"/>
      <c r="AM999" s="78"/>
      <c r="AN999" s="79"/>
      <c r="AO999" s="79"/>
      <c r="AP999" s="79"/>
      <c r="AQ999" s="79"/>
      <c r="AR999" s="79"/>
      <c r="AS999" s="79"/>
      <c r="AT999" s="77"/>
      <c r="AU999" s="79"/>
      <c r="AV999" s="80"/>
    </row>
    <row r="1000" ht="15.75" customHeight="1">
      <c r="A1000" s="72"/>
      <c r="B1000" s="72"/>
      <c r="C1000" s="73"/>
      <c r="D1000" s="74"/>
      <c r="E1000" s="73"/>
      <c r="F1000" s="72"/>
      <c r="G1000" s="74"/>
      <c r="H1000" s="74"/>
      <c r="I1000" s="75"/>
      <c r="J1000" s="75"/>
      <c r="K1000" s="75"/>
      <c r="L1000" s="75"/>
      <c r="M1000" s="75"/>
      <c r="N1000" s="75"/>
      <c r="O1000" s="75"/>
      <c r="P1000" s="75"/>
      <c r="Q1000" s="75"/>
      <c r="R1000" s="76"/>
      <c r="S1000" s="75"/>
      <c r="T1000" s="75"/>
      <c r="U1000" s="75"/>
      <c r="V1000" s="75"/>
      <c r="W1000" s="75"/>
      <c r="X1000" s="77"/>
      <c r="Y1000" s="75"/>
      <c r="Z1000" s="75"/>
      <c r="AA1000" s="75"/>
      <c r="AB1000" s="75"/>
      <c r="AC1000" s="75"/>
      <c r="AD1000" s="75"/>
      <c r="AE1000" s="75"/>
      <c r="AF1000" s="75"/>
      <c r="AG1000" s="75"/>
      <c r="AH1000" s="75"/>
      <c r="AI1000" s="75"/>
      <c r="AJ1000" s="75"/>
      <c r="AK1000" s="75"/>
      <c r="AL1000" s="75"/>
      <c r="AM1000" s="78"/>
      <c r="AN1000" s="79"/>
      <c r="AO1000" s="79"/>
      <c r="AP1000" s="79"/>
      <c r="AQ1000" s="79"/>
      <c r="AR1000" s="79"/>
      <c r="AS1000" s="79"/>
      <c r="AT1000" s="77"/>
      <c r="AU1000" s="79"/>
      <c r="AV1000" s="80"/>
    </row>
  </sheetData>
  <customSheetViews>
    <customSheetView guid="{BD5088F5-1138-4457-9BF8-20F07DA2A13F}" filter="1" showAutoFilter="1">
      <autoFilter ref="$AT$173:$AT$200"/>
    </customSheetView>
    <customSheetView guid="{FC5F2378-5C14-4949-B37E-2B8AA3DD9B9F}" filter="1" showAutoFilter="1">
      <autoFilter ref="$A$1:$AU$788"/>
    </customSheetView>
  </customSheetViews>
  <conditionalFormatting sqref="F805">
    <cfRule type="expression" dxfId="5" priority="1" stopIfTrue="1">
      <formula>$F805=7233</formula>
    </cfRule>
  </conditionalFormatting>
  <conditionalFormatting sqref="F805">
    <cfRule type="expression" dxfId="5" priority="2" stopIfTrue="1">
      <formula>$F805=7236</formula>
    </cfRule>
  </conditionalFormatting>
  <conditionalFormatting sqref="F805">
    <cfRule type="expression" dxfId="5" priority="3" stopIfTrue="1">
      <formula>$F805=7235</formula>
    </cfRule>
  </conditionalFormatting>
  <conditionalFormatting sqref="F805">
    <cfRule type="expression" dxfId="5" priority="4" stopIfTrue="1">
      <formula>$F805=7234</formula>
    </cfRule>
  </conditionalFormatting>
  <conditionalFormatting sqref="F805">
    <cfRule type="expression" dxfId="5" priority="5" stopIfTrue="1">
      <formula>$F805=6809</formula>
    </cfRule>
  </conditionalFormatting>
  <conditionalFormatting sqref="F805">
    <cfRule type="expression" dxfId="5" priority="6" stopIfTrue="1">
      <formula>$F805=6808</formula>
    </cfRule>
  </conditionalFormatting>
  <conditionalFormatting sqref="F805">
    <cfRule type="expression" dxfId="5" priority="7" stopIfTrue="1">
      <formula>$F805=6754</formula>
    </cfRule>
  </conditionalFormatting>
  <conditionalFormatting sqref="F805">
    <cfRule type="expression" dxfId="5" priority="8" stopIfTrue="1">
      <formula>$F805=6753</formula>
    </cfRule>
  </conditionalFormatting>
  <conditionalFormatting sqref="F805">
    <cfRule type="expression" dxfId="5" priority="9" stopIfTrue="1">
      <formula>$F805=6723</formula>
    </cfRule>
  </conditionalFormatting>
  <conditionalFormatting sqref="F805">
    <cfRule type="expression" dxfId="5" priority="10" stopIfTrue="1">
      <formula>$F805=6722</formula>
    </cfRule>
  </conditionalFormatting>
  <conditionalFormatting sqref="F805">
    <cfRule type="expression" dxfId="5" priority="11" stopIfTrue="1">
      <formula>$F805=6717</formula>
    </cfRule>
  </conditionalFormatting>
  <conditionalFormatting sqref="F805">
    <cfRule type="expression" dxfId="5" priority="12" stopIfTrue="1">
      <formula>$F805=6711</formula>
    </cfRule>
  </conditionalFormatting>
  <conditionalFormatting sqref="F805">
    <cfRule type="expression" dxfId="5" priority="13" stopIfTrue="1">
      <formula>$F805=6640</formula>
    </cfRule>
  </conditionalFormatting>
  <conditionalFormatting sqref="F805">
    <cfRule type="expression" dxfId="5" priority="14" stopIfTrue="1">
      <formula>$F805=6620</formula>
    </cfRule>
  </conditionalFormatting>
  <conditionalFormatting sqref="F805">
    <cfRule type="expression" dxfId="5" priority="15" stopIfTrue="1">
      <formula>$F805=6617</formula>
    </cfRule>
  </conditionalFormatting>
  <conditionalFormatting sqref="F805">
    <cfRule type="expression" dxfId="5" priority="16" stopIfTrue="1">
      <formula>$F805=6616</formula>
    </cfRule>
  </conditionalFormatting>
  <conditionalFormatting sqref="F805">
    <cfRule type="expression" dxfId="5" priority="17" stopIfTrue="1">
      <formula>$F805=6609</formula>
    </cfRule>
  </conditionalFormatting>
  <conditionalFormatting sqref="F805">
    <cfRule type="expression" dxfId="5" priority="18" stopIfTrue="1">
      <formula>$F805=6608</formula>
    </cfRule>
  </conditionalFormatting>
  <conditionalFormatting sqref="F805">
    <cfRule type="expression" dxfId="5" priority="19" stopIfTrue="1">
      <formula>$F805=6606</formula>
    </cfRule>
  </conditionalFormatting>
  <conditionalFormatting sqref="F805">
    <cfRule type="expression" dxfId="5" priority="20" stopIfTrue="1">
      <formula>$F805=6560</formula>
    </cfRule>
  </conditionalFormatting>
  <conditionalFormatting sqref="F805">
    <cfRule type="expression" dxfId="5" priority="21" stopIfTrue="1">
      <formula>$F805=6555</formula>
    </cfRule>
  </conditionalFormatting>
  <conditionalFormatting sqref="F805">
    <cfRule type="expression" dxfId="5" priority="22" stopIfTrue="1">
      <formula>$F805=6546</formula>
    </cfRule>
  </conditionalFormatting>
  <conditionalFormatting sqref="F805">
    <cfRule type="expression" dxfId="5" priority="23" stopIfTrue="1">
      <formula>$F805=6542</formula>
    </cfRule>
  </conditionalFormatting>
  <conditionalFormatting sqref="F805">
    <cfRule type="expression" dxfId="5" priority="24" stopIfTrue="1">
      <formula>$F805=6537</formula>
    </cfRule>
  </conditionalFormatting>
  <conditionalFormatting sqref="F805">
    <cfRule type="expression" dxfId="5" priority="25" stopIfTrue="1">
      <formula>$F805=6536</formula>
    </cfRule>
  </conditionalFormatting>
  <conditionalFormatting sqref="F805">
    <cfRule type="expression" dxfId="5" priority="26" stopIfTrue="1">
      <formula>$F805=6527</formula>
    </cfRule>
  </conditionalFormatting>
  <conditionalFormatting sqref="F805">
    <cfRule type="expression" dxfId="5" priority="27" stopIfTrue="1">
      <formula>$F805=6522</formula>
    </cfRule>
  </conditionalFormatting>
  <conditionalFormatting sqref="F805">
    <cfRule type="expression" dxfId="5" priority="28" stopIfTrue="1">
      <formula>$F805=6508</formula>
    </cfRule>
  </conditionalFormatting>
  <conditionalFormatting sqref="F805">
    <cfRule type="expression" dxfId="5" priority="29" stopIfTrue="1">
      <formula>$F805=6503</formula>
    </cfRule>
  </conditionalFormatting>
  <conditionalFormatting sqref="F805">
    <cfRule type="expression" dxfId="5" priority="30" stopIfTrue="1">
      <formula>$F805=6502</formula>
    </cfRule>
  </conditionalFormatting>
  <conditionalFormatting sqref="F805">
    <cfRule type="expression" dxfId="5" priority="31" stopIfTrue="1">
      <formula>$F805=6501</formula>
    </cfRule>
  </conditionalFormatting>
  <conditionalFormatting sqref="F805">
    <cfRule type="expression" dxfId="5" priority="32" stopIfTrue="1">
      <formula>$F805=6499</formula>
    </cfRule>
  </conditionalFormatting>
  <conditionalFormatting sqref="F805">
    <cfRule type="expression" dxfId="5" priority="33" stopIfTrue="1">
      <formula>$F805=6498</formula>
    </cfRule>
  </conditionalFormatting>
  <conditionalFormatting sqref="F805">
    <cfRule type="expression" dxfId="5" priority="34" stopIfTrue="1">
      <formula>$F805=6497</formula>
    </cfRule>
  </conditionalFormatting>
  <conditionalFormatting sqref="F805">
    <cfRule type="expression" dxfId="5" priority="35" stopIfTrue="1">
      <formula>$F805=6496</formula>
    </cfRule>
  </conditionalFormatting>
  <conditionalFormatting sqref="F805">
    <cfRule type="expression" dxfId="5" priority="36" stopIfTrue="1">
      <formula>$F805=6495</formula>
    </cfRule>
  </conditionalFormatting>
  <conditionalFormatting sqref="F805">
    <cfRule type="expression" dxfId="5" priority="37" stopIfTrue="1">
      <formula>$F805=6494</formula>
    </cfRule>
  </conditionalFormatting>
  <conditionalFormatting sqref="F805">
    <cfRule type="expression" dxfId="5" priority="38" stopIfTrue="1">
      <formula>$F805=6493</formula>
    </cfRule>
  </conditionalFormatting>
  <conditionalFormatting sqref="F805">
    <cfRule type="expression" dxfId="5" priority="39" stopIfTrue="1">
      <formula>$F805=6492</formula>
    </cfRule>
  </conditionalFormatting>
  <conditionalFormatting sqref="F805">
    <cfRule type="expression" dxfId="5" priority="40" stopIfTrue="1">
      <formula>$F805=6491</formula>
    </cfRule>
  </conditionalFormatting>
  <conditionalFormatting sqref="F805">
    <cfRule type="expression" dxfId="5" priority="41" stopIfTrue="1">
      <formula>$F805=6490</formula>
    </cfRule>
  </conditionalFormatting>
  <conditionalFormatting sqref="F805">
    <cfRule type="expression" dxfId="5" priority="42" stopIfTrue="1">
      <formula>$F805=6489</formula>
    </cfRule>
  </conditionalFormatting>
  <conditionalFormatting sqref="F805">
    <cfRule type="expression" dxfId="5" priority="43" stopIfTrue="1">
      <formula>$F805=6488</formula>
    </cfRule>
  </conditionalFormatting>
  <conditionalFormatting sqref="F805">
    <cfRule type="expression" dxfId="5" priority="44" stopIfTrue="1">
      <formula>$F805=6487</formula>
    </cfRule>
  </conditionalFormatting>
  <conditionalFormatting sqref="F805">
    <cfRule type="expression" dxfId="5" priority="45" stopIfTrue="1">
      <formula>$F805=6486</formula>
    </cfRule>
  </conditionalFormatting>
  <conditionalFormatting sqref="F805">
    <cfRule type="expression" dxfId="5" priority="46" stopIfTrue="1">
      <formula>$F805=6485</formula>
    </cfRule>
  </conditionalFormatting>
  <conditionalFormatting sqref="F805">
    <cfRule type="expression" dxfId="5" priority="47" stopIfTrue="1">
      <formula>$F805=6392</formula>
    </cfRule>
  </conditionalFormatting>
  <conditionalFormatting sqref="F805">
    <cfRule type="expression" dxfId="5" priority="48" stopIfTrue="1">
      <formula>$F805=6390</formula>
    </cfRule>
  </conditionalFormatting>
  <conditionalFormatting sqref="F805">
    <cfRule type="expression" dxfId="5" priority="49" stopIfTrue="1">
      <formula>$F805=6389</formula>
    </cfRule>
  </conditionalFormatting>
  <conditionalFormatting sqref="F805">
    <cfRule type="expression" dxfId="5" priority="50" stopIfTrue="1">
      <formula>$F805=6378</formula>
    </cfRule>
  </conditionalFormatting>
  <conditionalFormatting sqref="F805">
    <cfRule type="expression" dxfId="5" priority="51" stopIfTrue="1">
      <formula>$F805=6371</formula>
    </cfRule>
  </conditionalFormatting>
  <conditionalFormatting sqref="F805">
    <cfRule type="expression" dxfId="5" priority="52" stopIfTrue="1">
      <formula>$F805=6357</formula>
    </cfRule>
  </conditionalFormatting>
  <conditionalFormatting sqref="F805">
    <cfRule type="expression" dxfId="5" priority="53" stopIfTrue="1">
      <formula>$F805=6355</formula>
    </cfRule>
  </conditionalFormatting>
  <conditionalFormatting sqref="F805">
    <cfRule type="expression" dxfId="5" priority="54" stopIfTrue="1">
      <formula>$F805=6353</formula>
    </cfRule>
  </conditionalFormatting>
  <conditionalFormatting sqref="F805">
    <cfRule type="expression" dxfId="5" priority="55" stopIfTrue="1">
      <formula>$F805=6312</formula>
    </cfRule>
  </conditionalFormatting>
  <conditionalFormatting sqref="F805">
    <cfRule type="expression" dxfId="5" priority="56" stopIfTrue="1">
      <formula>$F805=6124</formula>
    </cfRule>
  </conditionalFormatting>
  <conditionalFormatting sqref="F805">
    <cfRule type="expression" dxfId="5" priority="57" stopIfTrue="1">
      <formula>$F805=6122</formula>
    </cfRule>
  </conditionalFormatting>
  <conditionalFormatting sqref="F805">
    <cfRule type="expression" dxfId="5" priority="58" stopIfTrue="1">
      <formula>$F805=6121</formula>
    </cfRule>
  </conditionalFormatting>
  <conditionalFormatting sqref="F805">
    <cfRule type="expression" dxfId="5" priority="59" stopIfTrue="1">
      <formula>$F805=6114</formula>
    </cfRule>
  </conditionalFormatting>
  <conditionalFormatting sqref="F805">
    <cfRule type="expression" dxfId="5" priority="60" stopIfTrue="1">
      <formula>$F805=6107</formula>
    </cfRule>
  </conditionalFormatting>
  <conditionalFormatting sqref="F805">
    <cfRule type="expression" dxfId="5" priority="61" stopIfTrue="1">
      <formula>$F805=6105</formula>
    </cfRule>
  </conditionalFormatting>
  <conditionalFormatting sqref="F805">
    <cfRule type="expression" dxfId="5" priority="62" stopIfTrue="1">
      <formula>$F805=6080</formula>
    </cfRule>
  </conditionalFormatting>
  <conditionalFormatting sqref="F805">
    <cfRule type="expression" dxfId="5" priority="63" stopIfTrue="1">
      <formula>$F805=4218</formula>
    </cfRule>
  </conditionalFormatting>
  <conditionalFormatting sqref="F805">
    <cfRule type="expression" dxfId="5" priority="64" stopIfTrue="1">
      <formula>$F805=4207</formula>
    </cfRule>
  </conditionalFormatting>
  <conditionalFormatting sqref="F805">
    <cfRule type="expression" dxfId="5" priority="65" stopIfTrue="1">
      <formula>$F805=4194</formula>
    </cfRule>
  </conditionalFormatting>
  <conditionalFormatting sqref="F805">
    <cfRule type="expression" dxfId="5" priority="66" stopIfTrue="1">
      <formula>$F805=4192</formula>
    </cfRule>
  </conditionalFormatting>
  <conditionalFormatting sqref="F805">
    <cfRule type="expression" dxfId="5" priority="67" stopIfTrue="1">
      <formula>$F805=3784</formula>
    </cfRule>
  </conditionalFormatting>
  <conditionalFormatting sqref="F805">
    <cfRule type="expression" dxfId="5" priority="68" stopIfTrue="1">
      <formula>$F805=3482</formula>
    </cfRule>
  </conditionalFormatting>
  <conditionalFormatting sqref="F805">
    <cfRule type="expression" dxfId="5" priority="69" stopIfTrue="1">
      <formula>$F805=3412</formula>
    </cfRule>
  </conditionalFormatting>
  <conditionalFormatting sqref="F805">
    <cfRule type="expression" dxfId="5" priority="70" stopIfTrue="1">
      <formula>$F805=3408</formula>
    </cfRule>
  </conditionalFormatting>
  <conditionalFormatting sqref="F805">
    <cfRule type="expression" dxfId="5" priority="71" stopIfTrue="1">
      <formula>$F805=3365</formula>
    </cfRule>
  </conditionalFormatting>
  <conditionalFormatting sqref="G806:G807">
    <cfRule type="expression" dxfId="5" priority="72" stopIfTrue="1">
      <formula>$G806=7233</formula>
    </cfRule>
  </conditionalFormatting>
  <conditionalFormatting sqref="G806:G807">
    <cfRule type="expression" dxfId="5" priority="73" stopIfTrue="1">
      <formula>$G806=7236</formula>
    </cfRule>
  </conditionalFormatting>
  <conditionalFormatting sqref="G806:G807">
    <cfRule type="expression" dxfId="5" priority="74" stopIfTrue="1">
      <formula>$G806=7235</formula>
    </cfRule>
  </conditionalFormatting>
  <conditionalFormatting sqref="G806:G807">
    <cfRule type="expression" dxfId="5" priority="75" stopIfTrue="1">
      <formula>$G806=7234</formula>
    </cfRule>
  </conditionalFormatting>
  <conditionalFormatting sqref="G806:G807">
    <cfRule type="expression" dxfId="5" priority="76" stopIfTrue="1">
      <formula>$G806=6809</formula>
    </cfRule>
  </conditionalFormatting>
  <conditionalFormatting sqref="G806:G807">
    <cfRule type="expression" dxfId="5" priority="77" stopIfTrue="1">
      <formula>$G806=6808</formula>
    </cfRule>
  </conditionalFormatting>
  <conditionalFormatting sqref="G806:G807">
    <cfRule type="expression" dxfId="5" priority="78" stopIfTrue="1">
      <formula>$G806=6754</formula>
    </cfRule>
  </conditionalFormatting>
  <conditionalFormatting sqref="G806:G807">
    <cfRule type="expression" dxfId="5" priority="79" stopIfTrue="1">
      <formula>$G806=6753</formula>
    </cfRule>
  </conditionalFormatting>
  <conditionalFormatting sqref="G806:G807">
    <cfRule type="expression" dxfId="5" priority="80" stopIfTrue="1">
      <formula>$G806=6723</formula>
    </cfRule>
  </conditionalFormatting>
  <conditionalFormatting sqref="G806:G807">
    <cfRule type="expression" dxfId="5" priority="81" stopIfTrue="1">
      <formula>$G806=6722</formula>
    </cfRule>
  </conditionalFormatting>
  <conditionalFormatting sqref="G806:G807">
    <cfRule type="expression" dxfId="5" priority="82" stopIfTrue="1">
      <formula>$G806=6717</formula>
    </cfRule>
  </conditionalFormatting>
  <conditionalFormatting sqref="G806:G807">
    <cfRule type="expression" dxfId="5" priority="83" stopIfTrue="1">
      <formula>$G806=6711</formula>
    </cfRule>
  </conditionalFormatting>
  <conditionalFormatting sqref="G806:G807">
    <cfRule type="expression" dxfId="5" priority="84" stopIfTrue="1">
      <formula>$G806=6640</formula>
    </cfRule>
  </conditionalFormatting>
  <conditionalFormatting sqref="G806:G807">
    <cfRule type="expression" dxfId="5" priority="85" stopIfTrue="1">
      <formula>$G806=6620</formula>
    </cfRule>
  </conditionalFormatting>
  <conditionalFormatting sqref="G806:G807">
    <cfRule type="expression" dxfId="5" priority="86" stopIfTrue="1">
      <formula>$G806=6617</formula>
    </cfRule>
  </conditionalFormatting>
  <conditionalFormatting sqref="G806:G807">
    <cfRule type="expression" dxfId="5" priority="87" stopIfTrue="1">
      <formula>$G806=6616</formula>
    </cfRule>
  </conditionalFormatting>
  <conditionalFormatting sqref="G806:G807">
    <cfRule type="expression" dxfId="5" priority="88" stopIfTrue="1">
      <formula>$G806=6609</formula>
    </cfRule>
  </conditionalFormatting>
  <conditionalFormatting sqref="G806:G807">
    <cfRule type="expression" dxfId="5" priority="89" stopIfTrue="1">
      <formula>$G806=6608</formula>
    </cfRule>
  </conditionalFormatting>
  <conditionalFormatting sqref="G806:G807">
    <cfRule type="expression" dxfId="5" priority="90" stopIfTrue="1">
      <formula>$G806=6606</formula>
    </cfRule>
  </conditionalFormatting>
  <conditionalFormatting sqref="G806:G807">
    <cfRule type="expression" dxfId="5" priority="91" stopIfTrue="1">
      <formula>$G806=6560</formula>
    </cfRule>
  </conditionalFormatting>
  <conditionalFormatting sqref="G806:G807">
    <cfRule type="expression" dxfId="5" priority="92" stopIfTrue="1">
      <formula>$G806=6555</formula>
    </cfRule>
  </conditionalFormatting>
  <conditionalFormatting sqref="G806:G807">
    <cfRule type="expression" dxfId="5" priority="93" stopIfTrue="1">
      <formula>$G806=6546</formula>
    </cfRule>
  </conditionalFormatting>
  <conditionalFormatting sqref="G806:G807">
    <cfRule type="expression" dxfId="5" priority="94" stopIfTrue="1">
      <formula>$G806=6542</formula>
    </cfRule>
  </conditionalFormatting>
  <conditionalFormatting sqref="G806:G807">
    <cfRule type="expression" dxfId="5" priority="95" stopIfTrue="1">
      <formula>$G806=6537</formula>
    </cfRule>
  </conditionalFormatting>
  <conditionalFormatting sqref="G806:G807">
    <cfRule type="expression" dxfId="5" priority="96" stopIfTrue="1">
      <formula>$G806=6536</formula>
    </cfRule>
  </conditionalFormatting>
  <conditionalFormatting sqref="G806:G807">
    <cfRule type="expression" dxfId="5" priority="97" stopIfTrue="1">
      <formula>$G806=6527</formula>
    </cfRule>
  </conditionalFormatting>
  <conditionalFormatting sqref="G806:G807">
    <cfRule type="expression" dxfId="5" priority="98" stopIfTrue="1">
      <formula>$G806=6522</formula>
    </cfRule>
  </conditionalFormatting>
  <conditionalFormatting sqref="G806:G807">
    <cfRule type="expression" dxfId="5" priority="99" stopIfTrue="1">
      <formula>$G806=6508</formula>
    </cfRule>
  </conditionalFormatting>
  <conditionalFormatting sqref="G806:G807">
    <cfRule type="expression" dxfId="5" priority="100" stopIfTrue="1">
      <formula>$G806=6503</formula>
    </cfRule>
  </conditionalFormatting>
  <conditionalFormatting sqref="G806:G807">
    <cfRule type="expression" dxfId="5" priority="101" stopIfTrue="1">
      <formula>$G806=6502</formula>
    </cfRule>
  </conditionalFormatting>
  <conditionalFormatting sqref="G806:G807">
    <cfRule type="expression" dxfId="5" priority="102" stopIfTrue="1">
      <formula>$G806=6501</formula>
    </cfRule>
  </conditionalFormatting>
  <conditionalFormatting sqref="G806:G807">
    <cfRule type="expression" dxfId="5" priority="103" stopIfTrue="1">
      <formula>$G806=6499</formula>
    </cfRule>
  </conditionalFormatting>
  <conditionalFormatting sqref="G806:G807">
    <cfRule type="expression" dxfId="5" priority="104" stopIfTrue="1">
      <formula>$G806=6498</formula>
    </cfRule>
  </conditionalFormatting>
  <conditionalFormatting sqref="G806:G807">
    <cfRule type="expression" dxfId="5" priority="105" stopIfTrue="1">
      <formula>$G806=6497</formula>
    </cfRule>
  </conditionalFormatting>
  <conditionalFormatting sqref="G806:G807">
    <cfRule type="expression" dxfId="5" priority="106" stopIfTrue="1">
      <formula>$G806=6496</formula>
    </cfRule>
  </conditionalFormatting>
  <conditionalFormatting sqref="G806:G807">
    <cfRule type="expression" dxfId="5" priority="107" stopIfTrue="1">
      <formula>$G806=6495</formula>
    </cfRule>
  </conditionalFormatting>
  <conditionalFormatting sqref="G806:G807">
    <cfRule type="expression" dxfId="5" priority="108" stopIfTrue="1">
      <formula>$G806=6494</formula>
    </cfRule>
  </conditionalFormatting>
  <conditionalFormatting sqref="G806:G807">
    <cfRule type="expression" dxfId="5" priority="109" stopIfTrue="1">
      <formula>$G806=6493</formula>
    </cfRule>
  </conditionalFormatting>
  <conditionalFormatting sqref="G806:G807">
    <cfRule type="expression" dxfId="5" priority="110" stopIfTrue="1">
      <formula>$G806=6492</formula>
    </cfRule>
  </conditionalFormatting>
  <conditionalFormatting sqref="G806:G807">
    <cfRule type="expression" dxfId="5" priority="111" stopIfTrue="1">
      <formula>$G806=6491</formula>
    </cfRule>
  </conditionalFormatting>
  <conditionalFormatting sqref="G806:G807">
    <cfRule type="expression" dxfId="5" priority="112" stopIfTrue="1">
      <formula>$G806=6490</formula>
    </cfRule>
  </conditionalFormatting>
  <conditionalFormatting sqref="G806:G807">
    <cfRule type="expression" dxfId="5" priority="113" stopIfTrue="1">
      <formula>$G806=6489</formula>
    </cfRule>
  </conditionalFormatting>
  <conditionalFormatting sqref="G806:G807">
    <cfRule type="expression" dxfId="5" priority="114" stopIfTrue="1">
      <formula>$G806=6488</formula>
    </cfRule>
  </conditionalFormatting>
  <conditionalFormatting sqref="G806:G807">
    <cfRule type="expression" dxfId="5" priority="115" stopIfTrue="1">
      <formula>$G806=6487</formula>
    </cfRule>
  </conditionalFormatting>
  <conditionalFormatting sqref="G806:G807">
    <cfRule type="expression" dxfId="5" priority="116" stopIfTrue="1">
      <formula>$G806=6486</formula>
    </cfRule>
  </conditionalFormatting>
  <conditionalFormatting sqref="G806:G807">
    <cfRule type="expression" dxfId="5" priority="117" stopIfTrue="1">
      <formula>$G806=6485</formula>
    </cfRule>
  </conditionalFormatting>
  <conditionalFormatting sqref="G806:G807">
    <cfRule type="expression" dxfId="5" priority="118" stopIfTrue="1">
      <formula>$G806=6392</formula>
    </cfRule>
  </conditionalFormatting>
  <conditionalFormatting sqref="G806:G807">
    <cfRule type="expression" dxfId="5" priority="119" stopIfTrue="1">
      <formula>$G806=6390</formula>
    </cfRule>
  </conditionalFormatting>
  <conditionalFormatting sqref="G806:G807">
    <cfRule type="expression" dxfId="5" priority="120" stopIfTrue="1">
      <formula>$G806=6389</formula>
    </cfRule>
  </conditionalFormatting>
  <conditionalFormatting sqref="G806:G807">
    <cfRule type="expression" dxfId="5" priority="121" stopIfTrue="1">
      <formula>$G806=6378</formula>
    </cfRule>
  </conditionalFormatting>
  <conditionalFormatting sqref="G806:G807">
    <cfRule type="expression" dxfId="5" priority="122" stopIfTrue="1">
      <formula>$G806=6371</formula>
    </cfRule>
  </conditionalFormatting>
  <conditionalFormatting sqref="G806:G807">
    <cfRule type="expression" dxfId="5" priority="123" stopIfTrue="1">
      <formula>$G806=6357</formula>
    </cfRule>
  </conditionalFormatting>
  <conditionalFormatting sqref="G806:G807">
    <cfRule type="expression" dxfId="5" priority="124" stopIfTrue="1">
      <formula>$G806=6355</formula>
    </cfRule>
  </conditionalFormatting>
  <conditionalFormatting sqref="G806:G807">
    <cfRule type="expression" dxfId="5" priority="125" stopIfTrue="1">
      <formula>$G806=6353</formula>
    </cfRule>
  </conditionalFormatting>
  <conditionalFormatting sqref="G806:G807">
    <cfRule type="expression" dxfId="5" priority="126" stopIfTrue="1">
      <formula>$G806=6312</formula>
    </cfRule>
  </conditionalFormatting>
  <conditionalFormatting sqref="G806:G807">
    <cfRule type="expression" dxfId="5" priority="127" stopIfTrue="1">
      <formula>$G806=6124</formula>
    </cfRule>
  </conditionalFormatting>
  <conditionalFormatting sqref="G806:G807">
    <cfRule type="expression" dxfId="5" priority="128" stopIfTrue="1">
      <formula>$G806=6122</formula>
    </cfRule>
  </conditionalFormatting>
  <conditionalFormatting sqref="G806:G807">
    <cfRule type="expression" dxfId="5" priority="129" stopIfTrue="1">
      <formula>$G806=6121</formula>
    </cfRule>
  </conditionalFormatting>
  <conditionalFormatting sqref="G806:G807">
    <cfRule type="expression" dxfId="5" priority="130" stopIfTrue="1">
      <formula>$G806=6114</formula>
    </cfRule>
  </conditionalFormatting>
  <conditionalFormatting sqref="G806:G807">
    <cfRule type="expression" dxfId="5" priority="131" stopIfTrue="1">
      <formula>$G806=6107</formula>
    </cfRule>
  </conditionalFormatting>
  <conditionalFormatting sqref="G806:G807">
    <cfRule type="expression" dxfId="5" priority="132" stopIfTrue="1">
      <formula>$G806=6105</formula>
    </cfRule>
  </conditionalFormatting>
  <conditionalFormatting sqref="G806:G807">
    <cfRule type="expression" dxfId="5" priority="133" stopIfTrue="1">
      <formula>$G806=6080</formula>
    </cfRule>
  </conditionalFormatting>
  <conditionalFormatting sqref="G806:G807">
    <cfRule type="expression" dxfId="5" priority="134" stopIfTrue="1">
      <formula>$G806=4218</formula>
    </cfRule>
  </conditionalFormatting>
  <conditionalFormatting sqref="G806:G807">
    <cfRule type="expression" dxfId="5" priority="135" stopIfTrue="1">
      <formula>$G806=4207</formula>
    </cfRule>
  </conditionalFormatting>
  <conditionalFormatting sqref="G806:G807">
    <cfRule type="expression" dxfId="5" priority="136" stopIfTrue="1">
      <formula>$G806=4194</formula>
    </cfRule>
  </conditionalFormatting>
  <conditionalFormatting sqref="G806:G807">
    <cfRule type="expression" dxfId="5" priority="137" stopIfTrue="1">
      <formula>$G806=4192</formula>
    </cfRule>
  </conditionalFormatting>
  <conditionalFormatting sqref="G806:G807">
    <cfRule type="expression" dxfId="5" priority="138" stopIfTrue="1">
      <formula>$G806=3784</formula>
    </cfRule>
  </conditionalFormatting>
  <conditionalFormatting sqref="G806:G807">
    <cfRule type="expression" dxfId="5" priority="139" stopIfTrue="1">
      <formula>$G806=3482</formula>
    </cfRule>
  </conditionalFormatting>
  <conditionalFormatting sqref="G806:G807">
    <cfRule type="expression" dxfId="5" priority="140" stopIfTrue="1">
      <formula>$G806=3412</formula>
    </cfRule>
  </conditionalFormatting>
  <conditionalFormatting sqref="G806:G807">
    <cfRule type="expression" dxfId="5" priority="141" stopIfTrue="1">
      <formula>$G806=3408</formula>
    </cfRule>
  </conditionalFormatting>
  <conditionalFormatting sqref="G806:G807">
    <cfRule type="expression" dxfId="5" priority="142" stopIfTrue="1">
      <formula>$G806=3365</formula>
    </cfRule>
  </conditionalFormatting>
  <conditionalFormatting sqref="A2:AV1000">
    <cfRule type="expression" dxfId="6" priority="143" stopIfTrue="1">
      <formula>LOWER(TRIM($H2))="nuevo"</formula>
    </cfRule>
  </conditionalFormatting>
  <conditionalFormatting sqref="A2:A788 F2:F788 AP788 A798:A1000 F798:F804 F806:F1000 G810:G811">
    <cfRule type="expression" dxfId="5" priority="144" stopIfTrue="1">
      <formula>$F2=7233</formula>
    </cfRule>
  </conditionalFormatting>
  <conditionalFormatting sqref="A2:A788 F2:F788 AP788 A798:A1000 F798:F804 F806:F1000 G810:G811">
    <cfRule type="expression" dxfId="5" priority="145" stopIfTrue="1">
      <formula>$F2=7236</formula>
    </cfRule>
  </conditionalFormatting>
  <conditionalFormatting sqref="A2:A788 F2:F788 AP788 A798:A1000 F798:F804 F806:F1000 G810:G811">
    <cfRule type="expression" dxfId="5" priority="146" stopIfTrue="1">
      <formula>$F2=7235</formula>
    </cfRule>
  </conditionalFormatting>
  <conditionalFormatting sqref="A2:A788 F2:F788 AP788 A798:A1000 F798:F804 F806:F1000 G810:G811">
    <cfRule type="expression" dxfId="5" priority="147" stopIfTrue="1">
      <formula>$F2=7234</formula>
    </cfRule>
  </conditionalFormatting>
  <conditionalFormatting sqref="A2:A788 F2:F788 AP788 A798:A1000 F798:F804 F806:F1000 G810:G811">
    <cfRule type="expression" dxfId="5" priority="148" stopIfTrue="1">
      <formula>$F2=6809</formula>
    </cfRule>
  </conditionalFormatting>
  <conditionalFormatting sqref="A2:A788 F2:F788 AP788 A798:A1000 F798:F804 F806:F1000 G810:G811">
    <cfRule type="expression" dxfId="5" priority="149" stopIfTrue="1">
      <formula>$F2=6808</formula>
    </cfRule>
  </conditionalFormatting>
  <conditionalFormatting sqref="A2:A788 F2:F788 AP788 A798:A1000 F798:F804 F806:F1000 G810:G811">
    <cfRule type="expression" dxfId="5" priority="150" stopIfTrue="1">
      <formula>$F2=6754</formula>
    </cfRule>
  </conditionalFormatting>
  <conditionalFormatting sqref="A2:A788 F2:F788 AP788 A798:A1000 F798:F804 F806:F1000 G810:G811">
    <cfRule type="expression" dxfId="5" priority="151" stopIfTrue="1">
      <formula>$F2=6753</formula>
    </cfRule>
  </conditionalFormatting>
  <conditionalFormatting sqref="A2:A788 F2:F788 AP788 A798:A1000 F798:F804 F806:F1000 G810:G811">
    <cfRule type="expression" dxfId="5" priority="152" stopIfTrue="1">
      <formula>$F2=6723</formula>
    </cfRule>
  </conditionalFormatting>
  <conditionalFormatting sqref="A2:A788 F2:F788 AP788 A798:A1000 F798:F804 F806:F1000 G810:G811">
    <cfRule type="expression" dxfId="5" priority="153" stopIfTrue="1">
      <formula>$F2=6722</formula>
    </cfRule>
  </conditionalFormatting>
  <conditionalFormatting sqref="A2:A788 F2:F788 AP788 A798:A1000 F798:F804 F806:F1000 G810:G811">
    <cfRule type="expression" dxfId="5" priority="154" stopIfTrue="1">
      <formula>$F2=6717</formula>
    </cfRule>
  </conditionalFormatting>
  <conditionalFormatting sqref="A2:A788 F2:F788 AP788 A798:A1000 F798:F804 F806:F1000 G810:G811">
    <cfRule type="expression" dxfId="5" priority="155" stopIfTrue="1">
      <formula>$F2=6711</formula>
    </cfRule>
  </conditionalFormatting>
  <conditionalFormatting sqref="A2:A788 F2:F788 AP788 A798:A1000 F798:F804 F806:F1000 G810:G811">
    <cfRule type="expression" dxfId="5" priority="156" stopIfTrue="1">
      <formula>$F2=6640</formula>
    </cfRule>
  </conditionalFormatting>
  <conditionalFormatting sqref="A2:A788 F2:F788 AP788 A798:A1000 F798:F804 F806:F1000 G810:G811">
    <cfRule type="expression" dxfId="5" priority="157" stopIfTrue="1">
      <formula>$F2=6620</formula>
    </cfRule>
  </conditionalFormatting>
  <conditionalFormatting sqref="A2:A788 F2:F788 AP788 A798:A1000 F798:F804 F806:F1000 G810:G811">
    <cfRule type="expression" dxfId="5" priority="158" stopIfTrue="1">
      <formula>$F2=6617</formula>
    </cfRule>
  </conditionalFormatting>
  <conditionalFormatting sqref="A2:A788 F2:F788 AP788 A798:A1000 F798:F804 F806:F1000 G810:G811">
    <cfRule type="expression" dxfId="5" priority="159" stopIfTrue="1">
      <formula>$F2=6616</formula>
    </cfRule>
  </conditionalFormatting>
  <conditionalFormatting sqref="A2:A788 F2:F788 AP788 A798:A1000 F798:F804 F806:F1000 G810:G811">
    <cfRule type="expression" dxfId="5" priority="160" stopIfTrue="1">
      <formula>$F2=6609</formula>
    </cfRule>
  </conditionalFormatting>
  <conditionalFormatting sqref="A2:A788 F2:F788 AP788 A798:A1000 F798:F804 F806:F1000 G810:G811">
    <cfRule type="expression" dxfId="5" priority="161" stopIfTrue="1">
      <formula>$F2=6608</formula>
    </cfRule>
  </conditionalFormatting>
  <conditionalFormatting sqref="A2:A788 F2:F788 AP788 A798:A1000 F798:F804 F806:F1000 G810:G811">
    <cfRule type="expression" dxfId="5" priority="162" stopIfTrue="1">
      <formula>$F2=6606</formula>
    </cfRule>
  </conditionalFormatting>
  <conditionalFormatting sqref="A2:A788 F2:F788 AP788 A798:A1000 F798:F804 F806:F1000 G810:G811">
    <cfRule type="expression" dxfId="5" priority="163" stopIfTrue="1">
      <formula>$F2=6560</formula>
    </cfRule>
  </conditionalFormatting>
  <conditionalFormatting sqref="A2:A788 F2:F788 AP788 A798:A1000 F798:F804 F806:F1000 G810:G811">
    <cfRule type="expression" dxfId="5" priority="164" stopIfTrue="1">
      <formula>$F2=6555</formula>
    </cfRule>
  </conditionalFormatting>
  <conditionalFormatting sqref="A2:A788 F2:F788 AP788 A798:A1000 F798:F804 F806:F1000 G810:G811">
    <cfRule type="expression" dxfId="5" priority="165" stopIfTrue="1">
      <formula>$F2=6546</formula>
    </cfRule>
  </conditionalFormatting>
  <conditionalFormatting sqref="A2:A788 F2:F788 AP788 A798:A1000 F798:F804 F806:F1000 G810:G811">
    <cfRule type="expression" dxfId="5" priority="166" stopIfTrue="1">
      <formula>$F2=6542</formula>
    </cfRule>
  </conditionalFormatting>
  <conditionalFormatting sqref="A2:A788 F2:F788 AP788 A798:A1000 F798:F804 F806:F1000 G810:G811">
    <cfRule type="expression" dxfId="5" priority="167" stopIfTrue="1">
      <formula>$F2=6537</formula>
    </cfRule>
  </conditionalFormatting>
  <conditionalFormatting sqref="A2:A788 F2:F788 AP788 A798:A1000 F798:F804 F806:F1000 G810:G811">
    <cfRule type="expression" dxfId="5" priority="168" stopIfTrue="1">
      <formula>$F2=6536</formula>
    </cfRule>
  </conditionalFormatting>
  <conditionalFormatting sqref="A2:A788 F2:F788 AP788 A798:A1000 F798:F804 F806:F1000 G810:G811">
    <cfRule type="expression" dxfId="5" priority="169" stopIfTrue="1">
      <formula>$F2=6527</formula>
    </cfRule>
  </conditionalFormatting>
  <conditionalFormatting sqref="A2:A788 F2:F788 AP788 A798:A1000 F798:F804 F806:F1000 G810:G811">
    <cfRule type="expression" dxfId="5" priority="170" stopIfTrue="1">
      <formula>$F2=6522</formula>
    </cfRule>
  </conditionalFormatting>
  <conditionalFormatting sqref="A2:A788 F2:F788 AP788 A798:A1000 F798:F804 F806:F1000 G810:G811">
    <cfRule type="expression" dxfId="5" priority="171" stopIfTrue="1">
      <formula>$F2=6508</formula>
    </cfRule>
  </conditionalFormatting>
  <conditionalFormatting sqref="A2:A788 F2:F788 AP788 A798:A1000 F798:F804 F806:F1000 G810:G811">
    <cfRule type="expression" dxfId="5" priority="172" stopIfTrue="1">
      <formula>$F2=6503</formula>
    </cfRule>
  </conditionalFormatting>
  <conditionalFormatting sqref="A2:A788 F2:F788 AP788 A798:A1000 F798:F804 F806:F1000 G810:G811">
    <cfRule type="expression" dxfId="5" priority="173" stopIfTrue="1">
      <formula>$F2=6502</formula>
    </cfRule>
  </conditionalFormatting>
  <conditionalFormatting sqref="A2:A788 F2:F788 AP788 A798:A1000 F798:F804 F806:F1000 G810:G811">
    <cfRule type="expression" dxfId="5" priority="174" stopIfTrue="1">
      <formula>$F2=6501</formula>
    </cfRule>
  </conditionalFormatting>
  <conditionalFormatting sqref="A2:A788 F2:F788 AP788 A798:A1000 F798:F804 F806:F1000 G810:G811">
    <cfRule type="expression" dxfId="5" priority="175" stopIfTrue="1">
      <formula>$F2=6499</formula>
    </cfRule>
  </conditionalFormatting>
  <conditionalFormatting sqref="A2:A788 F2:F788 AP788 A798:A1000 F798:F804 F806:F1000 G810:G811">
    <cfRule type="expression" dxfId="5" priority="176" stopIfTrue="1">
      <formula>$F2=6498</formula>
    </cfRule>
  </conditionalFormatting>
  <conditionalFormatting sqref="A2:A788 F2:F788 AP788 A798:A1000 F798:F804 F806:F1000 G810:G811">
    <cfRule type="expression" dxfId="5" priority="177" stopIfTrue="1">
      <formula>$F2=6497</formula>
    </cfRule>
  </conditionalFormatting>
  <conditionalFormatting sqref="A2:A788 F2:F788 AP788 A798:A1000 F798:F804 F806:F1000 G810:G811">
    <cfRule type="expression" dxfId="5" priority="178" stopIfTrue="1">
      <formula>$F2=6496</formula>
    </cfRule>
  </conditionalFormatting>
  <conditionalFormatting sqref="A2:A788 F2:F788 AP788 A798:A1000 F798:F804 F806:F1000 G810:G811">
    <cfRule type="expression" dxfId="5" priority="179" stopIfTrue="1">
      <formula>$F2=6495</formula>
    </cfRule>
  </conditionalFormatting>
  <conditionalFormatting sqref="A2:A788 F2:F788 AP788 A798:A1000 F798:F804 F806:F1000 G810:G811">
    <cfRule type="expression" dxfId="5" priority="180" stopIfTrue="1">
      <formula>$F2=6494</formula>
    </cfRule>
  </conditionalFormatting>
  <conditionalFormatting sqref="A2:A788 F2:F788 AP788 A798:A1000 F798:F804 F806:F1000 G810:G811">
    <cfRule type="expression" dxfId="5" priority="181" stopIfTrue="1">
      <formula>$F2=6493</formula>
    </cfRule>
  </conditionalFormatting>
  <conditionalFormatting sqref="A2:A788 F2:F788 AP788 A798:A1000 F798:F804 F806:F1000 G810:G811">
    <cfRule type="expression" dxfId="5" priority="182" stopIfTrue="1">
      <formula>$F2=6492</formula>
    </cfRule>
  </conditionalFormatting>
  <conditionalFormatting sqref="A2:A788 F2:F788 AP788 A798:A1000 F798:F804 F806:F1000 G810:G811">
    <cfRule type="expression" dxfId="5" priority="183" stopIfTrue="1">
      <formula>$F2=6491</formula>
    </cfRule>
  </conditionalFormatting>
  <conditionalFormatting sqref="A2:A788 F2:F788 AP788 A798:A1000 F798:F804 F806:F1000 G810:G811">
    <cfRule type="expression" dxfId="5" priority="184" stopIfTrue="1">
      <formula>$F2=6490</formula>
    </cfRule>
  </conditionalFormatting>
  <conditionalFormatting sqref="A2:A788 F2:F788 AP788 A798:A1000 F798:F804 F806:F1000 G810:G811">
    <cfRule type="expression" dxfId="5" priority="185" stopIfTrue="1">
      <formula>$F2=6489</formula>
    </cfRule>
  </conditionalFormatting>
  <conditionalFormatting sqref="A2:A788 F2:F788 AP788 A798:A1000 F798:F804 F806:F1000 G810:G811">
    <cfRule type="expression" dxfId="5" priority="186" stopIfTrue="1">
      <formula>$F2=6488</formula>
    </cfRule>
  </conditionalFormatting>
  <conditionalFormatting sqref="A2:A788 F2:F788 AP788 A798:A1000 F798:F804 F806:F1000 G810:G811">
    <cfRule type="expression" dxfId="5" priority="187" stopIfTrue="1">
      <formula>$F2=6487</formula>
    </cfRule>
  </conditionalFormatting>
  <conditionalFormatting sqref="A2:A788 F2:F788 AP788 A798:A1000 F798:F804 F806:F1000 G810:G811">
    <cfRule type="expression" dxfId="5" priority="188" stopIfTrue="1">
      <formula>$F2=6486</formula>
    </cfRule>
  </conditionalFormatting>
  <conditionalFormatting sqref="A2:A788 F2:F788 AP788 A798:A1000 F798:F804 F806:F1000 G810:G811">
    <cfRule type="expression" dxfId="5" priority="189" stopIfTrue="1">
      <formula>$F2=6485</formula>
    </cfRule>
  </conditionalFormatting>
  <conditionalFormatting sqref="A2:A788 F2:F788 AP788 A798:A1000 F798:F804 F806:F1000 G810:G811">
    <cfRule type="expression" dxfId="5" priority="190" stopIfTrue="1">
      <formula>$F2=6392</formula>
    </cfRule>
  </conditionalFormatting>
  <conditionalFormatting sqref="A2:A788 F2:F788 AP788 A798:A1000 F798:F804 F806:F1000 G810:G811">
    <cfRule type="expression" dxfId="5" priority="191" stopIfTrue="1">
      <formula>$F2=6390</formula>
    </cfRule>
  </conditionalFormatting>
  <conditionalFormatting sqref="A2:A788 F2:F788 AP788 A798:A1000 F798:F804 F806:F1000 G810:G811">
    <cfRule type="expression" dxfId="5" priority="192" stopIfTrue="1">
      <formula>$F2=6389</formula>
    </cfRule>
  </conditionalFormatting>
  <conditionalFormatting sqref="A2:A788 F2:F788 AP788 A798:A1000 F798:F804 F806:F1000 G810:G811">
    <cfRule type="expression" dxfId="5" priority="193" stopIfTrue="1">
      <formula>$F2=6378</formula>
    </cfRule>
  </conditionalFormatting>
  <conditionalFormatting sqref="A2:A788 F2:F788 AP788 A798:A1000 F798:F804 F806:F1000 G810:G811">
    <cfRule type="expression" dxfId="5" priority="194" stopIfTrue="1">
      <formula>$F2=6371</formula>
    </cfRule>
  </conditionalFormatting>
  <conditionalFormatting sqref="A2:A788 F2:F788 AP788 A798:A1000 F798:F804 F806:F1000 G810:G811">
    <cfRule type="expression" dxfId="5" priority="195" stopIfTrue="1">
      <formula>$F2=6357</formula>
    </cfRule>
  </conditionalFormatting>
  <conditionalFormatting sqref="A2:A788 F2:F788 AP788 A798:A1000 F798:F804 F806:F1000 G810:G811">
    <cfRule type="expression" dxfId="5" priority="196" stopIfTrue="1">
      <formula>$F2=6355</formula>
    </cfRule>
  </conditionalFormatting>
  <conditionalFormatting sqref="A2:A788 F2:F788 AP788 A798:A1000 F798:F804 F806:F1000 G810:G811">
    <cfRule type="expression" dxfId="5" priority="197" stopIfTrue="1">
      <formula>$F2=6353</formula>
    </cfRule>
  </conditionalFormatting>
  <conditionalFormatting sqref="A2:A788 F2:F788 AP788 A798:A1000 F798:F804 F806:F1000 G810:G811">
    <cfRule type="expression" dxfId="5" priority="198" stopIfTrue="1">
      <formula>$F2=6312</formula>
    </cfRule>
  </conditionalFormatting>
  <conditionalFormatting sqref="A2:A788 F2:F788 AP788 A798:A1000 F798:F804 F806:F1000 G810:G811">
    <cfRule type="expression" dxfId="5" priority="199" stopIfTrue="1">
      <formula>$F2=6124</formula>
    </cfRule>
  </conditionalFormatting>
  <conditionalFormatting sqref="A2:A788 F2:F788 AP788 A798:A1000 F798:F804 F806:F1000 G810:G811">
    <cfRule type="expression" dxfId="5" priority="200" stopIfTrue="1">
      <formula>$F2=6122</formula>
    </cfRule>
  </conditionalFormatting>
  <conditionalFormatting sqref="A2:A788 F2:F788 AP788 A798:A1000 F798:F804 F806:F1000 G810:G811">
    <cfRule type="expression" dxfId="5" priority="201" stopIfTrue="1">
      <formula>$F2=6121</formula>
    </cfRule>
  </conditionalFormatting>
  <conditionalFormatting sqref="A2:A788 F2:F788 AP788 A798:A1000 F798:F804 F806:F1000 G810:G811">
    <cfRule type="expression" dxfId="5" priority="202" stopIfTrue="1">
      <formula>$F2=6114</formula>
    </cfRule>
  </conditionalFormatting>
  <conditionalFormatting sqref="A2:A788 F2:F788 AP788 A798:A1000 F798:F804 F806:F1000 G810:G811">
    <cfRule type="expression" dxfId="5" priority="203" stopIfTrue="1">
      <formula>$F2=6107</formula>
    </cfRule>
  </conditionalFormatting>
  <conditionalFormatting sqref="A2:A788 F2:F788 AP788 A798:A1000 F798:F804 F806:F1000 G810:G811">
    <cfRule type="expression" dxfId="5" priority="204" stopIfTrue="1">
      <formula>$F2=6105</formula>
    </cfRule>
  </conditionalFormatting>
  <conditionalFormatting sqref="A2:A788 F2:F788 AP788 A798:A1000 F798:F804 F806:F1000 G810:G811">
    <cfRule type="expression" dxfId="5" priority="205" stopIfTrue="1">
      <formula>$F2=6080</formula>
    </cfRule>
  </conditionalFormatting>
  <conditionalFormatting sqref="A2:A788 F2:F788 AP788 A798:A1000 F798:F804 F806:F1000 G810:G811">
    <cfRule type="expression" dxfId="5" priority="206" stopIfTrue="1">
      <formula>$F2=4218</formula>
    </cfRule>
  </conditionalFormatting>
  <conditionalFormatting sqref="A2:A788 F2:F788 AP788 A798:A1000 F798:F804 F806:F1000 G810:G811">
    <cfRule type="expression" dxfId="5" priority="207" stopIfTrue="1">
      <formula>$F2=4207</formula>
    </cfRule>
  </conditionalFormatting>
  <conditionalFormatting sqref="A2:A788 F2:F788 AP788 A798:A1000 F798:F804 F806:F1000 G810:G811">
    <cfRule type="expression" dxfId="5" priority="208" stopIfTrue="1">
      <formula>$F2=4194</formula>
    </cfRule>
  </conditionalFormatting>
  <conditionalFormatting sqref="A2:A788 F2:F788 AP788 A798:A1000 F798:F804 F806:F1000 G810:G811">
    <cfRule type="expression" dxfId="5" priority="209" stopIfTrue="1">
      <formula>$F2=4192</formula>
    </cfRule>
  </conditionalFormatting>
  <conditionalFormatting sqref="A2:A788 F2:F788 AP788 A798:A1000 F798:F804 F806:F1000 G810:G811">
    <cfRule type="expression" dxfId="5" priority="210" stopIfTrue="1">
      <formula>$F2=3784</formula>
    </cfRule>
  </conditionalFormatting>
  <conditionalFormatting sqref="A2:A788 F2:F788 AP788 A798:A1000 F798:F804 F806:F1000 G810:G811">
    <cfRule type="expression" dxfId="5" priority="211" stopIfTrue="1">
      <formula>$F2=3482</formula>
    </cfRule>
  </conditionalFormatting>
  <conditionalFormatting sqref="A2:A788 F2:F788 AP788 A798:A1000 F798:F804 F806:F1000 G810:G811">
    <cfRule type="expression" dxfId="5" priority="212" stopIfTrue="1">
      <formula>$F2=3412</formula>
    </cfRule>
  </conditionalFormatting>
  <conditionalFormatting sqref="A2:A788 F2:F788 AP788 A798:A1000 F798:F804 F806:F1000 G810:G811">
    <cfRule type="expression" dxfId="5" priority="213" stopIfTrue="1">
      <formula>$F2=3408</formula>
    </cfRule>
  </conditionalFormatting>
  <conditionalFormatting sqref="A2:A788 F2:F788 AP788 A798:A1000 F798:F804 F806:F1000 G810:G811">
    <cfRule type="expression" dxfId="5" priority="214" stopIfTrue="1">
      <formula>$F2=3365</formula>
    </cfRule>
  </conditionalFormatting>
  <conditionalFormatting sqref="A2:A788 AP788 A798:A1000">
    <cfRule type="expression" dxfId="5" priority="215" stopIfTrue="1">
      <formula>$F2=7233</formula>
    </cfRule>
  </conditionalFormatting>
  <hyperlinks>
    <hyperlink r:id="rId2" ref="AN2"/>
    <hyperlink r:id="rId3" ref="AO2"/>
    <hyperlink r:id="rId4" ref="AP2"/>
    <hyperlink r:id="rId5" ref="AR2"/>
    <hyperlink r:id="rId6" ref="AT2"/>
    <hyperlink r:id="rId7" ref="AN3"/>
    <hyperlink r:id="rId8" ref="AO3"/>
    <hyperlink r:id="rId9" ref="AP3"/>
    <hyperlink r:id="rId10" ref="AR3"/>
    <hyperlink r:id="rId11" ref="AT3"/>
    <hyperlink r:id="rId12" ref="AN4"/>
    <hyperlink r:id="rId13" ref="AO4"/>
    <hyperlink r:id="rId14" ref="AP4"/>
    <hyperlink r:id="rId15" ref="AR4"/>
    <hyperlink r:id="rId16" ref="AT4"/>
    <hyperlink r:id="rId17" ref="AN5"/>
    <hyperlink r:id="rId18" ref="AO5"/>
    <hyperlink r:id="rId19" ref="AP5"/>
    <hyperlink r:id="rId20" ref="AQ5"/>
    <hyperlink r:id="rId21" ref="AR5"/>
    <hyperlink r:id="rId22" ref="AT5"/>
    <hyperlink r:id="rId23" ref="AU5"/>
    <hyperlink r:id="rId24" ref="AN6"/>
    <hyperlink r:id="rId25" ref="AO6"/>
    <hyperlink r:id="rId26" ref="AP6"/>
    <hyperlink r:id="rId27" ref="AQ6"/>
    <hyperlink r:id="rId28" ref="AR6"/>
    <hyperlink r:id="rId29" ref="AT6"/>
    <hyperlink r:id="rId30" ref="AU6"/>
    <hyperlink r:id="rId31" ref="AN7"/>
    <hyperlink r:id="rId32" ref="AO7"/>
    <hyperlink r:id="rId33" ref="AP7"/>
    <hyperlink r:id="rId34" ref="AQ7"/>
    <hyperlink r:id="rId35" ref="AR7"/>
    <hyperlink r:id="rId36" ref="AT7"/>
    <hyperlink r:id="rId37" ref="AU7"/>
    <hyperlink r:id="rId38" ref="AN8"/>
    <hyperlink r:id="rId39" ref="AO8"/>
    <hyperlink r:id="rId40" ref="AP8"/>
    <hyperlink r:id="rId41" ref="AQ8"/>
    <hyperlink r:id="rId42" ref="AR8"/>
    <hyperlink r:id="rId43" ref="AT8"/>
    <hyperlink r:id="rId44" ref="AU8"/>
    <hyperlink r:id="rId45" ref="AN9"/>
    <hyperlink r:id="rId46" ref="AO9"/>
    <hyperlink r:id="rId47" ref="AP9"/>
    <hyperlink r:id="rId48" ref="AQ9"/>
    <hyperlink r:id="rId49" ref="AR9"/>
    <hyperlink r:id="rId50" ref="AT9"/>
    <hyperlink r:id="rId51" ref="AU9"/>
    <hyperlink r:id="rId52" ref="AN10"/>
    <hyperlink r:id="rId53" ref="AO10"/>
    <hyperlink r:id="rId54" ref="AP10"/>
    <hyperlink r:id="rId55" ref="AQ10"/>
    <hyperlink r:id="rId56" ref="AR10"/>
    <hyperlink r:id="rId57" ref="AT10"/>
    <hyperlink r:id="rId58" ref="AU10"/>
    <hyperlink r:id="rId59" ref="AN11"/>
    <hyperlink r:id="rId60" ref="AO11"/>
    <hyperlink r:id="rId61" ref="AP11"/>
    <hyperlink r:id="rId62" ref="AQ11"/>
    <hyperlink r:id="rId63" ref="AR11"/>
    <hyperlink r:id="rId64" ref="AT11"/>
    <hyperlink r:id="rId65" ref="AU11"/>
    <hyperlink r:id="rId66" ref="AN12"/>
    <hyperlink r:id="rId67" ref="AO12"/>
    <hyperlink r:id="rId68" ref="AP12"/>
    <hyperlink r:id="rId69" ref="AQ12"/>
    <hyperlink r:id="rId70" ref="AR12"/>
    <hyperlink r:id="rId71" ref="AT12"/>
    <hyperlink r:id="rId72" ref="AU12"/>
    <hyperlink r:id="rId73" ref="AN13"/>
    <hyperlink r:id="rId74" ref="AO13"/>
    <hyperlink r:id="rId75" ref="AP13"/>
    <hyperlink r:id="rId76" ref="AQ13"/>
    <hyperlink r:id="rId77" ref="AR13"/>
    <hyperlink r:id="rId78" ref="AT13"/>
    <hyperlink r:id="rId79" ref="AU13"/>
    <hyperlink r:id="rId80" ref="AN14"/>
    <hyperlink r:id="rId81" ref="AO14"/>
    <hyperlink r:id="rId82" ref="AP14"/>
    <hyperlink r:id="rId83" ref="AQ14"/>
    <hyperlink r:id="rId84" ref="AR14"/>
    <hyperlink r:id="rId85" ref="AT14"/>
    <hyperlink r:id="rId86" ref="AU14"/>
    <hyperlink r:id="rId87" ref="AN15"/>
    <hyperlink r:id="rId88" ref="AO15"/>
    <hyperlink r:id="rId89" ref="AP15"/>
    <hyperlink r:id="rId90" ref="AQ15"/>
    <hyperlink r:id="rId91" ref="AR15"/>
    <hyperlink r:id="rId92" ref="AT15"/>
    <hyperlink r:id="rId93" ref="AU15"/>
    <hyperlink r:id="rId94" ref="AN16"/>
    <hyperlink r:id="rId95" ref="AO16"/>
    <hyperlink r:id="rId96" ref="AP16"/>
    <hyperlink r:id="rId97" ref="AQ16"/>
    <hyperlink r:id="rId98" ref="AR16"/>
    <hyperlink r:id="rId99" ref="AT16"/>
    <hyperlink r:id="rId100" ref="AU16"/>
    <hyperlink r:id="rId101" ref="AN17"/>
    <hyperlink r:id="rId102" ref="AO17"/>
    <hyperlink r:id="rId103" ref="AP17"/>
    <hyperlink r:id="rId104" ref="AQ17"/>
    <hyperlink r:id="rId105" ref="AR17"/>
    <hyperlink r:id="rId106" ref="AT17"/>
    <hyperlink r:id="rId107" ref="AU17"/>
    <hyperlink r:id="rId108" ref="AN18"/>
    <hyperlink r:id="rId109" ref="AO18"/>
    <hyperlink r:id="rId110" ref="AP18"/>
    <hyperlink r:id="rId111" ref="AQ18"/>
    <hyperlink r:id="rId112" ref="AR18"/>
    <hyperlink r:id="rId113" ref="AT18"/>
    <hyperlink r:id="rId114" ref="AU18"/>
    <hyperlink r:id="rId115" ref="AN19"/>
    <hyperlink r:id="rId116" ref="AP19"/>
    <hyperlink r:id="rId117" ref="AN20"/>
    <hyperlink r:id="rId118" ref="AO20"/>
    <hyperlink r:id="rId119" ref="AP20"/>
    <hyperlink r:id="rId120" ref="AR20"/>
    <hyperlink r:id="rId121" ref="AT20"/>
    <hyperlink r:id="rId122" ref="AN21"/>
    <hyperlink r:id="rId123" ref="AO21"/>
    <hyperlink r:id="rId124" ref="AP21"/>
    <hyperlink r:id="rId125" ref="AR21"/>
    <hyperlink r:id="rId126" ref="AT21"/>
    <hyperlink r:id="rId127" ref="AN22"/>
    <hyperlink r:id="rId128" ref="AO22"/>
    <hyperlink r:id="rId129" ref="AP22"/>
    <hyperlink r:id="rId130" ref="AR22"/>
    <hyperlink r:id="rId131" ref="AT22"/>
    <hyperlink r:id="rId132" ref="AN23"/>
    <hyperlink r:id="rId133" ref="AO23"/>
    <hyperlink r:id="rId134" ref="AP23"/>
    <hyperlink r:id="rId135" ref="AR23"/>
    <hyperlink r:id="rId136" ref="AT23"/>
    <hyperlink r:id="rId137" ref="AN24"/>
    <hyperlink r:id="rId138" ref="AO24"/>
    <hyperlink r:id="rId139" ref="AP24"/>
    <hyperlink r:id="rId140" ref="AR24"/>
    <hyperlink r:id="rId141" ref="AT24"/>
    <hyperlink r:id="rId142" ref="AN25"/>
    <hyperlink r:id="rId143" ref="AO25"/>
    <hyperlink r:id="rId144" ref="AP25"/>
    <hyperlink r:id="rId145" ref="AR25"/>
    <hyperlink r:id="rId146" ref="AT25"/>
    <hyperlink r:id="rId147" ref="AN26"/>
    <hyperlink r:id="rId148" ref="AO26"/>
    <hyperlink r:id="rId149" ref="AP26"/>
    <hyperlink r:id="rId150" ref="AR26"/>
    <hyperlink r:id="rId151" ref="AT26"/>
    <hyperlink r:id="rId152" ref="AN27"/>
    <hyperlink r:id="rId153" ref="AO27"/>
    <hyperlink r:id="rId154" ref="AP27"/>
    <hyperlink r:id="rId155" ref="AR27"/>
    <hyperlink r:id="rId156" ref="AT27"/>
    <hyperlink r:id="rId157" ref="AN28"/>
    <hyperlink r:id="rId158" ref="AO28"/>
    <hyperlink r:id="rId159" ref="AP28"/>
    <hyperlink r:id="rId160" ref="AR28"/>
    <hyperlink r:id="rId161" ref="AT28"/>
    <hyperlink r:id="rId162" ref="AN29"/>
    <hyperlink r:id="rId163" ref="AO29"/>
    <hyperlink r:id="rId164" ref="AP29"/>
    <hyperlink r:id="rId165" ref="AR29"/>
    <hyperlink r:id="rId166" ref="AT29"/>
    <hyperlink r:id="rId167" ref="AN30"/>
    <hyperlink r:id="rId168" ref="AO30"/>
    <hyperlink r:id="rId169" ref="AP30"/>
    <hyperlink r:id="rId170" ref="AR30"/>
    <hyperlink r:id="rId171" ref="AT30"/>
    <hyperlink r:id="rId172" ref="AN31"/>
    <hyperlink r:id="rId173" ref="AO31"/>
    <hyperlink r:id="rId174" ref="AP31"/>
    <hyperlink r:id="rId175" ref="AR31"/>
    <hyperlink r:id="rId176" ref="AT31"/>
    <hyperlink r:id="rId177" ref="AN32"/>
    <hyperlink r:id="rId178" ref="AO32"/>
    <hyperlink r:id="rId179" ref="AP32"/>
    <hyperlink r:id="rId180" ref="AQ32"/>
    <hyperlink r:id="rId181" ref="AR32"/>
    <hyperlink r:id="rId182" ref="AT32"/>
    <hyperlink r:id="rId183" ref="AU32"/>
    <hyperlink r:id="rId184" ref="AN33"/>
    <hyperlink r:id="rId185" ref="AO33"/>
    <hyperlink r:id="rId186" ref="AP33"/>
    <hyperlink r:id="rId187" ref="AR33"/>
    <hyperlink r:id="rId188" ref="AT33"/>
    <hyperlink r:id="rId189" ref="AN34"/>
    <hyperlink r:id="rId190" ref="AO34"/>
    <hyperlink r:id="rId191" ref="AP34"/>
    <hyperlink r:id="rId192" ref="AR34"/>
    <hyperlink r:id="rId193" ref="AT34"/>
    <hyperlink r:id="rId194" ref="AN35"/>
    <hyperlink r:id="rId195" ref="AO35"/>
    <hyperlink r:id="rId196" ref="AP35"/>
    <hyperlink r:id="rId197" ref="AR35"/>
    <hyperlink r:id="rId198" ref="AT35"/>
    <hyperlink r:id="rId199" ref="AN36"/>
    <hyperlink r:id="rId200" ref="AO36"/>
    <hyperlink r:id="rId201" ref="AP36"/>
    <hyperlink r:id="rId202" ref="AQ36"/>
    <hyperlink r:id="rId203" ref="AR36"/>
    <hyperlink r:id="rId204" ref="AT36"/>
    <hyperlink r:id="rId205" ref="AU36"/>
    <hyperlink r:id="rId206" ref="AN37"/>
    <hyperlink r:id="rId207" ref="AO37"/>
    <hyperlink r:id="rId208" ref="AP37"/>
    <hyperlink r:id="rId209" ref="AQ37"/>
    <hyperlink r:id="rId210" ref="AR37"/>
    <hyperlink r:id="rId211" ref="AT37"/>
    <hyperlink r:id="rId212" ref="AU37"/>
    <hyperlink r:id="rId213" ref="AN38"/>
    <hyperlink r:id="rId214" ref="AP38"/>
    <hyperlink r:id="rId215" ref="AN39"/>
    <hyperlink r:id="rId216" ref="AO39"/>
    <hyperlink r:id="rId217" ref="AP39"/>
    <hyperlink r:id="rId218" ref="AQ39"/>
    <hyperlink r:id="rId219" ref="AR39"/>
    <hyperlink r:id="rId220" ref="AT39"/>
    <hyperlink r:id="rId221" ref="AU39"/>
    <hyperlink r:id="rId222" ref="AN40"/>
    <hyperlink r:id="rId223" ref="AP40"/>
    <hyperlink r:id="rId224" ref="AQ40"/>
    <hyperlink r:id="rId225" ref="AR40"/>
    <hyperlink r:id="rId226" ref="AU40"/>
    <hyperlink r:id="rId227" ref="AN41"/>
    <hyperlink r:id="rId228" ref="AO41"/>
    <hyperlink r:id="rId229" ref="AP41"/>
    <hyperlink r:id="rId230" ref="AQ41"/>
    <hyperlink r:id="rId231" ref="AR41"/>
    <hyperlink r:id="rId232" ref="AT41"/>
    <hyperlink r:id="rId233" ref="AU41"/>
    <hyperlink r:id="rId234" ref="AN42"/>
    <hyperlink r:id="rId235" ref="AO42"/>
    <hyperlink r:id="rId236" ref="AP42"/>
    <hyperlink r:id="rId237" ref="AQ42"/>
    <hyperlink r:id="rId238" ref="AR42"/>
    <hyperlink r:id="rId239" ref="AT42"/>
    <hyperlink r:id="rId240" ref="AU42"/>
    <hyperlink r:id="rId241" ref="AN43"/>
    <hyperlink r:id="rId242" ref="AO43"/>
    <hyperlink r:id="rId243" ref="AP43"/>
    <hyperlink r:id="rId244" ref="AQ43"/>
    <hyperlink r:id="rId245" ref="AR43"/>
    <hyperlink r:id="rId246" ref="AT43"/>
    <hyperlink r:id="rId247" ref="AU43"/>
    <hyperlink r:id="rId248" ref="AN44"/>
    <hyperlink r:id="rId249" ref="AP44"/>
    <hyperlink r:id="rId250" ref="AN45"/>
    <hyperlink r:id="rId251" ref="AO45"/>
    <hyperlink r:id="rId252" ref="AP45"/>
    <hyperlink r:id="rId253" ref="AR45"/>
    <hyperlink r:id="rId254" ref="AT45"/>
    <hyperlink r:id="rId255" ref="AN46"/>
    <hyperlink r:id="rId256" ref="AO46"/>
    <hyperlink r:id="rId257" ref="AP46"/>
    <hyperlink r:id="rId258" ref="AQ46"/>
    <hyperlink r:id="rId259" ref="AR46"/>
    <hyperlink r:id="rId260" ref="AT46"/>
    <hyperlink r:id="rId261" ref="AU46"/>
    <hyperlink r:id="rId262" ref="AN47"/>
    <hyperlink r:id="rId263" ref="AO47"/>
    <hyperlink r:id="rId264" ref="AP47"/>
    <hyperlink r:id="rId265" ref="AQ47"/>
    <hyperlink r:id="rId266" ref="AR47"/>
    <hyperlink r:id="rId267" ref="AT47"/>
    <hyperlink r:id="rId268" ref="AU47"/>
    <hyperlink r:id="rId269" ref="AN48"/>
    <hyperlink r:id="rId270" ref="AO48"/>
    <hyperlink r:id="rId271" ref="AP48"/>
    <hyperlink r:id="rId272" ref="AQ48"/>
    <hyperlink r:id="rId273" ref="AR48"/>
    <hyperlink r:id="rId274" ref="AT48"/>
    <hyperlink r:id="rId275" ref="AU48"/>
    <hyperlink r:id="rId276" ref="AN49"/>
    <hyperlink r:id="rId277" ref="AO49"/>
    <hyperlink r:id="rId278" ref="AP49"/>
    <hyperlink r:id="rId279" ref="AQ49"/>
    <hyperlink r:id="rId280" ref="AR49"/>
    <hyperlink r:id="rId281" ref="AT49"/>
    <hyperlink r:id="rId282" ref="AU49"/>
    <hyperlink r:id="rId283" ref="AN50"/>
    <hyperlink r:id="rId284" ref="AO50"/>
    <hyperlink r:id="rId285" ref="AP50"/>
    <hyperlink r:id="rId286" ref="AQ50"/>
    <hyperlink r:id="rId287" ref="AR50"/>
    <hyperlink r:id="rId288" ref="AT50"/>
    <hyperlink r:id="rId289" ref="AU50"/>
    <hyperlink r:id="rId290" ref="AN51"/>
    <hyperlink r:id="rId291" ref="AP51"/>
    <hyperlink r:id="rId292" ref="AN52"/>
    <hyperlink r:id="rId293" ref="AP52"/>
    <hyperlink r:id="rId294" ref="AN53"/>
    <hyperlink r:id="rId295" ref="AP53"/>
    <hyperlink r:id="rId296" ref="AN54"/>
    <hyperlink r:id="rId297" ref="AP54"/>
    <hyperlink r:id="rId298" ref="AN55"/>
    <hyperlink r:id="rId299" ref="AP55"/>
    <hyperlink r:id="rId300" ref="AN56"/>
    <hyperlink r:id="rId301" ref="AP56"/>
    <hyperlink r:id="rId302" ref="AR56"/>
    <hyperlink r:id="rId303" ref="AT56"/>
    <hyperlink r:id="rId304" ref="AN57"/>
    <hyperlink r:id="rId305" ref="AP57"/>
    <hyperlink r:id="rId306" ref="AR57"/>
    <hyperlink r:id="rId307" ref="AT57"/>
    <hyperlink r:id="rId308" ref="AN58"/>
    <hyperlink r:id="rId309" ref="AP58"/>
    <hyperlink r:id="rId310" ref="AR58"/>
    <hyperlink r:id="rId311" ref="AT58"/>
    <hyperlink r:id="rId312" ref="AN59"/>
    <hyperlink r:id="rId313" ref="AP59"/>
    <hyperlink r:id="rId314" ref="AR59"/>
    <hyperlink r:id="rId315" ref="AT59"/>
    <hyperlink r:id="rId316" ref="AN60"/>
    <hyperlink r:id="rId317" ref="AP60"/>
    <hyperlink r:id="rId318" ref="AR60"/>
    <hyperlink r:id="rId319" ref="AT60"/>
    <hyperlink r:id="rId320" ref="AN61"/>
    <hyperlink r:id="rId321" ref="AP61"/>
    <hyperlink r:id="rId322" ref="AR61"/>
    <hyperlink r:id="rId323" ref="AT61"/>
    <hyperlink r:id="rId324" ref="AN62"/>
    <hyperlink r:id="rId325" ref="AP62"/>
    <hyperlink r:id="rId326" ref="AR62"/>
    <hyperlink r:id="rId327" ref="AT62"/>
    <hyperlink r:id="rId328" ref="AN63"/>
    <hyperlink r:id="rId329" ref="AP63"/>
    <hyperlink r:id="rId330" ref="AR63"/>
    <hyperlink r:id="rId331" ref="AT63"/>
    <hyperlink r:id="rId332" ref="AN64"/>
    <hyperlink r:id="rId333" ref="AP64"/>
    <hyperlink r:id="rId334" ref="AR64"/>
    <hyperlink r:id="rId335" ref="AT64"/>
    <hyperlink r:id="rId336" ref="AN65"/>
    <hyperlink r:id="rId337" ref="AP65"/>
    <hyperlink r:id="rId338" ref="AN66"/>
    <hyperlink r:id="rId339" ref="AP66"/>
    <hyperlink r:id="rId340" ref="AR66"/>
    <hyperlink r:id="rId341" ref="AT66"/>
    <hyperlink r:id="rId342" ref="AN67"/>
    <hyperlink r:id="rId343" ref="AP67"/>
    <hyperlink r:id="rId344" ref="AR67"/>
    <hyperlink r:id="rId345" ref="AT67"/>
    <hyperlink r:id="rId346" ref="AN68"/>
    <hyperlink r:id="rId347" ref="AP68"/>
    <hyperlink r:id="rId348" ref="AR68"/>
    <hyperlink r:id="rId349" ref="AT68"/>
    <hyperlink r:id="rId350" ref="AN69"/>
    <hyperlink r:id="rId351" ref="AP69"/>
    <hyperlink r:id="rId352" ref="AR69"/>
    <hyperlink r:id="rId353" ref="AT69"/>
    <hyperlink r:id="rId354" ref="AN70"/>
    <hyperlink r:id="rId355" ref="AP70"/>
    <hyperlink r:id="rId356" ref="AR70"/>
    <hyperlink r:id="rId357" ref="AT70"/>
    <hyperlink r:id="rId358" ref="AN71"/>
    <hyperlink r:id="rId359" ref="AP71"/>
    <hyperlink r:id="rId360" ref="AN72"/>
    <hyperlink r:id="rId361" ref="AP72"/>
    <hyperlink r:id="rId362" ref="AN73"/>
    <hyperlink r:id="rId363" ref="AP73"/>
    <hyperlink r:id="rId364" ref="AN74"/>
    <hyperlink r:id="rId365" ref="AP74"/>
    <hyperlink r:id="rId366" ref="AR74"/>
    <hyperlink r:id="rId367" ref="AT74"/>
    <hyperlink r:id="rId368" ref="AN75"/>
    <hyperlink r:id="rId369" ref="AP75"/>
    <hyperlink r:id="rId370" ref="AR75"/>
    <hyperlink r:id="rId371" ref="AT75"/>
    <hyperlink r:id="rId372" ref="AN76"/>
    <hyperlink r:id="rId373" ref="AP76"/>
    <hyperlink r:id="rId374" ref="AR76"/>
    <hyperlink r:id="rId375" ref="AT76"/>
    <hyperlink r:id="rId376" ref="AN77"/>
    <hyperlink r:id="rId377" ref="AP77"/>
    <hyperlink r:id="rId378" ref="AR77"/>
    <hyperlink r:id="rId379" ref="AT77"/>
    <hyperlink r:id="rId380" ref="AN78"/>
    <hyperlink r:id="rId381" ref="AP78"/>
    <hyperlink r:id="rId382" ref="AN79"/>
    <hyperlink r:id="rId383" ref="AP79"/>
    <hyperlink r:id="rId384" ref="AN80"/>
    <hyperlink r:id="rId385" ref="AP80"/>
    <hyperlink r:id="rId386" ref="AN81"/>
    <hyperlink r:id="rId387" ref="AP81"/>
    <hyperlink r:id="rId388" ref="AN82"/>
    <hyperlink r:id="rId389" ref="AP82"/>
    <hyperlink r:id="rId390" ref="AN83"/>
    <hyperlink r:id="rId391" ref="AP83"/>
    <hyperlink r:id="rId392" ref="AN84"/>
    <hyperlink r:id="rId393" ref="AP84"/>
    <hyperlink r:id="rId394" ref="AN85"/>
    <hyperlink r:id="rId395" ref="AP85"/>
    <hyperlink r:id="rId396" ref="AR85"/>
    <hyperlink r:id="rId397" ref="AT85"/>
    <hyperlink r:id="rId398" ref="AN86"/>
    <hyperlink r:id="rId399" ref="AP86"/>
    <hyperlink r:id="rId400" ref="AN87"/>
    <hyperlink r:id="rId401" ref="AP87"/>
    <hyperlink r:id="rId402" ref="AN88"/>
    <hyperlink r:id="rId403" ref="AP88"/>
    <hyperlink r:id="rId404" ref="AN89"/>
    <hyperlink r:id="rId405" ref="AP89"/>
    <hyperlink r:id="rId406" ref="AR89"/>
    <hyperlink r:id="rId407" ref="AT89"/>
    <hyperlink r:id="rId408" ref="AN90"/>
    <hyperlink r:id="rId409" ref="AP90"/>
    <hyperlink r:id="rId410" ref="AR90"/>
    <hyperlink r:id="rId411" ref="AT90"/>
    <hyperlink r:id="rId412" ref="AN91"/>
    <hyperlink r:id="rId413" ref="AP91"/>
    <hyperlink r:id="rId414" ref="AR91"/>
    <hyperlink r:id="rId415" ref="AT91"/>
    <hyperlink r:id="rId416" ref="AN92"/>
    <hyperlink r:id="rId417" ref="AP92"/>
    <hyperlink r:id="rId418" ref="AN93"/>
    <hyperlink r:id="rId419" ref="AP93"/>
    <hyperlink r:id="rId420" ref="AN94"/>
    <hyperlink r:id="rId421" ref="AP94"/>
    <hyperlink r:id="rId422" ref="AN95"/>
    <hyperlink r:id="rId423" ref="AP95"/>
    <hyperlink r:id="rId424" ref="AN96"/>
    <hyperlink r:id="rId425" ref="AP96"/>
    <hyperlink r:id="rId426" ref="AR96"/>
    <hyperlink r:id="rId427" ref="AT96"/>
    <hyperlink r:id="rId428" ref="AN97"/>
    <hyperlink r:id="rId429" ref="AP97"/>
    <hyperlink r:id="rId430" ref="AR97"/>
    <hyperlink r:id="rId431" ref="AT97"/>
    <hyperlink r:id="rId432" ref="AN98"/>
    <hyperlink r:id="rId433" ref="AP98"/>
    <hyperlink r:id="rId434" ref="AR98"/>
    <hyperlink r:id="rId435" ref="AT98"/>
    <hyperlink r:id="rId436" ref="AN99"/>
    <hyperlink r:id="rId437" ref="AP99"/>
    <hyperlink r:id="rId438" ref="AN100"/>
    <hyperlink r:id="rId439" ref="AP100"/>
    <hyperlink r:id="rId440" ref="AN101"/>
    <hyperlink r:id="rId441" ref="AP101"/>
    <hyperlink r:id="rId442" ref="AN102"/>
    <hyperlink r:id="rId443" ref="AP102"/>
    <hyperlink r:id="rId444" ref="AN103"/>
    <hyperlink r:id="rId445" ref="AP103"/>
    <hyperlink r:id="rId446" ref="AN104"/>
    <hyperlink r:id="rId447" ref="AO104"/>
    <hyperlink r:id="rId448" ref="AP104"/>
    <hyperlink r:id="rId449" ref="AQ104"/>
    <hyperlink r:id="rId450" ref="AR104"/>
    <hyperlink r:id="rId451" ref="AT104"/>
    <hyperlink r:id="rId452" ref="AU104"/>
    <hyperlink r:id="rId453" ref="AN105"/>
    <hyperlink r:id="rId454" ref="AP105"/>
    <hyperlink r:id="rId455" ref="AN106"/>
    <hyperlink r:id="rId456" ref="AP106"/>
    <hyperlink r:id="rId457" ref="AN107"/>
    <hyperlink r:id="rId458" ref="AP107"/>
    <hyperlink r:id="rId459" ref="AR107"/>
    <hyperlink r:id="rId460" ref="AT107"/>
    <hyperlink r:id="rId461" ref="AN108"/>
    <hyperlink r:id="rId462" ref="AP108"/>
    <hyperlink r:id="rId463" ref="AN109"/>
    <hyperlink r:id="rId464" ref="AP109"/>
    <hyperlink r:id="rId465" ref="AN110"/>
    <hyperlink r:id="rId466" ref="AP110"/>
    <hyperlink r:id="rId467" ref="AN111"/>
    <hyperlink r:id="rId468" ref="AP111"/>
    <hyperlink r:id="rId469" ref="AN112"/>
    <hyperlink r:id="rId470" ref="AP112"/>
    <hyperlink r:id="rId471" ref="AN113"/>
    <hyperlink r:id="rId472" ref="AP113"/>
    <hyperlink r:id="rId473" ref="AN114"/>
    <hyperlink r:id="rId474" ref="AP114"/>
    <hyperlink r:id="rId475" ref="AR114"/>
    <hyperlink r:id="rId476" ref="AT114"/>
    <hyperlink r:id="rId477" ref="AN115"/>
    <hyperlink r:id="rId478" ref="AP115"/>
    <hyperlink r:id="rId479" ref="AR115"/>
    <hyperlink r:id="rId480" ref="AT115"/>
    <hyperlink r:id="rId481" ref="AN116"/>
    <hyperlink r:id="rId482" ref="AP116"/>
    <hyperlink r:id="rId483" ref="AR116"/>
    <hyperlink r:id="rId484" ref="AT116"/>
    <hyperlink r:id="rId485" ref="AN117"/>
    <hyperlink r:id="rId486" ref="AP117"/>
    <hyperlink r:id="rId487" ref="AN118"/>
    <hyperlink r:id="rId488" ref="AP118"/>
    <hyperlink r:id="rId489" ref="AN119"/>
    <hyperlink r:id="rId490" ref="AO119"/>
    <hyperlink r:id="rId491" ref="AP119"/>
    <hyperlink r:id="rId492" ref="AR119"/>
    <hyperlink r:id="rId493" ref="AT119"/>
    <hyperlink r:id="rId494" ref="AN120"/>
    <hyperlink r:id="rId495" ref="AO120"/>
    <hyperlink r:id="rId496" ref="AP120"/>
    <hyperlink r:id="rId497" ref="AR120"/>
    <hyperlink r:id="rId498" ref="AT120"/>
    <hyperlink r:id="rId499" ref="AN121"/>
    <hyperlink r:id="rId500" ref="AO121"/>
    <hyperlink r:id="rId501" ref="AP121"/>
    <hyperlink r:id="rId502" ref="AR121"/>
    <hyperlink r:id="rId503" ref="AT121"/>
    <hyperlink r:id="rId504" ref="AN122"/>
    <hyperlink r:id="rId505" ref="AO122"/>
    <hyperlink r:id="rId506" ref="AP122"/>
    <hyperlink r:id="rId507" ref="AR122"/>
    <hyperlink r:id="rId508" ref="AT122"/>
    <hyperlink r:id="rId509" ref="AN123"/>
    <hyperlink r:id="rId510" ref="AO123"/>
    <hyperlink r:id="rId511" ref="AP123"/>
    <hyperlink r:id="rId512" ref="AR123"/>
    <hyperlink r:id="rId513" ref="AT123"/>
    <hyperlink r:id="rId514" ref="AN124"/>
    <hyperlink r:id="rId515" ref="AO124"/>
    <hyperlink r:id="rId516" ref="AP124"/>
    <hyperlink r:id="rId517" ref="AR124"/>
    <hyperlink r:id="rId518" ref="AT124"/>
    <hyperlink r:id="rId519" ref="AN125"/>
    <hyperlink r:id="rId520" ref="AO125"/>
    <hyperlink r:id="rId521" ref="AP125"/>
    <hyperlink r:id="rId522" ref="AR125"/>
    <hyperlink r:id="rId523" ref="AT125"/>
    <hyperlink r:id="rId524" ref="AN126"/>
    <hyperlink r:id="rId525" ref="AO126"/>
    <hyperlink r:id="rId526" ref="AP126"/>
    <hyperlink r:id="rId527" ref="AR126"/>
    <hyperlink r:id="rId528" ref="AT126"/>
    <hyperlink r:id="rId529" ref="AO127"/>
    <hyperlink r:id="rId530" ref="AP127"/>
    <hyperlink r:id="rId531" ref="AR127"/>
    <hyperlink r:id="rId532" ref="AT127"/>
    <hyperlink r:id="rId533" ref="AN128"/>
    <hyperlink r:id="rId534" ref="AO128"/>
    <hyperlink r:id="rId535" ref="AP128"/>
    <hyperlink r:id="rId536" ref="AR128"/>
    <hyperlink r:id="rId537" ref="AT128"/>
    <hyperlink r:id="rId538" ref="AN129"/>
    <hyperlink r:id="rId539" ref="AO129"/>
    <hyperlink r:id="rId540" ref="AP129"/>
    <hyperlink r:id="rId541" ref="AR129"/>
    <hyperlink r:id="rId542" ref="AT129"/>
    <hyperlink r:id="rId543" ref="AN130"/>
    <hyperlink r:id="rId544" ref="AO130"/>
    <hyperlink r:id="rId545" ref="AP130"/>
    <hyperlink r:id="rId546" ref="AR130"/>
    <hyperlink r:id="rId547" ref="AT130"/>
    <hyperlink r:id="rId548" ref="AN131"/>
    <hyperlink r:id="rId549" ref="AO131"/>
    <hyperlink r:id="rId550" ref="AP131"/>
    <hyperlink r:id="rId551" ref="AR131"/>
    <hyperlink r:id="rId552" ref="AT131"/>
    <hyperlink r:id="rId553" ref="AN132"/>
    <hyperlink r:id="rId554" ref="AO132"/>
    <hyperlink r:id="rId555" ref="AP132"/>
    <hyperlink r:id="rId556" ref="AR132"/>
    <hyperlink r:id="rId557" ref="AT132"/>
    <hyperlink r:id="rId558" ref="AN133"/>
    <hyperlink r:id="rId559" ref="AO133"/>
    <hyperlink r:id="rId560" ref="AP133"/>
    <hyperlink r:id="rId561" ref="AR133"/>
    <hyperlink r:id="rId562" ref="AT133"/>
    <hyperlink r:id="rId563" ref="AO134"/>
    <hyperlink r:id="rId564" ref="AP134"/>
    <hyperlink r:id="rId565" ref="AR134"/>
    <hyperlink r:id="rId566" ref="AT134"/>
    <hyperlink r:id="rId567" ref="AN135"/>
    <hyperlink r:id="rId568" ref="AO135"/>
    <hyperlink r:id="rId569" ref="AP135"/>
    <hyperlink r:id="rId570" ref="AR135"/>
    <hyperlink r:id="rId571" ref="AT135"/>
    <hyperlink r:id="rId572" ref="AN136"/>
    <hyperlink r:id="rId573" ref="AO136"/>
    <hyperlink r:id="rId574" ref="AP136"/>
    <hyperlink r:id="rId575" ref="AR136"/>
    <hyperlink r:id="rId576" ref="AT136"/>
    <hyperlink r:id="rId577" ref="AO137"/>
    <hyperlink r:id="rId578" ref="AP137"/>
    <hyperlink r:id="rId579" ref="AR137"/>
    <hyperlink r:id="rId580" ref="AT137"/>
    <hyperlink r:id="rId581" ref="AO138"/>
    <hyperlink r:id="rId582" ref="AP138"/>
    <hyperlink r:id="rId583" ref="AR138"/>
    <hyperlink r:id="rId584" ref="AT138"/>
    <hyperlink r:id="rId585" ref="AN139"/>
    <hyperlink r:id="rId586" ref="AO139"/>
    <hyperlink r:id="rId587" ref="AP139"/>
    <hyperlink r:id="rId588" ref="AR139"/>
    <hyperlink r:id="rId589" ref="AT139"/>
    <hyperlink r:id="rId590" ref="AN140"/>
    <hyperlink r:id="rId591" ref="AO140"/>
    <hyperlink r:id="rId592" ref="AP140"/>
    <hyperlink r:id="rId593" ref="AR140"/>
    <hyperlink r:id="rId594" ref="AT140"/>
    <hyperlink r:id="rId595" ref="AN141"/>
    <hyperlink r:id="rId596" ref="AO141"/>
    <hyperlink r:id="rId597" ref="AP141"/>
    <hyperlink r:id="rId598" ref="AR141"/>
    <hyperlink r:id="rId599" ref="AT141"/>
    <hyperlink r:id="rId600" ref="AN142"/>
    <hyperlink r:id="rId601" ref="AO142"/>
    <hyperlink r:id="rId602" ref="AP142"/>
    <hyperlink r:id="rId603" ref="AR142"/>
    <hyperlink r:id="rId604" ref="AT142"/>
    <hyperlink r:id="rId605" ref="AN143"/>
    <hyperlink r:id="rId606" ref="AO143"/>
    <hyperlink r:id="rId607" ref="AP143"/>
    <hyperlink r:id="rId608" ref="AR143"/>
    <hyperlink r:id="rId609" ref="AT143"/>
    <hyperlink r:id="rId610" ref="AN144"/>
    <hyperlink r:id="rId611" ref="AO144"/>
    <hyperlink r:id="rId612" ref="AP144"/>
    <hyperlink r:id="rId613" ref="AR144"/>
    <hyperlink r:id="rId614" ref="AT144"/>
    <hyperlink r:id="rId615" ref="AN145"/>
    <hyperlink r:id="rId616" ref="AO145"/>
    <hyperlink r:id="rId617" ref="AP145"/>
    <hyperlink r:id="rId618" ref="AR145"/>
    <hyperlink r:id="rId619" ref="AT145"/>
    <hyperlink r:id="rId620" ref="AN146"/>
    <hyperlink r:id="rId621" ref="AO146"/>
    <hyperlink r:id="rId622" ref="AP146"/>
    <hyperlink r:id="rId623" ref="AR146"/>
    <hyperlink r:id="rId624" ref="AT146"/>
    <hyperlink r:id="rId625" ref="AN147"/>
    <hyperlink r:id="rId626" ref="AO147"/>
    <hyperlink r:id="rId627" ref="AP147"/>
    <hyperlink r:id="rId628" ref="AR147"/>
    <hyperlink r:id="rId629" ref="AT147"/>
    <hyperlink r:id="rId630" ref="AN148"/>
    <hyperlink r:id="rId631" ref="AO148"/>
    <hyperlink r:id="rId632" ref="AP148"/>
    <hyperlink r:id="rId633" ref="AR148"/>
    <hyperlink r:id="rId634" ref="AT148"/>
    <hyperlink r:id="rId635" ref="AN149"/>
    <hyperlink r:id="rId636" ref="AO149"/>
    <hyperlink r:id="rId637" ref="AP149"/>
    <hyperlink r:id="rId638" ref="AR149"/>
    <hyperlink r:id="rId639" ref="AT149"/>
    <hyperlink r:id="rId640" ref="AN150"/>
    <hyperlink r:id="rId641" ref="AO150"/>
    <hyperlink r:id="rId642" ref="AP150"/>
    <hyperlink r:id="rId643" ref="AR150"/>
    <hyperlink r:id="rId644" ref="AT150"/>
    <hyperlink r:id="rId645" ref="AN151"/>
    <hyperlink r:id="rId646" ref="AO151"/>
    <hyperlink r:id="rId647" ref="AP151"/>
    <hyperlink r:id="rId648" ref="AR151"/>
    <hyperlink r:id="rId649" ref="AT151"/>
    <hyperlink r:id="rId650" ref="AN152"/>
    <hyperlink r:id="rId651" ref="AO152"/>
    <hyperlink r:id="rId652" ref="AP152"/>
    <hyperlink r:id="rId653" ref="AR152"/>
    <hyperlink r:id="rId654" ref="AT152"/>
    <hyperlink r:id="rId655" ref="AN153"/>
    <hyperlink r:id="rId656" ref="AO153"/>
    <hyperlink r:id="rId657" ref="AP153"/>
    <hyperlink r:id="rId658" ref="AR153"/>
    <hyperlink r:id="rId659" ref="AT153"/>
    <hyperlink r:id="rId660" ref="AN154"/>
    <hyperlink r:id="rId661" ref="AO154"/>
    <hyperlink r:id="rId662" ref="AP154"/>
    <hyperlink r:id="rId663" ref="AR154"/>
    <hyperlink r:id="rId664" ref="AT154"/>
    <hyperlink r:id="rId665" ref="AN155"/>
    <hyperlink r:id="rId666" ref="AP155"/>
    <hyperlink r:id="rId667" ref="AR155"/>
    <hyperlink r:id="rId668" ref="AT155"/>
    <hyperlink r:id="rId669" ref="AN156"/>
    <hyperlink r:id="rId670" ref="AP156"/>
    <hyperlink r:id="rId671" ref="AR156"/>
    <hyperlink r:id="rId672" ref="AT156"/>
    <hyperlink r:id="rId673" ref="AN157"/>
    <hyperlink r:id="rId674" ref="AP157"/>
    <hyperlink r:id="rId675" ref="AR157"/>
    <hyperlink r:id="rId676" ref="AT157"/>
    <hyperlink r:id="rId677" ref="AN158"/>
    <hyperlink r:id="rId678" ref="AP158"/>
    <hyperlink r:id="rId679" ref="AR158"/>
    <hyperlink r:id="rId680" ref="AT158"/>
    <hyperlink r:id="rId681" ref="AN159"/>
    <hyperlink r:id="rId682" ref="AP159"/>
    <hyperlink r:id="rId683" ref="AR159"/>
    <hyperlink r:id="rId684" ref="AT159"/>
    <hyperlink r:id="rId685" ref="AN160"/>
    <hyperlink r:id="rId686" ref="AP160"/>
    <hyperlink r:id="rId687" ref="AR160"/>
    <hyperlink r:id="rId688" ref="AT160"/>
    <hyperlink r:id="rId689" ref="AN161"/>
    <hyperlink r:id="rId690" ref="AP161"/>
    <hyperlink r:id="rId691" ref="AR161"/>
    <hyperlink r:id="rId692" ref="AT161"/>
    <hyperlink r:id="rId693" ref="AN162"/>
    <hyperlink r:id="rId694" ref="AP162"/>
    <hyperlink r:id="rId695" ref="AR162"/>
    <hyperlink r:id="rId696" ref="AT162"/>
    <hyperlink r:id="rId697" ref="AN163"/>
    <hyperlink r:id="rId698" ref="AO163"/>
    <hyperlink r:id="rId699" ref="AN164"/>
    <hyperlink r:id="rId700" ref="AO164"/>
    <hyperlink r:id="rId701" ref="AP164"/>
    <hyperlink r:id="rId702" ref="AR164"/>
    <hyperlink r:id="rId703" ref="AT164"/>
    <hyperlink r:id="rId704" ref="AN165"/>
    <hyperlink r:id="rId705" ref="AO165"/>
    <hyperlink r:id="rId706" ref="AR165"/>
    <hyperlink r:id="rId707" ref="AT165"/>
    <hyperlink r:id="rId708" ref="AN166"/>
    <hyperlink r:id="rId709" ref="AO166"/>
    <hyperlink r:id="rId710" ref="AR166"/>
    <hyperlink r:id="rId711" ref="AT166"/>
    <hyperlink r:id="rId712" ref="AN167"/>
    <hyperlink r:id="rId713" ref="AO167"/>
    <hyperlink r:id="rId714" ref="AP167"/>
    <hyperlink r:id="rId715" ref="AR167"/>
    <hyperlink r:id="rId716" ref="AN168"/>
    <hyperlink r:id="rId717" ref="AO168"/>
    <hyperlink r:id="rId718" ref="AR168"/>
    <hyperlink r:id="rId719" ref="AN169"/>
    <hyperlink r:id="rId720" ref="AO169"/>
    <hyperlink r:id="rId721" ref="AR169"/>
    <hyperlink r:id="rId722" ref="AN170"/>
    <hyperlink r:id="rId723" ref="AO170"/>
    <hyperlink r:id="rId724" ref="AP170"/>
    <hyperlink r:id="rId725" ref="AN171"/>
    <hyperlink r:id="rId726" ref="AO171"/>
    <hyperlink r:id="rId727" ref="AN172"/>
    <hyperlink r:id="rId728" ref="AO172"/>
    <hyperlink r:id="rId729" ref="AN173"/>
    <hyperlink r:id="rId730" ref="AO173"/>
    <hyperlink r:id="rId731" ref="AP173"/>
    <hyperlink r:id="rId732" ref="AR173"/>
    <hyperlink r:id="rId733" ref="AT173"/>
    <hyperlink r:id="rId734" ref="AN174"/>
    <hyperlink r:id="rId735" ref="AO174"/>
    <hyperlink r:id="rId736" ref="AR174"/>
    <hyperlink r:id="rId737" ref="AT174"/>
    <hyperlink r:id="rId738" ref="AN175"/>
    <hyperlink r:id="rId739" ref="AO175"/>
    <hyperlink r:id="rId740" ref="AR175"/>
    <hyperlink r:id="rId741" ref="AT175"/>
    <hyperlink r:id="rId742" ref="AN176"/>
    <hyperlink r:id="rId743" ref="AO176"/>
    <hyperlink r:id="rId744" ref="AP176"/>
    <hyperlink r:id="rId745" ref="AR176"/>
    <hyperlink r:id="rId746" ref="AT176"/>
    <hyperlink r:id="rId747" ref="AN177"/>
    <hyperlink r:id="rId748" ref="AO177"/>
    <hyperlink r:id="rId749" ref="AR177"/>
    <hyperlink r:id="rId750" ref="AT177"/>
    <hyperlink r:id="rId751" ref="AN178"/>
    <hyperlink r:id="rId752" ref="AO178"/>
    <hyperlink r:id="rId753" ref="AR178"/>
    <hyperlink r:id="rId754" ref="AT178"/>
    <hyperlink r:id="rId755" ref="AN179"/>
    <hyperlink r:id="rId756" ref="AO179"/>
    <hyperlink r:id="rId757" ref="AP179"/>
    <hyperlink r:id="rId758" ref="AR179"/>
    <hyperlink r:id="rId759" ref="AT179"/>
    <hyperlink r:id="rId760" ref="AN180"/>
    <hyperlink r:id="rId761" ref="AO180"/>
    <hyperlink r:id="rId762" ref="AR180"/>
    <hyperlink r:id="rId763" ref="AT180"/>
    <hyperlink r:id="rId764" ref="AN181"/>
    <hyperlink r:id="rId765" ref="AO181"/>
    <hyperlink r:id="rId766" ref="AR181"/>
    <hyperlink r:id="rId767" ref="AT181"/>
    <hyperlink r:id="rId768" ref="AN182"/>
    <hyperlink r:id="rId769" ref="AO182"/>
    <hyperlink r:id="rId770" ref="AP182"/>
    <hyperlink r:id="rId771" ref="AR182"/>
    <hyperlink r:id="rId772" ref="AT182"/>
    <hyperlink r:id="rId773" ref="AN183"/>
    <hyperlink r:id="rId774" ref="AO183"/>
    <hyperlink r:id="rId775" ref="AR183"/>
    <hyperlink r:id="rId776" ref="AT183"/>
    <hyperlink r:id="rId777" ref="AN184"/>
    <hyperlink r:id="rId778" ref="AO184"/>
    <hyperlink r:id="rId779" ref="AR184"/>
    <hyperlink r:id="rId780" ref="AT184"/>
    <hyperlink r:id="rId781" ref="AN185"/>
    <hyperlink r:id="rId782" ref="AO185"/>
    <hyperlink r:id="rId783" ref="AP185"/>
    <hyperlink r:id="rId784" ref="AR185"/>
    <hyperlink r:id="rId785" ref="AT185"/>
    <hyperlink r:id="rId786" ref="AN186"/>
    <hyperlink r:id="rId787" ref="AO186"/>
    <hyperlink r:id="rId788" ref="AR186"/>
    <hyperlink r:id="rId789" ref="AT186"/>
    <hyperlink r:id="rId790" ref="AN187"/>
    <hyperlink r:id="rId791" ref="AO187"/>
    <hyperlink r:id="rId792" ref="AR187"/>
    <hyperlink r:id="rId793" ref="AT187"/>
    <hyperlink r:id="rId794" ref="AN188"/>
    <hyperlink r:id="rId795" ref="AO188"/>
    <hyperlink r:id="rId796" ref="AP188"/>
    <hyperlink r:id="rId797" ref="AR188"/>
    <hyperlink r:id="rId798" ref="AT188"/>
    <hyperlink r:id="rId799" ref="AN189"/>
    <hyperlink r:id="rId800" ref="AO189"/>
    <hyperlink r:id="rId801" ref="AR189"/>
    <hyperlink r:id="rId802" ref="AT189"/>
    <hyperlink r:id="rId803" ref="AN190"/>
    <hyperlink r:id="rId804" ref="AO190"/>
    <hyperlink r:id="rId805" ref="AR190"/>
    <hyperlink r:id="rId806" ref="AT190"/>
    <hyperlink r:id="rId807" ref="AN191"/>
    <hyperlink r:id="rId808" ref="AO191"/>
    <hyperlink r:id="rId809" ref="AP191"/>
    <hyperlink r:id="rId810" ref="AR191"/>
    <hyperlink r:id="rId811" ref="AT191"/>
    <hyperlink r:id="rId812" ref="AN192"/>
    <hyperlink r:id="rId813" ref="AO192"/>
    <hyperlink r:id="rId814" ref="AR192"/>
    <hyperlink r:id="rId815" ref="AT192"/>
    <hyperlink r:id="rId816" ref="AN193"/>
    <hyperlink r:id="rId817" ref="AO193"/>
    <hyperlink r:id="rId818" ref="AR193"/>
    <hyperlink r:id="rId819" ref="AT193"/>
    <hyperlink r:id="rId820" ref="AN194"/>
    <hyperlink r:id="rId821" ref="AO194"/>
    <hyperlink r:id="rId822" ref="AR194"/>
    <hyperlink r:id="rId823" ref="AT194"/>
    <hyperlink r:id="rId824" ref="AN195"/>
    <hyperlink r:id="rId825" ref="AO195"/>
    <hyperlink r:id="rId826" ref="AR195"/>
    <hyperlink r:id="rId827" ref="AT195"/>
    <hyperlink r:id="rId828" ref="AN196"/>
    <hyperlink r:id="rId829" ref="AO196"/>
    <hyperlink r:id="rId830" ref="AR196"/>
    <hyperlink r:id="rId831" ref="AT196"/>
    <hyperlink r:id="rId832" ref="AN197"/>
    <hyperlink r:id="rId833" ref="AO197"/>
    <hyperlink r:id="rId834" ref="AR197"/>
    <hyperlink r:id="rId835" ref="AT197"/>
    <hyperlink r:id="rId836" ref="AN198"/>
    <hyperlink r:id="rId837" ref="AO198"/>
    <hyperlink r:id="rId838" ref="AP198"/>
    <hyperlink r:id="rId839" ref="AR198"/>
    <hyperlink r:id="rId840" ref="AT198"/>
    <hyperlink r:id="rId841" ref="AN199"/>
    <hyperlink r:id="rId842" ref="AO199"/>
    <hyperlink r:id="rId843" ref="AR199"/>
    <hyperlink r:id="rId844" ref="AT199"/>
    <hyperlink r:id="rId845" ref="AN200"/>
    <hyperlink r:id="rId846" ref="AO200"/>
    <hyperlink r:id="rId847" ref="AR200"/>
    <hyperlink r:id="rId848" ref="AT200"/>
    <hyperlink r:id="rId849" ref="AN201"/>
    <hyperlink r:id="rId850" ref="AO201"/>
    <hyperlink r:id="rId851" ref="AP201"/>
    <hyperlink r:id="rId852" ref="AR201"/>
    <hyperlink r:id="rId853" ref="AN202"/>
    <hyperlink r:id="rId854" ref="AO202"/>
    <hyperlink r:id="rId855" ref="AR202"/>
    <hyperlink r:id="rId856" ref="AN203"/>
    <hyperlink r:id="rId857" ref="AO203"/>
    <hyperlink r:id="rId858" ref="AR203"/>
    <hyperlink r:id="rId859" ref="AN204"/>
    <hyperlink r:id="rId860" ref="AO204"/>
    <hyperlink r:id="rId861" ref="AP204"/>
    <hyperlink r:id="rId862" ref="AN205"/>
    <hyperlink r:id="rId863" ref="AO205"/>
    <hyperlink r:id="rId864" ref="AN206"/>
    <hyperlink r:id="rId865" ref="AO206"/>
    <hyperlink r:id="rId866" ref="AN207"/>
    <hyperlink r:id="rId867" ref="AO207"/>
    <hyperlink r:id="rId868" ref="AP207"/>
    <hyperlink r:id="rId869" ref="AR207"/>
    <hyperlink r:id="rId870" ref="AT207"/>
    <hyperlink r:id="rId871" ref="AN208"/>
    <hyperlink r:id="rId872" ref="AO208"/>
    <hyperlink r:id="rId873" ref="AR208"/>
    <hyperlink r:id="rId874" ref="AT208"/>
    <hyperlink r:id="rId875" ref="AN209"/>
    <hyperlink r:id="rId876" ref="AO209"/>
    <hyperlink r:id="rId877" ref="AR209"/>
    <hyperlink r:id="rId878" ref="AT209"/>
    <hyperlink r:id="rId879" ref="AN210"/>
    <hyperlink r:id="rId880" ref="AO210"/>
    <hyperlink r:id="rId881" ref="AP210"/>
    <hyperlink r:id="rId882" ref="AR210"/>
    <hyperlink r:id="rId883" ref="AT210"/>
    <hyperlink r:id="rId884" ref="AN211"/>
    <hyperlink r:id="rId885" ref="AO211"/>
    <hyperlink r:id="rId886" ref="AR211"/>
    <hyperlink r:id="rId887" ref="AT211"/>
    <hyperlink r:id="rId888" ref="AN212"/>
    <hyperlink r:id="rId889" ref="AO212"/>
    <hyperlink r:id="rId890" ref="AR212"/>
    <hyperlink r:id="rId891" ref="AT212"/>
    <hyperlink r:id="rId892" ref="AN213"/>
    <hyperlink r:id="rId893" ref="AO213"/>
    <hyperlink r:id="rId894" ref="AP213"/>
    <hyperlink r:id="rId895" ref="AR213"/>
    <hyperlink r:id="rId896" ref="AT213"/>
    <hyperlink r:id="rId897" ref="AN214"/>
    <hyperlink r:id="rId898" ref="AO214"/>
    <hyperlink r:id="rId899" ref="AR214"/>
    <hyperlink r:id="rId900" ref="AT214"/>
    <hyperlink r:id="rId901" ref="AN215"/>
    <hyperlink r:id="rId902" ref="AO215"/>
    <hyperlink r:id="rId903" ref="AR215"/>
    <hyperlink r:id="rId904" ref="AT215"/>
    <hyperlink r:id="rId905" ref="AN216"/>
    <hyperlink r:id="rId906" ref="AO216"/>
    <hyperlink r:id="rId907" ref="AP216"/>
    <hyperlink r:id="rId908" ref="AR216"/>
    <hyperlink r:id="rId909" ref="AT216"/>
    <hyperlink r:id="rId910" ref="AN217"/>
    <hyperlink r:id="rId911" ref="AO217"/>
    <hyperlink r:id="rId912" ref="AR217"/>
    <hyperlink r:id="rId913" ref="AT217"/>
    <hyperlink r:id="rId914" ref="AN218"/>
    <hyperlink r:id="rId915" ref="AO218"/>
    <hyperlink r:id="rId916" ref="AR218"/>
    <hyperlink r:id="rId917" ref="AT218"/>
    <hyperlink r:id="rId918" ref="AN219"/>
    <hyperlink r:id="rId919" ref="AO219"/>
    <hyperlink r:id="rId920" ref="AP219"/>
    <hyperlink r:id="rId921" ref="AR219"/>
    <hyperlink r:id="rId922" ref="AT219"/>
    <hyperlink r:id="rId923" ref="AN220"/>
    <hyperlink r:id="rId924" ref="AO220"/>
    <hyperlink r:id="rId925" ref="AR220"/>
    <hyperlink r:id="rId926" ref="AT220"/>
    <hyperlink r:id="rId927" ref="AN221"/>
    <hyperlink r:id="rId928" ref="AO221"/>
    <hyperlink r:id="rId929" ref="AR221"/>
    <hyperlink r:id="rId930" ref="AT221"/>
    <hyperlink r:id="rId931" ref="AN222"/>
    <hyperlink r:id="rId932" ref="AO222"/>
    <hyperlink r:id="rId933" ref="AP222"/>
    <hyperlink r:id="rId934" ref="AR222"/>
    <hyperlink r:id="rId935" ref="AT222"/>
    <hyperlink r:id="rId936" ref="AN223"/>
    <hyperlink r:id="rId937" ref="AO223"/>
    <hyperlink r:id="rId938" ref="AR223"/>
    <hyperlink r:id="rId939" ref="AT223"/>
    <hyperlink r:id="rId940" ref="AN224"/>
    <hyperlink r:id="rId941" ref="AO224"/>
    <hyperlink r:id="rId942" ref="AR224"/>
    <hyperlink r:id="rId943" ref="AT224"/>
    <hyperlink r:id="rId944" ref="AN225"/>
    <hyperlink r:id="rId945" ref="AO225"/>
    <hyperlink r:id="rId946" ref="AN226"/>
    <hyperlink r:id="rId947" ref="AO226"/>
    <hyperlink r:id="rId948" ref="AT226"/>
    <hyperlink r:id="rId949" ref="AN227"/>
    <hyperlink r:id="rId950" ref="AO227"/>
    <hyperlink r:id="rId951" ref="AT227"/>
    <hyperlink r:id="rId952" ref="AN228"/>
    <hyperlink r:id="rId953" ref="AO228"/>
    <hyperlink r:id="rId954" ref="AP228"/>
    <hyperlink r:id="rId955" ref="AR228"/>
    <hyperlink r:id="rId956" ref="AT228"/>
    <hyperlink r:id="rId957" ref="AN229"/>
    <hyperlink r:id="rId958" ref="AO229"/>
    <hyperlink r:id="rId959" ref="AP229"/>
    <hyperlink r:id="rId960" ref="AR229"/>
    <hyperlink r:id="rId961" ref="AT229"/>
    <hyperlink r:id="rId962" ref="AN230"/>
    <hyperlink r:id="rId963" ref="AO230"/>
    <hyperlink r:id="rId964" ref="AP230"/>
    <hyperlink r:id="rId965" ref="AR230"/>
    <hyperlink r:id="rId966" ref="AT230"/>
    <hyperlink r:id="rId967" ref="AN231"/>
    <hyperlink r:id="rId968" ref="AO231"/>
    <hyperlink r:id="rId969" ref="AP231"/>
    <hyperlink r:id="rId970" ref="AQ231"/>
    <hyperlink r:id="rId971" ref="AR231"/>
    <hyperlink r:id="rId972" ref="AT231"/>
    <hyperlink r:id="rId973" ref="AU231"/>
    <hyperlink r:id="rId974" ref="AN232"/>
    <hyperlink r:id="rId975" ref="AO232"/>
    <hyperlink r:id="rId976" ref="AP232"/>
    <hyperlink r:id="rId977" ref="AQ232"/>
    <hyperlink r:id="rId978" ref="AR232"/>
    <hyperlink r:id="rId979" ref="AT232"/>
    <hyperlink r:id="rId980" ref="AU232"/>
    <hyperlink r:id="rId981" ref="AN233"/>
    <hyperlink r:id="rId982" ref="AO233"/>
    <hyperlink r:id="rId983" ref="AP233"/>
    <hyperlink r:id="rId984" ref="AQ233"/>
    <hyperlink r:id="rId985" ref="AR233"/>
    <hyperlink r:id="rId986" ref="AT233"/>
    <hyperlink r:id="rId987" ref="AU233"/>
    <hyperlink r:id="rId988" ref="AN234"/>
    <hyperlink r:id="rId989" ref="AO234"/>
    <hyperlink r:id="rId990" ref="AP234"/>
    <hyperlink r:id="rId991" ref="AQ234"/>
    <hyperlink r:id="rId992" ref="AR234"/>
    <hyperlink r:id="rId993" ref="AT234"/>
    <hyperlink r:id="rId994" ref="AU234"/>
    <hyperlink r:id="rId995" ref="AN235"/>
    <hyperlink r:id="rId996" ref="AO235"/>
    <hyperlink r:id="rId997" ref="AP235"/>
    <hyperlink r:id="rId998" ref="AQ235"/>
    <hyperlink r:id="rId999" ref="AR235"/>
    <hyperlink r:id="rId1000" ref="AT235"/>
    <hyperlink r:id="rId1001" ref="AU235"/>
    <hyperlink r:id="rId1002" ref="AN236"/>
    <hyperlink r:id="rId1003" ref="AO236"/>
    <hyperlink r:id="rId1004" ref="AP236"/>
    <hyperlink r:id="rId1005" ref="AQ236"/>
    <hyperlink r:id="rId1006" ref="AR236"/>
    <hyperlink r:id="rId1007" ref="AT236"/>
    <hyperlink r:id="rId1008" ref="AU236"/>
    <hyperlink r:id="rId1009" ref="AN237"/>
    <hyperlink r:id="rId1010" ref="AO237"/>
    <hyperlink r:id="rId1011" ref="AP237"/>
    <hyperlink r:id="rId1012" ref="AR237"/>
    <hyperlink r:id="rId1013" ref="AT237"/>
    <hyperlink r:id="rId1014" ref="AN238"/>
    <hyperlink r:id="rId1015" ref="AO238"/>
    <hyperlink r:id="rId1016" ref="AP238"/>
    <hyperlink r:id="rId1017" ref="AR238"/>
    <hyperlink r:id="rId1018" ref="AT238"/>
    <hyperlink r:id="rId1019" ref="AN239"/>
    <hyperlink r:id="rId1020" ref="AO239"/>
    <hyperlink r:id="rId1021" ref="AP239"/>
    <hyperlink r:id="rId1022" ref="AR239"/>
    <hyperlink r:id="rId1023" ref="AT239"/>
    <hyperlink r:id="rId1024" ref="AN240"/>
    <hyperlink r:id="rId1025" ref="AO240"/>
    <hyperlink r:id="rId1026" ref="AP240"/>
    <hyperlink r:id="rId1027" ref="AR240"/>
    <hyperlink r:id="rId1028" ref="AT240"/>
    <hyperlink r:id="rId1029" ref="AN241"/>
    <hyperlink r:id="rId1030" ref="AO241"/>
    <hyperlink r:id="rId1031" ref="AP241"/>
    <hyperlink r:id="rId1032" ref="AR241"/>
    <hyperlink r:id="rId1033" ref="AT241"/>
    <hyperlink r:id="rId1034" ref="AN242"/>
    <hyperlink r:id="rId1035" ref="AO242"/>
    <hyperlink r:id="rId1036" ref="AP242"/>
    <hyperlink r:id="rId1037" ref="AR242"/>
    <hyperlink r:id="rId1038" ref="AT242"/>
    <hyperlink r:id="rId1039" ref="AN243"/>
    <hyperlink r:id="rId1040" ref="AO243"/>
    <hyperlink r:id="rId1041" ref="AP243"/>
    <hyperlink r:id="rId1042" ref="AR243"/>
    <hyperlink r:id="rId1043" ref="AT243"/>
    <hyperlink r:id="rId1044" ref="AN244"/>
    <hyperlink r:id="rId1045" ref="AO244"/>
    <hyperlink r:id="rId1046" ref="AR244"/>
    <hyperlink r:id="rId1047" ref="AT244"/>
    <hyperlink r:id="rId1048" ref="AN245"/>
    <hyperlink r:id="rId1049" ref="AO245"/>
    <hyperlink r:id="rId1050" ref="AR245"/>
    <hyperlink r:id="rId1051" ref="AT245"/>
    <hyperlink r:id="rId1052" ref="AN246"/>
    <hyperlink r:id="rId1053" ref="AO246"/>
    <hyperlink r:id="rId1054" ref="AT246"/>
    <hyperlink r:id="rId1055" ref="AN247"/>
    <hyperlink r:id="rId1056" ref="AO247"/>
    <hyperlink r:id="rId1057" ref="AN248"/>
    <hyperlink r:id="rId1058" ref="AO248"/>
    <hyperlink r:id="rId1059" ref="AP248"/>
    <hyperlink r:id="rId1060" ref="AQ248"/>
    <hyperlink r:id="rId1061" ref="AR248"/>
    <hyperlink r:id="rId1062" ref="AT248"/>
    <hyperlink r:id="rId1063" ref="AU248"/>
    <hyperlink r:id="rId1064" ref="AN249"/>
    <hyperlink r:id="rId1065" ref="AO249"/>
    <hyperlink r:id="rId1066" ref="AP249"/>
    <hyperlink r:id="rId1067" ref="AQ249"/>
    <hyperlink r:id="rId1068" ref="AR249"/>
    <hyperlink r:id="rId1069" ref="AT249"/>
    <hyperlink r:id="rId1070" ref="AU249"/>
    <hyperlink r:id="rId1071" ref="AN250"/>
    <hyperlink r:id="rId1072" ref="AO250"/>
    <hyperlink r:id="rId1073" ref="AP250"/>
    <hyperlink r:id="rId1074" ref="AQ250"/>
    <hyperlink r:id="rId1075" ref="AR250"/>
    <hyperlink r:id="rId1076" ref="AT250"/>
    <hyperlink r:id="rId1077" ref="AU250"/>
    <hyperlink r:id="rId1078" ref="AN251"/>
    <hyperlink r:id="rId1079" ref="AO251"/>
    <hyperlink r:id="rId1080" ref="AP251"/>
    <hyperlink r:id="rId1081" ref="AQ251"/>
    <hyperlink r:id="rId1082" ref="AR251"/>
    <hyperlink r:id="rId1083" ref="AT251"/>
    <hyperlink r:id="rId1084" ref="AU251"/>
    <hyperlink r:id="rId1085" ref="AN252"/>
    <hyperlink r:id="rId1086" ref="AO252"/>
    <hyperlink r:id="rId1087" ref="AP252"/>
    <hyperlink r:id="rId1088" ref="AQ252"/>
    <hyperlink r:id="rId1089" ref="AR252"/>
    <hyperlink r:id="rId1090" ref="AT252"/>
    <hyperlink r:id="rId1091" ref="AU252"/>
    <hyperlink r:id="rId1092" ref="AN253"/>
    <hyperlink r:id="rId1093" ref="AO253"/>
    <hyperlink r:id="rId1094" ref="AP253"/>
    <hyperlink r:id="rId1095" ref="AQ253"/>
    <hyperlink r:id="rId1096" ref="AR253"/>
    <hyperlink r:id="rId1097" ref="AT253"/>
    <hyperlink r:id="rId1098" ref="AU253"/>
    <hyperlink r:id="rId1099" ref="AN254"/>
    <hyperlink r:id="rId1100" ref="AO254"/>
    <hyperlink r:id="rId1101" ref="AP254"/>
    <hyperlink r:id="rId1102" ref="AN255"/>
    <hyperlink r:id="rId1103" ref="AO255"/>
    <hyperlink r:id="rId1104" ref="AP255"/>
    <hyperlink r:id="rId1105" ref="AQ255"/>
    <hyperlink r:id="rId1106" ref="AR255"/>
    <hyperlink r:id="rId1107" ref="AT255"/>
    <hyperlink r:id="rId1108" ref="AU255"/>
    <hyperlink r:id="rId1109" ref="AO256"/>
    <hyperlink r:id="rId1110" ref="AP256"/>
    <hyperlink r:id="rId1111" ref="AQ256"/>
    <hyperlink r:id="rId1112" ref="AR256"/>
    <hyperlink r:id="rId1113" ref="AT256"/>
    <hyperlink r:id="rId1114" ref="AU256"/>
    <hyperlink r:id="rId1115" ref="AN257"/>
    <hyperlink r:id="rId1116" ref="AO257"/>
    <hyperlink r:id="rId1117" ref="AP257"/>
    <hyperlink r:id="rId1118" ref="AQ257"/>
    <hyperlink r:id="rId1119" ref="AR257"/>
    <hyperlink r:id="rId1120" ref="AT257"/>
    <hyperlink r:id="rId1121" ref="AU257"/>
    <hyperlink r:id="rId1122" ref="AN258"/>
    <hyperlink r:id="rId1123" ref="AO258"/>
    <hyperlink r:id="rId1124" ref="AP258"/>
    <hyperlink r:id="rId1125" ref="AQ258"/>
    <hyperlink r:id="rId1126" ref="AR258"/>
    <hyperlink r:id="rId1127" ref="AT258"/>
    <hyperlink r:id="rId1128" ref="AU258"/>
    <hyperlink r:id="rId1129" ref="AN259"/>
    <hyperlink r:id="rId1130" ref="AO259"/>
    <hyperlink r:id="rId1131" ref="AP259"/>
    <hyperlink r:id="rId1132" ref="AT259"/>
    <hyperlink r:id="rId1133" ref="AN260"/>
    <hyperlink r:id="rId1134" ref="AO260"/>
    <hyperlink r:id="rId1135" ref="AP260"/>
    <hyperlink r:id="rId1136" ref="AR260"/>
    <hyperlink r:id="rId1137" ref="AN261"/>
    <hyperlink r:id="rId1138" ref="AO261"/>
    <hyperlink r:id="rId1139" ref="AR261"/>
    <hyperlink r:id="rId1140" ref="AN262"/>
    <hyperlink r:id="rId1141" ref="AO262"/>
    <hyperlink r:id="rId1142" ref="AR262"/>
    <hyperlink r:id="rId1143" ref="AN263"/>
    <hyperlink r:id="rId1144" ref="AO263"/>
    <hyperlink r:id="rId1145" ref="AR263"/>
    <hyperlink r:id="rId1146" ref="AN264"/>
    <hyperlink r:id="rId1147" ref="AO264"/>
    <hyperlink r:id="rId1148" ref="AR264"/>
    <hyperlink r:id="rId1149" ref="AN265"/>
    <hyperlink r:id="rId1150" ref="AO265"/>
    <hyperlink r:id="rId1151" ref="AR265"/>
    <hyperlink r:id="rId1152" ref="AN266"/>
    <hyperlink r:id="rId1153" ref="AO266"/>
    <hyperlink r:id="rId1154" ref="AR266"/>
    <hyperlink r:id="rId1155" ref="AN267"/>
    <hyperlink r:id="rId1156" ref="AO267"/>
    <hyperlink r:id="rId1157" ref="AP267"/>
    <hyperlink r:id="rId1158" ref="AR267"/>
    <hyperlink r:id="rId1159" ref="AN268"/>
    <hyperlink r:id="rId1160" ref="AO268"/>
    <hyperlink r:id="rId1161" ref="AR268"/>
    <hyperlink r:id="rId1162" ref="AN269"/>
    <hyperlink r:id="rId1163" ref="AO269"/>
    <hyperlink r:id="rId1164" ref="AR269"/>
    <hyperlink r:id="rId1165" ref="AN270"/>
    <hyperlink r:id="rId1166" ref="AO270"/>
    <hyperlink r:id="rId1167" ref="AR270"/>
    <hyperlink r:id="rId1168" ref="AN271"/>
    <hyperlink r:id="rId1169" ref="AO271"/>
    <hyperlink r:id="rId1170" ref="AR271"/>
    <hyperlink r:id="rId1171" ref="AN272"/>
    <hyperlink r:id="rId1172" ref="AO272"/>
    <hyperlink r:id="rId1173" ref="AR272"/>
    <hyperlink r:id="rId1174" ref="AN273"/>
    <hyperlink r:id="rId1175" ref="AO273"/>
    <hyperlink r:id="rId1176" ref="AR273"/>
    <hyperlink r:id="rId1177" ref="AN274"/>
    <hyperlink r:id="rId1178" ref="AO274"/>
    <hyperlink r:id="rId1179" ref="AP274"/>
    <hyperlink r:id="rId1180" ref="AQ274"/>
    <hyperlink r:id="rId1181" ref="AR274"/>
    <hyperlink r:id="rId1182" ref="AT274"/>
    <hyperlink r:id="rId1183" ref="AU274"/>
    <hyperlink r:id="rId1184" ref="AN275"/>
    <hyperlink r:id="rId1185" ref="AO275"/>
    <hyperlink r:id="rId1186" ref="AP275"/>
    <hyperlink r:id="rId1187" ref="AQ275"/>
    <hyperlink r:id="rId1188" ref="AR275"/>
    <hyperlink r:id="rId1189" ref="AT275"/>
    <hyperlink r:id="rId1190" ref="AU275"/>
    <hyperlink r:id="rId1191" ref="AN276"/>
    <hyperlink r:id="rId1192" ref="AO276"/>
    <hyperlink r:id="rId1193" ref="AP276"/>
    <hyperlink r:id="rId1194" ref="AQ276"/>
    <hyperlink r:id="rId1195" ref="AR276"/>
    <hyperlink r:id="rId1196" ref="AT276"/>
    <hyperlink r:id="rId1197" ref="AU276"/>
    <hyperlink r:id="rId1198" ref="AN277"/>
    <hyperlink r:id="rId1199" ref="AO277"/>
    <hyperlink r:id="rId1200" ref="AP277"/>
    <hyperlink r:id="rId1201" ref="AQ277"/>
    <hyperlink r:id="rId1202" ref="AR277"/>
    <hyperlink r:id="rId1203" ref="AT277"/>
    <hyperlink r:id="rId1204" ref="AU277"/>
    <hyperlink r:id="rId1205" ref="AN278"/>
    <hyperlink r:id="rId1206" ref="AO278"/>
    <hyperlink r:id="rId1207" ref="AP278"/>
    <hyperlink r:id="rId1208" ref="AQ278"/>
    <hyperlink r:id="rId1209" ref="AR278"/>
    <hyperlink r:id="rId1210" ref="AT278"/>
    <hyperlink r:id="rId1211" ref="AU278"/>
    <hyperlink r:id="rId1212" ref="AN279"/>
    <hyperlink r:id="rId1213" ref="AO279"/>
    <hyperlink r:id="rId1214" ref="AP279"/>
    <hyperlink r:id="rId1215" ref="AQ279"/>
    <hyperlink r:id="rId1216" ref="AR279"/>
    <hyperlink r:id="rId1217" ref="AT279"/>
    <hyperlink r:id="rId1218" ref="AU279"/>
    <hyperlink r:id="rId1219" ref="AN280"/>
    <hyperlink r:id="rId1220" ref="AO280"/>
    <hyperlink r:id="rId1221" ref="AP280"/>
    <hyperlink r:id="rId1222" ref="AQ280"/>
    <hyperlink r:id="rId1223" ref="AR280"/>
    <hyperlink r:id="rId1224" ref="AT280"/>
    <hyperlink r:id="rId1225" ref="AU280"/>
    <hyperlink r:id="rId1226" ref="AN281"/>
    <hyperlink r:id="rId1227" ref="AO281"/>
    <hyperlink r:id="rId1228" ref="AP281"/>
    <hyperlink r:id="rId1229" ref="AQ281"/>
    <hyperlink r:id="rId1230" ref="AR281"/>
    <hyperlink r:id="rId1231" ref="AT281"/>
    <hyperlink r:id="rId1232" ref="AN282"/>
    <hyperlink r:id="rId1233" ref="AO282"/>
    <hyperlink r:id="rId1234" ref="AP282"/>
    <hyperlink r:id="rId1235" ref="AQ282"/>
    <hyperlink r:id="rId1236" ref="AR282"/>
    <hyperlink r:id="rId1237" ref="AT282"/>
    <hyperlink r:id="rId1238" ref="AN283"/>
    <hyperlink r:id="rId1239" ref="AO283"/>
    <hyperlink r:id="rId1240" ref="AN284"/>
    <hyperlink r:id="rId1241" ref="AO284"/>
    <hyperlink r:id="rId1242" ref="AN285"/>
    <hyperlink r:id="rId1243" ref="AO285"/>
    <hyperlink r:id="rId1244" ref="AN286"/>
    <hyperlink r:id="rId1245" ref="AP286"/>
    <hyperlink r:id="rId1246" ref="AN287"/>
    <hyperlink r:id="rId1247" ref="AO287"/>
    <hyperlink r:id="rId1248" ref="AP287"/>
    <hyperlink r:id="rId1249" ref="AN288"/>
    <hyperlink r:id="rId1250" ref="AO288"/>
    <hyperlink r:id="rId1251" ref="AP288"/>
    <hyperlink r:id="rId1252" ref="AN289"/>
    <hyperlink r:id="rId1253" ref="AO289"/>
    <hyperlink r:id="rId1254" ref="AP289"/>
    <hyperlink r:id="rId1255" ref="AQ289"/>
    <hyperlink r:id="rId1256" ref="AR289"/>
    <hyperlink r:id="rId1257" ref="AT289"/>
    <hyperlink r:id="rId1258" ref="AU289"/>
    <hyperlink r:id="rId1259" ref="AN290"/>
    <hyperlink r:id="rId1260" ref="AO290"/>
    <hyperlink r:id="rId1261" ref="AP290"/>
    <hyperlink r:id="rId1262" ref="AQ290"/>
    <hyperlink r:id="rId1263" ref="AR290"/>
    <hyperlink r:id="rId1264" ref="AT290"/>
    <hyperlink r:id="rId1265" ref="AU290"/>
    <hyperlink r:id="rId1266" ref="AN291"/>
    <hyperlink r:id="rId1267" ref="AO291"/>
    <hyperlink r:id="rId1268" ref="AP291"/>
    <hyperlink r:id="rId1269" ref="AQ291"/>
    <hyperlink r:id="rId1270" ref="AR291"/>
    <hyperlink r:id="rId1271" ref="AT291"/>
    <hyperlink r:id="rId1272" ref="AU291"/>
    <hyperlink r:id="rId1273" ref="AN292"/>
    <hyperlink r:id="rId1274" ref="AO292"/>
    <hyperlink r:id="rId1275" ref="AP292"/>
    <hyperlink r:id="rId1276" ref="AQ292"/>
    <hyperlink r:id="rId1277" ref="AR292"/>
    <hyperlink r:id="rId1278" ref="AT292"/>
    <hyperlink r:id="rId1279" ref="AU292"/>
    <hyperlink r:id="rId1280" ref="AN293"/>
    <hyperlink r:id="rId1281" ref="AO293"/>
    <hyperlink r:id="rId1282" ref="AP293"/>
    <hyperlink r:id="rId1283" ref="AQ293"/>
    <hyperlink r:id="rId1284" ref="AR293"/>
    <hyperlink r:id="rId1285" ref="AT293"/>
    <hyperlink r:id="rId1286" ref="AU293"/>
    <hyperlink r:id="rId1287" ref="AN294"/>
    <hyperlink r:id="rId1288" ref="AO294"/>
    <hyperlink r:id="rId1289" ref="AP294"/>
    <hyperlink r:id="rId1290" ref="AQ294"/>
    <hyperlink r:id="rId1291" ref="AR294"/>
    <hyperlink r:id="rId1292" ref="AT294"/>
    <hyperlink r:id="rId1293" ref="AU294"/>
    <hyperlink r:id="rId1294" ref="AN295"/>
    <hyperlink r:id="rId1295" ref="AO295"/>
    <hyperlink r:id="rId1296" ref="AP295"/>
    <hyperlink r:id="rId1297" ref="AQ295"/>
    <hyperlink r:id="rId1298" ref="AR295"/>
    <hyperlink r:id="rId1299" ref="AT295"/>
    <hyperlink r:id="rId1300" ref="AU295"/>
    <hyperlink r:id="rId1301" ref="AN296"/>
    <hyperlink r:id="rId1302" ref="AO296"/>
    <hyperlink r:id="rId1303" ref="AP296"/>
    <hyperlink r:id="rId1304" ref="AQ296"/>
    <hyperlink r:id="rId1305" ref="AR296"/>
    <hyperlink r:id="rId1306" ref="AT296"/>
    <hyperlink r:id="rId1307" ref="AU296"/>
    <hyperlink r:id="rId1308" ref="AN297"/>
    <hyperlink r:id="rId1309" ref="AO297"/>
    <hyperlink r:id="rId1310" ref="AP297"/>
    <hyperlink r:id="rId1311" ref="AQ297"/>
    <hyperlink r:id="rId1312" ref="AR297"/>
    <hyperlink r:id="rId1313" ref="AT297"/>
    <hyperlink r:id="rId1314" ref="AN298"/>
    <hyperlink r:id="rId1315" ref="AO298"/>
    <hyperlink r:id="rId1316" ref="AP298"/>
    <hyperlink r:id="rId1317" ref="AQ298"/>
    <hyperlink r:id="rId1318" ref="AR298"/>
    <hyperlink r:id="rId1319" ref="AT298"/>
    <hyperlink r:id="rId1320" ref="AU298"/>
    <hyperlink r:id="rId1321" ref="AN299"/>
    <hyperlink r:id="rId1322" ref="AO299"/>
    <hyperlink r:id="rId1323" ref="AQ299"/>
    <hyperlink r:id="rId1324" ref="AR299"/>
    <hyperlink r:id="rId1325" ref="AT299"/>
    <hyperlink r:id="rId1326" ref="AU299"/>
    <hyperlink r:id="rId1327" ref="AN300"/>
    <hyperlink r:id="rId1328" ref="AO300"/>
    <hyperlink r:id="rId1329" ref="AQ300"/>
    <hyperlink r:id="rId1330" ref="AR300"/>
    <hyperlink r:id="rId1331" ref="AT300"/>
    <hyperlink r:id="rId1332" ref="AU300"/>
    <hyperlink r:id="rId1333" ref="AN301"/>
    <hyperlink r:id="rId1334" ref="AP301"/>
    <hyperlink r:id="rId1335" ref="AU301"/>
    <hyperlink r:id="rId1336" ref="AN302"/>
    <hyperlink r:id="rId1337" ref="AP302"/>
    <hyperlink r:id="rId1338" ref="AU302"/>
    <hyperlink r:id="rId1339" ref="AN303"/>
    <hyperlink r:id="rId1340" ref="AP303"/>
    <hyperlink r:id="rId1341" ref="AN304"/>
    <hyperlink r:id="rId1342" ref="AP304"/>
    <hyperlink r:id="rId1343" ref="AN305"/>
    <hyperlink r:id="rId1344" ref="AP305"/>
    <hyperlink r:id="rId1345" ref="AN306"/>
    <hyperlink r:id="rId1346" ref="AP306"/>
    <hyperlink r:id="rId1347" ref="AN307"/>
    <hyperlink r:id="rId1348" ref="AP307"/>
    <hyperlink r:id="rId1349" ref="AN308"/>
    <hyperlink r:id="rId1350" ref="AP308"/>
    <hyperlink r:id="rId1351" ref="AN309"/>
    <hyperlink r:id="rId1352" ref="AP309"/>
    <hyperlink r:id="rId1353" ref="AN310"/>
    <hyperlink r:id="rId1354" ref="AO310"/>
    <hyperlink r:id="rId1355" ref="AP310"/>
    <hyperlink r:id="rId1356" ref="AN311"/>
    <hyperlink r:id="rId1357" ref="AO311"/>
    <hyperlink r:id="rId1358" ref="AP311"/>
    <hyperlink r:id="rId1359" ref="AN312"/>
    <hyperlink r:id="rId1360" ref="AO312"/>
    <hyperlink r:id="rId1361" ref="AP312"/>
    <hyperlink r:id="rId1362" ref="AN313"/>
    <hyperlink r:id="rId1363" ref="AO313"/>
    <hyperlink r:id="rId1364" ref="AP313"/>
    <hyperlink r:id="rId1365" ref="AN314"/>
    <hyperlink r:id="rId1366" ref="AO314"/>
    <hyperlink r:id="rId1367" ref="AN315"/>
    <hyperlink r:id="rId1368" ref="AO315"/>
    <hyperlink r:id="rId1369" ref="AN316"/>
    <hyperlink r:id="rId1370" ref="AO316"/>
    <hyperlink r:id="rId1371" ref="AP316"/>
    <hyperlink r:id="rId1372" ref="AQ316"/>
    <hyperlink r:id="rId1373" ref="AR316"/>
    <hyperlink r:id="rId1374" ref="AT316"/>
    <hyperlink r:id="rId1375" ref="AU316"/>
    <hyperlink r:id="rId1376" ref="AN317"/>
    <hyperlink r:id="rId1377" ref="AP317"/>
    <hyperlink r:id="rId1378" ref="AN318"/>
    <hyperlink r:id="rId1379" ref="AP318"/>
    <hyperlink r:id="rId1380" ref="AO319"/>
    <hyperlink r:id="rId1381" ref="AP319"/>
    <hyperlink r:id="rId1382" ref="AN320"/>
    <hyperlink r:id="rId1383" ref="AO320"/>
    <hyperlink r:id="rId1384" ref="AP320"/>
    <hyperlink r:id="rId1385" ref="AN321"/>
    <hyperlink r:id="rId1386" ref="AO321"/>
    <hyperlink r:id="rId1387" ref="AP321"/>
    <hyperlink r:id="rId1388" ref="AQ321"/>
    <hyperlink r:id="rId1389" ref="AR321"/>
    <hyperlink r:id="rId1390" ref="AT321"/>
    <hyperlink r:id="rId1391" ref="AN322"/>
    <hyperlink r:id="rId1392" ref="AO322"/>
    <hyperlink r:id="rId1393" ref="AP322"/>
    <hyperlink r:id="rId1394" ref="AQ322"/>
    <hyperlink r:id="rId1395" ref="AR322"/>
    <hyperlink r:id="rId1396" ref="AT322"/>
    <hyperlink r:id="rId1397" ref="AU322"/>
    <hyperlink r:id="rId1398" ref="AN323"/>
    <hyperlink r:id="rId1399" ref="AO323"/>
    <hyperlink r:id="rId1400" ref="AP323"/>
    <hyperlink r:id="rId1401" ref="AQ323"/>
    <hyperlink r:id="rId1402" ref="AR323"/>
    <hyperlink r:id="rId1403" ref="AT323"/>
    <hyperlink r:id="rId1404" ref="AU323"/>
    <hyperlink r:id="rId1405" ref="AN324"/>
    <hyperlink r:id="rId1406" ref="AO324"/>
    <hyperlink r:id="rId1407" ref="AP324"/>
    <hyperlink r:id="rId1408" ref="AQ324"/>
    <hyperlink r:id="rId1409" ref="AR324"/>
    <hyperlink r:id="rId1410" ref="AT324"/>
    <hyperlink r:id="rId1411" ref="AU324"/>
    <hyperlink r:id="rId1412" ref="AN325"/>
    <hyperlink r:id="rId1413" ref="AP325"/>
    <hyperlink r:id="rId1414" ref="AN326"/>
    <hyperlink r:id="rId1415" ref="AP326"/>
    <hyperlink r:id="rId1416" ref="AN327"/>
    <hyperlink r:id="rId1417" ref="AP327"/>
    <hyperlink r:id="rId1418" ref="AN328"/>
    <hyperlink r:id="rId1419" ref="AO328"/>
    <hyperlink r:id="rId1420" ref="AP328"/>
    <hyperlink r:id="rId1421" ref="AQ328"/>
    <hyperlink r:id="rId1422" ref="AT328"/>
    <hyperlink r:id="rId1423" ref="AU328"/>
    <hyperlink r:id="rId1424" ref="AN329"/>
    <hyperlink r:id="rId1425" ref="AO329"/>
    <hyperlink r:id="rId1426" ref="AP329"/>
    <hyperlink r:id="rId1427" ref="AQ329"/>
    <hyperlink r:id="rId1428" ref="AT329"/>
    <hyperlink r:id="rId1429" ref="AU329"/>
    <hyperlink r:id="rId1430" ref="AN330"/>
    <hyperlink r:id="rId1431" ref="AO330"/>
    <hyperlink r:id="rId1432" ref="AP330"/>
    <hyperlink r:id="rId1433" ref="AQ330"/>
    <hyperlink r:id="rId1434" ref="AT330"/>
    <hyperlink r:id="rId1435" ref="AU330"/>
    <hyperlink r:id="rId1436" ref="AN331"/>
    <hyperlink r:id="rId1437" ref="AO331"/>
    <hyperlink r:id="rId1438" ref="AP331"/>
    <hyperlink r:id="rId1439" ref="AR331"/>
    <hyperlink r:id="rId1440" ref="AT331"/>
    <hyperlink r:id="rId1441" ref="AN332"/>
    <hyperlink r:id="rId1442" ref="AO332"/>
    <hyperlink r:id="rId1443" ref="AR332"/>
    <hyperlink r:id="rId1444" ref="AT332"/>
    <hyperlink r:id="rId1445" ref="AN333"/>
    <hyperlink r:id="rId1446" ref="AO333"/>
    <hyperlink r:id="rId1447" ref="AR333"/>
    <hyperlink r:id="rId1448" ref="AT333"/>
    <hyperlink r:id="rId1449" ref="AN334"/>
    <hyperlink r:id="rId1450" ref="AQ334"/>
    <hyperlink r:id="rId1451" ref="AR334"/>
    <hyperlink r:id="rId1452" ref="AU334"/>
    <hyperlink r:id="rId1453" ref="AN335"/>
    <hyperlink r:id="rId1454" ref="AQ335"/>
    <hyperlink r:id="rId1455" ref="AR335"/>
    <hyperlink r:id="rId1456" ref="AU335"/>
    <hyperlink r:id="rId1457" ref="AN336"/>
    <hyperlink r:id="rId1458" ref="AQ336"/>
    <hyperlink r:id="rId1459" ref="AR336"/>
    <hyperlink r:id="rId1460" ref="AU336"/>
    <hyperlink r:id="rId1461" ref="AN337"/>
    <hyperlink r:id="rId1462" ref="AP337"/>
    <hyperlink r:id="rId1463" ref="AQ337"/>
    <hyperlink r:id="rId1464" ref="AN338"/>
    <hyperlink r:id="rId1465" ref="AP338"/>
    <hyperlink r:id="rId1466" ref="AQ338"/>
    <hyperlink r:id="rId1467" ref="AN339"/>
    <hyperlink r:id="rId1468" ref="AO339"/>
    <hyperlink r:id="rId1469" ref="AP339"/>
    <hyperlink r:id="rId1470" ref="AQ339"/>
    <hyperlink r:id="rId1471" ref="AR339"/>
    <hyperlink r:id="rId1472" ref="AT339"/>
    <hyperlink r:id="rId1473" ref="AU339"/>
    <hyperlink r:id="rId1474" ref="AN340"/>
    <hyperlink r:id="rId1475" ref="AO340"/>
    <hyperlink r:id="rId1476" ref="AP340"/>
    <hyperlink r:id="rId1477" ref="AQ340"/>
    <hyperlink r:id="rId1478" ref="AR340"/>
    <hyperlink r:id="rId1479" ref="AT340"/>
    <hyperlink r:id="rId1480" ref="AU340"/>
    <hyperlink r:id="rId1481" ref="AN341"/>
    <hyperlink r:id="rId1482" ref="AO341"/>
    <hyperlink r:id="rId1483" ref="AP341"/>
    <hyperlink r:id="rId1484" ref="AQ341"/>
    <hyperlink r:id="rId1485" ref="AR341"/>
    <hyperlink r:id="rId1486" ref="AT341"/>
    <hyperlink r:id="rId1487" ref="AU341"/>
    <hyperlink r:id="rId1488" ref="AN342"/>
    <hyperlink r:id="rId1489" ref="AO342"/>
    <hyperlink r:id="rId1490" ref="AP342"/>
    <hyperlink r:id="rId1491" ref="AQ342"/>
    <hyperlink r:id="rId1492" ref="AR342"/>
    <hyperlink r:id="rId1493" ref="AT342"/>
    <hyperlink r:id="rId1494" ref="AU342"/>
    <hyperlink r:id="rId1495" ref="AN343"/>
    <hyperlink r:id="rId1496" ref="AO343"/>
    <hyperlink r:id="rId1497" ref="AP343"/>
    <hyperlink r:id="rId1498" ref="AQ343"/>
    <hyperlink r:id="rId1499" ref="AR343"/>
    <hyperlink r:id="rId1500" ref="AT343"/>
    <hyperlink r:id="rId1501" ref="AU343"/>
    <hyperlink r:id="rId1502" ref="AN344"/>
    <hyperlink r:id="rId1503" ref="AP344"/>
    <hyperlink r:id="rId1504" ref="AN345"/>
    <hyperlink r:id="rId1505" ref="AN346"/>
    <hyperlink r:id="rId1506" ref="AN347"/>
    <hyperlink r:id="rId1507" ref="AO347"/>
    <hyperlink r:id="rId1508" ref="AP347"/>
    <hyperlink r:id="rId1509" ref="AQ347"/>
    <hyperlink r:id="rId1510" ref="AR347"/>
    <hyperlink r:id="rId1511" ref="AT347"/>
    <hyperlink r:id="rId1512" ref="AU347"/>
    <hyperlink r:id="rId1513" ref="AN348"/>
    <hyperlink r:id="rId1514" ref="AO348"/>
    <hyperlink r:id="rId1515" ref="AP348"/>
    <hyperlink r:id="rId1516" ref="AQ348"/>
    <hyperlink r:id="rId1517" ref="AR348"/>
    <hyperlink r:id="rId1518" ref="AT348"/>
    <hyperlink r:id="rId1519" ref="AU348"/>
    <hyperlink r:id="rId1520" ref="AN349"/>
    <hyperlink r:id="rId1521" ref="AO349"/>
    <hyperlink r:id="rId1522" ref="AN350"/>
    <hyperlink r:id="rId1523" ref="AO350"/>
    <hyperlink r:id="rId1524" ref="AN351"/>
    <hyperlink r:id="rId1525" ref="AO351"/>
    <hyperlink r:id="rId1526" ref="AN352"/>
    <hyperlink r:id="rId1527" ref="AO352"/>
    <hyperlink r:id="rId1528" ref="AP352"/>
    <hyperlink r:id="rId1529" ref="AT352"/>
    <hyperlink r:id="rId1530" ref="AN353"/>
    <hyperlink r:id="rId1531" ref="AO353"/>
    <hyperlink r:id="rId1532" ref="AP353"/>
    <hyperlink r:id="rId1533" ref="AT353"/>
    <hyperlink r:id="rId1534" ref="AN354"/>
    <hyperlink r:id="rId1535" ref="AO354"/>
    <hyperlink r:id="rId1536" ref="AP354"/>
    <hyperlink r:id="rId1537" ref="AT354"/>
    <hyperlink r:id="rId1538" ref="AN355"/>
    <hyperlink r:id="rId1539" ref="AO355"/>
    <hyperlink r:id="rId1540" ref="AP355"/>
    <hyperlink r:id="rId1541" ref="AQ355"/>
    <hyperlink r:id="rId1542" ref="AR355"/>
    <hyperlink r:id="rId1543" ref="AT355"/>
    <hyperlink r:id="rId1544" ref="AU355"/>
    <hyperlink r:id="rId1545" ref="AN356"/>
    <hyperlink r:id="rId1546" ref="AO356"/>
    <hyperlink r:id="rId1547" ref="AP356"/>
    <hyperlink r:id="rId1548" ref="AQ356"/>
    <hyperlink r:id="rId1549" ref="AR356"/>
    <hyperlink r:id="rId1550" ref="AT356"/>
    <hyperlink r:id="rId1551" ref="AU356"/>
    <hyperlink r:id="rId1552" ref="AN357"/>
    <hyperlink r:id="rId1553" ref="AO357"/>
    <hyperlink r:id="rId1554" ref="AP357"/>
    <hyperlink r:id="rId1555" ref="AQ357"/>
    <hyperlink r:id="rId1556" ref="AR357"/>
    <hyperlink r:id="rId1557" ref="AT357"/>
    <hyperlink r:id="rId1558" ref="AU357"/>
    <hyperlink r:id="rId1559" ref="AN358"/>
    <hyperlink r:id="rId1560" ref="AO358"/>
    <hyperlink r:id="rId1561" ref="AP358"/>
    <hyperlink r:id="rId1562" ref="AQ358"/>
    <hyperlink r:id="rId1563" ref="AR358"/>
    <hyperlink r:id="rId1564" ref="AT358"/>
    <hyperlink r:id="rId1565" ref="AU358"/>
    <hyperlink r:id="rId1566" ref="AN359"/>
    <hyperlink r:id="rId1567" ref="AO359"/>
    <hyperlink r:id="rId1568" ref="AP359"/>
    <hyperlink r:id="rId1569" ref="AQ359"/>
    <hyperlink r:id="rId1570" ref="AR359"/>
    <hyperlink r:id="rId1571" ref="AT359"/>
    <hyperlink r:id="rId1572" ref="AU359"/>
    <hyperlink r:id="rId1573" ref="AN360"/>
    <hyperlink r:id="rId1574" ref="AO360"/>
    <hyperlink r:id="rId1575" ref="AP360"/>
    <hyperlink r:id="rId1576" ref="AQ360"/>
    <hyperlink r:id="rId1577" ref="AR360"/>
    <hyperlink r:id="rId1578" ref="AT360"/>
    <hyperlink r:id="rId1579" ref="AU360"/>
    <hyperlink r:id="rId1580" ref="AN361"/>
    <hyperlink r:id="rId1581" ref="AO361"/>
    <hyperlink r:id="rId1582" ref="AP361"/>
    <hyperlink r:id="rId1583" ref="AQ361"/>
    <hyperlink r:id="rId1584" ref="AR361"/>
    <hyperlink r:id="rId1585" ref="AT361"/>
    <hyperlink r:id="rId1586" ref="AU361"/>
    <hyperlink r:id="rId1587" ref="AN362"/>
    <hyperlink r:id="rId1588" ref="AO362"/>
    <hyperlink r:id="rId1589" ref="AP362"/>
    <hyperlink r:id="rId1590" ref="AQ362"/>
    <hyperlink r:id="rId1591" ref="AR362"/>
    <hyperlink r:id="rId1592" ref="AT362"/>
    <hyperlink r:id="rId1593" ref="AU362"/>
    <hyperlink r:id="rId1594" ref="AN363"/>
    <hyperlink r:id="rId1595" ref="AO363"/>
    <hyperlink r:id="rId1596" ref="AP363"/>
    <hyperlink r:id="rId1597" ref="AQ363"/>
    <hyperlink r:id="rId1598" ref="AR363"/>
    <hyperlink r:id="rId1599" ref="AT363"/>
    <hyperlink r:id="rId1600" ref="AU363"/>
    <hyperlink r:id="rId1601" ref="AN364"/>
    <hyperlink r:id="rId1602" ref="AO364"/>
    <hyperlink r:id="rId1603" ref="AP364"/>
    <hyperlink r:id="rId1604" ref="AQ364"/>
    <hyperlink r:id="rId1605" ref="AR364"/>
    <hyperlink r:id="rId1606" ref="AT364"/>
    <hyperlink r:id="rId1607" ref="AU364"/>
    <hyperlink r:id="rId1608" ref="AN365"/>
    <hyperlink r:id="rId1609" ref="AO365"/>
    <hyperlink r:id="rId1610" ref="AP365"/>
    <hyperlink r:id="rId1611" ref="AQ365"/>
    <hyperlink r:id="rId1612" ref="AR365"/>
    <hyperlink r:id="rId1613" ref="AT365"/>
    <hyperlink r:id="rId1614" ref="AU365"/>
    <hyperlink r:id="rId1615" ref="AN366"/>
    <hyperlink r:id="rId1616" ref="AO366"/>
    <hyperlink r:id="rId1617" ref="AP366"/>
    <hyperlink r:id="rId1618" ref="AQ366"/>
    <hyperlink r:id="rId1619" ref="AR366"/>
    <hyperlink r:id="rId1620" ref="AT366"/>
    <hyperlink r:id="rId1621" ref="AU366"/>
    <hyperlink r:id="rId1622" ref="AN367"/>
    <hyperlink r:id="rId1623" ref="AO367"/>
    <hyperlink r:id="rId1624" ref="AP367"/>
    <hyperlink r:id="rId1625" ref="AQ367"/>
    <hyperlink r:id="rId1626" ref="AR367"/>
    <hyperlink r:id="rId1627" ref="AT367"/>
    <hyperlink r:id="rId1628" ref="AU367"/>
    <hyperlink r:id="rId1629" ref="AN368"/>
    <hyperlink r:id="rId1630" ref="AO368"/>
    <hyperlink r:id="rId1631" ref="AP368"/>
    <hyperlink r:id="rId1632" ref="AQ368"/>
    <hyperlink r:id="rId1633" ref="AR368"/>
    <hyperlink r:id="rId1634" ref="AT368"/>
    <hyperlink r:id="rId1635" ref="AU368"/>
    <hyperlink r:id="rId1636" ref="AN369"/>
    <hyperlink r:id="rId1637" ref="AO369"/>
    <hyperlink r:id="rId1638" ref="AP369"/>
    <hyperlink r:id="rId1639" ref="AQ369"/>
    <hyperlink r:id="rId1640" ref="AR369"/>
    <hyperlink r:id="rId1641" ref="AT369"/>
    <hyperlink r:id="rId1642" ref="AU369"/>
    <hyperlink r:id="rId1643" ref="AN370"/>
    <hyperlink r:id="rId1644" ref="AO370"/>
    <hyperlink r:id="rId1645" ref="AP370"/>
    <hyperlink r:id="rId1646" ref="AQ370"/>
    <hyperlink r:id="rId1647" ref="AR370"/>
    <hyperlink r:id="rId1648" ref="AT370"/>
    <hyperlink r:id="rId1649" ref="AU370"/>
    <hyperlink r:id="rId1650" ref="AN371"/>
    <hyperlink r:id="rId1651" ref="AO371"/>
    <hyperlink r:id="rId1652" ref="AP371"/>
    <hyperlink r:id="rId1653" ref="AQ371"/>
    <hyperlink r:id="rId1654" ref="AR371"/>
    <hyperlink r:id="rId1655" ref="AT371"/>
    <hyperlink r:id="rId1656" ref="AU371"/>
    <hyperlink r:id="rId1657" ref="AN372"/>
    <hyperlink r:id="rId1658" ref="AO372"/>
    <hyperlink r:id="rId1659" ref="AP372"/>
    <hyperlink r:id="rId1660" ref="AQ372"/>
    <hyperlink r:id="rId1661" ref="AR372"/>
    <hyperlink r:id="rId1662" ref="AT372"/>
    <hyperlink r:id="rId1663" ref="AU372"/>
    <hyperlink r:id="rId1664" ref="AN373"/>
    <hyperlink r:id="rId1665" ref="AO373"/>
    <hyperlink r:id="rId1666" ref="AP373"/>
    <hyperlink r:id="rId1667" ref="AQ373"/>
    <hyperlink r:id="rId1668" ref="AR373"/>
    <hyperlink r:id="rId1669" ref="AT373"/>
    <hyperlink r:id="rId1670" ref="AU373"/>
    <hyperlink r:id="rId1671" ref="AN374"/>
    <hyperlink r:id="rId1672" ref="AO374"/>
    <hyperlink r:id="rId1673" ref="AP374"/>
    <hyperlink r:id="rId1674" ref="AQ374"/>
    <hyperlink r:id="rId1675" ref="AR374"/>
    <hyperlink r:id="rId1676" ref="AT374"/>
    <hyperlink r:id="rId1677" ref="AU374"/>
    <hyperlink r:id="rId1678" ref="AO375"/>
    <hyperlink r:id="rId1679" ref="AP375"/>
    <hyperlink r:id="rId1680" ref="AQ375"/>
    <hyperlink r:id="rId1681" ref="AR375"/>
    <hyperlink r:id="rId1682" ref="AT375"/>
    <hyperlink r:id="rId1683" ref="AU375"/>
    <hyperlink r:id="rId1684" ref="AN376"/>
    <hyperlink r:id="rId1685" ref="AO376"/>
    <hyperlink r:id="rId1686" ref="AP376"/>
    <hyperlink r:id="rId1687" ref="AQ376"/>
    <hyperlink r:id="rId1688" ref="AR376"/>
    <hyperlink r:id="rId1689" ref="AT376"/>
    <hyperlink r:id="rId1690" ref="AU376"/>
    <hyperlink r:id="rId1691" ref="AN377"/>
    <hyperlink r:id="rId1692" ref="AO377"/>
    <hyperlink r:id="rId1693" ref="AP377"/>
    <hyperlink r:id="rId1694" ref="AQ377"/>
    <hyperlink r:id="rId1695" ref="AR377"/>
    <hyperlink r:id="rId1696" ref="AT377"/>
    <hyperlink r:id="rId1697" ref="AU377"/>
    <hyperlink r:id="rId1698" ref="AN378"/>
    <hyperlink r:id="rId1699" ref="AO378"/>
    <hyperlink r:id="rId1700" ref="AP378"/>
    <hyperlink r:id="rId1701" ref="AQ378"/>
    <hyperlink r:id="rId1702" ref="AR378"/>
    <hyperlink r:id="rId1703" ref="AT378"/>
    <hyperlink r:id="rId1704" ref="AU378"/>
    <hyperlink r:id="rId1705" ref="AN379"/>
    <hyperlink r:id="rId1706" ref="AO379"/>
    <hyperlink r:id="rId1707" ref="AP379"/>
    <hyperlink r:id="rId1708" ref="AQ379"/>
    <hyperlink r:id="rId1709" ref="AR379"/>
    <hyperlink r:id="rId1710" ref="AT379"/>
    <hyperlink r:id="rId1711" ref="AU379"/>
    <hyperlink r:id="rId1712" ref="AN380"/>
    <hyperlink r:id="rId1713" ref="AO380"/>
    <hyperlink r:id="rId1714" ref="AP380"/>
    <hyperlink r:id="rId1715" ref="AQ380"/>
    <hyperlink r:id="rId1716" ref="AR380"/>
    <hyperlink r:id="rId1717" ref="AT380"/>
    <hyperlink r:id="rId1718" ref="AU380"/>
    <hyperlink r:id="rId1719" ref="AN381"/>
    <hyperlink r:id="rId1720" ref="AO381"/>
    <hyperlink r:id="rId1721" ref="AP381"/>
    <hyperlink r:id="rId1722" ref="AQ381"/>
    <hyperlink r:id="rId1723" ref="AR381"/>
    <hyperlink r:id="rId1724" ref="AT381"/>
    <hyperlink r:id="rId1725" ref="AU381"/>
    <hyperlink r:id="rId1726" ref="AN382"/>
    <hyperlink r:id="rId1727" ref="AO382"/>
    <hyperlink r:id="rId1728" ref="AP382"/>
    <hyperlink r:id="rId1729" ref="AQ382"/>
    <hyperlink r:id="rId1730" ref="AR382"/>
    <hyperlink r:id="rId1731" ref="AT382"/>
    <hyperlink r:id="rId1732" ref="AU382"/>
    <hyperlink r:id="rId1733" ref="AN383"/>
    <hyperlink r:id="rId1734" ref="AO383"/>
    <hyperlink r:id="rId1735" ref="AP383"/>
    <hyperlink r:id="rId1736" ref="AQ383"/>
    <hyperlink r:id="rId1737" ref="AR383"/>
    <hyperlink r:id="rId1738" ref="AT383"/>
    <hyperlink r:id="rId1739" ref="AU383"/>
    <hyperlink r:id="rId1740" ref="AN384"/>
    <hyperlink r:id="rId1741" ref="AO384"/>
    <hyperlink r:id="rId1742" ref="AP384"/>
    <hyperlink r:id="rId1743" ref="AQ384"/>
    <hyperlink r:id="rId1744" ref="AR384"/>
    <hyperlink r:id="rId1745" ref="AT384"/>
    <hyperlink r:id="rId1746" ref="AU384"/>
    <hyperlink r:id="rId1747" ref="AN385"/>
    <hyperlink r:id="rId1748" ref="AO385"/>
    <hyperlink r:id="rId1749" ref="AP385"/>
    <hyperlink r:id="rId1750" ref="AQ385"/>
    <hyperlink r:id="rId1751" ref="AR385"/>
    <hyperlink r:id="rId1752" ref="AT385"/>
    <hyperlink r:id="rId1753" ref="AU385"/>
    <hyperlink r:id="rId1754" ref="AN386"/>
    <hyperlink r:id="rId1755" ref="AO386"/>
    <hyperlink r:id="rId1756" ref="AP386"/>
    <hyperlink r:id="rId1757" ref="AQ386"/>
    <hyperlink r:id="rId1758" ref="AR386"/>
    <hyperlink r:id="rId1759" ref="AT386"/>
    <hyperlink r:id="rId1760" ref="AU386"/>
    <hyperlink r:id="rId1761" ref="AN387"/>
    <hyperlink r:id="rId1762" ref="AO387"/>
    <hyperlink r:id="rId1763" ref="AP387"/>
    <hyperlink r:id="rId1764" ref="AQ387"/>
    <hyperlink r:id="rId1765" ref="AR387"/>
    <hyperlink r:id="rId1766" ref="AT387"/>
    <hyperlink r:id="rId1767" ref="AU387"/>
    <hyperlink r:id="rId1768" ref="AN388"/>
    <hyperlink r:id="rId1769" ref="AP388"/>
    <hyperlink r:id="rId1770" ref="AN389"/>
    <hyperlink r:id="rId1771" ref="AP389"/>
    <hyperlink r:id="rId1772" ref="AN390"/>
    <hyperlink r:id="rId1773" ref="AP390"/>
    <hyperlink r:id="rId1774" ref="AN391"/>
    <hyperlink r:id="rId1775" ref="AO391"/>
    <hyperlink r:id="rId1776" ref="AP391"/>
    <hyperlink r:id="rId1777" ref="AQ391"/>
    <hyperlink r:id="rId1778" ref="AR391"/>
    <hyperlink r:id="rId1779" ref="AT391"/>
    <hyperlink r:id="rId1780" ref="AU391"/>
    <hyperlink r:id="rId1781" ref="AN392"/>
    <hyperlink r:id="rId1782" ref="AO392"/>
    <hyperlink r:id="rId1783" ref="AP392"/>
    <hyperlink r:id="rId1784" ref="AQ392"/>
    <hyperlink r:id="rId1785" ref="AR392"/>
    <hyperlink r:id="rId1786" ref="AT392"/>
    <hyperlink r:id="rId1787" ref="AU392"/>
    <hyperlink r:id="rId1788" ref="AN393"/>
    <hyperlink r:id="rId1789" ref="AO393"/>
    <hyperlink r:id="rId1790" ref="AP393"/>
    <hyperlink r:id="rId1791" ref="AQ393"/>
    <hyperlink r:id="rId1792" ref="AR393"/>
    <hyperlink r:id="rId1793" ref="AT393"/>
    <hyperlink r:id="rId1794" ref="AU393"/>
    <hyperlink r:id="rId1795" ref="AN394"/>
    <hyperlink r:id="rId1796" ref="AO394"/>
    <hyperlink r:id="rId1797" ref="AP394"/>
    <hyperlink r:id="rId1798" ref="AQ394"/>
    <hyperlink r:id="rId1799" ref="AR394"/>
    <hyperlink r:id="rId1800" ref="AT394"/>
    <hyperlink r:id="rId1801" ref="AU394"/>
    <hyperlink r:id="rId1802" ref="AN395"/>
    <hyperlink r:id="rId1803" ref="AO395"/>
    <hyperlink r:id="rId1804" ref="AP395"/>
    <hyperlink r:id="rId1805" ref="AQ395"/>
    <hyperlink r:id="rId1806" ref="AR395"/>
    <hyperlink r:id="rId1807" ref="AT395"/>
    <hyperlink r:id="rId1808" ref="AU395"/>
    <hyperlink r:id="rId1809" ref="AN396"/>
    <hyperlink r:id="rId1810" ref="AO396"/>
    <hyperlink r:id="rId1811" ref="AP396"/>
    <hyperlink r:id="rId1812" ref="AQ396"/>
    <hyperlink r:id="rId1813" ref="AR396"/>
    <hyperlink r:id="rId1814" ref="AT396"/>
    <hyperlink r:id="rId1815" ref="AU396"/>
    <hyperlink r:id="rId1816" ref="AN397"/>
    <hyperlink r:id="rId1817" ref="AO397"/>
    <hyperlink r:id="rId1818" ref="AP397"/>
    <hyperlink r:id="rId1819" ref="AQ397"/>
    <hyperlink r:id="rId1820" ref="AR397"/>
    <hyperlink r:id="rId1821" ref="AT397"/>
    <hyperlink r:id="rId1822" ref="AU397"/>
    <hyperlink r:id="rId1823" ref="AN398"/>
    <hyperlink r:id="rId1824" ref="AO398"/>
    <hyperlink r:id="rId1825" ref="AP398"/>
    <hyperlink r:id="rId1826" ref="AQ398"/>
    <hyperlink r:id="rId1827" ref="AR398"/>
    <hyperlink r:id="rId1828" ref="AT398"/>
    <hyperlink r:id="rId1829" ref="AU398"/>
    <hyperlink r:id="rId1830" ref="AN399"/>
    <hyperlink r:id="rId1831" ref="AO399"/>
    <hyperlink r:id="rId1832" ref="AP399"/>
    <hyperlink r:id="rId1833" ref="AQ399"/>
    <hyperlink r:id="rId1834" ref="AR399"/>
    <hyperlink r:id="rId1835" ref="AT399"/>
    <hyperlink r:id="rId1836" ref="AU399"/>
    <hyperlink r:id="rId1837" ref="AN400"/>
    <hyperlink r:id="rId1838" ref="AO400"/>
    <hyperlink r:id="rId1839" ref="AP400"/>
    <hyperlink r:id="rId1840" ref="AQ400"/>
    <hyperlink r:id="rId1841" ref="AR400"/>
    <hyperlink r:id="rId1842" ref="AT400"/>
    <hyperlink r:id="rId1843" ref="AU400"/>
    <hyperlink r:id="rId1844" ref="AN401"/>
    <hyperlink r:id="rId1845" ref="AO401"/>
    <hyperlink r:id="rId1846" ref="AP401"/>
    <hyperlink r:id="rId1847" ref="AQ401"/>
    <hyperlink r:id="rId1848" ref="AR401"/>
    <hyperlink r:id="rId1849" ref="AT401"/>
    <hyperlink r:id="rId1850" ref="AU401"/>
    <hyperlink r:id="rId1851" ref="AN402"/>
    <hyperlink r:id="rId1852" ref="AO402"/>
    <hyperlink r:id="rId1853" ref="AP402"/>
    <hyperlink r:id="rId1854" ref="AQ402"/>
    <hyperlink r:id="rId1855" ref="AR402"/>
    <hyperlink r:id="rId1856" ref="AT402"/>
    <hyperlink r:id="rId1857" ref="AU402"/>
    <hyperlink r:id="rId1858" ref="AN403"/>
    <hyperlink r:id="rId1859" ref="AO403"/>
    <hyperlink r:id="rId1860" ref="AP403"/>
    <hyperlink r:id="rId1861" ref="AQ403"/>
    <hyperlink r:id="rId1862" ref="AR403"/>
    <hyperlink r:id="rId1863" ref="AT403"/>
    <hyperlink r:id="rId1864" ref="AU403"/>
    <hyperlink r:id="rId1865" ref="AN404"/>
    <hyperlink r:id="rId1866" ref="AO404"/>
    <hyperlink r:id="rId1867" ref="AP404"/>
    <hyperlink r:id="rId1868" ref="AQ404"/>
    <hyperlink r:id="rId1869" ref="AR404"/>
    <hyperlink r:id="rId1870" ref="AT404"/>
    <hyperlink r:id="rId1871" ref="AU404"/>
    <hyperlink r:id="rId1872" ref="AN405"/>
    <hyperlink r:id="rId1873" ref="AO405"/>
    <hyperlink r:id="rId1874" ref="AP405"/>
    <hyperlink r:id="rId1875" ref="AQ405"/>
    <hyperlink r:id="rId1876" ref="AR405"/>
    <hyperlink r:id="rId1877" ref="AT405"/>
    <hyperlink r:id="rId1878" ref="AU405"/>
    <hyperlink r:id="rId1879" ref="AN406"/>
    <hyperlink r:id="rId1880" ref="AO406"/>
    <hyperlink r:id="rId1881" ref="AP406"/>
    <hyperlink r:id="rId1882" ref="AQ406"/>
    <hyperlink r:id="rId1883" ref="AR406"/>
    <hyperlink r:id="rId1884" ref="AT406"/>
    <hyperlink r:id="rId1885" ref="AU406"/>
    <hyperlink r:id="rId1886" ref="AN407"/>
    <hyperlink r:id="rId1887" ref="AO407"/>
    <hyperlink r:id="rId1888" ref="AP407"/>
    <hyperlink r:id="rId1889" ref="AQ407"/>
    <hyperlink r:id="rId1890" ref="AR407"/>
    <hyperlink r:id="rId1891" ref="AT407"/>
    <hyperlink r:id="rId1892" ref="AU407"/>
    <hyperlink r:id="rId1893" ref="AN408"/>
    <hyperlink r:id="rId1894" ref="AO408"/>
    <hyperlink r:id="rId1895" ref="AP408"/>
    <hyperlink r:id="rId1896" ref="AQ408"/>
    <hyperlink r:id="rId1897" ref="AR408"/>
    <hyperlink r:id="rId1898" ref="AT408"/>
    <hyperlink r:id="rId1899" ref="AU408"/>
    <hyperlink r:id="rId1900" ref="AN409"/>
    <hyperlink r:id="rId1901" ref="AO409"/>
    <hyperlink r:id="rId1902" ref="AP409"/>
    <hyperlink r:id="rId1903" ref="AQ409"/>
    <hyperlink r:id="rId1904" ref="AR409"/>
    <hyperlink r:id="rId1905" ref="AT409"/>
    <hyperlink r:id="rId1906" ref="AU409"/>
    <hyperlink r:id="rId1907" ref="AN410"/>
    <hyperlink r:id="rId1908" ref="AO410"/>
    <hyperlink r:id="rId1909" ref="AP410"/>
    <hyperlink r:id="rId1910" ref="AQ410"/>
    <hyperlink r:id="rId1911" ref="AR410"/>
    <hyperlink r:id="rId1912" ref="AT410"/>
    <hyperlink r:id="rId1913" ref="AU410"/>
    <hyperlink r:id="rId1914" ref="AN411"/>
    <hyperlink r:id="rId1915" ref="AO411"/>
    <hyperlink r:id="rId1916" ref="AP411"/>
    <hyperlink r:id="rId1917" ref="AQ411"/>
    <hyperlink r:id="rId1918" ref="AR411"/>
    <hyperlink r:id="rId1919" ref="AT411"/>
    <hyperlink r:id="rId1920" ref="AU411"/>
    <hyperlink r:id="rId1921" ref="AN412"/>
    <hyperlink r:id="rId1922" ref="AO412"/>
    <hyperlink r:id="rId1923" ref="AP412"/>
    <hyperlink r:id="rId1924" ref="AQ412"/>
    <hyperlink r:id="rId1925" ref="AR412"/>
    <hyperlink r:id="rId1926" ref="AT412"/>
    <hyperlink r:id="rId1927" ref="AU412"/>
    <hyperlink r:id="rId1928" ref="AN413"/>
    <hyperlink r:id="rId1929" ref="AO413"/>
    <hyperlink r:id="rId1930" ref="AP413"/>
    <hyperlink r:id="rId1931" ref="AQ413"/>
    <hyperlink r:id="rId1932" ref="AR413"/>
    <hyperlink r:id="rId1933" ref="AT413"/>
    <hyperlink r:id="rId1934" ref="AU413"/>
    <hyperlink r:id="rId1935" ref="AN414"/>
    <hyperlink r:id="rId1936" ref="AO414"/>
    <hyperlink r:id="rId1937" ref="AP414"/>
    <hyperlink r:id="rId1938" ref="AQ414"/>
    <hyperlink r:id="rId1939" ref="AR414"/>
    <hyperlink r:id="rId1940" ref="AT414"/>
    <hyperlink r:id="rId1941" ref="AU414"/>
    <hyperlink r:id="rId1942" ref="AN415"/>
    <hyperlink r:id="rId1943" ref="AO415"/>
    <hyperlink r:id="rId1944" ref="AP415"/>
    <hyperlink r:id="rId1945" ref="AQ415"/>
    <hyperlink r:id="rId1946" ref="AR415"/>
    <hyperlink r:id="rId1947" ref="AT415"/>
    <hyperlink r:id="rId1948" ref="AU415"/>
    <hyperlink r:id="rId1949" ref="AN416"/>
    <hyperlink r:id="rId1950" ref="AO416"/>
    <hyperlink r:id="rId1951" ref="AP416"/>
    <hyperlink r:id="rId1952" ref="AQ416"/>
    <hyperlink r:id="rId1953" ref="AR416"/>
    <hyperlink r:id="rId1954" ref="AT416"/>
    <hyperlink r:id="rId1955" ref="AU416"/>
    <hyperlink r:id="rId1956" ref="AN417"/>
    <hyperlink r:id="rId1957" ref="AO417"/>
    <hyperlink r:id="rId1958" ref="AP417"/>
    <hyperlink r:id="rId1959" ref="AQ417"/>
    <hyperlink r:id="rId1960" ref="AR417"/>
    <hyperlink r:id="rId1961" ref="AT417"/>
    <hyperlink r:id="rId1962" ref="AU417"/>
    <hyperlink r:id="rId1963" ref="AN418"/>
    <hyperlink r:id="rId1964" ref="AO418"/>
    <hyperlink r:id="rId1965" ref="AP418"/>
    <hyperlink r:id="rId1966" ref="AQ418"/>
    <hyperlink r:id="rId1967" ref="AR418"/>
    <hyperlink r:id="rId1968" ref="AT418"/>
    <hyperlink r:id="rId1969" ref="AU418"/>
    <hyperlink r:id="rId1970" ref="AN419"/>
    <hyperlink r:id="rId1971" ref="AO419"/>
    <hyperlink r:id="rId1972" ref="AP419"/>
    <hyperlink r:id="rId1973" ref="AQ419"/>
    <hyperlink r:id="rId1974" ref="AR419"/>
    <hyperlink r:id="rId1975" ref="AT419"/>
    <hyperlink r:id="rId1976" ref="AU419"/>
    <hyperlink r:id="rId1977" ref="AN420"/>
    <hyperlink r:id="rId1978" ref="AO420"/>
    <hyperlink r:id="rId1979" ref="AP420"/>
    <hyperlink r:id="rId1980" ref="AQ420"/>
    <hyperlink r:id="rId1981" ref="AR420"/>
    <hyperlink r:id="rId1982" ref="AT420"/>
    <hyperlink r:id="rId1983" ref="AU420"/>
    <hyperlink r:id="rId1984" ref="AN421"/>
    <hyperlink r:id="rId1985" ref="AO421"/>
    <hyperlink r:id="rId1986" ref="AP421"/>
    <hyperlink r:id="rId1987" ref="AQ421"/>
    <hyperlink r:id="rId1988" ref="AR421"/>
    <hyperlink r:id="rId1989" ref="AT421"/>
    <hyperlink r:id="rId1990" ref="AU421"/>
    <hyperlink r:id="rId1991" ref="AN422"/>
    <hyperlink r:id="rId1992" ref="AO422"/>
    <hyperlink r:id="rId1993" ref="AP422"/>
    <hyperlink r:id="rId1994" ref="AQ422"/>
    <hyperlink r:id="rId1995" ref="AR422"/>
    <hyperlink r:id="rId1996" ref="AT422"/>
    <hyperlink r:id="rId1997" ref="AU422"/>
    <hyperlink r:id="rId1998" ref="AN423"/>
    <hyperlink r:id="rId1999" ref="AO423"/>
    <hyperlink r:id="rId2000" ref="AP423"/>
    <hyperlink r:id="rId2001" ref="AQ423"/>
    <hyperlink r:id="rId2002" ref="AR423"/>
    <hyperlink r:id="rId2003" ref="AT423"/>
    <hyperlink r:id="rId2004" ref="AU423"/>
    <hyperlink r:id="rId2005" ref="AN424"/>
    <hyperlink r:id="rId2006" ref="AO424"/>
    <hyperlink r:id="rId2007" ref="AP424"/>
    <hyperlink r:id="rId2008" ref="AQ424"/>
    <hyperlink r:id="rId2009" ref="AR424"/>
    <hyperlink r:id="rId2010" ref="AT424"/>
    <hyperlink r:id="rId2011" ref="AU424"/>
    <hyperlink r:id="rId2012" ref="AN425"/>
    <hyperlink r:id="rId2013" ref="AO425"/>
    <hyperlink r:id="rId2014" ref="AP425"/>
    <hyperlink r:id="rId2015" ref="AQ425"/>
    <hyperlink r:id="rId2016" ref="AR425"/>
    <hyperlink r:id="rId2017" ref="AT425"/>
    <hyperlink r:id="rId2018" ref="AU425"/>
    <hyperlink r:id="rId2019" ref="AN426"/>
    <hyperlink r:id="rId2020" ref="AO426"/>
    <hyperlink r:id="rId2021" ref="AQ426"/>
    <hyperlink r:id="rId2022" ref="AR426"/>
    <hyperlink r:id="rId2023" ref="AT426"/>
    <hyperlink r:id="rId2024" ref="AU426"/>
    <hyperlink r:id="rId2025" ref="AN427"/>
    <hyperlink r:id="rId2026" ref="AO427"/>
    <hyperlink r:id="rId2027" ref="AQ427"/>
    <hyperlink r:id="rId2028" ref="AR427"/>
    <hyperlink r:id="rId2029" ref="AT427"/>
    <hyperlink r:id="rId2030" ref="AU427"/>
    <hyperlink r:id="rId2031" ref="AN428"/>
    <hyperlink r:id="rId2032" ref="AO428"/>
    <hyperlink r:id="rId2033" ref="AP428"/>
    <hyperlink r:id="rId2034" ref="AQ428"/>
    <hyperlink r:id="rId2035" ref="AR428"/>
    <hyperlink r:id="rId2036" ref="AT428"/>
    <hyperlink r:id="rId2037" ref="AU428"/>
    <hyperlink r:id="rId2038" ref="AN429"/>
    <hyperlink r:id="rId2039" ref="AO429"/>
    <hyperlink r:id="rId2040" ref="AP429"/>
    <hyperlink r:id="rId2041" ref="AQ429"/>
    <hyperlink r:id="rId2042" ref="AR429"/>
    <hyperlink r:id="rId2043" ref="AT429"/>
    <hyperlink r:id="rId2044" ref="AU429"/>
    <hyperlink r:id="rId2045" ref="AN430"/>
    <hyperlink r:id="rId2046" ref="AO430"/>
    <hyperlink r:id="rId2047" ref="AP430"/>
    <hyperlink r:id="rId2048" ref="AQ430"/>
    <hyperlink r:id="rId2049" ref="AR430"/>
    <hyperlink r:id="rId2050" ref="AT430"/>
    <hyperlink r:id="rId2051" ref="AU430"/>
    <hyperlink r:id="rId2052" ref="AN431"/>
    <hyperlink r:id="rId2053" ref="AP431"/>
    <hyperlink r:id="rId2054" ref="AQ431"/>
    <hyperlink r:id="rId2055" ref="AR431"/>
    <hyperlink r:id="rId2056" ref="AT431"/>
    <hyperlink r:id="rId2057" ref="AU431"/>
    <hyperlink r:id="rId2058" ref="AN432"/>
    <hyperlink r:id="rId2059" ref="AP432"/>
    <hyperlink r:id="rId2060" ref="AQ432"/>
    <hyperlink r:id="rId2061" ref="AR432"/>
    <hyperlink r:id="rId2062" ref="AT432"/>
    <hyperlink r:id="rId2063" ref="AU432"/>
    <hyperlink r:id="rId2064" ref="AN433"/>
    <hyperlink r:id="rId2065" ref="AO433"/>
    <hyperlink r:id="rId2066" ref="AP433"/>
    <hyperlink r:id="rId2067" ref="AQ433"/>
    <hyperlink r:id="rId2068" ref="AR433"/>
    <hyperlink r:id="rId2069" ref="AT433"/>
    <hyperlink r:id="rId2070" ref="AU433"/>
    <hyperlink r:id="rId2071" ref="AN434"/>
    <hyperlink r:id="rId2072" ref="AO434"/>
    <hyperlink r:id="rId2073" ref="AP434"/>
    <hyperlink r:id="rId2074" ref="AQ434"/>
    <hyperlink r:id="rId2075" ref="AR434"/>
    <hyperlink r:id="rId2076" ref="AT434"/>
    <hyperlink r:id="rId2077" ref="AU434"/>
    <hyperlink r:id="rId2078" ref="AN435"/>
    <hyperlink r:id="rId2079" ref="AO435"/>
    <hyperlink r:id="rId2080" ref="AP435"/>
    <hyperlink r:id="rId2081" ref="AQ435"/>
    <hyperlink r:id="rId2082" ref="AR435"/>
    <hyperlink r:id="rId2083" ref="AT435"/>
    <hyperlink r:id="rId2084" ref="AU435"/>
    <hyperlink r:id="rId2085" ref="AN436"/>
    <hyperlink r:id="rId2086" ref="AO436"/>
    <hyperlink r:id="rId2087" ref="AP436"/>
    <hyperlink r:id="rId2088" ref="AQ436"/>
    <hyperlink r:id="rId2089" ref="AR436"/>
    <hyperlink r:id="rId2090" ref="AT436"/>
    <hyperlink r:id="rId2091" ref="AU436"/>
    <hyperlink r:id="rId2092" ref="AN437"/>
    <hyperlink r:id="rId2093" ref="AO437"/>
    <hyperlink r:id="rId2094" ref="AP437"/>
    <hyperlink r:id="rId2095" ref="AQ437"/>
    <hyperlink r:id="rId2096" ref="AR437"/>
    <hyperlink r:id="rId2097" ref="AT437"/>
    <hyperlink r:id="rId2098" ref="AU437"/>
    <hyperlink r:id="rId2099" ref="AN438"/>
    <hyperlink r:id="rId2100" ref="AO438"/>
    <hyperlink r:id="rId2101" ref="AP438"/>
    <hyperlink r:id="rId2102" ref="AQ438"/>
    <hyperlink r:id="rId2103" ref="AR438"/>
    <hyperlink r:id="rId2104" ref="AT438"/>
    <hyperlink r:id="rId2105" ref="AU438"/>
    <hyperlink r:id="rId2106" ref="AN439"/>
    <hyperlink r:id="rId2107" ref="AO439"/>
    <hyperlink r:id="rId2108" ref="AP439"/>
    <hyperlink r:id="rId2109" ref="AR439"/>
    <hyperlink r:id="rId2110" ref="AT439"/>
    <hyperlink r:id="rId2111" ref="AN440"/>
    <hyperlink r:id="rId2112" ref="AO440"/>
    <hyperlink r:id="rId2113" ref="AR440"/>
    <hyperlink r:id="rId2114" ref="AT440"/>
    <hyperlink r:id="rId2115" ref="AN441"/>
    <hyperlink r:id="rId2116" ref="AO441"/>
    <hyperlink r:id="rId2117" ref="AR441"/>
    <hyperlink r:id="rId2118" ref="AT441"/>
    <hyperlink r:id="rId2119" ref="AN442"/>
    <hyperlink r:id="rId2120" ref="AP442"/>
    <hyperlink r:id="rId2121" ref="AR442"/>
    <hyperlink r:id="rId2122" ref="AT442"/>
    <hyperlink r:id="rId2123" ref="AN443"/>
    <hyperlink r:id="rId2124" ref="AP443"/>
    <hyperlink r:id="rId2125" ref="AR443"/>
    <hyperlink r:id="rId2126" ref="AT443"/>
    <hyperlink r:id="rId2127" ref="AN444"/>
    <hyperlink r:id="rId2128" ref="AP444"/>
    <hyperlink r:id="rId2129" ref="AR444"/>
    <hyperlink r:id="rId2130" ref="AT444"/>
    <hyperlink r:id="rId2131" ref="AN445"/>
    <hyperlink r:id="rId2132" ref="AP445"/>
    <hyperlink r:id="rId2133" ref="AR445"/>
    <hyperlink r:id="rId2134" ref="AT445"/>
    <hyperlink r:id="rId2135" ref="AN446"/>
    <hyperlink r:id="rId2136" ref="AP446"/>
    <hyperlink r:id="rId2137" ref="AR446"/>
    <hyperlink r:id="rId2138" ref="AT446"/>
    <hyperlink r:id="rId2139" ref="AN447"/>
    <hyperlink r:id="rId2140" ref="AP447"/>
    <hyperlink r:id="rId2141" ref="AR447"/>
    <hyperlink r:id="rId2142" ref="AT447"/>
    <hyperlink r:id="rId2143" ref="AN448"/>
    <hyperlink r:id="rId2144" ref="AO448"/>
    <hyperlink r:id="rId2145" ref="AP448"/>
    <hyperlink r:id="rId2146" ref="AN449"/>
    <hyperlink r:id="rId2147" ref="AO449"/>
    <hyperlink r:id="rId2148" ref="AN450"/>
    <hyperlink r:id="rId2149" ref="AO450"/>
    <hyperlink r:id="rId2150" ref="AN451"/>
    <hyperlink r:id="rId2151" ref="AP451"/>
    <hyperlink r:id="rId2152" ref="AN452"/>
    <hyperlink r:id="rId2153" ref="AO452"/>
    <hyperlink r:id="rId2154" ref="AP452"/>
    <hyperlink r:id="rId2155" ref="AQ452"/>
    <hyperlink r:id="rId2156" ref="AR452"/>
    <hyperlink r:id="rId2157" ref="AT452"/>
    <hyperlink r:id="rId2158" ref="AU452"/>
    <hyperlink r:id="rId2159" ref="AN453"/>
    <hyperlink r:id="rId2160" ref="AO453"/>
    <hyperlink r:id="rId2161" ref="AP453"/>
    <hyperlink r:id="rId2162" ref="AQ453"/>
    <hyperlink r:id="rId2163" ref="AR453"/>
    <hyperlink r:id="rId2164" ref="AT453"/>
    <hyperlink r:id="rId2165" ref="AU453"/>
    <hyperlink r:id="rId2166" ref="AN454"/>
    <hyperlink r:id="rId2167" ref="AO454"/>
    <hyperlink r:id="rId2168" ref="AP454"/>
    <hyperlink r:id="rId2169" ref="AQ454"/>
    <hyperlink r:id="rId2170" ref="AR454"/>
    <hyperlink r:id="rId2171" ref="AT454"/>
    <hyperlink r:id="rId2172" ref="AU454"/>
    <hyperlink r:id="rId2173" ref="AN455"/>
    <hyperlink r:id="rId2174" ref="AO455"/>
    <hyperlink r:id="rId2175" ref="AP455"/>
    <hyperlink r:id="rId2176" ref="AQ455"/>
    <hyperlink r:id="rId2177" ref="AR455"/>
    <hyperlink r:id="rId2178" ref="AT455"/>
    <hyperlink r:id="rId2179" ref="AU455"/>
    <hyperlink r:id="rId2180" ref="AN456"/>
    <hyperlink r:id="rId2181" ref="AO456"/>
    <hyperlink r:id="rId2182" ref="AP456"/>
    <hyperlink r:id="rId2183" ref="AQ456"/>
    <hyperlink r:id="rId2184" ref="AR456"/>
    <hyperlink r:id="rId2185" ref="AT456"/>
    <hyperlink r:id="rId2186" ref="AU456"/>
    <hyperlink r:id="rId2187" ref="AN457"/>
    <hyperlink r:id="rId2188" ref="AO457"/>
    <hyperlink r:id="rId2189" ref="AP457"/>
    <hyperlink r:id="rId2190" ref="AQ457"/>
    <hyperlink r:id="rId2191" ref="AR457"/>
    <hyperlink r:id="rId2192" ref="AT457"/>
    <hyperlink r:id="rId2193" ref="AU457"/>
    <hyperlink r:id="rId2194" ref="AN458"/>
    <hyperlink r:id="rId2195" ref="AO458"/>
    <hyperlink r:id="rId2196" ref="AP458"/>
    <hyperlink r:id="rId2197" ref="AQ458"/>
    <hyperlink r:id="rId2198" ref="AR458"/>
    <hyperlink r:id="rId2199" ref="AT458"/>
    <hyperlink r:id="rId2200" ref="AU458"/>
    <hyperlink r:id="rId2201" ref="AN459"/>
    <hyperlink r:id="rId2202" ref="AO459"/>
    <hyperlink r:id="rId2203" ref="AP459"/>
    <hyperlink r:id="rId2204" ref="AQ459"/>
    <hyperlink r:id="rId2205" ref="AR459"/>
    <hyperlink r:id="rId2206" ref="AT459"/>
    <hyperlink r:id="rId2207" ref="AU459"/>
    <hyperlink r:id="rId2208" ref="AN460"/>
    <hyperlink r:id="rId2209" ref="AP460"/>
    <hyperlink r:id="rId2210" ref="AN461"/>
    <hyperlink r:id="rId2211" ref="AP461"/>
    <hyperlink r:id="rId2212" ref="AN462"/>
    <hyperlink r:id="rId2213" ref="AO462"/>
    <hyperlink r:id="rId2214" ref="AP462"/>
    <hyperlink r:id="rId2215" ref="AN463"/>
    <hyperlink r:id="rId2216" ref="AO463"/>
    <hyperlink r:id="rId2217" ref="AP463"/>
    <hyperlink r:id="rId2218" ref="AN464"/>
    <hyperlink r:id="rId2219" ref="AP464"/>
    <hyperlink r:id="rId2220" ref="AN465"/>
    <hyperlink r:id="rId2221" ref="AO465"/>
    <hyperlink r:id="rId2222" ref="AP465"/>
    <hyperlink r:id="rId2223" ref="AQ465"/>
    <hyperlink r:id="rId2224" ref="AR465"/>
    <hyperlink r:id="rId2225" ref="AT465"/>
    <hyperlink r:id="rId2226" ref="AN466"/>
    <hyperlink r:id="rId2227" ref="AO466"/>
    <hyperlink r:id="rId2228" ref="AP466"/>
    <hyperlink r:id="rId2229" ref="AQ466"/>
    <hyperlink r:id="rId2230" ref="AR466"/>
    <hyperlink r:id="rId2231" ref="AT466"/>
    <hyperlink r:id="rId2232" ref="AN467"/>
    <hyperlink r:id="rId2233" ref="AP467"/>
    <hyperlink r:id="rId2234" ref="AQ467"/>
    <hyperlink r:id="rId2235" ref="AR467"/>
    <hyperlink r:id="rId2236" ref="AT467"/>
    <hyperlink r:id="rId2237" ref="AN468"/>
    <hyperlink r:id="rId2238" ref="AP468"/>
    <hyperlink r:id="rId2239" ref="AQ468"/>
    <hyperlink r:id="rId2240" ref="AR468"/>
    <hyperlink r:id="rId2241" ref="AT468"/>
    <hyperlink r:id="rId2242" ref="AN469"/>
    <hyperlink r:id="rId2243" ref="AO469"/>
    <hyperlink r:id="rId2244" ref="AP469"/>
    <hyperlink r:id="rId2245" ref="AN470"/>
    <hyperlink r:id="rId2246" ref="AO470"/>
    <hyperlink r:id="rId2247" ref="AP470"/>
    <hyperlink r:id="rId2248" ref="AN471"/>
    <hyperlink r:id="rId2249" ref="AO471"/>
    <hyperlink r:id="rId2250" ref="AP471"/>
    <hyperlink r:id="rId2251" ref="AN472"/>
    <hyperlink r:id="rId2252" ref="AO472"/>
    <hyperlink r:id="rId2253" ref="AP472"/>
    <hyperlink r:id="rId2254" ref="AQ472"/>
    <hyperlink r:id="rId2255" ref="AR472"/>
    <hyperlink r:id="rId2256" ref="AT472"/>
    <hyperlink r:id="rId2257" ref="AU472"/>
    <hyperlink r:id="rId2258" ref="AN473"/>
    <hyperlink r:id="rId2259" ref="AO473"/>
    <hyperlink r:id="rId2260" ref="AP473"/>
    <hyperlink r:id="rId2261" ref="AQ473"/>
    <hyperlink r:id="rId2262" ref="AR473"/>
    <hyperlink r:id="rId2263" ref="AT473"/>
    <hyperlink r:id="rId2264" ref="AU473"/>
    <hyperlink r:id="rId2265" ref="AN474"/>
    <hyperlink r:id="rId2266" ref="AO474"/>
    <hyperlink r:id="rId2267" ref="AP474"/>
    <hyperlink r:id="rId2268" ref="AQ474"/>
    <hyperlink r:id="rId2269" ref="AR474"/>
    <hyperlink r:id="rId2270" ref="AT474"/>
    <hyperlink r:id="rId2271" ref="AU474"/>
    <hyperlink r:id="rId2272" ref="AN475"/>
    <hyperlink r:id="rId2273" ref="AO475"/>
    <hyperlink r:id="rId2274" ref="AP475"/>
    <hyperlink r:id="rId2275" ref="AQ475"/>
    <hyperlink r:id="rId2276" ref="AR475"/>
    <hyperlink r:id="rId2277" ref="AT475"/>
    <hyperlink r:id="rId2278" ref="AU475"/>
    <hyperlink r:id="rId2279" ref="AN476"/>
    <hyperlink r:id="rId2280" ref="AO476"/>
    <hyperlink r:id="rId2281" ref="AP476"/>
    <hyperlink r:id="rId2282" ref="AQ476"/>
    <hyperlink r:id="rId2283" ref="AR476"/>
    <hyperlink r:id="rId2284" ref="AT476"/>
    <hyperlink r:id="rId2285" ref="AU476"/>
    <hyperlink r:id="rId2286" ref="AN477"/>
    <hyperlink r:id="rId2287" ref="AO477"/>
    <hyperlink r:id="rId2288" ref="AP477"/>
    <hyperlink r:id="rId2289" ref="AQ477"/>
    <hyperlink r:id="rId2290" ref="AR477"/>
    <hyperlink r:id="rId2291" ref="AT477"/>
    <hyperlink r:id="rId2292" ref="AU477"/>
    <hyperlink r:id="rId2293" ref="AN478"/>
    <hyperlink r:id="rId2294" ref="AO478"/>
    <hyperlink r:id="rId2295" ref="AP478"/>
    <hyperlink r:id="rId2296" ref="AQ478"/>
    <hyperlink r:id="rId2297" ref="AR478"/>
    <hyperlink r:id="rId2298" ref="AT478"/>
    <hyperlink r:id="rId2299" ref="AU478"/>
    <hyperlink r:id="rId2300" ref="AN479"/>
    <hyperlink r:id="rId2301" ref="AO479"/>
    <hyperlink r:id="rId2302" ref="AP479"/>
    <hyperlink r:id="rId2303" ref="AQ479"/>
    <hyperlink r:id="rId2304" ref="AR479"/>
    <hyperlink r:id="rId2305" ref="AT479"/>
    <hyperlink r:id="rId2306" ref="AU479"/>
    <hyperlink r:id="rId2307" ref="AN480"/>
    <hyperlink r:id="rId2308" ref="AO480"/>
    <hyperlink r:id="rId2309" ref="AP480"/>
    <hyperlink r:id="rId2310" ref="AQ480"/>
    <hyperlink r:id="rId2311" ref="AR480"/>
    <hyperlink r:id="rId2312" ref="AT480"/>
    <hyperlink r:id="rId2313" ref="AU480"/>
    <hyperlink r:id="rId2314" ref="AN481"/>
    <hyperlink r:id="rId2315" ref="AO481"/>
    <hyperlink r:id="rId2316" ref="AP481"/>
    <hyperlink r:id="rId2317" ref="AQ481"/>
    <hyperlink r:id="rId2318" ref="AR481"/>
    <hyperlink r:id="rId2319" ref="AT481"/>
    <hyperlink r:id="rId2320" ref="AU481"/>
    <hyperlink r:id="rId2321" ref="AN482"/>
    <hyperlink r:id="rId2322" ref="AO482"/>
    <hyperlink r:id="rId2323" ref="AP482"/>
    <hyperlink r:id="rId2324" ref="AQ482"/>
    <hyperlink r:id="rId2325" ref="AR482"/>
    <hyperlink r:id="rId2326" ref="AT482"/>
    <hyperlink r:id="rId2327" ref="AU482"/>
    <hyperlink r:id="rId2328" ref="AN483"/>
    <hyperlink r:id="rId2329" ref="AO483"/>
    <hyperlink r:id="rId2330" ref="AP483"/>
    <hyperlink r:id="rId2331" ref="AQ483"/>
    <hyperlink r:id="rId2332" ref="AR483"/>
    <hyperlink r:id="rId2333" ref="AT483"/>
    <hyperlink r:id="rId2334" ref="AU483"/>
    <hyperlink r:id="rId2335" ref="AN484"/>
    <hyperlink r:id="rId2336" ref="AO484"/>
    <hyperlink r:id="rId2337" ref="AP484"/>
    <hyperlink r:id="rId2338" ref="AQ484"/>
    <hyperlink r:id="rId2339" ref="AR484"/>
    <hyperlink r:id="rId2340" ref="AT484"/>
    <hyperlink r:id="rId2341" ref="AU484"/>
    <hyperlink r:id="rId2342" ref="AN485"/>
    <hyperlink r:id="rId2343" ref="AO485"/>
    <hyperlink r:id="rId2344" ref="AP485"/>
    <hyperlink r:id="rId2345" ref="AQ485"/>
    <hyperlink r:id="rId2346" ref="AR485"/>
    <hyperlink r:id="rId2347" ref="AT485"/>
    <hyperlink r:id="rId2348" ref="AU485"/>
    <hyperlink r:id="rId2349" ref="AN486"/>
    <hyperlink r:id="rId2350" ref="AO486"/>
    <hyperlink r:id="rId2351" ref="AP486"/>
    <hyperlink r:id="rId2352" ref="AQ486"/>
    <hyperlink r:id="rId2353" ref="AR486"/>
    <hyperlink r:id="rId2354" ref="AT486"/>
    <hyperlink r:id="rId2355" ref="AU486"/>
    <hyperlink r:id="rId2356" ref="AN487"/>
    <hyperlink r:id="rId2357" ref="AO487"/>
    <hyperlink r:id="rId2358" ref="AP487"/>
    <hyperlink r:id="rId2359" ref="AQ487"/>
    <hyperlink r:id="rId2360" ref="AR487"/>
    <hyperlink r:id="rId2361" ref="AT487"/>
    <hyperlink r:id="rId2362" ref="AU487"/>
    <hyperlink r:id="rId2363" ref="AN488"/>
    <hyperlink r:id="rId2364" ref="AO488"/>
    <hyperlink r:id="rId2365" ref="AP488"/>
    <hyperlink r:id="rId2366" ref="AQ488"/>
    <hyperlink r:id="rId2367" ref="AR488"/>
    <hyperlink r:id="rId2368" ref="AT488"/>
    <hyperlink r:id="rId2369" ref="AU488"/>
    <hyperlink r:id="rId2370" ref="AN489"/>
    <hyperlink r:id="rId2371" ref="AO489"/>
    <hyperlink r:id="rId2372" ref="AP489"/>
    <hyperlink r:id="rId2373" ref="AQ489"/>
    <hyperlink r:id="rId2374" ref="AR489"/>
    <hyperlink r:id="rId2375" ref="AT489"/>
    <hyperlink r:id="rId2376" ref="AU489"/>
    <hyperlink r:id="rId2377" ref="AN490"/>
    <hyperlink r:id="rId2378" ref="AO490"/>
    <hyperlink r:id="rId2379" ref="AP490"/>
    <hyperlink r:id="rId2380" ref="AQ490"/>
    <hyperlink r:id="rId2381" ref="AR490"/>
    <hyperlink r:id="rId2382" ref="AT490"/>
    <hyperlink r:id="rId2383" ref="AU490"/>
    <hyperlink r:id="rId2384" ref="AN491"/>
    <hyperlink r:id="rId2385" ref="AO491"/>
    <hyperlink r:id="rId2386" ref="AP491"/>
    <hyperlink r:id="rId2387" ref="AQ491"/>
    <hyperlink r:id="rId2388" ref="AR491"/>
    <hyperlink r:id="rId2389" ref="AT491"/>
    <hyperlink r:id="rId2390" ref="AU491"/>
    <hyperlink r:id="rId2391" ref="AN492"/>
    <hyperlink r:id="rId2392" ref="AO492"/>
    <hyperlink r:id="rId2393" ref="AP492"/>
    <hyperlink r:id="rId2394" ref="AQ492"/>
    <hyperlink r:id="rId2395" ref="AR492"/>
    <hyperlink r:id="rId2396" ref="AT492"/>
    <hyperlink r:id="rId2397" ref="AU492"/>
    <hyperlink r:id="rId2398" ref="AN493"/>
    <hyperlink r:id="rId2399" ref="AO493"/>
    <hyperlink r:id="rId2400" ref="AP493"/>
    <hyperlink r:id="rId2401" ref="AQ493"/>
    <hyperlink r:id="rId2402" ref="AR493"/>
    <hyperlink r:id="rId2403" ref="AT493"/>
    <hyperlink r:id="rId2404" ref="AU493"/>
    <hyperlink r:id="rId2405" ref="AN494"/>
    <hyperlink r:id="rId2406" ref="AO494"/>
    <hyperlink r:id="rId2407" ref="AP494"/>
    <hyperlink r:id="rId2408" ref="AQ494"/>
    <hyperlink r:id="rId2409" ref="AR494"/>
    <hyperlink r:id="rId2410" ref="AT494"/>
    <hyperlink r:id="rId2411" ref="AU494"/>
    <hyperlink r:id="rId2412" ref="AN495"/>
    <hyperlink r:id="rId2413" ref="AO495"/>
    <hyperlink r:id="rId2414" ref="AP495"/>
    <hyperlink r:id="rId2415" ref="AQ495"/>
    <hyperlink r:id="rId2416" ref="AR495"/>
    <hyperlink r:id="rId2417" ref="AT495"/>
    <hyperlink r:id="rId2418" ref="AU495"/>
    <hyperlink r:id="rId2419" ref="AN496"/>
    <hyperlink r:id="rId2420" ref="AO496"/>
    <hyperlink r:id="rId2421" ref="AP496"/>
    <hyperlink r:id="rId2422" ref="AQ496"/>
    <hyperlink r:id="rId2423" ref="AR496"/>
    <hyperlink r:id="rId2424" ref="AT496"/>
    <hyperlink r:id="rId2425" ref="AN497"/>
    <hyperlink r:id="rId2426" ref="AP497"/>
    <hyperlink r:id="rId2427" ref="AQ497"/>
    <hyperlink r:id="rId2428" ref="AR497"/>
    <hyperlink r:id="rId2429" ref="AT497"/>
    <hyperlink r:id="rId2430" ref="AN498"/>
    <hyperlink r:id="rId2431" ref="AP498"/>
    <hyperlink r:id="rId2432" ref="AQ498"/>
    <hyperlink r:id="rId2433" ref="AR498"/>
    <hyperlink r:id="rId2434" ref="AT498"/>
    <hyperlink r:id="rId2435" ref="AN499"/>
    <hyperlink r:id="rId2436" ref="AO499"/>
    <hyperlink r:id="rId2437" ref="AP499"/>
    <hyperlink r:id="rId2438" ref="AQ499"/>
    <hyperlink r:id="rId2439" ref="AR499"/>
    <hyperlink r:id="rId2440" ref="AT499"/>
    <hyperlink r:id="rId2441" ref="AU499"/>
    <hyperlink r:id="rId2442" ref="AN500"/>
    <hyperlink r:id="rId2443" ref="AO500"/>
    <hyperlink r:id="rId2444" ref="AP500"/>
    <hyperlink r:id="rId2445" ref="AQ500"/>
    <hyperlink r:id="rId2446" ref="AR500"/>
    <hyperlink r:id="rId2447" ref="AT500"/>
    <hyperlink r:id="rId2448" ref="AU500"/>
    <hyperlink r:id="rId2449" ref="AN501"/>
    <hyperlink r:id="rId2450" ref="AO501"/>
    <hyperlink r:id="rId2451" ref="AP501"/>
    <hyperlink r:id="rId2452" ref="AQ501"/>
    <hyperlink r:id="rId2453" ref="AR501"/>
    <hyperlink r:id="rId2454" ref="AT501"/>
    <hyperlink r:id="rId2455" ref="AU501"/>
    <hyperlink r:id="rId2456" ref="AN502"/>
    <hyperlink r:id="rId2457" ref="AO502"/>
    <hyperlink r:id="rId2458" ref="AP502"/>
    <hyperlink r:id="rId2459" ref="AQ502"/>
    <hyperlink r:id="rId2460" ref="AR502"/>
    <hyperlink r:id="rId2461" ref="AT502"/>
    <hyperlink r:id="rId2462" ref="AU502"/>
    <hyperlink r:id="rId2463" ref="AN503"/>
    <hyperlink r:id="rId2464" ref="AO503"/>
    <hyperlink r:id="rId2465" ref="AP503"/>
    <hyperlink r:id="rId2466" ref="AQ503"/>
    <hyperlink r:id="rId2467" ref="AR503"/>
    <hyperlink r:id="rId2468" ref="AT503"/>
    <hyperlink r:id="rId2469" ref="AU503"/>
    <hyperlink r:id="rId2470" ref="AN504"/>
    <hyperlink r:id="rId2471" ref="AO504"/>
    <hyperlink r:id="rId2472" ref="AQ504"/>
    <hyperlink r:id="rId2473" ref="AR504"/>
    <hyperlink r:id="rId2474" ref="AT504"/>
    <hyperlink r:id="rId2475" ref="AU504"/>
    <hyperlink r:id="rId2476" ref="AN505"/>
    <hyperlink r:id="rId2477" ref="AO505"/>
    <hyperlink r:id="rId2478" ref="AQ505"/>
    <hyperlink r:id="rId2479" ref="AR505"/>
    <hyperlink r:id="rId2480" ref="AT505"/>
    <hyperlink r:id="rId2481" ref="AU505"/>
    <hyperlink r:id="rId2482" ref="AN506"/>
    <hyperlink r:id="rId2483" ref="AO506"/>
    <hyperlink r:id="rId2484" ref="AQ506"/>
    <hyperlink r:id="rId2485" ref="AR506"/>
    <hyperlink r:id="rId2486" ref="AT506"/>
    <hyperlink r:id="rId2487" ref="AU506"/>
    <hyperlink r:id="rId2488" ref="AN507"/>
    <hyperlink r:id="rId2489" ref="AO507"/>
    <hyperlink r:id="rId2490" ref="AQ507"/>
    <hyperlink r:id="rId2491" ref="AR507"/>
    <hyperlink r:id="rId2492" ref="AT507"/>
    <hyperlink r:id="rId2493" ref="AU507"/>
    <hyperlink r:id="rId2494" ref="AN508"/>
    <hyperlink r:id="rId2495" ref="AO508"/>
    <hyperlink r:id="rId2496" ref="AQ508"/>
    <hyperlink r:id="rId2497" ref="AR508"/>
    <hyperlink r:id="rId2498" ref="AT508"/>
    <hyperlink r:id="rId2499" ref="AU508"/>
    <hyperlink r:id="rId2500" ref="AN509"/>
    <hyperlink r:id="rId2501" ref="AP509"/>
    <hyperlink r:id="rId2502" ref="AR509"/>
    <hyperlink r:id="rId2503" ref="AT509"/>
    <hyperlink r:id="rId2504" ref="AU509"/>
    <hyperlink r:id="rId2505" ref="AN510"/>
    <hyperlink r:id="rId2506" ref="AP510"/>
    <hyperlink r:id="rId2507" ref="AR510"/>
    <hyperlink r:id="rId2508" ref="AT510"/>
    <hyperlink r:id="rId2509" ref="AU510"/>
    <hyperlink r:id="rId2510" ref="AN511"/>
    <hyperlink r:id="rId2511" ref="AP511"/>
    <hyperlink r:id="rId2512" ref="AR511"/>
    <hyperlink r:id="rId2513" ref="AT511"/>
    <hyperlink r:id="rId2514" ref="AU511"/>
    <hyperlink r:id="rId2515" ref="AN512"/>
    <hyperlink r:id="rId2516" ref="AP512"/>
    <hyperlink r:id="rId2517" ref="AR512"/>
    <hyperlink r:id="rId2518" ref="AT512"/>
    <hyperlink r:id="rId2519" ref="AU512"/>
    <hyperlink r:id="rId2520" ref="AP513"/>
    <hyperlink r:id="rId2521" ref="AN516"/>
    <hyperlink r:id="rId2522" ref="AO516"/>
    <hyperlink r:id="rId2523" ref="AP516"/>
    <hyperlink r:id="rId2524" ref="AQ516"/>
    <hyperlink r:id="rId2525" ref="AR516"/>
    <hyperlink r:id="rId2526" ref="AT516"/>
    <hyperlink r:id="rId2527" ref="AU516"/>
    <hyperlink r:id="rId2528" ref="AN517"/>
    <hyperlink r:id="rId2529" ref="AO517"/>
    <hyperlink r:id="rId2530" ref="AP517"/>
    <hyperlink r:id="rId2531" ref="AQ517"/>
    <hyperlink r:id="rId2532" ref="AR517"/>
    <hyperlink r:id="rId2533" ref="AT517"/>
    <hyperlink r:id="rId2534" ref="AU517"/>
    <hyperlink r:id="rId2535" ref="AN518"/>
    <hyperlink r:id="rId2536" ref="AO518"/>
    <hyperlink r:id="rId2537" ref="AP518"/>
    <hyperlink r:id="rId2538" ref="AQ518"/>
    <hyperlink r:id="rId2539" ref="AR518"/>
    <hyperlink r:id="rId2540" ref="AT518"/>
    <hyperlink r:id="rId2541" ref="AU518"/>
    <hyperlink r:id="rId2542" ref="AN519"/>
    <hyperlink r:id="rId2543" ref="AO519"/>
    <hyperlink r:id="rId2544" ref="AP519"/>
    <hyperlink r:id="rId2545" ref="AQ519"/>
    <hyperlink r:id="rId2546" ref="AR519"/>
    <hyperlink r:id="rId2547" ref="AT519"/>
    <hyperlink r:id="rId2548" ref="AU519"/>
    <hyperlink r:id="rId2549" ref="AN520"/>
    <hyperlink r:id="rId2550" ref="AO520"/>
    <hyperlink r:id="rId2551" ref="AP520"/>
    <hyperlink r:id="rId2552" ref="AQ520"/>
    <hyperlink r:id="rId2553" ref="AR520"/>
    <hyperlink r:id="rId2554" ref="AT520"/>
    <hyperlink r:id="rId2555" ref="AU520"/>
    <hyperlink r:id="rId2556" ref="AN521"/>
    <hyperlink r:id="rId2557" ref="AO521"/>
    <hyperlink r:id="rId2558" ref="AP521"/>
    <hyperlink r:id="rId2559" ref="AQ521"/>
    <hyperlink r:id="rId2560" ref="AR521"/>
    <hyperlink r:id="rId2561" ref="AT521"/>
    <hyperlink r:id="rId2562" ref="AU521"/>
    <hyperlink r:id="rId2563" ref="AN522"/>
    <hyperlink r:id="rId2564" ref="AO522"/>
    <hyperlink r:id="rId2565" ref="AP522"/>
    <hyperlink r:id="rId2566" ref="AQ522"/>
    <hyperlink r:id="rId2567" ref="AR522"/>
    <hyperlink r:id="rId2568" ref="AT522"/>
    <hyperlink r:id="rId2569" ref="AU522"/>
    <hyperlink r:id="rId2570" ref="AN523"/>
    <hyperlink r:id="rId2571" ref="AO523"/>
    <hyperlink r:id="rId2572" ref="AP523"/>
    <hyperlink r:id="rId2573" ref="AQ523"/>
    <hyperlink r:id="rId2574" ref="AR523"/>
    <hyperlink r:id="rId2575" ref="AT523"/>
    <hyperlink r:id="rId2576" ref="AU523"/>
    <hyperlink r:id="rId2577" ref="AN524"/>
    <hyperlink r:id="rId2578" ref="AO524"/>
    <hyperlink r:id="rId2579" ref="AP524"/>
    <hyperlink r:id="rId2580" ref="AQ524"/>
    <hyperlink r:id="rId2581" ref="AR524"/>
    <hyperlink r:id="rId2582" ref="AT524"/>
    <hyperlink r:id="rId2583" ref="AU524"/>
    <hyperlink r:id="rId2584" ref="AN525"/>
    <hyperlink r:id="rId2585" ref="AO525"/>
    <hyperlink r:id="rId2586" ref="AP525"/>
    <hyperlink r:id="rId2587" ref="AQ525"/>
    <hyperlink r:id="rId2588" ref="AR525"/>
    <hyperlink r:id="rId2589" ref="AT525"/>
    <hyperlink r:id="rId2590" ref="AU525"/>
    <hyperlink r:id="rId2591" ref="AN526"/>
    <hyperlink r:id="rId2592" ref="AO526"/>
    <hyperlink r:id="rId2593" ref="AP526"/>
    <hyperlink r:id="rId2594" ref="AQ526"/>
    <hyperlink r:id="rId2595" ref="AR526"/>
    <hyperlink r:id="rId2596" ref="AT526"/>
    <hyperlink r:id="rId2597" ref="AN527"/>
    <hyperlink r:id="rId2598" ref="AO527"/>
    <hyperlink r:id="rId2599" ref="AP527"/>
    <hyperlink r:id="rId2600" ref="AQ527"/>
    <hyperlink r:id="rId2601" ref="AR527"/>
    <hyperlink r:id="rId2602" ref="AT527"/>
    <hyperlink r:id="rId2603" ref="AN528"/>
    <hyperlink r:id="rId2604" ref="AO528"/>
    <hyperlink r:id="rId2605" ref="AP528"/>
    <hyperlink r:id="rId2606" ref="AQ528"/>
    <hyperlink r:id="rId2607" ref="AR528"/>
    <hyperlink r:id="rId2608" ref="AT528"/>
    <hyperlink r:id="rId2609" ref="AU528"/>
    <hyperlink r:id="rId2610" ref="AN529"/>
    <hyperlink r:id="rId2611" ref="AO529"/>
    <hyperlink r:id="rId2612" ref="AP529"/>
    <hyperlink r:id="rId2613" ref="AQ529"/>
    <hyperlink r:id="rId2614" ref="AR529"/>
    <hyperlink r:id="rId2615" ref="AT529"/>
    <hyperlink r:id="rId2616" ref="AU529"/>
    <hyperlink r:id="rId2617" ref="AN530"/>
    <hyperlink r:id="rId2618" ref="AO530"/>
    <hyperlink r:id="rId2619" ref="AP530"/>
    <hyperlink r:id="rId2620" ref="AQ530"/>
    <hyperlink r:id="rId2621" ref="AR530"/>
    <hyperlink r:id="rId2622" ref="AT530"/>
    <hyperlink r:id="rId2623" ref="AU530"/>
    <hyperlink r:id="rId2624" ref="AN531"/>
    <hyperlink r:id="rId2625" ref="AO531"/>
    <hyperlink r:id="rId2626" ref="AP531"/>
    <hyperlink r:id="rId2627" ref="AQ531"/>
    <hyperlink r:id="rId2628" ref="AR531"/>
    <hyperlink r:id="rId2629" ref="AT531"/>
    <hyperlink r:id="rId2630" ref="AU531"/>
    <hyperlink r:id="rId2631" ref="AN532"/>
    <hyperlink r:id="rId2632" ref="AO532"/>
    <hyperlink r:id="rId2633" ref="AP532"/>
    <hyperlink r:id="rId2634" ref="AQ532"/>
    <hyperlink r:id="rId2635" ref="AR532"/>
    <hyperlink r:id="rId2636" ref="AT532"/>
    <hyperlink r:id="rId2637" ref="AU532"/>
    <hyperlink r:id="rId2638" ref="AN533"/>
    <hyperlink r:id="rId2639" ref="AO533"/>
    <hyperlink r:id="rId2640" ref="AP533"/>
    <hyperlink r:id="rId2641" ref="AQ533"/>
    <hyperlink r:id="rId2642" ref="AR533"/>
    <hyperlink r:id="rId2643" ref="AT533"/>
    <hyperlink r:id="rId2644" ref="AU533"/>
    <hyperlink r:id="rId2645" ref="AN534"/>
    <hyperlink r:id="rId2646" ref="AO534"/>
    <hyperlink r:id="rId2647" ref="AP534"/>
    <hyperlink r:id="rId2648" ref="AQ534"/>
    <hyperlink r:id="rId2649" ref="AR534"/>
    <hyperlink r:id="rId2650" ref="AT534"/>
    <hyperlink r:id="rId2651" ref="AU534"/>
    <hyperlink r:id="rId2652" ref="AN535"/>
    <hyperlink r:id="rId2653" ref="AO535"/>
    <hyperlink r:id="rId2654" ref="AP535"/>
    <hyperlink r:id="rId2655" ref="AQ535"/>
    <hyperlink r:id="rId2656" ref="AR535"/>
    <hyperlink r:id="rId2657" ref="AT535"/>
    <hyperlink r:id="rId2658" ref="AU535"/>
    <hyperlink r:id="rId2659" ref="AN536"/>
    <hyperlink r:id="rId2660" ref="AO536"/>
    <hyperlink r:id="rId2661" ref="AP536"/>
    <hyperlink r:id="rId2662" ref="AQ536"/>
    <hyperlink r:id="rId2663" ref="AR536"/>
    <hyperlink r:id="rId2664" ref="AT536"/>
    <hyperlink r:id="rId2665" ref="AU536"/>
    <hyperlink r:id="rId2666" ref="AN537"/>
    <hyperlink r:id="rId2667" ref="AO537"/>
    <hyperlink r:id="rId2668" ref="AP537"/>
    <hyperlink r:id="rId2669" ref="AQ537"/>
    <hyperlink r:id="rId2670" ref="AR537"/>
    <hyperlink r:id="rId2671" ref="AT537"/>
    <hyperlink r:id="rId2672" ref="AU537"/>
    <hyperlink r:id="rId2673" ref="AN538"/>
    <hyperlink r:id="rId2674" ref="AO538"/>
    <hyperlink r:id="rId2675" ref="AP538"/>
    <hyperlink r:id="rId2676" ref="AQ538"/>
    <hyperlink r:id="rId2677" ref="AR538"/>
    <hyperlink r:id="rId2678" ref="AT538"/>
    <hyperlink r:id="rId2679" ref="AU538"/>
    <hyperlink r:id="rId2680" ref="AN539"/>
    <hyperlink r:id="rId2681" ref="AO539"/>
    <hyperlink r:id="rId2682" ref="AP539"/>
    <hyperlink r:id="rId2683" ref="AQ539"/>
    <hyperlink r:id="rId2684" ref="AR539"/>
    <hyperlink r:id="rId2685" ref="AT539"/>
    <hyperlink r:id="rId2686" ref="AU539"/>
    <hyperlink r:id="rId2687" ref="AN540"/>
    <hyperlink r:id="rId2688" ref="AO540"/>
    <hyperlink r:id="rId2689" ref="AP540"/>
    <hyperlink r:id="rId2690" ref="AQ540"/>
    <hyperlink r:id="rId2691" ref="AR540"/>
    <hyperlink r:id="rId2692" ref="AT540"/>
    <hyperlink r:id="rId2693" ref="AU540"/>
    <hyperlink r:id="rId2694" ref="AN541"/>
    <hyperlink r:id="rId2695" ref="AO541"/>
    <hyperlink r:id="rId2696" ref="AP541"/>
    <hyperlink r:id="rId2697" ref="AQ541"/>
    <hyperlink r:id="rId2698" ref="AR541"/>
    <hyperlink r:id="rId2699" ref="AT541"/>
    <hyperlink r:id="rId2700" ref="AU541"/>
    <hyperlink r:id="rId2701" ref="AN542"/>
    <hyperlink r:id="rId2702" ref="AP542"/>
    <hyperlink r:id="rId2703" ref="AQ542"/>
    <hyperlink r:id="rId2704" ref="AR542"/>
    <hyperlink r:id="rId2705" ref="AT542"/>
    <hyperlink r:id="rId2706" ref="AU542"/>
    <hyperlink r:id="rId2707" ref="AN543"/>
    <hyperlink r:id="rId2708" ref="AP543"/>
    <hyperlink r:id="rId2709" ref="AQ543"/>
    <hyperlink r:id="rId2710" ref="AR543"/>
    <hyperlink r:id="rId2711" ref="AT543"/>
    <hyperlink r:id="rId2712" ref="AU543"/>
    <hyperlink r:id="rId2713" ref="AN544"/>
    <hyperlink r:id="rId2714" ref="AO544"/>
    <hyperlink r:id="rId2715" ref="AP544"/>
    <hyperlink r:id="rId2716" ref="AQ544"/>
    <hyperlink r:id="rId2717" ref="AR544"/>
    <hyperlink r:id="rId2718" ref="AT544"/>
    <hyperlink r:id="rId2719" ref="AU544"/>
    <hyperlink r:id="rId2720" ref="AN545"/>
    <hyperlink r:id="rId2721" ref="AO545"/>
    <hyperlink r:id="rId2722" ref="AP545"/>
    <hyperlink r:id="rId2723" ref="AQ545"/>
    <hyperlink r:id="rId2724" ref="AR545"/>
    <hyperlink r:id="rId2725" ref="AT545"/>
    <hyperlink r:id="rId2726" ref="AU545"/>
    <hyperlink r:id="rId2727" ref="AN546"/>
    <hyperlink r:id="rId2728" ref="AO546"/>
    <hyperlink r:id="rId2729" ref="AP546"/>
    <hyperlink r:id="rId2730" ref="AQ546"/>
    <hyperlink r:id="rId2731" ref="AR546"/>
    <hyperlink r:id="rId2732" ref="AT546"/>
    <hyperlink r:id="rId2733" ref="AU546"/>
    <hyperlink r:id="rId2734" ref="AN547"/>
    <hyperlink r:id="rId2735" ref="AO547"/>
    <hyperlink r:id="rId2736" ref="AP547"/>
    <hyperlink r:id="rId2737" ref="AQ547"/>
    <hyperlink r:id="rId2738" ref="AR547"/>
    <hyperlink r:id="rId2739" ref="AT547"/>
    <hyperlink r:id="rId2740" ref="AU547"/>
    <hyperlink r:id="rId2741" ref="AN548"/>
    <hyperlink r:id="rId2742" ref="AO548"/>
    <hyperlink r:id="rId2743" ref="AP548"/>
    <hyperlink r:id="rId2744" ref="AQ548"/>
    <hyperlink r:id="rId2745" ref="AR548"/>
    <hyperlink r:id="rId2746" ref="AT548"/>
    <hyperlink r:id="rId2747" ref="AU548"/>
    <hyperlink r:id="rId2748" ref="AN549"/>
    <hyperlink r:id="rId2749" ref="AO549"/>
    <hyperlink r:id="rId2750" ref="AP549"/>
    <hyperlink r:id="rId2751" ref="AQ549"/>
    <hyperlink r:id="rId2752" ref="AR549"/>
    <hyperlink r:id="rId2753" ref="AT549"/>
    <hyperlink r:id="rId2754" ref="AU549"/>
    <hyperlink r:id="rId2755" ref="AN550"/>
    <hyperlink r:id="rId2756" ref="AO550"/>
    <hyperlink r:id="rId2757" ref="AP550"/>
    <hyperlink r:id="rId2758" ref="AQ550"/>
    <hyperlink r:id="rId2759" ref="AR550"/>
    <hyperlink r:id="rId2760" ref="AT550"/>
    <hyperlink r:id="rId2761" ref="AU550"/>
    <hyperlink r:id="rId2762" ref="AN551"/>
    <hyperlink r:id="rId2763" ref="AO551"/>
    <hyperlink r:id="rId2764" ref="AP551"/>
    <hyperlink r:id="rId2765" ref="AQ551"/>
    <hyperlink r:id="rId2766" ref="AR551"/>
    <hyperlink r:id="rId2767" ref="AT551"/>
    <hyperlink r:id="rId2768" ref="AU551"/>
    <hyperlink r:id="rId2769" ref="AN552"/>
    <hyperlink r:id="rId2770" ref="AO552"/>
    <hyperlink r:id="rId2771" ref="AP552"/>
    <hyperlink r:id="rId2772" ref="AQ552"/>
    <hyperlink r:id="rId2773" ref="AR552"/>
    <hyperlink r:id="rId2774" ref="AT552"/>
    <hyperlink r:id="rId2775" ref="AU552"/>
    <hyperlink r:id="rId2776" ref="AN553"/>
    <hyperlink r:id="rId2777" ref="AP553"/>
    <hyperlink r:id="rId2778" ref="AQ553"/>
    <hyperlink r:id="rId2779" ref="AR553"/>
    <hyperlink r:id="rId2780" ref="AN554"/>
    <hyperlink r:id="rId2781" ref="AP554"/>
    <hyperlink r:id="rId2782" ref="AQ554"/>
    <hyperlink r:id="rId2783" ref="AR554"/>
    <hyperlink r:id="rId2784" ref="AN555"/>
    <hyperlink r:id="rId2785" ref="AP555"/>
    <hyperlink r:id="rId2786" ref="AQ555"/>
    <hyperlink r:id="rId2787" ref="AR555"/>
    <hyperlink r:id="rId2788" ref="AN556"/>
    <hyperlink r:id="rId2789" ref="AP556"/>
    <hyperlink r:id="rId2790" ref="AQ556"/>
    <hyperlink r:id="rId2791" ref="AR556"/>
    <hyperlink r:id="rId2792" ref="AN557"/>
    <hyperlink r:id="rId2793" ref="AP557"/>
    <hyperlink r:id="rId2794" ref="AQ557"/>
    <hyperlink r:id="rId2795" ref="AR557"/>
    <hyperlink r:id="rId2796" ref="AN558"/>
    <hyperlink r:id="rId2797" ref="AP558"/>
    <hyperlink r:id="rId2798" ref="AQ558"/>
    <hyperlink r:id="rId2799" ref="AR558"/>
    <hyperlink r:id="rId2800" ref="AN559"/>
    <hyperlink r:id="rId2801" ref="AO559"/>
    <hyperlink r:id="rId2802" ref="AP559"/>
    <hyperlink r:id="rId2803" ref="AQ559"/>
    <hyperlink r:id="rId2804" ref="AR559"/>
    <hyperlink r:id="rId2805" ref="AT559"/>
    <hyperlink r:id="rId2806" ref="AU559"/>
    <hyperlink r:id="rId2807" ref="AN560"/>
    <hyperlink r:id="rId2808" ref="AO560"/>
    <hyperlink r:id="rId2809" ref="AQ560"/>
    <hyperlink r:id="rId2810" ref="AR560"/>
    <hyperlink r:id="rId2811" ref="AT560"/>
    <hyperlink r:id="rId2812" ref="AU560"/>
    <hyperlink r:id="rId2813" ref="AN561"/>
    <hyperlink r:id="rId2814" ref="AO561"/>
    <hyperlink r:id="rId2815" ref="AQ561"/>
    <hyperlink r:id="rId2816" ref="AR561"/>
    <hyperlink r:id="rId2817" ref="AT561"/>
    <hyperlink r:id="rId2818" ref="AU561"/>
    <hyperlink r:id="rId2819" ref="AN562"/>
    <hyperlink r:id="rId2820" ref="AO562"/>
    <hyperlink r:id="rId2821" ref="AP562"/>
    <hyperlink r:id="rId2822" ref="AQ562"/>
    <hyperlink r:id="rId2823" ref="AR562"/>
    <hyperlink r:id="rId2824" ref="AT562"/>
    <hyperlink r:id="rId2825" ref="AU562"/>
    <hyperlink r:id="rId2826" ref="AN563"/>
    <hyperlink r:id="rId2827" ref="AO563"/>
    <hyperlink r:id="rId2828" ref="AP563"/>
    <hyperlink r:id="rId2829" ref="AQ563"/>
    <hyperlink r:id="rId2830" ref="AR563"/>
    <hyperlink r:id="rId2831" ref="AT563"/>
    <hyperlink r:id="rId2832" ref="AU563"/>
    <hyperlink r:id="rId2833" ref="AN564"/>
    <hyperlink r:id="rId2834" ref="AO564"/>
    <hyperlink r:id="rId2835" ref="AQ564"/>
    <hyperlink r:id="rId2836" ref="AR564"/>
    <hyperlink r:id="rId2837" ref="AT564"/>
    <hyperlink r:id="rId2838" ref="AU564"/>
    <hyperlink r:id="rId2839" ref="AN565"/>
    <hyperlink r:id="rId2840" ref="AO565"/>
    <hyperlink r:id="rId2841" ref="AP565"/>
    <hyperlink r:id="rId2842" ref="AQ565"/>
    <hyperlink r:id="rId2843" ref="AR565"/>
    <hyperlink r:id="rId2844" ref="AT565"/>
    <hyperlink r:id="rId2845" ref="AU565"/>
    <hyperlink r:id="rId2846" ref="AN566"/>
    <hyperlink r:id="rId2847" ref="AO566"/>
    <hyperlink r:id="rId2848" ref="AQ566"/>
    <hyperlink r:id="rId2849" ref="AR566"/>
    <hyperlink r:id="rId2850" ref="AT566"/>
    <hyperlink r:id="rId2851" ref="AU566"/>
    <hyperlink r:id="rId2852" ref="AN567"/>
    <hyperlink r:id="rId2853" ref="AO567"/>
    <hyperlink r:id="rId2854" ref="AP567"/>
    <hyperlink r:id="rId2855" ref="AQ567"/>
    <hyperlink r:id="rId2856" ref="AR567"/>
    <hyperlink r:id="rId2857" ref="AT567"/>
    <hyperlink r:id="rId2858" ref="AU567"/>
    <hyperlink r:id="rId2859" ref="AN568"/>
    <hyperlink r:id="rId2860" ref="AO568"/>
    <hyperlink r:id="rId2861" ref="AP568"/>
    <hyperlink r:id="rId2862" ref="AQ568"/>
    <hyperlink r:id="rId2863" ref="AR568"/>
    <hyperlink r:id="rId2864" ref="AT568"/>
    <hyperlink r:id="rId2865" ref="AU568"/>
    <hyperlink r:id="rId2866" ref="AN569"/>
    <hyperlink r:id="rId2867" ref="AO569"/>
    <hyperlink r:id="rId2868" ref="AP569"/>
    <hyperlink r:id="rId2869" ref="AQ569"/>
    <hyperlink r:id="rId2870" ref="AR569"/>
    <hyperlink r:id="rId2871" ref="AT569"/>
    <hyperlink r:id="rId2872" ref="AU569"/>
    <hyperlink r:id="rId2873" ref="AN570"/>
    <hyperlink r:id="rId2874" ref="AO570"/>
    <hyperlink r:id="rId2875" ref="AP570"/>
    <hyperlink r:id="rId2876" ref="AQ570"/>
    <hyperlink r:id="rId2877" ref="AR570"/>
    <hyperlink r:id="rId2878" ref="AT570"/>
    <hyperlink r:id="rId2879" ref="AU570"/>
    <hyperlink r:id="rId2880" ref="AN571"/>
    <hyperlink r:id="rId2881" ref="AO571"/>
    <hyperlink r:id="rId2882" ref="AP571"/>
    <hyperlink r:id="rId2883" ref="AQ571"/>
    <hyperlink r:id="rId2884" ref="AR571"/>
    <hyperlink r:id="rId2885" ref="AT571"/>
    <hyperlink r:id="rId2886" ref="AU571"/>
    <hyperlink r:id="rId2887" ref="AN572"/>
    <hyperlink r:id="rId2888" ref="AO572"/>
    <hyperlink r:id="rId2889" ref="AP572"/>
    <hyperlink r:id="rId2890" ref="AQ572"/>
    <hyperlink r:id="rId2891" ref="AR572"/>
    <hyperlink r:id="rId2892" ref="AT572"/>
    <hyperlink r:id="rId2893" ref="AU572"/>
    <hyperlink r:id="rId2894" ref="AN573"/>
    <hyperlink r:id="rId2895" ref="AO573"/>
    <hyperlink r:id="rId2896" ref="AP573"/>
    <hyperlink r:id="rId2897" ref="AQ573"/>
    <hyperlink r:id="rId2898" ref="AR573"/>
    <hyperlink r:id="rId2899" ref="AT573"/>
    <hyperlink r:id="rId2900" ref="AU573"/>
    <hyperlink r:id="rId2901" ref="AN574"/>
    <hyperlink r:id="rId2902" ref="AO574"/>
    <hyperlink r:id="rId2903" ref="AP574"/>
    <hyperlink r:id="rId2904" ref="AQ574"/>
    <hyperlink r:id="rId2905" ref="AR574"/>
    <hyperlink r:id="rId2906" ref="AT574"/>
    <hyperlink r:id="rId2907" ref="AU574"/>
    <hyperlink r:id="rId2908" ref="AN575"/>
    <hyperlink r:id="rId2909" ref="AO575"/>
    <hyperlink r:id="rId2910" ref="AP575"/>
    <hyperlink r:id="rId2911" ref="AQ575"/>
    <hyperlink r:id="rId2912" ref="AR575"/>
    <hyperlink r:id="rId2913" ref="AT575"/>
    <hyperlink r:id="rId2914" ref="AU575"/>
    <hyperlink r:id="rId2915" ref="AN576"/>
    <hyperlink r:id="rId2916" ref="AO576"/>
    <hyperlink r:id="rId2917" ref="AP576"/>
    <hyperlink r:id="rId2918" ref="AQ576"/>
    <hyperlink r:id="rId2919" ref="AR576"/>
    <hyperlink r:id="rId2920" ref="AT576"/>
    <hyperlink r:id="rId2921" ref="AU576"/>
    <hyperlink r:id="rId2922" ref="AN577"/>
    <hyperlink r:id="rId2923" ref="AO577"/>
    <hyperlink r:id="rId2924" ref="AP577"/>
    <hyperlink r:id="rId2925" ref="AQ577"/>
    <hyperlink r:id="rId2926" ref="AR577"/>
    <hyperlink r:id="rId2927" ref="AT577"/>
    <hyperlink r:id="rId2928" ref="AU577"/>
    <hyperlink r:id="rId2929" ref="AN578"/>
    <hyperlink r:id="rId2930" ref="AO578"/>
    <hyperlink r:id="rId2931" ref="AP578"/>
    <hyperlink r:id="rId2932" ref="AQ578"/>
    <hyperlink r:id="rId2933" ref="AR578"/>
    <hyperlink r:id="rId2934" ref="AT578"/>
    <hyperlink r:id="rId2935" ref="AU578"/>
    <hyperlink r:id="rId2936" ref="AN579"/>
    <hyperlink r:id="rId2937" ref="AO579"/>
    <hyperlink r:id="rId2938" ref="AP579"/>
    <hyperlink r:id="rId2939" ref="AQ579"/>
    <hyperlink r:id="rId2940" ref="AR579"/>
    <hyperlink r:id="rId2941" ref="AT579"/>
    <hyperlink r:id="rId2942" ref="AU579"/>
    <hyperlink r:id="rId2943" ref="AN580"/>
    <hyperlink r:id="rId2944" ref="AO580"/>
    <hyperlink r:id="rId2945" ref="AP580"/>
    <hyperlink r:id="rId2946" ref="AQ580"/>
    <hyperlink r:id="rId2947" ref="AR580"/>
    <hyperlink r:id="rId2948" ref="AT580"/>
    <hyperlink r:id="rId2949" ref="AU580"/>
    <hyperlink r:id="rId2950" ref="AN581"/>
    <hyperlink r:id="rId2951" ref="AO581"/>
    <hyperlink r:id="rId2952" ref="AP581"/>
    <hyperlink r:id="rId2953" ref="AQ581"/>
    <hyperlink r:id="rId2954" ref="AR581"/>
    <hyperlink r:id="rId2955" ref="AT581"/>
    <hyperlink r:id="rId2956" ref="AU581"/>
    <hyperlink r:id="rId2957" ref="AN582"/>
    <hyperlink r:id="rId2958" ref="AO582"/>
    <hyperlink r:id="rId2959" ref="AP582"/>
    <hyperlink r:id="rId2960" ref="AQ582"/>
    <hyperlink r:id="rId2961" ref="AR582"/>
    <hyperlink r:id="rId2962" ref="AT582"/>
    <hyperlink r:id="rId2963" ref="AU582"/>
    <hyperlink r:id="rId2964" ref="AN583"/>
    <hyperlink r:id="rId2965" ref="AO583"/>
    <hyperlink r:id="rId2966" ref="AP583"/>
    <hyperlink r:id="rId2967" ref="AQ583"/>
    <hyperlink r:id="rId2968" ref="AR583"/>
    <hyperlink r:id="rId2969" ref="AT583"/>
    <hyperlink r:id="rId2970" ref="AU583"/>
    <hyperlink r:id="rId2971" ref="AN584"/>
    <hyperlink r:id="rId2972" ref="AO584"/>
    <hyperlink r:id="rId2973" ref="AP584"/>
    <hyperlink r:id="rId2974" ref="AQ584"/>
    <hyperlink r:id="rId2975" ref="AR584"/>
    <hyperlink r:id="rId2976" ref="AT584"/>
    <hyperlink r:id="rId2977" ref="AU584"/>
    <hyperlink r:id="rId2978" ref="AN585"/>
    <hyperlink r:id="rId2979" ref="AO585"/>
    <hyperlink r:id="rId2980" ref="AP585"/>
    <hyperlink r:id="rId2981" ref="AQ585"/>
    <hyperlink r:id="rId2982" ref="AR585"/>
    <hyperlink r:id="rId2983" ref="AT585"/>
    <hyperlink r:id="rId2984" ref="AU585"/>
    <hyperlink r:id="rId2985" ref="AN586"/>
    <hyperlink r:id="rId2986" ref="AO586"/>
    <hyperlink r:id="rId2987" ref="AP586"/>
    <hyperlink r:id="rId2988" ref="AQ586"/>
    <hyperlink r:id="rId2989" ref="AR586"/>
    <hyperlink r:id="rId2990" ref="AT586"/>
    <hyperlink r:id="rId2991" ref="AU586"/>
    <hyperlink r:id="rId2992" ref="AN587"/>
    <hyperlink r:id="rId2993" ref="AO587"/>
    <hyperlink r:id="rId2994" ref="AP587"/>
    <hyperlink r:id="rId2995" ref="AQ587"/>
    <hyperlink r:id="rId2996" ref="AR587"/>
    <hyperlink r:id="rId2997" ref="AT587"/>
    <hyperlink r:id="rId2998" ref="AU587"/>
    <hyperlink r:id="rId2999" ref="AN588"/>
    <hyperlink r:id="rId3000" ref="AO588"/>
    <hyperlink r:id="rId3001" ref="AP588"/>
    <hyperlink r:id="rId3002" ref="AQ588"/>
    <hyperlink r:id="rId3003" ref="AR588"/>
    <hyperlink r:id="rId3004" ref="AT588"/>
    <hyperlink r:id="rId3005" ref="AU588"/>
    <hyperlink r:id="rId3006" ref="AN589"/>
    <hyperlink r:id="rId3007" ref="AO589"/>
    <hyperlink r:id="rId3008" ref="AP589"/>
    <hyperlink r:id="rId3009" ref="AQ589"/>
    <hyperlink r:id="rId3010" ref="AR589"/>
    <hyperlink r:id="rId3011" ref="AT589"/>
    <hyperlink r:id="rId3012" ref="AU589"/>
    <hyperlink r:id="rId3013" ref="AN590"/>
    <hyperlink r:id="rId3014" ref="AO590"/>
    <hyperlink r:id="rId3015" ref="AP590"/>
    <hyperlink r:id="rId3016" ref="AQ590"/>
    <hyperlink r:id="rId3017" ref="AR590"/>
    <hyperlink r:id="rId3018" ref="AT590"/>
    <hyperlink r:id="rId3019" ref="AU590"/>
    <hyperlink r:id="rId3020" ref="AN591"/>
    <hyperlink r:id="rId3021" ref="AO591"/>
    <hyperlink r:id="rId3022" ref="AP591"/>
    <hyperlink r:id="rId3023" ref="AQ591"/>
    <hyperlink r:id="rId3024" ref="AR591"/>
    <hyperlink r:id="rId3025" ref="AT591"/>
    <hyperlink r:id="rId3026" ref="AU591"/>
    <hyperlink r:id="rId3027" ref="AN592"/>
    <hyperlink r:id="rId3028" ref="AO592"/>
    <hyperlink r:id="rId3029" ref="AP592"/>
    <hyperlink r:id="rId3030" ref="AQ592"/>
    <hyperlink r:id="rId3031" ref="AU592"/>
    <hyperlink r:id="rId3032" ref="AN593"/>
    <hyperlink r:id="rId3033" ref="AO593"/>
    <hyperlink r:id="rId3034" ref="AP593"/>
    <hyperlink r:id="rId3035" ref="AQ593"/>
    <hyperlink r:id="rId3036" ref="AU593"/>
    <hyperlink r:id="rId3037" ref="AN594"/>
    <hyperlink r:id="rId3038" ref="AO594"/>
    <hyperlink r:id="rId3039" ref="AP594"/>
    <hyperlink r:id="rId3040" ref="AQ594"/>
    <hyperlink r:id="rId3041" ref="AU594"/>
    <hyperlink r:id="rId3042" ref="AN595"/>
    <hyperlink r:id="rId3043" ref="AO595"/>
    <hyperlink r:id="rId3044" ref="AP595"/>
    <hyperlink r:id="rId3045" ref="AQ595"/>
    <hyperlink r:id="rId3046" ref="AR595"/>
    <hyperlink r:id="rId3047" ref="AT595"/>
    <hyperlink r:id="rId3048" ref="AU595"/>
    <hyperlink r:id="rId3049" ref="AN596"/>
    <hyperlink r:id="rId3050" ref="AO596"/>
    <hyperlink r:id="rId3051" ref="AP596"/>
    <hyperlink r:id="rId3052" ref="AQ596"/>
    <hyperlink r:id="rId3053" ref="AR596"/>
    <hyperlink r:id="rId3054" ref="AT596"/>
    <hyperlink r:id="rId3055" ref="AU596"/>
    <hyperlink r:id="rId3056" ref="AN597"/>
    <hyperlink r:id="rId3057" ref="AO597"/>
    <hyperlink r:id="rId3058" ref="AP597"/>
    <hyperlink r:id="rId3059" ref="AQ597"/>
    <hyperlink r:id="rId3060" ref="AR597"/>
    <hyperlink r:id="rId3061" ref="AT597"/>
    <hyperlink r:id="rId3062" ref="AU597"/>
    <hyperlink r:id="rId3063" ref="AN598"/>
    <hyperlink r:id="rId3064" ref="AO598"/>
    <hyperlink r:id="rId3065" ref="AP598"/>
    <hyperlink r:id="rId3066" ref="AQ598"/>
    <hyperlink r:id="rId3067" ref="AR598"/>
    <hyperlink r:id="rId3068" ref="AT598"/>
    <hyperlink r:id="rId3069" ref="AU598"/>
    <hyperlink r:id="rId3070" ref="AN599"/>
    <hyperlink r:id="rId3071" ref="AO599"/>
    <hyperlink r:id="rId3072" ref="AP599"/>
    <hyperlink r:id="rId3073" ref="AQ599"/>
    <hyperlink r:id="rId3074" ref="AR599"/>
    <hyperlink r:id="rId3075" ref="AT599"/>
    <hyperlink r:id="rId3076" ref="AU599"/>
    <hyperlink r:id="rId3077" ref="AN600"/>
    <hyperlink r:id="rId3078" ref="AO600"/>
    <hyperlink r:id="rId3079" ref="AP600"/>
    <hyperlink r:id="rId3080" ref="AQ600"/>
    <hyperlink r:id="rId3081" ref="AR600"/>
    <hyperlink r:id="rId3082" ref="AT600"/>
    <hyperlink r:id="rId3083" ref="AU600"/>
    <hyperlink r:id="rId3084" ref="AN601"/>
    <hyperlink r:id="rId3085" ref="AO601"/>
    <hyperlink r:id="rId3086" ref="AP601"/>
    <hyperlink r:id="rId3087" ref="AQ601"/>
    <hyperlink r:id="rId3088" ref="AR601"/>
    <hyperlink r:id="rId3089" ref="AT601"/>
    <hyperlink r:id="rId3090" ref="AU601"/>
    <hyperlink r:id="rId3091" ref="AN602"/>
    <hyperlink r:id="rId3092" ref="AO602"/>
    <hyperlink r:id="rId3093" ref="AP602"/>
    <hyperlink r:id="rId3094" ref="AQ602"/>
    <hyperlink r:id="rId3095" ref="AR602"/>
    <hyperlink r:id="rId3096" ref="AT602"/>
    <hyperlink r:id="rId3097" ref="AU602"/>
    <hyperlink r:id="rId3098" ref="AN603"/>
    <hyperlink r:id="rId3099" ref="AO603"/>
    <hyperlink r:id="rId3100" ref="AP603"/>
    <hyperlink r:id="rId3101" ref="AQ603"/>
    <hyperlink r:id="rId3102" ref="AR603"/>
    <hyperlink r:id="rId3103" ref="AT603"/>
    <hyperlink r:id="rId3104" ref="AU603"/>
    <hyperlink r:id="rId3105" ref="AN604"/>
    <hyperlink r:id="rId3106" ref="AO604"/>
    <hyperlink r:id="rId3107" ref="AP604"/>
    <hyperlink r:id="rId3108" ref="AQ604"/>
    <hyperlink r:id="rId3109" ref="AR604"/>
    <hyperlink r:id="rId3110" ref="AT604"/>
    <hyperlink r:id="rId3111" ref="AU604"/>
    <hyperlink r:id="rId3112" ref="AN605"/>
    <hyperlink r:id="rId3113" ref="AO605"/>
    <hyperlink r:id="rId3114" ref="AP605"/>
    <hyperlink r:id="rId3115" ref="AQ605"/>
    <hyperlink r:id="rId3116" ref="AR605"/>
    <hyperlink r:id="rId3117" ref="AT605"/>
    <hyperlink r:id="rId3118" ref="AU605"/>
    <hyperlink r:id="rId3119" ref="AN606"/>
    <hyperlink r:id="rId3120" ref="AO606"/>
    <hyperlink r:id="rId3121" ref="AP606"/>
    <hyperlink r:id="rId3122" ref="AQ606"/>
    <hyperlink r:id="rId3123" ref="AR606"/>
    <hyperlink r:id="rId3124" ref="AT606"/>
    <hyperlink r:id="rId3125" ref="AU606"/>
    <hyperlink r:id="rId3126" ref="AN607"/>
    <hyperlink r:id="rId3127" ref="AO607"/>
    <hyperlink r:id="rId3128" ref="AP607"/>
    <hyperlink r:id="rId3129" ref="AQ607"/>
    <hyperlink r:id="rId3130" ref="AR607"/>
    <hyperlink r:id="rId3131" ref="AT607"/>
    <hyperlink r:id="rId3132" ref="AU607"/>
    <hyperlink r:id="rId3133" ref="AN608"/>
    <hyperlink r:id="rId3134" ref="AO608"/>
    <hyperlink r:id="rId3135" ref="AP608"/>
    <hyperlink r:id="rId3136" ref="AQ608"/>
    <hyperlink r:id="rId3137" ref="AR608"/>
    <hyperlink r:id="rId3138" ref="AT608"/>
    <hyperlink r:id="rId3139" ref="AU608"/>
    <hyperlink r:id="rId3140" ref="AN609"/>
    <hyperlink r:id="rId3141" ref="AO609"/>
    <hyperlink r:id="rId3142" ref="AP609"/>
    <hyperlink r:id="rId3143" ref="AQ609"/>
    <hyperlink r:id="rId3144" ref="AR609"/>
    <hyperlink r:id="rId3145" ref="AT609"/>
    <hyperlink r:id="rId3146" ref="AU609"/>
    <hyperlink r:id="rId3147" ref="AN610"/>
    <hyperlink r:id="rId3148" ref="AO610"/>
    <hyperlink r:id="rId3149" ref="AP610"/>
    <hyperlink r:id="rId3150" ref="AQ610"/>
    <hyperlink r:id="rId3151" ref="AR610"/>
    <hyperlink r:id="rId3152" ref="AT610"/>
    <hyperlink r:id="rId3153" ref="AU610"/>
    <hyperlink r:id="rId3154" ref="AN611"/>
    <hyperlink r:id="rId3155" ref="AO611"/>
    <hyperlink r:id="rId3156" ref="AP611"/>
    <hyperlink r:id="rId3157" ref="AQ611"/>
    <hyperlink r:id="rId3158" ref="AR611"/>
    <hyperlink r:id="rId3159" ref="AT611"/>
    <hyperlink r:id="rId3160" ref="AU611"/>
    <hyperlink r:id="rId3161" ref="AN612"/>
    <hyperlink r:id="rId3162" ref="AO612"/>
    <hyperlink r:id="rId3163" ref="AP612"/>
    <hyperlink r:id="rId3164" ref="AQ612"/>
    <hyperlink r:id="rId3165" ref="AR612"/>
    <hyperlink r:id="rId3166" ref="AT612"/>
    <hyperlink r:id="rId3167" ref="AU612"/>
    <hyperlink r:id="rId3168" ref="AO613"/>
    <hyperlink r:id="rId3169" ref="AP613"/>
    <hyperlink r:id="rId3170" ref="AQ613"/>
    <hyperlink r:id="rId3171" ref="AR613"/>
    <hyperlink r:id="rId3172" ref="AT613"/>
    <hyperlink r:id="rId3173" ref="AU613"/>
    <hyperlink r:id="rId3174" ref="AN614"/>
    <hyperlink r:id="rId3175" ref="AO614"/>
    <hyperlink r:id="rId3176" ref="AP614"/>
    <hyperlink r:id="rId3177" ref="AQ614"/>
    <hyperlink r:id="rId3178" ref="AR614"/>
    <hyperlink r:id="rId3179" ref="AT614"/>
    <hyperlink r:id="rId3180" ref="AU614"/>
    <hyperlink r:id="rId3181" ref="AN615"/>
    <hyperlink r:id="rId3182" ref="AO615"/>
    <hyperlink r:id="rId3183" ref="AP615"/>
    <hyperlink r:id="rId3184" ref="AQ615"/>
    <hyperlink r:id="rId3185" ref="AR615"/>
    <hyperlink r:id="rId3186" ref="AT615"/>
    <hyperlink r:id="rId3187" ref="AU615"/>
    <hyperlink r:id="rId3188" ref="AN616"/>
    <hyperlink r:id="rId3189" ref="AO616"/>
    <hyperlink r:id="rId3190" ref="AP616"/>
    <hyperlink r:id="rId3191" ref="AQ616"/>
    <hyperlink r:id="rId3192" ref="AR616"/>
    <hyperlink r:id="rId3193" ref="AT616"/>
    <hyperlink r:id="rId3194" ref="AU616"/>
    <hyperlink r:id="rId3195" ref="AN617"/>
    <hyperlink r:id="rId3196" ref="AO617"/>
    <hyperlink r:id="rId3197" ref="AP617"/>
    <hyperlink r:id="rId3198" ref="AQ617"/>
    <hyperlink r:id="rId3199" ref="AR617"/>
    <hyperlink r:id="rId3200" ref="AT617"/>
    <hyperlink r:id="rId3201" ref="AU617"/>
    <hyperlink r:id="rId3202" ref="AN618"/>
    <hyperlink r:id="rId3203" ref="AO618"/>
    <hyperlink r:id="rId3204" ref="AP618"/>
    <hyperlink r:id="rId3205" ref="AQ618"/>
    <hyperlink r:id="rId3206" ref="AR618"/>
    <hyperlink r:id="rId3207" ref="AT618"/>
    <hyperlink r:id="rId3208" ref="AU618"/>
    <hyperlink r:id="rId3209" ref="AN619"/>
    <hyperlink r:id="rId3210" ref="AO619"/>
    <hyperlink r:id="rId3211" ref="AP619"/>
    <hyperlink r:id="rId3212" ref="AQ619"/>
    <hyperlink r:id="rId3213" ref="AR619"/>
    <hyperlink r:id="rId3214" ref="AT619"/>
    <hyperlink r:id="rId3215" ref="AU619"/>
    <hyperlink r:id="rId3216" ref="AN620"/>
    <hyperlink r:id="rId3217" ref="AO620"/>
    <hyperlink r:id="rId3218" ref="AP620"/>
    <hyperlink r:id="rId3219" ref="AQ620"/>
    <hyperlink r:id="rId3220" ref="AR620"/>
    <hyperlink r:id="rId3221" ref="AT620"/>
    <hyperlink r:id="rId3222" ref="AU620"/>
    <hyperlink r:id="rId3223" ref="AN621"/>
    <hyperlink r:id="rId3224" ref="AO621"/>
    <hyperlink r:id="rId3225" ref="AP621"/>
    <hyperlink r:id="rId3226" ref="AQ621"/>
    <hyperlink r:id="rId3227" ref="AR621"/>
    <hyperlink r:id="rId3228" ref="AT621"/>
    <hyperlink r:id="rId3229" ref="AU621"/>
    <hyperlink r:id="rId3230" ref="AN622"/>
    <hyperlink r:id="rId3231" ref="AO622"/>
    <hyperlink r:id="rId3232" ref="AP622"/>
    <hyperlink r:id="rId3233" ref="AQ622"/>
    <hyperlink r:id="rId3234" ref="AR622"/>
    <hyperlink r:id="rId3235" ref="AT622"/>
    <hyperlink r:id="rId3236" ref="AU622"/>
    <hyperlink r:id="rId3237" ref="AN623"/>
    <hyperlink r:id="rId3238" ref="AO623"/>
    <hyperlink r:id="rId3239" ref="AP623"/>
    <hyperlink r:id="rId3240" ref="AQ623"/>
    <hyperlink r:id="rId3241" ref="AR623"/>
    <hyperlink r:id="rId3242" ref="AT623"/>
    <hyperlink r:id="rId3243" ref="AU623"/>
    <hyperlink r:id="rId3244" ref="AN624"/>
    <hyperlink r:id="rId3245" ref="AO624"/>
    <hyperlink r:id="rId3246" ref="AP624"/>
    <hyperlink r:id="rId3247" ref="AQ624"/>
    <hyperlink r:id="rId3248" ref="AR624"/>
    <hyperlink r:id="rId3249" ref="AT624"/>
    <hyperlink r:id="rId3250" ref="AU624"/>
    <hyperlink r:id="rId3251" ref="AN625"/>
    <hyperlink r:id="rId3252" ref="AO625"/>
    <hyperlink r:id="rId3253" ref="AP625"/>
    <hyperlink r:id="rId3254" ref="AQ625"/>
    <hyperlink r:id="rId3255" ref="AR625"/>
    <hyperlink r:id="rId3256" ref="AT625"/>
    <hyperlink r:id="rId3257" ref="AU625"/>
    <hyperlink r:id="rId3258" ref="AN626"/>
    <hyperlink r:id="rId3259" ref="AO626"/>
    <hyperlink r:id="rId3260" ref="AP626"/>
    <hyperlink r:id="rId3261" ref="AQ626"/>
    <hyperlink r:id="rId3262" ref="AR626"/>
    <hyperlink r:id="rId3263" ref="AT626"/>
    <hyperlink r:id="rId3264" ref="AU626"/>
    <hyperlink r:id="rId3265" ref="AN627"/>
    <hyperlink r:id="rId3266" ref="AO627"/>
    <hyperlink r:id="rId3267" ref="AP627"/>
    <hyperlink r:id="rId3268" ref="AQ627"/>
    <hyperlink r:id="rId3269" ref="AR627"/>
    <hyperlink r:id="rId3270" ref="AT627"/>
    <hyperlink r:id="rId3271" ref="AU627"/>
    <hyperlink r:id="rId3272" ref="AN628"/>
    <hyperlink r:id="rId3273" ref="AO628"/>
    <hyperlink r:id="rId3274" ref="AP628"/>
    <hyperlink r:id="rId3275" ref="AQ628"/>
    <hyperlink r:id="rId3276" ref="AR628"/>
    <hyperlink r:id="rId3277" ref="AT628"/>
    <hyperlink r:id="rId3278" ref="AU628"/>
    <hyperlink r:id="rId3279" ref="AN629"/>
    <hyperlink r:id="rId3280" ref="AO629"/>
    <hyperlink r:id="rId3281" ref="AP629"/>
    <hyperlink r:id="rId3282" ref="AQ629"/>
    <hyperlink r:id="rId3283" ref="AR629"/>
    <hyperlink r:id="rId3284" ref="AT629"/>
    <hyperlink r:id="rId3285" ref="AU629"/>
    <hyperlink r:id="rId3286" ref="AN630"/>
    <hyperlink r:id="rId3287" ref="AO630"/>
    <hyperlink r:id="rId3288" ref="AP630"/>
    <hyperlink r:id="rId3289" ref="AQ630"/>
    <hyperlink r:id="rId3290" ref="AR630"/>
    <hyperlink r:id="rId3291" ref="AT630"/>
    <hyperlink r:id="rId3292" ref="AU630"/>
    <hyperlink r:id="rId3293" ref="AN631"/>
    <hyperlink r:id="rId3294" ref="AO631"/>
    <hyperlink r:id="rId3295" ref="AP631"/>
    <hyperlink r:id="rId3296" ref="AQ631"/>
    <hyperlink r:id="rId3297" ref="AR631"/>
    <hyperlink r:id="rId3298" ref="AT631"/>
    <hyperlink r:id="rId3299" ref="AU631"/>
    <hyperlink r:id="rId3300" ref="AN632"/>
    <hyperlink r:id="rId3301" ref="AO632"/>
    <hyperlink r:id="rId3302" ref="AP632"/>
    <hyperlink r:id="rId3303" ref="AQ632"/>
    <hyperlink r:id="rId3304" ref="AR632"/>
    <hyperlink r:id="rId3305" ref="AT632"/>
    <hyperlink r:id="rId3306" ref="AU632"/>
    <hyperlink r:id="rId3307" ref="AN633"/>
    <hyperlink r:id="rId3308" ref="AO633"/>
    <hyperlink r:id="rId3309" ref="AP633"/>
    <hyperlink r:id="rId3310" ref="AQ633"/>
    <hyperlink r:id="rId3311" ref="AR633"/>
    <hyperlink r:id="rId3312" ref="AT633"/>
    <hyperlink r:id="rId3313" ref="AU633"/>
    <hyperlink r:id="rId3314" ref="AN634"/>
    <hyperlink r:id="rId3315" ref="AO634"/>
    <hyperlink r:id="rId3316" ref="AP634"/>
    <hyperlink r:id="rId3317" ref="AQ634"/>
    <hyperlink r:id="rId3318" ref="AR634"/>
    <hyperlink r:id="rId3319" ref="AU634"/>
    <hyperlink r:id="rId3320" ref="AN635"/>
    <hyperlink r:id="rId3321" ref="AO635"/>
    <hyperlink r:id="rId3322" ref="AP635"/>
    <hyperlink r:id="rId3323" ref="AQ635"/>
    <hyperlink r:id="rId3324" ref="AR635"/>
    <hyperlink r:id="rId3325" ref="AU635"/>
    <hyperlink r:id="rId3326" ref="AN636"/>
    <hyperlink r:id="rId3327" ref="AO636"/>
    <hyperlink r:id="rId3328" ref="AP636"/>
    <hyperlink r:id="rId3329" ref="AQ636"/>
    <hyperlink r:id="rId3330" ref="AR636"/>
    <hyperlink r:id="rId3331" ref="AT636"/>
    <hyperlink r:id="rId3332" ref="AU636"/>
    <hyperlink r:id="rId3333" ref="AN637"/>
    <hyperlink r:id="rId3334" ref="AO637"/>
    <hyperlink r:id="rId3335" ref="AP637"/>
    <hyperlink r:id="rId3336" ref="AQ637"/>
    <hyperlink r:id="rId3337" ref="AR637"/>
    <hyperlink r:id="rId3338" ref="AT637"/>
    <hyperlink r:id="rId3339" ref="AU637"/>
    <hyperlink r:id="rId3340" ref="AN638"/>
    <hyperlink r:id="rId3341" ref="AO638"/>
    <hyperlink r:id="rId3342" ref="AP638"/>
    <hyperlink r:id="rId3343" ref="AQ638"/>
    <hyperlink r:id="rId3344" ref="AR638"/>
    <hyperlink r:id="rId3345" ref="AT638"/>
    <hyperlink r:id="rId3346" ref="AU638"/>
    <hyperlink r:id="rId3347" ref="AN639"/>
    <hyperlink r:id="rId3348" ref="AO639"/>
    <hyperlink r:id="rId3349" ref="AP639"/>
    <hyperlink r:id="rId3350" ref="AQ639"/>
    <hyperlink r:id="rId3351" ref="AR639"/>
    <hyperlink r:id="rId3352" ref="AT639"/>
    <hyperlink r:id="rId3353" ref="AU639"/>
    <hyperlink r:id="rId3354" ref="AN640"/>
    <hyperlink r:id="rId3355" ref="AO640"/>
    <hyperlink r:id="rId3356" ref="AP640"/>
    <hyperlink r:id="rId3357" ref="AQ640"/>
    <hyperlink r:id="rId3358" ref="AR640"/>
    <hyperlink r:id="rId3359" ref="AT640"/>
    <hyperlink r:id="rId3360" ref="AU640"/>
    <hyperlink r:id="rId3361" ref="AO641"/>
    <hyperlink r:id="rId3362" ref="AP641"/>
    <hyperlink r:id="rId3363" ref="AQ641"/>
    <hyperlink r:id="rId3364" ref="AR641"/>
    <hyperlink r:id="rId3365" ref="AT641"/>
    <hyperlink r:id="rId3366" ref="AU641"/>
    <hyperlink r:id="rId3367" ref="AO642"/>
    <hyperlink r:id="rId3368" ref="AP642"/>
    <hyperlink r:id="rId3369" ref="AQ642"/>
    <hyperlink r:id="rId3370" ref="AR642"/>
    <hyperlink r:id="rId3371" ref="AT642"/>
    <hyperlink r:id="rId3372" ref="AU642"/>
    <hyperlink r:id="rId3373" ref="AO643"/>
    <hyperlink r:id="rId3374" ref="AP643"/>
    <hyperlink r:id="rId3375" ref="AQ643"/>
    <hyperlink r:id="rId3376" ref="AR643"/>
    <hyperlink r:id="rId3377" ref="AT643"/>
    <hyperlink r:id="rId3378" ref="AU643"/>
    <hyperlink r:id="rId3379" ref="AN644"/>
    <hyperlink r:id="rId3380" ref="AO644"/>
    <hyperlink r:id="rId3381" ref="AP644"/>
    <hyperlink r:id="rId3382" ref="AQ644"/>
    <hyperlink r:id="rId3383" ref="AR644"/>
    <hyperlink r:id="rId3384" ref="AT644"/>
    <hyperlink r:id="rId3385" ref="AU644"/>
    <hyperlink r:id="rId3386" ref="AN645"/>
    <hyperlink r:id="rId3387" ref="AO645"/>
    <hyperlink r:id="rId3388" ref="AP645"/>
    <hyperlink r:id="rId3389" ref="AQ645"/>
    <hyperlink r:id="rId3390" ref="AR645"/>
    <hyperlink r:id="rId3391" ref="AT645"/>
    <hyperlink r:id="rId3392" ref="AU645"/>
    <hyperlink r:id="rId3393" ref="AN646"/>
    <hyperlink r:id="rId3394" ref="AO646"/>
    <hyperlink r:id="rId3395" ref="AP646"/>
    <hyperlink r:id="rId3396" ref="AQ646"/>
    <hyperlink r:id="rId3397" ref="AR646"/>
    <hyperlink r:id="rId3398" ref="AT646"/>
    <hyperlink r:id="rId3399" ref="AU646"/>
    <hyperlink r:id="rId3400" ref="AN647"/>
    <hyperlink r:id="rId3401" ref="AO647"/>
    <hyperlink r:id="rId3402" ref="AP647"/>
    <hyperlink r:id="rId3403" ref="AQ647"/>
    <hyperlink r:id="rId3404" ref="AR647"/>
    <hyperlink r:id="rId3405" ref="AT647"/>
    <hyperlink r:id="rId3406" ref="AU647"/>
    <hyperlink r:id="rId3407" ref="AN648"/>
    <hyperlink r:id="rId3408" ref="AO648"/>
    <hyperlink r:id="rId3409" ref="AP648"/>
    <hyperlink r:id="rId3410" ref="AQ648"/>
    <hyperlink r:id="rId3411" ref="AR648"/>
    <hyperlink r:id="rId3412" ref="AT648"/>
    <hyperlink r:id="rId3413" ref="AU648"/>
    <hyperlink r:id="rId3414" ref="AN649"/>
    <hyperlink r:id="rId3415" ref="AO649"/>
    <hyperlink r:id="rId3416" ref="AP649"/>
    <hyperlink r:id="rId3417" ref="AQ649"/>
    <hyperlink r:id="rId3418" ref="AR649"/>
    <hyperlink r:id="rId3419" ref="AT649"/>
    <hyperlink r:id="rId3420" ref="AU649"/>
    <hyperlink r:id="rId3421" ref="AN650"/>
    <hyperlink r:id="rId3422" ref="AO650"/>
    <hyperlink r:id="rId3423" ref="AP650"/>
    <hyperlink r:id="rId3424" ref="AQ650"/>
    <hyperlink r:id="rId3425" ref="AR650"/>
    <hyperlink r:id="rId3426" ref="AT650"/>
    <hyperlink r:id="rId3427" ref="AU650"/>
    <hyperlink r:id="rId3428" ref="AN651"/>
    <hyperlink r:id="rId3429" ref="AO651"/>
    <hyperlink r:id="rId3430" ref="AP651"/>
    <hyperlink r:id="rId3431" ref="AQ651"/>
    <hyperlink r:id="rId3432" ref="AR651"/>
    <hyperlink r:id="rId3433" ref="AT651"/>
    <hyperlink r:id="rId3434" ref="AU651"/>
    <hyperlink r:id="rId3435" ref="AN652"/>
    <hyperlink r:id="rId3436" ref="AO652"/>
    <hyperlink r:id="rId3437" ref="AP652"/>
    <hyperlink r:id="rId3438" ref="AQ652"/>
    <hyperlink r:id="rId3439" ref="AR652"/>
    <hyperlink r:id="rId3440" ref="AT652"/>
    <hyperlink r:id="rId3441" ref="AU652"/>
    <hyperlink r:id="rId3442" ref="AN653"/>
    <hyperlink r:id="rId3443" ref="AO653"/>
    <hyperlink r:id="rId3444" ref="AP653"/>
    <hyperlink r:id="rId3445" ref="AQ653"/>
    <hyperlink r:id="rId3446" ref="AR653"/>
    <hyperlink r:id="rId3447" ref="AT653"/>
    <hyperlink r:id="rId3448" ref="AU653"/>
    <hyperlink r:id="rId3449" ref="AN654"/>
    <hyperlink r:id="rId3450" ref="AO654"/>
    <hyperlink r:id="rId3451" ref="AP654"/>
    <hyperlink r:id="rId3452" ref="AQ654"/>
    <hyperlink r:id="rId3453" ref="AR654"/>
    <hyperlink r:id="rId3454" ref="AT654"/>
    <hyperlink r:id="rId3455" ref="AU654"/>
    <hyperlink r:id="rId3456" ref="AN655"/>
    <hyperlink r:id="rId3457" ref="AO655"/>
    <hyperlink r:id="rId3458" ref="AP655"/>
    <hyperlink r:id="rId3459" ref="AQ655"/>
    <hyperlink r:id="rId3460" ref="AR655"/>
    <hyperlink r:id="rId3461" ref="AT655"/>
    <hyperlink r:id="rId3462" ref="AU655"/>
    <hyperlink r:id="rId3463" ref="AN656"/>
    <hyperlink r:id="rId3464" ref="AO656"/>
    <hyperlink r:id="rId3465" ref="AP656"/>
    <hyperlink r:id="rId3466" ref="AQ656"/>
    <hyperlink r:id="rId3467" ref="AR656"/>
    <hyperlink r:id="rId3468" ref="AT656"/>
    <hyperlink r:id="rId3469" ref="AU656"/>
    <hyperlink r:id="rId3470" ref="AN657"/>
    <hyperlink r:id="rId3471" ref="AO657"/>
    <hyperlink r:id="rId3472" ref="AP657"/>
    <hyperlink r:id="rId3473" ref="AQ657"/>
    <hyperlink r:id="rId3474" ref="AR657"/>
    <hyperlink r:id="rId3475" ref="AT657"/>
    <hyperlink r:id="rId3476" ref="AU657"/>
    <hyperlink r:id="rId3477" ref="AN658"/>
    <hyperlink r:id="rId3478" ref="AO658"/>
    <hyperlink r:id="rId3479" ref="AP658"/>
    <hyperlink r:id="rId3480" ref="AQ658"/>
    <hyperlink r:id="rId3481" ref="AR658"/>
    <hyperlink r:id="rId3482" ref="AT658"/>
    <hyperlink r:id="rId3483" ref="AU658"/>
    <hyperlink r:id="rId3484" ref="AN659"/>
    <hyperlink r:id="rId3485" ref="AO659"/>
    <hyperlink r:id="rId3486" ref="AP659"/>
    <hyperlink r:id="rId3487" ref="AQ659"/>
    <hyperlink r:id="rId3488" ref="AR659"/>
    <hyperlink r:id="rId3489" ref="AT659"/>
    <hyperlink r:id="rId3490" ref="AU659"/>
    <hyperlink r:id="rId3491" ref="AN660"/>
    <hyperlink r:id="rId3492" ref="AO660"/>
    <hyperlink r:id="rId3493" ref="AP660"/>
    <hyperlink r:id="rId3494" ref="AQ660"/>
    <hyperlink r:id="rId3495" ref="AR660"/>
    <hyperlink r:id="rId3496" ref="AT660"/>
    <hyperlink r:id="rId3497" ref="AU660"/>
    <hyperlink r:id="rId3498" ref="AN661"/>
    <hyperlink r:id="rId3499" ref="AO661"/>
    <hyperlink r:id="rId3500" ref="AP661"/>
    <hyperlink r:id="rId3501" ref="AQ661"/>
    <hyperlink r:id="rId3502" ref="AR661"/>
    <hyperlink r:id="rId3503" ref="AT661"/>
    <hyperlink r:id="rId3504" ref="AU661"/>
    <hyperlink r:id="rId3505" ref="AN662"/>
    <hyperlink r:id="rId3506" ref="AO662"/>
    <hyperlink r:id="rId3507" ref="AP662"/>
    <hyperlink r:id="rId3508" ref="AR662"/>
    <hyperlink r:id="rId3509" ref="AT662"/>
    <hyperlink r:id="rId3510" ref="AN663"/>
    <hyperlink r:id="rId3511" ref="AO663"/>
    <hyperlink r:id="rId3512" ref="AP663"/>
    <hyperlink r:id="rId3513" ref="AR663"/>
    <hyperlink r:id="rId3514" ref="AT663"/>
    <hyperlink r:id="rId3515" ref="AN664"/>
    <hyperlink r:id="rId3516" ref="AO664"/>
    <hyperlink r:id="rId3517" ref="AP664"/>
    <hyperlink r:id="rId3518" ref="AR664"/>
    <hyperlink r:id="rId3519" ref="AT664"/>
    <hyperlink r:id="rId3520" ref="AN665"/>
    <hyperlink r:id="rId3521" ref="AO665"/>
    <hyperlink r:id="rId3522" ref="AP665"/>
    <hyperlink r:id="rId3523" ref="AR665"/>
    <hyperlink r:id="rId3524" ref="AT665"/>
    <hyperlink r:id="rId3525" ref="AN666"/>
    <hyperlink r:id="rId3526" ref="AO666"/>
    <hyperlink r:id="rId3527" ref="AP666"/>
    <hyperlink r:id="rId3528" ref="AR666"/>
    <hyperlink r:id="rId3529" ref="AT666"/>
    <hyperlink r:id="rId3530" ref="AN667"/>
    <hyperlink r:id="rId3531" ref="AO667"/>
    <hyperlink r:id="rId3532" ref="AP667"/>
    <hyperlink r:id="rId3533" ref="AR667"/>
    <hyperlink r:id="rId3534" ref="AT667"/>
    <hyperlink r:id="rId3535" ref="AN668"/>
    <hyperlink r:id="rId3536" ref="AO668"/>
    <hyperlink r:id="rId3537" ref="AP668"/>
    <hyperlink r:id="rId3538" ref="AR668"/>
    <hyperlink r:id="rId3539" ref="AT668"/>
    <hyperlink r:id="rId3540" ref="AN669"/>
    <hyperlink r:id="rId3541" ref="AO669"/>
    <hyperlink r:id="rId3542" ref="AP669"/>
    <hyperlink r:id="rId3543" ref="AR669"/>
    <hyperlink r:id="rId3544" ref="AT669"/>
    <hyperlink r:id="rId3545" ref="AN670"/>
    <hyperlink r:id="rId3546" ref="AO670"/>
    <hyperlink r:id="rId3547" ref="AP670"/>
    <hyperlink r:id="rId3548" ref="AR670"/>
    <hyperlink r:id="rId3549" ref="AT670"/>
    <hyperlink r:id="rId3550" ref="AN671"/>
    <hyperlink r:id="rId3551" ref="AO671"/>
    <hyperlink r:id="rId3552" ref="AP671"/>
    <hyperlink r:id="rId3553" ref="AR671"/>
    <hyperlink r:id="rId3554" ref="AT671"/>
    <hyperlink r:id="rId3555" ref="AN672"/>
    <hyperlink r:id="rId3556" ref="AO672"/>
    <hyperlink r:id="rId3557" ref="AP672"/>
    <hyperlink r:id="rId3558" ref="AR672"/>
    <hyperlink r:id="rId3559" ref="AT672"/>
    <hyperlink r:id="rId3560" ref="AN673"/>
    <hyperlink r:id="rId3561" ref="AO673"/>
    <hyperlink r:id="rId3562" ref="AP673"/>
    <hyperlink r:id="rId3563" ref="AR673"/>
    <hyperlink r:id="rId3564" ref="AT673"/>
    <hyperlink r:id="rId3565" ref="AN674"/>
    <hyperlink r:id="rId3566" ref="AO674"/>
    <hyperlink r:id="rId3567" ref="AP674"/>
    <hyperlink r:id="rId3568" ref="AR674"/>
    <hyperlink r:id="rId3569" ref="AT674"/>
    <hyperlink r:id="rId3570" ref="AN675"/>
    <hyperlink r:id="rId3571" ref="AO675"/>
    <hyperlink r:id="rId3572" ref="AP675"/>
    <hyperlink r:id="rId3573" ref="AR675"/>
    <hyperlink r:id="rId3574" ref="AT675"/>
    <hyperlink r:id="rId3575" ref="AN676"/>
    <hyperlink r:id="rId3576" ref="AO676"/>
    <hyperlink r:id="rId3577" ref="AP676"/>
    <hyperlink r:id="rId3578" ref="AR676"/>
    <hyperlink r:id="rId3579" ref="AT676"/>
    <hyperlink r:id="rId3580" ref="AN677"/>
    <hyperlink r:id="rId3581" ref="AO677"/>
    <hyperlink r:id="rId3582" ref="AQ677"/>
    <hyperlink r:id="rId3583" ref="AR677"/>
    <hyperlink r:id="rId3584" ref="AT677"/>
    <hyperlink r:id="rId3585" ref="AU677"/>
    <hyperlink r:id="rId3586" ref="AN678"/>
    <hyperlink r:id="rId3587" ref="AO678"/>
    <hyperlink r:id="rId3588" ref="AP678"/>
    <hyperlink r:id="rId3589" ref="AQ678"/>
    <hyperlink r:id="rId3590" ref="AR678"/>
    <hyperlink r:id="rId3591" ref="AT678"/>
    <hyperlink r:id="rId3592" ref="AU678"/>
    <hyperlink r:id="rId3593" ref="AN679"/>
    <hyperlink r:id="rId3594" ref="AO679"/>
    <hyperlink r:id="rId3595" ref="AP679"/>
    <hyperlink r:id="rId3596" ref="AQ679"/>
    <hyperlink r:id="rId3597" ref="AR679"/>
    <hyperlink r:id="rId3598" ref="AT679"/>
    <hyperlink r:id="rId3599" ref="AU679"/>
    <hyperlink r:id="rId3600" ref="AN680"/>
    <hyperlink r:id="rId3601" ref="AO680"/>
    <hyperlink r:id="rId3602" ref="AP680"/>
    <hyperlink r:id="rId3603" ref="AQ680"/>
    <hyperlink r:id="rId3604" ref="AR680"/>
    <hyperlink r:id="rId3605" ref="AT680"/>
    <hyperlink r:id="rId3606" ref="AU680"/>
    <hyperlink r:id="rId3607" ref="AN681"/>
    <hyperlink r:id="rId3608" ref="AO681"/>
    <hyperlink r:id="rId3609" ref="AN682"/>
    <hyperlink r:id="rId3610" ref="AO682"/>
    <hyperlink r:id="rId3611" ref="AN683"/>
    <hyperlink r:id="rId3612" ref="AO683"/>
    <hyperlink r:id="rId3613" ref="AP683"/>
    <hyperlink r:id="rId3614" ref="AQ683"/>
    <hyperlink r:id="rId3615" ref="AR683"/>
    <hyperlink r:id="rId3616" ref="AT683"/>
    <hyperlink r:id="rId3617" ref="AU683"/>
    <hyperlink r:id="rId3618" ref="AN684"/>
    <hyperlink r:id="rId3619" ref="AO684"/>
    <hyperlink r:id="rId3620" ref="AP684"/>
    <hyperlink r:id="rId3621" ref="AQ684"/>
    <hyperlink r:id="rId3622" ref="AR684"/>
    <hyperlink r:id="rId3623" ref="AN685"/>
    <hyperlink r:id="rId3624" ref="AO685"/>
    <hyperlink r:id="rId3625" ref="AP685"/>
    <hyperlink r:id="rId3626" ref="AQ685"/>
    <hyperlink r:id="rId3627" ref="AR685"/>
    <hyperlink r:id="rId3628" ref="AN686"/>
    <hyperlink r:id="rId3629" ref="AO686"/>
    <hyperlink r:id="rId3630" ref="AP686"/>
    <hyperlink r:id="rId3631" ref="AQ686"/>
    <hyperlink r:id="rId3632" ref="AR686"/>
    <hyperlink r:id="rId3633" ref="AN687"/>
    <hyperlink r:id="rId3634" ref="AO687"/>
    <hyperlink r:id="rId3635" ref="AP687"/>
    <hyperlink r:id="rId3636" ref="AQ687"/>
    <hyperlink r:id="rId3637" ref="AR687"/>
    <hyperlink r:id="rId3638" ref="AN688"/>
    <hyperlink r:id="rId3639" ref="AO688"/>
    <hyperlink r:id="rId3640" ref="AP688"/>
    <hyperlink r:id="rId3641" ref="AQ688"/>
    <hyperlink r:id="rId3642" ref="AN689"/>
    <hyperlink r:id="rId3643" ref="AO689"/>
    <hyperlink r:id="rId3644" ref="AP689"/>
    <hyperlink r:id="rId3645" ref="AQ689"/>
    <hyperlink r:id="rId3646" ref="AN690"/>
    <hyperlink r:id="rId3647" ref="AO690"/>
    <hyperlink r:id="rId3648" ref="AP690"/>
    <hyperlink r:id="rId3649" ref="AQ690"/>
    <hyperlink r:id="rId3650" ref="AN691"/>
    <hyperlink r:id="rId3651" ref="AO691"/>
    <hyperlink r:id="rId3652" ref="AP691"/>
    <hyperlink r:id="rId3653" ref="AQ691"/>
    <hyperlink r:id="rId3654" ref="AR691"/>
    <hyperlink r:id="rId3655" ref="AN692"/>
    <hyperlink r:id="rId3656" ref="AO692"/>
    <hyperlink r:id="rId3657" ref="AP692"/>
    <hyperlink r:id="rId3658" ref="AQ692"/>
    <hyperlink r:id="rId3659" ref="AR692"/>
    <hyperlink r:id="rId3660" ref="AN693"/>
    <hyperlink r:id="rId3661" ref="AO693"/>
    <hyperlink r:id="rId3662" ref="AP693"/>
    <hyperlink r:id="rId3663" ref="AQ693"/>
    <hyperlink r:id="rId3664" ref="AR693"/>
    <hyperlink r:id="rId3665" ref="AN694"/>
    <hyperlink r:id="rId3666" ref="AO694"/>
    <hyperlink r:id="rId3667" ref="AP694"/>
    <hyperlink r:id="rId3668" ref="AQ694"/>
    <hyperlink r:id="rId3669" ref="AN695"/>
    <hyperlink r:id="rId3670" ref="AO695"/>
    <hyperlink r:id="rId3671" ref="AP695"/>
    <hyperlink r:id="rId3672" ref="AQ695"/>
    <hyperlink r:id="rId3673" ref="AN696"/>
    <hyperlink r:id="rId3674" ref="AO696"/>
    <hyperlink r:id="rId3675" ref="AP696"/>
    <hyperlink r:id="rId3676" ref="AQ696"/>
    <hyperlink r:id="rId3677" ref="AR696"/>
    <hyperlink r:id="rId3678" ref="AN697"/>
    <hyperlink r:id="rId3679" ref="AO697"/>
    <hyperlink r:id="rId3680" ref="AP697"/>
    <hyperlink r:id="rId3681" ref="AQ697"/>
    <hyperlink r:id="rId3682" ref="AR697"/>
    <hyperlink r:id="rId3683" ref="AN698"/>
    <hyperlink r:id="rId3684" ref="AO698"/>
    <hyperlink r:id="rId3685" ref="AP698"/>
    <hyperlink r:id="rId3686" ref="AQ698"/>
    <hyperlink r:id="rId3687" ref="AR698"/>
    <hyperlink r:id="rId3688" ref="AN699"/>
    <hyperlink r:id="rId3689" ref="AO699"/>
    <hyperlink r:id="rId3690" ref="AP699"/>
    <hyperlink r:id="rId3691" ref="AQ699"/>
    <hyperlink r:id="rId3692" ref="AR699"/>
    <hyperlink r:id="rId3693" ref="AN700"/>
    <hyperlink r:id="rId3694" ref="AO700"/>
    <hyperlink r:id="rId3695" ref="AP700"/>
    <hyperlink r:id="rId3696" ref="AQ700"/>
    <hyperlink r:id="rId3697" ref="AN701"/>
    <hyperlink r:id="rId3698" ref="AO701"/>
    <hyperlink r:id="rId3699" ref="AP701"/>
    <hyperlink r:id="rId3700" ref="AQ701"/>
    <hyperlink r:id="rId3701" ref="AN702"/>
    <hyperlink r:id="rId3702" ref="AO702"/>
    <hyperlink r:id="rId3703" ref="AP702"/>
    <hyperlink r:id="rId3704" ref="AQ702"/>
    <hyperlink r:id="rId3705" ref="AN703"/>
    <hyperlink r:id="rId3706" ref="AO703"/>
    <hyperlink r:id="rId3707" ref="AP703"/>
    <hyperlink r:id="rId3708" ref="AQ703"/>
    <hyperlink r:id="rId3709" ref="AN704"/>
    <hyperlink r:id="rId3710" ref="AO704"/>
    <hyperlink r:id="rId3711" ref="AP704"/>
    <hyperlink r:id="rId3712" ref="AQ704"/>
    <hyperlink r:id="rId3713" ref="AN705"/>
    <hyperlink r:id="rId3714" ref="AO705"/>
    <hyperlink r:id="rId3715" ref="AP705"/>
    <hyperlink r:id="rId3716" ref="AQ705"/>
    <hyperlink r:id="rId3717" ref="AN706"/>
    <hyperlink r:id="rId3718" ref="AO706"/>
    <hyperlink r:id="rId3719" ref="AP706"/>
    <hyperlink r:id="rId3720" ref="AQ706"/>
    <hyperlink r:id="rId3721" ref="AN707"/>
    <hyperlink r:id="rId3722" ref="AO707"/>
    <hyperlink r:id="rId3723" ref="AP707"/>
    <hyperlink r:id="rId3724" ref="AQ707"/>
    <hyperlink r:id="rId3725" ref="AN708"/>
    <hyperlink r:id="rId3726" ref="AO708"/>
    <hyperlink r:id="rId3727" ref="AP708"/>
    <hyperlink r:id="rId3728" ref="AQ708"/>
    <hyperlink r:id="rId3729" ref="AN709"/>
    <hyperlink r:id="rId3730" ref="AO709"/>
    <hyperlink r:id="rId3731" ref="AP709"/>
    <hyperlink r:id="rId3732" ref="AQ709"/>
    <hyperlink r:id="rId3733" ref="AN710"/>
    <hyperlink r:id="rId3734" ref="AO710"/>
    <hyperlink r:id="rId3735" ref="AP710"/>
    <hyperlink r:id="rId3736" ref="AQ710"/>
    <hyperlink r:id="rId3737" ref="AN711"/>
    <hyperlink r:id="rId3738" ref="AO711"/>
    <hyperlink r:id="rId3739" ref="AP711"/>
    <hyperlink r:id="rId3740" ref="AQ711"/>
    <hyperlink r:id="rId3741" ref="AR711"/>
    <hyperlink r:id="rId3742" ref="AT711"/>
    <hyperlink r:id="rId3743" ref="AU711"/>
    <hyperlink r:id="rId3744" ref="AN712"/>
    <hyperlink r:id="rId3745" ref="AO712"/>
    <hyperlink r:id="rId3746" ref="AP712"/>
    <hyperlink r:id="rId3747" ref="AQ712"/>
    <hyperlink r:id="rId3748" ref="AR712"/>
    <hyperlink r:id="rId3749" ref="AT712"/>
    <hyperlink r:id="rId3750" ref="AU712"/>
    <hyperlink r:id="rId3751" ref="AN713"/>
    <hyperlink r:id="rId3752" ref="AO713"/>
    <hyperlink r:id="rId3753" ref="AP713"/>
    <hyperlink r:id="rId3754" ref="AQ713"/>
    <hyperlink r:id="rId3755" ref="AR713"/>
    <hyperlink r:id="rId3756" ref="AT713"/>
    <hyperlink r:id="rId3757" ref="AU713"/>
    <hyperlink r:id="rId3758" ref="AN714"/>
    <hyperlink r:id="rId3759" ref="AO714"/>
    <hyperlink r:id="rId3760" ref="AP714"/>
    <hyperlink r:id="rId3761" ref="AQ714"/>
    <hyperlink r:id="rId3762" ref="AR714"/>
    <hyperlink r:id="rId3763" ref="AT714"/>
    <hyperlink r:id="rId3764" ref="AU714"/>
    <hyperlink r:id="rId3765" ref="AN715"/>
    <hyperlink r:id="rId3766" ref="AO715"/>
    <hyperlink r:id="rId3767" ref="AP715"/>
    <hyperlink r:id="rId3768" ref="AQ715"/>
    <hyperlink r:id="rId3769" ref="AR715"/>
    <hyperlink r:id="rId3770" ref="AT715"/>
    <hyperlink r:id="rId3771" ref="AU715"/>
    <hyperlink r:id="rId3772" ref="AN716"/>
    <hyperlink r:id="rId3773" ref="AO716"/>
    <hyperlink r:id="rId3774" ref="AP716"/>
    <hyperlink r:id="rId3775" ref="AQ716"/>
    <hyperlink r:id="rId3776" ref="AR716"/>
    <hyperlink r:id="rId3777" ref="AT716"/>
    <hyperlink r:id="rId3778" ref="AU716"/>
    <hyperlink r:id="rId3779" ref="AN717"/>
    <hyperlink r:id="rId3780" ref="AO717"/>
    <hyperlink r:id="rId3781" ref="AP717"/>
    <hyperlink r:id="rId3782" ref="AQ717"/>
    <hyperlink r:id="rId3783" ref="AR717"/>
    <hyperlink r:id="rId3784" ref="AT717"/>
    <hyperlink r:id="rId3785" ref="AU717"/>
    <hyperlink r:id="rId3786" ref="AN718"/>
    <hyperlink r:id="rId3787" ref="AO718"/>
    <hyperlink r:id="rId3788" ref="AP718"/>
    <hyperlink r:id="rId3789" ref="AQ718"/>
    <hyperlink r:id="rId3790" ref="AR718"/>
    <hyperlink r:id="rId3791" ref="AT718"/>
    <hyperlink r:id="rId3792" ref="AU718"/>
    <hyperlink r:id="rId3793" ref="AN719"/>
    <hyperlink r:id="rId3794" ref="AO719"/>
    <hyperlink r:id="rId3795" ref="AP719"/>
    <hyperlink r:id="rId3796" ref="AQ719"/>
    <hyperlink r:id="rId3797" ref="AR719"/>
    <hyperlink r:id="rId3798" ref="AT719"/>
    <hyperlink r:id="rId3799" ref="AU719"/>
    <hyperlink r:id="rId3800" ref="AN720"/>
    <hyperlink r:id="rId3801" ref="AO720"/>
    <hyperlink r:id="rId3802" ref="AP720"/>
    <hyperlink r:id="rId3803" ref="AQ720"/>
    <hyperlink r:id="rId3804" ref="AR720"/>
    <hyperlink r:id="rId3805" ref="AT720"/>
    <hyperlink r:id="rId3806" ref="AU720"/>
    <hyperlink r:id="rId3807" ref="AN721"/>
    <hyperlink r:id="rId3808" ref="AO721"/>
    <hyperlink r:id="rId3809" ref="AP721"/>
    <hyperlink r:id="rId3810" ref="AQ721"/>
    <hyperlink r:id="rId3811" ref="AR721"/>
    <hyperlink r:id="rId3812" ref="AT721"/>
    <hyperlink r:id="rId3813" ref="AU721"/>
    <hyperlink r:id="rId3814" ref="AN722"/>
    <hyperlink r:id="rId3815" ref="AO722"/>
    <hyperlink r:id="rId3816" ref="AP722"/>
    <hyperlink r:id="rId3817" ref="AQ722"/>
    <hyperlink r:id="rId3818" ref="AR722"/>
    <hyperlink r:id="rId3819" ref="AT722"/>
    <hyperlink r:id="rId3820" ref="AU722"/>
    <hyperlink r:id="rId3821" ref="AN723"/>
    <hyperlink r:id="rId3822" ref="AO723"/>
    <hyperlink r:id="rId3823" ref="AP723"/>
    <hyperlink r:id="rId3824" ref="AQ723"/>
    <hyperlink r:id="rId3825" ref="AR723"/>
    <hyperlink r:id="rId3826" ref="AT723"/>
    <hyperlink r:id="rId3827" ref="AU723"/>
    <hyperlink r:id="rId3828" ref="AN724"/>
    <hyperlink r:id="rId3829" ref="AO724"/>
    <hyperlink r:id="rId3830" ref="AP724"/>
    <hyperlink r:id="rId3831" ref="AQ724"/>
    <hyperlink r:id="rId3832" ref="AR724"/>
    <hyperlink r:id="rId3833" ref="AT724"/>
    <hyperlink r:id="rId3834" ref="AU724"/>
    <hyperlink r:id="rId3835" ref="AN725"/>
    <hyperlink r:id="rId3836" ref="AO725"/>
    <hyperlink r:id="rId3837" ref="AP725"/>
    <hyperlink r:id="rId3838" ref="AR725"/>
    <hyperlink r:id="rId3839" ref="AT725"/>
    <hyperlink r:id="rId3840" ref="AU725"/>
    <hyperlink r:id="rId3841" ref="AN726"/>
    <hyperlink r:id="rId3842" ref="AO726"/>
    <hyperlink r:id="rId3843" ref="AP726"/>
    <hyperlink r:id="rId3844" ref="AQ726"/>
    <hyperlink r:id="rId3845" ref="AR726"/>
    <hyperlink r:id="rId3846" ref="AT726"/>
    <hyperlink r:id="rId3847" ref="AU726"/>
    <hyperlink r:id="rId3848" ref="AN727"/>
    <hyperlink r:id="rId3849" ref="AO727"/>
    <hyperlink r:id="rId3850" ref="AP727"/>
    <hyperlink r:id="rId3851" ref="AQ727"/>
    <hyperlink r:id="rId3852" ref="AR727"/>
    <hyperlink r:id="rId3853" ref="AT727"/>
    <hyperlink r:id="rId3854" ref="AU727"/>
    <hyperlink r:id="rId3855" ref="AN728"/>
    <hyperlink r:id="rId3856" ref="AO728"/>
    <hyperlink r:id="rId3857" ref="AP728"/>
    <hyperlink r:id="rId3858" ref="AQ728"/>
    <hyperlink r:id="rId3859" ref="AR728"/>
    <hyperlink r:id="rId3860" ref="AT728"/>
    <hyperlink r:id="rId3861" ref="AU728"/>
    <hyperlink r:id="rId3862" ref="AN729"/>
    <hyperlink r:id="rId3863" ref="AO729"/>
    <hyperlink r:id="rId3864" ref="AP729"/>
    <hyperlink r:id="rId3865" ref="AQ729"/>
    <hyperlink r:id="rId3866" ref="AR729"/>
    <hyperlink r:id="rId3867" ref="AT729"/>
    <hyperlink r:id="rId3868" ref="AU729"/>
    <hyperlink r:id="rId3869" ref="AN730"/>
    <hyperlink r:id="rId3870" ref="AO730"/>
    <hyperlink r:id="rId3871" ref="AT730"/>
    <hyperlink r:id="rId3872" ref="AN731"/>
    <hyperlink r:id="rId3873" ref="AO731"/>
    <hyperlink r:id="rId3874" ref="AT731"/>
    <hyperlink r:id="rId3875" ref="AN732"/>
    <hyperlink r:id="rId3876" ref="AT732"/>
    <hyperlink r:id="rId3877" ref="AN733"/>
    <hyperlink r:id="rId3878" ref="AO733"/>
    <hyperlink r:id="rId3879" ref="AT733"/>
    <hyperlink r:id="rId3880" ref="AN734"/>
    <hyperlink r:id="rId3881" ref="AO734"/>
    <hyperlink r:id="rId3882" ref="AT734"/>
    <hyperlink r:id="rId3883" ref="AN735"/>
    <hyperlink r:id="rId3884" ref="AO735"/>
    <hyperlink r:id="rId3885" ref="AT735"/>
    <hyperlink r:id="rId3886" ref="AN736"/>
    <hyperlink r:id="rId3887" ref="AP736"/>
    <hyperlink r:id="rId3888" ref="AN737"/>
    <hyperlink r:id="rId3889" ref="AP737"/>
    <hyperlink r:id="rId3890" ref="AN738"/>
    <hyperlink r:id="rId3891" ref="AP738"/>
    <hyperlink r:id="rId3892" ref="AN739"/>
    <hyperlink r:id="rId3893" ref="AN740"/>
    <hyperlink r:id="rId3894" ref="AN741"/>
    <hyperlink r:id="rId3895" ref="AP742"/>
    <hyperlink r:id="rId3896" ref="AP745"/>
    <hyperlink r:id="rId3897" ref="AN748"/>
    <hyperlink r:id="rId3898" ref="AO748"/>
    <hyperlink r:id="rId3899" ref="AP748"/>
    <hyperlink r:id="rId3900" ref="AR748"/>
    <hyperlink r:id="rId3901" ref="AN749"/>
    <hyperlink r:id="rId3902" ref="AO749"/>
    <hyperlink r:id="rId3903" ref="AP749"/>
    <hyperlink r:id="rId3904" ref="AR749"/>
    <hyperlink r:id="rId3905" ref="AN750"/>
    <hyperlink r:id="rId3906" ref="AO750"/>
    <hyperlink r:id="rId3907" ref="AP750"/>
    <hyperlink r:id="rId3908" ref="AR750"/>
    <hyperlink r:id="rId3909" ref="AN751"/>
    <hyperlink r:id="rId3910" ref="AO751"/>
    <hyperlink r:id="rId3911" ref="AP751"/>
    <hyperlink r:id="rId3912" ref="AQ751"/>
    <hyperlink r:id="rId3913" ref="AR751"/>
    <hyperlink r:id="rId3914" ref="AN752"/>
    <hyperlink r:id="rId3915" ref="AO752"/>
    <hyperlink r:id="rId3916" ref="AP752"/>
    <hyperlink r:id="rId3917" ref="AQ752"/>
    <hyperlink r:id="rId3918" ref="AT752"/>
    <hyperlink r:id="rId3919" ref="AN753"/>
    <hyperlink r:id="rId3920" ref="AO753"/>
    <hyperlink r:id="rId3921" ref="AP753"/>
    <hyperlink r:id="rId3922" ref="AQ753"/>
    <hyperlink r:id="rId3923" ref="AT753"/>
    <hyperlink r:id="rId3924" ref="AN754"/>
    <hyperlink r:id="rId3925" ref="AO754"/>
    <hyperlink r:id="rId3926" ref="AP754"/>
    <hyperlink r:id="rId3927" ref="AQ754"/>
    <hyperlink r:id="rId3928" ref="AU754"/>
    <hyperlink r:id="rId3929" ref="AN755"/>
    <hyperlink r:id="rId3930" ref="AO755"/>
    <hyperlink r:id="rId3931" ref="AP755"/>
    <hyperlink r:id="rId3932" ref="AQ755"/>
    <hyperlink r:id="rId3933" ref="AU755"/>
    <hyperlink r:id="rId3934" ref="AN756"/>
    <hyperlink r:id="rId3935" ref="AO756"/>
    <hyperlink r:id="rId3936" ref="AP756"/>
    <hyperlink r:id="rId3937" ref="AQ756"/>
    <hyperlink r:id="rId3938" ref="AR756"/>
    <hyperlink r:id="rId3939" ref="AT756"/>
    <hyperlink r:id="rId3940" ref="AU756"/>
    <hyperlink r:id="rId3941" ref="AN757"/>
    <hyperlink r:id="rId3942" ref="AO757"/>
    <hyperlink r:id="rId3943" ref="AP757"/>
    <hyperlink r:id="rId3944" ref="AQ757"/>
    <hyperlink r:id="rId3945" ref="AR757"/>
    <hyperlink r:id="rId3946" ref="AT757"/>
    <hyperlink r:id="rId3947" ref="AU757"/>
    <hyperlink r:id="rId3948" ref="AN758"/>
    <hyperlink r:id="rId3949" ref="AO758"/>
    <hyperlink r:id="rId3950" ref="AP758"/>
    <hyperlink r:id="rId3951" ref="AQ758"/>
    <hyperlink r:id="rId3952" ref="AR758"/>
    <hyperlink r:id="rId3953" ref="AT758"/>
    <hyperlink r:id="rId3954" ref="AU758"/>
    <hyperlink r:id="rId3955" ref="AN759"/>
    <hyperlink r:id="rId3956" ref="AO759"/>
    <hyperlink r:id="rId3957" ref="AP759"/>
    <hyperlink r:id="rId3958" ref="AQ759"/>
    <hyperlink r:id="rId3959" ref="AN760"/>
    <hyperlink r:id="rId3960" ref="AO760"/>
    <hyperlink r:id="rId3961" ref="AP760"/>
    <hyperlink r:id="rId3962" ref="AQ760"/>
    <hyperlink r:id="rId3963" ref="AN761"/>
    <hyperlink r:id="rId3964" ref="AO761"/>
    <hyperlink r:id="rId3965" ref="AP761"/>
    <hyperlink r:id="rId3966" ref="AQ761"/>
    <hyperlink r:id="rId3967" ref="AN762"/>
    <hyperlink r:id="rId3968" ref="AO762"/>
    <hyperlink r:id="rId3969" ref="AP762"/>
    <hyperlink r:id="rId3970" ref="AQ762"/>
    <hyperlink r:id="rId3971" ref="AN763"/>
    <hyperlink r:id="rId3972" ref="AO763"/>
    <hyperlink r:id="rId3973" ref="AP763"/>
    <hyperlink r:id="rId3974" ref="AQ763"/>
    <hyperlink r:id="rId3975" ref="AN764"/>
    <hyperlink r:id="rId3976" ref="AO764"/>
    <hyperlink r:id="rId3977" ref="AP764"/>
    <hyperlink r:id="rId3978" ref="AQ764"/>
    <hyperlink r:id="rId3979" ref="AN765"/>
    <hyperlink r:id="rId3980" ref="AO765"/>
    <hyperlink r:id="rId3981" ref="AP765"/>
    <hyperlink r:id="rId3982" ref="AQ765"/>
    <hyperlink r:id="rId3983" ref="AN766"/>
    <hyperlink r:id="rId3984" ref="AO766"/>
    <hyperlink r:id="rId3985" ref="AP766"/>
    <hyperlink r:id="rId3986" ref="AQ766"/>
    <hyperlink r:id="rId3987" ref="AN767"/>
    <hyperlink r:id="rId3988" ref="AO767"/>
    <hyperlink r:id="rId3989" ref="AP767"/>
    <hyperlink r:id="rId3990" ref="AQ767"/>
    <hyperlink r:id="rId3991" ref="AN768"/>
    <hyperlink r:id="rId3992" ref="AO768"/>
    <hyperlink r:id="rId3993" ref="AP768"/>
    <hyperlink r:id="rId3994" ref="AQ768"/>
    <hyperlink r:id="rId3995" ref="AN769"/>
    <hyperlink r:id="rId3996" ref="AO769"/>
    <hyperlink r:id="rId3997" ref="AP769"/>
    <hyperlink r:id="rId3998" ref="AQ769"/>
    <hyperlink r:id="rId3999" ref="AN770"/>
    <hyperlink r:id="rId4000" ref="AO770"/>
    <hyperlink r:id="rId4001" ref="AP770"/>
    <hyperlink r:id="rId4002" ref="AQ770"/>
    <hyperlink r:id="rId4003" ref="AN771"/>
    <hyperlink r:id="rId4004" ref="AO771"/>
    <hyperlink r:id="rId4005" ref="AP771"/>
    <hyperlink r:id="rId4006" ref="AQ771"/>
    <hyperlink r:id="rId4007" ref="AN772"/>
    <hyperlink r:id="rId4008" ref="AO772"/>
    <hyperlink r:id="rId4009" ref="AP772"/>
    <hyperlink r:id="rId4010" ref="AQ772"/>
    <hyperlink r:id="rId4011" ref="AN773"/>
    <hyperlink r:id="rId4012" ref="AO773"/>
    <hyperlink r:id="rId4013" ref="AP773"/>
    <hyperlink r:id="rId4014" ref="AQ773"/>
    <hyperlink r:id="rId4015" ref="AN774"/>
    <hyperlink r:id="rId4016" ref="AO774"/>
    <hyperlink r:id="rId4017" ref="AP774"/>
    <hyperlink r:id="rId4018" ref="AQ774"/>
    <hyperlink r:id="rId4019" ref="AN775"/>
    <hyperlink r:id="rId4020" ref="AO775"/>
    <hyperlink r:id="rId4021" ref="AP775"/>
    <hyperlink r:id="rId4022" ref="AQ775"/>
    <hyperlink r:id="rId4023" ref="AR775"/>
    <hyperlink r:id="rId4024" ref="AT775"/>
    <hyperlink r:id="rId4025" ref="AN776"/>
    <hyperlink r:id="rId4026" ref="AO776"/>
    <hyperlink r:id="rId4027" ref="AP776"/>
    <hyperlink r:id="rId4028" ref="AQ776"/>
    <hyperlink r:id="rId4029" ref="AR776"/>
    <hyperlink r:id="rId4030" ref="AT776"/>
    <hyperlink r:id="rId4031" ref="AN777"/>
    <hyperlink r:id="rId4032" ref="AO777"/>
    <hyperlink r:id="rId4033" ref="AP777"/>
    <hyperlink r:id="rId4034" ref="AQ777"/>
    <hyperlink r:id="rId4035" ref="AR777"/>
    <hyperlink r:id="rId4036" ref="AT777"/>
    <hyperlink r:id="rId4037" ref="AN778"/>
    <hyperlink r:id="rId4038" ref="AO778"/>
    <hyperlink r:id="rId4039" ref="AP778"/>
    <hyperlink r:id="rId4040" ref="AQ778"/>
    <hyperlink r:id="rId4041" ref="AR778"/>
    <hyperlink r:id="rId4042" ref="AT778"/>
    <hyperlink r:id="rId4043" ref="AN779"/>
    <hyperlink r:id="rId4044" ref="AO779"/>
    <hyperlink r:id="rId4045" ref="AP779"/>
    <hyperlink r:id="rId4046" ref="AQ779"/>
    <hyperlink r:id="rId4047" ref="AR779"/>
    <hyperlink r:id="rId4048" ref="AT779"/>
    <hyperlink r:id="rId4049" ref="AN780"/>
    <hyperlink r:id="rId4050" ref="AO780"/>
    <hyperlink r:id="rId4051" ref="AP780"/>
    <hyperlink r:id="rId4052" ref="AQ780"/>
    <hyperlink r:id="rId4053" ref="AR780"/>
    <hyperlink r:id="rId4054" ref="AT780"/>
    <hyperlink r:id="rId4055" ref="AN781"/>
    <hyperlink r:id="rId4056" ref="AO781"/>
    <hyperlink r:id="rId4057" ref="AP781"/>
    <hyperlink r:id="rId4058" ref="AQ781"/>
    <hyperlink r:id="rId4059" ref="AR781"/>
    <hyperlink r:id="rId4060" ref="AT781"/>
    <hyperlink r:id="rId4061" ref="AN782"/>
    <hyperlink r:id="rId4062" ref="AO782"/>
    <hyperlink r:id="rId4063" ref="AP782"/>
    <hyperlink r:id="rId4064" ref="AQ782"/>
    <hyperlink r:id="rId4065" ref="AR782"/>
    <hyperlink r:id="rId4066" ref="AT782"/>
    <hyperlink r:id="rId4067" ref="AN783"/>
    <hyperlink r:id="rId4068" ref="AO783"/>
    <hyperlink r:id="rId4069" ref="AP783"/>
    <hyperlink r:id="rId4070" ref="AQ783"/>
    <hyperlink r:id="rId4071" ref="AR783"/>
    <hyperlink r:id="rId4072" ref="AT783"/>
    <hyperlink r:id="rId4073" ref="AN784"/>
    <hyperlink r:id="rId4074" ref="AO784"/>
    <hyperlink r:id="rId4075" ref="AP784"/>
    <hyperlink r:id="rId4076" ref="AQ784"/>
    <hyperlink r:id="rId4077" ref="AR784"/>
    <hyperlink r:id="rId4078" ref="AT784"/>
    <hyperlink r:id="rId4079" ref="AN785"/>
    <hyperlink r:id="rId4080" ref="AO785"/>
    <hyperlink r:id="rId4081" ref="AP785"/>
    <hyperlink r:id="rId4082" ref="AQ785"/>
    <hyperlink r:id="rId4083" ref="AR785"/>
    <hyperlink r:id="rId4084" ref="AT785"/>
    <hyperlink r:id="rId4085" ref="AN786"/>
    <hyperlink r:id="rId4086" ref="AO786"/>
    <hyperlink r:id="rId4087" ref="AP786"/>
    <hyperlink r:id="rId4088" ref="AQ786"/>
    <hyperlink r:id="rId4089" ref="AR786"/>
    <hyperlink r:id="rId4090" ref="AT786"/>
    <hyperlink r:id="rId4091" ref="AN787"/>
    <hyperlink r:id="rId4092" ref="AO787"/>
    <hyperlink r:id="rId4093" ref="AP787"/>
    <hyperlink r:id="rId4094" ref="AQ787"/>
    <hyperlink r:id="rId4095" ref="AR787"/>
    <hyperlink r:id="rId4096" ref="AT787"/>
    <hyperlink r:id="rId4097" ref="AN788"/>
    <hyperlink r:id="rId4098" ref="AO788"/>
    <hyperlink r:id="rId4099" ref="AP788"/>
    <hyperlink r:id="rId4100" ref="AQ788"/>
    <hyperlink r:id="rId4101" ref="AR788"/>
    <hyperlink r:id="rId4102" ref="AT788"/>
    <hyperlink r:id="rId4103" ref="AN789"/>
    <hyperlink r:id="rId4104" ref="AO789"/>
    <hyperlink r:id="rId4105" ref="AP789"/>
    <hyperlink r:id="rId4106" ref="AR789"/>
    <hyperlink r:id="rId4107" ref="AT789"/>
    <hyperlink r:id="rId4108" ref="AN790"/>
    <hyperlink r:id="rId4109" ref="AO790"/>
    <hyperlink r:id="rId4110" ref="AP790"/>
    <hyperlink r:id="rId4111" ref="AO791"/>
    <hyperlink r:id="rId4112" ref="AT791"/>
    <hyperlink r:id="rId4113" ref="AO792"/>
    <hyperlink r:id="rId4114" ref="AR792"/>
    <hyperlink r:id="rId4115" ref="AT792"/>
    <hyperlink r:id="rId4116" ref="AO793"/>
    <hyperlink r:id="rId4117" ref="AR793"/>
    <hyperlink r:id="rId4118" ref="AT793"/>
    <hyperlink r:id="rId4119" ref="AO794"/>
    <hyperlink r:id="rId4120" ref="AR794"/>
    <hyperlink r:id="rId4121" ref="AT794"/>
    <hyperlink r:id="rId4122" ref="AO795"/>
    <hyperlink r:id="rId4123" ref="AR795"/>
    <hyperlink r:id="rId4124" ref="AT795"/>
    <hyperlink r:id="rId4125" ref="AO796"/>
    <hyperlink r:id="rId4126" ref="AR796"/>
    <hyperlink r:id="rId4127" ref="AT796"/>
    <hyperlink r:id="rId4128" ref="AO797"/>
    <hyperlink r:id="rId4129" ref="AR797"/>
    <hyperlink r:id="rId4130" ref="AT797"/>
    <hyperlink r:id="rId4131" ref="AN798"/>
    <hyperlink r:id="rId4132" ref="AO798"/>
    <hyperlink r:id="rId4133" ref="AP798"/>
    <hyperlink r:id="rId4134" ref="AR798"/>
    <hyperlink r:id="rId4135" ref="AT798"/>
    <hyperlink r:id="rId4136" ref="AN799"/>
    <hyperlink r:id="rId4137" ref="AO799"/>
    <hyperlink r:id="rId4138" ref="AP799"/>
    <hyperlink r:id="rId4139" ref="AQ799"/>
    <hyperlink r:id="rId4140" ref="AR799"/>
    <hyperlink r:id="rId4141" ref="AT799"/>
    <hyperlink r:id="rId4142" ref="AU799"/>
    <hyperlink r:id="rId4143" ref="AN800"/>
    <hyperlink r:id="rId4144" ref="AO800"/>
    <hyperlink r:id="rId4145" ref="AP800"/>
    <hyperlink r:id="rId4146" ref="AQ800"/>
    <hyperlink r:id="rId4147" ref="AR800"/>
    <hyperlink r:id="rId4148" ref="AT800"/>
    <hyperlink r:id="rId4149" ref="AU800"/>
    <hyperlink r:id="rId4150" ref="AN801"/>
    <hyperlink r:id="rId4151" ref="AO801"/>
    <hyperlink r:id="rId4152" ref="AP801"/>
    <hyperlink r:id="rId4153" ref="AQ801"/>
    <hyperlink r:id="rId4154" ref="AR801"/>
    <hyperlink r:id="rId4155" ref="AT801"/>
    <hyperlink r:id="rId4156" ref="AU801"/>
    <hyperlink r:id="rId4157" ref="AN802"/>
    <hyperlink r:id="rId4158" ref="AO802"/>
    <hyperlink r:id="rId4159" ref="AP802"/>
    <hyperlink r:id="rId4160" ref="AQ802"/>
    <hyperlink r:id="rId4161" ref="AR802"/>
    <hyperlink r:id="rId4162" ref="AT802"/>
    <hyperlink r:id="rId4163" ref="AU802"/>
    <hyperlink r:id="rId4164" ref="AP803"/>
    <hyperlink r:id="rId4165" ref="AQ803"/>
    <hyperlink r:id="rId4166" ref="AR803"/>
    <hyperlink r:id="rId4167" ref="AT803"/>
    <hyperlink r:id="rId4168" ref="AU803"/>
    <hyperlink r:id="rId4169" ref="AN804"/>
    <hyperlink r:id="rId4170" ref="AO804"/>
    <hyperlink r:id="rId4171" ref="AP804"/>
    <hyperlink r:id="rId4172" ref="AQ804"/>
    <hyperlink r:id="rId4173" ref="AR804"/>
    <hyperlink r:id="rId4174" ref="AT804"/>
    <hyperlink r:id="rId4175" ref="AU804"/>
    <hyperlink r:id="rId4176" ref="AN805"/>
    <hyperlink r:id="rId4177" ref="AO805"/>
    <hyperlink r:id="rId4178" ref="AQ805"/>
    <hyperlink r:id="rId4179" ref="AR805"/>
    <hyperlink r:id="rId4180" ref="AT805"/>
    <hyperlink r:id="rId4181" ref="AU805"/>
    <hyperlink r:id="rId4182" ref="AN806"/>
    <hyperlink r:id="rId4183" ref="AO806"/>
    <hyperlink r:id="rId4184" ref="AQ806"/>
    <hyperlink r:id="rId4185" ref="AR806"/>
    <hyperlink r:id="rId4186" ref="AT806"/>
    <hyperlink r:id="rId4187" ref="AU806"/>
    <hyperlink r:id="rId4188" ref="AN807"/>
    <hyperlink r:id="rId4189" ref="AO807"/>
    <hyperlink r:id="rId4190" ref="AQ807"/>
    <hyperlink r:id="rId4191" ref="AR807"/>
    <hyperlink r:id="rId4192" ref="AT807"/>
    <hyperlink r:id="rId4193" ref="AU807"/>
    <hyperlink r:id="rId4194" ref="AO808"/>
    <hyperlink r:id="rId4195" ref="AQ808"/>
    <hyperlink r:id="rId4196" ref="AT808"/>
    <hyperlink r:id="rId4197" ref="AU808"/>
    <hyperlink r:id="rId4198" ref="AN809"/>
    <hyperlink r:id="rId4199" ref="AO809"/>
    <hyperlink r:id="rId4200" ref="AQ809"/>
    <hyperlink r:id="rId4201" ref="AR809"/>
    <hyperlink r:id="rId4202" ref="AT809"/>
    <hyperlink r:id="rId4203" ref="AU809"/>
    <hyperlink r:id="rId4204" ref="AN810"/>
    <hyperlink r:id="rId4205" ref="AO810"/>
    <hyperlink r:id="rId4206" ref="AQ810"/>
    <hyperlink r:id="rId4207" ref="AR810"/>
    <hyperlink r:id="rId4208" ref="AT810"/>
    <hyperlink r:id="rId4209" ref="AU810"/>
    <hyperlink r:id="rId4210" ref="AN811"/>
    <hyperlink r:id="rId4211" ref="AO811"/>
    <hyperlink r:id="rId4212" ref="AQ811"/>
    <hyperlink r:id="rId4213" ref="AR811"/>
    <hyperlink r:id="rId4214" ref="AT811"/>
    <hyperlink r:id="rId4215" ref="AU811"/>
  </hyperlinks>
  <drawing r:id="rId4216"/>
  <legacyDrawing r:id="rId4217"/>
  <tableParts count="1">
    <tablePart r:id="rId42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3" max="3" width="24.63"/>
    <col customWidth="1" min="8" max="8" width="43.38"/>
    <col customWidth="1" min="11" max="11" width="26.63"/>
  </cols>
  <sheetData>
    <row r="1">
      <c r="A1" s="81" t="s">
        <v>4069</v>
      </c>
      <c r="B1" s="81" t="s">
        <v>4070</v>
      </c>
      <c r="C1" s="81" t="s">
        <v>4071</v>
      </c>
      <c r="D1" s="81" t="s">
        <v>5</v>
      </c>
      <c r="E1" s="81" t="s">
        <v>0</v>
      </c>
      <c r="F1" s="81" t="s">
        <v>4072</v>
      </c>
      <c r="G1" s="81" t="s">
        <v>4073</v>
      </c>
      <c r="H1" s="81" t="s">
        <v>4074</v>
      </c>
      <c r="I1" s="81" t="s">
        <v>4075</v>
      </c>
      <c r="J1" s="81" t="s">
        <v>4076</v>
      </c>
      <c r="K1" s="82" t="s">
        <v>4077</v>
      </c>
    </row>
    <row r="2">
      <c r="A2" s="83" t="s">
        <v>4078</v>
      </c>
      <c r="B2" s="83" t="s">
        <v>4079</v>
      </c>
      <c r="C2" s="81" t="s">
        <v>4080</v>
      </c>
      <c r="D2" s="81" t="s">
        <v>224</v>
      </c>
      <c r="E2" s="81" t="s">
        <v>224</v>
      </c>
      <c r="F2" s="81" t="s">
        <v>224</v>
      </c>
      <c r="G2" s="81" t="s">
        <v>224</v>
      </c>
      <c r="H2" s="81" t="s">
        <v>224</v>
      </c>
      <c r="I2" s="81" t="s">
        <v>224</v>
      </c>
      <c r="J2" s="81" t="s">
        <v>4081</v>
      </c>
    </row>
    <row r="3">
      <c r="A3" s="83" t="s">
        <v>4078</v>
      </c>
      <c r="B3" s="83" t="s">
        <v>4079</v>
      </c>
      <c r="C3" s="81" t="s">
        <v>4082</v>
      </c>
      <c r="D3" s="81" t="s">
        <v>224</v>
      </c>
      <c r="E3" s="81" t="s">
        <v>224</v>
      </c>
      <c r="F3" s="81" t="s">
        <v>224</v>
      </c>
      <c r="G3" s="81" t="s">
        <v>8</v>
      </c>
      <c r="H3" s="81" t="s">
        <v>224</v>
      </c>
      <c r="I3" s="81" t="s">
        <v>224</v>
      </c>
      <c r="J3" s="81" t="s">
        <v>4083</v>
      </c>
    </row>
    <row r="4">
      <c r="A4" s="83" t="s">
        <v>4078</v>
      </c>
      <c r="B4" s="83" t="s">
        <v>4079</v>
      </c>
      <c r="C4" s="81" t="s">
        <v>4084</v>
      </c>
      <c r="D4" s="81" t="s">
        <v>224</v>
      </c>
      <c r="E4" s="81" t="s">
        <v>224</v>
      </c>
      <c r="F4" s="81" t="s">
        <v>224</v>
      </c>
      <c r="G4" s="81" t="s">
        <v>9</v>
      </c>
      <c r="H4" s="81" t="s">
        <v>224</v>
      </c>
      <c r="I4" s="81" t="s">
        <v>224</v>
      </c>
      <c r="J4" s="81" t="s">
        <v>4085</v>
      </c>
    </row>
    <row r="5">
      <c r="A5" s="83" t="s">
        <v>4078</v>
      </c>
      <c r="B5" s="83" t="s">
        <v>4079</v>
      </c>
      <c r="C5" s="81" t="s">
        <v>4086</v>
      </c>
      <c r="D5" s="83" t="s">
        <v>4087</v>
      </c>
      <c r="E5" s="81" t="s">
        <v>48</v>
      </c>
      <c r="F5" s="84">
        <v>2.0</v>
      </c>
      <c r="G5" s="81" t="s">
        <v>44</v>
      </c>
      <c r="H5" s="81" t="s">
        <v>224</v>
      </c>
      <c r="I5" s="81" t="s">
        <v>48</v>
      </c>
      <c r="J5" s="81" t="s">
        <v>4088</v>
      </c>
      <c r="K5" s="81" t="str">
        <f>IFERROR(__xludf.DUMMYFUNCTION("IF(OR(D5="""",G5=""""),"""",IFERROR(LET(
campo,XLOOKUP(TRIM(G5),ARRAYFORMULA(TRIM('indice columnas'!$A$2:$A$100)),'indice columnas'!$B$2:$B$100,""""),
col,IFERROR(MATCH(campo,Referencia!$A$1:$AZ$1,0),0),
fila,IFERROR(MATCH(TO_TEXT(D5),ARRAYFORMULA(TO_TEXT"&amp;"(Referencia!$A$2:$A6238)),0),0),
IF(OR(campo="""",campo=""-""),""NO APLICA"",
IF(col=0,""REVISAR EQUIVALENCIA"",
IF(fila=0,""SKU NO ENCONTRADO"",
LET(
valor,INDEX(Referencia!$A$2:$AZ6238,fila,col),
IF(TRIM(TO_TEXT(valor))=TRIM(TO_TEXT(I5)),
""OK"",
""NO C"&amp;"OINCIDE. Valor verdadero: ""&amp;IF(valor="""",""[VACÍO]"",TO_TEXT(valor))
)
))))
),""ERROR EN FÓRMULA""))"),"NO APLICA")</f>
        <v>NO APLICA</v>
      </c>
    </row>
    <row r="6">
      <c r="A6" s="83" t="s">
        <v>4078</v>
      </c>
      <c r="B6" s="83" t="s">
        <v>4079</v>
      </c>
      <c r="C6" s="81" t="s">
        <v>4086</v>
      </c>
      <c r="D6" s="83" t="s">
        <v>4087</v>
      </c>
      <c r="E6" s="81" t="s">
        <v>73</v>
      </c>
      <c r="F6" s="84">
        <v>3.0</v>
      </c>
      <c r="G6" s="81" t="s">
        <v>12</v>
      </c>
      <c r="H6" s="81" t="s">
        <v>224</v>
      </c>
      <c r="I6" s="81" t="s">
        <v>55</v>
      </c>
      <c r="J6" s="81" t="s">
        <v>224</v>
      </c>
      <c r="K6" s="81" t="str">
        <f>IFERROR(__xludf.DUMMYFUNCTION("IF(OR(D6="""",G6=""""),"""",IFERROR(LET(
campo,XLOOKUP(TRIM(G6),ARRAYFORMULA(TRIM('indice columnas'!$A$2:$A$100)),'indice columnas'!$B$2:$B$100,""""),
col,IFERROR(MATCH(campo,Referencia!$A$1:$AZ$1,0),0),
fila,IFERROR(MATCH(TO_TEXT(D6),ARRAYFORMULA(TO_TEXT"&amp;"(Referencia!$A$2:$A6238)),0),0),
IF(OR(campo="""",campo=""-""),""NO APLICA"",
IF(col=0,""REVISAR EQUIVALENCIA"",
IF(fila=0,""SKU NO ENCONTRADO"",
LET(
valor,INDEX(Referencia!$A$2:$AZ6238,fila,col),
IF(TRIM(TO_TEXT(valor))=TRIM(TO_TEXT(I6)),
""OK"",
""NO C"&amp;"OINCIDE. Valor verdadero: ""&amp;IF(valor="""",""[VACÍO]"",TO_TEXT(valor))
)
))))
),""ERROR EN FÓRMULA""))"),"OK")</f>
        <v>OK</v>
      </c>
    </row>
    <row r="7">
      <c r="A7" s="83" t="s">
        <v>4078</v>
      </c>
      <c r="B7" s="83" t="s">
        <v>4079</v>
      </c>
      <c r="C7" s="81" t="s">
        <v>4086</v>
      </c>
      <c r="D7" s="83" t="s">
        <v>4087</v>
      </c>
      <c r="E7" s="81" t="s">
        <v>73</v>
      </c>
      <c r="F7" s="84">
        <v>3.0</v>
      </c>
      <c r="G7" s="81" t="s">
        <v>44</v>
      </c>
      <c r="H7" s="81" t="s">
        <v>224</v>
      </c>
      <c r="I7" s="81" t="s">
        <v>48</v>
      </c>
      <c r="J7" s="81" t="s">
        <v>4088</v>
      </c>
      <c r="K7" s="81" t="str">
        <f>IFERROR(__xludf.DUMMYFUNCTION("IF(OR(D7="""",G7=""""),"""",IFERROR(LET(
campo,XLOOKUP(TRIM(G7),ARRAYFORMULA(TRIM('indice columnas'!$A$2:$A$100)),'indice columnas'!$B$2:$B$100,""""),
col,IFERROR(MATCH(campo,Referencia!$A$1:$AZ$1,0),0),
fila,IFERROR(MATCH(TO_TEXT(D7),ARRAYFORMULA(TO_TEXT"&amp;"(Referencia!$A$2:$A6238)),0),0),
IF(OR(campo="""",campo=""-""),""NO APLICA"",
IF(col=0,""REVISAR EQUIVALENCIA"",
IF(fila=0,""SKU NO ENCONTRADO"",
LET(
valor,INDEX(Referencia!$A$2:$AZ6238,fila,col),
IF(TRIM(TO_TEXT(valor))=TRIM(TO_TEXT(I7)),
""OK"",
""NO C"&amp;"OINCIDE. Valor verdadero: ""&amp;IF(valor="""",""[VACÍO]"",TO_TEXT(valor))
)
))))
),""ERROR EN FÓRMULA""))"),"NO APLICA")</f>
        <v>NO APLICA</v>
      </c>
    </row>
    <row r="8">
      <c r="A8" s="83" t="s">
        <v>4078</v>
      </c>
      <c r="B8" s="83" t="s">
        <v>4079</v>
      </c>
      <c r="C8" s="81" t="s">
        <v>4086</v>
      </c>
      <c r="D8" s="83" t="s">
        <v>4089</v>
      </c>
      <c r="E8" s="81" t="s">
        <v>75</v>
      </c>
      <c r="F8" s="84">
        <v>4.0</v>
      </c>
      <c r="G8" s="81" t="s">
        <v>12</v>
      </c>
      <c r="H8" s="81" t="s">
        <v>224</v>
      </c>
      <c r="I8" s="81" t="s">
        <v>55</v>
      </c>
      <c r="J8" s="81" t="s">
        <v>224</v>
      </c>
      <c r="K8" s="81" t="str">
        <f>IFERROR(__xludf.DUMMYFUNCTION("IF(OR(D8="""",G8=""""),"""",IFERROR(LET(
campo,XLOOKUP(TRIM(G8),ARRAYFORMULA(TRIM('indice columnas'!$A$2:$A$100)),'indice columnas'!$B$2:$B$100,""""),
col,IFERROR(MATCH(campo,Referencia!$A$1:$AZ$1,0),0),
fila,IFERROR(MATCH(TO_TEXT(D8),ARRAYFORMULA(TO_TEXT"&amp;"(Referencia!$A$2:$A6238)),0),0),
IF(OR(campo="""",campo=""-""),""NO APLICA"",
IF(col=0,""REVISAR EQUIVALENCIA"",
IF(fila=0,""SKU NO ENCONTRADO"",
LET(
valor,INDEX(Referencia!$A$2:$AZ6238,fila,col),
IF(TRIM(TO_TEXT(valor))=TRIM(TO_TEXT(I8)),
""OK"",
""NO C"&amp;"OINCIDE. Valor verdadero: ""&amp;IF(valor="""",""[VACÍO]"",TO_TEXT(valor))
)
))))
),""ERROR EN FÓRMULA""))"),"OK")</f>
        <v>OK</v>
      </c>
    </row>
    <row r="9">
      <c r="A9" s="83" t="s">
        <v>4078</v>
      </c>
      <c r="B9" s="83" t="s">
        <v>4079</v>
      </c>
      <c r="C9" s="81" t="s">
        <v>4086</v>
      </c>
      <c r="D9" s="83" t="s">
        <v>4089</v>
      </c>
      <c r="E9" s="81" t="s">
        <v>75</v>
      </c>
      <c r="F9" s="84">
        <v>4.0</v>
      </c>
      <c r="G9" s="81" t="s">
        <v>44</v>
      </c>
      <c r="H9" s="81" t="s">
        <v>224</v>
      </c>
      <c r="I9" s="81" t="s">
        <v>48</v>
      </c>
      <c r="J9" s="81" t="s">
        <v>4088</v>
      </c>
      <c r="K9" s="81" t="str">
        <f>IFERROR(__xludf.DUMMYFUNCTION("IF(OR(D9="""",G9=""""),"""",IFERROR(LET(
campo,XLOOKUP(TRIM(G9),ARRAYFORMULA(TRIM('indice columnas'!$A$2:$A$100)),'indice columnas'!$B$2:$B$100,""""),
col,IFERROR(MATCH(campo,Referencia!$A$1:$AZ$1,0),0),
fila,IFERROR(MATCH(TO_TEXT(D9),ARRAYFORMULA(TO_TEXT"&amp;"(Referencia!$A$2:$A6238)),0),0),
IF(OR(campo="""",campo=""-""),""NO APLICA"",
IF(col=0,""REVISAR EQUIVALENCIA"",
IF(fila=0,""SKU NO ENCONTRADO"",
LET(
valor,INDEX(Referencia!$A$2:$AZ6238,fila,col),
IF(TRIM(TO_TEXT(valor))=TRIM(TO_TEXT(I9)),
""OK"",
""NO C"&amp;"OINCIDE. Valor verdadero: ""&amp;IF(valor="""",""[VACÍO]"",TO_TEXT(valor))
)
))))
),""ERROR EN FÓRMULA""))"),"NO APLICA")</f>
        <v>NO APLICA</v>
      </c>
    </row>
    <row r="10">
      <c r="A10" s="83" t="s">
        <v>4078</v>
      </c>
      <c r="B10" s="83" t="s">
        <v>4079</v>
      </c>
      <c r="C10" s="81" t="s">
        <v>4086</v>
      </c>
      <c r="D10" s="83" t="s">
        <v>4090</v>
      </c>
      <c r="E10" s="81" t="s">
        <v>83</v>
      </c>
      <c r="F10" s="84">
        <v>5.0</v>
      </c>
      <c r="G10" s="81" t="s">
        <v>44</v>
      </c>
      <c r="H10" s="81" t="s">
        <v>224</v>
      </c>
      <c r="I10" s="81" t="s">
        <v>83</v>
      </c>
      <c r="J10" s="81" t="s">
        <v>4088</v>
      </c>
      <c r="K10" s="81" t="str">
        <f>IFERROR(__xludf.DUMMYFUNCTION("IF(OR(D10="""",G10=""""),"""",IFERROR(LET(
campo,XLOOKUP(TRIM(G10),ARRAYFORMULA(TRIM('indice columnas'!$A$2:$A$100)),'indice columnas'!$B$2:$B$100,""""),
col,IFERROR(MATCH(campo,Referencia!$A$1:$AZ$1,0),0),
fila,IFERROR(MATCH(TO_TEXT(D10),ARRAYFORMULA(TO_"&amp;"TEXT(Referencia!$A$2:$A6238)),0),0),
IF(OR(campo="""",campo=""-""),""NO APLICA"",
IF(col=0,""REVISAR EQUIVALENCIA"",
IF(fila=0,""SKU NO ENCONTRADO"",
LET(
valor,INDEX(Referencia!$A$2:$AZ6238,fila,col),
IF(TRIM(TO_TEXT(valor))=TRIM(TO_TEXT(I10)),
""OK"",
"&amp;"""NO COINCIDE. Valor verdadero: ""&amp;IF(valor="""",""[VACÍO]"",TO_TEXT(valor))
)
))))
),""ERROR EN FÓRMULA""))"),"NO APLICA")</f>
        <v>NO APLICA</v>
      </c>
    </row>
    <row r="11">
      <c r="A11" s="83" t="s">
        <v>4078</v>
      </c>
      <c r="B11" s="83" t="s">
        <v>4079</v>
      </c>
      <c r="C11" s="81" t="s">
        <v>4086</v>
      </c>
      <c r="D11" s="83" t="s">
        <v>4091</v>
      </c>
      <c r="E11" s="81" t="s">
        <v>104</v>
      </c>
      <c r="F11" s="84">
        <v>6.0</v>
      </c>
      <c r="G11" s="81" t="s">
        <v>44</v>
      </c>
      <c r="H11" s="81" t="s">
        <v>224</v>
      </c>
      <c r="I11" s="81" t="s">
        <v>104</v>
      </c>
      <c r="J11" s="81" t="s">
        <v>4088</v>
      </c>
      <c r="K11" s="81" t="str">
        <f>IFERROR(__xludf.DUMMYFUNCTION("IF(OR(D11="""",G11=""""),"""",IFERROR(LET(
campo,XLOOKUP(TRIM(G11),ARRAYFORMULA(TRIM('indice columnas'!$A$2:$A$100)),'indice columnas'!$B$2:$B$100,""""),
col,IFERROR(MATCH(campo,Referencia!$A$1:$AZ$1,0),0),
fila,IFERROR(MATCH(TO_TEXT(D11),ARRAYFORMULA(TO_"&amp;"TEXT(Referencia!$A$2:$A6238)),0),0),
IF(OR(campo="""",campo=""-""),""NO APLICA"",
IF(col=0,""REVISAR EQUIVALENCIA"",
IF(fila=0,""SKU NO ENCONTRADO"",
LET(
valor,INDEX(Referencia!$A$2:$AZ6238,fila,col),
IF(TRIM(TO_TEXT(valor))=TRIM(TO_TEXT(I11)),
""OK"",
"&amp;"""NO COINCIDE. Valor verdadero: ""&amp;IF(valor="""",""[VACÍO]"",TO_TEXT(valor))
)
))))
),""ERROR EN FÓRMULA""))"),"NO APLICA")</f>
        <v>NO APLICA</v>
      </c>
    </row>
    <row r="12">
      <c r="A12" s="83" t="s">
        <v>4078</v>
      </c>
      <c r="B12" s="83" t="s">
        <v>4079</v>
      </c>
      <c r="C12" s="81" t="s">
        <v>4086</v>
      </c>
      <c r="D12" s="83" t="s">
        <v>4091</v>
      </c>
      <c r="E12" s="81" t="s">
        <v>121</v>
      </c>
      <c r="F12" s="84">
        <v>7.0</v>
      </c>
      <c r="G12" s="81" t="s">
        <v>44</v>
      </c>
      <c r="H12" s="81" t="s">
        <v>224</v>
      </c>
      <c r="I12" s="81" t="s">
        <v>104</v>
      </c>
      <c r="J12" s="81" t="s">
        <v>4088</v>
      </c>
      <c r="K12" s="81" t="str">
        <f>IFERROR(__xludf.DUMMYFUNCTION("IF(OR(D12="""",G12=""""),"""",IFERROR(LET(
campo,XLOOKUP(TRIM(G12),ARRAYFORMULA(TRIM('indice columnas'!$A$2:$A$100)),'indice columnas'!$B$2:$B$100,""""),
col,IFERROR(MATCH(campo,Referencia!$A$1:$AZ$1,0),0),
fila,IFERROR(MATCH(TO_TEXT(D12),ARRAYFORMULA(TO_"&amp;"TEXT(Referencia!$A$2:$A6238)),0),0),
IF(OR(campo="""",campo=""-""),""NO APLICA"",
IF(col=0,""REVISAR EQUIVALENCIA"",
IF(fila=0,""SKU NO ENCONTRADO"",
LET(
valor,INDEX(Referencia!$A$2:$AZ6238,fila,col),
IF(TRIM(TO_TEXT(valor))=TRIM(TO_TEXT(I12)),
""OK"",
"&amp;"""NO COINCIDE. Valor verdadero: ""&amp;IF(valor="""",""[VACÍO]"",TO_TEXT(valor))
)
))))
),""ERROR EN FÓRMULA""))"),"NO APLICA")</f>
        <v>NO APLICA</v>
      </c>
    </row>
    <row r="13">
      <c r="A13" s="83" t="s">
        <v>4078</v>
      </c>
      <c r="B13" s="83" t="s">
        <v>4079</v>
      </c>
      <c r="C13" s="81" t="s">
        <v>4086</v>
      </c>
      <c r="D13" s="83" t="s">
        <v>4092</v>
      </c>
      <c r="E13" s="81" t="s">
        <v>122</v>
      </c>
      <c r="F13" s="84">
        <v>8.0</v>
      </c>
      <c r="G13" s="81" t="s">
        <v>44</v>
      </c>
      <c r="H13" s="81" t="s">
        <v>224</v>
      </c>
      <c r="I13" s="81" t="s">
        <v>104</v>
      </c>
      <c r="J13" s="81" t="s">
        <v>4088</v>
      </c>
      <c r="K13" s="81" t="str">
        <f>IFERROR(__xludf.DUMMYFUNCTION("IF(OR(D13="""",G13=""""),"""",IFERROR(LET(
campo,XLOOKUP(TRIM(G13),ARRAYFORMULA(TRIM('indice columnas'!$A$2:$A$100)),'indice columnas'!$B$2:$B$100,""""),
col,IFERROR(MATCH(campo,Referencia!$A$1:$AZ$1,0),0),
fila,IFERROR(MATCH(TO_TEXT(D13),ARRAYFORMULA(TO_"&amp;"TEXT(Referencia!$A$2:$A6238)),0),0),
IF(OR(campo="""",campo=""-""),""NO APLICA"",
IF(col=0,""REVISAR EQUIVALENCIA"",
IF(fila=0,""SKU NO ENCONTRADO"",
LET(
valor,INDEX(Referencia!$A$2:$AZ6238,fila,col),
IF(TRIM(TO_TEXT(valor))=TRIM(TO_TEXT(I13)),
""OK"",
"&amp;"""NO COINCIDE. Valor verdadero: ""&amp;IF(valor="""",""[VACÍO]"",TO_TEXT(valor))
)
))))
),""ERROR EN FÓRMULA""))"),"NO APLICA")</f>
        <v>NO APLICA</v>
      </c>
    </row>
    <row r="14">
      <c r="A14" s="83" t="s">
        <v>4078</v>
      </c>
      <c r="B14" s="83" t="s">
        <v>4079</v>
      </c>
      <c r="C14" s="81" t="s">
        <v>4086</v>
      </c>
      <c r="D14" s="83" t="s">
        <v>4093</v>
      </c>
      <c r="E14" s="81" t="s">
        <v>125</v>
      </c>
      <c r="F14" s="84">
        <v>9.0</v>
      </c>
      <c r="G14" s="81" t="s">
        <v>44</v>
      </c>
      <c r="H14" s="81" t="s">
        <v>224</v>
      </c>
      <c r="I14" s="81" t="s">
        <v>125</v>
      </c>
      <c r="J14" s="81" t="s">
        <v>4088</v>
      </c>
      <c r="K14" s="81" t="str">
        <f>IFERROR(__xludf.DUMMYFUNCTION("IF(OR(D14="""",G14=""""),"""",IFERROR(LET(
campo,XLOOKUP(TRIM(G14),ARRAYFORMULA(TRIM('indice columnas'!$A$2:$A$100)),'indice columnas'!$B$2:$B$100,""""),
col,IFERROR(MATCH(campo,Referencia!$A$1:$AZ$1,0),0),
fila,IFERROR(MATCH(TO_TEXT(D14),ARRAYFORMULA(TO_"&amp;"TEXT(Referencia!$A$2:$A6238)),0),0),
IF(OR(campo="""",campo=""-""),""NO APLICA"",
IF(col=0,""REVISAR EQUIVALENCIA"",
IF(fila=0,""SKU NO ENCONTRADO"",
LET(
valor,INDEX(Referencia!$A$2:$AZ6238,fila,col),
IF(TRIM(TO_TEXT(valor))=TRIM(TO_TEXT(I14)),
""OK"",
"&amp;"""NO COINCIDE. Valor verdadero: ""&amp;IF(valor="""",""[VACÍO]"",TO_TEXT(valor))
)
))))
),""ERROR EN FÓRMULA""))"),"NO APLICA")</f>
        <v>NO APLICA</v>
      </c>
    </row>
    <row r="15">
      <c r="A15" s="83" t="s">
        <v>4078</v>
      </c>
      <c r="B15" s="83" t="s">
        <v>4079</v>
      </c>
      <c r="C15" s="81" t="s">
        <v>4086</v>
      </c>
      <c r="D15" s="83" t="s">
        <v>4094</v>
      </c>
      <c r="E15" s="81" t="s">
        <v>139</v>
      </c>
      <c r="F15" s="84">
        <v>10.0</v>
      </c>
      <c r="G15" s="81" t="s">
        <v>44</v>
      </c>
      <c r="H15" s="81" t="s">
        <v>224</v>
      </c>
      <c r="I15" s="81" t="s">
        <v>139</v>
      </c>
      <c r="J15" s="81" t="s">
        <v>4088</v>
      </c>
      <c r="K15" s="81" t="str">
        <f>IFERROR(__xludf.DUMMYFUNCTION("IF(OR(D15="""",G15=""""),"""",IFERROR(LET(
campo,XLOOKUP(TRIM(G15),ARRAYFORMULA(TRIM('indice columnas'!$A$2:$A$100)),'indice columnas'!$B$2:$B$100,""""),
col,IFERROR(MATCH(campo,Referencia!$A$1:$AZ$1,0),0),
fila,IFERROR(MATCH(TO_TEXT(D15),ARRAYFORMULA(TO_"&amp;"TEXT(Referencia!$A$2:$A6238)),0),0),
IF(OR(campo="""",campo=""-""),""NO APLICA"",
IF(col=0,""REVISAR EQUIVALENCIA"",
IF(fila=0,""SKU NO ENCONTRADO"",
LET(
valor,INDEX(Referencia!$A$2:$AZ6238,fila,col),
IF(TRIM(TO_TEXT(valor))=TRIM(TO_TEXT(I15)),
""OK"",
"&amp;"""NO COINCIDE. Valor verdadero: ""&amp;IF(valor="""",""[VACÍO]"",TO_TEXT(valor))
)
))))
),""ERROR EN FÓRMULA""))"),"NO APLICA")</f>
        <v>NO APLICA</v>
      </c>
    </row>
    <row r="16">
      <c r="A16" s="83" t="s">
        <v>4078</v>
      </c>
      <c r="B16" s="83" t="s">
        <v>4079</v>
      </c>
      <c r="C16" s="81" t="s">
        <v>4086</v>
      </c>
      <c r="D16" s="83" t="s">
        <v>4094</v>
      </c>
      <c r="E16" s="81" t="s">
        <v>154</v>
      </c>
      <c r="F16" s="84">
        <v>11.0</v>
      </c>
      <c r="G16" s="81" t="s">
        <v>44</v>
      </c>
      <c r="H16" s="81" t="s">
        <v>224</v>
      </c>
      <c r="I16" s="81" t="s">
        <v>139</v>
      </c>
      <c r="J16" s="81" t="s">
        <v>4088</v>
      </c>
      <c r="K16" s="81" t="str">
        <f>IFERROR(__xludf.DUMMYFUNCTION("IF(OR(D16="""",G16=""""),"""",IFERROR(LET(
campo,XLOOKUP(TRIM(G16),ARRAYFORMULA(TRIM('indice columnas'!$A$2:$A$100)),'indice columnas'!$B$2:$B$100,""""),
col,IFERROR(MATCH(campo,Referencia!$A$1:$AZ$1,0),0),
fila,IFERROR(MATCH(TO_TEXT(D16),ARRAYFORMULA(TO_"&amp;"TEXT(Referencia!$A$2:$A6238)),0),0),
IF(OR(campo="""",campo=""-""),""NO APLICA"",
IF(col=0,""REVISAR EQUIVALENCIA"",
IF(fila=0,""SKU NO ENCONTRADO"",
LET(
valor,INDEX(Referencia!$A$2:$AZ6238,fila,col),
IF(TRIM(TO_TEXT(valor))=TRIM(TO_TEXT(I16)),
""OK"",
"&amp;"""NO COINCIDE. Valor verdadero: ""&amp;IF(valor="""",""[VACÍO]"",TO_TEXT(valor))
)
))))
),""ERROR EN FÓRMULA""))"),"NO APLICA")</f>
        <v>NO APLICA</v>
      </c>
    </row>
    <row r="17">
      <c r="A17" s="83" t="s">
        <v>4078</v>
      </c>
      <c r="B17" s="83" t="s">
        <v>4079</v>
      </c>
      <c r="C17" s="81" t="s">
        <v>4086</v>
      </c>
      <c r="D17" s="83" t="s">
        <v>4095</v>
      </c>
      <c r="E17" s="81" t="s">
        <v>155</v>
      </c>
      <c r="F17" s="84">
        <v>12.0</v>
      </c>
      <c r="G17" s="81" t="s">
        <v>44</v>
      </c>
      <c r="H17" s="81" t="s">
        <v>224</v>
      </c>
      <c r="I17" s="81" t="s">
        <v>139</v>
      </c>
      <c r="J17" s="81" t="s">
        <v>4088</v>
      </c>
      <c r="K17" s="81" t="str">
        <f>IFERROR(__xludf.DUMMYFUNCTION("IF(OR(D17="""",G17=""""),"""",IFERROR(LET(
campo,XLOOKUP(TRIM(G17),ARRAYFORMULA(TRIM('indice columnas'!$A$2:$A$100)),'indice columnas'!$B$2:$B$100,""""),
col,IFERROR(MATCH(campo,Referencia!$A$1:$AZ$1,0),0),
fila,IFERROR(MATCH(TO_TEXT(D17),ARRAYFORMULA(TO_"&amp;"TEXT(Referencia!$A$2:$A6238)),0),0),
IF(OR(campo="""",campo=""-""),""NO APLICA"",
IF(col=0,""REVISAR EQUIVALENCIA"",
IF(fila=0,""SKU NO ENCONTRADO"",
LET(
valor,INDEX(Referencia!$A$2:$AZ6238,fila,col),
IF(TRIM(TO_TEXT(valor))=TRIM(TO_TEXT(I17)),
""OK"",
"&amp;"""NO COINCIDE. Valor verdadero: ""&amp;IF(valor="""",""[VACÍO]"",TO_TEXT(valor))
)
))))
),""ERROR EN FÓRMULA""))"),"NO APLICA")</f>
        <v>NO APLICA</v>
      </c>
    </row>
    <row r="18">
      <c r="A18" s="83" t="s">
        <v>4078</v>
      </c>
      <c r="B18" s="83" t="s">
        <v>4079</v>
      </c>
      <c r="C18" s="81" t="s">
        <v>4086</v>
      </c>
      <c r="D18" s="83" t="s">
        <v>4096</v>
      </c>
      <c r="E18" s="81" t="s">
        <v>158</v>
      </c>
      <c r="F18" s="84">
        <v>13.0</v>
      </c>
      <c r="G18" s="81" t="s">
        <v>44</v>
      </c>
      <c r="H18" s="81" t="s">
        <v>224</v>
      </c>
      <c r="I18" s="81" t="s">
        <v>158</v>
      </c>
      <c r="J18" s="81" t="s">
        <v>4088</v>
      </c>
      <c r="K18" s="81" t="str">
        <f>IFERROR(__xludf.DUMMYFUNCTION("IF(OR(D18="""",G18=""""),"""",IFERROR(LET(
campo,XLOOKUP(TRIM(G18),ARRAYFORMULA(TRIM('indice columnas'!$A$2:$A$100)),'indice columnas'!$B$2:$B$100,""""),
col,IFERROR(MATCH(campo,Referencia!$A$1:$AZ$1,0),0),
fila,IFERROR(MATCH(TO_TEXT(D18),ARRAYFORMULA(TO_"&amp;"TEXT(Referencia!$A$2:$A6238)),0),0),
IF(OR(campo="""",campo=""-""),""NO APLICA"",
IF(col=0,""REVISAR EQUIVALENCIA"",
IF(fila=0,""SKU NO ENCONTRADO"",
LET(
valor,INDEX(Referencia!$A$2:$AZ6238,fila,col),
IF(TRIM(TO_TEXT(valor))=TRIM(TO_TEXT(I18)),
""OK"",
"&amp;"""NO COINCIDE. Valor verdadero: ""&amp;IF(valor="""",""[VACÍO]"",TO_TEXT(valor))
)
))))
),""ERROR EN FÓRMULA""))"),"NO APLICA")</f>
        <v>NO APLICA</v>
      </c>
    </row>
    <row r="19">
      <c r="A19" s="83" t="s">
        <v>4078</v>
      </c>
      <c r="B19" s="83" t="s">
        <v>4079</v>
      </c>
      <c r="C19" s="81" t="s">
        <v>4086</v>
      </c>
      <c r="D19" s="83" t="s">
        <v>4096</v>
      </c>
      <c r="E19" s="81" t="s">
        <v>170</v>
      </c>
      <c r="F19" s="84">
        <v>14.0</v>
      </c>
      <c r="G19" s="81" t="s">
        <v>44</v>
      </c>
      <c r="H19" s="81" t="s">
        <v>224</v>
      </c>
      <c r="I19" s="81" t="s">
        <v>158</v>
      </c>
      <c r="J19" s="81" t="s">
        <v>4088</v>
      </c>
      <c r="K19" s="81" t="str">
        <f>IFERROR(__xludf.DUMMYFUNCTION("IF(OR(D19="""",G19=""""),"""",IFERROR(LET(
campo,XLOOKUP(TRIM(G19),ARRAYFORMULA(TRIM('indice columnas'!$A$2:$A$100)),'indice columnas'!$B$2:$B$100,""""),
col,IFERROR(MATCH(campo,Referencia!$A$1:$AZ$1,0),0),
fila,IFERROR(MATCH(TO_TEXT(D19),ARRAYFORMULA(TO_"&amp;"TEXT(Referencia!$A$2:$A6238)),0),0),
IF(OR(campo="""",campo=""-""),""NO APLICA"",
IF(col=0,""REVISAR EQUIVALENCIA"",
IF(fila=0,""SKU NO ENCONTRADO"",
LET(
valor,INDEX(Referencia!$A$2:$AZ6238,fila,col),
IF(TRIM(TO_TEXT(valor))=TRIM(TO_TEXT(I19)),
""OK"",
"&amp;"""NO COINCIDE. Valor verdadero: ""&amp;IF(valor="""",""[VACÍO]"",TO_TEXT(valor))
)
))))
),""ERROR EN FÓRMULA""))"),"NO APLICA")</f>
        <v>NO APLICA</v>
      </c>
    </row>
    <row r="20">
      <c r="A20" s="83" t="s">
        <v>4078</v>
      </c>
      <c r="B20" s="83" t="s">
        <v>4079</v>
      </c>
      <c r="C20" s="81" t="s">
        <v>4086</v>
      </c>
      <c r="D20" s="83" t="s">
        <v>4097</v>
      </c>
      <c r="E20" s="81" t="s">
        <v>172</v>
      </c>
      <c r="F20" s="84">
        <v>15.0</v>
      </c>
      <c r="G20" s="81" t="s">
        <v>44</v>
      </c>
      <c r="H20" s="81" t="s">
        <v>224</v>
      </c>
      <c r="I20" s="81" t="s">
        <v>158</v>
      </c>
      <c r="J20" s="81" t="s">
        <v>4088</v>
      </c>
      <c r="K20" s="81" t="str">
        <f>IFERROR(__xludf.DUMMYFUNCTION("IF(OR(D20="""",G20=""""),"""",IFERROR(LET(
campo,XLOOKUP(TRIM(G20),ARRAYFORMULA(TRIM('indice columnas'!$A$2:$A$100)),'indice columnas'!$B$2:$B$100,""""),
col,IFERROR(MATCH(campo,Referencia!$A$1:$AZ$1,0),0),
fila,IFERROR(MATCH(TO_TEXT(D20),ARRAYFORMULA(TO_"&amp;"TEXT(Referencia!$A$2:$A6238)),0),0),
IF(OR(campo="""",campo=""-""),""NO APLICA"",
IF(col=0,""REVISAR EQUIVALENCIA"",
IF(fila=0,""SKU NO ENCONTRADO"",
LET(
valor,INDEX(Referencia!$A$2:$AZ6238,fila,col),
IF(TRIM(TO_TEXT(valor))=TRIM(TO_TEXT(I20)),
""OK"",
"&amp;"""NO COINCIDE. Valor verdadero: ""&amp;IF(valor="""",""[VACÍO]"",TO_TEXT(valor))
)
))))
),""ERROR EN FÓRMULA""))"),"NO APLICA")</f>
        <v>NO APLICA</v>
      </c>
    </row>
    <row r="21">
      <c r="A21" s="83" t="s">
        <v>4078</v>
      </c>
      <c r="B21" s="83" t="s">
        <v>4079</v>
      </c>
      <c r="C21" s="81" t="s">
        <v>4086</v>
      </c>
      <c r="D21" s="83" t="s">
        <v>4098</v>
      </c>
      <c r="E21" s="81" t="s">
        <v>175</v>
      </c>
      <c r="F21" s="84">
        <v>16.0</v>
      </c>
      <c r="G21" s="81" t="s">
        <v>44</v>
      </c>
      <c r="H21" s="81" t="s">
        <v>224</v>
      </c>
      <c r="I21" s="81" t="s">
        <v>175</v>
      </c>
      <c r="J21" s="81" t="s">
        <v>4088</v>
      </c>
      <c r="K21" s="81" t="str">
        <f>IFERROR(__xludf.DUMMYFUNCTION("IF(OR(D21="""",G21=""""),"""",IFERROR(LET(
campo,XLOOKUP(TRIM(G21),ARRAYFORMULA(TRIM('indice columnas'!$A$2:$A$100)),'indice columnas'!$B$2:$B$100,""""),
col,IFERROR(MATCH(campo,Referencia!$A$1:$AZ$1,0),0),
fila,IFERROR(MATCH(TO_TEXT(D21),ARRAYFORMULA(TO_"&amp;"TEXT(Referencia!$A$2:$A6238)),0),0),
IF(OR(campo="""",campo=""-""),""NO APLICA"",
IF(col=0,""REVISAR EQUIVALENCIA"",
IF(fila=0,""SKU NO ENCONTRADO"",
LET(
valor,INDEX(Referencia!$A$2:$AZ6238,fila,col),
IF(TRIM(TO_TEXT(valor))=TRIM(TO_TEXT(I21)),
""OK"",
"&amp;"""NO COINCIDE. Valor verdadero: ""&amp;IF(valor="""",""[VACÍO]"",TO_TEXT(valor))
)
))))
),""ERROR EN FÓRMULA""))"),"NO APLICA")</f>
        <v>NO APLICA</v>
      </c>
    </row>
    <row r="22">
      <c r="A22" s="83" t="s">
        <v>4078</v>
      </c>
      <c r="B22" s="83" t="s">
        <v>4079</v>
      </c>
      <c r="C22" s="81" t="s">
        <v>4086</v>
      </c>
      <c r="D22" s="83" t="s">
        <v>4099</v>
      </c>
      <c r="E22" s="81" t="s">
        <v>187</v>
      </c>
      <c r="F22" s="84">
        <v>17.0</v>
      </c>
      <c r="G22" s="81" t="s">
        <v>44</v>
      </c>
      <c r="H22" s="81" t="s">
        <v>224</v>
      </c>
      <c r="I22" s="81" t="s">
        <v>187</v>
      </c>
      <c r="J22" s="81" t="s">
        <v>4088</v>
      </c>
      <c r="K22" s="81" t="str">
        <f>IFERROR(__xludf.DUMMYFUNCTION("IF(OR(D22="""",G22=""""),"""",IFERROR(LET(
campo,XLOOKUP(TRIM(G22),ARRAYFORMULA(TRIM('indice columnas'!$A$2:$A$100)),'indice columnas'!$B$2:$B$100,""""),
col,IFERROR(MATCH(campo,Referencia!$A$1:$AZ$1,0),0),
fila,IFERROR(MATCH(TO_TEXT(D22),ARRAYFORMULA(TO_"&amp;"TEXT(Referencia!$A$2:$A6238)),0),0),
IF(OR(campo="""",campo=""-""),""NO APLICA"",
IF(col=0,""REVISAR EQUIVALENCIA"",
IF(fila=0,""SKU NO ENCONTRADO"",
LET(
valor,INDEX(Referencia!$A$2:$AZ6238,fila,col),
IF(TRIM(TO_TEXT(valor))=TRIM(TO_TEXT(I22)),
""OK"",
"&amp;"""NO COINCIDE. Valor verdadero: ""&amp;IF(valor="""",""[VACÍO]"",TO_TEXT(valor))
)
))))
),""ERROR EN FÓRMULA""))"),"NO APLICA")</f>
        <v>NO APLICA</v>
      </c>
    </row>
    <row r="23">
      <c r="A23" s="83" t="s">
        <v>4078</v>
      </c>
      <c r="B23" s="83" t="s">
        <v>4079</v>
      </c>
      <c r="C23" s="81" t="s">
        <v>4086</v>
      </c>
      <c r="D23" s="83" t="s">
        <v>4100</v>
      </c>
      <c r="E23" s="81" t="s">
        <v>200</v>
      </c>
      <c r="F23" s="84">
        <v>18.0</v>
      </c>
      <c r="G23" s="81" t="s">
        <v>44</v>
      </c>
      <c r="H23" s="81" t="s">
        <v>224</v>
      </c>
      <c r="I23" s="81" t="s">
        <v>200</v>
      </c>
      <c r="J23" s="81" t="s">
        <v>4088</v>
      </c>
      <c r="K23" s="81" t="str">
        <f>IFERROR(__xludf.DUMMYFUNCTION("IF(OR(D23="""",G23=""""),"""",IFERROR(LET(
campo,XLOOKUP(TRIM(G23),ARRAYFORMULA(TRIM('indice columnas'!$A$2:$A$100)),'indice columnas'!$B$2:$B$100,""""),
col,IFERROR(MATCH(campo,Referencia!$A$1:$AZ$1,0),0),
fila,IFERROR(MATCH(TO_TEXT(D23),ARRAYFORMULA(TO_"&amp;"TEXT(Referencia!$A$2:$A6238)),0),0),
IF(OR(campo="""",campo=""-""),""NO APLICA"",
IF(col=0,""REVISAR EQUIVALENCIA"",
IF(fila=0,""SKU NO ENCONTRADO"",
LET(
valor,INDEX(Referencia!$A$2:$AZ6238,fila,col),
IF(TRIM(TO_TEXT(valor))=TRIM(TO_TEXT(I23)),
""OK"",
"&amp;"""NO COINCIDE. Valor verdadero: ""&amp;IF(valor="""",""[VACÍO]"",TO_TEXT(valor))
)
))))
),""ERROR EN FÓRMULA""))"),"NO APLICA")</f>
        <v>NO APLICA</v>
      </c>
    </row>
    <row r="24">
      <c r="A24" s="83" t="s">
        <v>4078</v>
      </c>
      <c r="B24" s="83" t="s">
        <v>4079</v>
      </c>
      <c r="C24" s="81" t="s">
        <v>4086</v>
      </c>
      <c r="D24" s="83" t="s">
        <v>4101</v>
      </c>
      <c r="E24" s="81" t="s">
        <v>212</v>
      </c>
      <c r="F24" s="84">
        <v>19.0</v>
      </c>
      <c r="G24" s="81" t="s">
        <v>12</v>
      </c>
      <c r="H24" s="81" t="s">
        <v>224</v>
      </c>
      <c r="I24" s="81" t="s">
        <v>55</v>
      </c>
      <c r="J24" s="81" t="s">
        <v>224</v>
      </c>
      <c r="K24" s="81" t="str">
        <f>IFERROR(__xludf.DUMMYFUNCTION("IF(OR(D24="""",G24=""""),"""",IFERROR(LET(
campo,XLOOKUP(TRIM(G24),ARRAYFORMULA(TRIM('indice columnas'!$A$2:$A$100)),'indice columnas'!$B$2:$B$100,""""),
col,IFERROR(MATCH(campo,Referencia!$A$1:$AZ$1,0),0),
fila,IFERROR(MATCH(TO_TEXT(D24),ARRAYFORMULA(TO_"&amp;"TEXT(Referencia!$A$2:$A6238)),0),0),
IF(OR(campo="""",campo=""-""),""NO APLICA"",
IF(col=0,""REVISAR EQUIVALENCIA"",
IF(fila=0,""SKU NO ENCONTRADO"",
LET(
valor,INDEX(Referencia!$A$2:$AZ6238,fila,col),
IF(TRIM(TO_TEXT(valor))=TRIM(TO_TEXT(I24)),
""OK"",
"&amp;"""NO COINCIDE. Valor verdadero: ""&amp;IF(valor="""",""[VACÍO]"",TO_TEXT(valor))
)
))))
),""ERROR EN FÓRMULA""))"),"OK")</f>
        <v>OK</v>
      </c>
    </row>
    <row r="25">
      <c r="A25" s="83" t="s">
        <v>4078</v>
      </c>
      <c r="B25" s="83" t="s">
        <v>4079</v>
      </c>
      <c r="C25" s="81" t="s">
        <v>4086</v>
      </c>
      <c r="D25" s="83" t="s">
        <v>4101</v>
      </c>
      <c r="E25" s="81" t="s">
        <v>212</v>
      </c>
      <c r="F25" s="84">
        <v>19.0</v>
      </c>
      <c r="G25" s="81" t="s">
        <v>44</v>
      </c>
      <c r="H25" s="81" t="s">
        <v>224</v>
      </c>
      <c r="I25" s="81" t="s">
        <v>212</v>
      </c>
      <c r="J25" s="81" t="s">
        <v>4088</v>
      </c>
      <c r="K25" s="81" t="str">
        <f>IFERROR(__xludf.DUMMYFUNCTION("IF(OR(D25="""",G25=""""),"""",IFERROR(LET(
campo,XLOOKUP(TRIM(G25),ARRAYFORMULA(TRIM('indice columnas'!$A$2:$A$100)),'indice columnas'!$B$2:$B$100,""""),
col,IFERROR(MATCH(campo,Referencia!$A$1:$AZ$1,0),0),
fila,IFERROR(MATCH(TO_TEXT(D25),ARRAYFORMULA(TO_"&amp;"TEXT(Referencia!$A$2:$A6238)),0),0),
IF(OR(campo="""",campo=""-""),""NO APLICA"",
IF(col=0,""REVISAR EQUIVALENCIA"",
IF(fila=0,""SKU NO ENCONTRADO"",
LET(
valor,INDEX(Referencia!$A$2:$AZ6238,fila,col),
IF(TRIM(TO_TEXT(valor))=TRIM(TO_TEXT(I25)),
""OK"",
"&amp;"""NO COINCIDE. Valor verdadero: ""&amp;IF(valor="""",""[VACÍO]"",TO_TEXT(valor))
)
))))
),""ERROR EN FÓRMULA""))"),"NO APLICA")</f>
        <v>NO APLICA</v>
      </c>
    </row>
    <row r="26">
      <c r="A26" s="83" t="s">
        <v>4078</v>
      </c>
      <c r="B26" s="83" t="s">
        <v>4079</v>
      </c>
      <c r="C26" s="81" t="s">
        <v>4086</v>
      </c>
      <c r="D26" s="83" t="s">
        <v>4102</v>
      </c>
      <c r="E26" s="81" t="s">
        <v>226</v>
      </c>
      <c r="F26" s="84">
        <v>20.0</v>
      </c>
      <c r="G26" s="81" t="s">
        <v>44</v>
      </c>
      <c r="H26" s="81" t="s">
        <v>4103</v>
      </c>
      <c r="I26" s="81" t="s">
        <v>226</v>
      </c>
      <c r="J26" s="81" t="s">
        <v>4088</v>
      </c>
      <c r="K26" s="81" t="str">
        <f>IFERROR(__xludf.DUMMYFUNCTION("IF(OR(D26="""",G26=""""),"""",IFERROR(LET(
campo,XLOOKUP(TRIM(G26),ARRAYFORMULA(TRIM('indice columnas'!$A$2:$A$100)),'indice columnas'!$B$2:$B$100,""""),
col,IFERROR(MATCH(campo,Referencia!$A$1:$AZ$1,0),0),
fila,IFERROR(MATCH(TO_TEXT(D26),ARRAYFORMULA(TO_"&amp;"TEXT(Referencia!$A$2:$A6238)),0),0),
IF(OR(campo="""",campo=""-""),""NO APLICA"",
IF(col=0,""REVISAR EQUIVALENCIA"",
IF(fila=0,""SKU NO ENCONTRADO"",
LET(
valor,INDEX(Referencia!$A$2:$AZ6238,fila,col),
IF(TRIM(TO_TEXT(valor))=TRIM(TO_TEXT(I26)),
""OK"",
"&amp;"""NO COINCIDE. Valor verdadero: ""&amp;IF(valor="""",""[VACÍO]"",TO_TEXT(valor))
)
))))
),""ERROR EN FÓRMULA""))"),"NO APLICA")</f>
        <v>NO APLICA</v>
      </c>
    </row>
    <row r="27">
      <c r="A27" s="83" t="s">
        <v>4078</v>
      </c>
      <c r="B27" s="83" t="s">
        <v>4079</v>
      </c>
      <c r="C27" s="81" t="s">
        <v>4086</v>
      </c>
      <c r="D27" s="83" t="s">
        <v>4102</v>
      </c>
      <c r="E27" s="81" t="s">
        <v>239</v>
      </c>
      <c r="F27" s="84">
        <v>21.0</v>
      </c>
      <c r="G27" s="81" t="s">
        <v>12</v>
      </c>
      <c r="H27" s="81" t="s">
        <v>224</v>
      </c>
      <c r="I27" s="81" t="s">
        <v>55</v>
      </c>
      <c r="J27" s="81" t="s">
        <v>224</v>
      </c>
      <c r="K27" s="81" t="str">
        <f>IFERROR(__xludf.DUMMYFUNCTION("IF(OR(D27="""",G27=""""),"""",IFERROR(LET(
campo,XLOOKUP(TRIM(G27),ARRAYFORMULA(TRIM('indice columnas'!$A$2:$A$100)),'indice columnas'!$B$2:$B$100,""""),
col,IFERROR(MATCH(campo,Referencia!$A$1:$AZ$1,0),0),
fila,IFERROR(MATCH(TO_TEXT(D27),ARRAYFORMULA(TO_"&amp;"TEXT(Referencia!$A$2:$A6238)),0),0),
IF(OR(campo="""",campo=""-""),""NO APLICA"",
IF(col=0,""REVISAR EQUIVALENCIA"",
IF(fila=0,""SKU NO ENCONTRADO"",
LET(
valor,INDEX(Referencia!$A$2:$AZ6238,fila,col),
IF(TRIM(TO_TEXT(valor))=TRIM(TO_TEXT(I27)),
""OK"",
"&amp;"""NO COINCIDE. Valor verdadero: ""&amp;IF(valor="""",""[VACÍO]"",TO_TEXT(valor))
)
))))
),""ERROR EN FÓRMULA""))"),"OK")</f>
        <v>OK</v>
      </c>
    </row>
    <row r="28">
      <c r="A28" s="83" t="s">
        <v>4078</v>
      </c>
      <c r="B28" s="83" t="s">
        <v>4079</v>
      </c>
      <c r="C28" s="81" t="s">
        <v>4086</v>
      </c>
      <c r="D28" s="83" t="s">
        <v>4102</v>
      </c>
      <c r="E28" s="81" t="s">
        <v>239</v>
      </c>
      <c r="F28" s="84">
        <v>21.0</v>
      </c>
      <c r="G28" s="81" t="s">
        <v>44</v>
      </c>
      <c r="H28" s="81" t="s">
        <v>4103</v>
      </c>
      <c r="I28" s="81" t="s">
        <v>226</v>
      </c>
      <c r="J28" s="81" t="s">
        <v>4088</v>
      </c>
      <c r="K28" s="81" t="str">
        <f>IFERROR(__xludf.DUMMYFUNCTION("IF(OR(D28="""",G28=""""),"""",IFERROR(LET(
campo,XLOOKUP(TRIM(G28),ARRAYFORMULA(TRIM('indice columnas'!$A$2:$A$100)),'indice columnas'!$B$2:$B$100,""""),
col,IFERROR(MATCH(campo,Referencia!$A$1:$AZ$1,0),0),
fila,IFERROR(MATCH(TO_TEXT(D28),ARRAYFORMULA(TO_"&amp;"TEXT(Referencia!$A$2:$A6238)),0),0),
IF(OR(campo="""",campo=""-""),""NO APLICA"",
IF(col=0,""REVISAR EQUIVALENCIA"",
IF(fila=0,""SKU NO ENCONTRADO"",
LET(
valor,INDEX(Referencia!$A$2:$AZ6238,fila,col),
IF(TRIM(TO_TEXT(valor))=TRIM(TO_TEXT(I28)),
""OK"",
"&amp;"""NO COINCIDE. Valor verdadero: ""&amp;IF(valor="""",""[VACÍO]"",TO_TEXT(valor))
)
))))
),""ERROR EN FÓRMULA""))"),"NO APLICA")</f>
        <v>NO APLICA</v>
      </c>
    </row>
    <row r="29">
      <c r="A29" s="83" t="s">
        <v>4078</v>
      </c>
      <c r="B29" s="83" t="s">
        <v>4079</v>
      </c>
      <c r="C29" s="81" t="s">
        <v>4086</v>
      </c>
      <c r="D29" s="83" t="s">
        <v>4104</v>
      </c>
      <c r="E29" s="81" t="s">
        <v>241</v>
      </c>
      <c r="F29" s="84">
        <v>22.0</v>
      </c>
      <c r="G29" s="81" t="s">
        <v>12</v>
      </c>
      <c r="H29" s="81" t="s">
        <v>224</v>
      </c>
      <c r="I29" s="81" t="s">
        <v>55</v>
      </c>
      <c r="J29" s="81" t="s">
        <v>224</v>
      </c>
      <c r="K29" s="81" t="str">
        <f>IFERROR(__xludf.DUMMYFUNCTION("IF(OR(D29="""",G29=""""),"""",IFERROR(LET(
campo,XLOOKUP(TRIM(G29),ARRAYFORMULA(TRIM('indice columnas'!$A$2:$A$100)),'indice columnas'!$B$2:$B$100,""""),
col,IFERROR(MATCH(campo,Referencia!$A$1:$AZ$1,0),0),
fila,IFERROR(MATCH(TO_TEXT(D29),ARRAYFORMULA(TO_"&amp;"TEXT(Referencia!$A$2:$A6238)),0),0),
IF(OR(campo="""",campo=""-""),""NO APLICA"",
IF(col=0,""REVISAR EQUIVALENCIA"",
IF(fila=0,""SKU NO ENCONTRADO"",
LET(
valor,INDEX(Referencia!$A$2:$AZ6238,fila,col),
IF(TRIM(TO_TEXT(valor))=TRIM(TO_TEXT(I29)),
""OK"",
"&amp;"""NO COINCIDE. Valor verdadero: ""&amp;IF(valor="""",""[VACÍO]"",TO_TEXT(valor))
)
))))
),""ERROR EN FÓRMULA""))"),"OK")</f>
        <v>OK</v>
      </c>
    </row>
    <row r="30">
      <c r="A30" s="83" t="s">
        <v>4078</v>
      </c>
      <c r="B30" s="83" t="s">
        <v>4079</v>
      </c>
      <c r="C30" s="81" t="s">
        <v>4086</v>
      </c>
      <c r="D30" s="83" t="s">
        <v>4104</v>
      </c>
      <c r="E30" s="81" t="s">
        <v>241</v>
      </c>
      <c r="F30" s="84">
        <v>22.0</v>
      </c>
      <c r="G30" s="81" t="s">
        <v>44</v>
      </c>
      <c r="H30" s="81" t="s">
        <v>4103</v>
      </c>
      <c r="I30" s="81" t="s">
        <v>226</v>
      </c>
      <c r="J30" s="81" t="s">
        <v>4088</v>
      </c>
      <c r="K30" s="81" t="str">
        <f>IFERROR(__xludf.DUMMYFUNCTION("IF(OR(D30="""",G30=""""),"""",IFERROR(LET(
campo,XLOOKUP(TRIM(G30),ARRAYFORMULA(TRIM('indice columnas'!$A$2:$A$100)),'indice columnas'!$B$2:$B$100,""""),
col,IFERROR(MATCH(campo,Referencia!$A$1:$AZ$1,0),0),
fila,IFERROR(MATCH(TO_TEXT(D30),ARRAYFORMULA(TO_"&amp;"TEXT(Referencia!$A$2:$A6238)),0),0),
IF(OR(campo="""",campo=""-""),""NO APLICA"",
IF(col=0,""REVISAR EQUIVALENCIA"",
IF(fila=0,""SKU NO ENCONTRADO"",
LET(
valor,INDEX(Referencia!$A$2:$AZ6238,fila,col),
IF(TRIM(TO_TEXT(valor))=TRIM(TO_TEXT(I30)),
""OK"",
"&amp;"""NO COINCIDE. Valor verdadero: ""&amp;IF(valor="""",""[VACÍO]"",TO_TEXT(valor))
)
))))
),""ERROR EN FÓRMULA""))"),"NO APLICA")</f>
        <v>NO APLICA</v>
      </c>
    </row>
    <row r="31">
      <c r="A31" s="83" t="s">
        <v>4078</v>
      </c>
      <c r="B31" s="83" t="s">
        <v>4079</v>
      </c>
      <c r="C31" s="81" t="s">
        <v>4086</v>
      </c>
      <c r="D31" s="83" t="s">
        <v>4105</v>
      </c>
      <c r="E31" s="81" t="s">
        <v>244</v>
      </c>
      <c r="F31" s="84">
        <v>23.0</v>
      </c>
      <c r="G31" s="81" t="s">
        <v>12</v>
      </c>
      <c r="H31" s="81" t="s">
        <v>224</v>
      </c>
      <c r="I31" s="81" t="s">
        <v>55</v>
      </c>
      <c r="J31" s="81" t="s">
        <v>224</v>
      </c>
      <c r="K31" s="81" t="str">
        <f>IFERROR(__xludf.DUMMYFUNCTION("IF(OR(D31="""",G31=""""),"""",IFERROR(LET(
campo,XLOOKUP(TRIM(G31),ARRAYFORMULA(TRIM('indice columnas'!$A$2:$A$100)),'indice columnas'!$B$2:$B$100,""""),
col,IFERROR(MATCH(campo,Referencia!$A$1:$AZ$1,0),0),
fila,IFERROR(MATCH(TO_TEXT(D31),ARRAYFORMULA(TO_"&amp;"TEXT(Referencia!$A$2:$A6238)),0),0),
IF(OR(campo="""",campo=""-""),""NO APLICA"",
IF(col=0,""REVISAR EQUIVALENCIA"",
IF(fila=0,""SKU NO ENCONTRADO"",
LET(
valor,INDEX(Referencia!$A$2:$AZ6238,fila,col),
IF(TRIM(TO_TEXT(valor))=TRIM(TO_TEXT(I31)),
""OK"",
"&amp;"""NO COINCIDE. Valor verdadero: ""&amp;IF(valor="""",""[VACÍO]"",TO_TEXT(valor))
)
))))
),""ERROR EN FÓRMULA""))"),"OK")</f>
        <v>OK</v>
      </c>
    </row>
    <row r="32">
      <c r="A32" s="83" t="s">
        <v>4078</v>
      </c>
      <c r="B32" s="83" t="s">
        <v>4079</v>
      </c>
      <c r="C32" s="81" t="s">
        <v>4086</v>
      </c>
      <c r="D32" s="83" t="s">
        <v>4105</v>
      </c>
      <c r="E32" s="81" t="s">
        <v>244</v>
      </c>
      <c r="F32" s="84">
        <v>23.0</v>
      </c>
      <c r="G32" s="81" t="s">
        <v>44</v>
      </c>
      <c r="H32" s="81" t="s">
        <v>4103</v>
      </c>
      <c r="I32" s="81" t="s">
        <v>226</v>
      </c>
      <c r="J32" s="81" t="s">
        <v>4088</v>
      </c>
      <c r="K32" s="81" t="str">
        <f>IFERROR(__xludf.DUMMYFUNCTION("IF(OR(D32="""",G32=""""),"""",IFERROR(LET(
campo,XLOOKUP(TRIM(G32),ARRAYFORMULA(TRIM('indice columnas'!$A$2:$A$100)),'indice columnas'!$B$2:$B$100,""""),
col,IFERROR(MATCH(campo,Referencia!$A$1:$AZ$1,0),0),
fila,IFERROR(MATCH(TO_TEXT(D32),ARRAYFORMULA(TO_"&amp;"TEXT(Referencia!$A$2:$A6238)),0),0),
IF(OR(campo="""",campo=""-""),""NO APLICA"",
IF(col=0,""REVISAR EQUIVALENCIA"",
IF(fila=0,""SKU NO ENCONTRADO"",
LET(
valor,INDEX(Referencia!$A$2:$AZ6238,fila,col),
IF(TRIM(TO_TEXT(valor))=TRIM(TO_TEXT(I32)),
""OK"",
"&amp;"""NO COINCIDE. Valor verdadero: ""&amp;IF(valor="""",""[VACÍO]"",TO_TEXT(valor))
)
))))
),""ERROR EN FÓRMULA""))"),"NO APLICA")</f>
        <v>NO APLICA</v>
      </c>
    </row>
    <row r="33">
      <c r="A33" s="83" t="s">
        <v>4078</v>
      </c>
      <c r="B33" s="83" t="s">
        <v>4079</v>
      </c>
      <c r="C33" s="81" t="s">
        <v>4086</v>
      </c>
      <c r="D33" s="83" t="s">
        <v>4106</v>
      </c>
      <c r="E33" s="81" t="s">
        <v>251</v>
      </c>
      <c r="F33" s="84">
        <v>24.0</v>
      </c>
      <c r="G33" s="81" t="s">
        <v>12</v>
      </c>
      <c r="H33" s="81" t="s">
        <v>224</v>
      </c>
      <c r="I33" s="81" t="s">
        <v>55</v>
      </c>
      <c r="J33" s="81" t="s">
        <v>224</v>
      </c>
      <c r="K33" s="81" t="str">
        <f>IFERROR(__xludf.DUMMYFUNCTION("IF(OR(D33="""",G33=""""),"""",IFERROR(LET(
campo,XLOOKUP(TRIM(G33),ARRAYFORMULA(TRIM('indice columnas'!$A$2:$A$100)),'indice columnas'!$B$2:$B$100,""""),
col,IFERROR(MATCH(campo,Referencia!$A$1:$AZ$1,0),0),
fila,IFERROR(MATCH(TO_TEXT(D33),ARRAYFORMULA(TO_"&amp;"TEXT(Referencia!$A$2:$A6238)),0),0),
IF(OR(campo="""",campo=""-""),""NO APLICA"",
IF(col=0,""REVISAR EQUIVALENCIA"",
IF(fila=0,""SKU NO ENCONTRADO"",
LET(
valor,INDEX(Referencia!$A$2:$AZ6238,fila,col),
IF(TRIM(TO_TEXT(valor))=TRIM(TO_TEXT(I33)),
""OK"",
"&amp;"""NO COINCIDE. Valor verdadero: ""&amp;IF(valor="""",""[VACÍO]"",TO_TEXT(valor))
)
))))
),""ERROR EN FÓRMULA""))"),"OK")</f>
        <v>OK</v>
      </c>
    </row>
    <row r="34">
      <c r="A34" s="83" t="s">
        <v>4078</v>
      </c>
      <c r="B34" s="83" t="s">
        <v>4079</v>
      </c>
      <c r="C34" s="81" t="s">
        <v>4086</v>
      </c>
      <c r="D34" s="83" t="s">
        <v>4106</v>
      </c>
      <c r="E34" s="81" t="s">
        <v>251</v>
      </c>
      <c r="F34" s="84">
        <v>24.0</v>
      </c>
      <c r="G34" s="81" t="s">
        <v>44</v>
      </c>
      <c r="H34" s="81" t="s">
        <v>4103</v>
      </c>
      <c r="I34" s="81" t="s">
        <v>226</v>
      </c>
      <c r="J34" s="81" t="s">
        <v>4088</v>
      </c>
      <c r="K34" s="81" t="str">
        <f>IFERROR(__xludf.DUMMYFUNCTION("IF(OR(D34="""",G34=""""),"""",IFERROR(LET(
campo,XLOOKUP(TRIM(G34),ARRAYFORMULA(TRIM('indice columnas'!$A$2:$A$100)),'indice columnas'!$B$2:$B$100,""""),
col,IFERROR(MATCH(campo,Referencia!$A$1:$AZ$1,0),0),
fila,IFERROR(MATCH(TO_TEXT(D34),ARRAYFORMULA(TO_"&amp;"TEXT(Referencia!$A$2:$A6238)),0),0),
IF(OR(campo="""",campo=""-""),""NO APLICA"",
IF(col=0,""REVISAR EQUIVALENCIA"",
IF(fila=0,""SKU NO ENCONTRADO"",
LET(
valor,INDEX(Referencia!$A$2:$AZ6238,fila,col),
IF(TRIM(TO_TEXT(valor))=TRIM(TO_TEXT(I34)),
""OK"",
"&amp;"""NO COINCIDE. Valor verdadero: ""&amp;IF(valor="""",""[VACÍO]"",TO_TEXT(valor))
)
))))
),""ERROR EN FÓRMULA""))"),"NO APLICA")</f>
        <v>NO APLICA</v>
      </c>
    </row>
    <row r="35">
      <c r="A35" s="83" t="s">
        <v>4078</v>
      </c>
      <c r="B35" s="83" t="s">
        <v>4079</v>
      </c>
      <c r="C35" s="81" t="s">
        <v>4086</v>
      </c>
      <c r="D35" s="83" t="s">
        <v>4107</v>
      </c>
      <c r="E35" s="81" t="s">
        <v>254</v>
      </c>
      <c r="F35" s="84">
        <v>25.0</v>
      </c>
      <c r="G35" s="81" t="s">
        <v>12</v>
      </c>
      <c r="H35" s="81" t="s">
        <v>224</v>
      </c>
      <c r="I35" s="81" t="s">
        <v>55</v>
      </c>
      <c r="J35" s="81" t="s">
        <v>224</v>
      </c>
      <c r="K35" s="81" t="str">
        <f>IFERROR(__xludf.DUMMYFUNCTION("IF(OR(D35="""",G35=""""),"""",IFERROR(LET(
campo,XLOOKUP(TRIM(G35),ARRAYFORMULA(TRIM('indice columnas'!$A$2:$A$100)),'indice columnas'!$B$2:$B$100,""""),
col,IFERROR(MATCH(campo,Referencia!$A$1:$AZ$1,0),0),
fila,IFERROR(MATCH(TO_TEXT(D35),ARRAYFORMULA(TO_"&amp;"TEXT(Referencia!$A$2:$A6238)),0),0),
IF(OR(campo="""",campo=""-""),""NO APLICA"",
IF(col=0,""REVISAR EQUIVALENCIA"",
IF(fila=0,""SKU NO ENCONTRADO"",
LET(
valor,INDEX(Referencia!$A$2:$AZ6238,fila,col),
IF(TRIM(TO_TEXT(valor))=TRIM(TO_TEXT(I35)),
""OK"",
"&amp;"""NO COINCIDE. Valor verdadero: ""&amp;IF(valor="""",""[VACÍO]"",TO_TEXT(valor))
)
))))
),""ERROR EN FÓRMULA""))"),"OK")</f>
        <v>OK</v>
      </c>
    </row>
    <row r="36">
      <c r="A36" s="83" t="s">
        <v>4078</v>
      </c>
      <c r="B36" s="83" t="s">
        <v>4079</v>
      </c>
      <c r="C36" s="81" t="s">
        <v>4086</v>
      </c>
      <c r="D36" s="83" t="s">
        <v>4107</v>
      </c>
      <c r="E36" s="81" t="s">
        <v>254</v>
      </c>
      <c r="F36" s="84">
        <v>25.0</v>
      </c>
      <c r="G36" s="81" t="s">
        <v>44</v>
      </c>
      <c r="H36" s="81" t="s">
        <v>4103</v>
      </c>
      <c r="I36" s="81" t="s">
        <v>226</v>
      </c>
      <c r="J36" s="81" t="s">
        <v>4088</v>
      </c>
      <c r="K36" s="81" t="str">
        <f>IFERROR(__xludf.DUMMYFUNCTION("IF(OR(D36="""",G36=""""),"""",IFERROR(LET(
campo,XLOOKUP(TRIM(G36),ARRAYFORMULA(TRIM('indice columnas'!$A$2:$A$100)),'indice columnas'!$B$2:$B$100,""""),
col,IFERROR(MATCH(campo,Referencia!$A$1:$AZ$1,0),0),
fila,IFERROR(MATCH(TO_TEXT(D36),ARRAYFORMULA(TO_"&amp;"TEXT(Referencia!$A$2:$A6238)),0),0),
IF(OR(campo="""",campo=""-""),""NO APLICA"",
IF(col=0,""REVISAR EQUIVALENCIA"",
IF(fila=0,""SKU NO ENCONTRADO"",
LET(
valor,INDEX(Referencia!$A$2:$AZ6238,fila,col),
IF(TRIM(TO_TEXT(valor))=TRIM(TO_TEXT(I36)),
""OK"",
"&amp;"""NO COINCIDE. Valor verdadero: ""&amp;IF(valor="""",""[VACÍO]"",TO_TEXT(valor))
)
))))
),""ERROR EN FÓRMULA""))"),"NO APLICA")</f>
        <v>NO APLICA</v>
      </c>
    </row>
    <row r="37">
      <c r="A37" s="83" t="s">
        <v>4078</v>
      </c>
      <c r="B37" s="83" t="s">
        <v>4079</v>
      </c>
      <c r="C37" s="81" t="s">
        <v>4086</v>
      </c>
      <c r="D37" s="83" t="s">
        <v>4108</v>
      </c>
      <c r="E37" s="81" t="s">
        <v>262</v>
      </c>
      <c r="F37" s="84">
        <v>26.0</v>
      </c>
      <c r="G37" s="81" t="s">
        <v>12</v>
      </c>
      <c r="H37" s="81" t="s">
        <v>224</v>
      </c>
      <c r="I37" s="81" t="s">
        <v>55</v>
      </c>
      <c r="J37" s="81" t="s">
        <v>224</v>
      </c>
      <c r="K37" s="81" t="str">
        <f>IFERROR(__xludf.DUMMYFUNCTION("IF(OR(D37="""",G37=""""),"""",IFERROR(LET(
campo,XLOOKUP(TRIM(G37),ARRAYFORMULA(TRIM('indice columnas'!$A$2:$A$100)),'indice columnas'!$B$2:$B$100,""""),
col,IFERROR(MATCH(campo,Referencia!$A$1:$AZ$1,0),0),
fila,IFERROR(MATCH(TO_TEXT(D37),ARRAYFORMULA(TO_"&amp;"TEXT(Referencia!$A$2:$A6238)),0),0),
IF(OR(campo="""",campo=""-""),""NO APLICA"",
IF(col=0,""REVISAR EQUIVALENCIA"",
IF(fila=0,""SKU NO ENCONTRADO"",
LET(
valor,INDEX(Referencia!$A$2:$AZ6238,fila,col),
IF(TRIM(TO_TEXT(valor))=TRIM(TO_TEXT(I37)),
""OK"",
"&amp;"""NO COINCIDE. Valor verdadero: ""&amp;IF(valor="""",""[VACÍO]"",TO_TEXT(valor))
)
))))
),""ERROR EN FÓRMULA""))"),"OK")</f>
        <v>OK</v>
      </c>
    </row>
    <row r="38">
      <c r="A38" s="83" t="s">
        <v>4078</v>
      </c>
      <c r="B38" s="83" t="s">
        <v>4079</v>
      </c>
      <c r="C38" s="81" t="s">
        <v>4086</v>
      </c>
      <c r="D38" s="83" t="s">
        <v>4108</v>
      </c>
      <c r="E38" s="81" t="s">
        <v>262</v>
      </c>
      <c r="F38" s="84">
        <v>26.0</v>
      </c>
      <c r="G38" s="81" t="s">
        <v>44</v>
      </c>
      <c r="H38" s="81" t="s">
        <v>4103</v>
      </c>
      <c r="I38" s="81" t="s">
        <v>226</v>
      </c>
      <c r="J38" s="81" t="s">
        <v>4088</v>
      </c>
      <c r="K38" s="81" t="str">
        <f>IFERROR(__xludf.DUMMYFUNCTION("IF(OR(D38="""",G38=""""),"""",IFERROR(LET(
campo,XLOOKUP(TRIM(G38),ARRAYFORMULA(TRIM('indice columnas'!$A$2:$A$100)),'indice columnas'!$B$2:$B$100,""""),
col,IFERROR(MATCH(campo,Referencia!$A$1:$AZ$1,0),0),
fila,IFERROR(MATCH(TO_TEXT(D38),ARRAYFORMULA(TO_"&amp;"TEXT(Referencia!$A$2:$A6238)),0),0),
IF(OR(campo="""",campo=""-""),""NO APLICA"",
IF(col=0,""REVISAR EQUIVALENCIA"",
IF(fila=0,""SKU NO ENCONTRADO"",
LET(
valor,INDEX(Referencia!$A$2:$AZ6238,fila,col),
IF(TRIM(TO_TEXT(valor))=TRIM(TO_TEXT(I38)),
""OK"",
"&amp;"""NO COINCIDE. Valor verdadero: ""&amp;IF(valor="""",""[VACÍO]"",TO_TEXT(valor))
)
))))
),""ERROR EN FÓRMULA""))"),"NO APLICA")</f>
        <v>NO APLICA</v>
      </c>
    </row>
    <row r="39">
      <c r="A39" s="83" t="s">
        <v>4078</v>
      </c>
      <c r="B39" s="83" t="s">
        <v>4079</v>
      </c>
      <c r="C39" s="81" t="s">
        <v>4086</v>
      </c>
      <c r="D39" s="83" t="s">
        <v>4109</v>
      </c>
      <c r="E39" s="81" t="s">
        <v>265</v>
      </c>
      <c r="F39" s="84">
        <v>27.0</v>
      </c>
      <c r="G39" s="81" t="s">
        <v>12</v>
      </c>
      <c r="H39" s="81" t="s">
        <v>224</v>
      </c>
      <c r="I39" s="81" t="s">
        <v>55</v>
      </c>
      <c r="J39" s="81" t="s">
        <v>224</v>
      </c>
      <c r="K39" s="81" t="str">
        <f>IFERROR(__xludf.DUMMYFUNCTION("IF(OR(D39="""",G39=""""),"""",IFERROR(LET(
campo,XLOOKUP(TRIM(G39),ARRAYFORMULA(TRIM('indice columnas'!$A$2:$A$100)),'indice columnas'!$B$2:$B$100,""""),
col,IFERROR(MATCH(campo,Referencia!$A$1:$AZ$1,0),0),
fila,IFERROR(MATCH(TO_TEXT(D39),ARRAYFORMULA(TO_"&amp;"TEXT(Referencia!$A$2:$A6238)),0),0),
IF(OR(campo="""",campo=""-""),""NO APLICA"",
IF(col=0,""REVISAR EQUIVALENCIA"",
IF(fila=0,""SKU NO ENCONTRADO"",
LET(
valor,INDEX(Referencia!$A$2:$AZ6238,fila,col),
IF(TRIM(TO_TEXT(valor))=TRIM(TO_TEXT(I39)),
""OK"",
"&amp;"""NO COINCIDE. Valor verdadero: ""&amp;IF(valor="""",""[VACÍO]"",TO_TEXT(valor))
)
))))
),""ERROR EN FÓRMULA""))"),"OK")</f>
        <v>OK</v>
      </c>
    </row>
    <row r="40">
      <c r="A40" s="83" t="s">
        <v>4078</v>
      </c>
      <c r="B40" s="83" t="s">
        <v>4079</v>
      </c>
      <c r="C40" s="81" t="s">
        <v>4086</v>
      </c>
      <c r="D40" s="83" t="s">
        <v>4109</v>
      </c>
      <c r="E40" s="81" t="s">
        <v>265</v>
      </c>
      <c r="F40" s="84">
        <v>27.0</v>
      </c>
      <c r="G40" s="81" t="s">
        <v>44</v>
      </c>
      <c r="H40" s="81" t="s">
        <v>4103</v>
      </c>
      <c r="I40" s="81" t="s">
        <v>226</v>
      </c>
      <c r="J40" s="81" t="s">
        <v>4088</v>
      </c>
      <c r="K40" s="81" t="str">
        <f>IFERROR(__xludf.DUMMYFUNCTION("IF(OR(D40="""",G40=""""),"""",IFERROR(LET(
campo,XLOOKUP(TRIM(G40),ARRAYFORMULA(TRIM('indice columnas'!$A$2:$A$100)),'indice columnas'!$B$2:$B$100,""""),
col,IFERROR(MATCH(campo,Referencia!$A$1:$AZ$1,0),0),
fila,IFERROR(MATCH(TO_TEXT(D40),ARRAYFORMULA(TO_"&amp;"TEXT(Referencia!$A$2:$A6238)),0),0),
IF(OR(campo="""",campo=""-""),""NO APLICA"",
IF(col=0,""REVISAR EQUIVALENCIA"",
IF(fila=0,""SKU NO ENCONTRADO"",
LET(
valor,INDEX(Referencia!$A$2:$AZ6238,fila,col),
IF(TRIM(TO_TEXT(valor))=TRIM(TO_TEXT(I40)),
""OK"",
"&amp;"""NO COINCIDE. Valor verdadero: ""&amp;IF(valor="""",""[VACÍO]"",TO_TEXT(valor))
)
))))
),""ERROR EN FÓRMULA""))"),"NO APLICA")</f>
        <v>NO APLICA</v>
      </c>
    </row>
    <row r="41">
      <c r="A41" s="83" t="s">
        <v>4078</v>
      </c>
      <c r="B41" s="83" t="s">
        <v>4079</v>
      </c>
      <c r="C41" s="81" t="s">
        <v>4086</v>
      </c>
      <c r="D41" s="83" t="s">
        <v>4110</v>
      </c>
      <c r="E41" s="81" t="s">
        <v>273</v>
      </c>
      <c r="F41" s="84">
        <v>28.0</v>
      </c>
      <c r="G41" s="81" t="s">
        <v>12</v>
      </c>
      <c r="H41" s="81" t="s">
        <v>224</v>
      </c>
      <c r="I41" s="81" t="s">
        <v>55</v>
      </c>
      <c r="J41" s="81" t="s">
        <v>224</v>
      </c>
      <c r="K41" s="81" t="str">
        <f>IFERROR(__xludf.DUMMYFUNCTION("IF(OR(D41="""",G41=""""),"""",IFERROR(LET(
campo,XLOOKUP(TRIM(G41),ARRAYFORMULA(TRIM('indice columnas'!$A$2:$A$100)),'indice columnas'!$B$2:$B$100,""""),
col,IFERROR(MATCH(campo,Referencia!$A$1:$AZ$1,0),0),
fila,IFERROR(MATCH(TO_TEXT(D41),ARRAYFORMULA(TO_"&amp;"TEXT(Referencia!$A$2:$A6238)),0),0),
IF(OR(campo="""",campo=""-""),""NO APLICA"",
IF(col=0,""REVISAR EQUIVALENCIA"",
IF(fila=0,""SKU NO ENCONTRADO"",
LET(
valor,INDEX(Referencia!$A$2:$AZ6238,fila,col),
IF(TRIM(TO_TEXT(valor))=TRIM(TO_TEXT(I41)),
""OK"",
"&amp;"""NO COINCIDE. Valor verdadero: ""&amp;IF(valor="""",""[VACÍO]"",TO_TEXT(valor))
)
))))
),""ERROR EN FÓRMULA""))"),"OK")</f>
        <v>OK</v>
      </c>
    </row>
    <row r="42">
      <c r="A42" s="83" t="s">
        <v>4078</v>
      </c>
      <c r="B42" s="83" t="s">
        <v>4079</v>
      </c>
      <c r="C42" s="81" t="s">
        <v>4086</v>
      </c>
      <c r="D42" s="83" t="s">
        <v>4110</v>
      </c>
      <c r="E42" s="81" t="s">
        <v>273</v>
      </c>
      <c r="F42" s="84">
        <v>28.0</v>
      </c>
      <c r="G42" s="81" t="s">
        <v>44</v>
      </c>
      <c r="H42" s="81" t="s">
        <v>4103</v>
      </c>
      <c r="I42" s="81" t="s">
        <v>226</v>
      </c>
      <c r="J42" s="81" t="s">
        <v>4088</v>
      </c>
      <c r="K42" s="81" t="str">
        <f>IFERROR(__xludf.DUMMYFUNCTION("IF(OR(D42="""",G42=""""),"""",IFERROR(LET(
campo,XLOOKUP(TRIM(G42),ARRAYFORMULA(TRIM('indice columnas'!$A$2:$A$100)),'indice columnas'!$B$2:$B$100,""""),
col,IFERROR(MATCH(campo,Referencia!$A$1:$AZ$1,0),0),
fila,IFERROR(MATCH(TO_TEXT(D42),ARRAYFORMULA(TO_"&amp;"TEXT(Referencia!$A$2:$A6238)),0),0),
IF(OR(campo="""",campo=""-""),""NO APLICA"",
IF(col=0,""REVISAR EQUIVALENCIA"",
IF(fila=0,""SKU NO ENCONTRADO"",
LET(
valor,INDEX(Referencia!$A$2:$AZ6238,fila,col),
IF(TRIM(TO_TEXT(valor))=TRIM(TO_TEXT(I42)),
""OK"",
"&amp;"""NO COINCIDE. Valor verdadero: ""&amp;IF(valor="""",""[VACÍO]"",TO_TEXT(valor))
)
))))
),""ERROR EN FÓRMULA""))"),"NO APLICA")</f>
        <v>NO APLICA</v>
      </c>
    </row>
    <row r="43">
      <c r="A43" s="83" t="s">
        <v>4078</v>
      </c>
      <c r="B43" s="83" t="s">
        <v>4079</v>
      </c>
      <c r="C43" s="81" t="s">
        <v>4086</v>
      </c>
      <c r="D43" s="83" t="s">
        <v>4111</v>
      </c>
      <c r="E43" s="81" t="s">
        <v>276</v>
      </c>
      <c r="F43" s="84">
        <v>29.0</v>
      </c>
      <c r="G43" s="81" t="s">
        <v>44</v>
      </c>
      <c r="H43" s="81" t="s">
        <v>4112</v>
      </c>
      <c r="I43" s="81" t="s">
        <v>226</v>
      </c>
      <c r="J43" s="81" t="s">
        <v>4088</v>
      </c>
      <c r="K43" s="81" t="str">
        <f>IFERROR(__xludf.DUMMYFUNCTION("IF(OR(D43="""",G43=""""),"""",IFERROR(LET(
campo,XLOOKUP(TRIM(G43),ARRAYFORMULA(TRIM('indice columnas'!$A$2:$A$100)),'indice columnas'!$B$2:$B$100,""""),
col,IFERROR(MATCH(campo,Referencia!$A$1:$AZ$1,0),0),
fila,IFERROR(MATCH(TO_TEXT(D43),ARRAYFORMULA(TO_"&amp;"TEXT(Referencia!$A$2:$A6238)),0),0),
IF(OR(campo="""",campo=""-""),""NO APLICA"",
IF(col=0,""REVISAR EQUIVALENCIA"",
IF(fila=0,""SKU NO ENCONTRADO"",
LET(
valor,INDEX(Referencia!$A$2:$AZ6238,fila,col),
IF(TRIM(TO_TEXT(valor))=TRIM(TO_TEXT(I43)),
""OK"",
"&amp;"""NO COINCIDE. Valor verdadero: ""&amp;IF(valor="""",""[VACÍO]"",TO_TEXT(valor))
)
))))
),""ERROR EN FÓRMULA""))"),"NO APLICA")</f>
        <v>NO APLICA</v>
      </c>
    </row>
    <row r="44">
      <c r="A44" s="83" t="s">
        <v>4078</v>
      </c>
      <c r="B44" s="83" t="s">
        <v>4079</v>
      </c>
      <c r="C44" s="81" t="s">
        <v>4086</v>
      </c>
      <c r="D44" s="83" t="s">
        <v>4111</v>
      </c>
      <c r="E44" s="81" t="s">
        <v>283</v>
      </c>
      <c r="F44" s="84">
        <v>30.0</v>
      </c>
      <c r="G44" s="81" t="s">
        <v>12</v>
      </c>
      <c r="H44" s="81" t="s">
        <v>224</v>
      </c>
      <c r="I44" s="81" t="s">
        <v>55</v>
      </c>
      <c r="J44" s="81" t="s">
        <v>224</v>
      </c>
      <c r="K44" s="81" t="str">
        <f>IFERROR(__xludf.DUMMYFUNCTION("IF(OR(D44="""",G44=""""),"""",IFERROR(LET(
campo,XLOOKUP(TRIM(G44),ARRAYFORMULA(TRIM('indice columnas'!$A$2:$A$100)),'indice columnas'!$B$2:$B$100,""""),
col,IFERROR(MATCH(campo,Referencia!$A$1:$AZ$1,0),0),
fila,IFERROR(MATCH(TO_TEXT(D44),ARRAYFORMULA(TO_"&amp;"TEXT(Referencia!$A$2:$A6238)),0),0),
IF(OR(campo="""",campo=""-""),""NO APLICA"",
IF(col=0,""REVISAR EQUIVALENCIA"",
IF(fila=0,""SKU NO ENCONTRADO"",
LET(
valor,INDEX(Referencia!$A$2:$AZ6238,fila,col),
IF(TRIM(TO_TEXT(valor))=TRIM(TO_TEXT(I44)),
""OK"",
"&amp;"""NO COINCIDE. Valor verdadero: ""&amp;IF(valor="""",""[VACÍO]"",TO_TEXT(valor))
)
))))
),""ERROR EN FÓRMULA""))"),"OK")</f>
        <v>OK</v>
      </c>
    </row>
    <row r="45">
      <c r="A45" s="83" t="s">
        <v>4078</v>
      </c>
      <c r="B45" s="83" t="s">
        <v>4079</v>
      </c>
      <c r="C45" s="81" t="s">
        <v>4086</v>
      </c>
      <c r="D45" s="83" t="s">
        <v>4111</v>
      </c>
      <c r="E45" s="81" t="s">
        <v>283</v>
      </c>
      <c r="F45" s="84">
        <v>30.0</v>
      </c>
      <c r="G45" s="81" t="s">
        <v>44</v>
      </c>
      <c r="H45" s="81" t="s">
        <v>4112</v>
      </c>
      <c r="I45" s="81" t="s">
        <v>226</v>
      </c>
      <c r="J45" s="81" t="s">
        <v>4088</v>
      </c>
      <c r="K45" s="81" t="str">
        <f>IFERROR(__xludf.DUMMYFUNCTION("IF(OR(D45="""",G45=""""),"""",IFERROR(LET(
campo,XLOOKUP(TRIM(G45),ARRAYFORMULA(TRIM('indice columnas'!$A$2:$A$100)),'indice columnas'!$B$2:$B$100,""""),
col,IFERROR(MATCH(campo,Referencia!$A$1:$AZ$1,0),0),
fila,IFERROR(MATCH(TO_TEXT(D45),ARRAYFORMULA(TO_"&amp;"TEXT(Referencia!$A$2:$A6238)),0),0),
IF(OR(campo="""",campo=""-""),""NO APLICA"",
IF(col=0,""REVISAR EQUIVALENCIA"",
IF(fila=0,""SKU NO ENCONTRADO"",
LET(
valor,INDEX(Referencia!$A$2:$AZ6238,fila,col),
IF(TRIM(TO_TEXT(valor))=TRIM(TO_TEXT(I45)),
""OK"",
"&amp;"""NO COINCIDE. Valor verdadero: ""&amp;IF(valor="""",""[VACÍO]"",TO_TEXT(valor))
)
))))
),""ERROR EN FÓRMULA""))"),"NO APLICA")</f>
        <v>NO APLICA</v>
      </c>
    </row>
    <row r="46">
      <c r="A46" s="83" t="s">
        <v>4078</v>
      </c>
      <c r="B46" s="83" t="s">
        <v>4079</v>
      </c>
      <c r="C46" s="81" t="s">
        <v>4086</v>
      </c>
      <c r="D46" s="83" t="s">
        <v>4113</v>
      </c>
      <c r="E46" s="81" t="s">
        <v>284</v>
      </c>
      <c r="F46" s="84">
        <v>31.0</v>
      </c>
      <c r="G46" s="81" t="s">
        <v>12</v>
      </c>
      <c r="H46" s="81" t="s">
        <v>224</v>
      </c>
      <c r="I46" s="81" t="s">
        <v>55</v>
      </c>
      <c r="J46" s="81" t="s">
        <v>224</v>
      </c>
      <c r="K46" s="81" t="str">
        <f>IFERROR(__xludf.DUMMYFUNCTION("IF(OR(D46="""",G46=""""),"""",IFERROR(LET(
campo,XLOOKUP(TRIM(G46),ARRAYFORMULA(TRIM('indice columnas'!$A$2:$A$100)),'indice columnas'!$B$2:$B$100,""""),
col,IFERROR(MATCH(campo,Referencia!$A$1:$AZ$1,0),0),
fila,IFERROR(MATCH(TO_TEXT(D46),ARRAYFORMULA(TO_"&amp;"TEXT(Referencia!$A$2:$A6238)),0),0),
IF(OR(campo="""",campo=""-""),""NO APLICA"",
IF(col=0,""REVISAR EQUIVALENCIA"",
IF(fila=0,""SKU NO ENCONTRADO"",
LET(
valor,INDEX(Referencia!$A$2:$AZ6238,fila,col),
IF(TRIM(TO_TEXT(valor))=TRIM(TO_TEXT(I46)),
""OK"",
"&amp;"""NO COINCIDE. Valor verdadero: ""&amp;IF(valor="""",""[VACÍO]"",TO_TEXT(valor))
)
))))
),""ERROR EN FÓRMULA""))"),"OK")</f>
        <v>OK</v>
      </c>
    </row>
    <row r="47">
      <c r="A47" s="83" t="s">
        <v>4078</v>
      </c>
      <c r="B47" s="83" t="s">
        <v>4079</v>
      </c>
      <c r="C47" s="81" t="s">
        <v>4086</v>
      </c>
      <c r="D47" s="83" t="s">
        <v>4113</v>
      </c>
      <c r="E47" s="81" t="s">
        <v>284</v>
      </c>
      <c r="F47" s="84">
        <v>31.0</v>
      </c>
      <c r="G47" s="81" t="s">
        <v>44</v>
      </c>
      <c r="H47" s="81" t="s">
        <v>4112</v>
      </c>
      <c r="I47" s="81" t="s">
        <v>226</v>
      </c>
      <c r="J47" s="81" t="s">
        <v>4088</v>
      </c>
      <c r="K47" s="81" t="str">
        <f>IFERROR(__xludf.DUMMYFUNCTION("IF(OR(D47="""",G47=""""),"""",IFERROR(LET(
campo,XLOOKUP(TRIM(G47),ARRAYFORMULA(TRIM('indice columnas'!$A$2:$A$100)),'indice columnas'!$B$2:$B$100,""""),
col,IFERROR(MATCH(campo,Referencia!$A$1:$AZ$1,0),0),
fila,IFERROR(MATCH(TO_TEXT(D47),ARRAYFORMULA(TO_"&amp;"TEXT(Referencia!$A$2:$A6238)),0),0),
IF(OR(campo="""",campo=""-""),""NO APLICA"",
IF(col=0,""REVISAR EQUIVALENCIA"",
IF(fila=0,""SKU NO ENCONTRADO"",
LET(
valor,INDEX(Referencia!$A$2:$AZ6238,fila,col),
IF(TRIM(TO_TEXT(valor))=TRIM(TO_TEXT(I47)),
""OK"",
"&amp;"""NO COINCIDE. Valor verdadero: ""&amp;IF(valor="""",""[VACÍO]"",TO_TEXT(valor))
)
))))
),""ERROR EN FÓRMULA""))"),"NO APLICA")</f>
        <v>NO APLICA</v>
      </c>
    </row>
    <row r="48">
      <c r="A48" s="83" t="s">
        <v>4078</v>
      </c>
      <c r="B48" s="83" t="s">
        <v>4079</v>
      </c>
      <c r="C48" s="81" t="s">
        <v>4086</v>
      </c>
      <c r="D48" s="83" t="s">
        <v>4114</v>
      </c>
      <c r="E48" s="81" t="s">
        <v>287</v>
      </c>
      <c r="F48" s="84">
        <v>32.0</v>
      </c>
      <c r="G48" s="81" t="s">
        <v>44</v>
      </c>
      <c r="H48" s="81" t="s">
        <v>224</v>
      </c>
      <c r="I48" s="81" t="s">
        <v>104</v>
      </c>
      <c r="J48" s="81" t="s">
        <v>4088</v>
      </c>
      <c r="K48" s="81" t="str">
        <f>IFERROR(__xludf.DUMMYFUNCTION("IF(OR(D48="""",G48=""""),"""",IFERROR(LET(
campo,XLOOKUP(TRIM(G48),ARRAYFORMULA(TRIM('indice columnas'!$A$2:$A$100)),'indice columnas'!$B$2:$B$100,""""),
col,IFERROR(MATCH(campo,Referencia!$A$1:$AZ$1,0),0),
fila,IFERROR(MATCH(TO_TEXT(D48),ARRAYFORMULA(TO_"&amp;"TEXT(Referencia!$A$2:$A6238)),0),0),
IF(OR(campo="""",campo=""-""),""NO APLICA"",
IF(col=0,""REVISAR EQUIVALENCIA"",
IF(fila=0,""SKU NO ENCONTRADO"",
LET(
valor,INDEX(Referencia!$A$2:$AZ6238,fila,col),
IF(TRIM(TO_TEXT(valor))=TRIM(TO_TEXT(I48)),
""OK"",
"&amp;"""NO COINCIDE. Valor verdadero: ""&amp;IF(valor="""",""[VACÍO]"",TO_TEXT(valor))
)
))))
),""ERROR EN FÓRMULA""))"),"NO APLICA")</f>
        <v>NO APLICA</v>
      </c>
    </row>
    <row r="49">
      <c r="A49" s="83" t="s">
        <v>4078</v>
      </c>
      <c r="B49" s="83" t="s">
        <v>4079</v>
      </c>
      <c r="C49" s="81" t="s">
        <v>4086</v>
      </c>
      <c r="D49" s="83" t="s">
        <v>4115</v>
      </c>
      <c r="E49" s="81" t="s">
        <v>297</v>
      </c>
      <c r="F49" s="84">
        <v>33.0</v>
      </c>
      <c r="G49" s="81" t="s">
        <v>44</v>
      </c>
      <c r="H49" s="81" t="s">
        <v>4116</v>
      </c>
      <c r="I49" s="81" t="s">
        <v>226</v>
      </c>
      <c r="J49" s="81" t="s">
        <v>4088</v>
      </c>
      <c r="K49" s="81" t="str">
        <f>IFERROR(__xludf.DUMMYFUNCTION("IF(OR(D49="""",G49=""""),"""",IFERROR(LET(
campo,XLOOKUP(TRIM(G49),ARRAYFORMULA(TRIM('indice columnas'!$A$2:$A$100)),'indice columnas'!$B$2:$B$100,""""),
col,IFERROR(MATCH(campo,Referencia!$A$1:$AZ$1,0),0),
fila,IFERROR(MATCH(TO_TEXT(D49),ARRAYFORMULA(TO_"&amp;"TEXT(Referencia!$A$2:$A6238)),0),0),
IF(OR(campo="""",campo=""-""),""NO APLICA"",
IF(col=0,""REVISAR EQUIVALENCIA"",
IF(fila=0,""SKU NO ENCONTRADO"",
LET(
valor,INDEX(Referencia!$A$2:$AZ6238,fila,col),
IF(TRIM(TO_TEXT(valor))=TRIM(TO_TEXT(I49)),
""OK"",
"&amp;"""NO COINCIDE. Valor verdadero: ""&amp;IF(valor="""",""[VACÍO]"",TO_TEXT(valor))
)
))))
),""ERROR EN FÓRMULA""))"),"NO APLICA")</f>
        <v>NO APLICA</v>
      </c>
    </row>
    <row r="50">
      <c r="A50" s="83" t="s">
        <v>4078</v>
      </c>
      <c r="B50" s="83" t="s">
        <v>4079</v>
      </c>
      <c r="C50" s="81" t="s">
        <v>4086</v>
      </c>
      <c r="D50" s="83" t="s">
        <v>4115</v>
      </c>
      <c r="E50" s="81" t="s">
        <v>304</v>
      </c>
      <c r="F50" s="84">
        <v>34.0</v>
      </c>
      <c r="G50" s="81" t="s">
        <v>12</v>
      </c>
      <c r="H50" s="81" t="s">
        <v>224</v>
      </c>
      <c r="I50" s="81" t="s">
        <v>55</v>
      </c>
      <c r="J50" s="81" t="s">
        <v>224</v>
      </c>
      <c r="K50" s="81" t="str">
        <f>IFERROR(__xludf.DUMMYFUNCTION("IF(OR(D50="""",G50=""""),"""",IFERROR(LET(
campo,XLOOKUP(TRIM(G50),ARRAYFORMULA(TRIM('indice columnas'!$A$2:$A$100)),'indice columnas'!$B$2:$B$100,""""),
col,IFERROR(MATCH(campo,Referencia!$A$1:$AZ$1,0),0),
fila,IFERROR(MATCH(TO_TEXT(D50),ARRAYFORMULA(TO_"&amp;"TEXT(Referencia!$A$2:$A6238)),0),0),
IF(OR(campo="""",campo=""-""),""NO APLICA"",
IF(col=0,""REVISAR EQUIVALENCIA"",
IF(fila=0,""SKU NO ENCONTRADO"",
LET(
valor,INDEX(Referencia!$A$2:$AZ6238,fila,col),
IF(TRIM(TO_TEXT(valor))=TRIM(TO_TEXT(I50)),
""OK"",
"&amp;"""NO COINCIDE. Valor verdadero: ""&amp;IF(valor="""",""[VACÍO]"",TO_TEXT(valor))
)
))))
),""ERROR EN FÓRMULA""))"),"OK")</f>
        <v>OK</v>
      </c>
    </row>
    <row r="51">
      <c r="A51" s="83" t="s">
        <v>4078</v>
      </c>
      <c r="B51" s="83" t="s">
        <v>4079</v>
      </c>
      <c r="C51" s="81" t="s">
        <v>4086</v>
      </c>
      <c r="D51" s="83" t="s">
        <v>4115</v>
      </c>
      <c r="E51" s="81" t="s">
        <v>304</v>
      </c>
      <c r="F51" s="84">
        <v>34.0</v>
      </c>
      <c r="G51" s="81" t="s">
        <v>44</v>
      </c>
      <c r="H51" s="81" t="s">
        <v>4116</v>
      </c>
      <c r="I51" s="81" t="s">
        <v>226</v>
      </c>
      <c r="J51" s="81" t="s">
        <v>4088</v>
      </c>
      <c r="K51" s="81" t="str">
        <f>IFERROR(__xludf.DUMMYFUNCTION("IF(OR(D51="""",G51=""""),"""",IFERROR(LET(
campo,XLOOKUP(TRIM(G51),ARRAYFORMULA(TRIM('indice columnas'!$A$2:$A$100)),'indice columnas'!$B$2:$B$100,""""),
col,IFERROR(MATCH(campo,Referencia!$A$1:$AZ$1,0),0),
fila,IFERROR(MATCH(TO_TEXT(D51),ARRAYFORMULA(TO_"&amp;"TEXT(Referencia!$A$2:$A6238)),0),0),
IF(OR(campo="""",campo=""-""),""NO APLICA"",
IF(col=0,""REVISAR EQUIVALENCIA"",
IF(fila=0,""SKU NO ENCONTRADO"",
LET(
valor,INDEX(Referencia!$A$2:$AZ6238,fila,col),
IF(TRIM(TO_TEXT(valor))=TRIM(TO_TEXT(I51)),
""OK"",
"&amp;"""NO COINCIDE. Valor verdadero: ""&amp;IF(valor="""",""[VACÍO]"",TO_TEXT(valor))
)
))))
),""ERROR EN FÓRMULA""))"),"NO APLICA")</f>
        <v>NO APLICA</v>
      </c>
    </row>
    <row r="52">
      <c r="A52" s="83" t="s">
        <v>4078</v>
      </c>
      <c r="B52" s="83" t="s">
        <v>4079</v>
      </c>
      <c r="C52" s="81" t="s">
        <v>4086</v>
      </c>
      <c r="D52" s="83" t="s">
        <v>4117</v>
      </c>
      <c r="E52" s="81" t="s">
        <v>305</v>
      </c>
      <c r="F52" s="84">
        <v>35.0</v>
      </c>
      <c r="G52" s="81" t="s">
        <v>12</v>
      </c>
      <c r="H52" s="81" t="s">
        <v>224</v>
      </c>
      <c r="I52" s="81" t="s">
        <v>55</v>
      </c>
      <c r="J52" s="81" t="s">
        <v>224</v>
      </c>
      <c r="K52" s="81" t="str">
        <f>IFERROR(__xludf.DUMMYFUNCTION("IF(OR(D52="""",G52=""""),"""",IFERROR(LET(
campo,XLOOKUP(TRIM(G52),ARRAYFORMULA(TRIM('indice columnas'!$A$2:$A$100)),'indice columnas'!$B$2:$B$100,""""),
col,IFERROR(MATCH(campo,Referencia!$A$1:$AZ$1,0),0),
fila,IFERROR(MATCH(TO_TEXT(D52),ARRAYFORMULA(TO_"&amp;"TEXT(Referencia!$A$2:$A6238)),0),0),
IF(OR(campo="""",campo=""-""),""NO APLICA"",
IF(col=0,""REVISAR EQUIVALENCIA"",
IF(fila=0,""SKU NO ENCONTRADO"",
LET(
valor,INDEX(Referencia!$A$2:$AZ6238,fila,col),
IF(TRIM(TO_TEXT(valor))=TRIM(TO_TEXT(I52)),
""OK"",
"&amp;"""NO COINCIDE. Valor verdadero: ""&amp;IF(valor="""",""[VACÍO]"",TO_TEXT(valor))
)
))))
),""ERROR EN FÓRMULA""))"),"OK")</f>
        <v>OK</v>
      </c>
    </row>
    <row r="53">
      <c r="A53" s="83" t="s">
        <v>4078</v>
      </c>
      <c r="B53" s="83" t="s">
        <v>4079</v>
      </c>
      <c r="C53" s="81" t="s">
        <v>4086</v>
      </c>
      <c r="D53" s="83" t="s">
        <v>4117</v>
      </c>
      <c r="E53" s="81" t="s">
        <v>305</v>
      </c>
      <c r="F53" s="84">
        <v>35.0</v>
      </c>
      <c r="G53" s="81" t="s">
        <v>44</v>
      </c>
      <c r="H53" s="81" t="s">
        <v>4116</v>
      </c>
      <c r="I53" s="81" t="s">
        <v>226</v>
      </c>
      <c r="J53" s="81" t="s">
        <v>4088</v>
      </c>
      <c r="K53" s="81" t="str">
        <f>IFERROR(__xludf.DUMMYFUNCTION("IF(OR(D53="""",G53=""""),"""",IFERROR(LET(
campo,XLOOKUP(TRIM(G53),ARRAYFORMULA(TRIM('indice columnas'!$A$2:$A$100)),'indice columnas'!$B$2:$B$100,""""),
col,IFERROR(MATCH(campo,Referencia!$A$1:$AZ$1,0),0),
fila,IFERROR(MATCH(TO_TEXT(D53),ARRAYFORMULA(TO_"&amp;"TEXT(Referencia!$A$2:$A6238)),0),0),
IF(OR(campo="""",campo=""-""),""NO APLICA"",
IF(col=0,""REVISAR EQUIVALENCIA"",
IF(fila=0,""SKU NO ENCONTRADO"",
LET(
valor,INDEX(Referencia!$A$2:$AZ6238,fila,col),
IF(TRIM(TO_TEXT(valor))=TRIM(TO_TEXT(I53)),
""OK"",
"&amp;"""NO COINCIDE. Valor verdadero: ""&amp;IF(valor="""",""[VACÍO]"",TO_TEXT(valor))
)
))))
),""ERROR EN FÓRMULA""))"),"NO APLICA")</f>
        <v>NO APLICA</v>
      </c>
    </row>
    <row r="54">
      <c r="A54" s="83" t="s">
        <v>4078</v>
      </c>
      <c r="B54" s="83" t="s">
        <v>4079</v>
      </c>
      <c r="C54" s="81" t="s">
        <v>4086</v>
      </c>
      <c r="D54" s="83" t="s">
        <v>4118</v>
      </c>
      <c r="E54" s="81" t="s">
        <v>308</v>
      </c>
      <c r="F54" s="84">
        <v>36.0</v>
      </c>
      <c r="G54" s="81" t="s">
        <v>44</v>
      </c>
      <c r="H54" s="81" t="s">
        <v>224</v>
      </c>
      <c r="I54" s="81" t="s">
        <v>308</v>
      </c>
      <c r="J54" s="81" t="s">
        <v>4088</v>
      </c>
      <c r="K54" s="81" t="str">
        <f>IFERROR(__xludf.DUMMYFUNCTION("IF(OR(D54="""",G54=""""),"""",IFERROR(LET(
campo,XLOOKUP(TRIM(G54),ARRAYFORMULA(TRIM('indice columnas'!$A$2:$A$100)),'indice columnas'!$B$2:$B$100,""""),
col,IFERROR(MATCH(campo,Referencia!$A$1:$AZ$1,0),0),
fila,IFERROR(MATCH(TO_TEXT(D54),ARRAYFORMULA(TO_"&amp;"TEXT(Referencia!$A$2:$A6238)),0),0),
IF(OR(campo="""",campo=""-""),""NO APLICA"",
IF(col=0,""REVISAR EQUIVALENCIA"",
IF(fila=0,""SKU NO ENCONTRADO"",
LET(
valor,INDEX(Referencia!$A$2:$AZ6238,fila,col),
IF(TRIM(TO_TEXT(valor))=TRIM(TO_TEXT(I54)),
""OK"",
"&amp;"""NO COINCIDE. Valor verdadero: ""&amp;IF(valor="""",""[VACÍO]"",TO_TEXT(valor))
)
))))
),""ERROR EN FÓRMULA""))"),"NO APLICA")</f>
        <v>NO APLICA</v>
      </c>
    </row>
    <row r="55">
      <c r="A55" s="83" t="s">
        <v>4078</v>
      </c>
      <c r="B55" s="83" t="s">
        <v>4079</v>
      </c>
      <c r="C55" s="81" t="s">
        <v>4086</v>
      </c>
      <c r="D55" s="83" t="s">
        <v>4119</v>
      </c>
      <c r="E55" s="81" t="s">
        <v>320</v>
      </c>
      <c r="F55" s="84">
        <v>37.0</v>
      </c>
      <c r="G55" s="81" t="s">
        <v>44</v>
      </c>
      <c r="H55" s="81" t="s">
        <v>224</v>
      </c>
      <c r="I55" s="81" t="s">
        <v>320</v>
      </c>
      <c r="J55" s="81" t="s">
        <v>4088</v>
      </c>
      <c r="K55" s="81" t="str">
        <f>IFERROR(__xludf.DUMMYFUNCTION("IF(OR(D55="""",G55=""""),"""",IFERROR(LET(
campo,XLOOKUP(TRIM(G55),ARRAYFORMULA(TRIM('indice columnas'!$A$2:$A$100)),'indice columnas'!$B$2:$B$100,""""),
col,IFERROR(MATCH(campo,Referencia!$A$1:$AZ$1,0),0),
fila,IFERROR(MATCH(TO_TEXT(D55),ARRAYFORMULA(TO_"&amp;"TEXT(Referencia!$A$2:$A6238)),0),0),
IF(OR(campo="""",campo=""-""),""NO APLICA"",
IF(col=0,""REVISAR EQUIVALENCIA"",
IF(fila=0,""SKU NO ENCONTRADO"",
LET(
valor,INDEX(Referencia!$A$2:$AZ6238,fila,col),
IF(TRIM(TO_TEXT(valor))=TRIM(TO_TEXT(I55)),
""OK"",
"&amp;"""NO COINCIDE. Valor verdadero: ""&amp;IF(valor="""",""[VACÍO]"",TO_TEXT(valor))
)
))))
),""ERROR EN FÓRMULA""))"),"NO APLICA")</f>
        <v>NO APLICA</v>
      </c>
    </row>
    <row r="56">
      <c r="A56" s="83" t="s">
        <v>4078</v>
      </c>
      <c r="B56" s="83" t="s">
        <v>4079</v>
      </c>
      <c r="C56" s="81" t="s">
        <v>4086</v>
      </c>
      <c r="D56" s="83" t="s">
        <v>4120</v>
      </c>
      <c r="E56" s="81" t="s">
        <v>331</v>
      </c>
      <c r="F56" s="84">
        <v>38.0</v>
      </c>
      <c r="G56" s="81" t="s">
        <v>44</v>
      </c>
      <c r="H56" s="81" t="s">
        <v>224</v>
      </c>
      <c r="I56" s="81" t="s">
        <v>331</v>
      </c>
      <c r="J56" s="81" t="s">
        <v>4088</v>
      </c>
      <c r="K56" s="81" t="str">
        <f>IFERROR(__xludf.DUMMYFUNCTION("IF(OR(D56="""",G56=""""),"""",IFERROR(LET(
campo,XLOOKUP(TRIM(G56),ARRAYFORMULA(TRIM('indice columnas'!$A$2:$A$100)),'indice columnas'!$B$2:$B$100,""""),
col,IFERROR(MATCH(campo,Referencia!$A$1:$AZ$1,0),0),
fila,IFERROR(MATCH(TO_TEXT(D56),ARRAYFORMULA(TO_"&amp;"TEXT(Referencia!$A$2:$A6238)),0),0),
IF(OR(campo="""",campo=""-""),""NO APLICA"",
IF(col=0,""REVISAR EQUIVALENCIA"",
IF(fila=0,""SKU NO ENCONTRADO"",
LET(
valor,INDEX(Referencia!$A$2:$AZ6238,fila,col),
IF(TRIM(TO_TEXT(valor))=TRIM(TO_TEXT(I56)),
""OK"",
"&amp;"""NO COINCIDE. Valor verdadero: ""&amp;IF(valor="""",""[VACÍO]"",TO_TEXT(valor))
)
))))
),""ERROR EN FÓRMULA""))"),"NO APLICA")</f>
        <v>NO APLICA</v>
      </c>
    </row>
    <row r="57">
      <c r="A57" s="83" t="s">
        <v>4078</v>
      </c>
      <c r="B57" s="83" t="s">
        <v>4079</v>
      </c>
      <c r="C57" s="81" t="s">
        <v>4086</v>
      </c>
      <c r="D57" s="83" t="s">
        <v>4121</v>
      </c>
      <c r="E57" s="81" t="s">
        <v>343</v>
      </c>
      <c r="F57" s="84">
        <v>39.0</v>
      </c>
      <c r="G57" s="81" t="s">
        <v>44</v>
      </c>
      <c r="H57" s="81" t="s">
        <v>224</v>
      </c>
      <c r="I57" s="81" t="s">
        <v>343</v>
      </c>
      <c r="J57" s="81" t="s">
        <v>4088</v>
      </c>
      <c r="K57" s="81" t="str">
        <f>IFERROR(__xludf.DUMMYFUNCTION("IF(OR(D57="""",G57=""""),"""",IFERROR(LET(
campo,XLOOKUP(TRIM(G57),ARRAYFORMULA(TRIM('indice columnas'!$A$2:$A$100)),'indice columnas'!$B$2:$B$100,""""),
col,IFERROR(MATCH(campo,Referencia!$A$1:$AZ$1,0),0),
fila,IFERROR(MATCH(TO_TEXT(D57),ARRAYFORMULA(TO_"&amp;"TEXT(Referencia!$A$2:$A6238)),0),0),
IF(OR(campo="""",campo=""-""),""NO APLICA"",
IF(col=0,""REVISAR EQUIVALENCIA"",
IF(fila=0,""SKU NO ENCONTRADO"",
LET(
valor,INDEX(Referencia!$A$2:$AZ6238,fila,col),
IF(TRIM(TO_TEXT(valor))=TRIM(TO_TEXT(I57)),
""OK"",
"&amp;"""NO COINCIDE. Valor verdadero: ""&amp;IF(valor="""",""[VACÍO]"",TO_TEXT(valor))
)
))))
),""ERROR EN FÓRMULA""))"),"NO APLICA")</f>
        <v>NO APLICA</v>
      </c>
    </row>
    <row r="58">
      <c r="A58" s="83" t="s">
        <v>4078</v>
      </c>
      <c r="B58" s="83" t="s">
        <v>4079</v>
      </c>
      <c r="C58" s="81" t="s">
        <v>4086</v>
      </c>
      <c r="D58" s="83" t="s">
        <v>4122</v>
      </c>
      <c r="E58" s="81" t="s">
        <v>362</v>
      </c>
      <c r="F58" s="84">
        <v>40.0</v>
      </c>
      <c r="G58" s="81" t="s">
        <v>23</v>
      </c>
      <c r="H58" s="83" t="s">
        <v>4123</v>
      </c>
      <c r="I58" s="81" t="s">
        <v>365</v>
      </c>
      <c r="J58" s="81" t="s">
        <v>224</v>
      </c>
      <c r="K58" s="81" t="str">
        <f>IFERROR(__xludf.DUMMYFUNCTION("IF(OR(D58="""",G58=""""),"""",IFERROR(LET(
campo,XLOOKUP(TRIM(G58),ARRAYFORMULA(TRIM('indice columnas'!$A$2:$A$100)),'indice columnas'!$B$2:$B$100,""""),
col,IFERROR(MATCH(campo,Referencia!$A$1:$AZ$1,0),0),
fila,IFERROR(MATCH(TO_TEXT(D58),ARRAYFORMULA(TO_"&amp;"TEXT(Referencia!$A$2:$A6238)),0),0),
IF(OR(campo="""",campo=""-""),""NO APLICA"",
IF(col=0,""REVISAR EQUIVALENCIA"",
IF(fila=0,""SKU NO ENCONTRADO"",
LET(
valor,INDEX(Referencia!$A$2:$AZ6238,fila,col),
IF(TRIM(TO_TEXT(valor))=TRIM(TO_TEXT(I58)),
""OK"",
"&amp;"""NO COINCIDE. Valor verdadero: ""&amp;IF(valor="""",""[VACÍO]"",TO_TEXT(valor))
)
))))
),""ERROR EN FÓRMULA""))"),"NO COINCIDE. Valor verdadero: 70")</f>
        <v>NO COINCIDE. Valor verdadero: 70</v>
      </c>
    </row>
    <row r="59">
      <c r="A59" s="83" t="s">
        <v>4078</v>
      </c>
      <c r="B59" s="83" t="s">
        <v>4079</v>
      </c>
      <c r="C59" s="81" t="s">
        <v>4086</v>
      </c>
      <c r="D59" s="83" t="s">
        <v>4122</v>
      </c>
      <c r="E59" s="81" t="s">
        <v>362</v>
      </c>
      <c r="F59" s="84">
        <v>40.0</v>
      </c>
      <c r="G59" s="81" t="s">
        <v>44</v>
      </c>
      <c r="H59" s="81" t="s">
        <v>224</v>
      </c>
      <c r="I59" s="81" t="s">
        <v>362</v>
      </c>
      <c r="J59" s="81" t="s">
        <v>4088</v>
      </c>
      <c r="K59" s="81" t="str">
        <f>IFERROR(__xludf.DUMMYFUNCTION("IF(OR(D59="""",G59=""""),"""",IFERROR(LET(
campo,XLOOKUP(TRIM(G59),ARRAYFORMULA(TRIM('indice columnas'!$A$2:$A$100)),'indice columnas'!$B$2:$B$100,""""),
col,IFERROR(MATCH(campo,Referencia!$A$1:$AZ$1,0),0),
fila,IFERROR(MATCH(TO_TEXT(D59),ARRAYFORMULA(TO_"&amp;"TEXT(Referencia!$A$2:$A6238)),0),0),
IF(OR(campo="""",campo=""-""),""NO APLICA"",
IF(col=0,""REVISAR EQUIVALENCIA"",
IF(fila=0,""SKU NO ENCONTRADO"",
LET(
valor,INDEX(Referencia!$A$2:$AZ6238,fila,col),
IF(TRIM(TO_TEXT(valor))=TRIM(TO_TEXT(I59)),
""OK"",
"&amp;"""NO COINCIDE. Valor verdadero: ""&amp;IF(valor="""",""[VACÍO]"",TO_TEXT(valor))
)
))))
),""ERROR EN FÓRMULA""))"),"NO APLICA")</f>
        <v>NO APLICA</v>
      </c>
    </row>
    <row r="60">
      <c r="A60" s="83" t="s">
        <v>4078</v>
      </c>
      <c r="B60" s="83" t="s">
        <v>4079</v>
      </c>
      <c r="C60" s="81" t="s">
        <v>4086</v>
      </c>
      <c r="D60" s="83" t="s">
        <v>4124</v>
      </c>
      <c r="E60" s="81" t="s">
        <v>375</v>
      </c>
      <c r="F60" s="84">
        <v>41.0</v>
      </c>
      <c r="G60" s="81" t="s">
        <v>44</v>
      </c>
      <c r="H60" s="81" t="s">
        <v>224</v>
      </c>
      <c r="I60" s="81" t="s">
        <v>375</v>
      </c>
      <c r="J60" s="81" t="s">
        <v>4088</v>
      </c>
      <c r="K60" s="81" t="str">
        <f>IFERROR(__xludf.DUMMYFUNCTION("IF(OR(D60="""",G60=""""),"""",IFERROR(LET(
campo,XLOOKUP(TRIM(G60),ARRAYFORMULA(TRIM('indice columnas'!$A$2:$A$100)),'indice columnas'!$B$2:$B$100,""""),
col,IFERROR(MATCH(campo,Referencia!$A$1:$AZ$1,0),0),
fila,IFERROR(MATCH(TO_TEXT(D60),ARRAYFORMULA(TO_"&amp;"TEXT(Referencia!$A$2:$A6238)),0),0),
IF(OR(campo="""",campo=""-""),""NO APLICA"",
IF(col=0,""REVISAR EQUIVALENCIA"",
IF(fila=0,""SKU NO ENCONTRADO"",
LET(
valor,INDEX(Referencia!$A$2:$AZ6238,fila,col),
IF(TRIM(TO_TEXT(valor))=TRIM(TO_TEXT(I60)),
""OK"",
"&amp;"""NO COINCIDE. Valor verdadero: ""&amp;IF(valor="""",""[VACÍO]"",TO_TEXT(valor))
)
))))
),""ERROR EN FÓRMULA""))"),"NO APLICA")</f>
        <v>NO APLICA</v>
      </c>
    </row>
    <row r="61">
      <c r="A61" s="83" t="s">
        <v>4078</v>
      </c>
      <c r="B61" s="83" t="s">
        <v>4079</v>
      </c>
      <c r="C61" s="81" t="s">
        <v>4086</v>
      </c>
      <c r="D61" s="83" t="s">
        <v>4124</v>
      </c>
      <c r="E61" s="81" t="s">
        <v>392</v>
      </c>
      <c r="F61" s="84">
        <v>42.0</v>
      </c>
      <c r="G61" s="81" t="s">
        <v>44</v>
      </c>
      <c r="H61" s="81" t="s">
        <v>224</v>
      </c>
      <c r="I61" s="81" t="s">
        <v>375</v>
      </c>
      <c r="J61" s="81" t="s">
        <v>4088</v>
      </c>
      <c r="K61" s="81" t="str">
        <f>IFERROR(__xludf.DUMMYFUNCTION("IF(OR(D61="""",G61=""""),"""",IFERROR(LET(
campo,XLOOKUP(TRIM(G61),ARRAYFORMULA(TRIM('indice columnas'!$A$2:$A$100)),'indice columnas'!$B$2:$B$100,""""),
col,IFERROR(MATCH(campo,Referencia!$A$1:$AZ$1,0),0),
fila,IFERROR(MATCH(TO_TEXT(D61),ARRAYFORMULA(TO_"&amp;"TEXT(Referencia!$A$2:$A6238)),0),0),
IF(OR(campo="""",campo=""-""),""NO APLICA"",
IF(col=0,""REVISAR EQUIVALENCIA"",
IF(fila=0,""SKU NO ENCONTRADO"",
LET(
valor,INDEX(Referencia!$A$2:$AZ6238,fila,col),
IF(TRIM(TO_TEXT(valor))=TRIM(TO_TEXT(I61)),
""OK"",
"&amp;"""NO COINCIDE. Valor verdadero: ""&amp;IF(valor="""",""[VACÍO]"",TO_TEXT(valor))
)
))))
),""ERROR EN FÓRMULA""))"),"NO APLICA")</f>
        <v>NO APLICA</v>
      </c>
    </row>
    <row r="62">
      <c r="A62" s="83" t="s">
        <v>4078</v>
      </c>
      <c r="B62" s="83" t="s">
        <v>4079</v>
      </c>
      <c r="C62" s="81" t="s">
        <v>4086</v>
      </c>
      <c r="D62" s="83" t="s">
        <v>4125</v>
      </c>
      <c r="E62" s="81" t="s">
        <v>393</v>
      </c>
      <c r="F62" s="84">
        <v>43.0</v>
      </c>
      <c r="G62" s="81" t="s">
        <v>44</v>
      </c>
      <c r="H62" s="81" t="s">
        <v>224</v>
      </c>
      <c r="I62" s="81" t="s">
        <v>375</v>
      </c>
      <c r="J62" s="81" t="s">
        <v>4088</v>
      </c>
      <c r="K62" s="81" t="str">
        <f>IFERROR(__xludf.DUMMYFUNCTION("IF(OR(D62="""",G62=""""),"""",IFERROR(LET(
campo,XLOOKUP(TRIM(G62),ARRAYFORMULA(TRIM('indice columnas'!$A$2:$A$100)),'indice columnas'!$B$2:$B$100,""""),
col,IFERROR(MATCH(campo,Referencia!$A$1:$AZ$1,0),0),
fila,IFERROR(MATCH(TO_TEXT(D62),ARRAYFORMULA(TO_"&amp;"TEXT(Referencia!$A$2:$A6238)),0),0),
IF(OR(campo="""",campo=""-""),""NO APLICA"",
IF(col=0,""REVISAR EQUIVALENCIA"",
IF(fila=0,""SKU NO ENCONTRADO"",
LET(
valor,INDEX(Referencia!$A$2:$AZ6238,fila,col),
IF(TRIM(TO_TEXT(valor))=TRIM(TO_TEXT(I62)),
""OK"",
"&amp;"""NO COINCIDE. Valor verdadero: ""&amp;IF(valor="""",""[VACÍO]"",TO_TEXT(valor))
)
))))
),""ERROR EN FÓRMULA""))"),"NO APLICA")</f>
        <v>NO APLICA</v>
      </c>
    </row>
    <row r="63">
      <c r="A63" s="83" t="s">
        <v>4078</v>
      </c>
      <c r="B63" s="83" t="s">
        <v>4079</v>
      </c>
      <c r="C63" s="81" t="s">
        <v>4086</v>
      </c>
      <c r="D63" s="83" t="s">
        <v>4126</v>
      </c>
      <c r="E63" s="81" t="s">
        <v>396</v>
      </c>
      <c r="F63" s="84">
        <v>44.0</v>
      </c>
      <c r="G63" s="81" t="s">
        <v>12</v>
      </c>
      <c r="H63" s="81" t="s">
        <v>224</v>
      </c>
      <c r="I63" s="81" t="s">
        <v>55</v>
      </c>
      <c r="J63" s="81" t="s">
        <v>224</v>
      </c>
      <c r="K63" s="81" t="str">
        <f>IFERROR(__xludf.DUMMYFUNCTION("IF(OR(D63="""",G63=""""),"""",IFERROR(LET(
campo,XLOOKUP(TRIM(G63),ARRAYFORMULA(TRIM('indice columnas'!$A$2:$A$100)),'indice columnas'!$B$2:$B$100,""""),
col,IFERROR(MATCH(campo,Referencia!$A$1:$AZ$1,0),0),
fila,IFERROR(MATCH(TO_TEXT(D63),ARRAYFORMULA(TO_"&amp;"TEXT(Referencia!$A$2:$A6238)),0),0),
IF(OR(campo="""",campo=""-""),""NO APLICA"",
IF(col=0,""REVISAR EQUIVALENCIA"",
IF(fila=0,""SKU NO ENCONTRADO"",
LET(
valor,INDEX(Referencia!$A$2:$AZ6238,fila,col),
IF(TRIM(TO_TEXT(valor))=TRIM(TO_TEXT(I63)),
""OK"",
"&amp;"""NO COINCIDE. Valor verdadero: ""&amp;IF(valor="""",""[VACÍO]"",TO_TEXT(valor))
)
))))
),""ERROR EN FÓRMULA""))"),"OK")</f>
        <v>OK</v>
      </c>
    </row>
    <row r="64">
      <c r="A64" s="83" t="s">
        <v>4078</v>
      </c>
      <c r="B64" s="83" t="s">
        <v>4079</v>
      </c>
      <c r="C64" s="81" t="s">
        <v>4086</v>
      </c>
      <c r="D64" s="83" t="s">
        <v>4126</v>
      </c>
      <c r="E64" s="81" t="s">
        <v>396</v>
      </c>
      <c r="F64" s="84">
        <v>44.0</v>
      </c>
      <c r="G64" s="81" t="s">
        <v>44</v>
      </c>
      <c r="H64" s="81" t="s">
        <v>224</v>
      </c>
      <c r="I64" s="81" t="s">
        <v>396</v>
      </c>
      <c r="J64" s="81" t="s">
        <v>4088</v>
      </c>
      <c r="K64" s="81" t="str">
        <f>IFERROR(__xludf.DUMMYFUNCTION("IF(OR(D64="""",G64=""""),"""",IFERROR(LET(
campo,XLOOKUP(TRIM(G64),ARRAYFORMULA(TRIM('indice columnas'!$A$2:$A$100)),'indice columnas'!$B$2:$B$100,""""),
col,IFERROR(MATCH(campo,Referencia!$A$1:$AZ$1,0),0),
fila,IFERROR(MATCH(TO_TEXT(D64),ARRAYFORMULA(TO_"&amp;"TEXT(Referencia!$A$2:$A6238)),0),0),
IF(OR(campo="""",campo=""-""),""NO APLICA"",
IF(col=0,""REVISAR EQUIVALENCIA"",
IF(fila=0,""SKU NO ENCONTRADO"",
LET(
valor,INDEX(Referencia!$A$2:$AZ6238,fila,col),
IF(TRIM(TO_TEXT(valor))=TRIM(TO_TEXT(I64)),
""OK"",
"&amp;"""NO COINCIDE. Valor verdadero: ""&amp;IF(valor="""",""[VACÍO]"",TO_TEXT(valor))
)
))))
),""ERROR EN FÓRMULA""))"),"NO APLICA")</f>
        <v>NO APLICA</v>
      </c>
    </row>
    <row r="65">
      <c r="A65" s="83" t="s">
        <v>4078</v>
      </c>
      <c r="B65" s="83" t="s">
        <v>4079</v>
      </c>
      <c r="C65" s="81" t="s">
        <v>4086</v>
      </c>
      <c r="D65" s="83" t="s">
        <v>4127</v>
      </c>
      <c r="E65" s="81" t="s">
        <v>404</v>
      </c>
      <c r="F65" s="84">
        <v>45.0</v>
      </c>
      <c r="G65" s="81" t="s">
        <v>12</v>
      </c>
      <c r="H65" s="81" t="s">
        <v>224</v>
      </c>
      <c r="I65" s="81" t="s">
        <v>55</v>
      </c>
      <c r="J65" s="81" t="s">
        <v>224</v>
      </c>
      <c r="K65" s="81" t="str">
        <f>IFERROR(__xludf.DUMMYFUNCTION("IF(OR(D65="""",G65=""""),"""",IFERROR(LET(
campo,XLOOKUP(TRIM(G65),ARRAYFORMULA(TRIM('indice columnas'!$A$2:$A$100)),'indice columnas'!$B$2:$B$100,""""),
col,IFERROR(MATCH(campo,Referencia!$A$1:$AZ$1,0),0),
fila,IFERROR(MATCH(TO_TEXT(D65),ARRAYFORMULA(TO_"&amp;"TEXT(Referencia!$A$2:$A6238)),0),0),
IF(OR(campo="""",campo=""-""),""NO APLICA"",
IF(col=0,""REVISAR EQUIVALENCIA"",
IF(fila=0,""SKU NO ENCONTRADO"",
LET(
valor,INDEX(Referencia!$A$2:$AZ6238,fila,col),
IF(TRIM(TO_TEXT(valor))=TRIM(TO_TEXT(I65)),
""OK"",
"&amp;"""NO COINCIDE. Valor verdadero: ""&amp;IF(valor="""",""[VACÍO]"",TO_TEXT(valor))
)
))))
),""ERROR EN FÓRMULA""))"),"OK")</f>
        <v>OK</v>
      </c>
    </row>
    <row r="66">
      <c r="A66" s="83" t="s">
        <v>4078</v>
      </c>
      <c r="B66" s="83" t="s">
        <v>4079</v>
      </c>
      <c r="C66" s="81" t="s">
        <v>4086</v>
      </c>
      <c r="D66" s="83" t="s">
        <v>4127</v>
      </c>
      <c r="E66" s="81" t="s">
        <v>404</v>
      </c>
      <c r="F66" s="84">
        <v>45.0</v>
      </c>
      <c r="G66" s="81" t="s">
        <v>44</v>
      </c>
      <c r="H66" s="81" t="s">
        <v>224</v>
      </c>
      <c r="I66" s="81" t="s">
        <v>404</v>
      </c>
      <c r="J66" s="81" t="s">
        <v>4088</v>
      </c>
      <c r="K66" s="81" t="str">
        <f>IFERROR(__xludf.DUMMYFUNCTION("IF(OR(D66="""",G66=""""),"""",IFERROR(LET(
campo,XLOOKUP(TRIM(G66),ARRAYFORMULA(TRIM('indice columnas'!$A$2:$A$100)),'indice columnas'!$B$2:$B$100,""""),
col,IFERROR(MATCH(campo,Referencia!$A$1:$AZ$1,0),0),
fila,IFERROR(MATCH(TO_TEXT(D66),ARRAYFORMULA(TO_"&amp;"TEXT(Referencia!$A$2:$A6238)),0),0),
IF(OR(campo="""",campo=""-""),""NO APLICA"",
IF(col=0,""REVISAR EQUIVALENCIA"",
IF(fila=0,""SKU NO ENCONTRADO"",
LET(
valor,INDEX(Referencia!$A$2:$AZ6238,fila,col),
IF(TRIM(TO_TEXT(valor))=TRIM(TO_TEXT(I66)),
""OK"",
"&amp;"""NO COINCIDE. Valor verdadero: ""&amp;IF(valor="""",""[VACÍO]"",TO_TEXT(valor))
)
))))
),""ERROR EN FÓRMULA""))"),"NO APLICA")</f>
        <v>NO APLICA</v>
      </c>
    </row>
    <row r="67">
      <c r="A67" s="83" t="s">
        <v>4078</v>
      </c>
      <c r="B67" s="83" t="s">
        <v>4079</v>
      </c>
      <c r="C67" s="81" t="s">
        <v>4086</v>
      </c>
      <c r="D67" s="83" t="s">
        <v>4128</v>
      </c>
      <c r="E67" s="81" t="s">
        <v>412</v>
      </c>
      <c r="F67" s="84">
        <v>46.0</v>
      </c>
      <c r="G67" s="81" t="s">
        <v>44</v>
      </c>
      <c r="H67" s="81" t="s">
        <v>224</v>
      </c>
      <c r="I67" s="81" t="s">
        <v>412</v>
      </c>
      <c r="J67" s="81" t="s">
        <v>4088</v>
      </c>
      <c r="K67" s="81" t="str">
        <f>IFERROR(__xludf.DUMMYFUNCTION("IF(OR(D67="""",G67=""""),"""",IFERROR(LET(
campo,XLOOKUP(TRIM(G67),ARRAYFORMULA(TRIM('indice columnas'!$A$2:$A$100)),'indice columnas'!$B$2:$B$100,""""),
col,IFERROR(MATCH(campo,Referencia!$A$1:$AZ$1,0),0),
fila,IFERROR(MATCH(TO_TEXT(D67),ARRAYFORMULA(TO_"&amp;"TEXT(Referencia!$A$2:$A6238)),0),0),
IF(OR(campo="""",campo=""-""),""NO APLICA"",
IF(col=0,""REVISAR EQUIVALENCIA"",
IF(fila=0,""SKU NO ENCONTRADO"",
LET(
valor,INDEX(Referencia!$A$2:$AZ6238,fila,col),
IF(TRIM(TO_TEXT(valor))=TRIM(TO_TEXT(I67)),
""OK"",
"&amp;"""NO COINCIDE. Valor verdadero: ""&amp;IF(valor="""",""[VACÍO]"",TO_TEXT(valor))
)
))))
),""ERROR EN FÓRMULA""))"),"NO APLICA")</f>
        <v>NO APLICA</v>
      </c>
    </row>
    <row r="68">
      <c r="A68" s="83" t="s">
        <v>4078</v>
      </c>
      <c r="B68" s="83" t="s">
        <v>4079</v>
      </c>
      <c r="C68" s="81" t="s">
        <v>4086</v>
      </c>
      <c r="D68" s="83" t="s">
        <v>4129</v>
      </c>
      <c r="E68" s="81" t="s">
        <v>428</v>
      </c>
      <c r="F68" s="84">
        <v>47.0</v>
      </c>
      <c r="G68" s="81" t="s">
        <v>44</v>
      </c>
      <c r="H68" s="81" t="s">
        <v>224</v>
      </c>
      <c r="I68" s="81" t="s">
        <v>428</v>
      </c>
      <c r="J68" s="81" t="s">
        <v>4088</v>
      </c>
      <c r="K68" s="81" t="str">
        <f>IFERROR(__xludf.DUMMYFUNCTION("IF(OR(D68="""",G68=""""),"""",IFERROR(LET(
campo,XLOOKUP(TRIM(G68),ARRAYFORMULA(TRIM('indice columnas'!$A$2:$A$100)),'indice columnas'!$B$2:$B$100,""""),
col,IFERROR(MATCH(campo,Referencia!$A$1:$AZ$1,0),0),
fila,IFERROR(MATCH(TO_TEXT(D68),ARRAYFORMULA(TO_"&amp;"TEXT(Referencia!$A$2:$A6238)),0),0),
IF(OR(campo="""",campo=""-""),""NO APLICA"",
IF(col=0,""REVISAR EQUIVALENCIA"",
IF(fila=0,""SKU NO ENCONTRADO"",
LET(
valor,INDEX(Referencia!$A$2:$AZ6238,fila,col),
IF(TRIM(TO_TEXT(valor))=TRIM(TO_TEXT(I68)),
""OK"",
"&amp;"""NO COINCIDE. Valor verdadero: ""&amp;IF(valor="""",""[VACÍO]"",TO_TEXT(valor))
)
))))
),""ERROR EN FÓRMULA""))"),"NO APLICA")</f>
        <v>NO APLICA</v>
      </c>
    </row>
    <row r="69">
      <c r="A69" s="83" t="s">
        <v>4078</v>
      </c>
      <c r="B69" s="83" t="s">
        <v>4079</v>
      </c>
      <c r="C69" s="81" t="s">
        <v>4086</v>
      </c>
      <c r="D69" s="83" t="s">
        <v>4130</v>
      </c>
      <c r="E69" s="81" t="s">
        <v>441</v>
      </c>
      <c r="F69" s="84">
        <v>48.0</v>
      </c>
      <c r="G69" s="81" t="s">
        <v>44</v>
      </c>
      <c r="H69" s="81" t="s">
        <v>4131</v>
      </c>
      <c r="I69" s="81" t="s">
        <v>441</v>
      </c>
      <c r="J69" s="81" t="s">
        <v>4088</v>
      </c>
      <c r="K69" s="81" t="str">
        <f>IFERROR(__xludf.DUMMYFUNCTION("IF(OR(D69="""",G69=""""),"""",IFERROR(LET(
campo,XLOOKUP(TRIM(G69),ARRAYFORMULA(TRIM('indice columnas'!$A$2:$A$100)),'indice columnas'!$B$2:$B$100,""""),
col,IFERROR(MATCH(campo,Referencia!$A$1:$AZ$1,0),0),
fila,IFERROR(MATCH(TO_TEXT(D69),ARRAYFORMULA(TO_"&amp;"TEXT(Referencia!$A$2:$A6238)),0),0),
IF(OR(campo="""",campo=""-""),""NO APLICA"",
IF(col=0,""REVISAR EQUIVALENCIA"",
IF(fila=0,""SKU NO ENCONTRADO"",
LET(
valor,INDEX(Referencia!$A$2:$AZ6238,fila,col),
IF(TRIM(TO_TEXT(valor))=TRIM(TO_TEXT(I69)),
""OK"",
"&amp;"""NO COINCIDE. Valor verdadero: ""&amp;IF(valor="""",""[VACÍO]"",TO_TEXT(valor))
)
))))
),""ERROR EN FÓRMULA""))"),"NO APLICA")</f>
        <v>NO APLICA</v>
      </c>
    </row>
    <row r="70">
      <c r="A70" s="83" t="s">
        <v>4078</v>
      </c>
      <c r="B70" s="83" t="s">
        <v>4079</v>
      </c>
      <c r="C70" s="81" t="s">
        <v>4086</v>
      </c>
      <c r="D70" s="83" t="s">
        <v>4130</v>
      </c>
      <c r="E70" s="81" t="s">
        <v>455</v>
      </c>
      <c r="F70" s="84">
        <v>49.0</v>
      </c>
      <c r="G70" s="81" t="s">
        <v>44</v>
      </c>
      <c r="H70" s="81" t="s">
        <v>4131</v>
      </c>
      <c r="I70" s="81" t="s">
        <v>441</v>
      </c>
      <c r="J70" s="81" t="s">
        <v>4088</v>
      </c>
      <c r="K70" s="81" t="str">
        <f>IFERROR(__xludf.DUMMYFUNCTION("IF(OR(D70="""",G70=""""),"""",IFERROR(LET(
campo,XLOOKUP(TRIM(G70),ARRAYFORMULA(TRIM('indice columnas'!$A$2:$A$100)),'indice columnas'!$B$2:$B$100,""""),
col,IFERROR(MATCH(campo,Referencia!$A$1:$AZ$1,0),0),
fila,IFERROR(MATCH(TO_TEXT(D70),ARRAYFORMULA(TO_"&amp;"TEXT(Referencia!$A$2:$A6238)),0),0),
IF(OR(campo="""",campo=""-""),""NO APLICA"",
IF(col=0,""REVISAR EQUIVALENCIA"",
IF(fila=0,""SKU NO ENCONTRADO"",
LET(
valor,INDEX(Referencia!$A$2:$AZ6238,fila,col),
IF(TRIM(TO_TEXT(valor))=TRIM(TO_TEXT(I70)),
""OK"",
"&amp;"""NO COINCIDE. Valor verdadero: ""&amp;IF(valor="""",""[VACÍO]"",TO_TEXT(valor))
)
))))
),""ERROR EN FÓRMULA""))"),"NO APLICA")</f>
        <v>NO APLICA</v>
      </c>
    </row>
    <row r="71">
      <c r="A71" s="83" t="s">
        <v>4078</v>
      </c>
      <c r="B71" s="83" t="s">
        <v>4079</v>
      </c>
      <c r="C71" s="81" t="s">
        <v>4086</v>
      </c>
      <c r="D71" s="83" t="s">
        <v>4132</v>
      </c>
      <c r="E71" s="81" t="s">
        <v>456</v>
      </c>
      <c r="F71" s="84">
        <v>50.0</v>
      </c>
      <c r="G71" s="81" t="s">
        <v>44</v>
      </c>
      <c r="H71" s="81" t="s">
        <v>4131</v>
      </c>
      <c r="I71" s="81" t="s">
        <v>441</v>
      </c>
      <c r="J71" s="81" t="s">
        <v>4088</v>
      </c>
      <c r="K71" s="81" t="str">
        <f>IFERROR(__xludf.DUMMYFUNCTION("IF(OR(D71="""",G71=""""),"""",IFERROR(LET(
campo,XLOOKUP(TRIM(G71),ARRAYFORMULA(TRIM('indice columnas'!$A$2:$A$100)),'indice columnas'!$B$2:$B$100,""""),
col,IFERROR(MATCH(campo,Referencia!$A$1:$AZ$1,0),0),
fila,IFERROR(MATCH(TO_TEXT(D71),ARRAYFORMULA(TO_"&amp;"TEXT(Referencia!$A$2:$A6238)),0),0),
IF(OR(campo="""",campo=""-""),""NO APLICA"",
IF(col=0,""REVISAR EQUIVALENCIA"",
IF(fila=0,""SKU NO ENCONTRADO"",
LET(
valor,INDEX(Referencia!$A$2:$AZ6238,fila,col),
IF(TRIM(TO_TEXT(valor))=TRIM(TO_TEXT(I71)),
""OK"",
"&amp;"""NO COINCIDE. Valor verdadero: ""&amp;IF(valor="""",""[VACÍO]"",TO_TEXT(valor))
)
))))
),""ERROR EN FÓRMULA""))"),"NO APLICA")</f>
        <v>NO APLICA</v>
      </c>
    </row>
    <row r="72">
      <c r="A72" s="83" t="s">
        <v>4078</v>
      </c>
      <c r="B72" s="83" t="s">
        <v>4079</v>
      </c>
      <c r="C72" s="81" t="s">
        <v>4086</v>
      </c>
      <c r="D72" s="83" t="s">
        <v>4133</v>
      </c>
      <c r="E72" s="81" t="s">
        <v>459</v>
      </c>
      <c r="F72" s="84">
        <v>51.0</v>
      </c>
      <c r="G72" s="81" t="s">
        <v>44</v>
      </c>
      <c r="H72" s="81" t="s">
        <v>224</v>
      </c>
      <c r="I72" s="81" t="s">
        <v>459</v>
      </c>
      <c r="J72" s="81" t="s">
        <v>4088</v>
      </c>
      <c r="K72" s="81" t="str">
        <f>IFERROR(__xludf.DUMMYFUNCTION("IF(OR(D72="""",G72=""""),"""",IFERROR(LET(
campo,XLOOKUP(TRIM(G72),ARRAYFORMULA(TRIM('indice columnas'!$A$2:$A$100)),'indice columnas'!$B$2:$B$100,""""),
col,IFERROR(MATCH(campo,Referencia!$A$1:$AZ$1,0),0),
fila,IFERROR(MATCH(TO_TEXT(D72),ARRAYFORMULA(TO_"&amp;"TEXT(Referencia!$A$2:$A6238)),0),0),
IF(OR(campo="""",campo=""-""),""NO APLICA"",
IF(col=0,""REVISAR EQUIVALENCIA"",
IF(fila=0,""SKU NO ENCONTRADO"",
LET(
valor,INDEX(Referencia!$A$2:$AZ6238,fila,col),
IF(TRIM(TO_TEXT(valor))=TRIM(TO_TEXT(I72)),
""OK"",
"&amp;"""NO COINCIDE. Valor verdadero: ""&amp;IF(valor="""",""[VACÍO]"",TO_TEXT(valor))
)
))))
),""ERROR EN FÓRMULA""))"),"NO APLICA")</f>
        <v>NO APLICA</v>
      </c>
    </row>
    <row r="73">
      <c r="A73" s="83" t="s">
        <v>4078</v>
      </c>
      <c r="B73" s="83" t="s">
        <v>4079</v>
      </c>
      <c r="C73" s="81" t="s">
        <v>4086</v>
      </c>
      <c r="D73" s="83" t="s">
        <v>4133</v>
      </c>
      <c r="E73" s="81" t="s">
        <v>468</v>
      </c>
      <c r="F73" s="84">
        <v>52.0</v>
      </c>
      <c r="G73" s="81" t="s">
        <v>12</v>
      </c>
      <c r="H73" s="81" t="s">
        <v>224</v>
      </c>
      <c r="I73" s="81" t="s">
        <v>55</v>
      </c>
      <c r="J73" s="81" t="s">
        <v>224</v>
      </c>
      <c r="K73" s="81" t="str">
        <f>IFERROR(__xludf.DUMMYFUNCTION("IF(OR(D73="""",G73=""""),"""",IFERROR(LET(
campo,XLOOKUP(TRIM(G73),ARRAYFORMULA(TRIM('indice columnas'!$A$2:$A$100)),'indice columnas'!$B$2:$B$100,""""),
col,IFERROR(MATCH(campo,Referencia!$A$1:$AZ$1,0),0),
fila,IFERROR(MATCH(TO_TEXT(D73),ARRAYFORMULA(TO_"&amp;"TEXT(Referencia!$A$2:$A6238)),0),0),
IF(OR(campo="""",campo=""-""),""NO APLICA"",
IF(col=0,""REVISAR EQUIVALENCIA"",
IF(fila=0,""SKU NO ENCONTRADO"",
LET(
valor,INDEX(Referencia!$A$2:$AZ6238,fila,col),
IF(TRIM(TO_TEXT(valor))=TRIM(TO_TEXT(I73)),
""OK"",
"&amp;"""NO COINCIDE. Valor verdadero: ""&amp;IF(valor="""",""[VACÍO]"",TO_TEXT(valor))
)
))))
),""ERROR EN FÓRMULA""))"),"OK")</f>
        <v>OK</v>
      </c>
    </row>
    <row r="74">
      <c r="A74" s="83" t="s">
        <v>4078</v>
      </c>
      <c r="B74" s="83" t="s">
        <v>4079</v>
      </c>
      <c r="C74" s="81" t="s">
        <v>4086</v>
      </c>
      <c r="D74" s="83" t="s">
        <v>4133</v>
      </c>
      <c r="E74" s="81" t="s">
        <v>468</v>
      </c>
      <c r="F74" s="84">
        <v>52.0</v>
      </c>
      <c r="G74" s="81" t="s">
        <v>44</v>
      </c>
      <c r="H74" s="81" t="s">
        <v>224</v>
      </c>
      <c r="I74" s="81" t="s">
        <v>459</v>
      </c>
      <c r="J74" s="81" t="s">
        <v>4088</v>
      </c>
      <c r="K74" s="81" t="str">
        <f>IFERROR(__xludf.DUMMYFUNCTION("IF(OR(D74="""",G74=""""),"""",IFERROR(LET(
campo,XLOOKUP(TRIM(G74),ARRAYFORMULA(TRIM('indice columnas'!$A$2:$A$100)),'indice columnas'!$B$2:$B$100,""""),
col,IFERROR(MATCH(campo,Referencia!$A$1:$AZ$1,0),0),
fila,IFERROR(MATCH(TO_TEXT(D74),ARRAYFORMULA(TO_"&amp;"TEXT(Referencia!$A$2:$A6238)),0),0),
IF(OR(campo="""",campo=""-""),""NO APLICA"",
IF(col=0,""REVISAR EQUIVALENCIA"",
IF(fila=0,""SKU NO ENCONTRADO"",
LET(
valor,INDEX(Referencia!$A$2:$AZ6238,fila,col),
IF(TRIM(TO_TEXT(valor))=TRIM(TO_TEXT(I74)),
""OK"",
"&amp;"""NO COINCIDE. Valor verdadero: ""&amp;IF(valor="""",""[VACÍO]"",TO_TEXT(valor))
)
))))
),""ERROR EN FÓRMULA""))"),"NO APLICA")</f>
        <v>NO APLICA</v>
      </c>
    </row>
    <row r="75">
      <c r="A75" s="83" t="s">
        <v>4078</v>
      </c>
      <c r="B75" s="83" t="s">
        <v>4079</v>
      </c>
      <c r="C75" s="81" t="s">
        <v>4086</v>
      </c>
      <c r="D75" s="83" t="s">
        <v>4134</v>
      </c>
      <c r="E75" s="81" t="s">
        <v>470</v>
      </c>
      <c r="F75" s="84">
        <v>53.0</v>
      </c>
      <c r="G75" s="81" t="s">
        <v>44</v>
      </c>
      <c r="H75" s="81" t="s">
        <v>224</v>
      </c>
      <c r="I75" s="81" t="s">
        <v>470</v>
      </c>
      <c r="J75" s="81" t="s">
        <v>4088</v>
      </c>
      <c r="K75" s="81" t="str">
        <f>IFERROR(__xludf.DUMMYFUNCTION("IF(OR(D75="""",G75=""""),"""",IFERROR(LET(
campo,XLOOKUP(TRIM(G75),ARRAYFORMULA(TRIM('indice columnas'!$A$2:$A$100)),'indice columnas'!$B$2:$B$100,""""),
col,IFERROR(MATCH(campo,Referencia!$A$1:$AZ$1,0),0),
fila,IFERROR(MATCH(TO_TEXT(D75),ARRAYFORMULA(TO_"&amp;"TEXT(Referencia!$A$2:$A6238)),0),0),
IF(OR(campo="""",campo=""-""),""NO APLICA"",
IF(col=0,""REVISAR EQUIVALENCIA"",
IF(fila=0,""SKU NO ENCONTRADO"",
LET(
valor,INDEX(Referencia!$A$2:$AZ6238,fila,col),
IF(TRIM(TO_TEXT(valor))=TRIM(TO_TEXT(I75)),
""OK"",
"&amp;"""NO COINCIDE. Valor verdadero: ""&amp;IF(valor="""",""[VACÍO]"",TO_TEXT(valor))
)
))))
),""ERROR EN FÓRMULA""))"),"NO APLICA")</f>
        <v>NO APLICA</v>
      </c>
    </row>
    <row r="76">
      <c r="A76" s="83" t="s">
        <v>4078</v>
      </c>
      <c r="B76" s="83" t="s">
        <v>4079</v>
      </c>
      <c r="C76" s="81" t="s">
        <v>4086</v>
      </c>
      <c r="D76" s="83" t="s">
        <v>4134</v>
      </c>
      <c r="E76" s="81" t="s">
        <v>475</v>
      </c>
      <c r="F76" s="84">
        <v>54.0</v>
      </c>
      <c r="G76" s="81" t="s">
        <v>12</v>
      </c>
      <c r="H76" s="81" t="s">
        <v>224</v>
      </c>
      <c r="I76" s="81" t="s">
        <v>55</v>
      </c>
      <c r="J76" s="81" t="s">
        <v>224</v>
      </c>
      <c r="K76" s="81" t="str">
        <f>IFERROR(__xludf.DUMMYFUNCTION("IF(OR(D76="""",G76=""""),"""",IFERROR(LET(
campo,XLOOKUP(TRIM(G76),ARRAYFORMULA(TRIM('indice columnas'!$A$2:$A$100)),'indice columnas'!$B$2:$B$100,""""),
col,IFERROR(MATCH(campo,Referencia!$A$1:$AZ$1,0),0),
fila,IFERROR(MATCH(TO_TEXT(D76),ARRAYFORMULA(TO_"&amp;"TEXT(Referencia!$A$2:$A6238)),0),0),
IF(OR(campo="""",campo=""-""),""NO APLICA"",
IF(col=0,""REVISAR EQUIVALENCIA"",
IF(fila=0,""SKU NO ENCONTRADO"",
LET(
valor,INDEX(Referencia!$A$2:$AZ6238,fila,col),
IF(TRIM(TO_TEXT(valor))=TRIM(TO_TEXT(I76)),
""OK"",
"&amp;"""NO COINCIDE. Valor verdadero: ""&amp;IF(valor="""",""[VACÍO]"",TO_TEXT(valor))
)
))))
),""ERROR EN FÓRMULA""))"),"OK")</f>
        <v>OK</v>
      </c>
    </row>
    <row r="77">
      <c r="A77" s="83" t="s">
        <v>4078</v>
      </c>
      <c r="B77" s="83" t="s">
        <v>4079</v>
      </c>
      <c r="C77" s="81" t="s">
        <v>4086</v>
      </c>
      <c r="D77" s="83" t="s">
        <v>4134</v>
      </c>
      <c r="E77" s="81" t="s">
        <v>475</v>
      </c>
      <c r="F77" s="84">
        <v>54.0</v>
      </c>
      <c r="G77" s="81" t="s">
        <v>44</v>
      </c>
      <c r="H77" s="81" t="s">
        <v>224</v>
      </c>
      <c r="I77" s="81" t="s">
        <v>470</v>
      </c>
      <c r="J77" s="81" t="s">
        <v>4088</v>
      </c>
      <c r="K77" s="81" t="str">
        <f>IFERROR(__xludf.DUMMYFUNCTION("IF(OR(D77="""",G77=""""),"""",IFERROR(LET(
campo,XLOOKUP(TRIM(G77),ARRAYFORMULA(TRIM('indice columnas'!$A$2:$A$100)),'indice columnas'!$B$2:$B$100,""""),
col,IFERROR(MATCH(campo,Referencia!$A$1:$AZ$1,0),0),
fila,IFERROR(MATCH(TO_TEXT(D77),ARRAYFORMULA(TO_"&amp;"TEXT(Referencia!$A$2:$A6238)),0),0),
IF(OR(campo="""",campo=""-""),""NO APLICA"",
IF(col=0,""REVISAR EQUIVALENCIA"",
IF(fila=0,""SKU NO ENCONTRADO"",
LET(
valor,INDEX(Referencia!$A$2:$AZ6238,fila,col),
IF(TRIM(TO_TEXT(valor))=TRIM(TO_TEXT(I77)),
""OK"",
"&amp;"""NO COINCIDE. Valor verdadero: ""&amp;IF(valor="""",""[VACÍO]"",TO_TEXT(valor))
)
))))
),""ERROR EN FÓRMULA""))"),"NO APLICA")</f>
        <v>NO APLICA</v>
      </c>
    </row>
    <row r="78">
      <c r="A78" s="83" t="s">
        <v>4078</v>
      </c>
      <c r="B78" s="83" t="s">
        <v>4079</v>
      </c>
      <c r="C78" s="81" t="s">
        <v>4086</v>
      </c>
      <c r="D78" s="83" t="s">
        <v>4135</v>
      </c>
      <c r="E78" s="81" t="s">
        <v>476</v>
      </c>
      <c r="F78" s="84">
        <v>55.0</v>
      </c>
      <c r="G78" s="81" t="s">
        <v>12</v>
      </c>
      <c r="H78" s="81" t="s">
        <v>224</v>
      </c>
      <c r="I78" s="81" t="s">
        <v>55</v>
      </c>
      <c r="J78" s="81" t="s">
        <v>224</v>
      </c>
      <c r="K78" s="81" t="str">
        <f>IFERROR(__xludf.DUMMYFUNCTION("IF(OR(D78="""",G78=""""),"""",IFERROR(LET(
campo,XLOOKUP(TRIM(G78),ARRAYFORMULA(TRIM('indice columnas'!$A$2:$A$100)),'indice columnas'!$B$2:$B$100,""""),
col,IFERROR(MATCH(campo,Referencia!$A$1:$AZ$1,0),0),
fila,IFERROR(MATCH(TO_TEXT(D78),ARRAYFORMULA(TO_"&amp;"TEXT(Referencia!$A$2:$A6238)),0),0),
IF(OR(campo="""",campo=""-""),""NO APLICA"",
IF(col=0,""REVISAR EQUIVALENCIA"",
IF(fila=0,""SKU NO ENCONTRADO"",
LET(
valor,INDEX(Referencia!$A$2:$AZ6238,fila,col),
IF(TRIM(TO_TEXT(valor))=TRIM(TO_TEXT(I78)),
""OK"",
"&amp;"""NO COINCIDE. Valor verdadero: ""&amp;IF(valor="""",""[VACÍO]"",TO_TEXT(valor))
)
))))
),""ERROR EN FÓRMULA""))"),"OK")</f>
        <v>OK</v>
      </c>
    </row>
    <row r="79">
      <c r="A79" s="83" t="s">
        <v>4078</v>
      </c>
      <c r="B79" s="83" t="s">
        <v>4079</v>
      </c>
      <c r="C79" s="81" t="s">
        <v>4086</v>
      </c>
      <c r="D79" s="83" t="s">
        <v>4135</v>
      </c>
      <c r="E79" s="81" t="s">
        <v>476</v>
      </c>
      <c r="F79" s="84">
        <v>55.0</v>
      </c>
      <c r="G79" s="81" t="s">
        <v>44</v>
      </c>
      <c r="H79" s="81" t="s">
        <v>224</v>
      </c>
      <c r="I79" s="81" t="s">
        <v>470</v>
      </c>
      <c r="J79" s="81" t="s">
        <v>4088</v>
      </c>
      <c r="K79" s="81" t="str">
        <f>IFERROR(__xludf.DUMMYFUNCTION("IF(OR(D79="""",G79=""""),"""",IFERROR(LET(
campo,XLOOKUP(TRIM(G79),ARRAYFORMULA(TRIM('indice columnas'!$A$2:$A$100)),'indice columnas'!$B$2:$B$100,""""),
col,IFERROR(MATCH(campo,Referencia!$A$1:$AZ$1,0),0),
fila,IFERROR(MATCH(TO_TEXT(D79),ARRAYFORMULA(TO_"&amp;"TEXT(Referencia!$A$2:$A6238)),0),0),
IF(OR(campo="""",campo=""-""),""NO APLICA"",
IF(col=0,""REVISAR EQUIVALENCIA"",
IF(fila=0,""SKU NO ENCONTRADO"",
LET(
valor,INDEX(Referencia!$A$2:$AZ6238,fila,col),
IF(TRIM(TO_TEXT(valor))=TRIM(TO_TEXT(I79)),
""OK"",
"&amp;"""NO COINCIDE. Valor verdadero: ""&amp;IF(valor="""",""[VACÍO]"",TO_TEXT(valor))
)
))))
),""ERROR EN FÓRMULA""))"),"NO APLICA")</f>
        <v>NO APLICA</v>
      </c>
    </row>
    <row r="80">
      <c r="A80" s="83" t="s">
        <v>4078</v>
      </c>
      <c r="B80" s="83" t="s">
        <v>4079</v>
      </c>
      <c r="C80" s="81" t="s">
        <v>4086</v>
      </c>
      <c r="D80" s="83" t="s">
        <v>4136</v>
      </c>
      <c r="E80" s="81" t="s">
        <v>478</v>
      </c>
      <c r="F80" s="84">
        <v>56.0</v>
      </c>
      <c r="G80" s="81" t="s">
        <v>44</v>
      </c>
      <c r="H80" s="81" t="s">
        <v>224</v>
      </c>
      <c r="I80" s="81" t="s">
        <v>478</v>
      </c>
      <c r="J80" s="81" t="s">
        <v>4088</v>
      </c>
      <c r="K80" s="81" t="str">
        <f>IFERROR(__xludf.DUMMYFUNCTION("IF(OR(D80="""",G80=""""),"""",IFERROR(LET(
campo,XLOOKUP(TRIM(G80),ARRAYFORMULA(TRIM('indice columnas'!$A$2:$A$100)),'indice columnas'!$B$2:$B$100,""""),
col,IFERROR(MATCH(campo,Referencia!$A$1:$AZ$1,0),0),
fila,IFERROR(MATCH(TO_TEXT(D80),ARRAYFORMULA(TO_"&amp;"TEXT(Referencia!$A$2:$A6238)),0),0),
IF(OR(campo="""",campo=""-""),""NO APLICA"",
IF(col=0,""REVISAR EQUIVALENCIA"",
IF(fila=0,""SKU NO ENCONTRADO"",
LET(
valor,INDEX(Referencia!$A$2:$AZ6238,fila,col),
IF(TRIM(TO_TEXT(valor))=TRIM(TO_TEXT(I80)),
""OK"",
"&amp;"""NO COINCIDE. Valor verdadero: ""&amp;IF(valor="""",""[VACÍO]"",TO_TEXT(valor))
)
))))
),""ERROR EN FÓRMULA""))"),"NO APLICA")</f>
        <v>NO APLICA</v>
      </c>
    </row>
    <row r="81">
      <c r="A81" s="83" t="s">
        <v>4078</v>
      </c>
      <c r="B81" s="83" t="s">
        <v>4079</v>
      </c>
      <c r="C81" s="81" t="s">
        <v>4086</v>
      </c>
      <c r="D81" s="83" t="s">
        <v>4136</v>
      </c>
      <c r="E81" s="81" t="s">
        <v>487</v>
      </c>
      <c r="F81" s="84">
        <v>57.0</v>
      </c>
      <c r="G81" s="81" t="s">
        <v>12</v>
      </c>
      <c r="H81" s="81" t="s">
        <v>224</v>
      </c>
      <c r="I81" s="81" t="s">
        <v>55</v>
      </c>
      <c r="J81" s="81" t="s">
        <v>224</v>
      </c>
      <c r="K81" s="81" t="str">
        <f>IFERROR(__xludf.DUMMYFUNCTION("IF(OR(D81="""",G81=""""),"""",IFERROR(LET(
campo,XLOOKUP(TRIM(G81),ARRAYFORMULA(TRIM('indice columnas'!$A$2:$A$100)),'indice columnas'!$B$2:$B$100,""""),
col,IFERROR(MATCH(campo,Referencia!$A$1:$AZ$1,0),0),
fila,IFERROR(MATCH(TO_TEXT(D81),ARRAYFORMULA(TO_"&amp;"TEXT(Referencia!$A$2:$A6238)),0),0),
IF(OR(campo="""",campo=""-""),""NO APLICA"",
IF(col=0,""REVISAR EQUIVALENCIA"",
IF(fila=0,""SKU NO ENCONTRADO"",
LET(
valor,INDEX(Referencia!$A$2:$AZ6238,fila,col),
IF(TRIM(TO_TEXT(valor))=TRIM(TO_TEXT(I81)),
""OK"",
"&amp;"""NO COINCIDE. Valor verdadero: ""&amp;IF(valor="""",""[VACÍO]"",TO_TEXT(valor))
)
))))
),""ERROR EN FÓRMULA""))"),"OK")</f>
        <v>OK</v>
      </c>
    </row>
    <row r="82">
      <c r="A82" s="83" t="s">
        <v>4078</v>
      </c>
      <c r="B82" s="83" t="s">
        <v>4079</v>
      </c>
      <c r="C82" s="81" t="s">
        <v>4086</v>
      </c>
      <c r="D82" s="83" t="s">
        <v>4136</v>
      </c>
      <c r="E82" s="81" t="s">
        <v>487</v>
      </c>
      <c r="F82" s="84">
        <v>57.0</v>
      </c>
      <c r="G82" s="81" t="s">
        <v>44</v>
      </c>
      <c r="H82" s="81" t="s">
        <v>224</v>
      </c>
      <c r="I82" s="81" t="s">
        <v>478</v>
      </c>
      <c r="J82" s="81" t="s">
        <v>4088</v>
      </c>
      <c r="K82" s="81" t="str">
        <f>IFERROR(__xludf.DUMMYFUNCTION("IF(OR(D82="""",G82=""""),"""",IFERROR(LET(
campo,XLOOKUP(TRIM(G82),ARRAYFORMULA(TRIM('indice columnas'!$A$2:$A$100)),'indice columnas'!$B$2:$B$100,""""),
col,IFERROR(MATCH(campo,Referencia!$A$1:$AZ$1,0),0),
fila,IFERROR(MATCH(TO_TEXT(D82),ARRAYFORMULA(TO_"&amp;"TEXT(Referencia!$A$2:$A6238)),0),0),
IF(OR(campo="""",campo=""-""),""NO APLICA"",
IF(col=0,""REVISAR EQUIVALENCIA"",
IF(fila=0,""SKU NO ENCONTRADO"",
LET(
valor,INDEX(Referencia!$A$2:$AZ6238,fila,col),
IF(TRIM(TO_TEXT(valor))=TRIM(TO_TEXT(I82)),
""OK"",
"&amp;"""NO COINCIDE. Valor verdadero: ""&amp;IF(valor="""",""[VACÍO]"",TO_TEXT(valor))
)
))))
),""ERROR EN FÓRMULA""))"),"NO APLICA")</f>
        <v>NO APLICA</v>
      </c>
    </row>
    <row r="83">
      <c r="A83" s="83" t="s">
        <v>4078</v>
      </c>
      <c r="B83" s="83" t="s">
        <v>4079</v>
      </c>
      <c r="C83" s="81" t="s">
        <v>4086</v>
      </c>
      <c r="D83" s="83" t="s">
        <v>4137</v>
      </c>
      <c r="E83" s="81" t="s">
        <v>489</v>
      </c>
      <c r="F83" s="84">
        <v>58.0</v>
      </c>
      <c r="G83" s="81" t="s">
        <v>12</v>
      </c>
      <c r="H83" s="81" t="s">
        <v>224</v>
      </c>
      <c r="I83" s="81" t="s">
        <v>55</v>
      </c>
      <c r="J83" s="81" t="s">
        <v>224</v>
      </c>
      <c r="K83" s="81" t="str">
        <f>IFERROR(__xludf.DUMMYFUNCTION("IF(OR(D83="""",G83=""""),"""",IFERROR(LET(
campo,XLOOKUP(TRIM(G83),ARRAYFORMULA(TRIM('indice columnas'!$A$2:$A$100)),'indice columnas'!$B$2:$B$100,""""),
col,IFERROR(MATCH(campo,Referencia!$A$1:$AZ$1,0),0),
fila,IFERROR(MATCH(TO_TEXT(D83),ARRAYFORMULA(TO_"&amp;"TEXT(Referencia!$A$2:$A6238)),0),0),
IF(OR(campo="""",campo=""-""),""NO APLICA"",
IF(col=0,""REVISAR EQUIVALENCIA"",
IF(fila=0,""SKU NO ENCONTRADO"",
LET(
valor,INDEX(Referencia!$A$2:$AZ6238,fila,col),
IF(TRIM(TO_TEXT(valor))=TRIM(TO_TEXT(I83)),
""OK"",
"&amp;"""NO COINCIDE. Valor verdadero: ""&amp;IF(valor="""",""[VACÍO]"",TO_TEXT(valor))
)
))))
),""ERROR EN FÓRMULA""))"),"OK")</f>
        <v>OK</v>
      </c>
    </row>
    <row r="84">
      <c r="A84" s="83" t="s">
        <v>4078</v>
      </c>
      <c r="B84" s="83" t="s">
        <v>4079</v>
      </c>
      <c r="C84" s="81" t="s">
        <v>4086</v>
      </c>
      <c r="D84" s="83" t="s">
        <v>4137</v>
      </c>
      <c r="E84" s="81" t="s">
        <v>489</v>
      </c>
      <c r="F84" s="84">
        <v>58.0</v>
      </c>
      <c r="G84" s="81" t="s">
        <v>44</v>
      </c>
      <c r="H84" s="81" t="s">
        <v>224</v>
      </c>
      <c r="I84" s="81" t="s">
        <v>478</v>
      </c>
      <c r="J84" s="81" t="s">
        <v>4088</v>
      </c>
      <c r="K84" s="81" t="str">
        <f>IFERROR(__xludf.DUMMYFUNCTION("IF(OR(D84="""",G84=""""),"""",IFERROR(LET(
campo,XLOOKUP(TRIM(G84),ARRAYFORMULA(TRIM('indice columnas'!$A$2:$A$100)),'indice columnas'!$B$2:$B$100,""""),
col,IFERROR(MATCH(campo,Referencia!$A$1:$AZ$1,0),0),
fila,IFERROR(MATCH(TO_TEXT(D84),ARRAYFORMULA(TO_"&amp;"TEXT(Referencia!$A$2:$A6238)),0),0),
IF(OR(campo="""",campo=""-""),""NO APLICA"",
IF(col=0,""REVISAR EQUIVALENCIA"",
IF(fila=0,""SKU NO ENCONTRADO"",
LET(
valor,INDEX(Referencia!$A$2:$AZ6238,fila,col),
IF(TRIM(TO_TEXT(valor))=TRIM(TO_TEXT(I84)),
""OK"",
"&amp;"""NO COINCIDE. Valor verdadero: ""&amp;IF(valor="""",""[VACÍO]"",TO_TEXT(valor))
)
))))
),""ERROR EN FÓRMULA""))"),"NO APLICA")</f>
        <v>NO APLICA</v>
      </c>
    </row>
    <row r="85">
      <c r="A85" s="83" t="s">
        <v>4078</v>
      </c>
      <c r="B85" s="83" t="s">
        <v>4079</v>
      </c>
      <c r="C85" s="81" t="s">
        <v>4086</v>
      </c>
      <c r="D85" s="83" t="s">
        <v>4138</v>
      </c>
      <c r="E85" s="81" t="s">
        <v>492</v>
      </c>
      <c r="F85" s="84">
        <v>59.0</v>
      </c>
      <c r="G85" s="81" t="s">
        <v>12</v>
      </c>
      <c r="H85" s="81" t="s">
        <v>224</v>
      </c>
      <c r="I85" s="81" t="s">
        <v>55</v>
      </c>
      <c r="J85" s="81" t="s">
        <v>224</v>
      </c>
      <c r="K85" s="81" t="str">
        <f>IFERROR(__xludf.DUMMYFUNCTION("IF(OR(D85="""",G85=""""),"""",IFERROR(LET(
campo,XLOOKUP(TRIM(G85),ARRAYFORMULA(TRIM('indice columnas'!$A$2:$A$100)),'indice columnas'!$B$2:$B$100,""""),
col,IFERROR(MATCH(campo,Referencia!$A$1:$AZ$1,0),0),
fila,IFERROR(MATCH(TO_TEXT(D85),ARRAYFORMULA(TO_"&amp;"TEXT(Referencia!$A$2:$A6238)),0),0),
IF(OR(campo="""",campo=""-""),""NO APLICA"",
IF(col=0,""REVISAR EQUIVALENCIA"",
IF(fila=0,""SKU NO ENCONTRADO"",
LET(
valor,INDEX(Referencia!$A$2:$AZ6238,fila,col),
IF(TRIM(TO_TEXT(valor))=TRIM(TO_TEXT(I85)),
""OK"",
"&amp;"""NO COINCIDE. Valor verdadero: ""&amp;IF(valor="""",""[VACÍO]"",TO_TEXT(valor))
)
))))
),""ERROR EN FÓRMULA""))"),"OK")</f>
        <v>OK</v>
      </c>
    </row>
    <row r="86">
      <c r="A86" s="83" t="s">
        <v>4078</v>
      </c>
      <c r="B86" s="83" t="s">
        <v>4079</v>
      </c>
      <c r="C86" s="81" t="s">
        <v>4086</v>
      </c>
      <c r="D86" s="83" t="s">
        <v>4138</v>
      </c>
      <c r="E86" s="81" t="s">
        <v>492</v>
      </c>
      <c r="F86" s="84">
        <v>59.0</v>
      </c>
      <c r="G86" s="81" t="s">
        <v>44</v>
      </c>
      <c r="H86" s="81" t="s">
        <v>224</v>
      </c>
      <c r="I86" s="81" t="s">
        <v>478</v>
      </c>
      <c r="J86" s="81" t="s">
        <v>4088</v>
      </c>
      <c r="K86" s="81" t="str">
        <f>IFERROR(__xludf.DUMMYFUNCTION("IF(OR(D86="""",G86=""""),"""",IFERROR(LET(
campo,XLOOKUP(TRIM(G86),ARRAYFORMULA(TRIM('indice columnas'!$A$2:$A$100)),'indice columnas'!$B$2:$B$100,""""),
col,IFERROR(MATCH(campo,Referencia!$A$1:$AZ$1,0),0),
fila,IFERROR(MATCH(TO_TEXT(D86),ARRAYFORMULA(TO_"&amp;"TEXT(Referencia!$A$2:$A6238)),0),0),
IF(OR(campo="""",campo=""-""),""NO APLICA"",
IF(col=0,""REVISAR EQUIVALENCIA"",
IF(fila=0,""SKU NO ENCONTRADO"",
LET(
valor,INDEX(Referencia!$A$2:$AZ6238,fila,col),
IF(TRIM(TO_TEXT(valor))=TRIM(TO_TEXT(I86)),
""OK"",
"&amp;"""NO COINCIDE. Valor verdadero: ""&amp;IF(valor="""",""[VACÍO]"",TO_TEXT(valor))
)
))))
),""ERROR EN FÓRMULA""))"),"NO APLICA")</f>
        <v>NO APLICA</v>
      </c>
    </row>
    <row r="87">
      <c r="A87" s="83" t="s">
        <v>4078</v>
      </c>
      <c r="B87" s="83" t="s">
        <v>4079</v>
      </c>
      <c r="C87" s="81" t="s">
        <v>4086</v>
      </c>
      <c r="D87" s="83" t="s">
        <v>4139</v>
      </c>
      <c r="E87" s="81" t="s">
        <v>494</v>
      </c>
      <c r="F87" s="84">
        <v>60.0</v>
      </c>
      <c r="G87" s="81" t="s">
        <v>44</v>
      </c>
      <c r="H87" s="81" t="s">
        <v>224</v>
      </c>
      <c r="I87" s="81" t="s">
        <v>494</v>
      </c>
      <c r="J87" s="81" t="s">
        <v>4088</v>
      </c>
      <c r="K87" s="81" t="str">
        <f>IFERROR(__xludf.DUMMYFUNCTION("IF(OR(D87="""",G87=""""),"""",IFERROR(LET(
campo,XLOOKUP(TRIM(G87),ARRAYFORMULA(TRIM('indice columnas'!$A$2:$A$100)),'indice columnas'!$B$2:$B$100,""""),
col,IFERROR(MATCH(campo,Referencia!$A$1:$AZ$1,0),0),
fila,IFERROR(MATCH(TO_TEXT(D87),ARRAYFORMULA(TO_"&amp;"TEXT(Referencia!$A$2:$A6238)),0),0),
IF(OR(campo="""",campo=""-""),""NO APLICA"",
IF(col=0,""REVISAR EQUIVALENCIA"",
IF(fila=0,""SKU NO ENCONTRADO"",
LET(
valor,INDEX(Referencia!$A$2:$AZ6238,fila,col),
IF(TRIM(TO_TEXT(valor))=TRIM(TO_TEXT(I87)),
""OK"",
"&amp;"""NO COINCIDE. Valor verdadero: ""&amp;IF(valor="""",""[VACÍO]"",TO_TEXT(valor))
)
))))
),""ERROR EN FÓRMULA""))"),"NO APLICA")</f>
        <v>NO APLICA</v>
      </c>
    </row>
    <row r="88">
      <c r="A88" s="83" t="s">
        <v>4078</v>
      </c>
      <c r="B88" s="83" t="s">
        <v>4079</v>
      </c>
      <c r="C88" s="81" t="s">
        <v>4086</v>
      </c>
      <c r="D88" s="83" t="s">
        <v>4139</v>
      </c>
      <c r="E88" s="81" t="s">
        <v>503</v>
      </c>
      <c r="F88" s="84">
        <v>61.0</v>
      </c>
      <c r="G88" s="81" t="s">
        <v>12</v>
      </c>
      <c r="H88" s="81" t="s">
        <v>224</v>
      </c>
      <c r="I88" s="81" t="s">
        <v>55</v>
      </c>
      <c r="J88" s="81" t="s">
        <v>224</v>
      </c>
      <c r="K88" s="81" t="str">
        <f>IFERROR(__xludf.DUMMYFUNCTION("IF(OR(D88="""",G88=""""),"""",IFERROR(LET(
campo,XLOOKUP(TRIM(G88),ARRAYFORMULA(TRIM('indice columnas'!$A$2:$A$100)),'indice columnas'!$B$2:$B$100,""""),
col,IFERROR(MATCH(campo,Referencia!$A$1:$AZ$1,0),0),
fila,IFERROR(MATCH(TO_TEXT(D88),ARRAYFORMULA(TO_"&amp;"TEXT(Referencia!$A$2:$A6238)),0),0),
IF(OR(campo="""",campo=""-""),""NO APLICA"",
IF(col=0,""REVISAR EQUIVALENCIA"",
IF(fila=0,""SKU NO ENCONTRADO"",
LET(
valor,INDEX(Referencia!$A$2:$AZ6238,fila,col),
IF(TRIM(TO_TEXT(valor))=TRIM(TO_TEXT(I88)),
""OK"",
"&amp;"""NO COINCIDE. Valor verdadero: ""&amp;IF(valor="""",""[VACÍO]"",TO_TEXT(valor))
)
))))
),""ERROR EN FÓRMULA""))"),"OK")</f>
        <v>OK</v>
      </c>
    </row>
    <row r="89">
      <c r="A89" s="83" t="s">
        <v>4078</v>
      </c>
      <c r="B89" s="83" t="s">
        <v>4079</v>
      </c>
      <c r="C89" s="81" t="s">
        <v>4086</v>
      </c>
      <c r="D89" s="83" t="s">
        <v>4139</v>
      </c>
      <c r="E89" s="81" t="s">
        <v>503</v>
      </c>
      <c r="F89" s="84">
        <v>61.0</v>
      </c>
      <c r="G89" s="81" t="s">
        <v>44</v>
      </c>
      <c r="H89" s="81" t="s">
        <v>224</v>
      </c>
      <c r="I89" s="81" t="s">
        <v>494</v>
      </c>
      <c r="J89" s="81" t="s">
        <v>4088</v>
      </c>
      <c r="K89" s="81" t="str">
        <f>IFERROR(__xludf.DUMMYFUNCTION("IF(OR(D89="""",G89=""""),"""",IFERROR(LET(
campo,XLOOKUP(TRIM(G89),ARRAYFORMULA(TRIM('indice columnas'!$A$2:$A$100)),'indice columnas'!$B$2:$B$100,""""),
col,IFERROR(MATCH(campo,Referencia!$A$1:$AZ$1,0),0),
fila,IFERROR(MATCH(TO_TEXT(D89),ARRAYFORMULA(TO_"&amp;"TEXT(Referencia!$A$2:$A6238)),0),0),
IF(OR(campo="""",campo=""-""),""NO APLICA"",
IF(col=0,""REVISAR EQUIVALENCIA"",
IF(fila=0,""SKU NO ENCONTRADO"",
LET(
valor,INDEX(Referencia!$A$2:$AZ6238,fila,col),
IF(TRIM(TO_TEXT(valor))=TRIM(TO_TEXT(I89)),
""OK"",
"&amp;"""NO COINCIDE. Valor verdadero: ""&amp;IF(valor="""",""[VACÍO]"",TO_TEXT(valor))
)
))))
),""ERROR EN FÓRMULA""))"),"NO APLICA")</f>
        <v>NO APLICA</v>
      </c>
    </row>
    <row r="90">
      <c r="A90" s="83" t="s">
        <v>4078</v>
      </c>
      <c r="B90" s="83" t="s">
        <v>4079</v>
      </c>
      <c r="C90" s="81" t="s">
        <v>4086</v>
      </c>
      <c r="D90" s="83" t="s">
        <v>4140</v>
      </c>
      <c r="E90" s="81" t="s">
        <v>505</v>
      </c>
      <c r="F90" s="84">
        <v>62.0</v>
      </c>
      <c r="G90" s="81" t="s">
        <v>12</v>
      </c>
      <c r="H90" s="81" t="s">
        <v>224</v>
      </c>
      <c r="I90" s="81" t="s">
        <v>55</v>
      </c>
      <c r="J90" s="81" t="s">
        <v>224</v>
      </c>
      <c r="K90" s="81" t="str">
        <f>IFERROR(__xludf.DUMMYFUNCTION("IF(OR(D90="""",G90=""""),"""",IFERROR(LET(
campo,XLOOKUP(TRIM(G90),ARRAYFORMULA(TRIM('indice columnas'!$A$2:$A$100)),'indice columnas'!$B$2:$B$100,""""),
col,IFERROR(MATCH(campo,Referencia!$A$1:$AZ$1,0),0),
fila,IFERROR(MATCH(TO_TEXT(D90),ARRAYFORMULA(TO_"&amp;"TEXT(Referencia!$A$2:$A6238)),0),0),
IF(OR(campo="""",campo=""-""),""NO APLICA"",
IF(col=0,""REVISAR EQUIVALENCIA"",
IF(fila=0,""SKU NO ENCONTRADO"",
LET(
valor,INDEX(Referencia!$A$2:$AZ6238,fila,col),
IF(TRIM(TO_TEXT(valor))=TRIM(TO_TEXT(I90)),
""OK"",
"&amp;"""NO COINCIDE. Valor verdadero: ""&amp;IF(valor="""",""[VACÍO]"",TO_TEXT(valor))
)
))))
),""ERROR EN FÓRMULA""))"),"OK")</f>
        <v>OK</v>
      </c>
    </row>
    <row r="91">
      <c r="A91" s="83" t="s">
        <v>4078</v>
      </c>
      <c r="B91" s="83" t="s">
        <v>4079</v>
      </c>
      <c r="C91" s="81" t="s">
        <v>4086</v>
      </c>
      <c r="D91" s="83" t="s">
        <v>4140</v>
      </c>
      <c r="E91" s="81" t="s">
        <v>505</v>
      </c>
      <c r="F91" s="84">
        <v>62.0</v>
      </c>
      <c r="G91" s="81" t="s">
        <v>44</v>
      </c>
      <c r="H91" s="81" t="s">
        <v>224</v>
      </c>
      <c r="I91" s="81" t="s">
        <v>494</v>
      </c>
      <c r="J91" s="81" t="s">
        <v>4088</v>
      </c>
      <c r="K91" s="81" t="str">
        <f>IFERROR(__xludf.DUMMYFUNCTION("IF(OR(D91="""",G91=""""),"""",IFERROR(LET(
campo,XLOOKUP(TRIM(G91),ARRAYFORMULA(TRIM('indice columnas'!$A$2:$A$100)),'indice columnas'!$B$2:$B$100,""""),
col,IFERROR(MATCH(campo,Referencia!$A$1:$AZ$1,0),0),
fila,IFERROR(MATCH(TO_TEXT(D91),ARRAYFORMULA(TO_"&amp;"TEXT(Referencia!$A$2:$A6238)),0),0),
IF(OR(campo="""",campo=""-""),""NO APLICA"",
IF(col=0,""REVISAR EQUIVALENCIA"",
IF(fila=0,""SKU NO ENCONTRADO"",
LET(
valor,INDEX(Referencia!$A$2:$AZ6238,fila,col),
IF(TRIM(TO_TEXT(valor))=TRIM(TO_TEXT(I91)),
""OK"",
"&amp;"""NO COINCIDE. Valor verdadero: ""&amp;IF(valor="""",""[VACÍO]"",TO_TEXT(valor))
)
))))
),""ERROR EN FÓRMULA""))"),"NO APLICA")</f>
        <v>NO APLICA</v>
      </c>
    </row>
    <row r="92">
      <c r="A92" s="83" t="s">
        <v>4078</v>
      </c>
      <c r="B92" s="83" t="s">
        <v>4079</v>
      </c>
      <c r="C92" s="81" t="s">
        <v>4086</v>
      </c>
      <c r="D92" s="83" t="s">
        <v>4141</v>
      </c>
      <c r="E92" s="81" t="s">
        <v>507</v>
      </c>
      <c r="F92" s="84">
        <v>63.0</v>
      </c>
      <c r="G92" s="81" t="s">
        <v>44</v>
      </c>
      <c r="H92" s="81" t="s">
        <v>224</v>
      </c>
      <c r="I92" s="81" t="s">
        <v>507</v>
      </c>
      <c r="J92" s="81" t="s">
        <v>4088</v>
      </c>
      <c r="K92" s="81" t="str">
        <f>IFERROR(__xludf.DUMMYFUNCTION("IF(OR(D92="""",G92=""""),"""",IFERROR(LET(
campo,XLOOKUP(TRIM(G92),ARRAYFORMULA(TRIM('indice columnas'!$A$2:$A$100)),'indice columnas'!$B$2:$B$100,""""),
col,IFERROR(MATCH(campo,Referencia!$A$1:$AZ$1,0),0),
fila,IFERROR(MATCH(TO_TEXT(D92),ARRAYFORMULA(TO_"&amp;"TEXT(Referencia!$A$2:$A6238)),0),0),
IF(OR(campo="""",campo=""-""),""NO APLICA"",
IF(col=0,""REVISAR EQUIVALENCIA"",
IF(fila=0,""SKU NO ENCONTRADO"",
LET(
valor,INDEX(Referencia!$A$2:$AZ6238,fila,col),
IF(TRIM(TO_TEXT(valor))=TRIM(TO_TEXT(I92)),
""OK"",
"&amp;"""NO COINCIDE. Valor verdadero: ""&amp;IF(valor="""",""[VACÍO]"",TO_TEXT(valor))
)
))))
),""ERROR EN FÓRMULA""))"),"NO APLICA")</f>
        <v>NO APLICA</v>
      </c>
    </row>
    <row r="93">
      <c r="A93" s="83" t="s">
        <v>4078</v>
      </c>
      <c r="B93" s="83" t="s">
        <v>4079</v>
      </c>
      <c r="C93" s="81" t="s">
        <v>4086</v>
      </c>
      <c r="D93" s="83" t="s">
        <v>4141</v>
      </c>
      <c r="E93" s="81" t="s">
        <v>516</v>
      </c>
      <c r="F93" s="84">
        <v>64.0</v>
      </c>
      <c r="G93" s="81" t="s">
        <v>12</v>
      </c>
      <c r="H93" s="81" t="s">
        <v>224</v>
      </c>
      <c r="I93" s="81" t="s">
        <v>55</v>
      </c>
      <c r="J93" s="81" t="s">
        <v>224</v>
      </c>
      <c r="K93" s="81" t="str">
        <f>IFERROR(__xludf.DUMMYFUNCTION("IF(OR(D93="""",G93=""""),"""",IFERROR(LET(
campo,XLOOKUP(TRIM(G93),ARRAYFORMULA(TRIM('indice columnas'!$A$2:$A$100)),'indice columnas'!$B$2:$B$100,""""),
col,IFERROR(MATCH(campo,Referencia!$A$1:$AZ$1,0),0),
fila,IFERROR(MATCH(TO_TEXT(D93),ARRAYFORMULA(TO_"&amp;"TEXT(Referencia!$A$2:$A6238)),0),0),
IF(OR(campo="""",campo=""-""),""NO APLICA"",
IF(col=0,""REVISAR EQUIVALENCIA"",
IF(fila=0,""SKU NO ENCONTRADO"",
LET(
valor,INDEX(Referencia!$A$2:$AZ6238,fila,col),
IF(TRIM(TO_TEXT(valor))=TRIM(TO_TEXT(I93)),
""OK"",
"&amp;"""NO COINCIDE. Valor verdadero: ""&amp;IF(valor="""",""[VACÍO]"",TO_TEXT(valor))
)
))))
),""ERROR EN FÓRMULA""))"),"OK")</f>
        <v>OK</v>
      </c>
    </row>
    <row r="94">
      <c r="A94" s="83" t="s">
        <v>4078</v>
      </c>
      <c r="B94" s="83" t="s">
        <v>4079</v>
      </c>
      <c r="C94" s="81" t="s">
        <v>4086</v>
      </c>
      <c r="D94" s="83" t="s">
        <v>4141</v>
      </c>
      <c r="E94" s="81" t="s">
        <v>516</v>
      </c>
      <c r="F94" s="84">
        <v>64.0</v>
      </c>
      <c r="G94" s="81" t="s">
        <v>44</v>
      </c>
      <c r="H94" s="81" t="s">
        <v>224</v>
      </c>
      <c r="I94" s="81" t="s">
        <v>507</v>
      </c>
      <c r="J94" s="81" t="s">
        <v>4088</v>
      </c>
      <c r="K94" s="81" t="str">
        <f>IFERROR(__xludf.DUMMYFUNCTION("IF(OR(D94="""",G94=""""),"""",IFERROR(LET(
campo,XLOOKUP(TRIM(G94),ARRAYFORMULA(TRIM('indice columnas'!$A$2:$A$100)),'indice columnas'!$B$2:$B$100,""""),
col,IFERROR(MATCH(campo,Referencia!$A$1:$AZ$1,0),0),
fila,IFERROR(MATCH(TO_TEXT(D94),ARRAYFORMULA(TO_"&amp;"TEXT(Referencia!$A$2:$A6238)),0),0),
IF(OR(campo="""",campo=""-""),""NO APLICA"",
IF(col=0,""REVISAR EQUIVALENCIA"",
IF(fila=0,""SKU NO ENCONTRADO"",
LET(
valor,INDEX(Referencia!$A$2:$AZ6238,fila,col),
IF(TRIM(TO_TEXT(valor))=TRIM(TO_TEXT(I94)),
""OK"",
"&amp;"""NO COINCIDE. Valor verdadero: ""&amp;IF(valor="""",""[VACÍO]"",TO_TEXT(valor))
)
))))
),""ERROR EN FÓRMULA""))"),"NO APLICA")</f>
        <v>NO APLICA</v>
      </c>
    </row>
    <row r="95">
      <c r="A95" s="83" t="s">
        <v>4078</v>
      </c>
      <c r="B95" s="83" t="s">
        <v>4079</v>
      </c>
      <c r="C95" s="81" t="s">
        <v>4086</v>
      </c>
      <c r="D95" s="83" t="s">
        <v>4142</v>
      </c>
      <c r="E95" s="81" t="s">
        <v>518</v>
      </c>
      <c r="F95" s="84">
        <v>65.0</v>
      </c>
      <c r="G95" s="81" t="s">
        <v>12</v>
      </c>
      <c r="H95" s="81" t="s">
        <v>224</v>
      </c>
      <c r="I95" s="81" t="s">
        <v>55</v>
      </c>
      <c r="J95" s="81" t="s">
        <v>224</v>
      </c>
      <c r="K95" s="81" t="str">
        <f>IFERROR(__xludf.DUMMYFUNCTION("IF(OR(D95="""",G95=""""),"""",IFERROR(LET(
campo,XLOOKUP(TRIM(G95),ARRAYFORMULA(TRIM('indice columnas'!$A$2:$A$100)),'indice columnas'!$B$2:$B$100,""""),
col,IFERROR(MATCH(campo,Referencia!$A$1:$AZ$1,0),0),
fila,IFERROR(MATCH(TO_TEXT(D95),ARRAYFORMULA(TO_"&amp;"TEXT(Referencia!$A$2:$A6238)),0),0),
IF(OR(campo="""",campo=""-""),""NO APLICA"",
IF(col=0,""REVISAR EQUIVALENCIA"",
IF(fila=0,""SKU NO ENCONTRADO"",
LET(
valor,INDEX(Referencia!$A$2:$AZ6238,fila,col),
IF(TRIM(TO_TEXT(valor))=TRIM(TO_TEXT(I95)),
""OK"",
"&amp;"""NO COINCIDE. Valor verdadero: ""&amp;IF(valor="""",""[VACÍO]"",TO_TEXT(valor))
)
))))
),""ERROR EN FÓRMULA""))"),"OK")</f>
        <v>OK</v>
      </c>
    </row>
    <row r="96">
      <c r="A96" s="83" t="s">
        <v>4078</v>
      </c>
      <c r="B96" s="83" t="s">
        <v>4079</v>
      </c>
      <c r="C96" s="81" t="s">
        <v>4086</v>
      </c>
      <c r="D96" s="83" t="s">
        <v>4142</v>
      </c>
      <c r="E96" s="81" t="s">
        <v>518</v>
      </c>
      <c r="F96" s="84">
        <v>65.0</v>
      </c>
      <c r="G96" s="81" t="s">
        <v>44</v>
      </c>
      <c r="H96" s="81" t="s">
        <v>224</v>
      </c>
      <c r="I96" s="81" t="s">
        <v>4143</v>
      </c>
      <c r="J96" s="81" t="s">
        <v>4088</v>
      </c>
      <c r="K96" s="81" t="str">
        <f>IFERROR(__xludf.DUMMYFUNCTION("IF(OR(D96="""",G96=""""),"""",IFERROR(LET(
campo,XLOOKUP(TRIM(G96),ARRAYFORMULA(TRIM('indice columnas'!$A$2:$A$100)),'indice columnas'!$B$2:$B$100,""""),
col,IFERROR(MATCH(campo,Referencia!$A$1:$AZ$1,0),0),
fila,IFERROR(MATCH(TO_TEXT(D96),ARRAYFORMULA(TO_"&amp;"TEXT(Referencia!$A$2:$A6238)),0),0),
IF(OR(campo="""",campo=""-""),""NO APLICA"",
IF(col=0,""REVISAR EQUIVALENCIA"",
IF(fila=0,""SKU NO ENCONTRADO"",
LET(
valor,INDEX(Referencia!$A$2:$AZ6238,fila,col),
IF(TRIM(TO_TEXT(valor))=TRIM(TO_TEXT(I96)),
""OK"",
"&amp;"""NO COINCIDE. Valor verdadero: ""&amp;IF(valor="""",""[VACÍO]"",TO_TEXT(valor))
)
))))
),""ERROR EN FÓRMULA""))"),"NO APLICA")</f>
        <v>NO APLICA</v>
      </c>
    </row>
    <row r="97">
      <c r="A97" s="83" t="s">
        <v>4078</v>
      </c>
      <c r="B97" s="83" t="s">
        <v>4079</v>
      </c>
      <c r="C97" s="81" t="s">
        <v>4086</v>
      </c>
      <c r="D97" s="83" t="s">
        <v>4144</v>
      </c>
      <c r="E97" s="81" t="s">
        <v>523</v>
      </c>
      <c r="F97" s="84">
        <v>66.0</v>
      </c>
      <c r="G97" s="81" t="s">
        <v>44</v>
      </c>
      <c r="H97" s="81" t="s">
        <v>224</v>
      </c>
      <c r="I97" s="81" t="s">
        <v>523</v>
      </c>
      <c r="J97" s="81" t="s">
        <v>4088</v>
      </c>
      <c r="K97" s="81" t="str">
        <f>IFERROR(__xludf.DUMMYFUNCTION("IF(OR(D97="""",G97=""""),"""",IFERROR(LET(
campo,XLOOKUP(TRIM(G97),ARRAYFORMULA(TRIM('indice columnas'!$A$2:$A$100)),'indice columnas'!$B$2:$B$100,""""),
col,IFERROR(MATCH(campo,Referencia!$A$1:$AZ$1,0),0),
fila,IFERROR(MATCH(TO_TEXT(D97),ARRAYFORMULA(TO_"&amp;"TEXT(Referencia!$A$2:$A6238)),0),0),
IF(OR(campo="""",campo=""-""),""NO APLICA"",
IF(col=0,""REVISAR EQUIVALENCIA"",
IF(fila=0,""SKU NO ENCONTRADO"",
LET(
valor,INDEX(Referencia!$A$2:$AZ6238,fila,col),
IF(TRIM(TO_TEXT(valor))=TRIM(TO_TEXT(I97)),
""OK"",
"&amp;"""NO COINCIDE. Valor verdadero: ""&amp;IF(valor="""",""[VACÍO]"",TO_TEXT(valor))
)
))))
),""ERROR EN FÓRMULA""))"),"NO APLICA")</f>
        <v>NO APLICA</v>
      </c>
    </row>
    <row r="98">
      <c r="A98" s="83" t="s">
        <v>4078</v>
      </c>
      <c r="B98" s="83" t="s">
        <v>4079</v>
      </c>
      <c r="C98" s="81" t="s">
        <v>4086</v>
      </c>
      <c r="D98" s="83" t="s">
        <v>4144</v>
      </c>
      <c r="E98" s="81" t="s">
        <v>530</v>
      </c>
      <c r="F98" s="84">
        <v>67.0</v>
      </c>
      <c r="G98" s="81" t="s">
        <v>12</v>
      </c>
      <c r="H98" s="81" t="s">
        <v>224</v>
      </c>
      <c r="I98" s="81" t="s">
        <v>55</v>
      </c>
      <c r="J98" s="81" t="s">
        <v>224</v>
      </c>
      <c r="K98" s="81" t="str">
        <f>IFERROR(__xludf.DUMMYFUNCTION("IF(OR(D98="""",G98=""""),"""",IFERROR(LET(
campo,XLOOKUP(TRIM(G98),ARRAYFORMULA(TRIM('indice columnas'!$A$2:$A$100)),'indice columnas'!$B$2:$B$100,""""),
col,IFERROR(MATCH(campo,Referencia!$A$1:$AZ$1,0),0),
fila,IFERROR(MATCH(TO_TEXT(D98),ARRAYFORMULA(TO_"&amp;"TEXT(Referencia!$A$2:$A6238)),0),0),
IF(OR(campo="""",campo=""-""),""NO APLICA"",
IF(col=0,""REVISAR EQUIVALENCIA"",
IF(fila=0,""SKU NO ENCONTRADO"",
LET(
valor,INDEX(Referencia!$A$2:$AZ6238,fila,col),
IF(TRIM(TO_TEXT(valor))=TRIM(TO_TEXT(I98)),
""OK"",
"&amp;"""NO COINCIDE. Valor verdadero: ""&amp;IF(valor="""",""[VACÍO]"",TO_TEXT(valor))
)
))))
),""ERROR EN FÓRMULA""))"),"OK")</f>
        <v>OK</v>
      </c>
    </row>
    <row r="99">
      <c r="A99" s="83" t="s">
        <v>4078</v>
      </c>
      <c r="B99" s="83" t="s">
        <v>4079</v>
      </c>
      <c r="C99" s="81" t="s">
        <v>4086</v>
      </c>
      <c r="D99" s="83" t="s">
        <v>4144</v>
      </c>
      <c r="E99" s="81" t="s">
        <v>530</v>
      </c>
      <c r="F99" s="84">
        <v>67.0</v>
      </c>
      <c r="G99" s="81" t="s">
        <v>44</v>
      </c>
      <c r="H99" s="81" t="s">
        <v>224</v>
      </c>
      <c r="I99" s="81" t="s">
        <v>523</v>
      </c>
      <c r="J99" s="81" t="s">
        <v>4088</v>
      </c>
      <c r="K99" s="81" t="str">
        <f>IFERROR(__xludf.DUMMYFUNCTION("IF(OR(D99="""",G99=""""),"""",IFERROR(LET(
campo,XLOOKUP(TRIM(G99),ARRAYFORMULA(TRIM('indice columnas'!$A$2:$A$100)),'indice columnas'!$B$2:$B$100,""""),
col,IFERROR(MATCH(campo,Referencia!$A$1:$AZ$1,0),0),
fila,IFERROR(MATCH(TO_TEXT(D99),ARRAYFORMULA(TO_"&amp;"TEXT(Referencia!$A$2:$A6238)),0),0),
IF(OR(campo="""",campo=""-""),""NO APLICA"",
IF(col=0,""REVISAR EQUIVALENCIA"",
IF(fila=0,""SKU NO ENCONTRADO"",
LET(
valor,INDEX(Referencia!$A$2:$AZ6238,fila,col),
IF(TRIM(TO_TEXT(valor))=TRIM(TO_TEXT(I99)),
""OK"",
"&amp;"""NO COINCIDE. Valor verdadero: ""&amp;IF(valor="""",""[VACÍO]"",TO_TEXT(valor))
)
))))
),""ERROR EN FÓRMULA""))"),"NO APLICA")</f>
        <v>NO APLICA</v>
      </c>
    </row>
    <row r="100">
      <c r="A100" s="83" t="s">
        <v>4078</v>
      </c>
      <c r="B100" s="83" t="s">
        <v>4079</v>
      </c>
      <c r="C100" s="81" t="s">
        <v>4086</v>
      </c>
      <c r="D100" s="83" t="s">
        <v>4145</v>
      </c>
      <c r="E100" s="81" t="s">
        <v>531</v>
      </c>
      <c r="F100" s="84">
        <v>68.0</v>
      </c>
      <c r="G100" s="81" t="s">
        <v>12</v>
      </c>
      <c r="H100" s="81" t="s">
        <v>224</v>
      </c>
      <c r="I100" s="81" t="s">
        <v>55</v>
      </c>
      <c r="J100" s="81" t="s">
        <v>224</v>
      </c>
      <c r="K100" s="81" t="str">
        <f>IFERROR(__xludf.DUMMYFUNCTION("IF(OR(D100="""",G100=""""),"""",IFERROR(LET(
campo,XLOOKUP(TRIM(G100),ARRAYFORMULA(TRIM('indice columnas'!$A$2:$A$100)),'indice columnas'!$B$2:$B$100,""""),
col,IFERROR(MATCH(campo,Referencia!$A$1:$AZ$1,0),0),
fila,IFERROR(MATCH(TO_TEXT(D100),ARRAYFORMULA"&amp;"(TO_TEXT(Referencia!$A$2:$A6238)),0),0),
IF(OR(campo="""",campo=""-""),""NO APLICA"",
IF(col=0,""REVISAR EQUIVALENCIA"",
IF(fila=0,""SKU NO ENCONTRADO"",
LET(
valor,INDEX(Referencia!$A$2:$AZ6238,fila,col),
IF(TRIM(TO_TEXT(valor))=TRIM(TO_TEXT(I100)),
""OK"&amp;""",
""NO COINCIDE. Valor verdadero: ""&amp;IF(valor="""",""[VACÍO]"",TO_TEXT(valor))
)
))))
),""ERROR EN FÓRMULA""))"),"OK")</f>
        <v>OK</v>
      </c>
    </row>
    <row r="101">
      <c r="A101" s="83" t="s">
        <v>4078</v>
      </c>
      <c r="B101" s="83" t="s">
        <v>4079</v>
      </c>
      <c r="C101" s="81" t="s">
        <v>4086</v>
      </c>
      <c r="D101" s="83" t="s">
        <v>4145</v>
      </c>
      <c r="E101" s="81" t="s">
        <v>531</v>
      </c>
      <c r="F101" s="84">
        <v>68.0</v>
      </c>
      <c r="G101" s="81" t="s">
        <v>44</v>
      </c>
      <c r="H101" s="81" t="s">
        <v>224</v>
      </c>
      <c r="I101" s="81" t="s">
        <v>523</v>
      </c>
      <c r="J101" s="81" t="s">
        <v>4088</v>
      </c>
      <c r="K101" s="81" t="str">
        <f>IFERROR(__xludf.DUMMYFUNCTION("IF(OR(D101="""",G101=""""),"""",IFERROR(LET(
campo,XLOOKUP(TRIM(G101),ARRAYFORMULA(TRIM('indice columnas'!$A$2:$A$100)),'indice columnas'!$B$2:$B$100,""""),
col,IFERROR(MATCH(campo,Referencia!$A$1:$AZ$1,0),0),
fila,IFERROR(MATCH(TO_TEXT(D101),ARRAYFORMULA"&amp;"(TO_TEXT(Referencia!$A$2:$A6238)),0),0),
IF(OR(campo="""",campo=""-""),""NO APLICA"",
IF(col=0,""REVISAR EQUIVALENCIA"",
IF(fila=0,""SKU NO ENCONTRADO"",
LET(
valor,INDEX(Referencia!$A$2:$AZ6238,fila,col),
IF(TRIM(TO_TEXT(valor))=TRIM(TO_TEXT(I101)),
""OK"&amp;""",
""NO COINCIDE. Valor verdadero: ""&amp;IF(valor="""",""[VACÍO]"",TO_TEXT(valor))
)
))))
),""ERROR EN FÓRMULA""))"),"NO APLICA")</f>
        <v>NO APLICA</v>
      </c>
    </row>
    <row r="102">
      <c r="A102" s="83" t="s">
        <v>4078</v>
      </c>
      <c r="B102" s="83" t="s">
        <v>4079</v>
      </c>
      <c r="C102" s="81" t="s">
        <v>4086</v>
      </c>
      <c r="D102" s="83" t="s">
        <v>4146</v>
      </c>
      <c r="E102" s="81" t="s">
        <v>533</v>
      </c>
      <c r="F102" s="84">
        <v>69.0</v>
      </c>
      <c r="G102" s="81" t="s">
        <v>44</v>
      </c>
      <c r="H102" s="81" t="s">
        <v>224</v>
      </c>
      <c r="I102" s="81" t="s">
        <v>533</v>
      </c>
      <c r="J102" s="81" t="s">
        <v>4088</v>
      </c>
      <c r="K102" s="81" t="str">
        <f>IFERROR(__xludf.DUMMYFUNCTION("IF(OR(D102="""",G102=""""),"""",IFERROR(LET(
campo,XLOOKUP(TRIM(G102),ARRAYFORMULA(TRIM('indice columnas'!$A$2:$A$100)),'indice columnas'!$B$2:$B$100,""""),
col,IFERROR(MATCH(campo,Referencia!$A$1:$AZ$1,0),0),
fila,IFERROR(MATCH(TO_TEXT(D102),ARRAYFORMULA"&amp;"(TO_TEXT(Referencia!$A$2:$A6238)),0),0),
IF(OR(campo="""",campo=""-""),""NO APLICA"",
IF(col=0,""REVISAR EQUIVALENCIA"",
IF(fila=0,""SKU NO ENCONTRADO"",
LET(
valor,INDEX(Referencia!$A$2:$AZ6238,fila,col),
IF(TRIM(TO_TEXT(valor))=TRIM(TO_TEXT(I102)),
""OK"&amp;""",
""NO COINCIDE. Valor verdadero: ""&amp;IF(valor="""",""[VACÍO]"",TO_TEXT(valor))
)
))))
),""ERROR EN FÓRMULA""))"),"NO APLICA")</f>
        <v>NO APLICA</v>
      </c>
    </row>
    <row r="103">
      <c r="A103" s="83" t="s">
        <v>4078</v>
      </c>
      <c r="B103" s="83" t="s">
        <v>4079</v>
      </c>
      <c r="C103" s="81" t="s">
        <v>4086</v>
      </c>
      <c r="D103" s="83" t="s">
        <v>4147</v>
      </c>
      <c r="E103" s="81" t="s">
        <v>542</v>
      </c>
      <c r="F103" s="84">
        <v>70.0</v>
      </c>
      <c r="G103" s="81" t="s">
        <v>12</v>
      </c>
      <c r="H103" s="81" t="s">
        <v>224</v>
      </c>
      <c r="I103" s="81" t="s">
        <v>55</v>
      </c>
      <c r="J103" s="81" t="s">
        <v>224</v>
      </c>
      <c r="K103" s="81" t="str">
        <f>IFERROR(__xludf.DUMMYFUNCTION("IF(OR(D103="""",G103=""""),"""",IFERROR(LET(
campo,XLOOKUP(TRIM(G103),ARRAYFORMULA(TRIM('indice columnas'!$A$2:$A$100)),'indice columnas'!$B$2:$B$100,""""),
col,IFERROR(MATCH(campo,Referencia!$A$1:$AZ$1,0),0),
fila,IFERROR(MATCH(TO_TEXT(D103),ARRAYFORMULA"&amp;"(TO_TEXT(Referencia!$A$2:$A6238)),0),0),
IF(OR(campo="""",campo=""-""),""NO APLICA"",
IF(col=0,""REVISAR EQUIVALENCIA"",
IF(fila=0,""SKU NO ENCONTRADO"",
LET(
valor,INDEX(Referencia!$A$2:$AZ6238,fila,col),
IF(TRIM(TO_TEXT(valor))=TRIM(TO_TEXT(I103)),
""OK"&amp;""",
""NO COINCIDE. Valor verdadero: ""&amp;IF(valor="""",""[VACÍO]"",TO_TEXT(valor))
)
))))
),""ERROR EN FÓRMULA""))"),"OK")</f>
        <v>OK</v>
      </c>
    </row>
    <row r="104">
      <c r="A104" s="83" t="s">
        <v>4078</v>
      </c>
      <c r="B104" s="83" t="s">
        <v>4079</v>
      </c>
      <c r="C104" s="81" t="s">
        <v>4086</v>
      </c>
      <c r="D104" s="83" t="s">
        <v>4147</v>
      </c>
      <c r="E104" s="81" t="s">
        <v>542</v>
      </c>
      <c r="F104" s="84">
        <v>70.0</v>
      </c>
      <c r="G104" s="81" t="s">
        <v>44</v>
      </c>
      <c r="H104" s="81" t="s">
        <v>224</v>
      </c>
      <c r="I104" s="81" t="s">
        <v>533</v>
      </c>
      <c r="J104" s="81" t="s">
        <v>4088</v>
      </c>
      <c r="K104" s="81" t="str">
        <f>IFERROR(__xludf.DUMMYFUNCTION("IF(OR(D104="""",G104=""""),"""",IFERROR(LET(
campo,XLOOKUP(TRIM(G104),ARRAYFORMULA(TRIM('indice columnas'!$A$2:$A$100)),'indice columnas'!$B$2:$B$100,""""),
col,IFERROR(MATCH(campo,Referencia!$A$1:$AZ$1,0),0),
fila,IFERROR(MATCH(TO_TEXT(D104),ARRAYFORMULA"&amp;"(TO_TEXT(Referencia!$A$2:$A6238)),0),0),
IF(OR(campo="""",campo=""-""),""NO APLICA"",
IF(col=0,""REVISAR EQUIVALENCIA"",
IF(fila=0,""SKU NO ENCONTRADO"",
LET(
valor,INDEX(Referencia!$A$2:$AZ6238,fila,col),
IF(TRIM(TO_TEXT(valor))=TRIM(TO_TEXT(I104)),
""OK"&amp;""",
""NO COINCIDE. Valor verdadero: ""&amp;IF(valor="""",""[VACÍO]"",TO_TEXT(valor))
)
))))
),""ERROR EN FÓRMULA""))"),"NO APLICA")</f>
        <v>NO APLICA</v>
      </c>
    </row>
    <row r="105">
      <c r="A105" s="83" t="s">
        <v>4078</v>
      </c>
      <c r="B105" s="83" t="s">
        <v>4079</v>
      </c>
      <c r="C105" s="81" t="s">
        <v>4086</v>
      </c>
      <c r="D105" s="83" t="s">
        <v>4148</v>
      </c>
      <c r="E105" s="81" t="s">
        <v>545</v>
      </c>
      <c r="F105" s="84">
        <v>71.0</v>
      </c>
      <c r="G105" s="81" t="s">
        <v>44</v>
      </c>
      <c r="H105" s="81" t="s">
        <v>224</v>
      </c>
      <c r="I105" s="81" t="s">
        <v>545</v>
      </c>
      <c r="J105" s="81" t="s">
        <v>4088</v>
      </c>
      <c r="K105" s="81" t="str">
        <f>IFERROR(__xludf.DUMMYFUNCTION("IF(OR(D105="""",G105=""""),"""",IFERROR(LET(
campo,XLOOKUP(TRIM(G105),ARRAYFORMULA(TRIM('indice columnas'!$A$2:$A$100)),'indice columnas'!$B$2:$B$100,""""),
col,IFERROR(MATCH(campo,Referencia!$A$1:$AZ$1,0),0),
fila,IFERROR(MATCH(TO_TEXT(D105),ARRAYFORMULA"&amp;"(TO_TEXT(Referencia!$A$2:$A6238)),0),0),
IF(OR(campo="""",campo=""-""),""NO APLICA"",
IF(col=0,""REVISAR EQUIVALENCIA"",
IF(fila=0,""SKU NO ENCONTRADO"",
LET(
valor,INDEX(Referencia!$A$2:$AZ6238,fila,col),
IF(TRIM(TO_TEXT(valor))=TRIM(TO_TEXT(I105)),
""OK"&amp;""",
""NO COINCIDE. Valor verdadero: ""&amp;IF(valor="""",""[VACÍO]"",TO_TEXT(valor))
)
))))
),""ERROR EN FÓRMULA""))"),"NO APLICA")</f>
        <v>NO APLICA</v>
      </c>
    </row>
    <row r="106">
      <c r="A106" s="83" t="s">
        <v>4078</v>
      </c>
      <c r="B106" s="83" t="s">
        <v>4079</v>
      </c>
      <c r="C106" s="81" t="s">
        <v>4086</v>
      </c>
      <c r="D106" s="83" t="s">
        <v>4148</v>
      </c>
      <c r="E106" s="81" t="s">
        <v>552</v>
      </c>
      <c r="F106" s="84">
        <v>72.0</v>
      </c>
      <c r="G106" s="81" t="s">
        <v>12</v>
      </c>
      <c r="H106" s="81" t="s">
        <v>224</v>
      </c>
      <c r="I106" s="81" t="s">
        <v>55</v>
      </c>
      <c r="J106" s="81" t="s">
        <v>224</v>
      </c>
      <c r="K106" s="81" t="str">
        <f>IFERROR(__xludf.DUMMYFUNCTION("IF(OR(D106="""",G106=""""),"""",IFERROR(LET(
campo,XLOOKUP(TRIM(G106),ARRAYFORMULA(TRIM('indice columnas'!$A$2:$A$100)),'indice columnas'!$B$2:$B$100,""""),
col,IFERROR(MATCH(campo,Referencia!$A$1:$AZ$1,0),0),
fila,IFERROR(MATCH(TO_TEXT(D106),ARRAYFORMULA"&amp;"(TO_TEXT(Referencia!$A$2:$A6238)),0),0),
IF(OR(campo="""",campo=""-""),""NO APLICA"",
IF(col=0,""REVISAR EQUIVALENCIA"",
IF(fila=0,""SKU NO ENCONTRADO"",
LET(
valor,INDEX(Referencia!$A$2:$AZ6238,fila,col),
IF(TRIM(TO_TEXT(valor))=TRIM(TO_TEXT(I106)),
""OK"&amp;""",
""NO COINCIDE. Valor verdadero: ""&amp;IF(valor="""",""[VACÍO]"",TO_TEXT(valor))
)
))))
),""ERROR EN FÓRMULA""))"),"OK")</f>
        <v>OK</v>
      </c>
    </row>
    <row r="107">
      <c r="A107" s="83" t="s">
        <v>4078</v>
      </c>
      <c r="B107" s="83" t="s">
        <v>4079</v>
      </c>
      <c r="C107" s="81" t="s">
        <v>4086</v>
      </c>
      <c r="D107" s="83" t="s">
        <v>4148</v>
      </c>
      <c r="E107" s="81" t="s">
        <v>552</v>
      </c>
      <c r="F107" s="84">
        <v>72.0</v>
      </c>
      <c r="G107" s="81" t="s">
        <v>44</v>
      </c>
      <c r="H107" s="81" t="s">
        <v>224</v>
      </c>
      <c r="I107" s="81" t="s">
        <v>545</v>
      </c>
      <c r="J107" s="81" t="s">
        <v>4088</v>
      </c>
      <c r="K107" s="81" t="str">
        <f>IFERROR(__xludf.DUMMYFUNCTION("IF(OR(D107="""",G107=""""),"""",IFERROR(LET(
campo,XLOOKUP(TRIM(G107),ARRAYFORMULA(TRIM('indice columnas'!$A$2:$A$100)),'indice columnas'!$B$2:$B$100,""""),
col,IFERROR(MATCH(campo,Referencia!$A$1:$AZ$1,0),0),
fila,IFERROR(MATCH(TO_TEXT(D107),ARRAYFORMULA"&amp;"(TO_TEXT(Referencia!$A$2:$A6238)),0),0),
IF(OR(campo="""",campo=""-""),""NO APLICA"",
IF(col=0,""REVISAR EQUIVALENCIA"",
IF(fila=0,""SKU NO ENCONTRADO"",
LET(
valor,INDEX(Referencia!$A$2:$AZ6238,fila,col),
IF(TRIM(TO_TEXT(valor))=TRIM(TO_TEXT(I107)),
""OK"&amp;""",
""NO COINCIDE. Valor verdadero: ""&amp;IF(valor="""",""[VACÍO]"",TO_TEXT(valor))
)
))))
),""ERROR EN FÓRMULA""))"),"NO APLICA")</f>
        <v>NO APLICA</v>
      </c>
    </row>
    <row r="108">
      <c r="A108" s="83" t="s">
        <v>4078</v>
      </c>
      <c r="B108" s="83" t="s">
        <v>4079</v>
      </c>
      <c r="C108" s="81" t="s">
        <v>4086</v>
      </c>
      <c r="D108" s="83" t="s">
        <v>4149</v>
      </c>
      <c r="E108" s="81" t="s">
        <v>554</v>
      </c>
      <c r="F108" s="84">
        <v>73.0</v>
      </c>
      <c r="G108" s="81" t="s">
        <v>12</v>
      </c>
      <c r="H108" s="81" t="s">
        <v>224</v>
      </c>
      <c r="I108" s="81" t="s">
        <v>55</v>
      </c>
      <c r="J108" s="81" t="s">
        <v>224</v>
      </c>
      <c r="K108" s="81" t="str">
        <f>IFERROR(__xludf.DUMMYFUNCTION("IF(OR(D108="""",G108=""""),"""",IFERROR(LET(
campo,XLOOKUP(TRIM(G108),ARRAYFORMULA(TRIM('indice columnas'!$A$2:$A$100)),'indice columnas'!$B$2:$B$100,""""),
col,IFERROR(MATCH(campo,Referencia!$A$1:$AZ$1,0),0),
fila,IFERROR(MATCH(TO_TEXT(D108),ARRAYFORMULA"&amp;"(TO_TEXT(Referencia!$A$2:$A6238)),0),0),
IF(OR(campo="""",campo=""-""),""NO APLICA"",
IF(col=0,""REVISAR EQUIVALENCIA"",
IF(fila=0,""SKU NO ENCONTRADO"",
LET(
valor,INDEX(Referencia!$A$2:$AZ6238,fila,col),
IF(TRIM(TO_TEXT(valor))=TRIM(TO_TEXT(I108)),
""OK"&amp;""",
""NO COINCIDE. Valor verdadero: ""&amp;IF(valor="""",""[VACÍO]"",TO_TEXT(valor))
)
))))
),""ERROR EN FÓRMULA""))"),"OK")</f>
        <v>OK</v>
      </c>
    </row>
    <row r="109">
      <c r="A109" s="83" t="s">
        <v>4078</v>
      </c>
      <c r="B109" s="83" t="s">
        <v>4079</v>
      </c>
      <c r="C109" s="81" t="s">
        <v>4086</v>
      </c>
      <c r="D109" s="83" t="s">
        <v>4149</v>
      </c>
      <c r="E109" s="81" t="s">
        <v>554</v>
      </c>
      <c r="F109" s="84">
        <v>73.0</v>
      </c>
      <c r="G109" s="81" t="s">
        <v>44</v>
      </c>
      <c r="H109" s="81" t="s">
        <v>224</v>
      </c>
      <c r="I109" s="81" t="s">
        <v>545</v>
      </c>
      <c r="J109" s="81" t="s">
        <v>4088</v>
      </c>
      <c r="K109" s="81" t="str">
        <f>IFERROR(__xludf.DUMMYFUNCTION("IF(OR(D109="""",G109=""""),"""",IFERROR(LET(
campo,XLOOKUP(TRIM(G109),ARRAYFORMULA(TRIM('indice columnas'!$A$2:$A$100)),'indice columnas'!$B$2:$B$100,""""),
col,IFERROR(MATCH(campo,Referencia!$A$1:$AZ$1,0),0),
fila,IFERROR(MATCH(TO_TEXT(D109),ARRAYFORMULA"&amp;"(TO_TEXT(Referencia!$A$2:$A6238)),0),0),
IF(OR(campo="""",campo=""-""),""NO APLICA"",
IF(col=0,""REVISAR EQUIVALENCIA"",
IF(fila=0,""SKU NO ENCONTRADO"",
LET(
valor,INDEX(Referencia!$A$2:$AZ6238,fila,col),
IF(TRIM(TO_TEXT(valor))=TRIM(TO_TEXT(I109)),
""OK"&amp;""",
""NO COINCIDE. Valor verdadero: ""&amp;IF(valor="""",""[VACÍO]"",TO_TEXT(valor))
)
))))
),""ERROR EN FÓRMULA""))"),"NO APLICA")</f>
        <v>NO APLICA</v>
      </c>
    </row>
    <row r="110">
      <c r="A110" s="83" t="s">
        <v>4078</v>
      </c>
      <c r="B110" s="83" t="s">
        <v>4079</v>
      </c>
      <c r="C110" s="81" t="s">
        <v>4086</v>
      </c>
      <c r="D110" s="83" t="s">
        <v>4150</v>
      </c>
      <c r="E110" s="81" t="s">
        <v>556</v>
      </c>
      <c r="F110" s="84">
        <v>74.0</v>
      </c>
      <c r="G110" s="81" t="s">
        <v>44</v>
      </c>
      <c r="H110" s="81" t="s">
        <v>224</v>
      </c>
      <c r="I110" s="81" t="s">
        <v>556</v>
      </c>
      <c r="J110" s="81" t="s">
        <v>4088</v>
      </c>
      <c r="K110" s="81" t="str">
        <f>IFERROR(__xludf.DUMMYFUNCTION("IF(OR(D110="""",G110=""""),"""",IFERROR(LET(
campo,XLOOKUP(TRIM(G110),ARRAYFORMULA(TRIM('indice columnas'!$A$2:$A$100)),'indice columnas'!$B$2:$B$100,""""),
col,IFERROR(MATCH(campo,Referencia!$A$1:$AZ$1,0),0),
fila,IFERROR(MATCH(TO_TEXT(D110),ARRAYFORMULA"&amp;"(TO_TEXT(Referencia!$A$2:$A6238)),0),0),
IF(OR(campo="""",campo=""-""),""NO APLICA"",
IF(col=0,""REVISAR EQUIVALENCIA"",
IF(fila=0,""SKU NO ENCONTRADO"",
LET(
valor,INDEX(Referencia!$A$2:$AZ6238,fila,col),
IF(TRIM(TO_TEXT(valor))=TRIM(TO_TEXT(I110)),
""OK"&amp;""",
""NO COINCIDE. Valor verdadero: ""&amp;IF(valor="""",""[VACÍO]"",TO_TEXT(valor))
)
))))
),""ERROR EN FÓRMULA""))"),"NO APLICA")</f>
        <v>NO APLICA</v>
      </c>
    </row>
    <row r="111">
      <c r="A111" s="83" t="s">
        <v>4078</v>
      </c>
      <c r="B111" s="83" t="s">
        <v>4079</v>
      </c>
      <c r="C111" s="81" t="s">
        <v>4086</v>
      </c>
      <c r="D111" s="83" t="s">
        <v>4150</v>
      </c>
      <c r="E111" s="81" t="s">
        <v>565</v>
      </c>
      <c r="F111" s="84">
        <v>75.0</v>
      </c>
      <c r="G111" s="81" t="s">
        <v>12</v>
      </c>
      <c r="H111" s="81" t="s">
        <v>224</v>
      </c>
      <c r="I111" s="81" t="s">
        <v>55</v>
      </c>
      <c r="J111" s="81" t="s">
        <v>224</v>
      </c>
      <c r="K111" s="81" t="str">
        <f>IFERROR(__xludf.DUMMYFUNCTION("IF(OR(D111="""",G111=""""),"""",IFERROR(LET(
campo,XLOOKUP(TRIM(G111),ARRAYFORMULA(TRIM('indice columnas'!$A$2:$A$100)),'indice columnas'!$B$2:$B$100,""""),
col,IFERROR(MATCH(campo,Referencia!$A$1:$AZ$1,0),0),
fila,IFERROR(MATCH(TO_TEXT(D111),ARRAYFORMULA"&amp;"(TO_TEXT(Referencia!$A$2:$A6238)),0),0),
IF(OR(campo="""",campo=""-""),""NO APLICA"",
IF(col=0,""REVISAR EQUIVALENCIA"",
IF(fila=0,""SKU NO ENCONTRADO"",
LET(
valor,INDEX(Referencia!$A$2:$AZ6238,fila,col),
IF(TRIM(TO_TEXT(valor))=TRIM(TO_TEXT(I111)),
""OK"&amp;""",
""NO COINCIDE. Valor verdadero: ""&amp;IF(valor="""",""[VACÍO]"",TO_TEXT(valor))
)
))))
),""ERROR EN FÓRMULA""))"),"OK")</f>
        <v>OK</v>
      </c>
    </row>
    <row r="112">
      <c r="A112" s="83" t="s">
        <v>4078</v>
      </c>
      <c r="B112" s="83" t="s">
        <v>4079</v>
      </c>
      <c r="C112" s="81" t="s">
        <v>4086</v>
      </c>
      <c r="D112" s="83" t="s">
        <v>4150</v>
      </c>
      <c r="E112" s="81" t="s">
        <v>565</v>
      </c>
      <c r="F112" s="84">
        <v>75.0</v>
      </c>
      <c r="G112" s="81" t="s">
        <v>44</v>
      </c>
      <c r="H112" s="81" t="s">
        <v>224</v>
      </c>
      <c r="I112" s="81" t="s">
        <v>556</v>
      </c>
      <c r="J112" s="81" t="s">
        <v>4088</v>
      </c>
      <c r="K112" s="81" t="str">
        <f>IFERROR(__xludf.DUMMYFUNCTION("IF(OR(D112="""",G112=""""),"""",IFERROR(LET(
campo,XLOOKUP(TRIM(G112),ARRAYFORMULA(TRIM('indice columnas'!$A$2:$A$100)),'indice columnas'!$B$2:$B$100,""""),
col,IFERROR(MATCH(campo,Referencia!$A$1:$AZ$1,0),0),
fila,IFERROR(MATCH(TO_TEXT(D112),ARRAYFORMULA"&amp;"(TO_TEXT(Referencia!$A$2:$A6238)),0),0),
IF(OR(campo="""",campo=""-""),""NO APLICA"",
IF(col=0,""REVISAR EQUIVALENCIA"",
IF(fila=0,""SKU NO ENCONTRADO"",
LET(
valor,INDEX(Referencia!$A$2:$AZ6238,fila,col),
IF(TRIM(TO_TEXT(valor))=TRIM(TO_TEXT(I112)),
""OK"&amp;""",
""NO COINCIDE. Valor verdadero: ""&amp;IF(valor="""",""[VACÍO]"",TO_TEXT(valor))
)
))))
),""ERROR EN FÓRMULA""))"),"NO APLICA")</f>
        <v>NO APLICA</v>
      </c>
    </row>
    <row r="113">
      <c r="A113" s="83" t="s">
        <v>4078</v>
      </c>
      <c r="B113" s="83" t="s">
        <v>4079</v>
      </c>
      <c r="C113" s="81" t="s">
        <v>4086</v>
      </c>
      <c r="D113" s="83" t="s">
        <v>4151</v>
      </c>
      <c r="E113" s="81" t="s">
        <v>567</v>
      </c>
      <c r="F113" s="84">
        <v>76.0</v>
      </c>
      <c r="G113" s="81" t="s">
        <v>12</v>
      </c>
      <c r="H113" s="81" t="s">
        <v>224</v>
      </c>
      <c r="I113" s="81" t="s">
        <v>55</v>
      </c>
      <c r="J113" s="81" t="s">
        <v>224</v>
      </c>
      <c r="K113" s="81" t="str">
        <f>IFERROR(__xludf.DUMMYFUNCTION("IF(OR(D113="""",G113=""""),"""",IFERROR(LET(
campo,XLOOKUP(TRIM(G113),ARRAYFORMULA(TRIM('indice columnas'!$A$2:$A$100)),'indice columnas'!$B$2:$B$100,""""),
col,IFERROR(MATCH(campo,Referencia!$A$1:$AZ$1,0),0),
fila,IFERROR(MATCH(TO_TEXT(D113),ARRAYFORMULA"&amp;"(TO_TEXT(Referencia!$A$2:$A6238)),0),0),
IF(OR(campo="""",campo=""-""),""NO APLICA"",
IF(col=0,""REVISAR EQUIVALENCIA"",
IF(fila=0,""SKU NO ENCONTRADO"",
LET(
valor,INDEX(Referencia!$A$2:$AZ6238,fila,col),
IF(TRIM(TO_TEXT(valor))=TRIM(TO_TEXT(I113)),
""OK"&amp;""",
""NO COINCIDE. Valor verdadero: ""&amp;IF(valor="""",""[VACÍO]"",TO_TEXT(valor))
)
))))
),""ERROR EN FÓRMULA""))"),"OK")</f>
        <v>OK</v>
      </c>
    </row>
    <row r="114">
      <c r="A114" s="83" t="s">
        <v>4078</v>
      </c>
      <c r="B114" s="83" t="s">
        <v>4079</v>
      </c>
      <c r="C114" s="81" t="s">
        <v>4086</v>
      </c>
      <c r="D114" s="83" t="s">
        <v>4151</v>
      </c>
      <c r="E114" s="81" t="s">
        <v>567</v>
      </c>
      <c r="F114" s="84">
        <v>76.0</v>
      </c>
      <c r="G114" s="81" t="s">
        <v>44</v>
      </c>
      <c r="H114" s="81" t="s">
        <v>224</v>
      </c>
      <c r="I114" s="81" t="s">
        <v>556</v>
      </c>
      <c r="J114" s="81" t="s">
        <v>4088</v>
      </c>
      <c r="K114" s="81" t="str">
        <f>IFERROR(__xludf.DUMMYFUNCTION("IF(OR(D114="""",G114=""""),"""",IFERROR(LET(
campo,XLOOKUP(TRIM(G114),ARRAYFORMULA(TRIM('indice columnas'!$A$2:$A$100)),'indice columnas'!$B$2:$B$100,""""),
col,IFERROR(MATCH(campo,Referencia!$A$1:$AZ$1,0),0),
fila,IFERROR(MATCH(TO_TEXT(D114),ARRAYFORMULA"&amp;"(TO_TEXT(Referencia!$A$2:$A6238)),0),0),
IF(OR(campo="""",campo=""-""),""NO APLICA"",
IF(col=0,""REVISAR EQUIVALENCIA"",
IF(fila=0,""SKU NO ENCONTRADO"",
LET(
valor,INDEX(Referencia!$A$2:$AZ6238,fila,col),
IF(TRIM(TO_TEXT(valor))=TRIM(TO_TEXT(I114)),
""OK"&amp;""",
""NO COINCIDE. Valor verdadero: ""&amp;IF(valor="""",""[VACÍO]"",TO_TEXT(valor))
)
))))
),""ERROR EN FÓRMULA""))"),"NO APLICA")</f>
        <v>NO APLICA</v>
      </c>
    </row>
    <row r="115">
      <c r="A115" s="83" t="s">
        <v>4078</v>
      </c>
      <c r="B115" s="83" t="s">
        <v>4079</v>
      </c>
      <c r="C115" s="81" t="s">
        <v>4086</v>
      </c>
      <c r="D115" s="83" t="s">
        <v>4152</v>
      </c>
      <c r="E115" s="81" t="s">
        <v>569</v>
      </c>
      <c r="F115" s="84">
        <v>77.0</v>
      </c>
      <c r="G115" s="81" t="s">
        <v>12</v>
      </c>
      <c r="H115" s="81" t="s">
        <v>224</v>
      </c>
      <c r="I115" s="81" t="s">
        <v>55</v>
      </c>
      <c r="J115" s="81" t="s">
        <v>224</v>
      </c>
      <c r="K115" s="81" t="str">
        <f>IFERROR(__xludf.DUMMYFUNCTION("IF(OR(D115="""",G115=""""),"""",IFERROR(LET(
campo,XLOOKUP(TRIM(G115),ARRAYFORMULA(TRIM('indice columnas'!$A$2:$A$100)),'indice columnas'!$B$2:$B$100,""""),
col,IFERROR(MATCH(campo,Referencia!$A$1:$AZ$1,0),0),
fila,IFERROR(MATCH(TO_TEXT(D115),ARRAYFORMULA"&amp;"(TO_TEXT(Referencia!$A$2:$A6238)),0),0),
IF(OR(campo="""",campo=""-""),""NO APLICA"",
IF(col=0,""REVISAR EQUIVALENCIA"",
IF(fila=0,""SKU NO ENCONTRADO"",
LET(
valor,INDEX(Referencia!$A$2:$AZ6238,fila,col),
IF(TRIM(TO_TEXT(valor))=TRIM(TO_TEXT(I115)),
""OK"&amp;""",
""NO COINCIDE. Valor verdadero: ""&amp;IF(valor="""",""[VACÍO]"",TO_TEXT(valor))
)
))))
),""ERROR EN FÓRMULA""))"),"OK")</f>
        <v>OK</v>
      </c>
    </row>
    <row r="116">
      <c r="A116" s="83" t="s">
        <v>4078</v>
      </c>
      <c r="B116" s="83" t="s">
        <v>4079</v>
      </c>
      <c r="C116" s="81" t="s">
        <v>4086</v>
      </c>
      <c r="D116" s="83" t="s">
        <v>4152</v>
      </c>
      <c r="E116" s="81" t="s">
        <v>569</v>
      </c>
      <c r="F116" s="84">
        <v>77.0</v>
      </c>
      <c r="G116" s="81" t="s">
        <v>44</v>
      </c>
      <c r="H116" s="81" t="s">
        <v>224</v>
      </c>
      <c r="I116" s="81" t="s">
        <v>556</v>
      </c>
      <c r="J116" s="81" t="s">
        <v>4088</v>
      </c>
      <c r="K116" s="81" t="str">
        <f>IFERROR(__xludf.DUMMYFUNCTION("IF(OR(D116="""",G116=""""),"""",IFERROR(LET(
campo,XLOOKUP(TRIM(G116),ARRAYFORMULA(TRIM('indice columnas'!$A$2:$A$100)),'indice columnas'!$B$2:$B$100,""""),
col,IFERROR(MATCH(campo,Referencia!$A$1:$AZ$1,0),0),
fila,IFERROR(MATCH(TO_TEXT(D116),ARRAYFORMULA"&amp;"(TO_TEXT(Referencia!$A$2:$A6238)),0),0),
IF(OR(campo="""",campo=""-""),""NO APLICA"",
IF(col=0,""REVISAR EQUIVALENCIA"",
IF(fila=0,""SKU NO ENCONTRADO"",
LET(
valor,INDEX(Referencia!$A$2:$AZ6238,fila,col),
IF(TRIM(TO_TEXT(valor))=TRIM(TO_TEXT(I116)),
""OK"&amp;""",
""NO COINCIDE. Valor verdadero: ""&amp;IF(valor="""",""[VACÍO]"",TO_TEXT(valor))
)
))))
),""ERROR EN FÓRMULA""))"),"NO APLICA")</f>
        <v>NO APLICA</v>
      </c>
    </row>
    <row r="117">
      <c r="A117" s="83" t="s">
        <v>4078</v>
      </c>
      <c r="B117" s="83" t="s">
        <v>4079</v>
      </c>
      <c r="C117" s="81" t="s">
        <v>4086</v>
      </c>
      <c r="D117" s="83" t="s">
        <v>4153</v>
      </c>
      <c r="E117" s="81" t="s">
        <v>571</v>
      </c>
      <c r="F117" s="84">
        <v>78.0</v>
      </c>
      <c r="G117" s="81" t="s">
        <v>12</v>
      </c>
      <c r="H117" s="81" t="s">
        <v>224</v>
      </c>
      <c r="I117" s="81" t="s">
        <v>55</v>
      </c>
      <c r="J117" s="81" t="s">
        <v>224</v>
      </c>
      <c r="K117" s="81" t="str">
        <f>IFERROR(__xludf.DUMMYFUNCTION("IF(OR(D117="""",G117=""""),"""",IFERROR(LET(
campo,XLOOKUP(TRIM(G117),ARRAYFORMULA(TRIM('indice columnas'!$A$2:$A$100)),'indice columnas'!$B$2:$B$100,""""),
col,IFERROR(MATCH(campo,Referencia!$A$1:$AZ$1,0),0),
fila,IFERROR(MATCH(TO_TEXT(D117),ARRAYFORMULA"&amp;"(TO_TEXT(Referencia!$A$2:$A6238)),0),0),
IF(OR(campo="""",campo=""-""),""NO APLICA"",
IF(col=0,""REVISAR EQUIVALENCIA"",
IF(fila=0,""SKU NO ENCONTRADO"",
LET(
valor,INDEX(Referencia!$A$2:$AZ6238,fila,col),
IF(TRIM(TO_TEXT(valor))=TRIM(TO_TEXT(I117)),
""OK"&amp;""",
""NO COINCIDE. Valor verdadero: ""&amp;IF(valor="""",""[VACÍO]"",TO_TEXT(valor))
)
))))
),""ERROR EN FÓRMULA""))"),"OK")</f>
        <v>OK</v>
      </c>
    </row>
    <row r="118">
      <c r="A118" s="83" t="s">
        <v>4078</v>
      </c>
      <c r="B118" s="83" t="s">
        <v>4079</v>
      </c>
      <c r="C118" s="81" t="s">
        <v>4086</v>
      </c>
      <c r="D118" s="83" t="s">
        <v>4153</v>
      </c>
      <c r="E118" s="81" t="s">
        <v>571</v>
      </c>
      <c r="F118" s="84">
        <v>78.0</v>
      </c>
      <c r="G118" s="81" t="s">
        <v>44</v>
      </c>
      <c r="H118" s="81" t="s">
        <v>224</v>
      </c>
      <c r="I118" s="81" t="s">
        <v>556</v>
      </c>
      <c r="J118" s="81" t="s">
        <v>4088</v>
      </c>
      <c r="K118" s="81" t="str">
        <f>IFERROR(__xludf.DUMMYFUNCTION("IF(OR(D118="""",G118=""""),"""",IFERROR(LET(
campo,XLOOKUP(TRIM(G118),ARRAYFORMULA(TRIM('indice columnas'!$A$2:$A$100)),'indice columnas'!$B$2:$B$100,""""),
col,IFERROR(MATCH(campo,Referencia!$A$1:$AZ$1,0),0),
fila,IFERROR(MATCH(TO_TEXT(D118),ARRAYFORMULA"&amp;"(TO_TEXT(Referencia!$A$2:$A6238)),0),0),
IF(OR(campo="""",campo=""-""),""NO APLICA"",
IF(col=0,""REVISAR EQUIVALENCIA"",
IF(fila=0,""SKU NO ENCONTRADO"",
LET(
valor,INDEX(Referencia!$A$2:$AZ6238,fila,col),
IF(TRIM(TO_TEXT(valor))=TRIM(TO_TEXT(I118)),
""OK"&amp;""",
""NO COINCIDE. Valor verdadero: ""&amp;IF(valor="""",""[VACÍO]"",TO_TEXT(valor))
)
))))
),""ERROR EN FÓRMULA""))"),"NO APLICA")</f>
        <v>NO APLICA</v>
      </c>
    </row>
    <row r="119">
      <c r="A119" s="83" t="s">
        <v>4078</v>
      </c>
      <c r="B119" s="83" t="s">
        <v>4079</v>
      </c>
      <c r="C119" s="81" t="s">
        <v>4086</v>
      </c>
      <c r="D119" s="83" t="s">
        <v>4154</v>
      </c>
      <c r="E119" s="81" t="s">
        <v>576</v>
      </c>
      <c r="F119" s="84">
        <v>79.0</v>
      </c>
      <c r="G119" s="81" t="s">
        <v>44</v>
      </c>
      <c r="H119" s="81" t="s">
        <v>224</v>
      </c>
      <c r="I119" s="81" t="s">
        <v>576</v>
      </c>
      <c r="J119" s="81" t="s">
        <v>4088</v>
      </c>
      <c r="K119" s="81" t="str">
        <f>IFERROR(__xludf.DUMMYFUNCTION("IF(OR(D119="""",G119=""""),"""",IFERROR(LET(
campo,XLOOKUP(TRIM(G119),ARRAYFORMULA(TRIM('indice columnas'!$A$2:$A$100)),'indice columnas'!$B$2:$B$100,""""),
col,IFERROR(MATCH(campo,Referencia!$A$1:$AZ$1,0),0),
fila,IFERROR(MATCH(TO_TEXT(D119),ARRAYFORMULA"&amp;"(TO_TEXT(Referencia!$A$2:$A6238)),0),0),
IF(OR(campo="""",campo=""-""),""NO APLICA"",
IF(col=0,""REVISAR EQUIVALENCIA"",
IF(fila=0,""SKU NO ENCONTRADO"",
LET(
valor,INDEX(Referencia!$A$2:$AZ6238,fila,col),
IF(TRIM(TO_TEXT(valor))=TRIM(TO_TEXT(I119)),
""OK"&amp;""",
""NO COINCIDE. Valor verdadero: ""&amp;IF(valor="""",""[VACÍO]"",TO_TEXT(valor))
)
))))
),""ERROR EN FÓRMULA""))"),"NO APLICA")</f>
        <v>NO APLICA</v>
      </c>
    </row>
    <row r="120">
      <c r="A120" s="83" t="s">
        <v>4078</v>
      </c>
      <c r="B120" s="83" t="s">
        <v>4079</v>
      </c>
      <c r="C120" s="81" t="s">
        <v>4086</v>
      </c>
      <c r="D120" s="83" t="s">
        <v>4155</v>
      </c>
      <c r="E120" s="81" t="s">
        <v>581</v>
      </c>
      <c r="F120" s="84">
        <v>80.0</v>
      </c>
      <c r="G120" s="81" t="s">
        <v>12</v>
      </c>
      <c r="H120" s="81" t="s">
        <v>224</v>
      </c>
      <c r="I120" s="81" t="s">
        <v>55</v>
      </c>
      <c r="J120" s="81" t="s">
        <v>224</v>
      </c>
      <c r="K120" s="81" t="str">
        <f>IFERROR(__xludf.DUMMYFUNCTION("IF(OR(D120="""",G120=""""),"""",IFERROR(LET(
campo,XLOOKUP(TRIM(G120),ARRAYFORMULA(TRIM('indice columnas'!$A$2:$A$100)),'indice columnas'!$B$2:$B$100,""""),
col,IFERROR(MATCH(campo,Referencia!$A$1:$AZ$1,0),0),
fila,IFERROR(MATCH(TO_TEXT(D120),ARRAYFORMULA"&amp;"(TO_TEXT(Referencia!$A$2:$A6238)),0),0),
IF(OR(campo="""",campo=""-""),""NO APLICA"",
IF(col=0,""REVISAR EQUIVALENCIA"",
IF(fila=0,""SKU NO ENCONTRADO"",
LET(
valor,INDEX(Referencia!$A$2:$AZ6238,fila,col),
IF(TRIM(TO_TEXT(valor))=TRIM(TO_TEXT(I120)),
""OK"&amp;""",
""NO COINCIDE. Valor verdadero: ""&amp;IF(valor="""",""[VACÍO]"",TO_TEXT(valor))
)
))))
),""ERROR EN FÓRMULA""))"),"OK")</f>
        <v>OK</v>
      </c>
    </row>
    <row r="121">
      <c r="A121" s="83" t="s">
        <v>4078</v>
      </c>
      <c r="B121" s="83" t="s">
        <v>4079</v>
      </c>
      <c r="C121" s="81" t="s">
        <v>4086</v>
      </c>
      <c r="D121" s="83" t="s">
        <v>4155</v>
      </c>
      <c r="E121" s="81" t="s">
        <v>581</v>
      </c>
      <c r="F121" s="84">
        <v>80.0</v>
      </c>
      <c r="G121" s="81" t="s">
        <v>44</v>
      </c>
      <c r="H121" s="81" t="s">
        <v>224</v>
      </c>
      <c r="I121" s="81" t="s">
        <v>576</v>
      </c>
      <c r="J121" s="81" t="s">
        <v>4088</v>
      </c>
      <c r="K121" s="81" t="str">
        <f>IFERROR(__xludf.DUMMYFUNCTION("IF(OR(D121="""",G121=""""),"""",IFERROR(LET(
campo,XLOOKUP(TRIM(G121),ARRAYFORMULA(TRIM('indice columnas'!$A$2:$A$100)),'indice columnas'!$B$2:$B$100,""""),
col,IFERROR(MATCH(campo,Referencia!$A$1:$AZ$1,0),0),
fila,IFERROR(MATCH(TO_TEXT(D121),ARRAYFORMULA"&amp;"(TO_TEXT(Referencia!$A$2:$A6238)),0),0),
IF(OR(campo="""",campo=""-""),""NO APLICA"",
IF(col=0,""REVISAR EQUIVALENCIA"",
IF(fila=0,""SKU NO ENCONTRADO"",
LET(
valor,INDEX(Referencia!$A$2:$AZ6238,fila,col),
IF(TRIM(TO_TEXT(valor))=TRIM(TO_TEXT(I121)),
""OK"&amp;""",
""NO COINCIDE. Valor verdadero: ""&amp;IF(valor="""",""[VACÍO]"",TO_TEXT(valor))
)
))))
),""ERROR EN FÓRMULA""))"),"NO APLICA")</f>
        <v>NO APLICA</v>
      </c>
    </row>
    <row r="122">
      <c r="A122" s="83" t="s">
        <v>4078</v>
      </c>
      <c r="B122" s="83" t="s">
        <v>4079</v>
      </c>
      <c r="C122" s="81" t="s">
        <v>4086</v>
      </c>
      <c r="D122" s="83" t="s">
        <v>4156</v>
      </c>
      <c r="E122" s="81" t="s">
        <v>583</v>
      </c>
      <c r="F122" s="84">
        <v>81.0</v>
      </c>
      <c r="G122" s="81" t="s">
        <v>12</v>
      </c>
      <c r="H122" s="81" t="s">
        <v>224</v>
      </c>
      <c r="I122" s="81" t="s">
        <v>55</v>
      </c>
      <c r="J122" s="81" t="s">
        <v>224</v>
      </c>
      <c r="K122" s="81" t="str">
        <f>IFERROR(__xludf.DUMMYFUNCTION("IF(OR(D122="""",G122=""""),"""",IFERROR(LET(
campo,XLOOKUP(TRIM(G122),ARRAYFORMULA(TRIM('indice columnas'!$A$2:$A$100)),'indice columnas'!$B$2:$B$100,""""),
col,IFERROR(MATCH(campo,Referencia!$A$1:$AZ$1,0),0),
fila,IFERROR(MATCH(TO_TEXT(D122),ARRAYFORMULA"&amp;"(TO_TEXT(Referencia!$A$2:$A6238)),0),0),
IF(OR(campo="""",campo=""-""),""NO APLICA"",
IF(col=0,""REVISAR EQUIVALENCIA"",
IF(fila=0,""SKU NO ENCONTRADO"",
LET(
valor,INDEX(Referencia!$A$2:$AZ6238,fila,col),
IF(TRIM(TO_TEXT(valor))=TRIM(TO_TEXT(I122)),
""OK"&amp;""",
""NO COINCIDE. Valor verdadero: ""&amp;IF(valor="""",""[VACÍO]"",TO_TEXT(valor))
)
))))
),""ERROR EN FÓRMULA""))"),"OK")</f>
        <v>OK</v>
      </c>
    </row>
    <row r="123">
      <c r="A123" s="83" t="s">
        <v>4078</v>
      </c>
      <c r="B123" s="83" t="s">
        <v>4079</v>
      </c>
      <c r="C123" s="81" t="s">
        <v>4086</v>
      </c>
      <c r="D123" s="83" t="s">
        <v>4156</v>
      </c>
      <c r="E123" s="81" t="s">
        <v>583</v>
      </c>
      <c r="F123" s="84">
        <v>81.0</v>
      </c>
      <c r="G123" s="81" t="s">
        <v>44</v>
      </c>
      <c r="H123" s="81" t="s">
        <v>224</v>
      </c>
      <c r="I123" s="81" t="s">
        <v>576</v>
      </c>
      <c r="J123" s="81" t="s">
        <v>4088</v>
      </c>
      <c r="K123" s="81" t="str">
        <f>IFERROR(__xludf.DUMMYFUNCTION("IF(OR(D123="""",G123=""""),"""",IFERROR(LET(
campo,XLOOKUP(TRIM(G123),ARRAYFORMULA(TRIM('indice columnas'!$A$2:$A$100)),'indice columnas'!$B$2:$B$100,""""),
col,IFERROR(MATCH(campo,Referencia!$A$1:$AZ$1,0),0),
fila,IFERROR(MATCH(TO_TEXT(D123),ARRAYFORMULA"&amp;"(TO_TEXT(Referencia!$A$2:$A6238)),0),0),
IF(OR(campo="""",campo=""-""),""NO APLICA"",
IF(col=0,""REVISAR EQUIVALENCIA"",
IF(fila=0,""SKU NO ENCONTRADO"",
LET(
valor,INDEX(Referencia!$A$2:$AZ6238,fila,col),
IF(TRIM(TO_TEXT(valor))=TRIM(TO_TEXT(I123)),
""OK"&amp;""",
""NO COINCIDE. Valor verdadero: ""&amp;IF(valor="""",""[VACÍO]"",TO_TEXT(valor))
)
))))
),""ERROR EN FÓRMULA""))"),"NO APLICA")</f>
        <v>NO APLICA</v>
      </c>
    </row>
    <row r="124">
      <c r="A124" s="83" t="s">
        <v>4078</v>
      </c>
      <c r="B124" s="83" t="s">
        <v>4079</v>
      </c>
      <c r="C124" s="81" t="s">
        <v>4086</v>
      </c>
      <c r="D124" s="83" t="s">
        <v>4157</v>
      </c>
      <c r="E124" s="81" t="s">
        <v>585</v>
      </c>
      <c r="F124" s="84">
        <v>82.0</v>
      </c>
      <c r="G124" s="81" t="s">
        <v>12</v>
      </c>
      <c r="H124" s="81" t="s">
        <v>224</v>
      </c>
      <c r="I124" s="81" t="s">
        <v>55</v>
      </c>
      <c r="J124" s="81" t="s">
        <v>224</v>
      </c>
      <c r="K124" s="81" t="str">
        <f>IFERROR(__xludf.DUMMYFUNCTION("IF(OR(D124="""",G124=""""),"""",IFERROR(LET(
campo,XLOOKUP(TRIM(G124),ARRAYFORMULA(TRIM('indice columnas'!$A$2:$A$100)),'indice columnas'!$B$2:$B$100,""""),
col,IFERROR(MATCH(campo,Referencia!$A$1:$AZ$1,0),0),
fila,IFERROR(MATCH(TO_TEXT(D124),ARRAYFORMULA"&amp;"(TO_TEXT(Referencia!$A$2:$A6238)),0),0),
IF(OR(campo="""",campo=""-""),""NO APLICA"",
IF(col=0,""REVISAR EQUIVALENCIA"",
IF(fila=0,""SKU NO ENCONTRADO"",
LET(
valor,INDEX(Referencia!$A$2:$AZ6238,fila,col),
IF(TRIM(TO_TEXT(valor))=TRIM(TO_TEXT(I124)),
""OK"&amp;""",
""NO COINCIDE. Valor verdadero: ""&amp;IF(valor="""",""[VACÍO]"",TO_TEXT(valor))
)
))))
),""ERROR EN FÓRMULA""))"),"OK")</f>
        <v>OK</v>
      </c>
    </row>
    <row r="125">
      <c r="A125" s="83" t="s">
        <v>4078</v>
      </c>
      <c r="B125" s="83" t="s">
        <v>4079</v>
      </c>
      <c r="C125" s="81" t="s">
        <v>4086</v>
      </c>
      <c r="D125" s="83" t="s">
        <v>4157</v>
      </c>
      <c r="E125" s="81" t="s">
        <v>585</v>
      </c>
      <c r="F125" s="84">
        <v>82.0</v>
      </c>
      <c r="G125" s="81" t="s">
        <v>44</v>
      </c>
      <c r="H125" s="81" t="s">
        <v>224</v>
      </c>
      <c r="I125" s="81" t="s">
        <v>576</v>
      </c>
      <c r="J125" s="81" t="s">
        <v>4088</v>
      </c>
      <c r="K125" s="81" t="str">
        <f>IFERROR(__xludf.DUMMYFUNCTION("IF(OR(D125="""",G125=""""),"""",IFERROR(LET(
campo,XLOOKUP(TRIM(G125),ARRAYFORMULA(TRIM('indice columnas'!$A$2:$A$100)),'indice columnas'!$B$2:$B$100,""""),
col,IFERROR(MATCH(campo,Referencia!$A$1:$AZ$1,0),0),
fila,IFERROR(MATCH(TO_TEXT(D125),ARRAYFORMULA"&amp;"(TO_TEXT(Referencia!$A$2:$A6238)),0),0),
IF(OR(campo="""",campo=""-""),""NO APLICA"",
IF(col=0,""REVISAR EQUIVALENCIA"",
IF(fila=0,""SKU NO ENCONTRADO"",
LET(
valor,INDEX(Referencia!$A$2:$AZ6238,fila,col),
IF(TRIM(TO_TEXT(valor))=TRIM(TO_TEXT(I125)),
""OK"&amp;""",
""NO COINCIDE. Valor verdadero: ""&amp;IF(valor="""",""[VACÍO]"",TO_TEXT(valor))
)
))))
),""ERROR EN FÓRMULA""))"),"NO APLICA")</f>
        <v>NO APLICA</v>
      </c>
    </row>
    <row r="126">
      <c r="A126" s="83" t="s">
        <v>4078</v>
      </c>
      <c r="B126" s="83" t="s">
        <v>4079</v>
      </c>
      <c r="C126" s="81" t="s">
        <v>4086</v>
      </c>
      <c r="D126" s="83" t="s">
        <v>4158</v>
      </c>
      <c r="E126" s="81" t="s">
        <v>589</v>
      </c>
      <c r="F126" s="84">
        <v>83.0</v>
      </c>
      <c r="G126" s="81" t="s">
        <v>12</v>
      </c>
      <c r="H126" s="81" t="s">
        <v>224</v>
      </c>
      <c r="I126" s="81" t="s">
        <v>55</v>
      </c>
      <c r="J126" s="81" t="s">
        <v>224</v>
      </c>
      <c r="K126" s="81" t="str">
        <f>IFERROR(__xludf.DUMMYFUNCTION("IF(OR(D126="""",G126=""""),"""",IFERROR(LET(
campo,XLOOKUP(TRIM(G126),ARRAYFORMULA(TRIM('indice columnas'!$A$2:$A$100)),'indice columnas'!$B$2:$B$100,""""),
col,IFERROR(MATCH(campo,Referencia!$A$1:$AZ$1,0),0),
fila,IFERROR(MATCH(TO_TEXT(D126),ARRAYFORMULA"&amp;"(TO_TEXT(Referencia!$A$2:$A6238)),0),0),
IF(OR(campo="""",campo=""-""),""NO APLICA"",
IF(col=0,""REVISAR EQUIVALENCIA"",
IF(fila=0,""SKU NO ENCONTRADO"",
LET(
valor,INDEX(Referencia!$A$2:$AZ6238,fila,col),
IF(TRIM(TO_TEXT(valor))=TRIM(TO_TEXT(I126)),
""OK"&amp;""",
""NO COINCIDE. Valor verdadero: ""&amp;IF(valor="""",""[VACÍO]"",TO_TEXT(valor))
)
))))
),""ERROR EN FÓRMULA""))"),"OK")</f>
        <v>OK</v>
      </c>
    </row>
    <row r="127">
      <c r="A127" s="83" t="s">
        <v>4078</v>
      </c>
      <c r="B127" s="83" t="s">
        <v>4079</v>
      </c>
      <c r="C127" s="81" t="s">
        <v>4086</v>
      </c>
      <c r="D127" s="83" t="s">
        <v>4158</v>
      </c>
      <c r="E127" s="81" t="s">
        <v>589</v>
      </c>
      <c r="F127" s="84">
        <v>83.0</v>
      </c>
      <c r="G127" s="81" t="s">
        <v>44</v>
      </c>
      <c r="H127" s="81" t="s">
        <v>224</v>
      </c>
      <c r="I127" s="81" t="s">
        <v>576</v>
      </c>
      <c r="J127" s="81" t="s">
        <v>4088</v>
      </c>
      <c r="K127" s="81" t="str">
        <f>IFERROR(__xludf.DUMMYFUNCTION("IF(OR(D127="""",G127=""""),"""",IFERROR(LET(
campo,XLOOKUP(TRIM(G127),ARRAYFORMULA(TRIM('indice columnas'!$A$2:$A$100)),'indice columnas'!$B$2:$B$100,""""),
col,IFERROR(MATCH(campo,Referencia!$A$1:$AZ$1,0),0),
fila,IFERROR(MATCH(TO_TEXT(D127),ARRAYFORMULA"&amp;"(TO_TEXT(Referencia!$A$2:$A6238)),0),0),
IF(OR(campo="""",campo=""-""),""NO APLICA"",
IF(col=0,""REVISAR EQUIVALENCIA"",
IF(fila=0,""SKU NO ENCONTRADO"",
LET(
valor,INDEX(Referencia!$A$2:$AZ6238,fila,col),
IF(TRIM(TO_TEXT(valor))=TRIM(TO_TEXT(I127)),
""OK"&amp;""",
""NO COINCIDE. Valor verdadero: ""&amp;IF(valor="""",""[VACÍO]"",TO_TEXT(valor))
)
))))
),""ERROR EN FÓRMULA""))"),"NO APLICA")</f>
        <v>NO APLICA</v>
      </c>
    </row>
    <row r="128">
      <c r="A128" s="83" t="s">
        <v>4078</v>
      </c>
      <c r="B128" s="83" t="s">
        <v>4079</v>
      </c>
      <c r="C128" s="81" t="s">
        <v>4086</v>
      </c>
      <c r="D128" s="83" t="s">
        <v>4159</v>
      </c>
      <c r="E128" s="81" t="s">
        <v>591</v>
      </c>
      <c r="F128" s="84">
        <v>84.0</v>
      </c>
      <c r="G128" s="81" t="s">
        <v>12</v>
      </c>
      <c r="H128" s="81" t="s">
        <v>224</v>
      </c>
      <c r="I128" s="81" t="s">
        <v>55</v>
      </c>
      <c r="J128" s="81" t="s">
        <v>224</v>
      </c>
      <c r="K128" s="81" t="str">
        <f>IFERROR(__xludf.DUMMYFUNCTION("IF(OR(D128="""",G128=""""),"""",IFERROR(LET(
campo,XLOOKUP(TRIM(G128),ARRAYFORMULA(TRIM('indice columnas'!$A$2:$A$100)),'indice columnas'!$B$2:$B$100,""""),
col,IFERROR(MATCH(campo,Referencia!$A$1:$AZ$1,0),0),
fila,IFERROR(MATCH(TO_TEXT(D128),ARRAYFORMULA"&amp;"(TO_TEXT(Referencia!$A$2:$A6238)),0),0),
IF(OR(campo="""",campo=""-""),""NO APLICA"",
IF(col=0,""REVISAR EQUIVALENCIA"",
IF(fila=0,""SKU NO ENCONTRADO"",
LET(
valor,INDEX(Referencia!$A$2:$AZ6238,fila,col),
IF(TRIM(TO_TEXT(valor))=TRIM(TO_TEXT(I128)),
""OK"&amp;""",
""NO COINCIDE. Valor verdadero: ""&amp;IF(valor="""",""[VACÍO]"",TO_TEXT(valor))
)
))))
),""ERROR EN FÓRMULA""))"),"OK")</f>
        <v>OK</v>
      </c>
    </row>
    <row r="129">
      <c r="A129" s="83" t="s">
        <v>4078</v>
      </c>
      <c r="B129" s="83" t="s">
        <v>4079</v>
      </c>
      <c r="C129" s="81" t="s">
        <v>4086</v>
      </c>
      <c r="D129" s="83" t="s">
        <v>4159</v>
      </c>
      <c r="E129" s="81" t="s">
        <v>591</v>
      </c>
      <c r="F129" s="84">
        <v>84.0</v>
      </c>
      <c r="G129" s="81" t="s">
        <v>44</v>
      </c>
      <c r="H129" s="81" t="s">
        <v>224</v>
      </c>
      <c r="I129" s="81" t="s">
        <v>576</v>
      </c>
      <c r="J129" s="81" t="s">
        <v>4088</v>
      </c>
      <c r="K129" s="81" t="str">
        <f>IFERROR(__xludf.DUMMYFUNCTION("IF(OR(D129="""",G129=""""),"""",IFERROR(LET(
campo,XLOOKUP(TRIM(G129),ARRAYFORMULA(TRIM('indice columnas'!$A$2:$A$100)),'indice columnas'!$B$2:$B$100,""""),
col,IFERROR(MATCH(campo,Referencia!$A$1:$AZ$1,0),0),
fila,IFERROR(MATCH(TO_TEXT(D129),ARRAYFORMULA"&amp;"(TO_TEXT(Referencia!$A$2:$A6238)),0),0),
IF(OR(campo="""",campo=""-""),""NO APLICA"",
IF(col=0,""REVISAR EQUIVALENCIA"",
IF(fila=0,""SKU NO ENCONTRADO"",
LET(
valor,INDEX(Referencia!$A$2:$AZ6238,fila,col),
IF(TRIM(TO_TEXT(valor))=TRIM(TO_TEXT(I129)),
""OK"&amp;""",
""NO COINCIDE. Valor verdadero: ""&amp;IF(valor="""",""[VACÍO]"",TO_TEXT(valor))
)
))))
),""ERROR EN FÓRMULA""))"),"NO APLICA")</f>
        <v>NO APLICA</v>
      </c>
    </row>
    <row r="130">
      <c r="A130" s="83" t="s">
        <v>4078</v>
      </c>
      <c r="B130" s="83" t="s">
        <v>4079</v>
      </c>
      <c r="C130" s="81" t="s">
        <v>4086</v>
      </c>
      <c r="D130" s="83" t="s">
        <v>4160</v>
      </c>
      <c r="E130" s="81" t="s">
        <v>593</v>
      </c>
      <c r="F130" s="84">
        <v>85.0</v>
      </c>
      <c r="G130" s="81" t="s">
        <v>12</v>
      </c>
      <c r="H130" s="81" t="s">
        <v>224</v>
      </c>
      <c r="I130" s="81" t="s">
        <v>55</v>
      </c>
      <c r="J130" s="81" t="s">
        <v>224</v>
      </c>
      <c r="K130" s="81" t="str">
        <f>IFERROR(__xludf.DUMMYFUNCTION("IF(OR(D130="""",G130=""""),"""",IFERROR(LET(
campo,XLOOKUP(TRIM(G130),ARRAYFORMULA(TRIM('indice columnas'!$A$2:$A$100)),'indice columnas'!$B$2:$B$100,""""),
col,IFERROR(MATCH(campo,Referencia!$A$1:$AZ$1,0),0),
fila,IFERROR(MATCH(TO_TEXT(D130),ARRAYFORMULA"&amp;"(TO_TEXT(Referencia!$A$2:$A6238)),0),0),
IF(OR(campo="""",campo=""-""),""NO APLICA"",
IF(col=0,""REVISAR EQUIVALENCIA"",
IF(fila=0,""SKU NO ENCONTRADO"",
LET(
valor,INDEX(Referencia!$A$2:$AZ6238,fila,col),
IF(TRIM(TO_TEXT(valor))=TRIM(TO_TEXT(I130)),
""OK"&amp;""",
""NO COINCIDE. Valor verdadero: ""&amp;IF(valor="""",""[VACÍO]"",TO_TEXT(valor))
)
))))
),""ERROR EN FÓRMULA""))"),"OK")</f>
        <v>OK</v>
      </c>
    </row>
    <row r="131">
      <c r="A131" s="83" t="s">
        <v>4078</v>
      </c>
      <c r="B131" s="83" t="s">
        <v>4079</v>
      </c>
      <c r="C131" s="81" t="s">
        <v>4086</v>
      </c>
      <c r="D131" s="83" t="s">
        <v>4160</v>
      </c>
      <c r="E131" s="81" t="s">
        <v>593</v>
      </c>
      <c r="F131" s="84">
        <v>85.0</v>
      </c>
      <c r="G131" s="81" t="s">
        <v>44</v>
      </c>
      <c r="H131" s="81" t="s">
        <v>224</v>
      </c>
      <c r="I131" s="81" t="s">
        <v>4161</v>
      </c>
      <c r="J131" s="81" t="s">
        <v>4088</v>
      </c>
      <c r="K131" s="81" t="str">
        <f>IFERROR(__xludf.DUMMYFUNCTION("IF(OR(D131="""",G131=""""),"""",IFERROR(LET(
campo,XLOOKUP(TRIM(G131),ARRAYFORMULA(TRIM('indice columnas'!$A$2:$A$100)),'indice columnas'!$B$2:$B$100,""""),
col,IFERROR(MATCH(campo,Referencia!$A$1:$AZ$1,0),0),
fila,IFERROR(MATCH(TO_TEXT(D131),ARRAYFORMULA"&amp;"(TO_TEXT(Referencia!$A$2:$A6238)),0),0),
IF(OR(campo="""",campo=""-""),""NO APLICA"",
IF(col=0,""REVISAR EQUIVALENCIA"",
IF(fila=0,""SKU NO ENCONTRADO"",
LET(
valor,INDEX(Referencia!$A$2:$AZ6238,fila,col),
IF(TRIM(TO_TEXT(valor))=TRIM(TO_TEXT(I131)),
""OK"&amp;""",
""NO COINCIDE. Valor verdadero: ""&amp;IF(valor="""",""[VACÍO]"",TO_TEXT(valor))
)
))))
),""ERROR EN FÓRMULA""))"),"NO APLICA")</f>
        <v>NO APLICA</v>
      </c>
    </row>
    <row r="132">
      <c r="A132" s="83" t="s">
        <v>4078</v>
      </c>
      <c r="B132" s="83" t="s">
        <v>4079</v>
      </c>
      <c r="C132" s="81" t="s">
        <v>4086</v>
      </c>
      <c r="D132" s="83" t="s">
        <v>4162</v>
      </c>
      <c r="E132" s="81" t="s">
        <v>599</v>
      </c>
      <c r="F132" s="84">
        <v>86.0</v>
      </c>
      <c r="G132" s="81" t="s">
        <v>44</v>
      </c>
      <c r="H132" s="81" t="s">
        <v>224</v>
      </c>
      <c r="I132" s="81" t="s">
        <v>599</v>
      </c>
      <c r="J132" s="81" t="s">
        <v>4088</v>
      </c>
      <c r="K132" s="81" t="str">
        <f>IFERROR(__xludf.DUMMYFUNCTION("IF(OR(D132="""",G132=""""),"""",IFERROR(LET(
campo,XLOOKUP(TRIM(G132),ARRAYFORMULA(TRIM('indice columnas'!$A$2:$A$100)),'indice columnas'!$B$2:$B$100,""""),
col,IFERROR(MATCH(campo,Referencia!$A$1:$AZ$1,0),0),
fila,IFERROR(MATCH(TO_TEXT(D132),ARRAYFORMULA"&amp;"(TO_TEXT(Referencia!$A$2:$A6238)),0),0),
IF(OR(campo="""",campo=""-""),""NO APLICA"",
IF(col=0,""REVISAR EQUIVALENCIA"",
IF(fila=0,""SKU NO ENCONTRADO"",
LET(
valor,INDEX(Referencia!$A$2:$AZ6238,fila,col),
IF(TRIM(TO_TEXT(valor))=TRIM(TO_TEXT(I132)),
""OK"&amp;""",
""NO COINCIDE. Valor verdadero: ""&amp;IF(valor="""",""[VACÍO]"",TO_TEXT(valor))
)
))))
),""ERROR EN FÓRMULA""))"),"NO APLICA")</f>
        <v>NO APLICA</v>
      </c>
    </row>
    <row r="133">
      <c r="A133" s="83" t="s">
        <v>4078</v>
      </c>
      <c r="B133" s="83" t="s">
        <v>4079</v>
      </c>
      <c r="C133" s="81" t="s">
        <v>4086</v>
      </c>
      <c r="D133" s="83" t="s">
        <v>4162</v>
      </c>
      <c r="E133" s="81" t="s">
        <v>604</v>
      </c>
      <c r="F133" s="84">
        <v>87.0</v>
      </c>
      <c r="G133" s="81" t="s">
        <v>12</v>
      </c>
      <c r="H133" s="81" t="s">
        <v>224</v>
      </c>
      <c r="I133" s="81" t="s">
        <v>55</v>
      </c>
      <c r="J133" s="81" t="s">
        <v>224</v>
      </c>
      <c r="K133" s="81" t="str">
        <f>IFERROR(__xludf.DUMMYFUNCTION("IF(OR(D133="""",G133=""""),"""",IFERROR(LET(
campo,XLOOKUP(TRIM(G133),ARRAYFORMULA(TRIM('indice columnas'!$A$2:$A$100)),'indice columnas'!$B$2:$B$100,""""),
col,IFERROR(MATCH(campo,Referencia!$A$1:$AZ$1,0),0),
fila,IFERROR(MATCH(TO_TEXT(D133),ARRAYFORMULA"&amp;"(TO_TEXT(Referencia!$A$2:$A6238)),0),0),
IF(OR(campo="""",campo=""-""),""NO APLICA"",
IF(col=0,""REVISAR EQUIVALENCIA"",
IF(fila=0,""SKU NO ENCONTRADO"",
LET(
valor,INDEX(Referencia!$A$2:$AZ6238,fila,col),
IF(TRIM(TO_TEXT(valor))=TRIM(TO_TEXT(I133)),
""OK"&amp;""",
""NO COINCIDE. Valor verdadero: ""&amp;IF(valor="""",""[VACÍO]"",TO_TEXT(valor))
)
))))
),""ERROR EN FÓRMULA""))"),"OK")</f>
        <v>OK</v>
      </c>
    </row>
    <row r="134">
      <c r="A134" s="83" t="s">
        <v>4078</v>
      </c>
      <c r="B134" s="83" t="s">
        <v>4079</v>
      </c>
      <c r="C134" s="81" t="s">
        <v>4086</v>
      </c>
      <c r="D134" s="83" t="s">
        <v>4162</v>
      </c>
      <c r="E134" s="81" t="s">
        <v>604</v>
      </c>
      <c r="F134" s="84">
        <v>87.0</v>
      </c>
      <c r="G134" s="81" t="s">
        <v>44</v>
      </c>
      <c r="H134" s="81" t="s">
        <v>224</v>
      </c>
      <c r="I134" s="81" t="s">
        <v>599</v>
      </c>
      <c r="J134" s="81" t="s">
        <v>4088</v>
      </c>
      <c r="K134" s="81" t="str">
        <f>IFERROR(__xludf.DUMMYFUNCTION("IF(OR(D134="""",G134=""""),"""",IFERROR(LET(
campo,XLOOKUP(TRIM(G134),ARRAYFORMULA(TRIM('indice columnas'!$A$2:$A$100)),'indice columnas'!$B$2:$B$100,""""),
col,IFERROR(MATCH(campo,Referencia!$A$1:$AZ$1,0),0),
fila,IFERROR(MATCH(TO_TEXT(D134),ARRAYFORMULA"&amp;"(TO_TEXT(Referencia!$A$2:$A6238)),0),0),
IF(OR(campo="""",campo=""-""),""NO APLICA"",
IF(col=0,""REVISAR EQUIVALENCIA"",
IF(fila=0,""SKU NO ENCONTRADO"",
LET(
valor,INDEX(Referencia!$A$2:$AZ6238,fila,col),
IF(TRIM(TO_TEXT(valor))=TRIM(TO_TEXT(I134)),
""OK"&amp;""",
""NO COINCIDE. Valor verdadero: ""&amp;IF(valor="""",""[VACÍO]"",TO_TEXT(valor))
)
))))
),""ERROR EN FÓRMULA""))"),"NO APLICA")</f>
        <v>NO APLICA</v>
      </c>
    </row>
    <row r="135">
      <c r="A135" s="83" t="s">
        <v>4078</v>
      </c>
      <c r="B135" s="83" t="s">
        <v>4079</v>
      </c>
      <c r="C135" s="81" t="s">
        <v>4086</v>
      </c>
      <c r="D135" s="83" t="s">
        <v>4163</v>
      </c>
      <c r="E135" s="81" t="s">
        <v>605</v>
      </c>
      <c r="F135" s="84">
        <v>88.0</v>
      </c>
      <c r="G135" s="81" t="s">
        <v>12</v>
      </c>
      <c r="H135" s="81" t="s">
        <v>224</v>
      </c>
      <c r="I135" s="81" t="s">
        <v>55</v>
      </c>
      <c r="J135" s="81" t="s">
        <v>224</v>
      </c>
      <c r="K135" s="81" t="str">
        <f>IFERROR(__xludf.DUMMYFUNCTION("IF(OR(D135="""",G135=""""),"""",IFERROR(LET(
campo,XLOOKUP(TRIM(G135),ARRAYFORMULA(TRIM('indice columnas'!$A$2:$A$100)),'indice columnas'!$B$2:$B$100,""""),
col,IFERROR(MATCH(campo,Referencia!$A$1:$AZ$1,0),0),
fila,IFERROR(MATCH(TO_TEXT(D135),ARRAYFORMULA"&amp;"(TO_TEXT(Referencia!$A$2:$A6238)),0),0),
IF(OR(campo="""",campo=""-""),""NO APLICA"",
IF(col=0,""REVISAR EQUIVALENCIA"",
IF(fila=0,""SKU NO ENCONTRADO"",
LET(
valor,INDEX(Referencia!$A$2:$AZ6238,fila,col),
IF(TRIM(TO_TEXT(valor))=TRIM(TO_TEXT(I135)),
""OK"&amp;""",
""NO COINCIDE. Valor verdadero: ""&amp;IF(valor="""",""[VACÍO]"",TO_TEXT(valor))
)
))))
),""ERROR EN FÓRMULA""))"),"OK")</f>
        <v>OK</v>
      </c>
    </row>
    <row r="136">
      <c r="A136" s="83" t="s">
        <v>4078</v>
      </c>
      <c r="B136" s="83" t="s">
        <v>4079</v>
      </c>
      <c r="C136" s="81" t="s">
        <v>4086</v>
      </c>
      <c r="D136" s="83" t="s">
        <v>4163</v>
      </c>
      <c r="E136" s="81" t="s">
        <v>605</v>
      </c>
      <c r="F136" s="84">
        <v>88.0</v>
      </c>
      <c r="G136" s="81" t="s">
        <v>44</v>
      </c>
      <c r="H136" s="81" t="s">
        <v>224</v>
      </c>
      <c r="I136" s="81" t="s">
        <v>599</v>
      </c>
      <c r="J136" s="81" t="s">
        <v>4088</v>
      </c>
      <c r="K136" s="81" t="str">
        <f>IFERROR(__xludf.DUMMYFUNCTION("IF(OR(D136="""",G136=""""),"""",IFERROR(LET(
campo,XLOOKUP(TRIM(G136),ARRAYFORMULA(TRIM('indice columnas'!$A$2:$A$100)),'indice columnas'!$B$2:$B$100,""""),
col,IFERROR(MATCH(campo,Referencia!$A$1:$AZ$1,0),0),
fila,IFERROR(MATCH(TO_TEXT(D136),ARRAYFORMULA"&amp;"(TO_TEXT(Referencia!$A$2:$A6238)),0),0),
IF(OR(campo="""",campo=""-""),""NO APLICA"",
IF(col=0,""REVISAR EQUIVALENCIA"",
IF(fila=0,""SKU NO ENCONTRADO"",
LET(
valor,INDEX(Referencia!$A$2:$AZ6238,fila,col),
IF(TRIM(TO_TEXT(valor))=TRIM(TO_TEXT(I136)),
""OK"&amp;""",
""NO COINCIDE. Valor verdadero: ""&amp;IF(valor="""",""[VACÍO]"",TO_TEXT(valor))
)
))))
),""ERROR EN FÓRMULA""))"),"NO APLICA")</f>
        <v>NO APLICA</v>
      </c>
    </row>
    <row r="137">
      <c r="A137" s="83" t="s">
        <v>4078</v>
      </c>
      <c r="B137" s="83" t="s">
        <v>4079</v>
      </c>
      <c r="C137" s="81" t="s">
        <v>4086</v>
      </c>
      <c r="D137" s="83" t="s">
        <v>4164</v>
      </c>
      <c r="E137" s="81" t="s">
        <v>607</v>
      </c>
      <c r="F137" s="84">
        <v>89.0</v>
      </c>
      <c r="G137" s="81" t="s">
        <v>44</v>
      </c>
      <c r="H137" s="81" t="s">
        <v>224</v>
      </c>
      <c r="I137" s="81" t="s">
        <v>607</v>
      </c>
      <c r="J137" s="81" t="s">
        <v>4088</v>
      </c>
      <c r="K137" s="81" t="str">
        <f>IFERROR(__xludf.DUMMYFUNCTION("IF(OR(D137="""",G137=""""),"""",IFERROR(LET(
campo,XLOOKUP(TRIM(G137),ARRAYFORMULA(TRIM('indice columnas'!$A$2:$A$100)),'indice columnas'!$B$2:$B$100,""""),
col,IFERROR(MATCH(campo,Referencia!$A$1:$AZ$1,0),0),
fila,IFERROR(MATCH(TO_TEXT(D137),ARRAYFORMULA"&amp;"(TO_TEXT(Referencia!$A$2:$A6238)),0),0),
IF(OR(campo="""",campo=""-""),""NO APLICA"",
IF(col=0,""REVISAR EQUIVALENCIA"",
IF(fila=0,""SKU NO ENCONTRADO"",
LET(
valor,INDEX(Referencia!$A$2:$AZ6238,fila,col),
IF(TRIM(TO_TEXT(valor))=TRIM(TO_TEXT(I137)),
""OK"&amp;""",
""NO COINCIDE. Valor verdadero: ""&amp;IF(valor="""",""[VACÍO]"",TO_TEXT(valor))
)
))))
),""ERROR EN FÓRMULA""))"),"NO APLICA")</f>
        <v>NO APLICA</v>
      </c>
    </row>
    <row r="138">
      <c r="A138" s="83" t="s">
        <v>4078</v>
      </c>
      <c r="B138" s="83" t="s">
        <v>4079</v>
      </c>
      <c r="C138" s="81" t="s">
        <v>4086</v>
      </c>
      <c r="D138" s="83" t="s">
        <v>4165</v>
      </c>
      <c r="E138" s="81" t="s">
        <v>615</v>
      </c>
      <c r="F138" s="84">
        <v>90.0</v>
      </c>
      <c r="G138" s="81" t="s">
        <v>12</v>
      </c>
      <c r="H138" s="81" t="s">
        <v>224</v>
      </c>
      <c r="I138" s="81" t="s">
        <v>55</v>
      </c>
      <c r="J138" s="81" t="s">
        <v>224</v>
      </c>
      <c r="K138" s="81" t="str">
        <f>IFERROR(__xludf.DUMMYFUNCTION("IF(OR(D138="""",G138=""""),"""",IFERROR(LET(
campo,XLOOKUP(TRIM(G138),ARRAYFORMULA(TRIM('indice columnas'!$A$2:$A$100)),'indice columnas'!$B$2:$B$100,""""),
col,IFERROR(MATCH(campo,Referencia!$A$1:$AZ$1,0),0),
fila,IFERROR(MATCH(TO_TEXT(D138),ARRAYFORMULA"&amp;"(TO_TEXT(Referencia!$A$2:$A6238)),0),0),
IF(OR(campo="""",campo=""-""),""NO APLICA"",
IF(col=0,""REVISAR EQUIVALENCIA"",
IF(fila=0,""SKU NO ENCONTRADO"",
LET(
valor,INDEX(Referencia!$A$2:$AZ6238,fila,col),
IF(TRIM(TO_TEXT(valor))=TRIM(TO_TEXT(I138)),
""OK"&amp;""",
""NO COINCIDE. Valor verdadero: ""&amp;IF(valor="""",""[VACÍO]"",TO_TEXT(valor))
)
))))
),""ERROR EN FÓRMULA""))"),"OK")</f>
        <v>OK</v>
      </c>
    </row>
    <row r="139">
      <c r="A139" s="83" t="s">
        <v>4078</v>
      </c>
      <c r="B139" s="83" t="s">
        <v>4079</v>
      </c>
      <c r="C139" s="81" t="s">
        <v>4086</v>
      </c>
      <c r="D139" s="83" t="s">
        <v>4165</v>
      </c>
      <c r="E139" s="81" t="s">
        <v>615</v>
      </c>
      <c r="F139" s="84">
        <v>90.0</v>
      </c>
      <c r="G139" s="81" t="s">
        <v>44</v>
      </c>
      <c r="H139" s="81" t="s">
        <v>224</v>
      </c>
      <c r="I139" s="81" t="s">
        <v>607</v>
      </c>
      <c r="J139" s="81" t="s">
        <v>4088</v>
      </c>
      <c r="K139" s="81" t="str">
        <f>IFERROR(__xludf.DUMMYFUNCTION("IF(OR(D139="""",G139=""""),"""",IFERROR(LET(
campo,XLOOKUP(TRIM(G139),ARRAYFORMULA(TRIM('indice columnas'!$A$2:$A$100)),'indice columnas'!$B$2:$B$100,""""),
col,IFERROR(MATCH(campo,Referencia!$A$1:$AZ$1,0),0),
fila,IFERROR(MATCH(TO_TEXT(D139),ARRAYFORMULA"&amp;"(TO_TEXT(Referencia!$A$2:$A6238)),0),0),
IF(OR(campo="""",campo=""-""),""NO APLICA"",
IF(col=0,""REVISAR EQUIVALENCIA"",
IF(fila=0,""SKU NO ENCONTRADO"",
LET(
valor,INDEX(Referencia!$A$2:$AZ6238,fila,col),
IF(TRIM(TO_TEXT(valor))=TRIM(TO_TEXT(I139)),
""OK"&amp;""",
""NO COINCIDE. Valor verdadero: ""&amp;IF(valor="""",""[VACÍO]"",TO_TEXT(valor))
)
))))
),""ERROR EN FÓRMULA""))"),"NO APLICA")</f>
        <v>NO APLICA</v>
      </c>
    </row>
    <row r="140">
      <c r="A140" s="83" t="s">
        <v>4078</v>
      </c>
      <c r="B140" s="83" t="s">
        <v>4079</v>
      </c>
      <c r="C140" s="81" t="s">
        <v>4086</v>
      </c>
      <c r="D140" s="83" t="s">
        <v>4166</v>
      </c>
      <c r="E140" s="81" t="s">
        <v>617</v>
      </c>
      <c r="F140" s="84">
        <v>91.0</v>
      </c>
      <c r="G140" s="81" t="s">
        <v>12</v>
      </c>
      <c r="H140" s="81" t="s">
        <v>224</v>
      </c>
      <c r="I140" s="81" t="s">
        <v>55</v>
      </c>
      <c r="J140" s="81" t="s">
        <v>224</v>
      </c>
      <c r="K140" s="81" t="str">
        <f>IFERROR(__xludf.DUMMYFUNCTION("IF(OR(D140="""",G140=""""),"""",IFERROR(LET(
campo,XLOOKUP(TRIM(G140),ARRAYFORMULA(TRIM('indice columnas'!$A$2:$A$100)),'indice columnas'!$B$2:$B$100,""""),
col,IFERROR(MATCH(campo,Referencia!$A$1:$AZ$1,0),0),
fila,IFERROR(MATCH(TO_TEXT(D140),ARRAYFORMULA"&amp;"(TO_TEXT(Referencia!$A$2:$A6238)),0),0),
IF(OR(campo="""",campo=""-""),""NO APLICA"",
IF(col=0,""REVISAR EQUIVALENCIA"",
IF(fila=0,""SKU NO ENCONTRADO"",
LET(
valor,INDEX(Referencia!$A$2:$AZ6238,fila,col),
IF(TRIM(TO_TEXT(valor))=TRIM(TO_TEXT(I140)),
""OK"&amp;""",
""NO COINCIDE. Valor verdadero: ""&amp;IF(valor="""",""[VACÍO]"",TO_TEXT(valor))
)
))))
),""ERROR EN FÓRMULA""))"),"OK")</f>
        <v>OK</v>
      </c>
    </row>
    <row r="141">
      <c r="A141" s="83" t="s">
        <v>4078</v>
      </c>
      <c r="B141" s="83" t="s">
        <v>4079</v>
      </c>
      <c r="C141" s="81" t="s">
        <v>4086</v>
      </c>
      <c r="D141" s="83" t="s">
        <v>4166</v>
      </c>
      <c r="E141" s="81" t="s">
        <v>617</v>
      </c>
      <c r="F141" s="84">
        <v>91.0</v>
      </c>
      <c r="G141" s="81" t="s">
        <v>44</v>
      </c>
      <c r="H141" s="81" t="s">
        <v>224</v>
      </c>
      <c r="I141" s="81" t="s">
        <v>607</v>
      </c>
      <c r="J141" s="81" t="s">
        <v>4088</v>
      </c>
      <c r="K141" s="81" t="str">
        <f>IFERROR(__xludf.DUMMYFUNCTION("IF(OR(D141="""",G141=""""),"""",IFERROR(LET(
campo,XLOOKUP(TRIM(G141),ARRAYFORMULA(TRIM('indice columnas'!$A$2:$A$100)),'indice columnas'!$B$2:$B$100,""""),
col,IFERROR(MATCH(campo,Referencia!$A$1:$AZ$1,0),0),
fila,IFERROR(MATCH(TO_TEXT(D141),ARRAYFORMULA"&amp;"(TO_TEXT(Referencia!$A$2:$A6238)),0),0),
IF(OR(campo="""",campo=""-""),""NO APLICA"",
IF(col=0,""REVISAR EQUIVALENCIA"",
IF(fila=0,""SKU NO ENCONTRADO"",
LET(
valor,INDEX(Referencia!$A$2:$AZ6238,fila,col),
IF(TRIM(TO_TEXT(valor))=TRIM(TO_TEXT(I141)),
""OK"&amp;""",
""NO COINCIDE. Valor verdadero: ""&amp;IF(valor="""",""[VACÍO]"",TO_TEXT(valor))
)
))))
),""ERROR EN FÓRMULA""))"),"NO APLICA")</f>
        <v>NO APLICA</v>
      </c>
    </row>
    <row r="142">
      <c r="A142" s="83" t="s">
        <v>4078</v>
      </c>
      <c r="B142" s="83" t="s">
        <v>4079</v>
      </c>
      <c r="C142" s="81" t="s">
        <v>4086</v>
      </c>
      <c r="D142" s="83" t="s">
        <v>4167</v>
      </c>
      <c r="E142" s="81" t="s">
        <v>619</v>
      </c>
      <c r="F142" s="84">
        <v>92.0</v>
      </c>
      <c r="G142" s="81" t="s">
        <v>12</v>
      </c>
      <c r="H142" s="81" t="s">
        <v>224</v>
      </c>
      <c r="I142" s="81" t="s">
        <v>55</v>
      </c>
      <c r="J142" s="81" t="s">
        <v>224</v>
      </c>
      <c r="K142" s="81" t="str">
        <f>IFERROR(__xludf.DUMMYFUNCTION("IF(OR(D142="""",G142=""""),"""",IFERROR(LET(
campo,XLOOKUP(TRIM(G142),ARRAYFORMULA(TRIM('indice columnas'!$A$2:$A$100)),'indice columnas'!$B$2:$B$100,""""),
col,IFERROR(MATCH(campo,Referencia!$A$1:$AZ$1,0),0),
fila,IFERROR(MATCH(TO_TEXT(D142),ARRAYFORMULA"&amp;"(TO_TEXT(Referencia!$A$2:$A6238)),0),0),
IF(OR(campo="""",campo=""-""),""NO APLICA"",
IF(col=0,""REVISAR EQUIVALENCIA"",
IF(fila=0,""SKU NO ENCONTRADO"",
LET(
valor,INDEX(Referencia!$A$2:$AZ6238,fila,col),
IF(TRIM(TO_TEXT(valor))=TRIM(TO_TEXT(I142)),
""OK"&amp;""",
""NO COINCIDE. Valor verdadero: ""&amp;IF(valor="""",""[VACÍO]"",TO_TEXT(valor))
)
))))
),""ERROR EN FÓRMULA""))"),"OK")</f>
        <v>OK</v>
      </c>
    </row>
    <row r="143">
      <c r="A143" s="83" t="s">
        <v>4078</v>
      </c>
      <c r="B143" s="83" t="s">
        <v>4079</v>
      </c>
      <c r="C143" s="81" t="s">
        <v>4086</v>
      </c>
      <c r="D143" s="83" t="s">
        <v>4167</v>
      </c>
      <c r="E143" s="81" t="s">
        <v>619</v>
      </c>
      <c r="F143" s="84">
        <v>92.0</v>
      </c>
      <c r="G143" s="81" t="s">
        <v>44</v>
      </c>
      <c r="H143" s="81" t="s">
        <v>224</v>
      </c>
      <c r="I143" s="81" t="s">
        <v>4168</v>
      </c>
      <c r="J143" s="81" t="s">
        <v>4088</v>
      </c>
      <c r="K143" s="81" t="str">
        <f>IFERROR(__xludf.DUMMYFUNCTION("IF(OR(D143="""",G143=""""),"""",IFERROR(LET(
campo,XLOOKUP(TRIM(G143),ARRAYFORMULA(TRIM('indice columnas'!$A$2:$A$100)),'indice columnas'!$B$2:$B$100,""""),
col,IFERROR(MATCH(campo,Referencia!$A$1:$AZ$1,0),0),
fila,IFERROR(MATCH(TO_TEXT(D143),ARRAYFORMULA"&amp;"(TO_TEXT(Referencia!$A$2:$A6238)),0),0),
IF(OR(campo="""",campo=""-""),""NO APLICA"",
IF(col=0,""REVISAR EQUIVALENCIA"",
IF(fila=0,""SKU NO ENCONTRADO"",
LET(
valor,INDEX(Referencia!$A$2:$AZ6238,fila,col),
IF(TRIM(TO_TEXT(valor))=TRIM(TO_TEXT(I143)),
""OK"&amp;""",
""NO COINCIDE. Valor verdadero: ""&amp;IF(valor="""",""[VACÍO]"",TO_TEXT(valor))
)
))))
),""ERROR EN FÓRMULA""))"),"NO APLICA")</f>
        <v>NO APLICA</v>
      </c>
    </row>
    <row r="144">
      <c r="A144" s="83" t="s">
        <v>4078</v>
      </c>
      <c r="B144" s="83" t="s">
        <v>4079</v>
      </c>
      <c r="C144" s="81" t="s">
        <v>4086</v>
      </c>
      <c r="D144" s="83" t="s">
        <v>4169</v>
      </c>
      <c r="E144" s="81" t="s">
        <v>624</v>
      </c>
      <c r="F144" s="84">
        <v>93.0</v>
      </c>
      <c r="G144" s="81" t="s">
        <v>12</v>
      </c>
      <c r="H144" s="81" t="s">
        <v>224</v>
      </c>
      <c r="I144" s="81" t="s">
        <v>55</v>
      </c>
      <c r="J144" s="81" t="s">
        <v>224</v>
      </c>
      <c r="K144" s="81" t="str">
        <f>IFERROR(__xludf.DUMMYFUNCTION("IF(OR(D144="""",G144=""""),"""",IFERROR(LET(
campo,XLOOKUP(TRIM(G144),ARRAYFORMULA(TRIM('indice columnas'!$A$2:$A$100)),'indice columnas'!$B$2:$B$100,""""),
col,IFERROR(MATCH(campo,Referencia!$A$1:$AZ$1,0),0),
fila,IFERROR(MATCH(TO_TEXT(D144),ARRAYFORMULA"&amp;"(TO_TEXT(Referencia!$A$2:$A6238)),0),0),
IF(OR(campo="""",campo=""-""),""NO APLICA"",
IF(col=0,""REVISAR EQUIVALENCIA"",
IF(fila=0,""SKU NO ENCONTRADO"",
LET(
valor,INDEX(Referencia!$A$2:$AZ6238,fila,col),
IF(TRIM(TO_TEXT(valor))=TRIM(TO_TEXT(I144)),
""OK"&amp;""",
""NO COINCIDE. Valor verdadero: ""&amp;IF(valor="""",""[VACÍO]"",TO_TEXT(valor))
)
))))
),""ERROR EN FÓRMULA""))"),"OK")</f>
        <v>OK</v>
      </c>
    </row>
    <row r="145">
      <c r="A145" s="83" t="s">
        <v>4078</v>
      </c>
      <c r="B145" s="83" t="s">
        <v>4079</v>
      </c>
      <c r="C145" s="81" t="s">
        <v>4086</v>
      </c>
      <c r="D145" s="83" t="s">
        <v>4169</v>
      </c>
      <c r="E145" s="81" t="s">
        <v>624</v>
      </c>
      <c r="F145" s="84">
        <v>93.0</v>
      </c>
      <c r="G145" s="81" t="s">
        <v>44</v>
      </c>
      <c r="H145" s="81" t="s">
        <v>224</v>
      </c>
      <c r="I145" s="81" t="s">
        <v>470</v>
      </c>
      <c r="J145" s="81" t="s">
        <v>4088</v>
      </c>
      <c r="K145" s="81" t="str">
        <f>IFERROR(__xludf.DUMMYFUNCTION("IF(OR(D145="""",G145=""""),"""",IFERROR(LET(
campo,XLOOKUP(TRIM(G145),ARRAYFORMULA(TRIM('indice columnas'!$A$2:$A$100)),'indice columnas'!$B$2:$B$100,""""),
col,IFERROR(MATCH(campo,Referencia!$A$1:$AZ$1,0),0),
fila,IFERROR(MATCH(TO_TEXT(D145),ARRAYFORMULA"&amp;"(TO_TEXT(Referencia!$A$2:$A6238)),0),0),
IF(OR(campo="""",campo=""-""),""NO APLICA"",
IF(col=0,""REVISAR EQUIVALENCIA"",
IF(fila=0,""SKU NO ENCONTRADO"",
LET(
valor,INDEX(Referencia!$A$2:$AZ6238,fila,col),
IF(TRIM(TO_TEXT(valor))=TRIM(TO_TEXT(I145)),
""OK"&amp;""",
""NO COINCIDE. Valor verdadero: ""&amp;IF(valor="""",""[VACÍO]"",TO_TEXT(valor))
)
))))
),""ERROR EN FÓRMULA""))"),"NO APLICA")</f>
        <v>NO APLICA</v>
      </c>
    </row>
    <row r="146">
      <c r="A146" s="83" t="s">
        <v>4078</v>
      </c>
      <c r="B146" s="83" t="s">
        <v>4079</v>
      </c>
      <c r="C146" s="81" t="s">
        <v>4086</v>
      </c>
      <c r="D146" s="83" t="s">
        <v>4170</v>
      </c>
      <c r="E146" s="81" t="s">
        <v>627</v>
      </c>
      <c r="F146" s="84">
        <v>94.0</v>
      </c>
      <c r="G146" s="81" t="s">
        <v>12</v>
      </c>
      <c r="H146" s="81" t="s">
        <v>224</v>
      </c>
      <c r="I146" s="81" t="s">
        <v>55</v>
      </c>
      <c r="J146" s="81" t="s">
        <v>224</v>
      </c>
      <c r="K146" s="81" t="str">
        <f>IFERROR(__xludf.DUMMYFUNCTION("IF(OR(D146="""",G146=""""),"""",IFERROR(LET(
campo,XLOOKUP(TRIM(G146),ARRAYFORMULA(TRIM('indice columnas'!$A$2:$A$100)),'indice columnas'!$B$2:$B$100,""""),
col,IFERROR(MATCH(campo,Referencia!$A$1:$AZ$1,0),0),
fila,IFERROR(MATCH(TO_TEXT(D146),ARRAYFORMULA"&amp;"(TO_TEXT(Referencia!$A$2:$A6238)),0),0),
IF(OR(campo="""",campo=""-""),""NO APLICA"",
IF(col=0,""REVISAR EQUIVALENCIA"",
IF(fila=0,""SKU NO ENCONTRADO"",
LET(
valor,INDEX(Referencia!$A$2:$AZ6238,fila,col),
IF(TRIM(TO_TEXT(valor))=TRIM(TO_TEXT(I146)),
""OK"&amp;""",
""NO COINCIDE. Valor verdadero: ""&amp;IF(valor="""",""[VACÍO]"",TO_TEXT(valor))
)
))))
),""ERROR EN FÓRMULA""))"),"OK")</f>
        <v>OK</v>
      </c>
    </row>
    <row r="147">
      <c r="A147" s="83" t="s">
        <v>4078</v>
      </c>
      <c r="B147" s="83" t="s">
        <v>4079</v>
      </c>
      <c r="C147" s="81" t="s">
        <v>4086</v>
      </c>
      <c r="D147" s="83" t="s">
        <v>4170</v>
      </c>
      <c r="E147" s="81" t="s">
        <v>627</v>
      </c>
      <c r="F147" s="84">
        <v>94.0</v>
      </c>
      <c r="G147" s="81" t="s">
        <v>44</v>
      </c>
      <c r="H147" s="81" t="s">
        <v>224</v>
      </c>
      <c r="I147" s="81" t="s">
        <v>470</v>
      </c>
      <c r="J147" s="81" t="s">
        <v>4088</v>
      </c>
      <c r="K147" s="81" t="str">
        <f>IFERROR(__xludf.DUMMYFUNCTION("IF(OR(D147="""",G147=""""),"""",IFERROR(LET(
campo,XLOOKUP(TRIM(G147),ARRAYFORMULA(TRIM('indice columnas'!$A$2:$A$100)),'indice columnas'!$B$2:$B$100,""""),
col,IFERROR(MATCH(campo,Referencia!$A$1:$AZ$1,0),0),
fila,IFERROR(MATCH(TO_TEXT(D147),ARRAYFORMULA"&amp;"(TO_TEXT(Referencia!$A$2:$A6238)),0),0),
IF(OR(campo="""",campo=""-""),""NO APLICA"",
IF(col=0,""REVISAR EQUIVALENCIA"",
IF(fila=0,""SKU NO ENCONTRADO"",
LET(
valor,INDEX(Referencia!$A$2:$AZ6238,fila,col),
IF(TRIM(TO_TEXT(valor))=TRIM(TO_TEXT(I147)),
""OK"&amp;""",
""NO COINCIDE. Valor verdadero: ""&amp;IF(valor="""",""[VACÍO]"",TO_TEXT(valor))
)
))))
),""ERROR EN FÓRMULA""))"),"NO APLICA")</f>
        <v>NO APLICA</v>
      </c>
    </row>
    <row r="148">
      <c r="A148" s="83" t="s">
        <v>4078</v>
      </c>
      <c r="B148" s="83" t="s">
        <v>4079</v>
      </c>
      <c r="C148" s="81" t="s">
        <v>4086</v>
      </c>
      <c r="D148" s="83" t="s">
        <v>4171</v>
      </c>
      <c r="E148" s="81" t="s">
        <v>629</v>
      </c>
      <c r="F148" s="84">
        <v>95.0</v>
      </c>
      <c r="G148" s="81" t="s">
        <v>12</v>
      </c>
      <c r="H148" s="81" t="s">
        <v>224</v>
      </c>
      <c r="I148" s="81" t="s">
        <v>55</v>
      </c>
      <c r="J148" s="81" t="s">
        <v>224</v>
      </c>
      <c r="K148" s="81" t="str">
        <f>IFERROR(__xludf.DUMMYFUNCTION("IF(OR(D148="""",G148=""""),"""",IFERROR(LET(
campo,XLOOKUP(TRIM(G148),ARRAYFORMULA(TRIM('indice columnas'!$A$2:$A$100)),'indice columnas'!$B$2:$B$100,""""),
col,IFERROR(MATCH(campo,Referencia!$A$1:$AZ$1,0),0),
fila,IFERROR(MATCH(TO_TEXT(D148),ARRAYFORMULA"&amp;"(TO_TEXT(Referencia!$A$2:$A6238)),0),0),
IF(OR(campo="""",campo=""-""),""NO APLICA"",
IF(col=0,""REVISAR EQUIVALENCIA"",
IF(fila=0,""SKU NO ENCONTRADO"",
LET(
valor,INDEX(Referencia!$A$2:$AZ6238,fila,col),
IF(TRIM(TO_TEXT(valor))=TRIM(TO_TEXT(I148)),
""OK"&amp;""",
""NO COINCIDE. Valor verdadero: ""&amp;IF(valor="""",""[VACÍO]"",TO_TEXT(valor))
)
))))
),""ERROR EN FÓRMULA""))"),"OK")</f>
        <v>OK</v>
      </c>
    </row>
    <row r="149">
      <c r="A149" s="83" t="s">
        <v>4078</v>
      </c>
      <c r="B149" s="83" t="s">
        <v>4079</v>
      </c>
      <c r="C149" s="81" t="s">
        <v>4086</v>
      </c>
      <c r="D149" s="83" t="s">
        <v>4171</v>
      </c>
      <c r="E149" s="81" t="s">
        <v>629</v>
      </c>
      <c r="F149" s="84">
        <v>95.0</v>
      </c>
      <c r="G149" s="81" t="s">
        <v>44</v>
      </c>
      <c r="H149" s="81" t="s">
        <v>224</v>
      </c>
      <c r="I149" s="81" t="s">
        <v>523</v>
      </c>
      <c r="J149" s="81" t="s">
        <v>4088</v>
      </c>
      <c r="K149" s="81" t="str">
        <f>IFERROR(__xludf.DUMMYFUNCTION("IF(OR(D149="""",G149=""""),"""",IFERROR(LET(
campo,XLOOKUP(TRIM(G149),ARRAYFORMULA(TRIM('indice columnas'!$A$2:$A$100)),'indice columnas'!$B$2:$B$100,""""),
col,IFERROR(MATCH(campo,Referencia!$A$1:$AZ$1,0),0),
fila,IFERROR(MATCH(TO_TEXT(D149),ARRAYFORMULA"&amp;"(TO_TEXT(Referencia!$A$2:$A6238)),0),0),
IF(OR(campo="""",campo=""-""),""NO APLICA"",
IF(col=0,""REVISAR EQUIVALENCIA"",
IF(fila=0,""SKU NO ENCONTRADO"",
LET(
valor,INDEX(Referencia!$A$2:$AZ6238,fila,col),
IF(TRIM(TO_TEXT(valor))=TRIM(TO_TEXT(I149)),
""OK"&amp;""",
""NO COINCIDE. Valor verdadero: ""&amp;IF(valor="""",""[VACÍO]"",TO_TEXT(valor))
)
))))
),""ERROR EN FÓRMULA""))"),"NO APLICA")</f>
        <v>NO APLICA</v>
      </c>
    </row>
    <row r="150">
      <c r="A150" s="83" t="s">
        <v>4078</v>
      </c>
      <c r="B150" s="83" t="s">
        <v>4079</v>
      </c>
      <c r="C150" s="81" t="s">
        <v>4086</v>
      </c>
      <c r="D150" s="83" t="s">
        <v>4172</v>
      </c>
      <c r="E150" s="81" t="s">
        <v>632</v>
      </c>
      <c r="F150" s="84">
        <v>96.0</v>
      </c>
      <c r="G150" s="81" t="s">
        <v>44</v>
      </c>
      <c r="H150" s="81" t="s">
        <v>224</v>
      </c>
      <c r="I150" s="81" t="s">
        <v>632</v>
      </c>
      <c r="J150" s="81" t="s">
        <v>4088</v>
      </c>
      <c r="K150" s="81" t="str">
        <f>IFERROR(__xludf.DUMMYFUNCTION("IF(OR(D150="""",G150=""""),"""",IFERROR(LET(
campo,XLOOKUP(TRIM(G150),ARRAYFORMULA(TRIM('indice columnas'!$A$2:$A$100)),'indice columnas'!$B$2:$B$100,""""),
col,IFERROR(MATCH(campo,Referencia!$A$1:$AZ$1,0),0),
fila,IFERROR(MATCH(TO_TEXT(D150),ARRAYFORMULA"&amp;"(TO_TEXT(Referencia!$A$2:$A6238)),0),0),
IF(OR(campo="""",campo=""-""),""NO APLICA"",
IF(col=0,""REVISAR EQUIVALENCIA"",
IF(fila=0,""SKU NO ENCONTRADO"",
LET(
valor,INDEX(Referencia!$A$2:$AZ6238,fila,col),
IF(TRIM(TO_TEXT(valor))=TRIM(TO_TEXT(I150)),
""OK"&amp;""",
""NO COINCIDE. Valor verdadero: ""&amp;IF(valor="""",""[VACÍO]"",TO_TEXT(valor))
)
))))
),""ERROR EN FÓRMULA""))"),"NO APLICA")</f>
        <v>NO APLICA</v>
      </c>
    </row>
    <row r="151">
      <c r="A151" s="83" t="s">
        <v>4078</v>
      </c>
      <c r="B151" s="83" t="s">
        <v>4079</v>
      </c>
      <c r="C151" s="81" t="s">
        <v>4086</v>
      </c>
      <c r="D151" s="83" t="s">
        <v>4172</v>
      </c>
      <c r="E151" s="81" t="s">
        <v>642</v>
      </c>
      <c r="F151" s="84">
        <v>97.0</v>
      </c>
      <c r="G151" s="81" t="s">
        <v>12</v>
      </c>
      <c r="H151" s="81" t="s">
        <v>224</v>
      </c>
      <c r="I151" s="81" t="s">
        <v>55</v>
      </c>
      <c r="J151" s="81" t="s">
        <v>224</v>
      </c>
      <c r="K151" s="81" t="str">
        <f>IFERROR(__xludf.DUMMYFUNCTION("IF(OR(D151="""",G151=""""),"""",IFERROR(LET(
campo,XLOOKUP(TRIM(G151),ARRAYFORMULA(TRIM('indice columnas'!$A$2:$A$100)),'indice columnas'!$B$2:$B$100,""""),
col,IFERROR(MATCH(campo,Referencia!$A$1:$AZ$1,0),0),
fila,IFERROR(MATCH(TO_TEXT(D151),ARRAYFORMULA"&amp;"(TO_TEXT(Referencia!$A$2:$A6238)),0),0),
IF(OR(campo="""",campo=""-""),""NO APLICA"",
IF(col=0,""REVISAR EQUIVALENCIA"",
IF(fila=0,""SKU NO ENCONTRADO"",
LET(
valor,INDEX(Referencia!$A$2:$AZ6238,fila,col),
IF(TRIM(TO_TEXT(valor))=TRIM(TO_TEXT(I151)),
""OK"&amp;""",
""NO COINCIDE. Valor verdadero: ""&amp;IF(valor="""",""[VACÍO]"",TO_TEXT(valor))
)
))))
),""ERROR EN FÓRMULA""))"),"OK")</f>
        <v>OK</v>
      </c>
    </row>
    <row r="152">
      <c r="A152" s="83" t="s">
        <v>4078</v>
      </c>
      <c r="B152" s="83" t="s">
        <v>4079</v>
      </c>
      <c r="C152" s="81" t="s">
        <v>4086</v>
      </c>
      <c r="D152" s="83" t="s">
        <v>4172</v>
      </c>
      <c r="E152" s="81" t="s">
        <v>642</v>
      </c>
      <c r="F152" s="84">
        <v>97.0</v>
      </c>
      <c r="G152" s="81" t="s">
        <v>44</v>
      </c>
      <c r="H152" s="81" t="s">
        <v>224</v>
      </c>
      <c r="I152" s="81" t="s">
        <v>632</v>
      </c>
      <c r="J152" s="81" t="s">
        <v>4088</v>
      </c>
      <c r="K152" s="81" t="str">
        <f>IFERROR(__xludf.DUMMYFUNCTION("IF(OR(D152="""",G152=""""),"""",IFERROR(LET(
campo,XLOOKUP(TRIM(G152),ARRAYFORMULA(TRIM('indice columnas'!$A$2:$A$100)),'indice columnas'!$B$2:$B$100,""""),
col,IFERROR(MATCH(campo,Referencia!$A$1:$AZ$1,0),0),
fila,IFERROR(MATCH(TO_TEXT(D152),ARRAYFORMULA"&amp;"(TO_TEXT(Referencia!$A$2:$A6238)),0),0),
IF(OR(campo="""",campo=""-""),""NO APLICA"",
IF(col=0,""REVISAR EQUIVALENCIA"",
IF(fila=0,""SKU NO ENCONTRADO"",
LET(
valor,INDEX(Referencia!$A$2:$AZ6238,fila,col),
IF(TRIM(TO_TEXT(valor))=TRIM(TO_TEXT(I152)),
""OK"&amp;""",
""NO COINCIDE. Valor verdadero: ""&amp;IF(valor="""",""[VACÍO]"",TO_TEXT(valor))
)
))))
),""ERROR EN FÓRMULA""))"),"NO APLICA")</f>
        <v>NO APLICA</v>
      </c>
    </row>
    <row r="153">
      <c r="A153" s="83" t="s">
        <v>4078</v>
      </c>
      <c r="B153" s="83" t="s">
        <v>4079</v>
      </c>
      <c r="C153" s="81" t="s">
        <v>4086</v>
      </c>
      <c r="D153" s="83" t="s">
        <v>4173</v>
      </c>
      <c r="E153" s="81" t="s">
        <v>644</v>
      </c>
      <c r="F153" s="84">
        <v>98.0</v>
      </c>
      <c r="G153" s="81" t="s">
        <v>12</v>
      </c>
      <c r="H153" s="81" t="s">
        <v>224</v>
      </c>
      <c r="I153" s="81" t="s">
        <v>55</v>
      </c>
      <c r="J153" s="81" t="s">
        <v>224</v>
      </c>
      <c r="K153" s="81" t="str">
        <f>IFERROR(__xludf.DUMMYFUNCTION("IF(OR(D153="""",G153=""""),"""",IFERROR(LET(
campo,XLOOKUP(TRIM(G153),ARRAYFORMULA(TRIM('indice columnas'!$A$2:$A$100)),'indice columnas'!$B$2:$B$100,""""),
col,IFERROR(MATCH(campo,Referencia!$A$1:$AZ$1,0),0),
fila,IFERROR(MATCH(TO_TEXT(D153),ARRAYFORMULA"&amp;"(TO_TEXT(Referencia!$A$2:$A6238)),0),0),
IF(OR(campo="""",campo=""-""),""NO APLICA"",
IF(col=0,""REVISAR EQUIVALENCIA"",
IF(fila=0,""SKU NO ENCONTRADO"",
LET(
valor,INDEX(Referencia!$A$2:$AZ6238,fila,col),
IF(TRIM(TO_TEXT(valor))=TRIM(TO_TEXT(I153)),
""OK"&amp;""",
""NO COINCIDE. Valor verdadero: ""&amp;IF(valor="""",""[VACÍO]"",TO_TEXT(valor))
)
))))
),""ERROR EN FÓRMULA""))"),"OK")</f>
        <v>OK</v>
      </c>
    </row>
    <row r="154">
      <c r="A154" s="83" t="s">
        <v>4078</v>
      </c>
      <c r="B154" s="83" t="s">
        <v>4079</v>
      </c>
      <c r="C154" s="81" t="s">
        <v>4086</v>
      </c>
      <c r="D154" s="83" t="s">
        <v>4173</v>
      </c>
      <c r="E154" s="81" t="s">
        <v>644</v>
      </c>
      <c r="F154" s="84">
        <v>98.0</v>
      </c>
      <c r="G154" s="81" t="s">
        <v>44</v>
      </c>
      <c r="H154" s="81" t="s">
        <v>224</v>
      </c>
      <c r="I154" s="81" t="s">
        <v>632</v>
      </c>
      <c r="J154" s="81" t="s">
        <v>4088</v>
      </c>
      <c r="K154" s="81" t="str">
        <f>IFERROR(__xludf.DUMMYFUNCTION("IF(OR(D154="""",G154=""""),"""",IFERROR(LET(
campo,XLOOKUP(TRIM(G154),ARRAYFORMULA(TRIM('indice columnas'!$A$2:$A$100)),'indice columnas'!$B$2:$B$100,""""),
col,IFERROR(MATCH(campo,Referencia!$A$1:$AZ$1,0),0),
fila,IFERROR(MATCH(TO_TEXT(D154),ARRAYFORMULA"&amp;"(TO_TEXT(Referencia!$A$2:$A6238)),0),0),
IF(OR(campo="""",campo=""-""),""NO APLICA"",
IF(col=0,""REVISAR EQUIVALENCIA"",
IF(fila=0,""SKU NO ENCONTRADO"",
LET(
valor,INDEX(Referencia!$A$2:$AZ6238,fila,col),
IF(TRIM(TO_TEXT(valor))=TRIM(TO_TEXT(I154)),
""OK"&amp;""",
""NO COINCIDE. Valor verdadero: ""&amp;IF(valor="""",""[VACÍO]"",TO_TEXT(valor))
)
))))
),""ERROR EN FÓRMULA""))"),"NO APLICA")</f>
        <v>NO APLICA</v>
      </c>
    </row>
    <row r="155">
      <c r="A155" s="83" t="s">
        <v>4078</v>
      </c>
      <c r="B155" s="83" t="s">
        <v>4079</v>
      </c>
      <c r="C155" s="81" t="s">
        <v>4086</v>
      </c>
      <c r="D155" s="83" t="s">
        <v>4174</v>
      </c>
      <c r="E155" s="81" t="s">
        <v>646</v>
      </c>
      <c r="F155" s="84">
        <v>99.0</v>
      </c>
      <c r="G155" s="81" t="s">
        <v>12</v>
      </c>
      <c r="H155" s="81" t="s">
        <v>224</v>
      </c>
      <c r="I155" s="81" t="s">
        <v>55</v>
      </c>
      <c r="J155" s="81" t="s">
        <v>224</v>
      </c>
      <c r="K155" s="81" t="str">
        <f>IFERROR(__xludf.DUMMYFUNCTION("IF(OR(D155="""",G155=""""),"""",IFERROR(LET(
campo,XLOOKUP(TRIM(G155),ARRAYFORMULA(TRIM('indice columnas'!$A$2:$A$100)),'indice columnas'!$B$2:$B$100,""""),
col,IFERROR(MATCH(campo,Referencia!$A$1:$AZ$1,0),0),
fila,IFERROR(MATCH(TO_TEXT(D155),ARRAYFORMULA"&amp;"(TO_TEXT(Referencia!$A$2:$A6238)),0),0),
IF(OR(campo="""",campo=""-""),""NO APLICA"",
IF(col=0,""REVISAR EQUIVALENCIA"",
IF(fila=0,""SKU NO ENCONTRADO"",
LET(
valor,INDEX(Referencia!$A$2:$AZ6238,fila,col),
IF(TRIM(TO_TEXT(valor))=TRIM(TO_TEXT(I155)),
""OK"&amp;""",
""NO COINCIDE. Valor verdadero: ""&amp;IF(valor="""",""[VACÍO]"",TO_TEXT(valor))
)
))))
),""ERROR EN FÓRMULA""))"),"OK")</f>
        <v>OK</v>
      </c>
    </row>
    <row r="156">
      <c r="A156" s="83" t="s">
        <v>4078</v>
      </c>
      <c r="B156" s="83" t="s">
        <v>4079</v>
      </c>
      <c r="C156" s="81" t="s">
        <v>4086</v>
      </c>
      <c r="D156" s="83" t="s">
        <v>4174</v>
      </c>
      <c r="E156" s="81" t="s">
        <v>646</v>
      </c>
      <c r="F156" s="84">
        <v>99.0</v>
      </c>
      <c r="G156" s="81" t="s">
        <v>44</v>
      </c>
      <c r="H156" s="81" t="s">
        <v>224</v>
      </c>
      <c r="I156" s="81" t="s">
        <v>4175</v>
      </c>
      <c r="J156" s="81" t="s">
        <v>4088</v>
      </c>
      <c r="K156" s="81" t="str">
        <f>IFERROR(__xludf.DUMMYFUNCTION("IF(OR(D156="""",G156=""""),"""",IFERROR(LET(
campo,XLOOKUP(TRIM(G156),ARRAYFORMULA(TRIM('indice columnas'!$A$2:$A$100)),'indice columnas'!$B$2:$B$100,""""),
col,IFERROR(MATCH(campo,Referencia!$A$1:$AZ$1,0),0),
fila,IFERROR(MATCH(TO_TEXT(D156),ARRAYFORMULA"&amp;"(TO_TEXT(Referencia!$A$2:$A6238)),0),0),
IF(OR(campo="""",campo=""-""),""NO APLICA"",
IF(col=0,""REVISAR EQUIVALENCIA"",
IF(fila=0,""SKU NO ENCONTRADO"",
LET(
valor,INDEX(Referencia!$A$2:$AZ6238,fila,col),
IF(TRIM(TO_TEXT(valor))=TRIM(TO_TEXT(I156)),
""OK"&amp;""",
""NO COINCIDE. Valor verdadero: ""&amp;IF(valor="""",""[VACÍO]"",TO_TEXT(valor))
)
))))
),""ERROR EN FÓRMULA""))"),"NO APLICA")</f>
        <v>NO APLICA</v>
      </c>
    </row>
    <row r="157">
      <c r="A157" s="83" t="s">
        <v>4078</v>
      </c>
      <c r="B157" s="83" t="s">
        <v>4079</v>
      </c>
      <c r="C157" s="81" t="s">
        <v>4086</v>
      </c>
      <c r="D157" s="83" t="s">
        <v>4176</v>
      </c>
      <c r="E157" s="81" t="s">
        <v>653</v>
      </c>
      <c r="F157" s="84">
        <v>100.0</v>
      </c>
      <c r="G157" s="81" t="s">
        <v>12</v>
      </c>
      <c r="H157" s="81" t="s">
        <v>224</v>
      </c>
      <c r="I157" s="81" t="s">
        <v>55</v>
      </c>
      <c r="J157" s="81" t="s">
        <v>224</v>
      </c>
      <c r="K157" s="81" t="str">
        <f>IFERROR(__xludf.DUMMYFUNCTION("IF(OR(D157="""",G157=""""),"""",IFERROR(LET(
campo,XLOOKUP(TRIM(G157),ARRAYFORMULA(TRIM('indice columnas'!$A$2:$A$100)),'indice columnas'!$B$2:$B$100,""""),
col,IFERROR(MATCH(campo,Referencia!$A$1:$AZ$1,0),0),
fila,IFERROR(MATCH(TO_TEXT(D157),ARRAYFORMULA"&amp;"(TO_TEXT(Referencia!$A$2:$A6238)),0),0),
IF(OR(campo="""",campo=""-""),""NO APLICA"",
IF(col=0,""REVISAR EQUIVALENCIA"",
IF(fila=0,""SKU NO ENCONTRADO"",
LET(
valor,INDEX(Referencia!$A$2:$AZ6238,fila,col),
IF(TRIM(TO_TEXT(valor))=TRIM(TO_TEXT(I157)),
""OK"&amp;""",
""NO COINCIDE. Valor verdadero: ""&amp;IF(valor="""",""[VACÍO]"",TO_TEXT(valor))
)
))))
),""ERROR EN FÓRMULA""))"),"OK")</f>
        <v>OK</v>
      </c>
    </row>
    <row r="158">
      <c r="A158" s="83" t="s">
        <v>4078</v>
      </c>
      <c r="B158" s="83" t="s">
        <v>4079</v>
      </c>
      <c r="C158" s="81" t="s">
        <v>4086</v>
      </c>
      <c r="D158" s="83" t="s">
        <v>4176</v>
      </c>
      <c r="E158" s="81" t="s">
        <v>653</v>
      </c>
      <c r="F158" s="84">
        <v>100.0</v>
      </c>
      <c r="G158" s="81" t="s">
        <v>44</v>
      </c>
      <c r="H158" s="81" t="s">
        <v>224</v>
      </c>
      <c r="I158" s="81" t="s">
        <v>4175</v>
      </c>
      <c r="J158" s="81" t="s">
        <v>4088</v>
      </c>
      <c r="K158" s="81" t="str">
        <f>IFERROR(__xludf.DUMMYFUNCTION("IF(OR(D158="""",G158=""""),"""",IFERROR(LET(
campo,XLOOKUP(TRIM(G158),ARRAYFORMULA(TRIM('indice columnas'!$A$2:$A$100)),'indice columnas'!$B$2:$B$100,""""),
col,IFERROR(MATCH(campo,Referencia!$A$1:$AZ$1,0),0),
fila,IFERROR(MATCH(TO_TEXT(D158),ARRAYFORMULA"&amp;"(TO_TEXT(Referencia!$A$2:$A6238)),0),0),
IF(OR(campo="""",campo=""-""),""NO APLICA"",
IF(col=0,""REVISAR EQUIVALENCIA"",
IF(fila=0,""SKU NO ENCONTRADO"",
LET(
valor,INDEX(Referencia!$A$2:$AZ6238,fila,col),
IF(TRIM(TO_TEXT(valor))=TRIM(TO_TEXT(I158)),
""OK"&amp;""",
""NO COINCIDE. Valor verdadero: ""&amp;IF(valor="""",""[VACÍO]"",TO_TEXT(valor))
)
))))
),""ERROR EN FÓRMULA""))"),"NO APLICA")</f>
        <v>NO APLICA</v>
      </c>
    </row>
    <row r="159">
      <c r="A159" s="83" t="s">
        <v>4078</v>
      </c>
      <c r="B159" s="83" t="s">
        <v>4079</v>
      </c>
      <c r="C159" s="81" t="s">
        <v>4086</v>
      </c>
      <c r="D159" s="83" t="s">
        <v>4177</v>
      </c>
      <c r="E159" s="81" t="s">
        <v>655</v>
      </c>
      <c r="F159" s="84">
        <v>101.0</v>
      </c>
      <c r="G159" s="81" t="s">
        <v>44</v>
      </c>
      <c r="H159" s="81" t="s">
        <v>224</v>
      </c>
      <c r="I159" s="81" t="s">
        <v>655</v>
      </c>
      <c r="J159" s="81" t="s">
        <v>4088</v>
      </c>
      <c r="K159" s="81" t="str">
        <f>IFERROR(__xludf.DUMMYFUNCTION("IF(OR(D159="""",G159=""""),"""",IFERROR(LET(
campo,XLOOKUP(TRIM(G159),ARRAYFORMULA(TRIM('indice columnas'!$A$2:$A$100)),'indice columnas'!$B$2:$B$100,""""),
col,IFERROR(MATCH(campo,Referencia!$A$1:$AZ$1,0),0),
fila,IFERROR(MATCH(TO_TEXT(D159),ARRAYFORMULA"&amp;"(TO_TEXT(Referencia!$A$2:$A6238)),0),0),
IF(OR(campo="""",campo=""-""),""NO APLICA"",
IF(col=0,""REVISAR EQUIVALENCIA"",
IF(fila=0,""SKU NO ENCONTRADO"",
LET(
valor,INDEX(Referencia!$A$2:$AZ6238,fila,col),
IF(TRIM(TO_TEXT(valor))=TRIM(TO_TEXT(I159)),
""OK"&amp;""",
""NO COINCIDE. Valor verdadero: ""&amp;IF(valor="""",""[VACÍO]"",TO_TEXT(valor))
)
))))
),""ERROR EN FÓRMULA""))"),"NO APLICA")</f>
        <v>NO APLICA</v>
      </c>
    </row>
    <row r="160">
      <c r="A160" s="83" t="s">
        <v>4078</v>
      </c>
      <c r="B160" s="83" t="s">
        <v>4079</v>
      </c>
      <c r="C160" s="81" t="s">
        <v>4086</v>
      </c>
      <c r="D160" s="83" t="s">
        <v>4177</v>
      </c>
      <c r="E160" s="81" t="s">
        <v>660</v>
      </c>
      <c r="F160" s="84">
        <v>102.0</v>
      </c>
      <c r="G160" s="81" t="s">
        <v>12</v>
      </c>
      <c r="H160" s="81" t="s">
        <v>224</v>
      </c>
      <c r="I160" s="81" t="s">
        <v>55</v>
      </c>
      <c r="J160" s="81" t="s">
        <v>224</v>
      </c>
      <c r="K160" s="81" t="str">
        <f>IFERROR(__xludf.DUMMYFUNCTION("IF(OR(D160="""",G160=""""),"""",IFERROR(LET(
campo,XLOOKUP(TRIM(G160),ARRAYFORMULA(TRIM('indice columnas'!$A$2:$A$100)),'indice columnas'!$B$2:$B$100,""""),
col,IFERROR(MATCH(campo,Referencia!$A$1:$AZ$1,0),0),
fila,IFERROR(MATCH(TO_TEXT(D160),ARRAYFORMULA"&amp;"(TO_TEXT(Referencia!$A$2:$A6238)),0),0),
IF(OR(campo="""",campo=""-""),""NO APLICA"",
IF(col=0,""REVISAR EQUIVALENCIA"",
IF(fila=0,""SKU NO ENCONTRADO"",
LET(
valor,INDEX(Referencia!$A$2:$AZ6238,fila,col),
IF(TRIM(TO_TEXT(valor))=TRIM(TO_TEXT(I160)),
""OK"&amp;""",
""NO COINCIDE. Valor verdadero: ""&amp;IF(valor="""",""[VACÍO]"",TO_TEXT(valor))
)
))))
),""ERROR EN FÓRMULA""))"),"OK")</f>
        <v>OK</v>
      </c>
    </row>
    <row r="161">
      <c r="A161" s="83" t="s">
        <v>4078</v>
      </c>
      <c r="B161" s="83" t="s">
        <v>4079</v>
      </c>
      <c r="C161" s="81" t="s">
        <v>4086</v>
      </c>
      <c r="D161" s="83" t="s">
        <v>4177</v>
      </c>
      <c r="E161" s="81" t="s">
        <v>660</v>
      </c>
      <c r="F161" s="84">
        <v>102.0</v>
      </c>
      <c r="G161" s="81" t="s">
        <v>44</v>
      </c>
      <c r="H161" s="81" t="s">
        <v>224</v>
      </c>
      <c r="I161" s="81" t="s">
        <v>655</v>
      </c>
      <c r="J161" s="81" t="s">
        <v>4088</v>
      </c>
      <c r="K161" s="81" t="str">
        <f>IFERROR(__xludf.DUMMYFUNCTION("IF(OR(D161="""",G161=""""),"""",IFERROR(LET(
campo,XLOOKUP(TRIM(G161),ARRAYFORMULA(TRIM('indice columnas'!$A$2:$A$100)),'indice columnas'!$B$2:$B$100,""""),
col,IFERROR(MATCH(campo,Referencia!$A$1:$AZ$1,0),0),
fila,IFERROR(MATCH(TO_TEXT(D161),ARRAYFORMULA"&amp;"(TO_TEXT(Referencia!$A$2:$A6238)),0),0),
IF(OR(campo="""",campo=""-""),""NO APLICA"",
IF(col=0,""REVISAR EQUIVALENCIA"",
IF(fila=0,""SKU NO ENCONTRADO"",
LET(
valor,INDEX(Referencia!$A$2:$AZ6238,fila,col),
IF(TRIM(TO_TEXT(valor))=TRIM(TO_TEXT(I161)),
""OK"&amp;""",
""NO COINCIDE. Valor verdadero: ""&amp;IF(valor="""",""[VACÍO]"",TO_TEXT(valor))
)
))))
),""ERROR EN FÓRMULA""))"),"NO APLICA")</f>
        <v>NO APLICA</v>
      </c>
    </row>
    <row r="162">
      <c r="A162" s="83" t="s">
        <v>4078</v>
      </c>
      <c r="B162" s="83" t="s">
        <v>4079</v>
      </c>
      <c r="C162" s="81" t="s">
        <v>4086</v>
      </c>
      <c r="D162" s="83" t="s">
        <v>4178</v>
      </c>
      <c r="E162" s="81" t="s">
        <v>661</v>
      </c>
      <c r="F162" s="84">
        <v>103.0</v>
      </c>
      <c r="G162" s="81" t="s">
        <v>12</v>
      </c>
      <c r="H162" s="81" t="s">
        <v>224</v>
      </c>
      <c r="I162" s="81" t="s">
        <v>55</v>
      </c>
      <c r="J162" s="81" t="s">
        <v>224</v>
      </c>
      <c r="K162" s="81" t="str">
        <f>IFERROR(__xludf.DUMMYFUNCTION("IF(OR(D162="""",G162=""""),"""",IFERROR(LET(
campo,XLOOKUP(TRIM(G162),ARRAYFORMULA(TRIM('indice columnas'!$A$2:$A$100)),'indice columnas'!$B$2:$B$100,""""),
col,IFERROR(MATCH(campo,Referencia!$A$1:$AZ$1,0),0),
fila,IFERROR(MATCH(TO_TEXT(D162),ARRAYFORMULA"&amp;"(TO_TEXT(Referencia!$A$2:$A6238)),0),0),
IF(OR(campo="""",campo=""-""),""NO APLICA"",
IF(col=0,""REVISAR EQUIVALENCIA"",
IF(fila=0,""SKU NO ENCONTRADO"",
LET(
valor,INDEX(Referencia!$A$2:$AZ6238,fila,col),
IF(TRIM(TO_TEXT(valor))=TRIM(TO_TEXT(I162)),
""OK"&amp;""",
""NO COINCIDE. Valor verdadero: ""&amp;IF(valor="""",""[VACÍO]"",TO_TEXT(valor))
)
))))
),""ERROR EN FÓRMULA""))"),"OK")</f>
        <v>OK</v>
      </c>
    </row>
    <row r="163">
      <c r="A163" s="83" t="s">
        <v>4078</v>
      </c>
      <c r="B163" s="83" t="s">
        <v>4079</v>
      </c>
      <c r="C163" s="81" t="s">
        <v>4086</v>
      </c>
      <c r="D163" s="83" t="s">
        <v>4178</v>
      </c>
      <c r="E163" s="81" t="s">
        <v>661</v>
      </c>
      <c r="F163" s="84">
        <v>103.0</v>
      </c>
      <c r="G163" s="81" t="s">
        <v>44</v>
      </c>
      <c r="H163" s="81" t="s">
        <v>224</v>
      </c>
      <c r="I163" s="81" t="s">
        <v>655</v>
      </c>
      <c r="J163" s="81" t="s">
        <v>4088</v>
      </c>
      <c r="K163" s="81" t="str">
        <f>IFERROR(__xludf.DUMMYFUNCTION("IF(OR(D163="""",G163=""""),"""",IFERROR(LET(
campo,XLOOKUP(TRIM(G163),ARRAYFORMULA(TRIM('indice columnas'!$A$2:$A$100)),'indice columnas'!$B$2:$B$100,""""),
col,IFERROR(MATCH(campo,Referencia!$A$1:$AZ$1,0),0),
fila,IFERROR(MATCH(TO_TEXT(D163),ARRAYFORMULA"&amp;"(TO_TEXT(Referencia!$A$2:$A6238)),0),0),
IF(OR(campo="""",campo=""-""),""NO APLICA"",
IF(col=0,""REVISAR EQUIVALENCIA"",
IF(fila=0,""SKU NO ENCONTRADO"",
LET(
valor,INDEX(Referencia!$A$2:$AZ6238,fila,col),
IF(TRIM(TO_TEXT(valor))=TRIM(TO_TEXT(I163)),
""OK"&amp;""",
""NO COINCIDE. Valor verdadero: ""&amp;IF(valor="""",""[VACÍO]"",TO_TEXT(valor))
)
))))
),""ERROR EN FÓRMULA""))"),"NO APLICA")</f>
        <v>NO APLICA</v>
      </c>
    </row>
    <row r="164">
      <c r="A164" s="83" t="s">
        <v>4078</v>
      </c>
      <c r="B164" s="83" t="s">
        <v>4079</v>
      </c>
      <c r="C164" s="81" t="s">
        <v>4086</v>
      </c>
      <c r="D164" s="83" t="s">
        <v>4179</v>
      </c>
      <c r="E164" s="81" t="s">
        <v>663</v>
      </c>
      <c r="F164" s="84">
        <v>104.0</v>
      </c>
      <c r="G164" s="81" t="s">
        <v>44</v>
      </c>
      <c r="H164" s="81" t="s">
        <v>224</v>
      </c>
      <c r="I164" s="81" t="s">
        <v>104</v>
      </c>
      <c r="J164" s="81" t="s">
        <v>4088</v>
      </c>
      <c r="K164" s="81" t="str">
        <f>IFERROR(__xludf.DUMMYFUNCTION("IF(OR(D164="""",G164=""""),"""",IFERROR(LET(
campo,XLOOKUP(TRIM(G164),ARRAYFORMULA(TRIM('indice columnas'!$A$2:$A$100)),'indice columnas'!$B$2:$B$100,""""),
col,IFERROR(MATCH(campo,Referencia!$A$1:$AZ$1,0),0),
fila,IFERROR(MATCH(TO_TEXT(D164),ARRAYFORMULA"&amp;"(TO_TEXT(Referencia!$A$2:$A6238)),0),0),
IF(OR(campo="""",campo=""-""),""NO APLICA"",
IF(col=0,""REVISAR EQUIVALENCIA"",
IF(fila=0,""SKU NO ENCONTRADO"",
LET(
valor,INDEX(Referencia!$A$2:$AZ6238,fila,col),
IF(TRIM(TO_TEXT(valor))=TRIM(TO_TEXT(I164)),
""OK"&amp;""",
""NO COINCIDE. Valor verdadero: ""&amp;IF(valor="""",""[VACÍO]"",TO_TEXT(valor))
)
))))
),""ERROR EN FÓRMULA""))"),"NO APLICA")</f>
        <v>NO APLICA</v>
      </c>
    </row>
    <row r="165">
      <c r="A165" s="83" t="s">
        <v>4078</v>
      </c>
      <c r="B165" s="83" t="s">
        <v>4079</v>
      </c>
      <c r="C165" s="81" t="s">
        <v>4086</v>
      </c>
      <c r="D165" s="83" t="s">
        <v>4180</v>
      </c>
      <c r="E165" s="81" t="s">
        <v>666</v>
      </c>
      <c r="F165" s="84">
        <v>105.0</v>
      </c>
      <c r="G165" s="81" t="s">
        <v>12</v>
      </c>
      <c r="H165" s="81" t="s">
        <v>224</v>
      </c>
      <c r="I165" s="81" t="s">
        <v>55</v>
      </c>
      <c r="J165" s="81" t="s">
        <v>224</v>
      </c>
      <c r="K165" s="81" t="str">
        <f>IFERROR(__xludf.DUMMYFUNCTION("IF(OR(D165="""",G165=""""),"""",IFERROR(LET(
campo,XLOOKUP(TRIM(G165),ARRAYFORMULA(TRIM('indice columnas'!$A$2:$A$100)),'indice columnas'!$B$2:$B$100,""""),
col,IFERROR(MATCH(campo,Referencia!$A$1:$AZ$1,0),0),
fila,IFERROR(MATCH(TO_TEXT(D165),ARRAYFORMULA"&amp;"(TO_TEXT(Referencia!$A$2:$A6238)),0),0),
IF(OR(campo="""",campo=""-""),""NO APLICA"",
IF(col=0,""REVISAR EQUIVALENCIA"",
IF(fila=0,""SKU NO ENCONTRADO"",
LET(
valor,INDEX(Referencia!$A$2:$AZ6238,fila,col),
IF(TRIM(TO_TEXT(valor))=TRIM(TO_TEXT(I165)),
""OK"&amp;""",
""NO COINCIDE. Valor verdadero: ""&amp;IF(valor="""",""[VACÍO]"",TO_TEXT(valor))
)
))))
),""ERROR EN FÓRMULA""))"),"OK")</f>
        <v>OK</v>
      </c>
    </row>
    <row r="166">
      <c r="A166" s="83" t="s">
        <v>4078</v>
      </c>
      <c r="B166" s="83" t="s">
        <v>4079</v>
      </c>
      <c r="C166" s="81" t="s">
        <v>4086</v>
      </c>
      <c r="D166" s="83" t="s">
        <v>4180</v>
      </c>
      <c r="E166" s="81" t="s">
        <v>666</v>
      </c>
      <c r="F166" s="84">
        <v>105.0</v>
      </c>
      <c r="G166" s="81" t="s">
        <v>44</v>
      </c>
      <c r="H166" s="81" t="s">
        <v>224</v>
      </c>
      <c r="I166" s="81" t="s">
        <v>556</v>
      </c>
      <c r="J166" s="81" t="s">
        <v>4088</v>
      </c>
      <c r="K166" s="81" t="str">
        <f>IFERROR(__xludf.DUMMYFUNCTION("IF(OR(D166="""",G166=""""),"""",IFERROR(LET(
campo,XLOOKUP(TRIM(G166),ARRAYFORMULA(TRIM('indice columnas'!$A$2:$A$100)),'indice columnas'!$B$2:$B$100,""""),
col,IFERROR(MATCH(campo,Referencia!$A$1:$AZ$1,0),0),
fila,IFERROR(MATCH(TO_TEXT(D166),ARRAYFORMULA"&amp;"(TO_TEXT(Referencia!$A$2:$A6238)),0),0),
IF(OR(campo="""",campo=""-""),""NO APLICA"",
IF(col=0,""REVISAR EQUIVALENCIA"",
IF(fila=0,""SKU NO ENCONTRADO"",
LET(
valor,INDEX(Referencia!$A$2:$AZ6238,fila,col),
IF(TRIM(TO_TEXT(valor))=TRIM(TO_TEXT(I166)),
""OK"&amp;""",
""NO COINCIDE. Valor verdadero: ""&amp;IF(valor="""",""[VACÍO]"",TO_TEXT(valor))
)
))))
),""ERROR EN FÓRMULA""))"),"NO APLICA")</f>
        <v>NO APLICA</v>
      </c>
    </row>
    <row r="167">
      <c r="A167" s="83" t="s">
        <v>4078</v>
      </c>
      <c r="B167" s="83" t="s">
        <v>4079</v>
      </c>
      <c r="C167" s="81" t="s">
        <v>4086</v>
      </c>
      <c r="D167" s="83" t="s">
        <v>4181</v>
      </c>
      <c r="E167" s="81" t="s">
        <v>671</v>
      </c>
      <c r="F167" s="84">
        <v>106.0</v>
      </c>
      <c r="G167" s="81" t="s">
        <v>12</v>
      </c>
      <c r="H167" s="81" t="s">
        <v>224</v>
      </c>
      <c r="I167" s="81" t="s">
        <v>55</v>
      </c>
      <c r="J167" s="81" t="s">
        <v>224</v>
      </c>
      <c r="K167" s="81" t="str">
        <f>IFERROR(__xludf.DUMMYFUNCTION("IF(OR(D167="""",G167=""""),"""",IFERROR(LET(
campo,XLOOKUP(TRIM(G167),ARRAYFORMULA(TRIM('indice columnas'!$A$2:$A$100)),'indice columnas'!$B$2:$B$100,""""),
col,IFERROR(MATCH(campo,Referencia!$A$1:$AZ$1,0),0),
fila,IFERROR(MATCH(TO_TEXT(D167),ARRAYFORMULA"&amp;"(TO_TEXT(Referencia!$A$2:$A6238)),0),0),
IF(OR(campo="""",campo=""-""),""NO APLICA"",
IF(col=0,""REVISAR EQUIVALENCIA"",
IF(fila=0,""SKU NO ENCONTRADO"",
LET(
valor,INDEX(Referencia!$A$2:$AZ6238,fila,col),
IF(TRIM(TO_TEXT(valor))=TRIM(TO_TEXT(I167)),
""OK"&amp;""",
""NO COINCIDE. Valor verdadero: ""&amp;IF(valor="""",""[VACÍO]"",TO_TEXT(valor))
)
))))
),""ERROR EN FÓRMULA""))"),"OK")</f>
        <v>OK</v>
      </c>
    </row>
    <row r="168">
      <c r="A168" s="83" t="s">
        <v>4078</v>
      </c>
      <c r="B168" s="83" t="s">
        <v>4079</v>
      </c>
      <c r="C168" s="81" t="s">
        <v>4086</v>
      </c>
      <c r="D168" s="83" t="s">
        <v>4181</v>
      </c>
      <c r="E168" s="81" t="s">
        <v>671</v>
      </c>
      <c r="F168" s="84">
        <v>106.0</v>
      </c>
      <c r="G168" s="81" t="s">
        <v>44</v>
      </c>
      <c r="H168" s="81" t="s">
        <v>224</v>
      </c>
      <c r="I168" s="81" t="s">
        <v>556</v>
      </c>
      <c r="J168" s="81" t="s">
        <v>4088</v>
      </c>
      <c r="K168" s="81" t="str">
        <f>IFERROR(__xludf.DUMMYFUNCTION("IF(OR(D168="""",G168=""""),"""",IFERROR(LET(
campo,XLOOKUP(TRIM(G168),ARRAYFORMULA(TRIM('indice columnas'!$A$2:$A$100)),'indice columnas'!$B$2:$B$100,""""),
col,IFERROR(MATCH(campo,Referencia!$A$1:$AZ$1,0),0),
fila,IFERROR(MATCH(TO_TEXT(D168),ARRAYFORMULA"&amp;"(TO_TEXT(Referencia!$A$2:$A6238)),0),0),
IF(OR(campo="""",campo=""-""),""NO APLICA"",
IF(col=0,""REVISAR EQUIVALENCIA"",
IF(fila=0,""SKU NO ENCONTRADO"",
LET(
valor,INDEX(Referencia!$A$2:$AZ6238,fila,col),
IF(TRIM(TO_TEXT(valor))=TRIM(TO_TEXT(I168)),
""OK"&amp;""",
""NO COINCIDE. Valor verdadero: ""&amp;IF(valor="""",""[VACÍO]"",TO_TEXT(valor))
)
))))
),""ERROR EN FÓRMULA""))"),"NO APLICA")</f>
        <v>NO APLICA</v>
      </c>
    </row>
    <row r="169">
      <c r="A169" s="83" t="s">
        <v>4078</v>
      </c>
      <c r="B169" s="83" t="s">
        <v>4079</v>
      </c>
      <c r="C169" s="81" t="s">
        <v>4086</v>
      </c>
      <c r="D169" s="83" t="s">
        <v>4182</v>
      </c>
      <c r="E169" s="81" t="s">
        <v>673</v>
      </c>
      <c r="F169" s="84">
        <v>107.0</v>
      </c>
      <c r="G169" s="81" t="s">
        <v>12</v>
      </c>
      <c r="H169" s="81" t="s">
        <v>224</v>
      </c>
      <c r="I169" s="81" t="s">
        <v>55</v>
      </c>
      <c r="J169" s="81" t="s">
        <v>224</v>
      </c>
      <c r="K169" s="81" t="str">
        <f>IFERROR(__xludf.DUMMYFUNCTION("IF(OR(D169="""",G169=""""),"""",IFERROR(LET(
campo,XLOOKUP(TRIM(G169),ARRAYFORMULA(TRIM('indice columnas'!$A$2:$A$100)),'indice columnas'!$B$2:$B$100,""""),
col,IFERROR(MATCH(campo,Referencia!$A$1:$AZ$1,0),0),
fila,IFERROR(MATCH(TO_TEXT(D169),ARRAYFORMULA"&amp;"(TO_TEXT(Referencia!$A$2:$A6238)),0),0),
IF(OR(campo="""",campo=""-""),""NO APLICA"",
IF(col=0,""REVISAR EQUIVALENCIA"",
IF(fila=0,""SKU NO ENCONTRADO"",
LET(
valor,INDEX(Referencia!$A$2:$AZ6238,fila,col),
IF(TRIM(TO_TEXT(valor))=TRIM(TO_TEXT(I169)),
""OK"&amp;""",
""NO COINCIDE. Valor verdadero: ""&amp;IF(valor="""",""[VACÍO]"",TO_TEXT(valor))
)
))))
),""ERROR EN FÓRMULA""))"),"OK")</f>
        <v>OK</v>
      </c>
    </row>
    <row r="170">
      <c r="A170" s="83" t="s">
        <v>4078</v>
      </c>
      <c r="B170" s="83" t="s">
        <v>4079</v>
      </c>
      <c r="C170" s="81" t="s">
        <v>4086</v>
      </c>
      <c r="D170" s="83" t="s">
        <v>4182</v>
      </c>
      <c r="E170" s="81" t="s">
        <v>673</v>
      </c>
      <c r="F170" s="84">
        <v>107.0</v>
      </c>
      <c r="G170" s="81" t="s">
        <v>44</v>
      </c>
      <c r="H170" s="81" t="s">
        <v>224</v>
      </c>
      <c r="I170" s="81" t="s">
        <v>632</v>
      </c>
      <c r="J170" s="81" t="s">
        <v>4088</v>
      </c>
      <c r="K170" s="81" t="str">
        <f>IFERROR(__xludf.DUMMYFUNCTION("IF(OR(D170="""",G170=""""),"""",IFERROR(LET(
campo,XLOOKUP(TRIM(G170),ARRAYFORMULA(TRIM('indice columnas'!$A$2:$A$100)),'indice columnas'!$B$2:$B$100,""""),
col,IFERROR(MATCH(campo,Referencia!$A$1:$AZ$1,0),0),
fila,IFERROR(MATCH(TO_TEXT(D170),ARRAYFORMULA"&amp;"(TO_TEXT(Referencia!$A$2:$A6238)),0),0),
IF(OR(campo="""",campo=""-""),""NO APLICA"",
IF(col=0,""REVISAR EQUIVALENCIA"",
IF(fila=0,""SKU NO ENCONTRADO"",
LET(
valor,INDEX(Referencia!$A$2:$AZ6238,fila,col),
IF(TRIM(TO_TEXT(valor))=TRIM(TO_TEXT(I170)),
""OK"&amp;""",
""NO COINCIDE. Valor verdadero: ""&amp;IF(valor="""",""[VACÍO]"",TO_TEXT(valor))
)
))))
),""ERROR EN FÓRMULA""))"),"NO APLICA")</f>
        <v>NO APLICA</v>
      </c>
    </row>
    <row r="171">
      <c r="A171" s="83" t="s">
        <v>4078</v>
      </c>
      <c r="B171" s="83" t="s">
        <v>4079</v>
      </c>
      <c r="C171" s="81" t="s">
        <v>4086</v>
      </c>
      <c r="D171" s="83" t="s">
        <v>4183</v>
      </c>
      <c r="E171" s="81" t="s">
        <v>675</v>
      </c>
      <c r="F171" s="84">
        <v>108.0</v>
      </c>
      <c r="G171" s="81" t="s">
        <v>44</v>
      </c>
      <c r="H171" s="81" t="s">
        <v>224</v>
      </c>
      <c r="I171" s="81" t="s">
        <v>675</v>
      </c>
      <c r="J171" s="81" t="s">
        <v>4088</v>
      </c>
      <c r="K171" s="81" t="str">
        <f>IFERROR(__xludf.DUMMYFUNCTION("IF(OR(D171="""",G171=""""),"""",IFERROR(LET(
campo,XLOOKUP(TRIM(G171),ARRAYFORMULA(TRIM('indice columnas'!$A$2:$A$100)),'indice columnas'!$B$2:$B$100,""""),
col,IFERROR(MATCH(campo,Referencia!$A$1:$AZ$1,0),0),
fila,IFERROR(MATCH(TO_TEXT(D171),ARRAYFORMULA"&amp;"(TO_TEXT(Referencia!$A$2:$A6238)),0),0),
IF(OR(campo="""",campo=""-""),""NO APLICA"",
IF(col=0,""REVISAR EQUIVALENCIA"",
IF(fila=0,""SKU NO ENCONTRADO"",
LET(
valor,INDEX(Referencia!$A$2:$AZ6238,fila,col),
IF(TRIM(TO_TEXT(valor))=TRIM(TO_TEXT(I171)),
""OK"&amp;""",
""NO COINCIDE. Valor verdadero: ""&amp;IF(valor="""",""[VACÍO]"",TO_TEXT(valor))
)
))))
),""ERROR EN FÓRMULA""))"),"NO APLICA")</f>
        <v>NO APLICA</v>
      </c>
    </row>
    <row r="172">
      <c r="A172" s="83" t="s">
        <v>4078</v>
      </c>
      <c r="B172" s="83" t="s">
        <v>4079</v>
      </c>
      <c r="C172" s="81" t="s">
        <v>4086</v>
      </c>
      <c r="D172" s="83" t="s">
        <v>4183</v>
      </c>
      <c r="E172" s="81" t="s">
        <v>681</v>
      </c>
      <c r="F172" s="84">
        <v>109.0</v>
      </c>
      <c r="G172" s="81" t="s">
        <v>12</v>
      </c>
      <c r="H172" s="81" t="s">
        <v>224</v>
      </c>
      <c r="I172" s="81" t="s">
        <v>55</v>
      </c>
      <c r="J172" s="81" t="s">
        <v>224</v>
      </c>
      <c r="K172" s="81" t="str">
        <f>IFERROR(__xludf.DUMMYFUNCTION("IF(OR(D172="""",G172=""""),"""",IFERROR(LET(
campo,XLOOKUP(TRIM(G172),ARRAYFORMULA(TRIM('indice columnas'!$A$2:$A$100)),'indice columnas'!$B$2:$B$100,""""),
col,IFERROR(MATCH(campo,Referencia!$A$1:$AZ$1,0),0),
fila,IFERROR(MATCH(TO_TEXT(D172),ARRAYFORMULA"&amp;"(TO_TEXT(Referencia!$A$2:$A6238)),0),0),
IF(OR(campo="""",campo=""-""),""NO APLICA"",
IF(col=0,""REVISAR EQUIVALENCIA"",
IF(fila=0,""SKU NO ENCONTRADO"",
LET(
valor,INDEX(Referencia!$A$2:$AZ6238,fila,col),
IF(TRIM(TO_TEXT(valor))=TRIM(TO_TEXT(I172)),
""OK"&amp;""",
""NO COINCIDE. Valor verdadero: ""&amp;IF(valor="""",""[VACÍO]"",TO_TEXT(valor))
)
))))
),""ERROR EN FÓRMULA""))"),"OK")</f>
        <v>OK</v>
      </c>
    </row>
    <row r="173">
      <c r="A173" s="83" t="s">
        <v>4078</v>
      </c>
      <c r="B173" s="83" t="s">
        <v>4079</v>
      </c>
      <c r="C173" s="81" t="s">
        <v>4086</v>
      </c>
      <c r="D173" s="83" t="s">
        <v>4183</v>
      </c>
      <c r="E173" s="81" t="s">
        <v>681</v>
      </c>
      <c r="F173" s="84">
        <v>109.0</v>
      </c>
      <c r="G173" s="81" t="s">
        <v>44</v>
      </c>
      <c r="H173" s="81" t="s">
        <v>224</v>
      </c>
      <c r="I173" s="81" t="s">
        <v>675</v>
      </c>
      <c r="J173" s="81" t="s">
        <v>4088</v>
      </c>
      <c r="K173" s="81" t="str">
        <f>IFERROR(__xludf.DUMMYFUNCTION("IF(OR(D173="""",G173=""""),"""",IFERROR(LET(
campo,XLOOKUP(TRIM(G173),ARRAYFORMULA(TRIM('indice columnas'!$A$2:$A$100)),'indice columnas'!$B$2:$B$100,""""),
col,IFERROR(MATCH(campo,Referencia!$A$1:$AZ$1,0),0),
fila,IFERROR(MATCH(TO_TEXT(D173),ARRAYFORMULA"&amp;"(TO_TEXT(Referencia!$A$2:$A6238)),0),0),
IF(OR(campo="""",campo=""-""),""NO APLICA"",
IF(col=0,""REVISAR EQUIVALENCIA"",
IF(fila=0,""SKU NO ENCONTRADO"",
LET(
valor,INDEX(Referencia!$A$2:$AZ6238,fila,col),
IF(TRIM(TO_TEXT(valor))=TRIM(TO_TEXT(I173)),
""OK"&amp;""",
""NO COINCIDE. Valor verdadero: ""&amp;IF(valor="""",""[VACÍO]"",TO_TEXT(valor))
)
))))
),""ERROR EN FÓRMULA""))"),"NO APLICA")</f>
        <v>NO APLICA</v>
      </c>
    </row>
    <row r="174">
      <c r="A174" s="83" t="s">
        <v>4078</v>
      </c>
      <c r="B174" s="83" t="s">
        <v>4079</v>
      </c>
      <c r="C174" s="81" t="s">
        <v>4086</v>
      </c>
      <c r="D174" s="83" t="s">
        <v>4184</v>
      </c>
      <c r="E174" s="81" t="s">
        <v>683</v>
      </c>
      <c r="F174" s="84">
        <v>110.0</v>
      </c>
      <c r="G174" s="81" t="s">
        <v>12</v>
      </c>
      <c r="H174" s="81" t="s">
        <v>224</v>
      </c>
      <c r="I174" s="81" t="s">
        <v>55</v>
      </c>
      <c r="J174" s="81" t="s">
        <v>224</v>
      </c>
      <c r="K174" s="81" t="str">
        <f>IFERROR(__xludf.DUMMYFUNCTION("IF(OR(D174="""",G174=""""),"""",IFERROR(LET(
campo,XLOOKUP(TRIM(G174),ARRAYFORMULA(TRIM('indice columnas'!$A$2:$A$100)),'indice columnas'!$B$2:$B$100,""""),
col,IFERROR(MATCH(campo,Referencia!$A$1:$AZ$1,0),0),
fila,IFERROR(MATCH(TO_TEXT(D174),ARRAYFORMULA"&amp;"(TO_TEXT(Referencia!$A$2:$A6238)),0),0),
IF(OR(campo="""",campo=""-""),""NO APLICA"",
IF(col=0,""REVISAR EQUIVALENCIA"",
IF(fila=0,""SKU NO ENCONTRADO"",
LET(
valor,INDEX(Referencia!$A$2:$AZ6238,fila,col),
IF(TRIM(TO_TEXT(valor))=TRIM(TO_TEXT(I174)),
""OK"&amp;""",
""NO COINCIDE. Valor verdadero: ""&amp;IF(valor="""",""[VACÍO]"",TO_TEXT(valor))
)
))))
),""ERROR EN FÓRMULA""))"),"OK")</f>
        <v>OK</v>
      </c>
    </row>
    <row r="175">
      <c r="A175" s="83" t="s">
        <v>4078</v>
      </c>
      <c r="B175" s="83" t="s">
        <v>4079</v>
      </c>
      <c r="C175" s="81" t="s">
        <v>4086</v>
      </c>
      <c r="D175" s="83" t="s">
        <v>4184</v>
      </c>
      <c r="E175" s="81" t="s">
        <v>683</v>
      </c>
      <c r="F175" s="84">
        <v>110.0</v>
      </c>
      <c r="G175" s="81" t="s">
        <v>44</v>
      </c>
      <c r="H175" s="81" t="s">
        <v>224</v>
      </c>
      <c r="I175" s="81" t="s">
        <v>675</v>
      </c>
      <c r="J175" s="81" t="s">
        <v>4088</v>
      </c>
      <c r="K175" s="81" t="str">
        <f>IFERROR(__xludf.DUMMYFUNCTION("IF(OR(D175="""",G175=""""),"""",IFERROR(LET(
campo,XLOOKUP(TRIM(G175),ARRAYFORMULA(TRIM('indice columnas'!$A$2:$A$100)),'indice columnas'!$B$2:$B$100,""""),
col,IFERROR(MATCH(campo,Referencia!$A$1:$AZ$1,0),0),
fila,IFERROR(MATCH(TO_TEXT(D175),ARRAYFORMULA"&amp;"(TO_TEXT(Referencia!$A$2:$A6238)),0),0),
IF(OR(campo="""",campo=""-""),""NO APLICA"",
IF(col=0,""REVISAR EQUIVALENCIA"",
IF(fila=0,""SKU NO ENCONTRADO"",
LET(
valor,INDEX(Referencia!$A$2:$AZ6238,fila,col),
IF(TRIM(TO_TEXT(valor))=TRIM(TO_TEXT(I175)),
""OK"&amp;""",
""NO COINCIDE. Valor verdadero: ""&amp;IF(valor="""",""[VACÍO]"",TO_TEXT(valor))
)
))))
),""ERROR EN FÓRMULA""))"),"NO APLICA")</f>
        <v>NO APLICA</v>
      </c>
    </row>
    <row r="176">
      <c r="A176" s="83" t="s">
        <v>4078</v>
      </c>
      <c r="B176" s="83" t="s">
        <v>4079</v>
      </c>
      <c r="C176" s="81" t="s">
        <v>4086</v>
      </c>
      <c r="D176" s="83" t="s">
        <v>4185</v>
      </c>
      <c r="E176" s="81" t="s">
        <v>685</v>
      </c>
      <c r="F176" s="84">
        <v>111.0</v>
      </c>
      <c r="G176" s="81" t="s">
        <v>44</v>
      </c>
      <c r="H176" s="81" t="s">
        <v>224</v>
      </c>
      <c r="I176" s="81" t="s">
        <v>685</v>
      </c>
      <c r="J176" s="81" t="s">
        <v>4088</v>
      </c>
      <c r="K176" s="81" t="str">
        <f>IFERROR(__xludf.DUMMYFUNCTION("IF(OR(D176="""",G176=""""),"""",IFERROR(LET(
campo,XLOOKUP(TRIM(G176),ARRAYFORMULA(TRIM('indice columnas'!$A$2:$A$100)),'indice columnas'!$B$2:$B$100,""""),
col,IFERROR(MATCH(campo,Referencia!$A$1:$AZ$1,0),0),
fila,IFERROR(MATCH(TO_TEXT(D176),ARRAYFORMULA"&amp;"(TO_TEXT(Referencia!$A$2:$A6238)),0),0),
IF(OR(campo="""",campo=""-""),""NO APLICA"",
IF(col=0,""REVISAR EQUIVALENCIA"",
IF(fila=0,""SKU NO ENCONTRADO"",
LET(
valor,INDEX(Referencia!$A$2:$AZ6238,fila,col),
IF(TRIM(TO_TEXT(valor))=TRIM(TO_TEXT(I176)),
""OK"&amp;""",
""NO COINCIDE. Valor verdadero: ""&amp;IF(valor="""",""[VACÍO]"",TO_TEXT(valor))
)
))))
),""ERROR EN FÓRMULA""))"),"NO APLICA")</f>
        <v>NO APLICA</v>
      </c>
    </row>
    <row r="177">
      <c r="A177" s="83" t="s">
        <v>4078</v>
      </c>
      <c r="B177" s="83" t="s">
        <v>4079</v>
      </c>
      <c r="C177" s="81" t="s">
        <v>4086</v>
      </c>
      <c r="D177" s="83" t="s">
        <v>4185</v>
      </c>
      <c r="E177" s="81" t="s">
        <v>690</v>
      </c>
      <c r="F177" s="84">
        <v>112.0</v>
      </c>
      <c r="G177" s="81" t="s">
        <v>12</v>
      </c>
      <c r="H177" s="81" t="s">
        <v>224</v>
      </c>
      <c r="I177" s="81" t="s">
        <v>55</v>
      </c>
      <c r="J177" s="81" t="s">
        <v>224</v>
      </c>
      <c r="K177" s="81" t="str">
        <f>IFERROR(__xludf.DUMMYFUNCTION("IF(OR(D177="""",G177=""""),"""",IFERROR(LET(
campo,XLOOKUP(TRIM(G177),ARRAYFORMULA(TRIM('indice columnas'!$A$2:$A$100)),'indice columnas'!$B$2:$B$100,""""),
col,IFERROR(MATCH(campo,Referencia!$A$1:$AZ$1,0),0),
fila,IFERROR(MATCH(TO_TEXT(D177),ARRAYFORMULA"&amp;"(TO_TEXT(Referencia!$A$2:$A6238)),0),0),
IF(OR(campo="""",campo=""-""),""NO APLICA"",
IF(col=0,""REVISAR EQUIVALENCIA"",
IF(fila=0,""SKU NO ENCONTRADO"",
LET(
valor,INDEX(Referencia!$A$2:$AZ6238,fila,col),
IF(TRIM(TO_TEXT(valor))=TRIM(TO_TEXT(I177)),
""OK"&amp;""",
""NO COINCIDE. Valor verdadero: ""&amp;IF(valor="""",""[VACÍO]"",TO_TEXT(valor))
)
))))
),""ERROR EN FÓRMULA""))"),"OK")</f>
        <v>OK</v>
      </c>
    </row>
    <row r="178">
      <c r="A178" s="83" t="s">
        <v>4078</v>
      </c>
      <c r="B178" s="83" t="s">
        <v>4079</v>
      </c>
      <c r="C178" s="81" t="s">
        <v>4086</v>
      </c>
      <c r="D178" s="83" t="s">
        <v>4185</v>
      </c>
      <c r="E178" s="81" t="s">
        <v>690</v>
      </c>
      <c r="F178" s="84">
        <v>112.0</v>
      </c>
      <c r="G178" s="81" t="s">
        <v>44</v>
      </c>
      <c r="H178" s="81" t="s">
        <v>224</v>
      </c>
      <c r="I178" s="81" t="s">
        <v>685</v>
      </c>
      <c r="J178" s="81" t="s">
        <v>4088</v>
      </c>
      <c r="K178" s="81" t="str">
        <f>IFERROR(__xludf.DUMMYFUNCTION("IF(OR(D178="""",G178=""""),"""",IFERROR(LET(
campo,XLOOKUP(TRIM(G178),ARRAYFORMULA(TRIM('indice columnas'!$A$2:$A$100)),'indice columnas'!$B$2:$B$100,""""),
col,IFERROR(MATCH(campo,Referencia!$A$1:$AZ$1,0),0),
fila,IFERROR(MATCH(TO_TEXT(D178),ARRAYFORMULA"&amp;"(TO_TEXT(Referencia!$A$2:$A6238)),0),0),
IF(OR(campo="""",campo=""-""),""NO APLICA"",
IF(col=0,""REVISAR EQUIVALENCIA"",
IF(fila=0,""SKU NO ENCONTRADO"",
LET(
valor,INDEX(Referencia!$A$2:$AZ6238,fila,col),
IF(TRIM(TO_TEXT(valor))=TRIM(TO_TEXT(I178)),
""OK"&amp;""",
""NO COINCIDE. Valor verdadero: ""&amp;IF(valor="""",""[VACÍO]"",TO_TEXT(valor))
)
))))
),""ERROR EN FÓRMULA""))"),"NO APLICA")</f>
        <v>NO APLICA</v>
      </c>
    </row>
    <row r="179">
      <c r="A179" s="83" t="s">
        <v>4078</v>
      </c>
      <c r="B179" s="83" t="s">
        <v>4079</v>
      </c>
      <c r="C179" s="81" t="s">
        <v>4086</v>
      </c>
      <c r="D179" s="83" t="s">
        <v>4186</v>
      </c>
      <c r="E179" s="81" t="s">
        <v>691</v>
      </c>
      <c r="F179" s="84">
        <v>113.0</v>
      </c>
      <c r="G179" s="81" t="s">
        <v>12</v>
      </c>
      <c r="H179" s="81" t="s">
        <v>224</v>
      </c>
      <c r="I179" s="81" t="s">
        <v>55</v>
      </c>
      <c r="J179" s="81" t="s">
        <v>224</v>
      </c>
      <c r="K179" s="81" t="str">
        <f>IFERROR(__xludf.DUMMYFUNCTION("IF(OR(D179="""",G179=""""),"""",IFERROR(LET(
campo,XLOOKUP(TRIM(G179),ARRAYFORMULA(TRIM('indice columnas'!$A$2:$A$100)),'indice columnas'!$B$2:$B$100,""""),
col,IFERROR(MATCH(campo,Referencia!$A$1:$AZ$1,0),0),
fila,IFERROR(MATCH(TO_TEXT(D179),ARRAYFORMULA"&amp;"(TO_TEXT(Referencia!$A$2:$A6238)),0),0),
IF(OR(campo="""",campo=""-""),""NO APLICA"",
IF(col=0,""REVISAR EQUIVALENCIA"",
IF(fila=0,""SKU NO ENCONTRADO"",
LET(
valor,INDEX(Referencia!$A$2:$AZ6238,fila,col),
IF(TRIM(TO_TEXT(valor))=TRIM(TO_TEXT(I179)),
""OK"&amp;""",
""NO COINCIDE. Valor verdadero: ""&amp;IF(valor="""",""[VACÍO]"",TO_TEXT(valor))
)
))))
),""ERROR EN FÓRMULA""))"),"OK")</f>
        <v>OK</v>
      </c>
    </row>
    <row r="180">
      <c r="A180" s="83" t="s">
        <v>4078</v>
      </c>
      <c r="B180" s="83" t="s">
        <v>4079</v>
      </c>
      <c r="C180" s="81" t="s">
        <v>4086</v>
      </c>
      <c r="D180" s="83" t="s">
        <v>4186</v>
      </c>
      <c r="E180" s="81" t="s">
        <v>691</v>
      </c>
      <c r="F180" s="84">
        <v>113.0</v>
      </c>
      <c r="G180" s="81" t="s">
        <v>44</v>
      </c>
      <c r="H180" s="81" t="s">
        <v>224</v>
      </c>
      <c r="I180" s="81" t="s">
        <v>685</v>
      </c>
      <c r="J180" s="81" t="s">
        <v>4088</v>
      </c>
      <c r="K180" s="81" t="str">
        <f>IFERROR(__xludf.DUMMYFUNCTION("IF(OR(D180="""",G180=""""),"""",IFERROR(LET(
campo,XLOOKUP(TRIM(G180),ARRAYFORMULA(TRIM('indice columnas'!$A$2:$A$100)),'indice columnas'!$B$2:$B$100,""""),
col,IFERROR(MATCH(campo,Referencia!$A$1:$AZ$1,0),0),
fila,IFERROR(MATCH(TO_TEXT(D180),ARRAYFORMULA"&amp;"(TO_TEXT(Referencia!$A$2:$A6238)),0),0),
IF(OR(campo="""",campo=""-""),""NO APLICA"",
IF(col=0,""REVISAR EQUIVALENCIA"",
IF(fila=0,""SKU NO ENCONTRADO"",
LET(
valor,INDEX(Referencia!$A$2:$AZ6238,fila,col),
IF(TRIM(TO_TEXT(valor))=TRIM(TO_TEXT(I180)),
""OK"&amp;""",
""NO COINCIDE. Valor verdadero: ""&amp;IF(valor="""",""[VACÍO]"",TO_TEXT(valor))
)
))))
),""ERROR EN FÓRMULA""))"),"NO APLICA")</f>
        <v>NO APLICA</v>
      </c>
    </row>
    <row r="181">
      <c r="A181" s="83" t="s">
        <v>4078</v>
      </c>
      <c r="B181" s="83" t="s">
        <v>4079</v>
      </c>
      <c r="C181" s="81" t="s">
        <v>4086</v>
      </c>
      <c r="D181" s="83" t="s">
        <v>4187</v>
      </c>
      <c r="E181" s="81" t="s">
        <v>693</v>
      </c>
      <c r="F181" s="84">
        <v>114.0</v>
      </c>
      <c r="G181" s="81" t="s">
        <v>44</v>
      </c>
      <c r="H181" s="81" t="s">
        <v>224</v>
      </c>
      <c r="I181" s="81" t="s">
        <v>693</v>
      </c>
      <c r="J181" s="81" t="s">
        <v>4088</v>
      </c>
      <c r="K181" s="81" t="str">
        <f>IFERROR(__xludf.DUMMYFUNCTION("IF(OR(D181="""",G181=""""),"""",IFERROR(LET(
campo,XLOOKUP(TRIM(G181),ARRAYFORMULA(TRIM('indice columnas'!$A$2:$A$100)),'indice columnas'!$B$2:$B$100,""""),
col,IFERROR(MATCH(campo,Referencia!$A$1:$AZ$1,0),0),
fila,IFERROR(MATCH(TO_TEXT(D181),ARRAYFORMULA"&amp;"(TO_TEXT(Referencia!$A$2:$A6238)),0),0),
IF(OR(campo="""",campo=""-""),""NO APLICA"",
IF(col=0,""REVISAR EQUIVALENCIA"",
IF(fila=0,""SKU NO ENCONTRADO"",
LET(
valor,INDEX(Referencia!$A$2:$AZ6238,fila,col),
IF(TRIM(TO_TEXT(valor))=TRIM(TO_TEXT(I181)),
""OK"&amp;""",
""NO COINCIDE. Valor verdadero: ""&amp;IF(valor="""",""[VACÍO]"",TO_TEXT(valor))
)
))))
),""ERROR EN FÓRMULA""))"),"NO APLICA")</f>
        <v>NO APLICA</v>
      </c>
    </row>
    <row r="182">
      <c r="A182" s="83" t="s">
        <v>4078</v>
      </c>
      <c r="B182" s="83" t="s">
        <v>4079</v>
      </c>
      <c r="C182" s="81" t="s">
        <v>4086</v>
      </c>
      <c r="D182" s="83" t="s">
        <v>4187</v>
      </c>
      <c r="E182" s="81" t="s">
        <v>700</v>
      </c>
      <c r="F182" s="84">
        <v>115.0</v>
      </c>
      <c r="G182" s="81" t="s">
        <v>12</v>
      </c>
      <c r="H182" s="81" t="s">
        <v>224</v>
      </c>
      <c r="I182" s="81" t="s">
        <v>55</v>
      </c>
      <c r="J182" s="81" t="s">
        <v>224</v>
      </c>
      <c r="K182" s="81" t="str">
        <f>IFERROR(__xludf.DUMMYFUNCTION("IF(OR(D182="""",G182=""""),"""",IFERROR(LET(
campo,XLOOKUP(TRIM(G182),ARRAYFORMULA(TRIM('indice columnas'!$A$2:$A$100)),'indice columnas'!$B$2:$B$100,""""),
col,IFERROR(MATCH(campo,Referencia!$A$1:$AZ$1,0),0),
fila,IFERROR(MATCH(TO_TEXT(D182),ARRAYFORMULA"&amp;"(TO_TEXT(Referencia!$A$2:$A6238)),0),0),
IF(OR(campo="""",campo=""-""),""NO APLICA"",
IF(col=0,""REVISAR EQUIVALENCIA"",
IF(fila=0,""SKU NO ENCONTRADO"",
LET(
valor,INDEX(Referencia!$A$2:$AZ6238,fila,col),
IF(TRIM(TO_TEXT(valor))=TRIM(TO_TEXT(I182)),
""OK"&amp;""",
""NO COINCIDE. Valor verdadero: ""&amp;IF(valor="""",""[VACÍO]"",TO_TEXT(valor))
)
))))
),""ERROR EN FÓRMULA""))"),"OK")</f>
        <v>OK</v>
      </c>
    </row>
    <row r="183">
      <c r="A183" s="83" t="s">
        <v>4078</v>
      </c>
      <c r="B183" s="83" t="s">
        <v>4079</v>
      </c>
      <c r="C183" s="81" t="s">
        <v>4086</v>
      </c>
      <c r="D183" s="83" t="s">
        <v>4187</v>
      </c>
      <c r="E183" s="81" t="s">
        <v>700</v>
      </c>
      <c r="F183" s="84">
        <v>115.0</v>
      </c>
      <c r="G183" s="81" t="s">
        <v>44</v>
      </c>
      <c r="H183" s="81" t="s">
        <v>224</v>
      </c>
      <c r="I183" s="81" t="s">
        <v>693</v>
      </c>
      <c r="J183" s="81" t="s">
        <v>4088</v>
      </c>
      <c r="K183" s="81" t="str">
        <f>IFERROR(__xludf.DUMMYFUNCTION("IF(OR(D183="""",G183=""""),"""",IFERROR(LET(
campo,XLOOKUP(TRIM(G183),ARRAYFORMULA(TRIM('indice columnas'!$A$2:$A$100)),'indice columnas'!$B$2:$B$100,""""),
col,IFERROR(MATCH(campo,Referencia!$A$1:$AZ$1,0),0),
fila,IFERROR(MATCH(TO_TEXT(D183),ARRAYFORMULA"&amp;"(TO_TEXT(Referencia!$A$2:$A6238)),0),0),
IF(OR(campo="""",campo=""-""),""NO APLICA"",
IF(col=0,""REVISAR EQUIVALENCIA"",
IF(fila=0,""SKU NO ENCONTRADO"",
LET(
valor,INDEX(Referencia!$A$2:$AZ6238,fila,col),
IF(TRIM(TO_TEXT(valor))=TRIM(TO_TEXT(I183)),
""OK"&amp;""",
""NO COINCIDE. Valor verdadero: ""&amp;IF(valor="""",""[VACÍO]"",TO_TEXT(valor))
)
))))
),""ERROR EN FÓRMULA""))"),"NO APLICA")</f>
        <v>NO APLICA</v>
      </c>
    </row>
    <row r="184">
      <c r="A184" s="83" t="s">
        <v>4078</v>
      </c>
      <c r="B184" s="83" t="s">
        <v>4079</v>
      </c>
      <c r="C184" s="81" t="s">
        <v>4086</v>
      </c>
      <c r="D184" s="83" t="s">
        <v>4188</v>
      </c>
      <c r="E184" s="81" t="s">
        <v>701</v>
      </c>
      <c r="F184" s="84">
        <v>116.0</v>
      </c>
      <c r="G184" s="81" t="s">
        <v>12</v>
      </c>
      <c r="H184" s="81" t="s">
        <v>224</v>
      </c>
      <c r="I184" s="81" t="s">
        <v>55</v>
      </c>
      <c r="J184" s="81" t="s">
        <v>224</v>
      </c>
      <c r="K184" s="81" t="str">
        <f>IFERROR(__xludf.DUMMYFUNCTION("IF(OR(D184="""",G184=""""),"""",IFERROR(LET(
campo,XLOOKUP(TRIM(G184),ARRAYFORMULA(TRIM('indice columnas'!$A$2:$A$100)),'indice columnas'!$B$2:$B$100,""""),
col,IFERROR(MATCH(campo,Referencia!$A$1:$AZ$1,0),0),
fila,IFERROR(MATCH(TO_TEXT(D184),ARRAYFORMULA"&amp;"(TO_TEXT(Referencia!$A$2:$A6238)),0),0),
IF(OR(campo="""",campo=""-""),""NO APLICA"",
IF(col=0,""REVISAR EQUIVALENCIA"",
IF(fila=0,""SKU NO ENCONTRADO"",
LET(
valor,INDEX(Referencia!$A$2:$AZ6238,fila,col),
IF(TRIM(TO_TEXT(valor))=TRIM(TO_TEXT(I184)),
""OK"&amp;""",
""NO COINCIDE. Valor verdadero: ""&amp;IF(valor="""",""[VACÍO]"",TO_TEXT(valor))
)
))))
),""ERROR EN FÓRMULA""))"),"OK")</f>
        <v>OK</v>
      </c>
    </row>
    <row r="185">
      <c r="A185" s="83" t="s">
        <v>4078</v>
      </c>
      <c r="B185" s="83" t="s">
        <v>4079</v>
      </c>
      <c r="C185" s="81" t="s">
        <v>4086</v>
      </c>
      <c r="D185" s="83" t="s">
        <v>4188</v>
      </c>
      <c r="E185" s="81" t="s">
        <v>701</v>
      </c>
      <c r="F185" s="84">
        <v>116.0</v>
      </c>
      <c r="G185" s="81" t="s">
        <v>44</v>
      </c>
      <c r="H185" s="81" t="s">
        <v>224</v>
      </c>
      <c r="I185" s="81" t="s">
        <v>693</v>
      </c>
      <c r="J185" s="81" t="s">
        <v>4088</v>
      </c>
      <c r="K185" s="81" t="str">
        <f>IFERROR(__xludf.DUMMYFUNCTION("IF(OR(D185="""",G185=""""),"""",IFERROR(LET(
campo,XLOOKUP(TRIM(G185),ARRAYFORMULA(TRIM('indice columnas'!$A$2:$A$100)),'indice columnas'!$B$2:$B$100,""""),
col,IFERROR(MATCH(campo,Referencia!$A$1:$AZ$1,0),0),
fila,IFERROR(MATCH(TO_TEXT(D185),ARRAYFORMULA"&amp;"(TO_TEXT(Referencia!$A$2:$A6238)),0),0),
IF(OR(campo="""",campo=""-""),""NO APLICA"",
IF(col=0,""REVISAR EQUIVALENCIA"",
IF(fila=0,""SKU NO ENCONTRADO"",
LET(
valor,INDEX(Referencia!$A$2:$AZ6238,fila,col),
IF(TRIM(TO_TEXT(valor))=TRIM(TO_TEXT(I185)),
""OK"&amp;""",
""NO COINCIDE. Valor verdadero: ""&amp;IF(valor="""",""[VACÍO]"",TO_TEXT(valor))
)
))))
),""ERROR EN FÓRMULA""))"),"NO APLICA")</f>
        <v>NO APLICA</v>
      </c>
    </row>
    <row r="186">
      <c r="A186" s="83" t="s">
        <v>4078</v>
      </c>
      <c r="B186" s="83" t="s">
        <v>4079</v>
      </c>
      <c r="C186" s="81" t="s">
        <v>4086</v>
      </c>
      <c r="D186" s="83" t="s">
        <v>4189</v>
      </c>
      <c r="E186" s="81" t="s">
        <v>703</v>
      </c>
      <c r="F186" s="84">
        <v>117.0</v>
      </c>
      <c r="G186" s="81" t="s">
        <v>12</v>
      </c>
      <c r="H186" s="81" t="s">
        <v>224</v>
      </c>
      <c r="I186" s="81" t="s">
        <v>55</v>
      </c>
      <c r="J186" s="81" t="s">
        <v>224</v>
      </c>
      <c r="K186" s="81" t="str">
        <f>IFERROR(__xludf.DUMMYFUNCTION("IF(OR(D186="""",G186=""""),"""",IFERROR(LET(
campo,XLOOKUP(TRIM(G186),ARRAYFORMULA(TRIM('indice columnas'!$A$2:$A$100)),'indice columnas'!$B$2:$B$100,""""),
col,IFERROR(MATCH(campo,Referencia!$A$1:$AZ$1,0),0),
fila,IFERROR(MATCH(TO_TEXT(D186),ARRAYFORMULA"&amp;"(TO_TEXT(Referencia!$A$2:$A6238)),0),0),
IF(OR(campo="""",campo=""-""),""NO APLICA"",
IF(col=0,""REVISAR EQUIVALENCIA"",
IF(fila=0,""SKU NO ENCONTRADO"",
LET(
valor,INDEX(Referencia!$A$2:$AZ6238,fila,col),
IF(TRIM(TO_TEXT(valor))=TRIM(TO_TEXT(I186)),
""OK"&amp;""",
""NO COINCIDE. Valor verdadero: ""&amp;IF(valor="""",""[VACÍO]"",TO_TEXT(valor))
)
))))
),""ERROR EN FÓRMULA""))"),"OK")</f>
        <v>OK</v>
      </c>
    </row>
    <row r="187">
      <c r="A187" s="83" t="s">
        <v>4078</v>
      </c>
      <c r="B187" s="83" t="s">
        <v>4079</v>
      </c>
      <c r="C187" s="81" t="s">
        <v>4086</v>
      </c>
      <c r="D187" s="83" t="s">
        <v>4189</v>
      </c>
      <c r="E187" s="81" t="s">
        <v>703</v>
      </c>
      <c r="F187" s="84">
        <v>117.0</v>
      </c>
      <c r="G187" s="81" t="s">
        <v>44</v>
      </c>
      <c r="H187" s="81" t="s">
        <v>224</v>
      </c>
      <c r="I187" s="81" t="s">
        <v>4190</v>
      </c>
      <c r="J187" s="81" t="s">
        <v>4088</v>
      </c>
      <c r="K187" s="81" t="str">
        <f>IFERROR(__xludf.DUMMYFUNCTION("IF(OR(D187="""",G187=""""),"""",IFERROR(LET(
campo,XLOOKUP(TRIM(G187),ARRAYFORMULA(TRIM('indice columnas'!$A$2:$A$100)),'indice columnas'!$B$2:$B$100,""""),
col,IFERROR(MATCH(campo,Referencia!$A$1:$AZ$1,0),0),
fila,IFERROR(MATCH(TO_TEXT(D187),ARRAYFORMULA"&amp;"(TO_TEXT(Referencia!$A$2:$A6238)),0),0),
IF(OR(campo="""",campo=""-""),""NO APLICA"",
IF(col=0,""REVISAR EQUIVALENCIA"",
IF(fila=0,""SKU NO ENCONTRADO"",
LET(
valor,INDEX(Referencia!$A$2:$AZ6238,fila,col),
IF(TRIM(TO_TEXT(valor))=TRIM(TO_TEXT(I187)),
""OK"&amp;""",
""NO COINCIDE. Valor verdadero: ""&amp;IF(valor="""",""[VACÍO]"",TO_TEXT(valor))
)
))))
),""ERROR EN FÓRMULA""))"),"NO APLICA")</f>
        <v>NO APLICA</v>
      </c>
    </row>
    <row r="188">
      <c r="A188" s="83" t="s">
        <v>4078</v>
      </c>
      <c r="B188" s="83" t="s">
        <v>4079</v>
      </c>
      <c r="C188" s="81" t="s">
        <v>4086</v>
      </c>
      <c r="D188" s="83" t="s">
        <v>4191</v>
      </c>
      <c r="E188" s="81" t="s">
        <v>710</v>
      </c>
      <c r="F188" s="84">
        <v>118.0</v>
      </c>
      <c r="G188" s="81" t="s">
        <v>12</v>
      </c>
      <c r="H188" s="81" t="s">
        <v>224</v>
      </c>
      <c r="I188" s="81" t="s">
        <v>55</v>
      </c>
      <c r="J188" s="81" t="s">
        <v>224</v>
      </c>
      <c r="K188" s="81" t="str">
        <f>IFERROR(__xludf.DUMMYFUNCTION("IF(OR(D188="""",G188=""""),"""",IFERROR(LET(
campo,XLOOKUP(TRIM(G188),ARRAYFORMULA(TRIM('indice columnas'!$A$2:$A$100)),'indice columnas'!$B$2:$B$100,""""),
col,IFERROR(MATCH(campo,Referencia!$A$1:$AZ$1,0),0),
fila,IFERROR(MATCH(TO_TEXT(D188),ARRAYFORMULA"&amp;"(TO_TEXT(Referencia!$A$2:$A6238)),0),0),
IF(OR(campo="""",campo=""-""),""NO APLICA"",
IF(col=0,""REVISAR EQUIVALENCIA"",
IF(fila=0,""SKU NO ENCONTRADO"",
LET(
valor,INDEX(Referencia!$A$2:$AZ6238,fila,col),
IF(TRIM(TO_TEXT(valor))=TRIM(TO_TEXT(I188)),
""OK"&amp;""",
""NO COINCIDE. Valor verdadero: ""&amp;IF(valor="""",""[VACÍO]"",TO_TEXT(valor))
)
))))
),""ERROR EN FÓRMULA""))"),"OK")</f>
        <v>OK</v>
      </c>
    </row>
    <row r="189">
      <c r="A189" s="83" t="s">
        <v>4078</v>
      </c>
      <c r="B189" s="83" t="s">
        <v>4079</v>
      </c>
      <c r="C189" s="81" t="s">
        <v>4086</v>
      </c>
      <c r="D189" s="83" t="s">
        <v>4191</v>
      </c>
      <c r="E189" s="81" t="s">
        <v>710</v>
      </c>
      <c r="F189" s="84">
        <v>118.0</v>
      </c>
      <c r="G189" s="81" t="s">
        <v>44</v>
      </c>
      <c r="H189" s="81" t="s">
        <v>224</v>
      </c>
      <c r="I189" s="81" t="s">
        <v>4192</v>
      </c>
      <c r="J189" s="81" t="s">
        <v>4088</v>
      </c>
      <c r="K189" s="81" t="str">
        <f>IFERROR(__xludf.DUMMYFUNCTION("IF(OR(D189="""",G189=""""),"""",IFERROR(LET(
campo,XLOOKUP(TRIM(G189),ARRAYFORMULA(TRIM('indice columnas'!$A$2:$A$100)),'indice columnas'!$B$2:$B$100,""""),
col,IFERROR(MATCH(campo,Referencia!$A$1:$AZ$1,0),0),
fila,IFERROR(MATCH(TO_TEXT(D189),ARRAYFORMULA"&amp;"(TO_TEXT(Referencia!$A$2:$A6238)),0),0),
IF(OR(campo="""",campo=""-""),""NO APLICA"",
IF(col=0,""REVISAR EQUIVALENCIA"",
IF(fila=0,""SKU NO ENCONTRADO"",
LET(
valor,INDEX(Referencia!$A$2:$AZ6238,fila,col),
IF(TRIM(TO_TEXT(valor))=TRIM(TO_TEXT(I189)),
""OK"&amp;""",
""NO COINCIDE. Valor verdadero: ""&amp;IF(valor="""",""[VACÍO]"",TO_TEXT(valor))
)
))))
),""ERROR EN FÓRMULA""))"),"NO APLICA")</f>
        <v>NO APLICA</v>
      </c>
    </row>
    <row r="190">
      <c r="A190" s="83" t="s">
        <v>4078</v>
      </c>
      <c r="B190" s="83" t="s">
        <v>4079</v>
      </c>
      <c r="C190" s="81" t="s">
        <v>4086</v>
      </c>
      <c r="D190" s="83" t="s">
        <v>4193</v>
      </c>
      <c r="E190" s="81" t="s">
        <v>716</v>
      </c>
      <c r="F190" s="84">
        <v>119.0</v>
      </c>
      <c r="G190" s="81" t="s">
        <v>44</v>
      </c>
      <c r="H190" s="81" t="s">
        <v>4194</v>
      </c>
      <c r="I190" s="81" t="s">
        <v>716</v>
      </c>
      <c r="J190" s="81" t="s">
        <v>4088</v>
      </c>
      <c r="K190" s="81" t="str">
        <f>IFERROR(__xludf.DUMMYFUNCTION("IF(OR(D190="""",G190=""""),"""",IFERROR(LET(
campo,XLOOKUP(TRIM(G190),ARRAYFORMULA(TRIM('indice columnas'!$A$2:$A$100)),'indice columnas'!$B$2:$B$100,""""),
col,IFERROR(MATCH(campo,Referencia!$A$1:$AZ$1,0),0),
fila,IFERROR(MATCH(TO_TEXT(D190),ARRAYFORMULA"&amp;"(TO_TEXT(Referencia!$A$2:$A6238)),0),0),
IF(OR(campo="""",campo=""-""),""NO APLICA"",
IF(col=0,""REVISAR EQUIVALENCIA"",
IF(fila=0,""SKU NO ENCONTRADO"",
LET(
valor,INDEX(Referencia!$A$2:$AZ6238,fila,col),
IF(TRIM(TO_TEXT(valor))=TRIM(TO_TEXT(I190)),
""OK"&amp;""",
""NO COINCIDE. Valor verdadero: ""&amp;IF(valor="""",""[VACÍO]"",TO_TEXT(valor))
)
))))
),""ERROR EN FÓRMULA""))"),"NO APLICA")</f>
        <v>NO APLICA</v>
      </c>
    </row>
    <row r="191">
      <c r="A191" s="83" t="s">
        <v>4078</v>
      </c>
      <c r="B191" s="83" t="s">
        <v>4079</v>
      </c>
      <c r="C191" s="81" t="s">
        <v>4086</v>
      </c>
      <c r="D191" s="83" t="s">
        <v>4193</v>
      </c>
      <c r="E191" s="81" t="s">
        <v>727</v>
      </c>
      <c r="F191" s="84">
        <v>120.0</v>
      </c>
      <c r="G191" s="81" t="s">
        <v>12</v>
      </c>
      <c r="H191" s="81" t="s">
        <v>224</v>
      </c>
      <c r="I191" s="81" t="s">
        <v>55</v>
      </c>
      <c r="J191" s="81" t="s">
        <v>224</v>
      </c>
      <c r="K191" s="81" t="str">
        <f>IFERROR(__xludf.DUMMYFUNCTION("IF(OR(D191="""",G191=""""),"""",IFERROR(LET(
campo,XLOOKUP(TRIM(G191),ARRAYFORMULA(TRIM('indice columnas'!$A$2:$A$100)),'indice columnas'!$B$2:$B$100,""""),
col,IFERROR(MATCH(campo,Referencia!$A$1:$AZ$1,0),0),
fila,IFERROR(MATCH(TO_TEXT(D191),ARRAYFORMULA"&amp;"(TO_TEXT(Referencia!$A$2:$A6238)),0),0),
IF(OR(campo="""",campo=""-""),""NO APLICA"",
IF(col=0,""REVISAR EQUIVALENCIA"",
IF(fila=0,""SKU NO ENCONTRADO"",
LET(
valor,INDEX(Referencia!$A$2:$AZ6238,fila,col),
IF(TRIM(TO_TEXT(valor))=TRIM(TO_TEXT(I191)),
""OK"&amp;""",
""NO COINCIDE. Valor verdadero: ""&amp;IF(valor="""",""[VACÍO]"",TO_TEXT(valor))
)
))))
),""ERROR EN FÓRMULA""))"),"OK")</f>
        <v>OK</v>
      </c>
    </row>
    <row r="192">
      <c r="A192" s="83" t="s">
        <v>4078</v>
      </c>
      <c r="B192" s="83" t="s">
        <v>4079</v>
      </c>
      <c r="C192" s="81" t="s">
        <v>4086</v>
      </c>
      <c r="D192" s="83" t="s">
        <v>4193</v>
      </c>
      <c r="E192" s="81" t="s">
        <v>727</v>
      </c>
      <c r="F192" s="84">
        <v>120.0</v>
      </c>
      <c r="G192" s="81" t="s">
        <v>44</v>
      </c>
      <c r="H192" s="81" t="s">
        <v>4194</v>
      </c>
      <c r="I192" s="81" t="s">
        <v>716</v>
      </c>
      <c r="J192" s="81" t="s">
        <v>4088</v>
      </c>
      <c r="K192" s="81" t="str">
        <f>IFERROR(__xludf.DUMMYFUNCTION("IF(OR(D192="""",G192=""""),"""",IFERROR(LET(
campo,XLOOKUP(TRIM(G192),ARRAYFORMULA(TRIM('indice columnas'!$A$2:$A$100)),'indice columnas'!$B$2:$B$100,""""),
col,IFERROR(MATCH(campo,Referencia!$A$1:$AZ$1,0),0),
fila,IFERROR(MATCH(TO_TEXT(D192),ARRAYFORMULA"&amp;"(TO_TEXT(Referencia!$A$2:$A6238)),0),0),
IF(OR(campo="""",campo=""-""),""NO APLICA"",
IF(col=0,""REVISAR EQUIVALENCIA"",
IF(fila=0,""SKU NO ENCONTRADO"",
LET(
valor,INDEX(Referencia!$A$2:$AZ6238,fila,col),
IF(TRIM(TO_TEXT(valor))=TRIM(TO_TEXT(I192)),
""OK"&amp;""",
""NO COINCIDE. Valor verdadero: ""&amp;IF(valor="""",""[VACÍO]"",TO_TEXT(valor))
)
))))
),""ERROR EN FÓRMULA""))"),"NO APLICA")</f>
        <v>NO APLICA</v>
      </c>
    </row>
    <row r="193">
      <c r="A193" s="83" t="s">
        <v>4078</v>
      </c>
      <c r="B193" s="83" t="s">
        <v>4079</v>
      </c>
      <c r="C193" s="81" t="s">
        <v>4086</v>
      </c>
      <c r="D193" s="83" t="s">
        <v>4195</v>
      </c>
      <c r="E193" s="81" t="s">
        <v>728</v>
      </c>
      <c r="F193" s="84">
        <v>121.0</v>
      </c>
      <c r="G193" s="81" t="s">
        <v>12</v>
      </c>
      <c r="H193" s="81" t="s">
        <v>224</v>
      </c>
      <c r="I193" s="81" t="s">
        <v>55</v>
      </c>
      <c r="J193" s="81" t="s">
        <v>224</v>
      </c>
      <c r="K193" s="81" t="str">
        <f>IFERROR(__xludf.DUMMYFUNCTION("IF(OR(D193="""",G193=""""),"""",IFERROR(LET(
campo,XLOOKUP(TRIM(G193),ARRAYFORMULA(TRIM('indice columnas'!$A$2:$A$100)),'indice columnas'!$B$2:$B$100,""""),
col,IFERROR(MATCH(campo,Referencia!$A$1:$AZ$1,0),0),
fila,IFERROR(MATCH(TO_TEXT(D193),ARRAYFORMULA"&amp;"(TO_TEXT(Referencia!$A$2:$A6238)),0),0),
IF(OR(campo="""",campo=""-""),""NO APLICA"",
IF(col=0,""REVISAR EQUIVALENCIA"",
IF(fila=0,""SKU NO ENCONTRADO"",
LET(
valor,INDEX(Referencia!$A$2:$AZ6238,fila,col),
IF(TRIM(TO_TEXT(valor))=TRIM(TO_TEXT(I193)),
""OK"&amp;""",
""NO COINCIDE. Valor verdadero: ""&amp;IF(valor="""",""[VACÍO]"",TO_TEXT(valor))
)
))))
),""ERROR EN FÓRMULA""))"),"OK")</f>
        <v>OK</v>
      </c>
    </row>
    <row r="194">
      <c r="A194" s="83" t="s">
        <v>4078</v>
      </c>
      <c r="B194" s="83" t="s">
        <v>4079</v>
      </c>
      <c r="C194" s="81" t="s">
        <v>4086</v>
      </c>
      <c r="D194" s="83" t="s">
        <v>4195</v>
      </c>
      <c r="E194" s="81" t="s">
        <v>728</v>
      </c>
      <c r="F194" s="84">
        <v>121.0</v>
      </c>
      <c r="G194" s="81" t="s">
        <v>44</v>
      </c>
      <c r="H194" s="81" t="s">
        <v>4194</v>
      </c>
      <c r="I194" s="81" t="s">
        <v>716</v>
      </c>
      <c r="J194" s="81" t="s">
        <v>4088</v>
      </c>
      <c r="K194" s="81" t="str">
        <f>IFERROR(__xludf.DUMMYFUNCTION("IF(OR(D194="""",G194=""""),"""",IFERROR(LET(
campo,XLOOKUP(TRIM(G194),ARRAYFORMULA(TRIM('indice columnas'!$A$2:$A$100)),'indice columnas'!$B$2:$B$100,""""),
col,IFERROR(MATCH(campo,Referencia!$A$1:$AZ$1,0),0),
fila,IFERROR(MATCH(TO_TEXT(D194),ARRAYFORMULA"&amp;"(TO_TEXT(Referencia!$A$2:$A6238)),0),0),
IF(OR(campo="""",campo=""-""),""NO APLICA"",
IF(col=0,""REVISAR EQUIVALENCIA"",
IF(fila=0,""SKU NO ENCONTRADO"",
LET(
valor,INDEX(Referencia!$A$2:$AZ6238,fila,col),
IF(TRIM(TO_TEXT(valor))=TRIM(TO_TEXT(I194)),
""OK"&amp;""",
""NO COINCIDE. Valor verdadero: ""&amp;IF(valor="""",""[VACÍO]"",TO_TEXT(valor))
)
))))
),""ERROR EN FÓRMULA""))"),"NO APLICA")</f>
        <v>NO APLICA</v>
      </c>
    </row>
    <row r="195">
      <c r="A195" s="83" t="s">
        <v>4078</v>
      </c>
      <c r="B195" s="83" t="s">
        <v>4079</v>
      </c>
      <c r="C195" s="81" t="s">
        <v>4086</v>
      </c>
      <c r="D195" s="83" t="s">
        <v>4196</v>
      </c>
      <c r="E195" s="81" t="s">
        <v>731</v>
      </c>
      <c r="F195" s="84">
        <v>122.0</v>
      </c>
      <c r="G195" s="81" t="s">
        <v>44</v>
      </c>
      <c r="H195" s="81" t="s">
        <v>4197</v>
      </c>
      <c r="I195" s="81" t="s">
        <v>731</v>
      </c>
      <c r="J195" s="81" t="s">
        <v>4088</v>
      </c>
      <c r="K195" s="81" t="str">
        <f>IFERROR(__xludf.DUMMYFUNCTION("IF(OR(D195="""",G195=""""),"""",IFERROR(LET(
campo,XLOOKUP(TRIM(G195),ARRAYFORMULA(TRIM('indice columnas'!$A$2:$A$100)),'indice columnas'!$B$2:$B$100,""""),
col,IFERROR(MATCH(campo,Referencia!$A$1:$AZ$1,0),0),
fila,IFERROR(MATCH(TO_TEXT(D195),ARRAYFORMULA"&amp;"(TO_TEXT(Referencia!$A$2:$A6238)),0),0),
IF(OR(campo="""",campo=""-""),""NO APLICA"",
IF(col=0,""REVISAR EQUIVALENCIA"",
IF(fila=0,""SKU NO ENCONTRADO"",
LET(
valor,INDEX(Referencia!$A$2:$AZ6238,fila,col),
IF(TRIM(TO_TEXT(valor))=TRIM(TO_TEXT(I195)),
""OK"&amp;""",
""NO COINCIDE. Valor verdadero: ""&amp;IF(valor="""",""[VACÍO]"",TO_TEXT(valor))
)
))))
),""ERROR EN FÓRMULA""))"),"NO APLICA")</f>
        <v>NO APLICA</v>
      </c>
    </row>
    <row r="196">
      <c r="A196" s="83" t="s">
        <v>4078</v>
      </c>
      <c r="B196" s="83" t="s">
        <v>4079</v>
      </c>
      <c r="C196" s="81" t="s">
        <v>4086</v>
      </c>
      <c r="D196" s="83" t="s">
        <v>4196</v>
      </c>
      <c r="E196" s="81" t="s">
        <v>741</v>
      </c>
      <c r="F196" s="84">
        <v>123.0</v>
      </c>
      <c r="G196" s="81" t="s">
        <v>12</v>
      </c>
      <c r="H196" s="81" t="s">
        <v>224</v>
      </c>
      <c r="I196" s="81" t="s">
        <v>55</v>
      </c>
      <c r="J196" s="81" t="s">
        <v>224</v>
      </c>
      <c r="K196" s="81" t="str">
        <f>IFERROR(__xludf.DUMMYFUNCTION("IF(OR(D196="""",G196=""""),"""",IFERROR(LET(
campo,XLOOKUP(TRIM(G196),ARRAYFORMULA(TRIM('indice columnas'!$A$2:$A$100)),'indice columnas'!$B$2:$B$100,""""),
col,IFERROR(MATCH(campo,Referencia!$A$1:$AZ$1,0),0),
fila,IFERROR(MATCH(TO_TEXT(D196),ARRAYFORMULA"&amp;"(TO_TEXT(Referencia!$A$2:$A6238)),0),0),
IF(OR(campo="""",campo=""-""),""NO APLICA"",
IF(col=0,""REVISAR EQUIVALENCIA"",
IF(fila=0,""SKU NO ENCONTRADO"",
LET(
valor,INDEX(Referencia!$A$2:$AZ6238,fila,col),
IF(TRIM(TO_TEXT(valor))=TRIM(TO_TEXT(I196)),
""OK"&amp;""",
""NO COINCIDE. Valor verdadero: ""&amp;IF(valor="""",""[VACÍO]"",TO_TEXT(valor))
)
))))
),""ERROR EN FÓRMULA""))"),"OK")</f>
        <v>OK</v>
      </c>
    </row>
    <row r="197">
      <c r="A197" s="83" t="s">
        <v>4078</v>
      </c>
      <c r="B197" s="83" t="s">
        <v>4079</v>
      </c>
      <c r="C197" s="81" t="s">
        <v>4086</v>
      </c>
      <c r="D197" s="83" t="s">
        <v>4196</v>
      </c>
      <c r="E197" s="81" t="s">
        <v>741</v>
      </c>
      <c r="F197" s="84">
        <v>123.0</v>
      </c>
      <c r="G197" s="81" t="s">
        <v>44</v>
      </c>
      <c r="H197" s="81" t="s">
        <v>4197</v>
      </c>
      <c r="I197" s="81" t="s">
        <v>731</v>
      </c>
      <c r="J197" s="81" t="s">
        <v>4088</v>
      </c>
      <c r="K197" s="81" t="str">
        <f>IFERROR(__xludf.DUMMYFUNCTION("IF(OR(D197="""",G197=""""),"""",IFERROR(LET(
campo,XLOOKUP(TRIM(G197),ARRAYFORMULA(TRIM('indice columnas'!$A$2:$A$100)),'indice columnas'!$B$2:$B$100,""""),
col,IFERROR(MATCH(campo,Referencia!$A$1:$AZ$1,0),0),
fila,IFERROR(MATCH(TO_TEXT(D197),ARRAYFORMULA"&amp;"(TO_TEXT(Referencia!$A$2:$A6238)),0),0),
IF(OR(campo="""",campo=""-""),""NO APLICA"",
IF(col=0,""REVISAR EQUIVALENCIA"",
IF(fila=0,""SKU NO ENCONTRADO"",
LET(
valor,INDEX(Referencia!$A$2:$AZ6238,fila,col),
IF(TRIM(TO_TEXT(valor))=TRIM(TO_TEXT(I197)),
""OK"&amp;""",
""NO COINCIDE. Valor verdadero: ""&amp;IF(valor="""",""[VACÍO]"",TO_TEXT(valor))
)
))))
),""ERROR EN FÓRMULA""))"),"NO APLICA")</f>
        <v>NO APLICA</v>
      </c>
    </row>
    <row r="198">
      <c r="A198" s="83" t="s">
        <v>4078</v>
      </c>
      <c r="B198" s="83" t="s">
        <v>4079</v>
      </c>
      <c r="C198" s="81" t="s">
        <v>4086</v>
      </c>
      <c r="D198" s="83" t="s">
        <v>4198</v>
      </c>
      <c r="E198" s="81" t="s">
        <v>742</v>
      </c>
      <c r="F198" s="84">
        <v>124.0</v>
      </c>
      <c r="G198" s="81" t="s">
        <v>12</v>
      </c>
      <c r="H198" s="81" t="s">
        <v>224</v>
      </c>
      <c r="I198" s="81" t="s">
        <v>55</v>
      </c>
      <c r="J198" s="81" t="s">
        <v>224</v>
      </c>
      <c r="K198" s="81" t="str">
        <f>IFERROR(__xludf.DUMMYFUNCTION("IF(OR(D198="""",G198=""""),"""",IFERROR(LET(
campo,XLOOKUP(TRIM(G198),ARRAYFORMULA(TRIM('indice columnas'!$A$2:$A$100)),'indice columnas'!$B$2:$B$100,""""),
col,IFERROR(MATCH(campo,Referencia!$A$1:$AZ$1,0),0),
fila,IFERROR(MATCH(TO_TEXT(D198),ARRAYFORMULA"&amp;"(TO_TEXT(Referencia!$A$2:$A6238)),0),0),
IF(OR(campo="""",campo=""-""),""NO APLICA"",
IF(col=0,""REVISAR EQUIVALENCIA"",
IF(fila=0,""SKU NO ENCONTRADO"",
LET(
valor,INDEX(Referencia!$A$2:$AZ6238,fila,col),
IF(TRIM(TO_TEXT(valor))=TRIM(TO_TEXT(I198)),
""OK"&amp;""",
""NO COINCIDE. Valor verdadero: ""&amp;IF(valor="""",""[VACÍO]"",TO_TEXT(valor))
)
))))
),""ERROR EN FÓRMULA""))"),"OK")</f>
        <v>OK</v>
      </c>
    </row>
    <row r="199">
      <c r="A199" s="83" t="s">
        <v>4078</v>
      </c>
      <c r="B199" s="83" t="s">
        <v>4079</v>
      </c>
      <c r="C199" s="81" t="s">
        <v>4086</v>
      </c>
      <c r="D199" s="83" t="s">
        <v>4198</v>
      </c>
      <c r="E199" s="81" t="s">
        <v>742</v>
      </c>
      <c r="F199" s="84">
        <v>124.0</v>
      </c>
      <c r="G199" s="81" t="s">
        <v>44</v>
      </c>
      <c r="H199" s="81" t="s">
        <v>4197</v>
      </c>
      <c r="I199" s="81" t="s">
        <v>731</v>
      </c>
      <c r="J199" s="81" t="s">
        <v>4088</v>
      </c>
      <c r="K199" s="81" t="str">
        <f>IFERROR(__xludf.DUMMYFUNCTION("IF(OR(D199="""",G199=""""),"""",IFERROR(LET(
campo,XLOOKUP(TRIM(G199),ARRAYFORMULA(TRIM('indice columnas'!$A$2:$A$100)),'indice columnas'!$B$2:$B$100,""""),
col,IFERROR(MATCH(campo,Referencia!$A$1:$AZ$1,0),0),
fila,IFERROR(MATCH(TO_TEXT(D199),ARRAYFORMULA"&amp;"(TO_TEXT(Referencia!$A$2:$A6238)),0),0),
IF(OR(campo="""",campo=""-""),""NO APLICA"",
IF(col=0,""REVISAR EQUIVALENCIA"",
IF(fila=0,""SKU NO ENCONTRADO"",
LET(
valor,INDEX(Referencia!$A$2:$AZ6238,fila,col),
IF(TRIM(TO_TEXT(valor))=TRIM(TO_TEXT(I199)),
""OK"&amp;""",
""NO COINCIDE. Valor verdadero: ""&amp;IF(valor="""",""[VACÍO]"",TO_TEXT(valor))
)
))))
),""ERROR EN FÓRMULA""))"),"NO APLICA")</f>
        <v>NO APLICA</v>
      </c>
    </row>
    <row r="200">
      <c r="A200" s="83" t="s">
        <v>4078</v>
      </c>
      <c r="B200" s="83" t="s">
        <v>4079</v>
      </c>
      <c r="C200" s="81" t="s">
        <v>4086</v>
      </c>
      <c r="D200" s="83" t="s">
        <v>4199</v>
      </c>
      <c r="E200" s="81" t="s">
        <v>745</v>
      </c>
      <c r="F200" s="84">
        <v>125.0</v>
      </c>
      <c r="G200" s="81" t="s">
        <v>44</v>
      </c>
      <c r="H200" s="81" t="s">
        <v>4200</v>
      </c>
      <c r="I200" s="81" t="s">
        <v>745</v>
      </c>
      <c r="J200" s="81" t="s">
        <v>4088</v>
      </c>
      <c r="K200" s="81" t="str">
        <f>IFERROR(__xludf.DUMMYFUNCTION("IF(OR(D200="""",G200=""""),"""",IFERROR(LET(
campo,XLOOKUP(TRIM(G200),ARRAYFORMULA(TRIM('indice columnas'!$A$2:$A$100)),'indice columnas'!$B$2:$B$100,""""),
col,IFERROR(MATCH(campo,Referencia!$A$1:$AZ$1,0),0),
fila,IFERROR(MATCH(TO_TEXT(D200),ARRAYFORMULA"&amp;"(TO_TEXT(Referencia!$A$2:$A6238)),0),0),
IF(OR(campo="""",campo=""-""),""NO APLICA"",
IF(col=0,""REVISAR EQUIVALENCIA"",
IF(fila=0,""SKU NO ENCONTRADO"",
LET(
valor,INDEX(Referencia!$A$2:$AZ6238,fila,col),
IF(TRIM(TO_TEXT(valor))=TRIM(TO_TEXT(I200)),
""OK"&amp;""",
""NO COINCIDE. Valor verdadero: ""&amp;IF(valor="""",""[VACÍO]"",TO_TEXT(valor))
)
))))
),""ERROR EN FÓRMULA""))"),"NO APLICA")</f>
        <v>NO APLICA</v>
      </c>
    </row>
    <row r="201">
      <c r="A201" s="83" t="s">
        <v>4078</v>
      </c>
      <c r="B201" s="83" t="s">
        <v>4079</v>
      </c>
      <c r="C201" s="81" t="s">
        <v>4086</v>
      </c>
      <c r="D201" s="83" t="s">
        <v>4199</v>
      </c>
      <c r="E201" s="81" t="s">
        <v>753</v>
      </c>
      <c r="F201" s="84">
        <v>126.0</v>
      </c>
      <c r="G201" s="81" t="s">
        <v>12</v>
      </c>
      <c r="H201" s="81" t="s">
        <v>224</v>
      </c>
      <c r="I201" s="81" t="s">
        <v>55</v>
      </c>
      <c r="J201" s="81" t="s">
        <v>224</v>
      </c>
      <c r="K201" s="81" t="str">
        <f>IFERROR(__xludf.DUMMYFUNCTION("IF(OR(D201="""",G201=""""),"""",IFERROR(LET(
campo,XLOOKUP(TRIM(G201),ARRAYFORMULA(TRIM('indice columnas'!$A$2:$A$100)),'indice columnas'!$B$2:$B$100,""""),
col,IFERROR(MATCH(campo,Referencia!$A$1:$AZ$1,0),0),
fila,IFERROR(MATCH(TO_TEXT(D201),ARRAYFORMULA"&amp;"(TO_TEXT(Referencia!$A$2:$A6238)),0),0),
IF(OR(campo="""",campo=""-""),""NO APLICA"",
IF(col=0,""REVISAR EQUIVALENCIA"",
IF(fila=0,""SKU NO ENCONTRADO"",
LET(
valor,INDEX(Referencia!$A$2:$AZ6238,fila,col),
IF(TRIM(TO_TEXT(valor))=TRIM(TO_TEXT(I201)),
""OK"&amp;""",
""NO COINCIDE. Valor verdadero: ""&amp;IF(valor="""",""[VACÍO]"",TO_TEXT(valor))
)
))))
),""ERROR EN FÓRMULA""))"),"OK")</f>
        <v>OK</v>
      </c>
    </row>
    <row r="202">
      <c r="A202" s="83" t="s">
        <v>4078</v>
      </c>
      <c r="B202" s="83" t="s">
        <v>4079</v>
      </c>
      <c r="C202" s="81" t="s">
        <v>4086</v>
      </c>
      <c r="D202" s="83" t="s">
        <v>4199</v>
      </c>
      <c r="E202" s="81" t="s">
        <v>753</v>
      </c>
      <c r="F202" s="84">
        <v>126.0</v>
      </c>
      <c r="G202" s="81" t="s">
        <v>44</v>
      </c>
      <c r="H202" s="81" t="s">
        <v>4200</v>
      </c>
      <c r="I202" s="81" t="s">
        <v>745</v>
      </c>
      <c r="J202" s="81" t="s">
        <v>4088</v>
      </c>
      <c r="K202" s="81" t="str">
        <f>IFERROR(__xludf.DUMMYFUNCTION("IF(OR(D202="""",G202=""""),"""",IFERROR(LET(
campo,XLOOKUP(TRIM(G202),ARRAYFORMULA(TRIM('indice columnas'!$A$2:$A$100)),'indice columnas'!$B$2:$B$100,""""),
col,IFERROR(MATCH(campo,Referencia!$A$1:$AZ$1,0),0),
fila,IFERROR(MATCH(TO_TEXT(D202),ARRAYFORMULA"&amp;"(TO_TEXT(Referencia!$A$2:$A6238)),0),0),
IF(OR(campo="""",campo=""-""),""NO APLICA"",
IF(col=0,""REVISAR EQUIVALENCIA"",
IF(fila=0,""SKU NO ENCONTRADO"",
LET(
valor,INDEX(Referencia!$A$2:$AZ6238,fila,col),
IF(TRIM(TO_TEXT(valor))=TRIM(TO_TEXT(I202)),
""OK"&amp;""",
""NO COINCIDE. Valor verdadero: ""&amp;IF(valor="""",""[VACÍO]"",TO_TEXT(valor))
)
))))
),""ERROR EN FÓRMULA""))"),"NO APLICA")</f>
        <v>NO APLICA</v>
      </c>
    </row>
    <row r="203">
      <c r="A203" s="83" t="s">
        <v>4078</v>
      </c>
      <c r="B203" s="83" t="s">
        <v>4079</v>
      </c>
      <c r="C203" s="81" t="s">
        <v>4086</v>
      </c>
      <c r="D203" s="83" t="s">
        <v>4201</v>
      </c>
      <c r="E203" s="81" t="s">
        <v>754</v>
      </c>
      <c r="F203" s="84">
        <v>127.0</v>
      </c>
      <c r="G203" s="81" t="s">
        <v>12</v>
      </c>
      <c r="H203" s="81" t="s">
        <v>224</v>
      </c>
      <c r="I203" s="81" t="s">
        <v>55</v>
      </c>
      <c r="J203" s="81" t="s">
        <v>224</v>
      </c>
      <c r="K203" s="81" t="str">
        <f>IFERROR(__xludf.DUMMYFUNCTION("IF(OR(D203="""",G203=""""),"""",IFERROR(LET(
campo,XLOOKUP(TRIM(G203),ARRAYFORMULA(TRIM('indice columnas'!$A$2:$A$100)),'indice columnas'!$B$2:$B$100,""""),
col,IFERROR(MATCH(campo,Referencia!$A$1:$AZ$1,0),0),
fila,IFERROR(MATCH(TO_TEXT(D203),ARRAYFORMULA"&amp;"(TO_TEXT(Referencia!$A$2:$A6238)),0),0),
IF(OR(campo="""",campo=""-""),""NO APLICA"",
IF(col=0,""REVISAR EQUIVALENCIA"",
IF(fila=0,""SKU NO ENCONTRADO"",
LET(
valor,INDEX(Referencia!$A$2:$AZ6238,fila,col),
IF(TRIM(TO_TEXT(valor))=TRIM(TO_TEXT(I203)),
""OK"&amp;""",
""NO COINCIDE. Valor verdadero: ""&amp;IF(valor="""",""[VACÍO]"",TO_TEXT(valor))
)
))))
),""ERROR EN FÓRMULA""))"),"OK")</f>
        <v>OK</v>
      </c>
    </row>
    <row r="204">
      <c r="A204" s="83" t="s">
        <v>4078</v>
      </c>
      <c r="B204" s="83" t="s">
        <v>4079</v>
      </c>
      <c r="C204" s="81" t="s">
        <v>4086</v>
      </c>
      <c r="D204" s="83" t="s">
        <v>4201</v>
      </c>
      <c r="E204" s="81" t="s">
        <v>754</v>
      </c>
      <c r="F204" s="84">
        <v>127.0</v>
      </c>
      <c r="G204" s="81" t="s">
        <v>44</v>
      </c>
      <c r="H204" s="81" t="s">
        <v>4200</v>
      </c>
      <c r="I204" s="81" t="s">
        <v>745</v>
      </c>
      <c r="J204" s="81" t="s">
        <v>4088</v>
      </c>
      <c r="K204" s="81" t="str">
        <f>IFERROR(__xludf.DUMMYFUNCTION("IF(OR(D204="""",G204=""""),"""",IFERROR(LET(
campo,XLOOKUP(TRIM(G204),ARRAYFORMULA(TRIM('indice columnas'!$A$2:$A$100)),'indice columnas'!$B$2:$B$100,""""),
col,IFERROR(MATCH(campo,Referencia!$A$1:$AZ$1,0),0),
fila,IFERROR(MATCH(TO_TEXT(D204),ARRAYFORMULA"&amp;"(TO_TEXT(Referencia!$A$2:$A6238)),0),0),
IF(OR(campo="""",campo=""-""),""NO APLICA"",
IF(col=0,""REVISAR EQUIVALENCIA"",
IF(fila=0,""SKU NO ENCONTRADO"",
LET(
valor,INDEX(Referencia!$A$2:$AZ6238,fila,col),
IF(TRIM(TO_TEXT(valor))=TRIM(TO_TEXT(I204)),
""OK"&amp;""",
""NO COINCIDE. Valor verdadero: ""&amp;IF(valor="""",""[VACÍO]"",TO_TEXT(valor))
)
))))
),""ERROR EN FÓRMULA""))"),"NO APLICA")</f>
        <v>NO APLICA</v>
      </c>
    </row>
    <row r="205">
      <c r="A205" s="83" t="s">
        <v>4078</v>
      </c>
      <c r="B205" s="83" t="s">
        <v>4079</v>
      </c>
      <c r="C205" s="81" t="s">
        <v>4086</v>
      </c>
      <c r="D205" s="83" t="s">
        <v>4202</v>
      </c>
      <c r="E205" s="81" t="s">
        <v>756</v>
      </c>
      <c r="F205" s="84">
        <v>128.0</v>
      </c>
      <c r="G205" s="81" t="s">
        <v>44</v>
      </c>
      <c r="H205" s="81" t="s">
        <v>4203</v>
      </c>
      <c r="I205" s="81" t="s">
        <v>756</v>
      </c>
      <c r="J205" s="81" t="s">
        <v>4088</v>
      </c>
      <c r="K205" s="81" t="str">
        <f>IFERROR(__xludf.DUMMYFUNCTION("IF(OR(D205="""",G205=""""),"""",IFERROR(LET(
campo,XLOOKUP(TRIM(G205),ARRAYFORMULA(TRIM('indice columnas'!$A$2:$A$100)),'indice columnas'!$B$2:$B$100,""""),
col,IFERROR(MATCH(campo,Referencia!$A$1:$AZ$1,0),0),
fila,IFERROR(MATCH(TO_TEXT(D205),ARRAYFORMULA"&amp;"(TO_TEXT(Referencia!$A$2:$A6238)),0),0),
IF(OR(campo="""",campo=""-""),""NO APLICA"",
IF(col=0,""REVISAR EQUIVALENCIA"",
IF(fila=0,""SKU NO ENCONTRADO"",
LET(
valor,INDEX(Referencia!$A$2:$AZ6238,fila,col),
IF(TRIM(TO_TEXT(valor))=TRIM(TO_TEXT(I205)),
""OK"&amp;""",
""NO COINCIDE. Valor verdadero: ""&amp;IF(valor="""",""[VACÍO]"",TO_TEXT(valor))
)
))))
),""ERROR EN FÓRMULA""))"),"NO APLICA")</f>
        <v>NO APLICA</v>
      </c>
    </row>
    <row r="206">
      <c r="A206" s="83" t="s">
        <v>4078</v>
      </c>
      <c r="B206" s="83" t="s">
        <v>4079</v>
      </c>
      <c r="C206" s="81" t="s">
        <v>4086</v>
      </c>
      <c r="D206" s="83" t="s">
        <v>4202</v>
      </c>
      <c r="E206" s="81" t="s">
        <v>766</v>
      </c>
      <c r="F206" s="84">
        <v>129.0</v>
      </c>
      <c r="G206" s="81" t="s">
        <v>12</v>
      </c>
      <c r="H206" s="81" t="s">
        <v>224</v>
      </c>
      <c r="I206" s="81" t="s">
        <v>55</v>
      </c>
      <c r="J206" s="81" t="s">
        <v>224</v>
      </c>
      <c r="K206" s="81" t="str">
        <f>IFERROR(__xludf.DUMMYFUNCTION("IF(OR(D206="""",G206=""""),"""",IFERROR(LET(
campo,XLOOKUP(TRIM(G206),ARRAYFORMULA(TRIM('indice columnas'!$A$2:$A$100)),'indice columnas'!$B$2:$B$100,""""),
col,IFERROR(MATCH(campo,Referencia!$A$1:$AZ$1,0),0),
fila,IFERROR(MATCH(TO_TEXT(D206),ARRAYFORMULA"&amp;"(TO_TEXT(Referencia!$A$2:$A6238)),0),0),
IF(OR(campo="""",campo=""-""),""NO APLICA"",
IF(col=0,""REVISAR EQUIVALENCIA"",
IF(fila=0,""SKU NO ENCONTRADO"",
LET(
valor,INDEX(Referencia!$A$2:$AZ6238,fila,col),
IF(TRIM(TO_TEXT(valor))=TRIM(TO_TEXT(I206)),
""OK"&amp;""",
""NO COINCIDE. Valor verdadero: ""&amp;IF(valor="""",""[VACÍO]"",TO_TEXT(valor))
)
))))
),""ERROR EN FÓRMULA""))"),"OK")</f>
        <v>OK</v>
      </c>
    </row>
    <row r="207">
      <c r="A207" s="83" t="s">
        <v>4078</v>
      </c>
      <c r="B207" s="83" t="s">
        <v>4079</v>
      </c>
      <c r="C207" s="81" t="s">
        <v>4086</v>
      </c>
      <c r="D207" s="83" t="s">
        <v>4202</v>
      </c>
      <c r="E207" s="81" t="s">
        <v>766</v>
      </c>
      <c r="F207" s="84">
        <v>129.0</v>
      </c>
      <c r="G207" s="81" t="s">
        <v>44</v>
      </c>
      <c r="H207" s="81" t="s">
        <v>4203</v>
      </c>
      <c r="I207" s="81" t="s">
        <v>756</v>
      </c>
      <c r="J207" s="81" t="s">
        <v>4088</v>
      </c>
      <c r="K207" s="81" t="str">
        <f>IFERROR(__xludf.DUMMYFUNCTION("IF(OR(D207="""",G207=""""),"""",IFERROR(LET(
campo,XLOOKUP(TRIM(G207),ARRAYFORMULA(TRIM('indice columnas'!$A$2:$A$100)),'indice columnas'!$B$2:$B$100,""""),
col,IFERROR(MATCH(campo,Referencia!$A$1:$AZ$1,0),0),
fila,IFERROR(MATCH(TO_TEXT(D207),ARRAYFORMULA"&amp;"(TO_TEXT(Referencia!$A$2:$A6238)),0),0),
IF(OR(campo="""",campo=""-""),""NO APLICA"",
IF(col=0,""REVISAR EQUIVALENCIA"",
IF(fila=0,""SKU NO ENCONTRADO"",
LET(
valor,INDEX(Referencia!$A$2:$AZ6238,fila,col),
IF(TRIM(TO_TEXT(valor))=TRIM(TO_TEXT(I207)),
""OK"&amp;""",
""NO COINCIDE. Valor verdadero: ""&amp;IF(valor="""",""[VACÍO]"",TO_TEXT(valor))
)
))))
),""ERROR EN FÓRMULA""))"),"NO APLICA")</f>
        <v>NO APLICA</v>
      </c>
    </row>
    <row r="208">
      <c r="A208" s="83" t="s">
        <v>4078</v>
      </c>
      <c r="B208" s="83" t="s">
        <v>4079</v>
      </c>
      <c r="C208" s="81" t="s">
        <v>4086</v>
      </c>
      <c r="D208" s="83" t="s">
        <v>4204</v>
      </c>
      <c r="E208" s="81" t="s">
        <v>767</v>
      </c>
      <c r="F208" s="84">
        <v>130.0</v>
      </c>
      <c r="G208" s="81" t="s">
        <v>12</v>
      </c>
      <c r="H208" s="81" t="s">
        <v>224</v>
      </c>
      <c r="I208" s="81" t="s">
        <v>55</v>
      </c>
      <c r="J208" s="81" t="s">
        <v>224</v>
      </c>
      <c r="K208" s="81" t="str">
        <f>IFERROR(__xludf.DUMMYFUNCTION("IF(OR(D208="""",G208=""""),"""",IFERROR(LET(
campo,XLOOKUP(TRIM(G208),ARRAYFORMULA(TRIM('indice columnas'!$A$2:$A$100)),'indice columnas'!$B$2:$B$100,""""),
col,IFERROR(MATCH(campo,Referencia!$A$1:$AZ$1,0),0),
fila,IFERROR(MATCH(TO_TEXT(D208),ARRAYFORMULA"&amp;"(TO_TEXT(Referencia!$A$2:$A6238)),0),0),
IF(OR(campo="""",campo=""-""),""NO APLICA"",
IF(col=0,""REVISAR EQUIVALENCIA"",
IF(fila=0,""SKU NO ENCONTRADO"",
LET(
valor,INDEX(Referencia!$A$2:$AZ6238,fila,col),
IF(TRIM(TO_TEXT(valor))=TRIM(TO_TEXT(I208)),
""OK"&amp;""",
""NO COINCIDE. Valor verdadero: ""&amp;IF(valor="""",""[VACÍO]"",TO_TEXT(valor))
)
))))
),""ERROR EN FÓRMULA""))"),"OK")</f>
        <v>OK</v>
      </c>
    </row>
    <row r="209">
      <c r="A209" s="83" t="s">
        <v>4078</v>
      </c>
      <c r="B209" s="83" t="s">
        <v>4079</v>
      </c>
      <c r="C209" s="81" t="s">
        <v>4086</v>
      </c>
      <c r="D209" s="83" t="s">
        <v>4204</v>
      </c>
      <c r="E209" s="81" t="s">
        <v>767</v>
      </c>
      <c r="F209" s="84">
        <v>130.0</v>
      </c>
      <c r="G209" s="81" t="s">
        <v>44</v>
      </c>
      <c r="H209" s="81" t="s">
        <v>4203</v>
      </c>
      <c r="I209" s="81" t="s">
        <v>756</v>
      </c>
      <c r="J209" s="81" t="s">
        <v>4088</v>
      </c>
      <c r="K209" s="81" t="str">
        <f>IFERROR(__xludf.DUMMYFUNCTION("IF(OR(D209="""",G209=""""),"""",IFERROR(LET(
campo,XLOOKUP(TRIM(G209),ARRAYFORMULA(TRIM('indice columnas'!$A$2:$A$100)),'indice columnas'!$B$2:$B$100,""""),
col,IFERROR(MATCH(campo,Referencia!$A$1:$AZ$1,0),0),
fila,IFERROR(MATCH(TO_TEXT(D209),ARRAYFORMULA"&amp;"(TO_TEXT(Referencia!$A$2:$A6238)),0),0),
IF(OR(campo="""",campo=""-""),""NO APLICA"",
IF(col=0,""REVISAR EQUIVALENCIA"",
IF(fila=0,""SKU NO ENCONTRADO"",
LET(
valor,INDEX(Referencia!$A$2:$AZ6238,fila,col),
IF(TRIM(TO_TEXT(valor))=TRIM(TO_TEXT(I209)),
""OK"&amp;""",
""NO COINCIDE. Valor verdadero: ""&amp;IF(valor="""",""[VACÍO]"",TO_TEXT(valor))
)
))))
),""ERROR EN FÓRMULA""))"),"NO APLICA")</f>
        <v>NO APLICA</v>
      </c>
    </row>
    <row r="210">
      <c r="A210" s="83" t="s">
        <v>4078</v>
      </c>
      <c r="B210" s="83" t="s">
        <v>4079</v>
      </c>
      <c r="C210" s="81" t="s">
        <v>4086</v>
      </c>
      <c r="D210" s="83" t="s">
        <v>4205</v>
      </c>
      <c r="E210" s="81" t="s">
        <v>770</v>
      </c>
      <c r="F210" s="84">
        <v>131.0</v>
      </c>
      <c r="G210" s="81" t="s">
        <v>12</v>
      </c>
      <c r="H210" s="81" t="s">
        <v>224</v>
      </c>
      <c r="I210" s="81" t="s">
        <v>55</v>
      </c>
      <c r="J210" s="81" t="s">
        <v>224</v>
      </c>
      <c r="K210" s="81" t="str">
        <f>IFERROR(__xludf.DUMMYFUNCTION("IF(OR(D210="""",G210=""""),"""",IFERROR(LET(
campo,XLOOKUP(TRIM(G210),ARRAYFORMULA(TRIM('indice columnas'!$A$2:$A$100)),'indice columnas'!$B$2:$B$100,""""),
col,IFERROR(MATCH(campo,Referencia!$A$1:$AZ$1,0),0),
fila,IFERROR(MATCH(TO_TEXT(D210),ARRAYFORMULA"&amp;"(TO_TEXT(Referencia!$A$2:$A6238)),0),0),
IF(OR(campo="""",campo=""-""),""NO APLICA"",
IF(col=0,""REVISAR EQUIVALENCIA"",
IF(fila=0,""SKU NO ENCONTRADO"",
LET(
valor,INDEX(Referencia!$A$2:$AZ6238,fila,col),
IF(TRIM(TO_TEXT(valor))=TRIM(TO_TEXT(I210)),
""OK"&amp;""",
""NO COINCIDE. Valor verdadero: ""&amp;IF(valor="""",""[VACÍO]"",TO_TEXT(valor))
)
))))
),""ERROR EN FÓRMULA""))"),"OK")</f>
        <v>OK</v>
      </c>
    </row>
    <row r="211">
      <c r="A211" s="83" t="s">
        <v>4078</v>
      </c>
      <c r="B211" s="83" t="s">
        <v>4079</v>
      </c>
      <c r="C211" s="81" t="s">
        <v>4086</v>
      </c>
      <c r="D211" s="83" t="s">
        <v>4205</v>
      </c>
      <c r="E211" s="81" t="s">
        <v>770</v>
      </c>
      <c r="F211" s="84">
        <v>131.0</v>
      </c>
      <c r="G211" s="81" t="s">
        <v>44</v>
      </c>
      <c r="H211" s="81" t="s">
        <v>4194</v>
      </c>
      <c r="I211" s="81" t="s">
        <v>716</v>
      </c>
      <c r="J211" s="81" t="s">
        <v>4088</v>
      </c>
      <c r="K211" s="81" t="str">
        <f>IFERROR(__xludf.DUMMYFUNCTION("IF(OR(D211="""",G211=""""),"""",IFERROR(LET(
campo,XLOOKUP(TRIM(G211),ARRAYFORMULA(TRIM('indice columnas'!$A$2:$A$100)),'indice columnas'!$B$2:$B$100,""""),
col,IFERROR(MATCH(campo,Referencia!$A$1:$AZ$1,0),0),
fila,IFERROR(MATCH(TO_TEXT(D211),ARRAYFORMULA"&amp;"(TO_TEXT(Referencia!$A$2:$A6238)),0),0),
IF(OR(campo="""",campo=""-""),""NO APLICA"",
IF(col=0,""REVISAR EQUIVALENCIA"",
IF(fila=0,""SKU NO ENCONTRADO"",
LET(
valor,INDEX(Referencia!$A$2:$AZ6238,fila,col),
IF(TRIM(TO_TEXT(valor))=TRIM(TO_TEXT(I211)),
""OK"&amp;""",
""NO COINCIDE. Valor verdadero: ""&amp;IF(valor="""",""[VACÍO]"",TO_TEXT(valor))
)
))))
),""ERROR EN FÓRMULA""))"),"NO APLICA")</f>
        <v>NO APLICA</v>
      </c>
    </row>
    <row r="212">
      <c r="A212" s="83" t="s">
        <v>4078</v>
      </c>
      <c r="B212" s="83" t="s">
        <v>4079</v>
      </c>
      <c r="C212" s="81" t="s">
        <v>4086</v>
      </c>
      <c r="D212" s="83" t="s">
        <v>4206</v>
      </c>
      <c r="E212" s="81" t="s">
        <v>776</v>
      </c>
      <c r="F212" s="84">
        <v>132.0</v>
      </c>
      <c r="G212" s="81" t="s">
        <v>12</v>
      </c>
      <c r="H212" s="81" t="s">
        <v>224</v>
      </c>
      <c r="I212" s="81" t="s">
        <v>55</v>
      </c>
      <c r="J212" s="81" t="s">
        <v>224</v>
      </c>
      <c r="K212" s="81" t="str">
        <f>IFERROR(__xludf.DUMMYFUNCTION("IF(OR(D212="""",G212=""""),"""",IFERROR(LET(
campo,XLOOKUP(TRIM(G212),ARRAYFORMULA(TRIM('indice columnas'!$A$2:$A$100)),'indice columnas'!$B$2:$B$100,""""),
col,IFERROR(MATCH(campo,Referencia!$A$1:$AZ$1,0),0),
fila,IFERROR(MATCH(TO_TEXT(D212),ARRAYFORMULA"&amp;"(TO_TEXT(Referencia!$A$2:$A6238)),0),0),
IF(OR(campo="""",campo=""-""),""NO APLICA"",
IF(col=0,""REVISAR EQUIVALENCIA"",
IF(fila=0,""SKU NO ENCONTRADO"",
LET(
valor,INDEX(Referencia!$A$2:$AZ6238,fila,col),
IF(TRIM(TO_TEXT(valor))=TRIM(TO_TEXT(I212)),
""OK"&amp;""",
""NO COINCIDE. Valor verdadero: ""&amp;IF(valor="""",""[VACÍO]"",TO_TEXT(valor))
)
))))
),""ERROR EN FÓRMULA""))"),"OK")</f>
        <v>OK</v>
      </c>
    </row>
    <row r="213">
      <c r="A213" s="83" t="s">
        <v>4078</v>
      </c>
      <c r="B213" s="83" t="s">
        <v>4079</v>
      </c>
      <c r="C213" s="81" t="s">
        <v>4086</v>
      </c>
      <c r="D213" s="83" t="s">
        <v>4206</v>
      </c>
      <c r="E213" s="81" t="s">
        <v>776</v>
      </c>
      <c r="F213" s="84">
        <v>132.0</v>
      </c>
      <c r="G213" s="81" t="s">
        <v>44</v>
      </c>
      <c r="H213" s="81" t="s">
        <v>4194</v>
      </c>
      <c r="I213" s="81" t="s">
        <v>716</v>
      </c>
      <c r="J213" s="81" t="s">
        <v>4088</v>
      </c>
      <c r="K213" s="81" t="str">
        <f>IFERROR(__xludf.DUMMYFUNCTION("IF(OR(D213="""",G213=""""),"""",IFERROR(LET(
campo,XLOOKUP(TRIM(G213),ARRAYFORMULA(TRIM('indice columnas'!$A$2:$A$100)),'indice columnas'!$B$2:$B$100,""""),
col,IFERROR(MATCH(campo,Referencia!$A$1:$AZ$1,0),0),
fila,IFERROR(MATCH(TO_TEXT(D213),ARRAYFORMULA"&amp;"(TO_TEXT(Referencia!$A$2:$A6238)),0),0),
IF(OR(campo="""",campo=""-""),""NO APLICA"",
IF(col=0,""REVISAR EQUIVALENCIA"",
IF(fila=0,""SKU NO ENCONTRADO"",
LET(
valor,INDEX(Referencia!$A$2:$AZ6238,fila,col),
IF(TRIM(TO_TEXT(valor))=TRIM(TO_TEXT(I213)),
""OK"&amp;""",
""NO COINCIDE. Valor verdadero: ""&amp;IF(valor="""",""[VACÍO]"",TO_TEXT(valor))
)
))))
),""ERROR EN FÓRMULA""))"),"NO APLICA")</f>
        <v>NO APLICA</v>
      </c>
    </row>
    <row r="214">
      <c r="A214" s="83" t="s">
        <v>4078</v>
      </c>
      <c r="B214" s="83" t="s">
        <v>4079</v>
      </c>
      <c r="C214" s="81" t="s">
        <v>4086</v>
      </c>
      <c r="D214" s="83" t="s">
        <v>4207</v>
      </c>
      <c r="E214" s="81" t="s">
        <v>779</v>
      </c>
      <c r="F214" s="84">
        <v>133.0</v>
      </c>
      <c r="G214" s="81" t="s">
        <v>12</v>
      </c>
      <c r="H214" s="81" t="s">
        <v>224</v>
      </c>
      <c r="I214" s="81" t="s">
        <v>55</v>
      </c>
      <c r="J214" s="81" t="s">
        <v>224</v>
      </c>
      <c r="K214" s="81" t="str">
        <f>IFERROR(__xludf.DUMMYFUNCTION("IF(OR(D214="""",G214=""""),"""",IFERROR(LET(
campo,XLOOKUP(TRIM(G214),ARRAYFORMULA(TRIM('indice columnas'!$A$2:$A$100)),'indice columnas'!$B$2:$B$100,""""),
col,IFERROR(MATCH(campo,Referencia!$A$1:$AZ$1,0),0),
fila,IFERROR(MATCH(TO_TEXT(D214),ARRAYFORMULA"&amp;"(TO_TEXT(Referencia!$A$2:$A6238)),0),0),
IF(OR(campo="""",campo=""-""),""NO APLICA"",
IF(col=0,""REVISAR EQUIVALENCIA"",
IF(fila=0,""SKU NO ENCONTRADO"",
LET(
valor,INDEX(Referencia!$A$2:$AZ6238,fila,col),
IF(TRIM(TO_TEXT(valor))=TRIM(TO_TEXT(I214)),
""OK"&amp;""",
""NO COINCIDE. Valor verdadero: ""&amp;IF(valor="""",""[VACÍO]"",TO_TEXT(valor))
)
))))
),""ERROR EN FÓRMULA""))"),"OK")</f>
        <v>OK</v>
      </c>
    </row>
    <row r="215">
      <c r="A215" s="83" t="s">
        <v>4078</v>
      </c>
      <c r="B215" s="83" t="s">
        <v>4079</v>
      </c>
      <c r="C215" s="81" t="s">
        <v>4086</v>
      </c>
      <c r="D215" s="83" t="s">
        <v>4207</v>
      </c>
      <c r="E215" s="81" t="s">
        <v>779</v>
      </c>
      <c r="F215" s="84">
        <v>133.0</v>
      </c>
      <c r="G215" s="81" t="s">
        <v>44</v>
      </c>
      <c r="H215" s="81" t="s">
        <v>4197</v>
      </c>
      <c r="I215" s="81" t="s">
        <v>731</v>
      </c>
      <c r="J215" s="81" t="s">
        <v>4088</v>
      </c>
      <c r="K215" s="81" t="str">
        <f>IFERROR(__xludf.DUMMYFUNCTION("IF(OR(D215="""",G215=""""),"""",IFERROR(LET(
campo,XLOOKUP(TRIM(G215),ARRAYFORMULA(TRIM('indice columnas'!$A$2:$A$100)),'indice columnas'!$B$2:$B$100,""""),
col,IFERROR(MATCH(campo,Referencia!$A$1:$AZ$1,0),0),
fila,IFERROR(MATCH(TO_TEXT(D215),ARRAYFORMULA"&amp;"(TO_TEXT(Referencia!$A$2:$A6238)),0),0),
IF(OR(campo="""",campo=""-""),""NO APLICA"",
IF(col=0,""REVISAR EQUIVALENCIA"",
IF(fila=0,""SKU NO ENCONTRADO"",
LET(
valor,INDEX(Referencia!$A$2:$AZ6238,fila,col),
IF(TRIM(TO_TEXT(valor))=TRIM(TO_TEXT(I215)),
""OK"&amp;""",
""NO COINCIDE. Valor verdadero: ""&amp;IF(valor="""",""[VACÍO]"",TO_TEXT(valor))
)
))))
),""ERROR EN FÓRMULA""))"),"NO APLICA")</f>
        <v>NO APLICA</v>
      </c>
    </row>
    <row r="216">
      <c r="A216" s="83" t="s">
        <v>4078</v>
      </c>
      <c r="B216" s="83" t="s">
        <v>4079</v>
      </c>
      <c r="C216" s="81" t="s">
        <v>4086</v>
      </c>
      <c r="D216" s="83" t="s">
        <v>4208</v>
      </c>
      <c r="E216" s="81" t="s">
        <v>786</v>
      </c>
      <c r="F216" s="84">
        <v>134.0</v>
      </c>
      <c r="G216" s="81" t="s">
        <v>12</v>
      </c>
      <c r="H216" s="81" t="s">
        <v>224</v>
      </c>
      <c r="I216" s="81" t="s">
        <v>55</v>
      </c>
      <c r="J216" s="81" t="s">
        <v>224</v>
      </c>
      <c r="K216" s="81" t="str">
        <f>IFERROR(__xludf.DUMMYFUNCTION("IF(OR(D216="""",G216=""""),"""",IFERROR(LET(
campo,XLOOKUP(TRIM(G216),ARRAYFORMULA(TRIM('indice columnas'!$A$2:$A$100)),'indice columnas'!$B$2:$B$100,""""),
col,IFERROR(MATCH(campo,Referencia!$A$1:$AZ$1,0),0),
fila,IFERROR(MATCH(TO_TEXT(D216),ARRAYFORMULA"&amp;"(TO_TEXT(Referencia!$A$2:$A6238)),0),0),
IF(OR(campo="""",campo=""-""),""NO APLICA"",
IF(col=0,""REVISAR EQUIVALENCIA"",
IF(fila=0,""SKU NO ENCONTRADO"",
LET(
valor,INDEX(Referencia!$A$2:$AZ6238,fila,col),
IF(TRIM(TO_TEXT(valor))=TRIM(TO_TEXT(I216)),
""OK"&amp;""",
""NO COINCIDE. Valor verdadero: ""&amp;IF(valor="""",""[VACÍO]"",TO_TEXT(valor))
)
))))
),""ERROR EN FÓRMULA""))"),"OK")</f>
        <v>OK</v>
      </c>
    </row>
    <row r="217">
      <c r="A217" s="83" t="s">
        <v>4078</v>
      </c>
      <c r="B217" s="83" t="s">
        <v>4079</v>
      </c>
      <c r="C217" s="81" t="s">
        <v>4086</v>
      </c>
      <c r="D217" s="83" t="s">
        <v>4208</v>
      </c>
      <c r="E217" s="81" t="s">
        <v>786</v>
      </c>
      <c r="F217" s="84">
        <v>134.0</v>
      </c>
      <c r="G217" s="81" t="s">
        <v>44</v>
      </c>
      <c r="H217" s="81" t="s">
        <v>4197</v>
      </c>
      <c r="I217" s="81" t="s">
        <v>731</v>
      </c>
      <c r="J217" s="81" t="s">
        <v>4088</v>
      </c>
      <c r="K217" s="81" t="str">
        <f>IFERROR(__xludf.DUMMYFUNCTION("IF(OR(D217="""",G217=""""),"""",IFERROR(LET(
campo,XLOOKUP(TRIM(G217),ARRAYFORMULA(TRIM('indice columnas'!$A$2:$A$100)),'indice columnas'!$B$2:$B$100,""""),
col,IFERROR(MATCH(campo,Referencia!$A$1:$AZ$1,0),0),
fila,IFERROR(MATCH(TO_TEXT(D217),ARRAYFORMULA"&amp;"(TO_TEXT(Referencia!$A$2:$A6238)),0),0),
IF(OR(campo="""",campo=""-""),""NO APLICA"",
IF(col=0,""REVISAR EQUIVALENCIA"",
IF(fila=0,""SKU NO ENCONTRADO"",
LET(
valor,INDEX(Referencia!$A$2:$AZ6238,fila,col),
IF(TRIM(TO_TEXT(valor))=TRIM(TO_TEXT(I217)),
""OK"&amp;""",
""NO COINCIDE. Valor verdadero: ""&amp;IF(valor="""",""[VACÍO]"",TO_TEXT(valor))
)
))))
),""ERROR EN FÓRMULA""))"),"NO APLICA")</f>
        <v>NO APLICA</v>
      </c>
    </row>
    <row r="218">
      <c r="A218" s="83" t="s">
        <v>4078</v>
      </c>
      <c r="B218" s="83" t="s">
        <v>4079</v>
      </c>
      <c r="C218" s="81" t="s">
        <v>4086</v>
      </c>
      <c r="D218" s="83" t="s">
        <v>4209</v>
      </c>
      <c r="E218" s="81" t="s">
        <v>788</v>
      </c>
      <c r="F218" s="84">
        <v>135.0</v>
      </c>
      <c r="G218" s="81" t="s">
        <v>12</v>
      </c>
      <c r="H218" s="81" t="s">
        <v>224</v>
      </c>
      <c r="I218" s="81" t="s">
        <v>55</v>
      </c>
      <c r="J218" s="81" t="s">
        <v>224</v>
      </c>
      <c r="K218" s="81" t="str">
        <f>IFERROR(__xludf.DUMMYFUNCTION("IF(OR(D218="""",G218=""""),"""",IFERROR(LET(
campo,XLOOKUP(TRIM(G218),ARRAYFORMULA(TRIM('indice columnas'!$A$2:$A$100)),'indice columnas'!$B$2:$B$100,""""),
col,IFERROR(MATCH(campo,Referencia!$A$1:$AZ$1,0),0),
fila,IFERROR(MATCH(TO_TEXT(D218),ARRAYFORMULA"&amp;"(TO_TEXT(Referencia!$A$2:$A6238)),0),0),
IF(OR(campo="""",campo=""-""),""NO APLICA"",
IF(col=0,""REVISAR EQUIVALENCIA"",
IF(fila=0,""SKU NO ENCONTRADO"",
LET(
valor,INDEX(Referencia!$A$2:$AZ6238,fila,col),
IF(TRIM(TO_TEXT(valor))=TRIM(TO_TEXT(I218)),
""OK"&amp;""",
""NO COINCIDE. Valor verdadero: ""&amp;IF(valor="""",""[VACÍO]"",TO_TEXT(valor))
)
))))
),""ERROR EN FÓRMULA""))"),"OK")</f>
        <v>OK</v>
      </c>
    </row>
    <row r="219">
      <c r="A219" s="83" t="s">
        <v>4078</v>
      </c>
      <c r="B219" s="83" t="s">
        <v>4079</v>
      </c>
      <c r="C219" s="81" t="s">
        <v>4086</v>
      </c>
      <c r="D219" s="83" t="s">
        <v>4209</v>
      </c>
      <c r="E219" s="81" t="s">
        <v>788</v>
      </c>
      <c r="F219" s="84">
        <v>135.0</v>
      </c>
      <c r="G219" s="81" t="s">
        <v>44</v>
      </c>
      <c r="H219" s="81" t="s">
        <v>4200</v>
      </c>
      <c r="I219" s="81" t="s">
        <v>745</v>
      </c>
      <c r="J219" s="81" t="s">
        <v>4088</v>
      </c>
      <c r="K219" s="81" t="str">
        <f>IFERROR(__xludf.DUMMYFUNCTION("IF(OR(D219="""",G219=""""),"""",IFERROR(LET(
campo,XLOOKUP(TRIM(G219),ARRAYFORMULA(TRIM('indice columnas'!$A$2:$A$100)),'indice columnas'!$B$2:$B$100,""""),
col,IFERROR(MATCH(campo,Referencia!$A$1:$AZ$1,0),0),
fila,IFERROR(MATCH(TO_TEXT(D219),ARRAYFORMULA"&amp;"(TO_TEXT(Referencia!$A$2:$A6238)),0),0),
IF(OR(campo="""",campo=""-""),""NO APLICA"",
IF(col=0,""REVISAR EQUIVALENCIA"",
IF(fila=0,""SKU NO ENCONTRADO"",
LET(
valor,INDEX(Referencia!$A$2:$AZ6238,fila,col),
IF(TRIM(TO_TEXT(valor))=TRIM(TO_TEXT(I219)),
""OK"&amp;""",
""NO COINCIDE. Valor verdadero: ""&amp;IF(valor="""",""[VACÍO]"",TO_TEXT(valor))
)
))))
),""ERROR EN FÓRMULA""))"),"NO APLICA")</f>
        <v>NO APLICA</v>
      </c>
    </row>
    <row r="220">
      <c r="A220" s="83" t="s">
        <v>4078</v>
      </c>
      <c r="B220" s="83" t="s">
        <v>4079</v>
      </c>
      <c r="C220" s="81" t="s">
        <v>4086</v>
      </c>
      <c r="D220" s="83" t="s">
        <v>4210</v>
      </c>
      <c r="E220" s="81" t="s">
        <v>795</v>
      </c>
      <c r="F220" s="84">
        <v>136.0</v>
      </c>
      <c r="G220" s="81" t="s">
        <v>12</v>
      </c>
      <c r="H220" s="81" t="s">
        <v>224</v>
      </c>
      <c r="I220" s="81" t="s">
        <v>55</v>
      </c>
      <c r="J220" s="81" t="s">
        <v>224</v>
      </c>
      <c r="K220" s="81" t="str">
        <f>IFERROR(__xludf.DUMMYFUNCTION("IF(OR(D220="""",G220=""""),"""",IFERROR(LET(
campo,XLOOKUP(TRIM(G220),ARRAYFORMULA(TRIM('indice columnas'!$A$2:$A$100)),'indice columnas'!$B$2:$B$100,""""),
col,IFERROR(MATCH(campo,Referencia!$A$1:$AZ$1,0),0),
fila,IFERROR(MATCH(TO_TEXT(D220),ARRAYFORMULA"&amp;"(TO_TEXT(Referencia!$A$2:$A6238)),0),0),
IF(OR(campo="""",campo=""-""),""NO APLICA"",
IF(col=0,""REVISAR EQUIVALENCIA"",
IF(fila=0,""SKU NO ENCONTRADO"",
LET(
valor,INDEX(Referencia!$A$2:$AZ6238,fila,col),
IF(TRIM(TO_TEXT(valor))=TRIM(TO_TEXT(I220)),
""OK"&amp;""",
""NO COINCIDE. Valor verdadero: ""&amp;IF(valor="""",""[VACÍO]"",TO_TEXT(valor))
)
))))
),""ERROR EN FÓRMULA""))"),"OK")</f>
        <v>OK</v>
      </c>
    </row>
    <row r="221">
      <c r="A221" s="83" t="s">
        <v>4078</v>
      </c>
      <c r="B221" s="83" t="s">
        <v>4079</v>
      </c>
      <c r="C221" s="81" t="s">
        <v>4086</v>
      </c>
      <c r="D221" s="83" t="s">
        <v>4210</v>
      </c>
      <c r="E221" s="81" t="s">
        <v>795</v>
      </c>
      <c r="F221" s="84">
        <v>136.0</v>
      </c>
      <c r="G221" s="81" t="s">
        <v>44</v>
      </c>
      <c r="H221" s="81" t="s">
        <v>4200</v>
      </c>
      <c r="I221" s="81" t="s">
        <v>745</v>
      </c>
      <c r="J221" s="81" t="s">
        <v>4088</v>
      </c>
      <c r="K221" s="81" t="str">
        <f>IFERROR(__xludf.DUMMYFUNCTION("IF(OR(D221="""",G221=""""),"""",IFERROR(LET(
campo,XLOOKUP(TRIM(G221),ARRAYFORMULA(TRIM('indice columnas'!$A$2:$A$100)),'indice columnas'!$B$2:$B$100,""""),
col,IFERROR(MATCH(campo,Referencia!$A$1:$AZ$1,0),0),
fila,IFERROR(MATCH(TO_TEXT(D221),ARRAYFORMULA"&amp;"(TO_TEXT(Referencia!$A$2:$A6238)),0),0),
IF(OR(campo="""",campo=""-""),""NO APLICA"",
IF(col=0,""REVISAR EQUIVALENCIA"",
IF(fila=0,""SKU NO ENCONTRADO"",
LET(
valor,INDEX(Referencia!$A$2:$AZ6238,fila,col),
IF(TRIM(TO_TEXT(valor))=TRIM(TO_TEXT(I221)),
""OK"&amp;""",
""NO COINCIDE. Valor verdadero: ""&amp;IF(valor="""",""[VACÍO]"",TO_TEXT(valor))
)
))))
),""ERROR EN FÓRMULA""))"),"NO APLICA")</f>
        <v>NO APLICA</v>
      </c>
    </row>
    <row r="222">
      <c r="A222" s="83" t="s">
        <v>4078</v>
      </c>
      <c r="B222" s="83" t="s">
        <v>4079</v>
      </c>
      <c r="C222" s="81" t="s">
        <v>4086</v>
      </c>
      <c r="D222" s="83" t="s">
        <v>4211</v>
      </c>
      <c r="E222" s="81" t="s">
        <v>798</v>
      </c>
      <c r="F222" s="84">
        <v>137.0</v>
      </c>
      <c r="G222" s="81" t="s">
        <v>12</v>
      </c>
      <c r="H222" s="81" t="s">
        <v>224</v>
      </c>
      <c r="I222" s="81" t="s">
        <v>55</v>
      </c>
      <c r="J222" s="81" t="s">
        <v>224</v>
      </c>
      <c r="K222" s="81" t="str">
        <f>IFERROR(__xludf.DUMMYFUNCTION("IF(OR(D222="""",G222=""""),"""",IFERROR(LET(
campo,XLOOKUP(TRIM(G222),ARRAYFORMULA(TRIM('indice columnas'!$A$2:$A$100)),'indice columnas'!$B$2:$B$100,""""),
col,IFERROR(MATCH(campo,Referencia!$A$1:$AZ$1,0),0),
fila,IFERROR(MATCH(TO_TEXT(D222),ARRAYFORMULA"&amp;"(TO_TEXT(Referencia!$A$2:$A6238)),0),0),
IF(OR(campo="""",campo=""-""),""NO APLICA"",
IF(col=0,""REVISAR EQUIVALENCIA"",
IF(fila=0,""SKU NO ENCONTRADO"",
LET(
valor,INDEX(Referencia!$A$2:$AZ6238,fila,col),
IF(TRIM(TO_TEXT(valor))=TRIM(TO_TEXT(I222)),
""OK"&amp;""",
""NO COINCIDE. Valor verdadero: ""&amp;IF(valor="""",""[VACÍO]"",TO_TEXT(valor))
)
))))
),""ERROR EN FÓRMULA""))"),"OK")</f>
        <v>OK</v>
      </c>
    </row>
    <row r="223">
      <c r="A223" s="83" t="s">
        <v>4078</v>
      </c>
      <c r="B223" s="83" t="s">
        <v>4079</v>
      </c>
      <c r="C223" s="81" t="s">
        <v>4086</v>
      </c>
      <c r="D223" s="83" t="s">
        <v>4211</v>
      </c>
      <c r="E223" s="81" t="s">
        <v>798</v>
      </c>
      <c r="F223" s="84">
        <v>137.0</v>
      </c>
      <c r="G223" s="81" t="s">
        <v>44</v>
      </c>
      <c r="H223" s="81" t="s">
        <v>4203</v>
      </c>
      <c r="I223" s="81" t="s">
        <v>756</v>
      </c>
      <c r="J223" s="81" t="s">
        <v>4088</v>
      </c>
      <c r="K223" s="81" t="str">
        <f>IFERROR(__xludf.DUMMYFUNCTION("IF(OR(D223="""",G223=""""),"""",IFERROR(LET(
campo,XLOOKUP(TRIM(G223),ARRAYFORMULA(TRIM('indice columnas'!$A$2:$A$100)),'indice columnas'!$B$2:$B$100,""""),
col,IFERROR(MATCH(campo,Referencia!$A$1:$AZ$1,0),0),
fila,IFERROR(MATCH(TO_TEXT(D223),ARRAYFORMULA"&amp;"(TO_TEXT(Referencia!$A$2:$A6238)),0),0),
IF(OR(campo="""",campo=""-""),""NO APLICA"",
IF(col=0,""REVISAR EQUIVALENCIA"",
IF(fila=0,""SKU NO ENCONTRADO"",
LET(
valor,INDEX(Referencia!$A$2:$AZ6238,fila,col),
IF(TRIM(TO_TEXT(valor))=TRIM(TO_TEXT(I223)),
""OK"&amp;""",
""NO COINCIDE. Valor verdadero: ""&amp;IF(valor="""",""[VACÍO]"",TO_TEXT(valor))
)
))))
),""ERROR EN FÓRMULA""))"),"NO APLICA")</f>
        <v>NO APLICA</v>
      </c>
    </row>
    <row r="224">
      <c r="A224" s="83" t="s">
        <v>4078</v>
      </c>
      <c r="B224" s="83" t="s">
        <v>4079</v>
      </c>
      <c r="C224" s="81" t="s">
        <v>4086</v>
      </c>
      <c r="D224" s="83" t="s">
        <v>4212</v>
      </c>
      <c r="E224" s="81" t="s">
        <v>804</v>
      </c>
      <c r="F224" s="84">
        <v>138.0</v>
      </c>
      <c r="G224" s="81" t="s">
        <v>12</v>
      </c>
      <c r="H224" s="81" t="s">
        <v>224</v>
      </c>
      <c r="I224" s="81" t="s">
        <v>55</v>
      </c>
      <c r="J224" s="81" t="s">
        <v>224</v>
      </c>
      <c r="K224" s="81" t="str">
        <f>IFERROR(__xludf.DUMMYFUNCTION("IF(OR(D224="""",G224=""""),"""",IFERROR(LET(
campo,XLOOKUP(TRIM(G224),ARRAYFORMULA(TRIM('indice columnas'!$A$2:$A$100)),'indice columnas'!$B$2:$B$100,""""),
col,IFERROR(MATCH(campo,Referencia!$A$1:$AZ$1,0),0),
fila,IFERROR(MATCH(TO_TEXT(D224),ARRAYFORMULA"&amp;"(TO_TEXT(Referencia!$A$2:$A6238)),0),0),
IF(OR(campo="""",campo=""-""),""NO APLICA"",
IF(col=0,""REVISAR EQUIVALENCIA"",
IF(fila=0,""SKU NO ENCONTRADO"",
LET(
valor,INDEX(Referencia!$A$2:$AZ6238,fila,col),
IF(TRIM(TO_TEXT(valor))=TRIM(TO_TEXT(I224)),
""OK"&amp;""",
""NO COINCIDE. Valor verdadero: ""&amp;IF(valor="""",""[VACÍO]"",TO_TEXT(valor))
)
))))
),""ERROR EN FÓRMULA""))"),"OK")</f>
        <v>OK</v>
      </c>
    </row>
    <row r="225">
      <c r="A225" s="83" t="s">
        <v>4078</v>
      </c>
      <c r="B225" s="83" t="s">
        <v>4079</v>
      </c>
      <c r="C225" s="81" t="s">
        <v>4086</v>
      </c>
      <c r="D225" s="83" t="s">
        <v>4212</v>
      </c>
      <c r="E225" s="81" t="s">
        <v>804</v>
      </c>
      <c r="F225" s="84">
        <v>138.0</v>
      </c>
      <c r="G225" s="81" t="s">
        <v>44</v>
      </c>
      <c r="H225" s="81" t="s">
        <v>4203</v>
      </c>
      <c r="I225" s="81" t="s">
        <v>756</v>
      </c>
      <c r="J225" s="81" t="s">
        <v>4088</v>
      </c>
      <c r="K225" s="81" t="str">
        <f>IFERROR(__xludf.DUMMYFUNCTION("IF(OR(D225="""",G225=""""),"""",IFERROR(LET(
campo,XLOOKUP(TRIM(G225),ARRAYFORMULA(TRIM('indice columnas'!$A$2:$A$100)),'indice columnas'!$B$2:$B$100,""""),
col,IFERROR(MATCH(campo,Referencia!$A$1:$AZ$1,0),0),
fila,IFERROR(MATCH(TO_TEXT(D225),ARRAYFORMULA"&amp;"(TO_TEXT(Referencia!$A$2:$A6238)),0),0),
IF(OR(campo="""",campo=""-""),""NO APLICA"",
IF(col=0,""REVISAR EQUIVALENCIA"",
IF(fila=0,""SKU NO ENCONTRADO"",
LET(
valor,INDEX(Referencia!$A$2:$AZ6238,fila,col),
IF(TRIM(TO_TEXT(valor))=TRIM(TO_TEXT(I225)),
""OK"&amp;""",
""NO COINCIDE. Valor verdadero: ""&amp;IF(valor="""",""[VACÍO]"",TO_TEXT(valor))
)
))))
),""ERROR EN FÓRMULA""))"),"NO APLICA")</f>
        <v>NO APLICA</v>
      </c>
    </row>
    <row r="226">
      <c r="A226" s="83" t="s">
        <v>4078</v>
      </c>
      <c r="B226" s="83" t="s">
        <v>4079</v>
      </c>
      <c r="C226" s="81" t="s">
        <v>4086</v>
      </c>
      <c r="D226" s="83" t="s">
        <v>4213</v>
      </c>
      <c r="E226" s="81" t="s">
        <v>806</v>
      </c>
      <c r="F226" s="84">
        <v>139.0</v>
      </c>
      <c r="G226" s="81" t="s">
        <v>12</v>
      </c>
      <c r="H226" s="81" t="s">
        <v>224</v>
      </c>
      <c r="I226" s="81" t="s">
        <v>55</v>
      </c>
      <c r="J226" s="81" t="s">
        <v>224</v>
      </c>
      <c r="K226" s="81" t="str">
        <f>IFERROR(__xludf.DUMMYFUNCTION("IF(OR(D226="""",G226=""""),"""",IFERROR(LET(
campo,XLOOKUP(TRIM(G226),ARRAYFORMULA(TRIM('indice columnas'!$A$2:$A$100)),'indice columnas'!$B$2:$B$100,""""),
col,IFERROR(MATCH(campo,Referencia!$A$1:$AZ$1,0),0),
fila,IFERROR(MATCH(TO_TEXT(D226),ARRAYFORMULA"&amp;"(TO_TEXT(Referencia!$A$2:$A6238)),0),0),
IF(OR(campo="""",campo=""-""),""NO APLICA"",
IF(col=0,""REVISAR EQUIVALENCIA"",
IF(fila=0,""SKU NO ENCONTRADO"",
LET(
valor,INDEX(Referencia!$A$2:$AZ6238,fila,col),
IF(TRIM(TO_TEXT(valor))=TRIM(TO_TEXT(I226)),
""OK"&amp;""",
""NO COINCIDE. Valor verdadero: ""&amp;IF(valor="""",""[VACÍO]"",TO_TEXT(valor))
)
))))
),""ERROR EN FÓRMULA""))"),"OK")</f>
        <v>OK</v>
      </c>
    </row>
    <row r="227">
      <c r="A227" s="83" t="s">
        <v>4078</v>
      </c>
      <c r="B227" s="83" t="s">
        <v>4079</v>
      </c>
      <c r="C227" s="81" t="s">
        <v>4086</v>
      </c>
      <c r="D227" s="83" t="s">
        <v>4213</v>
      </c>
      <c r="E227" s="81" t="s">
        <v>806</v>
      </c>
      <c r="F227" s="84">
        <v>139.0</v>
      </c>
      <c r="G227" s="81" t="s">
        <v>44</v>
      </c>
      <c r="H227" s="81" t="s">
        <v>4194</v>
      </c>
      <c r="I227" s="81" t="s">
        <v>716</v>
      </c>
      <c r="J227" s="81" t="s">
        <v>4088</v>
      </c>
      <c r="K227" s="81" t="str">
        <f>IFERROR(__xludf.DUMMYFUNCTION("IF(OR(D227="""",G227=""""),"""",IFERROR(LET(
campo,XLOOKUP(TRIM(G227),ARRAYFORMULA(TRIM('indice columnas'!$A$2:$A$100)),'indice columnas'!$B$2:$B$100,""""),
col,IFERROR(MATCH(campo,Referencia!$A$1:$AZ$1,0),0),
fila,IFERROR(MATCH(TO_TEXT(D227),ARRAYFORMULA"&amp;"(TO_TEXT(Referencia!$A$2:$A6238)),0),0),
IF(OR(campo="""",campo=""-""),""NO APLICA"",
IF(col=0,""REVISAR EQUIVALENCIA"",
IF(fila=0,""SKU NO ENCONTRADO"",
LET(
valor,INDEX(Referencia!$A$2:$AZ6238,fila,col),
IF(TRIM(TO_TEXT(valor))=TRIM(TO_TEXT(I227)),
""OK"&amp;""",
""NO COINCIDE. Valor verdadero: ""&amp;IF(valor="""",""[VACÍO]"",TO_TEXT(valor))
)
))))
),""ERROR EN FÓRMULA""))"),"NO APLICA")</f>
        <v>NO APLICA</v>
      </c>
    </row>
    <row r="228">
      <c r="A228" s="83" t="s">
        <v>4078</v>
      </c>
      <c r="B228" s="83" t="s">
        <v>4079</v>
      </c>
      <c r="C228" s="81" t="s">
        <v>4086</v>
      </c>
      <c r="D228" s="83" t="s">
        <v>4214</v>
      </c>
      <c r="E228" s="81" t="s">
        <v>812</v>
      </c>
      <c r="F228" s="84">
        <v>140.0</v>
      </c>
      <c r="G228" s="81" t="s">
        <v>12</v>
      </c>
      <c r="H228" s="81" t="s">
        <v>224</v>
      </c>
      <c r="I228" s="81" t="s">
        <v>55</v>
      </c>
      <c r="J228" s="81" t="s">
        <v>224</v>
      </c>
      <c r="K228" s="81" t="str">
        <f>IFERROR(__xludf.DUMMYFUNCTION("IF(OR(D228="""",G228=""""),"""",IFERROR(LET(
campo,XLOOKUP(TRIM(G228),ARRAYFORMULA(TRIM('indice columnas'!$A$2:$A$100)),'indice columnas'!$B$2:$B$100,""""),
col,IFERROR(MATCH(campo,Referencia!$A$1:$AZ$1,0),0),
fila,IFERROR(MATCH(TO_TEXT(D228),ARRAYFORMULA"&amp;"(TO_TEXT(Referencia!$A$2:$A6238)),0),0),
IF(OR(campo="""",campo=""-""),""NO APLICA"",
IF(col=0,""REVISAR EQUIVALENCIA"",
IF(fila=0,""SKU NO ENCONTRADO"",
LET(
valor,INDEX(Referencia!$A$2:$AZ6238,fila,col),
IF(TRIM(TO_TEXT(valor))=TRIM(TO_TEXT(I228)),
""OK"&amp;""",
""NO COINCIDE. Valor verdadero: ""&amp;IF(valor="""",""[VACÍO]"",TO_TEXT(valor))
)
))))
),""ERROR EN FÓRMULA""))"),"OK")</f>
        <v>OK</v>
      </c>
    </row>
    <row r="229">
      <c r="A229" s="83" t="s">
        <v>4078</v>
      </c>
      <c r="B229" s="83" t="s">
        <v>4079</v>
      </c>
      <c r="C229" s="81" t="s">
        <v>4086</v>
      </c>
      <c r="D229" s="83" t="s">
        <v>4214</v>
      </c>
      <c r="E229" s="81" t="s">
        <v>812</v>
      </c>
      <c r="F229" s="84">
        <v>140.0</v>
      </c>
      <c r="G229" s="81" t="s">
        <v>44</v>
      </c>
      <c r="H229" s="81" t="s">
        <v>4194</v>
      </c>
      <c r="I229" s="81" t="s">
        <v>716</v>
      </c>
      <c r="J229" s="81" t="s">
        <v>4088</v>
      </c>
      <c r="K229" s="81" t="str">
        <f>IFERROR(__xludf.DUMMYFUNCTION("IF(OR(D229="""",G229=""""),"""",IFERROR(LET(
campo,XLOOKUP(TRIM(G229),ARRAYFORMULA(TRIM('indice columnas'!$A$2:$A$100)),'indice columnas'!$B$2:$B$100,""""),
col,IFERROR(MATCH(campo,Referencia!$A$1:$AZ$1,0),0),
fila,IFERROR(MATCH(TO_TEXT(D229),ARRAYFORMULA"&amp;"(TO_TEXT(Referencia!$A$2:$A6238)),0),0),
IF(OR(campo="""",campo=""-""),""NO APLICA"",
IF(col=0,""REVISAR EQUIVALENCIA"",
IF(fila=0,""SKU NO ENCONTRADO"",
LET(
valor,INDEX(Referencia!$A$2:$AZ6238,fila,col),
IF(TRIM(TO_TEXT(valor))=TRIM(TO_TEXT(I229)),
""OK"&amp;""",
""NO COINCIDE. Valor verdadero: ""&amp;IF(valor="""",""[VACÍO]"",TO_TEXT(valor))
)
))))
),""ERROR EN FÓRMULA""))"),"NO APLICA")</f>
        <v>NO APLICA</v>
      </c>
    </row>
    <row r="230">
      <c r="A230" s="83" t="s">
        <v>4078</v>
      </c>
      <c r="B230" s="83" t="s">
        <v>4079</v>
      </c>
      <c r="C230" s="81" t="s">
        <v>4086</v>
      </c>
      <c r="D230" s="83" t="s">
        <v>4215</v>
      </c>
      <c r="E230" s="81" t="s">
        <v>815</v>
      </c>
      <c r="F230" s="84">
        <v>141.0</v>
      </c>
      <c r="G230" s="81" t="s">
        <v>12</v>
      </c>
      <c r="H230" s="81" t="s">
        <v>224</v>
      </c>
      <c r="I230" s="81" t="s">
        <v>55</v>
      </c>
      <c r="J230" s="81" t="s">
        <v>224</v>
      </c>
      <c r="K230" s="81" t="str">
        <f>IFERROR(__xludf.DUMMYFUNCTION("IF(OR(D230="""",G230=""""),"""",IFERROR(LET(
campo,XLOOKUP(TRIM(G230),ARRAYFORMULA(TRIM('indice columnas'!$A$2:$A$100)),'indice columnas'!$B$2:$B$100,""""),
col,IFERROR(MATCH(campo,Referencia!$A$1:$AZ$1,0),0),
fila,IFERROR(MATCH(TO_TEXT(D230),ARRAYFORMULA"&amp;"(TO_TEXT(Referencia!$A$2:$A6238)),0),0),
IF(OR(campo="""",campo=""-""),""NO APLICA"",
IF(col=0,""REVISAR EQUIVALENCIA"",
IF(fila=0,""SKU NO ENCONTRADO"",
LET(
valor,INDEX(Referencia!$A$2:$AZ6238,fila,col),
IF(TRIM(TO_TEXT(valor))=TRIM(TO_TEXT(I230)),
""OK"&amp;""",
""NO COINCIDE. Valor verdadero: ""&amp;IF(valor="""",""[VACÍO]"",TO_TEXT(valor))
)
))))
),""ERROR EN FÓRMULA""))"),"OK")</f>
        <v>OK</v>
      </c>
    </row>
    <row r="231">
      <c r="A231" s="83" t="s">
        <v>4078</v>
      </c>
      <c r="B231" s="83" t="s">
        <v>4079</v>
      </c>
      <c r="C231" s="81" t="s">
        <v>4086</v>
      </c>
      <c r="D231" s="83" t="s">
        <v>4215</v>
      </c>
      <c r="E231" s="81" t="s">
        <v>815</v>
      </c>
      <c r="F231" s="84">
        <v>141.0</v>
      </c>
      <c r="G231" s="81" t="s">
        <v>44</v>
      </c>
      <c r="H231" s="81" t="s">
        <v>4197</v>
      </c>
      <c r="I231" s="81" t="s">
        <v>731</v>
      </c>
      <c r="J231" s="81" t="s">
        <v>4088</v>
      </c>
      <c r="K231" s="81" t="str">
        <f>IFERROR(__xludf.DUMMYFUNCTION("IF(OR(D231="""",G231=""""),"""",IFERROR(LET(
campo,XLOOKUP(TRIM(G231),ARRAYFORMULA(TRIM('indice columnas'!$A$2:$A$100)),'indice columnas'!$B$2:$B$100,""""),
col,IFERROR(MATCH(campo,Referencia!$A$1:$AZ$1,0),0),
fila,IFERROR(MATCH(TO_TEXT(D231),ARRAYFORMULA"&amp;"(TO_TEXT(Referencia!$A$2:$A6238)),0),0),
IF(OR(campo="""",campo=""-""),""NO APLICA"",
IF(col=0,""REVISAR EQUIVALENCIA"",
IF(fila=0,""SKU NO ENCONTRADO"",
LET(
valor,INDEX(Referencia!$A$2:$AZ6238,fila,col),
IF(TRIM(TO_TEXT(valor))=TRIM(TO_TEXT(I231)),
""OK"&amp;""",
""NO COINCIDE. Valor verdadero: ""&amp;IF(valor="""",""[VACÍO]"",TO_TEXT(valor))
)
))))
),""ERROR EN FÓRMULA""))"),"NO APLICA")</f>
        <v>NO APLICA</v>
      </c>
    </row>
    <row r="232">
      <c r="A232" s="83" t="s">
        <v>4078</v>
      </c>
      <c r="B232" s="83" t="s">
        <v>4079</v>
      </c>
      <c r="C232" s="81" t="s">
        <v>4086</v>
      </c>
      <c r="D232" s="83" t="s">
        <v>4216</v>
      </c>
      <c r="E232" s="81" t="s">
        <v>822</v>
      </c>
      <c r="F232" s="84">
        <v>142.0</v>
      </c>
      <c r="G232" s="81" t="s">
        <v>12</v>
      </c>
      <c r="H232" s="81" t="s">
        <v>224</v>
      </c>
      <c r="I232" s="81" t="s">
        <v>55</v>
      </c>
      <c r="J232" s="81" t="s">
        <v>224</v>
      </c>
      <c r="K232" s="81" t="str">
        <f>IFERROR(__xludf.DUMMYFUNCTION("IF(OR(D232="""",G232=""""),"""",IFERROR(LET(
campo,XLOOKUP(TRIM(G232),ARRAYFORMULA(TRIM('indice columnas'!$A$2:$A$100)),'indice columnas'!$B$2:$B$100,""""),
col,IFERROR(MATCH(campo,Referencia!$A$1:$AZ$1,0),0),
fila,IFERROR(MATCH(TO_TEXT(D232),ARRAYFORMULA"&amp;"(TO_TEXT(Referencia!$A$2:$A6238)),0),0),
IF(OR(campo="""",campo=""-""),""NO APLICA"",
IF(col=0,""REVISAR EQUIVALENCIA"",
IF(fila=0,""SKU NO ENCONTRADO"",
LET(
valor,INDEX(Referencia!$A$2:$AZ6238,fila,col),
IF(TRIM(TO_TEXT(valor))=TRIM(TO_TEXT(I232)),
""OK"&amp;""",
""NO COINCIDE. Valor verdadero: ""&amp;IF(valor="""",""[VACÍO]"",TO_TEXT(valor))
)
))))
),""ERROR EN FÓRMULA""))"),"OK")</f>
        <v>OK</v>
      </c>
    </row>
    <row r="233">
      <c r="A233" s="83" t="s">
        <v>4078</v>
      </c>
      <c r="B233" s="83" t="s">
        <v>4079</v>
      </c>
      <c r="C233" s="81" t="s">
        <v>4086</v>
      </c>
      <c r="D233" s="83" t="s">
        <v>4216</v>
      </c>
      <c r="E233" s="81" t="s">
        <v>822</v>
      </c>
      <c r="F233" s="84">
        <v>142.0</v>
      </c>
      <c r="G233" s="81" t="s">
        <v>44</v>
      </c>
      <c r="H233" s="81" t="s">
        <v>4197</v>
      </c>
      <c r="I233" s="81" t="s">
        <v>731</v>
      </c>
      <c r="J233" s="81" t="s">
        <v>4088</v>
      </c>
      <c r="K233" s="81" t="str">
        <f>IFERROR(__xludf.DUMMYFUNCTION("IF(OR(D233="""",G233=""""),"""",IFERROR(LET(
campo,XLOOKUP(TRIM(G233),ARRAYFORMULA(TRIM('indice columnas'!$A$2:$A$100)),'indice columnas'!$B$2:$B$100,""""),
col,IFERROR(MATCH(campo,Referencia!$A$1:$AZ$1,0),0),
fila,IFERROR(MATCH(TO_TEXT(D233),ARRAYFORMULA"&amp;"(TO_TEXT(Referencia!$A$2:$A6238)),0),0),
IF(OR(campo="""",campo=""-""),""NO APLICA"",
IF(col=0,""REVISAR EQUIVALENCIA"",
IF(fila=0,""SKU NO ENCONTRADO"",
LET(
valor,INDEX(Referencia!$A$2:$AZ6238,fila,col),
IF(TRIM(TO_TEXT(valor))=TRIM(TO_TEXT(I233)),
""OK"&amp;""",
""NO COINCIDE. Valor verdadero: ""&amp;IF(valor="""",""[VACÍO]"",TO_TEXT(valor))
)
))))
),""ERROR EN FÓRMULA""))"),"NO APLICA")</f>
        <v>NO APLICA</v>
      </c>
    </row>
    <row r="234">
      <c r="A234" s="83" t="s">
        <v>4078</v>
      </c>
      <c r="B234" s="83" t="s">
        <v>4079</v>
      </c>
      <c r="C234" s="81" t="s">
        <v>4086</v>
      </c>
      <c r="D234" s="83" t="s">
        <v>4217</v>
      </c>
      <c r="E234" s="81" t="s">
        <v>825</v>
      </c>
      <c r="F234" s="84">
        <v>143.0</v>
      </c>
      <c r="G234" s="81" t="s">
        <v>12</v>
      </c>
      <c r="H234" s="81" t="s">
        <v>224</v>
      </c>
      <c r="I234" s="81" t="s">
        <v>55</v>
      </c>
      <c r="J234" s="81" t="s">
        <v>224</v>
      </c>
      <c r="K234" s="81" t="str">
        <f>IFERROR(__xludf.DUMMYFUNCTION("IF(OR(D234="""",G234=""""),"""",IFERROR(LET(
campo,XLOOKUP(TRIM(G234),ARRAYFORMULA(TRIM('indice columnas'!$A$2:$A$100)),'indice columnas'!$B$2:$B$100,""""),
col,IFERROR(MATCH(campo,Referencia!$A$1:$AZ$1,0),0),
fila,IFERROR(MATCH(TO_TEXT(D234),ARRAYFORMULA"&amp;"(TO_TEXT(Referencia!$A$2:$A6238)),0),0),
IF(OR(campo="""",campo=""-""),""NO APLICA"",
IF(col=0,""REVISAR EQUIVALENCIA"",
IF(fila=0,""SKU NO ENCONTRADO"",
LET(
valor,INDEX(Referencia!$A$2:$AZ6238,fila,col),
IF(TRIM(TO_TEXT(valor))=TRIM(TO_TEXT(I234)),
""OK"&amp;""",
""NO COINCIDE. Valor verdadero: ""&amp;IF(valor="""",""[VACÍO]"",TO_TEXT(valor))
)
))))
),""ERROR EN FÓRMULA""))"),"OK")</f>
        <v>OK</v>
      </c>
    </row>
    <row r="235">
      <c r="A235" s="83" t="s">
        <v>4078</v>
      </c>
      <c r="B235" s="83" t="s">
        <v>4079</v>
      </c>
      <c r="C235" s="81" t="s">
        <v>4086</v>
      </c>
      <c r="D235" s="83" t="s">
        <v>4217</v>
      </c>
      <c r="E235" s="81" t="s">
        <v>825</v>
      </c>
      <c r="F235" s="84">
        <v>143.0</v>
      </c>
      <c r="G235" s="81" t="s">
        <v>44</v>
      </c>
      <c r="H235" s="81" t="s">
        <v>4200</v>
      </c>
      <c r="I235" s="81" t="s">
        <v>745</v>
      </c>
      <c r="J235" s="81" t="s">
        <v>4088</v>
      </c>
      <c r="K235" s="81" t="str">
        <f>IFERROR(__xludf.DUMMYFUNCTION("IF(OR(D235="""",G235=""""),"""",IFERROR(LET(
campo,XLOOKUP(TRIM(G235),ARRAYFORMULA(TRIM('indice columnas'!$A$2:$A$100)),'indice columnas'!$B$2:$B$100,""""),
col,IFERROR(MATCH(campo,Referencia!$A$1:$AZ$1,0),0),
fila,IFERROR(MATCH(TO_TEXT(D235),ARRAYFORMULA"&amp;"(TO_TEXT(Referencia!$A$2:$A6238)),0),0),
IF(OR(campo="""",campo=""-""),""NO APLICA"",
IF(col=0,""REVISAR EQUIVALENCIA"",
IF(fila=0,""SKU NO ENCONTRADO"",
LET(
valor,INDEX(Referencia!$A$2:$AZ6238,fila,col),
IF(TRIM(TO_TEXT(valor))=TRIM(TO_TEXT(I235)),
""OK"&amp;""",
""NO COINCIDE. Valor verdadero: ""&amp;IF(valor="""",""[VACÍO]"",TO_TEXT(valor))
)
))))
),""ERROR EN FÓRMULA""))"),"NO APLICA")</f>
        <v>NO APLICA</v>
      </c>
    </row>
    <row r="236">
      <c r="A236" s="83" t="s">
        <v>4078</v>
      </c>
      <c r="B236" s="83" t="s">
        <v>4079</v>
      </c>
      <c r="C236" s="81" t="s">
        <v>4086</v>
      </c>
      <c r="D236" s="83" t="s">
        <v>4218</v>
      </c>
      <c r="E236" s="81" t="s">
        <v>832</v>
      </c>
      <c r="F236" s="84">
        <v>144.0</v>
      </c>
      <c r="G236" s="81" t="s">
        <v>12</v>
      </c>
      <c r="H236" s="81" t="s">
        <v>224</v>
      </c>
      <c r="I236" s="81" t="s">
        <v>55</v>
      </c>
      <c r="J236" s="81" t="s">
        <v>224</v>
      </c>
      <c r="K236" s="81" t="str">
        <f>IFERROR(__xludf.DUMMYFUNCTION("IF(OR(D236="""",G236=""""),"""",IFERROR(LET(
campo,XLOOKUP(TRIM(G236),ARRAYFORMULA(TRIM('indice columnas'!$A$2:$A$100)),'indice columnas'!$B$2:$B$100,""""),
col,IFERROR(MATCH(campo,Referencia!$A$1:$AZ$1,0),0),
fila,IFERROR(MATCH(TO_TEXT(D236),ARRAYFORMULA"&amp;"(TO_TEXT(Referencia!$A$2:$A6238)),0),0),
IF(OR(campo="""",campo=""-""),""NO APLICA"",
IF(col=0,""REVISAR EQUIVALENCIA"",
IF(fila=0,""SKU NO ENCONTRADO"",
LET(
valor,INDEX(Referencia!$A$2:$AZ6238,fila,col),
IF(TRIM(TO_TEXT(valor))=TRIM(TO_TEXT(I236)),
""OK"&amp;""",
""NO COINCIDE. Valor verdadero: ""&amp;IF(valor="""",""[VACÍO]"",TO_TEXT(valor))
)
))))
),""ERROR EN FÓRMULA""))"),"OK")</f>
        <v>OK</v>
      </c>
    </row>
    <row r="237">
      <c r="A237" s="83" t="s">
        <v>4078</v>
      </c>
      <c r="B237" s="83" t="s">
        <v>4079</v>
      </c>
      <c r="C237" s="81" t="s">
        <v>4086</v>
      </c>
      <c r="D237" s="83" t="s">
        <v>4218</v>
      </c>
      <c r="E237" s="81" t="s">
        <v>832</v>
      </c>
      <c r="F237" s="84">
        <v>144.0</v>
      </c>
      <c r="G237" s="81" t="s">
        <v>44</v>
      </c>
      <c r="H237" s="81" t="s">
        <v>4200</v>
      </c>
      <c r="I237" s="81" t="s">
        <v>745</v>
      </c>
      <c r="J237" s="81" t="s">
        <v>4088</v>
      </c>
      <c r="K237" s="81" t="str">
        <f>IFERROR(__xludf.DUMMYFUNCTION("IF(OR(D237="""",G237=""""),"""",IFERROR(LET(
campo,XLOOKUP(TRIM(G237),ARRAYFORMULA(TRIM('indice columnas'!$A$2:$A$100)),'indice columnas'!$B$2:$B$100,""""),
col,IFERROR(MATCH(campo,Referencia!$A$1:$AZ$1,0),0),
fila,IFERROR(MATCH(TO_TEXT(D237),ARRAYFORMULA"&amp;"(TO_TEXT(Referencia!$A$2:$A6238)),0),0),
IF(OR(campo="""",campo=""-""),""NO APLICA"",
IF(col=0,""REVISAR EQUIVALENCIA"",
IF(fila=0,""SKU NO ENCONTRADO"",
LET(
valor,INDEX(Referencia!$A$2:$AZ6238,fila,col),
IF(TRIM(TO_TEXT(valor))=TRIM(TO_TEXT(I237)),
""OK"&amp;""",
""NO COINCIDE. Valor verdadero: ""&amp;IF(valor="""",""[VACÍO]"",TO_TEXT(valor))
)
))))
),""ERROR EN FÓRMULA""))"),"NO APLICA")</f>
        <v>NO APLICA</v>
      </c>
    </row>
    <row r="238">
      <c r="A238" s="83" t="s">
        <v>4078</v>
      </c>
      <c r="B238" s="83" t="s">
        <v>4079</v>
      </c>
      <c r="C238" s="81" t="s">
        <v>4086</v>
      </c>
      <c r="D238" s="83" t="s">
        <v>4219</v>
      </c>
      <c r="E238" s="81" t="s">
        <v>835</v>
      </c>
      <c r="F238" s="84">
        <v>145.0</v>
      </c>
      <c r="G238" s="81" t="s">
        <v>12</v>
      </c>
      <c r="H238" s="81" t="s">
        <v>224</v>
      </c>
      <c r="I238" s="81" t="s">
        <v>55</v>
      </c>
      <c r="J238" s="81" t="s">
        <v>224</v>
      </c>
      <c r="K238" s="81" t="str">
        <f>IFERROR(__xludf.DUMMYFUNCTION("IF(OR(D238="""",G238=""""),"""",IFERROR(LET(
campo,XLOOKUP(TRIM(G238),ARRAYFORMULA(TRIM('indice columnas'!$A$2:$A$100)),'indice columnas'!$B$2:$B$100,""""),
col,IFERROR(MATCH(campo,Referencia!$A$1:$AZ$1,0),0),
fila,IFERROR(MATCH(TO_TEXT(D238),ARRAYFORMULA"&amp;"(TO_TEXT(Referencia!$A$2:$A6238)),0),0),
IF(OR(campo="""",campo=""-""),""NO APLICA"",
IF(col=0,""REVISAR EQUIVALENCIA"",
IF(fila=0,""SKU NO ENCONTRADO"",
LET(
valor,INDEX(Referencia!$A$2:$AZ6238,fila,col),
IF(TRIM(TO_TEXT(valor))=TRIM(TO_TEXT(I238)),
""OK"&amp;""",
""NO COINCIDE. Valor verdadero: ""&amp;IF(valor="""",""[VACÍO]"",TO_TEXT(valor))
)
))))
),""ERROR EN FÓRMULA""))"),"OK")</f>
        <v>OK</v>
      </c>
    </row>
    <row r="239">
      <c r="A239" s="83" t="s">
        <v>4078</v>
      </c>
      <c r="B239" s="83" t="s">
        <v>4079</v>
      </c>
      <c r="C239" s="81" t="s">
        <v>4086</v>
      </c>
      <c r="D239" s="83" t="s">
        <v>4219</v>
      </c>
      <c r="E239" s="81" t="s">
        <v>835</v>
      </c>
      <c r="F239" s="84">
        <v>145.0</v>
      </c>
      <c r="G239" s="81" t="s">
        <v>44</v>
      </c>
      <c r="H239" s="81" t="s">
        <v>4203</v>
      </c>
      <c r="I239" s="81" t="s">
        <v>756</v>
      </c>
      <c r="J239" s="81" t="s">
        <v>4088</v>
      </c>
      <c r="K239" s="81" t="str">
        <f>IFERROR(__xludf.DUMMYFUNCTION("IF(OR(D239="""",G239=""""),"""",IFERROR(LET(
campo,XLOOKUP(TRIM(G239),ARRAYFORMULA(TRIM('indice columnas'!$A$2:$A$100)),'indice columnas'!$B$2:$B$100,""""),
col,IFERROR(MATCH(campo,Referencia!$A$1:$AZ$1,0),0),
fila,IFERROR(MATCH(TO_TEXT(D239),ARRAYFORMULA"&amp;"(TO_TEXT(Referencia!$A$2:$A6238)),0),0),
IF(OR(campo="""",campo=""-""),""NO APLICA"",
IF(col=0,""REVISAR EQUIVALENCIA"",
IF(fila=0,""SKU NO ENCONTRADO"",
LET(
valor,INDEX(Referencia!$A$2:$AZ6238,fila,col),
IF(TRIM(TO_TEXT(valor))=TRIM(TO_TEXT(I239)),
""OK"&amp;""",
""NO COINCIDE. Valor verdadero: ""&amp;IF(valor="""",""[VACÍO]"",TO_TEXT(valor))
)
))))
),""ERROR EN FÓRMULA""))"),"NO APLICA")</f>
        <v>NO APLICA</v>
      </c>
    </row>
    <row r="240">
      <c r="A240" s="83" t="s">
        <v>4078</v>
      </c>
      <c r="B240" s="83" t="s">
        <v>4079</v>
      </c>
      <c r="C240" s="81" t="s">
        <v>4086</v>
      </c>
      <c r="D240" s="83" t="s">
        <v>4220</v>
      </c>
      <c r="E240" s="81" t="s">
        <v>842</v>
      </c>
      <c r="F240" s="84">
        <v>146.0</v>
      </c>
      <c r="G240" s="81" t="s">
        <v>12</v>
      </c>
      <c r="H240" s="81" t="s">
        <v>224</v>
      </c>
      <c r="I240" s="81" t="s">
        <v>55</v>
      </c>
      <c r="J240" s="81" t="s">
        <v>224</v>
      </c>
      <c r="K240" s="81" t="str">
        <f>IFERROR(__xludf.DUMMYFUNCTION("IF(OR(D240="""",G240=""""),"""",IFERROR(LET(
campo,XLOOKUP(TRIM(G240),ARRAYFORMULA(TRIM('indice columnas'!$A$2:$A$100)),'indice columnas'!$B$2:$B$100,""""),
col,IFERROR(MATCH(campo,Referencia!$A$1:$AZ$1,0),0),
fila,IFERROR(MATCH(TO_TEXT(D240),ARRAYFORMULA"&amp;"(TO_TEXT(Referencia!$A$2:$A6238)),0),0),
IF(OR(campo="""",campo=""-""),""NO APLICA"",
IF(col=0,""REVISAR EQUIVALENCIA"",
IF(fila=0,""SKU NO ENCONTRADO"",
LET(
valor,INDEX(Referencia!$A$2:$AZ6238,fila,col),
IF(TRIM(TO_TEXT(valor))=TRIM(TO_TEXT(I240)),
""OK"&amp;""",
""NO COINCIDE. Valor verdadero: ""&amp;IF(valor="""",""[VACÍO]"",TO_TEXT(valor))
)
))))
),""ERROR EN FÓRMULA""))"),"OK")</f>
        <v>OK</v>
      </c>
    </row>
    <row r="241">
      <c r="A241" s="83" t="s">
        <v>4078</v>
      </c>
      <c r="B241" s="83" t="s">
        <v>4079</v>
      </c>
      <c r="C241" s="81" t="s">
        <v>4086</v>
      </c>
      <c r="D241" s="83" t="s">
        <v>4220</v>
      </c>
      <c r="E241" s="81" t="s">
        <v>842</v>
      </c>
      <c r="F241" s="84">
        <v>146.0</v>
      </c>
      <c r="G241" s="81" t="s">
        <v>44</v>
      </c>
      <c r="H241" s="81" t="s">
        <v>4203</v>
      </c>
      <c r="I241" s="81" t="s">
        <v>756</v>
      </c>
      <c r="J241" s="81" t="s">
        <v>4088</v>
      </c>
      <c r="K241" s="81" t="str">
        <f>IFERROR(__xludf.DUMMYFUNCTION("IF(OR(D241="""",G241=""""),"""",IFERROR(LET(
campo,XLOOKUP(TRIM(G241),ARRAYFORMULA(TRIM('indice columnas'!$A$2:$A$100)),'indice columnas'!$B$2:$B$100,""""),
col,IFERROR(MATCH(campo,Referencia!$A$1:$AZ$1,0),0),
fila,IFERROR(MATCH(TO_TEXT(D241),ARRAYFORMULA"&amp;"(TO_TEXT(Referencia!$A$2:$A6238)),0),0),
IF(OR(campo="""",campo=""-""),""NO APLICA"",
IF(col=0,""REVISAR EQUIVALENCIA"",
IF(fila=0,""SKU NO ENCONTRADO"",
LET(
valor,INDEX(Referencia!$A$2:$AZ6238,fila,col),
IF(TRIM(TO_TEXT(valor))=TRIM(TO_TEXT(I241)),
""OK"&amp;""",
""NO COINCIDE. Valor verdadero: ""&amp;IF(valor="""",""[VACÍO]"",TO_TEXT(valor))
)
))))
),""ERROR EN FÓRMULA""))"),"NO APLICA")</f>
        <v>NO APLICA</v>
      </c>
    </row>
    <row r="242">
      <c r="A242" s="83" t="s">
        <v>4078</v>
      </c>
      <c r="B242" s="83" t="s">
        <v>4079</v>
      </c>
      <c r="C242" s="81" t="s">
        <v>4086</v>
      </c>
      <c r="D242" s="83" t="s">
        <v>4221</v>
      </c>
      <c r="E242" s="81" t="s">
        <v>845</v>
      </c>
      <c r="F242" s="84">
        <v>147.0</v>
      </c>
      <c r="G242" s="81" t="s">
        <v>12</v>
      </c>
      <c r="H242" s="81" t="s">
        <v>224</v>
      </c>
      <c r="I242" s="81" t="s">
        <v>55</v>
      </c>
      <c r="J242" s="81" t="s">
        <v>224</v>
      </c>
      <c r="K242" s="81" t="str">
        <f>IFERROR(__xludf.DUMMYFUNCTION("IF(OR(D242="""",G242=""""),"""",IFERROR(LET(
campo,XLOOKUP(TRIM(G242),ARRAYFORMULA(TRIM('indice columnas'!$A$2:$A$100)),'indice columnas'!$B$2:$B$100,""""),
col,IFERROR(MATCH(campo,Referencia!$A$1:$AZ$1,0),0),
fila,IFERROR(MATCH(TO_TEXT(D242),ARRAYFORMULA"&amp;"(TO_TEXT(Referencia!$A$2:$A6238)),0),0),
IF(OR(campo="""",campo=""-""),""NO APLICA"",
IF(col=0,""REVISAR EQUIVALENCIA"",
IF(fila=0,""SKU NO ENCONTRADO"",
LET(
valor,INDEX(Referencia!$A$2:$AZ6238,fila,col),
IF(TRIM(TO_TEXT(valor))=TRIM(TO_TEXT(I242)),
""OK"&amp;""",
""NO COINCIDE. Valor verdadero: ""&amp;IF(valor="""",""[VACÍO]"",TO_TEXT(valor))
)
))))
),""ERROR EN FÓRMULA""))"),"OK")</f>
        <v>OK</v>
      </c>
    </row>
    <row r="243">
      <c r="A243" s="83" t="s">
        <v>4078</v>
      </c>
      <c r="B243" s="83" t="s">
        <v>4079</v>
      </c>
      <c r="C243" s="81" t="s">
        <v>4086</v>
      </c>
      <c r="D243" s="83" t="s">
        <v>4221</v>
      </c>
      <c r="E243" s="81" t="s">
        <v>845</v>
      </c>
      <c r="F243" s="84">
        <v>147.0</v>
      </c>
      <c r="G243" s="81" t="s">
        <v>44</v>
      </c>
      <c r="H243" s="81" t="s">
        <v>4194</v>
      </c>
      <c r="I243" s="81" t="s">
        <v>716</v>
      </c>
      <c r="J243" s="81" t="s">
        <v>4088</v>
      </c>
      <c r="K243" s="81" t="str">
        <f>IFERROR(__xludf.DUMMYFUNCTION("IF(OR(D243="""",G243=""""),"""",IFERROR(LET(
campo,XLOOKUP(TRIM(G243),ARRAYFORMULA(TRIM('indice columnas'!$A$2:$A$100)),'indice columnas'!$B$2:$B$100,""""),
col,IFERROR(MATCH(campo,Referencia!$A$1:$AZ$1,0),0),
fila,IFERROR(MATCH(TO_TEXT(D243),ARRAYFORMULA"&amp;"(TO_TEXT(Referencia!$A$2:$A6238)),0),0),
IF(OR(campo="""",campo=""-""),""NO APLICA"",
IF(col=0,""REVISAR EQUIVALENCIA"",
IF(fila=0,""SKU NO ENCONTRADO"",
LET(
valor,INDEX(Referencia!$A$2:$AZ6238,fila,col),
IF(TRIM(TO_TEXT(valor))=TRIM(TO_TEXT(I243)),
""OK"&amp;""",
""NO COINCIDE. Valor verdadero: ""&amp;IF(valor="""",""[VACÍO]"",TO_TEXT(valor))
)
))))
),""ERROR EN FÓRMULA""))"),"NO APLICA")</f>
        <v>NO APLICA</v>
      </c>
    </row>
    <row r="244">
      <c r="A244" s="83" t="s">
        <v>4078</v>
      </c>
      <c r="B244" s="83" t="s">
        <v>4079</v>
      </c>
      <c r="C244" s="81" t="s">
        <v>4086</v>
      </c>
      <c r="D244" s="83" t="s">
        <v>4222</v>
      </c>
      <c r="E244" s="81" t="s">
        <v>851</v>
      </c>
      <c r="F244" s="84">
        <v>148.0</v>
      </c>
      <c r="G244" s="81" t="s">
        <v>12</v>
      </c>
      <c r="H244" s="81" t="s">
        <v>224</v>
      </c>
      <c r="I244" s="81" t="s">
        <v>55</v>
      </c>
      <c r="J244" s="81" t="s">
        <v>224</v>
      </c>
      <c r="K244" s="81" t="str">
        <f>IFERROR(__xludf.DUMMYFUNCTION("IF(OR(D244="""",G244=""""),"""",IFERROR(LET(
campo,XLOOKUP(TRIM(G244),ARRAYFORMULA(TRIM('indice columnas'!$A$2:$A$100)),'indice columnas'!$B$2:$B$100,""""),
col,IFERROR(MATCH(campo,Referencia!$A$1:$AZ$1,0),0),
fila,IFERROR(MATCH(TO_TEXT(D244),ARRAYFORMULA"&amp;"(TO_TEXT(Referencia!$A$2:$A6238)),0),0),
IF(OR(campo="""",campo=""-""),""NO APLICA"",
IF(col=0,""REVISAR EQUIVALENCIA"",
IF(fila=0,""SKU NO ENCONTRADO"",
LET(
valor,INDEX(Referencia!$A$2:$AZ6238,fila,col),
IF(TRIM(TO_TEXT(valor))=TRIM(TO_TEXT(I244)),
""OK"&amp;""",
""NO COINCIDE. Valor verdadero: ""&amp;IF(valor="""",""[VACÍO]"",TO_TEXT(valor))
)
))))
),""ERROR EN FÓRMULA""))"),"OK")</f>
        <v>OK</v>
      </c>
    </row>
    <row r="245">
      <c r="A245" s="83" t="s">
        <v>4078</v>
      </c>
      <c r="B245" s="83" t="s">
        <v>4079</v>
      </c>
      <c r="C245" s="81" t="s">
        <v>4086</v>
      </c>
      <c r="D245" s="83" t="s">
        <v>4222</v>
      </c>
      <c r="E245" s="81" t="s">
        <v>851</v>
      </c>
      <c r="F245" s="84">
        <v>148.0</v>
      </c>
      <c r="G245" s="81" t="s">
        <v>44</v>
      </c>
      <c r="H245" s="81" t="s">
        <v>4194</v>
      </c>
      <c r="I245" s="81" t="s">
        <v>716</v>
      </c>
      <c r="J245" s="81" t="s">
        <v>4088</v>
      </c>
      <c r="K245" s="81" t="str">
        <f>IFERROR(__xludf.DUMMYFUNCTION("IF(OR(D245="""",G245=""""),"""",IFERROR(LET(
campo,XLOOKUP(TRIM(G245),ARRAYFORMULA(TRIM('indice columnas'!$A$2:$A$100)),'indice columnas'!$B$2:$B$100,""""),
col,IFERROR(MATCH(campo,Referencia!$A$1:$AZ$1,0),0),
fila,IFERROR(MATCH(TO_TEXT(D245),ARRAYFORMULA"&amp;"(TO_TEXT(Referencia!$A$2:$A6238)),0),0),
IF(OR(campo="""",campo=""-""),""NO APLICA"",
IF(col=0,""REVISAR EQUIVALENCIA"",
IF(fila=0,""SKU NO ENCONTRADO"",
LET(
valor,INDEX(Referencia!$A$2:$AZ6238,fila,col),
IF(TRIM(TO_TEXT(valor))=TRIM(TO_TEXT(I245)),
""OK"&amp;""",
""NO COINCIDE. Valor verdadero: ""&amp;IF(valor="""",""[VACÍO]"",TO_TEXT(valor))
)
))))
),""ERROR EN FÓRMULA""))"),"NO APLICA")</f>
        <v>NO APLICA</v>
      </c>
    </row>
    <row r="246">
      <c r="A246" s="83" t="s">
        <v>4078</v>
      </c>
      <c r="B246" s="83" t="s">
        <v>4079</v>
      </c>
      <c r="C246" s="81" t="s">
        <v>4086</v>
      </c>
      <c r="D246" s="83" t="s">
        <v>4223</v>
      </c>
      <c r="E246" s="81" t="s">
        <v>854</v>
      </c>
      <c r="F246" s="84">
        <v>149.0</v>
      </c>
      <c r="G246" s="81" t="s">
        <v>12</v>
      </c>
      <c r="H246" s="81" t="s">
        <v>224</v>
      </c>
      <c r="I246" s="81" t="s">
        <v>55</v>
      </c>
      <c r="J246" s="81" t="s">
        <v>224</v>
      </c>
      <c r="K246" s="81" t="str">
        <f>IFERROR(__xludf.DUMMYFUNCTION("IF(OR(D246="""",G246=""""),"""",IFERROR(LET(
campo,XLOOKUP(TRIM(G246),ARRAYFORMULA(TRIM('indice columnas'!$A$2:$A$100)),'indice columnas'!$B$2:$B$100,""""),
col,IFERROR(MATCH(campo,Referencia!$A$1:$AZ$1,0),0),
fila,IFERROR(MATCH(TO_TEXT(D246),ARRAYFORMULA"&amp;"(TO_TEXT(Referencia!$A$2:$A6238)),0),0),
IF(OR(campo="""",campo=""-""),""NO APLICA"",
IF(col=0,""REVISAR EQUIVALENCIA"",
IF(fila=0,""SKU NO ENCONTRADO"",
LET(
valor,INDEX(Referencia!$A$2:$AZ6238,fila,col),
IF(TRIM(TO_TEXT(valor))=TRIM(TO_TEXT(I246)),
""OK"&amp;""",
""NO COINCIDE. Valor verdadero: ""&amp;IF(valor="""",""[VACÍO]"",TO_TEXT(valor))
)
))))
),""ERROR EN FÓRMULA""))"),"OK")</f>
        <v>OK</v>
      </c>
    </row>
    <row r="247">
      <c r="A247" s="83" t="s">
        <v>4078</v>
      </c>
      <c r="B247" s="83" t="s">
        <v>4079</v>
      </c>
      <c r="C247" s="81" t="s">
        <v>4086</v>
      </c>
      <c r="D247" s="83" t="s">
        <v>4223</v>
      </c>
      <c r="E247" s="81" t="s">
        <v>854</v>
      </c>
      <c r="F247" s="84">
        <v>149.0</v>
      </c>
      <c r="G247" s="81" t="s">
        <v>44</v>
      </c>
      <c r="H247" s="81" t="s">
        <v>4197</v>
      </c>
      <c r="I247" s="81" t="s">
        <v>731</v>
      </c>
      <c r="J247" s="81" t="s">
        <v>4088</v>
      </c>
      <c r="K247" s="81" t="str">
        <f>IFERROR(__xludf.DUMMYFUNCTION("IF(OR(D247="""",G247=""""),"""",IFERROR(LET(
campo,XLOOKUP(TRIM(G247),ARRAYFORMULA(TRIM('indice columnas'!$A$2:$A$100)),'indice columnas'!$B$2:$B$100,""""),
col,IFERROR(MATCH(campo,Referencia!$A$1:$AZ$1,0),0),
fila,IFERROR(MATCH(TO_TEXT(D247),ARRAYFORMULA"&amp;"(TO_TEXT(Referencia!$A$2:$A6238)),0),0),
IF(OR(campo="""",campo=""-""),""NO APLICA"",
IF(col=0,""REVISAR EQUIVALENCIA"",
IF(fila=0,""SKU NO ENCONTRADO"",
LET(
valor,INDEX(Referencia!$A$2:$AZ6238,fila,col),
IF(TRIM(TO_TEXT(valor))=TRIM(TO_TEXT(I247)),
""OK"&amp;""",
""NO COINCIDE. Valor verdadero: ""&amp;IF(valor="""",""[VACÍO]"",TO_TEXT(valor))
)
))))
),""ERROR EN FÓRMULA""))"),"NO APLICA")</f>
        <v>NO APLICA</v>
      </c>
    </row>
    <row r="248">
      <c r="A248" s="83" t="s">
        <v>4078</v>
      </c>
      <c r="B248" s="83" t="s">
        <v>4079</v>
      </c>
      <c r="C248" s="81" t="s">
        <v>4086</v>
      </c>
      <c r="D248" s="83" t="s">
        <v>4224</v>
      </c>
      <c r="E248" s="81" t="s">
        <v>861</v>
      </c>
      <c r="F248" s="84">
        <v>150.0</v>
      </c>
      <c r="G248" s="81" t="s">
        <v>12</v>
      </c>
      <c r="H248" s="81" t="s">
        <v>224</v>
      </c>
      <c r="I248" s="81" t="s">
        <v>55</v>
      </c>
      <c r="J248" s="81" t="s">
        <v>224</v>
      </c>
      <c r="K248" s="81" t="str">
        <f>IFERROR(__xludf.DUMMYFUNCTION("IF(OR(D248="""",G248=""""),"""",IFERROR(LET(
campo,XLOOKUP(TRIM(G248),ARRAYFORMULA(TRIM('indice columnas'!$A$2:$A$100)),'indice columnas'!$B$2:$B$100,""""),
col,IFERROR(MATCH(campo,Referencia!$A$1:$AZ$1,0),0),
fila,IFERROR(MATCH(TO_TEXT(D248),ARRAYFORMULA"&amp;"(TO_TEXT(Referencia!$A$2:$A6238)),0),0),
IF(OR(campo="""",campo=""-""),""NO APLICA"",
IF(col=0,""REVISAR EQUIVALENCIA"",
IF(fila=0,""SKU NO ENCONTRADO"",
LET(
valor,INDEX(Referencia!$A$2:$AZ6238,fila,col),
IF(TRIM(TO_TEXT(valor))=TRIM(TO_TEXT(I248)),
""OK"&amp;""",
""NO COINCIDE. Valor verdadero: ""&amp;IF(valor="""",""[VACÍO]"",TO_TEXT(valor))
)
))))
),""ERROR EN FÓRMULA""))"),"OK")</f>
        <v>OK</v>
      </c>
    </row>
    <row r="249">
      <c r="A249" s="83" t="s">
        <v>4078</v>
      </c>
      <c r="B249" s="83" t="s">
        <v>4079</v>
      </c>
      <c r="C249" s="81" t="s">
        <v>4086</v>
      </c>
      <c r="D249" s="83" t="s">
        <v>4224</v>
      </c>
      <c r="E249" s="81" t="s">
        <v>861</v>
      </c>
      <c r="F249" s="84">
        <v>150.0</v>
      </c>
      <c r="G249" s="81" t="s">
        <v>44</v>
      </c>
      <c r="H249" s="81" t="s">
        <v>4197</v>
      </c>
      <c r="I249" s="81" t="s">
        <v>731</v>
      </c>
      <c r="J249" s="81" t="s">
        <v>4088</v>
      </c>
      <c r="K249" s="81" t="str">
        <f>IFERROR(__xludf.DUMMYFUNCTION("IF(OR(D249="""",G249=""""),"""",IFERROR(LET(
campo,XLOOKUP(TRIM(G249),ARRAYFORMULA(TRIM('indice columnas'!$A$2:$A$100)),'indice columnas'!$B$2:$B$100,""""),
col,IFERROR(MATCH(campo,Referencia!$A$1:$AZ$1,0),0),
fila,IFERROR(MATCH(TO_TEXT(D249),ARRAYFORMULA"&amp;"(TO_TEXT(Referencia!$A$2:$A6238)),0),0),
IF(OR(campo="""",campo=""-""),""NO APLICA"",
IF(col=0,""REVISAR EQUIVALENCIA"",
IF(fila=0,""SKU NO ENCONTRADO"",
LET(
valor,INDEX(Referencia!$A$2:$AZ6238,fila,col),
IF(TRIM(TO_TEXT(valor))=TRIM(TO_TEXT(I249)),
""OK"&amp;""",
""NO COINCIDE. Valor verdadero: ""&amp;IF(valor="""",""[VACÍO]"",TO_TEXT(valor))
)
))))
),""ERROR EN FÓRMULA""))"),"NO APLICA")</f>
        <v>NO APLICA</v>
      </c>
    </row>
    <row r="250">
      <c r="A250" s="83" t="s">
        <v>4078</v>
      </c>
      <c r="B250" s="83" t="s">
        <v>4079</v>
      </c>
      <c r="C250" s="81" t="s">
        <v>4086</v>
      </c>
      <c r="D250" s="83" t="s">
        <v>4225</v>
      </c>
      <c r="E250" s="81" t="s">
        <v>864</v>
      </c>
      <c r="F250" s="84">
        <v>151.0</v>
      </c>
      <c r="G250" s="81" t="s">
        <v>12</v>
      </c>
      <c r="H250" s="81" t="s">
        <v>224</v>
      </c>
      <c r="I250" s="81" t="s">
        <v>55</v>
      </c>
      <c r="J250" s="81" t="s">
        <v>224</v>
      </c>
      <c r="K250" s="81" t="str">
        <f>IFERROR(__xludf.DUMMYFUNCTION("IF(OR(D250="""",G250=""""),"""",IFERROR(LET(
campo,XLOOKUP(TRIM(G250),ARRAYFORMULA(TRIM('indice columnas'!$A$2:$A$100)),'indice columnas'!$B$2:$B$100,""""),
col,IFERROR(MATCH(campo,Referencia!$A$1:$AZ$1,0),0),
fila,IFERROR(MATCH(TO_TEXT(D250),ARRAYFORMULA"&amp;"(TO_TEXT(Referencia!$A$2:$A6238)),0),0),
IF(OR(campo="""",campo=""-""),""NO APLICA"",
IF(col=0,""REVISAR EQUIVALENCIA"",
IF(fila=0,""SKU NO ENCONTRADO"",
LET(
valor,INDEX(Referencia!$A$2:$AZ6238,fila,col),
IF(TRIM(TO_TEXT(valor))=TRIM(TO_TEXT(I250)),
""OK"&amp;""",
""NO COINCIDE. Valor verdadero: ""&amp;IF(valor="""",""[VACÍO]"",TO_TEXT(valor))
)
))))
),""ERROR EN FÓRMULA""))"),"OK")</f>
        <v>OK</v>
      </c>
    </row>
    <row r="251">
      <c r="A251" s="83" t="s">
        <v>4078</v>
      </c>
      <c r="B251" s="83" t="s">
        <v>4079</v>
      </c>
      <c r="C251" s="81" t="s">
        <v>4086</v>
      </c>
      <c r="D251" s="83" t="s">
        <v>4225</v>
      </c>
      <c r="E251" s="81" t="s">
        <v>864</v>
      </c>
      <c r="F251" s="84">
        <v>151.0</v>
      </c>
      <c r="G251" s="81" t="s">
        <v>44</v>
      </c>
      <c r="H251" s="81" t="s">
        <v>4200</v>
      </c>
      <c r="I251" s="81" t="s">
        <v>745</v>
      </c>
      <c r="J251" s="81" t="s">
        <v>4088</v>
      </c>
      <c r="K251" s="81" t="str">
        <f>IFERROR(__xludf.DUMMYFUNCTION("IF(OR(D251="""",G251=""""),"""",IFERROR(LET(
campo,XLOOKUP(TRIM(G251),ARRAYFORMULA(TRIM('indice columnas'!$A$2:$A$100)),'indice columnas'!$B$2:$B$100,""""),
col,IFERROR(MATCH(campo,Referencia!$A$1:$AZ$1,0),0),
fila,IFERROR(MATCH(TO_TEXT(D251),ARRAYFORMULA"&amp;"(TO_TEXT(Referencia!$A$2:$A6238)),0),0),
IF(OR(campo="""",campo=""-""),""NO APLICA"",
IF(col=0,""REVISAR EQUIVALENCIA"",
IF(fila=0,""SKU NO ENCONTRADO"",
LET(
valor,INDEX(Referencia!$A$2:$AZ6238,fila,col),
IF(TRIM(TO_TEXT(valor))=TRIM(TO_TEXT(I251)),
""OK"&amp;""",
""NO COINCIDE. Valor verdadero: ""&amp;IF(valor="""",""[VACÍO]"",TO_TEXT(valor))
)
))))
),""ERROR EN FÓRMULA""))"),"NO APLICA")</f>
        <v>NO APLICA</v>
      </c>
    </row>
    <row r="252">
      <c r="A252" s="83" t="s">
        <v>4078</v>
      </c>
      <c r="B252" s="83" t="s">
        <v>4079</v>
      </c>
      <c r="C252" s="81" t="s">
        <v>4086</v>
      </c>
      <c r="D252" s="83" t="s">
        <v>4226</v>
      </c>
      <c r="E252" s="81" t="s">
        <v>871</v>
      </c>
      <c r="F252" s="84">
        <v>152.0</v>
      </c>
      <c r="G252" s="81" t="s">
        <v>12</v>
      </c>
      <c r="H252" s="81" t="s">
        <v>224</v>
      </c>
      <c r="I252" s="81" t="s">
        <v>55</v>
      </c>
      <c r="J252" s="81" t="s">
        <v>224</v>
      </c>
      <c r="K252" s="81" t="str">
        <f>IFERROR(__xludf.DUMMYFUNCTION("IF(OR(D252="""",G252=""""),"""",IFERROR(LET(
campo,XLOOKUP(TRIM(G252),ARRAYFORMULA(TRIM('indice columnas'!$A$2:$A$100)),'indice columnas'!$B$2:$B$100,""""),
col,IFERROR(MATCH(campo,Referencia!$A$1:$AZ$1,0),0),
fila,IFERROR(MATCH(TO_TEXT(D252),ARRAYFORMULA"&amp;"(TO_TEXT(Referencia!$A$2:$A6238)),0),0),
IF(OR(campo="""",campo=""-""),""NO APLICA"",
IF(col=0,""REVISAR EQUIVALENCIA"",
IF(fila=0,""SKU NO ENCONTRADO"",
LET(
valor,INDEX(Referencia!$A$2:$AZ6238,fila,col),
IF(TRIM(TO_TEXT(valor))=TRIM(TO_TEXT(I252)),
""OK"&amp;""",
""NO COINCIDE. Valor verdadero: ""&amp;IF(valor="""",""[VACÍO]"",TO_TEXT(valor))
)
))))
),""ERROR EN FÓRMULA""))"),"OK")</f>
        <v>OK</v>
      </c>
    </row>
    <row r="253">
      <c r="A253" s="83" t="s">
        <v>4078</v>
      </c>
      <c r="B253" s="83" t="s">
        <v>4079</v>
      </c>
      <c r="C253" s="81" t="s">
        <v>4086</v>
      </c>
      <c r="D253" s="83" t="s">
        <v>4226</v>
      </c>
      <c r="E253" s="81" t="s">
        <v>871</v>
      </c>
      <c r="F253" s="84">
        <v>152.0</v>
      </c>
      <c r="G253" s="81" t="s">
        <v>44</v>
      </c>
      <c r="H253" s="81" t="s">
        <v>4200</v>
      </c>
      <c r="I253" s="81" t="s">
        <v>745</v>
      </c>
      <c r="J253" s="81" t="s">
        <v>4088</v>
      </c>
      <c r="K253" s="81" t="str">
        <f>IFERROR(__xludf.DUMMYFUNCTION("IF(OR(D253="""",G253=""""),"""",IFERROR(LET(
campo,XLOOKUP(TRIM(G253),ARRAYFORMULA(TRIM('indice columnas'!$A$2:$A$100)),'indice columnas'!$B$2:$B$100,""""),
col,IFERROR(MATCH(campo,Referencia!$A$1:$AZ$1,0),0),
fila,IFERROR(MATCH(TO_TEXT(D253),ARRAYFORMULA"&amp;"(TO_TEXT(Referencia!$A$2:$A6238)),0),0),
IF(OR(campo="""",campo=""-""),""NO APLICA"",
IF(col=0,""REVISAR EQUIVALENCIA"",
IF(fila=0,""SKU NO ENCONTRADO"",
LET(
valor,INDEX(Referencia!$A$2:$AZ6238,fila,col),
IF(TRIM(TO_TEXT(valor))=TRIM(TO_TEXT(I253)),
""OK"&amp;""",
""NO COINCIDE. Valor verdadero: ""&amp;IF(valor="""",""[VACÍO]"",TO_TEXT(valor))
)
))))
),""ERROR EN FÓRMULA""))"),"NO APLICA")</f>
        <v>NO APLICA</v>
      </c>
    </row>
    <row r="254">
      <c r="A254" s="83" t="s">
        <v>4078</v>
      </c>
      <c r="B254" s="83" t="s">
        <v>4079</v>
      </c>
      <c r="C254" s="81" t="s">
        <v>4086</v>
      </c>
      <c r="D254" s="83" t="s">
        <v>4227</v>
      </c>
      <c r="E254" s="81" t="s">
        <v>874</v>
      </c>
      <c r="F254" s="84">
        <v>153.0</v>
      </c>
      <c r="G254" s="81" t="s">
        <v>12</v>
      </c>
      <c r="H254" s="81" t="s">
        <v>224</v>
      </c>
      <c r="I254" s="81" t="s">
        <v>55</v>
      </c>
      <c r="J254" s="81" t="s">
        <v>224</v>
      </c>
      <c r="K254" s="81" t="str">
        <f>IFERROR(__xludf.DUMMYFUNCTION("IF(OR(D254="""",G254=""""),"""",IFERROR(LET(
campo,XLOOKUP(TRIM(G254),ARRAYFORMULA(TRIM('indice columnas'!$A$2:$A$100)),'indice columnas'!$B$2:$B$100,""""),
col,IFERROR(MATCH(campo,Referencia!$A$1:$AZ$1,0),0),
fila,IFERROR(MATCH(TO_TEXT(D254),ARRAYFORMULA"&amp;"(TO_TEXT(Referencia!$A$2:$A6238)),0),0),
IF(OR(campo="""",campo=""-""),""NO APLICA"",
IF(col=0,""REVISAR EQUIVALENCIA"",
IF(fila=0,""SKU NO ENCONTRADO"",
LET(
valor,INDEX(Referencia!$A$2:$AZ6238,fila,col),
IF(TRIM(TO_TEXT(valor))=TRIM(TO_TEXT(I254)),
""OK"&amp;""",
""NO COINCIDE. Valor verdadero: ""&amp;IF(valor="""",""[VACÍO]"",TO_TEXT(valor))
)
))))
),""ERROR EN FÓRMULA""))"),"OK")</f>
        <v>OK</v>
      </c>
    </row>
    <row r="255">
      <c r="A255" s="83" t="s">
        <v>4078</v>
      </c>
      <c r="B255" s="83" t="s">
        <v>4079</v>
      </c>
      <c r="C255" s="81" t="s">
        <v>4086</v>
      </c>
      <c r="D255" s="83" t="s">
        <v>4227</v>
      </c>
      <c r="E255" s="81" t="s">
        <v>874</v>
      </c>
      <c r="F255" s="84">
        <v>153.0</v>
      </c>
      <c r="G255" s="81" t="s">
        <v>44</v>
      </c>
      <c r="H255" s="81" t="s">
        <v>4203</v>
      </c>
      <c r="I255" s="81" t="s">
        <v>756</v>
      </c>
      <c r="J255" s="81" t="s">
        <v>4088</v>
      </c>
      <c r="K255" s="81" t="str">
        <f>IFERROR(__xludf.DUMMYFUNCTION("IF(OR(D255="""",G255=""""),"""",IFERROR(LET(
campo,XLOOKUP(TRIM(G255),ARRAYFORMULA(TRIM('indice columnas'!$A$2:$A$100)),'indice columnas'!$B$2:$B$100,""""),
col,IFERROR(MATCH(campo,Referencia!$A$1:$AZ$1,0),0),
fila,IFERROR(MATCH(TO_TEXT(D255),ARRAYFORMULA"&amp;"(TO_TEXT(Referencia!$A$2:$A6238)),0),0),
IF(OR(campo="""",campo=""-""),""NO APLICA"",
IF(col=0,""REVISAR EQUIVALENCIA"",
IF(fila=0,""SKU NO ENCONTRADO"",
LET(
valor,INDEX(Referencia!$A$2:$AZ6238,fila,col),
IF(TRIM(TO_TEXT(valor))=TRIM(TO_TEXT(I255)),
""OK"&amp;""",
""NO COINCIDE. Valor verdadero: ""&amp;IF(valor="""",""[VACÍO]"",TO_TEXT(valor))
)
))))
),""ERROR EN FÓRMULA""))"),"NO APLICA")</f>
        <v>NO APLICA</v>
      </c>
    </row>
    <row r="256">
      <c r="A256" s="83" t="s">
        <v>4078</v>
      </c>
      <c r="B256" s="83" t="s">
        <v>4079</v>
      </c>
      <c r="C256" s="81" t="s">
        <v>4086</v>
      </c>
      <c r="D256" s="83" t="s">
        <v>4228</v>
      </c>
      <c r="E256" s="81" t="s">
        <v>881</v>
      </c>
      <c r="F256" s="84">
        <v>154.0</v>
      </c>
      <c r="G256" s="81" t="s">
        <v>12</v>
      </c>
      <c r="H256" s="81" t="s">
        <v>224</v>
      </c>
      <c r="I256" s="81" t="s">
        <v>55</v>
      </c>
      <c r="J256" s="81" t="s">
        <v>224</v>
      </c>
      <c r="K256" s="81" t="str">
        <f>IFERROR(__xludf.DUMMYFUNCTION("IF(OR(D256="""",G256=""""),"""",IFERROR(LET(
campo,XLOOKUP(TRIM(G256),ARRAYFORMULA(TRIM('indice columnas'!$A$2:$A$100)),'indice columnas'!$B$2:$B$100,""""),
col,IFERROR(MATCH(campo,Referencia!$A$1:$AZ$1,0),0),
fila,IFERROR(MATCH(TO_TEXT(D256),ARRAYFORMULA"&amp;"(TO_TEXT(Referencia!$A$2:$A6238)),0),0),
IF(OR(campo="""",campo=""-""),""NO APLICA"",
IF(col=0,""REVISAR EQUIVALENCIA"",
IF(fila=0,""SKU NO ENCONTRADO"",
LET(
valor,INDEX(Referencia!$A$2:$AZ6238,fila,col),
IF(TRIM(TO_TEXT(valor))=TRIM(TO_TEXT(I256)),
""OK"&amp;""",
""NO COINCIDE. Valor verdadero: ""&amp;IF(valor="""",""[VACÍO]"",TO_TEXT(valor))
)
))))
),""ERROR EN FÓRMULA""))"),"OK")</f>
        <v>OK</v>
      </c>
    </row>
    <row r="257">
      <c r="A257" s="83" t="s">
        <v>4078</v>
      </c>
      <c r="B257" s="83" t="s">
        <v>4079</v>
      </c>
      <c r="C257" s="81" t="s">
        <v>4086</v>
      </c>
      <c r="D257" s="83" t="s">
        <v>4228</v>
      </c>
      <c r="E257" s="81" t="s">
        <v>881</v>
      </c>
      <c r="F257" s="84">
        <v>154.0</v>
      </c>
      <c r="G257" s="81" t="s">
        <v>44</v>
      </c>
      <c r="H257" s="81" t="s">
        <v>4203</v>
      </c>
      <c r="I257" s="81" t="s">
        <v>756</v>
      </c>
      <c r="J257" s="81" t="s">
        <v>4088</v>
      </c>
      <c r="K257" s="81" t="str">
        <f>IFERROR(__xludf.DUMMYFUNCTION("IF(OR(D257="""",G257=""""),"""",IFERROR(LET(
campo,XLOOKUP(TRIM(G257),ARRAYFORMULA(TRIM('indice columnas'!$A$2:$A$100)),'indice columnas'!$B$2:$B$100,""""),
col,IFERROR(MATCH(campo,Referencia!$A$1:$AZ$1,0),0),
fila,IFERROR(MATCH(TO_TEXT(D257),ARRAYFORMULA"&amp;"(TO_TEXT(Referencia!$A$2:$A6238)),0),0),
IF(OR(campo="""",campo=""-""),""NO APLICA"",
IF(col=0,""REVISAR EQUIVALENCIA"",
IF(fila=0,""SKU NO ENCONTRADO"",
LET(
valor,INDEX(Referencia!$A$2:$AZ6238,fila,col),
IF(TRIM(TO_TEXT(valor))=TRIM(TO_TEXT(I257)),
""OK"&amp;""",
""NO COINCIDE. Valor verdadero: ""&amp;IF(valor="""",""[VACÍO]"",TO_TEXT(valor))
)
))))
),""ERROR EN FÓRMULA""))"),"NO APLICA")</f>
        <v>NO APLICA</v>
      </c>
    </row>
    <row r="258">
      <c r="A258" s="83" t="s">
        <v>4078</v>
      </c>
      <c r="B258" s="83" t="s">
        <v>4079</v>
      </c>
      <c r="C258" s="81" t="s">
        <v>4086</v>
      </c>
      <c r="D258" s="83" t="s">
        <v>4229</v>
      </c>
      <c r="E258" s="81" t="s">
        <v>884</v>
      </c>
      <c r="F258" s="84">
        <v>155.0</v>
      </c>
      <c r="G258" s="81" t="s">
        <v>44</v>
      </c>
      <c r="H258" s="81" t="s">
        <v>224</v>
      </c>
      <c r="I258" s="81" t="s">
        <v>4230</v>
      </c>
      <c r="J258" s="81" t="s">
        <v>4088</v>
      </c>
      <c r="K258" s="81" t="str">
        <f>IFERROR(__xludf.DUMMYFUNCTION("IF(OR(D258="""",G258=""""),"""",IFERROR(LET(
campo,XLOOKUP(TRIM(G258),ARRAYFORMULA(TRIM('indice columnas'!$A$2:$A$100)),'indice columnas'!$B$2:$B$100,""""),
col,IFERROR(MATCH(campo,Referencia!$A$1:$AZ$1,0),0),
fila,IFERROR(MATCH(TO_TEXT(D258),ARRAYFORMULA"&amp;"(TO_TEXT(Referencia!$A$2:$A6238)),0),0),
IF(OR(campo="""",campo=""-""),""NO APLICA"",
IF(col=0,""REVISAR EQUIVALENCIA"",
IF(fila=0,""SKU NO ENCONTRADO"",
LET(
valor,INDEX(Referencia!$A$2:$AZ6238,fila,col),
IF(TRIM(TO_TEXT(valor))=TRIM(TO_TEXT(I258)),
""OK"&amp;""",
""NO COINCIDE. Valor verdadero: ""&amp;IF(valor="""",""[VACÍO]"",TO_TEXT(valor))
)
))))
),""ERROR EN FÓRMULA""))"),"NO APLICA")</f>
        <v>NO APLICA</v>
      </c>
    </row>
    <row r="259">
      <c r="A259" s="83" t="s">
        <v>4078</v>
      </c>
      <c r="B259" s="83" t="s">
        <v>4079</v>
      </c>
      <c r="C259" s="81" t="s">
        <v>4086</v>
      </c>
      <c r="D259" s="83" t="s">
        <v>4229</v>
      </c>
      <c r="E259" s="81" t="s">
        <v>895</v>
      </c>
      <c r="F259" s="84">
        <v>156.0</v>
      </c>
      <c r="G259" s="81" t="s">
        <v>7</v>
      </c>
      <c r="H259" s="81" t="s">
        <v>215</v>
      </c>
      <c r="I259" s="81" t="s">
        <v>53</v>
      </c>
      <c r="J259" s="81" t="s">
        <v>224</v>
      </c>
      <c r="K259" s="81" t="str">
        <f>IFERROR(__xludf.DUMMYFUNCTION("IF(OR(D259="""",G259=""""),"""",IFERROR(LET(
campo,XLOOKUP(TRIM(G259),ARRAYFORMULA(TRIM('indice columnas'!$A$2:$A$100)),'indice columnas'!$B$2:$B$100,""""),
col,IFERROR(MATCH(campo,Referencia!$A$1:$AZ$1,0),0),
fila,IFERROR(MATCH(TO_TEXT(D259),ARRAYFORMULA"&amp;"(TO_TEXT(Referencia!$A$2:$A6238)),0),0),
IF(OR(campo="""",campo=""-""),""NO APLICA"",
IF(col=0,""REVISAR EQUIVALENCIA"",
IF(fila=0,""SKU NO ENCONTRADO"",
LET(
valor,INDEX(Referencia!$A$2:$AZ6238,fila,col),
IF(TRIM(TO_TEXT(valor))=TRIM(TO_TEXT(I259)),
""OK"&amp;""",
""NO COINCIDE. Valor verdadero: ""&amp;IF(valor="""",""[VACÍO]"",TO_TEXT(valor))
)
))))
),""ERROR EN FÓRMULA""))"),"REVISAR EQUIVALENCIA")</f>
        <v>REVISAR EQUIVALENCIA</v>
      </c>
    </row>
    <row r="260">
      <c r="A260" s="83" t="s">
        <v>4078</v>
      </c>
      <c r="B260" s="83" t="s">
        <v>4079</v>
      </c>
      <c r="C260" s="81" t="s">
        <v>4086</v>
      </c>
      <c r="D260" s="83" t="s">
        <v>4229</v>
      </c>
      <c r="E260" s="81" t="s">
        <v>895</v>
      </c>
      <c r="F260" s="84">
        <v>156.0</v>
      </c>
      <c r="G260" s="81" t="s">
        <v>12</v>
      </c>
      <c r="H260" s="81" t="s">
        <v>224</v>
      </c>
      <c r="I260" s="81" t="s">
        <v>55</v>
      </c>
      <c r="J260" s="81" t="s">
        <v>224</v>
      </c>
      <c r="K260" s="81" t="str">
        <f>IFERROR(__xludf.DUMMYFUNCTION("IF(OR(D260="""",G260=""""),"""",IFERROR(LET(
campo,XLOOKUP(TRIM(G260),ARRAYFORMULA(TRIM('indice columnas'!$A$2:$A$100)),'indice columnas'!$B$2:$B$100,""""),
col,IFERROR(MATCH(campo,Referencia!$A$1:$AZ$1,0),0),
fila,IFERROR(MATCH(TO_TEXT(D260),ARRAYFORMULA"&amp;"(TO_TEXT(Referencia!$A$2:$A6238)),0),0),
IF(OR(campo="""",campo=""-""),""NO APLICA"",
IF(col=0,""REVISAR EQUIVALENCIA"",
IF(fila=0,""SKU NO ENCONTRADO"",
LET(
valor,INDEX(Referencia!$A$2:$AZ6238,fila,col),
IF(TRIM(TO_TEXT(valor))=TRIM(TO_TEXT(I260)),
""OK"&amp;""",
""NO COINCIDE. Valor verdadero: ""&amp;IF(valor="""",""[VACÍO]"",TO_TEXT(valor))
)
))))
),""ERROR EN FÓRMULA""))"),"OK")</f>
        <v>OK</v>
      </c>
    </row>
    <row r="261">
      <c r="A261" s="83" t="s">
        <v>4078</v>
      </c>
      <c r="B261" s="83" t="s">
        <v>4079</v>
      </c>
      <c r="C261" s="81" t="s">
        <v>4086</v>
      </c>
      <c r="D261" s="83" t="s">
        <v>4229</v>
      </c>
      <c r="E261" s="81" t="s">
        <v>895</v>
      </c>
      <c r="F261" s="84">
        <v>156.0</v>
      </c>
      <c r="G261" s="81" t="s">
        <v>44</v>
      </c>
      <c r="H261" s="81" t="s">
        <v>224</v>
      </c>
      <c r="I261" s="81" t="s">
        <v>4230</v>
      </c>
      <c r="J261" s="81" t="s">
        <v>4088</v>
      </c>
      <c r="K261" s="81" t="str">
        <f>IFERROR(__xludf.DUMMYFUNCTION("IF(OR(D261="""",G261=""""),"""",IFERROR(LET(
campo,XLOOKUP(TRIM(G261),ARRAYFORMULA(TRIM('indice columnas'!$A$2:$A$100)),'indice columnas'!$B$2:$B$100,""""),
col,IFERROR(MATCH(campo,Referencia!$A$1:$AZ$1,0),0),
fila,IFERROR(MATCH(TO_TEXT(D261),ARRAYFORMULA"&amp;"(TO_TEXT(Referencia!$A$2:$A6238)),0),0),
IF(OR(campo="""",campo=""-""),""NO APLICA"",
IF(col=0,""REVISAR EQUIVALENCIA"",
IF(fila=0,""SKU NO ENCONTRADO"",
LET(
valor,INDEX(Referencia!$A$2:$AZ6238,fila,col),
IF(TRIM(TO_TEXT(valor))=TRIM(TO_TEXT(I261)),
""OK"&amp;""",
""NO COINCIDE. Valor verdadero: ""&amp;IF(valor="""",""[VACÍO]"",TO_TEXT(valor))
)
))))
),""ERROR EN FÓRMULA""))"),"NO APLICA")</f>
        <v>NO APLICA</v>
      </c>
    </row>
    <row r="262">
      <c r="A262" s="83" t="s">
        <v>4078</v>
      </c>
      <c r="B262" s="83" t="s">
        <v>4079</v>
      </c>
      <c r="C262" s="81" t="s">
        <v>4086</v>
      </c>
      <c r="D262" s="83" t="s">
        <v>4231</v>
      </c>
      <c r="E262" s="81" t="s">
        <v>897</v>
      </c>
      <c r="F262" s="84">
        <v>157.0</v>
      </c>
      <c r="G262" s="81" t="s">
        <v>7</v>
      </c>
      <c r="H262" s="81" t="s">
        <v>215</v>
      </c>
      <c r="I262" s="81" t="s">
        <v>53</v>
      </c>
      <c r="J262" s="81" t="s">
        <v>224</v>
      </c>
      <c r="K262" s="81" t="str">
        <f>IFERROR(__xludf.DUMMYFUNCTION("IF(OR(D262="""",G262=""""),"""",IFERROR(LET(
campo,XLOOKUP(TRIM(G262),ARRAYFORMULA(TRIM('indice columnas'!$A$2:$A$100)),'indice columnas'!$B$2:$B$100,""""),
col,IFERROR(MATCH(campo,Referencia!$A$1:$AZ$1,0),0),
fila,IFERROR(MATCH(TO_TEXT(D262),ARRAYFORMULA"&amp;"(TO_TEXT(Referencia!$A$2:$A6238)),0),0),
IF(OR(campo="""",campo=""-""),""NO APLICA"",
IF(col=0,""REVISAR EQUIVALENCIA"",
IF(fila=0,""SKU NO ENCONTRADO"",
LET(
valor,INDEX(Referencia!$A$2:$AZ6238,fila,col),
IF(TRIM(TO_TEXT(valor))=TRIM(TO_TEXT(I262)),
""OK"&amp;""",
""NO COINCIDE. Valor verdadero: ""&amp;IF(valor="""",""[VACÍO]"",TO_TEXT(valor))
)
))))
),""ERROR EN FÓRMULA""))"),"REVISAR EQUIVALENCIA")</f>
        <v>REVISAR EQUIVALENCIA</v>
      </c>
    </row>
    <row r="263">
      <c r="A263" s="83" t="s">
        <v>4078</v>
      </c>
      <c r="B263" s="83" t="s">
        <v>4079</v>
      </c>
      <c r="C263" s="81" t="s">
        <v>4086</v>
      </c>
      <c r="D263" s="83" t="s">
        <v>4231</v>
      </c>
      <c r="E263" s="81" t="s">
        <v>897</v>
      </c>
      <c r="F263" s="84">
        <v>157.0</v>
      </c>
      <c r="G263" s="81" t="s">
        <v>12</v>
      </c>
      <c r="H263" s="81" t="s">
        <v>224</v>
      </c>
      <c r="I263" s="81" t="s">
        <v>55</v>
      </c>
      <c r="J263" s="81" t="s">
        <v>224</v>
      </c>
      <c r="K263" s="81" t="str">
        <f>IFERROR(__xludf.DUMMYFUNCTION("IF(OR(D263="""",G263=""""),"""",IFERROR(LET(
campo,XLOOKUP(TRIM(G263),ARRAYFORMULA(TRIM('indice columnas'!$A$2:$A$100)),'indice columnas'!$B$2:$B$100,""""),
col,IFERROR(MATCH(campo,Referencia!$A$1:$AZ$1,0),0),
fila,IFERROR(MATCH(TO_TEXT(D263),ARRAYFORMULA"&amp;"(TO_TEXT(Referencia!$A$2:$A6238)),0),0),
IF(OR(campo="""",campo=""-""),""NO APLICA"",
IF(col=0,""REVISAR EQUIVALENCIA"",
IF(fila=0,""SKU NO ENCONTRADO"",
LET(
valor,INDEX(Referencia!$A$2:$AZ6238,fila,col),
IF(TRIM(TO_TEXT(valor))=TRIM(TO_TEXT(I263)),
""OK"&amp;""",
""NO COINCIDE. Valor verdadero: ""&amp;IF(valor="""",""[VACÍO]"",TO_TEXT(valor))
)
))))
),""ERROR EN FÓRMULA""))"),"OK")</f>
        <v>OK</v>
      </c>
    </row>
    <row r="264">
      <c r="A264" s="83" t="s">
        <v>4078</v>
      </c>
      <c r="B264" s="83" t="s">
        <v>4079</v>
      </c>
      <c r="C264" s="81" t="s">
        <v>4086</v>
      </c>
      <c r="D264" s="83" t="s">
        <v>4231</v>
      </c>
      <c r="E264" s="81" t="s">
        <v>897</v>
      </c>
      <c r="F264" s="84">
        <v>157.0</v>
      </c>
      <c r="G264" s="81" t="s">
        <v>44</v>
      </c>
      <c r="H264" s="81" t="s">
        <v>224</v>
      </c>
      <c r="I264" s="81" t="s">
        <v>4230</v>
      </c>
      <c r="J264" s="81" t="s">
        <v>4088</v>
      </c>
      <c r="K264" s="81" t="str">
        <f>IFERROR(__xludf.DUMMYFUNCTION("IF(OR(D264="""",G264=""""),"""",IFERROR(LET(
campo,XLOOKUP(TRIM(G264),ARRAYFORMULA(TRIM('indice columnas'!$A$2:$A$100)),'indice columnas'!$B$2:$B$100,""""),
col,IFERROR(MATCH(campo,Referencia!$A$1:$AZ$1,0),0),
fila,IFERROR(MATCH(TO_TEXT(D264),ARRAYFORMULA"&amp;"(TO_TEXT(Referencia!$A$2:$A6238)),0),0),
IF(OR(campo="""",campo=""-""),""NO APLICA"",
IF(col=0,""REVISAR EQUIVALENCIA"",
IF(fila=0,""SKU NO ENCONTRADO"",
LET(
valor,INDEX(Referencia!$A$2:$AZ6238,fila,col),
IF(TRIM(TO_TEXT(valor))=TRIM(TO_TEXT(I264)),
""OK"&amp;""",
""NO COINCIDE. Valor verdadero: ""&amp;IF(valor="""",""[VACÍO]"",TO_TEXT(valor))
)
))))
),""ERROR EN FÓRMULA""))"),"NO APLICA")</f>
        <v>NO APLICA</v>
      </c>
    </row>
    <row r="265">
      <c r="A265" s="83" t="s">
        <v>4078</v>
      </c>
      <c r="B265" s="83" t="s">
        <v>4079</v>
      </c>
      <c r="C265" s="81" t="s">
        <v>4086</v>
      </c>
      <c r="D265" s="83" t="s">
        <v>4232</v>
      </c>
      <c r="E265" s="81" t="s">
        <v>899</v>
      </c>
      <c r="F265" s="84">
        <v>158.0</v>
      </c>
      <c r="G265" s="81" t="s">
        <v>7</v>
      </c>
      <c r="H265" s="81" t="s">
        <v>215</v>
      </c>
      <c r="I265" s="81" t="s">
        <v>53</v>
      </c>
      <c r="J265" s="81" t="s">
        <v>224</v>
      </c>
      <c r="K265" s="81" t="str">
        <f>IFERROR(__xludf.DUMMYFUNCTION("IF(OR(D265="""",G265=""""),"""",IFERROR(LET(
campo,XLOOKUP(TRIM(G265),ARRAYFORMULA(TRIM('indice columnas'!$A$2:$A$100)),'indice columnas'!$B$2:$B$100,""""),
col,IFERROR(MATCH(campo,Referencia!$A$1:$AZ$1,0),0),
fila,IFERROR(MATCH(TO_TEXT(D265),ARRAYFORMULA"&amp;"(TO_TEXT(Referencia!$A$2:$A6238)),0),0),
IF(OR(campo="""",campo=""-""),""NO APLICA"",
IF(col=0,""REVISAR EQUIVALENCIA"",
IF(fila=0,""SKU NO ENCONTRADO"",
LET(
valor,INDEX(Referencia!$A$2:$AZ6238,fila,col),
IF(TRIM(TO_TEXT(valor))=TRIM(TO_TEXT(I265)),
""OK"&amp;""",
""NO COINCIDE. Valor verdadero: ""&amp;IF(valor="""",""[VACÍO]"",TO_TEXT(valor))
)
))))
),""ERROR EN FÓRMULA""))"),"REVISAR EQUIVALENCIA")</f>
        <v>REVISAR EQUIVALENCIA</v>
      </c>
    </row>
    <row r="266">
      <c r="A266" s="83" t="s">
        <v>4078</v>
      </c>
      <c r="B266" s="83" t="s">
        <v>4079</v>
      </c>
      <c r="C266" s="81" t="s">
        <v>4086</v>
      </c>
      <c r="D266" s="83" t="s">
        <v>4232</v>
      </c>
      <c r="E266" s="81" t="s">
        <v>899</v>
      </c>
      <c r="F266" s="84">
        <v>158.0</v>
      </c>
      <c r="G266" s="81" t="s">
        <v>12</v>
      </c>
      <c r="H266" s="81" t="s">
        <v>224</v>
      </c>
      <c r="I266" s="81" t="s">
        <v>55</v>
      </c>
      <c r="J266" s="81" t="s">
        <v>224</v>
      </c>
      <c r="K266" s="81" t="str">
        <f>IFERROR(__xludf.DUMMYFUNCTION("IF(OR(D266="""",G266=""""),"""",IFERROR(LET(
campo,XLOOKUP(TRIM(G266),ARRAYFORMULA(TRIM('indice columnas'!$A$2:$A$100)),'indice columnas'!$B$2:$B$100,""""),
col,IFERROR(MATCH(campo,Referencia!$A$1:$AZ$1,0),0),
fila,IFERROR(MATCH(TO_TEXT(D266),ARRAYFORMULA"&amp;"(TO_TEXT(Referencia!$A$2:$A6238)),0),0),
IF(OR(campo="""",campo=""-""),""NO APLICA"",
IF(col=0,""REVISAR EQUIVALENCIA"",
IF(fila=0,""SKU NO ENCONTRADO"",
LET(
valor,INDEX(Referencia!$A$2:$AZ6238,fila,col),
IF(TRIM(TO_TEXT(valor))=TRIM(TO_TEXT(I266)),
""OK"&amp;""",
""NO COINCIDE. Valor verdadero: ""&amp;IF(valor="""",""[VACÍO]"",TO_TEXT(valor))
)
))))
),""ERROR EN FÓRMULA""))"),"OK")</f>
        <v>OK</v>
      </c>
    </row>
    <row r="267">
      <c r="A267" s="83" t="s">
        <v>4078</v>
      </c>
      <c r="B267" s="83" t="s">
        <v>4079</v>
      </c>
      <c r="C267" s="81" t="s">
        <v>4086</v>
      </c>
      <c r="D267" s="83" t="s">
        <v>4232</v>
      </c>
      <c r="E267" s="81" t="s">
        <v>899</v>
      </c>
      <c r="F267" s="84">
        <v>158.0</v>
      </c>
      <c r="G267" s="81" t="s">
        <v>44</v>
      </c>
      <c r="H267" s="81" t="s">
        <v>224</v>
      </c>
      <c r="I267" s="81" t="s">
        <v>4230</v>
      </c>
      <c r="J267" s="81" t="s">
        <v>4088</v>
      </c>
      <c r="K267" s="81" t="str">
        <f>IFERROR(__xludf.DUMMYFUNCTION("IF(OR(D267="""",G267=""""),"""",IFERROR(LET(
campo,XLOOKUP(TRIM(G267),ARRAYFORMULA(TRIM('indice columnas'!$A$2:$A$100)),'indice columnas'!$B$2:$B$100,""""),
col,IFERROR(MATCH(campo,Referencia!$A$1:$AZ$1,0),0),
fila,IFERROR(MATCH(TO_TEXT(D267),ARRAYFORMULA"&amp;"(TO_TEXT(Referencia!$A$2:$A6238)),0),0),
IF(OR(campo="""",campo=""-""),""NO APLICA"",
IF(col=0,""REVISAR EQUIVALENCIA"",
IF(fila=0,""SKU NO ENCONTRADO"",
LET(
valor,INDEX(Referencia!$A$2:$AZ6238,fila,col),
IF(TRIM(TO_TEXT(valor))=TRIM(TO_TEXT(I267)),
""OK"&amp;""",
""NO COINCIDE. Valor verdadero: ""&amp;IF(valor="""",""[VACÍO]"",TO_TEXT(valor))
)
))))
),""ERROR EN FÓRMULA""))"),"NO APLICA")</f>
        <v>NO APLICA</v>
      </c>
    </row>
    <row r="268">
      <c r="A268" s="83" t="s">
        <v>4078</v>
      </c>
      <c r="B268" s="83" t="s">
        <v>4079</v>
      </c>
      <c r="C268" s="81" t="s">
        <v>4086</v>
      </c>
      <c r="D268" s="83" t="s">
        <v>4233</v>
      </c>
      <c r="E268" s="81" t="s">
        <v>902</v>
      </c>
      <c r="F268" s="84">
        <v>159.0</v>
      </c>
      <c r="G268" s="81" t="s">
        <v>7</v>
      </c>
      <c r="H268" s="81" t="s">
        <v>215</v>
      </c>
      <c r="I268" s="81" t="s">
        <v>53</v>
      </c>
      <c r="J268" s="81" t="s">
        <v>224</v>
      </c>
      <c r="K268" s="81" t="str">
        <f>IFERROR(__xludf.DUMMYFUNCTION("IF(OR(D268="""",G268=""""),"""",IFERROR(LET(
campo,XLOOKUP(TRIM(G268),ARRAYFORMULA(TRIM('indice columnas'!$A$2:$A$100)),'indice columnas'!$B$2:$B$100,""""),
col,IFERROR(MATCH(campo,Referencia!$A$1:$AZ$1,0),0),
fila,IFERROR(MATCH(TO_TEXT(D268),ARRAYFORMULA"&amp;"(TO_TEXT(Referencia!$A$2:$A6238)),0),0),
IF(OR(campo="""",campo=""-""),""NO APLICA"",
IF(col=0,""REVISAR EQUIVALENCIA"",
IF(fila=0,""SKU NO ENCONTRADO"",
LET(
valor,INDEX(Referencia!$A$2:$AZ6238,fila,col),
IF(TRIM(TO_TEXT(valor))=TRIM(TO_TEXT(I268)),
""OK"&amp;""",
""NO COINCIDE. Valor verdadero: ""&amp;IF(valor="""",""[VACÍO]"",TO_TEXT(valor))
)
))))
),""ERROR EN FÓRMULA""))"),"REVISAR EQUIVALENCIA")</f>
        <v>REVISAR EQUIVALENCIA</v>
      </c>
    </row>
    <row r="269">
      <c r="A269" s="83" t="s">
        <v>4078</v>
      </c>
      <c r="B269" s="83" t="s">
        <v>4079</v>
      </c>
      <c r="C269" s="81" t="s">
        <v>4086</v>
      </c>
      <c r="D269" s="83" t="s">
        <v>4233</v>
      </c>
      <c r="E269" s="81" t="s">
        <v>902</v>
      </c>
      <c r="F269" s="84">
        <v>159.0</v>
      </c>
      <c r="G269" s="81" t="s">
        <v>12</v>
      </c>
      <c r="H269" s="81" t="s">
        <v>224</v>
      </c>
      <c r="I269" s="81" t="s">
        <v>55</v>
      </c>
      <c r="J269" s="81" t="s">
        <v>224</v>
      </c>
      <c r="K269" s="81" t="str">
        <f>IFERROR(__xludf.DUMMYFUNCTION("IF(OR(D269="""",G269=""""),"""",IFERROR(LET(
campo,XLOOKUP(TRIM(G269),ARRAYFORMULA(TRIM('indice columnas'!$A$2:$A$100)),'indice columnas'!$B$2:$B$100,""""),
col,IFERROR(MATCH(campo,Referencia!$A$1:$AZ$1,0),0),
fila,IFERROR(MATCH(TO_TEXT(D269),ARRAYFORMULA"&amp;"(TO_TEXT(Referencia!$A$2:$A6238)),0),0),
IF(OR(campo="""",campo=""-""),""NO APLICA"",
IF(col=0,""REVISAR EQUIVALENCIA"",
IF(fila=0,""SKU NO ENCONTRADO"",
LET(
valor,INDEX(Referencia!$A$2:$AZ6238,fila,col),
IF(TRIM(TO_TEXT(valor))=TRIM(TO_TEXT(I269)),
""OK"&amp;""",
""NO COINCIDE. Valor verdadero: ""&amp;IF(valor="""",""[VACÍO]"",TO_TEXT(valor))
)
))))
),""ERROR EN FÓRMULA""))"),"OK")</f>
        <v>OK</v>
      </c>
    </row>
    <row r="270">
      <c r="A270" s="83" t="s">
        <v>4078</v>
      </c>
      <c r="B270" s="83" t="s">
        <v>4079</v>
      </c>
      <c r="C270" s="81" t="s">
        <v>4086</v>
      </c>
      <c r="D270" s="83" t="s">
        <v>4233</v>
      </c>
      <c r="E270" s="81" t="s">
        <v>902</v>
      </c>
      <c r="F270" s="84">
        <v>159.0</v>
      </c>
      <c r="G270" s="81" t="s">
        <v>44</v>
      </c>
      <c r="H270" s="81" t="s">
        <v>224</v>
      </c>
      <c r="I270" s="81" t="s">
        <v>4230</v>
      </c>
      <c r="J270" s="81" t="s">
        <v>4088</v>
      </c>
      <c r="K270" s="81" t="str">
        <f>IFERROR(__xludf.DUMMYFUNCTION("IF(OR(D270="""",G270=""""),"""",IFERROR(LET(
campo,XLOOKUP(TRIM(G270),ARRAYFORMULA(TRIM('indice columnas'!$A$2:$A$100)),'indice columnas'!$B$2:$B$100,""""),
col,IFERROR(MATCH(campo,Referencia!$A$1:$AZ$1,0),0),
fila,IFERROR(MATCH(TO_TEXT(D270),ARRAYFORMULA"&amp;"(TO_TEXT(Referencia!$A$2:$A6238)),0),0),
IF(OR(campo="""",campo=""-""),""NO APLICA"",
IF(col=0,""REVISAR EQUIVALENCIA"",
IF(fila=0,""SKU NO ENCONTRADO"",
LET(
valor,INDEX(Referencia!$A$2:$AZ6238,fila,col),
IF(TRIM(TO_TEXT(valor))=TRIM(TO_TEXT(I270)),
""OK"&amp;""",
""NO COINCIDE. Valor verdadero: ""&amp;IF(valor="""",""[VACÍO]"",TO_TEXT(valor))
)
))))
),""ERROR EN FÓRMULA""))"),"NO APLICA")</f>
        <v>NO APLICA</v>
      </c>
    </row>
    <row r="271">
      <c r="A271" s="83" t="s">
        <v>4078</v>
      </c>
      <c r="B271" s="83" t="s">
        <v>4079</v>
      </c>
      <c r="C271" s="81" t="s">
        <v>4086</v>
      </c>
      <c r="D271" s="83" t="s">
        <v>4234</v>
      </c>
      <c r="E271" s="81" t="s">
        <v>905</v>
      </c>
      <c r="F271" s="84">
        <v>160.0</v>
      </c>
      <c r="G271" s="81" t="s">
        <v>7</v>
      </c>
      <c r="H271" s="81" t="s">
        <v>215</v>
      </c>
      <c r="I271" s="81" t="s">
        <v>53</v>
      </c>
      <c r="J271" s="81" t="s">
        <v>224</v>
      </c>
      <c r="K271" s="81" t="str">
        <f>IFERROR(__xludf.DUMMYFUNCTION("IF(OR(D271="""",G271=""""),"""",IFERROR(LET(
campo,XLOOKUP(TRIM(G271),ARRAYFORMULA(TRIM('indice columnas'!$A$2:$A$100)),'indice columnas'!$B$2:$B$100,""""),
col,IFERROR(MATCH(campo,Referencia!$A$1:$AZ$1,0),0),
fila,IFERROR(MATCH(TO_TEXT(D271),ARRAYFORMULA"&amp;"(TO_TEXT(Referencia!$A$2:$A6238)),0),0),
IF(OR(campo="""",campo=""-""),""NO APLICA"",
IF(col=0,""REVISAR EQUIVALENCIA"",
IF(fila=0,""SKU NO ENCONTRADO"",
LET(
valor,INDEX(Referencia!$A$2:$AZ6238,fila,col),
IF(TRIM(TO_TEXT(valor))=TRIM(TO_TEXT(I271)),
""OK"&amp;""",
""NO COINCIDE. Valor verdadero: ""&amp;IF(valor="""",""[VACÍO]"",TO_TEXT(valor))
)
))))
),""ERROR EN FÓRMULA""))"),"REVISAR EQUIVALENCIA")</f>
        <v>REVISAR EQUIVALENCIA</v>
      </c>
    </row>
    <row r="272">
      <c r="A272" s="83" t="s">
        <v>4078</v>
      </c>
      <c r="B272" s="83" t="s">
        <v>4079</v>
      </c>
      <c r="C272" s="81" t="s">
        <v>4086</v>
      </c>
      <c r="D272" s="83" t="s">
        <v>4234</v>
      </c>
      <c r="E272" s="81" t="s">
        <v>905</v>
      </c>
      <c r="F272" s="84">
        <v>160.0</v>
      </c>
      <c r="G272" s="81" t="s">
        <v>12</v>
      </c>
      <c r="H272" s="81" t="s">
        <v>224</v>
      </c>
      <c r="I272" s="81" t="s">
        <v>55</v>
      </c>
      <c r="J272" s="81" t="s">
        <v>224</v>
      </c>
      <c r="K272" s="81" t="str">
        <f>IFERROR(__xludf.DUMMYFUNCTION("IF(OR(D272="""",G272=""""),"""",IFERROR(LET(
campo,XLOOKUP(TRIM(G272),ARRAYFORMULA(TRIM('indice columnas'!$A$2:$A$100)),'indice columnas'!$B$2:$B$100,""""),
col,IFERROR(MATCH(campo,Referencia!$A$1:$AZ$1,0),0),
fila,IFERROR(MATCH(TO_TEXT(D272),ARRAYFORMULA"&amp;"(TO_TEXT(Referencia!$A$2:$A6238)),0),0),
IF(OR(campo="""",campo=""-""),""NO APLICA"",
IF(col=0,""REVISAR EQUIVALENCIA"",
IF(fila=0,""SKU NO ENCONTRADO"",
LET(
valor,INDEX(Referencia!$A$2:$AZ6238,fila,col),
IF(TRIM(TO_TEXT(valor))=TRIM(TO_TEXT(I272)),
""OK"&amp;""",
""NO COINCIDE. Valor verdadero: ""&amp;IF(valor="""",""[VACÍO]"",TO_TEXT(valor))
)
))))
),""ERROR EN FÓRMULA""))"),"OK")</f>
        <v>OK</v>
      </c>
    </row>
    <row r="273">
      <c r="A273" s="83" t="s">
        <v>4078</v>
      </c>
      <c r="B273" s="83" t="s">
        <v>4079</v>
      </c>
      <c r="C273" s="81" t="s">
        <v>4086</v>
      </c>
      <c r="D273" s="83" t="s">
        <v>4234</v>
      </c>
      <c r="E273" s="81" t="s">
        <v>905</v>
      </c>
      <c r="F273" s="84">
        <v>160.0</v>
      </c>
      <c r="G273" s="81" t="s">
        <v>44</v>
      </c>
      <c r="H273" s="81" t="s">
        <v>224</v>
      </c>
      <c r="I273" s="81" t="s">
        <v>4230</v>
      </c>
      <c r="J273" s="81" t="s">
        <v>4088</v>
      </c>
      <c r="K273" s="81" t="str">
        <f>IFERROR(__xludf.DUMMYFUNCTION("IF(OR(D273="""",G273=""""),"""",IFERROR(LET(
campo,XLOOKUP(TRIM(G273),ARRAYFORMULA(TRIM('indice columnas'!$A$2:$A$100)),'indice columnas'!$B$2:$B$100,""""),
col,IFERROR(MATCH(campo,Referencia!$A$1:$AZ$1,0),0),
fila,IFERROR(MATCH(TO_TEXT(D273),ARRAYFORMULA"&amp;"(TO_TEXT(Referencia!$A$2:$A6238)),0),0),
IF(OR(campo="""",campo=""-""),""NO APLICA"",
IF(col=0,""REVISAR EQUIVALENCIA"",
IF(fila=0,""SKU NO ENCONTRADO"",
LET(
valor,INDEX(Referencia!$A$2:$AZ6238,fila,col),
IF(TRIM(TO_TEXT(valor))=TRIM(TO_TEXT(I273)),
""OK"&amp;""",
""NO COINCIDE. Valor verdadero: ""&amp;IF(valor="""",""[VACÍO]"",TO_TEXT(valor))
)
))))
),""ERROR EN FÓRMULA""))"),"NO APLICA")</f>
        <v>NO APLICA</v>
      </c>
    </row>
    <row r="274">
      <c r="A274" s="83" t="s">
        <v>4078</v>
      </c>
      <c r="B274" s="83" t="s">
        <v>4079</v>
      </c>
      <c r="C274" s="81" t="s">
        <v>4086</v>
      </c>
      <c r="D274" s="83" t="s">
        <v>4235</v>
      </c>
      <c r="E274" s="81" t="s">
        <v>908</v>
      </c>
      <c r="F274" s="84">
        <v>161.0</v>
      </c>
      <c r="G274" s="81" t="s">
        <v>7</v>
      </c>
      <c r="H274" s="81" t="s">
        <v>215</v>
      </c>
      <c r="I274" s="81" t="s">
        <v>53</v>
      </c>
      <c r="J274" s="81" t="s">
        <v>224</v>
      </c>
      <c r="K274" s="81" t="str">
        <f>IFERROR(__xludf.DUMMYFUNCTION("IF(OR(D274="""",G274=""""),"""",IFERROR(LET(
campo,XLOOKUP(TRIM(G274),ARRAYFORMULA(TRIM('indice columnas'!$A$2:$A$100)),'indice columnas'!$B$2:$B$100,""""),
col,IFERROR(MATCH(campo,Referencia!$A$1:$AZ$1,0),0),
fila,IFERROR(MATCH(TO_TEXT(D274),ARRAYFORMULA"&amp;"(TO_TEXT(Referencia!$A$2:$A6238)),0),0),
IF(OR(campo="""",campo=""-""),""NO APLICA"",
IF(col=0,""REVISAR EQUIVALENCIA"",
IF(fila=0,""SKU NO ENCONTRADO"",
LET(
valor,INDEX(Referencia!$A$2:$AZ6238,fila,col),
IF(TRIM(TO_TEXT(valor))=TRIM(TO_TEXT(I274)),
""OK"&amp;""",
""NO COINCIDE. Valor verdadero: ""&amp;IF(valor="""",""[VACÍO]"",TO_TEXT(valor))
)
))))
),""ERROR EN FÓRMULA""))"),"REVISAR EQUIVALENCIA")</f>
        <v>REVISAR EQUIVALENCIA</v>
      </c>
    </row>
    <row r="275">
      <c r="A275" s="83" t="s">
        <v>4078</v>
      </c>
      <c r="B275" s="83" t="s">
        <v>4079</v>
      </c>
      <c r="C275" s="81" t="s">
        <v>4086</v>
      </c>
      <c r="D275" s="83" t="s">
        <v>4235</v>
      </c>
      <c r="E275" s="81" t="s">
        <v>908</v>
      </c>
      <c r="F275" s="84">
        <v>161.0</v>
      </c>
      <c r="G275" s="81" t="s">
        <v>12</v>
      </c>
      <c r="H275" s="81" t="s">
        <v>224</v>
      </c>
      <c r="I275" s="81" t="s">
        <v>55</v>
      </c>
      <c r="J275" s="81" t="s">
        <v>224</v>
      </c>
      <c r="K275" s="81" t="str">
        <f>IFERROR(__xludf.DUMMYFUNCTION("IF(OR(D275="""",G275=""""),"""",IFERROR(LET(
campo,XLOOKUP(TRIM(G275),ARRAYFORMULA(TRIM('indice columnas'!$A$2:$A$100)),'indice columnas'!$B$2:$B$100,""""),
col,IFERROR(MATCH(campo,Referencia!$A$1:$AZ$1,0),0),
fila,IFERROR(MATCH(TO_TEXT(D275),ARRAYFORMULA"&amp;"(TO_TEXT(Referencia!$A$2:$A6238)),0),0),
IF(OR(campo="""",campo=""-""),""NO APLICA"",
IF(col=0,""REVISAR EQUIVALENCIA"",
IF(fila=0,""SKU NO ENCONTRADO"",
LET(
valor,INDEX(Referencia!$A$2:$AZ6238,fila,col),
IF(TRIM(TO_TEXT(valor))=TRIM(TO_TEXT(I275)),
""OK"&amp;""",
""NO COINCIDE. Valor verdadero: ""&amp;IF(valor="""",""[VACÍO]"",TO_TEXT(valor))
)
))))
),""ERROR EN FÓRMULA""))"),"OK")</f>
        <v>OK</v>
      </c>
    </row>
    <row r="276">
      <c r="A276" s="83" t="s">
        <v>4078</v>
      </c>
      <c r="B276" s="83" t="s">
        <v>4079</v>
      </c>
      <c r="C276" s="81" t="s">
        <v>4086</v>
      </c>
      <c r="D276" s="83" t="s">
        <v>4235</v>
      </c>
      <c r="E276" s="81" t="s">
        <v>908</v>
      </c>
      <c r="F276" s="84">
        <v>161.0</v>
      </c>
      <c r="G276" s="81" t="s">
        <v>44</v>
      </c>
      <c r="H276" s="81" t="s">
        <v>224</v>
      </c>
      <c r="I276" s="81" t="s">
        <v>4236</v>
      </c>
      <c r="J276" s="81" t="s">
        <v>4088</v>
      </c>
      <c r="K276" s="81" t="str">
        <f>IFERROR(__xludf.DUMMYFUNCTION("IF(OR(D276="""",G276=""""),"""",IFERROR(LET(
campo,XLOOKUP(TRIM(G276),ARRAYFORMULA(TRIM('indice columnas'!$A$2:$A$100)),'indice columnas'!$B$2:$B$100,""""),
col,IFERROR(MATCH(campo,Referencia!$A$1:$AZ$1,0),0),
fila,IFERROR(MATCH(TO_TEXT(D276),ARRAYFORMULA"&amp;"(TO_TEXT(Referencia!$A$2:$A6238)),0),0),
IF(OR(campo="""",campo=""-""),""NO APLICA"",
IF(col=0,""REVISAR EQUIVALENCIA"",
IF(fila=0,""SKU NO ENCONTRADO"",
LET(
valor,INDEX(Referencia!$A$2:$AZ6238,fila,col),
IF(TRIM(TO_TEXT(valor))=TRIM(TO_TEXT(I276)),
""OK"&amp;""",
""NO COINCIDE. Valor verdadero: ""&amp;IF(valor="""",""[VACÍO]"",TO_TEXT(valor))
)
))))
),""ERROR EN FÓRMULA""))"),"NO APLICA")</f>
        <v>NO APLICA</v>
      </c>
    </row>
    <row r="277">
      <c r="A277" s="83" t="s">
        <v>4078</v>
      </c>
      <c r="B277" s="83" t="s">
        <v>4079</v>
      </c>
      <c r="C277" s="81" t="s">
        <v>4086</v>
      </c>
      <c r="D277" s="83" t="s">
        <v>4237</v>
      </c>
      <c r="E277" s="81" t="s">
        <v>916</v>
      </c>
      <c r="F277" s="84">
        <v>162.0</v>
      </c>
      <c r="G277" s="81" t="s">
        <v>7</v>
      </c>
      <c r="H277" s="81" t="s">
        <v>215</v>
      </c>
      <c r="I277" s="81" t="s">
        <v>53</v>
      </c>
      <c r="J277" s="81" t="s">
        <v>224</v>
      </c>
      <c r="K277" s="81" t="str">
        <f>IFERROR(__xludf.DUMMYFUNCTION("IF(OR(D277="""",G277=""""),"""",IFERROR(LET(
campo,XLOOKUP(TRIM(G277),ARRAYFORMULA(TRIM('indice columnas'!$A$2:$A$100)),'indice columnas'!$B$2:$B$100,""""),
col,IFERROR(MATCH(campo,Referencia!$A$1:$AZ$1,0),0),
fila,IFERROR(MATCH(TO_TEXT(D277),ARRAYFORMULA"&amp;"(TO_TEXT(Referencia!$A$2:$A6238)),0),0),
IF(OR(campo="""",campo=""-""),""NO APLICA"",
IF(col=0,""REVISAR EQUIVALENCIA"",
IF(fila=0,""SKU NO ENCONTRADO"",
LET(
valor,INDEX(Referencia!$A$2:$AZ6238,fila,col),
IF(TRIM(TO_TEXT(valor))=TRIM(TO_TEXT(I277)),
""OK"&amp;""",
""NO COINCIDE. Valor verdadero: ""&amp;IF(valor="""",""[VACÍO]"",TO_TEXT(valor))
)
))))
),""ERROR EN FÓRMULA""))"),"REVISAR EQUIVALENCIA")</f>
        <v>REVISAR EQUIVALENCIA</v>
      </c>
    </row>
    <row r="278">
      <c r="A278" s="83" t="s">
        <v>4078</v>
      </c>
      <c r="B278" s="83" t="s">
        <v>4079</v>
      </c>
      <c r="C278" s="81" t="s">
        <v>4086</v>
      </c>
      <c r="D278" s="83" t="s">
        <v>4237</v>
      </c>
      <c r="E278" s="81" t="s">
        <v>916</v>
      </c>
      <c r="F278" s="84">
        <v>162.0</v>
      </c>
      <c r="G278" s="81" t="s">
        <v>12</v>
      </c>
      <c r="H278" s="81" t="s">
        <v>224</v>
      </c>
      <c r="I278" s="81" t="s">
        <v>55</v>
      </c>
      <c r="J278" s="81" t="s">
        <v>224</v>
      </c>
      <c r="K278" s="81" t="str">
        <f>IFERROR(__xludf.DUMMYFUNCTION("IF(OR(D278="""",G278=""""),"""",IFERROR(LET(
campo,XLOOKUP(TRIM(G278),ARRAYFORMULA(TRIM('indice columnas'!$A$2:$A$100)),'indice columnas'!$B$2:$B$100,""""),
col,IFERROR(MATCH(campo,Referencia!$A$1:$AZ$1,0),0),
fila,IFERROR(MATCH(TO_TEXT(D278),ARRAYFORMULA"&amp;"(TO_TEXT(Referencia!$A$2:$A6238)),0),0),
IF(OR(campo="""",campo=""-""),""NO APLICA"",
IF(col=0,""REVISAR EQUIVALENCIA"",
IF(fila=0,""SKU NO ENCONTRADO"",
LET(
valor,INDEX(Referencia!$A$2:$AZ6238,fila,col),
IF(TRIM(TO_TEXT(valor))=TRIM(TO_TEXT(I278)),
""OK"&amp;""",
""NO COINCIDE. Valor verdadero: ""&amp;IF(valor="""",""[VACÍO]"",TO_TEXT(valor))
)
))))
),""ERROR EN FÓRMULA""))"),"OK")</f>
        <v>OK</v>
      </c>
    </row>
    <row r="279">
      <c r="A279" s="83" t="s">
        <v>4078</v>
      </c>
      <c r="B279" s="83" t="s">
        <v>4079</v>
      </c>
      <c r="C279" s="81" t="s">
        <v>4086</v>
      </c>
      <c r="D279" s="83" t="s">
        <v>4237</v>
      </c>
      <c r="E279" s="81" t="s">
        <v>916</v>
      </c>
      <c r="F279" s="84">
        <v>162.0</v>
      </c>
      <c r="G279" s="81" t="s">
        <v>44</v>
      </c>
      <c r="H279" s="81" t="s">
        <v>224</v>
      </c>
      <c r="I279" s="81" t="s">
        <v>4236</v>
      </c>
      <c r="J279" s="81" t="s">
        <v>4088</v>
      </c>
      <c r="K279" s="81" t="str">
        <f>IFERROR(__xludf.DUMMYFUNCTION("IF(OR(D279="""",G279=""""),"""",IFERROR(LET(
campo,XLOOKUP(TRIM(G279),ARRAYFORMULA(TRIM('indice columnas'!$A$2:$A$100)),'indice columnas'!$B$2:$B$100,""""),
col,IFERROR(MATCH(campo,Referencia!$A$1:$AZ$1,0),0),
fila,IFERROR(MATCH(TO_TEXT(D279),ARRAYFORMULA"&amp;"(TO_TEXT(Referencia!$A$2:$A6238)),0),0),
IF(OR(campo="""",campo=""-""),""NO APLICA"",
IF(col=0,""REVISAR EQUIVALENCIA"",
IF(fila=0,""SKU NO ENCONTRADO"",
LET(
valor,INDEX(Referencia!$A$2:$AZ6238,fila,col),
IF(TRIM(TO_TEXT(valor))=TRIM(TO_TEXT(I279)),
""OK"&amp;""",
""NO COINCIDE. Valor verdadero: ""&amp;IF(valor="""",""[VACÍO]"",TO_TEXT(valor))
)
))))
),""ERROR EN FÓRMULA""))"),"NO APLICA")</f>
        <v>NO APLICA</v>
      </c>
    </row>
    <row r="280">
      <c r="A280" s="83" t="s">
        <v>4078</v>
      </c>
      <c r="B280" s="83" t="s">
        <v>4079</v>
      </c>
      <c r="C280" s="81" t="s">
        <v>4086</v>
      </c>
      <c r="D280" s="83" t="s">
        <v>4238</v>
      </c>
      <c r="E280" s="81" t="s">
        <v>918</v>
      </c>
      <c r="F280" s="84">
        <v>163.0</v>
      </c>
      <c r="G280" s="81" t="s">
        <v>12</v>
      </c>
      <c r="H280" s="81" t="s">
        <v>224</v>
      </c>
      <c r="I280" s="81" t="s">
        <v>55</v>
      </c>
      <c r="J280" s="81" t="s">
        <v>224</v>
      </c>
      <c r="K280" s="81" t="str">
        <f>IFERROR(__xludf.DUMMYFUNCTION("IF(OR(D280="""",G280=""""),"""",IFERROR(LET(
campo,XLOOKUP(TRIM(G280),ARRAYFORMULA(TRIM('indice columnas'!$A$2:$A$100)),'indice columnas'!$B$2:$B$100,""""),
col,IFERROR(MATCH(campo,Referencia!$A$1:$AZ$1,0),0),
fila,IFERROR(MATCH(TO_TEXT(D280),ARRAYFORMULA"&amp;"(TO_TEXT(Referencia!$A$2:$A6238)),0),0),
IF(OR(campo="""",campo=""-""),""NO APLICA"",
IF(col=0,""REVISAR EQUIVALENCIA"",
IF(fila=0,""SKU NO ENCONTRADO"",
LET(
valor,INDEX(Referencia!$A$2:$AZ6238,fila,col),
IF(TRIM(TO_TEXT(valor))=TRIM(TO_TEXT(I280)),
""OK"&amp;""",
""NO COINCIDE. Valor verdadero: ""&amp;IF(valor="""",""[VACÍO]"",TO_TEXT(valor))
)
))))
),""ERROR EN FÓRMULA""))"),"OK")</f>
        <v>OK</v>
      </c>
    </row>
    <row r="281">
      <c r="A281" s="83" t="s">
        <v>4078</v>
      </c>
      <c r="B281" s="83" t="s">
        <v>4079</v>
      </c>
      <c r="C281" s="81" t="s">
        <v>4086</v>
      </c>
      <c r="D281" s="83" t="s">
        <v>4238</v>
      </c>
      <c r="E281" s="81" t="s">
        <v>918</v>
      </c>
      <c r="F281" s="84">
        <v>163.0</v>
      </c>
      <c r="G281" s="81" t="s">
        <v>44</v>
      </c>
      <c r="H281" s="81" t="s">
        <v>224</v>
      </c>
      <c r="I281" s="81" t="s">
        <v>924</v>
      </c>
      <c r="J281" s="81" t="s">
        <v>4088</v>
      </c>
      <c r="K281" s="81" t="str">
        <f>IFERROR(__xludf.DUMMYFUNCTION("IF(OR(D281="""",G281=""""),"""",IFERROR(LET(
campo,XLOOKUP(TRIM(G281),ARRAYFORMULA(TRIM('indice columnas'!$A$2:$A$100)),'indice columnas'!$B$2:$B$100,""""),
col,IFERROR(MATCH(campo,Referencia!$A$1:$AZ$1,0),0),
fila,IFERROR(MATCH(TO_TEXT(D281),ARRAYFORMULA"&amp;"(TO_TEXT(Referencia!$A$2:$A6238)),0),0),
IF(OR(campo="""",campo=""-""),""NO APLICA"",
IF(col=0,""REVISAR EQUIVALENCIA"",
IF(fila=0,""SKU NO ENCONTRADO"",
LET(
valor,INDEX(Referencia!$A$2:$AZ6238,fila,col),
IF(TRIM(TO_TEXT(valor))=TRIM(TO_TEXT(I281)),
""OK"&amp;""",
""NO COINCIDE. Valor verdadero: ""&amp;IF(valor="""",""[VACÍO]"",TO_TEXT(valor))
)
))))
),""ERROR EN FÓRMULA""))"),"NO APLICA")</f>
        <v>NO APLICA</v>
      </c>
    </row>
    <row r="282">
      <c r="A282" s="83" t="s">
        <v>4078</v>
      </c>
      <c r="B282" s="83" t="s">
        <v>4079</v>
      </c>
      <c r="C282" s="81" t="s">
        <v>4086</v>
      </c>
      <c r="D282" s="83" t="s">
        <v>4239</v>
      </c>
      <c r="E282" s="81" t="s">
        <v>925</v>
      </c>
      <c r="F282" s="84">
        <v>164.0</v>
      </c>
      <c r="G282" s="81" t="s">
        <v>44</v>
      </c>
      <c r="H282" s="81" t="s">
        <v>224</v>
      </c>
      <c r="I282" s="81" t="s">
        <v>924</v>
      </c>
      <c r="J282" s="81" t="s">
        <v>4088</v>
      </c>
      <c r="K282" s="81" t="str">
        <f>IFERROR(__xludf.DUMMYFUNCTION("IF(OR(D282="""",G282=""""),"""",IFERROR(LET(
campo,XLOOKUP(TRIM(G282),ARRAYFORMULA(TRIM('indice columnas'!$A$2:$A$100)),'indice columnas'!$B$2:$B$100,""""),
col,IFERROR(MATCH(campo,Referencia!$A$1:$AZ$1,0),0),
fila,IFERROR(MATCH(TO_TEXT(D282),ARRAYFORMULA"&amp;"(TO_TEXT(Referencia!$A$2:$A6238)),0),0),
IF(OR(campo="""",campo=""-""),""NO APLICA"",
IF(col=0,""REVISAR EQUIVALENCIA"",
IF(fila=0,""SKU NO ENCONTRADO"",
LET(
valor,INDEX(Referencia!$A$2:$AZ6238,fila,col),
IF(TRIM(TO_TEXT(valor))=TRIM(TO_TEXT(I282)),
""OK"&amp;""",
""NO COINCIDE. Valor verdadero: ""&amp;IF(valor="""",""[VACÍO]"",TO_TEXT(valor))
)
))))
),""ERROR EN FÓRMULA""))"),"NO APLICA")</f>
        <v>NO APLICA</v>
      </c>
    </row>
    <row r="283">
      <c r="A283" s="83" t="s">
        <v>4078</v>
      </c>
      <c r="B283" s="83" t="s">
        <v>4079</v>
      </c>
      <c r="C283" s="81" t="s">
        <v>4086</v>
      </c>
      <c r="D283" s="83" t="s">
        <v>4239</v>
      </c>
      <c r="E283" s="81" t="s">
        <v>934</v>
      </c>
      <c r="F283" s="84">
        <v>165.0</v>
      </c>
      <c r="G283" s="81" t="s">
        <v>12</v>
      </c>
      <c r="H283" s="81" t="s">
        <v>224</v>
      </c>
      <c r="I283" s="81" t="s">
        <v>55</v>
      </c>
      <c r="J283" s="81" t="s">
        <v>224</v>
      </c>
      <c r="K283" s="81" t="str">
        <f>IFERROR(__xludf.DUMMYFUNCTION("IF(OR(D283="""",G283=""""),"""",IFERROR(LET(
campo,XLOOKUP(TRIM(G283),ARRAYFORMULA(TRIM('indice columnas'!$A$2:$A$100)),'indice columnas'!$B$2:$B$100,""""),
col,IFERROR(MATCH(campo,Referencia!$A$1:$AZ$1,0),0),
fila,IFERROR(MATCH(TO_TEXT(D283),ARRAYFORMULA"&amp;"(TO_TEXT(Referencia!$A$2:$A6238)),0),0),
IF(OR(campo="""",campo=""-""),""NO APLICA"",
IF(col=0,""REVISAR EQUIVALENCIA"",
IF(fila=0,""SKU NO ENCONTRADO"",
LET(
valor,INDEX(Referencia!$A$2:$AZ6238,fila,col),
IF(TRIM(TO_TEXT(valor))=TRIM(TO_TEXT(I283)),
""OK"&amp;""",
""NO COINCIDE. Valor verdadero: ""&amp;IF(valor="""",""[VACÍO]"",TO_TEXT(valor))
)
))))
),""ERROR EN FÓRMULA""))"),"OK")</f>
        <v>OK</v>
      </c>
    </row>
    <row r="284">
      <c r="A284" s="83" t="s">
        <v>4078</v>
      </c>
      <c r="B284" s="83" t="s">
        <v>4079</v>
      </c>
      <c r="C284" s="81" t="s">
        <v>4086</v>
      </c>
      <c r="D284" s="83" t="s">
        <v>4239</v>
      </c>
      <c r="E284" s="81" t="s">
        <v>934</v>
      </c>
      <c r="F284" s="84">
        <v>165.0</v>
      </c>
      <c r="G284" s="81" t="s">
        <v>44</v>
      </c>
      <c r="H284" s="81" t="s">
        <v>224</v>
      </c>
      <c r="I284" s="81" t="s">
        <v>924</v>
      </c>
      <c r="J284" s="81" t="s">
        <v>4088</v>
      </c>
      <c r="K284" s="81" t="str">
        <f>IFERROR(__xludf.DUMMYFUNCTION("IF(OR(D284="""",G284=""""),"""",IFERROR(LET(
campo,XLOOKUP(TRIM(G284),ARRAYFORMULA(TRIM('indice columnas'!$A$2:$A$100)),'indice columnas'!$B$2:$B$100,""""),
col,IFERROR(MATCH(campo,Referencia!$A$1:$AZ$1,0),0),
fila,IFERROR(MATCH(TO_TEXT(D284),ARRAYFORMULA"&amp;"(TO_TEXT(Referencia!$A$2:$A6238)),0),0),
IF(OR(campo="""",campo=""-""),""NO APLICA"",
IF(col=0,""REVISAR EQUIVALENCIA"",
IF(fila=0,""SKU NO ENCONTRADO"",
LET(
valor,INDEX(Referencia!$A$2:$AZ6238,fila,col),
IF(TRIM(TO_TEXT(valor))=TRIM(TO_TEXT(I284)),
""OK"&amp;""",
""NO COINCIDE. Valor verdadero: ""&amp;IF(valor="""",""[VACÍO]"",TO_TEXT(valor))
)
))))
),""ERROR EN FÓRMULA""))"),"NO APLICA")</f>
        <v>NO APLICA</v>
      </c>
    </row>
    <row r="285">
      <c r="A285" s="83" t="s">
        <v>4078</v>
      </c>
      <c r="B285" s="83" t="s">
        <v>4079</v>
      </c>
      <c r="C285" s="81" t="s">
        <v>4086</v>
      </c>
      <c r="D285" s="83" t="s">
        <v>4240</v>
      </c>
      <c r="E285" s="81" t="s">
        <v>935</v>
      </c>
      <c r="F285" s="84">
        <v>166.0</v>
      </c>
      <c r="G285" s="81" t="s">
        <v>12</v>
      </c>
      <c r="H285" s="81" t="s">
        <v>224</v>
      </c>
      <c r="I285" s="81" t="s">
        <v>55</v>
      </c>
      <c r="J285" s="81" t="s">
        <v>224</v>
      </c>
      <c r="K285" s="81" t="str">
        <f>IFERROR(__xludf.DUMMYFUNCTION("IF(OR(D285="""",G285=""""),"""",IFERROR(LET(
campo,XLOOKUP(TRIM(G285),ARRAYFORMULA(TRIM('indice columnas'!$A$2:$A$100)),'indice columnas'!$B$2:$B$100,""""),
col,IFERROR(MATCH(campo,Referencia!$A$1:$AZ$1,0),0),
fila,IFERROR(MATCH(TO_TEXT(D285),ARRAYFORMULA"&amp;"(TO_TEXT(Referencia!$A$2:$A6238)),0),0),
IF(OR(campo="""",campo=""-""),""NO APLICA"",
IF(col=0,""REVISAR EQUIVALENCIA"",
IF(fila=0,""SKU NO ENCONTRADO"",
LET(
valor,INDEX(Referencia!$A$2:$AZ6238,fila,col),
IF(TRIM(TO_TEXT(valor))=TRIM(TO_TEXT(I285)),
""OK"&amp;""",
""NO COINCIDE. Valor verdadero: ""&amp;IF(valor="""",""[VACÍO]"",TO_TEXT(valor))
)
))))
),""ERROR EN FÓRMULA""))"),"OK")</f>
        <v>OK</v>
      </c>
    </row>
    <row r="286">
      <c r="A286" s="83" t="s">
        <v>4078</v>
      </c>
      <c r="B286" s="83" t="s">
        <v>4079</v>
      </c>
      <c r="C286" s="81" t="s">
        <v>4086</v>
      </c>
      <c r="D286" s="83" t="s">
        <v>4240</v>
      </c>
      <c r="E286" s="81" t="s">
        <v>935</v>
      </c>
      <c r="F286" s="84">
        <v>166.0</v>
      </c>
      <c r="G286" s="81" t="s">
        <v>44</v>
      </c>
      <c r="H286" s="81" t="s">
        <v>224</v>
      </c>
      <c r="I286" s="81" t="s">
        <v>924</v>
      </c>
      <c r="J286" s="81" t="s">
        <v>4088</v>
      </c>
      <c r="K286" s="81" t="str">
        <f>IFERROR(__xludf.DUMMYFUNCTION("IF(OR(D286="""",G286=""""),"""",IFERROR(LET(
campo,XLOOKUP(TRIM(G286),ARRAYFORMULA(TRIM('indice columnas'!$A$2:$A$100)),'indice columnas'!$B$2:$B$100,""""),
col,IFERROR(MATCH(campo,Referencia!$A$1:$AZ$1,0),0),
fila,IFERROR(MATCH(TO_TEXT(D286),ARRAYFORMULA"&amp;"(TO_TEXT(Referencia!$A$2:$A6238)),0),0),
IF(OR(campo="""",campo=""-""),""NO APLICA"",
IF(col=0,""REVISAR EQUIVALENCIA"",
IF(fila=0,""SKU NO ENCONTRADO"",
LET(
valor,INDEX(Referencia!$A$2:$AZ6238,fila,col),
IF(TRIM(TO_TEXT(valor))=TRIM(TO_TEXT(I286)),
""OK"&amp;""",
""NO COINCIDE. Valor verdadero: ""&amp;IF(valor="""",""[VACÍO]"",TO_TEXT(valor))
)
))))
),""ERROR EN FÓRMULA""))"),"NO APLICA")</f>
        <v>NO APLICA</v>
      </c>
    </row>
    <row r="287">
      <c r="A287" s="83" t="s">
        <v>4078</v>
      </c>
      <c r="B287" s="83" t="s">
        <v>4079</v>
      </c>
      <c r="C287" s="81" t="s">
        <v>4086</v>
      </c>
      <c r="D287" s="83" t="s">
        <v>4241</v>
      </c>
      <c r="E287" s="81" t="s">
        <v>938</v>
      </c>
      <c r="F287" s="84">
        <v>167.0</v>
      </c>
      <c r="G287" s="81" t="s">
        <v>44</v>
      </c>
      <c r="H287" s="81" t="s">
        <v>224</v>
      </c>
      <c r="I287" s="81" t="s">
        <v>924</v>
      </c>
      <c r="J287" s="81" t="s">
        <v>4088</v>
      </c>
      <c r="K287" s="81" t="str">
        <f>IFERROR(__xludf.DUMMYFUNCTION("IF(OR(D287="""",G287=""""),"""",IFERROR(LET(
campo,XLOOKUP(TRIM(G287),ARRAYFORMULA(TRIM('indice columnas'!$A$2:$A$100)),'indice columnas'!$B$2:$B$100,""""),
col,IFERROR(MATCH(campo,Referencia!$A$1:$AZ$1,0),0),
fila,IFERROR(MATCH(TO_TEXT(D287),ARRAYFORMULA"&amp;"(TO_TEXT(Referencia!$A$2:$A6238)),0),0),
IF(OR(campo="""",campo=""-""),""NO APLICA"",
IF(col=0,""REVISAR EQUIVALENCIA"",
IF(fila=0,""SKU NO ENCONTRADO"",
LET(
valor,INDEX(Referencia!$A$2:$AZ6238,fila,col),
IF(TRIM(TO_TEXT(valor))=TRIM(TO_TEXT(I287)),
""OK"&amp;""",
""NO COINCIDE. Valor verdadero: ""&amp;IF(valor="""",""[VACÍO]"",TO_TEXT(valor))
)
))))
),""ERROR EN FÓRMULA""))"),"NO APLICA")</f>
        <v>NO APLICA</v>
      </c>
    </row>
    <row r="288">
      <c r="A288" s="83" t="s">
        <v>4078</v>
      </c>
      <c r="B288" s="83" t="s">
        <v>4079</v>
      </c>
      <c r="C288" s="81" t="s">
        <v>4086</v>
      </c>
      <c r="D288" s="83" t="s">
        <v>4241</v>
      </c>
      <c r="E288" s="81" t="s">
        <v>943</v>
      </c>
      <c r="F288" s="84">
        <v>168.0</v>
      </c>
      <c r="G288" s="81" t="s">
        <v>12</v>
      </c>
      <c r="H288" s="81" t="s">
        <v>224</v>
      </c>
      <c r="I288" s="81" t="s">
        <v>55</v>
      </c>
      <c r="J288" s="81" t="s">
        <v>224</v>
      </c>
      <c r="K288" s="81" t="str">
        <f>IFERROR(__xludf.DUMMYFUNCTION("IF(OR(D288="""",G288=""""),"""",IFERROR(LET(
campo,XLOOKUP(TRIM(G288),ARRAYFORMULA(TRIM('indice columnas'!$A$2:$A$100)),'indice columnas'!$B$2:$B$100,""""),
col,IFERROR(MATCH(campo,Referencia!$A$1:$AZ$1,0),0),
fila,IFERROR(MATCH(TO_TEXT(D288),ARRAYFORMULA"&amp;"(TO_TEXT(Referencia!$A$2:$A6238)),0),0),
IF(OR(campo="""",campo=""-""),""NO APLICA"",
IF(col=0,""REVISAR EQUIVALENCIA"",
IF(fila=0,""SKU NO ENCONTRADO"",
LET(
valor,INDEX(Referencia!$A$2:$AZ6238,fila,col),
IF(TRIM(TO_TEXT(valor))=TRIM(TO_TEXT(I288)),
""OK"&amp;""",
""NO COINCIDE. Valor verdadero: ""&amp;IF(valor="""",""[VACÍO]"",TO_TEXT(valor))
)
))))
),""ERROR EN FÓRMULA""))"),"OK")</f>
        <v>OK</v>
      </c>
    </row>
    <row r="289">
      <c r="A289" s="83" t="s">
        <v>4078</v>
      </c>
      <c r="B289" s="83" t="s">
        <v>4079</v>
      </c>
      <c r="C289" s="81" t="s">
        <v>4086</v>
      </c>
      <c r="D289" s="83" t="s">
        <v>4241</v>
      </c>
      <c r="E289" s="81" t="s">
        <v>943</v>
      </c>
      <c r="F289" s="84">
        <v>168.0</v>
      </c>
      <c r="G289" s="81" t="s">
        <v>44</v>
      </c>
      <c r="H289" s="81" t="s">
        <v>224</v>
      </c>
      <c r="I289" s="81" t="s">
        <v>924</v>
      </c>
      <c r="J289" s="81" t="s">
        <v>4088</v>
      </c>
      <c r="K289" s="81" t="str">
        <f>IFERROR(__xludf.DUMMYFUNCTION("IF(OR(D289="""",G289=""""),"""",IFERROR(LET(
campo,XLOOKUP(TRIM(G289),ARRAYFORMULA(TRIM('indice columnas'!$A$2:$A$100)),'indice columnas'!$B$2:$B$100,""""),
col,IFERROR(MATCH(campo,Referencia!$A$1:$AZ$1,0),0),
fila,IFERROR(MATCH(TO_TEXT(D289),ARRAYFORMULA"&amp;"(TO_TEXT(Referencia!$A$2:$A6238)),0),0),
IF(OR(campo="""",campo=""-""),""NO APLICA"",
IF(col=0,""REVISAR EQUIVALENCIA"",
IF(fila=0,""SKU NO ENCONTRADO"",
LET(
valor,INDEX(Referencia!$A$2:$AZ6238,fila,col),
IF(TRIM(TO_TEXT(valor))=TRIM(TO_TEXT(I289)),
""OK"&amp;""",
""NO COINCIDE. Valor verdadero: ""&amp;IF(valor="""",""[VACÍO]"",TO_TEXT(valor))
)
))))
),""ERROR EN FÓRMULA""))"),"NO APLICA")</f>
        <v>NO APLICA</v>
      </c>
    </row>
    <row r="290">
      <c r="A290" s="83" t="s">
        <v>4078</v>
      </c>
      <c r="B290" s="83" t="s">
        <v>4079</v>
      </c>
      <c r="C290" s="81" t="s">
        <v>4086</v>
      </c>
      <c r="D290" s="83" t="s">
        <v>4242</v>
      </c>
      <c r="E290" s="81" t="s">
        <v>944</v>
      </c>
      <c r="F290" s="84">
        <v>169.0</v>
      </c>
      <c r="G290" s="81" t="s">
        <v>12</v>
      </c>
      <c r="H290" s="81" t="s">
        <v>224</v>
      </c>
      <c r="I290" s="81" t="s">
        <v>55</v>
      </c>
      <c r="J290" s="81" t="s">
        <v>224</v>
      </c>
      <c r="K290" s="81" t="str">
        <f>IFERROR(__xludf.DUMMYFUNCTION("IF(OR(D290="""",G290=""""),"""",IFERROR(LET(
campo,XLOOKUP(TRIM(G290),ARRAYFORMULA(TRIM('indice columnas'!$A$2:$A$100)),'indice columnas'!$B$2:$B$100,""""),
col,IFERROR(MATCH(campo,Referencia!$A$1:$AZ$1,0),0),
fila,IFERROR(MATCH(TO_TEXT(D290),ARRAYFORMULA"&amp;"(TO_TEXT(Referencia!$A$2:$A6238)),0),0),
IF(OR(campo="""",campo=""-""),""NO APLICA"",
IF(col=0,""REVISAR EQUIVALENCIA"",
IF(fila=0,""SKU NO ENCONTRADO"",
LET(
valor,INDEX(Referencia!$A$2:$AZ6238,fila,col),
IF(TRIM(TO_TEXT(valor))=TRIM(TO_TEXT(I290)),
""OK"&amp;""",
""NO COINCIDE. Valor verdadero: ""&amp;IF(valor="""",""[VACÍO]"",TO_TEXT(valor))
)
))))
),""ERROR EN FÓRMULA""))"),"OK")</f>
        <v>OK</v>
      </c>
    </row>
    <row r="291">
      <c r="A291" s="83" t="s">
        <v>4078</v>
      </c>
      <c r="B291" s="83" t="s">
        <v>4079</v>
      </c>
      <c r="C291" s="81" t="s">
        <v>4086</v>
      </c>
      <c r="D291" s="83" t="s">
        <v>4242</v>
      </c>
      <c r="E291" s="81" t="s">
        <v>944</v>
      </c>
      <c r="F291" s="84">
        <v>169.0</v>
      </c>
      <c r="G291" s="81" t="s">
        <v>44</v>
      </c>
      <c r="H291" s="81" t="s">
        <v>224</v>
      </c>
      <c r="I291" s="81" t="s">
        <v>924</v>
      </c>
      <c r="J291" s="81" t="s">
        <v>4088</v>
      </c>
      <c r="K291" s="81" t="str">
        <f>IFERROR(__xludf.DUMMYFUNCTION("IF(OR(D291="""",G291=""""),"""",IFERROR(LET(
campo,XLOOKUP(TRIM(G291),ARRAYFORMULA(TRIM('indice columnas'!$A$2:$A$100)),'indice columnas'!$B$2:$B$100,""""),
col,IFERROR(MATCH(campo,Referencia!$A$1:$AZ$1,0),0),
fila,IFERROR(MATCH(TO_TEXT(D291),ARRAYFORMULA"&amp;"(TO_TEXT(Referencia!$A$2:$A6238)),0),0),
IF(OR(campo="""",campo=""-""),""NO APLICA"",
IF(col=0,""REVISAR EQUIVALENCIA"",
IF(fila=0,""SKU NO ENCONTRADO"",
LET(
valor,INDEX(Referencia!$A$2:$AZ6238,fila,col),
IF(TRIM(TO_TEXT(valor))=TRIM(TO_TEXT(I291)),
""OK"&amp;""",
""NO COINCIDE. Valor verdadero: ""&amp;IF(valor="""",""[VACÍO]"",TO_TEXT(valor))
)
))))
),""ERROR EN FÓRMULA""))"),"NO APLICA")</f>
        <v>NO APLICA</v>
      </c>
    </row>
    <row r="292">
      <c r="A292" s="83" t="s">
        <v>4078</v>
      </c>
      <c r="B292" s="83" t="s">
        <v>4079</v>
      </c>
      <c r="C292" s="81" t="s">
        <v>4086</v>
      </c>
      <c r="D292" s="83" t="s">
        <v>4243</v>
      </c>
      <c r="E292" s="81" t="s">
        <v>947</v>
      </c>
      <c r="F292" s="84">
        <v>170.0</v>
      </c>
      <c r="G292" s="81" t="s">
        <v>44</v>
      </c>
      <c r="H292" s="81" t="s">
        <v>224</v>
      </c>
      <c r="I292" s="81" t="s">
        <v>924</v>
      </c>
      <c r="J292" s="81" t="s">
        <v>4088</v>
      </c>
      <c r="K292" s="81" t="str">
        <f>IFERROR(__xludf.DUMMYFUNCTION("IF(OR(D292="""",G292=""""),"""",IFERROR(LET(
campo,XLOOKUP(TRIM(G292),ARRAYFORMULA(TRIM('indice columnas'!$A$2:$A$100)),'indice columnas'!$B$2:$B$100,""""),
col,IFERROR(MATCH(campo,Referencia!$A$1:$AZ$1,0),0),
fila,IFERROR(MATCH(TO_TEXT(D292),ARRAYFORMULA"&amp;"(TO_TEXT(Referencia!$A$2:$A6238)),0),0),
IF(OR(campo="""",campo=""-""),""NO APLICA"",
IF(col=0,""REVISAR EQUIVALENCIA"",
IF(fila=0,""SKU NO ENCONTRADO"",
LET(
valor,INDEX(Referencia!$A$2:$AZ6238,fila,col),
IF(TRIM(TO_TEXT(valor))=TRIM(TO_TEXT(I292)),
""OK"&amp;""",
""NO COINCIDE. Valor verdadero: ""&amp;IF(valor="""",""[VACÍO]"",TO_TEXT(valor))
)
))))
),""ERROR EN FÓRMULA""))"),"NO APLICA")</f>
        <v>NO APLICA</v>
      </c>
    </row>
    <row r="293">
      <c r="A293" s="83" t="s">
        <v>4078</v>
      </c>
      <c r="B293" s="83" t="s">
        <v>4079</v>
      </c>
      <c r="C293" s="81" t="s">
        <v>4086</v>
      </c>
      <c r="D293" s="83" t="s">
        <v>4243</v>
      </c>
      <c r="E293" s="81" t="s">
        <v>951</v>
      </c>
      <c r="F293" s="84">
        <v>171.0</v>
      </c>
      <c r="G293" s="81" t="s">
        <v>12</v>
      </c>
      <c r="H293" s="81" t="s">
        <v>224</v>
      </c>
      <c r="I293" s="81" t="s">
        <v>55</v>
      </c>
      <c r="J293" s="81" t="s">
        <v>224</v>
      </c>
      <c r="K293" s="81" t="str">
        <f>IFERROR(__xludf.DUMMYFUNCTION("IF(OR(D293="""",G293=""""),"""",IFERROR(LET(
campo,XLOOKUP(TRIM(G293),ARRAYFORMULA(TRIM('indice columnas'!$A$2:$A$100)),'indice columnas'!$B$2:$B$100,""""),
col,IFERROR(MATCH(campo,Referencia!$A$1:$AZ$1,0),0),
fila,IFERROR(MATCH(TO_TEXT(D293),ARRAYFORMULA"&amp;"(TO_TEXT(Referencia!$A$2:$A6238)),0),0),
IF(OR(campo="""",campo=""-""),""NO APLICA"",
IF(col=0,""REVISAR EQUIVALENCIA"",
IF(fila=0,""SKU NO ENCONTRADO"",
LET(
valor,INDEX(Referencia!$A$2:$AZ6238,fila,col),
IF(TRIM(TO_TEXT(valor))=TRIM(TO_TEXT(I293)),
""OK"&amp;""",
""NO COINCIDE. Valor verdadero: ""&amp;IF(valor="""",""[VACÍO]"",TO_TEXT(valor))
)
))))
),""ERROR EN FÓRMULA""))"),"OK")</f>
        <v>OK</v>
      </c>
    </row>
    <row r="294">
      <c r="A294" s="83" t="s">
        <v>4078</v>
      </c>
      <c r="B294" s="83" t="s">
        <v>4079</v>
      </c>
      <c r="C294" s="81" t="s">
        <v>4086</v>
      </c>
      <c r="D294" s="83" t="s">
        <v>4243</v>
      </c>
      <c r="E294" s="81" t="s">
        <v>951</v>
      </c>
      <c r="F294" s="84">
        <v>171.0</v>
      </c>
      <c r="G294" s="81" t="s">
        <v>44</v>
      </c>
      <c r="H294" s="81" t="s">
        <v>224</v>
      </c>
      <c r="I294" s="81" t="s">
        <v>924</v>
      </c>
      <c r="J294" s="81" t="s">
        <v>4088</v>
      </c>
      <c r="K294" s="81" t="str">
        <f>IFERROR(__xludf.DUMMYFUNCTION("IF(OR(D294="""",G294=""""),"""",IFERROR(LET(
campo,XLOOKUP(TRIM(G294),ARRAYFORMULA(TRIM('indice columnas'!$A$2:$A$100)),'indice columnas'!$B$2:$B$100,""""),
col,IFERROR(MATCH(campo,Referencia!$A$1:$AZ$1,0),0),
fila,IFERROR(MATCH(TO_TEXT(D294),ARRAYFORMULA"&amp;"(TO_TEXT(Referencia!$A$2:$A6238)),0),0),
IF(OR(campo="""",campo=""-""),""NO APLICA"",
IF(col=0,""REVISAR EQUIVALENCIA"",
IF(fila=0,""SKU NO ENCONTRADO"",
LET(
valor,INDEX(Referencia!$A$2:$AZ6238,fila,col),
IF(TRIM(TO_TEXT(valor))=TRIM(TO_TEXT(I294)),
""OK"&amp;""",
""NO COINCIDE. Valor verdadero: ""&amp;IF(valor="""",""[VACÍO]"",TO_TEXT(valor))
)
))))
),""ERROR EN FÓRMULA""))"),"NO APLICA")</f>
        <v>NO APLICA</v>
      </c>
    </row>
    <row r="295">
      <c r="A295" s="83" t="s">
        <v>4078</v>
      </c>
      <c r="B295" s="83" t="s">
        <v>4079</v>
      </c>
      <c r="C295" s="81" t="s">
        <v>4086</v>
      </c>
      <c r="D295" s="83" t="s">
        <v>4244</v>
      </c>
      <c r="E295" s="81" t="s">
        <v>952</v>
      </c>
      <c r="F295" s="84">
        <v>172.0</v>
      </c>
      <c r="G295" s="81" t="s">
        <v>12</v>
      </c>
      <c r="H295" s="81" t="s">
        <v>224</v>
      </c>
      <c r="I295" s="81" t="s">
        <v>55</v>
      </c>
      <c r="J295" s="81" t="s">
        <v>224</v>
      </c>
      <c r="K295" s="81" t="str">
        <f>IFERROR(__xludf.DUMMYFUNCTION("IF(OR(D295="""",G295=""""),"""",IFERROR(LET(
campo,XLOOKUP(TRIM(G295),ARRAYFORMULA(TRIM('indice columnas'!$A$2:$A$100)),'indice columnas'!$B$2:$B$100,""""),
col,IFERROR(MATCH(campo,Referencia!$A$1:$AZ$1,0),0),
fila,IFERROR(MATCH(TO_TEXT(D295),ARRAYFORMULA"&amp;"(TO_TEXT(Referencia!$A$2:$A6238)),0),0),
IF(OR(campo="""",campo=""-""),""NO APLICA"",
IF(col=0,""REVISAR EQUIVALENCIA"",
IF(fila=0,""SKU NO ENCONTRADO"",
LET(
valor,INDEX(Referencia!$A$2:$AZ6238,fila,col),
IF(TRIM(TO_TEXT(valor))=TRIM(TO_TEXT(I295)),
""OK"&amp;""",
""NO COINCIDE. Valor verdadero: ""&amp;IF(valor="""",""[VACÍO]"",TO_TEXT(valor))
)
))))
),""ERROR EN FÓRMULA""))"),"OK")</f>
        <v>OK</v>
      </c>
    </row>
    <row r="296">
      <c r="A296" s="83" t="s">
        <v>4078</v>
      </c>
      <c r="B296" s="83" t="s">
        <v>4079</v>
      </c>
      <c r="C296" s="81" t="s">
        <v>4086</v>
      </c>
      <c r="D296" s="83" t="s">
        <v>4244</v>
      </c>
      <c r="E296" s="81" t="s">
        <v>952</v>
      </c>
      <c r="F296" s="84">
        <v>172.0</v>
      </c>
      <c r="G296" s="81" t="s">
        <v>44</v>
      </c>
      <c r="H296" s="81" t="s">
        <v>224</v>
      </c>
      <c r="I296" s="81" t="s">
        <v>924</v>
      </c>
      <c r="J296" s="81" t="s">
        <v>4088</v>
      </c>
      <c r="K296" s="81" t="str">
        <f>IFERROR(__xludf.DUMMYFUNCTION("IF(OR(D296="""",G296=""""),"""",IFERROR(LET(
campo,XLOOKUP(TRIM(G296),ARRAYFORMULA(TRIM('indice columnas'!$A$2:$A$100)),'indice columnas'!$B$2:$B$100,""""),
col,IFERROR(MATCH(campo,Referencia!$A$1:$AZ$1,0),0),
fila,IFERROR(MATCH(TO_TEXT(D296),ARRAYFORMULA"&amp;"(TO_TEXT(Referencia!$A$2:$A6238)),0),0),
IF(OR(campo="""",campo=""-""),""NO APLICA"",
IF(col=0,""REVISAR EQUIVALENCIA"",
IF(fila=0,""SKU NO ENCONTRADO"",
LET(
valor,INDEX(Referencia!$A$2:$AZ6238,fila,col),
IF(TRIM(TO_TEXT(valor))=TRIM(TO_TEXT(I296)),
""OK"&amp;""",
""NO COINCIDE. Valor verdadero: ""&amp;IF(valor="""",""[VACÍO]"",TO_TEXT(valor))
)
))))
),""ERROR EN FÓRMULA""))"),"NO APLICA")</f>
        <v>NO APLICA</v>
      </c>
    </row>
    <row r="297">
      <c r="A297" s="83" t="s">
        <v>4078</v>
      </c>
      <c r="B297" s="83" t="s">
        <v>4079</v>
      </c>
      <c r="C297" s="81" t="s">
        <v>4086</v>
      </c>
      <c r="D297" s="83" t="s">
        <v>4245</v>
      </c>
      <c r="E297" s="81" t="s">
        <v>955</v>
      </c>
      <c r="F297" s="84">
        <v>173.0</v>
      </c>
      <c r="G297" s="81" t="s">
        <v>44</v>
      </c>
      <c r="H297" s="81" t="s">
        <v>224</v>
      </c>
      <c r="I297" s="81" t="s">
        <v>924</v>
      </c>
      <c r="J297" s="81" t="s">
        <v>4088</v>
      </c>
      <c r="K297" s="81" t="str">
        <f>IFERROR(__xludf.DUMMYFUNCTION("IF(OR(D297="""",G297=""""),"""",IFERROR(LET(
campo,XLOOKUP(TRIM(G297),ARRAYFORMULA(TRIM('indice columnas'!$A$2:$A$100)),'indice columnas'!$B$2:$B$100,""""),
col,IFERROR(MATCH(campo,Referencia!$A$1:$AZ$1,0),0),
fila,IFERROR(MATCH(TO_TEXT(D297),ARRAYFORMULA"&amp;"(TO_TEXT(Referencia!$A$2:$A6238)),0),0),
IF(OR(campo="""",campo=""-""),""NO APLICA"",
IF(col=0,""REVISAR EQUIVALENCIA"",
IF(fila=0,""SKU NO ENCONTRADO"",
LET(
valor,INDEX(Referencia!$A$2:$AZ6238,fila,col),
IF(TRIM(TO_TEXT(valor))=TRIM(TO_TEXT(I297)),
""OK"&amp;""",
""NO COINCIDE. Valor verdadero: ""&amp;IF(valor="""",""[VACÍO]"",TO_TEXT(valor))
)
))))
),""ERROR EN FÓRMULA""))"),"NO APLICA")</f>
        <v>NO APLICA</v>
      </c>
    </row>
    <row r="298">
      <c r="A298" s="83" t="s">
        <v>4078</v>
      </c>
      <c r="B298" s="83" t="s">
        <v>4079</v>
      </c>
      <c r="C298" s="81" t="s">
        <v>4086</v>
      </c>
      <c r="D298" s="83" t="s">
        <v>4245</v>
      </c>
      <c r="E298" s="81" t="s">
        <v>961</v>
      </c>
      <c r="F298" s="84">
        <v>174.0</v>
      </c>
      <c r="G298" s="81" t="s">
        <v>12</v>
      </c>
      <c r="H298" s="81" t="s">
        <v>224</v>
      </c>
      <c r="I298" s="81" t="s">
        <v>55</v>
      </c>
      <c r="J298" s="81" t="s">
        <v>224</v>
      </c>
      <c r="K298" s="81" t="str">
        <f>IFERROR(__xludf.DUMMYFUNCTION("IF(OR(D298="""",G298=""""),"""",IFERROR(LET(
campo,XLOOKUP(TRIM(G298),ARRAYFORMULA(TRIM('indice columnas'!$A$2:$A$100)),'indice columnas'!$B$2:$B$100,""""),
col,IFERROR(MATCH(campo,Referencia!$A$1:$AZ$1,0),0),
fila,IFERROR(MATCH(TO_TEXT(D298),ARRAYFORMULA"&amp;"(TO_TEXT(Referencia!$A$2:$A6238)),0),0),
IF(OR(campo="""",campo=""-""),""NO APLICA"",
IF(col=0,""REVISAR EQUIVALENCIA"",
IF(fila=0,""SKU NO ENCONTRADO"",
LET(
valor,INDEX(Referencia!$A$2:$AZ6238,fila,col),
IF(TRIM(TO_TEXT(valor))=TRIM(TO_TEXT(I298)),
""OK"&amp;""",
""NO COINCIDE. Valor verdadero: ""&amp;IF(valor="""",""[VACÍO]"",TO_TEXT(valor))
)
))))
),""ERROR EN FÓRMULA""))"),"OK")</f>
        <v>OK</v>
      </c>
    </row>
    <row r="299">
      <c r="A299" s="83" t="s">
        <v>4078</v>
      </c>
      <c r="B299" s="83" t="s">
        <v>4079</v>
      </c>
      <c r="C299" s="81" t="s">
        <v>4086</v>
      </c>
      <c r="D299" s="83" t="s">
        <v>4245</v>
      </c>
      <c r="E299" s="81" t="s">
        <v>961</v>
      </c>
      <c r="F299" s="84">
        <v>174.0</v>
      </c>
      <c r="G299" s="81" t="s">
        <v>44</v>
      </c>
      <c r="H299" s="81" t="s">
        <v>224</v>
      </c>
      <c r="I299" s="81" t="s">
        <v>924</v>
      </c>
      <c r="J299" s="81" t="s">
        <v>4088</v>
      </c>
      <c r="K299" s="81" t="str">
        <f>IFERROR(__xludf.DUMMYFUNCTION("IF(OR(D299="""",G299=""""),"""",IFERROR(LET(
campo,XLOOKUP(TRIM(G299),ARRAYFORMULA(TRIM('indice columnas'!$A$2:$A$100)),'indice columnas'!$B$2:$B$100,""""),
col,IFERROR(MATCH(campo,Referencia!$A$1:$AZ$1,0),0),
fila,IFERROR(MATCH(TO_TEXT(D299),ARRAYFORMULA"&amp;"(TO_TEXT(Referencia!$A$2:$A6238)),0),0),
IF(OR(campo="""",campo=""-""),""NO APLICA"",
IF(col=0,""REVISAR EQUIVALENCIA"",
IF(fila=0,""SKU NO ENCONTRADO"",
LET(
valor,INDEX(Referencia!$A$2:$AZ6238,fila,col),
IF(TRIM(TO_TEXT(valor))=TRIM(TO_TEXT(I299)),
""OK"&amp;""",
""NO COINCIDE. Valor verdadero: ""&amp;IF(valor="""",""[VACÍO]"",TO_TEXT(valor))
)
))))
),""ERROR EN FÓRMULA""))"),"NO APLICA")</f>
        <v>NO APLICA</v>
      </c>
    </row>
    <row r="300">
      <c r="A300" s="83" t="s">
        <v>4078</v>
      </c>
      <c r="B300" s="83" t="s">
        <v>4079</v>
      </c>
      <c r="C300" s="81" t="s">
        <v>4086</v>
      </c>
      <c r="D300" s="83" t="s">
        <v>4246</v>
      </c>
      <c r="E300" s="81" t="s">
        <v>962</v>
      </c>
      <c r="F300" s="84">
        <v>175.0</v>
      </c>
      <c r="G300" s="81" t="s">
        <v>12</v>
      </c>
      <c r="H300" s="81" t="s">
        <v>224</v>
      </c>
      <c r="I300" s="81" t="s">
        <v>55</v>
      </c>
      <c r="J300" s="81" t="s">
        <v>224</v>
      </c>
      <c r="K300" s="81" t="str">
        <f>IFERROR(__xludf.DUMMYFUNCTION("IF(OR(D300="""",G300=""""),"""",IFERROR(LET(
campo,XLOOKUP(TRIM(G300),ARRAYFORMULA(TRIM('indice columnas'!$A$2:$A$100)),'indice columnas'!$B$2:$B$100,""""),
col,IFERROR(MATCH(campo,Referencia!$A$1:$AZ$1,0),0),
fila,IFERROR(MATCH(TO_TEXT(D300),ARRAYFORMULA"&amp;"(TO_TEXT(Referencia!$A$2:$A6238)),0),0),
IF(OR(campo="""",campo=""-""),""NO APLICA"",
IF(col=0,""REVISAR EQUIVALENCIA"",
IF(fila=0,""SKU NO ENCONTRADO"",
LET(
valor,INDEX(Referencia!$A$2:$AZ6238,fila,col),
IF(TRIM(TO_TEXT(valor))=TRIM(TO_TEXT(I300)),
""OK"&amp;""",
""NO COINCIDE. Valor verdadero: ""&amp;IF(valor="""",""[VACÍO]"",TO_TEXT(valor))
)
))))
),""ERROR EN FÓRMULA""))"),"OK")</f>
        <v>OK</v>
      </c>
    </row>
    <row r="301">
      <c r="A301" s="83" t="s">
        <v>4078</v>
      </c>
      <c r="B301" s="83" t="s">
        <v>4079</v>
      </c>
      <c r="C301" s="81" t="s">
        <v>4086</v>
      </c>
      <c r="D301" s="83" t="s">
        <v>4246</v>
      </c>
      <c r="E301" s="81" t="s">
        <v>962</v>
      </c>
      <c r="F301" s="84">
        <v>175.0</v>
      </c>
      <c r="G301" s="81" t="s">
        <v>44</v>
      </c>
      <c r="H301" s="81" t="s">
        <v>224</v>
      </c>
      <c r="I301" s="81" t="s">
        <v>924</v>
      </c>
      <c r="J301" s="81" t="s">
        <v>4088</v>
      </c>
      <c r="K301" s="81" t="str">
        <f>IFERROR(__xludf.DUMMYFUNCTION("IF(OR(D301="""",G301=""""),"""",IFERROR(LET(
campo,XLOOKUP(TRIM(G301),ARRAYFORMULA(TRIM('indice columnas'!$A$2:$A$100)),'indice columnas'!$B$2:$B$100,""""),
col,IFERROR(MATCH(campo,Referencia!$A$1:$AZ$1,0),0),
fila,IFERROR(MATCH(TO_TEXT(D301),ARRAYFORMULA"&amp;"(TO_TEXT(Referencia!$A$2:$A6238)),0),0),
IF(OR(campo="""",campo=""-""),""NO APLICA"",
IF(col=0,""REVISAR EQUIVALENCIA"",
IF(fila=0,""SKU NO ENCONTRADO"",
LET(
valor,INDEX(Referencia!$A$2:$AZ6238,fila,col),
IF(TRIM(TO_TEXT(valor))=TRIM(TO_TEXT(I301)),
""OK"&amp;""",
""NO COINCIDE. Valor verdadero: ""&amp;IF(valor="""",""[VACÍO]"",TO_TEXT(valor))
)
))))
),""ERROR EN FÓRMULA""))"),"NO APLICA")</f>
        <v>NO APLICA</v>
      </c>
    </row>
    <row r="302">
      <c r="A302" s="83" t="s">
        <v>4078</v>
      </c>
      <c r="B302" s="83" t="s">
        <v>4079</v>
      </c>
      <c r="C302" s="81" t="s">
        <v>4086</v>
      </c>
      <c r="D302" s="83" t="s">
        <v>4247</v>
      </c>
      <c r="E302" s="81" t="s">
        <v>965</v>
      </c>
      <c r="F302" s="84">
        <v>176.0</v>
      </c>
      <c r="G302" s="81" t="s">
        <v>44</v>
      </c>
      <c r="H302" s="81" t="s">
        <v>224</v>
      </c>
      <c r="I302" s="81" t="s">
        <v>924</v>
      </c>
      <c r="J302" s="81" t="s">
        <v>4088</v>
      </c>
      <c r="K302" s="81" t="str">
        <f>IFERROR(__xludf.DUMMYFUNCTION("IF(OR(D302="""",G302=""""),"""",IFERROR(LET(
campo,XLOOKUP(TRIM(G302),ARRAYFORMULA(TRIM('indice columnas'!$A$2:$A$100)),'indice columnas'!$B$2:$B$100,""""),
col,IFERROR(MATCH(campo,Referencia!$A$1:$AZ$1,0),0),
fila,IFERROR(MATCH(TO_TEXT(D302),ARRAYFORMULA"&amp;"(TO_TEXT(Referencia!$A$2:$A6238)),0),0),
IF(OR(campo="""",campo=""-""),""NO APLICA"",
IF(col=0,""REVISAR EQUIVALENCIA"",
IF(fila=0,""SKU NO ENCONTRADO"",
LET(
valor,INDEX(Referencia!$A$2:$AZ6238,fila,col),
IF(TRIM(TO_TEXT(valor))=TRIM(TO_TEXT(I302)),
""OK"&amp;""",
""NO COINCIDE. Valor verdadero: ""&amp;IF(valor="""",""[VACÍO]"",TO_TEXT(valor))
)
))))
),""ERROR EN FÓRMULA""))"),"NO APLICA")</f>
        <v>NO APLICA</v>
      </c>
    </row>
    <row r="303">
      <c r="A303" s="83" t="s">
        <v>4078</v>
      </c>
      <c r="B303" s="83" t="s">
        <v>4079</v>
      </c>
      <c r="C303" s="81" t="s">
        <v>4086</v>
      </c>
      <c r="D303" s="83" t="s">
        <v>4247</v>
      </c>
      <c r="E303" s="81" t="s">
        <v>971</v>
      </c>
      <c r="F303" s="84">
        <v>177.0</v>
      </c>
      <c r="G303" s="81" t="s">
        <v>12</v>
      </c>
      <c r="H303" s="81" t="s">
        <v>224</v>
      </c>
      <c r="I303" s="81" t="s">
        <v>55</v>
      </c>
      <c r="J303" s="81" t="s">
        <v>224</v>
      </c>
      <c r="K303" s="81" t="str">
        <f>IFERROR(__xludf.DUMMYFUNCTION("IF(OR(D303="""",G303=""""),"""",IFERROR(LET(
campo,XLOOKUP(TRIM(G303),ARRAYFORMULA(TRIM('indice columnas'!$A$2:$A$100)),'indice columnas'!$B$2:$B$100,""""),
col,IFERROR(MATCH(campo,Referencia!$A$1:$AZ$1,0),0),
fila,IFERROR(MATCH(TO_TEXT(D303),ARRAYFORMULA"&amp;"(TO_TEXT(Referencia!$A$2:$A6238)),0),0),
IF(OR(campo="""",campo=""-""),""NO APLICA"",
IF(col=0,""REVISAR EQUIVALENCIA"",
IF(fila=0,""SKU NO ENCONTRADO"",
LET(
valor,INDEX(Referencia!$A$2:$AZ6238,fila,col),
IF(TRIM(TO_TEXT(valor))=TRIM(TO_TEXT(I303)),
""OK"&amp;""",
""NO COINCIDE. Valor verdadero: ""&amp;IF(valor="""",""[VACÍO]"",TO_TEXT(valor))
)
))))
),""ERROR EN FÓRMULA""))"),"OK")</f>
        <v>OK</v>
      </c>
    </row>
    <row r="304">
      <c r="A304" s="83" t="s">
        <v>4078</v>
      </c>
      <c r="B304" s="83" t="s">
        <v>4079</v>
      </c>
      <c r="C304" s="81" t="s">
        <v>4086</v>
      </c>
      <c r="D304" s="83" t="s">
        <v>4247</v>
      </c>
      <c r="E304" s="81" t="s">
        <v>971</v>
      </c>
      <c r="F304" s="84">
        <v>177.0</v>
      </c>
      <c r="G304" s="81" t="s">
        <v>44</v>
      </c>
      <c r="H304" s="81" t="s">
        <v>224</v>
      </c>
      <c r="I304" s="81" t="s">
        <v>924</v>
      </c>
      <c r="J304" s="81" t="s">
        <v>4088</v>
      </c>
      <c r="K304" s="81" t="str">
        <f>IFERROR(__xludf.DUMMYFUNCTION("IF(OR(D304="""",G304=""""),"""",IFERROR(LET(
campo,XLOOKUP(TRIM(G304),ARRAYFORMULA(TRIM('indice columnas'!$A$2:$A$100)),'indice columnas'!$B$2:$B$100,""""),
col,IFERROR(MATCH(campo,Referencia!$A$1:$AZ$1,0),0),
fila,IFERROR(MATCH(TO_TEXT(D304),ARRAYFORMULA"&amp;"(TO_TEXT(Referencia!$A$2:$A6238)),0),0),
IF(OR(campo="""",campo=""-""),""NO APLICA"",
IF(col=0,""REVISAR EQUIVALENCIA"",
IF(fila=0,""SKU NO ENCONTRADO"",
LET(
valor,INDEX(Referencia!$A$2:$AZ6238,fila,col),
IF(TRIM(TO_TEXT(valor))=TRIM(TO_TEXT(I304)),
""OK"&amp;""",
""NO COINCIDE. Valor verdadero: ""&amp;IF(valor="""",""[VACÍO]"",TO_TEXT(valor))
)
))))
),""ERROR EN FÓRMULA""))"),"NO APLICA")</f>
        <v>NO APLICA</v>
      </c>
    </row>
    <row r="305">
      <c r="A305" s="83" t="s">
        <v>4078</v>
      </c>
      <c r="B305" s="83" t="s">
        <v>4079</v>
      </c>
      <c r="C305" s="81" t="s">
        <v>4086</v>
      </c>
      <c r="D305" s="83" t="s">
        <v>4248</v>
      </c>
      <c r="E305" s="81" t="s">
        <v>972</v>
      </c>
      <c r="F305" s="84">
        <v>178.0</v>
      </c>
      <c r="G305" s="81" t="s">
        <v>12</v>
      </c>
      <c r="H305" s="81" t="s">
        <v>224</v>
      </c>
      <c r="I305" s="81" t="s">
        <v>55</v>
      </c>
      <c r="J305" s="81" t="s">
        <v>224</v>
      </c>
      <c r="K305" s="81" t="str">
        <f>IFERROR(__xludf.DUMMYFUNCTION("IF(OR(D305="""",G305=""""),"""",IFERROR(LET(
campo,XLOOKUP(TRIM(G305),ARRAYFORMULA(TRIM('indice columnas'!$A$2:$A$100)),'indice columnas'!$B$2:$B$100,""""),
col,IFERROR(MATCH(campo,Referencia!$A$1:$AZ$1,0),0),
fila,IFERROR(MATCH(TO_TEXT(D305),ARRAYFORMULA"&amp;"(TO_TEXT(Referencia!$A$2:$A6238)),0),0),
IF(OR(campo="""",campo=""-""),""NO APLICA"",
IF(col=0,""REVISAR EQUIVALENCIA"",
IF(fila=0,""SKU NO ENCONTRADO"",
LET(
valor,INDEX(Referencia!$A$2:$AZ6238,fila,col),
IF(TRIM(TO_TEXT(valor))=TRIM(TO_TEXT(I305)),
""OK"&amp;""",
""NO COINCIDE. Valor verdadero: ""&amp;IF(valor="""",""[VACÍO]"",TO_TEXT(valor))
)
))))
),""ERROR EN FÓRMULA""))"),"OK")</f>
        <v>OK</v>
      </c>
    </row>
    <row r="306">
      <c r="A306" s="83" t="s">
        <v>4078</v>
      </c>
      <c r="B306" s="83" t="s">
        <v>4079</v>
      </c>
      <c r="C306" s="81" t="s">
        <v>4086</v>
      </c>
      <c r="D306" s="83" t="s">
        <v>4248</v>
      </c>
      <c r="E306" s="81" t="s">
        <v>972</v>
      </c>
      <c r="F306" s="84">
        <v>178.0</v>
      </c>
      <c r="G306" s="81" t="s">
        <v>44</v>
      </c>
      <c r="H306" s="81" t="s">
        <v>224</v>
      </c>
      <c r="I306" s="81" t="s">
        <v>924</v>
      </c>
      <c r="J306" s="81" t="s">
        <v>4088</v>
      </c>
      <c r="K306" s="81" t="str">
        <f>IFERROR(__xludf.DUMMYFUNCTION("IF(OR(D306="""",G306=""""),"""",IFERROR(LET(
campo,XLOOKUP(TRIM(G306),ARRAYFORMULA(TRIM('indice columnas'!$A$2:$A$100)),'indice columnas'!$B$2:$B$100,""""),
col,IFERROR(MATCH(campo,Referencia!$A$1:$AZ$1,0),0),
fila,IFERROR(MATCH(TO_TEXT(D306),ARRAYFORMULA"&amp;"(TO_TEXT(Referencia!$A$2:$A6238)),0),0),
IF(OR(campo="""",campo=""-""),""NO APLICA"",
IF(col=0,""REVISAR EQUIVALENCIA"",
IF(fila=0,""SKU NO ENCONTRADO"",
LET(
valor,INDEX(Referencia!$A$2:$AZ6238,fila,col),
IF(TRIM(TO_TEXT(valor))=TRIM(TO_TEXT(I306)),
""OK"&amp;""",
""NO COINCIDE. Valor verdadero: ""&amp;IF(valor="""",""[VACÍO]"",TO_TEXT(valor))
)
))))
),""ERROR EN FÓRMULA""))"),"NO APLICA")</f>
        <v>NO APLICA</v>
      </c>
    </row>
    <row r="307">
      <c r="A307" s="83" t="s">
        <v>4078</v>
      </c>
      <c r="B307" s="83" t="s">
        <v>4079</v>
      </c>
      <c r="C307" s="81" t="s">
        <v>4086</v>
      </c>
      <c r="D307" s="83" t="s">
        <v>4249</v>
      </c>
      <c r="E307" s="81" t="s">
        <v>975</v>
      </c>
      <c r="F307" s="84">
        <v>179.0</v>
      </c>
      <c r="G307" s="81" t="s">
        <v>44</v>
      </c>
      <c r="H307" s="81" t="s">
        <v>224</v>
      </c>
      <c r="I307" s="81" t="s">
        <v>924</v>
      </c>
      <c r="J307" s="81" t="s">
        <v>4088</v>
      </c>
      <c r="K307" s="81" t="str">
        <f>IFERROR(__xludf.DUMMYFUNCTION("IF(OR(D307="""",G307=""""),"""",IFERROR(LET(
campo,XLOOKUP(TRIM(G307),ARRAYFORMULA(TRIM('indice columnas'!$A$2:$A$100)),'indice columnas'!$B$2:$B$100,""""),
col,IFERROR(MATCH(campo,Referencia!$A$1:$AZ$1,0),0),
fila,IFERROR(MATCH(TO_TEXT(D307),ARRAYFORMULA"&amp;"(TO_TEXT(Referencia!$A$2:$A6238)),0),0),
IF(OR(campo="""",campo=""-""),""NO APLICA"",
IF(col=0,""REVISAR EQUIVALENCIA"",
IF(fila=0,""SKU NO ENCONTRADO"",
LET(
valor,INDEX(Referencia!$A$2:$AZ6238,fila,col),
IF(TRIM(TO_TEXT(valor))=TRIM(TO_TEXT(I307)),
""OK"&amp;""",
""NO COINCIDE. Valor verdadero: ""&amp;IF(valor="""",""[VACÍO]"",TO_TEXT(valor))
)
))))
),""ERROR EN FÓRMULA""))"),"NO APLICA")</f>
        <v>NO APLICA</v>
      </c>
    </row>
    <row r="308">
      <c r="A308" s="83" t="s">
        <v>4078</v>
      </c>
      <c r="B308" s="83" t="s">
        <v>4079</v>
      </c>
      <c r="C308" s="81" t="s">
        <v>4086</v>
      </c>
      <c r="D308" s="83" t="s">
        <v>4249</v>
      </c>
      <c r="E308" s="81" t="s">
        <v>981</v>
      </c>
      <c r="F308" s="84">
        <v>180.0</v>
      </c>
      <c r="G308" s="81" t="s">
        <v>12</v>
      </c>
      <c r="H308" s="81" t="s">
        <v>224</v>
      </c>
      <c r="I308" s="81" t="s">
        <v>55</v>
      </c>
      <c r="J308" s="81" t="s">
        <v>224</v>
      </c>
      <c r="K308" s="81" t="str">
        <f>IFERROR(__xludf.DUMMYFUNCTION("IF(OR(D308="""",G308=""""),"""",IFERROR(LET(
campo,XLOOKUP(TRIM(G308),ARRAYFORMULA(TRIM('indice columnas'!$A$2:$A$100)),'indice columnas'!$B$2:$B$100,""""),
col,IFERROR(MATCH(campo,Referencia!$A$1:$AZ$1,0),0),
fila,IFERROR(MATCH(TO_TEXT(D308),ARRAYFORMULA"&amp;"(TO_TEXT(Referencia!$A$2:$A6238)),0),0),
IF(OR(campo="""",campo=""-""),""NO APLICA"",
IF(col=0,""REVISAR EQUIVALENCIA"",
IF(fila=0,""SKU NO ENCONTRADO"",
LET(
valor,INDEX(Referencia!$A$2:$AZ6238,fila,col),
IF(TRIM(TO_TEXT(valor))=TRIM(TO_TEXT(I308)),
""OK"&amp;""",
""NO COINCIDE. Valor verdadero: ""&amp;IF(valor="""",""[VACÍO]"",TO_TEXT(valor))
)
))))
),""ERROR EN FÓRMULA""))"),"OK")</f>
        <v>OK</v>
      </c>
    </row>
    <row r="309">
      <c r="A309" s="83" t="s">
        <v>4078</v>
      </c>
      <c r="B309" s="83" t="s">
        <v>4079</v>
      </c>
      <c r="C309" s="81" t="s">
        <v>4086</v>
      </c>
      <c r="D309" s="83" t="s">
        <v>4249</v>
      </c>
      <c r="E309" s="81" t="s">
        <v>981</v>
      </c>
      <c r="F309" s="84">
        <v>180.0</v>
      </c>
      <c r="G309" s="81" t="s">
        <v>44</v>
      </c>
      <c r="H309" s="81" t="s">
        <v>224</v>
      </c>
      <c r="I309" s="81" t="s">
        <v>924</v>
      </c>
      <c r="J309" s="81" t="s">
        <v>4088</v>
      </c>
      <c r="K309" s="81" t="str">
        <f>IFERROR(__xludf.DUMMYFUNCTION("IF(OR(D309="""",G309=""""),"""",IFERROR(LET(
campo,XLOOKUP(TRIM(G309),ARRAYFORMULA(TRIM('indice columnas'!$A$2:$A$100)),'indice columnas'!$B$2:$B$100,""""),
col,IFERROR(MATCH(campo,Referencia!$A$1:$AZ$1,0),0),
fila,IFERROR(MATCH(TO_TEXT(D309),ARRAYFORMULA"&amp;"(TO_TEXT(Referencia!$A$2:$A6238)),0),0),
IF(OR(campo="""",campo=""-""),""NO APLICA"",
IF(col=0,""REVISAR EQUIVALENCIA"",
IF(fila=0,""SKU NO ENCONTRADO"",
LET(
valor,INDEX(Referencia!$A$2:$AZ6238,fila,col),
IF(TRIM(TO_TEXT(valor))=TRIM(TO_TEXT(I309)),
""OK"&amp;""",
""NO COINCIDE. Valor verdadero: ""&amp;IF(valor="""",""[VACÍO]"",TO_TEXT(valor))
)
))))
),""ERROR EN FÓRMULA""))"),"NO APLICA")</f>
        <v>NO APLICA</v>
      </c>
    </row>
    <row r="310">
      <c r="A310" s="83" t="s">
        <v>4078</v>
      </c>
      <c r="B310" s="83" t="s">
        <v>4079</v>
      </c>
      <c r="C310" s="81" t="s">
        <v>4086</v>
      </c>
      <c r="D310" s="83" t="s">
        <v>4250</v>
      </c>
      <c r="E310" s="81" t="s">
        <v>982</v>
      </c>
      <c r="F310" s="84">
        <v>181.0</v>
      </c>
      <c r="G310" s="81" t="s">
        <v>12</v>
      </c>
      <c r="H310" s="81" t="s">
        <v>224</v>
      </c>
      <c r="I310" s="81" t="s">
        <v>55</v>
      </c>
      <c r="J310" s="81" t="s">
        <v>224</v>
      </c>
      <c r="K310" s="81" t="str">
        <f>IFERROR(__xludf.DUMMYFUNCTION("IF(OR(D310="""",G310=""""),"""",IFERROR(LET(
campo,XLOOKUP(TRIM(G310),ARRAYFORMULA(TRIM('indice columnas'!$A$2:$A$100)),'indice columnas'!$B$2:$B$100,""""),
col,IFERROR(MATCH(campo,Referencia!$A$1:$AZ$1,0),0),
fila,IFERROR(MATCH(TO_TEXT(D310),ARRAYFORMULA"&amp;"(TO_TEXT(Referencia!$A$2:$A6238)),0),0),
IF(OR(campo="""",campo=""-""),""NO APLICA"",
IF(col=0,""REVISAR EQUIVALENCIA"",
IF(fila=0,""SKU NO ENCONTRADO"",
LET(
valor,INDEX(Referencia!$A$2:$AZ6238,fila,col),
IF(TRIM(TO_TEXT(valor))=TRIM(TO_TEXT(I310)),
""OK"&amp;""",
""NO COINCIDE. Valor verdadero: ""&amp;IF(valor="""",""[VACÍO]"",TO_TEXT(valor))
)
))))
),""ERROR EN FÓRMULA""))"),"OK")</f>
        <v>OK</v>
      </c>
    </row>
    <row r="311">
      <c r="A311" s="83" t="s">
        <v>4078</v>
      </c>
      <c r="B311" s="83" t="s">
        <v>4079</v>
      </c>
      <c r="C311" s="81" t="s">
        <v>4086</v>
      </c>
      <c r="D311" s="83" t="s">
        <v>4250</v>
      </c>
      <c r="E311" s="81" t="s">
        <v>982</v>
      </c>
      <c r="F311" s="84">
        <v>181.0</v>
      </c>
      <c r="G311" s="81" t="s">
        <v>44</v>
      </c>
      <c r="H311" s="81" t="s">
        <v>224</v>
      </c>
      <c r="I311" s="81" t="s">
        <v>924</v>
      </c>
      <c r="J311" s="81" t="s">
        <v>4088</v>
      </c>
      <c r="K311" s="81" t="str">
        <f>IFERROR(__xludf.DUMMYFUNCTION("IF(OR(D311="""",G311=""""),"""",IFERROR(LET(
campo,XLOOKUP(TRIM(G311),ARRAYFORMULA(TRIM('indice columnas'!$A$2:$A$100)),'indice columnas'!$B$2:$B$100,""""),
col,IFERROR(MATCH(campo,Referencia!$A$1:$AZ$1,0),0),
fila,IFERROR(MATCH(TO_TEXT(D311),ARRAYFORMULA"&amp;"(TO_TEXT(Referencia!$A$2:$A6238)),0),0),
IF(OR(campo="""",campo=""-""),""NO APLICA"",
IF(col=0,""REVISAR EQUIVALENCIA"",
IF(fila=0,""SKU NO ENCONTRADO"",
LET(
valor,INDEX(Referencia!$A$2:$AZ6238,fila,col),
IF(TRIM(TO_TEXT(valor))=TRIM(TO_TEXT(I311)),
""OK"&amp;""",
""NO COINCIDE. Valor verdadero: ""&amp;IF(valor="""",""[VACÍO]"",TO_TEXT(valor))
)
))))
),""ERROR EN FÓRMULA""))"),"NO APLICA")</f>
        <v>NO APLICA</v>
      </c>
    </row>
    <row r="312">
      <c r="A312" s="83" t="s">
        <v>4078</v>
      </c>
      <c r="B312" s="83" t="s">
        <v>4079</v>
      </c>
      <c r="C312" s="81" t="s">
        <v>4086</v>
      </c>
      <c r="D312" s="83" t="s">
        <v>4251</v>
      </c>
      <c r="E312" s="81" t="s">
        <v>985</v>
      </c>
      <c r="F312" s="84">
        <v>182.0</v>
      </c>
      <c r="G312" s="81" t="s">
        <v>44</v>
      </c>
      <c r="H312" s="81" t="s">
        <v>224</v>
      </c>
      <c r="I312" s="81" t="s">
        <v>924</v>
      </c>
      <c r="J312" s="81" t="s">
        <v>4088</v>
      </c>
      <c r="K312" s="81" t="str">
        <f>IFERROR(__xludf.DUMMYFUNCTION("IF(OR(D312="""",G312=""""),"""",IFERROR(LET(
campo,XLOOKUP(TRIM(G312),ARRAYFORMULA(TRIM('indice columnas'!$A$2:$A$100)),'indice columnas'!$B$2:$B$100,""""),
col,IFERROR(MATCH(campo,Referencia!$A$1:$AZ$1,0),0),
fila,IFERROR(MATCH(TO_TEXT(D312),ARRAYFORMULA"&amp;"(TO_TEXT(Referencia!$A$2:$A6238)),0),0),
IF(OR(campo="""",campo=""-""),""NO APLICA"",
IF(col=0,""REVISAR EQUIVALENCIA"",
IF(fila=0,""SKU NO ENCONTRADO"",
LET(
valor,INDEX(Referencia!$A$2:$AZ6238,fila,col),
IF(TRIM(TO_TEXT(valor))=TRIM(TO_TEXT(I312)),
""OK"&amp;""",
""NO COINCIDE. Valor verdadero: ""&amp;IF(valor="""",""[VACÍO]"",TO_TEXT(valor))
)
))))
),""ERROR EN FÓRMULA""))"),"NO APLICA")</f>
        <v>NO APLICA</v>
      </c>
    </row>
    <row r="313">
      <c r="A313" s="83" t="s">
        <v>4078</v>
      </c>
      <c r="B313" s="83" t="s">
        <v>4079</v>
      </c>
      <c r="C313" s="81" t="s">
        <v>4086</v>
      </c>
      <c r="D313" s="83" t="s">
        <v>4251</v>
      </c>
      <c r="E313" s="81" t="s">
        <v>991</v>
      </c>
      <c r="F313" s="84">
        <v>183.0</v>
      </c>
      <c r="G313" s="81" t="s">
        <v>12</v>
      </c>
      <c r="H313" s="81" t="s">
        <v>224</v>
      </c>
      <c r="I313" s="81" t="s">
        <v>55</v>
      </c>
      <c r="J313" s="81" t="s">
        <v>224</v>
      </c>
      <c r="K313" s="81" t="str">
        <f>IFERROR(__xludf.DUMMYFUNCTION("IF(OR(D313="""",G313=""""),"""",IFERROR(LET(
campo,XLOOKUP(TRIM(G313),ARRAYFORMULA(TRIM('indice columnas'!$A$2:$A$100)),'indice columnas'!$B$2:$B$100,""""),
col,IFERROR(MATCH(campo,Referencia!$A$1:$AZ$1,0),0),
fila,IFERROR(MATCH(TO_TEXT(D313),ARRAYFORMULA"&amp;"(TO_TEXT(Referencia!$A$2:$A6238)),0),0),
IF(OR(campo="""",campo=""-""),""NO APLICA"",
IF(col=0,""REVISAR EQUIVALENCIA"",
IF(fila=0,""SKU NO ENCONTRADO"",
LET(
valor,INDEX(Referencia!$A$2:$AZ6238,fila,col),
IF(TRIM(TO_TEXT(valor))=TRIM(TO_TEXT(I313)),
""OK"&amp;""",
""NO COINCIDE. Valor verdadero: ""&amp;IF(valor="""",""[VACÍO]"",TO_TEXT(valor))
)
))))
),""ERROR EN FÓRMULA""))"),"OK")</f>
        <v>OK</v>
      </c>
    </row>
    <row r="314">
      <c r="A314" s="83" t="s">
        <v>4078</v>
      </c>
      <c r="B314" s="83" t="s">
        <v>4079</v>
      </c>
      <c r="C314" s="81" t="s">
        <v>4086</v>
      </c>
      <c r="D314" s="83" t="s">
        <v>4251</v>
      </c>
      <c r="E314" s="81" t="s">
        <v>991</v>
      </c>
      <c r="F314" s="84">
        <v>183.0</v>
      </c>
      <c r="G314" s="81" t="s">
        <v>44</v>
      </c>
      <c r="H314" s="81" t="s">
        <v>224</v>
      </c>
      <c r="I314" s="81" t="s">
        <v>924</v>
      </c>
      <c r="J314" s="81" t="s">
        <v>4088</v>
      </c>
      <c r="K314" s="81" t="str">
        <f>IFERROR(__xludf.DUMMYFUNCTION("IF(OR(D314="""",G314=""""),"""",IFERROR(LET(
campo,XLOOKUP(TRIM(G314),ARRAYFORMULA(TRIM('indice columnas'!$A$2:$A$100)),'indice columnas'!$B$2:$B$100,""""),
col,IFERROR(MATCH(campo,Referencia!$A$1:$AZ$1,0),0),
fila,IFERROR(MATCH(TO_TEXT(D314),ARRAYFORMULA"&amp;"(TO_TEXT(Referencia!$A$2:$A6238)),0),0),
IF(OR(campo="""",campo=""-""),""NO APLICA"",
IF(col=0,""REVISAR EQUIVALENCIA"",
IF(fila=0,""SKU NO ENCONTRADO"",
LET(
valor,INDEX(Referencia!$A$2:$AZ6238,fila,col),
IF(TRIM(TO_TEXT(valor))=TRIM(TO_TEXT(I314)),
""OK"&amp;""",
""NO COINCIDE. Valor verdadero: ""&amp;IF(valor="""",""[VACÍO]"",TO_TEXT(valor))
)
))))
),""ERROR EN FÓRMULA""))"),"NO APLICA")</f>
        <v>NO APLICA</v>
      </c>
    </row>
    <row r="315">
      <c r="A315" s="83" t="s">
        <v>4078</v>
      </c>
      <c r="B315" s="83" t="s">
        <v>4079</v>
      </c>
      <c r="C315" s="81" t="s">
        <v>4086</v>
      </c>
      <c r="D315" s="83" t="s">
        <v>4252</v>
      </c>
      <c r="E315" s="81" t="s">
        <v>992</v>
      </c>
      <c r="F315" s="84">
        <v>184.0</v>
      </c>
      <c r="G315" s="81" t="s">
        <v>12</v>
      </c>
      <c r="H315" s="81" t="s">
        <v>224</v>
      </c>
      <c r="I315" s="81" t="s">
        <v>55</v>
      </c>
      <c r="J315" s="81" t="s">
        <v>224</v>
      </c>
      <c r="K315" s="81" t="str">
        <f>IFERROR(__xludf.DUMMYFUNCTION("IF(OR(D315="""",G315=""""),"""",IFERROR(LET(
campo,XLOOKUP(TRIM(G315),ARRAYFORMULA(TRIM('indice columnas'!$A$2:$A$100)),'indice columnas'!$B$2:$B$100,""""),
col,IFERROR(MATCH(campo,Referencia!$A$1:$AZ$1,0),0),
fila,IFERROR(MATCH(TO_TEXT(D315),ARRAYFORMULA"&amp;"(TO_TEXT(Referencia!$A$2:$A6238)),0),0),
IF(OR(campo="""",campo=""-""),""NO APLICA"",
IF(col=0,""REVISAR EQUIVALENCIA"",
IF(fila=0,""SKU NO ENCONTRADO"",
LET(
valor,INDEX(Referencia!$A$2:$AZ6238,fila,col),
IF(TRIM(TO_TEXT(valor))=TRIM(TO_TEXT(I315)),
""OK"&amp;""",
""NO COINCIDE. Valor verdadero: ""&amp;IF(valor="""",""[VACÍO]"",TO_TEXT(valor))
)
))))
),""ERROR EN FÓRMULA""))"),"OK")</f>
        <v>OK</v>
      </c>
    </row>
    <row r="316">
      <c r="A316" s="83" t="s">
        <v>4078</v>
      </c>
      <c r="B316" s="83" t="s">
        <v>4079</v>
      </c>
      <c r="C316" s="81" t="s">
        <v>4086</v>
      </c>
      <c r="D316" s="83" t="s">
        <v>4252</v>
      </c>
      <c r="E316" s="81" t="s">
        <v>992</v>
      </c>
      <c r="F316" s="84">
        <v>184.0</v>
      </c>
      <c r="G316" s="81" t="s">
        <v>44</v>
      </c>
      <c r="H316" s="81" t="s">
        <v>224</v>
      </c>
      <c r="I316" s="81" t="s">
        <v>924</v>
      </c>
      <c r="J316" s="81" t="s">
        <v>4088</v>
      </c>
      <c r="K316" s="81" t="str">
        <f>IFERROR(__xludf.DUMMYFUNCTION("IF(OR(D316="""",G316=""""),"""",IFERROR(LET(
campo,XLOOKUP(TRIM(G316),ARRAYFORMULA(TRIM('indice columnas'!$A$2:$A$100)),'indice columnas'!$B$2:$B$100,""""),
col,IFERROR(MATCH(campo,Referencia!$A$1:$AZ$1,0),0),
fila,IFERROR(MATCH(TO_TEXT(D316),ARRAYFORMULA"&amp;"(TO_TEXT(Referencia!$A$2:$A6238)),0),0),
IF(OR(campo="""",campo=""-""),""NO APLICA"",
IF(col=0,""REVISAR EQUIVALENCIA"",
IF(fila=0,""SKU NO ENCONTRADO"",
LET(
valor,INDEX(Referencia!$A$2:$AZ6238,fila,col),
IF(TRIM(TO_TEXT(valor))=TRIM(TO_TEXT(I316)),
""OK"&amp;""",
""NO COINCIDE. Valor verdadero: ""&amp;IF(valor="""",""[VACÍO]"",TO_TEXT(valor))
)
))))
),""ERROR EN FÓRMULA""))"),"NO APLICA")</f>
        <v>NO APLICA</v>
      </c>
    </row>
    <row r="317">
      <c r="A317" s="83" t="s">
        <v>4078</v>
      </c>
      <c r="B317" s="83" t="s">
        <v>4079</v>
      </c>
      <c r="C317" s="81" t="s">
        <v>4086</v>
      </c>
      <c r="D317" s="83" t="s">
        <v>4253</v>
      </c>
      <c r="E317" s="81" t="s">
        <v>995</v>
      </c>
      <c r="F317" s="84">
        <v>185.0</v>
      </c>
      <c r="G317" s="81" t="s">
        <v>44</v>
      </c>
      <c r="H317" s="81" t="s">
        <v>224</v>
      </c>
      <c r="I317" s="81" t="s">
        <v>924</v>
      </c>
      <c r="J317" s="81" t="s">
        <v>4088</v>
      </c>
      <c r="K317" s="81" t="str">
        <f>IFERROR(__xludf.DUMMYFUNCTION("IF(OR(D317="""",G317=""""),"""",IFERROR(LET(
campo,XLOOKUP(TRIM(G317),ARRAYFORMULA(TRIM('indice columnas'!$A$2:$A$100)),'indice columnas'!$B$2:$B$100,""""),
col,IFERROR(MATCH(campo,Referencia!$A$1:$AZ$1,0),0),
fila,IFERROR(MATCH(TO_TEXT(D317),ARRAYFORMULA"&amp;"(TO_TEXT(Referencia!$A$2:$A6238)),0),0),
IF(OR(campo="""",campo=""-""),""NO APLICA"",
IF(col=0,""REVISAR EQUIVALENCIA"",
IF(fila=0,""SKU NO ENCONTRADO"",
LET(
valor,INDEX(Referencia!$A$2:$AZ6238,fila,col),
IF(TRIM(TO_TEXT(valor))=TRIM(TO_TEXT(I317)),
""OK"&amp;""",
""NO COINCIDE. Valor verdadero: ""&amp;IF(valor="""",""[VACÍO]"",TO_TEXT(valor))
)
))))
),""ERROR EN FÓRMULA""))"),"NO APLICA")</f>
        <v>NO APLICA</v>
      </c>
    </row>
    <row r="318">
      <c r="A318" s="83" t="s">
        <v>4078</v>
      </c>
      <c r="B318" s="83" t="s">
        <v>4079</v>
      </c>
      <c r="C318" s="81" t="s">
        <v>4086</v>
      </c>
      <c r="D318" s="83" t="s">
        <v>4253</v>
      </c>
      <c r="E318" s="81" t="s">
        <v>1001</v>
      </c>
      <c r="F318" s="84">
        <v>186.0</v>
      </c>
      <c r="G318" s="81" t="s">
        <v>12</v>
      </c>
      <c r="H318" s="81" t="s">
        <v>224</v>
      </c>
      <c r="I318" s="81" t="s">
        <v>55</v>
      </c>
      <c r="J318" s="81" t="s">
        <v>224</v>
      </c>
      <c r="K318" s="81" t="str">
        <f>IFERROR(__xludf.DUMMYFUNCTION("IF(OR(D318="""",G318=""""),"""",IFERROR(LET(
campo,XLOOKUP(TRIM(G318),ARRAYFORMULA(TRIM('indice columnas'!$A$2:$A$100)),'indice columnas'!$B$2:$B$100,""""),
col,IFERROR(MATCH(campo,Referencia!$A$1:$AZ$1,0),0),
fila,IFERROR(MATCH(TO_TEXT(D318),ARRAYFORMULA"&amp;"(TO_TEXT(Referencia!$A$2:$A6238)),0),0),
IF(OR(campo="""",campo=""-""),""NO APLICA"",
IF(col=0,""REVISAR EQUIVALENCIA"",
IF(fila=0,""SKU NO ENCONTRADO"",
LET(
valor,INDEX(Referencia!$A$2:$AZ6238,fila,col),
IF(TRIM(TO_TEXT(valor))=TRIM(TO_TEXT(I318)),
""OK"&amp;""",
""NO COINCIDE. Valor verdadero: ""&amp;IF(valor="""",""[VACÍO]"",TO_TEXT(valor))
)
))))
),""ERROR EN FÓRMULA""))"),"OK")</f>
        <v>OK</v>
      </c>
    </row>
    <row r="319">
      <c r="A319" s="83" t="s">
        <v>4078</v>
      </c>
      <c r="B319" s="83" t="s">
        <v>4079</v>
      </c>
      <c r="C319" s="81" t="s">
        <v>4086</v>
      </c>
      <c r="D319" s="83" t="s">
        <v>4253</v>
      </c>
      <c r="E319" s="81" t="s">
        <v>1001</v>
      </c>
      <c r="F319" s="84">
        <v>186.0</v>
      </c>
      <c r="G319" s="81" t="s">
        <v>44</v>
      </c>
      <c r="H319" s="81" t="s">
        <v>224</v>
      </c>
      <c r="I319" s="81" t="s">
        <v>924</v>
      </c>
      <c r="J319" s="81" t="s">
        <v>4088</v>
      </c>
      <c r="K319" s="81" t="str">
        <f>IFERROR(__xludf.DUMMYFUNCTION("IF(OR(D319="""",G319=""""),"""",IFERROR(LET(
campo,XLOOKUP(TRIM(G319),ARRAYFORMULA(TRIM('indice columnas'!$A$2:$A$100)),'indice columnas'!$B$2:$B$100,""""),
col,IFERROR(MATCH(campo,Referencia!$A$1:$AZ$1,0),0),
fila,IFERROR(MATCH(TO_TEXT(D319),ARRAYFORMULA"&amp;"(TO_TEXT(Referencia!$A$2:$A6238)),0),0),
IF(OR(campo="""",campo=""-""),""NO APLICA"",
IF(col=0,""REVISAR EQUIVALENCIA"",
IF(fila=0,""SKU NO ENCONTRADO"",
LET(
valor,INDEX(Referencia!$A$2:$AZ6238,fila,col),
IF(TRIM(TO_TEXT(valor))=TRIM(TO_TEXT(I319)),
""OK"&amp;""",
""NO COINCIDE. Valor verdadero: ""&amp;IF(valor="""",""[VACÍO]"",TO_TEXT(valor))
)
))))
),""ERROR EN FÓRMULA""))"),"NO APLICA")</f>
        <v>NO APLICA</v>
      </c>
    </row>
    <row r="320">
      <c r="A320" s="83" t="s">
        <v>4078</v>
      </c>
      <c r="B320" s="83" t="s">
        <v>4079</v>
      </c>
      <c r="C320" s="81" t="s">
        <v>4086</v>
      </c>
      <c r="D320" s="83" t="s">
        <v>4254</v>
      </c>
      <c r="E320" s="81" t="s">
        <v>1002</v>
      </c>
      <c r="F320" s="84">
        <v>187.0</v>
      </c>
      <c r="G320" s="81" t="s">
        <v>12</v>
      </c>
      <c r="H320" s="81" t="s">
        <v>224</v>
      </c>
      <c r="I320" s="81" t="s">
        <v>55</v>
      </c>
      <c r="J320" s="81" t="s">
        <v>224</v>
      </c>
      <c r="K320" s="81" t="str">
        <f>IFERROR(__xludf.DUMMYFUNCTION("IF(OR(D320="""",G320=""""),"""",IFERROR(LET(
campo,XLOOKUP(TRIM(G320),ARRAYFORMULA(TRIM('indice columnas'!$A$2:$A$100)),'indice columnas'!$B$2:$B$100,""""),
col,IFERROR(MATCH(campo,Referencia!$A$1:$AZ$1,0),0),
fila,IFERROR(MATCH(TO_TEXT(D320),ARRAYFORMULA"&amp;"(TO_TEXT(Referencia!$A$2:$A6238)),0),0),
IF(OR(campo="""",campo=""-""),""NO APLICA"",
IF(col=0,""REVISAR EQUIVALENCIA"",
IF(fila=0,""SKU NO ENCONTRADO"",
LET(
valor,INDEX(Referencia!$A$2:$AZ6238,fila,col),
IF(TRIM(TO_TEXT(valor))=TRIM(TO_TEXT(I320)),
""OK"&amp;""",
""NO COINCIDE. Valor verdadero: ""&amp;IF(valor="""",""[VACÍO]"",TO_TEXT(valor))
)
))))
),""ERROR EN FÓRMULA""))"),"OK")</f>
        <v>OK</v>
      </c>
    </row>
    <row r="321">
      <c r="A321" s="83" t="s">
        <v>4078</v>
      </c>
      <c r="B321" s="83" t="s">
        <v>4079</v>
      </c>
      <c r="C321" s="81" t="s">
        <v>4086</v>
      </c>
      <c r="D321" s="83" t="s">
        <v>4254</v>
      </c>
      <c r="E321" s="81" t="s">
        <v>1002</v>
      </c>
      <c r="F321" s="84">
        <v>187.0</v>
      </c>
      <c r="G321" s="81" t="s">
        <v>44</v>
      </c>
      <c r="H321" s="81" t="s">
        <v>224</v>
      </c>
      <c r="I321" s="81" t="s">
        <v>924</v>
      </c>
      <c r="J321" s="81" t="s">
        <v>4088</v>
      </c>
      <c r="K321" s="81" t="str">
        <f>IFERROR(__xludf.DUMMYFUNCTION("IF(OR(D321="""",G321=""""),"""",IFERROR(LET(
campo,XLOOKUP(TRIM(G321),ARRAYFORMULA(TRIM('indice columnas'!$A$2:$A$100)),'indice columnas'!$B$2:$B$100,""""),
col,IFERROR(MATCH(campo,Referencia!$A$1:$AZ$1,0),0),
fila,IFERROR(MATCH(TO_TEXT(D321),ARRAYFORMULA"&amp;"(TO_TEXT(Referencia!$A$2:$A6238)),0),0),
IF(OR(campo="""",campo=""-""),""NO APLICA"",
IF(col=0,""REVISAR EQUIVALENCIA"",
IF(fila=0,""SKU NO ENCONTRADO"",
LET(
valor,INDEX(Referencia!$A$2:$AZ6238,fila,col),
IF(TRIM(TO_TEXT(valor))=TRIM(TO_TEXT(I321)),
""OK"&amp;""",
""NO COINCIDE. Valor verdadero: ""&amp;IF(valor="""",""[VACÍO]"",TO_TEXT(valor))
)
))))
),""ERROR EN FÓRMULA""))"),"NO APLICA")</f>
        <v>NO APLICA</v>
      </c>
    </row>
    <row r="322">
      <c r="A322" s="83" t="s">
        <v>4078</v>
      </c>
      <c r="B322" s="83" t="s">
        <v>4079</v>
      </c>
      <c r="C322" s="81" t="s">
        <v>4086</v>
      </c>
      <c r="D322" s="83" t="s">
        <v>4255</v>
      </c>
      <c r="E322" s="81" t="s">
        <v>1005</v>
      </c>
      <c r="F322" s="84">
        <v>188.0</v>
      </c>
      <c r="G322" s="81" t="s">
        <v>44</v>
      </c>
      <c r="H322" s="81" t="s">
        <v>224</v>
      </c>
      <c r="I322" s="81" t="s">
        <v>924</v>
      </c>
      <c r="J322" s="81" t="s">
        <v>4088</v>
      </c>
      <c r="K322" s="81" t="str">
        <f>IFERROR(__xludf.DUMMYFUNCTION("IF(OR(D322="""",G322=""""),"""",IFERROR(LET(
campo,XLOOKUP(TRIM(G322),ARRAYFORMULA(TRIM('indice columnas'!$A$2:$A$100)),'indice columnas'!$B$2:$B$100,""""),
col,IFERROR(MATCH(campo,Referencia!$A$1:$AZ$1,0),0),
fila,IFERROR(MATCH(TO_TEXT(D322),ARRAYFORMULA"&amp;"(TO_TEXT(Referencia!$A$2:$A6238)),0),0),
IF(OR(campo="""",campo=""-""),""NO APLICA"",
IF(col=0,""REVISAR EQUIVALENCIA"",
IF(fila=0,""SKU NO ENCONTRADO"",
LET(
valor,INDEX(Referencia!$A$2:$AZ6238,fila,col),
IF(TRIM(TO_TEXT(valor))=TRIM(TO_TEXT(I322)),
""OK"&amp;""",
""NO COINCIDE. Valor verdadero: ""&amp;IF(valor="""",""[VACÍO]"",TO_TEXT(valor))
)
))))
),""ERROR EN FÓRMULA""))"),"NO APLICA")</f>
        <v>NO APLICA</v>
      </c>
    </row>
    <row r="323">
      <c r="A323" s="83" t="s">
        <v>4078</v>
      </c>
      <c r="B323" s="83" t="s">
        <v>4079</v>
      </c>
      <c r="C323" s="81" t="s">
        <v>4086</v>
      </c>
      <c r="D323" s="83" t="s">
        <v>4255</v>
      </c>
      <c r="E323" s="81" t="s">
        <v>1011</v>
      </c>
      <c r="F323" s="84">
        <v>189.0</v>
      </c>
      <c r="G323" s="81" t="s">
        <v>12</v>
      </c>
      <c r="H323" s="81" t="s">
        <v>224</v>
      </c>
      <c r="I323" s="81" t="s">
        <v>55</v>
      </c>
      <c r="J323" s="81" t="s">
        <v>224</v>
      </c>
      <c r="K323" s="81" t="str">
        <f>IFERROR(__xludf.DUMMYFUNCTION("IF(OR(D323="""",G323=""""),"""",IFERROR(LET(
campo,XLOOKUP(TRIM(G323),ARRAYFORMULA(TRIM('indice columnas'!$A$2:$A$100)),'indice columnas'!$B$2:$B$100,""""),
col,IFERROR(MATCH(campo,Referencia!$A$1:$AZ$1,0),0),
fila,IFERROR(MATCH(TO_TEXT(D323),ARRAYFORMULA"&amp;"(TO_TEXT(Referencia!$A$2:$A6238)),0),0),
IF(OR(campo="""",campo=""-""),""NO APLICA"",
IF(col=0,""REVISAR EQUIVALENCIA"",
IF(fila=0,""SKU NO ENCONTRADO"",
LET(
valor,INDEX(Referencia!$A$2:$AZ6238,fila,col),
IF(TRIM(TO_TEXT(valor))=TRIM(TO_TEXT(I323)),
""OK"&amp;""",
""NO COINCIDE. Valor verdadero: ""&amp;IF(valor="""",""[VACÍO]"",TO_TEXT(valor))
)
))))
),""ERROR EN FÓRMULA""))"),"OK")</f>
        <v>OK</v>
      </c>
    </row>
    <row r="324">
      <c r="A324" s="83" t="s">
        <v>4078</v>
      </c>
      <c r="B324" s="83" t="s">
        <v>4079</v>
      </c>
      <c r="C324" s="81" t="s">
        <v>4086</v>
      </c>
      <c r="D324" s="83" t="s">
        <v>4255</v>
      </c>
      <c r="E324" s="81" t="s">
        <v>1011</v>
      </c>
      <c r="F324" s="84">
        <v>189.0</v>
      </c>
      <c r="G324" s="81" t="s">
        <v>44</v>
      </c>
      <c r="H324" s="81" t="s">
        <v>224</v>
      </c>
      <c r="I324" s="81" t="s">
        <v>924</v>
      </c>
      <c r="J324" s="81" t="s">
        <v>4088</v>
      </c>
      <c r="K324" s="81" t="str">
        <f>IFERROR(__xludf.DUMMYFUNCTION("IF(OR(D324="""",G324=""""),"""",IFERROR(LET(
campo,XLOOKUP(TRIM(G324),ARRAYFORMULA(TRIM('indice columnas'!$A$2:$A$100)),'indice columnas'!$B$2:$B$100,""""),
col,IFERROR(MATCH(campo,Referencia!$A$1:$AZ$1,0),0),
fila,IFERROR(MATCH(TO_TEXT(D324),ARRAYFORMULA"&amp;"(TO_TEXT(Referencia!$A$2:$A6238)),0),0),
IF(OR(campo="""",campo=""-""),""NO APLICA"",
IF(col=0,""REVISAR EQUIVALENCIA"",
IF(fila=0,""SKU NO ENCONTRADO"",
LET(
valor,INDEX(Referencia!$A$2:$AZ6238,fila,col),
IF(TRIM(TO_TEXT(valor))=TRIM(TO_TEXT(I324)),
""OK"&amp;""",
""NO COINCIDE. Valor verdadero: ""&amp;IF(valor="""",""[VACÍO]"",TO_TEXT(valor))
)
))))
),""ERROR EN FÓRMULA""))"),"NO APLICA")</f>
        <v>NO APLICA</v>
      </c>
    </row>
    <row r="325">
      <c r="A325" s="83" t="s">
        <v>4078</v>
      </c>
      <c r="B325" s="83" t="s">
        <v>4079</v>
      </c>
      <c r="C325" s="81" t="s">
        <v>4086</v>
      </c>
      <c r="D325" s="83" t="s">
        <v>4256</v>
      </c>
      <c r="E325" s="81" t="s">
        <v>1012</v>
      </c>
      <c r="F325" s="84">
        <v>190.0</v>
      </c>
      <c r="G325" s="81" t="s">
        <v>12</v>
      </c>
      <c r="H325" s="81" t="s">
        <v>224</v>
      </c>
      <c r="I325" s="81" t="s">
        <v>55</v>
      </c>
      <c r="J325" s="81" t="s">
        <v>224</v>
      </c>
      <c r="K325" s="81" t="str">
        <f>IFERROR(__xludf.DUMMYFUNCTION("IF(OR(D325="""",G325=""""),"""",IFERROR(LET(
campo,XLOOKUP(TRIM(G325),ARRAYFORMULA(TRIM('indice columnas'!$A$2:$A$100)),'indice columnas'!$B$2:$B$100,""""),
col,IFERROR(MATCH(campo,Referencia!$A$1:$AZ$1,0),0),
fila,IFERROR(MATCH(TO_TEXT(D325),ARRAYFORMULA"&amp;"(TO_TEXT(Referencia!$A$2:$A6238)),0),0),
IF(OR(campo="""",campo=""-""),""NO APLICA"",
IF(col=0,""REVISAR EQUIVALENCIA"",
IF(fila=0,""SKU NO ENCONTRADO"",
LET(
valor,INDEX(Referencia!$A$2:$AZ6238,fila,col),
IF(TRIM(TO_TEXT(valor))=TRIM(TO_TEXT(I325)),
""OK"&amp;""",
""NO COINCIDE. Valor verdadero: ""&amp;IF(valor="""",""[VACÍO]"",TO_TEXT(valor))
)
))))
),""ERROR EN FÓRMULA""))"),"OK")</f>
        <v>OK</v>
      </c>
    </row>
    <row r="326">
      <c r="A326" s="83" t="s">
        <v>4078</v>
      </c>
      <c r="B326" s="83" t="s">
        <v>4079</v>
      </c>
      <c r="C326" s="81" t="s">
        <v>4086</v>
      </c>
      <c r="D326" s="83" t="s">
        <v>4256</v>
      </c>
      <c r="E326" s="81" t="s">
        <v>1012</v>
      </c>
      <c r="F326" s="84">
        <v>190.0</v>
      </c>
      <c r="G326" s="81" t="s">
        <v>44</v>
      </c>
      <c r="H326" s="81" t="s">
        <v>224</v>
      </c>
      <c r="I326" s="81" t="s">
        <v>924</v>
      </c>
      <c r="J326" s="81" t="s">
        <v>4088</v>
      </c>
      <c r="K326" s="81" t="str">
        <f>IFERROR(__xludf.DUMMYFUNCTION("IF(OR(D326="""",G326=""""),"""",IFERROR(LET(
campo,XLOOKUP(TRIM(G326),ARRAYFORMULA(TRIM('indice columnas'!$A$2:$A$100)),'indice columnas'!$B$2:$B$100,""""),
col,IFERROR(MATCH(campo,Referencia!$A$1:$AZ$1,0),0),
fila,IFERROR(MATCH(TO_TEXT(D326),ARRAYFORMULA"&amp;"(TO_TEXT(Referencia!$A$2:$A6238)),0),0),
IF(OR(campo="""",campo=""-""),""NO APLICA"",
IF(col=0,""REVISAR EQUIVALENCIA"",
IF(fila=0,""SKU NO ENCONTRADO"",
LET(
valor,INDEX(Referencia!$A$2:$AZ6238,fila,col),
IF(TRIM(TO_TEXT(valor))=TRIM(TO_TEXT(I326)),
""OK"&amp;""",
""NO COINCIDE. Valor verdadero: ""&amp;IF(valor="""",""[VACÍO]"",TO_TEXT(valor))
)
))))
),""ERROR EN FÓRMULA""))"),"NO APLICA")</f>
        <v>NO APLICA</v>
      </c>
    </row>
    <row r="327">
      <c r="A327" s="83" t="s">
        <v>4078</v>
      </c>
      <c r="B327" s="83" t="s">
        <v>4079</v>
      </c>
      <c r="C327" s="81" t="s">
        <v>4086</v>
      </c>
      <c r="D327" s="83" t="s">
        <v>4257</v>
      </c>
      <c r="E327" s="81" t="s">
        <v>1015</v>
      </c>
      <c r="F327" s="84">
        <v>191.0</v>
      </c>
      <c r="G327" s="81" t="s">
        <v>44</v>
      </c>
      <c r="H327" s="81" t="s">
        <v>224</v>
      </c>
      <c r="I327" s="81" t="s">
        <v>924</v>
      </c>
      <c r="J327" s="81" t="s">
        <v>4088</v>
      </c>
      <c r="K327" s="81" t="str">
        <f>IFERROR(__xludf.DUMMYFUNCTION("IF(OR(D327="""",G327=""""),"""",IFERROR(LET(
campo,XLOOKUP(TRIM(G327),ARRAYFORMULA(TRIM('indice columnas'!$A$2:$A$100)),'indice columnas'!$B$2:$B$100,""""),
col,IFERROR(MATCH(campo,Referencia!$A$1:$AZ$1,0),0),
fila,IFERROR(MATCH(TO_TEXT(D327),ARRAYFORMULA"&amp;"(TO_TEXT(Referencia!$A$2:$A6238)),0),0),
IF(OR(campo="""",campo=""-""),""NO APLICA"",
IF(col=0,""REVISAR EQUIVALENCIA"",
IF(fila=0,""SKU NO ENCONTRADO"",
LET(
valor,INDEX(Referencia!$A$2:$AZ6238,fila,col),
IF(TRIM(TO_TEXT(valor))=TRIM(TO_TEXT(I327)),
""OK"&amp;""",
""NO COINCIDE. Valor verdadero: ""&amp;IF(valor="""",""[VACÍO]"",TO_TEXT(valor))
)
))))
),""ERROR EN FÓRMULA""))"),"NO APLICA")</f>
        <v>NO APLICA</v>
      </c>
    </row>
    <row r="328">
      <c r="A328" s="83" t="s">
        <v>4078</v>
      </c>
      <c r="B328" s="83" t="s">
        <v>4079</v>
      </c>
      <c r="C328" s="81" t="s">
        <v>4086</v>
      </c>
      <c r="D328" s="83" t="s">
        <v>4257</v>
      </c>
      <c r="E328" s="81" t="s">
        <v>1025</v>
      </c>
      <c r="F328" s="84">
        <v>192.0</v>
      </c>
      <c r="G328" s="81" t="s">
        <v>12</v>
      </c>
      <c r="H328" s="81" t="s">
        <v>224</v>
      </c>
      <c r="I328" s="81" t="s">
        <v>55</v>
      </c>
      <c r="J328" s="81" t="s">
        <v>224</v>
      </c>
      <c r="K328" s="81" t="str">
        <f>IFERROR(__xludf.DUMMYFUNCTION("IF(OR(D328="""",G328=""""),"""",IFERROR(LET(
campo,XLOOKUP(TRIM(G328),ARRAYFORMULA(TRIM('indice columnas'!$A$2:$A$100)),'indice columnas'!$B$2:$B$100,""""),
col,IFERROR(MATCH(campo,Referencia!$A$1:$AZ$1,0),0),
fila,IFERROR(MATCH(TO_TEXT(D328),ARRAYFORMULA"&amp;"(TO_TEXT(Referencia!$A$2:$A6238)),0),0),
IF(OR(campo="""",campo=""-""),""NO APLICA"",
IF(col=0,""REVISAR EQUIVALENCIA"",
IF(fila=0,""SKU NO ENCONTRADO"",
LET(
valor,INDEX(Referencia!$A$2:$AZ6238,fila,col),
IF(TRIM(TO_TEXT(valor))=TRIM(TO_TEXT(I328)),
""OK"&amp;""",
""NO COINCIDE. Valor verdadero: ""&amp;IF(valor="""",""[VACÍO]"",TO_TEXT(valor))
)
))))
),""ERROR EN FÓRMULA""))"),"OK")</f>
        <v>OK</v>
      </c>
    </row>
    <row r="329">
      <c r="A329" s="83" t="s">
        <v>4078</v>
      </c>
      <c r="B329" s="83" t="s">
        <v>4079</v>
      </c>
      <c r="C329" s="81" t="s">
        <v>4086</v>
      </c>
      <c r="D329" s="83" t="s">
        <v>4257</v>
      </c>
      <c r="E329" s="81" t="s">
        <v>1025</v>
      </c>
      <c r="F329" s="84">
        <v>192.0</v>
      </c>
      <c r="G329" s="81" t="s">
        <v>14</v>
      </c>
      <c r="H329" s="81" t="s">
        <v>4258</v>
      </c>
      <c r="I329" s="81" t="s">
        <v>228</v>
      </c>
      <c r="J329" s="81" t="s">
        <v>224</v>
      </c>
      <c r="K329" s="81" t="str">
        <f>IFERROR(__xludf.DUMMYFUNCTION("IF(OR(D329="""",G329=""""),"""",IFERROR(LET(
campo,XLOOKUP(TRIM(G329),ARRAYFORMULA(TRIM('indice columnas'!$A$2:$A$100)),'indice columnas'!$B$2:$B$100,""""),
col,IFERROR(MATCH(campo,Referencia!$A$1:$AZ$1,0),0),
fila,IFERROR(MATCH(TO_TEXT(D329),ARRAYFORMULA"&amp;"(TO_TEXT(Referencia!$A$2:$A6238)),0),0),
IF(OR(campo="""",campo=""-""),""NO APLICA"",
IF(col=0,""REVISAR EQUIVALENCIA"",
IF(fila=0,""SKU NO ENCONTRADO"",
LET(
valor,INDEX(Referencia!$A$2:$AZ6238,fila,col),
IF(TRIM(TO_TEXT(valor))=TRIM(TO_TEXT(I329)),
""OK"&amp;""",
""NO COINCIDE. Valor verdadero: ""&amp;IF(valor="""",""[VACÍO]"",TO_TEXT(valor))
)
))))
),""ERROR EN FÓRMULA""))"),"NO COINCIDE. Valor verdadero: 220")</f>
        <v>NO COINCIDE. Valor verdadero: 220</v>
      </c>
    </row>
    <row r="330">
      <c r="A330" s="83" t="s">
        <v>4078</v>
      </c>
      <c r="B330" s="83" t="s">
        <v>4079</v>
      </c>
      <c r="C330" s="81" t="s">
        <v>4086</v>
      </c>
      <c r="D330" s="83" t="s">
        <v>4257</v>
      </c>
      <c r="E330" s="81" t="s">
        <v>1025</v>
      </c>
      <c r="F330" s="84">
        <v>192.0</v>
      </c>
      <c r="G330" s="81" t="s">
        <v>29</v>
      </c>
      <c r="H330" s="81" t="s">
        <v>4259</v>
      </c>
      <c r="I330" s="81" t="s">
        <v>1027</v>
      </c>
      <c r="J330" s="81" t="s">
        <v>224</v>
      </c>
      <c r="K330" s="81" t="str">
        <f>IFERROR(__xludf.DUMMYFUNCTION("IF(OR(D330="""",G330=""""),"""",IFERROR(LET(
campo,XLOOKUP(TRIM(G330),ARRAYFORMULA(TRIM('indice columnas'!$A$2:$A$100)),'indice columnas'!$B$2:$B$100,""""),
col,IFERROR(MATCH(campo,Referencia!$A$1:$AZ$1,0),0),
fila,IFERROR(MATCH(TO_TEXT(D330),ARRAYFORMULA"&amp;"(TO_TEXT(Referencia!$A$2:$A6238)),0),0),
IF(OR(campo="""",campo=""-""),""NO APLICA"",
IF(col=0,""REVISAR EQUIVALENCIA"",
IF(fila=0,""SKU NO ENCONTRADO"",
LET(
valor,INDEX(Referencia!$A$2:$AZ6238,fila,col),
IF(TRIM(TO_TEXT(valor))=TRIM(TO_TEXT(I330)),
""OK"&amp;""",
""NO COINCIDE. Valor verdadero: ""&amp;IF(valor="""",""[VACÍO]"",TO_TEXT(valor))
)
))))
),""ERROR EN FÓRMULA""))"),"NO COINCIDE. Valor verdadero: 34 x 17 x 3000 (Ancho x Alto x Largo)")</f>
        <v>NO COINCIDE. Valor verdadero: 34 x 17 x 3000 (Ancho x Alto x Largo)</v>
      </c>
    </row>
    <row r="331">
      <c r="A331" s="83" t="s">
        <v>4078</v>
      </c>
      <c r="B331" s="83" t="s">
        <v>4079</v>
      </c>
      <c r="C331" s="81" t="s">
        <v>4086</v>
      </c>
      <c r="D331" s="83" t="s">
        <v>4257</v>
      </c>
      <c r="E331" s="81" t="s">
        <v>1025</v>
      </c>
      <c r="F331" s="84">
        <v>192.0</v>
      </c>
      <c r="G331" s="81" t="s">
        <v>44</v>
      </c>
      <c r="H331" s="81" t="s">
        <v>224</v>
      </c>
      <c r="I331" s="81" t="s">
        <v>924</v>
      </c>
      <c r="J331" s="81" t="s">
        <v>4088</v>
      </c>
      <c r="K331" s="81" t="str">
        <f>IFERROR(__xludf.DUMMYFUNCTION("IF(OR(D331="""",G331=""""),"""",IFERROR(LET(
campo,XLOOKUP(TRIM(G331),ARRAYFORMULA(TRIM('indice columnas'!$A$2:$A$100)),'indice columnas'!$B$2:$B$100,""""),
col,IFERROR(MATCH(campo,Referencia!$A$1:$AZ$1,0),0),
fila,IFERROR(MATCH(TO_TEXT(D331),ARRAYFORMULA"&amp;"(TO_TEXT(Referencia!$A$2:$A6238)),0),0),
IF(OR(campo="""",campo=""-""),""NO APLICA"",
IF(col=0,""REVISAR EQUIVALENCIA"",
IF(fila=0,""SKU NO ENCONTRADO"",
LET(
valor,INDEX(Referencia!$A$2:$AZ6238,fila,col),
IF(TRIM(TO_TEXT(valor))=TRIM(TO_TEXT(I331)),
""OK"&amp;""",
""NO COINCIDE. Valor verdadero: ""&amp;IF(valor="""",""[VACÍO]"",TO_TEXT(valor))
)
))))
),""ERROR EN FÓRMULA""))"),"NO APLICA")</f>
        <v>NO APLICA</v>
      </c>
    </row>
    <row r="332">
      <c r="A332" s="83" t="s">
        <v>4078</v>
      </c>
      <c r="B332" s="83" t="s">
        <v>4079</v>
      </c>
      <c r="C332" s="81" t="s">
        <v>4086</v>
      </c>
      <c r="D332" s="83" t="s">
        <v>4260</v>
      </c>
      <c r="E332" s="81" t="s">
        <v>1028</v>
      </c>
      <c r="F332" s="84">
        <v>193.0</v>
      </c>
      <c r="G332" s="81" t="s">
        <v>12</v>
      </c>
      <c r="H332" s="81" t="s">
        <v>224</v>
      </c>
      <c r="I332" s="81" t="s">
        <v>55</v>
      </c>
      <c r="J332" s="81" t="s">
        <v>224</v>
      </c>
      <c r="K332" s="81" t="str">
        <f>IFERROR(__xludf.DUMMYFUNCTION("IF(OR(D332="""",G332=""""),"""",IFERROR(LET(
campo,XLOOKUP(TRIM(G332),ARRAYFORMULA(TRIM('indice columnas'!$A$2:$A$100)),'indice columnas'!$B$2:$B$100,""""),
col,IFERROR(MATCH(campo,Referencia!$A$1:$AZ$1,0),0),
fila,IFERROR(MATCH(TO_TEXT(D332),ARRAYFORMULA"&amp;"(TO_TEXT(Referencia!$A$2:$A6238)),0),0),
IF(OR(campo="""",campo=""-""),""NO APLICA"",
IF(col=0,""REVISAR EQUIVALENCIA"",
IF(fila=0,""SKU NO ENCONTRADO"",
LET(
valor,INDEX(Referencia!$A$2:$AZ6238,fila,col),
IF(TRIM(TO_TEXT(valor))=TRIM(TO_TEXT(I332)),
""OK"&amp;""",
""NO COINCIDE. Valor verdadero: ""&amp;IF(valor="""",""[VACÍO]"",TO_TEXT(valor))
)
))))
),""ERROR EN FÓRMULA""))"),"OK")</f>
        <v>OK</v>
      </c>
    </row>
    <row r="333">
      <c r="A333" s="83" t="s">
        <v>4078</v>
      </c>
      <c r="B333" s="83" t="s">
        <v>4079</v>
      </c>
      <c r="C333" s="81" t="s">
        <v>4086</v>
      </c>
      <c r="D333" s="83" t="s">
        <v>4260</v>
      </c>
      <c r="E333" s="81" t="s">
        <v>1028</v>
      </c>
      <c r="F333" s="84">
        <v>193.0</v>
      </c>
      <c r="G333" s="81" t="s">
        <v>14</v>
      </c>
      <c r="H333" s="81" t="s">
        <v>4258</v>
      </c>
      <c r="I333" s="81" t="s">
        <v>228</v>
      </c>
      <c r="J333" s="81" t="s">
        <v>224</v>
      </c>
      <c r="K333" s="81" t="str">
        <f>IFERROR(__xludf.DUMMYFUNCTION("IF(OR(D333="""",G333=""""),"""",IFERROR(LET(
campo,XLOOKUP(TRIM(G333),ARRAYFORMULA(TRIM('indice columnas'!$A$2:$A$100)),'indice columnas'!$B$2:$B$100,""""),
col,IFERROR(MATCH(campo,Referencia!$A$1:$AZ$1,0),0),
fila,IFERROR(MATCH(TO_TEXT(D333),ARRAYFORMULA"&amp;"(TO_TEXT(Referencia!$A$2:$A6238)),0),0),
IF(OR(campo="""",campo=""-""),""NO APLICA"",
IF(col=0,""REVISAR EQUIVALENCIA"",
IF(fila=0,""SKU NO ENCONTRADO"",
LET(
valor,INDEX(Referencia!$A$2:$AZ6238,fila,col),
IF(TRIM(TO_TEXT(valor))=TRIM(TO_TEXT(I333)),
""OK"&amp;""",
""NO COINCIDE. Valor verdadero: ""&amp;IF(valor="""",""[VACÍO]"",TO_TEXT(valor))
)
))))
),""ERROR EN FÓRMULA""))"),"NO COINCIDE. Valor verdadero: 220")</f>
        <v>NO COINCIDE. Valor verdadero: 220</v>
      </c>
    </row>
    <row r="334">
      <c r="A334" s="83" t="s">
        <v>4078</v>
      </c>
      <c r="B334" s="83" t="s">
        <v>4079</v>
      </c>
      <c r="C334" s="81" t="s">
        <v>4086</v>
      </c>
      <c r="D334" s="83" t="s">
        <v>4260</v>
      </c>
      <c r="E334" s="81" t="s">
        <v>1028</v>
      </c>
      <c r="F334" s="84">
        <v>193.0</v>
      </c>
      <c r="G334" s="81" t="s">
        <v>29</v>
      </c>
      <c r="H334" s="81" t="s">
        <v>4259</v>
      </c>
      <c r="I334" s="81" t="s">
        <v>1027</v>
      </c>
      <c r="J334" s="81" t="s">
        <v>224</v>
      </c>
      <c r="K334" s="81" t="str">
        <f>IFERROR(__xludf.DUMMYFUNCTION("IF(OR(D334="""",G334=""""),"""",IFERROR(LET(
campo,XLOOKUP(TRIM(G334),ARRAYFORMULA(TRIM('indice columnas'!$A$2:$A$100)),'indice columnas'!$B$2:$B$100,""""),
col,IFERROR(MATCH(campo,Referencia!$A$1:$AZ$1,0),0),
fila,IFERROR(MATCH(TO_TEXT(D334),ARRAYFORMULA"&amp;"(TO_TEXT(Referencia!$A$2:$A6238)),0),0),
IF(OR(campo="""",campo=""-""),""NO APLICA"",
IF(col=0,""REVISAR EQUIVALENCIA"",
IF(fila=0,""SKU NO ENCONTRADO"",
LET(
valor,INDEX(Referencia!$A$2:$AZ6238,fila,col),
IF(TRIM(TO_TEXT(valor))=TRIM(TO_TEXT(I334)),
""OK"&amp;""",
""NO COINCIDE. Valor verdadero: ""&amp;IF(valor="""",""[VACÍO]"",TO_TEXT(valor))
)
))))
),""ERROR EN FÓRMULA""))"),"NO COINCIDE. Valor verdadero: 34 x 17 x 3000 (Ancho x Alto x Largo)")</f>
        <v>NO COINCIDE. Valor verdadero: 34 x 17 x 3000 (Ancho x Alto x Largo)</v>
      </c>
    </row>
    <row r="335">
      <c r="A335" s="83" t="s">
        <v>4078</v>
      </c>
      <c r="B335" s="83" t="s">
        <v>4079</v>
      </c>
      <c r="C335" s="81" t="s">
        <v>4086</v>
      </c>
      <c r="D335" s="83" t="s">
        <v>4260</v>
      </c>
      <c r="E335" s="81" t="s">
        <v>1028</v>
      </c>
      <c r="F335" s="84">
        <v>193.0</v>
      </c>
      <c r="G335" s="81" t="s">
        <v>44</v>
      </c>
      <c r="H335" s="81" t="s">
        <v>224</v>
      </c>
      <c r="I335" s="81" t="s">
        <v>924</v>
      </c>
      <c r="J335" s="81" t="s">
        <v>4088</v>
      </c>
      <c r="K335" s="81" t="str">
        <f>IFERROR(__xludf.DUMMYFUNCTION("IF(OR(D335="""",G335=""""),"""",IFERROR(LET(
campo,XLOOKUP(TRIM(G335),ARRAYFORMULA(TRIM('indice columnas'!$A$2:$A$100)),'indice columnas'!$B$2:$B$100,""""),
col,IFERROR(MATCH(campo,Referencia!$A$1:$AZ$1,0),0),
fila,IFERROR(MATCH(TO_TEXT(D335),ARRAYFORMULA"&amp;"(TO_TEXT(Referencia!$A$2:$A6238)),0),0),
IF(OR(campo="""",campo=""-""),""NO APLICA"",
IF(col=0,""REVISAR EQUIVALENCIA"",
IF(fila=0,""SKU NO ENCONTRADO"",
LET(
valor,INDEX(Referencia!$A$2:$AZ6238,fila,col),
IF(TRIM(TO_TEXT(valor))=TRIM(TO_TEXT(I335)),
""OK"&amp;""",
""NO COINCIDE. Valor verdadero: ""&amp;IF(valor="""",""[VACÍO]"",TO_TEXT(valor))
)
))))
),""ERROR EN FÓRMULA""))"),"NO APLICA")</f>
        <v>NO APLICA</v>
      </c>
    </row>
    <row r="336">
      <c r="A336" s="83" t="s">
        <v>4078</v>
      </c>
      <c r="B336" s="83" t="s">
        <v>4079</v>
      </c>
      <c r="C336" s="81" t="s">
        <v>4086</v>
      </c>
      <c r="D336" s="83" t="s">
        <v>4261</v>
      </c>
      <c r="E336" s="81" t="s">
        <v>1032</v>
      </c>
      <c r="F336" s="84">
        <v>194.0</v>
      </c>
      <c r="G336" s="81" t="s">
        <v>12</v>
      </c>
      <c r="H336" s="81" t="s">
        <v>224</v>
      </c>
      <c r="I336" s="81" t="s">
        <v>55</v>
      </c>
      <c r="J336" s="81" t="s">
        <v>224</v>
      </c>
      <c r="K336" s="81" t="str">
        <f>IFERROR(__xludf.DUMMYFUNCTION("IF(OR(D336="""",G336=""""),"""",IFERROR(LET(
campo,XLOOKUP(TRIM(G336),ARRAYFORMULA(TRIM('indice columnas'!$A$2:$A$100)),'indice columnas'!$B$2:$B$100,""""),
col,IFERROR(MATCH(campo,Referencia!$A$1:$AZ$1,0),0),
fila,IFERROR(MATCH(TO_TEXT(D336),ARRAYFORMULA"&amp;"(TO_TEXT(Referencia!$A$2:$A6238)),0),0),
IF(OR(campo="""",campo=""-""),""NO APLICA"",
IF(col=0,""REVISAR EQUIVALENCIA"",
IF(fila=0,""SKU NO ENCONTRADO"",
LET(
valor,INDEX(Referencia!$A$2:$AZ6238,fila,col),
IF(TRIM(TO_TEXT(valor))=TRIM(TO_TEXT(I336)),
""OK"&amp;""",
""NO COINCIDE. Valor verdadero: ""&amp;IF(valor="""",""[VACÍO]"",TO_TEXT(valor))
)
))))
),""ERROR EN FÓRMULA""))"),"OK")</f>
        <v>OK</v>
      </c>
    </row>
    <row r="337">
      <c r="A337" s="83" t="s">
        <v>4078</v>
      </c>
      <c r="B337" s="83" t="s">
        <v>4079</v>
      </c>
      <c r="C337" s="81" t="s">
        <v>4086</v>
      </c>
      <c r="D337" s="83" t="s">
        <v>4261</v>
      </c>
      <c r="E337" s="81" t="s">
        <v>1032</v>
      </c>
      <c r="F337" s="84">
        <v>194.0</v>
      </c>
      <c r="G337" s="81" t="s">
        <v>14</v>
      </c>
      <c r="H337" s="81" t="s">
        <v>4258</v>
      </c>
      <c r="I337" s="81" t="s">
        <v>228</v>
      </c>
      <c r="J337" s="81" t="s">
        <v>224</v>
      </c>
      <c r="K337" s="81" t="str">
        <f>IFERROR(__xludf.DUMMYFUNCTION("IF(OR(D337="""",G337=""""),"""",IFERROR(LET(
campo,XLOOKUP(TRIM(G337),ARRAYFORMULA(TRIM('indice columnas'!$A$2:$A$100)),'indice columnas'!$B$2:$B$100,""""),
col,IFERROR(MATCH(campo,Referencia!$A$1:$AZ$1,0),0),
fila,IFERROR(MATCH(TO_TEXT(D337),ARRAYFORMULA"&amp;"(TO_TEXT(Referencia!$A$2:$A6238)),0),0),
IF(OR(campo="""",campo=""-""),""NO APLICA"",
IF(col=0,""REVISAR EQUIVALENCIA"",
IF(fila=0,""SKU NO ENCONTRADO"",
LET(
valor,INDEX(Referencia!$A$2:$AZ6238,fila,col),
IF(TRIM(TO_TEXT(valor))=TRIM(TO_TEXT(I337)),
""OK"&amp;""",
""NO COINCIDE. Valor verdadero: ""&amp;IF(valor="""",""[VACÍO]"",TO_TEXT(valor))
)
))))
),""ERROR EN FÓRMULA""))"),"NO COINCIDE. Valor verdadero: 220")</f>
        <v>NO COINCIDE. Valor verdadero: 220</v>
      </c>
    </row>
    <row r="338">
      <c r="A338" s="83" t="s">
        <v>4078</v>
      </c>
      <c r="B338" s="83" t="s">
        <v>4079</v>
      </c>
      <c r="C338" s="81" t="s">
        <v>4086</v>
      </c>
      <c r="D338" s="83" t="s">
        <v>4261</v>
      </c>
      <c r="E338" s="81" t="s">
        <v>1032</v>
      </c>
      <c r="F338" s="84">
        <v>194.0</v>
      </c>
      <c r="G338" s="81" t="s">
        <v>29</v>
      </c>
      <c r="H338" s="81" t="s">
        <v>4262</v>
      </c>
      <c r="I338" s="81" t="s">
        <v>1034</v>
      </c>
      <c r="J338" s="81" t="s">
        <v>224</v>
      </c>
      <c r="K338" s="81" t="str">
        <f>IFERROR(__xludf.DUMMYFUNCTION("IF(OR(D338="""",G338=""""),"""",IFERROR(LET(
campo,XLOOKUP(TRIM(G338),ARRAYFORMULA(TRIM('indice columnas'!$A$2:$A$100)),'indice columnas'!$B$2:$B$100,""""),
col,IFERROR(MATCH(campo,Referencia!$A$1:$AZ$1,0),0),
fila,IFERROR(MATCH(TO_TEXT(D338),ARRAYFORMULA"&amp;"(TO_TEXT(Referencia!$A$2:$A6238)),0),0),
IF(OR(campo="""",campo=""-""),""NO APLICA"",
IF(col=0,""REVISAR EQUIVALENCIA"",
IF(fila=0,""SKU NO ENCONTRADO"",
LET(
valor,INDEX(Referencia!$A$2:$AZ6238,fila,col),
IF(TRIM(TO_TEXT(valor))=TRIM(TO_TEXT(I338)),
""OK"&amp;""",
""NO COINCIDE. Valor verdadero: ""&amp;IF(valor="""",""[VACÍO]"",TO_TEXT(valor))
)
))))
),""ERROR EN FÓRMULA""))"),"NO COINCIDE. Valor verdadero: 34 x 17 x 2000 (Ancho x Alto x Largo)")</f>
        <v>NO COINCIDE. Valor verdadero: 34 x 17 x 2000 (Ancho x Alto x Largo)</v>
      </c>
    </row>
    <row r="339">
      <c r="A339" s="83" t="s">
        <v>4078</v>
      </c>
      <c r="B339" s="83" t="s">
        <v>4079</v>
      </c>
      <c r="C339" s="81" t="s">
        <v>4086</v>
      </c>
      <c r="D339" s="83" t="s">
        <v>4261</v>
      </c>
      <c r="E339" s="81" t="s">
        <v>1032</v>
      </c>
      <c r="F339" s="84">
        <v>194.0</v>
      </c>
      <c r="G339" s="81" t="s">
        <v>44</v>
      </c>
      <c r="H339" s="81" t="s">
        <v>224</v>
      </c>
      <c r="I339" s="81" t="s">
        <v>924</v>
      </c>
      <c r="J339" s="81" t="s">
        <v>4088</v>
      </c>
      <c r="K339" s="81" t="str">
        <f>IFERROR(__xludf.DUMMYFUNCTION("IF(OR(D339="""",G339=""""),"""",IFERROR(LET(
campo,XLOOKUP(TRIM(G339),ARRAYFORMULA(TRIM('indice columnas'!$A$2:$A$100)),'indice columnas'!$B$2:$B$100,""""),
col,IFERROR(MATCH(campo,Referencia!$A$1:$AZ$1,0),0),
fila,IFERROR(MATCH(TO_TEXT(D339),ARRAYFORMULA"&amp;"(TO_TEXT(Referencia!$A$2:$A6238)),0),0),
IF(OR(campo="""",campo=""-""),""NO APLICA"",
IF(col=0,""REVISAR EQUIVALENCIA"",
IF(fila=0,""SKU NO ENCONTRADO"",
LET(
valor,INDEX(Referencia!$A$2:$AZ6238,fila,col),
IF(TRIM(TO_TEXT(valor))=TRIM(TO_TEXT(I339)),
""OK"&amp;""",
""NO COINCIDE. Valor verdadero: ""&amp;IF(valor="""",""[VACÍO]"",TO_TEXT(valor))
)
))))
),""ERROR EN FÓRMULA""))"),"NO APLICA")</f>
        <v>NO APLICA</v>
      </c>
    </row>
    <row r="340">
      <c r="A340" s="83" t="s">
        <v>4078</v>
      </c>
      <c r="B340" s="83" t="s">
        <v>4079</v>
      </c>
      <c r="C340" s="81" t="s">
        <v>4086</v>
      </c>
      <c r="D340" s="83" t="s">
        <v>4263</v>
      </c>
      <c r="E340" s="81" t="s">
        <v>1036</v>
      </c>
      <c r="F340" s="84">
        <v>195.0</v>
      </c>
      <c r="G340" s="81" t="s">
        <v>12</v>
      </c>
      <c r="H340" s="81" t="s">
        <v>224</v>
      </c>
      <c r="I340" s="81" t="s">
        <v>55</v>
      </c>
      <c r="J340" s="81" t="s">
        <v>224</v>
      </c>
      <c r="K340" s="81" t="str">
        <f>IFERROR(__xludf.DUMMYFUNCTION("IF(OR(D340="""",G340=""""),"""",IFERROR(LET(
campo,XLOOKUP(TRIM(G340),ARRAYFORMULA(TRIM('indice columnas'!$A$2:$A$100)),'indice columnas'!$B$2:$B$100,""""),
col,IFERROR(MATCH(campo,Referencia!$A$1:$AZ$1,0),0),
fila,IFERROR(MATCH(TO_TEXT(D340),ARRAYFORMULA"&amp;"(TO_TEXT(Referencia!$A$2:$A6238)),0),0),
IF(OR(campo="""",campo=""-""),""NO APLICA"",
IF(col=0,""REVISAR EQUIVALENCIA"",
IF(fila=0,""SKU NO ENCONTRADO"",
LET(
valor,INDEX(Referencia!$A$2:$AZ6238,fila,col),
IF(TRIM(TO_TEXT(valor))=TRIM(TO_TEXT(I340)),
""OK"&amp;""",
""NO COINCIDE. Valor verdadero: ""&amp;IF(valor="""",""[VACÍO]"",TO_TEXT(valor))
)
))))
),""ERROR EN FÓRMULA""))"),"OK")</f>
        <v>OK</v>
      </c>
    </row>
    <row r="341">
      <c r="A341" s="83" t="s">
        <v>4078</v>
      </c>
      <c r="B341" s="83" t="s">
        <v>4079</v>
      </c>
      <c r="C341" s="81" t="s">
        <v>4086</v>
      </c>
      <c r="D341" s="83" t="s">
        <v>4263</v>
      </c>
      <c r="E341" s="81" t="s">
        <v>1036</v>
      </c>
      <c r="F341" s="84">
        <v>195.0</v>
      </c>
      <c r="G341" s="81" t="s">
        <v>14</v>
      </c>
      <c r="H341" s="81" t="s">
        <v>4258</v>
      </c>
      <c r="I341" s="81" t="s">
        <v>228</v>
      </c>
      <c r="J341" s="81" t="s">
        <v>224</v>
      </c>
      <c r="K341" s="81" t="str">
        <f>IFERROR(__xludf.DUMMYFUNCTION("IF(OR(D341="""",G341=""""),"""",IFERROR(LET(
campo,XLOOKUP(TRIM(G341),ARRAYFORMULA(TRIM('indice columnas'!$A$2:$A$100)),'indice columnas'!$B$2:$B$100,""""),
col,IFERROR(MATCH(campo,Referencia!$A$1:$AZ$1,0),0),
fila,IFERROR(MATCH(TO_TEXT(D341),ARRAYFORMULA"&amp;"(TO_TEXT(Referencia!$A$2:$A6238)),0),0),
IF(OR(campo="""",campo=""-""),""NO APLICA"",
IF(col=0,""REVISAR EQUIVALENCIA"",
IF(fila=0,""SKU NO ENCONTRADO"",
LET(
valor,INDEX(Referencia!$A$2:$AZ6238,fila,col),
IF(TRIM(TO_TEXT(valor))=TRIM(TO_TEXT(I341)),
""OK"&amp;""",
""NO COINCIDE. Valor verdadero: ""&amp;IF(valor="""",""[VACÍO]"",TO_TEXT(valor))
)
))))
),""ERROR EN FÓRMULA""))"),"NO COINCIDE. Valor verdadero: 220")</f>
        <v>NO COINCIDE. Valor verdadero: 220</v>
      </c>
    </row>
    <row r="342">
      <c r="A342" s="83" t="s">
        <v>4078</v>
      </c>
      <c r="B342" s="83" t="s">
        <v>4079</v>
      </c>
      <c r="C342" s="81" t="s">
        <v>4086</v>
      </c>
      <c r="D342" s="83" t="s">
        <v>4263</v>
      </c>
      <c r="E342" s="81" t="s">
        <v>1036</v>
      </c>
      <c r="F342" s="84">
        <v>195.0</v>
      </c>
      <c r="G342" s="81" t="s">
        <v>29</v>
      </c>
      <c r="H342" s="81" t="s">
        <v>4262</v>
      </c>
      <c r="I342" s="81" t="s">
        <v>1034</v>
      </c>
      <c r="J342" s="81" t="s">
        <v>224</v>
      </c>
      <c r="K342" s="81" t="str">
        <f>IFERROR(__xludf.DUMMYFUNCTION("IF(OR(D342="""",G342=""""),"""",IFERROR(LET(
campo,XLOOKUP(TRIM(G342),ARRAYFORMULA(TRIM('indice columnas'!$A$2:$A$100)),'indice columnas'!$B$2:$B$100,""""),
col,IFERROR(MATCH(campo,Referencia!$A$1:$AZ$1,0),0),
fila,IFERROR(MATCH(TO_TEXT(D342),ARRAYFORMULA"&amp;"(TO_TEXT(Referencia!$A$2:$A6238)),0),0),
IF(OR(campo="""",campo=""-""),""NO APLICA"",
IF(col=0,""REVISAR EQUIVALENCIA"",
IF(fila=0,""SKU NO ENCONTRADO"",
LET(
valor,INDEX(Referencia!$A$2:$AZ6238,fila,col),
IF(TRIM(TO_TEXT(valor))=TRIM(TO_TEXT(I342)),
""OK"&amp;""",
""NO COINCIDE. Valor verdadero: ""&amp;IF(valor="""",""[VACÍO]"",TO_TEXT(valor))
)
))))
),""ERROR EN FÓRMULA""))"),"NO COINCIDE. Valor verdadero: 34 x 17 x 2000 (Ancho x Alto x Largo)")</f>
        <v>NO COINCIDE. Valor verdadero: 34 x 17 x 2000 (Ancho x Alto x Largo)</v>
      </c>
    </row>
    <row r="343">
      <c r="A343" s="83" t="s">
        <v>4078</v>
      </c>
      <c r="B343" s="83" t="s">
        <v>4079</v>
      </c>
      <c r="C343" s="81" t="s">
        <v>4086</v>
      </c>
      <c r="D343" s="83" t="s">
        <v>4263</v>
      </c>
      <c r="E343" s="81" t="s">
        <v>1036</v>
      </c>
      <c r="F343" s="84">
        <v>195.0</v>
      </c>
      <c r="G343" s="81" t="s">
        <v>44</v>
      </c>
      <c r="H343" s="81" t="s">
        <v>224</v>
      </c>
      <c r="I343" s="81" t="s">
        <v>924</v>
      </c>
      <c r="J343" s="81" t="s">
        <v>4088</v>
      </c>
      <c r="K343" s="81" t="str">
        <f>IFERROR(__xludf.DUMMYFUNCTION("IF(OR(D343="""",G343=""""),"""",IFERROR(LET(
campo,XLOOKUP(TRIM(G343),ARRAYFORMULA(TRIM('indice columnas'!$A$2:$A$100)),'indice columnas'!$B$2:$B$100,""""),
col,IFERROR(MATCH(campo,Referencia!$A$1:$AZ$1,0),0),
fila,IFERROR(MATCH(TO_TEXT(D343),ARRAYFORMULA"&amp;"(TO_TEXT(Referencia!$A$2:$A6238)),0),0),
IF(OR(campo="""",campo=""-""),""NO APLICA"",
IF(col=0,""REVISAR EQUIVALENCIA"",
IF(fila=0,""SKU NO ENCONTRADO"",
LET(
valor,INDEX(Referencia!$A$2:$AZ6238,fila,col),
IF(TRIM(TO_TEXT(valor))=TRIM(TO_TEXT(I343)),
""OK"&amp;""",
""NO COINCIDE. Valor verdadero: ""&amp;IF(valor="""",""[VACÍO]"",TO_TEXT(valor))
)
))))
),""ERROR EN FÓRMULA""))"),"NO APLICA")</f>
        <v>NO APLICA</v>
      </c>
    </row>
    <row r="344">
      <c r="A344" s="83" t="s">
        <v>4078</v>
      </c>
      <c r="B344" s="83" t="s">
        <v>4079</v>
      </c>
      <c r="C344" s="81" t="s">
        <v>4086</v>
      </c>
      <c r="D344" s="83" t="s">
        <v>4264</v>
      </c>
      <c r="E344" s="81" t="s">
        <v>1037</v>
      </c>
      <c r="F344" s="84">
        <v>196.0</v>
      </c>
      <c r="G344" s="81" t="s">
        <v>12</v>
      </c>
      <c r="H344" s="81" t="s">
        <v>224</v>
      </c>
      <c r="I344" s="81" t="s">
        <v>55</v>
      </c>
      <c r="J344" s="81" t="s">
        <v>224</v>
      </c>
      <c r="K344" s="81" t="str">
        <f>IFERROR(__xludf.DUMMYFUNCTION("IF(OR(D344="""",G344=""""),"""",IFERROR(LET(
campo,XLOOKUP(TRIM(G344),ARRAYFORMULA(TRIM('indice columnas'!$A$2:$A$100)),'indice columnas'!$B$2:$B$100,""""),
col,IFERROR(MATCH(campo,Referencia!$A$1:$AZ$1,0),0),
fila,IFERROR(MATCH(TO_TEXT(D344),ARRAYFORMULA"&amp;"(TO_TEXT(Referencia!$A$2:$A6238)),0),0),
IF(OR(campo="""",campo=""-""),""NO APLICA"",
IF(col=0,""REVISAR EQUIVALENCIA"",
IF(fila=0,""SKU NO ENCONTRADO"",
LET(
valor,INDEX(Referencia!$A$2:$AZ6238,fila,col),
IF(TRIM(TO_TEXT(valor))=TRIM(TO_TEXT(I344)),
""OK"&amp;""",
""NO COINCIDE. Valor verdadero: ""&amp;IF(valor="""",""[VACÍO]"",TO_TEXT(valor))
)
))))
),""ERROR EN FÓRMULA""))"),"OK")</f>
        <v>OK</v>
      </c>
    </row>
    <row r="345">
      <c r="A345" s="83" t="s">
        <v>4078</v>
      </c>
      <c r="B345" s="83" t="s">
        <v>4079</v>
      </c>
      <c r="C345" s="81" t="s">
        <v>4086</v>
      </c>
      <c r="D345" s="83" t="s">
        <v>4264</v>
      </c>
      <c r="E345" s="81" t="s">
        <v>1037</v>
      </c>
      <c r="F345" s="84">
        <v>196.0</v>
      </c>
      <c r="G345" s="81" t="s">
        <v>14</v>
      </c>
      <c r="H345" s="81" t="s">
        <v>4258</v>
      </c>
      <c r="I345" s="81" t="s">
        <v>228</v>
      </c>
      <c r="J345" s="81" t="s">
        <v>224</v>
      </c>
      <c r="K345" s="81" t="str">
        <f>IFERROR(__xludf.DUMMYFUNCTION("IF(OR(D345="""",G345=""""),"""",IFERROR(LET(
campo,XLOOKUP(TRIM(G345),ARRAYFORMULA(TRIM('indice columnas'!$A$2:$A$100)),'indice columnas'!$B$2:$B$100,""""),
col,IFERROR(MATCH(campo,Referencia!$A$1:$AZ$1,0),0),
fila,IFERROR(MATCH(TO_TEXT(D345),ARRAYFORMULA"&amp;"(TO_TEXT(Referencia!$A$2:$A6238)),0),0),
IF(OR(campo="""",campo=""-""),""NO APLICA"",
IF(col=0,""REVISAR EQUIVALENCIA"",
IF(fila=0,""SKU NO ENCONTRADO"",
LET(
valor,INDEX(Referencia!$A$2:$AZ6238,fila,col),
IF(TRIM(TO_TEXT(valor))=TRIM(TO_TEXT(I345)),
""OK"&amp;""",
""NO COINCIDE. Valor verdadero: ""&amp;IF(valor="""",""[VACÍO]"",TO_TEXT(valor))
)
))))
),""ERROR EN FÓRMULA""))"),"NO COINCIDE. Valor verdadero: 220")</f>
        <v>NO COINCIDE. Valor verdadero: 220</v>
      </c>
    </row>
    <row r="346">
      <c r="A346" s="83" t="s">
        <v>4078</v>
      </c>
      <c r="B346" s="83" t="s">
        <v>4079</v>
      </c>
      <c r="C346" s="81" t="s">
        <v>4086</v>
      </c>
      <c r="D346" s="83" t="s">
        <v>4264</v>
      </c>
      <c r="E346" s="81" t="s">
        <v>1037</v>
      </c>
      <c r="F346" s="84">
        <v>196.0</v>
      </c>
      <c r="G346" s="81" t="s">
        <v>29</v>
      </c>
      <c r="H346" s="81" t="s">
        <v>4265</v>
      </c>
      <c r="I346" s="81" t="s">
        <v>1039</v>
      </c>
      <c r="J346" s="81" t="s">
        <v>224</v>
      </c>
      <c r="K346" s="81" t="str">
        <f>IFERROR(__xludf.DUMMYFUNCTION("IF(OR(D346="""",G346=""""),"""",IFERROR(LET(
campo,XLOOKUP(TRIM(G346),ARRAYFORMULA(TRIM('indice columnas'!$A$2:$A$100)),'indice columnas'!$B$2:$B$100,""""),
col,IFERROR(MATCH(campo,Referencia!$A$1:$AZ$1,0),0),
fila,IFERROR(MATCH(TO_TEXT(D346),ARRAYFORMULA"&amp;"(TO_TEXT(Referencia!$A$2:$A6238)),0),0),
IF(OR(campo="""",campo=""-""),""NO APLICA"",
IF(col=0,""REVISAR EQUIVALENCIA"",
IF(fila=0,""SKU NO ENCONTRADO"",
LET(
valor,INDEX(Referencia!$A$2:$AZ6238,fila,col),
IF(TRIM(TO_TEXT(valor))=TRIM(TO_TEXT(I346)),
""OK"&amp;""",
""NO COINCIDE. Valor verdadero: ""&amp;IF(valor="""",""[VACÍO]"",TO_TEXT(valor))
)
))))
),""ERROR EN FÓRMULA""))"),"NO COINCIDE. Valor verdadero: 34 x 17 x 1000 (Ancho x Alto x Largo)")</f>
        <v>NO COINCIDE. Valor verdadero: 34 x 17 x 1000 (Ancho x Alto x Largo)</v>
      </c>
    </row>
    <row r="347">
      <c r="A347" s="83" t="s">
        <v>4078</v>
      </c>
      <c r="B347" s="83" t="s">
        <v>4079</v>
      </c>
      <c r="C347" s="81" t="s">
        <v>4086</v>
      </c>
      <c r="D347" s="83" t="s">
        <v>4264</v>
      </c>
      <c r="E347" s="81" t="s">
        <v>1037</v>
      </c>
      <c r="F347" s="84">
        <v>196.0</v>
      </c>
      <c r="G347" s="81" t="s">
        <v>44</v>
      </c>
      <c r="H347" s="81" t="s">
        <v>224</v>
      </c>
      <c r="I347" s="81" t="s">
        <v>924</v>
      </c>
      <c r="J347" s="81" t="s">
        <v>4088</v>
      </c>
      <c r="K347" s="81" t="str">
        <f>IFERROR(__xludf.DUMMYFUNCTION("IF(OR(D347="""",G347=""""),"""",IFERROR(LET(
campo,XLOOKUP(TRIM(G347),ARRAYFORMULA(TRIM('indice columnas'!$A$2:$A$100)),'indice columnas'!$B$2:$B$100,""""),
col,IFERROR(MATCH(campo,Referencia!$A$1:$AZ$1,0),0),
fila,IFERROR(MATCH(TO_TEXT(D347),ARRAYFORMULA"&amp;"(TO_TEXT(Referencia!$A$2:$A6238)),0),0),
IF(OR(campo="""",campo=""-""),""NO APLICA"",
IF(col=0,""REVISAR EQUIVALENCIA"",
IF(fila=0,""SKU NO ENCONTRADO"",
LET(
valor,INDEX(Referencia!$A$2:$AZ6238,fila,col),
IF(TRIM(TO_TEXT(valor))=TRIM(TO_TEXT(I347)),
""OK"&amp;""",
""NO COINCIDE. Valor verdadero: ""&amp;IF(valor="""",""[VACÍO]"",TO_TEXT(valor))
)
))))
),""ERROR EN FÓRMULA""))"),"NO APLICA")</f>
        <v>NO APLICA</v>
      </c>
    </row>
    <row r="348">
      <c r="A348" s="83" t="s">
        <v>4078</v>
      </c>
      <c r="B348" s="83" t="s">
        <v>4079</v>
      </c>
      <c r="C348" s="81" t="s">
        <v>4086</v>
      </c>
      <c r="D348" s="83" t="s">
        <v>4266</v>
      </c>
      <c r="E348" s="81" t="s">
        <v>1041</v>
      </c>
      <c r="F348" s="84">
        <v>197.0</v>
      </c>
      <c r="G348" s="81" t="s">
        <v>12</v>
      </c>
      <c r="H348" s="81" t="s">
        <v>224</v>
      </c>
      <c r="I348" s="81" t="s">
        <v>55</v>
      </c>
      <c r="J348" s="81" t="s">
        <v>224</v>
      </c>
      <c r="K348" s="81" t="str">
        <f>IFERROR(__xludf.DUMMYFUNCTION("IF(OR(D348="""",G348=""""),"""",IFERROR(LET(
campo,XLOOKUP(TRIM(G348),ARRAYFORMULA(TRIM('indice columnas'!$A$2:$A$100)),'indice columnas'!$B$2:$B$100,""""),
col,IFERROR(MATCH(campo,Referencia!$A$1:$AZ$1,0),0),
fila,IFERROR(MATCH(TO_TEXT(D348),ARRAYFORMULA"&amp;"(TO_TEXT(Referencia!$A$2:$A6238)),0),0),
IF(OR(campo="""",campo=""-""),""NO APLICA"",
IF(col=0,""REVISAR EQUIVALENCIA"",
IF(fila=0,""SKU NO ENCONTRADO"",
LET(
valor,INDEX(Referencia!$A$2:$AZ6238,fila,col),
IF(TRIM(TO_TEXT(valor))=TRIM(TO_TEXT(I348)),
""OK"&amp;""",
""NO COINCIDE. Valor verdadero: ""&amp;IF(valor="""",""[VACÍO]"",TO_TEXT(valor))
)
))))
),""ERROR EN FÓRMULA""))"),"OK")</f>
        <v>OK</v>
      </c>
    </row>
    <row r="349">
      <c r="A349" s="83" t="s">
        <v>4078</v>
      </c>
      <c r="B349" s="83" t="s">
        <v>4079</v>
      </c>
      <c r="C349" s="81" t="s">
        <v>4086</v>
      </c>
      <c r="D349" s="83" t="s">
        <v>4266</v>
      </c>
      <c r="E349" s="81" t="s">
        <v>1041</v>
      </c>
      <c r="F349" s="84">
        <v>197.0</v>
      </c>
      <c r="G349" s="81" t="s">
        <v>14</v>
      </c>
      <c r="H349" s="81" t="s">
        <v>4258</v>
      </c>
      <c r="I349" s="81" t="s">
        <v>228</v>
      </c>
      <c r="J349" s="81" t="s">
        <v>224</v>
      </c>
      <c r="K349" s="81" t="str">
        <f>IFERROR(__xludf.DUMMYFUNCTION("IF(OR(D349="""",G349=""""),"""",IFERROR(LET(
campo,XLOOKUP(TRIM(G349),ARRAYFORMULA(TRIM('indice columnas'!$A$2:$A$100)),'indice columnas'!$B$2:$B$100,""""),
col,IFERROR(MATCH(campo,Referencia!$A$1:$AZ$1,0),0),
fila,IFERROR(MATCH(TO_TEXT(D349),ARRAYFORMULA"&amp;"(TO_TEXT(Referencia!$A$2:$A6238)),0),0),
IF(OR(campo="""",campo=""-""),""NO APLICA"",
IF(col=0,""REVISAR EQUIVALENCIA"",
IF(fila=0,""SKU NO ENCONTRADO"",
LET(
valor,INDEX(Referencia!$A$2:$AZ6238,fila,col),
IF(TRIM(TO_TEXT(valor))=TRIM(TO_TEXT(I349)),
""OK"&amp;""",
""NO COINCIDE. Valor verdadero: ""&amp;IF(valor="""",""[VACÍO]"",TO_TEXT(valor))
)
))))
),""ERROR EN FÓRMULA""))"),"NO COINCIDE. Valor verdadero: 220")</f>
        <v>NO COINCIDE. Valor verdadero: 220</v>
      </c>
    </row>
    <row r="350">
      <c r="A350" s="83" t="s">
        <v>4078</v>
      </c>
      <c r="B350" s="83" t="s">
        <v>4079</v>
      </c>
      <c r="C350" s="81" t="s">
        <v>4086</v>
      </c>
      <c r="D350" s="83" t="s">
        <v>4266</v>
      </c>
      <c r="E350" s="81" t="s">
        <v>1041</v>
      </c>
      <c r="F350" s="84">
        <v>197.0</v>
      </c>
      <c r="G350" s="81" t="s">
        <v>29</v>
      </c>
      <c r="H350" s="81" t="s">
        <v>4265</v>
      </c>
      <c r="I350" s="81" t="s">
        <v>1039</v>
      </c>
      <c r="J350" s="81" t="s">
        <v>224</v>
      </c>
      <c r="K350" s="81" t="str">
        <f>IFERROR(__xludf.DUMMYFUNCTION("IF(OR(D350="""",G350=""""),"""",IFERROR(LET(
campo,XLOOKUP(TRIM(G350),ARRAYFORMULA(TRIM('indice columnas'!$A$2:$A$100)),'indice columnas'!$B$2:$B$100,""""),
col,IFERROR(MATCH(campo,Referencia!$A$1:$AZ$1,0),0),
fila,IFERROR(MATCH(TO_TEXT(D350),ARRAYFORMULA"&amp;"(TO_TEXT(Referencia!$A$2:$A6238)),0),0),
IF(OR(campo="""",campo=""-""),""NO APLICA"",
IF(col=0,""REVISAR EQUIVALENCIA"",
IF(fila=0,""SKU NO ENCONTRADO"",
LET(
valor,INDEX(Referencia!$A$2:$AZ6238,fila,col),
IF(TRIM(TO_TEXT(valor))=TRIM(TO_TEXT(I350)),
""OK"&amp;""",
""NO COINCIDE. Valor verdadero: ""&amp;IF(valor="""",""[VACÍO]"",TO_TEXT(valor))
)
))))
),""ERROR EN FÓRMULA""))"),"NO COINCIDE. Valor verdadero: 34 x 17 x 1000 (Ancho x Alto x Largo)")</f>
        <v>NO COINCIDE. Valor verdadero: 34 x 17 x 1000 (Ancho x Alto x Largo)</v>
      </c>
    </row>
    <row r="351">
      <c r="A351" s="83" t="s">
        <v>4078</v>
      </c>
      <c r="B351" s="83" t="s">
        <v>4079</v>
      </c>
      <c r="C351" s="81" t="s">
        <v>4086</v>
      </c>
      <c r="D351" s="83" t="s">
        <v>4266</v>
      </c>
      <c r="E351" s="81" t="s">
        <v>1041</v>
      </c>
      <c r="F351" s="84">
        <v>197.0</v>
      </c>
      <c r="G351" s="81" t="s">
        <v>44</v>
      </c>
      <c r="H351" s="81" t="s">
        <v>224</v>
      </c>
      <c r="I351" s="81" t="s">
        <v>924</v>
      </c>
      <c r="J351" s="81" t="s">
        <v>4088</v>
      </c>
      <c r="K351" s="81" t="str">
        <f>IFERROR(__xludf.DUMMYFUNCTION("IF(OR(D351="""",G351=""""),"""",IFERROR(LET(
campo,XLOOKUP(TRIM(G351),ARRAYFORMULA(TRIM('indice columnas'!$A$2:$A$100)),'indice columnas'!$B$2:$B$100,""""),
col,IFERROR(MATCH(campo,Referencia!$A$1:$AZ$1,0),0),
fila,IFERROR(MATCH(TO_TEXT(D351),ARRAYFORMULA"&amp;"(TO_TEXT(Referencia!$A$2:$A6238)),0),0),
IF(OR(campo="""",campo=""-""),""NO APLICA"",
IF(col=0,""REVISAR EQUIVALENCIA"",
IF(fila=0,""SKU NO ENCONTRADO"",
LET(
valor,INDEX(Referencia!$A$2:$AZ6238,fila,col),
IF(TRIM(TO_TEXT(valor))=TRIM(TO_TEXT(I351)),
""OK"&amp;""",
""NO COINCIDE. Valor verdadero: ""&amp;IF(valor="""",""[VACÍO]"",TO_TEXT(valor))
)
))))
),""ERROR EN FÓRMULA""))"),"NO APLICA")</f>
        <v>NO APLICA</v>
      </c>
    </row>
    <row r="352">
      <c r="A352" s="83" t="s">
        <v>4078</v>
      </c>
      <c r="B352" s="83" t="s">
        <v>4079</v>
      </c>
      <c r="C352" s="81" t="s">
        <v>4086</v>
      </c>
      <c r="D352" s="83" t="s">
        <v>4267</v>
      </c>
      <c r="E352" s="81" t="s">
        <v>1042</v>
      </c>
      <c r="F352" s="84">
        <v>198.0</v>
      </c>
      <c r="G352" s="81" t="s">
        <v>44</v>
      </c>
      <c r="H352" s="81" t="s">
        <v>224</v>
      </c>
      <c r="I352" s="81" t="s">
        <v>1051</v>
      </c>
      <c r="J352" s="81" t="s">
        <v>4088</v>
      </c>
      <c r="K352" s="81" t="str">
        <f>IFERROR(__xludf.DUMMYFUNCTION("IF(OR(D352="""",G352=""""),"""",IFERROR(LET(
campo,XLOOKUP(TRIM(G352),ARRAYFORMULA(TRIM('indice columnas'!$A$2:$A$100)),'indice columnas'!$B$2:$B$100,""""),
col,IFERROR(MATCH(campo,Referencia!$A$1:$AZ$1,0),0),
fila,IFERROR(MATCH(TO_TEXT(D352),ARRAYFORMULA"&amp;"(TO_TEXT(Referencia!$A$2:$A6238)),0),0),
IF(OR(campo="""",campo=""-""),""NO APLICA"",
IF(col=0,""REVISAR EQUIVALENCIA"",
IF(fila=0,""SKU NO ENCONTRADO"",
LET(
valor,INDEX(Referencia!$A$2:$AZ6238,fila,col),
IF(TRIM(TO_TEXT(valor))=TRIM(TO_TEXT(I352)),
""OK"&amp;""",
""NO COINCIDE. Valor verdadero: ""&amp;IF(valor="""",""[VACÍO]"",TO_TEXT(valor))
)
))))
),""ERROR EN FÓRMULA""))"),"NO APLICA")</f>
        <v>NO APLICA</v>
      </c>
    </row>
    <row r="353">
      <c r="A353" s="83" t="s">
        <v>4078</v>
      </c>
      <c r="B353" s="83" t="s">
        <v>4079</v>
      </c>
      <c r="C353" s="81" t="s">
        <v>4086</v>
      </c>
      <c r="D353" s="83" t="s">
        <v>4267</v>
      </c>
      <c r="E353" s="81" t="s">
        <v>1050</v>
      </c>
      <c r="F353" s="84">
        <v>199.0</v>
      </c>
      <c r="G353" s="81" t="s">
        <v>12</v>
      </c>
      <c r="H353" s="81" t="s">
        <v>224</v>
      </c>
      <c r="I353" s="81" t="s">
        <v>55</v>
      </c>
      <c r="J353" s="81" t="s">
        <v>224</v>
      </c>
      <c r="K353" s="81" t="str">
        <f>IFERROR(__xludf.DUMMYFUNCTION("IF(OR(D353="""",G353=""""),"""",IFERROR(LET(
campo,XLOOKUP(TRIM(G353),ARRAYFORMULA(TRIM('indice columnas'!$A$2:$A$100)),'indice columnas'!$B$2:$B$100,""""),
col,IFERROR(MATCH(campo,Referencia!$A$1:$AZ$1,0),0),
fila,IFERROR(MATCH(TO_TEXT(D353),ARRAYFORMULA"&amp;"(TO_TEXT(Referencia!$A$2:$A6238)),0),0),
IF(OR(campo="""",campo=""-""),""NO APLICA"",
IF(col=0,""REVISAR EQUIVALENCIA"",
IF(fila=0,""SKU NO ENCONTRADO"",
LET(
valor,INDEX(Referencia!$A$2:$AZ6238,fila,col),
IF(TRIM(TO_TEXT(valor))=TRIM(TO_TEXT(I353)),
""OK"&amp;""",
""NO COINCIDE. Valor verdadero: ""&amp;IF(valor="""",""[VACÍO]"",TO_TEXT(valor))
)
))))
),""ERROR EN FÓRMULA""))"),"OK")</f>
        <v>OK</v>
      </c>
    </row>
    <row r="354">
      <c r="A354" s="83" t="s">
        <v>4078</v>
      </c>
      <c r="B354" s="83" t="s">
        <v>4079</v>
      </c>
      <c r="C354" s="81" t="s">
        <v>4086</v>
      </c>
      <c r="D354" s="83" t="s">
        <v>4267</v>
      </c>
      <c r="E354" s="81" t="s">
        <v>1050</v>
      </c>
      <c r="F354" s="84">
        <v>199.0</v>
      </c>
      <c r="G354" s="81" t="s">
        <v>44</v>
      </c>
      <c r="H354" s="81" t="s">
        <v>224</v>
      </c>
      <c r="I354" s="81" t="s">
        <v>1051</v>
      </c>
      <c r="J354" s="81" t="s">
        <v>4088</v>
      </c>
      <c r="K354" s="81" t="str">
        <f>IFERROR(__xludf.DUMMYFUNCTION("IF(OR(D354="""",G354=""""),"""",IFERROR(LET(
campo,XLOOKUP(TRIM(G354),ARRAYFORMULA(TRIM('indice columnas'!$A$2:$A$100)),'indice columnas'!$B$2:$B$100,""""),
col,IFERROR(MATCH(campo,Referencia!$A$1:$AZ$1,0),0),
fila,IFERROR(MATCH(TO_TEXT(D354),ARRAYFORMULA"&amp;"(TO_TEXT(Referencia!$A$2:$A6238)),0),0),
IF(OR(campo="""",campo=""-""),""NO APLICA"",
IF(col=0,""REVISAR EQUIVALENCIA"",
IF(fila=0,""SKU NO ENCONTRADO"",
LET(
valor,INDEX(Referencia!$A$2:$AZ6238,fila,col),
IF(TRIM(TO_TEXT(valor))=TRIM(TO_TEXT(I354)),
""OK"&amp;""",
""NO COINCIDE. Valor verdadero: ""&amp;IF(valor="""",""[VACÍO]"",TO_TEXT(valor))
)
))))
),""ERROR EN FÓRMULA""))"),"NO APLICA")</f>
        <v>NO APLICA</v>
      </c>
    </row>
    <row r="355">
      <c r="A355" s="83" t="s">
        <v>4078</v>
      </c>
      <c r="B355" s="83" t="s">
        <v>4079</v>
      </c>
      <c r="C355" s="81" t="s">
        <v>4086</v>
      </c>
      <c r="D355" s="83" t="s">
        <v>4268</v>
      </c>
      <c r="E355" s="81" t="s">
        <v>1052</v>
      </c>
      <c r="F355" s="84">
        <v>200.0</v>
      </c>
      <c r="G355" s="81" t="s">
        <v>12</v>
      </c>
      <c r="H355" s="81" t="s">
        <v>224</v>
      </c>
      <c r="I355" s="81" t="s">
        <v>55</v>
      </c>
      <c r="J355" s="81" t="s">
        <v>224</v>
      </c>
      <c r="K355" s="81" t="str">
        <f>IFERROR(__xludf.DUMMYFUNCTION("IF(OR(D355="""",G355=""""),"""",IFERROR(LET(
campo,XLOOKUP(TRIM(G355),ARRAYFORMULA(TRIM('indice columnas'!$A$2:$A$100)),'indice columnas'!$B$2:$B$100,""""),
col,IFERROR(MATCH(campo,Referencia!$A$1:$AZ$1,0),0),
fila,IFERROR(MATCH(TO_TEXT(D355),ARRAYFORMULA"&amp;"(TO_TEXT(Referencia!$A$2:$A6238)),0),0),
IF(OR(campo="""",campo=""-""),""NO APLICA"",
IF(col=0,""REVISAR EQUIVALENCIA"",
IF(fila=0,""SKU NO ENCONTRADO"",
LET(
valor,INDEX(Referencia!$A$2:$AZ6238,fila,col),
IF(TRIM(TO_TEXT(valor))=TRIM(TO_TEXT(I355)),
""OK"&amp;""",
""NO COINCIDE. Valor verdadero: ""&amp;IF(valor="""",""[VACÍO]"",TO_TEXT(valor))
)
))))
),""ERROR EN FÓRMULA""))"),"OK")</f>
        <v>OK</v>
      </c>
    </row>
    <row r="356">
      <c r="A356" s="83" t="s">
        <v>4078</v>
      </c>
      <c r="B356" s="83" t="s">
        <v>4079</v>
      </c>
      <c r="C356" s="81" t="s">
        <v>4086</v>
      </c>
      <c r="D356" s="83" t="s">
        <v>4268</v>
      </c>
      <c r="E356" s="81" t="s">
        <v>1052</v>
      </c>
      <c r="F356" s="84">
        <v>200.0</v>
      </c>
      <c r="G356" s="81" t="s">
        <v>44</v>
      </c>
      <c r="H356" s="81" t="s">
        <v>224</v>
      </c>
      <c r="I356" s="81" t="s">
        <v>1051</v>
      </c>
      <c r="J356" s="81" t="s">
        <v>4088</v>
      </c>
      <c r="K356" s="81" t="str">
        <f>IFERROR(__xludf.DUMMYFUNCTION("IF(OR(D356="""",G356=""""),"""",IFERROR(LET(
campo,XLOOKUP(TRIM(G356),ARRAYFORMULA(TRIM('indice columnas'!$A$2:$A$100)),'indice columnas'!$B$2:$B$100,""""),
col,IFERROR(MATCH(campo,Referencia!$A$1:$AZ$1,0),0),
fila,IFERROR(MATCH(TO_TEXT(D356),ARRAYFORMULA"&amp;"(TO_TEXT(Referencia!$A$2:$A6238)),0),0),
IF(OR(campo="""",campo=""-""),""NO APLICA"",
IF(col=0,""REVISAR EQUIVALENCIA"",
IF(fila=0,""SKU NO ENCONTRADO"",
LET(
valor,INDEX(Referencia!$A$2:$AZ6238,fila,col),
IF(TRIM(TO_TEXT(valor))=TRIM(TO_TEXT(I356)),
""OK"&amp;""",
""NO COINCIDE. Valor verdadero: ""&amp;IF(valor="""",""[VACÍO]"",TO_TEXT(valor))
)
))))
),""ERROR EN FÓRMULA""))"),"NO APLICA")</f>
        <v>NO APLICA</v>
      </c>
    </row>
    <row r="357">
      <c r="A357" s="83" t="s">
        <v>4078</v>
      </c>
      <c r="B357" s="83" t="s">
        <v>4079</v>
      </c>
      <c r="C357" s="81" t="s">
        <v>4086</v>
      </c>
      <c r="D357" s="83" t="s">
        <v>4269</v>
      </c>
      <c r="E357" s="81" t="s">
        <v>1055</v>
      </c>
      <c r="F357" s="84">
        <v>201.0</v>
      </c>
      <c r="G357" s="81" t="s">
        <v>44</v>
      </c>
      <c r="H357" s="81" t="s">
        <v>224</v>
      </c>
      <c r="I357" s="81" t="s">
        <v>1051</v>
      </c>
      <c r="J357" s="81" t="s">
        <v>4088</v>
      </c>
      <c r="K357" s="81" t="str">
        <f>IFERROR(__xludf.DUMMYFUNCTION("IF(OR(D357="""",G357=""""),"""",IFERROR(LET(
campo,XLOOKUP(TRIM(G357),ARRAYFORMULA(TRIM('indice columnas'!$A$2:$A$100)),'indice columnas'!$B$2:$B$100,""""),
col,IFERROR(MATCH(campo,Referencia!$A$1:$AZ$1,0),0),
fila,IFERROR(MATCH(TO_TEXT(D357),ARRAYFORMULA"&amp;"(TO_TEXT(Referencia!$A$2:$A6238)),0),0),
IF(OR(campo="""",campo=""-""),""NO APLICA"",
IF(col=0,""REVISAR EQUIVALENCIA"",
IF(fila=0,""SKU NO ENCONTRADO"",
LET(
valor,INDEX(Referencia!$A$2:$AZ6238,fila,col),
IF(TRIM(TO_TEXT(valor))=TRIM(TO_TEXT(I357)),
""OK"&amp;""",
""NO COINCIDE. Valor verdadero: ""&amp;IF(valor="""",""[VACÍO]"",TO_TEXT(valor))
)
))))
),""ERROR EN FÓRMULA""))"),"NO APLICA")</f>
        <v>NO APLICA</v>
      </c>
    </row>
    <row r="358">
      <c r="A358" s="83" t="s">
        <v>4078</v>
      </c>
      <c r="B358" s="83" t="s">
        <v>4079</v>
      </c>
      <c r="C358" s="81" t="s">
        <v>4086</v>
      </c>
      <c r="D358" s="83" t="s">
        <v>4269</v>
      </c>
      <c r="E358" s="81" t="s">
        <v>1060</v>
      </c>
      <c r="F358" s="84">
        <v>202.0</v>
      </c>
      <c r="G358" s="81" t="s">
        <v>12</v>
      </c>
      <c r="H358" s="81" t="s">
        <v>224</v>
      </c>
      <c r="I358" s="81" t="s">
        <v>55</v>
      </c>
      <c r="J358" s="81" t="s">
        <v>224</v>
      </c>
      <c r="K358" s="81" t="str">
        <f>IFERROR(__xludf.DUMMYFUNCTION("IF(OR(D358="""",G358=""""),"""",IFERROR(LET(
campo,XLOOKUP(TRIM(G358),ARRAYFORMULA(TRIM('indice columnas'!$A$2:$A$100)),'indice columnas'!$B$2:$B$100,""""),
col,IFERROR(MATCH(campo,Referencia!$A$1:$AZ$1,0),0),
fila,IFERROR(MATCH(TO_TEXT(D358),ARRAYFORMULA"&amp;"(TO_TEXT(Referencia!$A$2:$A6238)),0),0),
IF(OR(campo="""",campo=""-""),""NO APLICA"",
IF(col=0,""REVISAR EQUIVALENCIA"",
IF(fila=0,""SKU NO ENCONTRADO"",
LET(
valor,INDEX(Referencia!$A$2:$AZ6238,fila,col),
IF(TRIM(TO_TEXT(valor))=TRIM(TO_TEXT(I358)),
""OK"&amp;""",
""NO COINCIDE. Valor verdadero: ""&amp;IF(valor="""",""[VACÍO]"",TO_TEXT(valor))
)
))))
),""ERROR EN FÓRMULA""))"),"OK")</f>
        <v>OK</v>
      </c>
    </row>
    <row r="359">
      <c r="A359" s="83" t="s">
        <v>4078</v>
      </c>
      <c r="B359" s="83" t="s">
        <v>4079</v>
      </c>
      <c r="C359" s="81" t="s">
        <v>4086</v>
      </c>
      <c r="D359" s="83" t="s">
        <v>4269</v>
      </c>
      <c r="E359" s="81" t="s">
        <v>1060</v>
      </c>
      <c r="F359" s="84">
        <v>202.0</v>
      </c>
      <c r="G359" s="81" t="s">
        <v>29</v>
      </c>
      <c r="H359" s="81" t="s">
        <v>1056</v>
      </c>
      <c r="I359" s="81" t="s">
        <v>1061</v>
      </c>
      <c r="J359" s="81" t="s">
        <v>224</v>
      </c>
      <c r="K359" s="81" t="str">
        <f>IFERROR(__xludf.DUMMYFUNCTION("IF(OR(D359="""",G359=""""),"""",IFERROR(LET(
campo,XLOOKUP(TRIM(G359),ARRAYFORMULA(TRIM('indice columnas'!$A$2:$A$100)),'indice columnas'!$B$2:$B$100,""""),
col,IFERROR(MATCH(campo,Referencia!$A$1:$AZ$1,0),0),
fila,IFERROR(MATCH(TO_TEXT(D359),ARRAYFORMULA"&amp;"(TO_TEXT(Referencia!$A$2:$A6238)),0),0),
IF(OR(campo="""",campo=""-""),""NO APLICA"",
IF(col=0,""REVISAR EQUIVALENCIA"",
IF(fila=0,""SKU NO ENCONTRADO"",
LET(
valor,INDEX(Referencia!$A$2:$AZ6238,fila,col),
IF(TRIM(TO_TEXT(valor))=TRIM(TO_TEXT(I359)),
""OK"&amp;""",
""NO COINCIDE. Valor verdadero: ""&amp;IF(valor="""",""[VACÍO]"",TO_TEXT(valor))
)
))))
),""ERROR EN FÓRMULA""))"),"NO COINCIDE. Valor verdadero: 30 x 32x 32")</f>
        <v>NO COINCIDE. Valor verdadero: 30 x 32x 32</v>
      </c>
    </row>
    <row r="360">
      <c r="A360" s="83" t="s">
        <v>4078</v>
      </c>
      <c r="B360" s="83" t="s">
        <v>4079</v>
      </c>
      <c r="C360" s="81" t="s">
        <v>4086</v>
      </c>
      <c r="D360" s="83" t="s">
        <v>4269</v>
      </c>
      <c r="E360" s="81" t="s">
        <v>1060</v>
      </c>
      <c r="F360" s="84">
        <v>202.0</v>
      </c>
      <c r="G360" s="81" t="s">
        <v>44</v>
      </c>
      <c r="H360" s="81" t="s">
        <v>224</v>
      </c>
      <c r="I360" s="81" t="s">
        <v>1051</v>
      </c>
      <c r="J360" s="81" t="s">
        <v>4088</v>
      </c>
      <c r="K360" s="81" t="str">
        <f>IFERROR(__xludf.DUMMYFUNCTION("IF(OR(D360="""",G360=""""),"""",IFERROR(LET(
campo,XLOOKUP(TRIM(G360),ARRAYFORMULA(TRIM('indice columnas'!$A$2:$A$100)),'indice columnas'!$B$2:$B$100,""""),
col,IFERROR(MATCH(campo,Referencia!$A$1:$AZ$1,0),0),
fila,IFERROR(MATCH(TO_TEXT(D360),ARRAYFORMULA"&amp;"(TO_TEXT(Referencia!$A$2:$A6238)),0),0),
IF(OR(campo="""",campo=""-""),""NO APLICA"",
IF(col=0,""REVISAR EQUIVALENCIA"",
IF(fila=0,""SKU NO ENCONTRADO"",
LET(
valor,INDEX(Referencia!$A$2:$AZ6238,fila,col),
IF(TRIM(TO_TEXT(valor))=TRIM(TO_TEXT(I360)),
""OK"&amp;""",
""NO COINCIDE. Valor verdadero: ""&amp;IF(valor="""",""[VACÍO]"",TO_TEXT(valor))
)
))))
),""ERROR EN FÓRMULA""))"),"NO APLICA")</f>
        <v>NO APLICA</v>
      </c>
    </row>
    <row r="361">
      <c r="A361" s="83" t="s">
        <v>4078</v>
      </c>
      <c r="B361" s="83" t="s">
        <v>4079</v>
      </c>
      <c r="C361" s="81" t="s">
        <v>4086</v>
      </c>
      <c r="D361" s="83" t="s">
        <v>4270</v>
      </c>
      <c r="E361" s="81" t="s">
        <v>1062</v>
      </c>
      <c r="F361" s="84">
        <v>203.0</v>
      </c>
      <c r="G361" s="81" t="s">
        <v>12</v>
      </c>
      <c r="H361" s="81" t="s">
        <v>224</v>
      </c>
      <c r="I361" s="81" t="s">
        <v>55</v>
      </c>
      <c r="J361" s="81" t="s">
        <v>224</v>
      </c>
      <c r="K361" s="81" t="str">
        <f>IFERROR(__xludf.DUMMYFUNCTION("IF(OR(D361="""",G361=""""),"""",IFERROR(LET(
campo,XLOOKUP(TRIM(G361),ARRAYFORMULA(TRIM('indice columnas'!$A$2:$A$100)),'indice columnas'!$B$2:$B$100,""""),
col,IFERROR(MATCH(campo,Referencia!$A$1:$AZ$1,0),0),
fila,IFERROR(MATCH(TO_TEXT(D361),ARRAYFORMULA"&amp;"(TO_TEXT(Referencia!$A$2:$A6238)),0),0),
IF(OR(campo="""",campo=""-""),""NO APLICA"",
IF(col=0,""REVISAR EQUIVALENCIA"",
IF(fila=0,""SKU NO ENCONTRADO"",
LET(
valor,INDEX(Referencia!$A$2:$AZ6238,fila,col),
IF(TRIM(TO_TEXT(valor))=TRIM(TO_TEXT(I361)),
""OK"&amp;""",
""NO COINCIDE. Valor verdadero: ""&amp;IF(valor="""",""[VACÍO]"",TO_TEXT(valor))
)
))))
),""ERROR EN FÓRMULA""))"),"OK")</f>
        <v>OK</v>
      </c>
    </row>
    <row r="362">
      <c r="A362" s="83" t="s">
        <v>4078</v>
      </c>
      <c r="B362" s="83" t="s">
        <v>4079</v>
      </c>
      <c r="C362" s="81" t="s">
        <v>4086</v>
      </c>
      <c r="D362" s="83" t="s">
        <v>4270</v>
      </c>
      <c r="E362" s="81" t="s">
        <v>1062</v>
      </c>
      <c r="F362" s="84">
        <v>203.0</v>
      </c>
      <c r="G362" s="81" t="s">
        <v>29</v>
      </c>
      <c r="H362" s="81" t="s">
        <v>1056</v>
      </c>
      <c r="I362" s="81" t="s">
        <v>1061</v>
      </c>
      <c r="J362" s="81" t="s">
        <v>224</v>
      </c>
      <c r="K362" s="81" t="str">
        <f>IFERROR(__xludf.DUMMYFUNCTION("IF(OR(D362="""",G362=""""),"""",IFERROR(LET(
campo,XLOOKUP(TRIM(G362),ARRAYFORMULA(TRIM('indice columnas'!$A$2:$A$100)),'indice columnas'!$B$2:$B$100,""""),
col,IFERROR(MATCH(campo,Referencia!$A$1:$AZ$1,0),0),
fila,IFERROR(MATCH(TO_TEXT(D362),ARRAYFORMULA"&amp;"(TO_TEXT(Referencia!$A$2:$A6238)),0),0),
IF(OR(campo="""",campo=""-""),""NO APLICA"",
IF(col=0,""REVISAR EQUIVALENCIA"",
IF(fila=0,""SKU NO ENCONTRADO"",
LET(
valor,INDEX(Referencia!$A$2:$AZ6238,fila,col),
IF(TRIM(TO_TEXT(valor))=TRIM(TO_TEXT(I362)),
""OK"&amp;""",
""NO COINCIDE. Valor verdadero: ""&amp;IF(valor="""",""[VACÍO]"",TO_TEXT(valor))
)
))))
),""ERROR EN FÓRMULA""))"),"NO COINCIDE. Valor verdadero: 30 x 32x 32")</f>
        <v>NO COINCIDE. Valor verdadero: 30 x 32x 32</v>
      </c>
    </row>
    <row r="363">
      <c r="A363" s="83" t="s">
        <v>4078</v>
      </c>
      <c r="B363" s="83" t="s">
        <v>4079</v>
      </c>
      <c r="C363" s="81" t="s">
        <v>4086</v>
      </c>
      <c r="D363" s="83" t="s">
        <v>4270</v>
      </c>
      <c r="E363" s="81" t="s">
        <v>1062</v>
      </c>
      <c r="F363" s="84">
        <v>203.0</v>
      </c>
      <c r="G363" s="81" t="s">
        <v>44</v>
      </c>
      <c r="H363" s="81" t="s">
        <v>224</v>
      </c>
      <c r="I363" s="81" t="s">
        <v>1051</v>
      </c>
      <c r="J363" s="81" t="s">
        <v>4088</v>
      </c>
      <c r="K363" s="81" t="str">
        <f>IFERROR(__xludf.DUMMYFUNCTION("IF(OR(D363="""",G363=""""),"""",IFERROR(LET(
campo,XLOOKUP(TRIM(G363),ARRAYFORMULA(TRIM('indice columnas'!$A$2:$A$100)),'indice columnas'!$B$2:$B$100,""""),
col,IFERROR(MATCH(campo,Referencia!$A$1:$AZ$1,0),0),
fila,IFERROR(MATCH(TO_TEXT(D363),ARRAYFORMULA"&amp;"(TO_TEXT(Referencia!$A$2:$A6238)),0),0),
IF(OR(campo="""",campo=""-""),""NO APLICA"",
IF(col=0,""REVISAR EQUIVALENCIA"",
IF(fila=0,""SKU NO ENCONTRADO"",
LET(
valor,INDEX(Referencia!$A$2:$AZ6238,fila,col),
IF(TRIM(TO_TEXT(valor))=TRIM(TO_TEXT(I363)),
""OK"&amp;""",
""NO COINCIDE. Valor verdadero: ""&amp;IF(valor="""",""[VACÍO]"",TO_TEXT(valor))
)
))))
),""ERROR EN FÓRMULA""))"),"NO APLICA")</f>
        <v>NO APLICA</v>
      </c>
    </row>
    <row r="364">
      <c r="A364" s="83" t="s">
        <v>4078</v>
      </c>
      <c r="B364" s="83" t="s">
        <v>4079</v>
      </c>
      <c r="C364" s="81" t="s">
        <v>4086</v>
      </c>
      <c r="D364" s="83" t="s">
        <v>4271</v>
      </c>
      <c r="E364" s="81" t="s">
        <v>1065</v>
      </c>
      <c r="F364" s="84">
        <v>204.0</v>
      </c>
      <c r="G364" s="81" t="s">
        <v>44</v>
      </c>
      <c r="H364" s="81" t="s">
        <v>224</v>
      </c>
      <c r="I364" s="81" t="s">
        <v>1051</v>
      </c>
      <c r="J364" s="81" t="s">
        <v>4088</v>
      </c>
      <c r="K364" s="81" t="str">
        <f>IFERROR(__xludf.DUMMYFUNCTION("IF(OR(D364="""",G364=""""),"""",IFERROR(LET(
campo,XLOOKUP(TRIM(G364),ARRAYFORMULA(TRIM('indice columnas'!$A$2:$A$100)),'indice columnas'!$B$2:$B$100,""""),
col,IFERROR(MATCH(campo,Referencia!$A$1:$AZ$1,0),0),
fila,IFERROR(MATCH(TO_TEXT(D364),ARRAYFORMULA"&amp;"(TO_TEXT(Referencia!$A$2:$A6238)),0),0),
IF(OR(campo="""",campo=""-""),""NO APLICA"",
IF(col=0,""REVISAR EQUIVALENCIA"",
IF(fila=0,""SKU NO ENCONTRADO"",
LET(
valor,INDEX(Referencia!$A$2:$AZ6238,fila,col),
IF(TRIM(TO_TEXT(valor))=TRIM(TO_TEXT(I364)),
""OK"&amp;""",
""NO COINCIDE. Valor verdadero: ""&amp;IF(valor="""",""[VACÍO]"",TO_TEXT(valor))
)
))))
),""ERROR EN FÓRMULA""))"),"NO APLICA")</f>
        <v>NO APLICA</v>
      </c>
    </row>
    <row r="365">
      <c r="A365" s="83" t="s">
        <v>4078</v>
      </c>
      <c r="B365" s="83" t="s">
        <v>4079</v>
      </c>
      <c r="C365" s="81" t="s">
        <v>4086</v>
      </c>
      <c r="D365" s="83" t="s">
        <v>4271</v>
      </c>
      <c r="E365" s="81" t="s">
        <v>1069</v>
      </c>
      <c r="F365" s="84">
        <v>205.0</v>
      </c>
      <c r="G365" s="81" t="s">
        <v>12</v>
      </c>
      <c r="H365" s="81" t="s">
        <v>224</v>
      </c>
      <c r="I365" s="81" t="s">
        <v>55</v>
      </c>
      <c r="J365" s="81" t="s">
        <v>224</v>
      </c>
      <c r="K365" s="81" t="str">
        <f>IFERROR(__xludf.DUMMYFUNCTION("IF(OR(D365="""",G365=""""),"""",IFERROR(LET(
campo,XLOOKUP(TRIM(G365),ARRAYFORMULA(TRIM('indice columnas'!$A$2:$A$100)),'indice columnas'!$B$2:$B$100,""""),
col,IFERROR(MATCH(campo,Referencia!$A$1:$AZ$1,0),0),
fila,IFERROR(MATCH(TO_TEXT(D365),ARRAYFORMULA"&amp;"(TO_TEXT(Referencia!$A$2:$A6238)),0),0),
IF(OR(campo="""",campo=""-""),""NO APLICA"",
IF(col=0,""REVISAR EQUIVALENCIA"",
IF(fila=0,""SKU NO ENCONTRADO"",
LET(
valor,INDEX(Referencia!$A$2:$AZ6238,fila,col),
IF(TRIM(TO_TEXT(valor))=TRIM(TO_TEXT(I365)),
""OK"&amp;""",
""NO COINCIDE. Valor verdadero: ""&amp;IF(valor="""",""[VACÍO]"",TO_TEXT(valor))
)
))))
),""ERROR EN FÓRMULA""))"),"OK")</f>
        <v>OK</v>
      </c>
    </row>
    <row r="366">
      <c r="A366" s="83" t="s">
        <v>4078</v>
      </c>
      <c r="B366" s="83" t="s">
        <v>4079</v>
      </c>
      <c r="C366" s="81" t="s">
        <v>4086</v>
      </c>
      <c r="D366" s="83" t="s">
        <v>4271</v>
      </c>
      <c r="E366" s="81" t="s">
        <v>1069</v>
      </c>
      <c r="F366" s="84">
        <v>205.0</v>
      </c>
      <c r="G366" s="81" t="s">
        <v>44</v>
      </c>
      <c r="H366" s="81" t="s">
        <v>224</v>
      </c>
      <c r="I366" s="81" t="s">
        <v>1051</v>
      </c>
      <c r="J366" s="81" t="s">
        <v>4088</v>
      </c>
      <c r="K366" s="81" t="str">
        <f>IFERROR(__xludf.DUMMYFUNCTION("IF(OR(D366="""",G366=""""),"""",IFERROR(LET(
campo,XLOOKUP(TRIM(G366),ARRAYFORMULA(TRIM('indice columnas'!$A$2:$A$100)),'indice columnas'!$B$2:$B$100,""""),
col,IFERROR(MATCH(campo,Referencia!$A$1:$AZ$1,0),0),
fila,IFERROR(MATCH(TO_TEXT(D366),ARRAYFORMULA"&amp;"(TO_TEXT(Referencia!$A$2:$A6238)),0),0),
IF(OR(campo="""",campo=""-""),""NO APLICA"",
IF(col=0,""REVISAR EQUIVALENCIA"",
IF(fila=0,""SKU NO ENCONTRADO"",
LET(
valor,INDEX(Referencia!$A$2:$AZ6238,fila,col),
IF(TRIM(TO_TEXT(valor))=TRIM(TO_TEXT(I366)),
""OK"&amp;""",
""NO COINCIDE. Valor verdadero: ""&amp;IF(valor="""",""[VACÍO]"",TO_TEXT(valor))
)
))))
),""ERROR EN FÓRMULA""))"),"NO APLICA")</f>
        <v>NO APLICA</v>
      </c>
    </row>
    <row r="367">
      <c r="A367" s="83" t="s">
        <v>4078</v>
      </c>
      <c r="B367" s="83" t="s">
        <v>4079</v>
      </c>
      <c r="C367" s="81" t="s">
        <v>4086</v>
      </c>
      <c r="D367" s="83" t="s">
        <v>4272</v>
      </c>
      <c r="E367" s="81" t="s">
        <v>1070</v>
      </c>
      <c r="F367" s="84">
        <v>206.0</v>
      </c>
      <c r="G367" s="81" t="s">
        <v>12</v>
      </c>
      <c r="H367" s="81" t="s">
        <v>224</v>
      </c>
      <c r="I367" s="81" t="s">
        <v>55</v>
      </c>
      <c r="J367" s="81" t="s">
        <v>224</v>
      </c>
      <c r="K367" s="81" t="str">
        <f>IFERROR(__xludf.DUMMYFUNCTION("IF(OR(D367="""",G367=""""),"""",IFERROR(LET(
campo,XLOOKUP(TRIM(G367),ARRAYFORMULA(TRIM('indice columnas'!$A$2:$A$100)),'indice columnas'!$B$2:$B$100,""""),
col,IFERROR(MATCH(campo,Referencia!$A$1:$AZ$1,0),0),
fila,IFERROR(MATCH(TO_TEXT(D367),ARRAYFORMULA"&amp;"(TO_TEXT(Referencia!$A$2:$A6238)),0),0),
IF(OR(campo="""",campo=""-""),""NO APLICA"",
IF(col=0,""REVISAR EQUIVALENCIA"",
IF(fila=0,""SKU NO ENCONTRADO"",
LET(
valor,INDEX(Referencia!$A$2:$AZ6238,fila,col),
IF(TRIM(TO_TEXT(valor))=TRIM(TO_TEXT(I367)),
""OK"&amp;""",
""NO COINCIDE. Valor verdadero: ""&amp;IF(valor="""",""[VACÍO]"",TO_TEXT(valor))
)
))))
),""ERROR EN FÓRMULA""))"),"OK")</f>
        <v>OK</v>
      </c>
    </row>
    <row r="368">
      <c r="A368" s="83" t="s">
        <v>4078</v>
      </c>
      <c r="B368" s="83" t="s">
        <v>4079</v>
      </c>
      <c r="C368" s="81" t="s">
        <v>4086</v>
      </c>
      <c r="D368" s="83" t="s">
        <v>4272</v>
      </c>
      <c r="E368" s="81" t="s">
        <v>1070</v>
      </c>
      <c r="F368" s="84">
        <v>206.0</v>
      </c>
      <c r="G368" s="81" t="s">
        <v>44</v>
      </c>
      <c r="H368" s="81" t="s">
        <v>224</v>
      </c>
      <c r="I368" s="81" t="s">
        <v>1051</v>
      </c>
      <c r="J368" s="81" t="s">
        <v>4088</v>
      </c>
      <c r="K368" s="81" t="str">
        <f>IFERROR(__xludf.DUMMYFUNCTION("IF(OR(D368="""",G368=""""),"""",IFERROR(LET(
campo,XLOOKUP(TRIM(G368),ARRAYFORMULA(TRIM('indice columnas'!$A$2:$A$100)),'indice columnas'!$B$2:$B$100,""""),
col,IFERROR(MATCH(campo,Referencia!$A$1:$AZ$1,0),0),
fila,IFERROR(MATCH(TO_TEXT(D368),ARRAYFORMULA"&amp;"(TO_TEXT(Referencia!$A$2:$A6238)),0),0),
IF(OR(campo="""",campo=""-""),""NO APLICA"",
IF(col=0,""REVISAR EQUIVALENCIA"",
IF(fila=0,""SKU NO ENCONTRADO"",
LET(
valor,INDEX(Referencia!$A$2:$AZ6238,fila,col),
IF(TRIM(TO_TEXT(valor))=TRIM(TO_TEXT(I368)),
""OK"&amp;""",
""NO COINCIDE. Valor verdadero: ""&amp;IF(valor="""",""[VACÍO]"",TO_TEXT(valor))
)
))))
),""ERROR EN FÓRMULA""))"),"NO APLICA")</f>
        <v>NO APLICA</v>
      </c>
    </row>
    <row r="369">
      <c r="A369" s="83" t="s">
        <v>4078</v>
      </c>
      <c r="B369" s="83" t="s">
        <v>4079</v>
      </c>
      <c r="C369" s="81" t="s">
        <v>4086</v>
      </c>
      <c r="D369" s="83" t="s">
        <v>4273</v>
      </c>
      <c r="E369" s="81" t="s">
        <v>1073</v>
      </c>
      <c r="F369" s="84">
        <v>207.0</v>
      </c>
      <c r="G369" s="81" t="s">
        <v>44</v>
      </c>
      <c r="H369" s="81" t="s">
        <v>224</v>
      </c>
      <c r="I369" s="81" t="s">
        <v>1051</v>
      </c>
      <c r="J369" s="81" t="s">
        <v>4088</v>
      </c>
      <c r="K369" s="81" t="str">
        <f>IFERROR(__xludf.DUMMYFUNCTION("IF(OR(D369="""",G369=""""),"""",IFERROR(LET(
campo,XLOOKUP(TRIM(G369),ARRAYFORMULA(TRIM('indice columnas'!$A$2:$A$100)),'indice columnas'!$B$2:$B$100,""""),
col,IFERROR(MATCH(campo,Referencia!$A$1:$AZ$1,0),0),
fila,IFERROR(MATCH(TO_TEXT(D369),ARRAYFORMULA"&amp;"(TO_TEXT(Referencia!$A$2:$A6238)),0),0),
IF(OR(campo="""",campo=""-""),""NO APLICA"",
IF(col=0,""REVISAR EQUIVALENCIA"",
IF(fila=0,""SKU NO ENCONTRADO"",
LET(
valor,INDEX(Referencia!$A$2:$AZ6238,fila,col),
IF(TRIM(TO_TEXT(valor))=TRIM(TO_TEXT(I369)),
""OK"&amp;""",
""NO COINCIDE. Valor verdadero: ""&amp;IF(valor="""",""[VACÍO]"",TO_TEXT(valor))
)
))))
),""ERROR EN FÓRMULA""))"),"NO APLICA")</f>
        <v>NO APLICA</v>
      </c>
    </row>
    <row r="370">
      <c r="A370" s="83" t="s">
        <v>4078</v>
      </c>
      <c r="B370" s="83" t="s">
        <v>4079</v>
      </c>
      <c r="C370" s="81" t="s">
        <v>4086</v>
      </c>
      <c r="D370" s="83" t="s">
        <v>4273</v>
      </c>
      <c r="E370" s="81" t="s">
        <v>1079</v>
      </c>
      <c r="F370" s="84">
        <v>208.0</v>
      </c>
      <c r="G370" s="81" t="s">
        <v>12</v>
      </c>
      <c r="H370" s="81" t="s">
        <v>224</v>
      </c>
      <c r="I370" s="81" t="s">
        <v>55</v>
      </c>
      <c r="J370" s="81" t="s">
        <v>224</v>
      </c>
      <c r="K370" s="81" t="str">
        <f>IFERROR(__xludf.DUMMYFUNCTION("IF(OR(D370="""",G370=""""),"""",IFERROR(LET(
campo,XLOOKUP(TRIM(G370),ARRAYFORMULA(TRIM('indice columnas'!$A$2:$A$100)),'indice columnas'!$B$2:$B$100,""""),
col,IFERROR(MATCH(campo,Referencia!$A$1:$AZ$1,0),0),
fila,IFERROR(MATCH(TO_TEXT(D370),ARRAYFORMULA"&amp;"(TO_TEXT(Referencia!$A$2:$A6238)),0),0),
IF(OR(campo="""",campo=""-""),""NO APLICA"",
IF(col=0,""REVISAR EQUIVALENCIA"",
IF(fila=0,""SKU NO ENCONTRADO"",
LET(
valor,INDEX(Referencia!$A$2:$AZ6238,fila,col),
IF(TRIM(TO_TEXT(valor))=TRIM(TO_TEXT(I370)),
""OK"&amp;""",
""NO COINCIDE. Valor verdadero: ""&amp;IF(valor="""",""[VACÍO]"",TO_TEXT(valor))
)
))))
),""ERROR EN FÓRMULA""))"),"OK")</f>
        <v>OK</v>
      </c>
    </row>
    <row r="371">
      <c r="A371" s="83" t="s">
        <v>4078</v>
      </c>
      <c r="B371" s="83" t="s">
        <v>4079</v>
      </c>
      <c r="C371" s="81" t="s">
        <v>4086</v>
      </c>
      <c r="D371" s="83" t="s">
        <v>4273</v>
      </c>
      <c r="E371" s="81" t="s">
        <v>1079</v>
      </c>
      <c r="F371" s="84">
        <v>208.0</v>
      </c>
      <c r="G371" s="81" t="s">
        <v>44</v>
      </c>
      <c r="H371" s="81" t="s">
        <v>224</v>
      </c>
      <c r="I371" s="81" t="s">
        <v>1051</v>
      </c>
      <c r="J371" s="81" t="s">
        <v>4088</v>
      </c>
      <c r="K371" s="81" t="str">
        <f>IFERROR(__xludf.DUMMYFUNCTION("IF(OR(D371="""",G371=""""),"""",IFERROR(LET(
campo,XLOOKUP(TRIM(G371),ARRAYFORMULA(TRIM('indice columnas'!$A$2:$A$100)),'indice columnas'!$B$2:$B$100,""""),
col,IFERROR(MATCH(campo,Referencia!$A$1:$AZ$1,0),0),
fila,IFERROR(MATCH(TO_TEXT(D371),ARRAYFORMULA"&amp;"(TO_TEXT(Referencia!$A$2:$A6238)),0),0),
IF(OR(campo="""",campo=""-""),""NO APLICA"",
IF(col=0,""REVISAR EQUIVALENCIA"",
IF(fila=0,""SKU NO ENCONTRADO"",
LET(
valor,INDEX(Referencia!$A$2:$AZ6238,fila,col),
IF(TRIM(TO_TEXT(valor))=TRIM(TO_TEXT(I371)),
""OK"&amp;""",
""NO COINCIDE. Valor verdadero: ""&amp;IF(valor="""",""[VACÍO]"",TO_TEXT(valor))
)
))))
),""ERROR EN FÓRMULA""))"),"NO APLICA")</f>
        <v>NO APLICA</v>
      </c>
    </row>
    <row r="372">
      <c r="A372" s="83" t="s">
        <v>4078</v>
      </c>
      <c r="B372" s="83" t="s">
        <v>4079</v>
      </c>
      <c r="C372" s="81" t="s">
        <v>4086</v>
      </c>
      <c r="D372" s="83" t="s">
        <v>4274</v>
      </c>
      <c r="E372" s="81" t="s">
        <v>1080</v>
      </c>
      <c r="F372" s="84">
        <v>209.0</v>
      </c>
      <c r="G372" s="81" t="s">
        <v>12</v>
      </c>
      <c r="H372" s="81" t="s">
        <v>224</v>
      </c>
      <c r="I372" s="81" t="s">
        <v>55</v>
      </c>
      <c r="J372" s="81" t="s">
        <v>224</v>
      </c>
      <c r="K372" s="81" t="str">
        <f>IFERROR(__xludf.DUMMYFUNCTION("IF(OR(D372="""",G372=""""),"""",IFERROR(LET(
campo,XLOOKUP(TRIM(G372),ARRAYFORMULA(TRIM('indice columnas'!$A$2:$A$100)),'indice columnas'!$B$2:$B$100,""""),
col,IFERROR(MATCH(campo,Referencia!$A$1:$AZ$1,0),0),
fila,IFERROR(MATCH(TO_TEXT(D372),ARRAYFORMULA"&amp;"(TO_TEXT(Referencia!$A$2:$A6238)),0),0),
IF(OR(campo="""",campo=""-""),""NO APLICA"",
IF(col=0,""REVISAR EQUIVALENCIA"",
IF(fila=0,""SKU NO ENCONTRADO"",
LET(
valor,INDEX(Referencia!$A$2:$AZ6238,fila,col),
IF(TRIM(TO_TEXT(valor))=TRIM(TO_TEXT(I372)),
""OK"&amp;""",
""NO COINCIDE. Valor verdadero: ""&amp;IF(valor="""",""[VACÍO]"",TO_TEXT(valor))
)
))))
),""ERROR EN FÓRMULA""))"),"OK")</f>
        <v>OK</v>
      </c>
    </row>
    <row r="373">
      <c r="A373" s="83" t="s">
        <v>4078</v>
      </c>
      <c r="B373" s="83" t="s">
        <v>4079</v>
      </c>
      <c r="C373" s="81" t="s">
        <v>4086</v>
      </c>
      <c r="D373" s="83" t="s">
        <v>4274</v>
      </c>
      <c r="E373" s="81" t="s">
        <v>1080</v>
      </c>
      <c r="F373" s="84">
        <v>209.0</v>
      </c>
      <c r="G373" s="81" t="s">
        <v>44</v>
      </c>
      <c r="H373" s="81" t="s">
        <v>224</v>
      </c>
      <c r="I373" s="81" t="s">
        <v>1051</v>
      </c>
      <c r="J373" s="81" t="s">
        <v>4088</v>
      </c>
      <c r="K373" s="81" t="str">
        <f>IFERROR(__xludf.DUMMYFUNCTION("IF(OR(D373="""",G373=""""),"""",IFERROR(LET(
campo,XLOOKUP(TRIM(G373),ARRAYFORMULA(TRIM('indice columnas'!$A$2:$A$100)),'indice columnas'!$B$2:$B$100,""""),
col,IFERROR(MATCH(campo,Referencia!$A$1:$AZ$1,0),0),
fila,IFERROR(MATCH(TO_TEXT(D373),ARRAYFORMULA"&amp;"(TO_TEXT(Referencia!$A$2:$A6238)),0),0),
IF(OR(campo="""",campo=""-""),""NO APLICA"",
IF(col=0,""REVISAR EQUIVALENCIA"",
IF(fila=0,""SKU NO ENCONTRADO"",
LET(
valor,INDEX(Referencia!$A$2:$AZ6238,fila,col),
IF(TRIM(TO_TEXT(valor))=TRIM(TO_TEXT(I373)),
""OK"&amp;""",
""NO COINCIDE. Valor verdadero: ""&amp;IF(valor="""",""[VACÍO]"",TO_TEXT(valor))
)
))))
),""ERROR EN FÓRMULA""))"),"NO APLICA")</f>
        <v>NO APLICA</v>
      </c>
    </row>
    <row r="374">
      <c r="A374" s="83" t="s">
        <v>4078</v>
      </c>
      <c r="B374" s="83" t="s">
        <v>4079</v>
      </c>
      <c r="C374" s="81" t="s">
        <v>4086</v>
      </c>
      <c r="D374" s="83" t="s">
        <v>4275</v>
      </c>
      <c r="E374" s="81" t="s">
        <v>1083</v>
      </c>
      <c r="F374" s="84">
        <v>210.0</v>
      </c>
      <c r="G374" s="81" t="s">
        <v>44</v>
      </c>
      <c r="H374" s="81" t="s">
        <v>224</v>
      </c>
      <c r="I374" s="81" t="s">
        <v>1051</v>
      </c>
      <c r="J374" s="81" t="s">
        <v>4088</v>
      </c>
      <c r="K374" s="81" t="str">
        <f>IFERROR(__xludf.DUMMYFUNCTION("IF(OR(D374="""",G374=""""),"""",IFERROR(LET(
campo,XLOOKUP(TRIM(G374),ARRAYFORMULA(TRIM('indice columnas'!$A$2:$A$100)),'indice columnas'!$B$2:$B$100,""""),
col,IFERROR(MATCH(campo,Referencia!$A$1:$AZ$1,0),0),
fila,IFERROR(MATCH(TO_TEXT(D374),ARRAYFORMULA"&amp;"(TO_TEXT(Referencia!$A$2:$A6238)),0),0),
IF(OR(campo="""",campo=""-""),""NO APLICA"",
IF(col=0,""REVISAR EQUIVALENCIA"",
IF(fila=0,""SKU NO ENCONTRADO"",
LET(
valor,INDEX(Referencia!$A$2:$AZ6238,fila,col),
IF(TRIM(TO_TEXT(valor))=TRIM(TO_TEXT(I374)),
""OK"&amp;""",
""NO COINCIDE. Valor verdadero: ""&amp;IF(valor="""",""[VACÍO]"",TO_TEXT(valor))
)
))))
),""ERROR EN FÓRMULA""))"),"NO APLICA")</f>
        <v>NO APLICA</v>
      </c>
    </row>
    <row r="375">
      <c r="A375" s="83" t="s">
        <v>4078</v>
      </c>
      <c r="B375" s="83" t="s">
        <v>4079</v>
      </c>
      <c r="C375" s="81" t="s">
        <v>4086</v>
      </c>
      <c r="D375" s="83" t="s">
        <v>4275</v>
      </c>
      <c r="E375" s="81" t="s">
        <v>1089</v>
      </c>
      <c r="F375" s="84">
        <v>211.0</v>
      </c>
      <c r="G375" s="81" t="s">
        <v>12</v>
      </c>
      <c r="H375" s="81" t="s">
        <v>224</v>
      </c>
      <c r="I375" s="81" t="s">
        <v>55</v>
      </c>
      <c r="J375" s="81" t="s">
        <v>224</v>
      </c>
      <c r="K375" s="81" t="str">
        <f>IFERROR(__xludf.DUMMYFUNCTION("IF(OR(D375="""",G375=""""),"""",IFERROR(LET(
campo,XLOOKUP(TRIM(G375),ARRAYFORMULA(TRIM('indice columnas'!$A$2:$A$100)),'indice columnas'!$B$2:$B$100,""""),
col,IFERROR(MATCH(campo,Referencia!$A$1:$AZ$1,0),0),
fila,IFERROR(MATCH(TO_TEXT(D375),ARRAYFORMULA"&amp;"(TO_TEXT(Referencia!$A$2:$A6238)),0),0),
IF(OR(campo="""",campo=""-""),""NO APLICA"",
IF(col=0,""REVISAR EQUIVALENCIA"",
IF(fila=0,""SKU NO ENCONTRADO"",
LET(
valor,INDEX(Referencia!$A$2:$AZ6238,fila,col),
IF(TRIM(TO_TEXT(valor))=TRIM(TO_TEXT(I375)),
""OK"&amp;""",
""NO COINCIDE. Valor verdadero: ""&amp;IF(valor="""",""[VACÍO]"",TO_TEXT(valor))
)
))))
),""ERROR EN FÓRMULA""))"),"OK")</f>
        <v>OK</v>
      </c>
    </row>
    <row r="376">
      <c r="A376" s="83" t="s">
        <v>4078</v>
      </c>
      <c r="B376" s="83" t="s">
        <v>4079</v>
      </c>
      <c r="C376" s="81" t="s">
        <v>4086</v>
      </c>
      <c r="D376" s="83" t="s">
        <v>4275</v>
      </c>
      <c r="E376" s="81" t="s">
        <v>1089</v>
      </c>
      <c r="F376" s="84">
        <v>211.0</v>
      </c>
      <c r="G376" s="81" t="s">
        <v>44</v>
      </c>
      <c r="H376" s="81" t="s">
        <v>224</v>
      </c>
      <c r="I376" s="81" t="s">
        <v>1051</v>
      </c>
      <c r="J376" s="81" t="s">
        <v>4088</v>
      </c>
      <c r="K376" s="81" t="str">
        <f>IFERROR(__xludf.DUMMYFUNCTION("IF(OR(D376="""",G376=""""),"""",IFERROR(LET(
campo,XLOOKUP(TRIM(G376),ARRAYFORMULA(TRIM('indice columnas'!$A$2:$A$100)),'indice columnas'!$B$2:$B$100,""""),
col,IFERROR(MATCH(campo,Referencia!$A$1:$AZ$1,0),0),
fila,IFERROR(MATCH(TO_TEXT(D376),ARRAYFORMULA"&amp;"(TO_TEXT(Referencia!$A$2:$A6238)),0),0),
IF(OR(campo="""",campo=""-""),""NO APLICA"",
IF(col=0,""REVISAR EQUIVALENCIA"",
IF(fila=0,""SKU NO ENCONTRADO"",
LET(
valor,INDEX(Referencia!$A$2:$AZ6238,fila,col),
IF(TRIM(TO_TEXT(valor))=TRIM(TO_TEXT(I376)),
""OK"&amp;""",
""NO COINCIDE. Valor verdadero: ""&amp;IF(valor="""",""[VACÍO]"",TO_TEXT(valor))
)
))))
),""ERROR EN FÓRMULA""))"),"NO APLICA")</f>
        <v>NO APLICA</v>
      </c>
    </row>
    <row r="377">
      <c r="A377" s="83" t="s">
        <v>4078</v>
      </c>
      <c r="B377" s="83" t="s">
        <v>4079</v>
      </c>
      <c r="C377" s="81" t="s">
        <v>4086</v>
      </c>
      <c r="D377" s="83" t="s">
        <v>4276</v>
      </c>
      <c r="E377" s="81" t="s">
        <v>1090</v>
      </c>
      <c r="F377" s="84">
        <v>212.0</v>
      </c>
      <c r="G377" s="81" t="s">
        <v>12</v>
      </c>
      <c r="H377" s="81" t="s">
        <v>224</v>
      </c>
      <c r="I377" s="81" t="s">
        <v>55</v>
      </c>
      <c r="J377" s="81" t="s">
        <v>224</v>
      </c>
      <c r="K377" s="81" t="str">
        <f>IFERROR(__xludf.DUMMYFUNCTION("IF(OR(D377="""",G377=""""),"""",IFERROR(LET(
campo,XLOOKUP(TRIM(G377),ARRAYFORMULA(TRIM('indice columnas'!$A$2:$A$100)),'indice columnas'!$B$2:$B$100,""""),
col,IFERROR(MATCH(campo,Referencia!$A$1:$AZ$1,0),0),
fila,IFERROR(MATCH(TO_TEXT(D377),ARRAYFORMULA"&amp;"(TO_TEXT(Referencia!$A$2:$A6238)),0),0),
IF(OR(campo="""",campo=""-""),""NO APLICA"",
IF(col=0,""REVISAR EQUIVALENCIA"",
IF(fila=0,""SKU NO ENCONTRADO"",
LET(
valor,INDEX(Referencia!$A$2:$AZ6238,fila,col),
IF(TRIM(TO_TEXT(valor))=TRIM(TO_TEXT(I377)),
""OK"&amp;""",
""NO COINCIDE. Valor verdadero: ""&amp;IF(valor="""",""[VACÍO]"",TO_TEXT(valor))
)
))))
),""ERROR EN FÓRMULA""))"),"OK")</f>
        <v>OK</v>
      </c>
    </row>
    <row r="378">
      <c r="A378" s="83" t="s">
        <v>4078</v>
      </c>
      <c r="B378" s="83" t="s">
        <v>4079</v>
      </c>
      <c r="C378" s="81" t="s">
        <v>4086</v>
      </c>
      <c r="D378" s="83" t="s">
        <v>4276</v>
      </c>
      <c r="E378" s="81" t="s">
        <v>1090</v>
      </c>
      <c r="F378" s="84">
        <v>212.0</v>
      </c>
      <c r="G378" s="81" t="s">
        <v>44</v>
      </c>
      <c r="H378" s="81" t="s">
        <v>224</v>
      </c>
      <c r="I378" s="81" t="s">
        <v>1051</v>
      </c>
      <c r="J378" s="81" t="s">
        <v>4088</v>
      </c>
      <c r="K378" s="81" t="str">
        <f>IFERROR(__xludf.DUMMYFUNCTION("IF(OR(D378="""",G378=""""),"""",IFERROR(LET(
campo,XLOOKUP(TRIM(G378),ARRAYFORMULA(TRIM('indice columnas'!$A$2:$A$100)),'indice columnas'!$B$2:$B$100,""""),
col,IFERROR(MATCH(campo,Referencia!$A$1:$AZ$1,0),0),
fila,IFERROR(MATCH(TO_TEXT(D378),ARRAYFORMULA"&amp;"(TO_TEXT(Referencia!$A$2:$A6238)),0),0),
IF(OR(campo="""",campo=""-""),""NO APLICA"",
IF(col=0,""REVISAR EQUIVALENCIA"",
IF(fila=0,""SKU NO ENCONTRADO"",
LET(
valor,INDEX(Referencia!$A$2:$AZ6238,fila,col),
IF(TRIM(TO_TEXT(valor))=TRIM(TO_TEXT(I378)),
""OK"&amp;""",
""NO COINCIDE. Valor verdadero: ""&amp;IF(valor="""",""[VACÍO]"",TO_TEXT(valor))
)
))))
),""ERROR EN FÓRMULA""))"),"NO APLICA")</f>
        <v>NO APLICA</v>
      </c>
    </row>
    <row r="379">
      <c r="A379" s="83" t="s">
        <v>4078</v>
      </c>
      <c r="B379" s="83" t="s">
        <v>4079</v>
      </c>
      <c r="C379" s="81" t="s">
        <v>4086</v>
      </c>
      <c r="D379" s="83" t="s">
        <v>4277</v>
      </c>
      <c r="E379" s="81" t="s">
        <v>1093</v>
      </c>
      <c r="F379" s="84">
        <v>213.0</v>
      </c>
      <c r="G379" s="81" t="s">
        <v>44</v>
      </c>
      <c r="H379" s="81" t="s">
        <v>224</v>
      </c>
      <c r="I379" s="81" t="s">
        <v>1051</v>
      </c>
      <c r="J379" s="81" t="s">
        <v>4088</v>
      </c>
      <c r="K379" s="81" t="str">
        <f>IFERROR(__xludf.DUMMYFUNCTION("IF(OR(D379="""",G379=""""),"""",IFERROR(LET(
campo,XLOOKUP(TRIM(G379),ARRAYFORMULA(TRIM('indice columnas'!$A$2:$A$100)),'indice columnas'!$B$2:$B$100,""""),
col,IFERROR(MATCH(campo,Referencia!$A$1:$AZ$1,0),0),
fila,IFERROR(MATCH(TO_TEXT(D379),ARRAYFORMULA"&amp;"(TO_TEXT(Referencia!$A$2:$A6238)),0),0),
IF(OR(campo="""",campo=""-""),""NO APLICA"",
IF(col=0,""REVISAR EQUIVALENCIA"",
IF(fila=0,""SKU NO ENCONTRADO"",
LET(
valor,INDEX(Referencia!$A$2:$AZ6238,fila,col),
IF(TRIM(TO_TEXT(valor))=TRIM(TO_TEXT(I379)),
""OK"&amp;""",
""NO COINCIDE. Valor verdadero: ""&amp;IF(valor="""",""[VACÍO]"",TO_TEXT(valor))
)
))))
),""ERROR EN FÓRMULA""))"),"NO APLICA")</f>
        <v>NO APLICA</v>
      </c>
    </row>
    <row r="380">
      <c r="A380" s="83" t="s">
        <v>4078</v>
      </c>
      <c r="B380" s="83" t="s">
        <v>4079</v>
      </c>
      <c r="C380" s="81" t="s">
        <v>4086</v>
      </c>
      <c r="D380" s="83" t="s">
        <v>4277</v>
      </c>
      <c r="E380" s="81" t="s">
        <v>1099</v>
      </c>
      <c r="F380" s="84">
        <v>214.0</v>
      </c>
      <c r="G380" s="81" t="s">
        <v>12</v>
      </c>
      <c r="H380" s="81" t="s">
        <v>224</v>
      </c>
      <c r="I380" s="81" t="s">
        <v>55</v>
      </c>
      <c r="J380" s="81" t="s">
        <v>224</v>
      </c>
      <c r="K380" s="81" t="str">
        <f>IFERROR(__xludf.DUMMYFUNCTION("IF(OR(D380="""",G380=""""),"""",IFERROR(LET(
campo,XLOOKUP(TRIM(G380),ARRAYFORMULA(TRIM('indice columnas'!$A$2:$A$100)),'indice columnas'!$B$2:$B$100,""""),
col,IFERROR(MATCH(campo,Referencia!$A$1:$AZ$1,0),0),
fila,IFERROR(MATCH(TO_TEXT(D380),ARRAYFORMULA"&amp;"(TO_TEXT(Referencia!$A$2:$A6238)),0),0),
IF(OR(campo="""",campo=""-""),""NO APLICA"",
IF(col=0,""REVISAR EQUIVALENCIA"",
IF(fila=0,""SKU NO ENCONTRADO"",
LET(
valor,INDEX(Referencia!$A$2:$AZ6238,fila,col),
IF(TRIM(TO_TEXT(valor))=TRIM(TO_TEXT(I380)),
""OK"&amp;""",
""NO COINCIDE. Valor verdadero: ""&amp;IF(valor="""",""[VACÍO]"",TO_TEXT(valor))
)
))))
),""ERROR EN FÓRMULA""))"),"OK")</f>
        <v>OK</v>
      </c>
    </row>
    <row r="381">
      <c r="A381" s="83" t="s">
        <v>4078</v>
      </c>
      <c r="B381" s="83" t="s">
        <v>4079</v>
      </c>
      <c r="C381" s="81" t="s">
        <v>4086</v>
      </c>
      <c r="D381" s="83" t="s">
        <v>4277</v>
      </c>
      <c r="E381" s="81" t="s">
        <v>1099</v>
      </c>
      <c r="F381" s="84">
        <v>214.0</v>
      </c>
      <c r="G381" s="81" t="s">
        <v>44</v>
      </c>
      <c r="H381" s="81" t="s">
        <v>224</v>
      </c>
      <c r="I381" s="81" t="s">
        <v>1051</v>
      </c>
      <c r="J381" s="81" t="s">
        <v>4088</v>
      </c>
      <c r="K381" s="81" t="str">
        <f>IFERROR(__xludf.DUMMYFUNCTION("IF(OR(D381="""",G381=""""),"""",IFERROR(LET(
campo,XLOOKUP(TRIM(G381),ARRAYFORMULA(TRIM('indice columnas'!$A$2:$A$100)),'indice columnas'!$B$2:$B$100,""""),
col,IFERROR(MATCH(campo,Referencia!$A$1:$AZ$1,0),0),
fila,IFERROR(MATCH(TO_TEXT(D381),ARRAYFORMULA"&amp;"(TO_TEXT(Referencia!$A$2:$A6238)),0),0),
IF(OR(campo="""",campo=""-""),""NO APLICA"",
IF(col=0,""REVISAR EQUIVALENCIA"",
IF(fila=0,""SKU NO ENCONTRADO"",
LET(
valor,INDEX(Referencia!$A$2:$AZ6238,fila,col),
IF(TRIM(TO_TEXT(valor))=TRIM(TO_TEXT(I381)),
""OK"&amp;""",
""NO COINCIDE. Valor verdadero: ""&amp;IF(valor="""",""[VACÍO]"",TO_TEXT(valor))
)
))))
),""ERROR EN FÓRMULA""))"),"NO APLICA")</f>
        <v>NO APLICA</v>
      </c>
    </row>
    <row r="382">
      <c r="A382" s="83" t="s">
        <v>4078</v>
      </c>
      <c r="B382" s="83" t="s">
        <v>4079</v>
      </c>
      <c r="C382" s="81" t="s">
        <v>4086</v>
      </c>
      <c r="D382" s="83" t="s">
        <v>4278</v>
      </c>
      <c r="E382" s="81" t="s">
        <v>1100</v>
      </c>
      <c r="F382" s="84">
        <v>215.0</v>
      </c>
      <c r="G382" s="81" t="s">
        <v>12</v>
      </c>
      <c r="H382" s="81" t="s">
        <v>224</v>
      </c>
      <c r="I382" s="81" t="s">
        <v>55</v>
      </c>
      <c r="J382" s="81" t="s">
        <v>224</v>
      </c>
      <c r="K382" s="81" t="str">
        <f>IFERROR(__xludf.DUMMYFUNCTION("IF(OR(D382="""",G382=""""),"""",IFERROR(LET(
campo,XLOOKUP(TRIM(G382),ARRAYFORMULA(TRIM('indice columnas'!$A$2:$A$100)),'indice columnas'!$B$2:$B$100,""""),
col,IFERROR(MATCH(campo,Referencia!$A$1:$AZ$1,0),0),
fila,IFERROR(MATCH(TO_TEXT(D382),ARRAYFORMULA"&amp;"(TO_TEXT(Referencia!$A$2:$A6238)),0),0),
IF(OR(campo="""",campo=""-""),""NO APLICA"",
IF(col=0,""REVISAR EQUIVALENCIA"",
IF(fila=0,""SKU NO ENCONTRADO"",
LET(
valor,INDEX(Referencia!$A$2:$AZ6238,fila,col),
IF(TRIM(TO_TEXT(valor))=TRIM(TO_TEXT(I382)),
""OK"&amp;""",
""NO COINCIDE. Valor verdadero: ""&amp;IF(valor="""",""[VACÍO]"",TO_TEXT(valor))
)
))))
),""ERROR EN FÓRMULA""))"),"OK")</f>
        <v>OK</v>
      </c>
    </row>
    <row r="383">
      <c r="A383" s="83" t="s">
        <v>4078</v>
      </c>
      <c r="B383" s="83" t="s">
        <v>4079</v>
      </c>
      <c r="C383" s="81" t="s">
        <v>4086</v>
      </c>
      <c r="D383" s="83" t="s">
        <v>4278</v>
      </c>
      <c r="E383" s="81" t="s">
        <v>1100</v>
      </c>
      <c r="F383" s="84">
        <v>215.0</v>
      </c>
      <c r="G383" s="81" t="s">
        <v>44</v>
      </c>
      <c r="H383" s="81" t="s">
        <v>224</v>
      </c>
      <c r="I383" s="81" t="s">
        <v>1051</v>
      </c>
      <c r="J383" s="81" t="s">
        <v>4088</v>
      </c>
      <c r="K383" s="81" t="str">
        <f>IFERROR(__xludf.DUMMYFUNCTION("IF(OR(D383="""",G383=""""),"""",IFERROR(LET(
campo,XLOOKUP(TRIM(G383),ARRAYFORMULA(TRIM('indice columnas'!$A$2:$A$100)),'indice columnas'!$B$2:$B$100,""""),
col,IFERROR(MATCH(campo,Referencia!$A$1:$AZ$1,0),0),
fila,IFERROR(MATCH(TO_TEXT(D383),ARRAYFORMULA"&amp;"(TO_TEXT(Referencia!$A$2:$A6238)),0),0),
IF(OR(campo="""",campo=""-""),""NO APLICA"",
IF(col=0,""REVISAR EQUIVALENCIA"",
IF(fila=0,""SKU NO ENCONTRADO"",
LET(
valor,INDEX(Referencia!$A$2:$AZ6238,fila,col),
IF(TRIM(TO_TEXT(valor))=TRIM(TO_TEXT(I383)),
""OK"&amp;""",
""NO COINCIDE. Valor verdadero: ""&amp;IF(valor="""",""[VACÍO]"",TO_TEXT(valor))
)
))))
),""ERROR EN FÓRMULA""))"),"NO APLICA")</f>
        <v>NO APLICA</v>
      </c>
    </row>
    <row r="384">
      <c r="A384" s="83" t="s">
        <v>4078</v>
      </c>
      <c r="B384" s="83" t="s">
        <v>4079</v>
      </c>
      <c r="C384" s="81" t="s">
        <v>4086</v>
      </c>
      <c r="D384" s="83" t="s">
        <v>4279</v>
      </c>
      <c r="E384" s="81" t="s">
        <v>1103</v>
      </c>
      <c r="F384" s="84">
        <v>216.0</v>
      </c>
      <c r="G384" s="81" t="s">
        <v>44</v>
      </c>
      <c r="H384" s="81" t="s">
        <v>224</v>
      </c>
      <c r="I384" s="81" t="s">
        <v>1051</v>
      </c>
      <c r="J384" s="81" t="s">
        <v>4088</v>
      </c>
      <c r="K384" s="81" t="str">
        <f>IFERROR(__xludf.DUMMYFUNCTION("IF(OR(D384="""",G384=""""),"""",IFERROR(LET(
campo,XLOOKUP(TRIM(G384),ARRAYFORMULA(TRIM('indice columnas'!$A$2:$A$100)),'indice columnas'!$B$2:$B$100,""""),
col,IFERROR(MATCH(campo,Referencia!$A$1:$AZ$1,0),0),
fila,IFERROR(MATCH(TO_TEXT(D384),ARRAYFORMULA"&amp;"(TO_TEXT(Referencia!$A$2:$A6238)),0),0),
IF(OR(campo="""",campo=""-""),""NO APLICA"",
IF(col=0,""REVISAR EQUIVALENCIA"",
IF(fila=0,""SKU NO ENCONTRADO"",
LET(
valor,INDEX(Referencia!$A$2:$AZ6238,fila,col),
IF(TRIM(TO_TEXT(valor))=TRIM(TO_TEXT(I384)),
""OK"&amp;""",
""NO COINCIDE. Valor verdadero: ""&amp;IF(valor="""",""[VACÍO]"",TO_TEXT(valor))
)
))))
),""ERROR EN FÓRMULA""))"),"NO APLICA")</f>
        <v>NO APLICA</v>
      </c>
    </row>
    <row r="385">
      <c r="A385" s="83" t="s">
        <v>4078</v>
      </c>
      <c r="B385" s="83" t="s">
        <v>4079</v>
      </c>
      <c r="C385" s="81" t="s">
        <v>4086</v>
      </c>
      <c r="D385" s="83" t="s">
        <v>4279</v>
      </c>
      <c r="E385" s="81" t="s">
        <v>1109</v>
      </c>
      <c r="F385" s="84">
        <v>217.0</v>
      </c>
      <c r="G385" s="81" t="s">
        <v>12</v>
      </c>
      <c r="H385" s="81" t="s">
        <v>224</v>
      </c>
      <c r="I385" s="81" t="s">
        <v>55</v>
      </c>
      <c r="J385" s="81" t="s">
        <v>224</v>
      </c>
      <c r="K385" s="81" t="str">
        <f>IFERROR(__xludf.DUMMYFUNCTION("IF(OR(D385="""",G385=""""),"""",IFERROR(LET(
campo,XLOOKUP(TRIM(G385),ARRAYFORMULA(TRIM('indice columnas'!$A$2:$A$100)),'indice columnas'!$B$2:$B$100,""""),
col,IFERROR(MATCH(campo,Referencia!$A$1:$AZ$1,0),0),
fila,IFERROR(MATCH(TO_TEXT(D385),ARRAYFORMULA"&amp;"(TO_TEXT(Referencia!$A$2:$A6238)),0),0),
IF(OR(campo="""",campo=""-""),""NO APLICA"",
IF(col=0,""REVISAR EQUIVALENCIA"",
IF(fila=0,""SKU NO ENCONTRADO"",
LET(
valor,INDEX(Referencia!$A$2:$AZ6238,fila,col),
IF(TRIM(TO_TEXT(valor))=TRIM(TO_TEXT(I385)),
""OK"&amp;""",
""NO COINCIDE. Valor verdadero: ""&amp;IF(valor="""",""[VACÍO]"",TO_TEXT(valor))
)
))))
),""ERROR EN FÓRMULA""))"),"OK")</f>
        <v>OK</v>
      </c>
    </row>
    <row r="386">
      <c r="A386" s="83" t="s">
        <v>4078</v>
      </c>
      <c r="B386" s="83" t="s">
        <v>4079</v>
      </c>
      <c r="C386" s="81" t="s">
        <v>4086</v>
      </c>
      <c r="D386" s="83" t="s">
        <v>4279</v>
      </c>
      <c r="E386" s="81" t="s">
        <v>1109</v>
      </c>
      <c r="F386" s="84">
        <v>217.0</v>
      </c>
      <c r="G386" s="81" t="s">
        <v>44</v>
      </c>
      <c r="H386" s="81" t="s">
        <v>224</v>
      </c>
      <c r="I386" s="81" t="s">
        <v>1051</v>
      </c>
      <c r="J386" s="81" t="s">
        <v>4088</v>
      </c>
      <c r="K386" s="81" t="str">
        <f>IFERROR(__xludf.DUMMYFUNCTION("IF(OR(D386="""",G386=""""),"""",IFERROR(LET(
campo,XLOOKUP(TRIM(G386),ARRAYFORMULA(TRIM('indice columnas'!$A$2:$A$100)),'indice columnas'!$B$2:$B$100,""""),
col,IFERROR(MATCH(campo,Referencia!$A$1:$AZ$1,0),0),
fila,IFERROR(MATCH(TO_TEXT(D386),ARRAYFORMULA"&amp;"(TO_TEXT(Referencia!$A$2:$A6238)),0),0),
IF(OR(campo="""",campo=""-""),""NO APLICA"",
IF(col=0,""REVISAR EQUIVALENCIA"",
IF(fila=0,""SKU NO ENCONTRADO"",
LET(
valor,INDEX(Referencia!$A$2:$AZ6238,fila,col),
IF(TRIM(TO_TEXT(valor))=TRIM(TO_TEXT(I386)),
""OK"&amp;""",
""NO COINCIDE. Valor verdadero: ""&amp;IF(valor="""",""[VACÍO]"",TO_TEXT(valor))
)
))))
),""ERROR EN FÓRMULA""))"),"NO APLICA")</f>
        <v>NO APLICA</v>
      </c>
    </row>
    <row r="387">
      <c r="A387" s="83" t="s">
        <v>4078</v>
      </c>
      <c r="B387" s="83" t="s">
        <v>4079</v>
      </c>
      <c r="C387" s="81" t="s">
        <v>4086</v>
      </c>
      <c r="D387" s="83" t="s">
        <v>4280</v>
      </c>
      <c r="E387" s="81" t="s">
        <v>1110</v>
      </c>
      <c r="F387" s="84">
        <v>218.0</v>
      </c>
      <c r="G387" s="81" t="s">
        <v>12</v>
      </c>
      <c r="H387" s="81" t="s">
        <v>224</v>
      </c>
      <c r="I387" s="81" t="s">
        <v>55</v>
      </c>
      <c r="J387" s="81" t="s">
        <v>224</v>
      </c>
      <c r="K387" s="81" t="str">
        <f>IFERROR(__xludf.DUMMYFUNCTION("IF(OR(D387="""",G387=""""),"""",IFERROR(LET(
campo,XLOOKUP(TRIM(G387),ARRAYFORMULA(TRIM('indice columnas'!$A$2:$A$100)),'indice columnas'!$B$2:$B$100,""""),
col,IFERROR(MATCH(campo,Referencia!$A$1:$AZ$1,0),0),
fila,IFERROR(MATCH(TO_TEXT(D387),ARRAYFORMULA"&amp;"(TO_TEXT(Referencia!$A$2:$A6238)),0),0),
IF(OR(campo="""",campo=""-""),""NO APLICA"",
IF(col=0,""REVISAR EQUIVALENCIA"",
IF(fila=0,""SKU NO ENCONTRADO"",
LET(
valor,INDEX(Referencia!$A$2:$AZ6238,fila,col),
IF(TRIM(TO_TEXT(valor))=TRIM(TO_TEXT(I387)),
""OK"&amp;""",
""NO COINCIDE. Valor verdadero: ""&amp;IF(valor="""",""[VACÍO]"",TO_TEXT(valor))
)
))))
),""ERROR EN FÓRMULA""))"),"OK")</f>
        <v>OK</v>
      </c>
    </row>
    <row r="388">
      <c r="A388" s="83" t="s">
        <v>4078</v>
      </c>
      <c r="B388" s="83" t="s">
        <v>4079</v>
      </c>
      <c r="C388" s="81" t="s">
        <v>4086</v>
      </c>
      <c r="D388" s="83" t="s">
        <v>4280</v>
      </c>
      <c r="E388" s="81" t="s">
        <v>1110</v>
      </c>
      <c r="F388" s="84">
        <v>218.0</v>
      </c>
      <c r="G388" s="81" t="s">
        <v>44</v>
      </c>
      <c r="H388" s="81" t="s">
        <v>224</v>
      </c>
      <c r="I388" s="81" t="s">
        <v>1051</v>
      </c>
      <c r="J388" s="81" t="s">
        <v>4088</v>
      </c>
      <c r="K388" s="81" t="str">
        <f>IFERROR(__xludf.DUMMYFUNCTION("IF(OR(D388="""",G388=""""),"""",IFERROR(LET(
campo,XLOOKUP(TRIM(G388),ARRAYFORMULA(TRIM('indice columnas'!$A$2:$A$100)),'indice columnas'!$B$2:$B$100,""""),
col,IFERROR(MATCH(campo,Referencia!$A$1:$AZ$1,0),0),
fila,IFERROR(MATCH(TO_TEXT(D388),ARRAYFORMULA"&amp;"(TO_TEXT(Referencia!$A$2:$A6238)),0),0),
IF(OR(campo="""",campo=""-""),""NO APLICA"",
IF(col=0,""REVISAR EQUIVALENCIA"",
IF(fila=0,""SKU NO ENCONTRADO"",
LET(
valor,INDEX(Referencia!$A$2:$AZ6238,fila,col),
IF(TRIM(TO_TEXT(valor))=TRIM(TO_TEXT(I388)),
""OK"&amp;""",
""NO COINCIDE. Valor verdadero: ""&amp;IF(valor="""",""[VACÍO]"",TO_TEXT(valor))
)
))))
),""ERROR EN FÓRMULA""))"),"NO APLICA")</f>
        <v>NO APLICA</v>
      </c>
    </row>
    <row r="389">
      <c r="A389" s="83" t="s">
        <v>4078</v>
      </c>
      <c r="B389" s="83" t="s">
        <v>4079</v>
      </c>
      <c r="C389" s="81" t="s">
        <v>4086</v>
      </c>
      <c r="D389" s="83" t="s">
        <v>4281</v>
      </c>
      <c r="E389" s="81" t="s">
        <v>1113</v>
      </c>
      <c r="F389" s="84">
        <v>219.0</v>
      </c>
      <c r="G389" s="81" t="s">
        <v>44</v>
      </c>
      <c r="H389" s="81" t="s">
        <v>224</v>
      </c>
      <c r="I389" s="81" t="s">
        <v>1051</v>
      </c>
      <c r="J389" s="81" t="s">
        <v>4088</v>
      </c>
      <c r="K389" s="81" t="str">
        <f>IFERROR(__xludf.DUMMYFUNCTION("IF(OR(D389="""",G389=""""),"""",IFERROR(LET(
campo,XLOOKUP(TRIM(G389),ARRAYFORMULA(TRIM('indice columnas'!$A$2:$A$100)),'indice columnas'!$B$2:$B$100,""""),
col,IFERROR(MATCH(campo,Referencia!$A$1:$AZ$1,0),0),
fila,IFERROR(MATCH(TO_TEXT(D389),ARRAYFORMULA"&amp;"(TO_TEXT(Referencia!$A$2:$A6238)),0),0),
IF(OR(campo="""",campo=""-""),""NO APLICA"",
IF(col=0,""REVISAR EQUIVALENCIA"",
IF(fila=0,""SKU NO ENCONTRADO"",
LET(
valor,INDEX(Referencia!$A$2:$AZ6238,fila,col),
IF(TRIM(TO_TEXT(valor))=TRIM(TO_TEXT(I389)),
""OK"&amp;""",
""NO COINCIDE. Valor verdadero: ""&amp;IF(valor="""",""[VACÍO]"",TO_TEXT(valor))
)
))))
),""ERROR EN FÓRMULA""))"),"NO APLICA")</f>
        <v>NO APLICA</v>
      </c>
    </row>
    <row r="390">
      <c r="A390" s="83" t="s">
        <v>4078</v>
      </c>
      <c r="B390" s="83" t="s">
        <v>4079</v>
      </c>
      <c r="C390" s="81" t="s">
        <v>4086</v>
      </c>
      <c r="D390" s="83" t="s">
        <v>4281</v>
      </c>
      <c r="E390" s="81" t="s">
        <v>1119</v>
      </c>
      <c r="F390" s="84">
        <v>220.0</v>
      </c>
      <c r="G390" s="81" t="s">
        <v>12</v>
      </c>
      <c r="H390" s="81" t="s">
        <v>224</v>
      </c>
      <c r="I390" s="81" t="s">
        <v>55</v>
      </c>
      <c r="J390" s="81" t="s">
        <v>224</v>
      </c>
      <c r="K390" s="81" t="str">
        <f>IFERROR(__xludf.DUMMYFUNCTION("IF(OR(D390="""",G390=""""),"""",IFERROR(LET(
campo,XLOOKUP(TRIM(G390),ARRAYFORMULA(TRIM('indice columnas'!$A$2:$A$100)),'indice columnas'!$B$2:$B$100,""""),
col,IFERROR(MATCH(campo,Referencia!$A$1:$AZ$1,0),0),
fila,IFERROR(MATCH(TO_TEXT(D390),ARRAYFORMULA"&amp;"(TO_TEXT(Referencia!$A$2:$A6238)),0),0),
IF(OR(campo="""",campo=""-""),""NO APLICA"",
IF(col=0,""REVISAR EQUIVALENCIA"",
IF(fila=0,""SKU NO ENCONTRADO"",
LET(
valor,INDEX(Referencia!$A$2:$AZ6238,fila,col),
IF(TRIM(TO_TEXT(valor))=TRIM(TO_TEXT(I390)),
""OK"&amp;""",
""NO COINCIDE. Valor verdadero: ""&amp;IF(valor="""",""[VACÍO]"",TO_TEXT(valor))
)
))))
),""ERROR EN FÓRMULA""))"),"OK")</f>
        <v>OK</v>
      </c>
    </row>
    <row r="391">
      <c r="A391" s="83" t="s">
        <v>4078</v>
      </c>
      <c r="B391" s="83" t="s">
        <v>4079</v>
      </c>
      <c r="C391" s="81" t="s">
        <v>4086</v>
      </c>
      <c r="D391" s="83" t="s">
        <v>4281</v>
      </c>
      <c r="E391" s="81" t="s">
        <v>1119</v>
      </c>
      <c r="F391" s="84">
        <v>220.0</v>
      </c>
      <c r="G391" s="81" t="s">
        <v>44</v>
      </c>
      <c r="H391" s="81" t="s">
        <v>224</v>
      </c>
      <c r="I391" s="81" t="s">
        <v>1051</v>
      </c>
      <c r="J391" s="81" t="s">
        <v>4088</v>
      </c>
      <c r="K391" s="81" t="str">
        <f>IFERROR(__xludf.DUMMYFUNCTION("IF(OR(D391="""",G391=""""),"""",IFERROR(LET(
campo,XLOOKUP(TRIM(G391),ARRAYFORMULA(TRIM('indice columnas'!$A$2:$A$100)),'indice columnas'!$B$2:$B$100,""""),
col,IFERROR(MATCH(campo,Referencia!$A$1:$AZ$1,0),0),
fila,IFERROR(MATCH(TO_TEXT(D391),ARRAYFORMULA"&amp;"(TO_TEXT(Referencia!$A$2:$A6238)),0),0),
IF(OR(campo="""",campo=""-""),""NO APLICA"",
IF(col=0,""REVISAR EQUIVALENCIA"",
IF(fila=0,""SKU NO ENCONTRADO"",
LET(
valor,INDEX(Referencia!$A$2:$AZ6238,fila,col),
IF(TRIM(TO_TEXT(valor))=TRIM(TO_TEXT(I391)),
""OK"&amp;""",
""NO COINCIDE. Valor verdadero: ""&amp;IF(valor="""",""[VACÍO]"",TO_TEXT(valor))
)
))))
),""ERROR EN FÓRMULA""))"),"NO APLICA")</f>
        <v>NO APLICA</v>
      </c>
    </row>
    <row r="392">
      <c r="A392" s="83" t="s">
        <v>4078</v>
      </c>
      <c r="B392" s="83" t="s">
        <v>4079</v>
      </c>
      <c r="C392" s="81" t="s">
        <v>4086</v>
      </c>
      <c r="D392" s="83" t="s">
        <v>4282</v>
      </c>
      <c r="E392" s="81" t="s">
        <v>1120</v>
      </c>
      <c r="F392" s="84">
        <v>221.0</v>
      </c>
      <c r="G392" s="81" t="s">
        <v>12</v>
      </c>
      <c r="H392" s="81" t="s">
        <v>224</v>
      </c>
      <c r="I392" s="81" t="s">
        <v>55</v>
      </c>
      <c r="J392" s="81" t="s">
        <v>224</v>
      </c>
      <c r="K392" s="81" t="str">
        <f>IFERROR(__xludf.DUMMYFUNCTION("IF(OR(D392="""",G392=""""),"""",IFERROR(LET(
campo,XLOOKUP(TRIM(G392),ARRAYFORMULA(TRIM('indice columnas'!$A$2:$A$100)),'indice columnas'!$B$2:$B$100,""""),
col,IFERROR(MATCH(campo,Referencia!$A$1:$AZ$1,0),0),
fila,IFERROR(MATCH(TO_TEXT(D392),ARRAYFORMULA"&amp;"(TO_TEXT(Referencia!$A$2:$A6238)),0),0),
IF(OR(campo="""",campo=""-""),""NO APLICA"",
IF(col=0,""REVISAR EQUIVALENCIA"",
IF(fila=0,""SKU NO ENCONTRADO"",
LET(
valor,INDEX(Referencia!$A$2:$AZ6238,fila,col),
IF(TRIM(TO_TEXT(valor))=TRIM(TO_TEXT(I392)),
""OK"&amp;""",
""NO COINCIDE. Valor verdadero: ""&amp;IF(valor="""",""[VACÍO]"",TO_TEXT(valor))
)
))))
),""ERROR EN FÓRMULA""))"),"OK")</f>
        <v>OK</v>
      </c>
    </row>
    <row r="393">
      <c r="A393" s="83" t="s">
        <v>4078</v>
      </c>
      <c r="B393" s="83" t="s">
        <v>4079</v>
      </c>
      <c r="C393" s="81" t="s">
        <v>4086</v>
      </c>
      <c r="D393" s="83" t="s">
        <v>4282</v>
      </c>
      <c r="E393" s="81" t="s">
        <v>1120</v>
      </c>
      <c r="F393" s="84">
        <v>221.0</v>
      </c>
      <c r="G393" s="81" t="s">
        <v>44</v>
      </c>
      <c r="H393" s="81" t="s">
        <v>224</v>
      </c>
      <c r="I393" s="81" t="s">
        <v>1051</v>
      </c>
      <c r="J393" s="81" t="s">
        <v>4088</v>
      </c>
      <c r="K393" s="81" t="str">
        <f>IFERROR(__xludf.DUMMYFUNCTION("IF(OR(D393="""",G393=""""),"""",IFERROR(LET(
campo,XLOOKUP(TRIM(G393),ARRAYFORMULA(TRIM('indice columnas'!$A$2:$A$100)),'indice columnas'!$B$2:$B$100,""""),
col,IFERROR(MATCH(campo,Referencia!$A$1:$AZ$1,0),0),
fila,IFERROR(MATCH(TO_TEXT(D393),ARRAYFORMULA"&amp;"(TO_TEXT(Referencia!$A$2:$A6238)),0),0),
IF(OR(campo="""",campo=""-""),""NO APLICA"",
IF(col=0,""REVISAR EQUIVALENCIA"",
IF(fila=0,""SKU NO ENCONTRADO"",
LET(
valor,INDEX(Referencia!$A$2:$AZ6238,fila,col),
IF(TRIM(TO_TEXT(valor))=TRIM(TO_TEXT(I393)),
""OK"&amp;""",
""NO COINCIDE. Valor verdadero: ""&amp;IF(valor="""",""[VACÍO]"",TO_TEXT(valor))
)
))))
),""ERROR EN FÓRMULA""))"),"NO APLICA")</f>
        <v>NO APLICA</v>
      </c>
    </row>
    <row r="394">
      <c r="A394" s="83" t="s">
        <v>4078</v>
      </c>
      <c r="B394" s="83" t="s">
        <v>4079</v>
      </c>
      <c r="C394" s="81" t="s">
        <v>4086</v>
      </c>
      <c r="D394" s="83" t="s">
        <v>4283</v>
      </c>
      <c r="E394" s="81" t="s">
        <v>1123</v>
      </c>
      <c r="F394" s="84">
        <v>222.0</v>
      </c>
      <c r="G394" s="81" t="s">
        <v>44</v>
      </c>
      <c r="H394" s="81" t="s">
        <v>224</v>
      </c>
      <c r="I394" s="81" t="s">
        <v>1051</v>
      </c>
      <c r="J394" s="81" t="s">
        <v>4088</v>
      </c>
      <c r="K394" s="81" t="str">
        <f>IFERROR(__xludf.DUMMYFUNCTION("IF(OR(D394="""",G394=""""),"""",IFERROR(LET(
campo,XLOOKUP(TRIM(G394),ARRAYFORMULA(TRIM('indice columnas'!$A$2:$A$100)),'indice columnas'!$B$2:$B$100,""""),
col,IFERROR(MATCH(campo,Referencia!$A$1:$AZ$1,0),0),
fila,IFERROR(MATCH(TO_TEXT(D394),ARRAYFORMULA"&amp;"(TO_TEXT(Referencia!$A$2:$A6238)),0),0),
IF(OR(campo="""",campo=""-""),""NO APLICA"",
IF(col=0,""REVISAR EQUIVALENCIA"",
IF(fila=0,""SKU NO ENCONTRADO"",
LET(
valor,INDEX(Referencia!$A$2:$AZ6238,fila,col),
IF(TRIM(TO_TEXT(valor))=TRIM(TO_TEXT(I394)),
""OK"&amp;""",
""NO COINCIDE. Valor verdadero: ""&amp;IF(valor="""",""[VACÍO]"",TO_TEXT(valor))
)
))))
),""ERROR EN FÓRMULA""))"),"NO APLICA")</f>
        <v>NO APLICA</v>
      </c>
    </row>
    <row r="395">
      <c r="A395" s="83" t="s">
        <v>4078</v>
      </c>
      <c r="B395" s="83" t="s">
        <v>4079</v>
      </c>
      <c r="C395" s="81" t="s">
        <v>4086</v>
      </c>
      <c r="D395" s="83" t="s">
        <v>4283</v>
      </c>
      <c r="E395" s="81" t="s">
        <v>1129</v>
      </c>
      <c r="F395" s="84">
        <v>223.0</v>
      </c>
      <c r="G395" s="81" t="s">
        <v>12</v>
      </c>
      <c r="H395" s="81" t="s">
        <v>224</v>
      </c>
      <c r="I395" s="81" t="s">
        <v>55</v>
      </c>
      <c r="J395" s="81" t="s">
        <v>224</v>
      </c>
      <c r="K395" s="81" t="str">
        <f>IFERROR(__xludf.DUMMYFUNCTION("IF(OR(D395="""",G395=""""),"""",IFERROR(LET(
campo,XLOOKUP(TRIM(G395),ARRAYFORMULA(TRIM('indice columnas'!$A$2:$A$100)),'indice columnas'!$B$2:$B$100,""""),
col,IFERROR(MATCH(campo,Referencia!$A$1:$AZ$1,0),0),
fila,IFERROR(MATCH(TO_TEXT(D395),ARRAYFORMULA"&amp;"(TO_TEXT(Referencia!$A$2:$A6238)),0),0),
IF(OR(campo="""",campo=""-""),""NO APLICA"",
IF(col=0,""REVISAR EQUIVALENCIA"",
IF(fila=0,""SKU NO ENCONTRADO"",
LET(
valor,INDEX(Referencia!$A$2:$AZ6238,fila,col),
IF(TRIM(TO_TEXT(valor))=TRIM(TO_TEXT(I395)),
""OK"&amp;""",
""NO COINCIDE. Valor verdadero: ""&amp;IF(valor="""",""[VACÍO]"",TO_TEXT(valor))
)
))))
),""ERROR EN FÓRMULA""))"),"OK")</f>
        <v>OK</v>
      </c>
    </row>
    <row r="396">
      <c r="A396" s="83" t="s">
        <v>4078</v>
      </c>
      <c r="B396" s="83" t="s">
        <v>4079</v>
      </c>
      <c r="C396" s="81" t="s">
        <v>4086</v>
      </c>
      <c r="D396" s="83" t="s">
        <v>4283</v>
      </c>
      <c r="E396" s="81" t="s">
        <v>1129</v>
      </c>
      <c r="F396" s="84">
        <v>223.0</v>
      </c>
      <c r="G396" s="81" t="s">
        <v>44</v>
      </c>
      <c r="H396" s="81" t="s">
        <v>224</v>
      </c>
      <c r="I396" s="81" t="s">
        <v>1051</v>
      </c>
      <c r="J396" s="81" t="s">
        <v>4088</v>
      </c>
      <c r="K396" s="81" t="str">
        <f>IFERROR(__xludf.DUMMYFUNCTION("IF(OR(D396="""",G396=""""),"""",IFERROR(LET(
campo,XLOOKUP(TRIM(G396),ARRAYFORMULA(TRIM('indice columnas'!$A$2:$A$100)),'indice columnas'!$B$2:$B$100,""""),
col,IFERROR(MATCH(campo,Referencia!$A$1:$AZ$1,0),0),
fila,IFERROR(MATCH(TO_TEXT(D396),ARRAYFORMULA"&amp;"(TO_TEXT(Referencia!$A$2:$A6238)),0),0),
IF(OR(campo="""",campo=""-""),""NO APLICA"",
IF(col=0,""REVISAR EQUIVALENCIA"",
IF(fila=0,""SKU NO ENCONTRADO"",
LET(
valor,INDEX(Referencia!$A$2:$AZ6238,fila,col),
IF(TRIM(TO_TEXT(valor))=TRIM(TO_TEXT(I396)),
""OK"&amp;""",
""NO COINCIDE. Valor verdadero: ""&amp;IF(valor="""",""[VACÍO]"",TO_TEXT(valor))
)
))))
),""ERROR EN FÓRMULA""))"),"NO APLICA")</f>
        <v>NO APLICA</v>
      </c>
    </row>
    <row r="397">
      <c r="A397" s="83" t="s">
        <v>4078</v>
      </c>
      <c r="B397" s="83" t="s">
        <v>4079</v>
      </c>
      <c r="C397" s="81" t="s">
        <v>4086</v>
      </c>
      <c r="D397" s="83" t="s">
        <v>4284</v>
      </c>
      <c r="E397" s="81" t="s">
        <v>1130</v>
      </c>
      <c r="F397" s="84">
        <v>224.0</v>
      </c>
      <c r="G397" s="81" t="s">
        <v>12</v>
      </c>
      <c r="H397" s="81" t="s">
        <v>224</v>
      </c>
      <c r="I397" s="81" t="s">
        <v>55</v>
      </c>
      <c r="J397" s="81" t="s">
        <v>224</v>
      </c>
      <c r="K397" s="81" t="str">
        <f>IFERROR(__xludf.DUMMYFUNCTION("IF(OR(D397="""",G397=""""),"""",IFERROR(LET(
campo,XLOOKUP(TRIM(G397),ARRAYFORMULA(TRIM('indice columnas'!$A$2:$A$100)),'indice columnas'!$B$2:$B$100,""""),
col,IFERROR(MATCH(campo,Referencia!$A$1:$AZ$1,0),0),
fila,IFERROR(MATCH(TO_TEXT(D397),ARRAYFORMULA"&amp;"(TO_TEXT(Referencia!$A$2:$A6238)),0),0),
IF(OR(campo="""",campo=""-""),""NO APLICA"",
IF(col=0,""REVISAR EQUIVALENCIA"",
IF(fila=0,""SKU NO ENCONTRADO"",
LET(
valor,INDEX(Referencia!$A$2:$AZ6238,fila,col),
IF(TRIM(TO_TEXT(valor))=TRIM(TO_TEXT(I397)),
""OK"&amp;""",
""NO COINCIDE. Valor verdadero: ""&amp;IF(valor="""",""[VACÍO]"",TO_TEXT(valor))
)
))))
),""ERROR EN FÓRMULA""))"),"OK")</f>
        <v>OK</v>
      </c>
    </row>
    <row r="398">
      <c r="A398" s="83" t="s">
        <v>4078</v>
      </c>
      <c r="B398" s="83" t="s">
        <v>4079</v>
      </c>
      <c r="C398" s="81" t="s">
        <v>4086</v>
      </c>
      <c r="D398" s="83" t="s">
        <v>4284</v>
      </c>
      <c r="E398" s="81" t="s">
        <v>1130</v>
      </c>
      <c r="F398" s="84">
        <v>224.0</v>
      </c>
      <c r="G398" s="81" t="s">
        <v>44</v>
      </c>
      <c r="H398" s="81" t="s">
        <v>224</v>
      </c>
      <c r="I398" s="81" t="s">
        <v>1051</v>
      </c>
      <c r="J398" s="81" t="s">
        <v>4088</v>
      </c>
      <c r="K398" s="81" t="str">
        <f>IFERROR(__xludf.DUMMYFUNCTION("IF(OR(D398="""",G398=""""),"""",IFERROR(LET(
campo,XLOOKUP(TRIM(G398),ARRAYFORMULA(TRIM('indice columnas'!$A$2:$A$100)),'indice columnas'!$B$2:$B$100,""""),
col,IFERROR(MATCH(campo,Referencia!$A$1:$AZ$1,0),0),
fila,IFERROR(MATCH(TO_TEXT(D398),ARRAYFORMULA"&amp;"(TO_TEXT(Referencia!$A$2:$A6238)),0),0),
IF(OR(campo="""",campo=""-""),""NO APLICA"",
IF(col=0,""REVISAR EQUIVALENCIA"",
IF(fila=0,""SKU NO ENCONTRADO"",
LET(
valor,INDEX(Referencia!$A$2:$AZ6238,fila,col),
IF(TRIM(TO_TEXT(valor))=TRIM(TO_TEXT(I398)),
""OK"&amp;""",
""NO COINCIDE. Valor verdadero: ""&amp;IF(valor="""",""[VACÍO]"",TO_TEXT(valor))
)
))))
),""ERROR EN FÓRMULA""))"),"NO APLICA")</f>
        <v>NO APLICA</v>
      </c>
    </row>
    <row r="399">
      <c r="A399" s="83" t="s">
        <v>4078</v>
      </c>
      <c r="B399" s="83" t="s">
        <v>4079</v>
      </c>
      <c r="C399" s="81" t="s">
        <v>4086</v>
      </c>
      <c r="D399" s="83" t="s">
        <v>4285</v>
      </c>
      <c r="E399" s="81" t="s">
        <v>1133</v>
      </c>
      <c r="F399" s="84">
        <v>225.0</v>
      </c>
      <c r="G399" s="81" t="s">
        <v>7</v>
      </c>
      <c r="H399" s="81" t="s">
        <v>53</v>
      </c>
      <c r="I399" s="81" t="s">
        <v>1134</v>
      </c>
      <c r="J399" s="81" t="s">
        <v>224</v>
      </c>
      <c r="K399" s="81" t="str">
        <f>IFERROR(__xludf.DUMMYFUNCTION("IF(OR(D399="""",G399=""""),"""",IFERROR(LET(
campo,XLOOKUP(TRIM(G399),ARRAYFORMULA(TRIM('indice columnas'!$A$2:$A$100)),'indice columnas'!$B$2:$B$100,""""),
col,IFERROR(MATCH(campo,Referencia!$A$1:$AZ$1,0),0),
fila,IFERROR(MATCH(TO_TEXT(D399),ARRAYFORMULA"&amp;"(TO_TEXT(Referencia!$A$2:$A6238)),0),0),
IF(OR(campo="""",campo=""-""),""NO APLICA"",
IF(col=0,""REVISAR EQUIVALENCIA"",
IF(fila=0,""SKU NO ENCONTRADO"",
LET(
valor,INDEX(Referencia!$A$2:$AZ6238,fila,col),
IF(TRIM(TO_TEXT(valor))=TRIM(TO_TEXT(I399)),
""OK"&amp;""",
""NO COINCIDE. Valor verdadero: ""&amp;IF(valor="""",""[VACÍO]"",TO_TEXT(valor))
)
))))
),""ERROR EN FÓRMULA""))"),"REVISAR EQUIVALENCIA")</f>
        <v>REVISAR EQUIVALENCIA</v>
      </c>
    </row>
    <row r="400">
      <c r="A400" s="83" t="s">
        <v>4078</v>
      </c>
      <c r="B400" s="83" t="s">
        <v>4079</v>
      </c>
      <c r="C400" s="81" t="s">
        <v>4086</v>
      </c>
      <c r="D400" s="83" t="s">
        <v>4285</v>
      </c>
      <c r="E400" s="81" t="s">
        <v>1133</v>
      </c>
      <c r="F400" s="84">
        <v>225.0</v>
      </c>
      <c r="G400" s="81" t="s">
        <v>12</v>
      </c>
      <c r="H400" s="81" t="s">
        <v>224</v>
      </c>
      <c r="I400" s="81" t="s">
        <v>55</v>
      </c>
      <c r="J400" s="81" t="s">
        <v>224</v>
      </c>
      <c r="K400" s="81" t="str">
        <f>IFERROR(__xludf.DUMMYFUNCTION("IF(OR(D400="""",G400=""""),"""",IFERROR(LET(
campo,XLOOKUP(TRIM(G400),ARRAYFORMULA(TRIM('indice columnas'!$A$2:$A$100)),'indice columnas'!$B$2:$B$100,""""),
col,IFERROR(MATCH(campo,Referencia!$A$1:$AZ$1,0),0),
fila,IFERROR(MATCH(TO_TEXT(D400),ARRAYFORMULA"&amp;"(TO_TEXT(Referencia!$A$2:$A6238)),0),0),
IF(OR(campo="""",campo=""-""),""NO APLICA"",
IF(col=0,""REVISAR EQUIVALENCIA"",
IF(fila=0,""SKU NO ENCONTRADO"",
LET(
valor,INDEX(Referencia!$A$2:$AZ6238,fila,col),
IF(TRIM(TO_TEXT(valor))=TRIM(TO_TEXT(I400)),
""OK"&amp;""",
""NO COINCIDE. Valor verdadero: ""&amp;IF(valor="""",""[VACÍO]"",TO_TEXT(valor))
)
))))
),""ERROR EN FÓRMULA""))"),"OK")</f>
        <v>OK</v>
      </c>
    </row>
    <row r="401">
      <c r="A401" s="83" t="s">
        <v>4078</v>
      </c>
      <c r="B401" s="83" t="s">
        <v>4079</v>
      </c>
      <c r="C401" s="81" t="s">
        <v>4086</v>
      </c>
      <c r="D401" s="83" t="s">
        <v>4285</v>
      </c>
      <c r="E401" s="81" t="s">
        <v>1133</v>
      </c>
      <c r="F401" s="84">
        <v>225.0</v>
      </c>
      <c r="G401" s="81" t="s">
        <v>14</v>
      </c>
      <c r="H401" s="81" t="s">
        <v>4258</v>
      </c>
      <c r="I401" s="81" t="s">
        <v>228</v>
      </c>
      <c r="J401" s="81" t="s">
        <v>224</v>
      </c>
      <c r="K401" s="81" t="str">
        <f>IFERROR(__xludf.DUMMYFUNCTION("IF(OR(D401="""",G401=""""),"""",IFERROR(LET(
campo,XLOOKUP(TRIM(G401),ARRAYFORMULA(TRIM('indice columnas'!$A$2:$A$100)),'indice columnas'!$B$2:$B$100,""""),
col,IFERROR(MATCH(campo,Referencia!$A$1:$AZ$1,0),0),
fila,IFERROR(MATCH(TO_TEXT(D401),ARRAYFORMULA"&amp;"(TO_TEXT(Referencia!$A$2:$A6238)),0),0),
IF(OR(campo="""",campo=""-""),""NO APLICA"",
IF(col=0,""REVISAR EQUIVALENCIA"",
IF(fila=0,""SKU NO ENCONTRADO"",
LET(
valor,INDEX(Referencia!$A$2:$AZ6238,fila,col),
IF(TRIM(TO_TEXT(valor))=TRIM(TO_TEXT(I401)),
""OK"&amp;""",
""NO COINCIDE. Valor verdadero: ""&amp;IF(valor="""",""[VACÍO]"",TO_TEXT(valor))
)
))))
),""ERROR EN FÓRMULA""))"),"NO COINCIDE. Valor verdadero: 220")</f>
        <v>NO COINCIDE. Valor verdadero: 220</v>
      </c>
    </row>
    <row r="402">
      <c r="A402" s="83" t="s">
        <v>4078</v>
      </c>
      <c r="B402" s="83" t="s">
        <v>4079</v>
      </c>
      <c r="C402" s="81" t="s">
        <v>4086</v>
      </c>
      <c r="D402" s="83" t="s">
        <v>4285</v>
      </c>
      <c r="E402" s="81" t="s">
        <v>1133</v>
      </c>
      <c r="F402" s="84">
        <v>225.0</v>
      </c>
      <c r="G402" s="81" t="s">
        <v>29</v>
      </c>
      <c r="H402" s="81" t="s">
        <v>4286</v>
      </c>
      <c r="I402" s="81" t="s">
        <v>1135</v>
      </c>
      <c r="J402" s="81" t="s">
        <v>224</v>
      </c>
      <c r="K402" s="81" t="str">
        <f>IFERROR(__xludf.DUMMYFUNCTION("IF(OR(D402="""",G402=""""),"""",IFERROR(LET(
campo,XLOOKUP(TRIM(G402),ARRAYFORMULA(TRIM('indice columnas'!$A$2:$A$100)),'indice columnas'!$B$2:$B$100,""""),
col,IFERROR(MATCH(campo,Referencia!$A$1:$AZ$1,0),0),
fila,IFERROR(MATCH(TO_TEXT(D402),ARRAYFORMULA"&amp;"(TO_TEXT(Referencia!$A$2:$A6238)),0),0),
IF(OR(campo="""",campo=""-""),""NO APLICA"",
IF(col=0,""REVISAR EQUIVALENCIA"",
IF(fila=0,""SKU NO ENCONTRADO"",
LET(
valor,INDEX(Referencia!$A$2:$AZ6238,fila,col),
IF(TRIM(TO_TEXT(valor))=TRIM(TO_TEXT(I402)),
""OK"&amp;""",
""NO COINCIDE. Valor verdadero: ""&amp;IF(valor="""",""[VACÍO]"",TO_TEXT(valor))
)
))))
),""ERROR EN FÓRMULA""))"),"NO COINCIDE. Valor verdadero: 32 x 36 x 3000 (Ancho x Alto x Largo)")</f>
        <v>NO COINCIDE. Valor verdadero: 32 x 36 x 3000 (Ancho x Alto x Largo)</v>
      </c>
    </row>
    <row r="403">
      <c r="A403" s="83" t="s">
        <v>4078</v>
      </c>
      <c r="B403" s="83" t="s">
        <v>4079</v>
      </c>
      <c r="C403" s="81" t="s">
        <v>4086</v>
      </c>
      <c r="D403" s="83" t="s">
        <v>4285</v>
      </c>
      <c r="E403" s="81" t="s">
        <v>1133</v>
      </c>
      <c r="F403" s="84">
        <v>225.0</v>
      </c>
      <c r="G403" s="81" t="s">
        <v>44</v>
      </c>
      <c r="H403" s="81" t="s">
        <v>224</v>
      </c>
      <c r="I403" s="81" t="s">
        <v>1051</v>
      </c>
      <c r="J403" s="81" t="s">
        <v>4088</v>
      </c>
      <c r="K403" s="81" t="str">
        <f>IFERROR(__xludf.DUMMYFUNCTION("IF(OR(D403="""",G403=""""),"""",IFERROR(LET(
campo,XLOOKUP(TRIM(G403),ARRAYFORMULA(TRIM('indice columnas'!$A$2:$A$100)),'indice columnas'!$B$2:$B$100,""""),
col,IFERROR(MATCH(campo,Referencia!$A$1:$AZ$1,0),0),
fila,IFERROR(MATCH(TO_TEXT(D403),ARRAYFORMULA"&amp;"(TO_TEXT(Referencia!$A$2:$A6238)),0),0),
IF(OR(campo="""",campo=""-""),""NO APLICA"",
IF(col=0,""REVISAR EQUIVALENCIA"",
IF(fila=0,""SKU NO ENCONTRADO"",
LET(
valor,INDEX(Referencia!$A$2:$AZ6238,fila,col),
IF(TRIM(TO_TEXT(valor))=TRIM(TO_TEXT(I403)),
""OK"&amp;""",
""NO COINCIDE. Valor verdadero: ""&amp;IF(valor="""",""[VACÍO]"",TO_TEXT(valor))
)
))))
),""ERROR EN FÓRMULA""))"),"NO APLICA")</f>
        <v>NO APLICA</v>
      </c>
    </row>
    <row r="404">
      <c r="A404" s="83" t="s">
        <v>4078</v>
      </c>
      <c r="B404" s="83" t="s">
        <v>4079</v>
      </c>
      <c r="C404" s="81" t="s">
        <v>4086</v>
      </c>
      <c r="D404" s="83" t="s">
        <v>4287</v>
      </c>
      <c r="E404" s="81" t="s">
        <v>1138</v>
      </c>
      <c r="F404" s="84">
        <v>226.0</v>
      </c>
      <c r="G404" s="81" t="s">
        <v>7</v>
      </c>
      <c r="H404" s="81" t="s">
        <v>53</v>
      </c>
      <c r="I404" s="81" t="s">
        <v>1134</v>
      </c>
      <c r="J404" s="81" t="s">
        <v>224</v>
      </c>
      <c r="K404" s="81" t="str">
        <f>IFERROR(__xludf.DUMMYFUNCTION("IF(OR(D404="""",G404=""""),"""",IFERROR(LET(
campo,XLOOKUP(TRIM(G404),ARRAYFORMULA(TRIM('indice columnas'!$A$2:$A$100)),'indice columnas'!$B$2:$B$100,""""),
col,IFERROR(MATCH(campo,Referencia!$A$1:$AZ$1,0),0),
fila,IFERROR(MATCH(TO_TEXT(D404),ARRAYFORMULA"&amp;"(TO_TEXT(Referencia!$A$2:$A6238)),0),0),
IF(OR(campo="""",campo=""-""),""NO APLICA"",
IF(col=0,""REVISAR EQUIVALENCIA"",
IF(fila=0,""SKU NO ENCONTRADO"",
LET(
valor,INDEX(Referencia!$A$2:$AZ6238,fila,col),
IF(TRIM(TO_TEXT(valor))=TRIM(TO_TEXT(I404)),
""OK"&amp;""",
""NO COINCIDE. Valor verdadero: ""&amp;IF(valor="""",""[VACÍO]"",TO_TEXT(valor))
)
))))
),""ERROR EN FÓRMULA""))"),"REVISAR EQUIVALENCIA")</f>
        <v>REVISAR EQUIVALENCIA</v>
      </c>
    </row>
    <row r="405">
      <c r="A405" s="83" t="s">
        <v>4078</v>
      </c>
      <c r="B405" s="83" t="s">
        <v>4079</v>
      </c>
      <c r="C405" s="81" t="s">
        <v>4086</v>
      </c>
      <c r="D405" s="83" t="s">
        <v>4287</v>
      </c>
      <c r="E405" s="81" t="s">
        <v>1138</v>
      </c>
      <c r="F405" s="84">
        <v>226.0</v>
      </c>
      <c r="G405" s="81" t="s">
        <v>12</v>
      </c>
      <c r="H405" s="81" t="s">
        <v>224</v>
      </c>
      <c r="I405" s="81" t="s">
        <v>55</v>
      </c>
      <c r="J405" s="81" t="s">
        <v>224</v>
      </c>
      <c r="K405" s="81" t="str">
        <f>IFERROR(__xludf.DUMMYFUNCTION("IF(OR(D405="""",G405=""""),"""",IFERROR(LET(
campo,XLOOKUP(TRIM(G405),ARRAYFORMULA(TRIM('indice columnas'!$A$2:$A$100)),'indice columnas'!$B$2:$B$100,""""),
col,IFERROR(MATCH(campo,Referencia!$A$1:$AZ$1,0),0),
fila,IFERROR(MATCH(TO_TEXT(D405),ARRAYFORMULA"&amp;"(TO_TEXT(Referencia!$A$2:$A6238)),0),0),
IF(OR(campo="""",campo=""-""),""NO APLICA"",
IF(col=0,""REVISAR EQUIVALENCIA"",
IF(fila=0,""SKU NO ENCONTRADO"",
LET(
valor,INDEX(Referencia!$A$2:$AZ6238,fila,col),
IF(TRIM(TO_TEXT(valor))=TRIM(TO_TEXT(I405)),
""OK"&amp;""",
""NO COINCIDE. Valor verdadero: ""&amp;IF(valor="""",""[VACÍO]"",TO_TEXT(valor))
)
))))
),""ERROR EN FÓRMULA""))"),"OK")</f>
        <v>OK</v>
      </c>
    </row>
    <row r="406">
      <c r="A406" s="83" t="s">
        <v>4078</v>
      </c>
      <c r="B406" s="83" t="s">
        <v>4079</v>
      </c>
      <c r="C406" s="81" t="s">
        <v>4086</v>
      </c>
      <c r="D406" s="83" t="s">
        <v>4287</v>
      </c>
      <c r="E406" s="81" t="s">
        <v>1138</v>
      </c>
      <c r="F406" s="84">
        <v>226.0</v>
      </c>
      <c r="G406" s="81" t="s">
        <v>14</v>
      </c>
      <c r="H406" s="81" t="s">
        <v>4258</v>
      </c>
      <c r="I406" s="81" t="s">
        <v>228</v>
      </c>
      <c r="J406" s="81" t="s">
        <v>224</v>
      </c>
      <c r="K406" s="81" t="str">
        <f>IFERROR(__xludf.DUMMYFUNCTION("IF(OR(D406="""",G406=""""),"""",IFERROR(LET(
campo,XLOOKUP(TRIM(G406),ARRAYFORMULA(TRIM('indice columnas'!$A$2:$A$100)),'indice columnas'!$B$2:$B$100,""""),
col,IFERROR(MATCH(campo,Referencia!$A$1:$AZ$1,0),0),
fila,IFERROR(MATCH(TO_TEXT(D406),ARRAYFORMULA"&amp;"(TO_TEXT(Referencia!$A$2:$A6238)),0),0),
IF(OR(campo="""",campo=""-""),""NO APLICA"",
IF(col=0,""REVISAR EQUIVALENCIA"",
IF(fila=0,""SKU NO ENCONTRADO"",
LET(
valor,INDEX(Referencia!$A$2:$AZ6238,fila,col),
IF(TRIM(TO_TEXT(valor))=TRIM(TO_TEXT(I406)),
""OK"&amp;""",
""NO COINCIDE. Valor verdadero: ""&amp;IF(valor="""",""[VACÍO]"",TO_TEXT(valor))
)
))))
),""ERROR EN FÓRMULA""))"),"NO COINCIDE. Valor verdadero: 220")</f>
        <v>NO COINCIDE. Valor verdadero: 220</v>
      </c>
    </row>
    <row r="407">
      <c r="A407" s="83" t="s">
        <v>4078</v>
      </c>
      <c r="B407" s="83" t="s">
        <v>4079</v>
      </c>
      <c r="C407" s="81" t="s">
        <v>4086</v>
      </c>
      <c r="D407" s="83" t="s">
        <v>4287</v>
      </c>
      <c r="E407" s="81" t="s">
        <v>1138</v>
      </c>
      <c r="F407" s="84">
        <v>226.0</v>
      </c>
      <c r="G407" s="81" t="s">
        <v>29</v>
      </c>
      <c r="H407" s="81" t="s">
        <v>4288</v>
      </c>
      <c r="I407" s="81" t="s">
        <v>1139</v>
      </c>
      <c r="J407" s="81" t="s">
        <v>224</v>
      </c>
      <c r="K407" s="81" t="str">
        <f>IFERROR(__xludf.DUMMYFUNCTION("IF(OR(D407="""",G407=""""),"""",IFERROR(LET(
campo,XLOOKUP(TRIM(G407),ARRAYFORMULA(TRIM('indice columnas'!$A$2:$A$100)),'indice columnas'!$B$2:$B$100,""""),
col,IFERROR(MATCH(campo,Referencia!$A$1:$AZ$1,0),0),
fila,IFERROR(MATCH(TO_TEXT(D407),ARRAYFORMULA"&amp;"(TO_TEXT(Referencia!$A$2:$A6238)),0),0),
IF(OR(campo="""",campo=""-""),""NO APLICA"",
IF(col=0,""REVISAR EQUIVALENCIA"",
IF(fila=0,""SKU NO ENCONTRADO"",
LET(
valor,INDEX(Referencia!$A$2:$AZ6238,fila,col),
IF(TRIM(TO_TEXT(valor))=TRIM(TO_TEXT(I407)),
""OK"&amp;""",
""NO COINCIDE. Valor verdadero: ""&amp;IF(valor="""",""[VACÍO]"",TO_TEXT(valor))
)
))))
),""ERROR EN FÓRMULA""))"),"NO COINCIDE. Valor verdadero: 32 x 36 x 1000 (Ancho x Alto x Largo)")</f>
        <v>NO COINCIDE. Valor verdadero: 32 x 36 x 1000 (Ancho x Alto x Largo)</v>
      </c>
    </row>
    <row r="408">
      <c r="A408" s="83" t="s">
        <v>4078</v>
      </c>
      <c r="B408" s="83" t="s">
        <v>4079</v>
      </c>
      <c r="C408" s="81" t="s">
        <v>4086</v>
      </c>
      <c r="D408" s="83" t="s">
        <v>4287</v>
      </c>
      <c r="E408" s="81" t="s">
        <v>1138</v>
      </c>
      <c r="F408" s="84">
        <v>226.0</v>
      </c>
      <c r="G408" s="81" t="s">
        <v>44</v>
      </c>
      <c r="H408" s="81" t="s">
        <v>224</v>
      </c>
      <c r="I408" s="81" t="s">
        <v>1051</v>
      </c>
      <c r="J408" s="81" t="s">
        <v>4088</v>
      </c>
      <c r="K408" s="81" t="str">
        <f>IFERROR(__xludf.DUMMYFUNCTION("IF(OR(D408="""",G408=""""),"""",IFERROR(LET(
campo,XLOOKUP(TRIM(G408),ARRAYFORMULA(TRIM('indice columnas'!$A$2:$A$100)),'indice columnas'!$B$2:$B$100,""""),
col,IFERROR(MATCH(campo,Referencia!$A$1:$AZ$1,0),0),
fila,IFERROR(MATCH(TO_TEXT(D408),ARRAYFORMULA"&amp;"(TO_TEXT(Referencia!$A$2:$A6238)),0),0),
IF(OR(campo="""",campo=""-""),""NO APLICA"",
IF(col=0,""REVISAR EQUIVALENCIA"",
IF(fila=0,""SKU NO ENCONTRADO"",
LET(
valor,INDEX(Referencia!$A$2:$AZ6238,fila,col),
IF(TRIM(TO_TEXT(valor))=TRIM(TO_TEXT(I408)),
""OK"&amp;""",
""NO COINCIDE. Valor verdadero: ""&amp;IF(valor="""",""[VACÍO]"",TO_TEXT(valor))
)
))))
),""ERROR EN FÓRMULA""))"),"NO APLICA")</f>
        <v>NO APLICA</v>
      </c>
    </row>
    <row r="409">
      <c r="A409" s="83" t="s">
        <v>4078</v>
      </c>
      <c r="B409" s="83" t="s">
        <v>4079</v>
      </c>
      <c r="C409" s="81" t="s">
        <v>4086</v>
      </c>
      <c r="D409" s="83" t="s">
        <v>4289</v>
      </c>
      <c r="E409" s="81" t="s">
        <v>1142</v>
      </c>
      <c r="F409" s="84">
        <v>227.0</v>
      </c>
      <c r="G409" s="81" t="s">
        <v>7</v>
      </c>
      <c r="H409" s="81" t="s">
        <v>53</v>
      </c>
      <c r="I409" s="81" t="s">
        <v>1134</v>
      </c>
      <c r="J409" s="81" t="s">
        <v>224</v>
      </c>
      <c r="K409" s="81" t="str">
        <f>IFERROR(__xludf.DUMMYFUNCTION("IF(OR(D409="""",G409=""""),"""",IFERROR(LET(
campo,XLOOKUP(TRIM(G409),ARRAYFORMULA(TRIM('indice columnas'!$A$2:$A$100)),'indice columnas'!$B$2:$B$100,""""),
col,IFERROR(MATCH(campo,Referencia!$A$1:$AZ$1,0),0),
fila,IFERROR(MATCH(TO_TEXT(D409),ARRAYFORMULA"&amp;"(TO_TEXT(Referencia!$A$2:$A6238)),0),0),
IF(OR(campo="""",campo=""-""),""NO APLICA"",
IF(col=0,""REVISAR EQUIVALENCIA"",
IF(fila=0,""SKU NO ENCONTRADO"",
LET(
valor,INDEX(Referencia!$A$2:$AZ6238,fila,col),
IF(TRIM(TO_TEXT(valor))=TRIM(TO_TEXT(I409)),
""OK"&amp;""",
""NO COINCIDE. Valor verdadero: ""&amp;IF(valor="""",""[VACÍO]"",TO_TEXT(valor))
)
))))
),""ERROR EN FÓRMULA""))"),"REVISAR EQUIVALENCIA")</f>
        <v>REVISAR EQUIVALENCIA</v>
      </c>
    </row>
    <row r="410">
      <c r="A410" s="83" t="s">
        <v>4078</v>
      </c>
      <c r="B410" s="83" t="s">
        <v>4079</v>
      </c>
      <c r="C410" s="81" t="s">
        <v>4086</v>
      </c>
      <c r="D410" s="83" t="s">
        <v>4289</v>
      </c>
      <c r="E410" s="81" t="s">
        <v>1142</v>
      </c>
      <c r="F410" s="84">
        <v>227.0</v>
      </c>
      <c r="G410" s="81" t="s">
        <v>12</v>
      </c>
      <c r="H410" s="81" t="s">
        <v>224</v>
      </c>
      <c r="I410" s="81" t="s">
        <v>55</v>
      </c>
      <c r="J410" s="81" t="s">
        <v>224</v>
      </c>
      <c r="K410" s="81" t="str">
        <f>IFERROR(__xludf.DUMMYFUNCTION("IF(OR(D410="""",G410=""""),"""",IFERROR(LET(
campo,XLOOKUP(TRIM(G410),ARRAYFORMULA(TRIM('indice columnas'!$A$2:$A$100)),'indice columnas'!$B$2:$B$100,""""),
col,IFERROR(MATCH(campo,Referencia!$A$1:$AZ$1,0),0),
fila,IFERROR(MATCH(TO_TEXT(D410),ARRAYFORMULA"&amp;"(TO_TEXT(Referencia!$A$2:$A6238)),0),0),
IF(OR(campo="""",campo=""-""),""NO APLICA"",
IF(col=0,""REVISAR EQUIVALENCIA"",
IF(fila=0,""SKU NO ENCONTRADO"",
LET(
valor,INDEX(Referencia!$A$2:$AZ6238,fila,col),
IF(TRIM(TO_TEXT(valor))=TRIM(TO_TEXT(I410)),
""OK"&amp;""",
""NO COINCIDE. Valor verdadero: ""&amp;IF(valor="""",""[VACÍO]"",TO_TEXT(valor))
)
))))
),""ERROR EN FÓRMULA""))"),"OK")</f>
        <v>OK</v>
      </c>
    </row>
    <row r="411">
      <c r="A411" s="83" t="s">
        <v>4078</v>
      </c>
      <c r="B411" s="83" t="s">
        <v>4079</v>
      </c>
      <c r="C411" s="81" t="s">
        <v>4086</v>
      </c>
      <c r="D411" s="83" t="s">
        <v>4289</v>
      </c>
      <c r="E411" s="81" t="s">
        <v>1142</v>
      </c>
      <c r="F411" s="84">
        <v>227.0</v>
      </c>
      <c r="G411" s="81" t="s">
        <v>14</v>
      </c>
      <c r="H411" s="81" t="s">
        <v>4258</v>
      </c>
      <c r="I411" s="81" t="s">
        <v>228</v>
      </c>
      <c r="J411" s="81" t="s">
        <v>224</v>
      </c>
      <c r="K411" s="81" t="str">
        <f>IFERROR(__xludf.DUMMYFUNCTION("IF(OR(D411="""",G411=""""),"""",IFERROR(LET(
campo,XLOOKUP(TRIM(G411),ARRAYFORMULA(TRIM('indice columnas'!$A$2:$A$100)),'indice columnas'!$B$2:$B$100,""""),
col,IFERROR(MATCH(campo,Referencia!$A$1:$AZ$1,0),0),
fila,IFERROR(MATCH(TO_TEXT(D411),ARRAYFORMULA"&amp;"(TO_TEXT(Referencia!$A$2:$A6238)),0),0),
IF(OR(campo="""",campo=""-""),""NO APLICA"",
IF(col=0,""REVISAR EQUIVALENCIA"",
IF(fila=0,""SKU NO ENCONTRADO"",
LET(
valor,INDEX(Referencia!$A$2:$AZ6238,fila,col),
IF(TRIM(TO_TEXT(valor))=TRIM(TO_TEXT(I411)),
""OK"&amp;""",
""NO COINCIDE. Valor verdadero: ""&amp;IF(valor="""",""[VACÍO]"",TO_TEXT(valor))
)
))))
),""ERROR EN FÓRMULA""))"),"NO COINCIDE. Valor verdadero: 220")</f>
        <v>NO COINCIDE. Valor verdadero: 220</v>
      </c>
    </row>
    <row r="412">
      <c r="A412" s="83" t="s">
        <v>4078</v>
      </c>
      <c r="B412" s="83" t="s">
        <v>4079</v>
      </c>
      <c r="C412" s="81" t="s">
        <v>4086</v>
      </c>
      <c r="D412" s="83" t="s">
        <v>4289</v>
      </c>
      <c r="E412" s="81" t="s">
        <v>1142</v>
      </c>
      <c r="F412" s="84">
        <v>227.0</v>
      </c>
      <c r="G412" s="81" t="s">
        <v>29</v>
      </c>
      <c r="H412" s="81" t="s">
        <v>4288</v>
      </c>
      <c r="I412" s="81" t="s">
        <v>1139</v>
      </c>
      <c r="J412" s="81" t="s">
        <v>224</v>
      </c>
      <c r="K412" s="81" t="str">
        <f>IFERROR(__xludf.DUMMYFUNCTION("IF(OR(D412="""",G412=""""),"""",IFERROR(LET(
campo,XLOOKUP(TRIM(G412),ARRAYFORMULA(TRIM('indice columnas'!$A$2:$A$100)),'indice columnas'!$B$2:$B$100,""""),
col,IFERROR(MATCH(campo,Referencia!$A$1:$AZ$1,0),0),
fila,IFERROR(MATCH(TO_TEXT(D412),ARRAYFORMULA"&amp;"(TO_TEXT(Referencia!$A$2:$A6238)),0),0),
IF(OR(campo="""",campo=""-""),""NO APLICA"",
IF(col=0,""REVISAR EQUIVALENCIA"",
IF(fila=0,""SKU NO ENCONTRADO"",
LET(
valor,INDEX(Referencia!$A$2:$AZ6238,fila,col),
IF(TRIM(TO_TEXT(valor))=TRIM(TO_TEXT(I412)),
""OK"&amp;""",
""NO COINCIDE. Valor verdadero: ""&amp;IF(valor="""",""[VACÍO]"",TO_TEXT(valor))
)
))))
),""ERROR EN FÓRMULA""))"),"NO COINCIDE. Valor verdadero: 32 x 36 x 1000 (Ancho x Alto x Largo)")</f>
        <v>NO COINCIDE. Valor verdadero: 32 x 36 x 1000 (Ancho x Alto x Largo)</v>
      </c>
    </row>
    <row r="413">
      <c r="A413" s="83" t="s">
        <v>4078</v>
      </c>
      <c r="B413" s="83" t="s">
        <v>4079</v>
      </c>
      <c r="C413" s="81" t="s">
        <v>4086</v>
      </c>
      <c r="D413" s="83" t="s">
        <v>4289</v>
      </c>
      <c r="E413" s="81" t="s">
        <v>1142</v>
      </c>
      <c r="F413" s="84">
        <v>227.0</v>
      </c>
      <c r="G413" s="81" t="s">
        <v>44</v>
      </c>
      <c r="H413" s="81" t="s">
        <v>224</v>
      </c>
      <c r="I413" s="81" t="s">
        <v>1051</v>
      </c>
      <c r="J413" s="81" t="s">
        <v>4088</v>
      </c>
      <c r="K413" s="81" t="str">
        <f>IFERROR(__xludf.DUMMYFUNCTION("IF(OR(D413="""",G413=""""),"""",IFERROR(LET(
campo,XLOOKUP(TRIM(G413),ARRAYFORMULA(TRIM('indice columnas'!$A$2:$A$100)),'indice columnas'!$B$2:$B$100,""""),
col,IFERROR(MATCH(campo,Referencia!$A$1:$AZ$1,0),0),
fila,IFERROR(MATCH(TO_TEXT(D413),ARRAYFORMULA"&amp;"(TO_TEXT(Referencia!$A$2:$A6238)),0),0),
IF(OR(campo="""",campo=""-""),""NO APLICA"",
IF(col=0,""REVISAR EQUIVALENCIA"",
IF(fila=0,""SKU NO ENCONTRADO"",
LET(
valor,INDEX(Referencia!$A$2:$AZ6238,fila,col),
IF(TRIM(TO_TEXT(valor))=TRIM(TO_TEXT(I413)),
""OK"&amp;""",
""NO COINCIDE. Valor verdadero: ""&amp;IF(valor="""",""[VACÍO]"",TO_TEXT(valor))
)
))))
),""ERROR EN FÓRMULA""))"),"NO APLICA")</f>
        <v>NO APLICA</v>
      </c>
    </row>
    <row r="414">
      <c r="A414" s="83" t="s">
        <v>4078</v>
      </c>
      <c r="B414" s="83" t="s">
        <v>4079</v>
      </c>
      <c r="C414" s="81" t="s">
        <v>4086</v>
      </c>
      <c r="D414" s="83" t="s">
        <v>4290</v>
      </c>
      <c r="E414" s="81" t="s">
        <v>1143</v>
      </c>
      <c r="F414" s="84">
        <v>228.0</v>
      </c>
      <c r="G414" s="81" t="s">
        <v>44</v>
      </c>
      <c r="H414" s="81" t="s">
        <v>224</v>
      </c>
      <c r="I414" s="81" t="s">
        <v>1143</v>
      </c>
      <c r="J414" s="81" t="s">
        <v>4088</v>
      </c>
      <c r="K414" s="81" t="str">
        <f>IFERROR(__xludf.DUMMYFUNCTION("IF(OR(D414="""",G414=""""),"""",IFERROR(LET(
campo,XLOOKUP(TRIM(G414),ARRAYFORMULA(TRIM('indice columnas'!$A$2:$A$100)),'indice columnas'!$B$2:$B$100,""""),
col,IFERROR(MATCH(campo,Referencia!$A$1:$AZ$1,0),0),
fila,IFERROR(MATCH(TO_TEXT(D414),ARRAYFORMULA"&amp;"(TO_TEXT(Referencia!$A$2:$A6238)),0),0),
IF(OR(campo="""",campo=""-""),""NO APLICA"",
IF(col=0,""REVISAR EQUIVALENCIA"",
IF(fila=0,""SKU NO ENCONTRADO"",
LET(
valor,INDEX(Referencia!$A$2:$AZ6238,fila,col),
IF(TRIM(TO_TEXT(valor))=TRIM(TO_TEXT(I414)),
""OK"&amp;""",
""NO COINCIDE. Valor verdadero: ""&amp;IF(valor="""",""[VACÍO]"",TO_TEXT(valor))
)
))))
),""ERROR EN FÓRMULA""))"),"NO APLICA")</f>
        <v>NO APLICA</v>
      </c>
    </row>
    <row r="415">
      <c r="A415" s="83" t="s">
        <v>4078</v>
      </c>
      <c r="B415" s="83" t="s">
        <v>4079</v>
      </c>
      <c r="C415" s="81" t="s">
        <v>4086</v>
      </c>
      <c r="D415" s="83" t="s">
        <v>4290</v>
      </c>
      <c r="E415" s="81" t="s">
        <v>1153</v>
      </c>
      <c r="F415" s="84">
        <v>229.0</v>
      </c>
      <c r="G415" s="81" t="s">
        <v>7</v>
      </c>
      <c r="H415" s="81" t="s">
        <v>53</v>
      </c>
      <c r="I415" s="81" t="s">
        <v>1134</v>
      </c>
      <c r="J415" s="81" t="s">
        <v>224</v>
      </c>
      <c r="K415" s="81" t="str">
        <f>IFERROR(__xludf.DUMMYFUNCTION("IF(OR(D415="""",G415=""""),"""",IFERROR(LET(
campo,XLOOKUP(TRIM(G415),ARRAYFORMULA(TRIM('indice columnas'!$A$2:$A$100)),'indice columnas'!$B$2:$B$100,""""),
col,IFERROR(MATCH(campo,Referencia!$A$1:$AZ$1,0),0),
fila,IFERROR(MATCH(TO_TEXT(D415),ARRAYFORMULA"&amp;"(TO_TEXT(Referencia!$A$2:$A6238)),0),0),
IF(OR(campo="""",campo=""-""),""NO APLICA"",
IF(col=0,""REVISAR EQUIVALENCIA"",
IF(fila=0,""SKU NO ENCONTRADO"",
LET(
valor,INDEX(Referencia!$A$2:$AZ6238,fila,col),
IF(TRIM(TO_TEXT(valor))=TRIM(TO_TEXT(I415)),
""OK"&amp;""",
""NO COINCIDE. Valor verdadero: ""&amp;IF(valor="""",""[VACÍO]"",TO_TEXT(valor))
)
))))
),""ERROR EN FÓRMULA""))"),"REVISAR EQUIVALENCIA")</f>
        <v>REVISAR EQUIVALENCIA</v>
      </c>
    </row>
    <row r="416">
      <c r="A416" s="83" t="s">
        <v>4078</v>
      </c>
      <c r="B416" s="83" t="s">
        <v>4079</v>
      </c>
      <c r="C416" s="81" t="s">
        <v>4086</v>
      </c>
      <c r="D416" s="83" t="s">
        <v>4290</v>
      </c>
      <c r="E416" s="81" t="s">
        <v>1153</v>
      </c>
      <c r="F416" s="84">
        <v>229.0</v>
      </c>
      <c r="G416" s="81" t="s">
        <v>12</v>
      </c>
      <c r="H416" s="81" t="s">
        <v>224</v>
      </c>
      <c r="I416" s="81" t="s">
        <v>55</v>
      </c>
      <c r="J416" s="81" t="s">
        <v>224</v>
      </c>
      <c r="K416" s="81" t="str">
        <f>IFERROR(__xludf.DUMMYFUNCTION("IF(OR(D416="""",G416=""""),"""",IFERROR(LET(
campo,XLOOKUP(TRIM(G416),ARRAYFORMULA(TRIM('indice columnas'!$A$2:$A$100)),'indice columnas'!$B$2:$B$100,""""),
col,IFERROR(MATCH(campo,Referencia!$A$1:$AZ$1,0),0),
fila,IFERROR(MATCH(TO_TEXT(D416),ARRAYFORMULA"&amp;"(TO_TEXT(Referencia!$A$2:$A6238)),0),0),
IF(OR(campo="""",campo=""-""),""NO APLICA"",
IF(col=0,""REVISAR EQUIVALENCIA"",
IF(fila=0,""SKU NO ENCONTRADO"",
LET(
valor,INDEX(Referencia!$A$2:$AZ6238,fila,col),
IF(TRIM(TO_TEXT(valor))=TRIM(TO_TEXT(I416)),
""OK"&amp;""",
""NO COINCIDE. Valor verdadero: ""&amp;IF(valor="""",""[VACÍO]"",TO_TEXT(valor))
)
))))
),""ERROR EN FÓRMULA""))"),"OK")</f>
        <v>OK</v>
      </c>
    </row>
    <row r="417">
      <c r="A417" s="83" t="s">
        <v>4078</v>
      </c>
      <c r="B417" s="83" t="s">
        <v>4079</v>
      </c>
      <c r="C417" s="81" t="s">
        <v>4086</v>
      </c>
      <c r="D417" s="83" t="s">
        <v>4290</v>
      </c>
      <c r="E417" s="81" t="s">
        <v>1153</v>
      </c>
      <c r="F417" s="84">
        <v>229.0</v>
      </c>
      <c r="G417" s="81" t="s">
        <v>44</v>
      </c>
      <c r="H417" s="81" t="s">
        <v>224</v>
      </c>
      <c r="I417" s="81" t="s">
        <v>1143</v>
      </c>
      <c r="J417" s="81" t="s">
        <v>4088</v>
      </c>
      <c r="K417" s="81" t="str">
        <f>IFERROR(__xludf.DUMMYFUNCTION("IF(OR(D417="""",G417=""""),"""",IFERROR(LET(
campo,XLOOKUP(TRIM(G417),ARRAYFORMULA(TRIM('indice columnas'!$A$2:$A$100)),'indice columnas'!$B$2:$B$100,""""),
col,IFERROR(MATCH(campo,Referencia!$A$1:$AZ$1,0),0),
fila,IFERROR(MATCH(TO_TEXT(D417),ARRAYFORMULA"&amp;"(TO_TEXT(Referencia!$A$2:$A6238)),0),0),
IF(OR(campo="""",campo=""-""),""NO APLICA"",
IF(col=0,""REVISAR EQUIVALENCIA"",
IF(fila=0,""SKU NO ENCONTRADO"",
LET(
valor,INDEX(Referencia!$A$2:$AZ6238,fila,col),
IF(TRIM(TO_TEXT(valor))=TRIM(TO_TEXT(I417)),
""OK"&amp;""",
""NO COINCIDE. Valor verdadero: ""&amp;IF(valor="""",""[VACÍO]"",TO_TEXT(valor))
)
))))
),""ERROR EN FÓRMULA""))"),"NO APLICA")</f>
        <v>NO APLICA</v>
      </c>
    </row>
    <row r="418">
      <c r="A418" s="83" t="s">
        <v>4078</v>
      </c>
      <c r="B418" s="83" t="s">
        <v>4079</v>
      </c>
      <c r="C418" s="81" t="s">
        <v>4086</v>
      </c>
      <c r="D418" s="83" t="s">
        <v>4291</v>
      </c>
      <c r="E418" s="81" t="s">
        <v>1155</v>
      </c>
      <c r="F418" s="84">
        <v>230.0</v>
      </c>
      <c r="G418" s="81" t="s">
        <v>7</v>
      </c>
      <c r="H418" s="81" t="s">
        <v>53</v>
      </c>
      <c r="I418" s="81" t="s">
        <v>1134</v>
      </c>
      <c r="J418" s="81" t="s">
        <v>224</v>
      </c>
      <c r="K418" s="81" t="str">
        <f>IFERROR(__xludf.DUMMYFUNCTION("IF(OR(D418="""",G418=""""),"""",IFERROR(LET(
campo,XLOOKUP(TRIM(G418),ARRAYFORMULA(TRIM('indice columnas'!$A$2:$A$100)),'indice columnas'!$B$2:$B$100,""""),
col,IFERROR(MATCH(campo,Referencia!$A$1:$AZ$1,0),0),
fila,IFERROR(MATCH(TO_TEXT(D418),ARRAYFORMULA"&amp;"(TO_TEXT(Referencia!$A$2:$A6238)),0),0),
IF(OR(campo="""",campo=""-""),""NO APLICA"",
IF(col=0,""REVISAR EQUIVALENCIA"",
IF(fila=0,""SKU NO ENCONTRADO"",
LET(
valor,INDEX(Referencia!$A$2:$AZ6238,fila,col),
IF(TRIM(TO_TEXT(valor))=TRIM(TO_TEXT(I418)),
""OK"&amp;""",
""NO COINCIDE. Valor verdadero: ""&amp;IF(valor="""",""[VACÍO]"",TO_TEXT(valor))
)
))))
),""ERROR EN FÓRMULA""))"),"REVISAR EQUIVALENCIA")</f>
        <v>REVISAR EQUIVALENCIA</v>
      </c>
    </row>
    <row r="419">
      <c r="A419" s="83" t="s">
        <v>4078</v>
      </c>
      <c r="B419" s="83" t="s">
        <v>4079</v>
      </c>
      <c r="C419" s="81" t="s">
        <v>4086</v>
      </c>
      <c r="D419" s="83" t="s">
        <v>4291</v>
      </c>
      <c r="E419" s="81" t="s">
        <v>1155</v>
      </c>
      <c r="F419" s="84">
        <v>230.0</v>
      </c>
      <c r="G419" s="81" t="s">
        <v>12</v>
      </c>
      <c r="H419" s="81" t="s">
        <v>224</v>
      </c>
      <c r="I419" s="81" t="s">
        <v>55</v>
      </c>
      <c r="J419" s="81" t="s">
        <v>224</v>
      </c>
      <c r="K419" s="81" t="str">
        <f>IFERROR(__xludf.DUMMYFUNCTION("IF(OR(D419="""",G419=""""),"""",IFERROR(LET(
campo,XLOOKUP(TRIM(G419),ARRAYFORMULA(TRIM('indice columnas'!$A$2:$A$100)),'indice columnas'!$B$2:$B$100,""""),
col,IFERROR(MATCH(campo,Referencia!$A$1:$AZ$1,0),0),
fila,IFERROR(MATCH(TO_TEXT(D419),ARRAYFORMULA"&amp;"(TO_TEXT(Referencia!$A$2:$A6238)),0),0),
IF(OR(campo="""",campo=""-""),""NO APLICA"",
IF(col=0,""REVISAR EQUIVALENCIA"",
IF(fila=0,""SKU NO ENCONTRADO"",
LET(
valor,INDEX(Referencia!$A$2:$AZ6238,fila,col),
IF(TRIM(TO_TEXT(valor))=TRIM(TO_TEXT(I419)),
""OK"&amp;""",
""NO COINCIDE. Valor verdadero: ""&amp;IF(valor="""",""[VACÍO]"",TO_TEXT(valor))
)
))))
),""ERROR EN FÓRMULA""))"),"OK")</f>
        <v>OK</v>
      </c>
    </row>
    <row r="420">
      <c r="A420" s="83" t="s">
        <v>4078</v>
      </c>
      <c r="B420" s="83" t="s">
        <v>4079</v>
      </c>
      <c r="C420" s="81" t="s">
        <v>4086</v>
      </c>
      <c r="D420" s="83" t="s">
        <v>4291</v>
      </c>
      <c r="E420" s="81" t="s">
        <v>1155</v>
      </c>
      <c r="F420" s="84">
        <v>230.0</v>
      </c>
      <c r="G420" s="81" t="s">
        <v>44</v>
      </c>
      <c r="H420" s="81" t="s">
        <v>224</v>
      </c>
      <c r="I420" s="81" t="s">
        <v>1143</v>
      </c>
      <c r="J420" s="81" t="s">
        <v>4088</v>
      </c>
      <c r="K420" s="81" t="str">
        <f>IFERROR(__xludf.DUMMYFUNCTION("IF(OR(D420="""",G420=""""),"""",IFERROR(LET(
campo,XLOOKUP(TRIM(G420),ARRAYFORMULA(TRIM('indice columnas'!$A$2:$A$100)),'indice columnas'!$B$2:$B$100,""""),
col,IFERROR(MATCH(campo,Referencia!$A$1:$AZ$1,0),0),
fila,IFERROR(MATCH(TO_TEXT(D420),ARRAYFORMULA"&amp;"(TO_TEXT(Referencia!$A$2:$A6238)),0),0),
IF(OR(campo="""",campo=""-""),""NO APLICA"",
IF(col=0,""REVISAR EQUIVALENCIA"",
IF(fila=0,""SKU NO ENCONTRADO"",
LET(
valor,INDEX(Referencia!$A$2:$AZ6238,fila,col),
IF(TRIM(TO_TEXT(valor))=TRIM(TO_TEXT(I420)),
""OK"&amp;""",
""NO COINCIDE. Valor verdadero: ""&amp;IF(valor="""",""[VACÍO]"",TO_TEXT(valor))
)
))))
),""ERROR EN FÓRMULA""))"),"NO APLICA")</f>
        <v>NO APLICA</v>
      </c>
    </row>
    <row r="421">
      <c r="A421" s="83" t="s">
        <v>4078</v>
      </c>
      <c r="B421" s="83" t="s">
        <v>4079</v>
      </c>
      <c r="C421" s="81" t="s">
        <v>4086</v>
      </c>
      <c r="D421" s="83" t="s">
        <v>4292</v>
      </c>
      <c r="E421" s="81" t="s">
        <v>1158</v>
      </c>
      <c r="F421" s="84">
        <v>231.0</v>
      </c>
      <c r="G421" s="81" t="s">
        <v>44</v>
      </c>
      <c r="H421" s="81" t="s">
        <v>4293</v>
      </c>
      <c r="I421" s="81" t="s">
        <v>1158</v>
      </c>
      <c r="J421" s="81" t="s">
        <v>4088</v>
      </c>
      <c r="K421" s="81" t="str">
        <f>IFERROR(__xludf.DUMMYFUNCTION("IF(OR(D421="""",G421=""""),"""",IFERROR(LET(
campo,XLOOKUP(TRIM(G421),ARRAYFORMULA(TRIM('indice columnas'!$A$2:$A$100)),'indice columnas'!$B$2:$B$100,""""),
col,IFERROR(MATCH(campo,Referencia!$A$1:$AZ$1,0),0),
fila,IFERROR(MATCH(TO_TEXT(D421),ARRAYFORMULA"&amp;"(TO_TEXT(Referencia!$A$2:$A6238)),0),0),
IF(OR(campo="""",campo=""-""),""NO APLICA"",
IF(col=0,""REVISAR EQUIVALENCIA"",
IF(fila=0,""SKU NO ENCONTRADO"",
LET(
valor,INDEX(Referencia!$A$2:$AZ6238,fila,col),
IF(TRIM(TO_TEXT(valor))=TRIM(TO_TEXT(I421)),
""OK"&amp;""",
""NO COINCIDE. Valor verdadero: ""&amp;IF(valor="""",""[VACÍO]"",TO_TEXT(valor))
)
))))
),""ERROR EN FÓRMULA""))"),"NO APLICA")</f>
        <v>NO APLICA</v>
      </c>
    </row>
    <row r="422">
      <c r="A422" s="83" t="s">
        <v>4078</v>
      </c>
      <c r="B422" s="83" t="s">
        <v>4079</v>
      </c>
      <c r="C422" s="81" t="s">
        <v>4086</v>
      </c>
      <c r="D422" s="83" t="s">
        <v>4292</v>
      </c>
      <c r="E422" s="81" t="s">
        <v>1175</v>
      </c>
      <c r="F422" s="84">
        <v>232.0</v>
      </c>
      <c r="G422" s="81" t="s">
        <v>7</v>
      </c>
      <c r="H422" s="81" t="s">
        <v>53</v>
      </c>
      <c r="I422" s="81" t="s">
        <v>1134</v>
      </c>
      <c r="J422" s="81" t="s">
        <v>224</v>
      </c>
      <c r="K422" s="81" t="str">
        <f>IFERROR(__xludf.DUMMYFUNCTION("IF(OR(D422="""",G422=""""),"""",IFERROR(LET(
campo,XLOOKUP(TRIM(G422),ARRAYFORMULA(TRIM('indice columnas'!$A$2:$A$100)),'indice columnas'!$B$2:$B$100,""""),
col,IFERROR(MATCH(campo,Referencia!$A$1:$AZ$1,0),0),
fila,IFERROR(MATCH(TO_TEXT(D422),ARRAYFORMULA"&amp;"(TO_TEXT(Referencia!$A$2:$A6238)),0),0),
IF(OR(campo="""",campo=""-""),""NO APLICA"",
IF(col=0,""REVISAR EQUIVALENCIA"",
IF(fila=0,""SKU NO ENCONTRADO"",
LET(
valor,INDEX(Referencia!$A$2:$AZ6238,fila,col),
IF(TRIM(TO_TEXT(valor))=TRIM(TO_TEXT(I422)),
""OK"&amp;""",
""NO COINCIDE. Valor verdadero: ""&amp;IF(valor="""",""[VACÍO]"",TO_TEXT(valor))
)
))))
),""ERROR EN FÓRMULA""))"),"REVISAR EQUIVALENCIA")</f>
        <v>REVISAR EQUIVALENCIA</v>
      </c>
    </row>
    <row r="423">
      <c r="A423" s="83" t="s">
        <v>4078</v>
      </c>
      <c r="B423" s="83" t="s">
        <v>4079</v>
      </c>
      <c r="C423" s="81" t="s">
        <v>4086</v>
      </c>
      <c r="D423" s="83" t="s">
        <v>4292</v>
      </c>
      <c r="E423" s="81" t="s">
        <v>1175</v>
      </c>
      <c r="F423" s="84">
        <v>232.0</v>
      </c>
      <c r="G423" s="81" t="s">
        <v>44</v>
      </c>
      <c r="H423" s="81" t="s">
        <v>4293</v>
      </c>
      <c r="I423" s="81" t="s">
        <v>1158</v>
      </c>
      <c r="J423" s="81" t="s">
        <v>4088</v>
      </c>
      <c r="K423" s="81" t="str">
        <f>IFERROR(__xludf.DUMMYFUNCTION("IF(OR(D423="""",G423=""""),"""",IFERROR(LET(
campo,XLOOKUP(TRIM(G423),ARRAYFORMULA(TRIM('indice columnas'!$A$2:$A$100)),'indice columnas'!$B$2:$B$100,""""),
col,IFERROR(MATCH(campo,Referencia!$A$1:$AZ$1,0),0),
fila,IFERROR(MATCH(TO_TEXT(D423),ARRAYFORMULA"&amp;"(TO_TEXT(Referencia!$A$2:$A6238)),0),0),
IF(OR(campo="""",campo=""-""),""NO APLICA"",
IF(col=0,""REVISAR EQUIVALENCIA"",
IF(fila=0,""SKU NO ENCONTRADO"",
LET(
valor,INDEX(Referencia!$A$2:$AZ6238,fila,col),
IF(TRIM(TO_TEXT(valor))=TRIM(TO_TEXT(I423)),
""OK"&amp;""",
""NO COINCIDE. Valor verdadero: ""&amp;IF(valor="""",""[VACÍO]"",TO_TEXT(valor))
)
))))
),""ERROR EN FÓRMULA""))"),"NO APLICA")</f>
        <v>NO APLICA</v>
      </c>
    </row>
    <row r="424">
      <c r="A424" s="83" t="s">
        <v>4078</v>
      </c>
      <c r="B424" s="83" t="s">
        <v>4079</v>
      </c>
      <c r="C424" s="81" t="s">
        <v>4086</v>
      </c>
      <c r="D424" s="83" t="s">
        <v>4294</v>
      </c>
      <c r="E424" s="81" t="s">
        <v>1176</v>
      </c>
      <c r="F424" s="84">
        <v>233.0</v>
      </c>
      <c r="G424" s="81" t="s">
        <v>7</v>
      </c>
      <c r="H424" s="81" t="s">
        <v>53</v>
      </c>
      <c r="I424" s="81" t="s">
        <v>1134</v>
      </c>
      <c r="J424" s="81" t="s">
        <v>224</v>
      </c>
      <c r="K424" s="81" t="str">
        <f>IFERROR(__xludf.DUMMYFUNCTION("IF(OR(D424="""",G424=""""),"""",IFERROR(LET(
campo,XLOOKUP(TRIM(G424),ARRAYFORMULA(TRIM('indice columnas'!$A$2:$A$100)),'indice columnas'!$B$2:$B$100,""""),
col,IFERROR(MATCH(campo,Referencia!$A$1:$AZ$1,0),0),
fila,IFERROR(MATCH(TO_TEXT(D424),ARRAYFORMULA"&amp;"(TO_TEXT(Referencia!$A$2:$A6238)),0),0),
IF(OR(campo="""",campo=""-""),""NO APLICA"",
IF(col=0,""REVISAR EQUIVALENCIA"",
IF(fila=0,""SKU NO ENCONTRADO"",
LET(
valor,INDEX(Referencia!$A$2:$AZ6238,fila,col),
IF(TRIM(TO_TEXT(valor))=TRIM(TO_TEXT(I424)),
""OK"&amp;""",
""NO COINCIDE. Valor verdadero: ""&amp;IF(valor="""",""[VACÍO]"",TO_TEXT(valor))
)
))))
),""ERROR EN FÓRMULA""))"),"REVISAR EQUIVALENCIA")</f>
        <v>REVISAR EQUIVALENCIA</v>
      </c>
    </row>
    <row r="425">
      <c r="A425" s="83" t="s">
        <v>4078</v>
      </c>
      <c r="B425" s="83" t="s">
        <v>4079</v>
      </c>
      <c r="C425" s="81" t="s">
        <v>4086</v>
      </c>
      <c r="D425" s="83" t="s">
        <v>4294</v>
      </c>
      <c r="E425" s="81" t="s">
        <v>1176</v>
      </c>
      <c r="F425" s="84">
        <v>233.0</v>
      </c>
      <c r="G425" s="81" t="s">
        <v>44</v>
      </c>
      <c r="H425" s="81" t="s">
        <v>4293</v>
      </c>
      <c r="I425" s="81" t="s">
        <v>1158</v>
      </c>
      <c r="J425" s="81" t="s">
        <v>4088</v>
      </c>
      <c r="K425" s="81" t="str">
        <f>IFERROR(__xludf.DUMMYFUNCTION("IF(OR(D425="""",G425=""""),"""",IFERROR(LET(
campo,XLOOKUP(TRIM(G425),ARRAYFORMULA(TRIM('indice columnas'!$A$2:$A$100)),'indice columnas'!$B$2:$B$100,""""),
col,IFERROR(MATCH(campo,Referencia!$A$1:$AZ$1,0),0),
fila,IFERROR(MATCH(TO_TEXT(D425),ARRAYFORMULA"&amp;"(TO_TEXT(Referencia!$A$2:$A6238)),0),0),
IF(OR(campo="""",campo=""-""),""NO APLICA"",
IF(col=0,""REVISAR EQUIVALENCIA"",
IF(fila=0,""SKU NO ENCONTRADO"",
LET(
valor,INDEX(Referencia!$A$2:$AZ6238,fila,col),
IF(TRIM(TO_TEXT(valor))=TRIM(TO_TEXT(I425)),
""OK"&amp;""",
""NO COINCIDE. Valor verdadero: ""&amp;IF(valor="""",""[VACÍO]"",TO_TEXT(valor))
)
))))
),""ERROR EN FÓRMULA""))"),"NO APLICA")</f>
        <v>NO APLICA</v>
      </c>
    </row>
    <row r="426">
      <c r="A426" s="83" t="s">
        <v>4078</v>
      </c>
      <c r="B426" s="83" t="s">
        <v>4079</v>
      </c>
      <c r="C426" s="81" t="s">
        <v>4086</v>
      </c>
      <c r="D426" s="83" t="s">
        <v>4295</v>
      </c>
      <c r="E426" s="81" t="s">
        <v>1180</v>
      </c>
      <c r="F426" s="84">
        <v>234.0</v>
      </c>
      <c r="G426" s="81" t="s">
        <v>7</v>
      </c>
      <c r="H426" s="81" t="s">
        <v>53</v>
      </c>
      <c r="I426" s="81" t="s">
        <v>1134</v>
      </c>
      <c r="J426" s="81" t="s">
        <v>224</v>
      </c>
      <c r="K426" s="81" t="str">
        <f>IFERROR(__xludf.DUMMYFUNCTION("IF(OR(D426="""",G426=""""),"""",IFERROR(LET(
campo,XLOOKUP(TRIM(G426),ARRAYFORMULA(TRIM('indice columnas'!$A$2:$A$100)),'indice columnas'!$B$2:$B$100,""""),
col,IFERROR(MATCH(campo,Referencia!$A$1:$AZ$1,0),0),
fila,IFERROR(MATCH(TO_TEXT(D426),ARRAYFORMULA"&amp;"(TO_TEXT(Referencia!$A$2:$A6238)),0),0),
IF(OR(campo="""",campo=""-""),""NO APLICA"",
IF(col=0,""REVISAR EQUIVALENCIA"",
IF(fila=0,""SKU NO ENCONTRADO"",
LET(
valor,INDEX(Referencia!$A$2:$AZ6238,fila,col),
IF(TRIM(TO_TEXT(valor))=TRIM(TO_TEXT(I426)),
""OK"&amp;""",
""NO COINCIDE. Valor verdadero: ""&amp;IF(valor="""",""[VACÍO]"",TO_TEXT(valor))
)
))))
),""ERROR EN FÓRMULA""))"),"REVISAR EQUIVALENCIA")</f>
        <v>REVISAR EQUIVALENCIA</v>
      </c>
    </row>
    <row r="427">
      <c r="A427" s="83" t="s">
        <v>4078</v>
      </c>
      <c r="B427" s="83" t="s">
        <v>4079</v>
      </c>
      <c r="C427" s="81" t="s">
        <v>4086</v>
      </c>
      <c r="D427" s="83" t="s">
        <v>4295</v>
      </c>
      <c r="E427" s="81" t="s">
        <v>1180</v>
      </c>
      <c r="F427" s="84">
        <v>234.0</v>
      </c>
      <c r="G427" s="81" t="s">
        <v>36</v>
      </c>
      <c r="H427" s="81" t="s">
        <v>49</v>
      </c>
      <c r="I427" s="81" t="s">
        <v>95</v>
      </c>
      <c r="J427" s="81" t="s">
        <v>224</v>
      </c>
      <c r="K427" s="81" t="str">
        <f>IFERROR(__xludf.DUMMYFUNCTION("IF(OR(D427="""",G427=""""),"""",IFERROR(LET(
campo,XLOOKUP(TRIM(G427),ARRAYFORMULA(TRIM('indice columnas'!$A$2:$A$100)),'indice columnas'!$B$2:$B$100,""""),
col,IFERROR(MATCH(campo,Referencia!$A$1:$AZ$1,0),0),
fila,IFERROR(MATCH(TO_TEXT(D427),ARRAYFORMULA"&amp;"(TO_TEXT(Referencia!$A$2:$A6238)),0),0),
IF(OR(campo="""",campo=""-""),""NO APLICA"",
IF(col=0,""REVISAR EQUIVALENCIA"",
IF(fila=0,""SKU NO ENCONTRADO"",
LET(
valor,INDEX(Referencia!$A$2:$AZ6238,fila,col),
IF(TRIM(TO_TEXT(valor))=TRIM(TO_TEXT(I427)),
""OK"&amp;""",
""NO COINCIDE. Valor verdadero: ""&amp;IF(valor="""",""[VACÍO]"",TO_TEXT(valor))
)
))))
),""ERROR EN FÓRMULA""))"),"REVISAR EQUIVALENCIA")</f>
        <v>REVISAR EQUIVALENCIA</v>
      </c>
    </row>
    <row r="428">
      <c r="A428" s="83" t="s">
        <v>4078</v>
      </c>
      <c r="B428" s="83" t="s">
        <v>4079</v>
      </c>
      <c r="C428" s="81" t="s">
        <v>4086</v>
      </c>
      <c r="D428" s="83" t="s">
        <v>4295</v>
      </c>
      <c r="E428" s="81" t="s">
        <v>1180</v>
      </c>
      <c r="F428" s="84">
        <v>234.0</v>
      </c>
      <c r="G428" s="81" t="s">
        <v>44</v>
      </c>
      <c r="H428" s="81" t="s">
        <v>4296</v>
      </c>
      <c r="I428" s="81" t="s">
        <v>1180</v>
      </c>
      <c r="J428" s="81" t="s">
        <v>4088</v>
      </c>
      <c r="K428" s="81" t="str">
        <f>IFERROR(__xludf.DUMMYFUNCTION("IF(OR(D428="""",G428=""""),"""",IFERROR(LET(
campo,XLOOKUP(TRIM(G428),ARRAYFORMULA(TRIM('indice columnas'!$A$2:$A$100)),'indice columnas'!$B$2:$B$100,""""),
col,IFERROR(MATCH(campo,Referencia!$A$1:$AZ$1,0),0),
fila,IFERROR(MATCH(TO_TEXT(D428),ARRAYFORMULA"&amp;"(TO_TEXT(Referencia!$A$2:$A6238)),0),0),
IF(OR(campo="""",campo=""-""),""NO APLICA"",
IF(col=0,""REVISAR EQUIVALENCIA"",
IF(fila=0,""SKU NO ENCONTRADO"",
LET(
valor,INDEX(Referencia!$A$2:$AZ6238,fila,col),
IF(TRIM(TO_TEXT(valor))=TRIM(TO_TEXT(I428)),
""OK"&amp;""",
""NO COINCIDE. Valor verdadero: ""&amp;IF(valor="""",""[VACÍO]"",TO_TEXT(valor))
)
))))
),""ERROR EN FÓRMULA""))"),"NO APLICA")</f>
        <v>NO APLICA</v>
      </c>
    </row>
    <row r="429">
      <c r="A429" s="83" t="s">
        <v>4078</v>
      </c>
      <c r="B429" s="83" t="s">
        <v>4079</v>
      </c>
      <c r="C429" s="81" t="s">
        <v>4086</v>
      </c>
      <c r="D429" s="83" t="s">
        <v>4297</v>
      </c>
      <c r="E429" s="81" t="s">
        <v>1191</v>
      </c>
      <c r="F429" s="84">
        <v>235.0</v>
      </c>
      <c r="G429" s="81" t="s">
        <v>44</v>
      </c>
      <c r="H429" s="81" t="s">
        <v>4293</v>
      </c>
      <c r="I429" s="81" t="s">
        <v>1191</v>
      </c>
      <c r="J429" s="81" t="s">
        <v>4088</v>
      </c>
      <c r="K429" s="81" t="str">
        <f>IFERROR(__xludf.DUMMYFUNCTION("IF(OR(D429="""",G429=""""),"""",IFERROR(LET(
campo,XLOOKUP(TRIM(G429),ARRAYFORMULA(TRIM('indice columnas'!$A$2:$A$100)),'indice columnas'!$B$2:$B$100,""""),
col,IFERROR(MATCH(campo,Referencia!$A$1:$AZ$1,0),0),
fila,IFERROR(MATCH(TO_TEXT(D429),ARRAYFORMULA"&amp;"(TO_TEXT(Referencia!$A$2:$A6238)),0),0),
IF(OR(campo="""",campo=""-""),""NO APLICA"",
IF(col=0,""REVISAR EQUIVALENCIA"",
IF(fila=0,""SKU NO ENCONTRADO"",
LET(
valor,INDEX(Referencia!$A$2:$AZ6238,fila,col),
IF(TRIM(TO_TEXT(valor))=TRIM(TO_TEXT(I429)),
""OK"&amp;""",
""NO COINCIDE. Valor verdadero: ""&amp;IF(valor="""",""[VACÍO]"",TO_TEXT(valor))
)
))))
),""ERROR EN FÓRMULA""))"),"NO APLICA")</f>
        <v>NO APLICA</v>
      </c>
    </row>
    <row r="430">
      <c r="A430" s="83" t="s">
        <v>4078</v>
      </c>
      <c r="B430" s="83" t="s">
        <v>4079</v>
      </c>
      <c r="C430" s="81" t="s">
        <v>4086</v>
      </c>
      <c r="D430" s="83" t="s">
        <v>4297</v>
      </c>
      <c r="E430" s="81" t="s">
        <v>1201</v>
      </c>
      <c r="F430" s="84">
        <v>236.0</v>
      </c>
      <c r="G430" s="81" t="s">
        <v>7</v>
      </c>
      <c r="H430" s="81" t="s">
        <v>53</v>
      </c>
      <c r="I430" s="81" t="s">
        <v>1134</v>
      </c>
      <c r="J430" s="81" t="s">
        <v>224</v>
      </c>
      <c r="K430" s="81" t="str">
        <f>IFERROR(__xludf.DUMMYFUNCTION("IF(OR(D430="""",G430=""""),"""",IFERROR(LET(
campo,XLOOKUP(TRIM(G430),ARRAYFORMULA(TRIM('indice columnas'!$A$2:$A$100)),'indice columnas'!$B$2:$B$100,""""),
col,IFERROR(MATCH(campo,Referencia!$A$1:$AZ$1,0),0),
fila,IFERROR(MATCH(TO_TEXT(D430),ARRAYFORMULA"&amp;"(TO_TEXT(Referencia!$A$2:$A6238)),0),0),
IF(OR(campo="""",campo=""-""),""NO APLICA"",
IF(col=0,""REVISAR EQUIVALENCIA"",
IF(fila=0,""SKU NO ENCONTRADO"",
LET(
valor,INDEX(Referencia!$A$2:$AZ6238,fila,col),
IF(TRIM(TO_TEXT(valor))=TRIM(TO_TEXT(I430)),
""OK"&amp;""",
""NO COINCIDE. Valor verdadero: ""&amp;IF(valor="""",""[VACÍO]"",TO_TEXT(valor))
)
))))
),""ERROR EN FÓRMULA""))"),"REVISAR EQUIVALENCIA")</f>
        <v>REVISAR EQUIVALENCIA</v>
      </c>
    </row>
    <row r="431">
      <c r="A431" s="83" t="s">
        <v>4078</v>
      </c>
      <c r="B431" s="83" t="s">
        <v>4079</v>
      </c>
      <c r="C431" s="81" t="s">
        <v>4086</v>
      </c>
      <c r="D431" s="83" t="s">
        <v>4297</v>
      </c>
      <c r="E431" s="81" t="s">
        <v>1201</v>
      </c>
      <c r="F431" s="84">
        <v>236.0</v>
      </c>
      <c r="G431" s="81" t="s">
        <v>44</v>
      </c>
      <c r="H431" s="81" t="s">
        <v>4293</v>
      </c>
      <c r="I431" s="81" t="s">
        <v>1191</v>
      </c>
      <c r="J431" s="81" t="s">
        <v>4088</v>
      </c>
      <c r="K431" s="81" t="str">
        <f>IFERROR(__xludf.DUMMYFUNCTION("IF(OR(D431="""",G431=""""),"""",IFERROR(LET(
campo,XLOOKUP(TRIM(G431),ARRAYFORMULA(TRIM('indice columnas'!$A$2:$A$100)),'indice columnas'!$B$2:$B$100,""""),
col,IFERROR(MATCH(campo,Referencia!$A$1:$AZ$1,0),0),
fila,IFERROR(MATCH(TO_TEXT(D431),ARRAYFORMULA"&amp;"(TO_TEXT(Referencia!$A$2:$A6238)),0),0),
IF(OR(campo="""",campo=""-""),""NO APLICA"",
IF(col=0,""REVISAR EQUIVALENCIA"",
IF(fila=0,""SKU NO ENCONTRADO"",
LET(
valor,INDEX(Referencia!$A$2:$AZ6238,fila,col),
IF(TRIM(TO_TEXT(valor))=TRIM(TO_TEXT(I431)),
""OK"&amp;""",
""NO COINCIDE. Valor verdadero: ""&amp;IF(valor="""",""[VACÍO]"",TO_TEXT(valor))
)
))))
),""ERROR EN FÓRMULA""))"),"NO APLICA")</f>
        <v>NO APLICA</v>
      </c>
    </row>
    <row r="432">
      <c r="A432" s="83" t="s">
        <v>4078</v>
      </c>
      <c r="B432" s="83" t="s">
        <v>4079</v>
      </c>
      <c r="C432" s="81" t="s">
        <v>4086</v>
      </c>
      <c r="D432" s="83" t="s">
        <v>4298</v>
      </c>
      <c r="E432" s="81" t="s">
        <v>1202</v>
      </c>
      <c r="F432" s="84">
        <v>237.0</v>
      </c>
      <c r="G432" s="81" t="s">
        <v>44</v>
      </c>
      <c r="H432" s="81" t="s">
        <v>224</v>
      </c>
      <c r="I432" s="81" t="s">
        <v>4299</v>
      </c>
      <c r="J432" s="81" t="s">
        <v>4088</v>
      </c>
      <c r="K432" s="81" t="str">
        <f>IFERROR(__xludf.DUMMYFUNCTION("IF(OR(D432="""",G432=""""),"""",IFERROR(LET(
campo,XLOOKUP(TRIM(G432),ARRAYFORMULA(TRIM('indice columnas'!$A$2:$A$100)),'indice columnas'!$B$2:$B$100,""""),
col,IFERROR(MATCH(campo,Referencia!$A$1:$AZ$1,0),0),
fila,IFERROR(MATCH(TO_TEXT(D432),ARRAYFORMULA"&amp;"(TO_TEXT(Referencia!$A$2:$A6238)),0),0),
IF(OR(campo="""",campo=""-""),""NO APLICA"",
IF(col=0,""REVISAR EQUIVALENCIA"",
IF(fila=0,""SKU NO ENCONTRADO"",
LET(
valor,INDEX(Referencia!$A$2:$AZ6238,fila,col),
IF(TRIM(TO_TEXT(valor))=TRIM(TO_TEXT(I432)),
""OK"&amp;""",
""NO COINCIDE. Valor verdadero: ""&amp;IF(valor="""",""[VACÍO]"",TO_TEXT(valor))
)
))))
),""ERROR EN FÓRMULA""))"),"NO APLICA")</f>
        <v>NO APLICA</v>
      </c>
    </row>
    <row r="433">
      <c r="A433" s="83" t="s">
        <v>4078</v>
      </c>
      <c r="B433" s="83" t="s">
        <v>4079</v>
      </c>
      <c r="C433" s="81" t="s">
        <v>4086</v>
      </c>
      <c r="D433" s="83" t="s">
        <v>4298</v>
      </c>
      <c r="E433" s="81" t="s">
        <v>1210</v>
      </c>
      <c r="F433" s="84">
        <v>238.0</v>
      </c>
      <c r="G433" s="81" t="s">
        <v>12</v>
      </c>
      <c r="H433" s="81" t="s">
        <v>224</v>
      </c>
      <c r="I433" s="81" t="s">
        <v>55</v>
      </c>
      <c r="J433" s="81" t="s">
        <v>224</v>
      </c>
      <c r="K433" s="81" t="str">
        <f>IFERROR(__xludf.DUMMYFUNCTION("IF(OR(D433="""",G433=""""),"""",IFERROR(LET(
campo,XLOOKUP(TRIM(G433),ARRAYFORMULA(TRIM('indice columnas'!$A$2:$A$100)),'indice columnas'!$B$2:$B$100,""""),
col,IFERROR(MATCH(campo,Referencia!$A$1:$AZ$1,0),0),
fila,IFERROR(MATCH(TO_TEXT(D433),ARRAYFORMULA"&amp;"(TO_TEXT(Referencia!$A$2:$A6238)),0),0),
IF(OR(campo="""",campo=""-""),""NO APLICA"",
IF(col=0,""REVISAR EQUIVALENCIA"",
IF(fila=0,""SKU NO ENCONTRADO"",
LET(
valor,INDEX(Referencia!$A$2:$AZ6238,fila,col),
IF(TRIM(TO_TEXT(valor))=TRIM(TO_TEXT(I433)),
""OK"&amp;""",
""NO COINCIDE. Valor verdadero: ""&amp;IF(valor="""",""[VACÍO]"",TO_TEXT(valor))
)
))))
),""ERROR EN FÓRMULA""))"),"OK")</f>
        <v>OK</v>
      </c>
    </row>
    <row r="434">
      <c r="A434" s="83" t="s">
        <v>4078</v>
      </c>
      <c r="B434" s="83" t="s">
        <v>4079</v>
      </c>
      <c r="C434" s="81" t="s">
        <v>4086</v>
      </c>
      <c r="D434" s="83" t="s">
        <v>4298</v>
      </c>
      <c r="E434" s="81" t="s">
        <v>1210</v>
      </c>
      <c r="F434" s="84">
        <v>238.0</v>
      </c>
      <c r="G434" s="81" t="s">
        <v>44</v>
      </c>
      <c r="H434" s="81" t="s">
        <v>224</v>
      </c>
      <c r="I434" s="81" t="s">
        <v>4299</v>
      </c>
      <c r="J434" s="81" t="s">
        <v>4088</v>
      </c>
      <c r="K434" s="81" t="str">
        <f>IFERROR(__xludf.DUMMYFUNCTION("IF(OR(D434="""",G434=""""),"""",IFERROR(LET(
campo,XLOOKUP(TRIM(G434),ARRAYFORMULA(TRIM('indice columnas'!$A$2:$A$100)),'indice columnas'!$B$2:$B$100,""""),
col,IFERROR(MATCH(campo,Referencia!$A$1:$AZ$1,0),0),
fila,IFERROR(MATCH(TO_TEXT(D434),ARRAYFORMULA"&amp;"(TO_TEXT(Referencia!$A$2:$A6238)),0),0),
IF(OR(campo="""",campo=""-""),""NO APLICA"",
IF(col=0,""REVISAR EQUIVALENCIA"",
IF(fila=0,""SKU NO ENCONTRADO"",
LET(
valor,INDEX(Referencia!$A$2:$AZ6238,fila,col),
IF(TRIM(TO_TEXT(valor))=TRIM(TO_TEXT(I434)),
""OK"&amp;""",
""NO COINCIDE. Valor verdadero: ""&amp;IF(valor="""",""[VACÍO]"",TO_TEXT(valor))
)
))))
),""ERROR EN FÓRMULA""))"),"NO APLICA")</f>
        <v>NO APLICA</v>
      </c>
    </row>
    <row r="435">
      <c r="A435" s="83" t="s">
        <v>4078</v>
      </c>
      <c r="B435" s="83" t="s">
        <v>4079</v>
      </c>
      <c r="C435" s="81" t="s">
        <v>4086</v>
      </c>
      <c r="D435" s="83" t="s">
        <v>4300</v>
      </c>
      <c r="E435" s="81" t="s">
        <v>1211</v>
      </c>
      <c r="F435" s="84">
        <v>239.0</v>
      </c>
      <c r="G435" s="81" t="s">
        <v>12</v>
      </c>
      <c r="H435" s="81" t="s">
        <v>224</v>
      </c>
      <c r="I435" s="81" t="s">
        <v>55</v>
      </c>
      <c r="J435" s="81" t="s">
        <v>224</v>
      </c>
      <c r="K435" s="81" t="str">
        <f>IFERROR(__xludf.DUMMYFUNCTION("IF(OR(D435="""",G435=""""),"""",IFERROR(LET(
campo,XLOOKUP(TRIM(G435),ARRAYFORMULA(TRIM('indice columnas'!$A$2:$A$100)),'indice columnas'!$B$2:$B$100,""""),
col,IFERROR(MATCH(campo,Referencia!$A$1:$AZ$1,0),0),
fila,IFERROR(MATCH(TO_TEXT(D435),ARRAYFORMULA"&amp;"(TO_TEXT(Referencia!$A$2:$A6238)),0),0),
IF(OR(campo="""",campo=""-""),""NO APLICA"",
IF(col=0,""REVISAR EQUIVALENCIA"",
IF(fila=0,""SKU NO ENCONTRADO"",
LET(
valor,INDEX(Referencia!$A$2:$AZ6238,fila,col),
IF(TRIM(TO_TEXT(valor))=TRIM(TO_TEXT(I435)),
""OK"&amp;""",
""NO COINCIDE. Valor verdadero: ""&amp;IF(valor="""",""[VACÍO]"",TO_TEXT(valor))
)
))))
),""ERROR EN FÓRMULA""))"),"OK")</f>
        <v>OK</v>
      </c>
    </row>
    <row r="436">
      <c r="A436" s="83" t="s">
        <v>4078</v>
      </c>
      <c r="B436" s="83" t="s">
        <v>4079</v>
      </c>
      <c r="C436" s="81" t="s">
        <v>4086</v>
      </c>
      <c r="D436" s="83" t="s">
        <v>4300</v>
      </c>
      <c r="E436" s="81" t="s">
        <v>1211</v>
      </c>
      <c r="F436" s="84">
        <v>239.0</v>
      </c>
      <c r="G436" s="81" t="s">
        <v>44</v>
      </c>
      <c r="H436" s="81" t="s">
        <v>224</v>
      </c>
      <c r="I436" s="81" t="s">
        <v>4299</v>
      </c>
      <c r="J436" s="81" t="s">
        <v>4088</v>
      </c>
      <c r="K436" s="81" t="str">
        <f>IFERROR(__xludf.DUMMYFUNCTION("IF(OR(D436="""",G436=""""),"""",IFERROR(LET(
campo,XLOOKUP(TRIM(G436),ARRAYFORMULA(TRIM('indice columnas'!$A$2:$A$100)),'indice columnas'!$B$2:$B$100,""""),
col,IFERROR(MATCH(campo,Referencia!$A$1:$AZ$1,0),0),
fila,IFERROR(MATCH(TO_TEXT(D436),ARRAYFORMULA"&amp;"(TO_TEXT(Referencia!$A$2:$A6238)),0),0),
IF(OR(campo="""",campo=""-""),""NO APLICA"",
IF(col=0,""REVISAR EQUIVALENCIA"",
IF(fila=0,""SKU NO ENCONTRADO"",
LET(
valor,INDEX(Referencia!$A$2:$AZ6238,fila,col),
IF(TRIM(TO_TEXT(valor))=TRIM(TO_TEXT(I436)),
""OK"&amp;""",
""NO COINCIDE. Valor verdadero: ""&amp;IF(valor="""",""[VACÍO]"",TO_TEXT(valor))
)
))))
),""ERROR EN FÓRMULA""))"),"NO APLICA")</f>
        <v>NO APLICA</v>
      </c>
    </row>
    <row r="437">
      <c r="A437" s="83" t="s">
        <v>4078</v>
      </c>
      <c r="B437" s="83" t="s">
        <v>4079</v>
      </c>
      <c r="C437" s="81" t="s">
        <v>4086</v>
      </c>
      <c r="D437" s="83" t="s">
        <v>4301</v>
      </c>
      <c r="E437" s="81" t="s">
        <v>1214</v>
      </c>
      <c r="F437" s="84">
        <v>240.0</v>
      </c>
      <c r="G437" s="81" t="s">
        <v>44</v>
      </c>
      <c r="H437" s="81" t="s">
        <v>224</v>
      </c>
      <c r="I437" s="81" t="s">
        <v>4302</v>
      </c>
      <c r="J437" s="81" t="s">
        <v>4088</v>
      </c>
      <c r="K437" s="81" t="str">
        <f>IFERROR(__xludf.DUMMYFUNCTION("IF(OR(D437="""",G437=""""),"""",IFERROR(LET(
campo,XLOOKUP(TRIM(G437),ARRAYFORMULA(TRIM('indice columnas'!$A$2:$A$100)),'indice columnas'!$B$2:$B$100,""""),
col,IFERROR(MATCH(campo,Referencia!$A$1:$AZ$1,0),0),
fila,IFERROR(MATCH(TO_TEXT(D437),ARRAYFORMULA"&amp;"(TO_TEXT(Referencia!$A$2:$A6238)),0),0),
IF(OR(campo="""",campo=""-""),""NO APLICA"",
IF(col=0,""REVISAR EQUIVALENCIA"",
IF(fila=0,""SKU NO ENCONTRADO"",
LET(
valor,INDEX(Referencia!$A$2:$AZ6238,fila,col),
IF(TRIM(TO_TEXT(valor))=TRIM(TO_TEXT(I437)),
""OK"&amp;""",
""NO COINCIDE. Valor verdadero: ""&amp;IF(valor="""",""[VACÍO]"",TO_TEXT(valor))
)
))))
),""ERROR EN FÓRMULA""))"),"NO APLICA")</f>
        <v>NO APLICA</v>
      </c>
    </row>
    <row r="438">
      <c r="A438" s="83" t="s">
        <v>4078</v>
      </c>
      <c r="B438" s="83" t="s">
        <v>4079</v>
      </c>
      <c r="C438" s="81" t="s">
        <v>4086</v>
      </c>
      <c r="D438" s="83" t="s">
        <v>4301</v>
      </c>
      <c r="E438" s="81" t="s">
        <v>1221</v>
      </c>
      <c r="F438" s="84">
        <v>241.0</v>
      </c>
      <c r="G438" s="81" t="s">
        <v>12</v>
      </c>
      <c r="H438" s="81" t="s">
        <v>224</v>
      </c>
      <c r="I438" s="81" t="s">
        <v>55</v>
      </c>
      <c r="J438" s="81" t="s">
        <v>224</v>
      </c>
      <c r="K438" s="81" t="str">
        <f>IFERROR(__xludf.DUMMYFUNCTION("IF(OR(D438="""",G438=""""),"""",IFERROR(LET(
campo,XLOOKUP(TRIM(G438),ARRAYFORMULA(TRIM('indice columnas'!$A$2:$A$100)),'indice columnas'!$B$2:$B$100,""""),
col,IFERROR(MATCH(campo,Referencia!$A$1:$AZ$1,0),0),
fila,IFERROR(MATCH(TO_TEXT(D438),ARRAYFORMULA"&amp;"(TO_TEXT(Referencia!$A$2:$A6238)),0),0),
IF(OR(campo="""",campo=""-""),""NO APLICA"",
IF(col=0,""REVISAR EQUIVALENCIA"",
IF(fila=0,""SKU NO ENCONTRADO"",
LET(
valor,INDEX(Referencia!$A$2:$AZ6238,fila,col),
IF(TRIM(TO_TEXT(valor))=TRIM(TO_TEXT(I438)),
""OK"&amp;""",
""NO COINCIDE. Valor verdadero: ""&amp;IF(valor="""",""[VACÍO]"",TO_TEXT(valor))
)
))))
),""ERROR EN FÓRMULA""))"),"OK")</f>
        <v>OK</v>
      </c>
    </row>
    <row r="439">
      <c r="A439" s="83" t="s">
        <v>4078</v>
      </c>
      <c r="B439" s="83" t="s">
        <v>4079</v>
      </c>
      <c r="C439" s="81" t="s">
        <v>4086</v>
      </c>
      <c r="D439" s="83" t="s">
        <v>4301</v>
      </c>
      <c r="E439" s="81" t="s">
        <v>1221</v>
      </c>
      <c r="F439" s="84">
        <v>241.0</v>
      </c>
      <c r="G439" s="81" t="s">
        <v>44</v>
      </c>
      <c r="H439" s="81" t="s">
        <v>224</v>
      </c>
      <c r="I439" s="81" t="s">
        <v>4302</v>
      </c>
      <c r="J439" s="81" t="s">
        <v>4088</v>
      </c>
      <c r="K439" s="81" t="str">
        <f>IFERROR(__xludf.DUMMYFUNCTION("IF(OR(D439="""",G439=""""),"""",IFERROR(LET(
campo,XLOOKUP(TRIM(G439),ARRAYFORMULA(TRIM('indice columnas'!$A$2:$A$100)),'indice columnas'!$B$2:$B$100,""""),
col,IFERROR(MATCH(campo,Referencia!$A$1:$AZ$1,0),0),
fila,IFERROR(MATCH(TO_TEXT(D439),ARRAYFORMULA"&amp;"(TO_TEXT(Referencia!$A$2:$A6238)),0),0),
IF(OR(campo="""",campo=""-""),""NO APLICA"",
IF(col=0,""REVISAR EQUIVALENCIA"",
IF(fila=0,""SKU NO ENCONTRADO"",
LET(
valor,INDEX(Referencia!$A$2:$AZ6238,fila,col),
IF(TRIM(TO_TEXT(valor))=TRIM(TO_TEXT(I439)),
""OK"&amp;""",
""NO COINCIDE. Valor verdadero: ""&amp;IF(valor="""",""[VACÍO]"",TO_TEXT(valor))
)
))))
),""ERROR EN FÓRMULA""))"),"NO APLICA")</f>
        <v>NO APLICA</v>
      </c>
    </row>
    <row r="440">
      <c r="A440" s="83" t="s">
        <v>4078</v>
      </c>
      <c r="B440" s="83" t="s">
        <v>4079</v>
      </c>
      <c r="C440" s="81" t="s">
        <v>4086</v>
      </c>
      <c r="D440" s="83" t="s">
        <v>4303</v>
      </c>
      <c r="E440" s="81" t="s">
        <v>1222</v>
      </c>
      <c r="F440" s="84">
        <v>242.0</v>
      </c>
      <c r="G440" s="81" t="s">
        <v>12</v>
      </c>
      <c r="H440" s="81" t="s">
        <v>224</v>
      </c>
      <c r="I440" s="81" t="s">
        <v>55</v>
      </c>
      <c r="J440" s="81" t="s">
        <v>224</v>
      </c>
      <c r="K440" s="81" t="str">
        <f>IFERROR(__xludf.DUMMYFUNCTION("IF(OR(D440="""",G440=""""),"""",IFERROR(LET(
campo,XLOOKUP(TRIM(G440),ARRAYFORMULA(TRIM('indice columnas'!$A$2:$A$100)),'indice columnas'!$B$2:$B$100,""""),
col,IFERROR(MATCH(campo,Referencia!$A$1:$AZ$1,0),0),
fila,IFERROR(MATCH(TO_TEXT(D440),ARRAYFORMULA"&amp;"(TO_TEXT(Referencia!$A$2:$A6238)),0),0),
IF(OR(campo="""",campo=""-""),""NO APLICA"",
IF(col=0,""REVISAR EQUIVALENCIA"",
IF(fila=0,""SKU NO ENCONTRADO"",
LET(
valor,INDEX(Referencia!$A$2:$AZ6238,fila,col),
IF(TRIM(TO_TEXT(valor))=TRIM(TO_TEXT(I440)),
""OK"&amp;""",
""NO COINCIDE. Valor verdadero: ""&amp;IF(valor="""",""[VACÍO]"",TO_TEXT(valor))
)
))))
),""ERROR EN FÓRMULA""))"),"OK")</f>
        <v>OK</v>
      </c>
    </row>
    <row r="441">
      <c r="A441" s="83" t="s">
        <v>4078</v>
      </c>
      <c r="B441" s="83" t="s">
        <v>4079</v>
      </c>
      <c r="C441" s="81" t="s">
        <v>4086</v>
      </c>
      <c r="D441" s="83" t="s">
        <v>4303</v>
      </c>
      <c r="E441" s="81" t="s">
        <v>1222</v>
      </c>
      <c r="F441" s="84">
        <v>242.0</v>
      </c>
      <c r="G441" s="81" t="s">
        <v>44</v>
      </c>
      <c r="H441" s="81" t="s">
        <v>224</v>
      </c>
      <c r="I441" s="81" t="s">
        <v>4302</v>
      </c>
      <c r="J441" s="81" t="s">
        <v>4088</v>
      </c>
      <c r="K441" s="81" t="str">
        <f>IFERROR(__xludf.DUMMYFUNCTION("IF(OR(D441="""",G441=""""),"""",IFERROR(LET(
campo,XLOOKUP(TRIM(G441),ARRAYFORMULA(TRIM('indice columnas'!$A$2:$A$100)),'indice columnas'!$B$2:$B$100,""""),
col,IFERROR(MATCH(campo,Referencia!$A$1:$AZ$1,0),0),
fila,IFERROR(MATCH(TO_TEXT(D441),ARRAYFORMULA"&amp;"(TO_TEXT(Referencia!$A$2:$A6238)),0),0),
IF(OR(campo="""",campo=""-""),""NO APLICA"",
IF(col=0,""REVISAR EQUIVALENCIA"",
IF(fila=0,""SKU NO ENCONTRADO"",
LET(
valor,INDEX(Referencia!$A$2:$AZ6238,fila,col),
IF(TRIM(TO_TEXT(valor))=TRIM(TO_TEXT(I441)),
""OK"&amp;""",
""NO COINCIDE. Valor verdadero: ""&amp;IF(valor="""",""[VACÍO]"",TO_TEXT(valor))
)
))))
),""ERROR EN FÓRMULA""))"),"NO APLICA")</f>
        <v>NO APLICA</v>
      </c>
    </row>
    <row r="442">
      <c r="A442" s="83" t="s">
        <v>4078</v>
      </c>
      <c r="B442" s="83" t="s">
        <v>4079</v>
      </c>
      <c r="C442" s="81" t="s">
        <v>4086</v>
      </c>
      <c r="D442" s="83" t="s">
        <v>4304</v>
      </c>
      <c r="E442" s="81" t="s">
        <v>1225</v>
      </c>
      <c r="F442" s="84">
        <v>243.0</v>
      </c>
      <c r="G442" s="81" t="s">
        <v>44</v>
      </c>
      <c r="H442" s="81" t="s">
        <v>224</v>
      </c>
      <c r="I442" s="81" t="s">
        <v>1233</v>
      </c>
      <c r="J442" s="81" t="s">
        <v>4088</v>
      </c>
      <c r="K442" s="81" t="str">
        <f>IFERROR(__xludf.DUMMYFUNCTION("IF(OR(D442="""",G442=""""),"""",IFERROR(LET(
campo,XLOOKUP(TRIM(G442),ARRAYFORMULA(TRIM('indice columnas'!$A$2:$A$100)),'indice columnas'!$B$2:$B$100,""""),
col,IFERROR(MATCH(campo,Referencia!$A$1:$AZ$1,0),0),
fila,IFERROR(MATCH(TO_TEXT(D442),ARRAYFORMULA"&amp;"(TO_TEXT(Referencia!$A$2:$A6238)),0),0),
IF(OR(campo="""",campo=""-""),""NO APLICA"",
IF(col=0,""REVISAR EQUIVALENCIA"",
IF(fila=0,""SKU NO ENCONTRADO"",
LET(
valor,INDEX(Referencia!$A$2:$AZ6238,fila,col),
IF(TRIM(TO_TEXT(valor))=TRIM(TO_TEXT(I442)),
""OK"&amp;""",
""NO COINCIDE. Valor verdadero: ""&amp;IF(valor="""",""[VACÍO]"",TO_TEXT(valor))
)
))))
),""ERROR EN FÓRMULA""))"),"NO APLICA")</f>
        <v>NO APLICA</v>
      </c>
    </row>
    <row r="443">
      <c r="A443" s="83" t="s">
        <v>4078</v>
      </c>
      <c r="B443" s="83" t="s">
        <v>4079</v>
      </c>
      <c r="C443" s="81" t="s">
        <v>4086</v>
      </c>
      <c r="D443" s="83" t="s">
        <v>4304</v>
      </c>
      <c r="E443" s="81" t="s">
        <v>1232</v>
      </c>
      <c r="F443" s="84">
        <v>244.0</v>
      </c>
      <c r="G443" s="81" t="s">
        <v>12</v>
      </c>
      <c r="H443" s="81" t="s">
        <v>224</v>
      </c>
      <c r="I443" s="81" t="s">
        <v>55</v>
      </c>
      <c r="J443" s="81" t="s">
        <v>224</v>
      </c>
      <c r="K443" s="81" t="str">
        <f>IFERROR(__xludf.DUMMYFUNCTION("IF(OR(D443="""",G443=""""),"""",IFERROR(LET(
campo,XLOOKUP(TRIM(G443),ARRAYFORMULA(TRIM('indice columnas'!$A$2:$A$100)),'indice columnas'!$B$2:$B$100,""""),
col,IFERROR(MATCH(campo,Referencia!$A$1:$AZ$1,0),0),
fila,IFERROR(MATCH(TO_TEXT(D443),ARRAYFORMULA"&amp;"(TO_TEXT(Referencia!$A$2:$A6238)),0),0),
IF(OR(campo="""",campo=""-""),""NO APLICA"",
IF(col=0,""REVISAR EQUIVALENCIA"",
IF(fila=0,""SKU NO ENCONTRADO"",
LET(
valor,INDEX(Referencia!$A$2:$AZ6238,fila,col),
IF(TRIM(TO_TEXT(valor))=TRIM(TO_TEXT(I443)),
""OK"&amp;""",
""NO COINCIDE. Valor verdadero: ""&amp;IF(valor="""",""[VACÍO]"",TO_TEXT(valor))
)
))))
),""ERROR EN FÓRMULA""))"),"OK")</f>
        <v>OK</v>
      </c>
    </row>
    <row r="444">
      <c r="A444" s="83" t="s">
        <v>4078</v>
      </c>
      <c r="B444" s="83" t="s">
        <v>4079</v>
      </c>
      <c r="C444" s="81" t="s">
        <v>4086</v>
      </c>
      <c r="D444" s="83" t="s">
        <v>4304</v>
      </c>
      <c r="E444" s="81" t="s">
        <v>1232</v>
      </c>
      <c r="F444" s="84">
        <v>244.0</v>
      </c>
      <c r="G444" s="81" t="s">
        <v>44</v>
      </c>
      <c r="H444" s="81" t="s">
        <v>224</v>
      </c>
      <c r="I444" s="81" t="s">
        <v>1233</v>
      </c>
      <c r="J444" s="81" t="s">
        <v>4088</v>
      </c>
      <c r="K444" s="81" t="str">
        <f>IFERROR(__xludf.DUMMYFUNCTION("IF(OR(D444="""",G444=""""),"""",IFERROR(LET(
campo,XLOOKUP(TRIM(G444),ARRAYFORMULA(TRIM('indice columnas'!$A$2:$A$100)),'indice columnas'!$B$2:$B$100,""""),
col,IFERROR(MATCH(campo,Referencia!$A$1:$AZ$1,0),0),
fila,IFERROR(MATCH(TO_TEXT(D444),ARRAYFORMULA"&amp;"(TO_TEXT(Referencia!$A$2:$A6238)),0),0),
IF(OR(campo="""",campo=""-""),""NO APLICA"",
IF(col=0,""REVISAR EQUIVALENCIA"",
IF(fila=0,""SKU NO ENCONTRADO"",
LET(
valor,INDEX(Referencia!$A$2:$AZ6238,fila,col),
IF(TRIM(TO_TEXT(valor))=TRIM(TO_TEXT(I444)),
""OK"&amp;""",
""NO COINCIDE. Valor verdadero: ""&amp;IF(valor="""",""[VACÍO]"",TO_TEXT(valor))
)
))))
),""ERROR EN FÓRMULA""))"),"NO APLICA")</f>
        <v>NO APLICA</v>
      </c>
    </row>
    <row r="445">
      <c r="A445" s="83" t="s">
        <v>4078</v>
      </c>
      <c r="B445" s="83" t="s">
        <v>4079</v>
      </c>
      <c r="C445" s="81" t="s">
        <v>4086</v>
      </c>
      <c r="D445" s="83" t="s">
        <v>4305</v>
      </c>
      <c r="E445" s="81" t="s">
        <v>1234</v>
      </c>
      <c r="F445" s="84">
        <v>245.0</v>
      </c>
      <c r="G445" s="81" t="s">
        <v>12</v>
      </c>
      <c r="H445" s="81" t="s">
        <v>224</v>
      </c>
      <c r="I445" s="81" t="s">
        <v>55</v>
      </c>
      <c r="J445" s="81" t="s">
        <v>224</v>
      </c>
      <c r="K445" s="81" t="str">
        <f>IFERROR(__xludf.DUMMYFUNCTION("IF(OR(D445="""",G445=""""),"""",IFERROR(LET(
campo,XLOOKUP(TRIM(G445),ARRAYFORMULA(TRIM('indice columnas'!$A$2:$A$100)),'indice columnas'!$B$2:$B$100,""""),
col,IFERROR(MATCH(campo,Referencia!$A$1:$AZ$1,0),0),
fila,IFERROR(MATCH(TO_TEXT(D445),ARRAYFORMULA"&amp;"(TO_TEXT(Referencia!$A$2:$A6238)),0),0),
IF(OR(campo="""",campo=""-""),""NO APLICA"",
IF(col=0,""REVISAR EQUIVALENCIA"",
IF(fila=0,""SKU NO ENCONTRADO"",
LET(
valor,INDEX(Referencia!$A$2:$AZ6238,fila,col),
IF(TRIM(TO_TEXT(valor))=TRIM(TO_TEXT(I445)),
""OK"&amp;""",
""NO COINCIDE. Valor verdadero: ""&amp;IF(valor="""",""[VACÍO]"",TO_TEXT(valor))
)
))))
),""ERROR EN FÓRMULA""))"),"OK")</f>
        <v>OK</v>
      </c>
    </row>
    <row r="446">
      <c r="A446" s="83" t="s">
        <v>4078</v>
      </c>
      <c r="B446" s="83" t="s">
        <v>4079</v>
      </c>
      <c r="C446" s="81" t="s">
        <v>4086</v>
      </c>
      <c r="D446" s="83" t="s">
        <v>4305</v>
      </c>
      <c r="E446" s="81" t="s">
        <v>1234</v>
      </c>
      <c r="F446" s="84">
        <v>245.0</v>
      </c>
      <c r="G446" s="81" t="s">
        <v>44</v>
      </c>
      <c r="H446" s="81" t="s">
        <v>224</v>
      </c>
      <c r="I446" s="81" t="s">
        <v>1233</v>
      </c>
      <c r="J446" s="81" t="s">
        <v>4088</v>
      </c>
      <c r="K446" s="81" t="str">
        <f>IFERROR(__xludf.DUMMYFUNCTION("IF(OR(D446="""",G446=""""),"""",IFERROR(LET(
campo,XLOOKUP(TRIM(G446),ARRAYFORMULA(TRIM('indice columnas'!$A$2:$A$100)),'indice columnas'!$B$2:$B$100,""""),
col,IFERROR(MATCH(campo,Referencia!$A$1:$AZ$1,0),0),
fila,IFERROR(MATCH(TO_TEXT(D446),ARRAYFORMULA"&amp;"(TO_TEXT(Referencia!$A$2:$A6238)),0),0),
IF(OR(campo="""",campo=""-""),""NO APLICA"",
IF(col=0,""REVISAR EQUIVALENCIA"",
IF(fila=0,""SKU NO ENCONTRADO"",
LET(
valor,INDEX(Referencia!$A$2:$AZ6238,fila,col),
IF(TRIM(TO_TEXT(valor))=TRIM(TO_TEXT(I446)),
""OK"&amp;""",
""NO COINCIDE. Valor verdadero: ""&amp;IF(valor="""",""[VACÍO]"",TO_TEXT(valor))
)
))))
),""ERROR EN FÓRMULA""))"),"NO APLICA")</f>
        <v>NO APLICA</v>
      </c>
    </row>
    <row r="447">
      <c r="A447" s="83" t="s">
        <v>4078</v>
      </c>
      <c r="B447" s="83" t="s">
        <v>4079</v>
      </c>
      <c r="C447" s="81" t="s">
        <v>4086</v>
      </c>
      <c r="D447" s="83" t="s">
        <v>4306</v>
      </c>
      <c r="E447" s="81" t="s">
        <v>1237</v>
      </c>
      <c r="F447" s="84">
        <v>246.0</v>
      </c>
      <c r="G447" s="81" t="s">
        <v>12</v>
      </c>
      <c r="H447" s="81" t="s">
        <v>224</v>
      </c>
      <c r="I447" s="81" t="s">
        <v>55</v>
      </c>
      <c r="J447" s="81" t="s">
        <v>224</v>
      </c>
      <c r="K447" s="81" t="str">
        <f>IFERROR(__xludf.DUMMYFUNCTION("IF(OR(D447="""",G447=""""),"""",IFERROR(LET(
campo,XLOOKUP(TRIM(G447),ARRAYFORMULA(TRIM('indice columnas'!$A$2:$A$100)),'indice columnas'!$B$2:$B$100,""""),
col,IFERROR(MATCH(campo,Referencia!$A$1:$AZ$1,0),0),
fila,IFERROR(MATCH(TO_TEXT(D447),ARRAYFORMULA"&amp;"(TO_TEXT(Referencia!$A$2:$A6238)),0),0),
IF(OR(campo="""",campo=""-""),""NO APLICA"",
IF(col=0,""REVISAR EQUIVALENCIA"",
IF(fila=0,""SKU NO ENCONTRADO"",
LET(
valor,INDEX(Referencia!$A$2:$AZ6238,fila,col),
IF(TRIM(TO_TEXT(valor))=TRIM(TO_TEXT(I447)),
""OK"&amp;""",
""NO COINCIDE. Valor verdadero: ""&amp;IF(valor="""",""[VACÍO]"",TO_TEXT(valor))
)
))))
),""ERROR EN FÓRMULA""))"),"OK")</f>
        <v>OK</v>
      </c>
    </row>
    <row r="448">
      <c r="A448" s="83" t="s">
        <v>4078</v>
      </c>
      <c r="B448" s="83" t="s">
        <v>4079</v>
      </c>
      <c r="C448" s="81" t="s">
        <v>4086</v>
      </c>
      <c r="D448" s="83" t="s">
        <v>4306</v>
      </c>
      <c r="E448" s="81" t="s">
        <v>1237</v>
      </c>
      <c r="F448" s="84">
        <v>246.0</v>
      </c>
      <c r="G448" s="81" t="s">
        <v>29</v>
      </c>
      <c r="H448" s="81" t="s">
        <v>4307</v>
      </c>
      <c r="I448" s="81" t="s">
        <v>1240</v>
      </c>
      <c r="J448" s="81" t="s">
        <v>224</v>
      </c>
      <c r="K448" s="81" t="str">
        <f>IFERROR(__xludf.DUMMYFUNCTION("IF(OR(D448="""",G448=""""),"""",IFERROR(LET(
campo,XLOOKUP(TRIM(G448),ARRAYFORMULA(TRIM('indice columnas'!$A$2:$A$100)),'indice columnas'!$B$2:$B$100,""""),
col,IFERROR(MATCH(campo,Referencia!$A$1:$AZ$1,0),0),
fila,IFERROR(MATCH(TO_TEXT(D448),ARRAYFORMULA"&amp;"(TO_TEXT(Referencia!$A$2:$A6238)),0),0),
IF(OR(campo="""",campo=""-""),""NO APLICA"",
IF(col=0,""REVISAR EQUIVALENCIA"",
IF(fila=0,""SKU NO ENCONTRADO"",
LET(
valor,INDEX(Referencia!$A$2:$AZ6238,fila,col),
IF(TRIM(TO_TEXT(valor))=TRIM(TO_TEXT(I448)),
""OK"&amp;""",
""NO COINCIDE. Valor verdadero: ""&amp;IF(valor="""",""[VACÍO]"",TO_TEXT(valor))
)
))))
),""ERROR EN FÓRMULA""))"),"NO COINCIDE. Valor verdadero: 60 x 15 x 3000 (Ancho x Alto x Prof)")</f>
        <v>NO COINCIDE. Valor verdadero: 60 x 15 x 3000 (Ancho x Alto x Prof)</v>
      </c>
    </row>
    <row r="449">
      <c r="A449" s="83" t="s">
        <v>4078</v>
      </c>
      <c r="B449" s="83" t="s">
        <v>4079</v>
      </c>
      <c r="C449" s="81" t="s">
        <v>4086</v>
      </c>
      <c r="D449" s="83" t="s">
        <v>4306</v>
      </c>
      <c r="E449" s="81" t="s">
        <v>1237</v>
      </c>
      <c r="F449" s="84">
        <v>246.0</v>
      </c>
      <c r="G449" s="81" t="s">
        <v>44</v>
      </c>
      <c r="H449" s="81" t="s">
        <v>224</v>
      </c>
      <c r="I449" s="81" t="s">
        <v>1237</v>
      </c>
      <c r="J449" s="81" t="s">
        <v>4088</v>
      </c>
      <c r="K449" s="81" t="str">
        <f>IFERROR(__xludf.DUMMYFUNCTION("IF(OR(D449="""",G449=""""),"""",IFERROR(LET(
campo,XLOOKUP(TRIM(G449),ARRAYFORMULA(TRIM('indice columnas'!$A$2:$A$100)),'indice columnas'!$B$2:$B$100,""""),
col,IFERROR(MATCH(campo,Referencia!$A$1:$AZ$1,0),0),
fila,IFERROR(MATCH(TO_TEXT(D449),ARRAYFORMULA"&amp;"(TO_TEXT(Referencia!$A$2:$A6238)),0),0),
IF(OR(campo="""",campo=""-""),""NO APLICA"",
IF(col=0,""REVISAR EQUIVALENCIA"",
IF(fila=0,""SKU NO ENCONTRADO"",
LET(
valor,INDEX(Referencia!$A$2:$AZ6238,fila,col),
IF(TRIM(TO_TEXT(valor))=TRIM(TO_TEXT(I449)),
""OK"&amp;""",
""NO COINCIDE. Valor verdadero: ""&amp;IF(valor="""",""[VACÍO]"",TO_TEXT(valor))
)
))))
),""ERROR EN FÓRMULA""))"),"NO APLICA")</f>
        <v>NO APLICA</v>
      </c>
    </row>
    <row r="450">
      <c r="A450" s="83" t="s">
        <v>4078</v>
      </c>
      <c r="B450" s="83" t="s">
        <v>4079</v>
      </c>
      <c r="C450" s="81" t="s">
        <v>4086</v>
      </c>
      <c r="D450" s="83" t="s">
        <v>4308</v>
      </c>
      <c r="E450" s="81" t="s">
        <v>1247</v>
      </c>
      <c r="F450" s="84">
        <v>247.0</v>
      </c>
      <c r="G450" s="81" t="s">
        <v>12</v>
      </c>
      <c r="H450" s="81" t="s">
        <v>224</v>
      </c>
      <c r="I450" s="81" t="s">
        <v>55</v>
      </c>
      <c r="J450" s="81" t="s">
        <v>224</v>
      </c>
      <c r="K450" s="81" t="str">
        <f>IFERROR(__xludf.DUMMYFUNCTION("IF(OR(D450="""",G450=""""),"""",IFERROR(LET(
campo,XLOOKUP(TRIM(G450),ARRAYFORMULA(TRIM('indice columnas'!$A$2:$A$100)),'indice columnas'!$B$2:$B$100,""""),
col,IFERROR(MATCH(campo,Referencia!$A$1:$AZ$1,0),0),
fila,IFERROR(MATCH(TO_TEXT(D450),ARRAYFORMULA"&amp;"(TO_TEXT(Referencia!$A$2:$A6238)),0),0),
IF(OR(campo="""",campo=""-""),""NO APLICA"",
IF(col=0,""REVISAR EQUIVALENCIA"",
IF(fila=0,""SKU NO ENCONTRADO"",
LET(
valor,INDEX(Referencia!$A$2:$AZ6238,fila,col),
IF(TRIM(TO_TEXT(valor))=TRIM(TO_TEXT(I450)),
""OK"&amp;""",
""NO COINCIDE. Valor verdadero: ""&amp;IF(valor="""",""[VACÍO]"",TO_TEXT(valor))
)
))))
),""ERROR EN FÓRMULA""))"),"OK")</f>
        <v>OK</v>
      </c>
    </row>
    <row r="451">
      <c r="A451" s="83" t="s">
        <v>4078</v>
      </c>
      <c r="B451" s="83" t="s">
        <v>4079</v>
      </c>
      <c r="C451" s="81" t="s">
        <v>4086</v>
      </c>
      <c r="D451" s="83" t="s">
        <v>4308</v>
      </c>
      <c r="E451" s="81" t="s">
        <v>1247</v>
      </c>
      <c r="F451" s="84">
        <v>247.0</v>
      </c>
      <c r="G451" s="81" t="s">
        <v>44</v>
      </c>
      <c r="H451" s="81" t="s">
        <v>224</v>
      </c>
      <c r="I451" s="81" t="s">
        <v>1237</v>
      </c>
      <c r="J451" s="81" t="s">
        <v>4088</v>
      </c>
      <c r="K451" s="81" t="str">
        <f>IFERROR(__xludf.DUMMYFUNCTION("IF(OR(D451="""",G451=""""),"""",IFERROR(LET(
campo,XLOOKUP(TRIM(G451),ARRAYFORMULA(TRIM('indice columnas'!$A$2:$A$100)),'indice columnas'!$B$2:$B$100,""""),
col,IFERROR(MATCH(campo,Referencia!$A$1:$AZ$1,0),0),
fila,IFERROR(MATCH(TO_TEXT(D451),ARRAYFORMULA"&amp;"(TO_TEXT(Referencia!$A$2:$A6238)),0),0),
IF(OR(campo="""",campo=""-""),""NO APLICA"",
IF(col=0,""REVISAR EQUIVALENCIA"",
IF(fila=0,""SKU NO ENCONTRADO"",
LET(
valor,INDEX(Referencia!$A$2:$AZ6238,fila,col),
IF(TRIM(TO_TEXT(valor))=TRIM(TO_TEXT(I451)),
""OK"&amp;""",
""NO COINCIDE. Valor verdadero: ""&amp;IF(valor="""",""[VACÍO]"",TO_TEXT(valor))
)
))))
),""ERROR EN FÓRMULA""))"),"NO APLICA")</f>
        <v>NO APLICA</v>
      </c>
    </row>
    <row r="452">
      <c r="A452" s="83" t="s">
        <v>4078</v>
      </c>
      <c r="B452" s="83" t="s">
        <v>4079</v>
      </c>
      <c r="C452" s="81" t="s">
        <v>4086</v>
      </c>
      <c r="D452" s="83" t="s">
        <v>4309</v>
      </c>
      <c r="E452" s="81" t="s">
        <v>1251</v>
      </c>
      <c r="F452" s="84">
        <v>248.0</v>
      </c>
      <c r="G452" s="81" t="s">
        <v>44</v>
      </c>
      <c r="H452" s="81" t="s">
        <v>224</v>
      </c>
      <c r="I452" s="81" t="s">
        <v>1251</v>
      </c>
      <c r="J452" s="81" t="s">
        <v>4088</v>
      </c>
      <c r="K452" s="81" t="str">
        <f>IFERROR(__xludf.DUMMYFUNCTION("IF(OR(D452="""",G452=""""),"""",IFERROR(LET(
campo,XLOOKUP(TRIM(G452),ARRAYFORMULA(TRIM('indice columnas'!$A$2:$A$100)),'indice columnas'!$B$2:$B$100,""""),
col,IFERROR(MATCH(campo,Referencia!$A$1:$AZ$1,0),0),
fila,IFERROR(MATCH(TO_TEXT(D452),ARRAYFORMULA"&amp;"(TO_TEXT(Referencia!$A$2:$A6238)),0),0),
IF(OR(campo="""",campo=""-""),""NO APLICA"",
IF(col=0,""REVISAR EQUIVALENCIA"",
IF(fila=0,""SKU NO ENCONTRADO"",
LET(
valor,INDEX(Referencia!$A$2:$AZ6238,fila,col),
IF(TRIM(TO_TEXT(valor))=TRIM(TO_TEXT(I452)),
""OK"&amp;""",
""NO COINCIDE. Valor verdadero: ""&amp;IF(valor="""",""[VACÍO]"",TO_TEXT(valor))
)
))))
),""ERROR EN FÓRMULA""))"),"NO APLICA")</f>
        <v>NO APLICA</v>
      </c>
    </row>
    <row r="453">
      <c r="A453" s="83" t="s">
        <v>4078</v>
      </c>
      <c r="B453" s="83" t="s">
        <v>4079</v>
      </c>
      <c r="C453" s="81" t="s">
        <v>4086</v>
      </c>
      <c r="D453" s="83" t="s">
        <v>4309</v>
      </c>
      <c r="E453" s="81" t="s">
        <v>1267</v>
      </c>
      <c r="F453" s="84">
        <v>249.0</v>
      </c>
      <c r="G453" s="81" t="s">
        <v>44</v>
      </c>
      <c r="H453" s="81" t="s">
        <v>224</v>
      </c>
      <c r="I453" s="81" t="s">
        <v>1251</v>
      </c>
      <c r="J453" s="81" t="s">
        <v>4088</v>
      </c>
      <c r="K453" s="81" t="str">
        <f>IFERROR(__xludf.DUMMYFUNCTION("IF(OR(D453="""",G453=""""),"""",IFERROR(LET(
campo,XLOOKUP(TRIM(G453),ARRAYFORMULA(TRIM('indice columnas'!$A$2:$A$100)),'indice columnas'!$B$2:$B$100,""""),
col,IFERROR(MATCH(campo,Referencia!$A$1:$AZ$1,0),0),
fila,IFERROR(MATCH(TO_TEXT(D453),ARRAYFORMULA"&amp;"(TO_TEXT(Referencia!$A$2:$A6238)),0),0),
IF(OR(campo="""",campo=""-""),""NO APLICA"",
IF(col=0,""REVISAR EQUIVALENCIA"",
IF(fila=0,""SKU NO ENCONTRADO"",
LET(
valor,INDEX(Referencia!$A$2:$AZ6238,fila,col),
IF(TRIM(TO_TEXT(valor))=TRIM(TO_TEXT(I453)),
""OK"&amp;""",
""NO COINCIDE. Valor verdadero: ""&amp;IF(valor="""",""[VACÍO]"",TO_TEXT(valor))
)
))))
),""ERROR EN FÓRMULA""))"),"NO APLICA")</f>
        <v>NO APLICA</v>
      </c>
    </row>
    <row r="454">
      <c r="A454" s="83" t="s">
        <v>4078</v>
      </c>
      <c r="B454" s="83" t="s">
        <v>4079</v>
      </c>
      <c r="C454" s="81" t="s">
        <v>4086</v>
      </c>
      <c r="D454" s="83" t="s">
        <v>4310</v>
      </c>
      <c r="E454" s="81" t="s">
        <v>1268</v>
      </c>
      <c r="F454" s="84">
        <v>250.0</v>
      </c>
      <c r="G454" s="81" t="s">
        <v>44</v>
      </c>
      <c r="H454" s="81" t="s">
        <v>224</v>
      </c>
      <c r="I454" s="81" t="s">
        <v>1251</v>
      </c>
      <c r="J454" s="81" t="s">
        <v>4088</v>
      </c>
      <c r="K454" s="81" t="str">
        <f>IFERROR(__xludf.DUMMYFUNCTION("IF(OR(D454="""",G454=""""),"""",IFERROR(LET(
campo,XLOOKUP(TRIM(G454),ARRAYFORMULA(TRIM('indice columnas'!$A$2:$A$100)),'indice columnas'!$B$2:$B$100,""""),
col,IFERROR(MATCH(campo,Referencia!$A$1:$AZ$1,0),0),
fila,IFERROR(MATCH(TO_TEXT(D454),ARRAYFORMULA"&amp;"(TO_TEXT(Referencia!$A$2:$A6238)),0),0),
IF(OR(campo="""",campo=""-""),""NO APLICA"",
IF(col=0,""REVISAR EQUIVALENCIA"",
IF(fila=0,""SKU NO ENCONTRADO"",
LET(
valor,INDEX(Referencia!$A$2:$AZ6238,fila,col),
IF(TRIM(TO_TEXT(valor))=TRIM(TO_TEXT(I454)),
""OK"&amp;""",
""NO COINCIDE. Valor verdadero: ""&amp;IF(valor="""",""[VACÍO]"",TO_TEXT(valor))
)
))))
),""ERROR EN FÓRMULA""))"),"NO APLICA")</f>
        <v>NO APLICA</v>
      </c>
    </row>
    <row r="455">
      <c r="A455" s="83" t="s">
        <v>4078</v>
      </c>
      <c r="B455" s="83" t="s">
        <v>4079</v>
      </c>
      <c r="C455" s="81" t="s">
        <v>4086</v>
      </c>
      <c r="D455" s="83" t="s">
        <v>4311</v>
      </c>
      <c r="E455" s="81" t="s">
        <v>1271</v>
      </c>
      <c r="F455" s="84">
        <v>251.0</v>
      </c>
      <c r="G455" s="81" t="s">
        <v>44</v>
      </c>
      <c r="H455" s="81" t="s">
        <v>224</v>
      </c>
      <c r="I455" s="81" t="s">
        <v>1271</v>
      </c>
      <c r="J455" s="81" t="s">
        <v>4088</v>
      </c>
      <c r="K455" s="81" t="str">
        <f>IFERROR(__xludf.DUMMYFUNCTION("IF(OR(D455="""",G455=""""),"""",IFERROR(LET(
campo,XLOOKUP(TRIM(G455),ARRAYFORMULA(TRIM('indice columnas'!$A$2:$A$100)),'indice columnas'!$B$2:$B$100,""""),
col,IFERROR(MATCH(campo,Referencia!$A$1:$AZ$1,0),0),
fila,IFERROR(MATCH(TO_TEXT(D455),ARRAYFORMULA"&amp;"(TO_TEXT(Referencia!$A$2:$A6238)),0),0),
IF(OR(campo="""",campo=""-""),""NO APLICA"",
IF(col=0,""REVISAR EQUIVALENCIA"",
IF(fila=0,""SKU NO ENCONTRADO"",
LET(
valor,INDEX(Referencia!$A$2:$AZ6238,fila,col),
IF(TRIM(TO_TEXT(valor))=TRIM(TO_TEXT(I455)),
""OK"&amp;""",
""NO COINCIDE. Valor verdadero: ""&amp;IF(valor="""",""[VACÍO]"",TO_TEXT(valor))
)
))))
),""ERROR EN FÓRMULA""))"),"NO APLICA")</f>
        <v>NO APLICA</v>
      </c>
    </row>
    <row r="456">
      <c r="A456" s="83" t="s">
        <v>4078</v>
      </c>
      <c r="B456" s="83" t="s">
        <v>4079</v>
      </c>
      <c r="C456" s="81" t="s">
        <v>4086</v>
      </c>
      <c r="D456" s="83" t="s">
        <v>4311</v>
      </c>
      <c r="E456" s="81" t="s">
        <v>1285</v>
      </c>
      <c r="F456" s="84">
        <v>252.0</v>
      </c>
      <c r="G456" s="81" t="s">
        <v>29</v>
      </c>
      <c r="H456" s="81" t="s">
        <v>4312</v>
      </c>
      <c r="I456" s="81" t="s">
        <v>1276</v>
      </c>
      <c r="J456" s="81" t="s">
        <v>224</v>
      </c>
      <c r="K456" s="81" t="str">
        <f>IFERROR(__xludf.DUMMYFUNCTION("IF(OR(D456="""",G456=""""),"""",IFERROR(LET(
campo,XLOOKUP(TRIM(G456),ARRAYFORMULA(TRIM('indice columnas'!$A$2:$A$100)),'indice columnas'!$B$2:$B$100,""""),
col,IFERROR(MATCH(campo,Referencia!$A$1:$AZ$1,0),0),
fila,IFERROR(MATCH(TO_TEXT(D456),ARRAYFORMULA"&amp;"(TO_TEXT(Referencia!$A$2:$A6238)),0),0),
IF(OR(campo="""",campo=""-""),""NO APLICA"",
IF(col=0,""REVISAR EQUIVALENCIA"",
IF(fila=0,""SKU NO ENCONTRADO"",
LET(
valor,INDEX(Referencia!$A$2:$AZ6238,fila,col),
IF(TRIM(TO_TEXT(valor))=TRIM(TO_TEXT(I456)),
""OK"&amp;""",
""NO COINCIDE. Valor verdadero: ""&amp;IF(valor="""",""[VACÍO]"",TO_TEXT(valor))
)
))))
),""ERROR EN FÓRMULA""))"),"NO COINCIDE. Valor verdadero: Ø270 x Prof 45")</f>
        <v>NO COINCIDE. Valor verdadero: Ø270 x Prof 45</v>
      </c>
    </row>
    <row r="457">
      <c r="A457" s="83" t="s">
        <v>4078</v>
      </c>
      <c r="B457" s="83" t="s">
        <v>4079</v>
      </c>
      <c r="C457" s="81" t="s">
        <v>4086</v>
      </c>
      <c r="D457" s="83" t="s">
        <v>4311</v>
      </c>
      <c r="E457" s="81" t="s">
        <v>1285</v>
      </c>
      <c r="F457" s="84">
        <v>252.0</v>
      </c>
      <c r="G457" s="81" t="s">
        <v>44</v>
      </c>
      <c r="H457" s="81" t="s">
        <v>224</v>
      </c>
      <c r="I457" s="81" t="s">
        <v>1271</v>
      </c>
      <c r="J457" s="81" t="s">
        <v>4088</v>
      </c>
      <c r="K457" s="81" t="str">
        <f>IFERROR(__xludf.DUMMYFUNCTION("IF(OR(D457="""",G457=""""),"""",IFERROR(LET(
campo,XLOOKUP(TRIM(G457),ARRAYFORMULA(TRIM('indice columnas'!$A$2:$A$100)),'indice columnas'!$B$2:$B$100,""""),
col,IFERROR(MATCH(campo,Referencia!$A$1:$AZ$1,0),0),
fila,IFERROR(MATCH(TO_TEXT(D457),ARRAYFORMULA"&amp;"(TO_TEXT(Referencia!$A$2:$A6238)),0),0),
IF(OR(campo="""",campo=""-""),""NO APLICA"",
IF(col=0,""REVISAR EQUIVALENCIA"",
IF(fila=0,""SKU NO ENCONTRADO"",
LET(
valor,INDEX(Referencia!$A$2:$AZ6238,fila,col),
IF(TRIM(TO_TEXT(valor))=TRIM(TO_TEXT(I457)),
""OK"&amp;""",
""NO COINCIDE. Valor verdadero: ""&amp;IF(valor="""",""[VACÍO]"",TO_TEXT(valor))
)
))))
),""ERROR EN FÓRMULA""))"),"NO APLICA")</f>
        <v>NO APLICA</v>
      </c>
    </row>
    <row r="458">
      <c r="A458" s="83" t="s">
        <v>4078</v>
      </c>
      <c r="B458" s="83" t="s">
        <v>4079</v>
      </c>
      <c r="C458" s="81" t="s">
        <v>4086</v>
      </c>
      <c r="D458" s="83" t="s">
        <v>4313</v>
      </c>
      <c r="E458" s="81" t="s">
        <v>1286</v>
      </c>
      <c r="F458" s="84">
        <v>253.0</v>
      </c>
      <c r="G458" s="81" t="s">
        <v>29</v>
      </c>
      <c r="H458" s="81" t="s">
        <v>4312</v>
      </c>
      <c r="I458" s="81" t="s">
        <v>1276</v>
      </c>
      <c r="J458" s="81" t="s">
        <v>224</v>
      </c>
      <c r="K458" s="81" t="str">
        <f>IFERROR(__xludf.DUMMYFUNCTION("IF(OR(D458="""",G458=""""),"""",IFERROR(LET(
campo,XLOOKUP(TRIM(G458),ARRAYFORMULA(TRIM('indice columnas'!$A$2:$A$100)),'indice columnas'!$B$2:$B$100,""""),
col,IFERROR(MATCH(campo,Referencia!$A$1:$AZ$1,0),0),
fila,IFERROR(MATCH(TO_TEXT(D458),ARRAYFORMULA"&amp;"(TO_TEXT(Referencia!$A$2:$A6238)),0),0),
IF(OR(campo="""",campo=""-""),""NO APLICA"",
IF(col=0,""REVISAR EQUIVALENCIA"",
IF(fila=0,""SKU NO ENCONTRADO"",
LET(
valor,INDEX(Referencia!$A$2:$AZ6238,fila,col),
IF(TRIM(TO_TEXT(valor))=TRIM(TO_TEXT(I458)),
""OK"&amp;""",
""NO COINCIDE. Valor verdadero: ""&amp;IF(valor="""",""[VACÍO]"",TO_TEXT(valor))
)
))))
),""ERROR EN FÓRMULA""))"),"NO COINCIDE. Valor verdadero: Ø270 x Prof 45")</f>
        <v>NO COINCIDE. Valor verdadero: Ø270 x Prof 45</v>
      </c>
    </row>
    <row r="459">
      <c r="A459" s="83" t="s">
        <v>4078</v>
      </c>
      <c r="B459" s="83" t="s">
        <v>4079</v>
      </c>
      <c r="C459" s="81" t="s">
        <v>4086</v>
      </c>
      <c r="D459" s="83" t="s">
        <v>4313</v>
      </c>
      <c r="E459" s="81" t="s">
        <v>1286</v>
      </c>
      <c r="F459" s="84">
        <v>253.0</v>
      </c>
      <c r="G459" s="81" t="s">
        <v>44</v>
      </c>
      <c r="H459" s="81" t="s">
        <v>224</v>
      </c>
      <c r="I459" s="81" t="s">
        <v>1271</v>
      </c>
      <c r="J459" s="81" t="s">
        <v>4088</v>
      </c>
      <c r="K459" s="81" t="str">
        <f>IFERROR(__xludf.DUMMYFUNCTION("IF(OR(D459="""",G459=""""),"""",IFERROR(LET(
campo,XLOOKUP(TRIM(G459),ARRAYFORMULA(TRIM('indice columnas'!$A$2:$A$100)),'indice columnas'!$B$2:$B$100,""""),
col,IFERROR(MATCH(campo,Referencia!$A$1:$AZ$1,0),0),
fila,IFERROR(MATCH(TO_TEXT(D459),ARRAYFORMULA"&amp;"(TO_TEXT(Referencia!$A$2:$A6238)),0),0),
IF(OR(campo="""",campo=""-""),""NO APLICA"",
IF(col=0,""REVISAR EQUIVALENCIA"",
IF(fila=0,""SKU NO ENCONTRADO"",
LET(
valor,INDEX(Referencia!$A$2:$AZ6238,fila,col),
IF(TRIM(TO_TEXT(valor))=TRIM(TO_TEXT(I459)),
""OK"&amp;""",
""NO COINCIDE. Valor verdadero: ""&amp;IF(valor="""",""[VACÍO]"",TO_TEXT(valor))
)
))))
),""ERROR EN FÓRMULA""))"),"NO APLICA")</f>
        <v>NO APLICA</v>
      </c>
    </row>
    <row r="460">
      <c r="A460" s="83" t="s">
        <v>4078</v>
      </c>
      <c r="B460" s="83" t="s">
        <v>4079</v>
      </c>
      <c r="C460" s="81" t="s">
        <v>4086</v>
      </c>
      <c r="D460" s="83" t="s">
        <v>4314</v>
      </c>
      <c r="E460" s="81" t="s">
        <v>1289</v>
      </c>
      <c r="F460" s="84">
        <v>254.0</v>
      </c>
      <c r="G460" s="81" t="s">
        <v>12</v>
      </c>
      <c r="H460" s="81" t="s">
        <v>224</v>
      </c>
      <c r="I460" s="81" t="s">
        <v>55</v>
      </c>
      <c r="J460" s="81" t="s">
        <v>224</v>
      </c>
      <c r="K460" s="81" t="str">
        <f>IFERROR(__xludf.DUMMYFUNCTION("IF(OR(D460="""",G460=""""),"""",IFERROR(LET(
campo,XLOOKUP(TRIM(G460),ARRAYFORMULA(TRIM('indice columnas'!$A$2:$A$100)),'indice columnas'!$B$2:$B$100,""""),
col,IFERROR(MATCH(campo,Referencia!$A$1:$AZ$1,0),0),
fila,IFERROR(MATCH(TO_TEXT(D460),ARRAYFORMULA"&amp;"(TO_TEXT(Referencia!$A$2:$A6238)),0),0),
IF(OR(campo="""",campo=""-""),""NO APLICA"",
IF(col=0,""REVISAR EQUIVALENCIA"",
IF(fila=0,""SKU NO ENCONTRADO"",
LET(
valor,INDEX(Referencia!$A$2:$AZ6238,fila,col),
IF(TRIM(TO_TEXT(valor))=TRIM(TO_TEXT(I460)),
""OK"&amp;""",
""NO COINCIDE. Valor verdadero: ""&amp;IF(valor="""",""[VACÍO]"",TO_TEXT(valor))
)
))))
),""ERROR EN FÓRMULA""))"),"OK")</f>
        <v>OK</v>
      </c>
    </row>
    <row r="461">
      <c r="A461" s="83" t="s">
        <v>4078</v>
      </c>
      <c r="B461" s="83" t="s">
        <v>4079</v>
      </c>
      <c r="C461" s="81" t="s">
        <v>4086</v>
      </c>
      <c r="D461" s="83" t="s">
        <v>4314</v>
      </c>
      <c r="E461" s="81" t="s">
        <v>1289</v>
      </c>
      <c r="F461" s="84">
        <v>254.0</v>
      </c>
      <c r="G461" s="81" t="s">
        <v>44</v>
      </c>
      <c r="H461" s="81" t="s">
        <v>224</v>
      </c>
      <c r="I461" s="81" t="s">
        <v>1401</v>
      </c>
      <c r="J461" s="81" t="s">
        <v>4088</v>
      </c>
      <c r="K461" s="81" t="str">
        <f>IFERROR(__xludf.DUMMYFUNCTION("IF(OR(D461="""",G461=""""),"""",IFERROR(LET(
campo,XLOOKUP(TRIM(G461),ARRAYFORMULA(TRIM('indice columnas'!$A$2:$A$100)),'indice columnas'!$B$2:$B$100,""""),
col,IFERROR(MATCH(campo,Referencia!$A$1:$AZ$1,0),0),
fila,IFERROR(MATCH(TO_TEXT(D461),ARRAYFORMULA"&amp;"(TO_TEXT(Referencia!$A$2:$A6238)),0),0),
IF(OR(campo="""",campo=""-""),""NO APLICA"",
IF(col=0,""REVISAR EQUIVALENCIA"",
IF(fila=0,""SKU NO ENCONTRADO"",
LET(
valor,INDEX(Referencia!$A$2:$AZ6238,fila,col),
IF(TRIM(TO_TEXT(valor))=TRIM(TO_TEXT(I461)),
""OK"&amp;""",
""NO COINCIDE. Valor verdadero: ""&amp;IF(valor="""",""[VACÍO]"",TO_TEXT(valor))
)
))))
),""ERROR EN FÓRMULA""))"),"NO APLICA")</f>
        <v>NO APLICA</v>
      </c>
    </row>
    <row r="462">
      <c r="A462" s="83" t="s">
        <v>4078</v>
      </c>
      <c r="B462" s="83" t="s">
        <v>4079</v>
      </c>
      <c r="C462" s="81" t="s">
        <v>4086</v>
      </c>
      <c r="D462" s="83" t="s">
        <v>4315</v>
      </c>
      <c r="E462" s="81" t="s">
        <v>1297</v>
      </c>
      <c r="F462" s="84">
        <v>255.0</v>
      </c>
      <c r="G462" s="81" t="s">
        <v>44</v>
      </c>
      <c r="H462" s="81" t="s">
        <v>224</v>
      </c>
      <c r="I462" s="81" t="s">
        <v>1297</v>
      </c>
      <c r="J462" s="81" t="s">
        <v>4088</v>
      </c>
      <c r="K462" s="81" t="str">
        <f>IFERROR(__xludf.DUMMYFUNCTION("IF(OR(D462="""",G462=""""),"""",IFERROR(LET(
campo,XLOOKUP(TRIM(G462),ARRAYFORMULA(TRIM('indice columnas'!$A$2:$A$100)),'indice columnas'!$B$2:$B$100,""""),
col,IFERROR(MATCH(campo,Referencia!$A$1:$AZ$1,0),0),
fila,IFERROR(MATCH(TO_TEXT(D462),ARRAYFORMULA"&amp;"(TO_TEXT(Referencia!$A$2:$A6238)),0),0),
IF(OR(campo="""",campo=""-""),""NO APLICA"",
IF(col=0,""REVISAR EQUIVALENCIA"",
IF(fila=0,""SKU NO ENCONTRADO"",
LET(
valor,INDEX(Referencia!$A$2:$AZ6238,fila,col),
IF(TRIM(TO_TEXT(valor))=TRIM(TO_TEXT(I462)),
""OK"&amp;""",
""NO COINCIDE. Valor verdadero: ""&amp;IF(valor="""",""[VACÍO]"",TO_TEXT(valor))
)
))))
),""ERROR EN FÓRMULA""))"),"NO APLICA")</f>
        <v>NO APLICA</v>
      </c>
    </row>
    <row r="463">
      <c r="A463" s="83" t="s">
        <v>4078</v>
      </c>
      <c r="B463" s="83" t="s">
        <v>4079</v>
      </c>
      <c r="C463" s="81" t="s">
        <v>4086</v>
      </c>
      <c r="D463" s="83" t="s">
        <v>4316</v>
      </c>
      <c r="E463" s="81" t="s">
        <v>1313</v>
      </c>
      <c r="F463" s="84">
        <v>256.0</v>
      </c>
      <c r="G463" s="81" t="s">
        <v>44</v>
      </c>
      <c r="H463" s="81" t="s">
        <v>224</v>
      </c>
      <c r="I463" s="81" t="s">
        <v>1313</v>
      </c>
      <c r="J463" s="81" t="s">
        <v>4088</v>
      </c>
      <c r="K463" s="81" t="str">
        <f>IFERROR(__xludf.DUMMYFUNCTION("IF(OR(D463="""",G463=""""),"""",IFERROR(LET(
campo,XLOOKUP(TRIM(G463),ARRAYFORMULA(TRIM('indice columnas'!$A$2:$A$100)),'indice columnas'!$B$2:$B$100,""""),
col,IFERROR(MATCH(campo,Referencia!$A$1:$AZ$1,0),0),
fila,IFERROR(MATCH(TO_TEXT(D463),ARRAYFORMULA"&amp;"(TO_TEXT(Referencia!$A$2:$A6238)),0),0),
IF(OR(campo="""",campo=""-""),""NO APLICA"",
IF(col=0,""REVISAR EQUIVALENCIA"",
IF(fila=0,""SKU NO ENCONTRADO"",
LET(
valor,INDEX(Referencia!$A$2:$AZ6238,fila,col),
IF(TRIM(TO_TEXT(valor))=TRIM(TO_TEXT(I463)),
""OK"&amp;""",
""NO COINCIDE. Valor verdadero: ""&amp;IF(valor="""",""[VACÍO]"",TO_TEXT(valor))
)
))))
),""ERROR EN FÓRMULA""))"),"NO APLICA")</f>
        <v>NO APLICA</v>
      </c>
    </row>
    <row r="464">
      <c r="A464" s="83" t="s">
        <v>4078</v>
      </c>
      <c r="B464" s="83" t="s">
        <v>4079</v>
      </c>
      <c r="C464" s="81" t="s">
        <v>4086</v>
      </c>
      <c r="D464" s="83" t="s">
        <v>4317</v>
      </c>
      <c r="E464" s="81" t="s">
        <v>1325</v>
      </c>
      <c r="F464" s="84">
        <v>257.0</v>
      </c>
      <c r="G464" s="81" t="s">
        <v>44</v>
      </c>
      <c r="H464" s="81" t="s">
        <v>224</v>
      </c>
      <c r="I464" s="81" t="s">
        <v>1325</v>
      </c>
      <c r="J464" s="81" t="s">
        <v>4088</v>
      </c>
      <c r="K464" s="81" t="str">
        <f>IFERROR(__xludf.DUMMYFUNCTION("IF(OR(D464="""",G464=""""),"""",IFERROR(LET(
campo,XLOOKUP(TRIM(G464),ARRAYFORMULA(TRIM('indice columnas'!$A$2:$A$100)),'indice columnas'!$B$2:$B$100,""""),
col,IFERROR(MATCH(campo,Referencia!$A$1:$AZ$1,0),0),
fila,IFERROR(MATCH(TO_TEXT(D464),ARRAYFORMULA"&amp;"(TO_TEXT(Referencia!$A$2:$A6238)),0),0),
IF(OR(campo="""",campo=""-""),""NO APLICA"",
IF(col=0,""REVISAR EQUIVALENCIA"",
IF(fila=0,""SKU NO ENCONTRADO"",
LET(
valor,INDEX(Referencia!$A$2:$AZ6238,fila,col),
IF(TRIM(TO_TEXT(valor))=TRIM(TO_TEXT(I464)),
""OK"&amp;""",
""NO COINCIDE. Valor verdadero: ""&amp;IF(valor="""",""[VACÍO]"",TO_TEXT(valor))
)
))))
),""ERROR EN FÓRMULA""))"),"NO APLICA")</f>
        <v>NO APLICA</v>
      </c>
    </row>
    <row r="465">
      <c r="A465" s="83" t="s">
        <v>4078</v>
      </c>
      <c r="B465" s="83" t="s">
        <v>4079</v>
      </c>
      <c r="C465" s="81" t="s">
        <v>4086</v>
      </c>
      <c r="D465" s="83" t="s">
        <v>4318</v>
      </c>
      <c r="E465" s="81" t="s">
        <v>1336</v>
      </c>
      <c r="F465" s="84">
        <v>258.0</v>
      </c>
      <c r="G465" s="81" t="s">
        <v>44</v>
      </c>
      <c r="H465" s="81" t="s">
        <v>224</v>
      </c>
      <c r="I465" s="81" t="s">
        <v>1336</v>
      </c>
      <c r="J465" s="81" t="s">
        <v>4088</v>
      </c>
      <c r="K465" s="81" t="str">
        <f>IFERROR(__xludf.DUMMYFUNCTION("IF(OR(D465="""",G465=""""),"""",IFERROR(LET(
campo,XLOOKUP(TRIM(G465),ARRAYFORMULA(TRIM('indice columnas'!$A$2:$A$100)),'indice columnas'!$B$2:$B$100,""""),
col,IFERROR(MATCH(campo,Referencia!$A$1:$AZ$1,0),0),
fila,IFERROR(MATCH(TO_TEXT(D465),ARRAYFORMULA"&amp;"(TO_TEXT(Referencia!$A$2:$A6238)),0),0),
IF(OR(campo="""",campo=""-""),""NO APLICA"",
IF(col=0,""REVISAR EQUIVALENCIA"",
IF(fila=0,""SKU NO ENCONTRADO"",
LET(
valor,INDEX(Referencia!$A$2:$AZ6238,fila,col),
IF(TRIM(TO_TEXT(valor))=TRIM(TO_TEXT(I465)),
""OK"&amp;""",
""NO COINCIDE. Valor verdadero: ""&amp;IF(valor="""",""[VACÍO]"",TO_TEXT(valor))
)
))))
),""ERROR EN FÓRMULA""))"),"NO APLICA")</f>
        <v>NO APLICA</v>
      </c>
    </row>
    <row r="466">
      <c r="A466" s="83" t="s">
        <v>4078</v>
      </c>
      <c r="B466" s="83" t="s">
        <v>4079</v>
      </c>
      <c r="C466" s="81" t="s">
        <v>4086</v>
      </c>
      <c r="D466" s="83" t="s">
        <v>4319</v>
      </c>
      <c r="E466" s="81" t="s">
        <v>1350</v>
      </c>
      <c r="F466" s="84">
        <v>259.0</v>
      </c>
      <c r="G466" s="81" t="s">
        <v>12</v>
      </c>
      <c r="H466" s="81" t="s">
        <v>224</v>
      </c>
      <c r="I466" s="81" t="s">
        <v>55</v>
      </c>
      <c r="J466" s="81" t="s">
        <v>224</v>
      </c>
      <c r="K466" s="81" t="str">
        <f>IFERROR(__xludf.DUMMYFUNCTION("IF(OR(D466="""",G466=""""),"""",IFERROR(LET(
campo,XLOOKUP(TRIM(G466),ARRAYFORMULA(TRIM('indice columnas'!$A$2:$A$100)),'indice columnas'!$B$2:$B$100,""""),
col,IFERROR(MATCH(campo,Referencia!$A$1:$AZ$1,0),0),
fila,IFERROR(MATCH(TO_TEXT(D466),ARRAYFORMULA"&amp;"(TO_TEXT(Referencia!$A$2:$A6238)),0),0),
IF(OR(campo="""",campo=""-""),""NO APLICA"",
IF(col=0,""REVISAR EQUIVALENCIA"",
IF(fila=0,""SKU NO ENCONTRADO"",
LET(
valor,INDEX(Referencia!$A$2:$AZ6238,fila,col),
IF(TRIM(TO_TEXT(valor))=TRIM(TO_TEXT(I466)),
""OK"&amp;""",
""NO COINCIDE. Valor verdadero: ""&amp;IF(valor="""",""[VACÍO]"",TO_TEXT(valor))
)
))))
),""ERROR EN FÓRMULA""))"),"OK")</f>
        <v>OK</v>
      </c>
    </row>
    <row r="467">
      <c r="A467" s="83" t="s">
        <v>4078</v>
      </c>
      <c r="B467" s="83" t="s">
        <v>4079</v>
      </c>
      <c r="C467" s="81" t="s">
        <v>4086</v>
      </c>
      <c r="D467" s="83" t="s">
        <v>4319</v>
      </c>
      <c r="E467" s="81" t="s">
        <v>1350</v>
      </c>
      <c r="F467" s="84">
        <v>259.0</v>
      </c>
      <c r="G467" s="81" t="s">
        <v>44</v>
      </c>
      <c r="H467" s="81" t="s">
        <v>224</v>
      </c>
      <c r="I467" s="81" t="s">
        <v>1350</v>
      </c>
      <c r="J467" s="81" t="s">
        <v>4088</v>
      </c>
      <c r="K467" s="81" t="str">
        <f>IFERROR(__xludf.DUMMYFUNCTION("IF(OR(D467="""",G467=""""),"""",IFERROR(LET(
campo,XLOOKUP(TRIM(G467),ARRAYFORMULA(TRIM('indice columnas'!$A$2:$A$100)),'indice columnas'!$B$2:$B$100,""""),
col,IFERROR(MATCH(campo,Referencia!$A$1:$AZ$1,0),0),
fila,IFERROR(MATCH(TO_TEXT(D467),ARRAYFORMULA"&amp;"(TO_TEXT(Referencia!$A$2:$A6238)),0),0),
IF(OR(campo="""",campo=""-""),""NO APLICA"",
IF(col=0,""REVISAR EQUIVALENCIA"",
IF(fila=0,""SKU NO ENCONTRADO"",
LET(
valor,INDEX(Referencia!$A$2:$AZ6238,fila,col),
IF(TRIM(TO_TEXT(valor))=TRIM(TO_TEXT(I467)),
""OK"&amp;""",
""NO COINCIDE. Valor verdadero: ""&amp;IF(valor="""",""[VACÍO]"",TO_TEXT(valor))
)
))))
),""ERROR EN FÓRMULA""))"),"NO APLICA")</f>
        <v>NO APLICA</v>
      </c>
    </row>
    <row r="468">
      <c r="A468" s="83" t="s">
        <v>4078</v>
      </c>
      <c r="B468" s="83" t="s">
        <v>4079</v>
      </c>
      <c r="C468" s="81" t="s">
        <v>4086</v>
      </c>
      <c r="D468" s="83" t="s">
        <v>4320</v>
      </c>
      <c r="E468" s="81" t="s">
        <v>1357</v>
      </c>
      <c r="F468" s="84">
        <v>260.0</v>
      </c>
      <c r="G468" s="81" t="s">
        <v>44</v>
      </c>
      <c r="H468" s="81" t="s">
        <v>224</v>
      </c>
      <c r="I468" s="81" t="s">
        <v>924</v>
      </c>
      <c r="J468" s="81" t="s">
        <v>4088</v>
      </c>
      <c r="K468" s="81" t="str">
        <f>IFERROR(__xludf.DUMMYFUNCTION("IF(OR(D468="""",G468=""""),"""",IFERROR(LET(
campo,XLOOKUP(TRIM(G468),ARRAYFORMULA(TRIM('indice columnas'!$A$2:$A$100)),'indice columnas'!$B$2:$B$100,""""),
col,IFERROR(MATCH(campo,Referencia!$A$1:$AZ$1,0),0),
fila,IFERROR(MATCH(TO_TEXT(D468),ARRAYFORMULA"&amp;"(TO_TEXT(Referencia!$A$2:$A6238)),0),0),
IF(OR(campo="""",campo=""-""),""NO APLICA"",
IF(col=0,""REVISAR EQUIVALENCIA"",
IF(fila=0,""SKU NO ENCONTRADO"",
LET(
valor,INDEX(Referencia!$A$2:$AZ6238,fila,col),
IF(TRIM(TO_TEXT(valor))=TRIM(TO_TEXT(I468)),
""OK"&amp;""",
""NO COINCIDE. Valor verdadero: ""&amp;IF(valor="""",""[VACÍO]"",TO_TEXT(valor))
)
))))
),""ERROR EN FÓRMULA""))"),"NO APLICA")</f>
        <v>NO APLICA</v>
      </c>
    </row>
    <row r="469">
      <c r="A469" s="83" t="s">
        <v>4078</v>
      </c>
      <c r="B469" s="83" t="s">
        <v>4079</v>
      </c>
      <c r="C469" s="81" t="s">
        <v>4086</v>
      </c>
      <c r="D469" s="83" t="s">
        <v>4320</v>
      </c>
      <c r="E469" s="81" t="s">
        <v>1365</v>
      </c>
      <c r="F469" s="84">
        <v>261.0</v>
      </c>
      <c r="G469" s="81" t="s">
        <v>12</v>
      </c>
      <c r="H469" s="81" t="s">
        <v>224</v>
      </c>
      <c r="I469" s="81" t="s">
        <v>55</v>
      </c>
      <c r="J469" s="81" t="s">
        <v>224</v>
      </c>
      <c r="K469" s="81" t="str">
        <f>IFERROR(__xludf.DUMMYFUNCTION("IF(OR(D469="""",G469=""""),"""",IFERROR(LET(
campo,XLOOKUP(TRIM(G469),ARRAYFORMULA(TRIM('indice columnas'!$A$2:$A$100)),'indice columnas'!$B$2:$B$100,""""),
col,IFERROR(MATCH(campo,Referencia!$A$1:$AZ$1,0),0),
fila,IFERROR(MATCH(TO_TEXT(D469),ARRAYFORMULA"&amp;"(TO_TEXT(Referencia!$A$2:$A6238)),0),0),
IF(OR(campo="""",campo=""-""),""NO APLICA"",
IF(col=0,""REVISAR EQUIVALENCIA"",
IF(fila=0,""SKU NO ENCONTRADO"",
LET(
valor,INDEX(Referencia!$A$2:$AZ6238,fila,col),
IF(TRIM(TO_TEXT(valor))=TRIM(TO_TEXT(I469)),
""OK"&amp;""",
""NO COINCIDE. Valor verdadero: ""&amp;IF(valor="""",""[VACÍO]"",TO_TEXT(valor))
)
))))
),""ERROR EN FÓRMULA""))"),"OK")</f>
        <v>OK</v>
      </c>
    </row>
    <row r="470">
      <c r="A470" s="83" t="s">
        <v>4078</v>
      </c>
      <c r="B470" s="83" t="s">
        <v>4079</v>
      </c>
      <c r="C470" s="81" t="s">
        <v>4086</v>
      </c>
      <c r="D470" s="83" t="s">
        <v>4320</v>
      </c>
      <c r="E470" s="81" t="s">
        <v>1365</v>
      </c>
      <c r="F470" s="84">
        <v>261.0</v>
      </c>
      <c r="G470" s="81" t="s">
        <v>29</v>
      </c>
      <c r="H470" s="81" t="s">
        <v>4321</v>
      </c>
      <c r="I470" s="81" t="s">
        <v>1366</v>
      </c>
      <c r="J470" s="81" t="s">
        <v>224</v>
      </c>
      <c r="K470" s="81" t="str">
        <f>IFERROR(__xludf.DUMMYFUNCTION("IF(OR(D470="""",G470=""""),"""",IFERROR(LET(
campo,XLOOKUP(TRIM(G470),ARRAYFORMULA(TRIM('indice columnas'!$A$2:$A$100)),'indice columnas'!$B$2:$B$100,""""),
col,IFERROR(MATCH(campo,Referencia!$A$1:$AZ$1,0),0),
fila,IFERROR(MATCH(TO_TEXT(D470),ARRAYFORMULA"&amp;"(TO_TEXT(Referencia!$A$2:$A6238)),0),0),
IF(OR(campo="""",campo=""-""),""NO APLICA"",
IF(col=0,""REVISAR EQUIVALENCIA"",
IF(fila=0,""SKU NO ENCONTRADO"",
LET(
valor,INDEX(Referencia!$A$2:$AZ6238,fila,col),
IF(TRIM(TO_TEXT(valor))=TRIM(TO_TEXT(I470)),
""OK"&amp;""",
""NO COINCIDE. Valor verdadero: ""&amp;IF(valor="""",""[VACÍO]"",TO_TEXT(valor))
)
))))
),""ERROR EN FÓRMULA""))"),"NO COINCIDE. Valor verdadero: 42 x 20 x 1000 (Ancho x Alto x Largo)")</f>
        <v>NO COINCIDE. Valor verdadero: 42 x 20 x 1000 (Ancho x Alto x Largo)</v>
      </c>
    </row>
    <row r="471">
      <c r="A471" s="83" t="s">
        <v>4078</v>
      </c>
      <c r="B471" s="83" t="s">
        <v>4079</v>
      </c>
      <c r="C471" s="81" t="s">
        <v>4086</v>
      </c>
      <c r="D471" s="83" t="s">
        <v>4320</v>
      </c>
      <c r="E471" s="81" t="s">
        <v>1365</v>
      </c>
      <c r="F471" s="84">
        <v>261.0</v>
      </c>
      <c r="G471" s="81" t="s">
        <v>44</v>
      </c>
      <c r="H471" s="81" t="s">
        <v>224</v>
      </c>
      <c r="I471" s="81" t="s">
        <v>924</v>
      </c>
      <c r="J471" s="81" t="s">
        <v>4088</v>
      </c>
      <c r="K471" s="81" t="str">
        <f>IFERROR(__xludf.DUMMYFUNCTION("IF(OR(D471="""",G471=""""),"""",IFERROR(LET(
campo,XLOOKUP(TRIM(G471),ARRAYFORMULA(TRIM('indice columnas'!$A$2:$A$100)),'indice columnas'!$B$2:$B$100,""""),
col,IFERROR(MATCH(campo,Referencia!$A$1:$AZ$1,0),0),
fila,IFERROR(MATCH(TO_TEXT(D471),ARRAYFORMULA"&amp;"(TO_TEXT(Referencia!$A$2:$A6238)),0),0),
IF(OR(campo="""",campo=""-""),""NO APLICA"",
IF(col=0,""REVISAR EQUIVALENCIA"",
IF(fila=0,""SKU NO ENCONTRADO"",
LET(
valor,INDEX(Referencia!$A$2:$AZ6238,fila,col),
IF(TRIM(TO_TEXT(valor))=TRIM(TO_TEXT(I471)),
""OK"&amp;""",
""NO COINCIDE. Valor verdadero: ""&amp;IF(valor="""",""[VACÍO]"",TO_TEXT(valor))
)
))))
),""ERROR EN FÓRMULA""))"),"NO APLICA")</f>
        <v>NO APLICA</v>
      </c>
    </row>
    <row r="472">
      <c r="A472" s="83" t="s">
        <v>4078</v>
      </c>
      <c r="B472" s="83" t="s">
        <v>4079</v>
      </c>
      <c r="C472" s="81" t="s">
        <v>4086</v>
      </c>
      <c r="D472" s="83" t="s">
        <v>4322</v>
      </c>
      <c r="E472" s="81" t="s">
        <v>1367</v>
      </c>
      <c r="F472" s="84">
        <v>262.0</v>
      </c>
      <c r="G472" s="81" t="s">
        <v>12</v>
      </c>
      <c r="H472" s="81" t="s">
        <v>224</v>
      </c>
      <c r="I472" s="81" t="s">
        <v>55</v>
      </c>
      <c r="J472" s="81" t="s">
        <v>224</v>
      </c>
      <c r="K472" s="81" t="str">
        <f>IFERROR(__xludf.DUMMYFUNCTION("IF(OR(D472="""",G472=""""),"""",IFERROR(LET(
campo,XLOOKUP(TRIM(G472),ARRAYFORMULA(TRIM('indice columnas'!$A$2:$A$100)),'indice columnas'!$B$2:$B$100,""""),
col,IFERROR(MATCH(campo,Referencia!$A$1:$AZ$1,0),0),
fila,IFERROR(MATCH(TO_TEXT(D472),ARRAYFORMULA"&amp;"(TO_TEXT(Referencia!$A$2:$A6238)),0),0),
IF(OR(campo="""",campo=""-""),""NO APLICA"",
IF(col=0,""REVISAR EQUIVALENCIA"",
IF(fila=0,""SKU NO ENCONTRADO"",
LET(
valor,INDEX(Referencia!$A$2:$AZ6238,fila,col),
IF(TRIM(TO_TEXT(valor))=TRIM(TO_TEXT(I472)),
""OK"&amp;""",
""NO COINCIDE. Valor verdadero: ""&amp;IF(valor="""",""[VACÍO]"",TO_TEXT(valor))
)
))))
),""ERROR EN FÓRMULA""))"),"OK")</f>
        <v>OK</v>
      </c>
    </row>
    <row r="473">
      <c r="A473" s="83" t="s">
        <v>4078</v>
      </c>
      <c r="B473" s="83" t="s">
        <v>4079</v>
      </c>
      <c r="C473" s="81" t="s">
        <v>4086</v>
      </c>
      <c r="D473" s="83" t="s">
        <v>4322</v>
      </c>
      <c r="E473" s="81" t="s">
        <v>1367</v>
      </c>
      <c r="F473" s="84">
        <v>262.0</v>
      </c>
      <c r="G473" s="81" t="s">
        <v>29</v>
      </c>
      <c r="H473" s="81" t="s">
        <v>4321</v>
      </c>
      <c r="I473" s="81" t="s">
        <v>1366</v>
      </c>
      <c r="J473" s="81" t="s">
        <v>224</v>
      </c>
      <c r="K473" s="81" t="str">
        <f>IFERROR(__xludf.DUMMYFUNCTION("IF(OR(D473="""",G473=""""),"""",IFERROR(LET(
campo,XLOOKUP(TRIM(G473),ARRAYFORMULA(TRIM('indice columnas'!$A$2:$A$100)),'indice columnas'!$B$2:$B$100,""""),
col,IFERROR(MATCH(campo,Referencia!$A$1:$AZ$1,0),0),
fila,IFERROR(MATCH(TO_TEXT(D473),ARRAYFORMULA"&amp;"(TO_TEXT(Referencia!$A$2:$A6238)),0),0),
IF(OR(campo="""",campo=""-""),""NO APLICA"",
IF(col=0,""REVISAR EQUIVALENCIA"",
IF(fila=0,""SKU NO ENCONTRADO"",
LET(
valor,INDEX(Referencia!$A$2:$AZ6238,fila,col),
IF(TRIM(TO_TEXT(valor))=TRIM(TO_TEXT(I473)),
""OK"&amp;""",
""NO COINCIDE. Valor verdadero: ""&amp;IF(valor="""",""[VACÍO]"",TO_TEXT(valor))
)
))))
),""ERROR EN FÓRMULA""))"),"NO COINCIDE. Valor verdadero: 42 x 20 x 1000 (Ancho x Alto x Largo)")</f>
        <v>NO COINCIDE. Valor verdadero: 42 x 20 x 1000 (Ancho x Alto x Largo)</v>
      </c>
    </row>
    <row r="474">
      <c r="A474" s="83" t="s">
        <v>4078</v>
      </c>
      <c r="B474" s="83" t="s">
        <v>4079</v>
      </c>
      <c r="C474" s="81" t="s">
        <v>4086</v>
      </c>
      <c r="D474" s="83" t="s">
        <v>4322</v>
      </c>
      <c r="E474" s="81" t="s">
        <v>1367</v>
      </c>
      <c r="F474" s="84">
        <v>262.0</v>
      </c>
      <c r="G474" s="81" t="s">
        <v>44</v>
      </c>
      <c r="H474" s="81" t="s">
        <v>224</v>
      </c>
      <c r="I474" s="81" t="s">
        <v>924</v>
      </c>
      <c r="J474" s="81" t="s">
        <v>4088</v>
      </c>
      <c r="K474" s="81" t="str">
        <f>IFERROR(__xludf.DUMMYFUNCTION("IF(OR(D474="""",G474=""""),"""",IFERROR(LET(
campo,XLOOKUP(TRIM(G474),ARRAYFORMULA(TRIM('indice columnas'!$A$2:$A$100)),'indice columnas'!$B$2:$B$100,""""),
col,IFERROR(MATCH(campo,Referencia!$A$1:$AZ$1,0),0),
fila,IFERROR(MATCH(TO_TEXT(D474),ARRAYFORMULA"&amp;"(TO_TEXT(Referencia!$A$2:$A6238)),0),0),
IF(OR(campo="""",campo=""-""),""NO APLICA"",
IF(col=0,""REVISAR EQUIVALENCIA"",
IF(fila=0,""SKU NO ENCONTRADO"",
LET(
valor,INDEX(Referencia!$A$2:$AZ6238,fila,col),
IF(TRIM(TO_TEXT(valor))=TRIM(TO_TEXT(I474)),
""OK"&amp;""",
""NO COINCIDE. Valor verdadero: ""&amp;IF(valor="""",""[VACÍO]"",TO_TEXT(valor))
)
))))
),""ERROR EN FÓRMULA""))"),"NO APLICA")</f>
        <v>NO APLICA</v>
      </c>
    </row>
    <row r="475">
      <c r="A475" s="83" t="s">
        <v>4078</v>
      </c>
      <c r="B475" s="83" t="s">
        <v>4079</v>
      </c>
      <c r="C475" s="81" t="s">
        <v>4086</v>
      </c>
      <c r="D475" s="83" t="s">
        <v>4323</v>
      </c>
      <c r="E475" s="81" t="s">
        <v>1370</v>
      </c>
      <c r="F475" s="84">
        <v>263.0</v>
      </c>
      <c r="G475" s="81" t="s">
        <v>12</v>
      </c>
      <c r="H475" s="81" t="s">
        <v>224</v>
      </c>
      <c r="I475" s="81" t="s">
        <v>55</v>
      </c>
      <c r="J475" s="81" t="s">
        <v>224</v>
      </c>
      <c r="K475" s="81" t="str">
        <f>IFERROR(__xludf.DUMMYFUNCTION("IF(OR(D475="""",G475=""""),"""",IFERROR(LET(
campo,XLOOKUP(TRIM(G475),ARRAYFORMULA(TRIM('indice columnas'!$A$2:$A$100)),'indice columnas'!$B$2:$B$100,""""),
col,IFERROR(MATCH(campo,Referencia!$A$1:$AZ$1,0),0),
fila,IFERROR(MATCH(TO_TEXT(D475),ARRAYFORMULA"&amp;"(TO_TEXT(Referencia!$A$2:$A6238)),0),0),
IF(OR(campo="""",campo=""-""),""NO APLICA"",
IF(col=0,""REVISAR EQUIVALENCIA"",
IF(fila=0,""SKU NO ENCONTRADO"",
LET(
valor,INDEX(Referencia!$A$2:$AZ6238,fila,col),
IF(TRIM(TO_TEXT(valor))=TRIM(TO_TEXT(I475)),
""OK"&amp;""",
""NO COINCIDE. Valor verdadero: ""&amp;IF(valor="""",""[VACÍO]"",TO_TEXT(valor))
)
))))
),""ERROR EN FÓRMULA""))"),"OK")</f>
        <v>OK</v>
      </c>
    </row>
    <row r="476">
      <c r="A476" s="83" t="s">
        <v>4078</v>
      </c>
      <c r="B476" s="83" t="s">
        <v>4079</v>
      </c>
      <c r="C476" s="81" t="s">
        <v>4086</v>
      </c>
      <c r="D476" s="83" t="s">
        <v>4323</v>
      </c>
      <c r="E476" s="81" t="s">
        <v>1370</v>
      </c>
      <c r="F476" s="84">
        <v>263.0</v>
      </c>
      <c r="G476" s="81" t="s">
        <v>29</v>
      </c>
      <c r="H476" s="81" t="s">
        <v>4324</v>
      </c>
      <c r="I476" s="81" t="s">
        <v>1371</v>
      </c>
      <c r="J476" s="81" t="s">
        <v>224</v>
      </c>
      <c r="K476" s="81" t="str">
        <f>IFERROR(__xludf.DUMMYFUNCTION("IF(OR(D476="""",G476=""""),"""",IFERROR(LET(
campo,XLOOKUP(TRIM(G476),ARRAYFORMULA(TRIM('indice columnas'!$A$2:$A$100)),'indice columnas'!$B$2:$B$100,""""),
col,IFERROR(MATCH(campo,Referencia!$A$1:$AZ$1,0),0),
fila,IFERROR(MATCH(TO_TEXT(D476),ARRAYFORMULA"&amp;"(TO_TEXT(Referencia!$A$2:$A6238)),0),0),
IF(OR(campo="""",campo=""-""),""NO APLICA"",
IF(col=0,""REVISAR EQUIVALENCIA"",
IF(fila=0,""SKU NO ENCONTRADO"",
LET(
valor,INDEX(Referencia!$A$2:$AZ6238,fila,col),
IF(TRIM(TO_TEXT(valor))=TRIM(TO_TEXT(I476)),
""OK"&amp;""",
""NO COINCIDE. Valor verdadero: ""&amp;IF(valor="""",""[VACÍO]"",TO_TEXT(valor))
)
))))
),""ERROR EN FÓRMULA""))"),"NO COINCIDE. Valor verdadero: 42 x 20 x 2000 (Ancho x Alto x Largo)")</f>
        <v>NO COINCIDE. Valor verdadero: 42 x 20 x 2000 (Ancho x Alto x Largo)</v>
      </c>
    </row>
    <row r="477">
      <c r="A477" s="83" t="s">
        <v>4078</v>
      </c>
      <c r="B477" s="83" t="s">
        <v>4079</v>
      </c>
      <c r="C477" s="81" t="s">
        <v>4086</v>
      </c>
      <c r="D477" s="83" t="s">
        <v>4323</v>
      </c>
      <c r="E477" s="81" t="s">
        <v>1370</v>
      </c>
      <c r="F477" s="84">
        <v>263.0</v>
      </c>
      <c r="G477" s="81" t="s">
        <v>44</v>
      </c>
      <c r="H477" s="81" t="s">
        <v>224</v>
      </c>
      <c r="I477" s="81" t="s">
        <v>924</v>
      </c>
      <c r="J477" s="81" t="s">
        <v>4088</v>
      </c>
      <c r="K477" s="81" t="str">
        <f>IFERROR(__xludf.DUMMYFUNCTION("IF(OR(D477="""",G477=""""),"""",IFERROR(LET(
campo,XLOOKUP(TRIM(G477),ARRAYFORMULA(TRIM('indice columnas'!$A$2:$A$100)),'indice columnas'!$B$2:$B$100,""""),
col,IFERROR(MATCH(campo,Referencia!$A$1:$AZ$1,0),0),
fila,IFERROR(MATCH(TO_TEXT(D477),ARRAYFORMULA"&amp;"(TO_TEXT(Referencia!$A$2:$A6238)),0),0),
IF(OR(campo="""",campo=""-""),""NO APLICA"",
IF(col=0,""REVISAR EQUIVALENCIA"",
IF(fila=0,""SKU NO ENCONTRADO"",
LET(
valor,INDEX(Referencia!$A$2:$AZ6238,fila,col),
IF(TRIM(TO_TEXT(valor))=TRIM(TO_TEXT(I477)),
""OK"&amp;""",
""NO COINCIDE. Valor verdadero: ""&amp;IF(valor="""",""[VACÍO]"",TO_TEXT(valor))
)
))))
),""ERROR EN FÓRMULA""))"),"NO APLICA")</f>
        <v>NO APLICA</v>
      </c>
    </row>
    <row r="478">
      <c r="A478" s="83" t="s">
        <v>4078</v>
      </c>
      <c r="B478" s="83" t="s">
        <v>4079</v>
      </c>
      <c r="C478" s="81" t="s">
        <v>4086</v>
      </c>
      <c r="D478" s="83" t="s">
        <v>4325</v>
      </c>
      <c r="E478" s="81" t="s">
        <v>1374</v>
      </c>
      <c r="F478" s="84">
        <v>264.0</v>
      </c>
      <c r="G478" s="81" t="s">
        <v>12</v>
      </c>
      <c r="H478" s="81" t="s">
        <v>224</v>
      </c>
      <c r="I478" s="81" t="s">
        <v>55</v>
      </c>
      <c r="J478" s="81" t="s">
        <v>224</v>
      </c>
      <c r="K478" s="81" t="str">
        <f>IFERROR(__xludf.DUMMYFUNCTION("IF(OR(D478="""",G478=""""),"""",IFERROR(LET(
campo,XLOOKUP(TRIM(G478),ARRAYFORMULA(TRIM('indice columnas'!$A$2:$A$100)),'indice columnas'!$B$2:$B$100,""""),
col,IFERROR(MATCH(campo,Referencia!$A$1:$AZ$1,0),0),
fila,IFERROR(MATCH(TO_TEXT(D478),ARRAYFORMULA"&amp;"(TO_TEXT(Referencia!$A$2:$A6238)),0),0),
IF(OR(campo="""",campo=""-""),""NO APLICA"",
IF(col=0,""REVISAR EQUIVALENCIA"",
IF(fila=0,""SKU NO ENCONTRADO"",
LET(
valor,INDEX(Referencia!$A$2:$AZ6238,fila,col),
IF(TRIM(TO_TEXT(valor))=TRIM(TO_TEXT(I478)),
""OK"&amp;""",
""NO COINCIDE. Valor verdadero: ""&amp;IF(valor="""",""[VACÍO]"",TO_TEXT(valor))
)
))))
),""ERROR EN FÓRMULA""))"),"OK")</f>
        <v>OK</v>
      </c>
    </row>
    <row r="479">
      <c r="A479" s="83" t="s">
        <v>4078</v>
      </c>
      <c r="B479" s="83" t="s">
        <v>4079</v>
      </c>
      <c r="C479" s="81" t="s">
        <v>4086</v>
      </c>
      <c r="D479" s="83" t="s">
        <v>4325</v>
      </c>
      <c r="E479" s="81" t="s">
        <v>1374</v>
      </c>
      <c r="F479" s="84">
        <v>264.0</v>
      </c>
      <c r="G479" s="81" t="s">
        <v>29</v>
      </c>
      <c r="H479" s="81" t="s">
        <v>4324</v>
      </c>
      <c r="I479" s="81" t="s">
        <v>1371</v>
      </c>
      <c r="J479" s="81" t="s">
        <v>224</v>
      </c>
      <c r="K479" s="81" t="str">
        <f>IFERROR(__xludf.DUMMYFUNCTION("IF(OR(D479="""",G479=""""),"""",IFERROR(LET(
campo,XLOOKUP(TRIM(G479),ARRAYFORMULA(TRIM('indice columnas'!$A$2:$A$100)),'indice columnas'!$B$2:$B$100,""""),
col,IFERROR(MATCH(campo,Referencia!$A$1:$AZ$1,0),0),
fila,IFERROR(MATCH(TO_TEXT(D479),ARRAYFORMULA"&amp;"(TO_TEXT(Referencia!$A$2:$A6238)),0),0),
IF(OR(campo="""",campo=""-""),""NO APLICA"",
IF(col=0,""REVISAR EQUIVALENCIA"",
IF(fila=0,""SKU NO ENCONTRADO"",
LET(
valor,INDEX(Referencia!$A$2:$AZ6238,fila,col),
IF(TRIM(TO_TEXT(valor))=TRIM(TO_TEXT(I479)),
""OK"&amp;""",
""NO COINCIDE. Valor verdadero: ""&amp;IF(valor="""",""[VACÍO]"",TO_TEXT(valor))
)
))))
),""ERROR EN FÓRMULA""))"),"NO COINCIDE. Valor verdadero: 42 x 20 x 2000 (Ancho x Alto x Largo)")</f>
        <v>NO COINCIDE. Valor verdadero: 42 x 20 x 2000 (Ancho x Alto x Largo)</v>
      </c>
    </row>
    <row r="480">
      <c r="A480" s="83" t="s">
        <v>4078</v>
      </c>
      <c r="B480" s="83" t="s">
        <v>4079</v>
      </c>
      <c r="C480" s="81" t="s">
        <v>4086</v>
      </c>
      <c r="D480" s="83" t="s">
        <v>4325</v>
      </c>
      <c r="E480" s="81" t="s">
        <v>1374</v>
      </c>
      <c r="F480" s="84">
        <v>264.0</v>
      </c>
      <c r="G480" s="81" t="s">
        <v>44</v>
      </c>
      <c r="H480" s="81" t="s">
        <v>224</v>
      </c>
      <c r="I480" s="81" t="s">
        <v>924</v>
      </c>
      <c r="J480" s="81" t="s">
        <v>4088</v>
      </c>
      <c r="K480" s="81" t="str">
        <f>IFERROR(__xludf.DUMMYFUNCTION("IF(OR(D480="""",G480=""""),"""",IFERROR(LET(
campo,XLOOKUP(TRIM(G480),ARRAYFORMULA(TRIM('indice columnas'!$A$2:$A$100)),'indice columnas'!$B$2:$B$100,""""),
col,IFERROR(MATCH(campo,Referencia!$A$1:$AZ$1,0),0),
fila,IFERROR(MATCH(TO_TEXT(D480),ARRAYFORMULA"&amp;"(TO_TEXT(Referencia!$A$2:$A6238)),0),0),
IF(OR(campo="""",campo=""-""),""NO APLICA"",
IF(col=0,""REVISAR EQUIVALENCIA"",
IF(fila=0,""SKU NO ENCONTRADO"",
LET(
valor,INDEX(Referencia!$A$2:$AZ6238,fila,col),
IF(TRIM(TO_TEXT(valor))=TRIM(TO_TEXT(I480)),
""OK"&amp;""",
""NO COINCIDE. Valor verdadero: ""&amp;IF(valor="""",""[VACÍO]"",TO_TEXT(valor))
)
))))
),""ERROR EN FÓRMULA""))"),"NO APLICA")</f>
        <v>NO APLICA</v>
      </c>
    </row>
    <row r="481">
      <c r="A481" s="83" t="s">
        <v>4078</v>
      </c>
      <c r="B481" s="83" t="s">
        <v>4079</v>
      </c>
      <c r="C481" s="81" t="s">
        <v>4086</v>
      </c>
      <c r="D481" s="83" t="s">
        <v>4326</v>
      </c>
      <c r="E481" s="81" t="s">
        <v>1375</v>
      </c>
      <c r="F481" s="84">
        <v>265.0</v>
      </c>
      <c r="G481" s="81" t="s">
        <v>12</v>
      </c>
      <c r="H481" s="81" t="s">
        <v>224</v>
      </c>
      <c r="I481" s="81" t="s">
        <v>55</v>
      </c>
      <c r="J481" s="81" t="s">
        <v>224</v>
      </c>
      <c r="K481" s="81" t="str">
        <f>IFERROR(__xludf.DUMMYFUNCTION("IF(OR(D481="""",G481=""""),"""",IFERROR(LET(
campo,XLOOKUP(TRIM(G481),ARRAYFORMULA(TRIM('indice columnas'!$A$2:$A$100)),'indice columnas'!$B$2:$B$100,""""),
col,IFERROR(MATCH(campo,Referencia!$A$1:$AZ$1,0),0),
fila,IFERROR(MATCH(TO_TEXT(D481),ARRAYFORMULA"&amp;"(TO_TEXT(Referencia!$A$2:$A6238)),0),0),
IF(OR(campo="""",campo=""-""),""NO APLICA"",
IF(col=0,""REVISAR EQUIVALENCIA"",
IF(fila=0,""SKU NO ENCONTRADO"",
LET(
valor,INDEX(Referencia!$A$2:$AZ6238,fila,col),
IF(TRIM(TO_TEXT(valor))=TRIM(TO_TEXT(I481)),
""OK"&amp;""",
""NO COINCIDE. Valor verdadero: ""&amp;IF(valor="""",""[VACÍO]"",TO_TEXT(valor))
)
))))
),""ERROR EN FÓRMULA""))"),"OK")</f>
        <v>OK</v>
      </c>
    </row>
    <row r="482">
      <c r="A482" s="83" t="s">
        <v>4078</v>
      </c>
      <c r="B482" s="83" t="s">
        <v>4079</v>
      </c>
      <c r="C482" s="81" t="s">
        <v>4086</v>
      </c>
      <c r="D482" s="83" t="s">
        <v>4326</v>
      </c>
      <c r="E482" s="81" t="s">
        <v>1375</v>
      </c>
      <c r="F482" s="84">
        <v>265.0</v>
      </c>
      <c r="G482" s="81" t="s">
        <v>29</v>
      </c>
      <c r="H482" s="81" t="s">
        <v>4327</v>
      </c>
      <c r="I482" s="81" t="s">
        <v>1376</v>
      </c>
      <c r="J482" s="81" t="s">
        <v>224</v>
      </c>
      <c r="K482" s="81" t="str">
        <f>IFERROR(__xludf.DUMMYFUNCTION("IF(OR(D482="""",G482=""""),"""",IFERROR(LET(
campo,XLOOKUP(TRIM(G482),ARRAYFORMULA(TRIM('indice columnas'!$A$2:$A$100)),'indice columnas'!$B$2:$B$100,""""),
col,IFERROR(MATCH(campo,Referencia!$A$1:$AZ$1,0),0),
fila,IFERROR(MATCH(TO_TEXT(D482),ARRAYFORMULA"&amp;"(TO_TEXT(Referencia!$A$2:$A6238)),0),0),
IF(OR(campo="""",campo=""-""),""NO APLICA"",
IF(col=0,""REVISAR EQUIVALENCIA"",
IF(fila=0,""SKU NO ENCONTRADO"",
LET(
valor,INDEX(Referencia!$A$2:$AZ6238,fila,col),
IF(TRIM(TO_TEXT(valor))=TRIM(TO_TEXT(I482)),
""OK"&amp;""",
""NO COINCIDE. Valor verdadero: ""&amp;IF(valor="""",""[VACÍO]"",TO_TEXT(valor))
)
))))
),""ERROR EN FÓRMULA""))"),"NO COINCIDE. Valor verdadero: 42 x 20 x 3000 (Ancho x Alto x Largo)")</f>
        <v>NO COINCIDE. Valor verdadero: 42 x 20 x 3000 (Ancho x Alto x Largo)</v>
      </c>
    </row>
    <row r="483">
      <c r="A483" s="83" t="s">
        <v>4078</v>
      </c>
      <c r="B483" s="83" t="s">
        <v>4079</v>
      </c>
      <c r="C483" s="81" t="s">
        <v>4086</v>
      </c>
      <c r="D483" s="83" t="s">
        <v>4326</v>
      </c>
      <c r="E483" s="81" t="s">
        <v>1375</v>
      </c>
      <c r="F483" s="84">
        <v>265.0</v>
      </c>
      <c r="G483" s="81" t="s">
        <v>44</v>
      </c>
      <c r="H483" s="81" t="s">
        <v>224</v>
      </c>
      <c r="I483" s="81" t="s">
        <v>924</v>
      </c>
      <c r="J483" s="81" t="s">
        <v>4088</v>
      </c>
      <c r="K483" s="81" t="str">
        <f>IFERROR(__xludf.DUMMYFUNCTION("IF(OR(D483="""",G483=""""),"""",IFERROR(LET(
campo,XLOOKUP(TRIM(G483),ARRAYFORMULA(TRIM('indice columnas'!$A$2:$A$100)),'indice columnas'!$B$2:$B$100,""""),
col,IFERROR(MATCH(campo,Referencia!$A$1:$AZ$1,0),0),
fila,IFERROR(MATCH(TO_TEXT(D483),ARRAYFORMULA"&amp;"(TO_TEXT(Referencia!$A$2:$A6238)),0),0),
IF(OR(campo="""",campo=""-""),""NO APLICA"",
IF(col=0,""REVISAR EQUIVALENCIA"",
IF(fila=0,""SKU NO ENCONTRADO"",
LET(
valor,INDEX(Referencia!$A$2:$AZ6238,fila,col),
IF(TRIM(TO_TEXT(valor))=TRIM(TO_TEXT(I483)),
""OK"&amp;""",
""NO COINCIDE. Valor verdadero: ""&amp;IF(valor="""",""[VACÍO]"",TO_TEXT(valor))
)
))))
),""ERROR EN FÓRMULA""))"),"NO APLICA")</f>
        <v>NO APLICA</v>
      </c>
    </row>
    <row r="484">
      <c r="A484" s="83" t="s">
        <v>4078</v>
      </c>
      <c r="B484" s="83" t="s">
        <v>4079</v>
      </c>
      <c r="C484" s="81" t="s">
        <v>4086</v>
      </c>
      <c r="D484" s="83" t="s">
        <v>4328</v>
      </c>
      <c r="E484" s="81" t="s">
        <v>1379</v>
      </c>
      <c r="F484" s="84">
        <v>266.0</v>
      </c>
      <c r="G484" s="81" t="s">
        <v>12</v>
      </c>
      <c r="H484" s="81" t="s">
        <v>224</v>
      </c>
      <c r="I484" s="81" t="s">
        <v>55</v>
      </c>
      <c r="J484" s="81" t="s">
        <v>224</v>
      </c>
      <c r="K484" s="81" t="str">
        <f>IFERROR(__xludf.DUMMYFUNCTION("IF(OR(D484="""",G484=""""),"""",IFERROR(LET(
campo,XLOOKUP(TRIM(G484),ARRAYFORMULA(TRIM('indice columnas'!$A$2:$A$100)),'indice columnas'!$B$2:$B$100,""""),
col,IFERROR(MATCH(campo,Referencia!$A$1:$AZ$1,0),0),
fila,IFERROR(MATCH(TO_TEXT(D484),ARRAYFORMULA"&amp;"(TO_TEXT(Referencia!$A$2:$A6238)),0),0),
IF(OR(campo="""",campo=""-""),""NO APLICA"",
IF(col=0,""REVISAR EQUIVALENCIA"",
IF(fila=0,""SKU NO ENCONTRADO"",
LET(
valor,INDEX(Referencia!$A$2:$AZ6238,fila,col),
IF(TRIM(TO_TEXT(valor))=TRIM(TO_TEXT(I484)),
""OK"&amp;""",
""NO COINCIDE. Valor verdadero: ""&amp;IF(valor="""",""[VACÍO]"",TO_TEXT(valor))
)
))))
),""ERROR EN FÓRMULA""))"),"OK")</f>
        <v>OK</v>
      </c>
    </row>
    <row r="485">
      <c r="A485" s="83" t="s">
        <v>4078</v>
      </c>
      <c r="B485" s="83" t="s">
        <v>4079</v>
      </c>
      <c r="C485" s="81" t="s">
        <v>4086</v>
      </c>
      <c r="D485" s="83" t="s">
        <v>4328</v>
      </c>
      <c r="E485" s="81" t="s">
        <v>1379</v>
      </c>
      <c r="F485" s="84">
        <v>266.0</v>
      </c>
      <c r="G485" s="81" t="s">
        <v>29</v>
      </c>
      <c r="H485" s="81" t="s">
        <v>4327</v>
      </c>
      <c r="I485" s="81" t="s">
        <v>1376</v>
      </c>
      <c r="J485" s="81" t="s">
        <v>224</v>
      </c>
      <c r="K485" s="81" t="str">
        <f>IFERROR(__xludf.DUMMYFUNCTION("IF(OR(D485="""",G485=""""),"""",IFERROR(LET(
campo,XLOOKUP(TRIM(G485),ARRAYFORMULA(TRIM('indice columnas'!$A$2:$A$100)),'indice columnas'!$B$2:$B$100,""""),
col,IFERROR(MATCH(campo,Referencia!$A$1:$AZ$1,0),0),
fila,IFERROR(MATCH(TO_TEXT(D485),ARRAYFORMULA"&amp;"(TO_TEXT(Referencia!$A$2:$A6238)),0),0),
IF(OR(campo="""",campo=""-""),""NO APLICA"",
IF(col=0,""REVISAR EQUIVALENCIA"",
IF(fila=0,""SKU NO ENCONTRADO"",
LET(
valor,INDEX(Referencia!$A$2:$AZ6238,fila,col),
IF(TRIM(TO_TEXT(valor))=TRIM(TO_TEXT(I485)),
""OK"&amp;""",
""NO COINCIDE. Valor verdadero: ""&amp;IF(valor="""",""[VACÍO]"",TO_TEXT(valor))
)
))))
),""ERROR EN FÓRMULA""))"),"NO COINCIDE. Valor verdadero: 42 x 20 x 3000 (Ancho x Alto x Largo)")</f>
        <v>NO COINCIDE. Valor verdadero: 42 x 20 x 3000 (Ancho x Alto x Largo)</v>
      </c>
    </row>
    <row r="486">
      <c r="A486" s="83" t="s">
        <v>4078</v>
      </c>
      <c r="B486" s="83" t="s">
        <v>4079</v>
      </c>
      <c r="C486" s="81" t="s">
        <v>4086</v>
      </c>
      <c r="D486" s="83" t="s">
        <v>4328</v>
      </c>
      <c r="E486" s="81" t="s">
        <v>1379</v>
      </c>
      <c r="F486" s="84">
        <v>266.0</v>
      </c>
      <c r="G486" s="81" t="s">
        <v>44</v>
      </c>
      <c r="H486" s="81" t="s">
        <v>224</v>
      </c>
      <c r="I486" s="81" t="s">
        <v>924</v>
      </c>
      <c r="J486" s="81" t="s">
        <v>4088</v>
      </c>
      <c r="K486" s="81" t="str">
        <f>IFERROR(__xludf.DUMMYFUNCTION("IF(OR(D486="""",G486=""""),"""",IFERROR(LET(
campo,XLOOKUP(TRIM(G486),ARRAYFORMULA(TRIM('indice columnas'!$A$2:$A$100)),'indice columnas'!$B$2:$B$100,""""),
col,IFERROR(MATCH(campo,Referencia!$A$1:$AZ$1,0),0),
fila,IFERROR(MATCH(TO_TEXT(D486),ARRAYFORMULA"&amp;"(TO_TEXT(Referencia!$A$2:$A6238)),0),0),
IF(OR(campo="""",campo=""-""),""NO APLICA"",
IF(col=0,""REVISAR EQUIVALENCIA"",
IF(fila=0,""SKU NO ENCONTRADO"",
LET(
valor,INDEX(Referencia!$A$2:$AZ6238,fila,col),
IF(TRIM(TO_TEXT(valor))=TRIM(TO_TEXT(I486)),
""OK"&amp;""",
""NO COINCIDE. Valor verdadero: ""&amp;IF(valor="""",""[VACÍO]"",TO_TEXT(valor))
)
))))
),""ERROR EN FÓRMULA""))"),"NO APLICA")</f>
        <v>NO APLICA</v>
      </c>
    </row>
    <row r="487">
      <c r="A487" s="83" t="s">
        <v>4078</v>
      </c>
      <c r="B487" s="83" t="s">
        <v>4079</v>
      </c>
      <c r="C487" s="81" t="s">
        <v>4086</v>
      </c>
      <c r="D487" s="83" t="s">
        <v>4329</v>
      </c>
      <c r="E487" s="81" t="s">
        <v>1380</v>
      </c>
      <c r="F487" s="84">
        <v>267.0</v>
      </c>
      <c r="G487" s="81" t="s">
        <v>44</v>
      </c>
      <c r="H487" s="81" t="s">
        <v>224</v>
      </c>
      <c r="I487" s="81" t="s">
        <v>1051</v>
      </c>
      <c r="J487" s="81" t="s">
        <v>4088</v>
      </c>
      <c r="K487" s="81" t="str">
        <f>IFERROR(__xludf.DUMMYFUNCTION("IF(OR(D487="""",G487=""""),"""",IFERROR(LET(
campo,XLOOKUP(TRIM(G487),ARRAYFORMULA(TRIM('indice columnas'!$A$2:$A$100)),'indice columnas'!$B$2:$B$100,""""),
col,IFERROR(MATCH(campo,Referencia!$A$1:$AZ$1,0),0),
fila,IFERROR(MATCH(TO_TEXT(D487),ARRAYFORMULA"&amp;"(TO_TEXT(Referencia!$A$2:$A6238)),0),0),
IF(OR(campo="""",campo=""-""),""NO APLICA"",
IF(col=0,""REVISAR EQUIVALENCIA"",
IF(fila=0,""SKU NO ENCONTRADO"",
LET(
valor,INDEX(Referencia!$A$2:$AZ6238,fila,col),
IF(TRIM(TO_TEXT(valor))=TRIM(TO_TEXT(I487)),
""OK"&amp;""",
""NO COINCIDE. Valor verdadero: ""&amp;IF(valor="""",""[VACÍO]"",TO_TEXT(valor))
)
))))
),""ERROR EN FÓRMULA""))"),"NO APLICA")</f>
        <v>NO APLICA</v>
      </c>
    </row>
    <row r="488">
      <c r="A488" s="83" t="s">
        <v>4078</v>
      </c>
      <c r="B488" s="83" t="s">
        <v>4079</v>
      </c>
      <c r="C488" s="81" t="s">
        <v>4086</v>
      </c>
      <c r="D488" s="83" t="s">
        <v>4329</v>
      </c>
      <c r="E488" s="81" t="s">
        <v>1387</v>
      </c>
      <c r="F488" s="84">
        <v>268.0</v>
      </c>
      <c r="G488" s="81" t="s">
        <v>12</v>
      </c>
      <c r="H488" s="81" t="s">
        <v>224</v>
      </c>
      <c r="I488" s="81" t="s">
        <v>55</v>
      </c>
      <c r="J488" s="81" t="s">
        <v>224</v>
      </c>
      <c r="K488" s="81" t="str">
        <f>IFERROR(__xludf.DUMMYFUNCTION("IF(OR(D488="""",G488=""""),"""",IFERROR(LET(
campo,XLOOKUP(TRIM(G488),ARRAYFORMULA(TRIM('indice columnas'!$A$2:$A$100)),'indice columnas'!$B$2:$B$100,""""),
col,IFERROR(MATCH(campo,Referencia!$A$1:$AZ$1,0),0),
fila,IFERROR(MATCH(TO_TEXT(D488),ARRAYFORMULA"&amp;"(TO_TEXT(Referencia!$A$2:$A6238)),0),0),
IF(OR(campo="""",campo=""-""),""NO APLICA"",
IF(col=0,""REVISAR EQUIVALENCIA"",
IF(fila=0,""SKU NO ENCONTRADO"",
LET(
valor,INDEX(Referencia!$A$2:$AZ6238,fila,col),
IF(TRIM(TO_TEXT(valor))=TRIM(TO_TEXT(I488)),
""OK"&amp;""",
""NO COINCIDE. Valor verdadero: ""&amp;IF(valor="""",""[VACÍO]"",TO_TEXT(valor))
)
))))
),""ERROR EN FÓRMULA""))"),"OK")</f>
        <v>OK</v>
      </c>
    </row>
    <row r="489">
      <c r="A489" s="83" t="s">
        <v>4078</v>
      </c>
      <c r="B489" s="83" t="s">
        <v>4079</v>
      </c>
      <c r="C489" s="81" t="s">
        <v>4086</v>
      </c>
      <c r="D489" s="83" t="s">
        <v>4329</v>
      </c>
      <c r="E489" s="81" t="s">
        <v>1387</v>
      </c>
      <c r="F489" s="84">
        <v>268.0</v>
      </c>
      <c r="G489" s="81" t="s">
        <v>29</v>
      </c>
      <c r="H489" s="81" t="s">
        <v>4330</v>
      </c>
      <c r="I489" s="81" t="s">
        <v>1381</v>
      </c>
      <c r="J489" s="81" t="s">
        <v>224</v>
      </c>
      <c r="K489" s="81" t="str">
        <f>IFERROR(__xludf.DUMMYFUNCTION("IF(OR(D489="""",G489=""""),"""",IFERROR(LET(
campo,XLOOKUP(TRIM(G489),ARRAYFORMULA(TRIM('indice columnas'!$A$2:$A$100)),'indice columnas'!$B$2:$B$100,""""),
col,IFERROR(MATCH(campo,Referencia!$A$1:$AZ$1,0),0),
fila,IFERROR(MATCH(TO_TEXT(D489),ARRAYFORMULA"&amp;"(TO_TEXT(Referencia!$A$2:$A6238)),0),0),
IF(OR(campo="""",campo=""-""),""NO APLICA"",
IF(col=0,""REVISAR EQUIVALENCIA"",
IF(fila=0,""SKU NO ENCONTRADO"",
LET(
valor,INDEX(Referencia!$A$2:$AZ6238,fila,col),
IF(TRIM(TO_TEXT(valor))=TRIM(TO_TEXT(I489)),
""OK"&amp;""",
""NO COINCIDE. Valor verdadero: ""&amp;IF(valor="""",""[VACÍO]"",TO_TEXT(valor))
)
))))
),""ERROR EN FÓRMULA""))"),"NO COINCIDE. Valor verdadero: 42 x 36 x 1000 (Ancho x Alto x Largo)")</f>
        <v>NO COINCIDE. Valor verdadero: 42 x 36 x 1000 (Ancho x Alto x Largo)</v>
      </c>
    </row>
    <row r="490">
      <c r="A490" s="83" t="s">
        <v>4078</v>
      </c>
      <c r="B490" s="83" t="s">
        <v>4079</v>
      </c>
      <c r="C490" s="81" t="s">
        <v>4086</v>
      </c>
      <c r="D490" s="83" t="s">
        <v>4329</v>
      </c>
      <c r="E490" s="81" t="s">
        <v>1387</v>
      </c>
      <c r="F490" s="84">
        <v>268.0</v>
      </c>
      <c r="G490" s="81" t="s">
        <v>44</v>
      </c>
      <c r="H490" s="81" t="s">
        <v>224</v>
      </c>
      <c r="I490" s="81" t="s">
        <v>1051</v>
      </c>
      <c r="J490" s="81" t="s">
        <v>4088</v>
      </c>
      <c r="K490" s="81" t="str">
        <f>IFERROR(__xludf.DUMMYFUNCTION("IF(OR(D490="""",G490=""""),"""",IFERROR(LET(
campo,XLOOKUP(TRIM(G490),ARRAYFORMULA(TRIM('indice columnas'!$A$2:$A$100)),'indice columnas'!$B$2:$B$100,""""),
col,IFERROR(MATCH(campo,Referencia!$A$1:$AZ$1,0),0),
fila,IFERROR(MATCH(TO_TEXT(D490),ARRAYFORMULA"&amp;"(TO_TEXT(Referencia!$A$2:$A6238)),0),0),
IF(OR(campo="""",campo=""-""),""NO APLICA"",
IF(col=0,""REVISAR EQUIVALENCIA"",
IF(fila=0,""SKU NO ENCONTRADO"",
LET(
valor,INDEX(Referencia!$A$2:$AZ6238,fila,col),
IF(TRIM(TO_TEXT(valor))=TRIM(TO_TEXT(I490)),
""OK"&amp;""",
""NO COINCIDE. Valor verdadero: ""&amp;IF(valor="""",""[VACÍO]"",TO_TEXT(valor))
)
))))
),""ERROR EN FÓRMULA""))"),"NO APLICA")</f>
        <v>NO APLICA</v>
      </c>
    </row>
    <row r="491">
      <c r="A491" s="83" t="s">
        <v>4078</v>
      </c>
      <c r="B491" s="83" t="s">
        <v>4079</v>
      </c>
      <c r="C491" s="81" t="s">
        <v>4086</v>
      </c>
      <c r="D491" s="83" t="s">
        <v>4331</v>
      </c>
      <c r="E491" s="81" t="s">
        <v>1388</v>
      </c>
      <c r="F491" s="84">
        <v>269.0</v>
      </c>
      <c r="G491" s="81" t="s">
        <v>12</v>
      </c>
      <c r="H491" s="81" t="s">
        <v>224</v>
      </c>
      <c r="I491" s="81" t="s">
        <v>55</v>
      </c>
      <c r="J491" s="81" t="s">
        <v>224</v>
      </c>
      <c r="K491" s="81" t="str">
        <f>IFERROR(__xludf.DUMMYFUNCTION("IF(OR(D491="""",G491=""""),"""",IFERROR(LET(
campo,XLOOKUP(TRIM(G491),ARRAYFORMULA(TRIM('indice columnas'!$A$2:$A$100)),'indice columnas'!$B$2:$B$100,""""),
col,IFERROR(MATCH(campo,Referencia!$A$1:$AZ$1,0),0),
fila,IFERROR(MATCH(TO_TEXT(D491),ARRAYFORMULA"&amp;"(TO_TEXT(Referencia!$A$2:$A6238)),0),0),
IF(OR(campo="""",campo=""-""),""NO APLICA"",
IF(col=0,""REVISAR EQUIVALENCIA"",
IF(fila=0,""SKU NO ENCONTRADO"",
LET(
valor,INDEX(Referencia!$A$2:$AZ6238,fila,col),
IF(TRIM(TO_TEXT(valor))=TRIM(TO_TEXT(I491)),
""OK"&amp;""",
""NO COINCIDE. Valor verdadero: ""&amp;IF(valor="""",""[VACÍO]"",TO_TEXT(valor))
)
))))
),""ERROR EN FÓRMULA""))"),"OK")</f>
        <v>OK</v>
      </c>
    </row>
    <row r="492">
      <c r="A492" s="83" t="s">
        <v>4078</v>
      </c>
      <c r="B492" s="83" t="s">
        <v>4079</v>
      </c>
      <c r="C492" s="81" t="s">
        <v>4086</v>
      </c>
      <c r="D492" s="83" t="s">
        <v>4331</v>
      </c>
      <c r="E492" s="81" t="s">
        <v>1388</v>
      </c>
      <c r="F492" s="84">
        <v>269.0</v>
      </c>
      <c r="G492" s="81" t="s">
        <v>29</v>
      </c>
      <c r="H492" s="81" t="s">
        <v>4330</v>
      </c>
      <c r="I492" s="81" t="s">
        <v>1381</v>
      </c>
      <c r="J492" s="81" t="s">
        <v>224</v>
      </c>
      <c r="K492" s="81" t="str">
        <f>IFERROR(__xludf.DUMMYFUNCTION("IF(OR(D492="""",G492=""""),"""",IFERROR(LET(
campo,XLOOKUP(TRIM(G492),ARRAYFORMULA(TRIM('indice columnas'!$A$2:$A$100)),'indice columnas'!$B$2:$B$100,""""),
col,IFERROR(MATCH(campo,Referencia!$A$1:$AZ$1,0),0),
fila,IFERROR(MATCH(TO_TEXT(D492),ARRAYFORMULA"&amp;"(TO_TEXT(Referencia!$A$2:$A6238)),0),0),
IF(OR(campo="""",campo=""-""),""NO APLICA"",
IF(col=0,""REVISAR EQUIVALENCIA"",
IF(fila=0,""SKU NO ENCONTRADO"",
LET(
valor,INDEX(Referencia!$A$2:$AZ6238,fila,col),
IF(TRIM(TO_TEXT(valor))=TRIM(TO_TEXT(I492)),
""OK"&amp;""",
""NO COINCIDE. Valor verdadero: ""&amp;IF(valor="""",""[VACÍO]"",TO_TEXT(valor))
)
))))
),""ERROR EN FÓRMULA""))"),"NO COINCIDE. Valor verdadero: 42 x 36 x 1000 (Ancho x Alto x Largo)")</f>
        <v>NO COINCIDE. Valor verdadero: 42 x 36 x 1000 (Ancho x Alto x Largo)</v>
      </c>
    </row>
    <row r="493">
      <c r="A493" s="83" t="s">
        <v>4078</v>
      </c>
      <c r="B493" s="83" t="s">
        <v>4079</v>
      </c>
      <c r="C493" s="81" t="s">
        <v>4086</v>
      </c>
      <c r="D493" s="83" t="s">
        <v>4331</v>
      </c>
      <c r="E493" s="81" t="s">
        <v>1388</v>
      </c>
      <c r="F493" s="84">
        <v>269.0</v>
      </c>
      <c r="G493" s="81" t="s">
        <v>44</v>
      </c>
      <c r="H493" s="81" t="s">
        <v>224</v>
      </c>
      <c r="I493" s="81" t="s">
        <v>1051</v>
      </c>
      <c r="J493" s="81" t="s">
        <v>4088</v>
      </c>
      <c r="K493" s="81" t="str">
        <f>IFERROR(__xludf.DUMMYFUNCTION("IF(OR(D493="""",G493=""""),"""",IFERROR(LET(
campo,XLOOKUP(TRIM(G493),ARRAYFORMULA(TRIM('indice columnas'!$A$2:$A$100)),'indice columnas'!$B$2:$B$100,""""),
col,IFERROR(MATCH(campo,Referencia!$A$1:$AZ$1,0),0),
fila,IFERROR(MATCH(TO_TEXT(D493),ARRAYFORMULA"&amp;"(TO_TEXT(Referencia!$A$2:$A6238)),0),0),
IF(OR(campo="""",campo=""-""),""NO APLICA"",
IF(col=0,""REVISAR EQUIVALENCIA"",
IF(fila=0,""SKU NO ENCONTRADO"",
LET(
valor,INDEX(Referencia!$A$2:$AZ6238,fila,col),
IF(TRIM(TO_TEXT(valor))=TRIM(TO_TEXT(I493)),
""OK"&amp;""",
""NO COINCIDE. Valor verdadero: ""&amp;IF(valor="""",""[VACÍO]"",TO_TEXT(valor))
)
))))
),""ERROR EN FÓRMULA""))"),"NO APLICA")</f>
        <v>NO APLICA</v>
      </c>
    </row>
    <row r="494">
      <c r="A494" s="83" t="s">
        <v>4078</v>
      </c>
      <c r="B494" s="83" t="s">
        <v>4079</v>
      </c>
      <c r="C494" s="81" t="s">
        <v>4086</v>
      </c>
      <c r="D494" s="83" t="s">
        <v>4332</v>
      </c>
      <c r="E494" s="81" t="s">
        <v>1391</v>
      </c>
      <c r="F494" s="84">
        <v>270.0</v>
      </c>
      <c r="G494" s="81" t="s">
        <v>12</v>
      </c>
      <c r="H494" s="81" t="s">
        <v>224</v>
      </c>
      <c r="I494" s="81" t="s">
        <v>55</v>
      </c>
      <c r="J494" s="81" t="s">
        <v>224</v>
      </c>
      <c r="K494" s="81" t="str">
        <f>IFERROR(__xludf.DUMMYFUNCTION("IF(OR(D494="""",G494=""""),"""",IFERROR(LET(
campo,XLOOKUP(TRIM(G494),ARRAYFORMULA(TRIM('indice columnas'!$A$2:$A$100)),'indice columnas'!$B$2:$B$100,""""),
col,IFERROR(MATCH(campo,Referencia!$A$1:$AZ$1,0),0),
fila,IFERROR(MATCH(TO_TEXT(D494),ARRAYFORMULA"&amp;"(TO_TEXT(Referencia!$A$2:$A6238)),0),0),
IF(OR(campo="""",campo=""-""),""NO APLICA"",
IF(col=0,""REVISAR EQUIVALENCIA"",
IF(fila=0,""SKU NO ENCONTRADO"",
LET(
valor,INDEX(Referencia!$A$2:$AZ6238,fila,col),
IF(TRIM(TO_TEXT(valor))=TRIM(TO_TEXT(I494)),
""OK"&amp;""",
""NO COINCIDE. Valor verdadero: ""&amp;IF(valor="""",""[VACÍO]"",TO_TEXT(valor))
)
))))
),""ERROR EN FÓRMULA""))"),"OK")</f>
        <v>OK</v>
      </c>
    </row>
    <row r="495">
      <c r="A495" s="83" t="s">
        <v>4078</v>
      </c>
      <c r="B495" s="83" t="s">
        <v>4079</v>
      </c>
      <c r="C495" s="81" t="s">
        <v>4086</v>
      </c>
      <c r="D495" s="83" t="s">
        <v>4332</v>
      </c>
      <c r="E495" s="81" t="s">
        <v>1391</v>
      </c>
      <c r="F495" s="84">
        <v>270.0</v>
      </c>
      <c r="G495" s="81" t="s">
        <v>29</v>
      </c>
      <c r="H495" s="81" t="s">
        <v>4333</v>
      </c>
      <c r="I495" s="81" t="s">
        <v>1392</v>
      </c>
      <c r="J495" s="81" t="s">
        <v>224</v>
      </c>
      <c r="K495" s="81" t="str">
        <f>IFERROR(__xludf.DUMMYFUNCTION("IF(OR(D495="""",G495=""""),"""",IFERROR(LET(
campo,XLOOKUP(TRIM(G495),ARRAYFORMULA(TRIM('indice columnas'!$A$2:$A$100)),'indice columnas'!$B$2:$B$100,""""),
col,IFERROR(MATCH(campo,Referencia!$A$1:$AZ$1,0),0),
fila,IFERROR(MATCH(TO_TEXT(D495),ARRAYFORMULA"&amp;"(TO_TEXT(Referencia!$A$2:$A6238)),0),0),
IF(OR(campo="""",campo=""-""),""NO APLICA"",
IF(col=0,""REVISAR EQUIVALENCIA"",
IF(fila=0,""SKU NO ENCONTRADO"",
LET(
valor,INDEX(Referencia!$A$2:$AZ6238,fila,col),
IF(TRIM(TO_TEXT(valor))=TRIM(TO_TEXT(I495)),
""OK"&amp;""",
""NO COINCIDE. Valor verdadero: ""&amp;IF(valor="""",""[VACÍO]"",TO_TEXT(valor))
)
))))
),""ERROR EN FÓRMULA""))"),"NO COINCIDE. Valor verdadero: 42 x 36 x 2000 (Ancho x Alto x Largo)")</f>
        <v>NO COINCIDE. Valor verdadero: 42 x 36 x 2000 (Ancho x Alto x Largo)</v>
      </c>
    </row>
    <row r="496">
      <c r="A496" s="83" t="s">
        <v>4078</v>
      </c>
      <c r="B496" s="83" t="s">
        <v>4079</v>
      </c>
      <c r="C496" s="81" t="s">
        <v>4086</v>
      </c>
      <c r="D496" s="83" t="s">
        <v>4332</v>
      </c>
      <c r="E496" s="81" t="s">
        <v>1391</v>
      </c>
      <c r="F496" s="84">
        <v>270.0</v>
      </c>
      <c r="G496" s="81" t="s">
        <v>44</v>
      </c>
      <c r="H496" s="81" t="s">
        <v>224</v>
      </c>
      <c r="I496" s="81" t="s">
        <v>1051</v>
      </c>
      <c r="J496" s="81" t="s">
        <v>4088</v>
      </c>
      <c r="K496" s="81" t="str">
        <f>IFERROR(__xludf.DUMMYFUNCTION("IF(OR(D496="""",G496=""""),"""",IFERROR(LET(
campo,XLOOKUP(TRIM(G496),ARRAYFORMULA(TRIM('indice columnas'!$A$2:$A$100)),'indice columnas'!$B$2:$B$100,""""),
col,IFERROR(MATCH(campo,Referencia!$A$1:$AZ$1,0),0),
fila,IFERROR(MATCH(TO_TEXT(D496),ARRAYFORMULA"&amp;"(TO_TEXT(Referencia!$A$2:$A6238)),0),0),
IF(OR(campo="""",campo=""-""),""NO APLICA"",
IF(col=0,""REVISAR EQUIVALENCIA"",
IF(fila=0,""SKU NO ENCONTRADO"",
LET(
valor,INDEX(Referencia!$A$2:$AZ6238,fila,col),
IF(TRIM(TO_TEXT(valor))=TRIM(TO_TEXT(I496)),
""OK"&amp;""",
""NO COINCIDE. Valor verdadero: ""&amp;IF(valor="""",""[VACÍO]"",TO_TEXT(valor))
)
))))
),""ERROR EN FÓRMULA""))"),"NO APLICA")</f>
        <v>NO APLICA</v>
      </c>
    </row>
    <row r="497">
      <c r="A497" s="83" t="s">
        <v>4078</v>
      </c>
      <c r="B497" s="83" t="s">
        <v>4079</v>
      </c>
      <c r="C497" s="81" t="s">
        <v>4086</v>
      </c>
      <c r="D497" s="83" t="s">
        <v>4334</v>
      </c>
      <c r="E497" s="81" t="s">
        <v>1395</v>
      </c>
      <c r="F497" s="84">
        <v>271.0</v>
      </c>
      <c r="G497" s="81" t="s">
        <v>12</v>
      </c>
      <c r="H497" s="81" t="s">
        <v>224</v>
      </c>
      <c r="I497" s="81" t="s">
        <v>55</v>
      </c>
      <c r="J497" s="81" t="s">
        <v>224</v>
      </c>
      <c r="K497" s="81" t="str">
        <f>IFERROR(__xludf.DUMMYFUNCTION("IF(OR(D497="""",G497=""""),"""",IFERROR(LET(
campo,XLOOKUP(TRIM(G497),ARRAYFORMULA(TRIM('indice columnas'!$A$2:$A$100)),'indice columnas'!$B$2:$B$100,""""),
col,IFERROR(MATCH(campo,Referencia!$A$1:$AZ$1,0),0),
fila,IFERROR(MATCH(TO_TEXT(D497),ARRAYFORMULA"&amp;"(TO_TEXT(Referencia!$A$2:$A6238)),0),0),
IF(OR(campo="""",campo=""-""),""NO APLICA"",
IF(col=0,""REVISAR EQUIVALENCIA"",
IF(fila=0,""SKU NO ENCONTRADO"",
LET(
valor,INDEX(Referencia!$A$2:$AZ6238,fila,col),
IF(TRIM(TO_TEXT(valor))=TRIM(TO_TEXT(I497)),
""OK"&amp;""",
""NO COINCIDE. Valor verdadero: ""&amp;IF(valor="""",""[VACÍO]"",TO_TEXT(valor))
)
))))
),""ERROR EN FÓRMULA""))"),"OK")</f>
        <v>OK</v>
      </c>
    </row>
    <row r="498">
      <c r="A498" s="83" t="s">
        <v>4078</v>
      </c>
      <c r="B498" s="83" t="s">
        <v>4079</v>
      </c>
      <c r="C498" s="81" t="s">
        <v>4086</v>
      </c>
      <c r="D498" s="83" t="s">
        <v>4334</v>
      </c>
      <c r="E498" s="81" t="s">
        <v>1395</v>
      </c>
      <c r="F498" s="84">
        <v>271.0</v>
      </c>
      <c r="G498" s="81" t="s">
        <v>29</v>
      </c>
      <c r="H498" s="81" t="s">
        <v>4333</v>
      </c>
      <c r="I498" s="81" t="s">
        <v>1392</v>
      </c>
      <c r="J498" s="81" t="s">
        <v>224</v>
      </c>
      <c r="K498" s="81" t="str">
        <f>IFERROR(__xludf.DUMMYFUNCTION("IF(OR(D498="""",G498=""""),"""",IFERROR(LET(
campo,XLOOKUP(TRIM(G498),ARRAYFORMULA(TRIM('indice columnas'!$A$2:$A$100)),'indice columnas'!$B$2:$B$100,""""),
col,IFERROR(MATCH(campo,Referencia!$A$1:$AZ$1,0),0),
fila,IFERROR(MATCH(TO_TEXT(D498),ARRAYFORMULA"&amp;"(TO_TEXT(Referencia!$A$2:$A6238)),0),0),
IF(OR(campo="""",campo=""-""),""NO APLICA"",
IF(col=0,""REVISAR EQUIVALENCIA"",
IF(fila=0,""SKU NO ENCONTRADO"",
LET(
valor,INDEX(Referencia!$A$2:$AZ6238,fila,col),
IF(TRIM(TO_TEXT(valor))=TRIM(TO_TEXT(I498)),
""OK"&amp;""",
""NO COINCIDE. Valor verdadero: ""&amp;IF(valor="""",""[VACÍO]"",TO_TEXT(valor))
)
))))
),""ERROR EN FÓRMULA""))"),"NO COINCIDE. Valor verdadero: 42 x 36 x 2000 (Ancho x Alto x Largo)")</f>
        <v>NO COINCIDE. Valor verdadero: 42 x 36 x 2000 (Ancho x Alto x Largo)</v>
      </c>
    </row>
    <row r="499">
      <c r="A499" s="83" t="s">
        <v>4078</v>
      </c>
      <c r="B499" s="83" t="s">
        <v>4079</v>
      </c>
      <c r="C499" s="81" t="s">
        <v>4086</v>
      </c>
      <c r="D499" s="83" t="s">
        <v>4334</v>
      </c>
      <c r="E499" s="81" t="s">
        <v>1395</v>
      </c>
      <c r="F499" s="84">
        <v>271.0</v>
      </c>
      <c r="G499" s="81" t="s">
        <v>44</v>
      </c>
      <c r="H499" s="81" t="s">
        <v>224</v>
      </c>
      <c r="I499" s="81" t="s">
        <v>1051</v>
      </c>
      <c r="J499" s="81" t="s">
        <v>4088</v>
      </c>
      <c r="K499" s="81" t="str">
        <f>IFERROR(__xludf.DUMMYFUNCTION("IF(OR(D499="""",G499=""""),"""",IFERROR(LET(
campo,XLOOKUP(TRIM(G499),ARRAYFORMULA(TRIM('indice columnas'!$A$2:$A$100)),'indice columnas'!$B$2:$B$100,""""),
col,IFERROR(MATCH(campo,Referencia!$A$1:$AZ$1,0),0),
fila,IFERROR(MATCH(TO_TEXT(D499),ARRAYFORMULA"&amp;"(TO_TEXT(Referencia!$A$2:$A6238)),0),0),
IF(OR(campo="""",campo=""-""),""NO APLICA"",
IF(col=0,""REVISAR EQUIVALENCIA"",
IF(fila=0,""SKU NO ENCONTRADO"",
LET(
valor,INDEX(Referencia!$A$2:$AZ6238,fila,col),
IF(TRIM(TO_TEXT(valor))=TRIM(TO_TEXT(I499)),
""OK"&amp;""",
""NO COINCIDE. Valor verdadero: ""&amp;IF(valor="""",""[VACÍO]"",TO_TEXT(valor))
)
))))
),""ERROR EN FÓRMULA""))"),"NO APLICA")</f>
        <v>NO APLICA</v>
      </c>
    </row>
    <row r="500">
      <c r="A500" s="83" t="s">
        <v>4078</v>
      </c>
      <c r="B500" s="83" t="s">
        <v>4079</v>
      </c>
      <c r="C500" s="81" t="s">
        <v>4086</v>
      </c>
      <c r="D500" s="83" t="s">
        <v>4335</v>
      </c>
      <c r="E500" s="81" t="s">
        <v>1396</v>
      </c>
      <c r="F500" s="84">
        <v>272.0</v>
      </c>
      <c r="G500" s="81" t="s">
        <v>12</v>
      </c>
      <c r="H500" s="81" t="s">
        <v>224</v>
      </c>
      <c r="I500" s="81" t="s">
        <v>55</v>
      </c>
      <c r="J500" s="81" t="s">
        <v>224</v>
      </c>
      <c r="K500" s="81" t="str">
        <f>IFERROR(__xludf.DUMMYFUNCTION("IF(OR(D500="""",G500=""""),"""",IFERROR(LET(
campo,XLOOKUP(TRIM(G500),ARRAYFORMULA(TRIM('indice columnas'!$A$2:$A$100)),'indice columnas'!$B$2:$B$100,""""),
col,IFERROR(MATCH(campo,Referencia!$A$1:$AZ$1,0),0),
fila,IFERROR(MATCH(TO_TEXT(D500),ARRAYFORMULA"&amp;"(TO_TEXT(Referencia!$A$2:$A6238)),0),0),
IF(OR(campo="""",campo=""-""),""NO APLICA"",
IF(col=0,""REVISAR EQUIVALENCIA"",
IF(fila=0,""SKU NO ENCONTRADO"",
LET(
valor,INDEX(Referencia!$A$2:$AZ6238,fila,col),
IF(TRIM(TO_TEXT(valor))=TRIM(TO_TEXT(I500)),
""OK"&amp;""",
""NO COINCIDE. Valor verdadero: ""&amp;IF(valor="""",""[VACÍO]"",TO_TEXT(valor))
)
))))
),""ERROR EN FÓRMULA""))"),"OK")</f>
        <v>OK</v>
      </c>
    </row>
    <row r="501">
      <c r="A501" s="83" t="s">
        <v>4078</v>
      </c>
      <c r="B501" s="83" t="s">
        <v>4079</v>
      </c>
      <c r="C501" s="81" t="s">
        <v>4086</v>
      </c>
      <c r="D501" s="83" t="s">
        <v>4335</v>
      </c>
      <c r="E501" s="81" t="s">
        <v>1396</v>
      </c>
      <c r="F501" s="84">
        <v>272.0</v>
      </c>
      <c r="G501" s="81" t="s">
        <v>29</v>
      </c>
      <c r="H501" s="81" t="s">
        <v>4336</v>
      </c>
      <c r="I501" s="81" t="s">
        <v>1397</v>
      </c>
      <c r="J501" s="81" t="s">
        <v>224</v>
      </c>
      <c r="K501" s="81" t="str">
        <f>IFERROR(__xludf.DUMMYFUNCTION("IF(OR(D501="""",G501=""""),"""",IFERROR(LET(
campo,XLOOKUP(TRIM(G501),ARRAYFORMULA(TRIM('indice columnas'!$A$2:$A$100)),'indice columnas'!$B$2:$B$100,""""),
col,IFERROR(MATCH(campo,Referencia!$A$1:$AZ$1,0),0),
fila,IFERROR(MATCH(TO_TEXT(D501),ARRAYFORMULA"&amp;"(TO_TEXT(Referencia!$A$2:$A6238)),0),0),
IF(OR(campo="""",campo=""-""),""NO APLICA"",
IF(col=0,""REVISAR EQUIVALENCIA"",
IF(fila=0,""SKU NO ENCONTRADO"",
LET(
valor,INDEX(Referencia!$A$2:$AZ6238,fila,col),
IF(TRIM(TO_TEXT(valor))=TRIM(TO_TEXT(I501)),
""OK"&amp;""",
""NO COINCIDE. Valor verdadero: ""&amp;IF(valor="""",""[VACÍO]"",TO_TEXT(valor))
)
))))
),""ERROR EN FÓRMULA""))"),"NO COINCIDE. Valor verdadero: 42 x 36 x 3000 (Ancho x Alto x Largo)")</f>
        <v>NO COINCIDE. Valor verdadero: 42 x 36 x 3000 (Ancho x Alto x Largo)</v>
      </c>
    </row>
    <row r="502">
      <c r="A502" s="83" t="s">
        <v>4078</v>
      </c>
      <c r="B502" s="83" t="s">
        <v>4079</v>
      </c>
      <c r="C502" s="81" t="s">
        <v>4086</v>
      </c>
      <c r="D502" s="83" t="s">
        <v>4335</v>
      </c>
      <c r="E502" s="81" t="s">
        <v>1396</v>
      </c>
      <c r="F502" s="84">
        <v>272.0</v>
      </c>
      <c r="G502" s="81" t="s">
        <v>44</v>
      </c>
      <c r="H502" s="81" t="s">
        <v>224</v>
      </c>
      <c r="I502" s="81" t="s">
        <v>1051</v>
      </c>
      <c r="J502" s="81" t="s">
        <v>4088</v>
      </c>
      <c r="K502" s="81" t="str">
        <f>IFERROR(__xludf.DUMMYFUNCTION("IF(OR(D502="""",G502=""""),"""",IFERROR(LET(
campo,XLOOKUP(TRIM(G502),ARRAYFORMULA(TRIM('indice columnas'!$A$2:$A$100)),'indice columnas'!$B$2:$B$100,""""),
col,IFERROR(MATCH(campo,Referencia!$A$1:$AZ$1,0),0),
fila,IFERROR(MATCH(TO_TEXT(D502),ARRAYFORMULA"&amp;"(TO_TEXT(Referencia!$A$2:$A6238)),0),0),
IF(OR(campo="""",campo=""-""),""NO APLICA"",
IF(col=0,""REVISAR EQUIVALENCIA"",
IF(fila=0,""SKU NO ENCONTRADO"",
LET(
valor,INDEX(Referencia!$A$2:$AZ6238,fila,col),
IF(TRIM(TO_TEXT(valor))=TRIM(TO_TEXT(I502)),
""OK"&amp;""",
""NO COINCIDE. Valor verdadero: ""&amp;IF(valor="""",""[VACÍO]"",TO_TEXT(valor))
)
))))
),""ERROR EN FÓRMULA""))"),"NO APLICA")</f>
        <v>NO APLICA</v>
      </c>
    </row>
    <row r="503">
      <c r="A503" s="83" t="s">
        <v>4078</v>
      </c>
      <c r="B503" s="83" t="s">
        <v>4079</v>
      </c>
      <c r="C503" s="81" t="s">
        <v>4086</v>
      </c>
      <c r="D503" s="83" t="s">
        <v>4337</v>
      </c>
      <c r="E503" s="81" t="s">
        <v>1400</v>
      </c>
      <c r="F503" s="84">
        <v>273.0</v>
      </c>
      <c r="G503" s="81" t="s">
        <v>12</v>
      </c>
      <c r="H503" s="81" t="s">
        <v>224</v>
      </c>
      <c r="I503" s="81" t="s">
        <v>55</v>
      </c>
      <c r="J503" s="81" t="s">
        <v>224</v>
      </c>
      <c r="K503" s="81" t="str">
        <f>IFERROR(__xludf.DUMMYFUNCTION("IF(OR(D503="""",G503=""""),"""",IFERROR(LET(
campo,XLOOKUP(TRIM(G503),ARRAYFORMULA(TRIM('indice columnas'!$A$2:$A$100)),'indice columnas'!$B$2:$B$100,""""),
col,IFERROR(MATCH(campo,Referencia!$A$1:$AZ$1,0),0),
fila,IFERROR(MATCH(TO_TEXT(D503),ARRAYFORMULA"&amp;"(TO_TEXT(Referencia!$A$2:$A6238)),0),0),
IF(OR(campo="""",campo=""-""),""NO APLICA"",
IF(col=0,""REVISAR EQUIVALENCIA"",
IF(fila=0,""SKU NO ENCONTRADO"",
LET(
valor,INDEX(Referencia!$A$2:$AZ6238,fila,col),
IF(TRIM(TO_TEXT(valor))=TRIM(TO_TEXT(I503)),
""OK"&amp;""",
""NO COINCIDE. Valor verdadero: ""&amp;IF(valor="""",""[VACÍO]"",TO_TEXT(valor))
)
))))
),""ERROR EN FÓRMULA""))"),"OK")</f>
        <v>OK</v>
      </c>
    </row>
    <row r="504">
      <c r="A504" s="83" t="s">
        <v>4078</v>
      </c>
      <c r="B504" s="83" t="s">
        <v>4079</v>
      </c>
      <c r="C504" s="81" t="s">
        <v>4086</v>
      </c>
      <c r="D504" s="83" t="s">
        <v>4337</v>
      </c>
      <c r="E504" s="81" t="s">
        <v>1400</v>
      </c>
      <c r="F504" s="84">
        <v>273.0</v>
      </c>
      <c r="G504" s="81" t="s">
        <v>29</v>
      </c>
      <c r="H504" s="81" t="s">
        <v>4336</v>
      </c>
      <c r="I504" s="81" t="s">
        <v>1397</v>
      </c>
      <c r="J504" s="81" t="s">
        <v>224</v>
      </c>
      <c r="K504" s="81" t="str">
        <f>IFERROR(__xludf.DUMMYFUNCTION("IF(OR(D504="""",G504=""""),"""",IFERROR(LET(
campo,XLOOKUP(TRIM(G504),ARRAYFORMULA(TRIM('indice columnas'!$A$2:$A$100)),'indice columnas'!$B$2:$B$100,""""),
col,IFERROR(MATCH(campo,Referencia!$A$1:$AZ$1,0),0),
fila,IFERROR(MATCH(TO_TEXT(D504),ARRAYFORMULA"&amp;"(TO_TEXT(Referencia!$A$2:$A6238)),0),0),
IF(OR(campo="""",campo=""-""),""NO APLICA"",
IF(col=0,""REVISAR EQUIVALENCIA"",
IF(fila=0,""SKU NO ENCONTRADO"",
LET(
valor,INDEX(Referencia!$A$2:$AZ6238,fila,col),
IF(TRIM(TO_TEXT(valor))=TRIM(TO_TEXT(I504)),
""OK"&amp;""",
""NO COINCIDE. Valor verdadero: ""&amp;IF(valor="""",""[VACÍO]"",TO_TEXT(valor))
)
))))
),""ERROR EN FÓRMULA""))"),"NO COINCIDE. Valor verdadero: 42 x 36 x 3000 (Ancho x Alto x Largo)")</f>
        <v>NO COINCIDE. Valor verdadero: 42 x 36 x 3000 (Ancho x Alto x Largo)</v>
      </c>
    </row>
    <row r="505">
      <c r="A505" s="83" t="s">
        <v>4078</v>
      </c>
      <c r="B505" s="83" t="s">
        <v>4079</v>
      </c>
      <c r="C505" s="81" t="s">
        <v>4086</v>
      </c>
      <c r="D505" s="83" t="s">
        <v>4337</v>
      </c>
      <c r="E505" s="81" t="s">
        <v>1400</v>
      </c>
      <c r="F505" s="84">
        <v>273.0</v>
      </c>
      <c r="G505" s="81" t="s">
        <v>44</v>
      </c>
      <c r="H505" s="81" t="s">
        <v>224</v>
      </c>
      <c r="I505" s="81" t="s">
        <v>1051</v>
      </c>
      <c r="J505" s="81" t="s">
        <v>4088</v>
      </c>
      <c r="K505" s="81" t="str">
        <f>IFERROR(__xludf.DUMMYFUNCTION("IF(OR(D505="""",G505=""""),"""",IFERROR(LET(
campo,XLOOKUP(TRIM(G505),ARRAYFORMULA(TRIM('indice columnas'!$A$2:$A$100)),'indice columnas'!$B$2:$B$100,""""),
col,IFERROR(MATCH(campo,Referencia!$A$1:$AZ$1,0),0),
fila,IFERROR(MATCH(TO_TEXT(D505),ARRAYFORMULA"&amp;"(TO_TEXT(Referencia!$A$2:$A6238)),0),0),
IF(OR(campo="""",campo=""-""),""NO APLICA"",
IF(col=0,""REVISAR EQUIVALENCIA"",
IF(fila=0,""SKU NO ENCONTRADO"",
LET(
valor,INDEX(Referencia!$A$2:$AZ6238,fila,col),
IF(TRIM(TO_TEXT(valor))=TRIM(TO_TEXT(I505)),
""OK"&amp;""",
""NO COINCIDE. Valor verdadero: ""&amp;IF(valor="""",""[VACÍO]"",TO_TEXT(valor))
)
))))
),""ERROR EN FÓRMULA""))"),"NO APLICA")</f>
        <v>NO APLICA</v>
      </c>
    </row>
    <row r="506">
      <c r="A506" s="83" t="s">
        <v>4078</v>
      </c>
      <c r="B506" s="83" t="s">
        <v>4079</v>
      </c>
      <c r="C506" s="81" t="s">
        <v>4086</v>
      </c>
      <c r="D506" s="83" t="s">
        <v>4338</v>
      </c>
      <c r="E506" s="81" t="s">
        <v>1401</v>
      </c>
      <c r="F506" s="84">
        <v>274.0</v>
      </c>
      <c r="G506" s="81" t="s">
        <v>44</v>
      </c>
      <c r="H506" s="81" t="s">
        <v>4339</v>
      </c>
      <c r="I506" s="81" t="s">
        <v>1401</v>
      </c>
      <c r="J506" s="81" t="s">
        <v>4088</v>
      </c>
      <c r="K506" s="81" t="str">
        <f>IFERROR(__xludf.DUMMYFUNCTION("IF(OR(D506="""",G506=""""),"""",IFERROR(LET(
campo,XLOOKUP(TRIM(G506),ARRAYFORMULA(TRIM('indice columnas'!$A$2:$A$100)),'indice columnas'!$B$2:$B$100,""""),
col,IFERROR(MATCH(campo,Referencia!$A$1:$AZ$1,0),0),
fila,IFERROR(MATCH(TO_TEXT(D506),ARRAYFORMULA"&amp;"(TO_TEXT(Referencia!$A$2:$A6238)),0),0),
IF(OR(campo="""",campo=""-""),""NO APLICA"",
IF(col=0,""REVISAR EQUIVALENCIA"",
IF(fila=0,""SKU NO ENCONTRADO"",
LET(
valor,INDEX(Referencia!$A$2:$AZ6238,fila,col),
IF(TRIM(TO_TEXT(valor))=TRIM(TO_TEXT(I506)),
""OK"&amp;""",
""NO COINCIDE. Valor verdadero: ""&amp;IF(valor="""",""[VACÍO]"",TO_TEXT(valor))
)
))))
),""ERROR EN FÓRMULA""))"),"NO APLICA")</f>
        <v>NO APLICA</v>
      </c>
    </row>
    <row r="507">
      <c r="A507" s="83" t="s">
        <v>4078</v>
      </c>
      <c r="B507" s="83" t="s">
        <v>4079</v>
      </c>
      <c r="C507" s="81" t="s">
        <v>4086</v>
      </c>
      <c r="D507" s="83" t="s">
        <v>4338</v>
      </c>
      <c r="E507" s="81" t="s">
        <v>1419</v>
      </c>
      <c r="F507" s="84">
        <v>275.0</v>
      </c>
      <c r="G507" s="81" t="s">
        <v>29</v>
      </c>
      <c r="H507" s="81" t="s">
        <v>4340</v>
      </c>
      <c r="I507" s="81" t="s">
        <v>1421</v>
      </c>
      <c r="J507" s="81" t="s">
        <v>224</v>
      </c>
      <c r="K507" s="81" t="str">
        <f>IFERROR(__xludf.DUMMYFUNCTION("IF(OR(D507="""",G507=""""),"""",IFERROR(LET(
campo,XLOOKUP(TRIM(G507),ARRAYFORMULA(TRIM('indice columnas'!$A$2:$A$100)),'indice columnas'!$B$2:$B$100,""""),
col,IFERROR(MATCH(campo,Referencia!$A$1:$AZ$1,0),0),
fila,IFERROR(MATCH(TO_TEXT(D507),ARRAYFORMULA"&amp;"(TO_TEXT(Referencia!$A$2:$A6238)),0),0),
IF(OR(campo="""",campo=""-""),""NO APLICA"",
IF(col=0,""REVISAR EQUIVALENCIA"",
IF(fila=0,""SKU NO ENCONTRADO"",
LET(
valor,INDEX(Referencia!$A$2:$AZ6238,fila,col),
IF(TRIM(TO_TEXT(valor))=TRIM(TO_TEXT(I507)),
""OK"&amp;""",
""NO COINCIDE. Valor verdadero: ""&amp;IF(valor="""",""[VACÍO]"",TO_TEXT(valor))
)
))))
),""ERROR EN FÓRMULA""))"),"NO COINCIDE. Valor verdadero: 33 x 60 x 600 (Ancho x Alto x Largo)")</f>
        <v>NO COINCIDE. Valor verdadero: 33 x 60 x 600 (Ancho x Alto x Largo)</v>
      </c>
    </row>
    <row r="508">
      <c r="A508" s="83" t="s">
        <v>4078</v>
      </c>
      <c r="B508" s="83" t="s">
        <v>4079</v>
      </c>
      <c r="C508" s="81" t="s">
        <v>4086</v>
      </c>
      <c r="D508" s="83" t="s">
        <v>4338</v>
      </c>
      <c r="E508" s="81" t="s">
        <v>1419</v>
      </c>
      <c r="F508" s="84">
        <v>275.0</v>
      </c>
      <c r="G508" s="81" t="s">
        <v>44</v>
      </c>
      <c r="H508" s="81" t="s">
        <v>4339</v>
      </c>
      <c r="I508" s="81" t="s">
        <v>1401</v>
      </c>
      <c r="J508" s="81" t="s">
        <v>4088</v>
      </c>
      <c r="K508" s="81" t="str">
        <f>IFERROR(__xludf.DUMMYFUNCTION("IF(OR(D508="""",G508=""""),"""",IFERROR(LET(
campo,XLOOKUP(TRIM(G508),ARRAYFORMULA(TRIM('indice columnas'!$A$2:$A$100)),'indice columnas'!$B$2:$B$100,""""),
col,IFERROR(MATCH(campo,Referencia!$A$1:$AZ$1,0),0),
fila,IFERROR(MATCH(TO_TEXT(D508),ARRAYFORMULA"&amp;"(TO_TEXT(Referencia!$A$2:$A6238)),0),0),
IF(OR(campo="""",campo=""-""),""NO APLICA"",
IF(col=0,""REVISAR EQUIVALENCIA"",
IF(fila=0,""SKU NO ENCONTRADO"",
LET(
valor,INDEX(Referencia!$A$2:$AZ6238,fila,col),
IF(TRIM(TO_TEXT(valor))=TRIM(TO_TEXT(I508)),
""OK"&amp;""",
""NO COINCIDE. Valor verdadero: ""&amp;IF(valor="""",""[VACÍO]"",TO_TEXT(valor))
)
))))
),""ERROR EN FÓRMULA""))"),"NO APLICA")</f>
        <v>NO APLICA</v>
      </c>
    </row>
    <row r="509">
      <c r="A509" s="83" t="s">
        <v>4078</v>
      </c>
      <c r="B509" s="83" t="s">
        <v>4079</v>
      </c>
      <c r="C509" s="81" t="s">
        <v>4086</v>
      </c>
      <c r="D509" s="83" t="s">
        <v>4341</v>
      </c>
      <c r="E509" s="81" t="s">
        <v>1423</v>
      </c>
      <c r="F509" s="84">
        <v>276.0</v>
      </c>
      <c r="G509" s="81" t="s">
        <v>29</v>
      </c>
      <c r="H509" s="81" t="s">
        <v>4340</v>
      </c>
      <c r="I509" s="81" t="s">
        <v>1421</v>
      </c>
      <c r="J509" s="81" t="s">
        <v>224</v>
      </c>
      <c r="K509" s="81" t="str">
        <f>IFERROR(__xludf.DUMMYFUNCTION("IF(OR(D509="""",G509=""""),"""",IFERROR(LET(
campo,XLOOKUP(TRIM(G509),ARRAYFORMULA(TRIM('indice columnas'!$A$2:$A$100)),'indice columnas'!$B$2:$B$100,""""),
col,IFERROR(MATCH(campo,Referencia!$A$1:$AZ$1,0),0),
fila,IFERROR(MATCH(TO_TEXT(D509),ARRAYFORMULA"&amp;"(TO_TEXT(Referencia!$A$2:$A6238)),0),0),
IF(OR(campo="""",campo=""-""),""NO APLICA"",
IF(col=0,""REVISAR EQUIVALENCIA"",
IF(fila=0,""SKU NO ENCONTRADO"",
LET(
valor,INDEX(Referencia!$A$2:$AZ6238,fila,col),
IF(TRIM(TO_TEXT(valor))=TRIM(TO_TEXT(I509)),
""OK"&amp;""",
""NO COINCIDE. Valor verdadero: ""&amp;IF(valor="""",""[VACÍO]"",TO_TEXT(valor))
)
))))
),""ERROR EN FÓRMULA""))"),"NO COINCIDE. Valor verdadero: 33 x 60 x 600 (Ancho x Alto x Largo)")</f>
        <v>NO COINCIDE. Valor verdadero: 33 x 60 x 600 (Ancho x Alto x Largo)</v>
      </c>
    </row>
    <row r="510">
      <c r="A510" s="83" t="s">
        <v>4078</v>
      </c>
      <c r="B510" s="83" t="s">
        <v>4079</v>
      </c>
      <c r="C510" s="81" t="s">
        <v>4086</v>
      </c>
      <c r="D510" s="83" t="s">
        <v>4341</v>
      </c>
      <c r="E510" s="81" t="s">
        <v>1423</v>
      </c>
      <c r="F510" s="84">
        <v>276.0</v>
      </c>
      <c r="G510" s="81" t="s">
        <v>44</v>
      </c>
      <c r="H510" s="81" t="s">
        <v>4339</v>
      </c>
      <c r="I510" s="81" t="s">
        <v>1401</v>
      </c>
      <c r="J510" s="81" t="s">
        <v>4088</v>
      </c>
      <c r="K510" s="81" t="str">
        <f>IFERROR(__xludf.DUMMYFUNCTION("IF(OR(D510="""",G510=""""),"""",IFERROR(LET(
campo,XLOOKUP(TRIM(G510),ARRAYFORMULA(TRIM('indice columnas'!$A$2:$A$100)),'indice columnas'!$B$2:$B$100,""""),
col,IFERROR(MATCH(campo,Referencia!$A$1:$AZ$1,0),0),
fila,IFERROR(MATCH(TO_TEXT(D510),ARRAYFORMULA"&amp;"(TO_TEXT(Referencia!$A$2:$A6238)),0),0),
IF(OR(campo="""",campo=""-""),""NO APLICA"",
IF(col=0,""REVISAR EQUIVALENCIA"",
IF(fila=0,""SKU NO ENCONTRADO"",
LET(
valor,INDEX(Referencia!$A$2:$AZ6238,fila,col),
IF(TRIM(TO_TEXT(valor))=TRIM(TO_TEXT(I510)),
""OK"&amp;""",
""NO COINCIDE. Valor verdadero: ""&amp;IF(valor="""",""[VACÍO]"",TO_TEXT(valor))
)
))))
),""ERROR EN FÓRMULA""))"),"NO APLICA")</f>
        <v>NO APLICA</v>
      </c>
    </row>
    <row r="511">
      <c r="A511" s="83" t="s">
        <v>4078</v>
      </c>
      <c r="B511" s="83" t="s">
        <v>4079</v>
      </c>
      <c r="C511" s="81" t="s">
        <v>4086</v>
      </c>
      <c r="D511" s="83" t="s">
        <v>4342</v>
      </c>
      <c r="E511" s="81" t="s">
        <v>1426</v>
      </c>
      <c r="F511" s="84">
        <v>277.0</v>
      </c>
      <c r="G511" s="81" t="s">
        <v>29</v>
      </c>
      <c r="H511" s="81" t="s">
        <v>4343</v>
      </c>
      <c r="I511" s="81" t="s">
        <v>1431</v>
      </c>
      <c r="J511" s="81" t="s">
        <v>224</v>
      </c>
      <c r="K511" s="81" t="str">
        <f>IFERROR(__xludf.DUMMYFUNCTION("IF(OR(D511="""",G511=""""),"""",IFERROR(LET(
campo,XLOOKUP(TRIM(G511),ARRAYFORMULA(TRIM('indice columnas'!$A$2:$A$100)),'indice columnas'!$B$2:$B$100,""""),
col,IFERROR(MATCH(campo,Referencia!$A$1:$AZ$1,0),0),
fila,IFERROR(MATCH(TO_TEXT(D511),ARRAYFORMULA"&amp;"(TO_TEXT(Referencia!$A$2:$A6238)),0),0),
IF(OR(campo="""",campo=""-""),""NO APLICA"",
IF(col=0,""REVISAR EQUIVALENCIA"",
IF(fila=0,""SKU NO ENCONTRADO"",
LET(
valor,INDEX(Referencia!$A$2:$AZ6238,fila,col),
IF(TRIM(TO_TEXT(valor))=TRIM(TO_TEXT(I511)),
""OK"&amp;""",
""NO COINCIDE. Valor verdadero: ""&amp;IF(valor="""",""[VACÍO]"",TO_TEXT(valor))
)
))))
),""ERROR EN FÓRMULA""))"),"NO COINCIDE. Valor verdadero: 33 x 60 x 1200 (Ancho x Alto x Largo)")</f>
        <v>NO COINCIDE. Valor verdadero: 33 x 60 x 1200 (Ancho x Alto x Largo)</v>
      </c>
    </row>
    <row r="512">
      <c r="A512" s="83" t="s">
        <v>4078</v>
      </c>
      <c r="B512" s="83" t="s">
        <v>4079</v>
      </c>
      <c r="C512" s="81" t="s">
        <v>4086</v>
      </c>
      <c r="D512" s="83" t="s">
        <v>4342</v>
      </c>
      <c r="E512" s="81" t="s">
        <v>1426</v>
      </c>
      <c r="F512" s="84">
        <v>277.0</v>
      </c>
      <c r="G512" s="81" t="s">
        <v>44</v>
      </c>
      <c r="H512" s="81" t="s">
        <v>4339</v>
      </c>
      <c r="I512" s="81" t="s">
        <v>1401</v>
      </c>
      <c r="J512" s="81" t="s">
        <v>4088</v>
      </c>
      <c r="K512" s="81" t="str">
        <f>IFERROR(__xludf.DUMMYFUNCTION("IF(OR(D512="""",G512=""""),"""",IFERROR(LET(
campo,XLOOKUP(TRIM(G512),ARRAYFORMULA(TRIM('indice columnas'!$A$2:$A$100)),'indice columnas'!$B$2:$B$100,""""),
col,IFERROR(MATCH(campo,Referencia!$A$1:$AZ$1,0),0),
fila,IFERROR(MATCH(TO_TEXT(D512),ARRAYFORMULA"&amp;"(TO_TEXT(Referencia!$A$2:$A6238)),0),0),
IF(OR(campo="""",campo=""-""),""NO APLICA"",
IF(col=0,""REVISAR EQUIVALENCIA"",
IF(fila=0,""SKU NO ENCONTRADO"",
LET(
valor,INDEX(Referencia!$A$2:$AZ6238,fila,col),
IF(TRIM(TO_TEXT(valor))=TRIM(TO_TEXT(I512)),
""OK"&amp;""",
""NO COINCIDE. Valor verdadero: ""&amp;IF(valor="""",""[VACÍO]"",TO_TEXT(valor))
)
))))
),""ERROR EN FÓRMULA""))"),"NO APLICA")</f>
        <v>NO APLICA</v>
      </c>
    </row>
    <row r="513">
      <c r="A513" s="83" t="s">
        <v>4078</v>
      </c>
      <c r="B513" s="83" t="s">
        <v>4079</v>
      </c>
      <c r="C513" s="81" t="s">
        <v>4086</v>
      </c>
      <c r="D513" s="83" t="s">
        <v>4344</v>
      </c>
      <c r="E513" s="81" t="s">
        <v>1438</v>
      </c>
      <c r="F513" s="84">
        <v>278.0</v>
      </c>
      <c r="G513" s="81" t="s">
        <v>29</v>
      </c>
      <c r="H513" s="81" t="s">
        <v>4343</v>
      </c>
      <c r="I513" s="81" t="s">
        <v>1431</v>
      </c>
      <c r="J513" s="81" t="s">
        <v>224</v>
      </c>
      <c r="K513" s="81" t="str">
        <f>IFERROR(__xludf.DUMMYFUNCTION("IF(OR(D513="""",G513=""""),"""",IFERROR(LET(
campo,XLOOKUP(TRIM(G513),ARRAYFORMULA(TRIM('indice columnas'!$A$2:$A$100)),'indice columnas'!$B$2:$B$100,""""),
col,IFERROR(MATCH(campo,Referencia!$A$1:$AZ$1,0),0),
fila,IFERROR(MATCH(TO_TEXT(D513),ARRAYFORMULA"&amp;"(TO_TEXT(Referencia!$A$2:$A6238)),0),0),
IF(OR(campo="""",campo=""-""),""NO APLICA"",
IF(col=0,""REVISAR EQUIVALENCIA"",
IF(fila=0,""SKU NO ENCONTRADO"",
LET(
valor,INDEX(Referencia!$A$2:$AZ6238,fila,col),
IF(TRIM(TO_TEXT(valor))=TRIM(TO_TEXT(I513)),
""OK"&amp;""",
""NO COINCIDE. Valor verdadero: ""&amp;IF(valor="""",""[VACÍO]"",TO_TEXT(valor))
)
))))
),""ERROR EN FÓRMULA""))"),"NO COINCIDE. Valor verdadero: 33 x 60 x 1200 (Ancho x Alto x Largo)")</f>
        <v>NO COINCIDE. Valor verdadero: 33 x 60 x 1200 (Ancho x Alto x Largo)</v>
      </c>
    </row>
    <row r="514">
      <c r="A514" s="83" t="s">
        <v>4078</v>
      </c>
      <c r="B514" s="83" t="s">
        <v>4079</v>
      </c>
      <c r="C514" s="81" t="s">
        <v>4086</v>
      </c>
      <c r="D514" s="83" t="s">
        <v>4344</v>
      </c>
      <c r="E514" s="81" t="s">
        <v>1438</v>
      </c>
      <c r="F514" s="84">
        <v>278.0</v>
      </c>
      <c r="G514" s="81" t="s">
        <v>44</v>
      </c>
      <c r="H514" s="81" t="s">
        <v>4339</v>
      </c>
      <c r="I514" s="81" t="s">
        <v>1401</v>
      </c>
      <c r="J514" s="81" t="s">
        <v>4088</v>
      </c>
      <c r="K514" s="81" t="str">
        <f>IFERROR(__xludf.DUMMYFUNCTION("IF(OR(D514="""",G514=""""),"""",IFERROR(LET(
campo,XLOOKUP(TRIM(G514),ARRAYFORMULA(TRIM('indice columnas'!$A$2:$A$100)),'indice columnas'!$B$2:$B$100,""""),
col,IFERROR(MATCH(campo,Referencia!$A$1:$AZ$1,0),0),
fila,IFERROR(MATCH(TO_TEXT(D514),ARRAYFORMULA"&amp;"(TO_TEXT(Referencia!$A$2:$A6238)),0),0),
IF(OR(campo="""",campo=""-""),""NO APLICA"",
IF(col=0,""REVISAR EQUIVALENCIA"",
IF(fila=0,""SKU NO ENCONTRADO"",
LET(
valor,INDEX(Referencia!$A$2:$AZ6238,fila,col),
IF(TRIM(TO_TEXT(valor))=TRIM(TO_TEXT(I514)),
""OK"&amp;""",
""NO COINCIDE. Valor verdadero: ""&amp;IF(valor="""",""[VACÍO]"",TO_TEXT(valor))
)
))))
),""ERROR EN FÓRMULA""))"),"NO APLICA")</f>
        <v>NO APLICA</v>
      </c>
    </row>
    <row r="515">
      <c r="A515" s="83" t="s">
        <v>4078</v>
      </c>
      <c r="B515" s="83" t="s">
        <v>4079</v>
      </c>
      <c r="C515" s="81" t="s">
        <v>4086</v>
      </c>
      <c r="D515" s="83" t="s">
        <v>4345</v>
      </c>
      <c r="E515" s="81" t="s">
        <v>1441</v>
      </c>
      <c r="F515" s="84">
        <v>279.0</v>
      </c>
      <c r="G515" s="81" t="s">
        <v>29</v>
      </c>
      <c r="H515" s="81" t="s">
        <v>4346</v>
      </c>
      <c r="I515" s="81" t="s">
        <v>1446</v>
      </c>
      <c r="J515" s="81" t="s">
        <v>224</v>
      </c>
      <c r="K515" s="81" t="str">
        <f>IFERROR(__xludf.DUMMYFUNCTION("IF(OR(D515="""",G515=""""),"""",IFERROR(LET(
campo,XLOOKUP(TRIM(G515),ARRAYFORMULA(TRIM('indice columnas'!$A$2:$A$100)),'indice columnas'!$B$2:$B$100,""""),
col,IFERROR(MATCH(campo,Referencia!$A$1:$AZ$1,0),0),
fila,IFERROR(MATCH(TO_TEXT(D515),ARRAYFORMULA"&amp;"(TO_TEXT(Referencia!$A$2:$A6238)),0),0),
IF(OR(campo="""",campo=""-""),""NO APLICA"",
IF(col=0,""REVISAR EQUIVALENCIA"",
IF(fila=0,""SKU NO ENCONTRADO"",
LET(
valor,INDEX(Referencia!$A$2:$AZ6238,fila,col),
IF(TRIM(TO_TEXT(valor))=TRIM(TO_TEXT(I515)),
""OK"&amp;""",
""NO COINCIDE. Valor verdadero: ""&amp;IF(valor="""",""[VACÍO]"",TO_TEXT(valor))
)
))))
),""ERROR EN FÓRMULA""))"),"NO COINCIDE. Valor verdadero: 33 x 60 x 1800 (Ancho x Alto x Largo)")</f>
        <v>NO COINCIDE. Valor verdadero: 33 x 60 x 1800 (Ancho x Alto x Largo)</v>
      </c>
    </row>
    <row r="516">
      <c r="A516" s="83" t="s">
        <v>4078</v>
      </c>
      <c r="B516" s="83" t="s">
        <v>4079</v>
      </c>
      <c r="C516" s="81" t="s">
        <v>4086</v>
      </c>
      <c r="D516" s="83" t="s">
        <v>4345</v>
      </c>
      <c r="E516" s="81" t="s">
        <v>1441</v>
      </c>
      <c r="F516" s="84">
        <v>279.0</v>
      </c>
      <c r="G516" s="81" t="s">
        <v>44</v>
      </c>
      <c r="H516" s="81" t="s">
        <v>4339</v>
      </c>
      <c r="I516" s="81" t="s">
        <v>1401</v>
      </c>
      <c r="J516" s="81" t="s">
        <v>4088</v>
      </c>
      <c r="K516" s="81" t="str">
        <f>IFERROR(__xludf.DUMMYFUNCTION("IF(OR(D516="""",G516=""""),"""",IFERROR(LET(
campo,XLOOKUP(TRIM(G516),ARRAYFORMULA(TRIM('indice columnas'!$A$2:$A$100)),'indice columnas'!$B$2:$B$100,""""),
col,IFERROR(MATCH(campo,Referencia!$A$1:$AZ$1,0),0),
fila,IFERROR(MATCH(TO_TEXT(D516),ARRAYFORMULA"&amp;"(TO_TEXT(Referencia!$A$2:$A6238)),0),0),
IF(OR(campo="""",campo=""-""),""NO APLICA"",
IF(col=0,""REVISAR EQUIVALENCIA"",
IF(fila=0,""SKU NO ENCONTRADO"",
LET(
valor,INDEX(Referencia!$A$2:$AZ6238,fila,col),
IF(TRIM(TO_TEXT(valor))=TRIM(TO_TEXT(I516)),
""OK"&amp;""",
""NO COINCIDE. Valor verdadero: ""&amp;IF(valor="""",""[VACÍO]"",TO_TEXT(valor))
)
))))
),""ERROR EN FÓRMULA""))"),"NO APLICA")</f>
        <v>NO APLICA</v>
      </c>
    </row>
    <row r="517">
      <c r="A517" s="83" t="s">
        <v>4078</v>
      </c>
      <c r="B517" s="83" t="s">
        <v>4079</v>
      </c>
      <c r="C517" s="81" t="s">
        <v>4086</v>
      </c>
      <c r="D517" s="83" t="s">
        <v>4347</v>
      </c>
      <c r="E517" s="81" t="s">
        <v>1453</v>
      </c>
      <c r="F517" s="84">
        <v>280.0</v>
      </c>
      <c r="G517" s="81" t="s">
        <v>29</v>
      </c>
      <c r="H517" s="81" t="s">
        <v>4346</v>
      </c>
      <c r="I517" s="81" t="s">
        <v>1446</v>
      </c>
      <c r="J517" s="81" t="s">
        <v>224</v>
      </c>
      <c r="K517" s="81" t="str">
        <f>IFERROR(__xludf.DUMMYFUNCTION("IF(OR(D517="""",G517=""""),"""",IFERROR(LET(
campo,XLOOKUP(TRIM(G517),ARRAYFORMULA(TRIM('indice columnas'!$A$2:$A$100)),'indice columnas'!$B$2:$B$100,""""),
col,IFERROR(MATCH(campo,Referencia!$A$1:$AZ$1,0),0),
fila,IFERROR(MATCH(TO_TEXT(D517),ARRAYFORMULA"&amp;"(TO_TEXT(Referencia!$A$2:$A6238)),0),0),
IF(OR(campo="""",campo=""-""),""NO APLICA"",
IF(col=0,""REVISAR EQUIVALENCIA"",
IF(fila=0,""SKU NO ENCONTRADO"",
LET(
valor,INDEX(Referencia!$A$2:$AZ6238,fila,col),
IF(TRIM(TO_TEXT(valor))=TRIM(TO_TEXT(I517)),
""OK"&amp;""",
""NO COINCIDE. Valor verdadero: ""&amp;IF(valor="""",""[VACÍO]"",TO_TEXT(valor))
)
))))
),""ERROR EN FÓRMULA""))"),"NO COINCIDE. Valor verdadero: 33 x 60 x 1800 (Ancho x Alto x Largo)")</f>
        <v>NO COINCIDE. Valor verdadero: 33 x 60 x 1800 (Ancho x Alto x Largo)</v>
      </c>
    </row>
    <row r="518">
      <c r="A518" s="83" t="s">
        <v>4078</v>
      </c>
      <c r="B518" s="83" t="s">
        <v>4079</v>
      </c>
      <c r="C518" s="81" t="s">
        <v>4086</v>
      </c>
      <c r="D518" s="83" t="s">
        <v>4347</v>
      </c>
      <c r="E518" s="81" t="s">
        <v>1453</v>
      </c>
      <c r="F518" s="84">
        <v>280.0</v>
      </c>
      <c r="G518" s="81" t="s">
        <v>44</v>
      </c>
      <c r="H518" s="81" t="s">
        <v>4339</v>
      </c>
      <c r="I518" s="81" t="s">
        <v>1401</v>
      </c>
      <c r="J518" s="81" t="s">
        <v>4088</v>
      </c>
      <c r="K518" s="81" t="str">
        <f>IFERROR(__xludf.DUMMYFUNCTION("IF(OR(D518="""",G518=""""),"""",IFERROR(LET(
campo,XLOOKUP(TRIM(G518),ARRAYFORMULA(TRIM('indice columnas'!$A$2:$A$100)),'indice columnas'!$B$2:$B$100,""""),
col,IFERROR(MATCH(campo,Referencia!$A$1:$AZ$1,0),0),
fila,IFERROR(MATCH(TO_TEXT(D518),ARRAYFORMULA"&amp;"(TO_TEXT(Referencia!$A$2:$A6238)),0),0),
IF(OR(campo="""",campo=""-""),""NO APLICA"",
IF(col=0,""REVISAR EQUIVALENCIA"",
IF(fila=0,""SKU NO ENCONTRADO"",
LET(
valor,INDEX(Referencia!$A$2:$AZ6238,fila,col),
IF(TRIM(TO_TEXT(valor))=TRIM(TO_TEXT(I518)),
""OK"&amp;""",
""NO COINCIDE. Valor verdadero: ""&amp;IF(valor="""",""[VACÍO]"",TO_TEXT(valor))
)
))))
),""ERROR EN FÓRMULA""))"),"NO APLICA")</f>
        <v>NO APLICA</v>
      </c>
    </row>
    <row r="519">
      <c r="A519" s="83" t="s">
        <v>4078</v>
      </c>
      <c r="B519" s="83" t="s">
        <v>4079</v>
      </c>
      <c r="C519" s="81" t="s">
        <v>4086</v>
      </c>
      <c r="D519" s="83" t="s">
        <v>4348</v>
      </c>
      <c r="E519" s="81" t="s">
        <v>1456</v>
      </c>
      <c r="F519" s="84">
        <v>281.0</v>
      </c>
      <c r="G519" s="81" t="s">
        <v>29</v>
      </c>
      <c r="H519" s="81" t="s">
        <v>4349</v>
      </c>
      <c r="I519" s="81" t="s">
        <v>1461</v>
      </c>
      <c r="J519" s="81" t="s">
        <v>224</v>
      </c>
      <c r="K519" s="81" t="str">
        <f>IFERROR(__xludf.DUMMYFUNCTION("IF(OR(D519="""",G519=""""),"""",IFERROR(LET(
campo,XLOOKUP(TRIM(G519),ARRAYFORMULA(TRIM('indice columnas'!$A$2:$A$100)),'indice columnas'!$B$2:$B$100,""""),
col,IFERROR(MATCH(campo,Referencia!$A$1:$AZ$1,0),0),
fila,IFERROR(MATCH(TO_TEXT(D519),ARRAYFORMULA"&amp;"(TO_TEXT(Referencia!$A$2:$A6238)),0),0),
IF(OR(campo="""",campo=""-""),""NO APLICA"",
IF(col=0,""REVISAR EQUIVALENCIA"",
IF(fila=0,""SKU NO ENCONTRADO"",
LET(
valor,INDEX(Referencia!$A$2:$AZ6238,fila,col),
IF(TRIM(TO_TEXT(valor))=TRIM(TO_TEXT(I519)),
""OK"&amp;""",
""NO COINCIDE. Valor verdadero: ""&amp;IF(valor="""",""[VACÍO]"",TO_TEXT(valor))
)
))))
),""ERROR EN FÓRMULA""))"),"NO COINCIDE. Valor verdadero: 33 x 60 x 2400 (Ancho x Alto x Largo)")</f>
        <v>NO COINCIDE. Valor verdadero: 33 x 60 x 2400 (Ancho x Alto x Largo)</v>
      </c>
    </row>
    <row r="520">
      <c r="A520" s="83" t="s">
        <v>4078</v>
      </c>
      <c r="B520" s="83" t="s">
        <v>4079</v>
      </c>
      <c r="C520" s="81" t="s">
        <v>4086</v>
      </c>
      <c r="D520" s="83" t="s">
        <v>4348</v>
      </c>
      <c r="E520" s="81" t="s">
        <v>1456</v>
      </c>
      <c r="F520" s="84">
        <v>281.0</v>
      </c>
      <c r="G520" s="81" t="s">
        <v>44</v>
      </c>
      <c r="H520" s="81" t="s">
        <v>4339</v>
      </c>
      <c r="I520" s="81" t="s">
        <v>1401</v>
      </c>
      <c r="J520" s="81" t="s">
        <v>4088</v>
      </c>
      <c r="K520" s="81" t="str">
        <f>IFERROR(__xludf.DUMMYFUNCTION("IF(OR(D520="""",G520=""""),"""",IFERROR(LET(
campo,XLOOKUP(TRIM(G520),ARRAYFORMULA(TRIM('indice columnas'!$A$2:$A$100)),'indice columnas'!$B$2:$B$100,""""),
col,IFERROR(MATCH(campo,Referencia!$A$1:$AZ$1,0),0),
fila,IFERROR(MATCH(TO_TEXT(D520),ARRAYFORMULA"&amp;"(TO_TEXT(Referencia!$A$2:$A6238)),0),0),
IF(OR(campo="""",campo=""-""),""NO APLICA"",
IF(col=0,""REVISAR EQUIVALENCIA"",
IF(fila=0,""SKU NO ENCONTRADO"",
LET(
valor,INDEX(Referencia!$A$2:$AZ6238,fila,col),
IF(TRIM(TO_TEXT(valor))=TRIM(TO_TEXT(I520)),
""OK"&amp;""",
""NO COINCIDE. Valor verdadero: ""&amp;IF(valor="""",""[VACÍO]"",TO_TEXT(valor))
)
))))
),""ERROR EN FÓRMULA""))"),"NO APLICA")</f>
        <v>NO APLICA</v>
      </c>
    </row>
    <row r="521">
      <c r="A521" s="83" t="s">
        <v>4078</v>
      </c>
      <c r="B521" s="83" t="s">
        <v>4079</v>
      </c>
      <c r="C521" s="81" t="s">
        <v>4086</v>
      </c>
      <c r="D521" s="83" t="s">
        <v>4350</v>
      </c>
      <c r="E521" s="81" t="s">
        <v>1467</v>
      </c>
      <c r="F521" s="84">
        <v>282.0</v>
      </c>
      <c r="G521" s="81" t="s">
        <v>29</v>
      </c>
      <c r="H521" s="81" t="s">
        <v>4349</v>
      </c>
      <c r="I521" s="81" t="s">
        <v>1461</v>
      </c>
      <c r="J521" s="81" t="s">
        <v>224</v>
      </c>
      <c r="K521" s="81" t="str">
        <f>IFERROR(__xludf.DUMMYFUNCTION("IF(OR(D521="""",G521=""""),"""",IFERROR(LET(
campo,XLOOKUP(TRIM(G521),ARRAYFORMULA(TRIM('indice columnas'!$A$2:$A$100)),'indice columnas'!$B$2:$B$100,""""),
col,IFERROR(MATCH(campo,Referencia!$A$1:$AZ$1,0),0),
fila,IFERROR(MATCH(TO_TEXT(D521),ARRAYFORMULA"&amp;"(TO_TEXT(Referencia!$A$2:$A6238)),0),0),
IF(OR(campo="""",campo=""-""),""NO APLICA"",
IF(col=0,""REVISAR EQUIVALENCIA"",
IF(fila=0,""SKU NO ENCONTRADO"",
LET(
valor,INDEX(Referencia!$A$2:$AZ6238,fila,col),
IF(TRIM(TO_TEXT(valor))=TRIM(TO_TEXT(I521)),
""OK"&amp;""",
""NO COINCIDE. Valor verdadero: ""&amp;IF(valor="""",""[VACÍO]"",TO_TEXT(valor))
)
))))
),""ERROR EN FÓRMULA""))"),"NO COINCIDE. Valor verdadero: 33 x 60 x 2400 (Ancho x Alto x Largo)")</f>
        <v>NO COINCIDE. Valor verdadero: 33 x 60 x 2400 (Ancho x Alto x Largo)</v>
      </c>
    </row>
    <row r="522">
      <c r="A522" s="83" t="s">
        <v>4078</v>
      </c>
      <c r="B522" s="83" t="s">
        <v>4079</v>
      </c>
      <c r="C522" s="81" t="s">
        <v>4086</v>
      </c>
      <c r="D522" s="83" t="s">
        <v>4350</v>
      </c>
      <c r="E522" s="81" t="s">
        <v>1467</v>
      </c>
      <c r="F522" s="84">
        <v>282.0</v>
      </c>
      <c r="G522" s="81" t="s">
        <v>44</v>
      </c>
      <c r="H522" s="81" t="s">
        <v>4339</v>
      </c>
      <c r="I522" s="81" t="s">
        <v>1401</v>
      </c>
      <c r="J522" s="81" t="s">
        <v>4088</v>
      </c>
      <c r="K522" s="81" t="str">
        <f>IFERROR(__xludf.DUMMYFUNCTION("IF(OR(D522="""",G522=""""),"""",IFERROR(LET(
campo,XLOOKUP(TRIM(G522),ARRAYFORMULA(TRIM('indice columnas'!$A$2:$A$100)),'indice columnas'!$B$2:$B$100,""""),
col,IFERROR(MATCH(campo,Referencia!$A$1:$AZ$1,0),0),
fila,IFERROR(MATCH(TO_TEXT(D522),ARRAYFORMULA"&amp;"(TO_TEXT(Referencia!$A$2:$A6238)),0),0),
IF(OR(campo="""",campo=""-""),""NO APLICA"",
IF(col=0,""REVISAR EQUIVALENCIA"",
IF(fila=0,""SKU NO ENCONTRADO"",
LET(
valor,INDEX(Referencia!$A$2:$AZ6238,fila,col),
IF(TRIM(TO_TEXT(valor))=TRIM(TO_TEXT(I522)),
""OK"&amp;""",
""NO COINCIDE. Valor verdadero: ""&amp;IF(valor="""",""[VACÍO]"",TO_TEXT(valor))
)
))))
),""ERROR EN FÓRMULA""))"),"NO APLICA")</f>
        <v>NO APLICA</v>
      </c>
    </row>
    <row r="523">
      <c r="A523" s="83" t="s">
        <v>4078</v>
      </c>
      <c r="B523" s="83" t="s">
        <v>4079</v>
      </c>
      <c r="C523" s="81" t="s">
        <v>4086</v>
      </c>
      <c r="D523" s="83" t="s">
        <v>4351</v>
      </c>
      <c r="E523" s="81" t="s">
        <v>1470</v>
      </c>
      <c r="F523" s="84">
        <v>283.0</v>
      </c>
      <c r="G523" s="81" t="s">
        <v>44</v>
      </c>
      <c r="H523" s="81" t="s">
        <v>224</v>
      </c>
      <c r="I523" s="81" t="s">
        <v>1476</v>
      </c>
      <c r="J523" s="81" t="s">
        <v>4088</v>
      </c>
      <c r="K523" s="81" t="str">
        <f>IFERROR(__xludf.DUMMYFUNCTION("IF(OR(D523="""",G523=""""),"""",IFERROR(LET(
campo,XLOOKUP(TRIM(G523),ARRAYFORMULA(TRIM('indice columnas'!$A$2:$A$100)),'indice columnas'!$B$2:$B$100,""""),
col,IFERROR(MATCH(campo,Referencia!$A$1:$AZ$1,0),0),
fila,IFERROR(MATCH(TO_TEXT(D523),ARRAYFORMULA"&amp;"(TO_TEXT(Referencia!$A$2:$A6238)),0),0),
IF(OR(campo="""",campo=""-""),""NO APLICA"",
IF(col=0,""REVISAR EQUIVALENCIA"",
IF(fila=0,""SKU NO ENCONTRADO"",
LET(
valor,INDEX(Referencia!$A$2:$AZ6238,fila,col),
IF(TRIM(TO_TEXT(valor))=TRIM(TO_TEXT(I523)),
""OK"&amp;""",
""NO COINCIDE. Valor verdadero: ""&amp;IF(valor="""",""[VACÍO]"",TO_TEXT(valor))
)
))))
),""ERROR EN FÓRMULA""))"),"NO APLICA")</f>
        <v>NO APLICA</v>
      </c>
    </row>
    <row r="524">
      <c r="A524" s="83" t="s">
        <v>4078</v>
      </c>
      <c r="B524" s="83" t="s">
        <v>4079</v>
      </c>
      <c r="C524" s="81" t="s">
        <v>4086</v>
      </c>
      <c r="D524" s="83" t="s">
        <v>4351</v>
      </c>
      <c r="E524" s="81" t="s">
        <v>1474</v>
      </c>
      <c r="F524" s="84">
        <v>284.0</v>
      </c>
      <c r="G524" s="81" t="s">
        <v>7</v>
      </c>
      <c r="H524" s="81" t="s">
        <v>53</v>
      </c>
      <c r="I524" s="81" t="s">
        <v>1134</v>
      </c>
      <c r="J524" s="81" t="s">
        <v>224</v>
      </c>
      <c r="K524" s="81" t="str">
        <f>IFERROR(__xludf.DUMMYFUNCTION("IF(OR(D524="""",G524=""""),"""",IFERROR(LET(
campo,XLOOKUP(TRIM(G524),ARRAYFORMULA(TRIM('indice columnas'!$A$2:$A$100)),'indice columnas'!$B$2:$B$100,""""),
col,IFERROR(MATCH(campo,Referencia!$A$1:$AZ$1,0),0),
fila,IFERROR(MATCH(TO_TEXT(D524),ARRAYFORMULA"&amp;"(TO_TEXT(Referencia!$A$2:$A6238)),0),0),
IF(OR(campo="""",campo=""-""),""NO APLICA"",
IF(col=0,""REVISAR EQUIVALENCIA"",
IF(fila=0,""SKU NO ENCONTRADO"",
LET(
valor,INDEX(Referencia!$A$2:$AZ6238,fila,col),
IF(TRIM(TO_TEXT(valor))=TRIM(TO_TEXT(I524)),
""OK"&amp;""",
""NO COINCIDE. Valor verdadero: ""&amp;IF(valor="""",""[VACÍO]"",TO_TEXT(valor))
)
))))
),""ERROR EN FÓRMULA""))"),"REVISAR EQUIVALENCIA")</f>
        <v>REVISAR EQUIVALENCIA</v>
      </c>
    </row>
    <row r="525">
      <c r="A525" s="83" t="s">
        <v>4078</v>
      </c>
      <c r="B525" s="83" t="s">
        <v>4079</v>
      </c>
      <c r="C525" s="81" t="s">
        <v>4086</v>
      </c>
      <c r="D525" s="83" t="s">
        <v>4351</v>
      </c>
      <c r="E525" s="81" t="s">
        <v>1474</v>
      </c>
      <c r="F525" s="84">
        <v>284.0</v>
      </c>
      <c r="G525" s="81" t="s">
        <v>12</v>
      </c>
      <c r="H525" s="81" t="s">
        <v>224</v>
      </c>
      <c r="I525" s="81" t="s">
        <v>55</v>
      </c>
      <c r="J525" s="81" t="s">
        <v>224</v>
      </c>
      <c r="K525" s="81" t="str">
        <f>IFERROR(__xludf.DUMMYFUNCTION("IF(OR(D525="""",G525=""""),"""",IFERROR(LET(
campo,XLOOKUP(TRIM(G525),ARRAYFORMULA(TRIM('indice columnas'!$A$2:$A$100)),'indice columnas'!$B$2:$B$100,""""),
col,IFERROR(MATCH(campo,Referencia!$A$1:$AZ$1,0),0),
fila,IFERROR(MATCH(TO_TEXT(D525),ARRAYFORMULA"&amp;"(TO_TEXT(Referencia!$A$2:$A6238)),0),0),
IF(OR(campo="""",campo=""-""),""NO APLICA"",
IF(col=0,""REVISAR EQUIVALENCIA"",
IF(fila=0,""SKU NO ENCONTRADO"",
LET(
valor,INDEX(Referencia!$A$2:$AZ6238,fila,col),
IF(TRIM(TO_TEXT(valor))=TRIM(TO_TEXT(I525)),
""OK"&amp;""",
""NO COINCIDE. Valor verdadero: ""&amp;IF(valor="""",""[VACÍO]"",TO_TEXT(valor))
)
))))
),""ERROR EN FÓRMULA""))"),"OK")</f>
        <v>OK</v>
      </c>
    </row>
    <row r="526">
      <c r="A526" s="83" t="s">
        <v>4078</v>
      </c>
      <c r="B526" s="83" t="s">
        <v>4079</v>
      </c>
      <c r="C526" s="81" t="s">
        <v>4086</v>
      </c>
      <c r="D526" s="83" t="s">
        <v>4351</v>
      </c>
      <c r="E526" s="81" t="s">
        <v>1474</v>
      </c>
      <c r="F526" s="84">
        <v>284.0</v>
      </c>
      <c r="G526" s="81" t="s">
        <v>29</v>
      </c>
      <c r="H526" s="81" t="s">
        <v>4352</v>
      </c>
      <c r="I526" s="81" t="s">
        <v>1475</v>
      </c>
      <c r="J526" s="81" t="s">
        <v>224</v>
      </c>
      <c r="K526" s="81" t="str">
        <f>IFERROR(__xludf.DUMMYFUNCTION("IF(OR(D526="""",G526=""""),"""",IFERROR(LET(
campo,XLOOKUP(TRIM(G526),ARRAYFORMULA(TRIM('indice columnas'!$A$2:$A$100)),'indice columnas'!$B$2:$B$100,""""),
col,IFERROR(MATCH(campo,Referencia!$A$1:$AZ$1,0),0),
fila,IFERROR(MATCH(TO_TEXT(D526),ARRAYFORMULA"&amp;"(TO_TEXT(Referencia!$A$2:$A6238)),0),0),
IF(OR(campo="""",campo=""-""),""NO APLICA"",
IF(col=0,""REVISAR EQUIVALENCIA"",
IF(fila=0,""SKU NO ENCONTRADO"",
LET(
valor,INDEX(Referencia!$A$2:$AZ6238,fila,col),
IF(TRIM(TO_TEXT(valor))=TRIM(TO_TEXT(I526)),
""OK"&amp;""",
""NO COINCIDE. Valor verdadero: ""&amp;IF(valor="""",""[VACÍO]"",TO_TEXT(valor))
)
))))
),""ERROR EN FÓRMULA""))"),"NO COINCIDE. Valor verdadero: 33 x 60 x 1000 (Ancho x Alto x Largo)")</f>
        <v>NO COINCIDE. Valor verdadero: 33 x 60 x 1000 (Ancho x Alto x Largo)</v>
      </c>
    </row>
    <row r="527">
      <c r="A527" s="83" t="s">
        <v>4078</v>
      </c>
      <c r="B527" s="83" t="s">
        <v>4079</v>
      </c>
      <c r="C527" s="81" t="s">
        <v>4086</v>
      </c>
      <c r="D527" s="83" t="s">
        <v>4351</v>
      </c>
      <c r="E527" s="81" t="s">
        <v>1474</v>
      </c>
      <c r="F527" s="84">
        <v>284.0</v>
      </c>
      <c r="G527" s="81" t="s">
        <v>44</v>
      </c>
      <c r="H527" s="81" t="s">
        <v>224</v>
      </c>
      <c r="I527" s="81" t="s">
        <v>1476</v>
      </c>
      <c r="J527" s="81" t="s">
        <v>4088</v>
      </c>
      <c r="K527" s="81" t="str">
        <f>IFERROR(__xludf.DUMMYFUNCTION("IF(OR(D527="""",G527=""""),"""",IFERROR(LET(
campo,XLOOKUP(TRIM(G527),ARRAYFORMULA(TRIM('indice columnas'!$A$2:$A$100)),'indice columnas'!$B$2:$B$100,""""),
col,IFERROR(MATCH(campo,Referencia!$A$1:$AZ$1,0),0),
fila,IFERROR(MATCH(TO_TEXT(D527),ARRAYFORMULA"&amp;"(TO_TEXT(Referencia!$A$2:$A6238)),0),0),
IF(OR(campo="""",campo=""-""),""NO APLICA"",
IF(col=0,""REVISAR EQUIVALENCIA"",
IF(fila=0,""SKU NO ENCONTRADO"",
LET(
valor,INDEX(Referencia!$A$2:$AZ6238,fila,col),
IF(TRIM(TO_TEXT(valor))=TRIM(TO_TEXT(I527)),
""OK"&amp;""",
""NO COINCIDE. Valor verdadero: ""&amp;IF(valor="""",""[VACÍO]"",TO_TEXT(valor))
)
))))
),""ERROR EN FÓRMULA""))"),"NO APLICA")</f>
        <v>NO APLICA</v>
      </c>
    </row>
    <row r="528">
      <c r="A528" s="83" t="s">
        <v>4078</v>
      </c>
      <c r="B528" s="83" t="s">
        <v>4079</v>
      </c>
      <c r="C528" s="81" t="s">
        <v>4086</v>
      </c>
      <c r="D528" s="83" t="s">
        <v>4353</v>
      </c>
      <c r="E528" s="81" t="s">
        <v>1477</v>
      </c>
      <c r="F528" s="84">
        <v>285.0</v>
      </c>
      <c r="G528" s="81" t="s">
        <v>7</v>
      </c>
      <c r="H528" s="81" t="s">
        <v>53</v>
      </c>
      <c r="I528" s="81" t="s">
        <v>1134</v>
      </c>
      <c r="J528" s="81" t="s">
        <v>224</v>
      </c>
      <c r="K528" s="81" t="str">
        <f>IFERROR(__xludf.DUMMYFUNCTION("IF(OR(D528="""",G528=""""),"""",IFERROR(LET(
campo,XLOOKUP(TRIM(G528),ARRAYFORMULA(TRIM('indice columnas'!$A$2:$A$100)),'indice columnas'!$B$2:$B$100,""""),
col,IFERROR(MATCH(campo,Referencia!$A$1:$AZ$1,0),0),
fila,IFERROR(MATCH(TO_TEXT(D528),ARRAYFORMULA"&amp;"(TO_TEXT(Referencia!$A$2:$A6238)),0),0),
IF(OR(campo="""",campo=""-""),""NO APLICA"",
IF(col=0,""REVISAR EQUIVALENCIA"",
IF(fila=0,""SKU NO ENCONTRADO"",
LET(
valor,INDEX(Referencia!$A$2:$AZ6238,fila,col),
IF(TRIM(TO_TEXT(valor))=TRIM(TO_TEXT(I528)),
""OK"&amp;""",
""NO COINCIDE. Valor verdadero: ""&amp;IF(valor="""",""[VACÍO]"",TO_TEXT(valor))
)
))))
),""ERROR EN FÓRMULA""))"),"REVISAR EQUIVALENCIA")</f>
        <v>REVISAR EQUIVALENCIA</v>
      </c>
    </row>
    <row r="529">
      <c r="A529" s="83" t="s">
        <v>4078</v>
      </c>
      <c r="B529" s="83" t="s">
        <v>4079</v>
      </c>
      <c r="C529" s="81" t="s">
        <v>4086</v>
      </c>
      <c r="D529" s="83" t="s">
        <v>4353</v>
      </c>
      <c r="E529" s="81" t="s">
        <v>1477</v>
      </c>
      <c r="F529" s="84">
        <v>285.0</v>
      </c>
      <c r="G529" s="81" t="s">
        <v>12</v>
      </c>
      <c r="H529" s="81" t="s">
        <v>224</v>
      </c>
      <c r="I529" s="81" t="s">
        <v>55</v>
      </c>
      <c r="J529" s="81" t="s">
        <v>224</v>
      </c>
      <c r="K529" s="81" t="str">
        <f>IFERROR(__xludf.DUMMYFUNCTION("IF(OR(D529="""",G529=""""),"""",IFERROR(LET(
campo,XLOOKUP(TRIM(G529),ARRAYFORMULA(TRIM('indice columnas'!$A$2:$A$100)),'indice columnas'!$B$2:$B$100,""""),
col,IFERROR(MATCH(campo,Referencia!$A$1:$AZ$1,0),0),
fila,IFERROR(MATCH(TO_TEXT(D529),ARRAYFORMULA"&amp;"(TO_TEXT(Referencia!$A$2:$A6238)),0),0),
IF(OR(campo="""",campo=""-""),""NO APLICA"",
IF(col=0,""REVISAR EQUIVALENCIA"",
IF(fila=0,""SKU NO ENCONTRADO"",
LET(
valor,INDEX(Referencia!$A$2:$AZ6238,fila,col),
IF(TRIM(TO_TEXT(valor))=TRIM(TO_TEXT(I529)),
""OK"&amp;""",
""NO COINCIDE. Valor verdadero: ""&amp;IF(valor="""",""[VACÍO]"",TO_TEXT(valor))
)
))))
),""ERROR EN FÓRMULA""))"),"OK")</f>
        <v>OK</v>
      </c>
    </row>
    <row r="530">
      <c r="A530" s="83" t="s">
        <v>4078</v>
      </c>
      <c r="B530" s="83" t="s">
        <v>4079</v>
      </c>
      <c r="C530" s="81" t="s">
        <v>4086</v>
      </c>
      <c r="D530" s="83" t="s">
        <v>4353</v>
      </c>
      <c r="E530" s="81" t="s">
        <v>1477</v>
      </c>
      <c r="F530" s="84">
        <v>285.0</v>
      </c>
      <c r="G530" s="81" t="s">
        <v>29</v>
      </c>
      <c r="H530" s="81" t="s">
        <v>4352</v>
      </c>
      <c r="I530" s="81" t="s">
        <v>1475</v>
      </c>
      <c r="J530" s="81" t="s">
        <v>224</v>
      </c>
      <c r="K530" s="81" t="str">
        <f>IFERROR(__xludf.DUMMYFUNCTION("IF(OR(D530="""",G530=""""),"""",IFERROR(LET(
campo,XLOOKUP(TRIM(G530),ARRAYFORMULA(TRIM('indice columnas'!$A$2:$A$100)),'indice columnas'!$B$2:$B$100,""""),
col,IFERROR(MATCH(campo,Referencia!$A$1:$AZ$1,0),0),
fila,IFERROR(MATCH(TO_TEXT(D530),ARRAYFORMULA"&amp;"(TO_TEXT(Referencia!$A$2:$A6238)),0),0),
IF(OR(campo="""",campo=""-""),""NO APLICA"",
IF(col=0,""REVISAR EQUIVALENCIA"",
IF(fila=0,""SKU NO ENCONTRADO"",
LET(
valor,INDEX(Referencia!$A$2:$AZ6238,fila,col),
IF(TRIM(TO_TEXT(valor))=TRIM(TO_TEXT(I530)),
""OK"&amp;""",
""NO COINCIDE. Valor verdadero: ""&amp;IF(valor="""",""[VACÍO]"",TO_TEXT(valor))
)
))))
),""ERROR EN FÓRMULA""))"),"NO COINCIDE. Valor verdadero: 33 x 60 x 1000 (Ancho x Alto x Largo)")</f>
        <v>NO COINCIDE. Valor verdadero: 33 x 60 x 1000 (Ancho x Alto x Largo)</v>
      </c>
    </row>
    <row r="531">
      <c r="A531" s="83" t="s">
        <v>4078</v>
      </c>
      <c r="B531" s="83" t="s">
        <v>4079</v>
      </c>
      <c r="C531" s="81" t="s">
        <v>4086</v>
      </c>
      <c r="D531" s="83" t="s">
        <v>4353</v>
      </c>
      <c r="E531" s="81" t="s">
        <v>1477</v>
      </c>
      <c r="F531" s="84">
        <v>285.0</v>
      </c>
      <c r="G531" s="81" t="s">
        <v>44</v>
      </c>
      <c r="H531" s="81" t="s">
        <v>224</v>
      </c>
      <c r="I531" s="81" t="s">
        <v>1476</v>
      </c>
      <c r="J531" s="81" t="s">
        <v>4088</v>
      </c>
      <c r="K531" s="81" t="str">
        <f>IFERROR(__xludf.DUMMYFUNCTION("IF(OR(D531="""",G531=""""),"""",IFERROR(LET(
campo,XLOOKUP(TRIM(G531),ARRAYFORMULA(TRIM('indice columnas'!$A$2:$A$100)),'indice columnas'!$B$2:$B$100,""""),
col,IFERROR(MATCH(campo,Referencia!$A$1:$AZ$1,0),0),
fila,IFERROR(MATCH(TO_TEXT(D531),ARRAYFORMULA"&amp;"(TO_TEXT(Referencia!$A$2:$A6238)),0),0),
IF(OR(campo="""",campo=""-""),""NO APLICA"",
IF(col=0,""REVISAR EQUIVALENCIA"",
IF(fila=0,""SKU NO ENCONTRADO"",
LET(
valor,INDEX(Referencia!$A$2:$AZ6238,fila,col),
IF(TRIM(TO_TEXT(valor))=TRIM(TO_TEXT(I531)),
""OK"&amp;""",
""NO COINCIDE. Valor verdadero: ""&amp;IF(valor="""",""[VACÍO]"",TO_TEXT(valor))
)
))))
),""ERROR EN FÓRMULA""))"),"NO APLICA")</f>
        <v>NO APLICA</v>
      </c>
    </row>
    <row r="532">
      <c r="A532" s="83" t="s">
        <v>4078</v>
      </c>
      <c r="B532" s="83" t="s">
        <v>4079</v>
      </c>
      <c r="C532" s="81" t="s">
        <v>4086</v>
      </c>
      <c r="D532" s="83" t="s">
        <v>4354</v>
      </c>
      <c r="E532" s="81" t="s">
        <v>1480</v>
      </c>
      <c r="F532" s="84">
        <v>286.0</v>
      </c>
      <c r="G532" s="81" t="s">
        <v>12</v>
      </c>
      <c r="H532" s="81" t="s">
        <v>224</v>
      </c>
      <c r="I532" s="81" t="s">
        <v>55</v>
      </c>
      <c r="J532" s="81" t="s">
        <v>224</v>
      </c>
      <c r="K532" s="81" t="str">
        <f>IFERROR(__xludf.DUMMYFUNCTION("IF(OR(D532="""",G532=""""),"""",IFERROR(LET(
campo,XLOOKUP(TRIM(G532),ARRAYFORMULA(TRIM('indice columnas'!$A$2:$A$100)),'indice columnas'!$B$2:$B$100,""""),
col,IFERROR(MATCH(campo,Referencia!$A$1:$AZ$1,0),0),
fila,IFERROR(MATCH(TO_TEXT(D532),ARRAYFORMULA"&amp;"(TO_TEXT(Referencia!$A$2:$A6238)),0),0),
IF(OR(campo="""",campo=""-""),""NO APLICA"",
IF(col=0,""REVISAR EQUIVALENCIA"",
IF(fila=0,""SKU NO ENCONTRADO"",
LET(
valor,INDEX(Referencia!$A$2:$AZ6238,fila,col),
IF(TRIM(TO_TEXT(valor))=TRIM(TO_TEXT(I532)),
""OK"&amp;""",
""NO COINCIDE. Valor verdadero: ""&amp;IF(valor="""",""[VACÍO]"",TO_TEXT(valor))
)
))))
),""ERROR EN FÓRMULA""))"),"OK")</f>
        <v>OK</v>
      </c>
    </row>
    <row r="533">
      <c r="A533" s="83" t="s">
        <v>4078</v>
      </c>
      <c r="B533" s="83" t="s">
        <v>4079</v>
      </c>
      <c r="C533" s="81" t="s">
        <v>4086</v>
      </c>
      <c r="D533" s="83" t="s">
        <v>4354</v>
      </c>
      <c r="E533" s="81" t="s">
        <v>1480</v>
      </c>
      <c r="F533" s="84">
        <v>286.0</v>
      </c>
      <c r="G533" s="81" t="s">
        <v>44</v>
      </c>
      <c r="H533" s="81" t="s">
        <v>224</v>
      </c>
      <c r="I533" s="81" t="s">
        <v>1401</v>
      </c>
      <c r="J533" s="81" t="s">
        <v>4088</v>
      </c>
      <c r="K533" s="81" t="str">
        <f>IFERROR(__xludf.DUMMYFUNCTION("IF(OR(D533="""",G533=""""),"""",IFERROR(LET(
campo,XLOOKUP(TRIM(G533),ARRAYFORMULA(TRIM('indice columnas'!$A$2:$A$100)),'indice columnas'!$B$2:$B$100,""""),
col,IFERROR(MATCH(campo,Referencia!$A$1:$AZ$1,0),0),
fila,IFERROR(MATCH(TO_TEXT(D533),ARRAYFORMULA"&amp;"(TO_TEXT(Referencia!$A$2:$A6238)),0),0),
IF(OR(campo="""",campo=""-""),""NO APLICA"",
IF(col=0,""REVISAR EQUIVALENCIA"",
IF(fila=0,""SKU NO ENCONTRADO"",
LET(
valor,INDEX(Referencia!$A$2:$AZ6238,fila,col),
IF(TRIM(TO_TEXT(valor))=TRIM(TO_TEXT(I533)),
""OK"&amp;""",
""NO COINCIDE. Valor verdadero: ""&amp;IF(valor="""",""[VACÍO]"",TO_TEXT(valor))
)
))))
),""ERROR EN FÓRMULA""))"),"NO APLICA")</f>
        <v>NO APLICA</v>
      </c>
    </row>
    <row r="534">
      <c r="A534" s="83" t="s">
        <v>4078</v>
      </c>
      <c r="B534" s="83" t="s">
        <v>4079</v>
      </c>
      <c r="C534" s="81" t="s">
        <v>4086</v>
      </c>
      <c r="D534" s="83" t="s">
        <v>4355</v>
      </c>
      <c r="E534" s="81" t="s">
        <v>1483</v>
      </c>
      <c r="F534" s="84">
        <v>287.0</v>
      </c>
      <c r="G534" s="81" t="s">
        <v>12</v>
      </c>
      <c r="H534" s="81" t="s">
        <v>224</v>
      </c>
      <c r="I534" s="81" t="s">
        <v>55</v>
      </c>
      <c r="J534" s="81" t="s">
        <v>224</v>
      </c>
      <c r="K534" s="81" t="str">
        <f>IFERROR(__xludf.DUMMYFUNCTION("IF(OR(D534="""",G534=""""),"""",IFERROR(LET(
campo,XLOOKUP(TRIM(G534),ARRAYFORMULA(TRIM('indice columnas'!$A$2:$A$100)),'indice columnas'!$B$2:$B$100,""""),
col,IFERROR(MATCH(campo,Referencia!$A$1:$AZ$1,0),0),
fila,IFERROR(MATCH(TO_TEXT(D534),ARRAYFORMULA"&amp;"(TO_TEXT(Referencia!$A$2:$A6238)),0),0),
IF(OR(campo="""",campo=""-""),""NO APLICA"",
IF(col=0,""REVISAR EQUIVALENCIA"",
IF(fila=0,""SKU NO ENCONTRADO"",
LET(
valor,INDEX(Referencia!$A$2:$AZ6238,fila,col),
IF(TRIM(TO_TEXT(valor))=TRIM(TO_TEXT(I534)),
""OK"&amp;""",
""NO COINCIDE. Valor verdadero: ""&amp;IF(valor="""",""[VACÍO]"",TO_TEXT(valor))
)
))))
),""ERROR EN FÓRMULA""))"),"OK")</f>
        <v>OK</v>
      </c>
    </row>
    <row r="535">
      <c r="A535" s="83" t="s">
        <v>4078</v>
      </c>
      <c r="B535" s="83" t="s">
        <v>4079</v>
      </c>
      <c r="C535" s="81" t="s">
        <v>4086</v>
      </c>
      <c r="D535" s="83" t="s">
        <v>4355</v>
      </c>
      <c r="E535" s="81" t="s">
        <v>1483</v>
      </c>
      <c r="F535" s="84">
        <v>287.0</v>
      </c>
      <c r="G535" s="81" t="s">
        <v>44</v>
      </c>
      <c r="H535" s="81" t="s">
        <v>224</v>
      </c>
      <c r="I535" s="81" t="s">
        <v>1401</v>
      </c>
      <c r="J535" s="81" t="s">
        <v>4088</v>
      </c>
      <c r="K535" s="81" t="str">
        <f>IFERROR(__xludf.DUMMYFUNCTION("IF(OR(D535="""",G535=""""),"""",IFERROR(LET(
campo,XLOOKUP(TRIM(G535),ARRAYFORMULA(TRIM('indice columnas'!$A$2:$A$100)),'indice columnas'!$B$2:$B$100,""""),
col,IFERROR(MATCH(campo,Referencia!$A$1:$AZ$1,0),0),
fila,IFERROR(MATCH(TO_TEXT(D535),ARRAYFORMULA"&amp;"(TO_TEXT(Referencia!$A$2:$A6238)),0),0),
IF(OR(campo="""",campo=""-""),""NO APLICA"",
IF(col=0,""REVISAR EQUIVALENCIA"",
IF(fila=0,""SKU NO ENCONTRADO"",
LET(
valor,INDEX(Referencia!$A$2:$AZ6238,fila,col),
IF(TRIM(TO_TEXT(valor))=TRIM(TO_TEXT(I535)),
""OK"&amp;""",
""NO COINCIDE. Valor verdadero: ""&amp;IF(valor="""",""[VACÍO]"",TO_TEXT(valor))
)
))))
),""ERROR EN FÓRMULA""))"),"NO APLICA")</f>
        <v>NO APLICA</v>
      </c>
    </row>
    <row r="536">
      <c r="A536" s="83" t="s">
        <v>4078</v>
      </c>
      <c r="B536" s="83" t="s">
        <v>4079</v>
      </c>
      <c r="C536" s="81" t="s">
        <v>4086</v>
      </c>
      <c r="D536" s="83" t="s">
        <v>4356</v>
      </c>
      <c r="E536" s="81" t="s">
        <v>1486</v>
      </c>
      <c r="F536" s="84">
        <v>288.0</v>
      </c>
      <c r="G536" s="81" t="s">
        <v>12</v>
      </c>
      <c r="H536" s="81" t="s">
        <v>224</v>
      </c>
      <c r="I536" s="81" t="s">
        <v>55</v>
      </c>
      <c r="J536" s="81" t="s">
        <v>224</v>
      </c>
      <c r="K536" s="81" t="str">
        <f>IFERROR(__xludf.DUMMYFUNCTION("IF(OR(D536="""",G536=""""),"""",IFERROR(LET(
campo,XLOOKUP(TRIM(G536),ARRAYFORMULA(TRIM('indice columnas'!$A$2:$A$100)),'indice columnas'!$B$2:$B$100,""""),
col,IFERROR(MATCH(campo,Referencia!$A$1:$AZ$1,0),0),
fila,IFERROR(MATCH(TO_TEXT(D536),ARRAYFORMULA"&amp;"(TO_TEXT(Referencia!$A$2:$A6238)),0),0),
IF(OR(campo="""",campo=""-""),""NO APLICA"",
IF(col=0,""REVISAR EQUIVALENCIA"",
IF(fila=0,""SKU NO ENCONTRADO"",
LET(
valor,INDEX(Referencia!$A$2:$AZ6238,fila,col),
IF(TRIM(TO_TEXT(valor))=TRIM(TO_TEXT(I536)),
""OK"&amp;""",
""NO COINCIDE. Valor verdadero: ""&amp;IF(valor="""",""[VACÍO]"",TO_TEXT(valor))
)
))))
),""ERROR EN FÓRMULA""))"),"OK")</f>
        <v>OK</v>
      </c>
    </row>
    <row r="537">
      <c r="A537" s="83" t="s">
        <v>4078</v>
      </c>
      <c r="B537" s="83" t="s">
        <v>4079</v>
      </c>
      <c r="C537" s="81" t="s">
        <v>4086</v>
      </c>
      <c r="D537" s="83" t="s">
        <v>4356</v>
      </c>
      <c r="E537" s="81" t="s">
        <v>1486</v>
      </c>
      <c r="F537" s="84">
        <v>288.0</v>
      </c>
      <c r="G537" s="81" t="s">
        <v>44</v>
      </c>
      <c r="H537" s="81" t="s">
        <v>224</v>
      </c>
      <c r="I537" s="81" t="s">
        <v>1401</v>
      </c>
      <c r="J537" s="81" t="s">
        <v>4088</v>
      </c>
      <c r="K537" s="81" t="str">
        <f>IFERROR(__xludf.DUMMYFUNCTION("IF(OR(D537="""",G537=""""),"""",IFERROR(LET(
campo,XLOOKUP(TRIM(G537),ARRAYFORMULA(TRIM('indice columnas'!$A$2:$A$100)),'indice columnas'!$B$2:$B$100,""""),
col,IFERROR(MATCH(campo,Referencia!$A$1:$AZ$1,0),0),
fila,IFERROR(MATCH(TO_TEXT(D537),ARRAYFORMULA"&amp;"(TO_TEXT(Referencia!$A$2:$A6238)),0),0),
IF(OR(campo="""",campo=""-""),""NO APLICA"",
IF(col=0,""REVISAR EQUIVALENCIA"",
IF(fila=0,""SKU NO ENCONTRADO"",
LET(
valor,INDEX(Referencia!$A$2:$AZ6238,fila,col),
IF(TRIM(TO_TEXT(valor))=TRIM(TO_TEXT(I537)),
""OK"&amp;""",
""NO COINCIDE. Valor verdadero: ""&amp;IF(valor="""",""[VACÍO]"",TO_TEXT(valor))
)
))))
),""ERROR EN FÓRMULA""))"),"NO APLICA")</f>
        <v>NO APLICA</v>
      </c>
    </row>
    <row r="538">
      <c r="A538" s="83" t="s">
        <v>4078</v>
      </c>
      <c r="B538" s="83" t="s">
        <v>4079</v>
      </c>
      <c r="C538" s="81" t="s">
        <v>4086</v>
      </c>
      <c r="D538" s="83" t="s">
        <v>4357</v>
      </c>
      <c r="E538" s="81" t="s">
        <v>1489</v>
      </c>
      <c r="F538" s="84">
        <v>289.0</v>
      </c>
      <c r="G538" s="81" t="s">
        <v>44</v>
      </c>
      <c r="H538" s="81" t="s">
        <v>4339</v>
      </c>
      <c r="I538" s="81" t="s">
        <v>1401</v>
      </c>
      <c r="J538" s="81" t="s">
        <v>4088</v>
      </c>
      <c r="K538" s="81" t="str">
        <f>IFERROR(__xludf.DUMMYFUNCTION("IF(OR(D538="""",G538=""""),"""",IFERROR(LET(
campo,XLOOKUP(TRIM(G538),ARRAYFORMULA(TRIM('indice columnas'!$A$2:$A$100)),'indice columnas'!$B$2:$B$100,""""),
col,IFERROR(MATCH(campo,Referencia!$A$1:$AZ$1,0),0),
fila,IFERROR(MATCH(TO_TEXT(D538),ARRAYFORMULA"&amp;"(TO_TEXT(Referencia!$A$2:$A6238)),0),0),
IF(OR(campo="""",campo=""-""),""NO APLICA"",
IF(col=0,""REVISAR EQUIVALENCIA"",
IF(fila=0,""SKU NO ENCONTRADO"",
LET(
valor,INDEX(Referencia!$A$2:$AZ6238,fila,col),
IF(TRIM(TO_TEXT(valor))=TRIM(TO_TEXT(I538)),
""OK"&amp;""",
""NO COINCIDE. Valor verdadero: ""&amp;IF(valor="""",""[VACÍO]"",TO_TEXT(valor))
)
))))
),""ERROR EN FÓRMULA""))"),"NO APLICA")</f>
        <v>NO APLICA</v>
      </c>
    </row>
    <row r="539">
      <c r="A539" s="83" t="s">
        <v>4078</v>
      </c>
      <c r="B539" s="83" t="s">
        <v>4079</v>
      </c>
      <c r="C539" s="81" t="s">
        <v>4086</v>
      </c>
      <c r="D539" s="83" t="s">
        <v>4357</v>
      </c>
      <c r="E539" s="81" t="s">
        <v>1501</v>
      </c>
      <c r="F539" s="84">
        <v>290.0</v>
      </c>
      <c r="G539" s="81" t="s">
        <v>44</v>
      </c>
      <c r="H539" s="81" t="s">
        <v>4339</v>
      </c>
      <c r="I539" s="81" t="s">
        <v>1401</v>
      </c>
      <c r="J539" s="81" t="s">
        <v>4088</v>
      </c>
      <c r="K539" s="81" t="str">
        <f>IFERROR(__xludf.DUMMYFUNCTION("IF(OR(D539="""",G539=""""),"""",IFERROR(LET(
campo,XLOOKUP(TRIM(G539),ARRAYFORMULA(TRIM('indice columnas'!$A$2:$A$100)),'indice columnas'!$B$2:$B$100,""""),
col,IFERROR(MATCH(campo,Referencia!$A$1:$AZ$1,0),0),
fila,IFERROR(MATCH(TO_TEXT(D539),ARRAYFORMULA"&amp;"(TO_TEXT(Referencia!$A$2:$A6238)),0),0),
IF(OR(campo="""",campo=""-""),""NO APLICA"",
IF(col=0,""REVISAR EQUIVALENCIA"",
IF(fila=0,""SKU NO ENCONTRADO"",
LET(
valor,INDEX(Referencia!$A$2:$AZ6238,fila,col),
IF(TRIM(TO_TEXT(valor))=TRIM(TO_TEXT(I539)),
""OK"&amp;""",
""NO COINCIDE. Valor verdadero: ""&amp;IF(valor="""",""[VACÍO]"",TO_TEXT(valor))
)
))))
),""ERROR EN FÓRMULA""))"),"NO APLICA")</f>
        <v>NO APLICA</v>
      </c>
    </row>
    <row r="540">
      <c r="A540" s="83" t="s">
        <v>4078</v>
      </c>
      <c r="B540" s="83" t="s">
        <v>4079</v>
      </c>
      <c r="C540" s="81" t="s">
        <v>4086</v>
      </c>
      <c r="D540" s="83" t="s">
        <v>4358</v>
      </c>
      <c r="E540" s="81" t="s">
        <v>1502</v>
      </c>
      <c r="F540" s="84">
        <v>291.0</v>
      </c>
      <c r="G540" s="81" t="s">
        <v>44</v>
      </c>
      <c r="H540" s="81" t="s">
        <v>4339</v>
      </c>
      <c r="I540" s="81" t="s">
        <v>1401</v>
      </c>
      <c r="J540" s="81" t="s">
        <v>4088</v>
      </c>
      <c r="K540" s="81" t="str">
        <f>IFERROR(__xludf.DUMMYFUNCTION("IF(OR(D540="""",G540=""""),"""",IFERROR(LET(
campo,XLOOKUP(TRIM(G540),ARRAYFORMULA(TRIM('indice columnas'!$A$2:$A$100)),'indice columnas'!$B$2:$B$100,""""),
col,IFERROR(MATCH(campo,Referencia!$A$1:$AZ$1,0),0),
fila,IFERROR(MATCH(TO_TEXT(D540),ARRAYFORMULA"&amp;"(TO_TEXT(Referencia!$A$2:$A6238)),0),0),
IF(OR(campo="""",campo=""-""),""NO APLICA"",
IF(col=0,""REVISAR EQUIVALENCIA"",
IF(fila=0,""SKU NO ENCONTRADO"",
LET(
valor,INDEX(Referencia!$A$2:$AZ6238,fila,col),
IF(TRIM(TO_TEXT(valor))=TRIM(TO_TEXT(I540)),
""OK"&amp;""",
""NO COINCIDE. Valor verdadero: ""&amp;IF(valor="""",""[VACÍO]"",TO_TEXT(valor))
)
))))
),""ERROR EN FÓRMULA""))"),"NO APLICA")</f>
        <v>NO APLICA</v>
      </c>
    </row>
    <row r="541">
      <c r="A541" s="83" t="s">
        <v>4078</v>
      </c>
      <c r="B541" s="83" t="s">
        <v>4079</v>
      </c>
      <c r="C541" s="81" t="s">
        <v>4086</v>
      </c>
      <c r="D541" s="83" t="s">
        <v>4359</v>
      </c>
      <c r="E541" s="81" t="s">
        <v>1505</v>
      </c>
      <c r="F541" s="84">
        <v>292.0</v>
      </c>
      <c r="G541" s="81" t="s">
        <v>44</v>
      </c>
      <c r="H541" s="81" t="s">
        <v>4339</v>
      </c>
      <c r="I541" s="81" t="s">
        <v>1401</v>
      </c>
      <c r="J541" s="81" t="s">
        <v>4088</v>
      </c>
      <c r="K541" s="81" t="str">
        <f>IFERROR(__xludf.DUMMYFUNCTION("IF(OR(D541="""",G541=""""),"""",IFERROR(LET(
campo,XLOOKUP(TRIM(G541),ARRAYFORMULA(TRIM('indice columnas'!$A$2:$A$100)),'indice columnas'!$B$2:$B$100,""""),
col,IFERROR(MATCH(campo,Referencia!$A$1:$AZ$1,0),0),
fila,IFERROR(MATCH(TO_TEXT(D541),ARRAYFORMULA"&amp;"(TO_TEXT(Referencia!$A$2:$A6238)),0),0),
IF(OR(campo="""",campo=""-""),""NO APLICA"",
IF(col=0,""REVISAR EQUIVALENCIA"",
IF(fila=0,""SKU NO ENCONTRADO"",
LET(
valor,INDEX(Referencia!$A$2:$AZ6238,fila,col),
IF(TRIM(TO_TEXT(valor))=TRIM(TO_TEXT(I541)),
""OK"&amp;""",
""NO COINCIDE. Valor verdadero: ""&amp;IF(valor="""",""[VACÍO]"",TO_TEXT(valor))
)
))))
),""ERROR EN FÓRMULA""))"),"NO APLICA")</f>
        <v>NO APLICA</v>
      </c>
    </row>
    <row r="542">
      <c r="A542" s="83" t="s">
        <v>4078</v>
      </c>
      <c r="B542" s="83" t="s">
        <v>4079</v>
      </c>
      <c r="C542" s="81" t="s">
        <v>4086</v>
      </c>
      <c r="D542" s="83" t="s">
        <v>4359</v>
      </c>
      <c r="E542" s="81" t="s">
        <v>1515</v>
      </c>
      <c r="F542" s="84">
        <v>293.0</v>
      </c>
      <c r="G542" s="81" t="s">
        <v>44</v>
      </c>
      <c r="H542" s="81" t="s">
        <v>4339</v>
      </c>
      <c r="I542" s="81" t="s">
        <v>1401</v>
      </c>
      <c r="J542" s="81" t="s">
        <v>4088</v>
      </c>
      <c r="K542" s="81" t="str">
        <f>IFERROR(__xludf.DUMMYFUNCTION("IF(OR(D542="""",G542=""""),"""",IFERROR(LET(
campo,XLOOKUP(TRIM(G542),ARRAYFORMULA(TRIM('indice columnas'!$A$2:$A$100)),'indice columnas'!$B$2:$B$100,""""),
col,IFERROR(MATCH(campo,Referencia!$A$1:$AZ$1,0),0),
fila,IFERROR(MATCH(TO_TEXT(D542),ARRAYFORMULA"&amp;"(TO_TEXT(Referencia!$A$2:$A6238)),0),0),
IF(OR(campo="""",campo=""-""),""NO APLICA"",
IF(col=0,""REVISAR EQUIVALENCIA"",
IF(fila=0,""SKU NO ENCONTRADO"",
LET(
valor,INDEX(Referencia!$A$2:$AZ6238,fila,col),
IF(TRIM(TO_TEXT(valor))=TRIM(TO_TEXT(I542)),
""OK"&amp;""",
""NO COINCIDE. Valor verdadero: ""&amp;IF(valor="""",""[VACÍO]"",TO_TEXT(valor))
)
))))
),""ERROR EN FÓRMULA""))"),"NO APLICA")</f>
        <v>NO APLICA</v>
      </c>
    </row>
    <row r="543">
      <c r="A543" s="83" t="s">
        <v>4078</v>
      </c>
      <c r="B543" s="83" t="s">
        <v>4079</v>
      </c>
      <c r="C543" s="81" t="s">
        <v>4086</v>
      </c>
      <c r="D543" s="83" t="s">
        <v>4360</v>
      </c>
      <c r="E543" s="81" t="s">
        <v>1516</v>
      </c>
      <c r="F543" s="84">
        <v>294.0</v>
      </c>
      <c r="G543" s="81" t="s">
        <v>44</v>
      </c>
      <c r="H543" s="81" t="s">
        <v>4339</v>
      </c>
      <c r="I543" s="81" t="s">
        <v>1401</v>
      </c>
      <c r="J543" s="81" t="s">
        <v>4088</v>
      </c>
      <c r="K543" s="81" t="str">
        <f>IFERROR(__xludf.DUMMYFUNCTION("IF(OR(D543="""",G543=""""),"""",IFERROR(LET(
campo,XLOOKUP(TRIM(G543),ARRAYFORMULA(TRIM('indice columnas'!$A$2:$A$100)),'indice columnas'!$B$2:$B$100,""""),
col,IFERROR(MATCH(campo,Referencia!$A$1:$AZ$1,0),0),
fila,IFERROR(MATCH(TO_TEXT(D543),ARRAYFORMULA"&amp;"(TO_TEXT(Referencia!$A$2:$A6238)),0),0),
IF(OR(campo="""",campo=""-""),""NO APLICA"",
IF(col=0,""REVISAR EQUIVALENCIA"",
IF(fila=0,""SKU NO ENCONTRADO"",
LET(
valor,INDEX(Referencia!$A$2:$AZ6238,fila,col),
IF(TRIM(TO_TEXT(valor))=TRIM(TO_TEXT(I543)),
""OK"&amp;""",
""NO COINCIDE. Valor verdadero: ""&amp;IF(valor="""",""[VACÍO]"",TO_TEXT(valor))
)
))))
),""ERROR EN FÓRMULA""))"),"NO APLICA")</f>
        <v>NO APLICA</v>
      </c>
    </row>
    <row r="544">
      <c r="A544" s="83" t="s">
        <v>4078</v>
      </c>
      <c r="B544" s="83" t="s">
        <v>4079</v>
      </c>
      <c r="C544" s="81" t="s">
        <v>4086</v>
      </c>
      <c r="D544" s="83" t="s">
        <v>4361</v>
      </c>
      <c r="E544" s="81" t="s">
        <v>1519</v>
      </c>
      <c r="F544" s="84">
        <v>295.0</v>
      </c>
      <c r="G544" s="81" t="s">
        <v>44</v>
      </c>
      <c r="H544" s="81" t="s">
        <v>4339</v>
      </c>
      <c r="I544" s="81" t="s">
        <v>1401</v>
      </c>
      <c r="J544" s="81" t="s">
        <v>4088</v>
      </c>
      <c r="K544" s="81" t="str">
        <f>IFERROR(__xludf.DUMMYFUNCTION("IF(OR(D544="""",G544=""""),"""",IFERROR(LET(
campo,XLOOKUP(TRIM(G544),ARRAYFORMULA(TRIM('indice columnas'!$A$2:$A$100)),'indice columnas'!$B$2:$B$100,""""),
col,IFERROR(MATCH(campo,Referencia!$A$1:$AZ$1,0),0),
fila,IFERROR(MATCH(TO_TEXT(D544),ARRAYFORMULA"&amp;"(TO_TEXT(Referencia!$A$2:$A6238)),0),0),
IF(OR(campo="""",campo=""-""),""NO APLICA"",
IF(col=0,""REVISAR EQUIVALENCIA"",
IF(fila=0,""SKU NO ENCONTRADO"",
LET(
valor,INDEX(Referencia!$A$2:$AZ6238,fila,col),
IF(TRIM(TO_TEXT(valor))=TRIM(TO_TEXT(I544)),
""OK"&amp;""",
""NO COINCIDE. Valor verdadero: ""&amp;IF(valor="""",""[VACÍO]"",TO_TEXT(valor))
)
))))
),""ERROR EN FÓRMULA""))"),"NO APLICA")</f>
        <v>NO APLICA</v>
      </c>
    </row>
    <row r="545">
      <c r="A545" s="83" t="s">
        <v>4078</v>
      </c>
      <c r="B545" s="83" t="s">
        <v>4079</v>
      </c>
      <c r="C545" s="81" t="s">
        <v>4086</v>
      </c>
      <c r="D545" s="83" t="s">
        <v>4361</v>
      </c>
      <c r="E545" s="81" t="s">
        <v>1529</v>
      </c>
      <c r="F545" s="84">
        <v>296.0</v>
      </c>
      <c r="G545" s="81" t="s">
        <v>44</v>
      </c>
      <c r="H545" s="81" t="s">
        <v>4339</v>
      </c>
      <c r="I545" s="81" t="s">
        <v>1401</v>
      </c>
      <c r="J545" s="81" t="s">
        <v>4088</v>
      </c>
      <c r="K545" s="81" t="str">
        <f>IFERROR(__xludf.DUMMYFUNCTION("IF(OR(D545="""",G545=""""),"""",IFERROR(LET(
campo,XLOOKUP(TRIM(G545),ARRAYFORMULA(TRIM('indice columnas'!$A$2:$A$100)),'indice columnas'!$B$2:$B$100,""""),
col,IFERROR(MATCH(campo,Referencia!$A$1:$AZ$1,0),0),
fila,IFERROR(MATCH(TO_TEXT(D545),ARRAYFORMULA"&amp;"(TO_TEXT(Referencia!$A$2:$A6238)),0),0),
IF(OR(campo="""",campo=""-""),""NO APLICA"",
IF(col=0,""REVISAR EQUIVALENCIA"",
IF(fila=0,""SKU NO ENCONTRADO"",
LET(
valor,INDEX(Referencia!$A$2:$AZ6238,fila,col),
IF(TRIM(TO_TEXT(valor))=TRIM(TO_TEXT(I545)),
""OK"&amp;""",
""NO COINCIDE. Valor verdadero: ""&amp;IF(valor="""",""[VACÍO]"",TO_TEXT(valor))
)
))))
),""ERROR EN FÓRMULA""))"),"NO APLICA")</f>
        <v>NO APLICA</v>
      </c>
    </row>
    <row r="546">
      <c r="A546" s="83" t="s">
        <v>4078</v>
      </c>
      <c r="B546" s="83" t="s">
        <v>4079</v>
      </c>
      <c r="C546" s="81" t="s">
        <v>4086</v>
      </c>
      <c r="D546" s="83" t="s">
        <v>4362</v>
      </c>
      <c r="E546" s="81" t="s">
        <v>1530</v>
      </c>
      <c r="F546" s="84">
        <v>297.0</v>
      </c>
      <c r="G546" s="81" t="s">
        <v>44</v>
      </c>
      <c r="H546" s="81" t="s">
        <v>4339</v>
      </c>
      <c r="I546" s="81" t="s">
        <v>1401</v>
      </c>
      <c r="J546" s="81" t="s">
        <v>4088</v>
      </c>
      <c r="K546" s="81" t="str">
        <f>IFERROR(__xludf.DUMMYFUNCTION("IF(OR(D546="""",G546=""""),"""",IFERROR(LET(
campo,XLOOKUP(TRIM(G546),ARRAYFORMULA(TRIM('indice columnas'!$A$2:$A$100)),'indice columnas'!$B$2:$B$100,""""),
col,IFERROR(MATCH(campo,Referencia!$A$1:$AZ$1,0),0),
fila,IFERROR(MATCH(TO_TEXT(D546),ARRAYFORMULA"&amp;"(TO_TEXT(Referencia!$A$2:$A6238)),0),0),
IF(OR(campo="""",campo=""-""),""NO APLICA"",
IF(col=0,""REVISAR EQUIVALENCIA"",
IF(fila=0,""SKU NO ENCONTRADO"",
LET(
valor,INDEX(Referencia!$A$2:$AZ6238,fila,col),
IF(TRIM(TO_TEXT(valor))=TRIM(TO_TEXT(I546)),
""OK"&amp;""",
""NO COINCIDE. Valor verdadero: ""&amp;IF(valor="""",""[VACÍO]"",TO_TEXT(valor))
)
))))
),""ERROR EN FÓRMULA""))"),"NO APLICA")</f>
        <v>NO APLICA</v>
      </c>
    </row>
    <row r="547">
      <c r="A547" s="83" t="s">
        <v>4078</v>
      </c>
      <c r="B547" s="83" t="s">
        <v>4079</v>
      </c>
      <c r="C547" s="81" t="s">
        <v>4086</v>
      </c>
      <c r="D547" s="83" t="s">
        <v>4363</v>
      </c>
      <c r="E547" s="81" t="s">
        <v>1533</v>
      </c>
      <c r="F547" s="84">
        <v>298.0</v>
      </c>
      <c r="G547" s="81" t="s">
        <v>44</v>
      </c>
      <c r="H547" s="81" t="s">
        <v>224</v>
      </c>
      <c r="I547" s="81" t="s">
        <v>1550</v>
      </c>
      <c r="J547" s="81" t="s">
        <v>4088</v>
      </c>
      <c r="K547" s="81" t="str">
        <f>IFERROR(__xludf.DUMMYFUNCTION("IF(OR(D547="""",G547=""""),"""",IFERROR(LET(
campo,XLOOKUP(TRIM(G547),ARRAYFORMULA(TRIM('indice columnas'!$A$2:$A$100)),'indice columnas'!$B$2:$B$100,""""),
col,IFERROR(MATCH(campo,Referencia!$A$1:$AZ$1,0),0),
fila,IFERROR(MATCH(TO_TEXT(D547),ARRAYFORMULA"&amp;"(TO_TEXT(Referencia!$A$2:$A6238)),0),0),
IF(OR(campo="""",campo=""-""),""NO APLICA"",
IF(col=0,""REVISAR EQUIVALENCIA"",
IF(fila=0,""SKU NO ENCONTRADO"",
LET(
valor,INDEX(Referencia!$A$2:$AZ6238,fila,col),
IF(TRIM(TO_TEXT(valor))=TRIM(TO_TEXT(I547)),
""OK"&amp;""",
""NO COINCIDE. Valor verdadero: ""&amp;IF(valor="""",""[VACÍO]"",TO_TEXT(valor))
)
))))
),""ERROR EN FÓRMULA""))"),"NO APLICA")</f>
        <v>NO APLICA</v>
      </c>
    </row>
    <row r="548">
      <c r="A548" s="83" t="s">
        <v>4078</v>
      </c>
      <c r="B548" s="83" t="s">
        <v>4079</v>
      </c>
      <c r="C548" s="81" t="s">
        <v>4086</v>
      </c>
      <c r="D548" s="83" t="s">
        <v>4363</v>
      </c>
      <c r="E548" s="81" t="s">
        <v>1548</v>
      </c>
      <c r="F548" s="84">
        <v>299.0</v>
      </c>
      <c r="G548" s="81" t="s">
        <v>12</v>
      </c>
      <c r="H548" s="81" t="s">
        <v>224</v>
      </c>
      <c r="I548" s="81" t="s">
        <v>1549</v>
      </c>
      <c r="J548" s="81" t="s">
        <v>224</v>
      </c>
      <c r="K548" s="81" t="str">
        <f>IFERROR(__xludf.DUMMYFUNCTION("IF(OR(D548="""",G548=""""),"""",IFERROR(LET(
campo,XLOOKUP(TRIM(G548),ARRAYFORMULA(TRIM('indice columnas'!$A$2:$A$100)),'indice columnas'!$B$2:$B$100,""""),
col,IFERROR(MATCH(campo,Referencia!$A$1:$AZ$1,0),0),
fila,IFERROR(MATCH(TO_TEXT(D548),ARRAYFORMULA"&amp;"(TO_TEXT(Referencia!$A$2:$A6238)),0),0),
IF(OR(campo="""",campo=""-""),""NO APLICA"",
IF(col=0,""REVISAR EQUIVALENCIA"",
IF(fila=0,""SKU NO ENCONTRADO"",
LET(
valor,INDEX(Referencia!$A$2:$AZ6238,fila,col),
IF(TRIM(TO_TEXT(valor))=TRIM(TO_TEXT(I548)),
""OK"&amp;""",
""NO COINCIDE. Valor verdadero: ""&amp;IF(valor="""",""[VACÍO]"",TO_TEXT(valor))
)
))))
),""ERROR EN FÓRMULA""))"),"OK")</f>
        <v>OK</v>
      </c>
    </row>
    <row r="549">
      <c r="A549" s="83" t="s">
        <v>4078</v>
      </c>
      <c r="B549" s="83" t="s">
        <v>4079</v>
      </c>
      <c r="C549" s="81" t="s">
        <v>4086</v>
      </c>
      <c r="D549" s="83" t="s">
        <v>4363</v>
      </c>
      <c r="E549" s="81" t="s">
        <v>1548</v>
      </c>
      <c r="F549" s="84">
        <v>299.0</v>
      </c>
      <c r="G549" s="81" t="s">
        <v>44</v>
      </c>
      <c r="H549" s="81" t="s">
        <v>224</v>
      </c>
      <c r="I549" s="81" t="s">
        <v>1550</v>
      </c>
      <c r="J549" s="81" t="s">
        <v>4088</v>
      </c>
      <c r="K549" s="81" t="str">
        <f>IFERROR(__xludf.DUMMYFUNCTION("IF(OR(D549="""",G549=""""),"""",IFERROR(LET(
campo,XLOOKUP(TRIM(G549),ARRAYFORMULA(TRIM('indice columnas'!$A$2:$A$100)),'indice columnas'!$B$2:$B$100,""""),
col,IFERROR(MATCH(campo,Referencia!$A$1:$AZ$1,0),0),
fila,IFERROR(MATCH(TO_TEXT(D549),ARRAYFORMULA"&amp;"(TO_TEXT(Referencia!$A$2:$A6238)),0),0),
IF(OR(campo="""",campo=""-""),""NO APLICA"",
IF(col=0,""REVISAR EQUIVALENCIA"",
IF(fila=0,""SKU NO ENCONTRADO"",
LET(
valor,INDEX(Referencia!$A$2:$AZ6238,fila,col),
IF(TRIM(TO_TEXT(valor))=TRIM(TO_TEXT(I549)),
""OK"&amp;""",
""NO COINCIDE. Valor verdadero: ""&amp;IF(valor="""",""[VACÍO]"",TO_TEXT(valor))
)
))))
),""ERROR EN FÓRMULA""))"),"NO APLICA")</f>
        <v>NO APLICA</v>
      </c>
    </row>
    <row r="550">
      <c r="A550" s="83" t="s">
        <v>4078</v>
      </c>
      <c r="B550" s="83" t="s">
        <v>4079</v>
      </c>
      <c r="C550" s="81" t="s">
        <v>4086</v>
      </c>
      <c r="D550" s="83" t="s">
        <v>4364</v>
      </c>
      <c r="E550" s="81" t="s">
        <v>1551</v>
      </c>
      <c r="F550" s="84">
        <v>300.0</v>
      </c>
      <c r="G550" s="81" t="s">
        <v>12</v>
      </c>
      <c r="H550" s="81" t="s">
        <v>224</v>
      </c>
      <c r="I550" s="81" t="s">
        <v>1549</v>
      </c>
      <c r="J550" s="81" t="s">
        <v>224</v>
      </c>
      <c r="K550" s="81" t="str">
        <f>IFERROR(__xludf.DUMMYFUNCTION("IF(OR(D550="""",G550=""""),"""",IFERROR(LET(
campo,XLOOKUP(TRIM(G550),ARRAYFORMULA(TRIM('indice columnas'!$A$2:$A$100)),'indice columnas'!$B$2:$B$100,""""),
col,IFERROR(MATCH(campo,Referencia!$A$1:$AZ$1,0),0),
fila,IFERROR(MATCH(TO_TEXT(D550),ARRAYFORMULA"&amp;"(TO_TEXT(Referencia!$A$2:$A6238)),0),0),
IF(OR(campo="""",campo=""-""),""NO APLICA"",
IF(col=0,""REVISAR EQUIVALENCIA"",
IF(fila=0,""SKU NO ENCONTRADO"",
LET(
valor,INDEX(Referencia!$A$2:$AZ6238,fila,col),
IF(TRIM(TO_TEXT(valor))=TRIM(TO_TEXT(I550)),
""OK"&amp;""",
""NO COINCIDE. Valor verdadero: ""&amp;IF(valor="""",""[VACÍO]"",TO_TEXT(valor))
)
))))
),""ERROR EN FÓRMULA""))"),"OK")</f>
        <v>OK</v>
      </c>
    </row>
    <row r="551">
      <c r="A551" s="83" t="s">
        <v>4078</v>
      </c>
      <c r="B551" s="83" t="s">
        <v>4079</v>
      </c>
      <c r="C551" s="81" t="s">
        <v>4086</v>
      </c>
      <c r="D551" s="83" t="s">
        <v>4364</v>
      </c>
      <c r="E551" s="81" t="s">
        <v>1551</v>
      </c>
      <c r="F551" s="84">
        <v>300.0</v>
      </c>
      <c r="G551" s="81" t="s">
        <v>44</v>
      </c>
      <c r="H551" s="81" t="s">
        <v>224</v>
      </c>
      <c r="I551" s="81" t="s">
        <v>1550</v>
      </c>
      <c r="J551" s="81" t="s">
        <v>4088</v>
      </c>
      <c r="K551" s="81" t="str">
        <f>IFERROR(__xludf.DUMMYFUNCTION("IF(OR(D551="""",G551=""""),"""",IFERROR(LET(
campo,XLOOKUP(TRIM(G551),ARRAYFORMULA(TRIM('indice columnas'!$A$2:$A$100)),'indice columnas'!$B$2:$B$100,""""),
col,IFERROR(MATCH(campo,Referencia!$A$1:$AZ$1,0),0),
fila,IFERROR(MATCH(TO_TEXT(D551),ARRAYFORMULA"&amp;"(TO_TEXT(Referencia!$A$2:$A6238)),0),0),
IF(OR(campo="""",campo=""-""),""NO APLICA"",
IF(col=0,""REVISAR EQUIVALENCIA"",
IF(fila=0,""SKU NO ENCONTRADO"",
LET(
valor,INDEX(Referencia!$A$2:$AZ6238,fila,col),
IF(TRIM(TO_TEXT(valor))=TRIM(TO_TEXT(I551)),
""OK"&amp;""",
""NO COINCIDE. Valor verdadero: ""&amp;IF(valor="""",""[VACÍO]"",TO_TEXT(valor))
)
))))
),""ERROR EN FÓRMULA""))"),"NO APLICA")</f>
        <v>NO APLICA</v>
      </c>
    </row>
    <row r="552">
      <c r="A552" s="83" t="s">
        <v>4078</v>
      </c>
      <c r="B552" s="83" t="s">
        <v>4079</v>
      </c>
      <c r="C552" s="81" t="s">
        <v>4086</v>
      </c>
      <c r="D552" s="83" t="s">
        <v>4365</v>
      </c>
      <c r="E552" s="81" t="s">
        <v>1554</v>
      </c>
      <c r="F552" s="84">
        <v>301.0</v>
      </c>
      <c r="G552" s="81" t="s">
        <v>44</v>
      </c>
      <c r="H552" s="81" t="s">
        <v>224</v>
      </c>
      <c r="I552" s="81" t="s">
        <v>1554</v>
      </c>
      <c r="J552" s="81" t="s">
        <v>4088</v>
      </c>
      <c r="K552" s="81" t="str">
        <f>IFERROR(__xludf.DUMMYFUNCTION("IF(OR(D552="""",G552=""""),"""",IFERROR(LET(
campo,XLOOKUP(TRIM(G552),ARRAYFORMULA(TRIM('indice columnas'!$A$2:$A$100)),'indice columnas'!$B$2:$B$100,""""),
col,IFERROR(MATCH(campo,Referencia!$A$1:$AZ$1,0),0),
fila,IFERROR(MATCH(TO_TEXT(D552),ARRAYFORMULA"&amp;"(TO_TEXT(Referencia!$A$2:$A6238)),0),0),
IF(OR(campo="""",campo=""-""),""NO APLICA"",
IF(col=0,""REVISAR EQUIVALENCIA"",
IF(fila=0,""SKU NO ENCONTRADO"",
LET(
valor,INDEX(Referencia!$A$2:$AZ6238,fila,col),
IF(TRIM(TO_TEXT(valor))=TRIM(TO_TEXT(I552)),
""OK"&amp;""",
""NO COINCIDE. Valor verdadero: ""&amp;IF(valor="""",""[VACÍO]"",TO_TEXT(valor))
)
))))
),""ERROR EN FÓRMULA""))"),"NO APLICA")</f>
        <v>NO APLICA</v>
      </c>
    </row>
    <row r="553">
      <c r="A553" s="83" t="s">
        <v>4078</v>
      </c>
      <c r="B553" s="83" t="s">
        <v>4079</v>
      </c>
      <c r="C553" s="81" t="s">
        <v>4086</v>
      </c>
      <c r="D553" s="83" t="s">
        <v>4365</v>
      </c>
      <c r="E553" s="81" t="s">
        <v>1560</v>
      </c>
      <c r="F553" s="84">
        <v>302.0</v>
      </c>
      <c r="G553" s="81" t="s">
        <v>12</v>
      </c>
      <c r="H553" s="81" t="s">
        <v>224</v>
      </c>
      <c r="I553" s="81" t="s">
        <v>55</v>
      </c>
      <c r="J553" s="81" t="s">
        <v>224</v>
      </c>
      <c r="K553" s="81" t="str">
        <f>IFERROR(__xludf.DUMMYFUNCTION("IF(OR(D553="""",G553=""""),"""",IFERROR(LET(
campo,XLOOKUP(TRIM(G553),ARRAYFORMULA(TRIM('indice columnas'!$A$2:$A$100)),'indice columnas'!$B$2:$B$100,""""),
col,IFERROR(MATCH(campo,Referencia!$A$1:$AZ$1,0),0),
fila,IFERROR(MATCH(TO_TEXT(D553),ARRAYFORMULA"&amp;"(TO_TEXT(Referencia!$A$2:$A6238)),0),0),
IF(OR(campo="""",campo=""-""),""NO APLICA"",
IF(col=0,""REVISAR EQUIVALENCIA"",
IF(fila=0,""SKU NO ENCONTRADO"",
LET(
valor,INDEX(Referencia!$A$2:$AZ6238,fila,col),
IF(TRIM(TO_TEXT(valor))=TRIM(TO_TEXT(I553)),
""OK"&amp;""",
""NO COINCIDE. Valor verdadero: ""&amp;IF(valor="""",""[VACÍO]"",TO_TEXT(valor))
)
))))
),""ERROR EN FÓRMULA""))"),"OK")</f>
        <v>OK</v>
      </c>
    </row>
    <row r="554">
      <c r="A554" s="83" t="s">
        <v>4078</v>
      </c>
      <c r="B554" s="83" t="s">
        <v>4079</v>
      </c>
      <c r="C554" s="81" t="s">
        <v>4086</v>
      </c>
      <c r="D554" s="83" t="s">
        <v>4365</v>
      </c>
      <c r="E554" s="81" t="s">
        <v>1560</v>
      </c>
      <c r="F554" s="84">
        <v>302.0</v>
      </c>
      <c r="G554" s="81" t="s">
        <v>44</v>
      </c>
      <c r="H554" s="81" t="s">
        <v>224</v>
      </c>
      <c r="I554" s="81" t="s">
        <v>1554</v>
      </c>
      <c r="J554" s="81" t="s">
        <v>4088</v>
      </c>
      <c r="K554" s="81" t="str">
        <f>IFERROR(__xludf.DUMMYFUNCTION("IF(OR(D554="""",G554=""""),"""",IFERROR(LET(
campo,XLOOKUP(TRIM(G554),ARRAYFORMULA(TRIM('indice columnas'!$A$2:$A$100)),'indice columnas'!$B$2:$B$100,""""),
col,IFERROR(MATCH(campo,Referencia!$A$1:$AZ$1,0),0),
fila,IFERROR(MATCH(TO_TEXT(D554),ARRAYFORMULA"&amp;"(TO_TEXT(Referencia!$A$2:$A6238)),0),0),
IF(OR(campo="""",campo=""-""),""NO APLICA"",
IF(col=0,""REVISAR EQUIVALENCIA"",
IF(fila=0,""SKU NO ENCONTRADO"",
LET(
valor,INDEX(Referencia!$A$2:$AZ6238,fila,col),
IF(TRIM(TO_TEXT(valor))=TRIM(TO_TEXT(I554)),
""OK"&amp;""",
""NO COINCIDE. Valor verdadero: ""&amp;IF(valor="""",""[VACÍO]"",TO_TEXT(valor))
)
))))
),""ERROR EN FÓRMULA""))"),"NO APLICA")</f>
        <v>NO APLICA</v>
      </c>
    </row>
    <row r="555">
      <c r="A555" s="83" t="s">
        <v>4078</v>
      </c>
      <c r="B555" s="83" t="s">
        <v>4079</v>
      </c>
      <c r="C555" s="81" t="s">
        <v>4086</v>
      </c>
      <c r="D555" s="83" t="s">
        <v>4366</v>
      </c>
      <c r="E555" s="81" t="s">
        <v>1562</v>
      </c>
      <c r="F555" s="84">
        <v>303.0</v>
      </c>
      <c r="G555" s="81" t="s">
        <v>12</v>
      </c>
      <c r="H555" s="81" t="s">
        <v>224</v>
      </c>
      <c r="I555" s="81" t="s">
        <v>55</v>
      </c>
      <c r="J555" s="81" t="s">
        <v>224</v>
      </c>
      <c r="K555" s="81" t="str">
        <f>IFERROR(__xludf.DUMMYFUNCTION("IF(OR(D555="""",G555=""""),"""",IFERROR(LET(
campo,XLOOKUP(TRIM(G555),ARRAYFORMULA(TRIM('indice columnas'!$A$2:$A$100)),'indice columnas'!$B$2:$B$100,""""),
col,IFERROR(MATCH(campo,Referencia!$A$1:$AZ$1,0),0),
fila,IFERROR(MATCH(TO_TEXT(D555),ARRAYFORMULA"&amp;"(TO_TEXT(Referencia!$A$2:$A6238)),0),0),
IF(OR(campo="""",campo=""-""),""NO APLICA"",
IF(col=0,""REVISAR EQUIVALENCIA"",
IF(fila=0,""SKU NO ENCONTRADO"",
LET(
valor,INDEX(Referencia!$A$2:$AZ6238,fila,col),
IF(TRIM(TO_TEXT(valor))=TRIM(TO_TEXT(I555)),
""OK"&amp;""",
""NO COINCIDE. Valor verdadero: ""&amp;IF(valor="""",""[VACÍO]"",TO_TEXT(valor))
)
))))
),""ERROR EN FÓRMULA""))"),"OK")</f>
        <v>OK</v>
      </c>
    </row>
    <row r="556">
      <c r="A556" s="83" t="s">
        <v>4078</v>
      </c>
      <c r="B556" s="83" t="s">
        <v>4079</v>
      </c>
      <c r="C556" s="81" t="s">
        <v>4086</v>
      </c>
      <c r="D556" s="83" t="s">
        <v>4366</v>
      </c>
      <c r="E556" s="81" t="s">
        <v>1562</v>
      </c>
      <c r="F556" s="84">
        <v>303.0</v>
      </c>
      <c r="G556" s="81" t="s">
        <v>44</v>
      </c>
      <c r="H556" s="81" t="s">
        <v>224</v>
      </c>
      <c r="I556" s="81" t="s">
        <v>1554</v>
      </c>
      <c r="J556" s="81" t="s">
        <v>4088</v>
      </c>
      <c r="K556" s="81" t="str">
        <f>IFERROR(__xludf.DUMMYFUNCTION("IF(OR(D556="""",G556=""""),"""",IFERROR(LET(
campo,XLOOKUP(TRIM(G556),ARRAYFORMULA(TRIM('indice columnas'!$A$2:$A$100)),'indice columnas'!$B$2:$B$100,""""),
col,IFERROR(MATCH(campo,Referencia!$A$1:$AZ$1,0),0),
fila,IFERROR(MATCH(TO_TEXT(D556),ARRAYFORMULA"&amp;"(TO_TEXT(Referencia!$A$2:$A6238)),0),0),
IF(OR(campo="""",campo=""-""),""NO APLICA"",
IF(col=0,""REVISAR EQUIVALENCIA"",
IF(fila=0,""SKU NO ENCONTRADO"",
LET(
valor,INDEX(Referencia!$A$2:$AZ6238,fila,col),
IF(TRIM(TO_TEXT(valor))=TRIM(TO_TEXT(I556)),
""OK"&amp;""",
""NO COINCIDE. Valor verdadero: ""&amp;IF(valor="""",""[VACÍO]"",TO_TEXT(valor))
)
))))
),""ERROR EN FÓRMULA""))"),"NO APLICA")</f>
        <v>NO APLICA</v>
      </c>
    </row>
    <row r="557">
      <c r="A557" s="83" t="s">
        <v>4078</v>
      </c>
      <c r="B557" s="83" t="s">
        <v>4079</v>
      </c>
      <c r="C557" s="81" t="s">
        <v>4086</v>
      </c>
      <c r="D557" s="83" t="s">
        <v>4367</v>
      </c>
      <c r="E557" s="81" t="s">
        <v>1564</v>
      </c>
      <c r="F557" s="84">
        <v>304.0</v>
      </c>
      <c r="G557" s="81" t="s">
        <v>12</v>
      </c>
      <c r="H557" s="81" t="s">
        <v>224</v>
      </c>
      <c r="I557" s="81" t="s">
        <v>55</v>
      </c>
      <c r="J557" s="81" t="s">
        <v>224</v>
      </c>
      <c r="K557" s="81" t="str">
        <f>IFERROR(__xludf.DUMMYFUNCTION("IF(OR(D557="""",G557=""""),"""",IFERROR(LET(
campo,XLOOKUP(TRIM(G557),ARRAYFORMULA(TRIM('indice columnas'!$A$2:$A$100)),'indice columnas'!$B$2:$B$100,""""),
col,IFERROR(MATCH(campo,Referencia!$A$1:$AZ$1,0),0),
fila,IFERROR(MATCH(TO_TEXT(D557),ARRAYFORMULA"&amp;"(TO_TEXT(Referencia!$A$2:$A6238)),0),0),
IF(OR(campo="""",campo=""-""),""NO APLICA"",
IF(col=0,""REVISAR EQUIVALENCIA"",
IF(fila=0,""SKU NO ENCONTRADO"",
LET(
valor,INDEX(Referencia!$A$2:$AZ6238,fila,col),
IF(TRIM(TO_TEXT(valor))=TRIM(TO_TEXT(I557)),
""OK"&amp;""",
""NO COINCIDE. Valor verdadero: ""&amp;IF(valor="""",""[VACÍO]"",TO_TEXT(valor))
)
))))
),""ERROR EN FÓRMULA""))"),"OK")</f>
        <v>OK</v>
      </c>
    </row>
    <row r="558">
      <c r="A558" s="83" t="s">
        <v>4078</v>
      </c>
      <c r="B558" s="83" t="s">
        <v>4079</v>
      </c>
      <c r="C558" s="81" t="s">
        <v>4086</v>
      </c>
      <c r="D558" s="83" t="s">
        <v>4367</v>
      </c>
      <c r="E558" s="81" t="s">
        <v>1564</v>
      </c>
      <c r="F558" s="84">
        <v>304.0</v>
      </c>
      <c r="G558" s="81" t="s">
        <v>44</v>
      </c>
      <c r="H558" s="81" t="s">
        <v>224</v>
      </c>
      <c r="I558" s="81" t="s">
        <v>1554</v>
      </c>
      <c r="J558" s="81" t="s">
        <v>4088</v>
      </c>
      <c r="K558" s="81" t="str">
        <f>IFERROR(__xludf.DUMMYFUNCTION("IF(OR(D558="""",G558=""""),"""",IFERROR(LET(
campo,XLOOKUP(TRIM(G558),ARRAYFORMULA(TRIM('indice columnas'!$A$2:$A$100)),'indice columnas'!$B$2:$B$100,""""),
col,IFERROR(MATCH(campo,Referencia!$A$1:$AZ$1,0),0),
fila,IFERROR(MATCH(TO_TEXT(D558),ARRAYFORMULA"&amp;"(TO_TEXT(Referencia!$A$2:$A6238)),0),0),
IF(OR(campo="""",campo=""-""),""NO APLICA"",
IF(col=0,""REVISAR EQUIVALENCIA"",
IF(fila=0,""SKU NO ENCONTRADO"",
LET(
valor,INDEX(Referencia!$A$2:$AZ6238,fila,col),
IF(TRIM(TO_TEXT(valor))=TRIM(TO_TEXT(I558)),
""OK"&amp;""",
""NO COINCIDE. Valor verdadero: ""&amp;IF(valor="""",""[VACÍO]"",TO_TEXT(valor))
)
))))
),""ERROR EN FÓRMULA""))"),"NO APLICA")</f>
        <v>NO APLICA</v>
      </c>
    </row>
    <row r="559">
      <c r="A559" s="83" t="s">
        <v>4078</v>
      </c>
      <c r="B559" s="83" t="s">
        <v>4079</v>
      </c>
      <c r="C559" s="81" t="s">
        <v>4086</v>
      </c>
      <c r="D559" s="83" t="s">
        <v>4368</v>
      </c>
      <c r="E559" s="81" t="s">
        <v>1566</v>
      </c>
      <c r="F559" s="84">
        <v>305.0</v>
      </c>
      <c r="G559" s="81" t="s">
        <v>44</v>
      </c>
      <c r="H559" s="81" t="s">
        <v>224</v>
      </c>
      <c r="I559" s="81" t="s">
        <v>1566</v>
      </c>
      <c r="J559" s="81" t="s">
        <v>4088</v>
      </c>
      <c r="K559" s="81" t="str">
        <f>IFERROR(__xludf.DUMMYFUNCTION("IF(OR(D559="""",G559=""""),"""",IFERROR(LET(
campo,XLOOKUP(TRIM(G559),ARRAYFORMULA(TRIM('indice columnas'!$A$2:$A$100)),'indice columnas'!$B$2:$B$100,""""),
col,IFERROR(MATCH(campo,Referencia!$A$1:$AZ$1,0),0),
fila,IFERROR(MATCH(TO_TEXT(D559),ARRAYFORMULA"&amp;"(TO_TEXT(Referencia!$A$2:$A6238)),0),0),
IF(OR(campo="""",campo=""-""),""NO APLICA"",
IF(col=0,""REVISAR EQUIVALENCIA"",
IF(fila=0,""SKU NO ENCONTRADO"",
LET(
valor,INDEX(Referencia!$A$2:$AZ6238,fila,col),
IF(TRIM(TO_TEXT(valor))=TRIM(TO_TEXT(I559)),
""OK"&amp;""",
""NO COINCIDE. Valor verdadero: ""&amp;IF(valor="""",""[VACÍO]"",TO_TEXT(valor))
)
))))
),""ERROR EN FÓRMULA""))"),"NO APLICA")</f>
        <v>NO APLICA</v>
      </c>
    </row>
    <row r="560">
      <c r="A560" s="83" t="s">
        <v>4078</v>
      </c>
      <c r="B560" s="83" t="s">
        <v>4079</v>
      </c>
      <c r="C560" s="81" t="s">
        <v>4086</v>
      </c>
      <c r="D560" s="83" t="s">
        <v>4368</v>
      </c>
      <c r="E560" s="81" t="s">
        <v>1570</v>
      </c>
      <c r="F560" s="84">
        <v>306.0</v>
      </c>
      <c r="G560" s="81" t="s">
        <v>12</v>
      </c>
      <c r="H560" s="81" t="s">
        <v>224</v>
      </c>
      <c r="I560" s="81" t="s">
        <v>55</v>
      </c>
      <c r="J560" s="81" t="s">
        <v>224</v>
      </c>
      <c r="K560" s="81" t="str">
        <f>IFERROR(__xludf.DUMMYFUNCTION("IF(OR(D560="""",G560=""""),"""",IFERROR(LET(
campo,XLOOKUP(TRIM(G560),ARRAYFORMULA(TRIM('indice columnas'!$A$2:$A$100)),'indice columnas'!$B$2:$B$100,""""),
col,IFERROR(MATCH(campo,Referencia!$A$1:$AZ$1,0),0),
fila,IFERROR(MATCH(TO_TEXT(D560),ARRAYFORMULA"&amp;"(TO_TEXT(Referencia!$A$2:$A6238)),0),0),
IF(OR(campo="""",campo=""-""),""NO APLICA"",
IF(col=0,""REVISAR EQUIVALENCIA"",
IF(fila=0,""SKU NO ENCONTRADO"",
LET(
valor,INDEX(Referencia!$A$2:$AZ6238,fila,col),
IF(TRIM(TO_TEXT(valor))=TRIM(TO_TEXT(I560)),
""OK"&amp;""",
""NO COINCIDE. Valor verdadero: ""&amp;IF(valor="""",""[VACÍO]"",TO_TEXT(valor))
)
))))
),""ERROR EN FÓRMULA""))"),"OK")</f>
        <v>OK</v>
      </c>
    </row>
    <row r="561">
      <c r="A561" s="83" t="s">
        <v>4078</v>
      </c>
      <c r="B561" s="83" t="s">
        <v>4079</v>
      </c>
      <c r="C561" s="81" t="s">
        <v>4086</v>
      </c>
      <c r="D561" s="83" t="s">
        <v>4368</v>
      </c>
      <c r="E561" s="81" t="s">
        <v>1570</v>
      </c>
      <c r="F561" s="84">
        <v>306.0</v>
      </c>
      <c r="G561" s="81" t="s">
        <v>44</v>
      </c>
      <c r="H561" s="81" t="s">
        <v>224</v>
      </c>
      <c r="I561" s="81" t="s">
        <v>1566</v>
      </c>
      <c r="J561" s="81" t="s">
        <v>4088</v>
      </c>
      <c r="K561" s="81" t="str">
        <f>IFERROR(__xludf.DUMMYFUNCTION("IF(OR(D561="""",G561=""""),"""",IFERROR(LET(
campo,XLOOKUP(TRIM(G561),ARRAYFORMULA(TRIM('indice columnas'!$A$2:$A$100)),'indice columnas'!$B$2:$B$100,""""),
col,IFERROR(MATCH(campo,Referencia!$A$1:$AZ$1,0),0),
fila,IFERROR(MATCH(TO_TEXT(D561),ARRAYFORMULA"&amp;"(TO_TEXT(Referencia!$A$2:$A6238)),0),0),
IF(OR(campo="""",campo=""-""),""NO APLICA"",
IF(col=0,""REVISAR EQUIVALENCIA"",
IF(fila=0,""SKU NO ENCONTRADO"",
LET(
valor,INDEX(Referencia!$A$2:$AZ6238,fila,col),
IF(TRIM(TO_TEXT(valor))=TRIM(TO_TEXT(I561)),
""OK"&amp;""",
""NO COINCIDE. Valor verdadero: ""&amp;IF(valor="""",""[VACÍO]"",TO_TEXT(valor))
)
))))
),""ERROR EN FÓRMULA""))"),"NO APLICA")</f>
        <v>NO APLICA</v>
      </c>
    </row>
    <row r="562">
      <c r="A562" s="83" t="s">
        <v>4078</v>
      </c>
      <c r="B562" s="83" t="s">
        <v>4079</v>
      </c>
      <c r="C562" s="81" t="s">
        <v>4086</v>
      </c>
      <c r="D562" s="83" t="s">
        <v>4369</v>
      </c>
      <c r="E562" s="81" t="s">
        <v>1571</v>
      </c>
      <c r="F562" s="84">
        <v>307.0</v>
      </c>
      <c r="G562" s="81" t="s">
        <v>12</v>
      </c>
      <c r="H562" s="81" t="s">
        <v>224</v>
      </c>
      <c r="I562" s="81" t="s">
        <v>55</v>
      </c>
      <c r="J562" s="81" t="s">
        <v>224</v>
      </c>
      <c r="K562" s="81" t="str">
        <f>IFERROR(__xludf.DUMMYFUNCTION("IF(OR(D562="""",G562=""""),"""",IFERROR(LET(
campo,XLOOKUP(TRIM(G562),ARRAYFORMULA(TRIM('indice columnas'!$A$2:$A$100)),'indice columnas'!$B$2:$B$100,""""),
col,IFERROR(MATCH(campo,Referencia!$A$1:$AZ$1,0),0),
fila,IFERROR(MATCH(TO_TEXT(D562),ARRAYFORMULA"&amp;"(TO_TEXT(Referencia!$A$2:$A6238)),0),0),
IF(OR(campo="""",campo=""-""),""NO APLICA"",
IF(col=0,""REVISAR EQUIVALENCIA"",
IF(fila=0,""SKU NO ENCONTRADO"",
LET(
valor,INDEX(Referencia!$A$2:$AZ6238,fila,col),
IF(TRIM(TO_TEXT(valor))=TRIM(TO_TEXT(I562)),
""OK"&amp;""",
""NO COINCIDE. Valor verdadero: ""&amp;IF(valor="""",""[VACÍO]"",TO_TEXT(valor))
)
))))
),""ERROR EN FÓRMULA""))"),"OK")</f>
        <v>OK</v>
      </c>
    </row>
    <row r="563">
      <c r="A563" s="83" t="s">
        <v>4078</v>
      </c>
      <c r="B563" s="83" t="s">
        <v>4079</v>
      </c>
      <c r="C563" s="81" t="s">
        <v>4086</v>
      </c>
      <c r="D563" s="83" t="s">
        <v>4369</v>
      </c>
      <c r="E563" s="81" t="s">
        <v>1571</v>
      </c>
      <c r="F563" s="84">
        <v>307.0</v>
      </c>
      <c r="G563" s="81" t="s">
        <v>44</v>
      </c>
      <c r="H563" s="81" t="s">
        <v>224</v>
      </c>
      <c r="I563" s="81" t="s">
        <v>1566</v>
      </c>
      <c r="J563" s="81" t="s">
        <v>4088</v>
      </c>
      <c r="K563" s="81" t="str">
        <f>IFERROR(__xludf.DUMMYFUNCTION("IF(OR(D563="""",G563=""""),"""",IFERROR(LET(
campo,XLOOKUP(TRIM(G563),ARRAYFORMULA(TRIM('indice columnas'!$A$2:$A$100)),'indice columnas'!$B$2:$B$100,""""),
col,IFERROR(MATCH(campo,Referencia!$A$1:$AZ$1,0),0),
fila,IFERROR(MATCH(TO_TEXT(D563),ARRAYFORMULA"&amp;"(TO_TEXT(Referencia!$A$2:$A6238)),0),0),
IF(OR(campo="""",campo=""-""),""NO APLICA"",
IF(col=0,""REVISAR EQUIVALENCIA"",
IF(fila=0,""SKU NO ENCONTRADO"",
LET(
valor,INDEX(Referencia!$A$2:$AZ6238,fila,col),
IF(TRIM(TO_TEXT(valor))=TRIM(TO_TEXT(I563)),
""OK"&amp;""",
""NO COINCIDE. Valor verdadero: ""&amp;IF(valor="""",""[VACÍO]"",TO_TEXT(valor))
)
))))
),""ERROR EN FÓRMULA""))"),"NO APLICA")</f>
        <v>NO APLICA</v>
      </c>
    </row>
    <row r="564">
      <c r="A564" s="83" t="s">
        <v>4078</v>
      </c>
      <c r="B564" s="83" t="s">
        <v>4079</v>
      </c>
      <c r="C564" s="81" t="s">
        <v>4086</v>
      </c>
      <c r="D564" s="83" t="s">
        <v>4370</v>
      </c>
      <c r="E564" s="81" t="s">
        <v>1573</v>
      </c>
      <c r="F564" s="84">
        <v>308.0</v>
      </c>
      <c r="G564" s="81" t="s">
        <v>12</v>
      </c>
      <c r="H564" s="81" t="s">
        <v>224</v>
      </c>
      <c r="I564" s="81" t="s">
        <v>55</v>
      </c>
      <c r="J564" s="81" t="s">
        <v>224</v>
      </c>
      <c r="K564" s="81" t="str">
        <f>IFERROR(__xludf.DUMMYFUNCTION("IF(OR(D564="""",G564=""""),"""",IFERROR(LET(
campo,XLOOKUP(TRIM(G564),ARRAYFORMULA(TRIM('indice columnas'!$A$2:$A$100)),'indice columnas'!$B$2:$B$100,""""),
col,IFERROR(MATCH(campo,Referencia!$A$1:$AZ$1,0),0),
fila,IFERROR(MATCH(TO_TEXT(D564),ARRAYFORMULA"&amp;"(TO_TEXT(Referencia!$A$2:$A6238)),0),0),
IF(OR(campo="""",campo=""-""),""NO APLICA"",
IF(col=0,""REVISAR EQUIVALENCIA"",
IF(fila=0,""SKU NO ENCONTRADO"",
LET(
valor,INDEX(Referencia!$A$2:$AZ6238,fila,col),
IF(TRIM(TO_TEXT(valor))=TRIM(TO_TEXT(I564)),
""OK"&amp;""",
""NO COINCIDE. Valor verdadero: ""&amp;IF(valor="""",""[VACÍO]"",TO_TEXT(valor))
)
))))
),""ERROR EN FÓRMULA""))"),"OK")</f>
        <v>OK</v>
      </c>
    </row>
    <row r="565">
      <c r="A565" s="83" t="s">
        <v>4078</v>
      </c>
      <c r="B565" s="83" t="s">
        <v>4079</v>
      </c>
      <c r="C565" s="81" t="s">
        <v>4086</v>
      </c>
      <c r="D565" s="83" t="s">
        <v>4370</v>
      </c>
      <c r="E565" s="81" t="s">
        <v>1573</v>
      </c>
      <c r="F565" s="84">
        <v>308.0</v>
      </c>
      <c r="G565" s="81" t="s">
        <v>44</v>
      </c>
      <c r="H565" s="81" t="s">
        <v>224</v>
      </c>
      <c r="I565" s="81" t="s">
        <v>1566</v>
      </c>
      <c r="J565" s="81" t="s">
        <v>4088</v>
      </c>
      <c r="K565" s="81" t="str">
        <f>IFERROR(__xludf.DUMMYFUNCTION("IF(OR(D565="""",G565=""""),"""",IFERROR(LET(
campo,XLOOKUP(TRIM(G565),ARRAYFORMULA(TRIM('indice columnas'!$A$2:$A$100)),'indice columnas'!$B$2:$B$100,""""),
col,IFERROR(MATCH(campo,Referencia!$A$1:$AZ$1,0),0),
fila,IFERROR(MATCH(TO_TEXT(D565),ARRAYFORMULA"&amp;"(TO_TEXT(Referencia!$A$2:$A6238)),0),0),
IF(OR(campo="""",campo=""-""),""NO APLICA"",
IF(col=0,""REVISAR EQUIVALENCIA"",
IF(fila=0,""SKU NO ENCONTRADO"",
LET(
valor,INDEX(Referencia!$A$2:$AZ6238,fila,col),
IF(TRIM(TO_TEXT(valor))=TRIM(TO_TEXT(I565)),
""OK"&amp;""",
""NO COINCIDE. Valor verdadero: ""&amp;IF(valor="""",""[VACÍO]"",TO_TEXT(valor))
)
))))
),""ERROR EN FÓRMULA""))"),"NO APLICA")</f>
        <v>NO APLICA</v>
      </c>
    </row>
    <row r="566">
      <c r="A566" s="83" t="s">
        <v>4078</v>
      </c>
      <c r="B566" s="83" t="s">
        <v>4079</v>
      </c>
      <c r="C566" s="81" t="s">
        <v>4086</v>
      </c>
      <c r="D566" s="83" t="s">
        <v>4371</v>
      </c>
      <c r="E566" s="81" t="s">
        <v>1575</v>
      </c>
      <c r="F566" s="84">
        <v>309.0</v>
      </c>
      <c r="G566" s="81" t="s">
        <v>12</v>
      </c>
      <c r="H566" s="81" t="s">
        <v>224</v>
      </c>
      <c r="I566" s="81" t="s">
        <v>55</v>
      </c>
      <c r="J566" s="81" t="s">
        <v>224</v>
      </c>
      <c r="K566" s="81" t="str">
        <f>IFERROR(__xludf.DUMMYFUNCTION("IF(OR(D566="""",G566=""""),"""",IFERROR(LET(
campo,XLOOKUP(TRIM(G566),ARRAYFORMULA(TRIM('indice columnas'!$A$2:$A$100)),'indice columnas'!$B$2:$B$100,""""),
col,IFERROR(MATCH(campo,Referencia!$A$1:$AZ$1,0),0),
fila,IFERROR(MATCH(TO_TEXT(D566),ARRAYFORMULA"&amp;"(TO_TEXT(Referencia!$A$2:$A6238)),0),0),
IF(OR(campo="""",campo=""-""),""NO APLICA"",
IF(col=0,""REVISAR EQUIVALENCIA"",
IF(fila=0,""SKU NO ENCONTRADO"",
LET(
valor,INDEX(Referencia!$A$2:$AZ6238,fila,col),
IF(TRIM(TO_TEXT(valor))=TRIM(TO_TEXT(I566)),
""OK"&amp;""",
""NO COINCIDE. Valor verdadero: ""&amp;IF(valor="""",""[VACÍO]"",TO_TEXT(valor))
)
))))
),""ERROR EN FÓRMULA""))"),"OK")</f>
        <v>OK</v>
      </c>
    </row>
    <row r="567">
      <c r="A567" s="83" t="s">
        <v>4078</v>
      </c>
      <c r="B567" s="83" t="s">
        <v>4079</v>
      </c>
      <c r="C567" s="81" t="s">
        <v>4086</v>
      </c>
      <c r="D567" s="83" t="s">
        <v>4371</v>
      </c>
      <c r="E567" s="81" t="s">
        <v>1575</v>
      </c>
      <c r="F567" s="84">
        <v>309.0</v>
      </c>
      <c r="G567" s="81" t="s">
        <v>44</v>
      </c>
      <c r="H567" s="81" t="s">
        <v>224</v>
      </c>
      <c r="I567" s="81" t="s">
        <v>459</v>
      </c>
      <c r="J567" s="81" t="s">
        <v>4088</v>
      </c>
      <c r="K567" s="81" t="str">
        <f>IFERROR(__xludf.DUMMYFUNCTION("IF(OR(D567="""",G567=""""),"""",IFERROR(LET(
campo,XLOOKUP(TRIM(G567),ARRAYFORMULA(TRIM('indice columnas'!$A$2:$A$100)),'indice columnas'!$B$2:$B$100,""""),
col,IFERROR(MATCH(campo,Referencia!$A$1:$AZ$1,0),0),
fila,IFERROR(MATCH(TO_TEXT(D567),ARRAYFORMULA"&amp;"(TO_TEXT(Referencia!$A$2:$A6238)),0),0),
IF(OR(campo="""",campo=""-""),""NO APLICA"",
IF(col=0,""REVISAR EQUIVALENCIA"",
IF(fila=0,""SKU NO ENCONTRADO"",
LET(
valor,INDEX(Referencia!$A$2:$AZ6238,fila,col),
IF(TRIM(TO_TEXT(valor))=TRIM(TO_TEXT(I567)),
""OK"&amp;""",
""NO COINCIDE. Valor verdadero: ""&amp;IF(valor="""",""[VACÍO]"",TO_TEXT(valor))
)
))))
),""ERROR EN FÓRMULA""))"),"NO APLICA")</f>
        <v>NO APLICA</v>
      </c>
    </row>
    <row r="568">
      <c r="A568" s="83" t="s">
        <v>4078</v>
      </c>
      <c r="B568" s="83" t="s">
        <v>4079</v>
      </c>
      <c r="C568" s="81" t="s">
        <v>4086</v>
      </c>
      <c r="D568" s="83" t="s">
        <v>4372</v>
      </c>
      <c r="E568" s="81" t="s">
        <v>1577</v>
      </c>
      <c r="F568" s="84">
        <v>310.0</v>
      </c>
      <c r="G568" s="81" t="s">
        <v>44</v>
      </c>
      <c r="H568" s="81" t="s">
        <v>224</v>
      </c>
      <c r="I568" s="81" t="s">
        <v>1401</v>
      </c>
      <c r="J568" s="81" t="s">
        <v>4088</v>
      </c>
      <c r="K568" s="81" t="str">
        <f>IFERROR(__xludf.DUMMYFUNCTION("IF(OR(D568="""",G568=""""),"""",IFERROR(LET(
campo,XLOOKUP(TRIM(G568),ARRAYFORMULA(TRIM('indice columnas'!$A$2:$A$100)),'indice columnas'!$B$2:$B$100,""""),
col,IFERROR(MATCH(campo,Referencia!$A$1:$AZ$1,0),0),
fila,IFERROR(MATCH(TO_TEXT(D568),ARRAYFORMULA"&amp;"(TO_TEXT(Referencia!$A$2:$A6238)),0),0),
IF(OR(campo="""",campo=""-""),""NO APLICA"",
IF(col=0,""REVISAR EQUIVALENCIA"",
IF(fila=0,""SKU NO ENCONTRADO"",
LET(
valor,INDEX(Referencia!$A$2:$AZ6238,fila,col),
IF(TRIM(TO_TEXT(valor))=TRIM(TO_TEXT(I568)),
""OK"&amp;""",
""NO COINCIDE. Valor verdadero: ""&amp;IF(valor="""",""[VACÍO]"",TO_TEXT(valor))
)
))))
),""ERROR EN FÓRMULA""))"),"NO APLICA")</f>
        <v>NO APLICA</v>
      </c>
    </row>
    <row r="569">
      <c r="A569" s="83" t="s">
        <v>4078</v>
      </c>
      <c r="B569" s="83" t="s">
        <v>4079</v>
      </c>
      <c r="C569" s="81" t="s">
        <v>4086</v>
      </c>
      <c r="D569" s="83" t="s">
        <v>4372</v>
      </c>
      <c r="E569" s="81" t="s">
        <v>1581</v>
      </c>
      <c r="F569" s="84">
        <v>311.0</v>
      </c>
      <c r="G569" s="81" t="s">
        <v>12</v>
      </c>
      <c r="H569" s="81" t="s">
        <v>224</v>
      </c>
      <c r="I569" s="81" t="s">
        <v>55</v>
      </c>
      <c r="J569" s="81" t="s">
        <v>224</v>
      </c>
      <c r="K569" s="81" t="str">
        <f>IFERROR(__xludf.DUMMYFUNCTION("IF(OR(D569="""",G569=""""),"""",IFERROR(LET(
campo,XLOOKUP(TRIM(G569),ARRAYFORMULA(TRIM('indice columnas'!$A$2:$A$100)),'indice columnas'!$B$2:$B$100,""""),
col,IFERROR(MATCH(campo,Referencia!$A$1:$AZ$1,0),0),
fila,IFERROR(MATCH(TO_TEXT(D569),ARRAYFORMULA"&amp;"(TO_TEXT(Referencia!$A$2:$A6238)),0),0),
IF(OR(campo="""",campo=""-""),""NO APLICA"",
IF(col=0,""REVISAR EQUIVALENCIA"",
IF(fila=0,""SKU NO ENCONTRADO"",
LET(
valor,INDEX(Referencia!$A$2:$AZ6238,fila,col),
IF(TRIM(TO_TEXT(valor))=TRIM(TO_TEXT(I569)),
""OK"&amp;""",
""NO COINCIDE. Valor verdadero: ""&amp;IF(valor="""",""[VACÍO]"",TO_TEXT(valor))
)
))))
),""ERROR EN FÓRMULA""))"),"OK")</f>
        <v>OK</v>
      </c>
    </row>
    <row r="570">
      <c r="A570" s="83" t="s">
        <v>4078</v>
      </c>
      <c r="B570" s="83" t="s">
        <v>4079</v>
      </c>
      <c r="C570" s="81" t="s">
        <v>4086</v>
      </c>
      <c r="D570" s="83" t="s">
        <v>4372</v>
      </c>
      <c r="E570" s="81" t="s">
        <v>1581</v>
      </c>
      <c r="F570" s="84">
        <v>311.0</v>
      </c>
      <c r="G570" s="81" t="s">
        <v>29</v>
      </c>
      <c r="H570" s="81" t="s">
        <v>4373</v>
      </c>
      <c r="I570" s="81" t="s">
        <v>1582</v>
      </c>
      <c r="J570" s="81" t="s">
        <v>224</v>
      </c>
      <c r="K570" s="81" t="str">
        <f>IFERROR(__xludf.DUMMYFUNCTION("IF(OR(D570="""",G570=""""),"""",IFERROR(LET(
campo,XLOOKUP(TRIM(G570),ARRAYFORMULA(TRIM('indice columnas'!$A$2:$A$100)),'indice columnas'!$B$2:$B$100,""""),
col,IFERROR(MATCH(campo,Referencia!$A$1:$AZ$1,0),0),
fila,IFERROR(MATCH(TO_TEXT(D570),ARRAYFORMULA"&amp;"(TO_TEXT(Referencia!$A$2:$A6238)),0),0),
IF(OR(campo="""",campo=""-""),""NO APLICA"",
IF(col=0,""REVISAR EQUIVALENCIA"",
IF(fila=0,""SKU NO ENCONTRADO"",
LET(
valor,INDEX(Referencia!$A$2:$AZ6238,fila,col),
IF(TRIM(TO_TEXT(valor))=TRIM(TO_TEXT(I570)),
""OK"&amp;""",
""NO COINCIDE. Valor verdadero: ""&amp;IF(valor="""",""[VACÍO]"",TO_TEXT(valor))
)
))))
),""ERROR EN FÓRMULA""))"),"NO COINCIDE. Valor verdadero: 33 x 60 x 3 (Ancho x Alto x Prof)")</f>
        <v>NO COINCIDE. Valor verdadero: 33 x 60 x 3 (Ancho x Alto x Prof)</v>
      </c>
    </row>
    <row r="571">
      <c r="A571" s="83" t="s">
        <v>4078</v>
      </c>
      <c r="B571" s="83" t="s">
        <v>4079</v>
      </c>
      <c r="C571" s="81" t="s">
        <v>4086</v>
      </c>
      <c r="D571" s="83" t="s">
        <v>4372</v>
      </c>
      <c r="E571" s="81" t="s">
        <v>1581</v>
      </c>
      <c r="F571" s="84">
        <v>311.0</v>
      </c>
      <c r="G571" s="81" t="s">
        <v>44</v>
      </c>
      <c r="H571" s="81" t="s">
        <v>224</v>
      </c>
      <c r="I571" s="81" t="s">
        <v>1401</v>
      </c>
      <c r="J571" s="81" t="s">
        <v>4088</v>
      </c>
      <c r="K571" s="81" t="str">
        <f>IFERROR(__xludf.DUMMYFUNCTION("IF(OR(D571="""",G571=""""),"""",IFERROR(LET(
campo,XLOOKUP(TRIM(G571),ARRAYFORMULA(TRIM('indice columnas'!$A$2:$A$100)),'indice columnas'!$B$2:$B$100,""""),
col,IFERROR(MATCH(campo,Referencia!$A$1:$AZ$1,0),0),
fila,IFERROR(MATCH(TO_TEXT(D571),ARRAYFORMULA"&amp;"(TO_TEXT(Referencia!$A$2:$A6238)),0),0),
IF(OR(campo="""",campo=""-""),""NO APLICA"",
IF(col=0,""REVISAR EQUIVALENCIA"",
IF(fila=0,""SKU NO ENCONTRADO"",
LET(
valor,INDEX(Referencia!$A$2:$AZ6238,fila,col),
IF(TRIM(TO_TEXT(valor))=TRIM(TO_TEXT(I571)),
""OK"&amp;""",
""NO COINCIDE. Valor verdadero: ""&amp;IF(valor="""",""[VACÍO]"",TO_TEXT(valor))
)
))))
),""ERROR EN FÓRMULA""))"),"NO APLICA")</f>
        <v>NO APLICA</v>
      </c>
    </row>
    <row r="572">
      <c r="A572" s="83" t="s">
        <v>4078</v>
      </c>
      <c r="B572" s="83" t="s">
        <v>4079</v>
      </c>
      <c r="C572" s="81" t="s">
        <v>4086</v>
      </c>
      <c r="D572" s="83" t="s">
        <v>4374</v>
      </c>
      <c r="E572" s="81" t="s">
        <v>1583</v>
      </c>
      <c r="F572" s="84">
        <v>312.0</v>
      </c>
      <c r="G572" s="81" t="s">
        <v>12</v>
      </c>
      <c r="H572" s="81" t="s">
        <v>224</v>
      </c>
      <c r="I572" s="81" t="s">
        <v>55</v>
      </c>
      <c r="J572" s="81" t="s">
        <v>224</v>
      </c>
      <c r="K572" s="81" t="str">
        <f>IFERROR(__xludf.DUMMYFUNCTION("IF(OR(D572="""",G572=""""),"""",IFERROR(LET(
campo,XLOOKUP(TRIM(G572),ARRAYFORMULA(TRIM('indice columnas'!$A$2:$A$100)),'indice columnas'!$B$2:$B$100,""""),
col,IFERROR(MATCH(campo,Referencia!$A$1:$AZ$1,0),0),
fila,IFERROR(MATCH(TO_TEXT(D572),ARRAYFORMULA"&amp;"(TO_TEXT(Referencia!$A$2:$A6238)),0),0),
IF(OR(campo="""",campo=""-""),""NO APLICA"",
IF(col=0,""REVISAR EQUIVALENCIA"",
IF(fila=0,""SKU NO ENCONTRADO"",
LET(
valor,INDEX(Referencia!$A$2:$AZ6238,fila,col),
IF(TRIM(TO_TEXT(valor))=TRIM(TO_TEXT(I572)),
""OK"&amp;""",
""NO COINCIDE. Valor verdadero: ""&amp;IF(valor="""",""[VACÍO]"",TO_TEXT(valor))
)
))))
),""ERROR EN FÓRMULA""))"),"OK")</f>
        <v>OK</v>
      </c>
    </row>
    <row r="573">
      <c r="A573" s="83" t="s">
        <v>4078</v>
      </c>
      <c r="B573" s="83" t="s">
        <v>4079</v>
      </c>
      <c r="C573" s="81" t="s">
        <v>4086</v>
      </c>
      <c r="D573" s="83" t="s">
        <v>4374</v>
      </c>
      <c r="E573" s="81" t="s">
        <v>1583</v>
      </c>
      <c r="F573" s="84">
        <v>312.0</v>
      </c>
      <c r="G573" s="81" t="s">
        <v>29</v>
      </c>
      <c r="H573" s="81" t="s">
        <v>4373</v>
      </c>
      <c r="I573" s="81" t="s">
        <v>1582</v>
      </c>
      <c r="J573" s="81" t="s">
        <v>224</v>
      </c>
      <c r="K573" s="81" t="str">
        <f>IFERROR(__xludf.DUMMYFUNCTION("IF(OR(D573="""",G573=""""),"""",IFERROR(LET(
campo,XLOOKUP(TRIM(G573),ARRAYFORMULA(TRIM('indice columnas'!$A$2:$A$100)),'indice columnas'!$B$2:$B$100,""""),
col,IFERROR(MATCH(campo,Referencia!$A$1:$AZ$1,0),0),
fila,IFERROR(MATCH(TO_TEXT(D573),ARRAYFORMULA"&amp;"(TO_TEXT(Referencia!$A$2:$A6238)),0),0),
IF(OR(campo="""",campo=""-""),""NO APLICA"",
IF(col=0,""REVISAR EQUIVALENCIA"",
IF(fila=0,""SKU NO ENCONTRADO"",
LET(
valor,INDEX(Referencia!$A$2:$AZ6238,fila,col),
IF(TRIM(TO_TEXT(valor))=TRIM(TO_TEXT(I573)),
""OK"&amp;""",
""NO COINCIDE. Valor verdadero: ""&amp;IF(valor="""",""[VACÍO]"",TO_TEXT(valor))
)
))))
),""ERROR EN FÓRMULA""))"),"NO COINCIDE. Valor verdadero: 33 x 60 x 3 (Ancho x Alto x Prof)")</f>
        <v>NO COINCIDE. Valor verdadero: 33 x 60 x 3 (Ancho x Alto x Prof)</v>
      </c>
    </row>
    <row r="574">
      <c r="A574" s="83" t="s">
        <v>4078</v>
      </c>
      <c r="B574" s="83" t="s">
        <v>4079</v>
      </c>
      <c r="C574" s="81" t="s">
        <v>4086</v>
      </c>
      <c r="D574" s="83" t="s">
        <v>4374</v>
      </c>
      <c r="E574" s="81" t="s">
        <v>1583</v>
      </c>
      <c r="F574" s="84">
        <v>312.0</v>
      </c>
      <c r="G574" s="81" t="s">
        <v>44</v>
      </c>
      <c r="H574" s="81" t="s">
        <v>224</v>
      </c>
      <c r="I574" s="81" t="s">
        <v>1401</v>
      </c>
      <c r="J574" s="81" t="s">
        <v>4088</v>
      </c>
      <c r="K574" s="81" t="str">
        <f>IFERROR(__xludf.DUMMYFUNCTION("IF(OR(D574="""",G574=""""),"""",IFERROR(LET(
campo,XLOOKUP(TRIM(G574),ARRAYFORMULA(TRIM('indice columnas'!$A$2:$A$100)),'indice columnas'!$B$2:$B$100,""""),
col,IFERROR(MATCH(campo,Referencia!$A$1:$AZ$1,0),0),
fila,IFERROR(MATCH(TO_TEXT(D574),ARRAYFORMULA"&amp;"(TO_TEXT(Referencia!$A$2:$A6238)),0),0),
IF(OR(campo="""",campo=""-""),""NO APLICA"",
IF(col=0,""REVISAR EQUIVALENCIA"",
IF(fila=0,""SKU NO ENCONTRADO"",
LET(
valor,INDEX(Referencia!$A$2:$AZ6238,fila,col),
IF(TRIM(TO_TEXT(valor))=TRIM(TO_TEXT(I574)),
""OK"&amp;""",
""NO COINCIDE. Valor verdadero: ""&amp;IF(valor="""",""[VACÍO]"",TO_TEXT(valor))
)
))))
),""ERROR EN FÓRMULA""))"),"NO APLICA")</f>
        <v>NO APLICA</v>
      </c>
    </row>
    <row r="575">
      <c r="A575" s="83" t="s">
        <v>4078</v>
      </c>
      <c r="B575" s="83" t="s">
        <v>4079</v>
      </c>
      <c r="C575" s="81" t="s">
        <v>4086</v>
      </c>
      <c r="D575" s="83" t="s">
        <v>4375</v>
      </c>
      <c r="E575" s="81" t="s">
        <v>1586</v>
      </c>
      <c r="F575" s="84">
        <v>313.0</v>
      </c>
      <c r="G575" s="81" t="s">
        <v>44</v>
      </c>
      <c r="H575" s="81" t="s">
        <v>224</v>
      </c>
      <c r="I575" s="81" t="s">
        <v>924</v>
      </c>
      <c r="J575" s="81" t="s">
        <v>4088</v>
      </c>
      <c r="K575" s="81" t="str">
        <f>IFERROR(__xludf.DUMMYFUNCTION("IF(OR(D575="""",G575=""""),"""",IFERROR(LET(
campo,XLOOKUP(TRIM(G575),ARRAYFORMULA(TRIM('indice columnas'!$A$2:$A$100)),'indice columnas'!$B$2:$B$100,""""),
col,IFERROR(MATCH(campo,Referencia!$A$1:$AZ$1,0),0),
fila,IFERROR(MATCH(TO_TEXT(D575),ARRAYFORMULA"&amp;"(TO_TEXT(Referencia!$A$2:$A6238)),0),0),
IF(OR(campo="""",campo=""-""),""NO APLICA"",
IF(col=0,""REVISAR EQUIVALENCIA"",
IF(fila=0,""SKU NO ENCONTRADO"",
LET(
valor,INDEX(Referencia!$A$2:$AZ6238,fila,col),
IF(TRIM(TO_TEXT(valor))=TRIM(TO_TEXT(I575)),
""OK"&amp;""",
""NO COINCIDE. Valor verdadero: ""&amp;IF(valor="""",""[VACÍO]"",TO_TEXT(valor))
)
))))
),""ERROR EN FÓRMULA""))"),"NO APLICA")</f>
        <v>NO APLICA</v>
      </c>
    </row>
    <row r="576">
      <c r="A576" s="83" t="s">
        <v>4078</v>
      </c>
      <c r="B576" s="83" t="s">
        <v>4079</v>
      </c>
      <c r="C576" s="81" t="s">
        <v>4086</v>
      </c>
      <c r="D576" s="83" t="s">
        <v>4375</v>
      </c>
      <c r="E576" s="81" t="s">
        <v>1590</v>
      </c>
      <c r="F576" s="84">
        <v>314.0</v>
      </c>
      <c r="G576" s="81" t="s">
        <v>7</v>
      </c>
      <c r="H576" s="81" t="s">
        <v>53</v>
      </c>
      <c r="I576" s="81" t="s">
        <v>1134</v>
      </c>
      <c r="J576" s="81" t="s">
        <v>224</v>
      </c>
      <c r="K576" s="81" t="str">
        <f>IFERROR(__xludf.DUMMYFUNCTION("IF(OR(D576="""",G576=""""),"""",IFERROR(LET(
campo,XLOOKUP(TRIM(G576),ARRAYFORMULA(TRIM('indice columnas'!$A$2:$A$100)),'indice columnas'!$B$2:$B$100,""""),
col,IFERROR(MATCH(campo,Referencia!$A$1:$AZ$1,0),0),
fila,IFERROR(MATCH(TO_TEXT(D576),ARRAYFORMULA"&amp;"(TO_TEXT(Referencia!$A$2:$A6238)),0),0),
IF(OR(campo="""",campo=""-""),""NO APLICA"",
IF(col=0,""REVISAR EQUIVALENCIA"",
IF(fila=0,""SKU NO ENCONTRADO"",
LET(
valor,INDEX(Referencia!$A$2:$AZ6238,fila,col),
IF(TRIM(TO_TEXT(valor))=TRIM(TO_TEXT(I576)),
""OK"&amp;""",
""NO COINCIDE. Valor verdadero: ""&amp;IF(valor="""",""[VACÍO]"",TO_TEXT(valor))
)
))))
),""ERROR EN FÓRMULA""))"),"REVISAR EQUIVALENCIA")</f>
        <v>REVISAR EQUIVALENCIA</v>
      </c>
    </row>
    <row r="577">
      <c r="A577" s="83" t="s">
        <v>4078</v>
      </c>
      <c r="B577" s="83" t="s">
        <v>4079</v>
      </c>
      <c r="C577" s="81" t="s">
        <v>4086</v>
      </c>
      <c r="D577" s="83" t="s">
        <v>4375</v>
      </c>
      <c r="E577" s="81" t="s">
        <v>1590</v>
      </c>
      <c r="F577" s="84">
        <v>314.0</v>
      </c>
      <c r="G577" s="81" t="s">
        <v>12</v>
      </c>
      <c r="H577" s="81" t="s">
        <v>224</v>
      </c>
      <c r="I577" s="81" t="s">
        <v>55</v>
      </c>
      <c r="J577" s="81" t="s">
        <v>224</v>
      </c>
      <c r="K577" s="81" t="str">
        <f>IFERROR(__xludf.DUMMYFUNCTION("IF(OR(D577="""",G577=""""),"""",IFERROR(LET(
campo,XLOOKUP(TRIM(G577),ARRAYFORMULA(TRIM('indice columnas'!$A$2:$A$100)),'indice columnas'!$B$2:$B$100,""""),
col,IFERROR(MATCH(campo,Referencia!$A$1:$AZ$1,0),0),
fila,IFERROR(MATCH(TO_TEXT(D577),ARRAYFORMULA"&amp;"(TO_TEXT(Referencia!$A$2:$A6238)),0),0),
IF(OR(campo="""",campo=""-""),""NO APLICA"",
IF(col=0,""REVISAR EQUIVALENCIA"",
IF(fila=0,""SKU NO ENCONTRADO"",
LET(
valor,INDEX(Referencia!$A$2:$AZ6238,fila,col),
IF(TRIM(TO_TEXT(valor))=TRIM(TO_TEXT(I577)),
""OK"&amp;""",
""NO COINCIDE. Valor verdadero: ""&amp;IF(valor="""",""[VACÍO]"",TO_TEXT(valor))
)
))))
),""ERROR EN FÓRMULA""))"),"OK")</f>
        <v>OK</v>
      </c>
    </row>
    <row r="578">
      <c r="A578" s="83" t="s">
        <v>4078</v>
      </c>
      <c r="B578" s="83" t="s">
        <v>4079</v>
      </c>
      <c r="C578" s="81" t="s">
        <v>4086</v>
      </c>
      <c r="D578" s="83" t="s">
        <v>4375</v>
      </c>
      <c r="E578" s="81" t="s">
        <v>1590</v>
      </c>
      <c r="F578" s="84">
        <v>314.0</v>
      </c>
      <c r="G578" s="81" t="s">
        <v>44</v>
      </c>
      <c r="H578" s="81" t="s">
        <v>224</v>
      </c>
      <c r="I578" s="81" t="s">
        <v>924</v>
      </c>
      <c r="J578" s="81" t="s">
        <v>4088</v>
      </c>
      <c r="K578" s="81" t="str">
        <f>IFERROR(__xludf.DUMMYFUNCTION("IF(OR(D578="""",G578=""""),"""",IFERROR(LET(
campo,XLOOKUP(TRIM(G578),ARRAYFORMULA(TRIM('indice columnas'!$A$2:$A$100)),'indice columnas'!$B$2:$B$100,""""),
col,IFERROR(MATCH(campo,Referencia!$A$1:$AZ$1,0),0),
fila,IFERROR(MATCH(TO_TEXT(D578),ARRAYFORMULA"&amp;"(TO_TEXT(Referencia!$A$2:$A6238)),0),0),
IF(OR(campo="""",campo=""-""),""NO APLICA"",
IF(col=0,""REVISAR EQUIVALENCIA"",
IF(fila=0,""SKU NO ENCONTRADO"",
LET(
valor,INDEX(Referencia!$A$2:$AZ6238,fila,col),
IF(TRIM(TO_TEXT(valor))=TRIM(TO_TEXT(I578)),
""OK"&amp;""",
""NO COINCIDE. Valor verdadero: ""&amp;IF(valor="""",""[VACÍO]"",TO_TEXT(valor))
)
))))
),""ERROR EN FÓRMULA""))"),"NO APLICA")</f>
        <v>NO APLICA</v>
      </c>
    </row>
    <row r="579">
      <c r="A579" s="83" t="s">
        <v>4078</v>
      </c>
      <c r="B579" s="83" t="s">
        <v>4079</v>
      </c>
      <c r="C579" s="81" t="s">
        <v>4086</v>
      </c>
      <c r="D579" s="83" t="s">
        <v>4376</v>
      </c>
      <c r="E579" s="81" t="s">
        <v>1591</v>
      </c>
      <c r="F579" s="84">
        <v>315.0</v>
      </c>
      <c r="G579" s="81" t="s">
        <v>7</v>
      </c>
      <c r="H579" s="81" t="s">
        <v>53</v>
      </c>
      <c r="I579" s="81" t="s">
        <v>1134</v>
      </c>
      <c r="J579" s="81" t="s">
        <v>224</v>
      </c>
      <c r="K579" s="81" t="str">
        <f>IFERROR(__xludf.DUMMYFUNCTION("IF(OR(D579="""",G579=""""),"""",IFERROR(LET(
campo,XLOOKUP(TRIM(G579),ARRAYFORMULA(TRIM('indice columnas'!$A$2:$A$100)),'indice columnas'!$B$2:$B$100,""""),
col,IFERROR(MATCH(campo,Referencia!$A$1:$AZ$1,0),0),
fila,IFERROR(MATCH(TO_TEXT(D579),ARRAYFORMULA"&amp;"(TO_TEXT(Referencia!$A$2:$A6238)),0),0),
IF(OR(campo="""",campo=""-""),""NO APLICA"",
IF(col=0,""REVISAR EQUIVALENCIA"",
IF(fila=0,""SKU NO ENCONTRADO"",
LET(
valor,INDEX(Referencia!$A$2:$AZ6238,fila,col),
IF(TRIM(TO_TEXT(valor))=TRIM(TO_TEXT(I579)),
""OK"&amp;""",
""NO COINCIDE. Valor verdadero: ""&amp;IF(valor="""",""[VACÍO]"",TO_TEXT(valor))
)
))))
),""ERROR EN FÓRMULA""))"),"REVISAR EQUIVALENCIA")</f>
        <v>REVISAR EQUIVALENCIA</v>
      </c>
    </row>
    <row r="580">
      <c r="A580" s="83" t="s">
        <v>4078</v>
      </c>
      <c r="B580" s="83" t="s">
        <v>4079</v>
      </c>
      <c r="C580" s="81" t="s">
        <v>4086</v>
      </c>
      <c r="D580" s="83" t="s">
        <v>4376</v>
      </c>
      <c r="E580" s="81" t="s">
        <v>1591</v>
      </c>
      <c r="F580" s="84">
        <v>315.0</v>
      </c>
      <c r="G580" s="81" t="s">
        <v>12</v>
      </c>
      <c r="H580" s="81" t="s">
        <v>224</v>
      </c>
      <c r="I580" s="81" t="s">
        <v>55</v>
      </c>
      <c r="J580" s="81" t="s">
        <v>224</v>
      </c>
      <c r="K580" s="81" t="str">
        <f>IFERROR(__xludf.DUMMYFUNCTION("IF(OR(D580="""",G580=""""),"""",IFERROR(LET(
campo,XLOOKUP(TRIM(G580),ARRAYFORMULA(TRIM('indice columnas'!$A$2:$A$100)),'indice columnas'!$B$2:$B$100,""""),
col,IFERROR(MATCH(campo,Referencia!$A$1:$AZ$1,0),0),
fila,IFERROR(MATCH(TO_TEXT(D580),ARRAYFORMULA"&amp;"(TO_TEXT(Referencia!$A$2:$A6238)),0),0),
IF(OR(campo="""",campo=""-""),""NO APLICA"",
IF(col=0,""REVISAR EQUIVALENCIA"",
IF(fila=0,""SKU NO ENCONTRADO"",
LET(
valor,INDEX(Referencia!$A$2:$AZ6238,fila,col),
IF(TRIM(TO_TEXT(valor))=TRIM(TO_TEXT(I580)),
""OK"&amp;""",
""NO COINCIDE. Valor verdadero: ""&amp;IF(valor="""",""[VACÍO]"",TO_TEXT(valor))
)
))))
),""ERROR EN FÓRMULA""))"),"OK")</f>
        <v>OK</v>
      </c>
    </row>
    <row r="581">
      <c r="A581" s="83" t="s">
        <v>4078</v>
      </c>
      <c r="B581" s="83" t="s">
        <v>4079</v>
      </c>
      <c r="C581" s="81" t="s">
        <v>4086</v>
      </c>
      <c r="D581" s="83" t="s">
        <v>4376</v>
      </c>
      <c r="E581" s="81" t="s">
        <v>1591</v>
      </c>
      <c r="F581" s="84">
        <v>315.0</v>
      </c>
      <c r="G581" s="81" t="s">
        <v>44</v>
      </c>
      <c r="H581" s="81" t="s">
        <v>224</v>
      </c>
      <c r="I581" s="81" t="s">
        <v>924</v>
      </c>
      <c r="J581" s="81" t="s">
        <v>4088</v>
      </c>
      <c r="K581" s="81" t="str">
        <f>IFERROR(__xludf.DUMMYFUNCTION("IF(OR(D581="""",G581=""""),"""",IFERROR(LET(
campo,XLOOKUP(TRIM(G581),ARRAYFORMULA(TRIM('indice columnas'!$A$2:$A$100)),'indice columnas'!$B$2:$B$100,""""),
col,IFERROR(MATCH(campo,Referencia!$A$1:$AZ$1,0),0),
fila,IFERROR(MATCH(TO_TEXT(D581),ARRAYFORMULA"&amp;"(TO_TEXT(Referencia!$A$2:$A6238)),0),0),
IF(OR(campo="""",campo=""-""),""NO APLICA"",
IF(col=0,""REVISAR EQUIVALENCIA"",
IF(fila=0,""SKU NO ENCONTRADO"",
LET(
valor,INDEX(Referencia!$A$2:$AZ6238,fila,col),
IF(TRIM(TO_TEXT(valor))=TRIM(TO_TEXT(I581)),
""OK"&amp;""",
""NO COINCIDE. Valor verdadero: ""&amp;IF(valor="""",""[VACÍO]"",TO_TEXT(valor))
)
))))
),""ERROR EN FÓRMULA""))"),"NO APLICA")</f>
        <v>NO APLICA</v>
      </c>
    </row>
    <row r="582">
      <c r="A582" s="83" t="s">
        <v>4078</v>
      </c>
      <c r="B582" s="83" t="s">
        <v>4079</v>
      </c>
      <c r="C582" s="81" t="s">
        <v>4086</v>
      </c>
      <c r="D582" s="83" t="s">
        <v>4377</v>
      </c>
      <c r="E582" s="81" t="s">
        <v>1594</v>
      </c>
      <c r="F582" s="84">
        <v>316.0</v>
      </c>
      <c r="G582" s="81" t="s">
        <v>44</v>
      </c>
      <c r="H582" s="81" t="s">
        <v>224</v>
      </c>
      <c r="I582" s="81" t="s">
        <v>1594</v>
      </c>
      <c r="J582" s="81" t="s">
        <v>4088</v>
      </c>
      <c r="K582" s="81" t="str">
        <f>IFERROR(__xludf.DUMMYFUNCTION("IF(OR(D582="""",G582=""""),"""",IFERROR(LET(
campo,XLOOKUP(TRIM(G582),ARRAYFORMULA(TRIM('indice columnas'!$A$2:$A$100)),'indice columnas'!$B$2:$B$100,""""),
col,IFERROR(MATCH(campo,Referencia!$A$1:$AZ$1,0),0),
fila,IFERROR(MATCH(TO_TEXT(D582),ARRAYFORMULA"&amp;"(TO_TEXT(Referencia!$A$2:$A6238)),0),0),
IF(OR(campo="""",campo=""-""),""NO APLICA"",
IF(col=0,""REVISAR EQUIVALENCIA"",
IF(fila=0,""SKU NO ENCONTRADO"",
LET(
valor,INDEX(Referencia!$A$2:$AZ6238,fila,col),
IF(TRIM(TO_TEXT(valor))=TRIM(TO_TEXT(I582)),
""OK"&amp;""",
""NO COINCIDE. Valor verdadero: ""&amp;IF(valor="""",""[VACÍO]"",TO_TEXT(valor))
)
))))
),""ERROR EN FÓRMULA""))"),"NO APLICA")</f>
        <v>NO APLICA</v>
      </c>
    </row>
    <row r="583">
      <c r="A583" s="83" t="s">
        <v>4078</v>
      </c>
      <c r="B583" s="83" t="s">
        <v>4079</v>
      </c>
      <c r="C583" s="81" t="s">
        <v>4086</v>
      </c>
      <c r="D583" s="83" t="s">
        <v>4378</v>
      </c>
      <c r="E583" s="81" t="s">
        <v>1609</v>
      </c>
      <c r="F583" s="84">
        <v>317.0</v>
      </c>
      <c r="G583" s="81" t="s">
        <v>44</v>
      </c>
      <c r="H583" s="81" t="s">
        <v>224</v>
      </c>
      <c r="I583" s="81" t="s">
        <v>4379</v>
      </c>
      <c r="J583" s="81" t="s">
        <v>4088</v>
      </c>
      <c r="K583" s="81" t="str">
        <f>IFERROR(__xludf.DUMMYFUNCTION("IF(OR(D583="""",G583=""""),"""",IFERROR(LET(
campo,XLOOKUP(TRIM(G583),ARRAYFORMULA(TRIM('indice columnas'!$A$2:$A$100)),'indice columnas'!$B$2:$B$100,""""),
col,IFERROR(MATCH(campo,Referencia!$A$1:$AZ$1,0),0),
fila,IFERROR(MATCH(TO_TEXT(D583),ARRAYFORMULA"&amp;"(TO_TEXT(Referencia!$A$2:$A6238)),0),0),
IF(OR(campo="""",campo=""-""),""NO APLICA"",
IF(col=0,""REVISAR EQUIVALENCIA"",
IF(fila=0,""SKU NO ENCONTRADO"",
LET(
valor,INDEX(Referencia!$A$2:$AZ6238,fila,col),
IF(TRIM(TO_TEXT(valor))=TRIM(TO_TEXT(I583)),
""OK"&amp;""",
""NO COINCIDE. Valor verdadero: ""&amp;IF(valor="""",""[VACÍO]"",TO_TEXT(valor))
)
))))
),""ERROR EN FÓRMULA""))"),"NO APLICA")</f>
        <v>NO APLICA</v>
      </c>
    </row>
    <row r="584">
      <c r="A584" s="83" t="s">
        <v>4078</v>
      </c>
      <c r="B584" s="83" t="s">
        <v>4079</v>
      </c>
      <c r="C584" s="81" t="s">
        <v>4086</v>
      </c>
      <c r="D584" s="83" t="s">
        <v>4378</v>
      </c>
      <c r="E584" s="81" t="s">
        <v>1616</v>
      </c>
      <c r="F584" s="84">
        <v>318.0</v>
      </c>
      <c r="G584" s="81" t="s">
        <v>12</v>
      </c>
      <c r="H584" s="81" t="s">
        <v>224</v>
      </c>
      <c r="I584" s="81" t="s">
        <v>55</v>
      </c>
      <c r="J584" s="81" t="s">
        <v>224</v>
      </c>
      <c r="K584" s="81" t="str">
        <f>IFERROR(__xludf.DUMMYFUNCTION("IF(OR(D584="""",G584=""""),"""",IFERROR(LET(
campo,XLOOKUP(TRIM(G584),ARRAYFORMULA(TRIM('indice columnas'!$A$2:$A$100)),'indice columnas'!$B$2:$B$100,""""),
col,IFERROR(MATCH(campo,Referencia!$A$1:$AZ$1,0),0),
fila,IFERROR(MATCH(TO_TEXT(D584),ARRAYFORMULA"&amp;"(TO_TEXT(Referencia!$A$2:$A6238)),0),0),
IF(OR(campo="""",campo=""-""),""NO APLICA"",
IF(col=0,""REVISAR EQUIVALENCIA"",
IF(fila=0,""SKU NO ENCONTRADO"",
LET(
valor,INDEX(Referencia!$A$2:$AZ6238,fila,col),
IF(TRIM(TO_TEXT(valor))=TRIM(TO_TEXT(I584)),
""OK"&amp;""",
""NO COINCIDE. Valor verdadero: ""&amp;IF(valor="""",""[VACÍO]"",TO_TEXT(valor))
)
))))
),""ERROR EN FÓRMULA""))"),"OK")</f>
        <v>OK</v>
      </c>
    </row>
    <row r="585">
      <c r="A585" s="83" t="s">
        <v>4078</v>
      </c>
      <c r="B585" s="83" t="s">
        <v>4079</v>
      </c>
      <c r="C585" s="81" t="s">
        <v>4086</v>
      </c>
      <c r="D585" s="83" t="s">
        <v>4378</v>
      </c>
      <c r="E585" s="81" t="s">
        <v>1616</v>
      </c>
      <c r="F585" s="84">
        <v>318.0</v>
      </c>
      <c r="G585" s="81" t="s">
        <v>44</v>
      </c>
      <c r="H585" s="81" t="s">
        <v>224</v>
      </c>
      <c r="I585" s="81" t="s">
        <v>4379</v>
      </c>
      <c r="J585" s="81" t="s">
        <v>4088</v>
      </c>
      <c r="K585" s="81" t="str">
        <f>IFERROR(__xludf.DUMMYFUNCTION("IF(OR(D585="""",G585=""""),"""",IFERROR(LET(
campo,XLOOKUP(TRIM(G585),ARRAYFORMULA(TRIM('indice columnas'!$A$2:$A$100)),'indice columnas'!$B$2:$B$100,""""),
col,IFERROR(MATCH(campo,Referencia!$A$1:$AZ$1,0),0),
fila,IFERROR(MATCH(TO_TEXT(D585),ARRAYFORMULA"&amp;"(TO_TEXT(Referencia!$A$2:$A6238)),0),0),
IF(OR(campo="""",campo=""-""),""NO APLICA"",
IF(col=0,""REVISAR EQUIVALENCIA"",
IF(fila=0,""SKU NO ENCONTRADO"",
LET(
valor,INDEX(Referencia!$A$2:$AZ6238,fila,col),
IF(TRIM(TO_TEXT(valor))=TRIM(TO_TEXT(I585)),
""OK"&amp;""",
""NO COINCIDE. Valor verdadero: ""&amp;IF(valor="""",""[VACÍO]"",TO_TEXT(valor))
)
))))
),""ERROR EN FÓRMULA""))"),"NO APLICA")</f>
        <v>NO APLICA</v>
      </c>
    </row>
    <row r="586">
      <c r="A586" s="83" t="s">
        <v>4078</v>
      </c>
      <c r="B586" s="83" t="s">
        <v>4079</v>
      </c>
      <c r="C586" s="81" t="s">
        <v>4086</v>
      </c>
      <c r="D586" s="83" t="s">
        <v>4380</v>
      </c>
      <c r="E586" s="81" t="s">
        <v>1617</v>
      </c>
      <c r="F586" s="84">
        <v>319.0</v>
      </c>
      <c r="G586" s="81" t="s">
        <v>12</v>
      </c>
      <c r="H586" s="81" t="s">
        <v>224</v>
      </c>
      <c r="I586" s="81" t="s">
        <v>55</v>
      </c>
      <c r="J586" s="81" t="s">
        <v>224</v>
      </c>
      <c r="K586" s="81" t="str">
        <f>IFERROR(__xludf.DUMMYFUNCTION("IF(OR(D586="""",G586=""""),"""",IFERROR(LET(
campo,XLOOKUP(TRIM(G586),ARRAYFORMULA(TRIM('indice columnas'!$A$2:$A$100)),'indice columnas'!$B$2:$B$100,""""),
col,IFERROR(MATCH(campo,Referencia!$A$1:$AZ$1,0),0),
fila,IFERROR(MATCH(TO_TEXT(D586),ARRAYFORMULA"&amp;"(TO_TEXT(Referencia!$A$2:$A6238)),0),0),
IF(OR(campo="""",campo=""-""),""NO APLICA"",
IF(col=0,""REVISAR EQUIVALENCIA"",
IF(fila=0,""SKU NO ENCONTRADO"",
LET(
valor,INDEX(Referencia!$A$2:$AZ6238,fila,col),
IF(TRIM(TO_TEXT(valor))=TRIM(TO_TEXT(I586)),
""OK"&amp;""",
""NO COINCIDE. Valor verdadero: ""&amp;IF(valor="""",""[VACÍO]"",TO_TEXT(valor))
)
))))
),""ERROR EN FÓRMULA""))"),"OK")</f>
        <v>OK</v>
      </c>
    </row>
    <row r="587">
      <c r="A587" s="83" t="s">
        <v>4078</v>
      </c>
      <c r="B587" s="83" t="s">
        <v>4079</v>
      </c>
      <c r="C587" s="81" t="s">
        <v>4086</v>
      </c>
      <c r="D587" s="83" t="s">
        <v>4380</v>
      </c>
      <c r="E587" s="81" t="s">
        <v>1617</v>
      </c>
      <c r="F587" s="84">
        <v>319.0</v>
      </c>
      <c r="G587" s="81" t="s">
        <v>44</v>
      </c>
      <c r="H587" s="81" t="s">
        <v>224</v>
      </c>
      <c r="I587" s="81" t="s">
        <v>4379</v>
      </c>
      <c r="J587" s="81" t="s">
        <v>4088</v>
      </c>
      <c r="K587" s="81" t="str">
        <f>IFERROR(__xludf.DUMMYFUNCTION("IF(OR(D587="""",G587=""""),"""",IFERROR(LET(
campo,XLOOKUP(TRIM(G587),ARRAYFORMULA(TRIM('indice columnas'!$A$2:$A$100)),'indice columnas'!$B$2:$B$100,""""),
col,IFERROR(MATCH(campo,Referencia!$A$1:$AZ$1,0),0),
fila,IFERROR(MATCH(TO_TEXT(D587),ARRAYFORMULA"&amp;"(TO_TEXT(Referencia!$A$2:$A6238)),0),0),
IF(OR(campo="""",campo=""-""),""NO APLICA"",
IF(col=0,""REVISAR EQUIVALENCIA"",
IF(fila=0,""SKU NO ENCONTRADO"",
LET(
valor,INDEX(Referencia!$A$2:$AZ6238,fila,col),
IF(TRIM(TO_TEXT(valor))=TRIM(TO_TEXT(I587)),
""OK"&amp;""",
""NO COINCIDE. Valor verdadero: ""&amp;IF(valor="""",""[VACÍO]"",TO_TEXT(valor))
)
))))
),""ERROR EN FÓRMULA""))"),"NO APLICA")</f>
        <v>NO APLICA</v>
      </c>
    </row>
    <row r="588">
      <c r="A588" s="83" t="s">
        <v>4078</v>
      </c>
      <c r="B588" s="83" t="s">
        <v>4079</v>
      </c>
      <c r="C588" s="81" t="s">
        <v>4086</v>
      </c>
      <c r="D588" s="83" t="s">
        <v>4381</v>
      </c>
      <c r="E588" s="81" t="s">
        <v>1620</v>
      </c>
      <c r="F588" s="84">
        <v>320.0</v>
      </c>
      <c r="G588" s="81" t="s">
        <v>12</v>
      </c>
      <c r="H588" s="81" t="s">
        <v>224</v>
      </c>
      <c r="I588" s="81" t="s">
        <v>55</v>
      </c>
      <c r="J588" s="81" t="s">
        <v>224</v>
      </c>
      <c r="K588" s="81" t="str">
        <f>IFERROR(__xludf.DUMMYFUNCTION("IF(OR(D588="""",G588=""""),"""",IFERROR(LET(
campo,XLOOKUP(TRIM(G588),ARRAYFORMULA(TRIM('indice columnas'!$A$2:$A$100)),'indice columnas'!$B$2:$B$100,""""),
col,IFERROR(MATCH(campo,Referencia!$A$1:$AZ$1,0),0),
fila,IFERROR(MATCH(TO_TEXT(D588),ARRAYFORMULA"&amp;"(TO_TEXT(Referencia!$A$2:$A6238)),0),0),
IF(OR(campo="""",campo=""-""),""NO APLICA"",
IF(col=0,""REVISAR EQUIVALENCIA"",
IF(fila=0,""SKU NO ENCONTRADO"",
LET(
valor,INDEX(Referencia!$A$2:$AZ6238,fila,col),
IF(TRIM(TO_TEXT(valor))=TRIM(TO_TEXT(I588)),
""OK"&amp;""",
""NO COINCIDE. Valor verdadero: ""&amp;IF(valor="""",""[VACÍO]"",TO_TEXT(valor))
)
))))
),""ERROR EN FÓRMULA""))"),"OK")</f>
        <v>OK</v>
      </c>
    </row>
    <row r="589">
      <c r="A589" s="83" t="s">
        <v>4078</v>
      </c>
      <c r="B589" s="83" t="s">
        <v>4079</v>
      </c>
      <c r="C589" s="81" t="s">
        <v>4086</v>
      </c>
      <c r="D589" s="83" t="s">
        <v>4381</v>
      </c>
      <c r="E589" s="81" t="s">
        <v>1620</v>
      </c>
      <c r="F589" s="84">
        <v>320.0</v>
      </c>
      <c r="G589" s="81" t="s">
        <v>44</v>
      </c>
      <c r="H589" s="81" t="s">
        <v>224</v>
      </c>
      <c r="I589" s="81" t="s">
        <v>1401</v>
      </c>
      <c r="J589" s="81" t="s">
        <v>4088</v>
      </c>
      <c r="K589" s="81" t="str">
        <f>IFERROR(__xludf.DUMMYFUNCTION("IF(OR(D589="""",G589=""""),"""",IFERROR(LET(
campo,XLOOKUP(TRIM(G589),ARRAYFORMULA(TRIM('indice columnas'!$A$2:$A$100)),'indice columnas'!$B$2:$B$100,""""),
col,IFERROR(MATCH(campo,Referencia!$A$1:$AZ$1,0),0),
fila,IFERROR(MATCH(TO_TEXT(D589),ARRAYFORMULA"&amp;"(TO_TEXT(Referencia!$A$2:$A6238)),0),0),
IF(OR(campo="""",campo=""-""),""NO APLICA"",
IF(col=0,""REVISAR EQUIVALENCIA"",
IF(fila=0,""SKU NO ENCONTRADO"",
LET(
valor,INDEX(Referencia!$A$2:$AZ6238,fila,col),
IF(TRIM(TO_TEXT(valor))=TRIM(TO_TEXT(I589)),
""OK"&amp;""",
""NO COINCIDE. Valor verdadero: ""&amp;IF(valor="""",""[VACÍO]"",TO_TEXT(valor))
)
))))
),""ERROR EN FÓRMULA""))"),"NO APLICA")</f>
        <v>NO APLICA</v>
      </c>
    </row>
    <row r="590">
      <c r="A590" s="83" t="s">
        <v>4078</v>
      </c>
      <c r="B590" s="83" t="s">
        <v>4079</v>
      </c>
      <c r="C590" s="81" t="s">
        <v>4086</v>
      </c>
      <c r="D590" s="83" t="s">
        <v>4382</v>
      </c>
      <c r="E590" s="81" t="s">
        <v>1623</v>
      </c>
      <c r="F590" s="84">
        <v>321.0</v>
      </c>
      <c r="G590" s="81" t="s">
        <v>12</v>
      </c>
      <c r="H590" s="81" t="s">
        <v>224</v>
      </c>
      <c r="I590" s="81" t="s">
        <v>55</v>
      </c>
      <c r="J590" s="81" t="s">
        <v>224</v>
      </c>
      <c r="K590" s="81" t="str">
        <f>IFERROR(__xludf.DUMMYFUNCTION("IF(OR(D590="""",G590=""""),"""",IFERROR(LET(
campo,XLOOKUP(TRIM(G590),ARRAYFORMULA(TRIM('indice columnas'!$A$2:$A$100)),'indice columnas'!$B$2:$B$100,""""),
col,IFERROR(MATCH(campo,Referencia!$A$1:$AZ$1,0),0),
fila,IFERROR(MATCH(TO_TEXT(D590),ARRAYFORMULA"&amp;"(TO_TEXT(Referencia!$A$2:$A6238)),0),0),
IF(OR(campo="""",campo=""-""),""NO APLICA"",
IF(col=0,""REVISAR EQUIVALENCIA"",
IF(fila=0,""SKU NO ENCONTRADO"",
LET(
valor,INDEX(Referencia!$A$2:$AZ6238,fila,col),
IF(TRIM(TO_TEXT(valor))=TRIM(TO_TEXT(I590)),
""OK"&amp;""",
""NO COINCIDE. Valor verdadero: ""&amp;IF(valor="""",""[VACÍO]"",TO_TEXT(valor))
)
))))
),""ERROR EN FÓRMULA""))"),"OK")</f>
        <v>OK</v>
      </c>
    </row>
    <row r="591">
      <c r="A591" s="83" t="s">
        <v>4078</v>
      </c>
      <c r="B591" s="83" t="s">
        <v>4079</v>
      </c>
      <c r="C591" s="81" t="s">
        <v>4086</v>
      </c>
      <c r="D591" s="83" t="s">
        <v>4382</v>
      </c>
      <c r="E591" s="81" t="s">
        <v>1623</v>
      </c>
      <c r="F591" s="84">
        <v>321.0</v>
      </c>
      <c r="G591" s="81" t="s">
        <v>44</v>
      </c>
      <c r="H591" s="81" t="s">
        <v>224</v>
      </c>
      <c r="I591" s="81" t="s">
        <v>1623</v>
      </c>
      <c r="J591" s="81" t="s">
        <v>4088</v>
      </c>
      <c r="K591" s="81" t="str">
        <f>IFERROR(__xludf.DUMMYFUNCTION("IF(OR(D591="""",G591=""""),"""",IFERROR(LET(
campo,XLOOKUP(TRIM(G591),ARRAYFORMULA(TRIM('indice columnas'!$A$2:$A$100)),'indice columnas'!$B$2:$B$100,""""),
col,IFERROR(MATCH(campo,Referencia!$A$1:$AZ$1,0),0),
fila,IFERROR(MATCH(TO_TEXT(D591),ARRAYFORMULA"&amp;"(TO_TEXT(Referencia!$A$2:$A6238)),0),0),
IF(OR(campo="""",campo=""-""),""NO APLICA"",
IF(col=0,""REVISAR EQUIVALENCIA"",
IF(fila=0,""SKU NO ENCONTRADO"",
LET(
valor,INDEX(Referencia!$A$2:$AZ6238,fila,col),
IF(TRIM(TO_TEXT(valor))=TRIM(TO_TEXT(I591)),
""OK"&amp;""",
""NO COINCIDE. Valor verdadero: ""&amp;IF(valor="""",""[VACÍO]"",TO_TEXT(valor))
)
))))
),""ERROR EN FÓRMULA""))"),"NO APLICA")</f>
        <v>NO APLICA</v>
      </c>
    </row>
    <row r="592">
      <c r="A592" s="83" t="s">
        <v>4078</v>
      </c>
      <c r="B592" s="83" t="s">
        <v>4079</v>
      </c>
      <c r="C592" s="81" t="s">
        <v>4086</v>
      </c>
      <c r="D592" s="83" t="s">
        <v>4383</v>
      </c>
      <c r="E592" s="81" t="s">
        <v>1629</v>
      </c>
      <c r="F592" s="84">
        <v>322.0</v>
      </c>
      <c r="G592" s="81" t="s">
        <v>44</v>
      </c>
      <c r="H592" s="81" t="s">
        <v>224</v>
      </c>
      <c r="I592" s="81" t="s">
        <v>1629</v>
      </c>
      <c r="J592" s="81" t="s">
        <v>4088</v>
      </c>
      <c r="K592" s="81" t="str">
        <f>IFERROR(__xludf.DUMMYFUNCTION("IF(OR(D592="""",G592=""""),"""",IFERROR(LET(
campo,XLOOKUP(TRIM(G592),ARRAYFORMULA(TRIM('indice columnas'!$A$2:$A$100)),'indice columnas'!$B$2:$B$100,""""),
col,IFERROR(MATCH(campo,Referencia!$A$1:$AZ$1,0),0),
fila,IFERROR(MATCH(TO_TEXT(D592),ARRAYFORMULA"&amp;"(TO_TEXT(Referencia!$A$2:$A6238)),0),0),
IF(OR(campo="""",campo=""-""),""NO APLICA"",
IF(col=0,""REVISAR EQUIVALENCIA"",
IF(fila=0,""SKU NO ENCONTRADO"",
LET(
valor,INDEX(Referencia!$A$2:$AZ6238,fila,col),
IF(TRIM(TO_TEXT(valor))=TRIM(TO_TEXT(I592)),
""OK"&amp;""",
""NO COINCIDE. Valor verdadero: ""&amp;IF(valor="""",""[VACÍO]"",TO_TEXT(valor))
)
))))
),""ERROR EN FÓRMULA""))"),"NO APLICA")</f>
        <v>NO APLICA</v>
      </c>
    </row>
    <row r="593">
      <c r="A593" s="83" t="s">
        <v>4078</v>
      </c>
      <c r="B593" s="83" t="s">
        <v>4079</v>
      </c>
      <c r="C593" s="81" t="s">
        <v>4086</v>
      </c>
      <c r="D593" s="83" t="s">
        <v>4383</v>
      </c>
      <c r="E593" s="81" t="s">
        <v>1645</v>
      </c>
      <c r="F593" s="84">
        <v>323.0</v>
      </c>
      <c r="G593" s="81" t="s">
        <v>44</v>
      </c>
      <c r="H593" s="81" t="s">
        <v>224</v>
      </c>
      <c r="I593" s="81" t="s">
        <v>1629</v>
      </c>
      <c r="J593" s="81" t="s">
        <v>4088</v>
      </c>
      <c r="K593" s="81" t="str">
        <f>IFERROR(__xludf.DUMMYFUNCTION("IF(OR(D593="""",G593=""""),"""",IFERROR(LET(
campo,XLOOKUP(TRIM(G593),ARRAYFORMULA(TRIM('indice columnas'!$A$2:$A$100)),'indice columnas'!$B$2:$B$100,""""),
col,IFERROR(MATCH(campo,Referencia!$A$1:$AZ$1,0),0),
fila,IFERROR(MATCH(TO_TEXT(D593),ARRAYFORMULA"&amp;"(TO_TEXT(Referencia!$A$2:$A6238)),0),0),
IF(OR(campo="""",campo=""-""),""NO APLICA"",
IF(col=0,""REVISAR EQUIVALENCIA"",
IF(fila=0,""SKU NO ENCONTRADO"",
LET(
valor,INDEX(Referencia!$A$2:$AZ6238,fila,col),
IF(TRIM(TO_TEXT(valor))=TRIM(TO_TEXT(I593)),
""OK"&amp;""",
""NO COINCIDE. Valor verdadero: ""&amp;IF(valor="""",""[VACÍO]"",TO_TEXT(valor))
)
))))
),""ERROR EN FÓRMULA""))"),"NO APLICA")</f>
        <v>NO APLICA</v>
      </c>
    </row>
    <row r="594">
      <c r="A594" s="83" t="s">
        <v>4078</v>
      </c>
      <c r="B594" s="83" t="s">
        <v>4079</v>
      </c>
      <c r="C594" s="81" t="s">
        <v>4086</v>
      </c>
      <c r="D594" s="83" t="s">
        <v>4384</v>
      </c>
      <c r="E594" s="81" t="s">
        <v>1646</v>
      </c>
      <c r="F594" s="84">
        <v>324.0</v>
      </c>
      <c r="G594" s="81" t="s">
        <v>44</v>
      </c>
      <c r="H594" s="81" t="s">
        <v>224</v>
      </c>
      <c r="I594" s="81" t="s">
        <v>1629</v>
      </c>
      <c r="J594" s="81" t="s">
        <v>4088</v>
      </c>
      <c r="K594" s="81" t="str">
        <f>IFERROR(__xludf.DUMMYFUNCTION("IF(OR(D594="""",G594=""""),"""",IFERROR(LET(
campo,XLOOKUP(TRIM(G594),ARRAYFORMULA(TRIM('indice columnas'!$A$2:$A$100)),'indice columnas'!$B$2:$B$100,""""),
col,IFERROR(MATCH(campo,Referencia!$A$1:$AZ$1,0),0),
fila,IFERROR(MATCH(TO_TEXT(D594),ARRAYFORMULA"&amp;"(TO_TEXT(Referencia!$A$2:$A6238)),0),0),
IF(OR(campo="""",campo=""-""),""NO APLICA"",
IF(col=0,""REVISAR EQUIVALENCIA"",
IF(fila=0,""SKU NO ENCONTRADO"",
LET(
valor,INDEX(Referencia!$A$2:$AZ6238,fila,col),
IF(TRIM(TO_TEXT(valor))=TRIM(TO_TEXT(I594)),
""OK"&amp;""",
""NO COINCIDE. Valor verdadero: ""&amp;IF(valor="""",""[VACÍO]"",TO_TEXT(valor))
)
))))
),""ERROR EN FÓRMULA""))"),"NO APLICA")</f>
        <v>NO APLICA</v>
      </c>
    </row>
    <row r="595">
      <c r="A595" s="83" t="s">
        <v>4078</v>
      </c>
      <c r="B595" s="83" t="s">
        <v>4079</v>
      </c>
      <c r="C595" s="81" t="s">
        <v>4086</v>
      </c>
      <c r="D595" s="83" t="s">
        <v>4385</v>
      </c>
      <c r="E595" s="81" t="s">
        <v>1649</v>
      </c>
      <c r="F595" s="84">
        <v>325.0</v>
      </c>
      <c r="G595" s="81" t="s">
        <v>44</v>
      </c>
      <c r="H595" s="81" t="s">
        <v>224</v>
      </c>
      <c r="I595" s="81" t="s">
        <v>1401</v>
      </c>
      <c r="J595" s="81" t="s">
        <v>4088</v>
      </c>
      <c r="K595" s="81" t="str">
        <f>IFERROR(__xludf.DUMMYFUNCTION("IF(OR(D595="""",G595=""""),"""",IFERROR(LET(
campo,XLOOKUP(TRIM(G595),ARRAYFORMULA(TRIM('indice columnas'!$A$2:$A$100)),'indice columnas'!$B$2:$B$100,""""),
col,IFERROR(MATCH(campo,Referencia!$A$1:$AZ$1,0),0),
fila,IFERROR(MATCH(TO_TEXT(D595),ARRAYFORMULA"&amp;"(TO_TEXT(Referencia!$A$2:$A6238)),0),0),
IF(OR(campo="""",campo=""-""),""NO APLICA"",
IF(col=0,""REVISAR EQUIVALENCIA"",
IF(fila=0,""SKU NO ENCONTRADO"",
LET(
valor,INDEX(Referencia!$A$2:$AZ6238,fila,col),
IF(TRIM(TO_TEXT(valor))=TRIM(TO_TEXT(I595)),
""OK"&amp;""",
""NO COINCIDE. Valor verdadero: ""&amp;IF(valor="""",""[VACÍO]"",TO_TEXT(valor))
)
))))
),""ERROR EN FÓRMULA""))"),"NO APLICA")</f>
        <v>NO APLICA</v>
      </c>
    </row>
    <row r="596">
      <c r="A596" s="83" t="s">
        <v>4078</v>
      </c>
      <c r="B596" s="83" t="s">
        <v>4079</v>
      </c>
      <c r="C596" s="81" t="s">
        <v>4086</v>
      </c>
      <c r="D596" s="83" t="s">
        <v>4385</v>
      </c>
      <c r="E596" s="81" t="s">
        <v>1652</v>
      </c>
      <c r="F596" s="84">
        <v>326.0</v>
      </c>
      <c r="G596" s="81" t="s">
        <v>12</v>
      </c>
      <c r="H596" s="81" t="s">
        <v>224</v>
      </c>
      <c r="I596" s="81" t="s">
        <v>55</v>
      </c>
      <c r="J596" s="81" t="s">
        <v>224</v>
      </c>
      <c r="K596" s="81" t="str">
        <f>IFERROR(__xludf.DUMMYFUNCTION("IF(OR(D596="""",G596=""""),"""",IFERROR(LET(
campo,XLOOKUP(TRIM(G596),ARRAYFORMULA(TRIM('indice columnas'!$A$2:$A$100)),'indice columnas'!$B$2:$B$100,""""),
col,IFERROR(MATCH(campo,Referencia!$A$1:$AZ$1,0),0),
fila,IFERROR(MATCH(TO_TEXT(D596),ARRAYFORMULA"&amp;"(TO_TEXT(Referencia!$A$2:$A6238)),0),0),
IF(OR(campo="""",campo=""-""),""NO APLICA"",
IF(col=0,""REVISAR EQUIVALENCIA"",
IF(fila=0,""SKU NO ENCONTRADO"",
LET(
valor,INDEX(Referencia!$A$2:$AZ6238,fila,col),
IF(TRIM(TO_TEXT(valor))=TRIM(TO_TEXT(I596)),
""OK"&amp;""",
""NO COINCIDE. Valor verdadero: ""&amp;IF(valor="""",""[VACÍO]"",TO_TEXT(valor))
)
))))
),""ERROR EN FÓRMULA""))"),"OK")</f>
        <v>OK</v>
      </c>
    </row>
    <row r="597">
      <c r="A597" s="83" t="s">
        <v>4078</v>
      </c>
      <c r="B597" s="83" t="s">
        <v>4079</v>
      </c>
      <c r="C597" s="81" t="s">
        <v>4086</v>
      </c>
      <c r="D597" s="83" t="s">
        <v>4385</v>
      </c>
      <c r="E597" s="81" t="s">
        <v>1652</v>
      </c>
      <c r="F597" s="84">
        <v>326.0</v>
      </c>
      <c r="G597" s="81" t="s">
        <v>44</v>
      </c>
      <c r="H597" s="81" t="s">
        <v>224</v>
      </c>
      <c r="I597" s="81" t="s">
        <v>1401</v>
      </c>
      <c r="J597" s="81" t="s">
        <v>4088</v>
      </c>
      <c r="K597" s="81" t="str">
        <f>IFERROR(__xludf.DUMMYFUNCTION("IF(OR(D597="""",G597=""""),"""",IFERROR(LET(
campo,XLOOKUP(TRIM(G597),ARRAYFORMULA(TRIM('indice columnas'!$A$2:$A$100)),'indice columnas'!$B$2:$B$100,""""),
col,IFERROR(MATCH(campo,Referencia!$A$1:$AZ$1,0),0),
fila,IFERROR(MATCH(TO_TEXT(D597),ARRAYFORMULA"&amp;"(TO_TEXT(Referencia!$A$2:$A6238)),0),0),
IF(OR(campo="""",campo=""-""),""NO APLICA"",
IF(col=0,""REVISAR EQUIVALENCIA"",
IF(fila=0,""SKU NO ENCONTRADO"",
LET(
valor,INDEX(Referencia!$A$2:$AZ6238,fila,col),
IF(TRIM(TO_TEXT(valor))=TRIM(TO_TEXT(I597)),
""OK"&amp;""",
""NO COINCIDE. Valor verdadero: ""&amp;IF(valor="""",""[VACÍO]"",TO_TEXT(valor))
)
))))
),""ERROR EN FÓRMULA""))"),"NO APLICA")</f>
        <v>NO APLICA</v>
      </c>
    </row>
    <row r="598">
      <c r="A598" s="83" t="s">
        <v>4078</v>
      </c>
      <c r="B598" s="83" t="s">
        <v>4079</v>
      </c>
      <c r="C598" s="81" t="s">
        <v>4086</v>
      </c>
      <c r="D598" s="83" t="s">
        <v>4386</v>
      </c>
      <c r="E598" s="81" t="s">
        <v>1653</v>
      </c>
      <c r="F598" s="84">
        <v>327.0</v>
      </c>
      <c r="G598" s="81" t="s">
        <v>12</v>
      </c>
      <c r="H598" s="81" t="s">
        <v>224</v>
      </c>
      <c r="I598" s="81" t="s">
        <v>55</v>
      </c>
      <c r="J598" s="81" t="s">
        <v>224</v>
      </c>
      <c r="K598" s="81" t="str">
        <f>IFERROR(__xludf.DUMMYFUNCTION("IF(OR(D598="""",G598=""""),"""",IFERROR(LET(
campo,XLOOKUP(TRIM(G598),ARRAYFORMULA(TRIM('indice columnas'!$A$2:$A$100)),'indice columnas'!$B$2:$B$100,""""),
col,IFERROR(MATCH(campo,Referencia!$A$1:$AZ$1,0),0),
fila,IFERROR(MATCH(TO_TEXT(D598),ARRAYFORMULA"&amp;"(TO_TEXT(Referencia!$A$2:$A6238)),0),0),
IF(OR(campo="""",campo=""-""),""NO APLICA"",
IF(col=0,""REVISAR EQUIVALENCIA"",
IF(fila=0,""SKU NO ENCONTRADO"",
LET(
valor,INDEX(Referencia!$A$2:$AZ6238,fila,col),
IF(TRIM(TO_TEXT(valor))=TRIM(TO_TEXT(I598)),
""OK"&amp;""",
""NO COINCIDE. Valor verdadero: ""&amp;IF(valor="""",""[VACÍO]"",TO_TEXT(valor))
)
))))
),""ERROR EN FÓRMULA""))"),"OK")</f>
        <v>OK</v>
      </c>
    </row>
    <row r="599">
      <c r="A599" s="83" t="s">
        <v>4078</v>
      </c>
      <c r="B599" s="83" t="s">
        <v>4079</v>
      </c>
      <c r="C599" s="81" t="s">
        <v>4086</v>
      </c>
      <c r="D599" s="83" t="s">
        <v>4386</v>
      </c>
      <c r="E599" s="81" t="s">
        <v>1653</v>
      </c>
      <c r="F599" s="84">
        <v>327.0</v>
      </c>
      <c r="G599" s="81" t="s">
        <v>44</v>
      </c>
      <c r="H599" s="81" t="s">
        <v>224</v>
      </c>
      <c r="I599" s="81" t="s">
        <v>1401</v>
      </c>
      <c r="J599" s="81" t="s">
        <v>4088</v>
      </c>
      <c r="K599" s="81" t="str">
        <f>IFERROR(__xludf.DUMMYFUNCTION("IF(OR(D599="""",G599=""""),"""",IFERROR(LET(
campo,XLOOKUP(TRIM(G599),ARRAYFORMULA(TRIM('indice columnas'!$A$2:$A$100)),'indice columnas'!$B$2:$B$100,""""),
col,IFERROR(MATCH(campo,Referencia!$A$1:$AZ$1,0),0),
fila,IFERROR(MATCH(TO_TEXT(D599),ARRAYFORMULA"&amp;"(TO_TEXT(Referencia!$A$2:$A6238)),0),0),
IF(OR(campo="""",campo=""-""),""NO APLICA"",
IF(col=0,""REVISAR EQUIVALENCIA"",
IF(fila=0,""SKU NO ENCONTRADO"",
LET(
valor,INDEX(Referencia!$A$2:$AZ6238,fila,col),
IF(TRIM(TO_TEXT(valor))=TRIM(TO_TEXT(I599)),
""OK"&amp;""",
""NO COINCIDE. Valor verdadero: ""&amp;IF(valor="""",""[VACÍO]"",TO_TEXT(valor))
)
))))
),""ERROR EN FÓRMULA""))"),"NO APLICA")</f>
        <v>NO APLICA</v>
      </c>
    </row>
    <row r="600">
      <c r="A600" s="83" t="s">
        <v>4078</v>
      </c>
      <c r="B600" s="83" t="s">
        <v>4079</v>
      </c>
      <c r="C600" s="81" t="s">
        <v>4086</v>
      </c>
      <c r="D600" s="83" t="s">
        <v>4387</v>
      </c>
      <c r="E600" s="81" t="s">
        <v>1655</v>
      </c>
      <c r="F600" s="84">
        <v>328.0</v>
      </c>
      <c r="G600" s="81" t="s">
        <v>44</v>
      </c>
      <c r="H600" s="81" t="s">
        <v>4339</v>
      </c>
      <c r="I600" s="81" t="s">
        <v>1401</v>
      </c>
      <c r="J600" s="81" t="s">
        <v>4088</v>
      </c>
      <c r="K600" s="81" t="str">
        <f>IFERROR(__xludf.DUMMYFUNCTION("IF(OR(D600="""",G600=""""),"""",IFERROR(LET(
campo,XLOOKUP(TRIM(G600),ARRAYFORMULA(TRIM('indice columnas'!$A$2:$A$100)),'indice columnas'!$B$2:$B$100,""""),
col,IFERROR(MATCH(campo,Referencia!$A$1:$AZ$1,0),0),
fila,IFERROR(MATCH(TO_TEXT(D600),ARRAYFORMULA"&amp;"(TO_TEXT(Referencia!$A$2:$A6238)),0),0),
IF(OR(campo="""",campo=""-""),""NO APLICA"",
IF(col=0,""REVISAR EQUIVALENCIA"",
IF(fila=0,""SKU NO ENCONTRADO"",
LET(
valor,INDEX(Referencia!$A$2:$AZ6238,fila,col),
IF(TRIM(TO_TEXT(valor))=TRIM(TO_TEXT(I600)),
""OK"&amp;""",
""NO COINCIDE. Valor verdadero: ""&amp;IF(valor="""",""[VACÍO]"",TO_TEXT(valor))
)
))))
),""ERROR EN FÓRMULA""))"),"NO APLICA")</f>
        <v>NO APLICA</v>
      </c>
    </row>
    <row r="601">
      <c r="A601" s="83" t="s">
        <v>4078</v>
      </c>
      <c r="B601" s="83" t="s">
        <v>4079</v>
      </c>
      <c r="C601" s="81" t="s">
        <v>4086</v>
      </c>
      <c r="D601" s="83" t="s">
        <v>4387</v>
      </c>
      <c r="E601" s="81" t="s">
        <v>1665</v>
      </c>
      <c r="F601" s="84">
        <v>329.0</v>
      </c>
      <c r="G601" s="81" t="s">
        <v>44</v>
      </c>
      <c r="H601" s="81" t="s">
        <v>4339</v>
      </c>
      <c r="I601" s="81" t="s">
        <v>1401</v>
      </c>
      <c r="J601" s="81" t="s">
        <v>4088</v>
      </c>
      <c r="K601" s="81" t="str">
        <f>IFERROR(__xludf.DUMMYFUNCTION("IF(OR(D601="""",G601=""""),"""",IFERROR(LET(
campo,XLOOKUP(TRIM(G601),ARRAYFORMULA(TRIM('indice columnas'!$A$2:$A$100)),'indice columnas'!$B$2:$B$100,""""),
col,IFERROR(MATCH(campo,Referencia!$A$1:$AZ$1,0),0),
fila,IFERROR(MATCH(TO_TEXT(D601),ARRAYFORMULA"&amp;"(TO_TEXT(Referencia!$A$2:$A6238)),0),0),
IF(OR(campo="""",campo=""-""),""NO APLICA"",
IF(col=0,""REVISAR EQUIVALENCIA"",
IF(fila=0,""SKU NO ENCONTRADO"",
LET(
valor,INDEX(Referencia!$A$2:$AZ6238,fila,col),
IF(TRIM(TO_TEXT(valor))=TRIM(TO_TEXT(I601)),
""OK"&amp;""",
""NO COINCIDE. Valor verdadero: ""&amp;IF(valor="""",""[VACÍO]"",TO_TEXT(valor))
)
))))
),""ERROR EN FÓRMULA""))"),"NO APLICA")</f>
        <v>NO APLICA</v>
      </c>
    </row>
    <row r="602">
      <c r="A602" s="83" t="s">
        <v>4078</v>
      </c>
      <c r="B602" s="83" t="s">
        <v>4079</v>
      </c>
      <c r="C602" s="81" t="s">
        <v>4086</v>
      </c>
      <c r="D602" s="83" t="s">
        <v>4388</v>
      </c>
      <c r="E602" s="81" t="s">
        <v>1666</v>
      </c>
      <c r="F602" s="84">
        <v>330.0</v>
      </c>
      <c r="G602" s="81" t="s">
        <v>44</v>
      </c>
      <c r="H602" s="81" t="s">
        <v>4339</v>
      </c>
      <c r="I602" s="81" t="s">
        <v>1401</v>
      </c>
      <c r="J602" s="81" t="s">
        <v>4088</v>
      </c>
      <c r="K602" s="81" t="str">
        <f>IFERROR(__xludf.DUMMYFUNCTION("IF(OR(D602="""",G602=""""),"""",IFERROR(LET(
campo,XLOOKUP(TRIM(G602),ARRAYFORMULA(TRIM('indice columnas'!$A$2:$A$100)),'indice columnas'!$B$2:$B$100,""""),
col,IFERROR(MATCH(campo,Referencia!$A$1:$AZ$1,0),0),
fila,IFERROR(MATCH(TO_TEXT(D602),ARRAYFORMULA"&amp;"(TO_TEXT(Referencia!$A$2:$A6238)),0),0),
IF(OR(campo="""",campo=""-""),""NO APLICA"",
IF(col=0,""REVISAR EQUIVALENCIA"",
IF(fila=0,""SKU NO ENCONTRADO"",
LET(
valor,INDEX(Referencia!$A$2:$AZ6238,fila,col),
IF(TRIM(TO_TEXT(valor))=TRIM(TO_TEXT(I602)),
""OK"&amp;""",
""NO COINCIDE. Valor verdadero: ""&amp;IF(valor="""",""[VACÍO]"",TO_TEXT(valor))
)
))))
),""ERROR EN FÓRMULA""))"),"NO APLICA")</f>
        <v>NO APLICA</v>
      </c>
    </row>
    <row r="603">
      <c r="A603" s="83" t="s">
        <v>4078</v>
      </c>
      <c r="B603" s="83" t="s">
        <v>4079</v>
      </c>
      <c r="C603" s="81" t="s">
        <v>4086</v>
      </c>
      <c r="D603" s="83" t="s">
        <v>4389</v>
      </c>
      <c r="E603" s="81" t="s">
        <v>1670</v>
      </c>
      <c r="F603" s="84">
        <v>331.0</v>
      </c>
      <c r="G603" s="81" t="s">
        <v>44</v>
      </c>
      <c r="H603" s="81" t="s">
        <v>224</v>
      </c>
      <c r="I603" s="81" t="s">
        <v>1670</v>
      </c>
      <c r="J603" s="81" t="s">
        <v>4088</v>
      </c>
      <c r="K603" s="81" t="str">
        <f>IFERROR(__xludf.DUMMYFUNCTION("IF(OR(D603="""",G603=""""),"""",IFERROR(LET(
campo,XLOOKUP(TRIM(G603),ARRAYFORMULA(TRIM('indice columnas'!$A$2:$A$100)),'indice columnas'!$B$2:$B$100,""""),
col,IFERROR(MATCH(campo,Referencia!$A$1:$AZ$1,0),0),
fila,IFERROR(MATCH(TO_TEXT(D603),ARRAYFORMULA"&amp;"(TO_TEXT(Referencia!$A$2:$A6238)),0),0),
IF(OR(campo="""",campo=""-""),""NO APLICA"",
IF(col=0,""REVISAR EQUIVALENCIA"",
IF(fila=0,""SKU NO ENCONTRADO"",
LET(
valor,INDEX(Referencia!$A$2:$AZ6238,fila,col),
IF(TRIM(TO_TEXT(valor))=TRIM(TO_TEXT(I603)),
""OK"&amp;""",
""NO COINCIDE. Valor verdadero: ""&amp;IF(valor="""",""[VACÍO]"",TO_TEXT(valor))
)
))))
),""ERROR EN FÓRMULA""))"),"NO APLICA")</f>
        <v>NO APLICA</v>
      </c>
    </row>
    <row r="604">
      <c r="A604" s="83" t="s">
        <v>4078</v>
      </c>
      <c r="B604" s="83" t="s">
        <v>4079</v>
      </c>
      <c r="C604" s="81" t="s">
        <v>4086</v>
      </c>
      <c r="D604" s="83" t="s">
        <v>4389</v>
      </c>
      <c r="E604" s="81" t="s">
        <v>1678</v>
      </c>
      <c r="F604" s="84">
        <v>332.0</v>
      </c>
      <c r="G604" s="81" t="s">
        <v>7</v>
      </c>
      <c r="H604" s="81" t="s">
        <v>53</v>
      </c>
      <c r="I604" s="81" t="s">
        <v>1134</v>
      </c>
      <c r="J604" s="81" t="s">
        <v>224</v>
      </c>
      <c r="K604" s="81" t="str">
        <f>IFERROR(__xludf.DUMMYFUNCTION("IF(OR(D604="""",G604=""""),"""",IFERROR(LET(
campo,XLOOKUP(TRIM(G604),ARRAYFORMULA(TRIM('indice columnas'!$A$2:$A$100)),'indice columnas'!$B$2:$B$100,""""),
col,IFERROR(MATCH(campo,Referencia!$A$1:$AZ$1,0),0),
fila,IFERROR(MATCH(TO_TEXT(D604),ARRAYFORMULA"&amp;"(TO_TEXT(Referencia!$A$2:$A6238)),0),0),
IF(OR(campo="""",campo=""-""),""NO APLICA"",
IF(col=0,""REVISAR EQUIVALENCIA"",
IF(fila=0,""SKU NO ENCONTRADO"",
LET(
valor,INDEX(Referencia!$A$2:$AZ6238,fila,col),
IF(TRIM(TO_TEXT(valor))=TRIM(TO_TEXT(I604)),
""OK"&amp;""",
""NO COINCIDE. Valor verdadero: ""&amp;IF(valor="""",""[VACÍO]"",TO_TEXT(valor))
)
))))
),""ERROR EN FÓRMULA""))"),"REVISAR EQUIVALENCIA")</f>
        <v>REVISAR EQUIVALENCIA</v>
      </c>
    </row>
    <row r="605">
      <c r="A605" s="83" t="s">
        <v>4078</v>
      </c>
      <c r="B605" s="83" t="s">
        <v>4079</v>
      </c>
      <c r="C605" s="81" t="s">
        <v>4086</v>
      </c>
      <c r="D605" s="83" t="s">
        <v>4389</v>
      </c>
      <c r="E605" s="81" t="s">
        <v>1678</v>
      </c>
      <c r="F605" s="84">
        <v>332.0</v>
      </c>
      <c r="G605" s="81" t="s">
        <v>12</v>
      </c>
      <c r="H605" s="81" t="s">
        <v>224</v>
      </c>
      <c r="I605" s="81" t="s">
        <v>55</v>
      </c>
      <c r="J605" s="81" t="s">
        <v>224</v>
      </c>
      <c r="K605" s="81" t="str">
        <f>IFERROR(__xludf.DUMMYFUNCTION("IF(OR(D605="""",G605=""""),"""",IFERROR(LET(
campo,XLOOKUP(TRIM(G605),ARRAYFORMULA(TRIM('indice columnas'!$A$2:$A$100)),'indice columnas'!$B$2:$B$100,""""),
col,IFERROR(MATCH(campo,Referencia!$A$1:$AZ$1,0),0),
fila,IFERROR(MATCH(TO_TEXT(D605),ARRAYFORMULA"&amp;"(TO_TEXT(Referencia!$A$2:$A6238)),0),0),
IF(OR(campo="""",campo=""-""),""NO APLICA"",
IF(col=0,""REVISAR EQUIVALENCIA"",
IF(fila=0,""SKU NO ENCONTRADO"",
LET(
valor,INDEX(Referencia!$A$2:$AZ6238,fila,col),
IF(TRIM(TO_TEXT(valor))=TRIM(TO_TEXT(I605)),
""OK"&amp;""",
""NO COINCIDE. Valor verdadero: ""&amp;IF(valor="""",""[VACÍO]"",TO_TEXT(valor))
)
))))
),""ERROR EN FÓRMULA""))"),"OK")</f>
        <v>OK</v>
      </c>
    </row>
    <row r="606">
      <c r="A606" s="83" t="s">
        <v>4078</v>
      </c>
      <c r="B606" s="83" t="s">
        <v>4079</v>
      </c>
      <c r="C606" s="81" t="s">
        <v>4086</v>
      </c>
      <c r="D606" s="83" t="s">
        <v>4389</v>
      </c>
      <c r="E606" s="81" t="s">
        <v>1678</v>
      </c>
      <c r="F606" s="84">
        <v>332.0</v>
      </c>
      <c r="G606" s="81" t="s">
        <v>44</v>
      </c>
      <c r="H606" s="81" t="s">
        <v>224</v>
      </c>
      <c r="I606" s="81" t="s">
        <v>1670</v>
      </c>
      <c r="J606" s="81" t="s">
        <v>4088</v>
      </c>
      <c r="K606" s="81" t="str">
        <f>IFERROR(__xludf.DUMMYFUNCTION("IF(OR(D606="""",G606=""""),"""",IFERROR(LET(
campo,XLOOKUP(TRIM(G606),ARRAYFORMULA(TRIM('indice columnas'!$A$2:$A$100)),'indice columnas'!$B$2:$B$100,""""),
col,IFERROR(MATCH(campo,Referencia!$A$1:$AZ$1,0),0),
fila,IFERROR(MATCH(TO_TEXT(D606),ARRAYFORMULA"&amp;"(TO_TEXT(Referencia!$A$2:$A6238)),0),0),
IF(OR(campo="""",campo=""-""),""NO APLICA"",
IF(col=0,""REVISAR EQUIVALENCIA"",
IF(fila=0,""SKU NO ENCONTRADO"",
LET(
valor,INDEX(Referencia!$A$2:$AZ6238,fila,col),
IF(TRIM(TO_TEXT(valor))=TRIM(TO_TEXT(I606)),
""OK"&amp;""",
""NO COINCIDE. Valor verdadero: ""&amp;IF(valor="""",""[VACÍO]"",TO_TEXT(valor))
)
))))
),""ERROR EN FÓRMULA""))"),"NO APLICA")</f>
        <v>NO APLICA</v>
      </c>
    </row>
    <row r="607">
      <c r="A607" s="83" t="s">
        <v>4078</v>
      </c>
      <c r="B607" s="83" t="s">
        <v>4079</v>
      </c>
      <c r="C607" s="81" t="s">
        <v>4086</v>
      </c>
      <c r="D607" s="83" t="s">
        <v>4390</v>
      </c>
      <c r="E607" s="81" t="s">
        <v>1679</v>
      </c>
      <c r="F607" s="84">
        <v>333.0</v>
      </c>
      <c r="G607" s="81" t="s">
        <v>7</v>
      </c>
      <c r="H607" s="81" t="s">
        <v>53</v>
      </c>
      <c r="I607" s="81" t="s">
        <v>1134</v>
      </c>
      <c r="J607" s="81" t="s">
        <v>224</v>
      </c>
      <c r="K607" s="81" t="str">
        <f>IFERROR(__xludf.DUMMYFUNCTION("IF(OR(D607="""",G607=""""),"""",IFERROR(LET(
campo,XLOOKUP(TRIM(G607),ARRAYFORMULA(TRIM('indice columnas'!$A$2:$A$100)),'indice columnas'!$B$2:$B$100,""""),
col,IFERROR(MATCH(campo,Referencia!$A$1:$AZ$1,0),0),
fila,IFERROR(MATCH(TO_TEXT(D607),ARRAYFORMULA"&amp;"(TO_TEXT(Referencia!$A$2:$A6238)),0),0),
IF(OR(campo="""",campo=""-""),""NO APLICA"",
IF(col=0,""REVISAR EQUIVALENCIA"",
IF(fila=0,""SKU NO ENCONTRADO"",
LET(
valor,INDEX(Referencia!$A$2:$AZ6238,fila,col),
IF(TRIM(TO_TEXT(valor))=TRIM(TO_TEXT(I607)),
""OK"&amp;""",
""NO COINCIDE. Valor verdadero: ""&amp;IF(valor="""",""[VACÍO]"",TO_TEXT(valor))
)
))))
),""ERROR EN FÓRMULA""))"),"REVISAR EQUIVALENCIA")</f>
        <v>REVISAR EQUIVALENCIA</v>
      </c>
    </row>
    <row r="608">
      <c r="A608" s="83" t="s">
        <v>4078</v>
      </c>
      <c r="B608" s="83" t="s">
        <v>4079</v>
      </c>
      <c r="C608" s="81" t="s">
        <v>4086</v>
      </c>
      <c r="D608" s="83" t="s">
        <v>4390</v>
      </c>
      <c r="E608" s="81" t="s">
        <v>1679</v>
      </c>
      <c r="F608" s="84">
        <v>333.0</v>
      </c>
      <c r="G608" s="81" t="s">
        <v>12</v>
      </c>
      <c r="H608" s="81" t="s">
        <v>224</v>
      </c>
      <c r="I608" s="81" t="s">
        <v>55</v>
      </c>
      <c r="J608" s="81" t="s">
        <v>224</v>
      </c>
      <c r="K608" s="81" t="str">
        <f>IFERROR(__xludf.DUMMYFUNCTION("IF(OR(D608="""",G608=""""),"""",IFERROR(LET(
campo,XLOOKUP(TRIM(G608),ARRAYFORMULA(TRIM('indice columnas'!$A$2:$A$100)),'indice columnas'!$B$2:$B$100,""""),
col,IFERROR(MATCH(campo,Referencia!$A$1:$AZ$1,0),0),
fila,IFERROR(MATCH(TO_TEXT(D608),ARRAYFORMULA"&amp;"(TO_TEXT(Referencia!$A$2:$A6238)),0),0),
IF(OR(campo="""",campo=""-""),""NO APLICA"",
IF(col=0,""REVISAR EQUIVALENCIA"",
IF(fila=0,""SKU NO ENCONTRADO"",
LET(
valor,INDEX(Referencia!$A$2:$AZ6238,fila,col),
IF(TRIM(TO_TEXT(valor))=TRIM(TO_TEXT(I608)),
""OK"&amp;""",
""NO COINCIDE. Valor verdadero: ""&amp;IF(valor="""",""[VACÍO]"",TO_TEXT(valor))
)
))))
),""ERROR EN FÓRMULA""))"),"OK")</f>
        <v>OK</v>
      </c>
    </row>
    <row r="609">
      <c r="A609" s="83" t="s">
        <v>4078</v>
      </c>
      <c r="B609" s="83" t="s">
        <v>4079</v>
      </c>
      <c r="C609" s="81" t="s">
        <v>4086</v>
      </c>
      <c r="D609" s="83" t="s">
        <v>4390</v>
      </c>
      <c r="E609" s="81" t="s">
        <v>1679</v>
      </c>
      <c r="F609" s="84">
        <v>333.0</v>
      </c>
      <c r="G609" s="81" t="s">
        <v>44</v>
      </c>
      <c r="H609" s="81" t="s">
        <v>224</v>
      </c>
      <c r="I609" s="81" t="s">
        <v>1670</v>
      </c>
      <c r="J609" s="81" t="s">
        <v>4088</v>
      </c>
      <c r="K609" s="81" t="str">
        <f>IFERROR(__xludf.DUMMYFUNCTION("IF(OR(D609="""",G609=""""),"""",IFERROR(LET(
campo,XLOOKUP(TRIM(G609),ARRAYFORMULA(TRIM('indice columnas'!$A$2:$A$100)),'indice columnas'!$B$2:$B$100,""""),
col,IFERROR(MATCH(campo,Referencia!$A$1:$AZ$1,0),0),
fila,IFERROR(MATCH(TO_TEXT(D609),ARRAYFORMULA"&amp;"(TO_TEXT(Referencia!$A$2:$A6238)),0),0),
IF(OR(campo="""",campo=""-""),""NO APLICA"",
IF(col=0,""REVISAR EQUIVALENCIA"",
IF(fila=0,""SKU NO ENCONTRADO"",
LET(
valor,INDEX(Referencia!$A$2:$AZ6238,fila,col),
IF(TRIM(TO_TEXT(valor))=TRIM(TO_TEXT(I609)),
""OK"&amp;""",
""NO COINCIDE. Valor verdadero: ""&amp;IF(valor="""",""[VACÍO]"",TO_TEXT(valor))
)
))))
),""ERROR EN FÓRMULA""))"),"NO APLICA")</f>
        <v>NO APLICA</v>
      </c>
    </row>
    <row r="610">
      <c r="A610" s="83" t="s">
        <v>4078</v>
      </c>
      <c r="B610" s="83" t="s">
        <v>4079</v>
      </c>
      <c r="C610" s="81" t="s">
        <v>4086</v>
      </c>
      <c r="D610" s="83" t="s">
        <v>4391</v>
      </c>
      <c r="E610" s="81" t="s">
        <v>1682</v>
      </c>
      <c r="F610" s="84">
        <v>334.0</v>
      </c>
      <c r="G610" s="81" t="s">
        <v>7</v>
      </c>
      <c r="H610" s="81" t="s">
        <v>53</v>
      </c>
      <c r="I610" s="81" t="s">
        <v>1134</v>
      </c>
      <c r="J610" s="81" t="s">
        <v>224</v>
      </c>
      <c r="K610" s="81" t="str">
        <f>IFERROR(__xludf.DUMMYFUNCTION("IF(OR(D610="""",G610=""""),"""",IFERROR(LET(
campo,XLOOKUP(TRIM(G610),ARRAYFORMULA(TRIM('indice columnas'!$A$2:$A$100)),'indice columnas'!$B$2:$B$100,""""),
col,IFERROR(MATCH(campo,Referencia!$A$1:$AZ$1,0),0),
fila,IFERROR(MATCH(TO_TEXT(D610),ARRAYFORMULA"&amp;"(TO_TEXT(Referencia!$A$2:$A6238)),0),0),
IF(OR(campo="""",campo=""-""),""NO APLICA"",
IF(col=0,""REVISAR EQUIVALENCIA"",
IF(fila=0,""SKU NO ENCONTRADO"",
LET(
valor,INDEX(Referencia!$A$2:$AZ6238,fila,col),
IF(TRIM(TO_TEXT(valor))=TRIM(TO_TEXT(I610)),
""OK"&amp;""",
""NO COINCIDE. Valor verdadero: ""&amp;IF(valor="""",""[VACÍO]"",TO_TEXT(valor))
)
))))
),""ERROR EN FÓRMULA""))"),"REVISAR EQUIVALENCIA")</f>
        <v>REVISAR EQUIVALENCIA</v>
      </c>
    </row>
    <row r="611">
      <c r="A611" s="83" t="s">
        <v>4078</v>
      </c>
      <c r="B611" s="83" t="s">
        <v>4079</v>
      </c>
      <c r="C611" s="81" t="s">
        <v>4086</v>
      </c>
      <c r="D611" s="83" t="s">
        <v>4391</v>
      </c>
      <c r="E611" s="81" t="s">
        <v>1682</v>
      </c>
      <c r="F611" s="84">
        <v>334.0</v>
      </c>
      <c r="G611" s="81" t="s">
        <v>44</v>
      </c>
      <c r="H611" s="81" t="s">
        <v>4392</v>
      </c>
      <c r="I611" s="81" t="s">
        <v>1687</v>
      </c>
      <c r="J611" s="81" t="s">
        <v>4088</v>
      </c>
      <c r="K611" s="81" t="str">
        <f>IFERROR(__xludf.DUMMYFUNCTION("IF(OR(D611="""",G611=""""),"""",IFERROR(LET(
campo,XLOOKUP(TRIM(G611),ARRAYFORMULA(TRIM('indice columnas'!$A$2:$A$100)),'indice columnas'!$B$2:$B$100,""""),
col,IFERROR(MATCH(campo,Referencia!$A$1:$AZ$1,0),0),
fila,IFERROR(MATCH(TO_TEXT(D611),ARRAYFORMULA"&amp;"(TO_TEXT(Referencia!$A$2:$A6238)),0),0),
IF(OR(campo="""",campo=""-""),""NO APLICA"",
IF(col=0,""REVISAR EQUIVALENCIA"",
IF(fila=0,""SKU NO ENCONTRADO"",
LET(
valor,INDEX(Referencia!$A$2:$AZ6238,fila,col),
IF(TRIM(TO_TEXT(valor))=TRIM(TO_TEXT(I611)),
""OK"&amp;""",
""NO COINCIDE. Valor verdadero: ""&amp;IF(valor="""",""[VACÍO]"",TO_TEXT(valor))
)
))))
),""ERROR EN FÓRMULA""))"),"NO APLICA")</f>
        <v>NO APLICA</v>
      </c>
    </row>
    <row r="612">
      <c r="A612" s="83" t="s">
        <v>4078</v>
      </c>
      <c r="B612" s="83" t="s">
        <v>4079</v>
      </c>
      <c r="C612" s="81" t="s">
        <v>4086</v>
      </c>
      <c r="D612" s="83" t="s">
        <v>4393</v>
      </c>
      <c r="E612" s="81" t="s">
        <v>1690</v>
      </c>
      <c r="F612" s="84">
        <v>335.0</v>
      </c>
      <c r="G612" s="81" t="s">
        <v>7</v>
      </c>
      <c r="H612" s="81" t="s">
        <v>53</v>
      </c>
      <c r="I612" s="81" t="s">
        <v>1134</v>
      </c>
      <c r="J612" s="81" t="s">
        <v>224</v>
      </c>
      <c r="K612" s="81" t="str">
        <f>IFERROR(__xludf.DUMMYFUNCTION("IF(OR(D612="""",G612=""""),"""",IFERROR(LET(
campo,XLOOKUP(TRIM(G612),ARRAYFORMULA(TRIM('indice columnas'!$A$2:$A$100)),'indice columnas'!$B$2:$B$100,""""),
col,IFERROR(MATCH(campo,Referencia!$A$1:$AZ$1,0),0),
fila,IFERROR(MATCH(TO_TEXT(D612),ARRAYFORMULA"&amp;"(TO_TEXT(Referencia!$A$2:$A6238)),0),0),
IF(OR(campo="""",campo=""-""),""NO APLICA"",
IF(col=0,""REVISAR EQUIVALENCIA"",
IF(fila=0,""SKU NO ENCONTRADO"",
LET(
valor,INDEX(Referencia!$A$2:$AZ6238,fila,col),
IF(TRIM(TO_TEXT(valor))=TRIM(TO_TEXT(I612)),
""OK"&amp;""",
""NO COINCIDE. Valor verdadero: ""&amp;IF(valor="""",""[VACÍO]"",TO_TEXT(valor))
)
))))
),""ERROR EN FÓRMULA""))"),"REVISAR EQUIVALENCIA")</f>
        <v>REVISAR EQUIVALENCIA</v>
      </c>
    </row>
    <row r="613">
      <c r="A613" s="83" t="s">
        <v>4078</v>
      </c>
      <c r="B613" s="83" t="s">
        <v>4079</v>
      </c>
      <c r="C613" s="81" t="s">
        <v>4086</v>
      </c>
      <c r="D613" s="83" t="s">
        <v>4393</v>
      </c>
      <c r="E613" s="81" t="s">
        <v>1690</v>
      </c>
      <c r="F613" s="84">
        <v>335.0</v>
      </c>
      <c r="G613" s="81" t="s">
        <v>44</v>
      </c>
      <c r="H613" s="81" t="s">
        <v>4392</v>
      </c>
      <c r="I613" s="81" t="s">
        <v>1694</v>
      </c>
      <c r="J613" s="81" t="s">
        <v>4088</v>
      </c>
      <c r="K613" s="81" t="str">
        <f>IFERROR(__xludf.DUMMYFUNCTION("IF(OR(D613="""",G613=""""),"""",IFERROR(LET(
campo,XLOOKUP(TRIM(G613),ARRAYFORMULA(TRIM('indice columnas'!$A$2:$A$100)),'indice columnas'!$B$2:$B$100,""""),
col,IFERROR(MATCH(campo,Referencia!$A$1:$AZ$1,0),0),
fila,IFERROR(MATCH(TO_TEXT(D613),ARRAYFORMULA"&amp;"(TO_TEXT(Referencia!$A$2:$A6238)),0),0),
IF(OR(campo="""",campo=""-""),""NO APLICA"",
IF(col=0,""REVISAR EQUIVALENCIA"",
IF(fila=0,""SKU NO ENCONTRADO"",
LET(
valor,INDEX(Referencia!$A$2:$AZ6238,fila,col),
IF(TRIM(TO_TEXT(valor))=TRIM(TO_TEXT(I613)),
""OK"&amp;""",
""NO COINCIDE. Valor verdadero: ""&amp;IF(valor="""",""[VACÍO]"",TO_TEXT(valor))
)
))))
),""ERROR EN FÓRMULA""))"),"NO APLICA")</f>
        <v>NO APLICA</v>
      </c>
    </row>
    <row r="614">
      <c r="A614" s="83" t="s">
        <v>4078</v>
      </c>
      <c r="B614" s="83" t="s">
        <v>4079</v>
      </c>
      <c r="C614" s="81" t="s">
        <v>4086</v>
      </c>
      <c r="D614" s="83" t="s">
        <v>4394</v>
      </c>
      <c r="E614" s="81" t="s">
        <v>1698</v>
      </c>
      <c r="F614" s="84">
        <v>336.0</v>
      </c>
      <c r="G614" s="81" t="s">
        <v>7</v>
      </c>
      <c r="H614" s="81" t="s">
        <v>53</v>
      </c>
      <c r="I614" s="81" t="s">
        <v>1134</v>
      </c>
      <c r="J614" s="81" t="s">
        <v>224</v>
      </c>
      <c r="K614" s="81" t="str">
        <f>IFERROR(__xludf.DUMMYFUNCTION("IF(OR(D614="""",G614=""""),"""",IFERROR(LET(
campo,XLOOKUP(TRIM(G614),ARRAYFORMULA(TRIM('indice columnas'!$A$2:$A$100)),'indice columnas'!$B$2:$B$100,""""),
col,IFERROR(MATCH(campo,Referencia!$A$1:$AZ$1,0),0),
fila,IFERROR(MATCH(TO_TEXT(D614),ARRAYFORMULA"&amp;"(TO_TEXT(Referencia!$A$2:$A6238)),0),0),
IF(OR(campo="""",campo=""-""),""NO APLICA"",
IF(col=0,""REVISAR EQUIVALENCIA"",
IF(fila=0,""SKU NO ENCONTRADO"",
LET(
valor,INDEX(Referencia!$A$2:$AZ6238,fila,col),
IF(TRIM(TO_TEXT(valor))=TRIM(TO_TEXT(I614)),
""OK"&amp;""",
""NO COINCIDE. Valor verdadero: ""&amp;IF(valor="""",""[VACÍO]"",TO_TEXT(valor))
)
))))
),""ERROR EN FÓRMULA""))"),"REVISAR EQUIVALENCIA")</f>
        <v>REVISAR EQUIVALENCIA</v>
      </c>
    </row>
    <row r="615">
      <c r="A615" s="83" t="s">
        <v>4078</v>
      </c>
      <c r="B615" s="83" t="s">
        <v>4079</v>
      </c>
      <c r="C615" s="81" t="s">
        <v>4086</v>
      </c>
      <c r="D615" s="83" t="s">
        <v>4394</v>
      </c>
      <c r="E615" s="81" t="s">
        <v>1698</v>
      </c>
      <c r="F615" s="84">
        <v>336.0</v>
      </c>
      <c r="G615" s="81" t="s">
        <v>44</v>
      </c>
      <c r="H615" s="81" t="s">
        <v>4392</v>
      </c>
      <c r="I615" s="81" t="s">
        <v>1694</v>
      </c>
      <c r="J615" s="81" t="s">
        <v>4088</v>
      </c>
      <c r="K615" s="81" t="str">
        <f>IFERROR(__xludf.DUMMYFUNCTION("IF(OR(D615="""",G615=""""),"""",IFERROR(LET(
campo,XLOOKUP(TRIM(G615),ARRAYFORMULA(TRIM('indice columnas'!$A$2:$A$100)),'indice columnas'!$B$2:$B$100,""""),
col,IFERROR(MATCH(campo,Referencia!$A$1:$AZ$1,0),0),
fila,IFERROR(MATCH(TO_TEXT(D615),ARRAYFORMULA"&amp;"(TO_TEXT(Referencia!$A$2:$A6238)),0),0),
IF(OR(campo="""",campo=""-""),""NO APLICA"",
IF(col=0,""REVISAR EQUIVALENCIA"",
IF(fila=0,""SKU NO ENCONTRADO"",
LET(
valor,INDEX(Referencia!$A$2:$AZ6238,fila,col),
IF(TRIM(TO_TEXT(valor))=TRIM(TO_TEXT(I615)),
""OK"&amp;""",
""NO COINCIDE. Valor verdadero: ""&amp;IF(valor="""",""[VACÍO]"",TO_TEXT(valor))
)
))))
),""ERROR EN FÓRMULA""))"),"NO APLICA")</f>
        <v>NO APLICA</v>
      </c>
    </row>
    <row r="616">
      <c r="A616" s="83" t="s">
        <v>4078</v>
      </c>
      <c r="B616" s="83" t="s">
        <v>4079</v>
      </c>
      <c r="C616" s="81" t="s">
        <v>4086</v>
      </c>
      <c r="D616" s="83" t="s">
        <v>4395</v>
      </c>
      <c r="E616" s="81" t="s">
        <v>1702</v>
      </c>
      <c r="F616" s="84">
        <v>337.0</v>
      </c>
      <c r="G616" s="81" t="s">
        <v>44</v>
      </c>
      <c r="H616" s="81" t="s">
        <v>224</v>
      </c>
      <c r="I616" s="81" t="s">
        <v>1158</v>
      </c>
      <c r="J616" s="81" t="s">
        <v>4088</v>
      </c>
      <c r="K616" s="81" t="str">
        <f>IFERROR(__xludf.DUMMYFUNCTION("IF(OR(D616="""",G616=""""),"""",IFERROR(LET(
campo,XLOOKUP(TRIM(G616),ARRAYFORMULA(TRIM('indice columnas'!$A$2:$A$100)),'indice columnas'!$B$2:$B$100,""""),
col,IFERROR(MATCH(campo,Referencia!$A$1:$AZ$1,0),0),
fila,IFERROR(MATCH(TO_TEXT(D616),ARRAYFORMULA"&amp;"(TO_TEXT(Referencia!$A$2:$A6238)),0),0),
IF(OR(campo="""",campo=""-""),""NO APLICA"",
IF(col=0,""REVISAR EQUIVALENCIA"",
IF(fila=0,""SKU NO ENCONTRADO"",
LET(
valor,INDEX(Referencia!$A$2:$AZ6238,fila,col),
IF(TRIM(TO_TEXT(valor))=TRIM(TO_TEXT(I616)),
""OK"&amp;""",
""NO COINCIDE. Valor verdadero: ""&amp;IF(valor="""",""[VACÍO]"",TO_TEXT(valor))
)
))))
),""ERROR EN FÓRMULA""))"),"NO APLICA")</f>
        <v>NO APLICA</v>
      </c>
    </row>
    <row r="617">
      <c r="A617" s="83" t="s">
        <v>4078</v>
      </c>
      <c r="B617" s="83" t="s">
        <v>4079</v>
      </c>
      <c r="C617" s="81" t="s">
        <v>4086</v>
      </c>
      <c r="D617" s="83" t="s">
        <v>4395</v>
      </c>
      <c r="E617" s="81" t="s">
        <v>1706</v>
      </c>
      <c r="F617" s="84">
        <v>338.0</v>
      </c>
      <c r="G617" s="81" t="s">
        <v>12</v>
      </c>
      <c r="H617" s="81" t="s">
        <v>224</v>
      </c>
      <c r="I617" s="81" t="s">
        <v>55</v>
      </c>
      <c r="J617" s="81" t="s">
        <v>224</v>
      </c>
      <c r="K617" s="81" t="str">
        <f>IFERROR(__xludf.DUMMYFUNCTION("IF(OR(D617="""",G617=""""),"""",IFERROR(LET(
campo,XLOOKUP(TRIM(G617),ARRAYFORMULA(TRIM('indice columnas'!$A$2:$A$100)),'indice columnas'!$B$2:$B$100,""""),
col,IFERROR(MATCH(campo,Referencia!$A$1:$AZ$1,0),0),
fila,IFERROR(MATCH(TO_TEXT(D617),ARRAYFORMULA"&amp;"(TO_TEXT(Referencia!$A$2:$A6238)),0),0),
IF(OR(campo="""",campo=""-""),""NO APLICA"",
IF(col=0,""REVISAR EQUIVALENCIA"",
IF(fila=0,""SKU NO ENCONTRADO"",
LET(
valor,INDEX(Referencia!$A$2:$AZ6238,fila,col),
IF(TRIM(TO_TEXT(valor))=TRIM(TO_TEXT(I617)),
""OK"&amp;""",
""NO COINCIDE. Valor verdadero: ""&amp;IF(valor="""",""[VACÍO]"",TO_TEXT(valor))
)
))))
),""ERROR EN FÓRMULA""))"),"OK")</f>
        <v>OK</v>
      </c>
    </row>
    <row r="618">
      <c r="A618" s="83" t="s">
        <v>4078</v>
      </c>
      <c r="B618" s="83" t="s">
        <v>4079</v>
      </c>
      <c r="C618" s="81" t="s">
        <v>4086</v>
      </c>
      <c r="D618" s="83" t="s">
        <v>4395</v>
      </c>
      <c r="E618" s="81" t="s">
        <v>1706</v>
      </c>
      <c r="F618" s="84">
        <v>338.0</v>
      </c>
      <c r="G618" s="81" t="s">
        <v>29</v>
      </c>
      <c r="H618" s="81" t="s">
        <v>4396</v>
      </c>
      <c r="I618" s="81" t="s">
        <v>1707</v>
      </c>
      <c r="J618" s="81" t="s">
        <v>224</v>
      </c>
      <c r="K618" s="81" t="str">
        <f>IFERROR(__xludf.DUMMYFUNCTION("IF(OR(D618="""",G618=""""),"""",IFERROR(LET(
campo,XLOOKUP(TRIM(G618),ARRAYFORMULA(TRIM('indice columnas'!$A$2:$A$100)),'indice columnas'!$B$2:$B$100,""""),
col,IFERROR(MATCH(campo,Referencia!$A$1:$AZ$1,0),0),
fila,IFERROR(MATCH(TO_TEXT(D618),ARRAYFORMULA"&amp;"(TO_TEXT(Referencia!$A$2:$A6238)),0),0),
IF(OR(campo="""",campo=""-""),""NO APLICA"",
IF(col=0,""REVISAR EQUIVALENCIA"",
IF(fila=0,""SKU NO ENCONTRADO"",
LET(
valor,INDEX(Referencia!$A$2:$AZ6238,fila,col),
IF(TRIM(TO_TEXT(valor))=TRIM(TO_TEXT(I618)),
""OK"&amp;""",
""NO COINCIDE. Valor verdadero: ""&amp;IF(valor="""",""[VACÍO]"",TO_TEXT(valor))
)
))))
),""ERROR EN FÓRMULA""))"),"NO COINCIDE. Valor verdadero: Cable y Tensor 1,5mts
Florón: Ø120 x 25")</f>
        <v>NO COINCIDE. Valor verdadero: Cable y Tensor 1,5mts
Florón: Ø120 x 25</v>
      </c>
    </row>
    <row r="619">
      <c r="A619" s="83" t="s">
        <v>4078</v>
      </c>
      <c r="B619" s="83" t="s">
        <v>4079</v>
      </c>
      <c r="C619" s="81" t="s">
        <v>4086</v>
      </c>
      <c r="D619" s="83" t="s">
        <v>4395</v>
      </c>
      <c r="E619" s="81" t="s">
        <v>1706</v>
      </c>
      <c r="F619" s="84">
        <v>338.0</v>
      </c>
      <c r="G619" s="81" t="s">
        <v>44</v>
      </c>
      <c r="H619" s="81" t="s">
        <v>224</v>
      </c>
      <c r="I619" s="81" t="s">
        <v>1158</v>
      </c>
      <c r="J619" s="81" t="s">
        <v>4088</v>
      </c>
      <c r="K619" s="81" t="str">
        <f>IFERROR(__xludf.DUMMYFUNCTION("IF(OR(D619="""",G619=""""),"""",IFERROR(LET(
campo,XLOOKUP(TRIM(G619),ARRAYFORMULA(TRIM('indice columnas'!$A$2:$A$100)),'indice columnas'!$B$2:$B$100,""""),
col,IFERROR(MATCH(campo,Referencia!$A$1:$AZ$1,0),0),
fila,IFERROR(MATCH(TO_TEXT(D619),ARRAYFORMULA"&amp;"(TO_TEXT(Referencia!$A$2:$A6238)),0),0),
IF(OR(campo="""",campo=""-""),""NO APLICA"",
IF(col=0,""REVISAR EQUIVALENCIA"",
IF(fila=0,""SKU NO ENCONTRADO"",
LET(
valor,INDEX(Referencia!$A$2:$AZ6238,fila,col),
IF(TRIM(TO_TEXT(valor))=TRIM(TO_TEXT(I619)),
""OK"&amp;""",
""NO COINCIDE. Valor verdadero: ""&amp;IF(valor="""",""[VACÍO]"",TO_TEXT(valor))
)
))))
),""ERROR EN FÓRMULA""))"),"NO APLICA")</f>
        <v>NO APLICA</v>
      </c>
    </row>
    <row r="620">
      <c r="A620" s="83" t="s">
        <v>4078</v>
      </c>
      <c r="B620" s="83" t="s">
        <v>4079</v>
      </c>
      <c r="C620" s="81" t="s">
        <v>4086</v>
      </c>
      <c r="D620" s="83" t="s">
        <v>4397</v>
      </c>
      <c r="E620" s="81" t="s">
        <v>1708</v>
      </c>
      <c r="F620" s="84">
        <v>339.0</v>
      </c>
      <c r="G620" s="81" t="s">
        <v>44</v>
      </c>
      <c r="H620" s="81" t="s">
        <v>224</v>
      </c>
      <c r="I620" s="81" t="s">
        <v>4398</v>
      </c>
      <c r="J620" s="81" t="s">
        <v>4088</v>
      </c>
      <c r="K620" s="81" t="str">
        <f>IFERROR(__xludf.DUMMYFUNCTION("IF(OR(D620="""",G620=""""),"""",IFERROR(LET(
campo,XLOOKUP(TRIM(G620),ARRAYFORMULA(TRIM('indice columnas'!$A$2:$A$100)),'indice columnas'!$B$2:$B$100,""""),
col,IFERROR(MATCH(campo,Referencia!$A$1:$AZ$1,0),0),
fila,IFERROR(MATCH(TO_TEXT(D620),ARRAYFORMULA"&amp;"(TO_TEXT(Referencia!$A$2:$A6238)),0),0),
IF(OR(campo="""",campo=""-""),""NO APLICA"",
IF(col=0,""REVISAR EQUIVALENCIA"",
IF(fila=0,""SKU NO ENCONTRADO"",
LET(
valor,INDEX(Referencia!$A$2:$AZ6238,fila,col),
IF(TRIM(TO_TEXT(valor))=TRIM(TO_TEXT(I620)),
""OK"&amp;""",
""NO COINCIDE. Valor verdadero: ""&amp;IF(valor="""",""[VACÍO]"",TO_TEXT(valor))
)
))))
),""ERROR EN FÓRMULA""))"),"NO APLICA")</f>
        <v>NO APLICA</v>
      </c>
    </row>
    <row r="621">
      <c r="A621" s="83" t="s">
        <v>4078</v>
      </c>
      <c r="B621" s="83" t="s">
        <v>4079</v>
      </c>
      <c r="C621" s="81" t="s">
        <v>4086</v>
      </c>
      <c r="D621" s="83" t="s">
        <v>4397</v>
      </c>
      <c r="E621" s="81" t="s">
        <v>1722</v>
      </c>
      <c r="F621" s="84">
        <v>340.0</v>
      </c>
      <c r="G621" s="81" t="s">
        <v>44</v>
      </c>
      <c r="H621" s="81" t="s">
        <v>224</v>
      </c>
      <c r="I621" s="81" t="s">
        <v>4398</v>
      </c>
      <c r="J621" s="81" t="s">
        <v>4088</v>
      </c>
      <c r="K621" s="81" t="str">
        <f>IFERROR(__xludf.DUMMYFUNCTION("IF(OR(D621="""",G621=""""),"""",IFERROR(LET(
campo,XLOOKUP(TRIM(G621),ARRAYFORMULA(TRIM('indice columnas'!$A$2:$A$100)),'indice columnas'!$B$2:$B$100,""""),
col,IFERROR(MATCH(campo,Referencia!$A$1:$AZ$1,0),0),
fila,IFERROR(MATCH(TO_TEXT(D621),ARRAYFORMULA"&amp;"(TO_TEXT(Referencia!$A$2:$A6238)),0),0),
IF(OR(campo="""",campo=""-""),""NO APLICA"",
IF(col=0,""REVISAR EQUIVALENCIA"",
IF(fila=0,""SKU NO ENCONTRADO"",
LET(
valor,INDEX(Referencia!$A$2:$AZ6238,fila,col),
IF(TRIM(TO_TEXT(valor))=TRIM(TO_TEXT(I621)),
""OK"&amp;""",
""NO COINCIDE. Valor verdadero: ""&amp;IF(valor="""",""[VACÍO]"",TO_TEXT(valor))
)
))))
),""ERROR EN FÓRMULA""))"),"NO APLICA")</f>
        <v>NO APLICA</v>
      </c>
    </row>
    <row r="622">
      <c r="A622" s="83" t="s">
        <v>4078</v>
      </c>
      <c r="B622" s="83" t="s">
        <v>4079</v>
      </c>
      <c r="C622" s="81" t="s">
        <v>4086</v>
      </c>
      <c r="D622" s="83" t="s">
        <v>4399</v>
      </c>
      <c r="E622" s="81" t="s">
        <v>1723</v>
      </c>
      <c r="F622" s="84">
        <v>341.0</v>
      </c>
      <c r="G622" s="81" t="s">
        <v>44</v>
      </c>
      <c r="H622" s="81" t="s">
        <v>224</v>
      </c>
      <c r="I622" s="81" t="s">
        <v>4398</v>
      </c>
      <c r="J622" s="81" t="s">
        <v>4088</v>
      </c>
      <c r="K622" s="81" t="str">
        <f>IFERROR(__xludf.DUMMYFUNCTION("IF(OR(D622="""",G622=""""),"""",IFERROR(LET(
campo,XLOOKUP(TRIM(G622),ARRAYFORMULA(TRIM('indice columnas'!$A$2:$A$100)),'indice columnas'!$B$2:$B$100,""""),
col,IFERROR(MATCH(campo,Referencia!$A$1:$AZ$1,0),0),
fila,IFERROR(MATCH(TO_TEXT(D622),ARRAYFORMULA"&amp;"(TO_TEXT(Referencia!$A$2:$A6238)),0),0),
IF(OR(campo="""",campo=""-""),""NO APLICA"",
IF(col=0,""REVISAR EQUIVALENCIA"",
IF(fila=0,""SKU NO ENCONTRADO"",
LET(
valor,INDEX(Referencia!$A$2:$AZ6238,fila,col),
IF(TRIM(TO_TEXT(valor))=TRIM(TO_TEXT(I622)),
""OK"&amp;""",
""NO COINCIDE. Valor verdadero: ""&amp;IF(valor="""",""[VACÍO]"",TO_TEXT(valor))
)
))))
),""ERROR EN FÓRMULA""))"),"NO APLICA")</f>
        <v>NO APLICA</v>
      </c>
    </row>
    <row r="623">
      <c r="A623" s="83" t="s">
        <v>4078</v>
      </c>
      <c r="B623" s="83" t="s">
        <v>4079</v>
      </c>
      <c r="C623" s="81" t="s">
        <v>4086</v>
      </c>
      <c r="D623" s="83" t="s">
        <v>4400</v>
      </c>
      <c r="E623" s="81" t="s">
        <v>1726</v>
      </c>
      <c r="F623" s="84">
        <v>342.0</v>
      </c>
      <c r="G623" s="81" t="s">
        <v>44</v>
      </c>
      <c r="H623" s="81" t="s">
        <v>224</v>
      </c>
      <c r="I623" s="81" t="s">
        <v>4398</v>
      </c>
      <c r="J623" s="81" t="s">
        <v>4088</v>
      </c>
      <c r="K623" s="81" t="str">
        <f>IFERROR(__xludf.DUMMYFUNCTION("IF(OR(D623="""",G623=""""),"""",IFERROR(LET(
campo,XLOOKUP(TRIM(G623),ARRAYFORMULA(TRIM('indice columnas'!$A$2:$A$100)),'indice columnas'!$B$2:$B$100,""""),
col,IFERROR(MATCH(campo,Referencia!$A$1:$AZ$1,0),0),
fila,IFERROR(MATCH(TO_TEXT(D623),ARRAYFORMULA"&amp;"(TO_TEXT(Referencia!$A$2:$A6238)),0),0),
IF(OR(campo="""",campo=""-""),""NO APLICA"",
IF(col=0,""REVISAR EQUIVALENCIA"",
IF(fila=0,""SKU NO ENCONTRADO"",
LET(
valor,INDEX(Referencia!$A$2:$AZ6238,fila,col),
IF(TRIM(TO_TEXT(valor))=TRIM(TO_TEXT(I623)),
""OK"&amp;""",
""NO COINCIDE. Valor verdadero: ""&amp;IF(valor="""",""[VACÍO]"",TO_TEXT(valor))
)
))))
),""ERROR EN FÓRMULA""))"),"NO APLICA")</f>
        <v>NO APLICA</v>
      </c>
    </row>
    <row r="624">
      <c r="A624" s="83" t="s">
        <v>4078</v>
      </c>
      <c r="B624" s="83" t="s">
        <v>4079</v>
      </c>
      <c r="C624" s="81" t="s">
        <v>4086</v>
      </c>
      <c r="D624" s="83" t="s">
        <v>4401</v>
      </c>
      <c r="E624" s="81" t="s">
        <v>1736</v>
      </c>
      <c r="F624" s="84">
        <v>343.0</v>
      </c>
      <c r="G624" s="81" t="s">
        <v>44</v>
      </c>
      <c r="H624" s="81" t="s">
        <v>224</v>
      </c>
      <c r="I624" s="81" t="s">
        <v>4398</v>
      </c>
      <c r="J624" s="81" t="s">
        <v>4088</v>
      </c>
      <c r="K624" s="81" t="str">
        <f>IFERROR(__xludf.DUMMYFUNCTION("IF(OR(D624="""",G624=""""),"""",IFERROR(LET(
campo,XLOOKUP(TRIM(G624),ARRAYFORMULA(TRIM('indice columnas'!$A$2:$A$100)),'indice columnas'!$B$2:$B$100,""""),
col,IFERROR(MATCH(campo,Referencia!$A$1:$AZ$1,0),0),
fila,IFERROR(MATCH(TO_TEXT(D624),ARRAYFORMULA"&amp;"(TO_TEXT(Referencia!$A$2:$A6238)),0),0),
IF(OR(campo="""",campo=""-""),""NO APLICA"",
IF(col=0,""REVISAR EQUIVALENCIA"",
IF(fila=0,""SKU NO ENCONTRADO"",
LET(
valor,INDEX(Referencia!$A$2:$AZ6238,fila,col),
IF(TRIM(TO_TEXT(valor))=TRIM(TO_TEXT(I624)),
""OK"&amp;""",
""NO COINCIDE. Valor verdadero: ""&amp;IF(valor="""",""[VACÍO]"",TO_TEXT(valor))
)
))))
),""ERROR EN FÓRMULA""))"),"NO APLICA")</f>
        <v>NO APLICA</v>
      </c>
    </row>
    <row r="625">
      <c r="A625" s="83" t="s">
        <v>4078</v>
      </c>
      <c r="B625" s="83" t="s">
        <v>4079</v>
      </c>
      <c r="C625" s="81" t="s">
        <v>4086</v>
      </c>
      <c r="D625" s="83" t="s">
        <v>4402</v>
      </c>
      <c r="E625" s="81" t="s">
        <v>1739</v>
      </c>
      <c r="F625" s="84">
        <v>344.0</v>
      </c>
      <c r="G625" s="81" t="s">
        <v>44</v>
      </c>
      <c r="H625" s="81" t="s">
        <v>224</v>
      </c>
      <c r="I625" s="81" t="s">
        <v>924</v>
      </c>
      <c r="J625" s="81" t="s">
        <v>4088</v>
      </c>
      <c r="K625" s="81" t="str">
        <f>IFERROR(__xludf.DUMMYFUNCTION("IF(OR(D625="""",G625=""""),"""",IFERROR(LET(
campo,XLOOKUP(TRIM(G625),ARRAYFORMULA(TRIM('indice columnas'!$A$2:$A$100)),'indice columnas'!$B$2:$B$100,""""),
col,IFERROR(MATCH(campo,Referencia!$A$1:$AZ$1,0),0),
fila,IFERROR(MATCH(TO_TEXT(D625),ARRAYFORMULA"&amp;"(TO_TEXT(Referencia!$A$2:$A6238)),0),0),
IF(OR(campo="""",campo=""-""),""NO APLICA"",
IF(col=0,""REVISAR EQUIVALENCIA"",
IF(fila=0,""SKU NO ENCONTRADO"",
LET(
valor,INDEX(Referencia!$A$2:$AZ6238,fila,col),
IF(TRIM(TO_TEXT(valor))=TRIM(TO_TEXT(I625)),
""OK"&amp;""",
""NO COINCIDE. Valor verdadero: ""&amp;IF(valor="""",""[VACÍO]"",TO_TEXT(valor))
)
))))
),""ERROR EN FÓRMULA""))"),"NO APLICA")</f>
        <v>NO APLICA</v>
      </c>
    </row>
    <row r="626">
      <c r="A626" s="83" t="s">
        <v>4078</v>
      </c>
      <c r="B626" s="83" t="s">
        <v>4079</v>
      </c>
      <c r="C626" s="81" t="s">
        <v>4086</v>
      </c>
      <c r="D626" s="83" t="s">
        <v>4402</v>
      </c>
      <c r="E626" s="81" t="s">
        <v>1741</v>
      </c>
      <c r="F626" s="84">
        <v>345.0</v>
      </c>
      <c r="G626" s="81" t="s">
        <v>12</v>
      </c>
      <c r="H626" s="81" t="s">
        <v>224</v>
      </c>
      <c r="I626" s="81" t="s">
        <v>55</v>
      </c>
      <c r="J626" s="81" t="s">
        <v>224</v>
      </c>
      <c r="K626" s="81" t="str">
        <f>IFERROR(__xludf.DUMMYFUNCTION("IF(OR(D626="""",G626=""""),"""",IFERROR(LET(
campo,XLOOKUP(TRIM(G626),ARRAYFORMULA(TRIM('indice columnas'!$A$2:$A$100)),'indice columnas'!$B$2:$B$100,""""),
col,IFERROR(MATCH(campo,Referencia!$A$1:$AZ$1,0),0),
fila,IFERROR(MATCH(TO_TEXT(D626),ARRAYFORMULA"&amp;"(TO_TEXT(Referencia!$A$2:$A6238)),0),0),
IF(OR(campo="""",campo=""-""),""NO APLICA"",
IF(col=0,""REVISAR EQUIVALENCIA"",
IF(fila=0,""SKU NO ENCONTRADO"",
LET(
valor,INDEX(Referencia!$A$2:$AZ6238,fila,col),
IF(TRIM(TO_TEXT(valor))=TRIM(TO_TEXT(I626)),
""OK"&amp;""",
""NO COINCIDE. Valor verdadero: ""&amp;IF(valor="""",""[VACÍO]"",TO_TEXT(valor))
)
))))
),""ERROR EN FÓRMULA""))"),"OK")</f>
        <v>OK</v>
      </c>
    </row>
    <row r="627">
      <c r="A627" s="83" t="s">
        <v>4078</v>
      </c>
      <c r="B627" s="83" t="s">
        <v>4079</v>
      </c>
      <c r="C627" s="81" t="s">
        <v>4086</v>
      </c>
      <c r="D627" s="83" t="s">
        <v>4402</v>
      </c>
      <c r="E627" s="81" t="s">
        <v>1741</v>
      </c>
      <c r="F627" s="84">
        <v>345.0</v>
      </c>
      <c r="G627" s="81" t="s">
        <v>44</v>
      </c>
      <c r="H627" s="81" t="s">
        <v>224</v>
      </c>
      <c r="I627" s="81" t="s">
        <v>924</v>
      </c>
      <c r="J627" s="81" t="s">
        <v>4088</v>
      </c>
      <c r="K627" s="81" t="str">
        <f>IFERROR(__xludf.DUMMYFUNCTION("IF(OR(D627="""",G627=""""),"""",IFERROR(LET(
campo,XLOOKUP(TRIM(G627),ARRAYFORMULA(TRIM('indice columnas'!$A$2:$A$100)),'indice columnas'!$B$2:$B$100,""""),
col,IFERROR(MATCH(campo,Referencia!$A$1:$AZ$1,0),0),
fila,IFERROR(MATCH(TO_TEXT(D627),ARRAYFORMULA"&amp;"(TO_TEXT(Referencia!$A$2:$A6238)),0),0),
IF(OR(campo="""",campo=""-""),""NO APLICA"",
IF(col=0,""REVISAR EQUIVALENCIA"",
IF(fila=0,""SKU NO ENCONTRADO"",
LET(
valor,INDEX(Referencia!$A$2:$AZ6238,fila,col),
IF(TRIM(TO_TEXT(valor))=TRIM(TO_TEXT(I627)),
""OK"&amp;""",
""NO COINCIDE. Valor verdadero: ""&amp;IF(valor="""",""[VACÍO]"",TO_TEXT(valor))
)
))))
),""ERROR EN FÓRMULA""))"),"NO APLICA")</f>
        <v>NO APLICA</v>
      </c>
    </row>
    <row r="628">
      <c r="A628" s="83" t="s">
        <v>4078</v>
      </c>
      <c r="B628" s="83" t="s">
        <v>4079</v>
      </c>
      <c r="C628" s="81" t="s">
        <v>4086</v>
      </c>
      <c r="D628" s="83" t="s">
        <v>4403</v>
      </c>
      <c r="E628" s="81" t="s">
        <v>1742</v>
      </c>
      <c r="F628" s="84">
        <v>346.0</v>
      </c>
      <c r="G628" s="81" t="s">
        <v>12</v>
      </c>
      <c r="H628" s="81" t="s">
        <v>224</v>
      </c>
      <c r="I628" s="81" t="s">
        <v>55</v>
      </c>
      <c r="J628" s="81" t="s">
        <v>224</v>
      </c>
      <c r="K628" s="81" t="str">
        <f>IFERROR(__xludf.DUMMYFUNCTION("IF(OR(D628="""",G628=""""),"""",IFERROR(LET(
campo,XLOOKUP(TRIM(G628),ARRAYFORMULA(TRIM('indice columnas'!$A$2:$A$100)),'indice columnas'!$B$2:$B$100,""""),
col,IFERROR(MATCH(campo,Referencia!$A$1:$AZ$1,0),0),
fila,IFERROR(MATCH(TO_TEXT(D628),ARRAYFORMULA"&amp;"(TO_TEXT(Referencia!$A$2:$A6238)),0),0),
IF(OR(campo="""",campo=""-""),""NO APLICA"",
IF(col=0,""REVISAR EQUIVALENCIA"",
IF(fila=0,""SKU NO ENCONTRADO"",
LET(
valor,INDEX(Referencia!$A$2:$AZ6238,fila,col),
IF(TRIM(TO_TEXT(valor))=TRIM(TO_TEXT(I628)),
""OK"&amp;""",
""NO COINCIDE. Valor verdadero: ""&amp;IF(valor="""",""[VACÍO]"",TO_TEXT(valor))
)
))))
),""ERROR EN FÓRMULA""))"),"OK")</f>
        <v>OK</v>
      </c>
    </row>
    <row r="629">
      <c r="A629" s="83" t="s">
        <v>4078</v>
      </c>
      <c r="B629" s="83" t="s">
        <v>4079</v>
      </c>
      <c r="C629" s="81" t="s">
        <v>4086</v>
      </c>
      <c r="D629" s="83" t="s">
        <v>4403</v>
      </c>
      <c r="E629" s="81" t="s">
        <v>1742</v>
      </c>
      <c r="F629" s="84">
        <v>346.0</v>
      </c>
      <c r="G629" s="81" t="s">
        <v>44</v>
      </c>
      <c r="H629" s="81" t="s">
        <v>224</v>
      </c>
      <c r="I629" s="81" t="s">
        <v>924</v>
      </c>
      <c r="J629" s="81" t="s">
        <v>4088</v>
      </c>
      <c r="K629" s="81" t="str">
        <f>IFERROR(__xludf.DUMMYFUNCTION("IF(OR(D629="""",G629=""""),"""",IFERROR(LET(
campo,XLOOKUP(TRIM(G629),ARRAYFORMULA(TRIM('indice columnas'!$A$2:$A$100)),'indice columnas'!$B$2:$B$100,""""),
col,IFERROR(MATCH(campo,Referencia!$A$1:$AZ$1,0),0),
fila,IFERROR(MATCH(TO_TEXT(D629),ARRAYFORMULA"&amp;"(TO_TEXT(Referencia!$A$2:$A6238)),0),0),
IF(OR(campo="""",campo=""-""),""NO APLICA"",
IF(col=0,""REVISAR EQUIVALENCIA"",
IF(fila=0,""SKU NO ENCONTRADO"",
LET(
valor,INDEX(Referencia!$A$2:$AZ6238,fila,col),
IF(TRIM(TO_TEXT(valor))=TRIM(TO_TEXT(I629)),
""OK"&amp;""",
""NO COINCIDE. Valor verdadero: ""&amp;IF(valor="""",""[VACÍO]"",TO_TEXT(valor))
)
))))
),""ERROR EN FÓRMULA""))"),"NO APLICA")</f>
        <v>NO APLICA</v>
      </c>
    </row>
    <row r="630">
      <c r="A630" s="83" t="s">
        <v>4078</v>
      </c>
      <c r="B630" s="83" t="s">
        <v>4079</v>
      </c>
      <c r="C630" s="81" t="s">
        <v>4086</v>
      </c>
      <c r="D630" s="83" t="s">
        <v>4404</v>
      </c>
      <c r="E630" s="81" t="s">
        <v>1744</v>
      </c>
      <c r="F630" s="84">
        <v>347.0</v>
      </c>
      <c r="G630" s="81" t="s">
        <v>44</v>
      </c>
      <c r="H630" s="81" t="s">
        <v>224</v>
      </c>
      <c r="I630" s="81" t="s">
        <v>4398</v>
      </c>
      <c r="J630" s="81" t="s">
        <v>4088</v>
      </c>
      <c r="K630" s="81" t="str">
        <f>IFERROR(__xludf.DUMMYFUNCTION("IF(OR(D630="""",G630=""""),"""",IFERROR(LET(
campo,XLOOKUP(TRIM(G630),ARRAYFORMULA(TRIM('indice columnas'!$A$2:$A$100)),'indice columnas'!$B$2:$B$100,""""),
col,IFERROR(MATCH(campo,Referencia!$A$1:$AZ$1,0),0),
fila,IFERROR(MATCH(TO_TEXT(D630),ARRAYFORMULA"&amp;"(TO_TEXT(Referencia!$A$2:$A6238)),0),0),
IF(OR(campo="""",campo=""-""),""NO APLICA"",
IF(col=0,""REVISAR EQUIVALENCIA"",
IF(fila=0,""SKU NO ENCONTRADO"",
LET(
valor,INDEX(Referencia!$A$2:$AZ6238,fila,col),
IF(TRIM(TO_TEXT(valor))=TRIM(TO_TEXT(I630)),
""OK"&amp;""",
""NO COINCIDE. Valor verdadero: ""&amp;IF(valor="""",""[VACÍO]"",TO_TEXT(valor))
)
))))
),""ERROR EN FÓRMULA""))"),"NO APLICA")</f>
        <v>NO APLICA</v>
      </c>
    </row>
    <row r="631">
      <c r="A631" s="83" t="s">
        <v>4078</v>
      </c>
      <c r="B631" s="83" t="s">
        <v>4079</v>
      </c>
      <c r="C631" s="81" t="s">
        <v>4086</v>
      </c>
      <c r="D631" s="83" t="s">
        <v>4405</v>
      </c>
      <c r="E631" s="81" t="s">
        <v>1753</v>
      </c>
      <c r="F631" s="84">
        <v>348.0</v>
      </c>
      <c r="G631" s="81" t="s">
        <v>44</v>
      </c>
      <c r="H631" s="81" t="s">
        <v>224</v>
      </c>
      <c r="I631" s="81" t="s">
        <v>4398</v>
      </c>
      <c r="J631" s="81" t="s">
        <v>4088</v>
      </c>
      <c r="K631" s="81" t="str">
        <f>IFERROR(__xludf.DUMMYFUNCTION("IF(OR(D631="""",G631=""""),"""",IFERROR(LET(
campo,XLOOKUP(TRIM(G631),ARRAYFORMULA(TRIM('indice columnas'!$A$2:$A$100)),'indice columnas'!$B$2:$B$100,""""),
col,IFERROR(MATCH(campo,Referencia!$A$1:$AZ$1,0),0),
fila,IFERROR(MATCH(TO_TEXT(D631),ARRAYFORMULA"&amp;"(TO_TEXT(Referencia!$A$2:$A6238)),0),0),
IF(OR(campo="""",campo=""-""),""NO APLICA"",
IF(col=0,""REVISAR EQUIVALENCIA"",
IF(fila=0,""SKU NO ENCONTRADO"",
LET(
valor,INDEX(Referencia!$A$2:$AZ6238,fila,col),
IF(TRIM(TO_TEXT(valor))=TRIM(TO_TEXT(I631)),
""OK"&amp;""",
""NO COINCIDE. Valor verdadero: ""&amp;IF(valor="""",""[VACÍO]"",TO_TEXT(valor))
)
))))
),""ERROR EN FÓRMULA""))"),"NO APLICA")</f>
        <v>NO APLICA</v>
      </c>
    </row>
    <row r="632">
      <c r="A632" s="83" t="s">
        <v>4078</v>
      </c>
      <c r="B632" s="83" t="s">
        <v>4079</v>
      </c>
      <c r="C632" s="81" t="s">
        <v>4086</v>
      </c>
      <c r="D632" s="83" t="s">
        <v>4406</v>
      </c>
      <c r="E632" s="81" t="s">
        <v>1756</v>
      </c>
      <c r="F632" s="84">
        <v>349.0</v>
      </c>
      <c r="G632" s="81" t="s">
        <v>44</v>
      </c>
      <c r="H632" s="81" t="s">
        <v>224</v>
      </c>
      <c r="I632" s="81" t="s">
        <v>1761</v>
      </c>
      <c r="J632" s="81" t="s">
        <v>4088</v>
      </c>
      <c r="K632" s="81" t="str">
        <f>IFERROR(__xludf.DUMMYFUNCTION("IF(OR(D632="""",G632=""""),"""",IFERROR(LET(
campo,XLOOKUP(TRIM(G632),ARRAYFORMULA(TRIM('indice columnas'!$A$2:$A$100)),'indice columnas'!$B$2:$B$100,""""),
col,IFERROR(MATCH(campo,Referencia!$A$1:$AZ$1,0),0),
fila,IFERROR(MATCH(TO_TEXT(D632),ARRAYFORMULA"&amp;"(TO_TEXT(Referencia!$A$2:$A6238)),0),0),
IF(OR(campo="""",campo=""-""),""NO APLICA"",
IF(col=0,""REVISAR EQUIVALENCIA"",
IF(fila=0,""SKU NO ENCONTRADO"",
LET(
valor,INDEX(Referencia!$A$2:$AZ6238,fila,col),
IF(TRIM(TO_TEXT(valor))=TRIM(TO_TEXT(I632)),
""OK"&amp;""",
""NO COINCIDE. Valor verdadero: ""&amp;IF(valor="""",""[VACÍO]"",TO_TEXT(valor))
)
))))
),""ERROR EN FÓRMULA""))"),"NO APLICA")</f>
        <v>NO APLICA</v>
      </c>
    </row>
    <row r="633">
      <c r="A633" s="83" t="s">
        <v>4078</v>
      </c>
      <c r="B633" s="83" t="s">
        <v>4079</v>
      </c>
      <c r="C633" s="81" t="s">
        <v>4086</v>
      </c>
      <c r="D633" s="83" t="s">
        <v>4406</v>
      </c>
      <c r="E633" s="81" t="s">
        <v>1760</v>
      </c>
      <c r="F633" s="84">
        <v>350.0</v>
      </c>
      <c r="G633" s="81" t="s">
        <v>12</v>
      </c>
      <c r="H633" s="81" t="s">
        <v>224</v>
      </c>
      <c r="I633" s="81" t="s">
        <v>55</v>
      </c>
      <c r="J633" s="81" t="s">
        <v>224</v>
      </c>
      <c r="K633" s="81" t="str">
        <f>IFERROR(__xludf.DUMMYFUNCTION("IF(OR(D633="""",G633=""""),"""",IFERROR(LET(
campo,XLOOKUP(TRIM(G633),ARRAYFORMULA(TRIM('indice columnas'!$A$2:$A$100)),'indice columnas'!$B$2:$B$100,""""),
col,IFERROR(MATCH(campo,Referencia!$A$1:$AZ$1,0),0),
fila,IFERROR(MATCH(TO_TEXT(D633),ARRAYFORMULA"&amp;"(TO_TEXT(Referencia!$A$2:$A6238)),0),0),
IF(OR(campo="""",campo=""-""),""NO APLICA"",
IF(col=0,""REVISAR EQUIVALENCIA"",
IF(fila=0,""SKU NO ENCONTRADO"",
LET(
valor,INDEX(Referencia!$A$2:$AZ6238,fila,col),
IF(TRIM(TO_TEXT(valor))=TRIM(TO_TEXT(I633)),
""OK"&amp;""",
""NO COINCIDE. Valor verdadero: ""&amp;IF(valor="""",""[VACÍO]"",TO_TEXT(valor))
)
))))
),""ERROR EN FÓRMULA""))"),"OK")</f>
        <v>OK</v>
      </c>
    </row>
    <row r="634">
      <c r="A634" s="83" t="s">
        <v>4078</v>
      </c>
      <c r="B634" s="83" t="s">
        <v>4079</v>
      </c>
      <c r="C634" s="81" t="s">
        <v>4086</v>
      </c>
      <c r="D634" s="83" t="s">
        <v>4406</v>
      </c>
      <c r="E634" s="81" t="s">
        <v>1760</v>
      </c>
      <c r="F634" s="84">
        <v>350.0</v>
      </c>
      <c r="G634" s="81" t="s">
        <v>44</v>
      </c>
      <c r="H634" s="81" t="s">
        <v>224</v>
      </c>
      <c r="I634" s="81" t="s">
        <v>1761</v>
      </c>
      <c r="J634" s="81" t="s">
        <v>4088</v>
      </c>
      <c r="K634" s="81" t="str">
        <f>IFERROR(__xludf.DUMMYFUNCTION("IF(OR(D634="""",G634=""""),"""",IFERROR(LET(
campo,XLOOKUP(TRIM(G634),ARRAYFORMULA(TRIM('indice columnas'!$A$2:$A$100)),'indice columnas'!$B$2:$B$100,""""),
col,IFERROR(MATCH(campo,Referencia!$A$1:$AZ$1,0),0),
fila,IFERROR(MATCH(TO_TEXT(D634),ARRAYFORMULA"&amp;"(TO_TEXT(Referencia!$A$2:$A6238)),0),0),
IF(OR(campo="""",campo=""-""),""NO APLICA"",
IF(col=0,""REVISAR EQUIVALENCIA"",
IF(fila=0,""SKU NO ENCONTRADO"",
LET(
valor,INDEX(Referencia!$A$2:$AZ6238,fila,col),
IF(TRIM(TO_TEXT(valor))=TRIM(TO_TEXT(I634)),
""OK"&amp;""",
""NO COINCIDE. Valor verdadero: ""&amp;IF(valor="""",""[VACÍO]"",TO_TEXT(valor))
)
))))
),""ERROR EN FÓRMULA""))"),"NO APLICA")</f>
        <v>NO APLICA</v>
      </c>
    </row>
    <row r="635">
      <c r="A635" s="83" t="s">
        <v>4078</v>
      </c>
      <c r="B635" s="83" t="s">
        <v>4079</v>
      </c>
      <c r="C635" s="81" t="s">
        <v>4086</v>
      </c>
      <c r="D635" s="83" t="s">
        <v>4407</v>
      </c>
      <c r="E635" s="81" t="s">
        <v>1762</v>
      </c>
      <c r="F635" s="84">
        <v>351.0</v>
      </c>
      <c r="G635" s="81" t="s">
        <v>12</v>
      </c>
      <c r="H635" s="81" t="s">
        <v>224</v>
      </c>
      <c r="I635" s="81" t="s">
        <v>55</v>
      </c>
      <c r="J635" s="81" t="s">
        <v>224</v>
      </c>
      <c r="K635" s="81" t="str">
        <f>IFERROR(__xludf.DUMMYFUNCTION("IF(OR(D635="""",G635=""""),"""",IFERROR(LET(
campo,XLOOKUP(TRIM(G635),ARRAYFORMULA(TRIM('indice columnas'!$A$2:$A$100)),'indice columnas'!$B$2:$B$100,""""),
col,IFERROR(MATCH(campo,Referencia!$A$1:$AZ$1,0),0),
fila,IFERROR(MATCH(TO_TEXT(D635),ARRAYFORMULA"&amp;"(TO_TEXT(Referencia!$A$2:$A6238)),0),0),
IF(OR(campo="""",campo=""-""),""NO APLICA"",
IF(col=0,""REVISAR EQUIVALENCIA"",
IF(fila=0,""SKU NO ENCONTRADO"",
LET(
valor,INDEX(Referencia!$A$2:$AZ6238,fila,col),
IF(TRIM(TO_TEXT(valor))=TRIM(TO_TEXT(I635)),
""OK"&amp;""",
""NO COINCIDE. Valor verdadero: ""&amp;IF(valor="""",""[VACÍO]"",TO_TEXT(valor))
)
))))
),""ERROR EN FÓRMULA""))"),"OK")</f>
        <v>OK</v>
      </c>
    </row>
    <row r="636">
      <c r="A636" s="83" t="s">
        <v>4078</v>
      </c>
      <c r="B636" s="83" t="s">
        <v>4079</v>
      </c>
      <c r="C636" s="81" t="s">
        <v>4086</v>
      </c>
      <c r="D636" s="83" t="s">
        <v>4407</v>
      </c>
      <c r="E636" s="81" t="s">
        <v>1762</v>
      </c>
      <c r="F636" s="84">
        <v>351.0</v>
      </c>
      <c r="G636" s="81" t="s">
        <v>44</v>
      </c>
      <c r="H636" s="81" t="s">
        <v>224</v>
      </c>
      <c r="I636" s="81" t="s">
        <v>1761</v>
      </c>
      <c r="J636" s="81" t="s">
        <v>4088</v>
      </c>
      <c r="K636" s="81" t="str">
        <f>IFERROR(__xludf.DUMMYFUNCTION("IF(OR(D636="""",G636=""""),"""",IFERROR(LET(
campo,XLOOKUP(TRIM(G636),ARRAYFORMULA(TRIM('indice columnas'!$A$2:$A$100)),'indice columnas'!$B$2:$B$100,""""),
col,IFERROR(MATCH(campo,Referencia!$A$1:$AZ$1,0),0),
fila,IFERROR(MATCH(TO_TEXT(D636),ARRAYFORMULA"&amp;"(TO_TEXT(Referencia!$A$2:$A6238)),0),0),
IF(OR(campo="""",campo=""-""),""NO APLICA"",
IF(col=0,""REVISAR EQUIVALENCIA"",
IF(fila=0,""SKU NO ENCONTRADO"",
LET(
valor,INDEX(Referencia!$A$2:$AZ6238,fila,col),
IF(TRIM(TO_TEXT(valor))=TRIM(TO_TEXT(I636)),
""OK"&amp;""",
""NO COINCIDE. Valor verdadero: ""&amp;IF(valor="""",""[VACÍO]"",TO_TEXT(valor))
)
))))
),""ERROR EN FÓRMULA""))"),"NO APLICA")</f>
        <v>NO APLICA</v>
      </c>
    </row>
    <row r="637">
      <c r="A637" s="83" t="s">
        <v>4078</v>
      </c>
      <c r="B637" s="83" t="s">
        <v>4079</v>
      </c>
      <c r="C637" s="81" t="s">
        <v>4086</v>
      </c>
      <c r="D637" s="83" t="s">
        <v>4408</v>
      </c>
      <c r="E637" s="81" t="s">
        <v>1765</v>
      </c>
      <c r="F637" s="84">
        <v>352.0</v>
      </c>
      <c r="G637" s="81" t="s">
        <v>44</v>
      </c>
      <c r="H637" s="81" t="s">
        <v>224</v>
      </c>
      <c r="I637" s="81" t="s">
        <v>1401</v>
      </c>
      <c r="J637" s="81" t="s">
        <v>4088</v>
      </c>
      <c r="K637" s="81" t="str">
        <f>IFERROR(__xludf.DUMMYFUNCTION("IF(OR(D637="""",G637=""""),"""",IFERROR(LET(
campo,XLOOKUP(TRIM(G637),ARRAYFORMULA(TRIM('indice columnas'!$A$2:$A$100)),'indice columnas'!$B$2:$B$100,""""),
col,IFERROR(MATCH(campo,Referencia!$A$1:$AZ$1,0),0),
fila,IFERROR(MATCH(TO_TEXT(D637),ARRAYFORMULA"&amp;"(TO_TEXT(Referencia!$A$2:$A6238)),0),0),
IF(OR(campo="""",campo=""-""),""NO APLICA"",
IF(col=0,""REVISAR EQUIVALENCIA"",
IF(fila=0,""SKU NO ENCONTRADO"",
LET(
valor,INDEX(Referencia!$A$2:$AZ6238,fila,col),
IF(TRIM(TO_TEXT(valor))=TRIM(TO_TEXT(I637)),
""OK"&amp;""",
""NO COINCIDE. Valor verdadero: ""&amp;IF(valor="""",""[VACÍO]"",TO_TEXT(valor))
)
))))
),""ERROR EN FÓRMULA""))"),"NO APLICA")</f>
        <v>NO APLICA</v>
      </c>
    </row>
    <row r="638">
      <c r="A638" s="83" t="s">
        <v>4078</v>
      </c>
      <c r="B638" s="83" t="s">
        <v>4079</v>
      </c>
      <c r="C638" s="81" t="s">
        <v>4086</v>
      </c>
      <c r="D638" s="83" t="s">
        <v>4408</v>
      </c>
      <c r="E638" s="81" t="s">
        <v>1770</v>
      </c>
      <c r="F638" s="84">
        <v>353.0</v>
      </c>
      <c r="G638" s="81" t="s">
        <v>12</v>
      </c>
      <c r="H638" s="81" t="s">
        <v>224</v>
      </c>
      <c r="I638" s="81" t="s">
        <v>55</v>
      </c>
      <c r="J638" s="81" t="s">
        <v>224</v>
      </c>
      <c r="K638" s="81" t="str">
        <f>IFERROR(__xludf.DUMMYFUNCTION("IF(OR(D638="""",G638=""""),"""",IFERROR(LET(
campo,XLOOKUP(TRIM(G638),ARRAYFORMULA(TRIM('indice columnas'!$A$2:$A$100)),'indice columnas'!$B$2:$B$100,""""),
col,IFERROR(MATCH(campo,Referencia!$A$1:$AZ$1,0),0),
fila,IFERROR(MATCH(TO_TEXT(D638),ARRAYFORMULA"&amp;"(TO_TEXT(Referencia!$A$2:$A6238)),0),0),
IF(OR(campo="""",campo=""-""),""NO APLICA"",
IF(col=0,""REVISAR EQUIVALENCIA"",
IF(fila=0,""SKU NO ENCONTRADO"",
LET(
valor,INDEX(Referencia!$A$2:$AZ6238,fila,col),
IF(TRIM(TO_TEXT(valor))=TRIM(TO_TEXT(I638)),
""OK"&amp;""",
""NO COINCIDE. Valor verdadero: ""&amp;IF(valor="""",""[VACÍO]"",TO_TEXT(valor))
)
))))
),""ERROR EN FÓRMULA""))"),"OK")</f>
        <v>OK</v>
      </c>
    </row>
    <row r="639">
      <c r="A639" s="83" t="s">
        <v>4078</v>
      </c>
      <c r="B639" s="83" t="s">
        <v>4079</v>
      </c>
      <c r="C639" s="81" t="s">
        <v>4086</v>
      </c>
      <c r="D639" s="83" t="s">
        <v>4408</v>
      </c>
      <c r="E639" s="81" t="s">
        <v>1770</v>
      </c>
      <c r="F639" s="84">
        <v>353.0</v>
      </c>
      <c r="G639" s="81" t="s">
        <v>29</v>
      </c>
      <c r="H639" s="81" t="s">
        <v>4409</v>
      </c>
      <c r="I639" s="81" t="s">
        <v>1771</v>
      </c>
      <c r="J639" s="81" t="s">
        <v>224</v>
      </c>
      <c r="K639" s="81" t="str">
        <f>IFERROR(__xludf.DUMMYFUNCTION("IF(OR(D639="""",G639=""""),"""",IFERROR(LET(
campo,XLOOKUP(TRIM(G639),ARRAYFORMULA(TRIM('indice columnas'!$A$2:$A$100)),'indice columnas'!$B$2:$B$100,""""),
col,IFERROR(MATCH(campo,Referencia!$A$1:$AZ$1,0),0),
fila,IFERROR(MATCH(TO_TEXT(D639),ARRAYFORMULA"&amp;"(TO_TEXT(Referencia!$A$2:$A6238)),0),0),
IF(OR(campo="""",campo=""-""),""NO APLICA"",
IF(col=0,""REVISAR EQUIVALENCIA"",
IF(fila=0,""SKU NO ENCONTRADO"",
LET(
valor,INDEX(Referencia!$A$2:$AZ6238,fila,col),
IF(TRIM(TO_TEXT(valor))=TRIM(TO_TEXT(I639)),
""OK"&amp;""",
""NO COINCIDE. Valor verdadero: ""&amp;IF(valor="""",""[VACÍO]"",TO_TEXT(valor))
)
))))
),""ERROR EN FÓRMULA""))"),"NO COINCIDE. Valor verdadero: 33 x 60 x 120 (Ancho x Alto x Largo)")</f>
        <v>NO COINCIDE. Valor verdadero: 33 x 60 x 120 (Ancho x Alto x Largo)</v>
      </c>
    </row>
    <row r="640">
      <c r="A640" s="83" t="s">
        <v>4078</v>
      </c>
      <c r="B640" s="83" t="s">
        <v>4079</v>
      </c>
      <c r="C640" s="81" t="s">
        <v>4086</v>
      </c>
      <c r="D640" s="83" t="s">
        <v>4408</v>
      </c>
      <c r="E640" s="81" t="s">
        <v>1770</v>
      </c>
      <c r="F640" s="84">
        <v>353.0</v>
      </c>
      <c r="G640" s="81" t="s">
        <v>44</v>
      </c>
      <c r="H640" s="81" t="s">
        <v>224</v>
      </c>
      <c r="I640" s="81" t="s">
        <v>1401</v>
      </c>
      <c r="J640" s="81" t="s">
        <v>4088</v>
      </c>
      <c r="K640" s="81" t="str">
        <f>IFERROR(__xludf.DUMMYFUNCTION("IF(OR(D640="""",G640=""""),"""",IFERROR(LET(
campo,XLOOKUP(TRIM(G640),ARRAYFORMULA(TRIM('indice columnas'!$A$2:$A$100)),'indice columnas'!$B$2:$B$100,""""),
col,IFERROR(MATCH(campo,Referencia!$A$1:$AZ$1,0),0),
fila,IFERROR(MATCH(TO_TEXT(D640),ARRAYFORMULA"&amp;"(TO_TEXT(Referencia!$A$2:$A6238)),0),0),
IF(OR(campo="""",campo=""-""),""NO APLICA"",
IF(col=0,""REVISAR EQUIVALENCIA"",
IF(fila=0,""SKU NO ENCONTRADO"",
LET(
valor,INDEX(Referencia!$A$2:$AZ6238,fila,col),
IF(TRIM(TO_TEXT(valor))=TRIM(TO_TEXT(I640)),
""OK"&amp;""",
""NO COINCIDE. Valor verdadero: ""&amp;IF(valor="""",""[VACÍO]"",TO_TEXT(valor))
)
))))
),""ERROR EN FÓRMULA""))"),"NO APLICA")</f>
        <v>NO APLICA</v>
      </c>
    </row>
    <row r="641">
      <c r="A641" s="83" t="s">
        <v>4078</v>
      </c>
      <c r="B641" s="83" t="s">
        <v>4079</v>
      </c>
      <c r="C641" s="81" t="s">
        <v>4086</v>
      </c>
      <c r="D641" s="83" t="s">
        <v>4410</v>
      </c>
      <c r="E641" s="81" t="s">
        <v>1772</v>
      </c>
      <c r="F641" s="84">
        <v>354.0</v>
      </c>
      <c r="G641" s="81" t="s">
        <v>12</v>
      </c>
      <c r="H641" s="81" t="s">
        <v>224</v>
      </c>
      <c r="I641" s="81" t="s">
        <v>55</v>
      </c>
      <c r="J641" s="81" t="s">
        <v>224</v>
      </c>
      <c r="K641" s="81" t="str">
        <f>IFERROR(__xludf.DUMMYFUNCTION("IF(OR(D641="""",G641=""""),"""",IFERROR(LET(
campo,XLOOKUP(TRIM(G641),ARRAYFORMULA(TRIM('indice columnas'!$A$2:$A$100)),'indice columnas'!$B$2:$B$100,""""),
col,IFERROR(MATCH(campo,Referencia!$A$1:$AZ$1,0),0),
fila,IFERROR(MATCH(TO_TEXT(D641),ARRAYFORMULA"&amp;"(TO_TEXT(Referencia!$A$2:$A6238)),0),0),
IF(OR(campo="""",campo=""-""),""NO APLICA"",
IF(col=0,""REVISAR EQUIVALENCIA"",
IF(fila=0,""SKU NO ENCONTRADO"",
LET(
valor,INDEX(Referencia!$A$2:$AZ6238,fila,col),
IF(TRIM(TO_TEXT(valor))=TRIM(TO_TEXT(I641)),
""OK"&amp;""",
""NO COINCIDE. Valor verdadero: ""&amp;IF(valor="""",""[VACÍO]"",TO_TEXT(valor))
)
))))
),""ERROR EN FÓRMULA""))"),"OK")</f>
        <v>OK</v>
      </c>
    </row>
    <row r="642">
      <c r="A642" s="83" t="s">
        <v>4078</v>
      </c>
      <c r="B642" s="83" t="s">
        <v>4079</v>
      </c>
      <c r="C642" s="81" t="s">
        <v>4086</v>
      </c>
      <c r="D642" s="83" t="s">
        <v>4410</v>
      </c>
      <c r="E642" s="81" t="s">
        <v>1772</v>
      </c>
      <c r="F642" s="84">
        <v>354.0</v>
      </c>
      <c r="G642" s="81" t="s">
        <v>29</v>
      </c>
      <c r="H642" s="81" t="s">
        <v>4409</v>
      </c>
      <c r="I642" s="81" t="s">
        <v>1771</v>
      </c>
      <c r="J642" s="81" t="s">
        <v>224</v>
      </c>
      <c r="K642" s="81" t="str">
        <f>IFERROR(__xludf.DUMMYFUNCTION("IF(OR(D642="""",G642=""""),"""",IFERROR(LET(
campo,XLOOKUP(TRIM(G642),ARRAYFORMULA(TRIM('indice columnas'!$A$2:$A$100)),'indice columnas'!$B$2:$B$100,""""),
col,IFERROR(MATCH(campo,Referencia!$A$1:$AZ$1,0),0),
fila,IFERROR(MATCH(TO_TEXT(D642),ARRAYFORMULA"&amp;"(TO_TEXT(Referencia!$A$2:$A6238)),0),0),
IF(OR(campo="""",campo=""-""),""NO APLICA"",
IF(col=0,""REVISAR EQUIVALENCIA"",
IF(fila=0,""SKU NO ENCONTRADO"",
LET(
valor,INDEX(Referencia!$A$2:$AZ6238,fila,col),
IF(TRIM(TO_TEXT(valor))=TRIM(TO_TEXT(I642)),
""OK"&amp;""",
""NO COINCIDE. Valor verdadero: ""&amp;IF(valor="""",""[VACÍO]"",TO_TEXT(valor))
)
))))
),""ERROR EN FÓRMULA""))"),"NO COINCIDE. Valor verdadero: 33 x 60 x 120 (Ancho x Alto x Largo)")</f>
        <v>NO COINCIDE. Valor verdadero: 33 x 60 x 120 (Ancho x Alto x Largo)</v>
      </c>
    </row>
    <row r="643">
      <c r="A643" s="83" t="s">
        <v>4078</v>
      </c>
      <c r="B643" s="83" t="s">
        <v>4079</v>
      </c>
      <c r="C643" s="81" t="s">
        <v>4086</v>
      </c>
      <c r="D643" s="83" t="s">
        <v>4410</v>
      </c>
      <c r="E643" s="81" t="s">
        <v>1772</v>
      </c>
      <c r="F643" s="84">
        <v>354.0</v>
      </c>
      <c r="G643" s="81" t="s">
        <v>44</v>
      </c>
      <c r="H643" s="81" t="s">
        <v>224</v>
      </c>
      <c r="I643" s="81" t="s">
        <v>1401</v>
      </c>
      <c r="J643" s="81" t="s">
        <v>4088</v>
      </c>
      <c r="K643" s="81" t="str">
        <f>IFERROR(__xludf.DUMMYFUNCTION("IF(OR(D643="""",G643=""""),"""",IFERROR(LET(
campo,XLOOKUP(TRIM(G643),ARRAYFORMULA(TRIM('indice columnas'!$A$2:$A$100)),'indice columnas'!$B$2:$B$100,""""),
col,IFERROR(MATCH(campo,Referencia!$A$1:$AZ$1,0),0),
fila,IFERROR(MATCH(TO_TEXT(D643),ARRAYFORMULA"&amp;"(TO_TEXT(Referencia!$A$2:$A6238)),0),0),
IF(OR(campo="""",campo=""-""),""NO APLICA"",
IF(col=0,""REVISAR EQUIVALENCIA"",
IF(fila=0,""SKU NO ENCONTRADO"",
LET(
valor,INDEX(Referencia!$A$2:$AZ6238,fila,col),
IF(TRIM(TO_TEXT(valor))=TRIM(TO_TEXT(I643)),
""OK"&amp;""",
""NO COINCIDE. Valor verdadero: ""&amp;IF(valor="""",""[VACÍO]"",TO_TEXT(valor))
)
))))
),""ERROR EN FÓRMULA""))"),"NO APLICA")</f>
        <v>NO APLICA</v>
      </c>
    </row>
    <row r="644">
      <c r="A644" s="83" t="s">
        <v>4078</v>
      </c>
      <c r="B644" s="83" t="s">
        <v>4079</v>
      </c>
      <c r="C644" s="81" t="s">
        <v>4086</v>
      </c>
      <c r="D644" s="83" t="s">
        <v>4411</v>
      </c>
      <c r="E644" s="81" t="s">
        <v>1775</v>
      </c>
      <c r="F644" s="84">
        <v>355.0</v>
      </c>
      <c r="G644" s="81" t="s">
        <v>44</v>
      </c>
      <c r="H644" s="81" t="s">
        <v>224</v>
      </c>
      <c r="I644" s="81" t="s">
        <v>1775</v>
      </c>
      <c r="J644" s="81" t="s">
        <v>4088</v>
      </c>
      <c r="K644" s="81" t="str">
        <f>IFERROR(__xludf.DUMMYFUNCTION("IF(OR(D644="""",G644=""""),"""",IFERROR(LET(
campo,XLOOKUP(TRIM(G644),ARRAYFORMULA(TRIM('indice columnas'!$A$2:$A$100)),'indice columnas'!$B$2:$B$100,""""),
col,IFERROR(MATCH(campo,Referencia!$A$1:$AZ$1,0),0),
fila,IFERROR(MATCH(TO_TEXT(D644),ARRAYFORMULA"&amp;"(TO_TEXT(Referencia!$A$2:$A6238)),0),0),
IF(OR(campo="""",campo=""-""),""NO APLICA"",
IF(col=0,""REVISAR EQUIVALENCIA"",
IF(fila=0,""SKU NO ENCONTRADO"",
LET(
valor,INDEX(Referencia!$A$2:$AZ6238,fila,col),
IF(TRIM(TO_TEXT(valor))=TRIM(TO_TEXT(I644)),
""OK"&amp;""",
""NO COINCIDE. Valor verdadero: ""&amp;IF(valor="""",""[VACÍO]"",TO_TEXT(valor))
)
))))
),""ERROR EN FÓRMULA""))"),"NO APLICA")</f>
        <v>NO APLICA</v>
      </c>
    </row>
    <row r="645">
      <c r="A645" s="83" t="s">
        <v>4078</v>
      </c>
      <c r="B645" s="83" t="s">
        <v>4079</v>
      </c>
      <c r="C645" s="81" t="s">
        <v>4086</v>
      </c>
      <c r="D645" s="83" t="s">
        <v>4411</v>
      </c>
      <c r="E645" s="81" t="s">
        <v>1789</v>
      </c>
      <c r="F645" s="84">
        <v>356.0</v>
      </c>
      <c r="G645" s="81" t="s">
        <v>12</v>
      </c>
      <c r="H645" s="81" t="s">
        <v>224</v>
      </c>
      <c r="I645" s="81" t="s">
        <v>1549</v>
      </c>
      <c r="J645" s="81" t="s">
        <v>224</v>
      </c>
      <c r="K645" s="81" t="str">
        <f>IFERROR(__xludf.DUMMYFUNCTION("IF(OR(D645="""",G645=""""),"""",IFERROR(LET(
campo,XLOOKUP(TRIM(G645),ARRAYFORMULA(TRIM('indice columnas'!$A$2:$A$100)),'indice columnas'!$B$2:$B$100,""""),
col,IFERROR(MATCH(campo,Referencia!$A$1:$AZ$1,0),0),
fila,IFERROR(MATCH(TO_TEXT(D645),ARRAYFORMULA"&amp;"(TO_TEXT(Referencia!$A$2:$A6238)),0),0),
IF(OR(campo="""",campo=""-""),""NO APLICA"",
IF(col=0,""REVISAR EQUIVALENCIA"",
IF(fila=0,""SKU NO ENCONTRADO"",
LET(
valor,INDEX(Referencia!$A$2:$AZ6238,fila,col),
IF(TRIM(TO_TEXT(valor))=TRIM(TO_TEXT(I645)),
""OK"&amp;""",
""NO COINCIDE. Valor verdadero: ""&amp;IF(valor="""",""[VACÍO]"",TO_TEXT(valor))
)
))))
),""ERROR EN FÓRMULA""))"),"OK")</f>
        <v>OK</v>
      </c>
    </row>
    <row r="646">
      <c r="A646" s="83" t="s">
        <v>4078</v>
      </c>
      <c r="B646" s="83" t="s">
        <v>4079</v>
      </c>
      <c r="C646" s="81" t="s">
        <v>4086</v>
      </c>
      <c r="D646" s="83" t="s">
        <v>4411</v>
      </c>
      <c r="E646" s="81" t="s">
        <v>1789</v>
      </c>
      <c r="F646" s="84">
        <v>356.0</v>
      </c>
      <c r="G646" s="81" t="s">
        <v>44</v>
      </c>
      <c r="H646" s="81" t="s">
        <v>224</v>
      </c>
      <c r="I646" s="81" t="s">
        <v>1775</v>
      </c>
      <c r="J646" s="81" t="s">
        <v>4088</v>
      </c>
      <c r="K646" s="81" t="str">
        <f>IFERROR(__xludf.DUMMYFUNCTION("IF(OR(D646="""",G646=""""),"""",IFERROR(LET(
campo,XLOOKUP(TRIM(G646),ARRAYFORMULA(TRIM('indice columnas'!$A$2:$A$100)),'indice columnas'!$B$2:$B$100,""""),
col,IFERROR(MATCH(campo,Referencia!$A$1:$AZ$1,0),0),
fila,IFERROR(MATCH(TO_TEXT(D646),ARRAYFORMULA"&amp;"(TO_TEXT(Referencia!$A$2:$A6238)),0),0),
IF(OR(campo="""",campo=""-""),""NO APLICA"",
IF(col=0,""REVISAR EQUIVALENCIA"",
IF(fila=0,""SKU NO ENCONTRADO"",
LET(
valor,INDEX(Referencia!$A$2:$AZ6238,fila,col),
IF(TRIM(TO_TEXT(valor))=TRIM(TO_TEXT(I646)),
""OK"&amp;""",
""NO COINCIDE. Valor verdadero: ""&amp;IF(valor="""",""[VACÍO]"",TO_TEXT(valor))
)
))))
),""ERROR EN FÓRMULA""))"),"NO APLICA")</f>
        <v>NO APLICA</v>
      </c>
    </row>
    <row r="647">
      <c r="A647" s="83" t="s">
        <v>4078</v>
      </c>
      <c r="B647" s="83" t="s">
        <v>4079</v>
      </c>
      <c r="C647" s="81" t="s">
        <v>4086</v>
      </c>
      <c r="D647" s="83" t="s">
        <v>4412</v>
      </c>
      <c r="E647" s="81" t="s">
        <v>1790</v>
      </c>
      <c r="F647" s="84">
        <v>357.0</v>
      </c>
      <c r="G647" s="81" t="s">
        <v>12</v>
      </c>
      <c r="H647" s="81" t="s">
        <v>224</v>
      </c>
      <c r="I647" s="81" t="s">
        <v>1549</v>
      </c>
      <c r="J647" s="81" t="s">
        <v>224</v>
      </c>
      <c r="K647" s="81" t="str">
        <f>IFERROR(__xludf.DUMMYFUNCTION("IF(OR(D647="""",G647=""""),"""",IFERROR(LET(
campo,XLOOKUP(TRIM(G647),ARRAYFORMULA(TRIM('indice columnas'!$A$2:$A$100)),'indice columnas'!$B$2:$B$100,""""),
col,IFERROR(MATCH(campo,Referencia!$A$1:$AZ$1,0),0),
fila,IFERROR(MATCH(TO_TEXT(D647),ARRAYFORMULA"&amp;"(TO_TEXT(Referencia!$A$2:$A6238)),0),0),
IF(OR(campo="""",campo=""-""),""NO APLICA"",
IF(col=0,""REVISAR EQUIVALENCIA"",
IF(fila=0,""SKU NO ENCONTRADO"",
LET(
valor,INDEX(Referencia!$A$2:$AZ6238,fila,col),
IF(TRIM(TO_TEXT(valor))=TRIM(TO_TEXT(I647)),
""OK"&amp;""",
""NO COINCIDE. Valor verdadero: ""&amp;IF(valor="""",""[VACÍO]"",TO_TEXT(valor))
)
))))
),""ERROR EN FÓRMULA""))"),"OK")</f>
        <v>OK</v>
      </c>
    </row>
    <row r="648">
      <c r="A648" s="83" t="s">
        <v>4078</v>
      </c>
      <c r="B648" s="83" t="s">
        <v>4079</v>
      </c>
      <c r="C648" s="81" t="s">
        <v>4086</v>
      </c>
      <c r="D648" s="83" t="s">
        <v>4412</v>
      </c>
      <c r="E648" s="81" t="s">
        <v>1790</v>
      </c>
      <c r="F648" s="84">
        <v>357.0</v>
      </c>
      <c r="G648" s="81" t="s">
        <v>44</v>
      </c>
      <c r="H648" s="81" t="s">
        <v>224</v>
      </c>
      <c r="I648" s="81" t="s">
        <v>1775</v>
      </c>
      <c r="J648" s="81" t="s">
        <v>4088</v>
      </c>
      <c r="K648" s="81" t="str">
        <f>IFERROR(__xludf.DUMMYFUNCTION("IF(OR(D648="""",G648=""""),"""",IFERROR(LET(
campo,XLOOKUP(TRIM(G648),ARRAYFORMULA(TRIM('indice columnas'!$A$2:$A$100)),'indice columnas'!$B$2:$B$100,""""),
col,IFERROR(MATCH(campo,Referencia!$A$1:$AZ$1,0),0),
fila,IFERROR(MATCH(TO_TEXT(D648),ARRAYFORMULA"&amp;"(TO_TEXT(Referencia!$A$2:$A6238)),0),0),
IF(OR(campo="""",campo=""-""),""NO APLICA"",
IF(col=0,""REVISAR EQUIVALENCIA"",
IF(fila=0,""SKU NO ENCONTRADO"",
LET(
valor,INDEX(Referencia!$A$2:$AZ6238,fila,col),
IF(TRIM(TO_TEXT(valor))=TRIM(TO_TEXT(I648)),
""OK"&amp;""",
""NO COINCIDE. Valor verdadero: ""&amp;IF(valor="""",""[VACÍO]"",TO_TEXT(valor))
)
))))
),""ERROR EN FÓRMULA""))"),"NO APLICA")</f>
        <v>NO APLICA</v>
      </c>
    </row>
    <row r="649">
      <c r="A649" s="83" t="s">
        <v>4078</v>
      </c>
      <c r="B649" s="83" t="s">
        <v>4079</v>
      </c>
      <c r="C649" s="81" t="s">
        <v>4086</v>
      </c>
      <c r="D649" s="83" t="s">
        <v>4413</v>
      </c>
      <c r="E649" s="81" t="s">
        <v>1794</v>
      </c>
      <c r="F649" s="84">
        <v>358.0</v>
      </c>
      <c r="G649" s="81" t="s">
        <v>44</v>
      </c>
      <c r="H649" s="81" t="s">
        <v>224</v>
      </c>
      <c r="I649" s="81" t="s">
        <v>1794</v>
      </c>
      <c r="J649" s="81" t="s">
        <v>4088</v>
      </c>
      <c r="K649" s="81" t="str">
        <f>IFERROR(__xludf.DUMMYFUNCTION("IF(OR(D649="""",G649=""""),"""",IFERROR(LET(
campo,XLOOKUP(TRIM(G649),ARRAYFORMULA(TRIM('indice columnas'!$A$2:$A$100)),'indice columnas'!$B$2:$B$100,""""),
col,IFERROR(MATCH(campo,Referencia!$A$1:$AZ$1,0),0),
fila,IFERROR(MATCH(TO_TEXT(D649),ARRAYFORMULA"&amp;"(TO_TEXT(Referencia!$A$2:$A6238)),0),0),
IF(OR(campo="""",campo=""-""),""NO APLICA"",
IF(col=0,""REVISAR EQUIVALENCIA"",
IF(fila=0,""SKU NO ENCONTRADO"",
LET(
valor,INDEX(Referencia!$A$2:$AZ6238,fila,col),
IF(TRIM(TO_TEXT(valor))=TRIM(TO_TEXT(I649)),
""OK"&amp;""",
""NO COINCIDE. Valor verdadero: ""&amp;IF(valor="""",""[VACÍO]"",TO_TEXT(valor))
)
))))
),""ERROR EN FÓRMULA""))"),"NO APLICA")</f>
        <v>NO APLICA</v>
      </c>
    </row>
    <row r="650">
      <c r="A650" s="83" t="s">
        <v>4078</v>
      </c>
      <c r="B650" s="83" t="s">
        <v>4079</v>
      </c>
      <c r="C650" s="81" t="s">
        <v>4086</v>
      </c>
      <c r="D650" s="83" t="s">
        <v>4413</v>
      </c>
      <c r="E650" s="81" t="s">
        <v>1808</v>
      </c>
      <c r="F650" s="84">
        <v>359.0</v>
      </c>
      <c r="G650" s="81" t="s">
        <v>44</v>
      </c>
      <c r="H650" s="81" t="s">
        <v>224</v>
      </c>
      <c r="I650" s="81" t="s">
        <v>1794</v>
      </c>
      <c r="J650" s="81" t="s">
        <v>4088</v>
      </c>
      <c r="K650" s="81" t="str">
        <f>IFERROR(__xludf.DUMMYFUNCTION("IF(OR(D650="""",G650=""""),"""",IFERROR(LET(
campo,XLOOKUP(TRIM(G650),ARRAYFORMULA(TRIM('indice columnas'!$A$2:$A$100)),'indice columnas'!$B$2:$B$100,""""),
col,IFERROR(MATCH(campo,Referencia!$A$1:$AZ$1,0),0),
fila,IFERROR(MATCH(TO_TEXT(D650),ARRAYFORMULA"&amp;"(TO_TEXT(Referencia!$A$2:$A6238)),0),0),
IF(OR(campo="""",campo=""-""),""NO APLICA"",
IF(col=0,""REVISAR EQUIVALENCIA"",
IF(fila=0,""SKU NO ENCONTRADO"",
LET(
valor,INDEX(Referencia!$A$2:$AZ6238,fila,col),
IF(TRIM(TO_TEXT(valor))=TRIM(TO_TEXT(I650)),
""OK"&amp;""",
""NO COINCIDE. Valor verdadero: ""&amp;IF(valor="""",""[VACÍO]"",TO_TEXT(valor))
)
))))
),""ERROR EN FÓRMULA""))"),"NO APLICA")</f>
        <v>NO APLICA</v>
      </c>
    </row>
    <row r="651">
      <c r="A651" s="83" t="s">
        <v>4078</v>
      </c>
      <c r="B651" s="83" t="s">
        <v>4079</v>
      </c>
      <c r="C651" s="81" t="s">
        <v>4086</v>
      </c>
      <c r="D651" s="83" t="s">
        <v>4414</v>
      </c>
      <c r="E651" s="81" t="s">
        <v>1810</v>
      </c>
      <c r="F651" s="84">
        <v>360.0</v>
      </c>
      <c r="G651" s="81" t="s">
        <v>44</v>
      </c>
      <c r="H651" s="81" t="s">
        <v>224</v>
      </c>
      <c r="I651" s="81" t="s">
        <v>1794</v>
      </c>
      <c r="J651" s="81" t="s">
        <v>4088</v>
      </c>
      <c r="K651" s="81" t="str">
        <f>IFERROR(__xludf.DUMMYFUNCTION("IF(OR(D651="""",G651=""""),"""",IFERROR(LET(
campo,XLOOKUP(TRIM(G651),ARRAYFORMULA(TRIM('indice columnas'!$A$2:$A$100)),'indice columnas'!$B$2:$B$100,""""),
col,IFERROR(MATCH(campo,Referencia!$A$1:$AZ$1,0),0),
fila,IFERROR(MATCH(TO_TEXT(D651),ARRAYFORMULA"&amp;"(TO_TEXT(Referencia!$A$2:$A6238)),0),0),
IF(OR(campo="""",campo=""-""),""NO APLICA"",
IF(col=0,""REVISAR EQUIVALENCIA"",
IF(fila=0,""SKU NO ENCONTRADO"",
LET(
valor,INDEX(Referencia!$A$2:$AZ6238,fila,col),
IF(TRIM(TO_TEXT(valor))=TRIM(TO_TEXT(I651)),
""OK"&amp;""",
""NO COINCIDE. Valor verdadero: ""&amp;IF(valor="""",""[VACÍO]"",TO_TEXT(valor))
)
))))
),""ERROR EN FÓRMULA""))"),"NO APLICA")</f>
        <v>NO APLICA</v>
      </c>
    </row>
    <row r="652">
      <c r="A652" s="83" t="s">
        <v>4078</v>
      </c>
      <c r="B652" s="83" t="s">
        <v>4079</v>
      </c>
      <c r="C652" s="81" t="s">
        <v>4086</v>
      </c>
      <c r="D652" s="83" t="s">
        <v>4415</v>
      </c>
      <c r="E652" s="81" t="s">
        <v>1813</v>
      </c>
      <c r="F652" s="84">
        <v>361.0</v>
      </c>
      <c r="G652" s="81" t="s">
        <v>44</v>
      </c>
      <c r="H652" s="81" t="s">
        <v>224</v>
      </c>
      <c r="I652" s="81" t="s">
        <v>1794</v>
      </c>
      <c r="J652" s="81" t="s">
        <v>4088</v>
      </c>
      <c r="K652" s="81" t="str">
        <f>IFERROR(__xludf.DUMMYFUNCTION("IF(OR(D652="""",G652=""""),"""",IFERROR(LET(
campo,XLOOKUP(TRIM(G652),ARRAYFORMULA(TRIM('indice columnas'!$A$2:$A$100)),'indice columnas'!$B$2:$B$100,""""),
col,IFERROR(MATCH(campo,Referencia!$A$1:$AZ$1,0),0),
fila,IFERROR(MATCH(TO_TEXT(D652),ARRAYFORMULA"&amp;"(TO_TEXT(Referencia!$A$2:$A6238)),0),0),
IF(OR(campo="""",campo=""-""),""NO APLICA"",
IF(col=0,""REVISAR EQUIVALENCIA"",
IF(fila=0,""SKU NO ENCONTRADO"",
LET(
valor,INDEX(Referencia!$A$2:$AZ6238,fila,col),
IF(TRIM(TO_TEXT(valor))=TRIM(TO_TEXT(I652)),
""OK"&amp;""",
""NO COINCIDE. Valor verdadero: ""&amp;IF(valor="""",""[VACÍO]"",TO_TEXT(valor))
)
))))
),""ERROR EN FÓRMULA""))"),"NO APLICA")</f>
        <v>NO APLICA</v>
      </c>
    </row>
    <row r="653">
      <c r="A653" s="83" t="s">
        <v>4078</v>
      </c>
      <c r="B653" s="83" t="s">
        <v>4079</v>
      </c>
      <c r="C653" s="81" t="s">
        <v>4086</v>
      </c>
      <c r="D653" s="83" t="s">
        <v>4416</v>
      </c>
      <c r="E653" s="81" t="s">
        <v>1822</v>
      </c>
      <c r="F653" s="84">
        <v>362.0</v>
      </c>
      <c r="G653" s="81" t="s">
        <v>44</v>
      </c>
      <c r="H653" s="81" t="s">
        <v>224</v>
      </c>
      <c r="I653" s="81" t="s">
        <v>1794</v>
      </c>
      <c r="J653" s="81" t="s">
        <v>4088</v>
      </c>
      <c r="K653" s="81" t="str">
        <f>IFERROR(__xludf.DUMMYFUNCTION("IF(OR(D653="""",G653=""""),"""",IFERROR(LET(
campo,XLOOKUP(TRIM(G653),ARRAYFORMULA(TRIM('indice columnas'!$A$2:$A$100)),'indice columnas'!$B$2:$B$100,""""),
col,IFERROR(MATCH(campo,Referencia!$A$1:$AZ$1,0),0),
fila,IFERROR(MATCH(TO_TEXT(D653),ARRAYFORMULA"&amp;"(TO_TEXT(Referencia!$A$2:$A6238)),0),0),
IF(OR(campo="""",campo=""-""),""NO APLICA"",
IF(col=0,""REVISAR EQUIVALENCIA"",
IF(fila=0,""SKU NO ENCONTRADO"",
LET(
valor,INDEX(Referencia!$A$2:$AZ6238,fila,col),
IF(TRIM(TO_TEXT(valor))=TRIM(TO_TEXT(I653)),
""OK"&amp;""",
""NO COINCIDE. Valor verdadero: ""&amp;IF(valor="""",""[VACÍO]"",TO_TEXT(valor))
)
))))
),""ERROR EN FÓRMULA""))"),"NO APLICA")</f>
        <v>NO APLICA</v>
      </c>
    </row>
    <row r="654">
      <c r="A654" s="83" t="s">
        <v>4078</v>
      </c>
      <c r="B654" s="83" t="s">
        <v>4079</v>
      </c>
      <c r="C654" s="81" t="s">
        <v>4086</v>
      </c>
      <c r="D654" s="83" t="s">
        <v>4417</v>
      </c>
      <c r="E654" s="81" t="s">
        <v>1825</v>
      </c>
      <c r="F654" s="84">
        <v>363.0</v>
      </c>
      <c r="G654" s="81" t="s">
        <v>44</v>
      </c>
      <c r="H654" s="81" t="s">
        <v>4418</v>
      </c>
      <c r="I654" s="81" t="s">
        <v>1825</v>
      </c>
      <c r="J654" s="81" t="s">
        <v>4088</v>
      </c>
      <c r="K654" s="81" t="str">
        <f>IFERROR(__xludf.DUMMYFUNCTION("IF(OR(D654="""",G654=""""),"""",IFERROR(LET(
campo,XLOOKUP(TRIM(G654),ARRAYFORMULA(TRIM('indice columnas'!$A$2:$A$100)),'indice columnas'!$B$2:$B$100,""""),
col,IFERROR(MATCH(campo,Referencia!$A$1:$AZ$1,0),0),
fila,IFERROR(MATCH(TO_TEXT(D654),ARRAYFORMULA"&amp;"(TO_TEXT(Referencia!$A$2:$A6238)),0),0),
IF(OR(campo="""",campo=""-""),""NO APLICA"",
IF(col=0,""REVISAR EQUIVALENCIA"",
IF(fila=0,""SKU NO ENCONTRADO"",
LET(
valor,INDEX(Referencia!$A$2:$AZ6238,fila,col),
IF(TRIM(TO_TEXT(valor))=TRIM(TO_TEXT(I654)),
""OK"&amp;""",
""NO COINCIDE. Valor verdadero: ""&amp;IF(valor="""",""[VACÍO]"",TO_TEXT(valor))
)
))))
),""ERROR EN FÓRMULA""))"),"NO APLICA")</f>
        <v>NO APLICA</v>
      </c>
    </row>
    <row r="655">
      <c r="A655" s="83" t="s">
        <v>4078</v>
      </c>
      <c r="B655" s="83" t="s">
        <v>4079</v>
      </c>
      <c r="C655" s="81" t="s">
        <v>4086</v>
      </c>
      <c r="D655" s="83" t="s">
        <v>4417</v>
      </c>
      <c r="E655" s="81" t="s">
        <v>1842</v>
      </c>
      <c r="F655" s="84">
        <v>364.0</v>
      </c>
      <c r="G655" s="81" t="s">
        <v>44</v>
      </c>
      <c r="H655" s="81" t="s">
        <v>4418</v>
      </c>
      <c r="I655" s="81" t="s">
        <v>1825</v>
      </c>
      <c r="J655" s="81" t="s">
        <v>4088</v>
      </c>
      <c r="K655" s="81" t="str">
        <f>IFERROR(__xludf.DUMMYFUNCTION("IF(OR(D655="""",G655=""""),"""",IFERROR(LET(
campo,XLOOKUP(TRIM(G655),ARRAYFORMULA(TRIM('indice columnas'!$A$2:$A$100)),'indice columnas'!$B$2:$B$100,""""),
col,IFERROR(MATCH(campo,Referencia!$A$1:$AZ$1,0),0),
fila,IFERROR(MATCH(TO_TEXT(D655),ARRAYFORMULA"&amp;"(TO_TEXT(Referencia!$A$2:$A6238)),0),0),
IF(OR(campo="""",campo=""-""),""NO APLICA"",
IF(col=0,""REVISAR EQUIVALENCIA"",
IF(fila=0,""SKU NO ENCONTRADO"",
LET(
valor,INDEX(Referencia!$A$2:$AZ6238,fila,col),
IF(TRIM(TO_TEXT(valor))=TRIM(TO_TEXT(I655)),
""OK"&amp;""",
""NO COINCIDE. Valor verdadero: ""&amp;IF(valor="""",""[VACÍO]"",TO_TEXT(valor))
)
))))
),""ERROR EN FÓRMULA""))"),"NO APLICA")</f>
        <v>NO APLICA</v>
      </c>
    </row>
    <row r="656">
      <c r="A656" s="83" t="s">
        <v>4078</v>
      </c>
      <c r="B656" s="83" t="s">
        <v>4079</v>
      </c>
      <c r="C656" s="81" t="s">
        <v>4086</v>
      </c>
      <c r="D656" s="83" t="s">
        <v>4419</v>
      </c>
      <c r="E656" s="81" t="s">
        <v>1843</v>
      </c>
      <c r="F656" s="84">
        <v>365.0</v>
      </c>
      <c r="G656" s="81" t="s">
        <v>44</v>
      </c>
      <c r="H656" s="81" t="s">
        <v>4418</v>
      </c>
      <c r="I656" s="81" t="s">
        <v>1825</v>
      </c>
      <c r="J656" s="81" t="s">
        <v>4088</v>
      </c>
      <c r="K656" s="81" t="str">
        <f>IFERROR(__xludf.DUMMYFUNCTION("IF(OR(D656="""",G656=""""),"""",IFERROR(LET(
campo,XLOOKUP(TRIM(G656),ARRAYFORMULA(TRIM('indice columnas'!$A$2:$A$100)),'indice columnas'!$B$2:$B$100,""""),
col,IFERROR(MATCH(campo,Referencia!$A$1:$AZ$1,0),0),
fila,IFERROR(MATCH(TO_TEXT(D656),ARRAYFORMULA"&amp;"(TO_TEXT(Referencia!$A$2:$A6238)),0),0),
IF(OR(campo="""",campo=""-""),""NO APLICA"",
IF(col=0,""REVISAR EQUIVALENCIA"",
IF(fila=0,""SKU NO ENCONTRADO"",
LET(
valor,INDEX(Referencia!$A$2:$AZ6238,fila,col),
IF(TRIM(TO_TEXT(valor))=TRIM(TO_TEXT(I656)),
""OK"&amp;""",
""NO COINCIDE. Valor verdadero: ""&amp;IF(valor="""",""[VACÍO]"",TO_TEXT(valor))
)
))))
),""ERROR EN FÓRMULA""))"),"NO APLICA")</f>
        <v>NO APLICA</v>
      </c>
    </row>
    <row r="657">
      <c r="A657" s="83" t="s">
        <v>4078</v>
      </c>
      <c r="B657" s="83" t="s">
        <v>4079</v>
      </c>
      <c r="C657" s="81" t="s">
        <v>4086</v>
      </c>
      <c r="D657" s="83" t="s">
        <v>4420</v>
      </c>
      <c r="E657" s="81" t="s">
        <v>1844</v>
      </c>
      <c r="F657" s="84">
        <v>366.0</v>
      </c>
      <c r="G657" s="81" t="s">
        <v>12</v>
      </c>
      <c r="H657" s="81" t="s">
        <v>224</v>
      </c>
      <c r="I657" s="81" t="s">
        <v>55</v>
      </c>
      <c r="J657" s="81" t="s">
        <v>224</v>
      </c>
      <c r="K657" s="81" t="str">
        <f>IFERROR(__xludf.DUMMYFUNCTION("IF(OR(D657="""",G657=""""),"""",IFERROR(LET(
campo,XLOOKUP(TRIM(G657),ARRAYFORMULA(TRIM('indice columnas'!$A$2:$A$100)),'indice columnas'!$B$2:$B$100,""""),
col,IFERROR(MATCH(campo,Referencia!$A$1:$AZ$1,0),0),
fila,IFERROR(MATCH(TO_TEXT(D657),ARRAYFORMULA"&amp;"(TO_TEXT(Referencia!$A$2:$A6238)),0),0),
IF(OR(campo="""",campo=""-""),""NO APLICA"",
IF(col=0,""REVISAR EQUIVALENCIA"",
IF(fila=0,""SKU NO ENCONTRADO"",
LET(
valor,INDEX(Referencia!$A$2:$AZ6238,fila,col),
IF(TRIM(TO_TEXT(valor))=TRIM(TO_TEXT(I657)),
""OK"&amp;""",
""NO COINCIDE. Valor verdadero: ""&amp;IF(valor="""",""[VACÍO]"",TO_TEXT(valor))
)
))))
),""ERROR EN FÓRMULA""))"),"OK")</f>
        <v>OK</v>
      </c>
    </row>
    <row r="658">
      <c r="A658" s="83" t="s">
        <v>4078</v>
      </c>
      <c r="B658" s="83" t="s">
        <v>4079</v>
      </c>
      <c r="C658" s="81" t="s">
        <v>4086</v>
      </c>
      <c r="D658" s="83" t="s">
        <v>4420</v>
      </c>
      <c r="E658" s="81" t="s">
        <v>1844</v>
      </c>
      <c r="F658" s="84">
        <v>366.0</v>
      </c>
      <c r="G658" s="81" t="s">
        <v>44</v>
      </c>
      <c r="H658" s="81" t="s">
        <v>4418</v>
      </c>
      <c r="I658" s="81" t="s">
        <v>1825</v>
      </c>
      <c r="J658" s="81" t="s">
        <v>4088</v>
      </c>
      <c r="K658" s="81" t="str">
        <f>IFERROR(__xludf.DUMMYFUNCTION("IF(OR(D658="""",G658=""""),"""",IFERROR(LET(
campo,XLOOKUP(TRIM(G658),ARRAYFORMULA(TRIM('indice columnas'!$A$2:$A$100)),'indice columnas'!$B$2:$B$100,""""),
col,IFERROR(MATCH(campo,Referencia!$A$1:$AZ$1,0),0),
fila,IFERROR(MATCH(TO_TEXT(D658),ARRAYFORMULA"&amp;"(TO_TEXT(Referencia!$A$2:$A6238)),0),0),
IF(OR(campo="""",campo=""-""),""NO APLICA"",
IF(col=0,""REVISAR EQUIVALENCIA"",
IF(fila=0,""SKU NO ENCONTRADO"",
LET(
valor,INDEX(Referencia!$A$2:$AZ6238,fila,col),
IF(TRIM(TO_TEXT(valor))=TRIM(TO_TEXT(I658)),
""OK"&amp;""",
""NO COINCIDE. Valor verdadero: ""&amp;IF(valor="""",""[VACÍO]"",TO_TEXT(valor))
)
))))
),""ERROR EN FÓRMULA""))"),"NO APLICA")</f>
        <v>NO APLICA</v>
      </c>
    </row>
    <row r="659">
      <c r="A659" s="83" t="s">
        <v>4078</v>
      </c>
      <c r="B659" s="83" t="s">
        <v>4079</v>
      </c>
      <c r="C659" s="81" t="s">
        <v>4086</v>
      </c>
      <c r="D659" s="83" t="s">
        <v>4421</v>
      </c>
      <c r="E659" s="81" t="s">
        <v>1848</v>
      </c>
      <c r="F659" s="84">
        <v>367.0</v>
      </c>
      <c r="G659" s="81" t="s">
        <v>12</v>
      </c>
      <c r="H659" s="81" t="s">
        <v>224</v>
      </c>
      <c r="I659" s="81" t="s">
        <v>55</v>
      </c>
      <c r="J659" s="81" t="s">
        <v>224</v>
      </c>
      <c r="K659" s="81" t="str">
        <f>IFERROR(__xludf.DUMMYFUNCTION("IF(OR(D659="""",G659=""""),"""",IFERROR(LET(
campo,XLOOKUP(TRIM(G659),ARRAYFORMULA(TRIM('indice columnas'!$A$2:$A$100)),'indice columnas'!$B$2:$B$100,""""),
col,IFERROR(MATCH(campo,Referencia!$A$1:$AZ$1,0),0),
fila,IFERROR(MATCH(TO_TEXT(D659),ARRAYFORMULA"&amp;"(TO_TEXT(Referencia!$A$2:$A6238)),0),0),
IF(OR(campo="""",campo=""-""),""NO APLICA"",
IF(col=0,""REVISAR EQUIVALENCIA"",
IF(fila=0,""SKU NO ENCONTRADO"",
LET(
valor,INDEX(Referencia!$A$2:$AZ6238,fila,col),
IF(TRIM(TO_TEXT(valor))=TRIM(TO_TEXT(I659)),
""OK"&amp;""",
""NO COINCIDE. Valor verdadero: ""&amp;IF(valor="""",""[VACÍO]"",TO_TEXT(valor))
)
))))
),""ERROR EN FÓRMULA""))"),"OK")</f>
        <v>OK</v>
      </c>
    </row>
    <row r="660">
      <c r="A660" s="83" t="s">
        <v>4078</v>
      </c>
      <c r="B660" s="83" t="s">
        <v>4079</v>
      </c>
      <c r="C660" s="81" t="s">
        <v>4086</v>
      </c>
      <c r="D660" s="83" t="s">
        <v>4421</v>
      </c>
      <c r="E660" s="81" t="s">
        <v>1848</v>
      </c>
      <c r="F660" s="84">
        <v>367.0</v>
      </c>
      <c r="G660" s="81" t="s">
        <v>44</v>
      </c>
      <c r="H660" s="81" t="s">
        <v>4418</v>
      </c>
      <c r="I660" s="81" t="s">
        <v>1825</v>
      </c>
      <c r="J660" s="81" t="s">
        <v>4088</v>
      </c>
      <c r="K660" s="81" t="str">
        <f>IFERROR(__xludf.DUMMYFUNCTION("IF(OR(D660="""",G660=""""),"""",IFERROR(LET(
campo,XLOOKUP(TRIM(G660),ARRAYFORMULA(TRIM('indice columnas'!$A$2:$A$100)),'indice columnas'!$B$2:$B$100,""""),
col,IFERROR(MATCH(campo,Referencia!$A$1:$AZ$1,0),0),
fila,IFERROR(MATCH(TO_TEXT(D660),ARRAYFORMULA"&amp;"(TO_TEXT(Referencia!$A$2:$A6238)),0),0),
IF(OR(campo="""",campo=""-""),""NO APLICA"",
IF(col=0,""REVISAR EQUIVALENCIA"",
IF(fila=0,""SKU NO ENCONTRADO"",
LET(
valor,INDEX(Referencia!$A$2:$AZ6238,fila,col),
IF(TRIM(TO_TEXT(valor))=TRIM(TO_TEXT(I660)),
""OK"&amp;""",
""NO COINCIDE. Valor verdadero: ""&amp;IF(valor="""",""[VACÍO]"",TO_TEXT(valor))
)
))))
),""ERROR EN FÓRMULA""))"),"NO APLICA")</f>
        <v>NO APLICA</v>
      </c>
    </row>
    <row r="661">
      <c r="A661" s="83" t="s">
        <v>4078</v>
      </c>
      <c r="B661" s="83" t="s">
        <v>4079</v>
      </c>
      <c r="C661" s="81" t="s">
        <v>4086</v>
      </c>
      <c r="D661" s="83" t="s">
        <v>4422</v>
      </c>
      <c r="E661" s="81" t="s">
        <v>1849</v>
      </c>
      <c r="F661" s="84">
        <v>368.0</v>
      </c>
      <c r="G661" s="81" t="s">
        <v>44</v>
      </c>
      <c r="H661" s="81" t="s">
        <v>4418</v>
      </c>
      <c r="I661" s="81" t="s">
        <v>1825</v>
      </c>
      <c r="J661" s="81" t="s">
        <v>4088</v>
      </c>
      <c r="K661" s="81" t="str">
        <f>IFERROR(__xludf.DUMMYFUNCTION("IF(OR(D661="""",G661=""""),"""",IFERROR(LET(
campo,XLOOKUP(TRIM(G661),ARRAYFORMULA(TRIM('indice columnas'!$A$2:$A$100)),'indice columnas'!$B$2:$B$100,""""),
col,IFERROR(MATCH(campo,Referencia!$A$1:$AZ$1,0),0),
fila,IFERROR(MATCH(TO_TEXT(D661),ARRAYFORMULA"&amp;"(TO_TEXT(Referencia!$A$2:$A6238)),0),0),
IF(OR(campo="""",campo=""-""),""NO APLICA"",
IF(col=0,""REVISAR EQUIVALENCIA"",
IF(fila=0,""SKU NO ENCONTRADO"",
LET(
valor,INDEX(Referencia!$A$2:$AZ6238,fila,col),
IF(TRIM(TO_TEXT(valor))=TRIM(TO_TEXT(I661)),
""OK"&amp;""",
""NO COINCIDE. Valor verdadero: ""&amp;IF(valor="""",""[VACÍO]"",TO_TEXT(valor))
)
))))
),""ERROR EN FÓRMULA""))"),"NO APLICA")</f>
        <v>NO APLICA</v>
      </c>
    </row>
    <row r="662">
      <c r="A662" s="83" t="s">
        <v>4078</v>
      </c>
      <c r="B662" s="83" t="s">
        <v>4079</v>
      </c>
      <c r="C662" s="81" t="s">
        <v>4086</v>
      </c>
      <c r="D662" s="83" t="s">
        <v>4423</v>
      </c>
      <c r="E662" s="81" t="s">
        <v>1860</v>
      </c>
      <c r="F662" s="84">
        <v>369.0</v>
      </c>
      <c r="G662" s="81" t="s">
        <v>44</v>
      </c>
      <c r="H662" s="81" t="s">
        <v>4418</v>
      </c>
      <c r="I662" s="81" t="s">
        <v>1825</v>
      </c>
      <c r="J662" s="81" t="s">
        <v>4088</v>
      </c>
      <c r="K662" s="81" t="str">
        <f>IFERROR(__xludf.DUMMYFUNCTION("IF(OR(D662="""",G662=""""),"""",IFERROR(LET(
campo,XLOOKUP(TRIM(G662),ARRAYFORMULA(TRIM('indice columnas'!$A$2:$A$100)),'indice columnas'!$B$2:$B$100,""""),
col,IFERROR(MATCH(campo,Referencia!$A$1:$AZ$1,0),0),
fila,IFERROR(MATCH(TO_TEXT(D662),ARRAYFORMULA"&amp;"(TO_TEXT(Referencia!$A$2:$A6238)),0),0),
IF(OR(campo="""",campo=""-""),""NO APLICA"",
IF(col=0,""REVISAR EQUIVALENCIA"",
IF(fila=0,""SKU NO ENCONTRADO"",
LET(
valor,INDEX(Referencia!$A$2:$AZ6238,fila,col),
IF(TRIM(TO_TEXT(valor))=TRIM(TO_TEXT(I662)),
""OK"&amp;""",
""NO COINCIDE. Valor verdadero: ""&amp;IF(valor="""",""[VACÍO]"",TO_TEXT(valor))
)
))))
),""ERROR EN FÓRMULA""))"),"NO APLICA")</f>
        <v>NO APLICA</v>
      </c>
    </row>
    <row r="663">
      <c r="A663" s="83" t="s">
        <v>4078</v>
      </c>
      <c r="B663" s="83" t="s">
        <v>4079</v>
      </c>
      <c r="C663" s="81" t="s">
        <v>4086</v>
      </c>
      <c r="D663" s="83" t="s">
        <v>4424</v>
      </c>
      <c r="E663" s="81" t="s">
        <v>1861</v>
      </c>
      <c r="F663" s="84">
        <v>370.0</v>
      </c>
      <c r="G663" s="81" t="s">
        <v>12</v>
      </c>
      <c r="H663" s="81" t="s">
        <v>224</v>
      </c>
      <c r="I663" s="81" t="s">
        <v>55</v>
      </c>
      <c r="J663" s="81" t="s">
        <v>224</v>
      </c>
      <c r="K663" s="81" t="str">
        <f>IFERROR(__xludf.DUMMYFUNCTION("IF(OR(D663="""",G663=""""),"""",IFERROR(LET(
campo,XLOOKUP(TRIM(G663),ARRAYFORMULA(TRIM('indice columnas'!$A$2:$A$100)),'indice columnas'!$B$2:$B$100,""""),
col,IFERROR(MATCH(campo,Referencia!$A$1:$AZ$1,0),0),
fila,IFERROR(MATCH(TO_TEXT(D663),ARRAYFORMULA"&amp;"(TO_TEXT(Referencia!$A$2:$A6238)),0),0),
IF(OR(campo="""",campo=""-""),""NO APLICA"",
IF(col=0,""REVISAR EQUIVALENCIA"",
IF(fila=0,""SKU NO ENCONTRADO"",
LET(
valor,INDEX(Referencia!$A$2:$AZ6238,fila,col),
IF(TRIM(TO_TEXT(valor))=TRIM(TO_TEXT(I663)),
""OK"&amp;""",
""NO COINCIDE. Valor verdadero: ""&amp;IF(valor="""",""[VACÍO]"",TO_TEXT(valor))
)
))))
),""ERROR EN FÓRMULA""))"),"OK")</f>
        <v>OK</v>
      </c>
    </row>
    <row r="664">
      <c r="A664" s="83" t="s">
        <v>4078</v>
      </c>
      <c r="B664" s="83" t="s">
        <v>4079</v>
      </c>
      <c r="C664" s="81" t="s">
        <v>4086</v>
      </c>
      <c r="D664" s="83" t="s">
        <v>4424</v>
      </c>
      <c r="E664" s="81" t="s">
        <v>1861</v>
      </c>
      <c r="F664" s="84">
        <v>370.0</v>
      </c>
      <c r="G664" s="81" t="s">
        <v>44</v>
      </c>
      <c r="H664" s="81" t="s">
        <v>4418</v>
      </c>
      <c r="I664" s="81" t="s">
        <v>1825</v>
      </c>
      <c r="J664" s="81" t="s">
        <v>4088</v>
      </c>
      <c r="K664" s="81" t="str">
        <f>IFERROR(__xludf.DUMMYFUNCTION("IF(OR(D664="""",G664=""""),"""",IFERROR(LET(
campo,XLOOKUP(TRIM(G664),ARRAYFORMULA(TRIM('indice columnas'!$A$2:$A$100)),'indice columnas'!$B$2:$B$100,""""),
col,IFERROR(MATCH(campo,Referencia!$A$1:$AZ$1,0),0),
fila,IFERROR(MATCH(TO_TEXT(D664),ARRAYFORMULA"&amp;"(TO_TEXT(Referencia!$A$2:$A6238)),0),0),
IF(OR(campo="""",campo=""-""),""NO APLICA"",
IF(col=0,""REVISAR EQUIVALENCIA"",
IF(fila=0,""SKU NO ENCONTRADO"",
LET(
valor,INDEX(Referencia!$A$2:$AZ6238,fila,col),
IF(TRIM(TO_TEXT(valor))=TRIM(TO_TEXT(I664)),
""OK"&amp;""",
""NO COINCIDE. Valor verdadero: ""&amp;IF(valor="""",""[VACÍO]"",TO_TEXT(valor))
)
))))
),""ERROR EN FÓRMULA""))"),"NO APLICA")</f>
        <v>NO APLICA</v>
      </c>
    </row>
    <row r="665">
      <c r="A665" s="83" t="s">
        <v>4078</v>
      </c>
      <c r="B665" s="83" t="s">
        <v>4079</v>
      </c>
      <c r="C665" s="81" t="s">
        <v>4086</v>
      </c>
      <c r="D665" s="83" t="s">
        <v>4425</v>
      </c>
      <c r="E665" s="81" t="s">
        <v>1863</v>
      </c>
      <c r="F665" s="84">
        <v>371.0</v>
      </c>
      <c r="G665" s="81" t="s">
        <v>12</v>
      </c>
      <c r="H665" s="81" t="s">
        <v>224</v>
      </c>
      <c r="I665" s="81" t="s">
        <v>55</v>
      </c>
      <c r="J665" s="81" t="s">
        <v>224</v>
      </c>
      <c r="K665" s="81" t="str">
        <f>IFERROR(__xludf.DUMMYFUNCTION("IF(OR(D665="""",G665=""""),"""",IFERROR(LET(
campo,XLOOKUP(TRIM(G665),ARRAYFORMULA(TRIM('indice columnas'!$A$2:$A$100)),'indice columnas'!$B$2:$B$100,""""),
col,IFERROR(MATCH(campo,Referencia!$A$1:$AZ$1,0),0),
fila,IFERROR(MATCH(TO_TEXT(D665),ARRAYFORMULA"&amp;"(TO_TEXT(Referencia!$A$2:$A6238)),0),0),
IF(OR(campo="""",campo=""-""),""NO APLICA"",
IF(col=0,""REVISAR EQUIVALENCIA"",
IF(fila=0,""SKU NO ENCONTRADO"",
LET(
valor,INDEX(Referencia!$A$2:$AZ6238,fila,col),
IF(TRIM(TO_TEXT(valor))=TRIM(TO_TEXT(I665)),
""OK"&amp;""",
""NO COINCIDE. Valor verdadero: ""&amp;IF(valor="""",""[VACÍO]"",TO_TEXT(valor))
)
))))
),""ERROR EN FÓRMULA""))"),"OK")</f>
        <v>OK</v>
      </c>
    </row>
    <row r="666">
      <c r="A666" s="83" t="s">
        <v>4078</v>
      </c>
      <c r="B666" s="83" t="s">
        <v>4079</v>
      </c>
      <c r="C666" s="81" t="s">
        <v>4086</v>
      </c>
      <c r="D666" s="83" t="s">
        <v>4425</v>
      </c>
      <c r="E666" s="81" t="s">
        <v>1863</v>
      </c>
      <c r="F666" s="84">
        <v>371.0</v>
      </c>
      <c r="G666" s="81" t="s">
        <v>44</v>
      </c>
      <c r="H666" s="81" t="s">
        <v>4418</v>
      </c>
      <c r="I666" s="81" t="s">
        <v>1825</v>
      </c>
      <c r="J666" s="81" t="s">
        <v>4088</v>
      </c>
      <c r="K666" s="81" t="str">
        <f>IFERROR(__xludf.DUMMYFUNCTION("IF(OR(D666="""",G666=""""),"""",IFERROR(LET(
campo,XLOOKUP(TRIM(G666),ARRAYFORMULA(TRIM('indice columnas'!$A$2:$A$100)),'indice columnas'!$B$2:$B$100,""""),
col,IFERROR(MATCH(campo,Referencia!$A$1:$AZ$1,0),0),
fila,IFERROR(MATCH(TO_TEXT(D666),ARRAYFORMULA"&amp;"(TO_TEXT(Referencia!$A$2:$A6238)),0),0),
IF(OR(campo="""",campo=""-""),""NO APLICA"",
IF(col=0,""REVISAR EQUIVALENCIA"",
IF(fila=0,""SKU NO ENCONTRADO"",
LET(
valor,INDEX(Referencia!$A$2:$AZ6238,fila,col),
IF(TRIM(TO_TEXT(valor))=TRIM(TO_TEXT(I666)),
""OK"&amp;""",
""NO COINCIDE. Valor verdadero: ""&amp;IF(valor="""",""[VACÍO]"",TO_TEXT(valor))
)
))))
),""ERROR EN FÓRMULA""))"),"NO APLICA")</f>
        <v>NO APLICA</v>
      </c>
    </row>
    <row r="667">
      <c r="A667" s="83" t="s">
        <v>4078</v>
      </c>
      <c r="B667" s="83" t="s">
        <v>4079</v>
      </c>
      <c r="C667" s="81" t="s">
        <v>4086</v>
      </c>
      <c r="D667" s="83" t="s">
        <v>4426</v>
      </c>
      <c r="E667" s="81" t="s">
        <v>1864</v>
      </c>
      <c r="F667" s="84">
        <v>372.0</v>
      </c>
      <c r="G667" s="81" t="s">
        <v>44</v>
      </c>
      <c r="H667" s="81" t="s">
        <v>4418</v>
      </c>
      <c r="I667" s="81" t="s">
        <v>1825</v>
      </c>
      <c r="J667" s="81" t="s">
        <v>4088</v>
      </c>
      <c r="K667" s="81" t="str">
        <f>IFERROR(__xludf.DUMMYFUNCTION("IF(OR(D667="""",G667=""""),"""",IFERROR(LET(
campo,XLOOKUP(TRIM(G667),ARRAYFORMULA(TRIM('indice columnas'!$A$2:$A$100)),'indice columnas'!$B$2:$B$100,""""),
col,IFERROR(MATCH(campo,Referencia!$A$1:$AZ$1,0),0),
fila,IFERROR(MATCH(TO_TEXT(D667),ARRAYFORMULA"&amp;"(TO_TEXT(Referencia!$A$2:$A6238)),0),0),
IF(OR(campo="""",campo=""-""),""NO APLICA"",
IF(col=0,""REVISAR EQUIVALENCIA"",
IF(fila=0,""SKU NO ENCONTRADO"",
LET(
valor,INDEX(Referencia!$A$2:$AZ6238,fila,col),
IF(TRIM(TO_TEXT(valor))=TRIM(TO_TEXT(I667)),
""OK"&amp;""",
""NO COINCIDE. Valor verdadero: ""&amp;IF(valor="""",""[VACÍO]"",TO_TEXT(valor))
)
))))
),""ERROR EN FÓRMULA""))"),"NO APLICA")</f>
        <v>NO APLICA</v>
      </c>
    </row>
    <row r="668">
      <c r="A668" s="83" t="s">
        <v>4078</v>
      </c>
      <c r="B668" s="83" t="s">
        <v>4079</v>
      </c>
      <c r="C668" s="81" t="s">
        <v>4086</v>
      </c>
      <c r="D668" s="83" t="s">
        <v>4427</v>
      </c>
      <c r="E668" s="81" t="s">
        <v>1874</v>
      </c>
      <c r="F668" s="84">
        <v>373.0</v>
      </c>
      <c r="G668" s="81" t="s">
        <v>44</v>
      </c>
      <c r="H668" s="81" t="s">
        <v>224</v>
      </c>
      <c r="I668" s="81" t="s">
        <v>1874</v>
      </c>
      <c r="J668" s="81" t="s">
        <v>4088</v>
      </c>
      <c r="K668" s="81" t="str">
        <f>IFERROR(__xludf.DUMMYFUNCTION("IF(OR(D668="""",G668=""""),"""",IFERROR(LET(
campo,XLOOKUP(TRIM(G668),ARRAYFORMULA(TRIM('indice columnas'!$A$2:$A$100)),'indice columnas'!$B$2:$B$100,""""),
col,IFERROR(MATCH(campo,Referencia!$A$1:$AZ$1,0),0),
fila,IFERROR(MATCH(TO_TEXT(D668),ARRAYFORMULA"&amp;"(TO_TEXT(Referencia!$A$2:$A6238)),0),0),
IF(OR(campo="""",campo=""-""),""NO APLICA"",
IF(col=0,""REVISAR EQUIVALENCIA"",
IF(fila=0,""SKU NO ENCONTRADO"",
LET(
valor,INDEX(Referencia!$A$2:$AZ6238,fila,col),
IF(TRIM(TO_TEXT(valor))=TRIM(TO_TEXT(I668)),
""OK"&amp;""",
""NO COINCIDE. Valor verdadero: ""&amp;IF(valor="""",""[VACÍO]"",TO_TEXT(valor))
)
))))
),""ERROR EN FÓRMULA""))"),"NO APLICA")</f>
        <v>NO APLICA</v>
      </c>
    </row>
    <row r="669">
      <c r="A669" s="83" t="s">
        <v>4078</v>
      </c>
      <c r="B669" s="83" t="s">
        <v>4079</v>
      </c>
      <c r="C669" s="81" t="s">
        <v>4086</v>
      </c>
      <c r="D669" s="83" t="s">
        <v>4428</v>
      </c>
      <c r="E669" s="81" t="s">
        <v>1886</v>
      </c>
      <c r="F669" s="84">
        <v>374.0</v>
      </c>
      <c r="G669" s="81" t="s">
        <v>44</v>
      </c>
      <c r="H669" s="81" t="s">
        <v>224</v>
      </c>
      <c r="I669" s="81" t="s">
        <v>1886</v>
      </c>
      <c r="J669" s="81" t="s">
        <v>4088</v>
      </c>
      <c r="K669" s="81" t="str">
        <f>IFERROR(__xludf.DUMMYFUNCTION("IF(OR(D669="""",G669=""""),"""",IFERROR(LET(
campo,XLOOKUP(TRIM(G669),ARRAYFORMULA(TRIM('indice columnas'!$A$2:$A$100)),'indice columnas'!$B$2:$B$100,""""),
col,IFERROR(MATCH(campo,Referencia!$A$1:$AZ$1,0),0),
fila,IFERROR(MATCH(TO_TEXT(D669),ARRAYFORMULA"&amp;"(TO_TEXT(Referencia!$A$2:$A6238)),0),0),
IF(OR(campo="""",campo=""-""),""NO APLICA"",
IF(col=0,""REVISAR EQUIVALENCIA"",
IF(fila=0,""SKU NO ENCONTRADO"",
LET(
valor,INDEX(Referencia!$A$2:$AZ6238,fila,col),
IF(TRIM(TO_TEXT(valor))=TRIM(TO_TEXT(I669)),
""OK"&amp;""",
""NO COINCIDE. Valor verdadero: ""&amp;IF(valor="""",""[VACÍO]"",TO_TEXT(valor))
)
))))
),""ERROR EN FÓRMULA""))"),"NO APLICA")</f>
        <v>NO APLICA</v>
      </c>
    </row>
    <row r="670">
      <c r="A670" s="83" t="s">
        <v>4078</v>
      </c>
      <c r="B670" s="83" t="s">
        <v>4079</v>
      </c>
      <c r="C670" s="81" t="s">
        <v>4086</v>
      </c>
      <c r="D670" s="83" t="s">
        <v>4429</v>
      </c>
      <c r="E670" s="81" t="s">
        <v>1900</v>
      </c>
      <c r="F670" s="84">
        <v>375.0</v>
      </c>
      <c r="G670" s="81" t="s">
        <v>44</v>
      </c>
      <c r="H670" s="81" t="s">
        <v>224</v>
      </c>
      <c r="I670" s="81" t="s">
        <v>1900</v>
      </c>
      <c r="J670" s="81" t="s">
        <v>4088</v>
      </c>
      <c r="K670" s="81" t="str">
        <f>IFERROR(__xludf.DUMMYFUNCTION("IF(OR(D670="""",G670=""""),"""",IFERROR(LET(
campo,XLOOKUP(TRIM(G670),ARRAYFORMULA(TRIM('indice columnas'!$A$2:$A$100)),'indice columnas'!$B$2:$B$100,""""),
col,IFERROR(MATCH(campo,Referencia!$A$1:$AZ$1,0),0),
fila,IFERROR(MATCH(TO_TEXT(D670),ARRAYFORMULA"&amp;"(TO_TEXT(Referencia!$A$2:$A6238)),0),0),
IF(OR(campo="""",campo=""-""),""NO APLICA"",
IF(col=0,""REVISAR EQUIVALENCIA"",
IF(fila=0,""SKU NO ENCONTRADO"",
LET(
valor,INDEX(Referencia!$A$2:$AZ6238,fila,col),
IF(TRIM(TO_TEXT(valor))=TRIM(TO_TEXT(I670)),
""OK"&amp;""",
""NO COINCIDE. Valor verdadero: ""&amp;IF(valor="""",""[VACÍO]"",TO_TEXT(valor))
)
))))
),""ERROR EN FÓRMULA""))"),"NO APLICA")</f>
        <v>NO APLICA</v>
      </c>
    </row>
    <row r="671">
      <c r="A671" s="83" t="s">
        <v>4078</v>
      </c>
      <c r="B671" s="83" t="s">
        <v>4079</v>
      </c>
      <c r="C671" s="81" t="s">
        <v>4086</v>
      </c>
      <c r="D671" s="83" t="s">
        <v>4430</v>
      </c>
      <c r="E671" s="81" t="s">
        <v>1911</v>
      </c>
      <c r="F671" s="84">
        <v>376.0</v>
      </c>
      <c r="G671" s="81" t="s">
        <v>44</v>
      </c>
      <c r="H671" s="81" t="s">
        <v>224</v>
      </c>
      <c r="I671" s="81" t="s">
        <v>1911</v>
      </c>
      <c r="J671" s="81" t="s">
        <v>4088</v>
      </c>
      <c r="K671" s="81" t="str">
        <f>IFERROR(__xludf.DUMMYFUNCTION("IF(OR(D671="""",G671=""""),"""",IFERROR(LET(
campo,XLOOKUP(TRIM(G671),ARRAYFORMULA(TRIM('indice columnas'!$A$2:$A$100)),'indice columnas'!$B$2:$B$100,""""),
col,IFERROR(MATCH(campo,Referencia!$A$1:$AZ$1,0),0),
fila,IFERROR(MATCH(TO_TEXT(D671),ARRAYFORMULA"&amp;"(TO_TEXT(Referencia!$A$2:$A6238)),0),0),
IF(OR(campo="""",campo=""-""),""NO APLICA"",
IF(col=0,""REVISAR EQUIVALENCIA"",
IF(fila=0,""SKU NO ENCONTRADO"",
LET(
valor,INDEX(Referencia!$A$2:$AZ6238,fila,col),
IF(TRIM(TO_TEXT(valor))=TRIM(TO_TEXT(I671)),
""OK"&amp;""",
""NO COINCIDE. Valor verdadero: ""&amp;IF(valor="""",""[VACÍO]"",TO_TEXT(valor))
)
))))
),""ERROR EN FÓRMULA""))"),"NO APLICA")</f>
        <v>NO APLICA</v>
      </c>
    </row>
    <row r="672">
      <c r="A672" s="83" t="s">
        <v>4078</v>
      </c>
      <c r="B672" s="83" t="s">
        <v>4079</v>
      </c>
      <c r="C672" s="81" t="s">
        <v>4086</v>
      </c>
      <c r="D672" s="83" t="s">
        <v>4431</v>
      </c>
      <c r="E672" s="81" t="s">
        <v>1923</v>
      </c>
      <c r="F672" s="84">
        <v>377.0</v>
      </c>
      <c r="G672" s="81" t="s">
        <v>44</v>
      </c>
      <c r="H672" s="81" t="s">
        <v>224</v>
      </c>
      <c r="I672" s="81" t="s">
        <v>1923</v>
      </c>
      <c r="J672" s="81" t="s">
        <v>4088</v>
      </c>
      <c r="K672" s="81" t="str">
        <f>IFERROR(__xludf.DUMMYFUNCTION("IF(OR(D672="""",G672=""""),"""",IFERROR(LET(
campo,XLOOKUP(TRIM(G672),ARRAYFORMULA(TRIM('indice columnas'!$A$2:$A$100)),'indice columnas'!$B$2:$B$100,""""),
col,IFERROR(MATCH(campo,Referencia!$A$1:$AZ$1,0),0),
fila,IFERROR(MATCH(TO_TEXT(D672),ARRAYFORMULA"&amp;"(TO_TEXT(Referencia!$A$2:$A6238)),0),0),
IF(OR(campo="""",campo=""-""),""NO APLICA"",
IF(col=0,""REVISAR EQUIVALENCIA"",
IF(fila=0,""SKU NO ENCONTRADO"",
LET(
valor,INDEX(Referencia!$A$2:$AZ6238,fila,col),
IF(TRIM(TO_TEXT(valor))=TRIM(TO_TEXT(I672)),
""OK"&amp;""",
""NO COINCIDE. Valor verdadero: ""&amp;IF(valor="""",""[VACÍO]"",TO_TEXT(valor))
)
))))
),""ERROR EN FÓRMULA""))"),"NO APLICA")</f>
        <v>NO APLICA</v>
      </c>
    </row>
    <row r="673">
      <c r="A673" s="83" t="s">
        <v>4078</v>
      </c>
      <c r="B673" s="83" t="s">
        <v>4079</v>
      </c>
      <c r="C673" s="81" t="s">
        <v>4086</v>
      </c>
      <c r="D673" s="83" t="s">
        <v>4431</v>
      </c>
      <c r="E673" s="81" t="s">
        <v>1934</v>
      </c>
      <c r="F673" s="84">
        <v>378.0</v>
      </c>
      <c r="G673" s="81" t="s">
        <v>44</v>
      </c>
      <c r="H673" s="81" t="s">
        <v>224</v>
      </c>
      <c r="I673" s="81" t="s">
        <v>1923</v>
      </c>
      <c r="J673" s="81" t="s">
        <v>4088</v>
      </c>
      <c r="K673" s="81" t="str">
        <f>IFERROR(__xludf.DUMMYFUNCTION("IF(OR(D673="""",G673=""""),"""",IFERROR(LET(
campo,XLOOKUP(TRIM(G673),ARRAYFORMULA(TRIM('indice columnas'!$A$2:$A$100)),'indice columnas'!$B$2:$B$100,""""),
col,IFERROR(MATCH(campo,Referencia!$A$1:$AZ$1,0),0),
fila,IFERROR(MATCH(TO_TEXT(D673),ARRAYFORMULA"&amp;"(TO_TEXT(Referencia!$A$2:$A6238)),0),0),
IF(OR(campo="""",campo=""-""),""NO APLICA"",
IF(col=0,""REVISAR EQUIVALENCIA"",
IF(fila=0,""SKU NO ENCONTRADO"",
LET(
valor,INDEX(Referencia!$A$2:$AZ6238,fila,col),
IF(TRIM(TO_TEXT(valor))=TRIM(TO_TEXT(I673)),
""OK"&amp;""",
""NO COINCIDE. Valor verdadero: ""&amp;IF(valor="""",""[VACÍO]"",TO_TEXT(valor))
)
))))
),""ERROR EN FÓRMULA""))"),"NO APLICA")</f>
        <v>NO APLICA</v>
      </c>
    </row>
    <row r="674">
      <c r="A674" s="83" t="s">
        <v>4078</v>
      </c>
      <c r="B674" s="83" t="s">
        <v>4079</v>
      </c>
      <c r="C674" s="81" t="s">
        <v>4086</v>
      </c>
      <c r="D674" s="83" t="s">
        <v>4432</v>
      </c>
      <c r="E674" s="81" t="s">
        <v>1935</v>
      </c>
      <c r="F674" s="84">
        <v>379.0</v>
      </c>
      <c r="G674" s="81" t="s">
        <v>44</v>
      </c>
      <c r="H674" s="81" t="s">
        <v>224</v>
      </c>
      <c r="I674" s="81" t="s">
        <v>1935</v>
      </c>
      <c r="J674" s="81" t="s">
        <v>4088</v>
      </c>
      <c r="K674" s="81" t="str">
        <f>IFERROR(__xludf.DUMMYFUNCTION("IF(OR(D674="""",G674=""""),"""",IFERROR(LET(
campo,XLOOKUP(TRIM(G674),ARRAYFORMULA(TRIM('indice columnas'!$A$2:$A$100)),'indice columnas'!$B$2:$B$100,""""),
col,IFERROR(MATCH(campo,Referencia!$A$1:$AZ$1,0),0),
fila,IFERROR(MATCH(TO_TEXT(D674),ARRAYFORMULA"&amp;"(TO_TEXT(Referencia!$A$2:$A6238)),0),0),
IF(OR(campo="""",campo=""-""),""NO APLICA"",
IF(col=0,""REVISAR EQUIVALENCIA"",
IF(fila=0,""SKU NO ENCONTRADO"",
LET(
valor,INDEX(Referencia!$A$2:$AZ6238,fila,col),
IF(TRIM(TO_TEXT(valor))=TRIM(TO_TEXT(I674)),
""OK"&amp;""",
""NO COINCIDE. Valor verdadero: ""&amp;IF(valor="""",""[VACÍO]"",TO_TEXT(valor))
)
))))
),""ERROR EN FÓRMULA""))"),"NO APLICA")</f>
        <v>NO APLICA</v>
      </c>
    </row>
    <row r="675">
      <c r="A675" s="83" t="s">
        <v>4078</v>
      </c>
      <c r="B675" s="83" t="s">
        <v>4079</v>
      </c>
      <c r="C675" s="81" t="s">
        <v>4086</v>
      </c>
      <c r="D675" s="83" t="s">
        <v>4432</v>
      </c>
      <c r="E675" s="81" t="s">
        <v>1935</v>
      </c>
      <c r="F675" s="84">
        <v>380.0</v>
      </c>
      <c r="G675" s="81" t="s">
        <v>44</v>
      </c>
      <c r="H675" s="81" t="s">
        <v>224</v>
      </c>
      <c r="I675" s="81" t="s">
        <v>1935</v>
      </c>
      <c r="J675" s="81" t="s">
        <v>4088</v>
      </c>
      <c r="K675" s="81" t="str">
        <f>IFERROR(__xludf.DUMMYFUNCTION("IF(OR(D675="""",G675=""""),"""",IFERROR(LET(
campo,XLOOKUP(TRIM(G675),ARRAYFORMULA(TRIM('indice columnas'!$A$2:$A$100)),'indice columnas'!$B$2:$B$100,""""),
col,IFERROR(MATCH(campo,Referencia!$A$1:$AZ$1,0),0),
fila,IFERROR(MATCH(TO_TEXT(D675),ARRAYFORMULA"&amp;"(TO_TEXT(Referencia!$A$2:$A6238)),0),0),
IF(OR(campo="""",campo=""-""),""NO APLICA"",
IF(col=0,""REVISAR EQUIVALENCIA"",
IF(fila=0,""SKU NO ENCONTRADO"",
LET(
valor,INDEX(Referencia!$A$2:$AZ6238,fila,col),
IF(TRIM(TO_TEXT(valor))=TRIM(TO_TEXT(I675)),
""OK"&amp;""",
""NO COINCIDE. Valor verdadero: ""&amp;IF(valor="""",""[VACÍO]"",TO_TEXT(valor))
)
))))
),""ERROR EN FÓRMULA""))"),"NO APLICA")</f>
        <v>NO APLICA</v>
      </c>
    </row>
    <row r="676">
      <c r="A676" s="83" t="s">
        <v>4078</v>
      </c>
      <c r="B676" s="83" t="s">
        <v>4079</v>
      </c>
      <c r="C676" s="81" t="s">
        <v>4086</v>
      </c>
      <c r="D676" s="83" t="s">
        <v>4433</v>
      </c>
      <c r="E676" s="81" t="s">
        <v>1950</v>
      </c>
      <c r="F676" s="84">
        <v>381.0</v>
      </c>
      <c r="G676" s="81" t="s">
        <v>44</v>
      </c>
      <c r="H676" s="81" t="s">
        <v>224</v>
      </c>
      <c r="I676" s="81" t="s">
        <v>1950</v>
      </c>
      <c r="J676" s="81" t="s">
        <v>4088</v>
      </c>
      <c r="K676" s="81" t="str">
        <f>IFERROR(__xludf.DUMMYFUNCTION("IF(OR(D676="""",G676=""""),"""",IFERROR(LET(
campo,XLOOKUP(TRIM(G676),ARRAYFORMULA(TRIM('indice columnas'!$A$2:$A$100)),'indice columnas'!$B$2:$B$100,""""),
col,IFERROR(MATCH(campo,Referencia!$A$1:$AZ$1,0),0),
fila,IFERROR(MATCH(TO_TEXT(D676),ARRAYFORMULA"&amp;"(TO_TEXT(Referencia!$A$2:$A6238)),0),0),
IF(OR(campo="""",campo=""-""),""NO APLICA"",
IF(col=0,""REVISAR EQUIVALENCIA"",
IF(fila=0,""SKU NO ENCONTRADO"",
LET(
valor,INDEX(Referencia!$A$2:$AZ6238,fila,col),
IF(TRIM(TO_TEXT(valor))=TRIM(TO_TEXT(I676)),
""OK"&amp;""",
""NO COINCIDE. Valor verdadero: ""&amp;IF(valor="""",""[VACÍO]"",TO_TEXT(valor))
)
))))
),""ERROR EN FÓRMULA""))"),"NO APLICA")</f>
        <v>NO APLICA</v>
      </c>
    </row>
    <row r="677">
      <c r="A677" s="83" t="s">
        <v>4078</v>
      </c>
      <c r="B677" s="83" t="s">
        <v>4079</v>
      </c>
      <c r="C677" s="81" t="s">
        <v>4086</v>
      </c>
      <c r="D677" s="83" t="s">
        <v>4433</v>
      </c>
      <c r="E677" s="81" t="s">
        <v>1963</v>
      </c>
      <c r="F677" s="84">
        <v>382.0</v>
      </c>
      <c r="G677" s="81" t="s">
        <v>44</v>
      </c>
      <c r="H677" s="81" t="s">
        <v>224</v>
      </c>
      <c r="I677" s="81" t="s">
        <v>1950</v>
      </c>
      <c r="J677" s="81" t="s">
        <v>4088</v>
      </c>
      <c r="K677" s="81" t="str">
        <f>IFERROR(__xludf.DUMMYFUNCTION("IF(OR(D677="""",G677=""""),"""",IFERROR(LET(
campo,XLOOKUP(TRIM(G677),ARRAYFORMULA(TRIM('indice columnas'!$A$2:$A$100)),'indice columnas'!$B$2:$B$100,""""),
col,IFERROR(MATCH(campo,Referencia!$A$1:$AZ$1,0),0),
fila,IFERROR(MATCH(TO_TEXT(D677),ARRAYFORMULA"&amp;"(TO_TEXT(Referencia!$A$2:$A6238)),0),0),
IF(OR(campo="""",campo=""-""),""NO APLICA"",
IF(col=0,""REVISAR EQUIVALENCIA"",
IF(fila=0,""SKU NO ENCONTRADO"",
LET(
valor,INDEX(Referencia!$A$2:$AZ6238,fila,col),
IF(TRIM(TO_TEXT(valor))=TRIM(TO_TEXT(I677)),
""OK"&amp;""",
""NO COINCIDE. Valor verdadero: ""&amp;IF(valor="""",""[VACÍO]"",TO_TEXT(valor))
)
))))
),""ERROR EN FÓRMULA""))"),"NO APLICA")</f>
        <v>NO APLICA</v>
      </c>
    </row>
    <row r="678">
      <c r="A678" s="83" t="s">
        <v>4078</v>
      </c>
      <c r="B678" s="83" t="s">
        <v>4079</v>
      </c>
      <c r="C678" s="81" t="s">
        <v>4086</v>
      </c>
      <c r="D678" s="83" t="s">
        <v>4434</v>
      </c>
      <c r="E678" s="81" t="s">
        <v>1964</v>
      </c>
      <c r="F678" s="84">
        <v>383.0</v>
      </c>
      <c r="G678" s="81" t="s">
        <v>44</v>
      </c>
      <c r="H678" s="81" t="s">
        <v>224</v>
      </c>
      <c r="I678" s="81" t="s">
        <v>1950</v>
      </c>
      <c r="J678" s="81" t="s">
        <v>4088</v>
      </c>
      <c r="K678" s="81" t="str">
        <f>IFERROR(__xludf.DUMMYFUNCTION("IF(OR(D678="""",G678=""""),"""",IFERROR(LET(
campo,XLOOKUP(TRIM(G678),ARRAYFORMULA(TRIM('indice columnas'!$A$2:$A$100)),'indice columnas'!$B$2:$B$100,""""),
col,IFERROR(MATCH(campo,Referencia!$A$1:$AZ$1,0),0),
fila,IFERROR(MATCH(TO_TEXT(D678),ARRAYFORMULA"&amp;"(TO_TEXT(Referencia!$A$2:$A6238)),0),0),
IF(OR(campo="""",campo=""-""),""NO APLICA"",
IF(col=0,""REVISAR EQUIVALENCIA"",
IF(fila=0,""SKU NO ENCONTRADO"",
LET(
valor,INDEX(Referencia!$A$2:$AZ6238,fila,col),
IF(TRIM(TO_TEXT(valor))=TRIM(TO_TEXT(I678)),
""OK"&amp;""",
""NO COINCIDE. Valor verdadero: ""&amp;IF(valor="""",""[VACÍO]"",TO_TEXT(valor))
)
))))
),""ERROR EN FÓRMULA""))"),"NO APLICA")</f>
        <v>NO APLICA</v>
      </c>
    </row>
    <row r="679">
      <c r="A679" s="83" t="s">
        <v>4078</v>
      </c>
      <c r="B679" s="83" t="s">
        <v>4079</v>
      </c>
      <c r="C679" s="81" t="s">
        <v>4086</v>
      </c>
      <c r="D679" s="83" t="s">
        <v>4434</v>
      </c>
      <c r="E679" s="81" t="s">
        <v>1964</v>
      </c>
      <c r="F679" s="84">
        <v>384.0</v>
      </c>
      <c r="G679" s="81" t="s">
        <v>44</v>
      </c>
      <c r="H679" s="81" t="s">
        <v>224</v>
      </c>
      <c r="I679" s="81" t="s">
        <v>1950</v>
      </c>
      <c r="J679" s="81" t="s">
        <v>4088</v>
      </c>
      <c r="K679" s="81" t="str">
        <f>IFERROR(__xludf.DUMMYFUNCTION("IF(OR(D679="""",G679=""""),"""",IFERROR(LET(
campo,XLOOKUP(TRIM(G679),ARRAYFORMULA(TRIM('indice columnas'!$A$2:$A$100)),'indice columnas'!$B$2:$B$100,""""),
col,IFERROR(MATCH(campo,Referencia!$A$1:$AZ$1,0),0),
fila,IFERROR(MATCH(TO_TEXT(D679),ARRAYFORMULA"&amp;"(TO_TEXT(Referencia!$A$2:$A6238)),0),0),
IF(OR(campo="""",campo=""-""),""NO APLICA"",
IF(col=0,""REVISAR EQUIVALENCIA"",
IF(fila=0,""SKU NO ENCONTRADO"",
LET(
valor,INDEX(Referencia!$A$2:$AZ6238,fila,col),
IF(TRIM(TO_TEXT(valor))=TRIM(TO_TEXT(I679)),
""OK"&amp;""",
""NO COINCIDE. Valor verdadero: ""&amp;IF(valor="""",""[VACÍO]"",TO_TEXT(valor))
)
))))
),""ERROR EN FÓRMULA""))"),"NO APLICA")</f>
        <v>NO APLICA</v>
      </c>
    </row>
    <row r="680">
      <c r="A680" s="83" t="s">
        <v>4078</v>
      </c>
      <c r="B680" s="83" t="s">
        <v>4079</v>
      </c>
      <c r="C680" s="81" t="s">
        <v>4086</v>
      </c>
      <c r="D680" s="83" t="s">
        <v>4435</v>
      </c>
      <c r="E680" s="81" t="s">
        <v>1974</v>
      </c>
      <c r="F680" s="84">
        <v>385.0</v>
      </c>
      <c r="G680" s="81" t="s">
        <v>44</v>
      </c>
      <c r="H680" s="81" t="s">
        <v>224</v>
      </c>
      <c r="I680" s="81" t="s">
        <v>1974</v>
      </c>
      <c r="J680" s="81" t="s">
        <v>4088</v>
      </c>
      <c r="K680" s="81" t="str">
        <f>IFERROR(__xludf.DUMMYFUNCTION("IF(OR(D680="""",G680=""""),"""",IFERROR(LET(
campo,XLOOKUP(TRIM(G680),ARRAYFORMULA(TRIM('indice columnas'!$A$2:$A$100)),'indice columnas'!$B$2:$B$100,""""),
col,IFERROR(MATCH(campo,Referencia!$A$1:$AZ$1,0),0),
fila,IFERROR(MATCH(TO_TEXT(D680),ARRAYFORMULA"&amp;"(TO_TEXT(Referencia!$A$2:$A6238)),0),0),
IF(OR(campo="""",campo=""-""),""NO APLICA"",
IF(col=0,""REVISAR EQUIVALENCIA"",
IF(fila=0,""SKU NO ENCONTRADO"",
LET(
valor,INDEX(Referencia!$A$2:$AZ6238,fila,col),
IF(TRIM(TO_TEXT(valor))=TRIM(TO_TEXT(I680)),
""OK"&amp;""",
""NO COINCIDE. Valor verdadero: ""&amp;IF(valor="""",""[VACÍO]"",TO_TEXT(valor))
)
))))
),""ERROR EN FÓRMULA""))"),"NO APLICA")</f>
        <v>NO APLICA</v>
      </c>
    </row>
    <row r="681">
      <c r="A681" s="83" t="s">
        <v>4078</v>
      </c>
      <c r="B681" s="83" t="s">
        <v>4079</v>
      </c>
      <c r="C681" s="81" t="s">
        <v>4086</v>
      </c>
      <c r="D681" s="83" t="s">
        <v>4435</v>
      </c>
      <c r="E681" s="81" t="s">
        <v>1987</v>
      </c>
      <c r="F681" s="84">
        <v>386.0</v>
      </c>
      <c r="G681" s="81" t="s">
        <v>44</v>
      </c>
      <c r="H681" s="81" t="s">
        <v>224</v>
      </c>
      <c r="I681" s="81" t="s">
        <v>1974</v>
      </c>
      <c r="J681" s="81" t="s">
        <v>4088</v>
      </c>
      <c r="K681" s="81" t="str">
        <f>IFERROR(__xludf.DUMMYFUNCTION("IF(OR(D681="""",G681=""""),"""",IFERROR(LET(
campo,XLOOKUP(TRIM(G681),ARRAYFORMULA(TRIM('indice columnas'!$A$2:$A$100)),'indice columnas'!$B$2:$B$100,""""),
col,IFERROR(MATCH(campo,Referencia!$A$1:$AZ$1,0),0),
fila,IFERROR(MATCH(TO_TEXT(D681),ARRAYFORMULA"&amp;"(TO_TEXT(Referencia!$A$2:$A6238)),0),0),
IF(OR(campo="""",campo=""-""),""NO APLICA"",
IF(col=0,""REVISAR EQUIVALENCIA"",
IF(fila=0,""SKU NO ENCONTRADO"",
LET(
valor,INDEX(Referencia!$A$2:$AZ6238,fila,col),
IF(TRIM(TO_TEXT(valor))=TRIM(TO_TEXT(I681)),
""OK"&amp;""",
""NO COINCIDE. Valor verdadero: ""&amp;IF(valor="""",""[VACÍO]"",TO_TEXT(valor))
)
))))
),""ERROR EN FÓRMULA""))"),"NO APLICA")</f>
        <v>NO APLICA</v>
      </c>
    </row>
    <row r="682">
      <c r="A682" s="83" t="s">
        <v>4078</v>
      </c>
      <c r="B682" s="83" t="s">
        <v>4079</v>
      </c>
      <c r="C682" s="81" t="s">
        <v>4086</v>
      </c>
      <c r="D682" s="83" t="s">
        <v>4436</v>
      </c>
      <c r="E682" s="81" t="s">
        <v>1989</v>
      </c>
      <c r="F682" s="84">
        <v>387.0</v>
      </c>
      <c r="G682" s="81" t="s">
        <v>44</v>
      </c>
      <c r="H682" s="81" t="s">
        <v>224</v>
      </c>
      <c r="I682" s="81" t="s">
        <v>1974</v>
      </c>
      <c r="J682" s="81" t="s">
        <v>4088</v>
      </c>
      <c r="K682" s="81" t="str">
        <f>IFERROR(__xludf.DUMMYFUNCTION("IF(OR(D682="""",G682=""""),"""",IFERROR(LET(
campo,XLOOKUP(TRIM(G682),ARRAYFORMULA(TRIM('indice columnas'!$A$2:$A$100)),'indice columnas'!$B$2:$B$100,""""),
col,IFERROR(MATCH(campo,Referencia!$A$1:$AZ$1,0),0),
fila,IFERROR(MATCH(TO_TEXT(D682),ARRAYFORMULA"&amp;"(TO_TEXT(Referencia!$A$2:$A6238)),0),0),
IF(OR(campo="""",campo=""-""),""NO APLICA"",
IF(col=0,""REVISAR EQUIVALENCIA"",
IF(fila=0,""SKU NO ENCONTRADO"",
LET(
valor,INDEX(Referencia!$A$2:$AZ6238,fila,col),
IF(TRIM(TO_TEXT(valor))=TRIM(TO_TEXT(I682)),
""OK"&amp;""",
""NO COINCIDE. Valor verdadero: ""&amp;IF(valor="""",""[VACÍO]"",TO_TEXT(valor))
)
))))
),""ERROR EN FÓRMULA""))"),"NO APLICA")</f>
        <v>NO APLICA</v>
      </c>
    </row>
    <row r="683">
      <c r="A683" s="83" t="s">
        <v>4078</v>
      </c>
      <c r="B683" s="83" t="s">
        <v>4079</v>
      </c>
      <c r="C683" s="81" t="s">
        <v>4086</v>
      </c>
      <c r="D683" s="83" t="s">
        <v>4437</v>
      </c>
      <c r="E683" s="81" t="s">
        <v>1997</v>
      </c>
      <c r="F683" s="84">
        <v>388.0</v>
      </c>
      <c r="G683" s="81" t="s">
        <v>44</v>
      </c>
      <c r="H683" s="81" t="s">
        <v>224</v>
      </c>
      <c r="I683" s="81" t="s">
        <v>1825</v>
      </c>
      <c r="J683" s="81" t="s">
        <v>4088</v>
      </c>
      <c r="K683" s="81" t="str">
        <f>IFERROR(__xludf.DUMMYFUNCTION("IF(OR(D683="""",G683=""""),"""",IFERROR(LET(
campo,XLOOKUP(TRIM(G683),ARRAYFORMULA(TRIM('indice columnas'!$A$2:$A$100)),'indice columnas'!$B$2:$B$100,""""),
col,IFERROR(MATCH(campo,Referencia!$A$1:$AZ$1,0),0),
fila,IFERROR(MATCH(TO_TEXT(D683),ARRAYFORMULA"&amp;"(TO_TEXT(Referencia!$A$2:$A6238)),0),0),
IF(OR(campo="""",campo=""-""),""NO APLICA"",
IF(col=0,""REVISAR EQUIVALENCIA"",
IF(fila=0,""SKU NO ENCONTRADO"",
LET(
valor,INDEX(Referencia!$A$2:$AZ6238,fila,col),
IF(TRIM(TO_TEXT(valor))=TRIM(TO_TEXT(I683)),
""OK"&amp;""",
""NO COINCIDE. Valor verdadero: ""&amp;IF(valor="""",""[VACÍO]"",TO_TEXT(valor))
)
))))
),""ERROR EN FÓRMULA""))"),"NO APLICA")</f>
        <v>NO APLICA</v>
      </c>
    </row>
    <row r="684">
      <c r="A684" s="83" t="s">
        <v>4078</v>
      </c>
      <c r="B684" s="83" t="s">
        <v>4079</v>
      </c>
      <c r="C684" s="81" t="s">
        <v>4086</v>
      </c>
      <c r="D684" s="83" t="s">
        <v>4437</v>
      </c>
      <c r="E684" s="81" t="s">
        <v>2001</v>
      </c>
      <c r="F684" s="84">
        <v>389.0</v>
      </c>
      <c r="G684" s="81" t="s">
        <v>12</v>
      </c>
      <c r="H684" s="81" t="s">
        <v>224</v>
      </c>
      <c r="I684" s="81" t="s">
        <v>55</v>
      </c>
      <c r="J684" s="81" t="s">
        <v>224</v>
      </c>
      <c r="K684" s="81" t="str">
        <f>IFERROR(__xludf.DUMMYFUNCTION("IF(OR(D684="""",G684=""""),"""",IFERROR(LET(
campo,XLOOKUP(TRIM(G684),ARRAYFORMULA(TRIM('indice columnas'!$A$2:$A$100)),'indice columnas'!$B$2:$B$100,""""),
col,IFERROR(MATCH(campo,Referencia!$A$1:$AZ$1,0),0),
fila,IFERROR(MATCH(TO_TEXT(D684),ARRAYFORMULA"&amp;"(TO_TEXT(Referencia!$A$2:$A6238)),0),0),
IF(OR(campo="""",campo=""-""),""NO APLICA"",
IF(col=0,""REVISAR EQUIVALENCIA"",
IF(fila=0,""SKU NO ENCONTRADO"",
LET(
valor,INDEX(Referencia!$A$2:$AZ6238,fila,col),
IF(TRIM(TO_TEXT(valor))=TRIM(TO_TEXT(I684)),
""OK"&amp;""",
""NO COINCIDE. Valor verdadero: ""&amp;IF(valor="""",""[VACÍO]"",TO_TEXT(valor))
)
))))
),""ERROR EN FÓRMULA""))"),"OK")</f>
        <v>OK</v>
      </c>
    </row>
    <row r="685">
      <c r="A685" s="83" t="s">
        <v>4078</v>
      </c>
      <c r="B685" s="83" t="s">
        <v>4079</v>
      </c>
      <c r="C685" s="81" t="s">
        <v>4086</v>
      </c>
      <c r="D685" s="83" t="s">
        <v>4437</v>
      </c>
      <c r="E685" s="81" t="s">
        <v>2001</v>
      </c>
      <c r="F685" s="84">
        <v>389.0</v>
      </c>
      <c r="G685" s="81" t="s">
        <v>44</v>
      </c>
      <c r="H685" s="81" t="s">
        <v>224</v>
      </c>
      <c r="I685" s="81" t="s">
        <v>1825</v>
      </c>
      <c r="J685" s="81" t="s">
        <v>4088</v>
      </c>
      <c r="K685" s="81" t="str">
        <f>IFERROR(__xludf.DUMMYFUNCTION("IF(OR(D685="""",G685=""""),"""",IFERROR(LET(
campo,XLOOKUP(TRIM(G685),ARRAYFORMULA(TRIM('indice columnas'!$A$2:$A$100)),'indice columnas'!$B$2:$B$100,""""),
col,IFERROR(MATCH(campo,Referencia!$A$1:$AZ$1,0),0),
fila,IFERROR(MATCH(TO_TEXT(D685),ARRAYFORMULA"&amp;"(TO_TEXT(Referencia!$A$2:$A6238)),0),0),
IF(OR(campo="""",campo=""-""),""NO APLICA"",
IF(col=0,""REVISAR EQUIVALENCIA"",
IF(fila=0,""SKU NO ENCONTRADO"",
LET(
valor,INDEX(Referencia!$A$2:$AZ6238,fila,col),
IF(TRIM(TO_TEXT(valor))=TRIM(TO_TEXT(I685)),
""OK"&amp;""",
""NO COINCIDE. Valor verdadero: ""&amp;IF(valor="""",""[VACÍO]"",TO_TEXT(valor))
)
))))
),""ERROR EN FÓRMULA""))"),"NO APLICA")</f>
        <v>NO APLICA</v>
      </c>
    </row>
    <row r="686">
      <c r="A686" s="83" t="s">
        <v>4078</v>
      </c>
      <c r="B686" s="83" t="s">
        <v>4079</v>
      </c>
      <c r="C686" s="81" t="s">
        <v>4086</v>
      </c>
      <c r="D686" s="83" t="s">
        <v>4438</v>
      </c>
      <c r="E686" s="81" t="s">
        <v>2002</v>
      </c>
      <c r="F686" s="84">
        <v>390.0</v>
      </c>
      <c r="G686" s="81" t="s">
        <v>12</v>
      </c>
      <c r="H686" s="81" t="s">
        <v>224</v>
      </c>
      <c r="I686" s="81" t="s">
        <v>55</v>
      </c>
      <c r="J686" s="81" t="s">
        <v>224</v>
      </c>
      <c r="K686" s="81" t="str">
        <f>IFERROR(__xludf.DUMMYFUNCTION("IF(OR(D686="""",G686=""""),"""",IFERROR(LET(
campo,XLOOKUP(TRIM(G686),ARRAYFORMULA(TRIM('indice columnas'!$A$2:$A$100)),'indice columnas'!$B$2:$B$100,""""),
col,IFERROR(MATCH(campo,Referencia!$A$1:$AZ$1,0),0),
fila,IFERROR(MATCH(TO_TEXT(D686),ARRAYFORMULA"&amp;"(TO_TEXT(Referencia!$A$2:$A6238)),0),0),
IF(OR(campo="""",campo=""-""),""NO APLICA"",
IF(col=0,""REVISAR EQUIVALENCIA"",
IF(fila=0,""SKU NO ENCONTRADO"",
LET(
valor,INDEX(Referencia!$A$2:$AZ6238,fila,col),
IF(TRIM(TO_TEXT(valor))=TRIM(TO_TEXT(I686)),
""OK"&amp;""",
""NO COINCIDE. Valor verdadero: ""&amp;IF(valor="""",""[VACÍO]"",TO_TEXT(valor))
)
))))
),""ERROR EN FÓRMULA""))"),"OK")</f>
        <v>OK</v>
      </c>
    </row>
    <row r="687">
      <c r="A687" s="83" t="s">
        <v>4078</v>
      </c>
      <c r="B687" s="83" t="s">
        <v>4079</v>
      </c>
      <c r="C687" s="81" t="s">
        <v>4086</v>
      </c>
      <c r="D687" s="83" t="s">
        <v>4438</v>
      </c>
      <c r="E687" s="81" t="s">
        <v>2002</v>
      </c>
      <c r="F687" s="84">
        <v>390.0</v>
      </c>
      <c r="G687" s="81" t="s">
        <v>44</v>
      </c>
      <c r="H687" s="81" t="s">
        <v>224</v>
      </c>
      <c r="I687" s="81" t="s">
        <v>1825</v>
      </c>
      <c r="J687" s="81" t="s">
        <v>4088</v>
      </c>
      <c r="K687" s="81" t="str">
        <f>IFERROR(__xludf.DUMMYFUNCTION("IF(OR(D687="""",G687=""""),"""",IFERROR(LET(
campo,XLOOKUP(TRIM(G687),ARRAYFORMULA(TRIM('indice columnas'!$A$2:$A$100)),'indice columnas'!$B$2:$B$100,""""),
col,IFERROR(MATCH(campo,Referencia!$A$1:$AZ$1,0),0),
fila,IFERROR(MATCH(TO_TEXT(D687),ARRAYFORMULA"&amp;"(TO_TEXT(Referencia!$A$2:$A6238)),0),0),
IF(OR(campo="""",campo=""-""),""NO APLICA"",
IF(col=0,""REVISAR EQUIVALENCIA"",
IF(fila=0,""SKU NO ENCONTRADO"",
LET(
valor,INDEX(Referencia!$A$2:$AZ6238,fila,col),
IF(TRIM(TO_TEXT(valor))=TRIM(TO_TEXT(I687)),
""OK"&amp;""",
""NO COINCIDE. Valor verdadero: ""&amp;IF(valor="""",""[VACÍO]"",TO_TEXT(valor))
)
))))
),""ERROR EN FÓRMULA""))"),"NO APLICA")</f>
        <v>NO APLICA</v>
      </c>
    </row>
    <row r="688">
      <c r="A688" s="83" t="s">
        <v>4078</v>
      </c>
      <c r="B688" s="83" t="s">
        <v>4079</v>
      </c>
      <c r="C688" s="81" t="s">
        <v>4086</v>
      </c>
      <c r="D688" s="83" t="s">
        <v>4439</v>
      </c>
      <c r="E688" s="81" t="s">
        <v>2006</v>
      </c>
      <c r="F688" s="84">
        <v>391.0</v>
      </c>
      <c r="G688" s="81" t="s">
        <v>44</v>
      </c>
      <c r="H688" s="81" t="s">
        <v>4440</v>
      </c>
      <c r="I688" s="81" t="s">
        <v>4441</v>
      </c>
      <c r="J688" s="81" t="s">
        <v>4088</v>
      </c>
      <c r="K688" s="81" t="str">
        <f>IFERROR(__xludf.DUMMYFUNCTION("IF(OR(D688="""",G688=""""),"""",IFERROR(LET(
campo,XLOOKUP(TRIM(G688),ARRAYFORMULA(TRIM('indice columnas'!$A$2:$A$100)),'indice columnas'!$B$2:$B$100,""""),
col,IFERROR(MATCH(campo,Referencia!$A$1:$AZ$1,0),0),
fila,IFERROR(MATCH(TO_TEXT(D688),ARRAYFORMULA"&amp;"(TO_TEXT(Referencia!$A$2:$A6238)),0),0),
IF(OR(campo="""",campo=""-""),""NO APLICA"",
IF(col=0,""REVISAR EQUIVALENCIA"",
IF(fila=0,""SKU NO ENCONTRADO"",
LET(
valor,INDEX(Referencia!$A$2:$AZ6238,fila,col),
IF(TRIM(TO_TEXT(valor))=TRIM(TO_TEXT(I688)),
""OK"&amp;""",
""NO COINCIDE. Valor verdadero: ""&amp;IF(valor="""",""[VACÍO]"",TO_TEXT(valor))
)
))))
),""ERROR EN FÓRMULA""))"),"NO APLICA")</f>
        <v>NO APLICA</v>
      </c>
    </row>
    <row r="689">
      <c r="A689" s="83" t="s">
        <v>4078</v>
      </c>
      <c r="B689" s="83" t="s">
        <v>4079</v>
      </c>
      <c r="C689" s="81" t="s">
        <v>4086</v>
      </c>
      <c r="D689" s="83" t="s">
        <v>4439</v>
      </c>
      <c r="E689" s="81" t="s">
        <v>2021</v>
      </c>
      <c r="F689" s="84">
        <v>392.0</v>
      </c>
      <c r="G689" s="81" t="s">
        <v>44</v>
      </c>
      <c r="H689" s="81" t="s">
        <v>4440</v>
      </c>
      <c r="I689" s="81" t="s">
        <v>4441</v>
      </c>
      <c r="J689" s="81" t="s">
        <v>4088</v>
      </c>
      <c r="K689" s="81" t="str">
        <f>IFERROR(__xludf.DUMMYFUNCTION("IF(OR(D689="""",G689=""""),"""",IFERROR(LET(
campo,XLOOKUP(TRIM(G689),ARRAYFORMULA(TRIM('indice columnas'!$A$2:$A$100)),'indice columnas'!$B$2:$B$100,""""),
col,IFERROR(MATCH(campo,Referencia!$A$1:$AZ$1,0),0),
fila,IFERROR(MATCH(TO_TEXT(D689),ARRAYFORMULA"&amp;"(TO_TEXT(Referencia!$A$2:$A6238)),0),0),
IF(OR(campo="""",campo=""-""),""NO APLICA"",
IF(col=0,""REVISAR EQUIVALENCIA"",
IF(fila=0,""SKU NO ENCONTRADO"",
LET(
valor,INDEX(Referencia!$A$2:$AZ6238,fila,col),
IF(TRIM(TO_TEXT(valor))=TRIM(TO_TEXT(I689)),
""OK"&amp;""",
""NO COINCIDE. Valor verdadero: ""&amp;IF(valor="""",""[VACÍO]"",TO_TEXT(valor))
)
))))
),""ERROR EN FÓRMULA""))"),"NO APLICA")</f>
        <v>NO APLICA</v>
      </c>
    </row>
    <row r="690">
      <c r="A690" s="83" t="s">
        <v>4078</v>
      </c>
      <c r="B690" s="83" t="s">
        <v>4079</v>
      </c>
      <c r="C690" s="81" t="s">
        <v>4086</v>
      </c>
      <c r="D690" s="83" t="s">
        <v>4442</v>
      </c>
      <c r="E690" s="81" t="s">
        <v>2022</v>
      </c>
      <c r="F690" s="84">
        <v>393.0</v>
      </c>
      <c r="G690" s="81" t="s">
        <v>44</v>
      </c>
      <c r="H690" s="81" t="s">
        <v>4440</v>
      </c>
      <c r="I690" s="81" t="s">
        <v>4441</v>
      </c>
      <c r="J690" s="81" t="s">
        <v>4088</v>
      </c>
      <c r="K690" s="81" t="str">
        <f>IFERROR(__xludf.DUMMYFUNCTION("IF(OR(D690="""",G690=""""),"""",IFERROR(LET(
campo,XLOOKUP(TRIM(G690),ARRAYFORMULA(TRIM('indice columnas'!$A$2:$A$100)),'indice columnas'!$B$2:$B$100,""""),
col,IFERROR(MATCH(campo,Referencia!$A$1:$AZ$1,0),0),
fila,IFERROR(MATCH(TO_TEXT(D690),ARRAYFORMULA"&amp;"(TO_TEXT(Referencia!$A$2:$A6238)),0),0),
IF(OR(campo="""",campo=""-""),""NO APLICA"",
IF(col=0,""REVISAR EQUIVALENCIA"",
IF(fila=0,""SKU NO ENCONTRADO"",
LET(
valor,INDEX(Referencia!$A$2:$AZ6238,fila,col),
IF(TRIM(TO_TEXT(valor))=TRIM(TO_TEXT(I690)),
""OK"&amp;""",
""NO COINCIDE. Valor verdadero: ""&amp;IF(valor="""",""[VACÍO]"",TO_TEXT(valor))
)
))))
),""ERROR EN FÓRMULA""))"),"NO APLICA")</f>
        <v>NO APLICA</v>
      </c>
    </row>
    <row r="691">
      <c r="A691" s="83" t="s">
        <v>4078</v>
      </c>
      <c r="B691" s="83" t="s">
        <v>4079</v>
      </c>
      <c r="C691" s="81" t="s">
        <v>4086</v>
      </c>
      <c r="D691" s="83" t="s">
        <v>4443</v>
      </c>
      <c r="E691" s="81" t="s">
        <v>2026</v>
      </c>
      <c r="F691" s="84">
        <v>394.0</v>
      </c>
      <c r="G691" s="81" t="s">
        <v>44</v>
      </c>
      <c r="H691" s="81" t="s">
        <v>224</v>
      </c>
      <c r="I691" s="81" t="s">
        <v>4444</v>
      </c>
      <c r="J691" s="81" t="s">
        <v>4088</v>
      </c>
      <c r="K691" s="81" t="str">
        <f>IFERROR(__xludf.DUMMYFUNCTION("IF(OR(D691="""",G691=""""),"""",IFERROR(LET(
campo,XLOOKUP(TRIM(G691),ARRAYFORMULA(TRIM('indice columnas'!$A$2:$A$100)),'indice columnas'!$B$2:$B$100,""""),
col,IFERROR(MATCH(campo,Referencia!$A$1:$AZ$1,0),0),
fila,IFERROR(MATCH(TO_TEXT(D691),ARRAYFORMULA"&amp;"(TO_TEXT(Referencia!$A$2:$A6238)),0),0),
IF(OR(campo="""",campo=""-""),""NO APLICA"",
IF(col=0,""REVISAR EQUIVALENCIA"",
IF(fila=0,""SKU NO ENCONTRADO"",
LET(
valor,INDEX(Referencia!$A$2:$AZ6238,fila,col),
IF(TRIM(TO_TEXT(valor))=TRIM(TO_TEXT(I691)),
""OK"&amp;""",
""NO COINCIDE. Valor verdadero: ""&amp;IF(valor="""",""[VACÍO]"",TO_TEXT(valor))
)
))))
),""ERROR EN FÓRMULA""))"),"NO APLICA")</f>
        <v>NO APLICA</v>
      </c>
    </row>
    <row r="692">
      <c r="A692" s="83" t="s">
        <v>4078</v>
      </c>
      <c r="B692" s="83" t="s">
        <v>4079</v>
      </c>
      <c r="C692" s="81" t="s">
        <v>4086</v>
      </c>
      <c r="D692" s="83" t="s">
        <v>4445</v>
      </c>
      <c r="E692" s="81" t="s">
        <v>2037</v>
      </c>
      <c r="F692" s="84">
        <v>395.0</v>
      </c>
      <c r="G692" s="81" t="s">
        <v>44</v>
      </c>
      <c r="H692" s="81" t="s">
        <v>224</v>
      </c>
      <c r="I692" s="81" t="s">
        <v>4446</v>
      </c>
      <c r="J692" s="81" t="s">
        <v>4088</v>
      </c>
      <c r="K692" s="81" t="str">
        <f>IFERROR(__xludf.DUMMYFUNCTION("IF(OR(D692="""",G692=""""),"""",IFERROR(LET(
campo,XLOOKUP(TRIM(G692),ARRAYFORMULA(TRIM('indice columnas'!$A$2:$A$100)),'indice columnas'!$B$2:$B$100,""""),
col,IFERROR(MATCH(campo,Referencia!$A$1:$AZ$1,0),0),
fila,IFERROR(MATCH(TO_TEXT(D692),ARRAYFORMULA"&amp;"(TO_TEXT(Referencia!$A$2:$A6238)),0),0),
IF(OR(campo="""",campo=""-""),""NO APLICA"",
IF(col=0,""REVISAR EQUIVALENCIA"",
IF(fila=0,""SKU NO ENCONTRADO"",
LET(
valor,INDEX(Referencia!$A$2:$AZ6238,fila,col),
IF(TRIM(TO_TEXT(valor))=TRIM(TO_TEXT(I692)),
""OK"&amp;""",
""NO COINCIDE. Valor verdadero: ""&amp;IF(valor="""",""[VACÍO]"",TO_TEXT(valor))
)
))))
),""ERROR EN FÓRMULA""))"),"NO APLICA")</f>
        <v>NO APLICA</v>
      </c>
    </row>
    <row r="693">
      <c r="A693" s="83" t="s">
        <v>4078</v>
      </c>
      <c r="B693" s="83" t="s">
        <v>4079</v>
      </c>
      <c r="C693" s="81" t="s">
        <v>4086</v>
      </c>
      <c r="D693" s="83" t="s">
        <v>4447</v>
      </c>
      <c r="E693" s="81" t="s">
        <v>2049</v>
      </c>
      <c r="F693" s="84">
        <v>396.0</v>
      </c>
      <c r="G693" s="81" t="s">
        <v>44</v>
      </c>
      <c r="H693" s="81" t="s">
        <v>4448</v>
      </c>
      <c r="I693" s="81" t="s">
        <v>2049</v>
      </c>
      <c r="J693" s="81" t="s">
        <v>4088</v>
      </c>
      <c r="K693" s="81" t="str">
        <f>IFERROR(__xludf.DUMMYFUNCTION("IF(OR(D693="""",G693=""""),"""",IFERROR(LET(
campo,XLOOKUP(TRIM(G693),ARRAYFORMULA(TRIM('indice columnas'!$A$2:$A$100)),'indice columnas'!$B$2:$B$100,""""),
col,IFERROR(MATCH(campo,Referencia!$A$1:$AZ$1,0),0),
fila,IFERROR(MATCH(TO_TEXT(D693),ARRAYFORMULA"&amp;"(TO_TEXT(Referencia!$A$2:$A6238)),0),0),
IF(OR(campo="""",campo=""-""),""NO APLICA"",
IF(col=0,""REVISAR EQUIVALENCIA"",
IF(fila=0,""SKU NO ENCONTRADO"",
LET(
valor,INDEX(Referencia!$A$2:$AZ6238,fila,col),
IF(TRIM(TO_TEXT(valor))=TRIM(TO_TEXT(I693)),
""OK"&amp;""",
""NO COINCIDE. Valor verdadero: ""&amp;IF(valor="""",""[VACÍO]"",TO_TEXT(valor))
)
))))
),""ERROR EN FÓRMULA""))"),"NO APLICA")</f>
        <v>NO APLICA</v>
      </c>
    </row>
    <row r="694">
      <c r="A694" s="83" t="s">
        <v>4078</v>
      </c>
      <c r="B694" s="83" t="s">
        <v>4079</v>
      </c>
      <c r="C694" s="81" t="s">
        <v>4086</v>
      </c>
      <c r="D694" s="83" t="s">
        <v>4447</v>
      </c>
      <c r="E694" s="81" t="s">
        <v>2058</v>
      </c>
      <c r="F694" s="84">
        <v>397.0</v>
      </c>
      <c r="G694" s="81" t="s">
        <v>7</v>
      </c>
      <c r="H694" s="81" t="s">
        <v>53</v>
      </c>
      <c r="I694" s="81" t="s">
        <v>1134</v>
      </c>
      <c r="J694" s="81" t="s">
        <v>224</v>
      </c>
      <c r="K694" s="81" t="str">
        <f>IFERROR(__xludf.DUMMYFUNCTION("IF(OR(D694="""",G694=""""),"""",IFERROR(LET(
campo,XLOOKUP(TRIM(G694),ARRAYFORMULA(TRIM('indice columnas'!$A$2:$A$100)),'indice columnas'!$B$2:$B$100,""""),
col,IFERROR(MATCH(campo,Referencia!$A$1:$AZ$1,0),0),
fila,IFERROR(MATCH(TO_TEXT(D694),ARRAYFORMULA"&amp;"(TO_TEXT(Referencia!$A$2:$A6238)),0),0),
IF(OR(campo="""",campo=""-""),""NO APLICA"",
IF(col=0,""REVISAR EQUIVALENCIA"",
IF(fila=0,""SKU NO ENCONTRADO"",
LET(
valor,INDEX(Referencia!$A$2:$AZ6238,fila,col),
IF(TRIM(TO_TEXT(valor))=TRIM(TO_TEXT(I694)),
""OK"&amp;""",
""NO COINCIDE. Valor verdadero: ""&amp;IF(valor="""",""[VACÍO]"",TO_TEXT(valor))
)
))))
),""ERROR EN FÓRMULA""))"),"REVISAR EQUIVALENCIA")</f>
        <v>REVISAR EQUIVALENCIA</v>
      </c>
    </row>
    <row r="695">
      <c r="A695" s="83" t="s">
        <v>4078</v>
      </c>
      <c r="B695" s="83" t="s">
        <v>4079</v>
      </c>
      <c r="C695" s="81" t="s">
        <v>4086</v>
      </c>
      <c r="D695" s="83" t="s">
        <v>4447</v>
      </c>
      <c r="E695" s="81" t="s">
        <v>2058</v>
      </c>
      <c r="F695" s="84">
        <v>397.0</v>
      </c>
      <c r="G695" s="81" t="s">
        <v>44</v>
      </c>
      <c r="H695" s="81" t="s">
        <v>4448</v>
      </c>
      <c r="I695" s="81" t="s">
        <v>2049</v>
      </c>
      <c r="J695" s="81" t="s">
        <v>4088</v>
      </c>
      <c r="K695" s="81" t="str">
        <f>IFERROR(__xludf.DUMMYFUNCTION("IF(OR(D695="""",G695=""""),"""",IFERROR(LET(
campo,XLOOKUP(TRIM(G695),ARRAYFORMULA(TRIM('indice columnas'!$A$2:$A$100)),'indice columnas'!$B$2:$B$100,""""),
col,IFERROR(MATCH(campo,Referencia!$A$1:$AZ$1,0),0),
fila,IFERROR(MATCH(TO_TEXT(D695),ARRAYFORMULA"&amp;"(TO_TEXT(Referencia!$A$2:$A6238)),0),0),
IF(OR(campo="""",campo=""-""),""NO APLICA"",
IF(col=0,""REVISAR EQUIVALENCIA"",
IF(fila=0,""SKU NO ENCONTRADO"",
LET(
valor,INDEX(Referencia!$A$2:$AZ6238,fila,col),
IF(TRIM(TO_TEXT(valor))=TRIM(TO_TEXT(I695)),
""OK"&amp;""",
""NO COINCIDE. Valor verdadero: ""&amp;IF(valor="""",""[VACÍO]"",TO_TEXT(valor))
)
))))
),""ERROR EN FÓRMULA""))"),"NO APLICA")</f>
        <v>NO APLICA</v>
      </c>
    </row>
    <row r="696">
      <c r="A696" s="83" t="s">
        <v>4078</v>
      </c>
      <c r="B696" s="83" t="s">
        <v>4079</v>
      </c>
      <c r="C696" s="81" t="s">
        <v>4086</v>
      </c>
      <c r="D696" s="83" t="s">
        <v>4449</v>
      </c>
      <c r="E696" s="81" t="s">
        <v>2059</v>
      </c>
      <c r="F696" s="84">
        <v>398.0</v>
      </c>
      <c r="G696" s="81" t="s">
        <v>7</v>
      </c>
      <c r="H696" s="81" t="s">
        <v>53</v>
      </c>
      <c r="I696" s="81" t="s">
        <v>1134</v>
      </c>
      <c r="J696" s="81" t="s">
        <v>224</v>
      </c>
      <c r="K696" s="81" t="str">
        <f>IFERROR(__xludf.DUMMYFUNCTION("IF(OR(D696="""",G696=""""),"""",IFERROR(LET(
campo,XLOOKUP(TRIM(G696),ARRAYFORMULA(TRIM('indice columnas'!$A$2:$A$100)),'indice columnas'!$B$2:$B$100,""""),
col,IFERROR(MATCH(campo,Referencia!$A$1:$AZ$1,0),0),
fila,IFERROR(MATCH(TO_TEXT(D696),ARRAYFORMULA"&amp;"(TO_TEXT(Referencia!$A$2:$A6238)),0),0),
IF(OR(campo="""",campo=""-""),""NO APLICA"",
IF(col=0,""REVISAR EQUIVALENCIA"",
IF(fila=0,""SKU NO ENCONTRADO"",
LET(
valor,INDEX(Referencia!$A$2:$AZ6238,fila,col),
IF(TRIM(TO_TEXT(valor))=TRIM(TO_TEXT(I696)),
""OK"&amp;""",
""NO COINCIDE. Valor verdadero: ""&amp;IF(valor="""",""[VACÍO]"",TO_TEXT(valor))
)
))))
),""ERROR EN FÓRMULA""))"),"REVISAR EQUIVALENCIA")</f>
        <v>REVISAR EQUIVALENCIA</v>
      </c>
    </row>
    <row r="697">
      <c r="A697" s="83" t="s">
        <v>4078</v>
      </c>
      <c r="B697" s="83" t="s">
        <v>4079</v>
      </c>
      <c r="C697" s="81" t="s">
        <v>4086</v>
      </c>
      <c r="D697" s="83" t="s">
        <v>4449</v>
      </c>
      <c r="E697" s="81" t="s">
        <v>2059</v>
      </c>
      <c r="F697" s="84">
        <v>398.0</v>
      </c>
      <c r="G697" s="81" t="s">
        <v>44</v>
      </c>
      <c r="H697" s="81" t="s">
        <v>4448</v>
      </c>
      <c r="I697" s="81" t="s">
        <v>2049</v>
      </c>
      <c r="J697" s="81" t="s">
        <v>4088</v>
      </c>
      <c r="K697" s="81" t="str">
        <f>IFERROR(__xludf.DUMMYFUNCTION("IF(OR(D697="""",G697=""""),"""",IFERROR(LET(
campo,XLOOKUP(TRIM(G697),ARRAYFORMULA(TRIM('indice columnas'!$A$2:$A$100)),'indice columnas'!$B$2:$B$100,""""),
col,IFERROR(MATCH(campo,Referencia!$A$1:$AZ$1,0),0),
fila,IFERROR(MATCH(TO_TEXT(D697),ARRAYFORMULA"&amp;"(TO_TEXT(Referencia!$A$2:$A6238)),0),0),
IF(OR(campo="""",campo=""-""),""NO APLICA"",
IF(col=0,""REVISAR EQUIVALENCIA"",
IF(fila=0,""SKU NO ENCONTRADO"",
LET(
valor,INDEX(Referencia!$A$2:$AZ6238,fila,col),
IF(TRIM(TO_TEXT(valor))=TRIM(TO_TEXT(I697)),
""OK"&amp;""",
""NO COINCIDE. Valor verdadero: ""&amp;IF(valor="""",""[VACÍO]"",TO_TEXT(valor))
)
))))
),""ERROR EN FÓRMULA""))"),"NO APLICA")</f>
        <v>NO APLICA</v>
      </c>
    </row>
    <row r="698">
      <c r="A698" s="83" t="s">
        <v>4078</v>
      </c>
      <c r="B698" s="83" t="s">
        <v>4079</v>
      </c>
      <c r="C698" s="81" t="s">
        <v>4086</v>
      </c>
      <c r="D698" s="83" t="s">
        <v>4450</v>
      </c>
      <c r="E698" s="81" t="s">
        <v>2063</v>
      </c>
      <c r="F698" s="84">
        <v>399.0</v>
      </c>
      <c r="G698" s="81" t="s">
        <v>44</v>
      </c>
      <c r="H698" s="81" t="s">
        <v>224</v>
      </c>
      <c r="I698" s="81" t="s">
        <v>2063</v>
      </c>
      <c r="J698" s="81" t="s">
        <v>4088</v>
      </c>
      <c r="K698" s="81" t="str">
        <f>IFERROR(__xludf.DUMMYFUNCTION("IF(OR(D698="""",G698=""""),"""",IFERROR(LET(
campo,XLOOKUP(TRIM(G698),ARRAYFORMULA(TRIM('indice columnas'!$A$2:$A$100)),'indice columnas'!$B$2:$B$100,""""),
col,IFERROR(MATCH(campo,Referencia!$A$1:$AZ$1,0),0),
fila,IFERROR(MATCH(TO_TEXT(D698),ARRAYFORMULA"&amp;"(TO_TEXT(Referencia!$A$2:$A6238)),0),0),
IF(OR(campo="""",campo=""-""),""NO APLICA"",
IF(col=0,""REVISAR EQUIVALENCIA"",
IF(fila=0,""SKU NO ENCONTRADO"",
LET(
valor,INDEX(Referencia!$A$2:$AZ6238,fila,col),
IF(TRIM(TO_TEXT(valor))=TRIM(TO_TEXT(I698)),
""OK"&amp;""",
""NO COINCIDE. Valor verdadero: ""&amp;IF(valor="""",""[VACÍO]"",TO_TEXT(valor))
)
))))
),""ERROR EN FÓRMULA""))"),"NO APLICA")</f>
        <v>NO APLICA</v>
      </c>
    </row>
    <row r="699">
      <c r="A699" s="83" t="s">
        <v>4078</v>
      </c>
      <c r="B699" s="83" t="s">
        <v>4079</v>
      </c>
      <c r="C699" s="81" t="s">
        <v>4086</v>
      </c>
      <c r="D699" s="83" t="s">
        <v>4451</v>
      </c>
      <c r="E699" s="81" t="s">
        <v>2076</v>
      </c>
      <c r="F699" s="84">
        <v>400.0</v>
      </c>
      <c r="G699" s="81" t="s">
        <v>44</v>
      </c>
      <c r="H699" s="81" t="s">
        <v>224</v>
      </c>
      <c r="I699" s="81" t="s">
        <v>4452</v>
      </c>
      <c r="J699" s="81" t="s">
        <v>4088</v>
      </c>
      <c r="K699" s="81" t="str">
        <f>IFERROR(__xludf.DUMMYFUNCTION("IF(OR(D699="""",G699=""""),"""",IFERROR(LET(
campo,XLOOKUP(TRIM(G699),ARRAYFORMULA(TRIM('indice columnas'!$A$2:$A$100)),'indice columnas'!$B$2:$B$100,""""),
col,IFERROR(MATCH(campo,Referencia!$A$1:$AZ$1,0),0),
fila,IFERROR(MATCH(TO_TEXT(D699),ARRAYFORMULA"&amp;"(TO_TEXT(Referencia!$A$2:$A6238)),0),0),
IF(OR(campo="""",campo=""-""),""NO APLICA"",
IF(col=0,""REVISAR EQUIVALENCIA"",
IF(fila=0,""SKU NO ENCONTRADO"",
LET(
valor,INDEX(Referencia!$A$2:$AZ6238,fila,col),
IF(TRIM(TO_TEXT(valor))=TRIM(TO_TEXT(I699)),
""OK"&amp;""",
""NO COINCIDE. Valor verdadero: ""&amp;IF(valor="""",""[VACÍO]"",TO_TEXT(valor))
)
))))
),""ERROR EN FÓRMULA""))"),"NO APLICA")</f>
        <v>NO APLICA</v>
      </c>
    </row>
    <row r="700">
      <c r="A700" s="83" t="s">
        <v>4078</v>
      </c>
      <c r="B700" s="83" t="s">
        <v>4079</v>
      </c>
      <c r="C700" s="81" t="s">
        <v>4086</v>
      </c>
      <c r="D700" s="83" t="s">
        <v>4453</v>
      </c>
      <c r="E700" s="81" t="s">
        <v>2087</v>
      </c>
      <c r="F700" s="84">
        <v>401.0</v>
      </c>
      <c r="G700" s="81" t="s">
        <v>44</v>
      </c>
      <c r="H700" s="81" t="s">
        <v>224</v>
      </c>
      <c r="I700" s="81" t="s">
        <v>2087</v>
      </c>
      <c r="J700" s="81" t="s">
        <v>4088</v>
      </c>
      <c r="K700" s="81" t="str">
        <f>IFERROR(__xludf.DUMMYFUNCTION("IF(OR(D700="""",G700=""""),"""",IFERROR(LET(
campo,XLOOKUP(TRIM(G700),ARRAYFORMULA(TRIM('indice columnas'!$A$2:$A$100)),'indice columnas'!$B$2:$B$100,""""),
col,IFERROR(MATCH(campo,Referencia!$A$1:$AZ$1,0),0),
fila,IFERROR(MATCH(TO_TEXT(D700),ARRAYFORMULA"&amp;"(TO_TEXT(Referencia!$A$2:$A6238)),0),0),
IF(OR(campo="""",campo=""-""),""NO APLICA"",
IF(col=0,""REVISAR EQUIVALENCIA"",
IF(fila=0,""SKU NO ENCONTRADO"",
LET(
valor,INDEX(Referencia!$A$2:$AZ6238,fila,col),
IF(TRIM(TO_TEXT(valor))=TRIM(TO_TEXT(I700)),
""OK"&amp;""",
""NO COINCIDE. Valor verdadero: ""&amp;IF(valor="""",""[VACÍO]"",TO_TEXT(valor))
)
))))
),""ERROR EN FÓRMULA""))"),"NO APLICA")</f>
        <v>NO APLICA</v>
      </c>
    </row>
    <row r="701">
      <c r="A701" s="83" t="s">
        <v>4078</v>
      </c>
      <c r="B701" s="83" t="s">
        <v>4079</v>
      </c>
      <c r="C701" s="81" t="s">
        <v>4086</v>
      </c>
      <c r="D701" s="83" t="s">
        <v>4453</v>
      </c>
      <c r="E701" s="81" t="s">
        <v>2098</v>
      </c>
      <c r="F701" s="84">
        <v>402.0</v>
      </c>
      <c r="G701" s="81" t="s">
        <v>44</v>
      </c>
      <c r="H701" s="81" t="s">
        <v>224</v>
      </c>
      <c r="I701" s="81" t="s">
        <v>2087</v>
      </c>
      <c r="J701" s="81" t="s">
        <v>4088</v>
      </c>
      <c r="K701" s="81" t="str">
        <f>IFERROR(__xludf.DUMMYFUNCTION("IF(OR(D701="""",G701=""""),"""",IFERROR(LET(
campo,XLOOKUP(TRIM(G701),ARRAYFORMULA(TRIM('indice columnas'!$A$2:$A$100)),'indice columnas'!$B$2:$B$100,""""),
col,IFERROR(MATCH(campo,Referencia!$A$1:$AZ$1,0),0),
fila,IFERROR(MATCH(TO_TEXT(D701),ARRAYFORMULA"&amp;"(TO_TEXT(Referencia!$A$2:$A6238)),0),0),
IF(OR(campo="""",campo=""-""),""NO APLICA"",
IF(col=0,""REVISAR EQUIVALENCIA"",
IF(fila=0,""SKU NO ENCONTRADO"",
LET(
valor,INDEX(Referencia!$A$2:$AZ6238,fila,col),
IF(TRIM(TO_TEXT(valor))=TRIM(TO_TEXT(I701)),
""OK"&amp;""",
""NO COINCIDE. Valor verdadero: ""&amp;IF(valor="""",""[VACÍO]"",TO_TEXT(valor))
)
))))
),""ERROR EN FÓRMULA""))"),"NO APLICA")</f>
        <v>NO APLICA</v>
      </c>
    </row>
    <row r="702">
      <c r="A702" s="83" t="s">
        <v>4078</v>
      </c>
      <c r="B702" s="83" t="s">
        <v>4079</v>
      </c>
      <c r="C702" s="81" t="s">
        <v>4086</v>
      </c>
      <c r="D702" s="83" t="s">
        <v>4454</v>
      </c>
      <c r="E702" s="81" t="s">
        <v>2099</v>
      </c>
      <c r="F702" s="84">
        <v>403.0</v>
      </c>
      <c r="G702" s="81" t="s">
        <v>44</v>
      </c>
      <c r="H702" s="81" t="s">
        <v>224</v>
      </c>
      <c r="I702" s="81" t="s">
        <v>2087</v>
      </c>
      <c r="J702" s="81" t="s">
        <v>4088</v>
      </c>
      <c r="K702" s="81" t="str">
        <f>IFERROR(__xludf.DUMMYFUNCTION("IF(OR(D702="""",G702=""""),"""",IFERROR(LET(
campo,XLOOKUP(TRIM(G702),ARRAYFORMULA(TRIM('indice columnas'!$A$2:$A$100)),'indice columnas'!$B$2:$B$100,""""),
col,IFERROR(MATCH(campo,Referencia!$A$1:$AZ$1,0),0),
fila,IFERROR(MATCH(TO_TEXT(D702),ARRAYFORMULA"&amp;"(TO_TEXT(Referencia!$A$2:$A6238)),0),0),
IF(OR(campo="""",campo=""-""),""NO APLICA"",
IF(col=0,""REVISAR EQUIVALENCIA"",
IF(fila=0,""SKU NO ENCONTRADO"",
LET(
valor,INDEX(Referencia!$A$2:$AZ6238,fila,col),
IF(TRIM(TO_TEXT(valor))=TRIM(TO_TEXT(I702)),
""OK"&amp;""",
""NO COINCIDE. Valor verdadero: ""&amp;IF(valor="""",""[VACÍO]"",TO_TEXT(valor))
)
))))
),""ERROR EN FÓRMULA""))"),"NO APLICA")</f>
        <v>NO APLICA</v>
      </c>
    </row>
    <row r="703">
      <c r="A703" s="83" t="s">
        <v>4078</v>
      </c>
      <c r="B703" s="83" t="s">
        <v>4079</v>
      </c>
      <c r="C703" s="81" t="s">
        <v>4086</v>
      </c>
      <c r="D703" s="83" t="s">
        <v>4455</v>
      </c>
      <c r="E703" s="81" t="s">
        <v>2102</v>
      </c>
      <c r="F703" s="84">
        <v>404.0</v>
      </c>
      <c r="G703" s="81" t="s">
        <v>44</v>
      </c>
      <c r="H703" s="81" t="s">
        <v>224</v>
      </c>
      <c r="I703" s="81" t="s">
        <v>2087</v>
      </c>
      <c r="J703" s="81" t="s">
        <v>4088</v>
      </c>
      <c r="K703" s="81" t="str">
        <f>IFERROR(__xludf.DUMMYFUNCTION("IF(OR(D703="""",G703=""""),"""",IFERROR(LET(
campo,XLOOKUP(TRIM(G703),ARRAYFORMULA(TRIM('indice columnas'!$A$2:$A$100)),'indice columnas'!$B$2:$B$100,""""),
col,IFERROR(MATCH(campo,Referencia!$A$1:$AZ$1,0),0),
fila,IFERROR(MATCH(TO_TEXT(D703),ARRAYFORMULA"&amp;"(TO_TEXT(Referencia!$A$2:$A6238)),0),0),
IF(OR(campo="""",campo=""-""),""NO APLICA"",
IF(col=0,""REVISAR EQUIVALENCIA"",
IF(fila=0,""SKU NO ENCONTRADO"",
LET(
valor,INDEX(Referencia!$A$2:$AZ6238,fila,col),
IF(TRIM(TO_TEXT(valor))=TRIM(TO_TEXT(I703)),
""OK"&amp;""",
""NO COINCIDE. Valor verdadero: ""&amp;IF(valor="""",""[VACÍO]"",TO_TEXT(valor))
)
))))
),""ERROR EN FÓRMULA""))"),"NO APLICA")</f>
        <v>NO APLICA</v>
      </c>
    </row>
    <row r="704">
      <c r="A704" s="83" t="s">
        <v>4078</v>
      </c>
      <c r="B704" s="83" t="s">
        <v>4079</v>
      </c>
      <c r="C704" s="81" t="s">
        <v>4086</v>
      </c>
      <c r="D704" s="83" t="s">
        <v>4456</v>
      </c>
      <c r="E704" s="81" t="s">
        <v>2111</v>
      </c>
      <c r="F704" s="84">
        <v>405.0</v>
      </c>
      <c r="G704" s="81" t="s">
        <v>44</v>
      </c>
      <c r="H704" s="81" t="s">
        <v>224</v>
      </c>
      <c r="I704" s="81" t="s">
        <v>2087</v>
      </c>
      <c r="J704" s="81" t="s">
        <v>4088</v>
      </c>
      <c r="K704" s="81" t="str">
        <f>IFERROR(__xludf.DUMMYFUNCTION("IF(OR(D704="""",G704=""""),"""",IFERROR(LET(
campo,XLOOKUP(TRIM(G704),ARRAYFORMULA(TRIM('indice columnas'!$A$2:$A$100)),'indice columnas'!$B$2:$B$100,""""),
col,IFERROR(MATCH(campo,Referencia!$A$1:$AZ$1,0),0),
fila,IFERROR(MATCH(TO_TEXT(D704),ARRAYFORMULA"&amp;"(TO_TEXT(Referencia!$A$2:$A6238)),0),0),
IF(OR(campo="""",campo=""-""),""NO APLICA"",
IF(col=0,""REVISAR EQUIVALENCIA"",
IF(fila=0,""SKU NO ENCONTRADO"",
LET(
valor,INDEX(Referencia!$A$2:$AZ6238,fila,col),
IF(TRIM(TO_TEXT(valor))=TRIM(TO_TEXT(I704)),
""OK"&amp;""",
""NO COINCIDE. Valor verdadero: ""&amp;IF(valor="""",""[VACÍO]"",TO_TEXT(valor))
)
))))
),""ERROR EN FÓRMULA""))"),"NO APLICA")</f>
        <v>NO APLICA</v>
      </c>
    </row>
    <row r="705">
      <c r="A705" s="83" t="s">
        <v>4078</v>
      </c>
      <c r="B705" s="83" t="s">
        <v>4079</v>
      </c>
      <c r="C705" s="81" t="s">
        <v>4086</v>
      </c>
      <c r="D705" s="83" t="s">
        <v>4457</v>
      </c>
      <c r="E705" s="81" t="s">
        <v>2114</v>
      </c>
      <c r="F705" s="84">
        <v>406.0</v>
      </c>
      <c r="G705" s="81" t="s">
        <v>44</v>
      </c>
      <c r="H705" s="81" t="s">
        <v>224</v>
      </c>
      <c r="I705" s="81" t="s">
        <v>2087</v>
      </c>
      <c r="J705" s="81" t="s">
        <v>4088</v>
      </c>
      <c r="K705" s="81" t="str">
        <f>IFERROR(__xludf.DUMMYFUNCTION("IF(OR(D705="""",G705=""""),"""",IFERROR(LET(
campo,XLOOKUP(TRIM(G705),ARRAYFORMULA(TRIM('indice columnas'!$A$2:$A$100)),'indice columnas'!$B$2:$B$100,""""),
col,IFERROR(MATCH(campo,Referencia!$A$1:$AZ$1,0),0),
fila,IFERROR(MATCH(TO_TEXT(D705),ARRAYFORMULA"&amp;"(TO_TEXT(Referencia!$A$2:$A6238)),0),0),
IF(OR(campo="""",campo=""-""),""NO APLICA"",
IF(col=0,""REVISAR EQUIVALENCIA"",
IF(fila=0,""SKU NO ENCONTRADO"",
LET(
valor,INDEX(Referencia!$A$2:$AZ6238,fila,col),
IF(TRIM(TO_TEXT(valor))=TRIM(TO_TEXT(I705)),
""OK"&amp;""",
""NO COINCIDE. Valor verdadero: ""&amp;IF(valor="""",""[VACÍO]"",TO_TEXT(valor))
)
))))
),""ERROR EN FÓRMULA""))"),"NO APLICA")</f>
        <v>NO APLICA</v>
      </c>
    </row>
    <row r="706">
      <c r="A706" s="83" t="s">
        <v>4078</v>
      </c>
      <c r="B706" s="83" t="s">
        <v>4079</v>
      </c>
      <c r="C706" s="81" t="s">
        <v>4086</v>
      </c>
      <c r="D706" s="83" t="s">
        <v>4458</v>
      </c>
      <c r="E706" s="81" t="s">
        <v>2124</v>
      </c>
      <c r="F706" s="84">
        <v>407.0</v>
      </c>
      <c r="G706" s="81" t="s">
        <v>44</v>
      </c>
      <c r="H706" s="81" t="s">
        <v>224</v>
      </c>
      <c r="I706" s="81" t="s">
        <v>2087</v>
      </c>
      <c r="J706" s="81" t="s">
        <v>4088</v>
      </c>
      <c r="K706" s="81" t="str">
        <f>IFERROR(__xludf.DUMMYFUNCTION("IF(OR(D706="""",G706=""""),"""",IFERROR(LET(
campo,XLOOKUP(TRIM(G706),ARRAYFORMULA(TRIM('indice columnas'!$A$2:$A$100)),'indice columnas'!$B$2:$B$100,""""),
col,IFERROR(MATCH(campo,Referencia!$A$1:$AZ$1,0),0),
fila,IFERROR(MATCH(TO_TEXT(D706),ARRAYFORMULA"&amp;"(TO_TEXT(Referencia!$A$2:$A6238)),0),0),
IF(OR(campo="""",campo=""-""),""NO APLICA"",
IF(col=0,""REVISAR EQUIVALENCIA"",
IF(fila=0,""SKU NO ENCONTRADO"",
LET(
valor,INDEX(Referencia!$A$2:$AZ6238,fila,col),
IF(TRIM(TO_TEXT(valor))=TRIM(TO_TEXT(I706)),
""OK"&amp;""",
""NO COINCIDE. Valor verdadero: ""&amp;IF(valor="""",""[VACÍO]"",TO_TEXT(valor))
)
))))
),""ERROR EN FÓRMULA""))"),"NO APLICA")</f>
        <v>NO APLICA</v>
      </c>
    </row>
    <row r="707">
      <c r="A707" s="83" t="s">
        <v>4078</v>
      </c>
      <c r="B707" s="83" t="s">
        <v>4079</v>
      </c>
      <c r="C707" s="81" t="s">
        <v>4086</v>
      </c>
      <c r="D707" s="83" t="s">
        <v>4459</v>
      </c>
      <c r="E707" s="81" t="s">
        <v>2127</v>
      </c>
      <c r="F707" s="84">
        <v>408.0</v>
      </c>
      <c r="G707" s="81" t="s">
        <v>44</v>
      </c>
      <c r="H707" s="81" t="s">
        <v>224</v>
      </c>
      <c r="I707" s="81" t="s">
        <v>2127</v>
      </c>
      <c r="J707" s="81" t="s">
        <v>4088</v>
      </c>
      <c r="K707" s="81" t="str">
        <f>IFERROR(__xludf.DUMMYFUNCTION("IF(OR(D707="""",G707=""""),"""",IFERROR(LET(
campo,XLOOKUP(TRIM(G707),ARRAYFORMULA(TRIM('indice columnas'!$A$2:$A$100)),'indice columnas'!$B$2:$B$100,""""),
col,IFERROR(MATCH(campo,Referencia!$A$1:$AZ$1,0),0),
fila,IFERROR(MATCH(TO_TEXT(D707),ARRAYFORMULA"&amp;"(TO_TEXT(Referencia!$A$2:$A6238)),0),0),
IF(OR(campo="""",campo=""-""),""NO APLICA"",
IF(col=0,""REVISAR EQUIVALENCIA"",
IF(fila=0,""SKU NO ENCONTRADO"",
LET(
valor,INDEX(Referencia!$A$2:$AZ6238,fila,col),
IF(TRIM(TO_TEXT(valor))=TRIM(TO_TEXT(I707)),
""OK"&amp;""",
""NO COINCIDE. Valor verdadero: ""&amp;IF(valor="""",""[VACÍO]"",TO_TEXT(valor))
)
))))
),""ERROR EN FÓRMULA""))"),"NO APLICA")</f>
        <v>NO APLICA</v>
      </c>
    </row>
    <row r="708">
      <c r="A708" s="83" t="s">
        <v>4078</v>
      </c>
      <c r="B708" s="83" t="s">
        <v>4079</v>
      </c>
      <c r="C708" s="81" t="s">
        <v>4086</v>
      </c>
      <c r="D708" s="83" t="s">
        <v>4459</v>
      </c>
      <c r="E708" s="81" t="s">
        <v>2138</v>
      </c>
      <c r="F708" s="84">
        <v>409.0</v>
      </c>
      <c r="G708" s="81" t="s">
        <v>44</v>
      </c>
      <c r="H708" s="81" t="s">
        <v>224</v>
      </c>
      <c r="I708" s="81" t="s">
        <v>2127</v>
      </c>
      <c r="J708" s="81" t="s">
        <v>4088</v>
      </c>
      <c r="K708" s="81" t="str">
        <f>IFERROR(__xludf.DUMMYFUNCTION("IF(OR(D708="""",G708=""""),"""",IFERROR(LET(
campo,XLOOKUP(TRIM(G708),ARRAYFORMULA(TRIM('indice columnas'!$A$2:$A$100)),'indice columnas'!$B$2:$B$100,""""),
col,IFERROR(MATCH(campo,Referencia!$A$1:$AZ$1,0),0),
fila,IFERROR(MATCH(TO_TEXT(D708),ARRAYFORMULA"&amp;"(TO_TEXT(Referencia!$A$2:$A6238)),0),0),
IF(OR(campo="""",campo=""-""),""NO APLICA"",
IF(col=0,""REVISAR EQUIVALENCIA"",
IF(fila=0,""SKU NO ENCONTRADO"",
LET(
valor,INDEX(Referencia!$A$2:$AZ6238,fila,col),
IF(TRIM(TO_TEXT(valor))=TRIM(TO_TEXT(I708)),
""OK"&amp;""",
""NO COINCIDE. Valor verdadero: ""&amp;IF(valor="""",""[VACÍO]"",TO_TEXT(valor))
)
))))
),""ERROR EN FÓRMULA""))"),"NO APLICA")</f>
        <v>NO APLICA</v>
      </c>
    </row>
    <row r="709">
      <c r="A709" s="83" t="s">
        <v>4078</v>
      </c>
      <c r="B709" s="83" t="s">
        <v>4079</v>
      </c>
      <c r="C709" s="81" t="s">
        <v>4086</v>
      </c>
      <c r="D709" s="83" t="s">
        <v>4460</v>
      </c>
      <c r="E709" s="81" t="s">
        <v>2139</v>
      </c>
      <c r="F709" s="84">
        <v>410.0</v>
      </c>
      <c r="G709" s="81" t="s">
        <v>44</v>
      </c>
      <c r="H709" s="81" t="s">
        <v>224</v>
      </c>
      <c r="I709" s="81" t="s">
        <v>2127</v>
      </c>
      <c r="J709" s="81" t="s">
        <v>4088</v>
      </c>
      <c r="K709" s="81" t="str">
        <f>IFERROR(__xludf.DUMMYFUNCTION("IF(OR(D709="""",G709=""""),"""",IFERROR(LET(
campo,XLOOKUP(TRIM(G709),ARRAYFORMULA(TRIM('indice columnas'!$A$2:$A$100)),'indice columnas'!$B$2:$B$100,""""),
col,IFERROR(MATCH(campo,Referencia!$A$1:$AZ$1,0),0),
fila,IFERROR(MATCH(TO_TEXT(D709),ARRAYFORMULA"&amp;"(TO_TEXT(Referencia!$A$2:$A6238)),0),0),
IF(OR(campo="""",campo=""-""),""NO APLICA"",
IF(col=0,""REVISAR EQUIVALENCIA"",
IF(fila=0,""SKU NO ENCONTRADO"",
LET(
valor,INDEX(Referencia!$A$2:$AZ6238,fila,col),
IF(TRIM(TO_TEXT(valor))=TRIM(TO_TEXT(I709)),
""OK"&amp;""",
""NO COINCIDE. Valor verdadero: ""&amp;IF(valor="""",""[VACÍO]"",TO_TEXT(valor))
)
))))
),""ERROR EN FÓRMULA""))"),"NO APLICA")</f>
        <v>NO APLICA</v>
      </c>
    </row>
    <row r="710">
      <c r="A710" s="83" t="s">
        <v>4078</v>
      </c>
      <c r="B710" s="83" t="s">
        <v>4079</v>
      </c>
      <c r="C710" s="81" t="s">
        <v>4086</v>
      </c>
      <c r="D710" s="83" t="s">
        <v>4461</v>
      </c>
      <c r="E710" s="81" t="s">
        <v>2142</v>
      </c>
      <c r="F710" s="84">
        <v>411.0</v>
      </c>
      <c r="G710" s="81" t="s">
        <v>44</v>
      </c>
      <c r="H710" s="81" t="s">
        <v>224</v>
      </c>
      <c r="I710" s="81" t="s">
        <v>2127</v>
      </c>
      <c r="J710" s="81" t="s">
        <v>4088</v>
      </c>
      <c r="K710" s="81" t="str">
        <f>IFERROR(__xludf.DUMMYFUNCTION("IF(OR(D710="""",G710=""""),"""",IFERROR(LET(
campo,XLOOKUP(TRIM(G710),ARRAYFORMULA(TRIM('indice columnas'!$A$2:$A$100)),'indice columnas'!$B$2:$B$100,""""),
col,IFERROR(MATCH(campo,Referencia!$A$1:$AZ$1,0),0),
fila,IFERROR(MATCH(TO_TEXT(D710),ARRAYFORMULA"&amp;"(TO_TEXT(Referencia!$A$2:$A6238)),0),0),
IF(OR(campo="""",campo=""-""),""NO APLICA"",
IF(col=0,""REVISAR EQUIVALENCIA"",
IF(fila=0,""SKU NO ENCONTRADO"",
LET(
valor,INDEX(Referencia!$A$2:$AZ6238,fila,col),
IF(TRIM(TO_TEXT(valor))=TRIM(TO_TEXT(I710)),
""OK"&amp;""",
""NO COINCIDE. Valor verdadero: ""&amp;IF(valor="""",""[VACÍO]"",TO_TEXT(valor))
)
))))
),""ERROR EN FÓRMULA""))"),"NO APLICA")</f>
        <v>NO APLICA</v>
      </c>
    </row>
    <row r="711">
      <c r="A711" s="83" t="s">
        <v>4078</v>
      </c>
      <c r="B711" s="83" t="s">
        <v>4079</v>
      </c>
      <c r="C711" s="81" t="s">
        <v>4086</v>
      </c>
      <c r="D711" s="83" t="s">
        <v>4462</v>
      </c>
      <c r="E711" s="81" t="s">
        <v>2145</v>
      </c>
      <c r="F711" s="84">
        <v>412.0</v>
      </c>
      <c r="G711" s="81" t="s">
        <v>44</v>
      </c>
      <c r="H711" s="81" t="s">
        <v>224</v>
      </c>
      <c r="I711" s="81" t="s">
        <v>2127</v>
      </c>
      <c r="J711" s="81" t="s">
        <v>4088</v>
      </c>
      <c r="K711" s="81" t="str">
        <f>IFERROR(__xludf.DUMMYFUNCTION("IF(OR(D711="""",G711=""""),"""",IFERROR(LET(
campo,XLOOKUP(TRIM(G711),ARRAYFORMULA(TRIM('indice columnas'!$A$2:$A$100)),'indice columnas'!$B$2:$B$100,""""),
col,IFERROR(MATCH(campo,Referencia!$A$1:$AZ$1,0),0),
fila,IFERROR(MATCH(TO_TEXT(D711),ARRAYFORMULA"&amp;"(TO_TEXT(Referencia!$A$2:$A6238)),0),0),
IF(OR(campo="""",campo=""-""),""NO APLICA"",
IF(col=0,""REVISAR EQUIVALENCIA"",
IF(fila=0,""SKU NO ENCONTRADO"",
LET(
valor,INDEX(Referencia!$A$2:$AZ6238,fila,col),
IF(TRIM(TO_TEXT(valor))=TRIM(TO_TEXT(I711)),
""OK"&amp;""",
""NO COINCIDE. Valor verdadero: ""&amp;IF(valor="""",""[VACÍO]"",TO_TEXT(valor))
)
))))
),""ERROR EN FÓRMULA""))"),"NO APLICA")</f>
        <v>NO APLICA</v>
      </c>
    </row>
    <row r="712">
      <c r="A712" s="83" t="s">
        <v>4078</v>
      </c>
      <c r="B712" s="83" t="s">
        <v>4079</v>
      </c>
      <c r="C712" s="81" t="s">
        <v>4086</v>
      </c>
      <c r="D712" s="83" t="s">
        <v>4463</v>
      </c>
      <c r="E712" s="81" t="s">
        <v>2148</v>
      </c>
      <c r="F712" s="84">
        <v>413.0</v>
      </c>
      <c r="G712" s="81" t="s">
        <v>44</v>
      </c>
      <c r="H712" s="81" t="s">
        <v>4464</v>
      </c>
      <c r="I712" s="81" t="s">
        <v>2148</v>
      </c>
      <c r="J712" s="81" t="s">
        <v>4088</v>
      </c>
      <c r="K712" s="81" t="str">
        <f>IFERROR(__xludf.DUMMYFUNCTION("IF(OR(D712="""",G712=""""),"""",IFERROR(LET(
campo,XLOOKUP(TRIM(G712),ARRAYFORMULA(TRIM('indice columnas'!$A$2:$A$100)),'indice columnas'!$B$2:$B$100,""""),
col,IFERROR(MATCH(campo,Referencia!$A$1:$AZ$1,0),0),
fila,IFERROR(MATCH(TO_TEXT(D712),ARRAYFORMULA"&amp;"(TO_TEXT(Referencia!$A$2:$A6238)),0),0),
IF(OR(campo="""",campo=""-""),""NO APLICA"",
IF(col=0,""REVISAR EQUIVALENCIA"",
IF(fila=0,""SKU NO ENCONTRADO"",
LET(
valor,INDEX(Referencia!$A$2:$AZ6238,fila,col),
IF(TRIM(TO_TEXT(valor))=TRIM(TO_TEXT(I712)),
""OK"&amp;""",
""NO COINCIDE. Valor verdadero: ""&amp;IF(valor="""",""[VACÍO]"",TO_TEXT(valor))
)
))))
),""ERROR EN FÓRMULA""))"),"NO APLICA")</f>
        <v>NO APLICA</v>
      </c>
    </row>
    <row r="713">
      <c r="A713" s="83" t="s">
        <v>4078</v>
      </c>
      <c r="B713" s="83" t="s">
        <v>4079</v>
      </c>
      <c r="C713" s="81" t="s">
        <v>4086</v>
      </c>
      <c r="D713" s="83" t="s">
        <v>4463</v>
      </c>
      <c r="E713" s="81" t="s">
        <v>2160</v>
      </c>
      <c r="F713" s="84">
        <v>414.0</v>
      </c>
      <c r="G713" s="81" t="s">
        <v>44</v>
      </c>
      <c r="H713" s="81" t="s">
        <v>4464</v>
      </c>
      <c r="I713" s="81" t="s">
        <v>2148</v>
      </c>
      <c r="J713" s="81" t="s">
        <v>4088</v>
      </c>
      <c r="K713" s="81" t="str">
        <f>IFERROR(__xludf.DUMMYFUNCTION("IF(OR(D713="""",G713=""""),"""",IFERROR(LET(
campo,XLOOKUP(TRIM(G713),ARRAYFORMULA(TRIM('indice columnas'!$A$2:$A$100)),'indice columnas'!$B$2:$B$100,""""),
col,IFERROR(MATCH(campo,Referencia!$A$1:$AZ$1,0),0),
fila,IFERROR(MATCH(TO_TEXT(D713),ARRAYFORMULA"&amp;"(TO_TEXT(Referencia!$A$2:$A6238)),0),0),
IF(OR(campo="""",campo=""-""),""NO APLICA"",
IF(col=0,""REVISAR EQUIVALENCIA"",
IF(fila=0,""SKU NO ENCONTRADO"",
LET(
valor,INDEX(Referencia!$A$2:$AZ6238,fila,col),
IF(TRIM(TO_TEXT(valor))=TRIM(TO_TEXT(I713)),
""OK"&amp;""",
""NO COINCIDE. Valor verdadero: ""&amp;IF(valor="""",""[VACÍO]"",TO_TEXT(valor))
)
))))
),""ERROR EN FÓRMULA""))"),"NO APLICA")</f>
        <v>NO APLICA</v>
      </c>
    </row>
    <row r="714">
      <c r="A714" s="83" t="s">
        <v>4078</v>
      </c>
      <c r="B714" s="83" t="s">
        <v>4079</v>
      </c>
      <c r="C714" s="81" t="s">
        <v>4086</v>
      </c>
      <c r="D714" s="83" t="s">
        <v>4465</v>
      </c>
      <c r="E714" s="81" t="s">
        <v>2161</v>
      </c>
      <c r="F714" s="84">
        <v>415.0</v>
      </c>
      <c r="G714" s="81" t="s">
        <v>44</v>
      </c>
      <c r="H714" s="81" t="s">
        <v>4464</v>
      </c>
      <c r="I714" s="81" t="s">
        <v>2148</v>
      </c>
      <c r="J714" s="81" t="s">
        <v>4088</v>
      </c>
      <c r="K714" s="81" t="str">
        <f>IFERROR(__xludf.DUMMYFUNCTION("IF(OR(D714="""",G714=""""),"""",IFERROR(LET(
campo,XLOOKUP(TRIM(G714),ARRAYFORMULA(TRIM('indice columnas'!$A$2:$A$100)),'indice columnas'!$B$2:$B$100,""""),
col,IFERROR(MATCH(campo,Referencia!$A$1:$AZ$1,0),0),
fila,IFERROR(MATCH(TO_TEXT(D714),ARRAYFORMULA"&amp;"(TO_TEXT(Referencia!$A$2:$A6238)),0),0),
IF(OR(campo="""",campo=""-""),""NO APLICA"",
IF(col=0,""REVISAR EQUIVALENCIA"",
IF(fila=0,""SKU NO ENCONTRADO"",
LET(
valor,INDEX(Referencia!$A$2:$AZ6238,fila,col),
IF(TRIM(TO_TEXT(valor))=TRIM(TO_TEXT(I714)),
""OK"&amp;""",
""NO COINCIDE. Valor verdadero: ""&amp;IF(valor="""",""[VACÍO]"",TO_TEXT(valor))
)
))))
),""ERROR EN FÓRMULA""))"),"NO APLICA")</f>
        <v>NO APLICA</v>
      </c>
    </row>
    <row r="715">
      <c r="A715" s="83" t="s">
        <v>4078</v>
      </c>
      <c r="B715" s="83" t="s">
        <v>4079</v>
      </c>
      <c r="C715" s="81" t="s">
        <v>4086</v>
      </c>
      <c r="D715" s="83" t="s">
        <v>4466</v>
      </c>
      <c r="E715" s="81" t="s">
        <v>2164</v>
      </c>
      <c r="F715" s="84">
        <v>416.0</v>
      </c>
      <c r="G715" s="81" t="s">
        <v>44</v>
      </c>
      <c r="H715" s="81" t="s">
        <v>4467</v>
      </c>
      <c r="I715" s="81" t="s">
        <v>2164</v>
      </c>
      <c r="J715" s="81" t="s">
        <v>4088</v>
      </c>
      <c r="K715" s="81" t="str">
        <f>IFERROR(__xludf.DUMMYFUNCTION("IF(OR(D715="""",G715=""""),"""",IFERROR(LET(
campo,XLOOKUP(TRIM(G715),ARRAYFORMULA(TRIM('indice columnas'!$A$2:$A$100)),'indice columnas'!$B$2:$B$100,""""),
col,IFERROR(MATCH(campo,Referencia!$A$1:$AZ$1,0),0),
fila,IFERROR(MATCH(TO_TEXT(D715),ARRAYFORMULA"&amp;"(TO_TEXT(Referencia!$A$2:$A6238)),0),0),
IF(OR(campo="""",campo=""-""),""NO APLICA"",
IF(col=0,""REVISAR EQUIVALENCIA"",
IF(fila=0,""SKU NO ENCONTRADO"",
LET(
valor,INDEX(Referencia!$A$2:$AZ6238,fila,col),
IF(TRIM(TO_TEXT(valor))=TRIM(TO_TEXT(I715)),
""OK"&amp;""",
""NO COINCIDE. Valor verdadero: ""&amp;IF(valor="""",""[VACÍO]"",TO_TEXT(valor))
)
))))
),""ERROR EN FÓRMULA""))"),"NO APLICA")</f>
        <v>NO APLICA</v>
      </c>
    </row>
    <row r="716">
      <c r="A716" s="83" t="s">
        <v>4078</v>
      </c>
      <c r="B716" s="83" t="s">
        <v>4079</v>
      </c>
      <c r="C716" s="81" t="s">
        <v>4086</v>
      </c>
      <c r="D716" s="83" t="s">
        <v>4466</v>
      </c>
      <c r="E716" s="81" t="s">
        <v>2178</v>
      </c>
      <c r="F716" s="84">
        <v>417.0</v>
      </c>
      <c r="G716" s="81" t="s">
        <v>44</v>
      </c>
      <c r="H716" s="81" t="s">
        <v>4467</v>
      </c>
      <c r="I716" s="81" t="s">
        <v>2164</v>
      </c>
      <c r="J716" s="81" t="s">
        <v>4088</v>
      </c>
      <c r="K716" s="81" t="str">
        <f>IFERROR(__xludf.DUMMYFUNCTION("IF(OR(D716="""",G716=""""),"""",IFERROR(LET(
campo,XLOOKUP(TRIM(G716),ARRAYFORMULA(TRIM('indice columnas'!$A$2:$A$100)),'indice columnas'!$B$2:$B$100,""""),
col,IFERROR(MATCH(campo,Referencia!$A$1:$AZ$1,0),0),
fila,IFERROR(MATCH(TO_TEXT(D716),ARRAYFORMULA"&amp;"(TO_TEXT(Referencia!$A$2:$A6238)),0),0),
IF(OR(campo="""",campo=""-""),""NO APLICA"",
IF(col=0,""REVISAR EQUIVALENCIA"",
IF(fila=0,""SKU NO ENCONTRADO"",
LET(
valor,INDEX(Referencia!$A$2:$AZ6238,fila,col),
IF(TRIM(TO_TEXT(valor))=TRIM(TO_TEXT(I716)),
""OK"&amp;""",
""NO COINCIDE. Valor verdadero: ""&amp;IF(valor="""",""[VACÍO]"",TO_TEXT(valor))
)
))))
),""ERROR EN FÓRMULA""))"),"NO APLICA")</f>
        <v>NO APLICA</v>
      </c>
    </row>
    <row r="717">
      <c r="A717" s="83" t="s">
        <v>4078</v>
      </c>
      <c r="B717" s="83" t="s">
        <v>4079</v>
      </c>
      <c r="C717" s="81" t="s">
        <v>4086</v>
      </c>
      <c r="D717" s="83" t="s">
        <v>4468</v>
      </c>
      <c r="E717" s="81" t="s">
        <v>2179</v>
      </c>
      <c r="F717" s="84">
        <v>418.0</v>
      </c>
      <c r="G717" s="81" t="s">
        <v>44</v>
      </c>
      <c r="H717" s="81" t="s">
        <v>4467</v>
      </c>
      <c r="I717" s="81" t="s">
        <v>2164</v>
      </c>
      <c r="J717" s="81" t="s">
        <v>4088</v>
      </c>
      <c r="K717" s="81" t="str">
        <f>IFERROR(__xludf.DUMMYFUNCTION("IF(OR(D717="""",G717=""""),"""",IFERROR(LET(
campo,XLOOKUP(TRIM(G717),ARRAYFORMULA(TRIM('indice columnas'!$A$2:$A$100)),'indice columnas'!$B$2:$B$100,""""),
col,IFERROR(MATCH(campo,Referencia!$A$1:$AZ$1,0),0),
fila,IFERROR(MATCH(TO_TEXT(D717),ARRAYFORMULA"&amp;"(TO_TEXT(Referencia!$A$2:$A6238)),0),0),
IF(OR(campo="""",campo=""-""),""NO APLICA"",
IF(col=0,""REVISAR EQUIVALENCIA"",
IF(fila=0,""SKU NO ENCONTRADO"",
LET(
valor,INDEX(Referencia!$A$2:$AZ6238,fila,col),
IF(TRIM(TO_TEXT(valor))=TRIM(TO_TEXT(I717)),
""OK"&amp;""",
""NO COINCIDE. Valor verdadero: ""&amp;IF(valor="""",""[VACÍO]"",TO_TEXT(valor))
)
))))
),""ERROR EN FÓRMULA""))"),"NO APLICA")</f>
        <v>NO APLICA</v>
      </c>
    </row>
    <row r="718">
      <c r="A718" s="83" t="s">
        <v>4078</v>
      </c>
      <c r="B718" s="83" t="s">
        <v>4079</v>
      </c>
      <c r="C718" s="81" t="s">
        <v>4086</v>
      </c>
      <c r="D718" s="83" t="s">
        <v>4469</v>
      </c>
      <c r="E718" s="81" t="s">
        <v>2183</v>
      </c>
      <c r="F718" s="84">
        <v>419.0</v>
      </c>
      <c r="G718" s="81" t="s">
        <v>44</v>
      </c>
      <c r="H718" s="81" t="s">
        <v>4470</v>
      </c>
      <c r="I718" s="81" t="s">
        <v>2183</v>
      </c>
      <c r="J718" s="81" t="s">
        <v>4088</v>
      </c>
      <c r="K718" s="81" t="str">
        <f>IFERROR(__xludf.DUMMYFUNCTION("IF(OR(D718="""",G718=""""),"""",IFERROR(LET(
campo,XLOOKUP(TRIM(G718),ARRAYFORMULA(TRIM('indice columnas'!$A$2:$A$100)),'indice columnas'!$B$2:$B$100,""""),
col,IFERROR(MATCH(campo,Referencia!$A$1:$AZ$1,0),0),
fila,IFERROR(MATCH(TO_TEXT(D718),ARRAYFORMULA"&amp;"(TO_TEXT(Referencia!$A$2:$A6238)),0),0),
IF(OR(campo="""",campo=""-""),""NO APLICA"",
IF(col=0,""REVISAR EQUIVALENCIA"",
IF(fila=0,""SKU NO ENCONTRADO"",
LET(
valor,INDEX(Referencia!$A$2:$AZ6238,fila,col),
IF(TRIM(TO_TEXT(valor))=TRIM(TO_TEXT(I718)),
""OK"&amp;""",
""NO COINCIDE. Valor verdadero: ""&amp;IF(valor="""",""[VACÍO]"",TO_TEXT(valor))
)
))))
),""ERROR EN FÓRMULA""))"),"NO APLICA")</f>
        <v>NO APLICA</v>
      </c>
    </row>
    <row r="719">
      <c r="A719" s="83" t="s">
        <v>4078</v>
      </c>
      <c r="B719" s="83" t="s">
        <v>4079</v>
      </c>
      <c r="C719" s="81" t="s">
        <v>4086</v>
      </c>
      <c r="D719" s="83" t="s">
        <v>4469</v>
      </c>
      <c r="E719" s="81" t="s">
        <v>2195</v>
      </c>
      <c r="F719" s="84">
        <v>420.0</v>
      </c>
      <c r="G719" s="81" t="s">
        <v>44</v>
      </c>
      <c r="H719" s="81" t="s">
        <v>4470</v>
      </c>
      <c r="I719" s="81" t="s">
        <v>2183</v>
      </c>
      <c r="J719" s="81" t="s">
        <v>4088</v>
      </c>
      <c r="K719" s="81" t="str">
        <f>IFERROR(__xludf.DUMMYFUNCTION("IF(OR(D719="""",G719=""""),"""",IFERROR(LET(
campo,XLOOKUP(TRIM(G719),ARRAYFORMULA(TRIM('indice columnas'!$A$2:$A$100)),'indice columnas'!$B$2:$B$100,""""),
col,IFERROR(MATCH(campo,Referencia!$A$1:$AZ$1,0),0),
fila,IFERROR(MATCH(TO_TEXT(D719),ARRAYFORMULA"&amp;"(TO_TEXT(Referencia!$A$2:$A6238)),0),0),
IF(OR(campo="""",campo=""-""),""NO APLICA"",
IF(col=0,""REVISAR EQUIVALENCIA"",
IF(fila=0,""SKU NO ENCONTRADO"",
LET(
valor,INDEX(Referencia!$A$2:$AZ6238,fila,col),
IF(TRIM(TO_TEXT(valor))=TRIM(TO_TEXT(I719)),
""OK"&amp;""",
""NO COINCIDE. Valor verdadero: ""&amp;IF(valor="""",""[VACÍO]"",TO_TEXT(valor))
)
))))
),""ERROR EN FÓRMULA""))"),"NO APLICA")</f>
        <v>NO APLICA</v>
      </c>
    </row>
    <row r="720">
      <c r="A720" s="83" t="s">
        <v>4078</v>
      </c>
      <c r="B720" s="83" t="s">
        <v>4079</v>
      </c>
      <c r="C720" s="81" t="s">
        <v>4086</v>
      </c>
      <c r="D720" s="83" t="s">
        <v>4471</v>
      </c>
      <c r="E720" s="81" t="s">
        <v>2196</v>
      </c>
      <c r="F720" s="84">
        <v>421.0</v>
      </c>
      <c r="G720" s="81" t="s">
        <v>44</v>
      </c>
      <c r="H720" s="81" t="s">
        <v>4470</v>
      </c>
      <c r="I720" s="81" t="s">
        <v>2183</v>
      </c>
      <c r="J720" s="81" t="s">
        <v>4088</v>
      </c>
      <c r="K720" s="81" t="str">
        <f>IFERROR(__xludf.DUMMYFUNCTION("IF(OR(D720="""",G720=""""),"""",IFERROR(LET(
campo,XLOOKUP(TRIM(G720),ARRAYFORMULA(TRIM('indice columnas'!$A$2:$A$100)),'indice columnas'!$B$2:$B$100,""""),
col,IFERROR(MATCH(campo,Referencia!$A$1:$AZ$1,0),0),
fila,IFERROR(MATCH(TO_TEXT(D720),ARRAYFORMULA"&amp;"(TO_TEXT(Referencia!$A$2:$A6238)),0),0),
IF(OR(campo="""",campo=""-""),""NO APLICA"",
IF(col=0,""REVISAR EQUIVALENCIA"",
IF(fila=0,""SKU NO ENCONTRADO"",
LET(
valor,INDEX(Referencia!$A$2:$AZ6238,fila,col),
IF(TRIM(TO_TEXT(valor))=TRIM(TO_TEXT(I720)),
""OK"&amp;""",
""NO COINCIDE. Valor verdadero: ""&amp;IF(valor="""",""[VACÍO]"",TO_TEXT(valor))
)
))))
),""ERROR EN FÓRMULA""))"),"NO APLICA")</f>
        <v>NO APLICA</v>
      </c>
    </row>
    <row r="721">
      <c r="A721" s="83" t="s">
        <v>4078</v>
      </c>
      <c r="B721" s="83" t="s">
        <v>4079</v>
      </c>
      <c r="C721" s="81" t="s">
        <v>4086</v>
      </c>
      <c r="D721" s="83" t="s">
        <v>4472</v>
      </c>
      <c r="E721" s="81" t="s">
        <v>2199</v>
      </c>
      <c r="F721" s="84">
        <v>422.0</v>
      </c>
      <c r="G721" s="81" t="s">
        <v>44</v>
      </c>
      <c r="H721" s="81" t="s">
        <v>4473</v>
      </c>
      <c r="I721" s="81" t="s">
        <v>2199</v>
      </c>
      <c r="J721" s="81" t="s">
        <v>4088</v>
      </c>
      <c r="K721" s="81" t="str">
        <f>IFERROR(__xludf.DUMMYFUNCTION("IF(OR(D721="""",G721=""""),"""",IFERROR(LET(
campo,XLOOKUP(TRIM(G721),ARRAYFORMULA(TRIM('indice columnas'!$A$2:$A$100)),'indice columnas'!$B$2:$B$100,""""),
col,IFERROR(MATCH(campo,Referencia!$A$1:$AZ$1,0),0),
fila,IFERROR(MATCH(TO_TEXT(D721),ARRAYFORMULA"&amp;"(TO_TEXT(Referencia!$A$2:$A6238)),0),0),
IF(OR(campo="""",campo=""-""),""NO APLICA"",
IF(col=0,""REVISAR EQUIVALENCIA"",
IF(fila=0,""SKU NO ENCONTRADO"",
LET(
valor,INDEX(Referencia!$A$2:$AZ6238,fila,col),
IF(TRIM(TO_TEXT(valor))=TRIM(TO_TEXT(I721)),
""OK"&amp;""",
""NO COINCIDE. Valor verdadero: ""&amp;IF(valor="""",""[VACÍO]"",TO_TEXT(valor))
)
))))
),""ERROR EN FÓRMULA""))"),"NO APLICA")</f>
        <v>NO APLICA</v>
      </c>
    </row>
    <row r="722">
      <c r="A722" s="83" t="s">
        <v>4078</v>
      </c>
      <c r="B722" s="83" t="s">
        <v>4079</v>
      </c>
      <c r="C722" s="81" t="s">
        <v>4086</v>
      </c>
      <c r="D722" s="83" t="s">
        <v>4472</v>
      </c>
      <c r="E722" s="81" t="s">
        <v>2208</v>
      </c>
      <c r="F722" s="84">
        <v>423.0</v>
      </c>
      <c r="G722" s="81" t="s">
        <v>44</v>
      </c>
      <c r="H722" s="81" t="s">
        <v>4473</v>
      </c>
      <c r="I722" s="81" t="s">
        <v>2199</v>
      </c>
      <c r="J722" s="81" t="s">
        <v>4088</v>
      </c>
      <c r="K722" s="81" t="str">
        <f>IFERROR(__xludf.DUMMYFUNCTION("IF(OR(D722="""",G722=""""),"""",IFERROR(LET(
campo,XLOOKUP(TRIM(G722),ARRAYFORMULA(TRIM('indice columnas'!$A$2:$A$100)),'indice columnas'!$B$2:$B$100,""""),
col,IFERROR(MATCH(campo,Referencia!$A$1:$AZ$1,0),0),
fila,IFERROR(MATCH(TO_TEXT(D722),ARRAYFORMULA"&amp;"(TO_TEXT(Referencia!$A$2:$A6238)),0),0),
IF(OR(campo="""",campo=""-""),""NO APLICA"",
IF(col=0,""REVISAR EQUIVALENCIA"",
IF(fila=0,""SKU NO ENCONTRADO"",
LET(
valor,INDEX(Referencia!$A$2:$AZ6238,fila,col),
IF(TRIM(TO_TEXT(valor))=TRIM(TO_TEXT(I722)),
""OK"&amp;""",
""NO COINCIDE. Valor verdadero: ""&amp;IF(valor="""",""[VACÍO]"",TO_TEXT(valor))
)
))))
),""ERROR EN FÓRMULA""))"),"NO APLICA")</f>
        <v>NO APLICA</v>
      </c>
    </row>
    <row r="723">
      <c r="A723" s="83" t="s">
        <v>4078</v>
      </c>
      <c r="B723" s="83" t="s">
        <v>4079</v>
      </c>
      <c r="C723" s="81" t="s">
        <v>4086</v>
      </c>
      <c r="D723" s="83" t="s">
        <v>4474</v>
      </c>
      <c r="E723" s="81" t="s">
        <v>2209</v>
      </c>
      <c r="F723" s="84">
        <v>424.0</v>
      </c>
      <c r="G723" s="81" t="s">
        <v>44</v>
      </c>
      <c r="H723" s="81" t="s">
        <v>4473</v>
      </c>
      <c r="I723" s="81" t="s">
        <v>2199</v>
      </c>
      <c r="J723" s="81" t="s">
        <v>4088</v>
      </c>
      <c r="K723" s="81" t="str">
        <f>IFERROR(__xludf.DUMMYFUNCTION("IF(OR(D723="""",G723=""""),"""",IFERROR(LET(
campo,XLOOKUP(TRIM(G723),ARRAYFORMULA(TRIM('indice columnas'!$A$2:$A$100)),'indice columnas'!$B$2:$B$100,""""),
col,IFERROR(MATCH(campo,Referencia!$A$1:$AZ$1,0),0),
fila,IFERROR(MATCH(TO_TEXT(D723),ARRAYFORMULA"&amp;"(TO_TEXT(Referencia!$A$2:$A6238)),0),0),
IF(OR(campo="""",campo=""-""),""NO APLICA"",
IF(col=0,""REVISAR EQUIVALENCIA"",
IF(fila=0,""SKU NO ENCONTRADO"",
LET(
valor,INDEX(Referencia!$A$2:$AZ6238,fila,col),
IF(TRIM(TO_TEXT(valor))=TRIM(TO_TEXT(I723)),
""OK"&amp;""",
""NO COINCIDE. Valor verdadero: ""&amp;IF(valor="""",""[VACÍO]"",TO_TEXT(valor))
)
))))
),""ERROR EN FÓRMULA""))"),"NO APLICA")</f>
        <v>NO APLICA</v>
      </c>
    </row>
    <row r="724">
      <c r="A724" s="83" t="s">
        <v>4078</v>
      </c>
      <c r="B724" s="83" t="s">
        <v>4079</v>
      </c>
      <c r="C724" s="81" t="s">
        <v>4086</v>
      </c>
      <c r="D724" s="83" t="s">
        <v>4475</v>
      </c>
      <c r="E724" s="81" t="s">
        <v>2212</v>
      </c>
      <c r="F724" s="84">
        <v>425.0</v>
      </c>
      <c r="G724" s="81" t="s">
        <v>44</v>
      </c>
      <c r="H724" s="81" t="s">
        <v>4476</v>
      </c>
      <c r="I724" s="81" t="s">
        <v>2226</v>
      </c>
      <c r="J724" s="81" t="s">
        <v>4088</v>
      </c>
      <c r="K724" s="81" t="str">
        <f>IFERROR(__xludf.DUMMYFUNCTION("IF(OR(D724="""",G724=""""),"""",IFERROR(LET(
campo,XLOOKUP(TRIM(G724),ARRAYFORMULA(TRIM('indice columnas'!$A$2:$A$100)),'indice columnas'!$B$2:$B$100,""""),
col,IFERROR(MATCH(campo,Referencia!$A$1:$AZ$1,0),0),
fila,IFERROR(MATCH(TO_TEXT(D724),ARRAYFORMULA"&amp;"(TO_TEXT(Referencia!$A$2:$A6238)),0),0),
IF(OR(campo="""",campo=""-""),""NO APLICA"",
IF(col=0,""REVISAR EQUIVALENCIA"",
IF(fila=0,""SKU NO ENCONTRADO"",
LET(
valor,INDEX(Referencia!$A$2:$AZ6238,fila,col),
IF(TRIM(TO_TEXT(valor))=TRIM(TO_TEXT(I724)),
""OK"&amp;""",
""NO COINCIDE. Valor verdadero: ""&amp;IF(valor="""",""[VACÍO]"",TO_TEXT(valor))
)
))))
),""ERROR EN FÓRMULA""))"),"NO APLICA")</f>
        <v>NO APLICA</v>
      </c>
    </row>
    <row r="725">
      <c r="A725" s="83" t="s">
        <v>4078</v>
      </c>
      <c r="B725" s="83" t="s">
        <v>4079</v>
      </c>
      <c r="C725" s="81" t="s">
        <v>4086</v>
      </c>
      <c r="D725" s="83" t="s">
        <v>4475</v>
      </c>
      <c r="E725" s="81" t="s">
        <v>2225</v>
      </c>
      <c r="F725" s="84">
        <v>426.0</v>
      </c>
      <c r="G725" s="81" t="s">
        <v>44</v>
      </c>
      <c r="H725" s="81" t="s">
        <v>4476</v>
      </c>
      <c r="I725" s="81" t="s">
        <v>2226</v>
      </c>
      <c r="J725" s="81" t="s">
        <v>4088</v>
      </c>
      <c r="K725" s="81" t="str">
        <f>IFERROR(__xludf.DUMMYFUNCTION("IF(OR(D725="""",G725=""""),"""",IFERROR(LET(
campo,XLOOKUP(TRIM(G725),ARRAYFORMULA(TRIM('indice columnas'!$A$2:$A$100)),'indice columnas'!$B$2:$B$100,""""),
col,IFERROR(MATCH(campo,Referencia!$A$1:$AZ$1,0),0),
fila,IFERROR(MATCH(TO_TEXT(D725),ARRAYFORMULA"&amp;"(TO_TEXT(Referencia!$A$2:$A6238)),0),0),
IF(OR(campo="""",campo=""-""),""NO APLICA"",
IF(col=0,""REVISAR EQUIVALENCIA"",
IF(fila=0,""SKU NO ENCONTRADO"",
LET(
valor,INDEX(Referencia!$A$2:$AZ6238,fila,col),
IF(TRIM(TO_TEXT(valor))=TRIM(TO_TEXT(I725)),
""OK"&amp;""",
""NO COINCIDE. Valor verdadero: ""&amp;IF(valor="""",""[VACÍO]"",TO_TEXT(valor))
)
))))
),""ERROR EN FÓRMULA""))"),"NO APLICA")</f>
        <v>NO APLICA</v>
      </c>
    </row>
    <row r="726">
      <c r="A726" s="83" t="s">
        <v>4078</v>
      </c>
      <c r="B726" s="83" t="s">
        <v>4079</v>
      </c>
      <c r="C726" s="81" t="s">
        <v>4086</v>
      </c>
      <c r="D726" s="83" t="s">
        <v>4477</v>
      </c>
      <c r="E726" s="81" t="s">
        <v>2227</v>
      </c>
      <c r="F726" s="84">
        <v>427.0</v>
      </c>
      <c r="G726" s="81" t="s">
        <v>44</v>
      </c>
      <c r="H726" s="81" t="s">
        <v>4476</v>
      </c>
      <c r="I726" s="81" t="s">
        <v>2226</v>
      </c>
      <c r="J726" s="81" t="s">
        <v>4088</v>
      </c>
      <c r="K726" s="81" t="str">
        <f>IFERROR(__xludf.DUMMYFUNCTION("IF(OR(D726="""",G726=""""),"""",IFERROR(LET(
campo,XLOOKUP(TRIM(G726),ARRAYFORMULA(TRIM('indice columnas'!$A$2:$A$100)),'indice columnas'!$B$2:$B$100,""""),
col,IFERROR(MATCH(campo,Referencia!$A$1:$AZ$1,0),0),
fila,IFERROR(MATCH(TO_TEXT(D726),ARRAYFORMULA"&amp;"(TO_TEXT(Referencia!$A$2:$A6238)),0),0),
IF(OR(campo="""",campo=""-""),""NO APLICA"",
IF(col=0,""REVISAR EQUIVALENCIA"",
IF(fila=0,""SKU NO ENCONTRADO"",
LET(
valor,INDEX(Referencia!$A$2:$AZ6238,fila,col),
IF(TRIM(TO_TEXT(valor))=TRIM(TO_TEXT(I726)),
""OK"&amp;""",
""NO COINCIDE. Valor verdadero: ""&amp;IF(valor="""",""[VACÍO]"",TO_TEXT(valor))
)
))))
),""ERROR EN FÓRMULA""))"),"NO APLICA")</f>
        <v>NO APLICA</v>
      </c>
    </row>
    <row r="727">
      <c r="A727" s="83" t="s">
        <v>4078</v>
      </c>
      <c r="B727" s="83" t="s">
        <v>4079</v>
      </c>
      <c r="C727" s="81" t="s">
        <v>4086</v>
      </c>
      <c r="D727" s="83" t="s">
        <v>4478</v>
      </c>
      <c r="E727" s="81" t="s">
        <v>2230</v>
      </c>
      <c r="F727" s="84">
        <v>428.0</v>
      </c>
      <c r="G727" s="81" t="s">
        <v>44</v>
      </c>
      <c r="H727" s="81" t="s">
        <v>4479</v>
      </c>
      <c r="I727" s="81" t="s">
        <v>4480</v>
      </c>
      <c r="J727" s="81" t="s">
        <v>4088</v>
      </c>
      <c r="K727" s="81" t="str">
        <f>IFERROR(__xludf.DUMMYFUNCTION("IF(OR(D727="""",G727=""""),"""",IFERROR(LET(
campo,XLOOKUP(TRIM(G727),ARRAYFORMULA(TRIM('indice columnas'!$A$2:$A$100)),'indice columnas'!$B$2:$B$100,""""),
col,IFERROR(MATCH(campo,Referencia!$A$1:$AZ$1,0),0),
fila,IFERROR(MATCH(TO_TEXT(D727),ARRAYFORMULA"&amp;"(TO_TEXT(Referencia!$A$2:$A6238)),0),0),
IF(OR(campo="""",campo=""-""),""NO APLICA"",
IF(col=0,""REVISAR EQUIVALENCIA"",
IF(fila=0,""SKU NO ENCONTRADO"",
LET(
valor,INDEX(Referencia!$A$2:$AZ6238,fila,col),
IF(TRIM(TO_TEXT(valor))=TRIM(TO_TEXT(I727)),
""OK"&amp;""",
""NO COINCIDE. Valor verdadero: ""&amp;IF(valor="""",""[VACÍO]"",TO_TEXT(valor))
)
))))
),""ERROR EN FÓRMULA""))"),"NO APLICA")</f>
        <v>NO APLICA</v>
      </c>
    </row>
    <row r="728">
      <c r="A728" s="83" t="s">
        <v>4078</v>
      </c>
      <c r="B728" s="83" t="s">
        <v>4079</v>
      </c>
      <c r="C728" s="81" t="s">
        <v>4086</v>
      </c>
      <c r="D728" s="83" t="s">
        <v>4478</v>
      </c>
      <c r="E728" s="81" t="s">
        <v>2241</v>
      </c>
      <c r="F728" s="84">
        <v>429.0</v>
      </c>
      <c r="G728" s="81" t="s">
        <v>44</v>
      </c>
      <c r="H728" s="81" t="s">
        <v>4479</v>
      </c>
      <c r="I728" s="81" t="s">
        <v>4480</v>
      </c>
      <c r="J728" s="81" t="s">
        <v>4088</v>
      </c>
      <c r="K728" s="81" t="str">
        <f>IFERROR(__xludf.DUMMYFUNCTION("IF(OR(D728="""",G728=""""),"""",IFERROR(LET(
campo,XLOOKUP(TRIM(G728),ARRAYFORMULA(TRIM('indice columnas'!$A$2:$A$100)),'indice columnas'!$B$2:$B$100,""""),
col,IFERROR(MATCH(campo,Referencia!$A$1:$AZ$1,0),0),
fila,IFERROR(MATCH(TO_TEXT(D728),ARRAYFORMULA"&amp;"(TO_TEXT(Referencia!$A$2:$A6238)),0),0),
IF(OR(campo="""",campo=""-""),""NO APLICA"",
IF(col=0,""REVISAR EQUIVALENCIA"",
IF(fila=0,""SKU NO ENCONTRADO"",
LET(
valor,INDEX(Referencia!$A$2:$AZ6238,fila,col),
IF(TRIM(TO_TEXT(valor))=TRIM(TO_TEXT(I728)),
""OK"&amp;""",
""NO COINCIDE. Valor verdadero: ""&amp;IF(valor="""",""[VACÍO]"",TO_TEXT(valor))
)
))))
),""ERROR EN FÓRMULA""))"),"NO APLICA")</f>
        <v>NO APLICA</v>
      </c>
    </row>
    <row r="729">
      <c r="A729" s="83" t="s">
        <v>4078</v>
      </c>
      <c r="B729" s="83" t="s">
        <v>4079</v>
      </c>
      <c r="C729" s="81" t="s">
        <v>4086</v>
      </c>
      <c r="D729" s="83" t="s">
        <v>4481</v>
      </c>
      <c r="E729" s="81" t="s">
        <v>2242</v>
      </c>
      <c r="F729" s="84">
        <v>430.0</v>
      </c>
      <c r="G729" s="81" t="s">
        <v>44</v>
      </c>
      <c r="H729" s="81" t="s">
        <v>4479</v>
      </c>
      <c r="I729" s="81" t="s">
        <v>4480</v>
      </c>
      <c r="J729" s="81" t="s">
        <v>4088</v>
      </c>
      <c r="K729" s="81" t="str">
        <f>IFERROR(__xludf.DUMMYFUNCTION("IF(OR(D729="""",G729=""""),"""",IFERROR(LET(
campo,XLOOKUP(TRIM(G729),ARRAYFORMULA(TRIM('indice columnas'!$A$2:$A$100)),'indice columnas'!$B$2:$B$100,""""),
col,IFERROR(MATCH(campo,Referencia!$A$1:$AZ$1,0),0),
fila,IFERROR(MATCH(TO_TEXT(D729),ARRAYFORMULA"&amp;"(TO_TEXT(Referencia!$A$2:$A6238)),0),0),
IF(OR(campo="""",campo=""-""),""NO APLICA"",
IF(col=0,""REVISAR EQUIVALENCIA"",
IF(fila=0,""SKU NO ENCONTRADO"",
LET(
valor,INDEX(Referencia!$A$2:$AZ6238,fila,col),
IF(TRIM(TO_TEXT(valor))=TRIM(TO_TEXT(I729)),
""OK"&amp;""",
""NO COINCIDE. Valor verdadero: ""&amp;IF(valor="""",""[VACÍO]"",TO_TEXT(valor))
)
))))
),""ERROR EN FÓRMULA""))"),"NO APLICA")</f>
        <v>NO APLICA</v>
      </c>
    </row>
    <row r="730">
      <c r="A730" s="83" t="s">
        <v>4078</v>
      </c>
      <c r="B730" s="83" t="s">
        <v>4079</v>
      </c>
      <c r="C730" s="81" t="s">
        <v>4086</v>
      </c>
      <c r="D730" s="83" t="s">
        <v>4482</v>
      </c>
      <c r="E730" s="81" t="s">
        <v>2245</v>
      </c>
      <c r="F730" s="84">
        <v>431.0</v>
      </c>
      <c r="G730" s="81" t="s">
        <v>44</v>
      </c>
      <c r="H730" s="81" t="s">
        <v>4479</v>
      </c>
      <c r="I730" s="81" t="s">
        <v>4480</v>
      </c>
      <c r="J730" s="81" t="s">
        <v>4088</v>
      </c>
      <c r="K730" s="81" t="str">
        <f>IFERROR(__xludf.DUMMYFUNCTION("IF(OR(D730="""",G730=""""),"""",IFERROR(LET(
campo,XLOOKUP(TRIM(G730),ARRAYFORMULA(TRIM('indice columnas'!$A$2:$A$100)),'indice columnas'!$B$2:$B$100,""""),
col,IFERROR(MATCH(campo,Referencia!$A$1:$AZ$1,0),0),
fila,IFERROR(MATCH(TO_TEXT(D730),ARRAYFORMULA"&amp;"(TO_TEXT(Referencia!$A$2:$A6238)),0),0),
IF(OR(campo="""",campo=""-""),""NO APLICA"",
IF(col=0,""REVISAR EQUIVALENCIA"",
IF(fila=0,""SKU NO ENCONTRADO"",
LET(
valor,INDEX(Referencia!$A$2:$AZ6238,fila,col),
IF(TRIM(TO_TEXT(valor))=TRIM(TO_TEXT(I730)),
""OK"&amp;""",
""NO COINCIDE. Valor verdadero: ""&amp;IF(valor="""",""[VACÍO]"",TO_TEXT(valor))
)
))))
),""ERROR EN FÓRMULA""))"),"NO APLICA")</f>
        <v>NO APLICA</v>
      </c>
    </row>
    <row r="731">
      <c r="A731" s="83" t="s">
        <v>4078</v>
      </c>
      <c r="B731" s="83" t="s">
        <v>4079</v>
      </c>
      <c r="C731" s="81" t="s">
        <v>4086</v>
      </c>
      <c r="D731" s="83" t="s">
        <v>4483</v>
      </c>
      <c r="E731" s="81" t="s">
        <v>2254</v>
      </c>
      <c r="F731" s="84">
        <v>432.0</v>
      </c>
      <c r="G731" s="81" t="s">
        <v>44</v>
      </c>
      <c r="H731" s="81" t="s">
        <v>4479</v>
      </c>
      <c r="I731" s="81" t="s">
        <v>4480</v>
      </c>
      <c r="J731" s="81" t="s">
        <v>4088</v>
      </c>
      <c r="K731" s="81" t="str">
        <f>IFERROR(__xludf.DUMMYFUNCTION("IF(OR(D731="""",G731=""""),"""",IFERROR(LET(
campo,XLOOKUP(TRIM(G731),ARRAYFORMULA(TRIM('indice columnas'!$A$2:$A$100)),'indice columnas'!$B$2:$B$100,""""),
col,IFERROR(MATCH(campo,Referencia!$A$1:$AZ$1,0),0),
fila,IFERROR(MATCH(TO_TEXT(D731),ARRAYFORMULA"&amp;"(TO_TEXT(Referencia!$A$2:$A6238)),0),0),
IF(OR(campo="""",campo=""-""),""NO APLICA"",
IF(col=0,""REVISAR EQUIVALENCIA"",
IF(fila=0,""SKU NO ENCONTRADO"",
LET(
valor,INDEX(Referencia!$A$2:$AZ6238,fila,col),
IF(TRIM(TO_TEXT(valor))=TRIM(TO_TEXT(I731)),
""OK"&amp;""",
""NO COINCIDE. Valor verdadero: ""&amp;IF(valor="""",""[VACÍO]"",TO_TEXT(valor))
)
))))
),""ERROR EN FÓRMULA""))"),"NO APLICA")</f>
        <v>NO APLICA</v>
      </c>
    </row>
    <row r="732">
      <c r="A732" s="83" t="s">
        <v>4078</v>
      </c>
      <c r="B732" s="83" t="s">
        <v>4079</v>
      </c>
      <c r="C732" s="81" t="s">
        <v>4086</v>
      </c>
      <c r="D732" s="83" t="s">
        <v>4484</v>
      </c>
      <c r="E732" s="81" t="s">
        <v>2256</v>
      </c>
      <c r="F732" s="84">
        <v>433.0</v>
      </c>
      <c r="G732" s="81" t="s">
        <v>44</v>
      </c>
      <c r="H732" s="81" t="s">
        <v>4485</v>
      </c>
      <c r="I732" s="81" t="s">
        <v>2256</v>
      </c>
      <c r="J732" s="81" t="s">
        <v>4088</v>
      </c>
      <c r="K732" s="81" t="str">
        <f>IFERROR(__xludf.DUMMYFUNCTION("IF(OR(D732="""",G732=""""),"""",IFERROR(LET(
campo,XLOOKUP(TRIM(G732),ARRAYFORMULA(TRIM('indice columnas'!$A$2:$A$100)),'indice columnas'!$B$2:$B$100,""""),
col,IFERROR(MATCH(campo,Referencia!$A$1:$AZ$1,0),0),
fila,IFERROR(MATCH(TO_TEXT(D732),ARRAYFORMULA"&amp;"(TO_TEXT(Referencia!$A$2:$A6238)),0),0),
IF(OR(campo="""",campo=""-""),""NO APLICA"",
IF(col=0,""REVISAR EQUIVALENCIA"",
IF(fila=0,""SKU NO ENCONTRADO"",
LET(
valor,INDEX(Referencia!$A$2:$AZ6238,fila,col),
IF(TRIM(TO_TEXT(valor))=TRIM(TO_TEXT(I732)),
""OK"&amp;""",
""NO COINCIDE. Valor verdadero: ""&amp;IF(valor="""",""[VACÍO]"",TO_TEXT(valor))
)
))))
),""ERROR EN FÓRMULA""))"),"NO APLICA")</f>
        <v>NO APLICA</v>
      </c>
    </row>
    <row r="733">
      <c r="A733" s="83" t="s">
        <v>4078</v>
      </c>
      <c r="B733" s="83" t="s">
        <v>4079</v>
      </c>
      <c r="C733" s="81" t="s">
        <v>4086</v>
      </c>
      <c r="D733" s="83" t="s">
        <v>4484</v>
      </c>
      <c r="E733" s="81" t="s">
        <v>2267</v>
      </c>
      <c r="F733" s="84">
        <v>434.0</v>
      </c>
      <c r="G733" s="81" t="s">
        <v>44</v>
      </c>
      <c r="H733" s="81" t="s">
        <v>4485</v>
      </c>
      <c r="I733" s="81" t="s">
        <v>2256</v>
      </c>
      <c r="J733" s="81" t="s">
        <v>4088</v>
      </c>
      <c r="K733" s="81" t="str">
        <f>IFERROR(__xludf.DUMMYFUNCTION("IF(OR(D733="""",G733=""""),"""",IFERROR(LET(
campo,XLOOKUP(TRIM(G733),ARRAYFORMULA(TRIM('indice columnas'!$A$2:$A$100)),'indice columnas'!$B$2:$B$100,""""),
col,IFERROR(MATCH(campo,Referencia!$A$1:$AZ$1,0),0),
fila,IFERROR(MATCH(TO_TEXT(D733),ARRAYFORMULA"&amp;"(TO_TEXT(Referencia!$A$2:$A6238)),0),0),
IF(OR(campo="""",campo=""-""),""NO APLICA"",
IF(col=0,""REVISAR EQUIVALENCIA"",
IF(fila=0,""SKU NO ENCONTRADO"",
LET(
valor,INDEX(Referencia!$A$2:$AZ6238,fila,col),
IF(TRIM(TO_TEXT(valor))=TRIM(TO_TEXT(I733)),
""OK"&amp;""",
""NO COINCIDE. Valor verdadero: ""&amp;IF(valor="""",""[VACÍO]"",TO_TEXT(valor))
)
))))
),""ERROR EN FÓRMULA""))"),"NO APLICA")</f>
        <v>NO APLICA</v>
      </c>
    </row>
    <row r="734">
      <c r="A734" s="83" t="s">
        <v>4078</v>
      </c>
      <c r="B734" s="83" t="s">
        <v>4079</v>
      </c>
      <c r="C734" s="81" t="s">
        <v>4086</v>
      </c>
      <c r="D734" s="83" t="s">
        <v>4486</v>
      </c>
      <c r="E734" s="81" t="s">
        <v>2268</v>
      </c>
      <c r="F734" s="84">
        <v>435.0</v>
      </c>
      <c r="G734" s="81" t="s">
        <v>44</v>
      </c>
      <c r="H734" s="81" t="s">
        <v>4485</v>
      </c>
      <c r="I734" s="81" t="s">
        <v>2256</v>
      </c>
      <c r="J734" s="81" t="s">
        <v>4088</v>
      </c>
      <c r="K734" s="81" t="str">
        <f>IFERROR(__xludf.DUMMYFUNCTION("IF(OR(D734="""",G734=""""),"""",IFERROR(LET(
campo,XLOOKUP(TRIM(G734),ARRAYFORMULA(TRIM('indice columnas'!$A$2:$A$100)),'indice columnas'!$B$2:$B$100,""""),
col,IFERROR(MATCH(campo,Referencia!$A$1:$AZ$1,0),0),
fila,IFERROR(MATCH(TO_TEXT(D734),ARRAYFORMULA"&amp;"(TO_TEXT(Referencia!$A$2:$A6238)),0),0),
IF(OR(campo="""",campo=""-""),""NO APLICA"",
IF(col=0,""REVISAR EQUIVALENCIA"",
IF(fila=0,""SKU NO ENCONTRADO"",
LET(
valor,INDEX(Referencia!$A$2:$AZ6238,fila,col),
IF(TRIM(TO_TEXT(valor))=TRIM(TO_TEXT(I734)),
""OK"&amp;""",
""NO COINCIDE. Valor verdadero: ""&amp;IF(valor="""",""[VACÍO]"",TO_TEXT(valor))
)
))))
),""ERROR EN FÓRMULA""))"),"NO APLICA")</f>
        <v>NO APLICA</v>
      </c>
    </row>
    <row r="735">
      <c r="A735" s="83" t="s">
        <v>4078</v>
      </c>
      <c r="B735" s="83" t="s">
        <v>4079</v>
      </c>
      <c r="C735" s="81" t="s">
        <v>4086</v>
      </c>
      <c r="D735" s="83" t="s">
        <v>4487</v>
      </c>
      <c r="E735" s="81" t="s">
        <v>2271</v>
      </c>
      <c r="F735" s="84">
        <v>436.0</v>
      </c>
      <c r="G735" s="81" t="s">
        <v>44</v>
      </c>
      <c r="H735" s="81" t="s">
        <v>4488</v>
      </c>
      <c r="I735" s="81" t="s">
        <v>2271</v>
      </c>
      <c r="J735" s="81" t="s">
        <v>4088</v>
      </c>
      <c r="K735" s="81" t="str">
        <f>IFERROR(__xludf.DUMMYFUNCTION("IF(OR(D735="""",G735=""""),"""",IFERROR(LET(
campo,XLOOKUP(TRIM(G735),ARRAYFORMULA(TRIM('indice columnas'!$A$2:$A$100)),'indice columnas'!$B$2:$B$100,""""),
col,IFERROR(MATCH(campo,Referencia!$A$1:$AZ$1,0),0),
fila,IFERROR(MATCH(TO_TEXT(D735),ARRAYFORMULA"&amp;"(TO_TEXT(Referencia!$A$2:$A6238)),0),0),
IF(OR(campo="""",campo=""-""),""NO APLICA"",
IF(col=0,""REVISAR EQUIVALENCIA"",
IF(fila=0,""SKU NO ENCONTRADO"",
LET(
valor,INDEX(Referencia!$A$2:$AZ6238,fila,col),
IF(TRIM(TO_TEXT(valor))=TRIM(TO_TEXT(I735)),
""OK"&amp;""",
""NO COINCIDE. Valor verdadero: ""&amp;IF(valor="""",""[VACÍO]"",TO_TEXT(valor))
)
))))
),""ERROR EN FÓRMULA""))"),"NO APLICA")</f>
        <v>NO APLICA</v>
      </c>
    </row>
    <row r="736">
      <c r="A736" s="83" t="s">
        <v>4078</v>
      </c>
      <c r="B736" s="83" t="s">
        <v>4079</v>
      </c>
      <c r="C736" s="81" t="s">
        <v>4086</v>
      </c>
      <c r="D736" s="83" t="s">
        <v>4487</v>
      </c>
      <c r="E736" s="81" t="s">
        <v>2281</v>
      </c>
      <c r="F736" s="84">
        <v>437.0</v>
      </c>
      <c r="G736" s="81" t="s">
        <v>44</v>
      </c>
      <c r="H736" s="81" t="s">
        <v>4488</v>
      </c>
      <c r="I736" s="81" t="s">
        <v>2271</v>
      </c>
      <c r="J736" s="81" t="s">
        <v>4088</v>
      </c>
      <c r="K736" s="81" t="str">
        <f>IFERROR(__xludf.DUMMYFUNCTION("IF(OR(D736="""",G736=""""),"""",IFERROR(LET(
campo,XLOOKUP(TRIM(G736),ARRAYFORMULA(TRIM('indice columnas'!$A$2:$A$100)),'indice columnas'!$B$2:$B$100,""""),
col,IFERROR(MATCH(campo,Referencia!$A$1:$AZ$1,0),0),
fila,IFERROR(MATCH(TO_TEXT(D736),ARRAYFORMULA"&amp;"(TO_TEXT(Referencia!$A$2:$A6238)),0),0),
IF(OR(campo="""",campo=""-""),""NO APLICA"",
IF(col=0,""REVISAR EQUIVALENCIA"",
IF(fila=0,""SKU NO ENCONTRADO"",
LET(
valor,INDEX(Referencia!$A$2:$AZ6238,fila,col),
IF(TRIM(TO_TEXT(valor))=TRIM(TO_TEXT(I736)),
""OK"&amp;""",
""NO COINCIDE. Valor verdadero: ""&amp;IF(valor="""",""[VACÍO]"",TO_TEXT(valor))
)
))))
),""ERROR EN FÓRMULA""))"),"NO APLICA")</f>
        <v>NO APLICA</v>
      </c>
    </row>
    <row r="737">
      <c r="A737" s="83" t="s">
        <v>4078</v>
      </c>
      <c r="B737" s="83" t="s">
        <v>4079</v>
      </c>
      <c r="C737" s="81" t="s">
        <v>4086</v>
      </c>
      <c r="D737" s="83" t="s">
        <v>4489</v>
      </c>
      <c r="E737" s="81" t="s">
        <v>2282</v>
      </c>
      <c r="F737" s="84">
        <v>438.0</v>
      </c>
      <c r="G737" s="81" t="s">
        <v>44</v>
      </c>
      <c r="H737" s="81" t="s">
        <v>4488</v>
      </c>
      <c r="I737" s="81" t="s">
        <v>2271</v>
      </c>
      <c r="J737" s="81" t="s">
        <v>4088</v>
      </c>
      <c r="K737" s="81" t="str">
        <f>IFERROR(__xludf.DUMMYFUNCTION("IF(OR(D737="""",G737=""""),"""",IFERROR(LET(
campo,XLOOKUP(TRIM(G737),ARRAYFORMULA(TRIM('indice columnas'!$A$2:$A$100)),'indice columnas'!$B$2:$B$100,""""),
col,IFERROR(MATCH(campo,Referencia!$A$1:$AZ$1,0),0),
fila,IFERROR(MATCH(TO_TEXT(D737),ARRAYFORMULA"&amp;"(TO_TEXT(Referencia!$A$2:$A6238)),0),0),
IF(OR(campo="""",campo=""-""),""NO APLICA"",
IF(col=0,""REVISAR EQUIVALENCIA"",
IF(fila=0,""SKU NO ENCONTRADO"",
LET(
valor,INDEX(Referencia!$A$2:$AZ6238,fila,col),
IF(TRIM(TO_TEXT(valor))=TRIM(TO_TEXT(I737)),
""OK"&amp;""",
""NO COINCIDE. Valor verdadero: ""&amp;IF(valor="""",""[VACÍO]"",TO_TEXT(valor))
)
))))
),""ERROR EN FÓRMULA""))"),"NO APLICA")</f>
        <v>NO APLICA</v>
      </c>
    </row>
    <row r="738">
      <c r="A738" s="83" t="s">
        <v>4078</v>
      </c>
      <c r="B738" s="83" t="s">
        <v>4079</v>
      </c>
      <c r="C738" s="81" t="s">
        <v>4086</v>
      </c>
      <c r="D738" s="83" t="s">
        <v>4490</v>
      </c>
      <c r="E738" s="81" t="s">
        <v>2285</v>
      </c>
      <c r="F738" s="84">
        <v>439.0</v>
      </c>
      <c r="G738" s="81" t="s">
        <v>44</v>
      </c>
      <c r="H738" s="81" t="s">
        <v>4491</v>
      </c>
      <c r="I738" s="81" t="s">
        <v>2296</v>
      </c>
      <c r="J738" s="81" t="s">
        <v>4088</v>
      </c>
      <c r="K738" s="81" t="str">
        <f>IFERROR(__xludf.DUMMYFUNCTION("IF(OR(D738="""",G738=""""),"""",IFERROR(LET(
campo,XLOOKUP(TRIM(G738),ARRAYFORMULA(TRIM('indice columnas'!$A$2:$A$100)),'indice columnas'!$B$2:$B$100,""""),
col,IFERROR(MATCH(campo,Referencia!$A$1:$AZ$1,0),0),
fila,IFERROR(MATCH(TO_TEXT(D738),ARRAYFORMULA"&amp;"(TO_TEXT(Referencia!$A$2:$A6238)),0),0),
IF(OR(campo="""",campo=""-""),""NO APLICA"",
IF(col=0,""REVISAR EQUIVALENCIA"",
IF(fila=0,""SKU NO ENCONTRADO"",
LET(
valor,INDEX(Referencia!$A$2:$AZ6238,fila,col),
IF(TRIM(TO_TEXT(valor))=TRIM(TO_TEXT(I738)),
""OK"&amp;""",
""NO COINCIDE. Valor verdadero: ""&amp;IF(valor="""",""[VACÍO]"",TO_TEXT(valor))
)
))))
),""ERROR EN FÓRMULA""))"),"NO APLICA")</f>
        <v>NO APLICA</v>
      </c>
    </row>
    <row r="739">
      <c r="A739" s="83" t="s">
        <v>4078</v>
      </c>
      <c r="B739" s="83" t="s">
        <v>4079</v>
      </c>
      <c r="C739" s="81" t="s">
        <v>4086</v>
      </c>
      <c r="D739" s="83" t="s">
        <v>4490</v>
      </c>
      <c r="E739" s="81" t="s">
        <v>2295</v>
      </c>
      <c r="F739" s="84">
        <v>440.0</v>
      </c>
      <c r="G739" s="81" t="s">
        <v>29</v>
      </c>
      <c r="H739" s="81" t="s">
        <v>4492</v>
      </c>
      <c r="I739" s="81" t="s">
        <v>2289</v>
      </c>
      <c r="J739" s="81" t="s">
        <v>224</v>
      </c>
      <c r="K739" s="81" t="str">
        <f>IFERROR(__xludf.DUMMYFUNCTION("IF(OR(D739="""",G739=""""),"""",IFERROR(LET(
campo,XLOOKUP(TRIM(G739),ARRAYFORMULA(TRIM('indice columnas'!$A$2:$A$100)),'indice columnas'!$B$2:$B$100,""""),
col,IFERROR(MATCH(campo,Referencia!$A$1:$AZ$1,0),0),
fila,IFERROR(MATCH(TO_TEXT(D739),ARRAYFORMULA"&amp;"(TO_TEXT(Referencia!$A$2:$A6238)),0),0),
IF(OR(campo="""",campo=""-""),""NO APLICA"",
IF(col=0,""REVISAR EQUIVALENCIA"",
IF(fila=0,""SKU NO ENCONTRADO"",
LET(
valor,INDEX(Referencia!$A$2:$AZ6238,fila,col),
IF(TRIM(TO_TEXT(valor))=TRIM(TO_TEXT(I739)),
""OK"&amp;""",
""NO COINCIDE. Valor verdadero: ""&amp;IF(valor="""",""[VACÍO]"",TO_TEXT(valor))
)
))))
),""ERROR EN FÓRMULA""))"),"NO COINCIDE. Valor verdadero: (Ø400/Ø600/Ø800) x 70")</f>
        <v>NO COINCIDE. Valor verdadero: (Ø400/Ø600/Ø800) x 70</v>
      </c>
    </row>
    <row r="740">
      <c r="A740" s="83" t="s">
        <v>4078</v>
      </c>
      <c r="B740" s="83" t="s">
        <v>4079</v>
      </c>
      <c r="C740" s="81" t="s">
        <v>4086</v>
      </c>
      <c r="D740" s="83" t="s">
        <v>4490</v>
      </c>
      <c r="E740" s="81" t="s">
        <v>2295</v>
      </c>
      <c r="F740" s="84">
        <v>440.0</v>
      </c>
      <c r="G740" s="81" t="s">
        <v>44</v>
      </c>
      <c r="H740" s="81" t="s">
        <v>4491</v>
      </c>
      <c r="I740" s="81" t="s">
        <v>2296</v>
      </c>
      <c r="J740" s="81" t="s">
        <v>4088</v>
      </c>
      <c r="K740" s="81" t="str">
        <f>IFERROR(__xludf.DUMMYFUNCTION("IF(OR(D740="""",G740=""""),"""",IFERROR(LET(
campo,XLOOKUP(TRIM(G740),ARRAYFORMULA(TRIM('indice columnas'!$A$2:$A$100)),'indice columnas'!$B$2:$B$100,""""),
col,IFERROR(MATCH(campo,Referencia!$A$1:$AZ$1,0),0),
fila,IFERROR(MATCH(TO_TEXT(D740),ARRAYFORMULA"&amp;"(TO_TEXT(Referencia!$A$2:$A6238)),0),0),
IF(OR(campo="""",campo=""-""),""NO APLICA"",
IF(col=0,""REVISAR EQUIVALENCIA"",
IF(fila=0,""SKU NO ENCONTRADO"",
LET(
valor,INDEX(Referencia!$A$2:$AZ6238,fila,col),
IF(TRIM(TO_TEXT(valor))=TRIM(TO_TEXT(I740)),
""OK"&amp;""",
""NO COINCIDE. Valor verdadero: ""&amp;IF(valor="""",""[VACÍO]"",TO_TEXT(valor))
)
))))
),""ERROR EN FÓRMULA""))"),"NO APLICA")</f>
        <v>NO APLICA</v>
      </c>
    </row>
    <row r="741">
      <c r="A741" s="83" t="s">
        <v>4078</v>
      </c>
      <c r="B741" s="83" t="s">
        <v>4079</v>
      </c>
      <c r="C741" s="81" t="s">
        <v>4086</v>
      </c>
      <c r="D741" s="83" t="s">
        <v>4493</v>
      </c>
      <c r="E741" s="81" t="s">
        <v>2297</v>
      </c>
      <c r="F741" s="84">
        <v>441.0</v>
      </c>
      <c r="G741" s="81" t="s">
        <v>29</v>
      </c>
      <c r="H741" s="81" t="s">
        <v>4492</v>
      </c>
      <c r="I741" s="81" t="s">
        <v>2289</v>
      </c>
      <c r="J741" s="81" t="s">
        <v>224</v>
      </c>
      <c r="K741" s="81" t="str">
        <f>IFERROR(__xludf.DUMMYFUNCTION("IF(OR(D741="""",G741=""""),"""",IFERROR(LET(
campo,XLOOKUP(TRIM(G741),ARRAYFORMULA(TRIM('indice columnas'!$A$2:$A$100)),'indice columnas'!$B$2:$B$100,""""),
col,IFERROR(MATCH(campo,Referencia!$A$1:$AZ$1,0),0),
fila,IFERROR(MATCH(TO_TEXT(D741),ARRAYFORMULA"&amp;"(TO_TEXT(Referencia!$A$2:$A6238)),0),0),
IF(OR(campo="""",campo=""-""),""NO APLICA"",
IF(col=0,""REVISAR EQUIVALENCIA"",
IF(fila=0,""SKU NO ENCONTRADO"",
LET(
valor,INDEX(Referencia!$A$2:$AZ6238,fila,col),
IF(TRIM(TO_TEXT(valor))=TRIM(TO_TEXT(I741)),
""OK"&amp;""",
""NO COINCIDE. Valor verdadero: ""&amp;IF(valor="""",""[VACÍO]"",TO_TEXT(valor))
)
))))
),""ERROR EN FÓRMULA""))"),"NO COINCIDE. Valor verdadero: (Ø400/Ø600/Ø800) x 70")</f>
        <v>NO COINCIDE. Valor verdadero: (Ø400/Ø600/Ø800) x 70</v>
      </c>
    </row>
    <row r="742">
      <c r="A742" s="83" t="s">
        <v>4078</v>
      </c>
      <c r="B742" s="83" t="s">
        <v>4079</v>
      </c>
      <c r="C742" s="81" t="s">
        <v>4086</v>
      </c>
      <c r="D742" s="83" t="s">
        <v>4493</v>
      </c>
      <c r="E742" s="81" t="s">
        <v>2297</v>
      </c>
      <c r="F742" s="84">
        <v>441.0</v>
      </c>
      <c r="G742" s="81" t="s">
        <v>44</v>
      </c>
      <c r="H742" s="81" t="s">
        <v>4491</v>
      </c>
      <c r="I742" s="81" t="s">
        <v>2296</v>
      </c>
      <c r="J742" s="81" t="s">
        <v>4088</v>
      </c>
      <c r="K742" s="81" t="str">
        <f>IFERROR(__xludf.DUMMYFUNCTION("IF(OR(D742="""",G742=""""),"""",IFERROR(LET(
campo,XLOOKUP(TRIM(G742),ARRAYFORMULA(TRIM('indice columnas'!$A$2:$A$100)),'indice columnas'!$B$2:$B$100,""""),
col,IFERROR(MATCH(campo,Referencia!$A$1:$AZ$1,0),0),
fila,IFERROR(MATCH(TO_TEXT(D742),ARRAYFORMULA"&amp;"(TO_TEXT(Referencia!$A$2:$A6238)),0),0),
IF(OR(campo="""",campo=""-""),""NO APLICA"",
IF(col=0,""REVISAR EQUIVALENCIA"",
IF(fila=0,""SKU NO ENCONTRADO"",
LET(
valor,INDEX(Referencia!$A$2:$AZ6238,fila,col),
IF(TRIM(TO_TEXT(valor))=TRIM(TO_TEXT(I742)),
""OK"&amp;""",
""NO COINCIDE. Valor verdadero: ""&amp;IF(valor="""",""[VACÍO]"",TO_TEXT(valor))
)
))))
),""ERROR EN FÓRMULA""))"),"NO APLICA")</f>
        <v>NO APLICA</v>
      </c>
    </row>
    <row r="743">
      <c r="A743" s="83" t="s">
        <v>4078</v>
      </c>
      <c r="B743" s="83" t="s">
        <v>4079</v>
      </c>
      <c r="C743" s="81" t="s">
        <v>4086</v>
      </c>
      <c r="D743" s="83" t="s">
        <v>4494</v>
      </c>
      <c r="E743" s="81" t="s">
        <v>2300</v>
      </c>
      <c r="F743" s="84">
        <v>442.0</v>
      </c>
      <c r="G743" s="81" t="s">
        <v>44</v>
      </c>
      <c r="H743" s="81" t="s">
        <v>224</v>
      </c>
      <c r="I743" s="81" t="s">
        <v>2300</v>
      </c>
      <c r="J743" s="81" t="s">
        <v>4088</v>
      </c>
      <c r="K743" s="81" t="str">
        <f>IFERROR(__xludf.DUMMYFUNCTION("IF(OR(D743="""",G743=""""),"""",IFERROR(LET(
campo,XLOOKUP(TRIM(G743),ARRAYFORMULA(TRIM('indice columnas'!$A$2:$A$100)),'indice columnas'!$B$2:$B$100,""""),
col,IFERROR(MATCH(campo,Referencia!$A$1:$AZ$1,0),0),
fila,IFERROR(MATCH(TO_TEXT(D743),ARRAYFORMULA"&amp;"(TO_TEXT(Referencia!$A$2:$A6238)),0),0),
IF(OR(campo="""",campo=""-""),""NO APLICA"",
IF(col=0,""REVISAR EQUIVALENCIA"",
IF(fila=0,""SKU NO ENCONTRADO"",
LET(
valor,INDEX(Referencia!$A$2:$AZ6238,fila,col),
IF(TRIM(TO_TEXT(valor))=TRIM(TO_TEXT(I743)),
""OK"&amp;""",
""NO COINCIDE. Valor verdadero: ""&amp;IF(valor="""",""[VACÍO]"",TO_TEXT(valor))
)
))))
),""ERROR EN FÓRMULA""))"),"NO APLICA")</f>
        <v>NO APLICA</v>
      </c>
    </row>
    <row r="744">
      <c r="A744" s="83" t="s">
        <v>4078</v>
      </c>
      <c r="B744" s="83" t="s">
        <v>4079</v>
      </c>
      <c r="C744" s="81" t="s">
        <v>4086</v>
      </c>
      <c r="D744" s="83" t="s">
        <v>4494</v>
      </c>
      <c r="E744" s="81" t="s">
        <v>2307</v>
      </c>
      <c r="F744" s="84">
        <v>443.0</v>
      </c>
      <c r="G744" s="81" t="s">
        <v>12</v>
      </c>
      <c r="H744" s="81" t="s">
        <v>224</v>
      </c>
      <c r="I744" s="81" t="s">
        <v>55</v>
      </c>
      <c r="J744" s="81" t="s">
        <v>224</v>
      </c>
      <c r="K744" s="81" t="str">
        <f>IFERROR(__xludf.DUMMYFUNCTION("IF(OR(D744="""",G744=""""),"""",IFERROR(LET(
campo,XLOOKUP(TRIM(G744),ARRAYFORMULA(TRIM('indice columnas'!$A$2:$A$100)),'indice columnas'!$B$2:$B$100,""""),
col,IFERROR(MATCH(campo,Referencia!$A$1:$AZ$1,0),0),
fila,IFERROR(MATCH(TO_TEXT(D744),ARRAYFORMULA"&amp;"(TO_TEXT(Referencia!$A$2:$A6238)),0),0),
IF(OR(campo="""",campo=""-""),""NO APLICA"",
IF(col=0,""REVISAR EQUIVALENCIA"",
IF(fila=0,""SKU NO ENCONTRADO"",
LET(
valor,INDEX(Referencia!$A$2:$AZ6238,fila,col),
IF(TRIM(TO_TEXT(valor))=TRIM(TO_TEXT(I744)),
""OK"&amp;""",
""NO COINCIDE. Valor verdadero: ""&amp;IF(valor="""",""[VACÍO]"",TO_TEXT(valor))
)
))))
),""ERROR EN FÓRMULA""))"),"OK")</f>
        <v>OK</v>
      </c>
    </row>
    <row r="745">
      <c r="A745" s="83" t="s">
        <v>4078</v>
      </c>
      <c r="B745" s="83" t="s">
        <v>4079</v>
      </c>
      <c r="C745" s="81" t="s">
        <v>4086</v>
      </c>
      <c r="D745" s="83" t="s">
        <v>4494</v>
      </c>
      <c r="E745" s="81" t="s">
        <v>2307</v>
      </c>
      <c r="F745" s="84">
        <v>443.0</v>
      </c>
      <c r="G745" s="81" t="s">
        <v>44</v>
      </c>
      <c r="H745" s="81" t="s">
        <v>224</v>
      </c>
      <c r="I745" s="81" t="s">
        <v>2300</v>
      </c>
      <c r="J745" s="81" t="s">
        <v>4088</v>
      </c>
      <c r="K745" s="81" t="str">
        <f>IFERROR(__xludf.DUMMYFUNCTION("IF(OR(D745="""",G745=""""),"""",IFERROR(LET(
campo,XLOOKUP(TRIM(G745),ARRAYFORMULA(TRIM('indice columnas'!$A$2:$A$100)),'indice columnas'!$B$2:$B$100,""""),
col,IFERROR(MATCH(campo,Referencia!$A$1:$AZ$1,0),0),
fila,IFERROR(MATCH(TO_TEXT(D745),ARRAYFORMULA"&amp;"(TO_TEXT(Referencia!$A$2:$A6238)),0),0),
IF(OR(campo="""",campo=""-""),""NO APLICA"",
IF(col=0,""REVISAR EQUIVALENCIA"",
IF(fila=0,""SKU NO ENCONTRADO"",
LET(
valor,INDEX(Referencia!$A$2:$AZ6238,fila,col),
IF(TRIM(TO_TEXT(valor))=TRIM(TO_TEXT(I745)),
""OK"&amp;""",
""NO COINCIDE. Valor verdadero: ""&amp;IF(valor="""",""[VACÍO]"",TO_TEXT(valor))
)
))))
),""ERROR EN FÓRMULA""))"),"NO APLICA")</f>
        <v>NO APLICA</v>
      </c>
    </row>
    <row r="746">
      <c r="A746" s="83" t="s">
        <v>4078</v>
      </c>
      <c r="B746" s="83" t="s">
        <v>4079</v>
      </c>
      <c r="C746" s="81" t="s">
        <v>4086</v>
      </c>
      <c r="D746" s="83" t="s">
        <v>4495</v>
      </c>
      <c r="E746" s="81" t="s">
        <v>2308</v>
      </c>
      <c r="F746" s="84">
        <v>444.0</v>
      </c>
      <c r="G746" s="81" t="s">
        <v>12</v>
      </c>
      <c r="H746" s="81" t="s">
        <v>224</v>
      </c>
      <c r="I746" s="81" t="s">
        <v>55</v>
      </c>
      <c r="J746" s="81" t="s">
        <v>224</v>
      </c>
      <c r="K746" s="81" t="str">
        <f>IFERROR(__xludf.DUMMYFUNCTION("IF(OR(D746="""",G746=""""),"""",IFERROR(LET(
campo,XLOOKUP(TRIM(G746),ARRAYFORMULA(TRIM('indice columnas'!$A$2:$A$100)),'indice columnas'!$B$2:$B$100,""""),
col,IFERROR(MATCH(campo,Referencia!$A$1:$AZ$1,0),0),
fila,IFERROR(MATCH(TO_TEXT(D746),ARRAYFORMULA"&amp;"(TO_TEXT(Referencia!$A$2:$A6238)),0),0),
IF(OR(campo="""",campo=""-""),""NO APLICA"",
IF(col=0,""REVISAR EQUIVALENCIA"",
IF(fila=0,""SKU NO ENCONTRADO"",
LET(
valor,INDEX(Referencia!$A$2:$AZ6238,fila,col),
IF(TRIM(TO_TEXT(valor))=TRIM(TO_TEXT(I746)),
""OK"&amp;""",
""NO COINCIDE. Valor verdadero: ""&amp;IF(valor="""",""[VACÍO]"",TO_TEXT(valor))
)
))))
),""ERROR EN FÓRMULA""))"),"OK")</f>
        <v>OK</v>
      </c>
    </row>
    <row r="747">
      <c r="A747" s="83" t="s">
        <v>4078</v>
      </c>
      <c r="B747" s="83" t="s">
        <v>4079</v>
      </c>
      <c r="C747" s="81" t="s">
        <v>4086</v>
      </c>
      <c r="D747" s="83" t="s">
        <v>4495</v>
      </c>
      <c r="E747" s="81" t="s">
        <v>2308</v>
      </c>
      <c r="F747" s="84">
        <v>444.0</v>
      </c>
      <c r="G747" s="81" t="s">
        <v>44</v>
      </c>
      <c r="H747" s="81" t="s">
        <v>224</v>
      </c>
      <c r="I747" s="81" t="s">
        <v>2300</v>
      </c>
      <c r="J747" s="81" t="s">
        <v>4088</v>
      </c>
      <c r="K747" s="81" t="str">
        <f>IFERROR(__xludf.DUMMYFUNCTION("IF(OR(D747="""",G747=""""),"""",IFERROR(LET(
campo,XLOOKUP(TRIM(G747),ARRAYFORMULA(TRIM('indice columnas'!$A$2:$A$100)),'indice columnas'!$B$2:$B$100,""""),
col,IFERROR(MATCH(campo,Referencia!$A$1:$AZ$1,0),0),
fila,IFERROR(MATCH(TO_TEXT(D747),ARRAYFORMULA"&amp;"(TO_TEXT(Referencia!$A$2:$A6238)),0),0),
IF(OR(campo="""",campo=""-""),""NO APLICA"",
IF(col=0,""REVISAR EQUIVALENCIA"",
IF(fila=0,""SKU NO ENCONTRADO"",
LET(
valor,INDEX(Referencia!$A$2:$AZ6238,fila,col),
IF(TRIM(TO_TEXT(valor))=TRIM(TO_TEXT(I747)),
""OK"&amp;""",
""NO COINCIDE. Valor verdadero: ""&amp;IF(valor="""",""[VACÍO]"",TO_TEXT(valor))
)
))))
),""ERROR EN FÓRMULA""))"),"NO APLICA")</f>
        <v>NO APLICA</v>
      </c>
    </row>
    <row r="748">
      <c r="A748" s="83" t="s">
        <v>4078</v>
      </c>
      <c r="B748" s="83" t="s">
        <v>4079</v>
      </c>
      <c r="C748" s="81" t="s">
        <v>4086</v>
      </c>
      <c r="D748" s="83" t="s">
        <v>4496</v>
      </c>
      <c r="E748" s="81" t="s">
        <v>2310</v>
      </c>
      <c r="F748" s="84">
        <v>445.0</v>
      </c>
      <c r="G748" s="81" t="s">
        <v>44</v>
      </c>
      <c r="H748" s="81" t="s">
        <v>224</v>
      </c>
      <c r="I748" s="81" t="s">
        <v>2310</v>
      </c>
      <c r="J748" s="81" t="s">
        <v>4088</v>
      </c>
      <c r="K748" s="81" t="str">
        <f>IFERROR(__xludf.DUMMYFUNCTION("IF(OR(D748="""",G748=""""),"""",IFERROR(LET(
campo,XLOOKUP(TRIM(G748),ARRAYFORMULA(TRIM('indice columnas'!$A$2:$A$100)),'indice columnas'!$B$2:$B$100,""""),
col,IFERROR(MATCH(campo,Referencia!$A$1:$AZ$1,0),0),
fila,IFERROR(MATCH(TO_TEXT(D748),ARRAYFORMULA"&amp;"(TO_TEXT(Referencia!$A$2:$A6238)),0),0),
IF(OR(campo="""",campo=""-""),""NO APLICA"",
IF(col=0,""REVISAR EQUIVALENCIA"",
IF(fila=0,""SKU NO ENCONTRADO"",
LET(
valor,INDEX(Referencia!$A$2:$AZ6238,fila,col),
IF(TRIM(TO_TEXT(valor))=TRIM(TO_TEXT(I748)),
""OK"&amp;""",
""NO COINCIDE. Valor verdadero: ""&amp;IF(valor="""",""[VACÍO]"",TO_TEXT(valor))
)
))))
),""ERROR EN FÓRMULA""))"),"NO APLICA")</f>
        <v>NO APLICA</v>
      </c>
    </row>
    <row r="749">
      <c r="A749" s="83" t="s">
        <v>4078</v>
      </c>
      <c r="B749" s="83" t="s">
        <v>4079</v>
      </c>
      <c r="C749" s="81" t="s">
        <v>4086</v>
      </c>
      <c r="D749" s="83" t="s">
        <v>4496</v>
      </c>
      <c r="E749" s="81" t="s">
        <v>2317</v>
      </c>
      <c r="F749" s="84">
        <v>446.0</v>
      </c>
      <c r="G749" s="81" t="s">
        <v>12</v>
      </c>
      <c r="H749" s="81" t="s">
        <v>224</v>
      </c>
      <c r="I749" s="81" t="s">
        <v>55</v>
      </c>
      <c r="J749" s="81" t="s">
        <v>224</v>
      </c>
      <c r="K749" s="81" t="str">
        <f>IFERROR(__xludf.DUMMYFUNCTION("IF(OR(D749="""",G749=""""),"""",IFERROR(LET(
campo,XLOOKUP(TRIM(G749),ARRAYFORMULA(TRIM('indice columnas'!$A$2:$A$100)),'indice columnas'!$B$2:$B$100,""""),
col,IFERROR(MATCH(campo,Referencia!$A$1:$AZ$1,0),0),
fila,IFERROR(MATCH(TO_TEXT(D749),ARRAYFORMULA"&amp;"(TO_TEXT(Referencia!$A$2:$A6238)),0),0),
IF(OR(campo="""",campo=""-""),""NO APLICA"",
IF(col=0,""REVISAR EQUIVALENCIA"",
IF(fila=0,""SKU NO ENCONTRADO"",
LET(
valor,INDEX(Referencia!$A$2:$AZ6238,fila,col),
IF(TRIM(TO_TEXT(valor))=TRIM(TO_TEXT(I749)),
""OK"&amp;""",
""NO COINCIDE. Valor verdadero: ""&amp;IF(valor="""",""[VACÍO]"",TO_TEXT(valor))
)
))))
),""ERROR EN FÓRMULA""))"),"OK")</f>
        <v>OK</v>
      </c>
    </row>
    <row r="750">
      <c r="A750" s="83" t="s">
        <v>4078</v>
      </c>
      <c r="B750" s="83" t="s">
        <v>4079</v>
      </c>
      <c r="C750" s="81" t="s">
        <v>4086</v>
      </c>
      <c r="D750" s="83" t="s">
        <v>4496</v>
      </c>
      <c r="E750" s="81" t="s">
        <v>2317</v>
      </c>
      <c r="F750" s="84">
        <v>446.0</v>
      </c>
      <c r="G750" s="81" t="s">
        <v>44</v>
      </c>
      <c r="H750" s="81" t="s">
        <v>224</v>
      </c>
      <c r="I750" s="81" t="s">
        <v>2310</v>
      </c>
      <c r="J750" s="81" t="s">
        <v>4088</v>
      </c>
      <c r="K750" s="81" t="str">
        <f>IFERROR(__xludf.DUMMYFUNCTION("IF(OR(D750="""",G750=""""),"""",IFERROR(LET(
campo,XLOOKUP(TRIM(G750),ARRAYFORMULA(TRIM('indice columnas'!$A$2:$A$100)),'indice columnas'!$B$2:$B$100,""""),
col,IFERROR(MATCH(campo,Referencia!$A$1:$AZ$1,0),0),
fila,IFERROR(MATCH(TO_TEXT(D750),ARRAYFORMULA"&amp;"(TO_TEXT(Referencia!$A$2:$A6238)),0),0),
IF(OR(campo="""",campo=""-""),""NO APLICA"",
IF(col=0,""REVISAR EQUIVALENCIA"",
IF(fila=0,""SKU NO ENCONTRADO"",
LET(
valor,INDEX(Referencia!$A$2:$AZ6238,fila,col),
IF(TRIM(TO_TEXT(valor))=TRIM(TO_TEXT(I750)),
""OK"&amp;""",
""NO COINCIDE. Valor verdadero: ""&amp;IF(valor="""",""[VACÍO]"",TO_TEXT(valor))
)
))))
),""ERROR EN FÓRMULA""))"),"NO APLICA")</f>
        <v>NO APLICA</v>
      </c>
    </row>
    <row r="751">
      <c r="A751" s="83" t="s">
        <v>4078</v>
      </c>
      <c r="B751" s="83" t="s">
        <v>4079</v>
      </c>
      <c r="C751" s="81" t="s">
        <v>4086</v>
      </c>
      <c r="D751" s="83" t="s">
        <v>4497</v>
      </c>
      <c r="E751" s="81" t="s">
        <v>2318</v>
      </c>
      <c r="F751" s="84">
        <v>447.0</v>
      </c>
      <c r="G751" s="81" t="s">
        <v>12</v>
      </c>
      <c r="H751" s="81" t="s">
        <v>224</v>
      </c>
      <c r="I751" s="81" t="s">
        <v>55</v>
      </c>
      <c r="J751" s="81" t="s">
        <v>224</v>
      </c>
      <c r="K751" s="81" t="str">
        <f>IFERROR(__xludf.DUMMYFUNCTION("IF(OR(D751="""",G751=""""),"""",IFERROR(LET(
campo,XLOOKUP(TRIM(G751),ARRAYFORMULA(TRIM('indice columnas'!$A$2:$A$100)),'indice columnas'!$B$2:$B$100,""""),
col,IFERROR(MATCH(campo,Referencia!$A$1:$AZ$1,0),0),
fila,IFERROR(MATCH(TO_TEXT(D751),ARRAYFORMULA"&amp;"(TO_TEXT(Referencia!$A$2:$A6238)),0),0),
IF(OR(campo="""",campo=""-""),""NO APLICA"",
IF(col=0,""REVISAR EQUIVALENCIA"",
IF(fila=0,""SKU NO ENCONTRADO"",
LET(
valor,INDEX(Referencia!$A$2:$AZ6238,fila,col),
IF(TRIM(TO_TEXT(valor))=TRIM(TO_TEXT(I751)),
""OK"&amp;""",
""NO COINCIDE. Valor verdadero: ""&amp;IF(valor="""",""[VACÍO]"",TO_TEXT(valor))
)
))))
),""ERROR EN FÓRMULA""))"),"OK")</f>
        <v>OK</v>
      </c>
    </row>
    <row r="752">
      <c r="A752" s="83" t="s">
        <v>4078</v>
      </c>
      <c r="B752" s="83" t="s">
        <v>4079</v>
      </c>
      <c r="C752" s="81" t="s">
        <v>4086</v>
      </c>
      <c r="D752" s="83" t="s">
        <v>4497</v>
      </c>
      <c r="E752" s="81" t="s">
        <v>2318</v>
      </c>
      <c r="F752" s="84">
        <v>447.0</v>
      </c>
      <c r="G752" s="81" t="s">
        <v>44</v>
      </c>
      <c r="H752" s="81" t="s">
        <v>224</v>
      </c>
      <c r="I752" s="81" t="s">
        <v>2310</v>
      </c>
      <c r="J752" s="81" t="s">
        <v>4088</v>
      </c>
      <c r="K752" s="81" t="str">
        <f>IFERROR(__xludf.DUMMYFUNCTION("IF(OR(D752="""",G752=""""),"""",IFERROR(LET(
campo,XLOOKUP(TRIM(G752),ARRAYFORMULA(TRIM('indice columnas'!$A$2:$A$100)),'indice columnas'!$B$2:$B$100,""""),
col,IFERROR(MATCH(campo,Referencia!$A$1:$AZ$1,0),0),
fila,IFERROR(MATCH(TO_TEXT(D752),ARRAYFORMULA"&amp;"(TO_TEXT(Referencia!$A$2:$A6238)),0),0),
IF(OR(campo="""",campo=""-""),""NO APLICA"",
IF(col=0,""REVISAR EQUIVALENCIA"",
IF(fila=0,""SKU NO ENCONTRADO"",
LET(
valor,INDEX(Referencia!$A$2:$AZ6238,fila,col),
IF(TRIM(TO_TEXT(valor))=TRIM(TO_TEXT(I752)),
""OK"&amp;""",
""NO COINCIDE. Valor verdadero: ""&amp;IF(valor="""",""[VACÍO]"",TO_TEXT(valor))
)
))))
),""ERROR EN FÓRMULA""))"),"NO APLICA")</f>
        <v>NO APLICA</v>
      </c>
    </row>
    <row r="753">
      <c r="A753" s="83" t="s">
        <v>4078</v>
      </c>
      <c r="B753" s="83" t="s">
        <v>4079</v>
      </c>
      <c r="C753" s="81" t="s">
        <v>4086</v>
      </c>
      <c r="D753" s="83" t="s">
        <v>4498</v>
      </c>
      <c r="E753" s="81" t="s">
        <v>2320</v>
      </c>
      <c r="F753" s="84">
        <v>448.0</v>
      </c>
      <c r="G753" s="81" t="s">
        <v>44</v>
      </c>
      <c r="H753" s="81" t="s">
        <v>224</v>
      </c>
      <c r="I753" s="81" t="s">
        <v>924</v>
      </c>
      <c r="J753" s="81" t="s">
        <v>4088</v>
      </c>
      <c r="K753" s="81" t="str">
        <f>IFERROR(__xludf.DUMMYFUNCTION("IF(OR(D753="""",G753=""""),"""",IFERROR(LET(
campo,XLOOKUP(TRIM(G753),ARRAYFORMULA(TRIM('indice columnas'!$A$2:$A$100)),'indice columnas'!$B$2:$B$100,""""),
col,IFERROR(MATCH(campo,Referencia!$A$1:$AZ$1,0),0),
fila,IFERROR(MATCH(TO_TEXT(D753),ARRAYFORMULA"&amp;"(TO_TEXT(Referencia!$A$2:$A6238)),0),0),
IF(OR(campo="""",campo=""-""),""NO APLICA"",
IF(col=0,""REVISAR EQUIVALENCIA"",
IF(fila=0,""SKU NO ENCONTRADO"",
LET(
valor,INDEX(Referencia!$A$2:$AZ6238,fila,col),
IF(TRIM(TO_TEXT(valor))=TRIM(TO_TEXT(I753)),
""OK"&amp;""",
""NO COINCIDE. Valor verdadero: ""&amp;IF(valor="""",""[VACÍO]"",TO_TEXT(valor))
)
))))
),""ERROR EN FÓRMULA""))"),"NO APLICA")</f>
        <v>NO APLICA</v>
      </c>
    </row>
    <row r="754">
      <c r="A754" s="83" t="s">
        <v>4078</v>
      </c>
      <c r="B754" s="83" t="s">
        <v>4079</v>
      </c>
      <c r="C754" s="81" t="s">
        <v>4086</v>
      </c>
      <c r="D754" s="83" t="s">
        <v>4498</v>
      </c>
      <c r="E754" s="81" t="s">
        <v>2324</v>
      </c>
      <c r="F754" s="84">
        <v>449.0</v>
      </c>
      <c r="G754" s="81" t="s">
        <v>12</v>
      </c>
      <c r="H754" s="81" t="s">
        <v>224</v>
      </c>
      <c r="I754" s="81" t="s">
        <v>55</v>
      </c>
      <c r="J754" s="81" t="s">
        <v>224</v>
      </c>
      <c r="K754" s="81" t="str">
        <f>IFERROR(__xludf.DUMMYFUNCTION("IF(OR(D754="""",G754=""""),"""",IFERROR(LET(
campo,XLOOKUP(TRIM(G754),ARRAYFORMULA(TRIM('indice columnas'!$A$2:$A$100)),'indice columnas'!$B$2:$B$100,""""),
col,IFERROR(MATCH(campo,Referencia!$A$1:$AZ$1,0),0),
fila,IFERROR(MATCH(TO_TEXT(D754),ARRAYFORMULA"&amp;"(TO_TEXT(Referencia!$A$2:$A6238)),0),0),
IF(OR(campo="""",campo=""-""),""NO APLICA"",
IF(col=0,""REVISAR EQUIVALENCIA"",
IF(fila=0,""SKU NO ENCONTRADO"",
LET(
valor,INDEX(Referencia!$A$2:$AZ6238,fila,col),
IF(TRIM(TO_TEXT(valor))=TRIM(TO_TEXT(I754)),
""OK"&amp;""",
""NO COINCIDE. Valor verdadero: ""&amp;IF(valor="""",""[VACÍO]"",TO_TEXT(valor))
)
))))
),""ERROR EN FÓRMULA""))"),"OK")</f>
        <v>OK</v>
      </c>
    </row>
    <row r="755">
      <c r="A755" s="83" t="s">
        <v>4078</v>
      </c>
      <c r="B755" s="83" t="s">
        <v>4079</v>
      </c>
      <c r="C755" s="81" t="s">
        <v>4086</v>
      </c>
      <c r="D755" s="83" t="s">
        <v>4498</v>
      </c>
      <c r="E755" s="81" t="s">
        <v>2324</v>
      </c>
      <c r="F755" s="84">
        <v>449.0</v>
      </c>
      <c r="G755" s="81" t="s">
        <v>29</v>
      </c>
      <c r="H755" s="81" t="s">
        <v>4499</v>
      </c>
      <c r="I755" s="81" t="s">
        <v>2325</v>
      </c>
      <c r="J755" s="81" t="s">
        <v>224</v>
      </c>
      <c r="K755" s="81" t="str">
        <f>IFERROR(__xludf.DUMMYFUNCTION("IF(OR(D755="""",G755=""""),"""",IFERROR(LET(
campo,XLOOKUP(TRIM(G755),ARRAYFORMULA(TRIM('indice columnas'!$A$2:$A$100)),'indice columnas'!$B$2:$B$100,""""),
col,IFERROR(MATCH(campo,Referencia!$A$1:$AZ$1,0),0),
fila,IFERROR(MATCH(TO_TEXT(D755),ARRAYFORMULA"&amp;"(TO_TEXT(Referencia!$A$2:$A6238)),0),0),
IF(OR(campo="""",campo=""-""),""NO APLICA"",
IF(col=0,""REVISAR EQUIVALENCIA"",
IF(fila=0,""SKU NO ENCONTRADO"",
LET(
valor,INDEX(Referencia!$A$2:$AZ6238,fila,col),
IF(TRIM(TO_TEXT(valor))=TRIM(TO_TEXT(I755)),
""OK"&amp;""",
""NO COINCIDE. Valor verdadero: ""&amp;IF(valor="""",""[VACÍO]"",TO_TEXT(valor))
)
))))
),""ERROR EN FÓRMULA""))"),"NO COINCIDE. Valor verdadero: 18 x 7 x 1000 (Ancho x Alto x Largo)")</f>
        <v>NO COINCIDE. Valor verdadero: 18 x 7 x 1000 (Ancho x Alto x Largo)</v>
      </c>
    </row>
    <row r="756">
      <c r="A756" s="83" t="s">
        <v>4078</v>
      </c>
      <c r="B756" s="83" t="s">
        <v>4079</v>
      </c>
      <c r="C756" s="81" t="s">
        <v>4086</v>
      </c>
      <c r="D756" s="83" t="s">
        <v>4498</v>
      </c>
      <c r="E756" s="81" t="s">
        <v>2324</v>
      </c>
      <c r="F756" s="84">
        <v>449.0</v>
      </c>
      <c r="G756" s="81" t="s">
        <v>44</v>
      </c>
      <c r="H756" s="81" t="s">
        <v>224</v>
      </c>
      <c r="I756" s="81" t="s">
        <v>924</v>
      </c>
      <c r="J756" s="81" t="s">
        <v>4088</v>
      </c>
      <c r="K756" s="81" t="str">
        <f>IFERROR(__xludf.DUMMYFUNCTION("IF(OR(D756="""",G756=""""),"""",IFERROR(LET(
campo,XLOOKUP(TRIM(G756),ARRAYFORMULA(TRIM('indice columnas'!$A$2:$A$100)),'indice columnas'!$B$2:$B$100,""""),
col,IFERROR(MATCH(campo,Referencia!$A$1:$AZ$1,0),0),
fila,IFERROR(MATCH(TO_TEXT(D756),ARRAYFORMULA"&amp;"(TO_TEXT(Referencia!$A$2:$A6238)),0),0),
IF(OR(campo="""",campo=""-""),""NO APLICA"",
IF(col=0,""REVISAR EQUIVALENCIA"",
IF(fila=0,""SKU NO ENCONTRADO"",
LET(
valor,INDEX(Referencia!$A$2:$AZ6238,fila,col),
IF(TRIM(TO_TEXT(valor))=TRIM(TO_TEXT(I756)),
""OK"&amp;""",
""NO COINCIDE. Valor verdadero: ""&amp;IF(valor="""",""[VACÍO]"",TO_TEXT(valor))
)
))))
),""ERROR EN FÓRMULA""))"),"NO APLICA")</f>
        <v>NO APLICA</v>
      </c>
    </row>
    <row r="757">
      <c r="A757" s="83" t="s">
        <v>4078</v>
      </c>
      <c r="B757" s="83" t="s">
        <v>4079</v>
      </c>
      <c r="C757" s="81" t="s">
        <v>4086</v>
      </c>
      <c r="D757" s="83" t="s">
        <v>4500</v>
      </c>
      <c r="E757" s="81" t="s">
        <v>2326</v>
      </c>
      <c r="F757" s="84">
        <v>450.0</v>
      </c>
      <c r="G757" s="81" t="s">
        <v>12</v>
      </c>
      <c r="H757" s="81" t="s">
        <v>224</v>
      </c>
      <c r="I757" s="81" t="s">
        <v>55</v>
      </c>
      <c r="J757" s="81" t="s">
        <v>224</v>
      </c>
      <c r="K757" s="81" t="str">
        <f>IFERROR(__xludf.DUMMYFUNCTION("IF(OR(D757="""",G757=""""),"""",IFERROR(LET(
campo,XLOOKUP(TRIM(G757),ARRAYFORMULA(TRIM('indice columnas'!$A$2:$A$100)),'indice columnas'!$B$2:$B$100,""""),
col,IFERROR(MATCH(campo,Referencia!$A$1:$AZ$1,0),0),
fila,IFERROR(MATCH(TO_TEXT(D757),ARRAYFORMULA"&amp;"(TO_TEXT(Referencia!$A$2:$A6238)),0),0),
IF(OR(campo="""",campo=""-""),""NO APLICA"",
IF(col=0,""REVISAR EQUIVALENCIA"",
IF(fila=0,""SKU NO ENCONTRADO"",
LET(
valor,INDEX(Referencia!$A$2:$AZ6238,fila,col),
IF(TRIM(TO_TEXT(valor))=TRIM(TO_TEXT(I757)),
""OK"&amp;""",
""NO COINCIDE. Valor verdadero: ""&amp;IF(valor="""",""[VACÍO]"",TO_TEXT(valor))
)
))))
),""ERROR EN FÓRMULA""))"),"OK")</f>
        <v>OK</v>
      </c>
    </row>
    <row r="758">
      <c r="A758" s="83" t="s">
        <v>4078</v>
      </c>
      <c r="B758" s="83" t="s">
        <v>4079</v>
      </c>
      <c r="C758" s="81" t="s">
        <v>4086</v>
      </c>
      <c r="D758" s="83" t="s">
        <v>4500</v>
      </c>
      <c r="E758" s="81" t="s">
        <v>2326</v>
      </c>
      <c r="F758" s="84">
        <v>450.0</v>
      </c>
      <c r="G758" s="81" t="s">
        <v>29</v>
      </c>
      <c r="H758" s="81" t="s">
        <v>4499</v>
      </c>
      <c r="I758" s="81" t="s">
        <v>2325</v>
      </c>
      <c r="J758" s="81" t="s">
        <v>224</v>
      </c>
      <c r="K758" s="81" t="str">
        <f>IFERROR(__xludf.DUMMYFUNCTION("IF(OR(D758="""",G758=""""),"""",IFERROR(LET(
campo,XLOOKUP(TRIM(G758),ARRAYFORMULA(TRIM('indice columnas'!$A$2:$A$100)),'indice columnas'!$B$2:$B$100,""""),
col,IFERROR(MATCH(campo,Referencia!$A$1:$AZ$1,0),0),
fila,IFERROR(MATCH(TO_TEXT(D758),ARRAYFORMULA"&amp;"(TO_TEXT(Referencia!$A$2:$A6238)),0),0),
IF(OR(campo="""",campo=""-""),""NO APLICA"",
IF(col=0,""REVISAR EQUIVALENCIA"",
IF(fila=0,""SKU NO ENCONTRADO"",
LET(
valor,INDEX(Referencia!$A$2:$AZ6238,fila,col),
IF(TRIM(TO_TEXT(valor))=TRIM(TO_TEXT(I758)),
""OK"&amp;""",
""NO COINCIDE. Valor verdadero: ""&amp;IF(valor="""",""[VACÍO]"",TO_TEXT(valor))
)
))))
),""ERROR EN FÓRMULA""))"),"NO COINCIDE. Valor verdadero: 18 x 7 x 1000 (Ancho x Alto x Largo)")</f>
        <v>NO COINCIDE. Valor verdadero: 18 x 7 x 1000 (Ancho x Alto x Largo)</v>
      </c>
    </row>
    <row r="759">
      <c r="A759" s="83" t="s">
        <v>4078</v>
      </c>
      <c r="B759" s="83" t="s">
        <v>4079</v>
      </c>
      <c r="C759" s="81" t="s">
        <v>4086</v>
      </c>
      <c r="D759" s="83" t="s">
        <v>4500</v>
      </c>
      <c r="E759" s="81" t="s">
        <v>2326</v>
      </c>
      <c r="F759" s="84">
        <v>450.0</v>
      </c>
      <c r="G759" s="81" t="s">
        <v>44</v>
      </c>
      <c r="H759" s="81" t="s">
        <v>224</v>
      </c>
      <c r="I759" s="81" t="s">
        <v>924</v>
      </c>
      <c r="J759" s="81" t="s">
        <v>4088</v>
      </c>
      <c r="K759" s="81" t="str">
        <f>IFERROR(__xludf.DUMMYFUNCTION("IF(OR(D759="""",G759=""""),"""",IFERROR(LET(
campo,XLOOKUP(TRIM(G759),ARRAYFORMULA(TRIM('indice columnas'!$A$2:$A$100)),'indice columnas'!$B$2:$B$100,""""),
col,IFERROR(MATCH(campo,Referencia!$A$1:$AZ$1,0),0),
fila,IFERROR(MATCH(TO_TEXT(D759),ARRAYFORMULA"&amp;"(TO_TEXT(Referencia!$A$2:$A6238)),0),0),
IF(OR(campo="""",campo=""-""),""NO APLICA"",
IF(col=0,""REVISAR EQUIVALENCIA"",
IF(fila=0,""SKU NO ENCONTRADO"",
LET(
valor,INDEX(Referencia!$A$2:$AZ6238,fila,col),
IF(TRIM(TO_TEXT(valor))=TRIM(TO_TEXT(I759)),
""OK"&amp;""",
""NO COINCIDE. Valor verdadero: ""&amp;IF(valor="""",""[VACÍO]"",TO_TEXT(valor))
)
))))
),""ERROR EN FÓRMULA""))"),"NO APLICA")</f>
        <v>NO APLICA</v>
      </c>
    </row>
    <row r="760">
      <c r="A760" s="83" t="s">
        <v>4078</v>
      </c>
      <c r="B760" s="83" t="s">
        <v>4079</v>
      </c>
      <c r="C760" s="81" t="s">
        <v>4086</v>
      </c>
      <c r="D760" s="83" t="s">
        <v>4501</v>
      </c>
      <c r="E760" s="81" t="s">
        <v>2329</v>
      </c>
      <c r="F760" s="84">
        <v>451.0</v>
      </c>
      <c r="G760" s="81" t="s">
        <v>12</v>
      </c>
      <c r="H760" s="81" t="s">
        <v>224</v>
      </c>
      <c r="I760" s="81" t="s">
        <v>55</v>
      </c>
      <c r="J760" s="81" t="s">
        <v>224</v>
      </c>
      <c r="K760" s="81" t="str">
        <f>IFERROR(__xludf.DUMMYFUNCTION("IF(OR(D760="""",G760=""""),"""",IFERROR(LET(
campo,XLOOKUP(TRIM(G760),ARRAYFORMULA(TRIM('indice columnas'!$A$2:$A$100)),'indice columnas'!$B$2:$B$100,""""),
col,IFERROR(MATCH(campo,Referencia!$A$1:$AZ$1,0),0),
fila,IFERROR(MATCH(TO_TEXT(D760),ARRAYFORMULA"&amp;"(TO_TEXT(Referencia!$A$2:$A6238)),0),0),
IF(OR(campo="""",campo=""-""),""NO APLICA"",
IF(col=0,""REVISAR EQUIVALENCIA"",
IF(fila=0,""SKU NO ENCONTRADO"",
LET(
valor,INDEX(Referencia!$A$2:$AZ6238,fila,col),
IF(TRIM(TO_TEXT(valor))=TRIM(TO_TEXT(I760)),
""OK"&amp;""",
""NO COINCIDE. Valor verdadero: ""&amp;IF(valor="""",""[VACÍO]"",TO_TEXT(valor))
)
))))
),""ERROR EN FÓRMULA""))"),"OK")</f>
        <v>OK</v>
      </c>
    </row>
    <row r="761">
      <c r="A761" s="83" t="s">
        <v>4078</v>
      </c>
      <c r="B761" s="83" t="s">
        <v>4079</v>
      </c>
      <c r="C761" s="81" t="s">
        <v>4086</v>
      </c>
      <c r="D761" s="83" t="s">
        <v>4501</v>
      </c>
      <c r="E761" s="81" t="s">
        <v>2329</v>
      </c>
      <c r="F761" s="84">
        <v>451.0</v>
      </c>
      <c r="G761" s="81" t="s">
        <v>29</v>
      </c>
      <c r="H761" s="81" t="s">
        <v>4502</v>
      </c>
      <c r="I761" s="81" t="s">
        <v>2330</v>
      </c>
      <c r="J761" s="81" t="s">
        <v>224</v>
      </c>
      <c r="K761" s="81" t="str">
        <f>IFERROR(__xludf.DUMMYFUNCTION("IF(OR(D761="""",G761=""""),"""",IFERROR(LET(
campo,XLOOKUP(TRIM(G761),ARRAYFORMULA(TRIM('indice columnas'!$A$2:$A$100)),'indice columnas'!$B$2:$B$100,""""),
col,IFERROR(MATCH(campo,Referencia!$A$1:$AZ$1,0),0),
fila,IFERROR(MATCH(TO_TEXT(D761),ARRAYFORMULA"&amp;"(TO_TEXT(Referencia!$A$2:$A6238)),0),0),
IF(OR(campo="""",campo=""-""),""NO APLICA"",
IF(col=0,""REVISAR EQUIVALENCIA"",
IF(fila=0,""SKU NO ENCONTRADO"",
LET(
valor,INDEX(Referencia!$A$2:$AZ6238,fila,col),
IF(TRIM(TO_TEXT(valor))=TRIM(TO_TEXT(I761)),
""OK"&amp;""",
""NO COINCIDE. Valor verdadero: ""&amp;IF(valor="""",""[VACÍO]"",TO_TEXT(valor))
)
))))
),""ERROR EN FÓRMULA""))"),"NO COINCIDE. Valor verdadero: 15 x 30 x 2000 (Ancho x Alto x Largo)")</f>
        <v>NO COINCIDE. Valor verdadero: 15 x 30 x 2000 (Ancho x Alto x Largo)</v>
      </c>
    </row>
    <row r="762">
      <c r="A762" s="83" t="s">
        <v>4078</v>
      </c>
      <c r="B762" s="83" t="s">
        <v>4079</v>
      </c>
      <c r="C762" s="81" t="s">
        <v>4086</v>
      </c>
      <c r="D762" s="83" t="s">
        <v>4501</v>
      </c>
      <c r="E762" s="81" t="s">
        <v>2329</v>
      </c>
      <c r="F762" s="84">
        <v>451.0</v>
      </c>
      <c r="G762" s="81" t="s">
        <v>44</v>
      </c>
      <c r="H762" s="81" t="s">
        <v>224</v>
      </c>
      <c r="I762" s="81" t="s">
        <v>2329</v>
      </c>
      <c r="J762" s="81" t="s">
        <v>4088</v>
      </c>
      <c r="K762" s="81" t="str">
        <f>IFERROR(__xludf.DUMMYFUNCTION("IF(OR(D762="""",G762=""""),"""",IFERROR(LET(
campo,XLOOKUP(TRIM(G762),ARRAYFORMULA(TRIM('indice columnas'!$A$2:$A$100)),'indice columnas'!$B$2:$B$100,""""),
col,IFERROR(MATCH(campo,Referencia!$A$1:$AZ$1,0),0),
fila,IFERROR(MATCH(TO_TEXT(D762),ARRAYFORMULA"&amp;"(TO_TEXT(Referencia!$A$2:$A6238)),0),0),
IF(OR(campo="""",campo=""-""),""NO APLICA"",
IF(col=0,""REVISAR EQUIVALENCIA"",
IF(fila=0,""SKU NO ENCONTRADO"",
LET(
valor,INDEX(Referencia!$A$2:$AZ6238,fila,col),
IF(TRIM(TO_TEXT(valor))=TRIM(TO_TEXT(I762)),
""OK"&amp;""",
""NO COINCIDE. Valor verdadero: ""&amp;IF(valor="""",""[VACÍO]"",TO_TEXT(valor))
)
))))
),""ERROR EN FÓRMULA""))"),"NO APLICA")</f>
        <v>NO APLICA</v>
      </c>
    </row>
    <row r="763">
      <c r="A763" s="83" t="s">
        <v>4078</v>
      </c>
      <c r="B763" s="83" t="s">
        <v>4079</v>
      </c>
      <c r="C763" s="81" t="s">
        <v>4086</v>
      </c>
      <c r="D763" s="83" t="s">
        <v>4503</v>
      </c>
      <c r="E763" s="81" t="s">
        <v>2334</v>
      </c>
      <c r="F763" s="84">
        <v>452.0</v>
      </c>
      <c r="G763" s="81" t="s">
        <v>44</v>
      </c>
      <c r="H763" s="81" t="s">
        <v>4418</v>
      </c>
      <c r="I763" s="81" t="s">
        <v>1825</v>
      </c>
      <c r="J763" s="81" t="s">
        <v>4088</v>
      </c>
      <c r="K763" s="81" t="str">
        <f>IFERROR(__xludf.DUMMYFUNCTION("IF(OR(D763="""",G763=""""),"""",IFERROR(LET(
campo,XLOOKUP(TRIM(G763),ARRAYFORMULA(TRIM('indice columnas'!$A$2:$A$100)),'indice columnas'!$B$2:$B$100,""""),
col,IFERROR(MATCH(campo,Referencia!$A$1:$AZ$1,0),0),
fila,IFERROR(MATCH(TO_TEXT(D763),ARRAYFORMULA"&amp;"(TO_TEXT(Referencia!$A$2:$A6238)),0),0),
IF(OR(campo="""",campo=""-""),""NO APLICA"",
IF(col=0,""REVISAR EQUIVALENCIA"",
IF(fila=0,""SKU NO ENCONTRADO"",
LET(
valor,INDEX(Referencia!$A$2:$AZ6238,fila,col),
IF(TRIM(TO_TEXT(valor))=TRIM(TO_TEXT(I763)),
""OK"&amp;""",
""NO COINCIDE. Valor verdadero: ""&amp;IF(valor="""",""[VACÍO]"",TO_TEXT(valor))
)
))))
),""ERROR EN FÓRMULA""))"),"NO APLICA")</f>
        <v>NO APLICA</v>
      </c>
    </row>
    <row r="764">
      <c r="A764" s="83" t="s">
        <v>4078</v>
      </c>
      <c r="B764" s="83" t="s">
        <v>4079</v>
      </c>
      <c r="C764" s="81" t="s">
        <v>4086</v>
      </c>
      <c r="D764" s="83" t="s">
        <v>4504</v>
      </c>
      <c r="E764" s="81" t="s">
        <v>2335</v>
      </c>
      <c r="F764" s="84">
        <v>453.0</v>
      </c>
      <c r="G764" s="81" t="s">
        <v>12</v>
      </c>
      <c r="H764" s="81" t="s">
        <v>224</v>
      </c>
      <c r="I764" s="81" t="s">
        <v>55</v>
      </c>
      <c r="J764" s="81" t="s">
        <v>224</v>
      </c>
      <c r="K764" s="81" t="str">
        <f>IFERROR(__xludf.DUMMYFUNCTION("IF(OR(D764="""",G764=""""),"""",IFERROR(LET(
campo,XLOOKUP(TRIM(G764),ARRAYFORMULA(TRIM('indice columnas'!$A$2:$A$100)),'indice columnas'!$B$2:$B$100,""""),
col,IFERROR(MATCH(campo,Referencia!$A$1:$AZ$1,0),0),
fila,IFERROR(MATCH(TO_TEXT(D764),ARRAYFORMULA"&amp;"(TO_TEXT(Referencia!$A$2:$A6238)),0),0),
IF(OR(campo="""",campo=""-""),""NO APLICA"",
IF(col=0,""REVISAR EQUIVALENCIA"",
IF(fila=0,""SKU NO ENCONTRADO"",
LET(
valor,INDEX(Referencia!$A$2:$AZ6238,fila,col),
IF(TRIM(TO_TEXT(valor))=TRIM(TO_TEXT(I764)),
""OK"&amp;""",
""NO COINCIDE. Valor verdadero: ""&amp;IF(valor="""",""[VACÍO]"",TO_TEXT(valor))
)
))))
),""ERROR EN FÓRMULA""))"),"OK")</f>
        <v>OK</v>
      </c>
    </row>
    <row r="765">
      <c r="A765" s="83" t="s">
        <v>4078</v>
      </c>
      <c r="B765" s="83" t="s">
        <v>4079</v>
      </c>
      <c r="C765" s="81" t="s">
        <v>4086</v>
      </c>
      <c r="D765" s="83" t="s">
        <v>4504</v>
      </c>
      <c r="E765" s="81" t="s">
        <v>2335</v>
      </c>
      <c r="F765" s="84">
        <v>453.0</v>
      </c>
      <c r="G765" s="81" t="s">
        <v>44</v>
      </c>
      <c r="H765" s="81" t="s">
        <v>4418</v>
      </c>
      <c r="I765" s="81" t="s">
        <v>1825</v>
      </c>
      <c r="J765" s="81" t="s">
        <v>4088</v>
      </c>
      <c r="K765" s="81" t="str">
        <f>IFERROR(__xludf.DUMMYFUNCTION("IF(OR(D765="""",G765=""""),"""",IFERROR(LET(
campo,XLOOKUP(TRIM(G765),ARRAYFORMULA(TRIM('indice columnas'!$A$2:$A$100)),'indice columnas'!$B$2:$B$100,""""),
col,IFERROR(MATCH(campo,Referencia!$A$1:$AZ$1,0),0),
fila,IFERROR(MATCH(TO_TEXT(D765),ARRAYFORMULA"&amp;"(TO_TEXT(Referencia!$A$2:$A6238)),0),0),
IF(OR(campo="""",campo=""-""),""NO APLICA"",
IF(col=0,""REVISAR EQUIVALENCIA"",
IF(fila=0,""SKU NO ENCONTRADO"",
LET(
valor,INDEX(Referencia!$A$2:$AZ6238,fila,col),
IF(TRIM(TO_TEXT(valor))=TRIM(TO_TEXT(I765)),
""OK"&amp;""",
""NO COINCIDE. Valor verdadero: ""&amp;IF(valor="""",""[VACÍO]"",TO_TEXT(valor))
)
))))
),""ERROR EN FÓRMULA""))"),"NO APLICA")</f>
        <v>NO APLICA</v>
      </c>
    </row>
    <row r="766">
      <c r="A766" s="83" t="s">
        <v>4078</v>
      </c>
      <c r="B766" s="83" t="s">
        <v>4079</v>
      </c>
      <c r="C766" s="81" t="s">
        <v>4086</v>
      </c>
      <c r="D766" s="83" t="s">
        <v>4505</v>
      </c>
      <c r="E766" s="81" t="s">
        <v>2337</v>
      </c>
      <c r="F766" s="84">
        <v>454.0</v>
      </c>
      <c r="G766" s="81" t="s">
        <v>12</v>
      </c>
      <c r="H766" s="81" t="s">
        <v>224</v>
      </c>
      <c r="I766" s="81" t="s">
        <v>55</v>
      </c>
      <c r="J766" s="81" t="s">
        <v>224</v>
      </c>
      <c r="K766" s="81" t="str">
        <f>IFERROR(__xludf.DUMMYFUNCTION("IF(OR(D766="""",G766=""""),"""",IFERROR(LET(
campo,XLOOKUP(TRIM(G766),ARRAYFORMULA(TRIM('indice columnas'!$A$2:$A$100)),'indice columnas'!$B$2:$B$100,""""),
col,IFERROR(MATCH(campo,Referencia!$A$1:$AZ$1,0),0),
fila,IFERROR(MATCH(TO_TEXT(D766),ARRAYFORMULA"&amp;"(TO_TEXT(Referencia!$A$2:$A6238)),0),0),
IF(OR(campo="""",campo=""-""),""NO APLICA"",
IF(col=0,""REVISAR EQUIVALENCIA"",
IF(fila=0,""SKU NO ENCONTRADO"",
LET(
valor,INDEX(Referencia!$A$2:$AZ6238,fila,col),
IF(TRIM(TO_TEXT(valor))=TRIM(TO_TEXT(I766)),
""OK"&amp;""",
""NO COINCIDE. Valor verdadero: ""&amp;IF(valor="""",""[VACÍO]"",TO_TEXT(valor))
)
))))
),""ERROR EN FÓRMULA""))"),"OK")</f>
        <v>OK</v>
      </c>
    </row>
    <row r="767">
      <c r="A767" s="83" t="s">
        <v>4078</v>
      </c>
      <c r="B767" s="83" t="s">
        <v>4079</v>
      </c>
      <c r="C767" s="81" t="s">
        <v>4086</v>
      </c>
      <c r="D767" s="83" t="s">
        <v>4505</v>
      </c>
      <c r="E767" s="81" t="s">
        <v>2337</v>
      </c>
      <c r="F767" s="84">
        <v>454.0</v>
      </c>
      <c r="G767" s="81" t="s">
        <v>44</v>
      </c>
      <c r="H767" s="81" t="s">
        <v>4418</v>
      </c>
      <c r="I767" s="81" t="s">
        <v>1825</v>
      </c>
      <c r="J767" s="81" t="s">
        <v>4088</v>
      </c>
      <c r="K767" s="81" t="str">
        <f>IFERROR(__xludf.DUMMYFUNCTION("IF(OR(D767="""",G767=""""),"""",IFERROR(LET(
campo,XLOOKUP(TRIM(G767),ARRAYFORMULA(TRIM('indice columnas'!$A$2:$A$100)),'indice columnas'!$B$2:$B$100,""""),
col,IFERROR(MATCH(campo,Referencia!$A$1:$AZ$1,0),0),
fila,IFERROR(MATCH(TO_TEXT(D767),ARRAYFORMULA"&amp;"(TO_TEXT(Referencia!$A$2:$A6238)),0),0),
IF(OR(campo="""",campo=""-""),""NO APLICA"",
IF(col=0,""REVISAR EQUIVALENCIA"",
IF(fila=0,""SKU NO ENCONTRADO"",
LET(
valor,INDEX(Referencia!$A$2:$AZ6238,fila,col),
IF(TRIM(TO_TEXT(valor))=TRIM(TO_TEXT(I767)),
""OK"&amp;""",
""NO COINCIDE. Valor verdadero: ""&amp;IF(valor="""",""[VACÍO]"",TO_TEXT(valor))
)
))))
),""ERROR EN FÓRMULA""))"),"NO APLICA")</f>
        <v>NO APLICA</v>
      </c>
    </row>
    <row r="768">
      <c r="A768" s="83" t="s">
        <v>4078</v>
      </c>
      <c r="B768" s="83" t="s">
        <v>4079</v>
      </c>
      <c r="C768" s="81" t="s">
        <v>4086</v>
      </c>
      <c r="D768" s="83" t="s">
        <v>4506</v>
      </c>
      <c r="E768" s="81" t="s">
        <v>2338</v>
      </c>
      <c r="F768" s="84">
        <v>455.0</v>
      </c>
      <c r="G768" s="81" t="s">
        <v>44</v>
      </c>
      <c r="H768" s="81" t="s">
        <v>224</v>
      </c>
      <c r="I768" s="81" t="s">
        <v>2338</v>
      </c>
      <c r="J768" s="81" t="s">
        <v>4088</v>
      </c>
      <c r="K768" s="81" t="str">
        <f>IFERROR(__xludf.DUMMYFUNCTION("IF(OR(D768="""",G768=""""),"""",IFERROR(LET(
campo,XLOOKUP(TRIM(G768),ARRAYFORMULA(TRIM('indice columnas'!$A$2:$A$100)),'indice columnas'!$B$2:$B$100,""""),
col,IFERROR(MATCH(campo,Referencia!$A$1:$AZ$1,0),0),
fila,IFERROR(MATCH(TO_TEXT(D768),ARRAYFORMULA"&amp;"(TO_TEXT(Referencia!$A$2:$A6238)),0),0),
IF(OR(campo="""",campo=""-""),""NO APLICA"",
IF(col=0,""REVISAR EQUIVALENCIA"",
IF(fila=0,""SKU NO ENCONTRADO"",
LET(
valor,INDEX(Referencia!$A$2:$AZ6238,fila,col),
IF(TRIM(TO_TEXT(valor))=TRIM(TO_TEXT(I768)),
""OK"&amp;""",
""NO COINCIDE. Valor verdadero: ""&amp;IF(valor="""",""[VACÍO]"",TO_TEXT(valor))
)
))))
),""ERROR EN FÓRMULA""))"),"NO APLICA")</f>
        <v>NO APLICA</v>
      </c>
    </row>
    <row r="769">
      <c r="A769" s="83" t="s">
        <v>4078</v>
      </c>
      <c r="B769" s="83" t="s">
        <v>4079</v>
      </c>
      <c r="C769" s="81" t="s">
        <v>4086</v>
      </c>
      <c r="D769" s="83" t="s">
        <v>4507</v>
      </c>
      <c r="E769" s="81" t="s">
        <v>2349</v>
      </c>
      <c r="F769" s="84">
        <v>456.0</v>
      </c>
      <c r="G769" s="81" t="s">
        <v>12</v>
      </c>
      <c r="H769" s="81" t="s">
        <v>224</v>
      </c>
      <c r="I769" s="81" t="s">
        <v>55</v>
      </c>
      <c r="J769" s="81" t="s">
        <v>224</v>
      </c>
      <c r="K769" s="81" t="str">
        <f>IFERROR(__xludf.DUMMYFUNCTION("IF(OR(D769="""",G769=""""),"""",IFERROR(LET(
campo,XLOOKUP(TRIM(G769),ARRAYFORMULA(TRIM('indice columnas'!$A$2:$A$100)),'indice columnas'!$B$2:$B$100,""""),
col,IFERROR(MATCH(campo,Referencia!$A$1:$AZ$1,0),0),
fila,IFERROR(MATCH(TO_TEXT(D769),ARRAYFORMULA"&amp;"(TO_TEXT(Referencia!$A$2:$A6238)),0),0),
IF(OR(campo="""",campo=""-""),""NO APLICA"",
IF(col=0,""REVISAR EQUIVALENCIA"",
IF(fila=0,""SKU NO ENCONTRADO"",
LET(
valor,INDEX(Referencia!$A$2:$AZ6238,fila,col),
IF(TRIM(TO_TEXT(valor))=TRIM(TO_TEXT(I769)),
""OK"&amp;""",
""NO COINCIDE. Valor verdadero: ""&amp;IF(valor="""",""[VACÍO]"",TO_TEXT(valor))
)
))))
),""ERROR EN FÓRMULA""))"),"OK")</f>
        <v>OK</v>
      </c>
    </row>
    <row r="770">
      <c r="A770" s="83" t="s">
        <v>4078</v>
      </c>
      <c r="B770" s="83" t="s">
        <v>4079</v>
      </c>
      <c r="C770" s="81" t="s">
        <v>4086</v>
      </c>
      <c r="D770" s="83" t="s">
        <v>4507</v>
      </c>
      <c r="E770" s="81" t="s">
        <v>2349</v>
      </c>
      <c r="F770" s="84">
        <v>456.0</v>
      </c>
      <c r="G770" s="81" t="s">
        <v>44</v>
      </c>
      <c r="H770" s="81" t="s">
        <v>224</v>
      </c>
      <c r="I770" s="81" t="s">
        <v>1923</v>
      </c>
      <c r="J770" s="81" t="s">
        <v>4088</v>
      </c>
      <c r="K770" s="81" t="str">
        <f>IFERROR(__xludf.DUMMYFUNCTION("IF(OR(D770="""",G770=""""),"""",IFERROR(LET(
campo,XLOOKUP(TRIM(G770),ARRAYFORMULA(TRIM('indice columnas'!$A$2:$A$100)),'indice columnas'!$B$2:$B$100,""""),
col,IFERROR(MATCH(campo,Referencia!$A$1:$AZ$1,0),0),
fila,IFERROR(MATCH(TO_TEXT(D770),ARRAYFORMULA"&amp;"(TO_TEXT(Referencia!$A$2:$A6238)),0),0),
IF(OR(campo="""",campo=""-""),""NO APLICA"",
IF(col=0,""REVISAR EQUIVALENCIA"",
IF(fila=0,""SKU NO ENCONTRADO"",
LET(
valor,INDEX(Referencia!$A$2:$AZ6238,fila,col),
IF(TRIM(TO_TEXT(valor))=TRIM(TO_TEXT(I770)),
""OK"&amp;""",
""NO COINCIDE. Valor verdadero: ""&amp;IF(valor="""",""[VACÍO]"",TO_TEXT(valor))
)
))))
),""ERROR EN FÓRMULA""))"),"NO APLICA")</f>
        <v>NO APLICA</v>
      </c>
    </row>
    <row r="771">
      <c r="A771" s="83" t="s">
        <v>4078</v>
      </c>
      <c r="B771" s="83" t="s">
        <v>4079</v>
      </c>
      <c r="C771" s="81" t="s">
        <v>4086</v>
      </c>
      <c r="D771" s="83" t="s">
        <v>4508</v>
      </c>
      <c r="E771" s="81" t="s">
        <v>2352</v>
      </c>
      <c r="F771" s="84">
        <v>457.0</v>
      </c>
      <c r="G771" s="81" t="s">
        <v>12</v>
      </c>
      <c r="H771" s="81" t="s">
        <v>224</v>
      </c>
      <c r="I771" s="81" t="s">
        <v>55</v>
      </c>
      <c r="J771" s="81" t="s">
        <v>224</v>
      </c>
      <c r="K771" s="81" t="str">
        <f>IFERROR(__xludf.DUMMYFUNCTION("IF(OR(D771="""",G771=""""),"""",IFERROR(LET(
campo,XLOOKUP(TRIM(G771),ARRAYFORMULA(TRIM('indice columnas'!$A$2:$A$100)),'indice columnas'!$B$2:$B$100,""""),
col,IFERROR(MATCH(campo,Referencia!$A$1:$AZ$1,0),0),
fila,IFERROR(MATCH(TO_TEXT(D771),ARRAYFORMULA"&amp;"(TO_TEXT(Referencia!$A$2:$A6238)),0),0),
IF(OR(campo="""",campo=""-""),""NO APLICA"",
IF(col=0,""REVISAR EQUIVALENCIA"",
IF(fila=0,""SKU NO ENCONTRADO"",
LET(
valor,INDEX(Referencia!$A$2:$AZ6238,fila,col),
IF(TRIM(TO_TEXT(valor))=TRIM(TO_TEXT(I771)),
""OK"&amp;""",
""NO COINCIDE. Valor verdadero: ""&amp;IF(valor="""",""[VACÍO]"",TO_TEXT(valor))
)
))))
),""ERROR EN FÓRMULA""))"),"OK")</f>
        <v>OK</v>
      </c>
    </row>
    <row r="772">
      <c r="A772" s="83" t="s">
        <v>4078</v>
      </c>
      <c r="B772" s="83" t="s">
        <v>4079</v>
      </c>
      <c r="C772" s="81" t="s">
        <v>4086</v>
      </c>
      <c r="D772" s="83" t="s">
        <v>4508</v>
      </c>
      <c r="E772" s="81" t="s">
        <v>2352</v>
      </c>
      <c r="F772" s="84">
        <v>457.0</v>
      </c>
      <c r="G772" s="81" t="s">
        <v>44</v>
      </c>
      <c r="H772" s="81" t="s">
        <v>224</v>
      </c>
      <c r="I772" s="81" t="s">
        <v>1935</v>
      </c>
      <c r="J772" s="81" t="s">
        <v>4088</v>
      </c>
      <c r="K772" s="81" t="str">
        <f>IFERROR(__xludf.DUMMYFUNCTION("IF(OR(D772="""",G772=""""),"""",IFERROR(LET(
campo,XLOOKUP(TRIM(G772),ARRAYFORMULA(TRIM('indice columnas'!$A$2:$A$100)),'indice columnas'!$B$2:$B$100,""""),
col,IFERROR(MATCH(campo,Referencia!$A$1:$AZ$1,0),0),
fila,IFERROR(MATCH(TO_TEXT(D772),ARRAYFORMULA"&amp;"(TO_TEXT(Referencia!$A$2:$A6238)),0),0),
IF(OR(campo="""",campo=""-""),""NO APLICA"",
IF(col=0,""REVISAR EQUIVALENCIA"",
IF(fila=0,""SKU NO ENCONTRADO"",
LET(
valor,INDEX(Referencia!$A$2:$AZ6238,fila,col),
IF(TRIM(TO_TEXT(valor))=TRIM(TO_TEXT(I772)),
""OK"&amp;""",
""NO COINCIDE. Valor verdadero: ""&amp;IF(valor="""",""[VACÍO]"",TO_TEXT(valor))
)
))))
),""ERROR EN FÓRMULA""))"),"NO APLICA")</f>
        <v>NO APLICA</v>
      </c>
    </row>
    <row r="773">
      <c r="A773" s="83" t="s">
        <v>4078</v>
      </c>
      <c r="B773" s="83" t="s">
        <v>4079</v>
      </c>
      <c r="C773" s="81" t="s">
        <v>4086</v>
      </c>
      <c r="D773" s="83" t="s">
        <v>4509</v>
      </c>
      <c r="E773" s="81" t="s">
        <v>2355</v>
      </c>
      <c r="F773" s="84">
        <v>458.0</v>
      </c>
      <c r="G773" s="81" t="s">
        <v>12</v>
      </c>
      <c r="H773" s="81" t="s">
        <v>224</v>
      </c>
      <c r="I773" s="81" t="s">
        <v>55</v>
      </c>
      <c r="J773" s="81" t="s">
        <v>224</v>
      </c>
      <c r="K773" s="81" t="str">
        <f>IFERROR(__xludf.DUMMYFUNCTION("IF(OR(D773="""",G773=""""),"""",IFERROR(LET(
campo,XLOOKUP(TRIM(G773),ARRAYFORMULA(TRIM('indice columnas'!$A$2:$A$100)),'indice columnas'!$B$2:$B$100,""""),
col,IFERROR(MATCH(campo,Referencia!$A$1:$AZ$1,0),0),
fila,IFERROR(MATCH(TO_TEXT(D773),ARRAYFORMULA"&amp;"(TO_TEXT(Referencia!$A$2:$A6238)),0),0),
IF(OR(campo="""",campo=""-""),""NO APLICA"",
IF(col=0,""REVISAR EQUIVALENCIA"",
IF(fila=0,""SKU NO ENCONTRADO"",
LET(
valor,INDEX(Referencia!$A$2:$AZ6238,fila,col),
IF(TRIM(TO_TEXT(valor))=TRIM(TO_TEXT(I773)),
""OK"&amp;""",
""NO COINCIDE. Valor verdadero: ""&amp;IF(valor="""",""[VACÍO]"",TO_TEXT(valor))
)
))))
),""ERROR EN FÓRMULA""))"),"OK")</f>
        <v>OK</v>
      </c>
    </row>
    <row r="774">
      <c r="A774" s="83" t="s">
        <v>4078</v>
      </c>
      <c r="B774" s="83" t="s">
        <v>4079</v>
      </c>
      <c r="C774" s="81" t="s">
        <v>4086</v>
      </c>
      <c r="D774" s="83" t="s">
        <v>4509</v>
      </c>
      <c r="E774" s="81" t="s">
        <v>2355</v>
      </c>
      <c r="F774" s="84">
        <v>458.0</v>
      </c>
      <c r="G774" s="81" t="s">
        <v>44</v>
      </c>
      <c r="H774" s="81" t="s">
        <v>224</v>
      </c>
      <c r="I774" s="81" t="s">
        <v>1950</v>
      </c>
      <c r="J774" s="81" t="s">
        <v>4088</v>
      </c>
      <c r="K774" s="81" t="str">
        <f>IFERROR(__xludf.DUMMYFUNCTION("IF(OR(D774="""",G774=""""),"""",IFERROR(LET(
campo,XLOOKUP(TRIM(G774),ARRAYFORMULA(TRIM('indice columnas'!$A$2:$A$100)),'indice columnas'!$B$2:$B$100,""""),
col,IFERROR(MATCH(campo,Referencia!$A$1:$AZ$1,0),0),
fila,IFERROR(MATCH(TO_TEXT(D774),ARRAYFORMULA"&amp;"(TO_TEXT(Referencia!$A$2:$A6238)),0),0),
IF(OR(campo="""",campo=""-""),""NO APLICA"",
IF(col=0,""REVISAR EQUIVALENCIA"",
IF(fila=0,""SKU NO ENCONTRADO"",
LET(
valor,INDEX(Referencia!$A$2:$AZ6238,fila,col),
IF(TRIM(TO_TEXT(valor))=TRIM(TO_TEXT(I774)),
""OK"&amp;""",
""NO COINCIDE. Valor verdadero: ""&amp;IF(valor="""",""[VACÍO]"",TO_TEXT(valor))
)
))))
),""ERROR EN FÓRMULA""))"),"NO APLICA")</f>
        <v>NO APLICA</v>
      </c>
    </row>
    <row r="775">
      <c r="A775" s="83" t="s">
        <v>4078</v>
      </c>
      <c r="B775" s="83" t="s">
        <v>4079</v>
      </c>
      <c r="C775" s="81" t="s">
        <v>4086</v>
      </c>
      <c r="D775" s="83" t="s">
        <v>4510</v>
      </c>
      <c r="E775" s="81" t="s">
        <v>2357</v>
      </c>
      <c r="F775" s="84">
        <v>459.0</v>
      </c>
      <c r="G775" s="81" t="s">
        <v>12</v>
      </c>
      <c r="H775" s="81" t="s">
        <v>224</v>
      </c>
      <c r="I775" s="81" t="s">
        <v>55</v>
      </c>
      <c r="J775" s="81" t="s">
        <v>224</v>
      </c>
      <c r="K775" s="81" t="str">
        <f>IFERROR(__xludf.DUMMYFUNCTION("IF(OR(D775="""",G775=""""),"""",IFERROR(LET(
campo,XLOOKUP(TRIM(G775),ARRAYFORMULA(TRIM('indice columnas'!$A$2:$A$100)),'indice columnas'!$B$2:$B$100,""""),
col,IFERROR(MATCH(campo,Referencia!$A$1:$AZ$1,0),0),
fila,IFERROR(MATCH(TO_TEXT(D775),ARRAYFORMULA"&amp;"(TO_TEXT(Referencia!$A$2:$A6238)),0),0),
IF(OR(campo="""",campo=""-""),""NO APLICA"",
IF(col=0,""REVISAR EQUIVALENCIA"",
IF(fila=0,""SKU NO ENCONTRADO"",
LET(
valor,INDEX(Referencia!$A$2:$AZ6238,fila,col),
IF(TRIM(TO_TEXT(valor))=TRIM(TO_TEXT(I775)),
""OK"&amp;""",
""NO COINCIDE. Valor verdadero: ""&amp;IF(valor="""",""[VACÍO]"",TO_TEXT(valor))
)
))))
),""ERROR EN FÓRMULA""))"),"OK")</f>
        <v>OK</v>
      </c>
    </row>
    <row r="776">
      <c r="A776" s="83" t="s">
        <v>4078</v>
      </c>
      <c r="B776" s="83" t="s">
        <v>4079</v>
      </c>
      <c r="C776" s="81" t="s">
        <v>4086</v>
      </c>
      <c r="D776" s="83" t="s">
        <v>4510</v>
      </c>
      <c r="E776" s="81" t="s">
        <v>2357</v>
      </c>
      <c r="F776" s="84">
        <v>459.0</v>
      </c>
      <c r="G776" s="81" t="s">
        <v>44</v>
      </c>
      <c r="H776" s="81" t="s">
        <v>224</v>
      </c>
      <c r="I776" s="81" t="s">
        <v>1950</v>
      </c>
      <c r="J776" s="81" t="s">
        <v>4088</v>
      </c>
      <c r="K776" s="81" t="str">
        <f>IFERROR(__xludf.DUMMYFUNCTION("IF(OR(D776="""",G776=""""),"""",IFERROR(LET(
campo,XLOOKUP(TRIM(G776),ARRAYFORMULA(TRIM('indice columnas'!$A$2:$A$100)),'indice columnas'!$B$2:$B$100,""""),
col,IFERROR(MATCH(campo,Referencia!$A$1:$AZ$1,0),0),
fila,IFERROR(MATCH(TO_TEXT(D776),ARRAYFORMULA"&amp;"(TO_TEXT(Referencia!$A$2:$A6238)),0),0),
IF(OR(campo="""",campo=""-""),""NO APLICA"",
IF(col=0,""REVISAR EQUIVALENCIA"",
IF(fila=0,""SKU NO ENCONTRADO"",
LET(
valor,INDEX(Referencia!$A$2:$AZ6238,fila,col),
IF(TRIM(TO_TEXT(valor))=TRIM(TO_TEXT(I776)),
""OK"&amp;""",
""NO COINCIDE. Valor verdadero: ""&amp;IF(valor="""",""[VACÍO]"",TO_TEXT(valor))
)
))))
),""ERROR EN FÓRMULA""))"),"NO APLICA")</f>
        <v>NO APLICA</v>
      </c>
    </row>
    <row r="777">
      <c r="A777" s="83" t="s">
        <v>4078</v>
      </c>
      <c r="B777" s="83" t="s">
        <v>4079</v>
      </c>
      <c r="C777" s="81" t="s">
        <v>4086</v>
      </c>
      <c r="D777" s="83" t="s">
        <v>4511</v>
      </c>
      <c r="E777" s="81" t="s">
        <v>2359</v>
      </c>
      <c r="F777" s="84">
        <v>460.0</v>
      </c>
      <c r="G777" s="81" t="s">
        <v>12</v>
      </c>
      <c r="H777" s="81" t="s">
        <v>224</v>
      </c>
      <c r="I777" s="81" t="s">
        <v>55</v>
      </c>
      <c r="J777" s="81" t="s">
        <v>224</v>
      </c>
      <c r="K777" s="81" t="str">
        <f>IFERROR(__xludf.DUMMYFUNCTION("IF(OR(D777="""",G777=""""),"""",IFERROR(LET(
campo,XLOOKUP(TRIM(G777),ARRAYFORMULA(TRIM('indice columnas'!$A$2:$A$100)),'indice columnas'!$B$2:$B$100,""""),
col,IFERROR(MATCH(campo,Referencia!$A$1:$AZ$1,0),0),
fila,IFERROR(MATCH(TO_TEXT(D777),ARRAYFORMULA"&amp;"(TO_TEXT(Referencia!$A$2:$A6238)),0),0),
IF(OR(campo="""",campo=""-""),""NO APLICA"",
IF(col=0,""REVISAR EQUIVALENCIA"",
IF(fila=0,""SKU NO ENCONTRADO"",
LET(
valor,INDEX(Referencia!$A$2:$AZ6238,fila,col),
IF(TRIM(TO_TEXT(valor))=TRIM(TO_TEXT(I777)),
""OK"&amp;""",
""NO COINCIDE. Valor verdadero: ""&amp;IF(valor="""",""[VACÍO]"",TO_TEXT(valor))
)
))))
),""ERROR EN FÓRMULA""))"),"OK")</f>
        <v>OK</v>
      </c>
    </row>
    <row r="778">
      <c r="A778" s="83" t="s">
        <v>4078</v>
      </c>
      <c r="B778" s="83" t="s">
        <v>4079</v>
      </c>
      <c r="C778" s="81" t="s">
        <v>4086</v>
      </c>
      <c r="D778" s="83" t="s">
        <v>4511</v>
      </c>
      <c r="E778" s="81" t="s">
        <v>2359</v>
      </c>
      <c r="F778" s="84">
        <v>460.0</v>
      </c>
      <c r="G778" s="81" t="s">
        <v>44</v>
      </c>
      <c r="H778" s="81" t="s">
        <v>224</v>
      </c>
      <c r="I778" s="81" t="s">
        <v>1825</v>
      </c>
      <c r="J778" s="81" t="s">
        <v>4088</v>
      </c>
      <c r="K778" s="81" t="str">
        <f>IFERROR(__xludf.DUMMYFUNCTION("IF(OR(D778="""",G778=""""),"""",IFERROR(LET(
campo,XLOOKUP(TRIM(G778),ARRAYFORMULA(TRIM('indice columnas'!$A$2:$A$100)),'indice columnas'!$B$2:$B$100,""""),
col,IFERROR(MATCH(campo,Referencia!$A$1:$AZ$1,0),0),
fila,IFERROR(MATCH(TO_TEXT(D778),ARRAYFORMULA"&amp;"(TO_TEXT(Referencia!$A$2:$A6238)),0),0),
IF(OR(campo="""",campo=""-""),""NO APLICA"",
IF(col=0,""REVISAR EQUIVALENCIA"",
IF(fila=0,""SKU NO ENCONTRADO"",
LET(
valor,INDEX(Referencia!$A$2:$AZ6238,fila,col),
IF(TRIM(TO_TEXT(valor))=TRIM(TO_TEXT(I778)),
""OK"&amp;""",
""NO COINCIDE. Valor verdadero: ""&amp;IF(valor="""",""[VACÍO]"",TO_TEXT(valor))
)
))))
),""ERROR EN FÓRMULA""))"),"NO APLICA")</f>
        <v>NO APLICA</v>
      </c>
    </row>
    <row r="779">
      <c r="A779" s="83" t="s">
        <v>4078</v>
      </c>
      <c r="B779" s="83" t="s">
        <v>4079</v>
      </c>
      <c r="C779" s="81" t="s">
        <v>4086</v>
      </c>
      <c r="D779" s="83" t="s">
        <v>4512</v>
      </c>
      <c r="E779" s="81" t="s">
        <v>2363</v>
      </c>
      <c r="F779" s="84">
        <v>461.0</v>
      </c>
      <c r="G779" s="81" t="s">
        <v>12</v>
      </c>
      <c r="H779" s="81" t="s">
        <v>224</v>
      </c>
      <c r="I779" s="81" t="s">
        <v>55</v>
      </c>
      <c r="J779" s="81" t="s">
        <v>224</v>
      </c>
      <c r="K779" s="81" t="str">
        <f>IFERROR(__xludf.DUMMYFUNCTION("IF(OR(D779="""",G779=""""),"""",IFERROR(LET(
campo,XLOOKUP(TRIM(G779),ARRAYFORMULA(TRIM('indice columnas'!$A$2:$A$100)),'indice columnas'!$B$2:$B$100,""""),
col,IFERROR(MATCH(campo,Referencia!$A$1:$AZ$1,0),0),
fila,IFERROR(MATCH(TO_TEXT(D779),ARRAYFORMULA"&amp;"(TO_TEXT(Referencia!$A$2:$A6238)),0),0),
IF(OR(campo="""",campo=""-""),""NO APLICA"",
IF(col=0,""REVISAR EQUIVALENCIA"",
IF(fila=0,""SKU NO ENCONTRADO"",
LET(
valor,INDEX(Referencia!$A$2:$AZ6238,fila,col),
IF(TRIM(TO_TEXT(valor))=TRIM(TO_TEXT(I779)),
""OK"&amp;""",
""NO COINCIDE. Valor verdadero: ""&amp;IF(valor="""",""[VACÍO]"",TO_TEXT(valor))
)
))))
),""ERROR EN FÓRMULA""))"),"OK")</f>
        <v>OK</v>
      </c>
    </row>
    <row r="780">
      <c r="A780" s="83" t="s">
        <v>4078</v>
      </c>
      <c r="B780" s="83" t="s">
        <v>4079</v>
      </c>
      <c r="C780" s="81" t="s">
        <v>4086</v>
      </c>
      <c r="D780" s="83" t="s">
        <v>4512</v>
      </c>
      <c r="E780" s="81" t="s">
        <v>2363</v>
      </c>
      <c r="F780" s="84">
        <v>461.0</v>
      </c>
      <c r="G780" s="81" t="s">
        <v>44</v>
      </c>
      <c r="H780" s="81" t="s">
        <v>224</v>
      </c>
      <c r="I780" s="81" t="s">
        <v>1825</v>
      </c>
      <c r="J780" s="81" t="s">
        <v>4088</v>
      </c>
      <c r="K780" s="81" t="str">
        <f>IFERROR(__xludf.DUMMYFUNCTION("IF(OR(D780="""",G780=""""),"""",IFERROR(LET(
campo,XLOOKUP(TRIM(G780),ARRAYFORMULA(TRIM('indice columnas'!$A$2:$A$100)),'indice columnas'!$B$2:$B$100,""""),
col,IFERROR(MATCH(campo,Referencia!$A$1:$AZ$1,0),0),
fila,IFERROR(MATCH(TO_TEXT(D780),ARRAYFORMULA"&amp;"(TO_TEXT(Referencia!$A$2:$A6238)),0),0),
IF(OR(campo="""",campo=""-""),""NO APLICA"",
IF(col=0,""REVISAR EQUIVALENCIA"",
IF(fila=0,""SKU NO ENCONTRADO"",
LET(
valor,INDEX(Referencia!$A$2:$AZ6238,fila,col),
IF(TRIM(TO_TEXT(valor))=TRIM(TO_TEXT(I780)),
""OK"&amp;""",
""NO COINCIDE. Valor verdadero: ""&amp;IF(valor="""",""[VACÍO]"",TO_TEXT(valor))
)
))))
),""ERROR EN FÓRMULA""))"),"NO APLICA")</f>
        <v>NO APLICA</v>
      </c>
    </row>
    <row r="781">
      <c r="A781" s="83" t="s">
        <v>4078</v>
      </c>
      <c r="B781" s="83" t="s">
        <v>4079</v>
      </c>
      <c r="C781" s="81" t="s">
        <v>4086</v>
      </c>
      <c r="D781" s="83" t="s">
        <v>4513</v>
      </c>
      <c r="E781" s="81" t="s">
        <v>2366</v>
      </c>
      <c r="F781" s="84">
        <v>462.0</v>
      </c>
      <c r="G781" s="81" t="s">
        <v>12</v>
      </c>
      <c r="H781" s="81" t="s">
        <v>224</v>
      </c>
      <c r="I781" s="81" t="s">
        <v>55</v>
      </c>
      <c r="J781" s="81" t="s">
        <v>224</v>
      </c>
      <c r="K781" s="81" t="str">
        <f>IFERROR(__xludf.DUMMYFUNCTION("IF(OR(D781="""",G781=""""),"""",IFERROR(LET(
campo,XLOOKUP(TRIM(G781),ARRAYFORMULA(TRIM('indice columnas'!$A$2:$A$100)),'indice columnas'!$B$2:$B$100,""""),
col,IFERROR(MATCH(campo,Referencia!$A$1:$AZ$1,0),0),
fila,IFERROR(MATCH(TO_TEXT(D781),ARRAYFORMULA"&amp;"(TO_TEXT(Referencia!$A$2:$A6238)),0),0),
IF(OR(campo="""",campo=""-""),""NO APLICA"",
IF(col=0,""REVISAR EQUIVALENCIA"",
IF(fila=0,""SKU NO ENCONTRADO"",
LET(
valor,INDEX(Referencia!$A$2:$AZ6238,fila,col),
IF(TRIM(TO_TEXT(valor))=TRIM(TO_TEXT(I781)),
""OK"&amp;""",
""NO COINCIDE. Valor verdadero: ""&amp;IF(valor="""",""[VACÍO]"",TO_TEXT(valor))
)
))))
),""ERROR EN FÓRMULA""))"),"OK")</f>
        <v>OK</v>
      </c>
    </row>
    <row r="782">
      <c r="A782" s="83" t="s">
        <v>4078</v>
      </c>
      <c r="B782" s="83" t="s">
        <v>4079</v>
      </c>
      <c r="C782" s="81" t="s">
        <v>4086</v>
      </c>
      <c r="D782" s="83" t="s">
        <v>4513</v>
      </c>
      <c r="E782" s="81" t="s">
        <v>2366</v>
      </c>
      <c r="F782" s="84">
        <v>462.0</v>
      </c>
      <c r="G782" s="81" t="s">
        <v>44</v>
      </c>
      <c r="H782" s="81" t="s">
        <v>224</v>
      </c>
      <c r="I782" s="81" t="s">
        <v>4514</v>
      </c>
      <c r="J782" s="81" t="s">
        <v>4088</v>
      </c>
      <c r="K782" s="81" t="str">
        <f>IFERROR(__xludf.DUMMYFUNCTION("IF(OR(D782="""",G782=""""),"""",IFERROR(LET(
campo,XLOOKUP(TRIM(G782),ARRAYFORMULA(TRIM('indice columnas'!$A$2:$A$100)),'indice columnas'!$B$2:$B$100,""""),
col,IFERROR(MATCH(campo,Referencia!$A$1:$AZ$1,0),0),
fila,IFERROR(MATCH(TO_TEXT(D782),ARRAYFORMULA"&amp;"(TO_TEXT(Referencia!$A$2:$A6238)),0),0),
IF(OR(campo="""",campo=""-""),""NO APLICA"",
IF(col=0,""REVISAR EQUIVALENCIA"",
IF(fila=0,""SKU NO ENCONTRADO"",
LET(
valor,INDEX(Referencia!$A$2:$AZ6238,fila,col),
IF(TRIM(TO_TEXT(valor))=TRIM(TO_TEXT(I782)),
""OK"&amp;""",
""NO COINCIDE. Valor verdadero: ""&amp;IF(valor="""",""[VACÍO]"",TO_TEXT(valor))
)
))))
),""ERROR EN FÓRMULA""))"),"NO APLICA")</f>
        <v>NO APLICA</v>
      </c>
    </row>
    <row r="783">
      <c r="A783" s="83" t="s">
        <v>4078</v>
      </c>
      <c r="B783" s="83" t="s">
        <v>4079</v>
      </c>
      <c r="C783" s="81" t="s">
        <v>4086</v>
      </c>
      <c r="D783" s="83" t="s">
        <v>4515</v>
      </c>
      <c r="E783" s="81" t="s">
        <v>2373</v>
      </c>
      <c r="F783" s="84">
        <v>463.0</v>
      </c>
      <c r="G783" s="81" t="s">
        <v>12</v>
      </c>
      <c r="H783" s="81" t="s">
        <v>224</v>
      </c>
      <c r="I783" s="81" t="s">
        <v>55</v>
      </c>
      <c r="J783" s="81" t="s">
        <v>224</v>
      </c>
      <c r="K783" s="81" t="str">
        <f>IFERROR(__xludf.DUMMYFUNCTION("IF(OR(D783="""",G783=""""),"""",IFERROR(LET(
campo,XLOOKUP(TRIM(G783),ARRAYFORMULA(TRIM('indice columnas'!$A$2:$A$100)),'indice columnas'!$B$2:$B$100,""""),
col,IFERROR(MATCH(campo,Referencia!$A$1:$AZ$1,0),0),
fila,IFERROR(MATCH(TO_TEXT(D783),ARRAYFORMULA"&amp;"(TO_TEXT(Referencia!$A$2:$A6238)),0),0),
IF(OR(campo="""",campo=""-""),""NO APLICA"",
IF(col=0,""REVISAR EQUIVALENCIA"",
IF(fila=0,""SKU NO ENCONTRADO"",
LET(
valor,INDEX(Referencia!$A$2:$AZ6238,fila,col),
IF(TRIM(TO_TEXT(valor))=TRIM(TO_TEXT(I783)),
""OK"&amp;""",
""NO COINCIDE. Valor verdadero: ""&amp;IF(valor="""",""[VACÍO]"",TO_TEXT(valor))
)
))))
),""ERROR EN FÓRMULA""))"),"OK")</f>
        <v>OK</v>
      </c>
    </row>
    <row r="784">
      <c r="A784" s="83" t="s">
        <v>4078</v>
      </c>
      <c r="B784" s="83" t="s">
        <v>4079</v>
      </c>
      <c r="C784" s="81" t="s">
        <v>4086</v>
      </c>
      <c r="D784" s="83" t="s">
        <v>4515</v>
      </c>
      <c r="E784" s="81" t="s">
        <v>2373</v>
      </c>
      <c r="F784" s="84">
        <v>463.0</v>
      </c>
      <c r="G784" s="81" t="s">
        <v>44</v>
      </c>
      <c r="H784" s="81" t="s">
        <v>224</v>
      </c>
      <c r="I784" s="81" t="s">
        <v>4514</v>
      </c>
      <c r="J784" s="81" t="s">
        <v>4088</v>
      </c>
      <c r="K784" s="81" t="str">
        <f>IFERROR(__xludf.DUMMYFUNCTION("IF(OR(D784="""",G784=""""),"""",IFERROR(LET(
campo,XLOOKUP(TRIM(G784),ARRAYFORMULA(TRIM('indice columnas'!$A$2:$A$100)),'indice columnas'!$B$2:$B$100,""""),
col,IFERROR(MATCH(campo,Referencia!$A$1:$AZ$1,0),0),
fila,IFERROR(MATCH(TO_TEXT(D784),ARRAYFORMULA"&amp;"(TO_TEXT(Referencia!$A$2:$A6238)),0),0),
IF(OR(campo="""",campo=""-""),""NO APLICA"",
IF(col=0,""REVISAR EQUIVALENCIA"",
IF(fila=0,""SKU NO ENCONTRADO"",
LET(
valor,INDEX(Referencia!$A$2:$AZ6238,fila,col),
IF(TRIM(TO_TEXT(valor))=TRIM(TO_TEXT(I784)),
""OK"&amp;""",
""NO COINCIDE. Valor verdadero: ""&amp;IF(valor="""",""[VACÍO]"",TO_TEXT(valor))
)
))))
),""ERROR EN FÓRMULA""))"),"NO APLICA")</f>
        <v>NO APLICA</v>
      </c>
    </row>
    <row r="785">
      <c r="A785" s="83" t="s">
        <v>4078</v>
      </c>
      <c r="B785" s="83" t="s">
        <v>4079</v>
      </c>
      <c r="C785" s="81" t="s">
        <v>4086</v>
      </c>
      <c r="D785" s="83" t="s">
        <v>4516</v>
      </c>
      <c r="E785" s="81" t="s">
        <v>2377</v>
      </c>
      <c r="F785" s="84">
        <v>464.0</v>
      </c>
      <c r="G785" s="81" t="s">
        <v>12</v>
      </c>
      <c r="H785" s="81" t="s">
        <v>224</v>
      </c>
      <c r="I785" s="81" t="s">
        <v>55</v>
      </c>
      <c r="J785" s="81" t="s">
        <v>224</v>
      </c>
      <c r="K785" s="81" t="str">
        <f>IFERROR(__xludf.DUMMYFUNCTION("IF(OR(D785="""",G785=""""),"""",IFERROR(LET(
campo,XLOOKUP(TRIM(G785),ARRAYFORMULA(TRIM('indice columnas'!$A$2:$A$100)),'indice columnas'!$B$2:$B$100,""""),
col,IFERROR(MATCH(campo,Referencia!$A$1:$AZ$1,0),0),
fila,IFERROR(MATCH(TO_TEXT(D785),ARRAYFORMULA"&amp;"(TO_TEXT(Referencia!$A$2:$A6238)),0),0),
IF(OR(campo="""",campo=""-""),""NO APLICA"",
IF(col=0,""REVISAR EQUIVALENCIA"",
IF(fila=0,""SKU NO ENCONTRADO"",
LET(
valor,INDEX(Referencia!$A$2:$AZ6238,fila,col),
IF(TRIM(TO_TEXT(valor))=TRIM(TO_TEXT(I785)),
""OK"&amp;""",
""NO COINCIDE. Valor verdadero: ""&amp;IF(valor="""",""[VACÍO]"",TO_TEXT(valor))
)
))))
),""ERROR EN FÓRMULA""))"),"OK")</f>
        <v>OK</v>
      </c>
    </row>
    <row r="786">
      <c r="A786" s="83" t="s">
        <v>4078</v>
      </c>
      <c r="B786" s="83" t="s">
        <v>4079</v>
      </c>
      <c r="C786" s="81" t="s">
        <v>4086</v>
      </c>
      <c r="D786" s="83" t="s">
        <v>4516</v>
      </c>
      <c r="E786" s="81" t="s">
        <v>2377</v>
      </c>
      <c r="F786" s="84">
        <v>464.0</v>
      </c>
      <c r="G786" s="81" t="s">
        <v>44</v>
      </c>
      <c r="H786" s="81" t="s">
        <v>224</v>
      </c>
      <c r="I786" s="81" t="s">
        <v>1825</v>
      </c>
      <c r="J786" s="81" t="s">
        <v>4088</v>
      </c>
      <c r="K786" s="81" t="str">
        <f>IFERROR(__xludf.DUMMYFUNCTION("IF(OR(D786="""",G786=""""),"""",IFERROR(LET(
campo,XLOOKUP(TRIM(G786),ARRAYFORMULA(TRIM('indice columnas'!$A$2:$A$100)),'indice columnas'!$B$2:$B$100,""""),
col,IFERROR(MATCH(campo,Referencia!$A$1:$AZ$1,0),0),
fila,IFERROR(MATCH(TO_TEXT(D786),ARRAYFORMULA"&amp;"(TO_TEXT(Referencia!$A$2:$A6238)),0),0),
IF(OR(campo="""",campo=""-""),""NO APLICA"",
IF(col=0,""REVISAR EQUIVALENCIA"",
IF(fila=0,""SKU NO ENCONTRADO"",
LET(
valor,INDEX(Referencia!$A$2:$AZ6238,fila,col),
IF(TRIM(TO_TEXT(valor))=TRIM(TO_TEXT(I786)),
""OK"&amp;""",
""NO COINCIDE. Valor verdadero: ""&amp;IF(valor="""",""[VACÍO]"",TO_TEXT(valor))
)
))))
),""ERROR EN FÓRMULA""))"),"NO APLICA")</f>
        <v>NO APLICA</v>
      </c>
    </row>
    <row r="787">
      <c r="A787" s="83" t="s">
        <v>4078</v>
      </c>
      <c r="B787" s="83" t="s">
        <v>4079</v>
      </c>
      <c r="C787" s="81" t="s">
        <v>4086</v>
      </c>
      <c r="D787" s="83" t="s">
        <v>4517</v>
      </c>
      <c r="E787" s="81" t="s">
        <v>2380</v>
      </c>
      <c r="F787" s="84">
        <v>465.0</v>
      </c>
      <c r="G787" s="81" t="s">
        <v>44</v>
      </c>
      <c r="H787" s="81" t="s">
        <v>224</v>
      </c>
      <c r="I787" s="81" t="s">
        <v>2380</v>
      </c>
      <c r="J787" s="81" t="s">
        <v>4088</v>
      </c>
      <c r="K787" s="81" t="str">
        <f>IFERROR(__xludf.DUMMYFUNCTION("IF(OR(D787="""",G787=""""),"""",IFERROR(LET(
campo,XLOOKUP(TRIM(G787),ARRAYFORMULA(TRIM('indice columnas'!$A$2:$A$100)),'indice columnas'!$B$2:$B$100,""""),
col,IFERROR(MATCH(campo,Referencia!$A$1:$AZ$1,0),0),
fila,IFERROR(MATCH(TO_TEXT(D787),ARRAYFORMULA"&amp;"(TO_TEXT(Referencia!$A$2:$A6238)),0),0),
IF(OR(campo="""",campo=""-""),""NO APLICA"",
IF(col=0,""REVISAR EQUIVALENCIA"",
IF(fila=0,""SKU NO ENCONTRADO"",
LET(
valor,INDEX(Referencia!$A$2:$AZ6238,fila,col),
IF(TRIM(TO_TEXT(valor))=TRIM(TO_TEXT(I787)),
""OK"&amp;""",
""NO COINCIDE. Valor verdadero: ""&amp;IF(valor="""",""[VACÍO]"",TO_TEXT(valor))
)
))))
),""ERROR EN FÓRMULA""))"),"NO APLICA")</f>
        <v>NO APLICA</v>
      </c>
    </row>
    <row r="788">
      <c r="A788" s="83" t="s">
        <v>4078</v>
      </c>
      <c r="B788" s="83" t="s">
        <v>4079</v>
      </c>
      <c r="C788" s="81" t="s">
        <v>4086</v>
      </c>
      <c r="D788" s="83" t="s">
        <v>4517</v>
      </c>
      <c r="E788" s="81" t="s">
        <v>2391</v>
      </c>
      <c r="F788" s="84">
        <v>466.0</v>
      </c>
      <c r="G788" s="81" t="s">
        <v>44</v>
      </c>
      <c r="H788" s="81" t="s">
        <v>224</v>
      </c>
      <c r="I788" s="81" t="s">
        <v>2380</v>
      </c>
      <c r="J788" s="81" t="s">
        <v>4088</v>
      </c>
      <c r="K788" s="81" t="str">
        <f>IFERROR(__xludf.DUMMYFUNCTION("IF(OR(D788="""",G788=""""),"""",IFERROR(LET(
campo,XLOOKUP(TRIM(G788),ARRAYFORMULA(TRIM('indice columnas'!$A$2:$A$100)),'indice columnas'!$B$2:$B$100,""""),
col,IFERROR(MATCH(campo,Referencia!$A$1:$AZ$1,0),0),
fila,IFERROR(MATCH(TO_TEXT(D788),ARRAYFORMULA"&amp;"(TO_TEXT(Referencia!$A$2:$A6238)),0),0),
IF(OR(campo="""",campo=""-""),""NO APLICA"",
IF(col=0,""REVISAR EQUIVALENCIA"",
IF(fila=0,""SKU NO ENCONTRADO"",
LET(
valor,INDEX(Referencia!$A$2:$AZ6238,fila,col),
IF(TRIM(TO_TEXT(valor))=TRIM(TO_TEXT(I788)),
""OK"&amp;""",
""NO COINCIDE. Valor verdadero: ""&amp;IF(valor="""",""[VACÍO]"",TO_TEXT(valor))
)
))))
),""ERROR EN FÓRMULA""))"),"NO APLICA")</f>
        <v>NO APLICA</v>
      </c>
    </row>
    <row r="789">
      <c r="A789" s="83" t="s">
        <v>4078</v>
      </c>
      <c r="B789" s="83" t="s">
        <v>4079</v>
      </c>
      <c r="C789" s="81" t="s">
        <v>4086</v>
      </c>
      <c r="D789" s="83" t="s">
        <v>4518</v>
      </c>
      <c r="E789" s="81" t="s">
        <v>2393</v>
      </c>
      <c r="F789" s="84">
        <v>467.0</v>
      </c>
      <c r="G789" s="81" t="s">
        <v>44</v>
      </c>
      <c r="H789" s="81" t="s">
        <v>224</v>
      </c>
      <c r="I789" s="81" t="s">
        <v>2380</v>
      </c>
      <c r="J789" s="81" t="s">
        <v>4088</v>
      </c>
      <c r="K789" s="81" t="str">
        <f>IFERROR(__xludf.DUMMYFUNCTION("IF(OR(D789="""",G789=""""),"""",IFERROR(LET(
campo,XLOOKUP(TRIM(G789),ARRAYFORMULA(TRIM('indice columnas'!$A$2:$A$100)),'indice columnas'!$B$2:$B$100,""""),
col,IFERROR(MATCH(campo,Referencia!$A$1:$AZ$1,0),0),
fila,IFERROR(MATCH(TO_TEXT(D789),ARRAYFORMULA"&amp;"(TO_TEXT(Referencia!$A$2:$A6238)),0),0),
IF(OR(campo="""",campo=""-""),""NO APLICA"",
IF(col=0,""REVISAR EQUIVALENCIA"",
IF(fila=0,""SKU NO ENCONTRADO"",
LET(
valor,INDEX(Referencia!$A$2:$AZ6238,fila,col),
IF(TRIM(TO_TEXT(valor))=TRIM(TO_TEXT(I789)),
""OK"&amp;""",
""NO COINCIDE. Valor verdadero: ""&amp;IF(valor="""",""[VACÍO]"",TO_TEXT(valor))
)
))))
),""ERROR EN FÓRMULA""))"),"NO APLICA")</f>
        <v>NO APLICA</v>
      </c>
    </row>
    <row r="790">
      <c r="A790" s="83" t="s">
        <v>4078</v>
      </c>
      <c r="B790" s="83" t="s">
        <v>4079</v>
      </c>
      <c r="C790" s="81" t="s">
        <v>4086</v>
      </c>
      <c r="D790" s="83" t="s">
        <v>4519</v>
      </c>
      <c r="E790" s="81" t="s">
        <v>2402</v>
      </c>
      <c r="F790" s="84">
        <v>468.0</v>
      </c>
      <c r="G790" s="81" t="s">
        <v>44</v>
      </c>
      <c r="H790" s="81" t="s">
        <v>224</v>
      </c>
      <c r="I790" s="81" t="s">
        <v>2380</v>
      </c>
      <c r="J790" s="81" t="s">
        <v>4088</v>
      </c>
      <c r="K790" s="81" t="str">
        <f>IFERROR(__xludf.DUMMYFUNCTION("IF(OR(D790="""",G790=""""),"""",IFERROR(LET(
campo,XLOOKUP(TRIM(G790),ARRAYFORMULA(TRIM('indice columnas'!$A$2:$A$100)),'indice columnas'!$B$2:$B$100,""""),
col,IFERROR(MATCH(campo,Referencia!$A$1:$AZ$1,0),0),
fila,IFERROR(MATCH(TO_TEXT(D790),ARRAYFORMULA"&amp;"(TO_TEXT(Referencia!$A$2:$A6238)),0),0),
IF(OR(campo="""",campo=""-""),""NO APLICA"",
IF(col=0,""REVISAR EQUIVALENCIA"",
IF(fila=0,""SKU NO ENCONTRADO"",
LET(
valor,INDEX(Referencia!$A$2:$AZ6238,fila,col),
IF(TRIM(TO_TEXT(valor))=TRIM(TO_TEXT(I790)),
""OK"&amp;""",
""NO COINCIDE. Valor verdadero: ""&amp;IF(valor="""",""[VACÍO]"",TO_TEXT(valor))
)
))))
),""ERROR EN FÓRMULA""))"),"NO APLICA")</f>
        <v>NO APLICA</v>
      </c>
    </row>
    <row r="791">
      <c r="A791" s="83" t="s">
        <v>4078</v>
      </c>
      <c r="B791" s="83" t="s">
        <v>4079</v>
      </c>
      <c r="C791" s="81" t="s">
        <v>4086</v>
      </c>
      <c r="D791" s="83" t="s">
        <v>4520</v>
      </c>
      <c r="E791" s="81" t="s">
        <v>2409</v>
      </c>
      <c r="F791" s="84">
        <v>469.0</v>
      </c>
      <c r="G791" s="81" t="s">
        <v>44</v>
      </c>
      <c r="H791" s="81" t="s">
        <v>4521</v>
      </c>
      <c r="I791" s="81" t="s">
        <v>2087</v>
      </c>
      <c r="J791" s="81" t="s">
        <v>4088</v>
      </c>
      <c r="K791" s="81" t="str">
        <f>IFERROR(__xludf.DUMMYFUNCTION("IF(OR(D791="""",G791=""""),"""",IFERROR(LET(
campo,XLOOKUP(TRIM(G791),ARRAYFORMULA(TRIM('indice columnas'!$A$2:$A$100)),'indice columnas'!$B$2:$B$100,""""),
col,IFERROR(MATCH(campo,Referencia!$A$1:$AZ$1,0),0),
fila,IFERROR(MATCH(TO_TEXT(D791),ARRAYFORMULA"&amp;"(TO_TEXT(Referencia!$A$2:$A6238)),0),0),
IF(OR(campo="""",campo=""-""),""NO APLICA"",
IF(col=0,""REVISAR EQUIVALENCIA"",
IF(fila=0,""SKU NO ENCONTRADO"",
LET(
valor,INDEX(Referencia!$A$2:$AZ6238,fila,col),
IF(TRIM(TO_TEXT(valor))=TRIM(TO_TEXT(I791)),
""OK"&amp;""",
""NO COINCIDE. Valor verdadero: ""&amp;IF(valor="""",""[VACÍO]"",TO_TEXT(valor))
)
))))
),""ERROR EN FÓRMULA""))"),"NO APLICA")</f>
        <v>NO APLICA</v>
      </c>
    </row>
    <row r="792">
      <c r="A792" s="83" t="s">
        <v>4078</v>
      </c>
      <c r="B792" s="83" t="s">
        <v>4079</v>
      </c>
      <c r="C792" s="81" t="s">
        <v>4086</v>
      </c>
      <c r="D792" s="83" t="s">
        <v>4520</v>
      </c>
      <c r="E792" s="81" t="s">
        <v>2414</v>
      </c>
      <c r="F792" s="84">
        <v>470.0</v>
      </c>
      <c r="G792" s="81" t="s">
        <v>12</v>
      </c>
      <c r="H792" s="81" t="s">
        <v>224</v>
      </c>
      <c r="I792" s="81" t="s">
        <v>55</v>
      </c>
      <c r="J792" s="81" t="s">
        <v>224</v>
      </c>
      <c r="K792" s="81" t="str">
        <f>IFERROR(__xludf.DUMMYFUNCTION("IF(OR(D792="""",G792=""""),"""",IFERROR(LET(
campo,XLOOKUP(TRIM(G792),ARRAYFORMULA(TRIM('indice columnas'!$A$2:$A$100)),'indice columnas'!$B$2:$B$100,""""),
col,IFERROR(MATCH(campo,Referencia!$A$1:$AZ$1,0),0),
fila,IFERROR(MATCH(TO_TEXT(D792),ARRAYFORMULA"&amp;"(TO_TEXT(Referencia!$A$2:$A6238)),0),0),
IF(OR(campo="""",campo=""-""),""NO APLICA"",
IF(col=0,""REVISAR EQUIVALENCIA"",
IF(fila=0,""SKU NO ENCONTRADO"",
LET(
valor,INDEX(Referencia!$A$2:$AZ6238,fila,col),
IF(TRIM(TO_TEXT(valor))=TRIM(TO_TEXT(I792)),
""OK"&amp;""",
""NO COINCIDE. Valor verdadero: ""&amp;IF(valor="""",""[VACÍO]"",TO_TEXT(valor))
)
))))
),""ERROR EN FÓRMULA""))"),"OK")</f>
        <v>OK</v>
      </c>
    </row>
    <row r="793">
      <c r="A793" s="83" t="s">
        <v>4078</v>
      </c>
      <c r="B793" s="83" t="s">
        <v>4079</v>
      </c>
      <c r="C793" s="81" t="s">
        <v>4086</v>
      </c>
      <c r="D793" s="83" t="s">
        <v>4520</v>
      </c>
      <c r="E793" s="81" t="s">
        <v>2414</v>
      </c>
      <c r="F793" s="84">
        <v>470.0</v>
      </c>
      <c r="G793" s="81" t="s">
        <v>29</v>
      </c>
      <c r="H793" s="81" t="s">
        <v>4522</v>
      </c>
      <c r="I793" s="81" t="s">
        <v>2415</v>
      </c>
      <c r="J793" s="81" t="s">
        <v>224</v>
      </c>
      <c r="K793" s="81" t="str">
        <f>IFERROR(__xludf.DUMMYFUNCTION("IF(OR(D793="""",G793=""""),"""",IFERROR(LET(
campo,XLOOKUP(TRIM(G793),ARRAYFORMULA(TRIM('indice columnas'!$A$2:$A$100)),'indice columnas'!$B$2:$B$100,""""),
col,IFERROR(MATCH(campo,Referencia!$A$1:$AZ$1,0),0),
fila,IFERROR(MATCH(TO_TEXT(D793),ARRAYFORMULA"&amp;"(TO_TEXT(Referencia!$A$2:$A6238)),0),0),
IF(OR(campo="""",campo=""-""),""NO APLICA"",
IF(col=0,""REVISAR EQUIVALENCIA"",
IF(fila=0,""SKU NO ENCONTRADO"",
LET(
valor,INDEX(Referencia!$A$2:$AZ6238,fila,col),
IF(TRIM(TO_TEXT(valor))=TRIM(TO_TEXT(I793)),
""OK"&amp;""",
""NO COINCIDE. Valor verdadero: ""&amp;IF(valor="""",""[VACÍO]"",TO_TEXT(valor))
)
))))
),""ERROR EN FÓRMULA""))"),"NO COINCIDE. Valor verdadero: Cable y Tensor 2mts
Florón: Ø110 x 25")</f>
        <v>NO COINCIDE. Valor verdadero: Cable y Tensor 2mts
Florón: Ø110 x 25</v>
      </c>
    </row>
    <row r="794">
      <c r="A794" s="83" t="s">
        <v>4078</v>
      </c>
      <c r="B794" s="83" t="s">
        <v>4079</v>
      </c>
      <c r="C794" s="81" t="s">
        <v>4086</v>
      </c>
      <c r="D794" s="83" t="s">
        <v>4520</v>
      </c>
      <c r="E794" s="81" t="s">
        <v>2414</v>
      </c>
      <c r="F794" s="84">
        <v>470.0</v>
      </c>
      <c r="G794" s="81" t="s">
        <v>44</v>
      </c>
      <c r="H794" s="81" t="s">
        <v>4521</v>
      </c>
      <c r="I794" s="81" t="s">
        <v>2087</v>
      </c>
      <c r="J794" s="81" t="s">
        <v>4088</v>
      </c>
      <c r="K794" s="81" t="str">
        <f>IFERROR(__xludf.DUMMYFUNCTION("IF(OR(D794="""",G794=""""),"""",IFERROR(LET(
campo,XLOOKUP(TRIM(G794),ARRAYFORMULA(TRIM('indice columnas'!$A$2:$A$100)),'indice columnas'!$B$2:$B$100,""""),
col,IFERROR(MATCH(campo,Referencia!$A$1:$AZ$1,0),0),
fila,IFERROR(MATCH(TO_TEXT(D794),ARRAYFORMULA"&amp;"(TO_TEXT(Referencia!$A$2:$A6238)),0),0),
IF(OR(campo="""",campo=""-""),""NO APLICA"",
IF(col=0,""REVISAR EQUIVALENCIA"",
IF(fila=0,""SKU NO ENCONTRADO"",
LET(
valor,INDEX(Referencia!$A$2:$AZ6238,fila,col),
IF(TRIM(TO_TEXT(valor))=TRIM(TO_TEXT(I794)),
""OK"&amp;""",
""NO COINCIDE. Valor verdadero: ""&amp;IF(valor="""",""[VACÍO]"",TO_TEXT(valor))
)
))))
),""ERROR EN FÓRMULA""))"),"NO APLICA")</f>
        <v>NO APLICA</v>
      </c>
    </row>
    <row r="795">
      <c r="A795" s="83" t="s">
        <v>4078</v>
      </c>
      <c r="B795" s="83" t="s">
        <v>4079</v>
      </c>
      <c r="C795" s="81" t="s">
        <v>4086</v>
      </c>
      <c r="D795" s="83" t="s">
        <v>4523</v>
      </c>
      <c r="E795" s="81" t="s">
        <v>2416</v>
      </c>
      <c r="F795" s="84">
        <v>471.0</v>
      </c>
      <c r="G795" s="81" t="s">
        <v>12</v>
      </c>
      <c r="H795" s="81" t="s">
        <v>224</v>
      </c>
      <c r="I795" s="81" t="s">
        <v>55</v>
      </c>
      <c r="J795" s="81" t="s">
        <v>224</v>
      </c>
      <c r="K795" s="81" t="str">
        <f>IFERROR(__xludf.DUMMYFUNCTION("IF(OR(D795="""",G795=""""),"""",IFERROR(LET(
campo,XLOOKUP(TRIM(G795),ARRAYFORMULA(TRIM('indice columnas'!$A$2:$A$100)),'indice columnas'!$B$2:$B$100,""""),
col,IFERROR(MATCH(campo,Referencia!$A$1:$AZ$1,0),0),
fila,IFERROR(MATCH(TO_TEXT(D795),ARRAYFORMULA"&amp;"(TO_TEXT(Referencia!$A$2:$A6238)),0),0),
IF(OR(campo="""",campo=""-""),""NO APLICA"",
IF(col=0,""REVISAR EQUIVALENCIA"",
IF(fila=0,""SKU NO ENCONTRADO"",
LET(
valor,INDEX(Referencia!$A$2:$AZ6238,fila,col),
IF(TRIM(TO_TEXT(valor))=TRIM(TO_TEXT(I795)),
""OK"&amp;""",
""NO COINCIDE. Valor verdadero: ""&amp;IF(valor="""",""[VACÍO]"",TO_TEXT(valor))
)
))))
),""ERROR EN FÓRMULA""))"),"OK")</f>
        <v>OK</v>
      </c>
    </row>
    <row r="796">
      <c r="A796" s="83" t="s">
        <v>4078</v>
      </c>
      <c r="B796" s="83" t="s">
        <v>4079</v>
      </c>
      <c r="C796" s="81" t="s">
        <v>4086</v>
      </c>
      <c r="D796" s="83" t="s">
        <v>4523</v>
      </c>
      <c r="E796" s="81" t="s">
        <v>2416</v>
      </c>
      <c r="F796" s="84">
        <v>471.0</v>
      </c>
      <c r="G796" s="81" t="s">
        <v>29</v>
      </c>
      <c r="H796" s="81" t="s">
        <v>4522</v>
      </c>
      <c r="I796" s="81" t="s">
        <v>2415</v>
      </c>
      <c r="J796" s="81" t="s">
        <v>224</v>
      </c>
      <c r="K796" s="81" t="str">
        <f>IFERROR(__xludf.DUMMYFUNCTION("IF(OR(D796="""",G796=""""),"""",IFERROR(LET(
campo,XLOOKUP(TRIM(G796),ARRAYFORMULA(TRIM('indice columnas'!$A$2:$A$100)),'indice columnas'!$B$2:$B$100,""""),
col,IFERROR(MATCH(campo,Referencia!$A$1:$AZ$1,0),0),
fila,IFERROR(MATCH(TO_TEXT(D796),ARRAYFORMULA"&amp;"(TO_TEXT(Referencia!$A$2:$A6238)),0),0),
IF(OR(campo="""",campo=""-""),""NO APLICA"",
IF(col=0,""REVISAR EQUIVALENCIA"",
IF(fila=0,""SKU NO ENCONTRADO"",
LET(
valor,INDEX(Referencia!$A$2:$AZ6238,fila,col),
IF(TRIM(TO_TEXT(valor))=TRIM(TO_TEXT(I796)),
""OK"&amp;""",
""NO COINCIDE. Valor verdadero: ""&amp;IF(valor="""",""[VACÍO]"",TO_TEXT(valor))
)
))))
),""ERROR EN FÓRMULA""))"),"NO COINCIDE. Valor verdadero: Cable y Tensor 2mts
Florón: Ø110 x 25")</f>
        <v>NO COINCIDE. Valor verdadero: Cable y Tensor 2mts
Florón: Ø110 x 25</v>
      </c>
    </row>
    <row r="797">
      <c r="A797" s="83" t="s">
        <v>4078</v>
      </c>
      <c r="B797" s="83" t="s">
        <v>4079</v>
      </c>
      <c r="C797" s="81" t="s">
        <v>4086</v>
      </c>
      <c r="D797" s="83" t="s">
        <v>4523</v>
      </c>
      <c r="E797" s="81" t="s">
        <v>2416</v>
      </c>
      <c r="F797" s="84">
        <v>471.0</v>
      </c>
      <c r="G797" s="81" t="s">
        <v>44</v>
      </c>
      <c r="H797" s="81" t="s">
        <v>4521</v>
      </c>
      <c r="I797" s="81" t="s">
        <v>2087</v>
      </c>
      <c r="J797" s="81" t="s">
        <v>4088</v>
      </c>
      <c r="K797" s="81" t="str">
        <f>IFERROR(__xludf.DUMMYFUNCTION("IF(OR(D797="""",G797=""""),"""",IFERROR(LET(
campo,XLOOKUP(TRIM(G797),ARRAYFORMULA(TRIM('indice columnas'!$A$2:$A$100)),'indice columnas'!$B$2:$B$100,""""),
col,IFERROR(MATCH(campo,Referencia!$A$1:$AZ$1,0),0),
fila,IFERROR(MATCH(TO_TEXT(D797),ARRAYFORMULA"&amp;"(TO_TEXT(Referencia!$A$2:$A6238)),0),0),
IF(OR(campo="""",campo=""-""),""NO APLICA"",
IF(col=0,""REVISAR EQUIVALENCIA"",
IF(fila=0,""SKU NO ENCONTRADO"",
LET(
valor,INDEX(Referencia!$A$2:$AZ6238,fila,col),
IF(TRIM(TO_TEXT(valor))=TRIM(TO_TEXT(I797)),
""OK"&amp;""",
""NO COINCIDE. Valor verdadero: ""&amp;IF(valor="""",""[VACÍO]"",TO_TEXT(valor))
)
))))
),""ERROR EN FÓRMULA""))"),"NO APLICA")</f>
        <v>NO APLICA</v>
      </c>
    </row>
    <row r="798">
      <c r="A798" s="83" t="s">
        <v>4078</v>
      </c>
      <c r="B798" s="83" t="s">
        <v>4079</v>
      </c>
      <c r="C798" s="81" t="s">
        <v>4086</v>
      </c>
      <c r="D798" s="83" t="s">
        <v>4524</v>
      </c>
      <c r="E798" s="81" t="s">
        <v>2419</v>
      </c>
      <c r="F798" s="84">
        <v>472.0</v>
      </c>
      <c r="G798" s="81" t="s">
        <v>44</v>
      </c>
      <c r="H798" s="81" t="s">
        <v>4525</v>
      </c>
      <c r="I798" s="81" t="s">
        <v>2419</v>
      </c>
      <c r="J798" s="81" t="s">
        <v>4088</v>
      </c>
      <c r="K798" s="81" t="str">
        <f>IFERROR(__xludf.DUMMYFUNCTION("IF(OR(D798="""",G798=""""),"""",IFERROR(LET(
campo,XLOOKUP(TRIM(G798),ARRAYFORMULA(TRIM('indice columnas'!$A$2:$A$100)),'indice columnas'!$B$2:$B$100,""""),
col,IFERROR(MATCH(campo,Referencia!$A$1:$AZ$1,0),0),
fila,IFERROR(MATCH(TO_TEXT(D798),ARRAYFORMULA"&amp;"(TO_TEXT(Referencia!$A$2:$A6238)),0),0),
IF(OR(campo="""",campo=""-""),""NO APLICA"",
IF(col=0,""REVISAR EQUIVALENCIA"",
IF(fila=0,""SKU NO ENCONTRADO"",
LET(
valor,INDEX(Referencia!$A$2:$AZ6238,fila,col),
IF(TRIM(TO_TEXT(valor))=TRIM(TO_TEXT(I798)),
""OK"&amp;""",
""NO COINCIDE. Valor verdadero: ""&amp;IF(valor="""",""[VACÍO]"",TO_TEXT(valor))
)
))))
),""ERROR EN FÓRMULA""))"),"NO APLICA")</f>
        <v>NO APLICA</v>
      </c>
    </row>
    <row r="799">
      <c r="A799" s="83" t="s">
        <v>4078</v>
      </c>
      <c r="B799" s="83" t="s">
        <v>4079</v>
      </c>
      <c r="C799" s="81" t="s">
        <v>4086</v>
      </c>
      <c r="D799" s="83" t="s">
        <v>4524</v>
      </c>
      <c r="E799" s="81" t="s">
        <v>2440</v>
      </c>
      <c r="F799" s="84">
        <v>473.0</v>
      </c>
      <c r="G799" s="81" t="s">
        <v>12</v>
      </c>
      <c r="H799" s="81" t="s">
        <v>224</v>
      </c>
      <c r="I799" s="81" t="s">
        <v>1549</v>
      </c>
      <c r="J799" s="81" t="s">
        <v>224</v>
      </c>
      <c r="K799" s="81" t="str">
        <f>IFERROR(__xludf.DUMMYFUNCTION("IF(OR(D799="""",G799=""""),"""",IFERROR(LET(
campo,XLOOKUP(TRIM(G799),ARRAYFORMULA(TRIM('indice columnas'!$A$2:$A$100)),'indice columnas'!$B$2:$B$100,""""),
col,IFERROR(MATCH(campo,Referencia!$A$1:$AZ$1,0),0),
fila,IFERROR(MATCH(TO_TEXT(D799),ARRAYFORMULA"&amp;"(TO_TEXT(Referencia!$A$2:$A6238)),0),0),
IF(OR(campo="""",campo=""-""),""NO APLICA"",
IF(col=0,""REVISAR EQUIVALENCIA"",
IF(fila=0,""SKU NO ENCONTRADO"",
LET(
valor,INDEX(Referencia!$A$2:$AZ6238,fila,col),
IF(TRIM(TO_TEXT(valor))=TRIM(TO_TEXT(I799)),
""OK"&amp;""",
""NO COINCIDE. Valor verdadero: ""&amp;IF(valor="""",""[VACÍO]"",TO_TEXT(valor))
)
))))
),""ERROR EN FÓRMULA""))"),"OK")</f>
        <v>OK</v>
      </c>
    </row>
    <row r="800">
      <c r="A800" s="83" t="s">
        <v>4078</v>
      </c>
      <c r="B800" s="83" t="s">
        <v>4079</v>
      </c>
      <c r="C800" s="81" t="s">
        <v>4086</v>
      </c>
      <c r="D800" s="83" t="s">
        <v>4524</v>
      </c>
      <c r="E800" s="81" t="s">
        <v>2440</v>
      </c>
      <c r="F800" s="84">
        <v>473.0</v>
      </c>
      <c r="G800" s="81" t="s">
        <v>29</v>
      </c>
      <c r="H800" s="81" t="s">
        <v>4526</v>
      </c>
      <c r="I800" s="81" t="s">
        <v>2426</v>
      </c>
      <c r="J800" s="81" t="s">
        <v>224</v>
      </c>
      <c r="K800" s="81" t="str">
        <f>IFERROR(__xludf.DUMMYFUNCTION("IF(OR(D800="""",G800=""""),"""",IFERROR(LET(
campo,XLOOKUP(TRIM(G800),ARRAYFORMULA(TRIM('indice columnas'!$A$2:$A$100)),'indice columnas'!$B$2:$B$100,""""),
col,IFERROR(MATCH(campo,Referencia!$A$1:$AZ$1,0),0),
fila,IFERROR(MATCH(TO_TEXT(D800),ARRAYFORMULA"&amp;"(TO_TEXT(Referencia!$A$2:$A6238)),0),0),
IF(OR(campo="""",campo=""-""),""NO APLICA"",
IF(col=0,""REVISAR EQUIVALENCIA"",
IF(fila=0,""SKU NO ENCONTRADO"",
LET(
valor,INDEX(Referencia!$A$2:$AZ6238,fila,col),
IF(TRIM(TO_TEXT(valor))=TRIM(TO_TEXT(I800)),
""OK"&amp;""",
""NO COINCIDE. Valor verdadero: ""&amp;IF(valor="""",""[VACÍO]"",TO_TEXT(valor))
)
))))
),""ERROR EN FÓRMULA""))"),"NO COINCIDE. Valor verdadero: 596 x 361 (frente 295) x 190")</f>
        <v>NO COINCIDE. Valor verdadero: 596 x 361 (frente 295) x 190</v>
      </c>
    </row>
    <row r="801">
      <c r="A801" s="83" t="s">
        <v>4078</v>
      </c>
      <c r="B801" s="83" t="s">
        <v>4079</v>
      </c>
      <c r="C801" s="81" t="s">
        <v>4086</v>
      </c>
      <c r="D801" s="83" t="s">
        <v>4524</v>
      </c>
      <c r="E801" s="81" t="s">
        <v>2440</v>
      </c>
      <c r="F801" s="84">
        <v>473.0</v>
      </c>
      <c r="G801" s="81" t="s">
        <v>44</v>
      </c>
      <c r="H801" s="81" t="s">
        <v>4525</v>
      </c>
      <c r="I801" s="81" t="s">
        <v>2419</v>
      </c>
      <c r="J801" s="81" t="s">
        <v>4088</v>
      </c>
      <c r="K801" s="81" t="str">
        <f>IFERROR(__xludf.DUMMYFUNCTION("IF(OR(D801="""",G801=""""),"""",IFERROR(LET(
campo,XLOOKUP(TRIM(G801),ARRAYFORMULA(TRIM('indice columnas'!$A$2:$A$100)),'indice columnas'!$B$2:$B$100,""""),
col,IFERROR(MATCH(campo,Referencia!$A$1:$AZ$1,0),0),
fila,IFERROR(MATCH(TO_TEXT(D801),ARRAYFORMULA"&amp;"(TO_TEXT(Referencia!$A$2:$A6238)),0),0),
IF(OR(campo="""",campo=""-""),""NO APLICA"",
IF(col=0,""REVISAR EQUIVALENCIA"",
IF(fila=0,""SKU NO ENCONTRADO"",
LET(
valor,INDEX(Referencia!$A$2:$AZ6238,fila,col),
IF(TRIM(TO_TEXT(valor))=TRIM(TO_TEXT(I801)),
""OK"&amp;""",
""NO COINCIDE. Valor verdadero: ""&amp;IF(valor="""",""[VACÍO]"",TO_TEXT(valor))
)
))))
),""ERROR EN FÓRMULA""))"),"NO APLICA")</f>
        <v>NO APLICA</v>
      </c>
    </row>
    <row r="802">
      <c r="A802" s="83" t="s">
        <v>4078</v>
      </c>
      <c r="B802" s="83" t="s">
        <v>4079</v>
      </c>
      <c r="C802" s="81" t="s">
        <v>4086</v>
      </c>
      <c r="D802" s="83" t="s">
        <v>4527</v>
      </c>
      <c r="E802" s="81" t="s">
        <v>2444</v>
      </c>
      <c r="F802" s="84">
        <v>474.0</v>
      </c>
      <c r="G802" s="81" t="s">
        <v>12</v>
      </c>
      <c r="H802" s="81" t="s">
        <v>224</v>
      </c>
      <c r="I802" s="81" t="s">
        <v>1549</v>
      </c>
      <c r="J802" s="81" t="s">
        <v>224</v>
      </c>
      <c r="K802" s="81" t="str">
        <f>IFERROR(__xludf.DUMMYFUNCTION("IF(OR(D802="""",G802=""""),"""",IFERROR(LET(
campo,XLOOKUP(TRIM(G802),ARRAYFORMULA(TRIM('indice columnas'!$A$2:$A$100)),'indice columnas'!$B$2:$B$100,""""),
col,IFERROR(MATCH(campo,Referencia!$A$1:$AZ$1,0),0),
fila,IFERROR(MATCH(TO_TEXT(D802),ARRAYFORMULA"&amp;"(TO_TEXT(Referencia!$A$2:$A6238)),0),0),
IF(OR(campo="""",campo=""-""),""NO APLICA"",
IF(col=0,""REVISAR EQUIVALENCIA"",
IF(fila=0,""SKU NO ENCONTRADO"",
LET(
valor,INDEX(Referencia!$A$2:$AZ6238,fila,col),
IF(TRIM(TO_TEXT(valor))=TRIM(TO_TEXT(I802)),
""OK"&amp;""",
""NO COINCIDE. Valor verdadero: ""&amp;IF(valor="""",""[VACÍO]"",TO_TEXT(valor))
)
))))
),""ERROR EN FÓRMULA""))"),"OK")</f>
        <v>OK</v>
      </c>
    </row>
    <row r="803">
      <c r="A803" s="83" t="s">
        <v>4078</v>
      </c>
      <c r="B803" s="83" t="s">
        <v>4079</v>
      </c>
      <c r="C803" s="81" t="s">
        <v>4086</v>
      </c>
      <c r="D803" s="83" t="s">
        <v>4527</v>
      </c>
      <c r="E803" s="81" t="s">
        <v>2444</v>
      </c>
      <c r="F803" s="84">
        <v>474.0</v>
      </c>
      <c r="G803" s="81" t="s">
        <v>29</v>
      </c>
      <c r="H803" s="81" t="s">
        <v>4528</v>
      </c>
      <c r="I803" s="81" t="s">
        <v>2448</v>
      </c>
      <c r="J803" s="81" t="s">
        <v>224</v>
      </c>
      <c r="K803" s="81" t="str">
        <f>IFERROR(__xludf.DUMMYFUNCTION("IF(OR(D803="""",G803=""""),"""",IFERROR(LET(
campo,XLOOKUP(TRIM(G803),ARRAYFORMULA(TRIM('indice columnas'!$A$2:$A$100)),'indice columnas'!$B$2:$B$100,""""),
col,IFERROR(MATCH(campo,Referencia!$A$1:$AZ$1,0),0),
fila,IFERROR(MATCH(TO_TEXT(D803),ARRAYFORMULA"&amp;"(TO_TEXT(Referencia!$A$2:$A6238)),0),0),
IF(OR(campo="""",campo=""-""),""NO APLICA"",
IF(col=0,""REVISAR EQUIVALENCIA"",
IF(fila=0,""SKU NO ENCONTRADO"",
LET(
valor,INDEX(Referencia!$A$2:$AZ6238,fila,col),
IF(TRIM(TO_TEXT(valor))=TRIM(TO_TEXT(I803)),
""OK"&amp;""",
""NO COINCIDE. Valor verdadero: ""&amp;IF(valor="""",""[VACÍO]"",TO_TEXT(valor))
)
))))
),""ERROR EN FÓRMULA""))"),"NO COINCIDE. Valor verdadero: 1196 x 361 (frente 295) x 190")</f>
        <v>NO COINCIDE. Valor verdadero: 1196 x 361 (frente 295) x 190</v>
      </c>
    </row>
    <row r="804">
      <c r="A804" s="83" t="s">
        <v>4078</v>
      </c>
      <c r="B804" s="83" t="s">
        <v>4079</v>
      </c>
      <c r="C804" s="81" t="s">
        <v>4086</v>
      </c>
      <c r="D804" s="83" t="s">
        <v>4527</v>
      </c>
      <c r="E804" s="81" t="s">
        <v>2444</v>
      </c>
      <c r="F804" s="84">
        <v>474.0</v>
      </c>
      <c r="G804" s="81" t="s">
        <v>44</v>
      </c>
      <c r="H804" s="81" t="s">
        <v>4525</v>
      </c>
      <c r="I804" s="81" t="s">
        <v>2419</v>
      </c>
      <c r="J804" s="81" t="s">
        <v>4088</v>
      </c>
      <c r="K804" s="81" t="str">
        <f>IFERROR(__xludf.DUMMYFUNCTION("IF(OR(D804="""",G804=""""),"""",IFERROR(LET(
campo,XLOOKUP(TRIM(G804),ARRAYFORMULA(TRIM('indice columnas'!$A$2:$A$100)),'indice columnas'!$B$2:$B$100,""""),
col,IFERROR(MATCH(campo,Referencia!$A$1:$AZ$1,0),0),
fila,IFERROR(MATCH(TO_TEXT(D804),ARRAYFORMULA"&amp;"(TO_TEXT(Referencia!$A$2:$A6238)),0),0),
IF(OR(campo="""",campo=""-""),""NO APLICA"",
IF(col=0,""REVISAR EQUIVALENCIA"",
IF(fila=0,""SKU NO ENCONTRADO"",
LET(
valor,INDEX(Referencia!$A$2:$AZ6238,fila,col),
IF(TRIM(TO_TEXT(valor))=TRIM(TO_TEXT(I804)),
""OK"&amp;""",
""NO COINCIDE. Valor verdadero: ""&amp;IF(valor="""",""[VACÍO]"",TO_TEXT(valor))
)
))))
),""ERROR EN FÓRMULA""))"),"NO APLICA")</f>
        <v>NO APLICA</v>
      </c>
    </row>
    <row r="805">
      <c r="A805" s="83" t="s">
        <v>4078</v>
      </c>
      <c r="B805" s="83" t="s">
        <v>4079</v>
      </c>
      <c r="C805" s="81" t="s">
        <v>4086</v>
      </c>
      <c r="D805" s="83" t="s">
        <v>4529</v>
      </c>
      <c r="E805" s="81" t="s">
        <v>2456</v>
      </c>
      <c r="F805" s="84">
        <v>475.0</v>
      </c>
      <c r="G805" s="81" t="s">
        <v>44</v>
      </c>
      <c r="H805" s="81" t="s">
        <v>4525</v>
      </c>
      <c r="I805" s="81" t="s">
        <v>2456</v>
      </c>
      <c r="J805" s="81" t="s">
        <v>4088</v>
      </c>
      <c r="K805" s="81" t="str">
        <f>IFERROR(__xludf.DUMMYFUNCTION("IF(OR(D805="""",G805=""""),"""",IFERROR(LET(
campo,XLOOKUP(TRIM(G805),ARRAYFORMULA(TRIM('indice columnas'!$A$2:$A$100)),'indice columnas'!$B$2:$B$100,""""),
col,IFERROR(MATCH(campo,Referencia!$A$1:$AZ$1,0),0),
fila,IFERROR(MATCH(TO_TEXT(D805),ARRAYFORMULA"&amp;"(TO_TEXT(Referencia!$A$2:$A6238)),0),0),
IF(OR(campo="""",campo=""-""),""NO APLICA"",
IF(col=0,""REVISAR EQUIVALENCIA"",
IF(fila=0,""SKU NO ENCONTRADO"",
LET(
valor,INDEX(Referencia!$A$2:$AZ6238,fila,col),
IF(TRIM(TO_TEXT(valor))=TRIM(TO_TEXT(I805)),
""OK"&amp;""",
""NO COINCIDE. Valor verdadero: ""&amp;IF(valor="""",""[VACÍO]"",TO_TEXT(valor))
)
))))
),""ERROR EN FÓRMULA""))"),"NO APLICA")</f>
        <v>NO APLICA</v>
      </c>
    </row>
    <row r="806">
      <c r="A806" s="83" t="s">
        <v>4078</v>
      </c>
      <c r="B806" s="83" t="s">
        <v>4079</v>
      </c>
      <c r="C806" s="81" t="s">
        <v>4086</v>
      </c>
      <c r="D806" s="83" t="s">
        <v>4529</v>
      </c>
      <c r="E806" s="81" t="s">
        <v>2474</v>
      </c>
      <c r="F806" s="84">
        <v>476.0</v>
      </c>
      <c r="G806" s="81" t="s">
        <v>12</v>
      </c>
      <c r="H806" s="81" t="s">
        <v>224</v>
      </c>
      <c r="I806" s="81" t="s">
        <v>1549</v>
      </c>
      <c r="J806" s="81" t="s">
        <v>224</v>
      </c>
      <c r="K806" s="81" t="str">
        <f>IFERROR(__xludf.DUMMYFUNCTION("IF(OR(D806="""",G806=""""),"""",IFERROR(LET(
campo,XLOOKUP(TRIM(G806),ARRAYFORMULA(TRIM('indice columnas'!$A$2:$A$100)),'indice columnas'!$B$2:$B$100,""""),
col,IFERROR(MATCH(campo,Referencia!$A$1:$AZ$1,0),0),
fila,IFERROR(MATCH(TO_TEXT(D806),ARRAYFORMULA"&amp;"(TO_TEXT(Referencia!$A$2:$A6238)),0),0),
IF(OR(campo="""",campo=""-""),""NO APLICA"",
IF(col=0,""REVISAR EQUIVALENCIA"",
IF(fila=0,""SKU NO ENCONTRADO"",
LET(
valor,INDEX(Referencia!$A$2:$AZ6238,fila,col),
IF(TRIM(TO_TEXT(valor))=TRIM(TO_TEXT(I806)),
""OK"&amp;""",
""NO COINCIDE. Valor verdadero: ""&amp;IF(valor="""",""[VACÍO]"",TO_TEXT(valor))
)
))))
),""ERROR EN FÓRMULA""))"),"OK")</f>
        <v>OK</v>
      </c>
    </row>
    <row r="807">
      <c r="A807" s="83" t="s">
        <v>4078</v>
      </c>
      <c r="B807" s="83" t="s">
        <v>4079</v>
      </c>
      <c r="C807" s="81" t="s">
        <v>4086</v>
      </c>
      <c r="D807" s="83" t="s">
        <v>4529</v>
      </c>
      <c r="E807" s="81" t="s">
        <v>2474</v>
      </c>
      <c r="F807" s="84">
        <v>476.0</v>
      </c>
      <c r="G807" s="81" t="s">
        <v>44</v>
      </c>
      <c r="H807" s="81" t="s">
        <v>4525</v>
      </c>
      <c r="I807" s="81" t="s">
        <v>2456</v>
      </c>
      <c r="J807" s="81" t="s">
        <v>4088</v>
      </c>
      <c r="K807" s="81" t="str">
        <f>IFERROR(__xludf.DUMMYFUNCTION("IF(OR(D807="""",G807=""""),"""",IFERROR(LET(
campo,XLOOKUP(TRIM(G807),ARRAYFORMULA(TRIM('indice columnas'!$A$2:$A$100)),'indice columnas'!$B$2:$B$100,""""),
col,IFERROR(MATCH(campo,Referencia!$A$1:$AZ$1,0),0),
fila,IFERROR(MATCH(TO_TEXT(D807),ARRAYFORMULA"&amp;"(TO_TEXT(Referencia!$A$2:$A6238)),0),0),
IF(OR(campo="""",campo=""-""),""NO APLICA"",
IF(col=0,""REVISAR EQUIVALENCIA"",
IF(fila=0,""SKU NO ENCONTRADO"",
LET(
valor,INDEX(Referencia!$A$2:$AZ6238,fila,col),
IF(TRIM(TO_TEXT(valor))=TRIM(TO_TEXT(I807)),
""OK"&amp;""",
""NO COINCIDE. Valor verdadero: ""&amp;IF(valor="""",""[VACÍO]"",TO_TEXT(valor))
)
))))
),""ERROR EN FÓRMULA""))"),"NO APLICA")</f>
        <v>NO APLICA</v>
      </c>
    </row>
    <row r="808">
      <c r="A808" s="83" t="s">
        <v>4078</v>
      </c>
      <c r="B808" s="83" t="s">
        <v>4079</v>
      </c>
      <c r="C808" s="81" t="s">
        <v>4086</v>
      </c>
      <c r="D808" s="83" t="s">
        <v>4530</v>
      </c>
      <c r="E808" s="81" t="s">
        <v>2475</v>
      </c>
      <c r="F808" s="84">
        <v>477.0</v>
      </c>
      <c r="G808" s="81" t="s">
        <v>12</v>
      </c>
      <c r="H808" s="81" t="s">
        <v>224</v>
      </c>
      <c r="I808" s="81" t="s">
        <v>1549</v>
      </c>
      <c r="J808" s="81" t="s">
        <v>224</v>
      </c>
      <c r="K808" s="81" t="str">
        <f>IFERROR(__xludf.DUMMYFUNCTION("IF(OR(D808="""",G808=""""),"""",IFERROR(LET(
campo,XLOOKUP(TRIM(G808),ARRAYFORMULA(TRIM('indice columnas'!$A$2:$A$100)),'indice columnas'!$B$2:$B$100,""""),
col,IFERROR(MATCH(campo,Referencia!$A$1:$AZ$1,0),0),
fila,IFERROR(MATCH(TO_TEXT(D808),ARRAYFORMULA"&amp;"(TO_TEXT(Referencia!$A$2:$A6238)),0),0),
IF(OR(campo="""",campo=""-""),""NO APLICA"",
IF(col=0,""REVISAR EQUIVALENCIA"",
IF(fila=0,""SKU NO ENCONTRADO"",
LET(
valor,INDEX(Referencia!$A$2:$AZ6238,fila,col),
IF(TRIM(TO_TEXT(valor))=TRIM(TO_TEXT(I808)),
""OK"&amp;""",
""NO COINCIDE. Valor verdadero: ""&amp;IF(valor="""",""[VACÍO]"",TO_TEXT(valor))
)
))))
),""ERROR EN FÓRMULA""))"),"OK")</f>
        <v>OK</v>
      </c>
    </row>
    <row r="809">
      <c r="A809" s="83" t="s">
        <v>4078</v>
      </c>
      <c r="B809" s="83" t="s">
        <v>4079</v>
      </c>
      <c r="C809" s="81" t="s">
        <v>4086</v>
      </c>
      <c r="D809" s="83" t="s">
        <v>4530</v>
      </c>
      <c r="E809" s="81" t="s">
        <v>2475</v>
      </c>
      <c r="F809" s="84">
        <v>477.0</v>
      </c>
      <c r="G809" s="81" t="s">
        <v>44</v>
      </c>
      <c r="H809" s="81" t="s">
        <v>4525</v>
      </c>
      <c r="I809" s="81" t="s">
        <v>2456</v>
      </c>
      <c r="J809" s="81" t="s">
        <v>4088</v>
      </c>
      <c r="K809" s="81" t="str">
        <f>IFERROR(__xludf.DUMMYFUNCTION("IF(OR(D809="""",G809=""""),"""",IFERROR(LET(
campo,XLOOKUP(TRIM(G809),ARRAYFORMULA(TRIM('indice columnas'!$A$2:$A$100)),'indice columnas'!$B$2:$B$100,""""),
col,IFERROR(MATCH(campo,Referencia!$A$1:$AZ$1,0),0),
fila,IFERROR(MATCH(TO_TEXT(D809),ARRAYFORMULA"&amp;"(TO_TEXT(Referencia!$A$2:$A6238)),0),0),
IF(OR(campo="""",campo=""-""),""NO APLICA"",
IF(col=0,""REVISAR EQUIVALENCIA"",
IF(fila=0,""SKU NO ENCONTRADO"",
LET(
valor,INDEX(Referencia!$A$2:$AZ6238,fila,col),
IF(TRIM(TO_TEXT(valor))=TRIM(TO_TEXT(I809)),
""OK"&amp;""",
""NO COINCIDE. Valor verdadero: ""&amp;IF(valor="""",""[VACÍO]"",TO_TEXT(valor))
)
))))
),""ERROR EN FÓRMULA""))"),"NO APLICA")</f>
        <v>NO APLICA</v>
      </c>
    </row>
    <row r="810">
      <c r="A810" s="83" t="s">
        <v>4078</v>
      </c>
      <c r="B810" s="83" t="s">
        <v>4079</v>
      </c>
      <c r="C810" s="81" t="s">
        <v>4086</v>
      </c>
      <c r="D810" s="83" t="s">
        <v>4531</v>
      </c>
      <c r="E810" s="81" t="s">
        <v>2489</v>
      </c>
      <c r="F810" s="84">
        <v>478.0</v>
      </c>
      <c r="G810" s="81" t="s">
        <v>12</v>
      </c>
      <c r="H810" s="81" t="s">
        <v>224</v>
      </c>
      <c r="I810" s="81" t="s">
        <v>1549</v>
      </c>
      <c r="J810" s="81" t="s">
        <v>224</v>
      </c>
      <c r="K810" s="81" t="str">
        <f>IFERROR(__xludf.DUMMYFUNCTION("IF(OR(D810="""",G810=""""),"""",IFERROR(LET(
campo,XLOOKUP(TRIM(G810),ARRAYFORMULA(TRIM('indice columnas'!$A$2:$A$100)),'indice columnas'!$B$2:$B$100,""""),
col,IFERROR(MATCH(campo,Referencia!$A$1:$AZ$1,0),0),
fila,IFERROR(MATCH(TO_TEXT(D810),ARRAYFORMULA"&amp;"(TO_TEXT(Referencia!$A$2:$A6238)),0),0),
IF(OR(campo="""",campo=""-""),""NO APLICA"",
IF(col=0,""REVISAR EQUIVALENCIA"",
IF(fila=0,""SKU NO ENCONTRADO"",
LET(
valor,INDEX(Referencia!$A$2:$AZ6238,fila,col),
IF(TRIM(TO_TEXT(valor))=TRIM(TO_TEXT(I810)),
""OK"&amp;""",
""NO COINCIDE. Valor verdadero: ""&amp;IF(valor="""",""[VACÍO]"",TO_TEXT(valor))
)
))))
),""ERROR EN FÓRMULA""))"),"OK")</f>
        <v>OK</v>
      </c>
    </row>
    <row r="811">
      <c r="A811" s="83" t="s">
        <v>4078</v>
      </c>
      <c r="B811" s="83" t="s">
        <v>4079</v>
      </c>
      <c r="C811" s="81" t="s">
        <v>4086</v>
      </c>
      <c r="D811" s="83" t="s">
        <v>4531</v>
      </c>
      <c r="E811" s="81" t="s">
        <v>2489</v>
      </c>
      <c r="F811" s="84">
        <v>478.0</v>
      </c>
      <c r="G811" s="81" t="s">
        <v>44</v>
      </c>
      <c r="H811" s="81" t="s">
        <v>224</v>
      </c>
      <c r="I811" s="81" t="s">
        <v>2489</v>
      </c>
      <c r="J811" s="81" t="s">
        <v>4088</v>
      </c>
      <c r="K811" s="81" t="str">
        <f>IFERROR(__xludf.DUMMYFUNCTION("IF(OR(D811="""",G811=""""),"""",IFERROR(LET(
campo,XLOOKUP(TRIM(G811),ARRAYFORMULA(TRIM('indice columnas'!$A$2:$A$100)),'indice columnas'!$B$2:$B$100,""""),
col,IFERROR(MATCH(campo,Referencia!$A$1:$AZ$1,0),0),
fila,IFERROR(MATCH(TO_TEXT(D811),ARRAYFORMULA"&amp;"(TO_TEXT(Referencia!$A$2:$A6238)),0),0),
IF(OR(campo="""",campo=""-""),""NO APLICA"",
IF(col=0,""REVISAR EQUIVALENCIA"",
IF(fila=0,""SKU NO ENCONTRADO"",
LET(
valor,INDEX(Referencia!$A$2:$AZ6238,fila,col),
IF(TRIM(TO_TEXT(valor))=TRIM(TO_TEXT(I811)),
""OK"&amp;""",
""NO COINCIDE. Valor verdadero: ""&amp;IF(valor="""",""[VACÍO]"",TO_TEXT(valor))
)
))))
),""ERROR EN FÓRMULA""))"),"NO APLICA")</f>
        <v>NO APLICA</v>
      </c>
    </row>
    <row r="812">
      <c r="A812" s="83" t="s">
        <v>4078</v>
      </c>
      <c r="B812" s="83" t="s">
        <v>4079</v>
      </c>
      <c r="C812" s="81" t="s">
        <v>4086</v>
      </c>
      <c r="D812" s="83" t="s">
        <v>4532</v>
      </c>
      <c r="E812" s="81" t="s">
        <v>2504</v>
      </c>
      <c r="F812" s="84">
        <v>479.0</v>
      </c>
      <c r="G812" s="81" t="s">
        <v>44</v>
      </c>
      <c r="H812" s="81" t="s">
        <v>4533</v>
      </c>
      <c r="I812" s="81" t="s">
        <v>2504</v>
      </c>
      <c r="J812" s="81" t="s">
        <v>4088</v>
      </c>
      <c r="K812" s="81" t="str">
        <f>IFERROR(__xludf.DUMMYFUNCTION("IF(OR(D812="""",G812=""""),"""",IFERROR(LET(
campo,XLOOKUP(TRIM(G812),ARRAYFORMULA(TRIM('indice columnas'!$A$2:$A$100)),'indice columnas'!$B$2:$B$100,""""),
col,IFERROR(MATCH(campo,Referencia!$A$1:$AZ$1,0),0),
fila,IFERROR(MATCH(TO_TEXT(D812),ARRAYFORMULA"&amp;"(TO_TEXT(Referencia!$A$2:$A6238)),0),0),
IF(OR(campo="""",campo=""-""),""NO APLICA"",
IF(col=0,""REVISAR EQUIVALENCIA"",
IF(fila=0,""SKU NO ENCONTRADO"",
LET(
valor,INDEX(Referencia!$A$2:$AZ6238,fila,col),
IF(TRIM(TO_TEXT(valor))=TRIM(TO_TEXT(I812)),
""OK"&amp;""",
""NO COINCIDE. Valor verdadero: ""&amp;IF(valor="""",""[VACÍO]"",TO_TEXT(valor))
)
))))
),""ERROR EN FÓRMULA""))"),"NO APLICA")</f>
        <v>NO APLICA</v>
      </c>
    </row>
    <row r="813">
      <c r="A813" s="83" t="s">
        <v>4078</v>
      </c>
      <c r="B813" s="83" t="s">
        <v>4079</v>
      </c>
      <c r="C813" s="81" t="s">
        <v>4086</v>
      </c>
      <c r="D813" s="83" t="s">
        <v>4532</v>
      </c>
      <c r="E813" s="81" t="s">
        <v>2515</v>
      </c>
      <c r="F813" s="84">
        <v>480.0</v>
      </c>
      <c r="G813" s="81" t="s">
        <v>44</v>
      </c>
      <c r="H813" s="81" t="s">
        <v>4533</v>
      </c>
      <c r="I813" s="81" t="s">
        <v>2504</v>
      </c>
      <c r="J813" s="81" t="s">
        <v>4088</v>
      </c>
      <c r="K813" s="81" t="str">
        <f>IFERROR(__xludf.DUMMYFUNCTION("IF(OR(D813="""",G813=""""),"""",IFERROR(LET(
campo,XLOOKUP(TRIM(G813),ARRAYFORMULA(TRIM('indice columnas'!$A$2:$A$100)),'indice columnas'!$B$2:$B$100,""""),
col,IFERROR(MATCH(campo,Referencia!$A$1:$AZ$1,0),0),
fila,IFERROR(MATCH(TO_TEXT(D813),ARRAYFORMULA"&amp;"(TO_TEXT(Referencia!$A$2:$A6238)),0),0),
IF(OR(campo="""",campo=""-""),""NO APLICA"",
IF(col=0,""REVISAR EQUIVALENCIA"",
IF(fila=0,""SKU NO ENCONTRADO"",
LET(
valor,INDEX(Referencia!$A$2:$AZ6238,fila,col),
IF(TRIM(TO_TEXT(valor))=TRIM(TO_TEXT(I813)),
""OK"&amp;""",
""NO COINCIDE. Valor verdadero: ""&amp;IF(valor="""",""[VACÍO]"",TO_TEXT(valor))
)
))))
),""ERROR EN FÓRMULA""))"),"NO APLICA")</f>
        <v>NO APLICA</v>
      </c>
    </row>
    <row r="814">
      <c r="A814" s="83" t="s">
        <v>4078</v>
      </c>
      <c r="B814" s="83" t="s">
        <v>4079</v>
      </c>
      <c r="C814" s="81" t="s">
        <v>4086</v>
      </c>
      <c r="D814" s="83" t="s">
        <v>4534</v>
      </c>
      <c r="E814" s="81" t="s">
        <v>2516</v>
      </c>
      <c r="F814" s="84">
        <v>481.0</v>
      </c>
      <c r="G814" s="81" t="s">
        <v>44</v>
      </c>
      <c r="H814" s="81" t="s">
        <v>4533</v>
      </c>
      <c r="I814" s="81" t="s">
        <v>2504</v>
      </c>
      <c r="J814" s="81" t="s">
        <v>4088</v>
      </c>
      <c r="K814" s="81" t="str">
        <f>IFERROR(__xludf.DUMMYFUNCTION("IF(OR(D814="""",G814=""""),"""",IFERROR(LET(
campo,XLOOKUP(TRIM(G814),ARRAYFORMULA(TRIM('indice columnas'!$A$2:$A$100)),'indice columnas'!$B$2:$B$100,""""),
col,IFERROR(MATCH(campo,Referencia!$A$1:$AZ$1,0),0),
fila,IFERROR(MATCH(TO_TEXT(D814),ARRAYFORMULA"&amp;"(TO_TEXT(Referencia!$A$2:$A6238)),0),0),
IF(OR(campo="""",campo=""-""),""NO APLICA"",
IF(col=0,""REVISAR EQUIVALENCIA"",
IF(fila=0,""SKU NO ENCONTRADO"",
LET(
valor,INDEX(Referencia!$A$2:$AZ6238,fila,col),
IF(TRIM(TO_TEXT(valor))=TRIM(TO_TEXT(I814)),
""OK"&amp;""",
""NO COINCIDE. Valor verdadero: ""&amp;IF(valor="""",""[VACÍO]"",TO_TEXT(valor))
)
))))
),""ERROR EN FÓRMULA""))"),"NO APLICA")</f>
        <v>NO APLICA</v>
      </c>
    </row>
    <row r="815">
      <c r="A815" s="83" t="s">
        <v>4078</v>
      </c>
      <c r="B815" s="83" t="s">
        <v>4079</v>
      </c>
      <c r="C815" s="81" t="s">
        <v>4086</v>
      </c>
      <c r="D815" s="83" t="s">
        <v>4535</v>
      </c>
      <c r="E815" s="81" t="s">
        <v>2519</v>
      </c>
      <c r="F815" s="84">
        <v>482.0</v>
      </c>
      <c r="G815" s="81" t="s">
        <v>44</v>
      </c>
      <c r="H815" s="81" t="s">
        <v>4536</v>
      </c>
      <c r="I815" s="81" t="s">
        <v>2519</v>
      </c>
      <c r="J815" s="81" t="s">
        <v>4088</v>
      </c>
      <c r="K815" s="81" t="str">
        <f>IFERROR(__xludf.DUMMYFUNCTION("IF(OR(D815="""",G815=""""),"""",IFERROR(LET(
campo,XLOOKUP(TRIM(G815),ARRAYFORMULA(TRIM('indice columnas'!$A$2:$A$100)),'indice columnas'!$B$2:$B$100,""""),
col,IFERROR(MATCH(campo,Referencia!$A$1:$AZ$1,0),0),
fila,IFERROR(MATCH(TO_TEXT(D815),ARRAYFORMULA"&amp;"(TO_TEXT(Referencia!$A$2:$A6238)),0),0),
IF(OR(campo="""",campo=""-""),""NO APLICA"",
IF(col=0,""REVISAR EQUIVALENCIA"",
IF(fila=0,""SKU NO ENCONTRADO"",
LET(
valor,INDEX(Referencia!$A$2:$AZ6238,fila,col),
IF(TRIM(TO_TEXT(valor))=TRIM(TO_TEXT(I815)),
""OK"&amp;""",
""NO COINCIDE. Valor verdadero: ""&amp;IF(valor="""",""[VACÍO]"",TO_TEXT(valor))
)
))))
),""ERROR EN FÓRMULA""))"),"NO APLICA")</f>
        <v>NO APLICA</v>
      </c>
    </row>
    <row r="816">
      <c r="A816" s="83" t="s">
        <v>4078</v>
      </c>
      <c r="B816" s="83" t="s">
        <v>4079</v>
      </c>
      <c r="C816" s="81" t="s">
        <v>4086</v>
      </c>
      <c r="D816" s="83" t="s">
        <v>4535</v>
      </c>
      <c r="E816" s="81" t="s">
        <v>2529</v>
      </c>
      <c r="F816" s="84">
        <v>483.0</v>
      </c>
      <c r="G816" s="81" t="s">
        <v>44</v>
      </c>
      <c r="H816" s="81" t="s">
        <v>4536</v>
      </c>
      <c r="I816" s="81" t="s">
        <v>2519</v>
      </c>
      <c r="J816" s="81" t="s">
        <v>4088</v>
      </c>
      <c r="K816" s="81" t="str">
        <f>IFERROR(__xludf.DUMMYFUNCTION("IF(OR(D816="""",G816=""""),"""",IFERROR(LET(
campo,XLOOKUP(TRIM(G816),ARRAYFORMULA(TRIM('indice columnas'!$A$2:$A$100)),'indice columnas'!$B$2:$B$100,""""),
col,IFERROR(MATCH(campo,Referencia!$A$1:$AZ$1,0),0),
fila,IFERROR(MATCH(TO_TEXT(D816),ARRAYFORMULA"&amp;"(TO_TEXT(Referencia!$A$2:$A6238)),0),0),
IF(OR(campo="""",campo=""-""),""NO APLICA"",
IF(col=0,""REVISAR EQUIVALENCIA"",
IF(fila=0,""SKU NO ENCONTRADO"",
LET(
valor,INDEX(Referencia!$A$2:$AZ6238,fila,col),
IF(TRIM(TO_TEXT(valor))=TRIM(TO_TEXT(I816)),
""OK"&amp;""",
""NO COINCIDE. Valor verdadero: ""&amp;IF(valor="""",""[VACÍO]"",TO_TEXT(valor))
)
))))
),""ERROR EN FÓRMULA""))"),"NO APLICA")</f>
        <v>NO APLICA</v>
      </c>
    </row>
    <row r="817">
      <c r="A817" s="83" t="s">
        <v>4078</v>
      </c>
      <c r="B817" s="83" t="s">
        <v>4079</v>
      </c>
      <c r="C817" s="81" t="s">
        <v>4086</v>
      </c>
      <c r="D817" s="83" t="s">
        <v>4537</v>
      </c>
      <c r="E817" s="81" t="s">
        <v>2530</v>
      </c>
      <c r="F817" s="84">
        <v>484.0</v>
      </c>
      <c r="G817" s="81" t="s">
        <v>44</v>
      </c>
      <c r="H817" s="81" t="s">
        <v>4536</v>
      </c>
      <c r="I817" s="81" t="s">
        <v>2519</v>
      </c>
      <c r="J817" s="81" t="s">
        <v>4088</v>
      </c>
      <c r="K817" s="81" t="str">
        <f>IFERROR(__xludf.DUMMYFUNCTION("IF(OR(D817="""",G817=""""),"""",IFERROR(LET(
campo,XLOOKUP(TRIM(G817),ARRAYFORMULA(TRIM('indice columnas'!$A$2:$A$100)),'indice columnas'!$B$2:$B$100,""""),
col,IFERROR(MATCH(campo,Referencia!$A$1:$AZ$1,0),0),
fila,IFERROR(MATCH(TO_TEXT(D817),ARRAYFORMULA"&amp;"(TO_TEXT(Referencia!$A$2:$A6238)),0),0),
IF(OR(campo="""",campo=""-""),""NO APLICA"",
IF(col=0,""REVISAR EQUIVALENCIA"",
IF(fila=0,""SKU NO ENCONTRADO"",
LET(
valor,INDEX(Referencia!$A$2:$AZ6238,fila,col),
IF(TRIM(TO_TEXT(valor))=TRIM(TO_TEXT(I817)),
""OK"&amp;""",
""NO COINCIDE. Valor verdadero: ""&amp;IF(valor="""",""[VACÍO]"",TO_TEXT(valor))
)
))))
),""ERROR EN FÓRMULA""))"),"NO APLICA")</f>
        <v>NO APLICA</v>
      </c>
    </row>
    <row r="818">
      <c r="A818" s="83" t="s">
        <v>4078</v>
      </c>
      <c r="B818" s="83" t="s">
        <v>4079</v>
      </c>
      <c r="C818" s="81" t="s">
        <v>4086</v>
      </c>
      <c r="D818" s="83" t="s">
        <v>4538</v>
      </c>
      <c r="E818" s="81" t="s">
        <v>2533</v>
      </c>
      <c r="F818" s="84">
        <v>485.0</v>
      </c>
      <c r="G818" s="81" t="s">
        <v>44</v>
      </c>
      <c r="H818" s="81" t="s">
        <v>4539</v>
      </c>
      <c r="I818" s="81" t="s">
        <v>2533</v>
      </c>
      <c r="J818" s="81" t="s">
        <v>4088</v>
      </c>
      <c r="K818" s="81" t="str">
        <f>IFERROR(__xludf.DUMMYFUNCTION("IF(OR(D818="""",G818=""""),"""",IFERROR(LET(
campo,XLOOKUP(TRIM(G818),ARRAYFORMULA(TRIM('indice columnas'!$A$2:$A$100)),'indice columnas'!$B$2:$B$100,""""),
col,IFERROR(MATCH(campo,Referencia!$A$1:$AZ$1,0),0),
fila,IFERROR(MATCH(TO_TEXT(D818),ARRAYFORMULA"&amp;"(TO_TEXT(Referencia!$A$2:$A6238)),0),0),
IF(OR(campo="""",campo=""-""),""NO APLICA"",
IF(col=0,""REVISAR EQUIVALENCIA"",
IF(fila=0,""SKU NO ENCONTRADO"",
LET(
valor,INDEX(Referencia!$A$2:$AZ6238,fila,col),
IF(TRIM(TO_TEXT(valor))=TRIM(TO_TEXT(I818)),
""OK"&amp;""",
""NO COINCIDE. Valor verdadero: ""&amp;IF(valor="""",""[VACÍO]"",TO_TEXT(valor))
)
))))
),""ERROR EN FÓRMULA""))"),"NO APLICA")</f>
        <v>NO APLICA</v>
      </c>
    </row>
    <row r="819">
      <c r="A819" s="83" t="s">
        <v>4078</v>
      </c>
      <c r="B819" s="83" t="s">
        <v>4079</v>
      </c>
      <c r="C819" s="81" t="s">
        <v>4086</v>
      </c>
      <c r="D819" s="83" t="s">
        <v>4538</v>
      </c>
      <c r="E819" s="81" t="s">
        <v>2548</v>
      </c>
      <c r="F819" s="84">
        <v>486.0</v>
      </c>
      <c r="G819" s="81" t="s">
        <v>44</v>
      </c>
      <c r="H819" s="81" t="s">
        <v>4539</v>
      </c>
      <c r="I819" s="81" t="s">
        <v>2533</v>
      </c>
      <c r="J819" s="81" t="s">
        <v>4088</v>
      </c>
      <c r="K819" s="81" t="str">
        <f>IFERROR(__xludf.DUMMYFUNCTION("IF(OR(D819="""",G819=""""),"""",IFERROR(LET(
campo,XLOOKUP(TRIM(G819),ARRAYFORMULA(TRIM('indice columnas'!$A$2:$A$100)),'indice columnas'!$B$2:$B$100,""""),
col,IFERROR(MATCH(campo,Referencia!$A$1:$AZ$1,0),0),
fila,IFERROR(MATCH(TO_TEXT(D819),ARRAYFORMULA"&amp;"(TO_TEXT(Referencia!$A$2:$A6238)),0),0),
IF(OR(campo="""",campo=""-""),""NO APLICA"",
IF(col=0,""REVISAR EQUIVALENCIA"",
IF(fila=0,""SKU NO ENCONTRADO"",
LET(
valor,INDEX(Referencia!$A$2:$AZ6238,fila,col),
IF(TRIM(TO_TEXT(valor))=TRIM(TO_TEXT(I819)),
""OK"&amp;""",
""NO COINCIDE. Valor verdadero: ""&amp;IF(valor="""",""[VACÍO]"",TO_TEXT(valor))
)
))))
),""ERROR EN FÓRMULA""))"),"NO APLICA")</f>
        <v>NO APLICA</v>
      </c>
    </row>
    <row r="820">
      <c r="A820" s="83" t="s">
        <v>4078</v>
      </c>
      <c r="B820" s="83" t="s">
        <v>4079</v>
      </c>
      <c r="C820" s="81" t="s">
        <v>4086</v>
      </c>
      <c r="D820" s="83" t="s">
        <v>4540</v>
      </c>
      <c r="E820" s="81" t="s">
        <v>2549</v>
      </c>
      <c r="F820" s="84">
        <v>487.0</v>
      </c>
      <c r="G820" s="81" t="s">
        <v>44</v>
      </c>
      <c r="H820" s="81" t="s">
        <v>4541</v>
      </c>
      <c r="I820" s="81" t="s">
        <v>4542</v>
      </c>
      <c r="J820" s="81" t="s">
        <v>4088</v>
      </c>
      <c r="K820" s="81" t="str">
        <f>IFERROR(__xludf.DUMMYFUNCTION("IF(OR(D820="""",G820=""""),"""",IFERROR(LET(
campo,XLOOKUP(TRIM(G820),ARRAYFORMULA(TRIM('indice columnas'!$A$2:$A$100)),'indice columnas'!$B$2:$B$100,""""),
col,IFERROR(MATCH(campo,Referencia!$A$1:$AZ$1,0),0),
fila,IFERROR(MATCH(TO_TEXT(D820),ARRAYFORMULA"&amp;"(TO_TEXT(Referencia!$A$2:$A6238)),0),0),
IF(OR(campo="""",campo=""-""),""NO APLICA"",
IF(col=0,""REVISAR EQUIVALENCIA"",
IF(fila=0,""SKU NO ENCONTRADO"",
LET(
valor,INDEX(Referencia!$A$2:$AZ6238,fila,col),
IF(TRIM(TO_TEXT(valor))=TRIM(TO_TEXT(I820)),
""OK"&amp;""",
""NO COINCIDE. Valor verdadero: ""&amp;IF(valor="""",""[VACÍO]"",TO_TEXT(valor))
)
))))
),""ERROR EN FÓRMULA""))"),"NO APLICA")</f>
        <v>NO APLICA</v>
      </c>
    </row>
    <row r="821">
      <c r="A821" s="83" t="s">
        <v>4078</v>
      </c>
      <c r="B821" s="83" t="s">
        <v>4079</v>
      </c>
      <c r="C821" s="81" t="s">
        <v>4086</v>
      </c>
      <c r="D821" s="83" t="s">
        <v>4540</v>
      </c>
      <c r="E821" s="81" t="s">
        <v>2562</v>
      </c>
      <c r="F821" s="84">
        <v>488.0</v>
      </c>
      <c r="G821" s="81" t="s">
        <v>44</v>
      </c>
      <c r="H821" s="81" t="s">
        <v>4541</v>
      </c>
      <c r="I821" s="81" t="s">
        <v>4542</v>
      </c>
      <c r="J821" s="81" t="s">
        <v>4088</v>
      </c>
      <c r="K821" s="81" t="str">
        <f>IFERROR(__xludf.DUMMYFUNCTION("IF(OR(D821="""",G821=""""),"""",IFERROR(LET(
campo,XLOOKUP(TRIM(G821),ARRAYFORMULA(TRIM('indice columnas'!$A$2:$A$100)),'indice columnas'!$B$2:$B$100,""""),
col,IFERROR(MATCH(campo,Referencia!$A$1:$AZ$1,0),0),
fila,IFERROR(MATCH(TO_TEXT(D821),ARRAYFORMULA"&amp;"(TO_TEXT(Referencia!$A$2:$A6238)),0),0),
IF(OR(campo="""",campo=""-""),""NO APLICA"",
IF(col=0,""REVISAR EQUIVALENCIA"",
IF(fila=0,""SKU NO ENCONTRADO"",
LET(
valor,INDEX(Referencia!$A$2:$AZ6238,fila,col),
IF(TRIM(TO_TEXT(valor))=TRIM(TO_TEXT(I821)),
""OK"&amp;""",
""NO COINCIDE. Valor verdadero: ""&amp;IF(valor="""",""[VACÍO]"",TO_TEXT(valor))
)
))))
),""ERROR EN FÓRMULA""))"),"NO APLICA")</f>
        <v>NO APLICA</v>
      </c>
    </row>
    <row r="822">
      <c r="A822" s="83" t="s">
        <v>4078</v>
      </c>
      <c r="B822" s="83" t="s">
        <v>4079</v>
      </c>
      <c r="C822" s="81" t="s">
        <v>4086</v>
      </c>
      <c r="D822" s="83" t="s">
        <v>4543</v>
      </c>
      <c r="E822" s="81" t="s">
        <v>2563</v>
      </c>
      <c r="F822" s="84">
        <v>489.0</v>
      </c>
      <c r="G822" s="81" t="s">
        <v>44</v>
      </c>
      <c r="H822" s="81" t="s">
        <v>4541</v>
      </c>
      <c r="I822" s="81" t="s">
        <v>4542</v>
      </c>
      <c r="J822" s="81" t="s">
        <v>4088</v>
      </c>
      <c r="K822" s="81" t="str">
        <f>IFERROR(__xludf.DUMMYFUNCTION("IF(OR(D822="""",G822=""""),"""",IFERROR(LET(
campo,XLOOKUP(TRIM(G822),ARRAYFORMULA(TRIM('indice columnas'!$A$2:$A$100)),'indice columnas'!$B$2:$B$100,""""),
col,IFERROR(MATCH(campo,Referencia!$A$1:$AZ$1,0),0),
fila,IFERROR(MATCH(TO_TEXT(D822),ARRAYFORMULA"&amp;"(TO_TEXT(Referencia!$A$2:$A6238)),0),0),
IF(OR(campo="""",campo=""-""),""NO APLICA"",
IF(col=0,""REVISAR EQUIVALENCIA"",
IF(fila=0,""SKU NO ENCONTRADO"",
LET(
valor,INDEX(Referencia!$A$2:$AZ6238,fila,col),
IF(TRIM(TO_TEXT(valor))=TRIM(TO_TEXT(I822)),
""OK"&amp;""",
""NO COINCIDE. Valor verdadero: ""&amp;IF(valor="""",""[VACÍO]"",TO_TEXT(valor))
)
))))
),""ERROR EN FÓRMULA""))"),"NO APLICA")</f>
        <v>NO APLICA</v>
      </c>
    </row>
    <row r="823">
      <c r="A823" s="83" t="s">
        <v>4078</v>
      </c>
      <c r="B823" s="83" t="s">
        <v>4079</v>
      </c>
      <c r="C823" s="81" t="s">
        <v>4086</v>
      </c>
      <c r="D823" s="83" t="s">
        <v>4544</v>
      </c>
      <c r="E823" s="81" t="s">
        <v>2566</v>
      </c>
      <c r="F823" s="84">
        <v>490.0</v>
      </c>
      <c r="G823" s="81" t="s">
        <v>44</v>
      </c>
      <c r="H823" s="81" t="s">
        <v>4545</v>
      </c>
      <c r="I823" s="81" t="s">
        <v>4542</v>
      </c>
      <c r="J823" s="81" t="s">
        <v>4088</v>
      </c>
      <c r="K823" s="81" t="str">
        <f>IFERROR(__xludf.DUMMYFUNCTION("IF(OR(D823="""",G823=""""),"""",IFERROR(LET(
campo,XLOOKUP(TRIM(G823),ARRAYFORMULA(TRIM('indice columnas'!$A$2:$A$100)),'indice columnas'!$B$2:$B$100,""""),
col,IFERROR(MATCH(campo,Referencia!$A$1:$AZ$1,0),0),
fila,IFERROR(MATCH(TO_TEXT(D823),ARRAYFORMULA"&amp;"(TO_TEXT(Referencia!$A$2:$A6238)),0),0),
IF(OR(campo="""",campo=""-""),""NO APLICA"",
IF(col=0,""REVISAR EQUIVALENCIA"",
IF(fila=0,""SKU NO ENCONTRADO"",
LET(
valor,INDEX(Referencia!$A$2:$AZ6238,fila,col),
IF(TRIM(TO_TEXT(valor))=TRIM(TO_TEXT(I823)),
""OK"&amp;""",
""NO COINCIDE. Valor verdadero: ""&amp;IF(valor="""",""[VACÍO]"",TO_TEXT(valor))
)
))))
),""ERROR EN FÓRMULA""))"),"NO APLICA")</f>
        <v>NO APLICA</v>
      </c>
    </row>
    <row r="824">
      <c r="A824" s="83" t="s">
        <v>4078</v>
      </c>
      <c r="B824" s="83" t="s">
        <v>4079</v>
      </c>
      <c r="C824" s="81" t="s">
        <v>4086</v>
      </c>
      <c r="D824" s="83" t="s">
        <v>4544</v>
      </c>
      <c r="E824" s="81" t="s">
        <v>2573</v>
      </c>
      <c r="F824" s="84">
        <v>491.0</v>
      </c>
      <c r="G824" s="81" t="s">
        <v>44</v>
      </c>
      <c r="H824" s="81" t="s">
        <v>4545</v>
      </c>
      <c r="I824" s="81" t="s">
        <v>4542</v>
      </c>
      <c r="J824" s="81" t="s">
        <v>4088</v>
      </c>
      <c r="K824" s="81" t="str">
        <f>IFERROR(__xludf.DUMMYFUNCTION("IF(OR(D824="""",G824=""""),"""",IFERROR(LET(
campo,XLOOKUP(TRIM(G824),ARRAYFORMULA(TRIM('indice columnas'!$A$2:$A$100)),'indice columnas'!$B$2:$B$100,""""),
col,IFERROR(MATCH(campo,Referencia!$A$1:$AZ$1,0),0),
fila,IFERROR(MATCH(TO_TEXT(D824),ARRAYFORMULA"&amp;"(TO_TEXT(Referencia!$A$2:$A6238)),0),0),
IF(OR(campo="""",campo=""-""),""NO APLICA"",
IF(col=0,""REVISAR EQUIVALENCIA"",
IF(fila=0,""SKU NO ENCONTRADO"",
LET(
valor,INDEX(Referencia!$A$2:$AZ6238,fila,col),
IF(TRIM(TO_TEXT(valor))=TRIM(TO_TEXT(I824)),
""OK"&amp;""",
""NO COINCIDE. Valor verdadero: ""&amp;IF(valor="""",""[VACÍO]"",TO_TEXT(valor))
)
))))
),""ERROR EN FÓRMULA""))"),"NO APLICA")</f>
        <v>NO APLICA</v>
      </c>
    </row>
    <row r="825">
      <c r="A825" s="83" t="s">
        <v>4078</v>
      </c>
      <c r="B825" s="83" t="s">
        <v>4079</v>
      </c>
      <c r="C825" s="81" t="s">
        <v>4086</v>
      </c>
      <c r="D825" s="83" t="s">
        <v>4546</v>
      </c>
      <c r="E825" s="81" t="s">
        <v>2574</v>
      </c>
      <c r="F825" s="84">
        <v>492.0</v>
      </c>
      <c r="G825" s="81" t="s">
        <v>44</v>
      </c>
      <c r="H825" s="81" t="s">
        <v>4545</v>
      </c>
      <c r="I825" s="81" t="s">
        <v>4542</v>
      </c>
      <c r="J825" s="81" t="s">
        <v>4088</v>
      </c>
      <c r="K825" s="81" t="str">
        <f>IFERROR(__xludf.DUMMYFUNCTION("IF(OR(D825="""",G825=""""),"""",IFERROR(LET(
campo,XLOOKUP(TRIM(G825),ARRAYFORMULA(TRIM('indice columnas'!$A$2:$A$100)),'indice columnas'!$B$2:$B$100,""""),
col,IFERROR(MATCH(campo,Referencia!$A$1:$AZ$1,0),0),
fila,IFERROR(MATCH(TO_TEXT(D825),ARRAYFORMULA"&amp;"(TO_TEXT(Referencia!$A$2:$A6238)),0),0),
IF(OR(campo="""",campo=""-""),""NO APLICA"",
IF(col=0,""REVISAR EQUIVALENCIA"",
IF(fila=0,""SKU NO ENCONTRADO"",
LET(
valor,INDEX(Referencia!$A$2:$AZ6238,fila,col),
IF(TRIM(TO_TEXT(valor))=TRIM(TO_TEXT(I825)),
""OK"&amp;""",
""NO COINCIDE. Valor verdadero: ""&amp;IF(valor="""",""[VACÍO]"",TO_TEXT(valor))
)
))))
),""ERROR EN FÓRMULA""))"),"NO APLICA")</f>
        <v>NO APLICA</v>
      </c>
    </row>
    <row r="826">
      <c r="A826" s="83" t="s">
        <v>4078</v>
      </c>
      <c r="B826" s="83" t="s">
        <v>4079</v>
      </c>
      <c r="C826" s="81" t="s">
        <v>4086</v>
      </c>
      <c r="D826" s="83" t="s">
        <v>4547</v>
      </c>
      <c r="E826" s="81" t="s">
        <v>2577</v>
      </c>
      <c r="F826" s="84">
        <v>493.0</v>
      </c>
      <c r="G826" s="81" t="s">
        <v>44</v>
      </c>
      <c r="H826" s="81" t="s">
        <v>224</v>
      </c>
      <c r="I826" s="81" t="s">
        <v>1775</v>
      </c>
      <c r="J826" s="81" t="s">
        <v>4088</v>
      </c>
      <c r="K826" s="81" t="str">
        <f>IFERROR(__xludf.DUMMYFUNCTION("IF(OR(D826="""",G826=""""),"""",IFERROR(LET(
campo,XLOOKUP(TRIM(G826),ARRAYFORMULA(TRIM('indice columnas'!$A$2:$A$100)),'indice columnas'!$B$2:$B$100,""""),
col,IFERROR(MATCH(campo,Referencia!$A$1:$AZ$1,0),0),
fila,IFERROR(MATCH(TO_TEXT(D826),ARRAYFORMULA"&amp;"(TO_TEXT(Referencia!$A$2:$A6238)),0),0),
IF(OR(campo="""",campo=""-""),""NO APLICA"",
IF(col=0,""REVISAR EQUIVALENCIA"",
IF(fila=0,""SKU NO ENCONTRADO"",
LET(
valor,INDEX(Referencia!$A$2:$AZ6238,fila,col),
IF(TRIM(TO_TEXT(valor))=TRIM(TO_TEXT(I826)),
""OK"&amp;""",
""NO COINCIDE. Valor verdadero: ""&amp;IF(valor="""",""[VACÍO]"",TO_TEXT(valor))
)
))))
),""ERROR EN FÓRMULA""))"),"NO APLICA")</f>
        <v>NO APLICA</v>
      </c>
    </row>
    <row r="827">
      <c r="A827" s="83" t="s">
        <v>4078</v>
      </c>
      <c r="B827" s="83" t="s">
        <v>4079</v>
      </c>
      <c r="C827" s="81" t="s">
        <v>4086</v>
      </c>
      <c r="D827" s="83" t="s">
        <v>4548</v>
      </c>
      <c r="E827" s="81" t="s">
        <v>2585</v>
      </c>
      <c r="F827" s="84">
        <v>494.0</v>
      </c>
      <c r="G827" s="81" t="s">
        <v>44</v>
      </c>
      <c r="H827" s="81" t="s">
        <v>224</v>
      </c>
      <c r="I827" s="81" t="s">
        <v>1775</v>
      </c>
      <c r="J827" s="81" t="s">
        <v>4088</v>
      </c>
      <c r="K827" s="81" t="str">
        <f>IFERROR(__xludf.DUMMYFUNCTION("IF(OR(D827="""",G827=""""),"""",IFERROR(LET(
campo,XLOOKUP(TRIM(G827),ARRAYFORMULA(TRIM('indice columnas'!$A$2:$A$100)),'indice columnas'!$B$2:$B$100,""""),
col,IFERROR(MATCH(campo,Referencia!$A$1:$AZ$1,0),0),
fila,IFERROR(MATCH(TO_TEXT(D827),ARRAYFORMULA"&amp;"(TO_TEXT(Referencia!$A$2:$A6238)),0),0),
IF(OR(campo="""",campo=""-""),""NO APLICA"",
IF(col=0,""REVISAR EQUIVALENCIA"",
IF(fila=0,""SKU NO ENCONTRADO"",
LET(
valor,INDEX(Referencia!$A$2:$AZ6238,fila,col),
IF(TRIM(TO_TEXT(valor))=TRIM(TO_TEXT(I827)),
""OK"&amp;""",
""NO COINCIDE. Valor verdadero: ""&amp;IF(valor="""",""[VACÍO]"",TO_TEXT(valor))
)
))))
),""ERROR EN FÓRMULA""))"),"NO APLICA")</f>
        <v>NO APLICA</v>
      </c>
    </row>
    <row r="828">
      <c r="A828" s="83" t="s">
        <v>4078</v>
      </c>
      <c r="B828" s="83" t="s">
        <v>4079</v>
      </c>
      <c r="C828" s="81" t="s">
        <v>4086</v>
      </c>
      <c r="D828" s="83" t="s">
        <v>4549</v>
      </c>
      <c r="E828" s="81" t="s">
        <v>2588</v>
      </c>
      <c r="F828" s="84">
        <v>495.0</v>
      </c>
      <c r="G828" s="81" t="s">
        <v>44</v>
      </c>
      <c r="H828" s="81" t="s">
        <v>224</v>
      </c>
      <c r="I828" s="81" t="s">
        <v>2087</v>
      </c>
      <c r="J828" s="81" t="s">
        <v>4088</v>
      </c>
      <c r="K828" s="81" t="str">
        <f>IFERROR(__xludf.DUMMYFUNCTION("IF(OR(D828="""",G828=""""),"""",IFERROR(LET(
campo,XLOOKUP(TRIM(G828),ARRAYFORMULA(TRIM('indice columnas'!$A$2:$A$100)),'indice columnas'!$B$2:$B$100,""""),
col,IFERROR(MATCH(campo,Referencia!$A$1:$AZ$1,0),0),
fila,IFERROR(MATCH(TO_TEXT(D828),ARRAYFORMULA"&amp;"(TO_TEXT(Referencia!$A$2:$A6238)),0),0),
IF(OR(campo="""",campo=""-""),""NO APLICA"",
IF(col=0,""REVISAR EQUIVALENCIA"",
IF(fila=0,""SKU NO ENCONTRADO"",
LET(
valor,INDEX(Referencia!$A$2:$AZ6238,fila,col),
IF(TRIM(TO_TEXT(valor))=TRIM(TO_TEXT(I828)),
""OK"&amp;""",
""NO COINCIDE. Valor verdadero: ""&amp;IF(valor="""",""[VACÍO]"",TO_TEXT(valor))
)
))))
),""ERROR EN FÓRMULA""))"),"NO APLICA")</f>
        <v>NO APLICA</v>
      </c>
    </row>
    <row r="829">
      <c r="A829" s="83" t="s">
        <v>4078</v>
      </c>
      <c r="B829" s="83" t="s">
        <v>4079</v>
      </c>
      <c r="C829" s="81" t="s">
        <v>4086</v>
      </c>
      <c r="D829" s="83" t="s">
        <v>4550</v>
      </c>
      <c r="E829" s="81" t="s">
        <v>2591</v>
      </c>
      <c r="F829" s="84">
        <v>496.0</v>
      </c>
      <c r="G829" s="81" t="s">
        <v>44</v>
      </c>
      <c r="H829" s="81" t="s">
        <v>224</v>
      </c>
      <c r="I829" s="81" t="s">
        <v>2380</v>
      </c>
      <c r="J829" s="81" t="s">
        <v>4088</v>
      </c>
      <c r="K829" s="81" t="str">
        <f>IFERROR(__xludf.DUMMYFUNCTION("IF(OR(D829="""",G829=""""),"""",IFERROR(LET(
campo,XLOOKUP(TRIM(G829),ARRAYFORMULA(TRIM('indice columnas'!$A$2:$A$100)),'indice columnas'!$B$2:$B$100,""""),
col,IFERROR(MATCH(campo,Referencia!$A$1:$AZ$1,0),0),
fila,IFERROR(MATCH(TO_TEXT(D829),ARRAYFORMULA"&amp;"(TO_TEXT(Referencia!$A$2:$A6238)),0),0),
IF(OR(campo="""",campo=""-""),""NO APLICA"",
IF(col=0,""REVISAR EQUIVALENCIA"",
IF(fila=0,""SKU NO ENCONTRADO"",
LET(
valor,INDEX(Referencia!$A$2:$AZ6238,fila,col),
IF(TRIM(TO_TEXT(valor))=TRIM(TO_TEXT(I829)),
""OK"&amp;""",
""NO COINCIDE. Valor verdadero: ""&amp;IF(valor="""",""[VACÍO]"",TO_TEXT(valor))
)
))))
),""ERROR EN FÓRMULA""))"),"NO APLICA")</f>
        <v>NO APLICA</v>
      </c>
    </row>
    <row r="830">
      <c r="A830" s="83" t="s">
        <v>4078</v>
      </c>
      <c r="B830" s="83" t="s">
        <v>4079</v>
      </c>
      <c r="C830" s="81" t="s">
        <v>4086</v>
      </c>
      <c r="D830" s="83" t="s">
        <v>4551</v>
      </c>
      <c r="E830" s="81" t="s">
        <v>2594</v>
      </c>
      <c r="F830" s="84">
        <v>497.0</v>
      </c>
      <c r="G830" s="81" t="s">
        <v>44</v>
      </c>
      <c r="H830" s="81" t="s">
        <v>224</v>
      </c>
      <c r="I830" s="81" t="s">
        <v>2380</v>
      </c>
      <c r="J830" s="81" t="s">
        <v>4088</v>
      </c>
      <c r="K830" s="81" t="str">
        <f>IFERROR(__xludf.DUMMYFUNCTION("IF(OR(D830="""",G830=""""),"""",IFERROR(LET(
campo,XLOOKUP(TRIM(G830),ARRAYFORMULA(TRIM('indice columnas'!$A$2:$A$100)),'indice columnas'!$B$2:$B$100,""""),
col,IFERROR(MATCH(campo,Referencia!$A$1:$AZ$1,0),0),
fila,IFERROR(MATCH(TO_TEXT(D830),ARRAYFORMULA"&amp;"(TO_TEXT(Referencia!$A$2:$A6238)),0),0),
IF(OR(campo="""",campo=""-""),""NO APLICA"",
IF(col=0,""REVISAR EQUIVALENCIA"",
IF(fila=0,""SKU NO ENCONTRADO"",
LET(
valor,INDEX(Referencia!$A$2:$AZ6238,fila,col),
IF(TRIM(TO_TEXT(valor))=TRIM(TO_TEXT(I830)),
""OK"&amp;""",
""NO COINCIDE. Valor verdadero: ""&amp;IF(valor="""",""[VACÍO]"",TO_TEXT(valor))
)
))))
),""ERROR EN FÓRMULA""))"),"NO APLICA")</f>
        <v>NO APLICA</v>
      </c>
    </row>
    <row r="831">
      <c r="A831" s="83" t="s">
        <v>4078</v>
      </c>
      <c r="B831" s="83" t="s">
        <v>4079</v>
      </c>
      <c r="C831" s="81" t="s">
        <v>4086</v>
      </c>
      <c r="D831" s="83" t="s">
        <v>4552</v>
      </c>
      <c r="E831" s="81" t="s">
        <v>2596</v>
      </c>
      <c r="F831" s="84">
        <v>498.0</v>
      </c>
      <c r="G831" s="81" t="s">
        <v>44</v>
      </c>
      <c r="H831" s="81" t="s">
        <v>224</v>
      </c>
      <c r="I831" s="81" t="s">
        <v>2380</v>
      </c>
      <c r="J831" s="81" t="s">
        <v>4088</v>
      </c>
      <c r="K831" s="81" t="str">
        <f>IFERROR(__xludf.DUMMYFUNCTION("IF(OR(D831="""",G831=""""),"""",IFERROR(LET(
campo,XLOOKUP(TRIM(G831),ARRAYFORMULA(TRIM('indice columnas'!$A$2:$A$100)),'indice columnas'!$B$2:$B$100,""""),
col,IFERROR(MATCH(campo,Referencia!$A$1:$AZ$1,0),0),
fila,IFERROR(MATCH(TO_TEXT(D831),ARRAYFORMULA"&amp;"(TO_TEXT(Referencia!$A$2:$A6238)),0),0),
IF(OR(campo="""",campo=""-""),""NO APLICA"",
IF(col=0,""REVISAR EQUIVALENCIA"",
IF(fila=0,""SKU NO ENCONTRADO"",
LET(
valor,INDEX(Referencia!$A$2:$AZ6238,fila,col),
IF(TRIM(TO_TEXT(valor))=TRIM(TO_TEXT(I831)),
""OK"&amp;""",
""NO COINCIDE. Valor verdadero: ""&amp;IF(valor="""",""[VACÍO]"",TO_TEXT(valor))
)
))))
),""ERROR EN FÓRMULA""))"),"NO APLICA")</f>
        <v>NO APLICA</v>
      </c>
    </row>
    <row r="832">
      <c r="A832" s="83" t="s">
        <v>4078</v>
      </c>
      <c r="B832" s="83" t="s">
        <v>4079</v>
      </c>
      <c r="C832" s="81" t="s">
        <v>4086</v>
      </c>
      <c r="D832" s="83" t="s">
        <v>4553</v>
      </c>
      <c r="E832" s="81" t="s">
        <v>2598</v>
      </c>
      <c r="F832" s="84">
        <v>499.0</v>
      </c>
      <c r="G832" s="81" t="s">
        <v>44</v>
      </c>
      <c r="H832" s="81" t="s">
        <v>4339</v>
      </c>
      <c r="I832" s="81" t="s">
        <v>1401</v>
      </c>
      <c r="J832" s="81" t="s">
        <v>4088</v>
      </c>
      <c r="K832" s="81" t="str">
        <f>IFERROR(__xludf.DUMMYFUNCTION("IF(OR(D832="""",G832=""""),"""",IFERROR(LET(
campo,XLOOKUP(TRIM(G832),ARRAYFORMULA(TRIM('indice columnas'!$A$2:$A$100)),'indice columnas'!$B$2:$B$100,""""),
col,IFERROR(MATCH(campo,Referencia!$A$1:$AZ$1,0),0),
fila,IFERROR(MATCH(TO_TEXT(D832),ARRAYFORMULA"&amp;"(TO_TEXT(Referencia!$A$2:$A6238)),0),0),
IF(OR(campo="""",campo=""-""),""NO APLICA"",
IF(col=0,""REVISAR EQUIVALENCIA"",
IF(fila=0,""SKU NO ENCONTRADO"",
LET(
valor,INDEX(Referencia!$A$2:$AZ6238,fila,col),
IF(TRIM(TO_TEXT(valor))=TRIM(TO_TEXT(I832)),
""OK"&amp;""",
""NO COINCIDE. Valor verdadero: ""&amp;IF(valor="""",""[VACÍO]"",TO_TEXT(valor))
)
))))
),""ERROR EN FÓRMULA""))"),"NO APLICA")</f>
        <v>NO APLICA</v>
      </c>
    </row>
    <row r="833">
      <c r="A833" s="83" t="s">
        <v>4078</v>
      </c>
      <c r="B833" s="83" t="s">
        <v>4079</v>
      </c>
      <c r="C833" s="81" t="s">
        <v>4086</v>
      </c>
      <c r="D833" s="83" t="s">
        <v>4553</v>
      </c>
      <c r="E833" s="81" t="s">
        <v>2608</v>
      </c>
      <c r="F833" s="84">
        <v>500.0</v>
      </c>
      <c r="G833" s="81" t="s">
        <v>29</v>
      </c>
      <c r="H833" s="81" t="s">
        <v>4554</v>
      </c>
      <c r="I833" s="81" t="s">
        <v>2609</v>
      </c>
      <c r="J833" s="81" t="s">
        <v>224</v>
      </c>
      <c r="K833" s="81" t="str">
        <f>IFERROR(__xludf.DUMMYFUNCTION("IF(OR(D833="""",G833=""""),"""",IFERROR(LET(
campo,XLOOKUP(TRIM(G833),ARRAYFORMULA(TRIM('indice columnas'!$A$2:$A$100)),'indice columnas'!$B$2:$B$100,""""),
col,IFERROR(MATCH(campo,Referencia!$A$1:$AZ$1,0),0),
fila,IFERROR(MATCH(TO_TEXT(D833),ARRAYFORMULA"&amp;"(TO_TEXT(Referencia!$A$2:$A6238)),0),0),
IF(OR(campo="""",campo=""-""),""NO APLICA"",
IF(col=0,""REVISAR EQUIVALENCIA"",
IF(fila=0,""SKU NO ENCONTRADO"",
LET(
valor,INDEX(Referencia!$A$2:$AZ6238,fila,col),
IF(TRIM(TO_TEXT(valor))=TRIM(TO_TEXT(I833)),
""OK"&amp;""",
""NO COINCIDE. Valor verdadero: ""&amp;IF(valor="""",""[VACÍO]"",TO_TEXT(valor))
)
))))
),""ERROR EN FÓRMULA""))"),"NO COINCIDE. Valor verdadero: 33 x 60 x 300 (Ancho x Alto x Largo)")</f>
        <v>NO COINCIDE. Valor verdadero: 33 x 60 x 300 (Ancho x Alto x Largo)</v>
      </c>
    </row>
    <row r="834">
      <c r="A834" s="83" t="s">
        <v>4078</v>
      </c>
      <c r="B834" s="83" t="s">
        <v>4079</v>
      </c>
      <c r="C834" s="81" t="s">
        <v>4086</v>
      </c>
      <c r="D834" s="83" t="s">
        <v>4553</v>
      </c>
      <c r="E834" s="81" t="s">
        <v>2608</v>
      </c>
      <c r="F834" s="84">
        <v>500.0</v>
      </c>
      <c r="G834" s="81" t="s">
        <v>44</v>
      </c>
      <c r="H834" s="81" t="s">
        <v>4339</v>
      </c>
      <c r="I834" s="81" t="s">
        <v>1401</v>
      </c>
      <c r="J834" s="81" t="s">
        <v>4088</v>
      </c>
      <c r="K834" s="81" t="str">
        <f>IFERROR(__xludf.DUMMYFUNCTION("IF(OR(D834="""",G834=""""),"""",IFERROR(LET(
campo,XLOOKUP(TRIM(G834),ARRAYFORMULA(TRIM('indice columnas'!$A$2:$A$100)),'indice columnas'!$B$2:$B$100,""""),
col,IFERROR(MATCH(campo,Referencia!$A$1:$AZ$1,0),0),
fila,IFERROR(MATCH(TO_TEXT(D834),ARRAYFORMULA"&amp;"(TO_TEXT(Referencia!$A$2:$A6238)),0),0),
IF(OR(campo="""",campo=""-""),""NO APLICA"",
IF(col=0,""REVISAR EQUIVALENCIA"",
IF(fila=0,""SKU NO ENCONTRADO"",
LET(
valor,INDEX(Referencia!$A$2:$AZ6238,fila,col),
IF(TRIM(TO_TEXT(valor))=TRIM(TO_TEXT(I834)),
""OK"&amp;""",
""NO COINCIDE. Valor verdadero: ""&amp;IF(valor="""",""[VACÍO]"",TO_TEXT(valor))
)
))))
),""ERROR EN FÓRMULA""))"),"NO APLICA")</f>
        <v>NO APLICA</v>
      </c>
    </row>
    <row r="835">
      <c r="A835" s="83" t="s">
        <v>4078</v>
      </c>
      <c r="B835" s="83" t="s">
        <v>4079</v>
      </c>
      <c r="C835" s="81" t="s">
        <v>4086</v>
      </c>
      <c r="D835" s="83" t="s">
        <v>4555</v>
      </c>
      <c r="E835" s="81" t="s">
        <v>2610</v>
      </c>
      <c r="F835" s="84">
        <v>501.0</v>
      </c>
      <c r="G835" s="81" t="s">
        <v>29</v>
      </c>
      <c r="H835" s="81" t="s">
        <v>4554</v>
      </c>
      <c r="I835" s="81" t="s">
        <v>2609</v>
      </c>
      <c r="J835" s="81" t="s">
        <v>224</v>
      </c>
      <c r="K835" s="81" t="str">
        <f>IFERROR(__xludf.DUMMYFUNCTION("IF(OR(D835="""",G835=""""),"""",IFERROR(LET(
campo,XLOOKUP(TRIM(G835),ARRAYFORMULA(TRIM('indice columnas'!$A$2:$A$100)),'indice columnas'!$B$2:$B$100,""""),
col,IFERROR(MATCH(campo,Referencia!$A$1:$AZ$1,0),0),
fila,IFERROR(MATCH(TO_TEXT(D835),ARRAYFORMULA"&amp;"(TO_TEXT(Referencia!$A$2:$A6238)),0),0),
IF(OR(campo="""",campo=""-""),""NO APLICA"",
IF(col=0,""REVISAR EQUIVALENCIA"",
IF(fila=0,""SKU NO ENCONTRADO"",
LET(
valor,INDEX(Referencia!$A$2:$AZ6238,fila,col),
IF(TRIM(TO_TEXT(valor))=TRIM(TO_TEXT(I835)),
""OK"&amp;""",
""NO COINCIDE. Valor verdadero: ""&amp;IF(valor="""",""[VACÍO]"",TO_TEXT(valor))
)
))))
),""ERROR EN FÓRMULA""))"),"NO COINCIDE. Valor verdadero: 33 x 60 x 300 (Ancho x Alto x Largo)")</f>
        <v>NO COINCIDE. Valor verdadero: 33 x 60 x 300 (Ancho x Alto x Largo)</v>
      </c>
    </row>
    <row r="836">
      <c r="A836" s="83" t="s">
        <v>4078</v>
      </c>
      <c r="B836" s="83" t="s">
        <v>4079</v>
      </c>
      <c r="C836" s="81" t="s">
        <v>4086</v>
      </c>
      <c r="D836" s="83" t="s">
        <v>4555</v>
      </c>
      <c r="E836" s="81" t="s">
        <v>2610</v>
      </c>
      <c r="F836" s="84">
        <v>501.0</v>
      </c>
      <c r="G836" s="81" t="s">
        <v>44</v>
      </c>
      <c r="H836" s="81" t="s">
        <v>4339</v>
      </c>
      <c r="I836" s="81" t="s">
        <v>1401</v>
      </c>
      <c r="J836" s="81" t="s">
        <v>4088</v>
      </c>
      <c r="K836" s="81" t="str">
        <f>IFERROR(__xludf.DUMMYFUNCTION("IF(OR(D836="""",G836=""""),"""",IFERROR(LET(
campo,XLOOKUP(TRIM(G836),ARRAYFORMULA(TRIM('indice columnas'!$A$2:$A$100)),'indice columnas'!$B$2:$B$100,""""),
col,IFERROR(MATCH(campo,Referencia!$A$1:$AZ$1,0),0),
fila,IFERROR(MATCH(TO_TEXT(D836),ARRAYFORMULA"&amp;"(TO_TEXT(Referencia!$A$2:$A6238)),0),0),
IF(OR(campo="""",campo=""-""),""NO APLICA"",
IF(col=0,""REVISAR EQUIVALENCIA"",
IF(fila=0,""SKU NO ENCONTRADO"",
LET(
valor,INDEX(Referencia!$A$2:$AZ6238,fila,col),
IF(TRIM(TO_TEXT(valor))=TRIM(TO_TEXT(I836)),
""OK"&amp;""",
""NO COINCIDE. Valor verdadero: ""&amp;IF(valor="""",""[VACÍO]"",TO_TEXT(valor))
)
))))
),""ERROR EN FÓRMULA""))"),"NO APLICA")</f>
        <v>NO APLICA</v>
      </c>
    </row>
    <row r="837">
      <c r="A837" s="83" t="s">
        <v>4078</v>
      </c>
      <c r="B837" s="83" t="s">
        <v>4079</v>
      </c>
      <c r="C837" s="81" t="s">
        <v>4086</v>
      </c>
      <c r="D837" s="83" t="s">
        <v>4556</v>
      </c>
      <c r="E837" s="81" t="s">
        <v>2613</v>
      </c>
      <c r="F837" s="84">
        <v>502.0</v>
      </c>
      <c r="G837" s="81" t="s">
        <v>44</v>
      </c>
      <c r="H837" s="81" t="s">
        <v>4539</v>
      </c>
      <c r="I837" s="81" t="s">
        <v>2533</v>
      </c>
      <c r="J837" s="81" t="s">
        <v>4088</v>
      </c>
      <c r="K837" s="81" t="str">
        <f>IFERROR(__xludf.DUMMYFUNCTION("IF(OR(D837="""",G837=""""),"""",IFERROR(LET(
campo,XLOOKUP(TRIM(G837),ARRAYFORMULA(TRIM('indice columnas'!$A$2:$A$100)),'indice columnas'!$B$2:$B$100,""""),
col,IFERROR(MATCH(campo,Referencia!$A$1:$AZ$1,0),0),
fila,IFERROR(MATCH(TO_TEXT(D837),ARRAYFORMULA"&amp;"(TO_TEXT(Referencia!$A$2:$A6238)),0),0),
IF(OR(campo="""",campo=""-""),""NO APLICA"",
IF(col=0,""REVISAR EQUIVALENCIA"",
IF(fila=0,""SKU NO ENCONTRADO"",
LET(
valor,INDEX(Referencia!$A$2:$AZ6238,fila,col),
IF(TRIM(TO_TEXT(valor))=TRIM(TO_TEXT(I837)),
""OK"&amp;""",
""NO COINCIDE. Valor verdadero: ""&amp;IF(valor="""",""[VACÍO]"",TO_TEXT(valor))
)
))))
),""ERROR EN FÓRMULA""))"),"NO APLICA")</f>
        <v>NO APLICA</v>
      </c>
    </row>
    <row r="838">
      <c r="A838" s="83" t="s">
        <v>4078</v>
      </c>
      <c r="B838" s="83" t="s">
        <v>4079</v>
      </c>
      <c r="C838" s="81" t="s">
        <v>4086</v>
      </c>
      <c r="D838" s="83" t="s">
        <v>4557</v>
      </c>
      <c r="E838" s="81" t="s">
        <v>2616</v>
      </c>
      <c r="F838" s="84">
        <v>503.0</v>
      </c>
      <c r="G838" s="81" t="s">
        <v>44</v>
      </c>
      <c r="H838" s="81" t="s">
        <v>4539</v>
      </c>
      <c r="I838" s="81" t="s">
        <v>2533</v>
      </c>
      <c r="J838" s="81" t="s">
        <v>4088</v>
      </c>
      <c r="K838" s="81" t="str">
        <f>IFERROR(__xludf.DUMMYFUNCTION("IF(OR(D838="""",G838=""""),"""",IFERROR(LET(
campo,XLOOKUP(TRIM(G838),ARRAYFORMULA(TRIM('indice columnas'!$A$2:$A$100)),'indice columnas'!$B$2:$B$100,""""),
col,IFERROR(MATCH(campo,Referencia!$A$1:$AZ$1,0),0),
fila,IFERROR(MATCH(TO_TEXT(D838),ARRAYFORMULA"&amp;"(TO_TEXT(Referencia!$A$2:$A6238)),0),0),
IF(OR(campo="""",campo=""-""),""NO APLICA"",
IF(col=0,""REVISAR EQUIVALENCIA"",
IF(fila=0,""SKU NO ENCONTRADO"",
LET(
valor,INDEX(Referencia!$A$2:$AZ6238,fila,col),
IF(TRIM(TO_TEXT(valor))=TRIM(TO_TEXT(I838)),
""OK"&amp;""",
""NO COINCIDE. Valor verdadero: ""&amp;IF(valor="""",""[VACÍO]"",TO_TEXT(valor))
)
))))
),""ERROR EN FÓRMULA""))"),"NO APLICA")</f>
        <v>NO APLICA</v>
      </c>
    </row>
    <row r="839">
      <c r="A839" s="83" t="s">
        <v>4078</v>
      </c>
      <c r="B839" s="83" t="s">
        <v>4079</v>
      </c>
      <c r="C839" s="81" t="s">
        <v>4086</v>
      </c>
      <c r="D839" s="83" t="s">
        <v>4558</v>
      </c>
      <c r="E839" s="81" t="s">
        <v>2619</v>
      </c>
      <c r="F839" s="84">
        <v>504.0</v>
      </c>
      <c r="G839" s="81" t="s">
        <v>44</v>
      </c>
      <c r="H839" s="81" t="s">
        <v>4559</v>
      </c>
      <c r="I839" s="81" t="s">
        <v>2629</v>
      </c>
      <c r="J839" s="81" t="s">
        <v>4088</v>
      </c>
      <c r="K839" s="81" t="str">
        <f>IFERROR(__xludf.DUMMYFUNCTION("IF(OR(D839="""",G839=""""),"""",IFERROR(LET(
campo,XLOOKUP(TRIM(G839),ARRAYFORMULA(TRIM('indice columnas'!$A$2:$A$100)),'indice columnas'!$B$2:$B$100,""""),
col,IFERROR(MATCH(campo,Referencia!$A$1:$AZ$1,0),0),
fila,IFERROR(MATCH(TO_TEXT(D839),ARRAYFORMULA"&amp;"(TO_TEXT(Referencia!$A$2:$A6238)),0),0),
IF(OR(campo="""",campo=""-""),""NO APLICA"",
IF(col=0,""REVISAR EQUIVALENCIA"",
IF(fila=0,""SKU NO ENCONTRADO"",
LET(
valor,INDEX(Referencia!$A$2:$AZ6238,fila,col),
IF(TRIM(TO_TEXT(valor))=TRIM(TO_TEXT(I839)),
""OK"&amp;""",
""NO COINCIDE. Valor verdadero: ""&amp;IF(valor="""",""[VACÍO]"",TO_TEXT(valor))
)
))))
),""ERROR EN FÓRMULA""))"),"NO APLICA")</f>
        <v>NO APLICA</v>
      </c>
    </row>
    <row r="840">
      <c r="A840" s="83" t="s">
        <v>4078</v>
      </c>
      <c r="B840" s="83" t="s">
        <v>4079</v>
      </c>
      <c r="C840" s="81" t="s">
        <v>4086</v>
      </c>
      <c r="D840" s="83" t="s">
        <v>4558</v>
      </c>
      <c r="E840" s="81" t="s">
        <v>2634</v>
      </c>
      <c r="F840" s="84">
        <v>505.0</v>
      </c>
      <c r="G840" s="81" t="s">
        <v>36</v>
      </c>
      <c r="H840" s="81" t="s">
        <v>49</v>
      </c>
      <c r="I840" s="81" t="s">
        <v>2625</v>
      </c>
      <c r="J840" s="81" t="s">
        <v>224</v>
      </c>
      <c r="K840" s="81" t="str">
        <f>IFERROR(__xludf.DUMMYFUNCTION("IF(OR(D840="""",G840=""""),"""",IFERROR(LET(
campo,XLOOKUP(TRIM(G840),ARRAYFORMULA(TRIM('indice columnas'!$A$2:$A$100)),'indice columnas'!$B$2:$B$100,""""),
col,IFERROR(MATCH(campo,Referencia!$A$1:$AZ$1,0),0),
fila,IFERROR(MATCH(TO_TEXT(D840),ARRAYFORMULA"&amp;"(TO_TEXT(Referencia!$A$2:$A6238)),0),0),
IF(OR(campo="""",campo=""-""),""NO APLICA"",
IF(col=0,""REVISAR EQUIVALENCIA"",
IF(fila=0,""SKU NO ENCONTRADO"",
LET(
valor,INDEX(Referencia!$A$2:$AZ6238,fila,col),
IF(TRIM(TO_TEXT(valor))=TRIM(TO_TEXT(I840)),
""OK"&amp;""",
""NO COINCIDE. Valor verdadero: ""&amp;IF(valor="""",""[VACÍO]"",TO_TEXT(valor))
)
))))
),""ERROR EN FÓRMULA""))"),"REVISAR EQUIVALENCIA")</f>
        <v>REVISAR EQUIVALENCIA</v>
      </c>
    </row>
    <row r="841">
      <c r="A841" s="83" t="s">
        <v>4078</v>
      </c>
      <c r="B841" s="83" t="s">
        <v>4079</v>
      </c>
      <c r="C841" s="81" t="s">
        <v>4086</v>
      </c>
      <c r="D841" s="83" t="s">
        <v>4558</v>
      </c>
      <c r="E841" s="81" t="s">
        <v>2634</v>
      </c>
      <c r="F841" s="84">
        <v>505.0</v>
      </c>
      <c r="G841" s="81" t="s">
        <v>44</v>
      </c>
      <c r="H841" s="81" t="s">
        <v>4559</v>
      </c>
      <c r="I841" s="81" t="s">
        <v>2629</v>
      </c>
      <c r="J841" s="81" t="s">
        <v>4088</v>
      </c>
      <c r="K841" s="81" t="str">
        <f>IFERROR(__xludf.DUMMYFUNCTION("IF(OR(D841="""",G841=""""),"""",IFERROR(LET(
campo,XLOOKUP(TRIM(G841),ARRAYFORMULA(TRIM('indice columnas'!$A$2:$A$100)),'indice columnas'!$B$2:$B$100,""""),
col,IFERROR(MATCH(campo,Referencia!$A$1:$AZ$1,0),0),
fila,IFERROR(MATCH(TO_TEXT(D841),ARRAYFORMULA"&amp;"(TO_TEXT(Referencia!$A$2:$A6238)),0),0),
IF(OR(campo="""",campo=""-""),""NO APLICA"",
IF(col=0,""REVISAR EQUIVALENCIA"",
IF(fila=0,""SKU NO ENCONTRADO"",
LET(
valor,INDEX(Referencia!$A$2:$AZ6238,fila,col),
IF(TRIM(TO_TEXT(valor))=TRIM(TO_TEXT(I841)),
""OK"&amp;""",
""NO COINCIDE. Valor verdadero: ""&amp;IF(valor="""",""[VACÍO]"",TO_TEXT(valor))
)
))))
),""ERROR EN FÓRMULA""))"),"NO APLICA")</f>
        <v>NO APLICA</v>
      </c>
    </row>
    <row r="842">
      <c r="A842" s="83" t="s">
        <v>4078</v>
      </c>
      <c r="B842" s="83" t="s">
        <v>4079</v>
      </c>
      <c r="C842" s="81" t="s">
        <v>4086</v>
      </c>
      <c r="D842" s="83" t="s">
        <v>4560</v>
      </c>
      <c r="E842" s="81" t="s">
        <v>2635</v>
      </c>
      <c r="F842" s="84">
        <v>506.0</v>
      </c>
      <c r="G842" s="81" t="s">
        <v>44</v>
      </c>
      <c r="H842" s="81" t="s">
        <v>4559</v>
      </c>
      <c r="I842" s="81" t="s">
        <v>2629</v>
      </c>
      <c r="J842" s="81" t="s">
        <v>4088</v>
      </c>
      <c r="K842" s="81" t="str">
        <f>IFERROR(__xludf.DUMMYFUNCTION("IF(OR(D842="""",G842=""""),"""",IFERROR(LET(
campo,XLOOKUP(TRIM(G842),ARRAYFORMULA(TRIM('indice columnas'!$A$2:$A$100)),'indice columnas'!$B$2:$B$100,""""),
col,IFERROR(MATCH(campo,Referencia!$A$1:$AZ$1,0),0),
fila,IFERROR(MATCH(TO_TEXT(D842),ARRAYFORMULA"&amp;"(TO_TEXT(Referencia!$A$2:$A6238)),0),0),
IF(OR(campo="""",campo=""-""),""NO APLICA"",
IF(col=0,""REVISAR EQUIVALENCIA"",
IF(fila=0,""SKU NO ENCONTRADO"",
LET(
valor,INDEX(Referencia!$A$2:$AZ6238,fila,col),
IF(TRIM(TO_TEXT(valor))=TRIM(TO_TEXT(I842)),
""OK"&amp;""",
""NO COINCIDE. Valor verdadero: ""&amp;IF(valor="""",""[VACÍO]"",TO_TEXT(valor))
)
))))
),""ERROR EN FÓRMULA""))"),"NO APLICA")</f>
        <v>NO APLICA</v>
      </c>
    </row>
    <row r="843">
      <c r="A843" s="83" t="s">
        <v>4078</v>
      </c>
      <c r="B843" s="83" t="s">
        <v>4079</v>
      </c>
      <c r="C843" s="81" t="s">
        <v>4086</v>
      </c>
      <c r="D843" s="83" t="s">
        <v>4561</v>
      </c>
      <c r="E843" s="81" t="s">
        <v>2638</v>
      </c>
      <c r="F843" s="84">
        <v>507.0</v>
      </c>
      <c r="G843" s="81" t="s">
        <v>44</v>
      </c>
      <c r="H843" s="81" t="s">
        <v>4559</v>
      </c>
      <c r="I843" s="81" t="s">
        <v>2629</v>
      </c>
      <c r="J843" s="81" t="s">
        <v>4088</v>
      </c>
      <c r="K843" s="81" t="str">
        <f>IFERROR(__xludf.DUMMYFUNCTION("IF(OR(D843="""",G843=""""),"""",IFERROR(LET(
campo,XLOOKUP(TRIM(G843),ARRAYFORMULA(TRIM('indice columnas'!$A$2:$A$100)),'indice columnas'!$B$2:$B$100,""""),
col,IFERROR(MATCH(campo,Referencia!$A$1:$AZ$1,0),0),
fila,IFERROR(MATCH(TO_TEXT(D843),ARRAYFORMULA"&amp;"(TO_TEXT(Referencia!$A$2:$A6238)),0),0),
IF(OR(campo="""",campo=""-""),""NO APLICA"",
IF(col=0,""REVISAR EQUIVALENCIA"",
IF(fila=0,""SKU NO ENCONTRADO"",
LET(
valor,INDEX(Referencia!$A$2:$AZ6238,fila,col),
IF(TRIM(TO_TEXT(valor))=TRIM(TO_TEXT(I843)),
""OK"&amp;""",
""NO COINCIDE. Valor verdadero: ""&amp;IF(valor="""",""[VACÍO]"",TO_TEXT(valor))
)
))))
),""ERROR EN FÓRMULA""))"),"NO APLICA")</f>
        <v>NO APLICA</v>
      </c>
    </row>
    <row r="844">
      <c r="A844" s="83" t="s">
        <v>4078</v>
      </c>
      <c r="B844" s="83" t="s">
        <v>4079</v>
      </c>
      <c r="C844" s="81" t="s">
        <v>4086</v>
      </c>
      <c r="D844" s="83" t="s">
        <v>4562</v>
      </c>
      <c r="E844" s="81" t="s">
        <v>2648</v>
      </c>
      <c r="F844" s="84">
        <v>508.0</v>
      </c>
      <c r="G844" s="81" t="s">
        <v>44</v>
      </c>
      <c r="H844" s="81" t="s">
        <v>4559</v>
      </c>
      <c r="I844" s="81" t="s">
        <v>2629</v>
      </c>
      <c r="J844" s="81" t="s">
        <v>4088</v>
      </c>
      <c r="K844" s="81" t="str">
        <f>IFERROR(__xludf.DUMMYFUNCTION("IF(OR(D844="""",G844=""""),"""",IFERROR(LET(
campo,XLOOKUP(TRIM(G844),ARRAYFORMULA(TRIM('indice columnas'!$A$2:$A$100)),'indice columnas'!$B$2:$B$100,""""),
col,IFERROR(MATCH(campo,Referencia!$A$1:$AZ$1,0),0),
fila,IFERROR(MATCH(TO_TEXT(D844),ARRAYFORMULA"&amp;"(TO_TEXT(Referencia!$A$2:$A6238)),0),0),
IF(OR(campo="""",campo=""-""),""NO APLICA"",
IF(col=0,""REVISAR EQUIVALENCIA"",
IF(fila=0,""SKU NO ENCONTRADO"",
LET(
valor,INDEX(Referencia!$A$2:$AZ6238,fila,col),
IF(TRIM(TO_TEXT(valor))=TRIM(TO_TEXT(I844)),
""OK"&amp;""",
""NO COINCIDE. Valor verdadero: ""&amp;IF(valor="""",""[VACÍO]"",TO_TEXT(valor))
)
))))
),""ERROR EN FÓRMULA""))"),"NO APLICA")</f>
        <v>NO APLICA</v>
      </c>
    </row>
    <row r="845">
      <c r="A845" s="83" t="s">
        <v>4078</v>
      </c>
      <c r="B845" s="83" t="s">
        <v>4079</v>
      </c>
      <c r="C845" s="81" t="s">
        <v>4086</v>
      </c>
      <c r="D845" s="83" t="s">
        <v>4563</v>
      </c>
      <c r="E845" s="81" t="s">
        <v>2651</v>
      </c>
      <c r="F845" s="84">
        <v>509.0</v>
      </c>
      <c r="G845" s="81" t="s">
        <v>44</v>
      </c>
      <c r="H845" s="81" t="s">
        <v>4541</v>
      </c>
      <c r="I845" s="81" t="s">
        <v>4542</v>
      </c>
      <c r="J845" s="81" t="s">
        <v>4088</v>
      </c>
      <c r="K845" s="81" t="str">
        <f>IFERROR(__xludf.DUMMYFUNCTION("IF(OR(D845="""",G845=""""),"""",IFERROR(LET(
campo,XLOOKUP(TRIM(G845),ARRAYFORMULA(TRIM('indice columnas'!$A$2:$A$100)),'indice columnas'!$B$2:$B$100,""""),
col,IFERROR(MATCH(campo,Referencia!$A$1:$AZ$1,0),0),
fila,IFERROR(MATCH(TO_TEXT(D845),ARRAYFORMULA"&amp;"(TO_TEXT(Referencia!$A$2:$A6238)),0),0),
IF(OR(campo="""",campo=""-""),""NO APLICA"",
IF(col=0,""REVISAR EQUIVALENCIA"",
IF(fila=0,""SKU NO ENCONTRADO"",
LET(
valor,INDEX(Referencia!$A$2:$AZ6238,fila,col),
IF(TRIM(TO_TEXT(valor))=TRIM(TO_TEXT(I845)),
""OK"&amp;""",
""NO COINCIDE. Valor verdadero: ""&amp;IF(valor="""",""[VACÍO]"",TO_TEXT(valor))
)
))))
),""ERROR EN FÓRMULA""))"),"NO APLICA")</f>
        <v>NO APLICA</v>
      </c>
    </row>
    <row r="846">
      <c r="A846" s="83" t="s">
        <v>4078</v>
      </c>
      <c r="B846" s="83" t="s">
        <v>4079</v>
      </c>
      <c r="C846" s="81" t="s">
        <v>4086</v>
      </c>
      <c r="D846" s="83" t="s">
        <v>4564</v>
      </c>
      <c r="E846" s="81" t="s">
        <v>2659</v>
      </c>
      <c r="F846" s="84">
        <v>510.0</v>
      </c>
      <c r="G846" s="81" t="s">
        <v>44</v>
      </c>
      <c r="H846" s="81" t="s">
        <v>4541</v>
      </c>
      <c r="I846" s="81" t="s">
        <v>4542</v>
      </c>
      <c r="J846" s="81" t="s">
        <v>4088</v>
      </c>
      <c r="K846" s="81" t="str">
        <f>IFERROR(__xludf.DUMMYFUNCTION("IF(OR(D846="""",G846=""""),"""",IFERROR(LET(
campo,XLOOKUP(TRIM(G846),ARRAYFORMULA(TRIM('indice columnas'!$A$2:$A$100)),'indice columnas'!$B$2:$B$100,""""),
col,IFERROR(MATCH(campo,Referencia!$A$1:$AZ$1,0),0),
fila,IFERROR(MATCH(TO_TEXT(D846),ARRAYFORMULA"&amp;"(TO_TEXT(Referencia!$A$2:$A6238)),0),0),
IF(OR(campo="""",campo=""-""),""NO APLICA"",
IF(col=0,""REVISAR EQUIVALENCIA"",
IF(fila=0,""SKU NO ENCONTRADO"",
LET(
valor,INDEX(Referencia!$A$2:$AZ6238,fila,col),
IF(TRIM(TO_TEXT(valor))=TRIM(TO_TEXT(I846)),
""OK"&amp;""",
""NO COINCIDE. Valor verdadero: ""&amp;IF(valor="""",""[VACÍO]"",TO_TEXT(valor))
)
))))
),""ERROR EN FÓRMULA""))"),"NO APLICA")</f>
        <v>NO APLICA</v>
      </c>
    </row>
    <row r="847">
      <c r="A847" s="83" t="s">
        <v>4078</v>
      </c>
      <c r="B847" s="83" t="s">
        <v>4079</v>
      </c>
      <c r="C847" s="81" t="s">
        <v>4086</v>
      </c>
      <c r="D847" s="83" t="s">
        <v>4565</v>
      </c>
      <c r="E847" s="81" t="s">
        <v>2661</v>
      </c>
      <c r="F847" s="84">
        <v>511.0</v>
      </c>
      <c r="G847" s="81" t="s">
        <v>44</v>
      </c>
      <c r="H847" s="81" t="s">
        <v>4545</v>
      </c>
      <c r="I847" s="81" t="s">
        <v>4542</v>
      </c>
      <c r="J847" s="81" t="s">
        <v>4088</v>
      </c>
      <c r="K847" s="81" t="str">
        <f>IFERROR(__xludf.DUMMYFUNCTION("IF(OR(D847="""",G847=""""),"""",IFERROR(LET(
campo,XLOOKUP(TRIM(G847),ARRAYFORMULA(TRIM('indice columnas'!$A$2:$A$100)),'indice columnas'!$B$2:$B$100,""""),
col,IFERROR(MATCH(campo,Referencia!$A$1:$AZ$1,0),0),
fila,IFERROR(MATCH(TO_TEXT(D847),ARRAYFORMULA"&amp;"(TO_TEXT(Referencia!$A$2:$A6238)),0),0),
IF(OR(campo="""",campo=""-""),""NO APLICA"",
IF(col=0,""REVISAR EQUIVALENCIA"",
IF(fila=0,""SKU NO ENCONTRADO"",
LET(
valor,INDEX(Referencia!$A$2:$AZ6238,fila,col),
IF(TRIM(TO_TEXT(valor))=TRIM(TO_TEXT(I847)),
""OK"&amp;""",
""NO COINCIDE. Valor verdadero: ""&amp;IF(valor="""",""[VACÍO]"",TO_TEXT(valor))
)
))))
),""ERROR EN FÓRMULA""))"),"NO APLICA")</f>
        <v>NO APLICA</v>
      </c>
    </row>
    <row r="848">
      <c r="A848" s="83" t="s">
        <v>4078</v>
      </c>
      <c r="B848" s="83" t="s">
        <v>4079</v>
      </c>
      <c r="C848" s="81" t="s">
        <v>4086</v>
      </c>
      <c r="D848" s="83" t="s">
        <v>4566</v>
      </c>
      <c r="E848" s="81" t="s">
        <v>2667</v>
      </c>
      <c r="F848" s="84">
        <v>512.0</v>
      </c>
      <c r="G848" s="81" t="s">
        <v>44</v>
      </c>
      <c r="H848" s="81" t="s">
        <v>4545</v>
      </c>
      <c r="I848" s="81" t="s">
        <v>4542</v>
      </c>
      <c r="J848" s="81" t="s">
        <v>4088</v>
      </c>
      <c r="K848" s="81" t="str">
        <f>IFERROR(__xludf.DUMMYFUNCTION("IF(OR(D848="""",G848=""""),"""",IFERROR(LET(
campo,XLOOKUP(TRIM(G848),ARRAYFORMULA(TRIM('indice columnas'!$A$2:$A$100)),'indice columnas'!$B$2:$B$100,""""),
col,IFERROR(MATCH(campo,Referencia!$A$1:$AZ$1,0),0),
fila,IFERROR(MATCH(TO_TEXT(D848),ARRAYFORMULA"&amp;"(TO_TEXT(Referencia!$A$2:$A6238)),0),0),
IF(OR(campo="""",campo=""-""),""NO APLICA"",
IF(col=0,""REVISAR EQUIVALENCIA"",
IF(fila=0,""SKU NO ENCONTRADO"",
LET(
valor,INDEX(Referencia!$A$2:$AZ6238,fila,col),
IF(TRIM(TO_TEXT(valor))=TRIM(TO_TEXT(I848)),
""OK"&amp;""",
""NO COINCIDE. Valor verdadero: ""&amp;IF(valor="""",""[VACÍO]"",TO_TEXT(valor))
)
))))
),""ERROR EN FÓRMULA""))"),"NO APLICA")</f>
        <v>NO APLICA</v>
      </c>
    </row>
    <row r="849">
      <c r="A849" s="83" t="s">
        <v>4078</v>
      </c>
      <c r="B849" s="83" t="s">
        <v>4079</v>
      </c>
      <c r="C849" s="81" t="s">
        <v>4086</v>
      </c>
      <c r="D849" s="83" t="s">
        <v>4567</v>
      </c>
      <c r="E849" s="81" t="s">
        <v>2669</v>
      </c>
      <c r="F849" s="84">
        <v>513.0</v>
      </c>
      <c r="G849" s="81" t="s">
        <v>44</v>
      </c>
      <c r="H849" s="81" t="s">
        <v>224</v>
      </c>
      <c r="I849" s="81" t="s">
        <v>1051</v>
      </c>
      <c r="J849" s="81" t="s">
        <v>4088</v>
      </c>
      <c r="K849" s="81" t="str">
        <f>IFERROR(__xludf.DUMMYFUNCTION("IF(OR(D849="""",G849=""""),"""",IFERROR(LET(
campo,XLOOKUP(TRIM(G849),ARRAYFORMULA(TRIM('indice columnas'!$A$2:$A$100)),'indice columnas'!$B$2:$B$100,""""),
col,IFERROR(MATCH(campo,Referencia!$A$1:$AZ$1,0),0),
fila,IFERROR(MATCH(TO_TEXT(D849),ARRAYFORMULA"&amp;"(TO_TEXT(Referencia!$A$2:$A6238)),0),0),
IF(OR(campo="""",campo=""-""),""NO APLICA"",
IF(col=0,""REVISAR EQUIVALENCIA"",
IF(fila=0,""SKU NO ENCONTRADO"",
LET(
valor,INDEX(Referencia!$A$2:$AZ6238,fila,col),
IF(TRIM(TO_TEXT(valor))=TRIM(TO_TEXT(I849)),
""OK"&amp;""",
""NO COINCIDE. Valor verdadero: ""&amp;IF(valor="""",""[VACÍO]"",TO_TEXT(valor))
)
))))
),""ERROR EN FÓRMULA""))"),"NO APLICA")</f>
        <v>NO APLICA</v>
      </c>
    </row>
    <row r="850">
      <c r="A850" s="83" t="s">
        <v>4078</v>
      </c>
      <c r="B850" s="83" t="s">
        <v>4079</v>
      </c>
      <c r="C850" s="81" t="s">
        <v>4086</v>
      </c>
      <c r="D850" s="83" t="s">
        <v>4567</v>
      </c>
      <c r="E850" s="81" t="s">
        <v>2671</v>
      </c>
      <c r="F850" s="84">
        <v>514.0</v>
      </c>
      <c r="G850" s="81" t="s">
        <v>7</v>
      </c>
      <c r="H850" s="81" t="s">
        <v>3623</v>
      </c>
      <c r="I850" s="81" t="s">
        <v>2670</v>
      </c>
      <c r="J850" s="81" t="s">
        <v>224</v>
      </c>
      <c r="K850" s="81" t="str">
        <f>IFERROR(__xludf.DUMMYFUNCTION("IF(OR(D850="""",G850=""""),"""",IFERROR(LET(
campo,XLOOKUP(TRIM(G850),ARRAYFORMULA(TRIM('indice columnas'!$A$2:$A$100)),'indice columnas'!$B$2:$B$100,""""),
col,IFERROR(MATCH(campo,Referencia!$A$1:$AZ$1,0),0),
fila,IFERROR(MATCH(TO_TEXT(D850),ARRAYFORMULA"&amp;"(TO_TEXT(Referencia!$A$2:$A6238)),0),0),
IF(OR(campo="""",campo=""-""),""NO APLICA"",
IF(col=0,""REVISAR EQUIVALENCIA"",
IF(fila=0,""SKU NO ENCONTRADO"",
LET(
valor,INDEX(Referencia!$A$2:$AZ6238,fila,col),
IF(TRIM(TO_TEXT(valor))=TRIM(TO_TEXT(I850)),
""OK"&amp;""",
""NO COINCIDE. Valor verdadero: ""&amp;IF(valor="""",""[VACÍO]"",TO_TEXT(valor))
)
))))
),""ERROR EN FÓRMULA""))"),"REVISAR EQUIVALENCIA")</f>
        <v>REVISAR EQUIVALENCIA</v>
      </c>
    </row>
    <row r="851">
      <c r="A851" s="83" t="s">
        <v>4078</v>
      </c>
      <c r="B851" s="83" t="s">
        <v>4079</v>
      </c>
      <c r="C851" s="81" t="s">
        <v>4086</v>
      </c>
      <c r="D851" s="83" t="s">
        <v>4567</v>
      </c>
      <c r="E851" s="81" t="s">
        <v>2671</v>
      </c>
      <c r="F851" s="84">
        <v>514.0</v>
      </c>
      <c r="G851" s="81" t="s">
        <v>12</v>
      </c>
      <c r="H851" s="81" t="s">
        <v>224</v>
      </c>
      <c r="I851" s="81" t="s">
        <v>55</v>
      </c>
      <c r="J851" s="81" t="s">
        <v>224</v>
      </c>
      <c r="K851" s="81" t="str">
        <f>IFERROR(__xludf.DUMMYFUNCTION("IF(OR(D851="""",G851=""""),"""",IFERROR(LET(
campo,XLOOKUP(TRIM(G851),ARRAYFORMULA(TRIM('indice columnas'!$A$2:$A$100)),'indice columnas'!$B$2:$B$100,""""),
col,IFERROR(MATCH(campo,Referencia!$A$1:$AZ$1,0),0),
fila,IFERROR(MATCH(TO_TEXT(D851),ARRAYFORMULA"&amp;"(TO_TEXT(Referencia!$A$2:$A6238)),0),0),
IF(OR(campo="""",campo=""-""),""NO APLICA"",
IF(col=0,""REVISAR EQUIVALENCIA"",
IF(fila=0,""SKU NO ENCONTRADO"",
LET(
valor,INDEX(Referencia!$A$2:$AZ6238,fila,col),
IF(TRIM(TO_TEXT(valor))=TRIM(TO_TEXT(I851)),
""OK"&amp;""",
""NO COINCIDE. Valor verdadero: ""&amp;IF(valor="""",""[VACÍO]"",TO_TEXT(valor))
)
))))
),""ERROR EN FÓRMULA""))"),"OK")</f>
        <v>OK</v>
      </c>
    </row>
    <row r="852">
      <c r="A852" s="83" t="s">
        <v>4078</v>
      </c>
      <c r="B852" s="83" t="s">
        <v>4079</v>
      </c>
      <c r="C852" s="81" t="s">
        <v>4086</v>
      </c>
      <c r="D852" s="83" t="s">
        <v>4567</v>
      </c>
      <c r="E852" s="81" t="s">
        <v>2671</v>
      </c>
      <c r="F852" s="84">
        <v>514.0</v>
      </c>
      <c r="G852" s="81" t="s">
        <v>44</v>
      </c>
      <c r="H852" s="81" t="s">
        <v>224</v>
      </c>
      <c r="I852" s="81" t="s">
        <v>1051</v>
      </c>
      <c r="J852" s="81" t="s">
        <v>4088</v>
      </c>
      <c r="K852" s="81" t="str">
        <f>IFERROR(__xludf.DUMMYFUNCTION("IF(OR(D852="""",G852=""""),"""",IFERROR(LET(
campo,XLOOKUP(TRIM(G852),ARRAYFORMULA(TRIM('indice columnas'!$A$2:$A$100)),'indice columnas'!$B$2:$B$100,""""),
col,IFERROR(MATCH(campo,Referencia!$A$1:$AZ$1,0),0),
fila,IFERROR(MATCH(TO_TEXT(D852),ARRAYFORMULA"&amp;"(TO_TEXT(Referencia!$A$2:$A6238)),0),0),
IF(OR(campo="""",campo=""-""),""NO APLICA"",
IF(col=0,""REVISAR EQUIVALENCIA"",
IF(fila=0,""SKU NO ENCONTRADO"",
LET(
valor,INDEX(Referencia!$A$2:$AZ6238,fila,col),
IF(TRIM(TO_TEXT(valor))=TRIM(TO_TEXT(I852)),
""OK"&amp;""",
""NO COINCIDE. Valor verdadero: ""&amp;IF(valor="""",""[VACÍO]"",TO_TEXT(valor))
)
))))
),""ERROR EN FÓRMULA""))"),"NO APLICA")</f>
        <v>NO APLICA</v>
      </c>
    </row>
    <row r="853">
      <c r="A853" s="83" t="s">
        <v>4078</v>
      </c>
      <c r="B853" s="83" t="s">
        <v>4079</v>
      </c>
      <c r="C853" s="81" t="s">
        <v>4086</v>
      </c>
      <c r="D853" s="83" t="s">
        <v>4568</v>
      </c>
      <c r="E853" s="81" t="s">
        <v>2672</v>
      </c>
      <c r="F853" s="84">
        <v>515.0</v>
      </c>
      <c r="G853" s="81" t="s">
        <v>7</v>
      </c>
      <c r="H853" s="81" t="s">
        <v>3623</v>
      </c>
      <c r="I853" s="81" t="s">
        <v>2670</v>
      </c>
      <c r="J853" s="81" t="s">
        <v>224</v>
      </c>
      <c r="K853" s="81" t="str">
        <f>IFERROR(__xludf.DUMMYFUNCTION("IF(OR(D853="""",G853=""""),"""",IFERROR(LET(
campo,XLOOKUP(TRIM(G853),ARRAYFORMULA(TRIM('indice columnas'!$A$2:$A$100)),'indice columnas'!$B$2:$B$100,""""),
col,IFERROR(MATCH(campo,Referencia!$A$1:$AZ$1,0),0),
fila,IFERROR(MATCH(TO_TEXT(D853),ARRAYFORMULA"&amp;"(TO_TEXT(Referencia!$A$2:$A6238)),0),0),
IF(OR(campo="""",campo=""-""),""NO APLICA"",
IF(col=0,""REVISAR EQUIVALENCIA"",
IF(fila=0,""SKU NO ENCONTRADO"",
LET(
valor,INDEX(Referencia!$A$2:$AZ6238,fila,col),
IF(TRIM(TO_TEXT(valor))=TRIM(TO_TEXT(I853)),
""OK"&amp;""",
""NO COINCIDE. Valor verdadero: ""&amp;IF(valor="""",""[VACÍO]"",TO_TEXT(valor))
)
))))
),""ERROR EN FÓRMULA""))"),"REVISAR EQUIVALENCIA")</f>
        <v>REVISAR EQUIVALENCIA</v>
      </c>
    </row>
    <row r="854">
      <c r="A854" s="83" t="s">
        <v>4078</v>
      </c>
      <c r="B854" s="83" t="s">
        <v>4079</v>
      </c>
      <c r="C854" s="81" t="s">
        <v>4086</v>
      </c>
      <c r="D854" s="83" t="s">
        <v>4568</v>
      </c>
      <c r="E854" s="81" t="s">
        <v>2672</v>
      </c>
      <c r="F854" s="84">
        <v>515.0</v>
      </c>
      <c r="G854" s="81" t="s">
        <v>12</v>
      </c>
      <c r="H854" s="81" t="s">
        <v>224</v>
      </c>
      <c r="I854" s="81" t="s">
        <v>55</v>
      </c>
      <c r="J854" s="81" t="s">
        <v>224</v>
      </c>
      <c r="K854" s="81" t="str">
        <f>IFERROR(__xludf.DUMMYFUNCTION("IF(OR(D854="""",G854=""""),"""",IFERROR(LET(
campo,XLOOKUP(TRIM(G854),ARRAYFORMULA(TRIM('indice columnas'!$A$2:$A$100)),'indice columnas'!$B$2:$B$100,""""),
col,IFERROR(MATCH(campo,Referencia!$A$1:$AZ$1,0),0),
fila,IFERROR(MATCH(TO_TEXT(D854),ARRAYFORMULA"&amp;"(TO_TEXT(Referencia!$A$2:$A6238)),0),0),
IF(OR(campo="""",campo=""-""),""NO APLICA"",
IF(col=0,""REVISAR EQUIVALENCIA"",
IF(fila=0,""SKU NO ENCONTRADO"",
LET(
valor,INDEX(Referencia!$A$2:$AZ6238,fila,col),
IF(TRIM(TO_TEXT(valor))=TRIM(TO_TEXT(I854)),
""OK"&amp;""",
""NO COINCIDE. Valor verdadero: ""&amp;IF(valor="""",""[VACÍO]"",TO_TEXT(valor))
)
))))
),""ERROR EN FÓRMULA""))"),"OK")</f>
        <v>OK</v>
      </c>
    </row>
    <row r="855">
      <c r="A855" s="83" t="s">
        <v>4078</v>
      </c>
      <c r="B855" s="83" t="s">
        <v>4079</v>
      </c>
      <c r="C855" s="81" t="s">
        <v>4086</v>
      </c>
      <c r="D855" s="83" t="s">
        <v>4568</v>
      </c>
      <c r="E855" s="81" t="s">
        <v>2672</v>
      </c>
      <c r="F855" s="84">
        <v>515.0</v>
      </c>
      <c r="G855" s="81" t="s">
        <v>44</v>
      </c>
      <c r="H855" s="81" t="s">
        <v>224</v>
      </c>
      <c r="I855" s="81" t="s">
        <v>1051</v>
      </c>
      <c r="J855" s="81" t="s">
        <v>4088</v>
      </c>
      <c r="K855" s="81" t="str">
        <f>IFERROR(__xludf.DUMMYFUNCTION("IF(OR(D855="""",G855=""""),"""",IFERROR(LET(
campo,XLOOKUP(TRIM(G855),ARRAYFORMULA(TRIM('indice columnas'!$A$2:$A$100)),'indice columnas'!$B$2:$B$100,""""),
col,IFERROR(MATCH(campo,Referencia!$A$1:$AZ$1,0),0),
fila,IFERROR(MATCH(TO_TEXT(D855),ARRAYFORMULA"&amp;"(TO_TEXT(Referencia!$A$2:$A6238)),0),0),
IF(OR(campo="""",campo=""-""),""NO APLICA"",
IF(col=0,""REVISAR EQUIVALENCIA"",
IF(fila=0,""SKU NO ENCONTRADO"",
LET(
valor,INDEX(Referencia!$A$2:$AZ6238,fila,col),
IF(TRIM(TO_TEXT(valor))=TRIM(TO_TEXT(I855)),
""OK"&amp;""",
""NO COINCIDE. Valor verdadero: ""&amp;IF(valor="""",""[VACÍO]"",TO_TEXT(valor))
)
))))
),""ERROR EN FÓRMULA""))"),"NO APLICA")</f>
        <v>NO APLICA</v>
      </c>
    </row>
    <row r="856">
      <c r="A856" s="83" t="s">
        <v>4078</v>
      </c>
      <c r="B856" s="83" t="s">
        <v>4079</v>
      </c>
      <c r="C856" s="81" t="s">
        <v>4086</v>
      </c>
      <c r="D856" s="83" t="s">
        <v>4569</v>
      </c>
      <c r="E856" s="81" t="s">
        <v>2673</v>
      </c>
      <c r="F856" s="84">
        <v>516.0</v>
      </c>
      <c r="G856" s="81" t="s">
        <v>44</v>
      </c>
      <c r="H856" s="81" t="s">
        <v>4570</v>
      </c>
      <c r="I856" s="81" t="s">
        <v>2673</v>
      </c>
      <c r="J856" s="81" t="s">
        <v>4088</v>
      </c>
      <c r="K856" s="81" t="str">
        <f>IFERROR(__xludf.DUMMYFUNCTION("IF(OR(D856="""",G856=""""),"""",IFERROR(LET(
campo,XLOOKUP(TRIM(G856),ARRAYFORMULA(TRIM('indice columnas'!$A$2:$A$100)),'indice columnas'!$B$2:$B$100,""""),
col,IFERROR(MATCH(campo,Referencia!$A$1:$AZ$1,0),0),
fila,IFERROR(MATCH(TO_TEXT(D856),ARRAYFORMULA"&amp;"(TO_TEXT(Referencia!$A$2:$A6238)),0),0),
IF(OR(campo="""",campo=""-""),""NO APLICA"",
IF(col=0,""REVISAR EQUIVALENCIA"",
IF(fila=0,""SKU NO ENCONTRADO"",
LET(
valor,INDEX(Referencia!$A$2:$AZ6238,fila,col),
IF(TRIM(TO_TEXT(valor))=TRIM(TO_TEXT(I856)),
""OK"&amp;""",
""NO COINCIDE. Valor verdadero: ""&amp;IF(valor="""",""[VACÍO]"",TO_TEXT(valor))
)
))))
),""ERROR EN FÓRMULA""))"),"NO APLICA")</f>
        <v>NO APLICA</v>
      </c>
    </row>
    <row r="857">
      <c r="A857" s="83" t="s">
        <v>4078</v>
      </c>
      <c r="B857" s="83" t="s">
        <v>4079</v>
      </c>
      <c r="C857" s="81" t="s">
        <v>4086</v>
      </c>
      <c r="D857" s="83" t="s">
        <v>4569</v>
      </c>
      <c r="E857" s="81" t="s">
        <v>2684</v>
      </c>
      <c r="F857" s="84">
        <v>517.0</v>
      </c>
      <c r="G857" s="81" t="s">
        <v>44</v>
      </c>
      <c r="H857" s="81" t="s">
        <v>4570</v>
      </c>
      <c r="I857" s="81" t="s">
        <v>2673</v>
      </c>
      <c r="J857" s="81" t="s">
        <v>4088</v>
      </c>
      <c r="K857" s="81" t="str">
        <f>IFERROR(__xludf.DUMMYFUNCTION("IF(OR(D857="""",G857=""""),"""",IFERROR(LET(
campo,XLOOKUP(TRIM(G857),ARRAYFORMULA(TRIM('indice columnas'!$A$2:$A$100)),'indice columnas'!$B$2:$B$100,""""),
col,IFERROR(MATCH(campo,Referencia!$A$1:$AZ$1,0),0),
fila,IFERROR(MATCH(TO_TEXT(D857),ARRAYFORMULA"&amp;"(TO_TEXT(Referencia!$A$2:$A6238)),0),0),
IF(OR(campo="""",campo=""-""),""NO APLICA"",
IF(col=0,""REVISAR EQUIVALENCIA"",
IF(fila=0,""SKU NO ENCONTRADO"",
LET(
valor,INDEX(Referencia!$A$2:$AZ6238,fila,col),
IF(TRIM(TO_TEXT(valor))=TRIM(TO_TEXT(I857)),
""OK"&amp;""",
""NO COINCIDE. Valor verdadero: ""&amp;IF(valor="""",""[VACÍO]"",TO_TEXT(valor))
)
))))
),""ERROR EN FÓRMULA""))"),"NO APLICA")</f>
        <v>NO APLICA</v>
      </c>
    </row>
    <row r="858">
      <c r="A858" s="83" t="s">
        <v>4078</v>
      </c>
      <c r="B858" s="83" t="s">
        <v>4079</v>
      </c>
      <c r="C858" s="81" t="s">
        <v>4086</v>
      </c>
      <c r="D858" s="83" t="s">
        <v>4569</v>
      </c>
      <c r="E858" s="81" t="s">
        <v>2685</v>
      </c>
      <c r="F858" s="84">
        <v>518.0</v>
      </c>
      <c r="G858" s="81" t="s">
        <v>17</v>
      </c>
      <c r="H858" s="83" t="s">
        <v>4571</v>
      </c>
      <c r="I858" s="83" t="s">
        <v>2686</v>
      </c>
      <c r="J858" s="81" t="s">
        <v>224</v>
      </c>
      <c r="K858" s="81" t="str">
        <f>IFERROR(__xludf.DUMMYFUNCTION("IF(OR(D858="""",G858=""""),"""",IFERROR(LET(
campo,XLOOKUP(TRIM(G858),ARRAYFORMULA(TRIM('indice columnas'!$A$2:$A$100)),'indice columnas'!$B$2:$B$100,""""),
col,IFERROR(MATCH(campo,Referencia!$A$1:$AZ$1,0),0),
fila,IFERROR(MATCH(TO_TEXT(D858),ARRAYFORMULA"&amp;"(TO_TEXT(Referencia!$A$2:$A6238)),0),0),
IF(OR(campo="""",campo=""-""),""NO APLICA"",
IF(col=0,""REVISAR EQUIVALENCIA"",
IF(fila=0,""SKU NO ENCONTRADO"",
LET(
valor,INDEX(Referencia!$A$2:$AZ6238,fila,col),
IF(TRIM(TO_TEXT(valor))=TRIM(TO_TEXT(I858)),
""OK"&amp;""",
""NO COINCIDE. Valor verdadero: ""&amp;IF(valor="""",""[VACÍO]"",TO_TEXT(valor))
)
))))
),""ERROR EN FÓRMULA""))"),"OK")</f>
        <v>OK</v>
      </c>
    </row>
    <row r="859">
      <c r="A859" s="83" t="s">
        <v>4078</v>
      </c>
      <c r="B859" s="83" t="s">
        <v>4079</v>
      </c>
      <c r="C859" s="81" t="s">
        <v>4086</v>
      </c>
      <c r="D859" s="83" t="s">
        <v>4569</v>
      </c>
      <c r="E859" s="81" t="s">
        <v>2685</v>
      </c>
      <c r="F859" s="84">
        <v>518.0</v>
      </c>
      <c r="G859" s="81" t="s">
        <v>36</v>
      </c>
      <c r="H859" s="81" t="s">
        <v>49</v>
      </c>
      <c r="I859" s="81" t="s">
        <v>1422</v>
      </c>
      <c r="J859" s="81" t="s">
        <v>224</v>
      </c>
      <c r="K859" s="81" t="str">
        <f>IFERROR(__xludf.DUMMYFUNCTION("IF(OR(D859="""",G859=""""),"""",IFERROR(LET(
campo,XLOOKUP(TRIM(G859),ARRAYFORMULA(TRIM('indice columnas'!$A$2:$A$100)),'indice columnas'!$B$2:$B$100,""""),
col,IFERROR(MATCH(campo,Referencia!$A$1:$AZ$1,0),0),
fila,IFERROR(MATCH(TO_TEXT(D859),ARRAYFORMULA"&amp;"(TO_TEXT(Referencia!$A$2:$A6238)),0),0),
IF(OR(campo="""",campo=""-""),""NO APLICA"",
IF(col=0,""REVISAR EQUIVALENCIA"",
IF(fila=0,""SKU NO ENCONTRADO"",
LET(
valor,INDEX(Referencia!$A$2:$AZ6238,fila,col),
IF(TRIM(TO_TEXT(valor))=TRIM(TO_TEXT(I859)),
""OK"&amp;""",
""NO COINCIDE. Valor verdadero: ""&amp;IF(valor="""",""[VACÍO]"",TO_TEXT(valor))
)
))))
),""ERROR EN FÓRMULA""))"),"REVISAR EQUIVALENCIA")</f>
        <v>REVISAR EQUIVALENCIA</v>
      </c>
    </row>
    <row r="860">
      <c r="A860" s="83" t="s">
        <v>4078</v>
      </c>
      <c r="B860" s="83" t="s">
        <v>4079</v>
      </c>
      <c r="C860" s="81" t="s">
        <v>4086</v>
      </c>
      <c r="D860" s="83" t="s">
        <v>4569</v>
      </c>
      <c r="E860" s="81" t="s">
        <v>2685</v>
      </c>
      <c r="F860" s="84">
        <v>518.0</v>
      </c>
      <c r="G860" s="81" t="s">
        <v>44</v>
      </c>
      <c r="H860" s="81" t="s">
        <v>4570</v>
      </c>
      <c r="I860" s="81" t="s">
        <v>2673</v>
      </c>
      <c r="J860" s="81" t="s">
        <v>4088</v>
      </c>
      <c r="K860" s="81" t="str">
        <f>IFERROR(__xludf.DUMMYFUNCTION("IF(OR(D860="""",G860=""""),"""",IFERROR(LET(
campo,XLOOKUP(TRIM(G860),ARRAYFORMULA(TRIM('indice columnas'!$A$2:$A$100)),'indice columnas'!$B$2:$B$100,""""),
col,IFERROR(MATCH(campo,Referencia!$A$1:$AZ$1,0),0),
fila,IFERROR(MATCH(TO_TEXT(D860),ARRAYFORMULA"&amp;"(TO_TEXT(Referencia!$A$2:$A6238)),0),0),
IF(OR(campo="""",campo=""-""),""NO APLICA"",
IF(col=0,""REVISAR EQUIVALENCIA"",
IF(fila=0,""SKU NO ENCONTRADO"",
LET(
valor,INDEX(Referencia!$A$2:$AZ6238,fila,col),
IF(TRIM(TO_TEXT(valor))=TRIM(TO_TEXT(I860)),
""OK"&amp;""",
""NO COINCIDE. Valor verdadero: ""&amp;IF(valor="""",""[VACÍO]"",TO_TEXT(valor))
)
))))
),""ERROR EN FÓRMULA""))"),"NO APLICA")</f>
        <v>NO APLICA</v>
      </c>
    </row>
    <row r="861">
      <c r="A861" s="83" t="s">
        <v>4078</v>
      </c>
      <c r="B861" s="83" t="s">
        <v>4079</v>
      </c>
      <c r="C861" s="81" t="s">
        <v>4086</v>
      </c>
      <c r="D861" s="83" t="s">
        <v>4572</v>
      </c>
      <c r="E861" s="81" t="s">
        <v>2687</v>
      </c>
      <c r="F861" s="84">
        <v>519.0</v>
      </c>
      <c r="G861" s="81" t="s">
        <v>44</v>
      </c>
      <c r="H861" s="81" t="s">
        <v>4570</v>
      </c>
      <c r="I861" s="81" t="s">
        <v>2673</v>
      </c>
      <c r="J861" s="81" t="s">
        <v>4088</v>
      </c>
      <c r="K861" s="81" t="str">
        <f>IFERROR(__xludf.DUMMYFUNCTION("IF(OR(D861="""",G861=""""),"""",IFERROR(LET(
campo,XLOOKUP(TRIM(G861),ARRAYFORMULA(TRIM('indice columnas'!$A$2:$A$100)),'indice columnas'!$B$2:$B$100,""""),
col,IFERROR(MATCH(campo,Referencia!$A$1:$AZ$1,0),0),
fila,IFERROR(MATCH(TO_TEXT(D861),ARRAYFORMULA"&amp;"(TO_TEXT(Referencia!$A$2:$A6238)),0),0),
IF(OR(campo="""",campo=""-""),""NO APLICA"",
IF(col=0,""REVISAR EQUIVALENCIA"",
IF(fila=0,""SKU NO ENCONTRADO"",
LET(
valor,INDEX(Referencia!$A$2:$AZ6238,fila,col),
IF(TRIM(TO_TEXT(valor))=TRIM(TO_TEXT(I861)),
""OK"&amp;""",
""NO COINCIDE. Valor verdadero: ""&amp;IF(valor="""",""[VACÍO]"",TO_TEXT(valor))
)
))))
),""ERROR EN FÓRMULA""))"),"NO APLICA")</f>
        <v>NO APLICA</v>
      </c>
    </row>
    <row r="862">
      <c r="A862" s="83" t="s">
        <v>4078</v>
      </c>
      <c r="B862" s="83" t="s">
        <v>4079</v>
      </c>
      <c r="C862" s="81" t="s">
        <v>4086</v>
      </c>
      <c r="D862" s="83" t="s">
        <v>4573</v>
      </c>
      <c r="E862" s="81" t="s">
        <v>2690</v>
      </c>
      <c r="F862" s="84">
        <v>520.0</v>
      </c>
      <c r="G862" s="81" t="s">
        <v>44</v>
      </c>
      <c r="H862" s="81" t="s">
        <v>4570</v>
      </c>
      <c r="I862" s="81" t="s">
        <v>2673</v>
      </c>
      <c r="J862" s="81" t="s">
        <v>4088</v>
      </c>
      <c r="K862" s="81" t="str">
        <f>IFERROR(__xludf.DUMMYFUNCTION("IF(OR(D862="""",G862=""""),"""",IFERROR(LET(
campo,XLOOKUP(TRIM(G862),ARRAYFORMULA(TRIM('indice columnas'!$A$2:$A$100)),'indice columnas'!$B$2:$B$100,""""),
col,IFERROR(MATCH(campo,Referencia!$A$1:$AZ$1,0),0),
fila,IFERROR(MATCH(TO_TEXT(D862),ARRAYFORMULA"&amp;"(TO_TEXT(Referencia!$A$2:$A6238)),0),0),
IF(OR(campo="""",campo=""-""),""NO APLICA"",
IF(col=0,""REVISAR EQUIVALENCIA"",
IF(fila=0,""SKU NO ENCONTRADO"",
LET(
valor,INDEX(Referencia!$A$2:$AZ6238,fila,col),
IF(TRIM(TO_TEXT(valor))=TRIM(TO_TEXT(I862)),
""OK"&amp;""",
""NO COINCIDE. Valor verdadero: ""&amp;IF(valor="""",""[VACÍO]"",TO_TEXT(valor))
)
))))
),""ERROR EN FÓRMULA""))"),"NO APLICA")</f>
        <v>NO APLICA</v>
      </c>
    </row>
    <row r="863">
      <c r="A863" s="83" t="s">
        <v>4078</v>
      </c>
      <c r="B863" s="83" t="s">
        <v>4079</v>
      </c>
      <c r="C863" s="81" t="s">
        <v>4086</v>
      </c>
      <c r="D863" s="83" t="s">
        <v>4573</v>
      </c>
      <c r="E863" s="81" t="s">
        <v>2699</v>
      </c>
      <c r="F863" s="84">
        <v>521.0</v>
      </c>
      <c r="G863" s="81" t="s">
        <v>17</v>
      </c>
      <c r="H863" s="83" t="s">
        <v>4571</v>
      </c>
      <c r="I863" s="83" t="s">
        <v>2686</v>
      </c>
      <c r="J863" s="81" t="s">
        <v>224</v>
      </c>
      <c r="K863" s="81" t="str">
        <f>IFERROR(__xludf.DUMMYFUNCTION("IF(OR(D863="""",G863=""""),"""",IFERROR(LET(
campo,XLOOKUP(TRIM(G863),ARRAYFORMULA(TRIM('indice columnas'!$A$2:$A$100)),'indice columnas'!$B$2:$B$100,""""),
col,IFERROR(MATCH(campo,Referencia!$A$1:$AZ$1,0),0),
fila,IFERROR(MATCH(TO_TEXT(D863),ARRAYFORMULA"&amp;"(TO_TEXT(Referencia!$A$2:$A6238)),0),0),
IF(OR(campo="""",campo=""-""),""NO APLICA"",
IF(col=0,""REVISAR EQUIVALENCIA"",
IF(fila=0,""SKU NO ENCONTRADO"",
LET(
valor,INDEX(Referencia!$A$2:$AZ6238,fila,col),
IF(TRIM(TO_TEXT(valor))=TRIM(TO_TEXT(I863)),
""OK"&amp;""",
""NO COINCIDE. Valor verdadero: ""&amp;IF(valor="""",""[VACÍO]"",TO_TEXT(valor))
)
))))
),""ERROR EN FÓRMULA""))"),"OK")</f>
        <v>OK</v>
      </c>
    </row>
    <row r="864">
      <c r="A864" s="83" t="s">
        <v>4078</v>
      </c>
      <c r="B864" s="83" t="s">
        <v>4079</v>
      </c>
      <c r="C864" s="81" t="s">
        <v>4086</v>
      </c>
      <c r="D864" s="83" t="s">
        <v>4573</v>
      </c>
      <c r="E864" s="81" t="s">
        <v>2699</v>
      </c>
      <c r="F864" s="84">
        <v>521.0</v>
      </c>
      <c r="G864" s="81" t="s">
        <v>36</v>
      </c>
      <c r="H864" s="81" t="s">
        <v>49</v>
      </c>
      <c r="I864" s="81" t="s">
        <v>1422</v>
      </c>
      <c r="J864" s="81" t="s">
        <v>224</v>
      </c>
      <c r="K864" s="81" t="str">
        <f>IFERROR(__xludf.DUMMYFUNCTION("IF(OR(D864="""",G864=""""),"""",IFERROR(LET(
campo,XLOOKUP(TRIM(G864),ARRAYFORMULA(TRIM('indice columnas'!$A$2:$A$100)),'indice columnas'!$B$2:$B$100,""""),
col,IFERROR(MATCH(campo,Referencia!$A$1:$AZ$1,0),0),
fila,IFERROR(MATCH(TO_TEXT(D864),ARRAYFORMULA"&amp;"(TO_TEXT(Referencia!$A$2:$A6238)),0),0),
IF(OR(campo="""",campo=""-""),""NO APLICA"",
IF(col=0,""REVISAR EQUIVALENCIA"",
IF(fila=0,""SKU NO ENCONTRADO"",
LET(
valor,INDEX(Referencia!$A$2:$AZ6238,fila,col),
IF(TRIM(TO_TEXT(valor))=TRIM(TO_TEXT(I864)),
""OK"&amp;""",
""NO COINCIDE. Valor verdadero: ""&amp;IF(valor="""",""[VACÍO]"",TO_TEXT(valor))
)
))))
),""ERROR EN FÓRMULA""))"),"REVISAR EQUIVALENCIA")</f>
        <v>REVISAR EQUIVALENCIA</v>
      </c>
    </row>
    <row r="865">
      <c r="A865" s="83" t="s">
        <v>4078</v>
      </c>
      <c r="B865" s="83" t="s">
        <v>4079</v>
      </c>
      <c r="C865" s="81" t="s">
        <v>4086</v>
      </c>
      <c r="D865" s="83" t="s">
        <v>4573</v>
      </c>
      <c r="E865" s="81" t="s">
        <v>2699</v>
      </c>
      <c r="F865" s="84">
        <v>521.0</v>
      </c>
      <c r="G865" s="81" t="s">
        <v>44</v>
      </c>
      <c r="H865" s="81" t="s">
        <v>4570</v>
      </c>
      <c r="I865" s="81" t="s">
        <v>2673</v>
      </c>
      <c r="J865" s="81" t="s">
        <v>4088</v>
      </c>
      <c r="K865" s="81" t="str">
        <f>IFERROR(__xludf.DUMMYFUNCTION("IF(OR(D865="""",G865=""""),"""",IFERROR(LET(
campo,XLOOKUP(TRIM(G865),ARRAYFORMULA(TRIM('indice columnas'!$A$2:$A$100)),'indice columnas'!$B$2:$B$100,""""),
col,IFERROR(MATCH(campo,Referencia!$A$1:$AZ$1,0),0),
fila,IFERROR(MATCH(TO_TEXT(D865),ARRAYFORMULA"&amp;"(TO_TEXT(Referencia!$A$2:$A6238)),0),0),
IF(OR(campo="""",campo=""-""),""NO APLICA"",
IF(col=0,""REVISAR EQUIVALENCIA"",
IF(fila=0,""SKU NO ENCONTRADO"",
LET(
valor,INDEX(Referencia!$A$2:$AZ6238,fila,col),
IF(TRIM(TO_TEXT(valor))=TRIM(TO_TEXT(I865)),
""OK"&amp;""",
""NO COINCIDE. Valor verdadero: ""&amp;IF(valor="""",""[VACÍO]"",TO_TEXT(valor))
)
))))
),""ERROR EN FÓRMULA""))"),"NO APLICA")</f>
        <v>NO APLICA</v>
      </c>
    </row>
    <row r="866">
      <c r="A866" s="83" t="s">
        <v>4078</v>
      </c>
      <c r="B866" s="83" t="s">
        <v>4079</v>
      </c>
      <c r="C866" s="81" t="s">
        <v>4086</v>
      </c>
      <c r="D866" s="83" t="s">
        <v>4574</v>
      </c>
      <c r="E866" s="81" t="s">
        <v>2700</v>
      </c>
      <c r="F866" s="84">
        <v>522.0</v>
      </c>
      <c r="G866" s="81" t="s">
        <v>44</v>
      </c>
      <c r="H866" s="81" t="s">
        <v>4570</v>
      </c>
      <c r="I866" s="81" t="s">
        <v>2673</v>
      </c>
      <c r="J866" s="81" t="s">
        <v>4088</v>
      </c>
      <c r="K866" s="81" t="str">
        <f>IFERROR(__xludf.DUMMYFUNCTION("IF(OR(D866="""",G866=""""),"""",IFERROR(LET(
campo,XLOOKUP(TRIM(G866),ARRAYFORMULA(TRIM('indice columnas'!$A$2:$A$100)),'indice columnas'!$B$2:$B$100,""""),
col,IFERROR(MATCH(campo,Referencia!$A$1:$AZ$1,0),0),
fila,IFERROR(MATCH(TO_TEXT(D866),ARRAYFORMULA"&amp;"(TO_TEXT(Referencia!$A$2:$A6238)),0),0),
IF(OR(campo="""",campo=""-""),""NO APLICA"",
IF(col=0,""REVISAR EQUIVALENCIA"",
IF(fila=0,""SKU NO ENCONTRADO"",
LET(
valor,INDEX(Referencia!$A$2:$AZ6238,fila,col),
IF(TRIM(TO_TEXT(valor))=TRIM(TO_TEXT(I866)),
""OK"&amp;""",
""NO COINCIDE. Valor verdadero: ""&amp;IF(valor="""",""[VACÍO]"",TO_TEXT(valor))
)
))))
),""ERROR EN FÓRMULA""))"),"NO APLICA")</f>
        <v>NO APLICA</v>
      </c>
    </row>
    <row r="867">
      <c r="A867" s="83" t="s">
        <v>4078</v>
      </c>
      <c r="B867" s="83" t="s">
        <v>4079</v>
      </c>
      <c r="C867" s="81" t="s">
        <v>4086</v>
      </c>
      <c r="D867" s="83" t="s">
        <v>4575</v>
      </c>
      <c r="E867" s="81" t="s">
        <v>2703</v>
      </c>
      <c r="F867" s="84">
        <v>523.0</v>
      </c>
      <c r="G867" s="81" t="s">
        <v>44</v>
      </c>
      <c r="H867" s="81" t="s">
        <v>4570</v>
      </c>
      <c r="I867" s="81" t="s">
        <v>2673</v>
      </c>
      <c r="J867" s="81" t="s">
        <v>4088</v>
      </c>
      <c r="K867" s="81" t="str">
        <f>IFERROR(__xludf.DUMMYFUNCTION("IF(OR(D867="""",G867=""""),"""",IFERROR(LET(
campo,XLOOKUP(TRIM(G867),ARRAYFORMULA(TRIM('indice columnas'!$A$2:$A$100)),'indice columnas'!$B$2:$B$100,""""),
col,IFERROR(MATCH(campo,Referencia!$A$1:$AZ$1,0),0),
fila,IFERROR(MATCH(TO_TEXT(D867),ARRAYFORMULA"&amp;"(TO_TEXT(Referencia!$A$2:$A6238)),0),0),
IF(OR(campo="""",campo=""-""),""NO APLICA"",
IF(col=0,""REVISAR EQUIVALENCIA"",
IF(fila=0,""SKU NO ENCONTRADO"",
LET(
valor,INDEX(Referencia!$A$2:$AZ6238,fila,col),
IF(TRIM(TO_TEXT(valor))=TRIM(TO_TEXT(I867)),
""OK"&amp;""",
""NO COINCIDE. Valor verdadero: ""&amp;IF(valor="""",""[VACÍO]"",TO_TEXT(valor))
)
))))
),""ERROR EN FÓRMULA""))"),"NO APLICA")</f>
        <v>NO APLICA</v>
      </c>
    </row>
    <row r="868">
      <c r="A868" s="83" t="s">
        <v>4078</v>
      </c>
      <c r="B868" s="83" t="s">
        <v>4079</v>
      </c>
      <c r="C868" s="81" t="s">
        <v>4086</v>
      </c>
      <c r="D868" s="83" t="s">
        <v>4575</v>
      </c>
      <c r="E868" s="81" t="s">
        <v>2712</v>
      </c>
      <c r="F868" s="84">
        <v>524.0</v>
      </c>
      <c r="G868" s="81" t="s">
        <v>17</v>
      </c>
      <c r="H868" s="83" t="s">
        <v>4571</v>
      </c>
      <c r="I868" s="83" t="s">
        <v>2686</v>
      </c>
      <c r="J868" s="81" t="s">
        <v>224</v>
      </c>
      <c r="K868" s="81" t="str">
        <f>IFERROR(__xludf.DUMMYFUNCTION("IF(OR(D868="""",G868=""""),"""",IFERROR(LET(
campo,XLOOKUP(TRIM(G868),ARRAYFORMULA(TRIM('indice columnas'!$A$2:$A$100)),'indice columnas'!$B$2:$B$100,""""),
col,IFERROR(MATCH(campo,Referencia!$A$1:$AZ$1,0),0),
fila,IFERROR(MATCH(TO_TEXT(D868),ARRAYFORMULA"&amp;"(TO_TEXT(Referencia!$A$2:$A6238)),0),0),
IF(OR(campo="""",campo=""-""),""NO APLICA"",
IF(col=0,""REVISAR EQUIVALENCIA"",
IF(fila=0,""SKU NO ENCONTRADO"",
LET(
valor,INDEX(Referencia!$A$2:$AZ6238,fila,col),
IF(TRIM(TO_TEXT(valor))=TRIM(TO_TEXT(I868)),
""OK"&amp;""",
""NO COINCIDE. Valor verdadero: ""&amp;IF(valor="""",""[VACÍO]"",TO_TEXT(valor))
)
))))
),""ERROR EN FÓRMULA""))"),"OK")</f>
        <v>OK</v>
      </c>
    </row>
    <row r="869">
      <c r="A869" s="83" t="s">
        <v>4078</v>
      </c>
      <c r="B869" s="83" t="s">
        <v>4079</v>
      </c>
      <c r="C869" s="81" t="s">
        <v>4086</v>
      </c>
      <c r="D869" s="83" t="s">
        <v>4575</v>
      </c>
      <c r="E869" s="81" t="s">
        <v>2712</v>
      </c>
      <c r="F869" s="84">
        <v>524.0</v>
      </c>
      <c r="G869" s="81" t="s">
        <v>36</v>
      </c>
      <c r="H869" s="81" t="s">
        <v>49</v>
      </c>
      <c r="I869" s="81" t="s">
        <v>1422</v>
      </c>
      <c r="J869" s="81" t="s">
        <v>224</v>
      </c>
      <c r="K869" s="81" t="str">
        <f>IFERROR(__xludf.DUMMYFUNCTION("IF(OR(D869="""",G869=""""),"""",IFERROR(LET(
campo,XLOOKUP(TRIM(G869),ARRAYFORMULA(TRIM('indice columnas'!$A$2:$A$100)),'indice columnas'!$B$2:$B$100,""""),
col,IFERROR(MATCH(campo,Referencia!$A$1:$AZ$1,0),0),
fila,IFERROR(MATCH(TO_TEXT(D869),ARRAYFORMULA"&amp;"(TO_TEXT(Referencia!$A$2:$A6238)),0),0),
IF(OR(campo="""",campo=""-""),""NO APLICA"",
IF(col=0,""REVISAR EQUIVALENCIA"",
IF(fila=0,""SKU NO ENCONTRADO"",
LET(
valor,INDEX(Referencia!$A$2:$AZ6238,fila,col),
IF(TRIM(TO_TEXT(valor))=TRIM(TO_TEXT(I869)),
""OK"&amp;""",
""NO COINCIDE. Valor verdadero: ""&amp;IF(valor="""",""[VACÍO]"",TO_TEXT(valor))
)
))))
),""ERROR EN FÓRMULA""))"),"REVISAR EQUIVALENCIA")</f>
        <v>REVISAR EQUIVALENCIA</v>
      </c>
    </row>
    <row r="870">
      <c r="A870" s="83" t="s">
        <v>4078</v>
      </c>
      <c r="B870" s="83" t="s">
        <v>4079</v>
      </c>
      <c r="C870" s="81" t="s">
        <v>4086</v>
      </c>
      <c r="D870" s="83" t="s">
        <v>4575</v>
      </c>
      <c r="E870" s="81" t="s">
        <v>2712</v>
      </c>
      <c r="F870" s="84">
        <v>524.0</v>
      </c>
      <c r="G870" s="81" t="s">
        <v>44</v>
      </c>
      <c r="H870" s="81" t="s">
        <v>4570</v>
      </c>
      <c r="I870" s="81" t="s">
        <v>2673</v>
      </c>
      <c r="J870" s="81" t="s">
        <v>4088</v>
      </c>
      <c r="K870" s="81" t="str">
        <f>IFERROR(__xludf.DUMMYFUNCTION("IF(OR(D870="""",G870=""""),"""",IFERROR(LET(
campo,XLOOKUP(TRIM(G870),ARRAYFORMULA(TRIM('indice columnas'!$A$2:$A$100)),'indice columnas'!$B$2:$B$100,""""),
col,IFERROR(MATCH(campo,Referencia!$A$1:$AZ$1,0),0),
fila,IFERROR(MATCH(TO_TEXT(D870),ARRAYFORMULA"&amp;"(TO_TEXT(Referencia!$A$2:$A6238)),0),0),
IF(OR(campo="""",campo=""-""),""NO APLICA"",
IF(col=0,""REVISAR EQUIVALENCIA"",
IF(fila=0,""SKU NO ENCONTRADO"",
LET(
valor,INDEX(Referencia!$A$2:$AZ6238,fila,col),
IF(TRIM(TO_TEXT(valor))=TRIM(TO_TEXT(I870)),
""OK"&amp;""",
""NO COINCIDE. Valor verdadero: ""&amp;IF(valor="""",""[VACÍO]"",TO_TEXT(valor))
)
))))
),""ERROR EN FÓRMULA""))"),"NO APLICA")</f>
        <v>NO APLICA</v>
      </c>
    </row>
    <row r="871">
      <c r="A871" s="83" t="s">
        <v>4078</v>
      </c>
      <c r="B871" s="83" t="s">
        <v>4079</v>
      </c>
      <c r="C871" s="81" t="s">
        <v>4086</v>
      </c>
      <c r="D871" s="83" t="s">
        <v>4576</v>
      </c>
      <c r="E871" s="81" t="s">
        <v>2713</v>
      </c>
      <c r="F871" s="84">
        <v>525.0</v>
      </c>
      <c r="G871" s="81" t="s">
        <v>44</v>
      </c>
      <c r="H871" s="81" t="s">
        <v>4570</v>
      </c>
      <c r="I871" s="81" t="s">
        <v>2673</v>
      </c>
      <c r="J871" s="81" t="s">
        <v>4088</v>
      </c>
      <c r="K871" s="81" t="str">
        <f>IFERROR(__xludf.DUMMYFUNCTION("IF(OR(D871="""",G871=""""),"""",IFERROR(LET(
campo,XLOOKUP(TRIM(G871),ARRAYFORMULA(TRIM('indice columnas'!$A$2:$A$100)),'indice columnas'!$B$2:$B$100,""""),
col,IFERROR(MATCH(campo,Referencia!$A$1:$AZ$1,0),0),
fila,IFERROR(MATCH(TO_TEXT(D871),ARRAYFORMULA"&amp;"(TO_TEXT(Referencia!$A$2:$A6238)),0),0),
IF(OR(campo="""",campo=""-""),""NO APLICA"",
IF(col=0,""REVISAR EQUIVALENCIA"",
IF(fila=0,""SKU NO ENCONTRADO"",
LET(
valor,INDEX(Referencia!$A$2:$AZ6238,fila,col),
IF(TRIM(TO_TEXT(valor))=TRIM(TO_TEXT(I871)),
""OK"&amp;""",
""NO COINCIDE. Valor verdadero: ""&amp;IF(valor="""",""[VACÍO]"",TO_TEXT(valor))
)
))))
),""ERROR EN FÓRMULA""))"),"NO APLICA")</f>
        <v>NO APLICA</v>
      </c>
    </row>
    <row r="872">
      <c r="A872" s="83" t="s">
        <v>4078</v>
      </c>
      <c r="B872" s="83" t="s">
        <v>4079</v>
      </c>
      <c r="C872" s="81" t="s">
        <v>4086</v>
      </c>
      <c r="D872" s="83" t="s">
        <v>4577</v>
      </c>
      <c r="E872" s="81" t="s">
        <v>2716</v>
      </c>
      <c r="F872" s="84">
        <v>526.0</v>
      </c>
      <c r="G872" s="81" t="s">
        <v>44</v>
      </c>
      <c r="H872" s="81" t="s">
        <v>4570</v>
      </c>
      <c r="I872" s="81" t="s">
        <v>2673</v>
      </c>
      <c r="J872" s="81" t="s">
        <v>4088</v>
      </c>
      <c r="K872" s="81" t="str">
        <f>IFERROR(__xludf.DUMMYFUNCTION("IF(OR(D872="""",G872=""""),"""",IFERROR(LET(
campo,XLOOKUP(TRIM(G872),ARRAYFORMULA(TRIM('indice columnas'!$A$2:$A$100)),'indice columnas'!$B$2:$B$100,""""),
col,IFERROR(MATCH(campo,Referencia!$A$1:$AZ$1,0),0),
fila,IFERROR(MATCH(TO_TEXT(D872),ARRAYFORMULA"&amp;"(TO_TEXT(Referencia!$A$2:$A6238)),0),0),
IF(OR(campo="""",campo=""-""),""NO APLICA"",
IF(col=0,""REVISAR EQUIVALENCIA"",
IF(fila=0,""SKU NO ENCONTRADO"",
LET(
valor,INDEX(Referencia!$A$2:$AZ6238,fila,col),
IF(TRIM(TO_TEXT(valor))=TRIM(TO_TEXT(I872)),
""OK"&amp;""",
""NO COINCIDE. Valor verdadero: ""&amp;IF(valor="""",""[VACÍO]"",TO_TEXT(valor))
)
))))
),""ERROR EN FÓRMULA""))"),"NO APLICA")</f>
        <v>NO APLICA</v>
      </c>
    </row>
    <row r="873">
      <c r="A873" s="83" t="s">
        <v>4078</v>
      </c>
      <c r="B873" s="83" t="s">
        <v>4079</v>
      </c>
      <c r="C873" s="81" t="s">
        <v>4086</v>
      </c>
      <c r="D873" s="83" t="s">
        <v>4578</v>
      </c>
      <c r="E873" s="81" t="s">
        <v>2724</v>
      </c>
      <c r="F873" s="84">
        <v>527.0</v>
      </c>
      <c r="G873" s="81" t="s">
        <v>44</v>
      </c>
      <c r="H873" s="81" t="s">
        <v>4570</v>
      </c>
      <c r="I873" s="81" t="s">
        <v>2673</v>
      </c>
      <c r="J873" s="81" t="s">
        <v>4088</v>
      </c>
      <c r="K873" s="81" t="str">
        <f>IFERROR(__xludf.DUMMYFUNCTION("IF(OR(D873="""",G873=""""),"""",IFERROR(LET(
campo,XLOOKUP(TRIM(G873),ARRAYFORMULA(TRIM('indice columnas'!$A$2:$A$100)),'indice columnas'!$B$2:$B$100,""""),
col,IFERROR(MATCH(campo,Referencia!$A$1:$AZ$1,0),0),
fila,IFERROR(MATCH(TO_TEXT(D873),ARRAYFORMULA"&amp;"(TO_TEXT(Referencia!$A$2:$A6238)),0),0),
IF(OR(campo="""",campo=""-""),""NO APLICA"",
IF(col=0,""REVISAR EQUIVALENCIA"",
IF(fila=0,""SKU NO ENCONTRADO"",
LET(
valor,INDEX(Referencia!$A$2:$AZ6238,fila,col),
IF(TRIM(TO_TEXT(valor))=TRIM(TO_TEXT(I873)),
""OK"&amp;""",
""NO COINCIDE. Valor verdadero: ""&amp;IF(valor="""",""[VACÍO]"",TO_TEXT(valor))
)
))))
),""ERROR EN FÓRMULA""))"),"NO APLICA")</f>
        <v>NO APLICA</v>
      </c>
    </row>
    <row r="874">
      <c r="A874" s="83" t="s">
        <v>4078</v>
      </c>
      <c r="B874" s="83" t="s">
        <v>4079</v>
      </c>
      <c r="C874" s="81" t="s">
        <v>4086</v>
      </c>
      <c r="D874" s="83" t="s">
        <v>4579</v>
      </c>
      <c r="E874" s="81" t="s">
        <v>2727</v>
      </c>
      <c r="F874" s="84">
        <v>528.0</v>
      </c>
      <c r="G874" s="81" t="s">
        <v>44</v>
      </c>
      <c r="H874" s="81" t="s">
        <v>4570</v>
      </c>
      <c r="I874" s="81" t="s">
        <v>2673</v>
      </c>
      <c r="J874" s="81" t="s">
        <v>4088</v>
      </c>
      <c r="K874" s="81" t="str">
        <f>IFERROR(__xludf.DUMMYFUNCTION("IF(OR(D874="""",G874=""""),"""",IFERROR(LET(
campo,XLOOKUP(TRIM(G874),ARRAYFORMULA(TRIM('indice columnas'!$A$2:$A$100)),'indice columnas'!$B$2:$B$100,""""),
col,IFERROR(MATCH(campo,Referencia!$A$1:$AZ$1,0),0),
fila,IFERROR(MATCH(TO_TEXT(D874),ARRAYFORMULA"&amp;"(TO_TEXT(Referencia!$A$2:$A6238)),0),0),
IF(OR(campo="""",campo=""-""),""NO APLICA"",
IF(col=0,""REVISAR EQUIVALENCIA"",
IF(fila=0,""SKU NO ENCONTRADO"",
LET(
valor,INDEX(Referencia!$A$2:$AZ6238,fila,col),
IF(TRIM(TO_TEXT(valor))=TRIM(TO_TEXT(I874)),
""OK"&amp;""",
""NO COINCIDE. Valor verdadero: ""&amp;IF(valor="""",""[VACÍO]"",TO_TEXT(valor))
)
))))
),""ERROR EN FÓRMULA""))"),"NO APLICA")</f>
        <v>NO APLICA</v>
      </c>
    </row>
    <row r="875">
      <c r="A875" s="83" t="s">
        <v>4078</v>
      </c>
      <c r="B875" s="83" t="s">
        <v>4079</v>
      </c>
      <c r="C875" s="81" t="s">
        <v>4086</v>
      </c>
      <c r="D875" s="83" t="s">
        <v>4579</v>
      </c>
      <c r="E875" s="81" t="s">
        <v>2736</v>
      </c>
      <c r="F875" s="84">
        <v>529.0</v>
      </c>
      <c r="G875" s="81" t="s">
        <v>30</v>
      </c>
      <c r="H875" s="81" t="s">
        <v>4580</v>
      </c>
      <c r="I875" s="81" t="s">
        <v>2729</v>
      </c>
      <c r="J875" s="81" t="s">
        <v>224</v>
      </c>
      <c r="K875" s="81" t="str">
        <f>IFERROR(__xludf.DUMMYFUNCTION("IF(OR(D875="""",G875=""""),"""",IFERROR(LET(
campo,XLOOKUP(TRIM(G875),ARRAYFORMULA(TRIM('indice columnas'!$A$2:$A$100)),'indice columnas'!$B$2:$B$100,""""),
col,IFERROR(MATCH(campo,Referencia!$A$1:$AZ$1,0),0),
fila,IFERROR(MATCH(TO_TEXT(D875),ARRAYFORMULA"&amp;"(TO_TEXT(Referencia!$A$2:$A6238)),0),0),
IF(OR(campo="""",campo=""-""),""NO APLICA"",
IF(col=0,""REVISAR EQUIVALENCIA"",
IF(fila=0,""SKU NO ENCONTRADO"",
LET(
valor,INDEX(Referencia!$A$2:$AZ6238,fila,col),
IF(TRIM(TO_TEXT(valor))=TRIM(TO_TEXT(I875)),
""OK"&amp;""",
""NO COINCIDE. Valor verdadero: ""&amp;IF(valor="""",""[VACÍO]"",TO_TEXT(valor))
)
))))
),""ERROR EN FÓRMULA""))"),"NO COINCIDE. Valor verdadero: L de 40 x 310")</f>
        <v>NO COINCIDE. Valor verdadero: L de 40 x 310</v>
      </c>
    </row>
    <row r="876">
      <c r="A876" s="83" t="s">
        <v>4078</v>
      </c>
      <c r="B876" s="83" t="s">
        <v>4079</v>
      </c>
      <c r="C876" s="81" t="s">
        <v>4086</v>
      </c>
      <c r="D876" s="83" t="s">
        <v>4579</v>
      </c>
      <c r="E876" s="81" t="s">
        <v>2736</v>
      </c>
      <c r="F876" s="84">
        <v>529.0</v>
      </c>
      <c r="G876" s="81" t="s">
        <v>44</v>
      </c>
      <c r="H876" s="81" t="s">
        <v>4570</v>
      </c>
      <c r="I876" s="81" t="s">
        <v>2673</v>
      </c>
      <c r="J876" s="81" t="s">
        <v>4088</v>
      </c>
      <c r="K876" s="81" t="str">
        <f>IFERROR(__xludf.DUMMYFUNCTION("IF(OR(D876="""",G876=""""),"""",IFERROR(LET(
campo,XLOOKUP(TRIM(G876),ARRAYFORMULA(TRIM('indice columnas'!$A$2:$A$100)),'indice columnas'!$B$2:$B$100,""""),
col,IFERROR(MATCH(campo,Referencia!$A$1:$AZ$1,0),0),
fila,IFERROR(MATCH(TO_TEXT(D876),ARRAYFORMULA"&amp;"(TO_TEXT(Referencia!$A$2:$A6238)),0),0),
IF(OR(campo="""",campo=""-""),""NO APLICA"",
IF(col=0,""REVISAR EQUIVALENCIA"",
IF(fila=0,""SKU NO ENCONTRADO"",
LET(
valor,INDEX(Referencia!$A$2:$AZ6238,fila,col),
IF(TRIM(TO_TEXT(valor))=TRIM(TO_TEXT(I876)),
""OK"&amp;""",
""NO COINCIDE. Valor verdadero: ""&amp;IF(valor="""",""[VACÍO]"",TO_TEXT(valor))
)
))))
),""ERROR EN FÓRMULA""))"),"NO APLICA")</f>
        <v>NO APLICA</v>
      </c>
    </row>
    <row r="877">
      <c r="A877" s="83" t="s">
        <v>4078</v>
      </c>
      <c r="B877" s="83" t="s">
        <v>4079</v>
      </c>
      <c r="C877" s="81" t="s">
        <v>4086</v>
      </c>
      <c r="D877" s="83" t="s">
        <v>4581</v>
      </c>
      <c r="E877" s="81" t="s">
        <v>2737</v>
      </c>
      <c r="F877" s="84">
        <v>530.0</v>
      </c>
      <c r="G877" s="81" t="s">
        <v>30</v>
      </c>
      <c r="H877" s="81" t="s">
        <v>4580</v>
      </c>
      <c r="I877" s="81" t="s">
        <v>2729</v>
      </c>
      <c r="J877" s="81" t="s">
        <v>224</v>
      </c>
      <c r="K877" s="81" t="str">
        <f>IFERROR(__xludf.DUMMYFUNCTION("IF(OR(D877="""",G877=""""),"""",IFERROR(LET(
campo,XLOOKUP(TRIM(G877),ARRAYFORMULA(TRIM('indice columnas'!$A$2:$A$100)),'indice columnas'!$B$2:$B$100,""""),
col,IFERROR(MATCH(campo,Referencia!$A$1:$AZ$1,0),0),
fila,IFERROR(MATCH(TO_TEXT(D877),ARRAYFORMULA"&amp;"(TO_TEXT(Referencia!$A$2:$A6238)),0),0),
IF(OR(campo="""",campo=""-""),""NO APLICA"",
IF(col=0,""REVISAR EQUIVALENCIA"",
IF(fila=0,""SKU NO ENCONTRADO"",
LET(
valor,INDEX(Referencia!$A$2:$AZ6238,fila,col),
IF(TRIM(TO_TEXT(valor))=TRIM(TO_TEXT(I877)),
""OK"&amp;""",
""NO COINCIDE. Valor verdadero: ""&amp;IF(valor="""",""[VACÍO]"",TO_TEXT(valor))
)
))))
),""ERROR EN FÓRMULA""))"),"NO COINCIDE. Valor verdadero: L de 40 x 310")</f>
        <v>NO COINCIDE. Valor verdadero: L de 40 x 310</v>
      </c>
    </row>
    <row r="878">
      <c r="A878" s="83" t="s">
        <v>4078</v>
      </c>
      <c r="B878" s="83" t="s">
        <v>4079</v>
      </c>
      <c r="C878" s="81" t="s">
        <v>4086</v>
      </c>
      <c r="D878" s="83" t="s">
        <v>4581</v>
      </c>
      <c r="E878" s="81" t="s">
        <v>2737</v>
      </c>
      <c r="F878" s="84">
        <v>530.0</v>
      </c>
      <c r="G878" s="81" t="s">
        <v>44</v>
      </c>
      <c r="H878" s="81" t="s">
        <v>4570</v>
      </c>
      <c r="I878" s="81" t="s">
        <v>2673</v>
      </c>
      <c r="J878" s="81" t="s">
        <v>4088</v>
      </c>
      <c r="K878" s="81" t="str">
        <f>IFERROR(__xludf.DUMMYFUNCTION("IF(OR(D878="""",G878=""""),"""",IFERROR(LET(
campo,XLOOKUP(TRIM(G878),ARRAYFORMULA(TRIM('indice columnas'!$A$2:$A$100)),'indice columnas'!$B$2:$B$100,""""),
col,IFERROR(MATCH(campo,Referencia!$A$1:$AZ$1,0),0),
fila,IFERROR(MATCH(TO_TEXT(D878),ARRAYFORMULA"&amp;"(TO_TEXT(Referencia!$A$2:$A6238)),0),0),
IF(OR(campo="""",campo=""-""),""NO APLICA"",
IF(col=0,""REVISAR EQUIVALENCIA"",
IF(fila=0,""SKU NO ENCONTRADO"",
LET(
valor,INDEX(Referencia!$A$2:$AZ6238,fila,col),
IF(TRIM(TO_TEXT(valor))=TRIM(TO_TEXT(I878)),
""OK"&amp;""",
""NO COINCIDE. Valor verdadero: ""&amp;IF(valor="""",""[VACÍO]"",TO_TEXT(valor))
)
))))
),""ERROR EN FÓRMULA""))"),"NO APLICA")</f>
        <v>NO APLICA</v>
      </c>
    </row>
    <row r="879">
      <c r="A879" s="83" t="s">
        <v>4078</v>
      </c>
      <c r="B879" s="83" t="s">
        <v>4079</v>
      </c>
      <c r="C879" s="81" t="s">
        <v>4086</v>
      </c>
      <c r="D879" s="83" t="s">
        <v>4582</v>
      </c>
      <c r="E879" s="81" t="s">
        <v>2740</v>
      </c>
      <c r="F879" s="84">
        <v>531.0</v>
      </c>
      <c r="G879" s="81" t="s">
        <v>44</v>
      </c>
      <c r="H879" s="81" t="s">
        <v>4339</v>
      </c>
      <c r="I879" s="81" t="s">
        <v>1401</v>
      </c>
      <c r="J879" s="81" t="s">
        <v>4088</v>
      </c>
      <c r="K879" s="81" t="str">
        <f>IFERROR(__xludf.DUMMYFUNCTION("IF(OR(D879="""",G879=""""),"""",IFERROR(LET(
campo,XLOOKUP(TRIM(G879),ARRAYFORMULA(TRIM('indice columnas'!$A$2:$A$100)),'indice columnas'!$B$2:$B$100,""""),
col,IFERROR(MATCH(campo,Referencia!$A$1:$AZ$1,0),0),
fila,IFERROR(MATCH(TO_TEXT(D879),ARRAYFORMULA"&amp;"(TO_TEXT(Referencia!$A$2:$A6238)),0),0),
IF(OR(campo="""",campo=""-""),""NO APLICA"",
IF(col=0,""REVISAR EQUIVALENCIA"",
IF(fila=0,""SKU NO ENCONTRADO"",
LET(
valor,INDEX(Referencia!$A$2:$AZ6238,fila,col),
IF(TRIM(TO_TEXT(valor))=TRIM(TO_TEXT(I879)),
""OK"&amp;""",
""NO COINCIDE. Valor verdadero: ""&amp;IF(valor="""",""[VACÍO]"",TO_TEXT(valor))
)
))))
),""ERROR EN FÓRMULA""))"),"NO APLICA")</f>
        <v>NO APLICA</v>
      </c>
    </row>
    <row r="880">
      <c r="A880" s="83" t="s">
        <v>4078</v>
      </c>
      <c r="B880" s="83" t="s">
        <v>4079</v>
      </c>
      <c r="C880" s="81" t="s">
        <v>4086</v>
      </c>
      <c r="D880" s="83" t="s">
        <v>4582</v>
      </c>
      <c r="E880" s="81" t="s">
        <v>2748</v>
      </c>
      <c r="F880" s="84">
        <v>532.0</v>
      </c>
      <c r="G880" s="81" t="s">
        <v>29</v>
      </c>
      <c r="H880" s="81" t="s">
        <v>4583</v>
      </c>
      <c r="I880" s="81" t="s">
        <v>2741</v>
      </c>
      <c r="J880" s="81" t="s">
        <v>224</v>
      </c>
      <c r="K880" s="81" t="str">
        <f>IFERROR(__xludf.DUMMYFUNCTION("IF(OR(D880="""",G880=""""),"""",IFERROR(LET(
campo,XLOOKUP(TRIM(G880),ARRAYFORMULA(TRIM('indice columnas'!$A$2:$A$100)),'indice columnas'!$B$2:$B$100,""""),
col,IFERROR(MATCH(campo,Referencia!$A$1:$AZ$1,0),0),
fila,IFERROR(MATCH(TO_TEXT(D880),ARRAYFORMULA"&amp;"(TO_TEXT(Referencia!$A$2:$A6238)),0),0),
IF(OR(campo="""",campo=""-""),""NO APLICA"",
IF(col=0,""REVISAR EQUIVALENCIA"",
IF(fila=0,""SKU NO ENCONTRADO"",
LET(
valor,INDEX(Referencia!$A$2:$AZ6238,fila,col),
IF(TRIM(TO_TEXT(valor))=TRIM(TO_TEXT(I880)),
""OK"&amp;""",
""NO COINCIDE. Valor verdadero: ""&amp;IF(valor="""",""[VACÍO]"",TO_TEXT(valor))
)
))))
),""ERROR EN FÓRMULA""))"),"NO COINCIDE. Valor verdadero: 270 x 440 60")</f>
        <v>NO COINCIDE. Valor verdadero: 270 x 440 60</v>
      </c>
    </row>
    <row r="881">
      <c r="A881" s="83" t="s">
        <v>4078</v>
      </c>
      <c r="B881" s="83" t="s">
        <v>4079</v>
      </c>
      <c r="C881" s="81" t="s">
        <v>4086</v>
      </c>
      <c r="D881" s="83" t="s">
        <v>4582</v>
      </c>
      <c r="E881" s="81" t="s">
        <v>2748</v>
      </c>
      <c r="F881" s="84">
        <v>532.0</v>
      </c>
      <c r="G881" s="81" t="s">
        <v>44</v>
      </c>
      <c r="H881" s="81" t="s">
        <v>4339</v>
      </c>
      <c r="I881" s="81" t="s">
        <v>1401</v>
      </c>
      <c r="J881" s="81" t="s">
        <v>4088</v>
      </c>
      <c r="K881" s="81" t="str">
        <f>IFERROR(__xludf.DUMMYFUNCTION("IF(OR(D881="""",G881=""""),"""",IFERROR(LET(
campo,XLOOKUP(TRIM(G881),ARRAYFORMULA(TRIM('indice columnas'!$A$2:$A$100)),'indice columnas'!$B$2:$B$100,""""),
col,IFERROR(MATCH(campo,Referencia!$A$1:$AZ$1,0),0),
fila,IFERROR(MATCH(TO_TEXT(D881),ARRAYFORMULA"&amp;"(TO_TEXT(Referencia!$A$2:$A6238)),0),0),
IF(OR(campo="""",campo=""-""),""NO APLICA"",
IF(col=0,""REVISAR EQUIVALENCIA"",
IF(fila=0,""SKU NO ENCONTRADO"",
LET(
valor,INDEX(Referencia!$A$2:$AZ6238,fila,col),
IF(TRIM(TO_TEXT(valor))=TRIM(TO_TEXT(I881)),
""OK"&amp;""",
""NO COINCIDE. Valor verdadero: ""&amp;IF(valor="""",""[VACÍO]"",TO_TEXT(valor))
)
))))
),""ERROR EN FÓRMULA""))"),"NO APLICA")</f>
        <v>NO APLICA</v>
      </c>
    </row>
    <row r="882">
      <c r="A882" s="83" t="s">
        <v>4078</v>
      </c>
      <c r="B882" s="83" t="s">
        <v>4079</v>
      </c>
      <c r="C882" s="81" t="s">
        <v>4086</v>
      </c>
      <c r="D882" s="83" t="s">
        <v>4584</v>
      </c>
      <c r="E882" s="81" t="s">
        <v>2749</v>
      </c>
      <c r="F882" s="84">
        <v>533.0</v>
      </c>
      <c r="G882" s="81" t="s">
        <v>29</v>
      </c>
      <c r="H882" s="81" t="s">
        <v>4583</v>
      </c>
      <c r="I882" s="81" t="s">
        <v>2741</v>
      </c>
      <c r="J882" s="81" t="s">
        <v>224</v>
      </c>
      <c r="K882" s="81" t="str">
        <f>IFERROR(__xludf.DUMMYFUNCTION("IF(OR(D882="""",G882=""""),"""",IFERROR(LET(
campo,XLOOKUP(TRIM(G882),ARRAYFORMULA(TRIM('indice columnas'!$A$2:$A$100)),'indice columnas'!$B$2:$B$100,""""),
col,IFERROR(MATCH(campo,Referencia!$A$1:$AZ$1,0),0),
fila,IFERROR(MATCH(TO_TEXT(D882),ARRAYFORMULA"&amp;"(TO_TEXT(Referencia!$A$2:$A6238)),0),0),
IF(OR(campo="""",campo=""-""),""NO APLICA"",
IF(col=0,""REVISAR EQUIVALENCIA"",
IF(fila=0,""SKU NO ENCONTRADO"",
LET(
valor,INDEX(Referencia!$A$2:$AZ6238,fila,col),
IF(TRIM(TO_TEXT(valor))=TRIM(TO_TEXT(I882)),
""OK"&amp;""",
""NO COINCIDE. Valor verdadero: ""&amp;IF(valor="""",""[VACÍO]"",TO_TEXT(valor))
)
))))
),""ERROR EN FÓRMULA""))"),"NO COINCIDE. Valor verdadero: 270 x 440 60")</f>
        <v>NO COINCIDE. Valor verdadero: 270 x 440 60</v>
      </c>
    </row>
    <row r="883">
      <c r="A883" s="83" t="s">
        <v>4078</v>
      </c>
      <c r="B883" s="83" t="s">
        <v>4079</v>
      </c>
      <c r="C883" s="81" t="s">
        <v>4086</v>
      </c>
      <c r="D883" s="83" t="s">
        <v>4584</v>
      </c>
      <c r="E883" s="81" t="s">
        <v>2749</v>
      </c>
      <c r="F883" s="84">
        <v>533.0</v>
      </c>
      <c r="G883" s="81" t="s">
        <v>44</v>
      </c>
      <c r="H883" s="81" t="s">
        <v>4339</v>
      </c>
      <c r="I883" s="81" t="s">
        <v>1401</v>
      </c>
      <c r="J883" s="81" t="s">
        <v>4088</v>
      </c>
      <c r="K883" s="81" t="str">
        <f>IFERROR(__xludf.DUMMYFUNCTION("IF(OR(D883="""",G883=""""),"""",IFERROR(LET(
campo,XLOOKUP(TRIM(G883),ARRAYFORMULA(TRIM('indice columnas'!$A$2:$A$100)),'indice columnas'!$B$2:$B$100,""""),
col,IFERROR(MATCH(campo,Referencia!$A$1:$AZ$1,0),0),
fila,IFERROR(MATCH(TO_TEXT(D883),ARRAYFORMULA"&amp;"(TO_TEXT(Referencia!$A$2:$A6238)),0),0),
IF(OR(campo="""",campo=""-""),""NO APLICA"",
IF(col=0,""REVISAR EQUIVALENCIA"",
IF(fila=0,""SKU NO ENCONTRADO"",
LET(
valor,INDEX(Referencia!$A$2:$AZ6238,fila,col),
IF(TRIM(TO_TEXT(valor))=TRIM(TO_TEXT(I883)),
""OK"&amp;""",
""NO COINCIDE. Valor verdadero: ""&amp;IF(valor="""",""[VACÍO]"",TO_TEXT(valor))
)
))))
),""ERROR EN FÓRMULA""))"),"NO APLICA")</f>
        <v>NO APLICA</v>
      </c>
    </row>
    <row r="884">
      <c r="A884" s="83" t="s">
        <v>4078</v>
      </c>
      <c r="B884" s="83" t="s">
        <v>4079</v>
      </c>
      <c r="C884" s="81" t="s">
        <v>4086</v>
      </c>
      <c r="D884" s="83" t="s">
        <v>4585</v>
      </c>
      <c r="E884" s="81" t="s">
        <v>2752</v>
      </c>
      <c r="F884" s="84">
        <v>534.0</v>
      </c>
      <c r="G884" s="81" t="s">
        <v>44</v>
      </c>
      <c r="H884" s="81" t="s">
        <v>4339</v>
      </c>
      <c r="I884" s="81" t="s">
        <v>1401</v>
      </c>
      <c r="J884" s="81" t="s">
        <v>4088</v>
      </c>
      <c r="K884" s="81" t="str">
        <f>IFERROR(__xludf.DUMMYFUNCTION("IF(OR(D884="""",G884=""""),"""",IFERROR(LET(
campo,XLOOKUP(TRIM(G884),ARRAYFORMULA(TRIM('indice columnas'!$A$2:$A$100)),'indice columnas'!$B$2:$B$100,""""),
col,IFERROR(MATCH(campo,Referencia!$A$1:$AZ$1,0),0),
fila,IFERROR(MATCH(TO_TEXT(D884),ARRAYFORMULA"&amp;"(TO_TEXT(Referencia!$A$2:$A6238)),0),0),
IF(OR(campo="""",campo=""-""),""NO APLICA"",
IF(col=0,""REVISAR EQUIVALENCIA"",
IF(fila=0,""SKU NO ENCONTRADO"",
LET(
valor,INDEX(Referencia!$A$2:$AZ6238,fila,col),
IF(TRIM(TO_TEXT(valor))=TRIM(TO_TEXT(I884)),
""OK"&amp;""",
""NO COINCIDE. Valor verdadero: ""&amp;IF(valor="""",""[VACÍO]"",TO_TEXT(valor))
)
))))
),""ERROR EN FÓRMULA""))"),"NO APLICA")</f>
        <v>NO APLICA</v>
      </c>
    </row>
    <row r="885">
      <c r="A885" s="83" t="s">
        <v>4078</v>
      </c>
      <c r="B885" s="83" t="s">
        <v>4079</v>
      </c>
      <c r="C885" s="81" t="s">
        <v>4086</v>
      </c>
      <c r="D885" s="83" t="s">
        <v>4585</v>
      </c>
      <c r="E885" s="81" t="s">
        <v>2761</v>
      </c>
      <c r="F885" s="84">
        <v>535.0</v>
      </c>
      <c r="G885" s="81" t="s">
        <v>17</v>
      </c>
      <c r="H885" s="83" t="s">
        <v>4571</v>
      </c>
      <c r="I885" s="83" t="s">
        <v>2762</v>
      </c>
      <c r="J885" s="81" t="s">
        <v>224</v>
      </c>
      <c r="K885" s="81" t="str">
        <f>IFERROR(__xludf.DUMMYFUNCTION("IF(OR(D885="""",G885=""""),"""",IFERROR(LET(
campo,XLOOKUP(TRIM(G885),ARRAYFORMULA(TRIM('indice columnas'!$A$2:$A$100)),'indice columnas'!$B$2:$B$100,""""),
col,IFERROR(MATCH(campo,Referencia!$A$1:$AZ$1,0),0),
fila,IFERROR(MATCH(TO_TEXT(D885),ARRAYFORMULA"&amp;"(TO_TEXT(Referencia!$A$2:$A6238)),0),0),
IF(OR(campo="""",campo=""-""),""NO APLICA"",
IF(col=0,""REVISAR EQUIVALENCIA"",
IF(fila=0,""SKU NO ENCONTRADO"",
LET(
valor,INDEX(Referencia!$A$2:$AZ6238,fila,col),
IF(TRIM(TO_TEXT(valor))=TRIM(TO_TEXT(I885)),
""OK"&amp;""",
""NO COINCIDE. Valor verdadero: ""&amp;IF(valor="""",""[VACÍO]"",TO_TEXT(valor))
)
))))
),""ERROR EN FÓRMULA""))"),"OK")</f>
        <v>OK</v>
      </c>
    </row>
    <row r="886">
      <c r="A886" s="83" t="s">
        <v>4078</v>
      </c>
      <c r="B886" s="83" t="s">
        <v>4079</v>
      </c>
      <c r="C886" s="81" t="s">
        <v>4086</v>
      </c>
      <c r="D886" s="83" t="s">
        <v>4585</v>
      </c>
      <c r="E886" s="81" t="s">
        <v>2761</v>
      </c>
      <c r="F886" s="84">
        <v>535.0</v>
      </c>
      <c r="G886" s="81" t="s">
        <v>44</v>
      </c>
      <c r="H886" s="81" t="s">
        <v>4339</v>
      </c>
      <c r="I886" s="81" t="s">
        <v>1401</v>
      </c>
      <c r="J886" s="81" t="s">
        <v>4088</v>
      </c>
      <c r="K886" s="81" t="str">
        <f>IFERROR(__xludf.DUMMYFUNCTION("IF(OR(D886="""",G886=""""),"""",IFERROR(LET(
campo,XLOOKUP(TRIM(G886),ARRAYFORMULA(TRIM('indice columnas'!$A$2:$A$100)),'indice columnas'!$B$2:$B$100,""""),
col,IFERROR(MATCH(campo,Referencia!$A$1:$AZ$1,0),0),
fila,IFERROR(MATCH(TO_TEXT(D886),ARRAYFORMULA"&amp;"(TO_TEXT(Referencia!$A$2:$A6238)),0),0),
IF(OR(campo="""",campo=""-""),""NO APLICA"",
IF(col=0,""REVISAR EQUIVALENCIA"",
IF(fila=0,""SKU NO ENCONTRADO"",
LET(
valor,INDEX(Referencia!$A$2:$AZ6238,fila,col),
IF(TRIM(TO_TEXT(valor))=TRIM(TO_TEXT(I886)),
""OK"&amp;""",
""NO COINCIDE. Valor verdadero: ""&amp;IF(valor="""",""[VACÍO]"",TO_TEXT(valor))
)
))))
),""ERROR EN FÓRMULA""))"),"NO APLICA")</f>
        <v>NO APLICA</v>
      </c>
    </row>
    <row r="887">
      <c r="A887" s="83" t="s">
        <v>4078</v>
      </c>
      <c r="B887" s="83" t="s">
        <v>4079</v>
      </c>
      <c r="C887" s="81" t="s">
        <v>4086</v>
      </c>
      <c r="D887" s="83" t="s">
        <v>4586</v>
      </c>
      <c r="E887" s="81" t="s">
        <v>2763</v>
      </c>
      <c r="F887" s="84">
        <v>536.0</v>
      </c>
      <c r="G887" s="81" t="s">
        <v>17</v>
      </c>
      <c r="H887" s="83" t="s">
        <v>4571</v>
      </c>
      <c r="I887" s="83" t="s">
        <v>2762</v>
      </c>
      <c r="J887" s="81" t="s">
        <v>224</v>
      </c>
      <c r="K887" s="81" t="str">
        <f>IFERROR(__xludf.DUMMYFUNCTION("IF(OR(D887="""",G887=""""),"""",IFERROR(LET(
campo,XLOOKUP(TRIM(G887),ARRAYFORMULA(TRIM('indice columnas'!$A$2:$A$100)),'indice columnas'!$B$2:$B$100,""""),
col,IFERROR(MATCH(campo,Referencia!$A$1:$AZ$1,0),0),
fila,IFERROR(MATCH(TO_TEXT(D887),ARRAYFORMULA"&amp;"(TO_TEXT(Referencia!$A$2:$A6238)),0),0),
IF(OR(campo="""",campo=""-""),""NO APLICA"",
IF(col=0,""REVISAR EQUIVALENCIA"",
IF(fila=0,""SKU NO ENCONTRADO"",
LET(
valor,INDEX(Referencia!$A$2:$AZ6238,fila,col),
IF(TRIM(TO_TEXT(valor))=TRIM(TO_TEXT(I887)),
""OK"&amp;""",
""NO COINCIDE. Valor verdadero: ""&amp;IF(valor="""",""[VACÍO]"",TO_TEXT(valor))
)
))))
),""ERROR EN FÓRMULA""))"),"OK")</f>
        <v>OK</v>
      </c>
    </row>
    <row r="888">
      <c r="A888" s="83" t="s">
        <v>4078</v>
      </c>
      <c r="B888" s="83" t="s">
        <v>4079</v>
      </c>
      <c r="C888" s="81" t="s">
        <v>4086</v>
      </c>
      <c r="D888" s="83" t="s">
        <v>4586</v>
      </c>
      <c r="E888" s="81" t="s">
        <v>2763</v>
      </c>
      <c r="F888" s="84">
        <v>536.0</v>
      </c>
      <c r="G888" s="81" t="s">
        <v>44</v>
      </c>
      <c r="H888" s="81" t="s">
        <v>4339</v>
      </c>
      <c r="I888" s="81" t="s">
        <v>1401</v>
      </c>
      <c r="J888" s="81" t="s">
        <v>4088</v>
      </c>
      <c r="K888" s="81" t="str">
        <f>IFERROR(__xludf.DUMMYFUNCTION("IF(OR(D888="""",G888=""""),"""",IFERROR(LET(
campo,XLOOKUP(TRIM(G888),ARRAYFORMULA(TRIM('indice columnas'!$A$2:$A$100)),'indice columnas'!$B$2:$B$100,""""),
col,IFERROR(MATCH(campo,Referencia!$A$1:$AZ$1,0),0),
fila,IFERROR(MATCH(TO_TEXT(D888),ARRAYFORMULA"&amp;"(TO_TEXT(Referencia!$A$2:$A6238)),0),0),
IF(OR(campo="""",campo=""-""),""NO APLICA"",
IF(col=0,""REVISAR EQUIVALENCIA"",
IF(fila=0,""SKU NO ENCONTRADO"",
LET(
valor,INDEX(Referencia!$A$2:$AZ6238,fila,col),
IF(TRIM(TO_TEXT(valor))=TRIM(TO_TEXT(I888)),
""OK"&amp;""",
""NO COINCIDE. Valor verdadero: ""&amp;IF(valor="""",""[VACÍO]"",TO_TEXT(valor))
)
))))
),""ERROR EN FÓRMULA""))"),"NO APLICA")</f>
        <v>NO APLICA</v>
      </c>
    </row>
    <row r="889">
      <c r="A889" s="83" t="s">
        <v>4078</v>
      </c>
      <c r="B889" s="83" t="s">
        <v>4079</v>
      </c>
      <c r="C889" s="81" t="s">
        <v>4086</v>
      </c>
      <c r="D889" s="83" t="s">
        <v>4587</v>
      </c>
      <c r="E889" s="81" t="s">
        <v>2766</v>
      </c>
      <c r="F889" s="84">
        <v>537.0</v>
      </c>
      <c r="G889" s="81" t="s">
        <v>44</v>
      </c>
      <c r="H889" s="81" t="s">
        <v>224</v>
      </c>
      <c r="I889" s="81" t="s">
        <v>2766</v>
      </c>
      <c r="J889" s="81" t="s">
        <v>4088</v>
      </c>
      <c r="K889" s="81" t="str">
        <f>IFERROR(__xludf.DUMMYFUNCTION("IF(OR(D889="""",G889=""""),"""",IFERROR(LET(
campo,XLOOKUP(TRIM(G889),ARRAYFORMULA(TRIM('indice columnas'!$A$2:$A$100)),'indice columnas'!$B$2:$B$100,""""),
col,IFERROR(MATCH(campo,Referencia!$A$1:$AZ$1,0),0),
fila,IFERROR(MATCH(TO_TEXT(D889),ARRAYFORMULA"&amp;"(TO_TEXT(Referencia!$A$2:$A6238)),0),0),
IF(OR(campo="""",campo=""-""),""NO APLICA"",
IF(col=0,""REVISAR EQUIVALENCIA"",
IF(fila=0,""SKU NO ENCONTRADO"",
LET(
valor,INDEX(Referencia!$A$2:$AZ6238,fila,col),
IF(TRIM(TO_TEXT(valor))=TRIM(TO_TEXT(I889)),
""OK"&amp;""",
""NO COINCIDE. Valor verdadero: ""&amp;IF(valor="""",""[VACÍO]"",TO_TEXT(valor))
)
))))
),""ERROR EN FÓRMULA""))"),"NO APLICA")</f>
        <v>NO APLICA</v>
      </c>
    </row>
    <row r="890">
      <c r="A890" s="83" t="s">
        <v>4078</v>
      </c>
      <c r="B890" s="83" t="s">
        <v>4079</v>
      </c>
      <c r="C890" s="81" t="s">
        <v>4086</v>
      </c>
      <c r="D890" s="83" t="s">
        <v>4587</v>
      </c>
      <c r="E890" s="81" t="s">
        <v>2778</v>
      </c>
      <c r="F890" s="84">
        <v>538.0</v>
      </c>
      <c r="G890" s="81" t="s">
        <v>44</v>
      </c>
      <c r="H890" s="81" t="s">
        <v>224</v>
      </c>
      <c r="I890" s="81" t="s">
        <v>2766</v>
      </c>
      <c r="J890" s="81" t="s">
        <v>4088</v>
      </c>
      <c r="K890" s="81" t="str">
        <f>IFERROR(__xludf.DUMMYFUNCTION("IF(OR(D890="""",G890=""""),"""",IFERROR(LET(
campo,XLOOKUP(TRIM(G890),ARRAYFORMULA(TRIM('indice columnas'!$A$2:$A$100)),'indice columnas'!$B$2:$B$100,""""),
col,IFERROR(MATCH(campo,Referencia!$A$1:$AZ$1,0),0),
fila,IFERROR(MATCH(TO_TEXT(D890),ARRAYFORMULA"&amp;"(TO_TEXT(Referencia!$A$2:$A6238)),0),0),
IF(OR(campo="""",campo=""-""),""NO APLICA"",
IF(col=0,""REVISAR EQUIVALENCIA"",
IF(fila=0,""SKU NO ENCONTRADO"",
LET(
valor,INDEX(Referencia!$A$2:$AZ6238,fila,col),
IF(TRIM(TO_TEXT(valor))=TRIM(TO_TEXT(I890)),
""OK"&amp;""",
""NO COINCIDE. Valor verdadero: ""&amp;IF(valor="""",""[VACÍO]"",TO_TEXT(valor))
)
))))
),""ERROR EN FÓRMULA""))"),"NO APLICA")</f>
        <v>NO APLICA</v>
      </c>
    </row>
    <row r="891">
      <c r="A891" s="83" t="s">
        <v>4078</v>
      </c>
      <c r="B891" s="83" t="s">
        <v>4079</v>
      </c>
      <c r="C891" s="81" t="s">
        <v>4086</v>
      </c>
      <c r="D891" s="83" t="s">
        <v>4588</v>
      </c>
      <c r="E891" s="81" t="s">
        <v>2779</v>
      </c>
      <c r="F891" s="84">
        <v>539.0</v>
      </c>
      <c r="G891" s="81" t="s">
        <v>44</v>
      </c>
      <c r="H891" s="81" t="s">
        <v>224</v>
      </c>
      <c r="I891" s="81" t="s">
        <v>2766</v>
      </c>
      <c r="J891" s="81" t="s">
        <v>4088</v>
      </c>
      <c r="K891" s="81" t="str">
        <f>IFERROR(__xludf.DUMMYFUNCTION("IF(OR(D891="""",G891=""""),"""",IFERROR(LET(
campo,XLOOKUP(TRIM(G891),ARRAYFORMULA(TRIM('indice columnas'!$A$2:$A$100)),'indice columnas'!$B$2:$B$100,""""),
col,IFERROR(MATCH(campo,Referencia!$A$1:$AZ$1,0),0),
fila,IFERROR(MATCH(TO_TEXT(D891),ARRAYFORMULA"&amp;"(TO_TEXT(Referencia!$A$2:$A6238)),0),0),
IF(OR(campo="""",campo=""-""),""NO APLICA"",
IF(col=0,""REVISAR EQUIVALENCIA"",
IF(fila=0,""SKU NO ENCONTRADO"",
LET(
valor,INDEX(Referencia!$A$2:$AZ6238,fila,col),
IF(TRIM(TO_TEXT(valor))=TRIM(TO_TEXT(I891)),
""OK"&amp;""",
""NO COINCIDE. Valor verdadero: ""&amp;IF(valor="""",""[VACÍO]"",TO_TEXT(valor))
)
))))
),""ERROR EN FÓRMULA""))"),"NO APLICA")</f>
        <v>NO APLICA</v>
      </c>
    </row>
    <row r="892">
      <c r="A892" s="83" t="s">
        <v>4078</v>
      </c>
      <c r="B892" s="83" t="s">
        <v>4079</v>
      </c>
      <c r="C892" s="81" t="s">
        <v>4086</v>
      </c>
      <c r="D892" s="83" t="s">
        <v>4589</v>
      </c>
      <c r="E892" s="81" t="s">
        <v>2782</v>
      </c>
      <c r="F892" s="84">
        <v>540.0</v>
      </c>
      <c r="G892" s="81" t="s">
        <v>44</v>
      </c>
      <c r="H892" s="81" t="s">
        <v>224</v>
      </c>
      <c r="I892" s="81" t="s">
        <v>2766</v>
      </c>
      <c r="J892" s="81" t="s">
        <v>4088</v>
      </c>
      <c r="K892" s="81" t="str">
        <f>IFERROR(__xludf.DUMMYFUNCTION("IF(OR(D892="""",G892=""""),"""",IFERROR(LET(
campo,XLOOKUP(TRIM(G892),ARRAYFORMULA(TRIM('indice columnas'!$A$2:$A$100)),'indice columnas'!$B$2:$B$100,""""),
col,IFERROR(MATCH(campo,Referencia!$A$1:$AZ$1,0),0),
fila,IFERROR(MATCH(TO_TEXT(D892),ARRAYFORMULA"&amp;"(TO_TEXT(Referencia!$A$2:$A6238)),0),0),
IF(OR(campo="""",campo=""-""),""NO APLICA"",
IF(col=0,""REVISAR EQUIVALENCIA"",
IF(fila=0,""SKU NO ENCONTRADO"",
LET(
valor,INDEX(Referencia!$A$2:$AZ6238,fila,col),
IF(TRIM(TO_TEXT(valor))=TRIM(TO_TEXT(I892)),
""OK"&amp;""",
""NO COINCIDE. Valor verdadero: ""&amp;IF(valor="""",""[VACÍO]"",TO_TEXT(valor))
)
))))
),""ERROR EN FÓRMULA""))"),"NO APLICA")</f>
        <v>NO APLICA</v>
      </c>
    </row>
    <row r="893">
      <c r="A893" s="83" t="s">
        <v>4078</v>
      </c>
      <c r="B893" s="83" t="s">
        <v>4079</v>
      </c>
      <c r="C893" s="81" t="s">
        <v>4086</v>
      </c>
      <c r="D893" s="83" t="s">
        <v>4590</v>
      </c>
      <c r="E893" s="81" t="s">
        <v>2792</v>
      </c>
      <c r="F893" s="84">
        <v>541.0</v>
      </c>
      <c r="G893" s="81" t="s">
        <v>44</v>
      </c>
      <c r="H893" s="81" t="s">
        <v>224</v>
      </c>
      <c r="I893" s="81" t="s">
        <v>2766</v>
      </c>
      <c r="J893" s="81" t="s">
        <v>4088</v>
      </c>
      <c r="K893" s="81" t="str">
        <f>IFERROR(__xludf.DUMMYFUNCTION("IF(OR(D893="""",G893=""""),"""",IFERROR(LET(
campo,XLOOKUP(TRIM(G893),ARRAYFORMULA(TRIM('indice columnas'!$A$2:$A$100)),'indice columnas'!$B$2:$B$100,""""),
col,IFERROR(MATCH(campo,Referencia!$A$1:$AZ$1,0),0),
fila,IFERROR(MATCH(TO_TEXT(D893),ARRAYFORMULA"&amp;"(TO_TEXT(Referencia!$A$2:$A6238)),0),0),
IF(OR(campo="""",campo=""-""),""NO APLICA"",
IF(col=0,""REVISAR EQUIVALENCIA"",
IF(fila=0,""SKU NO ENCONTRADO"",
LET(
valor,INDEX(Referencia!$A$2:$AZ6238,fila,col),
IF(TRIM(TO_TEXT(valor))=TRIM(TO_TEXT(I893)),
""OK"&amp;""",
""NO COINCIDE. Valor verdadero: ""&amp;IF(valor="""",""[VACÍO]"",TO_TEXT(valor))
)
))))
),""ERROR EN FÓRMULA""))"),"NO APLICA")</f>
        <v>NO APLICA</v>
      </c>
    </row>
    <row r="894">
      <c r="A894" s="83" t="s">
        <v>4078</v>
      </c>
      <c r="B894" s="83" t="s">
        <v>4079</v>
      </c>
      <c r="C894" s="81" t="s">
        <v>4086</v>
      </c>
      <c r="D894" s="83" t="s">
        <v>4591</v>
      </c>
      <c r="E894" s="81" t="s">
        <v>2795</v>
      </c>
      <c r="F894" s="84">
        <v>542.0</v>
      </c>
      <c r="G894" s="81" t="s">
        <v>29</v>
      </c>
      <c r="H894" s="81" t="s">
        <v>4592</v>
      </c>
      <c r="I894" s="81" t="s">
        <v>2798</v>
      </c>
      <c r="J894" s="81" t="s">
        <v>224</v>
      </c>
      <c r="K894" s="81" t="str">
        <f>IFERROR(__xludf.DUMMYFUNCTION("IF(OR(D894="""",G894=""""),"""",IFERROR(LET(
campo,XLOOKUP(TRIM(G894),ARRAYFORMULA(TRIM('indice columnas'!$A$2:$A$100)),'indice columnas'!$B$2:$B$100,""""),
col,IFERROR(MATCH(campo,Referencia!$A$1:$AZ$1,0),0),
fila,IFERROR(MATCH(TO_TEXT(D894),ARRAYFORMULA"&amp;"(TO_TEXT(Referencia!$A$2:$A6238)),0),0),
IF(OR(campo="""",campo=""-""),""NO APLICA"",
IF(col=0,""REVISAR EQUIVALENCIA"",
IF(fila=0,""SKU NO ENCONTRADO"",
LET(
valor,INDEX(Referencia!$A$2:$AZ6238,fila,col),
IF(TRIM(TO_TEXT(valor))=TRIM(TO_TEXT(I894)),
""OK"&amp;""",
""NO COINCIDE. Valor verdadero: ""&amp;IF(valor="""",""[VACÍO]"",TO_TEXT(valor))
)
))))
),""ERROR EN FÓRMULA""))"),"NO COINCIDE. Valor verdadero: Ø210 X 50")</f>
        <v>NO COINCIDE. Valor verdadero: Ø210 X 50</v>
      </c>
    </row>
    <row r="895">
      <c r="A895" s="83" t="s">
        <v>4078</v>
      </c>
      <c r="B895" s="83" t="s">
        <v>4079</v>
      </c>
      <c r="C895" s="81" t="s">
        <v>4086</v>
      </c>
      <c r="D895" s="83" t="s">
        <v>4591</v>
      </c>
      <c r="E895" s="81" t="s">
        <v>2795</v>
      </c>
      <c r="F895" s="84">
        <v>542.0</v>
      </c>
      <c r="G895" s="81" t="s">
        <v>44</v>
      </c>
      <c r="H895" s="81" t="s">
        <v>4293</v>
      </c>
      <c r="I895" s="81" t="s">
        <v>1191</v>
      </c>
      <c r="J895" s="81" t="s">
        <v>4088</v>
      </c>
      <c r="K895" s="81" t="str">
        <f>IFERROR(__xludf.DUMMYFUNCTION("IF(OR(D895="""",G895=""""),"""",IFERROR(LET(
campo,XLOOKUP(TRIM(G895),ARRAYFORMULA(TRIM('indice columnas'!$A$2:$A$100)),'indice columnas'!$B$2:$B$100,""""),
col,IFERROR(MATCH(campo,Referencia!$A$1:$AZ$1,0),0),
fila,IFERROR(MATCH(TO_TEXT(D895),ARRAYFORMULA"&amp;"(TO_TEXT(Referencia!$A$2:$A6238)),0),0),
IF(OR(campo="""",campo=""-""),""NO APLICA"",
IF(col=0,""REVISAR EQUIVALENCIA"",
IF(fila=0,""SKU NO ENCONTRADO"",
LET(
valor,INDEX(Referencia!$A$2:$AZ6238,fila,col),
IF(TRIM(TO_TEXT(valor))=TRIM(TO_TEXT(I895)),
""OK"&amp;""",
""NO COINCIDE. Valor verdadero: ""&amp;IF(valor="""",""[VACÍO]"",TO_TEXT(valor))
)
))))
),""ERROR EN FÓRMULA""))"),"NO APLICA")</f>
        <v>NO APLICA</v>
      </c>
    </row>
    <row r="896">
      <c r="A896" s="83" t="s">
        <v>4078</v>
      </c>
      <c r="B896" s="83" t="s">
        <v>4079</v>
      </c>
      <c r="C896" s="81" t="s">
        <v>4086</v>
      </c>
      <c r="D896" s="83" t="s">
        <v>4593</v>
      </c>
      <c r="E896" s="81" t="s">
        <v>2805</v>
      </c>
      <c r="F896" s="84">
        <v>543.0</v>
      </c>
      <c r="G896" s="81" t="s">
        <v>29</v>
      </c>
      <c r="H896" s="81" t="s">
        <v>4594</v>
      </c>
      <c r="I896" s="81" t="s">
        <v>2808</v>
      </c>
      <c r="J896" s="81" t="s">
        <v>224</v>
      </c>
      <c r="K896" s="81" t="str">
        <f>IFERROR(__xludf.DUMMYFUNCTION("IF(OR(D896="""",G896=""""),"""",IFERROR(LET(
campo,XLOOKUP(TRIM(G896),ARRAYFORMULA(TRIM('indice columnas'!$A$2:$A$100)),'indice columnas'!$B$2:$B$100,""""),
col,IFERROR(MATCH(campo,Referencia!$A$1:$AZ$1,0),0),
fila,IFERROR(MATCH(TO_TEXT(D896),ARRAYFORMULA"&amp;"(TO_TEXT(Referencia!$A$2:$A6238)),0),0),
IF(OR(campo="""",campo=""-""),""NO APLICA"",
IF(col=0,""REVISAR EQUIVALENCIA"",
IF(fila=0,""SKU NO ENCONTRADO"",
LET(
valor,INDEX(Referencia!$A$2:$AZ6238,fila,col),
IF(TRIM(TO_TEXT(valor))=TRIM(TO_TEXT(I896)),
""OK"&amp;""",
""NO COINCIDE. Valor verdadero: ""&amp;IF(valor="""",""[VACÍO]"",TO_TEXT(valor))
)
))))
),""ERROR EN FÓRMULA""))"),"NO COINCIDE. Valor verdadero: Ø330 X 55")</f>
        <v>NO COINCIDE. Valor verdadero: Ø330 X 55</v>
      </c>
    </row>
    <row r="897">
      <c r="A897" s="83" t="s">
        <v>4078</v>
      </c>
      <c r="B897" s="83" t="s">
        <v>4079</v>
      </c>
      <c r="C897" s="81" t="s">
        <v>4086</v>
      </c>
      <c r="D897" s="83" t="s">
        <v>4593</v>
      </c>
      <c r="E897" s="81" t="s">
        <v>2805</v>
      </c>
      <c r="F897" s="84">
        <v>543.0</v>
      </c>
      <c r="G897" s="81" t="s">
        <v>44</v>
      </c>
      <c r="H897" s="81" t="s">
        <v>4293</v>
      </c>
      <c r="I897" s="81" t="s">
        <v>1191</v>
      </c>
      <c r="J897" s="81" t="s">
        <v>4088</v>
      </c>
      <c r="K897" s="81" t="str">
        <f>IFERROR(__xludf.DUMMYFUNCTION("IF(OR(D897="""",G897=""""),"""",IFERROR(LET(
campo,XLOOKUP(TRIM(G897),ARRAYFORMULA(TRIM('indice columnas'!$A$2:$A$100)),'indice columnas'!$B$2:$B$100,""""),
col,IFERROR(MATCH(campo,Referencia!$A$1:$AZ$1,0),0),
fila,IFERROR(MATCH(TO_TEXT(D897),ARRAYFORMULA"&amp;"(TO_TEXT(Referencia!$A$2:$A6238)),0),0),
IF(OR(campo="""",campo=""-""),""NO APLICA"",
IF(col=0,""REVISAR EQUIVALENCIA"",
IF(fila=0,""SKU NO ENCONTRADO"",
LET(
valor,INDEX(Referencia!$A$2:$AZ6238,fila,col),
IF(TRIM(TO_TEXT(valor))=TRIM(TO_TEXT(I897)),
""OK"&amp;""",
""NO COINCIDE. Valor verdadero: ""&amp;IF(valor="""",""[VACÍO]"",TO_TEXT(valor))
)
))))
),""ERROR EN FÓRMULA""))"),"NO APLICA")</f>
        <v>NO APLICA</v>
      </c>
    </row>
    <row r="898">
      <c r="A898" s="83" t="s">
        <v>4078</v>
      </c>
      <c r="B898" s="83" t="s">
        <v>4079</v>
      </c>
      <c r="C898" s="81" t="s">
        <v>4086</v>
      </c>
      <c r="D898" s="83" t="s">
        <v>4595</v>
      </c>
      <c r="E898" s="81" t="s">
        <v>2814</v>
      </c>
      <c r="F898" s="84">
        <v>544.0</v>
      </c>
      <c r="G898" s="81" t="s">
        <v>44</v>
      </c>
      <c r="H898" s="81" t="s">
        <v>224</v>
      </c>
      <c r="I898" s="81" t="s">
        <v>2814</v>
      </c>
      <c r="J898" s="81" t="s">
        <v>4088</v>
      </c>
      <c r="K898" s="81" t="str">
        <f>IFERROR(__xludf.DUMMYFUNCTION("IF(OR(D898="""",G898=""""),"""",IFERROR(LET(
campo,XLOOKUP(TRIM(G898),ARRAYFORMULA(TRIM('indice columnas'!$A$2:$A$100)),'indice columnas'!$B$2:$B$100,""""),
col,IFERROR(MATCH(campo,Referencia!$A$1:$AZ$1,0),0),
fila,IFERROR(MATCH(TO_TEXT(D898),ARRAYFORMULA"&amp;"(TO_TEXT(Referencia!$A$2:$A6238)),0),0),
IF(OR(campo="""",campo=""-""),""NO APLICA"",
IF(col=0,""REVISAR EQUIVALENCIA"",
IF(fila=0,""SKU NO ENCONTRADO"",
LET(
valor,INDEX(Referencia!$A$2:$AZ6238,fila,col),
IF(TRIM(TO_TEXT(valor))=TRIM(TO_TEXT(I898)),
""OK"&amp;""",
""NO COINCIDE. Valor verdadero: ""&amp;IF(valor="""",""[VACÍO]"",TO_TEXT(valor))
)
))))
),""ERROR EN FÓRMULA""))"),"NO APLICA")</f>
        <v>NO APLICA</v>
      </c>
    </row>
    <row r="899">
      <c r="A899" s="83" t="s">
        <v>4078</v>
      </c>
      <c r="B899" s="83" t="s">
        <v>4079</v>
      </c>
      <c r="C899" s="81" t="s">
        <v>4086</v>
      </c>
      <c r="D899" s="83" t="s">
        <v>4595</v>
      </c>
      <c r="E899" s="81" t="s">
        <v>2827</v>
      </c>
      <c r="F899" s="84">
        <v>545.0</v>
      </c>
      <c r="G899" s="81" t="s">
        <v>44</v>
      </c>
      <c r="H899" s="81" t="s">
        <v>224</v>
      </c>
      <c r="I899" s="81" t="s">
        <v>2814</v>
      </c>
      <c r="J899" s="81" t="s">
        <v>4088</v>
      </c>
      <c r="K899" s="81" t="str">
        <f>IFERROR(__xludf.DUMMYFUNCTION("IF(OR(D899="""",G899=""""),"""",IFERROR(LET(
campo,XLOOKUP(TRIM(G899),ARRAYFORMULA(TRIM('indice columnas'!$A$2:$A$100)),'indice columnas'!$B$2:$B$100,""""),
col,IFERROR(MATCH(campo,Referencia!$A$1:$AZ$1,0),0),
fila,IFERROR(MATCH(TO_TEXT(D899),ARRAYFORMULA"&amp;"(TO_TEXT(Referencia!$A$2:$A6238)),0),0),
IF(OR(campo="""",campo=""-""),""NO APLICA"",
IF(col=0,""REVISAR EQUIVALENCIA"",
IF(fila=0,""SKU NO ENCONTRADO"",
LET(
valor,INDEX(Referencia!$A$2:$AZ6238,fila,col),
IF(TRIM(TO_TEXT(valor))=TRIM(TO_TEXT(I899)),
""OK"&amp;""",
""NO COINCIDE. Valor verdadero: ""&amp;IF(valor="""",""[VACÍO]"",TO_TEXT(valor))
)
))))
),""ERROR EN FÓRMULA""))"),"NO APLICA")</f>
        <v>NO APLICA</v>
      </c>
    </row>
    <row r="900">
      <c r="A900" s="83" t="s">
        <v>4078</v>
      </c>
      <c r="B900" s="83" t="s">
        <v>4079</v>
      </c>
      <c r="C900" s="81" t="s">
        <v>4086</v>
      </c>
      <c r="D900" s="83" t="s">
        <v>4596</v>
      </c>
      <c r="E900" s="81" t="s">
        <v>2828</v>
      </c>
      <c r="F900" s="84">
        <v>546.0</v>
      </c>
      <c r="G900" s="81" t="s">
        <v>44</v>
      </c>
      <c r="H900" s="81" t="s">
        <v>224</v>
      </c>
      <c r="I900" s="81" t="s">
        <v>2814</v>
      </c>
      <c r="J900" s="81" t="s">
        <v>4088</v>
      </c>
      <c r="K900" s="81" t="str">
        <f>IFERROR(__xludf.DUMMYFUNCTION("IF(OR(D900="""",G900=""""),"""",IFERROR(LET(
campo,XLOOKUP(TRIM(G900),ARRAYFORMULA(TRIM('indice columnas'!$A$2:$A$100)),'indice columnas'!$B$2:$B$100,""""),
col,IFERROR(MATCH(campo,Referencia!$A$1:$AZ$1,0),0),
fila,IFERROR(MATCH(TO_TEXT(D900),ARRAYFORMULA"&amp;"(TO_TEXT(Referencia!$A$2:$A6238)),0),0),
IF(OR(campo="""",campo=""-""),""NO APLICA"",
IF(col=0,""REVISAR EQUIVALENCIA"",
IF(fila=0,""SKU NO ENCONTRADO"",
LET(
valor,INDEX(Referencia!$A$2:$AZ6238,fila,col),
IF(TRIM(TO_TEXT(valor))=TRIM(TO_TEXT(I900)),
""OK"&amp;""",
""NO COINCIDE. Valor verdadero: ""&amp;IF(valor="""",""[VACÍO]"",TO_TEXT(valor))
)
))))
),""ERROR EN FÓRMULA""))"),"NO APLICA")</f>
        <v>NO APLICA</v>
      </c>
    </row>
    <row r="901">
      <c r="A901" s="83" t="s">
        <v>4078</v>
      </c>
      <c r="B901" s="83" t="s">
        <v>4079</v>
      </c>
      <c r="C901" s="81" t="s">
        <v>4086</v>
      </c>
      <c r="D901" s="83" t="s">
        <v>4597</v>
      </c>
      <c r="E901" s="81" t="s">
        <v>2837</v>
      </c>
      <c r="F901" s="84">
        <v>547.0</v>
      </c>
      <c r="G901" s="81" t="s">
        <v>44</v>
      </c>
      <c r="H901" s="81" t="s">
        <v>224</v>
      </c>
      <c r="I901" s="81" t="s">
        <v>2837</v>
      </c>
      <c r="J901" s="81" t="s">
        <v>4088</v>
      </c>
      <c r="K901" s="81" t="str">
        <f>IFERROR(__xludf.DUMMYFUNCTION("IF(OR(D901="""",G901=""""),"""",IFERROR(LET(
campo,XLOOKUP(TRIM(G901),ARRAYFORMULA(TRIM('indice columnas'!$A$2:$A$100)),'indice columnas'!$B$2:$B$100,""""),
col,IFERROR(MATCH(campo,Referencia!$A$1:$AZ$1,0),0),
fila,IFERROR(MATCH(TO_TEXT(D901),ARRAYFORMULA"&amp;"(TO_TEXT(Referencia!$A$2:$A6238)),0),0),
IF(OR(campo="""",campo=""-""),""NO APLICA"",
IF(col=0,""REVISAR EQUIVALENCIA"",
IF(fila=0,""SKU NO ENCONTRADO"",
LET(
valor,INDEX(Referencia!$A$2:$AZ6238,fila,col),
IF(TRIM(TO_TEXT(valor))=TRIM(TO_TEXT(I901)),
""OK"&amp;""",
""NO COINCIDE. Valor verdadero: ""&amp;IF(valor="""",""[VACÍO]"",TO_TEXT(valor))
)
))))
),""ERROR EN FÓRMULA""))"),"NO APLICA")</f>
        <v>NO APLICA</v>
      </c>
    </row>
    <row r="902">
      <c r="A902" s="83" t="s">
        <v>4078</v>
      </c>
      <c r="B902" s="83" t="s">
        <v>4079</v>
      </c>
      <c r="C902" s="81" t="s">
        <v>4086</v>
      </c>
      <c r="D902" s="83" t="s">
        <v>4597</v>
      </c>
      <c r="E902" s="81" t="s">
        <v>2847</v>
      </c>
      <c r="F902" s="84">
        <v>548.0</v>
      </c>
      <c r="G902" s="81" t="s">
        <v>44</v>
      </c>
      <c r="H902" s="81" t="s">
        <v>224</v>
      </c>
      <c r="I902" s="81" t="s">
        <v>2837</v>
      </c>
      <c r="J902" s="81" t="s">
        <v>4088</v>
      </c>
      <c r="K902" s="81" t="str">
        <f>IFERROR(__xludf.DUMMYFUNCTION("IF(OR(D902="""",G902=""""),"""",IFERROR(LET(
campo,XLOOKUP(TRIM(G902),ARRAYFORMULA(TRIM('indice columnas'!$A$2:$A$100)),'indice columnas'!$B$2:$B$100,""""),
col,IFERROR(MATCH(campo,Referencia!$A$1:$AZ$1,0),0),
fila,IFERROR(MATCH(TO_TEXT(D902),ARRAYFORMULA"&amp;"(TO_TEXT(Referencia!$A$2:$A6238)),0),0),
IF(OR(campo="""",campo=""-""),""NO APLICA"",
IF(col=0,""REVISAR EQUIVALENCIA"",
IF(fila=0,""SKU NO ENCONTRADO"",
LET(
valor,INDEX(Referencia!$A$2:$AZ6238,fila,col),
IF(TRIM(TO_TEXT(valor))=TRIM(TO_TEXT(I902)),
""OK"&amp;""",
""NO COINCIDE. Valor verdadero: ""&amp;IF(valor="""",""[VACÍO]"",TO_TEXT(valor))
)
))))
),""ERROR EN FÓRMULA""))"),"NO APLICA")</f>
        <v>NO APLICA</v>
      </c>
    </row>
    <row r="903">
      <c r="A903" s="83" t="s">
        <v>4078</v>
      </c>
      <c r="B903" s="83" t="s">
        <v>4079</v>
      </c>
      <c r="C903" s="81" t="s">
        <v>4086</v>
      </c>
      <c r="D903" s="83" t="s">
        <v>4598</v>
      </c>
      <c r="E903" s="81" t="s">
        <v>2848</v>
      </c>
      <c r="F903" s="84">
        <v>549.0</v>
      </c>
      <c r="G903" s="81" t="s">
        <v>44</v>
      </c>
      <c r="H903" s="81" t="s">
        <v>224</v>
      </c>
      <c r="I903" s="81" t="s">
        <v>2837</v>
      </c>
      <c r="J903" s="81" t="s">
        <v>4088</v>
      </c>
      <c r="K903" s="81" t="str">
        <f>IFERROR(__xludf.DUMMYFUNCTION("IF(OR(D903="""",G903=""""),"""",IFERROR(LET(
campo,XLOOKUP(TRIM(G903),ARRAYFORMULA(TRIM('indice columnas'!$A$2:$A$100)),'indice columnas'!$B$2:$B$100,""""),
col,IFERROR(MATCH(campo,Referencia!$A$1:$AZ$1,0),0),
fila,IFERROR(MATCH(TO_TEXT(D903),ARRAYFORMULA"&amp;"(TO_TEXT(Referencia!$A$2:$A6238)),0),0),
IF(OR(campo="""",campo=""-""),""NO APLICA"",
IF(col=0,""REVISAR EQUIVALENCIA"",
IF(fila=0,""SKU NO ENCONTRADO"",
LET(
valor,INDEX(Referencia!$A$2:$AZ6238,fila,col),
IF(TRIM(TO_TEXT(valor))=TRIM(TO_TEXT(I903)),
""OK"&amp;""",
""NO COINCIDE. Valor verdadero: ""&amp;IF(valor="""",""[VACÍO]"",TO_TEXT(valor))
)
))))
),""ERROR EN FÓRMULA""))"),"NO APLICA")</f>
        <v>NO APLICA</v>
      </c>
    </row>
    <row r="904">
      <c r="A904" s="83" t="s">
        <v>4078</v>
      </c>
      <c r="B904" s="83" t="s">
        <v>4079</v>
      </c>
      <c r="C904" s="81" t="s">
        <v>4086</v>
      </c>
      <c r="D904" s="83" t="s">
        <v>4599</v>
      </c>
      <c r="E904" s="81" t="s">
        <v>2857</v>
      </c>
      <c r="F904" s="84">
        <v>550.0</v>
      </c>
      <c r="G904" s="81" t="s">
        <v>44</v>
      </c>
      <c r="H904" s="81" t="s">
        <v>224</v>
      </c>
      <c r="I904" s="81" t="s">
        <v>2857</v>
      </c>
      <c r="J904" s="81" t="s">
        <v>4088</v>
      </c>
      <c r="K904" s="81" t="str">
        <f>IFERROR(__xludf.DUMMYFUNCTION("IF(OR(D904="""",G904=""""),"""",IFERROR(LET(
campo,XLOOKUP(TRIM(G904),ARRAYFORMULA(TRIM('indice columnas'!$A$2:$A$100)),'indice columnas'!$B$2:$B$100,""""),
col,IFERROR(MATCH(campo,Referencia!$A$1:$AZ$1,0),0),
fila,IFERROR(MATCH(TO_TEXT(D904),ARRAYFORMULA"&amp;"(TO_TEXT(Referencia!$A$2:$A6238)),0),0),
IF(OR(campo="""",campo=""-""),""NO APLICA"",
IF(col=0,""REVISAR EQUIVALENCIA"",
IF(fila=0,""SKU NO ENCONTRADO"",
LET(
valor,INDEX(Referencia!$A$2:$AZ6238,fila,col),
IF(TRIM(TO_TEXT(valor))=TRIM(TO_TEXT(I904)),
""OK"&amp;""",
""NO COINCIDE. Valor verdadero: ""&amp;IF(valor="""",""[VACÍO]"",TO_TEXT(valor))
)
))))
),""ERROR EN FÓRMULA""))"),"NO APLICA")</f>
        <v>NO APLICA</v>
      </c>
    </row>
    <row r="905">
      <c r="A905" s="83" t="s">
        <v>4078</v>
      </c>
      <c r="B905" s="83" t="s">
        <v>4079</v>
      </c>
      <c r="C905" s="81" t="s">
        <v>4086</v>
      </c>
      <c r="D905" s="83" t="s">
        <v>4599</v>
      </c>
      <c r="E905" s="81" t="s">
        <v>2869</v>
      </c>
      <c r="F905" s="84">
        <v>551.0</v>
      </c>
      <c r="G905" s="81" t="s">
        <v>44</v>
      </c>
      <c r="H905" s="81" t="s">
        <v>224</v>
      </c>
      <c r="I905" s="81" t="s">
        <v>2857</v>
      </c>
      <c r="J905" s="81" t="s">
        <v>4088</v>
      </c>
      <c r="K905" s="81" t="str">
        <f>IFERROR(__xludf.DUMMYFUNCTION("IF(OR(D905="""",G905=""""),"""",IFERROR(LET(
campo,XLOOKUP(TRIM(G905),ARRAYFORMULA(TRIM('indice columnas'!$A$2:$A$100)),'indice columnas'!$B$2:$B$100,""""),
col,IFERROR(MATCH(campo,Referencia!$A$1:$AZ$1,0),0),
fila,IFERROR(MATCH(TO_TEXT(D905),ARRAYFORMULA"&amp;"(TO_TEXT(Referencia!$A$2:$A6238)),0),0),
IF(OR(campo="""",campo=""-""),""NO APLICA"",
IF(col=0,""REVISAR EQUIVALENCIA"",
IF(fila=0,""SKU NO ENCONTRADO"",
LET(
valor,INDEX(Referencia!$A$2:$AZ6238,fila,col),
IF(TRIM(TO_TEXT(valor))=TRIM(TO_TEXT(I905)),
""OK"&amp;""",
""NO COINCIDE. Valor verdadero: ""&amp;IF(valor="""",""[VACÍO]"",TO_TEXT(valor))
)
))))
),""ERROR EN FÓRMULA""))"),"NO APLICA")</f>
        <v>NO APLICA</v>
      </c>
    </row>
    <row r="906">
      <c r="A906" s="83" t="s">
        <v>4078</v>
      </c>
      <c r="B906" s="83" t="s">
        <v>4079</v>
      </c>
      <c r="C906" s="81" t="s">
        <v>4086</v>
      </c>
      <c r="D906" s="83" t="s">
        <v>4600</v>
      </c>
      <c r="E906" s="81" t="s">
        <v>2870</v>
      </c>
      <c r="F906" s="84">
        <v>552.0</v>
      </c>
      <c r="G906" s="81" t="s">
        <v>44</v>
      </c>
      <c r="H906" s="81" t="s">
        <v>224</v>
      </c>
      <c r="I906" s="81" t="s">
        <v>2857</v>
      </c>
      <c r="J906" s="81" t="s">
        <v>4088</v>
      </c>
      <c r="K906" s="81" t="str">
        <f>IFERROR(__xludf.DUMMYFUNCTION("IF(OR(D906="""",G906=""""),"""",IFERROR(LET(
campo,XLOOKUP(TRIM(G906),ARRAYFORMULA(TRIM('indice columnas'!$A$2:$A$100)),'indice columnas'!$B$2:$B$100,""""),
col,IFERROR(MATCH(campo,Referencia!$A$1:$AZ$1,0),0),
fila,IFERROR(MATCH(TO_TEXT(D906),ARRAYFORMULA"&amp;"(TO_TEXT(Referencia!$A$2:$A6238)),0),0),
IF(OR(campo="""",campo=""-""),""NO APLICA"",
IF(col=0,""REVISAR EQUIVALENCIA"",
IF(fila=0,""SKU NO ENCONTRADO"",
LET(
valor,INDEX(Referencia!$A$2:$AZ6238,fila,col),
IF(TRIM(TO_TEXT(valor))=TRIM(TO_TEXT(I906)),
""OK"&amp;""",
""NO COINCIDE. Valor verdadero: ""&amp;IF(valor="""",""[VACÍO]"",TO_TEXT(valor))
)
))))
),""ERROR EN FÓRMULA""))"),"NO APLICA")</f>
        <v>NO APLICA</v>
      </c>
    </row>
    <row r="907">
      <c r="A907" s="83" t="s">
        <v>4078</v>
      </c>
      <c r="B907" s="83" t="s">
        <v>4079</v>
      </c>
      <c r="C907" s="81" t="s">
        <v>4086</v>
      </c>
      <c r="D907" s="83" t="s">
        <v>4601</v>
      </c>
      <c r="E907" s="81" t="s">
        <v>2874</v>
      </c>
      <c r="F907" s="84">
        <v>553.0</v>
      </c>
      <c r="G907" s="81" t="s">
        <v>44</v>
      </c>
      <c r="H907" s="81" t="s">
        <v>224</v>
      </c>
      <c r="I907" s="81" t="s">
        <v>4602</v>
      </c>
      <c r="J907" s="81" t="s">
        <v>4088</v>
      </c>
      <c r="K907" s="81" t="str">
        <f>IFERROR(__xludf.DUMMYFUNCTION("IF(OR(D907="""",G907=""""),"""",IFERROR(LET(
campo,XLOOKUP(TRIM(G907),ARRAYFORMULA(TRIM('indice columnas'!$A$2:$A$100)),'indice columnas'!$B$2:$B$100,""""),
col,IFERROR(MATCH(campo,Referencia!$A$1:$AZ$1,0),0),
fila,IFERROR(MATCH(TO_TEXT(D907),ARRAYFORMULA"&amp;"(TO_TEXT(Referencia!$A$2:$A6238)),0),0),
IF(OR(campo="""",campo=""-""),""NO APLICA"",
IF(col=0,""REVISAR EQUIVALENCIA"",
IF(fila=0,""SKU NO ENCONTRADO"",
LET(
valor,INDEX(Referencia!$A$2:$AZ6238,fila,col),
IF(TRIM(TO_TEXT(valor))=TRIM(TO_TEXT(I907)),
""OK"&amp;""",
""NO COINCIDE. Valor verdadero: ""&amp;IF(valor="""",""[VACÍO]"",TO_TEXT(valor))
)
))))
),""ERROR EN FÓRMULA""))"),"NO APLICA")</f>
        <v>NO APLICA</v>
      </c>
    </row>
    <row r="908">
      <c r="A908" s="83" t="s">
        <v>4078</v>
      </c>
      <c r="B908" s="83" t="s">
        <v>4079</v>
      </c>
      <c r="C908" s="81" t="s">
        <v>4086</v>
      </c>
      <c r="D908" s="83" t="s">
        <v>4603</v>
      </c>
      <c r="E908" s="81" t="s">
        <v>2881</v>
      </c>
      <c r="F908" s="84">
        <v>554.0</v>
      </c>
      <c r="G908" s="81" t="s">
        <v>44</v>
      </c>
      <c r="H908" s="81" t="s">
        <v>224</v>
      </c>
      <c r="I908" s="81" t="s">
        <v>4602</v>
      </c>
      <c r="J908" s="81" t="s">
        <v>4088</v>
      </c>
      <c r="K908" s="81" t="str">
        <f>IFERROR(__xludf.DUMMYFUNCTION("IF(OR(D908="""",G908=""""),"""",IFERROR(LET(
campo,XLOOKUP(TRIM(G908),ARRAYFORMULA(TRIM('indice columnas'!$A$2:$A$100)),'indice columnas'!$B$2:$B$100,""""),
col,IFERROR(MATCH(campo,Referencia!$A$1:$AZ$1,0),0),
fila,IFERROR(MATCH(TO_TEXT(D908),ARRAYFORMULA"&amp;"(TO_TEXT(Referencia!$A$2:$A6238)),0),0),
IF(OR(campo="""",campo=""-""),""NO APLICA"",
IF(col=0,""REVISAR EQUIVALENCIA"",
IF(fila=0,""SKU NO ENCONTRADO"",
LET(
valor,INDEX(Referencia!$A$2:$AZ6238,fila,col),
IF(TRIM(TO_TEXT(valor))=TRIM(TO_TEXT(I908)),
""OK"&amp;""",
""NO COINCIDE. Valor verdadero: ""&amp;IF(valor="""",""[VACÍO]"",TO_TEXT(valor))
)
))))
),""ERROR EN FÓRMULA""))"),"NO APLICA")</f>
        <v>NO APLICA</v>
      </c>
    </row>
    <row r="909">
      <c r="A909" s="83" t="s">
        <v>4078</v>
      </c>
      <c r="B909" s="83" t="s">
        <v>4079</v>
      </c>
      <c r="C909" s="81" t="s">
        <v>4086</v>
      </c>
      <c r="D909" s="83" t="s">
        <v>4604</v>
      </c>
      <c r="E909" s="81" t="s">
        <v>2885</v>
      </c>
      <c r="F909" s="84">
        <v>555.0</v>
      </c>
      <c r="G909" s="81" t="s">
        <v>44</v>
      </c>
      <c r="H909" s="81" t="s">
        <v>224</v>
      </c>
      <c r="I909" s="81" t="s">
        <v>4602</v>
      </c>
      <c r="J909" s="81" t="s">
        <v>4088</v>
      </c>
      <c r="K909" s="81" t="str">
        <f>IFERROR(__xludf.DUMMYFUNCTION("IF(OR(D909="""",G909=""""),"""",IFERROR(LET(
campo,XLOOKUP(TRIM(G909),ARRAYFORMULA(TRIM('indice columnas'!$A$2:$A$100)),'indice columnas'!$B$2:$B$100,""""),
col,IFERROR(MATCH(campo,Referencia!$A$1:$AZ$1,0),0),
fila,IFERROR(MATCH(TO_TEXT(D909),ARRAYFORMULA"&amp;"(TO_TEXT(Referencia!$A$2:$A6238)),0),0),
IF(OR(campo="""",campo=""-""),""NO APLICA"",
IF(col=0,""REVISAR EQUIVALENCIA"",
IF(fila=0,""SKU NO ENCONTRADO"",
LET(
valor,INDEX(Referencia!$A$2:$AZ6238,fila,col),
IF(TRIM(TO_TEXT(valor))=TRIM(TO_TEXT(I909)),
""OK"&amp;""",
""NO COINCIDE. Valor verdadero: ""&amp;IF(valor="""",""[VACÍO]"",TO_TEXT(valor))
)
))))
),""ERROR EN FÓRMULA""))"),"NO APLICA")</f>
        <v>NO APLICA</v>
      </c>
    </row>
    <row r="910">
      <c r="A910" s="83" t="s">
        <v>4078</v>
      </c>
      <c r="B910" s="83" t="s">
        <v>4079</v>
      </c>
      <c r="C910" s="81" t="s">
        <v>4086</v>
      </c>
      <c r="D910" s="83" t="s">
        <v>4605</v>
      </c>
      <c r="E910" s="81" t="s">
        <v>2889</v>
      </c>
      <c r="F910" s="84">
        <v>556.0</v>
      </c>
      <c r="G910" s="81" t="s">
        <v>44</v>
      </c>
      <c r="H910" s="81" t="s">
        <v>224</v>
      </c>
      <c r="I910" s="81" t="s">
        <v>4602</v>
      </c>
      <c r="J910" s="81" t="s">
        <v>4088</v>
      </c>
      <c r="K910" s="81" t="str">
        <f>IFERROR(__xludf.DUMMYFUNCTION("IF(OR(D910="""",G910=""""),"""",IFERROR(LET(
campo,XLOOKUP(TRIM(G910),ARRAYFORMULA(TRIM('indice columnas'!$A$2:$A$100)),'indice columnas'!$B$2:$B$100,""""),
col,IFERROR(MATCH(campo,Referencia!$A$1:$AZ$1,0),0),
fila,IFERROR(MATCH(TO_TEXT(D910),ARRAYFORMULA"&amp;"(TO_TEXT(Referencia!$A$2:$A6238)),0),0),
IF(OR(campo="""",campo=""-""),""NO APLICA"",
IF(col=0,""REVISAR EQUIVALENCIA"",
IF(fila=0,""SKU NO ENCONTRADO"",
LET(
valor,INDEX(Referencia!$A$2:$AZ6238,fila,col),
IF(TRIM(TO_TEXT(valor))=TRIM(TO_TEXT(I910)),
""OK"&amp;""",
""NO COINCIDE. Valor verdadero: ""&amp;IF(valor="""",""[VACÍO]"",TO_TEXT(valor))
)
))))
),""ERROR EN FÓRMULA""))"),"NO APLICA")</f>
        <v>NO APLICA</v>
      </c>
    </row>
    <row r="911">
      <c r="A911" s="83" t="s">
        <v>4078</v>
      </c>
      <c r="B911" s="83" t="s">
        <v>4079</v>
      </c>
      <c r="C911" s="81" t="s">
        <v>4086</v>
      </c>
      <c r="D911" s="83" t="s">
        <v>4606</v>
      </c>
      <c r="E911" s="81" t="s">
        <v>2891</v>
      </c>
      <c r="F911" s="84">
        <v>557.0</v>
      </c>
      <c r="G911" s="81" t="s">
        <v>44</v>
      </c>
      <c r="H911" s="81" t="s">
        <v>224</v>
      </c>
      <c r="I911" s="81" t="s">
        <v>4602</v>
      </c>
      <c r="J911" s="81" t="s">
        <v>4088</v>
      </c>
      <c r="K911" s="81" t="str">
        <f>IFERROR(__xludf.DUMMYFUNCTION("IF(OR(D911="""",G911=""""),"""",IFERROR(LET(
campo,XLOOKUP(TRIM(G911),ARRAYFORMULA(TRIM('indice columnas'!$A$2:$A$100)),'indice columnas'!$B$2:$B$100,""""),
col,IFERROR(MATCH(campo,Referencia!$A$1:$AZ$1,0),0),
fila,IFERROR(MATCH(TO_TEXT(D911),ARRAYFORMULA"&amp;"(TO_TEXT(Referencia!$A$2:$A6238)),0),0),
IF(OR(campo="""",campo=""-""),""NO APLICA"",
IF(col=0,""REVISAR EQUIVALENCIA"",
IF(fila=0,""SKU NO ENCONTRADO"",
LET(
valor,INDEX(Referencia!$A$2:$AZ6238,fila,col),
IF(TRIM(TO_TEXT(valor))=TRIM(TO_TEXT(I911)),
""OK"&amp;""",
""NO COINCIDE. Valor verdadero: ""&amp;IF(valor="""",""[VACÍO]"",TO_TEXT(valor))
)
))))
),""ERROR EN FÓRMULA""))"),"NO APLICA")</f>
        <v>NO APLICA</v>
      </c>
    </row>
    <row r="912">
      <c r="A912" s="83" t="s">
        <v>4078</v>
      </c>
      <c r="B912" s="83" t="s">
        <v>4079</v>
      </c>
      <c r="C912" s="81" t="s">
        <v>4086</v>
      </c>
      <c r="D912" s="83" t="s">
        <v>4607</v>
      </c>
      <c r="E912" s="81" t="s">
        <v>2893</v>
      </c>
      <c r="F912" s="84">
        <v>558.0</v>
      </c>
      <c r="G912" s="81" t="s">
        <v>44</v>
      </c>
      <c r="H912" s="81" t="s">
        <v>224</v>
      </c>
      <c r="I912" s="81" t="s">
        <v>4602</v>
      </c>
      <c r="J912" s="81" t="s">
        <v>4088</v>
      </c>
      <c r="K912" s="81" t="str">
        <f>IFERROR(__xludf.DUMMYFUNCTION("IF(OR(D912="""",G912=""""),"""",IFERROR(LET(
campo,XLOOKUP(TRIM(G912),ARRAYFORMULA(TRIM('indice columnas'!$A$2:$A$100)),'indice columnas'!$B$2:$B$100,""""),
col,IFERROR(MATCH(campo,Referencia!$A$1:$AZ$1,0),0),
fila,IFERROR(MATCH(TO_TEXT(D912),ARRAYFORMULA"&amp;"(TO_TEXT(Referencia!$A$2:$A6238)),0),0),
IF(OR(campo="""",campo=""-""),""NO APLICA"",
IF(col=0,""REVISAR EQUIVALENCIA"",
IF(fila=0,""SKU NO ENCONTRADO"",
LET(
valor,INDEX(Referencia!$A$2:$AZ6238,fila,col),
IF(TRIM(TO_TEXT(valor))=TRIM(TO_TEXT(I912)),
""OK"&amp;""",
""NO COINCIDE. Valor verdadero: ""&amp;IF(valor="""",""[VACÍO]"",TO_TEXT(valor))
)
))))
),""ERROR EN FÓRMULA""))"),"NO APLICA")</f>
        <v>NO APLICA</v>
      </c>
    </row>
    <row r="913">
      <c r="A913" s="83" t="s">
        <v>4078</v>
      </c>
      <c r="B913" s="83" t="s">
        <v>4079</v>
      </c>
      <c r="C913" s="81" t="s">
        <v>4086</v>
      </c>
      <c r="D913" s="83" t="s">
        <v>4608</v>
      </c>
      <c r="E913" s="81" t="s">
        <v>4609</v>
      </c>
      <c r="F913" s="84">
        <v>559.0</v>
      </c>
      <c r="G913" s="81" t="s">
        <v>44</v>
      </c>
      <c r="H913" s="81" t="s">
        <v>4440</v>
      </c>
      <c r="I913" s="81" t="s">
        <v>2907</v>
      </c>
      <c r="J913" s="81" t="s">
        <v>4088</v>
      </c>
      <c r="K913" s="81" t="str">
        <f>IFERROR(__xludf.DUMMYFUNCTION("IF(OR(D913="""",G913=""""),"""",IFERROR(LET(
campo,XLOOKUP(TRIM(G913),ARRAYFORMULA(TRIM('indice columnas'!$A$2:$A$100)),'indice columnas'!$B$2:$B$100,""""),
col,IFERROR(MATCH(campo,Referencia!$A$1:$AZ$1,0),0),
fila,IFERROR(MATCH(TO_TEXT(D913),ARRAYFORMULA"&amp;"(TO_TEXT(Referencia!$A$2:$A6238)),0),0),
IF(OR(campo="""",campo=""-""),""NO APLICA"",
IF(col=0,""REVISAR EQUIVALENCIA"",
IF(fila=0,""SKU NO ENCONTRADO"",
LET(
valor,INDEX(Referencia!$A$2:$AZ6238,fila,col),
IF(TRIM(TO_TEXT(valor))=TRIM(TO_TEXT(I913)),
""OK"&amp;""",
""NO COINCIDE. Valor verdadero: ""&amp;IF(valor="""",""[VACÍO]"",TO_TEXT(valor))
)
))))
),""ERROR EN FÓRMULA""))"),"NO APLICA")</f>
        <v>NO APLICA</v>
      </c>
    </row>
    <row r="914">
      <c r="A914" s="83" t="s">
        <v>4078</v>
      </c>
      <c r="B914" s="83" t="s">
        <v>4079</v>
      </c>
      <c r="C914" s="81" t="s">
        <v>4086</v>
      </c>
      <c r="D914" s="83" t="s">
        <v>4608</v>
      </c>
      <c r="E914" s="81" t="s">
        <v>2906</v>
      </c>
      <c r="F914" s="84">
        <v>560.0</v>
      </c>
      <c r="G914" s="81" t="s">
        <v>20</v>
      </c>
      <c r="H914" s="81" t="s">
        <v>4610</v>
      </c>
      <c r="I914" s="81" t="s">
        <v>2896</v>
      </c>
      <c r="J914" s="81" t="s">
        <v>224</v>
      </c>
      <c r="K914" s="81" t="str">
        <f>IFERROR(__xludf.DUMMYFUNCTION("IF(OR(D914="""",G914=""""),"""",IFERROR(LET(
campo,XLOOKUP(TRIM(G914),ARRAYFORMULA(TRIM('indice columnas'!$A$2:$A$100)),'indice columnas'!$B$2:$B$100,""""),
col,IFERROR(MATCH(campo,Referencia!$A$1:$AZ$1,0),0),
fila,IFERROR(MATCH(TO_TEXT(D914),ARRAYFORMULA"&amp;"(TO_TEXT(Referencia!$A$2:$A6238)),0),0),
IF(OR(campo="""",campo=""-""),""NO APLICA"",
IF(col=0,""REVISAR EQUIVALENCIA"",
IF(fila=0,""SKU NO ENCONTRADO"",
LET(
valor,INDEX(Referencia!$A$2:$AZ6238,fila,col),
IF(TRIM(TO_TEXT(valor))=TRIM(TO_TEXT(I914)),
""OK"&amp;""",
""NO COINCIDE. Valor verdadero: ""&amp;IF(valor="""",""[VACÍO]"",TO_TEXT(valor))
)
))))
),""ERROR EN FÓRMULA""))"),"NO COINCIDE. Valor verdadero: 1900 + 875")</f>
        <v>NO COINCIDE. Valor verdadero: 1900 + 875</v>
      </c>
    </row>
    <row r="915">
      <c r="A915" s="83" t="s">
        <v>4078</v>
      </c>
      <c r="B915" s="83" t="s">
        <v>4079</v>
      </c>
      <c r="C915" s="81" t="s">
        <v>4086</v>
      </c>
      <c r="D915" s="83" t="s">
        <v>4608</v>
      </c>
      <c r="E915" s="81" t="s">
        <v>2906</v>
      </c>
      <c r="F915" s="84">
        <v>560.0</v>
      </c>
      <c r="G915" s="81" t="s">
        <v>44</v>
      </c>
      <c r="H915" s="81" t="s">
        <v>4440</v>
      </c>
      <c r="I915" s="81" t="s">
        <v>2907</v>
      </c>
      <c r="J915" s="81" t="s">
        <v>4088</v>
      </c>
      <c r="K915" s="81" t="str">
        <f>IFERROR(__xludf.DUMMYFUNCTION("IF(OR(D915="""",G915=""""),"""",IFERROR(LET(
campo,XLOOKUP(TRIM(G915),ARRAYFORMULA(TRIM('indice columnas'!$A$2:$A$100)),'indice columnas'!$B$2:$B$100,""""),
col,IFERROR(MATCH(campo,Referencia!$A$1:$AZ$1,0),0),
fila,IFERROR(MATCH(TO_TEXT(D915),ARRAYFORMULA"&amp;"(TO_TEXT(Referencia!$A$2:$A6238)),0),0),
IF(OR(campo="""",campo=""-""),""NO APLICA"",
IF(col=0,""REVISAR EQUIVALENCIA"",
IF(fila=0,""SKU NO ENCONTRADO"",
LET(
valor,INDEX(Referencia!$A$2:$AZ6238,fila,col),
IF(TRIM(TO_TEXT(valor))=TRIM(TO_TEXT(I915)),
""OK"&amp;""",
""NO COINCIDE. Valor verdadero: ""&amp;IF(valor="""",""[VACÍO]"",TO_TEXT(valor))
)
))))
),""ERROR EN FÓRMULA""))"),"NO APLICA")</f>
        <v>NO APLICA</v>
      </c>
    </row>
    <row r="916">
      <c r="A916" s="83" t="s">
        <v>4078</v>
      </c>
      <c r="B916" s="83" t="s">
        <v>4079</v>
      </c>
      <c r="C916" s="81" t="s">
        <v>4086</v>
      </c>
      <c r="D916" s="83" t="s">
        <v>4611</v>
      </c>
      <c r="E916" s="81" t="s">
        <v>2908</v>
      </c>
      <c r="F916" s="84">
        <v>561.0</v>
      </c>
      <c r="G916" s="81" t="s">
        <v>20</v>
      </c>
      <c r="H916" s="81" t="s">
        <v>4610</v>
      </c>
      <c r="I916" s="81" t="s">
        <v>2896</v>
      </c>
      <c r="J916" s="81" t="s">
        <v>224</v>
      </c>
      <c r="K916" s="81" t="str">
        <f>IFERROR(__xludf.DUMMYFUNCTION("IF(OR(D916="""",G916=""""),"""",IFERROR(LET(
campo,XLOOKUP(TRIM(G916),ARRAYFORMULA(TRIM('indice columnas'!$A$2:$A$100)),'indice columnas'!$B$2:$B$100,""""),
col,IFERROR(MATCH(campo,Referencia!$A$1:$AZ$1,0),0),
fila,IFERROR(MATCH(TO_TEXT(D916),ARRAYFORMULA"&amp;"(TO_TEXT(Referencia!$A$2:$A6238)),0),0),
IF(OR(campo="""",campo=""-""),""NO APLICA"",
IF(col=0,""REVISAR EQUIVALENCIA"",
IF(fila=0,""SKU NO ENCONTRADO"",
LET(
valor,INDEX(Referencia!$A$2:$AZ6238,fila,col),
IF(TRIM(TO_TEXT(valor))=TRIM(TO_TEXT(I916)),
""OK"&amp;""",
""NO COINCIDE. Valor verdadero: ""&amp;IF(valor="""",""[VACÍO]"",TO_TEXT(valor))
)
))))
),""ERROR EN FÓRMULA""))"),"NO COINCIDE. Valor verdadero: 1900 + 875")</f>
        <v>NO COINCIDE. Valor verdadero: 1900 + 875</v>
      </c>
    </row>
    <row r="917">
      <c r="A917" s="83" t="s">
        <v>4078</v>
      </c>
      <c r="B917" s="83" t="s">
        <v>4079</v>
      </c>
      <c r="C917" s="81" t="s">
        <v>4086</v>
      </c>
      <c r="D917" s="83" t="s">
        <v>4611</v>
      </c>
      <c r="E917" s="81" t="s">
        <v>2908</v>
      </c>
      <c r="F917" s="84">
        <v>561.0</v>
      </c>
      <c r="G917" s="81" t="s">
        <v>44</v>
      </c>
      <c r="H917" s="81" t="s">
        <v>4440</v>
      </c>
      <c r="I917" s="81" t="s">
        <v>2907</v>
      </c>
      <c r="J917" s="81" t="s">
        <v>4088</v>
      </c>
      <c r="K917" s="81" t="str">
        <f>IFERROR(__xludf.DUMMYFUNCTION("IF(OR(D917="""",G917=""""),"""",IFERROR(LET(
campo,XLOOKUP(TRIM(G917),ARRAYFORMULA(TRIM('indice columnas'!$A$2:$A$100)),'indice columnas'!$B$2:$B$100,""""),
col,IFERROR(MATCH(campo,Referencia!$A$1:$AZ$1,0),0),
fila,IFERROR(MATCH(TO_TEXT(D917),ARRAYFORMULA"&amp;"(TO_TEXT(Referencia!$A$2:$A6238)),0),0),
IF(OR(campo="""",campo=""-""),""NO APLICA"",
IF(col=0,""REVISAR EQUIVALENCIA"",
IF(fila=0,""SKU NO ENCONTRADO"",
LET(
valor,INDEX(Referencia!$A$2:$AZ6238,fila,col),
IF(TRIM(TO_TEXT(valor))=TRIM(TO_TEXT(I917)),
""OK"&amp;""",
""NO COINCIDE. Valor verdadero: ""&amp;IF(valor="""",""[VACÍO]"",TO_TEXT(valor))
)
))))
),""ERROR EN FÓRMULA""))"),"NO APLICA")</f>
        <v>NO APLICA</v>
      </c>
    </row>
    <row r="918">
      <c r="A918" s="83" t="s">
        <v>4078</v>
      </c>
      <c r="B918" s="83" t="s">
        <v>4079</v>
      </c>
      <c r="C918" s="81" t="s">
        <v>4086</v>
      </c>
      <c r="D918" s="83" t="s">
        <v>4612</v>
      </c>
      <c r="E918" s="81" t="s">
        <v>2911</v>
      </c>
      <c r="F918" s="84">
        <v>562.0</v>
      </c>
      <c r="G918" s="81" t="s">
        <v>44</v>
      </c>
      <c r="H918" s="81" t="s">
        <v>4440</v>
      </c>
      <c r="I918" s="81" t="s">
        <v>4441</v>
      </c>
      <c r="J918" s="81" t="s">
        <v>4088</v>
      </c>
      <c r="K918" s="81" t="str">
        <f>IFERROR(__xludf.DUMMYFUNCTION("IF(OR(D918="""",G918=""""),"""",IFERROR(LET(
campo,XLOOKUP(TRIM(G918),ARRAYFORMULA(TRIM('indice columnas'!$A$2:$A$100)),'indice columnas'!$B$2:$B$100,""""),
col,IFERROR(MATCH(campo,Referencia!$A$1:$AZ$1,0),0),
fila,IFERROR(MATCH(TO_TEXT(D918),ARRAYFORMULA"&amp;"(TO_TEXT(Referencia!$A$2:$A6238)),0),0),
IF(OR(campo="""",campo=""-""),""NO APLICA"",
IF(col=0,""REVISAR EQUIVALENCIA"",
IF(fila=0,""SKU NO ENCONTRADO"",
LET(
valor,INDEX(Referencia!$A$2:$AZ6238,fila,col),
IF(TRIM(TO_TEXT(valor))=TRIM(TO_TEXT(I918)),
""OK"&amp;""",
""NO COINCIDE. Valor verdadero: ""&amp;IF(valor="""",""[VACÍO]"",TO_TEXT(valor))
)
))))
),""ERROR EN FÓRMULA""))"),"NO APLICA")</f>
        <v>NO APLICA</v>
      </c>
    </row>
    <row r="919">
      <c r="A919" s="83" t="s">
        <v>4078</v>
      </c>
      <c r="B919" s="83" t="s">
        <v>4079</v>
      </c>
      <c r="C919" s="81" t="s">
        <v>4086</v>
      </c>
      <c r="D919" s="83" t="s">
        <v>4612</v>
      </c>
      <c r="E919" s="81" t="s">
        <v>2921</v>
      </c>
      <c r="F919" s="84">
        <v>563.0</v>
      </c>
      <c r="G919" s="81" t="s">
        <v>17</v>
      </c>
      <c r="H919" s="83" t="s">
        <v>4613</v>
      </c>
      <c r="I919" s="83" t="s">
        <v>2762</v>
      </c>
      <c r="J919" s="81" t="s">
        <v>224</v>
      </c>
      <c r="K919" s="81" t="str">
        <f>IFERROR(__xludf.DUMMYFUNCTION("IF(OR(D919="""",G919=""""),"""",IFERROR(LET(
campo,XLOOKUP(TRIM(G919),ARRAYFORMULA(TRIM('indice columnas'!$A$2:$A$100)),'indice columnas'!$B$2:$B$100,""""),
col,IFERROR(MATCH(campo,Referencia!$A$1:$AZ$1,0),0),
fila,IFERROR(MATCH(TO_TEXT(D919),ARRAYFORMULA"&amp;"(TO_TEXT(Referencia!$A$2:$A6238)),0),0),
IF(OR(campo="""",campo=""-""),""NO APLICA"",
IF(col=0,""REVISAR EQUIVALENCIA"",
IF(fila=0,""SKU NO ENCONTRADO"",
LET(
valor,INDEX(Referencia!$A$2:$AZ6238,fila,col),
IF(TRIM(TO_TEXT(valor))=TRIM(TO_TEXT(I919)),
""OK"&amp;""",
""NO COINCIDE. Valor verdadero: ""&amp;IF(valor="""",""[VACÍO]"",TO_TEXT(valor))
)
))))
),""ERROR EN FÓRMULA""))"),"OK")</f>
        <v>OK</v>
      </c>
    </row>
    <row r="920">
      <c r="A920" s="83" t="s">
        <v>4078</v>
      </c>
      <c r="B920" s="83" t="s">
        <v>4079</v>
      </c>
      <c r="C920" s="81" t="s">
        <v>4086</v>
      </c>
      <c r="D920" s="83" t="s">
        <v>4612</v>
      </c>
      <c r="E920" s="81" t="s">
        <v>2921</v>
      </c>
      <c r="F920" s="84">
        <v>563.0</v>
      </c>
      <c r="G920" s="81" t="s">
        <v>36</v>
      </c>
      <c r="H920" s="81" t="s">
        <v>49</v>
      </c>
      <c r="I920" s="81" t="s">
        <v>1422</v>
      </c>
      <c r="J920" s="81" t="s">
        <v>224</v>
      </c>
      <c r="K920" s="81" t="str">
        <f>IFERROR(__xludf.DUMMYFUNCTION("IF(OR(D920="""",G920=""""),"""",IFERROR(LET(
campo,XLOOKUP(TRIM(G920),ARRAYFORMULA(TRIM('indice columnas'!$A$2:$A$100)),'indice columnas'!$B$2:$B$100,""""),
col,IFERROR(MATCH(campo,Referencia!$A$1:$AZ$1,0),0),
fila,IFERROR(MATCH(TO_TEXT(D920),ARRAYFORMULA"&amp;"(TO_TEXT(Referencia!$A$2:$A6238)),0),0),
IF(OR(campo="""",campo=""-""),""NO APLICA"",
IF(col=0,""REVISAR EQUIVALENCIA"",
IF(fila=0,""SKU NO ENCONTRADO"",
LET(
valor,INDEX(Referencia!$A$2:$AZ6238,fila,col),
IF(TRIM(TO_TEXT(valor))=TRIM(TO_TEXT(I920)),
""OK"&amp;""",
""NO COINCIDE. Valor verdadero: ""&amp;IF(valor="""",""[VACÍO]"",TO_TEXT(valor))
)
))))
),""ERROR EN FÓRMULA""))"),"REVISAR EQUIVALENCIA")</f>
        <v>REVISAR EQUIVALENCIA</v>
      </c>
    </row>
    <row r="921">
      <c r="A921" s="83" t="s">
        <v>4078</v>
      </c>
      <c r="B921" s="83" t="s">
        <v>4079</v>
      </c>
      <c r="C921" s="81" t="s">
        <v>4086</v>
      </c>
      <c r="D921" s="83" t="s">
        <v>4612</v>
      </c>
      <c r="E921" s="81" t="s">
        <v>2921</v>
      </c>
      <c r="F921" s="84">
        <v>563.0</v>
      </c>
      <c r="G921" s="81" t="s">
        <v>44</v>
      </c>
      <c r="H921" s="81" t="s">
        <v>4440</v>
      </c>
      <c r="I921" s="81" t="s">
        <v>4441</v>
      </c>
      <c r="J921" s="81" t="s">
        <v>4088</v>
      </c>
      <c r="K921" s="81" t="str">
        <f>IFERROR(__xludf.DUMMYFUNCTION("IF(OR(D921="""",G921=""""),"""",IFERROR(LET(
campo,XLOOKUP(TRIM(G921),ARRAYFORMULA(TRIM('indice columnas'!$A$2:$A$100)),'indice columnas'!$B$2:$B$100,""""),
col,IFERROR(MATCH(campo,Referencia!$A$1:$AZ$1,0),0),
fila,IFERROR(MATCH(TO_TEXT(D921),ARRAYFORMULA"&amp;"(TO_TEXT(Referencia!$A$2:$A6238)),0),0),
IF(OR(campo="""",campo=""-""),""NO APLICA"",
IF(col=0,""REVISAR EQUIVALENCIA"",
IF(fila=0,""SKU NO ENCONTRADO"",
LET(
valor,INDEX(Referencia!$A$2:$AZ6238,fila,col),
IF(TRIM(TO_TEXT(valor))=TRIM(TO_TEXT(I921)),
""OK"&amp;""",
""NO COINCIDE. Valor verdadero: ""&amp;IF(valor="""",""[VACÍO]"",TO_TEXT(valor))
)
))))
),""ERROR EN FÓRMULA""))"),"NO APLICA")</f>
        <v>NO APLICA</v>
      </c>
    </row>
    <row r="922">
      <c r="A922" s="83" t="s">
        <v>4078</v>
      </c>
      <c r="B922" s="83" t="s">
        <v>4079</v>
      </c>
      <c r="C922" s="81" t="s">
        <v>4086</v>
      </c>
      <c r="D922" s="83" t="s">
        <v>4614</v>
      </c>
      <c r="E922" s="81" t="s">
        <v>2922</v>
      </c>
      <c r="F922" s="84">
        <v>564.0</v>
      </c>
      <c r="G922" s="81" t="s">
        <v>20</v>
      </c>
      <c r="H922" s="81" t="s">
        <v>4615</v>
      </c>
      <c r="I922" s="81" t="s">
        <v>2923</v>
      </c>
      <c r="J922" s="81" t="s">
        <v>224</v>
      </c>
      <c r="K922" s="81" t="str">
        <f>IFERROR(__xludf.DUMMYFUNCTION("IF(OR(D922="""",G922=""""),"""",IFERROR(LET(
campo,XLOOKUP(TRIM(G922),ARRAYFORMULA(TRIM('indice columnas'!$A$2:$A$100)),'indice columnas'!$B$2:$B$100,""""),
col,IFERROR(MATCH(campo,Referencia!$A$1:$AZ$1,0),0),
fila,IFERROR(MATCH(TO_TEXT(D922),ARRAYFORMULA"&amp;"(TO_TEXT(Referencia!$A$2:$A6238)),0),0),
IF(OR(campo="""",campo=""-""),""NO APLICA"",
IF(col=0,""REVISAR EQUIVALENCIA"",
IF(fila=0,""SKU NO ENCONTRADO"",
LET(
valor,INDEX(Referencia!$A$2:$AZ6238,fila,col),
IF(TRIM(TO_TEXT(valor))=TRIM(TO_TEXT(I922)),
""OK"&amp;""",
""NO COINCIDE. Valor verdadero: ""&amp;IF(valor="""",""[VACÍO]"",TO_TEXT(valor))
)
))))
),""ERROR EN FÓRMULA""))"),"NO COINCIDE. Valor verdadero: 2920 + 955")</f>
        <v>NO COINCIDE. Valor verdadero: 2920 + 955</v>
      </c>
    </row>
    <row r="923">
      <c r="A923" s="83" t="s">
        <v>4078</v>
      </c>
      <c r="B923" s="83" t="s">
        <v>4079</v>
      </c>
      <c r="C923" s="81" t="s">
        <v>4086</v>
      </c>
      <c r="D923" s="83" t="s">
        <v>4614</v>
      </c>
      <c r="E923" s="81" t="s">
        <v>2922</v>
      </c>
      <c r="F923" s="84">
        <v>564.0</v>
      </c>
      <c r="G923" s="81" t="s">
        <v>44</v>
      </c>
      <c r="H923" s="81" t="s">
        <v>4440</v>
      </c>
      <c r="I923" s="81" t="s">
        <v>2907</v>
      </c>
      <c r="J923" s="81" t="s">
        <v>4088</v>
      </c>
      <c r="K923" s="81" t="str">
        <f>IFERROR(__xludf.DUMMYFUNCTION("IF(OR(D923="""",G923=""""),"""",IFERROR(LET(
campo,XLOOKUP(TRIM(G923),ARRAYFORMULA(TRIM('indice columnas'!$A$2:$A$100)),'indice columnas'!$B$2:$B$100,""""),
col,IFERROR(MATCH(campo,Referencia!$A$1:$AZ$1,0),0),
fila,IFERROR(MATCH(TO_TEXT(D923),ARRAYFORMULA"&amp;"(TO_TEXT(Referencia!$A$2:$A6238)),0),0),
IF(OR(campo="""",campo=""-""),""NO APLICA"",
IF(col=0,""REVISAR EQUIVALENCIA"",
IF(fila=0,""SKU NO ENCONTRADO"",
LET(
valor,INDEX(Referencia!$A$2:$AZ6238,fila,col),
IF(TRIM(TO_TEXT(valor))=TRIM(TO_TEXT(I923)),
""OK"&amp;""",
""NO COINCIDE. Valor verdadero: ""&amp;IF(valor="""",""[VACÍO]"",TO_TEXT(valor))
)
))))
),""ERROR EN FÓRMULA""))"),"NO APLICA")</f>
        <v>NO APLICA</v>
      </c>
    </row>
    <row r="924">
      <c r="A924" s="83" t="s">
        <v>4078</v>
      </c>
      <c r="B924" s="83" t="s">
        <v>4079</v>
      </c>
      <c r="C924" s="81" t="s">
        <v>4086</v>
      </c>
      <c r="D924" s="83" t="s">
        <v>4616</v>
      </c>
      <c r="E924" s="81" t="s">
        <v>2930</v>
      </c>
      <c r="F924" s="84">
        <v>565.0</v>
      </c>
      <c r="G924" s="81" t="s">
        <v>44</v>
      </c>
      <c r="H924" s="81" t="s">
        <v>4440</v>
      </c>
      <c r="I924" s="81" t="s">
        <v>4441</v>
      </c>
      <c r="J924" s="81" t="s">
        <v>4088</v>
      </c>
      <c r="K924" s="81" t="str">
        <f>IFERROR(__xludf.DUMMYFUNCTION("IF(OR(D924="""",G924=""""),"""",IFERROR(LET(
campo,XLOOKUP(TRIM(G924),ARRAYFORMULA(TRIM('indice columnas'!$A$2:$A$100)),'indice columnas'!$B$2:$B$100,""""),
col,IFERROR(MATCH(campo,Referencia!$A$1:$AZ$1,0),0),
fila,IFERROR(MATCH(TO_TEXT(D924),ARRAYFORMULA"&amp;"(TO_TEXT(Referencia!$A$2:$A6238)),0),0),
IF(OR(campo="""",campo=""-""),""NO APLICA"",
IF(col=0,""REVISAR EQUIVALENCIA"",
IF(fila=0,""SKU NO ENCONTRADO"",
LET(
valor,INDEX(Referencia!$A$2:$AZ6238,fila,col),
IF(TRIM(TO_TEXT(valor))=TRIM(TO_TEXT(I924)),
""OK"&amp;""",
""NO COINCIDE. Valor verdadero: ""&amp;IF(valor="""",""[VACÍO]"",TO_TEXT(valor))
)
))))
),""ERROR EN FÓRMULA""))"),"NO APLICA")</f>
        <v>NO APLICA</v>
      </c>
    </row>
    <row r="925">
      <c r="A925" s="83" t="s">
        <v>4078</v>
      </c>
      <c r="B925" s="83" t="s">
        <v>4079</v>
      </c>
      <c r="C925" s="81" t="s">
        <v>4086</v>
      </c>
      <c r="D925" s="83" t="s">
        <v>4617</v>
      </c>
      <c r="E925" s="81" t="s">
        <v>2933</v>
      </c>
      <c r="F925" s="84">
        <v>566.0</v>
      </c>
      <c r="G925" s="81" t="s">
        <v>20</v>
      </c>
      <c r="H925" s="81" t="s">
        <v>4615</v>
      </c>
      <c r="I925" s="81" t="s">
        <v>2923</v>
      </c>
      <c r="J925" s="81" t="s">
        <v>224</v>
      </c>
      <c r="K925" s="81" t="str">
        <f>IFERROR(__xludf.DUMMYFUNCTION("IF(OR(D925="""",G925=""""),"""",IFERROR(LET(
campo,XLOOKUP(TRIM(G925),ARRAYFORMULA(TRIM('indice columnas'!$A$2:$A$100)),'indice columnas'!$B$2:$B$100,""""),
col,IFERROR(MATCH(campo,Referencia!$A$1:$AZ$1,0),0),
fila,IFERROR(MATCH(TO_TEXT(D925),ARRAYFORMULA"&amp;"(TO_TEXT(Referencia!$A$2:$A6238)),0),0),
IF(OR(campo="""",campo=""-""),""NO APLICA"",
IF(col=0,""REVISAR EQUIVALENCIA"",
IF(fila=0,""SKU NO ENCONTRADO"",
LET(
valor,INDEX(Referencia!$A$2:$AZ6238,fila,col),
IF(TRIM(TO_TEXT(valor))=TRIM(TO_TEXT(I925)),
""OK"&amp;""",
""NO COINCIDE. Valor verdadero: ""&amp;IF(valor="""",""[VACÍO]"",TO_TEXT(valor))
)
))))
),""ERROR EN FÓRMULA""))"),"NO COINCIDE. Valor verdadero: 2920 + 955")</f>
        <v>NO COINCIDE. Valor verdadero: 2920 + 955</v>
      </c>
    </row>
    <row r="926">
      <c r="A926" s="83" t="s">
        <v>4618</v>
      </c>
      <c r="B926" s="83" t="s">
        <v>4619</v>
      </c>
      <c r="C926" s="81" t="s">
        <v>4080</v>
      </c>
      <c r="D926" s="81" t="s">
        <v>224</v>
      </c>
      <c r="E926" s="81" t="s">
        <v>224</v>
      </c>
      <c r="F926" s="81" t="s">
        <v>224</v>
      </c>
      <c r="G926" s="81" t="s">
        <v>224</v>
      </c>
      <c r="H926" s="81" t="s">
        <v>224</v>
      </c>
      <c r="I926" s="81" t="s">
        <v>224</v>
      </c>
      <c r="J926" s="81" t="s">
        <v>4620</v>
      </c>
      <c r="K926" s="81" t="str">
        <f>IFERROR(__xludf.DUMMYFUNCTION("IF(OR(D926="""",G926=""""),"""",IFERROR(LET(
campo,XLOOKUP(TRIM(G926),ARRAYFORMULA(TRIM('indice columnas'!$A$2:$A$100)),'indice columnas'!$B$2:$B$100,""""),
col,IFERROR(MATCH(campo,Referencia!$A$1:$AZ$1,0),0),
fila,IFERROR(MATCH(TO_TEXT(D926),ARRAYFORMULA"&amp;"(TO_TEXT(Referencia!$A$2:$A6238)),0),0),
IF(OR(campo="""",campo=""-""),""NO APLICA"",
IF(col=0,""REVISAR EQUIVALENCIA"",
IF(fila=0,""SKU NO ENCONTRADO"",
LET(
valor,INDEX(Referencia!$A$2:$AZ6238,fila,col),
IF(TRIM(TO_TEXT(valor))=TRIM(TO_TEXT(I926)),
""OK"&amp;""",
""NO COINCIDE. Valor verdadero: ""&amp;IF(valor="""",""[VACÍO]"",TO_TEXT(valor))
)
))))
),""ERROR EN FÓRMULA""))"),"")</f>
        <v/>
      </c>
    </row>
    <row r="927">
      <c r="A927" s="83" t="s">
        <v>4618</v>
      </c>
      <c r="B927" s="83" t="s">
        <v>4619</v>
      </c>
      <c r="C927" s="81" t="s">
        <v>4082</v>
      </c>
      <c r="D927" s="81" t="s">
        <v>224</v>
      </c>
      <c r="E927" s="81" t="s">
        <v>224</v>
      </c>
      <c r="F927" s="81" t="s">
        <v>224</v>
      </c>
      <c r="G927" s="81" t="s">
        <v>8</v>
      </c>
      <c r="H927" s="81" t="s">
        <v>224</v>
      </c>
      <c r="I927" s="81" t="s">
        <v>224</v>
      </c>
      <c r="J927" s="81" t="s">
        <v>4083</v>
      </c>
      <c r="K927" s="81" t="str">
        <f>IFERROR(__xludf.DUMMYFUNCTION("IF(OR(D927="""",G927=""""),"""",IFERROR(LET(
campo,XLOOKUP(TRIM(G927),ARRAYFORMULA(TRIM('indice columnas'!$A$2:$A$100)),'indice columnas'!$B$2:$B$100,""""),
col,IFERROR(MATCH(campo,Referencia!$A$1:$AZ$1,0),0),
fila,IFERROR(MATCH(TO_TEXT(D927),ARRAYFORMULA"&amp;"(TO_TEXT(Referencia!$A$2:$A6238)),0),0),
IF(OR(campo="""",campo=""-""),""NO APLICA"",
IF(col=0,""REVISAR EQUIVALENCIA"",
IF(fila=0,""SKU NO ENCONTRADO"",
LET(
valor,INDEX(Referencia!$A$2:$AZ6238,fila,col),
IF(TRIM(TO_TEXT(valor))=TRIM(TO_TEXT(I927)),
""OK"&amp;""",
""NO COINCIDE. Valor verdadero: ""&amp;IF(valor="""",""[VACÍO]"",TO_TEXT(valor))
)
))))
),""ERROR EN FÓRMULA""))"),"")</f>
        <v/>
      </c>
    </row>
    <row r="928">
      <c r="A928" s="83" t="s">
        <v>4618</v>
      </c>
      <c r="B928" s="83" t="s">
        <v>4619</v>
      </c>
      <c r="C928" s="81" t="s">
        <v>4084</v>
      </c>
      <c r="D928" s="81" t="s">
        <v>224</v>
      </c>
      <c r="E928" s="81" t="s">
        <v>224</v>
      </c>
      <c r="F928" s="81" t="s">
        <v>224</v>
      </c>
      <c r="G928" s="81" t="s">
        <v>9</v>
      </c>
      <c r="H928" s="81" t="s">
        <v>224</v>
      </c>
      <c r="I928" s="81" t="s">
        <v>224</v>
      </c>
      <c r="J928" s="81" t="s">
        <v>4085</v>
      </c>
      <c r="K928" s="81" t="str">
        <f>IFERROR(__xludf.DUMMYFUNCTION("IF(OR(D928="""",G928=""""),"""",IFERROR(LET(
campo,XLOOKUP(TRIM(G928),ARRAYFORMULA(TRIM('indice columnas'!$A$2:$A$100)),'indice columnas'!$B$2:$B$100,""""),
col,IFERROR(MATCH(campo,Referencia!$A$1:$AZ$1,0),0),
fila,IFERROR(MATCH(TO_TEXT(D928),ARRAYFORMULA"&amp;"(TO_TEXT(Referencia!$A$2:$A6238)),0),0),
IF(OR(campo="""",campo=""-""),""NO APLICA"",
IF(col=0,""REVISAR EQUIVALENCIA"",
IF(fila=0,""SKU NO ENCONTRADO"",
LET(
valor,INDEX(Referencia!$A$2:$AZ6238,fila,col),
IF(TRIM(TO_TEXT(valor))=TRIM(TO_TEXT(I928)),
""OK"&amp;""",
""NO COINCIDE. Valor verdadero: ""&amp;IF(valor="""",""[VACÍO]"",TO_TEXT(valor))
)
))))
),""ERROR EN FÓRMULA""))"),"")</f>
        <v/>
      </c>
    </row>
    <row r="929">
      <c r="A929" s="83" t="s">
        <v>4618</v>
      </c>
      <c r="B929" s="83" t="s">
        <v>4619</v>
      </c>
      <c r="C929" s="81" t="s">
        <v>4621</v>
      </c>
      <c r="D929" s="83" t="s">
        <v>4087</v>
      </c>
      <c r="E929" s="81" t="s">
        <v>48</v>
      </c>
      <c r="F929" s="84">
        <v>2.0</v>
      </c>
      <c r="G929" s="81" t="s">
        <v>44</v>
      </c>
      <c r="H929" s="81" t="s">
        <v>224</v>
      </c>
      <c r="I929" s="81" t="s">
        <v>48</v>
      </c>
      <c r="J929" s="81" t="s">
        <v>4088</v>
      </c>
      <c r="K929" s="81" t="str">
        <f>IFERROR(__xludf.DUMMYFUNCTION("IF(OR(D929="""",G929=""""),"""",IFERROR(LET(
campo,XLOOKUP(TRIM(G929),ARRAYFORMULA(TRIM('indice columnas'!$A$2:$A$100)),'indice columnas'!$B$2:$B$100,""""),
col,IFERROR(MATCH(campo,Referencia!$A$1:$AZ$1,0),0),
fila,IFERROR(MATCH(TO_TEXT(D929),ARRAYFORMULA"&amp;"(TO_TEXT(Referencia!$A$2:$A6238)),0),0),
IF(OR(campo="""",campo=""-""),""NO APLICA"",
IF(col=0,""REVISAR EQUIVALENCIA"",
IF(fila=0,""SKU NO ENCONTRADO"",
LET(
valor,INDEX(Referencia!$A$2:$AZ6238,fila,col),
IF(TRIM(TO_TEXT(valor))=TRIM(TO_TEXT(I929)),
""OK"&amp;""",
""NO COINCIDE. Valor verdadero: ""&amp;IF(valor="""",""[VACÍO]"",TO_TEXT(valor))
)
))))
),""ERROR EN FÓRMULA""))"),"NO APLICA")</f>
        <v>NO APLICA</v>
      </c>
    </row>
    <row r="930">
      <c r="A930" s="83" t="s">
        <v>4618</v>
      </c>
      <c r="B930" s="83" t="s">
        <v>4619</v>
      </c>
      <c r="C930" s="81" t="s">
        <v>4621</v>
      </c>
      <c r="D930" s="83" t="s">
        <v>4087</v>
      </c>
      <c r="E930" s="81" t="s">
        <v>73</v>
      </c>
      <c r="F930" s="84">
        <v>3.0</v>
      </c>
      <c r="G930" s="81" t="s">
        <v>12</v>
      </c>
      <c r="H930" s="81" t="s">
        <v>224</v>
      </c>
      <c r="I930" s="81" t="s">
        <v>55</v>
      </c>
      <c r="J930" s="81" t="s">
        <v>224</v>
      </c>
      <c r="K930" s="81" t="str">
        <f>IFERROR(__xludf.DUMMYFUNCTION("IF(OR(D930="""",G930=""""),"""",IFERROR(LET(
campo,XLOOKUP(TRIM(G930),ARRAYFORMULA(TRIM('indice columnas'!$A$2:$A$100)),'indice columnas'!$B$2:$B$100,""""),
col,IFERROR(MATCH(campo,Referencia!$A$1:$AZ$1,0),0),
fila,IFERROR(MATCH(TO_TEXT(D930),ARRAYFORMULA"&amp;"(TO_TEXT(Referencia!$A$2:$A6238)),0),0),
IF(OR(campo="""",campo=""-""),""NO APLICA"",
IF(col=0,""REVISAR EQUIVALENCIA"",
IF(fila=0,""SKU NO ENCONTRADO"",
LET(
valor,INDEX(Referencia!$A$2:$AZ6238,fila,col),
IF(TRIM(TO_TEXT(valor))=TRIM(TO_TEXT(I930)),
""OK"&amp;""",
""NO COINCIDE. Valor verdadero: ""&amp;IF(valor="""",""[VACÍO]"",TO_TEXT(valor))
)
))))
),""ERROR EN FÓRMULA""))"),"OK")</f>
        <v>OK</v>
      </c>
    </row>
    <row r="931">
      <c r="A931" s="83" t="s">
        <v>4618</v>
      </c>
      <c r="B931" s="83" t="s">
        <v>4619</v>
      </c>
      <c r="C931" s="81" t="s">
        <v>4621</v>
      </c>
      <c r="D931" s="83" t="s">
        <v>4087</v>
      </c>
      <c r="E931" s="81" t="s">
        <v>73</v>
      </c>
      <c r="F931" s="84">
        <v>3.0</v>
      </c>
      <c r="G931" s="81" t="s">
        <v>44</v>
      </c>
      <c r="H931" s="81" t="s">
        <v>224</v>
      </c>
      <c r="I931" s="81" t="s">
        <v>48</v>
      </c>
      <c r="J931" s="81" t="s">
        <v>4088</v>
      </c>
      <c r="K931" s="81" t="str">
        <f>IFERROR(__xludf.DUMMYFUNCTION("IF(OR(D931="""",G931=""""),"""",IFERROR(LET(
campo,XLOOKUP(TRIM(G931),ARRAYFORMULA(TRIM('indice columnas'!$A$2:$A$100)),'indice columnas'!$B$2:$B$100,""""),
col,IFERROR(MATCH(campo,Referencia!$A$1:$AZ$1,0),0),
fila,IFERROR(MATCH(TO_TEXT(D931),ARRAYFORMULA"&amp;"(TO_TEXT(Referencia!$A$2:$A6238)),0),0),
IF(OR(campo="""",campo=""-""),""NO APLICA"",
IF(col=0,""REVISAR EQUIVALENCIA"",
IF(fila=0,""SKU NO ENCONTRADO"",
LET(
valor,INDEX(Referencia!$A$2:$AZ6238,fila,col),
IF(TRIM(TO_TEXT(valor))=TRIM(TO_TEXT(I931)),
""OK"&amp;""",
""NO COINCIDE. Valor verdadero: ""&amp;IF(valor="""",""[VACÍO]"",TO_TEXT(valor))
)
))))
),""ERROR EN FÓRMULA""))"),"NO APLICA")</f>
        <v>NO APLICA</v>
      </c>
    </row>
    <row r="932">
      <c r="A932" s="83" t="s">
        <v>4618</v>
      </c>
      <c r="B932" s="83" t="s">
        <v>4619</v>
      </c>
      <c r="C932" s="81" t="s">
        <v>4621</v>
      </c>
      <c r="D932" s="83" t="s">
        <v>4089</v>
      </c>
      <c r="E932" s="81" t="s">
        <v>75</v>
      </c>
      <c r="F932" s="84">
        <v>4.0</v>
      </c>
      <c r="G932" s="81" t="s">
        <v>12</v>
      </c>
      <c r="H932" s="81" t="s">
        <v>224</v>
      </c>
      <c r="I932" s="81" t="s">
        <v>55</v>
      </c>
      <c r="J932" s="81" t="s">
        <v>224</v>
      </c>
      <c r="K932" s="81" t="str">
        <f>IFERROR(__xludf.DUMMYFUNCTION("IF(OR(D932="""",G932=""""),"""",IFERROR(LET(
campo,XLOOKUP(TRIM(G932),ARRAYFORMULA(TRIM('indice columnas'!$A$2:$A$100)),'indice columnas'!$B$2:$B$100,""""),
col,IFERROR(MATCH(campo,Referencia!$A$1:$AZ$1,0),0),
fila,IFERROR(MATCH(TO_TEXT(D932),ARRAYFORMULA"&amp;"(TO_TEXT(Referencia!$A$2:$A6238)),0),0),
IF(OR(campo="""",campo=""-""),""NO APLICA"",
IF(col=0,""REVISAR EQUIVALENCIA"",
IF(fila=0,""SKU NO ENCONTRADO"",
LET(
valor,INDEX(Referencia!$A$2:$AZ6238,fila,col),
IF(TRIM(TO_TEXT(valor))=TRIM(TO_TEXT(I932)),
""OK"&amp;""",
""NO COINCIDE. Valor verdadero: ""&amp;IF(valor="""",""[VACÍO]"",TO_TEXT(valor))
)
))))
),""ERROR EN FÓRMULA""))"),"OK")</f>
        <v>OK</v>
      </c>
    </row>
    <row r="933">
      <c r="A933" s="83" t="s">
        <v>4618</v>
      </c>
      <c r="B933" s="83" t="s">
        <v>4619</v>
      </c>
      <c r="C933" s="81" t="s">
        <v>4621</v>
      </c>
      <c r="D933" s="83" t="s">
        <v>4089</v>
      </c>
      <c r="E933" s="81" t="s">
        <v>75</v>
      </c>
      <c r="F933" s="84">
        <v>4.0</v>
      </c>
      <c r="G933" s="81" t="s">
        <v>44</v>
      </c>
      <c r="H933" s="81" t="s">
        <v>224</v>
      </c>
      <c r="I933" s="81" t="s">
        <v>48</v>
      </c>
      <c r="J933" s="81" t="s">
        <v>4088</v>
      </c>
      <c r="K933" s="81" t="str">
        <f>IFERROR(__xludf.DUMMYFUNCTION("IF(OR(D933="""",G933=""""),"""",IFERROR(LET(
campo,XLOOKUP(TRIM(G933),ARRAYFORMULA(TRIM('indice columnas'!$A$2:$A$100)),'indice columnas'!$B$2:$B$100,""""),
col,IFERROR(MATCH(campo,Referencia!$A$1:$AZ$1,0),0),
fila,IFERROR(MATCH(TO_TEXT(D933),ARRAYFORMULA"&amp;"(TO_TEXT(Referencia!$A$2:$A6238)),0),0),
IF(OR(campo="""",campo=""-""),""NO APLICA"",
IF(col=0,""REVISAR EQUIVALENCIA"",
IF(fila=0,""SKU NO ENCONTRADO"",
LET(
valor,INDEX(Referencia!$A$2:$AZ6238,fila,col),
IF(TRIM(TO_TEXT(valor))=TRIM(TO_TEXT(I933)),
""OK"&amp;""",
""NO COINCIDE. Valor verdadero: ""&amp;IF(valor="""",""[VACÍO]"",TO_TEXT(valor))
)
))))
),""ERROR EN FÓRMULA""))"),"NO APLICA")</f>
        <v>NO APLICA</v>
      </c>
    </row>
    <row r="934">
      <c r="A934" s="83" t="s">
        <v>4618</v>
      </c>
      <c r="B934" s="83" t="s">
        <v>4619</v>
      </c>
      <c r="C934" s="81" t="s">
        <v>4621</v>
      </c>
      <c r="D934" s="83" t="s">
        <v>4090</v>
      </c>
      <c r="E934" s="81" t="s">
        <v>83</v>
      </c>
      <c r="F934" s="84">
        <v>5.0</v>
      </c>
      <c r="G934" s="81" t="s">
        <v>44</v>
      </c>
      <c r="H934" s="81" t="s">
        <v>224</v>
      </c>
      <c r="I934" s="81" t="s">
        <v>83</v>
      </c>
      <c r="J934" s="81" t="s">
        <v>4088</v>
      </c>
      <c r="K934" s="81" t="str">
        <f>IFERROR(__xludf.DUMMYFUNCTION("IF(OR(D934="""",G934=""""),"""",IFERROR(LET(
campo,XLOOKUP(TRIM(G934),ARRAYFORMULA(TRIM('indice columnas'!$A$2:$A$100)),'indice columnas'!$B$2:$B$100,""""),
col,IFERROR(MATCH(campo,Referencia!$A$1:$AZ$1,0),0),
fila,IFERROR(MATCH(TO_TEXT(D934),ARRAYFORMULA"&amp;"(TO_TEXT(Referencia!$A$2:$A6238)),0),0),
IF(OR(campo="""",campo=""-""),""NO APLICA"",
IF(col=0,""REVISAR EQUIVALENCIA"",
IF(fila=0,""SKU NO ENCONTRADO"",
LET(
valor,INDEX(Referencia!$A$2:$AZ6238,fila,col),
IF(TRIM(TO_TEXT(valor))=TRIM(TO_TEXT(I934)),
""OK"&amp;""",
""NO COINCIDE. Valor verdadero: ""&amp;IF(valor="""",""[VACÍO]"",TO_TEXT(valor))
)
))))
),""ERROR EN FÓRMULA""))"),"NO APLICA")</f>
        <v>NO APLICA</v>
      </c>
    </row>
    <row r="935">
      <c r="A935" s="83" t="s">
        <v>4618</v>
      </c>
      <c r="B935" s="83" t="s">
        <v>4619</v>
      </c>
      <c r="C935" s="81" t="s">
        <v>4621</v>
      </c>
      <c r="D935" s="83" t="s">
        <v>4091</v>
      </c>
      <c r="E935" s="81" t="s">
        <v>104</v>
      </c>
      <c r="F935" s="84">
        <v>6.0</v>
      </c>
      <c r="G935" s="81" t="s">
        <v>44</v>
      </c>
      <c r="H935" s="81" t="s">
        <v>224</v>
      </c>
      <c r="I935" s="81" t="s">
        <v>104</v>
      </c>
      <c r="J935" s="81" t="s">
        <v>4088</v>
      </c>
      <c r="K935" s="81" t="str">
        <f>IFERROR(__xludf.DUMMYFUNCTION("IF(OR(D935="""",G935=""""),"""",IFERROR(LET(
campo,XLOOKUP(TRIM(G935),ARRAYFORMULA(TRIM('indice columnas'!$A$2:$A$100)),'indice columnas'!$B$2:$B$100,""""),
col,IFERROR(MATCH(campo,Referencia!$A$1:$AZ$1,0),0),
fila,IFERROR(MATCH(TO_TEXT(D935),ARRAYFORMULA"&amp;"(TO_TEXT(Referencia!$A$2:$A6238)),0),0),
IF(OR(campo="""",campo=""-""),""NO APLICA"",
IF(col=0,""REVISAR EQUIVALENCIA"",
IF(fila=0,""SKU NO ENCONTRADO"",
LET(
valor,INDEX(Referencia!$A$2:$AZ6238,fila,col),
IF(TRIM(TO_TEXT(valor))=TRIM(TO_TEXT(I935)),
""OK"&amp;""",
""NO COINCIDE. Valor verdadero: ""&amp;IF(valor="""",""[VACÍO]"",TO_TEXT(valor))
)
))))
),""ERROR EN FÓRMULA""))"),"NO APLICA")</f>
        <v>NO APLICA</v>
      </c>
    </row>
    <row r="936">
      <c r="A936" s="83" t="s">
        <v>4618</v>
      </c>
      <c r="B936" s="83" t="s">
        <v>4619</v>
      </c>
      <c r="C936" s="81" t="s">
        <v>4621</v>
      </c>
      <c r="D936" s="83" t="s">
        <v>4091</v>
      </c>
      <c r="E936" s="81" t="s">
        <v>121</v>
      </c>
      <c r="F936" s="84">
        <v>7.0</v>
      </c>
      <c r="G936" s="81" t="s">
        <v>44</v>
      </c>
      <c r="H936" s="81" t="s">
        <v>224</v>
      </c>
      <c r="I936" s="81" t="s">
        <v>104</v>
      </c>
      <c r="J936" s="81" t="s">
        <v>4088</v>
      </c>
      <c r="K936" s="81" t="str">
        <f>IFERROR(__xludf.DUMMYFUNCTION("IF(OR(D936="""",G936=""""),"""",IFERROR(LET(
campo,XLOOKUP(TRIM(G936),ARRAYFORMULA(TRIM('indice columnas'!$A$2:$A$100)),'indice columnas'!$B$2:$B$100,""""),
col,IFERROR(MATCH(campo,Referencia!$A$1:$AZ$1,0),0),
fila,IFERROR(MATCH(TO_TEXT(D936),ARRAYFORMULA"&amp;"(TO_TEXT(Referencia!$A$2:$A6238)),0),0),
IF(OR(campo="""",campo=""-""),""NO APLICA"",
IF(col=0,""REVISAR EQUIVALENCIA"",
IF(fila=0,""SKU NO ENCONTRADO"",
LET(
valor,INDEX(Referencia!$A$2:$AZ6238,fila,col),
IF(TRIM(TO_TEXT(valor))=TRIM(TO_TEXT(I936)),
""OK"&amp;""",
""NO COINCIDE. Valor verdadero: ""&amp;IF(valor="""",""[VACÍO]"",TO_TEXT(valor))
)
))))
),""ERROR EN FÓRMULA""))"),"NO APLICA")</f>
        <v>NO APLICA</v>
      </c>
    </row>
    <row r="937">
      <c r="A937" s="83" t="s">
        <v>4618</v>
      </c>
      <c r="B937" s="83" t="s">
        <v>4619</v>
      </c>
      <c r="C937" s="81" t="s">
        <v>4621</v>
      </c>
      <c r="D937" s="83" t="s">
        <v>4092</v>
      </c>
      <c r="E937" s="81" t="s">
        <v>122</v>
      </c>
      <c r="F937" s="84">
        <v>8.0</v>
      </c>
      <c r="G937" s="81" t="s">
        <v>44</v>
      </c>
      <c r="H937" s="81" t="s">
        <v>224</v>
      </c>
      <c r="I937" s="81" t="s">
        <v>104</v>
      </c>
      <c r="J937" s="81" t="s">
        <v>4088</v>
      </c>
      <c r="K937" s="81" t="str">
        <f>IFERROR(__xludf.DUMMYFUNCTION("IF(OR(D937="""",G937=""""),"""",IFERROR(LET(
campo,XLOOKUP(TRIM(G937),ARRAYFORMULA(TRIM('indice columnas'!$A$2:$A$100)),'indice columnas'!$B$2:$B$100,""""),
col,IFERROR(MATCH(campo,Referencia!$A$1:$AZ$1,0),0),
fila,IFERROR(MATCH(TO_TEXT(D937),ARRAYFORMULA"&amp;"(TO_TEXT(Referencia!$A$2:$A6238)),0),0),
IF(OR(campo="""",campo=""-""),""NO APLICA"",
IF(col=0,""REVISAR EQUIVALENCIA"",
IF(fila=0,""SKU NO ENCONTRADO"",
LET(
valor,INDEX(Referencia!$A$2:$AZ6238,fila,col),
IF(TRIM(TO_TEXT(valor))=TRIM(TO_TEXT(I937)),
""OK"&amp;""",
""NO COINCIDE. Valor verdadero: ""&amp;IF(valor="""",""[VACÍO]"",TO_TEXT(valor))
)
))))
),""ERROR EN FÓRMULA""))"),"NO APLICA")</f>
        <v>NO APLICA</v>
      </c>
    </row>
    <row r="938">
      <c r="A938" s="83" t="s">
        <v>4618</v>
      </c>
      <c r="B938" s="83" t="s">
        <v>4619</v>
      </c>
      <c r="C938" s="81" t="s">
        <v>4621</v>
      </c>
      <c r="D938" s="83" t="s">
        <v>4093</v>
      </c>
      <c r="E938" s="81" t="s">
        <v>125</v>
      </c>
      <c r="F938" s="84">
        <v>9.0</v>
      </c>
      <c r="G938" s="81" t="s">
        <v>44</v>
      </c>
      <c r="H938" s="81" t="s">
        <v>224</v>
      </c>
      <c r="I938" s="81" t="s">
        <v>125</v>
      </c>
      <c r="J938" s="81" t="s">
        <v>4088</v>
      </c>
      <c r="K938" s="81" t="str">
        <f>IFERROR(__xludf.DUMMYFUNCTION("IF(OR(D938="""",G938=""""),"""",IFERROR(LET(
campo,XLOOKUP(TRIM(G938),ARRAYFORMULA(TRIM('indice columnas'!$A$2:$A$100)),'indice columnas'!$B$2:$B$100,""""),
col,IFERROR(MATCH(campo,Referencia!$A$1:$AZ$1,0),0),
fila,IFERROR(MATCH(TO_TEXT(D938),ARRAYFORMULA"&amp;"(TO_TEXT(Referencia!$A$2:$A6238)),0),0),
IF(OR(campo="""",campo=""-""),""NO APLICA"",
IF(col=0,""REVISAR EQUIVALENCIA"",
IF(fila=0,""SKU NO ENCONTRADO"",
LET(
valor,INDEX(Referencia!$A$2:$AZ6238,fila,col),
IF(TRIM(TO_TEXT(valor))=TRIM(TO_TEXT(I938)),
""OK"&amp;""",
""NO COINCIDE. Valor verdadero: ""&amp;IF(valor="""",""[VACÍO]"",TO_TEXT(valor))
)
))))
),""ERROR EN FÓRMULA""))"),"NO APLICA")</f>
        <v>NO APLICA</v>
      </c>
    </row>
    <row r="939">
      <c r="A939" s="83" t="s">
        <v>4618</v>
      </c>
      <c r="B939" s="83" t="s">
        <v>4619</v>
      </c>
      <c r="C939" s="81" t="s">
        <v>4621</v>
      </c>
      <c r="D939" s="83" t="s">
        <v>4094</v>
      </c>
      <c r="E939" s="81" t="s">
        <v>139</v>
      </c>
      <c r="F939" s="84">
        <v>10.0</v>
      </c>
      <c r="G939" s="81" t="s">
        <v>44</v>
      </c>
      <c r="H939" s="81" t="s">
        <v>224</v>
      </c>
      <c r="I939" s="81" t="s">
        <v>139</v>
      </c>
      <c r="J939" s="81" t="s">
        <v>4088</v>
      </c>
      <c r="K939" s="81" t="str">
        <f>IFERROR(__xludf.DUMMYFUNCTION("IF(OR(D939="""",G939=""""),"""",IFERROR(LET(
campo,XLOOKUP(TRIM(G939),ARRAYFORMULA(TRIM('indice columnas'!$A$2:$A$100)),'indice columnas'!$B$2:$B$100,""""),
col,IFERROR(MATCH(campo,Referencia!$A$1:$AZ$1,0),0),
fila,IFERROR(MATCH(TO_TEXT(D939),ARRAYFORMULA"&amp;"(TO_TEXT(Referencia!$A$2:$A6238)),0),0),
IF(OR(campo="""",campo=""-""),""NO APLICA"",
IF(col=0,""REVISAR EQUIVALENCIA"",
IF(fila=0,""SKU NO ENCONTRADO"",
LET(
valor,INDEX(Referencia!$A$2:$AZ6238,fila,col),
IF(TRIM(TO_TEXT(valor))=TRIM(TO_TEXT(I939)),
""OK"&amp;""",
""NO COINCIDE. Valor verdadero: ""&amp;IF(valor="""",""[VACÍO]"",TO_TEXT(valor))
)
))))
),""ERROR EN FÓRMULA""))"),"NO APLICA")</f>
        <v>NO APLICA</v>
      </c>
    </row>
    <row r="940">
      <c r="A940" s="83" t="s">
        <v>4618</v>
      </c>
      <c r="B940" s="83" t="s">
        <v>4619</v>
      </c>
      <c r="C940" s="81" t="s">
        <v>4621</v>
      </c>
      <c r="D940" s="83" t="s">
        <v>4094</v>
      </c>
      <c r="E940" s="81" t="s">
        <v>154</v>
      </c>
      <c r="F940" s="84">
        <v>11.0</v>
      </c>
      <c r="G940" s="81" t="s">
        <v>44</v>
      </c>
      <c r="H940" s="81" t="s">
        <v>224</v>
      </c>
      <c r="I940" s="81" t="s">
        <v>139</v>
      </c>
      <c r="J940" s="81" t="s">
        <v>4088</v>
      </c>
      <c r="K940" s="81" t="str">
        <f>IFERROR(__xludf.DUMMYFUNCTION("IF(OR(D940="""",G940=""""),"""",IFERROR(LET(
campo,XLOOKUP(TRIM(G940),ARRAYFORMULA(TRIM('indice columnas'!$A$2:$A$100)),'indice columnas'!$B$2:$B$100,""""),
col,IFERROR(MATCH(campo,Referencia!$A$1:$AZ$1,0),0),
fila,IFERROR(MATCH(TO_TEXT(D940),ARRAYFORMULA"&amp;"(TO_TEXT(Referencia!$A$2:$A6238)),0),0),
IF(OR(campo="""",campo=""-""),""NO APLICA"",
IF(col=0,""REVISAR EQUIVALENCIA"",
IF(fila=0,""SKU NO ENCONTRADO"",
LET(
valor,INDEX(Referencia!$A$2:$AZ6238,fila,col),
IF(TRIM(TO_TEXT(valor))=TRIM(TO_TEXT(I940)),
""OK"&amp;""",
""NO COINCIDE. Valor verdadero: ""&amp;IF(valor="""",""[VACÍO]"",TO_TEXT(valor))
)
))))
),""ERROR EN FÓRMULA""))"),"NO APLICA")</f>
        <v>NO APLICA</v>
      </c>
    </row>
    <row r="941">
      <c r="A941" s="83" t="s">
        <v>4618</v>
      </c>
      <c r="B941" s="83" t="s">
        <v>4619</v>
      </c>
      <c r="C941" s="81" t="s">
        <v>4621</v>
      </c>
      <c r="D941" s="83" t="s">
        <v>4095</v>
      </c>
      <c r="E941" s="81" t="s">
        <v>155</v>
      </c>
      <c r="F941" s="84">
        <v>12.0</v>
      </c>
      <c r="G941" s="81" t="s">
        <v>44</v>
      </c>
      <c r="H941" s="81" t="s">
        <v>224</v>
      </c>
      <c r="I941" s="81" t="s">
        <v>139</v>
      </c>
      <c r="J941" s="81" t="s">
        <v>4088</v>
      </c>
      <c r="K941" s="81" t="str">
        <f>IFERROR(__xludf.DUMMYFUNCTION("IF(OR(D941="""",G941=""""),"""",IFERROR(LET(
campo,XLOOKUP(TRIM(G941),ARRAYFORMULA(TRIM('indice columnas'!$A$2:$A$100)),'indice columnas'!$B$2:$B$100,""""),
col,IFERROR(MATCH(campo,Referencia!$A$1:$AZ$1,0),0),
fila,IFERROR(MATCH(TO_TEXT(D941),ARRAYFORMULA"&amp;"(TO_TEXT(Referencia!$A$2:$A6238)),0),0),
IF(OR(campo="""",campo=""-""),""NO APLICA"",
IF(col=0,""REVISAR EQUIVALENCIA"",
IF(fila=0,""SKU NO ENCONTRADO"",
LET(
valor,INDEX(Referencia!$A$2:$AZ6238,fila,col),
IF(TRIM(TO_TEXT(valor))=TRIM(TO_TEXT(I941)),
""OK"&amp;""",
""NO COINCIDE. Valor verdadero: ""&amp;IF(valor="""",""[VACÍO]"",TO_TEXT(valor))
)
))))
),""ERROR EN FÓRMULA""))"),"NO APLICA")</f>
        <v>NO APLICA</v>
      </c>
    </row>
    <row r="942">
      <c r="A942" s="83" t="s">
        <v>4618</v>
      </c>
      <c r="B942" s="83" t="s">
        <v>4619</v>
      </c>
      <c r="C942" s="81" t="s">
        <v>4621</v>
      </c>
      <c r="D942" s="83" t="s">
        <v>4096</v>
      </c>
      <c r="E942" s="81" t="s">
        <v>158</v>
      </c>
      <c r="F942" s="84">
        <v>13.0</v>
      </c>
      <c r="G942" s="81" t="s">
        <v>44</v>
      </c>
      <c r="H942" s="81" t="s">
        <v>224</v>
      </c>
      <c r="I942" s="81" t="s">
        <v>158</v>
      </c>
      <c r="J942" s="81" t="s">
        <v>4088</v>
      </c>
      <c r="K942" s="81" t="str">
        <f>IFERROR(__xludf.DUMMYFUNCTION("IF(OR(D942="""",G942=""""),"""",IFERROR(LET(
campo,XLOOKUP(TRIM(G942),ARRAYFORMULA(TRIM('indice columnas'!$A$2:$A$100)),'indice columnas'!$B$2:$B$100,""""),
col,IFERROR(MATCH(campo,Referencia!$A$1:$AZ$1,0),0),
fila,IFERROR(MATCH(TO_TEXT(D942),ARRAYFORMULA"&amp;"(TO_TEXT(Referencia!$A$2:$A6238)),0),0),
IF(OR(campo="""",campo=""-""),""NO APLICA"",
IF(col=0,""REVISAR EQUIVALENCIA"",
IF(fila=0,""SKU NO ENCONTRADO"",
LET(
valor,INDEX(Referencia!$A$2:$AZ6238,fila,col),
IF(TRIM(TO_TEXT(valor))=TRIM(TO_TEXT(I942)),
""OK"&amp;""",
""NO COINCIDE. Valor verdadero: ""&amp;IF(valor="""",""[VACÍO]"",TO_TEXT(valor))
)
))))
),""ERROR EN FÓRMULA""))"),"NO APLICA")</f>
        <v>NO APLICA</v>
      </c>
    </row>
    <row r="943">
      <c r="A943" s="83" t="s">
        <v>4618</v>
      </c>
      <c r="B943" s="83" t="s">
        <v>4619</v>
      </c>
      <c r="C943" s="81" t="s">
        <v>4621</v>
      </c>
      <c r="D943" s="83" t="s">
        <v>4096</v>
      </c>
      <c r="E943" s="81" t="s">
        <v>170</v>
      </c>
      <c r="F943" s="84">
        <v>14.0</v>
      </c>
      <c r="G943" s="81" t="s">
        <v>44</v>
      </c>
      <c r="H943" s="81" t="s">
        <v>224</v>
      </c>
      <c r="I943" s="81" t="s">
        <v>158</v>
      </c>
      <c r="J943" s="81" t="s">
        <v>4088</v>
      </c>
      <c r="K943" s="81" t="str">
        <f>IFERROR(__xludf.DUMMYFUNCTION("IF(OR(D943="""",G943=""""),"""",IFERROR(LET(
campo,XLOOKUP(TRIM(G943),ARRAYFORMULA(TRIM('indice columnas'!$A$2:$A$100)),'indice columnas'!$B$2:$B$100,""""),
col,IFERROR(MATCH(campo,Referencia!$A$1:$AZ$1,0),0),
fila,IFERROR(MATCH(TO_TEXT(D943),ARRAYFORMULA"&amp;"(TO_TEXT(Referencia!$A$2:$A6238)),0),0),
IF(OR(campo="""",campo=""-""),""NO APLICA"",
IF(col=0,""REVISAR EQUIVALENCIA"",
IF(fila=0,""SKU NO ENCONTRADO"",
LET(
valor,INDEX(Referencia!$A$2:$AZ6238,fila,col),
IF(TRIM(TO_TEXT(valor))=TRIM(TO_TEXT(I943)),
""OK"&amp;""",
""NO COINCIDE. Valor verdadero: ""&amp;IF(valor="""",""[VACÍO]"",TO_TEXT(valor))
)
))))
),""ERROR EN FÓRMULA""))"),"NO APLICA")</f>
        <v>NO APLICA</v>
      </c>
    </row>
    <row r="944">
      <c r="A944" s="83" t="s">
        <v>4618</v>
      </c>
      <c r="B944" s="83" t="s">
        <v>4619</v>
      </c>
      <c r="C944" s="81" t="s">
        <v>4621</v>
      </c>
      <c r="D944" s="83" t="s">
        <v>4097</v>
      </c>
      <c r="E944" s="81" t="s">
        <v>172</v>
      </c>
      <c r="F944" s="84">
        <v>15.0</v>
      </c>
      <c r="G944" s="81" t="s">
        <v>44</v>
      </c>
      <c r="H944" s="81" t="s">
        <v>224</v>
      </c>
      <c r="I944" s="81" t="s">
        <v>158</v>
      </c>
      <c r="J944" s="81" t="s">
        <v>4088</v>
      </c>
      <c r="K944" s="81" t="str">
        <f>IFERROR(__xludf.DUMMYFUNCTION("IF(OR(D944="""",G944=""""),"""",IFERROR(LET(
campo,XLOOKUP(TRIM(G944),ARRAYFORMULA(TRIM('indice columnas'!$A$2:$A$100)),'indice columnas'!$B$2:$B$100,""""),
col,IFERROR(MATCH(campo,Referencia!$A$1:$AZ$1,0),0),
fila,IFERROR(MATCH(TO_TEXT(D944),ARRAYFORMULA"&amp;"(TO_TEXT(Referencia!$A$2:$A6238)),0),0),
IF(OR(campo="""",campo=""-""),""NO APLICA"",
IF(col=0,""REVISAR EQUIVALENCIA"",
IF(fila=0,""SKU NO ENCONTRADO"",
LET(
valor,INDEX(Referencia!$A$2:$AZ6238,fila,col),
IF(TRIM(TO_TEXT(valor))=TRIM(TO_TEXT(I944)),
""OK"&amp;""",
""NO COINCIDE. Valor verdadero: ""&amp;IF(valor="""",""[VACÍO]"",TO_TEXT(valor))
)
))))
),""ERROR EN FÓRMULA""))"),"NO APLICA")</f>
        <v>NO APLICA</v>
      </c>
    </row>
    <row r="945">
      <c r="A945" s="83" t="s">
        <v>4618</v>
      </c>
      <c r="B945" s="83" t="s">
        <v>4619</v>
      </c>
      <c r="C945" s="81" t="s">
        <v>4621</v>
      </c>
      <c r="D945" s="83" t="s">
        <v>4098</v>
      </c>
      <c r="E945" s="81" t="s">
        <v>175</v>
      </c>
      <c r="F945" s="84">
        <v>16.0</v>
      </c>
      <c r="G945" s="81" t="s">
        <v>44</v>
      </c>
      <c r="H945" s="81" t="s">
        <v>224</v>
      </c>
      <c r="I945" s="81" t="s">
        <v>175</v>
      </c>
      <c r="J945" s="81" t="s">
        <v>4088</v>
      </c>
      <c r="K945" s="81" t="str">
        <f>IFERROR(__xludf.DUMMYFUNCTION("IF(OR(D945="""",G945=""""),"""",IFERROR(LET(
campo,XLOOKUP(TRIM(G945),ARRAYFORMULA(TRIM('indice columnas'!$A$2:$A$100)),'indice columnas'!$B$2:$B$100,""""),
col,IFERROR(MATCH(campo,Referencia!$A$1:$AZ$1,0),0),
fila,IFERROR(MATCH(TO_TEXT(D945),ARRAYFORMULA"&amp;"(TO_TEXT(Referencia!$A$2:$A6238)),0),0),
IF(OR(campo="""",campo=""-""),""NO APLICA"",
IF(col=0,""REVISAR EQUIVALENCIA"",
IF(fila=0,""SKU NO ENCONTRADO"",
LET(
valor,INDEX(Referencia!$A$2:$AZ6238,fila,col),
IF(TRIM(TO_TEXT(valor))=TRIM(TO_TEXT(I945)),
""OK"&amp;""",
""NO COINCIDE. Valor verdadero: ""&amp;IF(valor="""",""[VACÍO]"",TO_TEXT(valor))
)
))))
),""ERROR EN FÓRMULA""))"),"NO APLICA")</f>
        <v>NO APLICA</v>
      </c>
    </row>
    <row r="946">
      <c r="A946" s="83" t="s">
        <v>4618</v>
      </c>
      <c r="B946" s="83" t="s">
        <v>4619</v>
      </c>
      <c r="C946" s="81" t="s">
        <v>4621</v>
      </c>
      <c r="D946" s="83" t="s">
        <v>4099</v>
      </c>
      <c r="E946" s="81" t="s">
        <v>187</v>
      </c>
      <c r="F946" s="84">
        <v>17.0</v>
      </c>
      <c r="G946" s="81" t="s">
        <v>44</v>
      </c>
      <c r="H946" s="81" t="s">
        <v>224</v>
      </c>
      <c r="I946" s="81" t="s">
        <v>187</v>
      </c>
      <c r="J946" s="81" t="s">
        <v>4088</v>
      </c>
      <c r="K946" s="81" t="str">
        <f>IFERROR(__xludf.DUMMYFUNCTION("IF(OR(D946="""",G946=""""),"""",IFERROR(LET(
campo,XLOOKUP(TRIM(G946),ARRAYFORMULA(TRIM('indice columnas'!$A$2:$A$100)),'indice columnas'!$B$2:$B$100,""""),
col,IFERROR(MATCH(campo,Referencia!$A$1:$AZ$1,0),0),
fila,IFERROR(MATCH(TO_TEXT(D946),ARRAYFORMULA"&amp;"(TO_TEXT(Referencia!$A$2:$A6238)),0),0),
IF(OR(campo="""",campo=""-""),""NO APLICA"",
IF(col=0,""REVISAR EQUIVALENCIA"",
IF(fila=0,""SKU NO ENCONTRADO"",
LET(
valor,INDEX(Referencia!$A$2:$AZ6238,fila,col),
IF(TRIM(TO_TEXT(valor))=TRIM(TO_TEXT(I946)),
""OK"&amp;""",
""NO COINCIDE. Valor verdadero: ""&amp;IF(valor="""",""[VACÍO]"",TO_TEXT(valor))
)
))))
),""ERROR EN FÓRMULA""))"),"NO APLICA")</f>
        <v>NO APLICA</v>
      </c>
    </row>
    <row r="947">
      <c r="A947" s="83" t="s">
        <v>4618</v>
      </c>
      <c r="B947" s="83" t="s">
        <v>4619</v>
      </c>
      <c r="C947" s="81" t="s">
        <v>4621</v>
      </c>
      <c r="D947" s="83" t="s">
        <v>4100</v>
      </c>
      <c r="E947" s="81" t="s">
        <v>200</v>
      </c>
      <c r="F947" s="84">
        <v>18.0</v>
      </c>
      <c r="G947" s="81" t="s">
        <v>44</v>
      </c>
      <c r="H947" s="81" t="s">
        <v>224</v>
      </c>
      <c r="I947" s="81" t="s">
        <v>200</v>
      </c>
      <c r="J947" s="81" t="s">
        <v>4088</v>
      </c>
      <c r="K947" s="81" t="str">
        <f>IFERROR(__xludf.DUMMYFUNCTION("IF(OR(D947="""",G947=""""),"""",IFERROR(LET(
campo,XLOOKUP(TRIM(G947),ARRAYFORMULA(TRIM('indice columnas'!$A$2:$A$100)),'indice columnas'!$B$2:$B$100,""""),
col,IFERROR(MATCH(campo,Referencia!$A$1:$AZ$1,0),0),
fila,IFERROR(MATCH(TO_TEXT(D947),ARRAYFORMULA"&amp;"(TO_TEXT(Referencia!$A$2:$A6238)),0),0),
IF(OR(campo="""",campo=""-""),""NO APLICA"",
IF(col=0,""REVISAR EQUIVALENCIA"",
IF(fila=0,""SKU NO ENCONTRADO"",
LET(
valor,INDEX(Referencia!$A$2:$AZ6238,fila,col),
IF(TRIM(TO_TEXT(valor))=TRIM(TO_TEXT(I947)),
""OK"&amp;""",
""NO COINCIDE. Valor verdadero: ""&amp;IF(valor="""",""[VACÍO]"",TO_TEXT(valor))
)
))))
),""ERROR EN FÓRMULA""))"),"NO APLICA")</f>
        <v>NO APLICA</v>
      </c>
    </row>
    <row r="948">
      <c r="A948" s="83" t="s">
        <v>4618</v>
      </c>
      <c r="B948" s="83" t="s">
        <v>4619</v>
      </c>
      <c r="C948" s="81" t="s">
        <v>4621</v>
      </c>
      <c r="D948" s="83" t="s">
        <v>4101</v>
      </c>
      <c r="E948" s="81" t="s">
        <v>212</v>
      </c>
      <c r="F948" s="84">
        <v>19.0</v>
      </c>
      <c r="G948" s="81" t="s">
        <v>12</v>
      </c>
      <c r="H948" s="81" t="s">
        <v>224</v>
      </c>
      <c r="I948" s="81" t="s">
        <v>55</v>
      </c>
      <c r="J948" s="81" t="s">
        <v>224</v>
      </c>
      <c r="K948" s="81" t="str">
        <f>IFERROR(__xludf.DUMMYFUNCTION("IF(OR(D948="""",G948=""""),"""",IFERROR(LET(
campo,XLOOKUP(TRIM(G948),ARRAYFORMULA(TRIM('indice columnas'!$A$2:$A$100)),'indice columnas'!$B$2:$B$100,""""),
col,IFERROR(MATCH(campo,Referencia!$A$1:$AZ$1,0),0),
fila,IFERROR(MATCH(TO_TEXT(D948),ARRAYFORMULA"&amp;"(TO_TEXT(Referencia!$A$2:$A6238)),0),0),
IF(OR(campo="""",campo=""-""),""NO APLICA"",
IF(col=0,""REVISAR EQUIVALENCIA"",
IF(fila=0,""SKU NO ENCONTRADO"",
LET(
valor,INDEX(Referencia!$A$2:$AZ6238,fila,col),
IF(TRIM(TO_TEXT(valor))=TRIM(TO_TEXT(I948)),
""OK"&amp;""",
""NO COINCIDE. Valor verdadero: ""&amp;IF(valor="""",""[VACÍO]"",TO_TEXT(valor))
)
))))
),""ERROR EN FÓRMULA""))"),"OK")</f>
        <v>OK</v>
      </c>
    </row>
    <row r="949">
      <c r="A949" s="83" t="s">
        <v>4618</v>
      </c>
      <c r="B949" s="83" t="s">
        <v>4619</v>
      </c>
      <c r="C949" s="81" t="s">
        <v>4621</v>
      </c>
      <c r="D949" s="83" t="s">
        <v>4101</v>
      </c>
      <c r="E949" s="81" t="s">
        <v>212</v>
      </c>
      <c r="F949" s="84">
        <v>19.0</v>
      </c>
      <c r="G949" s="81" t="s">
        <v>44</v>
      </c>
      <c r="H949" s="81" t="s">
        <v>224</v>
      </c>
      <c r="I949" s="81" t="s">
        <v>212</v>
      </c>
      <c r="J949" s="81" t="s">
        <v>4088</v>
      </c>
      <c r="K949" s="81" t="str">
        <f>IFERROR(__xludf.DUMMYFUNCTION("IF(OR(D949="""",G949=""""),"""",IFERROR(LET(
campo,XLOOKUP(TRIM(G949),ARRAYFORMULA(TRIM('indice columnas'!$A$2:$A$100)),'indice columnas'!$B$2:$B$100,""""),
col,IFERROR(MATCH(campo,Referencia!$A$1:$AZ$1,0),0),
fila,IFERROR(MATCH(TO_TEXT(D949),ARRAYFORMULA"&amp;"(TO_TEXT(Referencia!$A$2:$A6238)),0),0),
IF(OR(campo="""",campo=""-""),""NO APLICA"",
IF(col=0,""REVISAR EQUIVALENCIA"",
IF(fila=0,""SKU NO ENCONTRADO"",
LET(
valor,INDEX(Referencia!$A$2:$AZ6238,fila,col),
IF(TRIM(TO_TEXT(valor))=TRIM(TO_TEXT(I949)),
""OK"&amp;""",
""NO COINCIDE. Valor verdadero: ""&amp;IF(valor="""",""[VACÍO]"",TO_TEXT(valor))
)
))))
),""ERROR EN FÓRMULA""))"),"NO APLICA")</f>
        <v>NO APLICA</v>
      </c>
    </row>
    <row r="950">
      <c r="A950" s="83" t="s">
        <v>4618</v>
      </c>
      <c r="B950" s="83" t="s">
        <v>4619</v>
      </c>
      <c r="C950" s="81" t="s">
        <v>4621</v>
      </c>
      <c r="D950" s="83" t="s">
        <v>4102</v>
      </c>
      <c r="E950" s="81" t="s">
        <v>226</v>
      </c>
      <c r="F950" s="84">
        <v>20.0</v>
      </c>
      <c r="G950" s="81" t="s">
        <v>44</v>
      </c>
      <c r="H950" s="81" t="s">
        <v>4103</v>
      </c>
      <c r="I950" s="81" t="s">
        <v>226</v>
      </c>
      <c r="J950" s="81" t="s">
        <v>4088</v>
      </c>
      <c r="K950" s="81" t="str">
        <f>IFERROR(__xludf.DUMMYFUNCTION("IF(OR(D950="""",G950=""""),"""",IFERROR(LET(
campo,XLOOKUP(TRIM(G950),ARRAYFORMULA(TRIM('indice columnas'!$A$2:$A$100)),'indice columnas'!$B$2:$B$100,""""),
col,IFERROR(MATCH(campo,Referencia!$A$1:$AZ$1,0),0),
fila,IFERROR(MATCH(TO_TEXT(D950),ARRAYFORMULA"&amp;"(TO_TEXT(Referencia!$A$2:$A6238)),0),0),
IF(OR(campo="""",campo=""-""),""NO APLICA"",
IF(col=0,""REVISAR EQUIVALENCIA"",
IF(fila=0,""SKU NO ENCONTRADO"",
LET(
valor,INDEX(Referencia!$A$2:$AZ6238,fila,col),
IF(TRIM(TO_TEXT(valor))=TRIM(TO_TEXT(I950)),
""OK"&amp;""",
""NO COINCIDE. Valor verdadero: ""&amp;IF(valor="""",""[VACÍO]"",TO_TEXT(valor))
)
))))
),""ERROR EN FÓRMULA""))"),"NO APLICA")</f>
        <v>NO APLICA</v>
      </c>
    </row>
    <row r="951">
      <c r="A951" s="83" t="s">
        <v>4618</v>
      </c>
      <c r="B951" s="83" t="s">
        <v>4619</v>
      </c>
      <c r="C951" s="81" t="s">
        <v>4621</v>
      </c>
      <c r="D951" s="83" t="s">
        <v>4102</v>
      </c>
      <c r="E951" s="81" t="s">
        <v>239</v>
      </c>
      <c r="F951" s="84">
        <v>21.0</v>
      </c>
      <c r="G951" s="81" t="s">
        <v>12</v>
      </c>
      <c r="H951" s="81" t="s">
        <v>224</v>
      </c>
      <c r="I951" s="81" t="s">
        <v>55</v>
      </c>
      <c r="J951" s="81" t="s">
        <v>224</v>
      </c>
      <c r="K951" s="81" t="str">
        <f>IFERROR(__xludf.DUMMYFUNCTION("IF(OR(D951="""",G951=""""),"""",IFERROR(LET(
campo,XLOOKUP(TRIM(G951),ARRAYFORMULA(TRIM('indice columnas'!$A$2:$A$100)),'indice columnas'!$B$2:$B$100,""""),
col,IFERROR(MATCH(campo,Referencia!$A$1:$AZ$1,0),0),
fila,IFERROR(MATCH(TO_TEXT(D951),ARRAYFORMULA"&amp;"(TO_TEXT(Referencia!$A$2:$A6238)),0),0),
IF(OR(campo="""",campo=""-""),""NO APLICA"",
IF(col=0,""REVISAR EQUIVALENCIA"",
IF(fila=0,""SKU NO ENCONTRADO"",
LET(
valor,INDEX(Referencia!$A$2:$AZ6238,fila,col),
IF(TRIM(TO_TEXT(valor))=TRIM(TO_TEXT(I951)),
""OK"&amp;""",
""NO COINCIDE. Valor verdadero: ""&amp;IF(valor="""",""[VACÍO]"",TO_TEXT(valor))
)
))))
),""ERROR EN FÓRMULA""))"),"OK")</f>
        <v>OK</v>
      </c>
    </row>
    <row r="952">
      <c r="A952" s="83" t="s">
        <v>4618</v>
      </c>
      <c r="B952" s="83" t="s">
        <v>4619</v>
      </c>
      <c r="C952" s="81" t="s">
        <v>4621</v>
      </c>
      <c r="D952" s="83" t="s">
        <v>4102</v>
      </c>
      <c r="E952" s="81" t="s">
        <v>239</v>
      </c>
      <c r="F952" s="84">
        <v>21.0</v>
      </c>
      <c r="G952" s="81" t="s">
        <v>44</v>
      </c>
      <c r="H952" s="81" t="s">
        <v>4103</v>
      </c>
      <c r="I952" s="81" t="s">
        <v>226</v>
      </c>
      <c r="J952" s="81" t="s">
        <v>4088</v>
      </c>
      <c r="K952" s="81" t="str">
        <f>IFERROR(__xludf.DUMMYFUNCTION("IF(OR(D952="""",G952=""""),"""",IFERROR(LET(
campo,XLOOKUP(TRIM(G952),ARRAYFORMULA(TRIM('indice columnas'!$A$2:$A$100)),'indice columnas'!$B$2:$B$100,""""),
col,IFERROR(MATCH(campo,Referencia!$A$1:$AZ$1,0),0),
fila,IFERROR(MATCH(TO_TEXT(D952),ARRAYFORMULA"&amp;"(TO_TEXT(Referencia!$A$2:$A6238)),0),0),
IF(OR(campo="""",campo=""-""),""NO APLICA"",
IF(col=0,""REVISAR EQUIVALENCIA"",
IF(fila=0,""SKU NO ENCONTRADO"",
LET(
valor,INDEX(Referencia!$A$2:$AZ6238,fila,col),
IF(TRIM(TO_TEXT(valor))=TRIM(TO_TEXT(I952)),
""OK"&amp;""",
""NO COINCIDE. Valor verdadero: ""&amp;IF(valor="""",""[VACÍO]"",TO_TEXT(valor))
)
))))
),""ERROR EN FÓRMULA""))"),"NO APLICA")</f>
        <v>NO APLICA</v>
      </c>
    </row>
    <row r="953">
      <c r="A953" s="83" t="s">
        <v>4618</v>
      </c>
      <c r="B953" s="83" t="s">
        <v>4619</v>
      </c>
      <c r="C953" s="81" t="s">
        <v>4621</v>
      </c>
      <c r="D953" s="83" t="s">
        <v>4104</v>
      </c>
      <c r="E953" s="81" t="s">
        <v>241</v>
      </c>
      <c r="F953" s="84">
        <v>22.0</v>
      </c>
      <c r="G953" s="81" t="s">
        <v>12</v>
      </c>
      <c r="H953" s="81" t="s">
        <v>224</v>
      </c>
      <c r="I953" s="81" t="s">
        <v>55</v>
      </c>
      <c r="J953" s="81" t="s">
        <v>224</v>
      </c>
      <c r="K953" s="81" t="str">
        <f>IFERROR(__xludf.DUMMYFUNCTION("IF(OR(D953="""",G953=""""),"""",IFERROR(LET(
campo,XLOOKUP(TRIM(G953),ARRAYFORMULA(TRIM('indice columnas'!$A$2:$A$100)),'indice columnas'!$B$2:$B$100,""""),
col,IFERROR(MATCH(campo,Referencia!$A$1:$AZ$1,0),0),
fila,IFERROR(MATCH(TO_TEXT(D953),ARRAYFORMULA"&amp;"(TO_TEXT(Referencia!$A$2:$A6238)),0),0),
IF(OR(campo="""",campo=""-""),""NO APLICA"",
IF(col=0,""REVISAR EQUIVALENCIA"",
IF(fila=0,""SKU NO ENCONTRADO"",
LET(
valor,INDEX(Referencia!$A$2:$AZ6238,fila,col),
IF(TRIM(TO_TEXT(valor))=TRIM(TO_TEXT(I953)),
""OK"&amp;""",
""NO COINCIDE. Valor verdadero: ""&amp;IF(valor="""",""[VACÍO]"",TO_TEXT(valor))
)
))))
),""ERROR EN FÓRMULA""))"),"OK")</f>
        <v>OK</v>
      </c>
    </row>
    <row r="954">
      <c r="A954" s="83" t="s">
        <v>4618</v>
      </c>
      <c r="B954" s="83" t="s">
        <v>4619</v>
      </c>
      <c r="C954" s="81" t="s">
        <v>4621</v>
      </c>
      <c r="D954" s="83" t="s">
        <v>4104</v>
      </c>
      <c r="E954" s="81" t="s">
        <v>241</v>
      </c>
      <c r="F954" s="84">
        <v>22.0</v>
      </c>
      <c r="G954" s="81" t="s">
        <v>44</v>
      </c>
      <c r="H954" s="81" t="s">
        <v>4103</v>
      </c>
      <c r="I954" s="81" t="s">
        <v>226</v>
      </c>
      <c r="J954" s="81" t="s">
        <v>4088</v>
      </c>
      <c r="K954" s="81" t="str">
        <f>IFERROR(__xludf.DUMMYFUNCTION("IF(OR(D954="""",G954=""""),"""",IFERROR(LET(
campo,XLOOKUP(TRIM(G954),ARRAYFORMULA(TRIM('indice columnas'!$A$2:$A$100)),'indice columnas'!$B$2:$B$100,""""),
col,IFERROR(MATCH(campo,Referencia!$A$1:$AZ$1,0),0),
fila,IFERROR(MATCH(TO_TEXT(D954),ARRAYFORMULA"&amp;"(TO_TEXT(Referencia!$A$2:$A6238)),0),0),
IF(OR(campo="""",campo=""-""),""NO APLICA"",
IF(col=0,""REVISAR EQUIVALENCIA"",
IF(fila=0,""SKU NO ENCONTRADO"",
LET(
valor,INDEX(Referencia!$A$2:$AZ6238,fila,col),
IF(TRIM(TO_TEXT(valor))=TRIM(TO_TEXT(I954)),
""OK"&amp;""",
""NO COINCIDE. Valor verdadero: ""&amp;IF(valor="""",""[VACÍO]"",TO_TEXT(valor))
)
))))
),""ERROR EN FÓRMULA""))"),"NO APLICA")</f>
        <v>NO APLICA</v>
      </c>
    </row>
    <row r="955">
      <c r="A955" s="83" t="s">
        <v>4618</v>
      </c>
      <c r="B955" s="83" t="s">
        <v>4619</v>
      </c>
      <c r="C955" s="81" t="s">
        <v>4621</v>
      </c>
      <c r="D955" s="83" t="s">
        <v>4105</v>
      </c>
      <c r="E955" s="81" t="s">
        <v>244</v>
      </c>
      <c r="F955" s="84">
        <v>23.0</v>
      </c>
      <c r="G955" s="81" t="s">
        <v>12</v>
      </c>
      <c r="H955" s="81" t="s">
        <v>224</v>
      </c>
      <c r="I955" s="81" t="s">
        <v>55</v>
      </c>
      <c r="J955" s="81" t="s">
        <v>224</v>
      </c>
      <c r="K955" s="81" t="str">
        <f>IFERROR(__xludf.DUMMYFUNCTION("IF(OR(D955="""",G955=""""),"""",IFERROR(LET(
campo,XLOOKUP(TRIM(G955),ARRAYFORMULA(TRIM('indice columnas'!$A$2:$A$100)),'indice columnas'!$B$2:$B$100,""""),
col,IFERROR(MATCH(campo,Referencia!$A$1:$AZ$1,0),0),
fila,IFERROR(MATCH(TO_TEXT(D955),ARRAYFORMULA"&amp;"(TO_TEXT(Referencia!$A$2:$A6238)),0),0),
IF(OR(campo="""",campo=""-""),""NO APLICA"",
IF(col=0,""REVISAR EQUIVALENCIA"",
IF(fila=0,""SKU NO ENCONTRADO"",
LET(
valor,INDEX(Referencia!$A$2:$AZ6238,fila,col),
IF(TRIM(TO_TEXT(valor))=TRIM(TO_TEXT(I955)),
""OK"&amp;""",
""NO COINCIDE. Valor verdadero: ""&amp;IF(valor="""",""[VACÍO]"",TO_TEXT(valor))
)
))))
),""ERROR EN FÓRMULA""))"),"OK")</f>
        <v>OK</v>
      </c>
    </row>
    <row r="956">
      <c r="A956" s="83" t="s">
        <v>4618</v>
      </c>
      <c r="B956" s="83" t="s">
        <v>4619</v>
      </c>
      <c r="C956" s="81" t="s">
        <v>4621</v>
      </c>
      <c r="D956" s="83" t="s">
        <v>4105</v>
      </c>
      <c r="E956" s="81" t="s">
        <v>244</v>
      </c>
      <c r="F956" s="84">
        <v>23.0</v>
      </c>
      <c r="G956" s="81" t="s">
        <v>44</v>
      </c>
      <c r="H956" s="81" t="s">
        <v>4103</v>
      </c>
      <c r="I956" s="81" t="s">
        <v>226</v>
      </c>
      <c r="J956" s="81" t="s">
        <v>4088</v>
      </c>
      <c r="K956" s="81" t="str">
        <f>IFERROR(__xludf.DUMMYFUNCTION("IF(OR(D956="""",G956=""""),"""",IFERROR(LET(
campo,XLOOKUP(TRIM(G956),ARRAYFORMULA(TRIM('indice columnas'!$A$2:$A$100)),'indice columnas'!$B$2:$B$100,""""),
col,IFERROR(MATCH(campo,Referencia!$A$1:$AZ$1,0),0),
fila,IFERROR(MATCH(TO_TEXT(D956),ARRAYFORMULA"&amp;"(TO_TEXT(Referencia!$A$2:$A6238)),0),0),
IF(OR(campo="""",campo=""-""),""NO APLICA"",
IF(col=0,""REVISAR EQUIVALENCIA"",
IF(fila=0,""SKU NO ENCONTRADO"",
LET(
valor,INDEX(Referencia!$A$2:$AZ6238,fila,col),
IF(TRIM(TO_TEXT(valor))=TRIM(TO_TEXT(I956)),
""OK"&amp;""",
""NO COINCIDE. Valor verdadero: ""&amp;IF(valor="""",""[VACÍO]"",TO_TEXT(valor))
)
))))
),""ERROR EN FÓRMULA""))"),"NO APLICA")</f>
        <v>NO APLICA</v>
      </c>
    </row>
    <row r="957">
      <c r="A957" s="83" t="s">
        <v>4618</v>
      </c>
      <c r="B957" s="83" t="s">
        <v>4619</v>
      </c>
      <c r="C957" s="81" t="s">
        <v>4621</v>
      </c>
      <c r="D957" s="83" t="s">
        <v>4106</v>
      </c>
      <c r="E957" s="81" t="s">
        <v>251</v>
      </c>
      <c r="F957" s="84">
        <v>24.0</v>
      </c>
      <c r="G957" s="81" t="s">
        <v>12</v>
      </c>
      <c r="H957" s="81" t="s">
        <v>224</v>
      </c>
      <c r="I957" s="81" t="s">
        <v>55</v>
      </c>
      <c r="J957" s="81" t="s">
        <v>224</v>
      </c>
      <c r="K957" s="81" t="str">
        <f>IFERROR(__xludf.DUMMYFUNCTION("IF(OR(D957="""",G957=""""),"""",IFERROR(LET(
campo,XLOOKUP(TRIM(G957),ARRAYFORMULA(TRIM('indice columnas'!$A$2:$A$100)),'indice columnas'!$B$2:$B$100,""""),
col,IFERROR(MATCH(campo,Referencia!$A$1:$AZ$1,0),0),
fila,IFERROR(MATCH(TO_TEXT(D957),ARRAYFORMULA"&amp;"(TO_TEXT(Referencia!$A$2:$A6238)),0),0),
IF(OR(campo="""",campo=""-""),""NO APLICA"",
IF(col=0,""REVISAR EQUIVALENCIA"",
IF(fila=0,""SKU NO ENCONTRADO"",
LET(
valor,INDEX(Referencia!$A$2:$AZ6238,fila,col),
IF(TRIM(TO_TEXT(valor))=TRIM(TO_TEXT(I957)),
""OK"&amp;""",
""NO COINCIDE. Valor verdadero: ""&amp;IF(valor="""",""[VACÍO]"",TO_TEXT(valor))
)
))))
),""ERROR EN FÓRMULA""))"),"OK")</f>
        <v>OK</v>
      </c>
    </row>
    <row r="958">
      <c r="A958" s="83" t="s">
        <v>4618</v>
      </c>
      <c r="B958" s="83" t="s">
        <v>4619</v>
      </c>
      <c r="C958" s="81" t="s">
        <v>4621</v>
      </c>
      <c r="D958" s="83" t="s">
        <v>4106</v>
      </c>
      <c r="E958" s="81" t="s">
        <v>251</v>
      </c>
      <c r="F958" s="84">
        <v>24.0</v>
      </c>
      <c r="G958" s="81" t="s">
        <v>44</v>
      </c>
      <c r="H958" s="81" t="s">
        <v>4103</v>
      </c>
      <c r="I958" s="81" t="s">
        <v>226</v>
      </c>
      <c r="J958" s="81" t="s">
        <v>4088</v>
      </c>
      <c r="K958" s="81" t="str">
        <f>IFERROR(__xludf.DUMMYFUNCTION("IF(OR(D958="""",G958=""""),"""",IFERROR(LET(
campo,XLOOKUP(TRIM(G958),ARRAYFORMULA(TRIM('indice columnas'!$A$2:$A$100)),'indice columnas'!$B$2:$B$100,""""),
col,IFERROR(MATCH(campo,Referencia!$A$1:$AZ$1,0),0),
fila,IFERROR(MATCH(TO_TEXT(D958),ARRAYFORMULA"&amp;"(TO_TEXT(Referencia!$A$2:$A6238)),0),0),
IF(OR(campo="""",campo=""-""),""NO APLICA"",
IF(col=0,""REVISAR EQUIVALENCIA"",
IF(fila=0,""SKU NO ENCONTRADO"",
LET(
valor,INDEX(Referencia!$A$2:$AZ6238,fila,col),
IF(TRIM(TO_TEXT(valor))=TRIM(TO_TEXT(I958)),
""OK"&amp;""",
""NO COINCIDE. Valor verdadero: ""&amp;IF(valor="""",""[VACÍO]"",TO_TEXT(valor))
)
))))
),""ERROR EN FÓRMULA""))"),"NO APLICA")</f>
        <v>NO APLICA</v>
      </c>
    </row>
    <row r="959">
      <c r="A959" s="83" t="s">
        <v>4618</v>
      </c>
      <c r="B959" s="83" t="s">
        <v>4619</v>
      </c>
      <c r="C959" s="81" t="s">
        <v>4621</v>
      </c>
      <c r="D959" s="83" t="s">
        <v>4107</v>
      </c>
      <c r="E959" s="81" t="s">
        <v>254</v>
      </c>
      <c r="F959" s="84">
        <v>25.0</v>
      </c>
      <c r="G959" s="81" t="s">
        <v>12</v>
      </c>
      <c r="H959" s="81" t="s">
        <v>224</v>
      </c>
      <c r="I959" s="81" t="s">
        <v>55</v>
      </c>
      <c r="J959" s="81" t="s">
        <v>224</v>
      </c>
      <c r="K959" s="81" t="str">
        <f>IFERROR(__xludf.DUMMYFUNCTION("IF(OR(D959="""",G959=""""),"""",IFERROR(LET(
campo,XLOOKUP(TRIM(G959),ARRAYFORMULA(TRIM('indice columnas'!$A$2:$A$100)),'indice columnas'!$B$2:$B$100,""""),
col,IFERROR(MATCH(campo,Referencia!$A$1:$AZ$1,0),0),
fila,IFERROR(MATCH(TO_TEXT(D959),ARRAYFORMULA"&amp;"(TO_TEXT(Referencia!$A$2:$A6238)),0),0),
IF(OR(campo="""",campo=""-""),""NO APLICA"",
IF(col=0,""REVISAR EQUIVALENCIA"",
IF(fila=0,""SKU NO ENCONTRADO"",
LET(
valor,INDEX(Referencia!$A$2:$AZ6238,fila,col),
IF(TRIM(TO_TEXT(valor))=TRIM(TO_TEXT(I959)),
""OK"&amp;""",
""NO COINCIDE. Valor verdadero: ""&amp;IF(valor="""",""[VACÍO]"",TO_TEXT(valor))
)
))))
),""ERROR EN FÓRMULA""))"),"OK")</f>
        <v>OK</v>
      </c>
    </row>
    <row r="960">
      <c r="A960" s="83" t="s">
        <v>4618</v>
      </c>
      <c r="B960" s="83" t="s">
        <v>4619</v>
      </c>
      <c r="C960" s="81" t="s">
        <v>4621</v>
      </c>
      <c r="D960" s="83" t="s">
        <v>4107</v>
      </c>
      <c r="E960" s="81" t="s">
        <v>254</v>
      </c>
      <c r="F960" s="84">
        <v>25.0</v>
      </c>
      <c r="G960" s="81" t="s">
        <v>44</v>
      </c>
      <c r="H960" s="81" t="s">
        <v>4103</v>
      </c>
      <c r="I960" s="81" t="s">
        <v>226</v>
      </c>
      <c r="J960" s="81" t="s">
        <v>4088</v>
      </c>
      <c r="K960" s="81" t="str">
        <f>IFERROR(__xludf.DUMMYFUNCTION("IF(OR(D960="""",G960=""""),"""",IFERROR(LET(
campo,XLOOKUP(TRIM(G960),ARRAYFORMULA(TRIM('indice columnas'!$A$2:$A$100)),'indice columnas'!$B$2:$B$100,""""),
col,IFERROR(MATCH(campo,Referencia!$A$1:$AZ$1,0),0),
fila,IFERROR(MATCH(TO_TEXT(D960),ARRAYFORMULA"&amp;"(TO_TEXT(Referencia!$A$2:$A6238)),0),0),
IF(OR(campo="""",campo=""-""),""NO APLICA"",
IF(col=0,""REVISAR EQUIVALENCIA"",
IF(fila=0,""SKU NO ENCONTRADO"",
LET(
valor,INDEX(Referencia!$A$2:$AZ6238,fila,col),
IF(TRIM(TO_TEXT(valor))=TRIM(TO_TEXT(I960)),
""OK"&amp;""",
""NO COINCIDE. Valor verdadero: ""&amp;IF(valor="""",""[VACÍO]"",TO_TEXT(valor))
)
))))
),""ERROR EN FÓRMULA""))"),"NO APLICA")</f>
        <v>NO APLICA</v>
      </c>
    </row>
    <row r="961">
      <c r="A961" s="83" t="s">
        <v>4618</v>
      </c>
      <c r="B961" s="83" t="s">
        <v>4619</v>
      </c>
      <c r="C961" s="81" t="s">
        <v>4621</v>
      </c>
      <c r="D961" s="83" t="s">
        <v>4108</v>
      </c>
      <c r="E961" s="81" t="s">
        <v>262</v>
      </c>
      <c r="F961" s="84">
        <v>26.0</v>
      </c>
      <c r="G961" s="81" t="s">
        <v>12</v>
      </c>
      <c r="H961" s="81" t="s">
        <v>224</v>
      </c>
      <c r="I961" s="81" t="s">
        <v>55</v>
      </c>
      <c r="J961" s="81" t="s">
        <v>224</v>
      </c>
      <c r="K961" s="81" t="str">
        <f>IFERROR(__xludf.DUMMYFUNCTION("IF(OR(D961="""",G961=""""),"""",IFERROR(LET(
campo,XLOOKUP(TRIM(G961),ARRAYFORMULA(TRIM('indice columnas'!$A$2:$A$100)),'indice columnas'!$B$2:$B$100,""""),
col,IFERROR(MATCH(campo,Referencia!$A$1:$AZ$1,0),0),
fila,IFERROR(MATCH(TO_TEXT(D961),ARRAYFORMULA"&amp;"(TO_TEXT(Referencia!$A$2:$A6238)),0),0),
IF(OR(campo="""",campo=""-""),""NO APLICA"",
IF(col=0,""REVISAR EQUIVALENCIA"",
IF(fila=0,""SKU NO ENCONTRADO"",
LET(
valor,INDEX(Referencia!$A$2:$AZ6238,fila,col),
IF(TRIM(TO_TEXT(valor))=TRIM(TO_TEXT(I961)),
""OK"&amp;""",
""NO COINCIDE. Valor verdadero: ""&amp;IF(valor="""",""[VACÍO]"",TO_TEXT(valor))
)
))))
),""ERROR EN FÓRMULA""))"),"OK")</f>
        <v>OK</v>
      </c>
    </row>
    <row r="962">
      <c r="A962" s="83" t="s">
        <v>4618</v>
      </c>
      <c r="B962" s="83" t="s">
        <v>4619</v>
      </c>
      <c r="C962" s="81" t="s">
        <v>4621</v>
      </c>
      <c r="D962" s="83" t="s">
        <v>4108</v>
      </c>
      <c r="E962" s="81" t="s">
        <v>262</v>
      </c>
      <c r="F962" s="84">
        <v>26.0</v>
      </c>
      <c r="G962" s="81" t="s">
        <v>44</v>
      </c>
      <c r="H962" s="81" t="s">
        <v>4103</v>
      </c>
      <c r="I962" s="81" t="s">
        <v>226</v>
      </c>
      <c r="J962" s="81" t="s">
        <v>4088</v>
      </c>
      <c r="K962" s="81" t="str">
        <f>IFERROR(__xludf.DUMMYFUNCTION("IF(OR(D962="""",G962=""""),"""",IFERROR(LET(
campo,XLOOKUP(TRIM(G962),ARRAYFORMULA(TRIM('indice columnas'!$A$2:$A$100)),'indice columnas'!$B$2:$B$100,""""),
col,IFERROR(MATCH(campo,Referencia!$A$1:$AZ$1,0),0),
fila,IFERROR(MATCH(TO_TEXT(D962),ARRAYFORMULA"&amp;"(TO_TEXT(Referencia!$A$2:$A6238)),0),0),
IF(OR(campo="""",campo=""-""),""NO APLICA"",
IF(col=0,""REVISAR EQUIVALENCIA"",
IF(fila=0,""SKU NO ENCONTRADO"",
LET(
valor,INDEX(Referencia!$A$2:$AZ6238,fila,col),
IF(TRIM(TO_TEXT(valor))=TRIM(TO_TEXT(I962)),
""OK"&amp;""",
""NO COINCIDE. Valor verdadero: ""&amp;IF(valor="""",""[VACÍO]"",TO_TEXT(valor))
)
))))
),""ERROR EN FÓRMULA""))"),"NO APLICA")</f>
        <v>NO APLICA</v>
      </c>
    </row>
    <row r="963">
      <c r="A963" s="83" t="s">
        <v>4618</v>
      </c>
      <c r="B963" s="83" t="s">
        <v>4619</v>
      </c>
      <c r="C963" s="81" t="s">
        <v>4621</v>
      </c>
      <c r="D963" s="83" t="s">
        <v>4109</v>
      </c>
      <c r="E963" s="81" t="s">
        <v>265</v>
      </c>
      <c r="F963" s="84">
        <v>27.0</v>
      </c>
      <c r="G963" s="81" t="s">
        <v>12</v>
      </c>
      <c r="H963" s="81" t="s">
        <v>224</v>
      </c>
      <c r="I963" s="81" t="s">
        <v>55</v>
      </c>
      <c r="J963" s="81" t="s">
        <v>224</v>
      </c>
      <c r="K963" s="81" t="str">
        <f>IFERROR(__xludf.DUMMYFUNCTION("IF(OR(D963="""",G963=""""),"""",IFERROR(LET(
campo,XLOOKUP(TRIM(G963),ARRAYFORMULA(TRIM('indice columnas'!$A$2:$A$100)),'indice columnas'!$B$2:$B$100,""""),
col,IFERROR(MATCH(campo,Referencia!$A$1:$AZ$1,0),0),
fila,IFERROR(MATCH(TO_TEXT(D963),ARRAYFORMULA"&amp;"(TO_TEXT(Referencia!$A$2:$A6238)),0),0),
IF(OR(campo="""",campo=""-""),""NO APLICA"",
IF(col=0,""REVISAR EQUIVALENCIA"",
IF(fila=0,""SKU NO ENCONTRADO"",
LET(
valor,INDEX(Referencia!$A$2:$AZ6238,fila,col),
IF(TRIM(TO_TEXT(valor))=TRIM(TO_TEXT(I963)),
""OK"&amp;""",
""NO COINCIDE. Valor verdadero: ""&amp;IF(valor="""",""[VACÍO]"",TO_TEXT(valor))
)
))))
),""ERROR EN FÓRMULA""))"),"OK")</f>
        <v>OK</v>
      </c>
    </row>
    <row r="964">
      <c r="A964" s="83" t="s">
        <v>4618</v>
      </c>
      <c r="B964" s="83" t="s">
        <v>4619</v>
      </c>
      <c r="C964" s="81" t="s">
        <v>4621</v>
      </c>
      <c r="D964" s="83" t="s">
        <v>4109</v>
      </c>
      <c r="E964" s="81" t="s">
        <v>265</v>
      </c>
      <c r="F964" s="84">
        <v>27.0</v>
      </c>
      <c r="G964" s="81" t="s">
        <v>44</v>
      </c>
      <c r="H964" s="81" t="s">
        <v>4103</v>
      </c>
      <c r="I964" s="81" t="s">
        <v>226</v>
      </c>
      <c r="J964" s="81" t="s">
        <v>4088</v>
      </c>
      <c r="K964" s="81" t="str">
        <f>IFERROR(__xludf.DUMMYFUNCTION("IF(OR(D964="""",G964=""""),"""",IFERROR(LET(
campo,XLOOKUP(TRIM(G964),ARRAYFORMULA(TRIM('indice columnas'!$A$2:$A$100)),'indice columnas'!$B$2:$B$100,""""),
col,IFERROR(MATCH(campo,Referencia!$A$1:$AZ$1,0),0),
fila,IFERROR(MATCH(TO_TEXT(D964),ARRAYFORMULA"&amp;"(TO_TEXT(Referencia!$A$2:$A6238)),0),0),
IF(OR(campo="""",campo=""-""),""NO APLICA"",
IF(col=0,""REVISAR EQUIVALENCIA"",
IF(fila=0,""SKU NO ENCONTRADO"",
LET(
valor,INDEX(Referencia!$A$2:$AZ6238,fila,col),
IF(TRIM(TO_TEXT(valor))=TRIM(TO_TEXT(I964)),
""OK"&amp;""",
""NO COINCIDE. Valor verdadero: ""&amp;IF(valor="""",""[VACÍO]"",TO_TEXT(valor))
)
))))
),""ERROR EN FÓRMULA""))"),"NO APLICA")</f>
        <v>NO APLICA</v>
      </c>
    </row>
    <row r="965">
      <c r="A965" s="83" t="s">
        <v>4618</v>
      </c>
      <c r="B965" s="83" t="s">
        <v>4619</v>
      </c>
      <c r="C965" s="81" t="s">
        <v>4621</v>
      </c>
      <c r="D965" s="83" t="s">
        <v>4110</v>
      </c>
      <c r="E965" s="81" t="s">
        <v>273</v>
      </c>
      <c r="F965" s="84">
        <v>28.0</v>
      </c>
      <c r="G965" s="81" t="s">
        <v>12</v>
      </c>
      <c r="H965" s="81" t="s">
        <v>224</v>
      </c>
      <c r="I965" s="81" t="s">
        <v>55</v>
      </c>
      <c r="J965" s="81" t="s">
        <v>224</v>
      </c>
      <c r="K965" s="81" t="str">
        <f>IFERROR(__xludf.DUMMYFUNCTION("IF(OR(D965="""",G965=""""),"""",IFERROR(LET(
campo,XLOOKUP(TRIM(G965),ARRAYFORMULA(TRIM('indice columnas'!$A$2:$A$100)),'indice columnas'!$B$2:$B$100,""""),
col,IFERROR(MATCH(campo,Referencia!$A$1:$AZ$1,0),0),
fila,IFERROR(MATCH(TO_TEXT(D965),ARRAYFORMULA"&amp;"(TO_TEXT(Referencia!$A$2:$A6238)),0),0),
IF(OR(campo="""",campo=""-""),""NO APLICA"",
IF(col=0,""REVISAR EQUIVALENCIA"",
IF(fila=0,""SKU NO ENCONTRADO"",
LET(
valor,INDEX(Referencia!$A$2:$AZ6238,fila,col),
IF(TRIM(TO_TEXT(valor))=TRIM(TO_TEXT(I965)),
""OK"&amp;""",
""NO COINCIDE. Valor verdadero: ""&amp;IF(valor="""",""[VACÍO]"",TO_TEXT(valor))
)
))))
),""ERROR EN FÓRMULA""))"),"OK")</f>
        <v>OK</v>
      </c>
    </row>
    <row r="966">
      <c r="A966" s="83" t="s">
        <v>4618</v>
      </c>
      <c r="B966" s="83" t="s">
        <v>4619</v>
      </c>
      <c r="C966" s="81" t="s">
        <v>4621</v>
      </c>
      <c r="D966" s="83" t="s">
        <v>4110</v>
      </c>
      <c r="E966" s="81" t="s">
        <v>273</v>
      </c>
      <c r="F966" s="84">
        <v>28.0</v>
      </c>
      <c r="G966" s="81" t="s">
        <v>44</v>
      </c>
      <c r="H966" s="81" t="s">
        <v>4103</v>
      </c>
      <c r="I966" s="81" t="s">
        <v>226</v>
      </c>
      <c r="J966" s="81" t="s">
        <v>4088</v>
      </c>
      <c r="K966" s="81" t="str">
        <f>IFERROR(__xludf.DUMMYFUNCTION("IF(OR(D966="""",G966=""""),"""",IFERROR(LET(
campo,XLOOKUP(TRIM(G966),ARRAYFORMULA(TRIM('indice columnas'!$A$2:$A$100)),'indice columnas'!$B$2:$B$100,""""),
col,IFERROR(MATCH(campo,Referencia!$A$1:$AZ$1,0),0),
fila,IFERROR(MATCH(TO_TEXT(D966),ARRAYFORMULA"&amp;"(TO_TEXT(Referencia!$A$2:$A6238)),0),0),
IF(OR(campo="""",campo=""-""),""NO APLICA"",
IF(col=0,""REVISAR EQUIVALENCIA"",
IF(fila=0,""SKU NO ENCONTRADO"",
LET(
valor,INDEX(Referencia!$A$2:$AZ6238,fila,col),
IF(TRIM(TO_TEXT(valor))=TRIM(TO_TEXT(I966)),
""OK"&amp;""",
""NO COINCIDE. Valor verdadero: ""&amp;IF(valor="""",""[VACÍO]"",TO_TEXT(valor))
)
))))
),""ERROR EN FÓRMULA""))"),"NO APLICA")</f>
        <v>NO APLICA</v>
      </c>
    </row>
    <row r="967">
      <c r="A967" s="83" t="s">
        <v>4618</v>
      </c>
      <c r="B967" s="83" t="s">
        <v>4619</v>
      </c>
      <c r="C967" s="81" t="s">
        <v>4621</v>
      </c>
      <c r="D967" s="83" t="s">
        <v>4111</v>
      </c>
      <c r="E967" s="81" t="s">
        <v>276</v>
      </c>
      <c r="F967" s="84">
        <v>29.0</v>
      </c>
      <c r="G967" s="81" t="s">
        <v>44</v>
      </c>
      <c r="H967" s="81" t="s">
        <v>4112</v>
      </c>
      <c r="I967" s="81" t="s">
        <v>226</v>
      </c>
      <c r="J967" s="81" t="s">
        <v>4088</v>
      </c>
      <c r="K967" s="81" t="str">
        <f>IFERROR(__xludf.DUMMYFUNCTION("IF(OR(D967="""",G967=""""),"""",IFERROR(LET(
campo,XLOOKUP(TRIM(G967),ARRAYFORMULA(TRIM('indice columnas'!$A$2:$A$100)),'indice columnas'!$B$2:$B$100,""""),
col,IFERROR(MATCH(campo,Referencia!$A$1:$AZ$1,0),0),
fila,IFERROR(MATCH(TO_TEXT(D967),ARRAYFORMULA"&amp;"(TO_TEXT(Referencia!$A$2:$A6238)),0),0),
IF(OR(campo="""",campo=""-""),""NO APLICA"",
IF(col=0,""REVISAR EQUIVALENCIA"",
IF(fila=0,""SKU NO ENCONTRADO"",
LET(
valor,INDEX(Referencia!$A$2:$AZ6238,fila,col),
IF(TRIM(TO_TEXT(valor))=TRIM(TO_TEXT(I967)),
""OK"&amp;""",
""NO COINCIDE. Valor verdadero: ""&amp;IF(valor="""",""[VACÍO]"",TO_TEXT(valor))
)
))))
),""ERROR EN FÓRMULA""))"),"NO APLICA")</f>
        <v>NO APLICA</v>
      </c>
    </row>
    <row r="968">
      <c r="A968" s="83" t="s">
        <v>4618</v>
      </c>
      <c r="B968" s="83" t="s">
        <v>4619</v>
      </c>
      <c r="C968" s="81" t="s">
        <v>4621</v>
      </c>
      <c r="D968" s="83" t="s">
        <v>4111</v>
      </c>
      <c r="E968" s="81" t="s">
        <v>283</v>
      </c>
      <c r="F968" s="84">
        <v>30.0</v>
      </c>
      <c r="G968" s="81" t="s">
        <v>12</v>
      </c>
      <c r="H968" s="81" t="s">
        <v>224</v>
      </c>
      <c r="I968" s="81" t="s">
        <v>55</v>
      </c>
      <c r="J968" s="81" t="s">
        <v>224</v>
      </c>
      <c r="K968" s="81" t="str">
        <f>IFERROR(__xludf.DUMMYFUNCTION("IF(OR(D968="""",G968=""""),"""",IFERROR(LET(
campo,XLOOKUP(TRIM(G968),ARRAYFORMULA(TRIM('indice columnas'!$A$2:$A$100)),'indice columnas'!$B$2:$B$100,""""),
col,IFERROR(MATCH(campo,Referencia!$A$1:$AZ$1,0),0),
fila,IFERROR(MATCH(TO_TEXT(D968),ARRAYFORMULA"&amp;"(TO_TEXT(Referencia!$A$2:$A6238)),0),0),
IF(OR(campo="""",campo=""-""),""NO APLICA"",
IF(col=0,""REVISAR EQUIVALENCIA"",
IF(fila=0,""SKU NO ENCONTRADO"",
LET(
valor,INDEX(Referencia!$A$2:$AZ6238,fila,col),
IF(TRIM(TO_TEXT(valor))=TRIM(TO_TEXT(I968)),
""OK"&amp;""",
""NO COINCIDE. Valor verdadero: ""&amp;IF(valor="""",""[VACÍO]"",TO_TEXT(valor))
)
))))
),""ERROR EN FÓRMULA""))"),"OK")</f>
        <v>OK</v>
      </c>
    </row>
    <row r="969">
      <c r="A969" s="83" t="s">
        <v>4618</v>
      </c>
      <c r="B969" s="83" t="s">
        <v>4619</v>
      </c>
      <c r="C969" s="81" t="s">
        <v>4621</v>
      </c>
      <c r="D969" s="83" t="s">
        <v>4111</v>
      </c>
      <c r="E969" s="81" t="s">
        <v>283</v>
      </c>
      <c r="F969" s="84">
        <v>30.0</v>
      </c>
      <c r="G969" s="81" t="s">
        <v>44</v>
      </c>
      <c r="H969" s="81" t="s">
        <v>4112</v>
      </c>
      <c r="I969" s="81" t="s">
        <v>226</v>
      </c>
      <c r="J969" s="81" t="s">
        <v>4088</v>
      </c>
      <c r="K969" s="81" t="str">
        <f>IFERROR(__xludf.DUMMYFUNCTION("IF(OR(D969="""",G969=""""),"""",IFERROR(LET(
campo,XLOOKUP(TRIM(G969),ARRAYFORMULA(TRIM('indice columnas'!$A$2:$A$100)),'indice columnas'!$B$2:$B$100,""""),
col,IFERROR(MATCH(campo,Referencia!$A$1:$AZ$1,0),0),
fila,IFERROR(MATCH(TO_TEXT(D969),ARRAYFORMULA"&amp;"(TO_TEXT(Referencia!$A$2:$A6238)),0),0),
IF(OR(campo="""",campo=""-""),""NO APLICA"",
IF(col=0,""REVISAR EQUIVALENCIA"",
IF(fila=0,""SKU NO ENCONTRADO"",
LET(
valor,INDEX(Referencia!$A$2:$AZ6238,fila,col),
IF(TRIM(TO_TEXT(valor))=TRIM(TO_TEXT(I969)),
""OK"&amp;""",
""NO COINCIDE. Valor verdadero: ""&amp;IF(valor="""",""[VACÍO]"",TO_TEXT(valor))
)
))))
),""ERROR EN FÓRMULA""))"),"NO APLICA")</f>
        <v>NO APLICA</v>
      </c>
    </row>
    <row r="970">
      <c r="A970" s="83" t="s">
        <v>4618</v>
      </c>
      <c r="B970" s="83" t="s">
        <v>4619</v>
      </c>
      <c r="C970" s="81" t="s">
        <v>4621</v>
      </c>
      <c r="D970" s="83" t="s">
        <v>4113</v>
      </c>
      <c r="E970" s="81" t="s">
        <v>284</v>
      </c>
      <c r="F970" s="84">
        <v>31.0</v>
      </c>
      <c r="G970" s="81" t="s">
        <v>12</v>
      </c>
      <c r="H970" s="81" t="s">
        <v>224</v>
      </c>
      <c r="I970" s="81" t="s">
        <v>55</v>
      </c>
      <c r="J970" s="81" t="s">
        <v>224</v>
      </c>
      <c r="K970" s="81" t="str">
        <f>IFERROR(__xludf.DUMMYFUNCTION("IF(OR(D970="""",G970=""""),"""",IFERROR(LET(
campo,XLOOKUP(TRIM(G970),ARRAYFORMULA(TRIM('indice columnas'!$A$2:$A$100)),'indice columnas'!$B$2:$B$100,""""),
col,IFERROR(MATCH(campo,Referencia!$A$1:$AZ$1,0),0),
fila,IFERROR(MATCH(TO_TEXT(D970),ARRAYFORMULA"&amp;"(TO_TEXT(Referencia!$A$2:$A6238)),0),0),
IF(OR(campo="""",campo=""-""),""NO APLICA"",
IF(col=0,""REVISAR EQUIVALENCIA"",
IF(fila=0,""SKU NO ENCONTRADO"",
LET(
valor,INDEX(Referencia!$A$2:$AZ6238,fila,col),
IF(TRIM(TO_TEXT(valor))=TRIM(TO_TEXT(I970)),
""OK"&amp;""",
""NO COINCIDE. Valor verdadero: ""&amp;IF(valor="""",""[VACÍO]"",TO_TEXT(valor))
)
))))
),""ERROR EN FÓRMULA""))"),"OK")</f>
        <v>OK</v>
      </c>
    </row>
    <row r="971">
      <c r="A971" s="83" t="s">
        <v>4618</v>
      </c>
      <c r="B971" s="83" t="s">
        <v>4619</v>
      </c>
      <c r="C971" s="81" t="s">
        <v>4621</v>
      </c>
      <c r="D971" s="83" t="s">
        <v>4113</v>
      </c>
      <c r="E971" s="81" t="s">
        <v>284</v>
      </c>
      <c r="F971" s="84">
        <v>31.0</v>
      </c>
      <c r="G971" s="81" t="s">
        <v>44</v>
      </c>
      <c r="H971" s="81" t="s">
        <v>4112</v>
      </c>
      <c r="I971" s="81" t="s">
        <v>226</v>
      </c>
      <c r="J971" s="81" t="s">
        <v>4088</v>
      </c>
      <c r="K971" s="81" t="str">
        <f>IFERROR(__xludf.DUMMYFUNCTION("IF(OR(D971="""",G971=""""),"""",IFERROR(LET(
campo,XLOOKUP(TRIM(G971),ARRAYFORMULA(TRIM('indice columnas'!$A$2:$A$100)),'indice columnas'!$B$2:$B$100,""""),
col,IFERROR(MATCH(campo,Referencia!$A$1:$AZ$1,0),0),
fila,IFERROR(MATCH(TO_TEXT(D971),ARRAYFORMULA"&amp;"(TO_TEXT(Referencia!$A$2:$A6238)),0),0),
IF(OR(campo="""",campo=""-""),""NO APLICA"",
IF(col=0,""REVISAR EQUIVALENCIA"",
IF(fila=0,""SKU NO ENCONTRADO"",
LET(
valor,INDEX(Referencia!$A$2:$AZ6238,fila,col),
IF(TRIM(TO_TEXT(valor))=TRIM(TO_TEXT(I971)),
""OK"&amp;""",
""NO COINCIDE. Valor verdadero: ""&amp;IF(valor="""",""[VACÍO]"",TO_TEXT(valor))
)
))))
),""ERROR EN FÓRMULA""))"),"NO APLICA")</f>
        <v>NO APLICA</v>
      </c>
    </row>
    <row r="972">
      <c r="A972" s="83" t="s">
        <v>4618</v>
      </c>
      <c r="B972" s="83" t="s">
        <v>4619</v>
      </c>
      <c r="C972" s="81" t="s">
        <v>4621</v>
      </c>
      <c r="D972" s="83" t="s">
        <v>4114</v>
      </c>
      <c r="E972" s="81" t="s">
        <v>287</v>
      </c>
      <c r="F972" s="84">
        <v>32.0</v>
      </c>
      <c r="G972" s="81" t="s">
        <v>44</v>
      </c>
      <c r="H972" s="81" t="s">
        <v>224</v>
      </c>
      <c r="I972" s="81" t="s">
        <v>104</v>
      </c>
      <c r="J972" s="81" t="s">
        <v>4088</v>
      </c>
      <c r="K972" s="81" t="str">
        <f>IFERROR(__xludf.DUMMYFUNCTION("IF(OR(D972="""",G972=""""),"""",IFERROR(LET(
campo,XLOOKUP(TRIM(G972),ARRAYFORMULA(TRIM('indice columnas'!$A$2:$A$100)),'indice columnas'!$B$2:$B$100,""""),
col,IFERROR(MATCH(campo,Referencia!$A$1:$AZ$1,0),0),
fila,IFERROR(MATCH(TO_TEXT(D972),ARRAYFORMULA"&amp;"(TO_TEXT(Referencia!$A$2:$A6238)),0),0),
IF(OR(campo="""",campo=""-""),""NO APLICA"",
IF(col=0,""REVISAR EQUIVALENCIA"",
IF(fila=0,""SKU NO ENCONTRADO"",
LET(
valor,INDEX(Referencia!$A$2:$AZ6238,fila,col),
IF(TRIM(TO_TEXT(valor))=TRIM(TO_TEXT(I972)),
""OK"&amp;""",
""NO COINCIDE. Valor verdadero: ""&amp;IF(valor="""",""[VACÍO]"",TO_TEXT(valor))
)
))))
),""ERROR EN FÓRMULA""))"),"NO APLICA")</f>
        <v>NO APLICA</v>
      </c>
    </row>
    <row r="973">
      <c r="A973" s="83" t="s">
        <v>4618</v>
      </c>
      <c r="B973" s="83" t="s">
        <v>4619</v>
      </c>
      <c r="C973" s="81" t="s">
        <v>4621</v>
      </c>
      <c r="D973" s="83" t="s">
        <v>4115</v>
      </c>
      <c r="E973" s="81" t="s">
        <v>297</v>
      </c>
      <c r="F973" s="84">
        <v>33.0</v>
      </c>
      <c r="G973" s="81" t="s">
        <v>44</v>
      </c>
      <c r="H973" s="81" t="s">
        <v>4116</v>
      </c>
      <c r="I973" s="81" t="s">
        <v>226</v>
      </c>
      <c r="J973" s="81" t="s">
        <v>4088</v>
      </c>
      <c r="K973" s="81" t="str">
        <f>IFERROR(__xludf.DUMMYFUNCTION("IF(OR(D973="""",G973=""""),"""",IFERROR(LET(
campo,XLOOKUP(TRIM(G973),ARRAYFORMULA(TRIM('indice columnas'!$A$2:$A$100)),'indice columnas'!$B$2:$B$100,""""),
col,IFERROR(MATCH(campo,Referencia!$A$1:$AZ$1,0),0),
fila,IFERROR(MATCH(TO_TEXT(D973),ARRAYFORMULA"&amp;"(TO_TEXT(Referencia!$A$2:$A6238)),0),0),
IF(OR(campo="""",campo=""-""),""NO APLICA"",
IF(col=0,""REVISAR EQUIVALENCIA"",
IF(fila=0,""SKU NO ENCONTRADO"",
LET(
valor,INDEX(Referencia!$A$2:$AZ6238,fila,col),
IF(TRIM(TO_TEXT(valor))=TRIM(TO_TEXT(I973)),
""OK"&amp;""",
""NO COINCIDE. Valor verdadero: ""&amp;IF(valor="""",""[VACÍO]"",TO_TEXT(valor))
)
))))
),""ERROR EN FÓRMULA""))"),"NO APLICA")</f>
        <v>NO APLICA</v>
      </c>
    </row>
    <row r="974">
      <c r="A974" s="83" t="s">
        <v>4618</v>
      </c>
      <c r="B974" s="83" t="s">
        <v>4619</v>
      </c>
      <c r="C974" s="81" t="s">
        <v>4621</v>
      </c>
      <c r="D974" s="83" t="s">
        <v>4115</v>
      </c>
      <c r="E974" s="81" t="s">
        <v>304</v>
      </c>
      <c r="F974" s="84">
        <v>34.0</v>
      </c>
      <c r="G974" s="81" t="s">
        <v>12</v>
      </c>
      <c r="H974" s="81" t="s">
        <v>224</v>
      </c>
      <c r="I974" s="81" t="s">
        <v>55</v>
      </c>
      <c r="J974" s="81" t="s">
        <v>224</v>
      </c>
      <c r="K974" s="81" t="str">
        <f>IFERROR(__xludf.DUMMYFUNCTION("IF(OR(D974="""",G974=""""),"""",IFERROR(LET(
campo,XLOOKUP(TRIM(G974),ARRAYFORMULA(TRIM('indice columnas'!$A$2:$A$100)),'indice columnas'!$B$2:$B$100,""""),
col,IFERROR(MATCH(campo,Referencia!$A$1:$AZ$1,0),0),
fila,IFERROR(MATCH(TO_TEXT(D974),ARRAYFORMULA"&amp;"(TO_TEXT(Referencia!$A$2:$A6238)),0),0),
IF(OR(campo="""",campo=""-""),""NO APLICA"",
IF(col=0,""REVISAR EQUIVALENCIA"",
IF(fila=0,""SKU NO ENCONTRADO"",
LET(
valor,INDEX(Referencia!$A$2:$AZ6238,fila,col),
IF(TRIM(TO_TEXT(valor))=TRIM(TO_TEXT(I974)),
""OK"&amp;""",
""NO COINCIDE. Valor verdadero: ""&amp;IF(valor="""",""[VACÍO]"",TO_TEXT(valor))
)
))))
),""ERROR EN FÓRMULA""))"),"OK")</f>
        <v>OK</v>
      </c>
    </row>
    <row r="975">
      <c r="A975" s="83" t="s">
        <v>4618</v>
      </c>
      <c r="B975" s="83" t="s">
        <v>4619</v>
      </c>
      <c r="C975" s="81" t="s">
        <v>4621</v>
      </c>
      <c r="D975" s="83" t="s">
        <v>4115</v>
      </c>
      <c r="E975" s="81" t="s">
        <v>304</v>
      </c>
      <c r="F975" s="84">
        <v>34.0</v>
      </c>
      <c r="G975" s="81" t="s">
        <v>44</v>
      </c>
      <c r="H975" s="81" t="s">
        <v>4116</v>
      </c>
      <c r="I975" s="81" t="s">
        <v>226</v>
      </c>
      <c r="J975" s="81" t="s">
        <v>4088</v>
      </c>
      <c r="K975" s="81" t="str">
        <f>IFERROR(__xludf.DUMMYFUNCTION("IF(OR(D975="""",G975=""""),"""",IFERROR(LET(
campo,XLOOKUP(TRIM(G975),ARRAYFORMULA(TRIM('indice columnas'!$A$2:$A$100)),'indice columnas'!$B$2:$B$100,""""),
col,IFERROR(MATCH(campo,Referencia!$A$1:$AZ$1,0),0),
fila,IFERROR(MATCH(TO_TEXT(D975),ARRAYFORMULA"&amp;"(TO_TEXT(Referencia!$A$2:$A6238)),0),0),
IF(OR(campo="""",campo=""-""),""NO APLICA"",
IF(col=0,""REVISAR EQUIVALENCIA"",
IF(fila=0,""SKU NO ENCONTRADO"",
LET(
valor,INDEX(Referencia!$A$2:$AZ6238,fila,col),
IF(TRIM(TO_TEXT(valor))=TRIM(TO_TEXT(I975)),
""OK"&amp;""",
""NO COINCIDE. Valor verdadero: ""&amp;IF(valor="""",""[VACÍO]"",TO_TEXT(valor))
)
))))
),""ERROR EN FÓRMULA""))"),"NO APLICA")</f>
        <v>NO APLICA</v>
      </c>
    </row>
    <row r="976">
      <c r="A976" s="83" t="s">
        <v>4618</v>
      </c>
      <c r="B976" s="83" t="s">
        <v>4619</v>
      </c>
      <c r="C976" s="81" t="s">
        <v>4621</v>
      </c>
      <c r="D976" s="83" t="s">
        <v>4117</v>
      </c>
      <c r="E976" s="81" t="s">
        <v>305</v>
      </c>
      <c r="F976" s="84">
        <v>35.0</v>
      </c>
      <c r="G976" s="81" t="s">
        <v>12</v>
      </c>
      <c r="H976" s="81" t="s">
        <v>224</v>
      </c>
      <c r="I976" s="81" t="s">
        <v>55</v>
      </c>
      <c r="J976" s="81" t="s">
        <v>224</v>
      </c>
      <c r="K976" s="81" t="str">
        <f>IFERROR(__xludf.DUMMYFUNCTION("IF(OR(D976="""",G976=""""),"""",IFERROR(LET(
campo,XLOOKUP(TRIM(G976),ARRAYFORMULA(TRIM('indice columnas'!$A$2:$A$100)),'indice columnas'!$B$2:$B$100,""""),
col,IFERROR(MATCH(campo,Referencia!$A$1:$AZ$1,0),0),
fila,IFERROR(MATCH(TO_TEXT(D976),ARRAYFORMULA"&amp;"(TO_TEXT(Referencia!$A$2:$A6238)),0),0),
IF(OR(campo="""",campo=""-""),""NO APLICA"",
IF(col=0,""REVISAR EQUIVALENCIA"",
IF(fila=0,""SKU NO ENCONTRADO"",
LET(
valor,INDEX(Referencia!$A$2:$AZ6238,fila,col),
IF(TRIM(TO_TEXT(valor))=TRIM(TO_TEXT(I976)),
""OK"&amp;""",
""NO COINCIDE. Valor verdadero: ""&amp;IF(valor="""",""[VACÍO]"",TO_TEXT(valor))
)
))))
),""ERROR EN FÓRMULA""))"),"OK")</f>
        <v>OK</v>
      </c>
    </row>
    <row r="977">
      <c r="A977" s="83" t="s">
        <v>4618</v>
      </c>
      <c r="B977" s="83" t="s">
        <v>4619</v>
      </c>
      <c r="C977" s="81" t="s">
        <v>4621</v>
      </c>
      <c r="D977" s="83" t="s">
        <v>4117</v>
      </c>
      <c r="E977" s="81" t="s">
        <v>305</v>
      </c>
      <c r="F977" s="84">
        <v>35.0</v>
      </c>
      <c r="G977" s="81" t="s">
        <v>44</v>
      </c>
      <c r="H977" s="81" t="s">
        <v>4116</v>
      </c>
      <c r="I977" s="81" t="s">
        <v>226</v>
      </c>
      <c r="J977" s="81" t="s">
        <v>4088</v>
      </c>
      <c r="K977" s="81" t="str">
        <f>IFERROR(__xludf.DUMMYFUNCTION("IF(OR(D977="""",G977=""""),"""",IFERROR(LET(
campo,XLOOKUP(TRIM(G977),ARRAYFORMULA(TRIM('indice columnas'!$A$2:$A$100)),'indice columnas'!$B$2:$B$100,""""),
col,IFERROR(MATCH(campo,Referencia!$A$1:$AZ$1,0),0),
fila,IFERROR(MATCH(TO_TEXT(D977),ARRAYFORMULA"&amp;"(TO_TEXT(Referencia!$A$2:$A6238)),0),0),
IF(OR(campo="""",campo=""-""),""NO APLICA"",
IF(col=0,""REVISAR EQUIVALENCIA"",
IF(fila=0,""SKU NO ENCONTRADO"",
LET(
valor,INDEX(Referencia!$A$2:$AZ6238,fila,col),
IF(TRIM(TO_TEXT(valor))=TRIM(TO_TEXT(I977)),
""OK"&amp;""",
""NO COINCIDE. Valor verdadero: ""&amp;IF(valor="""",""[VACÍO]"",TO_TEXT(valor))
)
))))
),""ERROR EN FÓRMULA""))"),"NO APLICA")</f>
        <v>NO APLICA</v>
      </c>
    </row>
    <row r="978">
      <c r="A978" s="83" t="s">
        <v>4618</v>
      </c>
      <c r="B978" s="83" t="s">
        <v>4619</v>
      </c>
      <c r="C978" s="81" t="s">
        <v>4621</v>
      </c>
      <c r="D978" s="83" t="s">
        <v>4118</v>
      </c>
      <c r="E978" s="81" t="s">
        <v>308</v>
      </c>
      <c r="F978" s="84">
        <v>36.0</v>
      </c>
      <c r="G978" s="81" t="s">
        <v>44</v>
      </c>
      <c r="H978" s="81" t="s">
        <v>224</v>
      </c>
      <c r="I978" s="81" t="s">
        <v>308</v>
      </c>
      <c r="J978" s="81" t="s">
        <v>4088</v>
      </c>
      <c r="K978" s="81" t="str">
        <f>IFERROR(__xludf.DUMMYFUNCTION("IF(OR(D978="""",G978=""""),"""",IFERROR(LET(
campo,XLOOKUP(TRIM(G978),ARRAYFORMULA(TRIM('indice columnas'!$A$2:$A$100)),'indice columnas'!$B$2:$B$100,""""),
col,IFERROR(MATCH(campo,Referencia!$A$1:$AZ$1,0),0),
fila,IFERROR(MATCH(TO_TEXT(D978),ARRAYFORMULA"&amp;"(TO_TEXT(Referencia!$A$2:$A6238)),0),0),
IF(OR(campo="""",campo=""-""),""NO APLICA"",
IF(col=0,""REVISAR EQUIVALENCIA"",
IF(fila=0,""SKU NO ENCONTRADO"",
LET(
valor,INDEX(Referencia!$A$2:$AZ6238,fila,col),
IF(TRIM(TO_TEXT(valor))=TRIM(TO_TEXT(I978)),
""OK"&amp;""",
""NO COINCIDE. Valor verdadero: ""&amp;IF(valor="""",""[VACÍO]"",TO_TEXT(valor))
)
))))
),""ERROR EN FÓRMULA""))"),"NO APLICA")</f>
        <v>NO APLICA</v>
      </c>
    </row>
    <row r="979">
      <c r="A979" s="83" t="s">
        <v>4618</v>
      </c>
      <c r="B979" s="83" t="s">
        <v>4619</v>
      </c>
      <c r="C979" s="81" t="s">
        <v>4621</v>
      </c>
      <c r="D979" s="83" t="s">
        <v>4119</v>
      </c>
      <c r="E979" s="81" t="s">
        <v>320</v>
      </c>
      <c r="F979" s="84">
        <v>37.0</v>
      </c>
      <c r="G979" s="81" t="s">
        <v>44</v>
      </c>
      <c r="H979" s="81" t="s">
        <v>224</v>
      </c>
      <c r="I979" s="81" t="s">
        <v>320</v>
      </c>
      <c r="J979" s="81" t="s">
        <v>4088</v>
      </c>
      <c r="K979" s="81" t="str">
        <f>IFERROR(__xludf.DUMMYFUNCTION("IF(OR(D979="""",G979=""""),"""",IFERROR(LET(
campo,XLOOKUP(TRIM(G979),ARRAYFORMULA(TRIM('indice columnas'!$A$2:$A$100)),'indice columnas'!$B$2:$B$100,""""),
col,IFERROR(MATCH(campo,Referencia!$A$1:$AZ$1,0),0),
fila,IFERROR(MATCH(TO_TEXT(D979),ARRAYFORMULA"&amp;"(TO_TEXT(Referencia!$A$2:$A6238)),0),0),
IF(OR(campo="""",campo=""-""),""NO APLICA"",
IF(col=0,""REVISAR EQUIVALENCIA"",
IF(fila=0,""SKU NO ENCONTRADO"",
LET(
valor,INDEX(Referencia!$A$2:$AZ6238,fila,col),
IF(TRIM(TO_TEXT(valor))=TRIM(TO_TEXT(I979)),
""OK"&amp;""",
""NO COINCIDE. Valor verdadero: ""&amp;IF(valor="""",""[VACÍO]"",TO_TEXT(valor))
)
))))
),""ERROR EN FÓRMULA""))"),"NO APLICA")</f>
        <v>NO APLICA</v>
      </c>
    </row>
    <row r="980">
      <c r="A980" s="83" t="s">
        <v>4618</v>
      </c>
      <c r="B980" s="83" t="s">
        <v>4619</v>
      </c>
      <c r="C980" s="81" t="s">
        <v>4621</v>
      </c>
      <c r="D980" s="83" t="s">
        <v>4120</v>
      </c>
      <c r="E980" s="81" t="s">
        <v>331</v>
      </c>
      <c r="F980" s="84">
        <v>38.0</v>
      </c>
      <c r="G980" s="81" t="s">
        <v>44</v>
      </c>
      <c r="H980" s="81" t="s">
        <v>224</v>
      </c>
      <c r="I980" s="81" t="s">
        <v>331</v>
      </c>
      <c r="J980" s="81" t="s">
        <v>4088</v>
      </c>
      <c r="K980" s="81" t="str">
        <f>IFERROR(__xludf.DUMMYFUNCTION("IF(OR(D980="""",G980=""""),"""",IFERROR(LET(
campo,XLOOKUP(TRIM(G980),ARRAYFORMULA(TRIM('indice columnas'!$A$2:$A$100)),'indice columnas'!$B$2:$B$100,""""),
col,IFERROR(MATCH(campo,Referencia!$A$1:$AZ$1,0),0),
fila,IFERROR(MATCH(TO_TEXT(D980),ARRAYFORMULA"&amp;"(TO_TEXT(Referencia!$A$2:$A6238)),0),0),
IF(OR(campo="""",campo=""-""),""NO APLICA"",
IF(col=0,""REVISAR EQUIVALENCIA"",
IF(fila=0,""SKU NO ENCONTRADO"",
LET(
valor,INDEX(Referencia!$A$2:$AZ6238,fila,col),
IF(TRIM(TO_TEXT(valor))=TRIM(TO_TEXT(I980)),
""OK"&amp;""",
""NO COINCIDE. Valor verdadero: ""&amp;IF(valor="""",""[VACÍO]"",TO_TEXT(valor))
)
))))
),""ERROR EN FÓRMULA""))"),"NO APLICA")</f>
        <v>NO APLICA</v>
      </c>
    </row>
    <row r="981">
      <c r="A981" s="83" t="s">
        <v>4618</v>
      </c>
      <c r="B981" s="83" t="s">
        <v>4619</v>
      </c>
      <c r="C981" s="81" t="s">
        <v>4621</v>
      </c>
      <c r="D981" s="83" t="s">
        <v>4121</v>
      </c>
      <c r="E981" s="81" t="s">
        <v>343</v>
      </c>
      <c r="F981" s="84">
        <v>39.0</v>
      </c>
      <c r="G981" s="81" t="s">
        <v>44</v>
      </c>
      <c r="H981" s="81" t="s">
        <v>224</v>
      </c>
      <c r="I981" s="81" t="s">
        <v>343</v>
      </c>
      <c r="J981" s="81" t="s">
        <v>4088</v>
      </c>
      <c r="K981" s="81" t="str">
        <f>IFERROR(__xludf.DUMMYFUNCTION("IF(OR(D981="""",G981=""""),"""",IFERROR(LET(
campo,XLOOKUP(TRIM(G981),ARRAYFORMULA(TRIM('indice columnas'!$A$2:$A$100)),'indice columnas'!$B$2:$B$100,""""),
col,IFERROR(MATCH(campo,Referencia!$A$1:$AZ$1,0),0),
fila,IFERROR(MATCH(TO_TEXT(D981),ARRAYFORMULA"&amp;"(TO_TEXT(Referencia!$A$2:$A6238)),0),0),
IF(OR(campo="""",campo=""-""),""NO APLICA"",
IF(col=0,""REVISAR EQUIVALENCIA"",
IF(fila=0,""SKU NO ENCONTRADO"",
LET(
valor,INDEX(Referencia!$A$2:$AZ6238,fila,col),
IF(TRIM(TO_TEXT(valor))=TRIM(TO_TEXT(I981)),
""OK"&amp;""",
""NO COINCIDE. Valor verdadero: ""&amp;IF(valor="""",""[VACÍO]"",TO_TEXT(valor))
)
))))
),""ERROR EN FÓRMULA""))"),"NO APLICA")</f>
        <v>NO APLICA</v>
      </c>
    </row>
    <row r="982">
      <c r="A982" s="83" t="s">
        <v>4618</v>
      </c>
      <c r="B982" s="83" t="s">
        <v>4619</v>
      </c>
      <c r="C982" s="81" t="s">
        <v>4621</v>
      </c>
      <c r="D982" s="83" t="s">
        <v>4122</v>
      </c>
      <c r="E982" s="81" t="s">
        <v>362</v>
      </c>
      <c r="F982" s="84">
        <v>40.0</v>
      </c>
      <c r="G982" s="81" t="s">
        <v>23</v>
      </c>
      <c r="H982" s="83" t="s">
        <v>4123</v>
      </c>
      <c r="I982" s="81" t="s">
        <v>365</v>
      </c>
      <c r="J982" s="81" t="s">
        <v>224</v>
      </c>
      <c r="K982" s="81" t="str">
        <f>IFERROR(__xludf.DUMMYFUNCTION("IF(OR(D982="""",G982=""""),"""",IFERROR(LET(
campo,XLOOKUP(TRIM(G982),ARRAYFORMULA(TRIM('indice columnas'!$A$2:$A$100)),'indice columnas'!$B$2:$B$100,""""),
col,IFERROR(MATCH(campo,Referencia!$A$1:$AZ$1,0),0),
fila,IFERROR(MATCH(TO_TEXT(D982),ARRAYFORMULA"&amp;"(TO_TEXT(Referencia!$A$2:$A6238)),0),0),
IF(OR(campo="""",campo=""-""),""NO APLICA"",
IF(col=0,""REVISAR EQUIVALENCIA"",
IF(fila=0,""SKU NO ENCONTRADO"",
LET(
valor,INDEX(Referencia!$A$2:$AZ6238,fila,col),
IF(TRIM(TO_TEXT(valor))=TRIM(TO_TEXT(I982)),
""OK"&amp;""",
""NO COINCIDE. Valor verdadero: ""&amp;IF(valor="""",""[VACÍO]"",TO_TEXT(valor))
)
))))
),""ERROR EN FÓRMULA""))"),"NO COINCIDE. Valor verdadero: 70")</f>
        <v>NO COINCIDE. Valor verdadero: 70</v>
      </c>
    </row>
    <row r="983">
      <c r="A983" s="83" t="s">
        <v>4618</v>
      </c>
      <c r="B983" s="83" t="s">
        <v>4619</v>
      </c>
      <c r="C983" s="81" t="s">
        <v>4621</v>
      </c>
      <c r="D983" s="83" t="s">
        <v>4122</v>
      </c>
      <c r="E983" s="81" t="s">
        <v>362</v>
      </c>
      <c r="F983" s="84">
        <v>40.0</v>
      </c>
      <c r="G983" s="81" t="s">
        <v>44</v>
      </c>
      <c r="H983" s="81" t="s">
        <v>224</v>
      </c>
      <c r="I983" s="81" t="s">
        <v>362</v>
      </c>
      <c r="J983" s="81" t="s">
        <v>4088</v>
      </c>
      <c r="K983" s="81" t="str">
        <f>IFERROR(__xludf.DUMMYFUNCTION("IF(OR(D983="""",G983=""""),"""",IFERROR(LET(
campo,XLOOKUP(TRIM(G983),ARRAYFORMULA(TRIM('indice columnas'!$A$2:$A$100)),'indice columnas'!$B$2:$B$100,""""),
col,IFERROR(MATCH(campo,Referencia!$A$1:$AZ$1,0),0),
fila,IFERROR(MATCH(TO_TEXT(D983),ARRAYFORMULA"&amp;"(TO_TEXT(Referencia!$A$2:$A6238)),0),0),
IF(OR(campo="""",campo=""-""),""NO APLICA"",
IF(col=0,""REVISAR EQUIVALENCIA"",
IF(fila=0,""SKU NO ENCONTRADO"",
LET(
valor,INDEX(Referencia!$A$2:$AZ6238,fila,col),
IF(TRIM(TO_TEXT(valor))=TRIM(TO_TEXT(I983)),
""OK"&amp;""",
""NO COINCIDE. Valor verdadero: ""&amp;IF(valor="""",""[VACÍO]"",TO_TEXT(valor))
)
))))
),""ERROR EN FÓRMULA""))"),"NO APLICA")</f>
        <v>NO APLICA</v>
      </c>
    </row>
    <row r="984">
      <c r="A984" s="83" t="s">
        <v>4618</v>
      </c>
      <c r="B984" s="83" t="s">
        <v>4619</v>
      </c>
      <c r="C984" s="81" t="s">
        <v>4621</v>
      </c>
      <c r="D984" s="83" t="s">
        <v>4124</v>
      </c>
      <c r="E984" s="81" t="s">
        <v>375</v>
      </c>
      <c r="F984" s="84">
        <v>41.0</v>
      </c>
      <c r="G984" s="81" t="s">
        <v>44</v>
      </c>
      <c r="H984" s="81" t="s">
        <v>224</v>
      </c>
      <c r="I984" s="81" t="s">
        <v>375</v>
      </c>
      <c r="J984" s="81" t="s">
        <v>4088</v>
      </c>
      <c r="K984" s="81" t="str">
        <f>IFERROR(__xludf.DUMMYFUNCTION("IF(OR(D984="""",G984=""""),"""",IFERROR(LET(
campo,XLOOKUP(TRIM(G984),ARRAYFORMULA(TRIM('indice columnas'!$A$2:$A$100)),'indice columnas'!$B$2:$B$100,""""),
col,IFERROR(MATCH(campo,Referencia!$A$1:$AZ$1,0),0),
fila,IFERROR(MATCH(TO_TEXT(D984),ARRAYFORMULA"&amp;"(TO_TEXT(Referencia!$A$2:$A6238)),0),0),
IF(OR(campo="""",campo=""-""),""NO APLICA"",
IF(col=0,""REVISAR EQUIVALENCIA"",
IF(fila=0,""SKU NO ENCONTRADO"",
LET(
valor,INDEX(Referencia!$A$2:$AZ6238,fila,col),
IF(TRIM(TO_TEXT(valor))=TRIM(TO_TEXT(I984)),
""OK"&amp;""",
""NO COINCIDE. Valor verdadero: ""&amp;IF(valor="""",""[VACÍO]"",TO_TEXT(valor))
)
))))
),""ERROR EN FÓRMULA""))"),"NO APLICA")</f>
        <v>NO APLICA</v>
      </c>
    </row>
    <row r="985">
      <c r="A985" s="83" t="s">
        <v>4618</v>
      </c>
      <c r="B985" s="83" t="s">
        <v>4619</v>
      </c>
      <c r="C985" s="81" t="s">
        <v>4621</v>
      </c>
      <c r="D985" s="83" t="s">
        <v>4124</v>
      </c>
      <c r="E985" s="81" t="s">
        <v>392</v>
      </c>
      <c r="F985" s="84">
        <v>42.0</v>
      </c>
      <c r="G985" s="81" t="s">
        <v>44</v>
      </c>
      <c r="H985" s="81" t="s">
        <v>224</v>
      </c>
      <c r="I985" s="81" t="s">
        <v>375</v>
      </c>
      <c r="J985" s="81" t="s">
        <v>4088</v>
      </c>
      <c r="K985" s="81" t="str">
        <f>IFERROR(__xludf.DUMMYFUNCTION("IF(OR(D985="""",G985=""""),"""",IFERROR(LET(
campo,XLOOKUP(TRIM(G985),ARRAYFORMULA(TRIM('indice columnas'!$A$2:$A$100)),'indice columnas'!$B$2:$B$100,""""),
col,IFERROR(MATCH(campo,Referencia!$A$1:$AZ$1,0),0),
fila,IFERROR(MATCH(TO_TEXT(D985),ARRAYFORMULA"&amp;"(TO_TEXT(Referencia!$A$2:$A6238)),0),0),
IF(OR(campo="""",campo=""-""),""NO APLICA"",
IF(col=0,""REVISAR EQUIVALENCIA"",
IF(fila=0,""SKU NO ENCONTRADO"",
LET(
valor,INDEX(Referencia!$A$2:$AZ6238,fila,col),
IF(TRIM(TO_TEXT(valor))=TRIM(TO_TEXT(I985)),
""OK"&amp;""",
""NO COINCIDE. Valor verdadero: ""&amp;IF(valor="""",""[VACÍO]"",TO_TEXT(valor))
)
))))
),""ERROR EN FÓRMULA""))"),"NO APLICA")</f>
        <v>NO APLICA</v>
      </c>
    </row>
    <row r="986">
      <c r="A986" s="83" t="s">
        <v>4618</v>
      </c>
      <c r="B986" s="83" t="s">
        <v>4619</v>
      </c>
      <c r="C986" s="81" t="s">
        <v>4621</v>
      </c>
      <c r="D986" s="83" t="s">
        <v>4125</v>
      </c>
      <c r="E986" s="81" t="s">
        <v>393</v>
      </c>
      <c r="F986" s="84">
        <v>43.0</v>
      </c>
      <c r="G986" s="81" t="s">
        <v>44</v>
      </c>
      <c r="H986" s="81" t="s">
        <v>224</v>
      </c>
      <c r="I986" s="81" t="s">
        <v>375</v>
      </c>
      <c r="J986" s="81" t="s">
        <v>4088</v>
      </c>
      <c r="K986" s="81" t="str">
        <f>IFERROR(__xludf.DUMMYFUNCTION("IF(OR(D986="""",G986=""""),"""",IFERROR(LET(
campo,XLOOKUP(TRIM(G986),ARRAYFORMULA(TRIM('indice columnas'!$A$2:$A$100)),'indice columnas'!$B$2:$B$100,""""),
col,IFERROR(MATCH(campo,Referencia!$A$1:$AZ$1,0),0),
fila,IFERROR(MATCH(TO_TEXT(D986),ARRAYFORMULA"&amp;"(TO_TEXT(Referencia!$A$2:$A6238)),0),0),
IF(OR(campo="""",campo=""-""),""NO APLICA"",
IF(col=0,""REVISAR EQUIVALENCIA"",
IF(fila=0,""SKU NO ENCONTRADO"",
LET(
valor,INDEX(Referencia!$A$2:$AZ6238,fila,col),
IF(TRIM(TO_TEXT(valor))=TRIM(TO_TEXT(I986)),
""OK"&amp;""",
""NO COINCIDE. Valor verdadero: ""&amp;IF(valor="""",""[VACÍO]"",TO_TEXT(valor))
)
))))
),""ERROR EN FÓRMULA""))"),"NO APLICA")</f>
        <v>NO APLICA</v>
      </c>
    </row>
    <row r="987">
      <c r="A987" s="83" t="s">
        <v>4618</v>
      </c>
      <c r="B987" s="83" t="s">
        <v>4619</v>
      </c>
      <c r="C987" s="81" t="s">
        <v>4621</v>
      </c>
      <c r="D987" s="83" t="s">
        <v>4126</v>
      </c>
      <c r="E987" s="81" t="s">
        <v>396</v>
      </c>
      <c r="F987" s="84">
        <v>44.0</v>
      </c>
      <c r="G987" s="81" t="s">
        <v>12</v>
      </c>
      <c r="H987" s="81" t="s">
        <v>224</v>
      </c>
      <c r="I987" s="81" t="s">
        <v>55</v>
      </c>
      <c r="J987" s="81" t="s">
        <v>224</v>
      </c>
      <c r="K987" s="81" t="str">
        <f>IFERROR(__xludf.DUMMYFUNCTION("IF(OR(D987="""",G987=""""),"""",IFERROR(LET(
campo,XLOOKUP(TRIM(G987),ARRAYFORMULA(TRIM('indice columnas'!$A$2:$A$100)),'indice columnas'!$B$2:$B$100,""""),
col,IFERROR(MATCH(campo,Referencia!$A$1:$AZ$1,0),0),
fila,IFERROR(MATCH(TO_TEXT(D987),ARRAYFORMULA"&amp;"(TO_TEXT(Referencia!$A$2:$A6238)),0),0),
IF(OR(campo="""",campo=""-""),""NO APLICA"",
IF(col=0,""REVISAR EQUIVALENCIA"",
IF(fila=0,""SKU NO ENCONTRADO"",
LET(
valor,INDEX(Referencia!$A$2:$AZ6238,fila,col),
IF(TRIM(TO_TEXT(valor))=TRIM(TO_TEXT(I987)),
""OK"&amp;""",
""NO COINCIDE. Valor verdadero: ""&amp;IF(valor="""",""[VACÍO]"",TO_TEXT(valor))
)
))))
),""ERROR EN FÓRMULA""))"),"OK")</f>
        <v>OK</v>
      </c>
    </row>
    <row r="988">
      <c r="A988" s="83" t="s">
        <v>4618</v>
      </c>
      <c r="B988" s="83" t="s">
        <v>4619</v>
      </c>
      <c r="C988" s="81" t="s">
        <v>4621</v>
      </c>
      <c r="D988" s="83" t="s">
        <v>4126</v>
      </c>
      <c r="E988" s="81" t="s">
        <v>396</v>
      </c>
      <c r="F988" s="84">
        <v>44.0</v>
      </c>
      <c r="G988" s="81" t="s">
        <v>44</v>
      </c>
      <c r="H988" s="81" t="s">
        <v>224</v>
      </c>
      <c r="I988" s="81" t="s">
        <v>396</v>
      </c>
      <c r="J988" s="81" t="s">
        <v>4088</v>
      </c>
      <c r="K988" s="81" t="str">
        <f>IFERROR(__xludf.DUMMYFUNCTION("IF(OR(D988="""",G988=""""),"""",IFERROR(LET(
campo,XLOOKUP(TRIM(G988),ARRAYFORMULA(TRIM('indice columnas'!$A$2:$A$100)),'indice columnas'!$B$2:$B$100,""""),
col,IFERROR(MATCH(campo,Referencia!$A$1:$AZ$1,0),0),
fila,IFERROR(MATCH(TO_TEXT(D988),ARRAYFORMULA"&amp;"(TO_TEXT(Referencia!$A$2:$A6238)),0),0),
IF(OR(campo="""",campo=""-""),""NO APLICA"",
IF(col=0,""REVISAR EQUIVALENCIA"",
IF(fila=0,""SKU NO ENCONTRADO"",
LET(
valor,INDEX(Referencia!$A$2:$AZ6238,fila,col),
IF(TRIM(TO_TEXT(valor))=TRIM(TO_TEXT(I988)),
""OK"&amp;""",
""NO COINCIDE. Valor verdadero: ""&amp;IF(valor="""",""[VACÍO]"",TO_TEXT(valor))
)
))))
),""ERROR EN FÓRMULA""))"),"NO APLICA")</f>
        <v>NO APLICA</v>
      </c>
    </row>
    <row r="989">
      <c r="A989" s="83" t="s">
        <v>4618</v>
      </c>
      <c r="B989" s="83" t="s">
        <v>4619</v>
      </c>
      <c r="C989" s="81" t="s">
        <v>4621</v>
      </c>
      <c r="D989" s="83" t="s">
        <v>4127</v>
      </c>
      <c r="E989" s="81" t="s">
        <v>404</v>
      </c>
      <c r="F989" s="84">
        <v>45.0</v>
      </c>
      <c r="G989" s="81" t="s">
        <v>12</v>
      </c>
      <c r="H989" s="81" t="s">
        <v>224</v>
      </c>
      <c r="I989" s="81" t="s">
        <v>55</v>
      </c>
      <c r="J989" s="81" t="s">
        <v>224</v>
      </c>
      <c r="K989" s="81" t="str">
        <f>IFERROR(__xludf.DUMMYFUNCTION("IF(OR(D989="""",G989=""""),"""",IFERROR(LET(
campo,XLOOKUP(TRIM(G989),ARRAYFORMULA(TRIM('indice columnas'!$A$2:$A$100)),'indice columnas'!$B$2:$B$100,""""),
col,IFERROR(MATCH(campo,Referencia!$A$1:$AZ$1,0),0),
fila,IFERROR(MATCH(TO_TEXT(D989),ARRAYFORMULA"&amp;"(TO_TEXT(Referencia!$A$2:$A6238)),0),0),
IF(OR(campo="""",campo=""-""),""NO APLICA"",
IF(col=0,""REVISAR EQUIVALENCIA"",
IF(fila=0,""SKU NO ENCONTRADO"",
LET(
valor,INDEX(Referencia!$A$2:$AZ6238,fila,col),
IF(TRIM(TO_TEXT(valor))=TRIM(TO_TEXT(I989)),
""OK"&amp;""",
""NO COINCIDE. Valor verdadero: ""&amp;IF(valor="""",""[VACÍO]"",TO_TEXT(valor))
)
))))
),""ERROR EN FÓRMULA""))"),"OK")</f>
        <v>OK</v>
      </c>
    </row>
    <row r="990">
      <c r="A990" s="83" t="s">
        <v>4618</v>
      </c>
      <c r="B990" s="83" t="s">
        <v>4619</v>
      </c>
      <c r="C990" s="81" t="s">
        <v>4621</v>
      </c>
      <c r="D990" s="83" t="s">
        <v>4127</v>
      </c>
      <c r="E990" s="81" t="s">
        <v>404</v>
      </c>
      <c r="F990" s="84">
        <v>45.0</v>
      </c>
      <c r="G990" s="81" t="s">
        <v>44</v>
      </c>
      <c r="H990" s="81" t="s">
        <v>224</v>
      </c>
      <c r="I990" s="81" t="s">
        <v>404</v>
      </c>
      <c r="J990" s="81" t="s">
        <v>4088</v>
      </c>
      <c r="K990" s="81" t="str">
        <f>IFERROR(__xludf.DUMMYFUNCTION("IF(OR(D990="""",G990=""""),"""",IFERROR(LET(
campo,XLOOKUP(TRIM(G990),ARRAYFORMULA(TRIM('indice columnas'!$A$2:$A$100)),'indice columnas'!$B$2:$B$100,""""),
col,IFERROR(MATCH(campo,Referencia!$A$1:$AZ$1,0),0),
fila,IFERROR(MATCH(TO_TEXT(D990),ARRAYFORMULA"&amp;"(TO_TEXT(Referencia!$A$2:$A6238)),0),0),
IF(OR(campo="""",campo=""-""),""NO APLICA"",
IF(col=0,""REVISAR EQUIVALENCIA"",
IF(fila=0,""SKU NO ENCONTRADO"",
LET(
valor,INDEX(Referencia!$A$2:$AZ6238,fila,col),
IF(TRIM(TO_TEXT(valor))=TRIM(TO_TEXT(I990)),
""OK"&amp;""",
""NO COINCIDE. Valor verdadero: ""&amp;IF(valor="""",""[VACÍO]"",TO_TEXT(valor))
)
))))
),""ERROR EN FÓRMULA""))"),"NO APLICA")</f>
        <v>NO APLICA</v>
      </c>
    </row>
    <row r="991">
      <c r="A991" s="83" t="s">
        <v>4618</v>
      </c>
      <c r="B991" s="83" t="s">
        <v>4619</v>
      </c>
      <c r="C991" s="81" t="s">
        <v>4621</v>
      </c>
      <c r="D991" s="83" t="s">
        <v>4128</v>
      </c>
      <c r="E991" s="81" t="s">
        <v>412</v>
      </c>
      <c r="F991" s="84">
        <v>46.0</v>
      </c>
      <c r="G991" s="81" t="s">
        <v>44</v>
      </c>
      <c r="H991" s="81" t="s">
        <v>224</v>
      </c>
      <c r="I991" s="81" t="s">
        <v>412</v>
      </c>
      <c r="J991" s="81" t="s">
        <v>4088</v>
      </c>
      <c r="K991" s="81" t="str">
        <f>IFERROR(__xludf.DUMMYFUNCTION("IF(OR(D991="""",G991=""""),"""",IFERROR(LET(
campo,XLOOKUP(TRIM(G991),ARRAYFORMULA(TRIM('indice columnas'!$A$2:$A$100)),'indice columnas'!$B$2:$B$100,""""),
col,IFERROR(MATCH(campo,Referencia!$A$1:$AZ$1,0),0),
fila,IFERROR(MATCH(TO_TEXT(D991),ARRAYFORMULA"&amp;"(TO_TEXT(Referencia!$A$2:$A6238)),0),0),
IF(OR(campo="""",campo=""-""),""NO APLICA"",
IF(col=0,""REVISAR EQUIVALENCIA"",
IF(fila=0,""SKU NO ENCONTRADO"",
LET(
valor,INDEX(Referencia!$A$2:$AZ6238,fila,col),
IF(TRIM(TO_TEXT(valor))=TRIM(TO_TEXT(I991)),
""OK"&amp;""",
""NO COINCIDE. Valor verdadero: ""&amp;IF(valor="""",""[VACÍO]"",TO_TEXT(valor))
)
))))
),""ERROR EN FÓRMULA""))"),"NO APLICA")</f>
        <v>NO APLICA</v>
      </c>
    </row>
    <row r="992">
      <c r="A992" s="83" t="s">
        <v>4618</v>
      </c>
      <c r="B992" s="83" t="s">
        <v>4619</v>
      </c>
      <c r="C992" s="81" t="s">
        <v>4621</v>
      </c>
      <c r="D992" s="83" t="s">
        <v>4129</v>
      </c>
      <c r="E992" s="81" t="s">
        <v>428</v>
      </c>
      <c r="F992" s="84">
        <v>47.0</v>
      </c>
      <c r="G992" s="81" t="s">
        <v>44</v>
      </c>
      <c r="H992" s="81" t="s">
        <v>224</v>
      </c>
      <c r="I992" s="81" t="s">
        <v>428</v>
      </c>
      <c r="J992" s="81" t="s">
        <v>4088</v>
      </c>
      <c r="K992" s="81" t="str">
        <f>IFERROR(__xludf.DUMMYFUNCTION("IF(OR(D992="""",G992=""""),"""",IFERROR(LET(
campo,XLOOKUP(TRIM(G992),ARRAYFORMULA(TRIM('indice columnas'!$A$2:$A$100)),'indice columnas'!$B$2:$B$100,""""),
col,IFERROR(MATCH(campo,Referencia!$A$1:$AZ$1,0),0),
fila,IFERROR(MATCH(TO_TEXT(D992),ARRAYFORMULA"&amp;"(TO_TEXT(Referencia!$A$2:$A6238)),0),0),
IF(OR(campo="""",campo=""-""),""NO APLICA"",
IF(col=0,""REVISAR EQUIVALENCIA"",
IF(fila=0,""SKU NO ENCONTRADO"",
LET(
valor,INDEX(Referencia!$A$2:$AZ6238,fila,col),
IF(TRIM(TO_TEXT(valor))=TRIM(TO_TEXT(I992)),
""OK"&amp;""",
""NO COINCIDE. Valor verdadero: ""&amp;IF(valor="""",""[VACÍO]"",TO_TEXT(valor))
)
))))
),""ERROR EN FÓRMULA""))"),"NO APLICA")</f>
        <v>NO APLICA</v>
      </c>
    </row>
    <row r="993">
      <c r="A993" s="83" t="s">
        <v>4618</v>
      </c>
      <c r="B993" s="83" t="s">
        <v>4619</v>
      </c>
      <c r="C993" s="81" t="s">
        <v>4621</v>
      </c>
      <c r="D993" s="83" t="s">
        <v>4130</v>
      </c>
      <c r="E993" s="81" t="s">
        <v>441</v>
      </c>
      <c r="F993" s="84">
        <v>48.0</v>
      </c>
      <c r="G993" s="81" t="s">
        <v>44</v>
      </c>
      <c r="H993" s="81" t="s">
        <v>4131</v>
      </c>
      <c r="I993" s="81" t="s">
        <v>441</v>
      </c>
      <c r="J993" s="81" t="s">
        <v>4088</v>
      </c>
      <c r="K993" s="81" t="str">
        <f>IFERROR(__xludf.DUMMYFUNCTION("IF(OR(D993="""",G993=""""),"""",IFERROR(LET(
campo,XLOOKUP(TRIM(G993),ARRAYFORMULA(TRIM('indice columnas'!$A$2:$A$100)),'indice columnas'!$B$2:$B$100,""""),
col,IFERROR(MATCH(campo,Referencia!$A$1:$AZ$1,0),0),
fila,IFERROR(MATCH(TO_TEXT(D993),ARRAYFORMULA"&amp;"(TO_TEXT(Referencia!$A$2:$A6238)),0),0),
IF(OR(campo="""",campo=""-""),""NO APLICA"",
IF(col=0,""REVISAR EQUIVALENCIA"",
IF(fila=0,""SKU NO ENCONTRADO"",
LET(
valor,INDEX(Referencia!$A$2:$AZ6238,fila,col),
IF(TRIM(TO_TEXT(valor))=TRIM(TO_TEXT(I993)),
""OK"&amp;""",
""NO COINCIDE. Valor verdadero: ""&amp;IF(valor="""",""[VACÍO]"",TO_TEXT(valor))
)
))))
),""ERROR EN FÓRMULA""))"),"NO APLICA")</f>
        <v>NO APLICA</v>
      </c>
    </row>
    <row r="994">
      <c r="A994" s="83" t="s">
        <v>4618</v>
      </c>
      <c r="B994" s="83" t="s">
        <v>4619</v>
      </c>
      <c r="C994" s="81" t="s">
        <v>4621</v>
      </c>
      <c r="D994" s="83" t="s">
        <v>4130</v>
      </c>
      <c r="E994" s="81" t="s">
        <v>455</v>
      </c>
      <c r="F994" s="84">
        <v>49.0</v>
      </c>
      <c r="G994" s="81" t="s">
        <v>44</v>
      </c>
      <c r="H994" s="81" t="s">
        <v>4131</v>
      </c>
      <c r="I994" s="81" t="s">
        <v>441</v>
      </c>
      <c r="J994" s="81" t="s">
        <v>4088</v>
      </c>
      <c r="K994" s="81" t="str">
        <f>IFERROR(__xludf.DUMMYFUNCTION("IF(OR(D994="""",G994=""""),"""",IFERROR(LET(
campo,XLOOKUP(TRIM(G994),ARRAYFORMULA(TRIM('indice columnas'!$A$2:$A$100)),'indice columnas'!$B$2:$B$100,""""),
col,IFERROR(MATCH(campo,Referencia!$A$1:$AZ$1,0),0),
fila,IFERROR(MATCH(TO_TEXT(D994),ARRAYFORMULA"&amp;"(TO_TEXT(Referencia!$A$2:$A6238)),0),0),
IF(OR(campo="""",campo=""-""),""NO APLICA"",
IF(col=0,""REVISAR EQUIVALENCIA"",
IF(fila=0,""SKU NO ENCONTRADO"",
LET(
valor,INDEX(Referencia!$A$2:$AZ6238,fila,col),
IF(TRIM(TO_TEXT(valor))=TRIM(TO_TEXT(I994)),
""OK"&amp;""",
""NO COINCIDE. Valor verdadero: ""&amp;IF(valor="""",""[VACÍO]"",TO_TEXT(valor))
)
))))
),""ERROR EN FÓRMULA""))"),"NO APLICA")</f>
        <v>NO APLICA</v>
      </c>
    </row>
    <row r="995">
      <c r="A995" s="83" t="s">
        <v>4618</v>
      </c>
      <c r="B995" s="83" t="s">
        <v>4619</v>
      </c>
      <c r="C995" s="81" t="s">
        <v>4621</v>
      </c>
      <c r="D995" s="83" t="s">
        <v>4132</v>
      </c>
      <c r="E995" s="81" t="s">
        <v>456</v>
      </c>
      <c r="F995" s="84">
        <v>50.0</v>
      </c>
      <c r="G995" s="81" t="s">
        <v>44</v>
      </c>
      <c r="H995" s="81" t="s">
        <v>4131</v>
      </c>
      <c r="I995" s="81" t="s">
        <v>441</v>
      </c>
      <c r="J995" s="81" t="s">
        <v>4088</v>
      </c>
      <c r="K995" s="81" t="str">
        <f>IFERROR(__xludf.DUMMYFUNCTION("IF(OR(D995="""",G995=""""),"""",IFERROR(LET(
campo,XLOOKUP(TRIM(G995),ARRAYFORMULA(TRIM('indice columnas'!$A$2:$A$100)),'indice columnas'!$B$2:$B$100,""""),
col,IFERROR(MATCH(campo,Referencia!$A$1:$AZ$1,0),0),
fila,IFERROR(MATCH(TO_TEXT(D995),ARRAYFORMULA"&amp;"(TO_TEXT(Referencia!$A$2:$A6238)),0),0),
IF(OR(campo="""",campo=""-""),""NO APLICA"",
IF(col=0,""REVISAR EQUIVALENCIA"",
IF(fila=0,""SKU NO ENCONTRADO"",
LET(
valor,INDEX(Referencia!$A$2:$AZ6238,fila,col),
IF(TRIM(TO_TEXT(valor))=TRIM(TO_TEXT(I995)),
""OK"&amp;""",
""NO COINCIDE. Valor verdadero: ""&amp;IF(valor="""",""[VACÍO]"",TO_TEXT(valor))
)
))))
),""ERROR EN FÓRMULA""))"),"NO APLICA")</f>
        <v>NO APLICA</v>
      </c>
    </row>
    <row r="996">
      <c r="A996" s="83" t="s">
        <v>4618</v>
      </c>
      <c r="B996" s="83" t="s">
        <v>4619</v>
      </c>
      <c r="C996" s="81" t="s">
        <v>4621</v>
      </c>
      <c r="D996" s="83" t="s">
        <v>4133</v>
      </c>
      <c r="E996" s="81" t="s">
        <v>459</v>
      </c>
      <c r="F996" s="84">
        <v>51.0</v>
      </c>
      <c r="G996" s="81" t="s">
        <v>44</v>
      </c>
      <c r="H996" s="81" t="s">
        <v>224</v>
      </c>
      <c r="I996" s="81" t="s">
        <v>459</v>
      </c>
      <c r="J996" s="81" t="s">
        <v>4088</v>
      </c>
      <c r="K996" s="81" t="str">
        <f>IFERROR(__xludf.DUMMYFUNCTION("IF(OR(D996="""",G996=""""),"""",IFERROR(LET(
campo,XLOOKUP(TRIM(G996),ARRAYFORMULA(TRIM('indice columnas'!$A$2:$A$100)),'indice columnas'!$B$2:$B$100,""""),
col,IFERROR(MATCH(campo,Referencia!$A$1:$AZ$1,0),0),
fila,IFERROR(MATCH(TO_TEXT(D996),ARRAYFORMULA"&amp;"(TO_TEXT(Referencia!$A$2:$A6238)),0),0),
IF(OR(campo="""",campo=""-""),""NO APLICA"",
IF(col=0,""REVISAR EQUIVALENCIA"",
IF(fila=0,""SKU NO ENCONTRADO"",
LET(
valor,INDEX(Referencia!$A$2:$AZ6238,fila,col),
IF(TRIM(TO_TEXT(valor))=TRIM(TO_TEXT(I996)),
""OK"&amp;""",
""NO COINCIDE. Valor verdadero: ""&amp;IF(valor="""",""[VACÍO]"",TO_TEXT(valor))
)
))))
),""ERROR EN FÓRMULA""))"),"NO APLICA")</f>
        <v>NO APLICA</v>
      </c>
    </row>
    <row r="997">
      <c r="A997" s="83" t="s">
        <v>4618</v>
      </c>
      <c r="B997" s="83" t="s">
        <v>4619</v>
      </c>
      <c r="C997" s="81" t="s">
        <v>4621</v>
      </c>
      <c r="D997" s="83" t="s">
        <v>4133</v>
      </c>
      <c r="E997" s="81" t="s">
        <v>468</v>
      </c>
      <c r="F997" s="84">
        <v>52.0</v>
      </c>
      <c r="G997" s="81" t="s">
        <v>12</v>
      </c>
      <c r="H997" s="81" t="s">
        <v>224</v>
      </c>
      <c r="I997" s="81" t="s">
        <v>55</v>
      </c>
      <c r="J997" s="81" t="s">
        <v>224</v>
      </c>
      <c r="K997" s="81" t="str">
        <f>IFERROR(__xludf.DUMMYFUNCTION("IF(OR(D997="""",G997=""""),"""",IFERROR(LET(
campo,XLOOKUP(TRIM(G997),ARRAYFORMULA(TRIM('indice columnas'!$A$2:$A$100)),'indice columnas'!$B$2:$B$100,""""),
col,IFERROR(MATCH(campo,Referencia!$A$1:$AZ$1,0),0),
fila,IFERROR(MATCH(TO_TEXT(D997),ARRAYFORMULA"&amp;"(TO_TEXT(Referencia!$A$2:$A6238)),0),0),
IF(OR(campo="""",campo=""-""),""NO APLICA"",
IF(col=0,""REVISAR EQUIVALENCIA"",
IF(fila=0,""SKU NO ENCONTRADO"",
LET(
valor,INDEX(Referencia!$A$2:$AZ6238,fila,col),
IF(TRIM(TO_TEXT(valor))=TRIM(TO_TEXT(I997)),
""OK"&amp;""",
""NO COINCIDE. Valor verdadero: ""&amp;IF(valor="""",""[VACÍO]"",TO_TEXT(valor))
)
))))
),""ERROR EN FÓRMULA""))"),"OK")</f>
        <v>OK</v>
      </c>
    </row>
    <row r="998">
      <c r="A998" s="83" t="s">
        <v>4618</v>
      </c>
      <c r="B998" s="83" t="s">
        <v>4619</v>
      </c>
      <c r="C998" s="81" t="s">
        <v>4621</v>
      </c>
      <c r="D998" s="83" t="s">
        <v>4133</v>
      </c>
      <c r="E998" s="81" t="s">
        <v>468</v>
      </c>
      <c r="F998" s="84">
        <v>52.0</v>
      </c>
      <c r="G998" s="81" t="s">
        <v>44</v>
      </c>
      <c r="H998" s="81" t="s">
        <v>224</v>
      </c>
      <c r="I998" s="81" t="s">
        <v>459</v>
      </c>
      <c r="J998" s="81" t="s">
        <v>4088</v>
      </c>
      <c r="K998" s="81" t="str">
        <f>IFERROR(__xludf.DUMMYFUNCTION("IF(OR(D998="""",G998=""""),"""",IFERROR(LET(
campo,XLOOKUP(TRIM(G998),ARRAYFORMULA(TRIM('indice columnas'!$A$2:$A$100)),'indice columnas'!$B$2:$B$100,""""),
col,IFERROR(MATCH(campo,Referencia!$A$1:$AZ$1,0),0),
fila,IFERROR(MATCH(TO_TEXT(D998),ARRAYFORMULA"&amp;"(TO_TEXT(Referencia!$A$2:$A6238)),0),0),
IF(OR(campo="""",campo=""-""),""NO APLICA"",
IF(col=0,""REVISAR EQUIVALENCIA"",
IF(fila=0,""SKU NO ENCONTRADO"",
LET(
valor,INDEX(Referencia!$A$2:$AZ6238,fila,col),
IF(TRIM(TO_TEXT(valor))=TRIM(TO_TEXT(I998)),
""OK"&amp;""",
""NO COINCIDE. Valor verdadero: ""&amp;IF(valor="""",""[VACÍO]"",TO_TEXT(valor))
)
))))
),""ERROR EN FÓRMULA""))"),"NO APLICA")</f>
        <v>NO APLICA</v>
      </c>
    </row>
    <row r="999">
      <c r="A999" s="83" t="s">
        <v>4618</v>
      </c>
      <c r="B999" s="83" t="s">
        <v>4619</v>
      </c>
      <c r="C999" s="81" t="s">
        <v>4621</v>
      </c>
      <c r="D999" s="83" t="s">
        <v>4134</v>
      </c>
      <c r="E999" s="81" t="s">
        <v>470</v>
      </c>
      <c r="F999" s="84">
        <v>53.0</v>
      </c>
      <c r="G999" s="81" t="s">
        <v>44</v>
      </c>
      <c r="H999" s="81" t="s">
        <v>224</v>
      </c>
      <c r="I999" s="81" t="s">
        <v>470</v>
      </c>
      <c r="J999" s="81" t="s">
        <v>4088</v>
      </c>
      <c r="K999" s="81" t="str">
        <f>IFERROR(__xludf.DUMMYFUNCTION("IF(OR(D999="""",G999=""""),"""",IFERROR(LET(
campo,XLOOKUP(TRIM(G999),ARRAYFORMULA(TRIM('indice columnas'!$A$2:$A$100)),'indice columnas'!$B$2:$B$100,""""),
col,IFERROR(MATCH(campo,Referencia!$A$1:$AZ$1,0),0),
fila,IFERROR(MATCH(TO_TEXT(D999),ARRAYFORMULA"&amp;"(TO_TEXT(Referencia!$A$2:$A6238)),0),0),
IF(OR(campo="""",campo=""-""),""NO APLICA"",
IF(col=0,""REVISAR EQUIVALENCIA"",
IF(fila=0,""SKU NO ENCONTRADO"",
LET(
valor,INDEX(Referencia!$A$2:$AZ6238,fila,col),
IF(TRIM(TO_TEXT(valor))=TRIM(TO_TEXT(I999)),
""OK"&amp;""",
""NO COINCIDE. Valor verdadero: ""&amp;IF(valor="""",""[VACÍO]"",TO_TEXT(valor))
)
))))
),""ERROR EN FÓRMULA""))"),"NO APLICA")</f>
        <v>NO APLICA</v>
      </c>
    </row>
    <row r="1000">
      <c r="A1000" s="83" t="s">
        <v>4618</v>
      </c>
      <c r="B1000" s="83" t="s">
        <v>4619</v>
      </c>
      <c r="C1000" s="81" t="s">
        <v>4621</v>
      </c>
      <c r="D1000" s="83" t="s">
        <v>4134</v>
      </c>
      <c r="E1000" s="81" t="s">
        <v>475</v>
      </c>
      <c r="F1000" s="84">
        <v>54.0</v>
      </c>
      <c r="G1000" s="81" t="s">
        <v>12</v>
      </c>
      <c r="H1000" s="81" t="s">
        <v>224</v>
      </c>
      <c r="I1000" s="81" t="s">
        <v>55</v>
      </c>
      <c r="J1000" s="81" t="s">
        <v>224</v>
      </c>
      <c r="K1000" s="81" t="str">
        <f>IFERROR(__xludf.DUMMYFUNCTION("IF(OR(D1000="""",G1000=""""),"""",IFERROR(LET(
campo,XLOOKUP(TRIM(G1000),ARRAYFORMULA(TRIM('indice columnas'!$A$2:$A$100)),'indice columnas'!$B$2:$B$100,""""),
col,IFERROR(MATCH(campo,Referencia!$A$1:$AZ$1,0),0),
fila,IFERROR(MATCH(TO_TEXT(D1000),ARRAYFOR"&amp;"MULA(TO_TEXT(Referencia!$A$2:$A6238)),0),0),
IF(OR(campo="""",campo=""-""),""NO APLICA"",
IF(col=0,""REVISAR EQUIVALENCIA"",
IF(fila=0,""SKU NO ENCONTRADO"",
LET(
valor,INDEX(Referencia!$A$2:$AZ6238,fila,col),
IF(TRIM(TO_TEXT(valor))=TRIM(TO_TEXT(I1000)),"&amp;"
""OK"",
""NO COINCIDE. Valor verdadero: ""&amp;IF(valor="""",""[VACÍO]"",TO_TEXT(valor))
)
))))
),""ERROR EN FÓRMULA""))"),"OK")</f>
        <v>OK</v>
      </c>
    </row>
    <row r="1001">
      <c r="A1001" s="83" t="s">
        <v>4618</v>
      </c>
      <c r="B1001" s="83" t="s">
        <v>4619</v>
      </c>
      <c r="C1001" s="81" t="s">
        <v>4621</v>
      </c>
      <c r="D1001" s="83" t="s">
        <v>4134</v>
      </c>
      <c r="E1001" s="81" t="s">
        <v>475</v>
      </c>
      <c r="F1001" s="84">
        <v>54.0</v>
      </c>
      <c r="G1001" s="81" t="s">
        <v>44</v>
      </c>
      <c r="H1001" s="81" t="s">
        <v>224</v>
      </c>
      <c r="I1001" s="81" t="s">
        <v>470</v>
      </c>
      <c r="J1001" s="81" t="s">
        <v>4088</v>
      </c>
      <c r="K1001" s="81" t="str">
        <f>IFERROR(__xludf.DUMMYFUNCTION("IF(OR(D1001="""",G1001=""""),"""",IFERROR(LET(
campo,XLOOKUP(TRIM(G1001),ARRAYFORMULA(TRIM('indice columnas'!$A$2:$A$100)),'indice columnas'!$B$2:$B$100,""""),
col,IFERROR(MATCH(campo,Referencia!$A$1:$AZ$1,0),0),
fila,IFERROR(MATCH(TO_TEXT(D1001),ARRAYFOR"&amp;"MULA(TO_TEXT(Referencia!$A$2:$A6238)),0),0),
IF(OR(campo="""",campo=""-""),""NO APLICA"",
IF(col=0,""REVISAR EQUIVALENCIA"",
IF(fila=0,""SKU NO ENCONTRADO"",
LET(
valor,INDEX(Referencia!$A$2:$AZ6238,fila,col),
IF(TRIM(TO_TEXT(valor))=TRIM(TO_TEXT(I1001)),"&amp;"
""OK"",
""NO COINCIDE. Valor verdadero: ""&amp;IF(valor="""",""[VACÍO]"",TO_TEXT(valor))
)
))))
),""ERROR EN FÓRMULA""))"),"NO APLICA")</f>
        <v>NO APLICA</v>
      </c>
    </row>
    <row r="1002">
      <c r="A1002" s="83" t="s">
        <v>4618</v>
      </c>
      <c r="B1002" s="83" t="s">
        <v>4619</v>
      </c>
      <c r="C1002" s="81" t="s">
        <v>4621</v>
      </c>
      <c r="D1002" s="83" t="s">
        <v>4135</v>
      </c>
      <c r="E1002" s="81" t="s">
        <v>476</v>
      </c>
      <c r="F1002" s="84">
        <v>55.0</v>
      </c>
      <c r="G1002" s="81" t="s">
        <v>12</v>
      </c>
      <c r="H1002" s="81" t="s">
        <v>224</v>
      </c>
      <c r="I1002" s="81" t="s">
        <v>55</v>
      </c>
      <c r="J1002" s="81" t="s">
        <v>224</v>
      </c>
      <c r="K1002" s="81" t="str">
        <f>IFERROR(__xludf.DUMMYFUNCTION("IF(OR(D1002="""",G1002=""""),"""",IFERROR(LET(
campo,XLOOKUP(TRIM(G1002),ARRAYFORMULA(TRIM('indice columnas'!$A$2:$A$100)),'indice columnas'!$B$2:$B$100,""""),
col,IFERROR(MATCH(campo,Referencia!$A$1:$AZ$1,0),0),
fila,IFERROR(MATCH(TO_TEXT(D1002),ARRAYFOR"&amp;"MULA(TO_TEXT(Referencia!$A$2:$A6238)),0),0),
IF(OR(campo="""",campo=""-""),""NO APLICA"",
IF(col=0,""REVISAR EQUIVALENCIA"",
IF(fila=0,""SKU NO ENCONTRADO"",
LET(
valor,INDEX(Referencia!$A$2:$AZ6238,fila,col),
IF(TRIM(TO_TEXT(valor))=TRIM(TO_TEXT(I1002)),"&amp;"
""OK"",
""NO COINCIDE. Valor verdadero: ""&amp;IF(valor="""",""[VACÍO]"",TO_TEXT(valor))
)
))))
),""ERROR EN FÓRMULA""))"),"OK")</f>
        <v>OK</v>
      </c>
    </row>
    <row r="1003">
      <c r="A1003" s="83" t="s">
        <v>4618</v>
      </c>
      <c r="B1003" s="83" t="s">
        <v>4619</v>
      </c>
      <c r="C1003" s="81" t="s">
        <v>4621</v>
      </c>
      <c r="D1003" s="83" t="s">
        <v>4135</v>
      </c>
      <c r="E1003" s="81" t="s">
        <v>476</v>
      </c>
      <c r="F1003" s="84">
        <v>55.0</v>
      </c>
      <c r="G1003" s="81" t="s">
        <v>44</v>
      </c>
      <c r="H1003" s="81" t="s">
        <v>224</v>
      </c>
      <c r="I1003" s="81" t="s">
        <v>470</v>
      </c>
      <c r="J1003" s="81" t="s">
        <v>4088</v>
      </c>
      <c r="K1003" s="81" t="str">
        <f>IFERROR(__xludf.DUMMYFUNCTION("IF(OR(D1003="""",G1003=""""),"""",IFERROR(LET(
campo,XLOOKUP(TRIM(G1003),ARRAYFORMULA(TRIM('indice columnas'!$A$2:$A$100)),'indice columnas'!$B$2:$B$100,""""),
col,IFERROR(MATCH(campo,Referencia!$A$1:$AZ$1,0),0),
fila,IFERROR(MATCH(TO_TEXT(D1003),ARRAYFOR"&amp;"MULA(TO_TEXT(Referencia!$A$2:$A6238)),0),0),
IF(OR(campo="""",campo=""-""),""NO APLICA"",
IF(col=0,""REVISAR EQUIVALENCIA"",
IF(fila=0,""SKU NO ENCONTRADO"",
LET(
valor,INDEX(Referencia!$A$2:$AZ6238,fila,col),
IF(TRIM(TO_TEXT(valor))=TRIM(TO_TEXT(I1003)),"&amp;"
""OK"",
""NO COINCIDE. Valor verdadero: ""&amp;IF(valor="""",""[VACÍO]"",TO_TEXT(valor))
)
))))
),""ERROR EN FÓRMULA""))"),"NO APLICA")</f>
        <v>NO APLICA</v>
      </c>
    </row>
    <row r="1004">
      <c r="A1004" s="83" t="s">
        <v>4618</v>
      </c>
      <c r="B1004" s="83" t="s">
        <v>4619</v>
      </c>
      <c r="C1004" s="81" t="s">
        <v>4621</v>
      </c>
      <c r="D1004" s="83" t="s">
        <v>4136</v>
      </c>
      <c r="E1004" s="81" t="s">
        <v>478</v>
      </c>
      <c r="F1004" s="84">
        <v>56.0</v>
      </c>
      <c r="G1004" s="81" t="s">
        <v>44</v>
      </c>
      <c r="H1004" s="81" t="s">
        <v>224</v>
      </c>
      <c r="I1004" s="81" t="s">
        <v>478</v>
      </c>
      <c r="J1004" s="81" t="s">
        <v>4088</v>
      </c>
      <c r="K1004" s="81" t="str">
        <f>IFERROR(__xludf.DUMMYFUNCTION("IF(OR(D1004="""",G1004=""""),"""",IFERROR(LET(
campo,XLOOKUP(TRIM(G1004),ARRAYFORMULA(TRIM('indice columnas'!$A$2:$A$100)),'indice columnas'!$B$2:$B$100,""""),
col,IFERROR(MATCH(campo,Referencia!$A$1:$AZ$1,0),0),
fila,IFERROR(MATCH(TO_TEXT(D1004),ARRAYFOR"&amp;"MULA(TO_TEXT(Referencia!$A$2:$A6238)),0),0),
IF(OR(campo="""",campo=""-""),""NO APLICA"",
IF(col=0,""REVISAR EQUIVALENCIA"",
IF(fila=0,""SKU NO ENCONTRADO"",
LET(
valor,INDEX(Referencia!$A$2:$AZ6238,fila,col),
IF(TRIM(TO_TEXT(valor))=TRIM(TO_TEXT(I1004)),"&amp;"
""OK"",
""NO COINCIDE. Valor verdadero: ""&amp;IF(valor="""",""[VACÍO]"",TO_TEXT(valor))
)
))))
),""ERROR EN FÓRMULA""))"),"NO APLICA")</f>
        <v>NO APLICA</v>
      </c>
    </row>
    <row r="1005">
      <c r="A1005" s="83" t="s">
        <v>4618</v>
      </c>
      <c r="B1005" s="83" t="s">
        <v>4619</v>
      </c>
      <c r="C1005" s="81" t="s">
        <v>4621</v>
      </c>
      <c r="D1005" s="83" t="s">
        <v>4136</v>
      </c>
      <c r="E1005" s="81" t="s">
        <v>487</v>
      </c>
      <c r="F1005" s="84">
        <v>57.0</v>
      </c>
      <c r="G1005" s="81" t="s">
        <v>12</v>
      </c>
      <c r="H1005" s="81" t="s">
        <v>224</v>
      </c>
      <c r="I1005" s="81" t="s">
        <v>55</v>
      </c>
      <c r="J1005" s="81" t="s">
        <v>224</v>
      </c>
      <c r="K1005" s="81" t="str">
        <f>IFERROR(__xludf.DUMMYFUNCTION("IF(OR(D1005="""",G1005=""""),"""",IFERROR(LET(
campo,XLOOKUP(TRIM(G1005),ARRAYFORMULA(TRIM('indice columnas'!$A$2:$A$100)),'indice columnas'!$B$2:$B$100,""""),
col,IFERROR(MATCH(campo,Referencia!$A$1:$AZ$1,0),0),
fila,IFERROR(MATCH(TO_TEXT(D1005),ARRAYFOR"&amp;"MULA(TO_TEXT(Referencia!$A$2:$A6238)),0),0),
IF(OR(campo="""",campo=""-""),""NO APLICA"",
IF(col=0,""REVISAR EQUIVALENCIA"",
IF(fila=0,""SKU NO ENCONTRADO"",
LET(
valor,INDEX(Referencia!$A$2:$AZ6238,fila,col),
IF(TRIM(TO_TEXT(valor))=TRIM(TO_TEXT(I1005)),"&amp;"
""OK"",
""NO COINCIDE. Valor verdadero: ""&amp;IF(valor="""",""[VACÍO]"",TO_TEXT(valor))
)
))))
),""ERROR EN FÓRMULA""))"),"OK")</f>
        <v>OK</v>
      </c>
    </row>
    <row r="1006">
      <c r="A1006" s="83" t="s">
        <v>4618</v>
      </c>
      <c r="B1006" s="83" t="s">
        <v>4619</v>
      </c>
      <c r="C1006" s="81" t="s">
        <v>4621</v>
      </c>
      <c r="D1006" s="83" t="s">
        <v>4136</v>
      </c>
      <c r="E1006" s="81" t="s">
        <v>487</v>
      </c>
      <c r="F1006" s="84">
        <v>57.0</v>
      </c>
      <c r="G1006" s="81" t="s">
        <v>44</v>
      </c>
      <c r="H1006" s="81" t="s">
        <v>224</v>
      </c>
      <c r="I1006" s="81" t="s">
        <v>478</v>
      </c>
      <c r="J1006" s="81" t="s">
        <v>4088</v>
      </c>
      <c r="K1006" s="81" t="str">
        <f>IFERROR(__xludf.DUMMYFUNCTION("IF(OR(D1006="""",G1006=""""),"""",IFERROR(LET(
campo,XLOOKUP(TRIM(G1006),ARRAYFORMULA(TRIM('indice columnas'!$A$2:$A$100)),'indice columnas'!$B$2:$B$100,""""),
col,IFERROR(MATCH(campo,Referencia!$A$1:$AZ$1,0),0),
fila,IFERROR(MATCH(TO_TEXT(D1006),ARRAYFOR"&amp;"MULA(TO_TEXT(Referencia!$A$2:$A6238)),0),0),
IF(OR(campo="""",campo=""-""),""NO APLICA"",
IF(col=0,""REVISAR EQUIVALENCIA"",
IF(fila=0,""SKU NO ENCONTRADO"",
LET(
valor,INDEX(Referencia!$A$2:$AZ6238,fila,col),
IF(TRIM(TO_TEXT(valor))=TRIM(TO_TEXT(I1006)),"&amp;"
""OK"",
""NO COINCIDE. Valor verdadero: ""&amp;IF(valor="""",""[VACÍO]"",TO_TEXT(valor))
)
))))
),""ERROR EN FÓRMULA""))"),"NO APLICA")</f>
        <v>NO APLICA</v>
      </c>
    </row>
    <row r="1007">
      <c r="A1007" s="83" t="s">
        <v>4618</v>
      </c>
      <c r="B1007" s="83" t="s">
        <v>4619</v>
      </c>
      <c r="C1007" s="81" t="s">
        <v>4621</v>
      </c>
      <c r="D1007" s="83" t="s">
        <v>4137</v>
      </c>
      <c r="E1007" s="81" t="s">
        <v>489</v>
      </c>
      <c r="F1007" s="84">
        <v>58.0</v>
      </c>
      <c r="G1007" s="81" t="s">
        <v>12</v>
      </c>
      <c r="H1007" s="81" t="s">
        <v>224</v>
      </c>
      <c r="I1007" s="81" t="s">
        <v>55</v>
      </c>
      <c r="J1007" s="81" t="s">
        <v>224</v>
      </c>
      <c r="K1007" s="81" t="str">
        <f>IFERROR(__xludf.DUMMYFUNCTION("IF(OR(D1007="""",G1007=""""),"""",IFERROR(LET(
campo,XLOOKUP(TRIM(G1007),ARRAYFORMULA(TRIM('indice columnas'!$A$2:$A$100)),'indice columnas'!$B$2:$B$100,""""),
col,IFERROR(MATCH(campo,Referencia!$A$1:$AZ$1,0),0),
fila,IFERROR(MATCH(TO_TEXT(D1007),ARRAYFOR"&amp;"MULA(TO_TEXT(Referencia!$A$2:$A6238)),0),0),
IF(OR(campo="""",campo=""-""),""NO APLICA"",
IF(col=0,""REVISAR EQUIVALENCIA"",
IF(fila=0,""SKU NO ENCONTRADO"",
LET(
valor,INDEX(Referencia!$A$2:$AZ6238,fila,col),
IF(TRIM(TO_TEXT(valor))=TRIM(TO_TEXT(I1007)),"&amp;"
""OK"",
""NO COINCIDE. Valor verdadero: ""&amp;IF(valor="""",""[VACÍO]"",TO_TEXT(valor))
)
))))
),""ERROR EN FÓRMULA""))"),"OK")</f>
        <v>OK</v>
      </c>
    </row>
    <row r="1008">
      <c r="A1008" s="83" t="s">
        <v>4618</v>
      </c>
      <c r="B1008" s="83" t="s">
        <v>4619</v>
      </c>
      <c r="C1008" s="81" t="s">
        <v>4621</v>
      </c>
      <c r="D1008" s="83" t="s">
        <v>4137</v>
      </c>
      <c r="E1008" s="81" t="s">
        <v>489</v>
      </c>
      <c r="F1008" s="84">
        <v>58.0</v>
      </c>
      <c r="G1008" s="81" t="s">
        <v>44</v>
      </c>
      <c r="H1008" s="81" t="s">
        <v>224</v>
      </c>
      <c r="I1008" s="81" t="s">
        <v>478</v>
      </c>
      <c r="J1008" s="81" t="s">
        <v>4088</v>
      </c>
      <c r="K1008" s="81" t="str">
        <f>IFERROR(__xludf.DUMMYFUNCTION("IF(OR(D1008="""",G1008=""""),"""",IFERROR(LET(
campo,XLOOKUP(TRIM(G1008),ARRAYFORMULA(TRIM('indice columnas'!$A$2:$A$100)),'indice columnas'!$B$2:$B$100,""""),
col,IFERROR(MATCH(campo,Referencia!$A$1:$AZ$1,0),0),
fila,IFERROR(MATCH(TO_TEXT(D1008),ARRAYFOR"&amp;"MULA(TO_TEXT(Referencia!$A$2:$A6238)),0),0),
IF(OR(campo="""",campo=""-""),""NO APLICA"",
IF(col=0,""REVISAR EQUIVALENCIA"",
IF(fila=0,""SKU NO ENCONTRADO"",
LET(
valor,INDEX(Referencia!$A$2:$AZ6238,fila,col),
IF(TRIM(TO_TEXT(valor))=TRIM(TO_TEXT(I1008)),"&amp;"
""OK"",
""NO COINCIDE. Valor verdadero: ""&amp;IF(valor="""",""[VACÍO]"",TO_TEXT(valor))
)
))))
),""ERROR EN FÓRMULA""))"),"NO APLICA")</f>
        <v>NO APLICA</v>
      </c>
    </row>
    <row r="1009">
      <c r="A1009" s="83" t="s">
        <v>4618</v>
      </c>
      <c r="B1009" s="83" t="s">
        <v>4619</v>
      </c>
      <c r="C1009" s="81" t="s">
        <v>4621</v>
      </c>
      <c r="D1009" s="83" t="s">
        <v>4138</v>
      </c>
      <c r="E1009" s="81" t="s">
        <v>492</v>
      </c>
      <c r="F1009" s="84">
        <v>59.0</v>
      </c>
      <c r="G1009" s="81" t="s">
        <v>12</v>
      </c>
      <c r="H1009" s="81" t="s">
        <v>224</v>
      </c>
      <c r="I1009" s="81" t="s">
        <v>55</v>
      </c>
      <c r="J1009" s="81" t="s">
        <v>224</v>
      </c>
      <c r="K1009" s="81" t="str">
        <f>IFERROR(__xludf.DUMMYFUNCTION("IF(OR(D1009="""",G1009=""""),"""",IFERROR(LET(
campo,XLOOKUP(TRIM(G1009),ARRAYFORMULA(TRIM('indice columnas'!$A$2:$A$100)),'indice columnas'!$B$2:$B$100,""""),
col,IFERROR(MATCH(campo,Referencia!$A$1:$AZ$1,0),0),
fila,IFERROR(MATCH(TO_TEXT(D1009),ARRAYFOR"&amp;"MULA(TO_TEXT(Referencia!$A$2:$A6238)),0),0),
IF(OR(campo="""",campo=""-""),""NO APLICA"",
IF(col=0,""REVISAR EQUIVALENCIA"",
IF(fila=0,""SKU NO ENCONTRADO"",
LET(
valor,INDEX(Referencia!$A$2:$AZ6238,fila,col),
IF(TRIM(TO_TEXT(valor))=TRIM(TO_TEXT(I1009)),"&amp;"
""OK"",
""NO COINCIDE. Valor verdadero: ""&amp;IF(valor="""",""[VACÍO]"",TO_TEXT(valor))
)
))))
),""ERROR EN FÓRMULA""))"),"OK")</f>
        <v>OK</v>
      </c>
    </row>
    <row r="1010">
      <c r="A1010" s="83" t="s">
        <v>4618</v>
      </c>
      <c r="B1010" s="83" t="s">
        <v>4619</v>
      </c>
      <c r="C1010" s="81" t="s">
        <v>4621</v>
      </c>
      <c r="D1010" s="83" t="s">
        <v>4138</v>
      </c>
      <c r="E1010" s="81" t="s">
        <v>492</v>
      </c>
      <c r="F1010" s="84">
        <v>59.0</v>
      </c>
      <c r="G1010" s="81" t="s">
        <v>44</v>
      </c>
      <c r="H1010" s="81" t="s">
        <v>224</v>
      </c>
      <c r="I1010" s="81" t="s">
        <v>478</v>
      </c>
      <c r="J1010" s="81" t="s">
        <v>4088</v>
      </c>
      <c r="K1010" s="81" t="str">
        <f>IFERROR(__xludf.DUMMYFUNCTION("IF(OR(D1010="""",G1010=""""),"""",IFERROR(LET(
campo,XLOOKUP(TRIM(G1010),ARRAYFORMULA(TRIM('indice columnas'!$A$2:$A$100)),'indice columnas'!$B$2:$B$100,""""),
col,IFERROR(MATCH(campo,Referencia!$A$1:$AZ$1,0),0),
fila,IFERROR(MATCH(TO_TEXT(D1010),ARRAYFOR"&amp;"MULA(TO_TEXT(Referencia!$A$2:$A6238)),0),0),
IF(OR(campo="""",campo=""-""),""NO APLICA"",
IF(col=0,""REVISAR EQUIVALENCIA"",
IF(fila=0,""SKU NO ENCONTRADO"",
LET(
valor,INDEX(Referencia!$A$2:$AZ6238,fila,col),
IF(TRIM(TO_TEXT(valor))=TRIM(TO_TEXT(I1010)),"&amp;"
""OK"",
""NO COINCIDE. Valor verdadero: ""&amp;IF(valor="""",""[VACÍO]"",TO_TEXT(valor))
)
))))
),""ERROR EN FÓRMULA""))"),"NO APLICA")</f>
        <v>NO APLICA</v>
      </c>
    </row>
    <row r="1011">
      <c r="A1011" s="83" t="s">
        <v>4618</v>
      </c>
      <c r="B1011" s="83" t="s">
        <v>4619</v>
      </c>
      <c r="C1011" s="81" t="s">
        <v>4621</v>
      </c>
      <c r="D1011" s="83" t="s">
        <v>4139</v>
      </c>
      <c r="E1011" s="81" t="s">
        <v>494</v>
      </c>
      <c r="F1011" s="84">
        <v>60.0</v>
      </c>
      <c r="G1011" s="81" t="s">
        <v>44</v>
      </c>
      <c r="H1011" s="81" t="s">
        <v>224</v>
      </c>
      <c r="I1011" s="81" t="s">
        <v>494</v>
      </c>
      <c r="J1011" s="81" t="s">
        <v>4088</v>
      </c>
      <c r="K1011" s="81" t="str">
        <f>IFERROR(__xludf.DUMMYFUNCTION("IF(OR(D1011="""",G1011=""""),"""",IFERROR(LET(
campo,XLOOKUP(TRIM(G1011),ARRAYFORMULA(TRIM('indice columnas'!$A$2:$A$100)),'indice columnas'!$B$2:$B$100,""""),
col,IFERROR(MATCH(campo,Referencia!$A$1:$AZ$1,0),0),
fila,IFERROR(MATCH(TO_TEXT(D1011),ARRAYFOR"&amp;"MULA(TO_TEXT(Referencia!$A$2:$A6238)),0),0),
IF(OR(campo="""",campo=""-""),""NO APLICA"",
IF(col=0,""REVISAR EQUIVALENCIA"",
IF(fila=0,""SKU NO ENCONTRADO"",
LET(
valor,INDEX(Referencia!$A$2:$AZ6238,fila,col),
IF(TRIM(TO_TEXT(valor))=TRIM(TO_TEXT(I1011)),"&amp;"
""OK"",
""NO COINCIDE. Valor verdadero: ""&amp;IF(valor="""",""[VACÍO]"",TO_TEXT(valor))
)
))))
),""ERROR EN FÓRMULA""))"),"NO APLICA")</f>
        <v>NO APLICA</v>
      </c>
    </row>
    <row r="1012">
      <c r="A1012" s="83" t="s">
        <v>4618</v>
      </c>
      <c r="B1012" s="83" t="s">
        <v>4619</v>
      </c>
      <c r="C1012" s="81" t="s">
        <v>4621</v>
      </c>
      <c r="D1012" s="83" t="s">
        <v>4139</v>
      </c>
      <c r="E1012" s="81" t="s">
        <v>503</v>
      </c>
      <c r="F1012" s="84">
        <v>61.0</v>
      </c>
      <c r="G1012" s="81" t="s">
        <v>12</v>
      </c>
      <c r="H1012" s="81" t="s">
        <v>224</v>
      </c>
      <c r="I1012" s="81" t="s">
        <v>55</v>
      </c>
      <c r="J1012" s="81" t="s">
        <v>224</v>
      </c>
      <c r="K1012" s="81" t="str">
        <f>IFERROR(__xludf.DUMMYFUNCTION("IF(OR(D1012="""",G1012=""""),"""",IFERROR(LET(
campo,XLOOKUP(TRIM(G1012),ARRAYFORMULA(TRIM('indice columnas'!$A$2:$A$100)),'indice columnas'!$B$2:$B$100,""""),
col,IFERROR(MATCH(campo,Referencia!$A$1:$AZ$1,0),0),
fila,IFERROR(MATCH(TO_TEXT(D1012),ARRAYFOR"&amp;"MULA(TO_TEXT(Referencia!$A$2:$A6238)),0),0),
IF(OR(campo="""",campo=""-""),""NO APLICA"",
IF(col=0,""REVISAR EQUIVALENCIA"",
IF(fila=0,""SKU NO ENCONTRADO"",
LET(
valor,INDEX(Referencia!$A$2:$AZ6238,fila,col),
IF(TRIM(TO_TEXT(valor))=TRIM(TO_TEXT(I1012)),"&amp;"
""OK"",
""NO COINCIDE. Valor verdadero: ""&amp;IF(valor="""",""[VACÍO]"",TO_TEXT(valor))
)
))))
),""ERROR EN FÓRMULA""))"),"OK")</f>
        <v>OK</v>
      </c>
    </row>
    <row r="1013">
      <c r="A1013" s="83" t="s">
        <v>4618</v>
      </c>
      <c r="B1013" s="83" t="s">
        <v>4619</v>
      </c>
      <c r="C1013" s="81" t="s">
        <v>4621</v>
      </c>
      <c r="D1013" s="83" t="s">
        <v>4139</v>
      </c>
      <c r="E1013" s="81" t="s">
        <v>503</v>
      </c>
      <c r="F1013" s="84">
        <v>61.0</v>
      </c>
      <c r="G1013" s="81" t="s">
        <v>44</v>
      </c>
      <c r="H1013" s="81" t="s">
        <v>224</v>
      </c>
      <c r="I1013" s="81" t="s">
        <v>494</v>
      </c>
      <c r="J1013" s="81" t="s">
        <v>4088</v>
      </c>
      <c r="K1013" s="81" t="str">
        <f>IFERROR(__xludf.DUMMYFUNCTION("IF(OR(D1013="""",G1013=""""),"""",IFERROR(LET(
campo,XLOOKUP(TRIM(G1013),ARRAYFORMULA(TRIM('indice columnas'!$A$2:$A$100)),'indice columnas'!$B$2:$B$100,""""),
col,IFERROR(MATCH(campo,Referencia!$A$1:$AZ$1,0),0),
fila,IFERROR(MATCH(TO_TEXT(D1013),ARRAYFOR"&amp;"MULA(TO_TEXT(Referencia!$A$2:$A6238)),0),0),
IF(OR(campo="""",campo=""-""),""NO APLICA"",
IF(col=0,""REVISAR EQUIVALENCIA"",
IF(fila=0,""SKU NO ENCONTRADO"",
LET(
valor,INDEX(Referencia!$A$2:$AZ6238,fila,col),
IF(TRIM(TO_TEXT(valor))=TRIM(TO_TEXT(I1013)),"&amp;"
""OK"",
""NO COINCIDE. Valor verdadero: ""&amp;IF(valor="""",""[VACÍO]"",TO_TEXT(valor))
)
))))
),""ERROR EN FÓRMULA""))"),"NO APLICA")</f>
        <v>NO APLICA</v>
      </c>
    </row>
    <row r="1014">
      <c r="A1014" s="83" t="s">
        <v>4618</v>
      </c>
      <c r="B1014" s="83" t="s">
        <v>4619</v>
      </c>
      <c r="C1014" s="81" t="s">
        <v>4621</v>
      </c>
      <c r="D1014" s="83" t="s">
        <v>4140</v>
      </c>
      <c r="E1014" s="81" t="s">
        <v>505</v>
      </c>
      <c r="F1014" s="84">
        <v>62.0</v>
      </c>
      <c r="G1014" s="81" t="s">
        <v>12</v>
      </c>
      <c r="H1014" s="81" t="s">
        <v>224</v>
      </c>
      <c r="I1014" s="81" t="s">
        <v>55</v>
      </c>
      <c r="J1014" s="81" t="s">
        <v>224</v>
      </c>
      <c r="K1014" s="81" t="str">
        <f>IFERROR(__xludf.DUMMYFUNCTION("IF(OR(D1014="""",G1014=""""),"""",IFERROR(LET(
campo,XLOOKUP(TRIM(G1014),ARRAYFORMULA(TRIM('indice columnas'!$A$2:$A$100)),'indice columnas'!$B$2:$B$100,""""),
col,IFERROR(MATCH(campo,Referencia!$A$1:$AZ$1,0),0),
fila,IFERROR(MATCH(TO_TEXT(D1014),ARRAYFOR"&amp;"MULA(TO_TEXT(Referencia!$A$2:$A6238)),0),0),
IF(OR(campo="""",campo=""-""),""NO APLICA"",
IF(col=0,""REVISAR EQUIVALENCIA"",
IF(fila=0,""SKU NO ENCONTRADO"",
LET(
valor,INDEX(Referencia!$A$2:$AZ6238,fila,col),
IF(TRIM(TO_TEXT(valor))=TRIM(TO_TEXT(I1014)),"&amp;"
""OK"",
""NO COINCIDE. Valor verdadero: ""&amp;IF(valor="""",""[VACÍO]"",TO_TEXT(valor))
)
))))
),""ERROR EN FÓRMULA""))"),"OK")</f>
        <v>OK</v>
      </c>
    </row>
    <row r="1015">
      <c r="A1015" s="83" t="s">
        <v>4618</v>
      </c>
      <c r="B1015" s="83" t="s">
        <v>4619</v>
      </c>
      <c r="C1015" s="81" t="s">
        <v>4621</v>
      </c>
      <c r="D1015" s="83" t="s">
        <v>4140</v>
      </c>
      <c r="E1015" s="81" t="s">
        <v>505</v>
      </c>
      <c r="F1015" s="84">
        <v>62.0</v>
      </c>
      <c r="G1015" s="81" t="s">
        <v>44</v>
      </c>
      <c r="H1015" s="81" t="s">
        <v>224</v>
      </c>
      <c r="I1015" s="81" t="s">
        <v>494</v>
      </c>
      <c r="J1015" s="81" t="s">
        <v>4088</v>
      </c>
      <c r="K1015" s="81" t="str">
        <f>IFERROR(__xludf.DUMMYFUNCTION("IF(OR(D1015="""",G1015=""""),"""",IFERROR(LET(
campo,XLOOKUP(TRIM(G1015),ARRAYFORMULA(TRIM('indice columnas'!$A$2:$A$100)),'indice columnas'!$B$2:$B$100,""""),
col,IFERROR(MATCH(campo,Referencia!$A$1:$AZ$1,0),0),
fila,IFERROR(MATCH(TO_TEXT(D1015),ARRAYFOR"&amp;"MULA(TO_TEXT(Referencia!$A$2:$A6238)),0),0),
IF(OR(campo="""",campo=""-""),""NO APLICA"",
IF(col=0,""REVISAR EQUIVALENCIA"",
IF(fila=0,""SKU NO ENCONTRADO"",
LET(
valor,INDEX(Referencia!$A$2:$AZ6238,fila,col),
IF(TRIM(TO_TEXT(valor))=TRIM(TO_TEXT(I1015)),"&amp;"
""OK"",
""NO COINCIDE. Valor verdadero: ""&amp;IF(valor="""",""[VACÍO]"",TO_TEXT(valor))
)
))))
),""ERROR EN FÓRMULA""))"),"NO APLICA")</f>
        <v>NO APLICA</v>
      </c>
    </row>
    <row r="1016">
      <c r="A1016" s="83" t="s">
        <v>4618</v>
      </c>
      <c r="B1016" s="83" t="s">
        <v>4619</v>
      </c>
      <c r="C1016" s="81" t="s">
        <v>4621</v>
      </c>
      <c r="D1016" s="83" t="s">
        <v>4141</v>
      </c>
      <c r="E1016" s="81" t="s">
        <v>507</v>
      </c>
      <c r="F1016" s="84">
        <v>63.0</v>
      </c>
      <c r="G1016" s="81" t="s">
        <v>44</v>
      </c>
      <c r="H1016" s="81" t="s">
        <v>224</v>
      </c>
      <c r="I1016" s="81" t="s">
        <v>507</v>
      </c>
      <c r="J1016" s="81" t="s">
        <v>4088</v>
      </c>
      <c r="K1016" s="81" t="str">
        <f>IFERROR(__xludf.DUMMYFUNCTION("IF(OR(D1016="""",G1016=""""),"""",IFERROR(LET(
campo,XLOOKUP(TRIM(G1016),ARRAYFORMULA(TRIM('indice columnas'!$A$2:$A$100)),'indice columnas'!$B$2:$B$100,""""),
col,IFERROR(MATCH(campo,Referencia!$A$1:$AZ$1,0),0),
fila,IFERROR(MATCH(TO_TEXT(D1016),ARRAYFOR"&amp;"MULA(TO_TEXT(Referencia!$A$2:$A6238)),0),0),
IF(OR(campo="""",campo=""-""),""NO APLICA"",
IF(col=0,""REVISAR EQUIVALENCIA"",
IF(fila=0,""SKU NO ENCONTRADO"",
LET(
valor,INDEX(Referencia!$A$2:$AZ6238,fila,col),
IF(TRIM(TO_TEXT(valor))=TRIM(TO_TEXT(I1016)),"&amp;"
""OK"",
""NO COINCIDE. Valor verdadero: ""&amp;IF(valor="""",""[VACÍO]"",TO_TEXT(valor))
)
))))
),""ERROR EN FÓRMULA""))"),"NO APLICA")</f>
        <v>NO APLICA</v>
      </c>
    </row>
    <row r="1017">
      <c r="A1017" s="83" t="s">
        <v>4618</v>
      </c>
      <c r="B1017" s="83" t="s">
        <v>4619</v>
      </c>
      <c r="C1017" s="81" t="s">
        <v>4621</v>
      </c>
      <c r="D1017" s="83" t="s">
        <v>4141</v>
      </c>
      <c r="E1017" s="81" t="s">
        <v>516</v>
      </c>
      <c r="F1017" s="84">
        <v>64.0</v>
      </c>
      <c r="G1017" s="81" t="s">
        <v>12</v>
      </c>
      <c r="H1017" s="81" t="s">
        <v>224</v>
      </c>
      <c r="I1017" s="81" t="s">
        <v>55</v>
      </c>
      <c r="J1017" s="81" t="s">
        <v>224</v>
      </c>
      <c r="K1017" s="81" t="str">
        <f>IFERROR(__xludf.DUMMYFUNCTION("IF(OR(D1017="""",G1017=""""),"""",IFERROR(LET(
campo,XLOOKUP(TRIM(G1017),ARRAYFORMULA(TRIM('indice columnas'!$A$2:$A$100)),'indice columnas'!$B$2:$B$100,""""),
col,IFERROR(MATCH(campo,Referencia!$A$1:$AZ$1,0),0),
fila,IFERROR(MATCH(TO_TEXT(D1017),ARRAYFOR"&amp;"MULA(TO_TEXT(Referencia!$A$2:$A6238)),0),0),
IF(OR(campo="""",campo=""-""),""NO APLICA"",
IF(col=0,""REVISAR EQUIVALENCIA"",
IF(fila=0,""SKU NO ENCONTRADO"",
LET(
valor,INDEX(Referencia!$A$2:$AZ6238,fila,col),
IF(TRIM(TO_TEXT(valor))=TRIM(TO_TEXT(I1017)),"&amp;"
""OK"",
""NO COINCIDE. Valor verdadero: ""&amp;IF(valor="""",""[VACÍO]"",TO_TEXT(valor))
)
))))
),""ERROR EN FÓRMULA""))"),"OK")</f>
        <v>OK</v>
      </c>
    </row>
    <row r="1018">
      <c r="A1018" s="83" t="s">
        <v>4618</v>
      </c>
      <c r="B1018" s="83" t="s">
        <v>4619</v>
      </c>
      <c r="C1018" s="81" t="s">
        <v>4621</v>
      </c>
      <c r="D1018" s="83" t="s">
        <v>4141</v>
      </c>
      <c r="E1018" s="81" t="s">
        <v>516</v>
      </c>
      <c r="F1018" s="84">
        <v>64.0</v>
      </c>
      <c r="G1018" s="81" t="s">
        <v>44</v>
      </c>
      <c r="H1018" s="81" t="s">
        <v>224</v>
      </c>
      <c r="I1018" s="81" t="s">
        <v>507</v>
      </c>
      <c r="J1018" s="81" t="s">
        <v>4088</v>
      </c>
      <c r="K1018" s="81" t="str">
        <f>IFERROR(__xludf.DUMMYFUNCTION("IF(OR(D1018="""",G1018=""""),"""",IFERROR(LET(
campo,XLOOKUP(TRIM(G1018),ARRAYFORMULA(TRIM('indice columnas'!$A$2:$A$100)),'indice columnas'!$B$2:$B$100,""""),
col,IFERROR(MATCH(campo,Referencia!$A$1:$AZ$1,0),0),
fila,IFERROR(MATCH(TO_TEXT(D1018),ARRAYFOR"&amp;"MULA(TO_TEXT(Referencia!$A$2:$A6238)),0),0),
IF(OR(campo="""",campo=""-""),""NO APLICA"",
IF(col=0,""REVISAR EQUIVALENCIA"",
IF(fila=0,""SKU NO ENCONTRADO"",
LET(
valor,INDEX(Referencia!$A$2:$AZ6238,fila,col),
IF(TRIM(TO_TEXT(valor))=TRIM(TO_TEXT(I1018)),"&amp;"
""OK"",
""NO COINCIDE. Valor verdadero: ""&amp;IF(valor="""",""[VACÍO]"",TO_TEXT(valor))
)
))))
),""ERROR EN FÓRMULA""))"),"NO APLICA")</f>
        <v>NO APLICA</v>
      </c>
    </row>
    <row r="1019">
      <c r="A1019" s="83" t="s">
        <v>4618</v>
      </c>
      <c r="B1019" s="83" t="s">
        <v>4619</v>
      </c>
      <c r="C1019" s="81" t="s">
        <v>4621</v>
      </c>
      <c r="D1019" s="83" t="s">
        <v>4142</v>
      </c>
      <c r="E1019" s="81" t="s">
        <v>518</v>
      </c>
      <c r="F1019" s="84">
        <v>65.0</v>
      </c>
      <c r="G1019" s="81" t="s">
        <v>12</v>
      </c>
      <c r="H1019" s="81" t="s">
        <v>224</v>
      </c>
      <c r="I1019" s="81" t="s">
        <v>55</v>
      </c>
      <c r="J1019" s="81" t="s">
        <v>224</v>
      </c>
      <c r="K1019" s="81" t="str">
        <f>IFERROR(__xludf.DUMMYFUNCTION("IF(OR(D1019="""",G1019=""""),"""",IFERROR(LET(
campo,XLOOKUP(TRIM(G1019),ARRAYFORMULA(TRIM('indice columnas'!$A$2:$A$100)),'indice columnas'!$B$2:$B$100,""""),
col,IFERROR(MATCH(campo,Referencia!$A$1:$AZ$1,0),0),
fila,IFERROR(MATCH(TO_TEXT(D1019),ARRAYFOR"&amp;"MULA(TO_TEXT(Referencia!$A$2:$A6238)),0),0),
IF(OR(campo="""",campo=""-""),""NO APLICA"",
IF(col=0,""REVISAR EQUIVALENCIA"",
IF(fila=0,""SKU NO ENCONTRADO"",
LET(
valor,INDEX(Referencia!$A$2:$AZ6238,fila,col),
IF(TRIM(TO_TEXT(valor))=TRIM(TO_TEXT(I1019)),"&amp;"
""OK"",
""NO COINCIDE. Valor verdadero: ""&amp;IF(valor="""",""[VACÍO]"",TO_TEXT(valor))
)
))))
),""ERROR EN FÓRMULA""))"),"OK")</f>
        <v>OK</v>
      </c>
    </row>
    <row r="1020">
      <c r="A1020" s="83" t="s">
        <v>4618</v>
      </c>
      <c r="B1020" s="83" t="s">
        <v>4619</v>
      </c>
      <c r="C1020" s="81" t="s">
        <v>4621</v>
      </c>
      <c r="D1020" s="83" t="s">
        <v>4142</v>
      </c>
      <c r="E1020" s="81" t="s">
        <v>518</v>
      </c>
      <c r="F1020" s="84">
        <v>65.0</v>
      </c>
      <c r="G1020" s="81" t="s">
        <v>44</v>
      </c>
      <c r="H1020" s="81" t="s">
        <v>224</v>
      </c>
      <c r="I1020" s="81" t="s">
        <v>4143</v>
      </c>
      <c r="J1020" s="81" t="s">
        <v>4088</v>
      </c>
      <c r="K1020" s="81" t="str">
        <f>IFERROR(__xludf.DUMMYFUNCTION("IF(OR(D1020="""",G1020=""""),"""",IFERROR(LET(
campo,XLOOKUP(TRIM(G1020),ARRAYFORMULA(TRIM('indice columnas'!$A$2:$A$100)),'indice columnas'!$B$2:$B$100,""""),
col,IFERROR(MATCH(campo,Referencia!$A$1:$AZ$1,0),0),
fila,IFERROR(MATCH(TO_TEXT(D1020),ARRAYFOR"&amp;"MULA(TO_TEXT(Referencia!$A$2:$A6238)),0),0),
IF(OR(campo="""",campo=""-""),""NO APLICA"",
IF(col=0,""REVISAR EQUIVALENCIA"",
IF(fila=0,""SKU NO ENCONTRADO"",
LET(
valor,INDEX(Referencia!$A$2:$AZ6238,fila,col),
IF(TRIM(TO_TEXT(valor))=TRIM(TO_TEXT(I1020)),"&amp;"
""OK"",
""NO COINCIDE. Valor verdadero: ""&amp;IF(valor="""",""[VACÍO]"",TO_TEXT(valor))
)
))))
),""ERROR EN FÓRMULA""))"),"NO APLICA")</f>
        <v>NO APLICA</v>
      </c>
    </row>
    <row r="1021">
      <c r="A1021" s="83" t="s">
        <v>4618</v>
      </c>
      <c r="B1021" s="83" t="s">
        <v>4619</v>
      </c>
      <c r="C1021" s="81" t="s">
        <v>4621</v>
      </c>
      <c r="D1021" s="83" t="s">
        <v>4144</v>
      </c>
      <c r="E1021" s="81" t="s">
        <v>523</v>
      </c>
      <c r="F1021" s="84">
        <v>66.0</v>
      </c>
      <c r="G1021" s="81" t="s">
        <v>44</v>
      </c>
      <c r="H1021" s="81" t="s">
        <v>224</v>
      </c>
      <c r="I1021" s="81" t="s">
        <v>523</v>
      </c>
      <c r="J1021" s="81" t="s">
        <v>4088</v>
      </c>
      <c r="K1021" s="81" t="str">
        <f>IFERROR(__xludf.DUMMYFUNCTION("IF(OR(D1021="""",G1021=""""),"""",IFERROR(LET(
campo,XLOOKUP(TRIM(G1021),ARRAYFORMULA(TRIM('indice columnas'!$A$2:$A$100)),'indice columnas'!$B$2:$B$100,""""),
col,IFERROR(MATCH(campo,Referencia!$A$1:$AZ$1,0),0),
fila,IFERROR(MATCH(TO_TEXT(D1021),ARRAYFOR"&amp;"MULA(TO_TEXT(Referencia!$A$2:$A6238)),0),0),
IF(OR(campo="""",campo=""-""),""NO APLICA"",
IF(col=0,""REVISAR EQUIVALENCIA"",
IF(fila=0,""SKU NO ENCONTRADO"",
LET(
valor,INDEX(Referencia!$A$2:$AZ6238,fila,col),
IF(TRIM(TO_TEXT(valor))=TRIM(TO_TEXT(I1021)),"&amp;"
""OK"",
""NO COINCIDE. Valor verdadero: ""&amp;IF(valor="""",""[VACÍO]"",TO_TEXT(valor))
)
))))
),""ERROR EN FÓRMULA""))"),"NO APLICA")</f>
        <v>NO APLICA</v>
      </c>
    </row>
    <row r="1022">
      <c r="A1022" s="83" t="s">
        <v>4618</v>
      </c>
      <c r="B1022" s="83" t="s">
        <v>4619</v>
      </c>
      <c r="C1022" s="81" t="s">
        <v>4621</v>
      </c>
      <c r="D1022" s="83" t="s">
        <v>4144</v>
      </c>
      <c r="E1022" s="81" t="s">
        <v>530</v>
      </c>
      <c r="F1022" s="84">
        <v>67.0</v>
      </c>
      <c r="G1022" s="81" t="s">
        <v>12</v>
      </c>
      <c r="H1022" s="81" t="s">
        <v>224</v>
      </c>
      <c r="I1022" s="81" t="s">
        <v>55</v>
      </c>
      <c r="J1022" s="81" t="s">
        <v>224</v>
      </c>
      <c r="K1022" s="81" t="str">
        <f>IFERROR(__xludf.DUMMYFUNCTION("IF(OR(D1022="""",G1022=""""),"""",IFERROR(LET(
campo,XLOOKUP(TRIM(G1022),ARRAYFORMULA(TRIM('indice columnas'!$A$2:$A$100)),'indice columnas'!$B$2:$B$100,""""),
col,IFERROR(MATCH(campo,Referencia!$A$1:$AZ$1,0),0),
fila,IFERROR(MATCH(TO_TEXT(D1022),ARRAYFOR"&amp;"MULA(TO_TEXT(Referencia!$A$2:$A6238)),0),0),
IF(OR(campo="""",campo=""-""),""NO APLICA"",
IF(col=0,""REVISAR EQUIVALENCIA"",
IF(fila=0,""SKU NO ENCONTRADO"",
LET(
valor,INDEX(Referencia!$A$2:$AZ6238,fila,col),
IF(TRIM(TO_TEXT(valor))=TRIM(TO_TEXT(I1022)),"&amp;"
""OK"",
""NO COINCIDE. Valor verdadero: ""&amp;IF(valor="""",""[VACÍO]"",TO_TEXT(valor))
)
))))
),""ERROR EN FÓRMULA""))"),"OK")</f>
        <v>OK</v>
      </c>
    </row>
    <row r="1023">
      <c r="A1023" s="83" t="s">
        <v>4618</v>
      </c>
      <c r="B1023" s="83" t="s">
        <v>4619</v>
      </c>
      <c r="C1023" s="81" t="s">
        <v>4621</v>
      </c>
      <c r="D1023" s="83" t="s">
        <v>4144</v>
      </c>
      <c r="E1023" s="81" t="s">
        <v>530</v>
      </c>
      <c r="F1023" s="84">
        <v>67.0</v>
      </c>
      <c r="G1023" s="81" t="s">
        <v>44</v>
      </c>
      <c r="H1023" s="81" t="s">
        <v>224</v>
      </c>
      <c r="I1023" s="81" t="s">
        <v>523</v>
      </c>
      <c r="J1023" s="81" t="s">
        <v>4088</v>
      </c>
      <c r="K1023" s="81" t="str">
        <f>IFERROR(__xludf.DUMMYFUNCTION("IF(OR(D1023="""",G1023=""""),"""",IFERROR(LET(
campo,XLOOKUP(TRIM(G1023),ARRAYFORMULA(TRIM('indice columnas'!$A$2:$A$100)),'indice columnas'!$B$2:$B$100,""""),
col,IFERROR(MATCH(campo,Referencia!$A$1:$AZ$1,0),0),
fila,IFERROR(MATCH(TO_TEXT(D1023),ARRAYFOR"&amp;"MULA(TO_TEXT(Referencia!$A$2:$A6238)),0),0),
IF(OR(campo="""",campo=""-""),""NO APLICA"",
IF(col=0,""REVISAR EQUIVALENCIA"",
IF(fila=0,""SKU NO ENCONTRADO"",
LET(
valor,INDEX(Referencia!$A$2:$AZ6238,fila,col),
IF(TRIM(TO_TEXT(valor))=TRIM(TO_TEXT(I1023)),"&amp;"
""OK"",
""NO COINCIDE. Valor verdadero: ""&amp;IF(valor="""",""[VACÍO]"",TO_TEXT(valor))
)
))))
),""ERROR EN FÓRMULA""))"),"NO APLICA")</f>
        <v>NO APLICA</v>
      </c>
    </row>
    <row r="1024">
      <c r="A1024" s="83" t="s">
        <v>4618</v>
      </c>
      <c r="B1024" s="83" t="s">
        <v>4619</v>
      </c>
      <c r="C1024" s="81" t="s">
        <v>4621</v>
      </c>
      <c r="D1024" s="83" t="s">
        <v>4145</v>
      </c>
      <c r="E1024" s="81" t="s">
        <v>531</v>
      </c>
      <c r="F1024" s="84">
        <v>68.0</v>
      </c>
      <c r="G1024" s="81" t="s">
        <v>12</v>
      </c>
      <c r="H1024" s="81" t="s">
        <v>224</v>
      </c>
      <c r="I1024" s="81" t="s">
        <v>55</v>
      </c>
      <c r="J1024" s="81" t="s">
        <v>224</v>
      </c>
      <c r="K1024" s="81" t="str">
        <f>IFERROR(__xludf.DUMMYFUNCTION("IF(OR(D1024="""",G1024=""""),"""",IFERROR(LET(
campo,XLOOKUP(TRIM(G1024),ARRAYFORMULA(TRIM('indice columnas'!$A$2:$A$100)),'indice columnas'!$B$2:$B$100,""""),
col,IFERROR(MATCH(campo,Referencia!$A$1:$AZ$1,0),0),
fila,IFERROR(MATCH(TO_TEXT(D1024),ARRAYFOR"&amp;"MULA(TO_TEXT(Referencia!$A$2:$A6238)),0),0),
IF(OR(campo="""",campo=""-""),""NO APLICA"",
IF(col=0,""REVISAR EQUIVALENCIA"",
IF(fila=0,""SKU NO ENCONTRADO"",
LET(
valor,INDEX(Referencia!$A$2:$AZ6238,fila,col),
IF(TRIM(TO_TEXT(valor))=TRIM(TO_TEXT(I1024)),"&amp;"
""OK"",
""NO COINCIDE. Valor verdadero: ""&amp;IF(valor="""",""[VACÍO]"",TO_TEXT(valor))
)
))))
),""ERROR EN FÓRMULA""))"),"OK")</f>
        <v>OK</v>
      </c>
    </row>
    <row r="1025">
      <c r="A1025" s="83" t="s">
        <v>4618</v>
      </c>
      <c r="B1025" s="83" t="s">
        <v>4619</v>
      </c>
      <c r="C1025" s="81" t="s">
        <v>4621</v>
      </c>
      <c r="D1025" s="83" t="s">
        <v>4145</v>
      </c>
      <c r="E1025" s="81" t="s">
        <v>531</v>
      </c>
      <c r="F1025" s="84">
        <v>68.0</v>
      </c>
      <c r="G1025" s="81" t="s">
        <v>44</v>
      </c>
      <c r="H1025" s="81" t="s">
        <v>224</v>
      </c>
      <c r="I1025" s="81" t="s">
        <v>523</v>
      </c>
      <c r="J1025" s="81" t="s">
        <v>4088</v>
      </c>
      <c r="K1025" s="81" t="str">
        <f>IFERROR(__xludf.DUMMYFUNCTION("IF(OR(D1025="""",G1025=""""),"""",IFERROR(LET(
campo,XLOOKUP(TRIM(G1025),ARRAYFORMULA(TRIM('indice columnas'!$A$2:$A$100)),'indice columnas'!$B$2:$B$100,""""),
col,IFERROR(MATCH(campo,Referencia!$A$1:$AZ$1,0),0),
fila,IFERROR(MATCH(TO_TEXT(D1025),ARRAYFOR"&amp;"MULA(TO_TEXT(Referencia!$A$2:$A6238)),0),0),
IF(OR(campo="""",campo=""-""),""NO APLICA"",
IF(col=0,""REVISAR EQUIVALENCIA"",
IF(fila=0,""SKU NO ENCONTRADO"",
LET(
valor,INDEX(Referencia!$A$2:$AZ6238,fila,col),
IF(TRIM(TO_TEXT(valor))=TRIM(TO_TEXT(I1025)),"&amp;"
""OK"",
""NO COINCIDE. Valor verdadero: ""&amp;IF(valor="""",""[VACÍO]"",TO_TEXT(valor))
)
))))
),""ERROR EN FÓRMULA""))"),"NO APLICA")</f>
        <v>NO APLICA</v>
      </c>
    </row>
    <row r="1026">
      <c r="A1026" s="83" t="s">
        <v>4618</v>
      </c>
      <c r="B1026" s="83" t="s">
        <v>4619</v>
      </c>
      <c r="C1026" s="81" t="s">
        <v>4621</v>
      </c>
      <c r="D1026" s="83" t="s">
        <v>4146</v>
      </c>
      <c r="E1026" s="81" t="s">
        <v>533</v>
      </c>
      <c r="F1026" s="84">
        <v>69.0</v>
      </c>
      <c r="G1026" s="81" t="s">
        <v>44</v>
      </c>
      <c r="H1026" s="81" t="s">
        <v>224</v>
      </c>
      <c r="I1026" s="81" t="s">
        <v>533</v>
      </c>
      <c r="J1026" s="81" t="s">
        <v>4088</v>
      </c>
      <c r="K1026" s="81" t="str">
        <f>IFERROR(__xludf.DUMMYFUNCTION("IF(OR(D1026="""",G1026=""""),"""",IFERROR(LET(
campo,XLOOKUP(TRIM(G1026),ARRAYFORMULA(TRIM('indice columnas'!$A$2:$A$100)),'indice columnas'!$B$2:$B$100,""""),
col,IFERROR(MATCH(campo,Referencia!$A$1:$AZ$1,0),0),
fila,IFERROR(MATCH(TO_TEXT(D1026),ARRAYFOR"&amp;"MULA(TO_TEXT(Referencia!$A$2:$A6238)),0),0),
IF(OR(campo="""",campo=""-""),""NO APLICA"",
IF(col=0,""REVISAR EQUIVALENCIA"",
IF(fila=0,""SKU NO ENCONTRADO"",
LET(
valor,INDEX(Referencia!$A$2:$AZ6238,fila,col),
IF(TRIM(TO_TEXT(valor))=TRIM(TO_TEXT(I1026)),"&amp;"
""OK"",
""NO COINCIDE. Valor verdadero: ""&amp;IF(valor="""",""[VACÍO]"",TO_TEXT(valor))
)
))))
),""ERROR EN FÓRMULA""))"),"NO APLICA")</f>
        <v>NO APLICA</v>
      </c>
    </row>
    <row r="1027">
      <c r="A1027" s="83" t="s">
        <v>4618</v>
      </c>
      <c r="B1027" s="83" t="s">
        <v>4619</v>
      </c>
      <c r="C1027" s="81" t="s">
        <v>4621</v>
      </c>
      <c r="D1027" s="83" t="s">
        <v>4147</v>
      </c>
      <c r="E1027" s="81" t="s">
        <v>542</v>
      </c>
      <c r="F1027" s="84">
        <v>70.0</v>
      </c>
      <c r="G1027" s="81" t="s">
        <v>12</v>
      </c>
      <c r="H1027" s="81" t="s">
        <v>224</v>
      </c>
      <c r="I1027" s="81" t="s">
        <v>55</v>
      </c>
      <c r="J1027" s="81" t="s">
        <v>224</v>
      </c>
      <c r="K1027" s="81" t="str">
        <f>IFERROR(__xludf.DUMMYFUNCTION("IF(OR(D1027="""",G1027=""""),"""",IFERROR(LET(
campo,XLOOKUP(TRIM(G1027),ARRAYFORMULA(TRIM('indice columnas'!$A$2:$A$100)),'indice columnas'!$B$2:$B$100,""""),
col,IFERROR(MATCH(campo,Referencia!$A$1:$AZ$1,0),0),
fila,IFERROR(MATCH(TO_TEXT(D1027),ARRAYFOR"&amp;"MULA(TO_TEXT(Referencia!$A$2:$A6238)),0),0),
IF(OR(campo="""",campo=""-""),""NO APLICA"",
IF(col=0,""REVISAR EQUIVALENCIA"",
IF(fila=0,""SKU NO ENCONTRADO"",
LET(
valor,INDEX(Referencia!$A$2:$AZ6238,fila,col),
IF(TRIM(TO_TEXT(valor))=TRIM(TO_TEXT(I1027)),"&amp;"
""OK"",
""NO COINCIDE. Valor verdadero: ""&amp;IF(valor="""",""[VACÍO]"",TO_TEXT(valor))
)
))))
),""ERROR EN FÓRMULA""))"),"OK")</f>
        <v>OK</v>
      </c>
    </row>
    <row r="1028">
      <c r="A1028" s="83" t="s">
        <v>4618</v>
      </c>
      <c r="B1028" s="83" t="s">
        <v>4619</v>
      </c>
      <c r="C1028" s="81" t="s">
        <v>4621</v>
      </c>
      <c r="D1028" s="83" t="s">
        <v>4147</v>
      </c>
      <c r="E1028" s="81" t="s">
        <v>542</v>
      </c>
      <c r="F1028" s="84">
        <v>70.0</v>
      </c>
      <c r="G1028" s="81" t="s">
        <v>44</v>
      </c>
      <c r="H1028" s="81" t="s">
        <v>224</v>
      </c>
      <c r="I1028" s="81" t="s">
        <v>533</v>
      </c>
      <c r="J1028" s="81" t="s">
        <v>4088</v>
      </c>
      <c r="K1028" s="81" t="str">
        <f>IFERROR(__xludf.DUMMYFUNCTION("IF(OR(D1028="""",G1028=""""),"""",IFERROR(LET(
campo,XLOOKUP(TRIM(G1028),ARRAYFORMULA(TRIM('indice columnas'!$A$2:$A$100)),'indice columnas'!$B$2:$B$100,""""),
col,IFERROR(MATCH(campo,Referencia!$A$1:$AZ$1,0),0),
fila,IFERROR(MATCH(TO_TEXT(D1028),ARRAYFOR"&amp;"MULA(TO_TEXT(Referencia!$A$2:$A6238)),0),0),
IF(OR(campo="""",campo=""-""),""NO APLICA"",
IF(col=0,""REVISAR EQUIVALENCIA"",
IF(fila=0,""SKU NO ENCONTRADO"",
LET(
valor,INDEX(Referencia!$A$2:$AZ6238,fila,col),
IF(TRIM(TO_TEXT(valor))=TRIM(TO_TEXT(I1028)),"&amp;"
""OK"",
""NO COINCIDE. Valor verdadero: ""&amp;IF(valor="""",""[VACÍO]"",TO_TEXT(valor))
)
))))
),""ERROR EN FÓRMULA""))"),"NO APLICA")</f>
        <v>NO APLICA</v>
      </c>
    </row>
    <row r="1029">
      <c r="A1029" s="83" t="s">
        <v>4618</v>
      </c>
      <c r="B1029" s="83" t="s">
        <v>4619</v>
      </c>
      <c r="C1029" s="81" t="s">
        <v>4621</v>
      </c>
      <c r="D1029" s="83" t="s">
        <v>4148</v>
      </c>
      <c r="E1029" s="81" t="s">
        <v>545</v>
      </c>
      <c r="F1029" s="84">
        <v>71.0</v>
      </c>
      <c r="G1029" s="81" t="s">
        <v>44</v>
      </c>
      <c r="H1029" s="81" t="s">
        <v>224</v>
      </c>
      <c r="I1029" s="81" t="s">
        <v>545</v>
      </c>
      <c r="J1029" s="81" t="s">
        <v>4088</v>
      </c>
      <c r="K1029" s="81" t="str">
        <f>IFERROR(__xludf.DUMMYFUNCTION("IF(OR(D1029="""",G1029=""""),"""",IFERROR(LET(
campo,XLOOKUP(TRIM(G1029),ARRAYFORMULA(TRIM('indice columnas'!$A$2:$A$100)),'indice columnas'!$B$2:$B$100,""""),
col,IFERROR(MATCH(campo,Referencia!$A$1:$AZ$1,0),0),
fila,IFERROR(MATCH(TO_TEXT(D1029),ARRAYFOR"&amp;"MULA(TO_TEXT(Referencia!$A$2:$A6238)),0),0),
IF(OR(campo="""",campo=""-""),""NO APLICA"",
IF(col=0,""REVISAR EQUIVALENCIA"",
IF(fila=0,""SKU NO ENCONTRADO"",
LET(
valor,INDEX(Referencia!$A$2:$AZ6238,fila,col),
IF(TRIM(TO_TEXT(valor))=TRIM(TO_TEXT(I1029)),"&amp;"
""OK"",
""NO COINCIDE. Valor verdadero: ""&amp;IF(valor="""",""[VACÍO]"",TO_TEXT(valor))
)
))))
),""ERROR EN FÓRMULA""))"),"NO APLICA")</f>
        <v>NO APLICA</v>
      </c>
    </row>
    <row r="1030">
      <c r="A1030" s="83" t="s">
        <v>4618</v>
      </c>
      <c r="B1030" s="83" t="s">
        <v>4619</v>
      </c>
      <c r="C1030" s="81" t="s">
        <v>4621</v>
      </c>
      <c r="D1030" s="83" t="s">
        <v>4148</v>
      </c>
      <c r="E1030" s="81" t="s">
        <v>552</v>
      </c>
      <c r="F1030" s="84">
        <v>72.0</v>
      </c>
      <c r="G1030" s="81" t="s">
        <v>12</v>
      </c>
      <c r="H1030" s="81" t="s">
        <v>224</v>
      </c>
      <c r="I1030" s="81" t="s">
        <v>55</v>
      </c>
      <c r="J1030" s="81" t="s">
        <v>224</v>
      </c>
      <c r="K1030" s="81" t="str">
        <f>IFERROR(__xludf.DUMMYFUNCTION("IF(OR(D1030="""",G1030=""""),"""",IFERROR(LET(
campo,XLOOKUP(TRIM(G1030),ARRAYFORMULA(TRIM('indice columnas'!$A$2:$A$100)),'indice columnas'!$B$2:$B$100,""""),
col,IFERROR(MATCH(campo,Referencia!$A$1:$AZ$1,0),0),
fila,IFERROR(MATCH(TO_TEXT(D1030),ARRAYFOR"&amp;"MULA(TO_TEXT(Referencia!$A$2:$A6238)),0),0),
IF(OR(campo="""",campo=""-""),""NO APLICA"",
IF(col=0,""REVISAR EQUIVALENCIA"",
IF(fila=0,""SKU NO ENCONTRADO"",
LET(
valor,INDEX(Referencia!$A$2:$AZ6238,fila,col),
IF(TRIM(TO_TEXT(valor))=TRIM(TO_TEXT(I1030)),"&amp;"
""OK"",
""NO COINCIDE. Valor verdadero: ""&amp;IF(valor="""",""[VACÍO]"",TO_TEXT(valor))
)
))))
),""ERROR EN FÓRMULA""))"),"OK")</f>
        <v>OK</v>
      </c>
    </row>
    <row r="1031">
      <c r="A1031" s="83" t="s">
        <v>4618</v>
      </c>
      <c r="B1031" s="83" t="s">
        <v>4619</v>
      </c>
      <c r="C1031" s="81" t="s">
        <v>4621</v>
      </c>
      <c r="D1031" s="83" t="s">
        <v>4148</v>
      </c>
      <c r="E1031" s="81" t="s">
        <v>552</v>
      </c>
      <c r="F1031" s="84">
        <v>72.0</v>
      </c>
      <c r="G1031" s="81" t="s">
        <v>44</v>
      </c>
      <c r="H1031" s="81" t="s">
        <v>224</v>
      </c>
      <c r="I1031" s="81" t="s">
        <v>545</v>
      </c>
      <c r="J1031" s="81" t="s">
        <v>4088</v>
      </c>
      <c r="K1031" s="81" t="str">
        <f>IFERROR(__xludf.DUMMYFUNCTION("IF(OR(D1031="""",G1031=""""),"""",IFERROR(LET(
campo,XLOOKUP(TRIM(G1031),ARRAYFORMULA(TRIM('indice columnas'!$A$2:$A$100)),'indice columnas'!$B$2:$B$100,""""),
col,IFERROR(MATCH(campo,Referencia!$A$1:$AZ$1,0),0),
fila,IFERROR(MATCH(TO_TEXT(D1031),ARRAYFOR"&amp;"MULA(TO_TEXT(Referencia!$A$2:$A6238)),0),0),
IF(OR(campo="""",campo=""-""),""NO APLICA"",
IF(col=0,""REVISAR EQUIVALENCIA"",
IF(fila=0,""SKU NO ENCONTRADO"",
LET(
valor,INDEX(Referencia!$A$2:$AZ6238,fila,col),
IF(TRIM(TO_TEXT(valor))=TRIM(TO_TEXT(I1031)),"&amp;"
""OK"",
""NO COINCIDE. Valor verdadero: ""&amp;IF(valor="""",""[VACÍO]"",TO_TEXT(valor))
)
))))
),""ERROR EN FÓRMULA""))"),"NO APLICA")</f>
        <v>NO APLICA</v>
      </c>
    </row>
    <row r="1032">
      <c r="A1032" s="83" t="s">
        <v>4618</v>
      </c>
      <c r="B1032" s="83" t="s">
        <v>4619</v>
      </c>
      <c r="C1032" s="81" t="s">
        <v>4621</v>
      </c>
      <c r="D1032" s="83" t="s">
        <v>4149</v>
      </c>
      <c r="E1032" s="81" t="s">
        <v>554</v>
      </c>
      <c r="F1032" s="84">
        <v>73.0</v>
      </c>
      <c r="G1032" s="81" t="s">
        <v>12</v>
      </c>
      <c r="H1032" s="81" t="s">
        <v>224</v>
      </c>
      <c r="I1032" s="81" t="s">
        <v>55</v>
      </c>
      <c r="J1032" s="81" t="s">
        <v>224</v>
      </c>
      <c r="K1032" s="81" t="str">
        <f>IFERROR(__xludf.DUMMYFUNCTION("IF(OR(D1032="""",G1032=""""),"""",IFERROR(LET(
campo,XLOOKUP(TRIM(G1032),ARRAYFORMULA(TRIM('indice columnas'!$A$2:$A$100)),'indice columnas'!$B$2:$B$100,""""),
col,IFERROR(MATCH(campo,Referencia!$A$1:$AZ$1,0),0),
fila,IFERROR(MATCH(TO_TEXT(D1032),ARRAYFOR"&amp;"MULA(TO_TEXT(Referencia!$A$2:$A6238)),0),0),
IF(OR(campo="""",campo=""-""),""NO APLICA"",
IF(col=0,""REVISAR EQUIVALENCIA"",
IF(fila=0,""SKU NO ENCONTRADO"",
LET(
valor,INDEX(Referencia!$A$2:$AZ6238,fila,col),
IF(TRIM(TO_TEXT(valor))=TRIM(TO_TEXT(I1032)),"&amp;"
""OK"",
""NO COINCIDE. Valor verdadero: ""&amp;IF(valor="""",""[VACÍO]"",TO_TEXT(valor))
)
))))
),""ERROR EN FÓRMULA""))"),"OK")</f>
        <v>OK</v>
      </c>
    </row>
    <row r="1033">
      <c r="A1033" s="83" t="s">
        <v>4618</v>
      </c>
      <c r="B1033" s="83" t="s">
        <v>4619</v>
      </c>
      <c r="C1033" s="81" t="s">
        <v>4621</v>
      </c>
      <c r="D1033" s="83" t="s">
        <v>4149</v>
      </c>
      <c r="E1033" s="81" t="s">
        <v>554</v>
      </c>
      <c r="F1033" s="84">
        <v>73.0</v>
      </c>
      <c r="G1033" s="81" t="s">
        <v>44</v>
      </c>
      <c r="H1033" s="81" t="s">
        <v>224</v>
      </c>
      <c r="I1033" s="81" t="s">
        <v>545</v>
      </c>
      <c r="J1033" s="81" t="s">
        <v>4088</v>
      </c>
      <c r="K1033" s="81" t="str">
        <f>IFERROR(__xludf.DUMMYFUNCTION("IF(OR(D1033="""",G1033=""""),"""",IFERROR(LET(
campo,XLOOKUP(TRIM(G1033),ARRAYFORMULA(TRIM('indice columnas'!$A$2:$A$100)),'indice columnas'!$B$2:$B$100,""""),
col,IFERROR(MATCH(campo,Referencia!$A$1:$AZ$1,0),0),
fila,IFERROR(MATCH(TO_TEXT(D1033),ARRAYFOR"&amp;"MULA(TO_TEXT(Referencia!$A$2:$A6238)),0),0),
IF(OR(campo="""",campo=""-""),""NO APLICA"",
IF(col=0,""REVISAR EQUIVALENCIA"",
IF(fila=0,""SKU NO ENCONTRADO"",
LET(
valor,INDEX(Referencia!$A$2:$AZ6238,fila,col),
IF(TRIM(TO_TEXT(valor))=TRIM(TO_TEXT(I1033)),"&amp;"
""OK"",
""NO COINCIDE. Valor verdadero: ""&amp;IF(valor="""",""[VACÍO]"",TO_TEXT(valor))
)
))))
),""ERROR EN FÓRMULA""))"),"NO APLICA")</f>
        <v>NO APLICA</v>
      </c>
    </row>
    <row r="1034">
      <c r="A1034" s="83" t="s">
        <v>4618</v>
      </c>
      <c r="B1034" s="83" t="s">
        <v>4619</v>
      </c>
      <c r="C1034" s="81" t="s">
        <v>4621</v>
      </c>
      <c r="D1034" s="83" t="s">
        <v>4150</v>
      </c>
      <c r="E1034" s="81" t="s">
        <v>556</v>
      </c>
      <c r="F1034" s="84">
        <v>74.0</v>
      </c>
      <c r="G1034" s="81" t="s">
        <v>44</v>
      </c>
      <c r="H1034" s="81" t="s">
        <v>224</v>
      </c>
      <c r="I1034" s="81" t="s">
        <v>556</v>
      </c>
      <c r="J1034" s="81" t="s">
        <v>4088</v>
      </c>
      <c r="K1034" s="81" t="str">
        <f>IFERROR(__xludf.DUMMYFUNCTION("IF(OR(D1034="""",G1034=""""),"""",IFERROR(LET(
campo,XLOOKUP(TRIM(G1034),ARRAYFORMULA(TRIM('indice columnas'!$A$2:$A$100)),'indice columnas'!$B$2:$B$100,""""),
col,IFERROR(MATCH(campo,Referencia!$A$1:$AZ$1,0),0),
fila,IFERROR(MATCH(TO_TEXT(D1034),ARRAYFOR"&amp;"MULA(TO_TEXT(Referencia!$A$2:$A6238)),0),0),
IF(OR(campo="""",campo=""-""),""NO APLICA"",
IF(col=0,""REVISAR EQUIVALENCIA"",
IF(fila=0,""SKU NO ENCONTRADO"",
LET(
valor,INDEX(Referencia!$A$2:$AZ6238,fila,col),
IF(TRIM(TO_TEXT(valor))=TRIM(TO_TEXT(I1034)),"&amp;"
""OK"",
""NO COINCIDE. Valor verdadero: ""&amp;IF(valor="""",""[VACÍO]"",TO_TEXT(valor))
)
))))
),""ERROR EN FÓRMULA""))"),"NO APLICA")</f>
        <v>NO APLICA</v>
      </c>
    </row>
    <row r="1035">
      <c r="A1035" s="83" t="s">
        <v>4618</v>
      </c>
      <c r="B1035" s="83" t="s">
        <v>4619</v>
      </c>
      <c r="C1035" s="81" t="s">
        <v>4621</v>
      </c>
      <c r="D1035" s="83" t="s">
        <v>4150</v>
      </c>
      <c r="E1035" s="81" t="s">
        <v>565</v>
      </c>
      <c r="F1035" s="84">
        <v>75.0</v>
      </c>
      <c r="G1035" s="81" t="s">
        <v>12</v>
      </c>
      <c r="H1035" s="81" t="s">
        <v>224</v>
      </c>
      <c r="I1035" s="81" t="s">
        <v>55</v>
      </c>
      <c r="J1035" s="81" t="s">
        <v>224</v>
      </c>
      <c r="K1035" s="81" t="str">
        <f>IFERROR(__xludf.DUMMYFUNCTION("IF(OR(D1035="""",G1035=""""),"""",IFERROR(LET(
campo,XLOOKUP(TRIM(G1035),ARRAYFORMULA(TRIM('indice columnas'!$A$2:$A$100)),'indice columnas'!$B$2:$B$100,""""),
col,IFERROR(MATCH(campo,Referencia!$A$1:$AZ$1,0),0),
fila,IFERROR(MATCH(TO_TEXT(D1035),ARRAYFOR"&amp;"MULA(TO_TEXT(Referencia!$A$2:$A6238)),0),0),
IF(OR(campo="""",campo=""-""),""NO APLICA"",
IF(col=0,""REVISAR EQUIVALENCIA"",
IF(fila=0,""SKU NO ENCONTRADO"",
LET(
valor,INDEX(Referencia!$A$2:$AZ6238,fila,col),
IF(TRIM(TO_TEXT(valor))=TRIM(TO_TEXT(I1035)),"&amp;"
""OK"",
""NO COINCIDE. Valor verdadero: ""&amp;IF(valor="""",""[VACÍO]"",TO_TEXT(valor))
)
))))
),""ERROR EN FÓRMULA""))"),"OK")</f>
        <v>OK</v>
      </c>
    </row>
    <row r="1036">
      <c r="A1036" s="83" t="s">
        <v>4618</v>
      </c>
      <c r="B1036" s="83" t="s">
        <v>4619</v>
      </c>
      <c r="C1036" s="81" t="s">
        <v>4621</v>
      </c>
      <c r="D1036" s="83" t="s">
        <v>4150</v>
      </c>
      <c r="E1036" s="81" t="s">
        <v>565</v>
      </c>
      <c r="F1036" s="84">
        <v>75.0</v>
      </c>
      <c r="G1036" s="81" t="s">
        <v>44</v>
      </c>
      <c r="H1036" s="81" t="s">
        <v>224</v>
      </c>
      <c r="I1036" s="81" t="s">
        <v>556</v>
      </c>
      <c r="J1036" s="81" t="s">
        <v>4088</v>
      </c>
      <c r="K1036" s="81" t="str">
        <f>IFERROR(__xludf.DUMMYFUNCTION("IF(OR(D1036="""",G1036=""""),"""",IFERROR(LET(
campo,XLOOKUP(TRIM(G1036),ARRAYFORMULA(TRIM('indice columnas'!$A$2:$A$100)),'indice columnas'!$B$2:$B$100,""""),
col,IFERROR(MATCH(campo,Referencia!$A$1:$AZ$1,0),0),
fila,IFERROR(MATCH(TO_TEXT(D1036),ARRAYFOR"&amp;"MULA(TO_TEXT(Referencia!$A$2:$A6238)),0),0),
IF(OR(campo="""",campo=""-""),""NO APLICA"",
IF(col=0,""REVISAR EQUIVALENCIA"",
IF(fila=0,""SKU NO ENCONTRADO"",
LET(
valor,INDEX(Referencia!$A$2:$AZ6238,fila,col),
IF(TRIM(TO_TEXT(valor))=TRIM(TO_TEXT(I1036)),"&amp;"
""OK"",
""NO COINCIDE. Valor verdadero: ""&amp;IF(valor="""",""[VACÍO]"",TO_TEXT(valor))
)
))))
),""ERROR EN FÓRMULA""))"),"NO APLICA")</f>
        <v>NO APLICA</v>
      </c>
    </row>
    <row r="1037">
      <c r="A1037" s="83" t="s">
        <v>4618</v>
      </c>
      <c r="B1037" s="83" t="s">
        <v>4619</v>
      </c>
      <c r="C1037" s="81" t="s">
        <v>4621</v>
      </c>
      <c r="D1037" s="83" t="s">
        <v>4151</v>
      </c>
      <c r="E1037" s="81" t="s">
        <v>567</v>
      </c>
      <c r="F1037" s="84">
        <v>76.0</v>
      </c>
      <c r="G1037" s="81" t="s">
        <v>12</v>
      </c>
      <c r="H1037" s="81" t="s">
        <v>224</v>
      </c>
      <c r="I1037" s="81" t="s">
        <v>55</v>
      </c>
      <c r="J1037" s="81" t="s">
        <v>224</v>
      </c>
      <c r="K1037" s="81" t="str">
        <f>IFERROR(__xludf.DUMMYFUNCTION("IF(OR(D1037="""",G1037=""""),"""",IFERROR(LET(
campo,XLOOKUP(TRIM(G1037),ARRAYFORMULA(TRIM('indice columnas'!$A$2:$A$100)),'indice columnas'!$B$2:$B$100,""""),
col,IFERROR(MATCH(campo,Referencia!$A$1:$AZ$1,0),0),
fila,IFERROR(MATCH(TO_TEXT(D1037),ARRAYFOR"&amp;"MULA(TO_TEXT(Referencia!$A$2:$A6238)),0),0),
IF(OR(campo="""",campo=""-""),""NO APLICA"",
IF(col=0,""REVISAR EQUIVALENCIA"",
IF(fila=0,""SKU NO ENCONTRADO"",
LET(
valor,INDEX(Referencia!$A$2:$AZ6238,fila,col),
IF(TRIM(TO_TEXT(valor))=TRIM(TO_TEXT(I1037)),"&amp;"
""OK"",
""NO COINCIDE. Valor verdadero: ""&amp;IF(valor="""",""[VACÍO]"",TO_TEXT(valor))
)
))))
),""ERROR EN FÓRMULA""))"),"OK")</f>
        <v>OK</v>
      </c>
    </row>
    <row r="1038">
      <c r="A1038" s="83" t="s">
        <v>4618</v>
      </c>
      <c r="B1038" s="83" t="s">
        <v>4619</v>
      </c>
      <c r="C1038" s="81" t="s">
        <v>4621</v>
      </c>
      <c r="D1038" s="83" t="s">
        <v>4151</v>
      </c>
      <c r="E1038" s="81" t="s">
        <v>567</v>
      </c>
      <c r="F1038" s="84">
        <v>76.0</v>
      </c>
      <c r="G1038" s="81" t="s">
        <v>44</v>
      </c>
      <c r="H1038" s="81" t="s">
        <v>224</v>
      </c>
      <c r="I1038" s="81" t="s">
        <v>556</v>
      </c>
      <c r="J1038" s="81" t="s">
        <v>4088</v>
      </c>
      <c r="K1038" s="81" t="str">
        <f>IFERROR(__xludf.DUMMYFUNCTION("IF(OR(D1038="""",G1038=""""),"""",IFERROR(LET(
campo,XLOOKUP(TRIM(G1038),ARRAYFORMULA(TRIM('indice columnas'!$A$2:$A$100)),'indice columnas'!$B$2:$B$100,""""),
col,IFERROR(MATCH(campo,Referencia!$A$1:$AZ$1,0),0),
fila,IFERROR(MATCH(TO_TEXT(D1038),ARRAYFOR"&amp;"MULA(TO_TEXT(Referencia!$A$2:$A6238)),0),0),
IF(OR(campo="""",campo=""-""),""NO APLICA"",
IF(col=0,""REVISAR EQUIVALENCIA"",
IF(fila=0,""SKU NO ENCONTRADO"",
LET(
valor,INDEX(Referencia!$A$2:$AZ6238,fila,col),
IF(TRIM(TO_TEXT(valor))=TRIM(TO_TEXT(I1038)),"&amp;"
""OK"",
""NO COINCIDE. Valor verdadero: ""&amp;IF(valor="""",""[VACÍO]"",TO_TEXT(valor))
)
))))
),""ERROR EN FÓRMULA""))"),"NO APLICA")</f>
        <v>NO APLICA</v>
      </c>
    </row>
    <row r="1039">
      <c r="A1039" s="83" t="s">
        <v>4618</v>
      </c>
      <c r="B1039" s="83" t="s">
        <v>4619</v>
      </c>
      <c r="C1039" s="81" t="s">
        <v>4621</v>
      </c>
      <c r="D1039" s="83" t="s">
        <v>4152</v>
      </c>
      <c r="E1039" s="81" t="s">
        <v>569</v>
      </c>
      <c r="F1039" s="84">
        <v>77.0</v>
      </c>
      <c r="G1039" s="81" t="s">
        <v>12</v>
      </c>
      <c r="H1039" s="81" t="s">
        <v>224</v>
      </c>
      <c r="I1039" s="81" t="s">
        <v>55</v>
      </c>
      <c r="J1039" s="81" t="s">
        <v>224</v>
      </c>
      <c r="K1039" s="81" t="str">
        <f>IFERROR(__xludf.DUMMYFUNCTION("IF(OR(D1039="""",G1039=""""),"""",IFERROR(LET(
campo,XLOOKUP(TRIM(G1039),ARRAYFORMULA(TRIM('indice columnas'!$A$2:$A$100)),'indice columnas'!$B$2:$B$100,""""),
col,IFERROR(MATCH(campo,Referencia!$A$1:$AZ$1,0),0),
fila,IFERROR(MATCH(TO_TEXT(D1039),ARRAYFOR"&amp;"MULA(TO_TEXT(Referencia!$A$2:$A6238)),0),0),
IF(OR(campo="""",campo=""-""),""NO APLICA"",
IF(col=0,""REVISAR EQUIVALENCIA"",
IF(fila=0,""SKU NO ENCONTRADO"",
LET(
valor,INDEX(Referencia!$A$2:$AZ6238,fila,col),
IF(TRIM(TO_TEXT(valor))=TRIM(TO_TEXT(I1039)),"&amp;"
""OK"",
""NO COINCIDE. Valor verdadero: ""&amp;IF(valor="""",""[VACÍO]"",TO_TEXT(valor))
)
))))
),""ERROR EN FÓRMULA""))"),"OK")</f>
        <v>OK</v>
      </c>
    </row>
    <row r="1040">
      <c r="A1040" s="83" t="s">
        <v>4618</v>
      </c>
      <c r="B1040" s="83" t="s">
        <v>4619</v>
      </c>
      <c r="C1040" s="81" t="s">
        <v>4621</v>
      </c>
      <c r="D1040" s="83" t="s">
        <v>4152</v>
      </c>
      <c r="E1040" s="81" t="s">
        <v>569</v>
      </c>
      <c r="F1040" s="84">
        <v>77.0</v>
      </c>
      <c r="G1040" s="81" t="s">
        <v>44</v>
      </c>
      <c r="H1040" s="81" t="s">
        <v>224</v>
      </c>
      <c r="I1040" s="81" t="s">
        <v>556</v>
      </c>
      <c r="J1040" s="81" t="s">
        <v>4088</v>
      </c>
      <c r="K1040" s="81" t="str">
        <f>IFERROR(__xludf.DUMMYFUNCTION("IF(OR(D1040="""",G1040=""""),"""",IFERROR(LET(
campo,XLOOKUP(TRIM(G1040),ARRAYFORMULA(TRIM('indice columnas'!$A$2:$A$100)),'indice columnas'!$B$2:$B$100,""""),
col,IFERROR(MATCH(campo,Referencia!$A$1:$AZ$1,0),0),
fila,IFERROR(MATCH(TO_TEXT(D1040),ARRAYFOR"&amp;"MULA(TO_TEXT(Referencia!$A$2:$A6238)),0),0),
IF(OR(campo="""",campo=""-""),""NO APLICA"",
IF(col=0,""REVISAR EQUIVALENCIA"",
IF(fila=0,""SKU NO ENCONTRADO"",
LET(
valor,INDEX(Referencia!$A$2:$AZ6238,fila,col),
IF(TRIM(TO_TEXT(valor))=TRIM(TO_TEXT(I1040)),"&amp;"
""OK"",
""NO COINCIDE. Valor verdadero: ""&amp;IF(valor="""",""[VACÍO]"",TO_TEXT(valor))
)
))))
),""ERROR EN FÓRMULA""))"),"NO APLICA")</f>
        <v>NO APLICA</v>
      </c>
    </row>
    <row r="1041">
      <c r="A1041" s="83" t="s">
        <v>4618</v>
      </c>
      <c r="B1041" s="83" t="s">
        <v>4619</v>
      </c>
      <c r="C1041" s="81" t="s">
        <v>4621</v>
      </c>
      <c r="D1041" s="83" t="s">
        <v>4153</v>
      </c>
      <c r="E1041" s="81" t="s">
        <v>571</v>
      </c>
      <c r="F1041" s="84">
        <v>78.0</v>
      </c>
      <c r="G1041" s="81" t="s">
        <v>12</v>
      </c>
      <c r="H1041" s="81" t="s">
        <v>224</v>
      </c>
      <c r="I1041" s="81" t="s">
        <v>55</v>
      </c>
      <c r="J1041" s="81" t="s">
        <v>224</v>
      </c>
      <c r="K1041" s="81" t="str">
        <f>IFERROR(__xludf.DUMMYFUNCTION("IF(OR(D1041="""",G1041=""""),"""",IFERROR(LET(
campo,XLOOKUP(TRIM(G1041),ARRAYFORMULA(TRIM('indice columnas'!$A$2:$A$100)),'indice columnas'!$B$2:$B$100,""""),
col,IFERROR(MATCH(campo,Referencia!$A$1:$AZ$1,0),0),
fila,IFERROR(MATCH(TO_TEXT(D1041),ARRAYFOR"&amp;"MULA(TO_TEXT(Referencia!$A$2:$A6238)),0),0),
IF(OR(campo="""",campo=""-""),""NO APLICA"",
IF(col=0,""REVISAR EQUIVALENCIA"",
IF(fila=0,""SKU NO ENCONTRADO"",
LET(
valor,INDEX(Referencia!$A$2:$AZ6238,fila,col),
IF(TRIM(TO_TEXT(valor))=TRIM(TO_TEXT(I1041)),"&amp;"
""OK"",
""NO COINCIDE. Valor verdadero: ""&amp;IF(valor="""",""[VACÍO]"",TO_TEXT(valor))
)
))))
),""ERROR EN FÓRMULA""))"),"OK")</f>
        <v>OK</v>
      </c>
    </row>
    <row r="1042">
      <c r="A1042" s="83" t="s">
        <v>4618</v>
      </c>
      <c r="B1042" s="83" t="s">
        <v>4619</v>
      </c>
      <c r="C1042" s="81" t="s">
        <v>4621</v>
      </c>
      <c r="D1042" s="83" t="s">
        <v>4153</v>
      </c>
      <c r="E1042" s="81" t="s">
        <v>571</v>
      </c>
      <c r="F1042" s="84">
        <v>78.0</v>
      </c>
      <c r="G1042" s="81" t="s">
        <v>44</v>
      </c>
      <c r="H1042" s="81" t="s">
        <v>224</v>
      </c>
      <c r="I1042" s="81" t="s">
        <v>556</v>
      </c>
      <c r="J1042" s="81" t="s">
        <v>4088</v>
      </c>
      <c r="K1042" s="81" t="str">
        <f>IFERROR(__xludf.DUMMYFUNCTION("IF(OR(D1042="""",G1042=""""),"""",IFERROR(LET(
campo,XLOOKUP(TRIM(G1042),ARRAYFORMULA(TRIM('indice columnas'!$A$2:$A$100)),'indice columnas'!$B$2:$B$100,""""),
col,IFERROR(MATCH(campo,Referencia!$A$1:$AZ$1,0),0),
fila,IFERROR(MATCH(TO_TEXT(D1042),ARRAYFOR"&amp;"MULA(TO_TEXT(Referencia!$A$2:$A6238)),0),0),
IF(OR(campo="""",campo=""-""),""NO APLICA"",
IF(col=0,""REVISAR EQUIVALENCIA"",
IF(fila=0,""SKU NO ENCONTRADO"",
LET(
valor,INDEX(Referencia!$A$2:$AZ6238,fila,col),
IF(TRIM(TO_TEXT(valor))=TRIM(TO_TEXT(I1042)),"&amp;"
""OK"",
""NO COINCIDE. Valor verdadero: ""&amp;IF(valor="""",""[VACÍO]"",TO_TEXT(valor))
)
))))
),""ERROR EN FÓRMULA""))"),"NO APLICA")</f>
        <v>NO APLICA</v>
      </c>
    </row>
    <row r="1043">
      <c r="A1043" s="83" t="s">
        <v>4618</v>
      </c>
      <c r="B1043" s="83" t="s">
        <v>4619</v>
      </c>
      <c r="C1043" s="81" t="s">
        <v>4621</v>
      </c>
      <c r="D1043" s="83" t="s">
        <v>4154</v>
      </c>
      <c r="E1043" s="81" t="s">
        <v>576</v>
      </c>
      <c r="F1043" s="84">
        <v>79.0</v>
      </c>
      <c r="G1043" s="81" t="s">
        <v>44</v>
      </c>
      <c r="H1043" s="81" t="s">
        <v>224</v>
      </c>
      <c r="I1043" s="81" t="s">
        <v>576</v>
      </c>
      <c r="J1043" s="81" t="s">
        <v>4088</v>
      </c>
      <c r="K1043" s="81" t="str">
        <f>IFERROR(__xludf.DUMMYFUNCTION("IF(OR(D1043="""",G1043=""""),"""",IFERROR(LET(
campo,XLOOKUP(TRIM(G1043),ARRAYFORMULA(TRIM('indice columnas'!$A$2:$A$100)),'indice columnas'!$B$2:$B$100,""""),
col,IFERROR(MATCH(campo,Referencia!$A$1:$AZ$1,0),0),
fila,IFERROR(MATCH(TO_TEXT(D1043),ARRAYFOR"&amp;"MULA(TO_TEXT(Referencia!$A$2:$A6238)),0),0),
IF(OR(campo="""",campo=""-""),""NO APLICA"",
IF(col=0,""REVISAR EQUIVALENCIA"",
IF(fila=0,""SKU NO ENCONTRADO"",
LET(
valor,INDEX(Referencia!$A$2:$AZ6238,fila,col),
IF(TRIM(TO_TEXT(valor))=TRIM(TO_TEXT(I1043)),"&amp;"
""OK"",
""NO COINCIDE. Valor verdadero: ""&amp;IF(valor="""",""[VACÍO]"",TO_TEXT(valor))
)
))))
),""ERROR EN FÓRMULA""))"),"NO APLICA")</f>
        <v>NO APLICA</v>
      </c>
    </row>
    <row r="1044">
      <c r="A1044" s="83" t="s">
        <v>4618</v>
      </c>
      <c r="B1044" s="83" t="s">
        <v>4619</v>
      </c>
      <c r="C1044" s="81" t="s">
        <v>4621</v>
      </c>
      <c r="D1044" s="83" t="s">
        <v>4155</v>
      </c>
      <c r="E1044" s="81" t="s">
        <v>581</v>
      </c>
      <c r="F1044" s="84">
        <v>80.0</v>
      </c>
      <c r="G1044" s="81" t="s">
        <v>12</v>
      </c>
      <c r="H1044" s="81" t="s">
        <v>224</v>
      </c>
      <c r="I1044" s="81" t="s">
        <v>55</v>
      </c>
      <c r="J1044" s="81" t="s">
        <v>224</v>
      </c>
      <c r="K1044" s="81" t="str">
        <f>IFERROR(__xludf.DUMMYFUNCTION("IF(OR(D1044="""",G1044=""""),"""",IFERROR(LET(
campo,XLOOKUP(TRIM(G1044),ARRAYFORMULA(TRIM('indice columnas'!$A$2:$A$100)),'indice columnas'!$B$2:$B$100,""""),
col,IFERROR(MATCH(campo,Referencia!$A$1:$AZ$1,0),0),
fila,IFERROR(MATCH(TO_TEXT(D1044),ARRAYFOR"&amp;"MULA(TO_TEXT(Referencia!$A$2:$A6238)),0),0),
IF(OR(campo="""",campo=""-""),""NO APLICA"",
IF(col=0,""REVISAR EQUIVALENCIA"",
IF(fila=0,""SKU NO ENCONTRADO"",
LET(
valor,INDEX(Referencia!$A$2:$AZ6238,fila,col),
IF(TRIM(TO_TEXT(valor))=TRIM(TO_TEXT(I1044)),"&amp;"
""OK"",
""NO COINCIDE. Valor verdadero: ""&amp;IF(valor="""",""[VACÍO]"",TO_TEXT(valor))
)
))))
),""ERROR EN FÓRMULA""))"),"OK")</f>
        <v>OK</v>
      </c>
    </row>
    <row r="1045">
      <c r="A1045" s="83" t="s">
        <v>4618</v>
      </c>
      <c r="B1045" s="83" t="s">
        <v>4619</v>
      </c>
      <c r="C1045" s="81" t="s">
        <v>4621</v>
      </c>
      <c r="D1045" s="83" t="s">
        <v>4155</v>
      </c>
      <c r="E1045" s="81" t="s">
        <v>581</v>
      </c>
      <c r="F1045" s="84">
        <v>80.0</v>
      </c>
      <c r="G1045" s="81" t="s">
        <v>44</v>
      </c>
      <c r="H1045" s="81" t="s">
        <v>224</v>
      </c>
      <c r="I1045" s="81" t="s">
        <v>576</v>
      </c>
      <c r="J1045" s="81" t="s">
        <v>4088</v>
      </c>
      <c r="K1045" s="81" t="str">
        <f>IFERROR(__xludf.DUMMYFUNCTION("IF(OR(D1045="""",G1045=""""),"""",IFERROR(LET(
campo,XLOOKUP(TRIM(G1045),ARRAYFORMULA(TRIM('indice columnas'!$A$2:$A$100)),'indice columnas'!$B$2:$B$100,""""),
col,IFERROR(MATCH(campo,Referencia!$A$1:$AZ$1,0),0),
fila,IFERROR(MATCH(TO_TEXT(D1045),ARRAYFOR"&amp;"MULA(TO_TEXT(Referencia!$A$2:$A6238)),0),0),
IF(OR(campo="""",campo=""-""),""NO APLICA"",
IF(col=0,""REVISAR EQUIVALENCIA"",
IF(fila=0,""SKU NO ENCONTRADO"",
LET(
valor,INDEX(Referencia!$A$2:$AZ6238,fila,col),
IF(TRIM(TO_TEXT(valor))=TRIM(TO_TEXT(I1045)),"&amp;"
""OK"",
""NO COINCIDE. Valor verdadero: ""&amp;IF(valor="""",""[VACÍO]"",TO_TEXT(valor))
)
))))
),""ERROR EN FÓRMULA""))"),"NO APLICA")</f>
        <v>NO APLICA</v>
      </c>
    </row>
    <row r="1046">
      <c r="A1046" s="83" t="s">
        <v>4618</v>
      </c>
      <c r="B1046" s="83" t="s">
        <v>4619</v>
      </c>
      <c r="C1046" s="81" t="s">
        <v>4621</v>
      </c>
      <c r="D1046" s="83" t="s">
        <v>4156</v>
      </c>
      <c r="E1046" s="81" t="s">
        <v>583</v>
      </c>
      <c r="F1046" s="84">
        <v>81.0</v>
      </c>
      <c r="G1046" s="81" t="s">
        <v>12</v>
      </c>
      <c r="H1046" s="81" t="s">
        <v>224</v>
      </c>
      <c r="I1046" s="81" t="s">
        <v>55</v>
      </c>
      <c r="J1046" s="81" t="s">
        <v>224</v>
      </c>
      <c r="K1046" s="81" t="str">
        <f>IFERROR(__xludf.DUMMYFUNCTION("IF(OR(D1046="""",G1046=""""),"""",IFERROR(LET(
campo,XLOOKUP(TRIM(G1046),ARRAYFORMULA(TRIM('indice columnas'!$A$2:$A$100)),'indice columnas'!$B$2:$B$100,""""),
col,IFERROR(MATCH(campo,Referencia!$A$1:$AZ$1,0),0),
fila,IFERROR(MATCH(TO_TEXT(D1046),ARRAYFOR"&amp;"MULA(TO_TEXT(Referencia!$A$2:$A6238)),0),0),
IF(OR(campo="""",campo=""-""),""NO APLICA"",
IF(col=0,""REVISAR EQUIVALENCIA"",
IF(fila=0,""SKU NO ENCONTRADO"",
LET(
valor,INDEX(Referencia!$A$2:$AZ6238,fila,col),
IF(TRIM(TO_TEXT(valor))=TRIM(TO_TEXT(I1046)),"&amp;"
""OK"",
""NO COINCIDE. Valor verdadero: ""&amp;IF(valor="""",""[VACÍO]"",TO_TEXT(valor))
)
))))
),""ERROR EN FÓRMULA""))"),"OK")</f>
        <v>OK</v>
      </c>
    </row>
    <row r="1047">
      <c r="A1047" s="83" t="s">
        <v>4618</v>
      </c>
      <c r="B1047" s="83" t="s">
        <v>4619</v>
      </c>
      <c r="C1047" s="81" t="s">
        <v>4621</v>
      </c>
      <c r="D1047" s="83" t="s">
        <v>4156</v>
      </c>
      <c r="E1047" s="81" t="s">
        <v>583</v>
      </c>
      <c r="F1047" s="84">
        <v>81.0</v>
      </c>
      <c r="G1047" s="81" t="s">
        <v>44</v>
      </c>
      <c r="H1047" s="81" t="s">
        <v>224</v>
      </c>
      <c r="I1047" s="81" t="s">
        <v>576</v>
      </c>
      <c r="J1047" s="81" t="s">
        <v>4088</v>
      </c>
      <c r="K1047" s="81" t="str">
        <f>IFERROR(__xludf.DUMMYFUNCTION("IF(OR(D1047="""",G1047=""""),"""",IFERROR(LET(
campo,XLOOKUP(TRIM(G1047),ARRAYFORMULA(TRIM('indice columnas'!$A$2:$A$100)),'indice columnas'!$B$2:$B$100,""""),
col,IFERROR(MATCH(campo,Referencia!$A$1:$AZ$1,0),0),
fila,IFERROR(MATCH(TO_TEXT(D1047),ARRAYFOR"&amp;"MULA(TO_TEXT(Referencia!$A$2:$A6238)),0),0),
IF(OR(campo="""",campo=""-""),""NO APLICA"",
IF(col=0,""REVISAR EQUIVALENCIA"",
IF(fila=0,""SKU NO ENCONTRADO"",
LET(
valor,INDEX(Referencia!$A$2:$AZ6238,fila,col),
IF(TRIM(TO_TEXT(valor))=TRIM(TO_TEXT(I1047)),"&amp;"
""OK"",
""NO COINCIDE. Valor verdadero: ""&amp;IF(valor="""",""[VACÍO]"",TO_TEXT(valor))
)
))))
),""ERROR EN FÓRMULA""))"),"NO APLICA")</f>
        <v>NO APLICA</v>
      </c>
    </row>
    <row r="1048">
      <c r="A1048" s="83" t="s">
        <v>4618</v>
      </c>
      <c r="B1048" s="83" t="s">
        <v>4619</v>
      </c>
      <c r="C1048" s="81" t="s">
        <v>4621</v>
      </c>
      <c r="D1048" s="83" t="s">
        <v>4157</v>
      </c>
      <c r="E1048" s="81" t="s">
        <v>585</v>
      </c>
      <c r="F1048" s="84">
        <v>82.0</v>
      </c>
      <c r="G1048" s="81" t="s">
        <v>12</v>
      </c>
      <c r="H1048" s="81" t="s">
        <v>224</v>
      </c>
      <c r="I1048" s="81" t="s">
        <v>55</v>
      </c>
      <c r="J1048" s="81" t="s">
        <v>224</v>
      </c>
      <c r="K1048" s="81" t="str">
        <f>IFERROR(__xludf.DUMMYFUNCTION("IF(OR(D1048="""",G1048=""""),"""",IFERROR(LET(
campo,XLOOKUP(TRIM(G1048),ARRAYFORMULA(TRIM('indice columnas'!$A$2:$A$100)),'indice columnas'!$B$2:$B$100,""""),
col,IFERROR(MATCH(campo,Referencia!$A$1:$AZ$1,0),0),
fila,IFERROR(MATCH(TO_TEXT(D1048),ARRAYFOR"&amp;"MULA(TO_TEXT(Referencia!$A$2:$A6238)),0),0),
IF(OR(campo="""",campo=""-""),""NO APLICA"",
IF(col=0,""REVISAR EQUIVALENCIA"",
IF(fila=0,""SKU NO ENCONTRADO"",
LET(
valor,INDEX(Referencia!$A$2:$AZ6238,fila,col),
IF(TRIM(TO_TEXT(valor))=TRIM(TO_TEXT(I1048)),"&amp;"
""OK"",
""NO COINCIDE. Valor verdadero: ""&amp;IF(valor="""",""[VACÍO]"",TO_TEXT(valor))
)
))))
),""ERROR EN FÓRMULA""))"),"OK")</f>
        <v>OK</v>
      </c>
    </row>
    <row r="1049">
      <c r="A1049" s="83" t="s">
        <v>4618</v>
      </c>
      <c r="B1049" s="83" t="s">
        <v>4619</v>
      </c>
      <c r="C1049" s="81" t="s">
        <v>4621</v>
      </c>
      <c r="D1049" s="83" t="s">
        <v>4157</v>
      </c>
      <c r="E1049" s="81" t="s">
        <v>585</v>
      </c>
      <c r="F1049" s="84">
        <v>82.0</v>
      </c>
      <c r="G1049" s="81" t="s">
        <v>44</v>
      </c>
      <c r="H1049" s="81" t="s">
        <v>224</v>
      </c>
      <c r="I1049" s="81" t="s">
        <v>576</v>
      </c>
      <c r="J1049" s="81" t="s">
        <v>4088</v>
      </c>
      <c r="K1049" s="81" t="str">
        <f>IFERROR(__xludf.DUMMYFUNCTION("IF(OR(D1049="""",G1049=""""),"""",IFERROR(LET(
campo,XLOOKUP(TRIM(G1049),ARRAYFORMULA(TRIM('indice columnas'!$A$2:$A$100)),'indice columnas'!$B$2:$B$100,""""),
col,IFERROR(MATCH(campo,Referencia!$A$1:$AZ$1,0),0),
fila,IFERROR(MATCH(TO_TEXT(D1049),ARRAYFOR"&amp;"MULA(TO_TEXT(Referencia!$A$2:$A6238)),0),0),
IF(OR(campo="""",campo=""-""),""NO APLICA"",
IF(col=0,""REVISAR EQUIVALENCIA"",
IF(fila=0,""SKU NO ENCONTRADO"",
LET(
valor,INDEX(Referencia!$A$2:$AZ6238,fila,col),
IF(TRIM(TO_TEXT(valor))=TRIM(TO_TEXT(I1049)),"&amp;"
""OK"",
""NO COINCIDE. Valor verdadero: ""&amp;IF(valor="""",""[VACÍO]"",TO_TEXT(valor))
)
))))
),""ERROR EN FÓRMULA""))"),"NO APLICA")</f>
        <v>NO APLICA</v>
      </c>
    </row>
    <row r="1050">
      <c r="A1050" s="83" t="s">
        <v>4618</v>
      </c>
      <c r="B1050" s="83" t="s">
        <v>4619</v>
      </c>
      <c r="C1050" s="81" t="s">
        <v>4621</v>
      </c>
      <c r="D1050" s="83" t="s">
        <v>4158</v>
      </c>
      <c r="E1050" s="81" t="s">
        <v>589</v>
      </c>
      <c r="F1050" s="84">
        <v>83.0</v>
      </c>
      <c r="G1050" s="81" t="s">
        <v>12</v>
      </c>
      <c r="H1050" s="81" t="s">
        <v>224</v>
      </c>
      <c r="I1050" s="81" t="s">
        <v>55</v>
      </c>
      <c r="J1050" s="81" t="s">
        <v>224</v>
      </c>
      <c r="K1050" s="81" t="str">
        <f>IFERROR(__xludf.DUMMYFUNCTION("IF(OR(D1050="""",G1050=""""),"""",IFERROR(LET(
campo,XLOOKUP(TRIM(G1050),ARRAYFORMULA(TRIM('indice columnas'!$A$2:$A$100)),'indice columnas'!$B$2:$B$100,""""),
col,IFERROR(MATCH(campo,Referencia!$A$1:$AZ$1,0),0),
fila,IFERROR(MATCH(TO_TEXT(D1050),ARRAYFOR"&amp;"MULA(TO_TEXT(Referencia!$A$2:$A6238)),0),0),
IF(OR(campo="""",campo=""-""),""NO APLICA"",
IF(col=0,""REVISAR EQUIVALENCIA"",
IF(fila=0,""SKU NO ENCONTRADO"",
LET(
valor,INDEX(Referencia!$A$2:$AZ6238,fila,col),
IF(TRIM(TO_TEXT(valor))=TRIM(TO_TEXT(I1050)),"&amp;"
""OK"",
""NO COINCIDE. Valor verdadero: ""&amp;IF(valor="""",""[VACÍO]"",TO_TEXT(valor))
)
))))
),""ERROR EN FÓRMULA""))"),"OK")</f>
        <v>OK</v>
      </c>
    </row>
    <row r="1051">
      <c r="A1051" s="83" t="s">
        <v>4618</v>
      </c>
      <c r="B1051" s="83" t="s">
        <v>4619</v>
      </c>
      <c r="C1051" s="81" t="s">
        <v>4621</v>
      </c>
      <c r="D1051" s="83" t="s">
        <v>4158</v>
      </c>
      <c r="E1051" s="81" t="s">
        <v>589</v>
      </c>
      <c r="F1051" s="84">
        <v>83.0</v>
      </c>
      <c r="G1051" s="81" t="s">
        <v>44</v>
      </c>
      <c r="H1051" s="81" t="s">
        <v>224</v>
      </c>
      <c r="I1051" s="81" t="s">
        <v>576</v>
      </c>
      <c r="J1051" s="81" t="s">
        <v>4088</v>
      </c>
      <c r="K1051" s="81" t="str">
        <f>IFERROR(__xludf.DUMMYFUNCTION("IF(OR(D1051="""",G1051=""""),"""",IFERROR(LET(
campo,XLOOKUP(TRIM(G1051),ARRAYFORMULA(TRIM('indice columnas'!$A$2:$A$100)),'indice columnas'!$B$2:$B$100,""""),
col,IFERROR(MATCH(campo,Referencia!$A$1:$AZ$1,0),0),
fila,IFERROR(MATCH(TO_TEXT(D1051),ARRAYFOR"&amp;"MULA(TO_TEXT(Referencia!$A$2:$A6238)),0),0),
IF(OR(campo="""",campo=""-""),""NO APLICA"",
IF(col=0,""REVISAR EQUIVALENCIA"",
IF(fila=0,""SKU NO ENCONTRADO"",
LET(
valor,INDEX(Referencia!$A$2:$AZ6238,fila,col),
IF(TRIM(TO_TEXT(valor))=TRIM(TO_TEXT(I1051)),"&amp;"
""OK"",
""NO COINCIDE. Valor verdadero: ""&amp;IF(valor="""",""[VACÍO]"",TO_TEXT(valor))
)
))))
),""ERROR EN FÓRMULA""))"),"NO APLICA")</f>
        <v>NO APLICA</v>
      </c>
    </row>
    <row r="1052">
      <c r="A1052" s="83" t="s">
        <v>4618</v>
      </c>
      <c r="B1052" s="83" t="s">
        <v>4619</v>
      </c>
      <c r="C1052" s="81" t="s">
        <v>4621</v>
      </c>
      <c r="D1052" s="83" t="s">
        <v>4159</v>
      </c>
      <c r="E1052" s="81" t="s">
        <v>591</v>
      </c>
      <c r="F1052" s="84">
        <v>84.0</v>
      </c>
      <c r="G1052" s="81" t="s">
        <v>12</v>
      </c>
      <c r="H1052" s="81" t="s">
        <v>224</v>
      </c>
      <c r="I1052" s="81" t="s">
        <v>55</v>
      </c>
      <c r="J1052" s="81" t="s">
        <v>224</v>
      </c>
      <c r="K1052" s="81" t="str">
        <f>IFERROR(__xludf.DUMMYFUNCTION("IF(OR(D1052="""",G1052=""""),"""",IFERROR(LET(
campo,XLOOKUP(TRIM(G1052),ARRAYFORMULA(TRIM('indice columnas'!$A$2:$A$100)),'indice columnas'!$B$2:$B$100,""""),
col,IFERROR(MATCH(campo,Referencia!$A$1:$AZ$1,0),0),
fila,IFERROR(MATCH(TO_TEXT(D1052),ARRAYFOR"&amp;"MULA(TO_TEXT(Referencia!$A$2:$A6238)),0),0),
IF(OR(campo="""",campo=""-""),""NO APLICA"",
IF(col=0,""REVISAR EQUIVALENCIA"",
IF(fila=0,""SKU NO ENCONTRADO"",
LET(
valor,INDEX(Referencia!$A$2:$AZ6238,fila,col),
IF(TRIM(TO_TEXT(valor))=TRIM(TO_TEXT(I1052)),"&amp;"
""OK"",
""NO COINCIDE. Valor verdadero: ""&amp;IF(valor="""",""[VACÍO]"",TO_TEXT(valor))
)
))))
),""ERROR EN FÓRMULA""))"),"OK")</f>
        <v>OK</v>
      </c>
    </row>
    <row r="1053">
      <c r="A1053" s="83" t="s">
        <v>4618</v>
      </c>
      <c r="B1053" s="83" t="s">
        <v>4619</v>
      </c>
      <c r="C1053" s="81" t="s">
        <v>4621</v>
      </c>
      <c r="D1053" s="83" t="s">
        <v>4159</v>
      </c>
      <c r="E1053" s="81" t="s">
        <v>591</v>
      </c>
      <c r="F1053" s="84">
        <v>84.0</v>
      </c>
      <c r="G1053" s="81" t="s">
        <v>44</v>
      </c>
      <c r="H1053" s="81" t="s">
        <v>224</v>
      </c>
      <c r="I1053" s="81" t="s">
        <v>576</v>
      </c>
      <c r="J1053" s="81" t="s">
        <v>4088</v>
      </c>
      <c r="K1053" s="81" t="str">
        <f>IFERROR(__xludf.DUMMYFUNCTION("IF(OR(D1053="""",G1053=""""),"""",IFERROR(LET(
campo,XLOOKUP(TRIM(G1053),ARRAYFORMULA(TRIM('indice columnas'!$A$2:$A$100)),'indice columnas'!$B$2:$B$100,""""),
col,IFERROR(MATCH(campo,Referencia!$A$1:$AZ$1,0),0),
fila,IFERROR(MATCH(TO_TEXT(D1053),ARRAYFOR"&amp;"MULA(TO_TEXT(Referencia!$A$2:$A6238)),0),0),
IF(OR(campo="""",campo=""-""),""NO APLICA"",
IF(col=0,""REVISAR EQUIVALENCIA"",
IF(fila=0,""SKU NO ENCONTRADO"",
LET(
valor,INDEX(Referencia!$A$2:$AZ6238,fila,col),
IF(TRIM(TO_TEXT(valor))=TRIM(TO_TEXT(I1053)),"&amp;"
""OK"",
""NO COINCIDE. Valor verdadero: ""&amp;IF(valor="""",""[VACÍO]"",TO_TEXT(valor))
)
))))
),""ERROR EN FÓRMULA""))"),"NO APLICA")</f>
        <v>NO APLICA</v>
      </c>
    </row>
    <row r="1054">
      <c r="A1054" s="83" t="s">
        <v>4618</v>
      </c>
      <c r="B1054" s="83" t="s">
        <v>4619</v>
      </c>
      <c r="C1054" s="81" t="s">
        <v>4621</v>
      </c>
      <c r="D1054" s="83" t="s">
        <v>4160</v>
      </c>
      <c r="E1054" s="81" t="s">
        <v>593</v>
      </c>
      <c r="F1054" s="84">
        <v>85.0</v>
      </c>
      <c r="G1054" s="81" t="s">
        <v>12</v>
      </c>
      <c r="H1054" s="81" t="s">
        <v>224</v>
      </c>
      <c r="I1054" s="81" t="s">
        <v>55</v>
      </c>
      <c r="J1054" s="81" t="s">
        <v>224</v>
      </c>
      <c r="K1054" s="81" t="str">
        <f>IFERROR(__xludf.DUMMYFUNCTION("IF(OR(D1054="""",G1054=""""),"""",IFERROR(LET(
campo,XLOOKUP(TRIM(G1054),ARRAYFORMULA(TRIM('indice columnas'!$A$2:$A$100)),'indice columnas'!$B$2:$B$100,""""),
col,IFERROR(MATCH(campo,Referencia!$A$1:$AZ$1,0),0),
fila,IFERROR(MATCH(TO_TEXT(D1054),ARRAYFOR"&amp;"MULA(TO_TEXT(Referencia!$A$2:$A6238)),0),0),
IF(OR(campo="""",campo=""-""),""NO APLICA"",
IF(col=0,""REVISAR EQUIVALENCIA"",
IF(fila=0,""SKU NO ENCONTRADO"",
LET(
valor,INDEX(Referencia!$A$2:$AZ6238,fila,col),
IF(TRIM(TO_TEXT(valor))=TRIM(TO_TEXT(I1054)),"&amp;"
""OK"",
""NO COINCIDE. Valor verdadero: ""&amp;IF(valor="""",""[VACÍO]"",TO_TEXT(valor))
)
))))
),""ERROR EN FÓRMULA""))"),"OK")</f>
        <v>OK</v>
      </c>
    </row>
    <row r="1055">
      <c r="A1055" s="83" t="s">
        <v>4618</v>
      </c>
      <c r="B1055" s="83" t="s">
        <v>4619</v>
      </c>
      <c r="C1055" s="81" t="s">
        <v>4621</v>
      </c>
      <c r="D1055" s="83" t="s">
        <v>4160</v>
      </c>
      <c r="E1055" s="81" t="s">
        <v>593</v>
      </c>
      <c r="F1055" s="84">
        <v>85.0</v>
      </c>
      <c r="G1055" s="81" t="s">
        <v>44</v>
      </c>
      <c r="H1055" s="81" t="s">
        <v>224</v>
      </c>
      <c r="I1055" s="81" t="s">
        <v>4161</v>
      </c>
      <c r="J1055" s="81" t="s">
        <v>4088</v>
      </c>
      <c r="K1055" s="81" t="str">
        <f>IFERROR(__xludf.DUMMYFUNCTION("IF(OR(D1055="""",G1055=""""),"""",IFERROR(LET(
campo,XLOOKUP(TRIM(G1055),ARRAYFORMULA(TRIM('indice columnas'!$A$2:$A$100)),'indice columnas'!$B$2:$B$100,""""),
col,IFERROR(MATCH(campo,Referencia!$A$1:$AZ$1,0),0),
fila,IFERROR(MATCH(TO_TEXT(D1055),ARRAYFOR"&amp;"MULA(TO_TEXT(Referencia!$A$2:$A6238)),0),0),
IF(OR(campo="""",campo=""-""),""NO APLICA"",
IF(col=0,""REVISAR EQUIVALENCIA"",
IF(fila=0,""SKU NO ENCONTRADO"",
LET(
valor,INDEX(Referencia!$A$2:$AZ6238,fila,col),
IF(TRIM(TO_TEXT(valor))=TRIM(TO_TEXT(I1055)),"&amp;"
""OK"",
""NO COINCIDE. Valor verdadero: ""&amp;IF(valor="""",""[VACÍO]"",TO_TEXT(valor))
)
))))
),""ERROR EN FÓRMULA""))"),"NO APLICA")</f>
        <v>NO APLICA</v>
      </c>
    </row>
    <row r="1056">
      <c r="A1056" s="83" t="s">
        <v>4618</v>
      </c>
      <c r="B1056" s="83" t="s">
        <v>4619</v>
      </c>
      <c r="C1056" s="81" t="s">
        <v>4621</v>
      </c>
      <c r="D1056" s="83" t="s">
        <v>4162</v>
      </c>
      <c r="E1056" s="81" t="s">
        <v>599</v>
      </c>
      <c r="F1056" s="84">
        <v>86.0</v>
      </c>
      <c r="G1056" s="81" t="s">
        <v>44</v>
      </c>
      <c r="H1056" s="81" t="s">
        <v>224</v>
      </c>
      <c r="I1056" s="81" t="s">
        <v>599</v>
      </c>
      <c r="J1056" s="81" t="s">
        <v>4088</v>
      </c>
      <c r="K1056" s="81" t="str">
        <f>IFERROR(__xludf.DUMMYFUNCTION("IF(OR(D1056="""",G1056=""""),"""",IFERROR(LET(
campo,XLOOKUP(TRIM(G1056),ARRAYFORMULA(TRIM('indice columnas'!$A$2:$A$100)),'indice columnas'!$B$2:$B$100,""""),
col,IFERROR(MATCH(campo,Referencia!$A$1:$AZ$1,0),0),
fila,IFERROR(MATCH(TO_TEXT(D1056),ARRAYFOR"&amp;"MULA(TO_TEXT(Referencia!$A$2:$A6238)),0),0),
IF(OR(campo="""",campo=""-""),""NO APLICA"",
IF(col=0,""REVISAR EQUIVALENCIA"",
IF(fila=0,""SKU NO ENCONTRADO"",
LET(
valor,INDEX(Referencia!$A$2:$AZ6238,fila,col),
IF(TRIM(TO_TEXT(valor))=TRIM(TO_TEXT(I1056)),"&amp;"
""OK"",
""NO COINCIDE. Valor verdadero: ""&amp;IF(valor="""",""[VACÍO]"",TO_TEXT(valor))
)
))))
),""ERROR EN FÓRMULA""))"),"NO APLICA")</f>
        <v>NO APLICA</v>
      </c>
    </row>
    <row r="1057">
      <c r="A1057" s="83" t="s">
        <v>4618</v>
      </c>
      <c r="B1057" s="83" t="s">
        <v>4619</v>
      </c>
      <c r="C1057" s="81" t="s">
        <v>4621</v>
      </c>
      <c r="D1057" s="83" t="s">
        <v>4162</v>
      </c>
      <c r="E1057" s="81" t="s">
        <v>604</v>
      </c>
      <c r="F1057" s="84">
        <v>87.0</v>
      </c>
      <c r="G1057" s="81" t="s">
        <v>12</v>
      </c>
      <c r="H1057" s="81" t="s">
        <v>224</v>
      </c>
      <c r="I1057" s="81" t="s">
        <v>55</v>
      </c>
      <c r="J1057" s="81" t="s">
        <v>224</v>
      </c>
      <c r="K1057" s="81" t="str">
        <f>IFERROR(__xludf.DUMMYFUNCTION("IF(OR(D1057="""",G1057=""""),"""",IFERROR(LET(
campo,XLOOKUP(TRIM(G1057),ARRAYFORMULA(TRIM('indice columnas'!$A$2:$A$100)),'indice columnas'!$B$2:$B$100,""""),
col,IFERROR(MATCH(campo,Referencia!$A$1:$AZ$1,0),0),
fila,IFERROR(MATCH(TO_TEXT(D1057),ARRAYFOR"&amp;"MULA(TO_TEXT(Referencia!$A$2:$A6238)),0),0),
IF(OR(campo="""",campo=""-""),""NO APLICA"",
IF(col=0,""REVISAR EQUIVALENCIA"",
IF(fila=0,""SKU NO ENCONTRADO"",
LET(
valor,INDEX(Referencia!$A$2:$AZ6238,fila,col),
IF(TRIM(TO_TEXT(valor))=TRIM(TO_TEXT(I1057)),"&amp;"
""OK"",
""NO COINCIDE. Valor verdadero: ""&amp;IF(valor="""",""[VACÍO]"",TO_TEXT(valor))
)
))))
),""ERROR EN FÓRMULA""))"),"OK")</f>
        <v>OK</v>
      </c>
    </row>
    <row r="1058">
      <c r="A1058" s="83" t="s">
        <v>4618</v>
      </c>
      <c r="B1058" s="83" t="s">
        <v>4619</v>
      </c>
      <c r="C1058" s="81" t="s">
        <v>4621</v>
      </c>
      <c r="D1058" s="83" t="s">
        <v>4162</v>
      </c>
      <c r="E1058" s="81" t="s">
        <v>604</v>
      </c>
      <c r="F1058" s="84">
        <v>87.0</v>
      </c>
      <c r="G1058" s="81" t="s">
        <v>44</v>
      </c>
      <c r="H1058" s="81" t="s">
        <v>224</v>
      </c>
      <c r="I1058" s="81" t="s">
        <v>599</v>
      </c>
      <c r="J1058" s="81" t="s">
        <v>4088</v>
      </c>
      <c r="K1058" s="81" t="str">
        <f>IFERROR(__xludf.DUMMYFUNCTION("IF(OR(D1058="""",G1058=""""),"""",IFERROR(LET(
campo,XLOOKUP(TRIM(G1058),ARRAYFORMULA(TRIM('indice columnas'!$A$2:$A$100)),'indice columnas'!$B$2:$B$100,""""),
col,IFERROR(MATCH(campo,Referencia!$A$1:$AZ$1,0),0),
fila,IFERROR(MATCH(TO_TEXT(D1058),ARRAYFOR"&amp;"MULA(TO_TEXT(Referencia!$A$2:$A6238)),0),0),
IF(OR(campo="""",campo=""-""),""NO APLICA"",
IF(col=0,""REVISAR EQUIVALENCIA"",
IF(fila=0,""SKU NO ENCONTRADO"",
LET(
valor,INDEX(Referencia!$A$2:$AZ6238,fila,col),
IF(TRIM(TO_TEXT(valor))=TRIM(TO_TEXT(I1058)),"&amp;"
""OK"",
""NO COINCIDE. Valor verdadero: ""&amp;IF(valor="""",""[VACÍO]"",TO_TEXT(valor))
)
))))
),""ERROR EN FÓRMULA""))"),"NO APLICA")</f>
        <v>NO APLICA</v>
      </c>
    </row>
    <row r="1059">
      <c r="A1059" s="83" t="s">
        <v>4618</v>
      </c>
      <c r="B1059" s="83" t="s">
        <v>4619</v>
      </c>
      <c r="C1059" s="81" t="s">
        <v>4621</v>
      </c>
      <c r="D1059" s="83" t="s">
        <v>4163</v>
      </c>
      <c r="E1059" s="81" t="s">
        <v>605</v>
      </c>
      <c r="F1059" s="84">
        <v>88.0</v>
      </c>
      <c r="G1059" s="81" t="s">
        <v>12</v>
      </c>
      <c r="H1059" s="81" t="s">
        <v>224</v>
      </c>
      <c r="I1059" s="81" t="s">
        <v>55</v>
      </c>
      <c r="J1059" s="81" t="s">
        <v>224</v>
      </c>
      <c r="K1059" s="81" t="str">
        <f>IFERROR(__xludf.DUMMYFUNCTION("IF(OR(D1059="""",G1059=""""),"""",IFERROR(LET(
campo,XLOOKUP(TRIM(G1059),ARRAYFORMULA(TRIM('indice columnas'!$A$2:$A$100)),'indice columnas'!$B$2:$B$100,""""),
col,IFERROR(MATCH(campo,Referencia!$A$1:$AZ$1,0),0),
fila,IFERROR(MATCH(TO_TEXT(D1059),ARRAYFOR"&amp;"MULA(TO_TEXT(Referencia!$A$2:$A6238)),0),0),
IF(OR(campo="""",campo=""-""),""NO APLICA"",
IF(col=0,""REVISAR EQUIVALENCIA"",
IF(fila=0,""SKU NO ENCONTRADO"",
LET(
valor,INDEX(Referencia!$A$2:$AZ6238,fila,col),
IF(TRIM(TO_TEXT(valor))=TRIM(TO_TEXT(I1059)),"&amp;"
""OK"",
""NO COINCIDE. Valor verdadero: ""&amp;IF(valor="""",""[VACÍO]"",TO_TEXT(valor))
)
))))
),""ERROR EN FÓRMULA""))"),"OK")</f>
        <v>OK</v>
      </c>
    </row>
    <row r="1060">
      <c r="A1060" s="83" t="s">
        <v>4618</v>
      </c>
      <c r="B1060" s="83" t="s">
        <v>4619</v>
      </c>
      <c r="C1060" s="81" t="s">
        <v>4621</v>
      </c>
      <c r="D1060" s="83" t="s">
        <v>4163</v>
      </c>
      <c r="E1060" s="81" t="s">
        <v>605</v>
      </c>
      <c r="F1060" s="84">
        <v>88.0</v>
      </c>
      <c r="G1060" s="81" t="s">
        <v>44</v>
      </c>
      <c r="H1060" s="81" t="s">
        <v>224</v>
      </c>
      <c r="I1060" s="81" t="s">
        <v>599</v>
      </c>
      <c r="J1060" s="81" t="s">
        <v>4088</v>
      </c>
      <c r="K1060" s="81" t="str">
        <f>IFERROR(__xludf.DUMMYFUNCTION("IF(OR(D1060="""",G1060=""""),"""",IFERROR(LET(
campo,XLOOKUP(TRIM(G1060),ARRAYFORMULA(TRIM('indice columnas'!$A$2:$A$100)),'indice columnas'!$B$2:$B$100,""""),
col,IFERROR(MATCH(campo,Referencia!$A$1:$AZ$1,0),0),
fila,IFERROR(MATCH(TO_TEXT(D1060),ARRAYFOR"&amp;"MULA(TO_TEXT(Referencia!$A$2:$A6238)),0),0),
IF(OR(campo="""",campo=""-""),""NO APLICA"",
IF(col=0,""REVISAR EQUIVALENCIA"",
IF(fila=0,""SKU NO ENCONTRADO"",
LET(
valor,INDEX(Referencia!$A$2:$AZ6238,fila,col),
IF(TRIM(TO_TEXT(valor))=TRIM(TO_TEXT(I1060)),"&amp;"
""OK"",
""NO COINCIDE. Valor verdadero: ""&amp;IF(valor="""",""[VACÍO]"",TO_TEXT(valor))
)
))))
),""ERROR EN FÓRMULA""))"),"NO APLICA")</f>
        <v>NO APLICA</v>
      </c>
    </row>
    <row r="1061">
      <c r="A1061" s="83" t="s">
        <v>4618</v>
      </c>
      <c r="B1061" s="83" t="s">
        <v>4619</v>
      </c>
      <c r="C1061" s="81" t="s">
        <v>4621</v>
      </c>
      <c r="D1061" s="83" t="s">
        <v>4164</v>
      </c>
      <c r="E1061" s="81" t="s">
        <v>607</v>
      </c>
      <c r="F1061" s="84">
        <v>89.0</v>
      </c>
      <c r="G1061" s="81" t="s">
        <v>44</v>
      </c>
      <c r="H1061" s="81" t="s">
        <v>224</v>
      </c>
      <c r="I1061" s="81" t="s">
        <v>607</v>
      </c>
      <c r="J1061" s="81" t="s">
        <v>4088</v>
      </c>
      <c r="K1061" s="81" t="str">
        <f>IFERROR(__xludf.DUMMYFUNCTION("IF(OR(D1061="""",G1061=""""),"""",IFERROR(LET(
campo,XLOOKUP(TRIM(G1061),ARRAYFORMULA(TRIM('indice columnas'!$A$2:$A$100)),'indice columnas'!$B$2:$B$100,""""),
col,IFERROR(MATCH(campo,Referencia!$A$1:$AZ$1,0),0),
fila,IFERROR(MATCH(TO_TEXT(D1061),ARRAYFOR"&amp;"MULA(TO_TEXT(Referencia!$A$2:$A6238)),0),0),
IF(OR(campo="""",campo=""-""),""NO APLICA"",
IF(col=0,""REVISAR EQUIVALENCIA"",
IF(fila=0,""SKU NO ENCONTRADO"",
LET(
valor,INDEX(Referencia!$A$2:$AZ6238,fila,col),
IF(TRIM(TO_TEXT(valor))=TRIM(TO_TEXT(I1061)),"&amp;"
""OK"",
""NO COINCIDE. Valor verdadero: ""&amp;IF(valor="""",""[VACÍO]"",TO_TEXT(valor))
)
))))
),""ERROR EN FÓRMULA""))"),"NO APLICA")</f>
        <v>NO APLICA</v>
      </c>
    </row>
    <row r="1062">
      <c r="A1062" s="83" t="s">
        <v>4618</v>
      </c>
      <c r="B1062" s="83" t="s">
        <v>4619</v>
      </c>
      <c r="C1062" s="81" t="s">
        <v>4621</v>
      </c>
      <c r="D1062" s="83" t="s">
        <v>4165</v>
      </c>
      <c r="E1062" s="81" t="s">
        <v>615</v>
      </c>
      <c r="F1062" s="84">
        <v>90.0</v>
      </c>
      <c r="G1062" s="81" t="s">
        <v>12</v>
      </c>
      <c r="H1062" s="81" t="s">
        <v>224</v>
      </c>
      <c r="I1062" s="81" t="s">
        <v>55</v>
      </c>
      <c r="J1062" s="81" t="s">
        <v>224</v>
      </c>
      <c r="K1062" s="81" t="str">
        <f>IFERROR(__xludf.DUMMYFUNCTION("IF(OR(D1062="""",G1062=""""),"""",IFERROR(LET(
campo,XLOOKUP(TRIM(G1062),ARRAYFORMULA(TRIM('indice columnas'!$A$2:$A$100)),'indice columnas'!$B$2:$B$100,""""),
col,IFERROR(MATCH(campo,Referencia!$A$1:$AZ$1,0),0),
fila,IFERROR(MATCH(TO_TEXT(D1062),ARRAYFOR"&amp;"MULA(TO_TEXT(Referencia!$A$2:$A6238)),0),0),
IF(OR(campo="""",campo=""-""),""NO APLICA"",
IF(col=0,""REVISAR EQUIVALENCIA"",
IF(fila=0,""SKU NO ENCONTRADO"",
LET(
valor,INDEX(Referencia!$A$2:$AZ6238,fila,col),
IF(TRIM(TO_TEXT(valor))=TRIM(TO_TEXT(I1062)),"&amp;"
""OK"",
""NO COINCIDE. Valor verdadero: ""&amp;IF(valor="""",""[VACÍO]"",TO_TEXT(valor))
)
))))
),""ERROR EN FÓRMULA""))"),"OK")</f>
        <v>OK</v>
      </c>
    </row>
    <row r="1063">
      <c r="A1063" s="83" t="s">
        <v>4618</v>
      </c>
      <c r="B1063" s="83" t="s">
        <v>4619</v>
      </c>
      <c r="C1063" s="81" t="s">
        <v>4621</v>
      </c>
      <c r="D1063" s="83" t="s">
        <v>4165</v>
      </c>
      <c r="E1063" s="81" t="s">
        <v>615</v>
      </c>
      <c r="F1063" s="84">
        <v>90.0</v>
      </c>
      <c r="G1063" s="81" t="s">
        <v>44</v>
      </c>
      <c r="H1063" s="81" t="s">
        <v>224</v>
      </c>
      <c r="I1063" s="81" t="s">
        <v>607</v>
      </c>
      <c r="J1063" s="81" t="s">
        <v>4088</v>
      </c>
      <c r="K1063" s="81" t="str">
        <f>IFERROR(__xludf.DUMMYFUNCTION("IF(OR(D1063="""",G1063=""""),"""",IFERROR(LET(
campo,XLOOKUP(TRIM(G1063),ARRAYFORMULA(TRIM('indice columnas'!$A$2:$A$100)),'indice columnas'!$B$2:$B$100,""""),
col,IFERROR(MATCH(campo,Referencia!$A$1:$AZ$1,0),0),
fila,IFERROR(MATCH(TO_TEXT(D1063),ARRAYFOR"&amp;"MULA(TO_TEXT(Referencia!$A$2:$A6238)),0),0),
IF(OR(campo="""",campo=""-""),""NO APLICA"",
IF(col=0,""REVISAR EQUIVALENCIA"",
IF(fila=0,""SKU NO ENCONTRADO"",
LET(
valor,INDEX(Referencia!$A$2:$AZ6238,fila,col),
IF(TRIM(TO_TEXT(valor))=TRIM(TO_TEXT(I1063)),"&amp;"
""OK"",
""NO COINCIDE. Valor verdadero: ""&amp;IF(valor="""",""[VACÍO]"",TO_TEXT(valor))
)
))))
),""ERROR EN FÓRMULA""))"),"NO APLICA")</f>
        <v>NO APLICA</v>
      </c>
    </row>
    <row r="1064">
      <c r="A1064" s="83" t="s">
        <v>4618</v>
      </c>
      <c r="B1064" s="83" t="s">
        <v>4619</v>
      </c>
      <c r="C1064" s="81" t="s">
        <v>4621</v>
      </c>
      <c r="D1064" s="83" t="s">
        <v>4166</v>
      </c>
      <c r="E1064" s="81" t="s">
        <v>617</v>
      </c>
      <c r="F1064" s="84">
        <v>91.0</v>
      </c>
      <c r="G1064" s="81" t="s">
        <v>12</v>
      </c>
      <c r="H1064" s="81" t="s">
        <v>224</v>
      </c>
      <c r="I1064" s="81" t="s">
        <v>55</v>
      </c>
      <c r="J1064" s="81" t="s">
        <v>224</v>
      </c>
      <c r="K1064" s="81" t="str">
        <f>IFERROR(__xludf.DUMMYFUNCTION("IF(OR(D1064="""",G1064=""""),"""",IFERROR(LET(
campo,XLOOKUP(TRIM(G1064),ARRAYFORMULA(TRIM('indice columnas'!$A$2:$A$100)),'indice columnas'!$B$2:$B$100,""""),
col,IFERROR(MATCH(campo,Referencia!$A$1:$AZ$1,0),0),
fila,IFERROR(MATCH(TO_TEXT(D1064),ARRAYFOR"&amp;"MULA(TO_TEXT(Referencia!$A$2:$A6238)),0),0),
IF(OR(campo="""",campo=""-""),""NO APLICA"",
IF(col=0,""REVISAR EQUIVALENCIA"",
IF(fila=0,""SKU NO ENCONTRADO"",
LET(
valor,INDEX(Referencia!$A$2:$AZ6238,fila,col),
IF(TRIM(TO_TEXT(valor))=TRIM(TO_TEXT(I1064)),"&amp;"
""OK"",
""NO COINCIDE. Valor verdadero: ""&amp;IF(valor="""",""[VACÍO]"",TO_TEXT(valor))
)
))))
),""ERROR EN FÓRMULA""))"),"OK")</f>
        <v>OK</v>
      </c>
    </row>
    <row r="1065">
      <c r="A1065" s="83" t="s">
        <v>4618</v>
      </c>
      <c r="B1065" s="83" t="s">
        <v>4619</v>
      </c>
      <c r="C1065" s="81" t="s">
        <v>4621</v>
      </c>
      <c r="D1065" s="83" t="s">
        <v>4166</v>
      </c>
      <c r="E1065" s="81" t="s">
        <v>617</v>
      </c>
      <c r="F1065" s="84">
        <v>91.0</v>
      </c>
      <c r="G1065" s="81" t="s">
        <v>44</v>
      </c>
      <c r="H1065" s="81" t="s">
        <v>224</v>
      </c>
      <c r="I1065" s="81" t="s">
        <v>607</v>
      </c>
      <c r="J1065" s="81" t="s">
        <v>4088</v>
      </c>
      <c r="K1065" s="81" t="str">
        <f>IFERROR(__xludf.DUMMYFUNCTION("IF(OR(D1065="""",G1065=""""),"""",IFERROR(LET(
campo,XLOOKUP(TRIM(G1065),ARRAYFORMULA(TRIM('indice columnas'!$A$2:$A$100)),'indice columnas'!$B$2:$B$100,""""),
col,IFERROR(MATCH(campo,Referencia!$A$1:$AZ$1,0),0),
fila,IFERROR(MATCH(TO_TEXT(D1065),ARRAYFOR"&amp;"MULA(TO_TEXT(Referencia!$A$2:$A6238)),0),0),
IF(OR(campo="""",campo=""-""),""NO APLICA"",
IF(col=0,""REVISAR EQUIVALENCIA"",
IF(fila=0,""SKU NO ENCONTRADO"",
LET(
valor,INDEX(Referencia!$A$2:$AZ6238,fila,col),
IF(TRIM(TO_TEXT(valor))=TRIM(TO_TEXT(I1065)),"&amp;"
""OK"",
""NO COINCIDE. Valor verdadero: ""&amp;IF(valor="""",""[VACÍO]"",TO_TEXT(valor))
)
))))
),""ERROR EN FÓRMULA""))"),"NO APLICA")</f>
        <v>NO APLICA</v>
      </c>
    </row>
    <row r="1066">
      <c r="A1066" s="83" t="s">
        <v>4618</v>
      </c>
      <c r="B1066" s="83" t="s">
        <v>4619</v>
      </c>
      <c r="C1066" s="81" t="s">
        <v>4621</v>
      </c>
      <c r="D1066" s="83" t="s">
        <v>4167</v>
      </c>
      <c r="E1066" s="81" t="s">
        <v>619</v>
      </c>
      <c r="F1066" s="84">
        <v>92.0</v>
      </c>
      <c r="G1066" s="81" t="s">
        <v>12</v>
      </c>
      <c r="H1066" s="81" t="s">
        <v>224</v>
      </c>
      <c r="I1066" s="81" t="s">
        <v>55</v>
      </c>
      <c r="J1066" s="81" t="s">
        <v>224</v>
      </c>
      <c r="K1066" s="81" t="str">
        <f>IFERROR(__xludf.DUMMYFUNCTION("IF(OR(D1066="""",G1066=""""),"""",IFERROR(LET(
campo,XLOOKUP(TRIM(G1066),ARRAYFORMULA(TRIM('indice columnas'!$A$2:$A$100)),'indice columnas'!$B$2:$B$100,""""),
col,IFERROR(MATCH(campo,Referencia!$A$1:$AZ$1,0),0),
fila,IFERROR(MATCH(TO_TEXT(D1066),ARRAYFOR"&amp;"MULA(TO_TEXT(Referencia!$A$2:$A6238)),0),0),
IF(OR(campo="""",campo=""-""),""NO APLICA"",
IF(col=0,""REVISAR EQUIVALENCIA"",
IF(fila=0,""SKU NO ENCONTRADO"",
LET(
valor,INDEX(Referencia!$A$2:$AZ6238,fila,col),
IF(TRIM(TO_TEXT(valor))=TRIM(TO_TEXT(I1066)),"&amp;"
""OK"",
""NO COINCIDE. Valor verdadero: ""&amp;IF(valor="""",""[VACÍO]"",TO_TEXT(valor))
)
))))
),""ERROR EN FÓRMULA""))"),"OK")</f>
        <v>OK</v>
      </c>
    </row>
    <row r="1067">
      <c r="A1067" s="83" t="s">
        <v>4618</v>
      </c>
      <c r="B1067" s="83" t="s">
        <v>4619</v>
      </c>
      <c r="C1067" s="81" t="s">
        <v>4621</v>
      </c>
      <c r="D1067" s="83" t="s">
        <v>4167</v>
      </c>
      <c r="E1067" s="81" t="s">
        <v>619</v>
      </c>
      <c r="F1067" s="84">
        <v>92.0</v>
      </c>
      <c r="G1067" s="81" t="s">
        <v>44</v>
      </c>
      <c r="H1067" s="81" t="s">
        <v>224</v>
      </c>
      <c r="I1067" s="81" t="s">
        <v>4168</v>
      </c>
      <c r="J1067" s="81" t="s">
        <v>4088</v>
      </c>
      <c r="K1067" s="81" t="str">
        <f>IFERROR(__xludf.DUMMYFUNCTION("IF(OR(D1067="""",G1067=""""),"""",IFERROR(LET(
campo,XLOOKUP(TRIM(G1067),ARRAYFORMULA(TRIM('indice columnas'!$A$2:$A$100)),'indice columnas'!$B$2:$B$100,""""),
col,IFERROR(MATCH(campo,Referencia!$A$1:$AZ$1,0),0),
fila,IFERROR(MATCH(TO_TEXT(D1067),ARRAYFOR"&amp;"MULA(TO_TEXT(Referencia!$A$2:$A6238)),0),0),
IF(OR(campo="""",campo=""-""),""NO APLICA"",
IF(col=0,""REVISAR EQUIVALENCIA"",
IF(fila=0,""SKU NO ENCONTRADO"",
LET(
valor,INDEX(Referencia!$A$2:$AZ6238,fila,col),
IF(TRIM(TO_TEXT(valor))=TRIM(TO_TEXT(I1067)),"&amp;"
""OK"",
""NO COINCIDE. Valor verdadero: ""&amp;IF(valor="""",""[VACÍO]"",TO_TEXT(valor))
)
))))
),""ERROR EN FÓRMULA""))"),"NO APLICA")</f>
        <v>NO APLICA</v>
      </c>
    </row>
    <row r="1068">
      <c r="A1068" s="83" t="s">
        <v>4618</v>
      </c>
      <c r="B1068" s="83" t="s">
        <v>4619</v>
      </c>
      <c r="C1068" s="81" t="s">
        <v>4621</v>
      </c>
      <c r="D1068" s="83" t="s">
        <v>4169</v>
      </c>
      <c r="E1068" s="81" t="s">
        <v>624</v>
      </c>
      <c r="F1068" s="84">
        <v>93.0</v>
      </c>
      <c r="G1068" s="81" t="s">
        <v>12</v>
      </c>
      <c r="H1068" s="81" t="s">
        <v>224</v>
      </c>
      <c r="I1068" s="81" t="s">
        <v>55</v>
      </c>
      <c r="J1068" s="81" t="s">
        <v>224</v>
      </c>
      <c r="K1068" s="81" t="str">
        <f>IFERROR(__xludf.DUMMYFUNCTION("IF(OR(D1068="""",G1068=""""),"""",IFERROR(LET(
campo,XLOOKUP(TRIM(G1068),ARRAYFORMULA(TRIM('indice columnas'!$A$2:$A$100)),'indice columnas'!$B$2:$B$100,""""),
col,IFERROR(MATCH(campo,Referencia!$A$1:$AZ$1,0),0),
fila,IFERROR(MATCH(TO_TEXT(D1068),ARRAYFOR"&amp;"MULA(TO_TEXT(Referencia!$A$2:$A6238)),0),0),
IF(OR(campo="""",campo=""-""),""NO APLICA"",
IF(col=0,""REVISAR EQUIVALENCIA"",
IF(fila=0,""SKU NO ENCONTRADO"",
LET(
valor,INDEX(Referencia!$A$2:$AZ6238,fila,col),
IF(TRIM(TO_TEXT(valor))=TRIM(TO_TEXT(I1068)),"&amp;"
""OK"",
""NO COINCIDE. Valor verdadero: ""&amp;IF(valor="""",""[VACÍO]"",TO_TEXT(valor))
)
))))
),""ERROR EN FÓRMULA""))"),"OK")</f>
        <v>OK</v>
      </c>
    </row>
    <row r="1069">
      <c r="A1069" s="83" t="s">
        <v>4618</v>
      </c>
      <c r="B1069" s="83" t="s">
        <v>4619</v>
      </c>
      <c r="C1069" s="81" t="s">
        <v>4621</v>
      </c>
      <c r="D1069" s="83" t="s">
        <v>4169</v>
      </c>
      <c r="E1069" s="81" t="s">
        <v>624</v>
      </c>
      <c r="F1069" s="84">
        <v>93.0</v>
      </c>
      <c r="G1069" s="81" t="s">
        <v>44</v>
      </c>
      <c r="H1069" s="81" t="s">
        <v>224</v>
      </c>
      <c r="I1069" s="81" t="s">
        <v>470</v>
      </c>
      <c r="J1069" s="81" t="s">
        <v>4088</v>
      </c>
      <c r="K1069" s="81" t="str">
        <f>IFERROR(__xludf.DUMMYFUNCTION("IF(OR(D1069="""",G1069=""""),"""",IFERROR(LET(
campo,XLOOKUP(TRIM(G1069),ARRAYFORMULA(TRIM('indice columnas'!$A$2:$A$100)),'indice columnas'!$B$2:$B$100,""""),
col,IFERROR(MATCH(campo,Referencia!$A$1:$AZ$1,0),0),
fila,IFERROR(MATCH(TO_TEXT(D1069),ARRAYFOR"&amp;"MULA(TO_TEXT(Referencia!$A$2:$A6238)),0),0),
IF(OR(campo="""",campo=""-""),""NO APLICA"",
IF(col=0,""REVISAR EQUIVALENCIA"",
IF(fila=0,""SKU NO ENCONTRADO"",
LET(
valor,INDEX(Referencia!$A$2:$AZ6238,fila,col),
IF(TRIM(TO_TEXT(valor))=TRIM(TO_TEXT(I1069)),"&amp;"
""OK"",
""NO COINCIDE. Valor verdadero: ""&amp;IF(valor="""",""[VACÍO]"",TO_TEXT(valor))
)
))))
),""ERROR EN FÓRMULA""))"),"NO APLICA")</f>
        <v>NO APLICA</v>
      </c>
    </row>
    <row r="1070">
      <c r="A1070" s="83" t="s">
        <v>4618</v>
      </c>
      <c r="B1070" s="83" t="s">
        <v>4619</v>
      </c>
      <c r="C1070" s="81" t="s">
        <v>4621</v>
      </c>
      <c r="D1070" s="83" t="s">
        <v>4170</v>
      </c>
      <c r="E1070" s="81" t="s">
        <v>627</v>
      </c>
      <c r="F1070" s="84">
        <v>94.0</v>
      </c>
      <c r="G1070" s="81" t="s">
        <v>12</v>
      </c>
      <c r="H1070" s="81" t="s">
        <v>224</v>
      </c>
      <c r="I1070" s="81" t="s">
        <v>55</v>
      </c>
      <c r="J1070" s="81" t="s">
        <v>224</v>
      </c>
      <c r="K1070" s="81" t="str">
        <f>IFERROR(__xludf.DUMMYFUNCTION("IF(OR(D1070="""",G1070=""""),"""",IFERROR(LET(
campo,XLOOKUP(TRIM(G1070),ARRAYFORMULA(TRIM('indice columnas'!$A$2:$A$100)),'indice columnas'!$B$2:$B$100,""""),
col,IFERROR(MATCH(campo,Referencia!$A$1:$AZ$1,0),0),
fila,IFERROR(MATCH(TO_TEXT(D1070),ARRAYFOR"&amp;"MULA(TO_TEXT(Referencia!$A$2:$A6238)),0),0),
IF(OR(campo="""",campo=""-""),""NO APLICA"",
IF(col=0,""REVISAR EQUIVALENCIA"",
IF(fila=0,""SKU NO ENCONTRADO"",
LET(
valor,INDEX(Referencia!$A$2:$AZ6238,fila,col),
IF(TRIM(TO_TEXT(valor))=TRIM(TO_TEXT(I1070)),"&amp;"
""OK"",
""NO COINCIDE. Valor verdadero: ""&amp;IF(valor="""",""[VACÍO]"",TO_TEXT(valor))
)
))))
),""ERROR EN FÓRMULA""))"),"OK")</f>
        <v>OK</v>
      </c>
    </row>
    <row r="1071">
      <c r="A1071" s="83" t="s">
        <v>4618</v>
      </c>
      <c r="B1071" s="83" t="s">
        <v>4619</v>
      </c>
      <c r="C1071" s="81" t="s">
        <v>4621</v>
      </c>
      <c r="D1071" s="83" t="s">
        <v>4170</v>
      </c>
      <c r="E1071" s="81" t="s">
        <v>627</v>
      </c>
      <c r="F1071" s="84">
        <v>94.0</v>
      </c>
      <c r="G1071" s="81" t="s">
        <v>44</v>
      </c>
      <c r="H1071" s="81" t="s">
        <v>224</v>
      </c>
      <c r="I1071" s="81" t="s">
        <v>470</v>
      </c>
      <c r="J1071" s="81" t="s">
        <v>4088</v>
      </c>
      <c r="K1071" s="81" t="str">
        <f>IFERROR(__xludf.DUMMYFUNCTION("IF(OR(D1071="""",G1071=""""),"""",IFERROR(LET(
campo,XLOOKUP(TRIM(G1071),ARRAYFORMULA(TRIM('indice columnas'!$A$2:$A$100)),'indice columnas'!$B$2:$B$100,""""),
col,IFERROR(MATCH(campo,Referencia!$A$1:$AZ$1,0),0),
fila,IFERROR(MATCH(TO_TEXT(D1071),ARRAYFOR"&amp;"MULA(TO_TEXT(Referencia!$A$2:$A6238)),0),0),
IF(OR(campo="""",campo=""-""),""NO APLICA"",
IF(col=0,""REVISAR EQUIVALENCIA"",
IF(fila=0,""SKU NO ENCONTRADO"",
LET(
valor,INDEX(Referencia!$A$2:$AZ6238,fila,col),
IF(TRIM(TO_TEXT(valor))=TRIM(TO_TEXT(I1071)),"&amp;"
""OK"",
""NO COINCIDE. Valor verdadero: ""&amp;IF(valor="""",""[VACÍO]"",TO_TEXT(valor))
)
))))
),""ERROR EN FÓRMULA""))"),"NO APLICA")</f>
        <v>NO APLICA</v>
      </c>
    </row>
    <row r="1072">
      <c r="A1072" s="83" t="s">
        <v>4618</v>
      </c>
      <c r="B1072" s="83" t="s">
        <v>4619</v>
      </c>
      <c r="C1072" s="81" t="s">
        <v>4621</v>
      </c>
      <c r="D1072" s="83" t="s">
        <v>4171</v>
      </c>
      <c r="E1072" s="81" t="s">
        <v>629</v>
      </c>
      <c r="F1072" s="84">
        <v>95.0</v>
      </c>
      <c r="G1072" s="81" t="s">
        <v>12</v>
      </c>
      <c r="H1072" s="81" t="s">
        <v>224</v>
      </c>
      <c r="I1072" s="81" t="s">
        <v>55</v>
      </c>
      <c r="J1072" s="81" t="s">
        <v>224</v>
      </c>
      <c r="K1072" s="81" t="str">
        <f>IFERROR(__xludf.DUMMYFUNCTION("IF(OR(D1072="""",G1072=""""),"""",IFERROR(LET(
campo,XLOOKUP(TRIM(G1072),ARRAYFORMULA(TRIM('indice columnas'!$A$2:$A$100)),'indice columnas'!$B$2:$B$100,""""),
col,IFERROR(MATCH(campo,Referencia!$A$1:$AZ$1,0),0),
fila,IFERROR(MATCH(TO_TEXT(D1072),ARRAYFOR"&amp;"MULA(TO_TEXT(Referencia!$A$2:$A6238)),0),0),
IF(OR(campo="""",campo=""-""),""NO APLICA"",
IF(col=0,""REVISAR EQUIVALENCIA"",
IF(fila=0,""SKU NO ENCONTRADO"",
LET(
valor,INDEX(Referencia!$A$2:$AZ6238,fila,col),
IF(TRIM(TO_TEXT(valor))=TRIM(TO_TEXT(I1072)),"&amp;"
""OK"",
""NO COINCIDE. Valor verdadero: ""&amp;IF(valor="""",""[VACÍO]"",TO_TEXT(valor))
)
))))
),""ERROR EN FÓRMULA""))"),"OK")</f>
        <v>OK</v>
      </c>
    </row>
    <row r="1073">
      <c r="A1073" s="83" t="s">
        <v>4618</v>
      </c>
      <c r="B1073" s="83" t="s">
        <v>4619</v>
      </c>
      <c r="C1073" s="81" t="s">
        <v>4621</v>
      </c>
      <c r="D1073" s="83" t="s">
        <v>4171</v>
      </c>
      <c r="E1073" s="81" t="s">
        <v>629</v>
      </c>
      <c r="F1073" s="84">
        <v>95.0</v>
      </c>
      <c r="G1073" s="81" t="s">
        <v>44</v>
      </c>
      <c r="H1073" s="81" t="s">
        <v>224</v>
      </c>
      <c r="I1073" s="81" t="s">
        <v>523</v>
      </c>
      <c r="J1073" s="81" t="s">
        <v>4088</v>
      </c>
      <c r="K1073" s="81" t="str">
        <f>IFERROR(__xludf.DUMMYFUNCTION("IF(OR(D1073="""",G1073=""""),"""",IFERROR(LET(
campo,XLOOKUP(TRIM(G1073),ARRAYFORMULA(TRIM('indice columnas'!$A$2:$A$100)),'indice columnas'!$B$2:$B$100,""""),
col,IFERROR(MATCH(campo,Referencia!$A$1:$AZ$1,0),0),
fila,IFERROR(MATCH(TO_TEXT(D1073),ARRAYFOR"&amp;"MULA(TO_TEXT(Referencia!$A$2:$A6238)),0),0),
IF(OR(campo="""",campo=""-""),""NO APLICA"",
IF(col=0,""REVISAR EQUIVALENCIA"",
IF(fila=0,""SKU NO ENCONTRADO"",
LET(
valor,INDEX(Referencia!$A$2:$AZ6238,fila,col),
IF(TRIM(TO_TEXT(valor))=TRIM(TO_TEXT(I1073)),"&amp;"
""OK"",
""NO COINCIDE. Valor verdadero: ""&amp;IF(valor="""",""[VACÍO]"",TO_TEXT(valor))
)
))))
),""ERROR EN FÓRMULA""))"),"NO APLICA")</f>
        <v>NO APLICA</v>
      </c>
    </row>
    <row r="1074">
      <c r="A1074" s="83" t="s">
        <v>4618</v>
      </c>
      <c r="B1074" s="83" t="s">
        <v>4619</v>
      </c>
      <c r="C1074" s="81" t="s">
        <v>4621</v>
      </c>
      <c r="D1074" s="83" t="s">
        <v>4172</v>
      </c>
      <c r="E1074" s="81" t="s">
        <v>632</v>
      </c>
      <c r="F1074" s="84">
        <v>96.0</v>
      </c>
      <c r="G1074" s="81" t="s">
        <v>44</v>
      </c>
      <c r="H1074" s="81" t="s">
        <v>224</v>
      </c>
      <c r="I1074" s="81" t="s">
        <v>632</v>
      </c>
      <c r="J1074" s="81" t="s">
        <v>4088</v>
      </c>
      <c r="K1074" s="81" t="str">
        <f>IFERROR(__xludf.DUMMYFUNCTION("IF(OR(D1074="""",G1074=""""),"""",IFERROR(LET(
campo,XLOOKUP(TRIM(G1074),ARRAYFORMULA(TRIM('indice columnas'!$A$2:$A$100)),'indice columnas'!$B$2:$B$100,""""),
col,IFERROR(MATCH(campo,Referencia!$A$1:$AZ$1,0),0),
fila,IFERROR(MATCH(TO_TEXT(D1074),ARRAYFOR"&amp;"MULA(TO_TEXT(Referencia!$A$2:$A6238)),0),0),
IF(OR(campo="""",campo=""-""),""NO APLICA"",
IF(col=0,""REVISAR EQUIVALENCIA"",
IF(fila=0,""SKU NO ENCONTRADO"",
LET(
valor,INDEX(Referencia!$A$2:$AZ6238,fila,col),
IF(TRIM(TO_TEXT(valor))=TRIM(TO_TEXT(I1074)),"&amp;"
""OK"",
""NO COINCIDE. Valor verdadero: ""&amp;IF(valor="""",""[VACÍO]"",TO_TEXT(valor))
)
))))
),""ERROR EN FÓRMULA""))"),"NO APLICA")</f>
        <v>NO APLICA</v>
      </c>
    </row>
    <row r="1075">
      <c r="A1075" s="83" t="s">
        <v>4618</v>
      </c>
      <c r="B1075" s="83" t="s">
        <v>4619</v>
      </c>
      <c r="C1075" s="81" t="s">
        <v>4621</v>
      </c>
      <c r="D1075" s="83" t="s">
        <v>4172</v>
      </c>
      <c r="E1075" s="81" t="s">
        <v>642</v>
      </c>
      <c r="F1075" s="84">
        <v>97.0</v>
      </c>
      <c r="G1075" s="81" t="s">
        <v>12</v>
      </c>
      <c r="H1075" s="81" t="s">
        <v>224</v>
      </c>
      <c r="I1075" s="81" t="s">
        <v>55</v>
      </c>
      <c r="J1075" s="81" t="s">
        <v>224</v>
      </c>
      <c r="K1075" s="81" t="str">
        <f>IFERROR(__xludf.DUMMYFUNCTION("IF(OR(D1075="""",G1075=""""),"""",IFERROR(LET(
campo,XLOOKUP(TRIM(G1075),ARRAYFORMULA(TRIM('indice columnas'!$A$2:$A$100)),'indice columnas'!$B$2:$B$100,""""),
col,IFERROR(MATCH(campo,Referencia!$A$1:$AZ$1,0),0),
fila,IFERROR(MATCH(TO_TEXT(D1075),ARRAYFOR"&amp;"MULA(TO_TEXT(Referencia!$A$2:$A6238)),0),0),
IF(OR(campo="""",campo=""-""),""NO APLICA"",
IF(col=0,""REVISAR EQUIVALENCIA"",
IF(fila=0,""SKU NO ENCONTRADO"",
LET(
valor,INDEX(Referencia!$A$2:$AZ6238,fila,col),
IF(TRIM(TO_TEXT(valor))=TRIM(TO_TEXT(I1075)),"&amp;"
""OK"",
""NO COINCIDE. Valor verdadero: ""&amp;IF(valor="""",""[VACÍO]"",TO_TEXT(valor))
)
))))
),""ERROR EN FÓRMULA""))"),"OK")</f>
        <v>OK</v>
      </c>
    </row>
    <row r="1076">
      <c r="A1076" s="83" t="s">
        <v>4618</v>
      </c>
      <c r="B1076" s="83" t="s">
        <v>4619</v>
      </c>
      <c r="C1076" s="81" t="s">
        <v>4621</v>
      </c>
      <c r="D1076" s="83" t="s">
        <v>4172</v>
      </c>
      <c r="E1076" s="81" t="s">
        <v>642</v>
      </c>
      <c r="F1076" s="84">
        <v>97.0</v>
      </c>
      <c r="G1076" s="81" t="s">
        <v>44</v>
      </c>
      <c r="H1076" s="81" t="s">
        <v>224</v>
      </c>
      <c r="I1076" s="81" t="s">
        <v>632</v>
      </c>
      <c r="J1076" s="81" t="s">
        <v>4088</v>
      </c>
      <c r="K1076" s="81" t="str">
        <f>IFERROR(__xludf.DUMMYFUNCTION("IF(OR(D1076="""",G1076=""""),"""",IFERROR(LET(
campo,XLOOKUP(TRIM(G1076),ARRAYFORMULA(TRIM('indice columnas'!$A$2:$A$100)),'indice columnas'!$B$2:$B$100,""""),
col,IFERROR(MATCH(campo,Referencia!$A$1:$AZ$1,0),0),
fila,IFERROR(MATCH(TO_TEXT(D1076),ARRAYFOR"&amp;"MULA(TO_TEXT(Referencia!$A$2:$A6238)),0),0),
IF(OR(campo="""",campo=""-""),""NO APLICA"",
IF(col=0,""REVISAR EQUIVALENCIA"",
IF(fila=0,""SKU NO ENCONTRADO"",
LET(
valor,INDEX(Referencia!$A$2:$AZ6238,fila,col),
IF(TRIM(TO_TEXT(valor))=TRIM(TO_TEXT(I1076)),"&amp;"
""OK"",
""NO COINCIDE. Valor verdadero: ""&amp;IF(valor="""",""[VACÍO]"",TO_TEXT(valor))
)
))))
),""ERROR EN FÓRMULA""))"),"NO APLICA")</f>
        <v>NO APLICA</v>
      </c>
    </row>
    <row r="1077">
      <c r="A1077" s="83" t="s">
        <v>4618</v>
      </c>
      <c r="B1077" s="83" t="s">
        <v>4619</v>
      </c>
      <c r="C1077" s="81" t="s">
        <v>4621</v>
      </c>
      <c r="D1077" s="83" t="s">
        <v>4173</v>
      </c>
      <c r="E1077" s="81" t="s">
        <v>644</v>
      </c>
      <c r="F1077" s="84">
        <v>98.0</v>
      </c>
      <c r="G1077" s="81" t="s">
        <v>12</v>
      </c>
      <c r="H1077" s="81" t="s">
        <v>224</v>
      </c>
      <c r="I1077" s="81" t="s">
        <v>55</v>
      </c>
      <c r="J1077" s="81" t="s">
        <v>224</v>
      </c>
      <c r="K1077" s="81" t="str">
        <f>IFERROR(__xludf.DUMMYFUNCTION("IF(OR(D1077="""",G1077=""""),"""",IFERROR(LET(
campo,XLOOKUP(TRIM(G1077),ARRAYFORMULA(TRIM('indice columnas'!$A$2:$A$100)),'indice columnas'!$B$2:$B$100,""""),
col,IFERROR(MATCH(campo,Referencia!$A$1:$AZ$1,0),0),
fila,IFERROR(MATCH(TO_TEXT(D1077),ARRAYFOR"&amp;"MULA(TO_TEXT(Referencia!$A$2:$A6238)),0),0),
IF(OR(campo="""",campo=""-""),""NO APLICA"",
IF(col=0,""REVISAR EQUIVALENCIA"",
IF(fila=0,""SKU NO ENCONTRADO"",
LET(
valor,INDEX(Referencia!$A$2:$AZ6238,fila,col),
IF(TRIM(TO_TEXT(valor))=TRIM(TO_TEXT(I1077)),"&amp;"
""OK"",
""NO COINCIDE. Valor verdadero: ""&amp;IF(valor="""",""[VACÍO]"",TO_TEXT(valor))
)
))))
),""ERROR EN FÓRMULA""))"),"OK")</f>
        <v>OK</v>
      </c>
    </row>
    <row r="1078">
      <c r="A1078" s="83" t="s">
        <v>4618</v>
      </c>
      <c r="B1078" s="83" t="s">
        <v>4619</v>
      </c>
      <c r="C1078" s="81" t="s">
        <v>4621</v>
      </c>
      <c r="D1078" s="83" t="s">
        <v>4173</v>
      </c>
      <c r="E1078" s="81" t="s">
        <v>644</v>
      </c>
      <c r="F1078" s="84">
        <v>98.0</v>
      </c>
      <c r="G1078" s="81" t="s">
        <v>44</v>
      </c>
      <c r="H1078" s="81" t="s">
        <v>224</v>
      </c>
      <c r="I1078" s="81" t="s">
        <v>632</v>
      </c>
      <c r="J1078" s="81" t="s">
        <v>4088</v>
      </c>
      <c r="K1078" s="81" t="str">
        <f>IFERROR(__xludf.DUMMYFUNCTION("IF(OR(D1078="""",G1078=""""),"""",IFERROR(LET(
campo,XLOOKUP(TRIM(G1078),ARRAYFORMULA(TRIM('indice columnas'!$A$2:$A$100)),'indice columnas'!$B$2:$B$100,""""),
col,IFERROR(MATCH(campo,Referencia!$A$1:$AZ$1,0),0),
fila,IFERROR(MATCH(TO_TEXT(D1078),ARRAYFOR"&amp;"MULA(TO_TEXT(Referencia!$A$2:$A6238)),0),0),
IF(OR(campo="""",campo=""-""),""NO APLICA"",
IF(col=0,""REVISAR EQUIVALENCIA"",
IF(fila=0,""SKU NO ENCONTRADO"",
LET(
valor,INDEX(Referencia!$A$2:$AZ6238,fila,col),
IF(TRIM(TO_TEXT(valor))=TRIM(TO_TEXT(I1078)),"&amp;"
""OK"",
""NO COINCIDE. Valor verdadero: ""&amp;IF(valor="""",""[VACÍO]"",TO_TEXT(valor))
)
))))
),""ERROR EN FÓRMULA""))"),"NO APLICA")</f>
        <v>NO APLICA</v>
      </c>
    </row>
    <row r="1079">
      <c r="A1079" s="83" t="s">
        <v>4618</v>
      </c>
      <c r="B1079" s="83" t="s">
        <v>4619</v>
      </c>
      <c r="C1079" s="81" t="s">
        <v>4621</v>
      </c>
      <c r="D1079" s="83" t="s">
        <v>4174</v>
      </c>
      <c r="E1079" s="81" t="s">
        <v>646</v>
      </c>
      <c r="F1079" s="84">
        <v>99.0</v>
      </c>
      <c r="G1079" s="81" t="s">
        <v>12</v>
      </c>
      <c r="H1079" s="81" t="s">
        <v>224</v>
      </c>
      <c r="I1079" s="81" t="s">
        <v>55</v>
      </c>
      <c r="J1079" s="81" t="s">
        <v>224</v>
      </c>
      <c r="K1079" s="81" t="str">
        <f>IFERROR(__xludf.DUMMYFUNCTION("IF(OR(D1079="""",G1079=""""),"""",IFERROR(LET(
campo,XLOOKUP(TRIM(G1079),ARRAYFORMULA(TRIM('indice columnas'!$A$2:$A$100)),'indice columnas'!$B$2:$B$100,""""),
col,IFERROR(MATCH(campo,Referencia!$A$1:$AZ$1,0),0),
fila,IFERROR(MATCH(TO_TEXT(D1079),ARRAYFOR"&amp;"MULA(TO_TEXT(Referencia!$A$2:$A6238)),0),0),
IF(OR(campo="""",campo=""-""),""NO APLICA"",
IF(col=0,""REVISAR EQUIVALENCIA"",
IF(fila=0,""SKU NO ENCONTRADO"",
LET(
valor,INDEX(Referencia!$A$2:$AZ6238,fila,col),
IF(TRIM(TO_TEXT(valor))=TRIM(TO_TEXT(I1079)),"&amp;"
""OK"",
""NO COINCIDE. Valor verdadero: ""&amp;IF(valor="""",""[VACÍO]"",TO_TEXT(valor))
)
))))
),""ERROR EN FÓRMULA""))"),"OK")</f>
        <v>OK</v>
      </c>
    </row>
    <row r="1080">
      <c r="A1080" s="83" t="s">
        <v>4618</v>
      </c>
      <c r="B1080" s="83" t="s">
        <v>4619</v>
      </c>
      <c r="C1080" s="81" t="s">
        <v>4621</v>
      </c>
      <c r="D1080" s="83" t="s">
        <v>4174</v>
      </c>
      <c r="E1080" s="81" t="s">
        <v>646</v>
      </c>
      <c r="F1080" s="84">
        <v>99.0</v>
      </c>
      <c r="G1080" s="81" t="s">
        <v>44</v>
      </c>
      <c r="H1080" s="81" t="s">
        <v>224</v>
      </c>
      <c r="I1080" s="81" t="s">
        <v>4175</v>
      </c>
      <c r="J1080" s="81" t="s">
        <v>4088</v>
      </c>
      <c r="K1080" s="81" t="str">
        <f>IFERROR(__xludf.DUMMYFUNCTION("IF(OR(D1080="""",G1080=""""),"""",IFERROR(LET(
campo,XLOOKUP(TRIM(G1080),ARRAYFORMULA(TRIM('indice columnas'!$A$2:$A$100)),'indice columnas'!$B$2:$B$100,""""),
col,IFERROR(MATCH(campo,Referencia!$A$1:$AZ$1,0),0),
fila,IFERROR(MATCH(TO_TEXT(D1080),ARRAYFOR"&amp;"MULA(TO_TEXT(Referencia!$A$2:$A6238)),0),0),
IF(OR(campo="""",campo=""-""),""NO APLICA"",
IF(col=0,""REVISAR EQUIVALENCIA"",
IF(fila=0,""SKU NO ENCONTRADO"",
LET(
valor,INDEX(Referencia!$A$2:$AZ6238,fila,col),
IF(TRIM(TO_TEXT(valor))=TRIM(TO_TEXT(I1080)),"&amp;"
""OK"",
""NO COINCIDE. Valor verdadero: ""&amp;IF(valor="""",""[VACÍO]"",TO_TEXT(valor))
)
))))
),""ERROR EN FÓRMULA""))"),"NO APLICA")</f>
        <v>NO APLICA</v>
      </c>
    </row>
    <row r="1081">
      <c r="A1081" s="83" t="s">
        <v>4618</v>
      </c>
      <c r="B1081" s="83" t="s">
        <v>4619</v>
      </c>
      <c r="C1081" s="81" t="s">
        <v>4621</v>
      </c>
      <c r="D1081" s="83" t="s">
        <v>4176</v>
      </c>
      <c r="E1081" s="81" t="s">
        <v>653</v>
      </c>
      <c r="F1081" s="84">
        <v>100.0</v>
      </c>
      <c r="G1081" s="81" t="s">
        <v>12</v>
      </c>
      <c r="H1081" s="81" t="s">
        <v>224</v>
      </c>
      <c r="I1081" s="81" t="s">
        <v>55</v>
      </c>
      <c r="J1081" s="81" t="s">
        <v>224</v>
      </c>
      <c r="K1081" s="81" t="str">
        <f>IFERROR(__xludf.DUMMYFUNCTION("IF(OR(D1081="""",G1081=""""),"""",IFERROR(LET(
campo,XLOOKUP(TRIM(G1081),ARRAYFORMULA(TRIM('indice columnas'!$A$2:$A$100)),'indice columnas'!$B$2:$B$100,""""),
col,IFERROR(MATCH(campo,Referencia!$A$1:$AZ$1,0),0),
fila,IFERROR(MATCH(TO_TEXT(D1081),ARRAYFOR"&amp;"MULA(TO_TEXT(Referencia!$A$2:$A6238)),0),0),
IF(OR(campo="""",campo=""-""),""NO APLICA"",
IF(col=0,""REVISAR EQUIVALENCIA"",
IF(fila=0,""SKU NO ENCONTRADO"",
LET(
valor,INDEX(Referencia!$A$2:$AZ6238,fila,col),
IF(TRIM(TO_TEXT(valor))=TRIM(TO_TEXT(I1081)),"&amp;"
""OK"",
""NO COINCIDE. Valor verdadero: ""&amp;IF(valor="""",""[VACÍO]"",TO_TEXT(valor))
)
))))
),""ERROR EN FÓRMULA""))"),"OK")</f>
        <v>OK</v>
      </c>
    </row>
    <row r="1082">
      <c r="A1082" s="83" t="s">
        <v>4618</v>
      </c>
      <c r="B1082" s="83" t="s">
        <v>4619</v>
      </c>
      <c r="C1082" s="81" t="s">
        <v>4621</v>
      </c>
      <c r="D1082" s="83" t="s">
        <v>4176</v>
      </c>
      <c r="E1082" s="81" t="s">
        <v>653</v>
      </c>
      <c r="F1082" s="84">
        <v>100.0</v>
      </c>
      <c r="G1082" s="81" t="s">
        <v>44</v>
      </c>
      <c r="H1082" s="81" t="s">
        <v>224</v>
      </c>
      <c r="I1082" s="81" t="s">
        <v>4175</v>
      </c>
      <c r="J1082" s="81" t="s">
        <v>4088</v>
      </c>
      <c r="K1082" s="81" t="str">
        <f>IFERROR(__xludf.DUMMYFUNCTION("IF(OR(D1082="""",G1082=""""),"""",IFERROR(LET(
campo,XLOOKUP(TRIM(G1082),ARRAYFORMULA(TRIM('indice columnas'!$A$2:$A$100)),'indice columnas'!$B$2:$B$100,""""),
col,IFERROR(MATCH(campo,Referencia!$A$1:$AZ$1,0),0),
fila,IFERROR(MATCH(TO_TEXT(D1082),ARRAYFOR"&amp;"MULA(TO_TEXT(Referencia!$A$2:$A6238)),0),0),
IF(OR(campo="""",campo=""-""),""NO APLICA"",
IF(col=0,""REVISAR EQUIVALENCIA"",
IF(fila=0,""SKU NO ENCONTRADO"",
LET(
valor,INDEX(Referencia!$A$2:$AZ6238,fila,col),
IF(TRIM(TO_TEXT(valor))=TRIM(TO_TEXT(I1082)),"&amp;"
""OK"",
""NO COINCIDE. Valor verdadero: ""&amp;IF(valor="""",""[VACÍO]"",TO_TEXT(valor))
)
))))
),""ERROR EN FÓRMULA""))"),"NO APLICA")</f>
        <v>NO APLICA</v>
      </c>
    </row>
    <row r="1083">
      <c r="A1083" s="83" t="s">
        <v>4618</v>
      </c>
      <c r="B1083" s="83" t="s">
        <v>4619</v>
      </c>
      <c r="C1083" s="81" t="s">
        <v>4621</v>
      </c>
      <c r="D1083" s="83" t="s">
        <v>4177</v>
      </c>
      <c r="E1083" s="81" t="s">
        <v>655</v>
      </c>
      <c r="F1083" s="84">
        <v>101.0</v>
      </c>
      <c r="G1083" s="81" t="s">
        <v>44</v>
      </c>
      <c r="H1083" s="81" t="s">
        <v>224</v>
      </c>
      <c r="I1083" s="81" t="s">
        <v>655</v>
      </c>
      <c r="J1083" s="81" t="s">
        <v>4088</v>
      </c>
      <c r="K1083" s="81" t="str">
        <f>IFERROR(__xludf.DUMMYFUNCTION("IF(OR(D1083="""",G1083=""""),"""",IFERROR(LET(
campo,XLOOKUP(TRIM(G1083),ARRAYFORMULA(TRIM('indice columnas'!$A$2:$A$100)),'indice columnas'!$B$2:$B$100,""""),
col,IFERROR(MATCH(campo,Referencia!$A$1:$AZ$1,0),0),
fila,IFERROR(MATCH(TO_TEXT(D1083),ARRAYFOR"&amp;"MULA(TO_TEXT(Referencia!$A$2:$A6238)),0),0),
IF(OR(campo="""",campo=""-""),""NO APLICA"",
IF(col=0,""REVISAR EQUIVALENCIA"",
IF(fila=0,""SKU NO ENCONTRADO"",
LET(
valor,INDEX(Referencia!$A$2:$AZ6238,fila,col),
IF(TRIM(TO_TEXT(valor))=TRIM(TO_TEXT(I1083)),"&amp;"
""OK"",
""NO COINCIDE. Valor verdadero: ""&amp;IF(valor="""",""[VACÍO]"",TO_TEXT(valor))
)
))))
),""ERROR EN FÓRMULA""))"),"NO APLICA")</f>
        <v>NO APLICA</v>
      </c>
    </row>
    <row r="1084">
      <c r="A1084" s="83" t="s">
        <v>4618</v>
      </c>
      <c r="B1084" s="83" t="s">
        <v>4619</v>
      </c>
      <c r="C1084" s="81" t="s">
        <v>4621</v>
      </c>
      <c r="D1084" s="83" t="s">
        <v>4177</v>
      </c>
      <c r="E1084" s="81" t="s">
        <v>660</v>
      </c>
      <c r="F1084" s="84">
        <v>102.0</v>
      </c>
      <c r="G1084" s="81" t="s">
        <v>12</v>
      </c>
      <c r="H1084" s="81" t="s">
        <v>224</v>
      </c>
      <c r="I1084" s="81" t="s">
        <v>55</v>
      </c>
      <c r="J1084" s="81" t="s">
        <v>224</v>
      </c>
      <c r="K1084" s="81" t="str">
        <f>IFERROR(__xludf.DUMMYFUNCTION("IF(OR(D1084="""",G1084=""""),"""",IFERROR(LET(
campo,XLOOKUP(TRIM(G1084),ARRAYFORMULA(TRIM('indice columnas'!$A$2:$A$100)),'indice columnas'!$B$2:$B$100,""""),
col,IFERROR(MATCH(campo,Referencia!$A$1:$AZ$1,0),0),
fila,IFERROR(MATCH(TO_TEXT(D1084),ARRAYFOR"&amp;"MULA(TO_TEXT(Referencia!$A$2:$A6238)),0),0),
IF(OR(campo="""",campo=""-""),""NO APLICA"",
IF(col=0,""REVISAR EQUIVALENCIA"",
IF(fila=0,""SKU NO ENCONTRADO"",
LET(
valor,INDEX(Referencia!$A$2:$AZ6238,fila,col),
IF(TRIM(TO_TEXT(valor))=TRIM(TO_TEXT(I1084)),"&amp;"
""OK"",
""NO COINCIDE. Valor verdadero: ""&amp;IF(valor="""",""[VACÍO]"",TO_TEXT(valor))
)
))))
),""ERROR EN FÓRMULA""))"),"OK")</f>
        <v>OK</v>
      </c>
    </row>
    <row r="1085">
      <c r="A1085" s="83" t="s">
        <v>4618</v>
      </c>
      <c r="B1085" s="83" t="s">
        <v>4619</v>
      </c>
      <c r="C1085" s="81" t="s">
        <v>4621</v>
      </c>
      <c r="D1085" s="83" t="s">
        <v>4177</v>
      </c>
      <c r="E1085" s="81" t="s">
        <v>660</v>
      </c>
      <c r="F1085" s="84">
        <v>102.0</v>
      </c>
      <c r="G1085" s="81" t="s">
        <v>44</v>
      </c>
      <c r="H1085" s="81" t="s">
        <v>224</v>
      </c>
      <c r="I1085" s="81" t="s">
        <v>655</v>
      </c>
      <c r="J1085" s="81" t="s">
        <v>4088</v>
      </c>
      <c r="K1085" s="81" t="str">
        <f>IFERROR(__xludf.DUMMYFUNCTION("IF(OR(D1085="""",G1085=""""),"""",IFERROR(LET(
campo,XLOOKUP(TRIM(G1085),ARRAYFORMULA(TRIM('indice columnas'!$A$2:$A$100)),'indice columnas'!$B$2:$B$100,""""),
col,IFERROR(MATCH(campo,Referencia!$A$1:$AZ$1,0),0),
fila,IFERROR(MATCH(TO_TEXT(D1085),ARRAYFOR"&amp;"MULA(TO_TEXT(Referencia!$A$2:$A6238)),0),0),
IF(OR(campo="""",campo=""-""),""NO APLICA"",
IF(col=0,""REVISAR EQUIVALENCIA"",
IF(fila=0,""SKU NO ENCONTRADO"",
LET(
valor,INDEX(Referencia!$A$2:$AZ6238,fila,col),
IF(TRIM(TO_TEXT(valor))=TRIM(TO_TEXT(I1085)),"&amp;"
""OK"",
""NO COINCIDE. Valor verdadero: ""&amp;IF(valor="""",""[VACÍO]"",TO_TEXT(valor))
)
))))
),""ERROR EN FÓRMULA""))"),"NO APLICA")</f>
        <v>NO APLICA</v>
      </c>
    </row>
    <row r="1086">
      <c r="A1086" s="83" t="s">
        <v>4618</v>
      </c>
      <c r="B1086" s="83" t="s">
        <v>4619</v>
      </c>
      <c r="C1086" s="81" t="s">
        <v>4621</v>
      </c>
      <c r="D1086" s="83" t="s">
        <v>4178</v>
      </c>
      <c r="E1086" s="81" t="s">
        <v>661</v>
      </c>
      <c r="F1086" s="84">
        <v>103.0</v>
      </c>
      <c r="G1086" s="81" t="s">
        <v>12</v>
      </c>
      <c r="H1086" s="81" t="s">
        <v>224</v>
      </c>
      <c r="I1086" s="81" t="s">
        <v>55</v>
      </c>
      <c r="J1086" s="81" t="s">
        <v>224</v>
      </c>
      <c r="K1086" s="81" t="str">
        <f>IFERROR(__xludf.DUMMYFUNCTION("IF(OR(D1086="""",G1086=""""),"""",IFERROR(LET(
campo,XLOOKUP(TRIM(G1086),ARRAYFORMULA(TRIM('indice columnas'!$A$2:$A$100)),'indice columnas'!$B$2:$B$100,""""),
col,IFERROR(MATCH(campo,Referencia!$A$1:$AZ$1,0),0),
fila,IFERROR(MATCH(TO_TEXT(D1086),ARRAYFOR"&amp;"MULA(TO_TEXT(Referencia!$A$2:$A6238)),0),0),
IF(OR(campo="""",campo=""-""),""NO APLICA"",
IF(col=0,""REVISAR EQUIVALENCIA"",
IF(fila=0,""SKU NO ENCONTRADO"",
LET(
valor,INDEX(Referencia!$A$2:$AZ6238,fila,col),
IF(TRIM(TO_TEXT(valor))=TRIM(TO_TEXT(I1086)),"&amp;"
""OK"",
""NO COINCIDE. Valor verdadero: ""&amp;IF(valor="""",""[VACÍO]"",TO_TEXT(valor))
)
))))
),""ERROR EN FÓRMULA""))"),"OK")</f>
        <v>OK</v>
      </c>
    </row>
    <row r="1087">
      <c r="A1087" s="83" t="s">
        <v>4618</v>
      </c>
      <c r="B1087" s="83" t="s">
        <v>4619</v>
      </c>
      <c r="C1087" s="81" t="s">
        <v>4621</v>
      </c>
      <c r="D1087" s="83" t="s">
        <v>4178</v>
      </c>
      <c r="E1087" s="81" t="s">
        <v>661</v>
      </c>
      <c r="F1087" s="84">
        <v>103.0</v>
      </c>
      <c r="G1087" s="81" t="s">
        <v>44</v>
      </c>
      <c r="H1087" s="81" t="s">
        <v>224</v>
      </c>
      <c r="I1087" s="81" t="s">
        <v>655</v>
      </c>
      <c r="J1087" s="81" t="s">
        <v>4088</v>
      </c>
      <c r="K1087" s="81" t="str">
        <f>IFERROR(__xludf.DUMMYFUNCTION("IF(OR(D1087="""",G1087=""""),"""",IFERROR(LET(
campo,XLOOKUP(TRIM(G1087),ARRAYFORMULA(TRIM('indice columnas'!$A$2:$A$100)),'indice columnas'!$B$2:$B$100,""""),
col,IFERROR(MATCH(campo,Referencia!$A$1:$AZ$1,0),0),
fila,IFERROR(MATCH(TO_TEXT(D1087),ARRAYFOR"&amp;"MULA(TO_TEXT(Referencia!$A$2:$A6238)),0),0),
IF(OR(campo="""",campo=""-""),""NO APLICA"",
IF(col=0,""REVISAR EQUIVALENCIA"",
IF(fila=0,""SKU NO ENCONTRADO"",
LET(
valor,INDEX(Referencia!$A$2:$AZ6238,fila,col),
IF(TRIM(TO_TEXT(valor))=TRIM(TO_TEXT(I1087)),"&amp;"
""OK"",
""NO COINCIDE. Valor verdadero: ""&amp;IF(valor="""",""[VACÍO]"",TO_TEXT(valor))
)
))))
),""ERROR EN FÓRMULA""))"),"NO APLICA")</f>
        <v>NO APLICA</v>
      </c>
    </row>
    <row r="1088">
      <c r="A1088" s="83" t="s">
        <v>4618</v>
      </c>
      <c r="B1088" s="83" t="s">
        <v>4619</v>
      </c>
      <c r="C1088" s="81" t="s">
        <v>4621</v>
      </c>
      <c r="D1088" s="83" t="s">
        <v>4179</v>
      </c>
      <c r="E1088" s="81" t="s">
        <v>663</v>
      </c>
      <c r="F1088" s="84">
        <v>104.0</v>
      </c>
      <c r="G1088" s="81" t="s">
        <v>44</v>
      </c>
      <c r="H1088" s="81" t="s">
        <v>224</v>
      </c>
      <c r="I1088" s="81" t="s">
        <v>104</v>
      </c>
      <c r="J1088" s="81" t="s">
        <v>4088</v>
      </c>
      <c r="K1088" s="81" t="str">
        <f>IFERROR(__xludf.DUMMYFUNCTION("IF(OR(D1088="""",G1088=""""),"""",IFERROR(LET(
campo,XLOOKUP(TRIM(G1088),ARRAYFORMULA(TRIM('indice columnas'!$A$2:$A$100)),'indice columnas'!$B$2:$B$100,""""),
col,IFERROR(MATCH(campo,Referencia!$A$1:$AZ$1,0),0),
fila,IFERROR(MATCH(TO_TEXT(D1088),ARRAYFOR"&amp;"MULA(TO_TEXT(Referencia!$A$2:$A6238)),0),0),
IF(OR(campo="""",campo=""-""),""NO APLICA"",
IF(col=0,""REVISAR EQUIVALENCIA"",
IF(fila=0,""SKU NO ENCONTRADO"",
LET(
valor,INDEX(Referencia!$A$2:$AZ6238,fila,col),
IF(TRIM(TO_TEXT(valor))=TRIM(TO_TEXT(I1088)),"&amp;"
""OK"",
""NO COINCIDE. Valor verdadero: ""&amp;IF(valor="""",""[VACÍO]"",TO_TEXT(valor))
)
))))
),""ERROR EN FÓRMULA""))"),"NO APLICA")</f>
        <v>NO APLICA</v>
      </c>
    </row>
    <row r="1089">
      <c r="A1089" s="83" t="s">
        <v>4618</v>
      </c>
      <c r="B1089" s="83" t="s">
        <v>4619</v>
      </c>
      <c r="C1089" s="81" t="s">
        <v>4621</v>
      </c>
      <c r="D1089" s="83" t="s">
        <v>4180</v>
      </c>
      <c r="E1089" s="81" t="s">
        <v>666</v>
      </c>
      <c r="F1089" s="84">
        <v>105.0</v>
      </c>
      <c r="G1089" s="81" t="s">
        <v>12</v>
      </c>
      <c r="H1089" s="81" t="s">
        <v>224</v>
      </c>
      <c r="I1089" s="81" t="s">
        <v>55</v>
      </c>
      <c r="J1089" s="81" t="s">
        <v>224</v>
      </c>
      <c r="K1089" s="81" t="str">
        <f>IFERROR(__xludf.DUMMYFUNCTION("IF(OR(D1089="""",G1089=""""),"""",IFERROR(LET(
campo,XLOOKUP(TRIM(G1089),ARRAYFORMULA(TRIM('indice columnas'!$A$2:$A$100)),'indice columnas'!$B$2:$B$100,""""),
col,IFERROR(MATCH(campo,Referencia!$A$1:$AZ$1,0),0),
fila,IFERROR(MATCH(TO_TEXT(D1089),ARRAYFOR"&amp;"MULA(TO_TEXT(Referencia!$A$2:$A6238)),0),0),
IF(OR(campo="""",campo=""-""),""NO APLICA"",
IF(col=0,""REVISAR EQUIVALENCIA"",
IF(fila=0,""SKU NO ENCONTRADO"",
LET(
valor,INDEX(Referencia!$A$2:$AZ6238,fila,col),
IF(TRIM(TO_TEXT(valor))=TRIM(TO_TEXT(I1089)),"&amp;"
""OK"",
""NO COINCIDE. Valor verdadero: ""&amp;IF(valor="""",""[VACÍO]"",TO_TEXT(valor))
)
))))
),""ERROR EN FÓRMULA""))"),"OK")</f>
        <v>OK</v>
      </c>
    </row>
    <row r="1090">
      <c r="A1090" s="83" t="s">
        <v>4618</v>
      </c>
      <c r="B1090" s="83" t="s">
        <v>4619</v>
      </c>
      <c r="C1090" s="81" t="s">
        <v>4621</v>
      </c>
      <c r="D1090" s="83" t="s">
        <v>4180</v>
      </c>
      <c r="E1090" s="81" t="s">
        <v>666</v>
      </c>
      <c r="F1090" s="84">
        <v>105.0</v>
      </c>
      <c r="G1090" s="81" t="s">
        <v>44</v>
      </c>
      <c r="H1090" s="81" t="s">
        <v>224</v>
      </c>
      <c r="I1090" s="81" t="s">
        <v>556</v>
      </c>
      <c r="J1090" s="81" t="s">
        <v>4088</v>
      </c>
      <c r="K1090" s="81" t="str">
        <f>IFERROR(__xludf.DUMMYFUNCTION("IF(OR(D1090="""",G1090=""""),"""",IFERROR(LET(
campo,XLOOKUP(TRIM(G1090),ARRAYFORMULA(TRIM('indice columnas'!$A$2:$A$100)),'indice columnas'!$B$2:$B$100,""""),
col,IFERROR(MATCH(campo,Referencia!$A$1:$AZ$1,0),0),
fila,IFERROR(MATCH(TO_TEXT(D1090),ARRAYFOR"&amp;"MULA(TO_TEXT(Referencia!$A$2:$A6238)),0),0),
IF(OR(campo="""",campo=""-""),""NO APLICA"",
IF(col=0,""REVISAR EQUIVALENCIA"",
IF(fila=0,""SKU NO ENCONTRADO"",
LET(
valor,INDEX(Referencia!$A$2:$AZ6238,fila,col),
IF(TRIM(TO_TEXT(valor))=TRIM(TO_TEXT(I1090)),"&amp;"
""OK"",
""NO COINCIDE. Valor verdadero: ""&amp;IF(valor="""",""[VACÍO]"",TO_TEXT(valor))
)
))))
),""ERROR EN FÓRMULA""))"),"NO APLICA")</f>
        <v>NO APLICA</v>
      </c>
    </row>
    <row r="1091">
      <c r="A1091" s="83" t="s">
        <v>4618</v>
      </c>
      <c r="B1091" s="83" t="s">
        <v>4619</v>
      </c>
      <c r="C1091" s="81" t="s">
        <v>4621</v>
      </c>
      <c r="D1091" s="83" t="s">
        <v>4181</v>
      </c>
      <c r="E1091" s="81" t="s">
        <v>671</v>
      </c>
      <c r="F1091" s="84">
        <v>106.0</v>
      </c>
      <c r="G1091" s="81" t="s">
        <v>12</v>
      </c>
      <c r="H1091" s="81" t="s">
        <v>224</v>
      </c>
      <c r="I1091" s="81" t="s">
        <v>55</v>
      </c>
      <c r="J1091" s="81" t="s">
        <v>224</v>
      </c>
      <c r="K1091" s="81" t="str">
        <f>IFERROR(__xludf.DUMMYFUNCTION("IF(OR(D1091="""",G1091=""""),"""",IFERROR(LET(
campo,XLOOKUP(TRIM(G1091),ARRAYFORMULA(TRIM('indice columnas'!$A$2:$A$100)),'indice columnas'!$B$2:$B$100,""""),
col,IFERROR(MATCH(campo,Referencia!$A$1:$AZ$1,0),0),
fila,IFERROR(MATCH(TO_TEXT(D1091),ARRAYFOR"&amp;"MULA(TO_TEXT(Referencia!$A$2:$A6238)),0),0),
IF(OR(campo="""",campo=""-""),""NO APLICA"",
IF(col=0,""REVISAR EQUIVALENCIA"",
IF(fila=0,""SKU NO ENCONTRADO"",
LET(
valor,INDEX(Referencia!$A$2:$AZ6238,fila,col),
IF(TRIM(TO_TEXT(valor))=TRIM(TO_TEXT(I1091)),"&amp;"
""OK"",
""NO COINCIDE. Valor verdadero: ""&amp;IF(valor="""",""[VACÍO]"",TO_TEXT(valor))
)
))))
),""ERROR EN FÓRMULA""))"),"OK")</f>
        <v>OK</v>
      </c>
    </row>
    <row r="1092">
      <c r="A1092" s="83" t="s">
        <v>4618</v>
      </c>
      <c r="B1092" s="83" t="s">
        <v>4619</v>
      </c>
      <c r="C1092" s="81" t="s">
        <v>4621</v>
      </c>
      <c r="D1092" s="83" t="s">
        <v>4181</v>
      </c>
      <c r="E1092" s="81" t="s">
        <v>671</v>
      </c>
      <c r="F1092" s="84">
        <v>106.0</v>
      </c>
      <c r="G1092" s="81" t="s">
        <v>44</v>
      </c>
      <c r="H1092" s="81" t="s">
        <v>224</v>
      </c>
      <c r="I1092" s="81" t="s">
        <v>556</v>
      </c>
      <c r="J1092" s="81" t="s">
        <v>4088</v>
      </c>
      <c r="K1092" s="81" t="str">
        <f>IFERROR(__xludf.DUMMYFUNCTION("IF(OR(D1092="""",G1092=""""),"""",IFERROR(LET(
campo,XLOOKUP(TRIM(G1092),ARRAYFORMULA(TRIM('indice columnas'!$A$2:$A$100)),'indice columnas'!$B$2:$B$100,""""),
col,IFERROR(MATCH(campo,Referencia!$A$1:$AZ$1,0),0),
fila,IFERROR(MATCH(TO_TEXT(D1092),ARRAYFOR"&amp;"MULA(TO_TEXT(Referencia!$A$2:$A6238)),0),0),
IF(OR(campo="""",campo=""-""),""NO APLICA"",
IF(col=0,""REVISAR EQUIVALENCIA"",
IF(fila=0,""SKU NO ENCONTRADO"",
LET(
valor,INDEX(Referencia!$A$2:$AZ6238,fila,col),
IF(TRIM(TO_TEXT(valor))=TRIM(TO_TEXT(I1092)),"&amp;"
""OK"",
""NO COINCIDE. Valor verdadero: ""&amp;IF(valor="""",""[VACÍO]"",TO_TEXT(valor))
)
))))
),""ERROR EN FÓRMULA""))"),"NO APLICA")</f>
        <v>NO APLICA</v>
      </c>
    </row>
    <row r="1093">
      <c r="A1093" s="83" t="s">
        <v>4618</v>
      </c>
      <c r="B1093" s="83" t="s">
        <v>4619</v>
      </c>
      <c r="C1093" s="81" t="s">
        <v>4621</v>
      </c>
      <c r="D1093" s="83" t="s">
        <v>4182</v>
      </c>
      <c r="E1093" s="81" t="s">
        <v>673</v>
      </c>
      <c r="F1093" s="84">
        <v>107.0</v>
      </c>
      <c r="G1093" s="81" t="s">
        <v>12</v>
      </c>
      <c r="H1093" s="81" t="s">
        <v>224</v>
      </c>
      <c r="I1093" s="81" t="s">
        <v>55</v>
      </c>
      <c r="J1093" s="81" t="s">
        <v>224</v>
      </c>
      <c r="K1093" s="81" t="str">
        <f>IFERROR(__xludf.DUMMYFUNCTION("IF(OR(D1093="""",G1093=""""),"""",IFERROR(LET(
campo,XLOOKUP(TRIM(G1093),ARRAYFORMULA(TRIM('indice columnas'!$A$2:$A$100)),'indice columnas'!$B$2:$B$100,""""),
col,IFERROR(MATCH(campo,Referencia!$A$1:$AZ$1,0),0),
fila,IFERROR(MATCH(TO_TEXT(D1093),ARRAYFOR"&amp;"MULA(TO_TEXT(Referencia!$A$2:$A6238)),0),0),
IF(OR(campo="""",campo=""-""),""NO APLICA"",
IF(col=0,""REVISAR EQUIVALENCIA"",
IF(fila=0,""SKU NO ENCONTRADO"",
LET(
valor,INDEX(Referencia!$A$2:$AZ6238,fila,col),
IF(TRIM(TO_TEXT(valor))=TRIM(TO_TEXT(I1093)),"&amp;"
""OK"",
""NO COINCIDE. Valor verdadero: ""&amp;IF(valor="""",""[VACÍO]"",TO_TEXT(valor))
)
))))
),""ERROR EN FÓRMULA""))"),"OK")</f>
        <v>OK</v>
      </c>
    </row>
    <row r="1094">
      <c r="A1094" s="83" t="s">
        <v>4618</v>
      </c>
      <c r="B1094" s="83" t="s">
        <v>4619</v>
      </c>
      <c r="C1094" s="81" t="s">
        <v>4621</v>
      </c>
      <c r="D1094" s="83" t="s">
        <v>4182</v>
      </c>
      <c r="E1094" s="81" t="s">
        <v>673</v>
      </c>
      <c r="F1094" s="84">
        <v>107.0</v>
      </c>
      <c r="G1094" s="81" t="s">
        <v>44</v>
      </c>
      <c r="H1094" s="81" t="s">
        <v>224</v>
      </c>
      <c r="I1094" s="81" t="s">
        <v>632</v>
      </c>
      <c r="J1094" s="81" t="s">
        <v>4088</v>
      </c>
      <c r="K1094" s="81" t="str">
        <f>IFERROR(__xludf.DUMMYFUNCTION("IF(OR(D1094="""",G1094=""""),"""",IFERROR(LET(
campo,XLOOKUP(TRIM(G1094),ARRAYFORMULA(TRIM('indice columnas'!$A$2:$A$100)),'indice columnas'!$B$2:$B$100,""""),
col,IFERROR(MATCH(campo,Referencia!$A$1:$AZ$1,0),0),
fila,IFERROR(MATCH(TO_TEXT(D1094),ARRAYFOR"&amp;"MULA(TO_TEXT(Referencia!$A$2:$A6238)),0),0),
IF(OR(campo="""",campo=""-""),""NO APLICA"",
IF(col=0,""REVISAR EQUIVALENCIA"",
IF(fila=0,""SKU NO ENCONTRADO"",
LET(
valor,INDEX(Referencia!$A$2:$AZ6238,fila,col),
IF(TRIM(TO_TEXT(valor))=TRIM(TO_TEXT(I1094)),"&amp;"
""OK"",
""NO COINCIDE. Valor verdadero: ""&amp;IF(valor="""",""[VACÍO]"",TO_TEXT(valor))
)
))))
),""ERROR EN FÓRMULA""))"),"NO APLICA")</f>
        <v>NO APLICA</v>
      </c>
    </row>
    <row r="1095">
      <c r="A1095" s="83" t="s">
        <v>4618</v>
      </c>
      <c r="B1095" s="83" t="s">
        <v>4619</v>
      </c>
      <c r="C1095" s="81" t="s">
        <v>4621</v>
      </c>
      <c r="D1095" s="83" t="s">
        <v>4183</v>
      </c>
      <c r="E1095" s="81" t="s">
        <v>675</v>
      </c>
      <c r="F1095" s="84">
        <v>108.0</v>
      </c>
      <c r="G1095" s="81" t="s">
        <v>44</v>
      </c>
      <c r="H1095" s="81" t="s">
        <v>224</v>
      </c>
      <c r="I1095" s="81" t="s">
        <v>675</v>
      </c>
      <c r="J1095" s="81" t="s">
        <v>4088</v>
      </c>
      <c r="K1095" s="81" t="str">
        <f>IFERROR(__xludf.DUMMYFUNCTION("IF(OR(D1095="""",G1095=""""),"""",IFERROR(LET(
campo,XLOOKUP(TRIM(G1095),ARRAYFORMULA(TRIM('indice columnas'!$A$2:$A$100)),'indice columnas'!$B$2:$B$100,""""),
col,IFERROR(MATCH(campo,Referencia!$A$1:$AZ$1,0),0),
fila,IFERROR(MATCH(TO_TEXT(D1095),ARRAYFOR"&amp;"MULA(TO_TEXT(Referencia!$A$2:$A6238)),0),0),
IF(OR(campo="""",campo=""-""),""NO APLICA"",
IF(col=0,""REVISAR EQUIVALENCIA"",
IF(fila=0,""SKU NO ENCONTRADO"",
LET(
valor,INDEX(Referencia!$A$2:$AZ6238,fila,col),
IF(TRIM(TO_TEXT(valor))=TRIM(TO_TEXT(I1095)),"&amp;"
""OK"",
""NO COINCIDE. Valor verdadero: ""&amp;IF(valor="""",""[VACÍO]"",TO_TEXT(valor))
)
))))
),""ERROR EN FÓRMULA""))"),"NO APLICA")</f>
        <v>NO APLICA</v>
      </c>
    </row>
    <row r="1096">
      <c r="A1096" s="83" t="s">
        <v>4618</v>
      </c>
      <c r="B1096" s="83" t="s">
        <v>4619</v>
      </c>
      <c r="C1096" s="81" t="s">
        <v>4621</v>
      </c>
      <c r="D1096" s="83" t="s">
        <v>4183</v>
      </c>
      <c r="E1096" s="81" t="s">
        <v>681</v>
      </c>
      <c r="F1096" s="84">
        <v>109.0</v>
      </c>
      <c r="G1096" s="81" t="s">
        <v>12</v>
      </c>
      <c r="H1096" s="81" t="s">
        <v>224</v>
      </c>
      <c r="I1096" s="81" t="s">
        <v>55</v>
      </c>
      <c r="J1096" s="81" t="s">
        <v>224</v>
      </c>
      <c r="K1096" s="81" t="str">
        <f>IFERROR(__xludf.DUMMYFUNCTION("IF(OR(D1096="""",G1096=""""),"""",IFERROR(LET(
campo,XLOOKUP(TRIM(G1096),ARRAYFORMULA(TRIM('indice columnas'!$A$2:$A$100)),'indice columnas'!$B$2:$B$100,""""),
col,IFERROR(MATCH(campo,Referencia!$A$1:$AZ$1,0),0),
fila,IFERROR(MATCH(TO_TEXT(D1096),ARRAYFOR"&amp;"MULA(TO_TEXT(Referencia!$A$2:$A6238)),0),0),
IF(OR(campo="""",campo=""-""),""NO APLICA"",
IF(col=0,""REVISAR EQUIVALENCIA"",
IF(fila=0,""SKU NO ENCONTRADO"",
LET(
valor,INDEX(Referencia!$A$2:$AZ6238,fila,col),
IF(TRIM(TO_TEXT(valor))=TRIM(TO_TEXT(I1096)),"&amp;"
""OK"",
""NO COINCIDE. Valor verdadero: ""&amp;IF(valor="""",""[VACÍO]"",TO_TEXT(valor))
)
))))
),""ERROR EN FÓRMULA""))"),"OK")</f>
        <v>OK</v>
      </c>
    </row>
    <row r="1097">
      <c r="A1097" s="83" t="s">
        <v>4618</v>
      </c>
      <c r="B1097" s="83" t="s">
        <v>4619</v>
      </c>
      <c r="C1097" s="81" t="s">
        <v>4621</v>
      </c>
      <c r="D1097" s="83" t="s">
        <v>4183</v>
      </c>
      <c r="E1097" s="81" t="s">
        <v>681</v>
      </c>
      <c r="F1097" s="84">
        <v>109.0</v>
      </c>
      <c r="G1097" s="81" t="s">
        <v>44</v>
      </c>
      <c r="H1097" s="81" t="s">
        <v>224</v>
      </c>
      <c r="I1097" s="81" t="s">
        <v>675</v>
      </c>
      <c r="J1097" s="81" t="s">
        <v>4088</v>
      </c>
      <c r="K1097" s="81" t="str">
        <f>IFERROR(__xludf.DUMMYFUNCTION("IF(OR(D1097="""",G1097=""""),"""",IFERROR(LET(
campo,XLOOKUP(TRIM(G1097),ARRAYFORMULA(TRIM('indice columnas'!$A$2:$A$100)),'indice columnas'!$B$2:$B$100,""""),
col,IFERROR(MATCH(campo,Referencia!$A$1:$AZ$1,0),0),
fila,IFERROR(MATCH(TO_TEXT(D1097),ARRAYFOR"&amp;"MULA(TO_TEXT(Referencia!$A$2:$A6238)),0),0),
IF(OR(campo="""",campo=""-""),""NO APLICA"",
IF(col=0,""REVISAR EQUIVALENCIA"",
IF(fila=0,""SKU NO ENCONTRADO"",
LET(
valor,INDEX(Referencia!$A$2:$AZ6238,fila,col),
IF(TRIM(TO_TEXT(valor))=TRIM(TO_TEXT(I1097)),"&amp;"
""OK"",
""NO COINCIDE. Valor verdadero: ""&amp;IF(valor="""",""[VACÍO]"",TO_TEXT(valor))
)
))))
),""ERROR EN FÓRMULA""))"),"NO APLICA")</f>
        <v>NO APLICA</v>
      </c>
    </row>
    <row r="1098">
      <c r="A1098" s="83" t="s">
        <v>4618</v>
      </c>
      <c r="B1098" s="83" t="s">
        <v>4619</v>
      </c>
      <c r="C1098" s="81" t="s">
        <v>4621</v>
      </c>
      <c r="D1098" s="83" t="s">
        <v>4184</v>
      </c>
      <c r="E1098" s="81" t="s">
        <v>683</v>
      </c>
      <c r="F1098" s="84">
        <v>110.0</v>
      </c>
      <c r="G1098" s="81" t="s">
        <v>12</v>
      </c>
      <c r="H1098" s="81" t="s">
        <v>224</v>
      </c>
      <c r="I1098" s="81" t="s">
        <v>55</v>
      </c>
      <c r="J1098" s="81" t="s">
        <v>224</v>
      </c>
      <c r="K1098" s="81" t="str">
        <f>IFERROR(__xludf.DUMMYFUNCTION("IF(OR(D1098="""",G1098=""""),"""",IFERROR(LET(
campo,XLOOKUP(TRIM(G1098),ARRAYFORMULA(TRIM('indice columnas'!$A$2:$A$100)),'indice columnas'!$B$2:$B$100,""""),
col,IFERROR(MATCH(campo,Referencia!$A$1:$AZ$1,0),0),
fila,IFERROR(MATCH(TO_TEXT(D1098),ARRAYFOR"&amp;"MULA(TO_TEXT(Referencia!$A$2:$A6238)),0),0),
IF(OR(campo="""",campo=""-""),""NO APLICA"",
IF(col=0,""REVISAR EQUIVALENCIA"",
IF(fila=0,""SKU NO ENCONTRADO"",
LET(
valor,INDEX(Referencia!$A$2:$AZ6238,fila,col),
IF(TRIM(TO_TEXT(valor))=TRIM(TO_TEXT(I1098)),"&amp;"
""OK"",
""NO COINCIDE. Valor verdadero: ""&amp;IF(valor="""",""[VACÍO]"",TO_TEXT(valor))
)
))))
),""ERROR EN FÓRMULA""))"),"OK")</f>
        <v>OK</v>
      </c>
    </row>
    <row r="1099">
      <c r="A1099" s="83" t="s">
        <v>4618</v>
      </c>
      <c r="B1099" s="83" t="s">
        <v>4619</v>
      </c>
      <c r="C1099" s="81" t="s">
        <v>4621</v>
      </c>
      <c r="D1099" s="83" t="s">
        <v>4184</v>
      </c>
      <c r="E1099" s="81" t="s">
        <v>683</v>
      </c>
      <c r="F1099" s="84">
        <v>110.0</v>
      </c>
      <c r="G1099" s="81" t="s">
        <v>44</v>
      </c>
      <c r="H1099" s="81" t="s">
        <v>224</v>
      </c>
      <c r="I1099" s="81" t="s">
        <v>675</v>
      </c>
      <c r="J1099" s="81" t="s">
        <v>4088</v>
      </c>
      <c r="K1099" s="81" t="str">
        <f>IFERROR(__xludf.DUMMYFUNCTION("IF(OR(D1099="""",G1099=""""),"""",IFERROR(LET(
campo,XLOOKUP(TRIM(G1099),ARRAYFORMULA(TRIM('indice columnas'!$A$2:$A$100)),'indice columnas'!$B$2:$B$100,""""),
col,IFERROR(MATCH(campo,Referencia!$A$1:$AZ$1,0),0),
fila,IFERROR(MATCH(TO_TEXT(D1099),ARRAYFOR"&amp;"MULA(TO_TEXT(Referencia!$A$2:$A6238)),0),0),
IF(OR(campo="""",campo=""-""),""NO APLICA"",
IF(col=0,""REVISAR EQUIVALENCIA"",
IF(fila=0,""SKU NO ENCONTRADO"",
LET(
valor,INDEX(Referencia!$A$2:$AZ6238,fila,col),
IF(TRIM(TO_TEXT(valor))=TRIM(TO_TEXT(I1099)),"&amp;"
""OK"",
""NO COINCIDE. Valor verdadero: ""&amp;IF(valor="""",""[VACÍO]"",TO_TEXT(valor))
)
))))
),""ERROR EN FÓRMULA""))"),"NO APLICA")</f>
        <v>NO APLICA</v>
      </c>
    </row>
    <row r="1100">
      <c r="A1100" s="83" t="s">
        <v>4618</v>
      </c>
      <c r="B1100" s="83" t="s">
        <v>4619</v>
      </c>
      <c r="C1100" s="81" t="s">
        <v>4621</v>
      </c>
      <c r="D1100" s="83" t="s">
        <v>4185</v>
      </c>
      <c r="E1100" s="81" t="s">
        <v>685</v>
      </c>
      <c r="F1100" s="84">
        <v>111.0</v>
      </c>
      <c r="G1100" s="81" t="s">
        <v>44</v>
      </c>
      <c r="H1100" s="81" t="s">
        <v>224</v>
      </c>
      <c r="I1100" s="81" t="s">
        <v>685</v>
      </c>
      <c r="J1100" s="81" t="s">
        <v>4088</v>
      </c>
      <c r="K1100" s="81" t="str">
        <f>IFERROR(__xludf.DUMMYFUNCTION("IF(OR(D1100="""",G1100=""""),"""",IFERROR(LET(
campo,XLOOKUP(TRIM(G1100),ARRAYFORMULA(TRIM('indice columnas'!$A$2:$A$100)),'indice columnas'!$B$2:$B$100,""""),
col,IFERROR(MATCH(campo,Referencia!$A$1:$AZ$1,0),0),
fila,IFERROR(MATCH(TO_TEXT(D1100),ARRAYFOR"&amp;"MULA(TO_TEXT(Referencia!$A$2:$A6238)),0),0),
IF(OR(campo="""",campo=""-""),""NO APLICA"",
IF(col=0,""REVISAR EQUIVALENCIA"",
IF(fila=0,""SKU NO ENCONTRADO"",
LET(
valor,INDEX(Referencia!$A$2:$AZ6238,fila,col),
IF(TRIM(TO_TEXT(valor))=TRIM(TO_TEXT(I1100)),"&amp;"
""OK"",
""NO COINCIDE. Valor verdadero: ""&amp;IF(valor="""",""[VACÍO]"",TO_TEXT(valor))
)
))))
),""ERROR EN FÓRMULA""))"),"NO APLICA")</f>
        <v>NO APLICA</v>
      </c>
    </row>
    <row r="1101">
      <c r="A1101" s="83" t="s">
        <v>4618</v>
      </c>
      <c r="B1101" s="83" t="s">
        <v>4619</v>
      </c>
      <c r="C1101" s="81" t="s">
        <v>4621</v>
      </c>
      <c r="D1101" s="83" t="s">
        <v>4185</v>
      </c>
      <c r="E1101" s="81" t="s">
        <v>690</v>
      </c>
      <c r="F1101" s="84">
        <v>112.0</v>
      </c>
      <c r="G1101" s="81" t="s">
        <v>12</v>
      </c>
      <c r="H1101" s="81" t="s">
        <v>224</v>
      </c>
      <c r="I1101" s="81" t="s">
        <v>55</v>
      </c>
      <c r="J1101" s="81" t="s">
        <v>224</v>
      </c>
      <c r="K1101" s="81" t="str">
        <f>IFERROR(__xludf.DUMMYFUNCTION("IF(OR(D1101="""",G1101=""""),"""",IFERROR(LET(
campo,XLOOKUP(TRIM(G1101),ARRAYFORMULA(TRIM('indice columnas'!$A$2:$A$100)),'indice columnas'!$B$2:$B$100,""""),
col,IFERROR(MATCH(campo,Referencia!$A$1:$AZ$1,0),0),
fila,IFERROR(MATCH(TO_TEXT(D1101),ARRAYFOR"&amp;"MULA(TO_TEXT(Referencia!$A$2:$A6238)),0),0),
IF(OR(campo="""",campo=""-""),""NO APLICA"",
IF(col=0,""REVISAR EQUIVALENCIA"",
IF(fila=0,""SKU NO ENCONTRADO"",
LET(
valor,INDEX(Referencia!$A$2:$AZ6238,fila,col),
IF(TRIM(TO_TEXT(valor))=TRIM(TO_TEXT(I1101)),"&amp;"
""OK"",
""NO COINCIDE. Valor verdadero: ""&amp;IF(valor="""",""[VACÍO]"",TO_TEXT(valor))
)
))))
),""ERROR EN FÓRMULA""))"),"OK")</f>
        <v>OK</v>
      </c>
    </row>
    <row r="1102">
      <c r="A1102" s="83" t="s">
        <v>4618</v>
      </c>
      <c r="B1102" s="83" t="s">
        <v>4619</v>
      </c>
      <c r="C1102" s="81" t="s">
        <v>4621</v>
      </c>
      <c r="D1102" s="83" t="s">
        <v>4185</v>
      </c>
      <c r="E1102" s="81" t="s">
        <v>690</v>
      </c>
      <c r="F1102" s="84">
        <v>112.0</v>
      </c>
      <c r="G1102" s="81" t="s">
        <v>44</v>
      </c>
      <c r="H1102" s="81" t="s">
        <v>224</v>
      </c>
      <c r="I1102" s="81" t="s">
        <v>685</v>
      </c>
      <c r="J1102" s="81" t="s">
        <v>4088</v>
      </c>
      <c r="K1102" s="81" t="str">
        <f>IFERROR(__xludf.DUMMYFUNCTION("IF(OR(D1102="""",G1102=""""),"""",IFERROR(LET(
campo,XLOOKUP(TRIM(G1102),ARRAYFORMULA(TRIM('indice columnas'!$A$2:$A$100)),'indice columnas'!$B$2:$B$100,""""),
col,IFERROR(MATCH(campo,Referencia!$A$1:$AZ$1,0),0),
fila,IFERROR(MATCH(TO_TEXT(D1102),ARRAYFOR"&amp;"MULA(TO_TEXT(Referencia!$A$2:$A6238)),0),0),
IF(OR(campo="""",campo=""-""),""NO APLICA"",
IF(col=0,""REVISAR EQUIVALENCIA"",
IF(fila=0,""SKU NO ENCONTRADO"",
LET(
valor,INDEX(Referencia!$A$2:$AZ6238,fila,col),
IF(TRIM(TO_TEXT(valor))=TRIM(TO_TEXT(I1102)),"&amp;"
""OK"",
""NO COINCIDE. Valor verdadero: ""&amp;IF(valor="""",""[VACÍO]"",TO_TEXT(valor))
)
))))
),""ERROR EN FÓRMULA""))"),"NO APLICA")</f>
        <v>NO APLICA</v>
      </c>
    </row>
    <row r="1103">
      <c r="A1103" s="83" t="s">
        <v>4618</v>
      </c>
      <c r="B1103" s="83" t="s">
        <v>4619</v>
      </c>
      <c r="C1103" s="81" t="s">
        <v>4621</v>
      </c>
      <c r="D1103" s="83" t="s">
        <v>4186</v>
      </c>
      <c r="E1103" s="81" t="s">
        <v>691</v>
      </c>
      <c r="F1103" s="84">
        <v>113.0</v>
      </c>
      <c r="G1103" s="81" t="s">
        <v>12</v>
      </c>
      <c r="H1103" s="81" t="s">
        <v>224</v>
      </c>
      <c r="I1103" s="81" t="s">
        <v>55</v>
      </c>
      <c r="J1103" s="81" t="s">
        <v>224</v>
      </c>
      <c r="K1103" s="81" t="str">
        <f>IFERROR(__xludf.DUMMYFUNCTION("IF(OR(D1103="""",G1103=""""),"""",IFERROR(LET(
campo,XLOOKUP(TRIM(G1103),ARRAYFORMULA(TRIM('indice columnas'!$A$2:$A$100)),'indice columnas'!$B$2:$B$100,""""),
col,IFERROR(MATCH(campo,Referencia!$A$1:$AZ$1,0),0),
fila,IFERROR(MATCH(TO_TEXT(D1103),ARRAYFOR"&amp;"MULA(TO_TEXT(Referencia!$A$2:$A6238)),0),0),
IF(OR(campo="""",campo=""-""),""NO APLICA"",
IF(col=0,""REVISAR EQUIVALENCIA"",
IF(fila=0,""SKU NO ENCONTRADO"",
LET(
valor,INDEX(Referencia!$A$2:$AZ6238,fila,col),
IF(TRIM(TO_TEXT(valor))=TRIM(TO_TEXT(I1103)),"&amp;"
""OK"",
""NO COINCIDE. Valor verdadero: ""&amp;IF(valor="""",""[VACÍO]"",TO_TEXT(valor))
)
))))
),""ERROR EN FÓRMULA""))"),"OK")</f>
        <v>OK</v>
      </c>
    </row>
    <row r="1104">
      <c r="A1104" s="83" t="s">
        <v>4618</v>
      </c>
      <c r="B1104" s="83" t="s">
        <v>4619</v>
      </c>
      <c r="C1104" s="81" t="s">
        <v>4621</v>
      </c>
      <c r="D1104" s="83" t="s">
        <v>4186</v>
      </c>
      <c r="E1104" s="81" t="s">
        <v>691</v>
      </c>
      <c r="F1104" s="84">
        <v>113.0</v>
      </c>
      <c r="G1104" s="81" t="s">
        <v>44</v>
      </c>
      <c r="H1104" s="81" t="s">
        <v>224</v>
      </c>
      <c r="I1104" s="81" t="s">
        <v>685</v>
      </c>
      <c r="J1104" s="81" t="s">
        <v>4088</v>
      </c>
      <c r="K1104" s="81" t="str">
        <f>IFERROR(__xludf.DUMMYFUNCTION("IF(OR(D1104="""",G1104=""""),"""",IFERROR(LET(
campo,XLOOKUP(TRIM(G1104),ARRAYFORMULA(TRIM('indice columnas'!$A$2:$A$100)),'indice columnas'!$B$2:$B$100,""""),
col,IFERROR(MATCH(campo,Referencia!$A$1:$AZ$1,0),0),
fila,IFERROR(MATCH(TO_TEXT(D1104),ARRAYFOR"&amp;"MULA(TO_TEXT(Referencia!$A$2:$A6238)),0),0),
IF(OR(campo="""",campo=""-""),""NO APLICA"",
IF(col=0,""REVISAR EQUIVALENCIA"",
IF(fila=0,""SKU NO ENCONTRADO"",
LET(
valor,INDEX(Referencia!$A$2:$AZ6238,fila,col),
IF(TRIM(TO_TEXT(valor))=TRIM(TO_TEXT(I1104)),"&amp;"
""OK"",
""NO COINCIDE. Valor verdadero: ""&amp;IF(valor="""",""[VACÍO]"",TO_TEXT(valor))
)
))))
),""ERROR EN FÓRMULA""))"),"NO APLICA")</f>
        <v>NO APLICA</v>
      </c>
    </row>
    <row r="1105">
      <c r="A1105" s="83" t="s">
        <v>4618</v>
      </c>
      <c r="B1105" s="83" t="s">
        <v>4619</v>
      </c>
      <c r="C1105" s="81" t="s">
        <v>4621</v>
      </c>
      <c r="D1105" s="83" t="s">
        <v>4187</v>
      </c>
      <c r="E1105" s="81" t="s">
        <v>693</v>
      </c>
      <c r="F1105" s="84">
        <v>114.0</v>
      </c>
      <c r="G1105" s="81" t="s">
        <v>44</v>
      </c>
      <c r="H1105" s="81" t="s">
        <v>224</v>
      </c>
      <c r="I1105" s="81" t="s">
        <v>693</v>
      </c>
      <c r="J1105" s="81" t="s">
        <v>4088</v>
      </c>
      <c r="K1105" s="81" t="str">
        <f>IFERROR(__xludf.DUMMYFUNCTION("IF(OR(D1105="""",G1105=""""),"""",IFERROR(LET(
campo,XLOOKUP(TRIM(G1105),ARRAYFORMULA(TRIM('indice columnas'!$A$2:$A$100)),'indice columnas'!$B$2:$B$100,""""),
col,IFERROR(MATCH(campo,Referencia!$A$1:$AZ$1,0),0),
fila,IFERROR(MATCH(TO_TEXT(D1105),ARRAYFOR"&amp;"MULA(TO_TEXT(Referencia!$A$2:$A6238)),0),0),
IF(OR(campo="""",campo=""-""),""NO APLICA"",
IF(col=0,""REVISAR EQUIVALENCIA"",
IF(fila=0,""SKU NO ENCONTRADO"",
LET(
valor,INDEX(Referencia!$A$2:$AZ6238,fila,col),
IF(TRIM(TO_TEXT(valor))=TRIM(TO_TEXT(I1105)),"&amp;"
""OK"",
""NO COINCIDE. Valor verdadero: ""&amp;IF(valor="""",""[VACÍO]"",TO_TEXT(valor))
)
))))
),""ERROR EN FÓRMULA""))"),"NO APLICA")</f>
        <v>NO APLICA</v>
      </c>
    </row>
    <row r="1106">
      <c r="A1106" s="83" t="s">
        <v>4618</v>
      </c>
      <c r="B1106" s="83" t="s">
        <v>4619</v>
      </c>
      <c r="C1106" s="81" t="s">
        <v>4621</v>
      </c>
      <c r="D1106" s="83" t="s">
        <v>4187</v>
      </c>
      <c r="E1106" s="81" t="s">
        <v>700</v>
      </c>
      <c r="F1106" s="84">
        <v>115.0</v>
      </c>
      <c r="G1106" s="81" t="s">
        <v>12</v>
      </c>
      <c r="H1106" s="81" t="s">
        <v>224</v>
      </c>
      <c r="I1106" s="81" t="s">
        <v>55</v>
      </c>
      <c r="J1106" s="81" t="s">
        <v>224</v>
      </c>
      <c r="K1106" s="81" t="str">
        <f>IFERROR(__xludf.DUMMYFUNCTION("IF(OR(D1106="""",G1106=""""),"""",IFERROR(LET(
campo,XLOOKUP(TRIM(G1106),ARRAYFORMULA(TRIM('indice columnas'!$A$2:$A$100)),'indice columnas'!$B$2:$B$100,""""),
col,IFERROR(MATCH(campo,Referencia!$A$1:$AZ$1,0),0),
fila,IFERROR(MATCH(TO_TEXT(D1106),ARRAYFOR"&amp;"MULA(TO_TEXT(Referencia!$A$2:$A6238)),0),0),
IF(OR(campo="""",campo=""-""),""NO APLICA"",
IF(col=0,""REVISAR EQUIVALENCIA"",
IF(fila=0,""SKU NO ENCONTRADO"",
LET(
valor,INDEX(Referencia!$A$2:$AZ6238,fila,col),
IF(TRIM(TO_TEXT(valor))=TRIM(TO_TEXT(I1106)),"&amp;"
""OK"",
""NO COINCIDE. Valor verdadero: ""&amp;IF(valor="""",""[VACÍO]"",TO_TEXT(valor))
)
))))
),""ERROR EN FÓRMULA""))"),"OK")</f>
        <v>OK</v>
      </c>
    </row>
    <row r="1107">
      <c r="A1107" s="83" t="s">
        <v>4618</v>
      </c>
      <c r="B1107" s="83" t="s">
        <v>4619</v>
      </c>
      <c r="C1107" s="81" t="s">
        <v>4621</v>
      </c>
      <c r="D1107" s="83" t="s">
        <v>4187</v>
      </c>
      <c r="E1107" s="81" t="s">
        <v>700</v>
      </c>
      <c r="F1107" s="84">
        <v>115.0</v>
      </c>
      <c r="G1107" s="81" t="s">
        <v>44</v>
      </c>
      <c r="H1107" s="81" t="s">
        <v>224</v>
      </c>
      <c r="I1107" s="81" t="s">
        <v>693</v>
      </c>
      <c r="J1107" s="81" t="s">
        <v>4088</v>
      </c>
      <c r="K1107" s="81" t="str">
        <f>IFERROR(__xludf.DUMMYFUNCTION("IF(OR(D1107="""",G1107=""""),"""",IFERROR(LET(
campo,XLOOKUP(TRIM(G1107),ARRAYFORMULA(TRIM('indice columnas'!$A$2:$A$100)),'indice columnas'!$B$2:$B$100,""""),
col,IFERROR(MATCH(campo,Referencia!$A$1:$AZ$1,0),0),
fila,IFERROR(MATCH(TO_TEXT(D1107),ARRAYFOR"&amp;"MULA(TO_TEXT(Referencia!$A$2:$A6238)),0),0),
IF(OR(campo="""",campo=""-""),""NO APLICA"",
IF(col=0,""REVISAR EQUIVALENCIA"",
IF(fila=0,""SKU NO ENCONTRADO"",
LET(
valor,INDEX(Referencia!$A$2:$AZ6238,fila,col),
IF(TRIM(TO_TEXT(valor))=TRIM(TO_TEXT(I1107)),"&amp;"
""OK"",
""NO COINCIDE. Valor verdadero: ""&amp;IF(valor="""",""[VACÍO]"",TO_TEXT(valor))
)
))))
),""ERROR EN FÓRMULA""))"),"NO APLICA")</f>
        <v>NO APLICA</v>
      </c>
    </row>
    <row r="1108">
      <c r="A1108" s="83" t="s">
        <v>4618</v>
      </c>
      <c r="B1108" s="83" t="s">
        <v>4619</v>
      </c>
      <c r="C1108" s="81" t="s">
        <v>4621</v>
      </c>
      <c r="D1108" s="83" t="s">
        <v>4188</v>
      </c>
      <c r="E1108" s="81" t="s">
        <v>701</v>
      </c>
      <c r="F1108" s="84">
        <v>116.0</v>
      </c>
      <c r="G1108" s="81" t="s">
        <v>12</v>
      </c>
      <c r="H1108" s="81" t="s">
        <v>224</v>
      </c>
      <c r="I1108" s="81" t="s">
        <v>55</v>
      </c>
      <c r="J1108" s="81" t="s">
        <v>224</v>
      </c>
      <c r="K1108" s="81" t="str">
        <f>IFERROR(__xludf.DUMMYFUNCTION("IF(OR(D1108="""",G1108=""""),"""",IFERROR(LET(
campo,XLOOKUP(TRIM(G1108),ARRAYFORMULA(TRIM('indice columnas'!$A$2:$A$100)),'indice columnas'!$B$2:$B$100,""""),
col,IFERROR(MATCH(campo,Referencia!$A$1:$AZ$1,0),0),
fila,IFERROR(MATCH(TO_TEXT(D1108),ARRAYFOR"&amp;"MULA(TO_TEXT(Referencia!$A$2:$A6238)),0),0),
IF(OR(campo="""",campo=""-""),""NO APLICA"",
IF(col=0,""REVISAR EQUIVALENCIA"",
IF(fila=0,""SKU NO ENCONTRADO"",
LET(
valor,INDEX(Referencia!$A$2:$AZ6238,fila,col),
IF(TRIM(TO_TEXT(valor))=TRIM(TO_TEXT(I1108)),"&amp;"
""OK"",
""NO COINCIDE. Valor verdadero: ""&amp;IF(valor="""",""[VACÍO]"",TO_TEXT(valor))
)
))))
),""ERROR EN FÓRMULA""))"),"OK")</f>
        <v>OK</v>
      </c>
    </row>
    <row r="1109">
      <c r="A1109" s="83" t="s">
        <v>4618</v>
      </c>
      <c r="B1109" s="83" t="s">
        <v>4619</v>
      </c>
      <c r="C1109" s="81" t="s">
        <v>4621</v>
      </c>
      <c r="D1109" s="83" t="s">
        <v>4188</v>
      </c>
      <c r="E1109" s="81" t="s">
        <v>701</v>
      </c>
      <c r="F1109" s="84">
        <v>116.0</v>
      </c>
      <c r="G1109" s="81" t="s">
        <v>44</v>
      </c>
      <c r="H1109" s="81" t="s">
        <v>224</v>
      </c>
      <c r="I1109" s="81" t="s">
        <v>693</v>
      </c>
      <c r="J1109" s="81" t="s">
        <v>4088</v>
      </c>
      <c r="K1109" s="81" t="str">
        <f>IFERROR(__xludf.DUMMYFUNCTION("IF(OR(D1109="""",G1109=""""),"""",IFERROR(LET(
campo,XLOOKUP(TRIM(G1109),ARRAYFORMULA(TRIM('indice columnas'!$A$2:$A$100)),'indice columnas'!$B$2:$B$100,""""),
col,IFERROR(MATCH(campo,Referencia!$A$1:$AZ$1,0),0),
fila,IFERROR(MATCH(TO_TEXT(D1109),ARRAYFOR"&amp;"MULA(TO_TEXT(Referencia!$A$2:$A6238)),0),0),
IF(OR(campo="""",campo=""-""),""NO APLICA"",
IF(col=0,""REVISAR EQUIVALENCIA"",
IF(fila=0,""SKU NO ENCONTRADO"",
LET(
valor,INDEX(Referencia!$A$2:$AZ6238,fila,col),
IF(TRIM(TO_TEXT(valor))=TRIM(TO_TEXT(I1109)),"&amp;"
""OK"",
""NO COINCIDE. Valor verdadero: ""&amp;IF(valor="""",""[VACÍO]"",TO_TEXT(valor))
)
))))
),""ERROR EN FÓRMULA""))"),"NO APLICA")</f>
        <v>NO APLICA</v>
      </c>
    </row>
    <row r="1110">
      <c r="A1110" s="83" t="s">
        <v>4618</v>
      </c>
      <c r="B1110" s="83" t="s">
        <v>4619</v>
      </c>
      <c r="C1110" s="81" t="s">
        <v>4621</v>
      </c>
      <c r="D1110" s="83" t="s">
        <v>4189</v>
      </c>
      <c r="E1110" s="81" t="s">
        <v>703</v>
      </c>
      <c r="F1110" s="84">
        <v>117.0</v>
      </c>
      <c r="G1110" s="81" t="s">
        <v>12</v>
      </c>
      <c r="H1110" s="81" t="s">
        <v>224</v>
      </c>
      <c r="I1110" s="81" t="s">
        <v>55</v>
      </c>
      <c r="J1110" s="81" t="s">
        <v>224</v>
      </c>
      <c r="K1110" s="81" t="str">
        <f>IFERROR(__xludf.DUMMYFUNCTION("IF(OR(D1110="""",G1110=""""),"""",IFERROR(LET(
campo,XLOOKUP(TRIM(G1110),ARRAYFORMULA(TRIM('indice columnas'!$A$2:$A$100)),'indice columnas'!$B$2:$B$100,""""),
col,IFERROR(MATCH(campo,Referencia!$A$1:$AZ$1,0),0),
fila,IFERROR(MATCH(TO_TEXT(D1110),ARRAYFOR"&amp;"MULA(TO_TEXT(Referencia!$A$2:$A6238)),0),0),
IF(OR(campo="""",campo=""-""),""NO APLICA"",
IF(col=0,""REVISAR EQUIVALENCIA"",
IF(fila=0,""SKU NO ENCONTRADO"",
LET(
valor,INDEX(Referencia!$A$2:$AZ6238,fila,col),
IF(TRIM(TO_TEXT(valor))=TRIM(TO_TEXT(I1110)),"&amp;"
""OK"",
""NO COINCIDE. Valor verdadero: ""&amp;IF(valor="""",""[VACÍO]"",TO_TEXT(valor))
)
))))
),""ERROR EN FÓRMULA""))"),"OK")</f>
        <v>OK</v>
      </c>
    </row>
    <row r="1111">
      <c r="A1111" s="83" t="s">
        <v>4618</v>
      </c>
      <c r="B1111" s="83" t="s">
        <v>4619</v>
      </c>
      <c r="C1111" s="81" t="s">
        <v>4621</v>
      </c>
      <c r="D1111" s="83" t="s">
        <v>4189</v>
      </c>
      <c r="E1111" s="81" t="s">
        <v>703</v>
      </c>
      <c r="F1111" s="84">
        <v>117.0</v>
      </c>
      <c r="G1111" s="81" t="s">
        <v>44</v>
      </c>
      <c r="H1111" s="81" t="s">
        <v>224</v>
      </c>
      <c r="I1111" s="81" t="s">
        <v>4190</v>
      </c>
      <c r="J1111" s="81" t="s">
        <v>4088</v>
      </c>
      <c r="K1111" s="81" t="str">
        <f>IFERROR(__xludf.DUMMYFUNCTION("IF(OR(D1111="""",G1111=""""),"""",IFERROR(LET(
campo,XLOOKUP(TRIM(G1111),ARRAYFORMULA(TRIM('indice columnas'!$A$2:$A$100)),'indice columnas'!$B$2:$B$100,""""),
col,IFERROR(MATCH(campo,Referencia!$A$1:$AZ$1,0),0),
fila,IFERROR(MATCH(TO_TEXT(D1111),ARRAYFOR"&amp;"MULA(TO_TEXT(Referencia!$A$2:$A6238)),0),0),
IF(OR(campo="""",campo=""-""),""NO APLICA"",
IF(col=0,""REVISAR EQUIVALENCIA"",
IF(fila=0,""SKU NO ENCONTRADO"",
LET(
valor,INDEX(Referencia!$A$2:$AZ6238,fila,col),
IF(TRIM(TO_TEXT(valor))=TRIM(TO_TEXT(I1111)),"&amp;"
""OK"",
""NO COINCIDE. Valor verdadero: ""&amp;IF(valor="""",""[VACÍO]"",TO_TEXT(valor))
)
))))
),""ERROR EN FÓRMULA""))"),"NO APLICA")</f>
        <v>NO APLICA</v>
      </c>
    </row>
    <row r="1112">
      <c r="A1112" s="83" t="s">
        <v>4618</v>
      </c>
      <c r="B1112" s="83" t="s">
        <v>4619</v>
      </c>
      <c r="C1112" s="81" t="s">
        <v>4621</v>
      </c>
      <c r="D1112" s="83" t="s">
        <v>4191</v>
      </c>
      <c r="E1112" s="81" t="s">
        <v>710</v>
      </c>
      <c r="F1112" s="84">
        <v>118.0</v>
      </c>
      <c r="G1112" s="81" t="s">
        <v>12</v>
      </c>
      <c r="H1112" s="81" t="s">
        <v>224</v>
      </c>
      <c r="I1112" s="81" t="s">
        <v>55</v>
      </c>
      <c r="J1112" s="81" t="s">
        <v>224</v>
      </c>
      <c r="K1112" s="81" t="str">
        <f>IFERROR(__xludf.DUMMYFUNCTION("IF(OR(D1112="""",G1112=""""),"""",IFERROR(LET(
campo,XLOOKUP(TRIM(G1112),ARRAYFORMULA(TRIM('indice columnas'!$A$2:$A$100)),'indice columnas'!$B$2:$B$100,""""),
col,IFERROR(MATCH(campo,Referencia!$A$1:$AZ$1,0),0),
fila,IFERROR(MATCH(TO_TEXT(D1112),ARRAYFOR"&amp;"MULA(TO_TEXT(Referencia!$A$2:$A6238)),0),0),
IF(OR(campo="""",campo=""-""),""NO APLICA"",
IF(col=0,""REVISAR EQUIVALENCIA"",
IF(fila=0,""SKU NO ENCONTRADO"",
LET(
valor,INDEX(Referencia!$A$2:$AZ6238,fila,col),
IF(TRIM(TO_TEXT(valor))=TRIM(TO_TEXT(I1112)),"&amp;"
""OK"",
""NO COINCIDE. Valor verdadero: ""&amp;IF(valor="""",""[VACÍO]"",TO_TEXT(valor))
)
))))
),""ERROR EN FÓRMULA""))"),"OK")</f>
        <v>OK</v>
      </c>
    </row>
    <row r="1113">
      <c r="A1113" s="83" t="s">
        <v>4618</v>
      </c>
      <c r="B1113" s="83" t="s">
        <v>4619</v>
      </c>
      <c r="C1113" s="81" t="s">
        <v>4621</v>
      </c>
      <c r="D1113" s="83" t="s">
        <v>4191</v>
      </c>
      <c r="E1113" s="81" t="s">
        <v>710</v>
      </c>
      <c r="F1113" s="84">
        <v>118.0</v>
      </c>
      <c r="G1113" s="81" t="s">
        <v>44</v>
      </c>
      <c r="H1113" s="81" t="s">
        <v>224</v>
      </c>
      <c r="I1113" s="81" t="s">
        <v>4192</v>
      </c>
      <c r="J1113" s="81" t="s">
        <v>4088</v>
      </c>
      <c r="K1113" s="81" t="str">
        <f>IFERROR(__xludf.DUMMYFUNCTION("IF(OR(D1113="""",G1113=""""),"""",IFERROR(LET(
campo,XLOOKUP(TRIM(G1113),ARRAYFORMULA(TRIM('indice columnas'!$A$2:$A$100)),'indice columnas'!$B$2:$B$100,""""),
col,IFERROR(MATCH(campo,Referencia!$A$1:$AZ$1,0),0),
fila,IFERROR(MATCH(TO_TEXT(D1113),ARRAYFOR"&amp;"MULA(TO_TEXT(Referencia!$A$2:$A6238)),0),0),
IF(OR(campo="""",campo=""-""),""NO APLICA"",
IF(col=0,""REVISAR EQUIVALENCIA"",
IF(fila=0,""SKU NO ENCONTRADO"",
LET(
valor,INDEX(Referencia!$A$2:$AZ6238,fila,col),
IF(TRIM(TO_TEXT(valor))=TRIM(TO_TEXT(I1113)),"&amp;"
""OK"",
""NO COINCIDE. Valor verdadero: ""&amp;IF(valor="""",""[VACÍO]"",TO_TEXT(valor))
)
))))
),""ERROR EN FÓRMULA""))"),"NO APLICA")</f>
        <v>NO APLICA</v>
      </c>
    </row>
    <row r="1114">
      <c r="A1114" s="83" t="s">
        <v>4618</v>
      </c>
      <c r="B1114" s="83" t="s">
        <v>4619</v>
      </c>
      <c r="C1114" s="81" t="s">
        <v>4621</v>
      </c>
      <c r="D1114" s="83" t="s">
        <v>4193</v>
      </c>
      <c r="E1114" s="81" t="s">
        <v>716</v>
      </c>
      <c r="F1114" s="84">
        <v>119.0</v>
      </c>
      <c r="G1114" s="81" t="s">
        <v>44</v>
      </c>
      <c r="H1114" s="81" t="s">
        <v>4194</v>
      </c>
      <c r="I1114" s="81" t="s">
        <v>716</v>
      </c>
      <c r="J1114" s="81" t="s">
        <v>4088</v>
      </c>
      <c r="K1114" s="81" t="str">
        <f>IFERROR(__xludf.DUMMYFUNCTION("IF(OR(D1114="""",G1114=""""),"""",IFERROR(LET(
campo,XLOOKUP(TRIM(G1114),ARRAYFORMULA(TRIM('indice columnas'!$A$2:$A$100)),'indice columnas'!$B$2:$B$100,""""),
col,IFERROR(MATCH(campo,Referencia!$A$1:$AZ$1,0),0),
fila,IFERROR(MATCH(TO_TEXT(D1114),ARRAYFOR"&amp;"MULA(TO_TEXT(Referencia!$A$2:$A6238)),0),0),
IF(OR(campo="""",campo=""-""),""NO APLICA"",
IF(col=0,""REVISAR EQUIVALENCIA"",
IF(fila=0,""SKU NO ENCONTRADO"",
LET(
valor,INDEX(Referencia!$A$2:$AZ6238,fila,col),
IF(TRIM(TO_TEXT(valor))=TRIM(TO_TEXT(I1114)),"&amp;"
""OK"",
""NO COINCIDE. Valor verdadero: ""&amp;IF(valor="""",""[VACÍO]"",TO_TEXT(valor))
)
))))
),""ERROR EN FÓRMULA""))"),"NO APLICA")</f>
        <v>NO APLICA</v>
      </c>
    </row>
    <row r="1115">
      <c r="A1115" s="83" t="s">
        <v>4618</v>
      </c>
      <c r="B1115" s="83" t="s">
        <v>4619</v>
      </c>
      <c r="C1115" s="81" t="s">
        <v>4621</v>
      </c>
      <c r="D1115" s="83" t="s">
        <v>4193</v>
      </c>
      <c r="E1115" s="81" t="s">
        <v>727</v>
      </c>
      <c r="F1115" s="84">
        <v>120.0</v>
      </c>
      <c r="G1115" s="81" t="s">
        <v>12</v>
      </c>
      <c r="H1115" s="81" t="s">
        <v>224</v>
      </c>
      <c r="I1115" s="81" t="s">
        <v>55</v>
      </c>
      <c r="J1115" s="81" t="s">
        <v>224</v>
      </c>
      <c r="K1115" s="81" t="str">
        <f>IFERROR(__xludf.DUMMYFUNCTION("IF(OR(D1115="""",G1115=""""),"""",IFERROR(LET(
campo,XLOOKUP(TRIM(G1115),ARRAYFORMULA(TRIM('indice columnas'!$A$2:$A$100)),'indice columnas'!$B$2:$B$100,""""),
col,IFERROR(MATCH(campo,Referencia!$A$1:$AZ$1,0),0),
fila,IFERROR(MATCH(TO_TEXT(D1115),ARRAYFOR"&amp;"MULA(TO_TEXT(Referencia!$A$2:$A6238)),0),0),
IF(OR(campo="""",campo=""-""),""NO APLICA"",
IF(col=0,""REVISAR EQUIVALENCIA"",
IF(fila=0,""SKU NO ENCONTRADO"",
LET(
valor,INDEX(Referencia!$A$2:$AZ6238,fila,col),
IF(TRIM(TO_TEXT(valor))=TRIM(TO_TEXT(I1115)),"&amp;"
""OK"",
""NO COINCIDE. Valor verdadero: ""&amp;IF(valor="""",""[VACÍO]"",TO_TEXT(valor))
)
))))
),""ERROR EN FÓRMULA""))"),"OK")</f>
        <v>OK</v>
      </c>
    </row>
    <row r="1116">
      <c r="A1116" s="83" t="s">
        <v>4618</v>
      </c>
      <c r="B1116" s="83" t="s">
        <v>4619</v>
      </c>
      <c r="C1116" s="81" t="s">
        <v>4621</v>
      </c>
      <c r="D1116" s="83" t="s">
        <v>4193</v>
      </c>
      <c r="E1116" s="81" t="s">
        <v>727</v>
      </c>
      <c r="F1116" s="84">
        <v>120.0</v>
      </c>
      <c r="G1116" s="81" t="s">
        <v>44</v>
      </c>
      <c r="H1116" s="81" t="s">
        <v>4194</v>
      </c>
      <c r="I1116" s="81" t="s">
        <v>716</v>
      </c>
      <c r="J1116" s="81" t="s">
        <v>4088</v>
      </c>
      <c r="K1116" s="81" t="str">
        <f>IFERROR(__xludf.DUMMYFUNCTION("IF(OR(D1116="""",G1116=""""),"""",IFERROR(LET(
campo,XLOOKUP(TRIM(G1116),ARRAYFORMULA(TRIM('indice columnas'!$A$2:$A$100)),'indice columnas'!$B$2:$B$100,""""),
col,IFERROR(MATCH(campo,Referencia!$A$1:$AZ$1,0),0),
fila,IFERROR(MATCH(TO_TEXT(D1116),ARRAYFOR"&amp;"MULA(TO_TEXT(Referencia!$A$2:$A6238)),0),0),
IF(OR(campo="""",campo=""-""),""NO APLICA"",
IF(col=0,""REVISAR EQUIVALENCIA"",
IF(fila=0,""SKU NO ENCONTRADO"",
LET(
valor,INDEX(Referencia!$A$2:$AZ6238,fila,col),
IF(TRIM(TO_TEXT(valor))=TRIM(TO_TEXT(I1116)),"&amp;"
""OK"",
""NO COINCIDE. Valor verdadero: ""&amp;IF(valor="""",""[VACÍO]"",TO_TEXT(valor))
)
))))
),""ERROR EN FÓRMULA""))"),"NO APLICA")</f>
        <v>NO APLICA</v>
      </c>
    </row>
    <row r="1117">
      <c r="A1117" s="83" t="s">
        <v>4618</v>
      </c>
      <c r="B1117" s="83" t="s">
        <v>4619</v>
      </c>
      <c r="C1117" s="81" t="s">
        <v>4621</v>
      </c>
      <c r="D1117" s="83" t="s">
        <v>4195</v>
      </c>
      <c r="E1117" s="81" t="s">
        <v>728</v>
      </c>
      <c r="F1117" s="84">
        <v>121.0</v>
      </c>
      <c r="G1117" s="81" t="s">
        <v>12</v>
      </c>
      <c r="H1117" s="81" t="s">
        <v>224</v>
      </c>
      <c r="I1117" s="81" t="s">
        <v>55</v>
      </c>
      <c r="J1117" s="81" t="s">
        <v>224</v>
      </c>
      <c r="K1117" s="81" t="str">
        <f>IFERROR(__xludf.DUMMYFUNCTION("IF(OR(D1117="""",G1117=""""),"""",IFERROR(LET(
campo,XLOOKUP(TRIM(G1117),ARRAYFORMULA(TRIM('indice columnas'!$A$2:$A$100)),'indice columnas'!$B$2:$B$100,""""),
col,IFERROR(MATCH(campo,Referencia!$A$1:$AZ$1,0),0),
fila,IFERROR(MATCH(TO_TEXT(D1117),ARRAYFOR"&amp;"MULA(TO_TEXT(Referencia!$A$2:$A6238)),0),0),
IF(OR(campo="""",campo=""-""),""NO APLICA"",
IF(col=0,""REVISAR EQUIVALENCIA"",
IF(fila=0,""SKU NO ENCONTRADO"",
LET(
valor,INDEX(Referencia!$A$2:$AZ6238,fila,col),
IF(TRIM(TO_TEXT(valor))=TRIM(TO_TEXT(I1117)),"&amp;"
""OK"",
""NO COINCIDE. Valor verdadero: ""&amp;IF(valor="""",""[VACÍO]"",TO_TEXT(valor))
)
))))
),""ERROR EN FÓRMULA""))"),"OK")</f>
        <v>OK</v>
      </c>
    </row>
    <row r="1118">
      <c r="A1118" s="83" t="s">
        <v>4618</v>
      </c>
      <c r="B1118" s="83" t="s">
        <v>4619</v>
      </c>
      <c r="C1118" s="81" t="s">
        <v>4621</v>
      </c>
      <c r="D1118" s="83" t="s">
        <v>4195</v>
      </c>
      <c r="E1118" s="81" t="s">
        <v>728</v>
      </c>
      <c r="F1118" s="84">
        <v>121.0</v>
      </c>
      <c r="G1118" s="81" t="s">
        <v>44</v>
      </c>
      <c r="H1118" s="81" t="s">
        <v>4194</v>
      </c>
      <c r="I1118" s="81" t="s">
        <v>716</v>
      </c>
      <c r="J1118" s="81" t="s">
        <v>4088</v>
      </c>
      <c r="K1118" s="81" t="str">
        <f>IFERROR(__xludf.DUMMYFUNCTION("IF(OR(D1118="""",G1118=""""),"""",IFERROR(LET(
campo,XLOOKUP(TRIM(G1118),ARRAYFORMULA(TRIM('indice columnas'!$A$2:$A$100)),'indice columnas'!$B$2:$B$100,""""),
col,IFERROR(MATCH(campo,Referencia!$A$1:$AZ$1,0),0),
fila,IFERROR(MATCH(TO_TEXT(D1118),ARRAYFOR"&amp;"MULA(TO_TEXT(Referencia!$A$2:$A6238)),0),0),
IF(OR(campo="""",campo=""-""),""NO APLICA"",
IF(col=0,""REVISAR EQUIVALENCIA"",
IF(fila=0,""SKU NO ENCONTRADO"",
LET(
valor,INDEX(Referencia!$A$2:$AZ6238,fila,col),
IF(TRIM(TO_TEXT(valor))=TRIM(TO_TEXT(I1118)),"&amp;"
""OK"",
""NO COINCIDE. Valor verdadero: ""&amp;IF(valor="""",""[VACÍO]"",TO_TEXT(valor))
)
))))
),""ERROR EN FÓRMULA""))"),"NO APLICA")</f>
        <v>NO APLICA</v>
      </c>
    </row>
    <row r="1119">
      <c r="A1119" s="83" t="s">
        <v>4618</v>
      </c>
      <c r="B1119" s="83" t="s">
        <v>4619</v>
      </c>
      <c r="C1119" s="81" t="s">
        <v>4621</v>
      </c>
      <c r="D1119" s="83" t="s">
        <v>4196</v>
      </c>
      <c r="E1119" s="81" t="s">
        <v>731</v>
      </c>
      <c r="F1119" s="84">
        <v>122.0</v>
      </c>
      <c r="G1119" s="81" t="s">
        <v>44</v>
      </c>
      <c r="H1119" s="81" t="s">
        <v>4197</v>
      </c>
      <c r="I1119" s="81" t="s">
        <v>731</v>
      </c>
      <c r="J1119" s="81" t="s">
        <v>4088</v>
      </c>
      <c r="K1119" s="81" t="str">
        <f>IFERROR(__xludf.DUMMYFUNCTION("IF(OR(D1119="""",G1119=""""),"""",IFERROR(LET(
campo,XLOOKUP(TRIM(G1119),ARRAYFORMULA(TRIM('indice columnas'!$A$2:$A$100)),'indice columnas'!$B$2:$B$100,""""),
col,IFERROR(MATCH(campo,Referencia!$A$1:$AZ$1,0),0),
fila,IFERROR(MATCH(TO_TEXT(D1119),ARRAYFOR"&amp;"MULA(TO_TEXT(Referencia!$A$2:$A6238)),0),0),
IF(OR(campo="""",campo=""-""),""NO APLICA"",
IF(col=0,""REVISAR EQUIVALENCIA"",
IF(fila=0,""SKU NO ENCONTRADO"",
LET(
valor,INDEX(Referencia!$A$2:$AZ6238,fila,col),
IF(TRIM(TO_TEXT(valor))=TRIM(TO_TEXT(I1119)),"&amp;"
""OK"",
""NO COINCIDE. Valor verdadero: ""&amp;IF(valor="""",""[VACÍO]"",TO_TEXT(valor))
)
))))
),""ERROR EN FÓRMULA""))"),"NO APLICA")</f>
        <v>NO APLICA</v>
      </c>
    </row>
    <row r="1120">
      <c r="A1120" s="83" t="s">
        <v>4618</v>
      </c>
      <c r="B1120" s="83" t="s">
        <v>4619</v>
      </c>
      <c r="C1120" s="81" t="s">
        <v>4621</v>
      </c>
      <c r="D1120" s="83" t="s">
        <v>4196</v>
      </c>
      <c r="E1120" s="81" t="s">
        <v>741</v>
      </c>
      <c r="F1120" s="84">
        <v>123.0</v>
      </c>
      <c r="G1120" s="81" t="s">
        <v>12</v>
      </c>
      <c r="H1120" s="81" t="s">
        <v>224</v>
      </c>
      <c r="I1120" s="81" t="s">
        <v>55</v>
      </c>
      <c r="J1120" s="81" t="s">
        <v>224</v>
      </c>
      <c r="K1120" s="81" t="str">
        <f>IFERROR(__xludf.DUMMYFUNCTION("IF(OR(D1120="""",G1120=""""),"""",IFERROR(LET(
campo,XLOOKUP(TRIM(G1120),ARRAYFORMULA(TRIM('indice columnas'!$A$2:$A$100)),'indice columnas'!$B$2:$B$100,""""),
col,IFERROR(MATCH(campo,Referencia!$A$1:$AZ$1,0),0),
fila,IFERROR(MATCH(TO_TEXT(D1120),ARRAYFOR"&amp;"MULA(TO_TEXT(Referencia!$A$2:$A6238)),0),0),
IF(OR(campo="""",campo=""-""),""NO APLICA"",
IF(col=0,""REVISAR EQUIVALENCIA"",
IF(fila=0,""SKU NO ENCONTRADO"",
LET(
valor,INDEX(Referencia!$A$2:$AZ6238,fila,col),
IF(TRIM(TO_TEXT(valor))=TRIM(TO_TEXT(I1120)),"&amp;"
""OK"",
""NO COINCIDE. Valor verdadero: ""&amp;IF(valor="""",""[VACÍO]"",TO_TEXT(valor))
)
))))
),""ERROR EN FÓRMULA""))"),"OK")</f>
        <v>OK</v>
      </c>
    </row>
    <row r="1121">
      <c r="A1121" s="83" t="s">
        <v>4618</v>
      </c>
      <c r="B1121" s="83" t="s">
        <v>4619</v>
      </c>
      <c r="C1121" s="81" t="s">
        <v>4621</v>
      </c>
      <c r="D1121" s="83" t="s">
        <v>4196</v>
      </c>
      <c r="E1121" s="81" t="s">
        <v>741</v>
      </c>
      <c r="F1121" s="84">
        <v>123.0</v>
      </c>
      <c r="G1121" s="81" t="s">
        <v>44</v>
      </c>
      <c r="H1121" s="81" t="s">
        <v>4197</v>
      </c>
      <c r="I1121" s="81" t="s">
        <v>731</v>
      </c>
      <c r="J1121" s="81" t="s">
        <v>4088</v>
      </c>
      <c r="K1121" s="81" t="str">
        <f>IFERROR(__xludf.DUMMYFUNCTION("IF(OR(D1121="""",G1121=""""),"""",IFERROR(LET(
campo,XLOOKUP(TRIM(G1121),ARRAYFORMULA(TRIM('indice columnas'!$A$2:$A$100)),'indice columnas'!$B$2:$B$100,""""),
col,IFERROR(MATCH(campo,Referencia!$A$1:$AZ$1,0),0),
fila,IFERROR(MATCH(TO_TEXT(D1121),ARRAYFOR"&amp;"MULA(TO_TEXT(Referencia!$A$2:$A6238)),0),0),
IF(OR(campo="""",campo=""-""),""NO APLICA"",
IF(col=0,""REVISAR EQUIVALENCIA"",
IF(fila=0,""SKU NO ENCONTRADO"",
LET(
valor,INDEX(Referencia!$A$2:$AZ6238,fila,col),
IF(TRIM(TO_TEXT(valor))=TRIM(TO_TEXT(I1121)),"&amp;"
""OK"",
""NO COINCIDE. Valor verdadero: ""&amp;IF(valor="""",""[VACÍO]"",TO_TEXT(valor))
)
))))
),""ERROR EN FÓRMULA""))"),"NO APLICA")</f>
        <v>NO APLICA</v>
      </c>
    </row>
    <row r="1122">
      <c r="A1122" s="83" t="s">
        <v>4618</v>
      </c>
      <c r="B1122" s="83" t="s">
        <v>4619</v>
      </c>
      <c r="C1122" s="81" t="s">
        <v>4621</v>
      </c>
      <c r="D1122" s="83" t="s">
        <v>4198</v>
      </c>
      <c r="E1122" s="81" t="s">
        <v>742</v>
      </c>
      <c r="F1122" s="84">
        <v>124.0</v>
      </c>
      <c r="G1122" s="81" t="s">
        <v>12</v>
      </c>
      <c r="H1122" s="81" t="s">
        <v>224</v>
      </c>
      <c r="I1122" s="81" t="s">
        <v>55</v>
      </c>
      <c r="J1122" s="81" t="s">
        <v>224</v>
      </c>
      <c r="K1122" s="81" t="str">
        <f>IFERROR(__xludf.DUMMYFUNCTION("IF(OR(D1122="""",G1122=""""),"""",IFERROR(LET(
campo,XLOOKUP(TRIM(G1122),ARRAYFORMULA(TRIM('indice columnas'!$A$2:$A$100)),'indice columnas'!$B$2:$B$100,""""),
col,IFERROR(MATCH(campo,Referencia!$A$1:$AZ$1,0),0),
fila,IFERROR(MATCH(TO_TEXT(D1122),ARRAYFOR"&amp;"MULA(TO_TEXT(Referencia!$A$2:$A6238)),0),0),
IF(OR(campo="""",campo=""-""),""NO APLICA"",
IF(col=0,""REVISAR EQUIVALENCIA"",
IF(fila=0,""SKU NO ENCONTRADO"",
LET(
valor,INDEX(Referencia!$A$2:$AZ6238,fila,col),
IF(TRIM(TO_TEXT(valor))=TRIM(TO_TEXT(I1122)),"&amp;"
""OK"",
""NO COINCIDE. Valor verdadero: ""&amp;IF(valor="""",""[VACÍO]"",TO_TEXT(valor))
)
))))
),""ERROR EN FÓRMULA""))"),"OK")</f>
        <v>OK</v>
      </c>
    </row>
    <row r="1123">
      <c r="A1123" s="83" t="s">
        <v>4618</v>
      </c>
      <c r="B1123" s="83" t="s">
        <v>4619</v>
      </c>
      <c r="C1123" s="81" t="s">
        <v>4621</v>
      </c>
      <c r="D1123" s="83" t="s">
        <v>4198</v>
      </c>
      <c r="E1123" s="81" t="s">
        <v>742</v>
      </c>
      <c r="F1123" s="84">
        <v>124.0</v>
      </c>
      <c r="G1123" s="81" t="s">
        <v>44</v>
      </c>
      <c r="H1123" s="81" t="s">
        <v>4197</v>
      </c>
      <c r="I1123" s="81" t="s">
        <v>731</v>
      </c>
      <c r="J1123" s="81" t="s">
        <v>4088</v>
      </c>
      <c r="K1123" s="81" t="str">
        <f>IFERROR(__xludf.DUMMYFUNCTION("IF(OR(D1123="""",G1123=""""),"""",IFERROR(LET(
campo,XLOOKUP(TRIM(G1123),ARRAYFORMULA(TRIM('indice columnas'!$A$2:$A$100)),'indice columnas'!$B$2:$B$100,""""),
col,IFERROR(MATCH(campo,Referencia!$A$1:$AZ$1,0),0),
fila,IFERROR(MATCH(TO_TEXT(D1123),ARRAYFOR"&amp;"MULA(TO_TEXT(Referencia!$A$2:$A6238)),0),0),
IF(OR(campo="""",campo=""-""),""NO APLICA"",
IF(col=0,""REVISAR EQUIVALENCIA"",
IF(fila=0,""SKU NO ENCONTRADO"",
LET(
valor,INDEX(Referencia!$A$2:$AZ6238,fila,col),
IF(TRIM(TO_TEXT(valor))=TRIM(TO_TEXT(I1123)),"&amp;"
""OK"",
""NO COINCIDE. Valor verdadero: ""&amp;IF(valor="""",""[VACÍO]"",TO_TEXT(valor))
)
))))
),""ERROR EN FÓRMULA""))"),"NO APLICA")</f>
        <v>NO APLICA</v>
      </c>
    </row>
    <row r="1124">
      <c r="A1124" s="83" t="s">
        <v>4618</v>
      </c>
      <c r="B1124" s="83" t="s">
        <v>4619</v>
      </c>
      <c r="C1124" s="81" t="s">
        <v>4621</v>
      </c>
      <c r="D1124" s="83" t="s">
        <v>4199</v>
      </c>
      <c r="E1124" s="81" t="s">
        <v>745</v>
      </c>
      <c r="F1124" s="84">
        <v>125.0</v>
      </c>
      <c r="G1124" s="81" t="s">
        <v>44</v>
      </c>
      <c r="H1124" s="81" t="s">
        <v>4200</v>
      </c>
      <c r="I1124" s="81" t="s">
        <v>745</v>
      </c>
      <c r="J1124" s="81" t="s">
        <v>4088</v>
      </c>
      <c r="K1124" s="81" t="str">
        <f>IFERROR(__xludf.DUMMYFUNCTION("IF(OR(D1124="""",G1124=""""),"""",IFERROR(LET(
campo,XLOOKUP(TRIM(G1124),ARRAYFORMULA(TRIM('indice columnas'!$A$2:$A$100)),'indice columnas'!$B$2:$B$100,""""),
col,IFERROR(MATCH(campo,Referencia!$A$1:$AZ$1,0),0),
fila,IFERROR(MATCH(TO_TEXT(D1124),ARRAYFOR"&amp;"MULA(TO_TEXT(Referencia!$A$2:$A6238)),0),0),
IF(OR(campo="""",campo=""-""),""NO APLICA"",
IF(col=0,""REVISAR EQUIVALENCIA"",
IF(fila=0,""SKU NO ENCONTRADO"",
LET(
valor,INDEX(Referencia!$A$2:$AZ6238,fila,col),
IF(TRIM(TO_TEXT(valor))=TRIM(TO_TEXT(I1124)),"&amp;"
""OK"",
""NO COINCIDE. Valor verdadero: ""&amp;IF(valor="""",""[VACÍO]"",TO_TEXT(valor))
)
))))
),""ERROR EN FÓRMULA""))"),"NO APLICA")</f>
        <v>NO APLICA</v>
      </c>
    </row>
    <row r="1125">
      <c r="A1125" s="83" t="s">
        <v>4618</v>
      </c>
      <c r="B1125" s="83" t="s">
        <v>4619</v>
      </c>
      <c r="C1125" s="81" t="s">
        <v>4621</v>
      </c>
      <c r="D1125" s="83" t="s">
        <v>4199</v>
      </c>
      <c r="E1125" s="81" t="s">
        <v>753</v>
      </c>
      <c r="F1125" s="84">
        <v>126.0</v>
      </c>
      <c r="G1125" s="81" t="s">
        <v>12</v>
      </c>
      <c r="H1125" s="81" t="s">
        <v>224</v>
      </c>
      <c r="I1125" s="81" t="s">
        <v>55</v>
      </c>
      <c r="J1125" s="81" t="s">
        <v>224</v>
      </c>
      <c r="K1125" s="81" t="str">
        <f>IFERROR(__xludf.DUMMYFUNCTION("IF(OR(D1125="""",G1125=""""),"""",IFERROR(LET(
campo,XLOOKUP(TRIM(G1125),ARRAYFORMULA(TRIM('indice columnas'!$A$2:$A$100)),'indice columnas'!$B$2:$B$100,""""),
col,IFERROR(MATCH(campo,Referencia!$A$1:$AZ$1,0),0),
fila,IFERROR(MATCH(TO_TEXT(D1125),ARRAYFOR"&amp;"MULA(TO_TEXT(Referencia!$A$2:$A6238)),0),0),
IF(OR(campo="""",campo=""-""),""NO APLICA"",
IF(col=0,""REVISAR EQUIVALENCIA"",
IF(fila=0,""SKU NO ENCONTRADO"",
LET(
valor,INDEX(Referencia!$A$2:$AZ6238,fila,col),
IF(TRIM(TO_TEXT(valor))=TRIM(TO_TEXT(I1125)),"&amp;"
""OK"",
""NO COINCIDE. Valor verdadero: ""&amp;IF(valor="""",""[VACÍO]"",TO_TEXT(valor))
)
))))
),""ERROR EN FÓRMULA""))"),"OK")</f>
        <v>OK</v>
      </c>
    </row>
    <row r="1126">
      <c r="A1126" s="83" t="s">
        <v>4618</v>
      </c>
      <c r="B1126" s="83" t="s">
        <v>4619</v>
      </c>
      <c r="C1126" s="81" t="s">
        <v>4621</v>
      </c>
      <c r="D1126" s="83" t="s">
        <v>4199</v>
      </c>
      <c r="E1126" s="81" t="s">
        <v>753</v>
      </c>
      <c r="F1126" s="84">
        <v>126.0</v>
      </c>
      <c r="G1126" s="81" t="s">
        <v>44</v>
      </c>
      <c r="H1126" s="81" t="s">
        <v>4200</v>
      </c>
      <c r="I1126" s="81" t="s">
        <v>745</v>
      </c>
      <c r="J1126" s="81" t="s">
        <v>4088</v>
      </c>
      <c r="K1126" s="81" t="str">
        <f>IFERROR(__xludf.DUMMYFUNCTION("IF(OR(D1126="""",G1126=""""),"""",IFERROR(LET(
campo,XLOOKUP(TRIM(G1126),ARRAYFORMULA(TRIM('indice columnas'!$A$2:$A$100)),'indice columnas'!$B$2:$B$100,""""),
col,IFERROR(MATCH(campo,Referencia!$A$1:$AZ$1,0),0),
fila,IFERROR(MATCH(TO_TEXT(D1126),ARRAYFOR"&amp;"MULA(TO_TEXT(Referencia!$A$2:$A6238)),0),0),
IF(OR(campo="""",campo=""-""),""NO APLICA"",
IF(col=0,""REVISAR EQUIVALENCIA"",
IF(fila=0,""SKU NO ENCONTRADO"",
LET(
valor,INDEX(Referencia!$A$2:$AZ6238,fila,col),
IF(TRIM(TO_TEXT(valor))=TRIM(TO_TEXT(I1126)),"&amp;"
""OK"",
""NO COINCIDE. Valor verdadero: ""&amp;IF(valor="""",""[VACÍO]"",TO_TEXT(valor))
)
))))
),""ERROR EN FÓRMULA""))"),"NO APLICA")</f>
        <v>NO APLICA</v>
      </c>
    </row>
    <row r="1127">
      <c r="A1127" s="83" t="s">
        <v>4618</v>
      </c>
      <c r="B1127" s="83" t="s">
        <v>4619</v>
      </c>
      <c r="C1127" s="81" t="s">
        <v>4621</v>
      </c>
      <c r="D1127" s="83" t="s">
        <v>4201</v>
      </c>
      <c r="E1127" s="81" t="s">
        <v>754</v>
      </c>
      <c r="F1127" s="84">
        <v>127.0</v>
      </c>
      <c r="G1127" s="81" t="s">
        <v>12</v>
      </c>
      <c r="H1127" s="81" t="s">
        <v>224</v>
      </c>
      <c r="I1127" s="81" t="s">
        <v>55</v>
      </c>
      <c r="J1127" s="81" t="s">
        <v>224</v>
      </c>
      <c r="K1127" s="81" t="str">
        <f>IFERROR(__xludf.DUMMYFUNCTION("IF(OR(D1127="""",G1127=""""),"""",IFERROR(LET(
campo,XLOOKUP(TRIM(G1127),ARRAYFORMULA(TRIM('indice columnas'!$A$2:$A$100)),'indice columnas'!$B$2:$B$100,""""),
col,IFERROR(MATCH(campo,Referencia!$A$1:$AZ$1,0),0),
fila,IFERROR(MATCH(TO_TEXT(D1127),ARRAYFOR"&amp;"MULA(TO_TEXT(Referencia!$A$2:$A6238)),0),0),
IF(OR(campo="""",campo=""-""),""NO APLICA"",
IF(col=0,""REVISAR EQUIVALENCIA"",
IF(fila=0,""SKU NO ENCONTRADO"",
LET(
valor,INDEX(Referencia!$A$2:$AZ6238,fila,col),
IF(TRIM(TO_TEXT(valor))=TRIM(TO_TEXT(I1127)),"&amp;"
""OK"",
""NO COINCIDE. Valor verdadero: ""&amp;IF(valor="""",""[VACÍO]"",TO_TEXT(valor))
)
))))
),""ERROR EN FÓRMULA""))"),"OK")</f>
        <v>OK</v>
      </c>
    </row>
    <row r="1128">
      <c r="A1128" s="83" t="s">
        <v>4618</v>
      </c>
      <c r="B1128" s="83" t="s">
        <v>4619</v>
      </c>
      <c r="C1128" s="81" t="s">
        <v>4621</v>
      </c>
      <c r="D1128" s="83" t="s">
        <v>4201</v>
      </c>
      <c r="E1128" s="81" t="s">
        <v>754</v>
      </c>
      <c r="F1128" s="84">
        <v>127.0</v>
      </c>
      <c r="G1128" s="81" t="s">
        <v>44</v>
      </c>
      <c r="H1128" s="81" t="s">
        <v>4200</v>
      </c>
      <c r="I1128" s="81" t="s">
        <v>745</v>
      </c>
      <c r="J1128" s="81" t="s">
        <v>4088</v>
      </c>
      <c r="K1128" s="81" t="str">
        <f>IFERROR(__xludf.DUMMYFUNCTION("IF(OR(D1128="""",G1128=""""),"""",IFERROR(LET(
campo,XLOOKUP(TRIM(G1128),ARRAYFORMULA(TRIM('indice columnas'!$A$2:$A$100)),'indice columnas'!$B$2:$B$100,""""),
col,IFERROR(MATCH(campo,Referencia!$A$1:$AZ$1,0),0),
fila,IFERROR(MATCH(TO_TEXT(D1128),ARRAYFOR"&amp;"MULA(TO_TEXT(Referencia!$A$2:$A6238)),0),0),
IF(OR(campo="""",campo=""-""),""NO APLICA"",
IF(col=0,""REVISAR EQUIVALENCIA"",
IF(fila=0,""SKU NO ENCONTRADO"",
LET(
valor,INDEX(Referencia!$A$2:$AZ6238,fila,col),
IF(TRIM(TO_TEXT(valor))=TRIM(TO_TEXT(I1128)),"&amp;"
""OK"",
""NO COINCIDE. Valor verdadero: ""&amp;IF(valor="""",""[VACÍO]"",TO_TEXT(valor))
)
))))
),""ERROR EN FÓRMULA""))"),"NO APLICA")</f>
        <v>NO APLICA</v>
      </c>
    </row>
    <row r="1129">
      <c r="A1129" s="83" t="s">
        <v>4618</v>
      </c>
      <c r="B1129" s="83" t="s">
        <v>4619</v>
      </c>
      <c r="C1129" s="81" t="s">
        <v>4621</v>
      </c>
      <c r="D1129" s="83" t="s">
        <v>4202</v>
      </c>
      <c r="E1129" s="81" t="s">
        <v>756</v>
      </c>
      <c r="F1129" s="84">
        <v>128.0</v>
      </c>
      <c r="G1129" s="81" t="s">
        <v>44</v>
      </c>
      <c r="H1129" s="81" t="s">
        <v>4203</v>
      </c>
      <c r="I1129" s="81" t="s">
        <v>756</v>
      </c>
      <c r="J1129" s="81" t="s">
        <v>4088</v>
      </c>
      <c r="K1129" s="81" t="str">
        <f>IFERROR(__xludf.DUMMYFUNCTION("IF(OR(D1129="""",G1129=""""),"""",IFERROR(LET(
campo,XLOOKUP(TRIM(G1129),ARRAYFORMULA(TRIM('indice columnas'!$A$2:$A$100)),'indice columnas'!$B$2:$B$100,""""),
col,IFERROR(MATCH(campo,Referencia!$A$1:$AZ$1,0),0),
fila,IFERROR(MATCH(TO_TEXT(D1129),ARRAYFOR"&amp;"MULA(TO_TEXT(Referencia!$A$2:$A6238)),0),0),
IF(OR(campo="""",campo=""-""),""NO APLICA"",
IF(col=0,""REVISAR EQUIVALENCIA"",
IF(fila=0,""SKU NO ENCONTRADO"",
LET(
valor,INDEX(Referencia!$A$2:$AZ6238,fila,col),
IF(TRIM(TO_TEXT(valor))=TRIM(TO_TEXT(I1129)),"&amp;"
""OK"",
""NO COINCIDE. Valor verdadero: ""&amp;IF(valor="""",""[VACÍO]"",TO_TEXT(valor))
)
))))
),""ERROR EN FÓRMULA""))"),"NO APLICA")</f>
        <v>NO APLICA</v>
      </c>
    </row>
    <row r="1130">
      <c r="A1130" s="83" t="s">
        <v>4618</v>
      </c>
      <c r="B1130" s="83" t="s">
        <v>4619</v>
      </c>
      <c r="C1130" s="81" t="s">
        <v>4621</v>
      </c>
      <c r="D1130" s="83" t="s">
        <v>4202</v>
      </c>
      <c r="E1130" s="81" t="s">
        <v>766</v>
      </c>
      <c r="F1130" s="84">
        <v>129.0</v>
      </c>
      <c r="G1130" s="81" t="s">
        <v>12</v>
      </c>
      <c r="H1130" s="81" t="s">
        <v>224</v>
      </c>
      <c r="I1130" s="81" t="s">
        <v>55</v>
      </c>
      <c r="J1130" s="81" t="s">
        <v>224</v>
      </c>
      <c r="K1130" s="81" t="str">
        <f>IFERROR(__xludf.DUMMYFUNCTION("IF(OR(D1130="""",G1130=""""),"""",IFERROR(LET(
campo,XLOOKUP(TRIM(G1130),ARRAYFORMULA(TRIM('indice columnas'!$A$2:$A$100)),'indice columnas'!$B$2:$B$100,""""),
col,IFERROR(MATCH(campo,Referencia!$A$1:$AZ$1,0),0),
fila,IFERROR(MATCH(TO_TEXT(D1130),ARRAYFOR"&amp;"MULA(TO_TEXT(Referencia!$A$2:$A6238)),0),0),
IF(OR(campo="""",campo=""-""),""NO APLICA"",
IF(col=0,""REVISAR EQUIVALENCIA"",
IF(fila=0,""SKU NO ENCONTRADO"",
LET(
valor,INDEX(Referencia!$A$2:$AZ6238,fila,col),
IF(TRIM(TO_TEXT(valor))=TRIM(TO_TEXT(I1130)),"&amp;"
""OK"",
""NO COINCIDE. Valor verdadero: ""&amp;IF(valor="""",""[VACÍO]"",TO_TEXT(valor))
)
))))
),""ERROR EN FÓRMULA""))"),"OK")</f>
        <v>OK</v>
      </c>
    </row>
    <row r="1131">
      <c r="A1131" s="83" t="s">
        <v>4618</v>
      </c>
      <c r="B1131" s="83" t="s">
        <v>4619</v>
      </c>
      <c r="C1131" s="81" t="s">
        <v>4621</v>
      </c>
      <c r="D1131" s="83" t="s">
        <v>4202</v>
      </c>
      <c r="E1131" s="81" t="s">
        <v>766</v>
      </c>
      <c r="F1131" s="84">
        <v>129.0</v>
      </c>
      <c r="G1131" s="81" t="s">
        <v>44</v>
      </c>
      <c r="H1131" s="81" t="s">
        <v>4203</v>
      </c>
      <c r="I1131" s="81" t="s">
        <v>756</v>
      </c>
      <c r="J1131" s="81" t="s">
        <v>4088</v>
      </c>
      <c r="K1131" s="81" t="str">
        <f>IFERROR(__xludf.DUMMYFUNCTION("IF(OR(D1131="""",G1131=""""),"""",IFERROR(LET(
campo,XLOOKUP(TRIM(G1131),ARRAYFORMULA(TRIM('indice columnas'!$A$2:$A$100)),'indice columnas'!$B$2:$B$100,""""),
col,IFERROR(MATCH(campo,Referencia!$A$1:$AZ$1,0),0),
fila,IFERROR(MATCH(TO_TEXT(D1131),ARRAYFOR"&amp;"MULA(TO_TEXT(Referencia!$A$2:$A6238)),0),0),
IF(OR(campo="""",campo=""-""),""NO APLICA"",
IF(col=0,""REVISAR EQUIVALENCIA"",
IF(fila=0,""SKU NO ENCONTRADO"",
LET(
valor,INDEX(Referencia!$A$2:$AZ6238,fila,col),
IF(TRIM(TO_TEXT(valor))=TRIM(TO_TEXT(I1131)),"&amp;"
""OK"",
""NO COINCIDE. Valor verdadero: ""&amp;IF(valor="""",""[VACÍO]"",TO_TEXT(valor))
)
))))
),""ERROR EN FÓRMULA""))"),"NO APLICA")</f>
        <v>NO APLICA</v>
      </c>
    </row>
    <row r="1132">
      <c r="A1132" s="83" t="s">
        <v>4618</v>
      </c>
      <c r="B1132" s="83" t="s">
        <v>4619</v>
      </c>
      <c r="C1132" s="81" t="s">
        <v>4621</v>
      </c>
      <c r="D1132" s="83" t="s">
        <v>4204</v>
      </c>
      <c r="E1132" s="81" t="s">
        <v>767</v>
      </c>
      <c r="F1132" s="84">
        <v>130.0</v>
      </c>
      <c r="G1132" s="81" t="s">
        <v>12</v>
      </c>
      <c r="H1132" s="81" t="s">
        <v>224</v>
      </c>
      <c r="I1132" s="81" t="s">
        <v>55</v>
      </c>
      <c r="J1132" s="81" t="s">
        <v>224</v>
      </c>
      <c r="K1132" s="81" t="str">
        <f>IFERROR(__xludf.DUMMYFUNCTION("IF(OR(D1132="""",G1132=""""),"""",IFERROR(LET(
campo,XLOOKUP(TRIM(G1132),ARRAYFORMULA(TRIM('indice columnas'!$A$2:$A$100)),'indice columnas'!$B$2:$B$100,""""),
col,IFERROR(MATCH(campo,Referencia!$A$1:$AZ$1,0),0),
fila,IFERROR(MATCH(TO_TEXT(D1132),ARRAYFOR"&amp;"MULA(TO_TEXT(Referencia!$A$2:$A6238)),0),0),
IF(OR(campo="""",campo=""-""),""NO APLICA"",
IF(col=0,""REVISAR EQUIVALENCIA"",
IF(fila=0,""SKU NO ENCONTRADO"",
LET(
valor,INDEX(Referencia!$A$2:$AZ6238,fila,col),
IF(TRIM(TO_TEXT(valor))=TRIM(TO_TEXT(I1132)),"&amp;"
""OK"",
""NO COINCIDE. Valor verdadero: ""&amp;IF(valor="""",""[VACÍO]"",TO_TEXT(valor))
)
))))
),""ERROR EN FÓRMULA""))"),"OK")</f>
        <v>OK</v>
      </c>
    </row>
    <row r="1133">
      <c r="A1133" s="83" t="s">
        <v>4618</v>
      </c>
      <c r="B1133" s="83" t="s">
        <v>4619</v>
      </c>
      <c r="C1133" s="81" t="s">
        <v>4621</v>
      </c>
      <c r="D1133" s="83" t="s">
        <v>4204</v>
      </c>
      <c r="E1133" s="81" t="s">
        <v>767</v>
      </c>
      <c r="F1133" s="84">
        <v>130.0</v>
      </c>
      <c r="G1133" s="81" t="s">
        <v>44</v>
      </c>
      <c r="H1133" s="81" t="s">
        <v>4203</v>
      </c>
      <c r="I1133" s="81" t="s">
        <v>756</v>
      </c>
      <c r="J1133" s="81" t="s">
        <v>4088</v>
      </c>
      <c r="K1133" s="81" t="str">
        <f>IFERROR(__xludf.DUMMYFUNCTION("IF(OR(D1133="""",G1133=""""),"""",IFERROR(LET(
campo,XLOOKUP(TRIM(G1133),ARRAYFORMULA(TRIM('indice columnas'!$A$2:$A$100)),'indice columnas'!$B$2:$B$100,""""),
col,IFERROR(MATCH(campo,Referencia!$A$1:$AZ$1,0),0),
fila,IFERROR(MATCH(TO_TEXT(D1133),ARRAYFOR"&amp;"MULA(TO_TEXT(Referencia!$A$2:$A6238)),0),0),
IF(OR(campo="""",campo=""-""),""NO APLICA"",
IF(col=0,""REVISAR EQUIVALENCIA"",
IF(fila=0,""SKU NO ENCONTRADO"",
LET(
valor,INDEX(Referencia!$A$2:$AZ6238,fila,col),
IF(TRIM(TO_TEXT(valor))=TRIM(TO_TEXT(I1133)),"&amp;"
""OK"",
""NO COINCIDE. Valor verdadero: ""&amp;IF(valor="""",""[VACÍO]"",TO_TEXT(valor))
)
))))
),""ERROR EN FÓRMULA""))"),"NO APLICA")</f>
        <v>NO APLICA</v>
      </c>
    </row>
    <row r="1134">
      <c r="A1134" s="83" t="s">
        <v>4618</v>
      </c>
      <c r="B1134" s="83" t="s">
        <v>4619</v>
      </c>
      <c r="C1134" s="81" t="s">
        <v>4621</v>
      </c>
      <c r="D1134" s="83" t="s">
        <v>4205</v>
      </c>
      <c r="E1134" s="81" t="s">
        <v>770</v>
      </c>
      <c r="F1134" s="84">
        <v>131.0</v>
      </c>
      <c r="G1134" s="81" t="s">
        <v>12</v>
      </c>
      <c r="H1134" s="81" t="s">
        <v>224</v>
      </c>
      <c r="I1134" s="81" t="s">
        <v>55</v>
      </c>
      <c r="J1134" s="81" t="s">
        <v>224</v>
      </c>
      <c r="K1134" s="81" t="str">
        <f>IFERROR(__xludf.DUMMYFUNCTION("IF(OR(D1134="""",G1134=""""),"""",IFERROR(LET(
campo,XLOOKUP(TRIM(G1134),ARRAYFORMULA(TRIM('indice columnas'!$A$2:$A$100)),'indice columnas'!$B$2:$B$100,""""),
col,IFERROR(MATCH(campo,Referencia!$A$1:$AZ$1,0),0),
fila,IFERROR(MATCH(TO_TEXT(D1134),ARRAYFOR"&amp;"MULA(TO_TEXT(Referencia!$A$2:$A6238)),0),0),
IF(OR(campo="""",campo=""-""),""NO APLICA"",
IF(col=0,""REVISAR EQUIVALENCIA"",
IF(fila=0,""SKU NO ENCONTRADO"",
LET(
valor,INDEX(Referencia!$A$2:$AZ6238,fila,col),
IF(TRIM(TO_TEXT(valor))=TRIM(TO_TEXT(I1134)),"&amp;"
""OK"",
""NO COINCIDE. Valor verdadero: ""&amp;IF(valor="""",""[VACÍO]"",TO_TEXT(valor))
)
))))
),""ERROR EN FÓRMULA""))"),"OK")</f>
        <v>OK</v>
      </c>
    </row>
    <row r="1135">
      <c r="A1135" s="83" t="s">
        <v>4618</v>
      </c>
      <c r="B1135" s="83" t="s">
        <v>4619</v>
      </c>
      <c r="C1135" s="81" t="s">
        <v>4621</v>
      </c>
      <c r="D1135" s="83" t="s">
        <v>4205</v>
      </c>
      <c r="E1135" s="81" t="s">
        <v>770</v>
      </c>
      <c r="F1135" s="84">
        <v>131.0</v>
      </c>
      <c r="G1135" s="81" t="s">
        <v>44</v>
      </c>
      <c r="H1135" s="81" t="s">
        <v>4194</v>
      </c>
      <c r="I1135" s="81" t="s">
        <v>716</v>
      </c>
      <c r="J1135" s="81" t="s">
        <v>4088</v>
      </c>
      <c r="K1135" s="81" t="str">
        <f>IFERROR(__xludf.DUMMYFUNCTION("IF(OR(D1135="""",G1135=""""),"""",IFERROR(LET(
campo,XLOOKUP(TRIM(G1135),ARRAYFORMULA(TRIM('indice columnas'!$A$2:$A$100)),'indice columnas'!$B$2:$B$100,""""),
col,IFERROR(MATCH(campo,Referencia!$A$1:$AZ$1,0),0),
fila,IFERROR(MATCH(TO_TEXT(D1135),ARRAYFOR"&amp;"MULA(TO_TEXT(Referencia!$A$2:$A6238)),0),0),
IF(OR(campo="""",campo=""-""),""NO APLICA"",
IF(col=0,""REVISAR EQUIVALENCIA"",
IF(fila=0,""SKU NO ENCONTRADO"",
LET(
valor,INDEX(Referencia!$A$2:$AZ6238,fila,col),
IF(TRIM(TO_TEXT(valor))=TRIM(TO_TEXT(I1135)),"&amp;"
""OK"",
""NO COINCIDE. Valor verdadero: ""&amp;IF(valor="""",""[VACÍO]"",TO_TEXT(valor))
)
))))
),""ERROR EN FÓRMULA""))"),"NO APLICA")</f>
        <v>NO APLICA</v>
      </c>
    </row>
    <row r="1136">
      <c r="A1136" s="83" t="s">
        <v>4618</v>
      </c>
      <c r="B1136" s="83" t="s">
        <v>4619</v>
      </c>
      <c r="C1136" s="81" t="s">
        <v>4621</v>
      </c>
      <c r="D1136" s="83" t="s">
        <v>4206</v>
      </c>
      <c r="E1136" s="81" t="s">
        <v>776</v>
      </c>
      <c r="F1136" s="84">
        <v>132.0</v>
      </c>
      <c r="G1136" s="81" t="s">
        <v>12</v>
      </c>
      <c r="H1136" s="81" t="s">
        <v>224</v>
      </c>
      <c r="I1136" s="81" t="s">
        <v>55</v>
      </c>
      <c r="J1136" s="81" t="s">
        <v>224</v>
      </c>
      <c r="K1136" s="81" t="str">
        <f>IFERROR(__xludf.DUMMYFUNCTION("IF(OR(D1136="""",G1136=""""),"""",IFERROR(LET(
campo,XLOOKUP(TRIM(G1136),ARRAYFORMULA(TRIM('indice columnas'!$A$2:$A$100)),'indice columnas'!$B$2:$B$100,""""),
col,IFERROR(MATCH(campo,Referencia!$A$1:$AZ$1,0),0),
fila,IFERROR(MATCH(TO_TEXT(D1136),ARRAYFOR"&amp;"MULA(TO_TEXT(Referencia!$A$2:$A6238)),0),0),
IF(OR(campo="""",campo=""-""),""NO APLICA"",
IF(col=0,""REVISAR EQUIVALENCIA"",
IF(fila=0,""SKU NO ENCONTRADO"",
LET(
valor,INDEX(Referencia!$A$2:$AZ6238,fila,col),
IF(TRIM(TO_TEXT(valor))=TRIM(TO_TEXT(I1136)),"&amp;"
""OK"",
""NO COINCIDE. Valor verdadero: ""&amp;IF(valor="""",""[VACÍO]"",TO_TEXT(valor))
)
))))
),""ERROR EN FÓRMULA""))"),"OK")</f>
        <v>OK</v>
      </c>
    </row>
    <row r="1137">
      <c r="A1137" s="83" t="s">
        <v>4618</v>
      </c>
      <c r="B1137" s="83" t="s">
        <v>4619</v>
      </c>
      <c r="C1137" s="81" t="s">
        <v>4621</v>
      </c>
      <c r="D1137" s="83" t="s">
        <v>4206</v>
      </c>
      <c r="E1137" s="81" t="s">
        <v>776</v>
      </c>
      <c r="F1137" s="84">
        <v>132.0</v>
      </c>
      <c r="G1137" s="81" t="s">
        <v>44</v>
      </c>
      <c r="H1137" s="81" t="s">
        <v>4194</v>
      </c>
      <c r="I1137" s="81" t="s">
        <v>716</v>
      </c>
      <c r="J1137" s="81" t="s">
        <v>4088</v>
      </c>
      <c r="K1137" s="81" t="str">
        <f>IFERROR(__xludf.DUMMYFUNCTION("IF(OR(D1137="""",G1137=""""),"""",IFERROR(LET(
campo,XLOOKUP(TRIM(G1137),ARRAYFORMULA(TRIM('indice columnas'!$A$2:$A$100)),'indice columnas'!$B$2:$B$100,""""),
col,IFERROR(MATCH(campo,Referencia!$A$1:$AZ$1,0),0),
fila,IFERROR(MATCH(TO_TEXT(D1137),ARRAYFOR"&amp;"MULA(TO_TEXT(Referencia!$A$2:$A6238)),0),0),
IF(OR(campo="""",campo=""-""),""NO APLICA"",
IF(col=0,""REVISAR EQUIVALENCIA"",
IF(fila=0,""SKU NO ENCONTRADO"",
LET(
valor,INDEX(Referencia!$A$2:$AZ6238,fila,col),
IF(TRIM(TO_TEXT(valor))=TRIM(TO_TEXT(I1137)),"&amp;"
""OK"",
""NO COINCIDE. Valor verdadero: ""&amp;IF(valor="""",""[VACÍO]"",TO_TEXT(valor))
)
))))
),""ERROR EN FÓRMULA""))"),"NO APLICA")</f>
        <v>NO APLICA</v>
      </c>
    </row>
    <row r="1138">
      <c r="A1138" s="83" t="s">
        <v>4618</v>
      </c>
      <c r="B1138" s="83" t="s">
        <v>4619</v>
      </c>
      <c r="C1138" s="81" t="s">
        <v>4621</v>
      </c>
      <c r="D1138" s="83" t="s">
        <v>4207</v>
      </c>
      <c r="E1138" s="81" t="s">
        <v>779</v>
      </c>
      <c r="F1138" s="84">
        <v>133.0</v>
      </c>
      <c r="G1138" s="81" t="s">
        <v>12</v>
      </c>
      <c r="H1138" s="81" t="s">
        <v>224</v>
      </c>
      <c r="I1138" s="81" t="s">
        <v>55</v>
      </c>
      <c r="J1138" s="81" t="s">
        <v>224</v>
      </c>
      <c r="K1138" s="81" t="str">
        <f>IFERROR(__xludf.DUMMYFUNCTION("IF(OR(D1138="""",G1138=""""),"""",IFERROR(LET(
campo,XLOOKUP(TRIM(G1138),ARRAYFORMULA(TRIM('indice columnas'!$A$2:$A$100)),'indice columnas'!$B$2:$B$100,""""),
col,IFERROR(MATCH(campo,Referencia!$A$1:$AZ$1,0),0),
fila,IFERROR(MATCH(TO_TEXT(D1138),ARRAYFOR"&amp;"MULA(TO_TEXT(Referencia!$A$2:$A6238)),0),0),
IF(OR(campo="""",campo=""-""),""NO APLICA"",
IF(col=0,""REVISAR EQUIVALENCIA"",
IF(fila=0,""SKU NO ENCONTRADO"",
LET(
valor,INDEX(Referencia!$A$2:$AZ6238,fila,col),
IF(TRIM(TO_TEXT(valor))=TRIM(TO_TEXT(I1138)),"&amp;"
""OK"",
""NO COINCIDE. Valor verdadero: ""&amp;IF(valor="""",""[VACÍO]"",TO_TEXT(valor))
)
))))
),""ERROR EN FÓRMULA""))"),"OK")</f>
        <v>OK</v>
      </c>
    </row>
    <row r="1139">
      <c r="A1139" s="83" t="s">
        <v>4618</v>
      </c>
      <c r="B1139" s="83" t="s">
        <v>4619</v>
      </c>
      <c r="C1139" s="81" t="s">
        <v>4621</v>
      </c>
      <c r="D1139" s="83" t="s">
        <v>4207</v>
      </c>
      <c r="E1139" s="81" t="s">
        <v>779</v>
      </c>
      <c r="F1139" s="84">
        <v>133.0</v>
      </c>
      <c r="G1139" s="81" t="s">
        <v>44</v>
      </c>
      <c r="H1139" s="81" t="s">
        <v>4197</v>
      </c>
      <c r="I1139" s="81" t="s">
        <v>731</v>
      </c>
      <c r="J1139" s="81" t="s">
        <v>4088</v>
      </c>
      <c r="K1139" s="81" t="str">
        <f>IFERROR(__xludf.DUMMYFUNCTION("IF(OR(D1139="""",G1139=""""),"""",IFERROR(LET(
campo,XLOOKUP(TRIM(G1139),ARRAYFORMULA(TRIM('indice columnas'!$A$2:$A$100)),'indice columnas'!$B$2:$B$100,""""),
col,IFERROR(MATCH(campo,Referencia!$A$1:$AZ$1,0),0),
fila,IFERROR(MATCH(TO_TEXT(D1139),ARRAYFOR"&amp;"MULA(TO_TEXT(Referencia!$A$2:$A6238)),0),0),
IF(OR(campo="""",campo=""-""),""NO APLICA"",
IF(col=0,""REVISAR EQUIVALENCIA"",
IF(fila=0,""SKU NO ENCONTRADO"",
LET(
valor,INDEX(Referencia!$A$2:$AZ6238,fila,col),
IF(TRIM(TO_TEXT(valor))=TRIM(TO_TEXT(I1139)),"&amp;"
""OK"",
""NO COINCIDE. Valor verdadero: ""&amp;IF(valor="""",""[VACÍO]"",TO_TEXT(valor))
)
))))
),""ERROR EN FÓRMULA""))"),"NO APLICA")</f>
        <v>NO APLICA</v>
      </c>
    </row>
    <row r="1140">
      <c r="A1140" s="83" t="s">
        <v>4618</v>
      </c>
      <c r="B1140" s="83" t="s">
        <v>4619</v>
      </c>
      <c r="C1140" s="81" t="s">
        <v>4621</v>
      </c>
      <c r="D1140" s="83" t="s">
        <v>4208</v>
      </c>
      <c r="E1140" s="81" t="s">
        <v>786</v>
      </c>
      <c r="F1140" s="84">
        <v>134.0</v>
      </c>
      <c r="G1140" s="81" t="s">
        <v>12</v>
      </c>
      <c r="H1140" s="81" t="s">
        <v>224</v>
      </c>
      <c r="I1140" s="81" t="s">
        <v>55</v>
      </c>
      <c r="J1140" s="81" t="s">
        <v>224</v>
      </c>
      <c r="K1140" s="81" t="str">
        <f>IFERROR(__xludf.DUMMYFUNCTION("IF(OR(D1140="""",G1140=""""),"""",IFERROR(LET(
campo,XLOOKUP(TRIM(G1140),ARRAYFORMULA(TRIM('indice columnas'!$A$2:$A$100)),'indice columnas'!$B$2:$B$100,""""),
col,IFERROR(MATCH(campo,Referencia!$A$1:$AZ$1,0),0),
fila,IFERROR(MATCH(TO_TEXT(D1140),ARRAYFOR"&amp;"MULA(TO_TEXT(Referencia!$A$2:$A6238)),0),0),
IF(OR(campo="""",campo=""-""),""NO APLICA"",
IF(col=0,""REVISAR EQUIVALENCIA"",
IF(fila=0,""SKU NO ENCONTRADO"",
LET(
valor,INDEX(Referencia!$A$2:$AZ6238,fila,col),
IF(TRIM(TO_TEXT(valor))=TRIM(TO_TEXT(I1140)),"&amp;"
""OK"",
""NO COINCIDE. Valor verdadero: ""&amp;IF(valor="""",""[VACÍO]"",TO_TEXT(valor))
)
))))
),""ERROR EN FÓRMULA""))"),"OK")</f>
        <v>OK</v>
      </c>
    </row>
    <row r="1141">
      <c r="A1141" s="83" t="s">
        <v>4618</v>
      </c>
      <c r="B1141" s="83" t="s">
        <v>4619</v>
      </c>
      <c r="C1141" s="81" t="s">
        <v>4621</v>
      </c>
      <c r="D1141" s="83" t="s">
        <v>4208</v>
      </c>
      <c r="E1141" s="81" t="s">
        <v>786</v>
      </c>
      <c r="F1141" s="84">
        <v>134.0</v>
      </c>
      <c r="G1141" s="81" t="s">
        <v>44</v>
      </c>
      <c r="H1141" s="81" t="s">
        <v>4197</v>
      </c>
      <c r="I1141" s="81" t="s">
        <v>731</v>
      </c>
      <c r="J1141" s="81" t="s">
        <v>4088</v>
      </c>
      <c r="K1141" s="81" t="str">
        <f>IFERROR(__xludf.DUMMYFUNCTION("IF(OR(D1141="""",G1141=""""),"""",IFERROR(LET(
campo,XLOOKUP(TRIM(G1141),ARRAYFORMULA(TRIM('indice columnas'!$A$2:$A$100)),'indice columnas'!$B$2:$B$100,""""),
col,IFERROR(MATCH(campo,Referencia!$A$1:$AZ$1,0),0),
fila,IFERROR(MATCH(TO_TEXT(D1141),ARRAYFOR"&amp;"MULA(TO_TEXT(Referencia!$A$2:$A6238)),0),0),
IF(OR(campo="""",campo=""-""),""NO APLICA"",
IF(col=0,""REVISAR EQUIVALENCIA"",
IF(fila=0,""SKU NO ENCONTRADO"",
LET(
valor,INDEX(Referencia!$A$2:$AZ6238,fila,col),
IF(TRIM(TO_TEXT(valor))=TRIM(TO_TEXT(I1141)),"&amp;"
""OK"",
""NO COINCIDE. Valor verdadero: ""&amp;IF(valor="""",""[VACÍO]"",TO_TEXT(valor))
)
))))
),""ERROR EN FÓRMULA""))"),"NO APLICA")</f>
        <v>NO APLICA</v>
      </c>
    </row>
    <row r="1142">
      <c r="A1142" s="83" t="s">
        <v>4618</v>
      </c>
      <c r="B1142" s="83" t="s">
        <v>4619</v>
      </c>
      <c r="C1142" s="81" t="s">
        <v>4621</v>
      </c>
      <c r="D1142" s="83" t="s">
        <v>4209</v>
      </c>
      <c r="E1142" s="81" t="s">
        <v>788</v>
      </c>
      <c r="F1142" s="84">
        <v>135.0</v>
      </c>
      <c r="G1142" s="81" t="s">
        <v>12</v>
      </c>
      <c r="H1142" s="81" t="s">
        <v>224</v>
      </c>
      <c r="I1142" s="81" t="s">
        <v>55</v>
      </c>
      <c r="J1142" s="81" t="s">
        <v>224</v>
      </c>
      <c r="K1142" s="81" t="str">
        <f>IFERROR(__xludf.DUMMYFUNCTION("IF(OR(D1142="""",G1142=""""),"""",IFERROR(LET(
campo,XLOOKUP(TRIM(G1142),ARRAYFORMULA(TRIM('indice columnas'!$A$2:$A$100)),'indice columnas'!$B$2:$B$100,""""),
col,IFERROR(MATCH(campo,Referencia!$A$1:$AZ$1,0),0),
fila,IFERROR(MATCH(TO_TEXT(D1142),ARRAYFOR"&amp;"MULA(TO_TEXT(Referencia!$A$2:$A6238)),0),0),
IF(OR(campo="""",campo=""-""),""NO APLICA"",
IF(col=0,""REVISAR EQUIVALENCIA"",
IF(fila=0,""SKU NO ENCONTRADO"",
LET(
valor,INDEX(Referencia!$A$2:$AZ6238,fila,col),
IF(TRIM(TO_TEXT(valor))=TRIM(TO_TEXT(I1142)),"&amp;"
""OK"",
""NO COINCIDE. Valor verdadero: ""&amp;IF(valor="""",""[VACÍO]"",TO_TEXT(valor))
)
))))
),""ERROR EN FÓRMULA""))"),"OK")</f>
        <v>OK</v>
      </c>
    </row>
    <row r="1143">
      <c r="A1143" s="83" t="s">
        <v>4618</v>
      </c>
      <c r="B1143" s="83" t="s">
        <v>4619</v>
      </c>
      <c r="C1143" s="81" t="s">
        <v>4621</v>
      </c>
      <c r="D1143" s="83" t="s">
        <v>4209</v>
      </c>
      <c r="E1143" s="81" t="s">
        <v>788</v>
      </c>
      <c r="F1143" s="84">
        <v>135.0</v>
      </c>
      <c r="G1143" s="81" t="s">
        <v>44</v>
      </c>
      <c r="H1143" s="81" t="s">
        <v>4200</v>
      </c>
      <c r="I1143" s="81" t="s">
        <v>745</v>
      </c>
      <c r="J1143" s="81" t="s">
        <v>4088</v>
      </c>
      <c r="K1143" s="81" t="str">
        <f>IFERROR(__xludf.DUMMYFUNCTION("IF(OR(D1143="""",G1143=""""),"""",IFERROR(LET(
campo,XLOOKUP(TRIM(G1143),ARRAYFORMULA(TRIM('indice columnas'!$A$2:$A$100)),'indice columnas'!$B$2:$B$100,""""),
col,IFERROR(MATCH(campo,Referencia!$A$1:$AZ$1,0),0),
fila,IFERROR(MATCH(TO_TEXT(D1143),ARRAYFOR"&amp;"MULA(TO_TEXT(Referencia!$A$2:$A6238)),0),0),
IF(OR(campo="""",campo=""-""),""NO APLICA"",
IF(col=0,""REVISAR EQUIVALENCIA"",
IF(fila=0,""SKU NO ENCONTRADO"",
LET(
valor,INDEX(Referencia!$A$2:$AZ6238,fila,col),
IF(TRIM(TO_TEXT(valor))=TRIM(TO_TEXT(I1143)),"&amp;"
""OK"",
""NO COINCIDE. Valor verdadero: ""&amp;IF(valor="""",""[VACÍO]"",TO_TEXT(valor))
)
))))
),""ERROR EN FÓRMULA""))"),"NO APLICA")</f>
        <v>NO APLICA</v>
      </c>
    </row>
    <row r="1144">
      <c r="A1144" s="83" t="s">
        <v>4618</v>
      </c>
      <c r="B1144" s="83" t="s">
        <v>4619</v>
      </c>
      <c r="C1144" s="81" t="s">
        <v>4621</v>
      </c>
      <c r="D1144" s="83" t="s">
        <v>4210</v>
      </c>
      <c r="E1144" s="81" t="s">
        <v>795</v>
      </c>
      <c r="F1144" s="84">
        <v>136.0</v>
      </c>
      <c r="G1144" s="81" t="s">
        <v>12</v>
      </c>
      <c r="H1144" s="81" t="s">
        <v>224</v>
      </c>
      <c r="I1144" s="81" t="s">
        <v>55</v>
      </c>
      <c r="J1144" s="81" t="s">
        <v>224</v>
      </c>
      <c r="K1144" s="81" t="str">
        <f>IFERROR(__xludf.DUMMYFUNCTION("IF(OR(D1144="""",G1144=""""),"""",IFERROR(LET(
campo,XLOOKUP(TRIM(G1144),ARRAYFORMULA(TRIM('indice columnas'!$A$2:$A$100)),'indice columnas'!$B$2:$B$100,""""),
col,IFERROR(MATCH(campo,Referencia!$A$1:$AZ$1,0),0),
fila,IFERROR(MATCH(TO_TEXT(D1144),ARRAYFOR"&amp;"MULA(TO_TEXT(Referencia!$A$2:$A6238)),0),0),
IF(OR(campo="""",campo=""-""),""NO APLICA"",
IF(col=0,""REVISAR EQUIVALENCIA"",
IF(fila=0,""SKU NO ENCONTRADO"",
LET(
valor,INDEX(Referencia!$A$2:$AZ6238,fila,col),
IF(TRIM(TO_TEXT(valor))=TRIM(TO_TEXT(I1144)),"&amp;"
""OK"",
""NO COINCIDE. Valor verdadero: ""&amp;IF(valor="""",""[VACÍO]"",TO_TEXT(valor))
)
))))
),""ERROR EN FÓRMULA""))"),"OK")</f>
        <v>OK</v>
      </c>
    </row>
    <row r="1145">
      <c r="A1145" s="83" t="s">
        <v>4618</v>
      </c>
      <c r="B1145" s="83" t="s">
        <v>4619</v>
      </c>
      <c r="C1145" s="81" t="s">
        <v>4621</v>
      </c>
      <c r="D1145" s="83" t="s">
        <v>4210</v>
      </c>
      <c r="E1145" s="81" t="s">
        <v>795</v>
      </c>
      <c r="F1145" s="84">
        <v>136.0</v>
      </c>
      <c r="G1145" s="81" t="s">
        <v>44</v>
      </c>
      <c r="H1145" s="81" t="s">
        <v>4200</v>
      </c>
      <c r="I1145" s="81" t="s">
        <v>745</v>
      </c>
      <c r="J1145" s="81" t="s">
        <v>4088</v>
      </c>
      <c r="K1145" s="81" t="str">
        <f>IFERROR(__xludf.DUMMYFUNCTION("IF(OR(D1145="""",G1145=""""),"""",IFERROR(LET(
campo,XLOOKUP(TRIM(G1145),ARRAYFORMULA(TRIM('indice columnas'!$A$2:$A$100)),'indice columnas'!$B$2:$B$100,""""),
col,IFERROR(MATCH(campo,Referencia!$A$1:$AZ$1,0),0),
fila,IFERROR(MATCH(TO_TEXT(D1145),ARRAYFOR"&amp;"MULA(TO_TEXT(Referencia!$A$2:$A6238)),0),0),
IF(OR(campo="""",campo=""-""),""NO APLICA"",
IF(col=0,""REVISAR EQUIVALENCIA"",
IF(fila=0,""SKU NO ENCONTRADO"",
LET(
valor,INDEX(Referencia!$A$2:$AZ6238,fila,col),
IF(TRIM(TO_TEXT(valor))=TRIM(TO_TEXT(I1145)),"&amp;"
""OK"",
""NO COINCIDE. Valor verdadero: ""&amp;IF(valor="""",""[VACÍO]"",TO_TEXT(valor))
)
))))
),""ERROR EN FÓRMULA""))"),"NO APLICA")</f>
        <v>NO APLICA</v>
      </c>
    </row>
    <row r="1146">
      <c r="A1146" s="83" t="s">
        <v>4618</v>
      </c>
      <c r="B1146" s="83" t="s">
        <v>4619</v>
      </c>
      <c r="C1146" s="81" t="s">
        <v>4621</v>
      </c>
      <c r="D1146" s="83" t="s">
        <v>4211</v>
      </c>
      <c r="E1146" s="81" t="s">
        <v>798</v>
      </c>
      <c r="F1146" s="84">
        <v>137.0</v>
      </c>
      <c r="G1146" s="81" t="s">
        <v>12</v>
      </c>
      <c r="H1146" s="81" t="s">
        <v>224</v>
      </c>
      <c r="I1146" s="81" t="s">
        <v>55</v>
      </c>
      <c r="J1146" s="81" t="s">
        <v>224</v>
      </c>
      <c r="K1146" s="81" t="str">
        <f>IFERROR(__xludf.DUMMYFUNCTION("IF(OR(D1146="""",G1146=""""),"""",IFERROR(LET(
campo,XLOOKUP(TRIM(G1146),ARRAYFORMULA(TRIM('indice columnas'!$A$2:$A$100)),'indice columnas'!$B$2:$B$100,""""),
col,IFERROR(MATCH(campo,Referencia!$A$1:$AZ$1,0),0),
fila,IFERROR(MATCH(TO_TEXT(D1146),ARRAYFOR"&amp;"MULA(TO_TEXT(Referencia!$A$2:$A6238)),0),0),
IF(OR(campo="""",campo=""-""),""NO APLICA"",
IF(col=0,""REVISAR EQUIVALENCIA"",
IF(fila=0,""SKU NO ENCONTRADO"",
LET(
valor,INDEX(Referencia!$A$2:$AZ6238,fila,col),
IF(TRIM(TO_TEXT(valor))=TRIM(TO_TEXT(I1146)),"&amp;"
""OK"",
""NO COINCIDE. Valor verdadero: ""&amp;IF(valor="""",""[VACÍO]"",TO_TEXT(valor))
)
))))
),""ERROR EN FÓRMULA""))"),"OK")</f>
        <v>OK</v>
      </c>
    </row>
    <row r="1147">
      <c r="A1147" s="83" t="s">
        <v>4618</v>
      </c>
      <c r="B1147" s="83" t="s">
        <v>4619</v>
      </c>
      <c r="C1147" s="81" t="s">
        <v>4621</v>
      </c>
      <c r="D1147" s="83" t="s">
        <v>4211</v>
      </c>
      <c r="E1147" s="81" t="s">
        <v>798</v>
      </c>
      <c r="F1147" s="84">
        <v>137.0</v>
      </c>
      <c r="G1147" s="81" t="s">
        <v>44</v>
      </c>
      <c r="H1147" s="81" t="s">
        <v>4203</v>
      </c>
      <c r="I1147" s="81" t="s">
        <v>756</v>
      </c>
      <c r="J1147" s="81" t="s">
        <v>4088</v>
      </c>
      <c r="K1147" s="81" t="str">
        <f>IFERROR(__xludf.DUMMYFUNCTION("IF(OR(D1147="""",G1147=""""),"""",IFERROR(LET(
campo,XLOOKUP(TRIM(G1147),ARRAYFORMULA(TRIM('indice columnas'!$A$2:$A$100)),'indice columnas'!$B$2:$B$100,""""),
col,IFERROR(MATCH(campo,Referencia!$A$1:$AZ$1,0),0),
fila,IFERROR(MATCH(TO_TEXT(D1147),ARRAYFOR"&amp;"MULA(TO_TEXT(Referencia!$A$2:$A6238)),0),0),
IF(OR(campo="""",campo=""-""),""NO APLICA"",
IF(col=0,""REVISAR EQUIVALENCIA"",
IF(fila=0,""SKU NO ENCONTRADO"",
LET(
valor,INDEX(Referencia!$A$2:$AZ6238,fila,col),
IF(TRIM(TO_TEXT(valor))=TRIM(TO_TEXT(I1147)),"&amp;"
""OK"",
""NO COINCIDE. Valor verdadero: ""&amp;IF(valor="""",""[VACÍO]"",TO_TEXT(valor))
)
))))
),""ERROR EN FÓRMULA""))"),"NO APLICA")</f>
        <v>NO APLICA</v>
      </c>
    </row>
    <row r="1148">
      <c r="A1148" s="83" t="s">
        <v>4618</v>
      </c>
      <c r="B1148" s="83" t="s">
        <v>4619</v>
      </c>
      <c r="C1148" s="81" t="s">
        <v>4621</v>
      </c>
      <c r="D1148" s="83" t="s">
        <v>4212</v>
      </c>
      <c r="E1148" s="81" t="s">
        <v>804</v>
      </c>
      <c r="F1148" s="84">
        <v>138.0</v>
      </c>
      <c r="G1148" s="81" t="s">
        <v>12</v>
      </c>
      <c r="H1148" s="81" t="s">
        <v>224</v>
      </c>
      <c r="I1148" s="81" t="s">
        <v>55</v>
      </c>
      <c r="J1148" s="81" t="s">
        <v>224</v>
      </c>
      <c r="K1148" s="81" t="str">
        <f>IFERROR(__xludf.DUMMYFUNCTION("IF(OR(D1148="""",G1148=""""),"""",IFERROR(LET(
campo,XLOOKUP(TRIM(G1148),ARRAYFORMULA(TRIM('indice columnas'!$A$2:$A$100)),'indice columnas'!$B$2:$B$100,""""),
col,IFERROR(MATCH(campo,Referencia!$A$1:$AZ$1,0),0),
fila,IFERROR(MATCH(TO_TEXT(D1148),ARRAYFOR"&amp;"MULA(TO_TEXT(Referencia!$A$2:$A6238)),0),0),
IF(OR(campo="""",campo=""-""),""NO APLICA"",
IF(col=0,""REVISAR EQUIVALENCIA"",
IF(fila=0,""SKU NO ENCONTRADO"",
LET(
valor,INDEX(Referencia!$A$2:$AZ6238,fila,col),
IF(TRIM(TO_TEXT(valor))=TRIM(TO_TEXT(I1148)),"&amp;"
""OK"",
""NO COINCIDE. Valor verdadero: ""&amp;IF(valor="""",""[VACÍO]"",TO_TEXT(valor))
)
))))
),""ERROR EN FÓRMULA""))"),"OK")</f>
        <v>OK</v>
      </c>
    </row>
    <row r="1149">
      <c r="A1149" s="83" t="s">
        <v>4618</v>
      </c>
      <c r="B1149" s="83" t="s">
        <v>4619</v>
      </c>
      <c r="C1149" s="81" t="s">
        <v>4621</v>
      </c>
      <c r="D1149" s="83" t="s">
        <v>4212</v>
      </c>
      <c r="E1149" s="81" t="s">
        <v>804</v>
      </c>
      <c r="F1149" s="84">
        <v>138.0</v>
      </c>
      <c r="G1149" s="81" t="s">
        <v>44</v>
      </c>
      <c r="H1149" s="81" t="s">
        <v>4203</v>
      </c>
      <c r="I1149" s="81" t="s">
        <v>756</v>
      </c>
      <c r="J1149" s="81" t="s">
        <v>4088</v>
      </c>
      <c r="K1149" s="81" t="str">
        <f>IFERROR(__xludf.DUMMYFUNCTION("IF(OR(D1149="""",G1149=""""),"""",IFERROR(LET(
campo,XLOOKUP(TRIM(G1149),ARRAYFORMULA(TRIM('indice columnas'!$A$2:$A$100)),'indice columnas'!$B$2:$B$100,""""),
col,IFERROR(MATCH(campo,Referencia!$A$1:$AZ$1,0),0),
fila,IFERROR(MATCH(TO_TEXT(D1149),ARRAYFOR"&amp;"MULA(TO_TEXT(Referencia!$A$2:$A6238)),0),0),
IF(OR(campo="""",campo=""-""),""NO APLICA"",
IF(col=0,""REVISAR EQUIVALENCIA"",
IF(fila=0,""SKU NO ENCONTRADO"",
LET(
valor,INDEX(Referencia!$A$2:$AZ6238,fila,col),
IF(TRIM(TO_TEXT(valor))=TRIM(TO_TEXT(I1149)),"&amp;"
""OK"",
""NO COINCIDE. Valor verdadero: ""&amp;IF(valor="""",""[VACÍO]"",TO_TEXT(valor))
)
))))
),""ERROR EN FÓRMULA""))"),"NO APLICA")</f>
        <v>NO APLICA</v>
      </c>
    </row>
    <row r="1150">
      <c r="A1150" s="83" t="s">
        <v>4618</v>
      </c>
      <c r="B1150" s="83" t="s">
        <v>4619</v>
      </c>
      <c r="C1150" s="81" t="s">
        <v>4621</v>
      </c>
      <c r="D1150" s="83" t="s">
        <v>4213</v>
      </c>
      <c r="E1150" s="81" t="s">
        <v>806</v>
      </c>
      <c r="F1150" s="84">
        <v>139.0</v>
      </c>
      <c r="G1150" s="81" t="s">
        <v>12</v>
      </c>
      <c r="H1150" s="81" t="s">
        <v>224</v>
      </c>
      <c r="I1150" s="81" t="s">
        <v>55</v>
      </c>
      <c r="J1150" s="81" t="s">
        <v>224</v>
      </c>
      <c r="K1150" s="81" t="str">
        <f>IFERROR(__xludf.DUMMYFUNCTION("IF(OR(D1150="""",G1150=""""),"""",IFERROR(LET(
campo,XLOOKUP(TRIM(G1150),ARRAYFORMULA(TRIM('indice columnas'!$A$2:$A$100)),'indice columnas'!$B$2:$B$100,""""),
col,IFERROR(MATCH(campo,Referencia!$A$1:$AZ$1,0),0),
fila,IFERROR(MATCH(TO_TEXT(D1150),ARRAYFOR"&amp;"MULA(TO_TEXT(Referencia!$A$2:$A6238)),0),0),
IF(OR(campo="""",campo=""-""),""NO APLICA"",
IF(col=0,""REVISAR EQUIVALENCIA"",
IF(fila=0,""SKU NO ENCONTRADO"",
LET(
valor,INDEX(Referencia!$A$2:$AZ6238,fila,col),
IF(TRIM(TO_TEXT(valor))=TRIM(TO_TEXT(I1150)),"&amp;"
""OK"",
""NO COINCIDE. Valor verdadero: ""&amp;IF(valor="""",""[VACÍO]"",TO_TEXT(valor))
)
))))
),""ERROR EN FÓRMULA""))"),"OK")</f>
        <v>OK</v>
      </c>
    </row>
    <row r="1151">
      <c r="A1151" s="83" t="s">
        <v>4618</v>
      </c>
      <c r="B1151" s="83" t="s">
        <v>4619</v>
      </c>
      <c r="C1151" s="81" t="s">
        <v>4621</v>
      </c>
      <c r="D1151" s="83" t="s">
        <v>4213</v>
      </c>
      <c r="E1151" s="81" t="s">
        <v>806</v>
      </c>
      <c r="F1151" s="84">
        <v>139.0</v>
      </c>
      <c r="G1151" s="81" t="s">
        <v>44</v>
      </c>
      <c r="H1151" s="81" t="s">
        <v>4194</v>
      </c>
      <c r="I1151" s="81" t="s">
        <v>716</v>
      </c>
      <c r="J1151" s="81" t="s">
        <v>4088</v>
      </c>
      <c r="K1151" s="81" t="str">
        <f>IFERROR(__xludf.DUMMYFUNCTION("IF(OR(D1151="""",G1151=""""),"""",IFERROR(LET(
campo,XLOOKUP(TRIM(G1151),ARRAYFORMULA(TRIM('indice columnas'!$A$2:$A$100)),'indice columnas'!$B$2:$B$100,""""),
col,IFERROR(MATCH(campo,Referencia!$A$1:$AZ$1,0),0),
fila,IFERROR(MATCH(TO_TEXT(D1151),ARRAYFOR"&amp;"MULA(TO_TEXT(Referencia!$A$2:$A6238)),0),0),
IF(OR(campo="""",campo=""-""),""NO APLICA"",
IF(col=0,""REVISAR EQUIVALENCIA"",
IF(fila=0,""SKU NO ENCONTRADO"",
LET(
valor,INDEX(Referencia!$A$2:$AZ6238,fila,col),
IF(TRIM(TO_TEXT(valor))=TRIM(TO_TEXT(I1151)),"&amp;"
""OK"",
""NO COINCIDE. Valor verdadero: ""&amp;IF(valor="""",""[VACÍO]"",TO_TEXT(valor))
)
))))
),""ERROR EN FÓRMULA""))"),"NO APLICA")</f>
        <v>NO APLICA</v>
      </c>
    </row>
    <row r="1152">
      <c r="A1152" s="83" t="s">
        <v>4618</v>
      </c>
      <c r="B1152" s="83" t="s">
        <v>4619</v>
      </c>
      <c r="C1152" s="81" t="s">
        <v>4621</v>
      </c>
      <c r="D1152" s="83" t="s">
        <v>4214</v>
      </c>
      <c r="E1152" s="81" t="s">
        <v>812</v>
      </c>
      <c r="F1152" s="84">
        <v>140.0</v>
      </c>
      <c r="G1152" s="81" t="s">
        <v>12</v>
      </c>
      <c r="H1152" s="81" t="s">
        <v>224</v>
      </c>
      <c r="I1152" s="81" t="s">
        <v>55</v>
      </c>
      <c r="J1152" s="81" t="s">
        <v>224</v>
      </c>
      <c r="K1152" s="81" t="str">
        <f>IFERROR(__xludf.DUMMYFUNCTION("IF(OR(D1152="""",G1152=""""),"""",IFERROR(LET(
campo,XLOOKUP(TRIM(G1152),ARRAYFORMULA(TRIM('indice columnas'!$A$2:$A$100)),'indice columnas'!$B$2:$B$100,""""),
col,IFERROR(MATCH(campo,Referencia!$A$1:$AZ$1,0),0),
fila,IFERROR(MATCH(TO_TEXT(D1152),ARRAYFOR"&amp;"MULA(TO_TEXT(Referencia!$A$2:$A6238)),0),0),
IF(OR(campo="""",campo=""-""),""NO APLICA"",
IF(col=0,""REVISAR EQUIVALENCIA"",
IF(fila=0,""SKU NO ENCONTRADO"",
LET(
valor,INDEX(Referencia!$A$2:$AZ6238,fila,col),
IF(TRIM(TO_TEXT(valor))=TRIM(TO_TEXT(I1152)),"&amp;"
""OK"",
""NO COINCIDE. Valor verdadero: ""&amp;IF(valor="""",""[VACÍO]"",TO_TEXT(valor))
)
))))
),""ERROR EN FÓRMULA""))"),"OK")</f>
        <v>OK</v>
      </c>
    </row>
    <row r="1153">
      <c r="A1153" s="83" t="s">
        <v>4618</v>
      </c>
      <c r="B1153" s="83" t="s">
        <v>4619</v>
      </c>
      <c r="C1153" s="81" t="s">
        <v>4621</v>
      </c>
      <c r="D1153" s="83" t="s">
        <v>4214</v>
      </c>
      <c r="E1153" s="81" t="s">
        <v>812</v>
      </c>
      <c r="F1153" s="84">
        <v>140.0</v>
      </c>
      <c r="G1153" s="81" t="s">
        <v>44</v>
      </c>
      <c r="H1153" s="81" t="s">
        <v>4194</v>
      </c>
      <c r="I1153" s="81" t="s">
        <v>716</v>
      </c>
      <c r="J1153" s="81" t="s">
        <v>4088</v>
      </c>
      <c r="K1153" s="81" t="str">
        <f>IFERROR(__xludf.DUMMYFUNCTION("IF(OR(D1153="""",G1153=""""),"""",IFERROR(LET(
campo,XLOOKUP(TRIM(G1153),ARRAYFORMULA(TRIM('indice columnas'!$A$2:$A$100)),'indice columnas'!$B$2:$B$100,""""),
col,IFERROR(MATCH(campo,Referencia!$A$1:$AZ$1,0),0),
fila,IFERROR(MATCH(TO_TEXT(D1153),ARRAYFOR"&amp;"MULA(TO_TEXT(Referencia!$A$2:$A6238)),0),0),
IF(OR(campo="""",campo=""-""),""NO APLICA"",
IF(col=0,""REVISAR EQUIVALENCIA"",
IF(fila=0,""SKU NO ENCONTRADO"",
LET(
valor,INDEX(Referencia!$A$2:$AZ6238,fila,col),
IF(TRIM(TO_TEXT(valor))=TRIM(TO_TEXT(I1153)),"&amp;"
""OK"",
""NO COINCIDE. Valor verdadero: ""&amp;IF(valor="""",""[VACÍO]"",TO_TEXT(valor))
)
))))
),""ERROR EN FÓRMULA""))"),"NO APLICA")</f>
        <v>NO APLICA</v>
      </c>
    </row>
    <row r="1154">
      <c r="A1154" s="83" t="s">
        <v>4618</v>
      </c>
      <c r="B1154" s="83" t="s">
        <v>4619</v>
      </c>
      <c r="C1154" s="81" t="s">
        <v>4621</v>
      </c>
      <c r="D1154" s="83" t="s">
        <v>4215</v>
      </c>
      <c r="E1154" s="81" t="s">
        <v>815</v>
      </c>
      <c r="F1154" s="84">
        <v>141.0</v>
      </c>
      <c r="G1154" s="81" t="s">
        <v>12</v>
      </c>
      <c r="H1154" s="81" t="s">
        <v>224</v>
      </c>
      <c r="I1154" s="81" t="s">
        <v>55</v>
      </c>
      <c r="J1154" s="81" t="s">
        <v>224</v>
      </c>
      <c r="K1154" s="81" t="str">
        <f>IFERROR(__xludf.DUMMYFUNCTION("IF(OR(D1154="""",G1154=""""),"""",IFERROR(LET(
campo,XLOOKUP(TRIM(G1154),ARRAYFORMULA(TRIM('indice columnas'!$A$2:$A$100)),'indice columnas'!$B$2:$B$100,""""),
col,IFERROR(MATCH(campo,Referencia!$A$1:$AZ$1,0),0),
fila,IFERROR(MATCH(TO_TEXT(D1154),ARRAYFOR"&amp;"MULA(TO_TEXT(Referencia!$A$2:$A6238)),0),0),
IF(OR(campo="""",campo=""-""),""NO APLICA"",
IF(col=0,""REVISAR EQUIVALENCIA"",
IF(fila=0,""SKU NO ENCONTRADO"",
LET(
valor,INDEX(Referencia!$A$2:$AZ6238,fila,col),
IF(TRIM(TO_TEXT(valor))=TRIM(TO_TEXT(I1154)),"&amp;"
""OK"",
""NO COINCIDE. Valor verdadero: ""&amp;IF(valor="""",""[VACÍO]"",TO_TEXT(valor))
)
))))
),""ERROR EN FÓRMULA""))"),"OK")</f>
        <v>OK</v>
      </c>
    </row>
    <row r="1155">
      <c r="A1155" s="83" t="s">
        <v>4618</v>
      </c>
      <c r="B1155" s="83" t="s">
        <v>4619</v>
      </c>
      <c r="C1155" s="81" t="s">
        <v>4621</v>
      </c>
      <c r="D1155" s="83" t="s">
        <v>4215</v>
      </c>
      <c r="E1155" s="81" t="s">
        <v>815</v>
      </c>
      <c r="F1155" s="84">
        <v>141.0</v>
      </c>
      <c r="G1155" s="81" t="s">
        <v>44</v>
      </c>
      <c r="H1155" s="81" t="s">
        <v>4197</v>
      </c>
      <c r="I1155" s="81" t="s">
        <v>731</v>
      </c>
      <c r="J1155" s="81" t="s">
        <v>4088</v>
      </c>
      <c r="K1155" s="81" t="str">
        <f>IFERROR(__xludf.DUMMYFUNCTION("IF(OR(D1155="""",G1155=""""),"""",IFERROR(LET(
campo,XLOOKUP(TRIM(G1155),ARRAYFORMULA(TRIM('indice columnas'!$A$2:$A$100)),'indice columnas'!$B$2:$B$100,""""),
col,IFERROR(MATCH(campo,Referencia!$A$1:$AZ$1,0),0),
fila,IFERROR(MATCH(TO_TEXT(D1155),ARRAYFOR"&amp;"MULA(TO_TEXT(Referencia!$A$2:$A6238)),0),0),
IF(OR(campo="""",campo=""-""),""NO APLICA"",
IF(col=0,""REVISAR EQUIVALENCIA"",
IF(fila=0,""SKU NO ENCONTRADO"",
LET(
valor,INDEX(Referencia!$A$2:$AZ6238,fila,col),
IF(TRIM(TO_TEXT(valor))=TRIM(TO_TEXT(I1155)),"&amp;"
""OK"",
""NO COINCIDE. Valor verdadero: ""&amp;IF(valor="""",""[VACÍO]"",TO_TEXT(valor))
)
))))
),""ERROR EN FÓRMULA""))"),"NO APLICA")</f>
        <v>NO APLICA</v>
      </c>
    </row>
    <row r="1156">
      <c r="A1156" s="83" t="s">
        <v>4618</v>
      </c>
      <c r="B1156" s="83" t="s">
        <v>4619</v>
      </c>
      <c r="C1156" s="81" t="s">
        <v>4621</v>
      </c>
      <c r="D1156" s="83" t="s">
        <v>4216</v>
      </c>
      <c r="E1156" s="81" t="s">
        <v>822</v>
      </c>
      <c r="F1156" s="84">
        <v>142.0</v>
      </c>
      <c r="G1156" s="81" t="s">
        <v>12</v>
      </c>
      <c r="H1156" s="81" t="s">
        <v>224</v>
      </c>
      <c r="I1156" s="81" t="s">
        <v>55</v>
      </c>
      <c r="J1156" s="81" t="s">
        <v>224</v>
      </c>
      <c r="K1156" s="81" t="str">
        <f>IFERROR(__xludf.DUMMYFUNCTION("IF(OR(D1156="""",G1156=""""),"""",IFERROR(LET(
campo,XLOOKUP(TRIM(G1156),ARRAYFORMULA(TRIM('indice columnas'!$A$2:$A$100)),'indice columnas'!$B$2:$B$100,""""),
col,IFERROR(MATCH(campo,Referencia!$A$1:$AZ$1,0),0),
fila,IFERROR(MATCH(TO_TEXT(D1156),ARRAYFOR"&amp;"MULA(TO_TEXT(Referencia!$A$2:$A6238)),0),0),
IF(OR(campo="""",campo=""-""),""NO APLICA"",
IF(col=0,""REVISAR EQUIVALENCIA"",
IF(fila=0,""SKU NO ENCONTRADO"",
LET(
valor,INDEX(Referencia!$A$2:$AZ6238,fila,col),
IF(TRIM(TO_TEXT(valor))=TRIM(TO_TEXT(I1156)),"&amp;"
""OK"",
""NO COINCIDE. Valor verdadero: ""&amp;IF(valor="""",""[VACÍO]"",TO_TEXT(valor))
)
))))
),""ERROR EN FÓRMULA""))"),"OK")</f>
        <v>OK</v>
      </c>
    </row>
    <row r="1157">
      <c r="A1157" s="83" t="s">
        <v>4618</v>
      </c>
      <c r="B1157" s="83" t="s">
        <v>4619</v>
      </c>
      <c r="C1157" s="81" t="s">
        <v>4621</v>
      </c>
      <c r="D1157" s="83" t="s">
        <v>4216</v>
      </c>
      <c r="E1157" s="81" t="s">
        <v>822</v>
      </c>
      <c r="F1157" s="84">
        <v>142.0</v>
      </c>
      <c r="G1157" s="81" t="s">
        <v>44</v>
      </c>
      <c r="H1157" s="81" t="s">
        <v>4197</v>
      </c>
      <c r="I1157" s="81" t="s">
        <v>731</v>
      </c>
      <c r="J1157" s="81" t="s">
        <v>4088</v>
      </c>
      <c r="K1157" s="81" t="str">
        <f>IFERROR(__xludf.DUMMYFUNCTION("IF(OR(D1157="""",G1157=""""),"""",IFERROR(LET(
campo,XLOOKUP(TRIM(G1157),ARRAYFORMULA(TRIM('indice columnas'!$A$2:$A$100)),'indice columnas'!$B$2:$B$100,""""),
col,IFERROR(MATCH(campo,Referencia!$A$1:$AZ$1,0),0),
fila,IFERROR(MATCH(TO_TEXT(D1157),ARRAYFOR"&amp;"MULA(TO_TEXT(Referencia!$A$2:$A6238)),0),0),
IF(OR(campo="""",campo=""-""),""NO APLICA"",
IF(col=0,""REVISAR EQUIVALENCIA"",
IF(fila=0,""SKU NO ENCONTRADO"",
LET(
valor,INDEX(Referencia!$A$2:$AZ6238,fila,col),
IF(TRIM(TO_TEXT(valor))=TRIM(TO_TEXT(I1157)),"&amp;"
""OK"",
""NO COINCIDE. Valor verdadero: ""&amp;IF(valor="""",""[VACÍO]"",TO_TEXT(valor))
)
))))
),""ERROR EN FÓRMULA""))"),"NO APLICA")</f>
        <v>NO APLICA</v>
      </c>
    </row>
    <row r="1158">
      <c r="A1158" s="83" t="s">
        <v>4618</v>
      </c>
      <c r="B1158" s="83" t="s">
        <v>4619</v>
      </c>
      <c r="C1158" s="81" t="s">
        <v>4621</v>
      </c>
      <c r="D1158" s="83" t="s">
        <v>4217</v>
      </c>
      <c r="E1158" s="81" t="s">
        <v>825</v>
      </c>
      <c r="F1158" s="84">
        <v>143.0</v>
      </c>
      <c r="G1158" s="81" t="s">
        <v>12</v>
      </c>
      <c r="H1158" s="81" t="s">
        <v>224</v>
      </c>
      <c r="I1158" s="81" t="s">
        <v>55</v>
      </c>
      <c r="J1158" s="81" t="s">
        <v>224</v>
      </c>
      <c r="K1158" s="81" t="str">
        <f>IFERROR(__xludf.DUMMYFUNCTION("IF(OR(D1158="""",G1158=""""),"""",IFERROR(LET(
campo,XLOOKUP(TRIM(G1158),ARRAYFORMULA(TRIM('indice columnas'!$A$2:$A$100)),'indice columnas'!$B$2:$B$100,""""),
col,IFERROR(MATCH(campo,Referencia!$A$1:$AZ$1,0),0),
fila,IFERROR(MATCH(TO_TEXT(D1158),ARRAYFOR"&amp;"MULA(TO_TEXT(Referencia!$A$2:$A6238)),0),0),
IF(OR(campo="""",campo=""-""),""NO APLICA"",
IF(col=0,""REVISAR EQUIVALENCIA"",
IF(fila=0,""SKU NO ENCONTRADO"",
LET(
valor,INDEX(Referencia!$A$2:$AZ6238,fila,col),
IF(TRIM(TO_TEXT(valor))=TRIM(TO_TEXT(I1158)),"&amp;"
""OK"",
""NO COINCIDE. Valor verdadero: ""&amp;IF(valor="""",""[VACÍO]"",TO_TEXT(valor))
)
))))
),""ERROR EN FÓRMULA""))"),"OK")</f>
        <v>OK</v>
      </c>
    </row>
    <row r="1159">
      <c r="A1159" s="83" t="s">
        <v>4618</v>
      </c>
      <c r="B1159" s="83" t="s">
        <v>4619</v>
      </c>
      <c r="C1159" s="81" t="s">
        <v>4621</v>
      </c>
      <c r="D1159" s="83" t="s">
        <v>4217</v>
      </c>
      <c r="E1159" s="81" t="s">
        <v>825</v>
      </c>
      <c r="F1159" s="84">
        <v>143.0</v>
      </c>
      <c r="G1159" s="81" t="s">
        <v>44</v>
      </c>
      <c r="H1159" s="81" t="s">
        <v>4200</v>
      </c>
      <c r="I1159" s="81" t="s">
        <v>745</v>
      </c>
      <c r="J1159" s="81" t="s">
        <v>4088</v>
      </c>
      <c r="K1159" s="81" t="str">
        <f>IFERROR(__xludf.DUMMYFUNCTION("IF(OR(D1159="""",G1159=""""),"""",IFERROR(LET(
campo,XLOOKUP(TRIM(G1159),ARRAYFORMULA(TRIM('indice columnas'!$A$2:$A$100)),'indice columnas'!$B$2:$B$100,""""),
col,IFERROR(MATCH(campo,Referencia!$A$1:$AZ$1,0),0),
fila,IFERROR(MATCH(TO_TEXT(D1159),ARRAYFOR"&amp;"MULA(TO_TEXT(Referencia!$A$2:$A6238)),0),0),
IF(OR(campo="""",campo=""-""),""NO APLICA"",
IF(col=0,""REVISAR EQUIVALENCIA"",
IF(fila=0,""SKU NO ENCONTRADO"",
LET(
valor,INDEX(Referencia!$A$2:$AZ6238,fila,col),
IF(TRIM(TO_TEXT(valor))=TRIM(TO_TEXT(I1159)),"&amp;"
""OK"",
""NO COINCIDE. Valor verdadero: ""&amp;IF(valor="""",""[VACÍO]"",TO_TEXT(valor))
)
))))
),""ERROR EN FÓRMULA""))"),"NO APLICA")</f>
        <v>NO APLICA</v>
      </c>
    </row>
    <row r="1160">
      <c r="A1160" s="83" t="s">
        <v>4618</v>
      </c>
      <c r="B1160" s="83" t="s">
        <v>4619</v>
      </c>
      <c r="C1160" s="81" t="s">
        <v>4621</v>
      </c>
      <c r="D1160" s="83" t="s">
        <v>4218</v>
      </c>
      <c r="E1160" s="81" t="s">
        <v>832</v>
      </c>
      <c r="F1160" s="84">
        <v>144.0</v>
      </c>
      <c r="G1160" s="81" t="s">
        <v>12</v>
      </c>
      <c r="H1160" s="81" t="s">
        <v>224</v>
      </c>
      <c r="I1160" s="81" t="s">
        <v>55</v>
      </c>
      <c r="J1160" s="81" t="s">
        <v>224</v>
      </c>
      <c r="K1160" s="81" t="str">
        <f>IFERROR(__xludf.DUMMYFUNCTION("IF(OR(D1160="""",G1160=""""),"""",IFERROR(LET(
campo,XLOOKUP(TRIM(G1160),ARRAYFORMULA(TRIM('indice columnas'!$A$2:$A$100)),'indice columnas'!$B$2:$B$100,""""),
col,IFERROR(MATCH(campo,Referencia!$A$1:$AZ$1,0),0),
fila,IFERROR(MATCH(TO_TEXT(D1160),ARRAYFOR"&amp;"MULA(TO_TEXT(Referencia!$A$2:$A6238)),0),0),
IF(OR(campo="""",campo=""-""),""NO APLICA"",
IF(col=0,""REVISAR EQUIVALENCIA"",
IF(fila=0,""SKU NO ENCONTRADO"",
LET(
valor,INDEX(Referencia!$A$2:$AZ6238,fila,col),
IF(TRIM(TO_TEXT(valor))=TRIM(TO_TEXT(I1160)),"&amp;"
""OK"",
""NO COINCIDE. Valor verdadero: ""&amp;IF(valor="""",""[VACÍO]"",TO_TEXT(valor))
)
))))
),""ERROR EN FÓRMULA""))"),"OK")</f>
        <v>OK</v>
      </c>
    </row>
    <row r="1161">
      <c r="A1161" s="83" t="s">
        <v>4618</v>
      </c>
      <c r="B1161" s="83" t="s">
        <v>4619</v>
      </c>
      <c r="C1161" s="81" t="s">
        <v>4621</v>
      </c>
      <c r="D1161" s="83" t="s">
        <v>4218</v>
      </c>
      <c r="E1161" s="81" t="s">
        <v>832</v>
      </c>
      <c r="F1161" s="84">
        <v>144.0</v>
      </c>
      <c r="G1161" s="81" t="s">
        <v>44</v>
      </c>
      <c r="H1161" s="81" t="s">
        <v>4200</v>
      </c>
      <c r="I1161" s="81" t="s">
        <v>745</v>
      </c>
      <c r="J1161" s="81" t="s">
        <v>4088</v>
      </c>
      <c r="K1161" s="81" t="str">
        <f>IFERROR(__xludf.DUMMYFUNCTION("IF(OR(D1161="""",G1161=""""),"""",IFERROR(LET(
campo,XLOOKUP(TRIM(G1161),ARRAYFORMULA(TRIM('indice columnas'!$A$2:$A$100)),'indice columnas'!$B$2:$B$100,""""),
col,IFERROR(MATCH(campo,Referencia!$A$1:$AZ$1,0),0),
fila,IFERROR(MATCH(TO_TEXT(D1161),ARRAYFOR"&amp;"MULA(TO_TEXT(Referencia!$A$2:$A6238)),0),0),
IF(OR(campo="""",campo=""-""),""NO APLICA"",
IF(col=0,""REVISAR EQUIVALENCIA"",
IF(fila=0,""SKU NO ENCONTRADO"",
LET(
valor,INDEX(Referencia!$A$2:$AZ6238,fila,col),
IF(TRIM(TO_TEXT(valor))=TRIM(TO_TEXT(I1161)),"&amp;"
""OK"",
""NO COINCIDE. Valor verdadero: ""&amp;IF(valor="""",""[VACÍO]"",TO_TEXT(valor))
)
))))
),""ERROR EN FÓRMULA""))"),"NO APLICA")</f>
        <v>NO APLICA</v>
      </c>
    </row>
    <row r="1162">
      <c r="A1162" s="83" t="s">
        <v>4618</v>
      </c>
      <c r="B1162" s="83" t="s">
        <v>4619</v>
      </c>
      <c r="C1162" s="81" t="s">
        <v>4621</v>
      </c>
      <c r="D1162" s="83" t="s">
        <v>4219</v>
      </c>
      <c r="E1162" s="81" t="s">
        <v>835</v>
      </c>
      <c r="F1162" s="84">
        <v>145.0</v>
      </c>
      <c r="G1162" s="81" t="s">
        <v>12</v>
      </c>
      <c r="H1162" s="81" t="s">
        <v>224</v>
      </c>
      <c r="I1162" s="81" t="s">
        <v>55</v>
      </c>
      <c r="J1162" s="81" t="s">
        <v>224</v>
      </c>
      <c r="K1162" s="81" t="str">
        <f>IFERROR(__xludf.DUMMYFUNCTION("IF(OR(D1162="""",G1162=""""),"""",IFERROR(LET(
campo,XLOOKUP(TRIM(G1162),ARRAYFORMULA(TRIM('indice columnas'!$A$2:$A$100)),'indice columnas'!$B$2:$B$100,""""),
col,IFERROR(MATCH(campo,Referencia!$A$1:$AZ$1,0),0),
fila,IFERROR(MATCH(TO_TEXT(D1162),ARRAYFOR"&amp;"MULA(TO_TEXT(Referencia!$A$2:$A6238)),0),0),
IF(OR(campo="""",campo=""-""),""NO APLICA"",
IF(col=0,""REVISAR EQUIVALENCIA"",
IF(fila=0,""SKU NO ENCONTRADO"",
LET(
valor,INDEX(Referencia!$A$2:$AZ6238,fila,col),
IF(TRIM(TO_TEXT(valor))=TRIM(TO_TEXT(I1162)),"&amp;"
""OK"",
""NO COINCIDE. Valor verdadero: ""&amp;IF(valor="""",""[VACÍO]"",TO_TEXT(valor))
)
))))
),""ERROR EN FÓRMULA""))"),"OK")</f>
        <v>OK</v>
      </c>
    </row>
    <row r="1163">
      <c r="A1163" s="83" t="s">
        <v>4618</v>
      </c>
      <c r="B1163" s="83" t="s">
        <v>4619</v>
      </c>
      <c r="C1163" s="81" t="s">
        <v>4621</v>
      </c>
      <c r="D1163" s="83" t="s">
        <v>4219</v>
      </c>
      <c r="E1163" s="81" t="s">
        <v>835</v>
      </c>
      <c r="F1163" s="84">
        <v>145.0</v>
      </c>
      <c r="G1163" s="81" t="s">
        <v>44</v>
      </c>
      <c r="H1163" s="81" t="s">
        <v>4203</v>
      </c>
      <c r="I1163" s="81" t="s">
        <v>756</v>
      </c>
      <c r="J1163" s="81" t="s">
        <v>4088</v>
      </c>
      <c r="K1163" s="81" t="str">
        <f>IFERROR(__xludf.DUMMYFUNCTION("IF(OR(D1163="""",G1163=""""),"""",IFERROR(LET(
campo,XLOOKUP(TRIM(G1163),ARRAYFORMULA(TRIM('indice columnas'!$A$2:$A$100)),'indice columnas'!$B$2:$B$100,""""),
col,IFERROR(MATCH(campo,Referencia!$A$1:$AZ$1,0),0),
fila,IFERROR(MATCH(TO_TEXT(D1163),ARRAYFOR"&amp;"MULA(TO_TEXT(Referencia!$A$2:$A6238)),0),0),
IF(OR(campo="""",campo=""-""),""NO APLICA"",
IF(col=0,""REVISAR EQUIVALENCIA"",
IF(fila=0,""SKU NO ENCONTRADO"",
LET(
valor,INDEX(Referencia!$A$2:$AZ6238,fila,col),
IF(TRIM(TO_TEXT(valor))=TRIM(TO_TEXT(I1163)),"&amp;"
""OK"",
""NO COINCIDE. Valor verdadero: ""&amp;IF(valor="""",""[VACÍO]"",TO_TEXT(valor))
)
))))
),""ERROR EN FÓRMULA""))"),"NO APLICA")</f>
        <v>NO APLICA</v>
      </c>
    </row>
    <row r="1164">
      <c r="A1164" s="83" t="s">
        <v>4618</v>
      </c>
      <c r="B1164" s="83" t="s">
        <v>4619</v>
      </c>
      <c r="C1164" s="81" t="s">
        <v>4621</v>
      </c>
      <c r="D1164" s="83" t="s">
        <v>4220</v>
      </c>
      <c r="E1164" s="81" t="s">
        <v>842</v>
      </c>
      <c r="F1164" s="84">
        <v>146.0</v>
      </c>
      <c r="G1164" s="81" t="s">
        <v>12</v>
      </c>
      <c r="H1164" s="81" t="s">
        <v>224</v>
      </c>
      <c r="I1164" s="81" t="s">
        <v>55</v>
      </c>
      <c r="J1164" s="81" t="s">
        <v>224</v>
      </c>
      <c r="K1164" s="81" t="str">
        <f>IFERROR(__xludf.DUMMYFUNCTION("IF(OR(D1164="""",G1164=""""),"""",IFERROR(LET(
campo,XLOOKUP(TRIM(G1164),ARRAYFORMULA(TRIM('indice columnas'!$A$2:$A$100)),'indice columnas'!$B$2:$B$100,""""),
col,IFERROR(MATCH(campo,Referencia!$A$1:$AZ$1,0),0),
fila,IFERROR(MATCH(TO_TEXT(D1164),ARRAYFOR"&amp;"MULA(TO_TEXT(Referencia!$A$2:$A6238)),0),0),
IF(OR(campo="""",campo=""-""),""NO APLICA"",
IF(col=0,""REVISAR EQUIVALENCIA"",
IF(fila=0,""SKU NO ENCONTRADO"",
LET(
valor,INDEX(Referencia!$A$2:$AZ6238,fila,col),
IF(TRIM(TO_TEXT(valor))=TRIM(TO_TEXT(I1164)),"&amp;"
""OK"",
""NO COINCIDE. Valor verdadero: ""&amp;IF(valor="""",""[VACÍO]"",TO_TEXT(valor))
)
))))
),""ERROR EN FÓRMULA""))"),"OK")</f>
        <v>OK</v>
      </c>
    </row>
    <row r="1165">
      <c r="A1165" s="83" t="s">
        <v>4618</v>
      </c>
      <c r="B1165" s="83" t="s">
        <v>4619</v>
      </c>
      <c r="C1165" s="81" t="s">
        <v>4621</v>
      </c>
      <c r="D1165" s="83" t="s">
        <v>4220</v>
      </c>
      <c r="E1165" s="81" t="s">
        <v>842</v>
      </c>
      <c r="F1165" s="84">
        <v>146.0</v>
      </c>
      <c r="G1165" s="81" t="s">
        <v>44</v>
      </c>
      <c r="H1165" s="81" t="s">
        <v>4203</v>
      </c>
      <c r="I1165" s="81" t="s">
        <v>756</v>
      </c>
      <c r="J1165" s="81" t="s">
        <v>4088</v>
      </c>
      <c r="K1165" s="81" t="str">
        <f>IFERROR(__xludf.DUMMYFUNCTION("IF(OR(D1165="""",G1165=""""),"""",IFERROR(LET(
campo,XLOOKUP(TRIM(G1165),ARRAYFORMULA(TRIM('indice columnas'!$A$2:$A$100)),'indice columnas'!$B$2:$B$100,""""),
col,IFERROR(MATCH(campo,Referencia!$A$1:$AZ$1,0),0),
fila,IFERROR(MATCH(TO_TEXT(D1165),ARRAYFOR"&amp;"MULA(TO_TEXT(Referencia!$A$2:$A6238)),0),0),
IF(OR(campo="""",campo=""-""),""NO APLICA"",
IF(col=0,""REVISAR EQUIVALENCIA"",
IF(fila=0,""SKU NO ENCONTRADO"",
LET(
valor,INDEX(Referencia!$A$2:$AZ6238,fila,col),
IF(TRIM(TO_TEXT(valor))=TRIM(TO_TEXT(I1165)),"&amp;"
""OK"",
""NO COINCIDE. Valor verdadero: ""&amp;IF(valor="""",""[VACÍO]"",TO_TEXT(valor))
)
))))
),""ERROR EN FÓRMULA""))"),"NO APLICA")</f>
        <v>NO APLICA</v>
      </c>
    </row>
    <row r="1166">
      <c r="A1166" s="83" t="s">
        <v>4618</v>
      </c>
      <c r="B1166" s="83" t="s">
        <v>4619</v>
      </c>
      <c r="C1166" s="81" t="s">
        <v>4621</v>
      </c>
      <c r="D1166" s="83" t="s">
        <v>4221</v>
      </c>
      <c r="E1166" s="81" t="s">
        <v>845</v>
      </c>
      <c r="F1166" s="84">
        <v>147.0</v>
      </c>
      <c r="G1166" s="81" t="s">
        <v>12</v>
      </c>
      <c r="H1166" s="81" t="s">
        <v>224</v>
      </c>
      <c r="I1166" s="81" t="s">
        <v>55</v>
      </c>
      <c r="J1166" s="81" t="s">
        <v>224</v>
      </c>
      <c r="K1166" s="81" t="str">
        <f>IFERROR(__xludf.DUMMYFUNCTION("IF(OR(D1166="""",G1166=""""),"""",IFERROR(LET(
campo,XLOOKUP(TRIM(G1166),ARRAYFORMULA(TRIM('indice columnas'!$A$2:$A$100)),'indice columnas'!$B$2:$B$100,""""),
col,IFERROR(MATCH(campo,Referencia!$A$1:$AZ$1,0),0),
fila,IFERROR(MATCH(TO_TEXT(D1166),ARRAYFOR"&amp;"MULA(TO_TEXT(Referencia!$A$2:$A6238)),0),0),
IF(OR(campo="""",campo=""-""),""NO APLICA"",
IF(col=0,""REVISAR EQUIVALENCIA"",
IF(fila=0,""SKU NO ENCONTRADO"",
LET(
valor,INDEX(Referencia!$A$2:$AZ6238,fila,col),
IF(TRIM(TO_TEXT(valor))=TRIM(TO_TEXT(I1166)),"&amp;"
""OK"",
""NO COINCIDE. Valor verdadero: ""&amp;IF(valor="""",""[VACÍO]"",TO_TEXT(valor))
)
))))
),""ERROR EN FÓRMULA""))"),"OK")</f>
        <v>OK</v>
      </c>
    </row>
    <row r="1167">
      <c r="A1167" s="83" t="s">
        <v>4618</v>
      </c>
      <c r="B1167" s="83" t="s">
        <v>4619</v>
      </c>
      <c r="C1167" s="81" t="s">
        <v>4621</v>
      </c>
      <c r="D1167" s="83" t="s">
        <v>4221</v>
      </c>
      <c r="E1167" s="81" t="s">
        <v>845</v>
      </c>
      <c r="F1167" s="84">
        <v>147.0</v>
      </c>
      <c r="G1167" s="81" t="s">
        <v>44</v>
      </c>
      <c r="H1167" s="81" t="s">
        <v>4194</v>
      </c>
      <c r="I1167" s="81" t="s">
        <v>716</v>
      </c>
      <c r="J1167" s="81" t="s">
        <v>4088</v>
      </c>
      <c r="K1167" s="81" t="str">
        <f>IFERROR(__xludf.DUMMYFUNCTION("IF(OR(D1167="""",G1167=""""),"""",IFERROR(LET(
campo,XLOOKUP(TRIM(G1167),ARRAYFORMULA(TRIM('indice columnas'!$A$2:$A$100)),'indice columnas'!$B$2:$B$100,""""),
col,IFERROR(MATCH(campo,Referencia!$A$1:$AZ$1,0),0),
fila,IFERROR(MATCH(TO_TEXT(D1167),ARRAYFOR"&amp;"MULA(TO_TEXT(Referencia!$A$2:$A6238)),0),0),
IF(OR(campo="""",campo=""-""),""NO APLICA"",
IF(col=0,""REVISAR EQUIVALENCIA"",
IF(fila=0,""SKU NO ENCONTRADO"",
LET(
valor,INDEX(Referencia!$A$2:$AZ6238,fila,col),
IF(TRIM(TO_TEXT(valor))=TRIM(TO_TEXT(I1167)),"&amp;"
""OK"",
""NO COINCIDE. Valor verdadero: ""&amp;IF(valor="""",""[VACÍO]"",TO_TEXT(valor))
)
))))
),""ERROR EN FÓRMULA""))"),"NO APLICA")</f>
        <v>NO APLICA</v>
      </c>
    </row>
    <row r="1168">
      <c r="A1168" s="83" t="s">
        <v>4618</v>
      </c>
      <c r="B1168" s="83" t="s">
        <v>4619</v>
      </c>
      <c r="C1168" s="81" t="s">
        <v>4621</v>
      </c>
      <c r="D1168" s="83" t="s">
        <v>4222</v>
      </c>
      <c r="E1168" s="81" t="s">
        <v>851</v>
      </c>
      <c r="F1168" s="84">
        <v>148.0</v>
      </c>
      <c r="G1168" s="81" t="s">
        <v>12</v>
      </c>
      <c r="H1168" s="81" t="s">
        <v>224</v>
      </c>
      <c r="I1168" s="81" t="s">
        <v>55</v>
      </c>
      <c r="J1168" s="81" t="s">
        <v>224</v>
      </c>
      <c r="K1168" s="81" t="str">
        <f>IFERROR(__xludf.DUMMYFUNCTION("IF(OR(D1168="""",G1168=""""),"""",IFERROR(LET(
campo,XLOOKUP(TRIM(G1168),ARRAYFORMULA(TRIM('indice columnas'!$A$2:$A$100)),'indice columnas'!$B$2:$B$100,""""),
col,IFERROR(MATCH(campo,Referencia!$A$1:$AZ$1,0),0),
fila,IFERROR(MATCH(TO_TEXT(D1168),ARRAYFOR"&amp;"MULA(TO_TEXT(Referencia!$A$2:$A6238)),0),0),
IF(OR(campo="""",campo=""-""),""NO APLICA"",
IF(col=0,""REVISAR EQUIVALENCIA"",
IF(fila=0,""SKU NO ENCONTRADO"",
LET(
valor,INDEX(Referencia!$A$2:$AZ6238,fila,col),
IF(TRIM(TO_TEXT(valor))=TRIM(TO_TEXT(I1168)),"&amp;"
""OK"",
""NO COINCIDE. Valor verdadero: ""&amp;IF(valor="""",""[VACÍO]"",TO_TEXT(valor))
)
))))
),""ERROR EN FÓRMULA""))"),"OK")</f>
        <v>OK</v>
      </c>
    </row>
    <row r="1169">
      <c r="A1169" s="83" t="s">
        <v>4618</v>
      </c>
      <c r="B1169" s="83" t="s">
        <v>4619</v>
      </c>
      <c r="C1169" s="81" t="s">
        <v>4621</v>
      </c>
      <c r="D1169" s="83" t="s">
        <v>4222</v>
      </c>
      <c r="E1169" s="81" t="s">
        <v>851</v>
      </c>
      <c r="F1169" s="84">
        <v>148.0</v>
      </c>
      <c r="G1169" s="81" t="s">
        <v>44</v>
      </c>
      <c r="H1169" s="81" t="s">
        <v>4194</v>
      </c>
      <c r="I1169" s="81" t="s">
        <v>716</v>
      </c>
      <c r="J1169" s="81" t="s">
        <v>4088</v>
      </c>
      <c r="K1169" s="81" t="str">
        <f>IFERROR(__xludf.DUMMYFUNCTION("IF(OR(D1169="""",G1169=""""),"""",IFERROR(LET(
campo,XLOOKUP(TRIM(G1169),ARRAYFORMULA(TRIM('indice columnas'!$A$2:$A$100)),'indice columnas'!$B$2:$B$100,""""),
col,IFERROR(MATCH(campo,Referencia!$A$1:$AZ$1,0),0),
fila,IFERROR(MATCH(TO_TEXT(D1169),ARRAYFOR"&amp;"MULA(TO_TEXT(Referencia!$A$2:$A6238)),0),0),
IF(OR(campo="""",campo=""-""),""NO APLICA"",
IF(col=0,""REVISAR EQUIVALENCIA"",
IF(fila=0,""SKU NO ENCONTRADO"",
LET(
valor,INDEX(Referencia!$A$2:$AZ6238,fila,col),
IF(TRIM(TO_TEXT(valor))=TRIM(TO_TEXT(I1169)),"&amp;"
""OK"",
""NO COINCIDE. Valor verdadero: ""&amp;IF(valor="""",""[VACÍO]"",TO_TEXT(valor))
)
))))
),""ERROR EN FÓRMULA""))"),"NO APLICA")</f>
        <v>NO APLICA</v>
      </c>
    </row>
    <row r="1170">
      <c r="A1170" s="83" t="s">
        <v>4618</v>
      </c>
      <c r="B1170" s="83" t="s">
        <v>4619</v>
      </c>
      <c r="C1170" s="81" t="s">
        <v>4621</v>
      </c>
      <c r="D1170" s="83" t="s">
        <v>4223</v>
      </c>
      <c r="E1170" s="81" t="s">
        <v>854</v>
      </c>
      <c r="F1170" s="84">
        <v>149.0</v>
      </c>
      <c r="G1170" s="81" t="s">
        <v>12</v>
      </c>
      <c r="H1170" s="81" t="s">
        <v>224</v>
      </c>
      <c r="I1170" s="81" t="s">
        <v>55</v>
      </c>
      <c r="J1170" s="81" t="s">
        <v>224</v>
      </c>
      <c r="K1170" s="81" t="str">
        <f>IFERROR(__xludf.DUMMYFUNCTION("IF(OR(D1170="""",G1170=""""),"""",IFERROR(LET(
campo,XLOOKUP(TRIM(G1170),ARRAYFORMULA(TRIM('indice columnas'!$A$2:$A$100)),'indice columnas'!$B$2:$B$100,""""),
col,IFERROR(MATCH(campo,Referencia!$A$1:$AZ$1,0),0),
fila,IFERROR(MATCH(TO_TEXT(D1170),ARRAYFOR"&amp;"MULA(TO_TEXT(Referencia!$A$2:$A6238)),0),0),
IF(OR(campo="""",campo=""-""),""NO APLICA"",
IF(col=0,""REVISAR EQUIVALENCIA"",
IF(fila=0,""SKU NO ENCONTRADO"",
LET(
valor,INDEX(Referencia!$A$2:$AZ6238,fila,col),
IF(TRIM(TO_TEXT(valor))=TRIM(TO_TEXT(I1170)),"&amp;"
""OK"",
""NO COINCIDE. Valor verdadero: ""&amp;IF(valor="""",""[VACÍO]"",TO_TEXT(valor))
)
))))
),""ERROR EN FÓRMULA""))"),"OK")</f>
        <v>OK</v>
      </c>
    </row>
    <row r="1171">
      <c r="A1171" s="83" t="s">
        <v>4618</v>
      </c>
      <c r="B1171" s="83" t="s">
        <v>4619</v>
      </c>
      <c r="C1171" s="81" t="s">
        <v>4621</v>
      </c>
      <c r="D1171" s="83" t="s">
        <v>4223</v>
      </c>
      <c r="E1171" s="81" t="s">
        <v>854</v>
      </c>
      <c r="F1171" s="84">
        <v>149.0</v>
      </c>
      <c r="G1171" s="81" t="s">
        <v>44</v>
      </c>
      <c r="H1171" s="81" t="s">
        <v>4197</v>
      </c>
      <c r="I1171" s="81" t="s">
        <v>731</v>
      </c>
      <c r="J1171" s="81" t="s">
        <v>4088</v>
      </c>
      <c r="K1171" s="81" t="str">
        <f>IFERROR(__xludf.DUMMYFUNCTION("IF(OR(D1171="""",G1171=""""),"""",IFERROR(LET(
campo,XLOOKUP(TRIM(G1171),ARRAYFORMULA(TRIM('indice columnas'!$A$2:$A$100)),'indice columnas'!$B$2:$B$100,""""),
col,IFERROR(MATCH(campo,Referencia!$A$1:$AZ$1,0),0),
fila,IFERROR(MATCH(TO_TEXT(D1171),ARRAYFOR"&amp;"MULA(TO_TEXT(Referencia!$A$2:$A6238)),0),0),
IF(OR(campo="""",campo=""-""),""NO APLICA"",
IF(col=0,""REVISAR EQUIVALENCIA"",
IF(fila=0,""SKU NO ENCONTRADO"",
LET(
valor,INDEX(Referencia!$A$2:$AZ6238,fila,col),
IF(TRIM(TO_TEXT(valor))=TRIM(TO_TEXT(I1171)),"&amp;"
""OK"",
""NO COINCIDE. Valor verdadero: ""&amp;IF(valor="""",""[VACÍO]"",TO_TEXT(valor))
)
))))
),""ERROR EN FÓRMULA""))"),"NO APLICA")</f>
        <v>NO APLICA</v>
      </c>
    </row>
    <row r="1172">
      <c r="A1172" s="83" t="s">
        <v>4618</v>
      </c>
      <c r="B1172" s="83" t="s">
        <v>4619</v>
      </c>
      <c r="C1172" s="81" t="s">
        <v>4621</v>
      </c>
      <c r="D1172" s="83" t="s">
        <v>4224</v>
      </c>
      <c r="E1172" s="81" t="s">
        <v>861</v>
      </c>
      <c r="F1172" s="84">
        <v>150.0</v>
      </c>
      <c r="G1172" s="81" t="s">
        <v>12</v>
      </c>
      <c r="H1172" s="81" t="s">
        <v>224</v>
      </c>
      <c r="I1172" s="81" t="s">
        <v>55</v>
      </c>
      <c r="J1172" s="81" t="s">
        <v>224</v>
      </c>
      <c r="K1172" s="81" t="str">
        <f>IFERROR(__xludf.DUMMYFUNCTION("IF(OR(D1172="""",G1172=""""),"""",IFERROR(LET(
campo,XLOOKUP(TRIM(G1172),ARRAYFORMULA(TRIM('indice columnas'!$A$2:$A$100)),'indice columnas'!$B$2:$B$100,""""),
col,IFERROR(MATCH(campo,Referencia!$A$1:$AZ$1,0),0),
fila,IFERROR(MATCH(TO_TEXT(D1172),ARRAYFOR"&amp;"MULA(TO_TEXT(Referencia!$A$2:$A6238)),0),0),
IF(OR(campo="""",campo=""-""),""NO APLICA"",
IF(col=0,""REVISAR EQUIVALENCIA"",
IF(fila=0,""SKU NO ENCONTRADO"",
LET(
valor,INDEX(Referencia!$A$2:$AZ6238,fila,col),
IF(TRIM(TO_TEXT(valor))=TRIM(TO_TEXT(I1172)),"&amp;"
""OK"",
""NO COINCIDE. Valor verdadero: ""&amp;IF(valor="""",""[VACÍO]"",TO_TEXT(valor))
)
))))
),""ERROR EN FÓRMULA""))"),"OK")</f>
        <v>OK</v>
      </c>
    </row>
    <row r="1173">
      <c r="A1173" s="83" t="s">
        <v>4618</v>
      </c>
      <c r="B1173" s="83" t="s">
        <v>4619</v>
      </c>
      <c r="C1173" s="81" t="s">
        <v>4621</v>
      </c>
      <c r="D1173" s="83" t="s">
        <v>4224</v>
      </c>
      <c r="E1173" s="81" t="s">
        <v>861</v>
      </c>
      <c r="F1173" s="84">
        <v>150.0</v>
      </c>
      <c r="G1173" s="81" t="s">
        <v>44</v>
      </c>
      <c r="H1173" s="81" t="s">
        <v>4197</v>
      </c>
      <c r="I1173" s="81" t="s">
        <v>731</v>
      </c>
      <c r="J1173" s="81" t="s">
        <v>4088</v>
      </c>
      <c r="K1173" s="81" t="str">
        <f>IFERROR(__xludf.DUMMYFUNCTION("IF(OR(D1173="""",G1173=""""),"""",IFERROR(LET(
campo,XLOOKUP(TRIM(G1173),ARRAYFORMULA(TRIM('indice columnas'!$A$2:$A$100)),'indice columnas'!$B$2:$B$100,""""),
col,IFERROR(MATCH(campo,Referencia!$A$1:$AZ$1,0),0),
fila,IFERROR(MATCH(TO_TEXT(D1173),ARRAYFOR"&amp;"MULA(TO_TEXT(Referencia!$A$2:$A6238)),0),0),
IF(OR(campo="""",campo=""-""),""NO APLICA"",
IF(col=0,""REVISAR EQUIVALENCIA"",
IF(fila=0,""SKU NO ENCONTRADO"",
LET(
valor,INDEX(Referencia!$A$2:$AZ6238,fila,col),
IF(TRIM(TO_TEXT(valor))=TRIM(TO_TEXT(I1173)),"&amp;"
""OK"",
""NO COINCIDE. Valor verdadero: ""&amp;IF(valor="""",""[VACÍO]"",TO_TEXT(valor))
)
))))
),""ERROR EN FÓRMULA""))"),"NO APLICA")</f>
        <v>NO APLICA</v>
      </c>
    </row>
    <row r="1174">
      <c r="A1174" s="83" t="s">
        <v>4618</v>
      </c>
      <c r="B1174" s="83" t="s">
        <v>4619</v>
      </c>
      <c r="C1174" s="81" t="s">
        <v>4621</v>
      </c>
      <c r="D1174" s="83" t="s">
        <v>4225</v>
      </c>
      <c r="E1174" s="81" t="s">
        <v>864</v>
      </c>
      <c r="F1174" s="84">
        <v>151.0</v>
      </c>
      <c r="G1174" s="81" t="s">
        <v>12</v>
      </c>
      <c r="H1174" s="81" t="s">
        <v>224</v>
      </c>
      <c r="I1174" s="81" t="s">
        <v>55</v>
      </c>
      <c r="J1174" s="81" t="s">
        <v>224</v>
      </c>
      <c r="K1174" s="81" t="str">
        <f>IFERROR(__xludf.DUMMYFUNCTION("IF(OR(D1174="""",G1174=""""),"""",IFERROR(LET(
campo,XLOOKUP(TRIM(G1174),ARRAYFORMULA(TRIM('indice columnas'!$A$2:$A$100)),'indice columnas'!$B$2:$B$100,""""),
col,IFERROR(MATCH(campo,Referencia!$A$1:$AZ$1,0),0),
fila,IFERROR(MATCH(TO_TEXT(D1174),ARRAYFOR"&amp;"MULA(TO_TEXT(Referencia!$A$2:$A6238)),0),0),
IF(OR(campo="""",campo=""-""),""NO APLICA"",
IF(col=0,""REVISAR EQUIVALENCIA"",
IF(fila=0,""SKU NO ENCONTRADO"",
LET(
valor,INDEX(Referencia!$A$2:$AZ6238,fila,col),
IF(TRIM(TO_TEXT(valor))=TRIM(TO_TEXT(I1174)),"&amp;"
""OK"",
""NO COINCIDE. Valor verdadero: ""&amp;IF(valor="""",""[VACÍO]"",TO_TEXT(valor))
)
))))
),""ERROR EN FÓRMULA""))"),"OK")</f>
        <v>OK</v>
      </c>
    </row>
    <row r="1175">
      <c r="A1175" s="83" t="s">
        <v>4618</v>
      </c>
      <c r="B1175" s="83" t="s">
        <v>4619</v>
      </c>
      <c r="C1175" s="81" t="s">
        <v>4621</v>
      </c>
      <c r="D1175" s="83" t="s">
        <v>4225</v>
      </c>
      <c r="E1175" s="81" t="s">
        <v>864</v>
      </c>
      <c r="F1175" s="84">
        <v>151.0</v>
      </c>
      <c r="G1175" s="81" t="s">
        <v>44</v>
      </c>
      <c r="H1175" s="81" t="s">
        <v>4200</v>
      </c>
      <c r="I1175" s="81" t="s">
        <v>745</v>
      </c>
      <c r="J1175" s="81" t="s">
        <v>4088</v>
      </c>
      <c r="K1175" s="81" t="str">
        <f>IFERROR(__xludf.DUMMYFUNCTION("IF(OR(D1175="""",G1175=""""),"""",IFERROR(LET(
campo,XLOOKUP(TRIM(G1175),ARRAYFORMULA(TRIM('indice columnas'!$A$2:$A$100)),'indice columnas'!$B$2:$B$100,""""),
col,IFERROR(MATCH(campo,Referencia!$A$1:$AZ$1,0),0),
fila,IFERROR(MATCH(TO_TEXT(D1175),ARRAYFOR"&amp;"MULA(TO_TEXT(Referencia!$A$2:$A6238)),0),0),
IF(OR(campo="""",campo=""-""),""NO APLICA"",
IF(col=0,""REVISAR EQUIVALENCIA"",
IF(fila=0,""SKU NO ENCONTRADO"",
LET(
valor,INDEX(Referencia!$A$2:$AZ6238,fila,col),
IF(TRIM(TO_TEXT(valor))=TRIM(TO_TEXT(I1175)),"&amp;"
""OK"",
""NO COINCIDE. Valor verdadero: ""&amp;IF(valor="""",""[VACÍO]"",TO_TEXT(valor))
)
))))
),""ERROR EN FÓRMULA""))"),"NO APLICA")</f>
        <v>NO APLICA</v>
      </c>
    </row>
    <row r="1176">
      <c r="A1176" s="83" t="s">
        <v>4618</v>
      </c>
      <c r="B1176" s="83" t="s">
        <v>4619</v>
      </c>
      <c r="C1176" s="81" t="s">
        <v>4621</v>
      </c>
      <c r="D1176" s="83" t="s">
        <v>4226</v>
      </c>
      <c r="E1176" s="81" t="s">
        <v>871</v>
      </c>
      <c r="F1176" s="84">
        <v>152.0</v>
      </c>
      <c r="G1176" s="81" t="s">
        <v>12</v>
      </c>
      <c r="H1176" s="81" t="s">
        <v>224</v>
      </c>
      <c r="I1176" s="81" t="s">
        <v>55</v>
      </c>
      <c r="J1176" s="81" t="s">
        <v>224</v>
      </c>
      <c r="K1176" s="81" t="str">
        <f>IFERROR(__xludf.DUMMYFUNCTION("IF(OR(D1176="""",G1176=""""),"""",IFERROR(LET(
campo,XLOOKUP(TRIM(G1176),ARRAYFORMULA(TRIM('indice columnas'!$A$2:$A$100)),'indice columnas'!$B$2:$B$100,""""),
col,IFERROR(MATCH(campo,Referencia!$A$1:$AZ$1,0),0),
fila,IFERROR(MATCH(TO_TEXT(D1176),ARRAYFOR"&amp;"MULA(TO_TEXT(Referencia!$A$2:$A6238)),0),0),
IF(OR(campo="""",campo=""-""),""NO APLICA"",
IF(col=0,""REVISAR EQUIVALENCIA"",
IF(fila=0,""SKU NO ENCONTRADO"",
LET(
valor,INDEX(Referencia!$A$2:$AZ6238,fila,col),
IF(TRIM(TO_TEXT(valor))=TRIM(TO_TEXT(I1176)),"&amp;"
""OK"",
""NO COINCIDE. Valor verdadero: ""&amp;IF(valor="""",""[VACÍO]"",TO_TEXT(valor))
)
))))
),""ERROR EN FÓRMULA""))"),"OK")</f>
        <v>OK</v>
      </c>
    </row>
    <row r="1177">
      <c r="A1177" s="83" t="s">
        <v>4618</v>
      </c>
      <c r="B1177" s="83" t="s">
        <v>4619</v>
      </c>
      <c r="C1177" s="81" t="s">
        <v>4621</v>
      </c>
      <c r="D1177" s="83" t="s">
        <v>4226</v>
      </c>
      <c r="E1177" s="81" t="s">
        <v>871</v>
      </c>
      <c r="F1177" s="84">
        <v>152.0</v>
      </c>
      <c r="G1177" s="81" t="s">
        <v>44</v>
      </c>
      <c r="H1177" s="81" t="s">
        <v>4200</v>
      </c>
      <c r="I1177" s="81" t="s">
        <v>745</v>
      </c>
      <c r="J1177" s="81" t="s">
        <v>4088</v>
      </c>
      <c r="K1177" s="81" t="str">
        <f>IFERROR(__xludf.DUMMYFUNCTION("IF(OR(D1177="""",G1177=""""),"""",IFERROR(LET(
campo,XLOOKUP(TRIM(G1177),ARRAYFORMULA(TRIM('indice columnas'!$A$2:$A$100)),'indice columnas'!$B$2:$B$100,""""),
col,IFERROR(MATCH(campo,Referencia!$A$1:$AZ$1,0),0),
fila,IFERROR(MATCH(TO_TEXT(D1177),ARRAYFOR"&amp;"MULA(TO_TEXT(Referencia!$A$2:$A6238)),0),0),
IF(OR(campo="""",campo=""-""),""NO APLICA"",
IF(col=0,""REVISAR EQUIVALENCIA"",
IF(fila=0,""SKU NO ENCONTRADO"",
LET(
valor,INDEX(Referencia!$A$2:$AZ6238,fila,col),
IF(TRIM(TO_TEXT(valor))=TRIM(TO_TEXT(I1177)),"&amp;"
""OK"",
""NO COINCIDE. Valor verdadero: ""&amp;IF(valor="""",""[VACÍO]"",TO_TEXT(valor))
)
))))
),""ERROR EN FÓRMULA""))"),"NO APLICA")</f>
        <v>NO APLICA</v>
      </c>
    </row>
    <row r="1178">
      <c r="A1178" s="83" t="s">
        <v>4618</v>
      </c>
      <c r="B1178" s="83" t="s">
        <v>4619</v>
      </c>
      <c r="C1178" s="81" t="s">
        <v>4621</v>
      </c>
      <c r="D1178" s="83" t="s">
        <v>4227</v>
      </c>
      <c r="E1178" s="81" t="s">
        <v>874</v>
      </c>
      <c r="F1178" s="84">
        <v>153.0</v>
      </c>
      <c r="G1178" s="81" t="s">
        <v>12</v>
      </c>
      <c r="H1178" s="81" t="s">
        <v>224</v>
      </c>
      <c r="I1178" s="81" t="s">
        <v>55</v>
      </c>
      <c r="J1178" s="81" t="s">
        <v>224</v>
      </c>
      <c r="K1178" s="81" t="str">
        <f>IFERROR(__xludf.DUMMYFUNCTION("IF(OR(D1178="""",G1178=""""),"""",IFERROR(LET(
campo,XLOOKUP(TRIM(G1178),ARRAYFORMULA(TRIM('indice columnas'!$A$2:$A$100)),'indice columnas'!$B$2:$B$100,""""),
col,IFERROR(MATCH(campo,Referencia!$A$1:$AZ$1,0),0),
fila,IFERROR(MATCH(TO_TEXT(D1178),ARRAYFOR"&amp;"MULA(TO_TEXT(Referencia!$A$2:$A6238)),0),0),
IF(OR(campo="""",campo=""-""),""NO APLICA"",
IF(col=0,""REVISAR EQUIVALENCIA"",
IF(fila=0,""SKU NO ENCONTRADO"",
LET(
valor,INDEX(Referencia!$A$2:$AZ6238,fila,col),
IF(TRIM(TO_TEXT(valor))=TRIM(TO_TEXT(I1178)),"&amp;"
""OK"",
""NO COINCIDE. Valor verdadero: ""&amp;IF(valor="""",""[VACÍO]"",TO_TEXT(valor))
)
))))
),""ERROR EN FÓRMULA""))"),"OK")</f>
        <v>OK</v>
      </c>
    </row>
    <row r="1179">
      <c r="A1179" s="83" t="s">
        <v>4618</v>
      </c>
      <c r="B1179" s="83" t="s">
        <v>4619</v>
      </c>
      <c r="C1179" s="81" t="s">
        <v>4621</v>
      </c>
      <c r="D1179" s="83" t="s">
        <v>4227</v>
      </c>
      <c r="E1179" s="81" t="s">
        <v>874</v>
      </c>
      <c r="F1179" s="84">
        <v>153.0</v>
      </c>
      <c r="G1179" s="81" t="s">
        <v>44</v>
      </c>
      <c r="H1179" s="81" t="s">
        <v>4203</v>
      </c>
      <c r="I1179" s="81" t="s">
        <v>756</v>
      </c>
      <c r="J1179" s="81" t="s">
        <v>4088</v>
      </c>
      <c r="K1179" s="81" t="str">
        <f>IFERROR(__xludf.DUMMYFUNCTION("IF(OR(D1179="""",G1179=""""),"""",IFERROR(LET(
campo,XLOOKUP(TRIM(G1179),ARRAYFORMULA(TRIM('indice columnas'!$A$2:$A$100)),'indice columnas'!$B$2:$B$100,""""),
col,IFERROR(MATCH(campo,Referencia!$A$1:$AZ$1,0),0),
fila,IFERROR(MATCH(TO_TEXT(D1179),ARRAYFOR"&amp;"MULA(TO_TEXT(Referencia!$A$2:$A6238)),0),0),
IF(OR(campo="""",campo=""-""),""NO APLICA"",
IF(col=0,""REVISAR EQUIVALENCIA"",
IF(fila=0,""SKU NO ENCONTRADO"",
LET(
valor,INDEX(Referencia!$A$2:$AZ6238,fila,col),
IF(TRIM(TO_TEXT(valor))=TRIM(TO_TEXT(I1179)),"&amp;"
""OK"",
""NO COINCIDE. Valor verdadero: ""&amp;IF(valor="""",""[VACÍO]"",TO_TEXT(valor))
)
))))
),""ERROR EN FÓRMULA""))"),"NO APLICA")</f>
        <v>NO APLICA</v>
      </c>
    </row>
    <row r="1180">
      <c r="A1180" s="83" t="s">
        <v>4618</v>
      </c>
      <c r="B1180" s="83" t="s">
        <v>4619</v>
      </c>
      <c r="C1180" s="81" t="s">
        <v>4621</v>
      </c>
      <c r="D1180" s="83" t="s">
        <v>4228</v>
      </c>
      <c r="E1180" s="81" t="s">
        <v>881</v>
      </c>
      <c r="F1180" s="84">
        <v>154.0</v>
      </c>
      <c r="G1180" s="81" t="s">
        <v>12</v>
      </c>
      <c r="H1180" s="81" t="s">
        <v>224</v>
      </c>
      <c r="I1180" s="81" t="s">
        <v>55</v>
      </c>
      <c r="J1180" s="81" t="s">
        <v>224</v>
      </c>
      <c r="K1180" s="81" t="str">
        <f>IFERROR(__xludf.DUMMYFUNCTION("IF(OR(D1180="""",G1180=""""),"""",IFERROR(LET(
campo,XLOOKUP(TRIM(G1180),ARRAYFORMULA(TRIM('indice columnas'!$A$2:$A$100)),'indice columnas'!$B$2:$B$100,""""),
col,IFERROR(MATCH(campo,Referencia!$A$1:$AZ$1,0),0),
fila,IFERROR(MATCH(TO_TEXT(D1180),ARRAYFOR"&amp;"MULA(TO_TEXT(Referencia!$A$2:$A6238)),0),0),
IF(OR(campo="""",campo=""-""),""NO APLICA"",
IF(col=0,""REVISAR EQUIVALENCIA"",
IF(fila=0,""SKU NO ENCONTRADO"",
LET(
valor,INDEX(Referencia!$A$2:$AZ6238,fila,col),
IF(TRIM(TO_TEXT(valor))=TRIM(TO_TEXT(I1180)),"&amp;"
""OK"",
""NO COINCIDE. Valor verdadero: ""&amp;IF(valor="""",""[VACÍO]"",TO_TEXT(valor))
)
))))
),""ERROR EN FÓRMULA""))"),"OK")</f>
        <v>OK</v>
      </c>
    </row>
    <row r="1181">
      <c r="A1181" s="83" t="s">
        <v>4618</v>
      </c>
      <c r="B1181" s="83" t="s">
        <v>4619</v>
      </c>
      <c r="C1181" s="81" t="s">
        <v>4621</v>
      </c>
      <c r="D1181" s="83" t="s">
        <v>4228</v>
      </c>
      <c r="E1181" s="81" t="s">
        <v>881</v>
      </c>
      <c r="F1181" s="84">
        <v>154.0</v>
      </c>
      <c r="G1181" s="81" t="s">
        <v>44</v>
      </c>
      <c r="H1181" s="81" t="s">
        <v>4203</v>
      </c>
      <c r="I1181" s="81" t="s">
        <v>756</v>
      </c>
      <c r="J1181" s="81" t="s">
        <v>4088</v>
      </c>
      <c r="K1181" s="81" t="str">
        <f>IFERROR(__xludf.DUMMYFUNCTION("IF(OR(D1181="""",G1181=""""),"""",IFERROR(LET(
campo,XLOOKUP(TRIM(G1181),ARRAYFORMULA(TRIM('indice columnas'!$A$2:$A$100)),'indice columnas'!$B$2:$B$100,""""),
col,IFERROR(MATCH(campo,Referencia!$A$1:$AZ$1,0),0),
fila,IFERROR(MATCH(TO_TEXT(D1181),ARRAYFOR"&amp;"MULA(TO_TEXT(Referencia!$A$2:$A6238)),0),0),
IF(OR(campo="""",campo=""-""),""NO APLICA"",
IF(col=0,""REVISAR EQUIVALENCIA"",
IF(fila=0,""SKU NO ENCONTRADO"",
LET(
valor,INDEX(Referencia!$A$2:$AZ6238,fila,col),
IF(TRIM(TO_TEXT(valor))=TRIM(TO_TEXT(I1181)),"&amp;"
""OK"",
""NO COINCIDE. Valor verdadero: ""&amp;IF(valor="""",""[VACÍO]"",TO_TEXT(valor))
)
))))
),""ERROR EN FÓRMULA""))"),"NO APLICA")</f>
        <v>NO APLICA</v>
      </c>
    </row>
    <row r="1182">
      <c r="A1182" s="83" t="s">
        <v>4618</v>
      </c>
      <c r="B1182" s="83" t="s">
        <v>4619</v>
      </c>
      <c r="C1182" s="81" t="s">
        <v>4621</v>
      </c>
      <c r="D1182" s="83" t="s">
        <v>4229</v>
      </c>
      <c r="E1182" s="81" t="s">
        <v>884</v>
      </c>
      <c r="F1182" s="84">
        <v>155.0</v>
      </c>
      <c r="G1182" s="81" t="s">
        <v>44</v>
      </c>
      <c r="H1182" s="81" t="s">
        <v>224</v>
      </c>
      <c r="I1182" s="81" t="s">
        <v>4230</v>
      </c>
      <c r="J1182" s="81" t="s">
        <v>4088</v>
      </c>
      <c r="K1182" s="81" t="str">
        <f>IFERROR(__xludf.DUMMYFUNCTION("IF(OR(D1182="""",G1182=""""),"""",IFERROR(LET(
campo,XLOOKUP(TRIM(G1182),ARRAYFORMULA(TRIM('indice columnas'!$A$2:$A$100)),'indice columnas'!$B$2:$B$100,""""),
col,IFERROR(MATCH(campo,Referencia!$A$1:$AZ$1,0),0),
fila,IFERROR(MATCH(TO_TEXT(D1182),ARRAYFOR"&amp;"MULA(TO_TEXT(Referencia!$A$2:$A6238)),0),0),
IF(OR(campo="""",campo=""-""),""NO APLICA"",
IF(col=0,""REVISAR EQUIVALENCIA"",
IF(fila=0,""SKU NO ENCONTRADO"",
LET(
valor,INDEX(Referencia!$A$2:$AZ6238,fila,col),
IF(TRIM(TO_TEXT(valor))=TRIM(TO_TEXT(I1182)),"&amp;"
""OK"",
""NO COINCIDE. Valor verdadero: ""&amp;IF(valor="""",""[VACÍO]"",TO_TEXT(valor))
)
))))
),""ERROR EN FÓRMULA""))"),"NO APLICA")</f>
        <v>NO APLICA</v>
      </c>
    </row>
    <row r="1183">
      <c r="A1183" s="83" t="s">
        <v>4618</v>
      </c>
      <c r="B1183" s="83" t="s">
        <v>4619</v>
      </c>
      <c r="C1183" s="81" t="s">
        <v>4621</v>
      </c>
      <c r="D1183" s="83" t="s">
        <v>4229</v>
      </c>
      <c r="E1183" s="81" t="s">
        <v>895</v>
      </c>
      <c r="F1183" s="84">
        <v>156.0</v>
      </c>
      <c r="G1183" s="81" t="s">
        <v>7</v>
      </c>
      <c r="H1183" s="81" t="s">
        <v>215</v>
      </c>
      <c r="I1183" s="81" t="s">
        <v>53</v>
      </c>
      <c r="J1183" s="81" t="s">
        <v>224</v>
      </c>
      <c r="K1183" s="81" t="str">
        <f>IFERROR(__xludf.DUMMYFUNCTION("IF(OR(D1183="""",G1183=""""),"""",IFERROR(LET(
campo,XLOOKUP(TRIM(G1183),ARRAYFORMULA(TRIM('indice columnas'!$A$2:$A$100)),'indice columnas'!$B$2:$B$100,""""),
col,IFERROR(MATCH(campo,Referencia!$A$1:$AZ$1,0),0),
fila,IFERROR(MATCH(TO_TEXT(D1183),ARRAYFOR"&amp;"MULA(TO_TEXT(Referencia!$A$2:$A6238)),0),0),
IF(OR(campo="""",campo=""-""),""NO APLICA"",
IF(col=0,""REVISAR EQUIVALENCIA"",
IF(fila=0,""SKU NO ENCONTRADO"",
LET(
valor,INDEX(Referencia!$A$2:$AZ6238,fila,col),
IF(TRIM(TO_TEXT(valor))=TRIM(TO_TEXT(I1183)),"&amp;"
""OK"",
""NO COINCIDE. Valor verdadero: ""&amp;IF(valor="""",""[VACÍO]"",TO_TEXT(valor))
)
))))
),""ERROR EN FÓRMULA""))"),"REVISAR EQUIVALENCIA")</f>
        <v>REVISAR EQUIVALENCIA</v>
      </c>
    </row>
    <row r="1184">
      <c r="A1184" s="83" t="s">
        <v>4618</v>
      </c>
      <c r="B1184" s="83" t="s">
        <v>4619</v>
      </c>
      <c r="C1184" s="81" t="s">
        <v>4621</v>
      </c>
      <c r="D1184" s="83" t="s">
        <v>4229</v>
      </c>
      <c r="E1184" s="81" t="s">
        <v>895</v>
      </c>
      <c r="F1184" s="84">
        <v>156.0</v>
      </c>
      <c r="G1184" s="81" t="s">
        <v>12</v>
      </c>
      <c r="H1184" s="81" t="s">
        <v>224</v>
      </c>
      <c r="I1184" s="81" t="s">
        <v>55</v>
      </c>
      <c r="J1184" s="81" t="s">
        <v>224</v>
      </c>
      <c r="K1184" s="81" t="str">
        <f>IFERROR(__xludf.DUMMYFUNCTION("IF(OR(D1184="""",G1184=""""),"""",IFERROR(LET(
campo,XLOOKUP(TRIM(G1184),ARRAYFORMULA(TRIM('indice columnas'!$A$2:$A$100)),'indice columnas'!$B$2:$B$100,""""),
col,IFERROR(MATCH(campo,Referencia!$A$1:$AZ$1,0),0),
fila,IFERROR(MATCH(TO_TEXT(D1184),ARRAYFOR"&amp;"MULA(TO_TEXT(Referencia!$A$2:$A6238)),0),0),
IF(OR(campo="""",campo=""-""),""NO APLICA"",
IF(col=0,""REVISAR EQUIVALENCIA"",
IF(fila=0,""SKU NO ENCONTRADO"",
LET(
valor,INDEX(Referencia!$A$2:$AZ6238,fila,col),
IF(TRIM(TO_TEXT(valor))=TRIM(TO_TEXT(I1184)),"&amp;"
""OK"",
""NO COINCIDE. Valor verdadero: ""&amp;IF(valor="""",""[VACÍO]"",TO_TEXT(valor))
)
))))
),""ERROR EN FÓRMULA""))"),"OK")</f>
        <v>OK</v>
      </c>
    </row>
    <row r="1185">
      <c r="A1185" s="83" t="s">
        <v>4618</v>
      </c>
      <c r="B1185" s="83" t="s">
        <v>4619</v>
      </c>
      <c r="C1185" s="81" t="s">
        <v>4621</v>
      </c>
      <c r="D1185" s="83" t="s">
        <v>4229</v>
      </c>
      <c r="E1185" s="81" t="s">
        <v>895</v>
      </c>
      <c r="F1185" s="84">
        <v>156.0</v>
      </c>
      <c r="G1185" s="81" t="s">
        <v>44</v>
      </c>
      <c r="H1185" s="81" t="s">
        <v>224</v>
      </c>
      <c r="I1185" s="81" t="s">
        <v>4230</v>
      </c>
      <c r="J1185" s="81" t="s">
        <v>4088</v>
      </c>
      <c r="K1185" s="81" t="str">
        <f>IFERROR(__xludf.DUMMYFUNCTION("IF(OR(D1185="""",G1185=""""),"""",IFERROR(LET(
campo,XLOOKUP(TRIM(G1185),ARRAYFORMULA(TRIM('indice columnas'!$A$2:$A$100)),'indice columnas'!$B$2:$B$100,""""),
col,IFERROR(MATCH(campo,Referencia!$A$1:$AZ$1,0),0),
fila,IFERROR(MATCH(TO_TEXT(D1185),ARRAYFOR"&amp;"MULA(TO_TEXT(Referencia!$A$2:$A6238)),0),0),
IF(OR(campo="""",campo=""-""),""NO APLICA"",
IF(col=0,""REVISAR EQUIVALENCIA"",
IF(fila=0,""SKU NO ENCONTRADO"",
LET(
valor,INDEX(Referencia!$A$2:$AZ6238,fila,col),
IF(TRIM(TO_TEXT(valor))=TRIM(TO_TEXT(I1185)),"&amp;"
""OK"",
""NO COINCIDE. Valor verdadero: ""&amp;IF(valor="""",""[VACÍO]"",TO_TEXT(valor))
)
))))
),""ERROR EN FÓRMULA""))"),"NO APLICA")</f>
        <v>NO APLICA</v>
      </c>
    </row>
    <row r="1186">
      <c r="A1186" s="83" t="s">
        <v>4618</v>
      </c>
      <c r="B1186" s="83" t="s">
        <v>4619</v>
      </c>
      <c r="C1186" s="81" t="s">
        <v>4621</v>
      </c>
      <c r="D1186" s="83" t="s">
        <v>4231</v>
      </c>
      <c r="E1186" s="81" t="s">
        <v>897</v>
      </c>
      <c r="F1186" s="84">
        <v>157.0</v>
      </c>
      <c r="G1186" s="81" t="s">
        <v>7</v>
      </c>
      <c r="H1186" s="81" t="s">
        <v>215</v>
      </c>
      <c r="I1186" s="81" t="s">
        <v>53</v>
      </c>
      <c r="J1186" s="81" t="s">
        <v>224</v>
      </c>
      <c r="K1186" s="81" t="str">
        <f>IFERROR(__xludf.DUMMYFUNCTION("IF(OR(D1186="""",G1186=""""),"""",IFERROR(LET(
campo,XLOOKUP(TRIM(G1186),ARRAYFORMULA(TRIM('indice columnas'!$A$2:$A$100)),'indice columnas'!$B$2:$B$100,""""),
col,IFERROR(MATCH(campo,Referencia!$A$1:$AZ$1,0),0),
fila,IFERROR(MATCH(TO_TEXT(D1186),ARRAYFOR"&amp;"MULA(TO_TEXT(Referencia!$A$2:$A6238)),0),0),
IF(OR(campo="""",campo=""-""),""NO APLICA"",
IF(col=0,""REVISAR EQUIVALENCIA"",
IF(fila=0,""SKU NO ENCONTRADO"",
LET(
valor,INDEX(Referencia!$A$2:$AZ6238,fila,col),
IF(TRIM(TO_TEXT(valor))=TRIM(TO_TEXT(I1186)),"&amp;"
""OK"",
""NO COINCIDE. Valor verdadero: ""&amp;IF(valor="""",""[VACÍO]"",TO_TEXT(valor))
)
))))
),""ERROR EN FÓRMULA""))"),"REVISAR EQUIVALENCIA")</f>
        <v>REVISAR EQUIVALENCIA</v>
      </c>
    </row>
    <row r="1187">
      <c r="A1187" s="83" t="s">
        <v>4618</v>
      </c>
      <c r="B1187" s="83" t="s">
        <v>4619</v>
      </c>
      <c r="C1187" s="81" t="s">
        <v>4621</v>
      </c>
      <c r="D1187" s="83" t="s">
        <v>4231</v>
      </c>
      <c r="E1187" s="81" t="s">
        <v>897</v>
      </c>
      <c r="F1187" s="84">
        <v>157.0</v>
      </c>
      <c r="G1187" s="81" t="s">
        <v>12</v>
      </c>
      <c r="H1187" s="81" t="s">
        <v>224</v>
      </c>
      <c r="I1187" s="81" t="s">
        <v>55</v>
      </c>
      <c r="J1187" s="81" t="s">
        <v>224</v>
      </c>
      <c r="K1187" s="81" t="str">
        <f>IFERROR(__xludf.DUMMYFUNCTION("IF(OR(D1187="""",G1187=""""),"""",IFERROR(LET(
campo,XLOOKUP(TRIM(G1187),ARRAYFORMULA(TRIM('indice columnas'!$A$2:$A$100)),'indice columnas'!$B$2:$B$100,""""),
col,IFERROR(MATCH(campo,Referencia!$A$1:$AZ$1,0),0),
fila,IFERROR(MATCH(TO_TEXT(D1187),ARRAYFOR"&amp;"MULA(TO_TEXT(Referencia!$A$2:$A6238)),0),0),
IF(OR(campo="""",campo=""-""),""NO APLICA"",
IF(col=0,""REVISAR EQUIVALENCIA"",
IF(fila=0,""SKU NO ENCONTRADO"",
LET(
valor,INDEX(Referencia!$A$2:$AZ6238,fila,col),
IF(TRIM(TO_TEXT(valor))=TRIM(TO_TEXT(I1187)),"&amp;"
""OK"",
""NO COINCIDE. Valor verdadero: ""&amp;IF(valor="""",""[VACÍO]"",TO_TEXT(valor))
)
))))
),""ERROR EN FÓRMULA""))"),"OK")</f>
        <v>OK</v>
      </c>
    </row>
    <row r="1188">
      <c r="A1188" s="83" t="s">
        <v>4618</v>
      </c>
      <c r="B1188" s="83" t="s">
        <v>4619</v>
      </c>
      <c r="C1188" s="81" t="s">
        <v>4621</v>
      </c>
      <c r="D1188" s="83" t="s">
        <v>4231</v>
      </c>
      <c r="E1188" s="81" t="s">
        <v>897</v>
      </c>
      <c r="F1188" s="84">
        <v>157.0</v>
      </c>
      <c r="G1188" s="81" t="s">
        <v>44</v>
      </c>
      <c r="H1188" s="81" t="s">
        <v>224</v>
      </c>
      <c r="I1188" s="81" t="s">
        <v>4230</v>
      </c>
      <c r="J1188" s="81" t="s">
        <v>4088</v>
      </c>
      <c r="K1188" s="81" t="str">
        <f>IFERROR(__xludf.DUMMYFUNCTION("IF(OR(D1188="""",G1188=""""),"""",IFERROR(LET(
campo,XLOOKUP(TRIM(G1188),ARRAYFORMULA(TRIM('indice columnas'!$A$2:$A$100)),'indice columnas'!$B$2:$B$100,""""),
col,IFERROR(MATCH(campo,Referencia!$A$1:$AZ$1,0),0),
fila,IFERROR(MATCH(TO_TEXT(D1188),ARRAYFOR"&amp;"MULA(TO_TEXT(Referencia!$A$2:$A6238)),0),0),
IF(OR(campo="""",campo=""-""),""NO APLICA"",
IF(col=0,""REVISAR EQUIVALENCIA"",
IF(fila=0,""SKU NO ENCONTRADO"",
LET(
valor,INDEX(Referencia!$A$2:$AZ6238,fila,col),
IF(TRIM(TO_TEXT(valor))=TRIM(TO_TEXT(I1188)),"&amp;"
""OK"",
""NO COINCIDE. Valor verdadero: ""&amp;IF(valor="""",""[VACÍO]"",TO_TEXT(valor))
)
))))
),""ERROR EN FÓRMULA""))"),"NO APLICA")</f>
        <v>NO APLICA</v>
      </c>
    </row>
    <row r="1189">
      <c r="A1189" s="83" t="s">
        <v>4618</v>
      </c>
      <c r="B1189" s="83" t="s">
        <v>4619</v>
      </c>
      <c r="C1189" s="81" t="s">
        <v>4621</v>
      </c>
      <c r="D1189" s="83" t="s">
        <v>4232</v>
      </c>
      <c r="E1189" s="81" t="s">
        <v>899</v>
      </c>
      <c r="F1189" s="84">
        <v>158.0</v>
      </c>
      <c r="G1189" s="81" t="s">
        <v>7</v>
      </c>
      <c r="H1189" s="81" t="s">
        <v>215</v>
      </c>
      <c r="I1189" s="81" t="s">
        <v>53</v>
      </c>
      <c r="J1189" s="81" t="s">
        <v>224</v>
      </c>
      <c r="K1189" s="81" t="str">
        <f>IFERROR(__xludf.DUMMYFUNCTION("IF(OR(D1189="""",G1189=""""),"""",IFERROR(LET(
campo,XLOOKUP(TRIM(G1189),ARRAYFORMULA(TRIM('indice columnas'!$A$2:$A$100)),'indice columnas'!$B$2:$B$100,""""),
col,IFERROR(MATCH(campo,Referencia!$A$1:$AZ$1,0),0),
fila,IFERROR(MATCH(TO_TEXT(D1189),ARRAYFOR"&amp;"MULA(TO_TEXT(Referencia!$A$2:$A6238)),0),0),
IF(OR(campo="""",campo=""-""),""NO APLICA"",
IF(col=0,""REVISAR EQUIVALENCIA"",
IF(fila=0,""SKU NO ENCONTRADO"",
LET(
valor,INDEX(Referencia!$A$2:$AZ6238,fila,col),
IF(TRIM(TO_TEXT(valor))=TRIM(TO_TEXT(I1189)),"&amp;"
""OK"",
""NO COINCIDE. Valor verdadero: ""&amp;IF(valor="""",""[VACÍO]"",TO_TEXT(valor))
)
))))
),""ERROR EN FÓRMULA""))"),"REVISAR EQUIVALENCIA")</f>
        <v>REVISAR EQUIVALENCIA</v>
      </c>
    </row>
    <row r="1190">
      <c r="A1190" s="83" t="s">
        <v>4618</v>
      </c>
      <c r="B1190" s="83" t="s">
        <v>4619</v>
      </c>
      <c r="C1190" s="81" t="s">
        <v>4621</v>
      </c>
      <c r="D1190" s="83" t="s">
        <v>4232</v>
      </c>
      <c r="E1190" s="81" t="s">
        <v>899</v>
      </c>
      <c r="F1190" s="84">
        <v>158.0</v>
      </c>
      <c r="G1190" s="81" t="s">
        <v>12</v>
      </c>
      <c r="H1190" s="81" t="s">
        <v>224</v>
      </c>
      <c r="I1190" s="81" t="s">
        <v>55</v>
      </c>
      <c r="J1190" s="81" t="s">
        <v>224</v>
      </c>
      <c r="K1190" s="81" t="str">
        <f>IFERROR(__xludf.DUMMYFUNCTION("IF(OR(D1190="""",G1190=""""),"""",IFERROR(LET(
campo,XLOOKUP(TRIM(G1190),ARRAYFORMULA(TRIM('indice columnas'!$A$2:$A$100)),'indice columnas'!$B$2:$B$100,""""),
col,IFERROR(MATCH(campo,Referencia!$A$1:$AZ$1,0),0),
fila,IFERROR(MATCH(TO_TEXT(D1190),ARRAYFOR"&amp;"MULA(TO_TEXT(Referencia!$A$2:$A6238)),0),0),
IF(OR(campo="""",campo=""-""),""NO APLICA"",
IF(col=0,""REVISAR EQUIVALENCIA"",
IF(fila=0,""SKU NO ENCONTRADO"",
LET(
valor,INDEX(Referencia!$A$2:$AZ6238,fila,col),
IF(TRIM(TO_TEXT(valor))=TRIM(TO_TEXT(I1190)),"&amp;"
""OK"",
""NO COINCIDE. Valor verdadero: ""&amp;IF(valor="""",""[VACÍO]"",TO_TEXT(valor))
)
))))
),""ERROR EN FÓRMULA""))"),"OK")</f>
        <v>OK</v>
      </c>
    </row>
    <row r="1191">
      <c r="A1191" s="83" t="s">
        <v>4618</v>
      </c>
      <c r="B1191" s="83" t="s">
        <v>4619</v>
      </c>
      <c r="C1191" s="81" t="s">
        <v>4621</v>
      </c>
      <c r="D1191" s="83" t="s">
        <v>4232</v>
      </c>
      <c r="E1191" s="81" t="s">
        <v>899</v>
      </c>
      <c r="F1191" s="84">
        <v>158.0</v>
      </c>
      <c r="G1191" s="81" t="s">
        <v>44</v>
      </c>
      <c r="H1191" s="81" t="s">
        <v>224</v>
      </c>
      <c r="I1191" s="81" t="s">
        <v>4230</v>
      </c>
      <c r="J1191" s="81" t="s">
        <v>4088</v>
      </c>
      <c r="K1191" s="81" t="str">
        <f>IFERROR(__xludf.DUMMYFUNCTION("IF(OR(D1191="""",G1191=""""),"""",IFERROR(LET(
campo,XLOOKUP(TRIM(G1191),ARRAYFORMULA(TRIM('indice columnas'!$A$2:$A$100)),'indice columnas'!$B$2:$B$100,""""),
col,IFERROR(MATCH(campo,Referencia!$A$1:$AZ$1,0),0),
fila,IFERROR(MATCH(TO_TEXT(D1191),ARRAYFOR"&amp;"MULA(TO_TEXT(Referencia!$A$2:$A6238)),0),0),
IF(OR(campo="""",campo=""-""),""NO APLICA"",
IF(col=0,""REVISAR EQUIVALENCIA"",
IF(fila=0,""SKU NO ENCONTRADO"",
LET(
valor,INDEX(Referencia!$A$2:$AZ6238,fila,col),
IF(TRIM(TO_TEXT(valor))=TRIM(TO_TEXT(I1191)),"&amp;"
""OK"",
""NO COINCIDE. Valor verdadero: ""&amp;IF(valor="""",""[VACÍO]"",TO_TEXT(valor))
)
))))
),""ERROR EN FÓRMULA""))"),"NO APLICA")</f>
        <v>NO APLICA</v>
      </c>
    </row>
    <row r="1192">
      <c r="A1192" s="83" t="s">
        <v>4618</v>
      </c>
      <c r="B1192" s="83" t="s">
        <v>4619</v>
      </c>
      <c r="C1192" s="81" t="s">
        <v>4621</v>
      </c>
      <c r="D1192" s="83" t="s">
        <v>4233</v>
      </c>
      <c r="E1192" s="81" t="s">
        <v>902</v>
      </c>
      <c r="F1192" s="84">
        <v>159.0</v>
      </c>
      <c r="G1192" s="81" t="s">
        <v>7</v>
      </c>
      <c r="H1192" s="81" t="s">
        <v>215</v>
      </c>
      <c r="I1192" s="81" t="s">
        <v>53</v>
      </c>
      <c r="J1192" s="81" t="s">
        <v>224</v>
      </c>
      <c r="K1192" s="81" t="str">
        <f>IFERROR(__xludf.DUMMYFUNCTION("IF(OR(D1192="""",G1192=""""),"""",IFERROR(LET(
campo,XLOOKUP(TRIM(G1192),ARRAYFORMULA(TRIM('indice columnas'!$A$2:$A$100)),'indice columnas'!$B$2:$B$100,""""),
col,IFERROR(MATCH(campo,Referencia!$A$1:$AZ$1,0),0),
fila,IFERROR(MATCH(TO_TEXT(D1192),ARRAYFOR"&amp;"MULA(TO_TEXT(Referencia!$A$2:$A6238)),0),0),
IF(OR(campo="""",campo=""-""),""NO APLICA"",
IF(col=0,""REVISAR EQUIVALENCIA"",
IF(fila=0,""SKU NO ENCONTRADO"",
LET(
valor,INDEX(Referencia!$A$2:$AZ6238,fila,col),
IF(TRIM(TO_TEXT(valor))=TRIM(TO_TEXT(I1192)),"&amp;"
""OK"",
""NO COINCIDE. Valor verdadero: ""&amp;IF(valor="""",""[VACÍO]"",TO_TEXT(valor))
)
))))
),""ERROR EN FÓRMULA""))"),"REVISAR EQUIVALENCIA")</f>
        <v>REVISAR EQUIVALENCIA</v>
      </c>
    </row>
    <row r="1193">
      <c r="A1193" s="83" t="s">
        <v>4618</v>
      </c>
      <c r="B1193" s="83" t="s">
        <v>4619</v>
      </c>
      <c r="C1193" s="81" t="s">
        <v>4621</v>
      </c>
      <c r="D1193" s="83" t="s">
        <v>4233</v>
      </c>
      <c r="E1193" s="81" t="s">
        <v>902</v>
      </c>
      <c r="F1193" s="84">
        <v>159.0</v>
      </c>
      <c r="G1193" s="81" t="s">
        <v>12</v>
      </c>
      <c r="H1193" s="81" t="s">
        <v>224</v>
      </c>
      <c r="I1193" s="81" t="s">
        <v>55</v>
      </c>
      <c r="J1193" s="81" t="s">
        <v>224</v>
      </c>
      <c r="K1193" s="81" t="str">
        <f>IFERROR(__xludf.DUMMYFUNCTION("IF(OR(D1193="""",G1193=""""),"""",IFERROR(LET(
campo,XLOOKUP(TRIM(G1193),ARRAYFORMULA(TRIM('indice columnas'!$A$2:$A$100)),'indice columnas'!$B$2:$B$100,""""),
col,IFERROR(MATCH(campo,Referencia!$A$1:$AZ$1,0),0),
fila,IFERROR(MATCH(TO_TEXT(D1193),ARRAYFOR"&amp;"MULA(TO_TEXT(Referencia!$A$2:$A6238)),0),0),
IF(OR(campo="""",campo=""-""),""NO APLICA"",
IF(col=0,""REVISAR EQUIVALENCIA"",
IF(fila=0,""SKU NO ENCONTRADO"",
LET(
valor,INDEX(Referencia!$A$2:$AZ6238,fila,col),
IF(TRIM(TO_TEXT(valor))=TRIM(TO_TEXT(I1193)),"&amp;"
""OK"",
""NO COINCIDE. Valor verdadero: ""&amp;IF(valor="""",""[VACÍO]"",TO_TEXT(valor))
)
))))
),""ERROR EN FÓRMULA""))"),"OK")</f>
        <v>OK</v>
      </c>
    </row>
    <row r="1194">
      <c r="A1194" s="83" t="s">
        <v>4618</v>
      </c>
      <c r="B1194" s="83" t="s">
        <v>4619</v>
      </c>
      <c r="C1194" s="81" t="s">
        <v>4621</v>
      </c>
      <c r="D1194" s="83" t="s">
        <v>4233</v>
      </c>
      <c r="E1194" s="81" t="s">
        <v>902</v>
      </c>
      <c r="F1194" s="84">
        <v>159.0</v>
      </c>
      <c r="G1194" s="81" t="s">
        <v>44</v>
      </c>
      <c r="H1194" s="81" t="s">
        <v>224</v>
      </c>
      <c r="I1194" s="81" t="s">
        <v>4230</v>
      </c>
      <c r="J1194" s="81" t="s">
        <v>4088</v>
      </c>
      <c r="K1194" s="81" t="str">
        <f>IFERROR(__xludf.DUMMYFUNCTION("IF(OR(D1194="""",G1194=""""),"""",IFERROR(LET(
campo,XLOOKUP(TRIM(G1194),ARRAYFORMULA(TRIM('indice columnas'!$A$2:$A$100)),'indice columnas'!$B$2:$B$100,""""),
col,IFERROR(MATCH(campo,Referencia!$A$1:$AZ$1,0),0),
fila,IFERROR(MATCH(TO_TEXT(D1194),ARRAYFOR"&amp;"MULA(TO_TEXT(Referencia!$A$2:$A6238)),0),0),
IF(OR(campo="""",campo=""-""),""NO APLICA"",
IF(col=0,""REVISAR EQUIVALENCIA"",
IF(fila=0,""SKU NO ENCONTRADO"",
LET(
valor,INDEX(Referencia!$A$2:$AZ6238,fila,col),
IF(TRIM(TO_TEXT(valor))=TRIM(TO_TEXT(I1194)),"&amp;"
""OK"",
""NO COINCIDE. Valor verdadero: ""&amp;IF(valor="""",""[VACÍO]"",TO_TEXT(valor))
)
))))
),""ERROR EN FÓRMULA""))"),"NO APLICA")</f>
        <v>NO APLICA</v>
      </c>
    </row>
    <row r="1195">
      <c r="A1195" s="83" t="s">
        <v>4618</v>
      </c>
      <c r="B1195" s="83" t="s">
        <v>4619</v>
      </c>
      <c r="C1195" s="81" t="s">
        <v>4621</v>
      </c>
      <c r="D1195" s="83" t="s">
        <v>4234</v>
      </c>
      <c r="E1195" s="81" t="s">
        <v>905</v>
      </c>
      <c r="F1195" s="84">
        <v>160.0</v>
      </c>
      <c r="G1195" s="81" t="s">
        <v>7</v>
      </c>
      <c r="H1195" s="81" t="s">
        <v>215</v>
      </c>
      <c r="I1195" s="81" t="s">
        <v>53</v>
      </c>
      <c r="J1195" s="81" t="s">
        <v>224</v>
      </c>
      <c r="K1195" s="81" t="str">
        <f>IFERROR(__xludf.DUMMYFUNCTION("IF(OR(D1195="""",G1195=""""),"""",IFERROR(LET(
campo,XLOOKUP(TRIM(G1195),ARRAYFORMULA(TRIM('indice columnas'!$A$2:$A$100)),'indice columnas'!$B$2:$B$100,""""),
col,IFERROR(MATCH(campo,Referencia!$A$1:$AZ$1,0),0),
fila,IFERROR(MATCH(TO_TEXT(D1195),ARRAYFOR"&amp;"MULA(TO_TEXT(Referencia!$A$2:$A6238)),0),0),
IF(OR(campo="""",campo=""-""),""NO APLICA"",
IF(col=0,""REVISAR EQUIVALENCIA"",
IF(fila=0,""SKU NO ENCONTRADO"",
LET(
valor,INDEX(Referencia!$A$2:$AZ6238,fila,col),
IF(TRIM(TO_TEXT(valor))=TRIM(TO_TEXT(I1195)),"&amp;"
""OK"",
""NO COINCIDE. Valor verdadero: ""&amp;IF(valor="""",""[VACÍO]"",TO_TEXT(valor))
)
))))
),""ERROR EN FÓRMULA""))"),"REVISAR EQUIVALENCIA")</f>
        <v>REVISAR EQUIVALENCIA</v>
      </c>
    </row>
    <row r="1196">
      <c r="A1196" s="83" t="s">
        <v>4618</v>
      </c>
      <c r="B1196" s="83" t="s">
        <v>4619</v>
      </c>
      <c r="C1196" s="81" t="s">
        <v>4621</v>
      </c>
      <c r="D1196" s="83" t="s">
        <v>4234</v>
      </c>
      <c r="E1196" s="81" t="s">
        <v>905</v>
      </c>
      <c r="F1196" s="84">
        <v>160.0</v>
      </c>
      <c r="G1196" s="81" t="s">
        <v>12</v>
      </c>
      <c r="H1196" s="81" t="s">
        <v>224</v>
      </c>
      <c r="I1196" s="81" t="s">
        <v>55</v>
      </c>
      <c r="J1196" s="81" t="s">
        <v>224</v>
      </c>
      <c r="K1196" s="81" t="str">
        <f>IFERROR(__xludf.DUMMYFUNCTION("IF(OR(D1196="""",G1196=""""),"""",IFERROR(LET(
campo,XLOOKUP(TRIM(G1196),ARRAYFORMULA(TRIM('indice columnas'!$A$2:$A$100)),'indice columnas'!$B$2:$B$100,""""),
col,IFERROR(MATCH(campo,Referencia!$A$1:$AZ$1,0),0),
fila,IFERROR(MATCH(TO_TEXT(D1196),ARRAYFOR"&amp;"MULA(TO_TEXT(Referencia!$A$2:$A6238)),0),0),
IF(OR(campo="""",campo=""-""),""NO APLICA"",
IF(col=0,""REVISAR EQUIVALENCIA"",
IF(fila=0,""SKU NO ENCONTRADO"",
LET(
valor,INDEX(Referencia!$A$2:$AZ6238,fila,col),
IF(TRIM(TO_TEXT(valor))=TRIM(TO_TEXT(I1196)),"&amp;"
""OK"",
""NO COINCIDE. Valor verdadero: ""&amp;IF(valor="""",""[VACÍO]"",TO_TEXT(valor))
)
))))
),""ERROR EN FÓRMULA""))"),"OK")</f>
        <v>OK</v>
      </c>
    </row>
    <row r="1197">
      <c r="A1197" s="83" t="s">
        <v>4618</v>
      </c>
      <c r="B1197" s="83" t="s">
        <v>4619</v>
      </c>
      <c r="C1197" s="81" t="s">
        <v>4621</v>
      </c>
      <c r="D1197" s="83" t="s">
        <v>4234</v>
      </c>
      <c r="E1197" s="81" t="s">
        <v>905</v>
      </c>
      <c r="F1197" s="84">
        <v>160.0</v>
      </c>
      <c r="G1197" s="81" t="s">
        <v>44</v>
      </c>
      <c r="H1197" s="81" t="s">
        <v>224</v>
      </c>
      <c r="I1197" s="81" t="s">
        <v>4230</v>
      </c>
      <c r="J1197" s="81" t="s">
        <v>4088</v>
      </c>
      <c r="K1197" s="81" t="str">
        <f>IFERROR(__xludf.DUMMYFUNCTION("IF(OR(D1197="""",G1197=""""),"""",IFERROR(LET(
campo,XLOOKUP(TRIM(G1197),ARRAYFORMULA(TRIM('indice columnas'!$A$2:$A$100)),'indice columnas'!$B$2:$B$100,""""),
col,IFERROR(MATCH(campo,Referencia!$A$1:$AZ$1,0),0),
fila,IFERROR(MATCH(TO_TEXT(D1197),ARRAYFOR"&amp;"MULA(TO_TEXT(Referencia!$A$2:$A6238)),0),0),
IF(OR(campo="""",campo=""-""),""NO APLICA"",
IF(col=0,""REVISAR EQUIVALENCIA"",
IF(fila=0,""SKU NO ENCONTRADO"",
LET(
valor,INDEX(Referencia!$A$2:$AZ6238,fila,col),
IF(TRIM(TO_TEXT(valor))=TRIM(TO_TEXT(I1197)),"&amp;"
""OK"",
""NO COINCIDE. Valor verdadero: ""&amp;IF(valor="""",""[VACÍO]"",TO_TEXT(valor))
)
))))
),""ERROR EN FÓRMULA""))"),"NO APLICA")</f>
        <v>NO APLICA</v>
      </c>
    </row>
    <row r="1198">
      <c r="A1198" s="83" t="s">
        <v>4618</v>
      </c>
      <c r="B1198" s="83" t="s">
        <v>4619</v>
      </c>
      <c r="C1198" s="81" t="s">
        <v>4621</v>
      </c>
      <c r="D1198" s="83" t="s">
        <v>4235</v>
      </c>
      <c r="E1198" s="81" t="s">
        <v>908</v>
      </c>
      <c r="F1198" s="84">
        <v>161.0</v>
      </c>
      <c r="G1198" s="81" t="s">
        <v>7</v>
      </c>
      <c r="H1198" s="81" t="s">
        <v>215</v>
      </c>
      <c r="I1198" s="81" t="s">
        <v>53</v>
      </c>
      <c r="J1198" s="81" t="s">
        <v>224</v>
      </c>
      <c r="K1198" s="81" t="str">
        <f>IFERROR(__xludf.DUMMYFUNCTION("IF(OR(D1198="""",G1198=""""),"""",IFERROR(LET(
campo,XLOOKUP(TRIM(G1198),ARRAYFORMULA(TRIM('indice columnas'!$A$2:$A$100)),'indice columnas'!$B$2:$B$100,""""),
col,IFERROR(MATCH(campo,Referencia!$A$1:$AZ$1,0),0),
fila,IFERROR(MATCH(TO_TEXT(D1198),ARRAYFOR"&amp;"MULA(TO_TEXT(Referencia!$A$2:$A6238)),0),0),
IF(OR(campo="""",campo=""-""),""NO APLICA"",
IF(col=0,""REVISAR EQUIVALENCIA"",
IF(fila=0,""SKU NO ENCONTRADO"",
LET(
valor,INDEX(Referencia!$A$2:$AZ6238,fila,col),
IF(TRIM(TO_TEXT(valor))=TRIM(TO_TEXT(I1198)),"&amp;"
""OK"",
""NO COINCIDE. Valor verdadero: ""&amp;IF(valor="""",""[VACÍO]"",TO_TEXT(valor))
)
))))
),""ERROR EN FÓRMULA""))"),"REVISAR EQUIVALENCIA")</f>
        <v>REVISAR EQUIVALENCIA</v>
      </c>
    </row>
    <row r="1199">
      <c r="A1199" s="83" t="s">
        <v>4618</v>
      </c>
      <c r="B1199" s="83" t="s">
        <v>4619</v>
      </c>
      <c r="C1199" s="81" t="s">
        <v>4621</v>
      </c>
      <c r="D1199" s="83" t="s">
        <v>4235</v>
      </c>
      <c r="E1199" s="81" t="s">
        <v>908</v>
      </c>
      <c r="F1199" s="84">
        <v>161.0</v>
      </c>
      <c r="G1199" s="81" t="s">
        <v>12</v>
      </c>
      <c r="H1199" s="81" t="s">
        <v>224</v>
      </c>
      <c r="I1199" s="81" t="s">
        <v>55</v>
      </c>
      <c r="J1199" s="81" t="s">
        <v>224</v>
      </c>
      <c r="K1199" s="81" t="str">
        <f>IFERROR(__xludf.DUMMYFUNCTION("IF(OR(D1199="""",G1199=""""),"""",IFERROR(LET(
campo,XLOOKUP(TRIM(G1199),ARRAYFORMULA(TRIM('indice columnas'!$A$2:$A$100)),'indice columnas'!$B$2:$B$100,""""),
col,IFERROR(MATCH(campo,Referencia!$A$1:$AZ$1,0),0),
fila,IFERROR(MATCH(TO_TEXT(D1199),ARRAYFOR"&amp;"MULA(TO_TEXT(Referencia!$A$2:$A6238)),0),0),
IF(OR(campo="""",campo=""-""),""NO APLICA"",
IF(col=0,""REVISAR EQUIVALENCIA"",
IF(fila=0,""SKU NO ENCONTRADO"",
LET(
valor,INDEX(Referencia!$A$2:$AZ6238,fila,col),
IF(TRIM(TO_TEXT(valor))=TRIM(TO_TEXT(I1199)),"&amp;"
""OK"",
""NO COINCIDE. Valor verdadero: ""&amp;IF(valor="""",""[VACÍO]"",TO_TEXT(valor))
)
))))
),""ERROR EN FÓRMULA""))"),"OK")</f>
        <v>OK</v>
      </c>
    </row>
    <row r="1200">
      <c r="A1200" s="83" t="s">
        <v>4618</v>
      </c>
      <c r="B1200" s="83" t="s">
        <v>4619</v>
      </c>
      <c r="C1200" s="81" t="s">
        <v>4621</v>
      </c>
      <c r="D1200" s="83" t="s">
        <v>4235</v>
      </c>
      <c r="E1200" s="81" t="s">
        <v>908</v>
      </c>
      <c r="F1200" s="84">
        <v>161.0</v>
      </c>
      <c r="G1200" s="81" t="s">
        <v>44</v>
      </c>
      <c r="H1200" s="81" t="s">
        <v>224</v>
      </c>
      <c r="I1200" s="81" t="s">
        <v>4236</v>
      </c>
      <c r="J1200" s="81" t="s">
        <v>4088</v>
      </c>
      <c r="K1200" s="81" t="str">
        <f>IFERROR(__xludf.DUMMYFUNCTION("IF(OR(D1200="""",G1200=""""),"""",IFERROR(LET(
campo,XLOOKUP(TRIM(G1200),ARRAYFORMULA(TRIM('indice columnas'!$A$2:$A$100)),'indice columnas'!$B$2:$B$100,""""),
col,IFERROR(MATCH(campo,Referencia!$A$1:$AZ$1,0),0),
fila,IFERROR(MATCH(TO_TEXT(D1200),ARRAYFOR"&amp;"MULA(TO_TEXT(Referencia!$A$2:$A6238)),0),0),
IF(OR(campo="""",campo=""-""),""NO APLICA"",
IF(col=0,""REVISAR EQUIVALENCIA"",
IF(fila=0,""SKU NO ENCONTRADO"",
LET(
valor,INDEX(Referencia!$A$2:$AZ6238,fila,col),
IF(TRIM(TO_TEXT(valor))=TRIM(TO_TEXT(I1200)),"&amp;"
""OK"",
""NO COINCIDE. Valor verdadero: ""&amp;IF(valor="""",""[VACÍO]"",TO_TEXT(valor))
)
))))
),""ERROR EN FÓRMULA""))"),"NO APLICA")</f>
        <v>NO APLICA</v>
      </c>
    </row>
    <row r="1201">
      <c r="A1201" s="83" t="s">
        <v>4618</v>
      </c>
      <c r="B1201" s="83" t="s">
        <v>4619</v>
      </c>
      <c r="C1201" s="81" t="s">
        <v>4621</v>
      </c>
      <c r="D1201" s="83" t="s">
        <v>4237</v>
      </c>
      <c r="E1201" s="81" t="s">
        <v>916</v>
      </c>
      <c r="F1201" s="84">
        <v>162.0</v>
      </c>
      <c r="G1201" s="81" t="s">
        <v>7</v>
      </c>
      <c r="H1201" s="81" t="s">
        <v>215</v>
      </c>
      <c r="I1201" s="81" t="s">
        <v>53</v>
      </c>
      <c r="J1201" s="81" t="s">
        <v>224</v>
      </c>
      <c r="K1201" s="81" t="str">
        <f>IFERROR(__xludf.DUMMYFUNCTION("IF(OR(D1201="""",G1201=""""),"""",IFERROR(LET(
campo,XLOOKUP(TRIM(G1201),ARRAYFORMULA(TRIM('indice columnas'!$A$2:$A$100)),'indice columnas'!$B$2:$B$100,""""),
col,IFERROR(MATCH(campo,Referencia!$A$1:$AZ$1,0),0),
fila,IFERROR(MATCH(TO_TEXT(D1201),ARRAYFOR"&amp;"MULA(TO_TEXT(Referencia!$A$2:$A6238)),0),0),
IF(OR(campo="""",campo=""-""),""NO APLICA"",
IF(col=0,""REVISAR EQUIVALENCIA"",
IF(fila=0,""SKU NO ENCONTRADO"",
LET(
valor,INDEX(Referencia!$A$2:$AZ6238,fila,col),
IF(TRIM(TO_TEXT(valor))=TRIM(TO_TEXT(I1201)),"&amp;"
""OK"",
""NO COINCIDE. Valor verdadero: ""&amp;IF(valor="""",""[VACÍO]"",TO_TEXT(valor))
)
))))
),""ERROR EN FÓRMULA""))"),"REVISAR EQUIVALENCIA")</f>
        <v>REVISAR EQUIVALENCIA</v>
      </c>
    </row>
    <row r="1202">
      <c r="A1202" s="83" t="s">
        <v>4618</v>
      </c>
      <c r="B1202" s="83" t="s">
        <v>4619</v>
      </c>
      <c r="C1202" s="81" t="s">
        <v>4621</v>
      </c>
      <c r="D1202" s="83" t="s">
        <v>4237</v>
      </c>
      <c r="E1202" s="81" t="s">
        <v>916</v>
      </c>
      <c r="F1202" s="84">
        <v>162.0</v>
      </c>
      <c r="G1202" s="81" t="s">
        <v>12</v>
      </c>
      <c r="H1202" s="81" t="s">
        <v>224</v>
      </c>
      <c r="I1202" s="81" t="s">
        <v>55</v>
      </c>
      <c r="J1202" s="81" t="s">
        <v>224</v>
      </c>
      <c r="K1202" s="81" t="str">
        <f>IFERROR(__xludf.DUMMYFUNCTION("IF(OR(D1202="""",G1202=""""),"""",IFERROR(LET(
campo,XLOOKUP(TRIM(G1202),ARRAYFORMULA(TRIM('indice columnas'!$A$2:$A$100)),'indice columnas'!$B$2:$B$100,""""),
col,IFERROR(MATCH(campo,Referencia!$A$1:$AZ$1,0),0),
fila,IFERROR(MATCH(TO_TEXT(D1202),ARRAYFOR"&amp;"MULA(TO_TEXT(Referencia!$A$2:$A6238)),0),0),
IF(OR(campo="""",campo=""-""),""NO APLICA"",
IF(col=0,""REVISAR EQUIVALENCIA"",
IF(fila=0,""SKU NO ENCONTRADO"",
LET(
valor,INDEX(Referencia!$A$2:$AZ6238,fila,col),
IF(TRIM(TO_TEXT(valor))=TRIM(TO_TEXT(I1202)),"&amp;"
""OK"",
""NO COINCIDE. Valor verdadero: ""&amp;IF(valor="""",""[VACÍO]"",TO_TEXT(valor))
)
))))
),""ERROR EN FÓRMULA""))"),"OK")</f>
        <v>OK</v>
      </c>
    </row>
    <row r="1203">
      <c r="A1203" s="83" t="s">
        <v>4618</v>
      </c>
      <c r="B1203" s="83" t="s">
        <v>4619</v>
      </c>
      <c r="C1203" s="81" t="s">
        <v>4621</v>
      </c>
      <c r="D1203" s="83" t="s">
        <v>4237</v>
      </c>
      <c r="E1203" s="81" t="s">
        <v>916</v>
      </c>
      <c r="F1203" s="84">
        <v>162.0</v>
      </c>
      <c r="G1203" s="81" t="s">
        <v>44</v>
      </c>
      <c r="H1203" s="81" t="s">
        <v>224</v>
      </c>
      <c r="I1203" s="81" t="s">
        <v>4236</v>
      </c>
      <c r="J1203" s="81" t="s">
        <v>4088</v>
      </c>
      <c r="K1203" s="81" t="str">
        <f>IFERROR(__xludf.DUMMYFUNCTION("IF(OR(D1203="""",G1203=""""),"""",IFERROR(LET(
campo,XLOOKUP(TRIM(G1203),ARRAYFORMULA(TRIM('indice columnas'!$A$2:$A$100)),'indice columnas'!$B$2:$B$100,""""),
col,IFERROR(MATCH(campo,Referencia!$A$1:$AZ$1,0),0),
fila,IFERROR(MATCH(TO_TEXT(D1203),ARRAYFOR"&amp;"MULA(TO_TEXT(Referencia!$A$2:$A6238)),0),0),
IF(OR(campo="""",campo=""-""),""NO APLICA"",
IF(col=0,""REVISAR EQUIVALENCIA"",
IF(fila=0,""SKU NO ENCONTRADO"",
LET(
valor,INDEX(Referencia!$A$2:$AZ6238,fila,col),
IF(TRIM(TO_TEXT(valor))=TRIM(TO_TEXT(I1203)),"&amp;"
""OK"",
""NO COINCIDE. Valor verdadero: ""&amp;IF(valor="""",""[VACÍO]"",TO_TEXT(valor))
)
))))
),""ERROR EN FÓRMULA""))"),"NO APLICA")</f>
        <v>NO APLICA</v>
      </c>
    </row>
    <row r="1204">
      <c r="A1204" s="83" t="s">
        <v>4618</v>
      </c>
      <c r="B1204" s="83" t="s">
        <v>4619</v>
      </c>
      <c r="C1204" s="81" t="s">
        <v>4621</v>
      </c>
      <c r="D1204" s="83" t="s">
        <v>4238</v>
      </c>
      <c r="E1204" s="81" t="s">
        <v>918</v>
      </c>
      <c r="F1204" s="84">
        <v>163.0</v>
      </c>
      <c r="G1204" s="81" t="s">
        <v>12</v>
      </c>
      <c r="H1204" s="81" t="s">
        <v>224</v>
      </c>
      <c r="I1204" s="81" t="s">
        <v>55</v>
      </c>
      <c r="J1204" s="81" t="s">
        <v>224</v>
      </c>
      <c r="K1204" s="81" t="str">
        <f>IFERROR(__xludf.DUMMYFUNCTION("IF(OR(D1204="""",G1204=""""),"""",IFERROR(LET(
campo,XLOOKUP(TRIM(G1204),ARRAYFORMULA(TRIM('indice columnas'!$A$2:$A$100)),'indice columnas'!$B$2:$B$100,""""),
col,IFERROR(MATCH(campo,Referencia!$A$1:$AZ$1,0),0),
fila,IFERROR(MATCH(TO_TEXT(D1204),ARRAYFOR"&amp;"MULA(TO_TEXT(Referencia!$A$2:$A6238)),0),0),
IF(OR(campo="""",campo=""-""),""NO APLICA"",
IF(col=0,""REVISAR EQUIVALENCIA"",
IF(fila=0,""SKU NO ENCONTRADO"",
LET(
valor,INDEX(Referencia!$A$2:$AZ6238,fila,col),
IF(TRIM(TO_TEXT(valor))=TRIM(TO_TEXT(I1204)),"&amp;"
""OK"",
""NO COINCIDE. Valor verdadero: ""&amp;IF(valor="""",""[VACÍO]"",TO_TEXT(valor))
)
))))
),""ERROR EN FÓRMULA""))"),"OK")</f>
        <v>OK</v>
      </c>
    </row>
    <row r="1205">
      <c r="A1205" s="83" t="s">
        <v>4618</v>
      </c>
      <c r="B1205" s="83" t="s">
        <v>4619</v>
      </c>
      <c r="C1205" s="81" t="s">
        <v>4621</v>
      </c>
      <c r="D1205" s="83" t="s">
        <v>4238</v>
      </c>
      <c r="E1205" s="81" t="s">
        <v>918</v>
      </c>
      <c r="F1205" s="84">
        <v>163.0</v>
      </c>
      <c r="G1205" s="81" t="s">
        <v>44</v>
      </c>
      <c r="H1205" s="81" t="s">
        <v>224</v>
      </c>
      <c r="I1205" s="81" t="s">
        <v>924</v>
      </c>
      <c r="J1205" s="81" t="s">
        <v>4088</v>
      </c>
      <c r="K1205" s="81" t="str">
        <f>IFERROR(__xludf.DUMMYFUNCTION("IF(OR(D1205="""",G1205=""""),"""",IFERROR(LET(
campo,XLOOKUP(TRIM(G1205),ARRAYFORMULA(TRIM('indice columnas'!$A$2:$A$100)),'indice columnas'!$B$2:$B$100,""""),
col,IFERROR(MATCH(campo,Referencia!$A$1:$AZ$1,0),0),
fila,IFERROR(MATCH(TO_TEXT(D1205),ARRAYFOR"&amp;"MULA(TO_TEXT(Referencia!$A$2:$A6238)),0),0),
IF(OR(campo="""",campo=""-""),""NO APLICA"",
IF(col=0,""REVISAR EQUIVALENCIA"",
IF(fila=0,""SKU NO ENCONTRADO"",
LET(
valor,INDEX(Referencia!$A$2:$AZ6238,fila,col),
IF(TRIM(TO_TEXT(valor))=TRIM(TO_TEXT(I1205)),"&amp;"
""OK"",
""NO COINCIDE. Valor verdadero: ""&amp;IF(valor="""",""[VACÍO]"",TO_TEXT(valor))
)
))))
),""ERROR EN FÓRMULA""))"),"NO APLICA")</f>
        <v>NO APLICA</v>
      </c>
    </row>
    <row r="1206">
      <c r="A1206" s="83" t="s">
        <v>4618</v>
      </c>
      <c r="B1206" s="83" t="s">
        <v>4619</v>
      </c>
      <c r="C1206" s="81" t="s">
        <v>4621</v>
      </c>
      <c r="D1206" s="83" t="s">
        <v>4239</v>
      </c>
      <c r="E1206" s="81" t="s">
        <v>925</v>
      </c>
      <c r="F1206" s="84">
        <v>164.0</v>
      </c>
      <c r="G1206" s="81" t="s">
        <v>44</v>
      </c>
      <c r="H1206" s="81" t="s">
        <v>224</v>
      </c>
      <c r="I1206" s="81" t="s">
        <v>924</v>
      </c>
      <c r="J1206" s="81" t="s">
        <v>4088</v>
      </c>
      <c r="K1206" s="81" t="str">
        <f>IFERROR(__xludf.DUMMYFUNCTION("IF(OR(D1206="""",G1206=""""),"""",IFERROR(LET(
campo,XLOOKUP(TRIM(G1206),ARRAYFORMULA(TRIM('indice columnas'!$A$2:$A$100)),'indice columnas'!$B$2:$B$100,""""),
col,IFERROR(MATCH(campo,Referencia!$A$1:$AZ$1,0),0),
fila,IFERROR(MATCH(TO_TEXT(D1206),ARRAYFOR"&amp;"MULA(TO_TEXT(Referencia!$A$2:$A6238)),0),0),
IF(OR(campo="""",campo=""-""),""NO APLICA"",
IF(col=0,""REVISAR EQUIVALENCIA"",
IF(fila=0,""SKU NO ENCONTRADO"",
LET(
valor,INDEX(Referencia!$A$2:$AZ6238,fila,col),
IF(TRIM(TO_TEXT(valor))=TRIM(TO_TEXT(I1206)),"&amp;"
""OK"",
""NO COINCIDE. Valor verdadero: ""&amp;IF(valor="""",""[VACÍO]"",TO_TEXT(valor))
)
))))
),""ERROR EN FÓRMULA""))"),"NO APLICA")</f>
        <v>NO APLICA</v>
      </c>
    </row>
    <row r="1207">
      <c r="A1207" s="83" t="s">
        <v>4618</v>
      </c>
      <c r="B1207" s="83" t="s">
        <v>4619</v>
      </c>
      <c r="C1207" s="81" t="s">
        <v>4621</v>
      </c>
      <c r="D1207" s="83" t="s">
        <v>4239</v>
      </c>
      <c r="E1207" s="81" t="s">
        <v>934</v>
      </c>
      <c r="F1207" s="84">
        <v>165.0</v>
      </c>
      <c r="G1207" s="81" t="s">
        <v>12</v>
      </c>
      <c r="H1207" s="81" t="s">
        <v>224</v>
      </c>
      <c r="I1207" s="81" t="s">
        <v>55</v>
      </c>
      <c r="J1207" s="81" t="s">
        <v>224</v>
      </c>
      <c r="K1207" s="81" t="str">
        <f>IFERROR(__xludf.DUMMYFUNCTION("IF(OR(D1207="""",G1207=""""),"""",IFERROR(LET(
campo,XLOOKUP(TRIM(G1207),ARRAYFORMULA(TRIM('indice columnas'!$A$2:$A$100)),'indice columnas'!$B$2:$B$100,""""),
col,IFERROR(MATCH(campo,Referencia!$A$1:$AZ$1,0),0),
fila,IFERROR(MATCH(TO_TEXT(D1207),ARRAYFOR"&amp;"MULA(TO_TEXT(Referencia!$A$2:$A6238)),0),0),
IF(OR(campo="""",campo=""-""),""NO APLICA"",
IF(col=0,""REVISAR EQUIVALENCIA"",
IF(fila=0,""SKU NO ENCONTRADO"",
LET(
valor,INDEX(Referencia!$A$2:$AZ6238,fila,col),
IF(TRIM(TO_TEXT(valor))=TRIM(TO_TEXT(I1207)),"&amp;"
""OK"",
""NO COINCIDE. Valor verdadero: ""&amp;IF(valor="""",""[VACÍO]"",TO_TEXT(valor))
)
))))
),""ERROR EN FÓRMULA""))"),"OK")</f>
        <v>OK</v>
      </c>
    </row>
    <row r="1208">
      <c r="A1208" s="83" t="s">
        <v>4618</v>
      </c>
      <c r="B1208" s="83" t="s">
        <v>4619</v>
      </c>
      <c r="C1208" s="81" t="s">
        <v>4621</v>
      </c>
      <c r="D1208" s="83" t="s">
        <v>4239</v>
      </c>
      <c r="E1208" s="81" t="s">
        <v>934</v>
      </c>
      <c r="F1208" s="84">
        <v>165.0</v>
      </c>
      <c r="G1208" s="81" t="s">
        <v>44</v>
      </c>
      <c r="H1208" s="81" t="s">
        <v>224</v>
      </c>
      <c r="I1208" s="81" t="s">
        <v>924</v>
      </c>
      <c r="J1208" s="81" t="s">
        <v>4088</v>
      </c>
      <c r="K1208" s="81" t="str">
        <f>IFERROR(__xludf.DUMMYFUNCTION("IF(OR(D1208="""",G1208=""""),"""",IFERROR(LET(
campo,XLOOKUP(TRIM(G1208),ARRAYFORMULA(TRIM('indice columnas'!$A$2:$A$100)),'indice columnas'!$B$2:$B$100,""""),
col,IFERROR(MATCH(campo,Referencia!$A$1:$AZ$1,0),0),
fila,IFERROR(MATCH(TO_TEXT(D1208),ARRAYFOR"&amp;"MULA(TO_TEXT(Referencia!$A$2:$A6238)),0),0),
IF(OR(campo="""",campo=""-""),""NO APLICA"",
IF(col=0,""REVISAR EQUIVALENCIA"",
IF(fila=0,""SKU NO ENCONTRADO"",
LET(
valor,INDEX(Referencia!$A$2:$AZ6238,fila,col),
IF(TRIM(TO_TEXT(valor))=TRIM(TO_TEXT(I1208)),"&amp;"
""OK"",
""NO COINCIDE. Valor verdadero: ""&amp;IF(valor="""",""[VACÍO]"",TO_TEXT(valor))
)
))))
),""ERROR EN FÓRMULA""))"),"NO APLICA")</f>
        <v>NO APLICA</v>
      </c>
    </row>
    <row r="1209">
      <c r="A1209" s="83" t="s">
        <v>4618</v>
      </c>
      <c r="B1209" s="83" t="s">
        <v>4619</v>
      </c>
      <c r="C1209" s="81" t="s">
        <v>4621</v>
      </c>
      <c r="D1209" s="83" t="s">
        <v>4240</v>
      </c>
      <c r="E1209" s="81" t="s">
        <v>935</v>
      </c>
      <c r="F1209" s="84">
        <v>166.0</v>
      </c>
      <c r="G1209" s="81" t="s">
        <v>12</v>
      </c>
      <c r="H1209" s="81" t="s">
        <v>224</v>
      </c>
      <c r="I1209" s="81" t="s">
        <v>55</v>
      </c>
      <c r="J1209" s="81" t="s">
        <v>224</v>
      </c>
      <c r="K1209" s="81" t="str">
        <f>IFERROR(__xludf.DUMMYFUNCTION("IF(OR(D1209="""",G1209=""""),"""",IFERROR(LET(
campo,XLOOKUP(TRIM(G1209),ARRAYFORMULA(TRIM('indice columnas'!$A$2:$A$100)),'indice columnas'!$B$2:$B$100,""""),
col,IFERROR(MATCH(campo,Referencia!$A$1:$AZ$1,0),0),
fila,IFERROR(MATCH(TO_TEXT(D1209),ARRAYFOR"&amp;"MULA(TO_TEXT(Referencia!$A$2:$A6238)),0),0),
IF(OR(campo="""",campo=""-""),""NO APLICA"",
IF(col=0,""REVISAR EQUIVALENCIA"",
IF(fila=0,""SKU NO ENCONTRADO"",
LET(
valor,INDEX(Referencia!$A$2:$AZ6238,fila,col),
IF(TRIM(TO_TEXT(valor))=TRIM(TO_TEXT(I1209)),"&amp;"
""OK"",
""NO COINCIDE. Valor verdadero: ""&amp;IF(valor="""",""[VACÍO]"",TO_TEXT(valor))
)
))))
),""ERROR EN FÓRMULA""))"),"OK")</f>
        <v>OK</v>
      </c>
    </row>
    <row r="1210">
      <c r="A1210" s="83" t="s">
        <v>4618</v>
      </c>
      <c r="B1210" s="83" t="s">
        <v>4619</v>
      </c>
      <c r="C1210" s="81" t="s">
        <v>4621</v>
      </c>
      <c r="D1210" s="83" t="s">
        <v>4240</v>
      </c>
      <c r="E1210" s="81" t="s">
        <v>935</v>
      </c>
      <c r="F1210" s="84">
        <v>166.0</v>
      </c>
      <c r="G1210" s="81" t="s">
        <v>44</v>
      </c>
      <c r="H1210" s="81" t="s">
        <v>224</v>
      </c>
      <c r="I1210" s="81" t="s">
        <v>924</v>
      </c>
      <c r="J1210" s="81" t="s">
        <v>4088</v>
      </c>
      <c r="K1210" s="81" t="str">
        <f>IFERROR(__xludf.DUMMYFUNCTION("IF(OR(D1210="""",G1210=""""),"""",IFERROR(LET(
campo,XLOOKUP(TRIM(G1210),ARRAYFORMULA(TRIM('indice columnas'!$A$2:$A$100)),'indice columnas'!$B$2:$B$100,""""),
col,IFERROR(MATCH(campo,Referencia!$A$1:$AZ$1,0),0),
fila,IFERROR(MATCH(TO_TEXT(D1210),ARRAYFOR"&amp;"MULA(TO_TEXT(Referencia!$A$2:$A6238)),0),0),
IF(OR(campo="""",campo=""-""),""NO APLICA"",
IF(col=0,""REVISAR EQUIVALENCIA"",
IF(fila=0,""SKU NO ENCONTRADO"",
LET(
valor,INDEX(Referencia!$A$2:$AZ6238,fila,col),
IF(TRIM(TO_TEXT(valor))=TRIM(TO_TEXT(I1210)),"&amp;"
""OK"",
""NO COINCIDE. Valor verdadero: ""&amp;IF(valor="""",""[VACÍO]"",TO_TEXT(valor))
)
))))
),""ERROR EN FÓRMULA""))"),"NO APLICA")</f>
        <v>NO APLICA</v>
      </c>
    </row>
    <row r="1211">
      <c r="A1211" s="83" t="s">
        <v>4618</v>
      </c>
      <c r="B1211" s="83" t="s">
        <v>4619</v>
      </c>
      <c r="C1211" s="81" t="s">
        <v>4621</v>
      </c>
      <c r="D1211" s="83" t="s">
        <v>4241</v>
      </c>
      <c r="E1211" s="81" t="s">
        <v>938</v>
      </c>
      <c r="F1211" s="84">
        <v>167.0</v>
      </c>
      <c r="G1211" s="81" t="s">
        <v>44</v>
      </c>
      <c r="H1211" s="81" t="s">
        <v>224</v>
      </c>
      <c r="I1211" s="81" t="s">
        <v>924</v>
      </c>
      <c r="J1211" s="81" t="s">
        <v>4088</v>
      </c>
      <c r="K1211" s="81" t="str">
        <f>IFERROR(__xludf.DUMMYFUNCTION("IF(OR(D1211="""",G1211=""""),"""",IFERROR(LET(
campo,XLOOKUP(TRIM(G1211),ARRAYFORMULA(TRIM('indice columnas'!$A$2:$A$100)),'indice columnas'!$B$2:$B$100,""""),
col,IFERROR(MATCH(campo,Referencia!$A$1:$AZ$1,0),0),
fila,IFERROR(MATCH(TO_TEXT(D1211),ARRAYFOR"&amp;"MULA(TO_TEXT(Referencia!$A$2:$A6238)),0),0),
IF(OR(campo="""",campo=""-""),""NO APLICA"",
IF(col=0,""REVISAR EQUIVALENCIA"",
IF(fila=0,""SKU NO ENCONTRADO"",
LET(
valor,INDEX(Referencia!$A$2:$AZ6238,fila,col),
IF(TRIM(TO_TEXT(valor))=TRIM(TO_TEXT(I1211)),"&amp;"
""OK"",
""NO COINCIDE. Valor verdadero: ""&amp;IF(valor="""",""[VACÍO]"",TO_TEXT(valor))
)
))))
),""ERROR EN FÓRMULA""))"),"NO APLICA")</f>
        <v>NO APLICA</v>
      </c>
    </row>
    <row r="1212">
      <c r="A1212" s="83" t="s">
        <v>4618</v>
      </c>
      <c r="B1212" s="83" t="s">
        <v>4619</v>
      </c>
      <c r="C1212" s="81" t="s">
        <v>4621</v>
      </c>
      <c r="D1212" s="83" t="s">
        <v>4241</v>
      </c>
      <c r="E1212" s="81" t="s">
        <v>943</v>
      </c>
      <c r="F1212" s="84">
        <v>168.0</v>
      </c>
      <c r="G1212" s="81" t="s">
        <v>12</v>
      </c>
      <c r="H1212" s="81" t="s">
        <v>224</v>
      </c>
      <c r="I1212" s="81" t="s">
        <v>55</v>
      </c>
      <c r="J1212" s="81" t="s">
        <v>224</v>
      </c>
      <c r="K1212" s="81" t="str">
        <f>IFERROR(__xludf.DUMMYFUNCTION("IF(OR(D1212="""",G1212=""""),"""",IFERROR(LET(
campo,XLOOKUP(TRIM(G1212),ARRAYFORMULA(TRIM('indice columnas'!$A$2:$A$100)),'indice columnas'!$B$2:$B$100,""""),
col,IFERROR(MATCH(campo,Referencia!$A$1:$AZ$1,0),0),
fila,IFERROR(MATCH(TO_TEXT(D1212),ARRAYFOR"&amp;"MULA(TO_TEXT(Referencia!$A$2:$A6238)),0),0),
IF(OR(campo="""",campo=""-""),""NO APLICA"",
IF(col=0,""REVISAR EQUIVALENCIA"",
IF(fila=0,""SKU NO ENCONTRADO"",
LET(
valor,INDEX(Referencia!$A$2:$AZ6238,fila,col),
IF(TRIM(TO_TEXT(valor))=TRIM(TO_TEXT(I1212)),"&amp;"
""OK"",
""NO COINCIDE. Valor verdadero: ""&amp;IF(valor="""",""[VACÍO]"",TO_TEXT(valor))
)
))))
),""ERROR EN FÓRMULA""))"),"OK")</f>
        <v>OK</v>
      </c>
    </row>
    <row r="1213">
      <c r="A1213" s="83" t="s">
        <v>4618</v>
      </c>
      <c r="B1213" s="83" t="s">
        <v>4619</v>
      </c>
      <c r="C1213" s="81" t="s">
        <v>4621</v>
      </c>
      <c r="D1213" s="83" t="s">
        <v>4241</v>
      </c>
      <c r="E1213" s="81" t="s">
        <v>943</v>
      </c>
      <c r="F1213" s="84">
        <v>168.0</v>
      </c>
      <c r="G1213" s="81" t="s">
        <v>44</v>
      </c>
      <c r="H1213" s="81" t="s">
        <v>224</v>
      </c>
      <c r="I1213" s="81" t="s">
        <v>924</v>
      </c>
      <c r="J1213" s="81" t="s">
        <v>4088</v>
      </c>
      <c r="K1213" s="81" t="str">
        <f>IFERROR(__xludf.DUMMYFUNCTION("IF(OR(D1213="""",G1213=""""),"""",IFERROR(LET(
campo,XLOOKUP(TRIM(G1213),ARRAYFORMULA(TRIM('indice columnas'!$A$2:$A$100)),'indice columnas'!$B$2:$B$100,""""),
col,IFERROR(MATCH(campo,Referencia!$A$1:$AZ$1,0),0),
fila,IFERROR(MATCH(TO_TEXT(D1213),ARRAYFOR"&amp;"MULA(TO_TEXT(Referencia!$A$2:$A6238)),0),0),
IF(OR(campo="""",campo=""-""),""NO APLICA"",
IF(col=0,""REVISAR EQUIVALENCIA"",
IF(fila=0,""SKU NO ENCONTRADO"",
LET(
valor,INDEX(Referencia!$A$2:$AZ6238,fila,col),
IF(TRIM(TO_TEXT(valor))=TRIM(TO_TEXT(I1213)),"&amp;"
""OK"",
""NO COINCIDE. Valor verdadero: ""&amp;IF(valor="""",""[VACÍO]"",TO_TEXT(valor))
)
))))
),""ERROR EN FÓRMULA""))"),"NO APLICA")</f>
        <v>NO APLICA</v>
      </c>
    </row>
    <row r="1214">
      <c r="A1214" s="83" t="s">
        <v>4618</v>
      </c>
      <c r="B1214" s="83" t="s">
        <v>4619</v>
      </c>
      <c r="C1214" s="81" t="s">
        <v>4621</v>
      </c>
      <c r="D1214" s="83" t="s">
        <v>4242</v>
      </c>
      <c r="E1214" s="81" t="s">
        <v>944</v>
      </c>
      <c r="F1214" s="84">
        <v>169.0</v>
      </c>
      <c r="G1214" s="81" t="s">
        <v>12</v>
      </c>
      <c r="H1214" s="81" t="s">
        <v>224</v>
      </c>
      <c r="I1214" s="81" t="s">
        <v>55</v>
      </c>
      <c r="J1214" s="81" t="s">
        <v>224</v>
      </c>
      <c r="K1214" s="81" t="str">
        <f>IFERROR(__xludf.DUMMYFUNCTION("IF(OR(D1214="""",G1214=""""),"""",IFERROR(LET(
campo,XLOOKUP(TRIM(G1214),ARRAYFORMULA(TRIM('indice columnas'!$A$2:$A$100)),'indice columnas'!$B$2:$B$100,""""),
col,IFERROR(MATCH(campo,Referencia!$A$1:$AZ$1,0),0),
fila,IFERROR(MATCH(TO_TEXT(D1214),ARRAYFOR"&amp;"MULA(TO_TEXT(Referencia!$A$2:$A6238)),0),0),
IF(OR(campo="""",campo=""-""),""NO APLICA"",
IF(col=0,""REVISAR EQUIVALENCIA"",
IF(fila=0,""SKU NO ENCONTRADO"",
LET(
valor,INDEX(Referencia!$A$2:$AZ6238,fila,col),
IF(TRIM(TO_TEXT(valor))=TRIM(TO_TEXT(I1214)),"&amp;"
""OK"",
""NO COINCIDE. Valor verdadero: ""&amp;IF(valor="""",""[VACÍO]"",TO_TEXT(valor))
)
))))
),""ERROR EN FÓRMULA""))"),"OK")</f>
        <v>OK</v>
      </c>
    </row>
    <row r="1215">
      <c r="A1215" s="83" t="s">
        <v>4618</v>
      </c>
      <c r="B1215" s="83" t="s">
        <v>4619</v>
      </c>
      <c r="C1215" s="81" t="s">
        <v>4621</v>
      </c>
      <c r="D1215" s="83" t="s">
        <v>4242</v>
      </c>
      <c r="E1215" s="81" t="s">
        <v>944</v>
      </c>
      <c r="F1215" s="84">
        <v>169.0</v>
      </c>
      <c r="G1215" s="81" t="s">
        <v>44</v>
      </c>
      <c r="H1215" s="81" t="s">
        <v>224</v>
      </c>
      <c r="I1215" s="81" t="s">
        <v>924</v>
      </c>
      <c r="J1215" s="81" t="s">
        <v>4088</v>
      </c>
      <c r="K1215" s="81" t="str">
        <f>IFERROR(__xludf.DUMMYFUNCTION("IF(OR(D1215="""",G1215=""""),"""",IFERROR(LET(
campo,XLOOKUP(TRIM(G1215),ARRAYFORMULA(TRIM('indice columnas'!$A$2:$A$100)),'indice columnas'!$B$2:$B$100,""""),
col,IFERROR(MATCH(campo,Referencia!$A$1:$AZ$1,0),0),
fila,IFERROR(MATCH(TO_TEXT(D1215),ARRAYFOR"&amp;"MULA(TO_TEXT(Referencia!$A$2:$A6238)),0),0),
IF(OR(campo="""",campo=""-""),""NO APLICA"",
IF(col=0,""REVISAR EQUIVALENCIA"",
IF(fila=0,""SKU NO ENCONTRADO"",
LET(
valor,INDEX(Referencia!$A$2:$AZ6238,fila,col),
IF(TRIM(TO_TEXT(valor))=TRIM(TO_TEXT(I1215)),"&amp;"
""OK"",
""NO COINCIDE. Valor verdadero: ""&amp;IF(valor="""",""[VACÍO]"",TO_TEXT(valor))
)
))))
),""ERROR EN FÓRMULA""))"),"NO APLICA")</f>
        <v>NO APLICA</v>
      </c>
    </row>
    <row r="1216">
      <c r="A1216" s="83" t="s">
        <v>4618</v>
      </c>
      <c r="B1216" s="83" t="s">
        <v>4619</v>
      </c>
      <c r="C1216" s="81" t="s">
        <v>4621</v>
      </c>
      <c r="D1216" s="83" t="s">
        <v>4243</v>
      </c>
      <c r="E1216" s="81" t="s">
        <v>947</v>
      </c>
      <c r="F1216" s="84">
        <v>170.0</v>
      </c>
      <c r="G1216" s="81" t="s">
        <v>44</v>
      </c>
      <c r="H1216" s="81" t="s">
        <v>224</v>
      </c>
      <c r="I1216" s="81" t="s">
        <v>924</v>
      </c>
      <c r="J1216" s="81" t="s">
        <v>4088</v>
      </c>
      <c r="K1216" s="81" t="str">
        <f>IFERROR(__xludf.DUMMYFUNCTION("IF(OR(D1216="""",G1216=""""),"""",IFERROR(LET(
campo,XLOOKUP(TRIM(G1216),ARRAYFORMULA(TRIM('indice columnas'!$A$2:$A$100)),'indice columnas'!$B$2:$B$100,""""),
col,IFERROR(MATCH(campo,Referencia!$A$1:$AZ$1,0),0),
fila,IFERROR(MATCH(TO_TEXT(D1216),ARRAYFOR"&amp;"MULA(TO_TEXT(Referencia!$A$2:$A6238)),0),0),
IF(OR(campo="""",campo=""-""),""NO APLICA"",
IF(col=0,""REVISAR EQUIVALENCIA"",
IF(fila=0,""SKU NO ENCONTRADO"",
LET(
valor,INDEX(Referencia!$A$2:$AZ6238,fila,col),
IF(TRIM(TO_TEXT(valor))=TRIM(TO_TEXT(I1216)),"&amp;"
""OK"",
""NO COINCIDE. Valor verdadero: ""&amp;IF(valor="""",""[VACÍO]"",TO_TEXT(valor))
)
))))
),""ERROR EN FÓRMULA""))"),"NO APLICA")</f>
        <v>NO APLICA</v>
      </c>
    </row>
    <row r="1217">
      <c r="A1217" s="83" t="s">
        <v>4618</v>
      </c>
      <c r="B1217" s="83" t="s">
        <v>4619</v>
      </c>
      <c r="C1217" s="81" t="s">
        <v>4621</v>
      </c>
      <c r="D1217" s="83" t="s">
        <v>4243</v>
      </c>
      <c r="E1217" s="81" t="s">
        <v>951</v>
      </c>
      <c r="F1217" s="84">
        <v>171.0</v>
      </c>
      <c r="G1217" s="81" t="s">
        <v>12</v>
      </c>
      <c r="H1217" s="81" t="s">
        <v>224</v>
      </c>
      <c r="I1217" s="81" t="s">
        <v>55</v>
      </c>
      <c r="J1217" s="81" t="s">
        <v>224</v>
      </c>
      <c r="K1217" s="81" t="str">
        <f>IFERROR(__xludf.DUMMYFUNCTION("IF(OR(D1217="""",G1217=""""),"""",IFERROR(LET(
campo,XLOOKUP(TRIM(G1217),ARRAYFORMULA(TRIM('indice columnas'!$A$2:$A$100)),'indice columnas'!$B$2:$B$100,""""),
col,IFERROR(MATCH(campo,Referencia!$A$1:$AZ$1,0),0),
fila,IFERROR(MATCH(TO_TEXT(D1217),ARRAYFOR"&amp;"MULA(TO_TEXT(Referencia!$A$2:$A6238)),0),0),
IF(OR(campo="""",campo=""-""),""NO APLICA"",
IF(col=0,""REVISAR EQUIVALENCIA"",
IF(fila=0,""SKU NO ENCONTRADO"",
LET(
valor,INDEX(Referencia!$A$2:$AZ6238,fila,col),
IF(TRIM(TO_TEXT(valor))=TRIM(TO_TEXT(I1217)),"&amp;"
""OK"",
""NO COINCIDE. Valor verdadero: ""&amp;IF(valor="""",""[VACÍO]"",TO_TEXT(valor))
)
))))
),""ERROR EN FÓRMULA""))"),"OK")</f>
        <v>OK</v>
      </c>
    </row>
    <row r="1218">
      <c r="A1218" s="83" t="s">
        <v>4618</v>
      </c>
      <c r="B1218" s="83" t="s">
        <v>4619</v>
      </c>
      <c r="C1218" s="81" t="s">
        <v>4621</v>
      </c>
      <c r="D1218" s="83" t="s">
        <v>4243</v>
      </c>
      <c r="E1218" s="81" t="s">
        <v>951</v>
      </c>
      <c r="F1218" s="84">
        <v>171.0</v>
      </c>
      <c r="G1218" s="81" t="s">
        <v>44</v>
      </c>
      <c r="H1218" s="81" t="s">
        <v>224</v>
      </c>
      <c r="I1218" s="81" t="s">
        <v>924</v>
      </c>
      <c r="J1218" s="81" t="s">
        <v>4088</v>
      </c>
      <c r="K1218" s="81" t="str">
        <f>IFERROR(__xludf.DUMMYFUNCTION("IF(OR(D1218="""",G1218=""""),"""",IFERROR(LET(
campo,XLOOKUP(TRIM(G1218),ARRAYFORMULA(TRIM('indice columnas'!$A$2:$A$100)),'indice columnas'!$B$2:$B$100,""""),
col,IFERROR(MATCH(campo,Referencia!$A$1:$AZ$1,0),0),
fila,IFERROR(MATCH(TO_TEXT(D1218),ARRAYFOR"&amp;"MULA(TO_TEXT(Referencia!$A$2:$A6238)),0),0),
IF(OR(campo="""",campo=""-""),""NO APLICA"",
IF(col=0,""REVISAR EQUIVALENCIA"",
IF(fila=0,""SKU NO ENCONTRADO"",
LET(
valor,INDEX(Referencia!$A$2:$AZ6238,fila,col),
IF(TRIM(TO_TEXT(valor))=TRIM(TO_TEXT(I1218)),"&amp;"
""OK"",
""NO COINCIDE. Valor verdadero: ""&amp;IF(valor="""",""[VACÍO]"",TO_TEXT(valor))
)
))))
),""ERROR EN FÓRMULA""))"),"NO APLICA")</f>
        <v>NO APLICA</v>
      </c>
    </row>
    <row r="1219">
      <c r="A1219" s="83" t="s">
        <v>4618</v>
      </c>
      <c r="B1219" s="83" t="s">
        <v>4619</v>
      </c>
      <c r="C1219" s="81" t="s">
        <v>4621</v>
      </c>
      <c r="D1219" s="83" t="s">
        <v>4244</v>
      </c>
      <c r="E1219" s="81" t="s">
        <v>952</v>
      </c>
      <c r="F1219" s="84">
        <v>172.0</v>
      </c>
      <c r="G1219" s="81" t="s">
        <v>12</v>
      </c>
      <c r="H1219" s="81" t="s">
        <v>224</v>
      </c>
      <c r="I1219" s="81" t="s">
        <v>55</v>
      </c>
      <c r="J1219" s="81" t="s">
        <v>224</v>
      </c>
      <c r="K1219" s="81" t="str">
        <f>IFERROR(__xludf.DUMMYFUNCTION("IF(OR(D1219="""",G1219=""""),"""",IFERROR(LET(
campo,XLOOKUP(TRIM(G1219),ARRAYFORMULA(TRIM('indice columnas'!$A$2:$A$100)),'indice columnas'!$B$2:$B$100,""""),
col,IFERROR(MATCH(campo,Referencia!$A$1:$AZ$1,0),0),
fila,IFERROR(MATCH(TO_TEXT(D1219),ARRAYFOR"&amp;"MULA(TO_TEXT(Referencia!$A$2:$A6238)),0),0),
IF(OR(campo="""",campo=""-""),""NO APLICA"",
IF(col=0,""REVISAR EQUIVALENCIA"",
IF(fila=0,""SKU NO ENCONTRADO"",
LET(
valor,INDEX(Referencia!$A$2:$AZ6238,fila,col),
IF(TRIM(TO_TEXT(valor))=TRIM(TO_TEXT(I1219)),"&amp;"
""OK"",
""NO COINCIDE. Valor verdadero: ""&amp;IF(valor="""",""[VACÍO]"",TO_TEXT(valor))
)
))))
),""ERROR EN FÓRMULA""))"),"OK")</f>
        <v>OK</v>
      </c>
    </row>
    <row r="1220">
      <c r="A1220" s="83" t="s">
        <v>4618</v>
      </c>
      <c r="B1220" s="83" t="s">
        <v>4619</v>
      </c>
      <c r="C1220" s="81" t="s">
        <v>4621</v>
      </c>
      <c r="D1220" s="83" t="s">
        <v>4244</v>
      </c>
      <c r="E1220" s="81" t="s">
        <v>952</v>
      </c>
      <c r="F1220" s="84">
        <v>172.0</v>
      </c>
      <c r="G1220" s="81" t="s">
        <v>44</v>
      </c>
      <c r="H1220" s="81" t="s">
        <v>224</v>
      </c>
      <c r="I1220" s="81" t="s">
        <v>924</v>
      </c>
      <c r="J1220" s="81" t="s">
        <v>4088</v>
      </c>
      <c r="K1220" s="81" t="str">
        <f>IFERROR(__xludf.DUMMYFUNCTION("IF(OR(D1220="""",G1220=""""),"""",IFERROR(LET(
campo,XLOOKUP(TRIM(G1220),ARRAYFORMULA(TRIM('indice columnas'!$A$2:$A$100)),'indice columnas'!$B$2:$B$100,""""),
col,IFERROR(MATCH(campo,Referencia!$A$1:$AZ$1,0),0),
fila,IFERROR(MATCH(TO_TEXT(D1220),ARRAYFOR"&amp;"MULA(TO_TEXT(Referencia!$A$2:$A6238)),0),0),
IF(OR(campo="""",campo=""-""),""NO APLICA"",
IF(col=0,""REVISAR EQUIVALENCIA"",
IF(fila=0,""SKU NO ENCONTRADO"",
LET(
valor,INDEX(Referencia!$A$2:$AZ6238,fila,col),
IF(TRIM(TO_TEXT(valor))=TRIM(TO_TEXT(I1220)),"&amp;"
""OK"",
""NO COINCIDE. Valor verdadero: ""&amp;IF(valor="""",""[VACÍO]"",TO_TEXT(valor))
)
))))
),""ERROR EN FÓRMULA""))"),"NO APLICA")</f>
        <v>NO APLICA</v>
      </c>
    </row>
    <row r="1221">
      <c r="A1221" s="83" t="s">
        <v>4618</v>
      </c>
      <c r="B1221" s="83" t="s">
        <v>4619</v>
      </c>
      <c r="C1221" s="81" t="s">
        <v>4621</v>
      </c>
      <c r="D1221" s="83" t="s">
        <v>4245</v>
      </c>
      <c r="E1221" s="81" t="s">
        <v>955</v>
      </c>
      <c r="F1221" s="84">
        <v>173.0</v>
      </c>
      <c r="G1221" s="81" t="s">
        <v>44</v>
      </c>
      <c r="H1221" s="81" t="s">
        <v>224</v>
      </c>
      <c r="I1221" s="81" t="s">
        <v>924</v>
      </c>
      <c r="J1221" s="81" t="s">
        <v>4088</v>
      </c>
      <c r="K1221" s="81" t="str">
        <f>IFERROR(__xludf.DUMMYFUNCTION("IF(OR(D1221="""",G1221=""""),"""",IFERROR(LET(
campo,XLOOKUP(TRIM(G1221),ARRAYFORMULA(TRIM('indice columnas'!$A$2:$A$100)),'indice columnas'!$B$2:$B$100,""""),
col,IFERROR(MATCH(campo,Referencia!$A$1:$AZ$1,0),0),
fila,IFERROR(MATCH(TO_TEXT(D1221),ARRAYFOR"&amp;"MULA(TO_TEXT(Referencia!$A$2:$A6238)),0),0),
IF(OR(campo="""",campo=""-""),""NO APLICA"",
IF(col=0,""REVISAR EQUIVALENCIA"",
IF(fila=0,""SKU NO ENCONTRADO"",
LET(
valor,INDEX(Referencia!$A$2:$AZ6238,fila,col),
IF(TRIM(TO_TEXT(valor))=TRIM(TO_TEXT(I1221)),"&amp;"
""OK"",
""NO COINCIDE. Valor verdadero: ""&amp;IF(valor="""",""[VACÍO]"",TO_TEXT(valor))
)
))))
),""ERROR EN FÓRMULA""))"),"NO APLICA")</f>
        <v>NO APLICA</v>
      </c>
    </row>
    <row r="1222">
      <c r="A1222" s="83" t="s">
        <v>4618</v>
      </c>
      <c r="B1222" s="83" t="s">
        <v>4619</v>
      </c>
      <c r="C1222" s="81" t="s">
        <v>4621</v>
      </c>
      <c r="D1222" s="83" t="s">
        <v>4245</v>
      </c>
      <c r="E1222" s="81" t="s">
        <v>961</v>
      </c>
      <c r="F1222" s="84">
        <v>174.0</v>
      </c>
      <c r="G1222" s="81" t="s">
        <v>12</v>
      </c>
      <c r="H1222" s="81" t="s">
        <v>224</v>
      </c>
      <c r="I1222" s="81" t="s">
        <v>55</v>
      </c>
      <c r="J1222" s="81" t="s">
        <v>224</v>
      </c>
      <c r="K1222" s="81" t="str">
        <f>IFERROR(__xludf.DUMMYFUNCTION("IF(OR(D1222="""",G1222=""""),"""",IFERROR(LET(
campo,XLOOKUP(TRIM(G1222),ARRAYFORMULA(TRIM('indice columnas'!$A$2:$A$100)),'indice columnas'!$B$2:$B$100,""""),
col,IFERROR(MATCH(campo,Referencia!$A$1:$AZ$1,0),0),
fila,IFERROR(MATCH(TO_TEXT(D1222),ARRAYFOR"&amp;"MULA(TO_TEXT(Referencia!$A$2:$A6238)),0),0),
IF(OR(campo="""",campo=""-""),""NO APLICA"",
IF(col=0,""REVISAR EQUIVALENCIA"",
IF(fila=0,""SKU NO ENCONTRADO"",
LET(
valor,INDEX(Referencia!$A$2:$AZ6238,fila,col),
IF(TRIM(TO_TEXT(valor))=TRIM(TO_TEXT(I1222)),"&amp;"
""OK"",
""NO COINCIDE. Valor verdadero: ""&amp;IF(valor="""",""[VACÍO]"",TO_TEXT(valor))
)
))))
),""ERROR EN FÓRMULA""))"),"OK")</f>
        <v>OK</v>
      </c>
    </row>
    <row r="1223">
      <c r="A1223" s="83" t="s">
        <v>4618</v>
      </c>
      <c r="B1223" s="83" t="s">
        <v>4619</v>
      </c>
      <c r="C1223" s="81" t="s">
        <v>4621</v>
      </c>
      <c r="D1223" s="83" t="s">
        <v>4245</v>
      </c>
      <c r="E1223" s="81" t="s">
        <v>961</v>
      </c>
      <c r="F1223" s="84">
        <v>174.0</v>
      </c>
      <c r="G1223" s="81" t="s">
        <v>44</v>
      </c>
      <c r="H1223" s="81" t="s">
        <v>224</v>
      </c>
      <c r="I1223" s="81" t="s">
        <v>924</v>
      </c>
      <c r="J1223" s="81" t="s">
        <v>4088</v>
      </c>
      <c r="K1223" s="81" t="str">
        <f>IFERROR(__xludf.DUMMYFUNCTION("IF(OR(D1223="""",G1223=""""),"""",IFERROR(LET(
campo,XLOOKUP(TRIM(G1223),ARRAYFORMULA(TRIM('indice columnas'!$A$2:$A$100)),'indice columnas'!$B$2:$B$100,""""),
col,IFERROR(MATCH(campo,Referencia!$A$1:$AZ$1,0),0),
fila,IFERROR(MATCH(TO_TEXT(D1223),ARRAYFOR"&amp;"MULA(TO_TEXT(Referencia!$A$2:$A6238)),0),0),
IF(OR(campo="""",campo=""-""),""NO APLICA"",
IF(col=0,""REVISAR EQUIVALENCIA"",
IF(fila=0,""SKU NO ENCONTRADO"",
LET(
valor,INDEX(Referencia!$A$2:$AZ6238,fila,col),
IF(TRIM(TO_TEXT(valor))=TRIM(TO_TEXT(I1223)),"&amp;"
""OK"",
""NO COINCIDE. Valor verdadero: ""&amp;IF(valor="""",""[VACÍO]"",TO_TEXT(valor))
)
))))
),""ERROR EN FÓRMULA""))"),"NO APLICA")</f>
        <v>NO APLICA</v>
      </c>
    </row>
    <row r="1224">
      <c r="A1224" s="83" t="s">
        <v>4618</v>
      </c>
      <c r="B1224" s="83" t="s">
        <v>4619</v>
      </c>
      <c r="C1224" s="81" t="s">
        <v>4621</v>
      </c>
      <c r="D1224" s="83" t="s">
        <v>4246</v>
      </c>
      <c r="E1224" s="81" t="s">
        <v>962</v>
      </c>
      <c r="F1224" s="84">
        <v>175.0</v>
      </c>
      <c r="G1224" s="81" t="s">
        <v>12</v>
      </c>
      <c r="H1224" s="81" t="s">
        <v>224</v>
      </c>
      <c r="I1224" s="81" t="s">
        <v>55</v>
      </c>
      <c r="J1224" s="81" t="s">
        <v>224</v>
      </c>
      <c r="K1224" s="81" t="str">
        <f>IFERROR(__xludf.DUMMYFUNCTION("IF(OR(D1224="""",G1224=""""),"""",IFERROR(LET(
campo,XLOOKUP(TRIM(G1224),ARRAYFORMULA(TRIM('indice columnas'!$A$2:$A$100)),'indice columnas'!$B$2:$B$100,""""),
col,IFERROR(MATCH(campo,Referencia!$A$1:$AZ$1,0),0),
fila,IFERROR(MATCH(TO_TEXT(D1224),ARRAYFOR"&amp;"MULA(TO_TEXT(Referencia!$A$2:$A6238)),0),0),
IF(OR(campo="""",campo=""-""),""NO APLICA"",
IF(col=0,""REVISAR EQUIVALENCIA"",
IF(fila=0,""SKU NO ENCONTRADO"",
LET(
valor,INDEX(Referencia!$A$2:$AZ6238,fila,col),
IF(TRIM(TO_TEXT(valor))=TRIM(TO_TEXT(I1224)),"&amp;"
""OK"",
""NO COINCIDE. Valor verdadero: ""&amp;IF(valor="""",""[VACÍO]"",TO_TEXT(valor))
)
))))
),""ERROR EN FÓRMULA""))"),"OK")</f>
        <v>OK</v>
      </c>
    </row>
    <row r="1225">
      <c r="A1225" s="83" t="s">
        <v>4618</v>
      </c>
      <c r="B1225" s="83" t="s">
        <v>4619</v>
      </c>
      <c r="C1225" s="81" t="s">
        <v>4621</v>
      </c>
      <c r="D1225" s="83" t="s">
        <v>4246</v>
      </c>
      <c r="E1225" s="81" t="s">
        <v>962</v>
      </c>
      <c r="F1225" s="84">
        <v>175.0</v>
      </c>
      <c r="G1225" s="81" t="s">
        <v>44</v>
      </c>
      <c r="H1225" s="81" t="s">
        <v>224</v>
      </c>
      <c r="I1225" s="81" t="s">
        <v>924</v>
      </c>
      <c r="J1225" s="81" t="s">
        <v>4088</v>
      </c>
      <c r="K1225" s="81" t="str">
        <f>IFERROR(__xludf.DUMMYFUNCTION("IF(OR(D1225="""",G1225=""""),"""",IFERROR(LET(
campo,XLOOKUP(TRIM(G1225),ARRAYFORMULA(TRIM('indice columnas'!$A$2:$A$100)),'indice columnas'!$B$2:$B$100,""""),
col,IFERROR(MATCH(campo,Referencia!$A$1:$AZ$1,0),0),
fila,IFERROR(MATCH(TO_TEXT(D1225),ARRAYFOR"&amp;"MULA(TO_TEXT(Referencia!$A$2:$A6238)),0),0),
IF(OR(campo="""",campo=""-""),""NO APLICA"",
IF(col=0,""REVISAR EQUIVALENCIA"",
IF(fila=0,""SKU NO ENCONTRADO"",
LET(
valor,INDEX(Referencia!$A$2:$AZ6238,fila,col),
IF(TRIM(TO_TEXT(valor))=TRIM(TO_TEXT(I1225)),"&amp;"
""OK"",
""NO COINCIDE. Valor verdadero: ""&amp;IF(valor="""",""[VACÍO]"",TO_TEXT(valor))
)
))))
),""ERROR EN FÓRMULA""))"),"NO APLICA")</f>
        <v>NO APLICA</v>
      </c>
    </row>
    <row r="1226">
      <c r="A1226" s="83" t="s">
        <v>4618</v>
      </c>
      <c r="B1226" s="83" t="s">
        <v>4619</v>
      </c>
      <c r="C1226" s="81" t="s">
        <v>4621</v>
      </c>
      <c r="D1226" s="83" t="s">
        <v>4247</v>
      </c>
      <c r="E1226" s="81" t="s">
        <v>965</v>
      </c>
      <c r="F1226" s="84">
        <v>176.0</v>
      </c>
      <c r="G1226" s="81" t="s">
        <v>44</v>
      </c>
      <c r="H1226" s="81" t="s">
        <v>224</v>
      </c>
      <c r="I1226" s="81" t="s">
        <v>924</v>
      </c>
      <c r="J1226" s="81" t="s">
        <v>4088</v>
      </c>
      <c r="K1226" s="81" t="str">
        <f>IFERROR(__xludf.DUMMYFUNCTION("IF(OR(D1226="""",G1226=""""),"""",IFERROR(LET(
campo,XLOOKUP(TRIM(G1226),ARRAYFORMULA(TRIM('indice columnas'!$A$2:$A$100)),'indice columnas'!$B$2:$B$100,""""),
col,IFERROR(MATCH(campo,Referencia!$A$1:$AZ$1,0),0),
fila,IFERROR(MATCH(TO_TEXT(D1226),ARRAYFOR"&amp;"MULA(TO_TEXT(Referencia!$A$2:$A6238)),0),0),
IF(OR(campo="""",campo=""-""),""NO APLICA"",
IF(col=0,""REVISAR EQUIVALENCIA"",
IF(fila=0,""SKU NO ENCONTRADO"",
LET(
valor,INDEX(Referencia!$A$2:$AZ6238,fila,col),
IF(TRIM(TO_TEXT(valor))=TRIM(TO_TEXT(I1226)),"&amp;"
""OK"",
""NO COINCIDE. Valor verdadero: ""&amp;IF(valor="""",""[VACÍO]"",TO_TEXT(valor))
)
))))
),""ERROR EN FÓRMULA""))"),"NO APLICA")</f>
        <v>NO APLICA</v>
      </c>
    </row>
    <row r="1227">
      <c r="A1227" s="83" t="s">
        <v>4618</v>
      </c>
      <c r="B1227" s="83" t="s">
        <v>4619</v>
      </c>
      <c r="C1227" s="81" t="s">
        <v>4621</v>
      </c>
      <c r="D1227" s="83" t="s">
        <v>4247</v>
      </c>
      <c r="E1227" s="81" t="s">
        <v>971</v>
      </c>
      <c r="F1227" s="84">
        <v>177.0</v>
      </c>
      <c r="G1227" s="81" t="s">
        <v>12</v>
      </c>
      <c r="H1227" s="81" t="s">
        <v>224</v>
      </c>
      <c r="I1227" s="81" t="s">
        <v>55</v>
      </c>
      <c r="J1227" s="81" t="s">
        <v>224</v>
      </c>
      <c r="K1227" s="81" t="str">
        <f>IFERROR(__xludf.DUMMYFUNCTION("IF(OR(D1227="""",G1227=""""),"""",IFERROR(LET(
campo,XLOOKUP(TRIM(G1227),ARRAYFORMULA(TRIM('indice columnas'!$A$2:$A$100)),'indice columnas'!$B$2:$B$100,""""),
col,IFERROR(MATCH(campo,Referencia!$A$1:$AZ$1,0),0),
fila,IFERROR(MATCH(TO_TEXT(D1227),ARRAYFOR"&amp;"MULA(TO_TEXT(Referencia!$A$2:$A6238)),0),0),
IF(OR(campo="""",campo=""-""),""NO APLICA"",
IF(col=0,""REVISAR EQUIVALENCIA"",
IF(fila=0,""SKU NO ENCONTRADO"",
LET(
valor,INDEX(Referencia!$A$2:$AZ6238,fila,col),
IF(TRIM(TO_TEXT(valor))=TRIM(TO_TEXT(I1227)),"&amp;"
""OK"",
""NO COINCIDE. Valor verdadero: ""&amp;IF(valor="""",""[VACÍO]"",TO_TEXT(valor))
)
))))
),""ERROR EN FÓRMULA""))"),"OK")</f>
        <v>OK</v>
      </c>
    </row>
    <row r="1228">
      <c r="A1228" s="83" t="s">
        <v>4618</v>
      </c>
      <c r="B1228" s="83" t="s">
        <v>4619</v>
      </c>
      <c r="C1228" s="81" t="s">
        <v>4621</v>
      </c>
      <c r="D1228" s="83" t="s">
        <v>4247</v>
      </c>
      <c r="E1228" s="81" t="s">
        <v>971</v>
      </c>
      <c r="F1228" s="84">
        <v>177.0</v>
      </c>
      <c r="G1228" s="81" t="s">
        <v>44</v>
      </c>
      <c r="H1228" s="81" t="s">
        <v>224</v>
      </c>
      <c r="I1228" s="81" t="s">
        <v>924</v>
      </c>
      <c r="J1228" s="81" t="s">
        <v>4088</v>
      </c>
      <c r="K1228" s="81" t="str">
        <f>IFERROR(__xludf.DUMMYFUNCTION("IF(OR(D1228="""",G1228=""""),"""",IFERROR(LET(
campo,XLOOKUP(TRIM(G1228),ARRAYFORMULA(TRIM('indice columnas'!$A$2:$A$100)),'indice columnas'!$B$2:$B$100,""""),
col,IFERROR(MATCH(campo,Referencia!$A$1:$AZ$1,0),0),
fila,IFERROR(MATCH(TO_TEXT(D1228),ARRAYFOR"&amp;"MULA(TO_TEXT(Referencia!$A$2:$A6238)),0),0),
IF(OR(campo="""",campo=""-""),""NO APLICA"",
IF(col=0,""REVISAR EQUIVALENCIA"",
IF(fila=0,""SKU NO ENCONTRADO"",
LET(
valor,INDEX(Referencia!$A$2:$AZ6238,fila,col),
IF(TRIM(TO_TEXT(valor))=TRIM(TO_TEXT(I1228)),"&amp;"
""OK"",
""NO COINCIDE. Valor verdadero: ""&amp;IF(valor="""",""[VACÍO]"",TO_TEXT(valor))
)
))))
),""ERROR EN FÓRMULA""))"),"NO APLICA")</f>
        <v>NO APLICA</v>
      </c>
    </row>
    <row r="1229">
      <c r="A1229" s="83" t="s">
        <v>4618</v>
      </c>
      <c r="B1229" s="83" t="s">
        <v>4619</v>
      </c>
      <c r="C1229" s="81" t="s">
        <v>4621</v>
      </c>
      <c r="D1229" s="83" t="s">
        <v>4248</v>
      </c>
      <c r="E1229" s="81" t="s">
        <v>972</v>
      </c>
      <c r="F1229" s="84">
        <v>178.0</v>
      </c>
      <c r="G1229" s="81" t="s">
        <v>12</v>
      </c>
      <c r="H1229" s="81" t="s">
        <v>224</v>
      </c>
      <c r="I1229" s="81" t="s">
        <v>55</v>
      </c>
      <c r="J1229" s="81" t="s">
        <v>224</v>
      </c>
      <c r="K1229" s="81" t="str">
        <f>IFERROR(__xludf.DUMMYFUNCTION("IF(OR(D1229="""",G1229=""""),"""",IFERROR(LET(
campo,XLOOKUP(TRIM(G1229),ARRAYFORMULA(TRIM('indice columnas'!$A$2:$A$100)),'indice columnas'!$B$2:$B$100,""""),
col,IFERROR(MATCH(campo,Referencia!$A$1:$AZ$1,0),0),
fila,IFERROR(MATCH(TO_TEXT(D1229),ARRAYFOR"&amp;"MULA(TO_TEXT(Referencia!$A$2:$A6238)),0),0),
IF(OR(campo="""",campo=""-""),""NO APLICA"",
IF(col=0,""REVISAR EQUIVALENCIA"",
IF(fila=0,""SKU NO ENCONTRADO"",
LET(
valor,INDEX(Referencia!$A$2:$AZ6238,fila,col),
IF(TRIM(TO_TEXT(valor))=TRIM(TO_TEXT(I1229)),"&amp;"
""OK"",
""NO COINCIDE. Valor verdadero: ""&amp;IF(valor="""",""[VACÍO]"",TO_TEXT(valor))
)
))))
),""ERROR EN FÓRMULA""))"),"OK")</f>
        <v>OK</v>
      </c>
    </row>
    <row r="1230">
      <c r="A1230" s="83" t="s">
        <v>4618</v>
      </c>
      <c r="B1230" s="83" t="s">
        <v>4619</v>
      </c>
      <c r="C1230" s="81" t="s">
        <v>4621</v>
      </c>
      <c r="D1230" s="83" t="s">
        <v>4248</v>
      </c>
      <c r="E1230" s="81" t="s">
        <v>972</v>
      </c>
      <c r="F1230" s="84">
        <v>178.0</v>
      </c>
      <c r="G1230" s="81" t="s">
        <v>44</v>
      </c>
      <c r="H1230" s="81" t="s">
        <v>224</v>
      </c>
      <c r="I1230" s="81" t="s">
        <v>924</v>
      </c>
      <c r="J1230" s="81" t="s">
        <v>4088</v>
      </c>
      <c r="K1230" s="81" t="str">
        <f>IFERROR(__xludf.DUMMYFUNCTION("IF(OR(D1230="""",G1230=""""),"""",IFERROR(LET(
campo,XLOOKUP(TRIM(G1230),ARRAYFORMULA(TRIM('indice columnas'!$A$2:$A$100)),'indice columnas'!$B$2:$B$100,""""),
col,IFERROR(MATCH(campo,Referencia!$A$1:$AZ$1,0),0),
fila,IFERROR(MATCH(TO_TEXT(D1230),ARRAYFOR"&amp;"MULA(TO_TEXT(Referencia!$A$2:$A6238)),0),0),
IF(OR(campo="""",campo=""-""),""NO APLICA"",
IF(col=0,""REVISAR EQUIVALENCIA"",
IF(fila=0,""SKU NO ENCONTRADO"",
LET(
valor,INDEX(Referencia!$A$2:$AZ6238,fila,col),
IF(TRIM(TO_TEXT(valor))=TRIM(TO_TEXT(I1230)),"&amp;"
""OK"",
""NO COINCIDE. Valor verdadero: ""&amp;IF(valor="""",""[VACÍO]"",TO_TEXT(valor))
)
))))
),""ERROR EN FÓRMULA""))"),"NO APLICA")</f>
        <v>NO APLICA</v>
      </c>
    </row>
    <row r="1231">
      <c r="A1231" s="83" t="s">
        <v>4618</v>
      </c>
      <c r="B1231" s="83" t="s">
        <v>4619</v>
      </c>
      <c r="C1231" s="81" t="s">
        <v>4621</v>
      </c>
      <c r="D1231" s="83" t="s">
        <v>4249</v>
      </c>
      <c r="E1231" s="81" t="s">
        <v>975</v>
      </c>
      <c r="F1231" s="84">
        <v>179.0</v>
      </c>
      <c r="G1231" s="81" t="s">
        <v>44</v>
      </c>
      <c r="H1231" s="81" t="s">
        <v>224</v>
      </c>
      <c r="I1231" s="81" t="s">
        <v>924</v>
      </c>
      <c r="J1231" s="81" t="s">
        <v>4088</v>
      </c>
      <c r="K1231" s="81" t="str">
        <f>IFERROR(__xludf.DUMMYFUNCTION("IF(OR(D1231="""",G1231=""""),"""",IFERROR(LET(
campo,XLOOKUP(TRIM(G1231),ARRAYFORMULA(TRIM('indice columnas'!$A$2:$A$100)),'indice columnas'!$B$2:$B$100,""""),
col,IFERROR(MATCH(campo,Referencia!$A$1:$AZ$1,0),0),
fila,IFERROR(MATCH(TO_TEXT(D1231),ARRAYFOR"&amp;"MULA(TO_TEXT(Referencia!$A$2:$A6238)),0),0),
IF(OR(campo="""",campo=""-""),""NO APLICA"",
IF(col=0,""REVISAR EQUIVALENCIA"",
IF(fila=0,""SKU NO ENCONTRADO"",
LET(
valor,INDEX(Referencia!$A$2:$AZ6238,fila,col),
IF(TRIM(TO_TEXT(valor))=TRIM(TO_TEXT(I1231)),"&amp;"
""OK"",
""NO COINCIDE. Valor verdadero: ""&amp;IF(valor="""",""[VACÍO]"",TO_TEXT(valor))
)
))))
),""ERROR EN FÓRMULA""))"),"NO APLICA")</f>
        <v>NO APLICA</v>
      </c>
    </row>
    <row r="1232">
      <c r="A1232" s="83" t="s">
        <v>4618</v>
      </c>
      <c r="B1232" s="83" t="s">
        <v>4619</v>
      </c>
      <c r="C1232" s="81" t="s">
        <v>4621</v>
      </c>
      <c r="D1232" s="83" t="s">
        <v>4249</v>
      </c>
      <c r="E1232" s="81" t="s">
        <v>981</v>
      </c>
      <c r="F1232" s="84">
        <v>180.0</v>
      </c>
      <c r="G1232" s="81" t="s">
        <v>12</v>
      </c>
      <c r="H1232" s="81" t="s">
        <v>224</v>
      </c>
      <c r="I1232" s="81" t="s">
        <v>55</v>
      </c>
      <c r="J1232" s="81" t="s">
        <v>224</v>
      </c>
      <c r="K1232" s="81" t="str">
        <f>IFERROR(__xludf.DUMMYFUNCTION("IF(OR(D1232="""",G1232=""""),"""",IFERROR(LET(
campo,XLOOKUP(TRIM(G1232),ARRAYFORMULA(TRIM('indice columnas'!$A$2:$A$100)),'indice columnas'!$B$2:$B$100,""""),
col,IFERROR(MATCH(campo,Referencia!$A$1:$AZ$1,0),0),
fila,IFERROR(MATCH(TO_TEXT(D1232),ARRAYFOR"&amp;"MULA(TO_TEXT(Referencia!$A$2:$A6238)),0),0),
IF(OR(campo="""",campo=""-""),""NO APLICA"",
IF(col=0,""REVISAR EQUIVALENCIA"",
IF(fila=0,""SKU NO ENCONTRADO"",
LET(
valor,INDEX(Referencia!$A$2:$AZ6238,fila,col),
IF(TRIM(TO_TEXT(valor))=TRIM(TO_TEXT(I1232)),"&amp;"
""OK"",
""NO COINCIDE. Valor verdadero: ""&amp;IF(valor="""",""[VACÍO]"",TO_TEXT(valor))
)
))))
),""ERROR EN FÓRMULA""))"),"OK")</f>
        <v>OK</v>
      </c>
    </row>
    <row r="1233">
      <c r="A1233" s="83" t="s">
        <v>4618</v>
      </c>
      <c r="B1233" s="83" t="s">
        <v>4619</v>
      </c>
      <c r="C1233" s="81" t="s">
        <v>4621</v>
      </c>
      <c r="D1233" s="83" t="s">
        <v>4249</v>
      </c>
      <c r="E1233" s="81" t="s">
        <v>981</v>
      </c>
      <c r="F1233" s="84">
        <v>180.0</v>
      </c>
      <c r="G1233" s="81" t="s">
        <v>44</v>
      </c>
      <c r="H1233" s="81" t="s">
        <v>224</v>
      </c>
      <c r="I1233" s="81" t="s">
        <v>924</v>
      </c>
      <c r="J1233" s="81" t="s">
        <v>4088</v>
      </c>
      <c r="K1233" s="81" t="str">
        <f>IFERROR(__xludf.DUMMYFUNCTION("IF(OR(D1233="""",G1233=""""),"""",IFERROR(LET(
campo,XLOOKUP(TRIM(G1233),ARRAYFORMULA(TRIM('indice columnas'!$A$2:$A$100)),'indice columnas'!$B$2:$B$100,""""),
col,IFERROR(MATCH(campo,Referencia!$A$1:$AZ$1,0),0),
fila,IFERROR(MATCH(TO_TEXT(D1233),ARRAYFOR"&amp;"MULA(TO_TEXT(Referencia!$A$2:$A6238)),0),0),
IF(OR(campo="""",campo=""-""),""NO APLICA"",
IF(col=0,""REVISAR EQUIVALENCIA"",
IF(fila=0,""SKU NO ENCONTRADO"",
LET(
valor,INDEX(Referencia!$A$2:$AZ6238,fila,col),
IF(TRIM(TO_TEXT(valor))=TRIM(TO_TEXT(I1233)),"&amp;"
""OK"",
""NO COINCIDE. Valor verdadero: ""&amp;IF(valor="""",""[VACÍO]"",TO_TEXT(valor))
)
))))
),""ERROR EN FÓRMULA""))"),"NO APLICA")</f>
        <v>NO APLICA</v>
      </c>
    </row>
    <row r="1234">
      <c r="A1234" s="83" t="s">
        <v>4618</v>
      </c>
      <c r="B1234" s="83" t="s">
        <v>4619</v>
      </c>
      <c r="C1234" s="81" t="s">
        <v>4621</v>
      </c>
      <c r="D1234" s="83" t="s">
        <v>4250</v>
      </c>
      <c r="E1234" s="81" t="s">
        <v>982</v>
      </c>
      <c r="F1234" s="84">
        <v>181.0</v>
      </c>
      <c r="G1234" s="81" t="s">
        <v>12</v>
      </c>
      <c r="H1234" s="81" t="s">
        <v>224</v>
      </c>
      <c r="I1234" s="81" t="s">
        <v>55</v>
      </c>
      <c r="J1234" s="81" t="s">
        <v>224</v>
      </c>
      <c r="K1234" s="81" t="str">
        <f>IFERROR(__xludf.DUMMYFUNCTION("IF(OR(D1234="""",G1234=""""),"""",IFERROR(LET(
campo,XLOOKUP(TRIM(G1234),ARRAYFORMULA(TRIM('indice columnas'!$A$2:$A$100)),'indice columnas'!$B$2:$B$100,""""),
col,IFERROR(MATCH(campo,Referencia!$A$1:$AZ$1,0),0),
fila,IFERROR(MATCH(TO_TEXT(D1234),ARRAYFOR"&amp;"MULA(TO_TEXT(Referencia!$A$2:$A6238)),0),0),
IF(OR(campo="""",campo=""-""),""NO APLICA"",
IF(col=0,""REVISAR EQUIVALENCIA"",
IF(fila=0,""SKU NO ENCONTRADO"",
LET(
valor,INDEX(Referencia!$A$2:$AZ6238,fila,col),
IF(TRIM(TO_TEXT(valor))=TRIM(TO_TEXT(I1234)),"&amp;"
""OK"",
""NO COINCIDE. Valor verdadero: ""&amp;IF(valor="""",""[VACÍO]"",TO_TEXT(valor))
)
))))
),""ERROR EN FÓRMULA""))"),"OK")</f>
        <v>OK</v>
      </c>
    </row>
    <row r="1235">
      <c r="A1235" s="83" t="s">
        <v>4618</v>
      </c>
      <c r="B1235" s="83" t="s">
        <v>4619</v>
      </c>
      <c r="C1235" s="81" t="s">
        <v>4621</v>
      </c>
      <c r="D1235" s="83" t="s">
        <v>4250</v>
      </c>
      <c r="E1235" s="81" t="s">
        <v>982</v>
      </c>
      <c r="F1235" s="84">
        <v>181.0</v>
      </c>
      <c r="G1235" s="81" t="s">
        <v>44</v>
      </c>
      <c r="H1235" s="81" t="s">
        <v>224</v>
      </c>
      <c r="I1235" s="81" t="s">
        <v>924</v>
      </c>
      <c r="J1235" s="81" t="s">
        <v>4088</v>
      </c>
      <c r="K1235" s="81" t="str">
        <f>IFERROR(__xludf.DUMMYFUNCTION("IF(OR(D1235="""",G1235=""""),"""",IFERROR(LET(
campo,XLOOKUP(TRIM(G1235),ARRAYFORMULA(TRIM('indice columnas'!$A$2:$A$100)),'indice columnas'!$B$2:$B$100,""""),
col,IFERROR(MATCH(campo,Referencia!$A$1:$AZ$1,0),0),
fila,IFERROR(MATCH(TO_TEXT(D1235),ARRAYFOR"&amp;"MULA(TO_TEXT(Referencia!$A$2:$A6238)),0),0),
IF(OR(campo="""",campo=""-""),""NO APLICA"",
IF(col=0,""REVISAR EQUIVALENCIA"",
IF(fila=0,""SKU NO ENCONTRADO"",
LET(
valor,INDEX(Referencia!$A$2:$AZ6238,fila,col),
IF(TRIM(TO_TEXT(valor))=TRIM(TO_TEXT(I1235)),"&amp;"
""OK"",
""NO COINCIDE. Valor verdadero: ""&amp;IF(valor="""",""[VACÍO]"",TO_TEXT(valor))
)
))))
),""ERROR EN FÓRMULA""))"),"NO APLICA")</f>
        <v>NO APLICA</v>
      </c>
    </row>
    <row r="1236">
      <c r="A1236" s="83" t="s">
        <v>4618</v>
      </c>
      <c r="B1236" s="83" t="s">
        <v>4619</v>
      </c>
      <c r="C1236" s="81" t="s">
        <v>4621</v>
      </c>
      <c r="D1236" s="83" t="s">
        <v>4251</v>
      </c>
      <c r="E1236" s="81" t="s">
        <v>985</v>
      </c>
      <c r="F1236" s="84">
        <v>182.0</v>
      </c>
      <c r="G1236" s="81" t="s">
        <v>44</v>
      </c>
      <c r="H1236" s="81" t="s">
        <v>224</v>
      </c>
      <c r="I1236" s="81" t="s">
        <v>924</v>
      </c>
      <c r="J1236" s="81" t="s">
        <v>4088</v>
      </c>
      <c r="K1236" s="81" t="str">
        <f>IFERROR(__xludf.DUMMYFUNCTION("IF(OR(D1236="""",G1236=""""),"""",IFERROR(LET(
campo,XLOOKUP(TRIM(G1236),ARRAYFORMULA(TRIM('indice columnas'!$A$2:$A$100)),'indice columnas'!$B$2:$B$100,""""),
col,IFERROR(MATCH(campo,Referencia!$A$1:$AZ$1,0),0),
fila,IFERROR(MATCH(TO_TEXT(D1236),ARRAYFOR"&amp;"MULA(TO_TEXT(Referencia!$A$2:$A6238)),0),0),
IF(OR(campo="""",campo=""-""),""NO APLICA"",
IF(col=0,""REVISAR EQUIVALENCIA"",
IF(fila=0,""SKU NO ENCONTRADO"",
LET(
valor,INDEX(Referencia!$A$2:$AZ6238,fila,col),
IF(TRIM(TO_TEXT(valor))=TRIM(TO_TEXT(I1236)),"&amp;"
""OK"",
""NO COINCIDE. Valor verdadero: ""&amp;IF(valor="""",""[VACÍO]"",TO_TEXT(valor))
)
))))
),""ERROR EN FÓRMULA""))"),"NO APLICA")</f>
        <v>NO APLICA</v>
      </c>
    </row>
    <row r="1237">
      <c r="A1237" s="83" t="s">
        <v>4618</v>
      </c>
      <c r="B1237" s="83" t="s">
        <v>4619</v>
      </c>
      <c r="C1237" s="81" t="s">
        <v>4621</v>
      </c>
      <c r="D1237" s="83" t="s">
        <v>4251</v>
      </c>
      <c r="E1237" s="81" t="s">
        <v>991</v>
      </c>
      <c r="F1237" s="84">
        <v>183.0</v>
      </c>
      <c r="G1237" s="81" t="s">
        <v>12</v>
      </c>
      <c r="H1237" s="81" t="s">
        <v>224</v>
      </c>
      <c r="I1237" s="81" t="s">
        <v>55</v>
      </c>
      <c r="J1237" s="81" t="s">
        <v>224</v>
      </c>
      <c r="K1237" s="81" t="str">
        <f>IFERROR(__xludf.DUMMYFUNCTION("IF(OR(D1237="""",G1237=""""),"""",IFERROR(LET(
campo,XLOOKUP(TRIM(G1237),ARRAYFORMULA(TRIM('indice columnas'!$A$2:$A$100)),'indice columnas'!$B$2:$B$100,""""),
col,IFERROR(MATCH(campo,Referencia!$A$1:$AZ$1,0),0),
fila,IFERROR(MATCH(TO_TEXT(D1237),ARRAYFOR"&amp;"MULA(TO_TEXT(Referencia!$A$2:$A6238)),0),0),
IF(OR(campo="""",campo=""-""),""NO APLICA"",
IF(col=0,""REVISAR EQUIVALENCIA"",
IF(fila=0,""SKU NO ENCONTRADO"",
LET(
valor,INDEX(Referencia!$A$2:$AZ6238,fila,col),
IF(TRIM(TO_TEXT(valor))=TRIM(TO_TEXT(I1237)),"&amp;"
""OK"",
""NO COINCIDE. Valor verdadero: ""&amp;IF(valor="""",""[VACÍO]"",TO_TEXT(valor))
)
))))
),""ERROR EN FÓRMULA""))"),"OK")</f>
        <v>OK</v>
      </c>
    </row>
    <row r="1238">
      <c r="A1238" s="83" t="s">
        <v>4618</v>
      </c>
      <c r="B1238" s="83" t="s">
        <v>4619</v>
      </c>
      <c r="C1238" s="81" t="s">
        <v>4621</v>
      </c>
      <c r="D1238" s="83" t="s">
        <v>4251</v>
      </c>
      <c r="E1238" s="81" t="s">
        <v>991</v>
      </c>
      <c r="F1238" s="84">
        <v>183.0</v>
      </c>
      <c r="G1238" s="81" t="s">
        <v>44</v>
      </c>
      <c r="H1238" s="81" t="s">
        <v>224</v>
      </c>
      <c r="I1238" s="81" t="s">
        <v>924</v>
      </c>
      <c r="J1238" s="81" t="s">
        <v>4088</v>
      </c>
      <c r="K1238" s="81" t="str">
        <f>IFERROR(__xludf.DUMMYFUNCTION("IF(OR(D1238="""",G1238=""""),"""",IFERROR(LET(
campo,XLOOKUP(TRIM(G1238),ARRAYFORMULA(TRIM('indice columnas'!$A$2:$A$100)),'indice columnas'!$B$2:$B$100,""""),
col,IFERROR(MATCH(campo,Referencia!$A$1:$AZ$1,0),0),
fila,IFERROR(MATCH(TO_TEXT(D1238),ARRAYFOR"&amp;"MULA(TO_TEXT(Referencia!$A$2:$A6238)),0),0),
IF(OR(campo="""",campo=""-""),""NO APLICA"",
IF(col=0,""REVISAR EQUIVALENCIA"",
IF(fila=0,""SKU NO ENCONTRADO"",
LET(
valor,INDEX(Referencia!$A$2:$AZ6238,fila,col),
IF(TRIM(TO_TEXT(valor))=TRIM(TO_TEXT(I1238)),"&amp;"
""OK"",
""NO COINCIDE. Valor verdadero: ""&amp;IF(valor="""",""[VACÍO]"",TO_TEXT(valor))
)
))))
),""ERROR EN FÓRMULA""))"),"NO APLICA")</f>
        <v>NO APLICA</v>
      </c>
    </row>
    <row r="1239">
      <c r="A1239" s="83" t="s">
        <v>4618</v>
      </c>
      <c r="B1239" s="83" t="s">
        <v>4619</v>
      </c>
      <c r="C1239" s="81" t="s">
        <v>4621</v>
      </c>
      <c r="D1239" s="83" t="s">
        <v>4252</v>
      </c>
      <c r="E1239" s="81" t="s">
        <v>992</v>
      </c>
      <c r="F1239" s="84">
        <v>184.0</v>
      </c>
      <c r="G1239" s="81" t="s">
        <v>12</v>
      </c>
      <c r="H1239" s="81" t="s">
        <v>224</v>
      </c>
      <c r="I1239" s="81" t="s">
        <v>55</v>
      </c>
      <c r="J1239" s="81" t="s">
        <v>224</v>
      </c>
      <c r="K1239" s="81" t="str">
        <f>IFERROR(__xludf.DUMMYFUNCTION("IF(OR(D1239="""",G1239=""""),"""",IFERROR(LET(
campo,XLOOKUP(TRIM(G1239),ARRAYFORMULA(TRIM('indice columnas'!$A$2:$A$100)),'indice columnas'!$B$2:$B$100,""""),
col,IFERROR(MATCH(campo,Referencia!$A$1:$AZ$1,0),0),
fila,IFERROR(MATCH(TO_TEXT(D1239),ARRAYFOR"&amp;"MULA(TO_TEXT(Referencia!$A$2:$A6238)),0),0),
IF(OR(campo="""",campo=""-""),""NO APLICA"",
IF(col=0,""REVISAR EQUIVALENCIA"",
IF(fila=0,""SKU NO ENCONTRADO"",
LET(
valor,INDEX(Referencia!$A$2:$AZ6238,fila,col),
IF(TRIM(TO_TEXT(valor))=TRIM(TO_TEXT(I1239)),"&amp;"
""OK"",
""NO COINCIDE. Valor verdadero: ""&amp;IF(valor="""",""[VACÍO]"",TO_TEXT(valor))
)
))))
),""ERROR EN FÓRMULA""))"),"OK")</f>
        <v>OK</v>
      </c>
    </row>
    <row r="1240">
      <c r="A1240" s="83" t="s">
        <v>4618</v>
      </c>
      <c r="B1240" s="83" t="s">
        <v>4619</v>
      </c>
      <c r="C1240" s="81" t="s">
        <v>4621</v>
      </c>
      <c r="D1240" s="83" t="s">
        <v>4252</v>
      </c>
      <c r="E1240" s="81" t="s">
        <v>992</v>
      </c>
      <c r="F1240" s="84">
        <v>184.0</v>
      </c>
      <c r="G1240" s="81" t="s">
        <v>44</v>
      </c>
      <c r="H1240" s="81" t="s">
        <v>224</v>
      </c>
      <c r="I1240" s="81" t="s">
        <v>924</v>
      </c>
      <c r="J1240" s="81" t="s">
        <v>4088</v>
      </c>
      <c r="K1240" s="81" t="str">
        <f>IFERROR(__xludf.DUMMYFUNCTION("IF(OR(D1240="""",G1240=""""),"""",IFERROR(LET(
campo,XLOOKUP(TRIM(G1240),ARRAYFORMULA(TRIM('indice columnas'!$A$2:$A$100)),'indice columnas'!$B$2:$B$100,""""),
col,IFERROR(MATCH(campo,Referencia!$A$1:$AZ$1,0),0),
fila,IFERROR(MATCH(TO_TEXT(D1240),ARRAYFOR"&amp;"MULA(TO_TEXT(Referencia!$A$2:$A6238)),0),0),
IF(OR(campo="""",campo=""-""),""NO APLICA"",
IF(col=0,""REVISAR EQUIVALENCIA"",
IF(fila=0,""SKU NO ENCONTRADO"",
LET(
valor,INDEX(Referencia!$A$2:$AZ6238,fila,col),
IF(TRIM(TO_TEXT(valor))=TRIM(TO_TEXT(I1240)),"&amp;"
""OK"",
""NO COINCIDE. Valor verdadero: ""&amp;IF(valor="""",""[VACÍO]"",TO_TEXT(valor))
)
))))
),""ERROR EN FÓRMULA""))"),"NO APLICA")</f>
        <v>NO APLICA</v>
      </c>
    </row>
    <row r="1241">
      <c r="A1241" s="83" t="s">
        <v>4618</v>
      </c>
      <c r="B1241" s="83" t="s">
        <v>4619</v>
      </c>
      <c r="C1241" s="81" t="s">
        <v>4621</v>
      </c>
      <c r="D1241" s="83" t="s">
        <v>4253</v>
      </c>
      <c r="E1241" s="81" t="s">
        <v>995</v>
      </c>
      <c r="F1241" s="84">
        <v>185.0</v>
      </c>
      <c r="G1241" s="81" t="s">
        <v>44</v>
      </c>
      <c r="H1241" s="81" t="s">
        <v>224</v>
      </c>
      <c r="I1241" s="81" t="s">
        <v>924</v>
      </c>
      <c r="J1241" s="81" t="s">
        <v>4088</v>
      </c>
      <c r="K1241" s="81" t="str">
        <f>IFERROR(__xludf.DUMMYFUNCTION("IF(OR(D1241="""",G1241=""""),"""",IFERROR(LET(
campo,XLOOKUP(TRIM(G1241),ARRAYFORMULA(TRIM('indice columnas'!$A$2:$A$100)),'indice columnas'!$B$2:$B$100,""""),
col,IFERROR(MATCH(campo,Referencia!$A$1:$AZ$1,0),0),
fila,IFERROR(MATCH(TO_TEXT(D1241),ARRAYFOR"&amp;"MULA(TO_TEXT(Referencia!$A$2:$A6238)),0),0),
IF(OR(campo="""",campo=""-""),""NO APLICA"",
IF(col=0,""REVISAR EQUIVALENCIA"",
IF(fila=0,""SKU NO ENCONTRADO"",
LET(
valor,INDEX(Referencia!$A$2:$AZ6238,fila,col),
IF(TRIM(TO_TEXT(valor))=TRIM(TO_TEXT(I1241)),"&amp;"
""OK"",
""NO COINCIDE. Valor verdadero: ""&amp;IF(valor="""",""[VACÍO]"",TO_TEXT(valor))
)
))))
),""ERROR EN FÓRMULA""))"),"NO APLICA")</f>
        <v>NO APLICA</v>
      </c>
    </row>
    <row r="1242">
      <c r="A1242" s="83" t="s">
        <v>4618</v>
      </c>
      <c r="B1242" s="83" t="s">
        <v>4619</v>
      </c>
      <c r="C1242" s="81" t="s">
        <v>4621</v>
      </c>
      <c r="D1242" s="83" t="s">
        <v>4253</v>
      </c>
      <c r="E1242" s="81" t="s">
        <v>1001</v>
      </c>
      <c r="F1242" s="84">
        <v>186.0</v>
      </c>
      <c r="G1242" s="81" t="s">
        <v>12</v>
      </c>
      <c r="H1242" s="81" t="s">
        <v>224</v>
      </c>
      <c r="I1242" s="81" t="s">
        <v>55</v>
      </c>
      <c r="J1242" s="81" t="s">
        <v>224</v>
      </c>
      <c r="K1242" s="81" t="str">
        <f>IFERROR(__xludf.DUMMYFUNCTION("IF(OR(D1242="""",G1242=""""),"""",IFERROR(LET(
campo,XLOOKUP(TRIM(G1242),ARRAYFORMULA(TRIM('indice columnas'!$A$2:$A$100)),'indice columnas'!$B$2:$B$100,""""),
col,IFERROR(MATCH(campo,Referencia!$A$1:$AZ$1,0),0),
fila,IFERROR(MATCH(TO_TEXT(D1242),ARRAYFOR"&amp;"MULA(TO_TEXT(Referencia!$A$2:$A6238)),0),0),
IF(OR(campo="""",campo=""-""),""NO APLICA"",
IF(col=0,""REVISAR EQUIVALENCIA"",
IF(fila=0,""SKU NO ENCONTRADO"",
LET(
valor,INDEX(Referencia!$A$2:$AZ6238,fila,col),
IF(TRIM(TO_TEXT(valor))=TRIM(TO_TEXT(I1242)),"&amp;"
""OK"",
""NO COINCIDE. Valor verdadero: ""&amp;IF(valor="""",""[VACÍO]"",TO_TEXT(valor))
)
))))
),""ERROR EN FÓRMULA""))"),"OK")</f>
        <v>OK</v>
      </c>
    </row>
    <row r="1243">
      <c r="A1243" s="83" t="s">
        <v>4618</v>
      </c>
      <c r="B1243" s="83" t="s">
        <v>4619</v>
      </c>
      <c r="C1243" s="81" t="s">
        <v>4621</v>
      </c>
      <c r="D1243" s="83" t="s">
        <v>4253</v>
      </c>
      <c r="E1243" s="81" t="s">
        <v>1001</v>
      </c>
      <c r="F1243" s="84">
        <v>186.0</v>
      </c>
      <c r="G1243" s="81" t="s">
        <v>44</v>
      </c>
      <c r="H1243" s="81" t="s">
        <v>224</v>
      </c>
      <c r="I1243" s="81" t="s">
        <v>924</v>
      </c>
      <c r="J1243" s="81" t="s">
        <v>4088</v>
      </c>
      <c r="K1243" s="81" t="str">
        <f>IFERROR(__xludf.DUMMYFUNCTION("IF(OR(D1243="""",G1243=""""),"""",IFERROR(LET(
campo,XLOOKUP(TRIM(G1243),ARRAYFORMULA(TRIM('indice columnas'!$A$2:$A$100)),'indice columnas'!$B$2:$B$100,""""),
col,IFERROR(MATCH(campo,Referencia!$A$1:$AZ$1,0),0),
fila,IFERROR(MATCH(TO_TEXT(D1243),ARRAYFOR"&amp;"MULA(TO_TEXT(Referencia!$A$2:$A6238)),0),0),
IF(OR(campo="""",campo=""-""),""NO APLICA"",
IF(col=0,""REVISAR EQUIVALENCIA"",
IF(fila=0,""SKU NO ENCONTRADO"",
LET(
valor,INDEX(Referencia!$A$2:$AZ6238,fila,col),
IF(TRIM(TO_TEXT(valor))=TRIM(TO_TEXT(I1243)),"&amp;"
""OK"",
""NO COINCIDE. Valor verdadero: ""&amp;IF(valor="""",""[VACÍO]"",TO_TEXT(valor))
)
))))
),""ERROR EN FÓRMULA""))"),"NO APLICA")</f>
        <v>NO APLICA</v>
      </c>
    </row>
    <row r="1244">
      <c r="A1244" s="83" t="s">
        <v>4618</v>
      </c>
      <c r="B1244" s="83" t="s">
        <v>4619</v>
      </c>
      <c r="C1244" s="81" t="s">
        <v>4621</v>
      </c>
      <c r="D1244" s="83" t="s">
        <v>4254</v>
      </c>
      <c r="E1244" s="81" t="s">
        <v>1002</v>
      </c>
      <c r="F1244" s="84">
        <v>187.0</v>
      </c>
      <c r="G1244" s="81" t="s">
        <v>12</v>
      </c>
      <c r="H1244" s="81" t="s">
        <v>224</v>
      </c>
      <c r="I1244" s="81" t="s">
        <v>55</v>
      </c>
      <c r="J1244" s="81" t="s">
        <v>224</v>
      </c>
      <c r="K1244" s="81" t="str">
        <f>IFERROR(__xludf.DUMMYFUNCTION("IF(OR(D1244="""",G1244=""""),"""",IFERROR(LET(
campo,XLOOKUP(TRIM(G1244),ARRAYFORMULA(TRIM('indice columnas'!$A$2:$A$100)),'indice columnas'!$B$2:$B$100,""""),
col,IFERROR(MATCH(campo,Referencia!$A$1:$AZ$1,0),0),
fila,IFERROR(MATCH(TO_TEXT(D1244),ARRAYFOR"&amp;"MULA(TO_TEXT(Referencia!$A$2:$A6238)),0),0),
IF(OR(campo="""",campo=""-""),""NO APLICA"",
IF(col=0,""REVISAR EQUIVALENCIA"",
IF(fila=0,""SKU NO ENCONTRADO"",
LET(
valor,INDEX(Referencia!$A$2:$AZ6238,fila,col),
IF(TRIM(TO_TEXT(valor))=TRIM(TO_TEXT(I1244)),"&amp;"
""OK"",
""NO COINCIDE. Valor verdadero: ""&amp;IF(valor="""",""[VACÍO]"",TO_TEXT(valor))
)
))))
),""ERROR EN FÓRMULA""))"),"OK")</f>
        <v>OK</v>
      </c>
    </row>
    <row r="1245">
      <c r="A1245" s="83" t="s">
        <v>4618</v>
      </c>
      <c r="B1245" s="83" t="s">
        <v>4619</v>
      </c>
      <c r="C1245" s="81" t="s">
        <v>4621</v>
      </c>
      <c r="D1245" s="83" t="s">
        <v>4254</v>
      </c>
      <c r="E1245" s="81" t="s">
        <v>1002</v>
      </c>
      <c r="F1245" s="84">
        <v>187.0</v>
      </c>
      <c r="G1245" s="81" t="s">
        <v>44</v>
      </c>
      <c r="H1245" s="81" t="s">
        <v>224</v>
      </c>
      <c r="I1245" s="81" t="s">
        <v>924</v>
      </c>
      <c r="J1245" s="81" t="s">
        <v>4088</v>
      </c>
      <c r="K1245" s="81" t="str">
        <f>IFERROR(__xludf.DUMMYFUNCTION("IF(OR(D1245="""",G1245=""""),"""",IFERROR(LET(
campo,XLOOKUP(TRIM(G1245),ARRAYFORMULA(TRIM('indice columnas'!$A$2:$A$100)),'indice columnas'!$B$2:$B$100,""""),
col,IFERROR(MATCH(campo,Referencia!$A$1:$AZ$1,0),0),
fila,IFERROR(MATCH(TO_TEXT(D1245),ARRAYFOR"&amp;"MULA(TO_TEXT(Referencia!$A$2:$A6238)),0),0),
IF(OR(campo="""",campo=""-""),""NO APLICA"",
IF(col=0,""REVISAR EQUIVALENCIA"",
IF(fila=0,""SKU NO ENCONTRADO"",
LET(
valor,INDEX(Referencia!$A$2:$AZ6238,fila,col),
IF(TRIM(TO_TEXT(valor))=TRIM(TO_TEXT(I1245)),"&amp;"
""OK"",
""NO COINCIDE. Valor verdadero: ""&amp;IF(valor="""",""[VACÍO]"",TO_TEXT(valor))
)
))))
),""ERROR EN FÓRMULA""))"),"NO APLICA")</f>
        <v>NO APLICA</v>
      </c>
    </row>
    <row r="1246">
      <c r="A1246" s="83" t="s">
        <v>4618</v>
      </c>
      <c r="B1246" s="83" t="s">
        <v>4619</v>
      </c>
      <c r="C1246" s="81" t="s">
        <v>4621</v>
      </c>
      <c r="D1246" s="83" t="s">
        <v>4255</v>
      </c>
      <c r="E1246" s="81" t="s">
        <v>1005</v>
      </c>
      <c r="F1246" s="84">
        <v>188.0</v>
      </c>
      <c r="G1246" s="81" t="s">
        <v>44</v>
      </c>
      <c r="H1246" s="81" t="s">
        <v>224</v>
      </c>
      <c r="I1246" s="81" t="s">
        <v>924</v>
      </c>
      <c r="J1246" s="81" t="s">
        <v>4088</v>
      </c>
      <c r="K1246" s="81" t="str">
        <f>IFERROR(__xludf.DUMMYFUNCTION("IF(OR(D1246="""",G1246=""""),"""",IFERROR(LET(
campo,XLOOKUP(TRIM(G1246),ARRAYFORMULA(TRIM('indice columnas'!$A$2:$A$100)),'indice columnas'!$B$2:$B$100,""""),
col,IFERROR(MATCH(campo,Referencia!$A$1:$AZ$1,0),0),
fila,IFERROR(MATCH(TO_TEXT(D1246),ARRAYFOR"&amp;"MULA(TO_TEXT(Referencia!$A$2:$A6238)),0),0),
IF(OR(campo="""",campo=""-""),""NO APLICA"",
IF(col=0,""REVISAR EQUIVALENCIA"",
IF(fila=0,""SKU NO ENCONTRADO"",
LET(
valor,INDEX(Referencia!$A$2:$AZ6238,fila,col),
IF(TRIM(TO_TEXT(valor))=TRIM(TO_TEXT(I1246)),"&amp;"
""OK"",
""NO COINCIDE. Valor verdadero: ""&amp;IF(valor="""",""[VACÍO]"",TO_TEXT(valor))
)
))))
),""ERROR EN FÓRMULA""))"),"NO APLICA")</f>
        <v>NO APLICA</v>
      </c>
    </row>
    <row r="1247">
      <c r="A1247" s="83" t="s">
        <v>4618</v>
      </c>
      <c r="B1247" s="83" t="s">
        <v>4619</v>
      </c>
      <c r="C1247" s="81" t="s">
        <v>4621</v>
      </c>
      <c r="D1247" s="83" t="s">
        <v>4255</v>
      </c>
      <c r="E1247" s="81" t="s">
        <v>1011</v>
      </c>
      <c r="F1247" s="84">
        <v>189.0</v>
      </c>
      <c r="G1247" s="81" t="s">
        <v>12</v>
      </c>
      <c r="H1247" s="81" t="s">
        <v>224</v>
      </c>
      <c r="I1247" s="81" t="s">
        <v>55</v>
      </c>
      <c r="J1247" s="81" t="s">
        <v>224</v>
      </c>
      <c r="K1247" s="81" t="str">
        <f>IFERROR(__xludf.DUMMYFUNCTION("IF(OR(D1247="""",G1247=""""),"""",IFERROR(LET(
campo,XLOOKUP(TRIM(G1247),ARRAYFORMULA(TRIM('indice columnas'!$A$2:$A$100)),'indice columnas'!$B$2:$B$100,""""),
col,IFERROR(MATCH(campo,Referencia!$A$1:$AZ$1,0),0),
fila,IFERROR(MATCH(TO_TEXT(D1247),ARRAYFOR"&amp;"MULA(TO_TEXT(Referencia!$A$2:$A6238)),0),0),
IF(OR(campo="""",campo=""-""),""NO APLICA"",
IF(col=0,""REVISAR EQUIVALENCIA"",
IF(fila=0,""SKU NO ENCONTRADO"",
LET(
valor,INDEX(Referencia!$A$2:$AZ6238,fila,col),
IF(TRIM(TO_TEXT(valor))=TRIM(TO_TEXT(I1247)),"&amp;"
""OK"",
""NO COINCIDE. Valor verdadero: ""&amp;IF(valor="""",""[VACÍO]"",TO_TEXT(valor))
)
))))
),""ERROR EN FÓRMULA""))"),"OK")</f>
        <v>OK</v>
      </c>
    </row>
    <row r="1248">
      <c r="A1248" s="83" t="s">
        <v>4618</v>
      </c>
      <c r="B1248" s="83" t="s">
        <v>4619</v>
      </c>
      <c r="C1248" s="81" t="s">
        <v>4621</v>
      </c>
      <c r="D1248" s="83" t="s">
        <v>4255</v>
      </c>
      <c r="E1248" s="81" t="s">
        <v>1011</v>
      </c>
      <c r="F1248" s="84">
        <v>189.0</v>
      </c>
      <c r="G1248" s="81" t="s">
        <v>44</v>
      </c>
      <c r="H1248" s="81" t="s">
        <v>224</v>
      </c>
      <c r="I1248" s="81" t="s">
        <v>924</v>
      </c>
      <c r="J1248" s="81" t="s">
        <v>4088</v>
      </c>
      <c r="K1248" s="81" t="str">
        <f>IFERROR(__xludf.DUMMYFUNCTION("IF(OR(D1248="""",G1248=""""),"""",IFERROR(LET(
campo,XLOOKUP(TRIM(G1248),ARRAYFORMULA(TRIM('indice columnas'!$A$2:$A$100)),'indice columnas'!$B$2:$B$100,""""),
col,IFERROR(MATCH(campo,Referencia!$A$1:$AZ$1,0),0),
fila,IFERROR(MATCH(TO_TEXT(D1248),ARRAYFOR"&amp;"MULA(TO_TEXT(Referencia!$A$2:$A6238)),0),0),
IF(OR(campo="""",campo=""-""),""NO APLICA"",
IF(col=0,""REVISAR EQUIVALENCIA"",
IF(fila=0,""SKU NO ENCONTRADO"",
LET(
valor,INDEX(Referencia!$A$2:$AZ6238,fila,col),
IF(TRIM(TO_TEXT(valor))=TRIM(TO_TEXT(I1248)),"&amp;"
""OK"",
""NO COINCIDE. Valor verdadero: ""&amp;IF(valor="""",""[VACÍO]"",TO_TEXT(valor))
)
))))
),""ERROR EN FÓRMULA""))"),"NO APLICA")</f>
        <v>NO APLICA</v>
      </c>
    </row>
    <row r="1249">
      <c r="A1249" s="83" t="s">
        <v>4618</v>
      </c>
      <c r="B1249" s="83" t="s">
        <v>4619</v>
      </c>
      <c r="C1249" s="81" t="s">
        <v>4621</v>
      </c>
      <c r="D1249" s="83" t="s">
        <v>4256</v>
      </c>
      <c r="E1249" s="81" t="s">
        <v>1012</v>
      </c>
      <c r="F1249" s="84">
        <v>190.0</v>
      </c>
      <c r="G1249" s="81" t="s">
        <v>12</v>
      </c>
      <c r="H1249" s="81" t="s">
        <v>224</v>
      </c>
      <c r="I1249" s="81" t="s">
        <v>55</v>
      </c>
      <c r="J1249" s="81" t="s">
        <v>224</v>
      </c>
      <c r="K1249" s="81" t="str">
        <f>IFERROR(__xludf.DUMMYFUNCTION("IF(OR(D1249="""",G1249=""""),"""",IFERROR(LET(
campo,XLOOKUP(TRIM(G1249),ARRAYFORMULA(TRIM('indice columnas'!$A$2:$A$100)),'indice columnas'!$B$2:$B$100,""""),
col,IFERROR(MATCH(campo,Referencia!$A$1:$AZ$1,0),0),
fila,IFERROR(MATCH(TO_TEXT(D1249),ARRAYFOR"&amp;"MULA(TO_TEXT(Referencia!$A$2:$A6238)),0),0),
IF(OR(campo="""",campo=""-""),""NO APLICA"",
IF(col=0,""REVISAR EQUIVALENCIA"",
IF(fila=0,""SKU NO ENCONTRADO"",
LET(
valor,INDEX(Referencia!$A$2:$AZ6238,fila,col),
IF(TRIM(TO_TEXT(valor))=TRIM(TO_TEXT(I1249)),"&amp;"
""OK"",
""NO COINCIDE. Valor verdadero: ""&amp;IF(valor="""",""[VACÍO]"",TO_TEXT(valor))
)
))))
),""ERROR EN FÓRMULA""))"),"OK")</f>
        <v>OK</v>
      </c>
    </row>
    <row r="1250">
      <c r="A1250" s="83" t="s">
        <v>4618</v>
      </c>
      <c r="B1250" s="83" t="s">
        <v>4619</v>
      </c>
      <c r="C1250" s="81" t="s">
        <v>4621</v>
      </c>
      <c r="D1250" s="83" t="s">
        <v>4256</v>
      </c>
      <c r="E1250" s="81" t="s">
        <v>1012</v>
      </c>
      <c r="F1250" s="84">
        <v>190.0</v>
      </c>
      <c r="G1250" s="81" t="s">
        <v>44</v>
      </c>
      <c r="H1250" s="81" t="s">
        <v>224</v>
      </c>
      <c r="I1250" s="81" t="s">
        <v>924</v>
      </c>
      <c r="J1250" s="81" t="s">
        <v>4088</v>
      </c>
      <c r="K1250" s="81" t="str">
        <f>IFERROR(__xludf.DUMMYFUNCTION("IF(OR(D1250="""",G1250=""""),"""",IFERROR(LET(
campo,XLOOKUP(TRIM(G1250),ARRAYFORMULA(TRIM('indice columnas'!$A$2:$A$100)),'indice columnas'!$B$2:$B$100,""""),
col,IFERROR(MATCH(campo,Referencia!$A$1:$AZ$1,0),0),
fila,IFERROR(MATCH(TO_TEXT(D1250),ARRAYFOR"&amp;"MULA(TO_TEXT(Referencia!$A$2:$A6238)),0),0),
IF(OR(campo="""",campo=""-""),""NO APLICA"",
IF(col=0,""REVISAR EQUIVALENCIA"",
IF(fila=0,""SKU NO ENCONTRADO"",
LET(
valor,INDEX(Referencia!$A$2:$AZ6238,fila,col),
IF(TRIM(TO_TEXT(valor))=TRIM(TO_TEXT(I1250)),"&amp;"
""OK"",
""NO COINCIDE. Valor verdadero: ""&amp;IF(valor="""",""[VACÍO]"",TO_TEXT(valor))
)
))))
),""ERROR EN FÓRMULA""))"),"NO APLICA")</f>
        <v>NO APLICA</v>
      </c>
    </row>
    <row r="1251">
      <c r="A1251" s="83" t="s">
        <v>4618</v>
      </c>
      <c r="B1251" s="83" t="s">
        <v>4619</v>
      </c>
      <c r="C1251" s="81" t="s">
        <v>4621</v>
      </c>
      <c r="D1251" s="83" t="s">
        <v>4257</v>
      </c>
      <c r="E1251" s="81" t="s">
        <v>1015</v>
      </c>
      <c r="F1251" s="84">
        <v>191.0</v>
      </c>
      <c r="G1251" s="81" t="s">
        <v>44</v>
      </c>
      <c r="H1251" s="81" t="s">
        <v>224</v>
      </c>
      <c r="I1251" s="81" t="s">
        <v>924</v>
      </c>
      <c r="J1251" s="81" t="s">
        <v>4088</v>
      </c>
      <c r="K1251" s="81" t="str">
        <f>IFERROR(__xludf.DUMMYFUNCTION("IF(OR(D1251="""",G1251=""""),"""",IFERROR(LET(
campo,XLOOKUP(TRIM(G1251),ARRAYFORMULA(TRIM('indice columnas'!$A$2:$A$100)),'indice columnas'!$B$2:$B$100,""""),
col,IFERROR(MATCH(campo,Referencia!$A$1:$AZ$1,0),0),
fila,IFERROR(MATCH(TO_TEXT(D1251),ARRAYFOR"&amp;"MULA(TO_TEXT(Referencia!$A$2:$A6238)),0),0),
IF(OR(campo="""",campo=""-""),""NO APLICA"",
IF(col=0,""REVISAR EQUIVALENCIA"",
IF(fila=0,""SKU NO ENCONTRADO"",
LET(
valor,INDEX(Referencia!$A$2:$AZ6238,fila,col),
IF(TRIM(TO_TEXT(valor))=TRIM(TO_TEXT(I1251)),"&amp;"
""OK"",
""NO COINCIDE. Valor verdadero: ""&amp;IF(valor="""",""[VACÍO]"",TO_TEXT(valor))
)
))))
),""ERROR EN FÓRMULA""))"),"NO APLICA")</f>
        <v>NO APLICA</v>
      </c>
    </row>
    <row r="1252">
      <c r="A1252" s="83" t="s">
        <v>4618</v>
      </c>
      <c r="B1252" s="83" t="s">
        <v>4619</v>
      </c>
      <c r="C1252" s="81" t="s">
        <v>4621</v>
      </c>
      <c r="D1252" s="83" t="s">
        <v>4257</v>
      </c>
      <c r="E1252" s="81" t="s">
        <v>1025</v>
      </c>
      <c r="F1252" s="84">
        <v>192.0</v>
      </c>
      <c r="G1252" s="81" t="s">
        <v>12</v>
      </c>
      <c r="H1252" s="81" t="s">
        <v>224</v>
      </c>
      <c r="I1252" s="81" t="s">
        <v>55</v>
      </c>
      <c r="J1252" s="81" t="s">
        <v>224</v>
      </c>
      <c r="K1252" s="81" t="str">
        <f>IFERROR(__xludf.DUMMYFUNCTION("IF(OR(D1252="""",G1252=""""),"""",IFERROR(LET(
campo,XLOOKUP(TRIM(G1252),ARRAYFORMULA(TRIM('indice columnas'!$A$2:$A$100)),'indice columnas'!$B$2:$B$100,""""),
col,IFERROR(MATCH(campo,Referencia!$A$1:$AZ$1,0),0),
fila,IFERROR(MATCH(TO_TEXT(D1252),ARRAYFOR"&amp;"MULA(TO_TEXT(Referencia!$A$2:$A6238)),0),0),
IF(OR(campo="""",campo=""-""),""NO APLICA"",
IF(col=0,""REVISAR EQUIVALENCIA"",
IF(fila=0,""SKU NO ENCONTRADO"",
LET(
valor,INDEX(Referencia!$A$2:$AZ6238,fila,col),
IF(TRIM(TO_TEXT(valor))=TRIM(TO_TEXT(I1252)),"&amp;"
""OK"",
""NO COINCIDE. Valor verdadero: ""&amp;IF(valor="""",""[VACÍO]"",TO_TEXT(valor))
)
))))
),""ERROR EN FÓRMULA""))"),"OK")</f>
        <v>OK</v>
      </c>
    </row>
    <row r="1253">
      <c r="A1253" s="83" t="s">
        <v>4618</v>
      </c>
      <c r="B1253" s="83" t="s">
        <v>4619</v>
      </c>
      <c r="C1253" s="81" t="s">
        <v>4621</v>
      </c>
      <c r="D1253" s="83" t="s">
        <v>4257</v>
      </c>
      <c r="E1253" s="81" t="s">
        <v>1025</v>
      </c>
      <c r="F1253" s="84">
        <v>192.0</v>
      </c>
      <c r="G1253" s="81" t="s">
        <v>14</v>
      </c>
      <c r="H1253" s="81" t="s">
        <v>4258</v>
      </c>
      <c r="I1253" s="81" t="s">
        <v>228</v>
      </c>
      <c r="J1253" s="81" t="s">
        <v>224</v>
      </c>
      <c r="K1253" s="81" t="str">
        <f>IFERROR(__xludf.DUMMYFUNCTION("IF(OR(D1253="""",G1253=""""),"""",IFERROR(LET(
campo,XLOOKUP(TRIM(G1253),ARRAYFORMULA(TRIM('indice columnas'!$A$2:$A$100)),'indice columnas'!$B$2:$B$100,""""),
col,IFERROR(MATCH(campo,Referencia!$A$1:$AZ$1,0),0),
fila,IFERROR(MATCH(TO_TEXT(D1253),ARRAYFOR"&amp;"MULA(TO_TEXT(Referencia!$A$2:$A6238)),0),0),
IF(OR(campo="""",campo=""-""),""NO APLICA"",
IF(col=0,""REVISAR EQUIVALENCIA"",
IF(fila=0,""SKU NO ENCONTRADO"",
LET(
valor,INDEX(Referencia!$A$2:$AZ6238,fila,col),
IF(TRIM(TO_TEXT(valor))=TRIM(TO_TEXT(I1253)),"&amp;"
""OK"",
""NO COINCIDE. Valor verdadero: ""&amp;IF(valor="""",""[VACÍO]"",TO_TEXT(valor))
)
))))
),""ERROR EN FÓRMULA""))"),"NO COINCIDE. Valor verdadero: 220")</f>
        <v>NO COINCIDE. Valor verdadero: 220</v>
      </c>
    </row>
    <row r="1254">
      <c r="A1254" s="83" t="s">
        <v>4618</v>
      </c>
      <c r="B1254" s="83" t="s">
        <v>4619</v>
      </c>
      <c r="C1254" s="81" t="s">
        <v>4621</v>
      </c>
      <c r="D1254" s="83" t="s">
        <v>4257</v>
      </c>
      <c r="E1254" s="81" t="s">
        <v>1025</v>
      </c>
      <c r="F1254" s="84">
        <v>192.0</v>
      </c>
      <c r="G1254" s="81" t="s">
        <v>29</v>
      </c>
      <c r="H1254" s="81" t="s">
        <v>4259</v>
      </c>
      <c r="I1254" s="81" t="s">
        <v>1027</v>
      </c>
      <c r="J1254" s="81" t="s">
        <v>224</v>
      </c>
      <c r="K1254" s="81" t="str">
        <f>IFERROR(__xludf.DUMMYFUNCTION("IF(OR(D1254="""",G1254=""""),"""",IFERROR(LET(
campo,XLOOKUP(TRIM(G1254),ARRAYFORMULA(TRIM('indice columnas'!$A$2:$A$100)),'indice columnas'!$B$2:$B$100,""""),
col,IFERROR(MATCH(campo,Referencia!$A$1:$AZ$1,0),0),
fila,IFERROR(MATCH(TO_TEXT(D1254),ARRAYFOR"&amp;"MULA(TO_TEXT(Referencia!$A$2:$A6238)),0),0),
IF(OR(campo="""",campo=""-""),""NO APLICA"",
IF(col=0,""REVISAR EQUIVALENCIA"",
IF(fila=0,""SKU NO ENCONTRADO"",
LET(
valor,INDEX(Referencia!$A$2:$AZ6238,fila,col),
IF(TRIM(TO_TEXT(valor))=TRIM(TO_TEXT(I1254)),"&amp;"
""OK"",
""NO COINCIDE. Valor verdadero: ""&amp;IF(valor="""",""[VACÍO]"",TO_TEXT(valor))
)
))))
),""ERROR EN FÓRMULA""))"),"NO COINCIDE. Valor verdadero: 34 x 17 x 3000 (Ancho x Alto x Largo)")</f>
        <v>NO COINCIDE. Valor verdadero: 34 x 17 x 3000 (Ancho x Alto x Largo)</v>
      </c>
    </row>
    <row r="1255">
      <c r="A1255" s="83" t="s">
        <v>4618</v>
      </c>
      <c r="B1255" s="83" t="s">
        <v>4619</v>
      </c>
      <c r="C1255" s="81" t="s">
        <v>4621</v>
      </c>
      <c r="D1255" s="83" t="s">
        <v>4257</v>
      </c>
      <c r="E1255" s="81" t="s">
        <v>1025</v>
      </c>
      <c r="F1255" s="84">
        <v>192.0</v>
      </c>
      <c r="G1255" s="81" t="s">
        <v>44</v>
      </c>
      <c r="H1255" s="81" t="s">
        <v>224</v>
      </c>
      <c r="I1255" s="81" t="s">
        <v>924</v>
      </c>
      <c r="J1255" s="81" t="s">
        <v>4088</v>
      </c>
      <c r="K1255" s="81" t="str">
        <f>IFERROR(__xludf.DUMMYFUNCTION("IF(OR(D1255="""",G1255=""""),"""",IFERROR(LET(
campo,XLOOKUP(TRIM(G1255),ARRAYFORMULA(TRIM('indice columnas'!$A$2:$A$100)),'indice columnas'!$B$2:$B$100,""""),
col,IFERROR(MATCH(campo,Referencia!$A$1:$AZ$1,0),0),
fila,IFERROR(MATCH(TO_TEXT(D1255),ARRAYFOR"&amp;"MULA(TO_TEXT(Referencia!$A$2:$A6238)),0),0),
IF(OR(campo="""",campo=""-""),""NO APLICA"",
IF(col=0,""REVISAR EQUIVALENCIA"",
IF(fila=0,""SKU NO ENCONTRADO"",
LET(
valor,INDEX(Referencia!$A$2:$AZ6238,fila,col),
IF(TRIM(TO_TEXT(valor))=TRIM(TO_TEXT(I1255)),"&amp;"
""OK"",
""NO COINCIDE. Valor verdadero: ""&amp;IF(valor="""",""[VACÍO]"",TO_TEXT(valor))
)
))))
),""ERROR EN FÓRMULA""))"),"NO APLICA")</f>
        <v>NO APLICA</v>
      </c>
    </row>
    <row r="1256">
      <c r="A1256" s="83" t="s">
        <v>4618</v>
      </c>
      <c r="B1256" s="83" t="s">
        <v>4619</v>
      </c>
      <c r="C1256" s="81" t="s">
        <v>4621</v>
      </c>
      <c r="D1256" s="83" t="s">
        <v>4260</v>
      </c>
      <c r="E1256" s="81" t="s">
        <v>1028</v>
      </c>
      <c r="F1256" s="84">
        <v>193.0</v>
      </c>
      <c r="G1256" s="81" t="s">
        <v>12</v>
      </c>
      <c r="H1256" s="81" t="s">
        <v>224</v>
      </c>
      <c r="I1256" s="81" t="s">
        <v>55</v>
      </c>
      <c r="J1256" s="81" t="s">
        <v>224</v>
      </c>
      <c r="K1256" s="81" t="str">
        <f>IFERROR(__xludf.DUMMYFUNCTION("IF(OR(D1256="""",G1256=""""),"""",IFERROR(LET(
campo,XLOOKUP(TRIM(G1256),ARRAYFORMULA(TRIM('indice columnas'!$A$2:$A$100)),'indice columnas'!$B$2:$B$100,""""),
col,IFERROR(MATCH(campo,Referencia!$A$1:$AZ$1,0),0),
fila,IFERROR(MATCH(TO_TEXT(D1256),ARRAYFOR"&amp;"MULA(TO_TEXT(Referencia!$A$2:$A6238)),0),0),
IF(OR(campo="""",campo=""-""),""NO APLICA"",
IF(col=0,""REVISAR EQUIVALENCIA"",
IF(fila=0,""SKU NO ENCONTRADO"",
LET(
valor,INDEX(Referencia!$A$2:$AZ6238,fila,col),
IF(TRIM(TO_TEXT(valor))=TRIM(TO_TEXT(I1256)),"&amp;"
""OK"",
""NO COINCIDE. Valor verdadero: ""&amp;IF(valor="""",""[VACÍO]"",TO_TEXT(valor))
)
))))
),""ERROR EN FÓRMULA""))"),"OK")</f>
        <v>OK</v>
      </c>
    </row>
    <row r="1257">
      <c r="A1257" s="83" t="s">
        <v>4618</v>
      </c>
      <c r="B1257" s="83" t="s">
        <v>4619</v>
      </c>
      <c r="C1257" s="81" t="s">
        <v>4621</v>
      </c>
      <c r="D1257" s="83" t="s">
        <v>4260</v>
      </c>
      <c r="E1257" s="81" t="s">
        <v>1028</v>
      </c>
      <c r="F1257" s="84">
        <v>193.0</v>
      </c>
      <c r="G1257" s="81" t="s">
        <v>14</v>
      </c>
      <c r="H1257" s="81" t="s">
        <v>4258</v>
      </c>
      <c r="I1257" s="81" t="s">
        <v>228</v>
      </c>
      <c r="J1257" s="81" t="s">
        <v>224</v>
      </c>
      <c r="K1257" s="81" t="str">
        <f>IFERROR(__xludf.DUMMYFUNCTION("IF(OR(D1257="""",G1257=""""),"""",IFERROR(LET(
campo,XLOOKUP(TRIM(G1257),ARRAYFORMULA(TRIM('indice columnas'!$A$2:$A$100)),'indice columnas'!$B$2:$B$100,""""),
col,IFERROR(MATCH(campo,Referencia!$A$1:$AZ$1,0),0),
fila,IFERROR(MATCH(TO_TEXT(D1257),ARRAYFOR"&amp;"MULA(TO_TEXT(Referencia!$A$2:$A6238)),0),0),
IF(OR(campo="""",campo=""-""),""NO APLICA"",
IF(col=0,""REVISAR EQUIVALENCIA"",
IF(fila=0,""SKU NO ENCONTRADO"",
LET(
valor,INDEX(Referencia!$A$2:$AZ6238,fila,col),
IF(TRIM(TO_TEXT(valor))=TRIM(TO_TEXT(I1257)),"&amp;"
""OK"",
""NO COINCIDE. Valor verdadero: ""&amp;IF(valor="""",""[VACÍO]"",TO_TEXT(valor))
)
))))
),""ERROR EN FÓRMULA""))"),"NO COINCIDE. Valor verdadero: 220")</f>
        <v>NO COINCIDE. Valor verdadero: 220</v>
      </c>
    </row>
    <row r="1258">
      <c r="A1258" s="83" t="s">
        <v>4618</v>
      </c>
      <c r="B1258" s="83" t="s">
        <v>4619</v>
      </c>
      <c r="C1258" s="81" t="s">
        <v>4621</v>
      </c>
      <c r="D1258" s="83" t="s">
        <v>4260</v>
      </c>
      <c r="E1258" s="81" t="s">
        <v>1028</v>
      </c>
      <c r="F1258" s="84">
        <v>193.0</v>
      </c>
      <c r="G1258" s="81" t="s">
        <v>29</v>
      </c>
      <c r="H1258" s="81" t="s">
        <v>4259</v>
      </c>
      <c r="I1258" s="81" t="s">
        <v>1027</v>
      </c>
      <c r="J1258" s="81" t="s">
        <v>224</v>
      </c>
      <c r="K1258" s="81" t="str">
        <f>IFERROR(__xludf.DUMMYFUNCTION("IF(OR(D1258="""",G1258=""""),"""",IFERROR(LET(
campo,XLOOKUP(TRIM(G1258),ARRAYFORMULA(TRIM('indice columnas'!$A$2:$A$100)),'indice columnas'!$B$2:$B$100,""""),
col,IFERROR(MATCH(campo,Referencia!$A$1:$AZ$1,0),0),
fila,IFERROR(MATCH(TO_TEXT(D1258),ARRAYFOR"&amp;"MULA(TO_TEXT(Referencia!$A$2:$A6238)),0),0),
IF(OR(campo="""",campo=""-""),""NO APLICA"",
IF(col=0,""REVISAR EQUIVALENCIA"",
IF(fila=0,""SKU NO ENCONTRADO"",
LET(
valor,INDEX(Referencia!$A$2:$AZ6238,fila,col),
IF(TRIM(TO_TEXT(valor))=TRIM(TO_TEXT(I1258)),"&amp;"
""OK"",
""NO COINCIDE. Valor verdadero: ""&amp;IF(valor="""",""[VACÍO]"",TO_TEXT(valor))
)
))))
),""ERROR EN FÓRMULA""))"),"NO COINCIDE. Valor verdadero: 34 x 17 x 3000 (Ancho x Alto x Largo)")</f>
        <v>NO COINCIDE. Valor verdadero: 34 x 17 x 3000 (Ancho x Alto x Largo)</v>
      </c>
    </row>
    <row r="1259">
      <c r="A1259" s="83" t="s">
        <v>4618</v>
      </c>
      <c r="B1259" s="83" t="s">
        <v>4619</v>
      </c>
      <c r="C1259" s="81" t="s">
        <v>4621</v>
      </c>
      <c r="D1259" s="83" t="s">
        <v>4260</v>
      </c>
      <c r="E1259" s="81" t="s">
        <v>1028</v>
      </c>
      <c r="F1259" s="84">
        <v>193.0</v>
      </c>
      <c r="G1259" s="81" t="s">
        <v>44</v>
      </c>
      <c r="H1259" s="81" t="s">
        <v>224</v>
      </c>
      <c r="I1259" s="81" t="s">
        <v>924</v>
      </c>
      <c r="J1259" s="81" t="s">
        <v>4088</v>
      </c>
      <c r="K1259" s="81" t="str">
        <f>IFERROR(__xludf.DUMMYFUNCTION("IF(OR(D1259="""",G1259=""""),"""",IFERROR(LET(
campo,XLOOKUP(TRIM(G1259),ARRAYFORMULA(TRIM('indice columnas'!$A$2:$A$100)),'indice columnas'!$B$2:$B$100,""""),
col,IFERROR(MATCH(campo,Referencia!$A$1:$AZ$1,0),0),
fila,IFERROR(MATCH(TO_TEXT(D1259),ARRAYFOR"&amp;"MULA(TO_TEXT(Referencia!$A$2:$A6238)),0),0),
IF(OR(campo="""",campo=""-""),""NO APLICA"",
IF(col=0,""REVISAR EQUIVALENCIA"",
IF(fila=0,""SKU NO ENCONTRADO"",
LET(
valor,INDEX(Referencia!$A$2:$AZ6238,fila,col),
IF(TRIM(TO_TEXT(valor))=TRIM(TO_TEXT(I1259)),"&amp;"
""OK"",
""NO COINCIDE. Valor verdadero: ""&amp;IF(valor="""",""[VACÍO]"",TO_TEXT(valor))
)
))))
),""ERROR EN FÓRMULA""))"),"NO APLICA")</f>
        <v>NO APLICA</v>
      </c>
    </row>
    <row r="1260">
      <c r="A1260" s="83" t="s">
        <v>4618</v>
      </c>
      <c r="B1260" s="83" t="s">
        <v>4619</v>
      </c>
      <c r="C1260" s="81" t="s">
        <v>4621</v>
      </c>
      <c r="D1260" s="83" t="s">
        <v>4261</v>
      </c>
      <c r="E1260" s="81" t="s">
        <v>1032</v>
      </c>
      <c r="F1260" s="84">
        <v>194.0</v>
      </c>
      <c r="G1260" s="81" t="s">
        <v>12</v>
      </c>
      <c r="H1260" s="81" t="s">
        <v>224</v>
      </c>
      <c r="I1260" s="81" t="s">
        <v>55</v>
      </c>
      <c r="J1260" s="81" t="s">
        <v>224</v>
      </c>
      <c r="K1260" s="81" t="str">
        <f>IFERROR(__xludf.DUMMYFUNCTION("IF(OR(D1260="""",G1260=""""),"""",IFERROR(LET(
campo,XLOOKUP(TRIM(G1260),ARRAYFORMULA(TRIM('indice columnas'!$A$2:$A$100)),'indice columnas'!$B$2:$B$100,""""),
col,IFERROR(MATCH(campo,Referencia!$A$1:$AZ$1,0),0),
fila,IFERROR(MATCH(TO_TEXT(D1260),ARRAYFOR"&amp;"MULA(TO_TEXT(Referencia!$A$2:$A6238)),0),0),
IF(OR(campo="""",campo=""-""),""NO APLICA"",
IF(col=0,""REVISAR EQUIVALENCIA"",
IF(fila=0,""SKU NO ENCONTRADO"",
LET(
valor,INDEX(Referencia!$A$2:$AZ6238,fila,col),
IF(TRIM(TO_TEXT(valor))=TRIM(TO_TEXT(I1260)),"&amp;"
""OK"",
""NO COINCIDE. Valor verdadero: ""&amp;IF(valor="""",""[VACÍO]"",TO_TEXT(valor))
)
))))
),""ERROR EN FÓRMULA""))"),"OK")</f>
        <v>OK</v>
      </c>
    </row>
    <row r="1261">
      <c r="A1261" s="83" t="s">
        <v>4618</v>
      </c>
      <c r="B1261" s="83" t="s">
        <v>4619</v>
      </c>
      <c r="C1261" s="81" t="s">
        <v>4621</v>
      </c>
      <c r="D1261" s="83" t="s">
        <v>4261</v>
      </c>
      <c r="E1261" s="81" t="s">
        <v>1032</v>
      </c>
      <c r="F1261" s="84">
        <v>194.0</v>
      </c>
      <c r="G1261" s="81" t="s">
        <v>14</v>
      </c>
      <c r="H1261" s="81" t="s">
        <v>4258</v>
      </c>
      <c r="I1261" s="81" t="s">
        <v>228</v>
      </c>
      <c r="J1261" s="81" t="s">
        <v>224</v>
      </c>
      <c r="K1261" s="81" t="str">
        <f>IFERROR(__xludf.DUMMYFUNCTION("IF(OR(D1261="""",G1261=""""),"""",IFERROR(LET(
campo,XLOOKUP(TRIM(G1261),ARRAYFORMULA(TRIM('indice columnas'!$A$2:$A$100)),'indice columnas'!$B$2:$B$100,""""),
col,IFERROR(MATCH(campo,Referencia!$A$1:$AZ$1,0),0),
fila,IFERROR(MATCH(TO_TEXT(D1261),ARRAYFOR"&amp;"MULA(TO_TEXT(Referencia!$A$2:$A6238)),0),0),
IF(OR(campo="""",campo=""-""),""NO APLICA"",
IF(col=0,""REVISAR EQUIVALENCIA"",
IF(fila=0,""SKU NO ENCONTRADO"",
LET(
valor,INDEX(Referencia!$A$2:$AZ6238,fila,col),
IF(TRIM(TO_TEXT(valor))=TRIM(TO_TEXT(I1261)),"&amp;"
""OK"",
""NO COINCIDE. Valor verdadero: ""&amp;IF(valor="""",""[VACÍO]"",TO_TEXT(valor))
)
))))
),""ERROR EN FÓRMULA""))"),"NO COINCIDE. Valor verdadero: 220")</f>
        <v>NO COINCIDE. Valor verdadero: 220</v>
      </c>
    </row>
    <row r="1262">
      <c r="A1262" s="83" t="s">
        <v>4618</v>
      </c>
      <c r="B1262" s="83" t="s">
        <v>4619</v>
      </c>
      <c r="C1262" s="81" t="s">
        <v>4621</v>
      </c>
      <c r="D1262" s="83" t="s">
        <v>4261</v>
      </c>
      <c r="E1262" s="81" t="s">
        <v>1032</v>
      </c>
      <c r="F1262" s="84">
        <v>194.0</v>
      </c>
      <c r="G1262" s="81" t="s">
        <v>29</v>
      </c>
      <c r="H1262" s="81" t="s">
        <v>4262</v>
      </c>
      <c r="I1262" s="81" t="s">
        <v>1034</v>
      </c>
      <c r="J1262" s="81" t="s">
        <v>224</v>
      </c>
      <c r="K1262" s="81" t="str">
        <f>IFERROR(__xludf.DUMMYFUNCTION("IF(OR(D1262="""",G1262=""""),"""",IFERROR(LET(
campo,XLOOKUP(TRIM(G1262),ARRAYFORMULA(TRIM('indice columnas'!$A$2:$A$100)),'indice columnas'!$B$2:$B$100,""""),
col,IFERROR(MATCH(campo,Referencia!$A$1:$AZ$1,0),0),
fila,IFERROR(MATCH(TO_TEXT(D1262),ARRAYFOR"&amp;"MULA(TO_TEXT(Referencia!$A$2:$A6238)),0),0),
IF(OR(campo="""",campo=""-""),""NO APLICA"",
IF(col=0,""REVISAR EQUIVALENCIA"",
IF(fila=0,""SKU NO ENCONTRADO"",
LET(
valor,INDEX(Referencia!$A$2:$AZ6238,fila,col),
IF(TRIM(TO_TEXT(valor))=TRIM(TO_TEXT(I1262)),"&amp;"
""OK"",
""NO COINCIDE. Valor verdadero: ""&amp;IF(valor="""",""[VACÍO]"",TO_TEXT(valor))
)
))))
),""ERROR EN FÓRMULA""))"),"NO COINCIDE. Valor verdadero: 34 x 17 x 2000 (Ancho x Alto x Largo)")</f>
        <v>NO COINCIDE. Valor verdadero: 34 x 17 x 2000 (Ancho x Alto x Largo)</v>
      </c>
    </row>
    <row r="1263">
      <c r="A1263" s="83" t="s">
        <v>4618</v>
      </c>
      <c r="B1263" s="83" t="s">
        <v>4619</v>
      </c>
      <c r="C1263" s="81" t="s">
        <v>4621</v>
      </c>
      <c r="D1263" s="83" t="s">
        <v>4261</v>
      </c>
      <c r="E1263" s="81" t="s">
        <v>1032</v>
      </c>
      <c r="F1263" s="84">
        <v>194.0</v>
      </c>
      <c r="G1263" s="81" t="s">
        <v>44</v>
      </c>
      <c r="H1263" s="81" t="s">
        <v>224</v>
      </c>
      <c r="I1263" s="81" t="s">
        <v>924</v>
      </c>
      <c r="J1263" s="81" t="s">
        <v>4088</v>
      </c>
      <c r="K1263" s="81" t="str">
        <f>IFERROR(__xludf.DUMMYFUNCTION("IF(OR(D1263="""",G1263=""""),"""",IFERROR(LET(
campo,XLOOKUP(TRIM(G1263),ARRAYFORMULA(TRIM('indice columnas'!$A$2:$A$100)),'indice columnas'!$B$2:$B$100,""""),
col,IFERROR(MATCH(campo,Referencia!$A$1:$AZ$1,0),0),
fila,IFERROR(MATCH(TO_TEXT(D1263),ARRAYFOR"&amp;"MULA(TO_TEXT(Referencia!$A$2:$A6238)),0),0),
IF(OR(campo="""",campo=""-""),""NO APLICA"",
IF(col=0,""REVISAR EQUIVALENCIA"",
IF(fila=0,""SKU NO ENCONTRADO"",
LET(
valor,INDEX(Referencia!$A$2:$AZ6238,fila,col),
IF(TRIM(TO_TEXT(valor))=TRIM(TO_TEXT(I1263)),"&amp;"
""OK"",
""NO COINCIDE. Valor verdadero: ""&amp;IF(valor="""",""[VACÍO]"",TO_TEXT(valor))
)
))))
),""ERROR EN FÓRMULA""))"),"NO APLICA")</f>
        <v>NO APLICA</v>
      </c>
    </row>
    <row r="1264">
      <c r="A1264" s="83" t="s">
        <v>4618</v>
      </c>
      <c r="B1264" s="83" t="s">
        <v>4619</v>
      </c>
      <c r="C1264" s="81" t="s">
        <v>4621</v>
      </c>
      <c r="D1264" s="83" t="s">
        <v>4263</v>
      </c>
      <c r="E1264" s="81" t="s">
        <v>1036</v>
      </c>
      <c r="F1264" s="84">
        <v>195.0</v>
      </c>
      <c r="G1264" s="81" t="s">
        <v>12</v>
      </c>
      <c r="H1264" s="81" t="s">
        <v>224</v>
      </c>
      <c r="I1264" s="81" t="s">
        <v>55</v>
      </c>
      <c r="J1264" s="81" t="s">
        <v>224</v>
      </c>
      <c r="K1264" s="81" t="str">
        <f>IFERROR(__xludf.DUMMYFUNCTION("IF(OR(D1264="""",G1264=""""),"""",IFERROR(LET(
campo,XLOOKUP(TRIM(G1264),ARRAYFORMULA(TRIM('indice columnas'!$A$2:$A$100)),'indice columnas'!$B$2:$B$100,""""),
col,IFERROR(MATCH(campo,Referencia!$A$1:$AZ$1,0),0),
fila,IFERROR(MATCH(TO_TEXT(D1264),ARRAYFOR"&amp;"MULA(TO_TEXT(Referencia!$A$2:$A6238)),0),0),
IF(OR(campo="""",campo=""-""),""NO APLICA"",
IF(col=0,""REVISAR EQUIVALENCIA"",
IF(fila=0,""SKU NO ENCONTRADO"",
LET(
valor,INDEX(Referencia!$A$2:$AZ6238,fila,col),
IF(TRIM(TO_TEXT(valor))=TRIM(TO_TEXT(I1264)),"&amp;"
""OK"",
""NO COINCIDE. Valor verdadero: ""&amp;IF(valor="""",""[VACÍO]"",TO_TEXT(valor))
)
))))
),""ERROR EN FÓRMULA""))"),"OK")</f>
        <v>OK</v>
      </c>
    </row>
    <row r="1265">
      <c r="A1265" s="83" t="s">
        <v>4618</v>
      </c>
      <c r="B1265" s="83" t="s">
        <v>4619</v>
      </c>
      <c r="C1265" s="81" t="s">
        <v>4621</v>
      </c>
      <c r="D1265" s="83" t="s">
        <v>4263</v>
      </c>
      <c r="E1265" s="81" t="s">
        <v>1036</v>
      </c>
      <c r="F1265" s="84">
        <v>195.0</v>
      </c>
      <c r="G1265" s="81" t="s">
        <v>14</v>
      </c>
      <c r="H1265" s="81" t="s">
        <v>4258</v>
      </c>
      <c r="I1265" s="81" t="s">
        <v>228</v>
      </c>
      <c r="J1265" s="81" t="s">
        <v>224</v>
      </c>
      <c r="K1265" s="81" t="str">
        <f>IFERROR(__xludf.DUMMYFUNCTION("IF(OR(D1265="""",G1265=""""),"""",IFERROR(LET(
campo,XLOOKUP(TRIM(G1265),ARRAYFORMULA(TRIM('indice columnas'!$A$2:$A$100)),'indice columnas'!$B$2:$B$100,""""),
col,IFERROR(MATCH(campo,Referencia!$A$1:$AZ$1,0),0),
fila,IFERROR(MATCH(TO_TEXT(D1265),ARRAYFOR"&amp;"MULA(TO_TEXT(Referencia!$A$2:$A6238)),0),0),
IF(OR(campo="""",campo=""-""),""NO APLICA"",
IF(col=0,""REVISAR EQUIVALENCIA"",
IF(fila=0,""SKU NO ENCONTRADO"",
LET(
valor,INDEX(Referencia!$A$2:$AZ6238,fila,col),
IF(TRIM(TO_TEXT(valor))=TRIM(TO_TEXT(I1265)),"&amp;"
""OK"",
""NO COINCIDE. Valor verdadero: ""&amp;IF(valor="""",""[VACÍO]"",TO_TEXT(valor))
)
))))
),""ERROR EN FÓRMULA""))"),"NO COINCIDE. Valor verdadero: 220")</f>
        <v>NO COINCIDE. Valor verdadero: 220</v>
      </c>
    </row>
    <row r="1266">
      <c r="A1266" s="83" t="s">
        <v>4618</v>
      </c>
      <c r="B1266" s="83" t="s">
        <v>4619</v>
      </c>
      <c r="C1266" s="81" t="s">
        <v>4621</v>
      </c>
      <c r="D1266" s="83" t="s">
        <v>4263</v>
      </c>
      <c r="E1266" s="81" t="s">
        <v>1036</v>
      </c>
      <c r="F1266" s="84">
        <v>195.0</v>
      </c>
      <c r="G1266" s="81" t="s">
        <v>29</v>
      </c>
      <c r="H1266" s="81" t="s">
        <v>4262</v>
      </c>
      <c r="I1266" s="81" t="s">
        <v>1034</v>
      </c>
      <c r="J1266" s="81" t="s">
        <v>224</v>
      </c>
      <c r="K1266" s="81" t="str">
        <f>IFERROR(__xludf.DUMMYFUNCTION("IF(OR(D1266="""",G1266=""""),"""",IFERROR(LET(
campo,XLOOKUP(TRIM(G1266),ARRAYFORMULA(TRIM('indice columnas'!$A$2:$A$100)),'indice columnas'!$B$2:$B$100,""""),
col,IFERROR(MATCH(campo,Referencia!$A$1:$AZ$1,0),0),
fila,IFERROR(MATCH(TO_TEXT(D1266),ARRAYFOR"&amp;"MULA(TO_TEXT(Referencia!$A$2:$A6238)),0),0),
IF(OR(campo="""",campo=""-""),""NO APLICA"",
IF(col=0,""REVISAR EQUIVALENCIA"",
IF(fila=0,""SKU NO ENCONTRADO"",
LET(
valor,INDEX(Referencia!$A$2:$AZ6238,fila,col),
IF(TRIM(TO_TEXT(valor))=TRIM(TO_TEXT(I1266)),"&amp;"
""OK"",
""NO COINCIDE. Valor verdadero: ""&amp;IF(valor="""",""[VACÍO]"",TO_TEXT(valor))
)
))))
),""ERROR EN FÓRMULA""))"),"NO COINCIDE. Valor verdadero: 34 x 17 x 2000 (Ancho x Alto x Largo)")</f>
        <v>NO COINCIDE. Valor verdadero: 34 x 17 x 2000 (Ancho x Alto x Largo)</v>
      </c>
    </row>
    <row r="1267">
      <c r="A1267" s="83" t="s">
        <v>4618</v>
      </c>
      <c r="B1267" s="83" t="s">
        <v>4619</v>
      </c>
      <c r="C1267" s="81" t="s">
        <v>4621</v>
      </c>
      <c r="D1267" s="83" t="s">
        <v>4263</v>
      </c>
      <c r="E1267" s="81" t="s">
        <v>1036</v>
      </c>
      <c r="F1267" s="84">
        <v>195.0</v>
      </c>
      <c r="G1267" s="81" t="s">
        <v>44</v>
      </c>
      <c r="H1267" s="81" t="s">
        <v>224</v>
      </c>
      <c r="I1267" s="81" t="s">
        <v>924</v>
      </c>
      <c r="J1267" s="81" t="s">
        <v>4088</v>
      </c>
      <c r="K1267" s="81" t="str">
        <f>IFERROR(__xludf.DUMMYFUNCTION("IF(OR(D1267="""",G1267=""""),"""",IFERROR(LET(
campo,XLOOKUP(TRIM(G1267),ARRAYFORMULA(TRIM('indice columnas'!$A$2:$A$100)),'indice columnas'!$B$2:$B$100,""""),
col,IFERROR(MATCH(campo,Referencia!$A$1:$AZ$1,0),0),
fila,IFERROR(MATCH(TO_TEXT(D1267),ARRAYFOR"&amp;"MULA(TO_TEXT(Referencia!$A$2:$A6238)),0),0),
IF(OR(campo="""",campo=""-""),""NO APLICA"",
IF(col=0,""REVISAR EQUIVALENCIA"",
IF(fila=0,""SKU NO ENCONTRADO"",
LET(
valor,INDEX(Referencia!$A$2:$AZ6238,fila,col),
IF(TRIM(TO_TEXT(valor))=TRIM(TO_TEXT(I1267)),"&amp;"
""OK"",
""NO COINCIDE. Valor verdadero: ""&amp;IF(valor="""",""[VACÍO]"",TO_TEXT(valor))
)
))))
),""ERROR EN FÓRMULA""))"),"NO APLICA")</f>
        <v>NO APLICA</v>
      </c>
    </row>
    <row r="1268">
      <c r="A1268" s="83" t="s">
        <v>4618</v>
      </c>
      <c r="B1268" s="83" t="s">
        <v>4619</v>
      </c>
      <c r="C1268" s="81" t="s">
        <v>4621</v>
      </c>
      <c r="D1268" s="83" t="s">
        <v>4264</v>
      </c>
      <c r="E1268" s="81" t="s">
        <v>1037</v>
      </c>
      <c r="F1268" s="84">
        <v>196.0</v>
      </c>
      <c r="G1268" s="81" t="s">
        <v>12</v>
      </c>
      <c r="H1268" s="81" t="s">
        <v>224</v>
      </c>
      <c r="I1268" s="81" t="s">
        <v>55</v>
      </c>
      <c r="J1268" s="81" t="s">
        <v>224</v>
      </c>
      <c r="K1268" s="81" t="str">
        <f>IFERROR(__xludf.DUMMYFUNCTION("IF(OR(D1268="""",G1268=""""),"""",IFERROR(LET(
campo,XLOOKUP(TRIM(G1268),ARRAYFORMULA(TRIM('indice columnas'!$A$2:$A$100)),'indice columnas'!$B$2:$B$100,""""),
col,IFERROR(MATCH(campo,Referencia!$A$1:$AZ$1,0),0),
fila,IFERROR(MATCH(TO_TEXT(D1268),ARRAYFOR"&amp;"MULA(TO_TEXT(Referencia!$A$2:$A6238)),0),0),
IF(OR(campo="""",campo=""-""),""NO APLICA"",
IF(col=0,""REVISAR EQUIVALENCIA"",
IF(fila=0,""SKU NO ENCONTRADO"",
LET(
valor,INDEX(Referencia!$A$2:$AZ6238,fila,col),
IF(TRIM(TO_TEXT(valor))=TRIM(TO_TEXT(I1268)),"&amp;"
""OK"",
""NO COINCIDE. Valor verdadero: ""&amp;IF(valor="""",""[VACÍO]"",TO_TEXT(valor))
)
))))
),""ERROR EN FÓRMULA""))"),"OK")</f>
        <v>OK</v>
      </c>
    </row>
    <row r="1269">
      <c r="A1269" s="83" t="s">
        <v>4618</v>
      </c>
      <c r="B1269" s="83" t="s">
        <v>4619</v>
      </c>
      <c r="C1269" s="81" t="s">
        <v>4621</v>
      </c>
      <c r="D1269" s="83" t="s">
        <v>4264</v>
      </c>
      <c r="E1269" s="81" t="s">
        <v>1037</v>
      </c>
      <c r="F1269" s="84">
        <v>196.0</v>
      </c>
      <c r="G1269" s="81" t="s">
        <v>14</v>
      </c>
      <c r="H1269" s="81" t="s">
        <v>4258</v>
      </c>
      <c r="I1269" s="81" t="s">
        <v>228</v>
      </c>
      <c r="J1269" s="81" t="s">
        <v>224</v>
      </c>
      <c r="K1269" s="81" t="str">
        <f>IFERROR(__xludf.DUMMYFUNCTION("IF(OR(D1269="""",G1269=""""),"""",IFERROR(LET(
campo,XLOOKUP(TRIM(G1269),ARRAYFORMULA(TRIM('indice columnas'!$A$2:$A$100)),'indice columnas'!$B$2:$B$100,""""),
col,IFERROR(MATCH(campo,Referencia!$A$1:$AZ$1,0),0),
fila,IFERROR(MATCH(TO_TEXT(D1269),ARRAYFOR"&amp;"MULA(TO_TEXT(Referencia!$A$2:$A6238)),0),0),
IF(OR(campo="""",campo=""-""),""NO APLICA"",
IF(col=0,""REVISAR EQUIVALENCIA"",
IF(fila=0,""SKU NO ENCONTRADO"",
LET(
valor,INDEX(Referencia!$A$2:$AZ6238,fila,col),
IF(TRIM(TO_TEXT(valor))=TRIM(TO_TEXT(I1269)),"&amp;"
""OK"",
""NO COINCIDE. Valor verdadero: ""&amp;IF(valor="""",""[VACÍO]"",TO_TEXT(valor))
)
))))
),""ERROR EN FÓRMULA""))"),"NO COINCIDE. Valor verdadero: 220")</f>
        <v>NO COINCIDE. Valor verdadero: 220</v>
      </c>
    </row>
    <row r="1270">
      <c r="A1270" s="83" t="s">
        <v>4618</v>
      </c>
      <c r="B1270" s="83" t="s">
        <v>4619</v>
      </c>
      <c r="C1270" s="81" t="s">
        <v>4621</v>
      </c>
      <c r="D1270" s="83" t="s">
        <v>4264</v>
      </c>
      <c r="E1270" s="81" t="s">
        <v>1037</v>
      </c>
      <c r="F1270" s="84">
        <v>196.0</v>
      </c>
      <c r="G1270" s="81" t="s">
        <v>29</v>
      </c>
      <c r="H1270" s="81" t="s">
        <v>4265</v>
      </c>
      <c r="I1270" s="81" t="s">
        <v>1039</v>
      </c>
      <c r="J1270" s="81" t="s">
        <v>224</v>
      </c>
      <c r="K1270" s="81" t="str">
        <f>IFERROR(__xludf.DUMMYFUNCTION("IF(OR(D1270="""",G1270=""""),"""",IFERROR(LET(
campo,XLOOKUP(TRIM(G1270),ARRAYFORMULA(TRIM('indice columnas'!$A$2:$A$100)),'indice columnas'!$B$2:$B$100,""""),
col,IFERROR(MATCH(campo,Referencia!$A$1:$AZ$1,0),0),
fila,IFERROR(MATCH(TO_TEXT(D1270),ARRAYFOR"&amp;"MULA(TO_TEXT(Referencia!$A$2:$A6238)),0),0),
IF(OR(campo="""",campo=""-""),""NO APLICA"",
IF(col=0,""REVISAR EQUIVALENCIA"",
IF(fila=0,""SKU NO ENCONTRADO"",
LET(
valor,INDEX(Referencia!$A$2:$AZ6238,fila,col),
IF(TRIM(TO_TEXT(valor))=TRIM(TO_TEXT(I1270)),"&amp;"
""OK"",
""NO COINCIDE. Valor verdadero: ""&amp;IF(valor="""",""[VACÍO]"",TO_TEXT(valor))
)
))))
),""ERROR EN FÓRMULA""))"),"NO COINCIDE. Valor verdadero: 34 x 17 x 1000 (Ancho x Alto x Largo)")</f>
        <v>NO COINCIDE. Valor verdadero: 34 x 17 x 1000 (Ancho x Alto x Largo)</v>
      </c>
    </row>
    <row r="1271">
      <c r="A1271" s="83" t="s">
        <v>4618</v>
      </c>
      <c r="B1271" s="83" t="s">
        <v>4619</v>
      </c>
      <c r="C1271" s="81" t="s">
        <v>4621</v>
      </c>
      <c r="D1271" s="83" t="s">
        <v>4264</v>
      </c>
      <c r="E1271" s="81" t="s">
        <v>1037</v>
      </c>
      <c r="F1271" s="84">
        <v>196.0</v>
      </c>
      <c r="G1271" s="81" t="s">
        <v>44</v>
      </c>
      <c r="H1271" s="81" t="s">
        <v>224</v>
      </c>
      <c r="I1271" s="81" t="s">
        <v>924</v>
      </c>
      <c r="J1271" s="81" t="s">
        <v>4088</v>
      </c>
      <c r="K1271" s="81" t="str">
        <f>IFERROR(__xludf.DUMMYFUNCTION("IF(OR(D1271="""",G1271=""""),"""",IFERROR(LET(
campo,XLOOKUP(TRIM(G1271),ARRAYFORMULA(TRIM('indice columnas'!$A$2:$A$100)),'indice columnas'!$B$2:$B$100,""""),
col,IFERROR(MATCH(campo,Referencia!$A$1:$AZ$1,0),0),
fila,IFERROR(MATCH(TO_TEXT(D1271),ARRAYFOR"&amp;"MULA(TO_TEXT(Referencia!$A$2:$A6238)),0),0),
IF(OR(campo="""",campo=""-""),""NO APLICA"",
IF(col=0,""REVISAR EQUIVALENCIA"",
IF(fila=0,""SKU NO ENCONTRADO"",
LET(
valor,INDEX(Referencia!$A$2:$AZ6238,fila,col),
IF(TRIM(TO_TEXT(valor))=TRIM(TO_TEXT(I1271)),"&amp;"
""OK"",
""NO COINCIDE. Valor verdadero: ""&amp;IF(valor="""",""[VACÍO]"",TO_TEXT(valor))
)
))))
),""ERROR EN FÓRMULA""))"),"NO APLICA")</f>
        <v>NO APLICA</v>
      </c>
    </row>
    <row r="1272">
      <c r="A1272" s="83" t="s">
        <v>4618</v>
      </c>
      <c r="B1272" s="83" t="s">
        <v>4619</v>
      </c>
      <c r="C1272" s="81" t="s">
        <v>4621</v>
      </c>
      <c r="D1272" s="83" t="s">
        <v>4266</v>
      </c>
      <c r="E1272" s="81" t="s">
        <v>1041</v>
      </c>
      <c r="F1272" s="84">
        <v>197.0</v>
      </c>
      <c r="G1272" s="81" t="s">
        <v>12</v>
      </c>
      <c r="H1272" s="81" t="s">
        <v>224</v>
      </c>
      <c r="I1272" s="81" t="s">
        <v>55</v>
      </c>
      <c r="J1272" s="81" t="s">
        <v>224</v>
      </c>
      <c r="K1272" s="81" t="str">
        <f>IFERROR(__xludf.DUMMYFUNCTION("IF(OR(D1272="""",G1272=""""),"""",IFERROR(LET(
campo,XLOOKUP(TRIM(G1272),ARRAYFORMULA(TRIM('indice columnas'!$A$2:$A$100)),'indice columnas'!$B$2:$B$100,""""),
col,IFERROR(MATCH(campo,Referencia!$A$1:$AZ$1,0),0),
fila,IFERROR(MATCH(TO_TEXT(D1272),ARRAYFOR"&amp;"MULA(TO_TEXT(Referencia!$A$2:$A6238)),0),0),
IF(OR(campo="""",campo=""-""),""NO APLICA"",
IF(col=0,""REVISAR EQUIVALENCIA"",
IF(fila=0,""SKU NO ENCONTRADO"",
LET(
valor,INDEX(Referencia!$A$2:$AZ6238,fila,col),
IF(TRIM(TO_TEXT(valor))=TRIM(TO_TEXT(I1272)),"&amp;"
""OK"",
""NO COINCIDE. Valor verdadero: ""&amp;IF(valor="""",""[VACÍO]"",TO_TEXT(valor))
)
))))
),""ERROR EN FÓRMULA""))"),"OK")</f>
        <v>OK</v>
      </c>
    </row>
    <row r="1273">
      <c r="A1273" s="83" t="s">
        <v>4618</v>
      </c>
      <c r="B1273" s="83" t="s">
        <v>4619</v>
      </c>
      <c r="C1273" s="81" t="s">
        <v>4621</v>
      </c>
      <c r="D1273" s="83" t="s">
        <v>4266</v>
      </c>
      <c r="E1273" s="81" t="s">
        <v>1041</v>
      </c>
      <c r="F1273" s="84">
        <v>197.0</v>
      </c>
      <c r="G1273" s="81" t="s">
        <v>14</v>
      </c>
      <c r="H1273" s="81" t="s">
        <v>4258</v>
      </c>
      <c r="I1273" s="81" t="s">
        <v>228</v>
      </c>
      <c r="J1273" s="81" t="s">
        <v>224</v>
      </c>
      <c r="K1273" s="81" t="str">
        <f>IFERROR(__xludf.DUMMYFUNCTION("IF(OR(D1273="""",G1273=""""),"""",IFERROR(LET(
campo,XLOOKUP(TRIM(G1273),ARRAYFORMULA(TRIM('indice columnas'!$A$2:$A$100)),'indice columnas'!$B$2:$B$100,""""),
col,IFERROR(MATCH(campo,Referencia!$A$1:$AZ$1,0),0),
fila,IFERROR(MATCH(TO_TEXT(D1273),ARRAYFOR"&amp;"MULA(TO_TEXT(Referencia!$A$2:$A6238)),0),0),
IF(OR(campo="""",campo=""-""),""NO APLICA"",
IF(col=0,""REVISAR EQUIVALENCIA"",
IF(fila=0,""SKU NO ENCONTRADO"",
LET(
valor,INDEX(Referencia!$A$2:$AZ6238,fila,col),
IF(TRIM(TO_TEXT(valor))=TRIM(TO_TEXT(I1273)),"&amp;"
""OK"",
""NO COINCIDE. Valor verdadero: ""&amp;IF(valor="""",""[VACÍO]"",TO_TEXT(valor))
)
))))
),""ERROR EN FÓRMULA""))"),"NO COINCIDE. Valor verdadero: 220")</f>
        <v>NO COINCIDE. Valor verdadero: 220</v>
      </c>
    </row>
    <row r="1274">
      <c r="A1274" s="83" t="s">
        <v>4618</v>
      </c>
      <c r="B1274" s="83" t="s">
        <v>4619</v>
      </c>
      <c r="C1274" s="81" t="s">
        <v>4621</v>
      </c>
      <c r="D1274" s="83" t="s">
        <v>4266</v>
      </c>
      <c r="E1274" s="81" t="s">
        <v>1041</v>
      </c>
      <c r="F1274" s="84">
        <v>197.0</v>
      </c>
      <c r="G1274" s="81" t="s">
        <v>29</v>
      </c>
      <c r="H1274" s="81" t="s">
        <v>4265</v>
      </c>
      <c r="I1274" s="81" t="s">
        <v>1039</v>
      </c>
      <c r="J1274" s="81" t="s">
        <v>224</v>
      </c>
      <c r="K1274" s="81" t="str">
        <f>IFERROR(__xludf.DUMMYFUNCTION("IF(OR(D1274="""",G1274=""""),"""",IFERROR(LET(
campo,XLOOKUP(TRIM(G1274),ARRAYFORMULA(TRIM('indice columnas'!$A$2:$A$100)),'indice columnas'!$B$2:$B$100,""""),
col,IFERROR(MATCH(campo,Referencia!$A$1:$AZ$1,0),0),
fila,IFERROR(MATCH(TO_TEXT(D1274),ARRAYFOR"&amp;"MULA(TO_TEXT(Referencia!$A$2:$A6238)),0),0),
IF(OR(campo="""",campo=""-""),""NO APLICA"",
IF(col=0,""REVISAR EQUIVALENCIA"",
IF(fila=0,""SKU NO ENCONTRADO"",
LET(
valor,INDEX(Referencia!$A$2:$AZ6238,fila,col),
IF(TRIM(TO_TEXT(valor))=TRIM(TO_TEXT(I1274)),"&amp;"
""OK"",
""NO COINCIDE. Valor verdadero: ""&amp;IF(valor="""",""[VACÍO]"",TO_TEXT(valor))
)
))))
),""ERROR EN FÓRMULA""))"),"NO COINCIDE. Valor verdadero: 34 x 17 x 1000 (Ancho x Alto x Largo)")</f>
        <v>NO COINCIDE. Valor verdadero: 34 x 17 x 1000 (Ancho x Alto x Largo)</v>
      </c>
    </row>
    <row r="1275">
      <c r="A1275" s="83" t="s">
        <v>4618</v>
      </c>
      <c r="B1275" s="83" t="s">
        <v>4619</v>
      </c>
      <c r="C1275" s="81" t="s">
        <v>4621</v>
      </c>
      <c r="D1275" s="83" t="s">
        <v>4266</v>
      </c>
      <c r="E1275" s="81" t="s">
        <v>1041</v>
      </c>
      <c r="F1275" s="84">
        <v>197.0</v>
      </c>
      <c r="G1275" s="81" t="s">
        <v>44</v>
      </c>
      <c r="H1275" s="81" t="s">
        <v>224</v>
      </c>
      <c r="I1275" s="81" t="s">
        <v>924</v>
      </c>
      <c r="J1275" s="81" t="s">
        <v>4088</v>
      </c>
      <c r="K1275" s="81" t="str">
        <f>IFERROR(__xludf.DUMMYFUNCTION("IF(OR(D1275="""",G1275=""""),"""",IFERROR(LET(
campo,XLOOKUP(TRIM(G1275),ARRAYFORMULA(TRIM('indice columnas'!$A$2:$A$100)),'indice columnas'!$B$2:$B$100,""""),
col,IFERROR(MATCH(campo,Referencia!$A$1:$AZ$1,0),0),
fila,IFERROR(MATCH(TO_TEXT(D1275),ARRAYFOR"&amp;"MULA(TO_TEXT(Referencia!$A$2:$A6238)),0),0),
IF(OR(campo="""",campo=""-""),""NO APLICA"",
IF(col=0,""REVISAR EQUIVALENCIA"",
IF(fila=0,""SKU NO ENCONTRADO"",
LET(
valor,INDEX(Referencia!$A$2:$AZ6238,fila,col),
IF(TRIM(TO_TEXT(valor))=TRIM(TO_TEXT(I1275)),"&amp;"
""OK"",
""NO COINCIDE. Valor verdadero: ""&amp;IF(valor="""",""[VACÍO]"",TO_TEXT(valor))
)
))))
),""ERROR EN FÓRMULA""))"),"NO APLICA")</f>
        <v>NO APLICA</v>
      </c>
    </row>
    <row r="1276">
      <c r="A1276" s="83" t="s">
        <v>4618</v>
      </c>
      <c r="B1276" s="83" t="s">
        <v>4619</v>
      </c>
      <c r="C1276" s="81" t="s">
        <v>4621</v>
      </c>
      <c r="D1276" s="83" t="s">
        <v>4267</v>
      </c>
      <c r="E1276" s="81" t="s">
        <v>1042</v>
      </c>
      <c r="F1276" s="84">
        <v>198.0</v>
      </c>
      <c r="G1276" s="81" t="s">
        <v>44</v>
      </c>
      <c r="H1276" s="81" t="s">
        <v>224</v>
      </c>
      <c r="I1276" s="81" t="s">
        <v>1051</v>
      </c>
      <c r="J1276" s="81" t="s">
        <v>4088</v>
      </c>
      <c r="K1276" s="81" t="str">
        <f>IFERROR(__xludf.DUMMYFUNCTION("IF(OR(D1276="""",G1276=""""),"""",IFERROR(LET(
campo,XLOOKUP(TRIM(G1276),ARRAYFORMULA(TRIM('indice columnas'!$A$2:$A$100)),'indice columnas'!$B$2:$B$100,""""),
col,IFERROR(MATCH(campo,Referencia!$A$1:$AZ$1,0),0),
fila,IFERROR(MATCH(TO_TEXT(D1276),ARRAYFOR"&amp;"MULA(TO_TEXT(Referencia!$A$2:$A6238)),0),0),
IF(OR(campo="""",campo=""-""),""NO APLICA"",
IF(col=0,""REVISAR EQUIVALENCIA"",
IF(fila=0,""SKU NO ENCONTRADO"",
LET(
valor,INDEX(Referencia!$A$2:$AZ6238,fila,col),
IF(TRIM(TO_TEXT(valor))=TRIM(TO_TEXT(I1276)),"&amp;"
""OK"",
""NO COINCIDE. Valor verdadero: ""&amp;IF(valor="""",""[VACÍO]"",TO_TEXT(valor))
)
))))
),""ERROR EN FÓRMULA""))"),"NO APLICA")</f>
        <v>NO APLICA</v>
      </c>
    </row>
    <row r="1277">
      <c r="A1277" s="83" t="s">
        <v>4618</v>
      </c>
      <c r="B1277" s="83" t="s">
        <v>4619</v>
      </c>
      <c r="C1277" s="81" t="s">
        <v>4621</v>
      </c>
      <c r="D1277" s="83" t="s">
        <v>4267</v>
      </c>
      <c r="E1277" s="81" t="s">
        <v>1050</v>
      </c>
      <c r="F1277" s="84">
        <v>199.0</v>
      </c>
      <c r="G1277" s="81" t="s">
        <v>12</v>
      </c>
      <c r="H1277" s="81" t="s">
        <v>224</v>
      </c>
      <c r="I1277" s="81" t="s">
        <v>55</v>
      </c>
      <c r="J1277" s="81" t="s">
        <v>224</v>
      </c>
      <c r="K1277" s="81" t="str">
        <f>IFERROR(__xludf.DUMMYFUNCTION("IF(OR(D1277="""",G1277=""""),"""",IFERROR(LET(
campo,XLOOKUP(TRIM(G1277),ARRAYFORMULA(TRIM('indice columnas'!$A$2:$A$100)),'indice columnas'!$B$2:$B$100,""""),
col,IFERROR(MATCH(campo,Referencia!$A$1:$AZ$1,0),0),
fila,IFERROR(MATCH(TO_TEXT(D1277),ARRAYFOR"&amp;"MULA(TO_TEXT(Referencia!$A$2:$A6238)),0),0),
IF(OR(campo="""",campo=""-""),""NO APLICA"",
IF(col=0,""REVISAR EQUIVALENCIA"",
IF(fila=0,""SKU NO ENCONTRADO"",
LET(
valor,INDEX(Referencia!$A$2:$AZ6238,fila,col),
IF(TRIM(TO_TEXT(valor))=TRIM(TO_TEXT(I1277)),"&amp;"
""OK"",
""NO COINCIDE. Valor verdadero: ""&amp;IF(valor="""",""[VACÍO]"",TO_TEXT(valor))
)
))))
),""ERROR EN FÓRMULA""))"),"OK")</f>
        <v>OK</v>
      </c>
    </row>
    <row r="1278">
      <c r="A1278" s="83" t="s">
        <v>4618</v>
      </c>
      <c r="B1278" s="83" t="s">
        <v>4619</v>
      </c>
      <c r="C1278" s="81" t="s">
        <v>4621</v>
      </c>
      <c r="D1278" s="83" t="s">
        <v>4267</v>
      </c>
      <c r="E1278" s="81" t="s">
        <v>1050</v>
      </c>
      <c r="F1278" s="84">
        <v>199.0</v>
      </c>
      <c r="G1278" s="81" t="s">
        <v>44</v>
      </c>
      <c r="H1278" s="81" t="s">
        <v>224</v>
      </c>
      <c r="I1278" s="81" t="s">
        <v>1051</v>
      </c>
      <c r="J1278" s="81" t="s">
        <v>4088</v>
      </c>
      <c r="K1278" s="81" t="str">
        <f>IFERROR(__xludf.DUMMYFUNCTION("IF(OR(D1278="""",G1278=""""),"""",IFERROR(LET(
campo,XLOOKUP(TRIM(G1278),ARRAYFORMULA(TRIM('indice columnas'!$A$2:$A$100)),'indice columnas'!$B$2:$B$100,""""),
col,IFERROR(MATCH(campo,Referencia!$A$1:$AZ$1,0),0),
fila,IFERROR(MATCH(TO_TEXT(D1278),ARRAYFOR"&amp;"MULA(TO_TEXT(Referencia!$A$2:$A6238)),0),0),
IF(OR(campo="""",campo=""-""),""NO APLICA"",
IF(col=0,""REVISAR EQUIVALENCIA"",
IF(fila=0,""SKU NO ENCONTRADO"",
LET(
valor,INDEX(Referencia!$A$2:$AZ6238,fila,col),
IF(TRIM(TO_TEXT(valor))=TRIM(TO_TEXT(I1278)),"&amp;"
""OK"",
""NO COINCIDE. Valor verdadero: ""&amp;IF(valor="""",""[VACÍO]"",TO_TEXT(valor))
)
))))
),""ERROR EN FÓRMULA""))"),"NO APLICA")</f>
        <v>NO APLICA</v>
      </c>
    </row>
    <row r="1279">
      <c r="A1279" s="83" t="s">
        <v>4618</v>
      </c>
      <c r="B1279" s="83" t="s">
        <v>4619</v>
      </c>
      <c r="C1279" s="81" t="s">
        <v>4621</v>
      </c>
      <c r="D1279" s="83" t="s">
        <v>4268</v>
      </c>
      <c r="E1279" s="81" t="s">
        <v>1052</v>
      </c>
      <c r="F1279" s="84">
        <v>200.0</v>
      </c>
      <c r="G1279" s="81" t="s">
        <v>12</v>
      </c>
      <c r="H1279" s="81" t="s">
        <v>224</v>
      </c>
      <c r="I1279" s="81" t="s">
        <v>55</v>
      </c>
      <c r="J1279" s="81" t="s">
        <v>224</v>
      </c>
      <c r="K1279" s="81" t="str">
        <f>IFERROR(__xludf.DUMMYFUNCTION("IF(OR(D1279="""",G1279=""""),"""",IFERROR(LET(
campo,XLOOKUP(TRIM(G1279),ARRAYFORMULA(TRIM('indice columnas'!$A$2:$A$100)),'indice columnas'!$B$2:$B$100,""""),
col,IFERROR(MATCH(campo,Referencia!$A$1:$AZ$1,0),0),
fila,IFERROR(MATCH(TO_TEXT(D1279),ARRAYFOR"&amp;"MULA(TO_TEXT(Referencia!$A$2:$A6238)),0),0),
IF(OR(campo="""",campo=""-""),""NO APLICA"",
IF(col=0,""REVISAR EQUIVALENCIA"",
IF(fila=0,""SKU NO ENCONTRADO"",
LET(
valor,INDEX(Referencia!$A$2:$AZ6238,fila,col),
IF(TRIM(TO_TEXT(valor))=TRIM(TO_TEXT(I1279)),"&amp;"
""OK"",
""NO COINCIDE. Valor verdadero: ""&amp;IF(valor="""",""[VACÍO]"",TO_TEXT(valor))
)
))))
),""ERROR EN FÓRMULA""))"),"OK")</f>
        <v>OK</v>
      </c>
    </row>
    <row r="1280">
      <c r="A1280" s="83" t="s">
        <v>4618</v>
      </c>
      <c r="B1280" s="83" t="s">
        <v>4619</v>
      </c>
      <c r="C1280" s="81" t="s">
        <v>4621</v>
      </c>
      <c r="D1280" s="83" t="s">
        <v>4268</v>
      </c>
      <c r="E1280" s="81" t="s">
        <v>1052</v>
      </c>
      <c r="F1280" s="84">
        <v>200.0</v>
      </c>
      <c r="G1280" s="81" t="s">
        <v>44</v>
      </c>
      <c r="H1280" s="81" t="s">
        <v>224</v>
      </c>
      <c r="I1280" s="81" t="s">
        <v>1051</v>
      </c>
      <c r="J1280" s="81" t="s">
        <v>4088</v>
      </c>
      <c r="K1280" s="81" t="str">
        <f>IFERROR(__xludf.DUMMYFUNCTION("IF(OR(D1280="""",G1280=""""),"""",IFERROR(LET(
campo,XLOOKUP(TRIM(G1280),ARRAYFORMULA(TRIM('indice columnas'!$A$2:$A$100)),'indice columnas'!$B$2:$B$100,""""),
col,IFERROR(MATCH(campo,Referencia!$A$1:$AZ$1,0),0),
fila,IFERROR(MATCH(TO_TEXT(D1280),ARRAYFOR"&amp;"MULA(TO_TEXT(Referencia!$A$2:$A6238)),0),0),
IF(OR(campo="""",campo=""-""),""NO APLICA"",
IF(col=0,""REVISAR EQUIVALENCIA"",
IF(fila=0,""SKU NO ENCONTRADO"",
LET(
valor,INDEX(Referencia!$A$2:$AZ6238,fila,col),
IF(TRIM(TO_TEXT(valor))=TRIM(TO_TEXT(I1280)),"&amp;"
""OK"",
""NO COINCIDE. Valor verdadero: ""&amp;IF(valor="""",""[VACÍO]"",TO_TEXT(valor))
)
))))
),""ERROR EN FÓRMULA""))"),"NO APLICA")</f>
        <v>NO APLICA</v>
      </c>
    </row>
    <row r="1281">
      <c r="A1281" s="83" t="s">
        <v>4618</v>
      </c>
      <c r="B1281" s="83" t="s">
        <v>4619</v>
      </c>
      <c r="C1281" s="81" t="s">
        <v>4621</v>
      </c>
      <c r="D1281" s="83" t="s">
        <v>4269</v>
      </c>
      <c r="E1281" s="81" t="s">
        <v>1055</v>
      </c>
      <c r="F1281" s="84">
        <v>201.0</v>
      </c>
      <c r="G1281" s="81" t="s">
        <v>44</v>
      </c>
      <c r="H1281" s="81" t="s">
        <v>224</v>
      </c>
      <c r="I1281" s="81" t="s">
        <v>1051</v>
      </c>
      <c r="J1281" s="81" t="s">
        <v>4088</v>
      </c>
      <c r="K1281" s="81" t="str">
        <f>IFERROR(__xludf.DUMMYFUNCTION("IF(OR(D1281="""",G1281=""""),"""",IFERROR(LET(
campo,XLOOKUP(TRIM(G1281),ARRAYFORMULA(TRIM('indice columnas'!$A$2:$A$100)),'indice columnas'!$B$2:$B$100,""""),
col,IFERROR(MATCH(campo,Referencia!$A$1:$AZ$1,0),0),
fila,IFERROR(MATCH(TO_TEXT(D1281),ARRAYFOR"&amp;"MULA(TO_TEXT(Referencia!$A$2:$A6238)),0),0),
IF(OR(campo="""",campo=""-""),""NO APLICA"",
IF(col=0,""REVISAR EQUIVALENCIA"",
IF(fila=0,""SKU NO ENCONTRADO"",
LET(
valor,INDEX(Referencia!$A$2:$AZ6238,fila,col),
IF(TRIM(TO_TEXT(valor))=TRIM(TO_TEXT(I1281)),"&amp;"
""OK"",
""NO COINCIDE. Valor verdadero: ""&amp;IF(valor="""",""[VACÍO]"",TO_TEXT(valor))
)
))))
),""ERROR EN FÓRMULA""))"),"NO APLICA")</f>
        <v>NO APLICA</v>
      </c>
    </row>
    <row r="1282">
      <c r="A1282" s="83" t="s">
        <v>4618</v>
      </c>
      <c r="B1282" s="83" t="s">
        <v>4619</v>
      </c>
      <c r="C1282" s="81" t="s">
        <v>4621</v>
      </c>
      <c r="D1282" s="83" t="s">
        <v>4269</v>
      </c>
      <c r="E1282" s="81" t="s">
        <v>1060</v>
      </c>
      <c r="F1282" s="84">
        <v>202.0</v>
      </c>
      <c r="G1282" s="81" t="s">
        <v>12</v>
      </c>
      <c r="H1282" s="81" t="s">
        <v>224</v>
      </c>
      <c r="I1282" s="81" t="s">
        <v>55</v>
      </c>
      <c r="J1282" s="81" t="s">
        <v>224</v>
      </c>
      <c r="K1282" s="81" t="str">
        <f>IFERROR(__xludf.DUMMYFUNCTION("IF(OR(D1282="""",G1282=""""),"""",IFERROR(LET(
campo,XLOOKUP(TRIM(G1282),ARRAYFORMULA(TRIM('indice columnas'!$A$2:$A$100)),'indice columnas'!$B$2:$B$100,""""),
col,IFERROR(MATCH(campo,Referencia!$A$1:$AZ$1,0),0),
fila,IFERROR(MATCH(TO_TEXT(D1282),ARRAYFOR"&amp;"MULA(TO_TEXT(Referencia!$A$2:$A6238)),0),0),
IF(OR(campo="""",campo=""-""),""NO APLICA"",
IF(col=0,""REVISAR EQUIVALENCIA"",
IF(fila=0,""SKU NO ENCONTRADO"",
LET(
valor,INDEX(Referencia!$A$2:$AZ6238,fila,col),
IF(TRIM(TO_TEXT(valor))=TRIM(TO_TEXT(I1282)),"&amp;"
""OK"",
""NO COINCIDE. Valor verdadero: ""&amp;IF(valor="""",""[VACÍO]"",TO_TEXT(valor))
)
))))
),""ERROR EN FÓRMULA""))"),"OK")</f>
        <v>OK</v>
      </c>
    </row>
    <row r="1283">
      <c r="A1283" s="83" t="s">
        <v>4618</v>
      </c>
      <c r="B1283" s="83" t="s">
        <v>4619</v>
      </c>
      <c r="C1283" s="81" t="s">
        <v>4621</v>
      </c>
      <c r="D1283" s="83" t="s">
        <v>4269</v>
      </c>
      <c r="E1283" s="81" t="s">
        <v>1060</v>
      </c>
      <c r="F1283" s="84">
        <v>202.0</v>
      </c>
      <c r="G1283" s="81" t="s">
        <v>29</v>
      </c>
      <c r="H1283" s="81" t="s">
        <v>1056</v>
      </c>
      <c r="I1283" s="81" t="s">
        <v>1061</v>
      </c>
      <c r="J1283" s="81" t="s">
        <v>224</v>
      </c>
      <c r="K1283" s="81" t="str">
        <f>IFERROR(__xludf.DUMMYFUNCTION("IF(OR(D1283="""",G1283=""""),"""",IFERROR(LET(
campo,XLOOKUP(TRIM(G1283),ARRAYFORMULA(TRIM('indice columnas'!$A$2:$A$100)),'indice columnas'!$B$2:$B$100,""""),
col,IFERROR(MATCH(campo,Referencia!$A$1:$AZ$1,0),0),
fila,IFERROR(MATCH(TO_TEXT(D1283),ARRAYFOR"&amp;"MULA(TO_TEXT(Referencia!$A$2:$A6238)),0),0),
IF(OR(campo="""",campo=""-""),""NO APLICA"",
IF(col=0,""REVISAR EQUIVALENCIA"",
IF(fila=0,""SKU NO ENCONTRADO"",
LET(
valor,INDEX(Referencia!$A$2:$AZ6238,fila,col),
IF(TRIM(TO_TEXT(valor))=TRIM(TO_TEXT(I1283)),"&amp;"
""OK"",
""NO COINCIDE. Valor verdadero: ""&amp;IF(valor="""",""[VACÍO]"",TO_TEXT(valor))
)
))))
),""ERROR EN FÓRMULA""))"),"NO COINCIDE. Valor verdadero: 30 x 32x 32")</f>
        <v>NO COINCIDE. Valor verdadero: 30 x 32x 32</v>
      </c>
    </row>
    <row r="1284">
      <c r="A1284" s="83" t="s">
        <v>4618</v>
      </c>
      <c r="B1284" s="83" t="s">
        <v>4619</v>
      </c>
      <c r="C1284" s="81" t="s">
        <v>4621</v>
      </c>
      <c r="D1284" s="83" t="s">
        <v>4269</v>
      </c>
      <c r="E1284" s="81" t="s">
        <v>1060</v>
      </c>
      <c r="F1284" s="84">
        <v>202.0</v>
      </c>
      <c r="G1284" s="81" t="s">
        <v>44</v>
      </c>
      <c r="H1284" s="81" t="s">
        <v>224</v>
      </c>
      <c r="I1284" s="81" t="s">
        <v>1051</v>
      </c>
      <c r="J1284" s="81" t="s">
        <v>4088</v>
      </c>
      <c r="K1284" s="81" t="str">
        <f>IFERROR(__xludf.DUMMYFUNCTION("IF(OR(D1284="""",G1284=""""),"""",IFERROR(LET(
campo,XLOOKUP(TRIM(G1284),ARRAYFORMULA(TRIM('indice columnas'!$A$2:$A$100)),'indice columnas'!$B$2:$B$100,""""),
col,IFERROR(MATCH(campo,Referencia!$A$1:$AZ$1,0),0),
fila,IFERROR(MATCH(TO_TEXT(D1284),ARRAYFOR"&amp;"MULA(TO_TEXT(Referencia!$A$2:$A6238)),0),0),
IF(OR(campo="""",campo=""-""),""NO APLICA"",
IF(col=0,""REVISAR EQUIVALENCIA"",
IF(fila=0,""SKU NO ENCONTRADO"",
LET(
valor,INDEX(Referencia!$A$2:$AZ6238,fila,col),
IF(TRIM(TO_TEXT(valor))=TRIM(TO_TEXT(I1284)),"&amp;"
""OK"",
""NO COINCIDE. Valor verdadero: ""&amp;IF(valor="""",""[VACÍO]"",TO_TEXT(valor))
)
))))
),""ERROR EN FÓRMULA""))"),"NO APLICA")</f>
        <v>NO APLICA</v>
      </c>
    </row>
    <row r="1285">
      <c r="A1285" s="83" t="s">
        <v>4618</v>
      </c>
      <c r="B1285" s="83" t="s">
        <v>4619</v>
      </c>
      <c r="C1285" s="81" t="s">
        <v>4621</v>
      </c>
      <c r="D1285" s="83" t="s">
        <v>4270</v>
      </c>
      <c r="E1285" s="81" t="s">
        <v>1062</v>
      </c>
      <c r="F1285" s="84">
        <v>203.0</v>
      </c>
      <c r="G1285" s="81" t="s">
        <v>12</v>
      </c>
      <c r="H1285" s="81" t="s">
        <v>224</v>
      </c>
      <c r="I1285" s="81" t="s">
        <v>55</v>
      </c>
      <c r="J1285" s="81" t="s">
        <v>224</v>
      </c>
      <c r="K1285" s="81" t="str">
        <f>IFERROR(__xludf.DUMMYFUNCTION("IF(OR(D1285="""",G1285=""""),"""",IFERROR(LET(
campo,XLOOKUP(TRIM(G1285),ARRAYFORMULA(TRIM('indice columnas'!$A$2:$A$100)),'indice columnas'!$B$2:$B$100,""""),
col,IFERROR(MATCH(campo,Referencia!$A$1:$AZ$1,0),0),
fila,IFERROR(MATCH(TO_TEXT(D1285),ARRAYFOR"&amp;"MULA(TO_TEXT(Referencia!$A$2:$A6238)),0),0),
IF(OR(campo="""",campo=""-""),""NO APLICA"",
IF(col=0,""REVISAR EQUIVALENCIA"",
IF(fila=0,""SKU NO ENCONTRADO"",
LET(
valor,INDEX(Referencia!$A$2:$AZ6238,fila,col),
IF(TRIM(TO_TEXT(valor))=TRIM(TO_TEXT(I1285)),"&amp;"
""OK"",
""NO COINCIDE. Valor verdadero: ""&amp;IF(valor="""",""[VACÍO]"",TO_TEXT(valor))
)
))))
),""ERROR EN FÓRMULA""))"),"OK")</f>
        <v>OK</v>
      </c>
    </row>
    <row r="1286">
      <c r="A1286" s="83" t="s">
        <v>4618</v>
      </c>
      <c r="B1286" s="83" t="s">
        <v>4619</v>
      </c>
      <c r="C1286" s="81" t="s">
        <v>4621</v>
      </c>
      <c r="D1286" s="83" t="s">
        <v>4270</v>
      </c>
      <c r="E1286" s="81" t="s">
        <v>1062</v>
      </c>
      <c r="F1286" s="84">
        <v>203.0</v>
      </c>
      <c r="G1286" s="81" t="s">
        <v>29</v>
      </c>
      <c r="H1286" s="81" t="s">
        <v>1056</v>
      </c>
      <c r="I1286" s="81" t="s">
        <v>1061</v>
      </c>
      <c r="J1286" s="81" t="s">
        <v>224</v>
      </c>
      <c r="K1286" s="81" t="str">
        <f>IFERROR(__xludf.DUMMYFUNCTION("IF(OR(D1286="""",G1286=""""),"""",IFERROR(LET(
campo,XLOOKUP(TRIM(G1286),ARRAYFORMULA(TRIM('indice columnas'!$A$2:$A$100)),'indice columnas'!$B$2:$B$100,""""),
col,IFERROR(MATCH(campo,Referencia!$A$1:$AZ$1,0),0),
fila,IFERROR(MATCH(TO_TEXT(D1286),ARRAYFOR"&amp;"MULA(TO_TEXT(Referencia!$A$2:$A6238)),0),0),
IF(OR(campo="""",campo=""-""),""NO APLICA"",
IF(col=0,""REVISAR EQUIVALENCIA"",
IF(fila=0,""SKU NO ENCONTRADO"",
LET(
valor,INDEX(Referencia!$A$2:$AZ6238,fila,col),
IF(TRIM(TO_TEXT(valor))=TRIM(TO_TEXT(I1286)),"&amp;"
""OK"",
""NO COINCIDE. Valor verdadero: ""&amp;IF(valor="""",""[VACÍO]"",TO_TEXT(valor))
)
))))
),""ERROR EN FÓRMULA""))"),"NO COINCIDE. Valor verdadero: 30 x 32x 32")</f>
        <v>NO COINCIDE. Valor verdadero: 30 x 32x 32</v>
      </c>
    </row>
    <row r="1287">
      <c r="A1287" s="83" t="s">
        <v>4618</v>
      </c>
      <c r="B1287" s="83" t="s">
        <v>4619</v>
      </c>
      <c r="C1287" s="81" t="s">
        <v>4621</v>
      </c>
      <c r="D1287" s="83" t="s">
        <v>4270</v>
      </c>
      <c r="E1287" s="81" t="s">
        <v>1062</v>
      </c>
      <c r="F1287" s="84">
        <v>203.0</v>
      </c>
      <c r="G1287" s="81" t="s">
        <v>44</v>
      </c>
      <c r="H1287" s="81" t="s">
        <v>224</v>
      </c>
      <c r="I1287" s="81" t="s">
        <v>1051</v>
      </c>
      <c r="J1287" s="81" t="s">
        <v>4088</v>
      </c>
      <c r="K1287" s="81" t="str">
        <f>IFERROR(__xludf.DUMMYFUNCTION("IF(OR(D1287="""",G1287=""""),"""",IFERROR(LET(
campo,XLOOKUP(TRIM(G1287),ARRAYFORMULA(TRIM('indice columnas'!$A$2:$A$100)),'indice columnas'!$B$2:$B$100,""""),
col,IFERROR(MATCH(campo,Referencia!$A$1:$AZ$1,0),0),
fila,IFERROR(MATCH(TO_TEXT(D1287),ARRAYFOR"&amp;"MULA(TO_TEXT(Referencia!$A$2:$A6238)),0),0),
IF(OR(campo="""",campo=""-""),""NO APLICA"",
IF(col=0,""REVISAR EQUIVALENCIA"",
IF(fila=0,""SKU NO ENCONTRADO"",
LET(
valor,INDEX(Referencia!$A$2:$AZ6238,fila,col),
IF(TRIM(TO_TEXT(valor))=TRIM(TO_TEXT(I1287)),"&amp;"
""OK"",
""NO COINCIDE. Valor verdadero: ""&amp;IF(valor="""",""[VACÍO]"",TO_TEXT(valor))
)
))))
),""ERROR EN FÓRMULA""))"),"NO APLICA")</f>
        <v>NO APLICA</v>
      </c>
    </row>
    <row r="1288">
      <c r="A1288" s="83" t="s">
        <v>4618</v>
      </c>
      <c r="B1288" s="83" t="s">
        <v>4619</v>
      </c>
      <c r="C1288" s="81" t="s">
        <v>4621</v>
      </c>
      <c r="D1288" s="83" t="s">
        <v>4271</v>
      </c>
      <c r="E1288" s="81" t="s">
        <v>1065</v>
      </c>
      <c r="F1288" s="84">
        <v>204.0</v>
      </c>
      <c r="G1288" s="81" t="s">
        <v>44</v>
      </c>
      <c r="H1288" s="81" t="s">
        <v>224</v>
      </c>
      <c r="I1288" s="81" t="s">
        <v>1051</v>
      </c>
      <c r="J1288" s="81" t="s">
        <v>4088</v>
      </c>
      <c r="K1288" s="81" t="str">
        <f>IFERROR(__xludf.DUMMYFUNCTION("IF(OR(D1288="""",G1288=""""),"""",IFERROR(LET(
campo,XLOOKUP(TRIM(G1288),ARRAYFORMULA(TRIM('indice columnas'!$A$2:$A$100)),'indice columnas'!$B$2:$B$100,""""),
col,IFERROR(MATCH(campo,Referencia!$A$1:$AZ$1,0),0),
fila,IFERROR(MATCH(TO_TEXT(D1288),ARRAYFOR"&amp;"MULA(TO_TEXT(Referencia!$A$2:$A6238)),0),0),
IF(OR(campo="""",campo=""-""),""NO APLICA"",
IF(col=0,""REVISAR EQUIVALENCIA"",
IF(fila=0,""SKU NO ENCONTRADO"",
LET(
valor,INDEX(Referencia!$A$2:$AZ6238,fila,col),
IF(TRIM(TO_TEXT(valor))=TRIM(TO_TEXT(I1288)),"&amp;"
""OK"",
""NO COINCIDE. Valor verdadero: ""&amp;IF(valor="""",""[VACÍO]"",TO_TEXT(valor))
)
))))
),""ERROR EN FÓRMULA""))"),"NO APLICA")</f>
        <v>NO APLICA</v>
      </c>
    </row>
    <row r="1289">
      <c r="A1289" s="83" t="s">
        <v>4618</v>
      </c>
      <c r="B1289" s="83" t="s">
        <v>4619</v>
      </c>
      <c r="C1289" s="81" t="s">
        <v>4621</v>
      </c>
      <c r="D1289" s="83" t="s">
        <v>4271</v>
      </c>
      <c r="E1289" s="81" t="s">
        <v>1069</v>
      </c>
      <c r="F1289" s="84">
        <v>205.0</v>
      </c>
      <c r="G1289" s="81" t="s">
        <v>12</v>
      </c>
      <c r="H1289" s="81" t="s">
        <v>224</v>
      </c>
      <c r="I1289" s="81" t="s">
        <v>55</v>
      </c>
      <c r="J1289" s="81" t="s">
        <v>224</v>
      </c>
      <c r="K1289" s="81" t="str">
        <f>IFERROR(__xludf.DUMMYFUNCTION("IF(OR(D1289="""",G1289=""""),"""",IFERROR(LET(
campo,XLOOKUP(TRIM(G1289),ARRAYFORMULA(TRIM('indice columnas'!$A$2:$A$100)),'indice columnas'!$B$2:$B$100,""""),
col,IFERROR(MATCH(campo,Referencia!$A$1:$AZ$1,0),0),
fila,IFERROR(MATCH(TO_TEXT(D1289),ARRAYFOR"&amp;"MULA(TO_TEXT(Referencia!$A$2:$A6238)),0),0),
IF(OR(campo="""",campo=""-""),""NO APLICA"",
IF(col=0,""REVISAR EQUIVALENCIA"",
IF(fila=0,""SKU NO ENCONTRADO"",
LET(
valor,INDEX(Referencia!$A$2:$AZ6238,fila,col),
IF(TRIM(TO_TEXT(valor))=TRIM(TO_TEXT(I1289)),"&amp;"
""OK"",
""NO COINCIDE. Valor verdadero: ""&amp;IF(valor="""",""[VACÍO]"",TO_TEXT(valor))
)
))))
),""ERROR EN FÓRMULA""))"),"OK")</f>
        <v>OK</v>
      </c>
    </row>
    <row r="1290">
      <c r="A1290" s="83" t="s">
        <v>4618</v>
      </c>
      <c r="B1290" s="83" t="s">
        <v>4619</v>
      </c>
      <c r="C1290" s="81" t="s">
        <v>4621</v>
      </c>
      <c r="D1290" s="83" t="s">
        <v>4271</v>
      </c>
      <c r="E1290" s="81" t="s">
        <v>1069</v>
      </c>
      <c r="F1290" s="84">
        <v>205.0</v>
      </c>
      <c r="G1290" s="81" t="s">
        <v>44</v>
      </c>
      <c r="H1290" s="81" t="s">
        <v>224</v>
      </c>
      <c r="I1290" s="81" t="s">
        <v>1051</v>
      </c>
      <c r="J1290" s="81" t="s">
        <v>4088</v>
      </c>
      <c r="K1290" s="81" t="str">
        <f>IFERROR(__xludf.DUMMYFUNCTION("IF(OR(D1290="""",G1290=""""),"""",IFERROR(LET(
campo,XLOOKUP(TRIM(G1290),ARRAYFORMULA(TRIM('indice columnas'!$A$2:$A$100)),'indice columnas'!$B$2:$B$100,""""),
col,IFERROR(MATCH(campo,Referencia!$A$1:$AZ$1,0),0),
fila,IFERROR(MATCH(TO_TEXT(D1290),ARRAYFOR"&amp;"MULA(TO_TEXT(Referencia!$A$2:$A6238)),0),0),
IF(OR(campo="""",campo=""-""),""NO APLICA"",
IF(col=0,""REVISAR EQUIVALENCIA"",
IF(fila=0,""SKU NO ENCONTRADO"",
LET(
valor,INDEX(Referencia!$A$2:$AZ6238,fila,col),
IF(TRIM(TO_TEXT(valor))=TRIM(TO_TEXT(I1290)),"&amp;"
""OK"",
""NO COINCIDE. Valor verdadero: ""&amp;IF(valor="""",""[VACÍO]"",TO_TEXT(valor))
)
))))
),""ERROR EN FÓRMULA""))"),"NO APLICA")</f>
        <v>NO APLICA</v>
      </c>
    </row>
    <row r="1291">
      <c r="A1291" s="83" t="s">
        <v>4618</v>
      </c>
      <c r="B1291" s="83" t="s">
        <v>4619</v>
      </c>
      <c r="C1291" s="81" t="s">
        <v>4621</v>
      </c>
      <c r="D1291" s="83" t="s">
        <v>4272</v>
      </c>
      <c r="E1291" s="81" t="s">
        <v>1070</v>
      </c>
      <c r="F1291" s="84">
        <v>206.0</v>
      </c>
      <c r="G1291" s="81" t="s">
        <v>12</v>
      </c>
      <c r="H1291" s="81" t="s">
        <v>224</v>
      </c>
      <c r="I1291" s="81" t="s">
        <v>55</v>
      </c>
      <c r="J1291" s="81" t="s">
        <v>224</v>
      </c>
      <c r="K1291" s="81" t="str">
        <f>IFERROR(__xludf.DUMMYFUNCTION("IF(OR(D1291="""",G1291=""""),"""",IFERROR(LET(
campo,XLOOKUP(TRIM(G1291),ARRAYFORMULA(TRIM('indice columnas'!$A$2:$A$100)),'indice columnas'!$B$2:$B$100,""""),
col,IFERROR(MATCH(campo,Referencia!$A$1:$AZ$1,0),0),
fila,IFERROR(MATCH(TO_TEXT(D1291),ARRAYFOR"&amp;"MULA(TO_TEXT(Referencia!$A$2:$A6238)),0),0),
IF(OR(campo="""",campo=""-""),""NO APLICA"",
IF(col=0,""REVISAR EQUIVALENCIA"",
IF(fila=0,""SKU NO ENCONTRADO"",
LET(
valor,INDEX(Referencia!$A$2:$AZ6238,fila,col),
IF(TRIM(TO_TEXT(valor))=TRIM(TO_TEXT(I1291)),"&amp;"
""OK"",
""NO COINCIDE. Valor verdadero: ""&amp;IF(valor="""",""[VACÍO]"",TO_TEXT(valor))
)
))))
),""ERROR EN FÓRMULA""))"),"OK")</f>
        <v>OK</v>
      </c>
    </row>
    <row r="1292">
      <c r="A1292" s="83" t="s">
        <v>4618</v>
      </c>
      <c r="B1292" s="83" t="s">
        <v>4619</v>
      </c>
      <c r="C1292" s="81" t="s">
        <v>4621</v>
      </c>
      <c r="D1292" s="83" t="s">
        <v>4272</v>
      </c>
      <c r="E1292" s="81" t="s">
        <v>1070</v>
      </c>
      <c r="F1292" s="84">
        <v>206.0</v>
      </c>
      <c r="G1292" s="81" t="s">
        <v>44</v>
      </c>
      <c r="H1292" s="81" t="s">
        <v>224</v>
      </c>
      <c r="I1292" s="81" t="s">
        <v>1051</v>
      </c>
      <c r="J1292" s="81" t="s">
        <v>4088</v>
      </c>
      <c r="K1292" s="81" t="str">
        <f>IFERROR(__xludf.DUMMYFUNCTION("IF(OR(D1292="""",G1292=""""),"""",IFERROR(LET(
campo,XLOOKUP(TRIM(G1292),ARRAYFORMULA(TRIM('indice columnas'!$A$2:$A$100)),'indice columnas'!$B$2:$B$100,""""),
col,IFERROR(MATCH(campo,Referencia!$A$1:$AZ$1,0),0),
fila,IFERROR(MATCH(TO_TEXT(D1292),ARRAYFOR"&amp;"MULA(TO_TEXT(Referencia!$A$2:$A6238)),0),0),
IF(OR(campo="""",campo=""-""),""NO APLICA"",
IF(col=0,""REVISAR EQUIVALENCIA"",
IF(fila=0,""SKU NO ENCONTRADO"",
LET(
valor,INDEX(Referencia!$A$2:$AZ6238,fila,col),
IF(TRIM(TO_TEXT(valor))=TRIM(TO_TEXT(I1292)),"&amp;"
""OK"",
""NO COINCIDE. Valor verdadero: ""&amp;IF(valor="""",""[VACÍO]"",TO_TEXT(valor))
)
))))
),""ERROR EN FÓRMULA""))"),"NO APLICA")</f>
        <v>NO APLICA</v>
      </c>
    </row>
    <row r="1293">
      <c r="A1293" s="83" t="s">
        <v>4618</v>
      </c>
      <c r="B1293" s="83" t="s">
        <v>4619</v>
      </c>
      <c r="C1293" s="81" t="s">
        <v>4621</v>
      </c>
      <c r="D1293" s="83" t="s">
        <v>4273</v>
      </c>
      <c r="E1293" s="81" t="s">
        <v>1073</v>
      </c>
      <c r="F1293" s="84">
        <v>207.0</v>
      </c>
      <c r="G1293" s="81" t="s">
        <v>44</v>
      </c>
      <c r="H1293" s="81" t="s">
        <v>224</v>
      </c>
      <c r="I1293" s="81" t="s">
        <v>1051</v>
      </c>
      <c r="J1293" s="81" t="s">
        <v>4088</v>
      </c>
      <c r="K1293" s="81" t="str">
        <f>IFERROR(__xludf.DUMMYFUNCTION("IF(OR(D1293="""",G1293=""""),"""",IFERROR(LET(
campo,XLOOKUP(TRIM(G1293),ARRAYFORMULA(TRIM('indice columnas'!$A$2:$A$100)),'indice columnas'!$B$2:$B$100,""""),
col,IFERROR(MATCH(campo,Referencia!$A$1:$AZ$1,0),0),
fila,IFERROR(MATCH(TO_TEXT(D1293),ARRAYFOR"&amp;"MULA(TO_TEXT(Referencia!$A$2:$A6238)),0),0),
IF(OR(campo="""",campo=""-""),""NO APLICA"",
IF(col=0,""REVISAR EQUIVALENCIA"",
IF(fila=0,""SKU NO ENCONTRADO"",
LET(
valor,INDEX(Referencia!$A$2:$AZ6238,fila,col),
IF(TRIM(TO_TEXT(valor))=TRIM(TO_TEXT(I1293)),"&amp;"
""OK"",
""NO COINCIDE. Valor verdadero: ""&amp;IF(valor="""",""[VACÍO]"",TO_TEXT(valor))
)
))))
),""ERROR EN FÓRMULA""))"),"NO APLICA")</f>
        <v>NO APLICA</v>
      </c>
    </row>
    <row r="1294">
      <c r="A1294" s="83" t="s">
        <v>4618</v>
      </c>
      <c r="B1294" s="83" t="s">
        <v>4619</v>
      </c>
      <c r="C1294" s="81" t="s">
        <v>4621</v>
      </c>
      <c r="D1294" s="83" t="s">
        <v>4273</v>
      </c>
      <c r="E1294" s="81" t="s">
        <v>1079</v>
      </c>
      <c r="F1294" s="84">
        <v>208.0</v>
      </c>
      <c r="G1294" s="81" t="s">
        <v>12</v>
      </c>
      <c r="H1294" s="81" t="s">
        <v>224</v>
      </c>
      <c r="I1294" s="81" t="s">
        <v>55</v>
      </c>
      <c r="J1294" s="81" t="s">
        <v>224</v>
      </c>
      <c r="K1294" s="81" t="str">
        <f>IFERROR(__xludf.DUMMYFUNCTION("IF(OR(D1294="""",G1294=""""),"""",IFERROR(LET(
campo,XLOOKUP(TRIM(G1294),ARRAYFORMULA(TRIM('indice columnas'!$A$2:$A$100)),'indice columnas'!$B$2:$B$100,""""),
col,IFERROR(MATCH(campo,Referencia!$A$1:$AZ$1,0),0),
fila,IFERROR(MATCH(TO_TEXT(D1294),ARRAYFOR"&amp;"MULA(TO_TEXT(Referencia!$A$2:$A6238)),0),0),
IF(OR(campo="""",campo=""-""),""NO APLICA"",
IF(col=0,""REVISAR EQUIVALENCIA"",
IF(fila=0,""SKU NO ENCONTRADO"",
LET(
valor,INDEX(Referencia!$A$2:$AZ6238,fila,col),
IF(TRIM(TO_TEXT(valor))=TRIM(TO_TEXT(I1294)),"&amp;"
""OK"",
""NO COINCIDE. Valor verdadero: ""&amp;IF(valor="""",""[VACÍO]"",TO_TEXT(valor))
)
))))
),""ERROR EN FÓRMULA""))"),"OK")</f>
        <v>OK</v>
      </c>
    </row>
    <row r="1295">
      <c r="A1295" s="83" t="s">
        <v>4618</v>
      </c>
      <c r="B1295" s="83" t="s">
        <v>4619</v>
      </c>
      <c r="C1295" s="81" t="s">
        <v>4621</v>
      </c>
      <c r="D1295" s="83" t="s">
        <v>4273</v>
      </c>
      <c r="E1295" s="81" t="s">
        <v>1079</v>
      </c>
      <c r="F1295" s="84">
        <v>208.0</v>
      </c>
      <c r="G1295" s="81" t="s">
        <v>44</v>
      </c>
      <c r="H1295" s="81" t="s">
        <v>224</v>
      </c>
      <c r="I1295" s="81" t="s">
        <v>1051</v>
      </c>
      <c r="J1295" s="81" t="s">
        <v>4088</v>
      </c>
      <c r="K1295" s="81" t="str">
        <f>IFERROR(__xludf.DUMMYFUNCTION("IF(OR(D1295="""",G1295=""""),"""",IFERROR(LET(
campo,XLOOKUP(TRIM(G1295),ARRAYFORMULA(TRIM('indice columnas'!$A$2:$A$100)),'indice columnas'!$B$2:$B$100,""""),
col,IFERROR(MATCH(campo,Referencia!$A$1:$AZ$1,0),0),
fila,IFERROR(MATCH(TO_TEXT(D1295),ARRAYFOR"&amp;"MULA(TO_TEXT(Referencia!$A$2:$A6238)),0),0),
IF(OR(campo="""",campo=""-""),""NO APLICA"",
IF(col=0,""REVISAR EQUIVALENCIA"",
IF(fila=0,""SKU NO ENCONTRADO"",
LET(
valor,INDEX(Referencia!$A$2:$AZ6238,fila,col),
IF(TRIM(TO_TEXT(valor))=TRIM(TO_TEXT(I1295)),"&amp;"
""OK"",
""NO COINCIDE. Valor verdadero: ""&amp;IF(valor="""",""[VACÍO]"",TO_TEXT(valor))
)
))))
),""ERROR EN FÓRMULA""))"),"NO APLICA")</f>
        <v>NO APLICA</v>
      </c>
    </row>
    <row r="1296">
      <c r="A1296" s="83" t="s">
        <v>4618</v>
      </c>
      <c r="B1296" s="83" t="s">
        <v>4619</v>
      </c>
      <c r="C1296" s="81" t="s">
        <v>4621</v>
      </c>
      <c r="D1296" s="83" t="s">
        <v>4274</v>
      </c>
      <c r="E1296" s="81" t="s">
        <v>1080</v>
      </c>
      <c r="F1296" s="84">
        <v>209.0</v>
      </c>
      <c r="G1296" s="81" t="s">
        <v>12</v>
      </c>
      <c r="H1296" s="81" t="s">
        <v>224</v>
      </c>
      <c r="I1296" s="81" t="s">
        <v>55</v>
      </c>
      <c r="J1296" s="81" t="s">
        <v>224</v>
      </c>
      <c r="K1296" s="81" t="str">
        <f>IFERROR(__xludf.DUMMYFUNCTION("IF(OR(D1296="""",G1296=""""),"""",IFERROR(LET(
campo,XLOOKUP(TRIM(G1296),ARRAYFORMULA(TRIM('indice columnas'!$A$2:$A$100)),'indice columnas'!$B$2:$B$100,""""),
col,IFERROR(MATCH(campo,Referencia!$A$1:$AZ$1,0),0),
fila,IFERROR(MATCH(TO_TEXT(D1296),ARRAYFOR"&amp;"MULA(TO_TEXT(Referencia!$A$2:$A6238)),0),0),
IF(OR(campo="""",campo=""-""),""NO APLICA"",
IF(col=0,""REVISAR EQUIVALENCIA"",
IF(fila=0,""SKU NO ENCONTRADO"",
LET(
valor,INDEX(Referencia!$A$2:$AZ6238,fila,col),
IF(TRIM(TO_TEXT(valor))=TRIM(TO_TEXT(I1296)),"&amp;"
""OK"",
""NO COINCIDE. Valor verdadero: ""&amp;IF(valor="""",""[VACÍO]"",TO_TEXT(valor))
)
))))
),""ERROR EN FÓRMULA""))"),"OK")</f>
        <v>OK</v>
      </c>
    </row>
    <row r="1297">
      <c r="A1297" s="83" t="s">
        <v>4618</v>
      </c>
      <c r="B1297" s="83" t="s">
        <v>4619</v>
      </c>
      <c r="C1297" s="81" t="s">
        <v>4621</v>
      </c>
      <c r="D1297" s="83" t="s">
        <v>4274</v>
      </c>
      <c r="E1297" s="81" t="s">
        <v>1080</v>
      </c>
      <c r="F1297" s="84">
        <v>209.0</v>
      </c>
      <c r="G1297" s="81" t="s">
        <v>44</v>
      </c>
      <c r="H1297" s="81" t="s">
        <v>224</v>
      </c>
      <c r="I1297" s="81" t="s">
        <v>1051</v>
      </c>
      <c r="J1297" s="81" t="s">
        <v>4088</v>
      </c>
      <c r="K1297" s="81" t="str">
        <f>IFERROR(__xludf.DUMMYFUNCTION("IF(OR(D1297="""",G1297=""""),"""",IFERROR(LET(
campo,XLOOKUP(TRIM(G1297),ARRAYFORMULA(TRIM('indice columnas'!$A$2:$A$100)),'indice columnas'!$B$2:$B$100,""""),
col,IFERROR(MATCH(campo,Referencia!$A$1:$AZ$1,0),0),
fila,IFERROR(MATCH(TO_TEXT(D1297),ARRAYFOR"&amp;"MULA(TO_TEXT(Referencia!$A$2:$A6238)),0),0),
IF(OR(campo="""",campo=""-""),""NO APLICA"",
IF(col=0,""REVISAR EQUIVALENCIA"",
IF(fila=0,""SKU NO ENCONTRADO"",
LET(
valor,INDEX(Referencia!$A$2:$AZ6238,fila,col),
IF(TRIM(TO_TEXT(valor))=TRIM(TO_TEXT(I1297)),"&amp;"
""OK"",
""NO COINCIDE. Valor verdadero: ""&amp;IF(valor="""",""[VACÍO]"",TO_TEXT(valor))
)
))))
),""ERROR EN FÓRMULA""))"),"NO APLICA")</f>
        <v>NO APLICA</v>
      </c>
    </row>
    <row r="1298">
      <c r="A1298" s="83" t="s">
        <v>4618</v>
      </c>
      <c r="B1298" s="83" t="s">
        <v>4619</v>
      </c>
      <c r="C1298" s="81" t="s">
        <v>4621</v>
      </c>
      <c r="D1298" s="83" t="s">
        <v>4275</v>
      </c>
      <c r="E1298" s="81" t="s">
        <v>1083</v>
      </c>
      <c r="F1298" s="84">
        <v>210.0</v>
      </c>
      <c r="G1298" s="81" t="s">
        <v>44</v>
      </c>
      <c r="H1298" s="81" t="s">
        <v>224</v>
      </c>
      <c r="I1298" s="81" t="s">
        <v>1051</v>
      </c>
      <c r="J1298" s="81" t="s">
        <v>4088</v>
      </c>
      <c r="K1298" s="81" t="str">
        <f>IFERROR(__xludf.DUMMYFUNCTION("IF(OR(D1298="""",G1298=""""),"""",IFERROR(LET(
campo,XLOOKUP(TRIM(G1298),ARRAYFORMULA(TRIM('indice columnas'!$A$2:$A$100)),'indice columnas'!$B$2:$B$100,""""),
col,IFERROR(MATCH(campo,Referencia!$A$1:$AZ$1,0),0),
fila,IFERROR(MATCH(TO_TEXT(D1298),ARRAYFOR"&amp;"MULA(TO_TEXT(Referencia!$A$2:$A6238)),0),0),
IF(OR(campo="""",campo=""-""),""NO APLICA"",
IF(col=0,""REVISAR EQUIVALENCIA"",
IF(fila=0,""SKU NO ENCONTRADO"",
LET(
valor,INDEX(Referencia!$A$2:$AZ6238,fila,col),
IF(TRIM(TO_TEXT(valor))=TRIM(TO_TEXT(I1298)),"&amp;"
""OK"",
""NO COINCIDE. Valor verdadero: ""&amp;IF(valor="""",""[VACÍO]"",TO_TEXT(valor))
)
))))
),""ERROR EN FÓRMULA""))"),"NO APLICA")</f>
        <v>NO APLICA</v>
      </c>
    </row>
    <row r="1299">
      <c r="A1299" s="83" t="s">
        <v>4618</v>
      </c>
      <c r="B1299" s="83" t="s">
        <v>4619</v>
      </c>
      <c r="C1299" s="81" t="s">
        <v>4621</v>
      </c>
      <c r="D1299" s="83" t="s">
        <v>4275</v>
      </c>
      <c r="E1299" s="81" t="s">
        <v>1089</v>
      </c>
      <c r="F1299" s="84">
        <v>211.0</v>
      </c>
      <c r="G1299" s="81" t="s">
        <v>12</v>
      </c>
      <c r="H1299" s="81" t="s">
        <v>224</v>
      </c>
      <c r="I1299" s="81" t="s">
        <v>55</v>
      </c>
      <c r="J1299" s="81" t="s">
        <v>224</v>
      </c>
      <c r="K1299" s="81" t="str">
        <f>IFERROR(__xludf.DUMMYFUNCTION("IF(OR(D1299="""",G1299=""""),"""",IFERROR(LET(
campo,XLOOKUP(TRIM(G1299),ARRAYFORMULA(TRIM('indice columnas'!$A$2:$A$100)),'indice columnas'!$B$2:$B$100,""""),
col,IFERROR(MATCH(campo,Referencia!$A$1:$AZ$1,0),0),
fila,IFERROR(MATCH(TO_TEXT(D1299),ARRAYFOR"&amp;"MULA(TO_TEXT(Referencia!$A$2:$A6238)),0),0),
IF(OR(campo="""",campo=""-""),""NO APLICA"",
IF(col=0,""REVISAR EQUIVALENCIA"",
IF(fila=0,""SKU NO ENCONTRADO"",
LET(
valor,INDEX(Referencia!$A$2:$AZ6238,fila,col),
IF(TRIM(TO_TEXT(valor))=TRIM(TO_TEXT(I1299)),"&amp;"
""OK"",
""NO COINCIDE. Valor verdadero: ""&amp;IF(valor="""",""[VACÍO]"",TO_TEXT(valor))
)
))))
),""ERROR EN FÓRMULA""))"),"OK")</f>
        <v>OK</v>
      </c>
    </row>
    <row r="1300">
      <c r="A1300" s="83" t="s">
        <v>4618</v>
      </c>
      <c r="B1300" s="83" t="s">
        <v>4619</v>
      </c>
      <c r="C1300" s="81" t="s">
        <v>4621</v>
      </c>
      <c r="D1300" s="83" t="s">
        <v>4275</v>
      </c>
      <c r="E1300" s="81" t="s">
        <v>1089</v>
      </c>
      <c r="F1300" s="84">
        <v>211.0</v>
      </c>
      <c r="G1300" s="81" t="s">
        <v>44</v>
      </c>
      <c r="H1300" s="81" t="s">
        <v>224</v>
      </c>
      <c r="I1300" s="81" t="s">
        <v>1051</v>
      </c>
      <c r="J1300" s="81" t="s">
        <v>4088</v>
      </c>
      <c r="K1300" s="81" t="str">
        <f>IFERROR(__xludf.DUMMYFUNCTION("IF(OR(D1300="""",G1300=""""),"""",IFERROR(LET(
campo,XLOOKUP(TRIM(G1300),ARRAYFORMULA(TRIM('indice columnas'!$A$2:$A$100)),'indice columnas'!$B$2:$B$100,""""),
col,IFERROR(MATCH(campo,Referencia!$A$1:$AZ$1,0),0),
fila,IFERROR(MATCH(TO_TEXT(D1300),ARRAYFOR"&amp;"MULA(TO_TEXT(Referencia!$A$2:$A6238)),0),0),
IF(OR(campo="""",campo=""-""),""NO APLICA"",
IF(col=0,""REVISAR EQUIVALENCIA"",
IF(fila=0,""SKU NO ENCONTRADO"",
LET(
valor,INDEX(Referencia!$A$2:$AZ6238,fila,col),
IF(TRIM(TO_TEXT(valor))=TRIM(TO_TEXT(I1300)),"&amp;"
""OK"",
""NO COINCIDE. Valor verdadero: ""&amp;IF(valor="""",""[VACÍO]"",TO_TEXT(valor))
)
))))
),""ERROR EN FÓRMULA""))"),"NO APLICA")</f>
        <v>NO APLICA</v>
      </c>
    </row>
    <row r="1301">
      <c r="A1301" s="83" t="s">
        <v>4618</v>
      </c>
      <c r="B1301" s="83" t="s">
        <v>4619</v>
      </c>
      <c r="C1301" s="81" t="s">
        <v>4621</v>
      </c>
      <c r="D1301" s="83" t="s">
        <v>4276</v>
      </c>
      <c r="E1301" s="81" t="s">
        <v>1090</v>
      </c>
      <c r="F1301" s="84">
        <v>212.0</v>
      </c>
      <c r="G1301" s="81" t="s">
        <v>12</v>
      </c>
      <c r="H1301" s="81" t="s">
        <v>224</v>
      </c>
      <c r="I1301" s="81" t="s">
        <v>55</v>
      </c>
      <c r="J1301" s="81" t="s">
        <v>224</v>
      </c>
      <c r="K1301" s="81" t="str">
        <f>IFERROR(__xludf.DUMMYFUNCTION("IF(OR(D1301="""",G1301=""""),"""",IFERROR(LET(
campo,XLOOKUP(TRIM(G1301),ARRAYFORMULA(TRIM('indice columnas'!$A$2:$A$100)),'indice columnas'!$B$2:$B$100,""""),
col,IFERROR(MATCH(campo,Referencia!$A$1:$AZ$1,0),0),
fila,IFERROR(MATCH(TO_TEXT(D1301),ARRAYFOR"&amp;"MULA(TO_TEXT(Referencia!$A$2:$A6238)),0),0),
IF(OR(campo="""",campo=""-""),""NO APLICA"",
IF(col=0,""REVISAR EQUIVALENCIA"",
IF(fila=0,""SKU NO ENCONTRADO"",
LET(
valor,INDEX(Referencia!$A$2:$AZ6238,fila,col),
IF(TRIM(TO_TEXT(valor))=TRIM(TO_TEXT(I1301)),"&amp;"
""OK"",
""NO COINCIDE. Valor verdadero: ""&amp;IF(valor="""",""[VACÍO]"",TO_TEXT(valor))
)
))))
),""ERROR EN FÓRMULA""))"),"OK")</f>
        <v>OK</v>
      </c>
    </row>
    <row r="1302">
      <c r="A1302" s="83" t="s">
        <v>4618</v>
      </c>
      <c r="B1302" s="83" t="s">
        <v>4619</v>
      </c>
      <c r="C1302" s="81" t="s">
        <v>4621</v>
      </c>
      <c r="D1302" s="83" t="s">
        <v>4276</v>
      </c>
      <c r="E1302" s="81" t="s">
        <v>1090</v>
      </c>
      <c r="F1302" s="84">
        <v>212.0</v>
      </c>
      <c r="G1302" s="81" t="s">
        <v>44</v>
      </c>
      <c r="H1302" s="81" t="s">
        <v>224</v>
      </c>
      <c r="I1302" s="81" t="s">
        <v>1051</v>
      </c>
      <c r="J1302" s="81" t="s">
        <v>4088</v>
      </c>
      <c r="K1302" s="81" t="str">
        <f>IFERROR(__xludf.DUMMYFUNCTION("IF(OR(D1302="""",G1302=""""),"""",IFERROR(LET(
campo,XLOOKUP(TRIM(G1302),ARRAYFORMULA(TRIM('indice columnas'!$A$2:$A$100)),'indice columnas'!$B$2:$B$100,""""),
col,IFERROR(MATCH(campo,Referencia!$A$1:$AZ$1,0),0),
fila,IFERROR(MATCH(TO_TEXT(D1302),ARRAYFOR"&amp;"MULA(TO_TEXT(Referencia!$A$2:$A6238)),0),0),
IF(OR(campo="""",campo=""-""),""NO APLICA"",
IF(col=0,""REVISAR EQUIVALENCIA"",
IF(fila=0,""SKU NO ENCONTRADO"",
LET(
valor,INDEX(Referencia!$A$2:$AZ6238,fila,col),
IF(TRIM(TO_TEXT(valor))=TRIM(TO_TEXT(I1302)),"&amp;"
""OK"",
""NO COINCIDE. Valor verdadero: ""&amp;IF(valor="""",""[VACÍO]"",TO_TEXT(valor))
)
))))
),""ERROR EN FÓRMULA""))"),"NO APLICA")</f>
        <v>NO APLICA</v>
      </c>
    </row>
    <row r="1303">
      <c r="A1303" s="83" t="s">
        <v>4618</v>
      </c>
      <c r="B1303" s="83" t="s">
        <v>4619</v>
      </c>
      <c r="C1303" s="81" t="s">
        <v>4621</v>
      </c>
      <c r="D1303" s="83" t="s">
        <v>4277</v>
      </c>
      <c r="E1303" s="81" t="s">
        <v>1093</v>
      </c>
      <c r="F1303" s="84">
        <v>213.0</v>
      </c>
      <c r="G1303" s="81" t="s">
        <v>44</v>
      </c>
      <c r="H1303" s="81" t="s">
        <v>224</v>
      </c>
      <c r="I1303" s="81" t="s">
        <v>1051</v>
      </c>
      <c r="J1303" s="81" t="s">
        <v>4088</v>
      </c>
      <c r="K1303" s="81" t="str">
        <f>IFERROR(__xludf.DUMMYFUNCTION("IF(OR(D1303="""",G1303=""""),"""",IFERROR(LET(
campo,XLOOKUP(TRIM(G1303),ARRAYFORMULA(TRIM('indice columnas'!$A$2:$A$100)),'indice columnas'!$B$2:$B$100,""""),
col,IFERROR(MATCH(campo,Referencia!$A$1:$AZ$1,0),0),
fila,IFERROR(MATCH(TO_TEXT(D1303),ARRAYFOR"&amp;"MULA(TO_TEXT(Referencia!$A$2:$A6238)),0),0),
IF(OR(campo="""",campo=""-""),""NO APLICA"",
IF(col=0,""REVISAR EQUIVALENCIA"",
IF(fila=0,""SKU NO ENCONTRADO"",
LET(
valor,INDEX(Referencia!$A$2:$AZ6238,fila,col),
IF(TRIM(TO_TEXT(valor))=TRIM(TO_TEXT(I1303)),"&amp;"
""OK"",
""NO COINCIDE. Valor verdadero: ""&amp;IF(valor="""",""[VACÍO]"",TO_TEXT(valor))
)
))))
),""ERROR EN FÓRMULA""))"),"NO APLICA")</f>
        <v>NO APLICA</v>
      </c>
    </row>
    <row r="1304">
      <c r="A1304" s="83" t="s">
        <v>4618</v>
      </c>
      <c r="B1304" s="83" t="s">
        <v>4619</v>
      </c>
      <c r="C1304" s="81" t="s">
        <v>4621</v>
      </c>
      <c r="D1304" s="83" t="s">
        <v>4277</v>
      </c>
      <c r="E1304" s="81" t="s">
        <v>1099</v>
      </c>
      <c r="F1304" s="84">
        <v>214.0</v>
      </c>
      <c r="G1304" s="81" t="s">
        <v>12</v>
      </c>
      <c r="H1304" s="81" t="s">
        <v>224</v>
      </c>
      <c r="I1304" s="81" t="s">
        <v>55</v>
      </c>
      <c r="J1304" s="81" t="s">
        <v>224</v>
      </c>
      <c r="K1304" s="81" t="str">
        <f>IFERROR(__xludf.DUMMYFUNCTION("IF(OR(D1304="""",G1304=""""),"""",IFERROR(LET(
campo,XLOOKUP(TRIM(G1304),ARRAYFORMULA(TRIM('indice columnas'!$A$2:$A$100)),'indice columnas'!$B$2:$B$100,""""),
col,IFERROR(MATCH(campo,Referencia!$A$1:$AZ$1,0),0),
fila,IFERROR(MATCH(TO_TEXT(D1304),ARRAYFOR"&amp;"MULA(TO_TEXT(Referencia!$A$2:$A6238)),0),0),
IF(OR(campo="""",campo=""-""),""NO APLICA"",
IF(col=0,""REVISAR EQUIVALENCIA"",
IF(fila=0,""SKU NO ENCONTRADO"",
LET(
valor,INDEX(Referencia!$A$2:$AZ6238,fila,col),
IF(TRIM(TO_TEXT(valor))=TRIM(TO_TEXT(I1304)),"&amp;"
""OK"",
""NO COINCIDE. Valor verdadero: ""&amp;IF(valor="""",""[VACÍO]"",TO_TEXT(valor))
)
))))
),""ERROR EN FÓRMULA""))"),"OK")</f>
        <v>OK</v>
      </c>
    </row>
    <row r="1305">
      <c r="A1305" s="83" t="s">
        <v>4618</v>
      </c>
      <c r="B1305" s="83" t="s">
        <v>4619</v>
      </c>
      <c r="C1305" s="81" t="s">
        <v>4621</v>
      </c>
      <c r="D1305" s="83" t="s">
        <v>4277</v>
      </c>
      <c r="E1305" s="81" t="s">
        <v>1099</v>
      </c>
      <c r="F1305" s="84">
        <v>214.0</v>
      </c>
      <c r="G1305" s="81" t="s">
        <v>44</v>
      </c>
      <c r="H1305" s="81" t="s">
        <v>224</v>
      </c>
      <c r="I1305" s="81" t="s">
        <v>1051</v>
      </c>
      <c r="J1305" s="81" t="s">
        <v>4088</v>
      </c>
      <c r="K1305" s="81" t="str">
        <f>IFERROR(__xludf.DUMMYFUNCTION("IF(OR(D1305="""",G1305=""""),"""",IFERROR(LET(
campo,XLOOKUP(TRIM(G1305),ARRAYFORMULA(TRIM('indice columnas'!$A$2:$A$100)),'indice columnas'!$B$2:$B$100,""""),
col,IFERROR(MATCH(campo,Referencia!$A$1:$AZ$1,0),0),
fila,IFERROR(MATCH(TO_TEXT(D1305),ARRAYFOR"&amp;"MULA(TO_TEXT(Referencia!$A$2:$A6238)),0),0),
IF(OR(campo="""",campo=""-""),""NO APLICA"",
IF(col=0,""REVISAR EQUIVALENCIA"",
IF(fila=0,""SKU NO ENCONTRADO"",
LET(
valor,INDEX(Referencia!$A$2:$AZ6238,fila,col),
IF(TRIM(TO_TEXT(valor))=TRIM(TO_TEXT(I1305)),"&amp;"
""OK"",
""NO COINCIDE. Valor verdadero: ""&amp;IF(valor="""",""[VACÍO]"",TO_TEXT(valor))
)
))))
),""ERROR EN FÓRMULA""))"),"NO APLICA")</f>
        <v>NO APLICA</v>
      </c>
    </row>
    <row r="1306">
      <c r="A1306" s="83" t="s">
        <v>4618</v>
      </c>
      <c r="B1306" s="83" t="s">
        <v>4619</v>
      </c>
      <c r="C1306" s="81" t="s">
        <v>4621</v>
      </c>
      <c r="D1306" s="83" t="s">
        <v>4278</v>
      </c>
      <c r="E1306" s="81" t="s">
        <v>1100</v>
      </c>
      <c r="F1306" s="84">
        <v>215.0</v>
      </c>
      <c r="G1306" s="81" t="s">
        <v>12</v>
      </c>
      <c r="H1306" s="81" t="s">
        <v>224</v>
      </c>
      <c r="I1306" s="81" t="s">
        <v>55</v>
      </c>
      <c r="J1306" s="81" t="s">
        <v>224</v>
      </c>
      <c r="K1306" s="81" t="str">
        <f>IFERROR(__xludf.DUMMYFUNCTION("IF(OR(D1306="""",G1306=""""),"""",IFERROR(LET(
campo,XLOOKUP(TRIM(G1306),ARRAYFORMULA(TRIM('indice columnas'!$A$2:$A$100)),'indice columnas'!$B$2:$B$100,""""),
col,IFERROR(MATCH(campo,Referencia!$A$1:$AZ$1,0),0),
fila,IFERROR(MATCH(TO_TEXT(D1306),ARRAYFOR"&amp;"MULA(TO_TEXT(Referencia!$A$2:$A6238)),0),0),
IF(OR(campo="""",campo=""-""),""NO APLICA"",
IF(col=0,""REVISAR EQUIVALENCIA"",
IF(fila=0,""SKU NO ENCONTRADO"",
LET(
valor,INDEX(Referencia!$A$2:$AZ6238,fila,col),
IF(TRIM(TO_TEXT(valor))=TRIM(TO_TEXT(I1306)),"&amp;"
""OK"",
""NO COINCIDE. Valor verdadero: ""&amp;IF(valor="""",""[VACÍO]"",TO_TEXT(valor))
)
))))
),""ERROR EN FÓRMULA""))"),"OK")</f>
        <v>OK</v>
      </c>
    </row>
    <row r="1307">
      <c r="A1307" s="83" t="s">
        <v>4618</v>
      </c>
      <c r="B1307" s="83" t="s">
        <v>4619</v>
      </c>
      <c r="C1307" s="81" t="s">
        <v>4621</v>
      </c>
      <c r="D1307" s="83" t="s">
        <v>4278</v>
      </c>
      <c r="E1307" s="81" t="s">
        <v>1100</v>
      </c>
      <c r="F1307" s="84">
        <v>215.0</v>
      </c>
      <c r="G1307" s="81" t="s">
        <v>44</v>
      </c>
      <c r="H1307" s="81" t="s">
        <v>224</v>
      </c>
      <c r="I1307" s="81" t="s">
        <v>1051</v>
      </c>
      <c r="J1307" s="81" t="s">
        <v>4088</v>
      </c>
      <c r="K1307" s="81" t="str">
        <f>IFERROR(__xludf.DUMMYFUNCTION("IF(OR(D1307="""",G1307=""""),"""",IFERROR(LET(
campo,XLOOKUP(TRIM(G1307),ARRAYFORMULA(TRIM('indice columnas'!$A$2:$A$100)),'indice columnas'!$B$2:$B$100,""""),
col,IFERROR(MATCH(campo,Referencia!$A$1:$AZ$1,0),0),
fila,IFERROR(MATCH(TO_TEXT(D1307),ARRAYFOR"&amp;"MULA(TO_TEXT(Referencia!$A$2:$A6238)),0),0),
IF(OR(campo="""",campo=""-""),""NO APLICA"",
IF(col=0,""REVISAR EQUIVALENCIA"",
IF(fila=0,""SKU NO ENCONTRADO"",
LET(
valor,INDEX(Referencia!$A$2:$AZ6238,fila,col),
IF(TRIM(TO_TEXT(valor))=TRIM(TO_TEXT(I1307)),"&amp;"
""OK"",
""NO COINCIDE. Valor verdadero: ""&amp;IF(valor="""",""[VACÍO]"",TO_TEXT(valor))
)
))))
),""ERROR EN FÓRMULA""))"),"NO APLICA")</f>
        <v>NO APLICA</v>
      </c>
    </row>
    <row r="1308">
      <c r="A1308" s="83" t="s">
        <v>4618</v>
      </c>
      <c r="B1308" s="83" t="s">
        <v>4619</v>
      </c>
      <c r="C1308" s="81" t="s">
        <v>4621</v>
      </c>
      <c r="D1308" s="83" t="s">
        <v>4279</v>
      </c>
      <c r="E1308" s="81" t="s">
        <v>1103</v>
      </c>
      <c r="F1308" s="84">
        <v>216.0</v>
      </c>
      <c r="G1308" s="81" t="s">
        <v>44</v>
      </c>
      <c r="H1308" s="81" t="s">
        <v>224</v>
      </c>
      <c r="I1308" s="81" t="s">
        <v>1051</v>
      </c>
      <c r="J1308" s="81" t="s">
        <v>4088</v>
      </c>
      <c r="K1308" s="81" t="str">
        <f>IFERROR(__xludf.DUMMYFUNCTION("IF(OR(D1308="""",G1308=""""),"""",IFERROR(LET(
campo,XLOOKUP(TRIM(G1308),ARRAYFORMULA(TRIM('indice columnas'!$A$2:$A$100)),'indice columnas'!$B$2:$B$100,""""),
col,IFERROR(MATCH(campo,Referencia!$A$1:$AZ$1,0),0),
fila,IFERROR(MATCH(TO_TEXT(D1308),ARRAYFOR"&amp;"MULA(TO_TEXT(Referencia!$A$2:$A6238)),0),0),
IF(OR(campo="""",campo=""-""),""NO APLICA"",
IF(col=0,""REVISAR EQUIVALENCIA"",
IF(fila=0,""SKU NO ENCONTRADO"",
LET(
valor,INDEX(Referencia!$A$2:$AZ6238,fila,col),
IF(TRIM(TO_TEXT(valor))=TRIM(TO_TEXT(I1308)),"&amp;"
""OK"",
""NO COINCIDE. Valor verdadero: ""&amp;IF(valor="""",""[VACÍO]"",TO_TEXT(valor))
)
))))
),""ERROR EN FÓRMULA""))"),"NO APLICA")</f>
        <v>NO APLICA</v>
      </c>
    </row>
    <row r="1309">
      <c r="A1309" s="83" t="s">
        <v>4618</v>
      </c>
      <c r="B1309" s="83" t="s">
        <v>4619</v>
      </c>
      <c r="C1309" s="81" t="s">
        <v>4621</v>
      </c>
      <c r="D1309" s="83" t="s">
        <v>4279</v>
      </c>
      <c r="E1309" s="81" t="s">
        <v>1109</v>
      </c>
      <c r="F1309" s="84">
        <v>217.0</v>
      </c>
      <c r="G1309" s="81" t="s">
        <v>12</v>
      </c>
      <c r="H1309" s="81" t="s">
        <v>224</v>
      </c>
      <c r="I1309" s="81" t="s">
        <v>55</v>
      </c>
      <c r="J1309" s="81" t="s">
        <v>224</v>
      </c>
      <c r="K1309" s="81" t="str">
        <f>IFERROR(__xludf.DUMMYFUNCTION("IF(OR(D1309="""",G1309=""""),"""",IFERROR(LET(
campo,XLOOKUP(TRIM(G1309),ARRAYFORMULA(TRIM('indice columnas'!$A$2:$A$100)),'indice columnas'!$B$2:$B$100,""""),
col,IFERROR(MATCH(campo,Referencia!$A$1:$AZ$1,0),0),
fila,IFERROR(MATCH(TO_TEXT(D1309),ARRAYFOR"&amp;"MULA(TO_TEXT(Referencia!$A$2:$A6238)),0),0),
IF(OR(campo="""",campo=""-""),""NO APLICA"",
IF(col=0,""REVISAR EQUIVALENCIA"",
IF(fila=0,""SKU NO ENCONTRADO"",
LET(
valor,INDEX(Referencia!$A$2:$AZ6238,fila,col),
IF(TRIM(TO_TEXT(valor))=TRIM(TO_TEXT(I1309)),"&amp;"
""OK"",
""NO COINCIDE. Valor verdadero: ""&amp;IF(valor="""",""[VACÍO]"",TO_TEXT(valor))
)
))))
),""ERROR EN FÓRMULA""))"),"OK")</f>
        <v>OK</v>
      </c>
    </row>
    <row r="1310">
      <c r="A1310" s="83" t="s">
        <v>4618</v>
      </c>
      <c r="B1310" s="83" t="s">
        <v>4619</v>
      </c>
      <c r="C1310" s="81" t="s">
        <v>4621</v>
      </c>
      <c r="D1310" s="83" t="s">
        <v>4279</v>
      </c>
      <c r="E1310" s="81" t="s">
        <v>1109</v>
      </c>
      <c r="F1310" s="84">
        <v>217.0</v>
      </c>
      <c r="G1310" s="81" t="s">
        <v>44</v>
      </c>
      <c r="H1310" s="81" t="s">
        <v>224</v>
      </c>
      <c r="I1310" s="81" t="s">
        <v>1051</v>
      </c>
      <c r="J1310" s="81" t="s">
        <v>4088</v>
      </c>
      <c r="K1310" s="81" t="str">
        <f>IFERROR(__xludf.DUMMYFUNCTION("IF(OR(D1310="""",G1310=""""),"""",IFERROR(LET(
campo,XLOOKUP(TRIM(G1310),ARRAYFORMULA(TRIM('indice columnas'!$A$2:$A$100)),'indice columnas'!$B$2:$B$100,""""),
col,IFERROR(MATCH(campo,Referencia!$A$1:$AZ$1,0),0),
fila,IFERROR(MATCH(TO_TEXT(D1310),ARRAYFOR"&amp;"MULA(TO_TEXT(Referencia!$A$2:$A6238)),0),0),
IF(OR(campo="""",campo=""-""),""NO APLICA"",
IF(col=0,""REVISAR EQUIVALENCIA"",
IF(fila=0,""SKU NO ENCONTRADO"",
LET(
valor,INDEX(Referencia!$A$2:$AZ6238,fila,col),
IF(TRIM(TO_TEXT(valor))=TRIM(TO_TEXT(I1310)),"&amp;"
""OK"",
""NO COINCIDE. Valor verdadero: ""&amp;IF(valor="""",""[VACÍO]"",TO_TEXT(valor))
)
))))
),""ERROR EN FÓRMULA""))"),"NO APLICA")</f>
        <v>NO APLICA</v>
      </c>
    </row>
    <row r="1311">
      <c r="A1311" s="83" t="s">
        <v>4618</v>
      </c>
      <c r="B1311" s="83" t="s">
        <v>4619</v>
      </c>
      <c r="C1311" s="81" t="s">
        <v>4621</v>
      </c>
      <c r="D1311" s="83" t="s">
        <v>4280</v>
      </c>
      <c r="E1311" s="81" t="s">
        <v>1110</v>
      </c>
      <c r="F1311" s="84">
        <v>218.0</v>
      </c>
      <c r="G1311" s="81" t="s">
        <v>12</v>
      </c>
      <c r="H1311" s="81" t="s">
        <v>224</v>
      </c>
      <c r="I1311" s="81" t="s">
        <v>55</v>
      </c>
      <c r="J1311" s="81" t="s">
        <v>224</v>
      </c>
      <c r="K1311" s="81" t="str">
        <f>IFERROR(__xludf.DUMMYFUNCTION("IF(OR(D1311="""",G1311=""""),"""",IFERROR(LET(
campo,XLOOKUP(TRIM(G1311),ARRAYFORMULA(TRIM('indice columnas'!$A$2:$A$100)),'indice columnas'!$B$2:$B$100,""""),
col,IFERROR(MATCH(campo,Referencia!$A$1:$AZ$1,0),0),
fila,IFERROR(MATCH(TO_TEXT(D1311),ARRAYFOR"&amp;"MULA(TO_TEXT(Referencia!$A$2:$A6238)),0),0),
IF(OR(campo="""",campo=""-""),""NO APLICA"",
IF(col=0,""REVISAR EQUIVALENCIA"",
IF(fila=0,""SKU NO ENCONTRADO"",
LET(
valor,INDEX(Referencia!$A$2:$AZ6238,fila,col),
IF(TRIM(TO_TEXT(valor))=TRIM(TO_TEXT(I1311)),"&amp;"
""OK"",
""NO COINCIDE. Valor verdadero: ""&amp;IF(valor="""",""[VACÍO]"",TO_TEXT(valor))
)
))))
),""ERROR EN FÓRMULA""))"),"OK")</f>
        <v>OK</v>
      </c>
    </row>
    <row r="1312">
      <c r="A1312" s="83" t="s">
        <v>4618</v>
      </c>
      <c r="B1312" s="83" t="s">
        <v>4619</v>
      </c>
      <c r="C1312" s="81" t="s">
        <v>4621</v>
      </c>
      <c r="D1312" s="83" t="s">
        <v>4280</v>
      </c>
      <c r="E1312" s="81" t="s">
        <v>1110</v>
      </c>
      <c r="F1312" s="84">
        <v>218.0</v>
      </c>
      <c r="G1312" s="81" t="s">
        <v>44</v>
      </c>
      <c r="H1312" s="81" t="s">
        <v>224</v>
      </c>
      <c r="I1312" s="81" t="s">
        <v>1051</v>
      </c>
      <c r="J1312" s="81" t="s">
        <v>4088</v>
      </c>
      <c r="K1312" s="81" t="str">
        <f>IFERROR(__xludf.DUMMYFUNCTION("IF(OR(D1312="""",G1312=""""),"""",IFERROR(LET(
campo,XLOOKUP(TRIM(G1312),ARRAYFORMULA(TRIM('indice columnas'!$A$2:$A$100)),'indice columnas'!$B$2:$B$100,""""),
col,IFERROR(MATCH(campo,Referencia!$A$1:$AZ$1,0),0),
fila,IFERROR(MATCH(TO_TEXT(D1312),ARRAYFOR"&amp;"MULA(TO_TEXT(Referencia!$A$2:$A6238)),0),0),
IF(OR(campo="""",campo=""-""),""NO APLICA"",
IF(col=0,""REVISAR EQUIVALENCIA"",
IF(fila=0,""SKU NO ENCONTRADO"",
LET(
valor,INDEX(Referencia!$A$2:$AZ6238,fila,col),
IF(TRIM(TO_TEXT(valor))=TRIM(TO_TEXT(I1312)),"&amp;"
""OK"",
""NO COINCIDE. Valor verdadero: ""&amp;IF(valor="""",""[VACÍO]"",TO_TEXT(valor))
)
))))
),""ERROR EN FÓRMULA""))"),"NO APLICA")</f>
        <v>NO APLICA</v>
      </c>
    </row>
    <row r="1313">
      <c r="A1313" s="83" t="s">
        <v>4618</v>
      </c>
      <c r="B1313" s="83" t="s">
        <v>4619</v>
      </c>
      <c r="C1313" s="81" t="s">
        <v>4621</v>
      </c>
      <c r="D1313" s="83" t="s">
        <v>4281</v>
      </c>
      <c r="E1313" s="81" t="s">
        <v>1113</v>
      </c>
      <c r="F1313" s="84">
        <v>219.0</v>
      </c>
      <c r="G1313" s="81" t="s">
        <v>44</v>
      </c>
      <c r="H1313" s="81" t="s">
        <v>224</v>
      </c>
      <c r="I1313" s="81" t="s">
        <v>1051</v>
      </c>
      <c r="J1313" s="81" t="s">
        <v>4088</v>
      </c>
      <c r="K1313" s="81" t="str">
        <f>IFERROR(__xludf.DUMMYFUNCTION("IF(OR(D1313="""",G1313=""""),"""",IFERROR(LET(
campo,XLOOKUP(TRIM(G1313),ARRAYFORMULA(TRIM('indice columnas'!$A$2:$A$100)),'indice columnas'!$B$2:$B$100,""""),
col,IFERROR(MATCH(campo,Referencia!$A$1:$AZ$1,0),0),
fila,IFERROR(MATCH(TO_TEXT(D1313),ARRAYFOR"&amp;"MULA(TO_TEXT(Referencia!$A$2:$A6238)),0),0),
IF(OR(campo="""",campo=""-""),""NO APLICA"",
IF(col=0,""REVISAR EQUIVALENCIA"",
IF(fila=0,""SKU NO ENCONTRADO"",
LET(
valor,INDEX(Referencia!$A$2:$AZ6238,fila,col),
IF(TRIM(TO_TEXT(valor))=TRIM(TO_TEXT(I1313)),"&amp;"
""OK"",
""NO COINCIDE. Valor verdadero: ""&amp;IF(valor="""",""[VACÍO]"",TO_TEXT(valor))
)
))))
),""ERROR EN FÓRMULA""))"),"NO APLICA")</f>
        <v>NO APLICA</v>
      </c>
    </row>
    <row r="1314">
      <c r="A1314" s="83" t="s">
        <v>4618</v>
      </c>
      <c r="B1314" s="83" t="s">
        <v>4619</v>
      </c>
      <c r="C1314" s="81" t="s">
        <v>4621</v>
      </c>
      <c r="D1314" s="83" t="s">
        <v>4281</v>
      </c>
      <c r="E1314" s="81" t="s">
        <v>1119</v>
      </c>
      <c r="F1314" s="84">
        <v>220.0</v>
      </c>
      <c r="G1314" s="81" t="s">
        <v>12</v>
      </c>
      <c r="H1314" s="81" t="s">
        <v>224</v>
      </c>
      <c r="I1314" s="81" t="s">
        <v>55</v>
      </c>
      <c r="J1314" s="81" t="s">
        <v>224</v>
      </c>
      <c r="K1314" s="81" t="str">
        <f>IFERROR(__xludf.DUMMYFUNCTION("IF(OR(D1314="""",G1314=""""),"""",IFERROR(LET(
campo,XLOOKUP(TRIM(G1314),ARRAYFORMULA(TRIM('indice columnas'!$A$2:$A$100)),'indice columnas'!$B$2:$B$100,""""),
col,IFERROR(MATCH(campo,Referencia!$A$1:$AZ$1,0),0),
fila,IFERROR(MATCH(TO_TEXT(D1314),ARRAYFOR"&amp;"MULA(TO_TEXT(Referencia!$A$2:$A6238)),0),0),
IF(OR(campo="""",campo=""-""),""NO APLICA"",
IF(col=0,""REVISAR EQUIVALENCIA"",
IF(fila=0,""SKU NO ENCONTRADO"",
LET(
valor,INDEX(Referencia!$A$2:$AZ6238,fila,col),
IF(TRIM(TO_TEXT(valor))=TRIM(TO_TEXT(I1314)),"&amp;"
""OK"",
""NO COINCIDE. Valor verdadero: ""&amp;IF(valor="""",""[VACÍO]"",TO_TEXT(valor))
)
))))
),""ERROR EN FÓRMULA""))"),"OK")</f>
        <v>OK</v>
      </c>
    </row>
    <row r="1315">
      <c r="A1315" s="83" t="s">
        <v>4618</v>
      </c>
      <c r="B1315" s="83" t="s">
        <v>4619</v>
      </c>
      <c r="C1315" s="81" t="s">
        <v>4621</v>
      </c>
      <c r="D1315" s="83" t="s">
        <v>4281</v>
      </c>
      <c r="E1315" s="81" t="s">
        <v>1119</v>
      </c>
      <c r="F1315" s="84">
        <v>220.0</v>
      </c>
      <c r="G1315" s="81" t="s">
        <v>44</v>
      </c>
      <c r="H1315" s="81" t="s">
        <v>224</v>
      </c>
      <c r="I1315" s="81" t="s">
        <v>1051</v>
      </c>
      <c r="J1315" s="81" t="s">
        <v>4088</v>
      </c>
      <c r="K1315" s="81" t="str">
        <f>IFERROR(__xludf.DUMMYFUNCTION("IF(OR(D1315="""",G1315=""""),"""",IFERROR(LET(
campo,XLOOKUP(TRIM(G1315),ARRAYFORMULA(TRIM('indice columnas'!$A$2:$A$100)),'indice columnas'!$B$2:$B$100,""""),
col,IFERROR(MATCH(campo,Referencia!$A$1:$AZ$1,0),0),
fila,IFERROR(MATCH(TO_TEXT(D1315),ARRAYFOR"&amp;"MULA(TO_TEXT(Referencia!$A$2:$A6238)),0),0),
IF(OR(campo="""",campo=""-""),""NO APLICA"",
IF(col=0,""REVISAR EQUIVALENCIA"",
IF(fila=0,""SKU NO ENCONTRADO"",
LET(
valor,INDEX(Referencia!$A$2:$AZ6238,fila,col),
IF(TRIM(TO_TEXT(valor))=TRIM(TO_TEXT(I1315)),"&amp;"
""OK"",
""NO COINCIDE. Valor verdadero: ""&amp;IF(valor="""",""[VACÍO]"",TO_TEXT(valor))
)
))))
),""ERROR EN FÓRMULA""))"),"NO APLICA")</f>
        <v>NO APLICA</v>
      </c>
    </row>
    <row r="1316">
      <c r="A1316" s="83" t="s">
        <v>4618</v>
      </c>
      <c r="B1316" s="83" t="s">
        <v>4619</v>
      </c>
      <c r="C1316" s="81" t="s">
        <v>4621</v>
      </c>
      <c r="D1316" s="83" t="s">
        <v>4282</v>
      </c>
      <c r="E1316" s="81" t="s">
        <v>1120</v>
      </c>
      <c r="F1316" s="84">
        <v>221.0</v>
      </c>
      <c r="G1316" s="81" t="s">
        <v>12</v>
      </c>
      <c r="H1316" s="81" t="s">
        <v>224</v>
      </c>
      <c r="I1316" s="81" t="s">
        <v>55</v>
      </c>
      <c r="J1316" s="81" t="s">
        <v>224</v>
      </c>
      <c r="K1316" s="81" t="str">
        <f>IFERROR(__xludf.DUMMYFUNCTION("IF(OR(D1316="""",G1316=""""),"""",IFERROR(LET(
campo,XLOOKUP(TRIM(G1316),ARRAYFORMULA(TRIM('indice columnas'!$A$2:$A$100)),'indice columnas'!$B$2:$B$100,""""),
col,IFERROR(MATCH(campo,Referencia!$A$1:$AZ$1,0),0),
fila,IFERROR(MATCH(TO_TEXT(D1316),ARRAYFOR"&amp;"MULA(TO_TEXT(Referencia!$A$2:$A6238)),0),0),
IF(OR(campo="""",campo=""-""),""NO APLICA"",
IF(col=0,""REVISAR EQUIVALENCIA"",
IF(fila=0,""SKU NO ENCONTRADO"",
LET(
valor,INDEX(Referencia!$A$2:$AZ6238,fila,col),
IF(TRIM(TO_TEXT(valor))=TRIM(TO_TEXT(I1316)),"&amp;"
""OK"",
""NO COINCIDE. Valor verdadero: ""&amp;IF(valor="""",""[VACÍO]"",TO_TEXT(valor))
)
))))
),""ERROR EN FÓRMULA""))"),"OK")</f>
        <v>OK</v>
      </c>
    </row>
    <row r="1317">
      <c r="A1317" s="83" t="s">
        <v>4618</v>
      </c>
      <c r="B1317" s="83" t="s">
        <v>4619</v>
      </c>
      <c r="C1317" s="81" t="s">
        <v>4621</v>
      </c>
      <c r="D1317" s="83" t="s">
        <v>4282</v>
      </c>
      <c r="E1317" s="81" t="s">
        <v>1120</v>
      </c>
      <c r="F1317" s="84">
        <v>221.0</v>
      </c>
      <c r="G1317" s="81" t="s">
        <v>44</v>
      </c>
      <c r="H1317" s="81" t="s">
        <v>224</v>
      </c>
      <c r="I1317" s="81" t="s">
        <v>1051</v>
      </c>
      <c r="J1317" s="81" t="s">
        <v>4088</v>
      </c>
      <c r="K1317" s="81" t="str">
        <f>IFERROR(__xludf.DUMMYFUNCTION("IF(OR(D1317="""",G1317=""""),"""",IFERROR(LET(
campo,XLOOKUP(TRIM(G1317),ARRAYFORMULA(TRIM('indice columnas'!$A$2:$A$100)),'indice columnas'!$B$2:$B$100,""""),
col,IFERROR(MATCH(campo,Referencia!$A$1:$AZ$1,0),0),
fila,IFERROR(MATCH(TO_TEXT(D1317),ARRAYFOR"&amp;"MULA(TO_TEXT(Referencia!$A$2:$A6238)),0),0),
IF(OR(campo="""",campo=""-""),""NO APLICA"",
IF(col=0,""REVISAR EQUIVALENCIA"",
IF(fila=0,""SKU NO ENCONTRADO"",
LET(
valor,INDEX(Referencia!$A$2:$AZ6238,fila,col),
IF(TRIM(TO_TEXT(valor))=TRIM(TO_TEXT(I1317)),"&amp;"
""OK"",
""NO COINCIDE. Valor verdadero: ""&amp;IF(valor="""",""[VACÍO]"",TO_TEXT(valor))
)
))))
),""ERROR EN FÓRMULA""))"),"NO APLICA")</f>
        <v>NO APLICA</v>
      </c>
    </row>
    <row r="1318">
      <c r="A1318" s="83" t="s">
        <v>4618</v>
      </c>
      <c r="B1318" s="83" t="s">
        <v>4619</v>
      </c>
      <c r="C1318" s="81" t="s">
        <v>4621</v>
      </c>
      <c r="D1318" s="83" t="s">
        <v>4283</v>
      </c>
      <c r="E1318" s="81" t="s">
        <v>1123</v>
      </c>
      <c r="F1318" s="84">
        <v>222.0</v>
      </c>
      <c r="G1318" s="81" t="s">
        <v>44</v>
      </c>
      <c r="H1318" s="81" t="s">
        <v>224</v>
      </c>
      <c r="I1318" s="81" t="s">
        <v>1051</v>
      </c>
      <c r="J1318" s="81" t="s">
        <v>4088</v>
      </c>
      <c r="K1318" s="81" t="str">
        <f>IFERROR(__xludf.DUMMYFUNCTION("IF(OR(D1318="""",G1318=""""),"""",IFERROR(LET(
campo,XLOOKUP(TRIM(G1318),ARRAYFORMULA(TRIM('indice columnas'!$A$2:$A$100)),'indice columnas'!$B$2:$B$100,""""),
col,IFERROR(MATCH(campo,Referencia!$A$1:$AZ$1,0),0),
fila,IFERROR(MATCH(TO_TEXT(D1318),ARRAYFOR"&amp;"MULA(TO_TEXT(Referencia!$A$2:$A6238)),0),0),
IF(OR(campo="""",campo=""-""),""NO APLICA"",
IF(col=0,""REVISAR EQUIVALENCIA"",
IF(fila=0,""SKU NO ENCONTRADO"",
LET(
valor,INDEX(Referencia!$A$2:$AZ6238,fila,col),
IF(TRIM(TO_TEXT(valor))=TRIM(TO_TEXT(I1318)),"&amp;"
""OK"",
""NO COINCIDE. Valor verdadero: ""&amp;IF(valor="""",""[VACÍO]"",TO_TEXT(valor))
)
))))
),""ERROR EN FÓRMULA""))"),"NO APLICA")</f>
        <v>NO APLICA</v>
      </c>
    </row>
    <row r="1319">
      <c r="A1319" s="83" t="s">
        <v>4618</v>
      </c>
      <c r="B1319" s="83" t="s">
        <v>4619</v>
      </c>
      <c r="C1319" s="81" t="s">
        <v>4621</v>
      </c>
      <c r="D1319" s="83" t="s">
        <v>4283</v>
      </c>
      <c r="E1319" s="81" t="s">
        <v>1129</v>
      </c>
      <c r="F1319" s="84">
        <v>223.0</v>
      </c>
      <c r="G1319" s="81" t="s">
        <v>12</v>
      </c>
      <c r="H1319" s="81" t="s">
        <v>224</v>
      </c>
      <c r="I1319" s="81" t="s">
        <v>55</v>
      </c>
      <c r="J1319" s="81" t="s">
        <v>224</v>
      </c>
      <c r="K1319" s="81" t="str">
        <f>IFERROR(__xludf.DUMMYFUNCTION("IF(OR(D1319="""",G1319=""""),"""",IFERROR(LET(
campo,XLOOKUP(TRIM(G1319),ARRAYFORMULA(TRIM('indice columnas'!$A$2:$A$100)),'indice columnas'!$B$2:$B$100,""""),
col,IFERROR(MATCH(campo,Referencia!$A$1:$AZ$1,0),0),
fila,IFERROR(MATCH(TO_TEXT(D1319),ARRAYFOR"&amp;"MULA(TO_TEXT(Referencia!$A$2:$A6238)),0),0),
IF(OR(campo="""",campo=""-""),""NO APLICA"",
IF(col=0,""REVISAR EQUIVALENCIA"",
IF(fila=0,""SKU NO ENCONTRADO"",
LET(
valor,INDEX(Referencia!$A$2:$AZ6238,fila,col),
IF(TRIM(TO_TEXT(valor))=TRIM(TO_TEXT(I1319)),"&amp;"
""OK"",
""NO COINCIDE. Valor verdadero: ""&amp;IF(valor="""",""[VACÍO]"",TO_TEXT(valor))
)
))))
),""ERROR EN FÓRMULA""))"),"OK")</f>
        <v>OK</v>
      </c>
    </row>
    <row r="1320">
      <c r="A1320" s="83" t="s">
        <v>4618</v>
      </c>
      <c r="B1320" s="83" t="s">
        <v>4619</v>
      </c>
      <c r="C1320" s="81" t="s">
        <v>4621</v>
      </c>
      <c r="D1320" s="83" t="s">
        <v>4283</v>
      </c>
      <c r="E1320" s="81" t="s">
        <v>1129</v>
      </c>
      <c r="F1320" s="84">
        <v>223.0</v>
      </c>
      <c r="G1320" s="81" t="s">
        <v>44</v>
      </c>
      <c r="H1320" s="81" t="s">
        <v>224</v>
      </c>
      <c r="I1320" s="81" t="s">
        <v>1051</v>
      </c>
      <c r="J1320" s="81" t="s">
        <v>4088</v>
      </c>
      <c r="K1320" s="81" t="str">
        <f>IFERROR(__xludf.DUMMYFUNCTION("IF(OR(D1320="""",G1320=""""),"""",IFERROR(LET(
campo,XLOOKUP(TRIM(G1320),ARRAYFORMULA(TRIM('indice columnas'!$A$2:$A$100)),'indice columnas'!$B$2:$B$100,""""),
col,IFERROR(MATCH(campo,Referencia!$A$1:$AZ$1,0),0),
fila,IFERROR(MATCH(TO_TEXT(D1320),ARRAYFOR"&amp;"MULA(TO_TEXT(Referencia!$A$2:$A6238)),0),0),
IF(OR(campo="""",campo=""-""),""NO APLICA"",
IF(col=0,""REVISAR EQUIVALENCIA"",
IF(fila=0,""SKU NO ENCONTRADO"",
LET(
valor,INDEX(Referencia!$A$2:$AZ6238,fila,col),
IF(TRIM(TO_TEXT(valor))=TRIM(TO_TEXT(I1320)),"&amp;"
""OK"",
""NO COINCIDE. Valor verdadero: ""&amp;IF(valor="""",""[VACÍO]"",TO_TEXT(valor))
)
))))
),""ERROR EN FÓRMULA""))"),"NO APLICA")</f>
        <v>NO APLICA</v>
      </c>
    </row>
    <row r="1321">
      <c r="A1321" s="83" t="s">
        <v>4618</v>
      </c>
      <c r="B1321" s="83" t="s">
        <v>4619</v>
      </c>
      <c r="C1321" s="81" t="s">
        <v>4621</v>
      </c>
      <c r="D1321" s="83" t="s">
        <v>4284</v>
      </c>
      <c r="E1321" s="81" t="s">
        <v>1130</v>
      </c>
      <c r="F1321" s="84">
        <v>224.0</v>
      </c>
      <c r="G1321" s="81" t="s">
        <v>12</v>
      </c>
      <c r="H1321" s="81" t="s">
        <v>224</v>
      </c>
      <c r="I1321" s="81" t="s">
        <v>55</v>
      </c>
      <c r="J1321" s="81" t="s">
        <v>224</v>
      </c>
      <c r="K1321" s="81" t="str">
        <f>IFERROR(__xludf.DUMMYFUNCTION("IF(OR(D1321="""",G1321=""""),"""",IFERROR(LET(
campo,XLOOKUP(TRIM(G1321),ARRAYFORMULA(TRIM('indice columnas'!$A$2:$A$100)),'indice columnas'!$B$2:$B$100,""""),
col,IFERROR(MATCH(campo,Referencia!$A$1:$AZ$1,0),0),
fila,IFERROR(MATCH(TO_TEXT(D1321),ARRAYFOR"&amp;"MULA(TO_TEXT(Referencia!$A$2:$A6238)),0),0),
IF(OR(campo="""",campo=""-""),""NO APLICA"",
IF(col=0,""REVISAR EQUIVALENCIA"",
IF(fila=0,""SKU NO ENCONTRADO"",
LET(
valor,INDEX(Referencia!$A$2:$AZ6238,fila,col),
IF(TRIM(TO_TEXT(valor))=TRIM(TO_TEXT(I1321)),"&amp;"
""OK"",
""NO COINCIDE. Valor verdadero: ""&amp;IF(valor="""",""[VACÍO]"",TO_TEXT(valor))
)
))))
),""ERROR EN FÓRMULA""))"),"OK")</f>
        <v>OK</v>
      </c>
    </row>
    <row r="1322">
      <c r="A1322" s="83" t="s">
        <v>4618</v>
      </c>
      <c r="B1322" s="83" t="s">
        <v>4619</v>
      </c>
      <c r="C1322" s="81" t="s">
        <v>4621</v>
      </c>
      <c r="D1322" s="83" t="s">
        <v>4284</v>
      </c>
      <c r="E1322" s="81" t="s">
        <v>1130</v>
      </c>
      <c r="F1322" s="84">
        <v>224.0</v>
      </c>
      <c r="G1322" s="81" t="s">
        <v>44</v>
      </c>
      <c r="H1322" s="81" t="s">
        <v>224</v>
      </c>
      <c r="I1322" s="81" t="s">
        <v>1051</v>
      </c>
      <c r="J1322" s="81" t="s">
        <v>4088</v>
      </c>
      <c r="K1322" s="81" t="str">
        <f>IFERROR(__xludf.DUMMYFUNCTION("IF(OR(D1322="""",G1322=""""),"""",IFERROR(LET(
campo,XLOOKUP(TRIM(G1322),ARRAYFORMULA(TRIM('indice columnas'!$A$2:$A$100)),'indice columnas'!$B$2:$B$100,""""),
col,IFERROR(MATCH(campo,Referencia!$A$1:$AZ$1,0),0),
fila,IFERROR(MATCH(TO_TEXT(D1322),ARRAYFOR"&amp;"MULA(TO_TEXT(Referencia!$A$2:$A6238)),0),0),
IF(OR(campo="""",campo=""-""),""NO APLICA"",
IF(col=0,""REVISAR EQUIVALENCIA"",
IF(fila=0,""SKU NO ENCONTRADO"",
LET(
valor,INDEX(Referencia!$A$2:$AZ6238,fila,col),
IF(TRIM(TO_TEXT(valor))=TRIM(TO_TEXT(I1322)),"&amp;"
""OK"",
""NO COINCIDE. Valor verdadero: ""&amp;IF(valor="""",""[VACÍO]"",TO_TEXT(valor))
)
))))
),""ERROR EN FÓRMULA""))"),"NO APLICA")</f>
        <v>NO APLICA</v>
      </c>
    </row>
    <row r="1323">
      <c r="A1323" s="83" t="s">
        <v>4618</v>
      </c>
      <c r="B1323" s="83" t="s">
        <v>4619</v>
      </c>
      <c r="C1323" s="81" t="s">
        <v>4621</v>
      </c>
      <c r="D1323" s="83" t="s">
        <v>4285</v>
      </c>
      <c r="E1323" s="81" t="s">
        <v>1133</v>
      </c>
      <c r="F1323" s="84">
        <v>225.0</v>
      </c>
      <c r="G1323" s="81" t="s">
        <v>7</v>
      </c>
      <c r="H1323" s="81" t="s">
        <v>53</v>
      </c>
      <c r="I1323" s="81" t="s">
        <v>1134</v>
      </c>
      <c r="J1323" s="81" t="s">
        <v>224</v>
      </c>
      <c r="K1323" s="81" t="str">
        <f>IFERROR(__xludf.DUMMYFUNCTION("IF(OR(D1323="""",G1323=""""),"""",IFERROR(LET(
campo,XLOOKUP(TRIM(G1323),ARRAYFORMULA(TRIM('indice columnas'!$A$2:$A$100)),'indice columnas'!$B$2:$B$100,""""),
col,IFERROR(MATCH(campo,Referencia!$A$1:$AZ$1,0),0),
fila,IFERROR(MATCH(TO_TEXT(D1323),ARRAYFOR"&amp;"MULA(TO_TEXT(Referencia!$A$2:$A6238)),0),0),
IF(OR(campo="""",campo=""-""),""NO APLICA"",
IF(col=0,""REVISAR EQUIVALENCIA"",
IF(fila=0,""SKU NO ENCONTRADO"",
LET(
valor,INDEX(Referencia!$A$2:$AZ6238,fila,col),
IF(TRIM(TO_TEXT(valor))=TRIM(TO_TEXT(I1323)),"&amp;"
""OK"",
""NO COINCIDE. Valor verdadero: ""&amp;IF(valor="""",""[VACÍO]"",TO_TEXT(valor))
)
))))
),""ERROR EN FÓRMULA""))"),"REVISAR EQUIVALENCIA")</f>
        <v>REVISAR EQUIVALENCIA</v>
      </c>
    </row>
    <row r="1324">
      <c r="A1324" s="83" t="s">
        <v>4618</v>
      </c>
      <c r="B1324" s="83" t="s">
        <v>4619</v>
      </c>
      <c r="C1324" s="81" t="s">
        <v>4621</v>
      </c>
      <c r="D1324" s="83" t="s">
        <v>4285</v>
      </c>
      <c r="E1324" s="81" t="s">
        <v>1133</v>
      </c>
      <c r="F1324" s="84">
        <v>225.0</v>
      </c>
      <c r="G1324" s="81" t="s">
        <v>12</v>
      </c>
      <c r="H1324" s="81" t="s">
        <v>224</v>
      </c>
      <c r="I1324" s="81" t="s">
        <v>55</v>
      </c>
      <c r="J1324" s="81" t="s">
        <v>224</v>
      </c>
      <c r="K1324" s="81" t="str">
        <f>IFERROR(__xludf.DUMMYFUNCTION("IF(OR(D1324="""",G1324=""""),"""",IFERROR(LET(
campo,XLOOKUP(TRIM(G1324),ARRAYFORMULA(TRIM('indice columnas'!$A$2:$A$100)),'indice columnas'!$B$2:$B$100,""""),
col,IFERROR(MATCH(campo,Referencia!$A$1:$AZ$1,0),0),
fila,IFERROR(MATCH(TO_TEXT(D1324),ARRAYFOR"&amp;"MULA(TO_TEXT(Referencia!$A$2:$A6238)),0),0),
IF(OR(campo="""",campo=""-""),""NO APLICA"",
IF(col=0,""REVISAR EQUIVALENCIA"",
IF(fila=0,""SKU NO ENCONTRADO"",
LET(
valor,INDEX(Referencia!$A$2:$AZ6238,fila,col),
IF(TRIM(TO_TEXT(valor))=TRIM(TO_TEXT(I1324)),"&amp;"
""OK"",
""NO COINCIDE. Valor verdadero: ""&amp;IF(valor="""",""[VACÍO]"",TO_TEXT(valor))
)
))))
),""ERROR EN FÓRMULA""))"),"OK")</f>
        <v>OK</v>
      </c>
    </row>
    <row r="1325">
      <c r="A1325" s="83" t="s">
        <v>4618</v>
      </c>
      <c r="B1325" s="83" t="s">
        <v>4619</v>
      </c>
      <c r="C1325" s="81" t="s">
        <v>4621</v>
      </c>
      <c r="D1325" s="83" t="s">
        <v>4285</v>
      </c>
      <c r="E1325" s="81" t="s">
        <v>1133</v>
      </c>
      <c r="F1325" s="84">
        <v>225.0</v>
      </c>
      <c r="G1325" s="81" t="s">
        <v>14</v>
      </c>
      <c r="H1325" s="81" t="s">
        <v>4258</v>
      </c>
      <c r="I1325" s="81" t="s">
        <v>228</v>
      </c>
      <c r="J1325" s="81" t="s">
        <v>224</v>
      </c>
      <c r="K1325" s="81" t="str">
        <f>IFERROR(__xludf.DUMMYFUNCTION("IF(OR(D1325="""",G1325=""""),"""",IFERROR(LET(
campo,XLOOKUP(TRIM(G1325),ARRAYFORMULA(TRIM('indice columnas'!$A$2:$A$100)),'indice columnas'!$B$2:$B$100,""""),
col,IFERROR(MATCH(campo,Referencia!$A$1:$AZ$1,0),0),
fila,IFERROR(MATCH(TO_TEXT(D1325),ARRAYFOR"&amp;"MULA(TO_TEXT(Referencia!$A$2:$A6238)),0),0),
IF(OR(campo="""",campo=""-""),""NO APLICA"",
IF(col=0,""REVISAR EQUIVALENCIA"",
IF(fila=0,""SKU NO ENCONTRADO"",
LET(
valor,INDEX(Referencia!$A$2:$AZ6238,fila,col),
IF(TRIM(TO_TEXT(valor))=TRIM(TO_TEXT(I1325)),"&amp;"
""OK"",
""NO COINCIDE. Valor verdadero: ""&amp;IF(valor="""",""[VACÍO]"",TO_TEXT(valor))
)
))))
),""ERROR EN FÓRMULA""))"),"NO COINCIDE. Valor verdadero: 220")</f>
        <v>NO COINCIDE. Valor verdadero: 220</v>
      </c>
    </row>
    <row r="1326">
      <c r="A1326" s="83" t="s">
        <v>4618</v>
      </c>
      <c r="B1326" s="83" t="s">
        <v>4619</v>
      </c>
      <c r="C1326" s="81" t="s">
        <v>4621</v>
      </c>
      <c r="D1326" s="83" t="s">
        <v>4285</v>
      </c>
      <c r="E1326" s="81" t="s">
        <v>1133</v>
      </c>
      <c r="F1326" s="84">
        <v>225.0</v>
      </c>
      <c r="G1326" s="81" t="s">
        <v>29</v>
      </c>
      <c r="H1326" s="81" t="s">
        <v>4286</v>
      </c>
      <c r="I1326" s="81" t="s">
        <v>1135</v>
      </c>
      <c r="J1326" s="81" t="s">
        <v>224</v>
      </c>
      <c r="K1326" s="81" t="str">
        <f>IFERROR(__xludf.DUMMYFUNCTION("IF(OR(D1326="""",G1326=""""),"""",IFERROR(LET(
campo,XLOOKUP(TRIM(G1326),ARRAYFORMULA(TRIM('indice columnas'!$A$2:$A$100)),'indice columnas'!$B$2:$B$100,""""),
col,IFERROR(MATCH(campo,Referencia!$A$1:$AZ$1,0),0),
fila,IFERROR(MATCH(TO_TEXT(D1326),ARRAYFOR"&amp;"MULA(TO_TEXT(Referencia!$A$2:$A6238)),0),0),
IF(OR(campo="""",campo=""-""),""NO APLICA"",
IF(col=0,""REVISAR EQUIVALENCIA"",
IF(fila=0,""SKU NO ENCONTRADO"",
LET(
valor,INDEX(Referencia!$A$2:$AZ6238,fila,col),
IF(TRIM(TO_TEXT(valor))=TRIM(TO_TEXT(I1326)),"&amp;"
""OK"",
""NO COINCIDE. Valor verdadero: ""&amp;IF(valor="""",""[VACÍO]"",TO_TEXT(valor))
)
))))
),""ERROR EN FÓRMULA""))"),"NO COINCIDE. Valor verdadero: 32 x 36 x 3000 (Ancho x Alto x Largo)")</f>
        <v>NO COINCIDE. Valor verdadero: 32 x 36 x 3000 (Ancho x Alto x Largo)</v>
      </c>
    </row>
    <row r="1327">
      <c r="A1327" s="83" t="s">
        <v>4618</v>
      </c>
      <c r="B1327" s="83" t="s">
        <v>4619</v>
      </c>
      <c r="C1327" s="81" t="s">
        <v>4621</v>
      </c>
      <c r="D1327" s="83" t="s">
        <v>4285</v>
      </c>
      <c r="E1327" s="81" t="s">
        <v>1133</v>
      </c>
      <c r="F1327" s="84">
        <v>225.0</v>
      </c>
      <c r="G1327" s="81" t="s">
        <v>44</v>
      </c>
      <c r="H1327" s="81" t="s">
        <v>224</v>
      </c>
      <c r="I1327" s="81" t="s">
        <v>1051</v>
      </c>
      <c r="J1327" s="81" t="s">
        <v>4088</v>
      </c>
      <c r="K1327" s="81" t="str">
        <f>IFERROR(__xludf.DUMMYFUNCTION("IF(OR(D1327="""",G1327=""""),"""",IFERROR(LET(
campo,XLOOKUP(TRIM(G1327),ARRAYFORMULA(TRIM('indice columnas'!$A$2:$A$100)),'indice columnas'!$B$2:$B$100,""""),
col,IFERROR(MATCH(campo,Referencia!$A$1:$AZ$1,0),0),
fila,IFERROR(MATCH(TO_TEXT(D1327),ARRAYFOR"&amp;"MULA(TO_TEXT(Referencia!$A$2:$A6238)),0),0),
IF(OR(campo="""",campo=""-""),""NO APLICA"",
IF(col=0,""REVISAR EQUIVALENCIA"",
IF(fila=0,""SKU NO ENCONTRADO"",
LET(
valor,INDEX(Referencia!$A$2:$AZ6238,fila,col),
IF(TRIM(TO_TEXT(valor))=TRIM(TO_TEXT(I1327)),"&amp;"
""OK"",
""NO COINCIDE. Valor verdadero: ""&amp;IF(valor="""",""[VACÍO]"",TO_TEXT(valor))
)
))))
),""ERROR EN FÓRMULA""))"),"NO APLICA")</f>
        <v>NO APLICA</v>
      </c>
    </row>
    <row r="1328">
      <c r="A1328" s="83" t="s">
        <v>4618</v>
      </c>
      <c r="B1328" s="83" t="s">
        <v>4619</v>
      </c>
      <c r="C1328" s="81" t="s">
        <v>4621</v>
      </c>
      <c r="D1328" s="83" t="s">
        <v>4287</v>
      </c>
      <c r="E1328" s="81" t="s">
        <v>1138</v>
      </c>
      <c r="F1328" s="84">
        <v>226.0</v>
      </c>
      <c r="G1328" s="81" t="s">
        <v>7</v>
      </c>
      <c r="H1328" s="81" t="s">
        <v>53</v>
      </c>
      <c r="I1328" s="81" t="s">
        <v>1134</v>
      </c>
      <c r="J1328" s="81" t="s">
        <v>224</v>
      </c>
      <c r="K1328" s="81" t="str">
        <f>IFERROR(__xludf.DUMMYFUNCTION("IF(OR(D1328="""",G1328=""""),"""",IFERROR(LET(
campo,XLOOKUP(TRIM(G1328),ARRAYFORMULA(TRIM('indice columnas'!$A$2:$A$100)),'indice columnas'!$B$2:$B$100,""""),
col,IFERROR(MATCH(campo,Referencia!$A$1:$AZ$1,0),0),
fila,IFERROR(MATCH(TO_TEXT(D1328),ARRAYFOR"&amp;"MULA(TO_TEXT(Referencia!$A$2:$A6238)),0),0),
IF(OR(campo="""",campo=""-""),""NO APLICA"",
IF(col=0,""REVISAR EQUIVALENCIA"",
IF(fila=0,""SKU NO ENCONTRADO"",
LET(
valor,INDEX(Referencia!$A$2:$AZ6238,fila,col),
IF(TRIM(TO_TEXT(valor))=TRIM(TO_TEXT(I1328)),"&amp;"
""OK"",
""NO COINCIDE. Valor verdadero: ""&amp;IF(valor="""",""[VACÍO]"",TO_TEXT(valor))
)
))))
),""ERROR EN FÓRMULA""))"),"REVISAR EQUIVALENCIA")</f>
        <v>REVISAR EQUIVALENCIA</v>
      </c>
    </row>
    <row r="1329">
      <c r="A1329" s="83" t="s">
        <v>4618</v>
      </c>
      <c r="B1329" s="83" t="s">
        <v>4619</v>
      </c>
      <c r="C1329" s="81" t="s">
        <v>4621</v>
      </c>
      <c r="D1329" s="83" t="s">
        <v>4287</v>
      </c>
      <c r="E1329" s="81" t="s">
        <v>1138</v>
      </c>
      <c r="F1329" s="84">
        <v>226.0</v>
      </c>
      <c r="G1329" s="81" t="s">
        <v>12</v>
      </c>
      <c r="H1329" s="81" t="s">
        <v>224</v>
      </c>
      <c r="I1329" s="81" t="s">
        <v>55</v>
      </c>
      <c r="J1329" s="81" t="s">
        <v>224</v>
      </c>
      <c r="K1329" s="81" t="str">
        <f>IFERROR(__xludf.DUMMYFUNCTION("IF(OR(D1329="""",G1329=""""),"""",IFERROR(LET(
campo,XLOOKUP(TRIM(G1329),ARRAYFORMULA(TRIM('indice columnas'!$A$2:$A$100)),'indice columnas'!$B$2:$B$100,""""),
col,IFERROR(MATCH(campo,Referencia!$A$1:$AZ$1,0),0),
fila,IFERROR(MATCH(TO_TEXT(D1329),ARRAYFOR"&amp;"MULA(TO_TEXT(Referencia!$A$2:$A6238)),0),0),
IF(OR(campo="""",campo=""-""),""NO APLICA"",
IF(col=0,""REVISAR EQUIVALENCIA"",
IF(fila=0,""SKU NO ENCONTRADO"",
LET(
valor,INDEX(Referencia!$A$2:$AZ6238,fila,col),
IF(TRIM(TO_TEXT(valor))=TRIM(TO_TEXT(I1329)),"&amp;"
""OK"",
""NO COINCIDE. Valor verdadero: ""&amp;IF(valor="""",""[VACÍO]"",TO_TEXT(valor))
)
))))
),""ERROR EN FÓRMULA""))"),"OK")</f>
        <v>OK</v>
      </c>
    </row>
    <row r="1330">
      <c r="A1330" s="83" t="s">
        <v>4618</v>
      </c>
      <c r="B1330" s="83" t="s">
        <v>4619</v>
      </c>
      <c r="C1330" s="81" t="s">
        <v>4621</v>
      </c>
      <c r="D1330" s="83" t="s">
        <v>4287</v>
      </c>
      <c r="E1330" s="81" t="s">
        <v>1138</v>
      </c>
      <c r="F1330" s="84">
        <v>226.0</v>
      </c>
      <c r="G1330" s="81" t="s">
        <v>14</v>
      </c>
      <c r="H1330" s="81" t="s">
        <v>4258</v>
      </c>
      <c r="I1330" s="81" t="s">
        <v>228</v>
      </c>
      <c r="J1330" s="81" t="s">
        <v>224</v>
      </c>
      <c r="K1330" s="81" t="str">
        <f>IFERROR(__xludf.DUMMYFUNCTION("IF(OR(D1330="""",G1330=""""),"""",IFERROR(LET(
campo,XLOOKUP(TRIM(G1330),ARRAYFORMULA(TRIM('indice columnas'!$A$2:$A$100)),'indice columnas'!$B$2:$B$100,""""),
col,IFERROR(MATCH(campo,Referencia!$A$1:$AZ$1,0),0),
fila,IFERROR(MATCH(TO_TEXT(D1330),ARRAYFOR"&amp;"MULA(TO_TEXT(Referencia!$A$2:$A6238)),0),0),
IF(OR(campo="""",campo=""-""),""NO APLICA"",
IF(col=0,""REVISAR EQUIVALENCIA"",
IF(fila=0,""SKU NO ENCONTRADO"",
LET(
valor,INDEX(Referencia!$A$2:$AZ6238,fila,col),
IF(TRIM(TO_TEXT(valor))=TRIM(TO_TEXT(I1330)),"&amp;"
""OK"",
""NO COINCIDE. Valor verdadero: ""&amp;IF(valor="""",""[VACÍO]"",TO_TEXT(valor))
)
))))
),""ERROR EN FÓRMULA""))"),"NO COINCIDE. Valor verdadero: 220")</f>
        <v>NO COINCIDE. Valor verdadero: 220</v>
      </c>
    </row>
    <row r="1331">
      <c r="A1331" s="83" t="s">
        <v>4618</v>
      </c>
      <c r="B1331" s="83" t="s">
        <v>4619</v>
      </c>
      <c r="C1331" s="81" t="s">
        <v>4621</v>
      </c>
      <c r="D1331" s="83" t="s">
        <v>4287</v>
      </c>
      <c r="E1331" s="81" t="s">
        <v>1138</v>
      </c>
      <c r="F1331" s="84">
        <v>226.0</v>
      </c>
      <c r="G1331" s="81" t="s">
        <v>29</v>
      </c>
      <c r="H1331" s="81" t="s">
        <v>4288</v>
      </c>
      <c r="I1331" s="81" t="s">
        <v>1139</v>
      </c>
      <c r="J1331" s="81" t="s">
        <v>224</v>
      </c>
      <c r="K1331" s="81" t="str">
        <f>IFERROR(__xludf.DUMMYFUNCTION("IF(OR(D1331="""",G1331=""""),"""",IFERROR(LET(
campo,XLOOKUP(TRIM(G1331),ARRAYFORMULA(TRIM('indice columnas'!$A$2:$A$100)),'indice columnas'!$B$2:$B$100,""""),
col,IFERROR(MATCH(campo,Referencia!$A$1:$AZ$1,0),0),
fila,IFERROR(MATCH(TO_TEXT(D1331),ARRAYFOR"&amp;"MULA(TO_TEXT(Referencia!$A$2:$A6238)),0),0),
IF(OR(campo="""",campo=""-""),""NO APLICA"",
IF(col=0,""REVISAR EQUIVALENCIA"",
IF(fila=0,""SKU NO ENCONTRADO"",
LET(
valor,INDEX(Referencia!$A$2:$AZ6238,fila,col),
IF(TRIM(TO_TEXT(valor))=TRIM(TO_TEXT(I1331)),"&amp;"
""OK"",
""NO COINCIDE. Valor verdadero: ""&amp;IF(valor="""",""[VACÍO]"",TO_TEXT(valor))
)
))))
),""ERROR EN FÓRMULA""))"),"NO COINCIDE. Valor verdadero: 32 x 36 x 1000 (Ancho x Alto x Largo)")</f>
        <v>NO COINCIDE. Valor verdadero: 32 x 36 x 1000 (Ancho x Alto x Largo)</v>
      </c>
    </row>
    <row r="1332">
      <c r="A1332" s="83" t="s">
        <v>4618</v>
      </c>
      <c r="B1332" s="83" t="s">
        <v>4619</v>
      </c>
      <c r="C1332" s="81" t="s">
        <v>4621</v>
      </c>
      <c r="D1332" s="83" t="s">
        <v>4287</v>
      </c>
      <c r="E1332" s="81" t="s">
        <v>1138</v>
      </c>
      <c r="F1332" s="84">
        <v>226.0</v>
      </c>
      <c r="G1332" s="81" t="s">
        <v>44</v>
      </c>
      <c r="H1332" s="81" t="s">
        <v>224</v>
      </c>
      <c r="I1332" s="81" t="s">
        <v>1051</v>
      </c>
      <c r="J1332" s="81" t="s">
        <v>4088</v>
      </c>
      <c r="K1332" s="81" t="str">
        <f>IFERROR(__xludf.DUMMYFUNCTION("IF(OR(D1332="""",G1332=""""),"""",IFERROR(LET(
campo,XLOOKUP(TRIM(G1332),ARRAYFORMULA(TRIM('indice columnas'!$A$2:$A$100)),'indice columnas'!$B$2:$B$100,""""),
col,IFERROR(MATCH(campo,Referencia!$A$1:$AZ$1,0),0),
fila,IFERROR(MATCH(TO_TEXT(D1332),ARRAYFOR"&amp;"MULA(TO_TEXT(Referencia!$A$2:$A6238)),0),0),
IF(OR(campo="""",campo=""-""),""NO APLICA"",
IF(col=0,""REVISAR EQUIVALENCIA"",
IF(fila=0,""SKU NO ENCONTRADO"",
LET(
valor,INDEX(Referencia!$A$2:$AZ6238,fila,col),
IF(TRIM(TO_TEXT(valor))=TRIM(TO_TEXT(I1332)),"&amp;"
""OK"",
""NO COINCIDE. Valor verdadero: ""&amp;IF(valor="""",""[VACÍO]"",TO_TEXT(valor))
)
))))
),""ERROR EN FÓRMULA""))"),"NO APLICA")</f>
        <v>NO APLICA</v>
      </c>
    </row>
    <row r="1333">
      <c r="A1333" s="83" t="s">
        <v>4618</v>
      </c>
      <c r="B1333" s="83" t="s">
        <v>4619</v>
      </c>
      <c r="C1333" s="81" t="s">
        <v>4621</v>
      </c>
      <c r="D1333" s="83" t="s">
        <v>4289</v>
      </c>
      <c r="E1333" s="81" t="s">
        <v>1142</v>
      </c>
      <c r="F1333" s="84">
        <v>227.0</v>
      </c>
      <c r="G1333" s="81" t="s">
        <v>7</v>
      </c>
      <c r="H1333" s="81" t="s">
        <v>53</v>
      </c>
      <c r="I1333" s="81" t="s">
        <v>1134</v>
      </c>
      <c r="J1333" s="81" t="s">
        <v>224</v>
      </c>
      <c r="K1333" s="81" t="str">
        <f>IFERROR(__xludf.DUMMYFUNCTION("IF(OR(D1333="""",G1333=""""),"""",IFERROR(LET(
campo,XLOOKUP(TRIM(G1333),ARRAYFORMULA(TRIM('indice columnas'!$A$2:$A$100)),'indice columnas'!$B$2:$B$100,""""),
col,IFERROR(MATCH(campo,Referencia!$A$1:$AZ$1,0),0),
fila,IFERROR(MATCH(TO_TEXT(D1333),ARRAYFOR"&amp;"MULA(TO_TEXT(Referencia!$A$2:$A6238)),0),0),
IF(OR(campo="""",campo=""-""),""NO APLICA"",
IF(col=0,""REVISAR EQUIVALENCIA"",
IF(fila=0,""SKU NO ENCONTRADO"",
LET(
valor,INDEX(Referencia!$A$2:$AZ6238,fila,col),
IF(TRIM(TO_TEXT(valor))=TRIM(TO_TEXT(I1333)),"&amp;"
""OK"",
""NO COINCIDE. Valor verdadero: ""&amp;IF(valor="""",""[VACÍO]"",TO_TEXT(valor))
)
))))
),""ERROR EN FÓRMULA""))"),"REVISAR EQUIVALENCIA")</f>
        <v>REVISAR EQUIVALENCIA</v>
      </c>
    </row>
    <row r="1334">
      <c r="A1334" s="83" t="s">
        <v>4618</v>
      </c>
      <c r="B1334" s="83" t="s">
        <v>4619</v>
      </c>
      <c r="C1334" s="81" t="s">
        <v>4621</v>
      </c>
      <c r="D1334" s="83" t="s">
        <v>4289</v>
      </c>
      <c r="E1334" s="81" t="s">
        <v>1142</v>
      </c>
      <c r="F1334" s="84">
        <v>227.0</v>
      </c>
      <c r="G1334" s="81" t="s">
        <v>12</v>
      </c>
      <c r="H1334" s="81" t="s">
        <v>224</v>
      </c>
      <c r="I1334" s="81" t="s">
        <v>55</v>
      </c>
      <c r="J1334" s="81" t="s">
        <v>224</v>
      </c>
      <c r="K1334" s="81" t="str">
        <f>IFERROR(__xludf.DUMMYFUNCTION("IF(OR(D1334="""",G1334=""""),"""",IFERROR(LET(
campo,XLOOKUP(TRIM(G1334),ARRAYFORMULA(TRIM('indice columnas'!$A$2:$A$100)),'indice columnas'!$B$2:$B$100,""""),
col,IFERROR(MATCH(campo,Referencia!$A$1:$AZ$1,0),0),
fila,IFERROR(MATCH(TO_TEXT(D1334),ARRAYFOR"&amp;"MULA(TO_TEXT(Referencia!$A$2:$A6238)),0),0),
IF(OR(campo="""",campo=""-""),""NO APLICA"",
IF(col=0,""REVISAR EQUIVALENCIA"",
IF(fila=0,""SKU NO ENCONTRADO"",
LET(
valor,INDEX(Referencia!$A$2:$AZ6238,fila,col),
IF(TRIM(TO_TEXT(valor))=TRIM(TO_TEXT(I1334)),"&amp;"
""OK"",
""NO COINCIDE. Valor verdadero: ""&amp;IF(valor="""",""[VACÍO]"",TO_TEXT(valor))
)
))))
),""ERROR EN FÓRMULA""))"),"OK")</f>
        <v>OK</v>
      </c>
    </row>
    <row r="1335">
      <c r="A1335" s="83" t="s">
        <v>4618</v>
      </c>
      <c r="B1335" s="83" t="s">
        <v>4619</v>
      </c>
      <c r="C1335" s="81" t="s">
        <v>4621</v>
      </c>
      <c r="D1335" s="83" t="s">
        <v>4289</v>
      </c>
      <c r="E1335" s="81" t="s">
        <v>1142</v>
      </c>
      <c r="F1335" s="84">
        <v>227.0</v>
      </c>
      <c r="G1335" s="81" t="s">
        <v>14</v>
      </c>
      <c r="H1335" s="81" t="s">
        <v>4258</v>
      </c>
      <c r="I1335" s="81" t="s">
        <v>228</v>
      </c>
      <c r="J1335" s="81" t="s">
        <v>224</v>
      </c>
      <c r="K1335" s="81" t="str">
        <f>IFERROR(__xludf.DUMMYFUNCTION("IF(OR(D1335="""",G1335=""""),"""",IFERROR(LET(
campo,XLOOKUP(TRIM(G1335),ARRAYFORMULA(TRIM('indice columnas'!$A$2:$A$100)),'indice columnas'!$B$2:$B$100,""""),
col,IFERROR(MATCH(campo,Referencia!$A$1:$AZ$1,0),0),
fila,IFERROR(MATCH(TO_TEXT(D1335),ARRAYFOR"&amp;"MULA(TO_TEXT(Referencia!$A$2:$A6238)),0),0),
IF(OR(campo="""",campo=""-""),""NO APLICA"",
IF(col=0,""REVISAR EQUIVALENCIA"",
IF(fila=0,""SKU NO ENCONTRADO"",
LET(
valor,INDEX(Referencia!$A$2:$AZ6238,fila,col),
IF(TRIM(TO_TEXT(valor))=TRIM(TO_TEXT(I1335)),"&amp;"
""OK"",
""NO COINCIDE. Valor verdadero: ""&amp;IF(valor="""",""[VACÍO]"",TO_TEXT(valor))
)
))))
),""ERROR EN FÓRMULA""))"),"NO COINCIDE. Valor verdadero: 220")</f>
        <v>NO COINCIDE. Valor verdadero: 220</v>
      </c>
    </row>
    <row r="1336">
      <c r="A1336" s="83" t="s">
        <v>4618</v>
      </c>
      <c r="B1336" s="83" t="s">
        <v>4619</v>
      </c>
      <c r="C1336" s="81" t="s">
        <v>4621</v>
      </c>
      <c r="D1336" s="83" t="s">
        <v>4289</v>
      </c>
      <c r="E1336" s="81" t="s">
        <v>1142</v>
      </c>
      <c r="F1336" s="84">
        <v>227.0</v>
      </c>
      <c r="G1336" s="81" t="s">
        <v>29</v>
      </c>
      <c r="H1336" s="81" t="s">
        <v>4288</v>
      </c>
      <c r="I1336" s="81" t="s">
        <v>1139</v>
      </c>
      <c r="J1336" s="81" t="s">
        <v>224</v>
      </c>
      <c r="K1336" s="81" t="str">
        <f>IFERROR(__xludf.DUMMYFUNCTION("IF(OR(D1336="""",G1336=""""),"""",IFERROR(LET(
campo,XLOOKUP(TRIM(G1336),ARRAYFORMULA(TRIM('indice columnas'!$A$2:$A$100)),'indice columnas'!$B$2:$B$100,""""),
col,IFERROR(MATCH(campo,Referencia!$A$1:$AZ$1,0),0),
fila,IFERROR(MATCH(TO_TEXT(D1336),ARRAYFOR"&amp;"MULA(TO_TEXT(Referencia!$A$2:$A6238)),0),0),
IF(OR(campo="""",campo=""-""),""NO APLICA"",
IF(col=0,""REVISAR EQUIVALENCIA"",
IF(fila=0,""SKU NO ENCONTRADO"",
LET(
valor,INDEX(Referencia!$A$2:$AZ6238,fila,col),
IF(TRIM(TO_TEXT(valor))=TRIM(TO_TEXT(I1336)),"&amp;"
""OK"",
""NO COINCIDE. Valor verdadero: ""&amp;IF(valor="""",""[VACÍO]"",TO_TEXT(valor))
)
))))
),""ERROR EN FÓRMULA""))"),"NO COINCIDE. Valor verdadero: 32 x 36 x 1000 (Ancho x Alto x Largo)")</f>
        <v>NO COINCIDE. Valor verdadero: 32 x 36 x 1000 (Ancho x Alto x Largo)</v>
      </c>
    </row>
    <row r="1337">
      <c r="A1337" s="83" t="s">
        <v>4618</v>
      </c>
      <c r="B1337" s="83" t="s">
        <v>4619</v>
      </c>
      <c r="C1337" s="81" t="s">
        <v>4621</v>
      </c>
      <c r="D1337" s="83" t="s">
        <v>4289</v>
      </c>
      <c r="E1337" s="81" t="s">
        <v>1142</v>
      </c>
      <c r="F1337" s="84">
        <v>227.0</v>
      </c>
      <c r="G1337" s="81" t="s">
        <v>44</v>
      </c>
      <c r="H1337" s="81" t="s">
        <v>224</v>
      </c>
      <c r="I1337" s="81" t="s">
        <v>1051</v>
      </c>
      <c r="J1337" s="81" t="s">
        <v>4088</v>
      </c>
      <c r="K1337" s="81" t="str">
        <f>IFERROR(__xludf.DUMMYFUNCTION("IF(OR(D1337="""",G1337=""""),"""",IFERROR(LET(
campo,XLOOKUP(TRIM(G1337),ARRAYFORMULA(TRIM('indice columnas'!$A$2:$A$100)),'indice columnas'!$B$2:$B$100,""""),
col,IFERROR(MATCH(campo,Referencia!$A$1:$AZ$1,0),0),
fila,IFERROR(MATCH(TO_TEXT(D1337),ARRAYFOR"&amp;"MULA(TO_TEXT(Referencia!$A$2:$A6238)),0),0),
IF(OR(campo="""",campo=""-""),""NO APLICA"",
IF(col=0,""REVISAR EQUIVALENCIA"",
IF(fila=0,""SKU NO ENCONTRADO"",
LET(
valor,INDEX(Referencia!$A$2:$AZ6238,fila,col),
IF(TRIM(TO_TEXT(valor))=TRIM(TO_TEXT(I1337)),"&amp;"
""OK"",
""NO COINCIDE. Valor verdadero: ""&amp;IF(valor="""",""[VACÍO]"",TO_TEXT(valor))
)
))))
),""ERROR EN FÓRMULA""))"),"NO APLICA")</f>
        <v>NO APLICA</v>
      </c>
    </row>
    <row r="1338">
      <c r="A1338" s="83" t="s">
        <v>4618</v>
      </c>
      <c r="B1338" s="83" t="s">
        <v>4619</v>
      </c>
      <c r="C1338" s="81" t="s">
        <v>4621</v>
      </c>
      <c r="D1338" s="83" t="s">
        <v>4290</v>
      </c>
      <c r="E1338" s="81" t="s">
        <v>1143</v>
      </c>
      <c r="F1338" s="84">
        <v>228.0</v>
      </c>
      <c r="G1338" s="81" t="s">
        <v>44</v>
      </c>
      <c r="H1338" s="81" t="s">
        <v>224</v>
      </c>
      <c r="I1338" s="81" t="s">
        <v>1143</v>
      </c>
      <c r="J1338" s="81" t="s">
        <v>4088</v>
      </c>
      <c r="K1338" s="81" t="str">
        <f>IFERROR(__xludf.DUMMYFUNCTION("IF(OR(D1338="""",G1338=""""),"""",IFERROR(LET(
campo,XLOOKUP(TRIM(G1338),ARRAYFORMULA(TRIM('indice columnas'!$A$2:$A$100)),'indice columnas'!$B$2:$B$100,""""),
col,IFERROR(MATCH(campo,Referencia!$A$1:$AZ$1,0),0),
fila,IFERROR(MATCH(TO_TEXT(D1338),ARRAYFOR"&amp;"MULA(TO_TEXT(Referencia!$A$2:$A6238)),0),0),
IF(OR(campo="""",campo=""-""),""NO APLICA"",
IF(col=0,""REVISAR EQUIVALENCIA"",
IF(fila=0,""SKU NO ENCONTRADO"",
LET(
valor,INDEX(Referencia!$A$2:$AZ6238,fila,col),
IF(TRIM(TO_TEXT(valor))=TRIM(TO_TEXT(I1338)),"&amp;"
""OK"",
""NO COINCIDE. Valor verdadero: ""&amp;IF(valor="""",""[VACÍO]"",TO_TEXT(valor))
)
))))
),""ERROR EN FÓRMULA""))"),"NO APLICA")</f>
        <v>NO APLICA</v>
      </c>
    </row>
    <row r="1339">
      <c r="A1339" s="83" t="s">
        <v>4618</v>
      </c>
      <c r="B1339" s="83" t="s">
        <v>4619</v>
      </c>
      <c r="C1339" s="81" t="s">
        <v>4621</v>
      </c>
      <c r="D1339" s="83" t="s">
        <v>4290</v>
      </c>
      <c r="E1339" s="81" t="s">
        <v>1153</v>
      </c>
      <c r="F1339" s="84">
        <v>229.0</v>
      </c>
      <c r="G1339" s="81" t="s">
        <v>7</v>
      </c>
      <c r="H1339" s="81" t="s">
        <v>53</v>
      </c>
      <c r="I1339" s="81" t="s">
        <v>1134</v>
      </c>
      <c r="J1339" s="81" t="s">
        <v>224</v>
      </c>
      <c r="K1339" s="81" t="str">
        <f>IFERROR(__xludf.DUMMYFUNCTION("IF(OR(D1339="""",G1339=""""),"""",IFERROR(LET(
campo,XLOOKUP(TRIM(G1339),ARRAYFORMULA(TRIM('indice columnas'!$A$2:$A$100)),'indice columnas'!$B$2:$B$100,""""),
col,IFERROR(MATCH(campo,Referencia!$A$1:$AZ$1,0),0),
fila,IFERROR(MATCH(TO_TEXT(D1339),ARRAYFOR"&amp;"MULA(TO_TEXT(Referencia!$A$2:$A6238)),0),0),
IF(OR(campo="""",campo=""-""),""NO APLICA"",
IF(col=0,""REVISAR EQUIVALENCIA"",
IF(fila=0,""SKU NO ENCONTRADO"",
LET(
valor,INDEX(Referencia!$A$2:$AZ6238,fila,col),
IF(TRIM(TO_TEXT(valor))=TRIM(TO_TEXT(I1339)),"&amp;"
""OK"",
""NO COINCIDE. Valor verdadero: ""&amp;IF(valor="""",""[VACÍO]"",TO_TEXT(valor))
)
))))
),""ERROR EN FÓRMULA""))"),"REVISAR EQUIVALENCIA")</f>
        <v>REVISAR EQUIVALENCIA</v>
      </c>
    </row>
    <row r="1340">
      <c r="A1340" s="83" t="s">
        <v>4618</v>
      </c>
      <c r="B1340" s="83" t="s">
        <v>4619</v>
      </c>
      <c r="C1340" s="81" t="s">
        <v>4621</v>
      </c>
      <c r="D1340" s="83" t="s">
        <v>4290</v>
      </c>
      <c r="E1340" s="81" t="s">
        <v>1153</v>
      </c>
      <c r="F1340" s="84">
        <v>229.0</v>
      </c>
      <c r="G1340" s="81" t="s">
        <v>12</v>
      </c>
      <c r="H1340" s="81" t="s">
        <v>224</v>
      </c>
      <c r="I1340" s="81" t="s">
        <v>55</v>
      </c>
      <c r="J1340" s="81" t="s">
        <v>224</v>
      </c>
      <c r="K1340" s="81" t="str">
        <f>IFERROR(__xludf.DUMMYFUNCTION("IF(OR(D1340="""",G1340=""""),"""",IFERROR(LET(
campo,XLOOKUP(TRIM(G1340),ARRAYFORMULA(TRIM('indice columnas'!$A$2:$A$100)),'indice columnas'!$B$2:$B$100,""""),
col,IFERROR(MATCH(campo,Referencia!$A$1:$AZ$1,0),0),
fila,IFERROR(MATCH(TO_TEXT(D1340),ARRAYFOR"&amp;"MULA(TO_TEXT(Referencia!$A$2:$A6238)),0),0),
IF(OR(campo="""",campo=""-""),""NO APLICA"",
IF(col=0,""REVISAR EQUIVALENCIA"",
IF(fila=0,""SKU NO ENCONTRADO"",
LET(
valor,INDEX(Referencia!$A$2:$AZ6238,fila,col),
IF(TRIM(TO_TEXT(valor))=TRIM(TO_TEXT(I1340)),"&amp;"
""OK"",
""NO COINCIDE. Valor verdadero: ""&amp;IF(valor="""",""[VACÍO]"",TO_TEXT(valor))
)
))))
),""ERROR EN FÓRMULA""))"),"OK")</f>
        <v>OK</v>
      </c>
    </row>
    <row r="1341">
      <c r="A1341" s="83" t="s">
        <v>4618</v>
      </c>
      <c r="B1341" s="83" t="s">
        <v>4619</v>
      </c>
      <c r="C1341" s="81" t="s">
        <v>4621</v>
      </c>
      <c r="D1341" s="83" t="s">
        <v>4290</v>
      </c>
      <c r="E1341" s="81" t="s">
        <v>1153</v>
      </c>
      <c r="F1341" s="84">
        <v>229.0</v>
      </c>
      <c r="G1341" s="81" t="s">
        <v>44</v>
      </c>
      <c r="H1341" s="81" t="s">
        <v>224</v>
      </c>
      <c r="I1341" s="81" t="s">
        <v>1143</v>
      </c>
      <c r="J1341" s="81" t="s">
        <v>4088</v>
      </c>
      <c r="K1341" s="81" t="str">
        <f>IFERROR(__xludf.DUMMYFUNCTION("IF(OR(D1341="""",G1341=""""),"""",IFERROR(LET(
campo,XLOOKUP(TRIM(G1341),ARRAYFORMULA(TRIM('indice columnas'!$A$2:$A$100)),'indice columnas'!$B$2:$B$100,""""),
col,IFERROR(MATCH(campo,Referencia!$A$1:$AZ$1,0),0),
fila,IFERROR(MATCH(TO_TEXT(D1341),ARRAYFOR"&amp;"MULA(TO_TEXT(Referencia!$A$2:$A6238)),0),0),
IF(OR(campo="""",campo=""-""),""NO APLICA"",
IF(col=0,""REVISAR EQUIVALENCIA"",
IF(fila=0,""SKU NO ENCONTRADO"",
LET(
valor,INDEX(Referencia!$A$2:$AZ6238,fila,col),
IF(TRIM(TO_TEXT(valor))=TRIM(TO_TEXT(I1341)),"&amp;"
""OK"",
""NO COINCIDE. Valor verdadero: ""&amp;IF(valor="""",""[VACÍO]"",TO_TEXT(valor))
)
))))
),""ERROR EN FÓRMULA""))"),"NO APLICA")</f>
        <v>NO APLICA</v>
      </c>
    </row>
    <row r="1342">
      <c r="A1342" s="83" t="s">
        <v>4618</v>
      </c>
      <c r="B1342" s="83" t="s">
        <v>4619</v>
      </c>
      <c r="C1342" s="81" t="s">
        <v>4621</v>
      </c>
      <c r="D1342" s="83" t="s">
        <v>4291</v>
      </c>
      <c r="E1342" s="81" t="s">
        <v>1155</v>
      </c>
      <c r="F1342" s="84">
        <v>230.0</v>
      </c>
      <c r="G1342" s="81" t="s">
        <v>7</v>
      </c>
      <c r="H1342" s="81" t="s">
        <v>53</v>
      </c>
      <c r="I1342" s="81" t="s">
        <v>1134</v>
      </c>
      <c r="J1342" s="81" t="s">
        <v>224</v>
      </c>
      <c r="K1342" s="81" t="str">
        <f>IFERROR(__xludf.DUMMYFUNCTION("IF(OR(D1342="""",G1342=""""),"""",IFERROR(LET(
campo,XLOOKUP(TRIM(G1342),ARRAYFORMULA(TRIM('indice columnas'!$A$2:$A$100)),'indice columnas'!$B$2:$B$100,""""),
col,IFERROR(MATCH(campo,Referencia!$A$1:$AZ$1,0),0),
fila,IFERROR(MATCH(TO_TEXT(D1342),ARRAYFOR"&amp;"MULA(TO_TEXT(Referencia!$A$2:$A6238)),0),0),
IF(OR(campo="""",campo=""-""),""NO APLICA"",
IF(col=0,""REVISAR EQUIVALENCIA"",
IF(fila=0,""SKU NO ENCONTRADO"",
LET(
valor,INDEX(Referencia!$A$2:$AZ6238,fila,col),
IF(TRIM(TO_TEXT(valor))=TRIM(TO_TEXT(I1342)),"&amp;"
""OK"",
""NO COINCIDE. Valor verdadero: ""&amp;IF(valor="""",""[VACÍO]"",TO_TEXT(valor))
)
))))
),""ERROR EN FÓRMULA""))"),"REVISAR EQUIVALENCIA")</f>
        <v>REVISAR EQUIVALENCIA</v>
      </c>
    </row>
    <row r="1343">
      <c r="A1343" s="83" t="s">
        <v>4618</v>
      </c>
      <c r="B1343" s="83" t="s">
        <v>4619</v>
      </c>
      <c r="C1343" s="81" t="s">
        <v>4621</v>
      </c>
      <c r="D1343" s="83" t="s">
        <v>4291</v>
      </c>
      <c r="E1343" s="81" t="s">
        <v>1155</v>
      </c>
      <c r="F1343" s="84">
        <v>230.0</v>
      </c>
      <c r="G1343" s="81" t="s">
        <v>12</v>
      </c>
      <c r="H1343" s="81" t="s">
        <v>224</v>
      </c>
      <c r="I1343" s="81" t="s">
        <v>55</v>
      </c>
      <c r="J1343" s="81" t="s">
        <v>224</v>
      </c>
      <c r="K1343" s="81" t="str">
        <f>IFERROR(__xludf.DUMMYFUNCTION("IF(OR(D1343="""",G1343=""""),"""",IFERROR(LET(
campo,XLOOKUP(TRIM(G1343),ARRAYFORMULA(TRIM('indice columnas'!$A$2:$A$100)),'indice columnas'!$B$2:$B$100,""""),
col,IFERROR(MATCH(campo,Referencia!$A$1:$AZ$1,0),0),
fila,IFERROR(MATCH(TO_TEXT(D1343),ARRAYFOR"&amp;"MULA(TO_TEXT(Referencia!$A$2:$A6238)),0),0),
IF(OR(campo="""",campo=""-""),""NO APLICA"",
IF(col=0,""REVISAR EQUIVALENCIA"",
IF(fila=0,""SKU NO ENCONTRADO"",
LET(
valor,INDEX(Referencia!$A$2:$AZ6238,fila,col),
IF(TRIM(TO_TEXT(valor))=TRIM(TO_TEXT(I1343)),"&amp;"
""OK"",
""NO COINCIDE. Valor verdadero: ""&amp;IF(valor="""",""[VACÍO]"",TO_TEXT(valor))
)
))))
),""ERROR EN FÓRMULA""))"),"OK")</f>
        <v>OK</v>
      </c>
    </row>
    <row r="1344">
      <c r="A1344" s="83" t="s">
        <v>4618</v>
      </c>
      <c r="B1344" s="83" t="s">
        <v>4619</v>
      </c>
      <c r="C1344" s="81" t="s">
        <v>4621</v>
      </c>
      <c r="D1344" s="83" t="s">
        <v>4291</v>
      </c>
      <c r="E1344" s="81" t="s">
        <v>1155</v>
      </c>
      <c r="F1344" s="84">
        <v>230.0</v>
      </c>
      <c r="G1344" s="81" t="s">
        <v>44</v>
      </c>
      <c r="H1344" s="81" t="s">
        <v>224</v>
      </c>
      <c r="I1344" s="81" t="s">
        <v>1143</v>
      </c>
      <c r="J1344" s="81" t="s">
        <v>4088</v>
      </c>
      <c r="K1344" s="81" t="str">
        <f>IFERROR(__xludf.DUMMYFUNCTION("IF(OR(D1344="""",G1344=""""),"""",IFERROR(LET(
campo,XLOOKUP(TRIM(G1344),ARRAYFORMULA(TRIM('indice columnas'!$A$2:$A$100)),'indice columnas'!$B$2:$B$100,""""),
col,IFERROR(MATCH(campo,Referencia!$A$1:$AZ$1,0),0),
fila,IFERROR(MATCH(TO_TEXT(D1344),ARRAYFOR"&amp;"MULA(TO_TEXT(Referencia!$A$2:$A6238)),0),0),
IF(OR(campo="""",campo=""-""),""NO APLICA"",
IF(col=0,""REVISAR EQUIVALENCIA"",
IF(fila=0,""SKU NO ENCONTRADO"",
LET(
valor,INDEX(Referencia!$A$2:$AZ6238,fila,col),
IF(TRIM(TO_TEXT(valor))=TRIM(TO_TEXT(I1344)),"&amp;"
""OK"",
""NO COINCIDE. Valor verdadero: ""&amp;IF(valor="""",""[VACÍO]"",TO_TEXT(valor))
)
))))
),""ERROR EN FÓRMULA""))"),"NO APLICA")</f>
        <v>NO APLICA</v>
      </c>
    </row>
    <row r="1345">
      <c r="A1345" s="83" t="s">
        <v>4618</v>
      </c>
      <c r="B1345" s="83" t="s">
        <v>4619</v>
      </c>
      <c r="C1345" s="81" t="s">
        <v>4621</v>
      </c>
      <c r="D1345" s="83" t="s">
        <v>4292</v>
      </c>
      <c r="E1345" s="81" t="s">
        <v>1158</v>
      </c>
      <c r="F1345" s="84">
        <v>231.0</v>
      </c>
      <c r="G1345" s="81" t="s">
        <v>44</v>
      </c>
      <c r="H1345" s="81" t="s">
        <v>4293</v>
      </c>
      <c r="I1345" s="81" t="s">
        <v>1158</v>
      </c>
      <c r="J1345" s="81" t="s">
        <v>4088</v>
      </c>
      <c r="K1345" s="81" t="str">
        <f>IFERROR(__xludf.DUMMYFUNCTION("IF(OR(D1345="""",G1345=""""),"""",IFERROR(LET(
campo,XLOOKUP(TRIM(G1345),ARRAYFORMULA(TRIM('indice columnas'!$A$2:$A$100)),'indice columnas'!$B$2:$B$100,""""),
col,IFERROR(MATCH(campo,Referencia!$A$1:$AZ$1,0),0),
fila,IFERROR(MATCH(TO_TEXT(D1345),ARRAYFOR"&amp;"MULA(TO_TEXT(Referencia!$A$2:$A6238)),0),0),
IF(OR(campo="""",campo=""-""),""NO APLICA"",
IF(col=0,""REVISAR EQUIVALENCIA"",
IF(fila=0,""SKU NO ENCONTRADO"",
LET(
valor,INDEX(Referencia!$A$2:$AZ6238,fila,col),
IF(TRIM(TO_TEXT(valor))=TRIM(TO_TEXT(I1345)),"&amp;"
""OK"",
""NO COINCIDE. Valor verdadero: ""&amp;IF(valor="""",""[VACÍO]"",TO_TEXT(valor))
)
))))
),""ERROR EN FÓRMULA""))"),"NO APLICA")</f>
        <v>NO APLICA</v>
      </c>
    </row>
    <row r="1346">
      <c r="A1346" s="83" t="s">
        <v>4618</v>
      </c>
      <c r="B1346" s="83" t="s">
        <v>4619</v>
      </c>
      <c r="C1346" s="81" t="s">
        <v>4621</v>
      </c>
      <c r="D1346" s="83" t="s">
        <v>4292</v>
      </c>
      <c r="E1346" s="81" t="s">
        <v>1175</v>
      </c>
      <c r="F1346" s="84">
        <v>232.0</v>
      </c>
      <c r="G1346" s="81" t="s">
        <v>7</v>
      </c>
      <c r="H1346" s="81" t="s">
        <v>53</v>
      </c>
      <c r="I1346" s="81" t="s">
        <v>1134</v>
      </c>
      <c r="J1346" s="81" t="s">
        <v>224</v>
      </c>
      <c r="K1346" s="81" t="str">
        <f>IFERROR(__xludf.DUMMYFUNCTION("IF(OR(D1346="""",G1346=""""),"""",IFERROR(LET(
campo,XLOOKUP(TRIM(G1346),ARRAYFORMULA(TRIM('indice columnas'!$A$2:$A$100)),'indice columnas'!$B$2:$B$100,""""),
col,IFERROR(MATCH(campo,Referencia!$A$1:$AZ$1,0),0),
fila,IFERROR(MATCH(TO_TEXT(D1346),ARRAYFOR"&amp;"MULA(TO_TEXT(Referencia!$A$2:$A6238)),0),0),
IF(OR(campo="""",campo=""-""),""NO APLICA"",
IF(col=0,""REVISAR EQUIVALENCIA"",
IF(fila=0,""SKU NO ENCONTRADO"",
LET(
valor,INDEX(Referencia!$A$2:$AZ6238,fila,col),
IF(TRIM(TO_TEXT(valor))=TRIM(TO_TEXT(I1346)),"&amp;"
""OK"",
""NO COINCIDE. Valor verdadero: ""&amp;IF(valor="""",""[VACÍO]"",TO_TEXT(valor))
)
))))
),""ERROR EN FÓRMULA""))"),"REVISAR EQUIVALENCIA")</f>
        <v>REVISAR EQUIVALENCIA</v>
      </c>
    </row>
    <row r="1347">
      <c r="A1347" s="83" t="s">
        <v>4618</v>
      </c>
      <c r="B1347" s="83" t="s">
        <v>4619</v>
      </c>
      <c r="C1347" s="81" t="s">
        <v>4621</v>
      </c>
      <c r="D1347" s="83" t="s">
        <v>4292</v>
      </c>
      <c r="E1347" s="81" t="s">
        <v>1175</v>
      </c>
      <c r="F1347" s="84">
        <v>232.0</v>
      </c>
      <c r="G1347" s="81" t="s">
        <v>44</v>
      </c>
      <c r="H1347" s="81" t="s">
        <v>4293</v>
      </c>
      <c r="I1347" s="81" t="s">
        <v>1158</v>
      </c>
      <c r="J1347" s="81" t="s">
        <v>4088</v>
      </c>
      <c r="K1347" s="81" t="str">
        <f>IFERROR(__xludf.DUMMYFUNCTION("IF(OR(D1347="""",G1347=""""),"""",IFERROR(LET(
campo,XLOOKUP(TRIM(G1347),ARRAYFORMULA(TRIM('indice columnas'!$A$2:$A$100)),'indice columnas'!$B$2:$B$100,""""),
col,IFERROR(MATCH(campo,Referencia!$A$1:$AZ$1,0),0),
fila,IFERROR(MATCH(TO_TEXT(D1347),ARRAYFOR"&amp;"MULA(TO_TEXT(Referencia!$A$2:$A6238)),0),0),
IF(OR(campo="""",campo=""-""),""NO APLICA"",
IF(col=0,""REVISAR EQUIVALENCIA"",
IF(fila=0,""SKU NO ENCONTRADO"",
LET(
valor,INDEX(Referencia!$A$2:$AZ6238,fila,col),
IF(TRIM(TO_TEXT(valor))=TRIM(TO_TEXT(I1347)),"&amp;"
""OK"",
""NO COINCIDE. Valor verdadero: ""&amp;IF(valor="""",""[VACÍO]"",TO_TEXT(valor))
)
))))
),""ERROR EN FÓRMULA""))"),"NO APLICA")</f>
        <v>NO APLICA</v>
      </c>
    </row>
    <row r="1348">
      <c r="A1348" s="83" t="s">
        <v>4618</v>
      </c>
      <c r="B1348" s="83" t="s">
        <v>4619</v>
      </c>
      <c r="C1348" s="81" t="s">
        <v>4621</v>
      </c>
      <c r="D1348" s="83" t="s">
        <v>4294</v>
      </c>
      <c r="E1348" s="81" t="s">
        <v>1176</v>
      </c>
      <c r="F1348" s="84">
        <v>233.0</v>
      </c>
      <c r="G1348" s="81" t="s">
        <v>7</v>
      </c>
      <c r="H1348" s="81" t="s">
        <v>53</v>
      </c>
      <c r="I1348" s="81" t="s">
        <v>1134</v>
      </c>
      <c r="J1348" s="81" t="s">
        <v>224</v>
      </c>
      <c r="K1348" s="81" t="str">
        <f>IFERROR(__xludf.DUMMYFUNCTION("IF(OR(D1348="""",G1348=""""),"""",IFERROR(LET(
campo,XLOOKUP(TRIM(G1348),ARRAYFORMULA(TRIM('indice columnas'!$A$2:$A$100)),'indice columnas'!$B$2:$B$100,""""),
col,IFERROR(MATCH(campo,Referencia!$A$1:$AZ$1,0),0),
fila,IFERROR(MATCH(TO_TEXT(D1348),ARRAYFOR"&amp;"MULA(TO_TEXT(Referencia!$A$2:$A6238)),0),0),
IF(OR(campo="""",campo=""-""),""NO APLICA"",
IF(col=0,""REVISAR EQUIVALENCIA"",
IF(fila=0,""SKU NO ENCONTRADO"",
LET(
valor,INDEX(Referencia!$A$2:$AZ6238,fila,col),
IF(TRIM(TO_TEXT(valor))=TRIM(TO_TEXT(I1348)),"&amp;"
""OK"",
""NO COINCIDE. Valor verdadero: ""&amp;IF(valor="""",""[VACÍO]"",TO_TEXT(valor))
)
))))
),""ERROR EN FÓRMULA""))"),"REVISAR EQUIVALENCIA")</f>
        <v>REVISAR EQUIVALENCIA</v>
      </c>
    </row>
    <row r="1349">
      <c r="A1349" s="83" t="s">
        <v>4618</v>
      </c>
      <c r="B1349" s="83" t="s">
        <v>4619</v>
      </c>
      <c r="C1349" s="81" t="s">
        <v>4621</v>
      </c>
      <c r="D1349" s="83" t="s">
        <v>4294</v>
      </c>
      <c r="E1349" s="81" t="s">
        <v>1176</v>
      </c>
      <c r="F1349" s="84">
        <v>233.0</v>
      </c>
      <c r="G1349" s="81" t="s">
        <v>44</v>
      </c>
      <c r="H1349" s="81" t="s">
        <v>4293</v>
      </c>
      <c r="I1349" s="81" t="s">
        <v>1158</v>
      </c>
      <c r="J1349" s="81" t="s">
        <v>4088</v>
      </c>
      <c r="K1349" s="81" t="str">
        <f>IFERROR(__xludf.DUMMYFUNCTION("IF(OR(D1349="""",G1349=""""),"""",IFERROR(LET(
campo,XLOOKUP(TRIM(G1349),ARRAYFORMULA(TRIM('indice columnas'!$A$2:$A$100)),'indice columnas'!$B$2:$B$100,""""),
col,IFERROR(MATCH(campo,Referencia!$A$1:$AZ$1,0),0),
fila,IFERROR(MATCH(TO_TEXT(D1349),ARRAYFOR"&amp;"MULA(TO_TEXT(Referencia!$A$2:$A6238)),0),0),
IF(OR(campo="""",campo=""-""),""NO APLICA"",
IF(col=0,""REVISAR EQUIVALENCIA"",
IF(fila=0,""SKU NO ENCONTRADO"",
LET(
valor,INDEX(Referencia!$A$2:$AZ6238,fila,col),
IF(TRIM(TO_TEXT(valor))=TRIM(TO_TEXT(I1349)),"&amp;"
""OK"",
""NO COINCIDE. Valor verdadero: ""&amp;IF(valor="""",""[VACÍO]"",TO_TEXT(valor))
)
))))
),""ERROR EN FÓRMULA""))"),"NO APLICA")</f>
        <v>NO APLICA</v>
      </c>
    </row>
    <row r="1350">
      <c r="A1350" s="83" t="s">
        <v>4618</v>
      </c>
      <c r="B1350" s="83" t="s">
        <v>4619</v>
      </c>
      <c r="C1350" s="81" t="s">
        <v>4621</v>
      </c>
      <c r="D1350" s="83" t="s">
        <v>4295</v>
      </c>
      <c r="E1350" s="81" t="s">
        <v>1180</v>
      </c>
      <c r="F1350" s="84">
        <v>234.0</v>
      </c>
      <c r="G1350" s="81" t="s">
        <v>7</v>
      </c>
      <c r="H1350" s="81" t="s">
        <v>53</v>
      </c>
      <c r="I1350" s="81" t="s">
        <v>1134</v>
      </c>
      <c r="J1350" s="81" t="s">
        <v>224</v>
      </c>
      <c r="K1350" s="81" t="str">
        <f>IFERROR(__xludf.DUMMYFUNCTION("IF(OR(D1350="""",G1350=""""),"""",IFERROR(LET(
campo,XLOOKUP(TRIM(G1350),ARRAYFORMULA(TRIM('indice columnas'!$A$2:$A$100)),'indice columnas'!$B$2:$B$100,""""),
col,IFERROR(MATCH(campo,Referencia!$A$1:$AZ$1,0),0),
fila,IFERROR(MATCH(TO_TEXT(D1350),ARRAYFOR"&amp;"MULA(TO_TEXT(Referencia!$A$2:$A6238)),0),0),
IF(OR(campo="""",campo=""-""),""NO APLICA"",
IF(col=0,""REVISAR EQUIVALENCIA"",
IF(fila=0,""SKU NO ENCONTRADO"",
LET(
valor,INDEX(Referencia!$A$2:$AZ6238,fila,col),
IF(TRIM(TO_TEXT(valor))=TRIM(TO_TEXT(I1350)),"&amp;"
""OK"",
""NO COINCIDE. Valor verdadero: ""&amp;IF(valor="""",""[VACÍO]"",TO_TEXT(valor))
)
))))
),""ERROR EN FÓRMULA""))"),"REVISAR EQUIVALENCIA")</f>
        <v>REVISAR EQUIVALENCIA</v>
      </c>
    </row>
    <row r="1351">
      <c r="A1351" s="83" t="s">
        <v>4618</v>
      </c>
      <c r="B1351" s="83" t="s">
        <v>4619</v>
      </c>
      <c r="C1351" s="81" t="s">
        <v>4621</v>
      </c>
      <c r="D1351" s="83" t="s">
        <v>4295</v>
      </c>
      <c r="E1351" s="81" t="s">
        <v>1180</v>
      </c>
      <c r="F1351" s="84">
        <v>234.0</v>
      </c>
      <c r="G1351" s="81" t="s">
        <v>36</v>
      </c>
      <c r="H1351" s="81" t="s">
        <v>49</v>
      </c>
      <c r="I1351" s="81" t="s">
        <v>95</v>
      </c>
      <c r="J1351" s="81" t="s">
        <v>224</v>
      </c>
      <c r="K1351" s="81" t="str">
        <f>IFERROR(__xludf.DUMMYFUNCTION("IF(OR(D1351="""",G1351=""""),"""",IFERROR(LET(
campo,XLOOKUP(TRIM(G1351),ARRAYFORMULA(TRIM('indice columnas'!$A$2:$A$100)),'indice columnas'!$B$2:$B$100,""""),
col,IFERROR(MATCH(campo,Referencia!$A$1:$AZ$1,0),0),
fila,IFERROR(MATCH(TO_TEXT(D1351),ARRAYFOR"&amp;"MULA(TO_TEXT(Referencia!$A$2:$A6238)),0),0),
IF(OR(campo="""",campo=""-""),""NO APLICA"",
IF(col=0,""REVISAR EQUIVALENCIA"",
IF(fila=0,""SKU NO ENCONTRADO"",
LET(
valor,INDEX(Referencia!$A$2:$AZ6238,fila,col),
IF(TRIM(TO_TEXT(valor))=TRIM(TO_TEXT(I1351)),"&amp;"
""OK"",
""NO COINCIDE. Valor verdadero: ""&amp;IF(valor="""",""[VACÍO]"",TO_TEXT(valor))
)
))))
),""ERROR EN FÓRMULA""))"),"REVISAR EQUIVALENCIA")</f>
        <v>REVISAR EQUIVALENCIA</v>
      </c>
    </row>
    <row r="1352">
      <c r="A1352" s="83" t="s">
        <v>4618</v>
      </c>
      <c r="B1352" s="83" t="s">
        <v>4619</v>
      </c>
      <c r="C1352" s="81" t="s">
        <v>4621</v>
      </c>
      <c r="D1352" s="83" t="s">
        <v>4295</v>
      </c>
      <c r="E1352" s="81" t="s">
        <v>1180</v>
      </c>
      <c r="F1352" s="84">
        <v>234.0</v>
      </c>
      <c r="G1352" s="81" t="s">
        <v>44</v>
      </c>
      <c r="H1352" s="81" t="s">
        <v>4296</v>
      </c>
      <c r="I1352" s="81" t="s">
        <v>1180</v>
      </c>
      <c r="J1352" s="81" t="s">
        <v>4088</v>
      </c>
      <c r="K1352" s="81" t="str">
        <f>IFERROR(__xludf.DUMMYFUNCTION("IF(OR(D1352="""",G1352=""""),"""",IFERROR(LET(
campo,XLOOKUP(TRIM(G1352),ARRAYFORMULA(TRIM('indice columnas'!$A$2:$A$100)),'indice columnas'!$B$2:$B$100,""""),
col,IFERROR(MATCH(campo,Referencia!$A$1:$AZ$1,0),0),
fila,IFERROR(MATCH(TO_TEXT(D1352),ARRAYFOR"&amp;"MULA(TO_TEXT(Referencia!$A$2:$A6238)),0),0),
IF(OR(campo="""",campo=""-""),""NO APLICA"",
IF(col=0,""REVISAR EQUIVALENCIA"",
IF(fila=0,""SKU NO ENCONTRADO"",
LET(
valor,INDEX(Referencia!$A$2:$AZ6238,fila,col),
IF(TRIM(TO_TEXT(valor))=TRIM(TO_TEXT(I1352)),"&amp;"
""OK"",
""NO COINCIDE. Valor verdadero: ""&amp;IF(valor="""",""[VACÍO]"",TO_TEXT(valor))
)
))))
),""ERROR EN FÓRMULA""))"),"NO APLICA")</f>
        <v>NO APLICA</v>
      </c>
    </row>
    <row r="1353">
      <c r="A1353" s="83" t="s">
        <v>4618</v>
      </c>
      <c r="B1353" s="83" t="s">
        <v>4619</v>
      </c>
      <c r="C1353" s="81" t="s">
        <v>4621</v>
      </c>
      <c r="D1353" s="83" t="s">
        <v>4297</v>
      </c>
      <c r="E1353" s="81" t="s">
        <v>1191</v>
      </c>
      <c r="F1353" s="84">
        <v>235.0</v>
      </c>
      <c r="G1353" s="81" t="s">
        <v>44</v>
      </c>
      <c r="H1353" s="81" t="s">
        <v>4293</v>
      </c>
      <c r="I1353" s="81" t="s">
        <v>1191</v>
      </c>
      <c r="J1353" s="81" t="s">
        <v>4088</v>
      </c>
      <c r="K1353" s="81" t="str">
        <f>IFERROR(__xludf.DUMMYFUNCTION("IF(OR(D1353="""",G1353=""""),"""",IFERROR(LET(
campo,XLOOKUP(TRIM(G1353),ARRAYFORMULA(TRIM('indice columnas'!$A$2:$A$100)),'indice columnas'!$B$2:$B$100,""""),
col,IFERROR(MATCH(campo,Referencia!$A$1:$AZ$1,0),0),
fila,IFERROR(MATCH(TO_TEXT(D1353),ARRAYFOR"&amp;"MULA(TO_TEXT(Referencia!$A$2:$A6238)),0),0),
IF(OR(campo="""",campo=""-""),""NO APLICA"",
IF(col=0,""REVISAR EQUIVALENCIA"",
IF(fila=0,""SKU NO ENCONTRADO"",
LET(
valor,INDEX(Referencia!$A$2:$AZ6238,fila,col),
IF(TRIM(TO_TEXT(valor))=TRIM(TO_TEXT(I1353)),"&amp;"
""OK"",
""NO COINCIDE. Valor verdadero: ""&amp;IF(valor="""",""[VACÍO]"",TO_TEXT(valor))
)
))))
),""ERROR EN FÓRMULA""))"),"NO APLICA")</f>
        <v>NO APLICA</v>
      </c>
    </row>
    <row r="1354">
      <c r="A1354" s="83" t="s">
        <v>4618</v>
      </c>
      <c r="B1354" s="83" t="s">
        <v>4619</v>
      </c>
      <c r="C1354" s="81" t="s">
        <v>4621</v>
      </c>
      <c r="D1354" s="83" t="s">
        <v>4297</v>
      </c>
      <c r="E1354" s="81" t="s">
        <v>1201</v>
      </c>
      <c r="F1354" s="84">
        <v>236.0</v>
      </c>
      <c r="G1354" s="81" t="s">
        <v>7</v>
      </c>
      <c r="H1354" s="81" t="s">
        <v>53</v>
      </c>
      <c r="I1354" s="81" t="s">
        <v>1134</v>
      </c>
      <c r="J1354" s="81" t="s">
        <v>224</v>
      </c>
      <c r="K1354" s="81" t="str">
        <f>IFERROR(__xludf.DUMMYFUNCTION("IF(OR(D1354="""",G1354=""""),"""",IFERROR(LET(
campo,XLOOKUP(TRIM(G1354),ARRAYFORMULA(TRIM('indice columnas'!$A$2:$A$100)),'indice columnas'!$B$2:$B$100,""""),
col,IFERROR(MATCH(campo,Referencia!$A$1:$AZ$1,0),0),
fila,IFERROR(MATCH(TO_TEXT(D1354),ARRAYFOR"&amp;"MULA(TO_TEXT(Referencia!$A$2:$A6238)),0),0),
IF(OR(campo="""",campo=""-""),""NO APLICA"",
IF(col=0,""REVISAR EQUIVALENCIA"",
IF(fila=0,""SKU NO ENCONTRADO"",
LET(
valor,INDEX(Referencia!$A$2:$AZ6238,fila,col),
IF(TRIM(TO_TEXT(valor))=TRIM(TO_TEXT(I1354)),"&amp;"
""OK"",
""NO COINCIDE. Valor verdadero: ""&amp;IF(valor="""",""[VACÍO]"",TO_TEXT(valor))
)
))))
),""ERROR EN FÓRMULA""))"),"REVISAR EQUIVALENCIA")</f>
        <v>REVISAR EQUIVALENCIA</v>
      </c>
    </row>
    <row r="1355">
      <c r="A1355" s="83" t="s">
        <v>4618</v>
      </c>
      <c r="B1355" s="83" t="s">
        <v>4619</v>
      </c>
      <c r="C1355" s="81" t="s">
        <v>4621</v>
      </c>
      <c r="D1355" s="83" t="s">
        <v>4297</v>
      </c>
      <c r="E1355" s="81" t="s">
        <v>1201</v>
      </c>
      <c r="F1355" s="84">
        <v>236.0</v>
      </c>
      <c r="G1355" s="81" t="s">
        <v>44</v>
      </c>
      <c r="H1355" s="81" t="s">
        <v>4293</v>
      </c>
      <c r="I1355" s="81" t="s">
        <v>1191</v>
      </c>
      <c r="J1355" s="81" t="s">
        <v>4088</v>
      </c>
      <c r="K1355" s="81" t="str">
        <f>IFERROR(__xludf.DUMMYFUNCTION("IF(OR(D1355="""",G1355=""""),"""",IFERROR(LET(
campo,XLOOKUP(TRIM(G1355),ARRAYFORMULA(TRIM('indice columnas'!$A$2:$A$100)),'indice columnas'!$B$2:$B$100,""""),
col,IFERROR(MATCH(campo,Referencia!$A$1:$AZ$1,0),0),
fila,IFERROR(MATCH(TO_TEXT(D1355),ARRAYFOR"&amp;"MULA(TO_TEXT(Referencia!$A$2:$A6238)),0),0),
IF(OR(campo="""",campo=""-""),""NO APLICA"",
IF(col=0,""REVISAR EQUIVALENCIA"",
IF(fila=0,""SKU NO ENCONTRADO"",
LET(
valor,INDEX(Referencia!$A$2:$AZ6238,fila,col),
IF(TRIM(TO_TEXT(valor))=TRIM(TO_TEXT(I1355)),"&amp;"
""OK"",
""NO COINCIDE. Valor verdadero: ""&amp;IF(valor="""",""[VACÍO]"",TO_TEXT(valor))
)
))))
),""ERROR EN FÓRMULA""))"),"NO APLICA")</f>
        <v>NO APLICA</v>
      </c>
    </row>
    <row r="1356">
      <c r="A1356" s="83" t="s">
        <v>4618</v>
      </c>
      <c r="B1356" s="83" t="s">
        <v>4619</v>
      </c>
      <c r="C1356" s="81" t="s">
        <v>4621</v>
      </c>
      <c r="D1356" s="83" t="s">
        <v>4298</v>
      </c>
      <c r="E1356" s="81" t="s">
        <v>1202</v>
      </c>
      <c r="F1356" s="84">
        <v>237.0</v>
      </c>
      <c r="G1356" s="81" t="s">
        <v>44</v>
      </c>
      <c r="H1356" s="81" t="s">
        <v>224</v>
      </c>
      <c r="I1356" s="81" t="s">
        <v>4299</v>
      </c>
      <c r="J1356" s="81" t="s">
        <v>4088</v>
      </c>
      <c r="K1356" s="81" t="str">
        <f>IFERROR(__xludf.DUMMYFUNCTION("IF(OR(D1356="""",G1356=""""),"""",IFERROR(LET(
campo,XLOOKUP(TRIM(G1356),ARRAYFORMULA(TRIM('indice columnas'!$A$2:$A$100)),'indice columnas'!$B$2:$B$100,""""),
col,IFERROR(MATCH(campo,Referencia!$A$1:$AZ$1,0),0),
fila,IFERROR(MATCH(TO_TEXT(D1356),ARRAYFOR"&amp;"MULA(TO_TEXT(Referencia!$A$2:$A6238)),0),0),
IF(OR(campo="""",campo=""-""),""NO APLICA"",
IF(col=0,""REVISAR EQUIVALENCIA"",
IF(fila=0,""SKU NO ENCONTRADO"",
LET(
valor,INDEX(Referencia!$A$2:$AZ6238,fila,col),
IF(TRIM(TO_TEXT(valor))=TRIM(TO_TEXT(I1356)),"&amp;"
""OK"",
""NO COINCIDE. Valor verdadero: ""&amp;IF(valor="""",""[VACÍO]"",TO_TEXT(valor))
)
))))
),""ERROR EN FÓRMULA""))"),"NO APLICA")</f>
        <v>NO APLICA</v>
      </c>
    </row>
    <row r="1357">
      <c r="A1357" s="83" t="s">
        <v>4618</v>
      </c>
      <c r="B1357" s="83" t="s">
        <v>4619</v>
      </c>
      <c r="C1357" s="81" t="s">
        <v>4621</v>
      </c>
      <c r="D1357" s="83" t="s">
        <v>4298</v>
      </c>
      <c r="E1357" s="81" t="s">
        <v>1210</v>
      </c>
      <c r="F1357" s="84">
        <v>238.0</v>
      </c>
      <c r="G1357" s="81" t="s">
        <v>12</v>
      </c>
      <c r="H1357" s="81" t="s">
        <v>224</v>
      </c>
      <c r="I1357" s="81" t="s">
        <v>55</v>
      </c>
      <c r="J1357" s="81" t="s">
        <v>224</v>
      </c>
      <c r="K1357" s="81" t="str">
        <f>IFERROR(__xludf.DUMMYFUNCTION("IF(OR(D1357="""",G1357=""""),"""",IFERROR(LET(
campo,XLOOKUP(TRIM(G1357),ARRAYFORMULA(TRIM('indice columnas'!$A$2:$A$100)),'indice columnas'!$B$2:$B$100,""""),
col,IFERROR(MATCH(campo,Referencia!$A$1:$AZ$1,0),0),
fila,IFERROR(MATCH(TO_TEXT(D1357),ARRAYFOR"&amp;"MULA(TO_TEXT(Referencia!$A$2:$A6238)),0),0),
IF(OR(campo="""",campo=""-""),""NO APLICA"",
IF(col=0,""REVISAR EQUIVALENCIA"",
IF(fila=0,""SKU NO ENCONTRADO"",
LET(
valor,INDEX(Referencia!$A$2:$AZ6238,fila,col),
IF(TRIM(TO_TEXT(valor))=TRIM(TO_TEXT(I1357)),"&amp;"
""OK"",
""NO COINCIDE. Valor verdadero: ""&amp;IF(valor="""",""[VACÍO]"",TO_TEXT(valor))
)
))))
),""ERROR EN FÓRMULA""))"),"OK")</f>
        <v>OK</v>
      </c>
    </row>
    <row r="1358">
      <c r="A1358" s="83" t="s">
        <v>4618</v>
      </c>
      <c r="B1358" s="83" t="s">
        <v>4619</v>
      </c>
      <c r="C1358" s="81" t="s">
        <v>4621</v>
      </c>
      <c r="D1358" s="83" t="s">
        <v>4298</v>
      </c>
      <c r="E1358" s="81" t="s">
        <v>1210</v>
      </c>
      <c r="F1358" s="84">
        <v>238.0</v>
      </c>
      <c r="G1358" s="81" t="s">
        <v>44</v>
      </c>
      <c r="H1358" s="81" t="s">
        <v>224</v>
      </c>
      <c r="I1358" s="81" t="s">
        <v>4299</v>
      </c>
      <c r="J1358" s="81" t="s">
        <v>4088</v>
      </c>
      <c r="K1358" s="81" t="str">
        <f>IFERROR(__xludf.DUMMYFUNCTION("IF(OR(D1358="""",G1358=""""),"""",IFERROR(LET(
campo,XLOOKUP(TRIM(G1358),ARRAYFORMULA(TRIM('indice columnas'!$A$2:$A$100)),'indice columnas'!$B$2:$B$100,""""),
col,IFERROR(MATCH(campo,Referencia!$A$1:$AZ$1,0),0),
fila,IFERROR(MATCH(TO_TEXT(D1358),ARRAYFOR"&amp;"MULA(TO_TEXT(Referencia!$A$2:$A6238)),0),0),
IF(OR(campo="""",campo=""-""),""NO APLICA"",
IF(col=0,""REVISAR EQUIVALENCIA"",
IF(fila=0,""SKU NO ENCONTRADO"",
LET(
valor,INDEX(Referencia!$A$2:$AZ6238,fila,col),
IF(TRIM(TO_TEXT(valor))=TRIM(TO_TEXT(I1358)),"&amp;"
""OK"",
""NO COINCIDE. Valor verdadero: ""&amp;IF(valor="""",""[VACÍO]"",TO_TEXT(valor))
)
))))
),""ERROR EN FÓRMULA""))"),"NO APLICA")</f>
        <v>NO APLICA</v>
      </c>
    </row>
    <row r="1359">
      <c r="A1359" s="83" t="s">
        <v>4618</v>
      </c>
      <c r="B1359" s="83" t="s">
        <v>4619</v>
      </c>
      <c r="C1359" s="81" t="s">
        <v>4621</v>
      </c>
      <c r="D1359" s="83" t="s">
        <v>4300</v>
      </c>
      <c r="E1359" s="81" t="s">
        <v>1211</v>
      </c>
      <c r="F1359" s="84">
        <v>239.0</v>
      </c>
      <c r="G1359" s="81" t="s">
        <v>12</v>
      </c>
      <c r="H1359" s="81" t="s">
        <v>224</v>
      </c>
      <c r="I1359" s="81" t="s">
        <v>55</v>
      </c>
      <c r="J1359" s="81" t="s">
        <v>224</v>
      </c>
      <c r="K1359" s="81" t="str">
        <f>IFERROR(__xludf.DUMMYFUNCTION("IF(OR(D1359="""",G1359=""""),"""",IFERROR(LET(
campo,XLOOKUP(TRIM(G1359),ARRAYFORMULA(TRIM('indice columnas'!$A$2:$A$100)),'indice columnas'!$B$2:$B$100,""""),
col,IFERROR(MATCH(campo,Referencia!$A$1:$AZ$1,0),0),
fila,IFERROR(MATCH(TO_TEXT(D1359),ARRAYFOR"&amp;"MULA(TO_TEXT(Referencia!$A$2:$A6238)),0),0),
IF(OR(campo="""",campo=""-""),""NO APLICA"",
IF(col=0,""REVISAR EQUIVALENCIA"",
IF(fila=0,""SKU NO ENCONTRADO"",
LET(
valor,INDEX(Referencia!$A$2:$AZ6238,fila,col),
IF(TRIM(TO_TEXT(valor))=TRIM(TO_TEXT(I1359)),"&amp;"
""OK"",
""NO COINCIDE. Valor verdadero: ""&amp;IF(valor="""",""[VACÍO]"",TO_TEXT(valor))
)
))))
),""ERROR EN FÓRMULA""))"),"OK")</f>
        <v>OK</v>
      </c>
    </row>
    <row r="1360">
      <c r="A1360" s="83" t="s">
        <v>4618</v>
      </c>
      <c r="B1360" s="83" t="s">
        <v>4619</v>
      </c>
      <c r="C1360" s="81" t="s">
        <v>4621</v>
      </c>
      <c r="D1360" s="83" t="s">
        <v>4300</v>
      </c>
      <c r="E1360" s="81" t="s">
        <v>1211</v>
      </c>
      <c r="F1360" s="84">
        <v>239.0</v>
      </c>
      <c r="G1360" s="81" t="s">
        <v>44</v>
      </c>
      <c r="H1360" s="81" t="s">
        <v>224</v>
      </c>
      <c r="I1360" s="81" t="s">
        <v>4299</v>
      </c>
      <c r="J1360" s="81" t="s">
        <v>4088</v>
      </c>
      <c r="K1360" s="81" t="str">
        <f>IFERROR(__xludf.DUMMYFUNCTION("IF(OR(D1360="""",G1360=""""),"""",IFERROR(LET(
campo,XLOOKUP(TRIM(G1360),ARRAYFORMULA(TRIM('indice columnas'!$A$2:$A$100)),'indice columnas'!$B$2:$B$100,""""),
col,IFERROR(MATCH(campo,Referencia!$A$1:$AZ$1,0),0),
fila,IFERROR(MATCH(TO_TEXT(D1360),ARRAYFOR"&amp;"MULA(TO_TEXT(Referencia!$A$2:$A6238)),0),0),
IF(OR(campo="""",campo=""-""),""NO APLICA"",
IF(col=0,""REVISAR EQUIVALENCIA"",
IF(fila=0,""SKU NO ENCONTRADO"",
LET(
valor,INDEX(Referencia!$A$2:$AZ6238,fila,col),
IF(TRIM(TO_TEXT(valor))=TRIM(TO_TEXT(I1360)),"&amp;"
""OK"",
""NO COINCIDE. Valor verdadero: ""&amp;IF(valor="""",""[VACÍO]"",TO_TEXT(valor))
)
))))
),""ERROR EN FÓRMULA""))"),"NO APLICA")</f>
        <v>NO APLICA</v>
      </c>
    </row>
    <row r="1361">
      <c r="A1361" s="83" t="s">
        <v>4618</v>
      </c>
      <c r="B1361" s="83" t="s">
        <v>4619</v>
      </c>
      <c r="C1361" s="81" t="s">
        <v>4621</v>
      </c>
      <c r="D1361" s="83" t="s">
        <v>4301</v>
      </c>
      <c r="E1361" s="81" t="s">
        <v>1214</v>
      </c>
      <c r="F1361" s="84">
        <v>240.0</v>
      </c>
      <c r="G1361" s="81" t="s">
        <v>44</v>
      </c>
      <c r="H1361" s="81" t="s">
        <v>224</v>
      </c>
      <c r="I1361" s="81" t="s">
        <v>4302</v>
      </c>
      <c r="J1361" s="81" t="s">
        <v>4088</v>
      </c>
      <c r="K1361" s="81" t="str">
        <f>IFERROR(__xludf.DUMMYFUNCTION("IF(OR(D1361="""",G1361=""""),"""",IFERROR(LET(
campo,XLOOKUP(TRIM(G1361),ARRAYFORMULA(TRIM('indice columnas'!$A$2:$A$100)),'indice columnas'!$B$2:$B$100,""""),
col,IFERROR(MATCH(campo,Referencia!$A$1:$AZ$1,0),0),
fila,IFERROR(MATCH(TO_TEXT(D1361),ARRAYFOR"&amp;"MULA(TO_TEXT(Referencia!$A$2:$A6238)),0),0),
IF(OR(campo="""",campo=""-""),""NO APLICA"",
IF(col=0,""REVISAR EQUIVALENCIA"",
IF(fila=0,""SKU NO ENCONTRADO"",
LET(
valor,INDEX(Referencia!$A$2:$AZ6238,fila,col),
IF(TRIM(TO_TEXT(valor))=TRIM(TO_TEXT(I1361)),"&amp;"
""OK"",
""NO COINCIDE. Valor verdadero: ""&amp;IF(valor="""",""[VACÍO]"",TO_TEXT(valor))
)
))))
),""ERROR EN FÓRMULA""))"),"NO APLICA")</f>
        <v>NO APLICA</v>
      </c>
    </row>
    <row r="1362">
      <c r="A1362" s="83" t="s">
        <v>4618</v>
      </c>
      <c r="B1362" s="83" t="s">
        <v>4619</v>
      </c>
      <c r="C1362" s="81" t="s">
        <v>4621</v>
      </c>
      <c r="D1362" s="83" t="s">
        <v>4301</v>
      </c>
      <c r="E1362" s="81" t="s">
        <v>1221</v>
      </c>
      <c r="F1362" s="84">
        <v>241.0</v>
      </c>
      <c r="G1362" s="81" t="s">
        <v>12</v>
      </c>
      <c r="H1362" s="81" t="s">
        <v>224</v>
      </c>
      <c r="I1362" s="81" t="s">
        <v>55</v>
      </c>
      <c r="J1362" s="81" t="s">
        <v>224</v>
      </c>
      <c r="K1362" s="81" t="str">
        <f>IFERROR(__xludf.DUMMYFUNCTION("IF(OR(D1362="""",G1362=""""),"""",IFERROR(LET(
campo,XLOOKUP(TRIM(G1362),ARRAYFORMULA(TRIM('indice columnas'!$A$2:$A$100)),'indice columnas'!$B$2:$B$100,""""),
col,IFERROR(MATCH(campo,Referencia!$A$1:$AZ$1,0),0),
fila,IFERROR(MATCH(TO_TEXT(D1362),ARRAYFOR"&amp;"MULA(TO_TEXT(Referencia!$A$2:$A6238)),0),0),
IF(OR(campo="""",campo=""-""),""NO APLICA"",
IF(col=0,""REVISAR EQUIVALENCIA"",
IF(fila=0,""SKU NO ENCONTRADO"",
LET(
valor,INDEX(Referencia!$A$2:$AZ6238,fila,col),
IF(TRIM(TO_TEXT(valor))=TRIM(TO_TEXT(I1362)),"&amp;"
""OK"",
""NO COINCIDE. Valor verdadero: ""&amp;IF(valor="""",""[VACÍO]"",TO_TEXT(valor))
)
))))
),""ERROR EN FÓRMULA""))"),"OK")</f>
        <v>OK</v>
      </c>
    </row>
    <row r="1363">
      <c r="A1363" s="83" t="s">
        <v>4618</v>
      </c>
      <c r="B1363" s="83" t="s">
        <v>4619</v>
      </c>
      <c r="C1363" s="81" t="s">
        <v>4621</v>
      </c>
      <c r="D1363" s="83" t="s">
        <v>4301</v>
      </c>
      <c r="E1363" s="81" t="s">
        <v>1221</v>
      </c>
      <c r="F1363" s="84">
        <v>241.0</v>
      </c>
      <c r="G1363" s="81" t="s">
        <v>44</v>
      </c>
      <c r="H1363" s="81" t="s">
        <v>224</v>
      </c>
      <c r="I1363" s="81" t="s">
        <v>4302</v>
      </c>
      <c r="J1363" s="81" t="s">
        <v>4088</v>
      </c>
      <c r="K1363" s="81" t="str">
        <f>IFERROR(__xludf.DUMMYFUNCTION("IF(OR(D1363="""",G1363=""""),"""",IFERROR(LET(
campo,XLOOKUP(TRIM(G1363),ARRAYFORMULA(TRIM('indice columnas'!$A$2:$A$100)),'indice columnas'!$B$2:$B$100,""""),
col,IFERROR(MATCH(campo,Referencia!$A$1:$AZ$1,0),0),
fila,IFERROR(MATCH(TO_TEXT(D1363),ARRAYFOR"&amp;"MULA(TO_TEXT(Referencia!$A$2:$A6238)),0),0),
IF(OR(campo="""",campo=""-""),""NO APLICA"",
IF(col=0,""REVISAR EQUIVALENCIA"",
IF(fila=0,""SKU NO ENCONTRADO"",
LET(
valor,INDEX(Referencia!$A$2:$AZ6238,fila,col),
IF(TRIM(TO_TEXT(valor))=TRIM(TO_TEXT(I1363)),"&amp;"
""OK"",
""NO COINCIDE. Valor verdadero: ""&amp;IF(valor="""",""[VACÍO]"",TO_TEXT(valor))
)
))))
),""ERROR EN FÓRMULA""))"),"NO APLICA")</f>
        <v>NO APLICA</v>
      </c>
    </row>
    <row r="1364">
      <c r="A1364" s="83" t="s">
        <v>4618</v>
      </c>
      <c r="B1364" s="83" t="s">
        <v>4619</v>
      </c>
      <c r="C1364" s="81" t="s">
        <v>4621</v>
      </c>
      <c r="D1364" s="83" t="s">
        <v>4303</v>
      </c>
      <c r="E1364" s="81" t="s">
        <v>1222</v>
      </c>
      <c r="F1364" s="84">
        <v>242.0</v>
      </c>
      <c r="G1364" s="81" t="s">
        <v>12</v>
      </c>
      <c r="H1364" s="81" t="s">
        <v>224</v>
      </c>
      <c r="I1364" s="81" t="s">
        <v>55</v>
      </c>
      <c r="J1364" s="81" t="s">
        <v>224</v>
      </c>
      <c r="K1364" s="81" t="str">
        <f>IFERROR(__xludf.DUMMYFUNCTION("IF(OR(D1364="""",G1364=""""),"""",IFERROR(LET(
campo,XLOOKUP(TRIM(G1364),ARRAYFORMULA(TRIM('indice columnas'!$A$2:$A$100)),'indice columnas'!$B$2:$B$100,""""),
col,IFERROR(MATCH(campo,Referencia!$A$1:$AZ$1,0),0),
fila,IFERROR(MATCH(TO_TEXT(D1364),ARRAYFOR"&amp;"MULA(TO_TEXT(Referencia!$A$2:$A6238)),0),0),
IF(OR(campo="""",campo=""-""),""NO APLICA"",
IF(col=0,""REVISAR EQUIVALENCIA"",
IF(fila=0,""SKU NO ENCONTRADO"",
LET(
valor,INDEX(Referencia!$A$2:$AZ6238,fila,col),
IF(TRIM(TO_TEXT(valor))=TRIM(TO_TEXT(I1364)),"&amp;"
""OK"",
""NO COINCIDE. Valor verdadero: ""&amp;IF(valor="""",""[VACÍO]"",TO_TEXT(valor))
)
))))
),""ERROR EN FÓRMULA""))"),"OK")</f>
        <v>OK</v>
      </c>
    </row>
    <row r="1365">
      <c r="A1365" s="83" t="s">
        <v>4618</v>
      </c>
      <c r="B1365" s="83" t="s">
        <v>4619</v>
      </c>
      <c r="C1365" s="81" t="s">
        <v>4621</v>
      </c>
      <c r="D1365" s="83" t="s">
        <v>4303</v>
      </c>
      <c r="E1365" s="81" t="s">
        <v>1222</v>
      </c>
      <c r="F1365" s="84">
        <v>242.0</v>
      </c>
      <c r="G1365" s="81" t="s">
        <v>44</v>
      </c>
      <c r="H1365" s="81" t="s">
        <v>224</v>
      </c>
      <c r="I1365" s="81" t="s">
        <v>4302</v>
      </c>
      <c r="J1365" s="81" t="s">
        <v>4088</v>
      </c>
      <c r="K1365" s="81" t="str">
        <f>IFERROR(__xludf.DUMMYFUNCTION("IF(OR(D1365="""",G1365=""""),"""",IFERROR(LET(
campo,XLOOKUP(TRIM(G1365),ARRAYFORMULA(TRIM('indice columnas'!$A$2:$A$100)),'indice columnas'!$B$2:$B$100,""""),
col,IFERROR(MATCH(campo,Referencia!$A$1:$AZ$1,0),0),
fila,IFERROR(MATCH(TO_TEXT(D1365),ARRAYFOR"&amp;"MULA(TO_TEXT(Referencia!$A$2:$A6238)),0),0),
IF(OR(campo="""",campo=""-""),""NO APLICA"",
IF(col=0,""REVISAR EQUIVALENCIA"",
IF(fila=0,""SKU NO ENCONTRADO"",
LET(
valor,INDEX(Referencia!$A$2:$AZ6238,fila,col),
IF(TRIM(TO_TEXT(valor))=TRIM(TO_TEXT(I1365)),"&amp;"
""OK"",
""NO COINCIDE. Valor verdadero: ""&amp;IF(valor="""",""[VACÍO]"",TO_TEXT(valor))
)
))))
),""ERROR EN FÓRMULA""))"),"NO APLICA")</f>
        <v>NO APLICA</v>
      </c>
    </row>
    <row r="1366">
      <c r="A1366" s="83" t="s">
        <v>4618</v>
      </c>
      <c r="B1366" s="83" t="s">
        <v>4619</v>
      </c>
      <c r="C1366" s="81" t="s">
        <v>4621</v>
      </c>
      <c r="D1366" s="83" t="s">
        <v>4304</v>
      </c>
      <c r="E1366" s="81" t="s">
        <v>1225</v>
      </c>
      <c r="F1366" s="84">
        <v>243.0</v>
      </c>
      <c r="G1366" s="81" t="s">
        <v>44</v>
      </c>
      <c r="H1366" s="81" t="s">
        <v>224</v>
      </c>
      <c r="I1366" s="81" t="s">
        <v>1233</v>
      </c>
      <c r="J1366" s="81" t="s">
        <v>4088</v>
      </c>
      <c r="K1366" s="81" t="str">
        <f>IFERROR(__xludf.DUMMYFUNCTION("IF(OR(D1366="""",G1366=""""),"""",IFERROR(LET(
campo,XLOOKUP(TRIM(G1366),ARRAYFORMULA(TRIM('indice columnas'!$A$2:$A$100)),'indice columnas'!$B$2:$B$100,""""),
col,IFERROR(MATCH(campo,Referencia!$A$1:$AZ$1,0),0),
fila,IFERROR(MATCH(TO_TEXT(D1366),ARRAYFOR"&amp;"MULA(TO_TEXT(Referencia!$A$2:$A6238)),0),0),
IF(OR(campo="""",campo=""-""),""NO APLICA"",
IF(col=0,""REVISAR EQUIVALENCIA"",
IF(fila=0,""SKU NO ENCONTRADO"",
LET(
valor,INDEX(Referencia!$A$2:$AZ6238,fila,col),
IF(TRIM(TO_TEXT(valor))=TRIM(TO_TEXT(I1366)),"&amp;"
""OK"",
""NO COINCIDE. Valor verdadero: ""&amp;IF(valor="""",""[VACÍO]"",TO_TEXT(valor))
)
))))
),""ERROR EN FÓRMULA""))"),"NO APLICA")</f>
        <v>NO APLICA</v>
      </c>
    </row>
    <row r="1367">
      <c r="A1367" s="83" t="s">
        <v>4618</v>
      </c>
      <c r="B1367" s="83" t="s">
        <v>4619</v>
      </c>
      <c r="C1367" s="81" t="s">
        <v>4621</v>
      </c>
      <c r="D1367" s="83" t="s">
        <v>4304</v>
      </c>
      <c r="E1367" s="81" t="s">
        <v>1232</v>
      </c>
      <c r="F1367" s="84">
        <v>244.0</v>
      </c>
      <c r="G1367" s="81" t="s">
        <v>12</v>
      </c>
      <c r="H1367" s="81" t="s">
        <v>224</v>
      </c>
      <c r="I1367" s="81" t="s">
        <v>55</v>
      </c>
      <c r="J1367" s="81" t="s">
        <v>224</v>
      </c>
      <c r="K1367" s="81" t="str">
        <f>IFERROR(__xludf.DUMMYFUNCTION("IF(OR(D1367="""",G1367=""""),"""",IFERROR(LET(
campo,XLOOKUP(TRIM(G1367),ARRAYFORMULA(TRIM('indice columnas'!$A$2:$A$100)),'indice columnas'!$B$2:$B$100,""""),
col,IFERROR(MATCH(campo,Referencia!$A$1:$AZ$1,0),0),
fila,IFERROR(MATCH(TO_TEXT(D1367),ARRAYFOR"&amp;"MULA(TO_TEXT(Referencia!$A$2:$A6238)),0),0),
IF(OR(campo="""",campo=""-""),""NO APLICA"",
IF(col=0,""REVISAR EQUIVALENCIA"",
IF(fila=0,""SKU NO ENCONTRADO"",
LET(
valor,INDEX(Referencia!$A$2:$AZ6238,fila,col),
IF(TRIM(TO_TEXT(valor))=TRIM(TO_TEXT(I1367)),"&amp;"
""OK"",
""NO COINCIDE. Valor verdadero: ""&amp;IF(valor="""",""[VACÍO]"",TO_TEXT(valor))
)
))))
),""ERROR EN FÓRMULA""))"),"OK")</f>
        <v>OK</v>
      </c>
    </row>
    <row r="1368">
      <c r="A1368" s="83" t="s">
        <v>4618</v>
      </c>
      <c r="B1368" s="83" t="s">
        <v>4619</v>
      </c>
      <c r="C1368" s="81" t="s">
        <v>4621</v>
      </c>
      <c r="D1368" s="83" t="s">
        <v>4304</v>
      </c>
      <c r="E1368" s="81" t="s">
        <v>1232</v>
      </c>
      <c r="F1368" s="84">
        <v>244.0</v>
      </c>
      <c r="G1368" s="81" t="s">
        <v>44</v>
      </c>
      <c r="H1368" s="81" t="s">
        <v>224</v>
      </c>
      <c r="I1368" s="81" t="s">
        <v>1233</v>
      </c>
      <c r="J1368" s="81" t="s">
        <v>4088</v>
      </c>
      <c r="K1368" s="81" t="str">
        <f>IFERROR(__xludf.DUMMYFUNCTION("IF(OR(D1368="""",G1368=""""),"""",IFERROR(LET(
campo,XLOOKUP(TRIM(G1368),ARRAYFORMULA(TRIM('indice columnas'!$A$2:$A$100)),'indice columnas'!$B$2:$B$100,""""),
col,IFERROR(MATCH(campo,Referencia!$A$1:$AZ$1,0),0),
fila,IFERROR(MATCH(TO_TEXT(D1368),ARRAYFOR"&amp;"MULA(TO_TEXT(Referencia!$A$2:$A6238)),0),0),
IF(OR(campo="""",campo=""-""),""NO APLICA"",
IF(col=0,""REVISAR EQUIVALENCIA"",
IF(fila=0,""SKU NO ENCONTRADO"",
LET(
valor,INDEX(Referencia!$A$2:$AZ6238,fila,col),
IF(TRIM(TO_TEXT(valor))=TRIM(TO_TEXT(I1368)),"&amp;"
""OK"",
""NO COINCIDE. Valor verdadero: ""&amp;IF(valor="""",""[VACÍO]"",TO_TEXT(valor))
)
))))
),""ERROR EN FÓRMULA""))"),"NO APLICA")</f>
        <v>NO APLICA</v>
      </c>
    </row>
    <row r="1369">
      <c r="A1369" s="83" t="s">
        <v>4618</v>
      </c>
      <c r="B1369" s="83" t="s">
        <v>4619</v>
      </c>
      <c r="C1369" s="81" t="s">
        <v>4621</v>
      </c>
      <c r="D1369" s="83" t="s">
        <v>4305</v>
      </c>
      <c r="E1369" s="81" t="s">
        <v>1234</v>
      </c>
      <c r="F1369" s="84">
        <v>245.0</v>
      </c>
      <c r="G1369" s="81" t="s">
        <v>12</v>
      </c>
      <c r="H1369" s="81" t="s">
        <v>224</v>
      </c>
      <c r="I1369" s="81" t="s">
        <v>55</v>
      </c>
      <c r="J1369" s="81" t="s">
        <v>224</v>
      </c>
      <c r="K1369" s="81" t="str">
        <f>IFERROR(__xludf.DUMMYFUNCTION("IF(OR(D1369="""",G1369=""""),"""",IFERROR(LET(
campo,XLOOKUP(TRIM(G1369),ARRAYFORMULA(TRIM('indice columnas'!$A$2:$A$100)),'indice columnas'!$B$2:$B$100,""""),
col,IFERROR(MATCH(campo,Referencia!$A$1:$AZ$1,0),0),
fila,IFERROR(MATCH(TO_TEXT(D1369),ARRAYFOR"&amp;"MULA(TO_TEXT(Referencia!$A$2:$A6238)),0),0),
IF(OR(campo="""",campo=""-""),""NO APLICA"",
IF(col=0,""REVISAR EQUIVALENCIA"",
IF(fila=0,""SKU NO ENCONTRADO"",
LET(
valor,INDEX(Referencia!$A$2:$AZ6238,fila,col),
IF(TRIM(TO_TEXT(valor))=TRIM(TO_TEXT(I1369)),"&amp;"
""OK"",
""NO COINCIDE. Valor verdadero: ""&amp;IF(valor="""",""[VACÍO]"",TO_TEXT(valor))
)
))))
),""ERROR EN FÓRMULA""))"),"OK")</f>
        <v>OK</v>
      </c>
    </row>
    <row r="1370">
      <c r="A1370" s="83" t="s">
        <v>4618</v>
      </c>
      <c r="B1370" s="83" t="s">
        <v>4619</v>
      </c>
      <c r="C1370" s="81" t="s">
        <v>4621</v>
      </c>
      <c r="D1370" s="83" t="s">
        <v>4305</v>
      </c>
      <c r="E1370" s="81" t="s">
        <v>1234</v>
      </c>
      <c r="F1370" s="84">
        <v>245.0</v>
      </c>
      <c r="G1370" s="81" t="s">
        <v>44</v>
      </c>
      <c r="H1370" s="81" t="s">
        <v>224</v>
      </c>
      <c r="I1370" s="81" t="s">
        <v>1233</v>
      </c>
      <c r="J1370" s="81" t="s">
        <v>4088</v>
      </c>
      <c r="K1370" s="81" t="str">
        <f>IFERROR(__xludf.DUMMYFUNCTION("IF(OR(D1370="""",G1370=""""),"""",IFERROR(LET(
campo,XLOOKUP(TRIM(G1370),ARRAYFORMULA(TRIM('indice columnas'!$A$2:$A$100)),'indice columnas'!$B$2:$B$100,""""),
col,IFERROR(MATCH(campo,Referencia!$A$1:$AZ$1,0),0),
fila,IFERROR(MATCH(TO_TEXT(D1370),ARRAYFOR"&amp;"MULA(TO_TEXT(Referencia!$A$2:$A6238)),0),0),
IF(OR(campo="""",campo=""-""),""NO APLICA"",
IF(col=0,""REVISAR EQUIVALENCIA"",
IF(fila=0,""SKU NO ENCONTRADO"",
LET(
valor,INDEX(Referencia!$A$2:$AZ6238,fila,col),
IF(TRIM(TO_TEXT(valor))=TRIM(TO_TEXT(I1370)),"&amp;"
""OK"",
""NO COINCIDE. Valor verdadero: ""&amp;IF(valor="""",""[VACÍO]"",TO_TEXT(valor))
)
))))
),""ERROR EN FÓRMULA""))"),"NO APLICA")</f>
        <v>NO APLICA</v>
      </c>
    </row>
    <row r="1371">
      <c r="A1371" s="83" t="s">
        <v>4618</v>
      </c>
      <c r="B1371" s="83" t="s">
        <v>4619</v>
      </c>
      <c r="C1371" s="81" t="s">
        <v>4621</v>
      </c>
      <c r="D1371" s="83" t="s">
        <v>4306</v>
      </c>
      <c r="E1371" s="81" t="s">
        <v>1237</v>
      </c>
      <c r="F1371" s="84">
        <v>246.0</v>
      </c>
      <c r="G1371" s="81" t="s">
        <v>12</v>
      </c>
      <c r="H1371" s="81" t="s">
        <v>224</v>
      </c>
      <c r="I1371" s="81" t="s">
        <v>55</v>
      </c>
      <c r="J1371" s="81" t="s">
        <v>224</v>
      </c>
      <c r="K1371" s="81" t="str">
        <f>IFERROR(__xludf.DUMMYFUNCTION("IF(OR(D1371="""",G1371=""""),"""",IFERROR(LET(
campo,XLOOKUP(TRIM(G1371),ARRAYFORMULA(TRIM('indice columnas'!$A$2:$A$100)),'indice columnas'!$B$2:$B$100,""""),
col,IFERROR(MATCH(campo,Referencia!$A$1:$AZ$1,0),0),
fila,IFERROR(MATCH(TO_TEXT(D1371),ARRAYFOR"&amp;"MULA(TO_TEXT(Referencia!$A$2:$A6238)),0),0),
IF(OR(campo="""",campo=""-""),""NO APLICA"",
IF(col=0,""REVISAR EQUIVALENCIA"",
IF(fila=0,""SKU NO ENCONTRADO"",
LET(
valor,INDEX(Referencia!$A$2:$AZ6238,fila,col),
IF(TRIM(TO_TEXT(valor))=TRIM(TO_TEXT(I1371)),"&amp;"
""OK"",
""NO COINCIDE. Valor verdadero: ""&amp;IF(valor="""",""[VACÍO]"",TO_TEXT(valor))
)
))))
),""ERROR EN FÓRMULA""))"),"OK")</f>
        <v>OK</v>
      </c>
    </row>
    <row r="1372">
      <c r="A1372" s="83" t="s">
        <v>4618</v>
      </c>
      <c r="B1372" s="83" t="s">
        <v>4619</v>
      </c>
      <c r="C1372" s="81" t="s">
        <v>4621</v>
      </c>
      <c r="D1372" s="83" t="s">
        <v>4306</v>
      </c>
      <c r="E1372" s="81" t="s">
        <v>1237</v>
      </c>
      <c r="F1372" s="84">
        <v>246.0</v>
      </c>
      <c r="G1372" s="81" t="s">
        <v>29</v>
      </c>
      <c r="H1372" s="81" t="s">
        <v>4307</v>
      </c>
      <c r="I1372" s="81" t="s">
        <v>1240</v>
      </c>
      <c r="J1372" s="81" t="s">
        <v>224</v>
      </c>
      <c r="K1372" s="81" t="str">
        <f>IFERROR(__xludf.DUMMYFUNCTION("IF(OR(D1372="""",G1372=""""),"""",IFERROR(LET(
campo,XLOOKUP(TRIM(G1372),ARRAYFORMULA(TRIM('indice columnas'!$A$2:$A$100)),'indice columnas'!$B$2:$B$100,""""),
col,IFERROR(MATCH(campo,Referencia!$A$1:$AZ$1,0),0),
fila,IFERROR(MATCH(TO_TEXT(D1372),ARRAYFOR"&amp;"MULA(TO_TEXT(Referencia!$A$2:$A6238)),0),0),
IF(OR(campo="""",campo=""-""),""NO APLICA"",
IF(col=0,""REVISAR EQUIVALENCIA"",
IF(fila=0,""SKU NO ENCONTRADO"",
LET(
valor,INDEX(Referencia!$A$2:$AZ6238,fila,col),
IF(TRIM(TO_TEXT(valor))=TRIM(TO_TEXT(I1372)),"&amp;"
""OK"",
""NO COINCIDE. Valor verdadero: ""&amp;IF(valor="""",""[VACÍO]"",TO_TEXT(valor))
)
))))
),""ERROR EN FÓRMULA""))"),"NO COINCIDE. Valor verdadero: 60 x 15 x 3000 (Ancho x Alto x Prof)")</f>
        <v>NO COINCIDE. Valor verdadero: 60 x 15 x 3000 (Ancho x Alto x Prof)</v>
      </c>
    </row>
    <row r="1373">
      <c r="A1373" s="83" t="s">
        <v>4618</v>
      </c>
      <c r="B1373" s="83" t="s">
        <v>4619</v>
      </c>
      <c r="C1373" s="81" t="s">
        <v>4621</v>
      </c>
      <c r="D1373" s="83" t="s">
        <v>4306</v>
      </c>
      <c r="E1373" s="81" t="s">
        <v>1237</v>
      </c>
      <c r="F1373" s="84">
        <v>246.0</v>
      </c>
      <c r="G1373" s="81" t="s">
        <v>44</v>
      </c>
      <c r="H1373" s="81" t="s">
        <v>224</v>
      </c>
      <c r="I1373" s="81" t="s">
        <v>1237</v>
      </c>
      <c r="J1373" s="81" t="s">
        <v>4088</v>
      </c>
      <c r="K1373" s="81" t="str">
        <f>IFERROR(__xludf.DUMMYFUNCTION("IF(OR(D1373="""",G1373=""""),"""",IFERROR(LET(
campo,XLOOKUP(TRIM(G1373),ARRAYFORMULA(TRIM('indice columnas'!$A$2:$A$100)),'indice columnas'!$B$2:$B$100,""""),
col,IFERROR(MATCH(campo,Referencia!$A$1:$AZ$1,0),0),
fila,IFERROR(MATCH(TO_TEXT(D1373),ARRAYFOR"&amp;"MULA(TO_TEXT(Referencia!$A$2:$A6238)),0),0),
IF(OR(campo="""",campo=""-""),""NO APLICA"",
IF(col=0,""REVISAR EQUIVALENCIA"",
IF(fila=0,""SKU NO ENCONTRADO"",
LET(
valor,INDEX(Referencia!$A$2:$AZ6238,fila,col),
IF(TRIM(TO_TEXT(valor))=TRIM(TO_TEXT(I1373)),"&amp;"
""OK"",
""NO COINCIDE. Valor verdadero: ""&amp;IF(valor="""",""[VACÍO]"",TO_TEXT(valor))
)
))))
),""ERROR EN FÓRMULA""))"),"NO APLICA")</f>
        <v>NO APLICA</v>
      </c>
    </row>
    <row r="1374">
      <c r="A1374" s="83" t="s">
        <v>4618</v>
      </c>
      <c r="B1374" s="83" t="s">
        <v>4619</v>
      </c>
      <c r="C1374" s="81" t="s">
        <v>4621</v>
      </c>
      <c r="D1374" s="83" t="s">
        <v>4308</v>
      </c>
      <c r="E1374" s="81" t="s">
        <v>1247</v>
      </c>
      <c r="F1374" s="84">
        <v>247.0</v>
      </c>
      <c r="G1374" s="81" t="s">
        <v>12</v>
      </c>
      <c r="H1374" s="81" t="s">
        <v>224</v>
      </c>
      <c r="I1374" s="81" t="s">
        <v>55</v>
      </c>
      <c r="J1374" s="81" t="s">
        <v>224</v>
      </c>
      <c r="K1374" s="81" t="str">
        <f>IFERROR(__xludf.DUMMYFUNCTION("IF(OR(D1374="""",G1374=""""),"""",IFERROR(LET(
campo,XLOOKUP(TRIM(G1374),ARRAYFORMULA(TRIM('indice columnas'!$A$2:$A$100)),'indice columnas'!$B$2:$B$100,""""),
col,IFERROR(MATCH(campo,Referencia!$A$1:$AZ$1,0),0),
fila,IFERROR(MATCH(TO_TEXT(D1374),ARRAYFOR"&amp;"MULA(TO_TEXT(Referencia!$A$2:$A6238)),0),0),
IF(OR(campo="""",campo=""-""),""NO APLICA"",
IF(col=0,""REVISAR EQUIVALENCIA"",
IF(fila=0,""SKU NO ENCONTRADO"",
LET(
valor,INDEX(Referencia!$A$2:$AZ6238,fila,col),
IF(TRIM(TO_TEXT(valor))=TRIM(TO_TEXT(I1374)),"&amp;"
""OK"",
""NO COINCIDE. Valor verdadero: ""&amp;IF(valor="""",""[VACÍO]"",TO_TEXT(valor))
)
))))
),""ERROR EN FÓRMULA""))"),"OK")</f>
        <v>OK</v>
      </c>
    </row>
    <row r="1375">
      <c r="A1375" s="83" t="s">
        <v>4618</v>
      </c>
      <c r="B1375" s="83" t="s">
        <v>4619</v>
      </c>
      <c r="C1375" s="81" t="s">
        <v>4621</v>
      </c>
      <c r="D1375" s="83" t="s">
        <v>4308</v>
      </c>
      <c r="E1375" s="81" t="s">
        <v>1247</v>
      </c>
      <c r="F1375" s="84">
        <v>247.0</v>
      </c>
      <c r="G1375" s="81" t="s">
        <v>44</v>
      </c>
      <c r="H1375" s="81" t="s">
        <v>224</v>
      </c>
      <c r="I1375" s="81" t="s">
        <v>1237</v>
      </c>
      <c r="J1375" s="81" t="s">
        <v>4088</v>
      </c>
      <c r="K1375" s="81" t="str">
        <f>IFERROR(__xludf.DUMMYFUNCTION("IF(OR(D1375="""",G1375=""""),"""",IFERROR(LET(
campo,XLOOKUP(TRIM(G1375),ARRAYFORMULA(TRIM('indice columnas'!$A$2:$A$100)),'indice columnas'!$B$2:$B$100,""""),
col,IFERROR(MATCH(campo,Referencia!$A$1:$AZ$1,0),0),
fila,IFERROR(MATCH(TO_TEXT(D1375),ARRAYFOR"&amp;"MULA(TO_TEXT(Referencia!$A$2:$A6238)),0),0),
IF(OR(campo="""",campo=""-""),""NO APLICA"",
IF(col=0,""REVISAR EQUIVALENCIA"",
IF(fila=0,""SKU NO ENCONTRADO"",
LET(
valor,INDEX(Referencia!$A$2:$AZ6238,fila,col),
IF(TRIM(TO_TEXT(valor))=TRIM(TO_TEXT(I1375)),"&amp;"
""OK"",
""NO COINCIDE. Valor verdadero: ""&amp;IF(valor="""",""[VACÍO]"",TO_TEXT(valor))
)
))))
),""ERROR EN FÓRMULA""))"),"NO APLICA")</f>
        <v>NO APLICA</v>
      </c>
    </row>
    <row r="1376">
      <c r="A1376" s="83" t="s">
        <v>4618</v>
      </c>
      <c r="B1376" s="83" t="s">
        <v>4619</v>
      </c>
      <c r="C1376" s="81" t="s">
        <v>4621</v>
      </c>
      <c r="D1376" s="83" t="s">
        <v>4309</v>
      </c>
      <c r="E1376" s="81" t="s">
        <v>1251</v>
      </c>
      <c r="F1376" s="84">
        <v>248.0</v>
      </c>
      <c r="G1376" s="81" t="s">
        <v>44</v>
      </c>
      <c r="H1376" s="81" t="s">
        <v>224</v>
      </c>
      <c r="I1376" s="81" t="s">
        <v>1251</v>
      </c>
      <c r="J1376" s="81" t="s">
        <v>4088</v>
      </c>
      <c r="K1376" s="81" t="str">
        <f>IFERROR(__xludf.DUMMYFUNCTION("IF(OR(D1376="""",G1376=""""),"""",IFERROR(LET(
campo,XLOOKUP(TRIM(G1376),ARRAYFORMULA(TRIM('indice columnas'!$A$2:$A$100)),'indice columnas'!$B$2:$B$100,""""),
col,IFERROR(MATCH(campo,Referencia!$A$1:$AZ$1,0),0),
fila,IFERROR(MATCH(TO_TEXT(D1376),ARRAYFOR"&amp;"MULA(TO_TEXT(Referencia!$A$2:$A6238)),0),0),
IF(OR(campo="""",campo=""-""),""NO APLICA"",
IF(col=0,""REVISAR EQUIVALENCIA"",
IF(fila=0,""SKU NO ENCONTRADO"",
LET(
valor,INDEX(Referencia!$A$2:$AZ6238,fila,col),
IF(TRIM(TO_TEXT(valor))=TRIM(TO_TEXT(I1376)),"&amp;"
""OK"",
""NO COINCIDE. Valor verdadero: ""&amp;IF(valor="""",""[VACÍO]"",TO_TEXT(valor))
)
))))
),""ERROR EN FÓRMULA""))"),"NO APLICA")</f>
        <v>NO APLICA</v>
      </c>
    </row>
    <row r="1377">
      <c r="A1377" s="83" t="s">
        <v>4618</v>
      </c>
      <c r="B1377" s="83" t="s">
        <v>4619</v>
      </c>
      <c r="C1377" s="81" t="s">
        <v>4621</v>
      </c>
      <c r="D1377" s="83" t="s">
        <v>4309</v>
      </c>
      <c r="E1377" s="81" t="s">
        <v>1267</v>
      </c>
      <c r="F1377" s="84">
        <v>249.0</v>
      </c>
      <c r="G1377" s="81" t="s">
        <v>44</v>
      </c>
      <c r="H1377" s="81" t="s">
        <v>224</v>
      </c>
      <c r="I1377" s="81" t="s">
        <v>1251</v>
      </c>
      <c r="J1377" s="81" t="s">
        <v>4088</v>
      </c>
      <c r="K1377" s="81" t="str">
        <f>IFERROR(__xludf.DUMMYFUNCTION("IF(OR(D1377="""",G1377=""""),"""",IFERROR(LET(
campo,XLOOKUP(TRIM(G1377),ARRAYFORMULA(TRIM('indice columnas'!$A$2:$A$100)),'indice columnas'!$B$2:$B$100,""""),
col,IFERROR(MATCH(campo,Referencia!$A$1:$AZ$1,0),0),
fila,IFERROR(MATCH(TO_TEXT(D1377),ARRAYFOR"&amp;"MULA(TO_TEXT(Referencia!$A$2:$A6238)),0),0),
IF(OR(campo="""",campo=""-""),""NO APLICA"",
IF(col=0,""REVISAR EQUIVALENCIA"",
IF(fila=0,""SKU NO ENCONTRADO"",
LET(
valor,INDEX(Referencia!$A$2:$AZ6238,fila,col),
IF(TRIM(TO_TEXT(valor))=TRIM(TO_TEXT(I1377)),"&amp;"
""OK"",
""NO COINCIDE. Valor verdadero: ""&amp;IF(valor="""",""[VACÍO]"",TO_TEXT(valor))
)
))))
),""ERROR EN FÓRMULA""))"),"NO APLICA")</f>
        <v>NO APLICA</v>
      </c>
    </row>
    <row r="1378">
      <c r="A1378" s="83" t="s">
        <v>4618</v>
      </c>
      <c r="B1378" s="83" t="s">
        <v>4619</v>
      </c>
      <c r="C1378" s="81" t="s">
        <v>4621</v>
      </c>
      <c r="D1378" s="83" t="s">
        <v>4310</v>
      </c>
      <c r="E1378" s="81" t="s">
        <v>1268</v>
      </c>
      <c r="F1378" s="84">
        <v>250.0</v>
      </c>
      <c r="G1378" s="81" t="s">
        <v>44</v>
      </c>
      <c r="H1378" s="81" t="s">
        <v>224</v>
      </c>
      <c r="I1378" s="81" t="s">
        <v>1251</v>
      </c>
      <c r="J1378" s="81" t="s">
        <v>4088</v>
      </c>
      <c r="K1378" s="81" t="str">
        <f>IFERROR(__xludf.DUMMYFUNCTION("IF(OR(D1378="""",G1378=""""),"""",IFERROR(LET(
campo,XLOOKUP(TRIM(G1378),ARRAYFORMULA(TRIM('indice columnas'!$A$2:$A$100)),'indice columnas'!$B$2:$B$100,""""),
col,IFERROR(MATCH(campo,Referencia!$A$1:$AZ$1,0),0),
fila,IFERROR(MATCH(TO_TEXT(D1378),ARRAYFOR"&amp;"MULA(TO_TEXT(Referencia!$A$2:$A6238)),0),0),
IF(OR(campo="""",campo=""-""),""NO APLICA"",
IF(col=0,""REVISAR EQUIVALENCIA"",
IF(fila=0,""SKU NO ENCONTRADO"",
LET(
valor,INDEX(Referencia!$A$2:$AZ6238,fila,col),
IF(TRIM(TO_TEXT(valor))=TRIM(TO_TEXT(I1378)),"&amp;"
""OK"",
""NO COINCIDE. Valor verdadero: ""&amp;IF(valor="""",""[VACÍO]"",TO_TEXT(valor))
)
))))
),""ERROR EN FÓRMULA""))"),"NO APLICA")</f>
        <v>NO APLICA</v>
      </c>
    </row>
    <row r="1379">
      <c r="A1379" s="83" t="s">
        <v>4618</v>
      </c>
      <c r="B1379" s="83" t="s">
        <v>4619</v>
      </c>
      <c r="C1379" s="81" t="s">
        <v>4621</v>
      </c>
      <c r="D1379" s="83" t="s">
        <v>4311</v>
      </c>
      <c r="E1379" s="81" t="s">
        <v>1271</v>
      </c>
      <c r="F1379" s="84">
        <v>251.0</v>
      </c>
      <c r="G1379" s="81" t="s">
        <v>44</v>
      </c>
      <c r="H1379" s="81" t="s">
        <v>224</v>
      </c>
      <c r="I1379" s="81" t="s">
        <v>1271</v>
      </c>
      <c r="J1379" s="81" t="s">
        <v>4088</v>
      </c>
      <c r="K1379" s="81" t="str">
        <f>IFERROR(__xludf.DUMMYFUNCTION("IF(OR(D1379="""",G1379=""""),"""",IFERROR(LET(
campo,XLOOKUP(TRIM(G1379),ARRAYFORMULA(TRIM('indice columnas'!$A$2:$A$100)),'indice columnas'!$B$2:$B$100,""""),
col,IFERROR(MATCH(campo,Referencia!$A$1:$AZ$1,0),0),
fila,IFERROR(MATCH(TO_TEXT(D1379),ARRAYFOR"&amp;"MULA(TO_TEXT(Referencia!$A$2:$A6238)),0),0),
IF(OR(campo="""",campo=""-""),""NO APLICA"",
IF(col=0,""REVISAR EQUIVALENCIA"",
IF(fila=0,""SKU NO ENCONTRADO"",
LET(
valor,INDEX(Referencia!$A$2:$AZ6238,fila,col),
IF(TRIM(TO_TEXT(valor))=TRIM(TO_TEXT(I1379)),"&amp;"
""OK"",
""NO COINCIDE. Valor verdadero: ""&amp;IF(valor="""",""[VACÍO]"",TO_TEXT(valor))
)
))))
),""ERROR EN FÓRMULA""))"),"NO APLICA")</f>
        <v>NO APLICA</v>
      </c>
    </row>
    <row r="1380">
      <c r="A1380" s="83" t="s">
        <v>4618</v>
      </c>
      <c r="B1380" s="83" t="s">
        <v>4619</v>
      </c>
      <c r="C1380" s="81" t="s">
        <v>4621</v>
      </c>
      <c r="D1380" s="83" t="s">
        <v>4311</v>
      </c>
      <c r="E1380" s="81" t="s">
        <v>1285</v>
      </c>
      <c r="F1380" s="84">
        <v>252.0</v>
      </c>
      <c r="G1380" s="81" t="s">
        <v>29</v>
      </c>
      <c r="H1380" s="81" t="s">
        <v>4312</v>
      </c>
      <c r="I1380" s="81" t="s">
        <v>1276</v>
      </c>
      <c r="J1380" s="81" t="s">
        <v>224</v>
      </c>
      <c r="K1380" s="81" t="str">
        <f>IFERROR(__xludf.DUMMYFUNCTION("IF(OR(D1380="""",G1380=""""),"""",IFERROR(LET(
campo,XLOOKUP(TRIM(G1380),ARRAYFORMULA(TRIM('indice columnas'!$A$2:$A$100)),'indice columnas'!$B$2:$B$100,""""),
col,IFERROR(MATCH(campo,Referencia!$A$1:$AZ$1,0),0),
fila,IFERROR(MATCH(TO_TEXT(D1380),ARRAYFOR"&amp;"MULA(TO_TEXT(Referencia!$A$2:$A6238)),0),0),
IF(OR(campo="""",campo=""-""),""NO APLICA"",
IF(col=0,""REVISAR EQUIVALENCIA"",
IF(fila=0,""SKU NO ENCONTRADO"",
LET(
valor,INDEX(Referencia!$A$2:$AZ6238,fila,col),
IF(TRIM(TO_TEXT(valor))=TRIM(TO_TEXT(I1380)),"&amp;"
""OK"",
""NO COINCIDE. Valor verdadero: ""&amp;IF(valor="""",""[VACÍO]"",TO_TEXT(valor))
)
))))
),""ERROR EN FÓRMULA""))"),"NO COINCIDE. Valor verdadero: Ø270 x Prof 45")</f>
        <v>NO COINCIDE. Valor verdadero: Ø270 x Prof 45</v>
      </c>
    </row>
    <row r="1381">
      <c r="A1381" s="83" t="s">
        <v>4618</v>
      </c>
      <c r="B1381" s="83" t="s">
        <v>4619</v>
      </c>
      <c r="C1381" s="81" t="s">
        <v>4621</v>
      </c>
      <c r="D1381" s="83" t="s">
        <v>4311</v>
      </c>
      <c r="E1381" s="81" t="s">
        <v>1285</v>
      </c>
      <c r="F1381" s="84">
        <v>252.0</v>
      </c>
      <c r="G1381" s="81" t="s">
        <v>44</v>
      </c>
      <c r="H1381" s="81" t="s">
        <v>224</v>
      </c>
      <c r="I1381" s="81" t="s">
        <v>1271</v>
      </c>
      <c r="J1381" s="81" t="s">
        <v>4088</v>
      </c>
      <c r="K1381" s="81" t="str">
        <f>IFERROR(__xludf.DUMMYFUNCTION("IF(OR(D1381="""",G1381=""""),"""",IFERROR(LET(
campo,XLOOKUP(TRIM(G1381),ARRAYFORMULA(TRIM('indice columnas'!$A$2:$A$100)),'indice columnas'!$B$2:$B$100,""""),
col,IFERROR(MATCH(campo,Referencia!$A$1:$AZ$1,0),0),
fila,IFERROR(MATCH(TO_TEXT(D1381),ARRAYFOR"&amp;"MULA(TO_TEXT(Referencia!$A$2:$A6238)),0),0),
IF(OR(campo="""",campo=""-""),""NO APLICA"",
IF(col=0,""REVISAR EQUIVALENCIA"",
IF(fila=0,""SKU NO ENCONTRADO"",
LET(
valor,INDEX(Referencia!$A$2:$AZ6238,fila,col),
IF(TRIM(TO_TEXT(valor))=TRIM(TO_TEXT(I1381)),"&amp;"
""OK"",
""NO COINCIDE. Valor verdadero: ""&amp;IF(valor="""",""[VACÍO]"",TO_TEXT(valor))
)
))))
),""ERROR EN FÓRMULA""))"),"NO APLICA")</f>
        <v>NO APLICA</v>
      </c>
    </row>
    <row r="1382">
      <c r="A1382" s="83" t="s">
        <v>4618</v>
      </c>
      <c r="B1382" s="83" t="s">
        <v>4619</v>
      </c>
      <c r="C1382" s="81" t="s">
        <v>4621</v>
      </c>
      <c r="D1382" s="83" t="s">
        <v>4313</v>
      </c>
      <c r="E1382" s="81" t="s">
        <v>1286</v>
      </c>
      <c r="F1382" s="84">
        <v>253.0</v>
      </c>
      <c r="G1382" s="81" t="s">
        <v>29</v>
      </c>
      <c r="H1382" s="81" t="s">
        <v>4312</v>
      </c>
      <c r="I1382" s="81" t="s">
        <v>1276</v>
      </c>
      <c r="J1382" s="81" t="s">
        <v>224</v>
      </c>
      <c r="K1382" s="81" t="str">
        <f>IFERROR(__xludf.DUMMYFUNCTION("IF(OR(D1382="""",G1382=""""),"""",IFERROR(LET(
campo,XLOOKUP(TRIM(G1382),ARRAYFORMULA(TRIM('indice columnas'!$A$2:$A$100)),'indice columnas'!$B$2:$B$100,""""),
col,IFERROR(MATCH(campo,Referencia!$A$1:$AZ$1,0),0),
fila,IFERROR(MATCH(TO_TEXT(D1382),ARRAYFOR"&amp;"MULA(TO_TEXT(Referencia!$A$2:$A6238)),0),0),
IF(OR(campo="""",campo=""-""),""NO APLICA"",
IF(col=0,""REVISAR EQUIVALENCIA"",
IF(fila=0,""SKU NO ENCONTRADO"",
LET(
valor,INDEX(Referencia!$A$2:$AZ6238,fila,col),
IF(TRIM(TO_TEXT(valor))=TRIM(TO_TEXT(I1382)),"&amp;"
""OK"",
""NO COINCIDE. Valor verdadero: ""&amp;IF(valor="""",""[VACÍO]"",TO_TEXT(valor))
)
))))
),""ERROR EN FÓRMULA""))"),"NO COINCIDE. Valor verdadero: Ø270 x Prof 45")</f>
        <v>NO COINCIDE. Valor verdadero: Ø270 x Prof 45</v>
      </c>
    </row>
    <row r="1383">
      <c r="A1383" s="83" t="s">
        <v>4618</v>
      </c>
      <c r="B1383" s="83" t="s">
        <v>4619</v>
      </c>
      <c r="C1383" s="81" t="s">
        <v>4621</v>
      </c>
      <c r="D1383" s="83" t="s">
        <v>4313</v>
      </c>
      <c r="E1383" s="81" t="s">
        <v>1286</v>
      </c>
      <c r="F1383" s="84">
        <v>253.0</v>
      </c>
      <c r="G1383" s="81" t="s">
        <v>44</v>
      </c>
      <c r="H1383" s="81" t="s">
        <v>224</v>
      </c>
      <c r="I1383" s="81" t="s">
        <v>1271</v>
      </c>
      <c r="J1383" s="81" t="s">
        <v>4088</v>
      </c>
      <c r="K1383" s="81" t="str">
        <f>IFERROR(__xludf.DUMMYFUNCTION("IF(OR(D1383="""",G1383=""""),"""",IFERROR(LET(
campo,XLOOKUP(TRIM(G1383),ARRAYFORMULA(TRIM('indice columnas'!$A$2:$A$100)),'indice columnas'!$B$2:$B$100,""""),
col,IFERROR(MATCH(campo,Referencia!$A$1:$AZ$1,0),0),
fila,IFERROR(MATCH(TO_TEXT(D1383),ARRAYFOR"&amp;"MULA(TO_TEXT(Referencia!$A$2:$A6238)),0),0),
IF(OR(campo="""",campo=""-""),""NO APLICA"",
IF(col=0,""REVISAR EQUIVALENCIA"",
IF(fila=0,""SKU NO ENCONTRADO"",
LET(
valor,INDEX(Referencia!$A$2:$AZ6238,fila,col),
IF(TRIM(TO_TEXT(valor))=TRIM(TO_TEXT(I1383)),"&amp;"
""OK"",
""NO COINCIDE. Valor verdadero: ""&amp;IF(valor="""",""[VACÍO]"",TO_TEXT(valor))
)
))))
),""ERROR EN FÓRMULA""))"),"NO APLICA")</f>
        <v>NO APLICA</v>
      </c>
    </row>
    <row r="1384">
      <c r="A1384" s="83" t="s">
        <v>4618</v>
      </c>
      <c r="B1384" s="83" t="s">
        <v>4619</v>
      </c>
      <c r="C1384" s="81" t="s">
        <v>4621</v>
      </c>
      <c r="D1384" s="83" t="s">
        <v>4314</v>
      </c>
      <c r="E1384" s="81" t="s">
        <v>1289</v>
      </c>
      <c r="F1384" s="84">
        <v>254.0</v>
      </c>
      <c r="G1384" s="81" t="s">
        <v>12</v>
      </c>
      <c r="H1384" s="81" t="s">
        <v>224</v>
      </c>
      <c r="I1384" s="81" t="s">
        <v>55</v>
      </c>
      <c r="J1384" s="81" t="s">
        <v>224</v>
      </c>
      <c r="K1384" s="81" t="str">
        <f>IFERROR(__xludf.DUMMYFUNCTION("IF(OR(D1384="""",G1384=""""),"""",IFERROR(LET(
campo,XLOOKUP(TRIM(G1384),ARRAYFORMULA(TRIM('indice columnas'!$A$2:$A$100)),'indice columnas'!$B$2:$B$100,""""),
col,IFERROR(MATCH(campo,Referencia!$A$1:$AZ$1,0),0),
fila,IFERROR(MATCH(TO_TEXT(D1384),ARRAYFOR"&amp;"MULA(TO_TEXT(Referencia!$A$2:$A6238)),0),0),
IF(OR(campo="""",campo=""-""),""NO APLICA"",
IF(col=0,""REVISAR EQUIVALENCIA"",
IF(fila=0,""SKU NO ENCONTRADO"",
LET(
valor,INDEX(Referencia!$A$2:$AZ6238,fila,col),
IF(TRIM(TO_TEXT(valor))=TRIM(TO_TEXT(I1384)),"&amp;"
""OK"",
""NO COINCIDE. Valor verdadero: ""&amp;IF(valor="""",""[VACÍO]"",TO_TEXT(valor))
)
))))
),""ERROR EN FÓRMULA""))"),"OK")</f>
        <v>OK</v>
      </c>
    </row>
    <row r="1385">
      <c r="A1385" s="83" t="s">
        <v>4618</v>
      </c>
      <c r="B1385" s="83" t="s">
        <v>4619</v>
      </c>
      <c r="C1385" s="81" t="s">
        <v>4621</v>
      </c>
      <c r="D1385" s="83" t="s">
        <v>4314</v>
      </c>
      <c r="E1385" s="81" t="s">
        <v>1289</v>
      </c>
      <c r="F1385" s="84">
        <v>254.0</v>
      </c>
      <c r="G1385" s="81" t="s">
        <v>44</v>
      </c>
      <c r="H1385" s="81" t="s">
        <v>224</v>
      </c>
      <c r="I1385" s="81" t="s">
        <v>1401</v>
      </c>
      <c r="J1385" s="81" t="s">
        <v>4088</v>
      </c>
      <c r="K1385" s="81" t="str">
        <f>IFERROR(__xludf.DUMMYFUNCTION("IF(OR(D1385="""",G1385=""""),"""",IFERROR(LET(
campo,XLOOKUP(TRIM(G1385),ARRAYFORMULA(TRIM('indice columnas'!$A$2:$A$100)),'indice columnas'!$B$2:$B$100,""""),
col,IFERROR(MATCH(campo,Referencia!$A$1:$AZ$1,0),0),
fila,IFERROR(MATCH(TO_TEXT(D1385),ARRAYFOR"&amp;"MULA(TO_TEXT(Referencia!$A$2:$A6238)),0),0),
IF(OR(campo="""",campo=""-""),""NO APLICA"",
IF(col=0,""REVISAR EQUIVALENCIA"",
IF(fila=0,""SKU NO ENCONTRADO"",
LET(
valor,INDEX(Referencia!$A$2:$AZ6238,fila,col),
IF(TRIM(TO_TEXT(valor))=TRIM(TO_TEXT(I1385)),"&amp;"
""OK"",
""NO COINCIDE. Valor verdadero: ""&amp;IF(valor="""",""[VACÍO]"",TO_TEXT(valor))
)
))))
),""ERROR EN FÓRMULA""))"),"NO APLICA")</f>
        <v>NO APLICA</v>
      </c>
    </row>
    <row r="1386">
      <c r="A1386" s="83" t="s">
        <v>4618</v>
      </c>
      <c r="B1386" s="83" t="s">
        <v>4619</v>
      </c>
      <c r="C1386" s="81" t="s">
        <v>4621</v>
      </c>
      <c r="D1386" s="83" t="s">
        <v>4315</v>
      </c>
      <c r="E1386" s="81" t="s">
        <v>1297</v>
      </c>
      <c r="F1386" s="84">
        <v>255.0</v>
      </c>
      <c r="G1386" s="81" t="s">
        <v>44</v>
      </c>
      <c r="H1386" s="81" t="s">
        <v>224</v>
      </c>
      <c r="I1386" s="81" t="s">
        <v>1297</v>
      </c>
      <c r="J1386" s="81" t="s">
        <v>4088</v>
      </c>
      <c r="K1386" s="81" t="str">
        <f>IFERROR(__xludf.DUMMYFUNCTION("IF(OR(D1386="""",G1386=""""),"""",IFERROR(LET(
campo,XLOOKUP(TRIM(G1386),ARRAYFORMULA(TRIM('indice columnas'!$A$2:$A$100)),'indice columnas'!$B$2:$B$100,""""),
col,IFERROR(MATCH(campo,Referencia!$A$1:$AZ$1,0),0),
fila,IFERROR(MATCH(TO_TEXT(D1386),ARRAYFOR"&amp;"MULA(TO_TEXT(Referencia!$A$2:$A6238)),0),0),
IF(OR(campo="""",campo=""-""),""NO APLICA"",
IF(col=0,""REVISAR EQUIVALENCIA"",
IF(fila=0,""SKU NO ENCONTRADO"",
LET(
valor,INDEX(Referencia!$A$2:$AZ6238,fila,col),
IF(TRIM(TO_TEXT(valor))=TRIM(TO_TEXT(I1386)),"&amp;"
""OK"",
""NO COINCIDE. Valor verdadero: ""&amp;IF(valor="""",""[VACÍO]"",TO_TEXT(valor))
)
))))
),""ERROR EN FÓRMULA""))"),"NO APLICA")</f>
        <v>NO APLICA</v>
      </c>
    </row>
    <row r="1387">
      <c r="A1387" s="83" t="s">
        <v>4618</v>
      </c>
      <c r="B1387" s="83" t="s">
        <v>4619</v>
      </c>
      <c r="C1387" s="81" t="s">
        <v>4621</v>
      </c>
      <c r="D1387" s="83" t="s">
        <v>4316</v>
      </c>
      <c r="E1387" s="81" t="s">
        <v>1313</v>
      </c>
      <c r="F1387" s="84">
        <v>256.0</v>
      </c>
      <c r="G1387" s="81" t="s">
        <v>44</v>
      </c>
      <c r="H1387" s="81" t="s">
        <v>224</v>
      </c>
      <c r="I1387" s="81" t="s">
        <v>1313</v>
      </c>
      <c r="J1387" s="81" t="s">
        <v>4088</v>
      </c>
      <c r="K1387" s="81" t="str">
        <f>IFERROR(__xludf.DUMMYFUNCTION("IF(OR(D1387="""",G1387=""""),"""",IFERROR(LET(
campo,XLOOKUP(TRIM(G1387),ARRAYFORMULA(TRIM('indice columnas'!$A$2:$A$100)),'indice columnas'!$B$2:$B$100,""""),
col,IFERROR(MATCH(campo,Referencia!$A$1:$AZ$1,0),0),
fila,IFERROR(MATCH(TO_TEXT(D1387),ARRAYFOR"&amp;"MULA(TO_TEXT(Referencia!$A$2:$A6238)),0),0),
IF(OR(campo="""",campo=""-""),""NO APLICA"",
IF(col=0,""REVISAR EQUIVALENCIA"",
IF(fila=0,""SKU NO ENCONTRADO"",
LET(
valor,INDEX(Referencia!$A$2:$AZ6238,fila,col),
IF(TRIM(TO_TEXT(valor))=TRIM(TO_TEXT(I1387)),"&amp;"
""OK"",
""NO COINCIDE. Valor verdadero: ""&amp;IF(valor="""",""[VACÍO]"",TO_TEXT(valor))
)
))))
),""ERROR EN FÓRMULA""))"),"NO APLICA")</f>
        <v>NO APLICA</v>
      </c>
    </row>
    <row r="1388">
      <c r="A1388" s="83" t="s">
        <v>4618</v>
      </c>
      <c r="B1388" s="83" t="s">
        <v>4619</v>
      </c>
      <c r="C1388" s="81" t="s">
        <v>4621</v>
      </c>
      <c r="D1388" s="83" t="s">
        <v>4317</v>
      </c>
      <c r="E1388" s="81" t="s">
        <v>1325</v>
      </c>
      <c r="F1388" s="84">
        <v>257.0</v>
      </c>
      <c r="G1388" s="81" t="s">
        <v>44</v>
      </c>
      <c r="H1388" s="81" t="s">
        <v>224</v>
      </c>
      <c r="I1388" s="81" t="s">
        <v>1325</v>
      </c>
      <c r="J1388" s="81" t="s">
        <v>4088</v>
      </c>
      <c r="K1388" s="81" t="str">
        <f>IFERROR(__xludf.DUMMYFUNCTION("IF(OR(D1388="""",G1388=""""),"""",IFERROR(LET(
campo,XLOOKUP(TRIM(G1388),ARRAYFORMULA(TRIM('indice columnas'!$A$2:$A$100)),'indice columnas'!$B$2:$B$100,""""),
col,IFERROR(MATCH(campo,Referencia!$A$1:$AZ$1,0),0),
fila,IFERROR(MATCH(TO_TEXT(D1388),ARRAYFOR"&amp;"MULA(TO_TEXT(Referencia!$A$2:$A6238)),0),0),
IF(OR(campo="""",campo=""-""),""NO APLICA"",
IF(col=0,""REVISAR EQUIVALENCIA"",
IF(fila=0,""SKU NO ENCONTRADO"",
LET(
valor,INDEX(Referencia!$A$2:$AZ6238,fila,col),
IF(TRIM(TO_TEXT(valor))=TRIM(TO_TEXT(I1388)),"&amp;"
""OK"",
""NO COINCIDE. Valor verdadero: ""&amp;IF(valor="""",""[VACÍO]"",TO_TEXT(valor))
)
))))
),""ERROR EN FÓRMULA""))"),"NO APLICA")</f>
        <v>NO APLICA</v>
      </c>
    </row>
    <row r="1389">
      <c r="A1389" s="83" t="s">
        <v>4618</v>
      </c>
      <c r="B1389" s="83" t="s">
        <v>4619</v>
      </c>
      <c r="C1389" s="81" t="s">
        <v>4621</v>
      </c>
      <c r="D1389" s="83" t="s">
        <v>4318</v>
      </c>
      <c r="E1389" s="81" t="s">
        <v>1336</v>
      </c>
      <c r="F1389" s="84">
        <v>258.0</v>
      </c>
      <c r="G1389" s="81" t="s">
        <v>44</v>
      </c>
      <c r="H1389" s="81" t="s">
        <v>224</v>
      </c>
      <c r="I1389" s="81" t="s">
        <v>1336</v>
      </c>
      <c r="J1389" s="81" t="s">
        <v>4088</v>
      </c>
      <c r="K1389" s="81" t="str">
        <f>IFERROR(__xludf.DUMMYFUNCTION("IF(OR(D1389="""",G1389=""""),"""",IFERROR(LET(
campo,XLOOKUP(TRIM(G1389),ARRAYFORMULA(TRIM('indice columnas'!$A$2:$A$100)),'indice columnas'!$B$2:$B$100,""""),
col,IFERROR(MATCH(campo,Referencia!$A$1:$AZ$1,0),0),
fila,IFERROR(MATCH(TO_TEXT(D1389),ARRAYFOR"&amp;"MULA(TO_TEXT(Referencia!$A$2:$A6238)),0),0),
IF(OR(campo="""",campo=""-""),""NO APLICA"",
IF(col=0,""REVISAR EQUIVALENCIA"",
IF(fila=0,""SKU NO ENCONTRADO"",
LET(
valor,INDEX(Referencia!$A$2:$AZ6238,fila,col),
IF(TRIM(TO_TEXT(valor))=TRIM(TO_TEXT(I1389)),"&amp;"
""OK"",
""NO COINCIDE. Valor verdadero: ""&amp;IF(valor="""",""[VACÍO]"",TO_TEXT(valor))
)
))))
),""ERROR EN FÓRMULA""))"),"NO APLICA")</f>
        <v>NO APLICA</v>
      </c>
    </row>
    <row r="1390">
      <c r="A1390" s="83" t="s">
        <v>4618</v>
      </c>
      <c r="B1390" s="83" t="s">
        <v>4619</v>
      </c>
      <c r="C1390" s="81" t="s">
        <v>4621</v>
      </c>
      <c r="D1390" s="83" t="s">
        <v>4319</v>
      </c>
      <c r="E1390" s="81" t="s">
        <v>1350</v>
      </c>
      <c r="F1390" s="84">
        <v>259.0</v>
      </c>
      <c r="G1390" s="81" t="s">
        <v>12</v>
      </c>
      <c r="H1390" s="81" t="s">
        <v>224</v>
      </c>
      <c r="I1390" s="81" t="s">
        <v>55</v>
      </c>
      <c r="J1390" s="81" t="s">
        <v>224</v>
      </c>
      <c r="K1390" s="81" t="str">
        <f>IFERROR(__xludf.DUMMYFUNCTION("IF(OR(D1390="""",G1390=""""),"""",IFERROR(LET(
campo,XLOOKUP(TRIM(G1390),ARRAYFORMULA(TRIM('indice columnas'!$A$2:$A$100)),'indice columnas'!$B$2:$B$100,""""),
col,IFERROR(MATCH(campo,Referencia!$A$1:$AZ$1,0),0),
fila,IFERROR(MATCH(TO_TEXT(D1390),ARRAYFOR"&amp;"MULA(TO_TEXT(Referencia!$A$2:$A6238)),0),0),
IF(OR(campo="""",campo=""-""),""NO APLICA"",
IF(col=0,""REVISAR EQUIVALENCIA"",
IF(fila=0,""SKU NO ENCONTRADO"",
LET(
valor,INDEX(Referencia!$A$2:$AZ6238,fila,col),
IF(TRIM(TO_TEXT(valor))=TRIM(TO_TEXT(I1390)),"&amp;"
""OK"",
""NO COINCIDE. Valor verdadero: ""&amp;IF(valor="""",""[VACÍO]"",TO_TEXT(valor))
)
))))
),""ERROR EN FÓRMULA""))"),"OK")</f>
        <v>OK</v>
      </c>
    </row>
    <row r="1391">
      <c r="A1391" s="83" t="s">
        <v>4618</v>
      </c>
      <c r="B1391" s="83" t="s">
        <v>4619</v>
      </c>
      <c r="C1391" s="81" t="s">
        <v>4621</v>
      </c>
      <c r="D1391" s="83" t="s">
        <v>4319</v>
      </c>
      <c r="E1391" s="81" t="s">
        <v>1350</v>
      </c>
      <c r="F1391" s="84">
        <v>259.0</v>
      </c>
      <c r="G1391" s="81" t="s">
        <v>44</v>
      </c>
      <c r="H1391" s="81" t="s">
        <v>224</v>
      </c>
      <c r="I1391" s="81" t="s">
        <v>1350</v>
      </c>
      <c r="J1391" s="81" t="s">
        <v>4088</v>
      </c>
      <c r="K1391" s="81" t="str">
        <f>IFERROR(__xludf.DUMMYFUNCTION("IF(OR(D1391="""",G1391=""""),"""",IFERROR(LET(
campo,XLOOKUP(TRIM(G1391),ARRAYFORMULA(TRIM('indice columnas'!$A$2:$A$100)),'indice columnas'!$B$2:$B$100,""""),
col,IFERROR(MATCH(campo,Referencia!$A$1:$AZ$1,0),0),
fila,IFERROR(MATCH(TO_TEXT(D1391),ARRAYFOR"&amp;"MULA(TO_TEXT(Referencia!$A$2:$A6238)),0),0),
IF(OR(campo="""",campo=""-""),""NO APLICA"",
IF(col=0,""REVISAR EQUIVALENCIA"",
IF(fila=0,""SKU NO ENCONTRADO"",
LET(
valor,INDEX(Referencia!$A$2:$AZ6238,fila,col),
IF(TRIM(TO_TEXT(valor))=TRIM(TO_TEXT(I1391)),"&amp;"
""OK"",
""NO COINCIDE. Valor verdadero: ""&amp;IF(valor="""",""[VACÍO]"",TO_TEXT(valor))
)
))))
),""ERROR EN FÓRMULA""))"),"NO APLICA")</f>
        <v>NO APLICA</v>
      </c>
    </row>
    <row r="1392">
      <c r="A1392" s="83" t="s">
        <v>4618</v>
      </c>
      <c r="B1392" s="83" t="s">
        <v>4619</v>
      </c>
      <c r="C1392" s="81" t="s">
        <v>4621</v>
      </c>
      <c r="D1392" s="83" t="s">
        <v>4320</v>
      </c>
      <c r="E1392" s="81" t="s">
        <v>1357</v>
      </c>
      <c r="F1392" s="84">
        <v>260.0</v>
      </c>
      <c r="G1392" s="81" t="s">
        <v>44</v>
      </c>
      <c r="H1392" s="81" t="s">
        <v>224</v>
      </c>
      <c r="I1392" s="81" t="s">
        <v>924</v>
      </c>
      <c r="J1392" s="81" t="s">
        <v>4088</v>
      </c>
      <c r="K1392" s="81" t="str">
        <f>IFERROR(__xludf.DUMMYFUNCTION("IF(OR(D1392="""",G1392=""""),"""",IFERROR(LET(
campo,XLOOKUP(TRIM(G1392),ARRAYFORMULA(TRIM('indice columnas'!$A$2:$A$100)),'indice columnas'!$B$2:$B$100,""""),
col,IFERROR(MATCH(campo,Referencia!$A$1:$AZ$1,0),0),
fila,IFERROR(MATCH(TO_TEXT(D1392),ARRAYFOR"&amp;"MULA(TO_TEXT(Referencia!$A$2:$A6238)),0),0),
IF(OR(campo="""",campo=""-""),""NO APLICA"",
IF(col=0,""REVISAR EQUIVALENCIA"",
IF(fila=0,""SKU NO ENCONTRADO"",
LET(
valor,INDEX(Referencia!$A$2:$AZ6238,fila,col),
IF(TRIM(TO_TEXT(valor))=TRIM(TO_TEXT(I1392)),"&amp;"
""OK"",
""NO COINCIDE. Valor verdadero: ""&amp;IF(valor="""",""[VACÍO]"",TO_TEXT(valor))
)
))))
),""ERROR EN FÓRMULA""))"),"NO APLICA")</f>
        <v>NO APLICA</v>
      </c>
    </row>
    <row r="1393">
      <c r="A1393" s="83" t="s">
        <v>4618</v>
      </c>
      <c r="B1393" s="83" t="s">
        <v>4619</v>
      </c>
      <c r="C1393" s="81" t="s">
        <v>4621</v>
      </c>
      <c r="D1393" s="83" t="s">
        <v>4320</v>
      </c>
      <c r="E1393" s="81" t="s">
        <v>1365</v>
      </c>
      <c r="F1393" s="84">
        <v>261.0</v>
      </c>
      <c r="G1393" s="81" t="s">
        <v>12</v>
      </c>
      <c r="H1393" s="81" t="s">
        <v>224</v>
      </c>
      <c r="I1393" s="81" t="s">
        <v>55</v>
      </c>
      <c r="J1393" s="81" t="s">
        <v>224</v>
      </c>
      <c r="K1393" s="81" t="str">
        <f>IFERROR(__xludf.DUMMYFUNCTION("IF(OR(D1393="""",G1393=""""),"""",IFERROR(LET(
campo,XLOOKUP(TRIM(G1393),ARRAYFORMULA(TRIM('indice columnas'!$A$2:$A$100)),'indice columnas'!$B$2:$B$100,""""),
col,IFERROR(MATCH(campo,Referencia!$A$1:$AZ$1,0),0),
fila,IFERROR(MATCH(TO_TEXT(D1393),ARRAYFOR"&amp;"MULA(TO_TEXT(Referencia!$A$2:$A6238)),0),0),
IF(OR(campo="""",campo=""-""),""NO APLICA"",
IF(col=0,""REVISAR EQUIVALENCIA"",
IF(fila=0,""SKU NO ENCONTRADO"",
LET(
valor,INDEX(Referencia!$A$2:$AZ6238,fila,col),
IF(TRIM(TO_TEXT(valor))=TRIM(TO_TEXT(I1393)),"&amp;"
""OK"",
""NO COINCIDE. Valor verdadero: ""&amp;IF(valor="""",""[VACÍO]"",TO_TEXT(valor))
)
))))
),""ERROR EN FÓRMULA""))"),"OK")</f>
        <v>OK</v>
      </c>
    </row>
    <row r="1394">
      <c r="A1394" s="83" t="s">
        <v>4618</v>
      </c>
      <c r="B1394" s="83" t="s">
        <v>4619</v>
      </c>
      <c r="C1394" s="81" t="s">
        <v>4621</v>
      </c>
      <c r="D1394" s="83" t="s">
        <v>4320</v>
      </c>
      <c r="E1394" s="81" t="s">
        <v>1365</v>
      </c>
      <c r="F1394" s="84">
        <v>261.0</v>
      </c>
      <c r="G1394" s="81" t="s">
        <v>29</v>
      </c>
      <c r="H1394" s="81" t="s">
        <v>4321</v>
      </c>
      <c r="I1394" s="81" t="s">
        <v>1366</v>
      </c>
      <c r="J1394" s="81" t="s">
        <v>224</v>
      </c>
      <c r="K1394" s="81" t="str">
        <f>IFERROR(__xludf.DUMMYFUNCTION("IF(OR(D1394="""",G1394=""""),"""",IFERROR(LET(
campo,XLOOKUP(TRIM(G1394),ARRAYFORMULA(TRIM('indice columnas'!$A$2:$A$100)),'indice columnas'!$B$2:$B$100,""""),
col,IFERROR(MATCH(campo,Referencia!$A$1:$AZ$1,0),0),
fila,IFERROR(MATCH(TO_TEXT(D1394),ARRAYFOR"&amp;"MULA(TO_TEXT(Referencia!$A$2:$A6238)),0),0),
IF(OR(campo="""",campo=""-""),""NO APLICA"",
IF(col=0,""REVISAR EQUIVALENCIA"",
IF(fila=0,""SKU NO ENCONTRADO"",
LET(
valor,INDEX(Referencia!$A$2:$AZ6238,fila,col),
IF(TRIM(TO_TEXT(valor))=TRIM(TO_TEXT(I1394)),"&amp;"
""OK"",
""NO COINCIDE. Valor verdadero: ""&amp;IF(valor="""",""[VACÍO]"",TO_TEXT(valor))
)
))))
),""ERROR EN FÓRMULA""))"),"NO COINCIDE. Valor verdadero: 42 x 20 x 1000 (Ancho x Alto x Largo)")</f>
        <v>NO COINCIDE. Valor verdadero: 42 x 20 x 1000 (Ancho x Alto x Largo)</v>
      </c>
    </row>
    <row r="1395">
      <c r="A1395" s="83" t="s">
        <v>4618</v>
      </c>
      <c r="B1395" s="83" t="s">
        <v>4619</v>
      </c>
      <c r="C1395" s="81" t="s">
        <v>4621</v>
      </c>
      <c r="D1395" s="83" t="s">
        <v>4320</v>
      </c>
      <c r="E1395" s="81" t="s">
        <v>1365</v>
      </c>
      <c r="F1395" s="84">
        <v>261.0</v>
      </c>
      <c r="G1395" s="81" t="s">
        <v>44</v>
      </c>
      <c r="H1395" s="81" t="s">
        <v>224</v>
      </c>
      <c r="I1395" s="81" t="s">
        <v>924</v>
      </c>
      <c r="J1395" s="81" t="s">
        <v>4088</v>
      </c>
      <c r="K1395" s="81" t="str">
        <f>IFERROR(__xludf.DUMMYFUNCTION("IF(OR(D1395="""",G1395=""""),"""",IFERROR(LET(
campo,XLOOKUP(TRIM(G1395),ARRAYFORMULA(TRIM('indice columnas'!$A$2:$A$100)),'indice columnas'!$B$2:$B$100,""""),
col,IFERROR(MATCH(campo,Referencia!$A$1:$AZ$1,0),0),
fila,IFERROR(MATCH(TO_TEXT(D1395),ARRAYFOR"&amp;"MULA(TO_TEXT(Referencia!$A$2:$A6238)),0),0),
IF(OR(campo="""",campo=""-""),""NO APLICA"",
IF(col=0,""REVISAR EQUIVALENCIA"",
IF(fila=0,""SKU NO ENCONTRADO"",
LET(
valor,INDEX(Referencia!$A$2:$AZ6238,fila,col),
IF(TRIM(TO_TEXT(valor))=TRIM(TO_TEXT(I1395)),"&amp;"
""OK"",
""NO COINCIDE. Valor verdadero: ""&amp;IF(valor="""",""[VACÍO]"",TO_TEXT(valor))
)
))))
),""ERROR EN FÓRMULA""))"),"NO APLICA")</f>
        <v>NO APLICA</v>
      </c>
    </row>
    <row r="1396">
      <c r="A1396" s="83" t="s">
        <v>4618</v>
      </c>
      <c r="B1396" s="83" t="s">
        <v>4619</v>
      </c>
      <c r="C1396" s="81" t="s">
        <v>4621</v>
      </c>
      <c r="D1396" s="83" t="s">
        <v>4322</v>
      </c>
      <c r="E1396" s="81" t="s">
        <v>1367</v>
      </c>
      <c r="F1396" s="84">
        <v>262.0</v>
      </c>
      <c r="G1396" s="81" t="s">
        <v>12</v>
      </c>
      <c r="H1396" s="81" t="s">
        <v>224</v>
      </c>
      <c r="I1396" s="81" t="s">
        <v>55</v>
      </c>
      <c r="J1396" s="81" t="s">
        <v>224</v>
      </c>
      <c r="K1396" s="81" t="str">
        <f>IFERROR(__xludf.DUMMYFUNCTION("IF(OR(D1396="""",G1396=""""),"""",IFERROR(LET(
campo,XLOOKUP(TRIM(G1396),ARRAYFORMULA(TRIM('indice columnas'!$A$2:$A$100)),'indice columnas'!$B$2:$B$100,""""),
col,IFERROR(MATCH(campo,Referencia!$A$1:$AZ$1,0),0),
fila,IFERROR(MATCH(TO_TEXT(D1396),ARRAYFOR"&amp;"MULA(TO_TEXT(Referencia!$A$2:$A6238)),0),0),
IF(OR(campo="""",campo=""-""),""NO APLICA"",
IF(col=0,""REVISAR EQUIVALENCIA"",
IF(fila=0,""SKU NO ENCONTRADO"",
LET(
valor,INDEX(Referencia!$A$2:$AZ6238,fila,col),
IF(TRIM(TO_TEXT(valor))=TRIM(TO_TEXT(I1396)),"&amp;"
""OK"",
""NO COINCIDE. Valor verdadero: ""&amp;IF(valor="""",""[VACÍO]"",TO_TEXT(valor))
)
))))
),""ERROR EN FÓRMULA""))"),"OK")</f>
        <v>OK</v>
      </c>
    </row>
    <row r="1397">
      <c r="A1397" s="83" t="s">
        <v>4618</v>
      </c>
      <c r="B1397" s="83" t="s">
        <v>4619</v>
      </c>
      <c r="C1397" s="81" t="s">
        <v>4621</v>
      </c>
      <c r="D1397" s="83" t="s">
        <v>4322</v>
      </c>
      <c r="E1397" s="81" t="s">
        <v>1367</v>
      </c>
      <c r="F1397" s="84">
        <v>262.0</v>
      </c>
      <c r="G1397" s="81" t="s">
        <v>29</v>
      </c>
      <c r="H1397" s="81" t="s">
        <v>4321</v>
      </c>
      <c r="I1397" s="81" t="s">
        <v>1366</v>
      </c>
      <c r="J1397" s="81" t="s">
        <v>224</v>
      </c>
      <c r="K1397" s="81" t="str">
        <f>IFERROR(__xludf.DUMMYFUNCTION("IF(OR(D1397="""",G1397=""""),"""",IFERROR(LET(
campo,XLOOKUP(TRIM(G1397),ARRAYFORMULA(TRIM('indice columnas'!$A$2:$A$100)),'indice columnas'!$B$2:$B$100,""""),
col,IFERROR(MATCH(campo,Referencia!$A$1:$AZ$1,0),0),
fila,IFERROR(MATCH(TO_TEXT(D1397),ARRAYFOR"&amp;"MULA(TO_TEXT(Referencia!$A$2:$A6238)),0),0),
IF(OR(campo="""",campo=""-""),""NO APLICA"",
IF(col=0,""REVISAR EQUIVALENCIA"",
IF(fila=0,""SKU NO ENCONTRADO"",
LET(
valor,INDEX(Referencia!$A$2:$AZ6238,fila,col),
IF(TRIM(TO_TEXT(valor))=TRIM(TO_TEXT(I1397)),"&amp;"
""OK"",
""NO COINCIDE. Valor verdadero: ""&amp;IF(valor="""",""[VACÍO]"",TO_TEXT(valor))
)
))))
),""ERROR EN FÓRMULA""))"),"NO COINCIDE. Valor verdadero: 42 x 20 x 1000 (Ancho x Alto x Largo)")</f>
        <v>NO COINCIDE. Valor verdadero: 42 x 20 x 1000 (Ancho x Alto x Largo)</v>
      </c>
    </row>
    <row r="1398">
      <c r="A1398" s="83" t="s">
        <v>4618</v>
      </c>
      <c r="B1398" s="83" t="s">
        <v>4619</v>
      </c>
      <c r="C1398" s="81" t="s">
        <v>4621</v>
      </c>
      <c r="D1398" s="83" t="s">
        <v>4322</v>
      </c>
      <c r="E1398" s="81" t="s">
        <v>1367</v>
      </c>
      <c r="F1398" s="84">
        <v>262.0</v>
      </c>
      <c r="G1398" s="81" t="s">
        <v>44</v>
      </c>
      <c r="H1398" s="81" t="s">
        <v>224</v>
      </c>
      <c r="I1398" s="81" t="s">
        <v>924</v>
      </c>
      <c r="J1398" s="81" t="s">
        <v>4088</v>
      </c>
      <c r="K1398" s="81" t="str">
        <f>IFERROR(__xludf.DUMMYFUNCTION("IF(OR(D1398="""",G1398=""""),"""",IFERROR(LET(
campo,XLOOKUP(TRIM(G1398),ARRAYFORMULA(TRIM('indice columnas'!$A$2:$A$100)),'indice columnas'!$B$2:$B$100,""""),
col,IFERROR(MATCH(campo,Referencia!$A$1:$AZ$1,0),0),
fila,IFERROR(MATCH(TO_TEXT(D1398),ARRAYFOR"&amp;"MULA(TO_TEXT(Referencia!$A$2:$A6238)),0),0),
IF(OR(campo="""",campo=""-""),""NO APLICA"",
IF(col=0,""REVISAR EQUIVALENCIA"",
IF(fila=0,""SKU NO ENCONTRADO"",
LET(
valor,INDEX(Referencia!$A$2:$AZ6238,fila,col),
IF(TRIM(TO_TEXT(valor))=TRIM(TO_TEXT(I1398)),"&amp;"
""OK"",
""NO COINCIDE. Valor verdadero: ""&amp;IF(valor="""",""[VACÍO]"",TO_TEXT(valor))
)
))))
),""ERROR EN FÓRMULA""))"),"NO APLICA")</f>
        <v>NO APLICA</v>
      </c>
    </row>
    <row r="1399">
      <c r="A1399" s="83" t="s">
        <v>4618</v>
      </c>
      <c r="B1399" s="83" t="s">
        <v>4619</v>
      </c>
      <c r="C1399" s="81" t="s">
        <v>4621</v>
      </c>
      <c r="D1399" s="83" t="s">
        <v>4323</v>
      </c>
      <c r="E1399" s="81" t="s">
        <v>1370</v>
      </c>
      <c r="F1399" s="84">
        <v>263.0</v>
      </c>
      <c r="G1399" s="81" t="s">
        <v>12</v>
      </c>
      <c r="H1399" s="81" t="s">
        <v>224</v>
      </c>
      <c r="I1399" s="81" t="s">
        <v>55</v>
      </c>
      <c r="J1399" s="81" t="s">
        <v>224</v>
      </c>
      <c r="K1399" s="81" t="str">
        <f>IFERROR(__xludf.DUMMYFUNCTION("IF(OR(D1399="""",G1399=""""),"""",IFERROR(LET(
campo,XLOOKUP(TRIM(G1399),ARRAYFORMULA(TRIM('indice columnas'!$A$2:$A$100)),'indice columnas'!$B$2:$B$100,""""),
col,IFERROR(MATCH(campo,Referencia!$A$1:$AZ$1,0),0),
fila,IFERROR(MATCH(TO_TEXT(D1399),ARRAYFOR"&amp;"MULA(TO_TEXT(Referencia!$A$2:$A6238)),0),0),
IF(OR(campo="""",campo=""-""),""NO APLICA"",
IF(col=0,""REVISAR EQUIVALENCIA"",
IF(fila=0,""SKU NO ENCONTRADO"",
LET(
valor,INDEX(Referencia!$A$2:$AZ6238,fila,col),
IF(TRIM(TO_TEXT(valor))=TRIM(TO_TEXT(I1399)),"&amp;"
""OK"",
""NO COINCIDE. Valor verdadero: ""&amp;IF(valor="""",""[VACÍO]"",TO_TEXT(valor))
)
))))
),""ERROR EN FÓRMULA""))"),"OK")</f>
        <v>OK</v>
      </c>
    </row>
    <row r="1400">
      <c r="A1400" s="83" t="s">
        <v>4618</v>
      </c>
      <c r="B1400" s="83" t="s">
        <v>4619</v>
      </c>
      <c r="C1400" s="81" t="s">
        <v>4621</v>
      </c>
      <c r="D1400" s="83" t="s">
        <v>4323</v>
      </c>
      <c r="E1400" s="81" t="s">
        <v>1370</v>
      </c>
      <c r="F1400" s="84">
        <v>263.0</v>
      </c>
      <c r="G1400" s="81" t="s">
        <v>29</v>
      </c>
      <c r="H1400" s="81" t="s">
        <v>4324</v>
      </c>
      <c r="I1400" s="81" t="s">
        <v>1371</v>
      </c>
      <c r="J1400" s="81" t="s">
        <v>224</v>
      </c>
      <c r="K1400" s="81" t="str">
        <f>IFERROR(__xludf.DUMMYFUNCTION("IF(OR(D1400="""",G1400=""""),"""",IFERROR(LET(
campo,XLOOKUP(TRIM(G1400),ARRAYFORMULA(TRIM('indice columnas'!$A$2:$A$100)),'indice columnas'!$B$2:$B$100,""""),
col,IFERROR(MATCH(campo,Referencia!$A$1:$AZ$1,0),0),
fila,IFERROR(MATCH(TO_TEXT(D1400),ARRAYFOR"&amp;"MULA(TO_TEXT(Referencia!$A$2:$A6238)),0),0),
IF(OR(campo="""",campo=""-""),""NO APLICA"",
IF(col=0,""REVISAR EQUIVALENCIA"",
IF(fila=0,""SKU NO ENCONTRADO"",
LET(
valor,INDEX(Referencia!$A$2:$AZ6238,fila,col),
IF(TRIM(TO_TEXT(valor))=TRIM(TO_TEXT(I1400)),"&amp;"
""OK"",
""NO COINCIDE. Valor verdadero: ""&amp;IF(valor="""",""[VACÍO]"",TO_TEXT(valor))
)
))))
),""ERROR EN FÓRMULA""))"),"NO COINCIDE. Valor verdadero: 42 x 20 x 2000 (Ancho x Alto x Largo)")</f>
        <v>NO COINCIDE. Valor verdadero: 42 x 20 x 2000 (Ancho x Alto x Largo)</v>
      </c>
    </row>
    <row r="1401">
      <c r="A1401" s="83" t="s">
        <v>4618</v>
      </c>
      <c r="B1401" s="83" t="s">
        <v>4619</v>
      </c>
      <c r="C1401" s="81" t="s">
        <v>4621</v>
      </c>
      <c r="D1401" s="83" t="s">
        <v>4323</v>
      </c>
      <c r="E1401" s="81" t="s">
        <v>1370</v>
      </c>
      <c r="F1401" s="84">
        <v>263.0</v>
      </c>
      <c r="G1401" s="81" t="s">
        <v>44</v>
      </c>
      <c r="H1401" s="81" t="s">
        <v>224</v>
      </c>
      <c r="I1401" s="81" t="s">
        <v>924</v>
      </c>
      <c r="J1401" s="81" t="s">
        <v>4088</v>
      </c>
      <c r="K1401" s="81" t="str">
        <f>IFERROR(__xludf.DUMMYFUNCTION("IF(OR(D1401="""",G1401=""""),"""",IFERROR(LET(
campo,XLOOKUP(TRIM(G1401),ARRAYFORMULA(TRIM('indice columnas'!$A$2:$A$100)),'indice columnas'!$B$2:$B$100,""""),
col,IFERROR(MATCH(campo,Referencia!$A$1:$AZ$1,0),0),
fila,IFERROR(MATCH(TO_TEXT(D1401),ARRAYFOR"&amp;"MULA(TO_TEXT(Referencia!$A$2:$A6238)),0),0),
IF(OR(campo="""",campo=""-""),""NO APLICA"",
IF(col=0,""REVISAR EQUIVALENCIA"",
IF(fila=0,""SKU NO ENCONTRADO"",
LET(
valor,INDEX(Referencia!$A$2:$AZ6238,fila,col),
IF(TRIM(TO_TEXT(valor))=TRIM(TO_TEXT(I1401)),"&amp;"
""OK"",
""NO COINCIDE. Valor verdadero: ""&amp;IF(valor="""",""[VACÍO]"",TO_TEXT(valor))
)
))))
),""ERROR EN FÓRMULA""))"),"NO APLICA")</f>
        <v>NO APLICA</v>
      </c>
    </row>
    <row r="1402">
      <c r="A1402" s="83" t="s">
        <v>4618</v>
      </c>
      <c r="B1402" s="83" t="s">
        <v>4619</v>
      </c>
      <c r="C1402" s="81" t="s">
        <v>4621</v>
      </c>
      <c r="D1402" s="83" t="s">
        <v>4325</v>
      </c>
      <c r="E1402" s="81" t="s">
        <v>1374</v>
      </c>
      <c r="F1402" s="84">
        <v>264.0</v>
      </c>
      <c r="G1402" s="81" t="s">
        <v>12</v>
      </c>
      <c r="H1402" s="81" t="s">
        <v>224</v>
      </c>
      <c r="I1402" s="81" t="s">
        <v>55</v>
      </c>
      <c r="J1402" s="81" t="s">
        <v>224</v>
      </c>
      <c r="K1402" s="81" t="str">
        <f>IFERROR(__xludf.DUMMYFUNCTION("IF(OR(D1402="""",G1402=""""),"""",IFERROR(LET(
campo,XLOOKUP(TRIM(G1402),ARRAYFORMULA(TRIM('indice columnas'!$A$2:$A$100)),'indice columnas'!$B$2:$B$100,""""),
col,IFERROR(MATCH(campo,Referencia!$A$1:$AZ$1,0),0),
fila,IFERROR(MATCH(TO_TEXT(D1402),ARRAYFOR"&amp;"MULA(TO_TEXT(Referencia!$A$2:$A6238)),0),0),
IF(OR(campo="""",campo=""-""),""NO APLICA"",
IF(col=0,""REVISAR EQUIVALENCIA"",
IF(fila=0,""SKU NO ENCONTRADO"",
LET(
valor,INDEX(Referencia!$A$2:$AZ6238,fila,col),
IF(TRIM(TO_TEXT(valor))=TRIM(TO_TEXT(I1402)),"&amp;"
""OK"",
""NO COINCIDE. Valor verdadero: ""&amp;IF(valor="""",""[VACÍO]"",TO_TEXT(valor))
)
))))
),""ERROR EN FÓRMULA""))"),"OK")</f>
        <v>OK</v>
      </c>
    </row>
    <row r="1403">
      <c r="A1403" s="83" t="s">
        <v>4618</v>
      </c>
      <c r="B1403" s="83" t="s">
        <v>4619</v>
      </c>
      <c r="C1403" s="81" t="s">
        <v>4621</v>
      </c>
      <c r="D1403" s="83" t="s">
        <v>4325</v>
      </c>
      <c r="E1403" s="81" t="s">
        <v>1374</v>
      </c>
      <c r="F1403" s="84">
        <v>264.0</v>
      </c>
      <c r="G1403" s="81" t="s">
        <v>29</v>
      </c>
      <c r="H1403" s="81" t="s">
        <v>4324</v>
      </c>
      <c r="I1403" s="81" t="s">
        <v>1371</v>
      </c>
      <c r="J1403" s="81" t="s">
        <v>224</v>
      </c>
      <c r="K1403" s="81" t="str">
        <f>IFERROR(__xludf.DUMMYFUNCTION("IF(OR(D1403="""",G1403=""""),"""",IFERROR(LET(
campo,XLOOKUP(TRIM(G1403),ARRAYFORMULA(TRIM('indice columnas'!$A$2:$A$100)),'indice columnas'!$B$2:$B$100,""""),
col,IFERROR(MATCH(campo,Referencia!$A$1:$AZ$1,0),0),
fila,IFERROR(MATCH(TO_TEXT(D1403),ARRAYFOR"&amp;"MULA(TO_TEXT(Referencia!$A$2:$A6238)),0),0),
IF(OR(campo="""",campo=""-""),""NO APLICA"",
IF(col=0,""REVISAR EQUIVALENCIA"",
IF(fila=0,""SKU NO ENCONTRADO"",
LET(
valor,INDEX(Referencia!$A$2:$AZ6238,fila,col),
IF(TRIM(TO_TEXT(valor))=TRIM(TO_TEXT(I1403)),"&amp;"
""OK"",
""NO COINCIDE. Valor verdadero: ""&amp;IF(valor="""",""[VACÍO]"",TO_TEXT(valor))
)
))))
),""ERROR EN FÓRMULA""))"),"NO COINCIDE. Valor verdadero: 42 x 20 x 2000 (Ancho x Alto x Largo)")</f>
        <v>NO COINCIDE. Valor verdadero: 42 x 20 x 2000 (Ancho x Alto x Largo)</v>
      </c>
    </row>
    <row r="1404">
      <c r="A1404" s="83" t="s">
        <v>4618</v>
      </c>
      <c r="B1404" s="83" t="s">
        <v>4619</v>
      </c>
      <c r="C1404" s="81" t="s">
        <v>4621</v>
      </c>
      <c r="D1404" s="83" t="s">
        <v>4325</v>
      </c>
      <c r="E1404" s="81" t="s">
        <v>1374</v>
      </c>
      <c r="F1404" s="84">
        <v>264.0</v>
      </c>
      <c r="G1404" s="81" t="s">
        <v>44</v>
      </c>
      <c r="H1404" s="81" t="s">
        <v>224</v>
      </c>
      <c r="I1404" s="81" t="s">
        <v>924</v>
      </c>
      <c r="J1404" s="81" t="s">
        <v>4088</v>
      </c>
      <c r="K1404" s="81" t="str">
        <f>IFERROR(__xludf.DUMMYFUNCTION("IF(OR(D1404="""",G1404=""""),"""",IFERROR(LET(
campo,XLOOKUP(TRIM(G1404),ARRAYFORMULA(TRIM('indice columnas'!$A$2:$A$100)),'indice columnas'!$B$2:$B$100,""""),
col,IFERROR(MATCH(campo,Referencia!$A$1:$AZ$1,0),0),
fila,IFERROR(MATCH(TO_TEXT(D1404),ARRAYFOR"&amp;"MULA(TO_TEXT(Referencia!$A$2:$A6238)),0),0),
IF(OR(campo="""",campo=""-""),""NO APLICA"",
IF(col=0,""REVISAR EQUIVALENCIA"",
IF(fila=0,""SKU NO ENCONTRADO"",
LET(
valor,INDEX(Referencia!$A$2:$AZ6238,fila,col),
IF(TRIM(TO_TEXT(valor))=TRIM(TO_TEXT(I1404)),"&amp;"
""OK"",
""NO COINCIDE. Valor verdadero: ""&amp;IF(valor="""",""[VACÍO]"",TO_TEXT(valor))
)
))))
),""ERROR EN FÓRMULA""))"),"NO APLICA")</f>
        <v>NO APLICA</v>
      </c>
    </row>
    <row r="1405">
      <c r="A1405" s="83" t="s">
        <v>4618</v>
      </c>
      <c r="B1405" s="83" t="s">
        <v>4619</v>
      </c>
      <c r="C1405" s="81" t="s">
        <v>4621</v>
      </c>
      <c r="D1405" s="83" t="s">
        <v>4326</v>
      </c>
      <c r="E1405" s="81" t="s">
        <v>1375</v>
      </c>
      <c r="F1405" s="84">
        <v>265.0</v>
      </c>
      <c r="G1405" s="81" t="s">
        <v>12</v>
      </c>
      <c r="H1405" s="81" t="s">
        <v>224</v>
      </c>
      <c r="I1405" s="81" t="s">
        <v>55</v>
      </c>
      <c r="J1405" s="81" t="s">
        <v>224</v>
      </c>
      <c r="K1405" s="81" t="str">
        <f>IFERROR(__xludf.DUMMYFUNCTION("IF(OR(D1405="""",G1405=""""),"""",IFERROR(LET(
campo,XLOOKUP(TRIM(G1405),ARRAYFORMULA(TRIM('indice columnas'!$A$2:$A$100)),'indice columnas'!$B$2:$B$100,""""),
col,IFERROR(MATCH(campo,Referencia!$A$1:$AZ$1,0),0),
fila,IFERROR(MATCH(TO_TEXT(D1405),ARRAYFOR"&amp;"MULA(TO_TEXT(Referencia!$A$2:$A6238)),0),0),
IF(OR(campo="""",campo=""-""),""NO APLICA"",
IF(col=0,""REVISAR EQUIVALENCIA"",
IF(fila=0,""SKU NO ENCONTRADO"",
LET(
valor,INDEX(Referencia!$A$2:$AZ6238,fila,col),
IF(TRIM(TO_TEXT(valor))=TRIM(TO_TEXT(I1405)),"&amp;"
""OK"",
""NO COINCIDE. Valor verdadero: ""&amp;IF(valor="""",""[VACÍO]"",TO_TEXT(valor))
)
))))
),""ERROR EN FÓRMULA""))"),"OK")</f>
        <v>OK</v>
      </c>
    </row>
    <row r="1406">
      <c r="A1406" s="83" t="s">
        <v>4618</v>
      </c>
      <c r="B1406" s="83" t="s">
        <v>4619</v>
      </c>
      <c r="C1406" s="81" t="s">
        <v>4621</v>
      </c>
      <c r="D1406" s="83" t="s">
        <v>4326</v>
      </c>
      <c r="E1406" s="81" t="s">
        <v>1375</v>
      </c>
      <c r="F1406" s="84">
        <v>265.0</v>
      </c>
      <c r="G1406" s="81" t="s">
        <v>29</v>
      </c>
      <c r="H1406" s="81" t="s">
        <v>4327</v>
      </c>
      <c r="I1406" s="81" t="s">
        <v>1376</v>
      </c>
      <c r="J1406" s="81" t="s">
        <v>224</v>
      </c>
      <c r="K1406" s="81" t="str">
        <f>IFERROR(__xludf.DUMMYFUNCTION("IF(OR(D1406="""",G1406=""""),"""",IFERROR(LET(
campo,XLOOKUP(TRIM(G1406),ARRAYFORMULA(TRIM('indice columnas'!$A$2:$A$100)),'indice columnas'!$B$2:$B$100,""""),
col,IFERROR(MATCH(campo,Referencia!$A$1:$AZ$1,0),0),
fila,IFERROR(MATCH(TO_TEXT(D1406),ARRAYFOR"&amp;"MULA(TO_TEXT(Referencia!$A$2:$A6238)),0),0),
IF(OR(campo="""",campo=""-""),""NO APLICA"",
IF(col=0,""REVISAR EQUIVALENCIA"",
IF(fila=0,""SKU NO ENCONTRADO"",
LET(
valor,INDEX(Referencia!$A$2:$AZ6238,fila,col),
IF(TRIM(TO_TEXT(valor))=TRIM(TO_TEXT(I1406)),"&amp;"
""OK"",
""NO COINCIDE. Valor verdadero: ""&amp;IF(valor="""",""[VACÍO]"",TO_TEXT(valor))
)
))))
),""ERROR EN FÓRMULA""))"),"NO COINCIDE. Valor verdadero: 42 x 20 x 3000 (Ancho x Alto x Largo)")</f>
        <v>NO COINCIDE. Valor verdadero: 42 x 20 x 3000 (Ancho x Alto x Largo)</v>
      </c>
    </row>
    <row r="1407">
      <c r="A1407" s="83" t="s">
        <v>4618</v>
      </c>
      <c r="B1407" s="83" t="s">
        <v>4619</v>
      </c>
      <c r="C1407" s="81" t="s">
        <v>4621</v>
      </c>
      <c r="D1407" s="83" t="s">
        <v>4326</v>
      </c>
      <c r="E1407" s="81" t="s">
        <v>1375</v>
      </c>
      <c r="F1407" s="84">
        <v>265.0</v>
      </c>
      <c r="G1407" s="81" t="s">
        <v>44</v>
      </c>
      <c r="H1407" s="81" t="s">
        <v>224</v>
      </c>
      <c r="I1407" s="81" t="s">
        <v>924</v>
      </c>
      <c r="J1407" s="81" t="s">
        <v>4088</v>
      </c>
      <c r="K1407" s="81" t="str">
        <f>IFERROR(__xludf.DUMMYFUNCTION("IF(OR(D1407="""",G1407=""""),"""",IFERROR(LET(
campo,XLOOKUP(TRIM(G1407),ARRAYFORMULA(TRIM('indice columnas'!$A$2:$A$100)),'indice columnas'!$B$2:$B$100,""""),
col,IFERROR(MATCH(campo,Referencia!$A$1:$AZ$1,0),0),
fila,IFERROR(MATCH(TO_TEXT(D1407),ARRAYFOR"&amp;"MULA(TO_TEXT(Referencia!$A$2:$A6238)),0),0),
IF(OR(campo="""",campo=""-""),""NO APLICA"",
IF(col=0,""REVISAR EQUIVALENCIA"",
IF(fila=0,""SKU NO ENCONTRADO"",
LET(
valor,INDEX(Referencia!$A$2:$AZ6238,fila,col),
IF(TRIM(TO_TEXT(valor))=TRIM(TO_TEXT(I1407)),"&amp;"
""OK"",
""NO COINCIDE. Valor verdadero: ""&amp;IF(valor="""",""[VACÍO]"",TO_TEXT(valor))
)
))))
),""ERROR EN FÓRMULA""))"),"NO APLICA")</f>
        <v>NO APLICA</v>
      </c>
    </row>
    <row r="1408">
      <c r="A1408" s="83" t="s">
        <v>4618</v>
      </c>
      <c r="B1408" s="83" t="s">
        <v>4619</v>
      </c>
      <c r="C1408" s="81" t="s">
        <v>4621</v>
      </c>
      <c r="D1408" s="83" t="s">
        <v>4328</v>
      </c>
      <c r="E1408" s="81" t="s">
        <v>1379</v>
      </c>
      <c r="F1408" s="84">
        <v>266.0</v>
      </c>
      <c r="G1408" s="81" t="s">
        <v>12</v>
      </c>
      <c r="H1408" s="81" t="s">
        <v>224</v>
      </c>
      <c r="I1408" s="81" t="s">
        <v>55</v>
      </c>
      <c r="J1408" s="81" t="s">
        <v>224</v>
      </c>
      <c r="K1408" s="81" t="str">
        <f>IFERROR(__xludf.DUMMYFUNCTION("IF(OR(D1408="""",G1408=""""),"""",IFERROR(LET(
campo,XLOOKUP(TRIM(G1408),ARRAYFORMULA(TRIM('indice columnas'!$A$2:$A$100)),'indice columnas'!$B$2:$B$100,""""),
col,IFERROR(MATCH(campo,Referencia!$A$1:$AZ$1,0),0),
fila,IFERROR(MATCH(TO_TEXT(D1408),ARRAYFOR"&amp;"MULA(TO_TEXT(Referencia!$A$2:$A6238)),0),0),
IF(OR(campo="""",campo=""-""),""NO APLICA"",
IF(col=0,""REVISAR EQUIVALENCIA"",
IF(fila=0,""SKU NO ENCONTRADO"",
LET(
valor,INDEX(Referencia!$A$2:$AZ6238,fila,col),
IF(TRIM(TO_TEXT(valor))=TRIM(TO_TEXT(I1408)),"&amp;"
""OK"",
""NO COINCIDE. Valor verdadero: ""&amp;IF(valor="""",""[VACÍO]"",TO_TEXT(valor))
)
))))
),""ERROR EN FÓRMULA""))"),"OK")</f>
        <v>OK</v>
      </c>
    </row>
    <row r="1409">
      <c r="A1409" s="83" t="s">
        <v>4618</v>
      </c>
      <c r="B1409" s="83" t="s">
        <v>4619</v>
      </c>
      <c r="C1409" s="81" t="s">
        <v>4621</v>
      </c>
      <c r="D1409" s="83" t="s">
        <v>4328</v>
      </c>
      <c r="E1409" s="81" t="s">
        <v>1379</v>
      </c>
      <c r="F1409" s="84">
        <v>266.0</v>
      </c>
      <c r="G1409" s="81" t="s">
        <v>29</v>
      </c>
      <c r="H1409" s="81" t="s">
        <v>4327</v>
      </c>
      <c r="I1409" s="81" t="s">
        <v>1376</v>
      </c>
      <c r="J1409" s="81" t="s">
        <v>224</v>
      </c>
      <c r="K1409" s="81" t="str">
        <f>IFERROR(__xludf.DUMMYFUNCTION("IF(OR(D1409="""",G1409=""""),"""",IFERROR(LET(
campo,XLOOKUP(TRIM(G1409),ARRAYFORMULA(TRIM('indice columnas'!$A$2:$A$100)),'indice columnas'!$B$2:$B$100,""""),
col,IFERROR(MATCH(campo,Referencia!$A$1:$AZ$1,0),0),
fila,IFERROR(MATCH(TO_TEXT(D1409),ARRAYFOR"&amp;"MULA(TO_TEXT(Referencia!$A$2:$A6238)),0),0),
IF(OR(campo="""",campo=""-""),""NO APLICA"",
IF(col=0,""REVISAR EQUIVALENCIA"",
IF(fila=0,""SKU NO ENCONTRADO"",
LET(
valor,INDEX(Referencia!$A$2:$AZ6238,fila,col),
IF(TRIM(TO_TEXT(valor))=TRIM(TO_TEXT(I1409)),"&amp;"
""OK"",
""NO COINCIDE. Valor verdadero: ""&amp;IF(valor="""",""[VACÍO]"",TO_TEXT(valor))
)
))))
),""ERROR EN FÓRMULA""))"),"NO COINCIDE. Valor verdadero: 42 x 20 x 3000 (Ancho x Alto x Largo)")</f>
        <v>NO COINCIDE. Valor verdadero: 42 x 20 x 3000 (Ancho x Alto x Largo)</v>
      </c>
    </row>
    <row r="1410">
      <c r="A1410" s="83" t="s">
        <v>4618</v>
      </c>
      <c r="B1410" s="83" t="s">
        <v>4619</v>
      </c>
      <c r="C1410" s="81" t="s">
        <v>4621</v>
      </c>
      <c r="D1410" s="83" t="s">
        <v>4328</v>
      </c>
      <c r="E1410" s="81" t="s">
        <v>1379</v>
      </c>
      <c r="F1410" s="84">
        <v>266.0</v>
      </c>
      <c r="G1410" s="81" t="s">
        <v>44</v>
      </c>
      <c r="H1410" s="81" t="s">
        <v>224</v>
      </c>
      <c r="I1410" s="81" t="s">
        <v>924</v>
      </c>
      <c r="J1410" s="81" t="s">
        <v>4088</v>
      </c>
      <c r="K1410" s="81" t="str">
        <f>IFERROR(__xludf.DUMMYFUNCTION("IF(OR(D1410="""",G1410=""""),"""",IFERROR(LET(
campo,XLOOKUP(TRIM(G1410),ARRAYFORMULA(TRIM('indice columnas'!$A$2:$A$100)),'indice columnas'!$B$2:$B$100,""""),
col,IFERROR(MATCH(campo,Referencia!$A$1:$AZ$1,0),0),
fila,IFERROR(MATCH(TO_TEXT(D1410),ARRAYFOR"&amp;"MULA(TO_TEXT(Referencia!$A$2:$A6238)),0),0),
IF(OR(campo="""",campo=""-""),""NO APLICA"",
IF(col=0,""REVISAR EQUIVALENCIA"",
IF(fila=0,""SKU NO ENCONTRADO"",
LET(
valor,INDEX(Referencia!$A$2:$AZ6238,fila,col),
IF(TRIM(TO_TEXT(valor))=TRIM(TO_TEXT(I1410)),"&amp;"
""OK"",
""NO COINCIDE. Valor verdadero: ""&amp;IF(valor="""",""[VACÍO]"",TO_TEXT(valor))
)
))))
),""ERROR EN FÓRMULA""))"),"NO APLICA")</f>
        <v>NO APLICA</v>
      </c>
    </row>
    <row r="1411">
      <c r="A1411" s="83" t="s">
        <v>4618</v>
      </c>
      <c r="B1411" s="83" t="s">
        <v>4619</v>
      </c>
      <c r="C1411" s="81" t="s">
        <v>4621</v>
      </c>
      <c r="D1411" s="83" t="s">
        <v>4329</v>
      </c>
      <c r="E1411" s="81" t="s">
        <v>1380</v>
      </c>
      <c r="F1411" s="84">
        <v>267.0</v>
      </c>
      <c r="G1411" s="81" t="s">
        <v>44</v>
      </c>
      <c r="H1411" s="81" t="s">
        <v>224</v>
      </c>
      <c r="I1411" s="81" t="s">
        <v>1051</v>
      </c>
      <c r="J1411" s="81" t="s">
        <v>4088</v>
      </c>
      <c r="K1411" s="81" t="str">
        <f>IFERROR(__xludf.DUMMYFUNCTION("IF(OR(D1411="""",G1411=""""),"""",IFERROR(LET(
campo,XLOOKUP(TRIM(G1411),ARRAYFORMULA(TRIM('indice columnas'!$A$2:$A$100)),'indice columnas'!$B$2:$B$100,""""),
col,IFERROR(MATCH(campo,Referencia!$A$1:$AZ$1,0),0),
fila,IFERROR(MATCH(TO_TEXT(D1411),ARRAYFOR"&amp;"MULA(TO_TEXT(Referencia!$A$2:$A6238)),0),0),
IF(OR(campo="""",campo=""-""),""NO APLICA"",
IF(col=0,""REVISAR EQUIVALENCIA"",
IF(fila=0,""SKU NO ENCONTRADO"",
LET(
valor,INDEX(Referencia!$A$2:$AZ6238,fila,col),
IF(TRIM(TO_TEXT(valor))=TRIM(TO_TEXT(I1411)),"&amp;"
""OK"",
""NO COINCIDE. Valor verdadero: ""&amp;IF(valor="""",""[VACÍO]"",TO_TEXT(valor))
)
))))
),""ERROR EN FÓRMULA""))"),"NO APLICA")</f>
        <v>NO APLICA</v>
      </c>
    </row>
    <row r="1412">
      <c r="A1412" s="83" t="s">
        <v>4618</v>
      </c>
      <c r="B1412" s="83" t="s">
        <v>4619</v>
      </c>
      <c r="C1412" s="81" t="s">
        <v>4621</v>
      </c>
      <c r="D1412" s="83" t="s">
        <v>4329</v>
      </c>
      <c r="E1412" s="81" t="s">
        <v>1387</v>
      </c>
      <c r="F1412" s="84">
        <v>268.0</v>
      </c>
      <c r="G1412" s="81" t="s">
        <v>12</v>
      </c>
      <c r="H1412" s="81" t="s">
        <v>224</v>
      </c>
      <c r="I1412" s="81" t="s">
        <v>55</v>
      </c>
      <c r="J1412" s="81" t="s">
        <v>224</v>
      </c>
      <c r="K1412" s="81" t="str">
        <f>IFERROR(__xludf.DUMMYFUNCTION("IF(OR(D1412="""",G1412=""""),"""",IFERROR(LET(
campo,XLOOKUP(TRIM(G1412),ARRAYFORMULA(TRIM('indice columnas'!$A$2:$A$100)),'indice columnas'!$B$2:$B$100,""""),
col,IFERROR(MATCH(campo,Referencia!$A$1:$AZ$1,0),0),
fila,IFERROR(MATCH(TO_TEXT(D1412),ARRAYFOR"&amp;"MULA(TO_TEXT(Referencia!$A$2:$A6238)),0),0),
IF(OR(campo="""",campo=""-""),""NO APLICA"",
IF(col=0,""REVISAR EQUIVALENCIA"",
IF(fila=0,""SKU NO ENCONTRADO"",
LET(
valor,INDEX(Referencia!$A$2:$AZ6238,fila,col),
IF(TRIM(TO_TEXT(valor))=TRIM(TO_TEXT(I1412)),"&amp;"
""OK"",
""NO COINCIDE. Valor verdadero: ""&amp;IF(valor="""",""[VACÍO]"",TO_TEXT(valor))
)
))))
),""ERROR EN FÓRMULA""))"),"OK")</f>
        <v>OK</v>
      </c>
    </row>
    <row r="1413">
      <c r="A1413" s="83" t="s">
        <v>4618</v>
      </c>
      <c r="B1413" s="83" t="s">
        <v>4619</v>
      </c>
      <c r="C1413" s="81" t="s">
        <v>4621</v>
      </c>
      <c r="D1413" s="83" t="s">
        <v>4329</v>
      </c>
      <c r="E1413" s="81" t="s">
        <v>1387</v>
      </c>
      <c r="F1413" s="84">
        <v>268.0</v>
      </c>
      <c r="G1413" s="81" t="s">
        <v>29</v>
      </c>
      <c r="H1413" s="81" t="s">
        <v>4330</v>
      </c>
      <c r="I1413" s="81" t="s">
        <v>1381</v>
      </c>
      <c r="J1413" s="81" t="s">
        <v>224</v>
      </c>
      <c r="K1413" s="81" t="str">
        <f>IFERROR(__xludf.DUMMYFUNCTION("IF(OR(D1413="""",G1413=""""),"""",IFERROR(LET(
campo,XLOOKUP(TRIM(G1413),ARRAYFORMULA(TRIM('indice columnas'!$A$2:$A$100)),'indice columnas'!$B$2:$B$100,""""),
col,IFERROR(MATCH(campo,Referencia!$A$1:$AZ$1,0),0),
fila,IFERROR(MATCH(TO_TEXT(D1413),ARRAYFOR"&amp;"MULA(TO_TEXT(Referencia!$A$2:$A6238)),0),0),
IF(OR(campo="""",campo=""-""),""NO APLICA"",
IF(col=0,""REVISAR EQUIVALENCIA"",
IF(fila=0,""SKU NO ENCONTRADO"",
LET(
valor,INDEX(Referencia!$A$2:$AZ6238,fila,col),
IF(TRIM(TO_TEXT(valor))=TRIM(TO_TEXT(I1413)),"&amp;"
""OK"",
""NO COINCIDE. Valor verdadero: ""&amp;IF(valor="""",""[VACÍO]"",TO_TEXT(valor))
)
))))
),""ERROR EN FÓRMULA""))"),"NO COINCIDE. Valor verdadero: 42 x 36 x 1000 (Ancho x Alto x Largo)")</f>
        <v>NO COINCIDE. Valor verdadero: 42 x 36 x 1000 (Ancho x Alto x Largo)</v>
      </c>
    </row>
    <row r="1414">
      <c r="A1414" s="83" t="s">
        <v>4618</v>
      </c>
      <c r="B1414" s="83" t="s">
        <v>4619</v>
      </c>
      <c r="C1414" s="81" t="s">
        <v>4621</v>
      </c>
      <c r="D1414" s="83" t="s">
        <v>4329</v>
      </c>
      <c r="E1414" s="81" t="s">
        <v>1387</v>
      </c>
      <c r="F1414" s="84">
        <v>268.0</v>
      </c>
      <c r="G1414" s="81" t="s">
        <v>44</v>
      </c>
      <c r="H1414" s="81" t="s">
        <v>224</v>
      </c>
      <c r="I1414" s="81" t="s">
        <v>1051</v>
      </c>
      <c r="J1414" s="81" t="s">
        <v>4088</v>
      </c>
      <c r="K1414" s="81" t="str">
        <f>IFERROR(__xludf.DUMMYFUNCTION("IF(OR(D1414="""",G1414=""""),"""",IFERROR(LET(
campo,XLOOKUP(TRIM(G1414),ARRAYFORMULA(TRIM('indice columnas'!$A$2:$A$100)),'indice columnas'!$B$2:$B$100,""""),
col,IFERROR(MATCH(campo,Referencia!$A$1:$AZ$1,0),0),
fila,IFERROR(MATCH(TO_TEXT(D1414),ARRAYFOR"&amp;"MULA(TO_TEXT(Referencia!$A$2:$A6238)),0),0),
IF(OR(campo="""",campo=""-""),""NO APLICA"",
IF(col=0,""REVISAR EQUIVALENCIA"",
IF(fila=0,""SKU NO ENCONTRADO"",
LET(
valor,INDEX(Referencia!$A$2:$AZ6238,fila,col),
IF(TRIM(TO_TEXT(valor))=TRIM(TO_TEXT(I1414)),"&amp;"
""OK"",
""NO COINCIDE. Valor verdadero: ""&amp;IF(valor="""",""[VACÍO]"",TO_TEXT(valor))
)
))))
),""ERROR EN FÓRMULA""))"),"NO APLICA")</f>
        <v>NO APLICA</v>
      </c>
    </row>
    <row r="1415">
      <c r="A1415" s="83" t="s">
        <v>4618</v>
      </c>
      <c r="B1415" s="83" t="s">
        <v>4619</v>
      </c>
      <c r="C1415" s="81" t="s">
        <v>4621</v>
      </c>
      <c r="D1415" s="83" t="s">
        <v>4331</v>
      </c>
      <c r="E1415" s="81" t="s">
        <v>1388</v>
      </c>
      <c r="F1415" s="84">
        <v>269.0</v>
      </c>
      <c r="G1415" s="81" t="s">
        <v>12</v>
      </c>
      <c r="H1415" s="81" t="s">
        <v>224</v>
      </c>
      <c r="I1415" s="81" t="s">
        <v>55</v>
      </c>
      <c r="J1415" s="81" t="s">
        <v>224</v>
      </c>
      <c r="K1415" s="81" t="str">
        <f>IFERROR(__xludf.DUMMYFUNCTION("IF(OR(D1415="""",G1415=""""),"""",IFERROR(LET(
campo,XLOOKUP(TRIM(G1415),ARRAYFORMULA(TRIM('indice columnas'!$A$2:$A$100)),'indice columnas'!$B$2:$B$100,""""),
col,IFERROR(MATCH(campo,Referencia!$A$1:$AZ$1,0),0),
fila,IFERROR(MATCH(TO_TEXT(D1415),ARRAYFOR"&amp;"MULA(TO_TEXT(Referencia!$A$2:$A6238)),0),0),
IF(OR(campo="""",campo=""-""),""NO APLICA"",
IF(col=0,""REVISAR EQUIVALENCIA"",
IF(fila=0,""SKU NO ENCONTRADO"",
LET(
valor,INDEX(Referencia!$A$2:$AZ6238,fila,col),
IF(TRIM(TO_TEXT(valor))=TRIM(TO_TEXT(I1415)),"&amp;"
""OK"",
""NO COINCIDE. Valor verdadero: ""&amp;IF(valor="""",""[VACÍO]"",TO_TEXT(valor))
)
))))
),""ERROR EN FÓRMULA""))"),"OK")</f>
        <v>OK</v>
      </c>
    </row>
    <row r="1416">
      <c r="A1416" s="83" t="s">
        <v>4618</v>
      </c>
      <c r="B1416" s="83" t="s">
        <v>4619</v>
      </c>
      <c r="C1416" s="81" t="s">
        <v>4621</v>
      </c>
      <c r="D1416" s="83" t="s">
        <v>4331</v>
      </c>
      <c r="E1416" s="81" t="s">
        <v>1388</v>
      </c>
      <c r="F1416" s="84">
        <v>269.0</v>
      </c>
      <c r="G1416" s="81" t="s">
        <v>29</v>
      </c>
      <c r="H1416" s="81" t="s">
        <v>4330</v>
      </c>
      <c r="I1416" s="81" t="s">
        <v>1381</v>
      </c>
      <c r="J1416" s="81" t="s">
        <v>224</v>
      </c>
      <c r="K1416" s="81" t="str">
        <f>IFERROR(__xludf.DUMMYFUNCTION("IF(OR(D1416="""",G1416=""""),"""",IFERROR(LET(
campo,XLOOKUP(TRIM(G1416),ARRAYFORMULA(TRIM('indice columnas'!$A$2:$A$100)),'indice columnas'!$B$2:$B$100,""""),
col,IFERROR(MATCH(campo,Referencia!$A$1:$AZ$1,0),0),
fila,IFERROR(MATCH(TO_TEXT(D1416),ARRAYFOR"&amp;"MULA(TO_TEXT(Referencia!$A$2:$A6238)),0),0),
IF(OR(campo="""",campo=""-""),""NO APLICA"",
IF(col=0,""REVISAR EQUIVALENCIA"",
IF(fila=0,""SKU NO ENCONTRADO"",
LET(
valor,INDEX(Referencia!$A$2:$AZ6238,fila,col),
IF(TRIM(TO_TEXT(valor))=TRIM(TO_TEXT(I1416)),"&amp;"
""OK"",
""NO COINCIDE. Valor verdadero: ""&amp;IF(valor="""",""[VACÍO]"",TO_TEXT(valor))
)
))))
),""ERROR EN FÓRMULA""))"),"NO COINCIDE. Valor verdadero: 42 x 36 x 1000 (Ancho x Alto x Largo)")</f>
        <v>NO COINCIDE. Valor verdadero: 42 x 36 x 1000 (Ancho x Alto x Largo)</v>
      </c>
    </row>
    <row r="1417">
      <c r="A1417" s="83" t="s">
        <v>4618</v>
      </c>
      <c r="B1417" s="83" t="s">
        <v>4619</v>
      </c>
      <c r="C1417" s="81" t="s">
        <v>4621</v>
      </c>
      <c r="D1417" s="83" t="s">
        <v>4331</v>
      </c>
      <c r="E1417" s="81" t="s">
        <v>1388</v>
      </c>
      <c r="F1417" s="84">
        <v>269.0</v>
      </c>
      <c r="G1417" s="81" t="s">
        <v>44</v>
      </c>
      <c r="H1417" s="81" t="s">
        <v>224</v>
      </c>
      <c r="I1417" s="81" t="s">
        <v>1051</v>
      </c>
      <c r="J1417" s="81" t="s">
        <v>4088</v>
      </c>
      <c r="K1417" s="81" t="str">
        <f>IFERROR(__xludf.DUMMYFUNCTION("IF(OR(D1417="""",G1417=""""),"""",IFERROR(LET(
campo,XLOOKUP(TRIM(G1417),ARRAYFORMULA(TRIM('indice columnas'!$A$2:$A$100)),'indice columnas'!$B$2:$B$100,""""),
col,IFERROR(MATCH(campo,Referencia!$A$1:$AZ$1,0),0),
fila,IFERROR(MATCH(TO_TEXT(D1417),ARRAYFOR"&amp;"MULA(TO_TEXT(Referencia!$A$2:$A6238)),0),0),
IF(OR(campo="""",campo=""-""),""NO APLICA"",
IF(col=0,""REVISAR EQUIVALENCIA"",
IF(fila=0,""SKU NO ENCONTRADO"",
LET(
valor,INDEX(Referencia!$A$2:$AZ6238,fila,col),
IF(TRIM(TO_TEXT(valor))=TRIM(TO_TEXT(I1417)),"&amp;"
""OK"",
""NO COINCIDE. Valor verdadero: ""&amp;IF(valor="""",""[VACÍO]"",TO_TEXT(valor))
)
))))
),""ERROR EN FÓRMULA""))"),"NO APLICA")</f>
        <v>NO APLICA</v>
      </c>
    </row>
    <row r="1418">
      <c r="A1418" s="83" t="s">
        <v>4618</v>
      </c>
      <c r="B1418" s="83" t="s">
        <v>4619</v>
      </c>
      <c r="C1418" s="81" t="s">
        <v>4621</v>
      </c>
      <c r="D1418" s="83" t="s">
        <v>4332</v>
      </c>
      <c r="E1418" s="81" t="s">
        <v>1391</v>
      </c>
      <c r="F1418" s="84">
        <v>270.0</v>
      </c>
      <c r="G1418" s="81" t="s">
        <v>12</v>
      </c>
      <c r="H1418" s="81" t="s">
        <v>224</v>
      </c>
      <c r="I1418" s="81" t="s">
        <v>55</v>
      </c>
      <c r="J1418" s="81" t="s">
        <v>224</v>
      </c>
      <c r="K1418" s="81" t="str">
        <f>IFERROR(__xludf.DUMMYFUNCTION("IF(OR(D1418="""",G1418=""""),"""",IFERROR(LET(
campo,XLOOKUP(TRIM(G1418),ARRAYFORMULA(TRIM('indice columnas'!$A$2:$A$100)),'indice columnas'!$B$2:$B$100,""""),
col,IFERROR(MATCH(campo,Referencia!$A$1:$AZ$1,0),0),
fila,IFERROR(MATCH(TO_TEXT(D1418),ARRAYFOR"&amp;"MULA(TO_TEXT(Referencia!$A$2:$A6238)),0),0),
IF(OR(campo="""",campo=""-""),""NO APLICA"",
IF(col=0,""REVISAR EQUIVALENCIA"",
IF(fila=0,""SKU NO ENCONTRADO"",
LET(
valor,INDEX(Referencia!$A$2:$AZ6238,fila,col),
IF(TRIM(TO_TEXT(valor))=TRIM(TO_TEXT(I1418)),"&amp;"
""OK"",
""NO COINCIDE. Valor verdadero: ""&amp;IF(valor="""",""[VACÍO]"",TO_TEXT(valor))
)
))))
),""ERROR EN FÓRMULA""))"),"OK")</f>
        <v>OK</v>
      </c>
    </row>
    <row r="1419">
      <c r="A1419" s="83" t="s">
        <v>4618</v>
      </c>
      <c r="B1419" s="83" t="s">
        <v>4619</v>
      </c>
      <c r="C1419" s="81" t="s">
        <v>4621</v>
      </c>
      <c r="D1419" s="83" t="s">
        <v>4332</v>
      </c>
      <c r="E1419" s="81" t="s">
        <v>1391</v>
      </c>
      <c r="F1419" s="84">
        <v>270.0</v>
      </c>
      <c r="G1419" s="81" t="s">
        <v>29</v>
      </c>
      <c r="H1419" s="81" t="s">
        <v>4333</v>
      </c>
      <c r="I1419" s="81" t="s">
        <v>1392</v>
      </c>
      <c r="J1419" s="81" t="s">
        <v>224</v>
      </c>
      <c r="K1419" s="81" t="str">
        <f>IFERROR(__xludf.DUMMYFUNCTION("IF(OR(D1419="""",G1419=""""),"""",IFERROR(LET(
campo,XLOOKUP(TRIM(G1419),ARRAYFORMULA(TRIM('indice columnas'!$A$2:$A$100)),'indice columnas'!$B$2:$B$100,""""),
col,IFERROR(MATCH(campo,Referencia!$A$1:$AZ$1,0),0),
fila,IFERROR(MATCH(TO_TEXT(D1419),ARRAYFOR"&amp;"MULA(TO_TEXT(Referencia!$A$2:$A6238)),0),0),
IF(OR(campo="""",campo=""-""),""NO APLICA"",
IF(col=0,""REVISAR EQUIVALENCIA"",
IF(fila=0,""SKU NO ENCONTRADO"",
LET(
valor,INDEX(Referencia!$A$2:$AZ6238,fila,col),
IF(TRIM(TO_TEXT(valor))=TRIM(TO_TEXT(I1419)),"&amp;"
""OK"",
""NO COINCIDE. Valor verdadero: ""&amp;IF(valor="""",""[VACÍO]"",TO_TEXT(valor))
)
))))
),""ERROR EN FÓRMULA""))"),"NO COINCIDE. Valor verdadero: 42 x 36 x 2000 (Ancho x Alto x Largo)")</f>
        <v>NO COINCIDE. Valor verdadero: 42 x 36 x 2000 (Ancho x Alto x Largo)</v>
      </c>
    </row>
    <row r="1420">
      <c r="A1420" s="83" t="s">
        <v>4618</v>
      </c>
      <c r="B1420" s="83" t="s">
        <v>4619</v>
      </c>
      <c r="C1420" s="81" t="s">
        <v>4621</v>
      </c>
      <c r="D1420" s="83" t="s">
        <v>4332</v>
      </c>
      <c r="E1420" s="81" t="s">
        <v>1391</v>
      </c>
      <c r="F1420" s="84">
        <v>270.0</v>
      </c>
      <c r="G1420" s="81" t="s">
        <v>44</v>
      </c>
      <c r="H1420" s="81" t="s">
        <v>224</v>
      </c>
      <c r="I1420" s="81" t="s">
        <v>1051</v>
      </c>
      <c r="J1420" s="81" t="s">
        <v>4088</v>
      </c>
      <c r="K1420" s="81" t="str">
        <f>IFERROR(__xludf.DUMMYFUNCTION("IF(OR(D1420="""",G1420=""""),"""",IFERROR(LET(
campo,XLOOKUP(TRIM(G1420),ARRAYFORMULA(TRIM('indice columnas'!$A$2:$A$100)),'indice columnas'!$B$2:$B$100,""""),
col,IFERROR(MATCH(campo,Referencia!$A$1:$AZ$1,0),0),
fila,IFERROR(MATCH(TO_TEXT(D1420),ARRAYFOR"&amp;"MULA(TO_TEXT(Referencia!$A$2:$A6238)),0),0),
IF(OR(campo="""",campo=""-""),""NO APLICA"",
IF(col=0,""REVISAR EQUIVALENCIA"",
IF(fila=0,""SKU NO ENCONTRADO"",
LET(
valor,INDEX(Referencia!$A$2:$AZ6238,fila,col),
IF(TRIM(TO_TEXT(valor))=TRIM(TO_TEXT(I1420)),"&amp;"
""OK"",
""NO COINCIDE. Valor verdadero: ""&amp;IF(valor="""",""[VACÍO]"",TO_TEXT(valor))
)
))))
),""ERROR EN FÓRMULA""))"),"NO APLICA")</f>
        <v>NO APLICA</v>
      </c>
    </row>
    <row r="1421">
      <c r="A1421" s="83" t="s">
        <v>4618</v>
      </c>
      <c r="B1421" s="83" t="s">
        <v>4619</v>
      </c>
      <c r="C1421" s="81" t="s">
        <v>4621</v>
      </c>
      <c r="D1421" s="83" t="s">
        <v>4334</v>
      </c>
      <c r="E1421" s="81" t="s">
        <v>1395</v>
      </c>
      <c r="F1421" s="84">
        <v>271.0</v>
      </c>
      <c r="G1421" s="81" t="s">
        <v>12</v>
      </c>
      <c r="H1421" s="81" t="s">
        <v>224</v>
      </c>
      <c r="I1421" s="81" t="s">
        <v>55</v>
      </c>
      <c r="J1421" s="81" t="s">
        <v>224</v>
      </c>
      <c r="K1421" s="81" t="str">
        <f>IFERROR(__xludf.DUMMYFUNCTION("IF(OR(D1421="""",G1421=""""),"""",IFERROR(LET(
campo,XLOOKUP(TRIM(G1421),ARRAYFORMULA(TRIM('indice columnas'!$A$2:$A$100)),'indice columnas'!$B$2:$B$100,""""),
col,IFERROR(MATCH(campo,Referencia!$A$1:$AZ$1,0),0),
fila,IFERROR(MATCH(TO_TEXT(D1421),ARRAYFOR"&amp;"MULA(TO_TEXT(Referencia!$A$2:$A6238)),0),0),
IF(OR(campo="""",campo=""-""),""NO APLICA"",
IF(col=0,""REVISAR EQUIVALENCIA"",
IF(fila=0,""SKU NO ENCONTRADO"",
LET(
valor,INDEX(Referencia!$A$2:$AZ6238,fila,col),
IF(TRIM(TO_TEXT(valor))=TRIM(TO_TEXT(I1421)),"&amp;"
""OK"",
""NO COINCIDE. Valor verdadero: ""&amp;IF(valor="""",""[VACÍO]"",TO_TEXT(valor))
)
))))
),""ERROR EN FÓRMULA""))"),"OK")</f>
        <v>OK</v>
      </c>
    </row>
    <row r="1422">
      <c r="A1422" s="83" t="s">
        <v>4618</v>
      </c>
      <c r="B1422" s="83" t="s">
        <v>4619</v>
      </c>
      <c r="C1422" s="81" t="s">
        <v>4621</v>
      </c>
      <c r="D1422" s="83" t="s">
        <v>4334</v>
      </c>
      <c r="E1422" s="81" t="s">
        <v>1395</v>
      </c>
      <c r="F1422" s="84">
        <v>271.0</v>
      </c>
      <c r="G1422" s="81" t="s">
        <v>29</v>
      </c>
      <c r="H1422" s="81" t="s">
        <v>4333</v>
      </c>
      <c r="I1422" s="81" t="s">
        <v>1392</v>
      </c>
      <c r="J1422" s="81" t="s">
        <v>224</v>
      </c>
      <c r="K1422" s="81" t="str">
        <f>IFERROR(__xludf.DUMMYFUNCTION("IF(OR(D1422="""",G1422=""""),"""",IFERROR(LET(
campo,XLOOKUP(TRIM(G1422),ARRAYFORMULA(TRIM('indice columnas'!$A$2:$A$100)),'indice columnas'!$B$2:$B$100,""""),
col,IFERROR(MATCH(campo,Referencia!$A$1:$AZ$1,0),0),
fila,IFERROR(MATCH(TO_TEXT(D1422),ARRAYFOR"&amp;"MULA(TO_TEXT(Referencia!$A$2:$A6238)),0),0),
IF(OR(campo="""",campo=""-""),""NO APLICA"",
IF(col=0,""REVISAR EQUIVALENCIA"",
IF(fila=0,""SKU NO ENCONTRADO"",
LET(
valor,INDEX(Referencia!$A$2:$AZ6238,fila,col),
IF(TRIM(TO_TEXT(valor))=TRIM(TO_TEXT(I1422)),"&amp;"
""OK"",
""NO COINCIDE. Valor verdadero: ""&amp;IF(valor="""",""[VACÍO]"",TO_TEXT(valor))
)
))))
),""ERROR EN FÓRMULA""))"),"NO COINCIDE. Valor verdadero: 42 x 36 x 2000 (Ancho x Alto x Largo)")</f>
        <v>NO COINCIDE. Valor verdadero: 42 x 36 x 2000 (Ancho x Alto x Largo)</v>
      </c>
    </row>
    <row r="1423">
      <c r="A1423" s="83" t="s">
        <v>4618</v>
      </c>
      <c r="B1423" s="83" t="s">
        <v>4619</v>
      </c>
      <c r="C1423" s="81" t="s">
        <v>4621</v>
      </c>
      <c r="D1423" s="83" t="s">
        <v>4334</v>
      </c>
      <c r="E1423" s="81" t="s">
        <v>1395</v>
      </c>
      <c r="F1423" s="84">
        <v>271.0</v>
      </c>
      <c r="G1423" s="81" t="s">
        <v>44</v>
      </c>
      <c r="H1423" s="81" t="s">
        <v>224</v>
      </c>
      <c r="I1423" s="81" t="s">
        <v>1051</v>
      </c>
      <c r="J1423" s="81" t="s">
        <v>4088</v>
      </c>
      <c r="K1423" s="81" t="str">
        <f>IFERROR(__xludf.DUMMYFUNCTION("IF(OR(D1423="""",G1423=""""),"""",IFERROR(LET(
campo,XLOOKUP(TRIM(G1423),ARRAYFORMULA(TRIM('indice columnas'!$A$2:$A$100)),'indice columnas'!$B$2:$B$100,""""),
col,IFERROR(MATCH(campo,Referencia!$A$1:$AZ$1,0),0),
fila,IFERROR(MATCH(TO_TEXT(D1423),ARRAYFOR"&amp;"MULA(TO_TEXT(Referencia!$A$2:$A6238)),0),0),
IF(OR(campo="""",campo=""-""),""NO APLICA"",
IF(col=0,""REVISAR EQUIVALENCIA"",
IF(fila=0,""SKU NO ENCONTRADO"",
LET(
valor,INDEX(Referencia!$A$2:$AZ6238,fila,col),
IF(TRIM(TO_TEXT(valor))=TRIM(TO_TEXT(I1423)),"&amp;"
""OK"",
""NO COINCIDE. Valor verdadero: ""&amp;IF(valor="""",""[VACÍO]"",TO_TEXT(valor))
)
))))
),""ERROR EN FÓRMULA""))"),"NO APLICA")</f>
        <v>NO APLICA</v>
      </c>
    </row>
    <row r="1424">
      <c r="A1424" s="83" t="s">
        <v>4618</v>
      </c>
      <c r="B1424" s="83" t="s">
        <v>4619</v>
      </c>
      <c r="C1424" s="81" t="s">
        <v>4621</v>
      </c>
      <c r="D1424" s="83" t="s">
        <v>4335</v>
      </c>
      <c r="E1424" s="81" t="s">
        <v>1396</v>
      </c>
      <c r="F1424" s="84">
        <v>272.0</v>
      </c>
      <c r="G1424" s="81" t="s">
        <v>12</v>
      </c>
      <c r="H1424" s="81" t="s">
        <v>224</v>
      </c>
      <c r="I1424" s="81" t="s">
        <v>55</v>
      </c>
      <c r="J1424" s="81" t="s">
        <v>224</v>
      </c>
      <c r="K1424" s="81" t="str">
        <f>IFERROR(__xludf.DUMMYFUNCTION("IF(OR(D1424="""",G1424=""""),"""",IFERROR(LET(
campo,XLOOKUP(TRIM(G1424),ARRAYFORMULA(TRIM('indice columnas'!$A$2:$A$100)),'indice columnas'!$B$2:$B$100,""""),
col,IFERROR(MATCH(campo,Referencia!$A$1:$AZ$1,0),0),
fila,IFERROR(MATCH(TO_TEXT(D1424),ARRAYFOR"&amp;"MULA(TO_TEXT(Referencia!$A$2:$A6238)),0),0),
IF(OR(campo="""",campo=""-""),""NO APLICA"",
IF(col=0,""REVISAR EQUIVALENCIA"",
IF(fila=0,""SKU NO ENCONTRADO"",
LET(
valor,INDEX(Referencia!$A$2:$AZ6238,fila,col),
IF(TRIM(TO_TEXT(valor))=TRIM(TO_TEXT(I1424)),"&amp;"
""OK"",
""NO COINCIDE. Valor verdadero: ""&amp;IF(valor="""",""[VACÍO]"",TO_TEXT(valor))
)
))))
),""ERROR EN FÓRMULA""))"),"OK")</f>
        <v>OK</v>
      </c>
    </row>
    <row r="1425">
      <c r="A1425" s="83" t="s">
        <v>4618</v>
      </c>
      <c r="B1425" s="83" t="s">
        <v>4619</v>
      </c>
      <c r="C1425" s="81" t="s">
        <v>4621</v>
      </c>
      <c r="D1425" s="83" t="s">
        <v>4335</v>
      </c>
      <c r="E1425" s="81" t="s">
        <v>1396</v>
      </c>
      <c r="F1425" s="84">
        <v>272.0</v>
      </c>
      <c r="G1425" s="81" t="s">
        <v>29</v>
      </c>
      <c r="H1425" s="81" t="s">
        <v>4336</v>
      </c>
      <c r="I1425" s="81" t="s">
        <v>1397</v>
      </c>
      <c r="J1425" s="81" t="s">
        <v>224</v>
      </c>
      <c r="K1425" s="81" t="str">
        <f>IFERROR(__xludf.DUMMYFUNCTION("IF(OR(D1425="""",G1425=""""),"""",IFERROR(LET(
campo,XLOOKUP(TRIM(G1425),ARRAYFORMULA(TRIM('indice columnas'!$A$2:$A$100)),'indice columnas'!$B$2:$B$100,""""),
col,IFERROR(MATCH(campo,Referencia!$A$1:$AZ$1,0),0),
fila,IFERROR(MATCH(TO_TEXT(D1425),ARRAYFOR"&amp;"MULA(TO_TEXT(Referencia!$A$2:$A6238)),0),0),
IF(OR(campo="""",campo=""-""),""NO APLICA"",
IF(col=0,""REVISAR EQUIVALENCIA"",
IF(fila=0,""SKU NO ENCONTRADO"",
LET(
valor,INDEX(Referencia!$A$2:$AZ6238,fila,col),
IF(TRIM(TO_TEXT(valor))=TRIM(TO_TEXT(I1425)),"&amp;"
""OK"",
""NO COINCIDE. Valor verdadero: ""&amp;IF(valor="""",""[VACÍO]"",TO_TEXT(valor))
)
))))
),""ERROR EN FÓRMULA""))"),"NO COINCIDE. Valor verdadero: 42 x 36 x 3000 (Ancho x Alto x Largo)")</f>
        <v>NO COINCIDE. Valor verdadero: 42 x 36 x 3000 (Ancho x Alto x Largo)</v>
      </c>
    </row>
    <row r="1426">
      <c r="A1426" s="83" t="s">
        <v>4618</v>
      </c>
      <c r="B1426" s="83" t="s">
        <v>4619</v>
      </c>
      <c r="C1426" s="81" t="s">
        <v>4621</v>
      </c>
      <c r="D1426" s="83" t="s">
        <v>4335</v>
      </c>
      <c r="E1426" s="81" t="s">
        <v>1396</v>
      </c>
      <c r="F1426" s="84">
        <v>272.0</v>
      </c>
      <c r="G1426" s="81" t="s">
        <v>44</v>
      </c>
      <c r="H1426" s="81" t="s">
        <v>224</v>
      </c>
      <c r="I1426" s="81" t="s">
        <v>1051</v>
      </c>
      <c r="J1426" s="81" t="s">
        <v>4088</v>
      </c>
      <c r="K1426" s="81" t="str">
        <f>IFERROR(__xludf.DUMMYFUNCTION("IF(OR(D1426="""",G1426=""""),"""",IFERROR(LET(
campo,XLOOKUP(TRIM(G1426),ARRAYFORMULA(TRIM('indice columnas'!$A$2:$A$100)),'indice columnas'!$B$2:$B$100,""""),
col,IFERROR(MATCH(campo,Referencia!$A$1:$AZ$1,0),0),
fila,IFERROR(MATCH(TO_TEXT(D1426),ARRAYFOR"&amp;"MULA(TO_TEXT(Referencia!$A$2:$A6238)),0),0),
IF(OR(campo="""",campo=""-""),""NO APLICA"",
IF(col=0,""REVISAR EQUIVALENCIA"",
IF(fila=0,""SKU NO ENCONTRADO"",
LET(
valor,INDEX(Referencia!$A$2:$AZ6238,fila,col),
IF(TRIM(TO_TEXT(valor))=TRIM(TO_TEXT(I1426)),"&amp;"
""OK"",
""NO COINCIDE. Valor verdadero: ""&amp;IF(valor="""",""[VACÍO]"",TO_TEXT(valor))
)
))))
),""ERROR EN FÓRMULA""))"),"NO APLICA")</f>
        <v>NO APLICA</v>
      </c>
    </row>
    <row r="1427">
      <c r="A1427" s="83" t="s">
        <v>4618</v>
      </c>
      <c r="B1427" s="83" t="s">
        <v>4619</v>
      </c>
      <c r="C1427" s="81" t="s">
        <v>4621</v>
      </c>
      <c r="D1427" s="83" t="s">
        <v>4337</v>
      </c>
      <c r="E1427" s="81" t="s">
        <v>1400</v>
      </c>
      <c r="F1427" s="84">
        <v>273.0</v>
      </c>
      <c r="G1427" s="81" t="s">
        <v>12</v>
      </c>
      <c r="H1427" s="81" t="s">
        <v>224</v>
      </c>
      <c r="I1427" s="81" t="s">
        <v>55</v>
      </c>
      <c r="J1427" s="81" t="s">
        <v>224</v>
      </c>
      <c r="K1427" s="81" t="str">
        <f>IFERROR(__xludf.DUMMYFUNCTION("IF(OR(D1427="""",G1427=""""),"""",IFERROR(LET(
campo,XLOOKUP(TRIM(G1427),ARRAYFORMULA(TRIM('indice columnas'!$A$2:$A$100)),'indice columnas'!$B$2:$B$100,""""),
col,IFERROR(MATCH(campo,Referencia!$A$1:$AZ$1,0),0),
fila,IFERROR(MATCH(TO_TEXT(D1427),ARRAYFOR"&amp;"MULA(TO_TEXT(Referencia!$A$2:$A6238)),0),0),
IF(OR(campo="""",campo=""-""),""NO APLICA"",
IF(col=0,""REVISAR EQUIVALENCIA"",
IF(fila=0,""SKU NO ENCONTRADO"",
LET(
valor,INDEX(Referencia!$A$2:$AZ6238,fila,col),
IF(TRIM(TO_TEXT(valor))=TRIM(TO_TEXT(I1427)),"&amp;"
""OK"",
""NO COINCIDE. Valor verdadero: ""&amp;IF(valor="""",""[VACÍO]"",TO_TEXT(valor))
)
))))
),""ERROR EN FÓRMULA""))"),"OK")</f>
        <v>OK</v>
      </c>
    </row>
    <row r="1428">
      <c r="A1428" s="83" t="s">
        <v>4618</v>
      </c>
      <c r="B1428" s="83" t="s">
        <v>4619</v>
      </c>
      <c r="C1428" s="81" t="s">
        <v>4621</v>
      </c>
      <c r="D1428" s="83" t="s">
        <v>4337</v>
      </c>
      <c r="E1428" s="81" t="s">
        <v>1400</v>
      </c>
      <c r="F1428" s="84">
        <v>273.0</v>
      </c>
      <c r="G1428" s="81" t="s">
        <v>29</v>
      </c>
      <c r="H1428" s="81" t="s">
        <v>4336</v>
      </c>
      <c r="I1428" s="81" t="s">
        <v>1397</v>
      </c>
      <c r="J1428" s="81" t="s">
        <v>224</v>
      </c>
      <c r="K1428" s="81" t="str">
        <f>IFERROR(__xludf.DUMMYFUNCTION("IF(OR(D1428="""",G1428=""""),"""",IFERROR(LET(
campo,XLOOKUP(TRIM(G1428),ARRAYFORMULA(TRIM('indice columnas'!$A$2:$A$100)),'indice columnas'!$B$2:$B$100,""""),
col,IFERROR(MATCH(campo,Referencia!$A$1:$AZ$1,0),0),
fila,IFERROR(MATCH(TO_TEXT(D1428),ARRAYFOR"&amp;"MULA(TO_TEXT(Referencia!$A$2:$A6238)),0),0),
IF(OR(campo="""",campo=""-""),""NO APLICA"",
IF(col=0,""REVISAR EQUIVALENCIA"",
IF(fila=0,""SKU NO ENCONTRADO"",
LET(
valor,INDEX(Referencia!$A$2:$AZ6238,fila,col),
IF(TRIM(TO_TEXT(valor))=TRIM(TO_TEXT(I1428)),"&amp;"
""OK"",
""NO COINCIDE. Valor verdadero: ""&amp;IF(valor="""",""[VACÍO]"",TO_TEXT(valor))
)
))))
),""ERROR EN FÓRMULA""))"),"NO COINCIDE. Valor verdadero: 42 x 36 x 3000 (Ancho x Alto x Largo)")</f>
        <v>NO COINCIDE. Valor verdadero: 42 x 36 x 3000 (Ancho x Alto x Largo)</v>
      </c>
    </row>
    <row r="1429">
      <c r="A1429" s="83" t="s">
        <v>4618</v>
      </c>
      <c r="B1429" s="83" t="s">
        <v>4619</v>
      </c>
      <c r="C1429" s="81" t="s">
        <v>4621</v>
      </c>
      <c r="D1429" s="83" t="s">
        <v>4337</v>
      </c>
      <c r="E1429" s="81" t="s">
        <v>1400</v>
      </c>
      <c r="F1429" s="84">
        <v>273.0</v>
      </c>
      <c r="G1429" s="81" t="s">
        <v>44</v>
      </c>
      <c r="H1429" s="81" t="s">
        <v>224</v>
      </c>
      <c r="I1429" s="81" t="s">
        <v>1051</v>
      </c>
      <c r="J1429" s="81" t="s">
        <v>4088</v>
      </c>
      <c r="K1429" s="81" t="str">
        <f>IFERROR(__xludf.DUMMYFUNCTION("IF(OR(D1429="""",G1429=""""),"""",IFERROR(LET(
campo,XLOOKUP(TRIM(G1429),ARRAYFORMULA(TRIM('indice columnas'!$A$2:$A$100)),'indice columnas'!$B$2:$B$100,""""),
col,IFERROR(MATCH(campo,Referencia!$A$1:$AZ$1,0),0),
fila,IFERROR(MATCH(TO_TEXT(D1429),ARRAYFOR"&amp;"MULA(TO_TEXT(Referencia!$A$2:$A6238)),0),0),
IF(OR(campo="""",campo=""-""),""NO APLICA"",
IF(col=0,""REVISAR EQUIVALENCIA"",
IF(fila=0,""SKU NO ENCONTRADO"",
LET(
valor,INDEX(Referencia!$A$2:$AZ6238,fila,col),
IF(TRIM(TO_TEXT(valor))=TRIM(TO_TEXT(I1429)),"&amp;"
""OK"",
""NO COINCIDE. Valor verdadero: ""&amp;IF(valor="""",""[VACÍO]"",TO_TEXT(valor))
)
))))
),""ERROR EN FÓRMULA""))"),"NO APLICA")</f>
        <v>NO APLICA</v>
      </c>
    </row>
    <row r="1430">
      <c r="A1430" s="83" t="s">
        <v>4618</v>
      </c>
      <c r="B1430" s="83" t="s">
        <v>4619</v>
      </c>
      <c r="C1430" s="81" t="s">
        <v>4621</v>
      </c>
      <c r="D1430" s="83" t="s">
        <v>4338</v>
      </c>
      <c r="E1430" s="81" t="s">
        <v>1401</v>
      </c>
      <c r="F1430" s="84">
        <v>274.0</v>
      </c>
      <c r="G1430" s="81" t="s">
        <v>44</v>
      </c>
      <c r="H1430" s="81" t="s">
        <v>4339</v>
      </c>
      <c r="I1430" s="81" t="s">
        <v>1401</v>
      </c>
      <c r="J1430" s="81" t="s">
        <v>4088</v>
      </c>
      <c r="K1430" s="81" t="str">
        <f>IFERROR(__xludf.DUMMYFUNCTION("IF(OR(D1430="""",G1430=""""),"""",IFERROR(LET(
campo,XLOOKUP(TRIM(G1430),ARRAYFORMULA(TRIM('indice columnas'!$A$2:$A$100)),'indice columnas'!$B$2:$B$100,""""),
col,IFERROR(MATCH(campo,Referencia!$A$1:$AZ$1,0),0),
fila,IFERROR(MATCH(TO_TEXT(D1430),ARRAYFOR"&amp;"MULA(TO_TEXT(Referencia!$A$2:$A6238)),0),0),
IF(OR(campo="""",campo=""-""),""NO APLICA"",
IF(col=0,""REVISAR EQUIVALENCIA"",
IF(fila=0,""SKU NO ENCONTRADO"",
LET(
valor,INDEX(Referencia!$A$2:$AZ6238,fila,col),
IF(TRIM(TO_TEXT(valor))=TRIM(TO_TEXT(I1430)),"&amp;"
""OK"",
""NO COINCIDE. Valor verdadero: ""&amp;IF(valor="""",""[VACÍO]"",TO_TEXT(valor))
)
))))
),""ERROR EN FÓRMULA""))"),"NO APLICA")</f>
        <v>NO APLICA</v>
      </c>
    </row>
    <row r="1431">
      <c r="A1431" s="83" t="s">
        <v>4618</v>
      </c>
      <c r="B1431" s="83" t="s">
        <v>4619</v>
      </c>
      <c r="C1431" s="81" t="s">
        <v>4621</v>
      </c>
      <c r="D1431" s="83" t="s">
        <v>4338</v>
      </c>
      <c r="E1431" s="81" t="s">
        <v>1419</v>
      </c>
      <c r="F1431" s="84">
        <v>275.0</v>
      </c>
      <c r="G1431" s="81" t="s">
        <v>29</v>
      </c>
      <c r="H1431" s="81" t="s">
        <v>4340</v>
      </c>
      <c r="I1431" s="81" t="s">
        <v>1421</v>
      </c>
      <c r="J1431" s="81" t="s">
        <v>224</v>
      </c>
      <c r="K1431" s="81" t="str">
        <f>IFERROR(__xludf.DUMMYFUNCTION("IF(OR(D1431="""",G1431=""""),"""",IFERROR(LET(
campo,XLOOKUP(TRIM(G1431),ARRAYFORMULA(TRIM('indice columnas'!$A$2:$A$100)),'indice columnas'!$B$2:$B$100,""""),
col,IFERROR(MATCH(campo,Referencia!$A$1:$AZ$1,0),0),
fila,IFERROR(MATCH(TO_TEXT(D1431),ARRAYFOR"&amp;"MULA(TO_TEXT(Referencia!$A$2:$A6238)),0),0),
IF(OR(campo="""",campo=""-""),""NO APLICA"",
IF(col=0,""REVISAR EQUIVALENCIA"",
IF(fila=0,""SKU NO ENCONTRADO"",
LET(
valor,INDEX(Referencia!$A$2:$AZ6238,fila,col),
IF(TRIM(TO_TEXT(valor))=TRIM(TO_TEXT(I1431)),"&amp;"
""OK"",
""NO COINCIDE. Valor verdadero: ""&amp;IF(valor="""",""[VACÍO]"",TO_TEXT(valor))
)
))))
),""ERROR EN FÓRMULA""))"),"NO COINCIDE. Valor verdadero: 33 x 60 x 600 (Ancho x Alto x Largo)")</f>
        <v>NO COINCIDE. Valor verdadero: 33 x 60 x 600 (Ancho x Alto x Largo)</v>
      </c>
    </row>
    <row r="1432">
      <c r="A1432" s="83" t="s">
        <v>4618</v>
      </c>
      <c r="B1432" s="83" t="s">
        <v>4619</v>
      </c>
      <c r="C1432" s="81" t="s">
        <v>4621</v>
      </c>
      <c r="D1432" s="83" t="s">
        <v>4338</v>
      </c>
      <c r="E1432" s="81" t="s">
        <v>1419</v>
      </c>
      <c r="F1432" s="84">
        <v>275.0</v>
      </c>
      <c r="G1432" s="81" t="s">
        <v>44</v>
      </c>
      <c r="H1432" s="81" t="s">
        <v>4339</v>
      </c>
      <c r="I1432" s="81" t="s">
        <v>1401</v>
      </c>
      <c r="J1432" s="81" t="s">
        <v>4088</v>
      </c>
      <c r="K1432" s="81" t="str">
        <f>IFERROR(__xludf.DUMMYFUNCTION("IF(OR(D1432="""",G1432=""""),"""",IFERROR(LET(
campo,XLOOKUP(TRIM(G1432),ARRAYFORMULA(TRIM('indice columnas'!$A$2:$A$100)),'indice columnas'!$B$2:$B$100,""""),
col,IFERROR(MATCH(campo,Referencia!$A$1:$AZ$1,0),0),
fila,IFERROR(MATCH(TO_TEXT(D1432),ARRAYFOR"&amp;"MULA(TO_TEXT(Referencia!$A$2:$A6238)),0),0),
IF(OR(campo="""",campo=""-""),""NO APLICA"",
IF(col=0,""REVISAR EQUIVALENCIA"",
IF(fila=0,""SKU NO ENCONTRADO"",
LET(
valor,INDEX(Referencia!$A$2:$AZ6238,fila,col),
IF(TRIM(TO_TEXT(valor))=TRIM(TO_TEXT(I1432)),"&amp;"
""OK"",
""NO COINCIDE. Valor verdadero: ""&amp;IF(valor="""",""[VACÍO]"",TO_TEXT(valor))
)
))))
),""ERROR EN FÓRMULA""))"),"NO APLICA")</f>
        <v>NO APLICA</v>
      </c>
    </row>
    <row r="1433">
      <c r="A1433" s="83" t="s">
        <v>4618</v>
      </c>
      <c r="B1433" s="83" t="s">
        <v>4619</v>
      </c>
      <c r="C1433" s="81" t="s">
        <v>4621</v>
      </c>
      <c r="D1433" s="83" t="s">
        <v>4341</v>
      </c>
      <c r="E1433" s="81" t="s">
        <v>1423</v>
      </c>
      <c r="F1433" s="84">
        <v>276.0</v>
      </c>
      <c r="G1433" s="81" t="s">
        <v>29</v>
      </c>
      <c r="H1433" s="81" t="s">
        <v>4340</v>
      </c>
      <c r="I1433" s="81" t="s">
        <v>1421</v>
      </c>
      <c r="J1433" s="81" t="s">
        <v>224</v>
      </c>
      <c r="K1433" s="81" t="str">
        <f>IFERROR(__xludf.DUMMYFUNCTION("IF(OR(D1433="""",G1433=""""),"""",IFERROR(LET(
campo,XLOOKUP(TRIM(G1433),ARRAYFORMULA(TRIM('indice columnas'!$A$2:$A$100)),'indice columnas'!$B$2:$B$100,""""),
col,IFERROR(MATCH(campo,Referencia!$A$1:$AZ$1,0),0),
fila,IFERROR(MATCH(TO_TEXT(D1433),ARRAYFOR"&amp;"MULA(TO_TEXT(Referencia!$A$2:$A6238)),0),0),
IF(OR(campo="""",campo=""-""),""NO APLICA"",
IF(col=0,""REVISAR EQUIVALENCIA"",
IF(fila=0,""SKU NO ENCONTRADO"",
LET(
valor,INDEX(Referencia!$A$2:$AZ6238,fila,col),
IF(TRIM(TO_TEXT(valor))=TRIM(TO_TEXT(I1433)),"&amp;"
""OK"",
""NO COINCIDE. Valor verdadero: ""&amp;IF(valor="""",""[VACÍO]"",TO_TEXT(valor))
)
))))
),""ERROR EN FÓRMULA""))"),"NO COINCIDE. Valor verdadero: 33 x 60 x 600 (Ancho x Alto x Largo)")</f>
        <v>NO COINCIDE. Valor verdadero: 33 x 60 x 600 (Ancho x Alto x Largo)</v>
      </c>
    </row>
    <row r="1434">
      <c r="A1434" s="83" t="s">
        <v>4618</v>
      </c>
      <c r="B1434" s="83" t="s">
        <v>4619</v>
      </c>
      <c r="C1434" s="81" t="s">
        <v>4621</v>
      </c>
      <c r="D1434" s="83" t="s">
        <v>4341</v>
      </c>
      <c r="E1434" s="81" t="s">
        <v>1423</v>
      </c>
      <c r="F1434" s="84">
        <v>276.0</v>
      </c>
      <c r="G1434" s="81" t="s">
        <v>44</v>
      </c>
      <c r="H1434" s="81" t="s">
        <v>4339</v>
      </c>
      <c r="I1434" s="81" t="s">
        <v>1401</v>
      </c>
      <c r="J1434" s="81" t="s">
        <v>4088</v>
      </c>
      <c r="K1434" s="81" t="str">
        <f>IFERROR(__xludf.DUMMYFUNCTION("IF(OR(D1434="""",G1434=""""),"""",IFERROR(LET(
campo,XLOOKUP(TRIM(G1434),ARRAYFORMULA(TRIM('indice columnas'!$A$2:$A$100)),'indice columnas'!$B$2:$B$100,""""),
col,IFERROR(MATCH(campo,Referencia!$A$1:$AZ$1,0),0),
fila,IFERROR(MATCH(TO_TEXT(D1434),ARRAYFOR"&amp;"MULA(TO_TEXT(Referencia!$A$2:$A6238)),0),0),
IF(OR(campo="""",campo=""-""),""NO APLICA"",
IF(col=0,""REVISAR EQUIVALENCIA"",
IF(fila=0,""SKU NO ENCONTRADO"",
LET(
valor,INDEX(Referencia!$A$2:$AZ6238,fila,col),
IF(TRIM(TO_TEXT(valor))=TRIM(TO_TEXT(I1434)),"&amp;"
""OK"",
""NO COINCIDE. Valor verdadero: ""&amp;IF(valor="""",""[VACÍO]"",TO_TEXT(valor))
)
))))
),""ERROR EN FÓRMULA""))"),"NO APLICA")</f>
        <v>NO APLICA</v>
      </c>
    </row>
    <row r="1435">
      <c r="A1435" s="83" t="s">
        <v>4618</v>
      </c>
      <c r="B1435" s="83" t="s">
        <v>4619</v>
      </c>
      <c r="C1435" s="81" t="s">
        <v>4621</v>
      </c>
      <c r="D1435" s="83" t="s">
        <v>4342</v>
      </c>
      <c r="E1435" s="81" t="s">
        <v>1426</v>
      </c>
      <c r="F1435" s="84">
        <v>277.0</v>
      </c>
      <c r="G1435" s="81" t="s">
        <v>29</v>
      </c>
      <c r="H1435" s="81" t="s">
        <v>4343</v>
      </c>
      <c r="I1435" s="81" t="s">
        <v>1431</v>
      </c>
      <c r="J1435" s="81" t="s">
        <v>224</v>
      </c>
      <c r="K1435" s="81" t="str">
        <f>IFERROR(__xludf.DUMMYFUNCTION("IF(OR(D1435="""",G1435=""""),"""",IFERROR(LET(
campo,XLOOKUP(TRIM(G1435),ARRAYFORMULA(TRIM('indice columnas'!$A$2:$A$100)),'indice columnas'!$B$2:$B$100,""""),
col,IFERROR(MATCH(campo,Referencia!$A$1:$AZ$1,0),0),
fila,IFERROR(MATCH(TO_TEXT(D1435),ARRAYFOR"&amp;"MULA(TO_TEXT(Referencia!$A$2:$A6238)),0),0),
IF(OR(campo="""",campo=""-""),""NO APLICA"",
IF(col=0,""REVISAR EQUIVALENCIA"",
IF(fila=0,""SKU NO ENCONTRADO"",
LET(
valor,INDEX(Referencia!$A$2:$AZ6238,fila,col),
IF(TRIM(TO_TEXT(valor))=TRIM(TO_TEXT(I1435)),"&amp;"
""OK"",
""NO COINCIDE. Valor verdadero: ""&amp;IF(valor="""",""[VACÍO]"",TO_TEXT(valor))
)
))))
),""ERROR EN FÓRMULA""))"),"NO COINCIDE. Valor verdadero: 33 x 60 x 1200 (Ancho x Alto x Largo)")</f>
        <v>NO COINCIDE. Valor verdadero: 33 x 60 x 1200 (Ancho x Alto x Largo)</v>
      </c>
    </row>
    <row r="1436">
      <c r="A1436" s="83" t="s">
        <v>4618</v>
      </c>
      <c r="B1436" s="83" t="s">
        <v>4619</v>
      </c>
      <c r="C1436" s="81" t="s">
        <v>4621</v>
      </c>
      <c r="D1436" s="83" t="s">
        <v>4342</v>
      </c>
      <c r="E1436" s="81" t="s">
        <v>1426</v>
      </c>
      <c r="F1436" s="84">
        <v>277.0</v>
      </c>
      <c r="G1436" s="81" t="s">
        <v>44</v>
      </c>
      <c r="H1436" s="81" t="s">
        <v>4339</v>
      </c>
      <c r="I1436" s="81" t="s">
        <v>1401</v>
      </c>
      <c r="J1436" s="81" t="s">
        <v>4088</v>
      </c>
      <c r="K1436" s="81" t="str">
        <f>IFERROR(__xludf.DUMMYFUNCTION("IF(OR(D1436="""",G1436=""""),"""",IFERROR(LET(
campo,XLOOKUP(TRIM(G1436),ARRAYFORMULA(TRIM('indice columnas'!$A$2:$A$100)),'indice columnas'!$B$2:$B$100,""""),
col,IFERROR(MATCH(campo,Referencia!$A$1:$AZ$1,0),0),
fila,IFERROR(MATCH(TO_TEXT(D1436),ARRAYFOR"&amp;"MULA(TO_TEXT(Referencia!$A$2:$A6238)),0),0),
IF(OR(campo="""",campo=""-""),""NO APLICA"",
IF(col=0,""REVISAR EQUIVALENCIA"",
IF(fila=0,""SKU NO ENCONTRADO"",
LET(
valor,INDEX(Referencia!$A$2:$AZ6238,fila,col),
IF(TRIM(TO_TEXT(valor))=TRIM(TO_TEXT(I1436)),"&amp;"
""OK"",
""NO COINCIDE. Valor verdadero: ""&amp;IF(valor="""",""[VACÍO]"",TO_TEXT(valor))
)
))))
),""ERROR EN FÓRMULA""))"),"NO APLICA")</f>
        <v>NO APLICA</v>
      </c>
    </row>
    <row r="1437">
      <c r="A1437" s="83" t="s">
        <v>4618</v>
      </c>
      <c r="B1437" s="83" t="s">
        <v>4619</v>
      </c>
      <c r="C1437" s="81" t="s">
        <v>4621</v>
      </c>
      <c r="D1437" s="83" t="s">
        <v>4344</v>
      </c>
      <c r="E1437" s="81" t="s">
        <v>1438</v>
      </c>
      <c r="F1437" s="84">
        <v>278.0</v>
      </c>
      <c r="G1437" s="81" t="s">
        <v>29</v>
      </c>
      <c r="H1437" s="81" t="s">
        <v>4343</v>
      </c>
      <c r="I1437" s="81" t="s">
        <v>1431</v>
      </c>
      <c r="J1437" s="81" t="s">
        <v>224</v>
      </c>
      <c r="K1437" s="81" t="str">
        <f>IFERROR(__xludf.DUMMYFUNCTION("IF(OR(D1437="""",G1437=""""),"""",IFERROR(LET(
campo,XLOOKUP(TRIM(G1437),ARRAYFORMULA(TRIM('indice columnas'!$A$2:$A$100)),'indice columnas'!$B$2:$B$100,""""),
col,IFERROR(MATCH(campo,Referencia!$A$1:$AZ$1,0),0),
fila,IFERROR(MATCH(TO_TEXT(D1437),ARRAYFOR"&amp;"MULA(TO_TEXT(Referencia!$A$2:$A6238)),0),0),
IF(OR(campo="""",campo=""-""),""NO APLICA"",
IF(col=0,""REVISAR EQUIVALENCIA"",
IF(fila=0,""SKU NO ENCONTRADO"",
LET(
valor,INDEX(Referencia!$A$2:$AZ6238,fila,col),
IF(TRIM(TO_TEXT(valor))=TRIM(TO_TEXT(I1437)),"&amp;"
""OK"",
""NO COINCIDE. Valor verdadero: ""&amp;IF(valor="""",""[VACÍO]"",TO_TEXT(valor))
)
))))
),""ERROR EN FÓRMULA""))"),"NO COINCIDE. Valor verdadero: 33 x 60 x 1200 (Ancho x Alto x Largo)")</f>
        <v>NO COINCIDE. Valor verdadero: 33 x 60 x 1200 (Ancho x Alto x Largo)</v>
      </c>
    </row>
    <row r="1438">
      <c r="A1438" s="83" t="s">
        <v>4618</v>
      </c>
      <c r="B1438" s="83" t="s">
        <v>4619</v>
      </c>
      <c r="C1438" s="81" t="s">
        <v>4621</v>
      </c>
      <c r="D1438" s="83" t="s">
        <v>4344</v>
      </c>
      <c r="E1438" s="81" t="s">
        <v>1438</v>
      </c>
      <c r="F1438" s="84">
        <v>278.0</v>
      </c>
      <c r="G1438" s="81" t="s">
        <v>44</v>
      </c>
      <c r="H1438" s="81" t="s">
        <v>4339</v>
      </c>
      <c r="I1438" s="81" t="s">
        <v>1401</v>
      </c>
      <c r="J1438" s="81" t="s">
        <v>4088</v>
      </c>
      <c r="K1438" s="81" t="str">
        <f>IFERROR(__xludf.DUMMYFUNCTION("IF(OR(D1438="""",G1438=""""),"""",IFERROR(LET(
campo,XLOOKUP(TRIM(G1438),ARRAYFORMULA(TRIM('indice columnas'!$A$2:$A$100)),'indice columnas'!$B$2:$B$100,""""),
col,IFERROR(MATCH(campo,Referencia!$A$1:$AZ$1,0),0),
fila,IFERROR(MATCH(TO_TEXT(D1438),ARRAYFOR"&amp;"MULA(TO_TEXT(Referencia!$A$2:$A6238)),0),0),
IF(OR(campo="""",campo=""-""),""NO APLICA"",
IF(col=0,""REVISAR EQUIVALENCIA"",
IF(fila=0,""SKU NO ENCONTRADO"",
LET(
valor,INDEX(Referencia!$A$2:$AZ6238,fila,col),
IF(TRIM(TO_TEXT(valor))=TRIM(TO_TEXT(I1438)),"&amp;"
""OK"",
""NO COINCIDE. Valor verdadero: ""&amp;IF(valor="""",""[VACÍO]"",TO_TEXT(valor))
)
))))
),""ERROR EN FÓRMULA""))"),"NO APLICA")</f>
        <v>NO APLICA</v>
      </c>
    </row>
    <row r="1439">
      <c r="A1439" s="83" t="s">
        <v>4618</v>
      </c>
      <c r="B1439" s="83" t="s">
        <v>4619</v>
      </c>
      <c r="C1439" s="81" t="s">
        <v>4621</v>
      </c>
      <c r="D1439" s="83" t="s">
        <v>4345</v>
      </c>
      <c r="E1439" s="81" t="s">
        <v>1441</v>
      </c>
      <c r="F1439" s="84">
        <v>279.0</v>
      </c>
      <c r="G1439" s="81" t="s">
        <v>29</v>
      </c>
      <c r="H1439" s="81" t="s">
        <v>4346</v>
      </c>
      <c r="I1439" s="81" t="s">
        <v>1446</v>
      </c>
      <c r="J1439" s="81" t="s">
        <v>224</v>
      </c>
      <c r="K1439" s="81" t="str">
        <f>IFERROR(__xludf.DUMMYFUNCTION("IF(OR(D1439="""",G1439=""""),"""",IFERROR(LET(
campo,XLOOKUP(TRIM(G1439),ARRAYFORMULA(TRIM('indice columnas'!$A$2:$A$100)),'indice columnas'!$B$2:$B$100,""""),
col,IFERROR(MATCH(campo,Referencia!$A$1:$AZ$1,0),0),
fila,IFERROR(MATCH(TO_TEXT(D1439),ARRAYFOR"&amp;"MULA(TO_TEXT(Referencia!$A$2:$A6238)),0),0),
IF(OR(campo="""",campo=""-""),""NO APLICA"",
IF(col=0,""REVISAR EQUIVALENCIA"",
IF(fila=0,""SKU NO ENCONTRADO"",
LET(
valor,INDEX(Referencia!$A$2:$AZ6238,fila,col),
IF(TRIM(TO_TEXT(valor))=TRIM(TO_TEXT(I1439)),"&amp;"
""OK"",
""NO COINCIDE. Valor verdadero: ""&amp;IF(valor="""",""[VACÍO]"",TO_TEXT(valor))
)
))))
),""ERROR EN FÓRMULA""))"),"NO COINCIDE. Valor verdadero: 33 x 60 x 1800 (Ancho x Alto x Largo)")</f>
        <v>NO COINCIDE. Valor verdadero: 33 x 60 x 1800 (Ancho x Alto x Largo)</v>
      </c>
    </row>
    <row r="1440">
      <c r="A1440" s="83" t="s">
        <v>4618</v>
      </c>
      <c r="B1440" s="83" t="s">
        <v>4619</v>
      </c>
      <c r="C1440" s="81" t="s">
        <v>4621</v>
      </c>
      <c r="D1440" s="83" t="s">
        <v>4345</v>
      </c>
      <c r="E1440" s="81" t="s">
        <v>1441</v>
      </c>
      <c r="F1440" s="84">
        <v>279.0</v>
      </c>
      <c r="G1440" s="81" t="s">
        <v>44</v>
      </c>
      <c r="H1440" s="81" t="s">
        <v>4339</v>
      </c>
      <c r="I1440" s="81" t="s">
        <v>1401</v>
      </c>
      <c r="J1440" s="81" t="s">
        <v>4088</v>
      </c>
      <c r="K1440" s="81" t="str">
        <f>IFERROR(__xludf.DUMMYFUNCTION("IF(OR(D1440="""",G1440=""""),"""",IFERROR(LET(
campo,XLOOKUP(TRIM(G1440),ARRAYFORMULA(TRIM('indice columnas'!$A$2:$A$100)),'indice columnas'!$B$2:$B$100,""""),
col,IFERROR(MATCH(campo,Referencia!$A$1:$AZ$1,0),0),
fila,IFERROR(MATCH(TO_TEXT(D1440),ARRAYFOR"&amp;"MULA(TO_TEXT(Referencia!$A$2:$A6238)),0),0),
IF(OR(campo="""",campo=""-""),""NO APLICA"",
IF(col=0,""REVISAR EQUIVALENCIA"",
IF(fila=0,""SKU NO ENCONTRADO"",
LET(
valor,INDEX(Referencia!$A$2:$AZ6238,fila,col),
IF(TRIM(TO_TEXT(valor))=TRIM(TO_TEXT(I1440)),"&amp;"
""OK"",
""NO COINCIDE. Valor verdadero: ""&amp;IF(valor="""",""[VACÍO]"",TO_TEXT(valor))
)
))))
),""ERROR EN FÓRMULA""))"),"NO APLICA")</f>
        <v>NO APLICA</v>
      </c>
    </row>
    <row r="1441">
      <c r="A1441" s="83" t="s">
        <v>4618</v>
      </c>
      <c r="B1441" s="83" t="s">
        <v>4619</v>
      </c>
      <c r="C1441" s="81" t="s">
        <v>4621</v>
      </c>
      <c r="D1441" s="83" t="s">
        <v>4347</v>
      </c>
      <c r="E1441" s="81" t="s">
        <v>1453</v>
      </c>
      <c r="F1441" s="84">
        <v>280.0</v>
      </c>
      <c r="G1441" s="81" t="s">
        <v>29</v>
      </c>
      <c r="H1441" s="81" t="s">
        <v>4346</v>
      </c>
      <c r="I1441" s="81" t="s">
        <v>1446</v>
      </c>
      <c r="J1441" s="81" t="s">
        <v>224</v>
      </c>
      <c r="K1441" s="81" t="str">
        <f>IFERROR(__xludf.DUMMYFUNCTION("IF(OR(D1441="""",G1441=""""),"""",IFERROR(LET(
campo,XLOOKUP(TRIM(G1441),ARRAYFORMULA(TRIM('indice columnas'!$A$2:$A$100)),'indice columnas'!$B$2:$B$100,""""),
col,IFERROR(MATCH(campo,Referencia!$A$1:$AZ$1,0),0),
fila,IFERROR(MATCH(TO_TEXT(D1441),ARRAYFOR"&amp;"MULA(TO_TEXT(Referencia!$A$2:$A6238)),0),0),
IF(OR(campo="""",campo=""-""),""NO APLICA"",
IF(col=0,""REVISAR EQUIVALENCIA"",
IF(fila=0,""SKU NO ENCONTRADO"",
LET(
valor,INDEX(Referencia!$A$2:$AZ6238,fila,col),
IF(TRIM(TO_TEXT(valor))=TRIM(TO_TEXT(I1441)),"&amp;"
""OK"",
""NO COINCIDE. Valor verdadero: ""&amp;IF(valor="""",""[VACÍO]"",TO_TEXT(valor))
)
))))
),""ERROR EN FÓRMULA""))"),"NO COINCIDE. Valor verdadero: 33 x 60 x 1800 (Ancho x Alto x Largo)")</f>
        <v>NO COINCIDE. Valor verdadero: 33 x 60 x 1800 (Ancho x Alto x Largo)</v>
      </c>
    </row>
    <row r="1442">
      <c r="A1442" s="83" t="s">
        <v>4618</v>
      </c>
      <c r="B1442" s="83" t="s">
        <v>4619</v>
      </c>
      <c r="C1442" s="81" t="s">
        <v>4621</v>
      </c>
      <c r="D1442" s="83" t="s">
        <v>4347</v>
      </c>
      <c r="E1442" s="81" t="s">
        <v>1453</v>
      </c>
      <c r="F1442" s="84">
        <v>280.0</v>
      </c>
      <c r="G1442" s="81" t="s">
        <v>44</v>
      </c>
      <c r="H1442" s="81" t="s">
        <v>4339</v>
      </c>
      <c r="I1442" s="81" t="s">
        <v>1401</v>
      </c>
      <c r="J1442" s="81" t="s">
        <v>4088</v>
      </c>
      <c r="K1442" s="81" t="str">
        <f>IFERROR(__xludf.DUMMYFUNCTION("IF(OR(D1442="""",G1442=""""),"""",IFERROR(LET(
campo,XLOOKUP(TRIM(G1442),ARRAYFORMULA(TRIM('indice columnas'!$A$2:$A$100)),'indice columnas'!$B$2:$B$100,""""),
col,IFERROR(MATCH(campo,Referencia!$A$1:$AZ$1,0),0),
fila,IFERROR(MATCH(TO_TEXT(D1442),ARRAYFOR"&amp;"MULA(TO_TEXT(Referencia!$A$2:$A6238)),0),0),
IF(OR(campo="""",campo=""-""),""NO APLICA"",
IF(col=0,""REVISAR EQUIVALENCIA"",
IF(fila=0,""SKU NO ENCONTRADO"",
LET(
valor,INDEX(Referencia!$A$2:$AZ6238,fila,col),
IF(TRIM(TO_TEXT(valor))=TRIM(TO_TEXT(I1442)),"&amp;"
""OK"",
""NO COINCIDE. Valor verdadero: ""&amp;IF(valor="""",""[VACÍO]"",TO_TEXT(valor))
)
))))
),""ERROR EN FÓRMULA""))"),"NO APLICA")</f>
        <v>NO APLICA</v>
      </c>
    </row>
    <row r="1443">
      <c r="A1443" s="83" t="s">
        <v>4618</v>
      </c>
      <c r="B1443" s="83" t="s">
        <v>4619</v>
      </c>
      <c r="C1443" s="81" t="s">
        <v>4621</v>
      </c>
      <c r="D1443" s="83" t="s">
        <v>4348</v>
      </c>
      <c r="E1443" s="81" t="s">
        <v>1456</v>
      </c>
      <c r="F1443" s="84">
        <v>281.0</v>
      </c>
      <c r="G1443" s="81" t="s">
        <v>29</v>
      </c>
      <c r="H1443" s="81" t="s">
        <v>4349</v>
      </c>
      <c r="I1443" s="81" t="s">
        <v>1461</v>
      </c>
      <c r="J1443" s="81" t="s">
        <v>224</v>
      </c>
      <c r="K1443" s="81" t="str">
        <f>IFERROR(__xludf.DUMMYFUNCTION("IF(OR(D1443="""",G1443=""""),"""",IFERROR(LET(
campo,XLOOKUP(TRIM(G1443),ARRAYFORMULA(TRIM('indice columnas'!$A$2:$A$100)),'indice columnas'!$B$2:$B$100,""""),
col,IFERROR(MATCH(campo,Referencia!$A$1:$AZ$1,0),0),
fila,IFERROR(MATCH(TO_TEXT(D1443),ARRAYFOR"&amp;"MULA(TO_TEXT(Referencia!$A$2:$A6238)),0),0),
IF(OR(campo="""",campo=""-""),""NO APLICA"",
IF(col=0,""REVISAR EQUIVALENCIA"",
IF(fila=0,""SKU NO ENCONTRADO"",
LET(
valor,INDEX(Referencia!$A$2:$AZ6238,fila,col),
IF(TRIM(TO_TEXT(valor))=TRIM(TO_TEXT(I1443)),"&amp;"
""OK"",
""NO COINCIDE. Valor verdadero: ""&amp;IF(valor="""",""[VACÍO]"",TO_TEXT(valor))
)
))))
),""ERROR EN FÓRMULA""))"),"NO COINCIDE. Valor verdadero: 33 x 60 x 2400 (Ancho x Alto x Largo)")</f>
        <v>NO COINCIDE. Valor verdadero: 33 x 60 x 2400 (Ancho x Alto x Largo)</v>
      </c>
    </row>
    <row r="1444">
      <c r="A1444" s="83" t="s">
        <v>4618</v>
      </c>
      <c r="B1444" s="83" t="s">
        <v>4619</v>
      </c>
      <c r="C1444" s="81" t="s">
        <v>4621</v>
      </c>
      <c r="D1444" s="83" t="s">
        <v>4348</v>
      </c>
      <c r="E1444" s="81" t="s">
        <v>1456</v>
      </c>
      <c r="F1444" s="84">
        <v>281.0</v>
      </c>
      <c r="G1444" s="81" t="s">
        <v>44</v>
      </c>
      <c r="H1444" s="81" t="s">
        <v>4339</v>
      </c>
      <c r="I1444" s="81" t="s">
        <v>1401</v>
      </c>
      <c r="J1444" s="81" t="s">
        <v>4088</v>
      </c>
      <c r="K1444" s="81" t="str">
        <f>IFERROR(__xludf.DUMMYFUNCTION("IF(OR(D1444="""",G1444=""""),"""",IFERROR(LET(
campo,XLOOKUP(TRIM(G1444),ARRAYFORMULA(TRIM('indice columnas'!$A$2:$A$100)),'indice columnas'!$B$2:$B$100,""""),
col,IFERROR(MATCH(campo,Referencia!$A$1:$AZ$1,0),0),
fila,IFERROR(MATCH(TO_TEXT(D1444),ARRAYFOR"&amp;"MULA(TO_TEXT(Referencia!$A$2:$A6238)),0),0),
IF(OR(campo="""",campo=""-""),""NO APLICA"",
IF(col=0,""REVISAR EQUIVALENCIA"",
IF(fila=0,""SKU NO ENCONTRADO"",
LET(
valor,INDEX(Referencia!$A$2:$AZ6238,fila,col),
IF(TRIM(TO_TEXT(valor))=TRIM(TO_TEXT(I1444)),"&amp;"
""OK"",
""NO COINCIDE. Valor verdadero: ""&amp;IF(valor="""",""[VACÍO]"",TO_TEXT(valor))
)
))))
),""ERROR EN FÓRMULA""))"),"NO APLICA")</f>
        <v>NO APLICA</v>
      </c>
    </row>
    <row r="1445">
      <c r="A1445" s="83" t="s">
        <v>4618</v>
      </c>
      <c r="B1445" s="83" t="s">
        <v>4619</v>
      </c>
      <c r="C1445" s="81" t="s">
        <v>4621</v>
      </c>
      <c r="D1445" s="83" t="s">
        <v>4350</v>
      </c>
      <c r="E1445" s="81" t="s">
        <v>1467</v>
      </c>
      <c r="F1445" s="84">
        <v>282.0</v>
      </c>
      <c r="G1445" s="81" t="s">
        <v>29</v>
      </c>
      <c r="H1445" s="81" t="s">
        <v>4349</v>
      </c>
      <c r="I1445" s="81" t="s">
        <v>1461</v>
      </c>
      <c r="J1445" s="81" t="s">
        <v>224</v>
      </c>
      <c r="K1445" s="81" t="str">
        <f>IFERROR(__xludf.DUMMYFUNCTION("IF(OR(D1445="""",G1445=""""),"""",IFERROR(LET(
campo,XLOOKUP(TRIM(G1445),ARRAYFORMULA(TRIM('indice columnas'!$A$2:$A$100)),'indice columnas'!$B$2:$B$100,""""),
col,IFERROR(MATCH(campo,Referencia!$A$1:$AZ$1,0),0),
fila,IFERROR(MATCH(TO_TEXT(D1445),ARRAYFOR"&amp;"MULA(TO_TEXT(Referencia!$A$2:$A6238)),0),0),
IF(OR(campo="""",campo=""-""),""NO APLICA"",
IF(col=0,""REVISAR EQUIVALENCIA"",
IF(fila=0,""SKU NO ENCONTRADO"",
LET(
valor,INDEX(Referencia!$A$2:$AZ6238,fila,col),
IF(TRIM(TO_TEXT(valor))=TRIM(TO_TEXT(I1445)),"&amp;"
""OK"",
""NO COINCIDE. Valor verdadero: ""&amp;IF(valor="""",""[VACÍO]"",TO_TEXT(valor))
)
))))
),""ERROR EN FÓRMULA""))"),"NO COINCIDE. Valor verdadero: 33 x 60 x 2400 (Ancho x Alto x Largo)")</f>
        <v>NO COINCIDE. Valor verdadero: 33 x 60 x 2400 (Ancho x Alto x Largo)</v>
      </c>
    </row>
    <row r="1446">
      <c r="A1446" s="83" t="s">
        <v>4618</v>
      </c>
      <c r="B1446" s="83" t="s">
        <v>4619</v>
      </c>
      <c r="C1446" s="81" t="s">
        <v>4621</v>
      </c>
      <c r="D1446" s="83" t="s">
        <v>4350</v>
      </c>
      <c r="E1446" s="81" t="s">
        <v>1467</v>
      </c>
      <c r="F1446" s="84">
        <v>282.0</v>
      </c>
      <c r="G1446" s="81" t="s">
        <v>44</v>
      </c>
      <c r="H1446" s="81" t="s">
        <v>4339</v>
      </c>
      <c r="I1446" s="81" t="s">
        <v>1401</v>
      </c>
      <c r="J1446" s="81" t="s">
        <v>4088</v>
      </c>
      <c r="K1446" s="81" t="str">
        <f>IFERROR(__xludf.DUMMYFUNCTION("IF(OR(D1446="""",G1446=""""),"""",IFERROR(LET(
campo,XLOOKUP(TRIM(G1446),ARRAYFORMULA(TRIM('indice columnas'!$A$2:$A$100)),'indice columnas'!$B$2:$B$100,""""),
col,IFERROR(MATCH(campo,Referencia!$A$1:$AZ$1,0),0),
fila,IFERROR(MATCH(TO_TEXT(D1446),ARRAYFOR"&amp;"MULA(TO_TEXT(Referencia!$A$2:$A6238)),0),0),
IF(OR(campo="""",campo=""-""),""NO APLICA"",
IF(col=0,""REVISAR EQUIVALENCIA"",
IF(fila=0,""SKU NO ENCONTRADO"",
LET(
valor,INDEX(Referencia!$A$2:$AZ6238,fila,col),
IF(TRIM(TO_TEXT(valor))=TRIM(TO_TEXT(I1446)),"&amp;"
""OK"",
""NO COINCIDE. Valor verdadero: ""&amp;IF(valor="""",""[VACÍO]"",TO_TEXT(valor))
)
))))
),""ERROR EN FÓRMULA""))"),"NO APLICA")</f>
        <v>NO APLICA</v>
      </c>
    </row>
    <row r="1447">
      <c r="A1447" s="83" t="s">
        <v>4618</v>
      </c>
      <c r="B1447" s="83" t="s">
        <v>4619</v>
      </c>
      <c r="C1447" s="81" t="s">
        <v>4621</v>
      </c>
      <c r="D1447" s="83" t="s">
        <v>4351</v>
      </c>
      <c r="E1447" s="81" t="s">
        <v>1470</v>
      </c>
      <c r="F1447" s="84">
        <v>283.0</v>
      </c>
      <c r="G1447" s="81" t="s">
        <v>44</v>
      </c>
      <c r="H1447" s="81" t="s">
        <v>224</v>
      </c>
      <c r="I1447" s="81" t="s">
        <v>1476</v>
      </c>
      <c r="J1447" s="81" t="s">
        <v>4088</v>
      </c>
      <c r="K1447" s="81" t="str">
        <f>IFERROR(__xludf.DUMMYFUNCTION("IF(OR(D1447="""",G1447=""""),"""",IFERROR(LET(
campo,XLOOKUP(TRIM(G1447),ARRAYFORMULA(TRIM('indice columnas'!$A$2:$A$100)),'indice columnas'!$B$2:$B$100,""""),
col,IFERROR(MATCH(campo,Referencia!$A$1:$AZ$1,0),0),
fila,IFERROR(MATCH(TO_TEXT(D1447),ARRAYFOR"&amp;"MULA(TO_TEXT(Referencia!$A$2:$A6238)),0),0),
IF(OR(campo="""",campo=""-""),""NO APLICA"",
IF(col=0,""REVISAR EQUIVALENCIA"",
IF(fila=0,""SKU NO ENCONTRADO"",
LET(
valor,INDEX(Referencia!$A$2:$AZ6238,fila,col),
IF(TRIM(TO_TEXT(valor))=TRIM(TO_TEXT(I1447)),"&amp;"
""OK"",
""NO COINCIDE. Valor verdadero: ""&amp;IF(valor="""",""[VACÍO]"",TO_TEXT(valor))
)
))))
),""ERROR EN FÓRMULA""))"),"NO APLICA")</f>
        <v>NO APLICA</v>
      </c>
    </row>
    <row r="1448">
      <c r="A1448" s="83" t="s">
        <v>4618</v>
      </c>
      <c r="B1448" s="83" t="s">
        <v>4619</v>
      </c>
      <c r="C1448" s="81" t="s">
        <v>4621</v>
      </c>
      <c r="D1448" s="83" t="s">
        <v>4351</v>
      </c>
      <c r="E1448" s="81" t="s">
        <v>1474</v>
      </c>
      <c r="F1448" s="84">
        <v>284.0</v>
      </c>
      <c r="G1448" s="81" t="s">
        <v>7</v>
      </c>
      <c r="H1448" s="81" t="s">
        <v>53</v>
      </c>
      <c r="I1448" s="81" t="s">
        <v>1134</v>
      </c>
      <c r="J1448" s="81" t="s">
        <v>224</v>
      </c>
      <c r="K1448" s="81" t="str">
        <f>IFERROR(__xludf.DUMMYFUNCTION("IF(OR(D1448="""",G1448=""""),"""",IFERROR(LET(
campo,XLOOKUP(TRIM(G1448),ARRAYFORMULA(TRIM('indice columnas'!$A$2:$A$100)),'indice columnas'!$B$2:$B$100,""""),
col,IFERROR(MATCH(campo,Referencia!$A$1:$AZ$1,0),0),
fila,IFERROR(MATCH(TO_TEXT(D1448),ARRAYFOR"&amp;"MULA(TO_TEXT(Referencia!$A$2:$A6238)),0),0),
IF(OR(campo="""",campo=""-""),""NO APLICA"",
IF(col=0,""REVISAR EQUIVALENCIA"",
IF(fila=0,""SKU NO ENCONTRADO"",
LET(
valor,INDEX(Referencia!$A$2:$AZ6238,fila,col),
IF(TRIM(TO_TEXT(valor))=TRIM(TO_TEXT(I1448)),"&amp;"
""OK"",
""NO COINCIDE. Valor verdadero: ""&amp;IF(valor="""",""[VACÍO]"",TO_TEXT(valor))
)
))))
),""ERROR EN FÓRMULA""))"),"REVISAR EQUIVALENCIA")</f>
        <v>REVISAR EQUIVALENCIA</v>
      </c>
    </row>
    <row r="1449">
      <c r="A1449" s="83" t="s">
        <v>4618</v>
      </c>
      <c r="B1449" s="83" t="s">
        <v>4619</v>
      </c>
      <c r="C1449" s="81" t="s">
        <v>4621</v>
      </c>
      <c r="D1449" s="83" t="s">
        <v>4351</v>
      </c>
      <c r="E1449" s="81" t="s">
        <v>1474</v>
      </c>
      <c r="F1449" s="84">
        <v>284.0</v>
      </c>
      <c r="G1449" s="81" t="s">
        <v>12</v>
      </c>
      <c r="H1449" s="81" t="s">
        <v>224</v>
      </c>
      <c r="I1449" s="81" t="s">
        <v>55</v>
      </c>
      <c r="J1449" s="81" t="s">
        <v>224</v>
      </c>
      <c r="K1449" s="81" t="str">
        <f>IFERROR(__xludf.DUMMYFUNCTION("IF(OR(D1449="""",G1449=""""),"""",IFERROR(LET(
campo,XLOOKUP(TRIM(G1449),ARRAYFORMULA(TRIM('indice columnas'!$A$2:$A$100)),'indice columnas'!$B$2:$B$100,""""),
col,IFERROR(MATCH(campo,Referencia!$A$1:$AZ$1,0),0),
fila,IFERROR(MATCH(TO_TEXT(D1449),ARRAYFOR"&amp;"MULA(TO_TEXT(Referencia!$A$2:$A6238)),0),0),
IF(OR(campo="""",campo=""-""),""NO APLICA"",
IF(col=0,""REVISAR EQUIVALENCIA"",
IF(fila=0,""SKU NO ENCONTRADO"",
LET(
valor,INDEX(Referencia!$A$2:$AZ6238,fila,col),
IF(TRIM(TO_TEXT(valor))=TRIM(TO_TEXT(I1449)),"&amp;"
""OK"",
""NO COINCIDE. Valor verdadero: ""&amp;IF(valor="""",""[VACÍO]"",TO_TEXT(valor))
)
))))
),""ERROR EN FÓRMULA""))"),"OK")</f>
        <v>OK</v>
      </c>
    </row>
    <row r="1450">
      <c r="A1450" s="83" t="s">
        <v>4618</v>
      </c>
      <c r="B1450" s="83" t="s">
        <v>4619</v>
      </c>
      <c r="C1450" s="81" t="s">
        <v>4621</v>
      </c>
      <c r="D1450" s="83" t="s">
        <v>4351</v>
      </c>
      <c r="E1450" s="81" t="s">
        <v>1474</v>
      </c>
      <c r="F1450" s="84">
        <v>284.0</v>
      </c>
      <c r="G1450" s="81" t="s">
        <v>29</v>
      </c>
      <c r="H1450" s="81" t="s">
        <v>4352</v>
      </c>
      <c r="I1450" s="81" t="s">
        <v>1475</v>
      </c>
      <c r="J1450" s="81" t="s">
        <v>224</v>
      </c>
      <c r="K1450" s="81" t="str">
        <f>IFERROR(__xludf.DUMMYFUNCTION("IF(OR(D1450="""",G1450=""""),"""",IFERROR(LET(
campo,XLOOKUP(TRIM(G1450),ARRAYFORMULA(TRIM('indice columnas'!$A$2:$A$100)),'indice columnas'!$B$2:$B$100,""""),
col,IFERROR(MATCH(campo,Referencia!$A$1:$AZ$1,0),0),
fila,IFERROR(MATCH(TO_TEXT(D1450),ARRAYFOR"&amp;"MULA(TO_TEXT(Referencia!$A$2:$A6238)),0),0),
IF(OR(campo="""",campo=""-""),""NO APLICA"",
IF(col=0,""REVISAR EQUIVALENCIA"",
IF(fila=0,""SKU NO ENCONTRADO"",
LET(
valor,INDEX(Referencia!$A$2:$AZ6238,fila,col),
IF(TRIM(TO_TEXT(valor))=TRIM(TO_TEXT(I1450)),"&amp;"
""OK"",
""NO COINCIDE. Valor verdadero: ""&amp;IF(valor="""",""[VACÍO]"",TO_TEXT(valor))
)
))))
),""ERROR EN FÓRMULA""))"),"NO COINCIDE. Valor verdadero: 33 x 60 x 1000 (Ancho x Alto x Largo)")</f>
        <v>NO COINCIDE. Valor verdadero: 33 x 60 x 1000 (Ancho x Alto x Largo)</v>
      </c>
    </row>
    <row r="1451">
      <c r="A1451" s="83" t="s">
        <v>4618</v>
      </c>
      <c r="B1451" s="83" t="s">
        <v>4619</v>
      </c>
      <c r="C1451" s="81" t="s">
        <v>4621</v>
      </c>
      <c r="D1451" s="83" t="s">
        <v>4351</v>
      </c>
      <c r="E1451" s="81" t="s">
        <v>1474</v>
      </c>
      <c r="F1451" s="84">
        <v>284.0</v>
      </c>
      <c r="G1451" s="81" t="s">
        <v>44</v>
      </c>
      <c r="H1451" s="81" t="s">
        <v>224</v>
      </c>
      <c r="I1451" s="81" t="s">
        <v>1476</v>
      </c>
      <c r="J1451" s="81" t="s">
        <v>4088</v>
      </c>
      <c r="K1451" s="81" t="str">
        <f>IFERROR(__xludf.DUMMYFUNCTION("IF(OR(D1451="""",G1451=""""),"""",IFERROR(LET(
campo,XLOOKUP(TRIM(G1451),ARRAYFORMULA(TRIM('indice columnas'!$A$2:$A$100)),'indice columnas'!$B$2:$B$100,""""),
col,IFERROR(MATCH(campo,Referencia!$A$1:$AZ$1,0),0),
fila,IFERROR(MATCH(TO_TEXT(D1451),ARRAYFOR"&amp;"MULA(TO_TEXT(Referencia!$A$2:$A6238)),0),0),
IF(OR(campo="""",campo=""-""),""NO APLICA"",
IF(col=0,""REVISAR EQUIVALENCIA"",
IF(fila=0,""SKU NO ENCONTRADO"",
LET(
valor,INDEX(Referencia!$A$2:$AZ6238,fila,col),
IF(TRIM(TO_TEXT(valor))=TRIM(TO_TEXT(I1451)),"&amp;"
""OK"",
""NO COINCIDE. Valor verdadero: ""&amp;IF(valor="""",""[VACÍO]"",TO_TEXT(valor))
)
))))
),""ERROR EN FÓRMULA""))"),"NO APLICA")</f>
        <v>NO APLICA</v>
      </c>
    </row>
    <row r="1452">
      <c r="A1452" s="83" t="s">
        <v>4618</v>
      </c>
      <c r="B1452" s="83" t="s">
        <v>4619</v>
      </c>
      <c r="C1452" s="81" t="s">
        <v>4621</v>
      </c>
      <c r="D1452" s="83" t="s">
        <v>4353</v>
      </c>
      <c r="E1452" s="81" t="s">
        <v>1477</v>
      </c>
      <c r="F1452" s="84">
        <v>285.0</v>
      </c>
      <c r="G1452" s="81" t="s">
        <v>7</v>
      </c>
      <c r="H1452" s="81" t="s">
        <v>53</v>
      </c>
      <c r="I1452" s="81" t="s">
        <v>1134</v>
      </c>
      <c r="J1452" s="81" t="s">
        <v>224</v>
      </c>
      <c r="K1452" s="81" t="str">
        <f>IFERROR(__xludf.DUMMYFUNCTION("IF(OR(D1452="""",G1452=""""),"""",IFERROR(LET(
campo,XLOOKUP(TRIM(G1452),ARRAYFORMULA(TRIM('indice columnas'!$A$2:$A$100)),'indice columnas'!$B$2:$B$100,""""),
col,IFERROR(MATCH(campo,Referencia!$A$1:$AZ$1,0),0),
fila,IFERROR(MATCH(TO_TEXT(D1452),ARRAYFOR"&amp;"MULA(TO_TEXT(Referencia!$A$2:$A6238)),0),0),
IF(OR(campo="""",campo=""-""),""NO APLICA"",
IF(col=0,""REVISAR EQUIVALENCIA"",
IF(fila=0,""SKU NO ENCONTRADO"",
LET(
valor,INDEX(Referencia!$A$2:$AZ6238,fila,col),
IF(TRIM(TO_TEXT(valor))=TRIM(TO_TEXT(I1452)),"&amp;"
""OK"",
""NO COINCIDE. Valor verdadero: ""&amp;IF(valor="""",""[VACÍO]"",TO_TEXT(valor))
)
))))
),""ERROR EN FÓRMULA""))"),"REVISAR EQUIVALENCIA")</f>
        <v>REVISAR EQUIVALENCIA</v>
      </c>
    </row>
    <row r="1453">
      <c r="A1453" s="83" t="s">
        <v>4618</v>
      </c>
      <c r="B1453" s="83" t="s">
        <v>4619</v>
      </c>
      <c r="C1453" s="81" t="s">
        <v>4621</v>
      </c>
      <c r="D1453" s="83" t="s">
        <v>4353</v>
      </c>
      <c r="E1453" s="81" t="s">
        <v>1477</v>
      </c>
      <c r="F1453" s="84">
        <v>285.0</v>
      </c>
      <c r="G1453" s="81" t="s">
        <v>12</v>
      </c>
      <c r="H1453" s="81" t="s">
        <v>224</v>
      </c>
      <c r="I1453" s="81" t="s">
        <v>55</v>
      </c>
      <c r="J1453" s="81" t="s">
        <v>224</v>
      </c>
      <c r="K1453" s="81" t="str">
        <f>IFERROR(__xludf.DUMMYFUNCTION("IF(OR(D1453="""",G1453=""""),"""",IFERROR(LET(
campo,XLOOKUP(TRIM(G1453),ARRAYFORMULA(TRIM('indice columnas'!$A$2:$A$100)),'indice columnas'!$B$2:$B$100,""""),
col,IFERROR(MATCH(campo,Referencia!$A$1:$AZ$1,0),0),
fila,IFERROR(MATCH(TO_TEXT(D1453),ARRAYFOR"&amp;"MULA(TO_TEXT(Referencia!$A$2:$A6238)),0),0),
IF(OR(campo="""",campo=""-""),""NO APLICA"",
IF(col=0,""REVISAR EQUIVALENCIA"",
IF(fila=0,""SKU NO ENCONTRADO"",
LET(
valor,INDEX(Referencia!$A$2:$AZ6238,fila,col),
IF(TRIM(TO_TEXT(valor))=TRIM(TO_TEXT(I1453)),"&amp;"
""OK"",
""NO COINCIDE. Valor verdadero: ""&amp;IF(valor="""",""[VACÍO]"",TO_TEXT(valor))
)
))))
),""ERROR EN FÓRMULA""))"),"OK")</f>
        <v>OK</v>
      </c>
    </row>
    <row r="1454">
      <c r="A1454" s="83" t="s">
        <v>4618</v>
      </c>
      <c r="B1454" s="83" t="s">
        <v>4619</v>
      </c>
      <c r="C1454" s="81" t="s">
        <v>4621</v>
      </c>
      <c r="D1454" s="83" t="s">
        <v>4353</v>
      </c>
      <c r="E1454" s="81" t="s">
        <v>1477</v>
      </c>
      <c r="F1454" s="84">
        <v>285.0</v>
      </c>
      <c r="G1454" s="81" t="s">
        <v>29</v>
      </c>
      <c r="H1454" s="81" t="s">
        <v>4352</v>
      </c>
      <c r="I1454" s="81" t="s">
        <v>1475</v>
      </c>
      <c r="J1454" s="81" t="s">
        <v>224</v>
      </c>
      <c r="K1454" s="81" t="str">
        <f>IFERROR(__xludf.DUMMYFUNCTION("IF(OR(D1454="""",G1454=""""),"""",IFERROR(LET(
campo,XLOOKUP(TRIM(G1454),ARRAYFORMULA(TRIM('indice columnas'!$A$2:$A$100)),'indice columnas'!$B$2:$B$100,""""),
col,IFERROR(MATCH(campo,Referencia!$A$1:$AZ$1,0),0),
fila,IFERROR(MATCH(TO_TEXT(D1454),ARRAYFOR"&amp;"MULA(TO_TEXT(Referencia!$A$2:$A6238)),0),0),
IF(OR(campo="""",campo=""-""),""NO APLICA"",
IF(col=0,""REVISAR EQUIVALENCIA"",
IF(fila=0,""SKU NO ENCONTRADO"",
LET(
valor,INDEX(Referencia!$A$2:$AZ6238,fila,col),
IF(TRIM(TO_TEXT(valor))=TRIM(TO_TEXT(I1454)),"&amp;"
""OK"",
""NO COINCIDE. Valor verdadero: ""&amp;IF(valor="""",""[VACÍO]"",TO_TEXT(valor))
)
))))
),""ERROR EN FÓRMULA""))"),"NO COINCIDE. Valor verdadero: 33 x 60 x 1000 (Ancho x Alto x Largo)")</f>
        <v>NO COINCIDE. Valor verdadero: 33 x 60 x 1000 (Ancho x Alto x Largo)</v>
      </c>
    </row>
    <row r="1455">
      <c r="A1455" s="83" t="s">
        <v>4618</v>
      </c>
      <c r="B1455" s="83" t="s">
        <v>4619</v>
      </c>
      <c r="C1455" s="81" t="s">
        <v>4621</v>
      </c>
      <c r="D1455" s="83" t="s">
        <v>4353</v>
      </c>
      <c r="E1455" s="81" t="s">
        <v>1477</v>
      </c>
      <c r="F1455" s="84">
        <v>285.0</v>
      </c>
      <c r="G1455" s="81" t="s">
        <v>44</v>
      </c>
      <c r="H1455" s="81" t="s">
        <v>224</v>
      </c>
      <c r="I1455" s="81" t="s">
        <v>1476</v>
      </c>
      <c r="J1455" s="81" t="s">
        <v>4088</v>
      </c>
      <c r="K1455" s="81" t="str">
        <f>IFERROR(__xludf.DUMMYFUNCTION("IF(OR(D1455="""",G1455=""""),"""",IFERROR(LET(
campo,XLOOKUP(TRIM(G1455),ARRAYFORMULA(TRIM('indice columnas'!$A$2:$A$100)),'indice columnas'!$B$2:$B$100,""""),
col,IFERROR(MATCH(campo,Referencia!$A$1:$AZ$1,0),0),
fila,IFERROR(MATCH(TO_TEXT(D1455),ARRAYFOR"&amp;"MULA(TO_TEXT(Referencia!$A$2:$A6238)),0),0),
IF(OR(campo="""",campo=""-""),""NO APLICA"",
IF(col=0,""REVISAR EQUIVALENCIA"",
IF(fila=0,""SKU NO ENCONTRADO"",
LET(
valor,INDEX(Referencia!$A$2:$AZ6238,fila,col),
IF(TRIM(TO_TEXT(valor))=TRIM(TO_TEXT(I1455)),"&amp;"
""OK"",
""NO COINCIDE. Valor verdadero: ""&amp;IF(valor="""",""[VACÍO]"",TO_TEXT(valor))
)
))))
),""ERROR EN FÓRMULA""))"),"NO APLICA")</f>
        <v>NO APLICA</v>
      </c>
    </row>
    <row r="1456">
      <c r="A1456" s="83" t="s">
        <v>4618</v>
      </c>
      <c r="B1456" s="83" t="s">
        <v>4619</v>
      </c>
      <c r="C1456" s="81" t="s">
        <v>4621</v>
      </c>
      <c r="D1456" s="83" t="s">
        <v>4354</v>
      </c>
      <c r="E1456" s="81" t="s">
        <v>1480</v>
      </c>
      <c r="F1456" s="84">
        <v>286.0</v>
      </c>
      <c r="G1456" s="81" t="s">
        <v>12</v>
      </c>
      <c r="H1456" s="81" t="s">
        <v>224</v>
      </c>
      <c r="I1456" s="81" t="s">
        <v>55</v>
      </c>
      <c r="J1456" s="81" t="s">
        <v>224</v>
      </c>
      <c r="K1456" s="81" t="str">
        <f>IFERROR(__xludf.DUMMYFUNCTION("IF(OR(D1456="""",G1456=""""),"""",IFERROR(LET(
campo,XLOOKUP(TRIM(G1456),ARRAYFORMULA(TRIM('indice columnas'!$A$2:$A$100)),'indice columnas'!$B$2:$B$100,""""),
col,IFERROR(MATCH(campo,Referencia!$A$1:$AZ$1,0),0),
fila,IFERROR(MATCH(TO_TEXT(D1456),ARRAYFOR"&amp;"MULA(TO_TEXT(Referencia!$A$2:$A6238)),0),0),
IF(OR(campo="""",campo=""-""),""NO APLICA"",
IF(col=0,""REVISAR EQUIVALENCIA"",
IF(fila=0,""SKU NO ENCONTRADO"",
LET(
valor,INDEX(Referencia!$A$2:$AZ6238,fila,col),
IF(TRIM(TO_TEXT(valor))=TRIM(TO_TEXT(I1456)),"&amp;"
""OK"",
""NO COINCIDE. Valor verdadero: ""&amp;IF(valor="""",""[VACÍO]"",TO_TEXT(valor))
)
))))
),""ERROR EN FÓRMULA""))"),"OK")</f>
        <v>OK</v>
      </c>
    </row>
    <row r="1457">
      <c r="A1457" s="83" t="s">
        <v>4618</v>
      </c>
      <c r="B1457" s="83" t="s">
        <v>4619</v>
      </c>
      <c r="C1457" s="81" t="s">
        <v>4621</v>
      </c>
      <c r="D1457" s="83" t="s">
        <v>4354</v>
      </c>
      <c r="E1457" s="81" t="s">
        <v>1480</v>
      </c>
      <c r="F1457" s="84">
        <v>286.0</v>
      </c>
      <c r="G1457" s="81" t="s">
        <v>44</v>
      </c>
      <c r="H1457" s="81" t="s">
        <v>224</v>
      </c>
      <c r="I1457" s="81" t="s">
        <v>1401</v>
      </c>
      <c r="J1457" s="81" t="s">
        <v>4088</v>
      </c>
      <c r="K1457" s="81" t="str">
        <f>IFERROR(__xludf.DUMMYFUNCTION("IF(OR(D1457="""",G1457=""""),"""",IFERROR(LET(
campo,XLOOKUP(TRIM(G1457),ARRAYFORMULA(TRIM('indice columnas'!$A$2:$A$100)),'indice columnas'!$B$2:$B$100,""""),
col,IFERROR(MATCH(campo,Referencia!$A$1:$AZ$1,0),0),
fila,IFERROR(MATCH(TO_TEXT(D1457),ARRAYFOR"&amp;"MULA(TO_TEXT(Referencia!$A$2:$A6238)),0),0),
IF(OR(campo="""",campo=""-""),""NO APLICA"",
IF(col=0,""REVISAR EQUIVALENCIA"",
IF(fila=0,""SKU NO ENCONTRADO"",
LET(
valor,INDEX(Referencia!$A$2:$AZ6238,fila,col),
IF(TRIM(TO_TEXT(valor))=TRIM(TO_TEXT(I1457)),"&amp;"
""OK"",
""NO COINCIDE. Valor verdadero: ""&amp;IF(valor="""",""[VACÍO]"",TO_TEXT(valor))
)
))))
),""ERROR EN FÓRMULA""))"),"NO APLICA")</f>
        <v>NO APLICA</v>
      </c>
    </row>
    <row r="1458">
      <c r="A1458" s="83" t="s">
        <v>4618</v>
      </c>
      <c r="B1458" s="83" t="s">
        <v>4619</v>
      </c>
      <c r="C1458" s="81" t="s">
        <v>4621</v>
      </c>
      <c r="D1458" s="83" t="s">
        <v>4355</v>
      </c>
      <c r="E1458" s="81" t="s">
        <v>1483</v>
      </c>
      <c r="F1458" s="84">
        <v>287.0</v>
      </c>
      <c r="G1458" s="81" t="s">
        <v>12</v>
      </c>
      <c r="H1458" s="81" t="s">
        <v>224</v>
      </c>
      <c r="I1458" s="81" t="s">
        <v>55</v>
      </c>
      <c r="J1458" s="81" t="s">
        <v>224</v>
      </c>
      <c r="K1458" s="81" t="str">
        <f>IFERROR(__xludf.DUMMYFUNCTION("IF(OR(D1458="""",G1458=""""),"""",IFERROR(LET(
campo,XLOOKUP(TRIM(G1458),ARRAYFORMULA(TRIM('indice columnas'!$A$2:$A$100)),'indice columnas'!$B$2:$B$100,""""),
col,IFERROR(MATCH(campo,Referencia!$A$1:$AZ$1,0),0),
fila,IFERROR(MATCH(TO_TEXT(D1458),ARRAYFOR"&amp;"MULA(TO_TEXT(Referencia!$A$2:$A6238)),0),0),
IF(OR(campo="""",campo=""-""),""NO APLICA"",
IF(col=0,""REVISAR EQUIVALENCIA"",
IF(fila=0,""SKU NO ENCONTRADO"",
LET(
valor,INDEX(Referencia!$A$2:$AZ6238,fila,col),
IF(TRIM(TO_TEXT(valor))=TRIM(TO_TEXT(I1458)),"&amp;"
""OK"",
""NO COINCIDE. Valor verdadero: ""&amp;IF(valor="""",""[VACÍO]"",TO_TEXT(valor))
)
))))
),""ERROR EN FÓRMULA""))"),"OK")</f>
        <v>OK</v>
      </c>
    </row>
    <row r="1459">
      <c r="A1459" s="83" t="s">
        <v>4618</v>
      </c>
      <c r="B1459" s="83" t="s">
        <v>4619</v>
      </c>
      <c r="C1459" s="81" t="s">
        <v>4621</v>
      </c>
      <c r="D1459" s="83" t="s">
        <v>4355</v>
      </c>
      <c r="E1459" s="81" t="s">
        <v>1483</v>
      </c>
      <c r="F1459" s="84">
        <v>287.0</v>
      </c>
      <c r="G1459" s="81" t="s">
        <v>44</v>
      </c>
      <c r="H1459" s="81" t="s">
        <v>224</v>
      </c>
      <c r="I1459" s="81" t="s">
        <v>1401</v>
      </c>
      <c r="J1459" s="81" t="s">
        <v>4088</v>
      </c>
      <c r="K1459" s="81" t="str">
        <f>IFERROR(__xludf.DUMMYFUNCTION("IF(OR(D1459="""",G1459=""""),"""",IFERROR(LET(
campo,XLOOKUP(TRIM(G1459),ARRAYFORMULA(TRIM('indice columnas'!$A$2:$A$100)),'indice columnas'!$B$2:$B$100,""""),
col,IFERROR(MATCH(campo,Referencia!$A$1:$AZ$1,0),0),
fila,IFERROR(MATCH(TO_TEXT(D1459),ARRAYFOR"&amp;"MULA(TO_TEXT(Referencia!$A$2:$A6238)),0),0),
IF(OR(campo="""",campo=""-""),""NO APLICA"",
IF(col=0,""REVISAR EQUIVALENCIA"",
IF(fila=0,""SKU NO ENCONTRADO"",
LET(
valor,INDEX(Referencia!$A$2:$AZ6238,fila,col),
IF(TRIM(TO_TEXT(valor))=TRIM(TO_TEXT(I1459)),"&amp;"
""OK"",
""NO COINCIDE. Valor verdadero: ""&amp;IF(valor="""",""[VACÍO]"",TO_TEXT(valor))
)
))))
),""ERROR EN FÓRMULA""))"),"NO APLICA")</f>
        <v>NO APLICA</v>
      </c>
    </row>
    <row r="1460">
      <c r="A1460" s="83" t="s">
        <v>4618</v>
      </c>
      <c r="B1460" s="83" t="s">
        <v>4619</v>
      </c>
      <c r="C1460" s="81" t="s">
        <v>4621</v>
      </c>
      <c r="D1460" s="83" t="s">
        <v>4356</v>
      </c>
      <c r="E1460" s="81" t="s">
        <v>1486</v>
      </c>
      <c r="F1460" s="84">
        <v>288.0</v>
      </c>
      <c r="G1460" s="81" t="s">
        <v>12</v>
      </c>
      <c r="H1460" s="81" t="s">
        <v>224</v>
      </c>
      <c r="I1460" s="81" t="s">
        <v>55</v>
      </c>
      <c r="J1460" s="81" t="s">
        <v>224</v>
      </c>
      <c r="K1460" s="81" t="str">
        <f>IFERROR(__xludf.DUMMYFUNCTION("IF(OR(D1460="""",G1460=""""),"""",IFERROR(LET(
campo,XLOOKUP(TRIM(G1460),ARRAYFORMULA(TRIM('indice columnas'!$A$2:$A$100)),'indice columnas'!$B$2:$B$100,""""),
col,IFERROR(MATCH(campo,Referencia!$A$1:$AZ$1,0),0),
fila,IFERROR(MATCH(TO_TEXT(D1460),ARRAYFOR"&amp;"MULA(TO_TEXT(Referencia!$A$2:$A6238)),0),0),
IF(OR(campo="""",campo=""-""),""NO APLICA"",
IF(col=0,""REVISAR EQUIVALENCIA"",
IF(fila=0,""SKU NO ENCONTRADO"",
LET(
valor,INDEX(Referencia!$A$2:$AZ6238,fila,col),
IF(TRIM(TO_TEXT(valor))=TRIM(TO_TEXT(I1460)),"&amp;"
""OK"",
""NO COINCIDE. Valor verdadero: ""&amp;IF(valor="""",""[VACÍO]"",TO_TEXT(valor))
)
))))
),""ERROR EN FÓRMULA""))"),"OK")</f>
        <v>OK</v>
      </c>
    </row>
    <row r="1461">
      <c r="A1461" s="83" t="s">
        <v>4618</v>
      </c>
      <c r="B1461" s="83" t="s">
        <v>4619</v>
      </c>
      <c r="C1461" s="81" t="s">
        <v>4621</v>
      </c>
      <c r="D1461" s="83" t="s">
        <v>4356</v>
      </c>
      <c r="E1461" s="81" t="s">
        <v>1486</v>
      </c>
      <c r="F1461" s="84">
        <v>288.0</v>
      </c>
      <c r="G1461" s="81" t="s">
        <v>44</v>
      </c>
      <c r="H1461" s="81" t="s">
        <v>224</v>
      </c>
      <c r="I1461" s="81" t="s">
        <v>1401</v>
      </c>
      <c r="J1461" s="81" t="s">
        <v>4088</v>
      </c>
      <c r="K1461" s="81" t="str">
        <f>IFERROR(__xludf.DUMMYFUNCTION("IF(OR(D1461="""",G1461=""""),"""",IFERROR(LET(
campo,XLOOKUP(TRIM(G1461),ARRAYFORMULA(TRIM('indice columnas'!$A$2:$A$100)),'indice columnas'!$B$2:$B$100,""""),
col,IFERROR(MATCH(campo,Referencia!$A$1:$AZ$1,0),0),
fila,IFERROR(MATCH(TO_TEXT(D1461),ARRAYFOR"&amp;"MULA(TO_TEXT(Referencia!$A$2:$A6238)),0),0),
IF(OR(campo="""",campo=""-""),""NO APLICA"",
IF(col=0,""REVISAR EQUIVALENCIA"",
IF(fila=0,""SKU NO ENCONTRADO"",
LET(
valor,INDEX(Referencia!$A$2:$AZ6238,fila,col),
IF(TRIM(TO_TEXT(valor))=TRIM(TO_TEXT(I1461)),"&amp;"
""OK"",
""NO COINCIDE. Valor verdadero: ""&amp;IF(valor="""",""[VACÍO]"",TO_TEXT(valor))
)
))))
),""ERROR EN FÓRMULA""))"),"NO APLICA")</f>
        <v>NO APLICA</v>
      </c>
    </row>
    <row r="1462">
      <c r="A1462" s="83" t="s">
        <v>4618</v>
      </c>
      <c r="B1462" s="83" t="s">
        <v>4619</v>
      </c>
      <c r="C1462" s="81" t="s">
        <v>4621</v>
      </c>
      <c r="D1462" s="83" t="s">
        <v>4357</v>
      </c>
      <c r="E1462" s="81" t="s">
        <v>1489</v>
      </c>
      <c r="F1462" s="84">
        <v>289.0</v>
      </c>
      <c r="G1462" s="81" t="s">
        <v>44</v>
      </c>
      <c r="H1462" s="81" t="s">
        <v>4339</v>
      </c>
      <c r="I1462" s="81" t="s">
        <v>1401</v>
      </c>
      <c r="J1462" s="81" t="s">
        <v>4088</v>
      </c>
      <c r="K1462" s="81" t="str">
        <f>IFERROR(__xludf.DUMMYFUNCTION("IF(OR(D1462="""",G1462=""""),"""",IFERROR(LET(
campo,XLOOKUP(TRIM(G1462),ARRAYFORMULA(TRIM('indice columnas'!$A$2:$A$100)),'indice columnas'!$B$2:$B$100,""""),
col,IFERROR(MATCH(campo,Referencia!$A$1:$AZ$1,0),0),
fila,IFERROR(MATCH(TO_TEXT(D1462),ARRAYFOR"&amp;"MULA(TO_TEXT(Referencia!$A$2:$A6238)),0),0),
IF(OR(campo="""",campo=""-""),""NO APLICA"",
IF(col=0,""REVISAR EQUIVALENCIA"",
IF(fila=0,""SKU NO ENCONTRADO"",
LET(
valor,INDEX(Referencia!$A$2:$AZ6238,fila,col),
IF(TRIM(TO_TEXT(valor))=TRIM(TO_TEXT(I1462)),"&amp;"
""OK"",
""NO COINCIDE. Valor verdadero: ""&amp;IF(valor="""",""[VACÍO]"",TO_TEXT(valor))
)
))))
),""ERROR EN FÓRMULA""))"),"NO APLICA")</f>
        <v>NO APLICA</v>
      </c>
    </row>
    <row r="1463">
      <c r="A1463" s="83" t="s">
        <v>4618</v>
      </c>
      <c r="B1463" s="83" t="s">
        <v>4619</v>
      </c>
      <c r="C1463" s="81" t="s">
        <v>4621</v>
      </c>
      <c r="D1463" s="83" t="s">
        <v>4357</v>
      </c>
      <c r="E1463" s="81" t="s">
        <v>1501</v>
      </c>
      <c r="F1463" s="84">
        <v>290.0</v>
      </c>
      <c r="G1463" s="81" t="s">
        <v>44</v>
      </c>
      <c r="H1463" s="81" t="s">
        <v>4339</v>
      </c>
      <c r="I1463" s="81" t="s">
        <v>1401</v>
      </c>
      <c r="J1463" s="81" t="s">
        <v>4088</v>
      </c>
      <c r="K1463" s="81" t="str">
        <f>IFERROR(__xludf.DUMMYFUNCTION("IF(OR(D1463="""",G1463=""""),"""",IFERROR(LET(
campo,XLOOKUP(TRIM(G1463),ARRAYFORMULA(TRIM('indice columnas'!$A$2:$A$100)),'indice columnas'!$B$2:$B$100,""""),
col,IFERROR(MATCH(campo,Referencia!$A$1:$AZ$1,0),0),
fila,IFERROR(MATCH(TO_TEXT(D1463),ARRAYFOR"&amp;"MULA(TO_TEXT(Referencia!$A$2:$A6238)),0),0),
IF(OR(campo="""",campo=""-""),""NO APLICA"",
IF(col=0,""REVISAR EQUIVALENCIA"",
IF(fila=0,""SKU NO ENCONTRADO"",
LET(
valor,INDEX(Referencia!$A$2:$AZ6238,fila,col),
IF(TRIM(TO_TEXT(valor))=TRIM(TO_TEXT(I1463)),"&amp;"
""OK"",
""NO COINCIDE. Valor verdadero: ""&amp;IF(valor="""",""[VACÍO]"",TO_TEXT(valor))
)
))))
),""ERROR EN FÓRMULA""))"),"NO APLICA")</f>
        <v>NO APLICA</v>
      </c>
    </row>
    <row r="1464">
      <c r="A1464" s="83" t="s">
        <v>4618</v>
      </c>
      <c r="B1464" s="83" t="s">
        <v>4619</v>
      </c>
      <c r="C1464" s="81" t="s">
        <v>4621</v>
      </c>
      <c r="D1464" s="83" t="s">
        <v>4358</v>
      </c>
      <c r="E1464" s="81" t="s">
        <v>1502</v>
      </c>
      <c r="F1464" s="84">
        <v>291.0</v>
      </c>
      <c r="G1464" s="81" t="s">
        <v>44</v>
      </c>
      <c r="H1464" s="81" t="s">
        <v>4339</v>
      </c>
      <c r="I1464" s="81" t="s">
        <v>1401</v>
      </c>
      <c r="J1464" s="81" t="s">
        <v>4088</v>
      </c>
      <c r="K1464" s="81" t="str">
        <f>IFERROR(__xludf.DUMMYFUNCTION("IF(OR(D1464="""",G1464=""""),"""",IFERROR(LET(
campo,XLOOKUP(TRIM(G1464),ARRAYFORMULA(TRIM('indice columnas'!$A$2:$A$100)),'indice columnas'!$B$2:$B$100,""""),
col,IFERROR(MATCH(campo,Referencia!$A$1:$AZ$1,0),0),
fila,IFERROR(MATCH(TO_TEXT(D1464),ARRAYFOR"&amp;"MULA(TO_TEXT(Referencia!$A$2:$A6238)),0),0),
IF(OR(campo="""",campo=""-""),""NO APLICA"",
IF(col=0,""REVISAR EQUIVALENCIA"",
IF(fila=0,""SKU NO ENCONTRADO"",
LET(
valor,INDEX(Referencia!$A$2:$AZ6238,fila,col),
IF(TRIM(TO_TEXT(valor))=TRIM(TO_TEXT(I1464)),"&amp;"
""OK"",
""NO COINCIDE. Valor verdadero: ""&amp;IF(valor="""",""[VACÍO]"",TO_TEXT(valor))
)
))))
),""ERROR EN FÓRMULA""))"),"NO APLICA")</f>
        <v>NO APLICA</v>
      </c>
    </row>
    <row r="1465">
      <c r="A1465" s="83" t="s">
        <v>4618</v>
      </c>
      <c r="B1465" s="83" t="s">
        <v>4619</v>
      </c>
      <c r="C1465" s="81" t="s">
        <v>4621</v>
      </c>
      <c r="D1465" s="83" t="s">
        <v>4359</v>
      </c>
      <c r="E1465" s="81" t="s">
        <v>1505</v>
      </c>
      <c r="F1465" s="84">
        <v>292.0</v>
      </c>
      <c r="G1465" s="81" t="s">
        <v>44</v>
      </c>
      <c r="H1465" s="81" t="s">
        <v>4339</v>
      </c>
      <c r="I1465" s="81" t="s">
        <v>1401</v>
      </c>
      <c r="J1465" s="81" t="s">
        <v>4088</v>
      </c>
      <c r="K1465" s="81" t="str">
        <f>IFERROR(__xludf.DUMMYFUNCTION("IF(OR(D1465="""",G1465=""""),"""",IFERROR(LET(
campo,XLOOKUP(TRIM(G1465),ARRAYFORMULA(TRIM('indice columnas'!$A$2:$A$100)),'indice columnas'!$B$2:$B$100,""""),
col,IFERROR(MATCH(campo,Referencia!$A$1:$AZ$1,0),0),
fila,IFERROR(MATCH(TO_TEXT(D1465),ARRAYFOR"&amp;"MULA(TO_TEXT(Referencia!$A$2:$A6238)),0),0),
IF(OR(campo="""",campo=""-""),""NO APLICA"",
IF(col=0,""REVISAR EQUIVALENCIA"",
IF(fila=0,""SKU NO ENCONTRADO"",
LET(
valor,INDEX(Referencia!$A$2:$AZ6238,fila,col),
IF(TRIM(TO_TEXT(valor))=TRIM(TO_TEXT(I1465)),"&amp;"
""OK"",
""NO COINCIDE. Valor verdadero: ""&amp;IF(valor="""",""[VACÍO]"",TO_TEXT(valor))
)
))))
),""ERROR EN FÓRMULA""))"),"NO APLICA")</f>
        <v>NO APLICA</v>
      </c>
    </row>
    <row r="1466">
      <c r="A1466" s="83" t="s">
        <v>4618</v>
      </c>
      <c r="B1466" s="83" t="s">
        <v>4619</v>
      </c>
      <c r="C1466" s="81" t="s">
        <v>4621</v>
      </c>
      <c r="D1466" s="83" t="s">
        <v>4359</v>
      </c>
      <c r="E1466" s="81" t="s">
        <v>1515</v>
      </c>
      <c r="F1466" s="84">
        <v>293.0</v>
      </c>
      <c r="G1466" s="81" t="s">
        <v>44</v>
      </c>
      <c r="H1466" s="81" t="s">
        <v>4339</v>
      </c>
      <c r="I1466" s="81" t="s">
        <v>1401</v>
      </c>
      <c r="J1466" s="81" t="s">
        <v>4088</v>
      </c>
      <c r="K1466" s="81" t="str">
        <f>IFERROR(__xludf.DUMMYFUNCTION("IF(OR(D1466="""",G1466=""""),"""",IFERROR(LET(
campo,XLOOKUP(TRIM(G1466),ARRAYFORMULA(TRIM('indice columnas'!$A$2:$A$100)),'indice columnas'!$B$2:$B$100,""""),
col,IFERROR(MATCH(campo,Referencia!$A$1:$AZ$1,0),0),
fila,IFERROR(MATCH(TO_TEXT(D1466),ARRAYFOR"&amp;"MULA(TO_TEXT(Referencia!$A$2:$A6238)),0),0),
IF(OR(campo="""",campo=""-""),""NO APLICA"",
IF(col=0,""REVISAR EQUIVALENCIA"",
IF(fila=0,""SKU NO ENCONTRADO"",
LET(
valor,INDEX(Referencia!$A$2:$AZ6238,fila,col),
IF(TRIM(TO_TEXT(valor))=TRIM(TO_TEXT(I1466)),"&amp;"
""OK"",
""NO COINCIDE. Valor verdadero: ""&amp;IF(valor="""",""[VACÍO]"",TO_TEXT(valor))
)
))))
),""ERROR EN FÓRMULA""))"),"NO APLICA")</f>
        <v>NO APLICA</v>
      </c>
    </row>
    <row r="1467">
      <c r="A1467" s="83" t="s">
        <v>4618</v>
      </c>
      <c r="B1467" s="83" t="s">
        <v>4619</v>
      </c>
      <c r="C1467" s="81" t="s">
        <v>4621</v>
      </c>
      <c r="D1467" s="83" t="s">
        <v>4360</v>
      </c>
      <c r="E1467" s="81" t="s">
        <v>1516</v>
      </c>
      <c r="F1467" s="84">
        <v>294.0</v>
      </c>
      <c r="G1467" s="81" t="s">
        <v>44</v>
      </c>
      <c r="H1467" s="81" t="s">
        <v>4339</v>
      </c>
      <c r="I1467" s="81" t="s">
        <v>1401</v>
      </c>
      <c r="J1467" s="81" t="s">
        <v>4088</v>
      </c>
      <c r="K1467" s="81" t="str">
        <f>IFERROR(__xludf.DUMMYFUNCTION("IF(OR(D1467="""",G1467=""""),"""",IFERROR(LET(
campo,XLOOKUP(TRIM(G1467),ARRAYFORMULA(TRIM('indice columnas'!$A$2:$A$100)),'indice columnas'!$B$2:$B$100,""""),
col,IFERROR(MATCH(campo,Referencia!$A$1:$AZ$1,0),0),
fila,IFERROR(MATCH(TO_TEXT(D1467),ARRAYFOR"&amp;"MULA(TO_TEXT(Referencia!$A$2:$A6238)),0),0),
IF(OR(campo="""",campo=""-""),""NO APLICA"",
IF(col=0,""REVISAR EQUIVALENCIA"",
IF(fila=0,""SKU NO ENCONTRADO"",
LET(
valor,INDEX(Referencia!$A$2:$AZ6238,fila,col),
IF(TRIM(TO_TEXT(valor))=TRIM(TO_TEXT(I1467)),"&amp;"
""OK"",
""NO COINCIDE. Valor verdadero: ""&amp;IF(valor="""",""[VACÍO]"",TO_TEXT(valor))
)
))))
),""ERROR EN FÓRMULA""))"),"NO APLICA")</f>
        <v>NO APLICA</v>
      </c>
    </row>
    <row r="1468">
      <c r="A1468" s="83" t="s">
        <v>4618</v>
      </c>
      <c r="B1468" s="83" t="s">
        <v>4619</v>
      </c>
      <c r="C1468" s="81" t="s">
        <v>4621</v>
      </c>
      <c r="D1468" s="83" t="s">
        <v>4361</v>
      </c>
      <c r="E1468" s="81" t="s">
        <v>1519</v>
      </c>
      <c r="F1468" s="84">
        <v>295.0</v>
      </c>
      <c r="G1468" s="81" t="s">
        <v>44</v>
      </c>
      <c r="H1468" s="81" t="s">
        <v>4339</v>
      </c>
      <c r="I1468" s="81" t="s">
        <v>1401</v>
      </c>
      <c r="J1468" s="81" t="s">
        <v>4088</v>
      </c>
      <c r="K1468" s="81" t="str">
        <f>IFERROR(__xludf.DUMMYFUNCTION("IF(OR(D1468="""",G1468=""""),"""",IFERROR(LET(
campo,XLOOKUP(TRIM(G1468),ARRAYFORMULA(TRIM('indice columnas'!$A$2:$A$100)),'indice columnas'!$B$2:$B$100,""""),
col,IFERROR(MATCH(campo,Referencia!$A$1:$AZ$1,0),0),
fila,IFERROR(MATCH(TO_TEXT(D1468),ARRAYFOR"&amp;"MULA(TO_TEXT(Referencia!$A$2:$A6238)),0),0),
IF(OR(campo="""",campo=""-""),""NO APLICA"",
IF(col=0,""REVISAR EQUIVALENCIA"",
IF(fila=0,""SKU NO ENCONTRADO"",
LET(
valor,INDEX(Referencia!$A$2:$AZ6238,fila,col),
IF(TRIM(TO_TEXT(valor))=TRIM(TO_TEXT(I1468)),"&amp;"
""OK"",
""NO COINCIDE. Valor verdadero: ""&amp;IF(valor="""",""[VACÍO]"",TO_TEXT(valor))
)
))))
),""ERROR EN FÓRMULA""))"),"NO APLICA")</f>
        <v>NO APLICA</v>
      </c>
    </row>
    <row r="1469">
      <c r="A1469" s="83" t="s">
        <v>4618</v>
      </c>
      <c r="B1469" s="83" t="s">
        <v>4619</v>
      </c>
      <c r="C1469" s="81" t="s">
        <v>4621</v>
      </c>
      <c r="D1469" s="83" t="s">
        <v>4361</v>
      </c>
      <c r="E1469" s="81" t="s">
        <v>1529</v>
      </c>
      <c r="F1469" s="84">
        <v>296.0</v>
      </c>
      <c r="G1469" s="81" t="s">
        <v>44</v>
      </c>
      <c r="H1469" s="81" t="s">
        <v>4339</v>
      </c>
      <c r="I1469" s="81" t="s">
        <v>1401</v>
      </c>
      <c r="J1469" s="81" t="s">
        <v>4088</v>
      </c>
      <c r="K1469" s="81" t="str">
        <f>IFERROR(__xludf.DUMMYFUNCTION("IF(OR(D1469="""",G1469=""""),"""",IFERROR(LET(
campo,XLOOKUP(TRIM(G1469),ARRAYFORMULA(TRIM('indice columnas'!$A$2:$A$100)),'indice columnas'!$B$2:$B$100,""""),
col,IFERROR(MATCH(campo,Referencia!$A$1:$AZ$1,0),0),
fila,IFERROR(MATCH(TO_TEXT(D1469),ARRAYFOR"&amp;"MULA(TO_TEXT(Referencia!$A$2:$A6238)),0),0),
IF(OR(campo="""",campo=""-""),""NO APLICA"",
IF(col=0,""REVISAR EQUIVALENCIA"",
IF(fila=0,""SKU NO ENCONTRADO"",
LET(
valor,INDEX(Referencia!$A$2:$AZ6238,fila,col),
IF(TRIM(TO_TEXT(valor))=TRIM(TO_TEXT(I1469)),"&amp;"
""OK"",
""NO COINCIDE. Valor verdadero: ""&amp;IF(valor="""",""[VACÍO]"",TO_TEXT(valor))
)
))))
),""ERROR EN FÓRMULA""))"),"NO APLICA")</f>
        <v>NO APLICA</v>
      </c>
    </row>
    <row r="1470">
      <c r="A1470" s="83" t="s">
        <v>4618</v>
      </c>
      <c r="B1470" s="83" t="s">
        <v>4619</v>
      </c>
      <c r="C1470" s="81" t="s">
        <v>4621</v>
      </c>
      <c r="D1470" s="83" t="s">
        <v>4362</v>
      </c>
      <c r="E1470" s="81" t="s">
        <v>1530</v>
      </c>
      <c r="F1470" s="84">
        <v>297.0</v>
      </c>
      <c r="G1470" s="81" t="s">
        <v>44</v>
      </c>
      <c r="H1470" s="81" t="s">
        <v>4339</v>
      </c>
      <c r="I1470" s="81" t="s">
        <v>1401</v>
      </c>
      <c r="J1470" s="81" t="s">
        <v>4088</v>
      </c>
      <c r="K1470" s="81" t="str">
        <f>IFERROR(__xludf.DUMMYFUNCTION("IF(OR(D1470="""",G1470=""""),"""",IFERROR(LET(
campo,XLOOKUP(TRIM(G1470),ARRAYFORMULA(TRIM('indice columnas'!$A$2:$A$100)),'indice columnas'!$B$2:$B$100,""""),
col,IFERROR(MATCH(campo,Referencia!$A$1:$AZ$1,0),0),
fila,IFERROR(MATCH(TO_TEXT(D1470),ARRAYFOR"&amp;"MULA(TO_TEXT(Referencia!$A$2:$A6238)),0),0),
IF(OR(campo="""",campo=""-""),""NO APLICA"",
IF(col=0,""REVISAR EQUIVALENCIA"",
IF(fila=0,""SKU NO ENCONTRADO"",
LET(
valor,INDEX(Referencia!$A$2:$AZ6238,fila,col),
IF(TRIM(TO_TEXT(valor))=TRIM(TO_TEXT(I1470)),"&amp;"
""OK"",
""NO COINCIDE. Valor verdadero: ""&amp;IF(valor="""",""[VACÍO]"",TO_TEXT(valor))
)
))))
),""ERROR EN FÓRMULA""))"),"NO APLICA")</f>
        <v>NO APLICA</v>
      </c>
    </row>
    <row r="1471">
      <c r="A1471" s="83" t="s">
        <v>4618</v>
      </c>
      <c r="B1471" s="83" t="s">
        <v>4619</v>
      </c>
      <c r="C1471" s="81" t="s">
        <v>4621</v>
      </c>
      <c r="D1471" s="83" t="s">
        <v>4363</v>
      </c>
      <c r="E1471" s="81" t="s">
        <v>1533</v>
      </c>
      <c r="F1471" s="84">
        <v>298.0</v>
      </c>
      <c r="G1471" s="81" t="s">
        <v>44</v>
      </c>
      <c r="H1471" s="81" t="s">
        <v>224</v>
      </c>
      <c r="I1471" s="81" t="s">
        <v>1550</v>
      </c>
      <c r="J1471" s="81" t="s">
        <v>4088</v>
      </c>
      <c r="K1471" s="81" t="str">
        <f>IFERROR(__xludf.DUMMYFUNCTION("IF(OR(D1471="""",G1471=""""),"""",IFERROR(LET(
campo,XLOOKUP(TRIM(G1471),ARRAYFORMULA(TRIM('indice columnas'!$A$2:$A$100)),'indice columnas'!$B$2:$B$100,""""),
col,IFERROR(MATCH(campo,Referencia!$A$1:$AZ$1,0),0),
fila,IFERROR(MATCH(TO_TEXT(D1471),ARRAYFOR"&amp;"MULA(TO_TEXT(Referencia!$A$2:$A6238)),0),0),
IF(OR(campo="""",campo=""-""),""NO APLICA"",
IF(col=0,""REVISAR EQUIVALENCIA"",
IF(fila=0,""SKU NO ENCONTRADO"",
LET(
valor,INDEX(Referencia!$A$2:$AZ6238,fila,col),
IF(TRIM(TO_TEXT(valor))=TRIM(TO_TEXT(I1471)),"&amp;"
""OK"",
""NO COINCIDE. Valor verdadero: ""&amp;IF(valor="""",""[VACÍO]"",TO_TEXT(valor))
)
))))
),""ERROR EN FÓRMULA""))"),"NO APLICA")</f>
        <v>NO APLICA</v>
      </c>
    </row>
    <row r="1472">
      <c r="A1472" s="83" t="s">
        <v>4618</v>
      </c>
      <c r="B1472" s="83" t="s">
        <v>4619</v>
      </c>
      <c r="C1472" s="81" t="s">
        <v>4621</v>
      </c>
      <c r="D1472" s="83" t="s">
        <v>4363</v>
      </c>
      <c r="E1472" s="81" t="s">
        <v>1548</v>
      </c>
      <c r="F1472" s="84">
        <v>299.0</v>
      </c>
      <c r="G1472" s="81" t="s">
        <v>12</v>
      </c>
      <c r="H1472" s="81" t="s">
        <v>224</v>
      </c>
      <c r="I1472" s="81" t="s">
        <v>1549</v>
      </c>
      <c r="J1472" s="81" t="s">
        <v>224</v>
      </c>
      <c r="K1472" s="81" t="str">
        <f>IFERROR(__xludf.DUMMYFUNCTION("IF(OR(D1472="""",G1472=""""),"""",IFERROR(LET(
campo,XLOOKUP(TRIM(G1472),ARRAYFORMULA(TRIM('indice columnas'!$A$2:$A$100)),'indice columnas'!$B$2:$B$100,""""),
col,IFERROR(MATCH(campo,Referencia!$A$1:$AZ$1,0),0),
fila,IFERROR(MATCH(TO_TEXT(D1472),ARRAYFOR"&amp;"MULA(TO_TEXT(Referencia!$A$2:$A6238)),0),0),
IF(OR(campo="""",campo=""-""),""NO APLICA"",
IF(col=0,""REVISAR EQUIVALENCIA"",
IF(fila=0,""SKU NO ENCONTRADO"",
LET(
valor,INDEX(Referencia!$A$2:$AZ6238,fila,col),
IF(TRIM(TO_TEXT(valor))=TRIM(TO_TEXT(I1472)),"&amp;"
""OK"",
""NO COINCIDE. Valor verdadero: ""&amp;IF(valor="""",""[VACÍO]"",TO_TEXT(valor))
)
))))
),""ERROR EN FÓRMULA""))"),"OK")</f>
        <v>OK</v>
      </c>
    </row>
    <row r="1473">
      <c r="A1473" s="83" t="s">
        <v>4618</v>
      </c>
      <c r="B1473" s="83" t="s">
        <v>4619</v>
      </c>
      <c r="C1473" s="81" t="s">
        <v>4621</v>
      </c>
      <c r="D1473" s="83" t="s">
        <v>4363</v>
      </c>
      <c r="E1473" s="81" t="s">
        <v>1548</v>
      </c>
      <c r="F1473" s="84">
        <v>299.0</v>
      </c>
      <c r="G1473" s="81" t="s">
        <v>44</v>
      </c>
      <c r="H1473" s="81" t="s">
        <v>224</v>
      </c>
      <c r="I1473" s="81" t="s">
        <v>1550</v>
      </c>
      <c r="J1473" s="81" t="s">
        <v>4088</v>
      </c>
      <c r="K1473" s="81" t="str">
        <f>IFERROR(__xludf.DUMMYFUNCTION("IF(OR(D1473="""",G1473=""""),"""",IFERROR(LET(
campo,XLOOKUP(TRIM(G1473),ARRAYFORMULA(TRIM('indice columnas'!$A$2:$A$100)),'indice columnas'!$B$2:$B$100,""""),
col,IFERROR(MATCH(campo,Referencia!$A$1:$AZ$1,0),0),
fila,IFERROR(MATCH(TO_TEXT(D1473),ARRAYFOR"&amp;"MULA(TO_TEXT(Referencia!$A$2:$A6238)),0),0),
IF(OR(campo="""",campo=""-""),""NO APLICA"",
IF(col=0,""REVISAR EQUIVALENCIA"",
IF(fila=0,""SKU NO ENCONTRADO"",
LET(
valor,INDEX(Referencia!$A$2:$AZ6238,fila,col),
IF(TRIM(TO_TEXT(valor))=TRIM(TO_TEXT(I1473)),"&amp;"
""OK"",
""NO COINCIDE. Valor verdadero: ""&amp;IF(valor="""",""[VACÍO]"",TO_TEXT(valor))
)
))))
),""ERROR EN FÓRMULA""))"),"NO APLICA")</f>
        <v>NO APLICA</v>
      </c>
    </row>
    <row r="1474">
      <c r="A1474" s="83" t="s">
        <v>4618</v>
      </c>
      <c r="B1474" s="83" t="s">
        <v>4619</v>
      </c>
      <c r="C1474" s="81" t="s">
        <v>4621</v>
      </c>
      <c r="D1474" s="83" t="s">
        <v>4364</v>
      </c>
      <c r="E1474" s="81" t="s">
        <v>1551</v>
      </c>
      <c r="F1474" s="84">
        <v>300.0</v>
      </c>
      <c r="G1474" s="81" t="s">
        <v>12</v>
      </c>
      <c r="H1474" s="81" t="s">
        <v>224</v>
      </c>
      <c r="I1474" s="81" t="s">
        <v>1549</v>
      </c>
      <c r="J1474" s="81" t="s">
        <v>224</v>
      </c>
      <c r="K1474" s="81" t="str">
        <f>IFERROR(__xludf.DUMMYFUNCTION("IF(OR(D1474="""",G1474=""""),"""",IFERROR(LET(
campo,XLOOKUP(TRIM(G1474),ARRAYFORMULA(TRIM('indice columnas'!$A$2:$A$100)),'indice columnas'!$B$2:$B$100,""""),
col,IFERROR(MATCH(campo,Referencia!$A$1:$AZ$1,0),0),
fila,IFERROR(MATCH(TO_TEXT(D1474),ARRAYFOR"&amp;"MULA(TO_TEXT(Referencia!$A$2:$A6238)),0),0),
IF(OR(campo="""",campo=""-""),""NO APLICA"",
IF(col=0,""REVISAR EQUIVALENCIA"",
IF(fila=0,""SKU NO ENCONTRADO"",
LET(
valor,INDEX(Referencia!$A$2:$AZ6238,fila,col),
IF(TRIM(TO_TEXT(valor))=TRIM(TO_TEXT(I1474)),"&amp;"
""OK"",
""NO COINCIDE. Valor verdadero: ""&amp;IF(valor="""",""[VACÍO]"",TO_TEXT(valor))
)
))))
),""ERROR EN FÓRMULA""))"),"OK")</f>
        <v>OK</v>
      </c>
    </row>
    <row r="1475">
      <c r="A1475" s="83" t="s">
        <v>4618</v>
      </c>
      <c r="B1475" s="83" t="s">
        <v>4619</v>
      </c>
      <c r="C1475" s="81" t="s">
        <v>4621</v>
      </c>
      <c r="D1475" s="83" t="s">
        <v>4364</v>
      </c>
      <c r="E1475" s="81" t="s">
        <v>1551</v>
      </c>
      <c r="F1475" s="84">
        <v>300.0</v>
      </c>
      <c r="G1475" s="81" t="s">
        <v>44</v>
      </c>
      <c r="H1475" s="81" t="s">
        <v>224</v>
      </c>
      <c r="I1475" s="81" t="s">
        <v>1550</v>
      </c>
      <c r="J1475" s="81" t="s">
        <v>4088</v>
      </c>
      <c r="K1475" s="81" t="str">
        <f>IFERROR(__xludf.DUMMYFUNCTION("IF(OR(D1475="""",G1475=""""),"""",IFERROR(LET(
campo,XLOOKUP(TRIM(G1475),ARRAYFORMULA(TRIM('indice columnas'!$A$2:$A$100)),'indice columnas'!$B$2:$B$100,""""),
col,IFERROR(MATCH(campo,Referencia!$A$1:$AZ$1,0),0),
fila,IFERROR(MATCH(TO_TEXT(D1475),ARRAYFOR"&amp;"MULA(TO_TEXT(Referencia!$A$2:$A6238)),0),0),
IF(OR(campo="""",campo=""-""),""NO APLICA"",
IF(col=0,""REVISAR EQUIVALENCIA"",
IF(fila=0,""SKU NO ENCONTRADO"",
LET(
valor,INDEX(Referencia!$A$2:$AZ6238,fila,col),
IF(TRIM(TO_TEXT(valor))=TRIM(TO_TEXT(I1475)),"&amp;"
""OK"",
""NO COINCIDE. Valor verdadero: ""&amp;IF(valor="""",""[VACÍO]"",TO_TEXT(valor))
)
))))
),""ERROR EN FÓRMULA""))"),"NO APLICA")</f>
        <v>NO APLICA</v>
      </c>
    </row>
    <row r="1476">
      <c r="A1476" s="83" t="s">
        <v>4618</v>
      </c>
      <c r="B1476" s="83" t="s">
        <v>4619</v>
      </c>
      <c r="C1476" s="81" t="s">
        <v>4621</v>
      </c>
      <c r="D1476" s="83" t="s">
        <v>4365</v>
      </c>
      <c r="E1476" s="81" t="s">
        <v>1554</v>
      </c>
      <c r="F1476" s="84">
        <v>301.0</v>
      </c>
      <c r="G1476" s="81" t="s">
        <v>44</v>
      </c>
      <c r="H1476" s="81" t="s">
        <v>224</v>
      </c>
      <c r="I1476" s="81" t="s">
        <v>1554</v>
      </c>
      <c r="J1476" s="81" t="s">
        <v>4088</v>
      </c>
      <c r="K1476" s="81" t="str">
        <f>IFERROR(__xludf.DUMMYFUNCTION("IF(OR(D1476="""",G1476=""""),"""",IFERROR(LET(
campo,XLOOKUP(TRIM(G1476),ARRAYFORMULA(TRIM('indice columnas'!$A$2:$A$100)),'indice columnas'!$B$2:$B$100,""""),
col,IFERROR(MATCH(campo,Referencia!$A$1:$AZ$1,0),0),
fila,IFERROR(MATCH(TO_TEXT(D1476),ARRAYFOR"&amp;"MULA(TO_TEXT(Referencia!$A$2:$A6238)),0),0),
IF(OR(campo="""",campo=""-""),""NO APLICA"",
IF(col=0,""REVISAR EQUIVALENCIA"",
IF(fila=0,""SKU NO ENCONTRADO"",
LET(
valor,INDEX(Referencia!$A$2:$AZ6238,fila,col),
IF(TRIM(TO_TEXT(valor))=TRIM(TO_TEXT(I1476)),"&amp;"
""OK"",
""NO COINCIDE. Valor verdadero: ""&amp;IF(valor="""",""[VACÍO]"",TO_TEXT(valor))
)
))))
),""ERROR EN FÓRMULA""))"),"NO APLICA")</f>
        <v>NO APLICA</v>
      </c>
    </row>
    <row r="1477">
      <c r="A1477" s="83" t="s">
        <v>4618</v>
      </c>
      <c r="B1477" s="83" t="s">
        <v>4619</v>
      </c>
      <c r="C1477" s="81" t="s">
        <v>4621</v>
      </c>
      <c r="D1477" s="83" t="s">
        <v>4365</v>
      </c>
      <c r="E1477" s="81" t="s">
        <v>1560</v>
      </c>
      <c r="F1477" s="84">
        <v>302.0</v>
      </c>
      <c r="G1477" s="81" t="s">
        <v>12</v>
      </c>
      <c r="H1477" s="81" t="s">
        <v>224</v>
      </c>
      <c r="I1477" s="81" t="s">
        <v>55</v>
      </c>
      <c r="J1477" s="81" t="s">
        <v>224</v>
      </c>
      <c r="K1477" s="81" t="str">
        <f>IFERROR(__xludf.DUMMYFUNCTION("IF(OR(D1477="""",G1477=""""),"""",IFERROR(LET(
campo,XLOOKUP(TRIM(G1477),ARRAYFORMULA(TRIM('indice columnas'!$A$2:$A$100)),'indice columnas'!$B$2:$B$100,""""),
col,IFERROR(MATCH(campo,Referencia!$A$1:$AZ$1,0),0),
fila,IFERROR(MATCH(TO_TEXT(D1477),ARRAYFOR"&amp;"MULA(TO_TEXT(Referencia!$A$2:$A6238)),0),0),
IF(OR(campo="""",campo=""-""),""NO APLICA"",
IF(col=0,""REVISAR EQUIVALENCIA"",
IF(fila=0,""SKU NO ENCONTRADO"",
LET(
valor,INDEX(Referencia!$A$2:$AZ6238,fila,col),
IF(TRIM(TO_TEXT(valor))=TRIM(TO_TEXT(I1477)),"&amp;"
""OK"",
""NO COINCIDE. Valor verdadero: ""&amp;IF(valor="""",""[VACÍO]"",TO_TEXT(valor))
)
))))
),""ERROR EN FÓRMULA""))"),"OK")</f>
        <v>OK</v>
      </c>
    </row>
    <row r="1478">
      <c r="A1478" s="83" t="s">
        <v>4618</v>
      </c>
      <c r="B1478" s="83" t="s">
        <v>4619</v>
      </c>
      <c r="C1478" s="81" t="s">
        <v>4621</v>
      </c>
      <c r="D1478" s="83" t="s">
        <v>4365</v>
      </c>
      <c r="E1478" s="81" t="s">
        <v>1560</v>
      </c>
      <c r="F1478" s="84">
        <v>302.0</v>
      </c>
      <c r="G1478" s="81" t="s">
        <v>44</v>
      </c>
      <c r="H1478" s="81" t="s">
        <v>224</v>
      </c>
      <c r="I1478" s="81" t="s">
        <v>1554</v>
      </c>
      <c r="J1478" s="81" t="s">
        <v>4088</v>
      </c>
      <c r="K1478" s="81" t="str">
        <f>IFERROR(__xludf.DUMMYFUNCTION("IF(OR(D1478="""",G1478=""""),"""",IFERROR(LET(
campo,XLOOKUP(TRIM(G1478),ARRAYFORMULA(TRIM('indice columnas'!$A$2:$A$100)),'indice columnas'!$B$2:$B$100,""""),
col,IFERROR(MATCH(campo,Referencia!$A$1:$AZ$1,0),0),
fila,IFERROR(MATCH(TO_TEXT(D1478),ARRAYFOR"&amp;"MULA(TO_TEXT(Referencia!$A$2:$A6238)),0),0),
IF(OR(campo="""",campo=""-""),""NO APLICA"",
IF(col=0,""REVISAR EQUIVALENCIA"",
IF(fila=0,""SKU NO ENCONTRADO"",
LET(
valor,INDEX(Referencia!$A$2:$AZ6238,fila,col),
IF(TRIM(TO_TEXT(valor))=TRIM(TO_TEXT(I1478)),"&amp;"
""OK"",
""NO COINCIDE. Valor verdadero: ""&amp;IF(valor="""",""[VACÍO]"",TO_TEXT(valor))
)
))))
),""ERROR EN FÓRMULA""))"),"NO APLICA")</f>
        <v>NO APLICA</v>
      </c>
    </row>
    <row r="1479">
      <c r="A1479" s="83" t="s">
        <v>4618</v>
      </c>
      <c r="B1479" s="83" t="s">
        <v>4619</v>
      </c>
      <c r="C1479" s="81" t="s">
        <v>4621</v>
      </c>
      <c r="D1479" s="83" t="s">
        <v>4366</v>
      </c>
      <c r="E1479" s="81" t="s">
        <v>1562</v>
      </c>
      <c r="F1479" s="84">
        <v>303.0</v>
      </c>
      <c r="G1479" s="81" t="s">
        <v>12</v>
      </c>
      <c r="H1479" s="81" t="s">
        <v>224</v>
      </c>
      <c r="I1479" s="81" t="s">
        <v>55</v>
      </c>
      <c r="J1479" s="81" t="s">
        <v>224</v>
      </c>
      <c r="K1479" s="81" t="str">
        <f>IFERROR(__xludf.DUMMYFUNCTION("IF(OR(D1479="""",G1479=""""),"""",IFERROR(LET(
campo,XLOOKUP(TRIM(G1479),ARRAYFORMULA(TRIM('indice columnas'!$A$2:$A$100)),'indice columnas'!$B$2:$B$100,""""),
col,IFERROR(MATCH(campo,Referencia!$A$1:$AZ$1,0),0),
fila,IFERROR(MATCH(TO_TEXT(D1479),ARRAYFOR"&amp;"MULA(TO_TEXT(Referencia!$A$2:$A6238)),0),0),
IF(OR(campo="""",campo=""-""),""NO APLICA"",
IF(col=0,""REVISAR EQUIVALENCIA"",
IF(fila=0,""SKU NO ENCONTRADO"",
LET(
valor,INDEX(Referencia!$A$2:$AZ6238,fila,col),
IF(TRIM(TO_TEXT(valor))=TRIM(TO_TEXT(I1479)),"&amp;"
""OK"",
""NO COINCIDE. Valor verdadero: ""&amp;IF(valor="""",""[VACÍO]"",TO_TEXT(valor))
)
))))
),""ERROR EN FÓRMULA""))"),"OK")</f>
        <v>OK</v>
      </c>
    </row>
    <row r="1480">
      <c r="A1480" s="83" t="s">
        <v>4618</v>
      </c>
      <c r="B1480" s="83" t="s">
        <v>4619</v>
      </c>
      <c r="C1480" s="81" t="s">
        <v>4621</v>
      </c>
      <c r="D1480" s="83" t="s">
        <v>4366</v>
      </c>
      <c r="E1480" s="81" t="s">
        <v>1562</v>
      </c>
      <c r="F1480" s="84">
        <v>303.0</v>
      </c>
      <c r="G1480" s="81" t="s">
        <v>44</v>
      </c>
      <c r="H1480" s="81" t="s">
        <v>224</v>
      </c>
      <c r="I1480" s="81" t="s">
        <v>1554</v>
      </c>
      <c r="J1480" s="81" t="s">
        <v>4088</v>
      </c>
      <c r="K1480" s="81" t="str">
        <f>IFERROR(__xludf.DUMMYFUNCTION("IF(OR(D1480="""",G1480=""""),"""",IFERROR(LET(
campo,XLOOKUP(TRIM(G1480),ARRAYFORMULA(TRIM('indice columnas'!$A$2:$A$100)),'indice columnas'!$B$2:$B$100,""""),
col,IFERROR(MATCH(campo,Referencia!$A$1:$AZ$1,0),0),
fila,IFERROR(MATCH(TO_TEXT(D1480),ARRAYFOR"&amp;"MULA(TO_TEXT(Referencia!$A$2:$A6238)),0),0),
IF(OR(campo="""",campo=""-""),""NO APLICA"",
IF(col=0,""REVISAR EQUIVALENCIA"",
IF(fila=0,""SKU NO ENCONTRADO"",
LET(
valor,INDEX(Referencia!$A$2:$AZ6238,fila,col),
IF(TRIM(TO_TEXT(valor))=TRIM(TO_TEXT(I1480)),"&amp;"
""OK"",
""NO COINCIDE. Valor verdadero: ""&amp;IF(valor="""",""[VACÍO]"",TO_TEXT(valor))
)
))))
),""ERROR EN FÓRMULA""))"),"NO APLICA")</f>
        <v>NO APLICA</v>
      </c>
    </row>
    <row r="1481">
      <c r="A1481" s="83" t="s">
        <v>4618</v>
      </c>
      <c r="B1481" s="83" t="s">
        <v>4619</v>
      </c>
      <c r="C1481" s="81" t="s">
        <v>4621</v>
      </c>
      <c r="D1481" s="83" t="s">
        <v>4367</v>
      </c>
      <c r="E1481" s="81" t="s">
        <v>1564</v>
      </c>
      <c r="F1481" s="84">
        <v>304.0</v>
      </c>
      <c r="G1481" s="81" t="s">
        <v>12</v>
      </c>
      <c r="H1481" s="81" t="s">
        <v>224</v>
      </c>
      <c r="I1481" s="81" t="s">
        <v>55</v>
      </c>
      <c r="J1481" s="81" t="s">
        <v>224</v>
      </c>
      <c r="K1481" s="81" t="str">
        <f>IFERROR(__xludf.DUMMYFUNCTION("IF(OR(D1481="""",G1481=""""),"""",IFERROR(LET(
campo,XLOOKUP(TRIM(G1481),ARRAYFORMULA(TRIM('indice columnas'!$A$2:$A$100)),'indice columnas'!$B$2:$B$100,""""),
col,IFERROR(MATCH(campo,Referencia!$A$1:$AZ$1,0),0),
fila,IFERROR(MATCH(TO_TEXT(D1481),ARRAYFOR"&amp;"MULA(TO_TEXT(Referencia!$A$2:$A6238)),0),0),
IF(OR(campo="""",campo=""-""),""NO APLICA"",
IF(col=0,""REVISAR EQUIVALENCIA"",
IF(fila=0,""SKU NO ENCONTRADO"",
LET(
valor,INDEX(Referencia!$A$2:$AZ6238,fila,col),
IF(TRIM(TO_TEXT(valor))=TRIM(TO_TEXT(I1481)),"&amp;"
""OK"",
""NO COINCIDE. Valor verdadero: ""&amp;IF(valor="""",""[VACÍO]"",TO_TEXT(valor))
)
))))
),""ERROR EN FÓRMULA""))"),"OK")</f>
        <v>OK</v>
      </c>
    </row>
    <row r="1482">
      <c r="A1482" s="83" t="s">
        <v>4618</v>
      </c>
      <c r="B1482" s="83" t="s">
        <v>4619</v>
      </c>
      <c r="C1482" s="81" t="s">
        <v>4621</v>
      </c>
      <c r="D1482" s="83" t="s">
        <v>4367</v>
      </c>
      <c r="E1482" s="81" t="s">
        <v>1564</v>
      </c>
      <c r="F1482" s="84">
        <v>304.0</v>
      </c>
      <c r="G1482" s="81" t="s">
        <v>44</v>
      </c>
      <c r="H1482" s="81" t="s">
        <v>224</v>
      </c>
      <c r="I1482" s="81" t="s">
        <v>1554</v>
      </c>
      <c r="J1482" s="81" t="s">
        <v>4088</v>
      </c>
      <c r="K1482" s="81" t="str">
        <f>IFERROR(__xludf.DUMMYFUNCTION("IF(OR(D1482="""",G1482=""""),"""",IFERROR(LET(
campo,XLOOKUP(TRIM(G1482),ARRAYFORMULA(TRIM('indice columnas'!$A$2:$A$100)),'indice columnas'!$B$2:$B$100,""""),
col,IFERROR(MATCH(campo,Referencia!$A$1:$AZ$1,0),0),
fila,IFERROR(MATCH(TO_TEXT(D1482),ARRAYFOR"&amp;"MULA(TO_TEXT(Referencia!$A$2:$A6238)),0),0),
IF(OR(campo="""",campo=""-""),""NO APLICA"",
IF(col=0,""REVISAR EQUIVALENCIA"",
IF(fila=0,""SKU NO ENCONTRADO"",
LET(
valor,INDEX(Referencia!$A$2:$AZ6238,fila,col),
IF(TRIM(TO_TEXT(valor))=TRIM(TO_TEXT(I1482)),"&amp;"
""OK"",
""NO COINCIDE. Valor verdadero: ""&amp;IF(valor="""",""[VACÍO]"",TO_TEXT(valor))
)
))))
),""ERROR EN FÓRMULA""))"),"NO APLICA")</f>
        <v>NO APLICA</v>
      </c>
    </row>
    <row r="1483">
      <c r="A1483" s="83" t="s">
        <v>4618</v>
      </c>
      <c r="B1483" s="83" t="s">
        <v>4619</v>
      </c>
      <c r="C1483" s="81" t="s">
        <v>4621</v>
      </c>
      <c r="D1483" s="83" t="s">
        <v>4368</v>
      </c>
      <c r="E1483" s="81" t="s">
        <v>1566</v>
      </c>
      <c r="F1483" s="84">
        <v>305.0</v>
      </c>
      <c r="G1483" s="81" t="s">
        <v>44</v>
      </c>
      <c r="H1483" s="81" t="s">
        <v>224</v>
      </c>
      <c r="I1483" s="81" t="s">
        <v>1566</v>
      </c>
      <c r="J1483" s="81" t="s">
        <v>4088</v>
      </c>
      <c r="K1483" s="81" t="str">
        <f>IFERROR(__xludf.DUMMYFUNCTION("IF(OR(D1483="""",G1483=""""),"""",IFERROR(LET(
campo,XLOOKUP(TRIM(G1483),ARRAYFORMULA(TRIM('indice columnas'!$A$2:$A$100)),'indice columnas'!$B$2:$B$100,""""),
col,IFERROR(MATCH(campo,Referencia!$A$1:$AZ$1,0),0),
fila,IFERROR(MATCH(TO_TEXT(D1483),ARRAYFOR"&amp;"MULA(TO_TEXT(Referencia!$A$2:$A6238)),0),0),
IF(OR(campo="""",campo=""-""),""NO APLICA"",
IF(col=0,""REVISAR EQUIVALENCIA"",
IF(fila=0,""SKU NO ENCONTRADO"",
LET(
valor,INDEX(Referencia!$A$2:$AZ6238,fila,col),
IF(TRIM(TO_TEXT(valor))=TRIM(TO_TEXT(I1483)),"&amp;"
""OK"",
""NO COINCIDE. Valor verdadero: ""&amp;IF(valor="""",""[VACÍO]"",TO_TEXT(valor))
)
))))
),""ERROR EN FÓRMULA""))"),"NO APLICA")</f>
        <v>NO APLICA</v>
      </c>
    </row>
    <row r="1484">
      <c r="A1484" s="83" t="s">
        <v>4618</v>
      </c>
      <c r="B1484" s="83" t="s">
        <v>4619</v>
      </c>
      <c r="C1484" s="81" t="s">
        <v>4621</v>
      </c>
      <c r="D1484" s="83" t="s">
        <v>4368</v>
      </c>
      <c r="E1484" s="81" t="s">
        <v>1570</v>
      </c>
      <c r="F1484" s="84">
        <v>306.0</v>
      </c>
      <c r="G1484" s="81" t="s">
        <v>12</v>
      </c>
      <c r="H1484" s="81" t="s">
        <v>224</v>
      </c>
      <c r="I1484" s="81" t="s">
        <v>55</v>
      </c>
      <c r="J1484" s="81" t="s">
        <v>224</v>
      </c>
      <c r="K1484" s="81" t="str">
        <f>IFERROR(__xludf.DUMMYFUNCTION("IF(OR(D1484="""",G1484=""""),"""",IFERROR(LET(
campo,XLOOKUP(TRIM(G1484),ARRAYFORMULA(TRIM('indice columnas'!$A$2:$A$100)),'indice columnas'!$B$2:$B$100,""""),
col,IFERROR(MATCH(campo,Referencia!$A$1:$AZ$1,0),0),
fila,IFERROR(MATCH(TO_TEXT(D1484),ARRAYFOR"&amp;"MULA(TO_TEXT(Referencia!$A$2:$A6238)),0),0),
IF(OR(campo="""",campo=""-""),""NO APLICA"",
IF(col=0,""REVISAR EQUIVALENCIA"",
IF(fila=0,""SKU NO ENCONTRADO"",
LET(
valor,INDEX(Referencia!$A$2:$AZ6238,fila,col),
IF(TRIM(TO_TEXT(valor))=TRIM(TO_TEXT(I1484)),"&amp;"
""OK"",
""NO COINCIDE. Valor verdadero: ""&amp;IF(valor="""",""[VACÍO]"",TO_TEXT(valor))
)
))))
),""ERROR EN FÓRMULA""))"),"OK")</f>
        <v>OK</v>
      </c>
    </row>
    <row r="1485">
      <c r="A1485" s="83" t="s">
        <v>4618</v>
      </c>
      <c r="B1485" s="83" t="s">
        <v>4619</v>
      </c>
      <c r="C1485" s="81" t="s">
        <v>4621</v>
      </c>
      <c r="D1485" s="83" t="s">
        <v>4368</v>
      </c>
      <c r="E1485" s="81" t="s">
        <v>1570</v>
      </c>
      <c r="F1485" s="84">
        <v>306.0</v>
      </c>
      <c r="G1485" s="81" t="s">
        <v>44</v>
      </c>
      <c r="H1485" s="81" t="s">
        <v>224</v>
      </c>
      <c r="I1485" s="81" t="s">
        <v>1566</v>
      </c>
      <c r="J1485" s="81" t="s">
        <v>4088</v>
      </c>
      <c r="K1485" s="81" t="str">
        <f>IFERROR(__xludf.DUMMYFUNCTION("IF(OR(D1485="""",G1485=""""),"""",IFERROR(LET(
campo,XLOOKUP(TRIM(G1485),ARRAYFORMULA(TRIM('indice columnas'!$A$2:$A$100)),'indice columnas'!$B$2:$B$100,""""),
col,IFERROR(MATCH(campo,Referencia!$A$1:$AZ$1,0),0),
fila,IFERROR(MATCH(TO_TEXT(D1485),ARRAYFOR"&amp;"MULA(TO_TEXT(Referencia!$A$2:$A6238)),0),0),
IF(OR(campo="""",campo=""-""),""NO APLICA"",
IF(col=0,""REVISAR EQUIVALENCIA"",
IF(fila=0,""SKU NO ENCONTRADO"",
LET(
valor,INDEX(Referencia!$A$2:$AZ6238,fila,col),
IF(TRIM(TO_TEXT(valor))=TRIM(TO_TEXT(I1485)),"&amp;"
""OK"",
""NO COINCIDE. Valor verdadero: ""&amp;IF(valor="""",""[VACÍO]"",TO_TEXT(valor))
)
))))
),""ERROR EN FÓRMULA""))"),"NO APLICA")</f>
        <v>NO APLICA</v>
      </c>
    </row>
    <row r="1486">
      <c r="A1486" s="83" t="s">
        <v>4618</v>
      </c>
      <c r="B1486" s="83" t="s">
        <v>4619</v>
      </c>
      <c r="C1486" s="81" t="s">
        <v>4621</v>
      </c>
      <c r="D1486" s="83" t="s">
        <v>4369</v>
      </c>
      <c r="E1486" s="81" t="s">
        <v>1571</v>
      </c>
      <c r="F1486" s="84">
        <v>307.0</v>
      </c>
      <c r="G1486" s="81" t="s">
        <v>12</v>
      </c>
      <c r="H1486" s="81" t="s">
        <v>224</v>
      </c>
      <c r="I1486" s="81" t="s">
        <v>55</v>
      </c>
      <c r="J1486" s="81" t="s">
        <v>224</v>
      </c>
      <c r="K1486" s="81" t="str">
        <f>IFERROR(__xludf.DUMMYFUNCTION("IF(OR(D1486="""",G1486=""""),"""",IFERROR(LET(
campo,XLOOKUP(TRIM(G1486),ARRAYFORMULA(TRIM('indice columnas'!$A$2:$A$100)),'indice columnas'!$B$2:$B$100,""""),
col,IFERROR(MATCH(campo,Referencia!$A$1:$AZ$1,0),0),
fila,IFERROR(MATCH(TO_TEXT(D1486),ARRAYFOR"&amp;"MULA(TO_TEXT(Referencia!$A$2:$A6238)),0),0),
IF(OR(campo="""",campo=""-""),""NO APLICA"",
IF(col=0,""REVISAR EQUIVALENCIA"",
IF(fila=0,""SKU NO ENCONTRADO"",
LET(
valor,INDEX(Referencia!$A$2:$AZ6238,fila,col),
IF(TRIM(TO_TEXT(valor))=TRIM(TO_TEXT(I1486)),"&amp;"
""OK"",
""NO COINCIDE. Valor verdadero: ""&amp;IF(valor="""",""[VACÍO]"",TO_TEXT(valor))
)
))))
),""ERROR EN FÓRMULA""))"),"OK")</f>
        <v>OK</v>
      </c>
    </row>
    <row r="1487">
      <c r="A1487" s="83" t="s">
        <v>4618</v>
      </c>
      <c r="B1487" s="83" t="s">
        <v>4619</v>
      </c>
      <c r="C1487" s="81" t="s">
        <v>4621</v>
      </c>
      <c r="D1487" s="83" t="s">
        <v>4369</v>
      </c>
      <c r="E1487" s="81" t="s">
        <v>1571</v>
      </c>
      <c r="F1487" s="84">
        <v>307.0</v>
      </c>
      <c r="G1487" s="81" t="s">
        <v>44</v>
      </c>
      <c r="H1487" s="81" t="s">
        <v>224</v>
      </c>
      <c r="I1487" s="81" t="s">
        <v>1566</v>
      </c>
      <c r="J1487" s="81" t="s">
        <v>4088</v>
      </c>
      <c r="K1487" s="81" t="str">
        <f>IFERROR(__xludf.DUMMYFUNCTION("IF(OR(D1487="""",G1487=""""),"""",IFERROR(LET(
campo,XLOOKUP(TRIM(G1487),ARRAYFORMULA(TRIM('indice columnas'!$A$2:$A$100)),'indice columnas'!$B$2:$B$100,""""),
col,IFERROR(MATCH(campo,Referencia!$A$1:$AZ$1,0),0),
fila,IFERROR(MATCH(TO_TEXT(D1487),ARRAYFOR"&amp;"MULA(TO_TEXT(Referencia!$A$2:$A6238)),0),0),
IF(OR(campo="""",campo=""-""),""NO APLICA"",
IF(col=0,""REVISAR EQUIVALENCIA"",
IF(fila=0,""SKU NO ENCONTRADO"",
LET(
valor,INDEX(Referencia!$A$2:$AZ6238,fila,col),
IF(TRIM(TO_TEXT(valor))=TRIM(TO_TEXT(I1487)),"&amp;"
""OK"",
""NO COINCIDE. Valor verdadero: ""&amp;IF(valor="""",""[VACÍO]"",TO_TEXT(valor))
)
))))
),""ERROR EN FÓRMULA""))"),"NO APLICA")</f>
        <v>NO APLICA</v>
      </c>
    </row>
    <row r="1488">
      <c r="A1488" s="83" t="s">
        <v>4618</v>
      </c>
      <c r="B1488" s="83" t="s">
        <v>4619</v>
      </c>
      <c r="C1488" s="81" t="s">
        <v>4621</v>
      </c>
      <c r="D1488" s="83" t="s">
        <v>4370</v>
      </c>
      <c r="E1488" s="81" t="s">
        <v>1573</v>
      </c>
      <c r="F1488" s="84">
        <v>308.0</v>
      </c>
      <c r="G1488" s="81" t="s">
        <v>12</v>
      </c>
      <c r="H1488" s="81" t="s">
        <v>224</v>
      </c>
      <c r="I1488" s="81" t="s">
        <v>55</v>
      </c>
      <c r="J1488" s="81" t="s">
        <v>224</v>
      </c>
      <c r="K1488" s="81" t="str">
        <f>IFERROR(__xludf.DUMMYFUNCTION("IF(OR(D1488="""",G1488=""""),"""",IFERROR(LET(
campo,XLOOKUP(TRIM(G1488),ARRAYFORMULA(TRIM('indice columnas'!$A$2:$A$100)),'indice columnas'!$B$2:$B$100,""""),
col,IFERROR(MATCH(campo,Referencia!$A$1:$AZ$1,0),0),
fila,IFERROR(MATCH(TO_TEXT(D1488),ARRAYFOR"&amp;"MULA(TO_TEXT(Referencia!$A$2:$A6238)),0),0),
IF(OR(campo="""",campo=""-""),""NO APLICA"",
IF(col=0,""REVISAR EQUIVALENCIA"",
IF(fila=0,""SKU NO ENCONTRADO"",
LET(
valor,INDEX(Referencia!$A$2:$AZ6238,fila,col),
IF(TRIM(TO_TEXT(valor))=TRIM(TO_TEXT(I1488)),"&amp;"
""OK"",
""NO COINCIDE. Valor verdadero: ""&amp;IF(valor="""",""[VACÍO]"",TO_TEXT(valor))
)
))))
),""ERROR EN FÓRMULA""))"),"OK")</f>
        <v>OK</v>
      </c>
    </row>
    <row r="1489">
      <c r="A1489" s="83" t="s">
        <v>4618</v>
      </c>
      <c r="B1489" s="83" t="s">
        <v>4619</v>
      </c>
      <c r="C1489" s="81" t="s">
        <v>4621</v>
      </c>
      <c r="D1489" s="83" t="s">
        <v>4370</v>
      </c>
      <c r="E1489" s="81" t="s">
        <v>1573</v>
      </c>
      <c r="F1489" s="84">
        <v>308.0</v>
      </c>
      <c r="G1489" s="81" t="s">
        <v>44</v>
      </c>
      <c r="H1489" s="81" t="s">
        <v>224</v>
      </c>
      <c r="I1489" s="81" t="s">
        <v>1566</v>
      </c>
      <c r="J1489" s="81" t="s">
        <v>4088</v>
      </c>
      <c r="K1489" s="81" t="str">
        <f>IFERROR(__xludf.DUMMYFUNCTION("IF(OR(D1489="""",G1489=""""),"""",IFERROR(LET(
campo,XLOOKUP(TRIM(G1489),ARRAYFORMULA(TRIM('indice columnas'!$A$2:$A$100)),'indice columnas'!$B$2:$B$100,""""),
col,IFERROR(MATCH(campo,Referencia!$A$1:$AZ$1,0),0),
fila,IFERROR(MATCH(TO_TEXT(D1489),ARRAYFOR"&amp;"MULA(TO_TEXT(Referencia!$A$2:$A6238)),0),0),
IF(OR(campo="""",campo=""-""),""NO APLICA"",
IF(col=0,""REVISAR EQUIVALENCIA"",
IF(fila=0,""SKU NO ENCONTRADO"",
LET(
valor,INDEX(Referencia!$A$2:$AZ6238,fila,col),
IF(TRIM(TO_TEXT(valor))=TRIM(TO_TEXT(I1489)),"&amp;"
""OK"",
""NO COINCIDE. Valor verdadero: ""&amp;IF(valor="""",""[VACÍO]"",TO_TEXT(valor))
)
))))
),""ERROR EN FÓRMULA""))"),"NO APLICA")</f>
        <v>NO APLICA</v>
      </c>
    </row>
    <row r="1490">
      <c r="A1490" s="83" t="s">
        <v>4618</v>
      </c>
      <c r="B1490" s="83" t="s">
        <v>4619</v>
      </c>
      <c r="C1490" s="81" t="s">
        <v>4621</v>
      </c>
      <c r="D1490" s="83" t="s">
        <v>4371</v>
      </c>
      <c r="E1490" s="81" t="s">
        <v>1575</v>
      </c>
      <c r="F1490" s="84">
        <v>309.0</v>
      </c>
      <c r="G1490" s="81" t="s">
        <v>12</v>
      </c>
      <c r="H1490" s="81" t="s">
        <v>224</v>
      </c>
      <c r="I1490" s="81" t="s">
        <v>55</v>
      </c>
      <c r="J1490" s="81" t="s">
        <v>224</v>
      </c>
      <c r="K1490" s="81" t="str">
        <f>IFERROR(__xludf.DUMMYFUNCTION("IF(OR(D1490="""",G1490=""""),"""",IFERROR(LET(
campo,XLOOKUP(TRIM(G1490),ARRAYFORMULA(TRIM('indice columnas'!$A$2:$A$100)),'indice columnas'!$B$2:$B$100,""""),
col,IFERROR(MATCH(campo,Referencia!$A$1:$AZ$1,0),0),
fila,IFERROR(MATCH(TO_TEXT(D1490),ARRAYFOR"&amp;"MULA(TO_TEXT(Referencia!$A$2:$A6238)),0),0),
IF(OR(campo="""",campo=""-""),""NO APLICA"",
IF(col=0,""REVISAR EQUIVALENCIA"",
IF(fila=0,""SKU NO ENCONTRADO"",
LET(
valor,INDEX(Referencia!$A$2:$AZ6238,fila,col),
IF(TRIM(TO_TEXT(valor))=TRIM(TO_TEXT(I1490)),"&amp;"
""OK"",
""NO COINCIDE. Valor verdadero: ""&amp;IF(valor="""",""[VACÍO]"",TO_TEXT(valor))
)
))))
),""ERROR EN FÓRMULA""))"),"OK")</f>
        <v>OK</v>
      </c>
    </row>
    <row r="1491">
      <c r="A1491" s="83" t="s">
        <v>4618</v>
      </c>
      <c r="B1491" s="83" t="s">
        <v>4619</v>
      </c>
      <c r="C1491" s="81" t="s">
        <v>4621</v>
      </c>
      <c r="D1491" s="83" t="s">
        <v>4371</v>
      </c>
      <c r="E1491" s="81" t="s">
        <v>1575</v>
      </c>
      <c r="F1491" s="84">
        <v>309.0</v>
      </c>
      <c r="G1491" s="81" t="s">
        <v>44</v>
      </c>
      <c r="H1491" s="81" t="s">
        <v>224</v>
      </c>
      <c r="I1491" s="81" t="s">
        <v>459</v>
      </c>
      <c r="J1491" s="81" t="s">
        <v>4088</v>
      </c>
      <c r="K1491" s="81" t="str">
        <f>IFERROR(__xludf.DUMMYFUNCTION("IF(OR(D1491="""",G1491=""""),"""",IFERROR(LET(
campo,XLOOKUP(TRIM(G1491),ARRAYFORMULA(TRIM('indice columnas'!$A$2:$A$100)),'indice columnas'!$B$2:$B$100,""""),
col,IFERROR(MATCH(campo,Referencia!$A$1:$AZ$1,0),0),
fila,IFERROR(MATCH(TO_TEXT(D1491),ARRAYFOR"&amp;"MULA(TO_TEXT(Referencia!$A$2:$A6238)),0),0),
IF(OR(campo="""",campo=""-""),""NO APLICA"",
IF(col=0,""REVISAR EQUIVALENCIA"",
IF(fila=0,""SKU NO ENCONTRADO"",
LET(
valor,INDEX(Referencia!$A$2:$AZ6238,fila,col),
IF(TRIM(TO_TEXT(valor))=TRIM(TO_TEXT(I1491)),"&amp;"
""OK"",
""NO COINCIDE. Valor verdadero: ""&amp;IF(valor="""",""[VACÍO]"",TO_TEXT(valor))
)
))))
),""ERROR EN FÓRMULA""))"),"NO APLICA")</f>
        <v>NO APLICA</v>
      </c>
    </row>
    <row r="1492">
      <c r="A1492" s="83" t="s">
        <v>4618</v>
      </c>
      <c r="B1492" s="83" t="s">
        <v>4619</v>
      </c>
      <c r="C1492" s="81" t="s">
        <v>4621</v>
      </c>
      <c r="D1492" s="83" t="s">
        <v>4372</v>
      </c>
      <c r="E1492" s="81" t="s">
        <v>1577</v>
      </c>
      <c r="F1492" s="84">
        <v>310.0</v>
      </c>
      <c r="G1492" s="81" t="s">
        <v>44</v>
      </c>
      <c r="H1492" s="81" t="s">
        <v>224</v>
      </c>
      <c r="I1492" s="81" t="s">
        <v>1401</v>
      </c>
      <c r="J1492" s="81" t="s">
        <v>4088</v>
      </c>
      <c r="K1492" s="81" t="str">
        <f>IFERROR(__xludf.DUMMYFUNCTION("IF(OR(D1492="""",G1492=""""),"""",IFERROR(LET(
campo,XLOOKUP(TRIM(G1492),ARRAYFORMULA(TRIM('indice columnas'!$A$2:$A$100)),'indice columnas'!$B$2:$B$100,""""),
col,IFERROR(MATCH(campo,Referencia!$A$1:$AZ$1,0),0),
fila,IFERROR(MATCH(TO_TEXT(D1492),ARRAYFOR"&amp;"MULA(TO_TEXT(Referencia!$A$2:$A6238)),0),0),
IF(OR(campo="""",campo=""-""),""NO APLICA"",
IF(col=0,""REVISAR EQUIVALENCIA"",
IF(fila=0,""SKU NO ENCONTRADO"",
LET(
valor,INDEX(Referencia!$A$2:$AZ6238,fila,col),
IF(TRIM(TO_TEXT(valor))=TRIM(TO_TEXT(I1492)),"&amp;"
""OK"",
""NO COINCIDE. Valor verdadero: ""&amp;IF(valor="""",""[VACÍO]"",TO_TEXT(valor))
)
))))
),""ERROR EN FÓRMULA""))"),"NO APLICA")</f>
        <v>NO APLICA</v>
      </c>
    </row>
    <row r="1493">
      <c r="A1493" s="83" t="s">
        <v>4618</v>
      </c>
      <c r="B1493" s="83" t="s">
        <v>4619</v>
      </c>
      <c r="C1493" s="81" t="s">
        <v>4621</v>
      </c>
      <c r="D1493" s="83" t="s">
        <v>4372</v>
      </c>
      <c r="E1493" s="81" t="s">
        <v>1581</v>
      </c>
      <c r="F1493" s="84">
        <v>311.0</v>
      </c>
      <c r="G1493" s="81" t="s">
        <v>12</v>
      </c>
      <c r="H1493" s="81" t="s">
        <v>224</v>
      </c>
      <c r="I1493" s="81" t="s">
        <v>55</v>
      </c>
      <c r="J1493" s="81" t="s">
        <v>224</v>
      </c>
      <c r="K1493" s="81" t="str">
        <f>IFERROR(__xludf.DUMMYFUNCTION("IF(OR(D1493="""",G1493=""""),"""",IFERROR(LET(
campo,XLOOKUP(TRIM(G1493),ARRAYFORMULA(TRIM('indice columnas'!$A$2:$A$100)),'indice columnas'!$B$2:$B$100,""""),
col,IFERROR(MATCH(campo,Referencia!$A$1:$AZ$1,0),0),
fila,IFERROR(MATCH(TO_TEXT(D1493),ARRAYFOR"&amp;"MULA(TO_TEXT(Referencia!$A$2:$A6238)),0),0),
IF(OR(campo="""",campo=""-""),""NO APLICA"",
IF(col=0,""REVISAR EQUIVALENCIA"",
IF(fila=0,""SKU NO ENCONTRADO"",
LET(
valor,INDEX(Referencia!$A$2:$AZ6238,fila,col),
IF(TRIM(TO_TEXT(valor))=TRIM(TO_TEXT(I1493)),"&amp;"
""OK"",
""NO COINCIDE. Valor verdadero: ""&amp;IF(valor="""",""[VACÍO]"",TO_TEXT(valor))
)
))))
),""ERROR EN FÓRMULA""))"),"OK")</f>
        <v>OK</v>
      </c>
    </row>
    <row r="1494">
      <c r="A1494" s="83" t="s">
        <v>4618</v>
      </c>
      <c r="B1494" s="83" t="s">
        <v>4619</v>
      </c>
      <c r="C1494" s="81" t="s">
        <v>4621</v>
      </c>
      <c r="D1494" s="83" t="s">
        <v>4372</v>
      </c>
      <c r="E1494" s="81" t="s">
        <v>1581</v>
      </c>
      <c r="F1494" s="84">
        <v>311.0</v>
      </c>
      <c r="G1494" s="81" t="s">
        <v>29</v>
      </c>
      <c r="H1494" s="81" t="s">
        <v>4373</v>
      </c>
      <c r="I1494" s="81" t="s">
        <v>1582</v>
      </c>
      <c r="J1494" s="81" t="s">
        <v>224</v>
      </c>
      <c r="K1494" s="81" t="str">
        <f>IFERROR(__xludf.DUMMYFUNCTION("IF(OR(D1494="""",G1494=""""),"""",IFERROR(LET(
campo,XLOOKUP(TRIM(G1494),ARRAYFORMULA(TRIM('indice columnas'!$A$2:$A$100)),'indice columnas'!$B$2:$B$100,""""),
col,IFERROR(MATCH(campo,Referencia!$A$1:$AZ$1,0),0),
fila,IFERROR(MATCH(TO_TEXT(D1494),ARRAYFOR"&amp;"MULA(TO_TEXT(Referencia!$A$2:$A6238)),0),0),
IF(OR(campo="""",campo=""-""),""NO APLICA"",
IF(col=0,""REVISAR EQUIVALENCIA"",
IF(fila=0,""SKU NO ENCONTRADO"",
LET(
valor,INDEX(Referencia!$A$2:$AZ6238,fila,col),
IF(TRIM(TO_TEXT(valor))=TRIM(TO_TEXT(I1494)),"&amp;"
""OK"",
""NO COINCIDE. Valor verdadero: ""&amp;IF(valor="""",""[VACÍO]"",TO_TEXT(valor))
)
))))
),""ERROR EN FÓRMULA""))"),"NO COINCIDE. Valor verdadero: 33 x 60 x 3 (Ancho x Alto x Prof)")</f>
        <v>NO COINCIDE. Valor verdadero: 33 x 60 x 3 (Ancho x Alto x Prof)</v>
      </c>
    </row>
    <row r="1495">
      <c r="A1495" s="83" t="s">
        <v>4618</v>
      </c>
      <c r="B1495" s="83" t="s">
        <v>4619</v>
      </c>
      <c r="C1495" s="81" t="s">
        <v>4621</v>
      </c>
      <c r="D1495" s="83" t="s">
        <v>4372</v>
      </c>
      <c r="E1495" s="81" t="s">
        <v>1581</v>
      </c>
      <c r="F1495" s="84">
        <v>311.0</v>
      </c>
      <c r="G1495" s="81" t="s">
        <v>44</v>
      </c>
      <c r="H1495" s="81" t="s">
        <v>224</v>
      </c>
      <c r="I1495" s="81" t="s">
        <v>1401</v>
      </c>
      <c r="J1495" s="81" t="s">
        <v>4088</v>
      </c>
      <c r="K1495" s="81" t="str">
        <f>IFERROR(__xludf.DUMMYFUNCTION("IF(OR(D1495="""",G1495=""""),"""",IFERROR(LET(
campo,XLOOKUP(TRIM(G1495),ARRAYFORMULA(TRIM('indice columnas'!$A$2:$A$100)),'indice columnas'!$B$2:$B$100,""""),
col,IFERROR(MATCH(campo,Referencia!$A$1:$AZ$1,0),0),
fila,IFERROR(MATCH(TO_TEXT(D1495),ARRAYFOR"&amp;"MULA(TO_TEXT(Referencia!$A$2:$A6238)),0),0),
IF(OR(campo="""",campo=""-""),""NO APLICA"",
IF(col=0,""REVISAR EQUIVALENCIA"",
IF(fila=0,""SKU NO ENCONTRADO"",
LET(
valor,INDEX(Referencia!$A$2:$AZ6238,fila,col),
IF(TRIM(TO_TEXT(valor))=TRIM(TO_TEXT(I1495)),"&amp;"
""OK"",
""NO COINCIDE. Valor verdadero: ""&amp;IF(valor="""",""[VACÍO]"",TO_TEXT(valor))
)
))))
),""ERROR EN FÓRMULA""))"),"NO APLICA")</f>
        <v>NO APLICA</v>
      </c>
    </row>
    <row r="1496">
      <c r="A1496" s="83" t="s">
        <v>4618</v>
      </c>
      <c r="B1496" s="83" t="s">
        <v>4619</v>
      </c>
      <c r="C1496" s="81" t="s">
        <v>4621</v>
      </c>
      <c r="D1496" s="83" t="s">
        <v>4374</v>
      </c>
      <c r="E1496" s="81" t="s">
        <v>1583</v>
      </c>
      <c r="F1496" s="84">
        <v>312.0</v>
      </c>
      <c r="G1496" s="81" t="s">
        <v>12</v>
      </c>
      <c r="H1496" s="81" t="s">
        <v>224</v>
      </c>
      <c r="I1496" s="81" t="s">
        <v>55</v>
      </c>
      <c r="J1496" s="81" t="s">
        <v>224</v>
      </c>
      <c r="K1496" s="81" t="str">
        <f>IFERROR(__xludf.DUMMYFUNCTION("IF(OR(D1496="""",G1496=""""),"""",IFERROR(LET(
campo,XLOOKUP(TRIM(G1496),ARRAYFORMULA(TRIM('indice columnas'!$A$2:$A$100)),'indice columnas'!$B$2:$B$100,""""),
col,IFERROR(MATCH(campo,Referencia!$A$1:$AZ$1,0),0),
fila,IFERROR(MATCH(TO_TEXT(D1496),ARRAYFOR"&amp;"MULA(TO_TEXT(Referencia!$A$2:$A6238)),0),0),
IF(OR(campo="""",campo=""-""),""NO APLICA"",
IF(col=0,""REVISAR EQUIVALENCIA"",
IF(fila=0,""SKU NO ENCONTRADO"",
LET(
valor,INDEX(Referencia!$A$2:$AZ6238,fila,col),
IF(TRIM(TO_TEXT(valor))=TRIM(TO_TEXT(I1496)),"&amp;"
""OK"",
""NO COINCIDE. Valor verdadero: ""&amp;IF(valor="""",""[VACÍO]"",TO_TEXT(valor))
)
))))
),""ERROR EN FÓRMULA""))"),"OK")</f>
        <v>OK</v>
      </c>
    </row>
    <row r="1497">
      <c r="A1497" s="83" t="s">
        <v>4618</v>
      </c>
      <c r="B1497" s="83" t="s">
        <v>4619</v>
      </c>
      <c r="C1497" s="81" t="s">
        <v>4621</v>
      </c>
      <c r="D1497" s="83" t="s">
        <v>4374</v>
      </c>
      <c r="E1497" s="81" t="s">
        <v>1583</v>
      </c>
      <c r="F1497" s="84">
        <v>312.0</v>
      </c>
      <c r="G1497" s="81" t="s">
        <v>29</v>
      </c>
      <c r="H1497" s="81" t="s">
        <v>4373</v>
      </c>
      <c r="I1497" s="81" t="s">
        <v>1582</v>
      </c>
      <c r="J1497" s="81" t="s">
        <v>224</v>
      </c>
      <c r="K1497" s="81" t="str">
        <f>IFERROR(__xludf.DUMMYFUNCTION("IF(OR(D1497="""",G1497=""""),"""",IFERROR(LET(
campo,XLOOKUP(TRIM(G1497),ARRAYFORMULA(TRIM('indice columnas'!$A$2:$A$100)),'indice columnas'!$B$2:$B$100,""""),
col,IFERROR(MATCH(campo,Referencia!$A$1:$AZ$1,0),0),
fila,IFERROR(MATCH(TO_TEXT(D1497),ARRAYFOR"&amp;"MULA(TO_TEXT(Referencia!$A$2:$A6238)),0),0),
IF(OR(campo="""",campo=""-""),""NO APLICA"",
IF(col=0,""REVISAR EQUIVALENCIA"",
IF(fila=0,""SKU NO ENCONTRADO"",
LET(
valor,INDEX(Referencia!$A$2:$AZ6238,fila,col),
IF(TRIM(TO_TEXT(valor))=TRIM(TO_TEXT(I1497)),"&amp;"
""OK"",
""NO COINCIDE. Valor verdadero: ""&amp;IF(valor="""",""[VACÍO]"",TO_TEXT(valor))
)
))))
),""ERROR EN FÓRMULA""))"),"NO COINCIDE. Valor verdadero: 33 x 60 x 3 (Ancho x Alto x Prof)")</f>
        <v>NO COINCIDE. Valor verdadero: 33 x 60 x 3 (Ancho x Alto x Prof)</v>
      </c>
    </row>
    <row r="1498">
      <c r="A1498" s="83" t="s">
        <v>4618</v>
      </c>
      <c r="B1498" s="83" t="s">
        <v>4619</v>
      </c>
      <c r="C1498" s="81" t="s">
        <v>4621</v>
      </c>
      <c r="D1498" s="83" t="s">
        <v>4374</v>
      </c>
      <c r="E1498" s="81" t="s">
        <v>1583</v>
      </c>
      <c r="F1498" s="84">
        <v>312.0</v>
      </c>
      <c r="G1498" s="81" t="s">
        <v>44</v>
      </c>
      <c r="H1498" s="81" t="s">
        <v>224</v>
      </c>
      <c r="I1498" s="81" t="s">
        <v>1401</v>
      </c>
      <c r="J1498" s="81" t="s">
        <v>4088</v>
      </c>
      <c r="K1498" s="81" t="str">
        <f>IFERROR(__xludf.DUMMYFUNCTION("IF(OR(D1498="""",G1498=""""),"""",IFERROR(LET(
campo,XLOOKUP(TRIM(G1498),ARRAYFORMULA(TRIM('indice columnas'!$A$2:$A$100)),'indice columnas'!$B$2:$B$100,""""),
col,IFERROR(MATCH(campo,Referencia!$A$1:$AZ$1,0),0),
fila,IFERROR(MATCH(TO_TEXT(D1498),ARRAYFOR"&amp;"MULA(TO_TEXT(Referencia!$A$2:$A6238)),0),0),
IF(OR(campo="""",campo=""-""),""NO APLICA"",
IF(col=0,""REVISAR EQUIVALENCIA"",
IF(fila=0,""SKU NO ENCONTRADO"",
LET(
valor,INDEX(Referencia!$A$2:$AZ6238,fila,col),
IF(TRIM(TO_TEXT(valor))=TRIM(TO_TEXT(I1498)),"&amp;"
""OK"",
""NO COINCIDE. Valor verdadero: ""&amp;IF(valor="""",""[VACÍO]"",TO_TEXT(valor))
)
))))
),""ERROR EN FÓRMULA""))"),"NO APLICA")</f>
        <v>NO APLICA</v>
      </c>
    </row>
    <row r="1499">
      <c r="A1499" s="83" t="s">
        <v>4618</v>
      </c>
      <c r="B1499" s="83" t="s">
        <v>4619</v>
      </c>
      <c r="C1499" s="81" t="s">
        <v>4621</v>
      </c>
      <c r="D1499" s="83" t="s">
        <v>4375</v>
      </c>
      <c r="E1499" s="81" t="s">
        <v>1586</v>
      </c>
      <c r="F1499" s="84">
        <v>313.0</v>
      </c>
      <c r="G1499" s="81" t="s">
        <v>44</v>
      </c>
      <c r="H1499" s="81" t="s">
        <v>224</v>
      </c>
      <c r="I1499" s="81" t="s">
        <v>924</v>
      </c>
      <c r="J1499" s="81" t="s">
        <v>4088</v>
      </c>
      <c r="K1499" s="81" t="str">
        <f>IFERROR(__xludf.DUMMYFUNCTION("IF(OR(D1499="""",G1499=""""),"""",IFERROR(LET(
campo,XLOOKUP(TRIM(G1499),ARRAYFORMULA(TRIM('indice columnas'!$A$2:$A$100)),'indice columnas'!$B$2:$B$100,""""),
col,IFERROR(MATCH(campo,Referencia!$A$1:$AZ$1,0),0),
fila,IFERROR(MATCH(TO_TEXT(D1499),ARRAYFOR"&amp;"MULA(TO_TEXT(Referencia!$A$2:$A6238)),0),0),
IF(OR(campo="""",campo=""-""),""NO APLICA"",
IF(col=0,""REVISAR EQUIVALENCIA"",
IF(fila=0,""SKU NO ENCONTRADO"",
LET(
valor,INDEX(Referencia!$A$2:$AZ6238,fila,col),
IF(TRIM(TO_TEXT(valor))=TRIM(TO_TEXT(I1499)),"&amp;"
""OK"",
""NO COINCIDE. Valor verdadero: ""&amp;IF(valor="""",""[VACÍO]"",TO_TEXT(valor))
)
))))
),""ERROR EN FÓRMULA""))"),"NO APLICA")</f>
        <v>NO APLICA</v>
      </c>
    </row>
    <row r="1500">
      <c r="A1500" s="83" t="s">
        <v>4618</v>
      </c>
      <c r="B1500" s="83" t="s">
        <v>4619</v>
      </c>
      <c r="C1500" s="81" t="s">
        <v>4621</v>
      </c>
      <c r="D1500" s="83" t="s">
        <v>4375</v>
      </c>
      <c r="E1500" s="81" t="s">
        <v>1590</v>
      </c>
      <c r="F1500" s="84">
        <v>314.0</v>
      </c>
      <c r="G1500" s="81" t="s">
        <v>7</v>
      </c>
      <c r="H1500" s="81" t="s">
        <v>53</v>
      </c>
      <c r="I1500" s="81" t="s">
        <v>1134</v>
      </c>
      <c r="J1500" s="81" t="s">
        <v>224</v>
      </c>
      <c r="K1500" s="81" t="str">
        <f>IFERROR(__xludf.DUMMYFUNCTION("IF(OR(D1500="""",G1500=""""),"""",IFERROR(LET(
campo,XLOOKUP(TRIM(G1500),ARRAYFORMULA(TRIM('indice columnas'!$A$2:$A$100)),'indice columnas'!$B$2:$B$100,""""),
col,IFERROR(MATCH(campo,Referencia!$A$1:$AZ$1,0),0),
fila,IFERROR(MATCH(TO_TEXT(D1500),ARRAYFOR"&amp;"MULA(TO_TEXT(Referencia!$A$2:$A6238)),0),0),
IF(OR(campo="""",campo=""-""),""NO APLICA"",
IF(col=0,""REVISAR EQUIVALENCIA"",
IF(fila=0,""SKU NO ENCONTRADO"",
LET(
valor,INDEX(Referencia!$A$2:$AZ6238,fila,col),
IF(TRIM(TO_TEXT(valor))=TRIM(TO_TEXT(I1500)),"&amp;"
""OK"",
""NO COINCIDE. Valor verdadero: ""&amp;IF(valor="""",""[VACÍO]"",TO_TEXT(valor))
)
))))
),""ERROR EN FÓRMULA""))"),"REVISAR EQUIVALENCIA")</f>
        <v>REVISAR EQUIVALENCIA</v>
      </c>
    </row>
    <row r="1501">
      <c r="A1501" s="83" t="s">
        <v>4618</v>
      </c>
      <c r="B1501" s="83" t="s">
        <v>4619</v>
      </c>
      <c r="C1501" s="81" t="s">
        <v>4621</v>
      </c>
      <c r="D1501" s="83" t="s">
        <v>4375</v>
      </c>
      <c r="E1501" s="81" t="s">
        <v>1590</v>
      </c>
      <c r="F1501" s="84">
        <v>314.0</v>
      </c>
      <c r="G1501" s="81" t="s">
        <v>12</v>
      </c>
      <c r="H1501" s="81" t="s">
        <v>224</v>
      </c>
      <c r="I1501" s="81" t="s">
        <v>55</v>
      </c>
      <c r="J1501" s="81" t="s">
        <v>224</v>
      </c>
      <c r="K1501" s="81" t="str">
        <f>IFERROR(__xludf.DUMMYFUNCTION("IF(OR(D1501="""",G1501=""""),"""",IFERROR(LET(
campo,XLOOKUP(TRIM(G1501),ARRAYFORMULA(TRIM('indice columnas'!$A$2:$A$100)),'indice columnas'!$B$2:$B$100,""""),
col,IFERROR(MATCH(campo,Referencia!$A$1:$AZ$1,0),0),
fila,IFERROR(MATCH(TO_TEXT(D1501),ARRAYFOR"&amp;"MULA(TO_TEXT(Referencia!$A$2:$A6238)),0),0),
IF(OR(campo="""",campo=""-""),""NO APLICA"",
IF(col=0,""REVISAR EQUIVALENCIA"",
IF(fila=0,""SKU NO ENCONTRADO"",
LET(
valor,INDEX(Referencia!$A$2:$AZ6238,fila,col),
IF(TRIM(TO_TEXT(valor))=TRIM(TO_TEXT(I1501)),"&amp;"
""OK"",
""NO COINCIDE. Valor verdadero: ""&amp;IF(valor="""",""[VACÍO]"",TO_TEXT(valor))
)
))))
),""ERROR EN FÓRMULA""))"),"OK")</f>
        <v>OK</v>
      </c>
    </row>
    <row r="1502">
      <c r="A1502" s="83" t="s">
        <v>4618</v>
      </c>
      <c r="B1502" s="83" t="s">
        <v>4619</v>
      </c>
      <c r="C1502" s="81" t="s">
        <v>4621</v>
      </c>
      <c r="D1502" s="83" t="s">
        <v>4375</v>
      </c>
      <c r="E1502" s="81" t="s">
        <v>1590</v>
      </c>
      <c r="F1502" s="84">
        <v>314.0</v>
      </c>
      <c r="G1502" s="81" t="s">
        <v>44</v>
      </c>
      <c r="H1502" s="81" t="s">
        <v>224</v>
      </c>
      <c r="I1502" s="81" t="s">
        <v>924</v>
      </c>
      <c r="J1502" s="81" t="s">
        <v>4088</v>
      </c>
      <c r="K1502" s="81" t="str">
        <f>IFERROR(__xludf.DUMMYFUNCTION("IF(OR(D1502="""",G1502=""""),"""",IFERROR(LET(
campo,XLOOKUP(TRIM(G1502),ARRAYFORMULA(TRIM('indice columnas'!$A$2:$A$100)),'indice columnas'!$B$2:$B$100,""""),
col,IFERROR(MATCH(campo,Referencia!$A$1:$AZ$1,0),0),
fila,IFERROR(MATCH(TO_TEXT(D1502),ARRAYFOR"&amp;"MULA(TO_TEXT(Referencia!$A$2:$A6238)),0),0),
IF(OR(campo="""",campo=""-""),""NO APLICA"",
IF(col=0,""REVISAR EQUIVALENCIA"",
IF(fila=0,""SKU NO ENCONTRADO"",
LET(
valor,INDEX(Referencia!$A$2:$AZ6238,fila,col),
IF(TRIM(TO_TEXT(valor))=TRIM(TO_TEXT(I1502)),"&amp;"
""OK"",
""NO COINCIDE. Valor verdadero: ""&amp;IF(valor="""",""[VACÍO]"",TO_TEXT(valor))
)
))))
),""ERROR EN FÓRMULA""))"),"NO APLICA")</f>
        <v>NO APLICA</v>
      </c>
    </row>
    <row r="1503">
      <c r="A1503" s="83" t="s">
        <v>4618</v>
      </c>
      <c r="B1503" s="83" t="s">
        <v>4619</v>
      </c>
      <c r="C1503" s="81" t="s">
        <v>4621</v>
      </c>
      <c r="D1503" s="83" t="s">
        <v>4376</v>
      </c>
      <c r="E1503" s="81" t="s">
        <v>1591</v>
      </c>
      <c r="F1503" s="84">
        <v>315.0</v>
      </c>
      <c r="G1503" s="81" t="s">
        <v>7</v>
      </c>
      <c r="H1503" s="81" t="s">
        <v>53</v>
      </c>
      <c r="I1503" s="81" t="s">
        <v>1134</v>
      </c>
      <c r="J1503" s="81" t="s">
        <v>224</v>
      </c>
      <c r="K1503" s="81" t="str">
        <f>IFERROR(__xludf.DUMMYFUNCTION("IF(OR(D1503="""",G1503=""""),"""",IFERROR(LET(
campo,XLOOKUP(TRIM(G1503),ARRAYFORMULA(TRIM('indice columnas'!$A$2:$A$100)),'indice columnas'!$B$2:$B$100,""""),
col,IFERROR(MATCH(campo,Referencia!$A$1:$AZ$1,0),0),
fila,IFERROR(MATCH(TO_TEXT(D1503),ARRAYFOR"&amp;"MULA(TO_TEXT(Referencia!$A$2:$A6238)),0),0),
IF(OR(campo="""",campo=""-""),""NO APLICA"",
IF(col=0,""REVISAR EQUIVALENCIA"",
IF(fila=0,""SKU NO ENCONTRADO"",
LET(
valor,INDEX(Referencia!$A$2:$AZ6238,fila,col),
IF(TRIM(TO_TEXT(valor))=TRIM(TO_TEXT(I1503)),"&amp;"
""OK"",
""NO COINCIDE. Valor verdadero: ""&amp;IF(valor="""",""[VACÍO]"",TO_TEXT(valor))
)
))))
),""ERROR EN FÓRMULA""))"),"REVISAR EQUIVALENCIA")</f>
        <v>REVISAR EQUIVALENCIA</v>
      </c>
    </row>
    <row r="1504">
      <c r="A1504" s="83" t="s">
        <v>4618</v>
      </c>
      <c r="B1504" s="83" t="s">
        <v>4619</v>
      </c>
      <c r="C1504" s="81" t="s">
        <v>4621</v>
      </c>
      <c r="D1504" s="83" t="s">
        <v>4376</v>
      </c>
      <c r="E1504" s="81" t="s">
        <v>1591</v>
      </c>
      <c r="F1504" s="84">
        <v>315.0</v>
      </c>
      <c r="G1504" s="81" t="s">
        <v>12</v>
      </c>
      <c r="H1504" s="81" t="s">
        <v>224</v>
      </c>
      <c r="I1504" s="81" t="s">
        <v>55</v>
      </c>
      <c r="J1504" s="81" t="s">
        <v>224</v>
      </c>
      <c r="K1504" s="81" t="str">
        <f>IFERROR(__xludf.DUMMYFUNCTION("IF(OR(D1504="""",G1504=""""),"""",IFERROR(LET(
campo,XLOOKUP(TRIM(G1504),ARRAYFORMULA(TRIM('indice columnas'!$A$2:$A$100)),'indice columnas'!$B$2:$B$100,""""),
col,IFERROR(MATCH(campo,Referencia!$A$1:$AZ$1,0),0),
fila,IFERROR(MATCH(TO_TEXT(D1504),ARRAYFOR"&amp;"MULA(TO_TEXT(Referencia!$A$2:$A6238)),0),0),
IF(OR(campo="""",campo=""-""),""NO APLICA"",
IF(col=0,""REVISAR EQUIVALENCIA"",
IF(fila=0,""SKU NO ENCONTRADO"",
LET(
valor,INDEX(Referencia!$A$2:$AZ6238,fila,col),
IF(TRIM(TO_TEXT(valor))=TRIM(TO_TEXT(I1504)),"&amp;"
""OK"",
""NO COINCIDE. Valor verdadero: ""&amp;IF(valor="""",""[VACÍO]"",TO_TEXT(valor))
)
))))
),""ERROR EN FÓRMULA""))"),"OK")</f>
        <v>OK</v>
      </c>
    </row>
    <row r="1505">
      <c r="A1505" s="83" t="s">
        <v>4618</v>
      </c>
      <c r="B1505" s="83" t="s">
        <v>4619</v>
      </c>
      <c r="C1505" s="81" t="s">
        <v>4621</v>
      </c>
      <c r="D1505" s="83" t="s">
        <v>4376</v>
      </c>
      <c r="E1505" s="81" t="s">
        <v>1591</v>
      </c>
      <c r="F1505" s="84">
        <v>315.0</v>
      </c>
      <c r="G1505" s="81" t="s">
        <v>44</v>
      </c>
      <c r="H1505" s="81" t="s">
        <v>224</v>
      </c>
      <c r="I1505" s="81" t="s">
        <v>924</v>
      </c>
      <c r="J1505" s="81" t="s">
        <v>4088</v>
      </c>
      <c r="K1505" s="81" t="str">
        <f>IFERROR(__xludf.DUMMYFUNCTION("IF(OR(D1505="""",G1505=""""),"""",IFERROR(LET(
campo,XLOOKUP(TRIM(G1505),ARRAYFORMULA(TRIM('indice columnas'!$A$2:$A$100)),'indice columnas'!$B$2:$B$100,""""),
col,IFERROR(MATCH(campo,Referencia!$A$1:$AZ$1,0),0),
fila,IFERROR(MATCH(TO_TEXT(D1505),ARRAYFOR"&amp;"MULA(TO_TEXT(Referencia!$A$2:$A6238)),0),0),
IF(OR(campo="""",campo=""-""),""NO APLICA"",
IF(col=0,""REVISAR EQUIVALENCIA"",
IF(fila=0,""SKU NO ENCONTRADO"",
LET(
valor,INDEX(Referencia!$A$2:$AZ6238,fila,col),
IF(TRIM(TO_TEXT(valor))=TRIM(TO_TEXT(I1505)),"&amp;"
""OK"",
""NO COINCIDE. Valor verdadero: ""&amp;IF(valor="""",""[VACÍO]"",TO_TEXT(valor))
)
))))
),""ERROR EN FÓRMULA""))"),"NO APLICA")</f>
        <v>NO APLICA</v>
      </c>
    </row>
    <row r="1506">
      <c r="A1506" s="83" t="s">
        <v>4618</v>
      </c>
      <c r="B1506" s="83" t="s">
        <v>4619</v>
      </c>
      <c r="C1506" s="81" t="s">
        <v>4621</v>
      </c>
      <c r="D1506" s="83" t="s">
        <v>4377</v>
      </c>
      <c r="E1506" s="81" t="s">
        <v>1594</v>
      </c>
      <c r="F1506" s="84">
        <v>316.0</v>
      </c>
      <c r="G1506" s="81" t="s">
        <v>44</v>
      </c>
      <c r="H1506" s="81" t="s">
        <v>224</v>
      </c>
      <c r="I1506" s="81" t="s">
        <v>1594</v>
      </c>
      <c r="J1506" s="81" t="s">
        <v>4088</v>
      </c>
      <c r="K1506" s="81" t="str">
        <f>IFERROR(__xludf.DUMMYFUNCTION("IF(OR(D1506="""",G1506=""""),"""",IFERROR(LET(
campo,XLOOKUP(TRIM(G1506),ARRAYFORMULA(TRIM('indice columnas'!$A$2:$A$100)),'indice columnas'!$B$2:$B$100,""""),
col,IFERROR(MATCH(campo,Referencia!$A$1:$AZ$1,0),0),
fila,IFERROR(MATCH(TO_TEXT(D1506),ARRAYFOR"&amp;"MULA(TO_TEXT(Referencia!$A$2:$A6238)),0),0),
IF(OR(campo="""",campo=""-""),""NO APLICA"",
IF(col=0,""REVISAR EQUIVALENCIA"",
IF(fila=0,""SKU NO ENCONTRADO"",
LET(
valor,INDEX(Referencia!$A$2:$AZ6238,fila,col),
IF(TRIM(TO_TEXT(valor))=TRIM(TO_TEXT(I1506)),"&amp;"
""OK"",
""NO COINCIDE. Valor verdadero: ""&amp;IF(valor="""",""[VACÍO]"",TO_TEXT(valor))
)
))))
),""ERROR EN FÓRMULA""))"),"NO APLICA")</f>
        <v>NO APLICA</v>
      </c>
    </row>
    <row r="1507">
      <c r="A1507" s="83" t="s">
        <v>4618</v>
      </c>
      <c r="B1507" s="83" t="s">
        <v>4619</v>
      </c>
      <c r="C1507" s="81" t="s">
        <v>4621</v>
      </c>
      <c r="D1507" s="83" t="s">
        <v>4378</v>
      </c>
      <c r="E1507" s="81" t="s">
        <v>1609</v>
      </c>
      <c r="F1507" s="84">
        <v>317.0</v>
      </c>
      <c r="G1507" s="81" t="s">
        <v>44</v>
      </c>
      <c r="H1507" s="81" t="s">
        <v>224</v>
      </c>
      <c r="I1507" s="81" t="s">
        <v>4379</v>
      </c>
      <c r="J1507" s="81" t="s">
        <v>4088</v>
      </c>
      <c r="K1507" s="81" t="str">
        <f>IFERROR(__xludf.DUMMYFUNCTION("IF(OR(D1507="""",G1507=""""),"""",IFERROR(LET(
campo,XLOOKUP(TRIM(G1507),ARRAYFORMULA(TRIM('indice columnas'!$A$2:$A$100)),'indice columnas'!$B$2:$B$100,""""),
col,IFERROR(MATCH(campo,Referencia!$A$1:$AZ$1,0),0),
fila,IFERROR(MATCH(TO_TEXT(D1507),ARRAYFOR"&amp;"MULA(TO_TEXT(Referencia!$A$2:$A6238)),0),0),
IF(OR(campo="""",campo=""-""),""NO APLICA"",
IF(col=0,""REVISAR EQUIVALENCIA"",
IF(fila=0,""SKU NO ENCONTRADO"",
LET(
valor,INDEX(Referencia!$A$2:$AZ6238,fila,col),
IF(TRIM(TO_TEXT(valor))=TRIM(TO_TEXT(I1507)),"&amp;"
""OK"",
""NO COINCIDE. Valor verdadero: ""&amp;IF(valor="""",""[VACÍO]"",TO_TEXT(valor))
)
))))
),""ERROR EN FÓRMULA""))"),"NO APLICA")</f>
        <v>NO APLICA</v>
      </c>
    </row>
    <row r="1508">
      <c r="A1508" s="83" t="s">
        <v>4618</v>
      </c>
      <c r="B1508" s="83" t="s">
        <v>4619</v>
      </c>
      <c r="C1508" s="81" t="s">
        <v>4621</v>
      </c>
      <c r="D1508" s="83" t="s">
        <v>4378</v>
      </c>
      <c r="E1508" s="81" t="s">
        <v>1616</v>
      </c>
      <c r="F1508" s="84">
        <v>318.0</v>
      </c>
      <c r="G1508" s="81" t="s">
        <v>12</v>
      </c>
      <c r="H1508" s="81" t="s">
        <v>224</v>
      </c>
      <c r="I1508" s="81" t="s">
        <v>55</v>
      </c>
      <c r="J1508" s="81" t="s">
        <v>224</v>
      </c>
      <c r="K1508" s="81" t="str">
        <f>IFERROR(__xludf.DUMMYFUNCTION("IF(OR(D1508="""",G1508=""""),"""",IFERROR(LET(
campo,XLOOKUP(TRIM(G1508),ARRAYFORMULA(TRIM('indice columnas'!$A$2:$A$100)),'indice columnas'!$B$2:$B$100,""""),
col,IFERROR(MATCH(campo,Referencia!$A$1:$AZ$1,0),0),
fila,IFERROR(MATCH(TO_TEXT(D1508),ARRAYFOR"&amp;"MULA(TO_TEXT(Referencia!$A$2:$A6238)),0),0),
IF(OR(campo="""",campo=""-""),""NO APLICA"",
IF(col=0,""REVISAR EQUIVALENCIA"",
IF(fila=0,""SKU NO ENCONTRADO"",
LET(
valor,INDEX(Referencia!$A$2:$AZ6238,fila,col),
IF(TRIM(TO_TEXT(valor))=TRIM(TO_TEXT(I1508)),"&amp;"
""OK"",
""NO COINCIDE. Valor verdadero: ""&amp;IF(valor="""",""[VACÍO]"",TO_TEXT(valor))
)
))))
),""ERROR EN FÓRMULA""))"),"OK")</f>
        <v>OK</v>
      </c>
    </row>
    <row r="1509">
      <c r="A1509" s="83" t="s">
        <v>4618</v>
      </c>
      <c r="B1509" s="83" t="s">
        <v>4619</v>
      </c>
      <c r="C1509" s="81" t="s">
        <v>4621</v>
      </c>
      <c r="D1509" s="83" t="s">
        <v>4378</v>
      </c>
      <c r="E1509" s="81" t="s">
        <v>1616</v>
      </c>
      <c r="F1509" s="84">
        <v>318.0</v>
      </c>
      <c r="G1509" s="81" t="s">
        <v>44</v>
      </c>
      <c r="H1509" s="81" t="s">
        <v>224</v>
      </c>
      <c r="I1509" s="81" t="s">
        <v>4379</v>
      </c>
      <c r="J1509" s="81" t="s">
        <v>4088</v>
      </c>
      <c r="K1509" s="81" t="str">
        <f>IFERROR(__xludf.DUMMYFUNCTION("IF(OR(D1509="""",G1509=""""),"""",IFERROR(LET(
campo,XLOOKUP(TRIM(G1509),ARRAYFORMULA(TRIM('indice columnas'!$A$2:$A$100)),'indice columnas'!$B$2:$B$100,""""),
col,IFERROR(MATCH(campo,Referencia!$A$1:$AZ$1,0),0),
fila,IFERROR(MATCH(TO_TEXT(D1509),ARRAYFOR"&amp;"MULA(TO_TEXT(Referencia!$A$2:$A6238)),0),0),
IF(OR(campo="""",campo=""-""),""NO APLICA"",
IF(col=0,""REVISAR EQUIVALENCIA"",
IF(fila=0,""SKU NO ENCONTRADO"",
LET(
valor,INDEX(Referencia!$A$2:$AZ6238,fila,col),
IF(TRIM(TO_TEXT(valor))=TRIM(TO_TEXT(I1509)),"&amp;"
""OK"",
""NO COINCIDE. Valor verdadero: ""&amp;IF(valor="""",""[VACÍO]"",TO_TEXT(valor))
)
))))
),""ERROR EN FÓRMULA""))"),"NO APLICA")</f>
        <v>NO APLICA</v>
      </c>
    </row>
    <row r="1510">
      <c r="A1510" s="83" t="s">
        <v>4618</v>
      </c>
      <c r="B1510" s="83" t="s">
        <v>4619</v>
      </c>
      <c r="C1510" s="81" t="s">
        <v>4621</v>
      </c>
      <c r="D1510" s="83" t="s">
        <v>4380</v>
      </c>
      <c r="E1510" s="81" t="s">
        <v>1617</v>
      </c>
      <c r="F1510" s="84">
        <v>319.0</v>
      </c>
      <c r="G1510" s="81" t="s">
        <v>12</v>
      </c>
      <c r="H1510" s="81" t="s">
        <v>224</v>
      </c>
      <c r="I1510" s="81" t="s">
        <v>55</v>
      </c>
      <c r="J1510" s="81" t="s">
        <v>224</v>
      </c>
      <c r="K1510" s="81" t="str">
        <f>IFERROR(__xludf.DUMMYFUNCTION("IF(OR(D1510="""",G1510=""""),"""",IFERROR(LET(
campo,XLOOKUP(TRIM(G1510),ARRAYFORMULA(TRIM('indice columnas'!$A$2:$A$100)),'indice columnas'!$B$2:$B$100,""""),
col,IFERROR(MATCH(campo,Referencia!$A$1:$AZ$1,0),0),
fila,IFERROR(MATCH(TO_TEXT(D1510),ARRAYFOR"&amp;"MULA(TO_TEXT(Referencia!$A$2:$A6238)),0),0),
IF(OR(campo="""",campo=""-""),""NO APLICA"",
IF(col=0,""REVISAR EQUIVALENCIA"",
IF(fila=0,""SKU NO ENCONTRADO"",
LET(
valor,INDEX(Referencia!$A$2:$AZ6238,fila,col),
IF(TRIM(TO_TEXT(valor))=TRIM(TO_TEXT(I1510)),"&amp;"
""OK"",
""NO COINCIDE. Valor verdadero: ""&amp;IF(valor="""",""[VACÍO]"",TO_TEXT(valor))
)
))))
),""ERROR EN FÓRMULA""))"),"OK")</f>
        <v>OK</v>
      </c>
    </row>
    <row r="1511">
      <c r="A1511" s="83" t="s">
        <v>4618</v>
      </c>
      <c r="B1511" s="83" t="s">
        <v>4619</v>
      </c>
      <c r="C1511" s="81" t="s">
        <v>4621</v>
      </c>
      <c r="D1511" s="83" t="s">
        <v>4380</v>
      </c>
      <c r="E1511" s="81" t="s">
        <v>1617</v>
      </c>
      <c r="F1511" s="84">
        <v>319.0</v>
      </c>
      <c r="G1511" s="81" t="s">
        <v>44</v>
      </c>
      <c r="H1511" s="81" t="s">
        <v>224</v>
      </c>
      <c r="I1511" s="81" t="s">
        <v>4379</v>
      </c>
      <c r="J1511" s="81" t="s">
        <v>4088</v>
      </c>
      <c r="K1511" s="81" t="str">
        <f>IFERROR(__xludf.DUMMYFUNCTION("IF(OR(D1511="""",G1511=""""),"""",IFERROR(LET(
campo,XLOOKUP(TRIM(G1511),ARRAYFORMULA(TRIM('indice columnas'!$A$2:$A$100)),'indice columnas'!$B$2:$B$100,""""),
col,IFERROR(MATCH(campo,Referencia!$A$1:$AZ$1,0),0),
fila,IFERROR(MATCH(TO_TEXT(D1511),ARRAYFOR"&amp;"MULA(TO_TEXT(Referencia!$A$2:$A6238)),0),0),
IF(OR(campo="""",campo=""-""),""NO APLICA"",
IF(col=0,""REVISAR EQUIVALENCIA"",
IF(fila=0,""SKU NO ENCONTRADO"",
LET(
valor,INDEX(Referencia!$A$2:$AZ6238,fila,col),
IF(TRIM(TO_TEXT(valor))=TRIM(TO_TEXT(I1511)),"&amp;"
""OK"",
""NO COINCIDE. Valor verdadero: ""&amp;IF(valor="""",""[VACÍO]"",TO_TEXT(valor))
)
))))
),""ERROR EN FÓRMULA""))"),"NO APLICA")</f>
        <v>NO APLICA</v>
      </c>
    </row>
    <row r="1512">
      <c r="A1512" s="83" t="s">
        <v>4618</v>
      </c>
      <c r="B1512" s="83" t="s">
        <v>4619</v>
      </c>
      <c r="C1512" s="81" t="s">
        <v>4621</v>
      </c>
      <c r="D1512" s="83" t="s">
        <v>4381</v>
      </c>
      <c r="E1512" s="81" t="s">
        <v>1620</v>
      </c>
      <c r="F1512" s="84">
        <v>320.0</v>
      </c>
      <c r="G1512" s="81" t="s">
        <v>12</v>
      </c>
      <c r="H1512" s="81" t="s">
        <v>224</v>
      </c>
      <c r="I1512" s="81" t="s">
        <v>55</v>
      </c>
      <c r="J1512" s="81" t="s">
        <v>224</v>
      </c>
      <c r="K1512" s="81" t="str">
        <f>IFERROR(__xludf.DUMMYFUNCTION("IF(OR(D1512="""",G1512=""""),"""",IFERROR(LET(
campo,XLOOKUP(TRIM(G1512),ARRAYFORMULA(TRIM('indice columnas'!$A$2:$A$100)),'indice columnas'!$B$2:$B$100,""""),
col,IFERROR(MATCH(campo,Referencia!$A$1:$AZ$1,0),0),
fila,IFERROR(MATCH(TO_TEXT(D1512),ARRAYFOR"&amp;"MULA(TO_TEXT(Referencia!$A$2:$A6238)),0),0),
IF(OR(campo="""",campo=""-""),""NO APLICA"",
IF(col=0,""REVISAR EQUIVALENCIA"",
IF(fila=0,""SKU NO ENCONTRADO"",
LET(
valor,INDEX(Referencia!$A$2:$AZ6238,fila,col),
IF(TRIM(TO_TEXT(valor))=TRIM(TO_TEXT(I1512)),"&amp;"
""OK"",
""NO COINCIDE. Valor verdadero: ""&amp;IF(valor="""",""[VACÍO]"",TO_TEXT(valor))
)
))))
),""ERROR EN FÓRMULA""))"),"OK")</f>
        <v>OK</v>
      </c>
    </row>
    <row r="1513">
      <c r="A1513" s="83" t="s">
        <v>4618</v>
      </c>
      <c r="B1513" s="83" t="s">
        <v>4619</v>
      </c>
      <c r="C1513" s="81" t="s">
        <v>4621</v>
      </c>
      <c r="D1513" s="83" t="s">
        <v>4381</v>
      </c>
      <c r="E1513" s="81" t="s">
        <v>1620</v>
      </c>
      <c r="F1513" s="84">
        <v>320.0</v>
      </c>
      <c r="G1513" s="81" t="s">
        <v>44</v>
      </c>
      <c r="H1513" s="81" t="s">
        <v>224</v>
      </c>
      <c r="I1513" s="81" t="s">
        <v>1401</v>
      </c>
      <c r="J1513" s="81" t="s">
        <v>4088</v>
      </c>
      <c r="K1513" s="81" t="str">
        <f>IFERROR(__xludf.DUMMYFUNCTION("IF(OR(D1513="""",G1513=""""),"""",IFERROR(LET(
campo,XLOOKUP(TRIM(G1513),ARRAYFORMULA(TRIM('indice columnas'!$A$2:$A$100)),'indice columnas'!$B$2:$B$100,""""),
col,IFERROR(MATCH(campo,Referencia!$A$1:$AZ$1,0),0),
fila,IFERROR(MATCH(TO_TEXT(D1513),ARRAYFOR"&amp;"MULA(TO_TEXT(Referencia!$A$2:$A6238)),0),0),
IF(OR(campo="""",campo=""-""),""NO APLICA"",
IF(col=0,""REVISAR EQUIVALENCIA"",
IF(fila=0,""SKU NO ENCONTRADO"",
LET(
valor,INDEX(Referencia!$A$2:$AZ6238,fila,col),
IF(TRIM(TO_TEXT(valor))=TRIM(TO_TEXT(I1513)),"&amp;"
""OK"",
""NO COINCIDE. Valor verdadero: ""&amp;IF(valor="""",""[VACÍO]"",TO_TEXT(valor))
)
))))
),""ERROR EN FÓRMULA""))"),"NO APLICA")</f>
        <v>NO APLICA</v>
      </c>
    </row>
    <row r="1514">
      <c r="A1514" s="83" t="s">
        <v>4618</v>
      </c>
      <c r="B1514" s="83" t="s">
        <v>4619</v>
      </c>
      <c r="C1514" s="81" t="s">
        <v>4621</v>
      </c>
      <c r="D1514" s="83" t="s">
        <v>4382</v>
      </c>
      <c r="E1514" s="81" t="s">
        <v>1623</v>
      </c>
      <c r="F1514" s="84">
        <v>321.0</v>
      </c>
      <c r="G1514" s="81" t="s">
        <v>12</v>
      </c>
      <c r="H1514" s="81" t="s">
        <v>224</v>
      </c>
      <c r="I1514" s="81" t="s">
        <v>55</v>
      </c>
      <c r="J1514" s="81" t="s">
        <v>224</v>
      </c>
      <c r="K1514" s="81" t="str">
        <f>IFERROR(__xludf.DUMMYFUNCTION("IF(OR(D1514="""",G1514=""""),"""",IFERROR(LET(
campo,XLOOKUP(TRIM(G1514),ARRAYFORMULA(TRIM('indice columnas'!$A$2:$A$100)),'indice columnas'!$B$2:$B$100,""""),
col,IFERROR(MATCH(campo,Referencia!$A$1:$AZ$1,0),0),
fila,IFERROR(MATCH(TO_TEXT(D1514),ARRAYFOR"&amp;"MULA(TO_TEXT(Referencia!$A$2:$A6238)),0),0),
IF(OR(campo="""",campo=""-""),""NO APLICA"",
IF(col=0,""REVISAR EQUIVALENCIA"",
IF(fila=0,""SKU NO ENCONTRADO"",
LET(
valor,INDEX(Referencia!$A$2:$AZ6238,fila,col),
IF(TRIM(TO_TEXT(valor))=TRIM(TO_TEXT(I1514)),"&amp;"
""OK"",
""NO COINCIDE. Valor verdadero: ""&amp;IF(valor="""",""[VACÍO]"",TO_TEXT(valor))
)
))))
),""ERROR EN FÓRMULA""))"),"OK")</f>
        <v>OK</v>
      </c>
    </row>
    <row r="1515">
      <c r="A1515" s="83" t="s">
        <v>4618</v>
      </c>
      <c r="B1515" s="83" t="s">
        <v>4619</v>
      </c>
      <c r="C1515" s="81" t="s">
        <v>4621</v>
      </c>
      <c r="D1515" s="83" t="s">
        <v>4382</v>
      </c>
      <c r="E1515" s="81" t="s">
        <v>1623</v>
      </c>
      <c r="F1515" s="84">
        <v>321.0</v>
      </c>
      <c r="G1515" s="81" t="s">
        <v>44</v>
      </c>
      <c r="H1515" s="81" t="s">
        <v>224</v>
      </c>
      <c r="I1515" s="81" t="s">
        <v>1623</v>
      </c>
      <c r="J1515" s="81" t="s">
        <v>4088</v>
      </c>
      <c r="K1515" s="81" t="str">
        <f>IFERROR(__xludf.DUMMYFUNCTION("IF(OR(D1515="""",G1515=""""),"""",IFERROR(LET(
campo,XLOOKUP(TRIM(G1515),ARRAYFORMULA(TRIM('indice columnas'!$A$2:$A$100)),'indice columnas'!$B$2:$B$100,""""),
col,IFERROR(MATCH(campo,Referencia!$A$1:$AZ$1,0),0),
fila,IFERROR(MATCH(TO_TEXT(D1515),ARRAYFOR"&amp;"MULA(TO_TEXT(Referencia!$A$2:$A6238)),0),0),
IF(OR(campo="""",campo=""-""),""NO APLICA"",
IF(col=0,""REVISAR EQUIVALENCIA"",
IF(fila=0,""SKU NO ENCONTRADO"",
LET(
valor,INDEX(Referencia!$A$2:$AZ6238,fila,col),
IF(TRIM(TO_TEXT(valor))=TRIM(TO_TEXT(I1515)),"&amp;"
""OK"",
""NO COINCIDE. Valor verdadero: ""&amp;IF(valor="""",""[VACÍO]"",TO_TEXT(valor))
)
))))
),""ERROR EN FÓRMULA""))"),"NO APLICA")</f>
        <v>NO APLICA</v>
      </c>
    </row>
    <row r="1516">
      <c r="A1516" s="83" t="s">
        <v>4618</v>
      </c>
      <c r="B1516" s="83" t="s">
        <v>4619</v>
      </c>
      <c r="C1516" s="81" t="s">
        <v>4621</v>
      </c>
      <c r="D1516" s="83" t="s">
        <v>4383</v>
      </c>
      <c r="E1516" s="81" t="s">
        <v>1629</v>
      </c>
      <c r="F1516" s="84">
        <v>322.0</v>
      </c>
      <c r="G1516" s="81" t="s">
        <v>44</v>
      </c>
      <c r="H1516" s="81" t="s">
        <v>224</v>
      </c>
      <c r="I1516" s="81" t="s">
        <v>1629</v>
      </c>
      <c r="J1516" s="81" t="s">
        <v>4088</v>
      </c>
      <c r="K1516" s="81" t="str">
        <f>IFERROR(__xludf.DUMMYFUNCTION("IF(OR(D1516="""",G1516=""""),"""",IFERROR(LET(
campo,XLOOKUP(TRIM(G1516),ARRAYFORMULA(TRIM('indice columnas'!$A$2:$A$100)),'indice columnas'!$B$2:$B$100,""""),
col,IFERROR(MATCH(campo,Referencia!$A$1:$AZ$1,0),0),
fila,IFERROR(MATCH(TO_TEXT(D1516),ARRAYFOR"&amp;"MULA(TO_TEXT(Referencia!$A$2:$A6238)),0),0),
IF(OR(campo="""",campo=""-""),""NO APLICA"",
IF(col=0,""REVISAR EQUIVALENCIA"",
IF(fila=0,""SKU NO ENCONTRADO"",
LET(
valor,INDEX(Referencia!$A$2:$AZ6238,fila,col),
IF(TRIM(TO_TEXT(valor))=TRIM(TO_TEXT(I1516)),"&amp;"
""OK"",
""NO COINCIDE. Valor verdadero: ""&amp;IF(valor="""",""[VACÍO]"",TO_TEXT(valor))
)
))))
),""ERROR EN FÓRMULA""))"),"NO APLICA")</f>
        <v>NO APLICA</v>
      </c>
    </row>
    <row r="1517">
      <c r="A1517" s="83" t="s">
        <v>4618</v>
      </c>
      <c r="B1517" s="83" t="s">
        <v>4619</v>
      </c>
      <c r="C1517" s="81" t="s">
        <v>4621</v>
      </c>
      <c r="D1517" s="83" t="s">
        <v>4383</v>
      </c>
      <c r="E1517" s="81" t="s">
        <v>1645</v>
      </c>
      <c r="F1517" s="84">
        <v>323.0</v>
      </c>
      <c r="G1517" s="81" t="s">
        <v>44</v>
      </c>
      <c r="H1517" s="81" t="s">
        <v>224</v>
      </c>
      <c r="I1517" s="81" t="s">
        <v>1629</v>
      </c>
      <c r="J1517" s="81" t="s">
        <v>4088</v>
      </c>
      <c r="K1517" s="81" t="str">
        <f>IFERROR(__xludf.DUMMYFUNCTION("IF(OR(D1517="""",G1517=""""),"""",IFERROR(LET(
campo,XLOOKUP(TRIM(G1517),ARRAYFORMULA(TRIM('indice columnas'!$A$2:$A$100)),'indice columnas'!$B$2:$B$100,""""),
col,IFERROR(MATCH(campo,Referencia!$A$1:$AZ$1,0),0),
fila,IFERROR(MATCH(TO_TEXT(D1517),ARRAYFOR"&amp;"MULA(TO_TEXT(Referencia!$A$2:$A6238)),0),0),
IF(OR(campo="""",campo=""-""),""NO APLICA"",
IF(col=0,""REVISAR EQUIVALENCIA"",
IF(fila=0,""SKU NO ENCONTRADO"",
LET(
valor,INDEX(Referencia!$A$2:$AZ6238,fila,col),
IF(TRIM(TO_TEXT(valor))=TRIM(TO_TEXT(I1517)),"&amp;"
""OK"",
""NO COINCIDE. Valor verdadero: ""&amp;IF(valor="""",""[VACÍO]"",TO_TEXT(valor))
)
))))
),""ERROR EN FÓRMULA""))"),"NO APLICA")</f>
        <v>NO APLICA</v>
      </c>
    </row>
    <row r="1518">
      <c r="A1518" s="83" t="s">
        <v>4618</v>
      </c>
      <c r="B1518" s="83" t="s">
        <v>4619</v>
      </c>
      <c r="C1518" s="81" t="s">
        <v>4621</v>
      </c>
      <c r="D1518" s="83" t="s">
        <v>4384</v>
      </c>
      <c r="E1518" s="81" t="s">
        <v>1646</v>
      </c>
      <c r="F1518" s="84">
        <v>324.0</v>
      </c>
      <c r="G1518" s="81" t="s">
        <v>44</v>
      </c>
      <c r="H1518" s="81" t="s">
        <v>224</v>
      </c>
      <c r="I1518" s="81" t="s">
        <v>1629</v>
      </c>
      <c r="J1518" s="81" t="s">
        <v>4088</v>
      </c>
      <c r="K1518" s="81" t="str">
        <f>IFERROR(__xludf.DUMMYFUNCTION("IF(OR(D1518="""",G1518=""""),"""",IFERROR(LET(
campo,XLOOKUP(TRIM(G1518),ARRAYFORMULA(TRIM('indice columnas'!$A$2:$A$100)),'indice columnas'!$B$2:$B$100,""""),
col,IFERROR(MATCH(campo,Referencia!$A$1:$AZ$1,0),0),
fila,IFERROR(MATCH(TO_TEXT(D1518),ARRAYFOR"&amp;"MULA(TO_TEXT(Referencia!$A$2:$A6238)),0),0),
IF(OR(campo="""",campo=""-""),""NO APLICA"",
IF(col=0,""REVISAR EQUIVALENCIA"",
IF(fila=0,""SKU NO ENCONTRADO"",
LET(
valor,INDEX(Referencia!$A$2:$AZ6238,fila,col),
IF(TRIM(TO_TEXT(valor))=TRIM(TO_TEXT(I1518)),"&amp;"
""OK"",
""NO COINCIDE. Valor verdadero: ""&amp;IF(valor="""",""[VACÍO]"",TO_TEXT(valor))
)
))))
),""ERROR EN FÓRMULA""))"),"NO APLICA")</f>
        <v>NO APLICA</v>
      </c>
    </row>
    <row r="1519">
      <c r="A1519" s="83" t="s">
        <v>4618</v>
      </c>
      <c r="B1519" s="83" t="s">
        <v>4619</v>
      </c>
      <c r="C1519" s="81" t="s">
        <v>4621</v>
      </c>
      <c r="D1519" s="83" t="s">
        <v>4385</v>
      </c>
      <c r="E1519" s="81" t="s">
        <v>1649</v>
      </c>
      <c r="F1519" s="84">
        <v>325.0</v>
      </c>
      <c r="G1519" s="81" t="s">
        <v>44</v>
      </c>
      <c r="H1519" s="81" t="s">
        <v>224</v>
      </c>
      <c r="I1519" s="81" t="s">
        <v>1401</v>
      </c>
      <c r="J1519" s="81" t="s">
        <v>4088</v>
      </c>
      <c r="K1519" s="81" t="str">
        <f>IFERROR(__xludf.DUMMYFUNCTION("IF(OR(D1519="""",G1519=""""),"""",IFERROR(LET(
campo,XLOOKUP(TRIM(G1519),ARRAYFORMULA(TRIM('indice columnas'!$A$2:$A$100)),'indice columnas'!$B$2:$B$100,""""),
col,IFERROR(MATCH(campo,Referencia!$A$1:$AZ$1,0),0),
fila,IFERROR(MATCH(TO_TEXT(D1519),ARRAYFOR"&amp;"MULA(TO_TEXT(Referencia!$A$2:$A6238)),0),0),
IF(OR(campo="""",campo=""-""),""NO APLICA"",
IF(col=0,""REVISAR EQUIVALENCIA"",
IF(fila=0,""SKU NO ENCONTRADO"",
LET(
valor,INDEX(Referencia!$A$2:$AZ6238,fila,col),
IF(TRIM(TO_TEXT(valor))=TRIM(TO_TEXT(I1519)),"&amp;"
""OK"",
""NO COINCIDE. Valor verdadero: ""&amp;IF(valor="""",""[VACÍO]"",TO_TEXT(valor))
)
))))
),""ERROR EN FÓRMULA""))"),"NO APLICA")</f>
        <v>NO APLICA</v>
      </c>
    </row>
    <row r="1520">
      <c r="A1520" s="83" t="s">
        <v>4618</v>
      </c>
      <c r="B1520" s="83" t="s">
        <v>4619</v>
      </c>
      <c r="C1520" s="81" t="s">
        <v>4621</v>
      </c>
      <c r="D1520" s="83" t="s">
        <v>4385</v>
      </c>
      <c r="E1520" s="81" t="s">
        <v>1652</v>
      </c>
      <c r="F1520" s="84">
        <v>326.0</v>
      </c>
      <c r="G1520" s="81" t="s">
        <v>12</v>
      </c>
      <c r="H1520" s="81" t="s">
        <v>224</v>
      </c>
      <c r="I1520" s="81" t="s">
        <v>55</v>
      </c>
      <c r="J1520" s="81" t="s">
        <v>224</v>
      </c>
      <c r="K1520" s="81" t="str">
        <f>IFERROR(__xludf.DUMMYFUNCTION("IF(OR(D1520="""",G1520=""""),"""",IFERROR(LET(
campo,XLOOKUP(TRIM(G1520),ARRAYFORMULA(TRIM('indice columnas'!$A$2:$A$100)),'indice columnas'!$B$2:$B$100,""""),
col,IFERROR(MATCH(campo,Referencia!$A$1:$AZ$1,0),0),
fila,IFERROR(MATCH(TO_TEXT(D1520),ARRAYFOR"&amp;"MULA(TO_TEXT(Referencia!$A$2:$A6238)),0),0),
IF(OR(campo="""",campo=""-""),""NO APLICA"",
IF(col=0,""REVISAR EQUIVALENCIA"",
IF(fila=0,""SKU NO ENCONTRADO"",
LET(
valor,INDEX(Referencia!$A$2:$AZ6238,fila,col),
IF(TRIM(TO_TEXT(valor))=TRIM(TO_TEXT(I1520)),"&amp;"
""OK"",
""NO COINCIDE. Valor verdadero: ""&amp;IF(valor="""",""[VACÍO]"",TO_TEXT(valor))
)
))))
),""ERROR EN FÓRMULA""))"),"OK")</f>
        <v>OK</v>
      </c>
    </row>
    <row r="1521">
      <c r="A1521" s="83" t="s">
        <v>4618</v>
      </c>
      <c r="B1521" s="83" t="s">
        <v>4619</v>
      </c>
      <c r="C1521" s="81" t="s">
        <v>4621</v>
      </c>
      <c r="D1521" s="83" t="s">
        <v>4385</v>
      </c>
      <c r="E1521" s="81" t="s">
        <v>1652</v>
      </c>
      <c r="F1521" s="84">
        <v>326.0</v>
      </c>
      <c r="G1521" s="81" t="s">
        <v>44</v>
      </c>
      <c r="H1521" s="81" t="s">
        <v>224</v>
      </c>
      <c r="I1521" s="81" t="s">
        <v>1401</v>
      </c>
      <c r="J1521" s="81" t="s">
        <v>4088</v>
      </c>
      <c r="K1521" s="81" t="str">
        <f>IFERROR(__xludf.DUMMYFUNCTION("IF(OR(D1521="""",G1521=""""),"""",IFERROR(LET(
campo,XLOOKUP(TRIM(G1521),ARRAYFORMULA(TRIM('indice columnas'!$A$2:$A$100)),'indice columnas'!$B$2:$B$100,""""),
col,IFERROR(MATCH(campo,Referencia!$A$1:$AZ$1,0),0),
fila,IFERROR(MATCH(TO_TEXT(D1521),ARRAYFOR"&amp;"MULA(TO_TEXT(Referencia!$A$2:$A6238)),0),0),
IF(OR(campo="""",campo=""-""),""NO APLICA"",
IF(col=0,""REVISAR EQUIVALENCIA"",
IF(fila=0,""SKU NO ENCONTRADO"",
LET(
valor,INDEX(Referencia!$A$2:$AZ6238,fila,col),
IF(TRIM(TO_TEXT(valor))=TRIM(TO_TEXT(I1521)),"&amp;"
""OK"",
""NO COINCIDE. Valor verdadero: ""&amp;IF(valor="""",""[VACÍO]"",TO_TEXT(valor))
)
))))
),""ERROR EN FÓRMULA""))"),"NO APLICA")</f>
        <v>NO APLICA</v>
      </c>
    </row>
    <row r="1522">
      <c r="A1522" s="83" t="s">
        <v>4618</v>
      </c>
      <c r="B1522" s="83" t="s">
        <v>4619</v>
      </c>
      <c r="C1522" s="81" t="s">
        <v>4621</v>
      </c>
      <c r="D1522" s="83" t="s">
        <v>4386</v>
      </c>
      <c r="E1522" s="81" t="s">
        <v>1653</v>
      </c>
      <c r="F1522" s="84">
        <v>327.0</v>
      </c>
      <c r="G1522" s="81" t="s">
        <v>12</v>
      </c>
      <c r="H1522" s="81" t="s">
        <v>224</v>
      </c>
      <c r="I1522" s="81" t="s">
        <v>55</v>
      </c>
      <c r="J1522" s="81" t="s">
        <v>224</v>
      </c>
      <c r="K1522" s="81" t="str">
        <f>IFERROR(__xludf.DUMMYFUNCTION("IF(OR(D1522="""",G1522=""""),"""",IFERROR(LET(
campo,XLOOKUP(TRIM(G1522),ARRAYFORMULA(TRIM('indice columnas'!$A$2:$A$100)),'indice columnas'!$B$2:$B$100,""""),
col,IFERROR(MATCH(campo,Referencia!$A$1:$AZ$1,0),0),
fila,IFERROR(MATCH(TO_TEXT(D1522),ARRAYFOR"&amp;"MULA(TO_TEXT(Referencia!$A$2:$A6238)),0),0),
IF(OR(campo="""",campo=""-""),""NO APLICA"",
IF(col=0,""REVISAR EQUIVALENCIA"",
IF(fila=0,""SKU NO ENCONTRADO"",
LET(
valor,INDEX(Referencia!$A$2:$AZ6238,fila,col),
IF(TRIM(TO_TEXT(valor))=TRIM(TO_TEXT(I1522)),"&amp;"
""OK"",
""NO COINCIDE. Valor verdadero: ""&amp;IF(valor="""",""[VACÍO]"",TO_TEXT(valor))
)
))))
),""ERROR EN FÓRMULA""))"),"OK")</f>
        <v>OK</v>
      </c>
    </row>
    <row r="1523">
      <c r="A1523" s="83" t="s">
        <v>4618</v>
      </c>
      <c r="B1523" s="83" t="s">
        <v>4619</v>
      </c>
      <c r="C1523" s="81" t="s">
        <v>4621</v>
      </c>
      <c r="D1523" s="83" t="s">
        <v>4386</v>
      </c>
      <c r="E1523" s="81" t="s">
        <v>1653</v>
      </c>
      <c r="F1523" s="84">
        <v>327.0</v>
      </c>
      <c r="G1523" s="81" t="s">
        <v>44</v>
      </c>
      <c r="H1523" s="81" t="s">
        <v>224</v>
      </c>
      <c r="I1523" s="81" t="s">
        <v>1401</v>
      </c>
      <c r="J1523" s="81" t="s">
        <v>4088</v>
      </c>
      <c r="K1523" s="81" t="str">
        <f>IFERROR(__xludf.DUMMYFUNCTION("IF(OR(D1523="""",G1523=""""),"""",IFERROR(LET(
campo,XLOOKUP(TRIM(G1523),ARRAYFORMULA(TRIM('indice columnas'!$A$2:$A$100)),'indice columnas'!$B$2:$B$100,""""),
col,IFERROR(MATCH(campo,Referencia!$A$1:$AZ$1,0),0),
fila,IFERROR(MATCH(TO_TEXT(D1523),ARRAYFOR"&amp;"MULA(TO_TEXT(Referencia!$A$2:$A6238)),0),0),
IF(OR(campo="""",campo=""-""),""NO APLICA"",
IF(col=0,""REVISAR EQUIVALENCIA"",
IF(fila=0,""SKU NO ENCONTRADO"",
LET(
valor,INDEX(Referencia!$A$2:$AZ6238,fila,col),
IF(TRIM(TO_TEXT(valor))=TRIM(TO_TEXT(I1523)),"&amp;"
""OK"",
""NO COINCIDE. Valor verdadero: ""&amp;IF(valor="""",""[VACÍO]"",TO_TEXT(valor))
)
))))
),""ERROR EN FÓRMULA""))"),"NO APLICA")</f>
        <v>NO APLICA</v>
      </c>
    </row>
    <row r="1524">
      <c r="A1524" s="83" t="s">
        <v>4618</v>
      </c>
      <c r="B1524" s="83" t="s">
        <v>4619</v>
      </c>
      <c r="C1524" s="81" t="s">
        <v>4621</v>
      </c>
      <c r="D1524" s="83" t="s">
        <v>4387</v>
      </c>
      <c r="E1524" s="81" t="s">
        <v>1655</v>
      </c>
      <c r="F1524" s="84">
        <v>328.0</v>
      </c>
      <c r="G1524" s="81" t="s">
        <v>44</v>
      </c>
      <c r="H1524" s="81" t="s">
        <v>4339</v>
      </c>
      <c r="I1524" s="81" t="s">
        <v>1401</v>
      </c>
      <c r="J1524" s="81" t="s">
        <v>4088</v>
      </c>
      <c r="K1524" s="81" t="str">
        <f>IFERROR(__xludf.DUMMYFUNCTION("IF(OR(D1524="""",G1524=""""),"""",IFERROR(LET(
campo,XLOOKUP(TRIM(G1524),ARRAYFORMULA(TRIM('indice columnas'!$A$2:$A$100)),'indice columnas'!$B$2:$B$100,""""),
col,IFERROR(MATCH(campo,Referencia!$A$1:$AZ$1,0),0),
fila,IFERROR(MATCH(TO_TEXT(D1524),ARRAYFOR"&amp;"MULA(TO_TEXT(Referencia!$A$2:$A6238)),0),0),
IF(OR(campo="""",campo=""-""),""NO APLICA"",
IF(col=0,""REVISAR EQUIVALENCIA"",
IF(fila=0,""SKU NO ENCONTRADO"",
LET(
valor,INDEX(Referencia!$A$2:$AZ6238,fila,col),
IF(TRIM(TO_TEXT(valor))=TRIM(TO_TEXT(I1524)),"&amp;"
""OK"",
""NO COINCIDE. Valor verdadero: ""&amp;IF(valor="""",""[VACÍO]"",TO_TEXT(valor))
)
))))
),""ERROR EN FÓRMULA""))"),"NO APLICA")</f>
        <v>NO APLICA</v>
      </c>
    </row>
    <row r="1525">
      <c r="A1525" s="83" t="s">
        <v>4618</v>
      </c>
      <c r="B1525" s="83" t="s">
        <v>4619</v>
      </c>
      <c r="C1525" s="81" t="s">
        <v>4621</v>
      </c>
      <c r="D1525" s="83" t="s">
        <v>4387</v>
      </c>
      <c r="E1525" s="81" t="s">
        <v>1665</v>
      </c>
      <c r="F1525" s="84">
        <v>329.0</v>
      </c>
      <c r="G1525" s="81" t="s">
        <v>44</v>
      </c>
      <c r="H1525" s="81" t="s">
        <v>4339</v>
      </c>
      <c r="I1525" s="81" t="s">
        <v>1401</v>
      </c>
      <c r="J1525" s="81" t="s">
        <v>4088</v>
      </c>
      <c r="K1525" s="81" t="str">
        <f>IFERROR(__xludf.DUMMYFUNCTION("IF(OR(D1525="""",G1525=""""),"""",IFERROR(LET(
campo,XLOOKUP(TRIM(G1525),ARRAYFORMULA(TRIM('indice columnas'!$A$2:$A$100)),'indice columnas'!$B$2:$B$100,""""),
col,IFERROR(MATCH(campo,Referencia!$A$1:$AZ$1,0),0),
fila,IFERROR(MATCH(TO_TEXT(D1525),ARRAYFOR"&amp;"MULA(TO_TEXT(Referencia!$A$2:$A6238)),0),0),
IF(OR(campo="""",campo=""-""),""NO APLICA"",
IF(col=0,""REVISAR EQUIVALENCIA"",
IF(fila=0,""SKU NO ENCONTRADO"",
LET(
valor,INDEX(Referencia!$A$2:$AZ6238,fila,col),
IF(TRIM(TO_TEXT(valor))=TRIM(TO_TEXT(I1525)),"&amp;"
""OK"",
""NO COINCIDE. Valor verdadero: ""&amp;IF(valor="""",""[VACÍO]"",TO_TEXT(valor))
)
))))
),""ERROR EN FÓRMULA""))"),"NO APLICA")</f>
        <v>NO APLICA</v>
      </c>
    </row>
    <row r="1526">
      <c r="A1526" s="83" t="s">
        <v>4618</v>
      </c>
      <c r="B1526" s="83" t="s">
        <v>4619</v>
      </c>
      <c r="C1526" s="81" t="s">
        <v>4621</v>
      </c>
      <c r="D1526" s="83" t="s">
        <v>4388</v>
      </c>
      <c r="E1526" s="81" t="s">
        <v>1666</v>
      </c>
      <c r="F1526" s="84">
        <v>330.0</v>
      </c>
      <c r="G1526" s="81" t="s">
        <v>44</v>
      </c>
      <c r="H1526" s="81" t="s">
        <v>4339</v>
      </c>
      <c r="I1526" s="81" t="s">
        <v>1401</v>
      </c>
      <c r="J1526" s="81" t="s">
        <v>4088</v>
      </c>
      <c r="K1526" s="81" t="str">
        <f>IFERROR(__xludf.DUMMYFUNCTION("IF(OR(D1526="""",G1526=""""),"""",IFERROR(LET(
campo,XLOOKUP(TRIM(G1526),ARRAYFORMULA(TRIM('indice columnas'!$A$2:$A$100)),'indice columnas'!$B$2:$B$100,""""),
col,IFERROR(MATCH(campo,Referencia!$A$1:$AZ$1,0),0),
fila,IFERROR(MATCH(TO_TEXT(D1526),ARRAYFOR"&amp;"MULA(TO_TEXT(Referencia!$A$2:$A6238)),0),0),
IF(OR(campo="""",campo=""-""),""NO APLICA"",
IF(col=0,""REVISAR EQUIVALENCIA"",
IF(fila=0,""SKU NO ENCONTRADO"",
LET(
valor,INDEX(Referencia!$A$2:$AZ6238,fila,col),
IF(TRIM(TO_TEXT(valor))=TRIM(TO_TEXT(I1526)),"&amp;"
""OK"",
""NO COINCIDE. Valor verdadero: ""&amp;IF(valor="""",""[VACÍO]"",TO_TEXT(valor))
)
))))
),""ERROR EN FÓRMULA""))"),"NO APLICA")</f>
        <v>NO APLICA</v>
      </c>
    </row>
    <row r="1527">
      <c r="A1527" s="83" t="s">
        <v>4618</v>
      </c>
      <c r="B1527" s="83" t="s">
        <v>4619</v>
      </c>
      <c r="C1527" s="81" t="s">
        <v>4621</v>
      </c>
      <c r="D1527" s="83" t="s">
        <v>4389</v>
      </c>
      <c r="E1527" s="81" t="s">
        <v>1670</v>
      </c>
      <c r="F1527" s="84">
        <v>331.0</v>
      </c>
      <c r="G1527" s="81" t="s">
        <v>44</v>
      </c>
      <c r="H1527" s="81" t="s">
        <v>224</v>
      </c>
      <c r="I1527" s="81" t="s">
        <v>1670</v>
      </c>
      <c r="J1527" s="81" t="s">
        <v>4088</v>
      </c>
      <c r="K1527" s="81" t="str">
        <f>IFERROR(__xludf.DUMMYFUNCTION("IF(OR(D1527="""",G1527=""""),"""",IFERROR(LET(
campo,XLOOKUP(TRIM(G1527),ARRAYFORMULA(TRIM('indice columnas'!$A$2:$A$100)),'indice columnas'!$B$2:$B$100,""""),
col,IFERROR(MATCH(campo,Referencia!$A$1:$AZ$1,0),0),
fila,IFERROR(MATCH(TO_TEXT(D1527),ARRAYFOR"&amp;"MULA(TO_TEXT(Referencia!$A$2:$A6238)),0),0),
IF(OR(campo="""",campo=""-""),""NO APLICA"",
IF(col=0,""REVISAR EQUIVALENCIA"",
IF(fila=0,""SKU NO ENCONTRADO"",
LET(
valor,INDEX(Referencia!$A$2:$AZ6238,fila,col),
IF(TRIM(TO_TEXT(valor))=TRIM(TO_TEXT(I1527)),"&amp;"
""OK"",
""NO COINCIDE. Valor verdadero: ""&amp;IF(valor="""",""[VACÍO]"",TO_TEXT(valor))
)
))))
),""ERROR EN FÓRMULA""))"),"NO APLICA")</f>
        <v>NO APLICA</v>
      </c>
    </row>
    <row r="1528">
      <c r="A1528" s="83" t="s">
        <v>4618</v>
      </c>
      <c r="B1528" s="83" t="s">
        <v>4619</v>
      </c>
      <c r="C1528" s="81" t="s">
        <v>4621</v>
      </c>
      <c r="D1528" s="83" t="s">
        <v>4389</v>
      </c>
      <c r="E1528" s="81" t="s">
        <v>1678</v>
      </c>
      <c r="F1528" s="84">
        <v>332.0</v>
      </c>
      <c r="G1528" s="81" t="s">
        <v>7</v>
      </c>
      <c r="H1528" s="81" t="s">
        <v>53</v>
      </c>
      <c r="I1528" s="81" t="s">
        <v>1134</v>
      </c>
      <c r="J1528" s="81" t="s">
        <v>224</v>
      </c>
      <c r="K1528" s="81" t="str">
        <f>IFERROR(__xludf.DUMMYFUNCTION("IF(OR(D1528="""",G1528=""""),"""",IFERROR(LET(
campo,XLOOKUP(TRIM(G1528),ARRAYFORMULA(TRIM('indice columnas'!$A$2:$A$100)),'indice columnas'!$B$2:$B$100,""""),
col,IFERROR(MATCH(campo,Referencia!$A$1:$AZ$1,0),0),
fila,IFERROR(MATCH(TO_TEXT(D1528),ARRAYFOR"&amp;"MULA(TO_TEXT(Referencia!$A$2:$A6238)),0),0),
IF(OR(campo="""",campo=""-""),""NO APLICA"",
IF(col=0,""REVISAR EQUIVALENCIA"",
IF(fila=0,""SKU NO ENCONTRADO"",
LET(
valor,INDEX(Referencia!$A$2:$AZ6238,fila,col),
IF(TRIM(TO_TEXT(valor))=TRIM(TO_TEXT(I1528)),"&amp;"
""OK"",
""NO COINCIDE. Valor verdadero: ""&amp;IF(valor="""",""[VACÍO]"",TO_TEXT(valor))
)
))))
),""ERROR EN FÓRMULA""))"),"REVISAR EQUIVALENCIA")</f>
        <v>REVISAR EQUIVALENCIA</v>
      </c>
    </row>
    <row r="1529">
      <c r="A1529" s="83" t="s">
        <v>4618</v>
      </c>
      <c r="B1529" s="83" t="s">
        <v>4619</v>
      </c>
      <c r="C1529" s="81" t="s">
        <v>4621</v>
      </c>
      <c r="D1529" s="83" t="s">
        <v>4389</v>
      </c>
      <c r="E1529" s="81" t="s">
        <v>1678</v>
      </c>
      <c r="F1529" s="84">
        <v>332.0</v>
      </c>
      <c r="G1529" s="81" t="s">
        <v>12</v>
      </c>
      <c r="H1529" s="81" t="s">
        <v>224</v>
      </c>
      <c r="I1529" s="81" t="s">
        <v>55</v>
      </c>
      <c r="J1529" s="81" t="s">
        <v>224</v>
      </c>
      <c r="K1529" s="81" t="str">
        <f>IFERROR(__xludf.DUMMYFUNCTION("IF(OR(D1529="""",G1529=""""),"""",IFERROR(LET(
campo,XLOOKUP(TRIM(G1529),ARRAYFORMULA(TRIM('indice columnas'!$A$2:$A$100)),'indice columnas'!$B$2:$B$100,""""),
col,IFERROR(MATCH(campo,Referencia!$A$1:$AZ$1,0),0),
fila,IFERROR(MATCH(TO_TEXT(D1529),ARRAYFOR"&amp;"MULA(TO_TEXT(Referencia!$A$2:$A6238)),0),0),
IF(OR(campo="""",campo=""-""),""NO APLICA"",
IF(col=0,""REVISAR EQUIVALENCIA"",
IF(fila=0,""SKU NO ENCONTRADO"",
LET(
valor,INDEX(Referencia!$A$2:$AZ6238,fila,col),
IF(TRIM(TO_TEXT(valor))=TRIM(TO_TEXT(I1529)),"&amp;"
""OK"",
""NO COINCIDE. Valor verdadero: ""&amp;IF(valor="""",""[VACÍO]"",TO_TEXT(valor))
)
))))
),""ERROR EN FÓRMULA""))"),"OK")</f>
        <v>OK</v>
      </c>
    </row>
    <row r="1530">
      <c r="A1530" s="83" t="s">
        <v>4618</v>
      </c>
      <c r="B1530" s="83" t="s">
        <v>4619</v>
      </c>
      <c r="C1530" s="81" t="s">
        <v>4621</v>
      </c>
      <c r="D1530" s="83" t="s">
        <v>4389</v>
      </c>
      <c r="E1530" s="81" t="s">
        <v>1678</v>
      </c>
      <c r="F1530" s="84">
        <v>332.0</v>
      </c>
      <c r="G1530" s="81" t="s">
        <v>44</v>
      </c>
      <c r="H1530" s="81" t="s">
        <v>224</v>
      </c>
      <c r="I1530" s="81" t="s">
        <v>1670</v>
      </c>
      <c r="J1530" s="81" t="s">
        <v>4088</v>
      </c>
      <c r="K1530" s="81" t="str">
        <f>IFERROR(__xludf.DUMMYFUNCTION("IF(OR(D1530="""",G1530=""""),"""",IFERROR(LET(
campo,XLOOKUP(TRIM(G1530),ARRAYFORMULA(TRIM('indice columnas'!$A$2:$A$100)),'indice columnas'!$B$2:$B$100,""""),
col,IFERROR(MATCH(campo,Referencia!$A$1:$AZ$1,0),0),
fila,IFERROR(MATCH(TO_TEXT(D1530),ARRAYFOR"&amp;"MULA(TO_TEXT(Referencia!$A$2:$A6238)),0),0),
IF(OR(campo="""",campo=""-""),""NO APLICA"",
IF(col=0,""REVISAR EQUIVALENCIA"",
IF(fila=0,""SKU NO ENCONTRADO"",
LET(
valor,INDEX(Referencia!$A$2:$AZ6238,fila,col),
IF(TRIM(TO_TEXT(valor))=TRIM(TO_TEXT(I1530)),"&amp;"
""OK"",
""NO COINCIDE. Valor verdadero: ""&amp;IF(valor="""",""[VACÍO]"",TO_TEXT(valor))
)
))))
),""ERROR EN FÓRMULA""))"),"NO APLICA")</f>
        <v>NO APLICA</v>
      </c>
    </row>
    <row r="1531">
      <c r="A1531" s="83" t="s">
        <v>4618</v>
      </c>
      <c r="B1531" s="83" t="s">
        <v>4619</v>
      </c>
      <c r="C1531" s="81" t="s">
        <v>4621</v>
      </c>
      <c r="D1531" s="83" t="s">
        <v>4390</v>
      </c>
      <c r="E1531" s="81" t="s">
        <v>1679</v>
      </c>
      <c r="F1531" s="84">
        <v>333.0</v>
      </c>
      <c r="G1531" s="81" t="s">
        <v>7</v>
      </c>
      <c r="H1531" s="81" t="s">
        <v>53</v>
      </c>
      <c r="I1531" s="81" t="s">
        <v>1134</v>
      </c>
      <c r="J1531" s="81" t="s">
        <v>224</v>
      </c>
      <c r="K1531" s="81" t="str">
        <f>IFERROR(__xludf.DUMMYFUNCTION("IF(OR(D1531="""",G1531=""""),"""",IFERROR(LET(
campo,XLOOKUP(TRIM(G1531),ARRAYFORMULA(TRIM('indice columnas'!$A$2:$A$100)),'indice columnas'!$B$2:$B$100,""""),
col,IFERROR(MATCH(campo,Referencia!$A$1:$AZ$1,0),0),
fila,IFERROR(MATCH(TO_TEXT(D1531),ARRAYFOR"&amp;"MULA(TO_TEXT(Referencia!$A$2:$A6238)),0),0),
IF(OR(campo="""",campo=""-""),""NO APLICA"",
IF(col=0,""REVISAR EQUIVALENCIA"",
IF(fila=0,""SKU NO ENCONTRADO"",
LET(
valor,INDEX(Referencia!$A$2:$AZ6238,fila,col),
IF(TRIM(TO_TEXT(valor))=TRIM(TO_TEXT(I1531)),"&amp;"
""OK"",
""NO COINCIDE. Valor verdadero: ""&amp;IF(valor="""",""[VACÍO]"",TO_TEXT(valor))
)
))))
),""ERROR EN FÓRMULA""))"),"REVISAR EQUIVALENCIA")</f>
        <v>REVISAR EQUIVALENCIA</v>
      </c>
    </row>
    <row r="1532">
      <c r="A1532" s="83" t="s">
        <v>4618</v>
      </c>
      <c r="B1532" s="83" t="s">
        <v>4619</v>
      </c>
      <c r="C1532" s="81" t="s">
        <v>4621</v>
      </c>
      <c r="D1532" s="83" t="s">
        <v>4390</v>
      </c>
      <c r="E1532" s="81" t="s">
        <v>1679</v>
      </c>
      <c r="F1532" s="84">
        <v>333.0</v>
      </c>
      <c r="G1532" s="81" t="s">
        <v>12</v>
      </c>
      <c r="H1532" s="81" t="s">
        <v>224</v>
      </c>
      <c r="I1532" s="81" t="s">
        <v>55</v>
      </c>
      <c r="J1532" s="81" t="s">
        <v>224</v>
      </c>
      <c r="K1532" s="81" t="str">
        <f>IFERROR(__xludf.DUMMYFUNCTION("IF(OR(D1532="""",G1532=""""),"""",IFERROR(LET(
campo,XLOOKUP(TRIM(G1532),ARRAYFORMULA(TRIM('indice columnas'!$A$2:$A$100)),'indice columnas'!$B$2:$B$100,""""),
col,IFERROR(MATCH(campo,Referencia!$A$1:$AZ$1,0),0),
fila,IFERROR(MATCH(TO_TEXT(D1532),ARRAYFOR"&amp;"MULA(TO_TEXT(Referencia!$A$2:$A6238)),0),0),
IF(OR(campo="""",campo=""-""),""NO APLICA"",
IF(col=0,""REVISAR EQUIVALENCIA"",
IF(fila=0,""SKU NO ENCONTRADO"",
LET(
valor,INDEX(Referencia!$A$2:$AZ6238,fila,col),
IF(TRIM(TO_TEXT(valor))=TRIM(TO_TEXT(I1532)),"&amp;"
""OK"",
""NO COINCIDE. Valor verdadero: ""&amp;IF(valor="""",""[VACÍO]"",TO_TEXT(valor))
)
))))
),""ERROR EN FÓRMULA""))"),"OK")</f>
        <v>OK</v>
      </c>
    </row>
    <row r="1533">
      <c r="A1533" s="83" t="s">
        <v>4618</v>
      </c>
      <c r="B1533" s="83" t="s">
        <v>4619</v>
      </c>
      <c r="C1533" s="81" t="s">
        <v>4621</v>
      </c>
      <c r="D1533" s="83" t="s">
        <v>4390</v>
      </c>
      <c r="E1533" s="81" t="s">
        <v>1679</v>
      </c>
      <c r="F1533" s="84">
        <v>333.0</v>
      </c>
      <c r="G1533" s="81" t="s">
        <v>44</v>
      </c>
      <c r="H1533" s="81" t="s">
        <v>224</v>
      </c>
      <c r="I1533" s="81" t="s">
        <v>1670</v>
      </c>
      <c r="J1533" s="81" t="s">
        <v>4088</v>
      </c>
      <c r="K1533" s="81" t="str">
        <f>IFERROR(__xludf.DUMMYFUNCTION("IF(OR(D1533="""",G1533=""""),"""",IFERROR(LET(
campo,XLOOKUP(TRIM(G1533),ARRAYFORMULA(TRIM('indice columnas'!$A$2:$A$100)),'indice columnas'!$B$2:$B$100,""""),
col,IFERROR(MATCH(campo,Referencia!$A$1:$AZ$1,0),0),
fila,IFERROR(MATCH(TO_TEXT(D1533),ARRAYFOR"&amp;"MULA(TO_TEXT(Referencia!$A$2:$A6238)),0),0),
IF(OR(campo="""",campo=""-""),""NO APLICA"",
IF(col=0,""REVISAR EQUIVALENCIA"",
IF(fila=0,""SKU NO ENCONTRADO"",
LET(
valor,INDEX(Referencia!$A$2:$AZ6238,fila,col),
IF(TRIM(TO_TEXT(valor))=TRIM(TO_TEXT(I1533)),"&amp;"
""OK"",
""NO COINCIDE. Valor verdadero: ""&amp;IF(valor="""",""[VACÍO]"",TO_TEXT(valor))
)
))))
),""ERROR EN FÓRMULA""))"),"NO APLICA")</f>
        <v>NO APLICA</v>
      </c>
    </row>
    <row r="1534">
      <c r="A1534" s="83" t="s">
        <v>4618</v>
      </c>
      <c r="B1534" s="83" t="s">
        <v>4619</v>
      </c>
      <c r="C1534" s="81" t="s">
        <v>4621</v>
      </c>
      <c r="D1534" s="83" t="s">
        <v>4391</v>
      </c>
      <c r="E1534" s="81" t="s">
        <v>1682</v>
      </c>
      <c r="F1534" s="84">
        <v>334.0</v>
      </c>
      <c r="G1534" s="81" t="s">
        <v>7</v>
      </c>
      <c r="H1534" s="81" t="s">
        <v>53</v>
      </c>
      <c r="I1534" s="81" t="s">
        <v>1134</v>
      </c>
      <c r="J1534" s="81" t="s">
        <v>224</v>
      </c>
      <c r="K1534" s="81" t="str">
        <f>IFERROR(__xludf.DUMMYFUNCTION("IF(OR(D1534="""",G1534=""""),"""",IFERROR(LET(
campo,XLOOKUP(TRIM(G1534),ARRAYFORMULA(TRIM('indice columnas'!$A$2:$A$100)),'indice columnas'!$B$2:$B$100,""""),
col,IFERROR(MATCH(campo,Referencia!$A$1:$AZ$1,0),0),
fila,IFERROR(MATCH(TO_TEXT(D1534),ARRAYFOR"&amp;"MULA(TO_TEXT(Referencia!$A$2:$A6238)),0),0),
IF(OR(campo="""",campo=""-""),""NO APLICA"",
IF(col=0,""REVISAR EQUIVALENCIA"",
IF(fila=0,""SKU NO ENCONTRADO"",
LET(
valor,INDEX(Referencia!$A$2:$AZ6238,fila,col),
IF(TRIM(TO_TEXT(valor))=TRIM(TO_TEXT(I1534)),"&amp;"
""OK"",
""NO COINCIDE. Valor verdadero: ""&amp;IF(valor="""",""[VACÍO]"",TO_TEXT(valor))
)
))))
),""ERROR EN FÓRMULA""))"),"REVISAR EQUIVALENCIA")</f>
        <v>REVISAR EQUIVALENCIA</v>
      </c>
    </row>
    <row r="1535">
      <c r="A1535" s="83" t="s">
        <v>4618</v>
      </c>
      <c r="B1535" s="83" t="s">
        <v>4619</v>
      </c>
      <c r="C1535" s="81" t="s">
        <v>4621</v>
      </c>
      <c r="D1535" s="83" t="s">
        <v>4391</v>
      </c>
      <c r="E1535" s="81" t="s">
        <v>1682</v>
      </c>
      <c r="F1535" s="84">
        <v>334.0</v>
      </c>
      <c r="G1535" s="81" t="s">
        <v>44</v>
      </c>
      <c r="H1535" s="81" t="s">
        <v>4392</v>
      </c>
      <c r="I1535" s="81" t="s">
        <v>1687</v>
      </c>
      <c r="J1535" s="81" t="s">
        <v>4088</v>
      </c>
      <c r="K1535" s="81" t="str">
        <f>IFERROR(__xludf.DUMMYFUNCTION("IF(OR(D1535="""",G1535=""""),"""",IFERROR(LET(
campo,XLOOKUP(TRIM(G1535),ARRAYFORMULA(TRIM('indice columnas'!$A$2:$A$100)),'indice columnas'!$B$2:$B$100,""""),
col,IFERROR(MATCH(campo,Referencia!$A$1:$AZ$1,0),0),
fila,IFERROR(MATCH(TO_TEXT(D1535),ARRAYFOR"&amp;"MULA(TO_TEXT(Referencia!$A$2:$A6238)),0),0),
IF(OR(campo="""",campo=""-""),""NO APLICA"",
IF(col=0,""REVISAR EQUIVALENCIA"",
IF(fila=0,""SKU NO ENCONTRADO"",
LET(
valor,INDEX(Referencia!$A$2:$AZ6238,fila,col),
IF(TRIM(TO_TEXT(valor))=TRIM(TO_TEXT(I1535)),"&amp;"
""OK"",
""NO COINCIDE. Valor verdadero: ""&amp;IF(valor="""",""[VACÍO]"",TO_TEXT(valor))
)
))))
),""ERROR EN FÓRMULA""))"),"NO APLICA")</f>
        <v>NO APLICA</v>
      </c>
    </row>
    <row r="1536">
      <c r="A1536" s="83" t="s">
        <v>4618</v>
      </c>
      <c r="B1536" s="83" t="s">
        <v>4619</v>
      </c>
      <c r="C1536" s="81" t="s">
        <v>4621</v>
      </c>
      <c r="D1536" s="83" t="s">
        <v>4393</v>
      </c>
      <c r="E1536" s="81" t="s">
        <v>1690</v>
      </c>
      <c r="F1536" s="84">
        <v>335.0</v>
      </c>
      <c r="G1536" s="81" t="s">
        <v>7</v>
      </c>
      <c r="H1536" s="81" t="s">
        <v>53</v>
      </c>
      <c r="I1536" s="81" t="s">
        <v>1134</v>
      </c>
      <c r="J1536" s="81" t="s">
        <v>224</v>
      </c>
      <c r="K1536" s="81" t="str">
        <f>IFERROR(__xludf.DUMMYFUNCTION("IF(OR(D1536="""",G1536=""""),"""",IFERROR(LET(
campo,XLOOKUP(TRIM(G1536),ARRAYFORMULA(TRIM('indice columnas'!$A$2:$A$100)),'indice columnas'!$B$2:$B$100,""""),
col,IFERROR(MATCH(campo,Referencia!$A$1:$AZ$1,0),0),
fila,IFERROR(MATCH(TO_TEXT(D1536),ARRAYFOR"&amp;"MULA(TO_TEXT(Referencia!$A$2:$A6238)),0),0),
IF(OR(campo="""",campo=""-""),""NO APLICA"",
IF(col=0,""REVISAR EQUIVALENCIA"",
IF(fila=0,""SKU NO ENCONTRADO"",
LET(
valor,INDEX(Referencia!$A$2:$AZ6238,fila,col),
IF(TRIM(TO_TEXT(valor))=TRIM(TO_TEXT(I1536)),"&amp;"
""OK"",
""NO COINCIDE. Valor verdadero: ""&amp;IF(valor="""",""[VACÍO]"",TO_TEXT(valor))
)
))))
),""ERROR EN FÓRMULA""))"),"REVISAR EQUIVALENCIA")</f>
        <v>REVISAR EQUIVALENCIA</v>
      </c>
    </row>
    <row r="1537">
      <c r="A1537" s="83" t="s">
        <v>4618</v>
      </c>
      <c r="B1537" s="83" t="s">
        <v>4619</v>
      </c>
      <c r="C1537" s="81" t="s">
        <v>4621</v>
      </c>
      <c r="D1537" s="83" t="s">
        <v>4393</v>
      </c>
      <c r="E1537" s="81" t="s">
        <v>1690</v>
      </c>
      <c r="F1537" s="84">
        <v>335.0</v>
      </c>
      <c r="G1537" s="81" t="s">
        <v>44</v>
      </c>
      <c r="H1537" s="81" t="s">
        <v>4392</v>
      </c>
      <c r="I1537" s="81" t="s">
        <v>1694</v>
      </c>
      <c r="J1537" s="81" t="s">
        <v>4088</v>
      </c>
      <c r="K1537" s="81" t="str">
        <f>IFERROR(__xludf.DUMMYFUNCTION("IF(OR(D1537="""",G1537=""""),"""",IFERROR(LET(
campo,XLOOKUP(TRIM(G1537),ARRAYFORMULA(TRIM('indice columnas'!$A$2:$A$100)),'indice columnas'!$B$2:$B$100,""""),
col,IFERROR(MATCH(campo,Referencia!$A$1:$AZ$1,0),0),
fila,IFERROR(MATCH(TO_TEXT(D1537),ARRAYFOR"&amp;"MULA(TO_TEXT(Referencia!$A$2:$A6238)),0),0),
IF(OR(campo="""",campo=""-""),""NO APLICA"",
IF(col=0,""REVISAR EQUIVALENCIA"",
IF(fila=0,""SKU NO ENCONTRADO"",
LET(
valor,INDEX(Referencia!$A$2:$AZ6238,fila,col),
IF(TRIM(TO_TEXT(valor))=TRIM(TO_TEXT(I1537)),"&amp;"
""OK"",
""NO COINCIDE. Valor verdadero: ""&amp;IF(valor="""",""[VACÍO]"",TO_TEXT(valor))
)
))))
),""ERROR EN FÓRMULA""))"),"NO APLICA")</f>
        <v>NO APLICA</v>
      </c>
    </row>
    <row r="1538">
      <c r="A1538" s="83" t="s">
        <v>4618</v>
      </c>
      <c r="B1538" s="83" t="s">
        <v>4619</v>
      </c>
      <c r="C1538" s="81" t="s">
        <v>4621</v>
      </c>
      <c r="D1538" s="83" t="s">
        <v>4394</v>
      </c>
      <c r="E1538" s="81" t="s">
        <v>1698</v>
      </c>
      <c r="F1538" s="84">
        <v>336.0</v>
      </c>
      <c r="G1538" s="81" t="s">
        <v>7</v>
      </c>
      <c r="H1538" s="81" t="s">
        <v>53</v>
      </c>
      <c r="I1538" s="81" t="s">
        <v>1134</v>
      </c>
      <c r="J1538" s="81" t="s">
        <v>224</v>
      </c>
      <c r="K1538" s="81" t="str">
        <f>IFERROR(__xludf.DUMMYFUNCTION("IF(OR(D1538="""",G1538=""""),"""",IFERROR(LET(
campo,XLOOKUP(TRIM(G1538),ARRAYFORMULA(TRIM('indice columnas'!$A$2:$A$100)),'indice columnas'!$B$2:$B$100,""""),
col,IFERROR(MATCH(campo,Referencia!$A$1:$AZ$1,0),0),
fila,IFERROR(MATCH(TO_TEXT(D1538),ARRAYFOR"&amp;"MULA(TO_TEXT(Referencia!$A$2:$A6238)),0),0),
IF(OR(campo="""",campo=""-""),""NO APLICA"",
IF(col=0,""REVISAR EQUIVALENCIA"",
IF(fila=0,""SKU NO ENCONTRADO"",
LET(
valor,INDEX(Referencia!$A$2:$AZ6238,fila,col),
IF(TRIM(TO_TEXT(valor))=TRIM(TO_TEXT(I1538)),"&amp;"
""OK"",
""NO COINCIDE. Valor verdadero: ""&amp;IF(valor="""",""[VACÍO]"",TO_TEXT(valor))
)
))))
),""ERROR EN FÓRMULA""))"),"REVISAR EQUIVALENCIA")</f>
        <v>REVISAR EQUIVALENCIA</v>
      </c>
    </row>
    <row r="1539">
      <c r="A1539" s="83" t="s">
        <v>4618</v>
      </c>
      <c r="B1539" s="83" t="s">
        <v>4619</v>
      </c>
      <c r="C1539" s="81" t="s">
        <v>4621</v>
      </c>
      <c r="D1539" s="83" t="s">
        <v>4394</v>
      </c>
      <c r="E1539" s="81" t="s">
        <v>1698</v>
      </c>
      <c r="F1539" s="84">
        <v>336.0</v>
      </c>
      <c r="G1539" s="81" t="s">
        <v>44</v>
      </c>
      <c r="H1539" s="81" t="s">
        <v>4392</v>
      </c>
      <c r="I1539" s="81" t="s">
        <v>1694</v>
      </c>
      <c r="J1539" s="81" t="s">
        <v>4088</v>
      </c>
      <c r="K1539" s="81" t="str">
        <f>IFERROR(__xludf.DUMMYFUNCTION("IF(OR(D1539="""",G1539=""""),"""",IFERROR(LET(
campo,XLOOKUP(TRIM(G1539),ARRAYFORMULA(TRIM('indice columnas'!$A$2:$A$100)),'indice columnas'!$B$2:$B$100,""""),
col,IFERROR(MATCH(campo,Referencia!$A$1:$AZ$1,0),0),
fila,IFERROR(MATCH(TO_TEXT(D1539),ARRAYFOR"&amp;"MULA(TO_TEXT(Referencia!$A$2:$A6238)),0),0),
IF(OR(campo="""",campo=""-""),""NO APLICA"",
IF(col=0,""REVISAR EQUIVALENCIA"",
IF(fila=0,""SKU NO ENCONTRADO"",
LET(
valor,INDEX(Referencia!$A$2:$AZ6238,fila,col),
IF(TRIM(TO_TEXT(valor))=TRIM(TO_TEXT(I1539)),"&amp;"
""OK"",
""NO COINCIDE. Valor verdadero: ""&amp;IF(valor="""",""[VACÍO]"",TO_TEXT(valor))
)
))))
),""ERROR EN FÓRMULA""))"),"NO APLICA")</f>
        <v>NO APLICA</v>
      </c>
    </row>
    <row r="1540">
      <c r="A1540" s="83" t="s">
        <v>4618</v>
      </c>
      <c r="B1540" s="83" t="s">
        <v>4619</v>
      </c>
      <c r="C1540" s="81" t="s">
        <v>4621</v>
      </c>
      <c r="D1540" s="83" t="s">
        <v>4395</v>
      </c>
      <c r="E1540" s="81" t="s">
        <v>1702</v>
      </c>
      <c r="F1540" s="84">
        <v>337.0</v>
      </c>
      <c r="G1540" s="81" t="s">
        <v>44</v>
      </c>
      <c r="H1540" s="81" t="s">
        <v>224</v>
      </c>
      <c r="I1540" s="81" t="s">
        <v>1158</v>
      </c>
      <c r="J1540" s="81" t="s">
        <v>4088</v>
      </c>
      <c r="K1540" s="81" t="str">
        <f>IFERROR(__xludf.DUMMYFUNCTION("IF(OR(D1540="""",G1540=""""),"""",IFERROR(LET(
campo,XLOOKUP(TRIM(G1540),ARRAYFORMULA(TRIM('indice columnas'!$A$2:$A$100)),'indice columnas'!$B$2:$B$100,""""),
col,IFERROR(MATCH(campo,Referencia!$A$1:$AZ$1,0),0),
fila,IFERROR(MATCH(TO_TEXT(D1540),ARRAYFOR"&amp;"MULA(TO_TEXT(Referencia!$A$2:$A6238)),0),0),
IF(OR(campo="""",campo=""-""),""NO APLICA"",
IF(col=0,""REVISAR EQUIVALENCIA"",
IF(fila=0,""SKU NO ENCONTRADO"",
LET(
valor,INDEX(Referencia!$A$2:$AZ6238,fila,col),
IF(TRIM(TO_TEXT(valor))=TRIM(TO_TEXT(I1540)),"&amp;"
""OK"",
""NO COINCIDE. Valor verdadero: ""&amp;IF(valor="""",""[VACÍO]"",TO_TEXT(valor))
)
))))
),""ERROR EN FÓRMULA""))"),"NO APLICA")</f>
        <v>NO APLICA</v>
      </c>
    </row>
    <row r="1541">
      <c r="A1541" s="83" t="s">
        <v>4618</v>
      </c>
      <c r="B1541" s="83" t="s">
        <v>4619</v>
      </c>
      <c r="C1541" s="81" t="s">
        <v>4621</v>
      </c>
      <c r="D1541" s="83" t="s">
        <v>4395</v>
      </c>
      <c r="E1541" s="81" t="s">
        <v>1706</v>
      </c>
      <c r="F1541" s="84">
        <v>338.0</v>
      </c>
      <c r="G1541" s="81" t="s">
        <v>12</v>
      </c>
      <c r="H1541" s="81" t="s">
        <v>224</v>
      </c>
      <c r="I1541" s="81" t="s">
        <v>55</v>
      </c>
      <c r="J1541" s="81" t="s">
        <v>224</v>
      </c>
      <c r="K1541" s="81" t="str">
        <f>IFERROR(__xludf.DUMMYFUNCTION("IF(OR(D1541="""",G1541=""""),"""",IFERROR(LET(
campo,XLOOKUP(TRIM(G1541),ARRAYFORMULA(TRIM('indice columnas'!$A$2:$A$100)),'indice columnas'!$B$2:$B$100,""""),
col,IFERROR(MATCH(campo,Referencia!$A$1:$AZ$1,0),0),
fila,IFERROR(MATCH(TO_TEXT(D1541),ARRAYFOR"&amp;"MULA(TO_TEXT(Referencia!$A$2:$A6238)),0),0),
IF(OR(campo="""",campo=""-""),""NO APLICA"",
IF(col=0,""REVISAR EQUIVALENCIA"",
IF(fila=0,""SKU NO ENCONTRADO"",
LET(
valor,INDEX(Referencia!$A$2:$AZ6238,fila,col),
IF(TRIM(TO_TEXT(valor))=TRIM(TO_TEXT(I1541)),"&amp;"
""OK"",
""NO COINCIDE. Valor verdadero: ""&amp;IF(valor="""",""[VACÍO]"",TO_TEXT(valor))
)
))))
),""ERROR EN FÓRMULA""))"),"OK")</f>
        <v>OK</v>
      </c>
    </row>
    <row r="1542">
      <c r="A1542" s="83" t="s">
        <v>4618</v>
      </c>
      <c r="B1542" s="83" t="s">
        <v>4619</v>
      </c>
      <c r="C1542" s="81" t="s">
        <v>4621</v>
      </c>
      <c r="D1542" s="83" t="s">
        <v>4395</v>
      </c>
      <c r="E1542" s="81" t="s">
        <v>1706</v>
      </c>
      <c r="F1542" s="84">
        <v>338.0</v>
      </c>
      <c r="G1542" s="81" t="s">
        <v>29</v>
      </c>
      <c r="H1542" s="81" t="s">
        <v>4396</v>
      </c>
      <c r="I1542" s="81" t="s">
        <v>1707</v>
      </c>
      <c r="J1542" s="81" t="s">
        <v>224</v>
      </c>
      <c r="K1542" s="81" t="str">
        <f>IFERROR(__xludf.DUMMYFUNCTION("IF(OR(D1542="""",G1542=""""),"""",IFERROR(LET(
campo,XLOOKUP(TRIM(G1542),ARRAYFORMULA(TRIM('indice columnas'!$A$2:$A$100)),'indice columnas'!$B$2:$B$100,""""),
col,IFERROR(MATCH(campo,Referencia!$A$1:$AZ$1,0),0),
fila,IFERROR(MATCH(TO_TEXT(D1542),ARRAYFOR"&amp;"MULA(TO_TEXT(Referencia!$A$2:$A6238)),0),0),
IF(OR(campo="""",campo=""-""),""NO APLICA"",
IF(col=0,""REVISAR EQUIVALENCIA"",
IF(fila=0,""SKU NO ENCONTRADO"",
LET(
valor,INDEX(Referencia!$A$2:$AZ6238,fila,col),
IF(TRIM(TO_TEXT(valor))=TRIM(TO_TEXT(I1542)),"&amp;"
""OK"",
""NO COINCIDE. Valor verdadero: ""&amp;IF(valor="""",""[VACÍO]"",TO_TEXT(valor))
)
))))
),""ERROR EN FÓRMULA""))"),"NO COINCIDE. Valor verdadero: Cable y Tensor 1,5mts
Florón: Ø120 x 25")</f>
        <v>NO COINCIDE. Valor verdadero: Cable y Tensor 1,5mts
Florón: Ø120 x 25</v>
      </c>
    </row>
    <row r="1543">
      <c r="A1543" s="83" t="s">
        <v>4618</v>
      </c>
      <c r="B1543" s="83" t="s">
        <v>4619</v>
      </c>
      <c r="C1543" s="81" t="s">
        <v>4621</v>
      </c>
      <c r="D1543" s="83" t="s">
        <v>4395</v>
      </c>
      <c r="E1543" s="81" t="s">
        <v>1706</v>
      </c>
      <c r="F1543" s="84">
        <v>338.0</v>
      </c>
      <c r="G1543" s="81" t="s">
        <v>44</v>
      </c>
      <c r="H1543" s="81" t="s">
        <v>224</v>
      </c>
      <c r="I1543" s="81" t="s">
        <v>1158</v>
      </c>
      <c r="J1543" s="81" t="s">
        <v>4088</v>
      </c>
      <c r="K1543" s="81" t="str">
        <f>IFERROR(__xludf.DUMMYFUNCTION("IF(OR(D1543="""",G1543=""""),"""",IFERROR(LET(
campo,XLOOKUP(TRIM(G1543),ARRAYFORMULA(TRIM('indice columnas'!$A$2:$A$100)),'indice columnas'!$B$2:$B$100,""""),
col,IFERROR(MATCH(campo,Referencia!$A$1:$AZ$1,0),0),
fila,IFERROR(MATCH(TO_TEXT(D1543),ARRAYFOR"&amp;"MULA(TO_TEXT(Referencia!$A$2:$A6238)),0),0),
IF(OR(campo="""",campo=""-""),""NO APLICA"",
IF(col=0,""REVISAR EQUIVALENCIA"",
IF(fila=0,""SKU NO ENCONTRADO"",
LET(
valor,INDEX(Referencia!$A$2:$AZ6238,fila,col),
IF(TRIM(TO_TEXT(valor))=TRIM(TO_TEXT(I1543)),"&amp;"
""OK"",
""NO COINCIDE. Valor verdadero: ""&amp;IF(valor="""",""[VACÍO]"",TO_TEXT(valor))
)
))))
),""ERROR EN FÓRMULA""))"),"NO APLICA")</f>
        <v>NO APLICA</v>
      </c>
    </row>
    <row r="1544">
      <c r="A1544" s="83" t="s">
        <v>4618</v>
      </c>
      <c r="B1544" s="83" t="s">
        <v>4619</v>
      </c>
      <c r="C1544" s="81" t="s">
        <v>4621</v>
      </c>
      <c r="D1544" s="83" t="s">
        <v>4397</v>
      </c>
      <c r="E1544" s="81" t="s">
        <v>1708</v>
      </c>
      <c r="F1544" s="84">
        <v>339.0</v>
      </c>
      <c r="G1544" s="81" t="s">
        <v>44</v>
      </c>
      <c r="H1544" s="81" t="s">
        <v>224</v>
      </c>
      <c r="I1544" s="81" t="s">
        <v>4398</v>
      </c>
      <c r="J1544" s="81" t="s">
        <v>4088</v>
      </c>
      <c r="K1544" s="81" t="str">
        <f>IFERROR(__xludf.DUMMYFUNCTION("IF(OR(D1544="""",G1544=""""),"""",IFERROR(LET(
campo,XLOOKUP(TRIM(G1544),ARRAYFORMULA(TRIM('indice columnas'!$A$2:$A$100)),'indice columnas'!$B$2:$B$100,""""),
col,IFERROR(MATCH(campo,Referencia!$A$1:$AZ$1,0),0),
fila,IFERROR(MATCH(TO_TEXT(D1544),ARRAYFOR"&amp;"MULA(TO_TEXT(Referencia!$A$2:$A6238)),0),0),
IF(OR(campo="""",campo=""-""),""NO APLICA"",
IF(col=0,""REVISAR EQUIVALENCIA"",
IF(fila=0,""SKU NO ENCONTRADO"",
LET(
valor,INDEX(Referencia!$A$2:$AZ6238,fila,col),
IF(TRIM(TO_TEXT(valor))=TRIM(TO_TEXT(I1544)),"&amp;"
""OK"",
""NO COINCIDE. Valor verdadero: ""&amp;IF(valor="""",""[VACÍO]"",TO_TEXT(valor))
)
))))
),""ERROR EN FÓRMULA""))"),"NO APLICA")</f>
        <v>NO APLICA</v>
      </c>
    </row>
    <row r="1545">
      <c r="A1545" s="83" t="s">
        <v>4618</v>
      </c>
      <c r="B1545" s="83" t="s">
        <v>4619</v>
      </c>
      <c r="C1545" s="81" t="s">
        <v>4621</v>
      </c>
      <c r="D1545" s="83" t="s">
        <v>4397</v>
      </c>
      <c r="E1545" s="81" t="s">
        <v>1722</v>
      </c>
      <c r="F1545" s="84">
        <v>340.0</v>
      </c>
      <c r="G1545" s="81" t="s">
        <v>44</v>
      </c>
      <c r="H1545" s="81" t="s">
        <v>224</v>
      </c>
      <c r="I1545" s="81" t="s">
        <v>4398</v>
      </c>
      <c r="J1545" s="81" t="s">
        <v>4088</v>
      </c>
      <c r="K1545" s="81" t="str">
        <f>IFERROR(__xludf.DUMMYFUNCTION("IF(OR(D1545="""",G1545=""""),"""",IFERROR(LET(
campo,XLOOKUP(TRIM(G1545),ARRAYFORMULA(TRIM('indice columnas'!$A$2:$A$100)),'indice columnas'!$B$2:$B$100,""""),
col,IFERROR(MATCH(campo,Referencia!$A$1:$AZ$1,0),0),
fila,IFERROR(MATCH(TO_TEXT(D1545),ARRAYFOR"&amp;"MULA(TO_TEXT(Referencia!$A$2:$A6238)),0),0),
IF(OR(campo="""",campo=""-""),""NO APLICA"",
IF(col=0,""REVISAR EQUIVALENCIA"",
IF(fila=0,""SKU NO ENCONTRADO"",
LET(
valor,INDEX(Referencia!$A$2:$AZ6238,fila,col),
IF(TRIM(TO_TEXT(valor))=TRIM(TO_TEXT(I1545)),"&amp;"
""OK"",
""NO COINCIDE. Valor verdadero: ""&amp;IF(valor="""",""[VACÍO]"",TO_TEXT(valor))
)
))))
),""ERROR EN FÓRMULA""))"),"NO APLICA")</f>
        <v>NO APLICA</v>
      </c>
    </row>
    <row r="1546">
      <c r="A1546" s="83" t="s">
        <v>4618</v>
      </c>
      <c r="B1546" s="83" t="s">
        <v>4619</v>
      </c>
      <c r="C1546" s="81" t="s">
        <v>4621</v>
      </c>
      <c r="D1546" s="83" t="s">
        <v>4399</v>
      </c>
      <c r="E1546" s="81" t="s">
        <v>1723</v>
      </c>
      <c r="F1546" s="84">
        <v>341.0</v>
      </c>
      <c r="G1546" s="81" t="s">
        <v>44</v>
      </c>
      <c r="H1546" s="81" t="s">
        <v>224</v>
      </c>
      <c r="I1546" s="81" t="s">
        <v>4398</v>
      </c>
      <c r="J1546" s="81" t="s">
        <v>4088</v>
      </c>
      <c r="K1546" s="81" t="str">
        <f>IFERROR(__xludf.DUMMYFUNCTION("IF(OR(D1546="""",G1546=""""),"""",IFERROR(LET(
campo,XLOOKUP(TRIM(G1546),ARRAYFORMULA(TRIM('indice columnas'!$A$2:$A$100)),'indice columnas'!$B$2:$B$100,""""),
col,IFERROR(MATCH(campo,Referencia!$A$1:$AZ$1,0),0),
fila,IFERROR(MATCH(TO_TEXT(D1546),ARRAYFOR"&amp;"MULA(TO_TEXT(Referencia!$A$2:$A6238)),0),0),
IF(OR(campo="""",campo=""-""),""NO APLICA"",
IF(col=0,""REVISAR EQUIVALENCIA"",
IF(fila=0,""SKU NO ENCONTRADO"",
LET(
valor,INDEX(Referencia!$A$2:$AZ6238,fila,col),
IF(TRIM(TO_TEXT(valor))=TRIM(TO_TEXT(I1546)),"&amp;"
""OK"",
""NO COINCIDE. Valor verdadero: ""&amp;IF(valor="""",""[VACÍO]"",TO_TEXT(valor))
)
))))
),""ERROR EN FÓRMULA""))"),"NO APLICA")</f>
        <v>NO APLICA</v>
      </c>
    </row>
    <row r="1547">
      <c r="A1547" s="83" t="s">
        <v>4618</v>
      </c>
      <c r="B1547" s="83" t="s">
        <v>4619</v>
      </c>
      <c r="C1547" s="81" t="s">
        <v>4621</v>
      </c>
      <c r="D1547" s="83" t="s">
        <v>4400</v>
      </c>
      <c r="E1547" s="81" t="s">
        <v>1726</v>
      </c>
      <c r="F1547" s="84">
        <v>342.0</v>
      </c>
      <c r="G1547" s="81" t="s">
        <v>44</v>
      </c>
      <c r="H1547" s="81" t="s">
        <v>224</v>
      </c>
      <c r="I1547" s="81" t="s">
        <v>4398</v>
      </c>
      <c r="J1547" s="81" t="s">
        <v>4088</v>
      </c>
      <c r="K1547" s="81" t="str">
        <f>IFERROR(__xludf.DUMMYFUNCTION("IF(OR(D1547="""",G1547=""""),"""",IFERROR(LET(
campo,XLOOKUP(TRIM(G1547),ARRAYFORMULA(TRIM('indice columnas'!$A$2:$A$100)),'indice columnas'!$B$2:$B$100,""""),
col,IFERROR(MATCH(campo,Referencia!$A$1:$AZ$1,0),0),
fila,IFERROR(MATCH(TO_TEXT(D1547),ARRAYFOR"&amp;"MULA(TO_TEXT(Referencia!$A$2:$A6238)),0),0),
IF(OR(campo="""",campo=""-""),""NO APLICA"",
IF(col=0,""REVISAR EQUIVALENCIA"",
IF(fila=0,""SKU NO ENCONTRADO"",
LET(
valor,INDEX(Referencia!$A$2:$AZ6238,fila,col),
IF(TRIM(TO_TEXT(valor))=TRIM(TO_TEXT(I1547)),"&amp;"
""OK"",
""NO COINCIDE. Valor verdadero: ""&amp;IF(valor="""",""[VACÍO]"",TO_TEXT(valor))
)
))))
),""ERROR EN FÓRMULA""))"),"NO APLICA")</f>
        <v>NO APLICA</v>
      </c>
    </row>
    <row r="1548">
      <c r="A1548" s="83" t="s">
        <v>4618</v>
      </c>
      <c r="B1548" s="83" t="s">
        <v>4619</v>
      </c>
      <c r="C1548" s="81" t="s">
        <v>4621</v>
      </c>
      <c r="D1548" s="83" t="s">
        <v>4401</v>
      </c>
      <c r="E1548" s="81" t="s">
        <v>1736</v>
      </c>
      <c r="F1548" s="84">
        <v>343.0</v>
      </c>
      <c r="G1548" s="81" t="s">
        <v>44</v>
      </c>
      <c r="H1548" s="81" t="s">
        <v>224</v>
      </c>
      <c r="I1548" s="81" t="s">
        <v>4398</v>
      </c>
      <c r="J1548" s="81" t="s">
        <v>4088</v>
      </c>
      <c r="K1548" s="81" t="str">
        <f>IFERROR(__xludf.DUMMYFUNCTION("IF(OR(D1548="""",G1548=""""),"""",IFERROR(LET(
campo,XLOOKUP(TRIM(G1548),ARRAYFORMULA(TRIM('indice columnas'!$A$2:$A$100)),'indice columnas'!$B$2:$B$100,""""),
col,IFERROR(MATCH(campo,Referencia!$A$1:$AZ$1,0),0),
fila,IFERROR(MATCH(TO_TEXT(D1548),ARRAYFOR"&amp;"MULA(TO_TEXT(Referencia!$A$2:$A6238)),0),0),
IF(OR(campo="""",campo=""-""),""NO APLICA"",
IF(col=0,""REVISAR EQUIVALENCIA"",
IF(fila=0,""SKU NO ENCONTRADO"",
LET(
valor,INDEX(Referencia!$A$2:$AZ6238,fila,col),
IF(TRIM(TO_TEXT(valor))=TRIM(TO_TEXT(I1548)),"&amp;"
""OK"",
""NO COINCIDE. Valor verdadero: ""&amp;IF(valor="""",""[VACÍO]"",TO_TEXT(valor))
)
))))
),""ERROR EN FÓRMULA""))"),"NO APLICA")</f>
        <v>NO APLICA</v>
      </c>
    </row>
    <row r="1549">
      <c r="A1549" s="83" t="s">
        <v>4618</v>
      </c>
      <c r="B1549" s="83" t="s">
        <v>4619</v>
      </c>
      <c r="C1549" s="81" t="s">
        <v>4621</v>
      </c>
      <c r="D1549" s="83" t="s">
        <v>4402</v>
      </c>
      <c r="E1549" s="81" t="s">
        <v>1739</v>
      </c>
      <c r="F1549" s="84">
        <v>344.0</v>
      </c>
      <c r="G1549" s="81" t="s">
        <v>44</v>
      </c>
      <c r="H1549" s="81" t="s">
        <v>224</v>
      </c>
      <c r="I1549" s="81" t="s">
        <v>924</v>
      </c>
      <c r="J1549" s="81" t="s">
        <v>4088</v>
      </c>
      <c r="K1549" s="81" t="str">
        <f>IFERROR(__xludf.DUMMYFUNCTION("IF(OR(D1549="""",G1549=""""),"""",IFERROR(LET(
campo,XLOOKUP(TRIM(G1549),ARRAYFORMULA(TRIM('indice columnas'!$A$2:$A$100)),'indice columnas'!$B$2:$B$100,""""),
col,IFERROR(MATCH(campo,Referencia!$A$1:$AZ$1,0),0),
fila,IFERROR(MATCH(TO_TEXT(D1549),ARRAYFOR"&amp;"MULA(TO_TEXT(Referencia!$A$2:$A6238)),0),0),
IF(OR(campo="""",campo=""-""),""NO APLICA"",
IF(col=0,""REVISAR EQUIVALENCIA"",
IF(fila=0,""SKU NO ENCONTRADO"",
LET(
valor,INDEX(Referencia!$A$2:$AZ6238,fila,col),
IF(TRIM(TO_TEXT(valor))=TRIM(TO_TEXT(I1549)),"&amp;"
""OK"",
""NO COINCIDE. Valor verdadero: ""&amp;IF(valor="""",""[VACÍO]"",TO_TEXT(valor))
)
))))
),""ERROR EN FÓRMULA""))"),"NO APLICA")</f>
        <v>NO APLICA</v>
      </c>
    </row>
    <row r="1550">
      <c r="A1550" s="83" t="s">
        <v>4618</v>
      </c>
      <c r="B1550" s="83" t="s">
        <v>4619</v>
      </c>
      <c r="C1550" s="81" t="s">
        <v>4621</v>
      </c>
      <c r="D1550" s="83" t="s">
        <v>4402</v>
      </c>
      <c r="E1550" s="81" t="s">
        <v>1741</v>
      </c>
      <c r="F1550" s="84">
        <v>345.0</v>
      </c>
      <c r="G1550" s="81" t="s">
        <v>12</v>
      </c>
      <c r="H1550" s="81" t="s">
        <v>224</v>
      </c>
      <c r="I1550" s="81" t="s">
        <v>55</v>
      </c>
      <c r="J1550" s="81" t="s">
        <v>224</v>
      </c>
      <c r="K1550" s="81" t="str">
        <f>IFERROR(__xludf.DUMMYFUNCTION("IF(OR(D1550="""",G1550=""""),"""",IFERROR(LET(
campo,XLOOKUP(TRIM(G1550),ARRAYFORMULA(TRIM('indice columnas'!$A$2:$A$100)),'indice columnas'!$B$2:$B$100,""""),
col,IFERROR(MATCH(campo,Referencia!$A$1:$AZ$1,0),0),
fila,IFERROR(MATCH(TO_TEXT(D1550),ARRAYFOR"&amp;"MULA(TO_TEXT(Referencia!$A$2:$A6238)),0),0),
IF(OR(campo="""",campo=""-""),""NO APLICA"",
IF(col=0,""REVISAR EQUIVALENCIA"",
IF(fila=0,""SKU NO ENCONTRADO"",
LET(
valor,INDEX(Referencia!$A$2:$AZ6238,fila,col),
IF(TRIM(TO_TEXT(valor))=TRIM(TO_TEXT(I1550)),"&amp;"
""OK"",
""NO COINCIDE. Valor verdadero: ""&amp;IF(valor="""",""[VACÍO]"",TO_TEXT(valor))
)
))))
),""ERROR EN FÓRMULA""))"),"OK")</f>
        <v>OK</v>
      </c>
    </row>
    <row r="1551">
      <c r="A1551" s="83" t="s">
        <v>4618</v>
      </c>
      <c r="B1551" s="83" t="s">
        <v>4619</v>
      </c>
      <c r="C1551" s="81" t="s">
        <v>4621</v>
      </c>
      <c r="D1551" s="83" t="s">
        <v>4402</v>
      </c>
      <c r="E1551" s="81" t="s">
        <v>1741</v>
      </c>
      <c r="F1551" s="84">
        <v>345.0</v>
      </c>
      <c r="G1551" s="81" t="s">
        <v>44</v>
      </c>
      <c r="H1551" s="81" t="s">
        <v>224</v>
      </c>
      <c r="I1551" s="81" t="s">
        <v>924</v>
      </c>
      <c r="J1551" s="81" t="s">
        <v>4088</v>
      </c>
      <c r="K1551" s="81" t="str">
        <f>IFERROR(__xludf.DUMMYFUNCTION("IF(OR(D1551="""",G1551=""""),"""",IFERROR(LET(
campo,XLOOKUP(TRIM(G1551),ARRAYFORMULA(TRIM('indice columnas'!$A$2:$A$100)),'indice columnas'!$B$2:$B$100,""""),
col,IFERROR(MATCH(campo,Referencia!$A$1:$AZ$1,0),0),
fila,IFERROR(MATCH(TO_TEXT(D1551),ARRAYFOR"&amp;"MULA(TO_TEXT(Referencia!$A$2:$A6238)),0),0),
IF(OR(campo="""",campo=""-""),""NO APLICA"",
IF(col=0,""REVISAR EQUIVALENCIA"",
IF(fila=0,""SKU NO ENCONTRADO"",
LET(
valor,INDEX(Referencia!$A$2:$AZ6238,fila,col),
IF(TRIM(TO_TEXT(valor))=TRIM(TO_TEXT(I1551)),"&amp;"
""OK"",
""NO COINCIDE. Valor verdadero: ""&amp;IF(valor="""",""[VACÍO]"",TO_TEXT(valor))
)
))))
),""ERROR EN FÓRMULA""))"),"NO APLICA")</f>
        <v>NO APLICA</v>
      </c>
    </row>
    <row r="1552">
      <c r="A1552" s="83" t="s">
        <v>4618</v>
      </c>
      <c r="B1552" s="83" t="s">
        <v>4619</v>
      </c>
      <c r="C1552" s="81" t="s">
        <v>4621</v>
      </c>
      <c r="D1552" s="83" t="s">
        <v>4403</v>
      </c>
      <c r="E1552" s="81" t="s">
        <v>1742</v>
      </c>
      <c r="F1552" s="84">
        <v>346.0</v>
      </c>
      <c r="G1552" s="81" t="s">
        <v>12</v>
      </c>
      <c r="H1552" s="81" t="s">
        <v>224</v>
      </c>
      <c r="I1552" s="81" t="s">
        <v>55</v>
      </c>
      <c r="J1552" s="81" t="s">
        <v>224</v>
      </c>
      <c r="K1552" s="81" t="str">
        <f>IFERROR(__xludf.DUMMYFUNCTION("IF(OR(D1552="""",G1552=""""),"""",IFERROR(LET(
campo,XLOOKUP(TRIM(G1552),ARRAYFORMULA(TRIM('indice columnas'!$A$2:$A$100)),'indice columnas'!$B$2:$B$100,""""),
col,IFERROR(MATCH(campo,Referencia!$A$1:$AZ$1,0),0),
fila,IFERROR(MATCH(TO_TEXT(D1552),ARRAYFOR"&amp;"MULA(TO_TEXT(Referencia!$A$2:$A6238)),0),0),
IF(OR(campo="""",campo=""-""),""NO APLICA"",
IF(col=0,""REVISAR EQUIVALENCIA"",
IF(fila=0,""SKU NO ENCONTRADO"",
LET(
valor,INDEX(Referencia!$A$2:$AZ6238,fila,col),
IF(TRIM(TO_TEXT(valor))=TRIM(TO_TEXT(I1552)),"&amp;"
""OK"",
""NO COINCIDE. Valor verdadero: ""&amp;IF(valor="""",""[VACÍO]"",TO_TEXT(valor))
)
))))
),""ERROR EN FÓRMULA""))"),"OK")</f>
        <v>OK</v>
      </c>
    </row>
    <row r="1553">
      <c r="A1553" s="83" t="s">
        <v>4618</v>
      </c>
      <c r="B1553" s="83" t="s">
        <v>4619</v>
      </c>
      <c r="C1553" s="81" t="s">
        <v>4621</v>
      </c>
      <c r="D1553" s="83" t="s">
        <v>4403</v>
      </c>
      <c r="E1553" s="81" t="s">
        <v>1742</v>
      </c>
      <c r="F1553" s="84">
        <v>346.0</v>
      </c>
      <c r="G1553" s="81" t="s">
        <v>44</v>
      </c>
      <c r="H1553" s="81" t="s">
        <v>224</v>
      </c>
      <c r="I1553" s="81" t="s">
        <v>924</v>
      </c>
      <c r="J1553" s="81" t="s">
        <v>4088</v>
      </c>
      <c r="K1553" s="81" t="str">
        <f>IFERROR(__xludf.DUMMYFUNCTION("IF(OR(D1553="""",G1553=""""),"""",IFERROR(LET(
campo,XLOOKUP(TRIM(G1553),ARRAYFORMULA(TRIM('indice columnas'!$A$2:$A$100)),'indice columnas'!$B$2:$B$100,""""),
col,IFERROR(MATCH(campo,Referencia!$A$1:$AZ$1,0),0),
fila,IFERROR(MATCH(TO_TEXT(D1553),ARRAYFOR"&amp;"MULA(TO_TEXT(Referencia!$A$2:$A6238)),0),0),
IF(OR(campo="""",campo=""-""),""NO APLICA"",
IF(col=0,""REVISAR EQUIVALENCIA"",
IF(fila=0,""SKU NO ENCONTRADO"",
LET(
valor,INDEX(Referencia!$A$2:$AZ6238,fila,col),
IF(TRIM(TO_TEXT(valor))=TRIM(TO_TEXT(I1553)),"&amp;"
""OK"",
""NO COINCIDE. Valor verdadero: ""&amp;IF(valor="""",""[VACÍO]"",TO_TEXT(valor))
)
))))
),""ERROR EN FÓRMULA""))"),"NO APLICA")</f>
        <v>NO APLICA</v>
      </c>
    </row>
    <row r="1554">
      <c r="A1554" s="83" t="s">
        <v>4618</v>
      </c>
      <c r="B1554" s="83" t="s">
        <v>4619</v>
      </c>
      <c r="C1554" s="81" t="s">
        <v>4621</v>
      </c>
      <c r="D1554" s="83" t="s">
        <v>4404</v>
      </c>
      <c r="E1554" s="81" t="s">
        <v>1744</v>
      </c>
      <c r="F1554" s="84">
        <v>347.0</v>
      </c>
      <c r="G1554" s="81" t="s">
        <v>44</v>
      </c>
      <c r="H1554" s="81" t="s">
        <v>224</v>
      </c>
      <c r="I1554" s="81" t="s">
        <v>4398</v>
      </c>
      <c r="J1554" s="81" t="s">
        <v>4088</v>
      </c>
      <c r="K1554" s="81" t="str">
        <f>IFERROR(__xludf.DUMMYFUNCTION("IF(OR(D1554="""",G1554=""""),"""",IFERROR(LET(
campo,XLOOKUP(TRIM(G1554),ARRAYFORMULA(TRIM('indice columnas'!$A$2:$A$100)),'indice columnas'!$B$2:$B$100,""""),
col,IFERROR(MATCH(campo,Referencia!$A$1:$AZ$1,0),0),
fila,IFERROR(MATCH(TO_TEXT(D1554),ARRAYFOR"&amp;"MULA(TO_TEXT(Referencia!$A$2:$A6238)),0),0),
IF(OR(campo="""",campo=""-""),""NO APLICA"",
IF(col=0,""REVISAR EQUIVALENCIA"",
IF(fila=0,""SKU NO ENCONTRADO"",
LET(
valor,INDEX(Referencia!$A$2:$AZ6238,fila,col),
IF(TRIM(TO_TEXT(valor))=TRIM(TO_TEXT(I1554)),"&amp;"
""OK"",
""NO COINCIDE. Valor verdadero: ""&amp;IF(valor="""",""[VACÍO]"",TO_TEXT(valor))
)
))))
),""ERROR EN FÓRMULA""))"),"NO APLICA")</f>
        <v>NO APLICA</v>
      </c>
    </row>
    <row r="1555">
      <c r="A1555" s="83" t="s">
        <v>4618</v>
      </c>
      <c r="B1555" s="83" t="s">
        <v>4619</v>
      </c>
      <c r="C1555" s="81" t="s">
        <v>4621</v>
      </c>
      <c r="D1555" s="83" t="s">
        <v>4405</v>
      </c>
      <c r="E1555" s="81" t="s">
        <v>1753</v>
      </c>
      <c r="F1555" s="84">
        <v>348.0</v>
      </c>
      <c r="G1555" s="81" t="s">
        <v>44</v>
      </c>
      <c r="H1555" s="81" t="s">
        <v>224</v>
      </c>
      <c r="I1555" s="81" t="s">
        <v>4398</v>
      </c>
      <c r="J1555" s="81" t="s">
        <v>4088</v>
      </c>
      <c r="K1555" s="81" t="str">
        <f>IFERROR(__xludf.DUMMYFUNCTION("IF(OR(D1555="""",G1555=""""),"""",IFERROR(LET(
campo,XLOOKUP(TRIM(G1555),ARRAYFORMULA(TRIM('indice columnas'!$A$2:$A$100)),'indice columnas'!$B$2:$B$100,""""),
col,IFERROR(MATCH(campo,Referencia!$A$1:$AZ$1,0),0),
fila,IFERROR(MATCH(TO_TEXT(D1555),ARRAYFOR"&amp;"MULA(TO_TEXT(Referencia!$A$2:$A6238)),0),0),
IF(OR(campo="""",campo=""-""),""NO APLICA"",
IF(col=0,""REVISAR EQUIVALENCIA"",
IF(fila=0,""SKU NO ENCONTRADO"",
LET(
valor,INDEX(Referencia!$A$2:$AZ6238,fila,col),
IF(TRIM(TO_TEXT(valor))=TRIM(TO_TEXT(I1555)),"&amp;"
""OK"",
""NO COINCIDE. Valor verdadero: ""&amp;IF(valor="""",""[VACÍO]"",TO_TEXT(valor))
)
))))
),""ERROR EN FÓRMULA""))"),"NO APLICA")</f>
        <v>NO APLICA</v>
      </c>
    </row>
    <row r="1556">
      <c r="A1556" s="83" t="s">
        <v>4618</v>
      </c>
      <c r="B1556" s="83" t="s">
        <v>4619</v>
      </c>
      <c r="C1556" s="81" t="s">
        <v>4621</v>
      </c>
      <c r="D1556" s="83" t="s">
        <v>4406</v>
      </c>
      <c r="E1556" s="81" t="s">
        <v>1756</v>
      </c>
      <c r="F1556" s="84">
        <v>349.0</v>
      </c>
      <c r="G1556" s="81" t="s">
        <v>44</v>
      </c>
      <c r="H1556" s="81" t="s">
        <v>224</v>
      </c>
      <c r="I1556" s="81" t="s">
        <v>1761</v>
      </c>
      <c r="J1556" s="81" t="s">
        <v>4088</v>
      </c>
      <c r="K1556" s="81" t="str">
        <f>IFERROR(__xludf.DUMMYFUNCTION("IF(OR(D1556="""",G1556=""""),"""",IFERROR(LET(
campo,XLOOKUP(TRIM(G1556),ARRAYFORMULA(TRIM('indice columnas'!$A$2:$A$100)),'indice columnas'!$B$2:$B$100,""""),
col,IFERROR(MATCH(campo,Referencia!$A$1:$AZ$1,0),0),
fila,IFERROR(MATCH(TO_TEXT(D1556),ARRAYFOR"&amp;"MULA(TO_TEXT(Referencia!$A$2:$A6238)),0),0),
IF(OR(campo="""",campo=""-""),""NO APLICA"",
IF(col=0,""REVISAR EQUIVALENCIA"",
IF(fila=0,""SKU NO ENCONTRADO"",
LET(
valor,INDEX(Referencia!$A$2:$AZ6238,fila,col),
IF(TRIM(TO_TEXT(valor))=TRIM(TO_TEXT(I1556)),"&amp;"
""OK"",
""NO COINCIDE. Valor verdadero: ""&amp;IF(valor="""",""[VACÍO]"",TO_TEXT(valor))
)
))))
),""ERROR EN FÓRMULA""))"),"NO APLICA")</f>
        <v>NO APLICA</v>
      </c>
    </row>
    <row r="1557">
      <c r="A1557" s="83" t="s">
        <v>4618</v>
      </c>
      <c r="B1557" s="83" t="s">
        <v>4619</v>
      </c>
      <c r="C1557" s="81" t="s">
        <v>4621</v>
      </c>
      <c r="D1557" s="83" t="s">
        <v>4406</v>
      </c>
      <c r="E1557" s="81" t="s">
        <v>1760</v>
      </c>
      <c r="F1557" s="84">
        <v>350.0</v>
      </c>
      <c r="G1557" s="81" t="s">
        <v>12</v>
      </c>
      <c r="H1557" s="81" t="s">
        <v>224</v>
      </c>
      <c r="I1557" s="81" t="s">
        <v>55</v>
      </c>
      <c r="J1557" s="81" t="s">
        <v>224</v>
      </c>
      <c r="K1557" s="81" t="str">
        <f>IFERROR(__xludf.DUMMYFUNCTION("IF(OR(D1557="""",G1557=""""),"""",IFERROR(LET(
campo,XLOOKUP(TRIM(G1557),ARRAYFORMULA(TRIM('indice columnas'!$A$2:$A$100)),'indice columnas'!$B$2:$B$100,""""),
col,IFERROR(MATCH(campo,Referencia!$A$1:$AZ$1,0),0),
fila,IFERROR(MATCH(TO_TEXT(D1557),ARRAYFOR"&amp;"MULA(TO_TEXT(Referencia!$A$2:$A6238)),0),0),
IF(OR(campo="""",campo=""-""),""NO APLICA"",
IF(col=0,""REVISAR EQUIVALENCIA"",
IF(fila=0,""SKU NO ENCONTRADO"",
LET(
valor,INDEX(Referencia!$A$2:$AZ6238,fila,col),
IF(TRIM(TO_TEXT(valor))=TRIM(TO_TEXT(I1557)),"&amp;"
""OK"",
""NO COINCIDE. Valor verdadero: ""&amp;IF(valor="""",""[VACÍO]"",TO_TEXT(valor))
)
))))
),""ERROR EN FÓRMULA""))"),"OK")</f>
        <v>OK</v>
      </c>
    </row>
    <row r="1558">
      <c r="A1558" s="83" t="s">
        <v>4618</v>
      </c>
      <c r="B1558" s="83" t="s">
        <v>4619</v>
      </c>
      <c r="C1558" s="81" t="s">
        <v>4621</v>
      </c>
      <c r="D1558" s="83" t="s">
        <v>4406</v>
      </c>
      <c r="E1558" s="81" t="s">
        <v>1760</v>
      </c>
      <c r="F1558" s="84">
        <v>350.0</v>
      </c>
      <c r="G1558" s="81" t="s">
        <v>44</v>
      </c>
      <c r="H1558" s="81" t="s">
        <v>224</v>
      </c>
      <c r="I1558" s="81" t="s">
        <v>1761</v>
      </c>
      <c r="J1558" s="81" t="s">
        <v>4088</v>
      </c>
      <c r="K1558" s="81" t="str">
        <f>IFERROR(__xludf.DUMMYFUNCTION("IF(OR(D1558="""",G1558=""""),"""",IFERROR(LET(
campo,XLOOKUP(TRIM(G1558),ARRAYFORMULA(TRIM('indice columnas'!$A$2:$A$100)),'indice columnas'!$B$2:$B$100,""""),
col,IFERROR(MATCH(campo,Referencia!$A$1:$AZ$1,0),0),
fila,IFERROR(MATCH(TO_TEXT(D1558),ARRAYFOR"&amp;"MULA(TO_TEXT(Referencia!$A$2:$A6238)),0),0),
IF(OR(campo="""",campo=""-""),""NO APLICA"",
IF(col=0,""REVISAR EQUIVALENCIA"",
IF(fila=0,""SKU NO ENCONTRADO"",
LET(
valor,INDEX(Referencia!$A$2:$AZ6238,fila,col),
IF(TRIM(TO_TEXT(valor))=TRIM(TO_TEXT(I1558)),"&amp;"
""OK"",
""NO COINCIDE. Valor verdadero: ""&amp;IF(valor="""",""[VACÍO]"",TO_TEXT(valor))
)
))))
),""ERROR EN FÓRMULA""))"),"NO APLICA")</f>
        <v>NO APLICA</v>
      </c>
    </row>
    <row r="1559">
      <c r="A1559" s="83" t="s">
        <v>4618</v>
      </c>
      <c r="B1559" s="83" t="s">
        <v>4619</v>
      </c>
      <c r="C1559" s="81" t="s">
        <v>4621</v>
      </c>
      <c r="D1559" s="83" t="s">
        <v>4407</v>
      </c>
      <c r="E1559" s="81" t="s">
        <v>1762</v>
      </c>
      <c r="F1559" s="84">
        <v>351.0</v>
      </c>
      <c r="G1559" s="81" t="s">
        <v>12</v>
      </c>
      <c r="H1559" s="81" t="s">
        <v>224</v>
      </c>
      <c r="I1559" s="81" t="s">
        <v>55</v>
      </c>
      <c r="J1559" s="81" t="s">
        <v>224</v>
      </c>
      <c r="K1559" s="81" t="str">
        <f>IFERROR(__xludf.DUMMYFUNCTION("IF(OR(D1559="""",G1559=""""),"""",IFERROR(LET(
campo,XLOOKUP(TRIM(G1559),ARRAYFORMULA(TRIM('indice columnas'!$A$2:$A$100)),'indice columnas'!$B$2:$B$100,""""),
col,IFERROR(MATCH(campo,Referencia!$A$1:$AZ$1,0),0),
fila,IFERROR(MATCH(TO_TEXT(D1559),ARRAYFOR"&amp;"MULA(TO_TEXT(Referencia!$A$2:$A6238)),0),0),
IF(OR(campo="""",campo=""-""),""NO APLICA"",
IF(col=0,""REVISAR EQUIVALENCIA"",
IF(fila=0,""SKU NO ENCONTRADO"",
LET(
valor,INDEX(Referencia!$A$2:$AZ6238,fila,col),
IF(TRIM(TO_TEXT(valor))=TRIM(TO_TEXT(I1559)),"&amp;"
""OK"",
""NO COINCIDE. Valor verdadero: ""&amp;IF(valor="""",""[VACÍO]"",TO_TEXT(valor))
)
))))
),""ERROR EN FÓRMULA""))"),"OK")</f>
        <v>OK</v>
      </c>
    </row>
    <row r="1560">
      <c r="A1560" s="83" t="s">
        <v>4618</v>
      </c>
      <c r="B1560" s="83" t="s">
        <v>4619</v>
      </c>
      <c r="C1560" s="81" t="s">
        <v>4621</v>
      </c>
      <c r="D1560" s="83" t="s">
        <v>4407</v>
      </c>
      <c r="E1560" s="81" t="s">
        <v>1762</v>
      </c>
      <c r="F1560" s="84">
        <v>351.0</v>
      </c>
      <c r="G1560" s="81" t="s">
        <v>44</v>
      </c>
      <c r="H1560" s="81" t="s">
        <v>224</v>
      </c>
      <c r="I1560" s="81" t="s">
        <v>1761</v>
      </c>
      <c r="J1560" s="81" t="s">
        <v>4088</v>
      </c>
      <c r="K1560" s="81" t="str">
        <f>IFERROR(__xludf.DUMMYFUNCTION("IF(OR(D1560="""",G1560=""""),"""",IFERROR(LET(
campo,XLOOKUP(TRIM(G1560),ARRAYFORMULA(TRIM('indice columnas'!$A$2:$A$100)),'indice columnas'!$B$2:$B$100,""""),
col,IFERROR(MATCH(campo,Referencia!$A$1:$AZ$1,0),0),
fila,IFERROR(MATCH(TO_TEXT(D1560),ARRAYFOR"&amp;"MULA(TO_TEXT(Referencia!$A$2:$A6238)),0),0),
IF(OR(campo="""",campo=""-""),""NO APLICA"",
IF(col=0,""REVISAR EQUIVALENCIA"",
IF(fila=0,""SKU NO ENCONTRADO"",
LET(
valor,INDEX(Referencia!$A$2:$AZ6238,fila,col),
IF(TRIM(TO_TEXT(valor))=TRIM(TO_TEXT(I1560)),"&amp;"
""OK"",
""NO COINCIDE. Valor verdadero: ""&amp;IF(valor="""",""[VACÍO]"",TO_TEXT(valor))
)
))))
),""ERROR EN FÓRMULA""))"),"NO APLICA")</f>
        <v>NO APLICA</v>
      </c>
    </row>
    <row r="1561">
      <c r="A1561" s="83" t="s">
        <v>4618</v>
      </c>
      <c r="B1561" s="83" t="s">
        <v>4619</v>
      </c>
      <c r="C1561" s="81" t="s">
        <v>4621</v>
      </c>
      <c r="D1561" s="83" t="s">
        <v>4408</v>
      </c>
      <c r="E1561" s="81" t="s">
        <v>1765</v>
      </c>
      <c r="F1561" s="84">
        <v>352.0</v>
      </c>
      <c r="G1561" s="81" t="s">
        <v>44</v>
      </c>
      <c r="H1561" s="81" t="s">
        <v>224</v>
      </c>
      <c r="I1561" s="81" t="s">
        <v>1401</v>
      </c>
      <c r="J1561" s="81" t="s">
        <v>4088</v>
      </c>
      <c r="K1561" s="81" t="str">
        <f>IFERROR(__xludf.DUMMYFUNCTION("IF(OR(D1561="""",G1561=""""),"""",IFERROR(LET(
campo,XLOOKUP(TRIM(G1561),ARRAYFORMULA(TRIM('indice columnas'!$A$2:$A$100)),'indice columnas'!$B$2:$B$100,""""),
col,IFERROR(MATCH(campo,Referencia!$A$1:$AZ$1,0),0),
fila,IFERROR(MATCH(TO_TEXT(D1561),ARRAYFOR"&amp;"MULA(TO_TEXT(Referencia!$A$2:$A6238)),0),0),
IF(OR(campo="""",campo=""-""),""NO APLICA"",
IF(col=0,""REVISAR EQUIVALENCIA"",
IF(fila=0,""SKU NO ENCONTRADO"",
LET(
valor,INDEX(Referencia!$A$2:$AZ6238,fila,col),
IF(TRIM(TO_TEXT(valor))=TRIM(TO_TEXT(I1561)),"&amp;"
""OK"",
""NO COINCIDE. Valor verdadero: ""&amp;IF(valor="""",""[VACÍO]"",TO_TEXT(valor))
)
))))
),""ERROR EN FÓRMULA""))"),"NO APLICA")</f>
        <v>NO APLICA</v>
      </c>
    </row>
    <row r="1562">
      <c r="A1562" s="83" t="s">
        <v>4618</v>
      </c>
      <c r="B1562" s="83" t="s">
        <v>4619</v>
      </c>
      <c r="C1562" s="81" t="s">
        <v>4621</v>
      </c>
      <c r="D1562" s="83" t="s">
        <v>4408</v>
      </c>
      <c r="E1562" s="81" t="s">
        <v>1770</v>
      </c>
      <c r="F1562" s="84">
        <v>353.0</v>
      </c>
      <c r="G1562" s="81" t="s">
        <v>12</v>
      </c>
      <c r="H1562" s="81" t="s">
        <v>224</v>
      </c>
      <c r="I1562" s="81" t="s">
        <v>55</v>
      </c>
      <c r="J1562" s="81" t="s">
        <v>224</v>
      </c>
      <c r="K1562" s="81" t="str">
        <f>IFERROR(__xludf.DUMMYFUNCTION("IF(OR(D1562="""",G1562=""""),"""",IFERROR(LET(
campo,XLOOKUP(TRIM(G1562),ARRAYFORMULA(TRIM('indice columnas'!$A$2:$A$100)),'indice columnas'!$B$2:$B$100,""""),
col,IFERROR(MATCH(campo,Referencia!$A$1:$AZ$1,0),0),
fila,IFERROR(MATCH(TO_TEXT(D1562),ARRAYFOR"&amp;"MULA(TO_TEXT(Referencia!$A$2:$A6238)),0),0),
IF(OR(campo="""",campo=""-""),""NO APLICA"",
IF(col=0,""REVISAR EQUIVALENCIA"",
IF(fila=0,""SKU NO ENCONTRADO"",
LET(
valor,INDEX(Referencia!$A$2:$AZ6238,fila,col),
IF(TRIM(TO_TEXT(valor))=TRIM(TO_TEXT(I1562)),"&amp;"
""OK"",
""NO COINCIDE. Valor verdadero: ""&amp;IF(valor="""",""[VACÍO]"",TO_TEXT(valor))
)
))))
),""ERROR EN FÓRMULA""))"),"OK")</f>
        <v>OK</v>
      </c>
    </row>
    <row r="1563">
      <c r="A1563" s="83" t="s">
        <v>4618</v>
      </c>
      <c r="B1563" s="83" t="s">
        <v>4619</v>
      </c>
      <c r="C1563" s="81" t="s">
        <v>4621</v>
      </c>
      <c r="D1563" s="83" t="s">
        <v>4408</v>
      </c>
      <c r="E1563" s="81" t="s">
        <v>1770</v>
      </c>
      <c r="F1563" s="84">
        <v>353.0</v>
      </c>
      <c r="G1563" s="81" t="s">
        <v>29</v>
      </c>
      <c r="H1563" s="81" t="s">
        <v>4409</v>
      </c>
      <c r="I1563" s="81" t="s">
        <v>1771</v>
      </c>
      <c r="J1563" s="81" t="s">
        <v>224</v>
      </c>
      <c r="K1563" s="81" t="str">
        <f>IFERROR(__xludf.DUMMYFUNCTION("IF(OR(D1563="""",G1563=""""),"""",IFERROR(LET(
campo,XLOOKUP(TRIM(G1563),ARRAYFORMULA(TRIM('indice columnas'!$A$2:$A$100)),'indice columnas'!$B$2:$B$100,""""),
col,IFERROR(MATCH(campo,Referencia!$A$1:$AZ$1,0),0),
fila,IFERROR(MATCH(TO_TEXT(D1563),ARRAYFOR"&amp;"MULA(TO_TEXT(Referencia!$A$2:$A6238)),0),0),
IF(OR(campo="""",campo=""-""),""NO APLICA"",
IF(col=0,""REVISAR EQUIVALENCIA"",
IF(fila=0,""SKU NO ENCONTRADO"",
LET(
valor,INDEX(Referencia!$A$2:$AZ6238,fila,col),
IF(TRIM(TO_TEXT(valor))=TRIM(TO_TEXT(I1563)),"&amp;"
""OK"",
""NO COINCIDE. Valor verdadero: ""&amp;IF(valor="""",""[VACÍO]"",TO_TEXT(valor))
)
))))
),""ERROR EN FÓRMULA""))"),"NO COINCIDE. Valor verdadero: 33 x 60 x 120 (Ancho x Alto x Largo)")</f>
        <v>NO COINCIDE. Valor verdadero: 33 x 60 x 120 (Ancho x Alto x Largo)</v>
      </c>
    </row>
    <row r="1564">
      <c r="A1564" s="83" t="s">
        <v>4618</v>
      </c>
      <c r="B1564" s="83" t="s">
        <v>4619</v>
      </c>
      <c r="C1564" s="81" t="s">
        <v>4621</v>
      </c>
      <c r="D1564" s="83" t="s">
        <v>4408</v>
      </c>
      <c r="E1564" s="81" t="s">
        <v>1770</v>
      </c>
      <c r="F1564" s="84">
        <v>353.0</v>
      </c>
      <c r="G1564" s="81" t="s">
        <v>44</v>
      </c>
      <c r="H1564" s="81" t="s">
        <v>224</v>
      </c>
      <c r="I1564" s="81" t="s">
        <v>1401</v>
      </c>
      <c r="J1564" s="81" t="s">
        <v>4088</v>
      </c>
      <c r="K1564" s="81" t="str">
        <f>IFERROR(__xludf.DUMMYFUNCTION("IF(OR(D1564="""",G1564=""""),"""",IFERROR(LET(
campo,XLOOKUP(TRIM(G1564),ARRAYFORMULA(TRIM('indice columnas'!$A$2:$A$100)),'indice columnas'!$B$2:$B$100,""""),
col,IFERROR(MATCH(campo,Referencia!$A$1:$AZ$1,0),0),
fila,IFERROR(MATCH(TO_TEXT(D1564),ARRAYFOR"&amp;"MULA(TO_TEXT(Referencia!$A$2:$A6238)),0),0),
IF(OR(campo="""",campo=""-""),""NO APLICA"",
IF(col=0,""REVISAR EQUIVALENCIA"",
IF(fila=0,""SKU NO ENCONTRADO"",
LET(
valor,INDEX(Referencia!$A$2:$AZ6238,fila,col),
IF(TRIM(TO_TEXT(valor))=TRIM(TO_TEXT(I1564)),"&amp;"
""OK"",
""NO COINCIDE. Valor verdadero: ""&amp;IF(valor="""",""[VACÍO]"",TO_TEXT(valor))
)
))))
),""ERROR EN FÓRMULA""))"),"NO APLICA")</f>
        <v>NO APLICA</v>
      </c>
    </row>
    <row r="1565">
      <c r="A1565" s="83" t="s">
        <v>4618</v>
      </c>
      <c r="B1565" s="83" t="s">
        <v>4619</v>
      </c>
      <c r="C1565" s="81" t="s">
        <v>4621</v>
      </c>
      <c r="D1565" s="83" t="s">
        <v>4410</v>
      </c>
      <c r="E1565" s="81" t="s">
        <v>1772</v>
      </c>
      <c r="F1565" s="84">
        <v>354.0</v>
      </c>
      <c r="G1565" s="81" t="s">
        <v>12</v>
      </c>
      <c r="H1565" s="81" t="s">
        <v>224</v>
      </c>
      <c r="I1565" s="81" t="s">
        <v>55</v>
      </c>
      <c r="J1565" s="81" t="s">
        <v>224</v>
      </c>
      <c r="K1565" s="81" t="str">
        <f>IFERROR(__xludf.DUMMYFUNCTION("IF(OR(D1565="""",G1565=""""),"""",IFERROR(LET(
campo,XLOOKUP(TRIM(G1565),ARRAYFORMULA(TRIM('indice columnas'!$A$2:$A$100)),'indice columnas'!$B$2:$B$100,""""),
col,IFERROR(MATCH(campo,Referencia!$A$1:$AZ$1,0),0),
fila,IFERROR(MATCH(TO_TEXT(D1565),ARRAYFOR"&amp;"MULA(TO_TEXT(Referencia!$A$2:$A6238)),0),0),
IF(OR(campo="""",campo=""-""),""NO APLICA"",
IF(col=0,""REVISAR EQUIVALENCIA"",
IF(fila=0,""SKU NO ENCONTRADO"",
LET(
valor,INDEX(Referencia!$A$2:$AZ6238,fila,col),
IF(TRIM(TO_TEXT(valor))=TRIM(TO_TEXT(I1565)),"&amp;"
""OK"",
""NO COINCIDE. Valor verdadero: ""&amp;IF(valor="""",""[VACÍO]"",TO_TEXT(valor))
)
))))
),""ERROR EN FÓRMULA""))"),"OK")</f>
        <v>OK</v>
      </c>
    </row>
    <row r="1566">
      <c r="A1566" s="83" t="s">
        <v>4618</v>
      </c>
      <c r="B1566" s="83" t="s">
        <v>4619</v>
      </c>
      <c r="C1566" s="81" t="s">
        <v>4621</v>
      </c>
      <c r="D1566" s="83" t="s">
        <v>4410</v>
      </c>
      <c r="E1566" s="81" t="s">
        <v>1772</v>
      </c>
      <c r="F1566" s="84">
        <v>354.0</v>
      </c>
      <c r="G1566" s="81" t="s">
        <v>29</v>
      </c>
      <c r="H1566" s="81" t="s">
        <v>4409</v>
      </c>
      <c r="I1566" s="81" t="s">
        <v>1771</v>
      </c>
      <c r="J1566" s="81" t="s">
        <v>224</v>
      </c>
      <c r="K1566" s="81" t="str">
        <f>IFERROR(__xludf.DUMMYFUNCTION("IF(OR(D1566="""",G1566=""""),"""",IFERROR(LET(
campo,XLOOKUP(TRIM(G1566),ARRAYFORMULA(TRIM('indice columnas'!$A$2:$A$100)),'indice columnas'!$B$2:$B$100,""""),
col,IFERROR(MATCH(campo,Referencia!$A$1:$AZ$1,0),0),
fila,IFERROR(MATCH(TO_TEXT(D1566),ARRAYFOR"&amp;"MULA(TO_TEXT(Referencia!$A$2:$A6238)),0),0),
IF(OR(campo="""",campo=""-""),""NO APLICA"",
IF(col=0,""REVISAR EQUIVALENCIA"",
IF(fila=0,""SKU NO ENCONTRADO"",
LET(
valor,INDEX(Referencia!$A$2:$AZ6238,fila,col),
IF(TRIM(TO_TEXT(valor))=TRIM(TO_TEXT(I1566)),"&amp;"
""OK"",
""NO COINCIDE. Valor verdadero: ""&amp;IF(valor="""",""[VACÍO]"",TO_TEXT(valor))
)
))))
),""ERROR EN FÓRMULA""))"),"NO COINCIDE. Valor verdadero: 33 x 60 x 120 (Ancho x Alto x Largo)")</f>
        <v>NO COINCIDE. Valor verdadero: 33 x 60 x 120 (Ancho x Alto x Largo)</v>
      </c>
    </row>
    <row r="1567">
      <c r="A1567" s="83" t="s">
        <v>4618</v>
      </c>
      <c r="B1567" s="83" t="s">
        <v>4619</v>
      </c>
      <c r="C1567" s="81" t="s">
        <v>4621</v>
      </c>
      <c r="D1567" s="83" t="s">
        <v>4410</v>
      </c>
      <c r="E1567" s="81" t="s">
        <v>1772</v>
      </c>
      <c r="F1567" s="84">
        <v>354.0</v>
      </c>
      <c r="G1567" s="81" t="s">
        <v>44</v>
      </c>
      <c r="H1567" s="81" t="s">
        <v>224</v>
      </c>
      <c r="I1567" s="81" t="s">
        <v>1401</v>
      </c>
      <c r="J1567" s="81" t="s">
        <v>4088</v>
      </c>
      <c r="K1567" s="81" t="str">
        <f>IFERROR(__xludf.DUMMYFUNCTION("IF(OR(D1567="""",G1567=""""),"""",IFERROR(LET(
campo,XLOOKUP(TRIM(G1567),ARRAYFORMULA(TRIM('indice columnas'!$A$2:$A$100)),'indice columnas'!$B$2:$B$100,""""),
col,IFERROR(MATCH(campo,Referencia!$A$1:$AZ$1,0),0),
fila,IFERROR(MATCH(TO_TEXT(D1567),ARRAYFOR"&amp;"MULA(TO_TEXT(Referencia!$A$2:$A6238)),0),0),
IF(OR(campo="""",campo=""-""),""NO APLICA"",
IF(col=0,""REVISAR EQUIVALENCIA"",
IF(fila=0,""SKU NO ENCONTRADO"",
LET(
valor,INDEX(Referencia!$A$2:$AZ6238,fila,col),
IF(TRIM(TO_TEXT(valor))=TRIM(TO_TEXT(I1567)),"&amp;"
""OK"",
""NO COINCIDE. Valor verdadero: ""&amp;IF(valor="""",""[VACÍO]"",TO_TEXT(valor))
)
))))
),""ERROR EN FÓRMULA""))"),"NO APLICA")</f>
        <v>NO APLICA</v>
      </c>
    </row>
    <row r="1568">
      <c r="A1568" s="83" t="s">
        <v>4618</v>
      </c>
      <c r="B1568" s="83" t="s">
        <v>4619</v>
      </c>
      <c r="C1568" s="81" t="s">
        <v>4621</v>
      </c>
      <c r="D1568" s="83" t="s">
        <v>4411</v>
      </c>
      <c r="E1568" s="81" t="s">
        <v>1775</v>
      </c>
      <c r="F1568" s="84">
        <v>355.0</v>
      </c>
      <c r="G1568" s="81" t="s">
        <v>44</v>
      </c>
      <c r="H1568" s="81" t="s">
        <v>224</v>
      </c>
      <c r="I1568" s="81" t="s">
        <v>1775</v>
      </c>
      <c r="J1568" s="81" t="s">
        <v>4088</v>
      </c>
      <c r="K1568" s="81" t="str">
        <f>IFERROR(__xludf.DUMMYFUNCTION("IF(OR(D1568="""",G1568=""""),"""",IFERROR(LET(
campo,XLOOKUP(TRIM(G1568),ARRAYFORMULA(TRIM('indice columnas'!$A$2:$A$100)),'indice columnas'!$B$2:$B$100,""""),
col,IFERROR(MATCH(campo,Referencia!$A$1:$AZ$1,0),0),
fila,IFERROR(MATCH(TO_TEXT(D1568),ARRAYFOR"&amp;"MULA(TO_TEXT(Referencia!$A$2:$A6238)),0),0),
IF(OR(campo="""",campo=""-""),""NO APLICA"",
IF(col=0,""REVISAR EQUIVALENCIA"",
IF(fila=0,""SKU NO ENCONTRADO"",
LET(
valor,INDEX(Referencia!$A$2:$AZ6238,fila,col),
IF(TRIM(TO_TEXT(valor))=TRIM(TO_TEXT(I1568)),"&amp;"
""OK"",
""NO COINCIDE. Valor verdadero: ""&amp;IF(valor="""",""[VACÍO]"",TO_TEXT(valor))
)
))))
),""ERROR EN FÓRMULA""))"),"NO APLICA")</f>
        <v>NO APLICA</v>
      </c>
    </row>
    <row r="1569">
      <c r="A1569" s="83" t="s">
        <v>4618</v>
      </c>
      <c r="B1569" s="83" t="s">
        <v>4619</v>
      </c>
      <c r="C1569" s="81" t="s">
        <v>4621</v>
      </c>
      <c r="D1569" s="83" t="s">
        <v>4411</v>
      </c>
      <c r="E1569" s="81" t="s">
        <v>1789</v>
      </c>
      <c r="F1569" s="84">
        <v>356.0</v>
      </c>
      <c r="G1569" s="81" t="s">
        <v>12</v>
      </c>
      <c r="H1569" s="81" t="s">
        <v>224</v>
      </c>
      <c r="I1569" s="81" t="s">
        <v>1549</v>
      </c>
      <c r="J1569" s="81" t="s">
        <v>224</v>
      </c>
      <c r="K1569" s="81" t="str">
        <f>IFERROR(__xludf.DUMMYFUNCTION("IF(OR(D1569="""",G1569=""""),"""",IFERROR(LET(
campo,XLOOKUP(TRIM(G1569),ARRAYFORMULA(TRIM('indice columnas'!$A$2:$A$100)),'indice columnas'!$B$2:$B$100,""""),
col,IFERROR(MATCH(campo,Referencia!$A$1:$AZ$1,0),0),
fila,IFERROR(MATCH(TO_TEXT(D1569),ARRAYFOR"&amp;"MULA(TO_TEXT(Referencia!$A$2:$A6238)),0),0),
IF(OR(campo="""",campo=""-""),""NO APLICA"",
IF(col=0,""REVISAR EQUIVALENCIA"",
IF(fila=0,""SKU NO ENCONTRADO"",
LET(
valor,INDEX(Referencia!$A$2:$AZ6238,fila,col),
IF(TRIM(TO_TEXT(valor))=TRIM(TO_TEXT(I1569)),"&amp;"
""OK"",
""NO COINCIDE. Valor verdadero: ""&amp;IF(valor="""",""[VACÍO]"",TO_TEXT(valor))
)
))))
),""ERROR EN FÓRMULA""))"),"OK")</f>
        <v>OK</v>
      </c>
    </row>
    <row r="1570">
      <c r="A1570" s="83" t="s">
        <v>4618</v>
      </c>
      <c r="B1570" s="83" t="s">
        <v>4619</v>
      </c>
      <c r="C1570" s="81" t="s">
        <v>4621</v>
      </c>
      <c r="D1570" s="83" t="s">
        <v>4411</v>
      </c>
      <c r="E1570" s="81" t="s">
        <v>1789</v>
      </c>
      <c r="F1570" s="84">
        <v>356.0</v>
      </c>
      <c r="G1570" s="81" t="s">
        <v>44</v>
      </c>
      <c r="H1570" s="81" t="s">
        <v>224</v>
      </c>
      <c r="I1570" s="81" t="s">
        <v>1775</v>
      </c>
      <c r="J1570" s="81" t="s">
        <v>4088</v>
      </c>
      <c r="K1570" s="81" t="str">
        <f>IFERROR(__xludf.DUMMYFUNCTION("IF(OR(D1570="""",G1570=""""),"""",IFERROR(LET(
campo,XLOOKUP(TRIM(G1570),ARRAYFORMULA(TRIM('indice columnas'!$A$2:$A$100)),'indice columnas'!$B$2:$B$100,""""),
col,IFERROR(MATCH(campo,Referencia!$A$1:$AZ$1,0),0),
fila,IFERROR(MATCH(TO_TEXT(D1570),ARRAYFOR"&amp;"MULA(TO_TEXT(Referencia!$A$2:$A6238)),0),0),
IF(OR(campo="""",campo=""-""),""NO APLICA"",
IF(col=0,""REVISAR EQUIVALENCIA"",
IF(fila=0,""SKU NO ENCONTRADO"",
LET(
valor,INDEX(Referencia!$A$2:$AZ6238,fila,col),
IF(TRIM(TO_TEXT(valor))=TRIM(TO_TEXT(I1570)),"&amp;"
""OK"",
""NO COINCIDE. Valor verdadero: ""&amp;IF(valor="""",""[VACÍO]"",TO_TEXT(valor))
)
))))
),""ERROR EN FÓRMULA""))"),"NO APLICA")</f>
        <v>NO APLICA</v>
      </c>
    </row>
    <row r="1571">
      <c r="A1571" s="83" t="s">
        <v>4618</v>
      </c>
      <c r="B1571" s="83" t="s">
        <v>4619</v>
      </c>
      <c r="C1571" s="81" t="s">
        <v>4621</v>
      </c>
      <c r="D1571" s="83" t="s">
        <v>4412</v>
      </c>
      <c r="E1571" s="81" t="s">
        <v>1790</v>
      </c>
      <c r="F1571" s="84">
        <v>357.0</v>
      </c>
      <c r="G1571" s="81" t="s">
        <v>12</v>
      </c>
      <c r="H1571" s="81" t="s">
        <v>224</v>
      </c>
      <c r="I1571" s="81" t="s">
        <v>1549</v>
      </c>
      <c r="J1571" s="81" t="s">
        <v>224</v>
      </c>
      <c r="K1571" s="81" t="str">
        <f>IFERROR(__xludf.DUMMYFUNCTION("IF(OR(D1571="""",G1571=""""),"""",IFERROR(LET(
campo,XLOOKUP(TRIM(G1571),ARRAYFORMULA(TRIM('indice columnas'!$A$2:$A$100)),'indice columnas'!$B$2:$B$100,""""),
col,IFERROR(MATCH(campo,Referencia!$A$1:$AZ$1,0),0),
fila,IFERROR(MATCH(TO_TEXT(D1571),ARRAYFOR"&amp;"MULA(TO_TEXT(Referencia!$A$2:$A6238)),0),0),
IF(OR(campo="""",campo=""-""),""NO APLICA"",
IF(col=0,""REVISAR EQUIVALENCIA"",
IF(fila=0,""SKU NO ENCONTRADO"",
LET(
valor,INDEX(Referencia!$A$2:$AZ6238,fila,col),
IF(TRIM(TO_TEXT(valor))=TRIM(TO_TEXT(I1571)),"&amp;"
""OK"",
""NO COINCIDE. Valor verdadero: ""&amp;IF(valor="""",""[VACÍO]"",TO_TEXT(valor))
)
))))
),""ERROR EN FÓRMULA""))"),"OK")</f>
        <v>OK</v>
      </c>
    </row>
    <row r="1572">
      <c r="A1572" s="83" t="s">
        <v>4618</v>
      </c>
      <c r="B1572" s="83" t="s">
        <v>4619</v>
      </c>
      <c r="C1572" s="81" t="s">
        <v>4621</v>
      </c>
      <c r="D1572" s="83" t="s">
        <v>4412</v>
      </c>
      <c r="E1572" s="81" t="s">
        <v>1790</v>
      </c>
      <c r="F1572" s="84">
        <v>357.0</v>
      </c>
      <c r="G1572" s="81" t="s">
        <v>44</v>
      </c>
      <c r="H1572" s="81" t="s">
        <v>224</v>
      </c>
      <c r="I1572" s="81" t="s">
        <v>1775</v>
      </c>
      <c r="J1572" s="81" t="s">
        <v>4088</v>
      </c>
      <c r="K1572" s="81" t="str">
        <f>IFERROR(__xludf.DUMMYFUNCTION("IF(OR(D1572="""",G1572=""""),"""",IFERROR(LET(
campo,XLOOKUP(TRIM(G1572),ARRAYFORMULA(TRIM('indice columnas'!$A$2:$A$100)),'indice columnas'!$B$2:$B$100,""""),
col,IFERROR(MATCH(campo,Referencia!$A$1:$AZ$1,0),0),
fila,IFERROR(MATCH(TO_TEXT(D1572),ARRAYFOR"&amp;"MULA(TO_TEXT(Referencia!$A$2:$A6238)),0),0),
IF(OR(campo="""",campo=""-""),""NO APLICA"",
IF(col=0,""REVISAR EQUIVALENCIA"",
IF(fila=0,""SKU NO ENCONTRADO"",
LET(
valor,INDEX(Referencia!$A$2:$AZ6238,fila,col),
IF(TRIM(TO_TEXT(valor))=TRIM(TO_TEXT(I1572)),"&amp;"
""OK"",
""NO COINCIDE. Valor verdadero: ""&amp;IF(valor="""",""[VACÍO]"",TO_TEXT(valor))
)
))))
),""ERROR EN FÓRMULA""))"),"NO APLICA")</f>
        <v>NO APLICA</v>
      </c>
    </row>
    <row r="1573">
      <c r="A1573" s="83" t="s">
        <v>4618</v>
      </c>
      <c r="B1573" s="83" t="s">
        <v>4619</v>
      </c>
      <c r="C1573" s="81" t="s">
        <v>4621</v>
      </c>
      <c r="D1573" s="83" t="s">
        <v>4413</v>
      </c>
      <c r="E1573" s="81" t="s">
        <v>1794</v>
      </c>
      <c r="F1573" s="84">
        <v>358.0</v>
      </c>
      <c r="G1573" s="81" t="s">
        <v>44</v>
      </c>
      <c r="H1573" s="81" t="s">
        <v>224</v>
      </c>
      <c r="I1573" s="81" t="s">
        <v>1794</v>
      </c>
      <c r="J1573" s="81" t="s">
        <v>4088</v>
      </c>
      <c r="K1573" s="81" t="str">
        <f>IFERROR(__xludf.DUMMYFUNCTION("IF(OR(D1573="""",G1573=""""),"""",IFERROR(LET(
campo,XLOOKUP(TRIM(G1573),ARRAYFORMULA(TRIM('indice columnas'!$A$2:$A$100)),'indice columnas'!$B$2:$B$100,""""),
col,IFERROR(MATCH(campo,Referencia!$A$1:$AZ$1,0),0),
fila,IFERROR(MATCH(TO_TEXT(D1573),ARRAYFOR"&amp;"MULA(TO_TEXT(Referencia!$A$2:$A6238)),0),0),
IF(OR(campo="""",campo=""-""),""NO APLICA"",
IF(col=0,""REVISAR EQUIVALENCIA"",
IF(fila=0,""SKU NO ENCONTRADO"",
LET(
valor,INDEX(Referencia!$A$2:$AZ6238,fila,col),
IF(TRIM(TO_TEXT(valor))=TRIM(TO_TEXT(I1573)),"&amp;"
""OK"",
""NO COINCIDE. Valor verdadero: ""&amp;IF(valor="""",""[VACÍO]"",TO_TEXT(valor))
)
))))
),""ERROR EN FÓRMULA""))"),"NO APLICA")</f>
        <v>NO APLICA</v>
      </c>
    </row>
    <row r="1574">
      <c r="A1574" s="83" t="s">
        <v>4618</v>
      </c>
      <c r="B1574" s="83" t="s">
        <v>4619</v>
      </c>
      <c r="C1574" s="81" t="s">
        <v>4621</v>
      </c>
      <c r="D1574" s="83" t="s">
        <v>4413</v>
      </c>
      <c r="E1574" s="81" t="s">
        <v>1808</v>
      </c>
      <c r="F1574" s="84">
        <v>359.0</v>
      </c>
      <c r="G1574" s="81" t="s">
        <v>44</v>
      </c>
      <c r="H1574" s="81" t="s">
        <v>224</v>
      </c>
      <c r="I1574" s="81" t="s">
        <v>1794</v>
      </c>
      <c r="J1574" s="81" t="s">
        <v>4088</v>
      </c>
      <c r="K1574" s="81" t="str">
        <f>IFERROR(__xludf.DUMMYFUNCTION("IF(OR(D1574="""",G1574=""""),"""",IFERROR(LET(
campo,XLOOKUP(TRIM(G1574),ARRAYFORMULA(TRIM('indice columnas'!$A$2:$A$100)),'indice columnas'!$B$2:$B$100,""""),
col,IFERROR(MATCH(campo,Referencia!$A$1:$AZ$1,0),0),
fila,IFERROR(MATCH(TO_TEXT(D1574),ARRAYFOR"&amp;"MULA(TO_TEXT(Referencia!$A$2:$A6238)),0),0),
IF(OR(campo="""",campo=""-""),""NO APLICA"",
IF(col=0,""REVISAR EQUIVALENCIA"",
IF(fila=0,""SKU NO ENCONTRADO"",
LET(
valor,INDEX(Referencia!$A$2:$AZ6238,fila,col),
IF(TRIM(TO_TEXT(valor))=TRIM(TO_TEXT(I1574)),"&amp;"
""OK"",
""NO COINCIDE. Valor verdadero: ""&amp;IF(valor="""",""[VACÍO]"",TO_TEXT(valor))
)
))))
),""ERROR EN FÓRMULA""))"),"NO APLICA")</f>
        <v>NO APLICA</v>
      </c>
    </row>
    <row r="1575">
      <c r="A1575" s="83" t="s">
        <v>4618</v>
      </c>
      <c r="B1575" s="83" t="s">
        <v>4619</v>
      </c>
      <c r="C1575" s="81" t="s">
        <v>4621</v>
      </c>
      <c r="D1575" s="83" t="s">
        <v>4414</v>
      </c>
      <c r="E1575" s="81" t="s">
        <v>1810</v>
      </c>
      <c r="F1575" s="84">
        <v>360.0</v>
      </c>
      <c r="G1575" s="81" t="s">
        <v>44</v>
      </c>
      <c r="H1575" s="81" t="s">
        <v>224</v>
      </c>
      <c r="I1575" s="81" t="s">
        <v>1794</v>
      </c>
      <c r="J1575" s="81" t="s">
        <v>4088</v>
      </c>
      <c r="K1575" s="81" t="str">
        <f>IFERROR(__xludf.DUMMYFUNCTION("IF(OR(D1575="""",G1575=""""),"""",IFERROR(LET(
campo,XLOOKUP(TRIM(G1575),ARRAYFORMULA(TRIM('indice columnas'!$A$2:$A$100)),'indice columnas'!$B$2:$B$100,""""),
col,IFERROR(MATCH(campo,Referencia!$A$1:$AZ$1,0),0),
fila,IFERROR(MATCH(TO_TEXT(D1575),ARRAYFOR"&amp;"MULA(TO_TEXT(Referencia!$A$2:$A6238)),0),0),
IF(OR(campo="""",campo=""-""),""NO APLICA"",
IF(col=0,""REVISAR EQUIVALENCIA"",
IF(fila=0,""SKU NO ENCONTRADO"",
LET(
valor,INDEX(Referencia!$A$2:$AZ6238,fila,col),
IF(TRIM(TO_TEXT(valor))=TRIM(TO_TEXT(I1575)),"&amp;"
""OK"",
""NO COINCIDE. Valor verdadero: ""&amp;IF(valor="""",""[VACÍO]"",TO_TEXT(valor))
)
))))
),""ERROR EN FÓRMULA""))"),"NO APLICA")</f>
        <v>NO APLICA</v>
      </c>
    </row>
    <row r="1576">
      <c r="A1576" s="83" t="s">
        <v>4618</v>
      </c>
      <c r="B1576" s="83" t="s">
        <v>4619</v>
      </c>
      <c r="C1576" s="81" t="s">
        <v>4621</v>
      </c>
      <c r="D1576" s="83" t="s">
        <v>4415</v>
      </c>
      <c r="E1576" s="81" t="s">
        <v>1813</v>
      </c>
      <c r="F1576" s="84">
        <v>361.0</v>
      </c>
      <c r="G1576" s="81" t="s">
        <v>44</v>
      </c>
      <c r="H1576" s="81" t="s">
        <v>224</v>
      </c>
      <c r="I1576" s="81" t="s">
        <v>1794</v>
      </c>
      <c r="J1576" s="81" t="s">
        <v>4088</v>
      </c>
      <c r="K1576" s="81" t="str">
        <f>IFERROR(__xludf.DUMMYFUNCTION("IF(OR(D1576="""",G1576=""""),"""",IFERROR(LET(
campo,XLOOKUP(TRIM(G1576),ARRAYFORMULA(TRIM('indice columnas'!$A$2:$A$100)),'indice columnas'!$B$2:$B$100,""""),
col,IFERROR(MATCH(campo,Referencia!$A$1:$AZ$1,0),0),
fila,IFERROR(MATCH(TO_TEXT(D1576),ARRAYFOR"&amp;"MULA(TO_TEXT(Referencia!$A$2:$A6238)),0),0),
IF(OR(campo="""",campo=""-""),""NO APLICA"",
IF(col=0,""REVISAR EQUIVALENCIA"",
IF(fila=0,""SKU NO ENCONTRADO"",
LET(
valor,INDEX(Referencia!$A$2:$AZ6238,fila,col),
IF(TRIM(TO_TEXT(valor))=TRIM(TO_TEXT(I1576)),"&amp;"
""OK"",
""NO COINCIDE. Valor verdadero: ""&amp;IF(valor="""",""[VACÍO]"",TO_TEXT(valor))
)
))))
),""ERROR EN FÓRMULA""))"),"NO APLICA")</f>
        <v>NO APLICA</v>
      </c>
    </row>
    <row r="1577">
      <c r="A1577" s="83" t="s">
        <v>4618</v>
      </c>
      <c r="B1577" s="83" t="s">
        <v>4619</v>
      </c>
      <c r="C1577" s="81" t="s">
        <v>4621</v>
      </c>
      <c r="D1577" s="83" t="s">
        <v>4416</v>
      </c>
      <c r="E1577" s="81" t="s">
        <v>1822</v>
      </c>
      <c r="F1577" s="84">
        <v>362.0</v>
      </c>
      <c r="G1577" s="81" t="s">
        <v>44</v>
      </c>
      <c r="H1577" s="81" t="s">
        <v>224</v>
      </c>
      <c r="I1577" s="81" t="s">
        <v>1794</v>
      </c>
      <c r="J1577" s="81" t="s">
        <v>4088</v>
      </c>
      <c r="K1577" s="81" t="str">
        <f>IFERROR(__xludf.DUMMYFUNCTION("IF(OR(D1577="""",G1577=""""),"""",IFERROR(LET(
campo,XLOOKUP(TRIM(G1577),ARRAYFORMULA(TRIM('indice columnas'!$A$2:$A$100)),'indice columnas'!$B$2:$B$100,""""),
col,IFERROR(MATCH(campo,Referencia!$A$1:$AZ$1,0),0),
fila,IFERROR(MATCH(TO_TEXT(D1577),ARRAYFOR"&amp;"MULA(TO_TEXT(Referencia!$A$2:$A6238)),0),0),
IF(OR(campo="""",campo=""-""),""NO APLICA"",
IF(col=0,""REVISAR EQUIVALENCIA"",
IF(fila=0,""SKU NO ENCONTRADO"",
LET(
valor,INDEX(Referencia!$A$2:$AZ6238,fila,col),
IF(TRIM(TO_TEXT(valor))=TRIM(TO_TEXT(I1577)),"&amp;"
""OK"",
""NO COINCIDE. Valor verdadero: ""&amp;IF(valor="""",""[VACÍO]"",TO_TEXT(valor))
)
))))
),""ERROR EN FÓRMULA""))"),"NO APLICA")</f>
        <v>NO APLICA</v>
      </c>
    </row>
    <row r="1578">
      <c r="A1578" s="83" t="s">
        <v>4618</v>
      </c>
      <c r="B1578" s="83" t="s">
        <v>4619</v>
      </c>
      <c r="C1578" s="81" t="s">
        <v>4621</v>
      </c>
      <c r="D1578" s="83" t="s">
        <v>4417</v>
      </c>
      <c r="E1578" s="81" t="s">
        <v>1825</v>
      </c>
      <c r="F1578" s="84">
        <v>363.0</v>
      </c>
      <c r="G1578" s="81" t="s">
        <v>44</v>
      </c>
      <c r="H1578" s="81" t="s">
        <v>4418</v>
      </c>
      <c r="I1578" s="81" t="s">
        <v>1825</v>
      </c>
      <c r="J1578" s="81" t="s">
        <v>4088</v>
      </c>
      <c r="K1578" s="81" t="str">
        <f>IFERROR(__xludf.DUMMYFUNCTION("IF(OR(D1578="""",G1578=""""),"""",IFERROR(LET(
campo,XLOOKUP(TRIM(G1578),ARRAYFORMULA(TRIM('indice columnas'!$A$2:$A$100)),'indice columnas'!$B$2:$B$100,""""),
col,IFERROR(MATCH(campo,Referencia!$A$1:$AZ$1,0),0),
fila,IFERROR(MATCH(TO_TEXT(D1578),ARRAYFOR"&amp;"MULA(TO_TEXT(Referencia!$A$2:$A6238)),0),0),
IF(OR(campo="""",campo=""-""),""NO APLICA"",
IF(col=0,""REVISAR EQUIVALENCIA"",
IF(fila=0,""SKU NO ENCONTRADO"",
LET(
valor,INDEX(Referencia!$A$2:$AZ6238,fila,col),
IF(TRIM(TO_TEXT(valor))=TRIM(TO_TEXT(I1578)),"&amp;"
""OK"",
""NO COINCIDE. Valor verdadero: ""&amp;IF(valor="""",""[VACÍO]"",TO_TEXT(valor))
)
))))
),""ERROR EN FÓRMULA""))"),"NO APLICA")</f>
        <v>NO APLICA</v>
      </c>
    </row>
    <row r="1579">
      <c r="A1579" s="83" t="s">
        <v>4618</v>
      </c>
      <c r="B1579" s="83" t="s">
        <v>4619</v>
      </c>
      <c r="C1579" s="81" t="s">
        <v>4621</v>
      </c>
      <c r="D1579" s="83" t="s">
        <v>4417</v>
      </c>
      <c r="E1579" s="81" t="s">
        <v>1842</v>
      </c>
      <c r="F1579" s="84">
        <v>364.0</v>
      </c>
      <c r="G1579" s="81" t="s">
        <v>44</v>
      </c>
      <c r="H1579" s="81" t="s">
        <v>4418</v>
      </c>
      <c r="I1579" s="81" t="s">
        <v>1825</v>
      </c>
      <c r="J1579" s="81" t="s">
        <v>4088</v>
      </c>
      <c r="K1579" s="81" t="str">
        <f>IFERROR(__xludf.DUMMYFUNCTION("IF(OR(D1579="""",G1579=""""),"""",IFERROR(LET(
campo,XLOOKUP(TRIM(G1579),ARRAYFORMULA(TRIM('indice columnas'!$A$2:$A$100)),'indice columnas'!$B$2:$B$100,""""),
col,IFERROR(MATCH(campo,Referencia!$A$1:$AZ$1,0),0),
fila,IFERROR(MATCH(TO_TEXT(D1579),ARRAYFOR"&amp;"MULA(TO_TEXT(Referencia!$A$2:$A6238)),0),0),
IF(OR(campo="""",campo=""-""),""NO APLICA"",
IF(col=0,""REVISAR EQUIVALENCIA"",
IF(fila=0,""SKU NO ENCONTRADO"",
LET(
valor,INDEX(Referencia!$A$2:$AZ6238,fila,col),
IF(TRIM(TO_TEXT(valor))=TRIM(TO_TEXT(I1579)),"&amp;"
""OK"",
""NO COINCIDE. Valor verdadero: ""&amp;IF(valor="""",""[VACÍO]"",TO_TEXT(valor))
)
))))
),""ERROR EN FÓRMULA""))"),"NO APLICA")</f>
        <v>NO APLICA</v>
      </c>
    </row>
    <row r="1580">
      <c r="A1580" s="83" t="s">
        <v>4618</v>
      </c>
      <c r="B1580" s="83" t="s">
        <v>4619</v>
      </c>
      <c r="C1580" s="81" t="s">
        <v>4621</v>
      </c>
      <c r="D1580" s="83" t="s">
        <v>4419</v>
      </c>
      <c r="E1580" s="81" t="s">
        <v>1843</v>
      </c>
      <c r="F1580" s="84">
        <v>365.0</v>
      </c>
      <c r="G1580" s="81" t="s">
        <v>44</v>
      </c>
      <c r="H1580" s="81" t="s">
        <v>4418</v>
      </c>
      <c r="I1580" s="81" t="s">
        <v>1825</v>
      </c>
      <c r="J1580" s="81" t="s">
        <v>4088</v>
      </c>
      <c r="K1580" s="81" t="str">
        <f>IFERROR(__xludf.DUMMYFUNCTION("IF(OR(D1580="""",G1580=""""),"""",IFERROR(LET(
campo,XLOOKUP(TRIM(G1580),ARRAYFORMULA(TRIM('indice columnas'!$A$2:$A$100)),'indice columnas'!$B$2:$B$100,""""),
col,IFERROR(MATCH(campo,Referencia!$A$1:$AZ$1,0),0),
fila,IFERROR(MATCH(TO_TEXT(D1580),ARRAYFOR"&amp;"MULA(TO_TEXT(Referencia!$A$2:$A6238)),0),0),
IF(OR(campo="""",campo=""-""),""NO APLICA"",
IF(col=0,""REVISAR EQUIVALENCIA"",
IF(fila=0,""SKU NO ENCONTRADO"",
LET(
valor,INDEX(Referencia!$A$2:$AZ6238,fila,col),
IF(TRIM(TO_TEXT(valor))=TRIM(TO_TEXT(I1580)),"&amp;"
""OK"",
""NO COINCIDE. Valor verdadero: ""&amp;IF(valor="""",""[VACÍO]"",TO_TEXT(valor))
)
))))
),""ERROR EN FÓRMULA""))"),"NO APLICA")</f>
        <v>NO APLICA</v>
      </c>
    </row>
    <row r="1581">
      <c r="A1581" s="83" t="s">
        <v>4618</v>
      </c>
      <c r="B1581" s="83" t="s">
        <v>4619</v>
      </c>
      <c r="C1581" s="81" t="s">
        <v>4621</v>
      </c>
      <c r="D1581" s="83" t="s">
        <v>4420</v>
      </c>
      <c r="E1581" s="81" t="s">
        <v>1844</v>
      </c>
      <c r="F1581" s="84">
        <v>366.0</v>
      </c>
      <c r="G1581" s="81" t="s">
        <v>12</v>
      </c>
      <c r="H1581" s="81" t="s">
        <v>224</v>
      </c>
      <c r="I1581" s="81" t="s">
        <v>55</v>
      </c>
      <c r="J1581" s="81" t="s">
        <v>224</v>
      </c>
      <c r="K1581" s="81" t="str">
        <f>IFERROR(__xludf.DUMMYFUNCTION("IF(OR(D1581="""",G1581=""""),"""",IFERROR(LET(
campo,XLOOKUP(TRIM(G1581),ARRAYFORMULA(TRIM('indice columnas'!$A$2:$A$100)),'indice columnas'!$B$2:$B$100,""""),
col,IFERROR(MATCH(campo,Referencia!$A$1:$AZ$1,0),0),
fila,IFERROR(MATCH(TO_TEXT(D1581),ARRAYFOR"&amp;"MULA(TO_TEXT(Referencia!$A$2:$A6238)),0),0),
IF(OR(campo="""",campo=""-""),""NO APLICA"",
IF(col=0,""REVISAR EQUIVALENCIA"",
IF(fila=0,""SKU NO ENCONTRADO"",
LET(
valor,INDEX(Referencia!$A$2:$AZ6238,fila,col),
IF(TRIM(TO_TEXT(valor))=TRIM(TO_TEXT(I1581)),"&amp;"
""OK"",
""NO COINCIDE. Valor verdadero: ""&amp;IF(valor="""",""[VACÍO]"",TO_TEXT(valor))
)
))))
),""ERROR EN FÓRMULA""))"),"OK")</f>
        <v>OK</v>
      </c>
    </row>
    <row r="1582">
      <c r="A1582" s="83" t="s">
        <v>4618</v>
      </c>
      <c r="B1582" s="83" t="s">
        <v>4619</v>
      </c>
      <c r="C1582" s="81" t="s">
        <v>4621</v>
      </c>
      <c r="D1582" s="83" t="s">
        <v>4420</v>
      </c>
      <c r="E1582" s="81" t="s">
        <v>1844</v>
      </c>
      <c r="F1582" s="84">
        <v>366.0</v>
      </c>
      <c r="G1582" s="81" t="s">
        <v>44</v>
      </c>
      <c r="H1582" s="81" t="s">
        <v>4418</v>
      </c>
      <c r="I1582" s="81" t="s">
        <v>1825</v>
      </c>
      <c r="J1582" s="81" t="s">
        <v>4088</v>
      </c>
      <c r="K1582" s="81" t="str">
        <f>IFERROR(__xludf.DUMMYFUNCTION("IF(OR(D1582="""",G1582=""""),"""",IFERROR(LET(
campo,XLOOKUP(TRIM(G1582),ARRAYFORMULA(TRIM('indice columnas'!$A$2:$A$100)),'indice columnas'!$B$2:$B$100,""""),
col,IFERROR(MATCH(campo,Referencia!$A$1:$AZ$1,0),0),
fila,IFERROR(MATCH(TO_TEXT(D1582),ARRAYFOR"&amp;"MULA(TO_TEXT(Referencia!$A$2:$A6238)),0),0),
IF(OR(campo="""",campo=""-""),""NO APLICA"",
IF(col=0,""REVISAR EQUIVALENCIA"",
IF(fila=0,""SKU NO ENCONTRADO"",
LET(
valor,INDEX(Referencia!$A$2:$AZ6238,fila,col),
IF(TRIM(TO_TEXT(valor))=TRIM(TO_TEXT(I1582)),"&amp;"
""OK"",
""NO COINCIDE. Valor verdadero: ""&amp;IF(valor="""",""[VACÍO]"",TO_TEXT(valor))
)
))))
),""ERROR EN FÓRMULA""))"),"NO APLICA")</f>
        <v>NO APLICA</v>
      </c>
    </row>
    <row r="1583">
      <c r="A1583" s="83" t="s">
        <v>4618</v>
      </c>
      <c r="B1583" s="83" t="s">
        <v>4619</v>
      </c>
      <c r="C1583" s="81" t="s">
        <v>4621</v>
      </c>
      <c r="D1583" s="83" t="s">
        <v>4421</v>
      </c>
      <c r="E1583" s="81" t="s">
        <v>1848</v>
      </c>
      <c r="F1583" s="84">
        <v>367.0</v>
      </c>
      <c r="G1583" s="81" t="s">
        <v>12</v>
      </c>
      <c r="H1583" s="81" t="s">
        <v>224</v>
      </c>
      <c r="I1583" s="81" t="s">
        <v>55</v>
      </c>
      <c r="J1583" s="81" t="s">
        <v>224</v>
      </c>
      <c r="K1583" s="81" t="str">
        <f>IFERROR(__xludf.DUMMYFUNCTION("IF(OR(D1583="""",G1583=""""),"""",IFERROR(LET(
campo,XLOOKUP(TRIM(G1583),ARRAYFORMULA(TRIM('indice columnas'!$A$2:$A$100)),'indice columnas'!$B$2:$B$100,""""),
col,IFERROR(MATCH(campo,Referencia!$A$1:$AZ$1,0),0),
fila,IFERROR(MATCH(TO_TEXT(D1583),ARRAYFOR"&amp;"MULA(TO_TEXT(Referencia!$A$2:$A6238)),0),0),
IF(OR(campo="""",campo=""-""),""NO APLICA"",
IF(col=0,""REVISAR EQUIVALENCIA"",
IF(fila=0,""SKU NO ENCONTRADO"",
LET(
valor,INDEX(Referencia!$A$2:$AZ6238,fila,col),
IF(TRIM(TO_TEXT(valor))=TRIM(TO_TEXT(I1583)),"&amp;"
""OK"",
""NO COINCIDE. Valor verdadero: ""&amp;IF(valor="""",""[VACÍO]"",TO_TEXT(valor))
)
))))
),""ERROR EN FÓRMULA""))"),"OK")</f>
        <v>OK</v>
      </c>
    </row>
    <row r="1584">
      <c r="A1584" s="83" t="s">
        <v>4618</v>
      </c>
      <c r="B1584" s="83" t="s">
        <v>4619</v>
      </c>
      <c r="C1584" s="81" t="s">
        <v>4621</v>
      </c>
      <c r="D1584" s="83" t="s">
        <v>4421</v>
      </c>
      <c r="E1584" s="81" t="s">
        <v>1848</v>
      </c>
      <c r="F1584" s="84">
        <v>367.0</v>
      </c>
      <c r="G1584" s="81" t="s">
        <v>44</v>
      </c>
      <c r="H1584" s="81" t="s">
        <v>4418</v>
      </c>
      <c r="I1584" s="81" t="s">
        <v>1825</v>
      </c>
      <c r="J1584" s="81" t="s">
        <v>4088</v>
      </c>
      <c r="K1584" s="81" t="str">
        <f>IFERROR(__xludf.DUMMYFUNCTION("IF(OR(D1584="""",G1584=""""),"""",IFERROR(LET(
campo,XLOOKUP(TRIM(G1584),ARRAYFORMULA(TRIM('indice columnas'!$A$2:$A$100)),'indice columnas'!$B$2:$B$100,""""),
col,IFERROR(MATCH(campo,Referencia!$A$1:$AZ$1,0),0),
fila,IFERROR(MATCH(TO_TEXT(D1584),ARRAYFOR"&amp;"MULA(TO_TEXT(Referencia!$A$2:$A6238)),0),0),
IF(OR(campo="""",campo=""-""),""NO APLICA"",
IF(col=0,""REVISAR EQUIVALENCIA"",
IF(fila=0,""SKU NO ENCONTRADO"",
LET(
valor,INDEX(Referencia!$A$2:$AZ6238,fila,col),
IF(TRIM(TO_TEXT(valor))=TRIM(TO_TEXT(I1584)),"&amp;"
""OK"",
""NO COINCIDE. Valor verdadero: ""&amp;IF(valor="""",""[VACÍO]"",TO_TEXT(valor))
)
))))
),""ERROR EN FÓRMULA""))"),"NO APLICA")</f>
        <v>NO APLICA</v>
      </c>
    </row>
    <row r="1585">
      <c r="A1585" s="83" t="s">
        <v>4618</v>
      </c>
      <c r="B1585" s="83" t="s">
        <v>4619</v>
      </c>
      <c r="C1585" s="81" t="s">
        <v>4621</v>
      </c>
      <c r="D1585" s="83" t="s">
        <v>4422</v>
      </c>
      <c r="E1585" s="81" t="s">
        <v>1849</v>
      </c>
      <c r="F1585" s="84">
        <v>368.0</v>
      </c>
      <c r="G1585" s="81" t="s">
        <v>44</v>
      </c>
      <c r="H1585" s="81" t="s">
        <v>4418</v>
      </c>
      <c r="I1585" s="81" t="s">
        <v>1825</v>
      </c>
      <c r="J1585" s="81" t="s">
        <v>4088</v>
      </c>
      <c r="K1585" s="81" t="str">
        <f>IFERROR(__xludf.DUMMYFUNCTION("IF(OR(D1585="""",G1585=""""),"""",IFERROR(LET(
campo,XLOOKUP(TRIM(G1585),ARRAYFORMULA(TRIM('indice columnas'!$A$2:$A$100)),'indice columnas'!$B$2:$B$100,""""),
col,IFERROR(MATCH(campo,Referencia!$A$1:$AZ$1,0),0),
fila,IFERROR(MATCH(TO_TEXT(D1585),ARRAYFOR"&amp;"MULA(TO_TEXT(Referencia!$A$2:$A6238)),0),0),
IF(OR(campo="""",campo=""-""),""NO APLICA"",
IF(col=0,""REVISAR EQUIVALENCIA"",
IF(fila=0,""SKU NO ENCONTRADO"",
LET(
valor,INDEX(Referencia!$A$2:$AZ6238,fila,col),
IF(TRIM(TO_TEXT(valor))=TRIM(TO_TEXT(I1585)),"&amp;"
""OK"",
""NO COINCIDE. Valor verdadero: ""&amp;IF(valor="""",""[VACÍO]"",TO_TEXT(valor))
)
))))
),""ERROR EN FÓRMULA""))"),"NO APLICA")</f>
        <v>NO APLICA</v>
      </c>
    </row>
    <row r="1586">
      <c r="A1586" s="83" t="s">
        <v>4618</v>
      </c>
      <c r="B1586" s="83" t="s">
        <v>4619</v>
      </c>
      <c r="C1586" s="81" t="s">
        <v>4621</v>
      </c>
      <c r="D1586" s="83" t="s">
        <v>4423</v>
      </c>
      <c r="E1586" s="81" t="s">
        <v>1860</v>
      </c>
      <c r="F1586" s="84">
        <v>369.0</v>
      </c>
      <c r="G1586" s="81" t="s">
        <v>44</v>
      </c>
      <c r="H1586" s="81" t="s">
        <v>4418</v>
      </c>
      <c r="I1586" s="81" t="s">
        <v>1825</v>
      </c>
      <c r="J1586" s="81" t="s">
        <v>4088</v>
      </c>
      <c r="K1586" s="81" t="str">
        <f>IFERROR(__xludf.DUMMYFUNCTION("IF(OR(D1586="""",G1586=""""),"""",IFERROR(LET(
campo,XLOOKUP(TRIM(G1586),ARRAYFORMULA(TRIM('indice columnas'!$A$2:$A$100)),'indice columnas'!$B$2:$B$100,""""),
col,IFERROR(MATCH(campo,Referencia!$A$1:$AZ$1,0),0),
fila,IFERROR(MATCH(TO_TEXT(D1586),ARRAYFOR"&amp;"MULA(TO_TEXT(Referencia!$A$2:$A6238)),0),0),
IF(OR(campo="""",campo=""-""),""NO APLICA"",
IF(col=0,""REVISAR EQUIVALENCIA"",
IF(fila=0,""SKU NO ENCONTRADO"",
LET(
valor,INDEX(Referencia!$A$2:$AZ6238,fila,col),
IF(TRIM(TO_TEXT(valor))=TRIM(TO_TEXT(I1586)),"&amp;"
""OK"",
""NO COINCIDE. Valor verdadero: ""&amp;IF(valor="""",""[VACÍO]"",TO_TEXT(valor))
)
))))
),""ERROR EN FÓRMULA""))"),"NO APLICA")</f>
        <v>NO APLICA</v>
      </c>
    </row>
    <row r="1587">
      <c r="A1587" s="83" t="s">
        <v>4618</v>
      </c>
      <c r="B1587" s="83" t="s">
        <v>4619</v>
      </c>
      <c r="C1587" s="81" t="s">
        <v>4621</v>
      </c>
      <c r="D1587" s="83" t="s">
        <v>4424</v>
      </c>
      <c r="E1587" s="81" t="s">
        <v>1861</v>
      </c>
      <c r="F1587" s="84">
        <v>370.0</v>
      </c>
      <c r="G1587" s="81" t="s">
        <v>12</v>
      </c>
      <c r="H1587" s="81" t="s">
        <v>224</v>
      </c>
      <c r="I1587" s="81" t="s">
        <v>55</v>
      </c>
      <c r="J1587" s="81" t="s">
        <v>224</v>
      </c>
      <c r="K1587" s="81" t="str">
        <f>IFERROR(__xludf.DUMMYFUNCTION("IF(OR(D1587="""",G1587=""""),"""",IFERROR(LET(
campo,XLOOKUP(TRIM(G1587),ARRAYFORMULA(TRIM('indice columnas'!$A$2:$A$100)),'indice columnas'!$B$2:$B$100,""""),
col,IFERROR(MATCH(campo,Referencia!$A$1:$AZ$1,0),0),
fila,IFERROR(MATCH(TO_TEXT(D1587),ARRAYFOR"&amp;"MULA(TO_TEXT(Referencia!$A$2:$A6238)),0),0),
IF(OR(campo="""",campo=""-""),""NO APLICA"",
IF(col=0,""REVISAR EQUIVALENCIA"",
IF(fila=0,""SKU NO ENCONTRADO"",
LET(
valor,INDEX(Referencia!$A$2:$AZ6238,fila,col),
IF(TRIM(TO_TEXT(valor))=TRIM(TO_TEXT(I1587)),"&amp;"
""OK"",
""NO COINCIDE. Valor verdadero: ""&amp;IF(valor="""",""[VACÍO]"",TO_TEXT(valor))
)
))))
),""ERROR EN FÓRMULA""))"),"OK")</f>
        <v>OK</v>
      </c>
    </row>
    <row r="1588">
      <c r="A1588" s="83" t="s">
        <v>4618</v>
      </c>
      <c r="B1588" s="83" t="s">
        <v>4619</v>
      </c>
      <c r="C1588" s="81" t="s">
        <v>4621</v>
      </c>
      <c r="D1588" s="83" t="s">
        <v>4424</v>
      </c>
      <c r="E1588" s="81" t="s">
        <v>1861</v>
      </c>
      <c r="F1588" s="84">
        <v>370.0</v>
      </c>
      <c r="G1588" s="81" t="s">
        <v>44</v>
      </c>
      <c r="H1588" s="81" t="s">
        <v>4418</v>
      </c>
      <c r="I1588" s="81" t="s">
        <v>1825</v>
      </c>
      <c r="J1588" s="81" t="s">
        <v>4088</v>
      </c>
      <c r="K1588" s="81" t="str">
        <f>IFERROR(__xludf.DUMMYFUNCTION("IF(OR(D1588="""",G1588=""""),"""",IFERROR(LET(
campo,XLOOKUP(TRIM(G1588),ARRAYFORMULA(TRIM('indice columnas'!$A$2:$A$100)),'indice columnas'!$B$2:$B$100,""""),
col,IFERROR(MATCH(campo,Referencia!$A$1:$AZ$1,0),0),
fila,IFERROR(MATCH(TO_TEXT(D1588),ARRAYFOR"&amp;"MULA(TO_TEXT(Referencia!$A$2:$A6238)),0),0),
IF(OR(campo="""",campo=""-""),""NO APLICA"",
IF(col=0,""REVISAR EQUIVALENCIA"",
IF(fila=0,""SKU NO ENCONTRADO"",
LET(
valor,INDEX(Referencia!$A$2:$AZ6238,fila,col),
IF(TRIM(TO_TEXT(valor))=TRIM(TO_TEXT(I1588)),"&amp;"
""OK"",
""NO COINCIDE. Valor verdadero: ""&amp;IF(valor="""",""[VACÍO]"",TO_TEXT(valor))
)
))))
),""ERROR EN FÓRMULA""))"),"NO APLICA")</f>
        <v>NO APLICA</v>
      </c>
    </row>
    <row r="1589">
      <c r="A1589" s="83" t="s">
        <v>4618</v>
      </c>
      <c r="B1589" s="83" t="s">
        <v>4619</v>
      </c>
      <c r="C1589" s="81" t="s">
        <v>4621</v>
      </c>
      <c r="D1589" s="83" t="s">
        <v>4425</v>
      </c>
      <c r="E1589" s="81" t="s">
        <v>1863</v>
      </c>
      <c r="F1589" s="84">
        <v>371.0</v>
      </c>
      <c r="G1589" s="81" t="s">
        <v>12</v>
      </c>
      <c r="H1589" s="81" t="s">
        <v>224</v>
      </c>
      <c r="I1589" s="81" t="s">
        <v>55</v>
      </c>
      <c r="J1589" s="81" t="s">
        <v>224</v>
      </c>
      <c r="K1589" s="81" t="str">
        <f>IFERROR(__xludf.DUMMYFUNCTION("IF(OR(D1589="""",G1589=""""),"""",IFERROR(LET(
campo,XLOOKUP(TRIM(G1589),ARRAYFORMULA(TRIM('indice columnas'!$A$2:$A$100)),'indice columnas'!$B$2:$B$100,""""),
col,IFERROR(MATCH(campo,Referencia!$A$1:$AZ$1,0),0),
fila,IFERROR(MATCH(TO_TEXT(D1589),ARRAYFOR"&amp;"MULA(TO_TEXT(Referencia!$A$2:$A6238)),0),0),
IF(OR(campo="""",campo=""-""),""NO APLICA"",
IF(col=0,""REVISAR EQUIVALENCIA"",
IF(fila=0,""SKU NO ENCONTRADO"",
LET(
valor,INDEX(Referencia!$A$2:$AZ6238,fila,col),
IF(TRIM(TO_TEXT(valor))=TRIM(TO_TEXT(I1589)),"&amp;"
""OK"",
""NO COINCIDE. Valor verdadero: ""&amp;IF(valor="""",""[VACÍO]"",TO_TEXT(valor))
)
))))
),""ERROR EN FÓRMULA""))"),"OK")</f>
        <v>OK</v>
      </c>
    </row>
    <row r="1590">
      <c r="A1590" s="83" t="s">
        <v>4618</v>
      </c>
      <c r="B1590" s="83" t="s">
        <v>4619</v>
      </c>
      <c r="C1590" s="81" t="s">
        <v>4621</v>
      </c>
      <c r="D1590" s="83" t="s">
        <v>4425</v>
      </c>
      <c r="E1590" s="81" t="s">
        <v>1863</v>
      </c>
      <c r="F1590" s="84">
        <v>371.0</v>
      </c>
      <c r="G1590" s="81" t="s">
        <v>44</v>
      </c>
      <c r="H1590" s="81" t="s">
        <v>4418</v>
      </c>
      <c r="I1590" s="81" t="s">
        <v>1825</v>
      </c>
      <c r="J1590" s="81" t="s">
        <v>4088</v>
      </c>
      <c r="K1590" s="81" t="str">
        <f>IFERROR(__xludf.DUMMYFUNCTION("IF(OR(D1590="""",G1590=""""),"""",IFERROR(LET(
campo,XLOOKUP(TRIM(G1590),ARRAYFORMULA(TRIM('indice columnas'!$A$2:$A$100)),'indice columnas'!$B$2:$B$100,""""),
col,IFERROR(MATCH(campo,Referencia!$A$1:$AZ$1,0),0),
fila,IFERROR(MATCH(TO_TEXT(D1590),ARRAYFOR"&amp;"MULA(TO_TEXT(Referencia!$A$2:$A6238)),0),0),
IF(OR(campo="""",campo=""-""),""NO APLICA"",
IF(col=0,""REVISAR EQUIVALENCIA"",
IF(fila=0,""SKU NO ENCONTRADO"",
LET(
valor,INDEX(Referencia!$A$2:$AZ6238,fila,col),
IF(TRIM(TO_TEXT(valor))=TRIM(TO_TEXT(I1590)),"&amp;"
""OK"",
""NO COINCIDE. Valor verdadero: ""&amp;IF(valor="""",""[VACÍO]"",TO_TEXT(valor))
)
))))
),""ERROR EN FÓRMULA""))"),"NO APLICA")</f>
        <v>NO APLICA</v>
      </c>
    </row>
    <row r="1591">
      <c r="A1591" s="83" t="s">
        <v>4618</v>
      </c>
      <c r="B1591" s="83" t="s">
        <v>4619</v>
      </c>
      <c r="C1591" s="81" t="s">
        <v>4621</v>
      </c>
      <c r="D1591" s="83" t="s">
        <v>4426</v>
      </c>
      <c r="E1591" s="81" t="s">
        <v>1864</v>
      </c>
      <c r="F1591" s="84">
        <v>372.0</v>
      </c>
      <c r="G1591" s="81" t="s">
        <v>44</v>
      </c>
      <c r="H1591" s="81" t="s">
        <v>4418</v>
      </c>
      <c r="I1591" s="81" t="s">
        <v>1825</v>
      </c>
      <c r="J1591" s="81" t="s">
        <v>4088</v>
      </c>
      <c r="K1591" s="81" t="str">
        <f>IFERROR(__xludf.DUMMYFUNCTION("IF(OR(D1591="""",G1591=""""),"""",IFERROR(LET(
campo,XLOOKUP(TRIM(G1591),ARRAYFORMULA(TRIM('indice columnas'!$A$2:$A$100)),'indice columnas'!$B$2:$B$100,""""),
col,IFERROR(MATCH(campo,Referencia!$A$1:$AZ$1,0),0),
fila,IFERROR(MATCH(TO_TEXT(D1591),ARRAYFOR"&amp;"MULA(TO_TEXT(Referencia!$A$2:$A6238)),0),0),
IF(OR(campo="""",campo=""-""),""NO APLICA"",
IF(col=0,""REVISAR EQUIVALENCIA"",
IF(fila=0,""SKU NO ENCONTRADO"",
LET(
valor,INDEX(Referencia!$A$2:$AZ6238,fila,col),
IF(TRIM(TO_TEXT(valor))=TRIM(TO_TEXT(I1591)),"&amp;"
""OK"",
""NO COINCIDE. Valor verdadero: ""&amp;IF(valor="""",""[VACÍO]"",TO_TEXT(valor))
)
))))
),""ERROR EN FÓRMULA""))"),"NO APLICA")</f>
        <v>NO APLICA</v>
      </c>
    </row>
    <row r="1592">
      <c r="A1592" s="83" t="s">
        <v>4618</v>
      </c>
      <c r="B1592" s="83" t="s">
        <v>4619</v>
      </c>
      <c r="C1592" s="81" t="s">
        <v>4621</v>
      </c>
      <c r="D1592" s="83" t="s">
        <v>4427</v>
      </c>
      <c r="E1592" s="81" t="s">
        <v>1874</v>
      </c>
      <c r="F1592" s="84">
        <v>373.0</v>
      </c>
      <c r="G1592" s="81" t="s">
        <v>44</v>
      </c>
      <c r="H1592" s="81" t="s">
        <v>224</v>
      </c>
      <c r="I1592" s="81" t="s">
        <v>1874</v>
      </c>
      <c r="J1592" s="81" t="s">
        <v>4088</v>
      </c>
      <c r="K1592" s="81" t="str">
        <f>IFERROR(__xludf.DUMMYFUNCTION("IF(OR(D1592="""",G1592=""""),"""",IFERROR(LET(
campo,XLOOKUP(TRIM(G1592),ARRAYFORMULA(TRIM('indice columnas'!$A$2:$A$100)),'indice columnas'!$B$2:$B$100,""""),
col,IFERROR(MATCH(campo,Referencia!$A$1:$AZ$1,0),0),
fila,IFERROR(MATCH(TO_TEXT(D1592),ARRAYFOR"&amp;"MULA(TO_TEXT(Referencia!$A$2:$A6238)),0),0),
IF(OR(campo="""",campo=""-""),""NO APLICA"",
IF(col=0,""REVISAR EQUIVALENCIA"",
IF(fila=0,""SKU NO ENCONTRADO"",
LET(
valor,INDEX(Referencia!$A$2:$AZ6238,fila,col),
IF(TRIM(TO_TEXT(valor))=TRIM(TO_TEXT(I1592)),"&amp;"
""OK"",
""NO COINCIDE. Valor verdadero: ""&amp;IF(valor="""",""[VACÍO]"",TO_TEXT(valor))
)
))))
),""ERROR EN FÓRMULA""))"),"NO APLICA")</f>
        <v>NO APLICA</v>
      </c>
    </row>
    <row r="1593">
      <c r="A1593" s="83" t="s">
        <v>4618</v>
      </c>
      <c r="B1593" s="83" t="s">
        <v>4619</v>
      </c>
      <c r="C1593" s="81" t="s">
        <v>4621</v>
      </c>
      <c r="D1593" s="83" t="s">
        <v>4428</v>
      </c>
      <c r="E1593" s="81" t="s">
        <v>1886</v>
      </c>
      <c r="F1593" s="84">
        <v>374.0</v>
      </c>
      <c r="G1593" s="81" t="s">
        <v>44</v>
      </c>
      <c r="H1593" s="81" t="s">
        <v>224</v>
      </c>
      <c r="I1593" s="81" t="s">
        <v>1886</v>
      </c>
      <c r="J1593" s="81" t="s">
        <v>4088</v>
      </c>
      <c r="K1593" s="81" t="str">
        <f>IFERROR(__xludf.DUMMYFUNCTION("IF(OR(D1593="""",G1593=""""),"""",IFERROR(LET(
campo,XLOOKUP(TRIM(G1593),ARRAYFORMULA(TRIM('indice columnas'!$A$2:$A$100)),'indice columnas'!$B$2:$B$100,""""),
col,IFERROR(MATCH(campo,Referencia!$A$1:$AZ$1,0),0),
fila,IFERROR(MATCH(TO_TEXT(D1593),ARRAYFOR"&amp;"MULA(TO_TEXT(Referencia!$A$2:$A6238)),0),0),
IF(OR(campo="""",campo=""-""),""NO APLICA"",
IF(col=0,""REVISAR EQUIVALENCIA"",
IF(fila=0,""SKU NO ENCONTRADO"",
LET(
valor,INDEX(Referencia!$A$2:$AZ6238,fila,col),
IF(TRIM(TO_TEXT(valor))=TRIM(TO_TEXT(I1593)),"&amp;"
""OK"",
""NO COINCIDE. Valor verdadero: ""&amp;IF(valor="""",""[VACÍO]"",TO_TEXT(valor))
)
))))
),""ERROR EN FÓRMULA""))"),"NO APLICA")</f>
        <v>NO APLICA</v>
      </c>
    </row>
    <row r="1594">
      <c r="A1594" s="83" t="s">
        <v>4618</v>
      </c>
      <c r="B1594" s="83" t="s">
        <v>4619</v>
      </c>
      <c r="C1594" s="81" t="s">
        <v>4621</v>
      </c>
      <c r="D1594" s="83" t="s">
        <v>4429</v>
      </c>
      <c r="E1594" s="81" t="s">
        <v>1900</v>
      </c>
      <c r="F1594" s="84">
        <v>375.0</v>
      </c>
      <c r="G1594" s="81" t="s">
        <v>44</v>
      </c>
      <c r="H1594" s="81" t="s">
        <v>224</v>
      </c>
      <c r="I1594" s="81" t="s">
        <v>1900</v>
      </c>
      <c r="J1594" s="81" t="s">
        <v>4088</v>
      </c>
      <c r="K1594" s="81" t="str">
        <f>IFERROR(__xludf.DUMMYFUNCTION("IF(OR(D1594="""",G1594=""""),"""",IFERROR(LET(
campo,XLOOKUP(TRIM(G1594),ARRAYFORMULA(TRIM('indice columnas'!$A$2:$A$100)),'indice columnas'!$B$2:$B$100,""""),
col,IFERROR(MATCH(campo,Referencia!$A$1:$AZ$1,0),0),
fila,IFERROR(MATCH(TO_TEXT(D1594),ARRAYFOR"&amp;"MULA(TO_TEXT(Referencia!$A$2:$A6238)),0),0),
IF(OR(campo="""",campo=""-""),""NO APLICA"",
IF(col=0,""REVISAR EQUIVALENCIA"",
IF(fila=0,""SKU NO ENCONTRADO"",
LET(
valor,INDEX(Referencia!$A$2:$AZ6238,fila,col),
IF(TRIM(TO_TEXT(valor))=TRIM(TO_TEXT(I1594)),"&amp;"
""OK"",
""NO COINCIDE. Valor verdadero: ""&amp;IF(valor="""",""[VACÍO]"",TO_TEXT(valor))
)
))))
),""ERROR EN FÓRMULA""))"),"NO APLICA")</f>
        <v>NO APLICA</v>
      </c>
    </row>
    <row r="1595">
      <c r="A1595" s="83" t="s">
        <v>4618</v>
      </c>
      <c r="B1595" s="83" t="s">
        <v>4619</v>
      </c>
      <c r="C1595" s="81" t="s">
        <v>4621</v>
      </c>
      <c r="D1595" s="83" t="s">
        <v>4430</v>
      </c>
      <c r="E1595" s="81" t="s">
        <v>1911</v>
      </c>
      <c r="F1595" s="84">
        <v>376.0</v>
      </c>
      <c r="G1595" s="81" t="s">
        <v>44</v>
      </c>
      <c r="H1595" s="81" t="s">
        <v>224</v>
      </c>
      <c r="I1595" s="81" t="s">
        <v>1911</v>
      </c>
      <c r="J1595" s="81" t="s">
        <v>4088</v>
      </c>
      <c r="K1595" s="81" t="str">
        <f>IFERROR(__xludf.DUMMYFUNCTION("IF(OR(D1595="""",G1595=""""),"""",IFERROR(LET(
campo,XLOOKUP(TRIM(G1595),ARRAYFORMULA(TRIM('indice columnas'!$A$2:$A$100)),'indice columnas'!$B$2:$B$100,""""),
col,IFERROR(MATCH(campo,Referencia!$A$1:$AZ$1,0),0),
fila,IFERROR(MATCH(TO_TEXT(D1595),ARRAYFOR"&amp;"MULA(TO_TEXT(Referencia!$A$2:$A6238)),0),0),
IF(OR(campo="""",campo=""-""),""NO APLICA"",
IF(col=0,""REVISAR EQUIVALENCIA"",
IF(fila=0,""SKU NO ENCONTRADO"",
LET(
valor,INDEX(Referencia!$A$2:$AZ6238,fila,col),
IF(TRIM(TO_TEXT(valor))=TRIM(TO_TEXT(I1595)),"&amp;"
""OK"",
""NO COINCIDE. Valor verdadero: ""&amp;IF(valor="""",""[VACÍO]"",TO_TEXT(valor))
)
))))
),""ERROR EN FÓRMULA""))"),"NO APLICA")</f>
        <v>NO APLICA</v>
      </c>
    </row>
    <row r="1596">
      <c r="A1596" s="83" t="s">
        <v>4618</v>
      </c>
      <c r="B1596" s="83" t="s">
        <v>4619</v>
      </c>
      <c r="C1596" s="81" t="s">
        <v>4621</v>
      </c>
      <c r="D1596" s="83" t="s">
        <v>4431</v>
      </c>
      <c r="E1596" s="81" t="s">
        <v>1923</v>
      </c>
      <c r="F1596" s="84">
        <v>377.0</v>
      </c>
      <c r="G1596" s="81" t="s">
        <v>44</v>
      </c>
      <c r="H1596" s="81" t="s">
        <v>224</v>
      </c>
      <c r="I1596" s="81" t="s">
        <v>1923</v>
      </c>
      <c r="J1596" s="81" t="s">
        <v>4088</v>
      </c>
      <c r="K1596" s="81" t="str">
        <f>IFERROR(__xludf.DUMMYFUNCTION("IF(OR(D1596="""",G1596=""""),"""",IFERROR(LET(
campo,XLOOKUP(TRIM(G1596),ARRAYFORMULA(TRIM('indice columnas'!$A$2:$A$100)),'indice columnas'!$B$2:$B$100,""""),
col,IFERROR(MATCH(campo,Referencia!$A$1:$AZ$1,0),0),
fila,IFERROR(MATCH(TO_TEXT(D1596),ARRAYFOR"&amp;"MULA(TO_TEXT(Referencia!$A$2:$A6238)),0),0),
IF(OR(campo="""",campo=""-""),""NO APLICA"",
IF(col=0,""REVISAR EQUIVALENCIA"",
IF(fila=0,""SKU NO ENCONTRADO"",
LET(
valor,INDEX(Referencia!$A$2:$AZ6238,fila,col),
IF(TRIM(TO_TEXT(valor))=TRIM(TO_TEXT(I1596)),"&amp;"
""OK"",
""NO COINCIDE. Valor verdadero: ""&amp;IF(valor="""",""[VACÍO]"",TO_TEXT(valor))
)
))))
),""ERROR EN FÓRMULA""))"),"NO APLICA")</f>
        <v>NO APLICA</v>
      </c>
    </row>
    <row r="1597">
      <c r="A1597" s="83" t="s">
        <v>4618</v>
      </c>
      <c r="B1597" s="83" t="s">
        <v>4619</v>
      </c>
      <c r="C1597" s="81" t="s">
        <v>4621</v>
      </c>
      <c r="D1597" s="83" t="s">
        <v>4431</v>
      </c>
      <c r="E1597" s="81" t="s">
        <v>1934</v>
      </c>
      <c r="F1597" s="84">
        <v>378.0</v>
      </c>
      <c r="G1597" s="81" t="s">
        <v>44</v>
      </c>
      <c r="H1597" s="81" t="s">
        <v>224</v>
      </c>
      <c r="I1597" s="81" t="s">
        <v>1923</v>
      </c>
      <c r="J1597" s="81" t="s">
        <v>4088</v>
      </c>
      <c r="K1597" s="81" t="str">
        <f>IFERROR(__xludf.DUMMYFUNCTION("IF(OR(D1597="""",G1597=""""),"""",IFERROR(LET(
campo,XLOOKUP(TRIM(G1597),ARRAYFORMULA(TRIM('indice columnas'!$A$2:$A$100)),'indice columnas'!$B$2:$B$100,""""),
col,IFERROR(MATCH(campo,Referencia!$A$1:$AZ$1,0),0),
fila,IFERROR(MATCH(TO_TEXT(D1597),ARRAYFOR"&amp;"MULA(TO_TEXT(Referencia!$A$2:$A6238)),0),0),
IF(OR(campo="""",campo=""-""),""NO APLICA"",
IF(col=0,""REVISAR EQUIVALENCIA"",
IF(fila=0,""SKU NO ENCONTRADO"",
LET(
valor,INDEX(Referencia!$A$2:$AZ6238,fila,col),
IF(TRIM(TO_TEXT(valor))=TRIM(TO_TEXT(I1597)),"&amp;"
""OK"",
""NO COINCIDE. Valor verdadero: ""&amp;IF(valor="""",""[VACÍO]"",TO_TEXT(valor))
)
))))
),""ERROR EN FÓRMULA""))"),"NO APLICA")</f>
        <v>NO APLICA</v>
      </c>
    </row>
    <row r="1598">
      <c r="A1598" s="83" t="s">
        <v>4618</v>
      </c>
      <c r="B1598" s="83" t="s">
        <v>4619</v>
      </c>
      <c r="C1598" s="81" t="s">
        <v>4621</v>
      </c>
      <c r="D1598" s="83" t="s">
        <v>4432</v>
      </c>
      <c r="E1598" s="81" t="s">
        <v>1935</v>
      </c>
      <c r="F1598" s="84">
        <v>379.0</v>
      </c>
      <c r="G1598" s="81" t="s">
        <v>44</v>
      </c>
      <c r="H1598" s="81" t="s">
        <v>224</v>
      </c>
      <c r="I1598" s="81" t="s">
        <v>1935</v>
      </c>
      <c r="J1598" s="81" t="s">
        <v>4088</v>
      </c>
      <c r="K1598" s="81" t="str">
        <f>IFERROR(__xludf.DUMMYFUNCTION("IF(OR(D1598="""",G1598=""""),"""",IFERROR(LET(
campo,XLOOKUP(TRIM(G1598),ARRAYFORMULA(TRIM('indice columnas'!$A$2:$A$100)),'indice columnas'!$B$2:$B$100,""""),
col,IFERROR(MATCH(campo,Referencia!$A$1:$AZ$1,0),0),
fila,IFERROR(MATCH(TO_TEXT(D1598),ARRAYFOR"&amp;"MULA(TO_TEXT(Referencia!$A$2:$A6238)),0),0),
IF(OR(campo="""",campo=""-""),""NO APLICA"",
IF(col=0,""REVISAR EQUIVALENCIA"",
IF(fila=0,""SKU NO ENCONTRADO"",
LET(
valor,INDEX(Referencia!$A$2:$AZ6238,fila,col),
IF(TRIM(TO_TEXT(valor))=TRIM(TO_TEXT(I1598)),"&amp;"
""OK"",
""NO COINCIDE. Valor verdadero: ""&amp;IF(valor="""",""[VACÍO]"",TO_TEXT(valor))
)
))))
),""ERROR EN FÓRMULA""))"),"NO APLICA")</f>
        <v>NO APLICA</v>
      </c>
    </row>
    <row r="1599">
      <c r="A1599" s="83" t="s">
        <v>4618</v>
      </c>
      <c r="B1599" s="83" t="s">
        <v>4619</v>
      </c>
      <c r="C1599" s="81" t="s">
        <v>4621</v>
      </c>
      <c r="D1599" s="83" t="s">
        <v>4432</v>
      </c>
      <c r="E1599" s="81" t="s">
        <v>1935</v>
      </c>
      <c r="F1599" s="84">
        <v>380.0</v>
      </c>
      <c r="G1599" s="81" t="s">
        <v>44</v>
      </c>
      <c r="H1599" s="81" t="s">
        <v>224</v>
      </c>
      <c r="I1599" s="81" t="s">
        <v>1935</v>
      </c>
      <c r="J1599" s="81" t="s">
        <v>4088</v>
      </c>
      <c r="K1599" s="81" t="str">
        <f>IFERROR(__xludf.DUMMYFUNCTION("IF(OR(D1599="""",G1599=""""),"""",IFERROR(LET(
campo,XLOOKUP(TRIM(G1599),ARRAYFORMULA(TRIM('indice columnas'!$A$2:$A$100)),'indice columnas'!$B$2:$B$100,""""),
col,IFERROR(MATCH(campo,Referencia!$A$1:$AZ$1,0),0),
fila,IFERROR(MATCH(TO_TEXT(D1599),ARRAYFOR"&amp;"MULA(TO_TEXT(Referencia!$A$2:$A6238)),0),0),
IF(OR(campo="""",campo=""-""),""NO APLICA"",
IF(col=0,""REVISAR EQUIVALENCIA"",
IF(fila=0,""SKU NO ENCONTRADO"",
LET(
valor,INDEX(Referencia!$A$2:$AZ6238,fila,col),
IF(TRIM(TO_TEXT(valor))=TRIM(TO_TEXT(I1599)),"&amp;"
""OK"",
""NO COINCIDE. Valor verdadero: ""&amp;IF(valor="""",""[VACÍO]"",TO_TEXT(valor))
)
))))
),""ERROR EN FÓRMULA""))"),"NO APLICA")</f>
        <v>NO APLICA</v>
      </c>
    </row>
    <row r="1600">
      <c r="A1600" s="83" t="s">
        <v>4618</v>
      </c>
      <c r="B1600" s="83" t="s">
        <v>4619</v>
      </c>
      <c r="C1600" s="81" t="s">
        <v>4621</v>
      </c>
      <c r="D1600" s="83" t="s">
        <v>4433</v>
      </c>
      <c r="E1600" s="81" t="s">
        <v>1950</v>
      </c>
      <c r="F1600" s="84">
        <v>381.0</v>
      </c>
      <c r="G1600" s="81" t="s">
        <v>44</v>
      </c>
      <c r="H1600" s="81" t="s">
        <v>224</v>
      </c>
      <c r="I1600" s="81" t="s">
        <v>1950</v>
      </c>
      <c r="J1600" s="81" t="s">
        <v>4088</v>
      </c>
      <c r="K1600" s="81" t="str">
        <f>IFERROR(__xludf.DUMMYFUNCTION("IF(OR(D1600="""",G1600=""""),"""",IFERROR(LET(
campo,XLOOKUP(TRIM(G1600),ARRAYFORMULA(TRIM('indice columnas'!$A$2:$A$100)),'indice columnas'!$B$2:$B$100,""""),
col,IFERROR(MATCH(campo,Referencia!$A$1:$AZ$1,0),0),
fila,IFERROR(MATCH(TO_TEXT(D1600),ARRAYFOR"&amp;"MULA(TO_TEXT(Referencia!$A$2:$A6238)),0),0),
IF(OR(campo="""",campo=""-""),""NO APLICA"",
IF(col=0,""REVISAR EQUIVALENCIA"",
IF(fila=0,""SKU NO ENCONTRADO"",
LET(
valor,INDEX(Referencia!$A$2:$AZ6238,fila,col),
IF(TRIM(TO_TEXT(valor))=TRIM(TO_TEXT(I1600)),"&amp;"
""OK"",
""NO COINCIDE. Valor verdadero: ""&amp;IF(valor="""",""[VACÍO]"",TO_TEXT(valor))
)
))))
),""ERROR EN FÓRMULA""))"),"NO APLICA")</f>
        <v>NO APLICA</v>
      </c>
    </row>
    <row r="1601">
      <c r="A1601" s="83" t="s">
        <v>4618</v>
      </c>
      <c r="B1601" s="83" t="s">
        <v>4619</v>
      </c>
      <c r="C1601" s="81" t="s">
        <v>4621</v>
      </c>
      <c r="D1601" s="83" t="s">
        <v>4433</v>
      </c>
      <c r="E1601" s="81" t="s">
        <v>1963</v>
      </c>
      <c r="F1601" s="84">
        <v>382.0</v>
      </c>
      <c r="G1601" s="81" t="s">
        <v>44</v>
      </c>
      <c r="H1601" s="81" t="s">
        <v>224</v>
      </c>
      <c r="I1601" s="81" t="s">
        <v>1950</v>
      </c>
      <c r="J1601" s="81" t="s">
        <v>4088</v>
      </c>
      <c r="K1601" s="81" t="str">
        <f>IFERROR(__xludf.DUMMYFUNCTION("IF(OR(D1601="""",G1601=""""),"""",IFERROR(LET(
campo,XLOOKUP(TRIM(G1601),ARRAYFORMULA(TRIM('indice columnas'!$A$2:$A$100)),'indice columnas'!$B$2:$B$100,""""),
col,IFERROR(MATCH(campo,Referencia!$A$1:$AZ$1,0),0),
fila,IFERROR(MATCH(TO_TEXT(D1601),ARRAYFOR"&amp;"MULA(TO_TEXT(Referencia!$A$2:$A6238)),0),0),
IF(OR(campo="""",campo=""-""),""NO APLICA"",
IF(col=0,""REVISAR EQUIVALENCIA"",
IF(fila=0,""SKU NO ENCONTRADO"",
LET(
valor,INDEX(Referencia!$A$2:$AZ6238,fila,col),
IF(TRIM(TO_TEXT(valor))=TRIM(TO_TEXT(I1601)),"&amp;"
""OK"",
""NO COINCIDE. Valor verdadero: ""&amp;IF(valor="""",""[VACÍO]"",TO_TEXT(valor))
)
))))
),""ERROR EN FÓRMULA""))"),"NO APLICA")</f>
        <v>NO APLICA</v>
      </c>
    </row>
    <row r="1602">
      <c r="A1602" s="83" t="s">
        <v>4618</v>
      </c>
      <c r="B1602" s="83" t="s">
        <v>4619</v>
      </c>
      <c r="C1602" s="81" t="s">
        <v>4621</v>
      </c>
      <c r="D1602" s="83" t="s">
        <v>4434</v>
      </c>
      <c r="E1602" s="81" t="s">
        <v>1964</v>
      </c>
      <c r="F1602" s="84">
        <v>383.0</v>
      </c>
      <c r="G1602" s="81" t="s">
        <v>44</v>
      </c>
      <c r="H1602" s="81" t="s">
        <v>224</v>
      </c>
      <c r="I1602" s="81" t="s">
        <v>1950</v>
      </c>
      <c r="J1602" s="81" t="s">
        <v>4088</v>
      </c>
      <c r="K1602" s="81" t="str">
        <f>IFERROR(__xludf.DUMMYFUNCTION("IF(OR(D1602="""",G1602=""""),"""",IFERROR(LET(
campo,XLOOKUP(TRIM(G1602),ARRAYFORMULA(TRIM('indice columnas'!$A$2:$A$100)),'indice columnas'!$B$2:$B$100,""""),
col,IFERROR(MATCH(campo,Referencia!$A$1:$AZ$1,0),0),
fila,IFERROR(MATCH(TO_TEXT(D1602),ARRAYFOR"&amp;"MULA(TO_TEXT(Referencia!$A$2:$A6238)),0),0),
IF(OR(campo="""",campo=""-""),""NO APLICA"",
IF(col=0,""REVISAR EQUIVALENCIA"",
IF(fila=0,""SKU NO ENCONTRADO"",
LET(
valor,INDEX(Referencia!$A$2:$AZ6238,fila,col),
IF(TRIM(TO_TEXT(valor))=TRIM(TO_TEXT(I1602)),"&amp;"
""OK"",
""NO COINCIDE. Valor verdadero: ""&amp;IF(valor="""",""[VACÍO]"",TO_TEXT(valor))
)
))))
),""ERROR EN FÓRMULA""))"),"NO APLICA")</f>
        <v>NO APLICA</v>
      </c>
    </row>
    <row r="1603">
      <c r="A1603" s="83" t="s">
        <v>4618</v>
      </c>
      <c r="B1603" s="83" t="s">
        <v>4619</v>
      </c>
      <c r="C1603" s="81" t="s">
        <v>4621</v>
      </c>
      <c r="D1603" s="83" t="s">
        <v>4434</v>
      </c>
      <c r="E1603" s="81" t="s">
        <v>1964</v>
      </c>
      <c r="F1603" s="84">
        <v>384.0</v>
      </c>
      <c r="G1603" s="81" t="s">
        <v>44</v>
      </c>
      <c r="H1603" s="81" t="s">
        <v>224</v>
      </c>
      <c r="I1603" s="81" t="s">
        <v>1950</v>
      </c>
      <c r="J1603" s="81" t="s">
        <v>4088</v>
      </c>
      <c r="K1603" s="81" t="str">
        <f>IFERROR(__xludf.DUMMYFUNCTION("IF(OR(D1603="""",G1603=""""),"""",IFERROR(LET(
campo,XLOOKUP(TRIM(G1603),ARRAYFORMULA(TRIM('indice columnas'!$A$2:$A$100)),'indice columnas'!$B$2:$B$100,""""),
col,IFERROR(MATCH(campo,Referencia!$A$1:$AZ$1,0),0),
fila,IFERROR(MATCH(TO_TEXT(D1603),ARRAYFOR"&amp;"MULA(TO_TEXT(Referencia!$A$2:$A6238)),0),0),
IF(OR(campo="""",campo=""-""),""NO APLICA"",
IF(col=0,""REVISAR EQUIVALENCIA"",
IF(fila=0,""SKU NO ENCONTRADO"",
LET(
valor,INDEX(Referencia!$A$2:$AZ6238,fila,col),
IF(TRIM(TO_TEXT(valor))=TRIM(TO_TEXT(I1603)),"&amp;"
""OK"",
""NO COINCIDE. Valor verdadero: ""&amp;IF(valor="""",""[VACÍO]"",TO_TEXT(valor))
)
))))
),""ERROR EN FÓRMULA""))"),"NO APLICA")</f>
        <v>NO APLICA</v>
      </c>
    </row>
    <row r="1604">
      <c r="A1604" s="83" t="s">
        <v>4618</v>
      </c>
      <c r="B1604" s="83" t="s">
        <v>4619</v>
      </c>
      <c r="C1604" s="81" t="s">
        <v>4621</v>
      </c>
      <c r="D1604" s="83" t="s">
        <v>4435</v>
      </c>
      <c r="E1604" s="81" t="s">
        <v>1974</v>
      </c>
      <c r="F1604" s="84">
        <v>385.0</v>
      </c>
      <c r="G1604" s="81" t="s">
        <v>44</v>
      </c>
      <c r="H1604" s="81" t="s">
        <v>224</v>
      </c>
      <c r="I1604" s="81" t="s">
        <v>1974</v>
      </c>
      <c r="J1604" s="81" t="s">
        <v>4088</v>
      </c>
      <c r="K1604" s="81" t="str">
        <f>IFERROR(__xludf.DUMMYFUNCTION("IF(OR(D1604="""",G1604=""""),"""",IFERROR(LET(
campo,XLOOKUP(TRIM(G1604),ARRAYFORMULA(TRIM('indice columnas'!$A$2:$A$100)),'indice columnas'!$B$2:$B$100,""""),
col,IFERROR(MATCH(campo,Referencia!$A$1:$AZ$1,0),0),
fila,IFERROR(MATCH(TO_TEXT(D1604),ARRAYFOR"&amp;"MULA(TO_TEXT(Referencia!$A$2:$A6238)),0),0),
IF(OR(campo="""",campo=""-""),""NO APLICA"",
IF(col=0,""REVISAR EQUIVALENCIA"",
IF(fila=0,""SKU NO ENCONTRADO"",
LET(
valor,INDEX(Referencia!$A$2:$AZ6238,fila,col),
IF(TRIM(TO_TEXT(valor))=TRIM(TO_TEXT(I1604)),"&amp;"
""OK"",
""NO COINCIDE. Valor verdadero: ""&amp;IF(valor="""",""[VACÍO]"",TO_TEXT(valor))
)
))))
),""ERROR EN FÓRMULA""))"),"NO APLICA")</f>
        <v>NO APLICA</v>
      </c>
    </row>
    <row r="1605">
      <c r="A1605" s="83" t="s">
        <v>4618</v>
      </c>
      <c r="B1605" s="83" t="s">
        <v>4619</v>
      </c>
      <c r="C1605" s="81" t="s">
        <v>4621</v>
      </c>
      <c r="D1605" s="83" t="s">
        <v>4435</v>
      </c>
      <c r="E1605" s="81" t="s">
        <v>1987</v>
      </c>
      <c r="F1605" s="84">
        <v>386.0</v>
      </c>
      <c r="G1605" s="81" t="s">
        <v>44</v>
      </c>
      <c r="H1605" s="81" t="s">
        <v>224</v>
      </c>
      <c r="I1605" s="81" t="s">
        <v>1974</v>
      </c>
      <c r="J1605" s="81" t="s">
        <v>4088</v>
      </c>
      <c r="K1605" s="81" t="str">
        <f>IFERROR(__xludf.DUMMYFUNCTION("IF(OR(D1605="""",G1605=""""),"""",IFERROR(LET(
campo,XLOOKUP(TRIM(G1605),ARRAYFORMULA(TRIM('indice columnas'!$A$2:$A$100)),'indice columnas'!$B$2:$B$100,""""),
col,IFERROR(MATCH(campo,Referencia!$A$1:$AZ$1,0),0),
fila,IFERROR(MATCH(TO_TEXT(D1605),ARRAYFOR"&amp;"MULA(TO_TEXT(Referencia!$A$2:$A6238)),0),0),
IF(OR(campo="""",campo=""-""),""NO APLICA"",
IF(col=0,""REVISAR EQUIVALENCIA"",
IF(fila=0,""SKU NO ENCONTRADO"",
LET(
valor,INDEX(Referencia!$A$2:$AZ6238,fila,col),
IF(TRIM(TO_TEXT(valor))=TRIM(TO_TEXT(I1605)),"&amp;"
""OK"",
""NO COINCIDE. Valor verdadero: ""&amp;IF(valor="""",""[VACÍO]"",TO_TEXT(valor))
)
))))
),""ERROR EN FÓRMULA""))"),"NO APLICA")</f>
        <v>NO APLICA</v>
      </c>
    </row>
    <row r="1606">
      <c r="A1606" s="83" t="s">
        <v>4618</v>
      </c>
      <c r="B1606" s="83" t="s">
        <v>4619</v>
      </c>
      <c r="C1606" s="81" t="s">
        <v>4621</v>
      </c>
      <c r="D1606" s="83" t="s">
        <v>4436</v>
      </c>
      <c r="E1606" s="81" t="s">
        <v>1989</v>
      </c>
      <c r="F1606" s="84">
        <v>387.0</v>
      </c>
      <c r="G1606" s="81" t="s">
        <v>44</v>
      </c>
      <c r="H1606" s="81" t="s">
        <v>224</v>
      </c>
      <c r="I1606" s="81" t="s">
        <v>1974</v>
      </c>
      <c r="J1606" s="81" t="s">
        <v>4088</v>
      </c>
      <c r="K1606" s="81" t="str">
        <f>IFERROR(__xludf.DUMMYFUNCTION("IF(OR(D1606="""",G1606=""""),"""",IFERROR(LET(
campo,XLOOKUP(TRIM(G1606),ARRAYFORMULA(TRIM('indice columnas'!$A$2:$A$100)),'indice columnas'!$B$2:$B$100,""""),
col,IFERROR(MATCH(campo,Referencia!$A$1:$AZ$1,0),0),
fila,IFERROR(MATCH(TO_TEXT(D1606),ARRAYFOR"&amp;"MULA(TO_TEXT(Referencia!$A$2:$A6238)),0),0),
IF(OR(campo="""",campo=""-""),""NO APLICA"",
IF(col=0,""REVISAR EQUIVALENCIA"",
IF(fila=0,""SKU NO ENCONTRADO"",
LET(
valor,INDEX(Referencia!$A$2:$AZ6238,fila,col),
IF(TRIM(TO_TEXT(valor))=TRIM(TO_TEXT(I1606)),"&amp;"
""OK"",
""NO COINCIDE. Valor verdadero: ""&amp;IF(valor="""",""[VACÍO]"",TO_TEXT(valor))
)
))))
),""ERROR EN FÓRMULA""))"),"NO APLICA")</f>
        <v>NO APLICA</v>
      </c>
    </row>
    <row r="1607">
      <c r="A1607" s="83" t="s">
        <v>4618</v>
      </c>
      <c r="B1607" s="83" t="s">
        <v>4619</v>
      </c>
      <c r="C1607" s="81" t="s">
        <v>4621</v>
      </c>
      <c r="D1607" s="83" t="s">
        <v>4437</v>
      </c>
      <c r="E1607" s="81" t="s">
        <v>1997</v>
      </c>
      <c r="F1607" s="84">
        <v>388.0</v>
      </c>
      <c r="G1607" s="81" t="s">
        <v>44</v>
      </c>
      <c r="H1607" s="81" t="s">
        <v>224</v>
      </c>
      <c r="I1607" s="81" t="s">
        <v>1825</v>
      </c>
      <c r="J1607" s="81" t="s">
        <v>4088</v>
      </c>
      <c r="K1607" s="81" t="str">
        <f>IFERROR(__xludf.DUMMYFUNCTION("IF(OR(D1607="""",G1607=""""),"""",IFERROR(LET(
campo,XLOOKUP(TRIM(G1607),ARRAYFORMULA(TRIM('indice columnas'!$A$2:$A$100)),'indice columnas'!$B$2:$B$100,""""),
col,IFERROR(MATCH(campo,Referencia!$A$1:$AZ$1,0),0),
fila,IFERROR(MATCH(TO_TEXT(D1607),ARRAYFOR"&amp;"MULA(TO_TEXT(Referencia!$A$2:$A6238)),0),0),
IF(OR(campo="""",campo=""-""),""NO APLICA"",
IF(col=0,""REVISAR EQUIVALENCIA"",
IF(fila=0,""SKU NO ENCONTRADO"",
LET(
valor,INDEX(Referencia!$A$2:$AZ6238,fila,col),
IF(TRIM(TO_TEXT(valor))=TRIM(TO_TEXT(I1607)),"&amp;"
""OK"",
""NO COINCIDE. Valor verdadero: ""&amp;IF(valor="""",""[VACÍO]"",TO_TEXT(valor))
)
))))
),""ERROR EN FÓRMULA""))"),"NO APLICA")</f>
        <v>NO APLICA</v>
      </c>
    </row>
    <row r="1608">
      <c r="A1608" s="83" t="s">
        <v>4618</v>
      </c>
      <c r="B1608" s="83" t="s">
        <v>4619</v>
      </c>
      <c r="C1608" s="81" t="s">
        <v>4621</v>
      </c>
      <c r="D1608" s="83" t="s">
        <v>4437</v>
      </c>
      <c r="E1608" s="81" t="s">
        <v>2001</v>
      </c>
      <c r="F1608" s="84">
        <v>389.0</v>
      </c>
      <c r="G1608" s="81" t="s">
        <v>12</v>
      </c>
      <c r="H1608" s="81" t="s">
        <v>224</v>
      </c>
      <c r="I1608" s="81" t="s">
        <v>55</v>
      </c>
      <c r="J1608" s="81" t="s">
        <v>224</v>
      </c>
      <c r="K1608" s="81" t="str">
        <f>IFERROR(__xludf.DUMMYFUNCTION("IF(OR(D1608="""",G1608=""""),"""",IFERROR(LET(
campo,XLOOKUP(TRIM(G1608),ARRAYFORMULA(TRIM('indice columnas'!$A$2:$A$100)),'indice columnas'!$B$2:$B$100,""""),
col,IFERROR(MATCH(campo,Referencia!$A$1:$AZ$1,0),0),
fila,IFERROR(MATCH(TO_TEXT(D1608),ARRAYFOR"&amp;"MULA(TO_TEXT(Referencia!$A$2:$A6238)),0),0),
IF(OR(campo="""",campo=""-""),""NO APLICA"",
IF(col=0,""REVISAR EQUIVALENCIA"",
IF(fila=0,""SKU NO ENCONTRADO"",
LET(
valor,INDEX(Referencia!$A$2:$AZ6238,fila,col),
IF(TRIM(TO_TEXT(valor))=TRIM(TO_TEXT(I1608)),"&amp;"
""OK"",
""NO COINCIDE. Valor verdadero: ""&amp;IF(valor="""",""[VACÍO]"",TO_TEXT(valor))
)
))))
),""ERROR EN FÓRMULA""))"),"OK")</f>
        <v>OK</v>
      </c>
    </row>
    <row r="1609">
      <c r="A1609" s="83" t="s">
        <v>4618</v>
      </c>
      <c r="B1609" s="83" t="s">
        <v>4619</v>
      </c>
      <c r="C1609" s="81" t="s">
        <v>4621</v>
      </c>
      <c r="D1609" s="83" t="s">
        <v>4437</v>
      </c>
      <c r="E1609" s="81" t="s">
        <v>2001</v>
      </c>
      <c r="F1609" s="84">
        <v>389.0</v>
      </c>
      <c r="G1609" s="81" t="s">
        <v>44</v>
      </c>
      <c r="H1609" s="81" t="s">
        <v>224</v>
      </c>
      <c r="I1609" s="81" t="s">
        <v>1825</v>
      </c>
      <c r="J1609" s="81" t="s">
        <v>4088</v>
      </c>
      <c r="K1609" s="81" t="str">
        <f>IFERROR(__xludf.DUMMYFUNCTION("IF(OR(D1609="""",G1609=""""),"""",IFERROR(LET(
campo,XLOOKUP(TRIM(G1609),ARRAYFORMULA(TRIM('indice columnas'!$A$2:$A$100)),'indice columnas'!$B$2:$B$100,""""),
col,IFERROR(MATCH(campo,Referencia!$A$1:$AZ$1,0),0),
fila,IFERROR(MATCH(TO_TEXT(D1609),ARRAYFOR"&amp;"MULA(TO_TEXT(Referencia!$A$2:$A6238)),0),0),
IF(OR(campo="""",campo=""-""),""NO APLICA"",
IF(col=0,""REVISAR EQUIVALENCIA"",
IF(fila=0,""SKU NO ENCONTRADO"",
LET(
valor,INDEX(Referencia!$A$2:$AZ6238,fila,col),
IF(TRIM(TO_TEXT(valor))=TRIM(TO_TEXT(I1609)),"&amp;"
""OK"",
""NO COINCIDE. Valor verdadero: ""&amp;IF(valor="""",""[VACÍO]"",TO_TEXT(valor))
)
))))
),""ERROR EN FÓRMULA""))"),"NO APLICA")</f>
        <v>NO APLICA</v>
      </c>
    </row>
    <row r="1610">
      <c r="A1610" s="83" t="s">
        <v>4618</v>
      </c>
      <c r="B1610" s="83" t="s">
        <v>4619</v>
      </c>
      <c r="C1610" s="81" t="s">
        <v>4621</v>
      </c>
      <c r="D1610" s="83" t="s">
        <v>4438</v>
      </c>
      <c r="E1610" s="81" t="s">
        <v>2002</v>
      </c>
      <c r="F1610" s="84">
        <v>390.0</v>
      </c>
      <c r="G1610" s="81" t="s">
        <v>12</v>
      </c>
      <c r="H1610" s="81" t="s">
        <v>224</v>
      </c>
      <c r="I1610" s="81" t="s">
        <v>55</v>
      </c>
      <c r="J1610" s="81" t="s">
        <v>224</v>
      </c>
      <c r="K1610" s="81" t="str">
        <f>IFERROR(__xludf.DUMMYFUNCTION("IF(OR(D1610="""",G1610=""""),"""",IFERROR(LET(
campo,XLOOKUP(TRIM(G1610),ARRAYFORMULA(TRIM('indice columnas'!$A$2:$A$100)),'indice columnas'!$B$2:$B$100,""""),
col,IFERROR(MATCH(campo,Referencia!$A$1:$AZ$1,0),0),
fila,IFERROR(MATCH(TO_TEXT(D1610),ARRAYFOR"&amp;"MULA(TO_TEXT(Referencia!$A$2:$A6238)),0),0),
IF(OR(campo="""",campo=""-""),""NO APLICA"",
IF(col=0,""REVISAR EQUIVALENCIA"",
IF(fila=0,""SKU NO ENCONTRADO"",
LET(
valor,INDEX(Referencia!$A$2:$AZ6238,fila,col),
IF(TRIM(TO_TEXT(valor))=TRIM(TO_TEXT(I1610)),"&amp;"
""OK"",
""NO COINCIDE. Valor verdadero: ""&amp;IF(valor="""",""[VACÍO]"",TO_TEXT(valor))
)
))))
),""ERROR EN FÓRMULA""))"),"OK")</f>
        <v>OK</v>
      </c>
    </row>
    <row r="1611">
      <c r="A1611" s="83" t="s">
        <v>4618</v>
      </c>
      <c r="B1611" s="83" t="s">
        <v>4619</v>
      </c>
      <c r="C1611" s="81" t="s">
        <v>4621</v>
      </c>
      <c r="D1611" s="83" t="s">
        <v>4438</v>
      </c>
      <c r="E1611" s="81" t="s">
        <v>2002</v>
      </c>
      <c r="F1611" s="84">
        <v>390.0</v>
      </c>
      <c r="G1611" s="81" t="s">
        <v>44</v>
      </c>
      <c r="H1611" s="81" t="s">
        <v>224</v>
      </c>
      <c r="I1611" s="81" t="s">
        <v>1825</v>
      </c>
      <c r="J1611" s="81" t="s">
        <v>4088</v>
      </c>
      <c r="K1611" s="81" t="str">
        <f>IFERROR(__xludf.DUMMYFUNCTION("IF(OR(D1611="""",G1611=""""),"""",IFERROR(LET(
campo,XLOOKUP(TRIM(G1611),ARRAYFORMULA(TRIM('indice columnas'!$A$2:$A$100)),'indice columnas'!$B$2:$B$100,""""),
col,IFERROR(MATCH(campo,Referencia!$A$1:$AZ$1,0),0),
fila,IFERROR(MATCH(TO_TEXT(D1611),ARRAYFOR"&amp;"MULA(TO_TEXT(Referencia!$A$2:$A6238)),0),0),
IF(OR(campo="""",campo=""-""),""NO APLICA"",
IF(col=0,""REVISAR EQUIVALENCIA"",
IF(fila=0,""SKU NO ENCONTRADO"",
LET(
valor,INDEX(Referencia!$A$2:$AZ6238,fila,col),
IF(TRIM(TO_TEXT(valor))=TRIM(TO_TEXT(I1611)),"&amp;"
""OK"",
""NO COINCIDE. Valor verdadero: ""&amp;IF(valor="""",""[VACÍO]"",TO_TEXT(valor))
)
))))
),""ERROR EN FÓRMULA""))"),"NO APLICA")</f>
        <v>NO APLICA</v>
      </c>
    </row>
    <row r="1612">
      <c r="A1612" s="83" t="s">
        <v>4618</v>
      </c>
      <c r="B1612" s="83" t="s">
        <v>4619</v>
      </c>
      <c r="C1612" s="81" t="s">
        <v>4621</v>
      </c>
      <c r="D1612" s="83" t="s">
        <v>4439</v>
      </c>
      <c r="E1612" s="81" t="s">
        <v>2006</v>
      </c>
      <c r="F1612" s="84">
        <v>391.0</v>
      </c>
      <c r="G1612" s="81" t="s">
        <v>44</v>
      </c>
      <c r="H1612" s="81" t="s">
        <v>4440</v>
      </c>
      <c r="I1612" s="81" t="s">
        <v>4441</v>
      </c>
      <c r="J1612" s="81" t="s">
        <v>4088</v>
      </c>
      <c r="K1612" s="81" t="str">
        <f>IFERROR(__xludf.DUMMYFUNCTION("IF(OR(D1612="""",G1612=""""),"""",IFERROR(LET(
campo,XLOOKUP(TRIM(G1612),ARRAYFORMULA(TRIM('indice columnas'!$A$2:$A$100)),'indice columnas'!$B$2:$B$100,""""),
col,IFERROR(MATCH(campo,Referencia!$A$1:$AZ$1,0),0),
fila,IFERROR(MATCH(TO_TEXT(D1612),ARRAYFOR"&amp;"MULA(TO_TEXT(Referencia!$A$2:$A6238)),0),0),
IF(OR(campo="""",campo=""-""),""NO APLICA"",
IF(col=0,""REVISAR EQUIVALENCIA"",
IF(fila=0,""SKU NO ENCONTRADO"",
LET(
valor,INDEX(Referencia!$A$2:$AZ6238,fila,col),
IF(TRIM(TO_TEXT(valor))=TRIM(TO_TEXT(I1612)),"&amp;"
""OK"",
""NO COINCIDE. Valor verdadero: ""&amp;IF(valor="""",""[VACÍO]"",TO_TEXT(valor))
)
))))
),""ERROR EN FÓRMULA""))"),"NO APLICA")</f>
        <v>NO APLICA</v>
      </c>
    </row>
    <row r="1613">
      <c r="A1613" s="83" t="s">
        <v>4618</v>
      </c>
      <c r="B1613" s="83" t="s">
        <v>4619</v>
      </c>
      <c r="C1613" s="81" t="s">
        <v>4621</v>
      </c>
      <c r="D1613" s="83" t="s">
        <v>4439</v>
      </c>
      <c r="E1613" s="81" t="s">
        <v>2021</v>
      </c>
      <c r="F1613" s="84">
        <v>392.0</v>
      </c>
      <c r="G1613" s="81" t="s">
        <v>44</v>
      </c>
      <c r="H1613" s="81" t="s">
        <v>4440</v>
      </c>
      <c r="I1613" s="81" t="s">
        <v>4441</v>
      </c>
      <c r="J1613" s="81" t="s">
        <v>4088</v>
      </c>
      <c r="K1613" s="81" t="str">
        <f>IFERROR(__xludf.DUMMYFUNCTION("IF(OR(D1613="""",G1613=""""),"""",IFERROR(LET(
campo,XLOOKUP(TRIM(G1613),ARRAYFORMULA(TRIM('indice columnas'!$A$2:$A$100)),'indice columnas'!$B$2:$B$100,""""),
col,IFERROR(MATCH(campo,Referencia!$A$1:$AZ$1,0),0),
fila,IFERROR(MATCH(TO_TEXT(D1613),ARRAYFOR"&amp;"MULA(TO_TEXT(Referencia!$A$2:$A6238)),0),0),
IF(OR(campo="""",campo=""-""),""NO APLICA"",
IF(col=0,""REVISAR EQUIVALENCIA"",
IF(fila=0,""SKU NO ENCONTRADO"",
LET(
valor,INDEX(Referencia!$A$2:$AZ6238,fila,col),
IF(TRIM(TO_TEXT(valor))=TRIM(TO_TEXT(I1613)),"&amp;"
""OK"",
""NO COINCIDE. Valor verdadero: ""&amp;IF(valor="""",""[VACÍO]"",TO_TEXT(valor))
)
))))
),""ERROR EN FÓRMULA""))"),"NO APLICA")</f>
        <v>NO APLICA</v>
      </c>
    </row>
    <row r="1614">
      <c r="A1614" s="83" t="s">
        <v>4618</v>
      </c>
      <c r="B1614" s="83" t="s">
        <v>4619</v>
      </c>
      <c r="C1614" s="81" t="s">
        <v>4621</v>
      </c>
      <c r="D1614" s="83" t="s">
        <v>4442</v>
      </c>
      <c r="E1614" s="81" t="s">
        <v>2022</v>
      </c>
      <c r="F1614" s="84">
        <v>393.0</v>
      </c>
      <c r="G1614" s="81" t="s">
        <v>44</v>
      </c>
      <c r="H1614" s="81" t="s">
        <v>4440</v>
      </c>
      <c r="I1614" s="81" t="s">
        <v>4441</v>
      </c>
      <c r="J1614" s="81" t="s">
        <v>4088</v>
      </c>
      <c r="K1614" s="81" t="str">
        <f>IFERROR(__xludf.DUMMYFUNCTION("IF(OR(D1614="""",G1614=""""),"""",IFERROR(LET(
campo,XLOOKUP(TRIM(G1614),ARRAYFORMULA(TRIM('indice columnas'!$A$2:$A$100)),'indice columnas'!$B$2:$B$100,""""),
col,IFERROR(MATCH(campo,Referencia!$A$1:$AZ$1,0),0),
fila,IFERROR(MATCH(TO_TEXT(D1614),ARRAYFOR"&amp;"MULA(TO_TEXT(Referencia!$A$2:$A6238)),0),0),
IF(OR(campo="""",campo=""-""),""NO APLICA"",
IF(col=0,""REVISAR EQUIVALENCIA"",
IF(fila=0,""SKU NO ENCONTRADO"",
LET(
valor,INDEX(Referencia!$A$2:$AZ6238,fila,col),
IF(TRIM(TO_TEXT(valor))=TRIM(TO_TEXT(I1614)),"&amp;"
""OK"",
""NO COINCIDE. Valor verdadero: ""&amp;IF(valor="""",""[VACÍO]"",TO_TEXT(valor))
)
))))
),""ERROR EN FÓRMULA""))"),"NO APLICA")</f>
        <v>NO APLICA</v>
      </c>
    </row>
    <row r="1615">
      <c r="A1615" s="83" t="s">
        <v>4618</v>
      </c>
      <c r="B1615" s="83" t="s">
        <v>4619</v>
      </c>
      <c r="C1615" s="81" t="s">
        <v>4621</v>
      </c>
      <c r="D1615" s="83" t="s">
        <v>4443</v>
      </c>
      <c r="E1615" s="81" t="s">
        <v>2026</v>
      </c>
      <c r="F1615" s="84">
        <v>394.0</v>
      </c>
      <c r="G1615" s="81" t="s">
        <v>44</v>
      </c>
      <c r="H1615" s="81" t="s">
        <v>224</v>
      </c>
      <c r="I1615" s="81" t="s">
        <v>4444</v>
      </c>
      <c r="J1615" s="81" t="s">
        <v>4088</v>
      </c>
      <c r="K1615" s="81" t="str">
        <f>IFERROR(__xludf.DUMMYFUNCTION("IF(OR(D1615="""",G1615=""""),"""",IFERROR(LET(
campo,XLOOKUP(TRIM(G1615),ARRAYFORMULA(TRIM('indice columnas'!$A$2:$A$100)),'indice columnas'!$B$2:$B$100,""""),
col,IFERROR(MATCH(campo,Referencia!$A$1:$AZ$1,0),0),
fila,IFERROR(MATCH(TO_TEXT(D1615),ARRAYFOR"&amp;"MULA(TO_TEXT(Referencia!$A$2:$A6238)),0),0),
IF(OR(campo="""",campo=""-""),""NO APLICA"",
IF(col=0,""REVISAR EQUIVALENCIA"",
IF(fila=0,""SKU NO ENCONTRADO"",
LET(
valor,INDEX(Referencia!$A$2:$AZ6238,fila,col),
IF(TRIM(TO_TEXT(valor))=TRIM(TO_TEXT(I1615)),"&amp;"
""OK"",
""NO COINCIDE. Valor verdadero: ""&amp;IF(valor="""",""[VACÍO]"",TO_TEXT(valor))
)
))))
),""ERROR EN FÓRMULA""))"),"NO APLICA")</f>
        <v>NO APLICA</v>
      </c>
    </row>
    <row r="1616">
      <c r="A1616" s="83" t="s">
        <v>4618</v>
      </c>
      <c r="B1616" s="83" t="s">
        <v>4619</v>
      </c>
      <c r="C1616" s="81" t="s">
        <v>4621</v>
      </c>
      <c r="D1616" s="83" t="s">
        <v>4445</v>
      </c>
      <c r="E1616" s="81" t="s">
        <v>2037</v>
      </c>
      <c r="F1616" s="84">
        <v>395.0</v>
      </c>
      <c r="G1616" s="81" t="s">
        <v>44</v>
      </c>
      <c r="H1616" s="81" t="s">
        <v>224</v>
      </c>
      <c r="I1616" s="81" t="s">
        <v>4446</v>
      </c>
      <c r="J1616" s="81" t="s">
        <v>4088</v>
      </c>
      <c r="K1616" s="81" t="str">
        <f>IFERROR(__xludf.DUMMYFUNCTION("IF(OR(D1616="""",G1616=""""),"""",IFERROR(LET(
campo,XLOOKUP(TRIM(G1616),ARRAYFORMULA(TRIM('indice columnas'!$A$2:$A$100)),'indice columnas'!$B$2:$B$100,""""),
col,IFERROR(MATCH(campo,Referencia!$A$1:$AZ$1,0),0),
fila,IFERROR(MATCH(TO_TEXT(D1616),ARRAYFOR"&amp;"MULA(TO_TEXT(Referencia!$A$2:$A6238)),0),0),
IF(OR(campo="""",campo=""-""),""NO APLICA"",
IF(col=0,""REVISAR EQUIVALENCIA"",
IF(fila=0,""SKU NO ENCONTRADO"",
LET(
valor,INDEX(Referencia!$A$2:$AZ6238,fila,col),
IF(TRIM(TO_TEXT(valor))=TRIM(TO_TEXT(I1616)),"&amp;"
""OK"",
""NO COINCIDE. Valor verdadero: ""&amp;IF(valor="""",""[VACÍO]"",TO_TEXT(valor))
)
))))
),""ERROR EN FÓRMULA""))"),"NO APLICA")</f>
        <v>NO APLICA</v>
      </c>
    </row>
    <row r="1617">
      <c r="A1617" s="83" t="s">
        <v>4618</v>
      </c>
      <c r="B1617" s="83" t="s">
        <v>4619</v>
      </c>
      <c r="C1617" s="81" t="s">
        <v>4621</v>
      </c>
      <c r="D1617" s="83" t="s">
        <v>4447</v>
      </c>
      <c r="E1617" s="81" t="s">
        <v>2049</v>
      </c>
      <c r="F1617" s="84">
        <v>396.0</v>
      </c>
      <c r="G1617" s="81" t="s">
        <v>44</v>
      </c>
      <c r="H1617" s="81" t="s">
        <v>4448</v>
      </c>
      <c r="I1617" s="81" t="s">
        <v>2049</v>
      </c>
      <c r="J1617" s="81" t="s">
        <v>4088</v>
      </c>
      <c r="K1617" s="81" t="str">
        <f>IFERROR(__xludf.DUMMYFUNCTION("IF(OR(D1617="""",G1617=""""),"""",IFERROR(LET(
campo,XLOOKUP(TRIM(G1617),ARRAYFORMULA(TRIM('indice columnas'!$A$2:$A$100)),'indice columnas'!$B$2:$B$100,""""),
col,IFERROR(MATCH(campo,Referencia!$A$1:$AZ$1,0),0),
fila,IFERROR(MATCH(TO_TEXT(D1617),ARRAYFOR"&amp;"MULA(TO_TEXT(Referencia!$A$2:$A6238)),0),0),
IF(OR(campo="""",campo=""-""),""NO APLICA"",
IF(col=0,""REVISAR EQUIVALENCIA"",
IF(fila=0,""SKU NO ENCONTRADO"",
LET(
valor,INDEX(Referencia!$A$2:$AZ6238,fila,col),
IF(TRIM(TO_TEXT(valor))=TRIM(TO_TEXT(I1617)),"&amp;"
""OK"",
""NO COINCIDE. Valor verdadero: ""&amp;IF(valor="""",""[VACÍO]"",TO_TEXT(valor))
)
))))
),""ERROR EN FÓRMULA""))"),"NO APLICA")</f>
        <v>NO APLICA</v>
      </c>
    </row>
    <row r="1618">
      <c r="A1618" s="83" t="s">
        <v>4618</v>
      </c>
      <c r="B1618" s="83" t="s">
        <v>4619</v>
      </c>
      <c r="C1618" s="81" t="s">
        <v>4621</v>
      </c>
      <c r="D1618" s="83" t="s">
        <v>4447</v>
      </c>
      <c r="E1618" s="81" t="s">
        <v>2058</v>
      </c>
      <c r="F1618" s="84">
        <v>397.0</v>
      </c>
      <c r="G1618" s="81" t="s">
        <v>7</v>
      </c>
      <c r="H1618" s="81" t="s">
        <v>53</v>
      </c>
      <c r="I1618" s="81" t="s">
        <v>1134</v>
      </c>
      <c r="J1618" s="81" t="s">
        <v>224</v>
      </c>
      <c r="K1618" s="81" t="str">
        <f>IFERROR(__xludf.DUMMYFUNCTION("IF(OR(D1618="""",G1618=""""),"""",IFERROR(LET(
campo,XLOOKUP(TRIM(G1618),ARRAYFORMULA(TRIM('indice columnas'!$A$2:$A$100)),'indice columnas'!$B$2:$B$100,""""),
col,IFERROR(MATCH(campo,Referencia!$A$1:$AZ$1,0),0),
fila,IFERROR(MATCH(TO_TEXT(D1618),ARRAYFOR"&amp;"MULA(TO_TEXT(Referencia!$A$2:$A6238)),0),0),
IF(OR(campo="""",campo=""-""),""NO APLICA"",
IF(col=0,""REVISAR EQUIVALENCIA"",
IF(fila=0,""SKU NO ENCONTRADO"",
LET(
valor,INDEX(Referencia!$A$2:$AZ6238,fila,col),
IF(TRIM(TO_TEXT(valor))=TRIM(TO_TEXT(I1618)),"&amp;"
""OK"",
""NO COINCIDE. Valor verdadero: ""&amp;IF(valor="""",""[VACÍO]"",TO_TEXT(valor))
)
))))
),""ERROR EN FÓRMULA""))"),"REVISAR EQUIVALENCIA")</f>
        <v>REVISAR EQUIVALENCIA</v>
      </c>
    </row>
    <row r="1619">
      <c r="A1619" s="83" t="s">
        <v>4618</v>
      </c>
      <c r="B1619" s="83" t="s">
        <v>4619</v>
      </c>
      <c r="C1619" s="81" t="s">
        <v>4621</v>
      </c>
      <c r="D1619" s="83" t="s">
        <v>4447</v>
      </c>
      <c r="E1619" s="81" t="s">
        <v>2058</v>
      </c>
      <c r="F1619" s="84">
        <v>397.0</v>
      </c>
      <c r="G1619" s="81" t="s">
        <v>44</v>
      </c>
      <c r="H1619" s="81" t="s">
        <v>4448</v>
      </c>
      <c r="I1619" s="81" t="s">
        <v>2049</v>
      </c>
      <c r="J1619" s="81" t="s">
        <v>4088</v>
      </c>
      <c r="K1619" s="81" t="str">
        <f>IFERROR(__xludf.DUMMYFUNCTION("IF(OR(D1619="""",G1619=""""),"""",IFERROR(LET(
campo,XLOOKUP(TRIM(G1619),ARRAYFORMULA(TRIM('indice columnas'!$A$2:$A$100)),'indice columnas'!$B$2:$B$100,""""),
col,IFERROR(MATCH(campo,Referencia!$A$1:$AZ$1,0),0),
fila,IFERROR(MATCH(TO_TEXT(D1619),ARRAYFOR"&amp;"MULA(TO_TEXT(Referencia!$A$2:$A6238)),0),0),
IF(OR(campo="""",campo=""-""),""NO APLICA"",
IF(col=0,""REVISAR EQUIVALENCIA"",
IF(fila=0,""SKU NO ENCONTRADO"",
LET(
valor,INDEX(Referencia!$A$2:$AZ6238,fila,col),
IF(TRIM(TO_TEXT(valor))=TRIM(TO_TEXT(I1619)),"&amp;"
""OK"",
""NO COINCIDE. Valor verdadero: ""&amp;IF(valor="""",""[VACÍO]"",TO_TEXT(valor))
)
))))
),""ERROR EN FÓRMULA""))"),"NO APLICA")</f>
        <v>NO APLICA</v>
      </c>
    </row>
    <row r="1620">
      <c r="A1620" s="83" t="s">
        <v>4618</v>
      </c>
      <c r="B1620" s="83" t="s">
        <v>4619</v>
      </c>
      <c r="C1620" s="81" t="s">
        <v>4621</v>
      </c>
      <c r="D1620" s="83" t="s">
        <v>4449</v>
      </c>
      <c r="E1620" s="81" t="s">
        <v>2059</v>
      </c>
      <c r="F1620" s="84">
        <v>398.0</v>
      </c>
      <c r="G1620" s="81" t="s">
        <v>7</v>
      </c>
      <c r="H1620" s="81" t="s">
        <v>53</v>
      </c>
      <c r="I1620" s="81" t="s">
        <v>1134</v>
      </c>
      <c r="J1620" s="81" t="s">
        <v>224</v>
      </c>
      <c r="K1620" s="81" t="str">
        <f>IFERROR(__xludf.DUMMYFUNCTION("IF(OR(D1620="""",G1620=""""),"""",IFERROR(LET(
campo,XLOOKUP(TRIM(G1620),ARRAYFORMULA(TRIM('indice columnas'!$A$2:$A$100)),'indice columnas'!$B$2:$B$100,""""),
col,IFERROR(MATCH(campo,Referencia!$A$1:$AZ$1,0),0),
fila,IFERROR(MATCH(TO_TEXT(D1620),ARRAYFOR"&amp;"MULA(TO_TEXT(Referencia!$A$2:$A6238)),0),0),
IF(OR(campo="""",campo=""-""),""NO APLICA"",
IF(col=0,""REVISAR EQUIVALENCIA"",
IF(fila=0,""SKU NO ENCONTRADO"",
LET(
valor,INDEX(Referencia!$A$2:$AZ6238,fila,col),
IF(TRIM(TO_TEXT(valor))=TRIM(TO_TEXT(I1620)),"&amp;"
""OK"",
""NO COINCIDE. Valor verdadero: ""&amp;IF(valor="""",""[VACÍO]"",TO_TEXT(valor))
)
))))
),""ERROR EN FÓRMULA""))"),"REVISAR EQUIVALENCIA")</f>
        <v>REVISAR EQUIVALENCIA</v>
      </c>
    </row>
    <row r="1621">
      <c r="A1621" s="83" t="s">
        <v>4618</v>
      </c>
      <c r="B1621" s="83" t="s">
        <v>4619</v>
      </c>
      <c r="C1621" s="81" t="s">
        <v>4621</v>
      </c>
      <c r="D1621" s="83" t="s">
        <v>4449</v>
      </c>
      <c r="E1621" s="81" t="s">
        <v>2059</v>
      </c>
      <c r="F1621" s="84">
        <v>398.0</v>
      </c>
      <c r="G1621" s="81" t="s">
        <v>44</v>
      </c>
      <c r="H1621" s="81" t="s">
        <v>4448</v>
      </c>
      <c r="I1621" s="81" t="s">
        <v>2049</v>
      </c>
      <c r="J1621" s="81" t="s">
        <v>4088</v>
      </c>
      <c r="K1621" s="81" t="str">
        <f>IFERROR(__xludf.DUMMYFUNCTION("IF(OR(D1621="""",G1621=""""),"""",IFERROR(LET(
campo,XLOOKUP(TRIM(G1621),ARRAYFORMULA(TRIM('indice columnas'!$A$2:$A$100)),'indice columnas'!$B$2:$B$100,""""),
col,IFERROR(MATCH(campo,Referencia!$A$1:$AZ$1,0),0),
fila,IFERROR(MATCH(TO_TEXT(D1621),ARRAYFOR"&amp;"MULA(TO_TEXT(Referencia!$A$2:$A6238)),0),0),
IF(OR(campo="""",campo=""-""),""NO APLICA"",
IF(col=0,""REVISAR EQUIVALENCIA"",
IF(fila=0,""SKU NO ENCONTRADO"",
LET(
valor,INDEX(Referencia!$A$2:$AZ6238,fila,col),
IF(TRIM(TO_TEXT(valor))=TRIM(TO_TEXT(I1621)),"&amp;"
""OK"",
""NO COINCIDE. Valor verdadero: ""&amp;IF(valor="""",""[VACÍO]"",TO_TEXT(valor))
)
))))
),""ERROR EN FÓRMULA""))"),"NO APLICA")</f>
        <v>NO APLICA</v>
      </c>
    </row>
    <row r="1622">
      <c r="A1622" s="83" t="s">
        <v>4618</v>
      </c>
      <c r="B1622" s="83" t="s">
        <v>4619</v>
      </c>
      <c r="C1622" s="81" t="s">
        <v>4621</v>
      </c>
      <c r="D1622" s="83" t="s">
        <v>4450</v>
      </c>
      <c r="E1622" s="81" t="s">
        <v>2063</v>
      </c>
      <c r="F1622" s="84">
        <v>399.0</v>
      </c>
      <c r="G1622" s="81" t="s">
        <v>44</v>
      </c>
      <c r="H1622" s="81" t="s">
        <v>224</v>
      </c>
      <c r="I1622" s="81" t="s">
        <v>2063</v>
      </c>
      <c r="J1622" s="81" t="s">
        <v>4088</v>
      </c>
      <c r="K1622" s="81" t="str">
        <f>IFERROR(__xludf.DUMMYFUNCTION("IF(OR(D1622="""",G1622=""""),"""",IFERROR(LET(
campo,XLOOKUP(TRIM(G1622),ARRAYFORMULA(TRIM('indice columnas'!$A$2:$A$100)),'indice columnas'!$B$2:$B$100,""""),
col,IFERROR(MATCH(campo,Referencia!$A$1:$AZ$1,0),0),
fila,IFERROR(MATCH(TO_TEXT(D1622),ARRAYFOR"&amp;"MULA(TO_TEXT(Referencia!$A$2:$A6238)),0),0),
IF(OR(campo="""",campo=""-""),""NO APLICA"",
IF(col=0,""REVISAR EQUIVALENCIA"",
IF(fila=0,""SKU NO ENCONTRADO"",
LET(
valor,INDEX(Referencia!$A$2:$AZ6238,fila,col),
IF(TRIM(TO_TEXT(valor))=TRIM(TO_TEXT(I1622)),"&amp;"
""OK"",
""NO COINCIDE. Valor verdadero: ""&amp;IF(valor="""",""[VACÍO]"",TO_TEXT(valor))
)
))))
),""ERROR EN FÓRMULA""))"),"NO APLICA")</f>
        <v>NO APLICA</v>
      </c>
    </row>
    <row r="1623">
      <c r="A1623" s="83" t="s">
        <v>4618</v>
      </c>
      <c r="B1623" s="83" t="s">
        <v>4619</v>
      </c>
      <c r="C1623" s="81" t="s">
        <v>4621</v>
      </c>
      <c r="D1623" s="83" t="s">
        <v>4451</v>
      </c>
      <c r="E1623" s="81" t="s">
        <v>2076</v>
      </c>
      <c r="F1623" s="84">
        <v>400.0</v>
      </c>
      <c r="G1623" s="81" t="s">
        <v>44</v>
      </c>
      <c r="H1623" s="81" t="s">
        <v>224</v>
      </c>
      <c r="I1623" s="81" t="s">
        <v>4452</v>
      </c>
      <c r="J1623" s="81" t="s">
        <v>4088</v>
      </c>
      <c r="K1623" s="81" t="str">
        <f>IFERROR(__xludf.DUMMYFUNCTION("IF(OR(D1623="""",G1623=""""),"""",IFERROR(LET(
campo,XLOOKUP(TRIM(G1623),ARRAYFORMULA(TRIM('indice columnas'!$A$2:$A$100)),'indice columnas'!$B$2:$B$100,""""),
col,IFERROR(MATCH(campo,Referencia!$A$1:$AZ$1,0),0),
fila,IFERROR(MATCH(TO_TEXT(D1623),ARRAYFOR"&amp;"MULA(TO_TEXT(Referencia!$A$2:$A6238)),0),0),
IF(OR(campo="""",campo=""-""),""NO APLICA"",
IF(col=0,""REVISAR EQUIVALENCIA"",
IF(fila=0,""SKU NO ENCONTRADO"",
LET(
valor,INDEX(Referencia!$A$2:$AZ6238,fila,col),
IF(TRIM(TO_TEXT(valor))=TRIM(TO_TEXT(I1623)),"&amp;"
""OK"",
""NO COINCIDE. Valor verdadero: ""&amp;IF(valor="""",""[VACÍO]"",TO_TEXT(valor))
)
))))
),""ERROR EN FÓRMULA""))"),"NO APLICA")</f>
        <v>NO APLICA</v>
      </c>
    </row>
    <row r="1624">
      <c r="A1624" s="83" t="s">
        <v>4618</v>
      </c>
      <c r="B1624" s="83" t="s">
        <v>4619</v>
      </c>
      <c r="C1624" s="81" t="s">
        <v>4621</v>
      </c>
      <c r="D1624" s="83" t="s">
        <v>4453</v>
      </c>
      <c r="E1624" s="81" t="s">
        <v>2087</v>
      </c>
      <c r="F1624" s="84">
        <v>401.0</v>
      </c>
      <c r="G1624" s="81" t="s">
        <v>44</v>
      </c>
      <c r="H1624" s="81" t="s">
        <v>224</v>
      </c>
      <c r="I1624" s="81" t="s">
        <v>2087</v>
      </c>
      <c r="J1624" s="81" t="s">
        <v>4088</v>
      </c>
      <c r="K1624" s="81" t="str">
        <f>IFERROR(__xludf.DUMMYFUNCTION("IF(OR(D1624="""",G1624=""""),"""",IFERROR(LET(
campo,XLOOKUP(TRIM(G1624),ARRAYFORMULA(TRIM('indice columnas'!$A$2:$A$100)),'indice columnas'!$B$2:$B$100,""""),
col,IFERROR(MATCH(campo,Referencia!$A$1:$AZ$1,0),0),
fila,IFERROR(MATCH(TO_TEXT(D1624),ARRAYFOR"&amp;"MULA(TO_TEXT(Referencia!$A$2:$A6238)),0),0),
IF(OR(campo="""",campo=""-""),""NO APLICA"",
IF(col=0,""REVISAR EQUIVALENCIA"",
IF(fila=0,""SKU NO ENCONTRADO"",
LET(
valor,INDEX(Referencia!$A$2:$AZ6238,fila,col),
IF(TRIM(TO_TEXT(valor))=TRIM(TO_TEXT(I1624)),"&amp;"
""OK"",
""NO COINCIDE. Valor verdadero: ""&amp;IF(valor="""",""[VACÍO]"",TO_TEXT(valor))
)
))))
),""ERROR EN FÓRMULA""))"),"NO APLICA")</f>
        <v>NO APLICA</v>
      </c>
    </row>
    <row r="1625">
      <c r="A1625" s="83" t="s">
        <v>4618</v>
      </c>
      <c r="B1625" s="83" t="s">
        <v>4619</v>
      </c>
      <c r="C1625" s="81" t="s">
        <v>4621</v>
      </c>
      <c r="D1625" s="83" t="s">
        <v>4453</v>
      </c>
      <c r="E1625" s="81" t="s">
        <v>2098</v>
      </c>
      <c r="F1625" s="84">
        <v>402.0</v>
      </c>
      <c r="G1625" s="81" t="s">
        <v>44</v>
      </c>
      <c r="H1625" s="81" t="s">
        <v>224</v>
      </c>
      <c r="I1625" s="81" t="s">
        <v>2087</v>
      </c>
      <c r="J1625" s="81" t="s">
        <v>4088</v>
      </c>
      <c r="K1625" s="81" t="str">
        <f>IFERROR(__xludf.DUMMYFUNCTION("IF(OR(D1625="""",G1625=""""),"""",IFERROR(LET(
campo,XLOOKUP(TRIM(G1625),ARRAYFORMULA(TRIM('indice columnas'!$A$2:$A$100)),'indice columnas'!$B$2:$B$100,""""),
col,IFERROR(MATCH(campo,Referencia!$A$1:$AZ$1,0),0),
fila,IFERROR(MATCH(TO_TEXT(D1625),ARRAYFOR"&amp;"MULA(TO_TEXT(Referencia!$A$2:$A6238)),0),0),
IF(OR(campo="""",campo=""-""),""NO APLICA"",
IF(col=0,""REVISAR EQUIVALENCIA"",
IF(fila=0,""SKU NO ENCONTRADO"",
LET(
valor,INDEX(Referencia!$A$2:$AZ6238,fila,col),
IF(TRIM(TO_TEXT(valor))=TRIM(TO_TEXT(I1625)),"&amp;"
""OK"",
""NO COINCIDE. Valor verdadero: ""&amp;IF(valor="""",""[VACÍO]"",TO_TEXT(valor))
)
))))
),""ERROR EN FÓRMULA""))"),"NO APLICA")</f>
        <v>NO APLICA</v>
      </c>
    </row>
    <row r="1626">
      <c r="A1626" s="83" t="s">
        <v>4618</v>
      </c>
      <c r="B1626" s="83" t="s">
        <v>4619</v>
      </c>
      <c r="C1626" s="81" t="s">
        <v>4621</v>
      </c>
      <c r="D1626" s="83" t="s">
        <v>4454</v>
      </c>
      <c r="E1626" s="81" t="s">
        <v>2099</v>
      </c>
      <c r="F1626" s="84">
        <v>403.0</v>
      </c>
      <c r="G1626" s="81" t="s">
        <v>44</v>
      </c>
      <c r="H1626" s="81" t="s">
        <v>224</v>
      </c>
      <c r="I1626" s="81" t="s">
        <v>2087</v>
      </c>
      <c r="J1626" s="81" t="s">
        <v>4088</v>
      </c>
      <c r="K1626" s="81" t="str">
        <f>IFERROR(__xludf.DUMMYFUNCTION("IF(OR(D1626="""",G1626=""""),"""",IFERROR(LET(
campo,XLOOKUP(TRIM(G1626),ARRAYFORMULA(TRIM('indice columnas'!$A$2:$A$100)),'indice columnas'!$B$2:$B$100,""""),
col,IFERROR(MATCH(campo,Referencia!$A$1:$AZ$1,0),0),
fila,IFERROR(MATCH(TO_TEXT(D1626),ARRAYFOR"&amp;"MULA(TO_TEXT(Referencia!$A$2:$A6238)),0),0),
IF(OR(campo="""",campo=""-""),""NO APLICA"",
IF(col=0,""REVISAR EQUIVALENCIA"",
IF(fila=0,""SKU NO ENCONTRADO"",
LET(
valor,INDEX(Referencia!$A$2:$AZ6238,fila,col),
IF(TRIM(TO_TEXT(valor))=TRIM(TO_TEXT(I1626)),"&amp;"
""OK"",
""NO COINCIDE. Valor verdadero: ""&amp;IF(valor="""",""[VACÍO]"",TO_TEXT(valor))
)
))))
),""ERROR EN FÓRMULA""))"),"NO APLICA")</f>
        <v>NO APLICA</v>
      </c>
    </row>
    <row r="1627">
      <c r="A1627" s="83" t="s">
        <v>4618</v>
      </c>
      <c r="B1627" s="83" t="s">
        <v>4619</v>
      </c>
      <c r="C1627" s="81" t="s">
        <v>4621</v>
      </c>
      <c r="D1627" s="83" t="s">
        <v>4455</v>
      </c>
      <c r="E1627" s="81" t="s">
        <v>2102</v>
      </c>
      <c r="F1627" s="84">
        <v>404.0</v>
      </c>
      <c r="G1627" s="81" t="s">
        <v>44</v>
      </c>
      <c r="H1627" s="81" t="s">
        <v>224</v>
      </c>
      <c r="I1627" s="81" t="s">
        <v>2087</v>
      </c>
      <c r="J1627" s="81" t="s">
        <v>4088</v>
      </c>
      <c r="K1627" s="81" t="str">
        <f>IFERROR(__xludf.DUMMYFUNCTION("IF(OR(D1627="""",G1627=""""),"""",IFERROR(LET(
campo,XLOOKUP(TRIM(G1627),ARRAYFORMULA(TRIM('indice columnas'!$A$2:$A$100)),'indice columnas'!$B$2:$B$100,""""),
col,IFERROR(MATCH(campo,Referencia!$A$1:$AZ$1,0),0),
fila,IFERROR(MATCH(TO_TEXT(D1627),ARRAYFOR"&amp;"MULA(TO_TEXT(Referencia!$A$2:$A6238)),0),0),
IF(OR(campo="""",campo=""-""),""NO APLICA"",
IF(col=0,""REVISAR EQUIVALENCIA"",
IF(fila=0,""SKU NO ENCONTRADO"",
LET(
valor,INDEX(Referencia!$A$2:$AZ6238,fila,col),
IF(TRIM(TO_TEXT(valor))=TRIM(TO_TEXT(I1627)),"&amp;"
""OK"",
""NO COINCIDE. Valor verdadero: ""&amp;IF(valor="""",""[VACÍO]"",TO_TEXT(valor))
)
))))
),""ERROR EN FÓRMULA""))"),"NO APLICA")</f>
        <v>NO APLICA</v>
      </c>
    </row>
    <row r="1628">
      <c r="A1628" s="83" t="s">
        <v>4618</v>
      </c>
      <c r="B1628" s="83" t="s">
        <v>4619</v>
      </c>
      <c r="C1628" s="81" t="s">
        <v>4621</v>
      </c>
      <c r="D1628" s="83" t="s">
        <v>4456</v>
      </c>
      <c r="E1628" s="81" t="s">
        <v>2111</v>
      </c>
      <c r="F1628" s="84">
        <v>405.0</v>
      </c>
      <c r="G1628" s="81" t="s">
        <v>44</v>
      </c>
      <c r="H1628" s="81" t="s">
        <v>224</v>
      </c>
      <c r="I1628" s="81" t="s">
        <v>2087</v>
      </c>
      <c r="J1628" s="81" t="s">
        <v>4088</v>
      </c>
      <c r="K1628" s="81" t="str">
        <f>IFERROR(__xludf.DUMMYFUNCTION("IF(OR(D1628="""",G1628=""""),"""",IFERROR(LET(
campo,XLOOKUP(TRIM(G1628),ARRAYFORMULA(TRIM('indice columnas'!$A$2:$A$100)),'indice columnas'!$B$2:$B$100,""""),
col,IFERROR(MATCH(campo,Referencia!$A$1:$AZ$1,0),0),
fila,IFERROR(MATCH(TO_TEXT(D1628),ARRAYFOR"&amp;"MULA(TO_TEXT(Referencia!$A$2:$A6238)),0),0),
IF(OR(campo="""",campo=""-""),""NO APLICA"",
IF(col=0,""REVISAR EQUIVALENCIA"",
IF(fila=0,""SKU NO ENCONTRADO"",
LET(
valor,INDEX(Referencia!$A$2:$AZ6238,fila,col),
IF(TRIM(TO_TEXT(valor))=TRIM(TO_TEXT(I1628)),"&amp;"
""OK"",
""NO COINCIDE. Valor verdadero: ""&amp;IF(valor="""",""[VACÍO]"",TO_TEXT(valor))
)
))))
),""ERROR EN FÓRMULA""))"),"NO APLICA")</f>
        <v>NO APLICA</v>
      </c>
    </row>
    <row r="1629">
      <c r="A1629" s="83" t="s">
        <v>4618</v>
      </c>
      <c r="B1629" s="83" t="s">
        <v>4619</v>
      </c>
      <c r="C1629" s="81" t="s">
        <v>4621</v>
      </c>
      <c r="D1629" s="83" t="s">
        <v>4457</v>
      </c>
      <c r="E1629" s="81" t="s">
        <v>2114</v>
      </c>
      <c r="F1629" s="84">
        <v>406.0</v>
      </c>
      <c r="G1629" s="81" t="s">
        <v>44</v>
      </c>
      <c r="H1629" s="81" t="s">
        <v>224</v>
      </c>
      <c r="I1629" s="81" t="s">
        <v>2087</v>
      </c>
      <c r="J1629" s="81" t="s">
        <v>4088</v>
      </c>
      <c r="K1629" s="81" t="str">
        <f>IFERROR(__xludf.DUMMYFUNCTION("IF(OR(D1629="""",G1629=""""),"""",IFERROR(LET(
campo,XLOOKUP(TRIM(G1629),ARRAYFORMULA(TRIM('indice columnas'!$A$2:$A$100)),'indice columnas'!$B$2:$B$100,""""),
col,IFERROR(MATCH(campo,Referencia!$A$1:$AZ$1,0),0),
fila,IFERROR(MATCH(TO_TEXT(D1629),ARRAYFOR"&amp;"MULA(TO_TEXT(Referencia!$A$2:$A6238)),0),0),
IF(OR(campo="""",campo=""-""),""NO APLICA"",
IF(col=0,""REVISAR EQUIVALENCIA"",
IF(fila=0,""SKU NO ENCONTRADO"",
LET(
valor,INDEX(Referencia!$A$2:$AZ6238,fila,col),
IF(TRIM(TO_TEXT(valor))=TRIM(TO_TEXT(I1629)),"&amp;"
""OK"",
""NO COINCIDE. Valor verdadero: ""&amp;IF(valor="""",""[VACÍO]"",TO_TEXT(valor))
)
))))
),""ERROR EN FÓRMULA""))"),"NO APLICA")</f>
        <v>NO APLICA</v>
      </c>
    </row>
    <row r="1630">
      <c r="A1630" s="83" t="s">
        <v>4618</v>
      </c>
      <c r="B1630" s="83" t="s">
        <v>4619</v>
      </c>
      <c r="C1630" s="81" t="s">
        <v>4621</v>
      </c>
      <c r="D1630" s="83" t="s">
        <v>4458</v>
      </c>
      <c r="E1630" s="81" t="s">
        <v>2124</v>
      </c>
      <c r="F1630" s="84">
        <v>407.0</v>
      </c>
      <c r="G1630" s="81" t="s">
        <v>44</v>
      </c>
      <c r="H1630" s="81" t="s">
        <v>224</v>
      </c>
      <c r="I1630" s="81" t="s">
        <v>2087</v>
      </c>
      <c r="J1630" s="81" t="s">
        <v>4088</v>
      </c>
      <c r="K1630" s="81" t="str">
        <f>IFERROR(__xludf.DUMMYFUNCTION("IF(OR(D1630="""",G1630=""""),"""",IFERROR(LET(
campo,XLOOKUP(TRIM(G1630),ARRAYFORMULA(TRIM('indice columnas'!$A$2:$A$100)),'indice columnas'!$B$2:$B$100,""""),
col,IFERROR(MATCH(campo,Referencia!$A$1:$AZ$1,0),0),
fila,IFERROR(MATCH(TO_TEXT(D1630),ARRAYFOR"&amp;"MULA(TO_TEXT(Referencia!$A$2:$A6238)),0),0),
IF(OR(campo="""",campo=""-""),""NO APLICA"",
IF(col=0,""REVISAR EQUIVALENCIA"",
IF(fila=0,""SKU NO ENCONTRADO"",
LET(
valor,INDEX(Referencia!$A$2:$AZ6238,fila,col),
IF(TRIM(TO_TEXT(valor))=TRIM(TO_TEXT(I1630)),"&amp;"
""OK"",
""NO COINCIDE. Valor verdadero: ""&amp;IF(valor="""",""[VACÍO]"",TO_TEXT(valor))
)
))))
),""ERROR EN FÓRMULA""))"),"NO APLICA")</f>
        <v>NO APLICA</v>
      </c>
    </row>
    <row r="1631">
      <c r="A1631" s="83" t="s">
        <v>4618</v>
      </c>
      <c r="B1631" s="83" t="s">
        <v>4619</v>
      </c>
      <c r="C1631" s="81" t="s">
        <v>4621</v>
      </c>
      <c r="D1631" s="83" t="s">
        <v>4459</v>
      </c>
      <c r="E1631" s="81" t="s">
        <v>2127</v>
      </c>
      <c r="F1631" s="84">
        <v>408.0</v>
      </c>
      <c r="G1631" s="81" t="s">
        <v>44</v>
      </c>
      <c r="H1631" s="81" t="s">
        <v>224</v>
      </c>
      <c r="I1631" s="81" t="s">
        <v>2127</v>
      </c>
      <c r="J1631" s="81" t="s">
        <v>4088</v>
      </c>
      <c r="K1631" s="81" t="str">
        <f>IFERROR(__xludf.DUMMYFUNCTION("IF(OR(D1631="""",G1631=""""),"""",IFERROR(LET(
campo,XLOOKUP(TRIM(G1631),ARRAYFORMULA(TRIM('indice columnas'!$A$2:$A$100)),'indice columnas'!$B$2:$B$100,""""),
col,IFERROR(MATCH(campo,Referencia!$A$1:$AZ$1,0),0),
fila,IFERROR(MATCH(TO_TEXT(D1631),ARRAYFOR"&amp;"MULA(TO_TEXT(Referencia!$A$2:$A6238)),0),0),
IF(OR(campo="""",campo=""-""),""NO APLICA"",
IF(col=0,""REVISAR EQUIVALENCIA"",
IF(fila=0,""SKU NO ENCONTRADO"",
LET(
valor,INDEX(Referencia!$A$2:$AZ6238,fila,col),
IF(TRIM(TO_TEXT(valor))=TRIM(TO_TEXT(I1631)),"&amp;"
""OK"",
""NO COINCIDE. Valor verdadero: ""&amp;IF(valor="""",""[VACÍO]"",TO_TEXT(valor))
)
))))
),""ERROR EN FÓRMULA""))"),"NO APLICA")</f>
        <v>NO APLICA</v>
      </c>
    </row>
    <row r="1632">
      <c r="A1632" s="83" t="s">
        <v>4618</v>
      </c>
      <c r="B1632" s="83" t="s">
        <v>4619</v>
      </c>
      <c r="C1632" s="81" t="s">
        <v>4621</v>
      </c>
      <c r="D1632" s="83" t="s">
        <v>4459</v>
      </c>
      <c r="E1632" s="81" t="s">
        <v>2138</v>
      </c>
      <c r="F1632" s="84">
        <v>409.0</v>
      </c>
      <c r="G1632" s="81" t="s">
        <v>44</v>
      </c>
      <c r="H1632" s="81" t="s">
        <v>224</v>
      </c>
      <c r="I1632" s="81" t="s">
        <v>2127</v>
      </c>
      <c r="J1632" s="81" t="s">
        <v>4088</v>
      </c>
      <c r="K1632" s="81" t="str">
        <f>IFERROR(__xludf.DUMMYFUNCTION("IF(OR(D1632="""",G1632=""""),"""",IFERROR(LET(
campo,XLOOKUP(TRIM(G1632),ARRAYFORMULA(TRIM('indice columnas'!$A$2:$A$100)),'indice columnas'!$B$2:$B$100,""""),
col,IFERROR(MATCH(campo,Referencia!$A$1:$AZ$1,0),0),
fila,IFERROR(MATCH(TO_TEXT(D1632),ARRAYFOR"&amp;"MULA(TO_TEXT(Referencia!$A$2:$A6238)),0),0),
IF(OR(campo="""",campo=""-""),""NO APLICA"",
IF(col=0,""REVISAR EQUIVALENCIA"",
IF(fila=0,""SKU NO ENCONTRADO"",
LET(
valor,INDEX(Referencia!$A$2:$AZ6238,fila,col),
IF(TRIM(TO_TEXT(valor))=TRIM(TO_TEXT(I1632)),"&amp;"
""OK"",
""NO COINCIDE. Valor verdadero: ""&amp;IF(valor="""",""[VACÍO]"",TO_TEXT(valor))
)
))))
),""ERROR EN FÓRMULA""))"),"NO APLICA")</f>
        <v>NO APLICA</v>
      </c>
    </row>
    <row r="1633">
      <c r="A1633" s="83" t="s">
        <v>4618</v>
      </c>
      <c r="B1633" s="83" t="s">
        <v>4619</v>
      </c>
      <c r="C1633" s="81" t="s">
        <v>4621</v>
      </c>
      <c r="D1633" s="83" t="s">
        <v>4460</v>
      </c>
      <c r="E1633" s="81" t="s">
        <v>2139</v>
      </c>
      <c r="F1633" s="84">
        <v>410.0</v>
      </c>
      <c r="G1633" s="81" t="s">
        <v>44</v>
      </c>
      <c r="H1633" s="81" t="s">
        <v>224</v>
      </c>
      <c r="I1633" s="81" t="s">
        <v>2127</v>
      </c>
      <c r="J1633" s="81" t="s">
        <v>4088</v>
      </c>
      <c r="K1633" s="81" t="str">
        <f>IFERROR(__xludf.DUMMYFUNCTION("IF(OR(D1633="""",G1633=""""),"""",IFERROR(LET(
campo,XLOOKUP(TRIM(G1633),ARRAYFORMULA(TRIM('indice columnas'!$A$2:$A$100)),'indice columnas'!$B$2:$B$100,""""),
col,IFERROR(MATCH(campo,Referencia!$A$1:$AZ$1,0),0),
fila,IFERROR(MATCH(TO_TEXT(D1633),ARRAYFOR"&amp;"MULA(TO_TEXT(Referencia!$A$2:$A6238)),0),0),
IF(OR(campo="""",campo=""-""),""NO APLICA"",
IF(col=0,""REVISAR EQUIVALENCIA"",
IF(fila=0,""SKU NO ENCONTRADO"",
LET(
valor,INDEX(Referencia!$A$2:$AZ6238,fila,col),
IF(TRIM(TO_TEXT(valor))=TRIM(TO_TEXT(I1633)),"&amp;"
""OK"",
""NO COINCIDE. Valor verdadero: ""&amp;IF(valor="""",""[VACÍO]"",TO_TEXT(valor))
)
))))
),""ERROR EN FÓRMULA""))"),"NO APLICA")</f>
        <v>NO APLICA</v>
      </c>
    </row>
    <row r="1634">
      <c r="A1634" s="83" t="s">
        <v>4618</v>
      </c>
      <c r="B1634" s="83" t="s">
        <v>4619</v>
      </c>
      <c r="C1634" s="81" t="s">
        <v>4621</v>
      </c>
      <c r="D1634" s="83" t="s">
        <v>4461</v>
      </c>
      <c r="E1634" s="81" t="s">
        <v>2142</v>
      </c>
      <c r="F1634" s="84">
        <v>411.0</v>
      </c>
      <c r="G1634" s="81" t="s">
        <v>44</v>
      </c>
      <c r="H1634" s="81" t="s">
        <v>224</v>
      </c>
      <c r="I1634" s="81" t="s">
        <v>2127</v>
      </c>
      <c r="J1634" s="81" t="s">
        <v>4088</v>
      </c>
      <c r="K1634" s="81" t="str">
        <f>IFERROR(__xludf.DUMMYFUNCTION("IF(OR(D1634="""",G1634=""""),"""",IFERROR(LET(
campo,XLOOKUP(TRIM(G1634),ARRAYFORMULA(TRIM('indice columnas'!$A$2:$A$100)),'indice columnas'!$B$2:$B$100,""""),
col,IFERROR(MATCH(campo,Referencia!$A$1:$AZ$1,0),0),
fila,IFERROR(MATCH(TO_TEXT(D1634),ARRAYFOR"&amp;"MULA(TO_TEXT(Referencia!$A$2:$A6238)),0),0),
IF(OR(campo="""",campo=""-""),""NO APLICA"",
IF(col=0,""REVISAR EQUIVALENCIA"",
IF(fila=0,""SKU NO ENCONTRADO"",
LET(
valor,INDEX(Referencia!$A$2:$AZ6238,fila,col),
IF(TRIM(TO_TEXT(valor))=TRIM(TO_TEXT(I1634)),"&amp;"
""OK"",
""NO COINCIDE. Valor verdadero: ""&amp;IF(valor="""",""[VACÍO]"",TO_TEXT(valor))
)
))))
),""ERROR EN FÓRMULA""))"),"NO APLICA")</f>
        <v>NO APLICA</v>
      </c>
    </row>
    <row r="1635">
      <c r="A1635" s="83" t="s">
        <v>4618</v>
      </c>
      <c r="B1635" s="83" t="s">
        <v>4619</v>
      </c>
      <c r="C1635" s="81" t="s">
        <v>4621</v>
      </c>
      <c r="D1635" s="83" t="s">
        <v>4462</v>
      </c>
      <c r="E1635" s="81" t="s">
        <v>2145</v>
      </c>
      <c r="F1635" s="84">
        <v>412.0</v>
      </c>
      <c r="G1635" s="81" t="s">
        <v>44</v>
      </c>
      <c r="H1635" s="81" t="s">
        <v>224</v>
      </c>
      <c r="I1635" s="81" t="s">
        <v>2127</v>
      </c>
      <c r="J1635" s="81" t="s">
        <v>4088</v>
      </c>
      <c r="K1635" s="81" t="str">
        <f>IFERROR(__xludf.DUMMYFUNCTION("IF(OR(D1635="""",G1635=""""),"""",IFERROR(LET(
campo,XLOOKUP(TRIM(G1635),ARRAYFORMULA(TRIM('indice columnas'!$A$2:$A$100)),'indice columnas'!$B$2:$B$100,""""),
col,IFERROR(MATCH(campo,Referencia!$A$1:$AZ$1,0),0),
fila,IFERROR(MATCH(TO_TEXT(D1635),ARRAYFOR"&amp;"MULA(TO_TEXT(Referencia!$A$2:$A6238)),0),0),
IF(OR(campo="""",campo=""-""),""NO APLICA"",
IF(col=0,""REVISAR EQUIVALENCIA"",
IF(fila=0,""SKU NO ENCONTRADO"",
LET(
valor,INDEX(Referencia!$A$2:$AZ6238,fila,col),
IF(TRIM(TO_TEXT(valor))=TRIM(TO_TEXT(I1635)),"&amp;"
""OK"",
""NO COINCIDE. Valor verdadero: ""&amp;IF(valor="""",""[VACÍO]"",TO_TEXT(valor))
)
))))
),""ERROR EN FÓRMULA""))"),"NO APLICA")</f>
        <v>NO APLICA</v>
      </c>
    </row>
    <row r="1636">
      <c r="A1636" s="83" t="s">
        <v>4618</v>
      </c>
      <c r="B1636" s="83" t="s">
        <v>4619</v>
      </c>
      <c r="C1636" s="81" t="s">
        <v>4621</v>
      </c>
      <c r="D1636" s="83" t="s">
        <v>4463</v>
      </c>
      <c r="E1636" s="81" t="s">
        <v>2148</v>
      </c>
      <c r="F1636" s="84">
        <v>413.0</v>
      </c>
      <c r="G1636" s="81" t="s">
        <v>44</v>
      </c>
      <c r="H1636" s="81" t="s">
        <v>4464</v>
      </c>
      <c r="I1636" s="81" t="s">
        <v>2148</v>
      </c>
      <c r="J1636" s="81" t="s">
        <v>4088</v>
      </c>
      <c r="K1636" s="81" t="str">
        <f>IFERROR(__xludf.DUMMYFUNCTION("IF(OR(D1636="""",G1636=""""),"""",IFERROR(LET(
campo,XLOOKUP(TRIM(G1636),ARRAYFORMULA(TRIM('indice columnas'!$A$2:$A$100)),'indice columnas'!$B$2:$B$100,""""),
col,IFERROR(MATCH(campo,Referencia!$A$1:$AZ$1,0),0),
fila,IFERROR(MATCH(TO_TEXT(D1636),ARRAYFOR"&amp;"MULA(TO_TEXT(Referencia!$A$2:$A6238)),0),0),
IF(OR(campo="""",campo=""-""),""NO APLICA"",
IF(col=0,""REVISAR EQUIVALENCIA"",
IF(fila=0,""SKU NO ENCONTRADO"",
LET(
valor,INDEX(Referencia!$A$2:$AZ6238,fila,col),
IF(TRIM(TO_TEXT(valor))=TRIM(TO_TEXT(I1636)),"&amp;"
""OK"",
""NO COINCIDE. Valor verdadero: ""&amp;IF(valor="""",""[VACÍO]"",TO_TEXT(valor))
)
))))
),""ERROR EN FÓRMULA""))"),"NO APLICA")</f>
        <v>NO APLICA</v>
      </c>
    </row>
    <row r="1637">
      <c r="A1637" s="83" t="s">
        <v>4618</v>
      </c>
      <c r="B1637" s="83" t="s">
        <v>4619</v>
      </c>
      <c r="C1637" s="81" t="s">
        <v>4621</v>
      </c>
      <c r="D1637" s="83" t="s">
        <v>4463</v>
      </c>
      <c r="E1637" s="81" t="s">
        <v>2160</v>
      </c>
      <c r="F1637" s="84">
        <v>414.0</v>
      </c>
      <c r="G1637" s="81" t="s">
        <v>44</v>
      </c>
      <c r="H1637" s="81" t="s">
        <v>4464</v>
      </c>
      <c r="I1637" s="81" t="s">
        <v>2148</v>
      </c>
      <c r="J1637" s="81" t="s">
        <v>4088</v>
      </c>
      <c r="K1637" s="81" t="str">
        <f>IFERROR(__xludf.DUMMYFUNCTION("IF(OR(D1637="""",G1637=""""),"""",IFERROR(LET(
campo,XLOOKUP(TRIM(G1637),ARRAYFORMULA(TRIM('indice columnas'!$A$2:$A$100)),'indice columnas'!$B$2:$B$100,""""),
col,IFERROR(MATCH(campo,Referencia!$A$1:$AZ$1,0),0),
fila,IFERROR(MATCH(TO_TEXT(D1637),ARRAYFOR"&amp;"MULA(TO_TEXT(Referencia!$A$2:$A6238)),0),0),
IF(OR(campo="""",campo=""-""),""NO APLICA"",
IF(col=0,""REVISAR EQUIVALENCIA"",
IF(fila=0,""SKU NO ENCONTRADO"",
LET(
valor,INDEX(Referencia!$A$2:$AZ6238,fila,col),
IF(TRIM(TO_TEXT(valor))=TRIM(TO_TEXT(I1637)),"&amp;"
""OK"",
""NO COINCIDE. Valor verdadero: ""&amp;IF(valor="""",""[VACÍO]"",TO_TEXT(valor))
)
))))
),""ERROR EN FÓRMULA""))"),"NO APLICA")</f>
        <v>NO APLICA</v>
      </c>
    </row>
    <row r="1638">
      <c r="A1638" s="83" t="s">
        <v>4618</v>
      </c>
      <c r="B1638" s="83" t="s">
        <v>4619</v>
      </c>
      <c r="C1638" s="81" t="s">
        <v>4621</v>
      </c>
      <c r="D1638" s="83" t="s">
        <v>4465</v>
      </c>
      <c r="E1638" s="81" t="s">
        <v>2161</v>
      </c>
      <c r="F1638" s="84">
        <v>415.0</v>
      </c>
      <c r="G1638" s="81" t="s">
        <v>44</v>
      </c>
      <c r="H1638" s="81" t="s">
        <v>4464</v>
      </c>
      <c r="I1638" s="81" t="s">
        <v>2148</v>
      </c>
      <c r="J1638" s="81" t="s">
        <v>4088</v>
      </c>
      <c r="K1638" s="81" t="str">
        <f>IFERROR(__xludf.DUMMYFUNCTION("IF(OR(D1638="""",G1638=""""),"""",IFERROR(LET(
campo,XLOOKUP(TRIM(G1638),ARRAYFORMULA(TRIM('indice columnas'!$A$2:$A$100)),'indice columnas'!$B$2:$B$100,""""),
col,IFERROR(MATCH(campo,Referencia!$A$1:$AZ$1,0),0),
fila,IFERROR(MATCH(TO_TEXT(D1638),ARRAYFOR"&amp;"MULA(TO_TEXT(Referencia!$A$2:$A6238)),0),0),
IF(OR(campo="""",campo=""-""),""NO APLICA"",
IF(col=0,""REVISAR EQUIVALENCIA"",
IF(fila=0,""SKU NO ENCONTRADO"",
LET(
valor,INDEX(Referencia!$A$2:$AZ6238,fila,col),
IF(TRIM(TO_TEXT(valor))=TRIM(TO_TEXT(I1638)),"&amp;"
""OK"",
""NO COINCIDE. Valor verdadero: ""&amp;IF(valor="""",""[VACÍO]"",TO_TEXT(valor))
)
))))
),""ERROR EN FÓRMULA""))"),"NO APLICA")</f>
        <v>NO APLICA</v>
      </c>
    </row>
    <row r="1639">
      <c r="A1639" s="83" t="s">
        <v>4618</v>
      </c>
      <c r="B1639" s="83" t="s">
        <v>4619</v>
      </c>
      <c r="C1639" s="81" t="s">
        <v>4621</v>
      </c>
      <c r="D1639" s="83" t="s">
        <v>4466</v>
      </c>
      <c r="E1639" s="81" t="s">
        <v>2164</v>
      </c>
      <c r="F1639" s="84">
        <v>416.0</v>
      </c>
      <c r="G1639" s="81" t="s">
        <v>44</v>
      </c>
      <c r="H1639" s="81" t="s">
        <v>4467</v>
      </c>
      <c r="I1639" s="81" t="s">
        <v>2164</v>
      </c>
      <c r="J1639" s="81" t="s">
        <v>4088</v>
      </c>
      <c r="K1639" s="81" t="str">
        <f>IFERROR(__xludf.DUMMYFUNCTION("IF(OR(D1639="""",G1639=""""),"""",IFERROR(LET(
campo,XLOOKUP(TRIM(G1639),ARRAYFORMULA(TRIM('indice columnas'!$A$2:$A$100)),'indice columnas'!$B$2:$B$100,""""),
col,IFERROR(MATCH(campo,Referencia!$A$1:$AZ$1,0),0),
fila,IFERROR(MATCH(TO_TEXT(D1639),ARRAYFOR"&amp;"MULA(TO_TEXT(Referencia!$A$2:$A6238)),0),0),
IF(OR(campo="""",campo=""-""),""NO APLICA"",
IF(col=0,""REVISAR EQUIVALENCIA"",
IF(fila=0,""SKU NO ENCONTRADO"",
LET(
valor,INDEX(Referencia!$A$2:$AZ6238,fila,col),
IF(TRIM(TO_TEXT(valor))=TRIM(TO_TEXT(I1639)),"&amp;"
""OK"",
""NO COINCIDE. Valor verdadero: ""&amp;IF(valor="""",""[VACÍO]"",TO_TEXT(valor))
)
))))
),""ERROR EN FÓRMULA""))"),"NO APLICA")</f>
        <v>NO APLICA</v>
      </c>
    </row>
    <row r="1640">
      <c r="A1640" s="83" t="s">
        <v>4618</v>
      </c>
      <c r="B1640" s="83" t="s">
        <v>4619</v>
      </c>
      <c r="C1640" s="81" t="s">
        <v>4621</v>
      </c>
      <c r="D1640" s="83" t="s">
        <v>4466</v>
      </c>
      <c r="E1640" s="81" t="s">
        <v>2178</v>
      </c>
      <c r="F1640" s="84">
        <v>417.0</v>
      </c>
      <c r="G1640" s="81" t="s">
        <v>44</v>
      </c>
      <c r="H1640" s="81" t="s">
        <v>4467</v>
      </c>
      <c r="I1640" s="81" t="s">
        <v>2164</v>
      </c>
      <c r="J1640" s="81" t="s">
        <v>4088</v>
      </c>
      <c r="K1640" s="81" t="str">
        <f>IFERROR(__xludf.DUMMYFUNCTION("IF(OR(D1640="""",G1640=""""),"""",IFERROR(LET(
campo,XLOOKUP(TRIM(G1640),ARRAYFORMULA(TRIM('indice columnas'!$A$2:$A$100)),'indice columnas'!$B$2:$B$100,""""),
col,IFERROR(MATCH(campo,Referencia!$A$1:$AZ$1,0),0),
fila,IFERROR(MATCH(TO_TEXT(D1640),ARRAYFOR"&amp;"MULA(TO_TEXT(Referencia!$A$2:$A6238)),0),0),
IF(OR(campo="""",campo=""-""),""NO APLICA"",
IF(col=0,""REVISAR EQUIVALENCIA"",
IF(fila=0,""SKU NO ENCONTRADO"",
LET(
valor,INDEX(Referencia!$A$2:$AZ6238,fila,col),
IF(TRIM(TO_TEXT(valor))=TRIM(TO_TEXT(I1640)),"&amp;"
""OK"",
""NO COINCIDE. Valor verdadero: ""&amp;IF(valor="""",""[VACÍO]"",TO_TEXT(valor))
)
))))
),""ERROR EN FÓRMULA""))"),"NO APLICA")</f>
        <v>NO APLICA</v>
      </c>
    </row>
    <row r="1641">
      <c r="A1641" s="83" t="s">
        <v>4618</v>
      </c>
      <c r="B1641" s="83" t="s">
        <v>4619</v>
      </c>
      <c r="C1641" s="81" t="s">
        <v>4621</v>
      </c>
      <c r="D1641" s="83" t="s">
        <v>4468</v>
      </c>
      <c r="E1641" s="81" t="s">
        <v>2179</v>
      </c>
      <c r="F1641" s="84">
        <v>418.0</v>
      </c>
      <c r="G1641" s="81" t="s">
        <v>44</v>
      </c>
      <c r="H1641" s="81" t="s">
        <v>4467</v>
      </c>
      <c r="I1641" s="81" t="s">
        <v>2164</v>
      </c>
      <c r="J1641" s="81" t="s">
        <v>4088</v>
      </c>
      <c r="K1641" s="81" t="str">
        <f>IFERROR(__xludf.DUMMYFUNCTION("IF(OR(D1641="""",G1641=""""),"""",IFERROR(LET(
campo,XLOOKUP(TRIM(G1641),ARRAYFORMULA(TRIM('indice columnas'!$A$2:$A$100)),'indice columnas'!$B$2:$B$100,""""),
col,IFERROR(MATCH(campo,Referencia!$A$1:$AZ$1,0),0),
fila,IFERROR(MATCH(TO_TEXT(D1641),ARRAYFOR"&amp;"MULA(TO_TEXT(Referencia!$A$2:$A6238)),0),0),
IF(OR(campo="""",campo=""-""),""NO APLICA"",
IF(col=0,""REVISAR EQUIVALENCIA"",
IF(fila=0,""SKU NO ENCONTRADO"",
LET(
valor,INDEX(Referencia!$A$2:$AZ6238,fila,col),
IF(TRIM(TO_TEXT(valor))=TRIM(TO_TEXT(I1641)),"&amp;"
""OK"",
""NO COINCIDE. Valor verdadero: ""&amp;IF(valor="""",""[VACÍO]"",TO_TEXT(valor))
)
))))
),""ERROR EN FÓRMULA""))"),"NO APLICA")</f>
        <v>NO APLICA</v>
      </c>
    </row>
    <row r="1642">
      <c r="A1642" s="83" t="s">
        <v>4618</v>
      </c>
      <c r="B1642" s="83" t="s">
        <v>4619</v>
      </c>
      <c r="C1642" s="81" t="s">
        <v>4621</v>
      </c>
      <c r="D1642" s="83" t="s">
        <v>4469</v>
      </c>
      <c r="E1642" s="81" t="s">
        <v>2183</v>
      </c>
      <c r="F1642" s="84">
        <v>419.0</v>
      </c>
      <c r="G1642" s="81" t="s">
        <v>44</v>
      </c>
      <c r="H1642" s="81" t="s">
        <v>4470</v>
      </c>
      <c r="I1642" s="81" t="s">
        <v>2183</v>
      </c>
      <c r="J1642" s="81" t="s">
        <v>4088</v>
      </c>
      <c r="K1642" s="81" t="str">
        <f>IFERROR(__xludf.DUMMYFUNCTION("IF(OR(D1642="""",G1642=""""),"""",IFERROR(LET(
campo,XLOOKUP(TRIM(G1642),ARRAYFORMULA(TRIM('indice columnas'!$A$2:$A$100)),'indice columnas'!$B$2:$B$100,""""),
col,IFERROR(MATCH(campo,Referencia!$A$1:$AZ$1,0),0),
fila,IFERROR(MATCH(TO_TEXT(D1642),ARRAYFOR"&amp;"MULA(TO_TEXT(Referencia!$A$2:$A6238)),0),0),
IF(OR(campo="""",campo=""-""),""NO APLICA"",
IF(col=0,""REVISAR EQUIVALENCIA"",
IF(fila=0,""SKU NO ENCONTRADO"",
LET(
valor,INDEX(Referencia!$A$2:$AZ6238,fila,col),
IF(TRIM(TO_TEXT(valor))=TRIM(TO_TEXT(I1642)),"&amp;"
""OK"",
""NO COINCIDE. Valor verdadero: ""&amp;IF(valor="""",""[VACÍO]"",TO_TEXT(valor))
)
))))
),""ERROR EN FÓRMULA""))"),"NO APLICA")</f>
        <v>NO APLICA</v>
      </c>
    </row>
    <row r="1643">
      <c r="A1643" s="83" t="s">
        <v>4618</v>
      </c>
      <c r="B1643" s="83" t="s">
        <v>4619</v>
      </c>
      <c r="C1643" s="81" t="s">
        <v>4621</v>
      </c>
      <c r="D1643" s="83" t="s">
        <v>4469</v>
      </c>
      <c r="E1643" s="81" t="s">
        <v>2195</v>
      </c>
      <c r="F1643" s="84">
        <v>420.0</v>
      </c>
      <c r="G1643" s="81" t="s">
        <v>44</v>
      </c>
      <c r="H1643" s="81" t="s">
        <v>4470</v>
      </c>
      <c r="I1643" s="81" t="s">
        <v>2183</v>
      </c>
      <c r="J1643" s="81" t="s">
        <v>4088</v>
      </c>
      <c r="K1643" s="81" t="str">
        <f>IFERROR(__xludf.DUMMYFUNCTION("IF(OR(D1643="""",G1643=""""),"""",IFERROR(LET(
campo,XLOOKUP(TRIM(G1643),ARRAYFORMULA(TRIM('indice columnas'!$A$2:$A$100)),'indice columnas'!$B$2:$B$100,""""),
col,IFERROR(MATCH(campo,Referencia!$A$1:$AZ$1,0),0),
fila,IFERROR(MATCH(TO_TEXT(D1643),ARRAYFOR"&amp;"MULA(TO_TEXT(Referencia!$A$2:$A6238)),0),0),
IF(OR(campo="""",campo=""-""),""NO APLICA"",
IF(col=0,""REVISAR EQUIVALENCIA"",
IF(fila=0,""SKU NO ENCONTRADO"",
LET(
valor,INDEX(Referencia!$A$2:$AZ6238,fila,col),
IF(TRIM(TO_TEXT(valor))=TRIM(TO_TEXT(I1643)),"&amp;"
""OK"",
""NO COINCIDE. Valor verdadero: ""&amp;IF(valor="""",""[VACÍO]"",TO_TEXT(valor))
)
))))
),""ERROR EN FÓRMULA""))"),"NO APLICA")</f>
        <v>NO APLICA</v>
      </c>
    </row>
    <row r="1644">
      <c r="A1644" s="83" t="s">
        <v>4618</v>
      </c>
      <c r="B1644" s="83" t="s">
        <v>4619</v>
      </c>
      <c r="C1644" s="81" t="s">
        <v>4621</v>
      </c>
      <c r="D1644" s="83" t="s">
        <v>4471</v>
      </c>
      <c r="E1644" s="81" t="s">
        <v>2196</v>
      </c>
      <c r="F1644" s="84">
        <v>421.0</v>
      </c>
      <c r="G1644" s="81" t="s">
        <v>44</v>
      </c>
      <c r="H1644" s="81" t="s">
        <v>4470</v>
      </c>
      <c r="I1644" s="81" t="s">
        <v>2183</v>
      </c>
      <c r="J1644" s="81" t="s">
        <v>4088</v>
      </c>
      <c r="K1644" s="81" t="str">
        <f>IFERROR(__xludf.DUMMYFUNCTION("IF(OR(D1644="""",G1644=""""),"""",IFERROR(LET(
campo,XLOOKUP(TRIM(G1644),ARRAYFORMULA(TRIM('indice columnas'!$A$2:$A$100)),'indice columnas'!$B$2:$B$100,""""),
col,IFERROR(MATCH(campo,Referencia!$A$1:$AZ$1,0),0),
fila,IFERROR(MATCH(TO_TEXT(D1644),ARRAYFOR"&amp;"MULA(TO_TEXT(Referencia!$A$2:$A6238)),0),0),
IF(OR(campo="""",campo=""-""),""NO APLICA"",
IF(col=0,""REVISAR EQUIVALENCIA"",
IF(fila=0,""SKU NO ENCONTRADO"",
LET(
valor,INDEX(Referencia!$A$2:$AZ6238,fila,col),
IF(TRIM(TO_TEXT(valor))=TRIM(TO_TEXT(I1644)),"&amp;"
""OK"",
""NO COINCIDE. Valor verdadero: ""&amp;IF(valor="""",""[VACÍO]"",TO_TEXT(valor))
)
))))
),""ERROR EN FÓRMULA""))"),"NO APLICA")</f>
        <v>NO APLICA</v>
      </c>
    </row>
    <row r="1645">
      <c r="A1645" s="83" t="s">
        <v>4618</v>
      </c>
      <c r="B1645" s="83" t="s">
        <v>4619</v>
      </c>
      <c r="C1645" s="81" t="s">
        <v>4621</v>
      </c>
      <c r="D1645" s="83" t="s">
        <v>4472</v>
      </c>
      <c r="E1645" s="81" t="s">
        <v>2199</v>
      </c>
      <c r="F1645" s="84">
        <v>422.0</v>
      </c>
      <c r="G1645" s="81" t="s">
        <v>44</v>
      </c>
      <c r="H1645" s="81" t="s">
        <v>4473</v>
      </c>
      <c r="I1645" s="81" t="s">
        <v>2199</v>
      </c>
      <c r="J1645" s="81" t="s">
        <v>4088</v>
      </c>
      <c r="K1645" s="81" t="str">
        <f>IFERROR(__xludf.DUMMYFUNCTION("IF(OR(D1645="""",G1645=""""),"""",IFERROR(LET(
campo,XLOOKUP(TRIM(G1645),ARRAYFORMULA(TRIM('indice columnas'!$A$2:$A$100)),'indice columnas'!$B$2:$B$100,""""),
col,IFERROR(MATCH(campo,Referencia!$A$1:$AZ$1,0),0),
fila,IFERROR(MATCH(TO_TEXT(D1645),ARRAYFOR"&amp;"MULA(TO_TEXT(Referencia!$A$2:$A6238)),0),0),
IF(OR(campo="""",campo=""-""),""NO APLICA"",
IF(col=0,""REVISAR EQUIVALENCIA"",
IF(fila=0,""SKU NO ENCONTRADO"",
LET(
valor,INDEX(Referencia!$A$2:$AZ6238,fila,col),
IF(TRIM(TO_TEXT(valor))=TRIM(TO_TEXT(I1645)),"&amp;"
""OK"",
""NO COINCIDE. Valor verdadero: ""&amp;IF(valor="""",""[VACÍO]"",TO_TEXT(valor))
)
))))
),""ERROR EN FÓRMULA""))"),"NO APLICA")</f>
        <v>NO APLICA</v>
      </c>
    </row>
    <row r="1646">
      <c r="A1646" s="83" t="s">
        <v>4618</v>
      </c>
      <c r="B1646" s="83" t="s">
        <v>4619</v>
      </c>
      <c r="C1646" s="81" t="s">
        <v>4621</v>
      </c>
      <c r="D1646" s="83" t="s">
        <v>4472</v>
      </c>
      <c r="E1646" s="81" t="s">
        <v>2208</v>
      </c>
      <c r="F1646" s="84">
        <v>423.0</v>
      </c>
      <c r="G1646" s="81" t="s">
        <v>44</v>
      </c>
      <c r="H1646" s="81" t="s">
        <v>4473</v>
      </c>
      <c r="I1646" s="81" t="s">
        <v>2199</v>
      </c>
      <c r="J1646" s="81" t="s">
        <v>4088</v>
      </c>
      <c r="K1646" s="81" t="str">
        <f>IFERROR(__xludf.DUMMYFUNCTION("IF(OR(D1646="""",G1646=""""),"""",IFERROR(LET(
campo,XLOOKUP(TRIM(G1646),ARRAYFORMULA(TRIM('indice columnas'!$A$2:$A$100)),'indice columnas'!$B$2:$B$100,""""),
col,IFERROR(MATCH(campo,Referencia!$A$1:$AZ$1,0),0),
fila,IFERROR(MATCH(TO_TEXT(D1646),ARRAYFOR"&amp;"MULA(TO_TEXT(Referencia!$A$2:$A6238)),0),0),
IF(OR(campo="""",campo=""-""),""NO APLICA"",
IF(col=0,""REVISAR EQUIVALENCIA"",
IF(fila=0,""SKU NO ENCONTRADO"",
LET(
valor,INDEX(Referencia!$A$2:$AZ6238,fila,col),
IF(TRIM(TO_TEXT(valor))=TRIM(TO_TEXT(I1646)),"&amp;"
""OK"",
""NO COINCIDE. Valor verdadero: ""&amp;IF(valor="""",""[VACÍO]"",TO_TEXT(valor))
)
))))
),""ERROR EN FÓRMULA""))"),"NO APLICA")</f>
        <v>NO APLICA</v>
      </c>
    </row>
    <row r="1647">
      <c r="A1647" s="83" t="s">
        <v>4618</v>
      </c>
      <c r="B1647" s="83" t="s">
        <v>4619</v>
      </c>
      <c r="C1647" s="81" t="s">
        <v>4621</v>
      </c>
      <c r="D1647" s="83" t="s">
        <v>4474</v>
      </c>
      <c r="E1647" s="81" t="s">
        <v>2209</v>
      </c>
      <c r="F1647" s="84">
        <v>424.0</v>
      </c>
      <c r="G1647" s="81" t="s">
        <v>44</v>
      </c>
      <c r="H1647" s="81" t="s">
        <v>4473</v>
      </c>
      <c r="I1647" s="81" t="s">
        <v>2199</v>
      </c>
      <c r="J1647" s="81" t="s">
        <v>4088</v>
      </c>
      <c r="K1647" s="81" t="str">
        <f>IFERROR(__xludf.DUMMYFUNCTION("IF(OR(D1647="""",G1647=""""),"""",IFERROR(LET(
campo,XLOOKUP(TRIM(G1647),ARRAYFORMULA(TRIM('indice columnas'!$A$2:$A$100)),'indice columnas'!$B$2:$B$100,""""),
col,IFERROR(MATCH(campo,Referencia!$A$1:$AZ$1,0),0),
fila,IFERROR(MATCH(TO_TEXT(D1647),ARRAYFOR"&amp;"MULA(TO_TEXT(Referencia!$A$2:$A6238)),0),0),
IF(OR(campo="""",campo=""-""),""NO APLICA"",
IF(col=0,""REVISAR EQUIVALENCIA"",
IF(fila=0,""SKU NO ENCONTRADO"",
LET(
valor,INDEX(Referencia!$A$2:$AZ6238,fila,col),
IF(TRIM(TO_TEXT(valor))=TRIM(TO_TEXT(I1647)),"&amp;"
""OK"",
""NO COINCIDE. Valor verdadero: ""&amp;IF(valor="""",""[VACÍO]"",TO_TEXT(valor))
)
))))
),""ERROR EN FÓRMULA""))"),"NO APLICA")</f>
        <v>NO APLICA</v>
      </c>
    </row>
    <row r="1648">
      <c r="A1648" s="83" t="s">
        <v>4618</v>
      </c>
      <c r="B1648" s="83" t="s">
        <v>4619</v>
      </c>
      <c r="C1648" s="81" t="s">
        <v>4621</v>
      </c>
      <c r="D1648" s="83" t="s">
        <v>4475</v>
      </c>
      <c r="E1648" s="81" t="s">
        <v>2212</v>
      </c>
      <c r="F1648" s="84">
        <v>425.0</v>
      </c>
      <c r="G1648" s="81" t="s">
        <v>44</v>
      </c>
      <c r="H1648" s="81" t="s">
        <v>4476</v>
      </c>
      <c r="I1648" s="81" t="s">
        <v>2226</v>
      </c>
      <c r="J1648" s="81" t="s">
        <v>4088</v>
      </c>
      <c r="K1648" s="81" t="str">
        <f>IFERROR(__xludf.DUMMYFUNCTION("IF(OR(D1648="""",G1648=""""),"""",IFERROR(LET(
campo,XLOOKUP(TRIM(G1648),ARRAYFORMULA(TRIM('indice columnas'!$A$2:$A$100)),'indice columnas'!$B$2:$B$100,""""),
col,IFERROR(MATCH(campo,Referencia!$A$1:$AZ$1,0),0),
fila,IFERROR(MATCH(TO_TEXT(D1648),ARRAYFOR"&amp;"MULA(TO_TEXT(Referencia!$A$2:$A6238)),0),0),
IF(OR(campo="""",campo=""-""),""NO APLICA"",
IF(col=0,""REVISAR EQUIVALENCIA"",
IF(fila=0,""SKU NO ENCONTRADO"",
LET(
valor,INDEX(Referencia!$A$2:$AZ6238,fila,col),
IF(TRIM(TO_TEXT(valor))=TRIM(TO_TEXT(I1648)),"&amp;"
""OK"",
""NO COINCIDE. Valor verdadero: ""&amp;IF(valor="""",""[VACÍO]"",TO_TEXT(valor))
)
))))
),""ERROR EN FÓRMULA""))"),"NO APLICA")</f>
        <v>NO APLICA</v>
      </c>
    </row>
    <row r="1649">
      <c r="A1649" s="83" t="s">
        <v>4618</v>
      </c>
      <c r="B1649" s="83" t="s">
        <v>4619</v>
      </c>
      <c r="C1649" s="81" t="s">
        <v>4621</v>
      </c>
      <c r="D1649" s="83" t="s">
        <v>4475</v>
      </c>
      <c r="E1649" s="81" t="s">
        <v>2225</v>
      </c>
      <c r="F1649" s="84">
        <v>426.0</v>
      </c>
      <c r="G1649" s="81" t="s">
        <v>44</v>
      </c>
      <c r="H1649" s="81" t="s">
        <v>4476</v>
      </c>
      <c r="I1649" s="81" t="s">
        <v>2226</v>
      </c>
      <c r="J1649" s="81" t="s">
        <v>4088</v>
      </c>
      <c r="K1649" s="81" t="str">
        <f>IFERROR(__xludf.DUMMYFUNCTION("IF(OR(D1649="""",G1649=""""),"""",IFERROR(LET(
campo,XLOOKUP(TRIM(G1649),ARRAYFORMULA(TRIM('indice columnas'!$A$2:$A$100)),'indice columnas'!$B$2:$B$100,""""),
col,IFERROR(MATCH(campo,Referencia!$A$1:$AZ$1,0),0),
fila,IFERROR(MATCH(TO_TEXT(D1649),ARRAYFOR"&amp;"MULA(TO_TEXT(Referencia!$A$2:$A6238)),0),0),
IF(OR(campo="""",campo=""-""),""NO APLICA"",
IF(col=0,""REVISAR EQUIVALENCIA"",
IF(fila=0,""SKU NO ENCONTRADO"",
LET(
valor,INDEX(Referencia!$A$2:$AZ6238,fila,col),
IF(TRIM(TO_TEXT(valor))=TRIM(TO_TEXT(I1649)),"&amp;"
""OK"",
""NO COINCIDE. Valor verdadero: ""&amp;IF(valor="""",""[VACÍO]"",TO_TEXT(valor))
)
))))
),""ERROR EN FÓRMULA""))"),"NO APLICA")</f>
        <v>NO APLICA</v>
      </c>
    </row>
    <row r="1650">
      <c r="A1650" s="83" t="s">
        <v>4618</v>
      </c>
      <c r="B1650" s="83" t="s">
        <v>4619</v>
      </c>
      <c r="C1650" s="81" t="s">
        <v>4621</v>
      </c>
      <c r="D1650" s="83" t="s">
        <v>4477</v>
      </c>
      <c r="E1650" s="81" t="s">
        <v>2227</v>
      </c>
      <c r="F1650" s="84">
        <v>427.0</v>
      </c>
      <c r="G1650" s="81" t="s">
        <v>44</v>
      </c>
      <c r="H1650" s="81" t="s">
        <v>4476</v>
      </c>
      <c r="I1650" s="81" t="s">
        <v>2226</v>
      </c>
      <c r="J1650" s="81" t="s">
        <v>4088</v>
      </c>
      <c r="K1650" s="81" t="str">
        <f>IFERROR(__xludf.DUMMYFUNCTION("IF(OR(D1650="""",G1650=""""),"""",IFERROR(LET(
campo,XLOOKUP(TRIM(G1650),ARRAYFORMULA(TRIM('indice columnas'!$A$2:$A$100)),'indice columnas'!$B$2:$B$100,""""),
col,IFERROR(MATCH(campo,Referencia!$A$1:$AZ$1,0),0),
fila,IFERROR(MATCH(TO_TEXT(D1650),ARRAYFOR"&amp;"MULA(TO_TEXT(Referencia!$A$2:$A6238)),0),0),
IF(OR(campo="""",campo=""-""),""NO APLICA"",
IF(col=0,""REVISAR EQUIVALENCIA"",
IF(fila=0,""SKU NO ENCONTRADO"",
LET(
valor,INDEX(Referencia!$A$2:$AZ6238,fila,col),
IF(TRIM(TO_TEXT(valor))=TRIM(TO_TEXT(I1650)),"&amp;"
""OK"",
""NO COINCIDE. Valor verdadero: ""&amp;IF(valor="""",""[VACÍO]"",TO_TEXT(valor))
)
))))
),""ERROR EN FÓRMULA""))"),"NO APLICA")</f>
        <v>NO APLICA</v>
      </c>
    </row>
    <row r="1651">
      <c r="A1651" s="83" t="s">
        <v>4618</v>
      </c>
      <c r="B1651" s="83" t="s">
        <v>4619</v>
      </c>
      <c r="C1651" s="81" t="s">
        <v>4621</v>
      </c>
      <c r="D1651" s="83" t="s">
        <v>4478</v>
      </c>
      <c r="E1651" s="81" t="s">
        <v>2230</v>
      </c>
      <c r="F1651" s="84">
        <v>428.0</v>
      </c>
      <c r="G1651" s="81" t="s">
        <v>44</v>
      </c>
      <c r="H1651" s="81" t="s">
        <v>4479</v>
      </c>
      <c r="I1651" s="81" t="s">
        <v>4480</v>
      </c>
      <c r="J1651" s="81" t="s">
        <v>4088</v>
      </c>
      <c r="K1651" s="81" t="str">
        <f>IFERROR(__xludf.DUMMYFUNCTION("IF(OR(D1651="""",G1651=""""),"""",IFERROR(LET(
campo,XLOOKUP(TRIM(G1651),ARRAYFORMULA(TRIM('indice columnas'!$A$2:$A$100)),'indice columnas'!$B$2:$B$100,""""),
col,IFERROR(MATCH(campo,Referencia!$A$1:$AZ$1,0),0),
fila,IFERROR(MATCH(TO_TEXT(D1651),ARRAYFOR"&amp;"MULA(TO_TEXT(Referencia!$A$2:$A6238)),0),0),
IF(OR(campo="""",campo=""-""),""NO APLICA"",
IF(col=0,""REVISAR EQUIVALENCIA"",
IF(fila=0,""SKU NO ENCONTRADO"",
LET(
valor,INDEX(Referencia!$A$2:$AZ6238,fila,col),
IF(TRIM(TO_TEXT(valor))=TRIM(TO_TEXT(I1651)),"&amp;"
""OK"",
""NO COINCIDE. Valor verdadero: ""&amp;IF(valor="""",""[VACÍO]"",TO_TEXT(valor))
)
))))
),""ERROR EN FÓRMULA""))"),"NO APLICA")</f>
        <v>NO APLICA</v>
      </c>
    </row>
    <row r="1652">
      <c r="A1652" s="83" t="s">
        <v>4618</v>
      </c>
      <c r="B1652" s="83" t="s">
        <v>4619</v>
      </c>
      <c r="C1652" s="81" t="s">
        <v>4621</v>
      </c>
      <c r="D1652" s="83" t="s">
        <v>4478</v>
      </c>
      <c r="E1652" s="81" t="s">
        <v>2241</v>
      </c>
      <c r="F1652" s="84">
        <v>429.0</v>
      </c>
      <c r="G1652" s="81" t="s">
        <v>44</v>
      </c>
      <c r="H1652" s="81" t="s">
        <v>4479</v>
      </c>
      <c r="I1652" s="81" t="s">
        <v>4480</v>
      </c>
      <c r="J1652" s="81" t="s">
        <v>4088</v>
      </c>
      <c r="K1652" s="81" t="str">
        <f>IFERROR(__xludf.DUMMYFUNCTION("IF(OR(D1652="""",G1652=""""),"""",IFERROR(LET(
campo,XLOOKUP(TRIM(G1652),ARRAYFORMULA(TRIM('indice columnas'!$A$2:$A$100)),'indice columnas'!$B$2:$B$100,""""),
col,IFERROR(MATCH(campo,Referencia!$A$1:$AZ$1,0),0),
fila,IFERROR(MATCH(TO_TEXT(D1652),ARRAYFOR"&amp;"MULA(TO_TEXT(Referencia!$A$2:$A6238)),0),0),
IF(OR(campo="""",campo=""-""),""NO APLICA"",
IF(col=0,""REVISAR EQUIVALENCIA"",
IF(fila=0,""SKU NO ENCONTRADO"",
LET(
valor,INDEX(Referencia!$A$2:$AZ6238,fila,col),
IF(TRIM(TO_TEXT(valor))=TRIM(TO_TEXT(I1652)),"&amp;"
""OK"",
""NO COINCIDE. Valor verdadero: ""&amp;IF(valor="""",""[VACÍO]"",TO_TEXT(valor))
)
))))
),""ERROR EN FÓRMULA""))"),"NO APLICA")</f>
        <v>NO APLICA</v>
      </c>
    </row>
    <row r="1653">
      <c r="A1653" s="83" t="s">
        <v>4618</v>
      </c>
      <c r="B1653" s="83" t="s">
        <v>4619</v>
      </c>
      <c r="C1653" s="81" t="s">
        <v>4621</v>
      </c>
      <c r="D1653" s="83" t="s">
        <v>4481</v>
      </c>
      <c r="E1653" s="81" t="s">
        <v>2242</v>
      </c>
      <c r="F1653" s="84">
        <v>430.0</v>
      </c>
      <c r="G1653" s="81" t="s">
        <v>44</v>
      </c>
      <c r="H1653" s="81" t="s">
        <v>4479</v>
      </c>
      <c r="I1653" s="81" t="s">
        <v>4480</v>
      </c>
      <c r="J1653" s="81" t="s">
        <v>4088</v>
      </c>
      <c r="K1653" s="81" t="str">
        <f>IFERROR(__xludf.DUMMYFUNCTION("IF(OR(D1653="""",G1653=""""),"""",IFERROR(LET(
campo,XLOOKUP(TRIM(G1653),ARRAYFORMULA(TRIM('indice columnas'!$A$2:$A$100)),'indice columnas'!$B$2:$B$100,""""),
col,IFERROR(MATCH(campo,Referencia!$A$1:$AZ$1,0),0),
fila,IFERROR(MATCH(TO_TEXT(D1653),ARRAYFOR"&amp;"MULA(TO_TEXT(Referencia!$A$2:$A6238)),0),0),
IF(OR(campo="""",campo=""-""),""NO APLICA"",
IF(col=0,""REVISAR EQUIVALENCIA"",
IF(fila=0,""SKU NO ENCONTRADO"",
LET(
valor,INDEX(Referencia!$A$2:$AZ6238,fila,col),
IF(TRIM(TO_TEXT(valor))=TRIM(TO_TEXT(I1653)),"&amp;"
""OK"",
""NO COINCIDE. Valor verdadero: ""&amp;IF(valor="""",""[VACÍO]"",TO_TEXT(valor))
)
))))
),""ERROR EN FÓRMULA""))"),"NO APLICA")</f>
        <v>NO APLICA</v>
      </c>
    </row>
    <row r="1654">
      <c r="A1654" s="83" t="s">
        <v>4618</v>
      </c>
      <c r="B1654" s="83" t="s">
        <v>4619</v>
      </c>
      <c r="C1654" s="81" t="s">
        <v>4621</v>
      </c>
      <c r="D1654" s="83" t="s">
        <v>4482</v>
      </c>
      <c r="E1654" s="81" t="s">
        <v>2245</v>
      </c>
      <c r="F1654" s="84">
        <v>431.0</v>
      </c>
      <c r="G1654" s="81" t="s">
        <v>44</v>
      </c>
      <c r="H1654" s="81" t="s">
        <v>4479</v>
      </c>
      <c r="I1654" s="81" t="s">
        <v>4480</v>
      </c>
      <c r="J1654" s="81" t="s">
        <v>4088</v>
      </c>
      <c r="K1654" s="81" t="str">
        <f>IFERROR(__xludf.DUMMYFUNCTION("IF(OR(D1654="""",G1654=""""),"""",IFERROR(LET(
campo,XLOOKUP(TRIM(G1654),ARRAYFORMULA(TRIM('indice columnas'!$A$2:$A$100)),'indice columnas'!$B$2:$B$100,""""),
col,IFERROR(MATCH(campo,Referencia!$A$1:$AZ$1,0),0),
fila,IFERROR(MATCH(TO_TEXT(D1654),ARRAYFOR"&amp;"MULA(TO_TEXT(Referencia!$A$2:$A6238)),0),0),
IF(OR(campo="""",campo=""-""),""NO APLICA"",
IF(col=0,""REVISAR EQUIVALENCIA"",
IF(fila=0,""SKU NO ENCONTRADO"",
LET(
valor,INDEX(Referencia!$A$2:$AZ6238,fila,col),
IF(TRIM(TO_TEXT(valor))=TRIM(TO_TEXT(I1654)),"&amp;"
""OK"",
""NO COINCIDE. Valor verdadero: ""&amp;IF(valor="""",""[VACÍO]"",TO_TEXT(valor))
)
))))
),""ERROR EN FÓRMULA""))"),"NO APLICA")</f>
        <v>NO APLICA</v>
      </c>
    </row>
    <row r="1655">
      <c r="A1655" s="83" t="s">
        <v>4618</v>
      </c>
      <c r="B1655" s="83" t="s">
        <v>4619</v>
      </c>
      <c r="C1655" s="81" t="s">
        <v>4621</v>
      </c>
      <c r="D1655" s="83" t="s">
        <v>4483</v>
      </c>
      <c r="E1655" s="81" t="s">
        <v>2254</v>
      </c>
      <c r="F1655" s="84">
        <v>432.0</v>
      </c>
      <c r="G1655" s="81" t="s">
        <v>44</v>
      </c>
      <c r="H1655" s="81" t="s">
        <v>4479</v>
      </c>
      <c r="I1655" s="81" t="s">
        <v>4480</v>
      </c>
      <c r="J1655" s="81" t="s">
        <v>4088</v>
      </c>
      <c r="K1655" s="81" t="str">
        <f>IFERROR(__xludf.DUMMYFUNCTION("IF(OR(D1655="""",G1655=""""),"""",IFERROR(LET(
campo,XLOOKUP(TRIM(G1655),ARRAYFORMULA(TRIM('indice columnas'!$A$2:$A$100)),'indice columnas'!$B$2:$B$100,""""),
col,IFERROR(MATCH(campo,Referencia!$A$1:$AZ$1,0),0),
fila,IFERROR(MATCH(TO_TEXT(D1655),ARRAYFOR"&amp;"MULA(TO_TEXT(Referencia!$A$2:$A6238)),0),0),
IF(OR(campo="""",campo=""-""),""NO APLICA"",
IF(col=0,""REVISAR EQUIVALENCIA"",
IF(fila=0,""SKU NO ENCONTRADO"",
LET(
valor,INDEX(Referencia!$A$2:$AZ6238,fila,col),
IF(TRIM(TO_TEXT(valor))=TRIM(TO_TEXT(I1655)),"&amp;"
""OK"",
""NO COINCIDE. Valor verdadero: ""&amp;IF(valor="""",""[VACÍO]"",TO_TEXT(valor))
)
))))
),""ERROR EN FÓRMULA""))"),"NO APLICA")</f>
        <v>NO APLICA</v>
      </c>
    </row>
    <row r="1656">
      <c r="A1656" s="83" t="s">
        <v>4618</v>
      </c>
      <c r="B1656" s="83" t="s">
        <v>4619</v>
      </c>
      <c r="C1656" s="81" t="s">
        <v>4621</v>
      </c>
      <c r="D1656" s="83" t="s">
        <v>4484</v>
      </c>
      <c r="E1656" s="81" t="s">
        <v>2256</v>
      </c>
      <c r="F1656" s="84">
        <v>433.0</v>
      </c>
      <c r="G1656" s="81" t="s">
        <v>44</v>
      </c>
      <c r="H1656" s="81" t="s">
        <v>4485</v>
      </c>
      <c r="I1656" s="81" t="s">
        <v>2256</v>
      </c>
      <c r="J1656" s="81" t="s">
        <v>4088</v>
      </c>
      <c r="K1656" s="81" t="str">
        <f>IFERROR(__xludf.DUMMYFUNCTION("IF(OR(D1656="""",G1656=""""),"""",IFERROR(LET(
campo,XLOOKUP(TRIM(G1656),ARRAYFORMULA(TRIM('indice columnas'!$A$2:$A$100)),'indice columnas'!$B$2:$B$100,""""),
col,IFERROR(MATCH(campo,Referencia!$A$1:$AZ$1,0),0),
fila,IFERROR(MATCH(TO_TEXT(D1656),ARRAYFOR"&amp;"MULA(TO_TEXT(Referencia!$A$2:$A6238)),0),0),
IF(OR(campo="""",campo=""-""),""NO APLICA"",
IF(col=0,""REVISAR EQUIVALENCIA"",
IF(fila=0,""SKU NO ENCONTRADO"",
LET(
valor,INDEX(Referencia!$A$2:$AZ6238,fila,col),
IF(TRIM(TO_TEXT(valor))=TRIM(TO_TEXT(I1656)),"&amp;"
""OK"",
""NO COINCIDE. Valor verdadero: ""&amp;IF(valor="""",""[VACÍO]"",TO_TEXT(valor))
)
))))
),""ERROR EN FÓRMULA""))"),"NO APLICA")</f>
        <v>NO APLICA</v>
      </c>
    </row>
    <row r="1657">
      <c r="A1657" s="83" t="s">
        <v>4618</v>
      </c>
      <c r="B1657" s="83" t="s">
        <v>4619</v>
      </c>
      <c r="C1657" s="81" t="s">
        <v>4621</v>
      </c>
      <c r="D1657" s="83" t="s">
        <v>4484</v>
      </c>
      <c r="E1657" s="81" t="s">
        <v>2267</v>
      </c>
      <c r="F1657" s="84">
        <v>434.0</v>
      </c>
      <c r="G1657" s="81" t="s">
        <v>44</v>
      </c>
      <c r="H1657" s="81" t="s">
        <v>4485</v>
      </c>
      <c r="I1657" s="81" t="s">
        <v>2256</v>
      </c>
      <c r="J1657" s="81" t="s">
        <v>4088</v>
      </c>
      <c r="K1657" s="81" t="str">
        <f>IFERROR(__xludf.DUMMYFUNCTION("IF(OR(D1657="""",G1657=""""),"""",IFERROR(LET(
campo,XLOOKUP(TRIM(G1657),ARRAYFORMULA(TRIM('indice columnas'!$A$2:$A$100)),'indice columnas'!$B$2:$B$100,""""),
col,IFERROR(MATCH(campo,Referencia!$A$1:$AZ$1,0),0),
fila,IFERROR(MATCH(TO_TEXT(D1657),ARRAYFOR"&amp;"MULA(TO_TEXT(Referencia!$A$2:$A6238)),0),0),
IF(OR(campo="""",campo=""-""),""NO APLICA"",
IF(col=0,""REVISAR EQUIVALENCIA"",
IF(fila=0,""SKU NO ENCONTRADO"",
LET(
valor,INDEX(Referencia!$A$2:$AZ6238,fila,col),
IF(TRIM(TO_TEXT(valor))=TRIM(TO_TEXT(I1657)),"&amp;"
""OK"",
""NO COINCIDE. Valor verdadero: ""&amp;IF(valor="""",""[VACÍO]"",TO_TEXT(valor))
)
))))
),""ERROR EN FÓRMULA""))"),"NO APLICA")</f>
        <v>NO APLICA</v>
      </c>
    </row>
    <row r="1658">
      <c r="A1658" s="83" t="s">
        <v>4618</v>
      </c>
      <c r="B1658" s="83" t="s">
        <v>4619</v>
      </c>
      <c r="C1658" s="81" t="s">
        <v>4621</v>
      </c>
      <c r="D1658" s="83" t="s">
        <v>4486</v>
      </c>
      <c r="E1658" s="81" t="s">
        <v>2268</v>
      </c>
      <c r="F1658" s="84">
        <v>435.0</v>
      </c>
      <c r="G1658" s="81" t="s">
        <v>44</v>
      </c>
      <c r="H1658" s="81" t="s">
        <v>4485</v>
      </c>
      <c r="I1658" s="81" t="s">
        <v>2256</v>
      </c>
      <c r="J1658" s="81" t="s">
        <v>4088</v>
      </c>
      <c r="K1658" s="81" t="str">
        <f>IFERROR(__xludf.DUMMYFUNCTION("IF(OR(D1658="""",G1658=""""),"""",IFERROR(LET(
campo,XLOOKUP(TRIM(G1658),ARRAYFORMULA(TRIM('indice columnas'!$A$2:$A$100)),'indice columnas'!$B$2:$B$100,""""),
col,IFERROR(MATCH(campo,Referencia!$A$1:$AZ$1,0),0),
fila,IFERROR(MATCH(TO_TEXT(D1658),ARRAYFOR"&amp;"MULA(TO_TEXT(Referencia!$A$2:$A6238)),0),0),
IF(OR(campo="""",campo=""-""),""NO APLICA"",
IF(col=0,""REVISAR EQUIVALENCIA"",
IF(fila=0,""SKU NO ENCONTRADO"",
LET(
valor,INDEX(Referencia!$A$2:$AZ6238,fila,col),
IF(TRIM(TO_TEXT(valor))=TRIM(TO_TEXT(I1658)),"&amp;"
""OK"",
""NO COINCIDE. Valor verdadero: ""&amp;IF(valor="""",""[VACÍO]"",TO_TEXT(valor))
)
))))
),""ERROR EN FÓRMULA""))"),"NO APLICA")</f>
        <v>NO APLICA</v>
      </c>
    </row>
    <row r="1659">
      <c r="A1659" s="83" t="s">
        <v>4618</v>
      </c>
      <c r="B1659" s="83" t="s">
        <v>4619</v>
      </c>
      <c r="C1659" s="81" t="s">
        <v>4621</v>
      </c>
      <c r="D1659" s="83" t="s">
        <v>4487</v>
      </c>
      <c r="E1659" s="81" t="s">
        <v>2271</v>
      </c>
      <c r="F1659" s="84">
        <v>436.0</v>
      </c>
      <c r="G1659" s="81" t="s">
        <v>44</v>
      </c>
      <c r="H1659" s="81" t="s">
        <v>4488</v>
      </c>
      <c r="I1659" s="81" t="s">
        <v>2271</v>
      </c>
      <c r="J1659" s="81" t="s">
        <v>4088</v>
      </c>
      <c r="K1659" s="81" t="str">
        <f>IFERROR(__xludf.DUMMYFUNCTION("IF(OR(D1659="""",G1659=""""),"""",IFERROR(LET(
campo,XLOOKUP(TRIM(G1659),ARRAYFORMULA(TRIM('indice columnas'!$A$2:$A$100)),'indice columnas'!$B$2:$B$100,""""),
col,IFERROR(MATCH(campo,Referencia!$A$1:$AZ$1,0),0),
fila,IFERROR(MATCH(TO_TEXT(D1659),ARRAYFOR"&amp;"MULA(TO_TEXT(Referencia!$A$2:$A6238)),0),0),
IF(OR(campo="""",campo=""-""),""NO APLICA"",
IF(col=0,""REVISAR EQUIVALENCIA"",
IF(fila=0,""SKU NO ENCONTRADO"",
LET(
valor,INDEX(Referencia!$A$2:$AZ6238,fila,col),
IF(TRIM(TO_TEXT(valor))=TRIM(TO_TEXT(I1659)),"&amp;"
""OK"",
""NO COINCIDE. Valor verdadero: ""&amp;IF(valor="""",""[VACÍO]"",TO_TEXT(valor))
)
))))
),""ERROR EN FÓRMULA""))"),"NO APLICA")</f>
        <v>NO APLICA</v>
      </c>
    </row>
    <row r="1660">
      <c r="A1660" s="83" t="s">
        <v>4618</v>
      </c>
      <c r="B1660" s="83" t="s">
        <v>4619</v>
      </c>
      <c r="C1660" s="81" t="s">
        <v>4621</v>
      </c>
      <c r="D1660" s="83" t="s">
        <v>4487</v>
      </c>
      <c r="E1660" s="81" t="s">
        <v>2281</v>
      </c>
      <c r="F1660" s="84">
        <v>437.0</v>
      </c>
      <c r="G1660" s="81" t="s">
        <v>44</v>
      </c>
      <c r="H1660" s="81" t="s">
        <v>4488</v>
      </c>
      <c r="I1660" s="81" t="s">
        <v>2271</v>
      </c>
      <c r="J1660" s="81" t="s">
        <v>4088</v>
      </c>
      <c r="K1660" s="81" t="str">
        <f>IFERROR(__xludf.DUMMYFUNCTION("IF(OR(D1660="""",G1660=""""),"""",IFERROR(LET(
campo,XLOOKUP(TRIM(G1660),ARRAYFORMULA(TRIM('indice columnas'!$A$2:$A$100)),'indice columnas'!$B$2:$B$100,""""),
col,IFERROR(MATCH(campo,Referencia!$A$1:$AZ$1,0),0),
fila,IFERROR(MATCH(TO_TEXT(D1660),ARRAYFOR"&amp;"MULA(TO_TEXT(Referencia!$A$2:$A6238)),0),0),
IF(OR(campo="""",campo=""-""),""NO APLICA"",
IF(col=0,""REVISAR EQUIVALENCIA"",
IF(fila=0,""SKU NO ENCONTRADO"",
LET(
valor,INDEX(Referencia!$A$2:$AZ6238,fila,col),
IF(TRIM(TO_TEXT(valor))=TRIM(TO_TEXT(I1660)),"&amp;"
""OK"",
""NO COINCIDE. Valor verdadero: ""&amp;IF(valor="""",""[VACÍO]"",TO_TEXT(valor))
)
))))
),""ERROR EN FÓRMULA""))"),"NO APLICA")</f>
        <v>NO APLICA</v>
      </c>
    </row>
    <row r="1661">
      <c r="A1661" s="83" t="s">
        <v>4618</v>
      </c>
      <c r="B1661" s="83" t="s">
        <v>4619</v>
      </c>
      <c r="C1661" s="81" t="s">
        <v>4621</v>
      </c>
      <c r="D1661" s="83" t="s">
        <v>4489</v>
      </c>
      <c r="E1661" s="81" t="s">
        <v>2282</v>
      </c>
      <c r="F1661" s="84">
        <v>438.0</v>
      </c>
      <c r="G1661" s="81" t="s">
        <v>44</v>
      </c>
      <c r="H1661" s="81" t="s">
        <v>4488</v>
      </c>
      <c r="I1661" s="81" t="s">
        <v>2271</v>
      </c>
      <c r="J1661" s="81" t="s">
        <v>4088</v>
      </c>
      <c r="K1661" s="81" t="str">
        <f>IFERROR(__xludf.DUMMYFUNCTION("IF(OR(D1661="""",G1661=""""),"""",IFERROR(LET(
campo,XLOOKUP(TRIM(G1661),ARRAYFORMULA(TRIM('indice columnas'!$A$2:$A$100)),'indice columnas'!$B$2:$B$100,""""),
col,IFERROR(MATCH(campo,Referencia!$A$1:$AZ$1,0),0),
fila,IFERROR(MATCH(TO_TEXT(D1661),ARRAYFOR"&amp;"MULA(TO_TEXT(Referencia!$A$2:$A6238)),0),0),
IF(OR(campo="""",campo=""-""),""NO APLICA"",
IF(col=0,""REVISAR EQUIVALENCIA"",
IF(fila=0,""SKU NO ENCONTRADO"",
LET(
valor,INDEX(Referencia!$A$2:$AZ6238,fila,col),
IF(TRIM(TO_TEXT(valor))=TRIM(TO_TEXT(I1661)),"&amp;"
""OK"",
""NO COINCIDE. Valor verdadero: ""&amp;IF(valor="""",""[VACÍO]"",TO_TEXT(valor))
)
))))
),""ERROR EN FÓRMULA""))"),"NO APLICA")</f>
        <v>NO APLICA</v>
      </c>
    </row>
    <row r="1662">
      <c r="A1662" s="83" t="s">
        <v>4618</v>
      </c>
      <c r="B1662" s="83" t="s">
        <v>4619</v>
      </c>
      <c r="C1662" s="81" t="s">
        <v>4621</v>
      </c>
      <c r="D1662" s="83" t="s">
        <v>4490</v>
      </c>
      <c r="E1662" s="81" t="s">
        <v>2285</v>
      </c>
      <c r="F1662" s="84">
        <v>439.0</v>
      </c>
      <c r="G1662" s="81" t="s">
        <v>44</v>
      </c>
      <c r="H1662" s="81" t="s">
        <v>4491</v>
      </c>
      <c r="I1662" s="81" t="s">
        <v>2296</v>
      </c>
      <c r="J1662" s="81" t="s">
        <v>4088</v>
      </c>
      <c r="K1662" s="81" t="str">
        <f>IFERROR(__xludf.DUMMYFUNCTION("IF(OR(D1662="""",G1662=""""),"""",IFERROR(LET(
campo,XLOOKUP(TRIM(G1662),ARRAYFORMULA(TRIM('indice columnas'!$A$2:$A$100)),'indice columnas'!$B$2:$B$100,""""),
col,IFERROR(MATCH(campo,Referencia!$A$1:$AZ$1,0),0),
fila,IFERROR(MATCH(TO_TEXT(D1662),ARRAYFOR"&amp;"MULA(TO_TEXT(Referencia!$A$2:$A6238)),0),0),
IF(OR(campo="""",campo=""-""),""NO APLICA"",
IF(col=0,""REVISAR EQUIVALENCIA"",
IF(fila=0,""SKU NO ENCONTRADO"",
LET(
valor,INDEX(Referencia!$A$2:$AZ6238,fila,col),
IF(TRIM(TO_TEXT(valor))=TRIM(TO_TEXT(I1662)),"&amp;"
""OK"",
""NO COINCIDE. Valor verdadero: ""&amp;IF(valor="""",""[VACÍO]"",TO_TEXT(valor))
)
))))
),""ERROR EN FÓRMULA""))"),"NO APLICA")</f>
        <v>NO APLICA</v>
      </c>
    </row>
    <row r="1663">
      <c r="A1663" s="83" t="s">
        <v>4618</v>
      </c>
      <c r="B1663" s="83" t="s">
        <v>4619</v>
      </c>
      <c r="C1663" s="81" t="s">
        <v>4621</v>
      </c>
      <c r="D1663" s="83" t="s">
        <v>4490</v>
      </c>
      <c r="E1663" s="81" t="s">
        <v>2295</v>
      </c>
      <c r="F1663" s="84">
        <v>440.0</v>
      </c>
      <c r="G1663" s="81" t="s">
        <v>29</v>
      </c>
      <c r="H1663" s="81" t="s">
        <v>4492</v>
      </c>
      <c r="I1663" s="81" t="s">
        <v>2289</v>
      </c>
      <c r="J1663" s="81" t="s">
        <v>224</v>
      </c>
      <c r="K1663" s="81" t="str">
        <f>IFERROR(__xludf.DUMMYFUNCTION("IF(OR(D1663="""",G1663=""""),"""",IFERROR(LET(
campo,XLOOKUP(TRIM(G1663),ARRAYFORMULA(TRIM('indice columnas'!$A$2:$A$100)),'indice columnas'!$B$2:$B$100,""""),
col,IFERROR(MATCH(campo,Referencia!$A$1:$AZ$1,0),0),
fila,IFERROR(MATCH(TO_TEXT(D1663),ARRAYFOR"&amp;"MULA(TO_TEXT(Referencia!$A$2:$A6238)),0),0),
IF(OR(campo="""",campo=""-""),""NO APLICA"",
IF(col=0,""REVISAR EQUIVALENCIA"",
IF(fila=0,""SKU NO ENCONTRADO"",
LET(
valor,INDEX(Referencia!$A$2:$AZ6238,fila,col),
IF(TRIM(TO_TEXT(valor))=TRIM(TO_TEXT(I1663)),"&amp;"
""OK"",
""NO COINCIDE. Valor verdadero: ""&amp;IF(valor="""",""[VACÍO]"",TO_TEXT(valor))
)
))))
),""ERROR EN FÓRMULA""))"),"NO COINCIDE. Valor verdadero: (Ø400/Ø600/Ø800) x 70")</f>
        <v>NO COINCIDE. Valor verdadero: (Ø400/Ø600/Ø800) x 70</v>
      </c>
    </row>
    <row r="1664">
      <c r="A1664" s="83" t="s">
        <v>4618</v>
      </c>
      <c r="B1664" s="83" t="s">
        <v>4619</v>
      </c>
      <c r="C1664" s="81" t="s">
        <v>4621</v>
      </c>
      <c r="D1664" s="83" t="s">
        <v>4490</v>
      </c>
      <c r="E1664" s="81" t="s">
        <v>2295</v>
      </c>
      <c r="F1664" s="84">
        <v>440.0</v>
      </c>
      <c r="G1664" s="81" t="s">
        <v>44</v>
      </c>
      <c r="H1664" s="81" t="s">
        <v>4491</v>
      </c>
      <c r="I1664" s="81" t="s">
        <v>2296</v>
      </c>
      <c r="J1664" s="81" t="s">
        <v>4088</v>
      </c>
      <c r="K1664" s="81" t="str">
        <f>IFERROR(__xludf.DUMMYFUNCTION("IF(OR(D1664="""",G1664=""""),"""",IFERROR(LET(
campo,XLOOKUP(TRIM(G1664),ARRAYFORMULA(TRIM('indice columnas'!$A$2:$A$100)),'indice columnas'!$B$2:$B$100,""""),
col,IFERROR(MATCH(campo,Referencia!$A$1:$AZ$1,0),0),
fila,IFERROR(MATCH(TO_TEXT(D1664),ARRAYFOR"&amp;"MULA(TO_TEXT(Referencia!$A$2:$A6238)),0),0),
IF(OR(campo="""",campo=""-""),""NO APLICA"",
IF(col=0,""REVISAR EQUIVALENCIA"",
IF(fila=0,""SKU NO ENCONTRADO"",
LET(
valor,INDEX(Referencia!$A$2:$AZ6238,fila,col),
IF(TRIM(TO_TEXT(valor))=TRIM(TO_TEXT(I1664)),"&amp;"
""OK"",
""NO COINCIDE. Valor verdadero: ""&amp;IF(valor="""",""[VACÍO]"",TO_TEXT(valor))
)
))))
),""ERROR EN FÓRMULA""))"),"NO APLICA")</f>
        <v>NO APLICA</v>
      </c>
    </row>
    <row r="1665">
      <c r="A1665" s="83" t="s">
        <v>4618</v>
      </c>
      <c r="B1665" s="83" t="s">
        <v>4619</v>
      </c>
      <c r="C1665" s="81" t="s">
        <v>4621</v>
      </c>
      <c r="D1665" s="83" t="s">
        <v>4493</v>
      </c>
      <c r="E1665" s="81" t="s">
        <v>2297</v>
      </c>
      <c r="F1665" s="84">
        <v>441.0</v>
      </c>
      <c r="G1665" s="81" t="s">
        <v>29</v>
      </c>
      <c r="H1665" s="81" t="s">
        <v>4492</v>
      </c>
      <c r="I1665" s="81" t="s">
        <v>2289</v>
      </c>
      <c r="J1665" s="81" t="s">
        <v>224</v>
      </c>
      <c r="K1665" s="81" t="str">
        <f>IFERROR(__xludf.DUMMYFUNCTION("IF(OR(D1665="""",G1665=""""),"""",IFERROR(LET(
campo,XLOOKUP(TRIM(G1665),ARRAYFORMULA(TRIM('indice columnas'!$A$2:$A$100)),'indice columnas'!$B$2:$B$100,""""),
col,IFERROR(MATCH(campo,Referencia!$A$1:$AZ$1,0),0),
fila,IFERROR(MATCH(TO_TEXT(D1665),ARRAYFOR"&amp;"MULA(TO_TEXT(Referencia!$A$2:$A6238)),0),0),
IF(OR(campo="""",campo=""-""),""NO APLICA"",
IF(col=0,""REVISAR EQUIVALENCIA"",
IF(fila=0,""SKU NO ENCONTRADO"",
LET(
valor,INDEX(Referencia!$A$2:$AZ6238,fila,col),
IF(TRIM(TO_TEXT(valor))=TRIM(TO_TEXT(I1665)),"&amp;"
""OK"",
""NO COINCIDE. Valor verdadero: ""&amp;IF(valor="""",""[VACÍO]"",TO_TEXT(valor))
)
))))
),""ERROR EN FÓRMULA""))"),"NO COINCIDE. Valor verdadero: (Ø400/Ø600/Ø800) x 70")</f>
        <v>NO COINCIDE. Valor verdadero: (Ø400/Ø600/Ø800) x 70</v>
      </c>
    </row>
    <row r="1666">
      <c r="A1666" s="83" t="s">
        <v>4618</v>
      </c>
      <c r="B1666" s="83" t="s">
        <v>4619</v>
      </c>
      <c r="C1666" s="81" t="s">
        <v>4621</v>
      </c>
      <c r="D1666" s="83" t="s">
        <v>4493</v>
      </c>
      <c r="E1666" s="81" t="s">
        <v>2297</v>
      </c>
      <c r="F1666" s="84">
        <v>441.0</v>
      </c>
      <c r="G1666" s="81" t="s">
        <v>44</v>
      </c>
      <c r="H1666" s="81" t="s">
        <v>4491</v>
      </c>
      <c r="I1666" s="81" t="s">
        <v>2296</v>
      </c>
      <c r="J1666" s="81" t="s">
        <v>4088</v>
      </c>
      <c r="K1666" s="81" t="str">
        <f>IFERROR(__xludf.DUMMYFUNCTION("IF(OR(D1666="""",G1666=""""),"""",IFERROR(LET(
campo,XLOOKUP(TRIM(G1666),ARRAYFORMULA(TRIM('indice columnas'!$A$2:$A$100)),'indice columnas'!$B$2:$B$100,""""),
col,IFERROR(MATCH(campo,Referencia!$A$1:$AZ$1,0),0),
fila,IFERROR(MATCH(TO_TEXT(D1666),ARRAYFOR"&amp;"MULA(TO_TEXT(Referencia!$A$2:$A6238)),0),0),
IF(OR(campo="""",campo=""-""),""NO APLICA"",
IF(col=0,""REVISAR EQUIVALENCIA"",
IF(fila=0,""SKU NO ENCONTRADO"",
LET(
valor,INDEX(Referencia!$A$2:$AZ6238,fila,col),
IF(TRIM(TO_TEXT(valor))=TRIM(TO_TEXT(I1666)),"&amp;"
""OK"",
""NO COINCIDE. Valor verdadero: ""&amp;IF(valor="""",""[VACÍO]"",TO_TEXT(valor))
)
))))
),""ERROR EN FÓRMULA""))"),"NO APLICA")</f>
        <v>NO APLICA</v>
      </c>
    </row>
    <row r="1667">
      <c r="A1667" s="83" t="s">
        <v>4618</v>
      </c>
      <c r="B1667" s="83" t="s">
        <v>4619</v>
      </c>
      <c r="C1667" s="81" t="s">
        <v>4621</v>
      </c>
      <c r="D1667" s="83" t="s">
        <v>4494</v>
      </c>
      <c r="E1667" s="81" t="s">
        <v>2300</v>
      </c>
      <c r="F1667" s="84">
        <v>442.0</v>
      </c>
      <c r="G1667" s="81" t="s">
        <v>44</v>
      </c>
      <c r="H1667" s="81" t="s">
        <v>224</v>
      </c>
      <c r="I1667" s="81" t="s">
        <v>2300</v>
      </c>
      <c r="J1667" s="81" t="s">
        <v>4088</v>
      </c>
      <c r="K1667" s="81" t="str">
        <f>IFERROR(__xludf.DUMMYFUNCTION("IF(OR(D1667="""",G1667=""""),"""",IFERROR(LET(
campo,XLOOKUP(TRIM(G1667),ARRAYFORMULA(TRIM('indice columnas'!$A$2:$A$100)),'indice columnas'!$B$2:$B$100,""""),
col,IFERROR(MATCH(campo,Referencia!$A$1:$AZ$1,0),0),
fila,IFERROR(MATCH(TO_TEXT(D1667),ARRAYFOR"&amp;"MULA(TO_TEXT(Referencia!$A$2:$A6238)),0),0),
IF(OR(campo="""",campo=""-""),""NO APLICA"",
IF(col=0,""REVISAR EQUIVALENCIA"",
IF(fila=0,""SKU NO ENCONTRADO"",
LET(
valor,INDEX(Referencia!$A$2:$AZ6238,fila,col),
IF(TRIM(TO_TEXT(valor))=TRIM(TO_TEXT(I1667)),"&amp;"
""OK"",
""NO COINCIDE. Valor verdadero: ""&amp;IF(valor="""",""[VACÍO]"",TO_TEXT(valor))
)
))))
),""ERROR EN FÓRMULA""))"),"NO APLICA")</f>
        <v>NO APLICA</v>
      </c>
    </row>
    <row r="1668">
      <c r="A1668" s="83" t="s">
        <v>4618</v>
      </c>
      <c r="B1668" s="83" t="s">
        <v>4619</v>
      </c>
      <c r="C1668" s="81" t="s">
        <v>4621</v>
      </c>
      <c r="D1668" s="83" t="s">
        <v>4494</v>
      </c>
      <c r="E1668" s="81" t="s">
        <v>2307</v>
      </c>
      <c r="F1668" s="84">
        <v>443.0</v>
      </c>
      <c r="G1668" s="81" t="s">
        <v>12</v>
      </c>
      <c r="H1668" s="81" t="s">
        <v>224</v>
      </c>
      <c r="I1668" s="81" t="s">
        <v>55</v>
      </c>
      <c r="J1668" s="81" t="s">
        <v>224</v>
      </c>
      <c r="K1668" s="81" t="str">
        <f>IFERROR(__xludf.DUMMYFUNCTION("IF(OR(D1668="""",G1668=""""),"""",IFERROR(LET(
campo,XLOOKUP(TRIM(G1668),ARRAYFORMULA(TRIM('indice columnas'!$A$2:$A$100)),'indice columnas'!$B$2:$B$100,""""),
col,IFERROR(MATCH(campo,Referencia!$A$1:$AZ$1,0),0),
fila,IFERROR(MATCH(TO_TEXT(D1668),ARRAYFOR"&amp;"MULA(TO_TEXT(Referencia!$A$2:$A6238)),0),0),
IF(OR(campo="""",campo=""-""),""NO APLICA"",
IF(col=0,""REVISAR EQUIVALENCIA"",
IF(fila=0,""SKU NO ENCONTRADO"",
LET(
valor,INDEX(Referencia!$A$2:$AZ6238,fila,col),
IF(TRIM(TO_TEXT(valor))=TRIM(TO_TEXT(I1668)),"&amp;"
""OK"",
""NO COINCIDE. Valor verdadero: ""&amp;IF(valor="""",""[VACÍO]"",TO_TEXT(valor))
)
))))
),""ERROR EN FÓRMULA""))"),"OK")</f>
        <v>OK</v>
      </c>
    </row>
    <row r="1669">
      <c r="A1669" s="83" t="s">
        <v>4618</v>
      </c>
      <c r="B1669" s="83" t="s">
        <v>4619</v>
      </c>
      <c r="C1669" s="81" t="s">
        <v>4621</v>
      </c>
      <c r="D1669" s="83" t="s">
        <v>4494</v>
      </c>
      <c r="E1669" s="81" t="s">
        <v>2307</v>
      </c>
      <c r="F1669" s="84">
        <v>443.0</v>
      </c>
      <c r="G1669" s="81" t="s">
        <v>44</v>
      </c>
      <c r="H1669" s="81" t="s">
        <v>224</v>
      </c>
      <c r="I1669" s="81" t="s">
        <v>2300</v>
      </c>
      <c r="J1669" s="81" t="s">
        <v>4088</v>
      </c>
      <c r="K1669" s="81" t="str">
        <f>IFERROR(__xludf.DUMMYFUNCTION("IF(OR(D1669="""",G1669=""""),"""",IFERROR(LET(
campo,XLOOKUP(TRIM(G1669),ARRAYFORMULA(TRIM('indice columnas'!$A$2:$A$100)),'indice columnas'!$B$2:$B$100,""""),
col,IFERROR(MATCH(campo,Referencia!$A$1:$AZ$1,0),0),
fila,IFERROR(MATCH(TO_TEXT(D1669),ARRAYFOR"&amp;"MULA(TO_TEXT(Referencia!$A$2:$A6238)),0),0),
IF(OR(campo="""",campo=""-""),""NO APLICA"",
IF(col=0,""REVISAR EQUIVALENCIA"",
IF(fila=0,""SKU NO ENCONTRADO"",
LET(
valor,INDEX(Referencia!$A$2:$AZ6238,fila,col),
IF(TRIM(TO_TEXT(valor))=TRIM(TO_TEXT(I1669)),"&amp;"
""OK"",
""NO COINCIDE. Valor verdadero: ""&amp;IF(valor="""",""[VACÍO]"",TO_TEXT(valor))
)
))))
),""ERROR EN FÓRMULA""))"),"NO APLICA")</f>
        <v>NO APLICA</v>
      </c>
    </row>
    <row r="1670">
      <c r="A1670" s="83" t="s">
        <v>4618</v>
      </c>
      <c r="B1670" s="83" t="s">
        <v>4619</v>
      </c>
      <c r="C1670" s="81" t="s">
        <v>4621</v>
      </c>
      <c r="D1670" s="83" t="s">
        <v>4495</v>
      </c>
      <c r="E1670" s="81" t="s">
        <v>2308</v>
      </c>
      <c r="F1670" s="84">
        <v>444.0</v>
      </c>
      <c r="G1670" s="81" t="s">
        <v>12</v>
      </c>
      <c r="H1670" s="81" t="s">
        <v>224</v>
      </c>
      <c r="I1670" s="81" t="s">
        <v>55</v>
      </c>
      <c r="J1670" s="81" t="s">
        <v>224</v>
      </c>
      <c r="K1670" s="81" t="str">
        <f>IFERROR(__xludf.DUMMYFUNCTION("IF(OR(D1670="""",G1670=""""),"""",IFERROR(LET(
campo,XLOOKUP(TRIM(G1670),ARRAYFORMULA(TRIM('indice columnas'!$A$2:$A$100)),'indice columnas'!$B$2:$B$100,""""),
col,IFERROR(MATCH(campo,Referencia!$A$1:$AZ$1,0),0),
fila,IFERROR(MATCH(TO_TEXT(D1670),ARRAYFOR"&amp;"MULA(TO_TEXT(Referencia!$A$2:$A6238)),0),0),
IF(OR(campo="""",campo=""-""),""NO APLICA"",
IF(col=0,""REVISAR EQUIVALENCIA"",
IF(fila=0,""SKU NO ENCONTRADO"",
LET(
valor,INDEX(Referencia!$A$2:$AZ6238,fila,col),
IF(TRIM(TO_TEXT(valor))=TRIM(TO_TEXT(I1670)),"&amp;"
""OK"",
""NO COINCIDE. Valor verdadero: ""&amp;IF(valor="""",""[VACÍO]"",TO_TEXT(valor))
)
))))
),""ERROR EN FÓRMULA""))"),"OK")</f>
        <v>OK</v>
      </c>
    </row>
    <row r="1671">
      <c r="A1671" s="83" t="s">
        <v>4618</v>
      </c>
      <c r="B1671" s="83" t="s">
        <v>4619</v>
      </c>
      <c r="C1671" s="81" t="s">
        <v>4621</v>
      </c>
      <c r="D1671" s="83" t="s">
        <v>4495</v>
      </c>
      <c r="E1671" s="81" t="s">
        <v>2308</v>
      </c>
      <c r="F1671" s="84">
        <v>444.0</v>
      </c>
      <c r="G1671" s="81" t="s">
        <v>44</v>
      </c>
      <c r="H1671" s="81" t="s">
        <v>224</v>
      </c>
      <c r="I1671" s="81" t="s">
        <v>2300</v>
      </c>
      <c r="J1671" s="81" t="s">
        <v>4088</v>
      </c>
      <c r="K1671" s="81" t="str">
        <f>IFERROR(__xludf.DUMMYFUNCTION("IF(OR(D1671="""",G1671=""""),"""",IFERROR(LET(
campo,XLOOKUP(TRIM(G1671),ARRAYFORMULA(TRIM('indice columnas'!$A$2:$A$100)),'indice columnas'!$B$2:$B$100,""""),
col,IFERROR(MATCH(campo,Referencia!$A$1:$AZ$1,0),0),
fila,IFERROR(MATCH(TO_TEXT(D1671),ARRAYFOR"&amp;"MULA(TO_TEXT(Referencia!$A$2:$A6238)),0),0),
IF(OR(campo="""",campo=""-""),""NO APLICA"",
IF(col=0,""REVISAR EQUIVALENCIA"",
IF(fila=0,""SKU NO ENCONTRADO"",
LET(
valor,INDEX(Referencia!$A$2:$AZ6238,fila,col),
IF(TRIM(TO_TEXT(valor))=TRIM(TO_TEXT(I1671)),"&amp;"
""OK"",
""NO COINCIDE. Valor verdadero: ""&amp;IF(valor="""",""[VACÍO]"",TO_TEXT(valor))
)
))))
),""ERROR EN FÓRMULA""))"),"NO APLICA")</f>
        <v>NO APLICA</v>
      </c>
    </row>
    <row r="1672">
      <c r="A1672" s="83" t="s">
        <v>4618</v>
      </c>
      <c r="B1672" s="83" t="s">
        <v>4619</v>
      </c>
      <c r="C1672" s="81" t="s">
        <v>4621</v>
      </c>
      <c r="D1672" s="83" t="s">
        <v>4496</v>
      </c>
      <c r="E1672" s="81" t="s">
        <v>2310</v>
      </c>
      <c r="F1672" s="84">
        <v>445.0</v>
      </c>
      <c r="G1672" s="81" t="s">
        <v>44</v>
      </c>
      <c r="H1672" s="81" t="s">
        <v>224</v>
      </c>
      <c r="I1672" s="81" t="s">
        <v>2310</v>
      </c>
      <c r="J1672" s="81" t="s">
        <v>4088</v>
      </c>
      <c r="K1672" s="81" t="str">
        <f>IFERROR(__xludf.DUMMYFUNCTION("IF(OR(D1672="""",G1672=""""),"""",IFERROR(LET(
campo,XLOOKUP(TRIM(G1672),ARRAYFORMULA(TRIM('indice columnas'!$A$2:$A$100)),'indice columnas'!$B$2:$B$100,""""),
col,IFERROR(MATCH(campo,Referencia!$A$1:$AZ$1,0),0),
fila,IFERROR(MATCH(TO_TEXT(D1672),ARRAYFOR"&amp;"MULA(TO_TEXT(Referencia!$A$2:$A6238)),0),0),
IF(OR(campo="""",campo=""-""),""NO APLICA"",
IF(col=0,""REVISAR EQUIVALENCIA"",
IF(fila=0,""SKU NO ENCONTRADO"",
LET(
valor,INDEX(Referencia!$A$2:$AZ6238,fila,col),
IF(TRIM(TO_TEXT(valor))=TRIM(TO_TEXT(I1672)),"&amp;"
""OK"",
""NO COINCIDE. Valor verdadero: ""&amp;IF(valor="""",""[VACÍO]"",TO_TEXT(valor))
)
))))
),""ERROR EN FÓRMULA""))"),"NO APLICA")</f>
        <v>NO APLICA</v>
      </c>
    </row>
    <row r="1673">
      <c r="A1673" s="83" t="s">
        <v>4618</v>
      </c>
      <c r="B1673" s="83" t="s">
        <v>4619</v>
      </c>
      <c r="C1673" s="81" t="s">
        <v>4621</v>
      </c>
      <c r="D1673" s="83" t="s">
        <v>4496</v>
      </c>
      <c r="E1673" s="81" t="s">
        <v>2317</v>
      </c>
      <c r="F1673" s="84">
        <v>446.0</v>
      </c>
      <c r="G1673" s="81" t="s">
        <v>12</v>
      </c>
      <c r="H1673" s="81" t="s">
        <v>224</v>
      </c>
      <c r="I1673" s="81" t="s">
        <v>55</v>
      </c>
      <c r="J1673" s="81" t="s">
        <v>224</v>
      </c>
      <c r="K1673" s="81" t="str">
        <f>IFERROR(__xludf.DUMMYFUNCTION("IF(OR(D1673="""",G1673=""""),"""",IFERROR(LET(
campo,XLOOKUP(TRIM(G1673),ARRAYFORMULA(TRIM('indice columnas'!$A$2:$A$100)),'indice columnas'!$B$2:$B$100,""""),
col,IFERROR(MATCH(campo,Referencia!$A$1:$AZ$1,0),0),
fila,IFERROR(MATCH(TO_TEXT(D1673),ARRAYFOR"&amp;"MULA(TO_TEXT(Referencia!$A$2:$A6238)),0),0),
IF(OR(campo="""",campo=""-""),""NO APLICA"",
IF(col=0,""REVISAR EQUIVALENCIA"",
IF(fila=0,""SKU NO ENCONTRADO"",
LET(
valor,INDEX(Referencia!$A$2:$AZ6238,fila,col),
IF(TRIM(TO_TEXT(valor))=TRIM(TO_TEXT(I1673)),"&amp;"
""OK"",
""NO COINCIDE. Valor verdadero: ""&amp;IF(valor="""",""[VACÍO]"",TO_TEXT(valor))
)
))))
),""ERROR EN FÓRMULA""))"),"OK")</f>
        <v>OK</v>
      </c>
    </row>
    <row r="1674">
      <c r="A1674" s="83" t="s">
        <v>4618</v>
      </c>
      <c r="B1674" s="83" t="s">
        <v>4619</v>
      </c>
      <c r="C1674" s="81" t="s">
        <v>4621</v>
      </c>
      <c r="D1674" s="83" t="s">
        <v>4496</v>
      </c>
      <c r="E1674" s="81" t="s">
        <v>2317</v>
      </c>
      <c r="F1674" s="84">
        <v>446.0</v>
      </c>
      <c r="G1674" s="81" t="s">
        <v>44</v>
      </c>
      <c r="H1674" s="81" t="s">
        <v>224</v>
      </c>
      <c r="I1674" s="81" t="s">
        <v>2310</v>
      </c>
      <c r="J1674" s="81" t="s">
        <v>4088</v>
      </c>
      <c r="K1674" s="81" t="str">
        <f>IFERROR(__xludf.DUMMYFUNCTION("IF(OR(D1674="""",G1674=""""),"""",IFERROR(LET(
campo,XLOOKUP(TRIM(G1674),ARRAYFORMULA(TRIM('indice columnas'!$A$2:$A$100)),'indice columnas'!$B$2:$B$100,""""),
col,IFERROR(MATCH(campo,Referencia!$A$1:$AZ$1,0),0),
fila,IFERROR(MATCH(TO_TEXT(D1674),ARRAYFOR"&amp;"MULA(TO_TEXT(Referencia!$A$2:$A6238)),0),0),
IF(OR(campo="""",campo=""-""),""NO APLICA"",
IF(col=0,""REVISAR EQUIVALENCIA"",
IF(fila=0,""SKU NO ENCONTRADO"",
LET(
valor,INDEX(Referencia!$A$2:$AZ6238,fila,col),
IF(TRIM(TO_TEXT(valor))=TRIM(TO_TEXT(I1674)),"&amp;"
""OK"",
""NO COINCIDE. Valor verdadero: ""&amp;IF(valor="""",""[VACÍO]"",TO_TEXT(valor))
)
))))
),""ERROR EN FÓRMULA""))"),"NO APLICA")</f>
        <v>NO APLICA</v>
      </c>
    </row>
    <row r="1675">
      <c r="A1675" s="83" t="s">
        <v>4618</v>
      </c>
      <c r="B1675" s="83" t="s">
        <v>4619</v>
      </c>
      <c r="C1675" s="81" t="s">
        <v>4621</v>
      </c>
      <c r="D1675" s="83" t="s">
        <v>4497</v>
      </c>
      <c r="E1675" s="81" t="s">
        <v>2318</v>
      </c>
      <c r="F1675" s="84">
        <v>447.0</v>
      </c>
      <c r="G1675" s="81" t="s">
        <v>12</v>
      </c>
      <c r="H1675" s="81" t="s">
        <v>224</v>
      </c>
      <c r="I1675" s="81" t="s">
        <v>55</v>
      </c>
      <c r="J1675" s="81" t="s">
        <v>224</v>
      </c>
      <c r="K1675" s="81" t="str">
        <f>IFERROR(__xludf.DUMMYFUNCTION("IF(OR(D1675="""",G1675=""""),"""",IFERROR(LET(
campo,XLOOKUP(TRIM(G1675),ARRAYFORMULA(TRIM('indice columnas'!$A$2:$A$100)),'indice columnas'!$B$2:$B$100,""""),
col,IFERROR(MATCH(campo,Referencia!$A$1:$AZ$1,0),0),
fila,IFERROR(MATCH(TO_TEXT(D1675),ARRAYFOR"&amp;"MULA(TO_TEXT(Referencia!$A$2:$A6238)),0),0),
IF(OR(campo="""",campo=""-""),""NO APLICA"",
IF(col=0,""REVISAR EQUIVALENCIA"",
IF(fila=0,""SKU NO ENCONTRADO"",
LET(
valor,INDEX(Referencia!$A$2:$AZ6238,fila,col),
IF(TRIM(TO_TEXT(valor))=TRIM(TO_TEXT(I1675)),"&amp;"
""OK"",
""NO COINCIDE. Valor verdadero: ""&amp;IF(valor="""",""[VACÍO]"",TO_TEXT(valor))
)
))))
),""ERROR EN FÓRMULA""))"),"OK")</f>
        <v>OK</v>
      </c>
    </row>
    <row r="1676">
      <c r="A1676" s="83" t="s">
        <v>4618</v>
      </c>
      <c r="B1676" s="83" t="s">
        <v>4619</v>
      </c>
      <c r="C1676" s="81" t="s">
        <v>4621</v>
      </c>
      <c r="D1676" s="83" t="s">
        <v>4497</v>
      </c>
      <c r="E1676" s="81" t="s">
        <v>2318</v>
      </c>
      <c r="F1676" s="84">
        <v>447.0</v>
      </c>
      <c r="G1676" s="81" t="s">
        <v>44</v>
      </c>
      <c r="H1676" s="81" t="s">
        <v>224</v>
      </c>
      <c r="I1676" s="81" t="s">
        <v>2310</v>
      </c>
      <c r="J1676" s="81" t="s">
        <v>4088</v>
      </c>
      <c r="K1676" s="81" t="str">
        <f>IFERROR(__xludf.DUMMYFUNCTION("IF(OR(D1676="""",G1676=""""),"""",IFERROR(LET(
campo,XLOOKUP(TRIM(G1676),ARRAYFORMULA(TRIM('indice columnas'!$A$2:$A$100)),'indice columnas'!$B$2:$B$100,""""),
col,IFERROR(MATCH(campo,Referencia!$A$1:$AZ$1,0),0),
fila,IFERROR(MATCH(TO_TEXT(D1676),ARRAYFOR"&amp;"MULA(TO_TEXT(Referencia!$A$2:$A6238)),0),0),
IF(OR(campo="""",campo=""-""),""NO APLICA"",
IF(col=0,""REVISAR EQUIVALENCIA"",
IF(fila=0,""SKU NO ENCONTRADO"",
LET(
valor,INDEX(Referencia!$A$2:$AZ6238,fila,col),
IF(TRIM(TO_TEXT(valor))=TRIM(TO_TEXT(I1676)),"&amp;"
""OK"",
""NO COINCIDE. Valor verdadero: ""&amp;IF(valor="""",""[VACÍO]"",TO_TEXT(valor))
)
))))
),""ERROR EN FÓRMULA""))"),"NO APLICA")</f>
        <v>NO APLICA</v>
      </c>
    </row>
    <row r="1677">
      <c r="A1677" s="83" t="s">
        <v>4618</v>
      </c>
      <c r="B1677" s="83" t="s">
        <v>4619</v>
      </c>
      <c r="C1677" s="81" t="s">
        <v>4621</v>
      </c>
      <c r="D1677" s="83" t="s">
        <v>4498</v>
      </c>
      <c r="E1677" s="81" t="s">
        <v>2320</v>
      </c>
      <c r="F1677" s="84">
        <v>448.0</v>
      </c>
      <c r="G1677" s="81" t="s">
        <v>44</v>
      </c>
      <c r="H1677" s="81" t="s">
        <v>224</v>
      </c>
      <c r="I1677" s="81" t="s">
        <v>924</v>
      </c>
      <c r="J1677" s="81" t="s">
        <v>4088</v>
      </c>
      <c r="K1677" s="81" t="str">
        <f>IFERROR(__xludf.DUMMYFUNCTION("IF(OR(D1677="""",G1677=""""),"""",IFERROR(LET(
campo,XLOOKUP(TRIM(G1677),ARRAYFORMULA(TRIM('indice columnas'!$A$2:$A$100)),'indice columnas'!$B$2:$B$100,""""),
col,IFERROR(MATCH(campo,Referencia!$A$1:$AZ$1,0),0),
fila,IFERROR(MATCH(TO_TEXT(D1677),ARRAYFOR"&amp;"MULA(TO_TEXT(Referencia!$A$2:$A6238)),0),0),
IF(OR(campo="""",campo=""-""),""NO APLICA"",
IF(col=0,""REVISAR EQUIVALENCIA"",
IF(fila=0,""SKU NO ENCONTRADO"",
LET(
valor,INDEX(Referencia!$A$2:$AZ6238,fila,col),
IF(TRIM(TO_TEXT(valor))=TRIM(TO_TEXT(I1677)),"&amp;"
""OK"",
""NO COINCIDE. Valor verdadero: ""&amp;IF(valor="""",""[VACÍO]"",TO_TEXT(valor))
)
))))
),""ERROR EN FÓRMULA""))"),"NO APLICA")</f>
        <v>NO APLICA</v>
      </c>
    </row>
    <row r="1678">
      <c r="A1678" s="83" t="s">
        <v>4618</v>
      </c>
      <c r="B1678" s="83" t="s">
        <v>4619</v>
      </c>
      <c r="C1678" s="81" t="s">
        <v>4621</v>
      </c>
      <c r="D1678" s="83" t="s">
        <v>4498</v>
      </c>
      <c r="E1678" s="81" t="s">
        <v>2324</v>
      </c>
      <c r="F1678" s="84">
        <v>449.0</v>
      </c>
      <c r="G1678" s="81" t="s">
        <v>12</v>
      </c>
      <c r="H1678" s="81" t="s">
        <v>224</v>
      </c>
      <c r="I1678" s="81" t="s">
        <v>55</v>
      </c>
      <c r="J1678" s="81" t="s">
        <v>224</v>
      </c>
      <c r="K1678" s="81" t="str">
        <f>IFERROR(__xludf.DUMMYFUNCTION("IF(OR(D1678="""",G1678=""""),"""",IFERROR(LET(
campo,XLOOKUP(TRIM(G1678),ARRAYFORMULA(TRIM('indice columnas'!$A$2:$A$100)),'indice columnas'!$B$2:$B$100,""""),
col,IFERROR(MATCH(campo,Referencia!$A$1:$AZ$1,0),0),
fila,IFERROR(MATCH(TO_TEXT(D1678),ARRAYFOR"&amp;"MULA(TO_TEXT(Referencia!$A$2:$A6238)),0),0),
IF(OR(campo="""",campo=""-""),""NO APLICA"",
IF(col=0,""REVISAR EQUIVALENCIA"",
IF(fila=0,""SKU NO ENCONTRADO"",
LET(
valor,INDEX(Referencia!$A$2:$AZ6238,fila,col),
IF(TRIM(TO_TEXT(valor))=TRIM(TO_TEXT(I1678)),"&amp;"
""OK"",
""NO COINCIDE. Valor verdadero: ""&amp;IF(valor="""",""[VACÍO]"",TO_TEXT(valor))
)
))))
),""ERROR EN FÓRMULA""))"),"OK")</f>
        <v>OK</v>
      </c>
    </row>
    <row r="1679">
      <c r="A1679" s="83" t="s">
        <v>4618</v>
      </c>
      <c r="B1679" s="83" t="s">
        <v>4619</v>
      </c>
      <c r="C1679" s="81" t="s">
        <v>4621</v>
      </c>
      <c r="D1679" s="83" t="s">
        <v>4498</v>
      </c>
      <c r="E1679" s="81" t="s">
        <v>2324</v>
      </c>
      <c r="F1679" s="84">
        <v>449.0</v>
      </c>
      <c r="G1679" s="81" t="s">
        <v>29</v>
      </c>
      <c r="H1679" s="81" t="s">
        <v>4499</v>
      </c>
      <c r="I1679" s="81" t="s">
        <v>2325</v>
      </c>
      <c r="J1679" s="81" t="s">
        <v>224</v>
      </c>
      <c r="K1679" s="81" t="str">
        <f>IFERROR(__xludf.DUMMYFUNCTION("IF(OR(D1679="""",G1679=""""),"""",IFERROR(LET(
campo,XLOOKUP(TRIM(G1679),ARRAYFORMULA(TRIM('indice columnas'!$A$2:$A$100)),'indice columnas'!$B$2:$B$100,""""),
col,IFERROR(MATCH(campo,Referencia!$A$1:$AZ$1,0),0),
fila,IFERROR(MATCH(TO_TEXT(D1679),ARRAYFOR"&amp;"MULA(TO_TEXT(Referencia!$A$2:$A6238)),0),0),
IF(OR(campo="""",campo=""-""),""NO APLICA"",
IF(col=0,""REVISAR EQUIVALENCIA"",
IF(fila=0,""SKU NO ENCONTRADO"",
LET(
valor,INDEX(Referencia!$A$2:$AZ6238,fila,col),
IF(TRIM(TO_TEXT(valor))=TRIM(TO_TEXT(I1679)),"&amp;"
""OK"",
""NO COINCIDE. Valor verdadero: ""&amp;IF(valor="""",""[VACÍO]"",TO_TEXT(valor))
)
))))
),""ERROR EN FÓRMULA""))"),"NO COINCIDE. Valor verdadero: 18 x 7 x 1000 (Ancho x Alto x Largo)")</f>
        <v>NO COINCIDE. Valor verdadero: 18 x 7 x 1000 (Ancho x Alto x Largo)</v>
      </c>
    </row>
    <row r="1680">
      <c r="A1680" s="83" t="s">
        <v>4618</v>
      </c>
      <c r="B1680" s="83" t="s">
        <v>4619</v>
      </c>
      <c r="C1680" s="81" t="s">
        <v>4621</v>
      </c>
      <c r="D1680" s="83" t="s">
        <v>4498</v>
      </c>
      <c r="E1680" s="81" t="s">
        <v>2324</v>
      </c>
      <c r="F1680" s="84">
        <v>449.0</v>
      </c>
      <c r="G1680" s="81" t="s">
        <v>44</v>
      </c>
      <c r="H1680" s="81" t="s">
        <v>224</v>
      </c>
      <c r="I1680" s="81" t="s">
        <v>924</v>
      </c>
      <c r="J1680" s="81" t="s">
        <v>4088</v>
      </c>
      <c r="K1680" s="81" t="str">
        <f>IFERROR(__xludf.DUMMYFUNCTION("IF(OR(D1680="""",G1680=""""),"""",IFERROR(LET(
campo,XLOOKUP(TRIM(G1680),ARRAYFORMULA(TRIM('indice columnas'!$A$2:$A$100)),'indice columnas'!$B$2:$B$100,""""),
col,IFERROR(MATCH(campo,Referencia!$A$1:$AZ$1,0),0),
fila,IFERROR(MATCH(TO_TEXT(D1680),ARRAYFOR"&amp;"MULA(TO_TEXT(Referencia!$A$2:$A6238)),0),0),
IF(OR(campo="""",campo=""-""),""NO APLICA"",
IF(col=0,""REVISAR EQUIVALENCIA"",
IF(fila=0,""SKU NO ENCONTRADO"",
LET(
valor,INDEX(Referencia!$A$2:$AZ6238,fila,col),
IF(TRIM(TO_TEXT(valor))=TRIM(TO_TEXT(I1680)),"&amp;"
""OK"",
""NO COINCIDE. Valor verdadero: ""&amp;IF(valor="""",""[VACÍO]"",TO_TEXT(valor))
)
))))
),""ERROR EN FÓRMULA""))"),"NO APLICA")</f>
        <v>NO APLICA</v>
      </c>
    </row>
    <row r="1681">
      <c r="A1681" s="83" t="s">
        <v>4618</v>
      </c>
      <c r="B1681" s="83" t="s">
        <v>4619</v>
      </c>
      <c r="C1681" s="81" t="s">
        <v>4621</v>
      </c>
      <c r="D1681" s="83" t="s">
        <v>4500</v>
      </c>
      <c r="E1681" s="81" t="s">
        <v>2326</v>
      </c>
      <c r="F1681" s="84">
        <v>450.0</v>
      </c>
      <c r="G1681" s="81" t="s">
        <v>12</v>
      </c>
      <c r="H1681" s="81" t="s">
        <v>224</v>
      </c>
      <c r="I1681" s="81" t="s">
        <v>55</v>
      </c>
      <c r="J1681" s="81" t="s">
        <v>224</v>
      </c>
      <c r="K1681" s="81" t="str">
        <f>IFERROR(__xludf.DUMMYFUNCTION("IF(OR(D1681="""",G1681=""""),"""",IFERROR(LET(
campo,XLOOKUP(TRIM(G1681),ARRAYFORMULA(TRIM('indice columnas'!$A$2:$A$100)),'indice columnas'!$B$2:$B$100,""""),
col,IFERROR(MATCH(campo,Referencia!$A$1:$AZ$1,0),0),
fila,IFERROR(MATCH(TO_TEXT(D1681),ARRAYFOR"&amp;"MULA(TO_TEXT(Referencia!$A$2:$A6238)),0),0),
IF(OR(campo="""",campo=""-""),""NO APLICA"",
IF(col=0,""REVISAR EQUIVALENCIA"",
IF(fila=0,""SKU NO ENCONTRADO"",
LET(
valor,INDEX(Referencia!$A$2:$AZ6238,fila,col),
IF(TRIM(TO_TEXT(valor))=TRIM(TO_TEXT(I1681)),"&amp;"
""OK"",
""NO COINCIDE. Valor verdadero: ""&amp;IF(valor="""",""[VACÍO]"",TO_TEXT(valor))
)
))))
),""ERROR EN FÓRMULA""))"),"OK")</f>
        <v>OK</v>
      </c>
    </row>
    <row r="1682">
      <c r="A1682" s="83" t="s">
        <v>4618</v>
      </c>
      <c r="B1682" s="83" t="s">
        <v>4619</v>
      </c>
      <c r="C1682" s="81" t="s">
        <v>4621</v>
      </c>
      <c r="D1682" s="83" t="s">
        <v>4500</v>
      </c>
      <c r="E1682" s="81" t="s">
        <v>2326</v>
      </c>
      <c r="F1682" s="84">
        <v>450.0</v>
      </c>
      <c r="G1682" s="81" t="s">
        <v>29</v>
      </c>
      <c r="H1682" s="81" t="s">
        <v>4499</v>
      </c>
      <c r="I1682" s="81" t="s">
        <v>2325</v>
      </c>
      <c r="J1682" s="81" t="s">
        <v>224</v>
      </c>
      <c r="K1682" s="81" t="str">
        <f>IFERROR(__xludf.DUMMYFUNCTION("IF(OR(D1682="""",G1682=""""),"""",IFERROR(LET(
campo,XLOOKUP(TRIM(G1682),ARRAYFORMULA(TRIM('indice columnas'!$A$2:$A$100)),'indice columnas'!$B$2:$B$100,""""),
col,IFERROR(MATCH(campo,Referencia!$A$1:$AZ$1,0),0),
fila,IFERROR(MATCH(TO_TEXT(D1682),ARRAYFOR"&amp;"MULA(TO_TEXT(Referencia!$A$2:$A6238)),0),0),
IF(OR(campo="""",campo=""-""),""NO APLICA"",
IF(col=0,""REVISAR EQUIVALENCIA"",
IF(fila=0,""SKU NO ENCONTRADO"",
LET(
valor,INDEX(Referencia!$A$2:$AZ6238,fila,col),
IF(TRIM(TO_TEXT(valor))=TRIM(TO_TEXT(I1682)),"&amp;"
""OK"",
""NO COINCIDE. Valor verdadero: ""&amp;IF(valor="""",""[VACÍO]"",TO_TEXT(valor))
)
))))
),""ERROR EN FÓRMULA""))"),"NO COINCIDE. Valor verdadero: 18 x 7 x 1000 (Ancho x Alto x Largo)")</f>
        <v>NO COINCIDE. Valor verdadero: 18 x 7 x 1000 (Ancho x Alto x Largo)</v>
      </c>
    </row>
    <row r="1683">
      <c r="A1683" s="83" t="s">
        <v>4618</v>
      </c>
      <c r="B1683" s="83" t="s">
        <v>4619</v>
      </c>
      <c r="C1683" s="81" t="s">
        <v>4621</v>
      </c>
      <c r="D1683" s="83" t="s">
        <v>4500</v>
      </c>
      <c r="E1683" s="81" t="s">
        <v>2326</v>
      </c>
      <c r="F1683" s="84">
        <v>450.0</v>
      </c>
      <c r="G1683" s="81" t="s">
        <v>44</v>
      </c>
      <c r="H1683" s="81" t="s">
        <v>224</v>
      </c>
      <c r="I1683" s="81" t="s">
        <v>924</v>
      </c>
      <c r="J1683" s="81" t="s">
        <v>4088</v>
      </c>
      <c r="K1683" s="81" t="str">
        <f>IFERROR(__xludf.DUMMYFUNCTION("IF(OR(D1683="""",G1683=""""),"""",IFERROR(LET(
campo,XLOOKUP(TRIM(G1683),ARRAYFORMULA(TRIM('indice columnas'!$A$2:$A$100)),'indice columnas'!$B$2:$B$100,""""),
col,IFERROR(MATCH(campo,Referencia!$A$1:$AZ$1,0),0),
fila,IFERROR(MATCH(TO_TEXT(D1683),ARRAYFOR"&amp;"MULA(TO_TEXT(Referencia!$A$2:$A6238)),0),0),
IF(OR(campo="""",campo=""-""),""NO APLICA"",
IF(col=0,""REVISAR EQUIVALENCIA"",
IF(fila=0,""SKU NO ENCONTRADO"",
LET(
valor,INDEX(Referencia!$A$2:$AZ6238,fila,col),
IF(TRIM(TO_TEXT(valor))=TRIM(TO_TEXT(I1683)),"&amp;"
""OK"",
""NO COINCIDE. Valor verdadero: ""&amp;IF(valor="""",""[VACÍO]"",TO_TEXT(valor))
)
))))
),""ERROR EN FÓRMULA""))"),"NO APLICA")</f>
        <v>NO APLICA</v>
      </c>
    </row>
    <row r="1684">
      <c r="A1684" s="83" t="s">
        <v>4618</v>
      </c>
      <c r="B1684" s="83" t="s">
        <v>4619</v>
      </c>
      <c r="C1684" s="81" t="s">
        <v>4621</v>
      </c>
      <c r="D1684" s="83" t="s">
        <v>4501</v>
      </c>
      <c r="E1684" s="81" t="s">
        <v>2329</v>
      </c>
      <c r="F1684" s="84">
        <v>451.0</v>
      </c>
      <c r="G1684" s="81" t="s">
        <v>12</v>
      </c>
      <c r="H1684" s="81" t="s">
        <v>224</v>
      </c>
      <c r="I1684" s="81" t="s">
        <v>55</v>
      </c>
      <c r="J1684" s="81" t="s">
        <v>224</v>
      </c>
      <c r="K1684" s="81" t="str">
        <f>IFERROR(__xludf.DUMMYFUNCTION("IF(OR(D1684="""",G1684=""""),"""",IFERROR(LET(
campo,XLOOKUP(TRIM(G1684),ARRAYFORMULA(TRIM('indice columnas'!$A$2:$A$100)),'indice columnas'!$B$2:$B$100,""""),
col,IFERROR(MATCH(campo,Referencia!$A$1:$AZ$1,0),0),
fila,IFERROR(MATCH(TO_TEXT(D1684),ARRAYFOR"&amp;"MULA(TO_TEXT(Referencia!$A$2:$A6238)),0),0),
IF(OR(campo="""",campo=""-""),""NO APLICA"",
IF(col=0,""REVISAR EQUIVALENCIA"",
IF(fila=0,""SKU NO ENCONTRADO"",
LET(
valor,INDEX(Referencia!$A$2:$AZ6238,fila,col),
IF(TRIM(TO_TEXT(valor))=TRIM(TO_TEXT(I1684)),"&amp;"
""OK"",
""NO COINCIDE. Valor verdadero: ""&amp;IF(valor="""",""[VACÍO]"",TO_TEXT(valor))
)
))))
),""ERROR EN FÓRMULA""))"),"OK")</f>
        <v>OK</v>
      </c>
    </row>
    <row r="1685">
      <c r="A1685" s="83" t="s">
        <v>4618</v>
      </c>
      <c r="B1685" s="83" t="s">
        <v>4619</v>
      </c>
      <c r="C1685" s="81" t="s">
        <v>4621</v>
      </c>
      <c r="D1685" s="83" t="s">
        <v>4501</v>
      </c>
      <c r="E1685" s="81" t="s">
        <v>2329</v>
      </c>
      <c r="F1685" s="84">
        <v>451.0</v>
      </c>
      <c r="G1685" s="81" t="s">
        <v>29</v>
      </c>
      <c r="H1685" s="81" t="s">
        <v>4502</v>
      </c>
      <c r="I1685" s="81" t="s">
        <v>2330</v>
      </c>
      <c r="J1685" s="81" t="s">
        <v>224</v>
      </c>
      <c r="K1685" s="81" t="str">
        <f>IFERROR(__xludf.DUMMYFUNCTION("IF(OR(D1685="""",G1685=""""),"""",IFERROR(LET(
campo,XLOOKUP(TRIM(G1685),ARRAYFORMULA(TRIM('indice columnas'!$A$2:$A$100)),'indice columnas'!$B$2:$B$100,""""),
col,IFERROR(MATCH(campo,Referencia!$A$1:$AZ$1,0),0),
fila,IFERROR(MATCH(TO_TEXT(D1685),ARRAYFOR"&amp;"MULA(TO_TEXT(Referencia!$A$2:$A6238)),0),0),
IF(OR(campo="""",campo=""-""),""NO APLICA"",
IF(col=0,""REVISAR EQUIVALENCIA"",
IF(fila=0,""SKU NO ENCONTRADO"",
LET(
valor,INDEX(Referencia!$A$2:$AZ6238,fila,col),
IF(TRIM(TO_TEXT(valor))=TRIM(TO_TEXT(I1685)),"&amp;"
""OK"",
""NO COINCIDE. Valor verdadero: ""&amp;IF(valor="""",""[VACÍO]"",TO_TEXT(valor))
)
))))
),""ERROR EN FÓRMULA""))"),"NO COINCIDE. Valor verdadero: 15 x 30 x 2000 (Ancho x Alto x Largo)")</f>
        <v>NO COINCIDE. Valor verdadero: 15 x 30 x 2000 (Ancho x Alto x Largo)</v>
      </c>
    </row>
    <row r="1686">
      <c r="A1686" s="83" t="s">
        <v>4618</v>
      </c>
      <c r="B1686" s="83" t="s">
        <v>4619</v>
      </c>
      <c r="C1686" s="81" t="s">
        <v>4621</v>
      </c>
      <c r="D1686" s="83" t="s">
        <v>4501</v>
      </c>
      <c r="E1686" s="81" t="s">
        <v>2329</v>
      </c>
      <c r="F1686" s="84">
        <v>451.0</v>
      </c>
      <c r="G1686" s="81" t="s">
        <v>44</v>
      </c>
      <c r="H1686" s="81" t="s">
        <v>224</v>
      </c>
      <c r="I1686" s="81" t="s">
        <v>2329</v>
      </c>
      <c r="J1686" s="81" t="s">
        <v>4088</v>
      </c>
      <c r="K1686" s="81" t="str">
        <f>IFERROR(__xludf.DUMMYFUNCTION("IF(OR(D1686="""",G1686=""""),"""",IFERROR(LET(
campo,XLOOKUP(TRIM(G1686),ARRAYFORMULA(TRIM('indice columnas'!$A$2:$A$100)),'indice columnas'!$B$2:$B$100,""""),
col,IFERROR(MATCH(campo,Referencia!$A$1:$AZ$1,0),0),
fila,IFERROR(MATCH(TO_TEXT(D1686),ARRAYFOR"&amp;"MULA(TO_TEXT(Referencia!$A$2:$A6238)),0),0),
IF(OR(campo="""",campo=""-""),""NO APLICA"",
IF(col=0,""REVISAR EQUIVALENCIA"",
IF(fila=0,""SKU NO ENCONTRADO"",
LET(
valor,INDEX(Referencia!$A$2:$AZ6238,fila,col),
IF(TRIM(TO_TEXT(valor))=TRIM(TO_TEXT(I1686)),"&amp;"
""OK"",
""NO COINCIDE. Valor verdadero: ""&amp;IF(valor="""",""[VACÍO]"",TO_TEXT(valor))
)
))))
),""ERROR EN FÓRMULA""))"),"NO APLICA")</f>
        <v>NO APLICA</v>
      </c>
    </row>
    <row r="1687">
      <c r="A1687" s="83" t="s">
        <v>4618</v>
      </c>
      <c r="B1687" s="83" t="s">
        <v>4619</v>
      </c>
      <c r="C1687" s="81" t="s">
        <v>4621</v>
      </c>
      <c r="D1687" s="83" t="s">
        <v>4503</v>
      </c>
      <c r="E1687" s="81" t="s">
        <v>2334</v>
      </c>
      <c r="F1687" s="84">
        <v>452.0</v>
      </c>
      <c r="G1687" s="81" t="s">
        <v>44</v>
      </c>
      <c r="H1687" s="81" t="s">
        <v>4418</v>
      </c>
      <c r="I1687" s="81" t="s">
        <v>1825</v>
      </c>
      <c r="J1687" s="81" t="s">
        <v>4088</v>
      </c>
      <c r="K1687" s="81" t="str">
        <f>IFERROR(__xludf.DUMMYFUNCTION("IF(OR(D1687="""",G1687=""""),"""",IFERROR(LET(
campo,XLOOKUP(TRIM(G1687),ARRAYFORMULA(TRIM('indice columnas'!$A$2:$A$100)),'indice columnas'!$B$2:$B$100,""""),
col,IFERROR(MATCH(campo,Referencia!$A$1:$AZ$1,0),0),
fila,IFERROR(MATCH(TO_TEXT(D1687),ARRAYFOR"&amp;"MULA(TO_TEXT(Referencia!$A$2:$A6238)),0),0),
IF(OR(campo="""",campo=""-""),""NO APLICA"",
IF(col=0,""REVISAR EQUIVALENCIA"",
IF(fila=0,""SKU NO ENCONTRADO"",
LET(
valor,INDEX(Referencia!$A$2:$AZ6238,fila,col),
IF(TRIM(TO_TEXT(valor))=TRIM(TO_TEXT(I1687)),"&amp;"
""OK"",
""NO COINCIDE. Valor verdadero: ""&amp;IF(valor="""",""[VACÍO]"",TO_TEXT(valor))
)
))))
),""ERROR EN FÓRMULA""))"),"NO APLICA")</f>
        <v>NO APLICA</v>
      </c>
    </row>
    <row r="1688">
      <c r="A1688" s="83" t="s">
        <v>4618</v>
      </c>
      <c r="B1688" s="83" t="s">
        <v>4619</v>
      </c>
      <c r="C1688" s="81" t="s">
        <v>4621</v>
      </c>
      <c r="D1688" s="83" t="s">
        <v>4504</v>
      </c>
      <c r="E1688" s="81" t="s">
        <v>2335</v>
      </c>
      <c r="F1688" s="84">
        <v>453.0</v>
      </c>
      <c r="G1688" s="81" t="s">
        <v>12</v>
      </c>
      <c r="H1688" s="81" t="s">
        <v>224</v>
      </c>
      <c r="I1688" s="81" t="s">
        <v>55</v>
      </c>
      <c r="J1688" s="81" t="s">
        <v>224</v>
      </c>
      <c r="K1688" s="81" t="str">
        <f>IFERROR(__xludf.DUMMYFUNCTION("IF(OR(D1688="""",G1688=""""),"""",IFERROR(LET(
campo,XLOOKUP(TRIM(G1688),ARRAYFORMULA(TRIM('indice columnas'!$A$2:$A$100)),'indice columnas'!$B$2:$B$100,""""),
col,IFERROR(MATCH(campo,Referencia!$A$1:$AZ$1,0),0),
fila,IFERROR(MATCH(TO_TEXT(D1688),ARRAYFOR"&amp;"MULA(TO_TEXT(Referencia!$A$2:$A6238)),0),0),
IF(OR(campo="""",campo=""-""),""NO APLICA"",
IF(col=0,""REVISAR EQUIVALENCIA"",
IF(fila=0,""SKU NO ENCONTRADO"",
LET(
valor,INDEX(Referencia!$A$2:$AZ6238,fila,col),
IF(TRIM(TO_TEXT(valor))=TRIM(TO_TEXT(I1688)),"&amp;"
""OK"",
""NO COINCIDE. Valor verdadero: ""&amp;IF(valor="""",""[VACÍO]"",TO_TEXT(valor))
)
))))
),""ERROR EN FÓRMULA""))"),"OK")</f>
        <v>OK</v>
      </c>
    </row>
    <row r="1689">
      <c r="A1689" s="83" t="s">
        <v>4618</v>
      </c>
      <c r="B1689" s="83" t="s">
        <v>4619</v>
      </c>
      <c r="C1689" s="81" t="s">
        <v>4621</v>
      </c>
      <c r="D1689" s="83" t="s">
        <v>4504</v>
      </c>
      <c r="E1689" s="81" t="s">
        <v>2335</v>
      </c>
      <c r="F1689" s="84">
        <v>453.0</v>
      </c>
      <c r="G1689" s="81" t="s">
        <v>44</v>
      </c>
      <c r="H1689" s="81" t="s">
        <v>4418</v>
      </c>
      <c r="I1689" s="81" t="s">
        <v>1825</v>
      </c>
      <c r="J1689" s="81" t="s">
        <v>4088</v>
      </c>
      <c r="K1689" s="81" t="str">
        <f>IFERROR(__xludf.DUMMYFUNCTION("IF(OR(D1689="""",G1689=""""),"""",IFERROR(LET(
campo,XLOOKUP(TRIM(G1689),ARRAYFORMULA(TRIM('indice columnas'!$A$2:$A$100)),'indice columnas'!$B$2:$B$100,""""),
col,IFERROR(MATCH(campo,Referencia!$A$1:$AZ$1,0),0),
fila,IFERROR(MATCH(TO_TEXT(D1689),ARRAYFOR"&amp;"MULA(TO_TEXT(Referencia!$A$2:$A6238)),0),0),
IF(OR(campo="""",campo=""-""),""NO APLICA"",
IF(col=0,""REVISAR EQUIVALENCIA"",
IF(fila=0,""SKU NO ENCONTRADO"",
LET(
valor,INDEX(Referencia!$A$2:$AZ6238,fila,col),
IF(TRIM(TO_TEXT(valor))=TRIM(TO_TEXT(I1689)),"&amp;"
""OK"",
""NO COINCIDE. Valor verdadero: ""&amp;IF(valor="""",""[VACÍO]"",TO_TEXT(valor))
)
))))
),""ERROR EN FÓRMULA""))"),"NO APLICA")</f>
        <v>NO APLICA</v>
      </c>
    </row>
    <row r="1690">
      <c r="A1690" s="83" t="s">
        <v>4618</v>
      </c>
      <c r="B1690" s="83" t="s">
        <v>4619</v>
      </c>
      <c r="C1690" s="81" t="s">
        <v>4621</v>
      </c>
      <c r="D1690" s="83" t="s">
        <v>4505</v>
      </c>
      <c r="E1690" s="81" t="s">
        <v>2337</v>
      </c>
      <c r="F1690" s="84">
        <v>454.0</v>
      </c>
      <c r="G1690" s="81" t="s">
        <v>12</v>
      </c>
      <c r="H1690" s="81" t="s">
        <v>224</v>
      </c>
      <c r="I1690" s="81" t="s">
        <v>55</v>
      </c>
      <c r="J1690" s="81" t="s">
        <v>224</v>
      </c>
      <c r="K1690" s="81" t="str">
        <f>IFERROR(__xludf.DUMMYFUNCTION("IF(OR(D1690="""",G1690=""""),"""",IFERROR(LET(
campo,XLOOKUP(TRIM(G1690),ARRAYFORMULA(TRIM('indice columnas'!$A$2:$A$100)),'indice columnas'!$B$2:$B$100,""""),
col,IFERROR(MATCH(campo,Referencia!$A$1:$AZ$1,0),0),
fila,IFERROR(MATCH(TO_TEXT(D1690),ARRAYFOR"&amp;"MULA(TO_TEXT(Referencia!$A$2:$A6238)),0),0),
IF(OR(campo="""",campo=""-""),""NO APLICA"",
IF(col=0,""REVISAR EQUIVALENCIA"",
IF(fila=0,""SKU NO ENCONTRADO"",
LET(
valor,INDEX(Referencia!$A$2:$AZ6238,fila,col),
IF(TRIM(TO_TEXT(valor))=TRIM(TO_TEXT(I1690)),"&amp;"
""OK"",
""NO COINCIDE. Valor verdadero: ""&amp;IF(valor="""",""[VACÍO]"",TO_TEXT(valor))
)
))))
),""ERROR EN FÓRMULA""))"),"OK")</f>
        <v>OK</v>
      </c>
    </row>
    <row r="1691">
      <c r="A1691" s="83" t="s">
        <v>4618</v>
      </c>
      <c r="B1691" s="83" t="s">
        <v>4619</v>
      </c>
      <c r="C1691" s="81" t="s">
        <v>4621</v>
      </c>
      <c r="D1691" s="83" t="s">
        <v>4505</v>
      </c>
      <c r="E1691" s="81" t="s">
        <v>2337</v>
      </c>
      <c r="F1691" s="84">
        <v>454.0</v>
      </c>
      <c r="G1691" s="81" t="s">
        <v>44</v>
      </c>
      <c r="H1691" s="81" t="s">
        <v>4418</v>
      </c>
      <c r="I1691" s="81" t="s">
        <v>1825</v>
      </c>
      <c r="J1691" s="81" t="s">
        <v>4088</v>
      </c>
      <c r="K1691" s="81" t="str">
        <f>IFERROR(__xludf.DUMMYFUNCTION("IF(OR(D1691="""",G1691=""""),"""",IFERROR(LET(
campo,XLOOKUP(TRIM(G1691),ARRAYFORMULA(TRIM('indice columnas'!$A$2:$A$100)),'indice columnas'!$B$2:$B$100,""""),
col,IFERROR(MATCH(campo,Referencia!$A$1:$AZ$1,0),0),
fila,IFERROR(MATCH(TO_TEXT(D1691),ARRAYFOR"&amp;"MULA(TO_TEXT(Referencia!$A$2:$A6238)),0),0),
IF(OR(campo="""",campo=""-""),""NO APLICA"",
IF(col=0,""REVISAR EQUIVALENCIA"",
IF(fila=0,""SKU NO ENCONTRADO"",
LET(
valor,INDEX(Referencia!$A$2:$AZ6238,fila,col),
IF(TRIM(TO_TEXT(valor))=TRIM(TO_TEXT(I1691)),"&amp;"
""OK"",
""NO COINCIDE. Valor verdadero: ""&amp;IF(valor="""",""[VACÍO]"",TO_TEXT(valor))
)
))))
),""ERROR EN FÓRMULA""))"),"NO APLICA")</f>
        <v>NO APLICA</v>
      </c>
    </row>
    <row r="1692">
      <c r="A1692" s="83" t="s">
        <v>4618</v>
      </c>
      <c r="B1692" s="83" t="s">
        <v>4619</v>
      </c>
      <c r="C1692" s="81" t="s">
        <v>4621</v>
      </c>
      <c r="D1692" s="83" t="s">
        <v>4506</v>
      </c>
      <c r="E1692" s="81" t="s">
        <v>2338</v>
      </c>
      <c r="F1692" s="84">
        <v>455.0</v>
      </c>
      <c r="G1692" s="81" t="s">
        <v>44</v>
      </c>
      <c r="H1692" s="81" t="s">
        <v>224</v>
      </c>
      <c r="I1692" s="81" t="s">
        <v>2338</v>
      </c>
      <c r="J1692" s="81" t="s">
        <v>4088</v>
      </c>
      <c r="K1692" s="81" t="str">
        <f>IFERROR(__xludf.DUMMYFUNCTION("IF(OR(D1692="""",G1692=""""),"""",IFERROR(LET(
campo,XLOOKUP(TRIM(G1692),ARRAYFORMULA(TRIM('indice columnas'!$A$2:$A$100)),'indice columnas'!$B$2:$B$100,""""),
col,IFERROR(MATCH(campo,Referencia!$A$1:$AZ$1,0),0),
fila,IFERROR(MATCH(TO_TEXT(D1692),ARRAYFOR"&amp;"MULA(TO_TEXT(Referencia!$A$2:$A6238)),0),0),
IF(OR(campo="""",campo=""-""),""NO APLICA"",
IF(col=0,""REVISAR EQUIVALENCIA"",
IF(fila=0,""SKU NO ENCONTRADO"",
LET(
valor,INDEX(Referencia!$A$2:$AZ6238,fila,col),
IF(TRIM(TO_TEXT(valor))=TRIM(TO_TEXT(I1692)),"&amp;"
""OK"",
""NO COINCIDE. Valor verdadero: ""&amp;IF(valor="""",""[VACÍO]"",TO_TEXT(valor))
)
))))
),""ERROR EN FÓRMULA""))"),"NO APLICA")</f>
        <v>NO APLICA</v>
      </c>
    </row>
    <row r="1693">
      <c r="A1693" s="83" t="s">
        <v>4618</v>
      </c>
      <c r="B1693" s="83" t="s">
        <v>4619</v>
      </c>
      <c r="C1693" s="81" t="s">
        <v>4621</v>
      </c>
      <c r="D1693" s="83" t="s">
        <v>4507</v>
      </c>
      <c r="E1693" s="81" t="s">
        <v>2349</v>
      </c>
      <c r="F1693" s="84">
        <v>456.0</v>
      </c>
      <c r="G1693" s="81" t="s">
        <v>12</v>
      </c>
      <c r="H1693" s="81" t="s">
        <v>224</v>
      </c>
      <c r="I1693" s="81" t="s">
        <v>55</v>
      </c>
      <c r="J1693" s="81" t="s">
        <v>224</v>
      </c>
      <c r="K1693" s="81" t="str">
        <f>IFERROR(__xludf.DUMMYFUNCTION("IF(OR(D1693="""",G1693=""""),"""",IFERROR(LET(
campo,XLOOKUP(TRIM(G1693),ARRAYFORMULA(TRIM('indice columnas'!$A$2:$A$100)),'indice columnas'!$B$2:$B$100,""""),
col,IFERROR(MATCH(campo,Referencia!$A$1:$AZ$1,0),0),
fila,IFERROR(MATCH(TO_TEXT(D1693),ARRAYFOR"&amp;"MULA(TO_TEXT(Referencia!$A$2:$A6238)),0),0),
IF(OR(campo="""",campo=""-""),""NO APLICA"",
IF(col=0,""REVISAR EQUIVALENCIA"",
IF(fila=0,""SKU NO ENCONTRADO"",
LET(
valor,INDEX(Referencia!$A$2:$AZ6238,fila,col),
IF(TRIM(TO_TEXT(valor))=TRIM(TO_TEXT(I1693)),"&amp;"
""OK"",
""NO COINCIDE. Valor verdadero: ""&amp;IF(valor="""",""[VACÍO]"",TO_TEXT(valor))
)
))))
),""ERROR EN FÓRMULA""))"),"OK")</f>
        <v>OK</v>
      </c>
    </row>
    <row r="1694">
      <c r="A1694" s="83" t="s">
        <v>4618</v>
      </c>
      <c r="B1694" s="83" t="s">
        <v>4619</v>
      </c>
      <c r="C1694" s="81" t="s">
        <v>4621</v>
      </c>
      <c r="D1694" s="83" t="s">
        <v>4507</v>
      </c>
      <c r="E1694" s="81" t="s">
        <v>2349</v>
      </c>
      <c r="F1694" s="84">
        <v>456.0</v>
      </c>
      <c r="G1694" s="81" t="s">
        <v>44</v>
      </c>
      <c r="H1694" s="81" t="s">
        <v>224</v>
      </c>
      <c r="I1694" s="81" t="s">
        <v>1923</v>
      </c>
      <c r="J1694" s="81" t="s">
        <v>4088</v>
      </c>
      <c r="K1694" s="81" t="str">
        <f>IFERROR(__xludf.DUMMYFUNCTION("IF(OR(D1694="""",G1694=""""),"""",IFERROR(LET(
campo,XLOOKUP(TRIM(G1694),ARRAYFORMULA(TRIM('indice columnas'!$A$2:$A$100)),'indice columnas'!$B$2:$B$100,""""),
col,IFERROR(MATCH(campo,Referencia!$A$1:$AZ$1,0),0),
fila,IFERROR(MATCH(TO_TEXT(D1694),ARRAYFOR"&amp;"MULA(TO_TEXT(Referencia!$A$2:$A6238)),0),0),
IF(OR(campo="""",campo=""-""),""NO APLICA"",
IF(col=0,""REVISAR EQUIVALENCIA"",
IF(fila=0,""SKU NO ENCONTRADO"",
LET(
valor,INDEX(Referencia!$A$2:$AZ6238,fila,col),
IF(TRIM(TO_TEXT(valor))=TRIM(TO_TEXT(I1694)),"&amp;"
""OK"",
""NO COINCIDE. Valor verdadero: ""&amp;IF(valor="""",""[VACÍO]"",TO_TEXT(valor))
)
))))
),""ERROR EN FÓRMULA""))"),"NO APLICA")</f>
        <v>NO APLICA</v>
      </c>
    </row>
    <row r="1695">
      <c r="A1695" s="83" t="s">
        <v>4618</v>
      </c>
      <c r="B1695" s="83" t="s">
        <v>4619</v>
      </c>
      <c r="C1695" s="81" t="s">
        <v>4621</v>
      </c>
      <c r="D1695" s="83" t="s">
        <v>4508</v>
      </c>
      <c r="E1695" s="81" t="s">
        <v>2352</v>
      </c>
      <c r="F1695" s="84">
        <v>457.0</v>
      </c>
      <c r="G1695" s="81" t="s">
        <v>12</v>
      </c>
      <c r="H1695" s="81" t="s">
        <v>224</v>
      </c>
      <c r="I1695" s="81" t="s">
        <v>55</v>
      </c>
      <c r="J1695" s="81" t="s">
        <v>224</v>
      </c>
      <c r="K1695" s="81" t="str">
        <f>IFERROR(__xludf.DUMMYFUNCTION("IF(OR(D1695="""",G1695=""""),"""",IFERROR(LET(
campo,XLOOKUP(TRIM(G1695),ARRAYFORMULA(TRIM('indice columnas'!$A$2:$A$100)),'indice columnas'!$B$2:$B$100,""""),
col,IFERROR(MATCH(campo,Referencia!$A$1:$AZ$1,0),0),
fila,IFERROR(MATCH(TO_TEXT(D1695),ARRAYFOR"&amp;"MULA(TO_TEXT(Referencia!$A$2:$A6238)),0),0),
IF(OR(campo="""",campo=""-""),""NO APLICA"",
IF(col=0,""REVISAR EQUIVALENCIA"",
IF(fila=0,""SKU NO ENCONTRADO"",
LET(
valor,INDEX(Referencia!$A$2:$AZ6238,fila,col),
IF(TRIM(TO_TEXT(valor))=TRIM(TO_TEXT(I1695)),"&amp;"
""OK"",
""NO COINCIDE. Valor verdadero: ""&amp;IF(valor="""",""[VACÍO]"",TO_TEXT(valor))
)
))))
),""ERROR EN FÓRMULA""))"),"OK")</f>
        <v>OK</v>
      </c>
    </row>
    <row r="1696">
      <c r="A1696" s="83" t="s">
        <v>4618</v>
      </c>
      <c r="B1696" s="83" t="s">
        <v>4619</v>
      </c>
      <c r="C1696" s="81" t="s">
        <v>4621</v>
      </c>
      <c r="D1696" s="83" t="s">
        <v>4508</v>
      </c>
      <c r="E1696" s="81" t="s">
        <v>2352</v>
      </c>
      <c r="F1696" s="84">
        <v>457.0</v>
      </c>
      <c r="G1696" s="81" t="s">
        <v>44</v>
      </c>
      <c r="H1696" s="81" t="s">
        <v>224</v>
      </c>
      <c r="I1696" s="81" t="s">
        <v>1935</v>
      </c>
      <c r="J1696" s="81" t="s">
        <v>4088</v>
      </c>
      <c r="K1696" s="81" t="str">
        <f>IFERROR(__xludf.DUMMYFUNCTION("IF(OR(D1696="""",G1696=""""),"""",IFERROR(LET(
campo,XLOOKUP(TRIM(G1696),ARRAYFORMULA(TRIM('indice columnas'!$A$2:$A$100)),'indice columnas'!$B$2:$B$100,""""),
col,IFERROR(MATCH(campo,Referencia!$A$1:$AZ$1,0),0),
fila,IFERROR(MATCH(TO_TEXT(D1696),ARRAYFOR"&amp;"MULA(TO_TEXT(Referencia!$A$2:$A6238)),0),0),
IF(OR(campo="""",campo=""-""),""NO APLICA"",
IF(col=0,""REVISAR EQUIVALENCIA"",
IF(fila=0,""SKU NO ENCONTRADO"",
LET(
valor,INDEX(Referencia!$A$2:$AZ6238,fila,col),
IF(TRIM(TO_TEXT(valor))=TRIM(TO_TEXT(I1696)),"&amp;"
""OK"",
""NO COINCIDE. Valor verdadero: ""&amp;IF(valor="""",""[VACÍO]"",TO_TEXT(valor))
)
))))
),""ERROR EN FÓRMULA""))"),"NO APLICA")</f>
        <v>NO APLICA</v>
      </c>
    </row>
    <row r="1697">
      <c r="A1697" s="83" t="s">
        <v>4618</v>
      </c>
      <c r="B1697" s="83" t="s">
        <v>4619</v>
      </c>
      <c r="C1697" s="81" t="s">
        <v>4621</v>
      </c>
      <c r="D1697" s="83" t="s">
        <v>4509</v>
      </c>
      <c r="E1697" s="81" t="s">
        <v>2355</v>
      </c>
      <c r="F1697" s="84">
        <v>458.0</v>
      </c>
      <c r="G1697" s="81" t="s">
        <v>12</v>
      </c>
      <c r="H1697" s="81" t="s">
        <v>224</v>
      </c>
      <c r="I1697" s="81" t="s">
        <v>55</v>
      </c>
      <c r="J1697" s="81" t="s">
        <v>224</v>
      </c>
      <c r="K1697" s="81" t="str">
        <f>IFERROR(__xludf.DUMMYFUNCTION("IF(OR(D1697="""",G1697=""""),"""",IFERROR(LET(
campo,XLOOKUP(TRIM(G1697),ARRAYFORMULA(TRIM('indice columnas'!$A$2:$A$100)),'indice columnas'!$B$2:$B$100,""""),
col,IFERROR(MATCH(campo,Referencia!$A$1:$AZ$1,0),0),
fila,IFERROR(MATCH(TO_TEXT(D1697),ARRAYFOR"&amp;"MULA(TO_TEXT(Referencia!$A$2:$A6238)),0),0),
IF(OR(campo="""",campo=""-""),""NO APLICA"",
IF(col=0,""REVISAR EQUIVALENCIA"",
IF(fila=0,""SKU NO ENCONTRADO"",
LET(
valor,INDEX(Referencia!$A$2:$AZ6238,fila,col),
IF(TRIM(TO_TEXT(valor))=TRIM(TO_TEXT(I1697)),"&amp;"
""OK"",
""NO COINCIDE. Valor verdadero: ""&amp;IF(valor="""",""[VACÍO]"",TO_TEXT(valor))
)
))))
),""ERROR EN FÓRMULA""))"),"OK")</f>
        <v>OK</v>
      </c>
    </row>
    <row r="1698">
      <c r="A1698" s="83" t="s">
        <v>4618</v>
      </c>
      <c r="B1698" s="83" t="s">
        <v>4619</v>
      </c>
      <c r="C1698" s="81" t="s">
        <v>4621</v>
      </c>
      <c r="D1698" s="83" t="s">
        <v>4509</v>
      </c>
      <c r="E1698" s="81" t="s">
        <v>2355</v>
      </c>
      <c r="F1698" s="84">
        <v>458.0</v>
      </c>
      <c r="G1698" s="81" t="s">
        <v>44</v>
      </c>
      <c r="H1698" s="81" t="s">
        <v>224</v>
      </c>
      <c r="I1698" s="81" t="s">
        <v>1950</v>
      </c>
      <c r="J1698" s="81" t="s">
        <v>4088</v>
      </c>
      <c r="K1698" s="81" t="str">
        <f>IFERROR(__xludf.DUMMYFUNCTION("IF(OR(D1698="""",G1698=""""),"""",IFERROR(LET(
campo,XLOOKUP(TRIM(G1698),ARRAYFORMULA(TRIM('indice columnas'!$A$2:$A$100)),'indice columnas'!$B$2:$B$100,""""),
col,IFERROR(MATCH(campo,Referencia!$A$1:$AZ$1,0),0),
fila,IFERROR(MATCH(TO_TEXT(D1698),ARRAYFOR"&amp;"MULA(TO_TEXT(Referencia!$A$2:$A6238)),0),0),
IF(OR(campo="""",campo=""-""),""NO APLICA"",
IF(col=0,""REVISAR EQUIVALENCIA"",
IF(fila=0,""SKU NO ENCONTRADO"",
LET(
valor,INDEX(Referencia!$A$2:$AZ6238,fila,col),
IF(TRIM(TO_TEXT(valor))=TRIM(TO_TEXT(I1698)),"&amp;"
""OK"",
""NO COINCIDE. Valor verdadero: ""&amp;IF(valor="""",""[VACÍO]"",TO_TEXT(valor))
)
))))
),""ERROR EN FÓRMULA""))"),"NO APLICA")</f>
        <v>NO APLICA</v>
      </c>
    </row>
    <row r="1699">
      <c r="A1699" s="83" t="s">
        <v>4618</v>
      </c>
      <c r="B1699" s="83" t="s">
        <v>4619</v>
      </c>
      <c r="C1699" s="81" t="s">
        <v>4621</v>
      </c>
      <c r="D1699" s="83" t="s">
        <v>4510</v>
      </c>
      <c r="E1699" s="81" t="s">
        <v>2357</v>
      </c>
      <c r="F1699" s="84">
        <v>459.0</v>
      </c>
      <c r="G1699" s="81" t="s">
        <v>12</v>
      </c>
      <c r="H1699" s="81" t="s">
        <v>224</v>
      </c>
      <c r="I1699" s="81" t="s">
        <v>55</v>
      </c>
      <c r="J1699" s="81" t="s">
        <v>224</v>
      </c>
      <c r="K1699" s="81" t="str">
        <f>IFERROR(__xludf.DUMMYFUNCTION("IF(OR(D1699="""",G1699=""""),"""",IFERROR(LET(
campo,XLOOKUP(TRIM(G1699),ARRAYFORMULA(TRIM('indice columnas'!$A$2:$A$100)),'indice columnas'!$B$2:$B$100,""""),
col,IFERROR(MATCH(campo,Referencia!$A$1:$AZ$1,0),0),
fila,IFERROR(MATCH(TO_TEXT(D1699),ARRAYFOR"&amp;"MULA(TO_TEXT(Referencia!$A$2:$A6238)),0),0),
IF(OR(campo="""",campo=""-""),""NO APLICA"",
IF(col=0,""REVISAR EQUIVALENCIA"",
IF(fila=0,""SKU NO ENCONTRADO"",
LET(
valor,INDEX(Referencia!$A$2:$AZ6238,fila,col),
IF(TRIM(TO_TEXT(valor))=TRIM(TO_TEXT(I1699)),"&amp;"
""OK"",
""NO COINCIDE. Valor verdadero: ""&amp;IF(valor="""",""[VACÍO]"",TO_TEXT(valor))
)
))))
),""ERROR EN FÓRMULA""))"),"OK")</f>
        <v>OK</v>
      </c>
    </row>
    <row r="1700">
      <c r="A1700" s="83" t="s">
        <v>4618</v>
      </c>
      <c r="B1700" s="83" t="s">
        <v>4619</v>
      </c>
      <c r="C1700" s="81" t="s">
        <v>4621</v>
      </c>
      <c r="D1700" s="83" t="s">
        <v>4510</v>
      </c>
      <c r="E1700" s="81" t="s">
        <v>2357</v>
      </c>
      <c r="F1700" s="84">
        <v>459.0</v>
      </c>
      <c r="G1700" s="81" t="s">
        <v>44</v>
      </c>
      <c r="H1700" s="81" t="s">
        <v>224</v>
      </c>
      <c r="I1700" s="81" t="s">
        <v>1950</v>
      </c>
      <c r="J1700" s="81" t="s">
        <v>4088</v>
      </c>
      <c r="K1700" s="81" t="str">
        <f>IFERROR(__xludf.DUMMYFUNCTION("IF(OR(D1700="""",G1700=""""),"""",IFERROR(LET(
campo,XLOOKUP(TRIM(G1700),ARRAYFORMULA(TRIM('indice columnas'!$A$2:$A$100)),'indice columnas'!$B$2:$B$100,""""),
col,IFERROR(MATCH(campo,Referencia!$A$1:$AZ$1,0),0),
fila,IFERROR(MATCH(TO_TEXT(D1700),ARRAYFOR"&amp;"MULA(TO_TEXT(Referencia!$A$2:$A6238)),0),0),
IF(OR(campo="""",campo=""-""),""NO APLICA"",
IF(col=0,""REVISAR EQUIVALENCIA"",
IF(fila=0,""SKU NO ENCONTRADO"",
LET(
valor,INDEX(Referencia!$A$2:$AZ6238,fila,col),
IF(TRIM(TO_TEXT(valor))=TRIM(TO_TEXT(I1700)),"&amp;"
""OK"",
""NO COINCIDE. Valor verdadero: ""&amp;IF(valor="""",""[VACÍO]"",TO_TEXT(valor))
)
))))
),""ERROR EN FÓRMULA""))"),"NO APLICA")</f>
        <v>NO APLICA</v>
      </c>
    </row>
    <row r="1701">
      <c r="A1701" s="83" t="s">
        <v>4618</v>
      </c>
      <c r="B1701" s="83" t="s">
        <v>4619</v>
      </c>
      <c r="C1701" s="81" t="s">
        <v>4621</v>
      </c>
      <c r="D1701" s="83" t="s">
        <v>4511</v>
      </c>
      <c r="E1701" s="81" t="s">
        <v>2359</v>
      </c>
      <c r="F1701" s="84">
        <v>460.0</v>
      </c>
      <c r="G1701" s="81" t="s">
        <v>12</v>
      </c>
      <c r="H1701" s="81" t="s">
        <v>224</v>
      </c>
      <c r="I1701" s="81" t="s">
        <v>55</v>
      </c>
      <c r="J1701" s="81" t="s">
        <v>224</v>
      </c>
      <c r="K1701" s="81" t="str">
        <f>IFERROR(__xludf.DUMMYFUNCTION("IF(OR(D1701="""",G1701=""""),"""",IFERROR(LET(
campo,XLOOKUP(TRIM(G1701),ARRAYFORMULA(TRIM('indice columnas'!$A$2:$A$100)),'indice columnas'!$B$2:$B$100,""""),
col,IFERROR(MATCH(campo,Referencia!$A$1:$AZ$1,0),0),
fila,IFERROR(MATCH(TO_TEXT(D1701),ARRAYFOR"&amp;"MULA(TO_TEXT(Referencia!$A$2:$A6238)),0),0),
IF(OR(campo="""",campo=""-""),""NO APLICA"",
IF(col=0,""REVISAR EQUIVALENCIA"",
IF(fila=0,""SKU NO ENCONTRADO"",
LET(
valor,INDEX(Referencia!$A$2:$AZ6238,fila,col),
IF(TRIM(TO_TEXT(valor))=TRIM(TO_TEXT(I1701)),"&amp;"
""OK"",
""NO COINCIDE. Valor verdadero: ""&amp;IF(valor="""",""[VACÍO]"",TO_TEXT(valor))
)
))))
),""ERROR EN FÓRMULA""))"),"OK")</f>
        <v>OK</v>
      </c>
    </row>
    <row r="1702">
      <c r="A1702" s="83" t="s">
        <v>4618</v>
      </c>
      <c r="B1702" s="83" t="s">
        <v>4619</v>
      </c>
      <c r="C1702" s="81" t="s">
        <v>4621</v>
      </c>
      <c r="D1702" s="83" t="s">
        <v>4511</v>
      </c>
      <c r="E1702" s="81" t="s">
        <v>2359</v>
      </c>
      <c r="F1702" s="84">
        <v>460.0</v>
      </c>
      <c r="G1702" s="81" t="s">
        <v>44</v>
      </c>
      <c r="H1702" s="81" t="s">
        <v>224</v>
      </c>
      <c r="I1702" s="81" t="s">
        <v>1825</v>
      </c>
      <c r="J1702" s="81" t="s">
        <v>4088</v>
      </c>
      <c r="K1702" s="81" t="str">
        <f>IFERROR(__xludf.DUMMYFUNCTION("IF(OR(D1702="""",G1702=""""),"""",IFERROR(LET(
campo,XLOOKUP(TRIM(G1702),ARRAYFORMULA(TRIM('indice columnas'!$A$2:$A$100)),'indice columnas'!$B$2:$B$100,""""),
col,IFERROR(MATCH(campo,Referencia!$A$1:$AZ$1,0),0),
fila,IFERROR(MATCH(TO_TEXT(D1702),ARRAYFOR"&amp;"MULA(TO_TEXT(Referencia!$A$2:$A6238)),0),0),
IF(OR(campo="""",campo=""-""),""NO APLICA"",
IF(col=0,""REVISAR EQUIVALENCIA"",
IF(fila=0,""SKU NO ENCONTRADO"",
LET(
valor,INDEX(Referencia!$A$2:$AZ6238,fila,col),
IF(TRIM(TO_TEXT(valor))=TRIM(TO_TEXT(I1702)),"&amp;"
""OK"",
""NO COINCIDE. Valor verdadero: ""&amp;IF(valor="""",""[VACÍO]"",TO_TEXT(valor))
)
))))
),""ERROR EN FÓRMULA""))"),"NO APLICA")</f>
        <v>NO APLICA</v>
      </c>
    </row>
    <row r="1703">
      <c r="A1703" s="83" t="s">
        <v>4618</v>
      </c>
      <c r="B1703" s="83" t="s">
        <v>4619</v>
      </c>
      <c r="C1703" s="81" t="s">
        <v>4621</v>
      </c>
      <c r="D1703" s="83" t="s">
        <v>4512</v>
      </c>
      <c r="E1703" s="81" t="s">
        <v>2363</v>
      </c>
      <c r="F1703" s="84">
        <v>461.0</v>
      </c>
      <c r="G1703" s="81" t="s">
        <v>12</v>
      </c>
      <c r="H1703" s="81" t="s">
        <v>224</v>
      </c>
      <c r="I1703" s="81" t="s">
        <v>55</v>
      </c>
      <c r="J1703" s="81" t="s">
        <v>224</v>
      </c>
      <c r="K1703" s="81" t="str">
        <f>IFERROR(__xludf.DUMMYFUNCTION("IF(OR(D1703="""",G1703=""""),"""",IFERROR(LET(
campo,XLOOKUP(TRIM(G1703),ARRAYFORMULA(TRIM('indice columnas'!$A$2:$A$100)),'indice columnas'!$B$2:$B$100,""""),
col,IFERROR(MATCH(campo,Referencia!$A$1:$AZ$1,0),0),
fila,IFERROR(MATCH(TO_TEXT(D1703),ARRAYFOR"&amp;"MULA(TO_TEXT(Referencia!$A$2:$A6238)),0),0),
IF(OR(campo="""",campo=""-""),""NO APLICA"",
IF(col=0,""REVISAR EQUIVALENCIA"",
IF(fila=0,""SKU NO ENCONTRADO"",
LET(
valor,INDEX(Referencia!$A$2:$AZ6238,fila,col),
IF(TRIM(TO_TEXT(valor))=TRIM(TO_TEXT(I1703)),"&amp;"
""OK"",
""NO COINCIDE. Valor verdadero: ""&amp;IF(valor="""",""[VACÍO]"",TO_TEXT(valor))
)
))))
),""ERROR EN FÓRMULA""))"),"OK")</f>
        <v>OK</v>
      </c>
    </row>
    <row r="1704">
      <c r="A1704" s="83" t="s">
        <v>4618</v>
      </c>
      <c r="B1704" s="83" t="s">
        <v>4619</v>
      </c>
      <c r="C1704" s="81" t="s">
        <v>4621</v>
      </c>
      <c r="D1704" s="83" t="s">
        <v>4512</v>
      </c>
      <c r="E1704" s="81" t="s">
        <v>2363</v>
      </c>
      <c r="F1704" s="84">
        <v>461.0</v>
      </c>
      <c r="G1704" s="81" t="s">
        <v>44</v>
      </c>
      <c r="H1704" s="81" t="s">
        <v>224</v>
      </c>
      <c r="I1704" s="81" t="s">
        <v>1825</v>
      </c>
      <c r="J1704" s="81" t="s">
        <v>4088</v>
      </c>
      <c r="K1704" s="81" t="str">
        <f>IFERROR(__xludf.DUMMYFUNCTION("IF(OR(D1704="""",G1704=""""),"""",IFERROR(LET(
campo,XLOOKUP(TRIM(G1704),ARRAYFORMULA(TRIM('indice columnas'!$A$2:$A$100)),'indice columnas'!$B$2:$B$100,""""),
col,IFERROR(MATCH(campo,Referencia!$A$1:$AZ$1,0),0),
fila,IFERROR(MATCH(TO_TEXT(D1704),ARRAYFOR"&amp;"MULA(TO_TEXT(Referencia!$A$2:$A6238)),0),0),
IF(OR(campo="""",campo=""-""),""NO APLICA"",
IF(col=0,""REVISAR EQUIVALENCIA"",
IF(fila=0,""SKU NO ENCONTRADO"",
LET(
valor,INDEX(Referencia!$A$2:$AZ6238,fila,col),
IF(TRIM(TO_TEXT(valor))=TRIM(TO_TEXT(I1704)),"&amp;"
""OK"",
""NO COINCIDE. Valor verdadero: ""&amp;IF(valor="""",""[VACÍO]"",TO_TEXT(valor))
)
))))
),""ERROR EN FÓRMULA""))"),"NO APLICA")</f>
        <v>NO APLICA</v>
      </c>
    </row>
    <row r="1705">
      <c r="A1705" s="83" t="s">
        <v>4618</v>
      </c>
      <c r="B1705" s="83" t="s">
        <v>4619</v>
      </c>
      <c r="C1705" s="81" t="s">
        <v>4621</v>
      </c>
      <c r="D1705" s="83" t="s">
        <v>4513</v>
      </c>
      <c r="E1705" s="81" t="s">
        <v>2366</v>
      </c>
      <c r="F1705" s="84">
        <v>462.0</v>
      </c>
      <c r="G1705" s="81" t="s">
        <v>12</v>
      </c>
      <c r="H1705" s="81" t="s">
        <v>224</v>
      </c>
      <c r="I1705" s="81" t="s">
        <v>55</v>
      </c>
      <c r="J1705" s="81" t="s">
        <v>224</v>
      </c>
      <c r="K1705" s="81" t="str">
        <f>IFERROR(__xludf.DUMMYFUNCTION("IF(OR(D1705="""",G1705=""""),"""",IFERROR(LET(
campo,XLOOKUP(TRIM(G1705),ARRAYFORMULA(TRIM('indice columnas'!$A$2:$A$100)),'indice columnas'!$B$2:$B$100,""""),
col,IFERROR(MATCH(campo,Referencia!$A$1:$AZ$1,0),0),
fila,IFERROR(MATCH(TO_TEXT(D1705),ARRAYFOR"&amp;"MULA(TO_TEXT(Referencia!$A$2:$A6238)),0),0),
IF(OR(campo="""",campo=""-""),""NO APLICA"",
IF(col=0,""REVISAR EQUIVALENCIA"",
IF(fila=0,""SKU NO ENCONTRADO"",
LET(
valor,INDEX(Referencia!$A$2:$AZ6238,fila,col),
IF(TRIM(TO_TEXT(valor))=TRIM(TO_TEXT(I1705)),"&amp;"
""OK"",
""NO COINCIDE. Valor verdadero: ""&amp;IF(valor="""",""[VACÍO]"",TO_TEXT(valor))
)
))))
),""ERROR EN FÓRMULA""))"),"OK")</f>
        <v>OK</v>
      </c>
    </row>
    <row r="1706">
      <c r="A1706" s="83" t="s">
        <v>4618</v>
      </c>
      <c r="B1706" s="83" t="s">
        <v>4619</v>
      </c>
      <c r="C1706" s="81" t="s">
        <v>4621</v>
      </c>
      <c r="D1706" s="83" t="s">
        <v>4513</v>
      </c>
      <c r="E1706" s="81" t="s">
        <v>2366</v>
      </c>
      <c r="F1706" s="84">
        <v>462.0</v>
      </c>
      <c r="G1706" s="81" t="s">
        <v>44</v>
      </c>
      <c r="H1706" s="81" t="s">
        <v>224</v>
      </c>
      <c r="I1706" s="81" t="s">
        <v>4514</v>
      </c>
      <c r="J1706" s="81" t="s">
        <v>4088</v>
      </c>
      <c r="K1706" s="81" t="str">
        <f>IFERROR(__xludf.DUMMYFUNCTION("IF(OR(D1706="""",G1706=""""),"""",IFERROR(LET(
campo,XLOOKUP(TRIM(G1706),ARRAYFORMULA(TRIM('indice columnas'!$A$2:$A$100)),'indice columnas'!$B$2:$B$100,""""),
col,IFERROR(MATCH(campo,Referencia!$A$1:$AZ$1,0),0),
fila,IFERROR(MATCH(TO_TEXT(D1706),ARRAYFOR"&amp;"MULA(TO_TEXT(Referencia!$A$2:$A6238)),0),0),
IF(OR(campo="""",campo=""-""),""NO APLICA"",
IF(col=0,""REVISAR EQUIVALENCIA"",
IF(fila=0,""SKU NO ENCONTRADO"",
LET(
valor,INDEX(Referencia!$A$2:$AZ6238,fila,col),
IF(TRIM(TO_TEXT(valor))=TRIM(TO_TEXT(I1706)),"&amp;"
""OK"",
""NO COINCIDE. Valor verdadero: ""&amp;IF(valor="""",""[VACÍO]"",TO_TEXT(valor))
)
))))
),""ERROR EN FÓRMULA""))"),"NO APLICA")</f>
        <v>NO APLICA</v>
      </c>
    </row>
    <row r="1707">
      <c r="A1707" s="83" t="s">
        <v>4618</v>
      </c>
      <c r="B1707" s="83" t="s">
        <v>4619</v>
      </c>
      <c r="C1707" s="81" t="s">
        <v>4621</v>
      </c>
      <c r="D1707" s="83" t="s">
        <v>4515</v>
      </c>
      <c r="E1707" s="81" t="s">
        <v>2373</v>
      </c>
      <c r="F1707" s="84">
        <v>463.0</v>
      </c>
      <c r="G1707" s="81" t="s">
        <v>12</v>
      </c>
      <c r="H1707" s="81" t="s">
        <v>224</v>
      </c>
      <c r="I1707" s="81" t="s">
        <v>55</v>
      </c>
      <c r="J1707" s="81" t="s">
        <v>224</v>
      </c>
      <c r="K1707" s="81" t="str">
        <f>IFERROR(__xludf.DUMMYFUNCTION("IF(OR(D1707="""",G1707=""""),"""",IFERROR(LET(
campo,XLOOKUP(TRIM(G1707),ARRAYFORMULA(TRIM('indice columnas'!$A$2:$A$100)),'indice columnas'!$B$2:$B$100,""""),
col,IFERROR(MATCH(campo,Referencia!$A$1:$AZ$1,0),0),
fila,IFERROR(MATCH(TO_TEXT(D1707),ARRAYFOR"&amp;"MULA(TO_TEXT(Referencia!$A$2:$A6238)),0),0),
IF(OR(campo="""",campo=""-""),""NO APLICA"",
IF(col=0,""REVISAR EQUIVALENCIA"",
IF(fila=0,""SKU NO ENCONTRADO"",
LET(
valor,INDEX(Referencia!$A$2:$AZ6238,fila,col),
IF(TRIM(TO_TEXT(valor))=TRIM(TO_TEXT(I1707)),"&amp;"
""OK"",
""NO COINCIDE. Valor verdadero: ""&amp;IF(valor="""",""[VACÍO]"",TO_TEXT(valor))
)
))))
),""ERROR EN FÓRMULA""))"),"OK")</f>
        <v>OK</v>
      </c>
    </row>
    <row r="1708">
      <c r="A1708" s="83" t="s">
        <v>4618</v>
      </c>
      <c r="B1708" s="83" t="s">
        <v>4619</v>
      </c>
      <c r="C1708" s="81" t="s">
        <v>4621</v>
      </c>
      <c r="D1708" s="83" t="s">
        <v>4515</v>
      </c>
      <c r="E1708" s="81" t="s">
        <v>2373</v>
      </c>
      <c r="F1708" s="84">
        <v>463.0</v>
      </c>
      <c r="G1708" s="81" t="s">
        <v>44</v>
      </c>
      <c r="H1708" s="81" t="s">
        <v>224</v>
      </c>
      <c r="I1708" s="81" t="s">
        <v>4514</v>
      </c>
      <c r="J1708" s="81" t="s">
        <v>4088</v>
      </c>
      <c r="K1708" s="81" t="str">
        <f>IFERROR(__xludf.DUMMYFUNCTION("IF(OR(D1708="""",G1708=""""),"""",IFERROR(LET(
campo,XLOOKUP(TRIM(G1708),ARRAYFORMULA(TRIM('indice columnas'!$A$2:$A$100)),'indice columnas'!$B$2:$B$100,""""),
col,IFERROR(MATCH(campo,Referencia!$A$1:$AZ$1,0),0),
fila,IFERROR(MATCH(TO_TEXT(D1708),ARRAYFOR"&amp;"MULA(TO_TEXT(Referencia!$A$2:$A6238)),0),0),
IF(OR(campo="""",campo=""-""),""NO APLICA"",
IF(col=0,""REVISAR EQUIVALENCIA"",
IF(fila=0,""SKU NO ENCONTRADO"",
LET(
valor,INDEX(Referencia!$A$2:$AZ6238,fila,col),
IF(TRIM(TO_TEXT(valor))=TRIM(TO_TEXT(I1708)),"&amp;"
""OK"",
""NO COINCIDE. Valor verdadero: ""&amp;IF(valor="""",""[VACÍO]"",TO_TEXT(valor))
)
))))
),""ERROR EN FÓRMULA""))"),"NO APLICA")</f>
        <v>NO APLICA</v>
      </c>
    </row>
    <row r="1709">
      <c r="A1709" s="83" t="s">
        <v>4618</v>
      </c>
      <c r="B1709" s="83" t="s">
        <v>4619</v>
      </c>
      <c r="C1709" s="81" t="s">
        <v>4621</v>
      </c>
      <c r="D1709" s="83" t="s">
        <v>4516</v>
      </c>
      <c r="E1709" s="81" t="s">
        <v>2377</v>
      </c>
      <c r="F1709" s="84">
        <v>464.0</v>
      </c>
      <c r="G1709" s="81" t="s">
        <v>12</v>
      </c>
      <c r="H1709" s="81" t="s">
        <v>224</v>
      </c>
      <c r="I1709" s="81" t="s">
        <v>55</v>
      </c>
      <c r="J1709" s="81" t="s">
        <v>224</v>
      </c>
      <c r="K1709" s="81" t="str">
        <f>IFERROR(__xludf.DUMMYFUNCTION("IF(OR(D1709="""",G1709=""""),"""",IFERROR(LET(
campo,XLOOKUP(TRIM(G1709),ARRAYFORMULA(TRIM('indice columnas'!$A$2:$A$100)),'indice columnas'!$B$2:$B$100,""""),
col,IFERROR(MATCH(campo,Referencia!$A$1:$AZ$1,0),0),
fila,IFERROR(MATCH(TO_TEXT(D1709),ARRAYFOR"&amp;"MULA(TO_TEXT(Referencia!$A$2:$A6238)),0),0),
IF(OR(campo="""",campo=""-""),""NO APLICA"",
IF(col=0,""REVISAR EQUIVALENCIA"",
IF(fila=0,""SKU NO ENCONTRADO"",
LET(
valor,INDEX(Referencia!$A$2:$AZ6238,fila,col),
IF(TRIM(TO_TEXT(valor))=TRIM(TO_TEXT(I1709)),"&amp;"
""OK"",
""NO COINCIDE. Valor verdadero: ""&amp;IF(valor="""",""[VACÍO]"",TO_TEXT(valor))
)
))))
),""ERROR EN FÓRMULA""))"),"OK")</f>
        <v>OK</v>
      </c>
    </row>
    <row r="1710">
      <c r="A1710" s="83" t="s">
        <v>4618</v>
      </c>
      <c r="B1710" s="83" t="s">
        <v>4619</v>
      </c>
      <c r="C1710" s="81" t="s">
        <v>4621</v>
      </c>
      <c r="D1710" s="83" t="s">
        <v>4516</v>
      </c>
      <c r="E1710" s="81" t="s">
        <v>2377</v>
      </c>
      <c r="F1710" s="84">
        <v>464.0</v>
      </c>
      <c r="G1710" s="81" t="s">
        <v>44</v>
      </c>
      <c r="H1710" s="81" t="s">
        <v>224</v>
      </c>
      <c r="I1710" s="81" t="s">
        <v>1825</v>
      </c>
      <c r="J1710" s="81" t="s">
        <v>4088</v>
      </c>
      <c r="K1710" s="81" t="str">
        <f>IFERROR(__xludf.DUMMYFUNCTION("IF(OR(D1710="""",G1710=""""),"""",IFERROR(LET(
campo,XLOOKUP(TRIM(G1710),ARRAYFORMULA(TRIM('indice columnas'!$A$2:$A$100)),'indice columnas'!$B$2:$B$100,""""),
col,IFERROR(MATCH(campo,Referencia!$A$1:$AZ$1,0),0),
fila,IFERROR(MATCH(TO_TEXT(D1710),ARRAYFOR"&amp;"MULA(TO_TEXT(Referencia!$A$2:$A6238)),0),0),
IF(OR(campo="""",campo=""-""),""NO APLICA"",
IF(col=0,""REVISAR EQUIVALENCIA"",
IF(fila=0,""SKU NO ENCONTRADO"",
LET(
valor,INDEX(Referencia!$A$2:$AZ6238,fila,col),
IF(TRIM(TO_TEXT(valor))=TRIM(TO_TEXT(I1710)),"&amp;"
""OK"",
""NO COINCIDE. Valor verdadero: ""&amp;IF(valor="""",""[VACÍO]"",TO_TEXT(valor))
)
))))
),""ERROR EN FÓRMULA""))"),"NO APLICA")</f>
        <v>NO APLICA</v>
      </c>
    </row>
    <row r="1711">
      <c r="A1711" s="83" t="s">
        <v>4618</v>
      </c>
      <c r="B1711" s="83" t="s">
        <v>4619</v>
      </c>
      <c r="C1711" s="81" t="s">
        <v>4621</v>
      </c>
      <c r="D1711" s="83" t="s">
        <v>4517</v>
      </c>
      <c r="E1711" s="81" t="s">
        <v>2380</v>
      </c>
      <c r="F1711" s="84">
        <v>465.0</v>
      </c>
      <c r="G1711" s="81" t="s">
        <v>44</v>
      </c>
      <c r="H1711" s="81" t="s">
        <v>224</v>
      </c>
      <c r="I1711" s="81" t="s">
        <v>2380</v>
      </c>
      <c r="J1711" s="81" t="s">
        <v>4088</v>
      </c>
      <c r="K1711" s="81" t="str">
        <f>IFERROR(__xludf.DUMMYFUNCTION("IF(OR(D1711="""",G1711=""""),"""",IFERROR(LET(
campo,XLOOKUP(TRIM(G1711),ARRAYFORMULA(TRIM('indice columnas'!$A$2:$A$100)),'indice columnas'!$B$2:$B$100,""""),
col,IFERROR(MATCH(campo,Referencia!$A$1:$AZ$1,0),0),
fila,IFERROR(MATCH(TO_TEXT(D1711),ARRAYFOR"&amp;"MULA(TO_TEXT(Referencia!$A$2:$A6238)),0),0),
IF(OR(campo="""",campo=""-""),""NO APLICA"",
IF(col=0,""REVISAR EQUIVALENCIA"",
IF(fila=0,""SKU NO ENCONTRADO"",
LET(
valor,INDEX(Referencia!$A$2:$AZ6238,fila,col),
IF(TRIM(TO_TEXT(valor))=TRIM(TO_TEXT(I1711)),"&amp;"
""OK"",
""NO COINCIDE. Valor verdadero: ""&amp;IF(valor="""",""[VACÍO]"",TO_TEXT(valor))
)
))))
),""ERROR EN FÓRMULA""))"),"NO APLICA")</f>
        <v>NO APLICA</v>
      </c>
    </row>
    <row r="1712">
      <c r="A1712" s="83" t="s">
        <v>4618</v>
      </c>
      <c r="B1712" s="83" t="s">
        <v>4619</v>
      </c>
      <c r="C1712" s="81" t="s">
        <v>4621</v>
      </c>
      <c r="D1712" s="83" t="s">
        <v>4517</v>
      </c>
      <c r="E1712" s="81" t="s">
        <v>2391</v>
      </c>
      <c r="F1712" s="84">
        <v>466.0</v>
      </c>
      <c r="G1712" s="81" t="s">
        <v>44</v>
      </c>
      <c r="H1712" s="81" t="s">
        <v>224</v>
      </c>
      <c r="I1712" s="81" t="s">
        <v>2380</v>
      </c>
      <c r="J1712" s="81" t="s">
        <v>4088</v>
      </c>
      <c r="K1712" s="81" t="str">
        <f>IFERROR(__xludf.DUMMYFUNCTION("IF(OR(D1712="""",G1712=""""),"""",IFERROR(LET(
campo,XLOOKUP(TRIM(G1712),ARRAYFORMULA(TRIM('indice columnas'!$A$2:$A$100)),'indice columnas'!$B$2:$B$100,""""),
col,IFERROR(MATCH(campo,Referencia!$A$1:$AZ$1,0),0),
fila,IFERROR(MATCH(TO_TEXT(D1712),ARRAYFOR"&amp;"MULA(TO_TEXT(Referencia!$A$2:$A6238)),0),0),
IF(OR(campo="""",campo=""-""),""NO APLICA"",
IF(col=0,""REVISAR EQUIVALENCIA"",
IF(fila=0,""SKU NO ENCONTRADO"",
LET(
valor,INDEX(Referencia!$A$2:$AZ6238,fila,col),
IF(TRIM(TO_TEXT(valor))=TRIM(TO_TEXT(I1712)),"&amp;"
""OK"",
""NO COINCIDE. Valor verdadero: ""&amp;IF(valor="""",""[VACÍO]"",TO_TEXT(valor))
)
))))
),""ERROR EN FÓRMULA""))"),"NO APLICA")</f>
        <v>NO APLICA</v>
      </c>
    </row>
    <row r="1713">
      <c r="A1713" s="83" t="s">
        <v>4618</v>
      </c>
      <c r="B1713" s="83" t="s">
        <v>4619</v>
      </c>
      <c r="C1713" s="81" t="s">
        <v>4621</v>
      </c>
      <c r="D1713" s="83" t="s">
        <v>4518</v>
      </c>
      <c r="E1713" s="81" t="s">
        <v>2393</v>
      </c>
      <c r="F1713" s="84">
        <v>467.0</v>
      </c>
      <c r="G1713" s="81" t="s">
        <v>44</v>
      </c>
      <c r="H1713" s="81" t="s">
        <v>224</v>
      </c>
      <c r="I1713" s="81" t="s">
        <v>2380</v>
      </c>
      <c r="J1713" s="81" t="s">
        <v>4088</v>
      </c>
      <c r="K1713" s="81" t="str">
        <f>IFERROR(__xludf.DUMMYFUNCTION("IF(OR(D1713="""",G1713=""""),"""",IFERROR(LET(
campo,XLOOKUP(TRIM(G1713),ARRAYFORMULA(TRIM('indice columnas'!$A$2:$A$100)),'indice columnas'!$B$2:$B$100,""""),
col,IFERROR(MATCH(campo,Referencia!$A$1:$AZ$1,0),0),
fila,IFERROR(MATCH(TO_TEXT(D1713),ARRAYFOR"&amp;"MULA(TO_TEXT(Referencia!$A$2:$A6238)),0),0),
IF(OR(campo="""",campo=""-""),""NO APLICA"",
IF(col=0,""REVISAR EQUIVALENCIA"",
IF(fila=0,""SKU NO ENCONTRADO"",
LET(
valor,INDEX(Referencia!$A$2:$AZ6238,fila,col),
IF(TRIM(TO_TEXT(valor))=TRIM(TO_TEXT(I1713)),"&amp;"
""OK"",
""NO COINCIDE. Valor verdadero: ""&amp;IF(valor="""",""[VACÍO]"",TO_TEXT(valor))
)
))))
),""ERROR EN FÓRMULA""))"),"NO APLICA")</f>
        <v>NO APLICA</v>
      </c>
    </row>
    <row r="1714">
      <c r="A1714" s="83" t="s">
        <v>4618</v>
      </c>
      <c r="B1714" s="83" t="s">
        <v>4619</v>
      </c>
      <c r="C1714" s="81" t="s">
        <v>4621</v>
      </c>
      <c r="D1714" s="83" t="s">
        <v>4519</v>
      </c>
      <c r="E1714" s="81" t="s">
        <v>2402</v>
      </c>
      <c r="F1714" s="84">
        <v>468.0</v>
      </c>
      <c r="G1714" s="81" t="s">
        <v>44</v>
      </c>
      <c r="H1714" s="81" t="s">
        <v>224</v>
      </c>
      <c r="I1714" s="81" t="s">
        <v>2380</v>
      </c>
      <c r="J1714" s="81" t="s">
        <v>4088</v>
      </c>
      <c r="K1714" s="81" t="str">
        <f>IFERROR(__xludf.DUMMYFUNCTION("IF(OR(D1714="""",G1714=""""),"""",IFERROR(LET(
campo,XLOOKUP(TRIM(G1714),ARRAYFORMULA(TRIM('indice columnas'!$A$2:$A$100)),'indice columnas'!$B$2:$B$100,""""),
col,IFERROR(MATCH(campo,Referencia!$A$1:$AZ$1,0),0),
fila,IFERROR(MATCH(TO_TEXT(D1714),ARRAYFOR"&amp;"MULA(TO_TEXT(Referencia!$A$2:$A6238)),0),0),
IF(OR(campo="""",campo=""-""),""NO APLICA"",
IF(col=0,""REVISAR EQUIVALENCIA"",
IF(fila=0,""SKU NO ENCONTRADO"",
LET(
valor,INDEX(Referencia!$A$2:$AZ6238,fila,col),
IF(TRIM(TO_TEXT(valor))=TRIM(TO_TEXT(I1714)),"&amp;"
""OK"",
""NO COINCIDE. Valor verdadero: ""&amp;IF(valor="""",""[VACÍO]"",TO_TEXT(valor))
)
))))
),""ERROR EN FÓRMULA""))"),"NO APLICA")</f>
        <v>NO APLICA</v>
      </c>
    </row>
    <row r="1715">
      <c r="A1715" s="83" t="s">
        <v>4618</v>
      </c>
      <c r="B1715" s="83" t="s">
        <v>4619</v>
      </c>
      <c r="C1715" s="81" t="s">
        <v>4621</v>
      </c>
      <c r="D1715" s="83" t="s">
        <v>4520</v>
      </c>
      <c r="E1715" s="81" t="s">
        <v>2409</v>
      </c>
      <c r="F1715" s="84">
        <v>469.0</v>
      </c>
      <c r="G1715" s="81" t="s">
        <v>44</v>
      </c>
      <c r="H1715" s="81" t="s">
        <v>4521</v>
      </c>
      <c r="I1715" s="81" t="s">
        <v>2087</v>
      </c>
      <c r="J1715" s="81" t="s">
        <v>4088</v>
      </c>
      <c r="K1715" s="81" t="str">
        <f>IFERROR(__xludf.DUMMYFUNCTION("IF(OR(D1715="""",G1715=""""),"""",IFERROR(LET(
campo,XLOOKUP(TRIM(G1715),ARRAYFORMULA(TRIM('indice columnas'!$A$2:$A$100)),'indice columnas'!$B$2:$B$100,""""),
col,IFERROR(MATCH(campo,Referencia!$A$1:$AZ$1,0),0),
fila,IFERROR(MATCH(TO_TEXT(D1715),ARRAYFOR"&amp;"MULA(TO_TEXT(Referencia!$A$2:$A6238)),0),0),
IF(OR(campo="""",campo=""-""),""NO APLICA"",
IF(col=0,""REVISAR EQUIVALENCIA"",
IF(fila=0,""SKU NO ENCONTRADO"",
LET(
valor,INDEX(Referencia!$A$2:$AZ6238,fila,col),
IF(TRIM(TO_TEXT(valor))=TRIM(TO_TEXT(I1715)),"&amp;"
""OK"",
""NO COINCIDE. Valor verdadero: ""&amp;IF(valor="""",""[VACÍO]"",TO_TEXT(valor))
)
))))
),""ERROR EN FÓRMULA""))"),"NO APLICA")</f>
        <v>NO APLICA</v>
      </c>
    </row>
    <row r="1716">
      <c r="A1716" s="83" t="s">
        <v>4618</v>
      </c>
      <c r="B1716" s="83" t="s">
        <v>4619</v>
      </c>
      <c r="C1716" s="81" t="s">
        <v>4621</v>
      </c>
      <c r="D1716" s="83" t="s">
        <v>4520</v>
      </c>
      <c r="E1716" s="81" t="s">
        <v>2414</v>
      </c>
      <c r="F1716" s="84">
        <v>470.0</v>
      </c>
      <c r="G1716" s="81" t="s">
        <v>12</v>
      </c>
      <c r="H1716" s="81" t="s">
        <v>224</v>
      </c>
      <c r="I1716" s="81" t="s">
        <v>55</v>
      </c>
      <c r="J1716" s="81" t="s">
        <v>224</v>
      </c>
      <c r="K1716" s="81" t="str">
        <f>IFERROR(__xludf.DUMMYFUNCTION("IF(OR(D1716="""",G1716=""""),"""",IFERROR(LET(
campo,XLOOKUP(TRIM(G1716),ARRAYFORMULA(TRIM('indice columnas'!$A$2:$A$100)),'indice columnas'!$B$2:$B$100,""""),
col,IFERROR(MATCH(campo,Referencia!$A$1:$AZ$1,0),0),
fila,IFERROR(MATCH(TO_TEXT(D1716),ARRAYFOR"&amp;"MULA(TO_TEXT(Referencia!$A$2:$A6238)),0),0),
IF(OR(campo="""",campo=""-""),""NO APLICA"",
IF(col=0,""REVISAR EQUIVALENCIA"",
IF(fila=0,""SKU NO ENCONTRADO"",
LET(
valor,INDEX(Referencia!$A$2:$AZ6238,fila,col),
IF(TRIM(TO_TEXT(valor))=TRIM(TO_TEXT(I1716)),"&amp;"
""OK"",
""NO COINCIDE. Valor verdadero: ""&amp;IF(valor="""",""[VACÍO]"",TO_TEXT(valor))
)
))))
),""ERROR EN FÓRMULA""))"),"OK")</f>
        <v>OK</v>
      </c>
    </row>
    <row r="1717">
      <c r="A1717" s="83" t="s">
        <v>4618</v>
      </c>
      <c r="B1717" s="83" t="s">
        <v>4619</v>
      </c>
      <c r="C1717" s="81" t="s">
        <v>4621</v>
      </c>
      <c r="D1717" s="83" t="s">
        <v>4520</v>
      </c>
      <c r="E1717" s="81" t="s">
        <v>2414</v>
      </c>
      <c r="F1717" s="84">
        <v>470.0</v>
      </c>
      <c r="G1717" s="81" t="s">
        <v>29</v>
      </c>
      <c r="H1717" s="81" t="s">
        <v>4522</v>
      </c>
      <c r="I1717" s="81" t="s">
        <v>2415</v>
      </c>
      <c r="J1717" s="81" t="s">
        <v>224</v>
      </c>
      <c r="K1717" s="81" t="str">
        <f>IFERROR(__xludf.DUMMYFUNCTION("IF(OR(D1717="""",G1717=""""),"""",IFERROR(LET(
campo,XLOOKUP(TRIM(G1717),ARRAYFORMULA(TRIM('indice columnas'!$A$2:$A$100)),'indice columnas'!$B$2:$B$100,""""),
col,IFERROR(MATCH(campo,Referencia!$A$1:$AZ$1,0),0),
fila,IFERROR(MATCH(TO_TEXT(D1717),ARRAYFOR"&amp;"MULA(TO_TEXT(Referencia!$A$2:$A6238)),0),0),
IF(OR(campo="""",campo=""-""),""NO APLICA"",
IF(col=0,""REVISAR EQUIVALENCIA"",
IF(fila=0,""SKU NO ENCONTRADO"",
LET(
valor,INDEX(Referencia!$A$2:$AZ6238,fila,col),
IF(TRIM(TO_TEXT(valor))=TRIM(TO_TEXT(I1717)),"&amp;"
""OK"",
""NO COINCIDE. Valor verdadero: ""&amp;IF(valor="""",""[VACÍO]"",TO_TEXT(valor))
)
))))
),""ERROR EN FÓRMULA""))"),"NO COINCIDE. Valor verdadero: Cable y Tensor 2mts
Florón: Ø110 x 25")</f>
        <v>NO COINCIDE. Valor verdadero: Cable y Tensor 2mts
Florón: Ø110 x 25</v>
      </c>
    </row>
    <row r="1718">
      <c r="A1718" s="83" t="s">
        <v>4618</v>
      </c>
      <c r="B1718" s="83" t="s">
        <v>4619</v>
      </c>
      <c r="C1718" s="81" t="s">
        <v>4621</v>
      </c>
      <c r="D1718" s="83" t="s">
        <v>4520</v>
      </c>
      <c r="E1718" s="81" t="s">
        <v>2414</v>
      </c>
      <c r="F1718" s="84">
        <v>470.0</v>
      </c>
      <c r="G1718" s="81" t="s">
        <v>44</v>
      </c>
      <c r="H1718" s="81" t="s">
        <v>4521</v>
      </c>
      <c r="I1718" s="81" t="s">
        <v>2087</v>
      </c>
      <c r="J1718" s="81" t="s">
        <v>4088</v>
      </c>
      <c r="K1718" s="81" t="str">
        <f>IFERROR(__xludf.DUMMYFUNCTION("IF(OR(D1718="""",G1718=""""),"""",IFERROR(LET(
campo,XLOOKUP(TRIM(G1718),ARRAYFORMULA(TRIM('indice columnas'!$A$2:$A$100)),'indice columnas'!$B$2:$B$100,""""),
col,IFERROR(MATCH(campo,Referencia!$A$1:$AZ$1,0),0),
fila,IFERROR(MATCH(TO_TEXT(D1718),ARRAYFOR"&amp;"MULA(TO_TEXT(Referencia!$A$2:$A6238)),0),0),
IF(OR(campo="""",campo=""-""),""NO APLICA"",
IF(col=0,""REVISAR EQUIVALENCIA"",
IF(fila=0,""SKU NO ENCONTRADO"",
LET(
valor,INDEX(Referencia!$A$2:$AZ6238,fila,col),
IF(TRIM(TO_TEXT(valor))=TRIM(TO_TEXT(I1718)),"&amp;"
""OK"",
""NO COINCIDE. Valor verdadero: ""&amp;IF(valor="""",""[VACÍO]"",TO_TEXT(valor))
)
))))
),""ERROR EN FÓRMULA""))"),"NO APLICA")</f>
        <v>NO APLICA</v>
      </c>
    </row>
    <row r="1719">
      <c r="A1719" s="83" t="s">
        <v>4618</v>
      </c>
      <c r="B1719" s="83" t="s">
        <v>4619</v>
      </c>
      <c r="C1719" s="81" t="s">
        <v>4621</v>
      </c>
      <c r="D1719" s="83" t="s">
        <v>4523</v>
      </c>
      <c r="E1719" s="81" t="s">
        <v>2416</v>
      </c>
      <c r="F1719" s="84">
        <v>471.0</v>
      </c>
      <c r="G1719" s="81" t="s">
        <v>12</v>
      </c>
      <c r="H1719" s="81" t="s">
        <v>224</v>
      </c>
      <c r="I1719" s="81" t="s">
        <v>55</v>
      </c>
      <c r="J1719" s="81" t="s">
        <v>224</v>
      </c>
      <c r="K1719" s="81" t="str">
        <f>IFERROR(__xludf.DUMMYFUNCTION("IF(OR(D1719="""",G1719=""""),"""",IFERROR(LET(
campo,XLOOKUP(TRIM(G1719),ARRAYFORMULA(TRIM('indice columnas'!$A$2:$A$100)),'indice columnas'!$B$2:$B$100,""""),
col,IFERROR(MATCH(campo,Referencia!$A$1:$AZ$1,0),0),
fila,IFERROR(MATCH(TO_TEXT(D1719),ARRAYFOR"&amp;"MULA(TO_TEXT(Referencia!$A$2:$A6238)),0),0),
IF(OR(campo="""",campo=""-""),""NO APLICA"",
IF(col=0,""REVISAR EQUIVALENCIA"",
IF(fila=0,""SKU NO ENCONTRADO"",
LET(
valor,INDEX(Referencia!$A$2:$AZ6238,fila,col),
IF(TRIM(TO_TEXT(valor))=TRIM(TO_TEXT(I1719)),"&amp;"
""OK"",
""NO COINCIDE. Valor verdadero: ""&amp;IF(valor="""",""[VACÍO]"",TO_TEXT(valor))
)
))))
),""ERROR EN FÓRMULA""))"),"OK")</f>
        <v>OK</v>
      </c>
    </row>
    <row r="1720">
      <c r="A1720" s="83" t="s">
        <v>4618</v>
      </c>
      <c r="B1720" s="83" t="s">
        <v>4619</v>
      </c>
      <c r="C1720" s="81" t="s">
        <v>4621</v>
      </c>
      <c r="D1720" s="83" t="s">
        <v>4523</v>
      </c>
      <c r="E1720" s="81" t="s">
        <v>2416</v>
      </c>
      <c r="F1720" s="84">
        <v>471.0</v>
      </c>
      <c r="G1720" s="81" t="s">
        <v>29</v>
      </c>
      <c r="H1720" s="81" t="s">
        <v>4522</v>
      </c>
      <c r="I1720" s="81" t="s">
        <v>2415</v>
      </c>
      <c r="J1720" s="81" t="s">
        <v>224</v>
      </c>
      <c r="K1720" s="81" t="str">
        <f>IFERROR(__xludf.DUMMYFUNCTION("IF(OR(D1720="""",G1720=""""),"""",IFERROR(LET(
campo,XLOOKUP(TRIM(G1720),ARRAYFORMULA(TRIM('indice columnas'!$A$2:$A$100)),'indice columnas'!$B$2:$B$100,""""),
col,IFERROR(MATCH(campo,Referencia!$A$1:$AZ$1,0),0),
fila,IFERROR(MATCH(TO_TEXT(D1720),ARRAYFOR"&amp;"MULA(TO_TEXT(Referencia!$A$2:$A6238)),0),0),
IF(OR(campo="""",campo=""-""),""NO APLICA"",
IF(col=0,""REVISAR EQUIVALENCIA"",
IF(fila=0,""SKU NO ENCONTRADO"",
LET(
valor,INDEX(Referencia!$A$2:$AZ6238,fila,col),
IF(TRIM(TO_TEXT(valor))=TRIM(TO_TEXT(I1720)),"&amp;"
""OK"",
""NO COINCIDE. Valor verdadero: ""&amp;IF(valor="""",""[VACÍO]"",TO_TEXT(valor))
)
))))
),""ERROR EN FÓRMULA""))"),"NO COINCIDE. Valor verdadero: Cable y Tensor 2mts
Florón: Ø110 x 25")</f>
        <v>NO COINCIDE. Valor verdadero: Cable y Tensor 2mts
Florón: Ø110 x 25</v>
      </c>
    </row>
    <row r="1721">
      <c r="A1721" s="83" t="s">
        <v>4618</v>
      </c>
      <c r="B1721" s="83" t="s">
        <v>4619</v>
      </c>
      <c r="C1721" s="81" t="s">
        <v>4621</v>
      </c>
      <c r="D1721" s="83" t="s">
        <v>4523</v>
      </c>
      <c r="E1721" s="81" t="s">
        <v>2416</v>
      </c>
      <c r="F1721" s="84">
        <v>471.0</v>
      </c>
      <c r="G1721" s="81" t="s">
        <v>44</v>
      </c>
      <c r="H1721" s="81" t="s">
        <v>4521</v>
      </c>
      <c r="I1721" s="81" t="s">
        <v>2087</v>
      </c>
      <c r="J1721" s="81" t="s">
        <v>4088</v>
      </c>
      <c r="K1721" s="81" t="str">
        <f>IFERROR(__xludf.DUMMYFUNCTION("IF(OR(D1721="""",G1721=""""),"""",IFERROR(LET(
campo,XLOOKUP(TRIM(G1721),ARRAYFORMULA(TRIM('indice columnas'!$A$2:$A$100)),'indice columnas'!$B$2:$B$100,""""),
col,IFERROR(MATCH(campo,Referencia!$A$1:$AZ$1,0),0),
fila,IFERROR(MATCH(TO_TEXT(D1721),ARRAYFOR"&amp;"MULA(TO_TEXT(Referencia!$A$2:$A6238)),0),0),
IF(OR(campo="""",campo=""-""),""NO APLICA"",
IF(col=0,""REVISAR EQUIVALENCIA"",
IF(fila=0,""SKU NO ENCONTRADO"",
LET(
valor,INDEX(Referencia!$A$2:$AZ6238,fila,col),
IF(TRIM(TO_TEXT(valor))=TRIM(TO_TEXT(I1721)),"&amp;"
""OK"",
""NO COINCIDE. Valor verdadero: ""&amp;IF(valor="""",""[VACÍO]"",TO_TEXT(valor))
)
))))
),""ERROR EN FÓRMULA""))"),"NO APLICA")</f>
        <v>NO APLICA</v>
      </c>
    </row>
    <row r="1722">
      <c r="A1722" s="83" t="s">
        <v>4618</v>
      </c>
      <c r="B1722" s="83" t="s">
        <v>4619</v>
      </c>
      <c r="C1722" s="81" t="s">
        <v>4621</v>
      </c>
      <c r="D1722" s="83" t="s">
        <v>4524</v>
      </c>
      <c r="E1722" s="81" t="s">
        <v>2419</v>
      </c>
      <c r="F1722" s="84">
        <v>472.0</v>
      </c>
      <c r="G1722" s="81" t="s">
        <v>44</v>
      </c>
      <c r="H1722" s="81" t="s">
        <v>4525</v>
      </c>
      <c r="I1722" s="81" t="s">
        <v>2419</v>
      </c>
      <c r="J1722" s="81" t="s">
        <v>4088</v>
      </c>
      <c r="K1722" s="81" t="str">
        <f>IFERROR(__xludf.DUMMYFUNCTION("IF(OR(D1722="""",G1722=""""),"""",IFERROR(LET(
campo,XLOOKUP(TRIM(G1722),ARRAYFORMULA(TRIM('indice columnas'!$A$2:$A$100)),'indice columnas'!$B$2:$B$100,""""),
col,IFERROR(MATCH(campo,Referencia!$A$1:$AZ$1,0),0),
fila,IFERROR(MATCH(TO_TEXT(D1722),ARRAYFOR"&amp;"MULA(TO_TEXT(Referencia!$A$2:$A6238)),0),0),
IF(OR(campo="""",campo=""-""),""NO APLICA"",
IF(col=0,""REVISAR EQUIVALENCIA"",
IF(fila=0,""SKU NO ENCONTRADO"",
LET(
valor,INDEX(Referencia!$A$2:$AZ6238,fila,col),
IF(TRIM(TO_TEXT(valor))=TRIM(TO_TEXT(I1722)),"&amp;"
""OK"",
""NO COINCIDE. Valor verdadero: ""&amp;IF(valor="""",""[VACÍO]"",TO_TEXT(valor))
)
))))
),""ERROR EN FÓRMULA""))"),"NO APLICA")</f>
        <v>NO APLICA</v>
      </c>
    </row>
    <row r="1723">
      <c r="A1723" s="83" t="s">
        <v>4618</v>
      </c>
      <c r="B1723" s="83" t="s">
        <v>4619</v>
      </c>
      <c r="C1723" s="81" t="s">
        <v>4621</v>
      </c>
      <c r="D1723" s="83" t="s">
        <v>4524</v>
      </c>
      <c r="E1723" s="81" t="s">
        <v>2440</v>
      </c>
      <c r="F1723" s="84">
        <v>473.0</v>
      </c>
      <c r="G1723" s="81" t="s">
        <v>12</v>
      </c>
      <c r="H1723" s="81" t="s">
        <v>224</v>
      </c>
      <c r="I1723" s="81" t="s">
        <v>1549</v>
      </c>
      <c r="J1723" s="81" t="s">
        <v>224</v>
      </c>
      <c r="K1723" s="81" t="str">
        <f>IFERROR(__xludf.DUMMYFUNCTION("IF(OR(D1723="""",G1723=""""),"""",IFERROR(LET(
campo,XLOOKUP(TRIM(G1723),ARRAYFORMULA(TRIM('indice columnas'!$A$2:$A$100)),'indice columnas'!$B$2:$B$100,""""),
col,IFERROR(MATCH(campo,Referencia!$A$1:$AZ$1,0),0),
fila,IFERROR(MATCH(TO_TEXT(D1723),ARRAYFOR"&amp;"MULA(TO_TEXT(Referencia!$A$2:$A6238)),0),0),
IF(OR(campo="""",campo=""-""),""NO APLICA"",
IF(col=0,""REVISAR EQUIVALENCIA"",
IF(fila=0,""SKU NO ENCONTRADO"",
LET(
valor,INDEX(Referencia!$A$2:$AZ6238,fila,col),
IF(TRIM(TO_TEXT(valor))=TRIM(TO_TEXT(I1723)),"&amp;"
""OK"",
""NO COINCIDE. Valor verdadero: ""&amp;IF(valor="""",""[VACÍO]"",TO_TEXT(valor))
)
))))
),""ERROR EN FÓRMULA""))"),"OK")</f>
        <v>OK</v>
      </c>
    </row>
    <row r="1724">
      <c r="A1724" s="83" t="s">
        <v>4618</v>
      </c>
      <c r="B1724" s="83" t="s">
        <v>4619</v>
      </c>
      <c r="C1724" s="81" t="s">
        <v>4621</v>
      </c>
      <c r="D1724" s="83" t="s">
        <v>4524</v>
      </c>
      <c r="E1724" s="81" t="s">
        <v>2440</v>
      </c>
      <c r="F1724" s="84">
        <v>473.0</v>
      </c>
      <c r="G1724" s="81" t="s">
        <v>29</v>
      </c>
      <c r="H1724" s="81" t="s">
        <v>4526</v>
      </c>
      <c r="I1724" s="81" t="s">
        <v>2426</v>
      </c>
      <c r="J1724" s="81" t="s">
        <v>224</v>
      </c>
      <c r="K1724" s="81" t="str">
        <f>IFERROR(__xludf.DUMMYFUNCTION("IF(OR(D1724="""",G1724=""""),"""",IFERROR(LET(
campo,XLOOKUP(TRIM(G1724),ARRAYFORMULA(TRIM('indice columnas'!$A$2:$A$100)),'indice columnas'!$B$2:$B$100,""""),
col,IFERROR(MATCH(campo,Referencia!$A$1:$AZ$1,0),0),
fila,IFERROR(MATCH(TO_TEXT(D1724),ARRAYFOR"&amp;"MULA(TO_TEXT(Referencia!$A$2:$A6238)),0),0),
IF(OR(campo="""",campo=""-""),""NO APLICA"",
IF(col=0,""REVISAR EQUIVALENCIA"",
IF(fila=0,""SKU NO ENCONTRADO"",
LET(
valor,INDEX(Referencia!$A$2:$AZ6238,fila,col),
IF(TRIM(TO_TEXT(valor))=TRIM(TO_TEXT(I1724)),"&amp;"
""OK"",
""NO COINCIDE. Valor verdadero: ""&amp;IF(valor="""",""[VACÍO]"",TO_TEXT(valor))
)
))))
),""ERROR EN FÓRMULA""))"),"NO COINCIDE. Valor verdadero: 596 x 361 (frente 295) x 190")</f>
        <v>NO COINCIDE. Valor verdadero: 596 x 361 (frente 295) x 190</v>
      </c>
    </row>
    <row r="1725">
      <c r="A1725" s="83" t="s">
        <v>4618</v>
      </c>
      <c r="B1725" s="83" t="s">
        <v>4619</v>
      </c>
      <c r="C1725" s="81" t="s">
        <v>4621</v>
      </c>
      <c r="D1725" s="83" t="s">
        <v>4524</v>
      </c>
      <c r="E1725" s="81" t="s">
        <v>2440</v>
      </c>
      <c r="F1725" s="84">
        <v>473.0</v>
      </c>
      <c r="G1725" s="81" t="s">
        <v>44</v>
      </c>
      <c r="H1725" s="81" t="s">
        <v>4525</v>
      </c>
      <c r="I1725" s="81" t="s">
        <v>2419</v>
      </c>
      <c r="J1725" s="81" t="s">
        <v>4088</v>
      </c>
      <c r="K1725" s="81" t="str">
        <f>IFERROR(__xludf.DUMMYFUNCTION("IF(OR(D1725="""",G1725=""""),"""",IFERROR(LET(
campo,XLOOKUP(TRIM(G1725),ARRAYFORMULA(TRIM('indice columnas'!$A$2:$A$100)),'indice columnas'!$B$2:$B$100,""""),
col,IFERROR(MATCH(campo,Referencia!$A$1:$AZ$1,0),0),
fila,IFERROR(MATCH(TO_TEXT(D1725),ARRAYFOR"&amp;"MULA(TO_TEXT(Referencia!$A$2:$A6238)),0),0),
IF(OR(campo="""",campo=""-""),""NO APLICA"",
IF(col=0,""REVISAR EQUIVALENCIA"",
IF(fila=0,""SKU NO ENCONTRADO"",
LET(
valor,INDEX(Referencia!$A$2:$AZ6238,fila,col),
IF(TRIM(TO_TEXT(valor))=TRIM(TO_TEXT(I1725)),"&amp;"
""OK"",
""NO COINCIDE. Valor verdadero: ""&amp;IF(valor="""",""[VACÍO]"",TO_TEXT(valor))
)
))))
),""ERROR EN FÓRMULA""))"),"NO APLICA")</f>
        <v>NO APLICA</v>
      </c>
    </row>
    <row r="1726">
      <c r="A1726" s="83" t="s">
        <v>4618</v>
      </c>
      <c r="B1726" s="83" t="s">
        <v>4619</v>
      </c>
      <c r="C1726" s="81" t="s">
        <v>4621</v>
      </c>
      <c r="D1726" s="83" t="s">
        <v>4527</v>
      </c>
      <c r="E1726" s="81" t="s">
        <v>2444</v>
      </c>
      <c r="F1726" s="84">
        <v>474.0</v>
      </c>
      <c r="G1726" s="81" t="s">
        <v>12</v>
      </c>
      <c r="H1726" s="81" t="s">
        <v>224</v>
      </c>
      <c r="I1726" s="81" t="s">
        <v>1549</v>
      </c>
      <c r="J1726" s="81" t="s">
        <v>224</v>
      </c>
      <c r="K1726" s="81" t="str">
        <f>IFERROR(__xludf.DUMMYFUNCTION("IF(OR(D1726="""",G1726=""""),"""",IFERROR(LET(
campo,XLOOKUP(TRIM(G1726),ARRAYFORMULA(TRIM('indice columnas'!$A$2:$A$100)),'indice columnas'!$B$2:$B$100,""""),
col,IFERROR(MATCH(campo,Referencia!$A$1:$AZ$1,0),0),
fila,IFERROR(MATCH(TO_TEXT(D1726),ARRAYFOR"&amp;"MULA(TO_TEXT(Referencia!$A$2:$A6238)),0),0),
IF(OR(campo="""",campo=""-""),""NO APLICA"",
IF(col=0,""REVISAR EQUIVALENCIA"",
IF(fila=0,""SKU NO ENCONTRADO"",
LET(
valor,INDEX(Referencia!$A$2:$AZ6238,fila,col),
IF(TRIM(TO_TEXT(valor))=TRIM(TO_TEXT(I1726)),"&amp;"
""OK"",
""NO COINCIDE. Valor verdadero: ""&amp;IF(valor="""",""[VACÍO]"",TO_TEXT(valor))
)
))))
),""ERROR EN FÓRMULA""))"),"OK")</f>
        <v>OK</v>
      </c>
    </row>
    <row r="1727">
      <c r="A1727" s="83" t="s">
        <v>4618</v>
      </c>
      <c r="B1727" s="83" t="s">
        <v>4619</v>
      </c>
      <c r="C1727" s="81" t="s">
        <v>4621</v>
      </c>
      <c r="D1727" s="83" t="s">
        <v>4527</v>
      </c>
      <c r="E1727" s="81" t="s">
        <v>2444</v>
      </c>
      <c r="F1727" s="84">
        <v>474.0</v>
      </c>
      <c r="G1727" s="81" t="s">
        <v>29</v>
      </c>
      <c r="H1727" s="81" t="s">
        <v>4528</v>
      </c>
      <c r="I1727" s="81" t="s">
        <v>2448</v>
      </c>
      <c r="J1727" s="81" t="s">
        <v>224</v>
      </c>
      <c r="K1727" s="81" t="str">
        <f>IFERROR(__xludf.DUMMYFUNCTION("IF(OR(D1727="""",G1727=""""),"""",IFERROR(LET(
campo,XLOOKUP(TRIM(G1727),ARRAYFORMULA(TRIM('indice columnas'!$A$2:$A$100)),'indice columnas'!$B$2:$B$100,""""),
col,IFERROR(MATCH(campo,Referencia!$A$1:$AZ$1,0),0),
fila,IFERROR(MATCH(TO_TEXT(D1727),ARRAYFOR"&amp;"MULA(TO_TEXT(Referencia!$A$2:$A6238)),0),0),
IF(OR(campo="""",campo=""-""),""NO APLICA"",
IF(col=0,""REVISAR EQUIVALENCIA"",
IF(fila=0,""SKU NO ENCONTRADO"",
LET(
valor,INDEX(Referencia!$A$2:$AZ6238,fila,col),
IF(TRIM(TO_TEXT(valor))=TRIM(TO_TEXT(I1727)),"&amp;"
""OK"",
""NO COINCIDE. Valor verdadero: ""&amp;IF(valor="""",""[VACÍO]"",TO_TEXT(valor))
)
))))
),""ERROR EN FÓRMULA""))"),"NO COINCIDE. Valor verdadero: 1196 x 361 (frente 295) x 190")</f>
        <v>NO COINCIDE. Valor verdadero: 1196 x 361 (frente 295) x 190</v>
      </c>
    </row>
    <row r="1728">
      <c r="A1728" s="83" t="s">
        <v>4618</v>
      </c>
      <c r="B1728" s="83" t="s">
        <v>4619</v>
      </c>
      <c r="C1728" s="81" t="s">
        <v>4621</v>
      </c>
      <c r="D1728" s="83" t="s">
        <v>4527</v>
      </c>
      <c r="E1728" s="81" t="s">
        <v>2444</v>
      </c>
      <c r="F1728" s="84">
        <v>474.0</v>
      </c>
      <c r="G1728" s="81" t="s">
        <v>44</v>
      </c>
      <c r="H1728" s="81" t="s">
        <v>4525</v>
      </c>
      <c r="I1728" s="81" t="s">
        <v>2419</v>
      </c>
      <c r="J1728" s="81" t="s">
        <v>4088</v>
      </c>
      <c r="K1728" s="81" t="str">
        <f>IFERROR(__xludf.DUMMYFUNCTION("IF(OR(D1728="""",G1728=""""),"""",IFERROR(LET(
campo,XLOOKUP(TRIM(G1728),ARRAYFORMULA(TRIM('indice columnas'!$A$2:$A$100)),'indice columnas'!$B$2:$B$100,""""),
col,IFERROR(MATCH(campo,Referencia!$A$1:$AZ$1,0),0),
fila,IFERROR(MATCH(TO_TEXT(D1728),ARRAYFOR"&amp;"MULA(TO_TEXT(Referencia!$A$2:$A6238)),0),0),
IF(OR(campo="""",campo=""-""),""NO APLICA"",
IF(col=0,""REVISAR EQUIVALENCIA"",
IF(fila=0,""SKU NO ENCONTRADO"",
LET(
valor,INDEX(Referencia!$A$2:$AZ6238,fila,col),
IF(TRIM(TO_TEXT(valor))=TRIM(TO_TEXT(I1728)),"&amp;"
""OK"",
""NO COINCIDE. Valor verdadero: ""&amp;IF(valor="""",""[VACÍO]"",TO_TEXT(valor))
)
))))
),""ERROR EN FÓRMULA""))"),"NO APLICA")</f>
        <v>NO APLICA</v>
      </c>
    </row>
    <row r="1729">
      <c r="A1729" s="83" t="s">
        <v>4618</v>
      </c>
      <c r="B1729" s="83" t="s">
        <v>4619</v>
      </c>
      <c r="C1729" s="81" t="s">
        <v>4621</v>
      </c>
      <c r="D1729" s="83" t="s">
        <v>4529</v>
      </c>
      <c r="E1729" s="81" t="s">
        <v>2456</v>
      </c>
      <c r="F1729" s="84">
        <v>475.0</v>
      </c>
      <c r="G1729" s="81" t="s">
        <v>44</v>
      </c>
      <c r="H1729" s="81" t="s">
        <v>4525</v>
      </c>
      <c r="I1729" s="81" t="s">
        <v>2456</v>
      </c>
      <c r="J1729" s="81" t="s">
        <v>4088</v>
      </c>
      <c r="K1729" s="81" t="str">
        <f>IFERROR(__xludf.DUMMYFUNCTION("IF(OR(D1729="""",G1729=""""),"""",IFERROR(LET(
campo,XLOOKUP(TRIM(G1729),ARRAYFORMULA(TRIM('indice columnas'!$A$2:$A$100)),'indice columnas'!$B$2:$B$100,""""),
col,IFERROR(MATCH(campo,Referencia!$A$1:$AZ$1,0),0),
fila,IFERROR(MATCH(TO_TEXT(D1729),ARRAYFOR"&amp;"MULA(TO_TEXT(Referencia!$A$2:$A6238)),0),0),
IF(OR(campo="""",campo=""-""),""NO APLICA"",
IF(col=0,""REVISAR EQUIVALENCIA"",
IF(fila=0,""SKU NO ENCONTRADO"",
LET(
valor,INDEX(Referencia!$A$2:$AZ6238,fila,col),
IF(TRIM(TO_TEXT(valor))=TRIM(TO_TEXT(I1729)),"&amp;"
""OK"",
""NO COINCIDE. Valor verdadero: ""&amp;IF(valor="""",""[VACÍO]"",TO_TEXT(valor))
)
))))
),""ERROR EN FÓRMULA""))"),"NO APLICA")</f>
        <v>NO APLICA</v>
      </c>
    </row>
    <row r="1730">
      <c r="A1730" s="83" t="s">
        <v>4618</v>
      </c>
      <c r="B1730" s="83" t="s">
        <v>4619</v>
      </c>
      <c r="C1730" s="81" t="s">
        <v>4621</v>
      </c>
      <c r="D1730" s="83" t="s">
        <v>4529</v>
      </c>
      <c r="E1730" s="81" t="s">
        <v>2474</v>
      </c>
      <c r="F1730" s="84">
        <v>476.0</v>
      </c>
      <c r="G1730" s="81" t="s">
        <v>12</v>
      </c>
      <c r="H1730" s="81" t="s">
        <v>224</v>
      </c>
      <c r="I1730" s="81" t="s">
        <v>1549</v>
      </c>
      <c r="J1730" s="81" t="s">
        <v>224</v>
      </c>
      <c r="K1730" s="81" t="str">
        <f>IFERROR(__xludf.DUMMYFUNCTION("IF(OR(D1730="""",G1730=""""),"""",IFERROR(LET(
campo,XLOOKUP(TRIM(G1730),ARRAYFORMULA(TRIM('indice columnas'!$A$2:$A$100)),'indice columnas'!$B$2:$B$100,""""),
col,IFERROR(MATCH(campo,Referencia!$A$1:$AZ$1,0),0),
fila,IFERROR(MATCH(TO_TEXT(D1730),ARRAYFOR"&amp;"MULA(TO_TEXT(Referencia!$A$2:$A6238)),0),0),
IF(OR(campo="""",campo=""-""),""NO APLICA"",
IF(col=0,""REVISAR EQUIVALENCIA"",
IF(fila=0,""SKU NO ENCONTRADO"",
LET(
valor,INDEX(Referencia!$A$2:$AZ6238,fila,col),
IF(TRIM(TO_TEXT(valor))=TRIM(TO_TEXT(I1730)),"&amp;"
""OK"",
""NO COINCIDE. Valor verdadero: ""&amp;IF(valor="""",""[VACÍO]"",TO_TEXT(valor))
)
))))
),""ERROR EN FÓRMULA""))"),"OK")</f>
        <v>OK</v>
      </c>
    </row>
    <row r="1731">
      <c r="A1731" s="83" t="s">
        <v>4618</v>
      </c>
      <c r="B1731" s="83" t="s">
        <v>4619</v>
      </c>
      <c r="C1731" s="81" t="s">
        <v>4621</v>
      </c>
      <c r="D1731" s="83" t="s">
        <v>4529</v>
      </c>
      <c r="E1731" s="81" t="s">
        <v>2474</v>
      </c>
      <c r="F1731" s="84">
        <v>476.0</v>
      </c>
      <c r="G1731" s="81" t="s">
        <v>44</v>
      </c>
      <c r="H1731" s="81" t="s">
        <v>4525</v>
      </c>
      <c r="I1731" s="81" t="s">
        <v>2456</v>
      </c>
      <c r="J1731" s="81" t="s">
        <v>4088</v>
      </c>
      <c r="K1731" s="81" t="str">
        <f>IFERROR(__xludf.DUMMYFUNCTION("IF(OR(D1731="""",G1731=""""),"""",IFERROR(LET(
campo,XLOOKUP(TRIM(G1731),ARRAYFORMULA(TRIM('indice columnas'!$A$2:$A$100)),'indice columnas'!$B$2:$B$100,""""),
col,IFERROR(MATCH(campo,Referencia!$A$1:$AZ$1,0),0),
fila,IFERROR(MATCH(TO_TEXT(D1731),ARRAYFOR"&amp;"MULA(TO_TEXT(Referencia!$A$2:$A6238)),0),0),
IF(OR(campo="""",campo=""-""),""NO APLICA"",
IF(col=0,""REVISAR EQUIVALENCIA"",
IF(fila=0,""SKU NO ENCONTRADO"",
LET(
valor,INDEX(Referencia!$A$2:$AZ6238,fila,col),
IF(TRIM(TO_TEXT(valor))=TRIM(TO_TEXT(I1731)),"&amp;"
""OK"",
""NO COINCIDE. Valor verdadero: ""&amp;IF(valor="""",""[VACÍO]"",TO_TEXT(valor))
)
))))
),""ERROR EN FÓRMULA""))"),"NO APLICA")</f>
        <v>NO APLICA</v>
      </c>
    </row>
    <row r="1732">
      <c r="A1732" s="83" t="s">
        <v>4618</v>
      </c>
      <c r="B1732" s="83" t="s">
        <v>4619</v>
      </c>
      <c r="C1732" s="81" t="s">
        <v>4621</v>
      </c>
      <c r="D1732" s="83" t="s">
        <v>4530</v>
      </c>
      <c r="E1732" s="81" t="s">
        <v>2475</v>
      </c>
      <c r="F1732" s="84">
        <v>477.0</v>
      </c>
      <c r="G1732" s="81" t="s">
        <v>12</v>
      </c>
      <c r="H1732" s="81" t="s">
        <v>224</v>
      </c>
      <c r="I1732" s="81" t="s">
        <v>1549</v>
      </c>
      <c r="J1732" s="81" t="s">
        <v>224</v>
      </c>
      <c r="K1732" s="81" t="str">
        <f>IFERROR(__xludf.DUMMYFUNCTION("IF(OR(D1732="""",G1732=""""),"""",IFERROR(LET(
campo,XLOOKUP(TRIM(G1732),ARRAYFORMULA(TRIM('indice columnas'!$A$2:$A$100)),'indice columnas'!$B$2:$B$100,""""),
col,IFERROR(MATCH(campo,Referencia!$A$1:$AZ$1,0),0),
fila,IFERROR(MATCH(TO_TEXT(D1732),ARRAYFOR"&amp;"MULA(TO_TEXT(Referencia!$A$2:$A6238)),0),0),
IF(OR(campo="""",campo=""-""),""NO APLICA"",
IF(col=0,""REVISAR EQUIVALENCIA"",
IF(fila=0,""SKU NO ENCONTRADO"",
LET(
valor,INDEX(Referencia!$A$2:$AZ6238,fila,col),
IF(TRIM(TO_TEXT(valor))=TRIM(TO_TEXT(I1732)),"&amp;"
""OK"",
""NO COINCIDE. Valor verdadero: ""&amp;IF(valor="""",""[VACÍO]"",TO_TEXT(valor))
)
))))
),""ERROR EN FÓRMULA""))"),"OK")</f>
        <v>OK</v>
      </c>
    </row>
    <row r="1733">
      <c r="A1733" s="83" t="s">
        <v>4618</v>
      </c>
      <c r="B1733" s="83" t="s">
        <v>4619</v>
      </c>
      <c r="C1733" s="81" t="s">
        <v>4621</v>
      </c>
      <c r="D1733" s="83" t="s">
        <v>4530</v>
      </c>
      <c r="E1733" s="81" t="s">
        <v>2475</v>
      </c>
      <c r="F1733" s="84">
        <v>477.0</v>
      </c>
      <c r="G1733" s="81" t="s">
        <v>44</v>
      </c>
      <c r="H1733" s="81" t="s">
        <v>4525</v>
      </c>
      <c r="I1733" s="81" t="s">
        <v>2456</v>
      </c>
      <c r="J1733" s="81" t="s">
        <v>4088</v>
      </c>
      <c r="K1733" s="81" t="str">
        <f>IFERROR(__xludf.DUMMYFUNCTION("IF(OR(D1733="""",G1733=""""),"""",IFERROR(LET(
campo,XLOOKUP(TRIM(G1733),ARRAYFORMULA(TRIM('indice columnas'!$A$2:$A$100)),'indice columnas'!$B$2:$B$100,""""),
col,IFERROR(MATCH(campo,Referencia!$A$1:$AZ$1,0),0),
fila,IFERROR(MATCH(TO_TEXT(D1733),ARRAYFOR"&amp;"MULA(TO_TEXT(Referencia!$A$2:$A6238)),0),0),
IF(OR(campo="""",campo=""-""),""NO APLICA"",
IF(col=0,""REVISAR EQUIVALENCIA"",
IF(fila=0,""SKU NO ENCONTRADO"",
LET(
valor,INDEX(Referencia!$A$2:$AZ6238,fila,col),
IF(TRIM(TO_TEXT(valor))=TRIM(TO_TEXT(I1733)),"&amp;"
""OK"",
""NO COINCIDE. Valor verdadero: ""&amp;IF(valor="""",""[VACÍO]"",TO_TEXT(valor))
)
))))
),""ERROR EN FÓRMULA""))"),"NO APLICA")</f>
        <v>NO APLICA</v>
      </c>
    </row>
    <row r="1734">
      <c r="A1734" s="83" t="s">
        <v>4618</v>
      </c>
      <c r="B1734" s="83" t="s">
        <v>4619</v>
      </c>
      <c r="C1734" s="81" t="s">
        <v>4621</v>
      </c>
      <c r="D1734" s="83" t="s">
        <v>4531</v>
      </c>
      <c r="E1734" s="81" t="s">
        <v>2489</v>
      </c>
      <c r="F1734" s="84">
        <v>478.0</v>
      </c>
      <c r="G1734" s="81" t="s">
        <v>12</v>
      </c>
      <c r="H1734" s="81" t="s">
        <v>224</v>
      </c>
      <c r="I1734" s="81" t="s">
        <v>1549</v>
      </c>
      <c r="J1734" s="81" t="s">
        <v>224</v>
      </c>
      <c r="K1734" s="81" t="str">
        <f>IFERROR(__xludf.DUMMYFUNCTION("IF(OR(D1734="""",G1734=""""),"""",IFERROR(LET(
campo,XLOOKUP(TRIM(G1734),ARRAYFORMULA(TRIM('indice columnas'!$A$2:$A$100)),'indice columnas'!$B$2:$B$100,""""),
col,IFERROR(MATCH(campo,Referencia!$A$1:$AZ$1,0),0),
fila,IFERROR(MATCH(TO_TEXT(D1734),ARRAYFOR"&amp;"MULA(TO_TEXT(Referencia!$A$2:$A6238)),0),0),
IF(OR(campo="""",campo=""-""),""NO APLICA"",
IF(col=0,""REVISAR EQUIVALENCIA"",
IF(fila=0,""SKU NO ENCONTRADO"",
LET(
valor,INDEX(Referencia!$A$2:$AZ6238,fila,col),
IF(TRIM(TO_TEXT(valor))=TRIM(TO_TEXT(I1734)),"&amp;"
""OK"",
""NO COINCIDE. Valor verdadero: ""&amp;IF(valor="""",""[VACÍO]"",TO_TEXT(valor))
)
))))
),""ERROR EN FÓRMULA""))"),"OK")</f>
        <v>OK</v>
      </c>
    </row>
    <row r="1735">
      <c r="A1735" s="83" t="s">
        <v>4618</v>
      </c>
      <c r="B1735" s="83" t="s">
        <v>4619</v>
      </c>
      <c r="C1735" s="81" t="s">
        <v>4621</v>
      </c>
      <c r="D1735" s="83" t="s">
        <v>4531</v>
      </c>
      <c r="E1735" s="81" t="s">
        <v>2489</v>
      </c>
      <c r="F1735" s="84">
        <v>478.0</v>
      </c>
      <c r="G1735" s="81" t="s">
        <v>44</v>
      </c>
      <c r="H1735" s="81" t="s">
        <v>224</v>
      </c>
      <c r="I1735" s="81" t="s">
        <v>2489</v>
      </c>
      <c r="J1735" s="81" t="s">
        <v>4088</v>
      </c>
      <c r="K1735" s="81" t="str">
        <f>IFERROR(__xludf.DUMMYFUNCTION("IF(OR(D1735="""",G1735=""""),"""",IFERROR(LET(
campo,XLOOKUP(TRIM(G1735),ARRAYFORMULA(TRIM('indice columnas'!$A$2:$A$100)),'indice columnas'!$B$2:$B$100,""""),
col,IFERROR(MATCH(campo,Referencia!$A$1:$AZ$1,0),0),
fila,IFERROR(MATCH(TO_TEXT(D1735),ARRAYFOR"&amp;"MULA(TO_TEXT(Referencia!$A$2:$A6238)),0),0),
IF(OR(campo="""",campo=""-""),""NO APLICA"",
IF(col=0,""REVISAR EQUIVALENCIA"",
IF(fila=0,""SKU NO ENCONTRADO"",
LET(
valor,INDEX(Referencia!$A$2:$AZ6238,fila,col),
IF(TRIM(TO_TEXT(valor))=TRIM(TO_TEXT(I1735)),"&amp;"
""OK"",
""NO COINCIDE. Valor verdadero: ""&amp;IF(valor="""",""[VACÍO]"",TO_TEXT(valor))
)
))))
),""ERROR EN FÓRMULA""))"),"NO APLICA")</f>
        <v>NO APLICA</v>
      </c>
    </row>
    <row r="1736">
      <c r="A1736" s="83" t="s">
        <v>4618</v>
      </c>
      <c r="B1736" s="83" t="s">
        <v>4619</v>
      </c>
      <c r="C1736" s="81" t="s">
        <v>4621</v>
      </c>
      <c r="D1736" s="83" t="s">
        <v>4532</v>
      </c>
      <c r="E1736" s="81" t="s">
        <v>2504</v>
      </c>
      <c r="F1736" s="84">
        <v>479.0</v>
      </c>
      <c r="G1736" s="81" t="s">
        <v>44</v>
      </c>
      <c r="H1736" s="81" t="s">
        <v>4533</v>
      </c>
      <c r="I1736" s="81" t="s">
        <v>2504</v>
      </c>
      <c r="J1736" s="81" t="s">
        <v>4088</v>
      </c>
      <c r="K1736" s="81" t="str">
        <f>IFERROR(__xludf.DUMMYFUNCTION("IF(OR(D1736="""",G1736=""""),"""",IFERROR(LET(
campo,XLOOKUP(TRIM(G1736),ARRAYFORMULA(TRIM('indice columnas'!$A$2:$A$100)),'indice columnas'!$B$2:$B$100,""""),
col,IFERROR(MATCH(campo,Referencia!$A$1:$AZ$1,0),0),
fila,IFERROR(MATCH(TO_TEXT(D1736),ARRAYFOR"&amp;"MULA(TO_TEXT(Referencia!$A$2:$A6238)),0),0),
IF(OR(campo="""",campo=""-""),""NO APLICA"",
IF(col=0,""REVISAR EQUIVALENCIA"",
IF(fila=0,""SKU NO ENCONTRADO"",
LET(
valor,INDEX(Referencia!$A$2:$AZ6238,fila,col),
IF(TRIM(TO_TEXT(valor))=TRIM(TO_TEXT(I1736)),"&amp;"
""OK"",
""NO COINCIDE. Valor verdadero: ""&amp;IF(valor="""",""[VACÍO]"",TO_TEXT(valor))
)
))))
),""ERROR EN FÓRMULA""))"),"NO APLICA")</f>
        <v>NO APLICA</v>
      </c>
    </row>
    <row r="1737">
      <c r="A1737" s="83" t="s">
        <v>4618</v>
      </c>
      <c r="B1737" s="83" t="s">
        <v>4619</v>
      </c>
      <c r="C1737" s="81" t="s">
        <v>4621</v>
      </c>
      <c r="D1737" s="83" t="s">
        <v>4532</v>
      </c>
      <c r="E1737" s="81" t="s">
        <v>2515</v>
      </c>
      <c r="F1737" s="84">
        <v>480.0</v>
      </c>
      <c r="G1737" s="81" t="s">
        <v>44</v>
      </c>
      <c r="H1737" s="81" t="s">
        <v>4533</v>
      </c>
      <c r="I1737" s="81" t="s">
        <v>2504</v>
      </c>
      <c r="J1737" s="81" t="s">
        <v>4088</v>
      </c>
      <c r="K1737" s="81" t="str">
        <f>IFERROR(__xludf.DUMMYFUNCTION("IF(OR(D1737="""",G1737=""""),"""",IFERROR(LET(
campo,XLOOKUP(TRIM(G1737),ARRAYFORMULA(TRIM('indice columnas'!$A$2:$A$100)),'indice columnas'!$B$2:$B$100,""""),
col,IFERROR(MATCH(campo,Referencia!$A$1:$AZ$1,0),0),
fila,IFERROR(MATCH(TO_TEXT(D1737),ARRAYFOR"&amp;"MULA(TO_TEXT(Referencia!$A$2:$A6238)),0),0),
IF(OR(campo="""",campo=""-""),""NO APLICA"",
IF(col=0,""REVISAR EQUIVALENCIA"",
IF(fila=0,""SKU NO ENCONTRADO"",
LET(
valor,INDEX(Referencia!$A$2:$AZ6238,fila,col),
IF(TRIM(TO_TEXT(valor))=TRIM(TO_TEXT(I1737)),"&amp;"
""OK"",
""NO COINCIDE. Valor verdadero: ""&amp;IF(valor="""",""[VACÍO]"",TO_TEXT(valor))
)
))))
),""ERROR EN FÓRMULA""))"),"NO APLICA")</f>
        <v>NO APLICA</v>
      </c>
    </row>
    <row r="1738">
      <c r="A1738" s="83" t="s">
        <v>4618</v>
      </c>
      <c r="B1738" s="83" t="s">
        <v>4619</v>
      </c>
      <c r="C1738" s="81" t="s">
        <v>4621</v>
      </c>
      <c r="D1738" s="83" t="s">
        <v>4534</v>
      </c>
      <c r="E1738" s="81" t="s">
        <v>2516</v>
      </c>
      <c r="F1738" s="84">
        <v>481.0</v>
      </c>
      <c r="G1738" s="81" t="s">
        <v>44</v>
      </c>
      <c r="H1738" s="81" t="s">
        <v>4533</v>
      </c>
      <c r="I1738" s="81" t="s">
        <v>2504</v>
      </c>
      <c r="J1738" s="81" t="s">
        <v>4088</v>
      </c>
      <c r="K1738" s="81" t="str">
        <f>IFERROR(__xludf.DUMMYFUNCTION("IF(OR(D1738="""",G1738=""""),"""",IFERROR(LET(
campo,XLOOKUP(TRIM(G1738),ARRAYFORMULA(TRIM('indice columnas'!$A$2:$A$100)),'indice columnas'!$B$2:$B$100,""""),
col,IFERROR(MATCH(campo,Referencia!$A$1:$AZ$1,0),0),
fila,IFERROR(MATCH(TO_TEXT(D1738),ARRAYFOR"&amp;"MULA(TO_TEXT(Referencia!$A$2:$A6238)),0),0),
IF(OR(campo="""",campo=""-""),""NO APLICA"",
IF(col=0,""REVISAR EQUIVALENCIA"",
IF(fila=0,""SKU NO ENCONTRADO"",
LET(
valor,INDEX(Referencia!$A$2:$AZ6238,fila,col),
IF(TRIM(TO_TEXT(valor))=TRIM(TO_TEXT(I1738)),"&amp;"
""OK"",
""NO COINCIDE. Valor verdadero: ""&amp;IF(valor="""",""[VACÍO]"",TO_TEXT(valor))
)
))))
),""ERROR EN FÓRMULA""))"),"NO APLICA")</f>
        <v>NO APLICA</v>
      </c>
    </row>
    <row r="1739">
      <c r="A1739" s="83" t="s">
        <v>4618</v>
      </c>
      <c r="B1739" s="83" t="s">
        <v>4619</v>
      </c>
      <c r="C1739" s="81" t="s">
        <v>4621</v>
      </c>
      <c r="D1739" s="83" t="s">
        <v>4535</v>
      </c>
      <c r="E1739" s="81" t="s">
        <v>2519</v>
      </c>
      <c r="F1739" s="84">
        <v>482.0</v>
      </c>
      <c r="G1739" s="81" t="s">
        <v>44</v>
      </c>
      <c r="H1739" s="81" t="s">
        <v>4536</v>
      </c>
      <c r="I1739" s="81" t="s">
        <v>2519</v>
      </c>
      <c r="J1739" s="81" t="s">
        <v>4088</v>
      </c>
      <c r="K1739" s="81" t="str">
        <f>IFERROR(__xludf.DUMMYFUNCTION("IF(OR(D1739="""",G1739=""""),"""",IFERROR(LET(
campo,XLOOKUP(TRIM(G1739),ARRAYFORMULA(TRIM('indice columnas'!$A$2:$A$100)),'indice columnas'!$B$2:$B$100,""""),
col,IFERROR(MATCH(campo,Referencia!$A$1:$AZ$1,0),0),
fila,IFERROR(MATCH(TO_TEXT(D1739),ARRAYFOR"&amp;"MULA(TO_TEXT(Referencia!$A$2:$A6238)),0),0),
IF(OR(campo="""",campo=""-""),""NO APLICA"",
IF(col=0,""REVISAR EQUIVALENCIA"",
IF(fila=0,""SKU NO ENCONTRADO"",
LET(
valor,INDEX(Referencia!$A$2:$AZ6238,fila,col),
IF(TRIM(TO_TEXT(valor))=TRIM(TO_TEXT(I1739)),"&amp;"
""OK"",
""NO COINCIDE. Valor verdadero: ""&amp;IF(valor="""",""[VACÍO]"",TO_TEXT(valor))
)
))))
),""ERROR EN FÓRMULA""))"),"NO APLICA")</f>
        <v>NO APLICA</v>
      </c>
    </row>
    <row r="1740">
      <c r="A1740" s="83" t="s">
        <v>4618</v>
      </c>
      <c r="B1740" s="83" t="s">
        <v>4619</v>
      </c>
      <c r="C1740" s="81" t="s">
        <v>4621</v>
      </c>
      <c r="D1740" s="83" t="s">
        <v>4535</v>
      </c>
      <c r="E1740" s="81" t="s">
        <v>2529</v>
      </c>
      <c r="F1740" s="84">
        <v>483.0</v>
      </c>
      <c r="G1740" s="81" t="s">
        <v>44</v>
      </c>
      <c r="H1740" s="81" t="s">
        <v>4536</v>
      </c>
      <c r="I1740" s="81" t="s">
        <v>2519</v>
      </c>
      <c r="J1740" s="81" t="s">
        <v>4088</v>
      </c>
      <c r="K1740" s="81" t="str">
        <f>IFERROR(__xludf.DUMMYFUNCTION("IF(OR(D1740="""",G1740=""""),"""",IFERROR(LET(
campo,XLOOKUP(TRIM(G1740),ARRAYFORMULA(TRIM('indice columnas'!$A$2:$A$100)),'indice columnas'!$B$2:$B$100,""""),
col,IFERROR(MATCH(campo,Referencia!$A$1:$AZ$1,0),0),
fila,IFERROR(MATCH(TO_TEXT(D1740),ARRAYFOR"&amp;"MULA(TO_TEXT(Referencia!$A$2:$A6238)),0),0),
IF(OR(campo="""",campo=""-""),""NO APLICA"",
IF(col=0,""REVISAR EQUIVALENCIA"",
IF(fila=0,""SKU NO ENCONTRADO"",
LET(
valor,INDEX(Referencia!$A$2:$AZ6238,fila,col),
IF(TRIM(TO_TEXT(valor))=TRIM(TO_TEXT(I1740)),"&amp;"
""OK"",
""NO COINCIDE. Valor verdadero: ""&amp;IF(valor="""",""[VACÍO]"",TO_TEXT(valor))
)
))))
),""ERROR EN FÓRMULA""))"),"NO APLICA")</f>
        <v>NO APLICA</v>
      </c>
    </row>
    <row r="1741">
      <c r="A1741" s="83" t="s">
        <v>4618</v>
      </c>
      <c r="B1741" s="83" t="s">
        <v>4619</v>
      </c>
      <c r="C1741" s="81" t="s">
        <v>4621</v>
      </c>
      <c r="D1741" s="83" t="s">
        <v>4537</v>
      </c>
      <c r="E1741" s="81" t="s">
        <v>2530</v>
      </c>
      <c r="F1741" s="84">
        <v>484.0</v>
      </c>
      <c r="G1741" s="81" t="s">
        <v>44</v>
      </c>
      <c r="H1741" s="81" t="s">
        <v>4536</v>
      </c>
      <c r="I1741" s="81" t="s">
        <v>2519</v>
      </c>
      <c r="J1741" s="81" t="s">
        <v>4088</v>
      </c>
      <c r="K1741" s="81" t="str">
        <f>IFERROR(__xludf.DUMMYFUNCTION("IF(OR(D1741="""",G1741=""""),"""",IFERROR(LET(
campo,XLOOKUP(TRIM(G1741),ARRAYFORMULA(TRIM('indice columnas'!$A$2:$A$100)),'indice columnas'!$B$2:$B$100,""""),
col,IFERROR(MATCH(campo,Referencia!$A$1:$AZ$1,0),0),
fila,IFERROR(MATCH(TO_TEXT(D1741),ARRAYFOR"&amp;"MULA(TO_TEXT(Referencia!$A$2:$A6238)),0),0),
IF(OR(campo="""",campo=""-""),""NO APLICA"",
IF(col=0,""REVISAR EQUIVALENCIA"",
IF(fila=0,""SKU NO ENCONTRADO"",
LET(
valor,INDEX(Referencia!$A$2:$AZ6238,fila,col),
IF(TRIM(TO_TEXT(valor))=TRIM(TO_TEXT(I1741)),"&amp;"
""OK"",
""NO COINCIDE. Valor verdadero: ""&amp;IF(valor="""",""[VACÍO]"",TO_TEXT(valor))
)
))))
),""ERROR EN FÓRMULA""))"),"NO APLICA")</f>
        <v>NO APLICA</v>
      </c>
    </row>
    <row r="1742">
      <c r="A1742" s="83" t="s">
        <v>4618</v>
      </c>
      <c r="B1742" s="83" t="s">
        <v>4619</v>
      </c>
      <c r="C1742" s="81" t="s">
        <v>4621</v>
      </c>
      <c r="D1742" s="83" t="s">
        <v>4538</v>
      </c>
      <c r="E1742" s="81" t="s">
        <v>2533</v>
      </c>
      <c r="F1742" s="84">
        <v>485.0</v>
      </c>
      <c r="G1742" s="81" t="s">
        <v>44</v>
      </c>
      <c r="H1742" s="81" t="s">
        <v>4539</v>
      </c>
      <c r="I1742" s="81" t="s">
        <v>2533</v>
      </c>
      <c r="J1742" s="81" t="s">
        <v>4088</v>
      </c>
      <c r="K1742" s="81" t="str">
        <f>IFERROR(__xludf.DUMMYFUNCTION("IF(OR(D1742="""",G1742=""""),"""",IFERROR(LET(
campo,XLOOKUP(TRIM(G1742),ARRAYFORMULA(TRIM('indice columnas'!$A$2:$A$100)),'indice columnas'!$B$2:$B$100,""""),
col,IFERROR(MATCH(campo,Referencia!$A$1:$AZ$1,0),0),
fila,IFERROR(MATCH(TO_TEXT(D1742),ARRAYFOR"&amp;"MULA(TO_TEXT(Referencia!$A$2:$A6238)),0),0),
IF(OR(campo="""",campo=""-""),""NO APLICA"",
IF(col=0,""REVISAR EQUIVALENCIA"",
IF(fila=0,""SKU NO ENCONTRADO"",
LET(
valor,INDEX(Referencia!$A$2:$AZ6238,fila,col),
IF(TRIM(TO_TEXT(valor))=TRIM(TO_TEXT(I1742)),"&amp;"
""OK"",
""NO COINCIDE. Valor verdadero: ""&amp;IF(valor="""",""[VACÍO]"",TO_TEXT(valor))
)
))))
),""ERROR EN FÓRMULA""))"),"NO APLICA")</f>
        <v>NO APLICA</v>
      </c>
    </row>
    <row r="1743">
      <c r="A1743" s="83" t="s">
        <v>4618</v>
      </c>
      <c r="B1743" s="83" t="s">
        <v>4619</v>
      </c>
      <c r="C1743" s="81" t="s">
        <v>4621</v>
      </c>
      <c r="D1743" s="83" t="s">
        <v>4538</v>
      </c>
      <c r="E1743" s="81" t="s">
        <v>2548</v>
      </c>
      <c r="F1743" s="84">
        <v>486.0</v>
      </c>
      <c r="G1743" s="81" t="s">
        <v>44</v>
      </c>
      <c r="H1743" s="81" t="s">
        <v>4539</v>
      </c>
      <c r="I1743" s="81" t="s">
        <v>2533</v>
      </c>
      <c r="J1743" s="81" t="s">
        <v>4088</v>
      </c>
      <c r="K1743" s="81" t="str">
        <f>IFERROR(__xludf.DUMMYFUNCTION("IF(OR(D1743="""",G1743=""""),"""",IFERROR(LET(
campo,XLOOKUP(TRIM(G1743),ARRAYFORMULA(TRIM('indice columnas'!$A$2:$A$100)),'indice columnas'!$B$2:$B$100,""""),
col,IFERROR(MATCH(campo,Referencia!$A$1:$AZ$1,0),0),
fila,IFERROR(MATCH(TO_TEXT(D1743),ARRAYFOR"&amp;"MULA(TO_TEXT(Referencia!$A$2:$A6238)),0),0),
IF(OR(campo="""",campo=""-""),""NO APLICA"",
IF(col=0,""REVISAR EQUIVALENCIA"",
IF(fila=0,""SKU NO ENCONTRADO"",
LET(
valor,INDEX(Referencia!$A$2:$AZ6238,fila,col),
IF(TRIM(TO_TEXT(valor))=TRIM(TO_TEXT(I1743)),"&amp;"
""OK"",
""NO COINCIDE. Valor verdadero: ""&amp;IF(valor="""",""[VACÍO]"",TO_TEXT(valor))
)
))))
),""ERROR EN FÓRMULA""))"),"NO APLICA")</f>
        <v>NO APLICA</v>
      </c>
    </row>
    <row r="1744">
      <c r="A1744" s="83" t="s">
        <v>4618</v>
      </c>
      <c r="B1744" s="83" t="s">
        <v>4619</v>
      </c>
      <c r="C1744" s="81" t="s">
        <v>4621</v>
      </c>
      <c r="D1744" s="83" t="s">
        <v>4540</v>
      </c>
      <c r="E1744" s="81" t="s">
        <v>2549</v>
      </c>
      <c r="F1744" s="84">
        <v>487.0</v>
      </c>
      <c r="G1744" s="81" t="s">
        <v>44</v>
      </c>
      <c r="H1744" s="81" t="s">
        <v>4541</v>
      </c>
      <c r="I1744" s="81" t="s">
        <v>4542</v>
      </c>
      <c r="J1744" s="81" t="s">
        <v>4088</v>
      </c>
      <c r="K1744" s="81" t="str">
        <f>IFERROR(__xludf.DUMMYFUNCTION("IF(OR(D1744="""",G1744=""""),"""",IFERROR(LET(
campo,XLOOKUP(TRIM(G1744),ARRAYFORMULA(TRIM('indice columnas'!$A$2:$A$100)),'indice columnas'!$B$2:$B$100,""""),
col,IFERROR(MATCH(campo,Referencia!$A$1:$AZ$1,0),0),
fila,IFERROR(MATCH(TO_TEXT(D1744),ARRAYFOR"&amp;"MULA(TO_TEXT(Referencia!$A$2:$A6238)),0),0),
IF(OR(campo="""",campo=""-""),""NO APLICA"",
IF(col=0,""REVISAR EQUIVALENCIA"",
IF(fila=0,""SKU NO ENCONTRADO"",
LET(
valor,INDEX(Referencia!$A$2:$AZ6238,fila,col),
IF(TRIM(TO_TEXT(valor))=TRIM(TO_TEXT(I1744)),"&amp;"
""OK"",
""NO COINCIDE. Valor verdadero: ""&amp;IF(valor="""",""[VACÍO]"",TO_TEXT(valor))
)
))))
),""ERROR EN FÓRMULA""))"),"NO APLICA")</f>
        <v>NO APLICA</v>
      </c>
    </row>
    <row r="1745">
      <c r="A1745" s="83" t="s">
        <v>4618</v>
      </c>
      <c r="B1745" s="83" t="s">
        <v>4619</v>
      </c>
      <c r="C1745" s="81" t="s">
        <v>4621</v>
      </c>
      <c r="D1745" s="83" t="s">
        <v>4540</v>
      </c>
      <c r="E1745" s="81" t="s">
        <v>2562</v>
      </c>
      <c r="F1745" s="84">
        <v>488.0</v>
      </c>
      <c r="G1745" s="81" t="s">
        <v>44</v>
      </c>
      <c r="H1745" s="81" t="s">
        <v>4541</v>
      </c>
      <c r="I1745" s="81" t="s">
        <v>4542</v>
      </c>
      <c r="J1745" s="81" t="s">
        <v>4088</v>
      </c>
      <c r="K1745" s="81" t="str">
        <f>IFERROR(__xludf.DUMMYFUNCTION("IF(OR(D1745="""",G1745=""""),"""",IFERROR(LET(
campo,XLOOKUP(TRIM(G1745),ARRAYFORMULA(TRIM('indice columnas'!$A$2:$A$100)),'indice columnas'!$B$2:$B$100,""""),
col,IFERROR(MATCH(campo,Referencia!$A$1:$AZ$1,0),0),
fila,IFERROR(MATCH(TO_TEXT(D1745),ARRAYFOR"&amp;"MULA(TO_TEXT(Referencia!$A$2:$A6238)),0),0),
IF(OR(campo="""",campo=""-""),""NO APLICA"",
IF(col=0,""REVISAR EQUIVALENCIA"",
IF(fila=0,""SKU NO ENCONTRADO"",
LET(
valor,INDEX(Referencia!$A$2:$AZ6238,fila,col),
IF(TRIM(TO_TEXT(valor))=TRIM(TO_TEXT(I1745)),"&amp;"
""OK"",
""NO COINCIDE. Valor verdadero: ""&amp;IF(valor="""",""[VACÍO]"",TO_TEXT(valor))
)
))))
),""ERROR EN FÓRMULA""))"),"NO APLICA")</f>
        <v>NO APLICA</v>
      </c>
    </row>
    <row r="1746">
      <c r="A1746" s="83" t="s">
        <v>4618</v>
      </c>
      <c r="B1746" s="83" t="s">
        <v>4619</v>
      </c>
      <c r="C1746" s="81" t="s">
        <v>4621</v>
      </c>
      <c r="D1746" s="83" t="s">
        <v>4543</v>
      </c>
      <c r="E1746" s="81" t="s">
        <v>2563</v>
      </c>
      <c r="F1746" s="84">
        <v>489.0</v>
      </c>
      <c r="G1746" s="81" t="s">
        <v>44</v>
      </c>
      <c r="H1746" s="81" t="s">
        <v>4541</v>
      </c>
      <c r="I1746" s="81" t="s">
        <v>4542</v>
      </c>
      <c r="J1746" s="81" t="s">
        <v>4088</v>
      </c>
      <c r="K1746" s="81" t="str">
        <f>IFERROR(__xludf.DUMMYFUNCTION("IF(OR(D1746="""",G1746=""""),"""",IFERROR(LET(
campo,XLOOKUP(TRIM(G1746),ARRAYFORMULA(TRIM('indice columnas'!$A$2:$A$100)),'indice columnas'!$B$2:$B$100,""""),
col,IFERROR(MATCH(campo,Referencia!$A$1:$AZ$1,0),0),
fila,IFERROR(MATCH(TO_TEXT(D1746),ARRAYFOR"&amp;"MULA(TO_TEXT(Referencia!$A$2:$A6238)),0),0),
IF(OR(campo="""",campo=""-""),""NO APLICA"",
IF(col=0,""REVISAR EQUIVALENCIA"",
IF(fila=0,""SKU NO ENCONTRADO"",
LET(
valor,INDEX(Referencia!$A$2:$AZ6238,fila,col),
IF(TRIM(TO_TEXT(valor))=TRIM(TO_TEXT(I1746)),"&amp;"
""OK"",
""NO COINCIDE. Valor verdadero: ""&amp;IF(valor="""",""[VACÍO]"",TO_TEXT(valor))
)
))))
),""ERROR EN FÓRMULA""))"),"NO APLICA")</f>
        <v>NO APLICA</v>
      </c>
    </row>
    <row r="1747">
      <c r="A1747" s="83" t="s">
        <v>4618</v>
      </c>
      <c r="B1747" s="83" t="s">
        <v>4619</v>
      </c>
      <c r="C1747" s="81" t="s">
        <v>4621</v>
      </c>
      <c r="D1747" s="83" t="s">
        <v>4544</v>
      </c>
      <c r="E1747" s="81" t="s">
        <v>2566</v>
      </c>
      <c r="F1747" s="84">
        <v>490.0</v>
      </c>
      <c r="G1747" s="81" t="s">
        <v>44</v>
      </c>
      <c r="H1747" s="81" t="s">
        <v>4545</v>
      </c>
      <c r="I1747" s="81" t="s">
        <v>4542</v>
      </c>
      <c r="J1747" s="81" t="s">
        <v>4088</v>
      </c>
      <c r="K1747" s="81" t="str">
        <f>IFERROR(__xludf.DUMMYFUNCTION("IF(OR(D1747="""",G1747=""""),"""",IFERROR(LET(
campo,XLOOKUP(TRIM(G1747),ARRAYFORMULA(TRIM('indice columnas'!$A$2:$A$100)),'indice columnas'!$B$2:$B$100,""""),
col,IFERROR(MATCH(campo,Referencia!$A$1:$AZ$1,0),0),
fila,IFERROR(MATCH(TO_TEXT(D1747),ARRAYFOR"&amp;"MULA(TO_TEXT(Referencia!$A$2:$A6238)),0),0),
IF(OR(campo="""",campo=""-""),""NO APLICA"",
IF(col=0,""REVISAR EQUIVALENCIA"",
IF(fila=0,""SKU NO ENCONTRADO"",
LET(
valor,INDEX(Referencia!$A$2:$AZ6238,fila,col),
IF(TRIM(TO_TEXT(valor))=TRIM(TO_TEXT(I1747)),"&amp;"
""OK"",
""NO COINCIDE. Valor verdadero: ""&amp;IF(valor="""",""[VACÍO]"",TO_TEXT(valor))
)
))))
),""ERROR EN FÓRMULA""))"),"NO APLICA")</f>
        <v>NO APLICA</v>
      </c>
    </row>
    <row r="1748">
      <c r="A1748" s="83" t="s">
        <v>4618</v>
      </c>
      <c r="B1748" s="83" t="s">
        <v>4619</v>
      </c>
      <c r="C1748" s="81" t="s">
        <v>4621</v>
      </c>
      <c r="D1748" s="83" t="s">
        <v>4544</v>
      </c>
      <c r="E1748" s="81" t="s">
        <v>2573</v>
      </c>
      <c r="F1748" s="84">
        <v>491.0</v>
      </c>
      <c r="G1748" s="81" t="s">
        <v>44</v>
      </c>
      <c r="H1748" s="81" t="s">
        <v>4545</v>
      </c>
      <c r="I1748" s="81" t="s">
        <v>4542</v>
      </c>
      <c r="J1748" s="81" t="s">
        <v>4088</v>
      </c>
      <c r="K1748" s="81" t="str">
        <f>IFERROR(__xludf.DUMMYFUNCTION("IF(OR(D1748="""",G1748=""""),"""",IFERROR(LET(
campo,XLOOKUP(TRIM(G1748),ARRAYFORMULA(TRIM('indice columnas'!$A$2:$A$100)),'indice columnas'!$B$2:$B$100,""""),
col,IFERROR(MATCH(campo,Referencia!$A$1:$AZ$1,0),0),
fila,IFERROR(MATCH(TO_TEXT(D1748),ARRAYFOR"&amp;"MULA(TO_TEXT(Referencia!$A$2:$A6238)),0),0),
IF(OR(campo="""",campo=""-""),""NO APLICA"",
IF(col=0,""REVISAR EQUIVALENCIA"",
IF(fila=0,""SKU NO ENCONTRADO"",
LET(
valor,INDEX(Referencia!$A$2:$AZ6238,fila,col),
IF(TRIM(TO_TEXT(valor))=TRIM(TO_TEXT(I1748)),"&amp;"
""OK"",
""NO COINCIDE. Valor verdadero: ""&amp;IF(valor="""",""[VACÍO]"",TO_TEXT(valor))
)
))))
),""ERROR EN FÓRMULA""))"),"NO APLICA")</f>
        <v>NO APLICA</v>
      </c>
    </row>
    <row r="1749">
      <c r="A1749" s="83" t="s">
        <v>4618</v>
      </c>
      <c r="B1749" s="83" t="s">
        <v>4619</v>
      </c>
      <c r="C1749" s="81" t="s">
        <v>4621</v>
      </c>
      <c r="D1749" s="83" t="s">
        <v>4546</v>
      </c>
      <c r="E1749" s="81" t="s">
        <v>2574</v>
      </c>
      <c r="F1749" s="84">
        <v>492.0</v>
      </c>
      <c r="G1749" s="81" t="s">
        <v>44</v>
      </c>
      <c r="H1749" s="81" t="s">
        <v>4545</v>
      </c>
      <c r="I1749" s="81" t="s">
        <v>4542</v>
      </c>
      <c r="J1749" s="81" t="s">
        <v>4088</v>
      </c>
      <c r="K1749" s="81" t="str">
        <f>IFERROR(__xludf.DUMMYFUNCTION("IF(OR(D1749="""",G1749=""""),"""",IFERROR(LET(
campo,XLOOKUP(TRIM(G1749),ARRAYFORMULA(TRIM('indice columnas'!$A$2:$A$100)),'indice columnas'!$B$2:$B$100,""""),
col,IFERROR(MATCH(campo,Referencia!$A$1:$AZ$1,0),0),
fila,IFERROR(MATCH(TO_TEXT(D1749),ARRAYFOR"&amp;"MULA(TO_TEXT(Referencia!$A$2:$A6238)),0),0),
IF(OR(campo="""",campo=""-""),""NO APLICA"",
IF(col=0,""REVISAR EQUIVALENCIA"",
IF(fila=0,""SKU NO ENCONTRADO"",
LET(
valor,INDEX(Referencia!$A$2:$AZ6238,fila,col),
IF(TRIM(TO_TEXT(valor))=TRIM(TO_TEXT(I1749)),"&amp;"
""OK"",
""NO COINCIDE. Valor verdadero: ""&amp;IF(valor="""",""[VACÍO]"",TO_TEXT(valor))
)
))))
),""ERROR EN FÓRMULA""))"),"NO APLICA")</f>
        <v>NO APLICA</v>
      </c>
    </row>
    <row r="1750">
      <c r="A1750" s="83" t="s">
        <v>4618</v>
      </c>
      <c r="B1750" s="83" t="s">
        <v>4619</v>
      </c>
      <c r="C1750" s="81" t="s">
        <v>4621</v>
      </c>
      <c r="D1750" s="83" t="s">
        <v>4547</v>
      </c>
      <c r="E1750" s="81" t="s">
        <v>2577</v>
      </c>
      <c r="F1750" s="84">
        <v>493.0</v>
      </c>
      <c r="G1750" s="81" t="s">
        <v>44</v>
      </c>
      <c r="H1750" s="81" t="s">
        <v>224</v>
      </c>
      <c r="I1750" s="81" t="s">
        <v>1775</v>
      </c>
      <c r="J1750" s="81" t="s">
        <v>4088</v>
      </c>
      <c r="K1750" s="81" t="str">
        <f>IFERROR(__xludf.DUMMYFUNCTION("IF(OR(D1750="""",G1750=""""),"""",IFERROR(LET(
campo,XLOOKUP(TRIM(G1750),ARRAYFORMULA(TRIM('indice columnas'!$A$2:$A$100)),'indice columnas'!$B$2:$B$100,""""),
col,IFERROR(MATCH(campo,Referencia!$A$1:$AZ$1,0),0),
fila,IFERROR(MATCH(TO_TEXT(D1750),ARRAYFOR"&amp;"MULA(TO_TEXT(Referencia!$A$2:$A6238)),0),0),
IF(OR(campo="""",campo=""-""),""NO APLICA"",
IF(col=0,""REVISAR EQUIVALENCIA"",
IF(fila=0,""SKU NO ENCONTRADO"",
LET(
valor,INDEX(Referencia!$A$2:$AZ6238,fila,col),
IF(TRIM(TO_TEXT(valor))=TRIM(TO_TEXT(I1750)),"&amp;"
""OK"",
""NO COINCIDE. Valor verdadero: ""&amp;IF(valor="""",""[VACÍO]"",TO_TEXT(valor))
)
))))
),""ERROR EN FÓRMULA""))"),"NO APLICA")</f>
        <v>NO APLICA</v>
      </c>
    </row>
    <row r="1751">
      <c r="A1751" s="83" t="s">
        <v>4618</v>
      </c>
      <c r="B1751" s="83" t="s">
        <v>4619</v>
      </c>
      <c r="C1751" s="81" t="s">
        <v>4621</v>
      </c>
      <c r="D1751" s="83" t="s">
        <v>4548</v>
      </c>
      <c r="E1751" s="81" t="s">
        <v>2585</v>
      </c>
      <c r="F1751" s="84">
        <v>494.0</v>
      </c>
      <c r="G1751" s="81" t="s">
        <v>44</v>
      </c>
      <c r="H1751" s="81" t="s">
        <v>224</v>
      </c>
      <c r="I1751" s="81" t="s">
        <v>1775</v>
      </c>
      <c r="J1751" s="81" t="s">
        <v>4088</v>
      </c>
      <c r="K1751" s="81" t="str">
        <f>IFERROR(__xludf.DUMMYFUNCTION("IF(OR(D1751="""",G1751=""""),"""",IFERROR(LET(
campo,XLOOKUP(TRIM(G1751),ARRAYFORMULA(TRIM('indice columnas'!$A$2:$A$100)),'indice columnas'!$B$2:$B$100,""""),
col,IFERROR(MATCH(campo,Referencia!$A$1:$AZ$1,0),0),
fila,IFERROR(MATCH(TO_TEXT(D1751),ARRAYFOR"&amp;"MULA(TO_TEXT(Referencia!$A$2:$A6238)),0),0),
IF(OR(campo="""",campo=""-""),""NO APLICA"",
IF(col=0,""REVISAR EQUIVALENCIA"",
IF(fila=0,""SKU NO ENCONTRADO"",
LET(
valor,INDEX(Referencia!$A$2:$AZ6238,fila,col),
IF(TRIM(TO_TEXT(valor))=TRIM(TO_TEXT(I1751)),"&amp;"
""OK"",
""NO COINCIDE. Valor verdadero: ""&amp;IF(valor="""",""[VACÍO]"",TO_TEXT(valor))
)
))))
),""ERROR EN FÓRMULA""))"),"NO APLICA")</f>
        <v>NO APLICA</v>
      </c>
    </row>
    <row r="1752">
      <c r="A1752" s="83" t="s">
        <v>4618</v>
      </c>
      <c r="B1752" s="83" t="s">
        <v>4619</v>
      </c>
      <c r="C1752" s="81" t="s">
        <v>4621</v>
      </c>
      <c r="D1752" s="83" t="s">
        <v>4549</v>
      </c>
      <c r="E1752" s="81" t="s">
        <v>2588</v>
      </c>
      <c r="F1752" s="84">
        <v>495.0</v>
      </c>
      <c r="G1752" s="81" t="s">
        <v>44</v>
      </c>
      <c r="H1752" s="81" t="s">
        <v>224</v>
      </c>
      <c r="I1752" s="81" t="s">
        <v>2087</v>
      </c>
      <c r="J1752" s="81" t="s">
        <v>4088</v>
      </c>
      <c r="K1752" s="81" t="str">
        <f>IFERROR(__xludf.DUMMYFUNCTION("IF(OR(D1752="""",G1752=""""),"""",IFERROR(LET(
campo,XLOOKUP(TRIM(G1752),ARRAYFORMULA(TRIM('indice columnas'!$A$2:$A$100)),'indice columnas'!$B$2:$B$100,""""),
col,IFERROR(MATCH(campo,Referencia!$A$1:$AZ$1,0),0),
fila,IFERROR(MATCH(TO_TEXT(D1752),ARRAYFOR"&amp;"MULA(TO_TEXT(Referencia!$A$2:$A6238)),0),0),
IF(OR(campo="""",campo=""-""),""NO APLICA"",
IF(col=0,""REVISAR EQUIVALENCIA"",
IF(fila=0,""SKU NO ENCONTRADO"",
LET(
valor,INDEX(Referencia!$A$2:$AZ6238,fila,col),
IF(TRIM(TO_TEXT(valor))=TRIM(TO_TEXT(I1752)),"&amp;"
""OK"",
""NO COINCIDE. Valor verdadero: ""&amp;IF(valor="""",""[VACÍO]"",TO_TEXT(valor))
)
))))
),""ERROR EN FÓRMULA""))"),"NO APLICA")</f>
        <v>NO APLICA</v>
      </c>
    </row>
    <row r="1753">
      <c r="A1753" s="83" t="s">
        <v>4618</v>
      </c>
      <c r="B1753" s="83" t="s">
        <v>4619</v>
      </c>
      <c r="C1753" s="81" t="s">
        <v>4621</v>
      </c>
      <c r="D1753" s="83" t="s">
        <v>4550</v>
      </c>
      <c r="E1753" s="81" t="s">
        <v>2591</v>
      </c>
      <c r="F1753" s="84">
        <v>496.0</v>
      </c>
      <c r="G1753" s="81" t="s">
        <v>44</v>
      </c>
      <c r="H1753" s="81" t="s">
        <v>224</v>
      </c>
      <c r="I1753" s="81" t="s">
        <v>2380</v>
      </c>
      <c r="J1753" s="81" t="s">
        <v>4088</v>
      </c>
      <c r="K1753" s="81" t="str">
        <f>IFERROR(__xludf.DUMMYFUNCTION("IF(OR(D1753="""",G1753=""""),"""",IFERROR(LET(
campo,XLOOKUP(TRIM(G1753),ARRAYFORMULA(TRIM('indice columnas'!$A$2:$A$100)),'indice columnas'!$B$2:$B$100,""""),
col,IFERROR(MATCH(campo,Referencia!$A$1:$AZ$1,0),0),
fila,IFERROR(MATCH(TO_TEXT(D1753),ARRAYFOR"&amp;"MULA(TO_TEXT(Referencia!$A$2:$A6238)),0),0),
IF(OR(campo="""",campo=""-""),""NO APLICA"",
IF(col=0,""REVISAR EQUIVALENCIA"",
IF(fila=0,""SKU NO ENCONTRADO"",
LET(
valor,INDEX(Referencia!$A$2:$AZ6238,fila,col),
IF(TRIM(TO_TEXT(valor))=TRIM(TO_TEXT(I1753)),"&amp;"
""OK"",
""NO COINCIDE. Valor verdadero: ""&amp;IF(valor="""",""[VACÍO]"",TO_TEXT(valor))
)
))))
),""ERROR EN FÓRMULA""))"),"NO APLICA")</f>
        <v>NO APLICA</v>
      </c>
    </row>
    <row r="1754">
      <c r="A1754" s="83" t="s">
        <v>4618</v>
      </c>
      <c r="B1754" s="83" t="s">
        <v>4619</v>
      </c>
      <c r="C1754" s="81" t="s">
        <v>4621</v>
      </c>
      <c r="D1754" s="83" t="s">
        <v>4551</v>
      </c>
      <c r="E1754" s="81" t="s">
        <v>2594</v>
      </c>
      <c r="F1754" s="84">
        <v>497.0</v>
      </c>
      <c r="G1754" s="81" t="s">
        <v>44</v>
      </c>
      <c r="H1754" s="81" t="s">
        <v>224</v>
      </c>
      <c r="I1754" s="81" t="s">
        <v>2380</v>
      </c>
      <c r="J1754" s="81" t="s">
        <v>4088</v>
      </c>
      <c r="K1754" s="81" t="str">
        <f>IFERROR(__xludf.DUMMYFUNCTION("IF(OR(D1754="""",G1754=""""),"""",IFERROR(LET(
campo,XLOOKUP(TRIM(G1754),ARRAYFORMULA(TRIM('indice columnas'!$A$2:$A$100)),'indice columnas'!$B$2:$B$100,""""),
col,IFERROR(MATCH(campo,Referencia!$A$1:$AZ$1,0),0),
fila,IFERROR(MATCH(TO_TEXT(D1754),ARRAYFOR"&amp;"MULA(TO_TEXT(Referencia!$A$2:$A6238)),0),0),
IF(OR(campo="""",campo=""-""),""NO APLICA"",
IF(col=0,""REVISAR EQUIVALENCIA"",
IF(fila=0,""SKU NO ENCONTRADO"",
LET(
valor,INDEX(Referencia!$A$2:$AZ6238,fila,col),
IF(TRIM(TO_TEXT(valor))=TRIM(TO_TEXT(I1754)),"&amp;"
""OK"",
""NO COINCIDE. Valor verdadero: ""&amp;IF(valor="""",""[VACÍO]"",TO_TEXT(valor))
)
))))
),""ERROR EN FÓRMULA""))"),"NO APLICA")</f>
        <v>NO APLICA</v>
      </c>
    </row>
    <row r="1755">
      <c r="A1755" s="83" t="s">
        <v>4618</v>
      </c>
      <c r="B1755" s="83" t="s">
        <v>4619</v>
      </c>
      <c r="C1755" s="81" t="s">
        <v>4621</v>
      </c>
      <c r="D1755" s="83" t="s">
        <v>4552</v>
      </c>
      <c r="E1755" s="81" t="s">
        <v>2596</v>
      </c>
      <c r="F1755" s="84">
        <v>498.0</v>
      </c>
      <c r="G1755" s="81" t="s">
        <v>44</v>
      </c>
      <c r="H1755" s="81" t="s">
        <v>224</v>
      </c>
      <c r="I1755" s="81" t="s">
        <v>2380</v>
      </c>
      <c r="J1755" s="81" t="s">
        <v>4088</v>
      </c>
      <c r="K1755" s="81" t="str">
        <f>IFERROR(__xludf.DUMMYFUNCTION("IF(OR(D1755="""",G1755=""""),"""",IFERROR(LET(
campo,XLOOKUP(TRIM(G1755),ARRAYFORMULA(TRIM('indice columnas'!$A$2:$A$100)),'indice columnas'!$B$2:$B$100,""""),
col,IFERROR(MATCH(campo,Referencia!$A$1:$AZ$1,0),0),
fila,IFERROR(MATCH(TO_TEXT(D1755),ARRAYFOR"&amp;"MULA(TO_TEXT(Referencia!$A$2:$A6238)),0),0),
IF(OR(campo="""",campo=""-""),""NO APLICA"",
IF(col=0,""REVISAR EQUIVALENCIA"",
IF(fila=0,""SKU NO ENCONTRADO"",
LET(
valor,INDEX(Referencia!$A$2:$AZ6238,fila,col),
IF(TRIM(TO_TEXT(valor))=TRIM(TO_TEXT(I1755)),"&amp;"
""OK"",
""NO COINCIDE. Valor verdadero: ""&amp;IF(valor="""",""[VACÍO]"",TO_TEXT(valor))
)
))))
),""ERROR EN FÓRMULA""))"),"NO APLICA")</f>
        <v>NO APLICA</v>
      </c>
    </row>
    <row r="1756">
      <c r="A1756" s="83" t="s">
        <v>4618</v>
      </c>
      <c r="B1756" s="83" t="s">
        <v>4619</v>
      </c>
      <c r="C1756" s="81" t="s">
        <v>4621</v>
      </c>
      <c r="D1756" s="83" t="s">
        <v>4553</v>
      </c>
      <c r="E1756" s="81" t="s">
        <v>2598</v>
      </c>
      <c r="F1756" s="84">
        <v>499.0</v>
      </c>
      <c r="G1756" s="81" t="s">
        <v>44</v>
      </c>
      <c r="H1756" s="81" t="s">
        <v>4339</v>
      </c>
      <c r="I1756" s="81" t="s">
        <v>1401</v>
      </c>
      <c r="J1756" s="81" t="s">
        <v>4088</v>
      </c>
      <c r="K1756" s="81" t="str">
        <f>IFERROR(__xludf.DUMMYFUNCTION("IF(OR(D1756="""",G1756=""""),"""",IFERROR(LET(
campo,XLOOKUP(TRIM(G1756),ARRAYFORMULA(TRIM('indice columnas'!$A$2:$A$100)),'indice columnas'!$B$2:$B$100,""""),
col,IFERROR(MATCH(campo,Referencia!$A$1:$AZ$1,0),0),
fila,IFERROR(MATCH(TO_TEXT(D1756),ARRAYFOR"&amp;"MULA(TO_TEXT(Referencia!$A$2:$A6238)),0),0),
IF(OR(campo="""",campo=""-""),""NO APLICA"",
IF(col=0,""REVISAR EQUIVALENCIA"",
IF(fila=0,""SKU NO ENCONTRADO"",
LET(
valor,INDEX(Referencia!$A$2:$AZ6238,fila,col),
IF(TRIM(TO_TEXT(valor))=TRIM(TO_TEXT(I1756)),"&amp;"
""OK"",
""NO COINCIDE. Valor verdadero: ""&amp;IF(valor="""",""[VACÍO]"",TO_TEXT(valor))
)
))))
),""ERROR EN FÓRMULA""))"),"NO APLICA")</f>
        <v>NO APLICA</v>
      </c>
    </row>
    <row r="1757">
      <c r="A1757" s="83" t="s">
        <v>4618</v>
      </c>
      <c r="B1757" s="83" t="s">
        <v>4619</v>
      </c>
      <c r="C1757" s="81" t="s">
        <v>4621</v>
      </c>
      <c r="D1757" s="83" t="s">
        <v>4553</v>
      </c>
      <c r="E1757" s="81" t="s">
        <v>2608</v>
      </c>
      <c r="F1757" s="84">
        <v>500.0</v>
      </c>
      <c r="G1757" s="81" t="s">
        <v>29</v>
      </c>
      <c r="H1757" s="81" t="s">
        <v>4554</v>
      </c>
      <c r="I1757" s="81" t="s">
        <v>2609</v>
      </c>
      <c r="J1757" s="81" t="s">
        <v>224</v>
      </c>
      <c r="K1757" s="81" t="str">
        <f>IFERROR(__xludf.DUMMYFUNCTION("IF(OR(D1757="""",G1757=""""),"""",IFERROR(LET(
campo,XLOOKUP(TRIM(G1757),ARRAYFORMULA(TRIM('indice columnas'!$A$2:$A$100)),'indice columnas'!$B$2:$B$100,""""),
col,IFERROR(MATCH(campo,Referencia!$A$1:$AZ$1,0),0),
fila,IFERROR(MATCH(TO_TEXT(D1757),ARRAYFOR"&amp;"MULA(TO_TEXT(Referencia!$A$2:$A6238)),0),0),
IF(OR(campo="""",campo=""-""),""NO APLICA"",
IF(col=0,""REVISAR EQUIVALENCIA"",
IF(fila=0,""SKU NO ENCONTRADO"",
LET(
valor,INDEX(Referencia!$A$2:$AZ6238,fila,col),
IF(TRIM(TO_TEXT(valor))=TRIM(TO_TEXT(I1757)),"&amp;"
""OK"",
""NO COINCIDE. Valor verdadero: ""&amp;IF(valor="""",""[VACÍO]"",TO_TEXT(valor))
)
))))
),""ERROR EN FÓRMULA""))"),"NO COINCIDE. Valor verdadero: 33 x 60 x 300 (Ancho x Alto x Largo)")</f>
        <v>NO COINCIDE. Valor verdadero: 33 x 60 x 300 (Ancho x Alto x Largo)</v>
      </c>
    </row>
    <row r="1758">
      <c r="A1758" s="83" t="s">
        <v>4618</v>
      </c>
      <c r="B1758" s="83" t="s">
        <v>4619</v>
      </c>
      <c r="C1758" s="81" t="s">
        <v>4621</v>
      </c>
      <c r="D1758" s="83" t="s">
        <v>4553</v>
      </c>
      <c r="E1758" s="81" t="s">
        <v>2608</v>
      </c>
      <c r="F1758" s="84">
        <v>500.0</v>
      </c>
      <c r="G1758" s="81" t="s">
        <v>44</v>
      </c>
      <c r="H1758" s="81" t="s">
        <v>4339</v>
      </c>
      <c r="I1758" s="81" t="s">
        <v>1401</v>
      </c>
      <c r="J1758" s="81" t="s">
        <v>4088</v>
      </c>
      <c r="K1758" s="81" t="str">
        <f>IFERROR(__xludf.DUMMYFUNCTION("IF(OR(D1758="""",G1758=""""),"""",IFERROR(LET(
campo,XLOOKUP(TRIM(G1758),ARRAYFORMULA(TRIM('indice columnas'!$A$2:$A$100)),'indice columnas'!$B$2:$B$100,""""),
col,IFERROR(MATCH(campo,Referencia!$A$1:$AZ$1,0),0),
fila,IFERROR(MATCH(TO_TEXT(D1758),ARRAYFOR"&amp;"MULA(TO_TEXT(Referencia!$A$2:$A6238)),0),0),
IF(OR(campo="""",campo=""-""),""NO APLICA"",
IF(col=0,""REVISAR EQUIVALENCIA"",
IF(fila=0,""SKU NO ENCONTRADO"",
LET(
valor,INDEX(Referencia!$A$2:$AZ6238,fila,col),
IF(TRIM(TO_TEXT(valor))=TRIM(TO_TEXT(I1758)),"&amp;"
""OK"",
""NO COINCIDE. Valor verdadero: ""&amp;IF(valor="""",""[VACÍO]"",TO_TEXT(valor))
)
))))
),""ERROR EN FÓRMULA""))"),"NO APLICA")</f>
        <v>NO APLICA</v>
      </c>
    </row>
    <row r="1759">
      <c r="A1759" s="83" t="s">
        <v>4618</v>
      </c>
      <c r="B1759" s="83" t="s">
        <v>4619</v>
      </c>
      <c r="C1759" s="81" t="s">
        <v>4621</v>
      </c>
      <c r="D1759" s="83" t="s">
        <v>4555</v>
      </c>
      <c r="E1759" s="81" t="s">
        <v>2610</v>
      </c>
      <c r="F1759" s="84">
        <v>501.0</v>
      </c>
      <c r="G1759" s="81" t="s">
        <v>29</v>
      </c>
      <c r="H1759" s="81" t="s">
        <v>4554</v>
      </c>
      <c r="I1759" s="81" t="s">
        <v>2609</v>
      </c>
      <c r="J1759" s="81" t="s">
        <v>224</v>
      </c>
      <c r="K1759" s="81" t="str">
        <f>IFERROR(__xludf.DUMMYFUNCTION("IF(OR(D1759="""",G1759=""""),"""",IFERROR(LET(
campo,XLOOKUP(TRIM(G1759),ARRAYFORMULA(TRIM('indice columnas'!$A$2:$A$100)),'indice columnas'!$B$2:$B$100,""""),
col,IFERROR(MATCH(campo,Referencia!$A$1:$AZ$1,0),0),
fila,IFERROR(MATCH(TO_TEXT(D1759),ARRAYFOR"&amp;"MULA(TO_TEXT(Referencia!$A$2:$A6238)),0),0),
IF(OR(campo="""",campo=""-""),""NO APLICA"",
IF(col=0,""REVISAR EQUIVALENCIA"",
IF(fila=0,""SKU NO ENCONTRADO"",
LET(
valor,INDEX(Referencia!$A$2:$AZ6238,fila,col),
IF(TRIM(TO_TEXT(valor))=TRIM(TO_TEXT(I1759)),"&amp;"
""OK"",
""NO COINCIDE. Valor verdadero: ""&amp;IF(valor="""",""[VACÍO]"",TO_TEXT(valor))
)
))))
),""ERROR EN FÓRMULA""))"),"NO COINCIDE. Valor verdadero: 33 x 60 x 300 (Ancho x Alto x Largo)")</f>
        <v>NO COINCIDE. Valor verdadero: 33 x 60 x 300 (Ancho x Alto x Largo)</v>
      </c>
    </row>
    <row r="1760">
      <c r="A1760" s="83" t="s">
        <v>4618</v>
      </c>
      <c r="B1760" s="83" t="s">
        <v>4619</v>
      </c>
      <c r="C1760" s="81" t="s">
        <v>4621</v>
      </c>
      <c r="D1760" s="83" t="s">
        <v>4555</v>
      </c>
      <c r="E1760" s="81" t="s">
        <v>2610</v>
      </c>
      <c r="F1760" s="84">
        <v>501.0</v>
      </c>
      <c r="G1760" s="81" t="s">
        <v>44</v>
      </c>
      <c r="H1760" s="81" t="s">
        <v>4339</v>
      </c>
      <c r="I1760" s="81" t="s">
        <v>1401</v>
      </c>
      <c r="J1760" s="81" t="s">
        <v>4088</v>
      </c>
      <c r="K1760" s="81" t="str">
        <f>IFERROR(__xludf.DUMMYFUNCTION("IF(OR(D1760="""",G1760=""""),"""",IFERROR(LET(
campo,XLOOKUP(TRIM(G1760),ARRAYFORMULA(TRIM('indice columnas'!$A$2:$A$100)),'indice columnas'!$B$2:$B$100,""""),
col,IFERROR(MATCH(campo,Referencia!$A$1:$AZ$1,0),0),
fila,IFERROR(MATCH(TO_TEXT(D1760),ARRAYFOR"&amp;"MULA(TO_TEXT(Referencia!$A$2:$A6238)),0),0),
IF(OR(campo="""",campo=""-""),""NO APLICA"",
IF(col=0,""REVISAR EQUIVALENCIA"",
IF(fila=0,""SKU NO ENCONTRADO"",
LET(
valor,INDEX(Referencia!$A$2:$AZ6238,fila,col),
IF(TRIM(TO_TEXT(valor))=TRIM(TO_TEXT(I1760)),"&amp;"
""OK"",
""NO COINCIDE. Valor verdadero: ""&amp;IF(valor="""",""[VACÍO]"",TO_TEXT(valor))
)
))))
),""ERROR EN FÓRMULA""))"),"NO APLICA")</f>
        <v>NO APLICA</v>
      </c>
    </row>
    <row r="1761">
      <c r="A1761" s="83" t="s">
        <v>4618</v>
      </c>
      <c r="B1761" s="83" t="s">
        <v>4619</v>
      </c>
      <c r="C1761" s="81" t="s">
        <v>4621</v>
      </c>
      <c r="D1761" s="83" t="s">
        <v>4556</v>
      </c>
      <c r="E1761" s="81" t="s">
        <v>2613</v>
      </c>
      <c r="F1761" s="84">
        <v>502.0</v>
      </c>
      <c r="G1761" s="81" t="s">
        <v>44</v>
      </c>
      <c r="H1761" s="81" t="s">
        <v>4539</v>
      </c>
      <c r="I1761" s="81" t="s">
        <v>2533</v>
      </c>
      <c r="J1761" s="81" t="s">
        <v>4088</v>
      </c>
      <c r="K1761" s="81" t="str">
        <f>IFERROR(__xludf.DUMMYFUNCTION("IF(OR(D1761="""",G1761=""""),"""",IFERROR(LET(
campo,XLOOKUP(TRIM(G1761),ARRAYFORMULA(TRIM('indice columnas'!$A$2:$A$100)),'indice columnas'!$B$2:$B$100,""""),
col,IFERROR(MATCH(campo,Referencia!$A$1:$AZ$1,0),0),
fila,IFERROR(MATCH(TO_TEXT(D1761),ARRAYFOR"&amp;"MULA(TO_TEXT(Referencia!$A$2:$A6238)),0),0),
IF(OR(campo="""",campo=""-""),""NO APLICA"",
IF(col=0,""REVISAR EQUIVALENCIA"",
IF(fila=0,""SKU NO ENCONTRADO"",
LET(
valor,INDEX(Referencia!$A$2:$AZ6238,fila,col),
IF(TRIM(TO_TEXT(valor))=TRIM(TO_TEXT(I1761)),"&amp;"
""OK"",
""NO COINCIDE. Valor verdadero: ""&amp;IF(valor="""",""[VACÍO]"",TO_TEXT(valor))
)
))))
),""ERROR EN FÓRMULA""))"),"NO APLICA")</f>
        <v>NO APLICA</v>
      </c>
    </row>
    <row r="1762">
      <c r="A1762" s="83" t="s">
        <v>4618</v>
      </c>
      <c r="B1762" s="83" t="s">
        <v>4619</v>
      </c>
      <c r="C1762" s="81" t="s">
        <v>4621</v>
      </c>
      <c r="D1762" s="83" t="s">
        <v>4557</v>
      </c>
      <c r="E1762" s="81" t="s">
        <v>2616</v>
      </c>
      <c r="F1762" s="84">
        <v>503.0</v>
      </c>
      <c r="G1762" s="81" t="s">
        <v>44</v>
      </c>
      <c r="H1762" s="81" t="s">
        <v>4539</v>
      </c>
      <c r="I1762" s="81" t="s">
        <v>2533</v>
      </c>
      <c r="J1762" s="81" t="s">
        <v>4088</v>
      </c>
      <c r="K1762" s="81" t="str">
        <f>IFERROR(__xludf.DUMMYFUNCTION("IF(OR(D1762="""",G1762=""""),"""",IFERROR(LET(
campo,XLOOKUP(TRIM(G1762),ARRAYFORMULA(TRIM('indice columnas'!$A$2:$A$100)),'indice columnas'!$B$2:$B$100,""""),
col,IFERROR(MATCH(campo,Referencia!$A$1:$AZ$1,0),0),
fila,IFERROR(MATCH(TO_TEXT(D1762),ARRAYFOR"&amp;"MULA(TO_TEXT(Referencia!$A$2:$A6238)),0),0),
IF(OR(campo="""",campo=""-""),""NO APLICA"",
IF(col=0,""REVISAR EQUIVALENCIA"",
IF(fila=0,""SKU NO ENCONTRADO"",
LET(
valor,INDEX(Referencia!$A$2:$AZ6238,fila,col),
IF(TRIM(TO_TEXT(valor))=TRIM(TO_TEXT(I1762)),"&amp;"
""OK"",
""NO COINCIDE. Valor verdadero: ""&amp;IF(valor="""",""[VACÍO]"",TO_TEXT(valor))
)
))))
),""ERROR EN FÓRMULA""))"),"NO APLICA")</f>
        <v>NO APLICA</v>
      </c>
    </row>
    <row r="1763">
      <c r="A1763" s="83" t="s">
        <v>4618</v>
      </c>
      <c r="B1763" s="83" t="s">
        <v>4619</v>
      </c>
      <c r="C1763" s="81" t="s">
        <v>4621</v>
      </c>
      <c r="D1763" s="83" t="s">
        <v>4558</v>
      </c>
      <c r="E1763" s="81" t="s">
        <v>2619</v>
      </c>
      <c r="F1763" s="84">
        <v>504.0</v>
      </c>
      <c r="G1763" s="81" t="s">
        <v>44</v>
      </c>
      <c r="H1763" s="81" t="s">
        <v>4559</v>
      </c>
      <c r="I1763" s="81" t="s">
        <v>2629</v>
      </c>
      <c r="J1763" s="81" t="s">
        <v>4088</v>
      </c>
      <c r="K1763" s="81" t="str">
        <f>IFERROR(__xludf.DUMMYFUNCTION("IF(OR(D1763="""",G1763=""""),"""",IFERROR(LET(
campo,XLOOKUP(TRIM(G1763),ARRAYFORMULA(TRIM('indice columnas'!$A$2:$A$100)),'indice columnas'!$B$2:$B$100,""""),
col,IFERROR(MATCH(campo,Referencia!$A$1:$AZ$1,0),0),
fila,IFERROR(MATCH(TO_TEXT(D1763),ARRAYFOR"&amp;"MULA(TO_TEXT(Referencia!$A$2:$A6238)),0),0),
IF(OR(campo="""",campo=""-""),""NO APLICA"",
IF(col=0,""REVISAR EQUIVALENCIA"",
IF(fila=0,""SKU NO ENCONTRADO"",
LET(
valor,INDEX(Referencia!$A$2:$AZ6238,fila,col),
IF(TRIM(TO_TEXT(valor))=TRIM(TO_TEXT(I1763)),"&amp;"
""OK"",
""NO COINCIDE. Valor verdadero: ""&amp;IF(valor="""",""[VACÍO]"",TO_TEXT(valor))
)
))))
),""ERROR EN FÓRMULA""))"),"NO APLICA")</f>
        <v>NO APLICA</v>
      </c>
    </row>
    <row r="1764">
      <c r="A1764" s="83" t="s">
        <v>4618</v>
      </c>
      <c r="B1764" s="83" t="s">
        <v>4619</v>
      </c>
      <c r="C1764" s="81" t="s">
        <v>4621</v>
      </c>
      <c r="D1764" s="83" t="s">
        <v>4558</v>
      </c>
      <c r="E1764" s="81" t="s">
        <v>2634</v>
      </c>
      <c r="F1764" s="84">
        <v>505.0</v>
      </c>
      <c r="G1764" s="81" t="s">
        <v>36</v>
      </c>
      <c r="H1764" s="81" t="s">
        <v>49</v>
      </c>
      <c r="I1764" s="81" t="s">
        <v>2625</v>
      </c>
      <c r="J1764" s="81" t="s">
        <v>224</v>
      </c>
      <c r="K1764" s="81" t="str">
        <f>IFERROR(__xludf.DUMMYFUNCTION("IF(OR(D1764="""",G1764=""""),"""",IFERROR(LET(
campo,XLOOKUP(TRIM(G1764),ARRAYFORMULA(TRIM('indice columnas'!$A$2:$A$100)),'indice columnas'!$B$2:$B$100,""""),
col,IFERROR(MATCH(campo,Referencia!$A$1:$AZ$1,0),0),
fila,IFERROR(MATCH(TO_TEXT(D1764),ARRAYFOR"&amp;"MULA(TO_TEXT(Referencia!$A$2:$A6238)),0),0),
IF(OR(campo="""",campo=""-""),""NO APLICA"",
IF(col=0,""REVISAR EQUIVALENCIA"",
IF(fila=0,""SKU NO ENCONTRADO"",
LET(
valor,INDEX(Referencia!$A$2:$AZ6238,fila,col),
IF(TRIM(TO_TEXT(valor))=TRIM(TO_TEXT(I1764)),"&amp;"
""OK"",
""NO COINCIDE. Valor verdadero: ""&amp;IF(valor="""",""[VACÍO]"",TO_TEXT(valor))
)
))))
),""ERROR EN FÓRMULA""))"),"REVISAR EQUIVALENCIA")</f>
        <v>REVISAR EQUIVALENCIA</v>
      </c>
    </row>
    <row r="1765">
      <c r="A1765" s="83" t="s">
        <v>4618</v>
      </c>
      <c r="B1765" s="83" t="s">
        <v>4619</v>
      </c>
      <c r="C1765" s="81" t="s">
        <v>4621</v>
      </c>
      <c r="D1765" s="83" t="s">
        <v>4558</v>
      </c>
      <c r="E1765" s="81" t="s">
        <v>2634</v>
      </c>
      <c r="F1765" s="84">
        <v>505.0</v>
      </c>
      <c r="G1765" s="81" t="s">
        <v>44</v>
      </c>
      <c r="H1765" s="81" t="s">
        <v>4559</v>
      </c>
      <c r="I1765" s="81" t="s">
        <v>2629</v>
      </c>
      <c r="J1765" s="81" t="s">
        <v>4088</v>
      </c>
      <c r="K1765" s="81" t="str">
        <f>IFERROR(__xludf.DUMMYFUNCTION("IF(OR(D1765="""",G1765=""""),"""",IFERROR(LET(
campo,XLOOKUP(TRIM(G1765),ARRAYFORMULA(TRIM('indice columnas'!$A$2:$A$100)),'indice columnas'!$B$2:$B$100,""""),
col,IFERROR(MATCH(campo,Referencia!$A$1:$AZ$1,0),0),
fila,IFERROR(MATCH(TO_TEXT(D1765),ARRAYFOR"&amp;"MULA(TO_TEXT(Referencia!$A$2:$A6238)),0),0),
IF(OR(campo="""",campo=""-""),""NO APLICA"",
IF(col=0,""REVISAR EQUIVALENCIA"",
IF(fila=0,""SKU NO ENCONTRADO"",
LET(
valor,INDEX(Referencia!$A$2:$AZ6238,fila,col),
IF(TRIM(TO_TEXT(valor))=TRIM(TO_TEXT(I1765)),"&amp;"
""OK"",
""NO COINCIDE. Valor verdadero: ""&amp;IF(valor="""",""[VACÍO]"",TO_TEXT(valor))
)
))))
),""ERROR EN FÓRMULA""))"),"NO APLICA")</f>
        <v>NO APLICA</v>
      </c>
    </row>
    <row r="1766">
      <c r="A1766" s="83" t="s">
        <v>4618</v>
      </c>
      <c r="B1766" s="83" t="s">
        <v>4619</v>
      </c>
      <c r="C1766" s="81" t="s">
        <v>4621</v>
      </c>
      <c r="D1766" s="83" t="s">
        <v>4560</v>
      </c>
      <c r="E1766" s="81" t="s">
        <v>2635</v>
      </c>
      <c r="F1766" s="84">
        <v>506.0</v>
      </c>
      <c r="G1766" s="81" t="s">
        <v>44</v>
      </c>
      <c r="H1766" s="81" t="s">
        <v>4559</v>
      </c>
      <c r="I1766" s="81" t="s">
        <v>2629</v>
      </c>
      <c r="J1766" s="81" t="s">
        <v>4088</v>
      </c>
      <c r="K1766" s="81" t="str">
        <f>IFERROR(__xludf.DUMMYFUNCTION("IF(OR(D1766="""",G1766=""""),"""",IFERROR(LET(
campo,XLOOKUP(TRIM(G1766),ARRAYFORMULA(TRIM('indice columnas'!$A$2:$A$100)),'indice columnas'!$B$2:$B$100,""""),
col,IFERROR(MATCH(campo,Referencia!$A$1:$AZ$1,0),0),
fila,IFERROR(MATCH(TO_TEXT(D1766),ARRAYFOR"&amp;"MULA(TO_TEXT(Referencia!$A$2:$A6238)),0),0),
IF(OR(campo="""",campo=""-""),""NO APLICA"",
IF(col=0,""REVISAR EQUIVALENCIA"",
IF(fila=0,""SKU NO ENCONTRADO"",
LET(
valor,INDEX(Referencia!$A$2:$AZ6238,fila,col),
IF(TRIM(TO_TEXT(valor))=TRIM(TO_TEXT(I1766)),"&amp;"
""OK"",
""NO COINCIDE. Valor verdadero: ""&amp;IF(valor="""",""[VACÍO]"",TO_TEXT(valor))
)
))))
),""ERROR EN FÓRMULA""))"),"NO APLICA")</f>
        <v>NO APLICA</v>
      </c>
    </row>
    <row r="1767">
      <c r="A1767" s="83" t="s">
        <v>4618</v>
      </c>
      <c r="B1767" s="83" t="s">
        <v>4619</v>
      </c>
      <c r="C1767" s="81" t="s">
        <v>4621</v>
      </c>
      <c r="D1767" s="83" t="s">
        <v>4561</v>
      </c>
      <c r="E1767" s="81" t="s">
        <v>2638</v>
      </c>
      <c r="F1767" s="84">
        <v>507.0</v>
      </c>
      <c r="G1767" s="81" t="s">
        <v>44</v>
      </c>
      <c r="H1767" s="81" t="s">
        <v>4559</v>
      </c>
      <c r="I1767" s="81" t="s">
        <v>2629</v>
      </c>
      <c r="J1767" s="81" t="s">
        <v>4088</v>
      </c>
      <c r="K1767" s="81" t="str">
        <f>IFERROR(__xludf.DUMMYFUNCTION("IF(OR(D1767="""",G1767=""""),"""",IFERROR(LET(
campo,XLOOKUP(TRIM(G1767),ARRAYFORMULA(TRIM('indice columnas'!$A$2:$A$100)),'indice columnas'!$B$2:$B$100,""""),
col,IFERROR(MATCH(campo,Referencia!$A$1:$AZ$1,0),0),
fila,IFERROR(MATCH(TO_TEXT(D1767),ARRAYFOR"&amp;"MULA(TO_TEXT(Referencia!$A$2:$A6238)),0),0),
IF(OR(campo="""",campo=""-""),""NO APLICA"",
IF(col=0,""REVISAR EQUIVALENCIA"",
IF(fila=0,""SKU NO ENCONTRADO"",
LET(
valor,INDEX(Referencia!$A$2:$AZ6238,fila,col),
IF(TRIM(TO_TEXT(valor))=TRIM(TO_TEXT(I1767)),"&amp;"
""OK"",
""NO COINCIDE. Valor verdadero: ""&amp;IF(valor="""",""[VACÍO]"",TO_TEXT(valor))
)
))))
),""ERROR EN FÓRMULA""))"),"NO APLICA")</f>
        <v>NO APLICA</v>
      </c>
    </row>
    <row r="1768">
      <c r="A1768" s="83" t="s">
        <v>4618</v>
      </c>
      <c r="B1768" s="83" t="s">
        <v>4619</v>
      </c>
      <c r="C1768" s="81" t="s">
        <v>4621</v>
      </c>
      <c r="D1768" s="83" t="s">
        <v>4562</v>
      </c>
      <c r="E1768" s="81" t="s">
        <v>2648</v>
      </c>
      <c r="F1768" s="84">
        <v>508.0</v>
      </c>
      <c r="G1768" s="81" t="s">
        <v>44</v>
      </c>
      <c r="H1768" s="81" t="s">
        <v>4559</v>
      </c>
      <c r="I1768" s="81" t="s">
        <v>2629</v>
      </c>
      <c r="J1768" s="81" t="s">
        <v>4088</v>
      </c>
      <c r="K1768" s="81" t="str">
        <f>IFERROR(__xludf.DUMMYFUNCTION("IF(OR(D1768="""",G1768=""""),"""",IFERROR(LET(
campo,XLOOKUP(TRIM(G1768),ARRAYFORMULA(TRIM('indice columnas'!$A$2:$A$100)),'indice columnas'!$B$2:$B$100,""""),
col,IFERROR(MATCH(campo,Referencia!$A$1:$AZ$1,0),0),
fila,IFERROR(MATCH(TO_TEXT(D1768),ARRAYFOR"&amp;"MULA(TO_TEXT(Referencia!$A$2:$A6238)),0),0),
IF(OR(campo="""",campo=""-""),""NO APLICA"",
IF(col=0,""REVISAR EQUIVALENCIA"",
IF(fila=0,""SKU NO ENCONTRADO"",
LET(
valor,INDEX(Referencia!$A$2:$AZ6238,fila,col),
IF(TRIM(TO_TEXT(valor))=TRIM(TO_TEXT(I1768)),"&amp;"
""OK"",
""NO COINCIDE. Valor verdadero: ""&amp;IF(valor="""",""[VACÍO]"",TO_TEXT(valor))
)
))))
),""ERROR EN FÓRMULA""))"),"NO APLICA")</f>
        <v>NO APLICA</v>
      </c>
    </row>
    <row r="1769">
      <c r="A1769" s="83" t="s">
        <v>4618</v>
      </c>
      <c r="B1769" s="83" t="s">
        <v>4619</v>
      </c>
      <c r="C1769" s="81" t="s">
        <v>4621</v>
      </c>
      <c r="D1769" s="83" t="s">
        <v>4563</v>
      </c>
      <c r="E1769" s="81" t="s">
        <v>2651</v>
      </c>
      <c r="F1769" s="84">
        <v>509.0</v>
      </c>
      <c r="G1769" s="81" t="s">
        <v>44</v>
      </c>
      <c r="H1769" s="81" t="s">
        <v>4541</v>
      </c>
      <c r="I1769" s="81" t="s">
        <v>4542</v>
      </c>
      <c r="J1769" s="81" t="s">
        <v>4088</v>
      </c>
      <c r="K1769" s="81" t="str">
        <f>IFERROR(__xludf.DUMMYFUNCTION("IF(OR(D1769="""",G1769=""""),"""",IFERROR(LET(
campo,XLOOKUP(TRIM(G1769),ARRAYFORMULA(TRIM('indice columnas'!$A$2:$A$100)),'indice columnas'!$B$2:$B$100,""""),
col,IFERROR(MATCH(campo,Referencia!$A$1:$AZ$1,0),0),
fila,IFERROR(MATCH(TO_TEXT(D1769),ARRAYFOR"&amp;"MULA(TO_TEXT(Referencia!$A$2:$A6238)),0),0),
IF(OR(campo="""",campo=""-""),""NO APLICA"",
IF(col=0,""REVISAR EQUIVALENCIA"",
IF(fila=0,""SKU NO ENCONTRADO"",
LET(
valor,INDEX(Referencia!$A$2:$AZ6238,fila,col),
IF(TRIM(TO_TEXT(valor))=TRIM(TO_TEXT(I1769)),"&amp;"
""OK"",
""NO COINCIDE. Valor verdadero: ""&amp;IF(valor="""",""[VACÍO]"",TO_TEXT(valor))
)
))))
),""ERROR EN FÓRMULA""))"),"NO APLICA")</f>
        <v>NO APLICA</v>
      </c>
    </row>
    <row r="1770">
      <c r="A1770" s="83" t="s">
        <v>4618</v>
      </c>
      <c r="B1770" s="83" t="s">
        <v>4619</v>
      </c>
      <c r="C1770" s="81" t="s">
        <v>4621</v>
      </c>
      <c r="D1770" s="83" t="s">
        <v>4564</v>
      </c>
      <c r="E1770" s="81" t="s">
        <v>2659</v>
      </c>
      <c r="F1770" s="84">
        <v>510.0</v>
      </c>
      <c r="G1770" s="81" t="s">
        <v>44</v>
      </c>
      <c r="H1770" s="81" t="s">
        <v>4541</v>
      </c>
      <c r="I1770" s="81" t="s">
        <v>4542</v>
      </c>
      <c r="J1770" s="81" t="s">
        <v>4088</v>
      </c>
      <c r="K1770" s="81" t="str">
        <f>IFERROR(__xludf.DUMMYFUNCTION("IF(OR(D1770="""",G1770=""""),"""",IFERROR(LET(
campo,XLOOKUP(TRIM(G1770),ARRAYFORMULA(TRIM('indice columnas'!$A$2:$A$100)),'indice columnas'!$B$2:$B$100,""""),
col,IFERROR(MATCH(campo,Referencia!$A$1:$AZ$1,0),0),
fila,IFERROR(MATCH(TO_TEXT(D1770),ARRAYFOR"&amp;"MULA(TO_TEXT(Referencia!$A$2:$A6238)),0),0),
IF(OR(campo="""",campo=""-""),""NO APLICA"",
IF(col=0,""REVISAR EQUIVALENCIA"",
IF(fila=0,""SKU NO ENCONTRADO"",
LET(
valor,INDEX(Referencia!$A$2:$AZ6238,fila,col),
IF(TRIM(TO_TEXT(valor))=TRIM(TO_TEXT(I1770)),"&amp;"
""OK"",
""NO COINCIDE. Valor verdadero: ""&amp;IF(valor="""",""[VACÍO]"",TO_TEXT(valor))
)
))))
),""ERROR EN FÓRMULA""))"),"NO APLICA")</f>
        <v>NO APLICA</v>
      </c>
    </row>
    <row r="1771">
      <c r="A1771" s="83" t="s">
        <v>4618</v>
      </c>
      <c r="B1771" s="83" t="s">
        <v>4619</v>
      </c>
      <c r="C1771" s="81" t="s">
        <v>4621</v>
      </c>
      <c r="D1771" s="83" t="s">
        <v>4565</v>
      </c>
      <c r="E1771" s="81" t="s">
        <v>2661</v>
      </c>
      <c r="F1771" s="84">
        <v>511.0</v>
      </c>
      <c r="G1771" s="81" t="s">
        <v>44</v>
      </c>
      <c r="H1771" s="81" t="s">
        <v>4545</v>
      </c>
      <c r="I1771" s="81" t="s">
        <v>4542</v>
      </c>
      <c r="J1771" s="81" t="s">
        <v>4088</v>
      </c>
      <c r="K1771" s="81" t="str">
        <f>IFERROR(__xludf.DUMMYFUNCTION("IF(OR(D1771="""",G1771=""""),"""",IFERROR(LET(
campo,XLOOKUP(TRIM(G1771),ARRAYFORMULA(TRIM('indice columnas'!$A$2:$A$100)),'indice columnas'!$B$2:$B$100,""""),
col,IFERROR(MATCH(campo,Referencia!$A$1:$AZ$1,0),0),
fila,IFERROR(MATCH(TO_TEXT(D1771),ARRAYFOR"&amp;"MULA(TO_TEXT(Referencia!$A$2:$A6238)),0),0),
IF(OR(campo="""",campo=""-""),""NO APLICA"",
IF(col=0,""REVISAR EQUIVALENCIA"",
IF(fila=0,""SKU NO ENCONTRADO"",
LET(
valor,INDEX(Referencia!$A$2:$AZ6238,fila,col),
IF(TRIM(TO_TEXT(valor))=TRIM(TO_TEXT(I1771)),"&amp;"
""OK"",
""NO COINCIDE. Valor verdadero: ""&amp;IF(valor="""",""[VACÍO]"",TO_TEXT(valor))
)
))))
),""ERROR EN FÓRMULA""))"),"NO APLICA")</f>
        <v>NO APLICA</v>
      </c>
    </row>
    <row r="1772">
      <c r="A1772" s="83" t="s">
        <v>4618</v>
      </c>
      <c r="B1772" s="83" t="s">
        <v>4619</v>
      </c>
      <c r="C1772" s="81" t="s">
        <v>4621</v>
      </c>
      <c r="D1772" s="83" t="s">
        <v>4566</v>
      </c>
      <c r="E1772" s="81" t="s">
        <v>2667</v>
      </c>
      <c r="F1772" s="84">
        <v>512.0</v>
      </c>
      <c r="G1772" s="81" t="s">
        <v>44</v>
      </c>
      <c r="H1772" s="81" t="s">
        <v>4545</v>
      </c>
      <c r="I1772" s="81" t="s">
        <v>4542</v>
      </c>
      <c r="J1772" s="81" t="s">
        <v>4088</v>
      </c>
      <c r="K1772" s="81" t="str">
        <f>IFERROR(__xludf.DUMMYFUNCTION("IF(OR(D1772="""",G1772=""""),"""",IFERROR(LET(
campo,XLOOKUP(TRIM(G1772),ARRAYFORMULA(TRIM('indice columnas'!$A$2:$A$100)),'indice columnas'!$B$2:$B$100,""""),
col,IFERROR(MATCH(campo,Referencia!$A$1:$AZ$1,0),0),
fila,IFERROR(MATCH(TO_TEXT(D1772),ARRAYFOR"&amp;"MULA(TO_TEXT(Referencia!$A$2:$A6238)),0),0),
IF(OR(campo="""",campo=""-""),""NO APLICA"",
IF(col=0,""REVISAR EQUIVALENCIA"",
IF(fila=0,""SKU NO ENCONTRADO"",
LET(
valor,INDEX(Referencia!$A$2:$AZ6238,fila,col),
IF(TRIM(TO_TEXT(valor))=TRIM(TO_TEXT(I1772)),"&amp;"
""OK"",
""NO COINCIDE. Valor verdadero: ""&amp;IF(valor="""",""[VACÍO]"",TO_TEXT(valor))
)
))))
),""ERROR EN FÓRMULA""))"),"NO APLICA")</f>
        <v>NO APLICA</v>
      </c>
    </row>
    <row r="1773">
      <c r="A1773" s="83" t="s">
        <v>4618</v>
      </c>
      <c r="B1773" s="83" t="s">
        <v>4619</v>
      </c>
      <c r="C1773" s="81" t="s">
        <v>4621</v>
      </c>
      <c r="D1773" s="83" t="s">
        <v>4567</v>
      </c>
      <c r="E1773" s="81" t="s">
        <v>2669</v>
      </c>
      <c r="F1773" s="84">
        <v>513.0</v>
      </c>
      <c r="G1773" s="81" t="s">
        <v>44</v>
      </c>
      <c r="H1773" s="81" t="s">
        <v>224</v>
      </c>
      <c r="I1773" s="81" t="s">
        <v>1051</v>
      </c>
      <c r="J1773" s="81" t="s">
        <v>4088</v>
      </c>
      <c r="K1773" s="81" t="str">
        <f>IFERROR(__xludf.DUMMYFUNCTION("IF(OR(D1773="""",G1773=""""),"""",IFERROR(LET(
campo,XLOOKUP(TRIM(G1773),ARRAYFORMULA(TRIM('indice columnas'!$A$2:$A$100)),'indice columnas'!$B$2:$B$100,""""),
col,IFERROR(MATCH(campo,Referencia!$A$1:$AZ$1,0),0),
fila,IFERROR(MATCH(TO_TEXT(D1773),ARRAYFOR"&amp;"MULA(TO_TEXT(Referencia!$A$2:$A6238)),0),0),
IF(OR(campo="""",campo=""-""),""NO APLICA"",
IF(col=0,""REVISAR EQUIVALENCIA"",
IF(fila=0,""SKU NO ENCONTRADO"",
LET(
valor,INDEX(Referencia!$A$2:$AZ6238,fila,col),
IF(TRIM(TO_TEXT(valor))=TRIM(TO_TEXT(I1773)),"&amp;"
""OK"",
""NO COINCIDE. Valor verdadero: ""&amp;IF(valor="""",""[VACÍO]"",TO_TEXT(valor))
)
))))
),""ERROR EN FÓRMULA""))"),"NO APLICA")</f>
        <v>NO APLICA</v>
      </c>
    </row>
    <row r="1774">
      <c r="A1774" s="83" t="s">
        <v>4618</v>
      </c>
      <c r="B1774" s="83" t="s">
        <v>4619</v>
      </c>
      <c r="C1774" s="81" t="s">
        <v>4621</v>
      </c>
      <c r="D1774" s="83" t="s">
        <v>4567</v>
      </c>
      <c r="E1774" s="81" t="s">
        <v>2671</v>
      </c>
      <c r="F1774" s="84">
        <v>514.0</v>
      </c>
      <c r="G1774" s="81" t="s">
        <v>7</v>
      </c>
      <c r="H1774" s="81" t="s">
        <v>3623</v>
      </c>
      <c r="I1774" s="81" t="s">
        <v>2670</v>
      </c>
      <c r="J1774" s="81" t="s">
        <v>224</v>
      </c>
      <c r="K1774" s="81" t="str">
        <f>IFERROR(__xludf.DUMMYFUNCTION("IF(OR(D1774="""",G1774=""""),"""",IFERROR(LET(
campo,XLOOKUP(TRIM(G1774),ARRAYFORMULA(TRIM('indice columnas'!$A$2:$A$100)),'indice columnas'!$B$2:$B$100,""""),
col,IFERROR(MATCH(campo,Referencia!$A$1:$AZ$1,0),0),
fila,IFERROR(MATCH(TO_TEXT(D1774),ARRAYFOR"&amp;"MULA(TO_TEXT(Referencia!$A$2:$A6238)),0),0),
IF(OR(campo="""",campo=""-""),""NO APLICA"",
IF(col=0,""REVISAR EQUIVALENCIA"",
IF(fila=0,""SKU NO ENCONTRADO"",
LET(
valor,INDEX(Referencia!$A$2:$AZ6238,fila,col),
IF(TRIM(TO_TEXT(valor))=TRIM(TO_TEXT(I1774)),"&amp;"
""OK"",
""NO COINCIDE. Valor verdadero: ""&amp;IF(valor="""",""[VACÍO]"",TO_TEXT(valor))
)
))))
),""ERROR EN FÓRMULA""))"),"REVISAR EQUIVALENCIA")</f>
        <v>REVISAR EQUIVALENCIA</v>
      </c>
    </row>
    <row r="1775">
      <c r="A1775" s="83" t="s">
        <v>4618</v>
      </c>
      <c r="B1775" s="83" t="s">
        <v>4619</v>
      </c>
      <c r="C1775" s="81" t="s">
        <v>4621</v>
      </c>
      <c r="D1775" s="83" t="s">
        <v>4567</v>
      </c>
      <c r="E1775" s="81" t="s">
        <v>2671</v>
      </c>
      <c r="F1775" s="84">
        <v>514.0</v>
      </c>
      <c r="G1775" s="81" t="s">
        <v>12</v>
      </c>
      <c r="H1775" s="81" t="s">
        <v>224</v>
      </c>
      <c r="I1775" s="81" t="s">
        <v>55</v>
      </c>
      <c r="J1775" s="81" t="s">
        <v>224</v>
      </c>
      <c r="K1775" s="81" t="str">
        <f>IFERROR(__xludf.DUMMYFUNCTION("IF(OR(D1775="""",G1775=""""),"""",IFERROR(LET(
campo,XLOOKUP(TRIM(G1775),ARRAYFORMULA(TRIM('indice columnas'!$A$2:$A$100)),'indice columnas'!$B$2:$B$100,""""),
col,IFERROR(MATCH(campo,Referencia!$A$1:$AZ$1,0),0),
fila,IFERROR(MATCH(TO_TEXT(D1775),ARRAYFOR"&amp;"MULA(TO_TEXT(Referencia!$A$2:$A6238)),0),0),
IF(OR(campo="""",campo=""-""),""NO APLICA"",
IF(col=0,""REVISAR EQUIVALENCIA"",
IF(fila=0,""SKU NO ENCONTRADO"",
LET(
valor,INDEX(Referencia!$A$2:$AZ6238,fila,col),
IF(TRIM(TO_TEXT(valor))=TRIM(TO_TEXT(I1775)),"&amp;"
""OK"",
""NO COINCIDE. Valor verdadero: ""&amp;IF(valor="""",""[VACÍO]"",TO_TEXT(valor))
)
))))
),""ERROR EN FÓRMULA""))"),"OK")</f>
        <v>OK</v>
      </c>
    </row>
    <row r="1776">
      <c r="A1776" s="83" t="s">
        <v>4618</v>
      </c>
      <c r="B1776" s="83" t="s">
        <v>4619</v>
      </c>
      <c r="C1776" s="81" t="s">
        <v>4621</v>
      </c>
      <c r="D1776" s="83" t="s">
        <v>4567</v>
      </c>
      <c r="E1776" s="81" t="s">
        <v>2671</v>
      </c>
      <c r="F1776" s="84">
        <v>514.0</v>
      </c>
      <c r="G1776" s="81" t="s">
        <v>44</v>
      </c>
      <c r="H1776" s="81" t="s">
        <v>224</v>
      </c>
      <c r="I1776" s="81" t="s">
        <v>1051</v>
      </c>
      <c r="J1776" s="81" t="s">
        <v>4088</v>
      </c>
      <c r="K1776" s="81" t="str">
        <f>IFERROR(__xludf.DUMMYFUNCTION("IF(OR(D1776="""",G1776=""""),"""",IFERROR(LET(
campo,XLOOKUP(TRIM(G1776),ARRAYFORMULA(TRIM('indice columnas'!$A$2:$A$100)),'indice columnas'!$B$2:$B$100,""""),
col,IFERROR(MATCH(campo,Referencia!$A$1:$AZ$1,0),0),
fila,IFERROR(MATCH(TO_TEXT(D1776),ARRAYFOR"&amp;"MULA(TO_TEXT(Referencia!$A$2:$A6238)),0),0),
IF(OR(campo="""",campo=""-""),""NO APLICA"",
IF(col=0,""REVISAR EQUIVALENCIA"",
IF(fila=0,""SKU NO ENCONTRADO"",
LET(
valor,INDEX(Referencia!$A$2:$AZ6238,fila,col),
IF(TRIM(TO_TEXT(valor))=TRIM(TO_TEXT(I1776)),"&amp;"
""OK"",
""NO COINCIDE. Valor verdadero: ""&amp;IF(valor="""",""[VACÍO]"",TO_TEXT(valor))
)
))))
),""ERROR EN FÓRMULA""))"),"NO APLICA")</f>
        <v>NO APLICA</v>
      </c>
    </row>
    <row r="1777">
      <c r="A1777" s="83" t="s">
        <v>4618</v>
      </c>
      <c r="B1777" s="83" t="s">
        <v>4619</v>
      </c>
      <c r="C1777" s="81" t="s">
        <v>4621</v>
      </c>
      <c r="D1777" s="83" t="s">
        <v>4568</v>
      </c>
      <c r="E1777" s="81" t="s">
        <v>2672</v>
      </c>
      <c r="F1777" s="84">
        <v>515.0</v>
      </c>
      <c r="G1777" s="81" t="s">
        <v>7</v>
      </c>
      <c r="H1777" s="81" t="s">
        <v>3623</v>
      </c>
      <c r="I1777" s="81" t="s">
        <v>2670</v>
      </c>
      <c r="J1777" s="81" t="s">
        <v>224</v>
      </c>
      <c r="K1777" s="81" t="str">
        <f>IFERROR(__xludf.DUMMYFUNCTION("IF(OR(D1777="""",G1777=""""),"""",IFERROR(LET(
campo,XLOOKUP(TRIM(G1777),ARRAYFORMULA(TRIM('indice columnas'!$A$2:$A$100)),'indice columnas'!$B$2:$B$100,""""),
col,IFERROR(MATCH(campo,Referencia!$A$1:$AZ$1,0),0),
fila,IFERROR(MATCH(TO_TEXT(D1777),ARRAYFOR"&amp;"MULA(TO_TEXT(Referencia!$A$2:$A6238)),0),0),
IF(OR(campo="""",campo=""-""),""NO APLICA"",
IF(col=0,""REVISAR EQUIVALENCIA"",
IF(fila=0,""SKU NO ENCONTRADO"",
LET(
valor,INDEX(Referencia!$A$2:$AZ6238,fila,col),
IF(TRIM(TO_TEXT(valor))=TRIM(TO_TEXT(I1777)),"&amp;"
""OK"",
""NO COINCIDE. Valor verdadero: ""&amp;IF(valor="""",""[VACÍO]"",TO_TEXT(valor))
)
))))
),""ERROR EN FÓRMULA""))"),"REVISAR EQUIVALENCIA")</f>
        <v>REVISAR EQUIVALENCIA</v>
      </c>
    </row>
    <row r="1778">
      <c r="A1778" s="83" t="s">
        <v>4618</v>
      </c>
      <c r="B1778" s="83" t="s">
        <v>4619</v>
      </c>
      <c r="C1778" s="81" t="s">
        <v>4621</v>
      </c>
      <c r="D1778" s="83" t="s">
        <v>4568</v>
      </c>
      <c r="E1778" s="81" t="s">
        <v>2672</v>
      </c>
      <c r="F1778" s="84">
        <v>515.0</v>
      </c>
      <c r="G1778" s="81" t="s">
        <v>12</v>
      </c>
      <c r="H1778" s="81" t="s">
        <v>224</v>
      </c>
      <c r="I1778" s="81" t="s">
        <v>55</v>
      </c>
      <c r="J1778" s="81" t="s">
        <v>224</v>
      </c>
      <c r="K1778" s="81" t="str">
        <f>IFERROR(__xludf.DUMMYFUNCTION("IF(OR(D1778="""",G1778=""""),"""",IFERROR(LET(
campo,XLOOKUP(TRIM(G1778),ARRAYFORMULA(TRIM('indice columnas'!$A$2:$A$100)),'indice columnas'!$B$2:$B$100,""""),
col,IFERROR(MATCH(campo,Referencia!$A$1:$AZ$1,0),0),
fila,IFERROR(MATCH(TO_TEXT(D1778),ARRAYFOR"&amp;"MULA(TO_TEXT(Referencia!$A$2:$A6238)),0),0),
IF(OR(campo="""",campo=""-""),""NO APLICA"",
IF(col=0,""REVISAR EQUIVALENCIA"",
IF(fila=0,""SKU NO ENCONTRADO"",
LET(
valor,INDEX(Referencia!$A$2:$AZ6238,fila,col),
IF(TRIM(TO_TEXT(valor))=TRIM(TO_TEXT(I1778)),"&amp;"
""OK"",
""NO COINCIDE. Valor verdadero: ""&amp;IF(valor="""",""[VACÍO]"",TO_TEXT(valor))
)
))))
),""ERROR EN FÓRMULA""))"),"OK")</f>
        <v>OK</v>
      </c>
    </row>
    <row r="1779">
      <c r="A1779" s="83" t="s">
        <v>4618</v>
      </c>
      <c r="B1779" s="83" t="s">
        <v>4619</v>
      </c>
      <c r="C1779" s="81" t="s">
        <v>4621</v>
      </c>
      <c r="D1779" s="83" t="s">
        <v>4568</v>
      </c>
      <c r="E1779" s="81" t="s">
        <v>2672</v>
      </c>
      <c r="F1779" s="84">
        <v>515.0</v>
      </c>
      <c r="G1779" s="81" t="s">
        <v>44</v>
      </c>
      <c r="H1779" s="81" t="s">
        <v>224</v>
      </c>
      <c r="I1779" s="81" t="s">
        <v>1051</v>
      </c>
      <c r="J1779" s="81" t="s">
        <v>4088</v>
      </c>
      <c r="K1779" s="81" t="str">
        <f>IFERROR(__xludf.DUMMYFUNCTION("IF(OR(D1779="""",G1779=""""),"""",IFERROR(LET(
campo,XLOOKUP(TRIM(G1779),ARRAYFORMULA(TRIM('indice columnas'!$A$2:$A$100)),'indice columnas'!$B$2:$B$100,""""),
col,IFERROR(MATCH(campo,Referencia!$A$1:$AZ$1,0),0),
fila,IFERROR(MATCH(TO_TEXT(D1779),ARRAYFOR"&amp;"MULA(TO_TEXT(Referencia!$A$2:$A6238)),0),0),
IF(OR(campo="""",campo=""-""),""NO APLICA"",
IF(col=0,""REVISAR EQUIVALENCIA"",
IF(fila=0,""SKU NO ENCONTRADO"",
LET(
valor,INDEX(Referencia!$A$2:$AZ6238,fila,col),
IF(TRIM(TO_TEXT(valor))=TRIM(TO_TEXT(I1779)),"&amp;"
""OK"",
""NO COINCIDE. Valor verdadero: ""&amp;IF(valor="""",""[VACÍO]"",TO_TEXT(valor))
)
))))
),""ERROR EN FÓRMULA""))"),"NO APLICA")</f>
        <v>NO APLICA</v>
      </c>
    </row>
    <row r="1780">
      <c r="A1780" s="83" t="s">
        <v>4618</v>
      </c>
      <c r="B1780" s="83" t="s">
        <v>4619</v>
      </c>
      <c r="C1780" s="81" t="s">
        <v>4621</v>
      </c>
      <c r="D1780" s="83" t="s">
        <v>4569</v>
      </c>
      <c r="E1780" s="81" t="s">
        <v>2673</v>
      </c>
      <c r="F1780" s="84">
        <v>516.0</v>
      </c>
      <c r="G1780" s="81" t="s">
        <v>44</v>
      </c>
      <c r="H1780" s="81" t="s">
        <v>4570</v>
      </c>
      <c r="I1780" s="81" t="s">
        <v>2673</v>
      </c>
      <c r="J1780" s="81" t="s">
        <v>4088</v>
      </c>
      <c r="K1780" s="81" t="str">
        <f>IFERROR(__xludf.DUMMYFUNCTION("IF(OR(D1780="""",G1780=""""),"""",IFERROR(LET(
campo,XLOOKUP(TRIM(G1780),ARRAYFORMULA(TRIM('indice columnas'!$A$2:$A$100)),'indice columnas'!$B$2:$B$100,""""),
col,IFERROR(MATCH(campo,Referencia!$A$1:$AZ$1,0),0),
fila,IFERROR(MATCH(TO_TEXT(D1780),ARRAYFOR"&amp;"MULA(TO_TEXT(Referencia!$A$2:$A6238)),0),0),
IF(OR(campo="""",campo=""-""),""NO APLICA"",
IF(col=0,""REVISAR EQUIVALENCIA"",
IF(fila=0,""SKU NO ENCONTRADO"",
LET(
valor,INDEX(Referencia!$A$2:$AZ6238,fila,col),
IF(TRIM(TO_TEXT(valor))=TRIM(TO_TEXT(I1780)),"&amp;"
""OK"",
""NO COINCIDE. Valor verdadero: ""&amp;IF(valor="""",""[VACÍO]"",TO_TEXT(valor))
)
))))
),""ERROR EN FÓRMULA""))"),"NO APLICA")</f>
        <v>NO APLICA</v>
      </c>
    </row>
    <row r="1781">
      <c r="A1781" s="83" t="s">
        <v>4618</v>
      </c>
      <c r="B1781" s="83" t="s">
        <v>4619</v>
      </c>
      <c r="C1781" s="81" t="s">
        <v>4621</v>
      </c>
      <c r="D1781" s="83" t="s">
        <v>4569</v>
      </c>
      <c r="E1781" s="81" t="s">
        <v>2684</v>
      </c>
      <c r="F1781" s="84">
        <v>517.0</v>
      </c>
      <c r="G1781" s="81" t="s">
        <v>44</v>
      </c>
      <c r="H1781" s="81" t="s">
        <v>4570</v>
      </c>
      <c r="I1781" s="81" t="s">
        <v>2673</v>
      </c>
      <c r="J1781" s="81" t="s">
        <v>4088</v>
      </c>
      <c r="K1781" s="81" t="str">
        <f>IFERROR(__xludf.DUMMYFUNCTION("IF(OR(D1781="""",G1781=""""),"""",IFERROR(LET(
campo,XLOOKUP(TRIM(G1781),ARRAYFORMULA(TRIM('indice columnas'!$A$2:$A$100)),'indice columnas'!$B$2:$B$100,""""),
col,IFERROR(MATCH(campo,Referencia!$A$1:$AZ$1,0),0),
fila,IFERROR(MATCH(TO_TEXT(D1781),ARRAYFOR"&amp;"MULA(TO_TEXT(Referencia!$A$2:$A6238)),0),0),
IF(OR(campo="""",campo=""-""),""NO APLICA"",
IF(col=0,""REVISAR EQUIVALENCIA"",
IF(fila=0,""SKU NO ENCONTRADO"",
LET(
valor,INDEX(Referencia!$A$2:$AZ6238,fila,col),
IF(TRIM(TO_TEXT(valor))=TRIM(TO_TEXT(I1781)),"&amp;"
""OK"",
""NO COINCIDE. Valor verdadero: ""&amp;IF(valor="""",""[VACÍO]"",TO_TEXT(valor))
)
))))
),""ERROR EN FÓRMULA""))"),"NO APLICA")</f>
        <v>NO APLICA</v>
      </c>
    </row>
    <row r="1782">
      <c r="A1782" s="83" t="s">
        <v>4618</v>
      </c>
      <c r="B1782" s="83" t="s">
        <v>4619</v>
      </c>
      <c r="C1782" s="81" t="s">
        <v>4621</v>
      </c>
      <c r="D1782" s="83" t="s">
        <v>4569</v>
      </c>
      <c r="E1782" s="81" t="s">
        <v>2685</v>
      </c>
      <c r="F1782" s="84">
        <v>518.0</v>
      </c>
      <c r="G1782" s="81" t="s">
        <v>17</v>
      </c>
      <c r="H1782" s="83" t="s">
        <v>4571</v>
      </c>
      <c r="I1782" s="83" t="s">
        <v>2686</v>
      </c>
      <c r="J1782" s="81" t="s">
        <v>224</v>
      </c>
      <c r="K1782" s="81" t="str">
        <f>IFERROR(__xludf.DUMMYFUNCTION("IF(OR(D1782="""",G1782=""""),"""",IFERROR(LET(
campo,XLOOKUP(TRIM(G1782),ARRAYFORMULA(TRIM('indice columnas'!$A$2:$A$100)),'indice columnas'!$B$2:$B$100,""""),
col,IFERROR(MATCH(campo,Referencia!$A$1:$AZ$1,0),0),
fila,IFERROR(MATCH(TO_TEXT(D1782),ARRAYFOR"&amp;"MULA(TO_TEXT(Referencia!$A$2:$A6238)),0),0),
IF(OR(campo="""",campo=""-""),""NO APLICA"",
IF(col=0,""REVISAR EQUIVALENCIA"",
IF(fila=0,""SKU NO ENCONTRADO"",
LET(
valor,INDEX(Referencia!$A$2:$AZ6238,fila,col),
IF(TRIM(TO_TEXT(valor))=TRIM(TO_TEXT(I1782)),"&amp;"
""OK"",
""NO COINCIDE. Valor verdadero: ""&amp;IF(valor="""",""[VACÍO]"",TO_TEXT(valor))
)
))))
),""ERROR EN FÓRMULA""))"),"OK")</f>
        <v>OK</v>
      </c>
    </row>
    <row r="1783">
      <c r="A1783" s="83" t="s">
        <v>4618</v>
      </c>
      <c r="B1783" s="83" t="s">
        <v>4619</v>
      </c>
      <c r="C1783" s="81" t="s">
        <v>4621</v>
      </c>
      <c r="D1783" s="83" t="s">
        <v>4569</v>
      </c>
      <c r="E1783" s="81" t="s">
        <v>2685</v>
      </c>
      <c r="F1783" s="84">
        <v>518.0</v>
      </c>
      <c r="G1783" s="81" t="s">
        <v>36</v>
      </c>
      <c r="H1783" s="81" t="s">
        <v>49</v>
      </c>
      <c r="I1783" s="81" t="s">
        <v>1422</v>
      </c>
      <c r="J1783" s="81" t="s">
        <v>224</v>
      </c>
      <c r="K1783" s="81" t="str">
        <f>IFERROR(__xludf.DUMMYFUNCTION("IF(OR(D1783="""",G1783=""""),"""",IFERROR(LET(
campo,XLOOKUP(TRIM(G1783),ARRAYFORMULA(TRIM('indice columnas'!$A$2:$A$100)),'indice columnas'!$B$2:$B$100,""""),
col,IFERROR(MATCH(campo,Referencia!$A$1:$AZ$1,0),0),
fila,IFERROR(MATCH(TO_TEXT(D1783),ARRAYFOR"&amp;"MULA(TO_TEXT(Referencia!$A$2:$A6238)),0),0),
IF(OR(campo="""",campo=""-""),""NO APLICA"",
IF(col=0,""REVISAR EQUIVALENCIA"",
IF(fila=0,""SKU NO ENCONTRADO"",
LET(
valor,INDEX(Referencia!$A$2:$AZ6238,fila,col),
IF(TRIM(TO_TEXT(valor))=TRIM(TO_TEXT(I1783)),"&amp;"
""OK"",
""NO COINCIDE. Valor verdadero: ""&amp;IF(valor="""",""[VACÍO]"",TO_TEXT(valor))
)
))))
),""ERROR EN FÓRMULA""))"),"REVISAR EQUIVALENCIA")</f>
        <v>REVISAR EQUIVALENCIA</v>
      </c>
    </row>
    <row r="1784">
      <c r="A1784" s="83" t="s">
        <v>4618</v>
      </c>
      <c r="B1784" s="83" t="s">
        <v>4619</v>
      </c>
      <c r="C1784" s="81" t="s">
        <v>4621</v>
      </c>
      <c r="D1784" s="83" t="s">
        <v>4569</v>
      </c>
      <c r="E1784" s="81" t="s">
        <v>2685</v>
      </c>
      <c r="F1784" s="84">
        <v>518.0</v>
      </c>
      <c r="G1784" s="81" t="s">
        <v>44</v>
      </c>
      <c r="H1784" s="81" t="s">
        <v>4570</v>
      </c>
      <c r="I1784" s="81" t="s">
        <v>2673</v>
      </c>
      <c r="J1784" s="81" t="s">
        <v>4088</v>
      </c>
      <c r="K1784" s="81" t="str">
        <f>IFERROR(__xludf.DUMMYFUNCTION("IF(OR(D1784="""",G1784=""""),"""",IFERROR(LET(
campo,XLOOKUP(TRIM(G1784),ARRAYFORMULA(TRIM('indice columnas'!$A$2:$A$100)),'indice columnas'!$B$2:$B$100,""""),
col,IFERROR(MATCH(campo,Referencia!$A$1:$AZ$1,0),0),
fila,IFERROR(MATCH(TO_TEXT(D1784),ARRAYFOR"&amp;"MULA(TO_TEXT(Referencia!$A$2:$A6238)),0),0),
IF(OR(campo="""",campo=""-""),""NO APLICA"",
IF(col=0,""REVISAR EQUIVALENCIA"",
IF(fila=0,""SKU NO ENCONTRADO"",
LET(
valor,INDEX(Referencia!$A$2:$AZ6238,fila,col),
IF(TRIM(TO_TEXT(valor))=TRIM(TO_TEXT(I1784)),"&amp;"
""OK"",
""NO COINCIDE. Valor verdadero: ""&amp;IF(valor="""",""[VACÍO]"",TO_TEXT(valor))
)
))))
),""ERROR EN FÓRMULA""))"),"NO APLICA")</f>
        <v>NO APLICA</v>
      </c>
    </row>
    <row r="1785">
      <c r="A1785" s="83" t="s">
        <v>4618</v>
      </c>
      <c r="B1785" s="83" t="s">
        <v>4619</v>
      </c>
      <c r="C1785" s="81" t="s">
        <v>4621</v>
      </c>
      <c r="D1785" s="83" t="s">
        <v>4572</v>
      </c>
      <c r="E1785" s="81" t="s">
        <v>2687</v>
      </c>
      <c r="F1785" s="84">
        <v>519.0</v>
      </c>
      <c r="G1785" s="81" t="s">
        <v>44</v>
      </c>
      <c r="H1785" s="81" t="s">
        <v>4570</v>
      </c>
      <c r="I1785" s="81" t="s">
        <v>2673</v>
      </c>
      <c r="J1785" s="81" t="s">
        <v>4088</v>
      </c>
      <c r="K1785" s="81" t="str">
        <f>IFERROR(__xludf.DUMMYFUNCTION("IF(OR(D1785="""",G1785=""""),"""",IFERROR(LET(
campo,XLOOKUP(TRIM(G1785),ARRAYFORMULA(TRIM('indice columnas'!$A$2:$A$100)),'indice columnas'!$B$2:$B$100,""""),
col,IFERROR(MATCH(campo,Referencia!$A$1:$AZ$1,0),0),
fila,IFERROR(MATCH(TO_TEXT(D1785),ARRAYFOR"&amp;"MULA(TO_TEXT(Referencia!$A$2:$A6238)),0),0),
IF(OR(campo="""",campo=""-""),""NO APLICA"",
IF(col=0,""REVISAR EQUIVALENCIA"",
IF(fila=0,""SKU NO ENCONTRADO"",
LET(
valor,INDEX(Referencia!$A$2:$AZ6238,fila,col),
IF(TRIM(TO_TEXT(valor))=TRIM(TO_TEXT(I1785)),"&amp;"
""OK"",
""NO COINCIDE. Valor verdadero: ""&amp;IF(valor="""",""[VACÍO]"",TO_TEXT(valor))
)
))))
),""ERROR EN FÓRMULA""))"),"NO APLICA")</f>
        <v>NO APLICA</v>
      </c>
    </row>
    <row r="1786">
      <c r="A1786" s="83" t="s">
        <v>4618</v>
      </c>
      <c r="B1786" s="83" t="s">
        <v>4619</v>
      </c>
      <c r="C1786" s="81" t="s">
        <v>4621</v>
      </c>
      <c r="D1786" s="83" t="s">
        <v>4573</v>
      </c>
      <c r="E1786" s="81" t="s">
        <v>2690</v>
      </c>
      <c r="F1786" s="84">
        <v>520.0</v>
      </c>
      <c r="G1786" s="81" t="s">
        <v>44</v>
      </c>
      <c r="H1786" s="81" t="s">
        <v>4570</v>
      </c>
      <c r="I1786" s="81" t="s">
        <v>2673</v>
      </c>
      <c r="J1786" s="81" t="s">
        <v>4088</v>
      </c>
      <c r="K1786" s="81" t="str">
        <f>IFERROR(__xludf.DUMMYFUNCTION("IF(OR(D1786="""",G1786=""""),"""",IFERROR(LET(
campo,XLOOKUP(TRIM(G1786),ARRAYFORMULA(TRIM('indice columnas'!$A$2:$A$100)),'indice columnas'!$B$2:$B$100,""""),
col,IFERROR(MATCH(campo,Referencia!$A$1:$AZ$1,0),0),
fila,IFERROR(MATCH(TO_TEXT(D1786),ARRAYFOR"&amp;"MULA(TO_TEXT(Referencia!$A$2:$A6238)),0),0),
IF(OR(campo="""",campo=""-""),""NO APLICA"",
IF(col=0,""REVISAR EQUIVALENCIA"",
IF(fila=0,""SKU NO ENCONTRADO"",
LET(
valor,INDEX(Referencia!$A$2:$AZ6238,fila,col),
IF(TRIM(TO_TEXT(valor))=TRIM(TO_TEXT(I1786)),"&amp;"
""OK"",
""NO COINCIDE. Valor verdadero: ""&amp;IF(valor="""",""[VACÍO]"",TO_TEXT(valor))
)
))))
),""ERROR EN FÓRMULA""))"),"NO APLICA")</f>
        <v>NO APLICA</v>
      </c>
    </row>
    <row r="1787">
      <c r="A1787" s="83" t="s">
        <v>4618</v>
      </c>
      <c r="B1787" s="83" t="s">
        <v>4619</v>
      </c>
      <c r="C1787" s="81" t="s">
        <v>4621</v>
      </c>
      <c r="D1787" s="83" t="s">
        <v>4573</v>
      </c>
      <c r="E1787" s="81" t="s">
        <v>2699</v>
      </c>
      <c r="F1787" s="84">
        <v>521.0</v>
      </c>
      <c r="G1787" s="81" t="s">
        <v>17</v>
      </c>
      <c r="H1787" s="83" t="s">
        <v>4571</v>
      </c>
      <c r="I1787" s="83" t="s">
        <v>2686</v>
      </c>
      <c r="J1787" s="81" t="s">
        <v>224</v>
      </c>
      <c r="K1787" s="81" t="str">
        <f>IFERROR(__xludf.DUMMYFUNCTION("IF(OR(D1787="""",G1787=""""),"""",IFERROR(LET(
campo,XLOOKUP(TRIM(G1787),ARRAYFORMULA(TRIM('indice columnas'!$A$2:$A$100)),'indice columnas'!$B$2:$B$100,""""),
col,IFERROR(MATCH(campo,Referencia!$A$1:$AZ$1,0),0),
fila,IFERROR(MATCH(TO_TEXT(D1787),ARRAYFOR"&amp;"MULA(TO_TEXT(Referencia!$A$2:$A6238)),0),0),
IF(OR(campo="""",campo=""-""),""NO APLICA"",
IF(col=0,""REVISAR EQUIVALENCIA"",
IF(fila=0,""SKU NO ENCONTRADO"",
LET(
valor,INDEX(Referencia!$A$2:$AZ6238,fila,col),
IF(TRIM(TO_TEXT(valor))=TRIM(TO_TEXT(I1787)),"&amp;"
""OK"",
""NO COINCIDE. Valor verdadero: ""&amp;IF(valor="""",""[VACÍO]"",TO_TEXT(valor))
)
))))
),""ERROR EN FÓRMULA""))"),"OK")</f>
        <v>OK</v>
      </c>
    </row>
    <row r="1788">
      <c r="A1788" s="83" t="s">
        <v>4618</v>
      </c>
      <c r="B1788" s="83" t="s">
        <v>4619</v>
      </c>
      <c r="C1788" s="81" t="s">
        <v>4621</v>
      </c>
      <c r="D1788" s="83" t="s">
        <v>4573</v>
      </c>
      <c r="E1788" s="81" t="s">
        <v>2699</v>
      </c>
      <c r="F1788" s="84">
        <v>521.0</v>
      </c>
      <c r="G1788" s="81" t="s">
        <v>36</v>
      </c>
      <c r="H1788" s="81" t="s">
        <v>49</v>
      </c>
      <c r="I1788" s="81" t="s">
        <v>1422</v>
      </c>
      <c r="J1788" s="81" t="s">
        <v>224</v>
      </c>
      <c r="K1788" s="81" t="str">
        <f>IFERROR(__xludf.DUMMYFUNCTION("IF(OR(D1788="""",G1788=""""),"""",IFERROR(LET(
campo,XLOOKUP(TRIM(G1788),ARRAYFORMULA(TRIM('indice columnas'!$A$2:$A$100)),'indice columnas'!$B$2:$B$100,""""),
col,IFERROR(MATCH(campo,Referencia!$A$1:$AZ$1,0),0),
fila,IFERROR(MATCH(TO_TEXT(D1788),ARRAYFOR"&amp;"MULA(TO_TEXT(Referencia!$A$2:$A6238)),0),0),
IF(OR(campo="""",campo=""-""),""NO APLICA"",
IF(col=0,""REVISAR EQUIVALENCIA"",
IF(fila=0,""SKU NO ENCONTRADO"",
LET(
valor,INDEX(Referencia!$A$2:$AZ6238,fila,col),
IF(TRIM(TO_TEXT(valor))=TRIM(TO_TEXT(I1788)),"&amp;"
""OK"",
""NO COINCIDE. Valor verdadero: ""&amp;IF(valor="""",""[VACÍO]"",TO_TEXT(valor))
)
))))
),""ERROR EN FÓRMULA""))"),"REVISAR EQUIVALENCIA")</f>
        <v>REVISAR EQUIVALENCIA</v>
      </c>
    </row>
    <row r="1789">
      <c r="A1789" s="83" t="s">
        <v>4618</v>
      </c>
      <c r="B1789" s="83" t="s">
        <v>4619</v>
      </c>
      <c r="C1789" s="81" t="s">
        <v>4621</v>
      </c>
      <c r="D1789" s="83" t="s">
        <v>4573</v>
      </c>
      <c r="E1789" s="81" t="s">
        <v>2699</v>
      </c>
      <c r="F1789" s="84">
        <v>521.0</v>
      </c>
      <c r="G1789" s="81" t="s">
        <v>44</v>
      </c>
      <c r="H1789" s="81" t="s">
        <v>4570</v>
      </c>
      <c r="I1789" s="81" t="s">
        <v>2673</v>
      </c>
      <c r="J1789" s="81" t="s">
        <v>4088</v>
      </c>
      <c r="K1789" s="81" t="str">
        <f>IFERROR(__xludf.DUMMYFUNCTION("IF(OR(D1789="""",G1789=""""),"""",IFERROR(LET(
campo,XLOOKUP(TRIM(G1789),ARRAYFORMULA(TRIM('indice columnas'!$A$2:$A$100)),'indice columnas'!$B$2:$B$100,""""),
col,IFERROR(MATCH(campo,Referencia!$A$1:$AZ$1,0),0),
fila,IFERROR(MATCH(TO_TEXT(D1789),ARRAYFOR"&amp;"MULA(TO_TEXT(Referencia!$A$2:$A6238)),0),0),
IF(OR(campo="""",campo=""-""),""NO APLICA"",
IF(col=0,""REVISAR EQUIVALENCIA"",
IF(fila=0,""SKU NO ENCONTRADO"",
LET(
valor,INDEX(Referencia!$A$2:$AZ6238,fila,col),
IF(TRIM(TO_TEXT(valor))=TRIM(TO_TEXT(I1789)),"&amp;"
""OK"",
""NO COINCIDE. Valor verdadero: ""&amp;IF(valor="""",""[VACÍO]"",TO_TEXT(valor))
)
))))
),""ERROR EN FÓRMULA""))"),"NO APLICA")</f>
        <v>NO APLICA</v>
      </c>
    </row>
    <row r="1790">
      <c r="A1790" s="83" t="s">
        <v>4618</v>
      </c>
      <c r="B1790" s="83" t="s">
        <v>4619</v>
      </c>
      <c r="C1790" s="81" t="s">
        <v>4621</v>
      </c>
      <c r="D1790" s="83" t="s">
        <v>4574</v>
      </c>
      <c r="E1790" s="81" t="s">
        <v>2700</v>
      </c>
      <c r="F1790" s="84">
        <v>522.0</v>
      </c>
      <c r="G1790" s="81" t="s">
        <v>44</v>
      </c>
      <c r="H1790" s="81" t="s">
        <v>4570</v>
      </c>
      <c r="I1790" s="81" t="s">
        <v>2673</v>
      </c>
      <c r="J1790" s="81" t="s">
        <v>4088</v>
      </c>
      <c r="K1790" s="81" t="str">
        <f>IFERROR(__xludf.DUMMYFUNCTION("IF(OR(D1790="""",G1790=""""),"""",IFERROR(LET(
campo,XLOOKUP(TRIM(G1790),ARRAYFORMULA(TRIM('indice columnas'!$A$2:$A$100)),'indice columnas'!$B$2:$B$100,""""),
col,IFERROR(MATCH(campo,Referencia!$A$1:$AZ$1,0),0),
fila,IFERROR(MATCH(TO_TEXT(D1790),ARRAYFOR"&amp;"MULA(TO_TEXT(Referencia!$A$2:$A6238)),0),0),
IF(OR(campo="""",campo=""-""),""NO APLICA"",
IF(col=0,""REVISAR EQUIVALENCIA"",
IF(fila=0,""SKU NO ENCONTRADO"",
LET(
valor,INDEX(Referencia!$A$2:$AZ6238,fila,col),
IF(TRIM(TO_TEXT(valor))=TRIM(TO_TEXT(I1790)),"&amp;"
""OK"",
""NO COINCIDE. Valor verdadero: ""&amp;IF(valor="""",""[VACÍO]"",TO_TEXT(valor))
)
))))
),""ERROR EN FÓRMULA""))"),"NO APLICA")</f>
        <v>NO APLICA</v>
      </c>
    </row>
    <row r="1791">
      <c r="A1791" s="83" t="s">
        <v>4618</v>
      </c>
      <c r="B1791" s="83" t="s">
        <v>4619</v>
      </c>
      <c r="C1791" s="81" t="s">
        <v>4621</v>
      </c>
      <c r="D1791" s="83" t="s">
        <v>4575</v>
      </c>
      <c r="E1791" s="81" t="s">
        <v>2703</v>
      </c>
      <c r="F1791" s="84">
        <v>523.0</v>
      </c>
      <c r="G1791" s="81" t="s">
        <v>44</v>
      </c>
      <c r="H1791" s="81" t="s">
        <v>4570</v>
      </c>
      <c r="I1791" s="81" t="s">
        <v>2673</v>
      </c>
      <c r="J1791" s="81" t="s">
        <v>4088</v>
      </c>
      <c r="K1791" s="81" t="str">
        <f>IFERROR(__xludf.DUMMYFUNCTION("IF(OR(D1791="""",G1791=""""),"""",IFERROR(LET(
campo,XLOOKUP(TRIM(G1791),ARRAYFORMULA(TRIM('indice columnas'!$A$2:$A$100)),'indice columnas'!$B$2:$B$100,""""),
col,IFERROR(MATCH(campo,Referencia!$A$1:$AZ$1,0),0),
fila,IFERROR(MATCH(TO_TEXT(D1791),ARRAYFOR"&amp;"MULA(TO_TEXT(Referencia!$A$2:$A6238)),0),0),
IF(OR(campo="""",campo=""-""),""NO APLICA"",
IF(col=0,""REVISAR EQUIVALENCIA"",
IF(fila=0,""SKU NO ENCONTRADO"",
LET(
valor,INDEX(Referencia!$A$2:$AZ6238,fila,col),
IF(TRIM(TO_TEXT(valor))=TRIM(TO_TEXT(I1791)),"&amp;"
""OK"",
""NO COINCIDE. Valor verdadero: ""&amp;IF(valor="""",""[VACÍO]"",TO_TEXT(valor))
)
))))
),""ERROR EN FÓRMULA""))"),"NO APLICA")</f>
        <v>NO APLICA</v>
      </c>
    </row>
    <row r="1792">
      <c r="A1792" s="83" t="s">
        <v>4618</v>
      </c>
      <c r="B1792" s="83" t="s">
        <v>4619</v>
      </c>
      <c r="C1792" s="81" t="s">
        <v>4621</v>
      </c>
      <c r="D1792" s="83" t="s">
        <v>4575</v>
      </c>
      <c r="E1792" s="81" t="s">
        <v>2712</v>
      </c>
      <c r="F1792" s="84">
        <v>524.0</v>
      </c>
      <c r="G1792" s="81" t="s">
        <v>17</v>
      </c>
      <c r="H1792" s="83" t="s">
        <v>4571</v>
      </c>
      <c r="I1792" s="83" t="s">
        <v>2686</v>
      </c>
      <c r="J1792" s="81" t="s">
        <v>224</v>
      </c>
      <c r="K1792" s="81" t="str">
        <f>IFERROR(__xludf.DUMMYFUNCTION("IF(OR(D1792="""",G1792=""""),"""",IFERROR(LET(
campo,XLOOKUP(TRIM(G1792),ARRAYFORMULA(TRIM('indice columnas'!$A$2:$A$100)),'indice columnas'!$B$2:$B$100,""""),
col,IFERROR(MATCH(campo,Referencia!$A$1:$AZ$1,0),0),
fila,IFERROR(MATCH(TO_TEXT(D1792),ARRAYFOR"&amp;"MULA(TO_TEXT(Referencia!$A$2:$A6238)),0),0),
IF(OR(campo="""",campo=""-""),""NO APLICA"",
IF(col=0,""REVISAR EQUIVALENCIA"",
IF(fila=0,""SKU NO ENCONTRADO"",
LET(
valor,INDEX(Referencia!$A$2:$AZ6238,fila,col),
IF(TRIM(TO_TEXT(valor))=TRIM(TO_TEXT(I1792)),"&amp;"
""OK"",
""NO COINCIDE. Valor verdadero: ""&amp;IF(valor="""",""[VACÍO]"",TO_TEXT(valor))
)
))))
),""ERROR EN FÓRMULA""))"),"OK")</f>
        <v>OK</v>
      </c>
    </row>
    <row r="1793">
      <c r="A1793" s="83" t="s">
        <v>4618</v>
      </c>
      <c r="B1793" s="83" t="s">
        <v>4619</v>
      </c>
      <c r="C1793" s="81" t="s">
        <v>4621</v>
      </c>
      <c r="D1793" s="83" t="s">
        <v>4575</v>
      </c>
      <c r="E1793" s="81" t="s">
        <v>2712</v>
      </c>
      <c r="F1793" s="84">
        <v>524.0</v>
      </c>
      <c r="G1793" s="81" t="s">
        <v>36</v>
      </c>
      <c r="H1793" s="81" t="s">
        <v>49</v>
      </c>
      <c r="I1793" s="81" t="s">
        <v>1422</v>
      </c>
      <c r="J1793" s="81" t="s">
        <v>224</v>
      </c>
      <c r="K1793" s="81" t="str">
        <f>IFERROR(__xludf.DUMMYFUNCTION("IF(OR(D1793="""",G1793=""""),"""",IFERROR(LET(
campo,XLOOKUP(TRIM(G1793),ARRAYFORMULA(TRIM('indice columnas'!$A$2:$A$100)),'indice columnas'!$B$2:$B$100,""""),
col,IFERROR(MATCH(campo,Referencia!$A$1:$AZ$1,0),0),
fila,IFERROR(MATCH(TO_TEXT(D1793),ARRAYFOR"&amp;"MULA(TO_TEXT(Referencia!$A$2:$A6238)),0),0),
IF(OR(campo="""",campo=""-""),""NO APLICA"",
IF(col=0,""REVISAR EQUIVALENCIA"",
IF(fila=0,""SKU NO ENCONTRADO"",
LET(
valor,INDEX(Referencia!$A$2:$AZ6238,fila,col),
IF(TRIM(TO_TEXT(valor))=TRIM(TO_TEXT(I1793)),"&amp;"
""OK"",
""NO COINCIDE. Valor verdadero: ""&amp;IF(valor="""",""[VACÍO]"",TO_TEXT(valor))
)
))))
),""ERROR EN FÓRMULA""))"),"REVISAR EQUIVALENCIA")</f>
        <v>REVISAR EQUIVALENCIA</v>
      </c>
    </row>
    <row r="1794">
      <c r="A1794" s="83" t="s">
        <v>4618</v>
      </c>
      <c r="B1794" s="83" t="s">
        <v>4619</v>
      </c>
      <c r="C1794" s="81" t="s">
        <v>4621</v>
      </c>
      <c r="D1794" s="83" t="s">
        <v>4575</v>
      </c>
      <c r="E1794" s="81" t="s">
        <v>2712</v>
      </c>
      <c r="F1794" s="84">
        <v>524.0</v>
      </c>
      <c r="G1794" s="81" t="s">
        <v>44</v>
      </c>
      <c r="H1794" s="81" t="s">
        <v>4570</v>
      </c>
      <c r="I1794" s="81" t="s">
        <v>2673</v>
      </c>
      <c r="J1794" s="81" t="s">
        <v>4088</v>
      </c>
      <c r="K1794" s="81" t="str">
        <f>IFERROR(__xludf.DUMMYFUNCTION("IF(OR(D1794="""",G1794=""""),"""",IFERROR(LET(
campo,XLOOKUP(TRIM(G1794),ARRAYFORMULA(TRIM('indice columnas'!$A$2:$A$100)),'indice columnas'!$B$2:$B$100,""""),
col,IFERROR(MATCH(campo,Referencia!$A$1:$AZ$1,0),0),
fila,IFERROR(MATCH(TO_TEXT(D1794),ARRAYFOR"&amp;"MULA(TO_TEXT(Referencia!$A$2:$A6238)),0),0),
IF(OR(campo="""",campo=""-""),""NO APLICA"",
IF(col=0,""REVISAR EQUIVALENCIA"",
IF(fila=0,""SKU NO ENCONTRADO"",
LET(
valor,INDEX(Referencia!$A$2:$AZ6238,fila,col),
IF(TRIM(TO_TEXT(valor))=TRIM(TO_TEXT(I1794)),"&amp;"
""OK"",
""NO COINCIDE. Valor verdadero: ""&amp;IF(valor="""",""[VACÍO]"",TO_TEXT(valor))
)
))))
),""ERROR EN FÓRMULA""))"),"NO APLICA")</f>
        <v>NO APLICA</v>
      </c>
    </row>
    <row r="1795">
      <c r="A1795" s="83" t="s">
        <v>4618</v>
      </c>
      <c r="B1795" s="83" t="s">
        <v>4619</v>
      </c>
      <c r="C1795" s="81" t="s">
        <v>4621</v>
      </c>
      <c r="D1795" s="83" t="s">
        <v>4576</v>
      </c>
      <c r="E1795" s="81" t="s">
        <v>2713</v>
      </c>
      <c r="F1795" s="84">
        <v>525.0</v>
      </c>
      <c r="G1795" s="81" t="s">
        <v>44</v>
      </c>
      <c r="H1795" s="81" t="s">
        <v>4570</v>
      </c>
      <c r="I1795" s="81" t="s">
        <v>2673</v>
      </c>
      <c r="J1795" s="81" t="s">
        <v>4088</v>
      </c>
      <c r="K1795" s="81" t="str">
        <f>IFERROR(__xludf.DUMMYFUNCTION("IF(OR(D1795="""",G1795=""""),"""",IFERROR(LET(
campo,XLOOKUP(TRIM(G1795),ARRAYFORMULA(TRIM('indice columnas'!$A$2:$A$100)),'indice columnas'!$B$2:$B$100,""""),
col,IFERROR(MATCH(campo,Referencia!$A$1:$AZ$1,0),0),
fila,IFERROR(MATCH(TO_TEXT(D1795),ARRAYFOR"&amp;"MULA(TO_TEXT(Referencia!$A$2:$A6238)),0),0),
IF(OR(campo="""",campo=""-""),""NO APLICA"",
IF(col=0,""REVISAR EQUIVALENCIA"",
IF(fila=0,""SKU NO ENCONTRADO"",
LET(
valor,INDEX(Referencia!$A$2:$AZ6238,fila,col),
IF(TRIM(TO_TEXT(valor))=TRIM(TO_TEXT(I1795)),"&amp;"
""OK"",
""NO COINCIDE. Valor verdadero: ""&amp;IF(valor="""",""[VACÍO]"",TO_TEXT(valor))
)
))))
),""ERROR EN FÓRMULA""))"),"NO APLICA")</f>
        <v>NO APLICA</v>
      </c>
    </row>
    <row r="1796">
      <c r="A1796" s="83" t="s">
        <v>4618</v>
      </c>
      <c r="B1796" s="83" t="s">
        <v>4619</v>
      </c>
      <c r="C1796" s="81" t="s">
        <v>4621</v>
      </c>
      <c r="D1796" s="83" t="s">
        <v>4577</v>
      </c>
      <c r="E1796" s="81" t="s">
        <v>2716</v>
      </c>
      <c r="F1796" s="84">
        <v>526.0</v>
      </c>
      <c r="G1796" s="81" t="s">
        <v>44</v>
      </c>
      <c r="H1796" s="81" t="s">
        <v>4570</v>
      </c>
      <c r="I1796" s="81" t="s">
        <v>2673</v>
      </c>
      <c r="J1796" s="81" t="s">
        <v>4088</v>
      </c>
      <c r="K1796" s="81" t="str">
        <f>IFERROR(__xludf.DUMMYFUNCTION("IF(OR(D1796="""",G1796=""""),"""",IFERROR(LET(
campo,XLOOKUP(TRIM(G1796),ARRAYFORMULA(TRIM('indice columnas'!$A$2:$A$100)),'indice columnas'!$B$2:$B$100,""""),
col,IFERROR(MATCH(campo,Referencia!$A$1:$AZ$1,0),0),
fila,IFERROR(MATCH(TO_TEXT(D1796),ARRAYFOR"&amp;"MULA(TO_TEXT(Referencia!$A$2:$A6238)),0),0),
IF(OR(campo="""",campo=""-""),""NO APLICA"",
IF(col=0,""REVISAR EQUIVALENCIA"",
IF(fila=0,""SKU NO ENCONTRADO"",
LET(
valor,INDEX(Referencia!$A$2:$AZ6238,fila,col),
IF(TRIM(TO_TEXT(valor))=TRIM(TO_TEXT(I1796)),"&amp;"
""OK"",
""NO COINCIDE. Valor verdadero: ""&amp;IF(valor="""",""[VACÍO]"",TO_TEXT(valor))
)
))))
),""ERROR EN FÓRMULA""))"),"NO APLICA")</f>
        <v>NO APLICA</v>
      </c>
    </row>
    <row r="1797">
      <c r="A1797" s="83" t="s">
        <v>4618</v>
      </c>
      <c r="B1797" s="83" t="s">
        <v>4619</v>
      </c>
      <c r="C1797" s="81" t="s">
        <v>4621</v>
      </c>
      <c r="D1797" s="83" t="s">
        <v>4578</v>
      </c>
      <c r="E1797" s="81" t="s">
        <v>2724</v>
      </c>
      <c r="F1797" s="84">
        <v>527.0</v>
      </c>
      <c r="G1797" s="81" t="s">
        <v>44</v>
      </c>
      <c r="H1797" s="81" t="s">
        <v>4570</v>
      </c>
      <c r="I1797" s="81" t="s">
        <v>2673</v>
      </c>
      <c r="J1797" s="81" t="s">
        <v>4088</v>
      </c>
      <c r="K1797" s="81" t="str">
        <f>IFERROR(__xludf.DUMMYFUNCTION("IF(OR(D1797="""",G1797=""""),"""",IFERROR(LET(
campo,XLOOKUP(TRIM(G1797),ARRAYFORMULA(TRIM('indice columnas'!$A$2:$A$100)),'indice columnas'!$B$2:$B$100,""""),
col,IFERROR(MATCH(campo,Referencia!$A$1:$AZ$1,0),0),
fila,IFERROR(MATCH(TO_TEXT(D1797),ARRAYFOR"&amp;"MULA(TO_TEXT(Referencia!$A$2:$A6238)),0),0),
IF(OR(campo="""",campo=""-""),""NO APLICA"",
IF(col=0,""REVISAR EQUIVALENCIA"",
IF(fila=0,""SKU NO ENCONTRADO"",
LET(
valor,INDEX(Referencia!$A$2:$AZ6238,fila,col),
IF(TRIM(TO_TEXT(valor))=TRIM(TO_TEXT(I1797)),"&amp;"
""OK"",
""NO COINCIDE. Valor verdadero: ""&amp;IF(valor="""",""[VACÍO]"",TO_TEXT(valor))
)
))))
),""ERROR EN FÓRMULA""))"),"NO APLICA")</f>
        <v>NO APLICA</v>
      </c>
    </row>
    <row r="1798">
      <c r="A1798" s="83" t="s">
        <v>4618</v>
      </c>
      <c r="B1798" s="83" t="s">
        <v>4619</v>
      </c>
      <c r="C1798" s="81" t="s">
        <v>4621</v>
      </c>
      <c r="D1798" s="83" t="s">
        <v>4579</v>
      </c>
      <c r="E1798" s="81" t="s">
        <v>2727</v>
      </c>
      <c r="F1798" s="84">
        <v>528.0</v>
      </c>
      <c r="G1798" s="81" t="s">
        <v>44</v>
      </c>
      <c r="H1798" s="81" t="s">
        <v>4570</v>
      </c>
      <c r="I1798" s="81" t="s">
        <v>2673</v>
      </c>
      <c r="J1798" s="81" t="s">
        <v>4088</v>
      </c>
      <c r="K1798" s="81" t="str">
        <f>IFERROR(__xludf.DUMMYFUNCTION("IF(OR(D1798="""",G1798=""""),"""",IFERROR(LET(
campo,XLOOKUP(TRIM(G1798),ARRAYFORMULA(TRIM('indice columnas'!$A$2:$A$100)),'indice columnas'!$B$2:$B$100,""""),
col,IFERROR(MATCH(campo,Referencia!$A$1:$AZ$1,0),0),
fila,IFERROR(MATCH(TO_TEXT(D1798),ARRAYFOR"&amp;"MULA(TO_TEXT(Referencia!$A$2:$A6238)),0),0),
IF(OR(campo="""",campo=""-""),""NO APLICA"",
IF(col=0,""REVISAR EQUIVALENCIA"",
IF(fila=0,""SKU NO ENCONTRADO"",
LET(
valor,INDEX(Referencia!$A$2:$AZ6238,fila,col),
IF(TRIM(TO_TEXT(valor))=TRIM(TO_TEXT(I1798)),"&amp;"
""OK"",
""NO COINCIDE. Valor verdadero: ""&amp;IF(valor="""",""[VACÍO]"",TO_TEXT(valor))
)
))))
),""ERROR EN FÓRMULA""))"),"NO APLICA")</f>
        <v>NO APLICA</v>
      </c>
    </row>
    <row r="1799">
      <c r="A1799" s="83" t="s">
        <v>4618</v>
      </c>
      <c r="B1799" s="83" t="s">
        <v>4619</v>
      </c>
      <c r="C1799" s="81" t="s">
        <v>4621</v>
      </c>
      <c r="D1799" s="83" t="s">
        <v>4579</v>
      </c>
      <c r="E1799" s="81" t="s">
        <v>2736</v>
      </c>
      <c r="F1799" s="84">
        <v>529.0</v>
      </c>
      <c r="G1799" s="81" t="s">
        <v>30</v>
      </c>
      <c r="H1799" s="81" t="s">
        <v>4580</v>
      </c>
      <c r="I1799" s="81" t="s">
        <v>2729</v>
      </c>
      <c r="J1799" s="81" t="s">
        <v>224</v>
      </c>
      <c r="K1799" s="81" t="str">
        <f>IFERROR(__xludf.DUMMYFUNCTION("IF(OR(D1799="""",G1799=""""),"""",IFERROR(LET(
campo,XLOOKUP(TRIM(G1799),ARRAYFORMULA(TRIM('indice columnas'!$A$2:$A$100)),'indice columnas'!$B$2:$B$100,""""),
col,IFERROR(MATCH(campo,Referencia!$A$1:$AZ$1,0),0),
fila,IFERROR(MATCH(TO_TEXT(D1799),ARRAYFOR"&amp;"MULA(TO_TEXT(Referencia!$A$2:$A6238)),0),0),
IF(OR(campo="""",campo=""-""),""NO APLICA"",
IF(col=0,""REVISAR EQUIVALENCIA"",
IF(fila=0,""SKU NO ENCONTRADO"",
LET(
valor,INDEX(Referencia!$A$2:$AZ6238,fila,col),
IF(TRIM(TO_TEXT(valor))=TRIM(TO_TEXT(I1799)),"&amp;"
""OK"",
""NO COINCIDE. Valor verdadero: ""&amp;IF(valor="""",""[VACÍO]"",TO_TEXT(valor))
)
))))
),""ERROR EN FÓRMULA""))"),"NO COINCIDE. Valor verdadero: L de 40 x 310")</f>
        <v>NO COINCIDE. Valor verdadero: L de 40 x 310</v>
      </c>
    </row>
    <row r="1800">
      <c r="A1800" s="83" t="s">
        <v>4618</v>
      </c>
      <c r="B1800" s="83" t="s">
        <v>4619</v>
      </c>
      <c r="C1800" s="81" t="s">
        <v>4621</v>
      </c>
      <c r="D1800" s="83" t="s">
        <v>4579</v>
      </c>
      <c r="E1800" s="81" t="s">
        <v>2736</v>
      </c>
      <c r="F1800" s="84">
        <v>529.0</v>
      </c>
      <c r="G1800" s="81" t="s">
        <v>44</v>
      </c>
      <c r="H1800" s="81" t="s">
        <v>4570</v>
      </c>
      <c r="I1800" s="81" t="s">
        <v>2673</v>
      </c>
      <c r="J1800" s="81" t="s">
        <v>4088</v>
      </c>
      <c r="K1800" s="81" t="str">
        <f>IFERROR(__xludf.DUMMYFUNCTION("IF(OR(D1800="""",G1800=""""),"""",IFERROR(LET(
campo,XLOOKUP(TRIM(G1800),ARRAYFORMULA(TRIM('indice columnas'!$A$2:$A$100)),'indice columnas'!$B$2:$B$100,""""),
col,IFERROR(MATCH(campo,Referencia!$A$1:$AZ$1,0),0),
fila,IFERROR(MATCH(TO_TEXT(D1800),ARRAYFOR"&amp;"MULA(TO_TEXT(Referencia!$A$2:$A6238)),0),0),
IF(OR(campo="""",campo=""-""),""NO APLICA"",
IF(col=0,""REVISAR EQUIVALENCIA"",
IF(fila=0,""SKU NO ENCONTRADO"",
LET(
valor,INDEX(Referencia!$A$2:$AZ6238,fila,col),
IF(TRIM(TO_TEXT(valor))=TRIM(TO_TEXT(I1800)),"&amp;"
""OK"",
""NO COINCIDE. Valor verdadero: ""&amp;IF(valor="""",""[VACÍO]"",TO_TEXT(valor))
)
))))
),""ERROR EN FÓRMULA""))"),"NO APLICA")</f>
        <v>NO APLICA</v>
      </c>
    </row>
    <row r="1801">
      <c r="A1801" s="83" t="s">
        <v>4618</v>
      </c>
      <c r="B1801" s="83" t="s">
        <v>4619</v>
      </c>
      <c r="C1801" s="81" t="s">
        <v>4621</v>
      </c>
      <c r="D1801" s="83" t="s">
        <v>4581</v>
      </c>
      <c r="E1801" s="81" t="s">
        <v>2737</v>
      </c>
      <c r="F1801" s="84">
        <v>530.0</v>
      </c>
      <c r="G1801" s="81" t="s">
        <v>30</v>
      </c>
      <c r="H1801" s="81" t="s">
        <v>4580</v>
      </c>
      <c r="I1801" s="81" t="s">
        <v>2729</v>
      </c>
      <c r="J1801" s="81" t="s">
        <v>224</v>
      </c>
      <c r="K1801" s="81" t="str">
        <f>IFERROR(__xludf.DUMMYFUNCTION("IF(OR(D1801="""",G1801=""""),"""",IFERROR(LET(
campo,XLOOKUP(TRIM(G1801),ARRAYFORMULA(TRIM('indice columnas'!$A$2:$A$100)),'indice columnas'!$B$2:$B$100,""""),
col,IFERROR(MATCH(campo,Referencia!$A$1:$AZ$1,0),0),
fila,IFERROR(MATCH(TO_TEXT(D1801),ARRAYFOR"&amp;"MULA(TO_TEXT(Referencia!$A$2:$A6238)),0),0),
IF(OR(campo="""",campo=""-""),""NO APLICA"",
IF(col=0,""REVISAR EQUIVALENCIA"",
IF(fila=0,""SKU NO ENCONTRADO"",
LET(
valor,INDEX(Referencia!$A$2:$AZ6238,fila,col),
IF(TRIM(TO_TEXT(valor))=TRIM(TO_TEXT(I1801)),"&amp;"
""OK"",
""NO COINCIDE. Valor verdadero: ""&amp;IF(valor="""",""[VACÍO]"",TO_TEXT(valor))
)
))))
),""ERROR EN FÓRMULA""))"),"NO COINCIDE. Valor verdadero: L de 40 x 310")</f>
        <v>NO COINCIDE. Valor verdadero: L de 40 x 310</v>
      </c>
    </row>
    <row r="1802">
      <c r="A1802" s="83" t="s">
        <v>4618</v>
      </c>
      <c r="B1802" s="83" t="s">
        <v>4619</v>
      </c>
      <c r="C1802" s="81" t="s">
        <v>4621</v>
      </c>
      <c r="D1802" s="83" t="s">
        <v>4581</v>
      </c>
      <c r="E1802" s="81" t="s">
        <v>2737</v>
      </c>
      <c r="F1802" s="84">
        <v>530.0</v>
      </c>
      <c r="G1802" s="81" t="s">
        <v>44</v>
      </c>
      <c r="H1802" s="81" t="s">
        <v>4570</v>
      </c>
      <c r="I1802" s="81" t="s">
        <v>2673</v>
      </c>
      <c r="J1802" s="81" t="s">
        <v>4088</v>
      </c>
      <c r="K1802" s="81" t="str">
        <f>IFERROR(__xludf.DUMMYFUNCTION("IF(OR(D1802="""",G1802=""""),"""",IFERROR(LET(
campo,XLOOKUP(TRIM(G1802),ARRAYFORMULA(TRIM('indice columnas'!$A$2:$A$100)),'indice columnas'!$B$2:$B$100,""""),
col,IFERROR(MATCH(campo,Referencia!$A$1:$AZ$1,0),0),
fila,IFERROR(MATCH(TO_TEXT(D1802),ARRAYFOR"&amp;"MULA(TO_TEXT(Referencia!$A$2:$A6238)),0),0),
IF(OR(campo="""",campo=""-""),""NO APLICA"",
IF(col=0,""REVISAR EQUIVALENCIA"",
IF(fila=0,""SKU NO ENCONTRADO"",
LET(
valor,INDEX(Referencia!$A$2:$AZ6238,fila,col),
IF(TRIM(TO_TEXT(valor))=TRIM(TO_TEXT(I1802)),"&amp;"
""OK"",
""NO COINCIDE. Valor verdadero: ""&amp;IF(valor="""",""[VACÍO]"",TO_TEXT(valor))
)
))))
),""ERROR EN FÓRMULA""))"),"NO APLICA")</f>
        <v>NO APLICA</v>
      </c>
    </row>
    <row r="1803">
      <c r="A1803" s="83" t="s">
        <v>4618</v>
      </c>
      <c r="B1803" s="83" t="s">
        <v>4619</v>
      </c>
      <c r="C1803" s="81" t="s">
        <v>4621</v>
      </c>
      <c r="D1803" s="83" t="s">
        <v>4582</v>
      </c>
      <c r="E1803" s="81" t="s">
        <v>2740</v>
      </c>
      <c r="F1803" s="84">
        <v>531.0</v>
      </c>
      <c r="G1803" s="81" t="s">
        <v>44</v>
      </c>
      <c r="H1803" s="81" t="s">
        <v>4339</v>
      </c>
      <c r="I1803" s="81" t="s">
        <v>1401</v>
      </c>
      <c r="J1803" s="81" t="s">
        <v>4088</v>
      </c>
      <c r="K1803" s="81" t="str">
        <f>IFERROR(__xludf.DUMMYFUNCTION("IF(OR(D1803="""",G1803=""""),"""",IFERROR(LET(
campo,XLOOKUP(TRIM(G1803),ARRAYFORMULA(TRIM('indice columnas'!$A$2:$A$100)),'indice columnas'!$B$2:$B$100,""""),
col,IFERROR(MATCH(campo,Referencia!$A$1:$AZ$1,0),0),
fila,IFERROR(MATCH(TO_TEXT(D1803),ARRAYFOR"&amp;"MULA(TO_TEXT(Referencia!$A$2:$A6238)),0),0),
IF(OR(campo="""",campo=""-""),""NO APLICA"",
IF(col=0,""REVISAR EQUIVALENCIA"",
IF(fila=0,""SKU NO ENCONTRADO"",
LET(
valor,INDEX(Referencia!$A$2:$AZ6238,fila,col),
IF(TRIM(TO_TEXT(valor))=TRIM(TO_TEXT(I1803)),"&amp;"
""OK"",
""NO COINCIDE. Valor verdadero: ""&amp;IF(valor="""",""[VACÍO]"",TO_TEXT(valor))
)
))))
),""ERROR EN FÓRMULA""))"),"NO APLICA")</f>
        <v>NO APLICA</v>
      </c>
    </row>
    <row r="1804">
      <c r="A1804" s="83" t="s">
        <v>4618</v>
      </c>
      <c r="B1804" s="83" t="s">
        <v>4619</v>
      </c>
      <c r="C1804" s="81" t="s">
        <v>4621</v>
      </c>
      <c r="D1804" s="83" t="s">
        <v>4582</v>
      </c>
      <c r="E1804" s="81" t="s">
        <v>2748</v>
      </c>
      <c r="F1804" s="84">
        <v>532.0</v>
      </c>
      <c r="G1804" s="81" t="s">
        <v>29</v>
      </c>
      <c r="H1804" s="81" t="s">
        <v>4583</v>
      </c>
      <c r="I1804" s="81" t="s">
        <v>2741</v>
      </c>
      <c r="J1804" s="81" t="s">
        <v>224</v>
      </c>
      <c r="K1804" s="81" t="str">
        <f>IFERROR(__xludf.DUMMYFUNCTION("IF(OR(D1804="""",G1804=""""),"""",IFERROR(LET(
campo,XLOOKUP(TRIM(G1804),ARRAYFORMULA(TRIM('indice columnas'!$A$2:$A$100)),'indice columnas'!$B$2:$B$100,""""),
col,IFERROR(MATCH(campo,Referencia!$A$1:$AZ$1,0),0),
fila,IFERROR(MATCH(TO_TEXT(D1804),ARRAYFOR"&amp;"MULA(TO_TEXT(Referencia!$A$2:$A6238)),0),0),
IF(OR(campo="""",campo=""-""),""NO APLICA"",
IF(col=0,""REVISAR EQUIVALENCIA"",
IF(fila=0,""SKU NO ENCONTRADO"",
LET(
valor,INDEX(Referencia!$A$2:$AZ6238,fila,col),
IF(TRIM(TO_TEXT(valor))=TRIM(TO_TEXT(I1804)),"&amp;"
""OK"",
""NO COINCIDE. Valor verdadero: ""&amp;IF(valor="""",""[VACÍO]"",TO_TEXT(valor))
)
))))
),""ERROR EN FÓRMULA""))"),"NO COINCIDE. Valor verdadero: 270 x 440 60")</f>
        <v>NO COINCIDE. Valor verdadero: 270 x 440 60</v>
      </c>
    </row>
    <row r="1805">
      <c r="A1805" s="83" t="s">
        <v>4618</v>
      </c>
      <c r="B1805" s="83" t="s">
        <v>4619</v>
      </c>
      <c r="C1805" s="81" t="s">
        <v>4621</v>
      </c>
      <c r="D1805" s="83" t="s">
        <v>4582</v>
      </c>
      <c r="E1805" s="81" t="s">
        <v>2748</v>
      </c>
      <c r="F1805" s="84">
        <v>532.0</v>
      </c>
      <c r="G1805" s="81" t="s">
        <v>44</v>
      </c>
      <c r="H1805" s="81" t="s">
        <v>4339</v>
      </c>
      <c r="I1805" s="81" t="s">
        <v>1401</v>
      </c>
      <c r="J1805" s="81" t="s">
        <v>4088</v>
      </c>
      <c r="K1805" s="81" t="str">
        <f>IFERROR(__xludf.DUMMYFUNCTION("IF(OR(D1805="""",G1805=""""),"""",IFERROR(LET(
campo,XLOOKUP(TRIM(G1805),ARRAYFORMULA(TRIM('indice columnas'!$A$2:$A$100)),'indice columnas'!$B$2:$B$100,""""),
col,IFERROR(MATCH(campo,Referencia!$A$1:$AZ$1,0),0),
fila,IFERROR(MATCH(TO_TEXT(D1805),ARRAYFOR"&amp;"MULA(TO_TEXT(Referencia!$A$2:$A6238)),0),0),
IF(OR(campo="""",campo=""-""),""NO APLICA"",
IF(col=0,""REVISAR EQUIVALENCIA"",
IF(fila=0,""SKU NO ENCONTRADO"",
LET(
valor,INDEX(Referencia!$A$2:$AZ6238,fila,col),
IF(TRIM(TO_TEXT(valor))=TRIM(TO_TEXT(I1805)),"&amp;"
""OK"",
""NO COINCIDE. Valor verdadero: ""&amp;IF(valor="""",""[VACÍO]"",TO_TEXT(valor))
)
))))
),""ERROR EN FÓRMULA""))"),"NO APLICA")</f>
        <v>NO APLICA</v>
      </c>
    </row>
    <row r="1806">
      <c r="A1806" s="83" t="s">
        <v>4618</v>
      </c>
      <c r="B1806" s="83" t="s">
        <v>4619</v>
      </c>
      <c r="C1806" s="81" t="s">
        <v>4621</v>
      </c>
      <c r="D1806" s="83" t="s">
        <v>4584</v>
      </c>
      <c r="E1806" s="81" t="s">
        <v>2749</v>
      </c>
      <c r="F1806" s="84">
        <v>533.0</v>
      </c>
      <c r="G1806" s="81" t="s">
        <v>29</v>
      </c>
      <c r="H1806" s="81" t="s">
        <v>4583</v>
      </c>
      <c r="I1806" s="81" t="s">
        <v>2741</v>
      </c>
      <c r="J1806" s="81" t="s">
        <v>224</v>
      </c>
      <c r="K1806" s="81" t="str">
        <f>IFERROR(__xludf.DUMMYFUNCTION("IF(OR(D1806="""",G1806=""""),"""",IFERROR(LET(
campo,XLOOKUP(TRIM(G1806),ARRAYFORMULA(TRIM('indice columnas'!$A$2:$A$100)),'indice columnas'!$B$2:$B$100,""""),
col,IFERROR(MATCH(campo,Referencia!$A$1:$AZ$1,0),0),
fila,IFERROR(MATCH(TO_TEXT(D1806),ARRAYFOR"&amp;"MULA(TO_TEXT(Referencia!$A$2:$A6238)),0),0),
IF(OR(campo="""",campo=""-""),""NO APLICA"",
IF(col=0,""REVISAR EQUIVALENCIA"",
IF(fila=0,""SKU NO ENCONTRADO"",
LET(
valor,INDEX(Referencia!$A$2:$AZ6238,fila,col),
IF(TRIM(TO_TEXT(valor))=TRIM(TO_TEXT(I1806)),"&amp;"
""OK"",
""NO COINCIDE. Valor verdadero: ""&amp;IF(valor="""",""[VACÍO]"",TO_TEXT(valor))
)
))))
),""ERROR EN FÓRMULA""))"),"NO COINCIDE. Valor verdadero: 270 x 440 60")</f>
        <v>NO COINCIDE. Valor verdadero: 270 x 440 60</v>
      </c>
    </row>
    <row r="1807">
      <c r="A1807" s="83" t="s">
        <v>4618</v>
      </c>
      <c r="B1807" s="83" t="s">
        <v>4619</v>
      </c>
      <c r="C1807" s="81" t="s">
        <v>4621</v>
      </c>
      <c r="D1807" s="83" t="s">
        <v>4584</v>
      </c>
      <c r="E1807" s="81" t="s">
        <v>2749</v>
      </c>
      <c r="F1807" s="84">
        <v>533.0</v>
      </c>
      <c r="G1807" s="81" t="s">
        <v>44</v>
      </c>
      <c r="H1807" s="81" t="s">
        <v>4339</v>
      </c>
      <c r="I1807" s="81" t="s">
        <v>1401</v>
      </c>
      <c r="J1807" s="81" t="s">
        <v>4088</v>
      </c>
      <c r="K1807" s="81" t="str">
        <f>IFERROR(__xludf.DUMMYFUNCTION("IF(OR(D1807="""",G1807=""""),"""",IFERROR(LET(
campo,XLOOKUP(TRIM(G1807),ARRAYFORMULA(TRIM('indice columnas'!$A$2:$A$100)),'indice columnas'!$B$2:$B$100,""""),
col,IFERROR(MATCH(campo,Referencia!$A$1:$AZ$1,0),0),
fila,IFERROR(MATCH(TO_TEXT(D1807),ARRAYFOR"&amp;"MULA(TO_TEXT(Referencia!$A$2:$A6238)),0),0),
IF(OR(campo="""",campo=""-""),""NO APLICA"",
IF(col=0,""REVISAR EQUIVALENCIA"",
IF(fila=0,""SKU NO ENCONTRADO"",
LET(
valor,INDEX(Referencia!$A$2:$AZ6238,fila,col),
IF(TRIM(TO_TEXT(valor))=TRIM(TO_TEXT(I1807)),"&amp;"
""OK"",
""NO COINCIDE. Valor verdadero: ""&amp;IF(valor="""",""[VACÍO]"",TO_TEXT(valor))
)
))))
),""ERROR EN FÓRMULA""))"),"NO APLICA")</f>
        <v>NO APLICA</v>
      </c>
    </row>
    <row r="1808">
      <c r="A1808" s="83" t="s">
        <v>4618</v>
      </c>
      <c r="B1808" s="83" t="s">
        <v>4619</v>
      </c>
      <c r="C1808" s="81" t="s">
        <v>4621</v>
      </c>
      <c r="D1808" s="83" t="s">
        <v>4585</v>
      </c>
      <c r="E1808" s="81" t="s">
        <v>2752</v>
      </c>
      <c r="F1808" s="84">
        <v>534.0</v>
      </c>
      <c r="G1808" s="81" t="s">
        <v>44</v>
      </c>
      <c r="H1808" s="81" t="s">
        <v>4339</v>
      </c>
      <c r="I1808" s="81" t="s">
        <v>1401</v>
      </c>
      <c r="J1808" s="81" t="s">
        <v>4088</v>
      </c>
      <c r="K1808" s="81" t="str">
        <f>IFERROR(__xludf.DUMMYFUNCTION("IF(OR(D1808="""",G1808=""""),"""",IFERROR(LET(
campo,XLOOKUP(TRIM(G1808),ARRAYFORMULA(TRIM('indice columnas'!$A$2:$A$100)),'indice columnas'!$B$2:$B$100,""""),
col,IFERROR(MATCH(campo,Referencia!$A$1:$AZ$1,0),0),
fila,IFERROR(MATCH(TO_TEXT(D1808),ARRAYFOR"&amp;"MULA(TO_TEXT(Referencia!$A$2:$A6238)),0),0),
IF(OR(campo="""",campo=""-""),""NO APLICA"",
IF(col=0,""REVISAR EQUIVALENCIA"",
IF(fila=0,""SKU NO ENCONTRADO"",
LET(
valor,INDEX(Referencia!$A$2:$AZ6238,fila,col),
IF(TRIM(TO_TEXT(valor))=TRIM(TO_TEXT(I1808)),"&amp;"
""OK"",
""NO COINCIDE. Valor verdadero: ""&amp;IF(valor="""",""[VACÍO]"",TO_TEXT(valor))
)
))))
),""ERROR EN FÓRMULA""))"),"NO APLICA")</f>
        <v>NO APLICA</v>
      </c>
    </row>
    <row r="1809">
      <c r="A1809" s="83" t="s">
        <v>4618</v>
      </c>
      <c r="B1809" s="83" t="s">
        <v>4619</v>
      </c>
      <c r="C1809" s="81" t="s">
        <v>4621</v>
      </c>
      <c r="D1809" s="83" t="s">
        <v>4585</v>
      </c>
      <c r="E1809" s="81" t="s">
        <v>2761</v>
      </c>
      <c r="F1809" s="84">
        <v>535.0</v>
      </c>
      <c r="G1809" s="81" t="s">
        <v>17</v>
      </c>
      <c r="H1809" s="83" t="s">
        <v>4571</v>
      </c>
      <c r="I1809" s="83" t="s">
        <v>2762</v>
      </c>
      <c r="J1809" s="81" t="s">
        <v>224</v>
      </c>
      <c r="K1809" s="81" t="str">
        <f>IFERROR(__xludf.DUMMYFUNCTION("IF(OR(D1809="""",G1809=""""),"""",IFERROR(LET(
campo,XLOOKUP(TRIM(G1809),ARRAYFORMULA(TRIM('indice columnas'!$A$2:$A$100)),'indice columnas'!$B$2:$B$100,""""),
col,IFERROR(MATCH(campo,Referencia!$A$1:$AZ$1,0),0),
fila,IFERROR(MATCH(TO_TEXT(D1809),ARRAYFOR"&amp;"MULA(TO_TEXT(Referencia!$A$2:$A6238)),0),0),
IF(OR(campo="""",campo=""-""),""NO APLICA"",
IF(col=0,""REVISAR EQUIVALENCIA"",
IF(fila=0,""SKU NO ENCONTRADO"",
LET(
valor,INDEX(Referencia!$A$2:$AZ6238,fila,col),
IF(TRIM(TO_TEXT(valor))=TRIM(TO_TEXT(I1809)),"&amp;"
""OK"",
""NO COINCIDE. Valor verdadero: ""&amp;IF(valor="""",""[VACÍO]"",TO_TEXT(valor))
)
))))
),""ERROR EN FÓRMULA""))"),"OK")</f>
        <v>OK</v>
      </c>
    </row>
    <row r="1810">
      <c r="A1810" s="83" t="s">
        <v>4618</v>
      </c>
      <c r="B1810" s="83" t="s">
        <v>4619</v>
      </c>
      <c r="C1810" s="81" t="s">
        <v>4621</v>
      </c>
      <c r="D1810" s="83" t="s">
        <v>4585</v>
      </c>
      <c r="E1810" s="81" t="s">
        <v>2761</v>
      </c>
      <c r="F1810" s="84">
        <v>535.0</v>
      </c>
      <c r="G1810" s="81" t="s">
        <v>44</v>
      </c>
      <c r="H1810" s="81" t="s">
        <v>4339</v>
      </c>
      <c r="I1810" s="81" t="s">
        <v>1401</v>
      </c>
      <c r="J1810" s="81" t="s">
        <v>4088</v>
      </c>
      <c r="K1810" s="81" t="str">
        <f>IFERROR(__xludf.DUMMYFUNCTION("IF(OR(D1810="""",G1810=""""),"""",IFERROR(LET(
campo,XLOOKUP(TRIM(G1810),ARRAYFORMULA(TRIM('indice columnas'!$A$2:$A$100)),'indice columnas'!$B$2:$B$100,""""),
col,IFERROR(MATCH(campo,Referencia!$A$1:$AZ$1,0),0),
fila,IFERROR(MATCH(TO_TEXT(D1810),ARRAYFOR"&amp;"MULA(TO_TEXT(Referencia!$A$2:$A6238)),0),0),
IF(OR(campo="""",campo=""-""),""NO APLICA"",
IF(col=0,""REVISAR EQUIVALENCIA"",
IF(fila=0,""SKU NO ENCONTRADO"",
LET(
valor,INDEX(Referencia!$A$2:$AZ6238,fila,col),
IF(TRIM(TO_TEXT(valor))=TRIM(TO_TEXT(I1810)),"&amp;"
""OK"",
""NO COINCIDE. Valor verdadero: ""&amp;IF(valor="""",""[VACÍO]"",TO_TEXT(valor))
)
))))
),""ERROR EN FÓRMULA""))"),"NO APLICA")</f>
        <v>NO APLICA</v>
      </c>
    </row>
    <row r="1811">
      <c r="A1811" s="83" t="s">
        <v>4618</v>
      </c>
      <c r="B1811" s="83" t="s">
        <v>4619</v>
      </c>
      <c r="C1811" s="81" t="s">
        <v>4621</v>
      </c>
      <c r="D1811" s="83" t="s">
        <v>4586</v>
      </c>
      <c r="E1811" s="81" t="s">
        <v>2763</v>
      </c>
      <c r="F1811" s="84">
        <v>536.0</v>
      </c>
      <c r="G1811" s="81" t="s">
        <v>17</v>
      </c>
      <c r="H1811" s="83" t="s">
        <v>4571</v>
      </c>
      <c r="I1811" s="83" t="s">
        <v>2762</v>
      </c>
      <c r="J1811" s="81" t="s">
        <v>224</v>
      </c>
      <c r="K1811" s="81" t="str">
        <f>IFERROR(__xludf.DUMMYFUNCTION("IF(OR(D1811="""",G1811=""""),"""",IFERROR(LET(
campo,XLOOKUP(TRIM(G1811),ARRAYFORMULA(TRIM('indice columnas'!$A$2:$A$100)),'indice columnas'!$B$2:$B$100,""""),
col,IFERROR(MATCH(campo,Referencia!$A$1:$AZ$1,0),0),
fila,IFERROR(MATCH(TO_TEXT(D1811),ARRAYFOR"&amp;"MULA(TO_TEXT(Referencia!$A$2:$A6238)),0),0),
IF(OR(campo="""",campo=""-""),""NO APLICA"",
IF(col=0,""REVISAR EQUIVALENCIA"",
IF(fila=0,""SKU NO ENCONTRADO"",
LET(
valor,INDEX(Referencia!$A$2:$AZ6238,fila,col),
IF(TRIM(TO_TEXT(valor))=TRIM(TO_TEXT(I1811)),"&amp;"
""OK"",
""NO COINCIDE. Valor verdadero: ""&amp;IF(valor="""",""[VACÍO]"",TO_TEXT(valor))
)
))))
),""ERROR EN FÓRMULA""))"),"OK")</f>
        <v>OK</v>
      </c>
    </row>
    <row r="1812">
      <c r="A1812" s="83" t="s">
        <v>4618</v>
      </c>
      <c r="B1812" s="83" t="s">
        <v>4619</v>
      </c>
      <c r="C1812" s="81" t="s">
        <v>4621</v>
      </c>
      <c r="D1812" s="83" t="s">
        <v>4586</v>
      </c>
      <c r="E1812" s="81" t="s">
        <v>2763</v>
      </c>
      <c r="F1812" s="84">
        <v>536.0</v>
      </c>
      <c r="G1812" s="81" t="s">
        <v>44</v>
      </c>
      <c r="H1812" s="81" t="s">
        <v>4339</v>
      </c>
      <c r="I1812" s="81" t="s">
        <v>1401</v>
      </c>
      <c r="J1812" s="81" t="s">
        <v>4088</v>
      </c>
      <c r="K1812" s="81" t="str">
        <f>IFERROR(__xludf.DUMMYFUNCTION("IF(OR(D1812="""",G1812=""""),"""",IFERROR(LET(
campo,XLOOKUP(TRIM(G1812),ARRAYFORMULA(TRIM('indice columnas'!$A$2:$A$100)),'indice columnas'!$B$2:$B$100,""""),
col,IFERROR(MATCH(campo,Referencia!$A$1:$AZ$1,0),0),
fila,IFERROR(MATCH(TO_TEXT(D1812),ARRAYFOR"&amp;"MULA(TO_TEXT(Referencia!$A$2:$A6238)),0),0),
IF(OR(campo="""",campo=""-""),""NO APLICA"",
IF(col=0,""REVISAR EQUIVALENCIA"",
IF(fila=0,""SKU NO ENCONTRADO"",
LET(
valor,INDEX(Referencia!$A$2:$AZ6238,fila,col),
IF(TRIM(TO_TEXT(valor))=TRIM(TO_TEXT(I1812)),"&amp;"
""OK"",
""NO COINCIDE. Valor verdadero: ""&amp;IF(valor="""",""[VACÍO]"",TO_TEXT(valor))
)
))))
),""ERROR EN FÓRMULA""))"),"NO APLICA")</f>
        <v>NO APLICA</v>
      </c>
    </row>
    <row r="1813">
      <c r="A1813" s="83" t="s">
        <v>4618</v>
      </c>
      <c r="B1813" s="83" t="s">
        <v>4619</v>
      </c>
      <c r="C1813" s="81" t="s">
        <v>4621</v>
      </c>
      <c r="D1813" s="83" t="s">
        <v>4587</v>
      </c>
      <c r="E1813" s="81" t="s">
        <v>2766</v>
      </c>
      <c r="F1813" s="84">
        <v>537.0</v>
      </c>
      <c r="G1813" s="81" t="s">
        <v>44</v>
      </c>
      <c r="H1813" s="81" t="s">
        <v>224</v>
      </c>
      <c r="I1813" s="81" t="s">
        <v>2766</v>
      </c>
      <c r="J1813" s="81" t="s">
        <v>4088</v>
      </c>
      <c r="K1813" s="81" t="str">
        <f>IFERROR(__xludf.DUMMYFUNCTION("IF(OR(D1813="""",G1813=""""),"""",IFERROR(LET(
campo,XLOOKUP(TRIM(G1813),ARRAYFORMULA(TRIM('indice columnas'!$A$2:$A$100)),'indice columnas'!$B$2:$B$100,""""),
col,IFERROR(MATCH(campo,Referencia!$A$1:$AZ$1,0),0),
fila,IFERROR(MATCH(TO_TEXT(D1813),ARRAYFOR"&amp;"MULA(TO_TEXT(Referencia!$A$2:$A6238)),0),0),
IF(OR(campo="""",campo=""-""),""NO APLICA"",
IF(col=0,""REVISAR EQUIVALENCIA"",
IF(fila=0,""SKU NO ENCONTRADO"",
LET(
valor,INDEX(Referencia!$A$2:$AZ6238,fila,col),
IF(TRIM(TO_TEXT(valor))=TRIM(TO_TEXT(I1813)),"&amp;"
""OK"",
""NO COINCIDE. Valor verdadero: ""&amp;IF(valor="""",""[VACÍO]"",TO_TEXT(valor))
)
))))
),""ERROR EN FÓRMULA""))"),"NO APLICA")</f>
        <v>NO APLICA</v>
      </c>
    </row>
    <row r="1814">
      <c r="A1814" s="83" t="s">
        <v>4618</v>
      </c>
      <c r="B1814" s="83" t="s">
        <v>4619</v>
      </c>
      <c r="C1814" s="81" t="s">
        <v>4621</v>
      </c>
      <c r="D1814" s="83" t="s">
        <v>4587</v>
      </c>
      <c r="E1814" s="81" t="s">
        <v>2778</v>
      </c>
      <c r="F1814" s="84">
        <v>538.0</v>
      </c>
      <c r="G1814" s="81" t="s">
        <v>44</v>
      </c>
      <c r="H1814" s="81" t="s">
        <v>224</v>
      </c>
      <c r="I1814" s="81" t="s">
        <v>2766</v>
      </c>
      <c r="J1814" s="81" t="s">
        <v>4088</v>
      </c>
      <c r="K1814" s="81" t="str">
        <f>IFERROR(__xludf.DUMMYFUNCTION("IF(OR(D1814="""",G1814=""""),"""",IFERROR(LET(
campo,XLOOKUP(TRIM(G1814),ARRAYFORMULA(TRIM('indice columnas'!$A$2:$A$100)),'indice columnas'!$B$2:$B$100,""""),
col,IFERROR(MATCH(campo,Referencia!$A$1:$AZ$1,0),0),
fila,IFERROR(MATCH(TO_TEXT(D1814),ARRAYFOR"&amp;"MULA(TO_TEXT(Referencia!$A$2:$A6238)),0),0),
IF(OR(campo="""",campo=""-""),""NO APLICA"",
IF(col=0,""REVISAR EQUIVALENCIA"",
IF(fila=0,""SKU NO ENCONTRADO"",
LET(
valor,INDEX(Referencia!$A$2:$AZ6238,fila,col),
IF(TRIM(TO_TEXT(valor))=TRIM(TO_TEXT(I1814)),"&amp;"
""OK"",
""NO COINCIDE. Valor verdadero: ""&amp;IF(valor="""",""[VACÍO]"",TO_TEXT(valor))
)
))))
),""ERROR EN FÓRMULA""))"),"NO APLICA")</f>
        <v>NO APLICA</v>
      </c>
    </row>
    <row r="1815">
      <c r="A1815" s="83" t="s">
        <v>4618</v>
      </c>
      <c r="B1815" s="83" t="s">
        <v>4619</v>
      </c>
      <c r="C1815" s="81" t="s">
        <v>4621</v>
      </c>
      <c r="D1815" s="83" t="s">
        <v>4588</v>
      </c>
      <c r="E1815" s="81" t="s">
        <v>2779</v>
      </c>
      <c r="F1815" s="84">
        <v>539.0</v>
      </c>
      <c r="G1815" s="81" t="s">
        <v>44</v>
      </c>
      <c r="H1815" s="81" t="s">
        <v>224</v>
      </c>
      <c r="I1815" s="81" t="s">
        <v>2766</v>
      </c>
      <c r="J1815" s="81" t="s">
        <v>4088</v>
      </c>
      <c r="K1815" s="81" t="str">
        <f>IFERROR(__xludf.DUMMYFUNCTION("IF(OR(D1815="""",G1815=""""),"""",IFERROR(LET(
campo,XLOOKUP(TRIM(G1815),ARRAYFORMULA(TRIM('indice columnas'!$A$2:$A$100)),'indice columnas'!$B$2:$B$100,""""),
col,IFERROR(MATCH(campo,Referencia!$A$1:$AZ$1,0),0),
fila,IFERROR(MATCH(TO_TEXT(D1815),ARRAYFOR"&amp;"MULA(TO_TEXT(Referencia!$A$2:$A6238)),0),0),
IF(OR(campo="""",campo=""-""),""NO APLICA"",
IF(col=0,""REVISAR EQUIVALENCIA"",
IF(fila=0,""SKU NO ENCONTRADO"",
LET(
valor,INDEX(Referencia!$A$2:$AZ6238,fila,col),
IF(TRIM(TO_TEXT(valor))=TRIM(TO_TEXT(I1815)),"&amp;"
""OK"",
""NO COINCIDE. Valor verdadero: ""&amp;IF(valor="""",""[VACÍO]"",TO_TEXT(valor))
)
))))
),""ERROR EN FÓRMULA""))"),"NO APLICA")</f>
        <v>NO APLICA</v>
      </c>
    </row>
    <row r="1816">
      <c r="A1816" s="83" t="s">
        <v>4618</v>
      </c>
      <c r="B1816" s="83" t="s">
        <v>4619</v>
      </c>
      <c r="C1816" s="81" t="s">
        <v>4621</v>
      </c>
      <c r="D1816" s="83" t="s">
        <v>4589</v>
      </c>
      <c r="E1816" s="81" t="s">
        <v>2782</v>
      </c>
      <c r="F1816" s="84">
        <v>540.0</v>
      </c>
      <c r="G1816" s="81" t="s">
        <v>44</v>
      </c>
      <c r="H1816" s="81" t="s">
        <v>224</v>
      </c>
      <c r="I1816" s="81" t="s">
        <v>2766</v>
      </c>
      <c r="J1816" s="81" t="s">
        <v>4088</v>
      </c>
      <c r="K1816" s="81" t="str">
        <f>IFERROR(__xludf.DUMMYFUNCTION("IF(OR(D1816="""",G1816=""""),"""",IFERROR(LET(
campo,XLOOKUP(TRIM(G1816),ARRAYFORMULA(TRIM('indice columnas'!$A$2:$A$100)),'indice columnas'!$B$2:$B$100,""""),
col,IFERROR(MATCH(campo,Referencia!$A$1:$AZ$1,0),0),
fila,IFERROR(MATCH(TO_TEXT(D1816),ARRAYFOR"&amp;"MULA(TO_TEXT(Referencia!$A$2:$A6238)),0),0),
IF(OR(campo="""",campo=""-""),""NO APLICA"",
IF(col=0,""REVISAR EQUIVALENCIA"",
IF(fila=0,""SKU NO ENCONTRADO"",
LET(
valor,INDEX(Referencia!$A$2:$AZ6238,fila,col),
IF(TRIM(TO_TEXT(valor))=TRIM(TO_TEXT(I1816)),"&amp;"
""OK"",
""NO COINCIDE. Valor verdadero: ""&amp;IF(valor="""",""[VACÍO]"",TO_TEXT(valor))
)
))))
),""ERROR EN FÓRMULA""))"),"NO APLICA")</f>
        <v>NO APLICA</v>
      </c>
    </row>
    <row r="1817">
      <c r="A1817" s="83" t="s">
        <v>4618</v>
      </c>
      <c r="B1817" s="83" t="s">
        <v>4619</v>
      </c>
      <c r="C1817" s="81" t="s">
        <v>4621</v>
      </c>
      <c r="D1817" s="83" t="s">
        <v>4590</v>
      </c>
      <c r="E1817" s="81" t="s">
        <v>2792</v>
      </c>
      <c r="F1817" s="84">
        <v>541.0</v>
      </c>
      <c r="G1817" s="81" t="s">
        <v>44</v>
      </c>
      <c r="H1817" s="81" t="s">
        <v>224</v>
      </c>
      <c r="I1817" s="81" t="s">
        <v>2766</v>
      </c>
      <c r="J1817" s="81" t="s">
        <v>4088</v>
      </c>
      <c r="K1817" s="81" t="str">
        <f>IFERROR(__xludf.DUMMYFUNCTION("IF(OR(D1817="""",G1817=""""),"""",IFERROR(LET(
campo,XLOOKUP(TRIM(G1817),ARRAYFORMULA(TRIM('indice columnas'!$A$2:$A$100)),'indice columnas'!$B$2:$B$100,""""),
col,IFERROR(MATCH(campo,Referencia!$A$1:$AZ$1,0),0),
fila,IFERROR(MATCH(TO_TEXT(D1817),ARRAYFOR"&amp;"MULA(TO_TEXT(Referencia!$A$2:$A6238)),0),0),
IF(OR(campo="""",campo=""-""),""NO APLICA"",
IF(col=0,""REVISAR EQUIVALENCIA"",
IF(fila=0,""SKU NO ENCONTRADO"",
LET(
valor,INDEX(Referencia!$A$2:$AZ6238,fila,col),
IF(TRIM(TO_TEXT(valor))=TRIM(TO_TEXT(I1817)),"&amp;"
""OK"",
""NO COINCIDE. Valor verdadero: ""&amp;IF(valor="""",""[VACÍO]"",TO_TEXT(valor))
)
))))
),""ERROR EN FÓRMULA""))"),"NO APLICA")</f>
        <v>NO APLICA</v>
      </c>
    </row>
    <row r="1818">
      <c r="A1818" s="83" t="s">
        <v>4618</v>
      </c>
      <c r="B1818" s="83" t="s">
        <v>4619</v>
      </c>
      <c r="C1818" s="81" t="s">
        <v>4621</v>
      </c>
      <c r="D1818" s="83" t="s">
        <v>4591</v>
      </c>
      <c r="E1818" s="81" t="s">
        <v>2795</v>
      </c>
      <c r="F1818" s="84">
        <v>542.0</v>
      </c>
      <c r="G1818" s="81" t="s">
        <v>29</v>
      </c>
      <c r="H1818" s="81" t="s">
        <v>4592</v>
      </c>
      <c r="I1818" s="81" t="s">
        <v>2798</v>
      </c>
      <c r="J1818" s="81" t="s">
        <v>224</v>
      </c>
      <c r="K1818" s="81" t="str">
        <f>IFERROR(__xludf.DUMMYFUNCTION("IF(OR(D1818="""",G1818=""""),"""",IFERROR(LET(
campo,XLOOKUP(TRIM(G1818),ARRAYFORMULA(TRIM('indice columnas'!$A$2:$A$100)),'indice columnas'!$B$2:$B$100,""""),
col,IFERROR(MATCH(campo,Referencia!$A$1:$AZ$1,0),0),
fila,IFERROR(MATCH(TO_TEXT(D1818),ARRAYFOR"&amp;"MULA(TO_TEXT(Referencia!$A$2:$A6238)),0),0),
IF(OR(campo="""",campo=""-""),""NO APLICA"",
IF(col=0,""REVISAR EQUIVALENCIA"",
IF(fila=0,""SKU NO ENCONTRADO"",
LET(
valor,INDEX(Referencia!$A$2:$AZ6238,fila,col),
IF(TRIM(TO_TEXT(valor))=TRIM(TO_TEXT(I1818)),"&amp;"
""OK"",
""NO COINCIDE. Valor verdadero: ""&amp;IF(valor="""",""[VACÍO]"",TO_TEXT(valor))
)
))))
),""ERROR EN FÓRMULA""))"),"NO COINCIDE. Valor verdadero: Ø210 X 50")</f>
        <v>NO COINCIDE. Valor verdadero: Ø210 X 50</v>
      </c>
    </row>
    <row r="1819">
      <c r="A1819" s="83" t="s">
        <v>4618</v>
      </c>
      <c r="B1819" s="83" t="s">
        <v>4619</v>
      </c>
      <c r="C1819" s="81" t="s">
        <v>4621</v>
      </c>
      <c r="D1819" s="83" t="s">
        <v>4591</v>
      </c>
      <c r="E1819" s="81" t="s">
        <v>2795</v>
      </c>
      <c r="F1819" s="84">
        <v>542.0</v>
      </c>
      <c r="G1819" s="81" t="s">
        <v>44</v>
      </c>
      <c r="H1819" s="81" t="s">
        <v>4293</v>
      </c>
      <c r="I1819" s="81" t="s">
        <v>1191</v>
      </c>
      <c r="J1819" s="81" t="s">
        <v>4088</v>
      </c>
      <c r="K1819" s="81" t="str">
        <f>IFERROR(__xludf.DUMMYFUNCTION("IF(OR(D1819="""",G1819=""""),"""",IFERROR(LET(
campo,XLOOKUP(TRIM(G1819),ARRAYFORMULA(TRIM('indice columnas'!$A$2:$A$100)),'indice columnas'!$B$2:$B$100,""""),
col,IFERROR(MATCH(campo,Referencia!$A$1:$AZ$1,0),0),
fila,IFERROR(MATCH(TO_TEXT(D1819),ARRAYFOR"&amp;"MULA(TO_TEXT(Referencia!$A$2:$A6238)),0),0),
IF(OR(campo="""",campo=""-""),""NO APLICA"",
IF(col=0,""REVISAR EQUIVALENCIA"",
IF(fila=0,""SKU NO ENCONTRADO"",
LET(
valor,INDEX(Referencia!$A$2:$AZ6238,fila,col),
IF(TRIM(TO_TEXT(valor))=TRIM(TO_TEXT(I1819)),"&amp;"
""OK"",
""NO COINCIDE. Valor verdadero: ""&amp;IF(valor="""",""[VACÍO]"",TO_TEXT(valor))
)
))))
),""ERROR EN FÓRMULA""))"),"NO APLICA")</f>
        <v>NO APLICA</v>
      </c>
    </row>
    <row r="1820">
      <c r="A1820" s="83" t="s">
        <v>4618</v>
      </c>
      <c r="B1820" s="83" t="s">
        <v>4619</v>
      </c>
      <c r="C1820" s="81" t="s">
        <v>4621</v>
      </c>
      <c r="D1820" s="83" t="s">
        <v>4593</v>
      </c>
      <c r="E1820" s="81" t="s">
        <v>2805</v>
      </c>
      <c r="F1820" s="84">
        <v>543.0</v>
      </c>
      <c r="G1820" s="81" t="s">
        <v>29</v>
      </c>
      <c r="H1820" s="81" t="s">
        <v>4594</v>
      </c>
      <c r="I1820" s="81" t="s">
        <v>2808</v>
      </c>
      <c r="J1820" s="81" t="s">
        <v>224</v>
      </c>
      <c r="K1820" s="81" t="str">
        <f>IFERROR(__xludf.DUMMYFUNCTION("IF(OR(D1820="""",G1820=""""),"""",IFERROR(LET(
campo,XLOOKUP(TRIM(G1820),ARRAYFORMULA(TRIM('indice columnas'!$A$2:$A$100)),'indice columnas'!$B$2:$B$100,""""),
col,IFERROR(MATCH(campo,Referencia!$A$1:$AZ$1,0),0),
fila,IFERROR(MATCH(TO_TEXT(D1820),ARRAYFOR"&amp;"MULA(TO_TEXT(Referencia!$A$2:$A6238)),0),0),
IF(OR(campo="""",campo=""-""),""NO APLICA"",
IF(col=0,""REVISAR EQUIVALENCIA"",
IF(fila=0,""SKU NO ENCONTRADO"",
LET(
valor,INDEX(Referencia!$A$2:$AZ6238,fila,col),
IF(TRIM(TO_TEXT(valor))=TRIM(TO_TEXT(I1820)),"&amp;"
""OK"",
""NO COINCIDE. Valor verdadero: ""&amp;IF(valor="""",""[VACÍO]"",TO_TEXT(valor))
)
))))
),""ERROR EN FÓRMULA""))"),"NO COINCIDE. Valor verdadero: Ø330 X 55")</f>
        <v>NO COINCIDE. Valor verdadero: Ø330 X 55</v>
      </c>
    </row>
    <row r="1821">
      <c r="A1821" s="83" t="s">
        <v>4618</v>
      </c>
      <c r="B1821" s="83" t="s">
        <v>4619</v>
      </c>
      <c r="C1821" s="81" t="s">
        <v>4621</v>
      </c>
      <c r="D1821" s="83" t="s">
        <v>4593</v>
      </c>
      <c r="E1821" s="81" t="s">
        <v>2805</v>
      </c>
      <c r="F1821" s="84">
        <v>543.0</v>
      </c>
      <c r="G1821" s="81" t="s">
        <v>44</v>
      </c>
      <c r="H1821" s="81" t="s">
        <v>4293</v>
      </c>
      <c r="I1821" s="81" t="s">
        <v>1191</v>
      </c>
      <c r="J1821" s="81" t="s">
        <v>4088</v>
      </c>
      <c r="K1821" s="81" t="str">
        <f>IFERROR(__xludf.DUMMYFUNCTION("IF(OR(D1821="""",G1821=""""),"""",IFERROR(LET(
campo,XLOOKUP(TRIM(G1821),ARRAYFORMULA(TRIM('indice columnas'!$A$2:$A$100)),'indice columnas'!$B$2:$B$100,""""),
col,IFERROR(MATCH(campo,Referencia!$A$1:$AZ$1,0),0),
fila,IFERROR(MATCH(TO_TEXT(D1821),ARRAYFOR"&amp;"MULA(TO_TEXT(Referencia!$A$2:$A6238)),0),0),
IF(OR(campo="""",campo=""-""),""NO APLICA"",
IF(col=0,""REVISAR EQUIVALENCIA"",
IF(fila=0,""SKU NO ENCONTRADO"",
LET(
valor,INDEX(Referencia!$A$2:$AZ6238,fila,col),
IF(TRIM(TO_TEXT(valor))=TRIM(TO_TEXT(I1821)),"&amp;"
""OK"",
""NO COINCIDE. Valor verdadero: ""&amp;IF(valor="""",""[VACÍO]"",TO_TEXT(valor))
)
))))
),""ERROR EN FÓRMULA""))"),"NO APLICA")</f>
        <v>NO APLICA</v>
      </c>
    </row>
    <row r="1822">
      <c r="A1822" s="83" t="s">
        <v>4618</v>
      </c>
      <c r="B1822" s="83" t="s">
        <v>4619</v>
      </c>
      <c r="C1822" s="81" t="s">
        <v>4621</v>
      </c>
      <c r="D1822" s="83" t="s">
        <v>4595</v>
      </c>
      <c r="E1822" s="81" t="s">
        <v>2814</v>
      </c>
      <c r="F1822" s="84">
        <v>544.0</v>
      </c>
      <c r="G1822" s="81" t="s">
        <v>44</v>
      </c>
      <c r="H1822" s="81" t="s">
        <v>224</v>
      </c>
      <c r="I1822" s="81" t="s">
        <v>2814</v>
      </c>
      <c r="J1822" s="81" t="s">
        <v>4088</v>
      </c>
      <c r="K1822" s="81" t="str">
        <f>IFERROR(__xludf.DUMMYFUNCTION("IF(OR(D1822="""",G1822=""""),"""",IFERROR(LET(
campo,XLOOKUP(TRIM(G1822),ARRAYFORMULA(TRIM('indice columnas'!$A$2:$A$100)),'indice columnas'!$B$2:$B$100,""""),
col,IFERROR(MATCH(campo,Referencia!$A$1:$AZ$1,0),0),
fila,IFERROR(MATCH(TO_TEXT(D1822),ARRAYFOR"&amp;"MULA(TO_TEXT(Referencia!$A$2:$A6238)),0),0),
IF(OR(campo="""",campo=""-""),""NO APLICA"",
IF(col=0,""REVISAR EQUIVALENCIA"",
IF(fila=0,""SKU NO ENCONTRADO"",
LET(
valor,INDEX(Referencia!$A$2:$AZ6238,fila,col),
IF(TRIM(TO_TEXT(valor))=TRIM(TO_TEXT(I1822)),"&amp;"
""OK"",
""NO COINCIDE. Valor verdadero: ""&amp;IF(valor="""",""[VACÍO]"",TO_TEXT(valor))
)
))))
),""ERROR EN FÓRMULA""))"),"NO APLICA")</f>
        <v>NO APLICA</v>
      </c>
    </row>
    <row r="1823">
      <c r="A1823" s="83" t="s">
        <v>4618</v>
      </c>
      <c r="B1823" s="83" t="s">
        <v>4619</v>
      </c>
      <c r="C1823" s="81" t="s">
        <v>4621</v>
      </c>
      <c r="D1823" s="83" t="s">
        <v>4595</v>
      </c>
      <c r="E1823" s="81" t="s">
        <v>2827</v>
      </c>
      <c r="F1823" s="84">
        <v>545.0</v>
      </c>
      <c r="G1823" s="81" t="s">
        <v>44</v>
      </c>
      <c r="H1823" s="81" t="s">
        <v>224</v>
      </c>
      <c r="I1823" s="81" t="s">
        <v>2814</v>
      </c>
      <c r="J1823" s="81" t="s">
        <v>4088</v>
      </c>
      <c r="K1823" s="81" t="str">
        <f>IFERROR(__xludf.DUMMYFUNCTION("IF(OR(D1823="""",G1823=""""),"""",IFERROR(LET(
campo,XLOOKUP(TRIM(G1823),ARRAYFORMULA(TRIM('indice columnas'!$A$2:$A$100)),'indice columnas'!$B$2:$B$100,""""),
col,IFERROR(MATCH(campo,Referencia!$A$1:$AZ$1,0),0),
fila,IFERROR(MATCH(TO_TEXT(D1823),ARRAYFOR"&amp;"MULA(TO_TEXT(Referencia!$A$2:$A6238)),0),0),
IF(OR(campo="""",campo=""-""),""NO APLICA"",
IF(col=0,""REVISAR EQUIVALENCIA"",
IF(fila=0,""SKU NO ENCONTRADO"",
LET(
valor,INDEX(Referencia!$A$2:$AZ6238,fila,col),
IF(TRIM(TO_TEXT(valor))=TRIM(TO_TEXT(I1823)),"&amp;"
""OK"",
""NO COINCIDE. Valor verdadero: ""&amp;IF(valor="""",""[VACÍO]"",TO_TEXT(valor))
)
))))
),""ERROR EN FÓRMULA""))"),"NO APLICA")</f>
        <v>NO APLICA</v>
      </c>
    </row>
    <row r="1824">
      <c r="A1824" s="83" t="s">
        <v>4618</v>
      </c>
      <c r="B1824" s="83" t="s">
        <v>4619</v>
      </c>
      <c r="C1824" s="81" t="s">
        <v>4621</v>
      </c>
      <c r="D1824" s="83" t="s">
        <v>4596</v>
      </c>
      <c r="E1824" s="81" t="s">
        <v>2828</v>
      </c>
      <c r="F1824" s="84">
        <v>546.0</v>
      </c>
      <c r="G1824" s="81" t="s">
        <v>44</v>
      </c>
      <c r="H1824" s="81" t="s">
        <v>224</v>
      </c>
      <c r="I1824" s="81" t="s">
        <v>2814</v>
      </c>
      <c r="J1824" s="81" t="s">
        <v>4088</v>
      </c>
      <c r="K1824" s="81" t="str">
        <f>IFERROR(__xludf.DUMMYFUNCTION("IF(OR(D1824="""",G1824=""""),"""",IFERROR(LET(
campo,XLOOKUP(TRIM(G1824),ARRAYFORMULA(TRIM('indice columnas'!$A$2:$A$100)),'indice columnas'!$B$2:$B$100,""""),
col,IFERROR(MATCH(campo,Referencia!$A$1:$AZ$1,0),0),
fila,IFERROR(MATCH(TO_TEXT(D1824),ARRAYFOR"&amp;"MULA(TO_TEXT(Referencia!$A$2:$A6238)),0),0),
IF(OR(campo="""",campo=""-""),""NO APLICA"",
IF(col=0,""REVISAR EQUIVALENCIA"",
IF(fila=0,""SKU NO ENCONTRADO"",
LET(
valor,INDEX(Referencia!$A$2:$AZ6238,fila,col),
IF(TRIM(TO_TEXT(valor))=TRIM(TO_TEXT(I1824)),"&amp;"
""OK"",
""NO COINCIDE. Valor verdadero: ""&amp;IF(valor="""",""[VACÍO]"",TO_TEXT(valor))
)
))))
),""ERROR EN FÓRMULA""))"),"NO APLICA")</f>
        <v>NO APLICA</v>
      </c>
    </row>
    <row r="1825">
      <c r="A1825" s="83" t="s">
        <v>4618</v>
      </c>
      <c r="B1825" s="83" t="s">
        <v>4619</v>
      </c>
      <c r="C1825" s="81" t="s">
        <v>4621</v>
      </c>
      <c r="D1825" s="83" t="s">
        <v>4597</v>
      </c>
      <c r="E1825" s="81" t="s">
        <v>2837</v>
      </c>
      <c r="F1825" s="84">
        <v>547.0</v>
      </c>
      <c r="G1825" s="81" t="s">
        <v>44</v>
      </c>
      <c r="H1825" s="81" t="s">
        <v>224</v>
      </c>
      <c r="I1825" s="81" t="s">
        <v>2837</v>
      </c>
      <c r="J1825" s="81" t="s">
        <v>4088</v>
      </c>
      <c r="K1825" s="81" t="str">
        <f>IFERROR(__xludf.DUMMYFUNCTION("IF(OR(D1825="""",G1825=""""),"""",IFERROR(LET(
campo,XLOOKUP(TRIM(G1825),ARRAYFORMULA(TRIM('indice columnas'!$A$2:$A$100)),'indice columnas'!$B$2:$B$100,""""),
col,IFERROR(MATCH(campo,Referencia!$A$1:$AZ$1,0),0),
fila,IFERROR(MATCH(TO_TEXT(D1825),ARRAYFOR"&amp;"MULA(TO_TEXT(Referencia!$A$2:$A6238)),0),0),
IF(OR(campo="""",campo=""-""),""NO APLICA"",
IF(col=0,""REVISAR EQUIVALENCIA"",
IF(fila=0,""SKU NO ENCONTRADO"",
LET(
valor,INDEX(Referencia!$A$2:$AZ6238,fila,col),
IF(TRIM(TO_TEXT(valor))=TRIM(TO_TEXT(I1825)),"&amp;"
""OK"",
""NO COINCIDE. Valor verdadero: ""&amp;IF(valor="""",""[VACÍO]"",TO_TEXT(valor))
)
))))
),""ERROR EN FÓRMULA""))"),"NO APLICA")</f>
        <v>NO APLICA</v>
      </c>
    </row>
    <row r="1826">
      <c r="A1826" s="83" t="s">
        <v>4618</v>
      </c>
      <c r="B1826" s="83" t="s">
        <v>4619</v>
      </c>
      <c r="C1826" s="81" t="s">
        <v>4621</v>
      </c>
      <c r="D1826" s="83" t="s">
        <v>4597</v>
      </c>
      <c r="E1826" s="81" t="s">
        <v>2847</v>
      </c>
      <c r="F1826" s="84">
        <v>548.0</v>
      </c>
      <c r="G1826" s="81" t="s">
        <v>44</v>
      </c>
      <c r="H1826" s="81" t="s">
        <v>224</v>
      </c>
      <c r="I1826" s="81" t="s">
        <v>2837</v>
      </c>
      <c r="J1826" s="81" t="s">
        <v>4088</v>
      </c>
      <c r="K1826" s="81" t="str">
        <f>IFERROR(__xludf.DUMMYFUNCTION("IF(OR(D1826="""",G1826=""""),"""",IFERROR(LET(
campo,XLOOKUP(TRIM(G1826),ARRAYFORMULA(TRIM('indice columnas'!$A$2:$A$100)),'indice columnas'!$B$2:$B$100,""""),
col,IFERROR(MATCH(campo,Referencia!$A$1:$AZ$1,0),0),
fila,IFERROR(MATCH(TO_TEXT(D1826),ARRAYFOR"&amp;"MULA(TO_TEXT(Referencia!$A$2:$A6238)),0),0),
IF(OR(campo="""",campo=""-""),""NO APLICA"",
IF(col=0,""REVISAR EQUIVALENCIA"",
IF(fila=0,""SKU NO ENCONTRADO"",
LET(
valor,INDEX(Referencia!$A$2:$AZ6238,fila,col),
IF(TRIM(TO_TEXT(valor))=TRIM(TO_TEXT(I1826)),"&amp;"
""OK"",
""NO COINCIDE. Valor verdadero: ""&amp;IF(valor="""",""[VACÍO]"",TO_TEXT(valor))
)
))))
),""ERROR EN FÓRMULA""))"),"NO APLICA")</f>
        <v>NO APLICA</v>
      </c>
    </row>
    <row r="1827">
      <c r="A1827" s="83" t="s">
        <v>4618</v>
      </c>
      <c r="B1827" s="83" t="s">
        <v>4619</v>
      </c>
      <c r="C1827" s="81" t="s">
        <v>4621</v>
      </c>
      <c r="D1827" s="83" t="s">
        <v>4598</v>
      </c>
      <c r="E1827" s="81" t="s">
        <v>2848</v>
      </c>
      <c r="F1827" s="84">
        <v>549.0</v>
      </c>
      <c r="G1827" s="81" t="s">
        <v>44</v>
      </c>
      <c r="H1827" s="81" t="s">
        <v>224</v>
      </c>
      <c r="I1827" s="81" t="s">
        <v>2837</v>
      </c>
      <c r="J1827" s="81" t="s">
        <v>4088</v>
      </c>
      <c r="K1827" s="81" t="str">
        <f>IFERROR(__xludf.DUMMYFUNCTION("IF(OR(D1827="""",G1827=""""),"""",IFERROR(LET(
campo,XLOOKUP(TRIM(G1827),ARRAYFORMULA(TRIM('indice columnas'!$A$2:$A$100)),'indice columnas'!$B$2:$B$100,""""),
col,IFERROR(MATCH(campo,Referencia!$A$1:$AZ$1,0),0),
fila,IFERROR(MATCH(TO_TEXT(D1827),ARRAYFOR"&amp;"MULA(TO_TEXT(Referencia!$A$2:$A6238)),0),0),
IF(OR(campo="""",campo=""-""),""NO APLICA"",
IF(col=0,""REVISAR EQUIVALENCIA"",
IF(fila=0,""SKU NO ENCONTRADO"",
LET(
valor,INDEX(Referencia!$A$2:$AZ6238,fila,col),
IF(TRIM(TO_TEXT(valor))=TRIM(TO_TEXT(I1827)),"&amp;"
""OK"",
""NO COINCIDE. Valor verdadero: ""&amp;IF(valor="""",""[VACÍO]"",TO_TEXT(valor))
)
))))
),""ERROR EN FÓRMULA""))"),"NO APLICA")</f>
        <v>NO APLICA</v>
      </c>
    </row>
    <row r="1828">
      <c r="A1828" s="83" t="s">
        <v>4618</v>
      </c>
      <c r="B1828" s="83" t="s">
        <v>4619</v>
      </c>
      <c r="C1828" s="81" t="s">
        <v>4621</v>
      </c>
      <c r="D1828" s="83" t="s">
        <v>4599</v>
      </c>
      <c r="E1828" s="81" t="s">
        <v>2857</v>
      </c>
      <c r="F1828" s="84">
        <v>550.0</v>
      </c>
      <c r="G1828" s="81" t="s">
        <v>44</v>
      </c>
      <c r="H1828" s="81" t="s">
        <v>224</v>
      </c>
      <c r="I1828" s="81" t="s">
        <v>2857</v>
      </c>
      <c r="J1828" s="81" t="s">
        <v>4088</v>
      </c>
      <c r="K1828" s="81" t="str">
        <f>IFERROR(__xludf.DUMMYFUNCTION("IF(OR(D1828="""",G1828=""""),"""",IFERROR(LET(
campo,XLOOKUP(TRIM(G1828),ARRAYFORMULA(TRIM('indice columnas'!$A$2:$A$100)),'indice columnas'!$B$2:$B$100,""""),
col,IFERROR(MATCH(campo,Referencia!$A$1:$AZ$1,0),0),
fila,IFERROR(MATCH(TO_TEXT(D1828),ARRAYFOR"&amp;"MULA(TO_TEXT(Referencia!$A$2:$A6238)),0),0),
IF(OR(campo="""",campo=""-""),""NO APLICA"",
IF(col=0,""REVISAR EQUIVALENCIA"",
IF(fila=0,""SKU NO ENCONTRADO"",
LET(
valor,INDEX(Referencia!$A$2:$AZ6238,fila,col),
IF(TRIM(TO_TEXT(valor))=TRIM(TO_TEXT(I1828)),"&amp;"
""OK"",
""NO COINCIDE. Valor verdadero: ""&amp;IF(valor="""",""[VACÍO]"",TO_TEXT(valor))
)
))))
),""ERROR EN FÓRMULA""))"),"NO APLICA")</f>
        <v>NO APLICA</v>
      </c>
    </row>
    <row r="1829">
      <c r="A1829" s="83" t="s">
        <v>4618</v>
      </c>
      <c r="B1829" s="83" t="s">
        <v>4619</v>
      </c>
      <c r="C1829" s="81" t="s">
        <v>4621</v>
      </c>
      <c r="D1829" s="83" t="s">
        <v>4599</v>
      </c>
      <c r="E1829" s="81" t="s">
        <v>2869</v>
      </c>
      <c r="F1829" s="84">
        <v>551.0</v>
      </c>
      <c r="G1829" s="81" t="s">
        <v>44</v>
      </c>
      <c r="H1829" s="81" t="s">
        <v>224</v>
      </c>
      <c r="I1829" s="81" t="s">
        <v>2857</v>
      </c>
      <c r="J1829" s="81" t="s">
        <v>4088</v>
      </c>
      <c r="K1829" s="81" t="str">
        <f>IFERROR(__xludf.DUMMYFUNCTION("IF(OR(D1829="""",G1829=""""),"""",IFERROR(LET(
campo,XLOOKUP(TRIM(G1829),ARRAYFORMULA(TRIM('indice columnas'!$A$2:$A$100)),'indice columnas'!$B$2:$B$100,""""),
col,IFERROR(MATCH(campo,Referencia!$A$1:$AZ$1,0),0),
fila,IFERROR(MATCH(TO_TEXT(D1829),ARRAYFOR"&amp;"MULA(TO_TEXT(Referencia!$A$2:$A6238)),0),0),
IF(OR(campo="""",campo=""-""),""NO APLICA"",
IF(col=0,""REVISAR EQUIVALENCIA"",
IF(fila=0,""SKU NO ENCONTRADO"",
LET(
valor,INDEX(Referencia!$A$2:$AZ6238,fila,col),
IF(TRIM(TO_TEXT(valor))=TRIM(TO_TEXT(I1829)),"&amp;"
""OK"",
""NO COINCIDE. Valor verdadero: ""&amp;IF(valor="""",""[VACÍO]"",TO_TEXT(valor))
)
))))
),""ERROR EN FÓRMULA""))"),"NO APLICA")</f>
        <v>NO APLICA</v>
      </c>
    </row>
    <row r="1830">
      <c r="A1830" s="83" t="s">
        <v>4618</v>
      </c>
      <c r="B1830" s="83" t="s">
        <v>4619</v>
      </c>
      <c r="C1830" s="81" t="s">
        <v>4621</v>
      </c>
      <c r="D1830" s="83" t="s">
        <v>4600</v>
      </c>
      <c r="E1830" s="81" t="s">
        <v>2870</v>
      </c>
      <c r="F1830" s="84">
        <v>552.0</v>
      </c>
      <c r="G1830" s="81" t="s">
        <v>44</v>
      </c>
      <c r="H1830" s="81" t="s">
        <v>224</v>
      </c>
      <c r="I1830" s="81" t="s">
        <v>2857</v>
      </c>
      <c r="J1830" s="81" t="s">
        <v>4088</v>
      </c>
      <c r="K1830" s="81" t="str">
        <f>IFERROR(__xludf.DUMMYFUNCTION("IF(OR(D1830="""",G1830=""""),"""",IFERROR(LET(
campo,XLOOKUP(TRIM(G1830),ARRAYFORMULA(TRIM('indice columnas'!$A$2:$A$100)),'indice columnas'!$B$2:$B$100,""""),
col,IFERROR(MATCH(campo,Referencia!$A$1:$AZ$1,0),0),
fila,IFERROR(MATCH(TO_TEXT(D1830),ARRAYFOR"&amp;"MULA(TO_TEXT(Referencia!$A$2:$A6238)),0),0),
IF(OR(campo="""",campo=""-""),""NO APLICA"",
IF(col=0,""REVISAR EQUIVALENCIA"",
IF(fila=0,""SKU NO ENCONTRADO"",
LET(
valor,INDEX(Referencia!$A$2:$AZ6238,fila,col),
IF(TRIM(TO_TEXT(valor))=TRIM(TO_TEXT(I1830)),"&amp;"
""OK"",
""NO COINCIDE. Valor verdadero: ""&amp;IF(valor="""",""[VACÍO]"",TO_TEXT(valor))
)
))))
),""ERROR EN FÓRMULA""))"),"NO APLICA")</f>
        <v>NO APLICA</v>
      </c>
    </row>
    <row r="1831">
      <c r="A1831" s="83" t="s">
        <v>4618</v>
      </c>
      <c r="B1831" s="83" t="s">
        <v>4619</v>
      </c>
      <c r="C1831" s="81" t="s">
        <v>4621</v>
      </c>
      <c r="D1831" s="83" t="s">
        <v>4601</v>
      </c>
      <c r="E1831" s="81" t="s">
        <v>2874</v>
      </c>
      <c r="F1831" s="84">
        <v>553.0</v>
      </c>
      <c r="G1831" s="81" t="s">
        <v>44</v>
      </c>
      <c r="H1831" s="81" t="s">
        <v>224</v>
      </c>
      <c r="I1831" s="81" t="s">
        <v>4602</v>
      </c>
      <c r="J1831" s="81" t="s">
        <v>4088</v>
      </c>
      <c r="K1831" s="81" t="str">
        <f>IFERROR(__xludf.DUMMYFUNCTION("IF(OR(D1831="""",G1831=""""),"""",IFERROR(LET(
campo,XLOOKUP(TRIM(G1831),ARRAYFORMULA(TRIM('indice columnas'!$A$2:$A$100)),'indice columnas'!$B$2:$B$100,""""),
col,IFERROR(MATCH(campo,Referencia!$A$1:$AZ$1,0),0),
fila,IFERROR(MATCH(TO_TEXT(D1831),ARRAYFOR"&amp;"MULA(TO_TEXT(Referencia!$A$2:$A6238)),0),0),
IF(OR(campo="""",campo=""-""),""NO APLICA"",
IF(col=0,""REVISAR EQUIVALENCIA"",
IF(fila=0,""SKU NO ENCONTRADO"",
LET(
valor,INDEX(Referencia!$A$2:$AZ6238,fila,col),
IF(TRIM(TO_TEXT(valor))=TRIM(TO_TEXT(I1831)),"&amp;"
""OK"",
""NO COINCIDE. Valor verdadero: ""&amp;IF(valor="""",""[VACÍO]"",TO_TEXT(valor))
)
))))
),""ERROR EN FÓRMULA""))"),"NO APLICA")</f>
        <v>NO APLICA</v>
      </c>
    </row>
    <row r="1832">
      <c r="A1832" s="83" t="s">
        <v>4618</v>
      </c>
      <c r="B1832" s="83" t="s">
        <v>4619</v>
      </c>
      <c r="C1832" s="81" t="s">
        <v>4621</v>
      </c>
      <c r="D1832" s="83" t="s">
        <v>4603</v>
      </c>
      <c r="E1832" s="81" t="s">
        <v>2881</v>
      </c>
      <c r="F1832" s="84">
        <v>554.0</v>
      </c>
      <c r="G1832" s="81" t="s">
        <v>44</v>
      </c>
      <c r="H1832" s="81" t="s">
        <v>224</v>
      </c>
      <c r="I1832" s="81" t="s">
        <v>4602</v>
      </c>
      <c r="J1832" s="81" t="s">
        <v>4088</v>
      </c>
      <c r="K1832" s="81" t="str">
        <f>IFERROR(__xludf.DUMMYFUNCTION("IF(OR(D1832="""",G1832=""""),"""",IFERROR(LET(
campo,XLOOKUP(TRIM(G1832),ARRAYFORMULA(TRIM('indice columnas'!$A$2:$A$100)),'indice columnas'!$B$2:$B$100,""""),
col,IFERROR(MATCH(campo,Referencia!$A$1:$AZ$1,0),0),
fila,IFERROR(MATCH(TO_TEXT(D1832),ARRAYFOR"&amp;"MULA(TO_TEXT(Referencia!$A$2:$A6238)),0),0),
IF(OR(campo="""",campo=""-""),""NO APLICA"",
IF(col=0,""REVISAR EQUIVALENCIA"",
IF(fila=0,""SKU NO ENCONTRADO"",
LET(
valor,INDEX(Referencia!$A$2:$AZ6238,fila,col),
IF(TRIM(TO_TEXT(valor))=TRIM(TO_TEXT(I1832)),"&amp;"
""OK"",
""NO COINCIDE. Valor verdadero: ""&amp;IF(valor="""",""[VACÍO]"",TO_TEXT(valor))
)
))))
),""ERROR EN FÓRMULA""))"),"NO APLICA")</f>
        <v>NO APLICA</v>
      </c>
    </row>
    <row r="1833">
      <c r="A1833" s="83" t="s">
        <v>4618</v>
      </c>
      <c r="B1833" s="83" t="s">
        <v>4619</v>
      </c>
      <c r="C1833" s="81" t="s">
        <v>4621</v>
      </c>
      <c r="D1833" s="83" t="s">
        <v>4604</v>
      </c>
      <c r="E1833" s="81" t="s">
        <v>2885</v>
      </c>
      <c r="F1833" s="84">
        <v>555.0</v>
      </c>
      <c r="G1833" s="81" t="s">
        <v>44</v>
      </c>
      <c r="H1833" s="81" t="s">
        <v>224</v>
      </c>
      <c r="I1833" s="81" t="s">
        <v>4602</v>
      </c>
      <c r="J1833" s="81" t="s">
        <v>4088</v>
      </c>
      <c r="K1833" s="81" t="str">
        <f>IFERROR(__xludf.DUMMYFUNCTION("IF(OR(D1833="""",G1833=""""),"""",IFERROR(LET(
campo,XLOOKUP(TRIM(G1833),ARRAYFORMULA(TRIM('indice columnas'!$A$2:$A$100)),'indice columnas'!$B$2:$B$100,""""),
col,IFERROR(MATCH(campo,Referencia!$A$1:$AZ$1,0),0),
fila,IFERROR(MATCH(TO_TEXT(D1833),ARRAYFOR"&amp;"MULA(TO_TEXT(Referencia!$A$2:$A6238)),0),0),
IF(OR(campo="""",campo=""-""),""NO APLICA"",
IF(col=0,""REVISAR EQUIVALENCIA"",
IF(fila=0,""SKU NO ENCONTRADO"",
LET(
valor,INDEX(Referencia!$A$2:$AZ6238,fila,col),
IF(TRIM(TO_TEXT(valor))=TRIM(TO_TEXT(I1833)),"&amp;"
""OK"",
""NO COINCIDE. Valor verdadero: ""&amp;IF(valor="""",""[VACÍO]"",TO_TEXT(valor))
)
))))
),""ERROR EN FÓRMULA""))"),"NO APLICA")</f>
        <v>NO APLICA</v>
      </c>
    </row>
    <row r="1834">
      <c r="A1834" s="83" t="s">
        <v>4618</v>
      </c>
      <c r="B1834" s="83" t="s">
        <v>4619</v>
      </c>
      <c r="C1834" s="81" t="s">
        <v>4621</v>
      </c>
      <c r="D1834" s="83" t="s">
        <v>4605</v>
      </c>
      <c r="E1834" s="81" t="s">
        <v>2889</v>
      </c>
      <c r="F1834" s="84">
        <v>556.0</v>
      </c>
      <c r="G1834" s="81" t="s">
        <v>44</v>
      </c>
      <c r="H1834" s="81" t="s">
        <v>224</v>
      </c>
      <c r="I1834" s="81" t="s">
        <v>4602</v>
      </c>
      <c r="J1834" s="81" t="s">
        <v>4088</v>
      </c>
      <c r="K1834" s="81" t="str">
        <f>IFERROR(__xludf.DUMMYFUNCTION("IF(OR(D1834="""",G1834=""""),"""",IFERROR(LET(
campo,XLOOKUP(TRIM(G1834),ARRAYFORMULA(TRIM('indice columnas'!$A$2:$A$100)),'indice columnas'!$B$2:$B$100,""""),
col,IFERROR(MATCH(campo,Referencia!$A$1:$AZ$1,0),0),
fila,IFERROR(MATCH(TO_TEXT(D1834),ARRAYFOR"&amp;"MULA(TO_TEXT(Referencia!$A$2:$A6238)),0),0),
IF(OR(campo="""",campo=""-""),""NO APLICA"",
IF(col=0,""REVISAR EQUIVALENCIA"",
IF(fila=0,""SKU NO ENCONTRADO"",
LET(
valor,INDEX(Referencia!$A$2:$AZ6238,fila,col),
IF(TRIM(TO_TEXT(valor))=TRIM(TO_TEXT(I1834)),"&amp;"
""OK"",
""NO COINCIDE. Valor verdadero: ""&amp;IF(valor="""",""[VACÍO]"",TO_TEXT(valor))
)
))))
),""ERROR EN FÓRMULA""))"),"NO APLICA")</f>
        <v>NO APLICA</v>
      </c>
    </row>
    <row r="1835">
      <c r="A1835" s="83" t="s">
        <v>4618</v>
      </c>
      <c r="B1835" s="83" t="s">
        <v>4619</v>
      </c>
      <c r="C1835" s="81" t="s">
        <v>4621</v>
      </c>
      <c r="D1835" s="83" t="s">
        <v>4606</v>
      </c>
      <c r="E1835" s="81" t="s">
        <v>2891</v>
      </c>
      <c r="F1835" s="84">
        <v>557.0</v>
      </c>
      <c r="G1835" s="81" t="s">
        <v>44</v>
      </c>
      <c r="H1835" s="81" t="s">
        <v>224</v>
      </c>
      <c r="I1835" s="81" t="s">
        <v>4602</v>
      </c>
      <c r="J1835" s="81" t="s">
        <v>4088</v>
      </c>
      <c r="K1835" s="81" t="str">
        <f>IFERROR(__xludf.DUMMYFUNCTION("IF(OR(D1835="""",G1835=""""),"""",IFERROR(LET(
campo,XLOOKUP(TRIM(G1835),ARRAYFORMULA(TRIM('indice columnas'!$A$2:$A$100)),'indice columnas'!$B$2:$B$100,""""),
col,IFERROR(MATCH(campo,Referencia!$A$1:$AZ$1,0),0),
fila,IFERROR(MATCH(TO_TEXT(D1835),ARRAYFOR"&amp;"MULA(TO_TEXT(Referencia!$A$2:$A6238)),0),0),
IF(OR(campo="""",campo=""-""),""NO APLICA"",
IF(col=0,""REVISAR EQUIVALENCIA"",
IF(fila=0,""SKU NO ENCONTRADO"",
LET(
valor,INDEX(Referencia!$A$2:$AZ6238,fila,col),
IF(TRIM(TO_TEXT(valor))=TRIM(TO_TEXT(I1835)),"&amp;"
""OK"",
""NO COINCIDE. Valor verdadero: ""&amp;IF(valor="""",""[VACÍO]"",TO_TEXT(valor))
)
))))
),""ERROR EN FÓRMULA""))"),"NO APLICA")</f>
        <v>NO APLICA</v>
      </c>
    </row>
    <row r="1836">
      <c r="A1836" s="83" t="s">
        <v>4618</v>
      </c>
      <c r="B1836" s="83" t="s">
        <v>4619</v>
      </c>
      <c r="C1836" s="81" t="s">
        <v>4621</v>
      </c>
      <c r="D1836" s="83" t="s">
        <v>4607</v>
      </c>
      <c r="E1836" s="81" t="s">
        <v>2893</v>
      </c>
      <c r="F1836" s="84">
        <v>558.0</v>
      </c>
      <c r="G1836" s="81" t="s">
        <v>44</v>
      </c>
      <c r="H1836" s="81" t="s">
        <v>224</v>
      </c>
      <c r="I1836" s="81" t="s">
        <v>4602</v>
      </c>
      <c r="J1836" s="81" t="s">
        <v>4088</v>
      </c>
      <c r="K1836" s="81" t="str">
        <f>IFERROR(__xludf.DUMMYFUNCTION("IF(OR(D1836="""",G1836=""""),"""",IFERROR(LET(
campo,XLOOKUP(TRIM(G1836),ARRAYFORMULA(TRIM('indice columnas'!$A$2:$A$100)),'indice columnas'!$B$2:$B$100,""""),
col,IFERROR(MATCH(campo,Referencia!$A$1:$AZ$1,0),0),
fila,IFERROR(MATCH(TO_TEXT(D1836),ARRAYFOR"&amp;"MULA(TO_TEXT(Referencia!$A$2:$A6238)),0),0),
IF(OR(campo="""",campo=""-""),""NO APLICA"",
IF(col=0,""REVISAR EQUIVALENCIA"",
IF(fila=0,""SKU NO ENCONTRADO"",
LET(
valor,INDEX(Referencia!$A$2:$AZ6238,fila,col),
IF(TRIM(TO_TEXT(valor))=TRIM(TO_TEXT(I1836)),"&amp;"
""OK"",
""NO COINCIDE. Valor verdadero: ""&amp;IF(valor="""",""[VACÍO]"",TO_TEXT(valor))
)
))))
),""ERROR EN FÓRMULA""))"),"NO APLICA")</f>
        <v>NO APLICA</v>
      </c>
    </row>
    <row r="1837">
      <c r="A1837" s="83" t="s">
        <v>4618</v>
      </c>
      <c r="B1837" s="83" t="s">
        <v>4619</v>
      </c>
      <c r="C1837" s="81" t="s">
        <v>4621</v>
      </c>
      <c r="D1837" s="83" t="s">
        <v>4608</v>
      </c>
      <c r="E1837" s="81" t="s">
        <v>4609</v>
      </c>
      <c r="F1837" s="84">
        <v>559.0</v>
      </c>
      <c r="G1837" s="81" t="s">
        <v>44</v>
      </c>
      <c r="H1837" s="81" t="s">
        <v>4440</v>
      </c>
      <c r="I1837" s="81" t="s">
        <v>2907</v>
      </c>
      <c r="J1837" s="81" t="s">
        <v>4088</v>
      </c>
      <c r="K1837" s="81" t="str">
        <f>IFERROR(__xludf.DUMMYFUNCTION("IF(OR(D1837="""",G1837=""""),"""",IFERROR(LET(
campo,XLOOKUP(TRIM(G1837),ARRAYFORMULA(TRIM('indice columnas'!$A$2:$A$100)),'indice columnas'!$B$2:$B$100,""""),
col,IFERROR(MATCH(campo,Referencia!$A$1:$AZ$1,0),0),
fila,IFERROR(MATCH(TO_TEXT(D1837),ARRAYFOR"&amp;"MULA(TO_TEXT(Referencia!$A$2:$A6238)),0),0),
IF(OR(campo="""",campo=""-""),""NO APLICA"",
IF(col=0,""REVISAR EQUIVALENCIA"",
IF(fila=0,""SKU NO ENCONTRADO"",
LET(
valor,INDEX(Referencia!$A$2:$AZ6238,fila,col),
IF(TRIM(TO_TEXT(valor))=TRIM(TO_TEXT(I1837)),"&amp;"
""OK"",
""NO COINCIDE. Valor verdadero: ""&amp;IF(valor="""",""[VACÍO]"",TO_TEXT(valor))
)
))))
),""ERROR EN FÓRMULA""))"),"NO APLICA")</f>
        <v>NO APLICA</v>
      </c>
    </row>
    <row r="1838">
      <c r="A1838" s="83" t="s">
        <v>4618</v>
      </c>
      <c r="B1838" s="83" t="s">
        <v>4619</v>
      </c>
      <c r="C1838" s="81" t="s">
        <v>4621</v>
      </c>
      <c r="D1838" s="83" t="s">
        <v>4608</v>
      </c>
      <c r="E1838" s="81" t="s">
        <v>2906</v>
      </c>
      <c r="F1838" s="84">
        <v>560.0</v>
      </c>
      <c r="G1838" s="81" t="s">
        <v>20</v>
      </c>
      <c r="H1838" s="81" t="s">
        <v>4610</v>
      </c>
      <c r="I1838" s="81" t="s">
        <v>2896</v>
      </c>
      <c r="J1838" s="81" t="s">
        <v>224</v>
      </c>
      <c r="K1838" s="81" t="str">
        <f>IFERROR(__xludf.DUMMYFUNCTION("IF(OR(D1838="""",G1838=""""),"""",IFERROR(LET(
campo,XLOOKUP(TRIM(G1838),ARRAYFORMULA(TRIM('indice columnas'!$A$2:$A$100)),'indice columnas'!$B$2:$B$100,""""),
col,IFERROR(MATCH(campo,Referencia!$A$1:$AZ$1,0),0),
fila,IFERROR(MATCH(TO_TEXT(D1838),ARRAYFOR"&amp;"MULA(TO_TEXT(Referencia!$A$2:$A6238)),0),0),
IF(OR(campo="""",campo=""-""),""NO APLICA"",
IF(col=0,""REVISAR EQUIVALENCIA"",
IF(fila=0,""SKU NO ENCONTRADO"",
LET(
valor,INDEX(Referencia!$A$2:$AZ6238,fila,col),
IF(TRIM(TO_TEXT(valor))=TRIM(TO_TEXT(I1838)),"&amp;"
""OK"",
""NO COINCIDE. Valor verdadero: ""&amp;IF(valor="""",""[VACÍO]"",TO_TEXT(valor))
)
))))
),""ERROR EN FÓRMULA""))"),"NO COINCIDE. Valor verdadero: 1900 + 875")</f>
        <v>NO COINCIDE. Valor verdadero: 1900 + 875</v>
      </c>
    </row>
    <row r="1839">
      <c r="A1839" s="83" t="s">
        <v>4618</v>
      </c>
      <c r="B1839" s="83" t="s">
        <v>4619</v>
      </c>
      <c r="C1839" s="81" t="s">
        <v>4621</v>
      </c>
      <c r="D1839" s="83" t="s">
        <v>4608</v>
      </c>
      <c r="E1839" s="81" t="s">
        <v>2906</v>
      </c>
      <c r="F1839" s="84">
        <v>560.0</v>
      </c>
      <c r="G1839" s="81" t="s">
        <v>44</v>
      </c>
      <c r="H1839" s="81" t="s">
        <v>4440</v>
      </c>
      <c r="I1839" s="81" t="s">
        <v>2907</v>
      </c>
      <c r="J1839" s="81" t="s">
        <v>4088</v>
      </c>
      <c r="K1839" s="81" t="str">
        <f>IFERROR(__xludf.DUMMYFUNCTION("IF(OR(D1839="""",G1839=""""),"""",IFERROR(LET(
campo,XLOOKUP(TRIM(G1839),ARRAYFORMULA(TRIM('indice columnas'!$A$2:$A$100)),'indice columnas'!$B$2:$B$100,""""),
col,IFERROR(MATCH(campo,Referencia!$A$1:$AZ$1,0),0),
fila,IFERROR(MATCH(TO_TEXT(D1839),ARRAYFOR"&amp;"MULA(TO_TEXT(Referencia!$A$2:$A6238)),0),0),
IF(OR(campo="""",campo=""-""),""NO APLICA"",
IF(col=0,""REVISAR EQUIVALENCIA"",
IF(fila=0,""SKU NO ENCONTRADO"",
LET(
valor,INDEX(Referencia!$A$2:$AZ6238,fila,col),
IF(TRIM(TO_TEXT(valor))=TRIM(TO_TEXT(I1839)),"&amp;"
""OK"",
""NO COINCIDE. Valor verdadero: ""&amp;IF(valor="""",""[VACÍO]"",TO_TEXT(valor))
)
))))
),""ERROR EN FÓRMULA""))"),"NO APLICA")</f>
        <v>NO APLICA</v>
      </c>
    </row>
    <row r="1840">
      <c r="A1840" s="83" t="s">
        <v>4618</v>
      </c>
      <c r="B1840" s="83" t="s">
        <v>4619</v>
      </c>
      <c r="C1840" s="81" t="s">
        <v>4621</v>
      </c>
      <c r="D1840" s="83" t="s">
        <v>4611</v>
      </c>
      <c r="E1840" s="81" t="s">
        <v>2908</v>
      </c>
      <c r="F1840" s="84">
        <v>561.0</v>
      </c>
      <c r="G1840" s="81" t="s">
        <v>20</v>
      </c>
      <c r="H1840" s="81" t="s">
        <v>4610</v>
      </c>
      <c r="I1840" s="81" t="s">
        <v>2896</v>
      </c>
      <c r="J1840" s="81" t="s">
        <v>224</v>
      </c>
      <c r="K1840" s="81" t="str">
        <f>IFERROR(__xludf.DUMMYFUNCTION("IF(OR(D1840="""",G1840=""""),"""",IFERROR(LET(
campo,XLOOKUP(TRIM(G1840),ARRAYFORMULA(TRIM('indice columnas'!$A$2:$A$100)),'indice columnas'!$B$2:$B$100,""""),
col,IFERROR(MATCH(campo,Referencia!$A$1:$AZ$1,0),0),
fila,IFERROR(MATCH(TO_TEXT(D1840),ARRAYFOR"&amp;"MULA(TO_TEXT(Referencia!$A$2:$A6238)),0),0),
IF(OR(campo="""",campo=""-""),""NO APLICA"",
IF(col=0,""REVISAR EQUIVALENCIA"",
IF(fila=0,""SKU NO ENCONTRADO"",
LET(
valor,INDEX(Referencia!$A$2:$AZ6238,fila,col),
IF(TRIM(TO_TEXT(valor))=TRIM(TO_TEXT(I1840)),"&amp;"
""OK"",
""NO COINCIDE. Valor verdadero: ""&amp;IF(valor="""",""[VACÍO]"",TO_TEXT(valor))
)
))))
),""ERROR EN FÓRMULA""))"),"NO COINCIDE. Valor verdadero: 1900 + 875")</f>
        <v>NO COINCIDE. Valor verdadero: 1900 + 875</v>
      </c>
    </row>
    <row r="1841">
      <c r="A1841" s="83" t="s">
        <v>4618</v>
      </c>
      <c r="B1841" s="83" t="s">
        <v>4619</v>
      </c>
      <c r="C1841" s="81" t="s">
        <v>4621</v>
      </c>
      <c r="D1841" s="83" t="s">
        <v>4611</v>
      </c>
      <c r="E1841" s="81" t="s">
        <v>2908</v>
      </c>
      <c r="F1841" s="84">
        <v>561.0</v>
      </c>
      <c r="G1841" s="81" t="s">
        <v>44</v>
      </c>
      <c r="H1841" s="81" t="s">
        <v>4440</v>
      </c>
      <c r="I1841" s="81" t="s">
        <v>2907</v>
      </c>
      <c r="J1841" s="81" t="s">
        <v>4088</v>
      </c>
      <c r="K1841" s="81" t="str">
        <f>IFERROR(__xludf.DUMMYFUNCTION("IF(OR(D1841="""",G1841=""""),"""",IFERROR(LET(
campo,XLOOKUP(TRIM(G1841),ARRAYFORMULA(TRIM('indice columnas'!$A$2:$A$100)),'indice columnas'!$B$2:$B$100,""""),
col,IFERROR(MATCH(campo,Referencia!$A$1:$AZ$1,0),0),
fila,IFERROR(MATCH(TO_TEXT(D1841),ARRAYFOR"&amp;"MULA(TO_TEXT(Referencia!$A$2:$A6238)),0),0),
IF(OR(campo="""",campo=""-""),""NO APLICA"",
IF(col=0,""REVISAR EQUIVALENCIA"",
IF(fila=0,""SKU NO ENCONTRADO"",
LET(
valor,INDEX(Referencia!$A$2:$AZ6238,fila,col),
IF(TRIM(TO_TEXT(valor))=TRIM(TO_TEXT(I1841)),"&amp;"
""OK"",
""NO COINCIDE. Valor verdadero: ""&amp;IF(valor="""",""[VACÍO]"",TO_TEXT(valor))
)
))))
),""ERROR EN FÓRMULA""))"),"NO APLICA")</f>
        <v>NO APLICA</v>
      </c>
    </row>
    <row r="1842">
      <c r="A1842" s="83" t="s">
        <v>4618</v>
      </c>
      <c r="B1842" s="83" t="s">
        <v>4619</v>
      </c>
      <c r="C1842" s="81" t="s">
        <v>4621</v>
      </c>
      <c r="D1842" s="83" t="s">
        <v>4612</v>
      </c>
      <c r="E1842" s="81" t="s">
        <v>2911</v>
      </c>
      <c r="F1842" s="84">
        <v>562.0</v>
      </c>
      <c r="G1842" s="81" t="s">
        <v>44</v>
      </c>
      <c r="H1842" s="81" t="s">
        <v>4440</v>
      </c>
      <c r="I1842" s="81" t="s">
        <v>4441</v>
      </c>
      <c r="J1842" s="81" t="s">
        <v>4088</v>
      </c>
      <c r="K1842" s="81" t="str">
        <f>IFERROR(__xludf.DUMMYFUNCTION("IF(OR(D1842="""",G1842=""""),"""",IFERROR(LET(
campo,XLOOKUP(TRIM(G1842),ARRAYFORMULA(TRIM('indice columnas'!$A$2:$A$100)),'indice columnas'!$B$2:$B$100,""""),
col,IFERROR(MATCH(campo,Referencia!$A$1:$AZ$1,0),0),
fila,IFERROR(MATCH(TO_TEXT(D1842),ARRAYFOR"&amp;"MULA(TO_TEXT(Referencia!$A$2:$A6238)),0),0),
IF(OR(campo="""",campo=""-""),""NO APLICA"",
IF(col=0,""REVISAR EQUIVALENCIA"",
IF(fila=0,""SKU NO ENCONTRADO"",
LET(
valor,INDEX(Referencia!$A$2:$AZ6238,fila,col),
IF(TRIM(TO_TEXT(valor))=TRIM(TO_TEXT(I1842)),"&amp;"
""OK"",
""NO COINCIDE. Valor verdadero: ""&amp;IF(valor="""",""[VACÍO]"",TO_TEXT(valor))
)
))))
),""ERROR EN FÓRMULA""))"),"NO APLICA")</f>
        <v>NO APLICA</v>
      </c>
    </row>
    <row r="1843">
      <c r="A1843" s="83" t="s">
        <v>4618</v>
      </c>
      <c r="B1843" s="83" t="s">
        <v>4619</v>
      </c>
      <c r="C1843" s="81" t="s">
        <v>4621</v>
      </c>
      <c r="D1843" s="83" t="s">
        <v>4612</v>
      </c>
      <c r="E1843" s="81" t="s">
        <v>2921</v>
      </c>
      <c r="F1843" s="84">
        <v>563.0</v>
      </c>
      <c r="G1843" s="81" t="s">
        <v>17</v>
      </c>
      <c r="H1843" s="83" t="s">
        <v>4613</v>
      </c>
      <c r="I1843" s="83" t="s">
        <v>2762</v>
      </c>
      <c r="J1843" s="81" t="s">
        <v>224</v>
      </c>
      <c r="K1843" s="81" t="str">
        <f>IFERROR(__xludf.DUMMYFUNCTION("IF(OR(D1843="""",G1843=""""),"""",IFERROR(LET(
campo,XLOOKUP(TRIM(G1843),ARRAYFORMULA(TRIM('indice columnas'!$A$2:$A$100)),'indice columnas'!$B$2:$B$100,""""),
col,IFERROR(MATCH(campo,Referencia!$A$1:$AZ$1,0),0),
fila,IFERROR(MATCH(TO_TEXT(D1843),ARRAYFOR"&amp;"MULA(TO_TEXT(Referencia!$A$2:$A6238)),0),0),
IF(OR(campo="""",campo=""-""),""NO APLICA"",
IF(col=0,""REVISAR EQUIVALENCIA"",
IF(fila=0,""SKU NO ENCONTRADO"",
LET(
valor,INDEX(Referencia!$A$2:$AZ6238,fila,col),
IF(TRIM(TO_TEXT(valor))=TRIM(TO_TEXT(I1843)),"&amp;"
""OK"",
""NO COINCIDE. Valor verdadero: ""&amp;IF(valor="""",""[VACÍO]"",TO_TEXT(valor))
)
))))
),""ERROR EN FÓRMULA""))"),"OK")</f>
        <v>OK</v>
      </c>
    </row>
    <row r="1844">
      <c r="A1844" s="83" t="s">
        <v>4618</v>
      </c>
      <c r="B1844" s="83" t="s">
        <v>4619</v>
      </c>
      <c r="C1844" s="81" t="s">
        <v>4621</v>
      </c>
      <c r="D1844" s="83" t="s">
        <v>4612</v>
      </c>
      <c r="E1844" s="81" t="s">
        <v>2921</v>
      </c>
      <c r="F1844" s="84">
        <v>563.0</v>
      </c>
      <c r="G1844" s="81" t="s">
        <v>36</v>
      </c>
      <c r="H1844" s="81" t="s">
        <v>49</v>
      </c>
      <c r="I1844" s="81" t="s">
        <v>1422</v>
      </c>
      <c r="J1844" s="81" t="s">
        <v>224</v>
      </c>
      <c r="K1844" s="81" t="str">
        <f>IFERROR(__xludf.DUMMYFUNCTION("IF(OR(D1844="""",G1844=""""),"""",IFERROR(LET(
campo,XLOOKUP(TRIM(G1844),ARRAYFORMULA(TRIM('indice columnas'!$A$2:$A$100)),'indice columnas'!$B$2:$B$100,""""),
col,IFERROR(MATCH(campo,Referencia!$A$1:$AZ$1,0),0),
fila,IFERROR(MATCH(TO_TEXT(D1844),ARRAYFOR"&amp;"MULA(TO_TEXT(Referencia!$A$2:$A6238)),0),0),
IF(OR(campo="""",campo=""-""),""NO APLICA"",
IF(col=0,""REVISAR EQUIVALENCIA"",
IF(fila=0,""SKU NO ENCONTRADO"",
LET(
valor,INDEX(Referencia!$A$2:$AZ6238,fila,col),
IF(TRIM(TO_TEXT(valor))=TRIM(TO_TEXT(I1844)),"&amp;"
""OK"",
""NO COINCIDE. Valor verdadero: ""&amp;IF(valor="""",""[VACÍO]"",TO_TEXT(valor))
)
))))
),""ERROR EN FÓRMULA""))"),"REVISAR EQUIVALENCIA")</f>
        <v>REVISAR EQUIVALENCIA</v>
      </c>
    </row>
    <row r="1845">
      <c r="A1845" s="83" t="s">
        <v>4618</v>
      </c>
      <c r="B1845" s="83" t="s">
        <v>4619</v>
      </c>
      <c r="C1845" s="81" t="s">
        <v>4621</v>
      </c>
      <c r="D1845" s="83" t="s">
        <v>4612</v>
      </c>
      <c r="E1845" s="81" t="s">
        <v>2921</v>
      </c>
      <c r="F1845" s="84">
        <v>563.0</v>
      </c>
      <c r="G1845" s="81" t="s">
        <v>44</v>
      </c>
      <c r="H1845" s="81" t="s">
        <v>4440</v>
      </c>
      <c r="I1845" s="81" t="s">
        <v>4441</v>
      </c>
      <c r="J1845" s="81" t="s">
        <v>4088</v>
      </c>
      <c r="K1845" s="81" t="str">
        <f>IFERROR(__xludf.DUMMYFUNCTION("IF(OR(D1845="""",G1845=""""),"""",IFERROR(LET(
campo,XLOOKUP(TRIM(G1845),ARRAYFORMULA(TRIM('indice columnas'!$A$2:$A$100)),'indice columnas'!$B$2:$B$100,""""),
col,IFERROR(MATCH(campo,Referencia!$A$1:$AZ$1,0),0),
fila,IFERROR(MATCH(TO_TEXT(D1845),ARRAYFOR"&amp;"MULA(TO_TEXT(Referencia!$A$2:$A6238)),0),0),
IF(OR(campo="""",campo=""-""),""NO APLICA"",
IF(col=0,""REVISAR EQUIVALENCIA"",
IF(fila=0,""SKU NO ENCONTRADO"",
LET(
valor,INDEX(Referencia!$A$2:$AZ6238,fila,col),
IF(TRIM(TO_TEXT(valor))=TRIM(TO_TEXT(I1845)),"&amp;"
""OK"",
""NO COINCIDE. Valor verdadero: ""&amp;IF(valor="""",""[VACÍO]"",TO_TEXT(valor))
)
))))
),""ERROR EN FÓRMULA""))"),"NO APLICA")</f>
        <v>NO APLICA</v>
      </c>
    </row>
    <row r="1846">
      <c r="A1846" s="83" t="s">
        <v>4618</v>
      </c>
      <c r="B1846" s="83" t="s">
        <v>4619</v>
      </c>
      <c r="C1846" s="81" t="s">
        <v>4621</v>
      </c>
      <c r="D1846" s="83" t="s">
        <v>4614</v>
      </c>
      <c r="E1846" s="81" t="s">
        <v>2922</v>
      </c>
      <c r="F1846" s="84">
        <v>564.0</v>
      </c>
      <c r="G1846" s="81" t="s">
        <v>20</v>
      </c>
      <c r="H1846" s="81" t="s">
        <v>4615</v>
      </c>
      <c r="I1846" s="81" t="s">
        <v>2923</v>
      </c>
      <c r="J1846" s="81" t="s">
        <v>224</v>
      </c>
      <c r="K1846" s="81" t="str">
        <f>IFERROR(__xludf.DUMMYFUNCTION("IF(OR(D1846="""",G1846=""""),"""",IFERROR(LET(
campo,XLOOKUP(TRIM(G1846),ARRAYFORMULA(TRIM('indice columnas'!$A$2:$A$100)),'indice columnas'!$B$2:$B$100,""""),
col,IFERROR(MATCH(campo,Referencia!$A$1:$AZ$1,0),0),
fila,IFERROR(MATCH(TO_TEXT(D1846),ARRAYFOR"&amp;"MULA(TO_TEXT(Referencia!$A$2:$A6238)),0),0),
IF(OR(campo="""",campo=""-""),""NO APLICA"",
IF(col=0,""REVISAR EQUIVALENCIA"",
IF(fila=0,""SKU NO ENCONTRADO"",
LET(
valor,INDEX(Referencia!$A$2:$AZ6238,fila,col),
IF(TRIM(TO_TEXT(valor))=TRIM(TO_TEXT(I1846)),"&amp;"
""OK"",
""NO COINCIDE. Valor verdadero: ""&amp;IF(valor="""",""[VACÍO]"",TO_TEXT(valor))
)
))))
),""ERROR EN FÓRMULA""))"),"NO COINCIDE. Valor verdadero: 2920 + 955")</f>
        <v>NO COINCIDE. Valor verdadero: 2920 + 955</v>
      </c>
    </row>
    <row r="1847">
      <c r="A1847" s="83" t="s">
        <v>4618</v>
      </c>
      <c r="B1847" s="83" t="s">
        <v>4619</v>
      </c>
      <c r="C1847" s="81" t="s">
        <v>4621</v>
      </c>
      <c r="D1847" s="83" t="s">
        <v>4614</v>
      </c>
      <c r="E1847" s="81" t="s">
        <v>2922</v>
      </c>
      <c r="F1847" s="84">
        <v>564.0</v>
      </c>
      <c r="G1847" s="81" t="s">
        <v>44</v>
      </c>
      <c r="H1847" s="81" t="s">
        <v>4440</v>
      </c>
      <c r="I1847" s="81" t="s">
        <v>2907</v>
      </c>
      <c r="J1847" s="81" t="s">
        <v>4088</v>
      </c>
      <c r="K1847" s="81" t="str">
        <f>IFERROR(__xludf.DUMMYFUNCTION("IF(OR(D1847="""",G1847=""""),"""",IFERROR(LET(
campo,XLOOKUP(TRIM(G1847),ARRAYFORMULA(TRIM('indice columnas'!$A$2:$A$100)),'indice columnas'!$B$2:$B$100,""""),
col,IFERROR(MATCH(campo,Referencia!$A$1:$AZ$1,0),0),
fila,IFERROR(MATCH(TO_TEXT(D1847),ARRAYFOR"&amp;"MULA(TO_TEXT(Referencia!$A$2:$A6238)),0),0),
IF(OR(campo="""",campo=""-""),""NO APLICA"",
IF(col=0,""REVISAR EQUIVALENCIA"",
IF(fila=0,""SKU NO ENCONTRADO"",
LET(
valor,INDEX(Referencia!$A$2:$AZ6238,fila,col),
IF(TRIM(TO_TEXT(valor))=TRIM(TO_TEXT(I1847)),"&amp;"
""OK"",
""NO COINCIDE. Valor verdadero: ""&amp;IF(valor="""",""[VACÍO]"",TO_TEXT(valor))
)
))))
),""ERROR EN FÓRMULA""))"),"NO APLICA")</f>
        <v>NO APLICA</v>
      </c>
    </row>
    <row r="1848">
      <c r="A1848" s="83" t="s">
        <v>4618</v>
      </c>
      <c r="B1848" s="83" t="s">
        <v>4619</v>
      </c>
      <c r="C1848" s="81" t="s">
        <v>4621</v>
      </c>
      <c r="D1848" s="83" t="s">
        <v>4616</v>
      </c>
      <c r="E1848" s="81" t="s">
        <v>2930</v>
      </c>
      <c r="F1848" s="84">
        <v>565.0</v>
      </c>
      <c r="G1848" s="81" t="s">
        <v>44</v>
      </c>
      <c r="H1848" s="81" t="s">
        <v>4440</v>
      </c>
      <c r="I1848" s="81" t="s">
        <v>4441</v>
      </c>
      <c r="J1848" s="81" t="s">
        <v>4088</v>
      </c>
      <c r="K1848" s="81" t="str">
        <f>IFERROR(__xludf.DUMMYFUNCTION("IF(OR(D1848="""",G1848=""""),"""",IFERROR(LET(
campo,XLOOKUP(TRIM(G1848),ARRAYFORMULA(TRIM('indice columnas'!$A$2:$A$100)),'indice columnas'!$B$2:$B$100,""""),
col,IFERROR(MATCH(campo,Referencia!$A$1:$AZ$1,0),0),
fila,IFERROR(MATCH(TO_TEXT(D1848),ARRAYFOR"&amp;"MULA(TO_TEXT(Referencia!$A$2:$A6238)),0),0),
IF(OR(campo="""",campo=""-""),""NO APLICA"",
IF(col=0,""REVISAR EQUIVALENCIA"",
IF(fila=0,""SKU NO ENCONTRADO"",
LET(
valor,INDEX(Referencia!$A$2:$AZ6238,fila,col),
IF(TRIM(TO_TEXT(valor))=TRIM(TO_TEXT(I1848)),"&amp;"
""OK"",
""NO COINCIDE. Valor verdadero: ""&amp;IF(valor="""",""[VACÍO]"",TO_TEXT(valor))
)
))))
),""ERROR EN FÓRMULA""))"),"NO APLICA")</f>
        <v>NO APLICA</v>
      </c>
    </row>
    <row r="1849">
      <c r="A1849" s="83" t="s">
        <v>4618</v>
      </c>
      <c r="B1849" s="83" t="s">
        <v>4619</v>
      </c>
      <c r="C1849" s="81" t="s">
        <v>4621</v>
      </c>
      <c r="D1849" s="83" t="s">
        <v>4617</v>
      </c>
      <c r="E1849" s="81" t="s">
        <v>2933</v>
      </c>
      <c r="F1849" s="84">
        <v>566.0</v>
      </c>
      <c r="G1849" s="81" t="s">
        <v>20</v>
      </c>
      <c r="H1849" s="81" t="s">
        <v>4615</v>
      </c>
      <c r="I1849" s="81" t="s">
        <v>2923</v>
      </c>
      <c r="J1849" s="81" t="s">
        <v>224</v>
      </c>
      <c r="K1849" s="81" t="str">
        <f>IFERROR(__xludf.DUMMYFUNCTION("IF(OR(D1849="""",G1849=""""),"""",IFERROR(LET(
campo,XLOOKUP(TRIM(G1849),ARRAYFORMULA(TRIM('indice columnas'!$A$2:$A$100)),'indice columnas'!$B$2:$B$100,""""),
col,IFERROR(MATCH(campo,Referencia!$A$1:$AZ$1,0),0),
fila,IFERROR(MATCH(TO_TEXT(D1849),ARRAYFOR"&amp;"MULA(TO_TEXT(Referencia!$A$2:$A6238)),0),0),
IF(OR(campo="""",campo=""-""),""NO APLICA"",
IF(col=0,""REVISAR EQUIVALENCIA"",
IF(fila=0,""SKU NO ENCONTRADO"",
LET(
valor,INDEX(Referencia!$A$2:$AZ6238,fila,col),
IF(TRIM(TO_TEXT(valor))=TRIM(TO_TEXT(I1849)),"&amp;"
""OK"",
""NO COINCIDE. Valor verdadero: ""&amp;IF(valor="""",""[VACÍO]"",TO_TEXT(valor))
)
))))
),""ERROR EN FÓRMULA""))"),"NO COINCIDE. Valor verdadero: 2920 + 955")</f>
        <v>NO COINCIDE. Valor verdadero: 2920 + 955</v>
      </c>
    </row>
    <row r="1850">
      <c r="A1850" s="83" t="s">
        <v>4618</v>
      </c>
      <c r="B1850" s="83" t="s">
        <v>4619</v>
      </c>
      <c r="C1850" s="81" t="s">
        <v>4621</v>
      </c>
      <c r="D1850" s="83" t="s">
        <v>4617</v>
      </c>
      <c r="E1850" s="81" t="s">
        <v>2933</v>
      </c>
      <c r="F1850" s="84">
        <v>566.0</v>
      </c>
      <c r="G1850" s="81" t="s">
        <v>44</v>
      </c>
      <c r="H1850" s="81" t="s">
        <v>4440</v>
      </c>
      <c r="I1850" s="81" t="s">
        <v>2907</v>
      </c>
      <c r="J1850" s="81" t="s">
        <v>4088</v>
      </c>
      <c r="K1850" s="81" t="str">
        <f>IFERROR(__xludf.DUMMYFUNCTION("IF(OR(D1850="""",G1850=""""),"""",IFERROR(LET(
campo,XLOOKUP(TRIM(G1850),ARRAYFORMULA(TRIM('indice columnas'!$A$2:$A$100)),'indice columnas'!$B$2:$B$100,""""),
col,IFERROR(MATCH(campo,Referencia!$A$1:$AZ$1,0),0),
fila,IFERROR(MATCH(TO_TEXT(D1850),ARRAYFOR"&amp;"MULA(TO_TEXT(Referencia!$A$2:$A6238)),0),0),
IF(OR(campo="""",campo=""-""),""NO APLICA"",
IF(col=0,""REVISAR EQUIVALENCIA"",
IF(fila=0,""SKU NO ENCONTRADO"",
LET(
valor,INDEX(Referencia!$A$2:$AZ6238,fila,col),
IF(TRIM(TO_TEXT(valor))=TRIM(TO_TEXT(I1850)),"&amp;"
""OK"",
""NO COINCIDE. Valor verdadero: ""&amp;IF(valor="""",""[VACÍO]"",TO_TEXT(valor))
)
))))
),""ERROR EN FÓRMULA""))"),"NO APLICA")</f>
        <v>NO APLICA</v>
      </c>
    </row>
    <row r="1851">
      <c r="A1851" s="83" t="s">
        <v>4618</v>
      </c>
      <c r="B1851" s="83" t="s">
        <v>4619</v>
      </c>
      <c r="C1851" s="81" t="s">
        <v>4621</v>
      </c>
      <c r="D1851" s="83" t="s">
        <v>4622</v>
      </c>
      <c r="E1851" s="81" t="s">
        <v>2936</v>
      </c>
      <c r="F1851" s="84">
        <v>567.0</v>
      </c>
      <c r="G1851" s="81" t="s">
        <v>44</v>
      </c>
      <c r="H1851" s="81" t="s">
        <v>4623</v>
      </c>
      <c r="I1851" s="81" t="s">
        <v>4624</v>
      </c>
      <c r="J1851" s="81" t="s">
        <v>4088</v>
      </c>
      <c r="K1851" s="81" t="str">
        <f>IFERROR(__xludf.DUMMYFUNCTION("IF(OR(D1851="""",G1851=""""),"""",IFERROR(LET(
campo,XLOOKUP(TRIM(G1851),ARRAYFORMULA(TRIM('indice columnas'!$A$2:$A$100)),'indice columnas'!$B$2:$B$100,""""),
col,IFERROR(MATCH(campo,Referencia!$A$1:$AZ$1,0),0),
fila,IFERROR(MATCH(TO_TEXT(D1851),ARRAYFOR"&amp;"MULA(TO_TEXT(Referencia!$A$2:$A6238)),0),0),
IF(OR(campo="""",campo=""-""),""NO APLICA"",
IF(col=0,""REVISAR EQUIVALENCIA"",
IF(fila=0,""SKU NO ENCONTRADO"",
LET(
valor,INDEX(Referencia!$A$2:$AZ6238,fila,col),
IF(TRIM(TO_TEXT(valor))=TRIM(TO_TEXT(I1851)),"&amp;"
""OK"",
""NO COINCIDE. Valor verdadero: ""&amp;IF(valor="""",""[VACÍO]"",TO_TEXT(valor))
)
))))
),""ERROR EN FÓRMULA""))"),"NO APLICA")</f>
        <v>NO APLICA</v>
      </c>
    </row>
    <row r="1852">
      <c r="A1852" s="83" t="s">
        <v>4618</v>
      </c>
      <c r="B1852" s="83" t="s">
        <v>4619</v>
      </c>
      <c r="C1852" s="81" t="s">
        <v>4621</v>
      </c>
      <c r="D1852" s="83" t="s">
        <v>4625</v>
      </c>
      <c r="E1852" s="81" t="s">
        <v>2949</v>
      </c>
      <c r="F1852" s="84">
        <v>568.0</v>
      </c>
      <c r="G1852" s="81" t="s">
        <v>44</v>
      </c>
      <c r="H1852" s="81" t="s">
        <v>4626</v>
      </c>
      <c r="I1852" s="81" t="s">
        <v>2949</v>
      </c>
      <c r="J1852" s="81" t="s">
        <v>4088</v>
      </c>
      <c r="K1852" s="81" t="str">
        <f>IFERROR(__xludf.DUMMYFUNCTION("IF(OR(D1852="""",G1852=""""),"""",IFERROR(LET(
campo,XLOOKUP(TRIM(G1852),ARRAYFORMULA(TRIM('indice columnas'!$A$2:$A$100)),'indice columnas'!$B$2:$B$100,""""),
col,IFERROR(MATCH(campo,Referencia!$A$1:$AZ$1,0),0),
fila,IFERROR(MATCH(TO_TEXT(D1852),ARRAYFOR"&amp;"MULA(TO_TEXT(Referencia!$A$2:$A6238)),0),0),
IF(OR(campo="""",campo=""-""),""NO APLICA"",
IF(col=0,""REVISAR EQUIVALENCIA"",
IF(fila=0,""SKU NO ENCONTRADO"",
LET(
valor,INDEX(Referencia!$A$2:$AZ6238,fila,col),
IF(TRIM(TO_TEXT(valor))=TRIM(TO_TEXT(I1852)),"&amp;"
""OK"",
""NO COINCIDE. Valor verdadero: ""&amp;IF(valor="""",""[VACÍO]"",TO_TEXT(valor))
)
))))
),""ERROR EN FÓRMULA""))"),"NO APLICA")</f>
        <v>NO APLICA</v>
      </c>
    </row>
    <row r="1853">
      <c r="A1853" s="83" t="s">
        <v>4618</v>
      </c>
      <c r="B1853" s="83" t="s">
        <v>4619</v>
      </c>
      <c r="C1853" s="81" t="s">
        <v>4621</v>
      </c>
      <c r="D1853" s="83" t="s">
        <v>4625</v>
      </c>
      <c r="E1853" s="81" t="s">
        <v>2961</v>
      </c>
      <c r="F1853" s="84">
        <v>569.0</v>
      </c>
      <c r="G1853" s="81" t="s">
        <v>12</v>
      </c>
      <c r="H1853" s="81" t="s">
        <v>224</v>
      </c>
      <c r="I1853" s="81" t="s">
        <v>1549</v>
      </c>
      <c r="J1853" s="81" t="s">
        <v>224</v>
      </c>
      <c r="K1853" s="81" t="str">
        <f>IFERROR(__xludf.DUMMYFUNCTION("IF(OR(D1853="""",G1853=""""),"""",IFERROR(LET(
campo,XLOOKUP(TRIM(G1853),ARRAYFORMULA(TRIM('indice columnas'!$A$2:$A$100)),'indice columnas'!$B$2:$B$100,""""),
col,IFERROR(MATCH(campo,Referencia!$A$1:$AZ$1,0),0),
fila,IFERROR(MATCH(TO_TEXT(D1853),ARRAYFOR"&amp;"MULA(TO_TEXT(Referencia!$A$2:$A6238)),0),0),
IF(OR(campo="""",campo=""-""),""NO APLICA"",
IF(col=0,""REVISAR EQUIVALENCIA"",
IF(fila=0,""SKU NO ENCONTRADO"",
LET(
valor,INDEX(Referencia!$A$2:$AZ6238,fila,col),
IF(TRIM(TO_TEXT(valor))=TRIM(TO_TEXT(I1853)),"&amp;"
""OK"",
""NO COINCIDE. Valor verdadero: ""&amp;IF(valor="""",""[VACÍO]"",TO_TEXT(valor))
)
))))
),""ERROR EN FÓRMULA""))"),"OK")</f>
        <v>OK</v>
      </c>
    </row>
    <row r="1854">
      <c r="A1854" s="83" t="s">
        <v>4618</v>
      </c>
      <c r="B1854" s="83" t="s">
        <v>4619</v>
      </c>
      <c r="C1854" s="81" t="s">
        <v>4621</v>
      </c>
      <c r="D1854" s="83" t="s">
        <v>4625</v>
      </c>
      <c r="E1854" s="81" t="s">
        <v>2961</v>
      </c>
      <c r="F1854" s="84">
        <v>569.0</v>
      </c>
      <c r="G1854" s="81" t="s">
        <v>44</v>
      </c>
      <c r="H1854" s="81" t="s">
        <v>4626</v>
      </c>
      <c r="I1854" s="81" t="s">
        <v>2949</v>
      </c>
      <c r="J1854" s="81" t="s">
        <v>4088</v>
      </c>
      <c r="K1854" s="81" t="str">
        <f>IFERROR(__xludf.DUMMYFUNCTION("IF(OR(D1854="""",G1854=""""),"""",IFERROR(LET(
campo,XLOOKUP(TRIM(G1854),ARRAYFORMULA(TRIM('indice columnas'!$A$2:$A$100)),'indice columnas'!$B$2:$B$100,""""),
col,IFERROR(MATCH(campo,Referencia!$A$1:$AZ$1,0),0),
fila,IFERROR(MATCH(TO_TEXT(D1854),ARRAYFOR"&amp;"MULA(TO_TEXT(Referencia!$A$2:$A6238)),0),0),
IF(OR(campo="""",campo=""-""),""NO APLICA"",
IF(col=0,""REVISAR EQUIVALENCIA"",
IF(fila=0,""SKU NO ENCONTRADO"",
LET(
valor,INDEX(Referencia!$A$2:$AZ6238,fila,col),
IF(TRIM(TO_TEXT(valor))=TRIM(TO_TEXT(I1854)),"&amp;"
""OK"",
""NO COINCIDE. Valor verdadero: ""&amp;IF(valor="""",""[VACÍO]"",TO_TEXT(valor))
)
))))
),""ERROR EN FÓRMULA""))"),"NO APLICA")</f>
        <v>NO APLICA</v>
      </c>
    </row>
    <row r="1855">
      <c r="A1855" s="83" t="s">
        <v>4618</v>
      </c>
      <c r="B1855" s="83" t="s">
        <v>4619</v>
      </c>
      <c r="C1855" s="81" t="s">
        <v>4621</v>
      </c>
      <c r="D1855" s="83" t="s">
        <v>4627</v>
      </c>
      <c r="E1855" s="81" t="s">
        <v>2962</v>
      </c>
      <c r="F1855" s="84">
        <v>570.0</v>
      </c>
      <c r="G1855" s="81" t="s">
        <v>12</v>
      </c>
      <c r="H1855" s="81" t="s">
        <v>224</v>
      </c>
      <c r="I1855" s="81" t="s">
        <v>1549</v>
      </c>
      <c r="J1855" s="81" t="s">
        <v>224</v>
      </c>
      <c r="K1855" s="81" t="str">
        <f>IFERROR(__xludf.DUMMYFUNCTION("IF(OR(D1855="""",G1855=""""),"""",IFERROR(LET(
campo,XLOOKUP(TRIM(G1855),ARRAYFORMULA(TRIM('indice columnas'!$A$2:$A$100)),'indice columnas'!$B$2:$B$100,""""),
col,IFERROR(MATCH(campo,Referencia!$A$1:$AZ$1,0),0),
fila,IFERROR(MATCH(TO_TEXT(D1855),ARRAYFOR"&amp;"MULA(TO_TEXT(Referencia!$A$2:$A6238)),0),0),
IF(OR(campo="""",campo=""-""),""NO APLICA"",
IF(col=0,""REVISAR EQUIVALENCIA"",
IF(fila=0,""SKU NO ENCONTRADO"",
LET(
valor,INDEX(Referencia!$A$2:$AZ6238,fila,col),
IF(TRIM(TO_TEXT(valor))=TRIM(TO_TEXT(I1855)),"&amp;"
""OK"",
""NO COINCIDE. Valor verdadero: ""&amp;IF(valor="""",""[VACÍO]"",TO_TEXT(valor))
)
))))
),""ERROR EN FÓRMULA""))"),"OK")</f>
        <v>OK</v>
      </c>
    </row>
    <row r="1856">
      <c r="A1856" s="83" t="s">
        <v>4618</v>
      </c>
      <c r="B1856" s="83" t="s">
        <v>4619</v>
      </c>
      <c r="C1856" s="81" t="s">
        <v>4621</v>
      </c>
      <c r="D1856" s="83" t="s">
        <v>4627</v>
      </c>
      <c r="E1856" s="81" t="s">
        <v>2962</v>
      </c>
      <c r="F1856" s="84">
        <v>570.0</v>
      </c>
      <c r="G1856" s="81" t="s">
        <v>44</v>
      </c>
      <c r="H1856" s="81" t="s">
        <v>4626</v>
      </c>
      <c r="I1856" s="81" t="s">
        <v>2949</v>
      </c>
      <c r="J1856" s="81" t="s">
        <v>4088</v>
      </c>
      <c r="K1856" s="81" t="str">
        <f>IFERROR(__xludf.DUMMYFUNCTION("IF(OR(D1856="""",G1856=""""),"""",IFERROR(LET(
campo,XLOOKUP(TRIM(G1856),ARRAYFORMULA(TRIM('indice columnas'!$A$2:$A$100)),'indice columnas'!$B$2:$B$100,""""),
col,IFERROR(MATCH(campo,Referencia!$A$1:$AZ$1,0),0),
fila,IFERROR(MATCH(TO_TEXT(D1856),ARRAYFOR"&amp;"MULA(TO_TEXT(Referencia!$A$2:$A6238)),0),0),
IF(OR(campo="""",campo=""-""),""NO APLICA"",
IF(col=0,""REVISAR EQUIVALENCIA"",
IF(fila=0,""SKU NO ENCONTRADO"",
LET(
valor,INDEX(Referencia!$A$2:$AZ6238,fila,col),
IF(TRIM(TO_TEXT(valor))=TRIM(TO_TEXT(I1856)),"&amp;"
""OK"",
""NO COINCIDE. Valor verdadero: ""&amp;IF(valor="""",""[VACÍO]"",TO_TEXT(valor))
)
))))
),""ERROR EN FÓRMULA""))"),"NO APLICA")</f>
        <v>NO APLICA</v>
      </c>
    </row>
    <row r="1857">
      <c r="A1857" s="83" t="s">
        <v>4618</v>
      </c>
      <c r="B1857" s="83" t="s">
        <v>4619</v>
      </c>
      <c r="C1857" s="81" t="s">
        <v>4621</v>
      </c>
      <c r="D1857" s="83" t="s">
        <v>4628</v>
      </c>
      <c r="E1857" s="81" t="s">
        <v>2965</v>
      </c>
      <c r="F1857" s="84">
        <v>571.0</v>
      </c>
      <c r="G1857" s="81" t="s">
        <v>44</v>
      </c>
      <c r="H1857" s="81" t="s">
        <v>4629</v>
      </c>
      <c r="I1857" s="81" t="s">
        <v>2965</v>
      </c>
      <c r="J1857" s="81" t="s">
        <v>4088</v>
      </c>
      <c r="K1857" s="81" t="str">
        <f>IFERROR(__xludf.DUMMYFUNCTION("IF(OR(D1857="""",G1857=""""),"""",IFERROR(LET(
campo,XLOOKUP(TRIM(G1857),ARRAYFORMULA(TRIM('indice columnas'!$A$2:$A$100)),'indice columnas'!$B$2:$B$100,""""),
col,IFERROR(MATCH(campo,Referencia!$A$1:$AZ$1,0),0),
fila,IFERROR(MATCH(TO_TEXT(D1857),ARRAYFOR"&amp;"MULA(TO_TEXT(Referencia!$A$2:$A6238)),0),0),
IF(OR(campo="""",campo=""-""),""NO APLICA"",
IF(col=0,""REVISAR EQUIVALENCIA"",
IF(fila=0,""SKU NO ENCONTRADO"",
LET(
valor,INDEX(Referencia!$A$2:$AZ6238,fila,col),
IF(TRIM(TO_TEXT(valor))=TRIM(TO_TEXT(I1857)),"&amp;"
""OK"",
""NO COINCIDE. Valor verdadero: ""&amp;IF(valor="""",""[VACÍO]"",TO_TEXT(valor))
)
))))
),""ERROR EN FÓRMULA""))"),"NO APLICA")</f>
        <v>NO APLICA</v>
      </c>
    </row>
    <row r="1858">
      <c r="A1858" s="83" t="s">
        <v>4618</v>
      </c>
      <c r="B1858" s="83" t="s">
        <v>4619</v>
      </c>
      <c r="C1858" s="81" t="s">
        <v>4621</v>
      </c>
      <c r="D1858" s="83" t="s">
        <v>4628</v>
      </c>
      <c r="E1858" s="81" t="s">
        <v>2978</v>
      </c>
      <c r="F1858" s="84">
        <v>572.0</v>
      </c>
      <c r="G1858" s="81" t="s">
        <v>12</v>
      </c>
      <c r="H1858" s="81" t="s">
        <v>224</v>
      </c>
      <c r="I1858" s="81" t="s">
        <v>1549</v>
      </c>
      <c r="J1858" s="81" t="s">
        <v>224</v>
      </c>
      <c r="K1858" s="81" t="str">
        <f>IFERROR(__xludf.DUMMYFUNCTION("IF(OR(D1858="""",G1858=""""),"""",IFERROR(LET(
campo,XLOOKUP(TRIM(G1858),ARRAYFORMULA(TRIM('indice columnas'!$A$2:$A$100)),'indice columnas'!$B$2:$B$100,""""),
col,IFERROR(MATCH(campo,Referencia!$A$1:$AZ$1,0),0),
fila,IFERROR(MATCH(TO_TEXT(D1858),ARRAYFOR"&amp;"MULA(TO_TEXT(Referencia!$A$2:$A6238)),0),0),
IF(OR(campo="""",campo=""-""),""NO APLICA"",
IF(col=0,""REVISAR EQUIVALENCIA"",
IF(fila=0,""SKU NO ENCONTRADO"",
LET(
valor,INDEX(Referencia!$A$2:$AZ6238,fila,col),
IF(TRIM(TO_TEXT(valor))=TRIM(TO_TEXT(I1858)),"&amp;"
""OK"",
""NO COINCIDE. Valor verdadero: ""&amp;IF(valor="""",""[VACÍO]"",TO_TEXT(valor))
)
))))
),""ERROR EN FÓRMULA""))"),"OK")</f>
        <v>OK</v>
      </c>
    </row>
    <row r="1859">
      <c r="A1859" s="83" t="s">
        <v>4618</v>
      </c>
      <c r="B1859" s="83" t="s">
        <v>4619</v>
      </c>
      <c r="C1859" s="81" t="s">
        <v>4621</v>
      </c>
      <c r="D1859" s="83" t="s">
        <v>4628</v>
      </c>
      <c r="E1859" s="81" t="s">
        <v>2978</v>
      </c>
      <c r="F1859" s="84">
        <v>572.0</v>
      </c>
      <c r="G1859" s="81" t="s">
        <v>44</v>
      </c>
      <c r="H1859" s="81" t="s">
        <v>4629</v>
      </c>
      <c r="I1859" s="81" t="s">
        <v>2965</v>
      </c>
      <c r="J1859" s="81" t="s">
        <v>4088</v>
      </c>
      <c r="K1859" s="81" t="str">
        <f>IFERROR(__xludf.DUMMYFUNCTION("IF(OR(D1859="""",G1859=""""),"""",IFERROR(LET(
campo,XLOOKUP(TRIM(G1859),ARRAYFORMULA(TRIM('indice columnas'!$A$2:$A$100)),'indice columnas'!$B$2:$B$100,""""),
col,IFERROR(MATCH(campo,Referencia!$A$1:$AZ$1,0),0),
fila,IFERROR(MATCH(TO_TEXT(D1859),ARRAYFOR"&amp;"MULA(TO_TEXT(Referencia!$A$2:$A6238)),0),0),
IF(OR(campo="""",campo=""-""),""NO APLICA"",
IF(col=0,""REVISAR EQUIVALENCIA"",
IF(fila=0,""SKU NO ENCONTRADO"",
LET(
valor,INDEX(Referencia!$A$2:$AZ6238,fila,col),
IF(TRIM(TO_TEXT(valor))=TRIM(TO_TEXT(I1859)),"&amp;"
""OK"",
""NO COINCIDE. Valor verdadero: ""&amp;IF(valor="""",""[VACÍO]"",TO_TEXT(valor))
)
))))
),""ERROR EN FÓRMULA""))"),"NO APLICA")</f>
        <v>NO APLICA</v>
      </c>
    </row>
    <row r="1860">
      <c r="A1860" s="83" t="s">
        <v>4618</v>
      </c>
      <c r="B1860" s="83" t="s">
        <v>4619</v>
      </c>
      <c r="C1860" s="81" t="s">
        <v>4621</v>
      </c>
      <c r="D1860" s="83" t="s">
        <v>4630</v>
      </c>
      <c r="E1860" s="81" t="s">
        <v>2979</v>
      </c>
      <c r="F1860" s="84">
        <v>573.0</v>
      </c>
      <c r="G1860" s="81" t="s">
        <v>12</v>
      </c>
      <c r="H1860" s="81" t="s">
        <v>224</v>
      </c>
      <c r="I1860" s="81" t="s">
        <v>1549</v>
      </c>
      <c r="J1860" s="81" t="s">
        <v>224</v>
      </c>
      <c r="K1860" s="81" t="str">
        <f>IFERROR(__xludf.DUMMYFUNCTION("IF(OR(D1860="""",G1860=""""),"""",IFERROR(LET(
campo,XLOOKUP(TRIM(G1860),ARRAYFORMULA(TRIM('indice columnas'!$A$2:$A$100)),'indice columnas'!$B$2:$B$100,""""),
col,IFERROR(MATCH(campo,Referencia!$A$1:$AZ$1,0),0),
fila,IFERROR(MATCH(TO_TEXT(D1860),ARRAYFOR"&amp;"MULA(TO_TEXT(Referencia!$A$2:$A6238)),0),0),
IF(OR(campo="""",campo=""-""),""NO APLICA"",
IF(col=0,""REVISAR EQUIVALENCIA"",
IF(fila=0,""SKU NO ENCONTRADO"",
LET(
valor,INDEX(Referencia!$A$2:$AZ6238,fila,col),
IF(TRIM(TO_TEXT(valor))=TRIM(TO_TEXT(I1860)),"&amp;"
""OK"",
""NO COINCIDE. Valor verdadero: ""&amp;IF(valor="""",""[VACÍO]"",TO_TEXT(valor))
)
))))
),""ERROR EN FÓRMULA""))"),"OK")</f>
        <v>OK</v>
      </c>
    </row>
    <row r="1861">
      <c r="A1861" s="83" t="s">
        <v>4618</v>
      </c>
      <c r="B1861" s="83" t="s">
        <v>4619</v>
      </c>
      <c r="C1861" s="81" t="s">
        <v>4621</v>
      </c>
      <c r="D1861" s="83" t="s">
        <v>4630</v>
      </c>
      <c r="E1861" s="81" t="s">
        <v>2979</v>
      </c>
      <c r="F1861" s="84">
        <v>573.0</v>
      </c>
      <c r="G1861" s="81" t="s">
        <v>44</v>
      </c>
      <c r="H1861" s="81" t="s">
        <v>4629</v>
      </c>
      <c r="I1861" s="81" t="s">
        <v>2965</v>
      </c>
      <c r="J1861" s="81" t="s">
        <v>4088</v>
      </c>
      <c r="K1861" s="81" t="str">
        <f>IFERROR(__xludf.DUMMYFUNCTION("IF(OR(D1861="""",G1861=""""),"""",IFERROR(LET(
campo,XLOOKUP(TRIM(G1861),ARRAYFORMULA(TRIM('indice columnas'!$A$2:$A$100)),'indice columnas'!$B$2:$B$100,""""),
col,IFERROR(MATCH(campo,Referencia!$A$1:$AZ$1,0),0),
fila,IFERROR(MATCH(TO_TEXT(D1861),ARRAYFOR"&amp;"MULA(TO_TEXT(Referencia!$A$2:$A6238)),0),0),
IF(OR(campo="""",campo=""-""),""NO APLICA"",
IF(col=0,""REVISAR EQUIVALENCIA"",
IF(fila=0,""SKU NO ENCONTRADO"",
LET(
valor,INDEX(Referencia!$A$2:$AZ6238,fila,col),
IF(TRIM(TO_TEXT(valor))=TRIM(TO_TEXT(I1861)),"&amp;"
""OK"",
""NO COINCIDE. Valor verdadero: ""&amp;IF(valor="""",""[VACÍO]"",TO_TEXT(valor))
)
))))
),""ERROR EN FÓRMULA""))"),"NO APLICA")</f>
        <v>NO APLICA</v>
      </c>
    </row>
    <row r="1862">
      <c r="A1862" s="83" t="s">
        <v>4618</v>
      </c>
      <c r="B1862" s="83" t="s">
        <v>4619</v>
      </c>
      <c r="C1862" s="81" t="s">
        <v>4621</v>
      </c>
      <c r="D1862" s="83" t="s">
        <v>4631</v>
      </c>
      <c r="E1862" s="81" t="s">
        <v>2982</v>
      </c>
      <c r="F1862" s="84">
        <v>574.0</v>
      </c>
      <c r="G1862" s="81" t="s">
        <v>44</v>
      </c>
      <c r="H1862" s="81" t="s">
        <v>4632</v>
      </c>
      <c r="I1862" s="81" t="s">
        <v>2982</v>
      </c>
      <c r="J1862" s="81" t="s">
        <v>4088</v>
      </c>
      <c r="K1862" s="81" t="str">
        <f>IFERROR(__xludf.DUMMYFUNCTION("IF(OR(D1862="""",G1862=""""),"""",IFERROR(LET(
campo,XLOOKUP(TRIM(G1862),ARRAYFORMULA(TRIM('indice columnas'!$A$2:$A$100)),'indice columnas'!$B$2:$B$100,""""),
col,IFERROR(MATCH(campo,Referencia!$A$1:$AZ$1,0),0),
fila,IFERROR(MATCH(TO_TEXT(D1862),ARRAYFOR"&amp;"MULA(TO_TEXT(Referencia!$A$2:$A6238)),0),0),
IF(OR(campo="""",campo=""-""),""NO APLICA"",
IF(col=0,""REVISAR EQUIVALENCIA"",
IF(fila=0,""SKU NO ENCONTRADO"",
LET(
valor,INDEX(Referencia!$A$2:$AZ6238,fila,col),
IF(TRIM(TO_TEXT(valor))=TRIM(TO_TEXT(I1862)),"&amp;"
""OK"",
""NO COINCIDE. Valor verdadero: ""&amp;IF(valor="""",""[VACÍO]"",TO_TEXT(valor))
)
))))
),""ERROR EN FÓRMULA""))"),"NO APLICA")</f>
        <v>NO APLICA</v>
      </c>
    </row>
    <row r="1863">
      <c r="A1863" s="83" t="s">
        <v>4618</v>
      </c>
      <c r="B1863" s="83" t="s">
        <v>4619</v>
      </c>
      <c r="C1863" s="81" t="s">
        <v>4621</v>
      </c>
      <c r="D1863" s="83" t="s">
        <v>4631</v>
      </c>
      <c r="E1863" s="81" t="s">
        <v>2995</v>
      </c>
      <c r="F1863" s="84">
        <v>575.0</v>
      </c>
      <c r="G1863" s="81" t="s">
        <v>44</v>
      </c>
      <c r="H1863" s="81" t="s">
        <v>4632</v>
      </c>
      <c r="I1863" s="81" t="s">
        <v>2982</v>
      </c>
      <c r="J1863" s="81" t="s">
        <v>4088</v>
      </c>
      <c r="K1863" s="81" t="str">
        <f>IFERROR(__xludf.DUMMYFUNCTION("IF(OR(D1863="""",G1863=""""),"""",IFERROR(LET(
campo,XLOOKUP(TRIM(G1863),ARRAYFORMULA(TRIM('indice columnas'!$A$2:$A$100)),'indice columnas'!$B$2:$B$100,""""),
col,IFERROR(MATCH(campo,Referencia!$A$1:$AZ$1,0),0),
fila,IFERROR(MATCH(TO_TEXT(D1863),ARRAYFOR"&amp;"MULA(TO_TEXT(Referencia!$A$2:$A6238)),0),0),
IF(OR(campo="""",campo=""-""),""NO APLICA"",
IF(col=0,""REVISAR EQUIVALENCIA"",
IF(fila=0,""SKU NO ENCONTRADO"",
LET(
valor,INDEX(Referencia!$A$2:$AZ6238,fila,col),
IF(TRIM(TO_TEXT(valor))=TRIM(TO_TEXT(I1863)),"&amp;"
""OK"",
""NO COINCIDE. Valor verdadero: ""&amp;IF(valor="""",""[VACÍO]"",TO_TEXT(valor))
)
))))
),""ERROR EN FÓRMULA""))"),"NO APLICA")</f>
        <v>NO APLICA</v>
      </c>
    </row>
    <row r="1864">
      <c r="A1864" s="83" t="s">
        <v>4618</v>
      </c>
      <c r="B1864" s="83" t="s">
        <v>4619</v>
      </c>
      <c r="C1864" s="81" t="s">
        <v>4621</v>
      </c>
      <c r="D1864" s="83" t="s">
        <v>4633</v>
      </c>
      <c r="E1864" s="81" t="s">
        <v>2996</v>
      </c>
      <c r="F1864" s="84">
        <v>576.0</v>
      </c>
      <c r="G1864" s="81" t="s">
        <v>44</v>
      </c>
      <c r="H1864" s="81" t="s">
        <v>4632</v>
      </c>
      <c r="I1864" s="81" t="s">
        <v>2982</v>
      </c>
      <c r="J1864" s="81" t="s">
        <v>4088</v>
      </c>
      <c r="K1864" s="81" t="str">
        <f>IFERROR(__xludf.DUMMYFUNCTION("IF(OR(D1864="""",G1864=""""),"""",IFERROR(LET(
campo,XLOOKUP(TRIM(G1864),ARRAYFORMULA(TRIM('indice columnas'!$A$2:$A$100)),'indice columnas'!$B$2:$B$100,""""),
col,IFERROR(MATCH(campo,Referencia!$A$1:$AZ$1,0),0),
fila,IFERROR(MATCH(TO_TEXT(D1864),ARRAYFOR"&amp;"MULA(TO_TEXT(Referencia!$A$2:$A6238)),0),0),
IF(OR(campo="""",campo=""-""),""NO APLICA"",
IF(col=0,""REVISAR EQUIVALENCIA"",
IF(fila=0,""SKU NO ENCONTRADO"",
LET(
valor,INDEX(Referencia!$A$2:$AZ6238,fila,col),
IF(TRIM(TO_TEXT(valor))=TRIM(TO_TEXT(I1864)),"&amp;"
""OK"",
""NO COINCIDE. Valor verdadero: ""&amp;IF(valor="""",""[VACÍO]"",TO_TEXT(valor))
)
))))
),""ERROR EN FÓRMULA""))"),"NO APLICA")</f>
        <v>NO APLICA</v>
      </c>
    </row>
    <row r="1865">
      <c r="A1865" s="83" t="s">
        <v>4618</v>
      </c>
      <c r="B1865" s="83" t="s">
        <v>4619</v>
      </c>
      <c r="C1865" s="81" t="s">
        <v>4621</v>
      </c>
      <c r="D1865" s="83" t="s">
        <v>4634</v>
      </c>
      <c r="E1865" s="81" t="s">
        <v>2999</v>
      </c>
      <c r="F1865" s="84">
        <v>577.0</v>
      </c>
      <c r="G1865" s="81" t="s">
        <v>44</v>
      </c>
      <c r="H1865" s="81" t="s">
        <v>4635</v>
      </c>
      <c r="I1865" s="81" t="s">
        <v>2999</v>
      </c>
      <c r="J1865" s="81" t="s">
        <v>4088</v>
      </c>
      <c r="K1865" s="81" t="str">
        <f>IFERROR(__xludf.DUMMYFUNCTION("IF(OR(D1865="""",G1865=""""),"""",IFERROR(LET(
campo,XLOOKUP(TRIM(G1865),ARRAYFORMULA(TRIM('indice columnas'!$A$2:$A$100)),'indice columnas'!$B$2:$B$100,""""),
col,IFERROR(MATCH(campo,Referencia!$A$1:$AZ$1,0),0),
fila,IFERROR(MATCH(TO_TEXT(D1865),ARRAYFOR"&amp;"MULA(TO_TEXT(Referencia!$A$2:$A6238)),0),0),
IF(OR(campo="""",campo=""-""),""NO APLICA"",
IF(col=0,""REVISAR EQUIVALENCIA"",
IF(fila=0,""SKU NO ENCONTRADO"",
LET(
valor,INDEX(Referencia!$A$2:$AZ6238,fila,col),
IF(TRIM(TO_TEXT(valor))=TRIM(TO_TEXT(I1865)),"&amp;"
""OK"",
""NO COINCIDE. Valor verdadero: ""&amp;IF(valor="""",""[VACÍO]"",TO_TEXT(valor))
)
))))
),""ERROR EN FÓRMULA""))"),"NO APLICA")</f>
        <v>NO APLICA</v>
      </c>
    </row>
    <row r="1866">
      <c r="A1866" s="83" t="s">
        <v>4618</v>
      </c>
      <c r="B1866" s="83" t="s">
        <v>4619</v>
      </c>
      <c r="C1866" s="81" t="s">
        <v>4621</v>
      </c>
      <c r="D1866" s="83" t="s">
        <v>4634</v>
      </c>
      <c r="E1866" s="81" t="s">
        <v>3009</v>
      </c>
      <c r="F1866" s="84">
        <v>578.0</v>
      </c>
      <c r="G1866" s="81" t="s">
        <v>12</v>
      </c>
      <c r="H1866" s="81" t="s">
        <v>224</v>
      </c>
      <c r="I1866" s="81" t="s">
        <v>1549</v>
      </c>
      <c r="J1866" s="81" t="s">
        <v>224</v>
      </c>
      <c r="K1866" s="81" t="str">
        <f>IFERROR(__xludf.DUMMYFUNCTION("IF(OR(D1866="""",G1866=""""),"""",IFERROR(LET(
campo,XLOOKUP(TRIM(G1866),ARRAYFORMULA(TRIM('indice columnas'!$A$2:$A$100)),'indice columnas'!$B$2:$B$100,""""),
col,IFERROR(MATCH(campo,Referencia!$A$1:$AZ$1,0),0),
fila,IFERROR(MATCH(TO_TEXT(D1866),ARRAYFOR"&amp;"MULA(TO_TEXT(Referencia!$A$2:$A6238)),0),0),
IF(OR(campo="""",campo=""-""),""NO APLICA"",
IF(col=0,""REVISAR EQUIVALENCIA"",
IF(fila=0,""SKU NO ENCONTRADO"",
LET(
valor,INDEX(Referencia!$A$2:$AZ6238,fila,col),
IF(TRIM(TO_TEXT(valor))=TRIM(TO_TEXT(I1866)),"&amp;"
""OK"",
""NO COINCIDE. Valor verdadero: ""&amp;IF(valor="""",""[VACÍO]"",TO_TEXT(valor))
)
))))
),""ERROR EN FÓRMULA""))"),"OK")</f>
        <v>OK</v>
      </c>
    </row>
    <row r="1867">
      <c r="A1867" s="83" t="s">
        <v>4618</v>
      </c>
      <c r="B1867" s="83" t="s">
        <v>4619</v>
      </c>
      <c r="C1867" s="81" t="s">
        <v>4621</v>
      </c>
      <c r="D1867" s="83" t="s">
        <v>4634</v>
      </c>
      <c r="E1867" s="81" t="s">
        <v>3009</v>
      </c>
      <c r="F1867" s="84">
        <v>578.0</v>
      </c>
      <c r="G1867" s="81" t="s">
        <v>44</v>
      </c>
      <c r="H1867" s="81" t="s">
        <v>4635</v>
      </c>
      <c r="I1867" s="81" t="s">
        <v>2999</v>
      </c>
      <c r="J1867" s="81" t="s">
        <v>4088</v>
      </c>
      <c r="K1867" s="81" t="str">
        <f>IFERROR(__xludf.DUMMYFUNCTION("IF(OR(D1867="""",G1867=""""),"""",IFERROR(LET(
campo,XLOOKUP(TRIM(G1867),ARRAYFORMULA(TRIM('indice columnas'!$A$2:$A$100)),'indice columnas'!$B$2:$B$100,""""),
col,IFERROR(MATCH(campo,Referencia!$A$1:$AZ$1,0),0),
fila,IFERROR(MATCH(TO_TEXT(D1867),ARRAYFOR"&amp;"MULA(TO_TEXT(Referencia!$A$2:$A6238)),0),0),
IF(OR(campo="""",campo=""-""),""NO APLICA"",
IF(col=0,""REVISAR EQUIVALENCIA"",
IF(fila=0,""SKU NO ENCONTRADO"",
LET(
valor,INDEX(Referencia!$A$2:$AZ6238,fila,col),
IF(TRIM(TO_TEXT(valor))=TRIM(TO_TEXT(I1867)),"&amp;"
""OK"",
""NO COINCIDE. Valor verdadero: ""&amp;IF(valor="""",""[VACÍO]"",TO_TEXT(valor))
)
))))
),""ERROR EN FÓRMULA""))"),"NO APLICA")</f>
        <v>NO APLICA</v>
      </c>
    </row>
    <row r="1868">
      <c r="A1868" s="83" t="s">
        <v>4618</v>
      </c>
      <c r="B1868" s="83" t="s">
        <v>4619</v>
      </c>
      <c r="C1868" s="81" t="s">
        <v>4621</v>
      </c>
      <c r="D1868" s="83" t="s">
        <v>4636</v>
      </c>
      <c r="E1868" s="81" t="s">
        <v>3010</v>
      </c>
      <c r="F1868" s="84">
        <v>579.0</v>
      </c>
      <c r="G1868" s="81" t="s">
        <v>12</v>
      </c>
      <c r="H1868" s="81" t="s">
        <v>224</v>
      </c>
      <c r="I1868" s="81" t="s">
        <v>1549</v>
      </c>
      <c r="J1868" s="81" t="s">
        <v>224</v>
      </c>
      <c r="K1868" s="81" t="str">
        <f>IFERROR(__xludf.DUMMYFUNCTION("IF(OR(D1868="""",G1868=""""),"""",IFERROR(LET(
campo,XLOOKUP(TRIM(G1868),ARRAYFORMULA(TRIM('indice columnas'!$A$2:$A$100)),'indice columnas'!$B$2:$B$100,""""),
col,IFERROR(MATCH(campo,Referencia!$A$1:$AZ$1,0),0),
fila,IFERROR(MATCH(TO_TEXT(D1868),ARRAYFOR"&amp;"MULA(TO_TEXT(Referencia!$A$2:$A6238)),0),0),
IF(OR(campo="""",campo=""-""),""NO APLICA"",
IF(col=0,""REVISAR EQUIVALENCIA"",
IF(fila=0,""SKU NO ENCONTRADO"",
LET(
valor,INDEX(Referencia!$A$2:$AZ6238,fila,col),
IF(TRIM(TO_TEXT(valor))=TRIM(TO_TEXT(I1868)),"&amp;"
""OK"",
""NO COINCIDE. Valor verdadero: ""&amp;IF(valor="""",""[VACÍO]"",TO_TEXT(valor))
)
))))
),""ERROR EN FÓRMULA""))"),"OK")</f>
        <v>OK</v>
      </c>
    </row>
    <row r="1869">
      <c r="A1869" s="83" t="s">
        <v>4618</v>
      </c>
      <c r="B1869" s="83" t="s">
        <v>4619</v>
      </c>
      <c r="C1869" s="81" t="s">
        <v>4621</v>
      </c>
      <c r="D1869" s="83" t="s">
        <v>4636</v>
      </c>
      <c r="E1869" s="81" t="s">
        <v>3010</v>
      </c>
      <c r="F1869" s="84">
        <v>579.0</v>
      </c>
      <c r="G1869" s="81" t="s">
        <v>44</v>
      </c>
      <c r="H1869" s="81" t="s">
        <v>4635</v>
      </c>
      <c r="I1869" s="81" t="s">
        <v>2999</v>
      </c>
      <c r="J1869" s="81" t="s">
        <v>4088</v>
      </c>
      <c r="K1869" s="81" t="str">
        <f>IFERROR(__xludf.DUMMYFUNCTION("IF(OR(D1869="""",G1869=""""),"""",IFERROR(LET(
campo,XLOOKUP(TRIM(G1869),ARRAYFORMULA(TRIM('indice columnas'!$A$2:$A$100)),'indice columnas'!$B$2:$B$100,""""),
col,IFERROR(MATCH(campo,Referencia!$A$1:$AZ$1,0),0),
fila,IFERROR(MATCH(TO_TEXT(D1869),ARRAYFOR"&amp;"MULA(TO_TEXT(Referencia!$A$2:$A6238)),0),0),
IF(OR(campo="""",campo=""-""),""NO APLICA"",
IF(col=0,""REVISAR EQUIVALENCIA"",
IF(fila=0,""SKU NO ENCONTRADO"",
LET(
valor,INDEX(Referencia!$A$2:$AZ6238,fila,col),
IF(TRIM(TO_TEXT(valor))=TRIM(TO_TEXT(I1869)),"&amp;"
""OK"",
""NO COINCIDE. Valor verdadero: ""&amp;IF(valor="""",""[VACÍO]"",TO_TEXT(valor))
)
))))
),""ERROR EN FÓRMULA""))"),"NO APLICA")</f>
        <v>NO APLICA</v>
      </c>
    </row>
    <row r="1870">
      <c r="A1870" s="83" t="s">
        <v>4618</v>
      </c>
      <c r="B1870" s="83" t="s">
        <v>4619</v>
      </c>
      <c r="C1870" s="81" t="s">
        <v>4621</v>
      </c>
      <c r="D1870" s="83" t="s">
        <v>4637</v>
      </c>
      <c r="E1870" s="81" t="s">
        <v>3013</v>
      </c>
      <c r="F1870" s="84">
        <v>580.0</v>
      </c>
      <c r="G1870" s="81" t="s">
        <v>44</v>
      </c>
      <c r="H1870" s="81" t="s">
        <v>4638</v>
      </c>
      <c r="I1870" s="81" t="s">
        <v>3013</v>
      </c>
      <c r="J1870" s="81" t="s">
        <v>4088</v>
      </c>
      <c r="K1870" s="81" t="str">
        <f>IFERROR(__xludf.DUMMYFUNCTION("IF(OR(D1870="""",G1870=""""),"""",IFERROR(LET(
campo,XLOOKUP(TRIM(G1870),ARRAYFORMULA(TRIM('indice columnas'!$A$2:$A$100)),'indice columnas'!$B$2:$B$100,""""),
col,IFERROR(MATCH(campo,Referencia!$A$1:$AZ$1,0),0),
fila,IFERROR(MATCH(TO_TEXT(D1870),ARRAYFOR"&amp;"MULA(TO_TEXT(Referencia!$A$2:$A6238)),0),0),
IF(OR(campo="""",campo=""-""),""NO APLICA"",
IF(col=0,""REVISAR EQUIVALENCIA"",
IF(fila=0,""SKU NO ENCONTRADO"",
LET(
valor,INDEX(Referencia!$A$2:$AZ6238,fila,col),
IF(TRIM(TO_TEXT(valor))=TRIM(TO_TEXT(I1870)),"&amp;"
""OK"",
""NO COINCIDE. Valor verdadero: ""&amp;IF(valor="""",""[VACÍO]"",TO_TEXT(valor))
)
))))
),""ERROR EN FÓRMULA""))"),"NO APLICA")</f>
        <v>NO APLICA</v>
      </c>
    </row>
    <row r="1871">
      <c r="A1871" s="83" t="s">
        <v>4618</v>
      </c>
      <c r="B1871" s="83" t="s">
        <v>4619</v>
      </c>
      <c r="C1871" s="81" t="s">
        <v>4621</v>
      </c>
      <c r="D1871" s="83" t="s">
        <v>4637</v>
      </c>
      <c r="E1871" s="81" t="s">
        <v>3026</v>
      </c>
      <c r="F1871" s="84">
        <v>581.0</v>
      </c>
      <c r="G1871" s="81" t="s">
        <v>12</v>
      </c>
      <c r="H1871" s="81" t="s">
        <v>224</v>
      </c>
      <c r="I1871" s="81" t="s">
        <v>1549</v>
      </c>
      <c r="J1871" s="81" t="s">
        <v>224</v>
      </c>
      <c r="K1871" s="81" t="str">
        <f>IFERROR(__xludf.DUMMYFUNCTION("IF(OR(D1871="""",G1871=""""),"""",IFERROR(LET(
campo,XLOOKUP(TRIM(G1871),ARRAYFORMULA(TRIM('indice columnas'!$A$2:$A$100)),'indice columnas'!$B$2:$B$100,""""),
col,IFERROR(MATCH(campo,Referencia!$A$1:$AZ$1,0),0),
fila,IFERROR(MATCH(TO_TEXT(D1871),ARRAYFOR"&amp;"MULA(TO_TEXT(Referencia!$A$2:$A6238)),0),0),
IF(OR(campo="""",campo=""-""),""NO APLICA"",
IF(col=0,""REVISAR EQUIVALENCIA"",
IF(fila=0,""SKU NO ENCONTRADO"",
LET(
valor,INDEX(Referencia!$A$2:$AZ6238,fila,col),
IF(TRIM(TO_TEXT(valor))=TRIM(TO_TEXT(I1871)),"&amp;"
""OK"",
""NO COINCIDE. Valor verdadero: ""&amp;IF(valor="""",""[VACÍO]"",TO_TEXT(valor))
)
))))
),""ERROR EN FÓRMULA""))"),"OK")</f>
        <v>OK</v>
      </c>
    </row>
    <row r="1872">
      <c r="A1872" s="83" t="s">
        <v>4618</v>
      </c>
      <c r="B1872" s="83" t="s">
        <v>4619</v>
      </c>
      <c r="C1872" s="81" t="s">
        <v>4621</v>
      </c>
      <c r="D1872" s="83" t="s">
        <v>4637</v>
      </c>
      <c r="E1872" s="81" t="s">
        <v>3026</v>
      </c>
      <c r="F1872" s="84">
        <v>581.0</v>
      </c>
      <c r="G1872" s="81" t="s">
        <v>44</v>
      </c>
      <c r="H1872" s="81" t="s">
        <v>4638</v>
      </c>
      <c r="I1872" s="81" t="s">
        <v>3013</v>
      </c>
      <c r="J1872" s="81" t="s">
        <v>4088</v>
      </c>
      <c r="K1872" s="81" t="str">
        <f>IFERROR(__xludf.DUMMYFUNCTION("IF(OR(D1872="""",G1872=""""),"""",IFERROR(LET(
campo,XLOOKUP(TRIM(G1872),ARRAYFORMULA(TRIM('indice columnas'!$A$2:$A$100)),'indice columnas'!$B$2:$B$100,""""),
col,IFERROR(MATCH(campo,Referencia!$A$1:$AZ$1,0),0),
fila,IFERROR(MATCH(TO_TEXT(D1872),ARRAYFOR"&amp;"MULA(TO_TEXT(Referencia!$A$2:$A6238)),0),0),
IF(OR(campo="""",campo=""-""),""NO APLICA"",
IF(col=0,""REVISAR EQUIVALENCIA"",
IF(fila=0,""SKU NO ENCONTRADO"",
LET(
valor,INDEX(Referencia!$A$2:$AZ6238,fila,col),
IF(TRIM(TO_TEXT(valor))=TRIM(TO_TEXT(I1872)),"&amp;"
""OK"",
""NO COINCIDE. Valor verdadero: ""&amp;IF(valor="""",""[VACÍO]"",TO_TEXT(valor))
)
))))
),""ERROR EN FÓRMULA""))"),"NO APLICA")</f>
        <v>NO APLICA</v>
      </c>
    </row>
    <row r="1873">
      <c r="A1873" s="83" t="s">
        <v>4618</v>
      </c>
      <c r="B1873" s="83" t="s">
        <v>4619</v>
      </c>
      <c r="C1873" s="81" t="s">
        <v>4621</v>
      </c>
      <c r="D1873" s="83" t="s">
        <v>4639</v>
      </c>
      <c r="E1873" s="81" t="s">
        <v>3027</v>
      </c>
      <c r="F1873" s="84">
        <v>582.0</v>
      </c>
      <c r="G1873" s="81" t="s">
        <v>12</v>
      </c>
      <c r="H1873" s="81" t="s">
        <v>224</v>
      </c>
      <c r="I1873" s="81" t="s">
        <v>1549</v>
      </c>
      <c r="J1873" s="81" t="s">
        <v>224</v>
      </c>
      <c r="K1873" s="81" t="str">
        <f>IFERROR(__xludf.DUMMYFUNCTION("IF(OR(D1873="""",G1873=""""),"""",IFERROR(LET(
campo,XLOOKUP(TRIM(G1873),ARRAYFORMULA(TRIM('indice columnas'!$A$2:$A$100)),'indice columnas'!$B$2:$B$100,""""),
col,IFERROR(MATCH(campo,Referencia!$A$1:$AZ$1,0),0),
fila,IFERROR(MATCH(TO_TEXT(D1873),ARRAYFOR"&amp;"MULA(TO_TEXT(Referencia!$A$2:$A6238)),0),0),
IF(OR(campo="""",campo=""-""),""NO APLICA"",
IF(col=0,""REVISAR EQUIVALENCIA"",
IF(fila=0,""SKU NO ENCONTRADO"",
LET(
valor,INDEX(Referencia!$A$2:$AZ6238,fila,col),
IF(TRIM(TO_TEXT(valor))=TRIM(TO_TEXT(I1873)),"&amp;"
""OK"",
""NO COINCIDE. Valor verdadero: ""&amp;IF(valor="""",""[VACÍO]"",TO_TEXT(valor))
)
))))
),""ERROR EN FÓRMULA""))"),"OK")</f>
        <v>OK</v>
      </c>
    </row>
    <row r="1874">
      <c r="A1874" s="83" t="s">
        <v>4618</v>
      </c>
      <c r="B1874" s="83" t="s">
        <v>4619</v>
      </c>
      <c r="C1874" s="81" t="s">
        <v>4621</v>
      </c>
      <c r="D1874" s="83" t="s">
        <v>4639</v>
      </c>
      <c r="E1874" s="81" t="s">
        <v>3027</v>
      </c>
      <c r="F1874" s="84">
        <v>582.0</v>
      </c>
      <c r="G1874" s="81" t="s">
        <v>44</v>
      </c>
      <c r="H1874" s="81" t="s">
        <v>4638</v>
      </c>
      <c r="I1874" s="81" t="s">
        <v>3013</v>
      </c>
      <c r="J1874" s="81" t="s">
        <v>4088</v>
      </c>
      <c r="K1874" s="81" t="str">
        <f>IFERROR(__xludf.DUMMYFUNCTION("IF(OR(D1874="""",G1874=""""),"""",IFERROR(LET(
campo,XLOOKUP(TRIM(G1874),ARRAYFORMULA(TRIM('indice columnas'!$A$2:$A$100)),'indice columnas'!$B$2:$B$100,""""),
col,IFERROR(MATCH(campo,Referencia!$A$1:$AZ$1,0),0),
fila,IFERROR(MATCH(TO_TEXT(D1874),ARRAYFOR"&amp;"MULA(TO_TEXT(Referencia!$A$2:$A6238)),0),0),
IF(OR(campo="""",campo=""-""),""NO APLICA"",
IF(col=0,""REVISAR EQUIVALENCIA"",
IF(fila=0,""SKU NO ENCONTRADO"",
LET(
valor,INDEX(Referencia!$A$2:$AZ6238,fila,col),
IF(TRIM(TO_TEXT(valor))=TRIM(TO_TEXT(I1874)),"&amp;"
""OK"",
""NO COINCIDE. Valor verdadero: ""&amp;IF(valor="""",""[VACÍO]"",TO_TEXT(valor))
)
))))
),""ERROR EN FÓRMULA""))"),"NO APLICA")</f>
        <v>NO APLICA</v>
      </c>
    </row>
    <row r="1875">
      <c r="A1875" s="83" t="s">
        <v>4618</v>
      </c>
      <c r="B1875" s="83" t="s">
        <v>4619</v>
      </c>
      <c r="C1875" s="81" t="s">
        <v>4621</v>
      </c>
      <c r="D1875" s="83" t="s">
        <v>4640</v>
      </c>
      <c r="E1875" s="81" t="s">
        <v>3030</v>
      </c>
      <c r="F1875" s="84">
        <v>583.0</v>
      </c>
      <c r="G1875" s="81" t="s">
        <v>12</v>
      </c>
      <c r="H1875" s="81" t="s">
        <v>224</v>
      </c>
      <c r="I1875" s="81" t="s">
        <v>1549</v>
      </c>
      <c r="J1875" s="81" t="s">
        <v>224</v>
      </c>
      <c r="K1875" s="81" t="str">
        <f>IFERROR(__xludf.DUMMYFUNCTION("IF(OR(D1875="""",G1875=""""),"""",IFERROR(LET(
campo,XLOOKUP(TRIM(G1875),ARRAYFORMULA(TRIM('indice columnas'!$A$2:$A$100)),'indice columnas'!$B$2:$B$100,""""),
col,IFERROR(MATCH(campo,Referencia!$A$1:$AZ$1,0),0),
fila,IFERROR(MATCH(TO_TEXT(D1875),ARRAYFOR"&amp;"MULA(TO_TEXT(Referencia!$A$2:$A6238)),0),0),
IF(OR(campo="""",campo=""-""),""NO APLICA"",
IF(col=0,""REVISAR EQUIVALENCIA"",
IF(fila=0,""SKU NO ENCONTRADO"",
LET(
valor,INDEX(Referencia!$A$2:$AZ6238,fila,col),
IF(TRIM(TO_TEXT(valor))=TRIM(TO_TEXT(I1875)),"&amp;"
""OK"",
""NO COINCIDE. Valor verdadero: ""&amp;IF(valor="""",""[VACÍO]"",TO_TEXT(valor))
)
))))
),""ERROR EN FÓRMULA""))"),"OK")</f>
        <v>OK</v>
      </c>
    </row>
    <row r="1876">
      <c r="A1876" s="83" t="s">
        <v>4618</v>
      </c>
      <c r="B1876" s="83" t="s">
        <v>4619</v>
      </c>
      <c r="C1876" s="81" t="s">
        <v>4621</v>
      </c>
      <c r="D1876" s="83" t="s">
        <v>4640</v>
      </c>
      <c r="E1876" s="81" t="s">
        <v>3030</v>
      </c>
      <c r="F1876" s="84">
        <v>583.0</v>
      </c>
      <c r="G1876" s="81" t="s">
        <v>44</v>
      </c>
      <c r="H1876" s="81" t="s">
        <v>4641</v>
      </c>
      <c r="I1876" s="81" t="s">
        <v>3042</v>
      </c>
      <c r="J1876" s="81" t="s">
        <v>4088</v>
      </c>
      <c r="K1876" s="81" t="str">
        <f>IFERROR(__xludf.DUMMYFUNCTION("IF(OR(D1876="""",G1876=""""),"""",IFERROR(LET(
campo,XLOOKUP(TRIM(G1876),ARRAYFORMULA(TRIM('indice columnas'!$A$2:$A$100)),'indice columnas'!$B$2:$B$100,""""),
col,IFERROR(MATCH(campo,Referencia!$A$1:$AZ$1,0),0),
fila,IFERROR(MATCH(TO_TEXT(D1876),ARRAYFOR"&amp;"MULA(TO_TEXT(Referencia!$A$2:$A6238)),0),0),
IF(OR(campo="""",campo=""-""),""NO APLICA"",
IF(col=0,""REVISAR EQUIVALENCIA"",
IF(fila=0,""SKU NO ENCONTRADO"",
LET(
valor,INDEX(Referencia!$A$2:$AZ6238,fila,col),
IF(TRIM(TO_TEXT(valor))=TRIM(TO_TEXT(I1876)),"&amp;"
""OK"",
""NO COINCIDE. Valor verdadero: ""&amp;IF(valor="""",""[VACÍO]"",TO_TEXT(valor))
)
))))
),""ERROR EN FÓRMULA""))"),"NO APLICA")</f>
        <v>NO APLICA</v>
      </c>
    </row>
    <row r="1877">
      <c r="A1877" s="83" t="s">
        <v>4618</v>
      </c>
      <c r="B1877" s="83" t="s">
        <v>4619</v>
      </c>
      <c r="C1877" s="81" t="s">
        <v>4621</v>
      </c>
      <c r="D1877" s="83" t="s">
        <v>4642</v>
      </c>
      <c r="E1877" s="81" t="s">
        <v>3042</v>
      </c>
      <c r="F1877" s="84">
        <v>584.0</v>
      </c>
      <c r="G1877" s="81" t="s">
        <v>44</v>
      </c>
      <c r="H1877" s="81" t="s">
        <v>4641</v>
      </c>
      <c r="I1877" s="81" t="s">
        <v>3042</v>
      </c>
      <c r="J1877" s="81" t="s">
        <v>4088</v>
      </c>
      <c r="K1877" s="81" t="str">
        <f>IFERROR(__xludf.DUMMYFUNCTION("IF(OR(D1877="""",G1877=""""),"""",IFERROR(LET(
campo,XLOOKUP(TRIM(G1877),ARRAYFORMULA(TRIM('indice columnas'!$A$2:$A$100)),'indice columnas'!$B$2:$B$100,""""),
col,IFERROR(MATCH(campo,Referencia!$A$1:$AZ$1,0),0),
fila,IFERROR(MATCH(TO_TEXT(D1877),ARRAYFOR"&amp;"MULA(TO_TEXT(Referencia!$A$2:$A6238)),0),0),
IF(OR(campo="""",campo=""-""),""NO APLICA"",
IF(col=0,""REVISAR EQUIVALENCIA"",
IF(fila=0,""SKU NO ENCONTRADO"",
LET(
valor,INDEX(Referencia!$A$2:$AZ6238,fila,col),
IF(TRIM(TO_TEXT(valor))=TRIM(TO_TEXT(I1877)),"&amp;"
""OK"",
""NO COINCIDE. Valor verdadero: ""&amp;IF(valor="""",""[VACÍO]"",TO_TEXT(valor))
)
))))
),""ERROR EN FÓRMULA""))"),"NO APLICA")</f>
        <v>NO APLICA</v>
      </c>
    </row>
    <row r="1878">
      <c r="A1878" s="83" t="s">
        <v>4618</v>
      </c>
      <c r="B1878" s="83" t="s">
        <v>4619</v>
      </c>
      <c r="C1878" s="81" t="s">
        <v>4621</v>
      </c>
      <c r="D1878" s="83" t="s">
        <v>4642</v>
      </c>
      <c r="E1878" s="81" t="s">
        <v>3045</v>
      </c>
      <c r="F1878" s="84">
        <v>585.0</v>
      </c>
      <c r="G1878" s="81" t="s">
        <v>12</v>
      </c>
      <c r="H1878" s="81" t="s">
        <v>224</v>
      </c>
      <c r="I1878" s="81" t="s">
        <v>1549</v>
      </c>
      <c r="J1878" s="81" t="s">
        <v>224</v>
      </c>
      <c r="K1878" s="81" t="str">
        <f>IFERROR(__xludf.DUMMYFUNCTION("IF(OR(D1878="""",G1878=""""),"""",IFERROR(LET(
campo,XLOOKUP(TRIM(G1878),ARRAYFORMULA(TRIM('indice columnas'!$A$2:$A$100)),'indice columnas'!$B$2:$B$100,""""),
col,IFERROR(MATCH(campo,Referencia!$A$1:$AZ$1,0),0),
fila,IFERROR(MATCH(TO_TEXT(D1878),ARRAYFOR"&amp;"MULA(TO_TEXT(Referencia!$A$2:$A6238)),0),0),
IF(OR(campo="""",campo=""-""),""NO APLICA"",
IF(col=0,""REVISAR EQUIVALENCIA"",
IF(fila=0,""SKU NO ENCONTRADO"",
LET(
valor,INDEX(Referencia!$A$2:$AZ6238,fila,col),
IF(TRIM(TO_TEXT(valor))=TRIM(TO_TEXT(I1878)),"&amp;"
""OK"",
""NO COINCIDE. Valor verdadero: ""&amp;IF(valor="""",""[VACÍO]"",TO_TEXT(valor))
)
))))
),""ERROR EN FÓRMULA""))"),"OK")</f>
        <v>OK</v>
      </c>
    </row>
    <row r="1879">
      <c r="A1879" s="83" t="s">
        <v>4618</v>
      </c>
      <c r="B1879" s="83" t="s">
        <v>4619</v>
      </c>
      <c r="C1879" s="81" t="s">
        <v>4621</v>
      </c>
      <c r="D1879" s="83" t="s">
        <v>4642</v>
      </c>
      <c r="E1879" s="81" t="s">
        <v>3045</v>
      </c>
      <c r="F1879" s="84">
        <v>585.0</v>
      </c>
      <c r="G1879" s="81" t="s">
        <v>44</v>
      </c>
      <c r="H1879" s="81" t="s">
        <v>4641</v>
      </c>
      <c r="I1879" s="81" t="s">
        <v>3042</v>
      </c>
      <c r="J1879" s="81" t="s">
        <v>4088</v>
      </c>
      <c r="K1879" s="81" t="str">
        <f>IFERROR(__xludf.DUMMYFUNCTION("IF(OR(D1879="""",G1879=""""),"""",IFERROR(LET(
campo,XLOOKUP(TRIM(G1879),ARRAYFORMULA(TRIM('indice columnas'!$A$2:$A$100)),'indice columnas'!$B$2:$B$100,""""),
col,IFERROR(MATCH(campo,Referencia!$A$1:$AZ$1,0),0),
fila,IFERROR(MATCH(TO_TEXT(D1879),ARRAYFOR"&amp;"MULA(TO_TEXT(Referencia!$A$2:$A6238)),0),0),
IF(OR(campo="""",campo=""-""),""NO APLICA"",
IF(col=0,""REVISAR EQUIVALENCIA"",
IF(fila=0,""SKU NO ENCONTRADO"",
LET(
valor,INDEX(Referencia!$A$2:$AZ6238,fila,col),
IF(TRIM(TO_TEXT(valor))=TRIM(TO_TEXT(I1879)),"&amp;"
""OK"",
""NO COINCIDE. Valor verdadero: ""&amp;IF(valor="""",""[VACÍO]"",TO_TEXT(valor))
)
))))
),""ERROR EN FÓRMULA""))"),"NO APLICA")</f>
        <v>NO APLICA</v>
      </c>
    </row>
    <row r="1880">
      <c r="A1880" s="83" t="s">
        <v>4618</v>
      </c>
      <c r="B1880" s="83" t="s">
        <v>4619</v>
      </c>
      <c r="C1880" s="81" t="s">
        <v>4621</v>
      </c>
      <c r="D1880" s="83" t="s">
        <v>4643</v>
      </c>
      <c r="E1880" s="81" t="s">
        <v>3046</v>
      </c>
      <c r="F1880" s="84">
        <v>586.0</v>
      </c>
      <c r="G1880" s="81" t="s">
        <v>44</v>
      </c>
      <c r="H1880" s="81" t="s">
        <v>224</v>
      </c>
      <c r="I1880" s="81" t="s">
        <v>3046</v>
      </c>
      <c r="J1880" s="81" t="s">
        <v>4088</v>
      </c>
      <c r="K1880" s="81" t="str">
        <f>IFERROR(__xludf.DUMMYFUNCTION("IF(OR(D1880="""",G1880=""""),"""",IFERROR(LET(
campo,XLOOKUP(TRIM(G1880),ARRAYFORMULA(TRIM('indice columnas'!$A$2:$A$100)),'indice columnas'!$B$2:$B$100,""""),
col,IFERROR(MATCH(campo,Referencia!$A$1:$AZ$1,0),0),
fila,IFERROR(MATCH(TO_TEXT(D1880),ARRAYFOR"&amp;"MULA(TO_TEXT(Referencia!$A$2:$A6238)),0),0),
IF(OR(campo="""",campo=""-""),""NO APLICA"",
IF(col=0,""REVISAR EQUIVALENCIA"",
IF(fila=0,""SKU NO ENCONTRADO"",
LET(
valor,INDEX(Referencia!$A$2:$AZ6238,fila,col),
IF(TRIM(TO_TEXT(valor))=TRIM(TO_TEXT(I1880)),"&amp;"
""OK"",
""NO COINCIDE. Valor verdadero: ""&amp;IF(valor="""",""[VACÍO]"",TO_TEXT(valor))
)
))))
),""ERROR EN FÓRMULA""))"),"NO APLICA")</f>
        <v>NO APLICA</v>
      </c>
    </row>
    <row r="1881">
      <c r="A1881" s="83" t="s">
        <v>4618</v>
      </c>
      <c r="B1881" s="83" t="s">
        <v>4619</v>
      </c>
      <c r="C1881" s="81" t="s">
        <v>4621</v>
      </c>
      <c r="D1881" s="83" t="s">
        <v>4643</v>
      </c>
      <c r="E1881" s="81" t="s">
        <v>3058</v>
      </c>
      <c r="F1881" s="84">
        <v>587.0</v>
      </c>
      <c r="G1881" s="81" t="s">
        <v>12</v>
      </c>
      <c r="H1881" s="81" t="s">
        <v>224</v>
      </c>
      <c r="I1881" s="81" t="s">
        <v>1549</v>
      </c>
      <c r="J1881" s="81" t="s">
        <v>224</v>
      </c>
      <c r="K1881" s="81" t="str">
        <f>IFERROR(__xludf.DUMMYFUNCTION("IF(OR(D1881="""",G1881=""""),"""",IFERROR(LET(
campo,XLOOKUP(TRIM(G1881),ARRAYFORMULA(TRIM('indice columnas'!$A$2:$A$100)),'indice columnas'!$B$2:$B$100,""""),
col,IFERROR(MATCH(campo,Referencia!$A$1:$AZ$1,0),0),
fila,IFERROR(MATCH(TO_TEXT(D1881),ARRAYFOR"&amp;"MULA(TO_TEXT(Referencia!$A$2:$A6238)),0),0),
IF(OR(campo="""",campo=""-""),""NO APLICA"",
IF(col=0,""REVISAR EQUIVALENCIA"",
IF(fila=0,""SKU NO ENCONTRADO"",
LET(
valor,INDEX(Referencia!$A$2:$AZ6238,fila,col),
IF(TRIM(TO_TEXT(valor))=TRIM(TO_TEXT(I1881)),"&amp;"
""OK"",
""NO COINCIDE. Valor verdadero: ""&amp;IF(valor="""",""[VACÍO]"",TO_TEXT(valor))
)
))))
),""ERROR EN FÓRMULA""))"),"OK")</f>
        <v>OK</v>
      </c>
    </row>
    <row r="1882">
      <c r="A1882" s="83" t="s">
        <v>4618</v>
      </c>
      <c r="B1882" s="83" t="s">
        <v>4619</v>
      </c>
      <c r="C1882" s="81" t="s">
        <v>4621</v>
      </c>
      <c r="D1882" s="83" t="s">
        <v>4643</v>
      </c>
      <c r="E1882" s="81" t="s">
        <v>3058</v>
      </c>
      <c r="F1882" s="84">
        <v>587.0</v>
      </c>
      <c r="G1882" s="81" t="s">
        <v>44</v>
      </c>
      <c r="H1882" s="81" t="s">
        <v>224</v>
      </c>
      <c r="I1882" s="81" t="s">
        <v>3046</v>
      </c>
      <c r="J1882" s="81" t="s">
        <v>4088</v>
      </c>
      <c r="K1882" s="81" t="str">
        <f>IFERROR(__xludf.DUMMYFUNCTION("IF(OR(D1882="""",G1882=""""),"""",IFERROR(LET(
campo,XLOOKUP(TRIM(G1882),ARRAYFORMULA(TRIM('indice columnas'!$A$2:$A$100)),'indice columnas'!$B$2:$B$100,""""),
col,IFERROR(MATCH(campo,Referencia!$A$1:$AZ$1,0),0),
fila,IFERROR(MATCH(TO_TEXT(D1882),ARRAYFOR"&amp;"MULA(TO_TEXT(Referencia!$A$2:$A6238)),0),0),
IF(OR(campo="""",campo=""-""),""NO APLICA"",
IF(col=0,""REVISAR EQUIVALENCIA"",
IF(fila=0,""SKU NO ENCONTRADO"",
LET(
valor,INDEX(Referencia!$A$2:$AZ6238,fila,col),
IF(TRIM(TO_TEXT(valor))=TRIM(TO_TEXT(I1882)),"&amp;"
""OK"",
""NO COINCIDE. Valor verdadero: ""&amp;IF(valor="""",""[VACÍO]"",TO_TEXT(valor))
)
))))
),""ERROR EN FÓRMULA""))"),"NO APLICA")</f>
        <v>NO APLICA</v>
      </c>
    </row>
    <row r="1883">
      <c r="A1883" s="83" t="s">
        <v>4618</v>
      </c>
      <c r="B1883" s="83" t="s">
        <v>4619</v>
      </c>
      <c r="C1883" s="81" t="s">
        <v>4621</v>
      </c>
      <c r="D1883" s="83" t="s">
        <v>4644</v>
      </c>
      <c r="E1883" s="81" t="s">
        <v>3059</v>
      </c>
      <c r="F1883" s="84">
        <v>588.0</v>
      </c>
      <c r="G1883" s="81" t="s">
        <v>12</v>
      </c>
      <c r="H1883" s="81" t="s">
        <v>224</v>
      </c>
      <c r="I1883" s="81" t="s">
        <v>1549</v>
      </c>
      <c r="J1883" s="81" t="s">
        <v>224</v>
      </c>
      <c r="K1883" s="81" t="str">
        <f>IFERROR(__xludf.DUMMYFUNCTION("IF(OR(D1883="""",G1883=""""),"""",IFERROR(LET(
campo,XLOOKUP(TRIM(G1883),ARRAYFORMULA(TRIM('indice columnas'!$A$2:$A$100)),'indice columnas'!$B$2:$B$100,""""),
col,IFERROR(MATCH(campo,Referencia!$A$1:$AZ$1,0),0),
fila,IFERROR(MATCH(TO_TEXT(D1883),ARRAYFOR"&amp;"MULA(TO_TEXT(Referencia!$A$2:$A6238)),0),0),
IF(OR(campo="""",campo=""-""),""NO APLICA"",
IF(col=0,""REVISAR EQUIVALENCIA"",
IF(fila=0,""SKU NO ENCONTRADO"",
LET(
valor,INDEX(Referencia!$A$2:$AZ6238,fila,col),
IF(TRIM(TO_TEXT(valor))=TRIM(TO_TEXT(I1883)),"&amp;"
""OK"",
""NO COINCIDE. Valor verdadero: ""&amp;IF(valor="""",""[VACÍO]"",TO_TEXT(valor))
)
))))
),""ERROR EN FÓRMULA""))"),"OK")</f>
        <v>OK</v>
      </c>
    </row>
    <row r="1884">
      <c r="A1884" s="83" t="s">
        <v>4618</v>
      </c>
      <c r="B1884" s="83" t="s">
        <v>4619</v>
      </c>
      <c r="C1884" s="81" t="s">
        <v>4621</v>
      </c>
      <c r="D1884" s="83" t="s">
        <v>4644</v>
      </c>
      <c r="E1884" s="81" t="s">
        <v>3059</v>
      </c>
      <c r="F1884" s="84">
        <v>588.0</v>
      </c>
      <c r="G1884" s="81" t="s">
        <v>44</v>
      </c>
      <c r="H1884" s="81" t="s">
        <v>224</v>
      </c>
      <c r="I1884" s="81" t="s">
        <v>3046</v>
      </c>
      <c r="J1884" s="81" t="s">
        <v>4088</v>
      </c>
      <c r="K1884" s="81" t="str">
        <f>IFERROR(__xludf.DUMMYFUNCTION("IF(OR(D1884="""",G1884=""""),"""",IFERROR(LET(
campo,XLOOKUP(TRIM(G1884),ARRAYFORMULA(TRIM('indice columnas'!$A$2:$A$100)),'indice columnas'!$B$2:$B$100,""""),
col,IFERROR(MATCH(campo,Referencia!$A$1:$AZ$1,0),0),
fila,IFERROR(MATCH(TO_TEXT(D1884),ARRAYFOR"&amp;"MULA(TO_TEXT(Referencia!$A$2:$A6238)),0),0),
IF(OR(campo="""",campo=""-""),""NO APLICA"",
IF(col=0,""REVISAR EQUIVALENCIA"",
IF(fila=0,""SKU NO ENCONTRADO"",
LET(
valor,INDEX(Referencia!$A$2:$AZ6238,fila,col),
IF(TRIM(TO_TEXT(valor))=TRIM(TO_TEXT(I1884)),"&amp;"
""OK"",
""NO COINCIDE. Valor verdadero: ""&amp;IF(valor="""",""[VACÍO]"",TO_TEXT(valor))
)
))))
),""ERROR EN FÓRMULA""))"),"NO APLICA")</f>
        <v>NO APLICA</v>
      </c>
    </row>
    <row r="1885">
      <c r="A1885" s="83" t="s">
        <v>4618</v>
      </c>
      <c r="B1885" s="83" t="s">
        <v>4619</v>
      </c>
      <c r="C1885" s="81" t="s">
        <v>4621</v>
      </c>
      <c r="D1885" s="83" t="s">
        <v>4645</v>
      </c>
      <c r="E1885" s="81" t="s">
        <v>3062</v>
      </c>
      <c r="F1885" s="84">
        <v>589.0</v>
      </c>
      <c r="G1885" s="81" t="s">
        <v>44</v>
      </c>
      <c r="H1885" s="81" t="s">
        <v>4646</v>
      </c>
      <c r="I1885" s="81" t="s">
        <v>3062</v>
      </c>
      <c r="J1885" s="81" t="s">
        <v>4088</v>
      </c>
      <c r="K1885" s="81" t="str">
        <f>IFERROR(__xludf.DUMMYFUNCTION("IF(OR(D1885="""",G1885=""""),"""",IFERROR(LET(
campo,XLOOKUP(TRIM(G1885),ARRAYFORMULA(TRIM('indice columnas'!$A$2:$A$100)),'indice columnas'!$B$2:$B$100,""""),
col,IFERROR(MATCH(campo,Referencia!$A$1:$AZ$1,0),0),
fila,IFERROR(MATCH(TO_TEXT(D1885),ARRAYFOR"&amp;"MULA(TO_TEXT(Referencia!$A$2:$A6238)),0),0),
IF(OR(campo="""",campo=""-""),""NO APLICA"",
IF(col=0,""REVISAR EQUIVALENCIA"",
IF(fila=0,""SKU NO ENCONTRADO"",
LET(
valor,INDEX(Referencia!$A$2:$AZ6238,fila,col),
IF(TRIM(TO_TEXT(valor))=TRIM(TO_TEXT(I1885)),"&amp;"
""OK"",
""NO COINCIDE. Valor verdadero: ""&amp;IF(valor="""",""[VACÍO]"",TO_TEXT(valor))
)
))))
),""ERROR EN FÓRMULA""))"),"NO APLICA")</f>
        <v>NO APLICA</v>
      </c>
    </row>
    <row r="1886">
      <c r="A1886" s="83" t="s">
        <v>4618</v>
      </c>
      <c r="B1886" s="83" t="s">
        <v>4619</v>
      </c>
      <c r="C1886" s="81" t="s">
        <v>4621</v>
      </c>
      <c r="D1886" s="83" t="s">
        <v>4645</v>
      </c>
      <c r="E1886" s="81" t="s">
        <v>3073</v>
      </c>
      <c r="F1886" s="84">
        <v>590.0</v>
      </c>
      <c r="G1886" s="81" t="s">
        <v>44</v>
      </c>
      <c r="H1886" s="81" t="s">
        <v>4646</v>
      </c>
      <c r="I1886" s="81" t="s">
        <v>3062</v>
      </c>
      <c r="J1886" s="81" t="s">
        <v>4088</v>
      </c>
      <c r="K1886" s="81" t="str">
        <f>IFERROR(__xludf.DUMMYFUNCTION("IF(OR(D1886="""",G1886=""""),"""",IFERROR(LET(
campo,XLOOKUP(TRIM(G1886),ARRAYFORMULA(TRIM('indice columnas'!$A$2:$A$100)),'indice columnas'!$B$2:$B$100,""""),
col,IFERROR(MATCH(campo,Referencia!$A$1:$AZ$1,0),0),
fila,IFERROR(MATCH(TO_TEXT(D1886),ARRAYFOR"&amp;"MULA(TO_TEXT(Referencia!$A$2:$A6238)),0),0),
IF(OR(campo="""",campo=""-""),""NO APLICA"",
IF(col=0,""REVISAR EQUIVALENCIA"",
IF(fila=0,""SKU NO ENCONTRADO"",
LET(
valor,INDEX(Referencia!$A$2:$AZ6238,fila,col),
IF(TRIM(TO_TEXT(valor))=TRIM(TO_TEXT(I1886)),"&amp;"
""OK"",
""NO COINCIDE. Valor verdadero: ""&amp;IF(valor="""",""[VACÍO]"",TO_TEXT(valor))
)
))))
),""ERROR EN FÓRMULA""))"),"NO APLICA")</f>
        <v>NO APLICA</v>
      </c>
    </row>
    <row r="1887">
      <c r="A1887" s="83" t="s">
        <v>4618</v>
      </c>
      <c r="B1887" s="83" t="s">
        <v>4619</v>
      </c>
      <c r="C1887" s="81" t="s">
        <v>4621</v>
      </c>
      <c r="D1887" s="83" t="s">
        <v>4647</v>
      </c>
      <c r="E1887" s="81" t="s">
        <v>3074</v>
      </c>
      <c r="F1887" s="84">
        <v>591.0</v>
      </c>
      <c r="G1887" s="81" t="s">
        <v>44</v>
      </c>
      <c r="H1887" s="81" t="s">
        <v>4646</v>
      </c>
      <c r="I1887" s="81" t="s">
        <v>3062</v>
      </c>
      <c r="J1887" s="81" t="s">
        <v>4088</v>
      </c>
      <c r="K1887" s="81" t="str">
        <f>IFERROR(__xludf.DUMMYFUNCTION("IF(OR(D1887="""",G1887=""""),"""",IFERROR(LET(
campo,XLOOKUP(TRIM(G1887),ARRAYFORMULA(TRIM('indice columnas'!$A$2:$A$100)),'indice columnas'!$B$2:$B$100,""""),
col,IFERROR(MATCH(campo,Referencia!$A$1:$AZ$1,0),0),
fila,IFERROR(MATCH(TO_TEXT(D1887),ARRAYFOR"&amp;"MULA(TO_TEXT(Referencia!$A$2:$A6238)),0),0),
IF(OR(campo="""",campo=""-""),""NO APLICA"",
IF(col=0,""REVISAR EQUIVALENCIA"",
IF(fila=0,""SKU NO ENCONTRADO"",
LET(
valor,INDEX(Referencia!$A$2:$AZ6238,fila,col),
IF(TRIM(TO_TEXT(valor))=TRIM(TO_TEXT(I1887)),"&amp;"
""OK"",
""NO COINCIDE. Valor verdadero: ""&amp;IF(valor="""",""[VACÍO]"",TO_TEXT(valor))
)
))))
),""ERROR EN FÓRMULA""))"),"NO APLICA")</f>
        <v>NO APLICA</v>
      </c>
    </row>
    <row r="1888">
      <c r="A1888" s="83" t="s">
        <v>4618</v>
      </c>
      <c r="B1888" s="83" t="s">
        <v>4619</v>
      </c>
      <c r="C1888" s="81" t="s">
        <v>4621</v>
      </c>
      <c r="D1888" s="83" t="s">
        <v>4648</v>
      </c>
      <c r="E1888" s="81" t="s">
        <v>3077</v>
      </c>
      <c r="F1888" s="84">
        <v>592.0</v>
      </c>
      <c r="G1888" s="81" t="s">
        <v>44</v>
      </c>
      <c r="H1888" s="81" t="s">
        <v>4649</v>
      </c>
      <c r="I1888" s="81" t="s">
        <v>3077</v>
      </c>
      <c r="J1888" s="81" t="s">
        <v>4088</v>
      </c>
      <c r="K1888" s="81" t="str">
        <f>IFERROR(__xludf.DUMMYFUNCTION("IF(OR(D1888="""",G1888=""""),"""",IFERROR(LET(
campo,XLOOKUP(TRIM(G1888),ARRAYFORMULA(TRIM('indice columnas'!$A$2:$A$100)),'indice columnas'!$B$2:$B$100,""""),
col,IFERROR(MATCH(campo,Referencia!$A$1:$AZ$1,0),0),
fila,IFERROR(MATCH(TO_TEXT(D1888),ARRAYFOR"&amp;"MULA(TO_TEXT(Referencia!$A$2:$A6238)),0),0),
IF(OR(campo="""",campo=""-""),""NO APLICA"",
IF(col=0,""REVISAR EQUIVALENCIA"",
IF(fila=0,""SKU NO ENCONTRADO"",
LET(
valor,INDEX(Referencia!$A$2:$AZ6238,fila,col),
IF(TRIM(TO_TEXT(valor))=TRIM(TO_TEXT(I1888)),"&amp;"
""OK"",
""NO COINCIDE. Valor verdadero: ""&amp;IF(valor="""",""[VACÍO]"",TO_TEXT(valor))
)
))))
),""ERROR EN FÓRMULA""))"),"NO APLICA")</f>
        <v>NO APLICA</v>
      </c>
    </row>
    <row r="1889">
      <c r="A1889" s="83" t="s">
        <v>4618</v>
      </c>
      <c r="B1889" s="83" t="s">
        <v>4619</v>
      </c>
      <c r="C1889" s="81" t="s">
        <v>4621</v>
      </c>
      <c r="D1889" s="83" t="s">
        <v>4648</v>
      </c>
      <c r="E1889" s="81" t="s">
        <v>3090</v>
      </c>
      <c r="F1889" s="84">
        <v>593.0</v>
      </c>
      <c r="G1889" s="81" t="s">
        <v>7</v>
      </c>
      <c r="H1889" s="81" t="s">
        <v>53</v>
      </c>
      <c r="I1889" s="81" t="s">
        <v>1134</v>
      </c>
      <c r="J1889" s="81" t="s">
        <v>224</v>
      </c>
      <c r="K1889" s="81" t="str">
        <f>IFERROR(__xludf.DUMMYFUNCTION("IF(OR(D1889="""",G1889=""""),"""",IFERROR(LET(
campo,XLOOKUP(TRIM(G1889),ARRAYFORMULA(TRIM('indice columnas'!$A$2:$A$100)),'indice columnas'!$B$2:$B$100,""""),
col,IFERROR(MATCH(campo,Referencia!$A$1:$AZ$1,0),0),
fila,IFERROR(MATCH(TO_TEXT(D1889),ARRAYFOR"&amp;"MULA(TO_TEXT(Referencia!$A$2:$A6238)),0),0),
IF(OR(campo="""",campo=""-""),""NO APLICA"",
IF(col=0,""REVISAR EQUIVALENCIA"",
IF(fila=0,""SKU NO ENCONTRADO"",
LET(
valor,INDEX(Referencia!$A$2:$AZ6238,fila,col),
IF(TRIM(TO_TEXT(valor))=TRIM(TO_TEXT(I1889)),"&amp;"
""OK"",
""NO COINCIDE. Valor verdadero: ""&amp;IF(valor="""",""[VACÍO]"",TO_TEXT(valor))
)
))))
),""ERROR EN FÓRMULA""))"),"REVISAR EQUIVALENCIA")</f>
        <v>REVISAR EQUIVALENCIA</v>
      </c>
    </row>
    <row r="1890">
      <c r="A1890" s="83" t="s">
        <v>4618</v>
      </c>
      <c r="B1890" s="83" t="s">
        <v>4619</v>
      </c>
      <c r="C1890" s="81" t="s">
        <v>4621</v>
      </c>
      <c r="D1890" s="83" t="s">
        <v>4648</v>
      </c>
      <c r="E1890" s="81" t="s">
        <v>3090</v>
      </c>
      <c r="F1890" s="84">
        <v>593.0</v>
      </c>
      <c r="G1890" s="81" t="s">
        <v>44</v>
      </c>
      <c r="H1890" s="81" t="s">
        <v>4649</v>
      </c>
      <c r="I1890" s="81" t="s">
        <v>3077</v>
      </c>
      <c r="J1890" s="81" t="s">
        <v>4088</v>
      </c>
      <c r="K1890" s="81" t="str">
        <f>IFERROR(__xludf.DUMMYFUNCTION("IF(OR(D1890="""",G1890=""""),"""",IFERROR(LET(
campo,XLOOKUP(TRIM(G1890),ARRAYFORMULA(TRIM('indice columnas'!$A$2:$A$100)),'indice columnas'!$B$2:$B$100,""""),
col,IFERROR(MATCH(campo,Referencia!$A$1:$AZ$1,0),0),
fila,IFERROR(MATCH(TO_TEXT(D1890),ARRAYFOR"&amp;"MULA(TO_TEXT(Referencia!$A$2:$A6238)),0),0),
IF(OR(campo="""",campo=""-""),""NO APLICA"",
IF(col=0,""REVISAR EQUIVALENCIA"",
IF(fila=0,""SKU NO ENCONTRADO"",
LET(
valor,INDEX(Referencia!$A$2:$AZ6238,fila,col),
IF(TRIM(TO_TEXT(valor))=TRIM(TO_TEXT(I1890)),"&amp;"
""OK"",
""NO COINCIDE. Valor verdadero: ""&amp;IF(valor="""",""[VACÍO]"",TO_TEXT(valor))
)
))))
),""ERROR EN FÓRMULA""))"),"NO APLICA")</f>
        <v>NO APLICA</v>
      </c>
    </row>
    <row r="1891">
      <c r="A1891" s="83" t="s">
        <v>4618</v>
      </c>
      <c r="B1891" s="83" t="s">
        <v>4619</v>
      </c>
      <c r="C1891" s="81" t="s">
        <v>4621</v>
      </c>
      <c r="D1891" s="83" t="s">
        <v>4650</v>
      </c>
      <c r="E1891" s="81" t="s">
        <v>3091</v>
      </c>
      <c r="F1891" s="84">
        <v>594.0</v>
      </c>
      <c r="G1891" s="81" t="s">
        <v>7</v>
      </c>
      <c r="H1891" s="81" t="s">
        <v>53</v>
      </c>
      <c r="I1891" s="81" t="s">
        <v>1134</v>
      </c>
      <c r="J1891" s="81" t="s">
        <v>224</v>
      </c>
      <c r="K1891" s="81" t="str">
        <f>IFERROR(__xludf.DUMMYFUNCTION("IF(OR(D1891="""",G1891=""""),"""",IFERROR(LET(
campo,XLOOKUP(TRIM(G1891),ARRAYFORMULA(TRIM('indice columnas'!$A$2:$A$100)),'indice columnas'!$B$2:$B$100,""""),
col,IFERROR(MATCH(campo,Referencia!$A$1:$AZ$1,0),0),
fila,IFERROR(MATCH(TO_TEXT(D1891),ARRAYFOR"&amp;"MULA(TO_TEXT(Referencia!$A$2:$A6238)),0),0),
IF(OR(campo="""",campo=""-""),""NO APLICA"",
IF(col=0,""REVISAR EQUIVALENCIA"",
IF(fila=0,""SKU NO ENCONTRADO"",
LET(
valor,INDEX(Referencia!$A$2:$AZ6238,fila,col),
IF(TRIM(TO_TEXT(valor))=TRIM(TO_TEXT(I1891)),"&amp;"
""OK"",
""NO COINCIDE. Valor verdadero: ""&amp;IF(valor="""",""[VACÍO]"",TO_TEXT(valor))
)
))))
),""ERROR EN FÓRMULA""))"),"REVISAR EQUIVALENCIA")</f>
        <v>REVISAR EQUIVALENCIA</v>
      </c>
    </row>
    <row r="1892">
      <c r="A1892" s="83" t="s">
        <v>4618</v>
      </c>
      <c r="B1892" s="83" t="s">
        <v>4619</v>
      </c>
      <c r="C1892" s="81" t="s">
        <v>4621</v>
      </c>
      <c r="D1892" s="83" t="s">
        <v>4650</v>
      </c>
      <c r="E1892" s="81" t="s">
        <v>3091</v>
      </c>
      <c r="F1892" s="84">
        <v>594.0</v>
      </c>
      <c r="G1892" s="81" t="s">
        <v>44</v>
      </c>
      <c r="H1892" s="81" t="s">
        <v>4649</v>
      </c>
      <c r="I1892" s="81" t="s">
        <v>3077</v>
      </c>
      <c r="J1892" s="81" t="s">
        <v>4088</v>
      </c>
      <c r="K1892" s="81" t="str">
        <f>IFERROR(__xludf.DUMMYFUNCTION("IF(OR(D1892="""",G1892=""""),"""",IFERROR(LET(
campo,XLOOKUP(TRIM(G1892),ARRAYFORMULA(TRIM('indice columnas'!$A$2:$A$100)),'indice columnas'!$B$2:$B$100,""""),
col,IFERROR(MATCH(campo,Referencia!$A$1:$AZ$1,0),0),
fila,IFERROR(MATCH(TO_TEXT(D1892),ARRAYFOR"&amp;"MULA(TO_TEXT(Referencia!$A$2:$A6238)),0),0),
IF(OR(campo="""",campo=""-""),""NO APLICA"",
IF(col=0,""REVISAR EQUIVALENCIA"",
IF(fila=0,""SKU NO ENCONTRADO"",
LET(
valor,INDEX(Referencia!$A$2:$AZ6238,fila,col),
IF(TRIM(TO_TEXT(valor))=TRIM(TO_TEXT(I1892)),"&amp;"
""OK"",
""NO COINCIDE. Valor verdadero: ""&amp;IF(valor="""",""[VACÍO]"",TO_TEXT(valor))
)
))))
),""ERROR EN FÓRMULA""))"),"NO APLICA")</f>
        <v>NO APLICA</v>
      </c>
    </row>
    <row r="1893">
      <c r="A1893" s="83" t="s">
        <v>4618</v>
      </c>
      <c r="B1893" s="83" t="s">
        <v>4619</v>
      </c>
      <c r="C1893" s="81" t="s">
        <v>4621</v>
      </c>
      <c r="D1893" s="83" t="s">
        <v>4651</v>
      </c>
      <c r="E1893" s="81" t="s">
        <v>3094</v>
      </c>
      <c r="F1893" s="84">
        <v>595.0</v>
      </c>
      <c r="G1893" s="81" t="s">
        <v>44</v>
      </c>
      <c r="H1893" s="81" t="s">
        <v>4652</v>
      </c>
      <c r="I1893" s="81" t="s">
        <v>4653</v>
      </c>
      <c r="J1893" s="81" t="s">
        <v>4088</v>
      </c>
      <c r="K1893" s="81" t="str">
        <f>IFERROR(__xludf.DUMMYFUNCTION("IF(OR(D1893="""",G1893=""""),"""",IFERROR(LET(
campo,XLOOKUP(TRIM(G1893),ARRAYFORMULA(TRIM('indice columnas'!$A$2:$A$100)),'indice columnas'!$B$2:$B$100,""""),
col,IFERROR(MATCH(campo,Referencia!$A$1:$AZ$1,0),0),
fila,IFERROR(MATCH(TO_TEXT(D1893),ARRAYFOR"&amp;"MULA(TO_TEXT(Referencia!$A$2:$A6238)),0),0),
IF(OR(campo="""",campo=""-""),""NO APLICA"",
IF(col=0,""REVISAR EQUIVALENCIA"",
IF(fila=0,""SKU NO ENCONTRADO"",
LET(
valor,INDEX(Referencia!$A$2:$AZ6238,fila,col),
IF(TRIM(TO_TEXT(valor))=TRIM(TO_TEXT(I1893)),"&amp;"
""OK"",
""NO COINCIDE. Valor verdadero: ""&amp;IF(valor="""",""[VACÍO]"",TO_TEXT(valor))
)
))))
),""ERROR EN FÓRMULA""))"),"NO APLICA")</f>
        <v>NO APLICA</v>
      </c>
    </row>
    <row r="1894">
      <c r="A1894" s="83" t="s">
        <v>4618</v>
      </c>
      <c r="B1894" s="83" t="s">
        <v>4619</v>
      </c>
      <c r="C1894" s="81" t="s">
        <v>4621</v>
      </c>
      <c r="D1894" s="83" t="s">
        <v>4654</v>
      </c>
      <c r="E1894" s="81" t="s">
        <v>3107</v>
      </c>
      <c r="F1894" s="84">
        <v>596.0</v>
      </c>
      <c r="G1894" s="81" t="s">
        <v>44</v>
      </c>
      <c r="H1894" s="81" t="s">
        <v>4655</v>
      </c>
      <c r="I1894" s="81" t="s">
        <v>4656</v>
      </c>
      <c r="J1894" s="81" t="s">
        <v>4088</v>
      </c>
      <c r="K1894" s="81" t="str">
        <f>IFERROR(__xludf.DUMMYFUNCTION("IF(OR(D1894="""",G1894=""""),"""",IFERROR(LET(
campo,XLOOKUP(TRIM(G1894),ARRAYFORMULA(TRIM('indice columnas'!$A$2:$A$100)),'indice columnas'!$B$2:$B$100,""""),
col,IFERROR(MATCH(campo,Referencia!$A$1:$AZ$1,0),0),
fila,IFERROR(MATCH(TO_TEXT(D1894),ARRAYFOR"&amp;"MULA(TO_TEXT(Referencia!$A$2:$A6238)),0),0),
IF(OR(campo="""",campo=""-""),""NO APLICA"",
IF(col=0,""REVISAR EQUIVALENCIA"",
IF(fila=0,""SKU NO ENCONTRADO"",
LET(
valor,INDEX(Referencia!$A$2:$AZ6238,fila,col),
IF(TRIM(TO_TEXT(valor))=TRIM(TO_TEXT(I1894)),"&amp;"
""OK"",
""NO COINCIDE. Valor verdadero: ""&amp;IF(valor="""",""[VACÍO]"",TO_TEXT(valor))
)
))))
),""ERROR EN FÓRMULA""))"),"NO APLICA")</f>
        <v>NO APLICA</v>
      </c>
    </row>
    <row r="1895">
      <c r="A1895" s="83" t="s">
        <v>4618</v>
      </c>
      <c r="B1895" s="83" t="s">
        <v>4619</v>
      </c>
      <c r="C1895" s="81" t="s">
        <v>4621</v>
      </c>
      <c r="D1895" s="83" t="s">
        <v>4657</v>
      </c>
      <c r="E1895" s="81" t="s">
        <v>3118</v>
      </c>
      <c r="F1895" s="84">
        <v>597.0</v>
      </c>
      <c r="G1895" s="81" t="s">
        <v>44</v>
      </c>
      <c r="H1895" s="81" t="s">
        <v>4658</v>
      </c>
      <c r="I1895" s="81" t="s">
        <v>4659</v>
      </c>
      <c r="J1895" s="81" t="s">
        <v>4088</v>
      </c>
      <c r="K1895" s="81" t="str">
        <f>IFERROR(__xludf.DUMMYFUNCTION("IF(OR(D1895="""",G1895=""""),"""",IFERROR(LET(
campo,XLOOKUP(TRIM(G1895),ARRAYFORMULA(TRIM('indice columnas'!$A$2:$A$100)),'indice columnas'!$B$2:$B$100,""""),
col,IFERROR(MATCH(campo,Referencia!$A$1:$AZ$1,0),0),
fila,IFERROR(MATCH(TO_TEXT(D1895),ARRAYFOR"&amp;"MULA(TO_TEXT(Referencia!$A$2:$A6238)),0),0),
IF(OR(campo="""",campo=""-""),""NO APLICA"",
IF(col=0,""REVISAR EQUIVALENCIA"",
IF(fila=0,""SKU NO ENCONTRADO"",
LET(
valor,INDEX(Referencia!$A$2:$AZ6238,fila,col),
IF(TRIM(TO_TEXT(valor))=TRIM(TO_TEXT(I1895)),"&amp;"
""OK"",
""NO COINCIDE. Valor verdadero: ""&amp;IF(valor="""",""[VACÍO]"",TO_TEXT(valor))
)
))))
),""ERROR EN FÓRMULA""))"),"NO APLICA")</f>
        <v>NO APLICA</v>
      </c>
    </row>
    <row r="1896">
      <c r="A1896" s="83" t="s">
        <v>4618</v>
      </c>
      <c r="B1896" s="83" t="s">
        <v>4619</v>
      </c>
      <c r="C1896" s="81" t="s">
        <v>4621</v>
      </c>
      <c r="D1896" s="83" t="s">
        <v>4660</v>
      </c>
      <c r="E1896" s="81" t="s">
        <v>3128</v>
      </c>
      <c r="F1896" s="84">
        <v>598.0</v>
      </c>
      <c r="G1896" s="81" t="s">
        <v>44</v>
      </c>
      <c r="H1896" s="81" t="s">
        <v>4661</v>
      </c>
      <c r="I1896" s="81" t="s">
        <v>4662</v>
      </c>
      <c r="J1896" s="81" t="s">
        <v>4088</v>
      </c>
      <c r="K1896" s="81" t="str">
        <f>IFERROR(__xludf.DUMMYFUNCTION("IF(OR(D1896="""",G1896=""""),"""",IFERROR(LET(
campo,XLOOKUP(TRIM(G1896),ARRAYFORMULA(TRIM('indice columnas'!$A$2:$A$100)),'indice columnas'!$B$2:$B$100,""""),
col,IFERROR(MATCH(campo,Referencia!$A$1:$AZ$1,0),0),
fila,IFERROR(MATCH(TO_TEXT(D1896),ARRAYFOR"&amp;"MULA(TO_TEXT(Referencia!$A$2:$A6238)),0),0),
IF(OR(campo="""",campo=""-""),""NO APLICA"",
IF(col=0,""REVISAR EQUIVALENCIA"",
IF(fila=0,""SKU NO ENCONTRADO"",
LET(
valor,INDEX(Referencia!$A$2:$AZ6238,fila,col),
IF(TRIM(TO_TEXT(valor))=TRIM(TO_TEXT(I1896)),"&amp;"
""OK"",
""NO COINCIDE. Valor verdadero: ""&amp;IF(valor="""",""[VACÍO]"",TO_TEXT(valor))
)
))))
),""ERROR EN FÓRMULA""))"),"NO APLICA")</f>
        <v>NO APLICA</v>
      </c>
    </row>
    <row r="1897">
      <c r="A1897" s="83" t="s">
        <v>4618</v>
      </c>
      <c r="B1897" s="83" t="s">
        <v>4619</v>
      </c>
      <c r="C1897" s="81" t="s">
        <v>4621</v>
      </c>
      <c r="D1897" s="83" t="s">
        <v>4663</v>
      </c>
      <c r="E1897" s="81" t="s">
        <v>3138</v>
      </c>
      <c r="F1897" s="84">
        <v>599.0</v>
      </c>
      <c r="G1897" s="81" t="s">
        <v>44</v>
      </c>
      <c r="H1897" s="81" t="s">
        <v>4664</v>
      </c>
      <c r="I1897" s="81" t="s">
        <v>4665</v>
      </c>
      <c r="J1897" s="81" t="s">
        <v>4088</v>
      </c>
      <c r="K1897" s="81" t="str">
        <f>IFERROR(__xludf.DUMMYFUNCTION("IF(OR(D1897="""",G1897=""""),"""",IFERROR(LET(
campo,XLOOKUP(TRIM(G1897),ARRAYFORMULA(TRIM('indice columnas'!$A$2:$A$100)),'indice columnas'!$B$2:$B$100,""""),
col,IFERROR(MATCH(campo,Referencia!$A$1:$AZ$1,0),0),
fila,IFERROR(MATCH(TO_TEXT(D1897),ARRAYFOR"&amp;"MULA(TO_TEXT(Referencia!$A$2:$A6238)),0),0),
IF(OR(campo="""",campo=""-""),""NO APLICA"",
IF(col=0,""REVISAR EQUIVALENCIA"",
IF(fila=0,""SKU NO ENCONTRADO"",
LET(
valor,INDEX(Referencia!$A$2:$AZ6238,fila,col),
IF(TRIM(TO_TEXT(valor))=TRIM(TO_TEXT(I1897)),"&amp;"
""OK"",
""NO COINCIDE. Valor verdadero: ""&amp;IF(valor="""",""[VACÍO]"",TO_TEXT(valor))
)
))))
),""ERROR EN FÓRMULA""))"),"NO APLICA")</f>
        <v>NO APLICA</v>
      </c>
    </row>
    <row r="1898">
      <c r="A1898" s="83" t="s">
        <v>4618</v>
      </c>
      <c r="B1898" s="83" t="s">
        <v>4619</v>
      </c>
      <c r="C1898" s="81" t="s">
        <v>4621</v>
      </c>
      <c r="D1898" s="83" t="s">
        <v>4666</v>
      </c>
      <c r="E1898" s="81" t="s">
        <v>3148</v>
      </c>
      <c r="F1898" s="84">
        <v>600.0</v>
      </c>
      <c r="G1898" s="81" t="s">
        <v>44</v>
      </c>
      <c r="H1898" s="81" t="s">
        <v>4667</v>
      </c>
      <c r="I1898" s="81" t="s">
        <v>4668</v>
      </c>
      <c r="J1898" s="81" t="s">
        <v>4088</v>
      </c>
      <c r="K1898" s="81" t="str">
        <f>IFERROR(__xludf.DUMMYFUNCTION("IF(OR(D1898="""",G1898=""""),"""",IFERROR(LET(
campo,XLOOKUP(TRIM(G1898),ARRAYFORMULA(TRIM('indice columnas'!$A$2:$A$100)),'indice columnas'!$B$2:$B$100,""""),
col,IFERROR(MATCH(campo,Referencia!$A$1:$AZ$1,0),0),
fila,IFERROR(MATCH(TO_TEXT(D1898),ARRAYFOR"&amp;"MULA(TO_TEXT(Referencia!$A$2:$A6238)),0),0),
IF(OR(campo="""",campo=""-""),""NO APLICA"",
IF(col=0,""REVISAR EQUIVALENCIA"",
IF(fila=0,""SKU NO ENCONTRADO"",
LET(
valor,INDEX(Referencia!$A$2:$AZ6238,fila,col),
IF(TRIM(TO_TEXT(valor))=TRIM(TO_TEXT(I1898)),"&amp;"
""OK"",
""NO COINCIDE. Valor verdadero: ""&amp;IF(valor="""",""[VACÍO]"",TO_TEXT(valor))
)
))))
),""ERROR EN FÓRMULA""))"),"NO APLICA")</f>
        <v>NO APLICA</v>
      </c>
    </row>
    <row r="1899">
      <c r="A1899" s="83" t="s">
        <v>4618</v>
      </c>
      <c r="B1899" s="83" t="s">
        <v>4619</v>
      </c>
      <c r="C1899" s="81" t="s">
        <v>4621</v>
      </c>
      <c r="D1899" s="83" t="s">
        <v>4669</v>
      </c>
      <c r="E1899" s="81" t="s">
        <v>3160</v>
      </c>
      <c r="F1899" s="84">
        <v>601.0</v>
      </c>
      <c r="G1899" s="81" t="s">
        <v>44</v>
      </c>
      <c r="H1899" s="81" t="s">
        <v>4670</v>
      </c>
      <c r="I1899" s="81" t="s">
        <v>4671</v>
      </c>
      <c r="J1899" s="81" t="s">
        <v>4088</v>
      </c>
      <c r="K1899" s="81" t="str">
        <f>IFERROR(__xludf.DUMMYFUNCTION("IF(OR(D1899="""",G1899=""""),"""",IFERROR(LET(
campo,XLOOKUP(TRIM(G1899),ARRAYFORMULA(TRIM('indice columnas'!$A$2:$A$100)),'indice columnas'!$B$2:$B$100,""""),
col,IFERROR(MATCH(campo,Referencia!$A$1:$AZ$1,0),0),
fila,IFERROR(MATCH(TO_TEXT(D1899),ARRAYFOR"&amp;"MULA(TO_TEXT(Referencia!$A$2:$A6238)),0),0),
IF(OR(campo="""",campo=""-""),""NO APLICA"",
IF(col=0,""REVISAR EQUIVALENCIA"",
IF(fila=0,""SKU NO ENCONTRADO"",
LET(
valor,INDEX(Referencia!$A$2:$AZ6238,fila,col),
IF(TRIM(TO_TEXT(valor))=TRIM(TO_TEXT(I1899)),"&amp;"
""OK"",
""NO COINCIDE. Valor verdadero: ""&amp;IF(valor="""",""[VACÍO]"",TO_TEXT(valor))
)
))))
),""ERROR EN FÓRMULA""))"),"NO APLICA")</f>
        <v>NO APLICA</v>
      </c>
    </row>
    <row r="1900">
      <c r="A1900" s="83" t="s">
        <v>4618</v>
      </c>
      <c r="B1900" s="83" t="s">
        <v>4619</v>
      </c>
      <c r="C1900" s="81" t="s">
        <v>4621</v>
      </c>
      <c r="D1900" s="83" t="s">
        <v>4672</v>
      </c>
      <c r="E1900" s="81" t="s">
        <v>3170</v>
      </c>
      <c r="F1900" s="84">
        <v>602.0</v>
      </c>
      <c r="G1900" s="81" t="s">
        <v>44</v>
      </c>
      <c r="H1900" s="81" t="s">
        <v>4673</v>
      </c>
      <c r="I1900" s="81" t="s">
        <v>3170</v>
      </c>
      <c r="J1900" s="81" t="s">
        <v>4088</v>
      </c>
      <c r="K1900" s="81" t="str">
        <f>IFERROR(__xludf.DUMMYFUNCTION("IF(OR(D1900="""",G1900=""""),"""",IFERROR(LET(
campo,XLOOKUP(TRIM(G1900),ARRAYFORMULA(TRIM('indice columnas'!$A$2:$A$100)),'indice columnas'!$B$2:$B$100,""""),
col,IFERROR(MATCH(campo,Referencia!$A$1:$AZ$1,0),0),
fila,IFERROR(MATCH(TO_TEXT(D1900),ARRAYFOR"&amp;"MULA(TO_TEXT(Referencia!$A$2:$A6238)),0),0),
IF(OR(campo="""",campo=""-""),""NO APLICA"",
IF(col=0,""REVISAR EQUIVALENCIA"",
IF(fila=0,""SKU NO ENCONTRADO"",
LET(
valor,INDEX(Referencia!$A$2:$AZ6238,fila,col),
IF(TRIM(TO_TEXT(valor))=TRIM(TO_TEXT(I1900)),"&amp;"
""OK"",
""NO COINCIDE. Valor verdadero: ""&amp;IF(valor="""",""[VACÍO]"",TO_TEXT(valor))
)
))))
),""ERROR EN FÓRMULA""))"),"NO APLICA")</f>
        <v>NO APLICA</v>
      </c>
    </row>
    <row r="1901">
      <c r="A1901" s="83" t="s">
        <v>4618</v>
      </c>
      <c r="B1901" s="83" t="s">
        <v>4619</v>
      </c>
      <c r="C1901" s="81" t="s">
        <v>4621</v>
      </c>
      <c r="D1901" s="83" t="s">
        <v>4672</v>
      </c>
      <c r="E1901" s="81" t="s">
        <v>3182</v>
      </c>
      <c r="F1901" s="84">
        <v>603.0</v>
      </c>
      <c r="G1901" s="81" t="s">
        <v>44</v>
      </c>
      <c r="H1901" s="81" t="s">
        <v>4673</v>
      </c>
      <c r="I1901" s="81" t="s">
        <v>3170</v>
      </c>
      <c r="J1901" s="81" t="s">
        <v>4088</v>
      </c>
      <c r="K1901" s="81" t="str">
        <f>IFERROR(__xludf.DUMMYFUNCTION("IF(OR(D1901="""",G1901=""""),"""",IFERROR(LET(
campo,XLOOKUP(TRIM(G1901),ARRAYFORMULA(TRIM('indice columnas'!$A$2:$A$100)),'indice columnas'!$B$2:$B$100,""""),
col,IFERROR(MATCH(campo,Referencia!$A$1:$AZ$1,0),0),
fila,IFERROR(MATCH(TO_TEXT(D1901),ARRAYFOR"&amp;"MULA(TO_TEXT(Referencia!$A$2:$A6238)),0),0),
IF(OR(campo="""",campo=""-""),""NO APLICA"",
IF(col=0,""REVISAR EQUIVALENCIA"",
IF(fila=0,""SKU NO ENCONTRADO"",
LET(
valor,INDEX(Referencia!$A$2:$AZ6238,fila,col),
IF(TRIM(TO_TEXT(valor))=TRIM(TO_TEXT(I1901)),"&amp;"
""OK"",
""NO COINCIDE. Valor verdadero: ""&amp;IF(valor="""",""[VACÍO]"",TO_TEXT(valor))
)
))))
),""ERROR EN FÓRMULA""))"),"NO APLICA")</f>
        <v>NO APLICA</v>
      </c>
    </row>
    <row r="1902">
      <c r="A1902" s="83" t="s">
        <v>4618</v>
      </c>
      <c r="B1902" s="83" t="s">
        <v>4619</v>
      </c>
      <c r="C1902" s="81" t="s">
        <v>4621</v>
      </c>
      <c r="D1902" s="83" t="s">
        <v>4674</v>
      </c>
      <c r="E1902" s="81" t="s">
        <v>3183</v>
      </c>
      <c r="F1902" s="84">
        <v>604.0</v>
      </c>
      <c r="G1902" s="81" t="s">
        <v>44</v>
      </c>
      <c r="H1902" s="81" t="s">
        <v>4673</v>
      </c>
      <c r="I1902" s="81" t="s">
        <v>3170</v>
      </c>
      <c r="J1902" s="81" t="s">
        <v>4088</v>
      </c>
      <c r="K1902" s="81" t="str">
        <f>IFERROR(__xludf.DUMMYFUNCTION("IF(OR(D1902="""",G1902=""""),"""",IFERROR(LET(
campo,XLOOKUP(TRIM(G1902),ARRAYFORMULA(TRIM('indice columnas'!$A$2:$A$100)),'indice columnas'!$B$2:$B$100,""""),
col,IFERROR(MATCH(campo,Referencia!$A$1:$AZ$1,0),0),
fila,IFERROR(MATCH(TO_TEXT(D1902),ARRAYFOR"&amp;"MULA(TO_TEXT(Referencia!$A$2:$A6238)),0),0),
IF(OR(campo="""",campo=""-""),""NO APLICA"",
IF(col=0,""REVISAR EQUIVALENCIA"",
IF(fila=0,""SKU NO ENCONTRADO"",
LET(
valor,INDEX(Referencia!$A$2:$AZ6238,fila,col),
IF(TRIM(TO_TEXT(valor))=TRIM(TO_TEXT(I1902)),"&amp;"
""OK"",
""NO COINCIDE. Valor verdadero: ""&amp;IF(valor="""",""[VACÍO]"",TO_TEXT(valor))
)
))))
),""ERROR EN FÓRMULA""))"),"NO APLICA")</f>
        <v>NO APLICA</v>
      </c>
    </row>
    <row r="1903">
      <c r="A1903" s="83" t="s">
        <v>4618</v>
      </c>
      <c r="B1903" s="83" t="s">
        <v>4619</v>
      </c>
      <c r="C1903" s="81" t="s">
        <v>4621</v>
      </c>
      <c r="D1903" s="83" t="s">
        <v>4675</v>
      </c>
      <c r="E1903" s="81" t="s">
        <v>3186</v>
      </c>
      <c r="F1903" s="84">
        <v>605.0</v>
      </c>
      <c r="G1903" s="81" t="s">
        <v>44</v>
      </c>
      <c r="H1903" s="81" t="s">
        <v>4676</v>
      </c>
      <c r="I1903" s="81" t="s">
        <v>3170</v>
      </c>
      <c r="J1903" s="81" t="s">
        <v>4088</v>
      </c>
      <c r="K1903" s="81" t="str">
        <f>IFERROR(__xludf.DUMMYFUNCTION("IF(OR(D1903="""",G1903=""""),"""",IFERROR(LET(
campo,XLOOKUP(TRIM(G1903),ARRAYFORMULA(TRIM('indice columnas'!$A$2:$A$100)),'indice columnas'!$B$2:$B$100,""""),
col,IFERROR(MATCH(campo,Referencia!$A$1:$AZ$1,0),0),
fila,IFERROR(MATCH(TO_TEXT(D1903),ARRAYFOR"&amp;"MULA(TO_TEXT(Referencia!$A$2:$A6238)),0),0),
IF(OR(campo="""",campo=""-""),""NO APLICA"",
IF(col=0,""REVISAR EQUIVALENCIA"",
IF(fila=0,""SKU NO ENCONTRADO"",
LET(
valor,INDEX(Referencia!$A$2:$AZ6238,fila,col),
IF(TRIM(TO_TEXT(valor))=TRIM(TO_TEXT(I1903)),"&amp;"
""OK"",
""NO COINCIDE. Valor verdadero: ""&amp;IF(valor="""",""[VACÍO]"",TO_TEXT(valor))
)
))))
),""ERROR EN FÓRMULA""))"),"NO APLICA")</f>
        <v>NO APLICA</v>
      </c>
    </row>
    <row r="1904">
      <c r="A1904" s="83" t="s">
        <v>4618</v>
      </c>
      <c r="B1904" s="83" t="s">
        <v>4619</v>
      </c>
      <c r="C1904" s="81" t="s">
        <v>4621</v>
      </c>
      <c r="D1904" s="83" t="s">
        <v>4677</v>
      </c>
      <c r="E1904" s="81" t="s">
        <v>3196</v>
      </c>
      <c r="F1904" s="84">
        <v>606.0</v>
      </c>
      <c r="G1904" s="81" t="s">
        <v>44</v>
      </c>
      <c r="H1904" s="81" t="s">
        <v>224</v>
      </c>
      <c r="I1904" s="81" t="s">
        <v>3212</v>
      </c>
      <c r="J1904" s="81" t="s">
        <v>4088</v>
      </c>
      <c r="K1904" s="81" t="str">
        <f>IFERROR(__xludf.DUMMYFUNCTION("IF(OR(D1904="""",G1904=""""),"""",IFERROR(LET(
campo,XLOOKUP(TRIM(G1904),ARRAYFORMULA(TRIM('indice columnas'!$A$2:$A$100)),'indice columnas'!$B$2:$B$100,""""),
col,IFERROR(MATCH(campo,Referencia!$A$1:$AZ$1,0),0),
fila,IFERROR(MATCH(TO_TEXT(D1904),ARRAYFOR"&amp;"MULA(TO_TEXT(Referencia!$A$2:$A6238)),0),0),
IF(OR(campo="""",campo=""-""),""NO APLICA"",
IF(col=0,""REVISAR EQUIVALENCIA"",
IF(fila=0,""SKU NO ENCONTRADO"",
LET(
valor,INDEX(Referencia!$A$2:$AZ6238,fila,col),
IF(TRIM(TO_TEXT(valor))=TRIM(TO_TEXT(I1904)),"&amp;"
""OK"",
""NO COINCIDE. Valor verdadero: ""&amp;IF(valor="""",""[VACÍO]"",TO_TEXT(valor))
)
))))
),""ERROR EN FÓRMULA""))"),"NO APLICA")</f>
        <v>NO APLICA</v>
      </c>
    </row>
    <row r="1905">
      <c r="A1905" s="83" t="s">
        <v>4618</v>
      </c>
      <c r="B1905" s="83" t="s">
        <v>4619</v>
      </c>
      <c r="C1905" s="81" t="s">
        <v>4621</v>
      </c>
      <c r="D1905" s="83" t="s">
        <v>4677</v>
      </c>
      <c r="E1905" s="81" t="s">
        <v>3208</v>
      </c>
      <c r="F1905" s="84">
        <v>607.0</v>
      </c>
      <c r="G1905" s="81" t="s">
        <v>44</v>
      </c>
      <c r="H1905" s="81" t="s">
        <v>224</v>
      </c>
      <c r="I1905" s="81" t="s">
        <v>3212</v>
      </c>
      <c r="J1905" s="81" t="s">
        <v>4088</v>
      </c>
      <c r="K1905" s="81" t="str">
        <f>IFERROR(__xludf.DUMMYFUNCTION("IF(OR(D1905="""",G1905=""""),"""",IFERROR(LET(
campo,XLOOKUP(TRIM(G1905),ARRAYFORMULA(TRIM('indice columnas'!$A$2:$A$100)),'indice columnas'!$B$2:$B$100,""""),
col,IFERROR(MATCH(campo,Referencia!$A$1:$AZ$1,0),0),
fila,IFERROR(MATCH(TO_TEXT(D1905),ARRAYFOR"&amp;"MULA(TO_TEXT(Referencia!$A$2:$A6238)),0),0),
IF(OR(campo="""",campo=""-""),""NO APLICA"",
IF(col=0,""REVISAR EQUIVALENCIA"",
IF(fila=0,""SKU NO ENCONTRADO"",
LET(
valor,INDEX(Referencia!$A$2:$AZ6238,fila,col),
IF(TRIM(TO_TEXT(valor))=TRIM(TO_TEXT(I1905)),"&amp;"
""OK"",
""NO COINCIDE. Valor verdadero: ""&amp;IF(valor="""",""[VACÍO]"",TO_TEXT(valor))
)
))))
),""ERROR EN FÓRMULA""))"),"NO APLICA")</f>
        <v>NO APLICA</v>
      </c>
    </row>
    <row r="1906">
      <c r="A1906" s="83" t="s">
        <v>4618</v>
      </c>
      <c r="B1906" s="83" t="s">
        <v>4619</v>
      </c>
      <c r="C1906" s="81" t="s">
        <v>4621</v>
      </c>
      <c r="D1906" s="83" t="s">
        <v>4678</v>
      </c>
      <c r="E1906" s="81" t="s">
        <v>3209</v>
      </c>
      <c r="F1906" s="84">
        <v>608.0</v>
      </c>
      <c r="G1906" s="81" t="s">
        <v>44</v>
      </c>
      <c r="H1906" s="81" t="s">
        <v>224</v>
      </c>
      <c r="I1906" s="81" t="s">
        <v>3212</v>
      </c>
      <c r="J1906" s="81" t="s">
        <v>4088</v>
      </c>
      <c r="K1906" s="81" t="str">
        <f>IFERROR(__xludf.DUMMYFUNCTION("IF(OR(D1906="""",G1906=""""),"""",IFERROR(LET(
campo,XLOOKUP(TRIM(G1906),ARRAYFORMULA(TRIM('indice columnas'!$A$2:$A$100)),'indice columnas'!$B$2:$B$100,""""),
col,IFERROR(MATCH(campo,Referencia!$A$1:$AZ$1,0),0),
fila,IFERROR(MATCH(TO_TEXT(D1906),ARRAYFOR"&amp;"MULA(TO_TEXT(Referencia!$A$2:$A6238)),0),0),
IF(OR(campo="""",campo=""-""),""NO APLICA"",
IF(col=0,""REVISAR EQUIVALENCIA"",
IF(fila=0,""SKU NO ENCONTRADO"",
LET(
valor,INDEX(Referencia!$A$2:$AZ6238,fila,col),
IF(TRIM(TO_TEXT(valor))=TRIM(TO_TEXT(I1906)),"&amp;"
""OK"",
""NO COINCIDE. Valor verdadero: ""&amp;IF(valor="""",""[VACÍO]"",TO_TEXT(valor))
)
))))
),""ERROR EN FÓRMULA""))"),"NO APLICA")</f>
        <v>NO APLICA</v>
      </c>
    </row>
    <row r="1907">
      <c r="A1907" s="83" t="s">
        <v>4618</v>
      </c>
      <c r="B1907" s="83" t="s">
        <v>4619</v>
      </c>
      <c r="C1907" s="81" t="s">
        <v>4621</v>
      </c>
      <c r="D1907" s="83" t="s">
        <v>4679</v>
      </c>
      <c r="E1907" s="81" t="s">
        <v>3212</v>
      </c>
      <c r="F1907" s="84">
        <v>609.0</v>
      </c>
      <c r="G1907" s="81" t="s">
        <v>44</v>
      </c>
      <c r="H1907" s="81" t="s">
        <v>224</v>
      </c>
      <c r="I1907" s="81" t="s">
        <v>3212</v>
      </c>
      <c r="J1907" s="81" t="s">
        <v>4088</v>
      </c>
      <c r="K1907" s="81" t="str">
        <f>IFERROR(__xludf.DUMMYFUNCTION("IF(OR(D1907="""",G1907=""""),"""",IFERROR(LET(
campo,XLOOKUP(TRIM(G1907),ARRAYFORMULA(TRIM('indice columnas'!$A$2:$A$100)),'indice columnas'!$B$2:$B$100,""""),
col,IFERROR(MATCH(campo,Referencia!$A$1:$AZ$1,0),0),
fila,IFERROR(MATCH(TO_TEXT(D1907),ARRAYFOR"&amp;"MULA(TO_TEXT(Referencia!$A$2:$A6238)),0),0),
IF(OR(campo="""",campo=""-""),""NO APLICA"",
IF(col=0,""REVISAR EQUIVALENCIA"",
IF(fila=0,""SKU NO ENCONTRADO"",
LET(
valor,INDEX(Referencia!$A$2:$AZ6238,fila,col),
IF(TRIM(TO_TEXT(valor))=TRIM(TO_TEXT(I1907)),"&amp;"
""OK"",
""NO COINCIDE. Valor verdadero: ""&amp;IF(valor="""",""[VACÍO]"",TO_TEXT(valor))
)
))))
),""ERROR EN FÓRMULA""))"),"NO APLICA")</f>
        <v>NO APLICA</v>
      </c>
    </row>
    <row r="1908">
      <c r="A1908" s="83" t="s">
        <v>4618</v>
      </c>
      <c r="B1908" s="83" t="s">
        <v>4619</v>
      </c>
      <c r="C1908" s="81" t="s">
        <v>4621</v>
      </c>
      <c r="D1908" s="83" t="s">
        <v>4679</v>
      </c>
      <c r="E1908" s="81" t="s">
        <v>3219</v>
      </c>
      <c r="F1908" s="84">
        <v>610.0</v>
      </c>
      <c r="G1908" s="81" t="s">
        <v>44</v>
      </c>
      <c r="H1908" s="81" t="s">
        <v>224</v>
      </c>
      <c r="I1908" s="81" t="s">
        <v>3212</v>
      </c>
      <c r="J1908" s="81" t="s">
        <v>4088</v>
      </c>
      <c r="K1908" s="81" t="str">
        <f>IFERROR(__xludf.DUMMYFUNCTION("IF(OR(D1908="""",G1908=""""),"""",IFERROR(LET(
campo,XLOOKUP(TRIM(G1908),ARRAYFORMULA(TRIM('indice columnas'!$A$2:$A$100)),'indice columnas'!$B$2:$B$100,""""),
col,IFERROR(MATCH(campo,Referencia!$A$1:$AZ$1,0),0),
fila,IFERROR(MATCH(TO_TEXT(D1908),ARRAYFOR"&amp;"MULA(TO_TEXT(Referencia!$A$2:$A6238)),0),0),
IF(OR(campo="""",campo=""-""),""NO APLICA"",
IF(col=0,""REVISAR EQUIVALENCIA"",
IF(fila=0,""SKU NO ENCONTRADO"",
LET(
valor,INDEX(Referencia!$A$2:$AZ6238,fila,col),
IF(TRIM(TO_TEXT(valor))=TRIM(TO_TEXT(I1908)),"&amp;"
""OK"",
""NO COINCIDE. Valor verdadero: ""&amp;IF(valor="""",""[VACÍO]"",TO_TEXT(valor))
)
))))
),""ERROR EN FÓRMULA""))"),"NO APLICA")</f>
        <v>NO APLICA</v>
      </c>
    </row>
    <row r="1909">
      <c r="A1909" s="83" t="s">
        <v>4618</v>
      </c>
      <c r="B1909" s="83" t="s">
        <v>4619</v>
      </c>
      <c r="C1909" s="81" t="s">
        <v>4621</v>
      </c>
      <c r="D1909" s="83" t="s">
        <v>4680</v>
      </c>
      <c r="E1909" s="81" t="s">
        <v>3220</v>
      </c>
      <c r="F1909" s="84">
        <v>611.0</v>
      </c>
      <c r="G1909" s="81" t="s">
        <v>44</v>
      </c>
      <c r="H1909" s="81" t="s">
        <v>224</v>
      </c>
      <c r="I1909" s="81" t="s">
        <v>3212</v>
      </c>
      <c r="J1909" s="81" t="s">
        <v>4088</v>
      </c>
      <c r="K1909" s="81" t="str">
        <f>IFERROR(__xludf.DUMMYFUNCTION("IF(OR(D1909="""",G1909=""""),"""",IFERROR(LET(
campo,XLOOKUP(TRIM(G1909),ARRAYFORMULA(TRIM('indice columnas'!$A$2:$A$100)),'indice columnas'!$B$2:$B$100,""""),
col,IFERROR(MATCH(campo,Referencia!$A$1:$AZ$1,0),0),
fila,IFERROR(MATCH(TO_TEXT(D1909),ARRAYFOR"&amp;"MULA(TO_TEXT(Referencia!$A$2:$A6238)),0),0),
IF(OR(campo="""",campo=""-""),""NO APLICA"",
IF(col=0,""REVISAR EQUIVALENCIA"",
IF(fila=0,""SKU NO ENCONTRADO"",
LET(
valor,INDEX(Referencia!$A$2:$AZ6238,fila,col),
IF(TRIM(TO_TEXT(valor))=TRIM(TO_TEXT(I1909)),"&amp;"
""OK"",
""NO COINCIDE. Valor verdadero: ""&amp;IF(valor="""",""[VACÍO]"",TO_TEXT(valor))
)
))))
),""ERROR EN FÓRMULA""))"),"NO APLICA")</f>
        <v>NO APLICA</v>
      </c>
    </row>
    <row r="1910">
      <c r="A1910" s="83" t="s">
        <v>4618</v>
      </c>
      <c r="B1910" s="83" t="s">
        <v>4619</v>
      </c>
      <c r="C1910" s="81" t="s">
        <v>4621</v>
      </c>
      <c r="D1910" s="83" t="s">
        <v>4681</v>
      </c>
      <c r="E1910" s="81" t="s">
        <v>3223</v>
      </c>
      <c r="F1910" s="84">
        <v>612.0</v>
      </c>
      <c r="G1910" s="81" t="s">
        <v>44</v>
      </c>
      <c r="H1910" s="81" t="s">
        <v>224</v>
      </c>
      <c r="I1910" s="81" t="s">
        <v>3212</v>
      </c>
      <c r="J1910" s="81" t="s">
        <v>4088</v>
      </c>
      <c r="K1910" s="81" t="str">
        <f>IFERROR(__xludf.DUMMYFUNCTION("IF(OR(D1910="""",G1910=""""),"""",IFERROR(LET(
campo,XLOOKUP(TRIM(G1910),ARRAYFORMULA(TRIM('indice columnas'!$A$2:$A$100)),'indice columnas'!$B$2:$B$100,""""),
col,IFERROR(MATCH(campo,Referencia!$A$1:$AZ$1,0),0),
fila,IFERROR(MATCH(TO_TEXT(D1910),ARRAYFOR"&amp;"MULA(TO_TEXT(Referencia!$A$2:$A6238)),0),0),
IF(OR(campo="""",campo=""-""),""NO APLICA"",
IF(col=0,""REVISAR EQUIVALENCIA"",
IF(fila=0,""SKU NO ENCONTRADO"",
LET(
valor,INDEX(Referencia!$A$2:$AZ6238,fila,col),
IF(TRIM(TO_TEXT(valor))=TRIM(TO_TEXT(I1910)),"&amp;"
""OK"",
""NO COINCIDE. Valor verdadero: ""&amp;IF(valor="""",""[VACÍO]"",TO_TEXT(valor))
)
))))
),""ERROR EN FÓRMULA""))"),"NO APLICA")</f>
        <v>NO APLICA</v>
      </c>
    </row>
    <row r="1911">
      <c r="A1911" s="83" t="s">
        <v>4618</v>
      </c>
      <c r="B1911" s="83" t="s">
        <v>4619</v>
      </c>
      <c r="C1911" s="81" t="s">
        <v>4621</v>
      </c>
      <c r="D1911" s="83" t="s">
        <v>4682</v>
      </c>
      <c r="E1911" s="81" t="s">
        <v>3226</v>
      </c>
      <c r="F1911" s="84">
        <v>613.0</v>
      </c>
      <c r="G1911" s="81" t="s">
        <v>44</v>
      </c>
      <c r="H1911" s="81" t="s">
        <v>224</v>
      </c>
      <c r="I1911" s="81" t="s">
        <v>3212</v>
      </c>
      <c r="J1911" s="81" t="s">
        <v>4088</v>
      </c>
      <c r="K1911" s="81" t="str">
        <f>IFERROR(__xludf.DUMMYFUNCTION("IF(OR(D1911="""",G1911=""""),"""",IFERROR(LET(
campo,XLOOKUP(TRIM(G1911),ARRAYFORMULA(TRIM('indice columnas'!$A$2:$A$100)),'indice columnas'!$B$2:$B$100,""""),
col,IFERROR(MATCH(campo,Referencia!$A$1:$AZ$1,0),0),
fila,IFERROR(MATCH(TO_TEXT(D1911),ARRAYFOR"&amp;"MULA(TO_TEXT(Referencia!$A$2:$A6238)),0),0),
IF(OR(campo="""",campo=""-""),""NO APLICA"",
IF(col=0,""REVISAR EQUIVALENCIA"",
IF(fila=0,""SKU NO ENCONTRADO"",
LET(
valor,INDEX(Referencia!$A$2:$AZ6238,fila,col),
IF(TRIM(TO_TEXT(valor))=TRIM(TO_TEXT(I1911)),"&amp;"
""OK"",
""NO COINCIDE. Valor verdadero: ""&amp;IF(valor="""",""[VACÍO]"",TO_TEXT(valor))
)
))))
),""ERROR EN FÓRMULA""))"),"NO APLICA")</f>
        <v>NO APLICA</v>
      </c>
    </row>
    <row r="1912">
      <c r="A1912" s="83" t="s">
        <v>4618</v>
      </c>
      <c r="B1912" s="83" t="s">
        <v>4619</v>
      </c>
      <c r="C1912" s="81" t="s">
        <v>4621</v>
      </c>
      <c r="D1912" s="83" t="s">
        <v>4683</v>
      </c>
      <c r="E1912" s="81" t="s">
        <v>3228</v>
      </c>
      <c r="F1912" s="84">
        <v>614.0</v>
      </c>
      <c r="G1912" s="81" t="s">
        <v>44</v>
      </c>
      <c r="H1912" s="81" t="s">
        <v>224</v>
      </c>
      <c r="I1912" s="81" t="s">
        <v>3212</v>
      </c>
      <c r="J1912" s="81" t="s">
        <v>4088</v>
      </c>
      <c r="K1912" s="81" t="str">
        <f>IFERROR(__xludf.DUMMYFUNCTION("IF(OR(D1912="""",G1912=""""),"""",IFERROR(LET(
campo,XLOOKUP(TRIM(G1912),ARRAYFORMULA(TRIM('indice columnas'!$A$2:$A$100)),'indice columnas'!$B$2:$B$100,""""),
col,IFERROR(MATCH(campo,Referencia!$A$1:$AZ$1,0),0),
fila,IFERROR(MATCH(TO_TEXT(D1912),ARRAYFOR"&amp;"MULA(TO_TEXT(Referencia!$A$2:$A6238)),0),0),
IF(OR(campo="""",campo=""-""),""NO APLICA"",
IF(col=0,""REVISAR EQUIVALENCIA"",
IF(fila=0,""SKU NO ENCONTRADO"",
LET(
valor,INDEX(Referencia!$A$2:$AZ6238,fila,col),
IF(TRIM(TO_TEXT(valor))=TRIM(TO_TEXT(I1912)),"&amp;"
""OK"",
""NO COINCIDE. Valor verdadero: ""&amp;IF(valor="""",""[VACÍO]"",TO_TEXT(valor))
)
))))
),""ERROR EN FÓRMULA""))"),"NO APLICA")</f>
        <v>NO APLICA</v>
      </c>
    </row>
    <row r="1913">
      <c r="A1913" s="83" t="s">
        <v>4618</v>
      </c>
      <c r="B1913" s="83" t="s">
        <v>4619</v>
      </c>
      <c r="C1913" s="81" t="s">
        <v>4621</v>
      </c>
      <c r="D1913" s="83" t="s">
        <v>4683</v>
      </c>
      <c r="E1913" s="81" t="s">
        <v>3235</v>
      </c>
      <c r="F1913" s="84">
        <v>615.0</v>
      </c>
      <c r="G1913" s="81" t="s">
        <v>44</v>
      </c>
      <c r="H1913" s="81" t="s">
        <v>224</v>
      </c>
      <c r="I1913" s="81" t="s">
        <v>3212</v>
      </c>
      <c r="J1913" s="81" t="s">
        <v>4088</v>
      </c>
      <c r="K1913" s="81" t="str">
        <f>IFERROR(__xludf.DUMMYFUNCTION("IF(OR(D1913="""",G1913=""""),"""",IFERROR(LET(
campo,XLOOKUP(TRIM(G1913),ARRAYFORMULA(TRIM('indice columnas'!$A$2:$A$100)),'indice columnas'!$B$2:$B$100,""""),
col,IFERROR(MATCH(campo,Referencia!$A$1:$AZ$1,0),0),
fila,IFERROR(MATCH(TO_TEXT(D1913),ARRAYFOR"&amp;"MULA(TO_TEXT(Referencia!$A$2:$A6238)),0),0),
IF(OR(campo="""",campo=""-""),""NO APLICA"",
IF(col=0,""REVISAR EQUIVALENCIA"",
IF(fila=0,""SKU NO ENCONTRADO"",
LET(
valor,INDEX(Referencia!$A$2:$AZ6238,fila,col),
IF(TRIM(TO_TEXT(valor))=TRIM(TO_TEXT(I1913)),"&amp;"
""OK"",
""NO COINCIDE. Valor verdadero: ""&amp;IF(valor="""",""[VACÍO]"",TO_TEXT(valor))
)
))))
),""ERROR EN FÓRMULA""))"),"NO APLICA")</f>
        <v>NO APLICA</v>
      </c>
    </row>
    <row r="1914">
      <c r="A1914" s="83" t="s">
        <v>4618</v>
      </c>
      <c r="B1914" s="83" t="s">
        <v>4619</v>
      </c>
      <c r="C1914" s="81" t="s">
        <v>4621</v>
      </c>
      <c r="D1914" s="83" t="s">
        <v>4684</v>
      </c>
      <c r="E1914" s="81" t="s">
        <v>3236</v>
      </c>
      <c r="F1914" s="84">
        <v>616.0</v>
      </c>
      <c r="G1914" s="81" t="s">
        <v>44</v>
      </c>
      <c r="H1914" s="81" t="s">
        <v>224</v>
      </c>
      <c r="I1914" s="81" t="s">
        <v>3212</v>
      </c>
      <c r="J1914" s="81" t="s">
        <v>4088</v>
      </c>
      <c r="K1914" s="81" t="str">
        <f>IFERROR(__xludf.DUMMYFUNCTION("IF(OR(D1914="""",G1914=""""),"""",IFERROR(LET(
campo,XLOOKUP(TRIM(G1914),ARRAYFORMULA(TRIM('indice columnas'!$A$2:$A$100)),'indice columnas'!$B$2:$B$100,""""),
col,IFERROR(MATCH(campo,Referencia!$A$1:$AZ$1,0),0),
fila,IFERROR(MATCH(TO_TEXT(D1914),ARRAYFOR"&amp;"MULA(TO_TEXT(Referencia!$A$2:$A6238)),0),0),
IF(OR(campo="""",campo=""-""),""NO APLICA"",
IF(col=0,""REVISAR EQUIVALENCIA"",
IF(fila=0,""SKU NO ENCONTRADO"",
LET(
valor,INDEX(Referencia!$A$2:$AZ6238,fila,col),
IF(TRIM(TO_TEXT(valor))=TRIM(TO_TEXT(I1914)),"&amp;"
""OK"",
""NO COINCIDE. Valor verdadero: ""&amp;IF(valor="""",""[VACÍO]"",TO_TEXT(valor))
)
))))
),""ERROR EN FÓRMULA""))"),"NO APLICA")</f>
        <v>NO APLICA</v>
      </c>
    </row>
    <row r="1915">
      <c r="A1915" s="83" t="s">
        <v>4618</v>
      </c>
      <c r="B1915" s="83" t="s">
        <v>4619</v>
      </c>
      <c r="C1915" s="81" t="s">
        <v>4621</v>
      </c>
      <c r="D1915" s="83" t="s">
        <v>4685</v>
      </c>
      <c r="E1915" s="81" t="s">
        <v>3239</v>
      </c>
      <c r="F1915" s="84">
        <v>617.0</v>
      </c>
      <c r="G1915" s="81" t="s">
        <v>44</v>
      </c>
      <c r="H1915" s="81" t="s">
        <v>224</v>
      </c>
      <c r="I1915" s="81" t="s">
        <v>3212</v>
      </c>
      <c r="J1915" s="81" t="s">
        <v>4088</v>
      </c>
      <c r="K1915" s="81" t="str">
        <f>IFERROR(__xludf.DUMMYFUNCTION("IF(OR(D1915="""",G1915=""""),"""",IFERROR(LET(
campo,XLOOKUP(TRIM(G1915),ARRAYFORMULA(TRIM('indice columnas'!$A$2:$A$100)),'indice columnas'!$B$2:$B$100,""""),
col,IFERROR(MATCH(campo,Referencia!$A$1:$AZ$1,0),0),
fila,IFERROR(MATCH(TO_TEXT(D1915),ARRAYFOR"&amp;"MULA(TO_TEXT(Referencia!$A$2:$A6238)),0),0),
IF(OR(campo="""",campo=""-""),""NO APLICA"",
IF(col=0,""REVISAR EQUIVALENCIA"",
IF(fila=0,""SKU NO ENCONTRADO"",
LET(
valor,INDEX(Referencia!$A$2:$AZ6238,fila,col),
IF(TRIM(TO_TEXT(valor))=TRIM(TO_TEXT(I1915)),"&amp;"
""OK"",
""NO COINCIDE. Valor verdadero: ""&amp;IF(valor="""",""[VACÍO]"",TO_TEXT(valor))
)
))))
),""ERROR EN FÓRMULA""))"),"NO APLICA")</f>
        <v>NO APLICA</v>
      </c>
    </row>
    <row r="1916">
      <c r="A1916" s="83" t="s">
        <v>4618</v>
      </c>
      <c r="B1916" s="83" t="s">
        <v>4619</v>
      </c>
      <c r="C1916" s="81" t="s">
        <v>4621</v>
      </c>
      <c r="D1916" s="83" t="s">
        <v>4685</v>
      </c>
      <c r="E1916" s="81" t="s">
        <v>3247</v>
      </c>
      <c r="F1916" s="84">
        <v>618.0</v>
      </c>
      <c r="G1916" s="81" t="s">
        <v>44</v>
      </c>
      <c r="H1916" s="81" t="s">
        <v>224</v>
      </c>
      <c r="I1916" s="81" t="s">
        <v>3212</v>
      </c>
      <c r="J1916" s="81" t="s">
        <v>4088</v>
      </c>
      <c r="K1916" s="81" t="str">
        <f>IFERROR(__xludf.DUMMYFUNCTION("IF(OR(D1916="""",G1916=""""),"""",IFERROR(LET(
campo,XLOOKUP(TRIM(G1916),ARRAYFORMULA(TRIM('indice columnas'!$A$2:$A$100)),'indice columnas'!$B$2:$B$100,""""),
col,IFERROR(MATCH(campo,Referencia!$A$1:$AZ$1,0),0),
fila,IFERROR(MATCH(TO_TEXT(D1916),ARRAYFOR"&amp;"MULA(TO_TEXT(Referencia!$A$2:$A6238)),0),0),
IF(OR(campo="""",campo=""-""),""NO APLICA"",
IF(col=0,""REVISAR EQUIVALENCIA"",
IF(fila=0,""SKU NO ENCONTRADO"",
LET(
valor,INDEX(Referencia!$A$2:$AZ6238,fila,col),
IF(TRIM(TO_TEXT(valor))=TRIM(TO_TEXT(I1916)),"&amp;"
""OK"",
""NO COINCIDE. Valor verdadero: ""&amp;IF(valor="""",""[VACÍO]"",TO_TEXT(valor))
)
))))
),""ERROR EN FÓRMULA""))"),"NO APLICA")</f>
        <v>NO APLICA</v>
      </c>
    </row>
    <row r="1917">
      <c r="A1917" s="83" t="s">
        <v>4618</v>
      </c>
      <c r="B1917" s="83" t="s">
        <v>4619</v>
      </c>
      <c r="C1917" s="81" t="s">
        <v>4621</v>
      </c>
      <c r="D1917" s="83" t="s">
        <v>4686</v>
      </c>
      <c r="E1917" s="81" t="s">
        <v>3248</v>
      </c>
      <c r="F1917" s="84">
        <v>619.0</v>
      </c>
      <c r="G1917" s="81" t="s">
        <v>44</v>
      </c>
      <c r="H1917" s="81" t="s">
        <v>224</v>
      </c>
      <c r="I1917" s="81" t="s">
        <v>3212</v>
      </c>
      <c r="J1917" s="81" t="s">
        <v>4088</v>
      </c>
      <c r="K1917" s="81" t="str">
        <f>IFERROR(__xludf.DUMMYFUNCTION("IF(OR(D1917="""",G1917=""""),"""",IFERROR(LET(
campo,XLOOKUP(TRIM(G1917),ARRAYFORMULA(TRIM('indice columnas'!$A$2:$A$100)),'indice columnas'!$B$2:$B$100,""""),
col,IFERROR(MATCH(campo,Referencia!$A$1:$AZ$1,0),0),
fila,IFERROR(MATCH(TO_TEXT(D1917),ARRAYFOR"&amp;"MULA(TO_TEXT(Referencia!$A$2:$A6238)),0),0),
IF(OR(campo="""",campo=""-""),""NO APLICA"",
IF(col=0,""REVISAR EQUIVALENCIA"",
IF(fila=0,""SKU NO ENCONTRADO"",
LET(
valor,INDEX(Referencia!$A$2:$AZ6238,fila,col),
IF(TRIM(TO_TEXT(valor))=TRIM(TO_TEXT(I1917)),"&amp;"
""OK"",
""NO COINCIDE. Valor verdadero: ""&amp;IF(valor="""",""[VACÍO]"",TO_TEXT(valor))
)
))))
),""ERROR EN FÓRMULA""))"),"NO APLICA")</f>
        <v>NO APLICA</v>
      </c>
    </row>
    <row r="1918">
      <c r="A1918" s="83" t="s">
        <v>4618</v>
      </c>
      <c r="B1918" s="83" t="s">
        <v>4619</v>
      </c>
      <c r="C1918" s="81" t="s">
        <v>4621</v>
      </c>
      <c r="D1918" s="83" t="s">
        <v>4687</v>
      </c>
      <c r="E1918" s="81" t="s">
        <v>3251</v>
      </c>
      <c r="F1918" s="84">
        <v>620.0</v>
      </c>
      <c r="G1918" s="81" t="s">
        <v>44</v>
      </c>
      <c r="H1918" s="81" t="s">
        <v>224</v>
      </c>
      <c r="I1918" s="81" t="s">
        <v>3212</v>
      </c>
      <c r="J1918" s="81" t="s">
        <v>4088</v>
      </c>
      <c r="K1918" s="81" t="str">
        <f>IFERROR(__xludf.DUMMYFUNCTION("IF(OR(D1918="""",G1918=""""),"""",IFERROR(LET(
campo,XLOOKUP(TRIM(G1918),ARRAYFORMULA(TRIM('indice columnas'!$A$2:$A$100)),'indice columnas'!$B$2:$B$100,""""),
col,IFERROR(MATCH(campo,Referencia!$A$1:$AZ$1,0),0),
fila,IFERROR(MATCH(TO_TEXT(D1918),ARRAYFOR"&amp;"MULA(TO_TEXT(Referencia!$A$2:$A6238)),0),0),
IF(OR(campo="""",campo=""-""),""NO APLICA"",
IF(col=0,""REVISAR EQUIVALENCIA"",
IF(fila=0,""SKU NO ENCONTRADO"",
LET(
valor,INDEX(Referencia!$A$2:$AZ6238,fila,col),
IF(TRIM(TO_TEXT(valor))=TRIM(TO_TEXT(I1918)),"&amp;"
""OK"",
""NO COINCIDE. Valor verdadero: ""&amp;IF(valor="""",""[VACÍO]"",TO_TEXT(valor))
)
))))
),""ERROR EN FÓRMULA""))"),"NO APLICA")</f>
        <v>NO APLICA</v>
      </c>
    </row>
    <row r="1919">
      <c r="A1919" s="83" t="s">
        <v>4618</v>
      </c>
      <c r="B1919" s="83" t="s">
        <v>4619</v>
      </c>
      <c r="C1919" s="81" t="s">
        <v>4621</v>
      </c>
      <c r="D1919" s="83" t="s">
        <v>4688</v>
      </c>
      <c r="E1919" s="81" t="s">
        <v>3254</v>
      </c>
      <c r="F1919" s="84">
        <v>621.0</v>
      </c>
      <c r="G1919" s="81" t="s">
        <v>44</v>
      </c>
      <c r="H1919" s="81" t="s">
        <v>224</v>
      </c>
      <c r="I1919" s="81" t="s">
        <v>3212</v>
      </c>
      <c r="J1919" s="81" t="s">
        <v>4088</v>
      </c>
      <c r="K1919" s="81" t="str">
        <f>IFERROR(__xludf.DUMMYFUNCTION("IF(OR(D1919="""",G1919=""""),"""",IFERROR(LET(
campo,XLOOKUP(TRIM(G1919),ARRAYFORMULA(TRIM('indice columnas'!$A$2:$A$100)),'indice columnas'!$B$2:$B$100,""""),
col,IFERROR(MATCH(campo,Referencia!$A$1:$AZ$1,0),0),
fila,IFERROR(MATCH(TO_TEXT(D1919),ARRAYFOR"&amp;"MULA(TO_TEXT(Referencia!$A$2:$A6238)),0),0),
IF(OR(campo="""",campo=""-""),""NO APLICA"",
IF(col=0,""REVISAR EQUIVALENCIA"",
IF(fila=0,""SKU NO ENCONTRADO"",
LET(
valor,INDEX(Referencia!$A$2:$AZ6238,fila,col),
IF(TRIM(TO_TEXT(valor))=TRIM(TO_TEXT(I1919)),"&amp;"
""OK"",
""NO COINCIDE. Valor verdadero: ""&amp;IF(valor="""",""[VACÍO]"",TO_TEXT(valor))
)
))))
),""ERROR EN FÓRMULA""))"),"NO APLICA")</f>
        <v>NO APLICA</v>
      </c>
    </row>
    <row r="1920">
      <c r="A1920" s="83" t="s">
        <v>4618</v>
      </c>
      <c r="B1920" s="83" t="s">
        <v>4619</v>
      </c>
      <c r="C1920" s="81" t="s">
        <v>4621</v>
      </c>
      <c r="D1920" s="83" t="s">
        <v>4689</v>
      </c>
      <c r="E1920" s="81" t="s">
        <v>3257</v>
      </c>
      <c r="F1920" s="84">
        <v>622.0</v>
      </c>
      <c r="G1920" s="81" t="s">
        <v>44</v>
      </c>
      <c r="H1920" s="81" t="s">
        <v>224</v>
      </c>
      <c r="I1920" s="81" t="s">
        <v>3257</v>
      </c>
      <c r="J1920" s="81" t="s">
        <v>4088</v>
      </c>
      <c r="K1920" s="81" t="str">
        <f>IFERROR(__xludf.DUMMYFUNCTION("IF(OR(D1920="""",G1920=""""),"""",IFERROR(LET(
campo,XLOOKUP(TRIM(G1920),ARRAYFORMULA(TRIM('indice columnas'!$A$2:$A$100)),'indice columnas'!$B$2:$B$100,""""),
col,IFERROR(MATCH(campo,Referencia!$A$1:$AZ$1,0),0),
fila,IFERROR(MATCH(TO_TEXT(D1920),ARRAYFOR"&amp;"MULA(TO_TEXT(Referencia!$A$2:$A6238)),0),0),
IF(OR(campo="""",campo=""-""),""NO APLICA"",
IF(col=0,""REVISAR EQUIVALENCIA"",
IF(fila=0,""SKU NO ENCONTRADO"",
LET(
valor,INDEX(Referencia!$A$2:$AZ6238,fila,col),
IF(TRIM(TO_TEXT(valor))=TRIM(TO_TEXT(I1920)),"&amp;"
""OK"",
""NO COINCIDE. Valor verdadero: ""&amp;IF(valor="""",""[VACÍO]"",TO_TEXT(valor))
)
))))
),""ERROR EN FÓRMULA""))"),"NO APLICA")</f>
        <v>NO APLICA</v>
      </c>
    </row>
    <row r="1921">
      <c r="A1921" s="83" t="s">
        <v>4618</v>
      </c>
      <c r="B1921" s="83" t="s">
        <v>4619</v>
      </c>
      <c r="C1921" s="81" t="s">
        <v>4621</v>
      </c>
      <c r="D1921" s="83" t="s">
        <v>4689</v>
      </c>
      <c r="E1921" s="81" t="s">
        <v>3266</v>
      </c>
      <c r="F1921" s="84">
        <v>623.0</v>
      </c>
      <c r="G1921" s="81" t="s">
        <v>44</v>
      </c>
      <c r="H1921" s="81" t="s">
        <v>224</v>
      </c>
      <c r="I1921" s="81" t="s">
        <v>3257</v>
      </c>
      <c r="J1921" s="81" t="s">
        <v>4088</v>
      </c>
      <c r="K1921" s="81" t="str">
        <f>IFERROR(__xludf.DUMMYFUNCTION("IF(OR(D1921="""",G1921=""""),"""",IFERROR(LET(
campo,XLOOKUP(TRIM(G1921),ARRAYFORMULA(TRIM('indice columnas'!$A$2:$A$100)),'indice columnas'!$B$2:$B$100,""""),
col,IFERROR(MATCH(campo,Referencia!$A$1:$AZ$1,0),0),
fila,IFERROR(MATCH(TO_TEXT(D1921),ARRAYFOR"&amp;"MULA(TO_TEXT(Referencia!$A$2:$A6238)),0),0),
IF(OR(campo="""",campo=""-""),""NO APLICA"",
IF(col=0,""REVISAR EQUIVALENCIA"",
IF(fila=0,""SKU NO ENCONTRADO"",
LET(
valor,INDEX(Referencia!$A$2:$AZ6238,fila,col),
IF(TRIM(TO_TEXT(valor))=TRIM(TO_TEXT(I1921)),"&amp;"
""OK"",
""NO COINCIDE. Valor verdadero: ""&amp;IF(valor="""",""[VACÍO]"",TO_TEXT(valor))
)
))))
),""ERROR EN FÓRMULA""))"),"NO APLICA")</f>
        <v>NO APLICA</v>
      </c>
    </row>
    <row r="1922">
      <c r="A1922" s="83" t="s">
        <v>4618</v>
      </c>
      <c r="B1922" s="83" t="s">
        <v>4619</v>
      </c>
      <c r="C1922" s="81" t="s">
        <v>4621</v>
      </c>
      <c r="D1922" s="83" t="s">
        <v>4690</v>
      </c>
      <c r="E1922" s="81" t="s">
        <v>3267</v>
      </c>
      <c r="F1922" s="84">
        <v>624.0</v>
      </c>
      <c r="G1922" s="81" t="s">
        <v>44</v>
      </c>
      <c r="H1922" s="81" t="s">
        <v>224</v>
      </c>
      <c r="I1922" s="81" t="s">
        <v>3257</v>
      </c>
      <c r="J1922" s="81" t="s">
        <v>4088</v>
      </c>
      <c r="K1922" s="81" t="str">
        <f>IFERROR(__xludf.DUMMYFUNCTION("IF(OR(D1922="""",G1922=""""),"""",IFERROR(LET(
campo,XLOOKUP(TRIM(G1922),ARRAYFORMULA(TRIM('indice columnas'!$A$2:$A$100)),'indice columnas'!$B$2:$B$100,""""),
col,IFERROR(MATCH(campo,Referencia!$A$1:$AZ$1,0),0),
fila,IFERROR(MATCH(TO_TEXT(D1922),ARRAYFOR"&amp;"MULA(TO_TEXT(Referencia!$A$2:$A6238)),0),0),
IF(OR(campo="""",campo=""-""),""NO APLICA"",
IF(col=0,""REVISAR EQUIVALENCIA"",
IF(fila=0,""SKU NO ENCONTRADO"",
LET(
valor,INDEX(Referencia!$A$2:$AZ6238,fila,col),
IF(TRIM(TO_TEXT(valor))=TRIM(TO_TEXT(I1922)),"&amp;"
""OK"",
""NO COINCIDE. Valor verdadero: ""&amp;IF(valor="""",""[VACÍO]"",TO_TEXT(valor))
)
))))
),""ERROR EN FÓRMULA""))"),"NO APLICA")</f>
        <v>NO APLICA</v>
      </c>
    </row>
    <row r="1923">
      <c r="A1923" s="83" t="s">
        <v>4618</v>
      </c>
      <c r="B1923" s="83" t="s">
        <v>4619</v>
      </c>
      <c r="C1923" s="81" t="s">
        <v>4621</v>
      </c>
      <c r="D1923" s="83" t="s">
        <v>4691</v>
      </c>
      <c r="E1923" s="81" t="s">
        <v>3270</v>
      </c>
      <c r="F1923" s="84">
        <v>625.0</v>
      </c>
      <c r="G1923" s="81" t="s">
        <v>44</v>
      </c>
      <c r="H1923" s="81" t="s">
        <v>4692</v>
      </c>
      <c r="I1923" s="81" t="s">
        <v>3270</v>
      </c>
      <c r="J1923" s="81" t="s">
        <v>4088</v>
      </c>
      <c r="K1923" s="81" t="str">
        <f>IFERROR(__xludf.DUMMYFUNCTION("IF(OR(D1923="""",G1923=""""),"""",IFERROR(LET(
campo,XLOOKUP(TRIM(G1923),ARRAYFORMULA(TRIM('indice columnas'!$A$2:$A$100)),'indice columnas'!$B$2:$B$100,""""),
col,IFERROR(MATCH(campo,Referencia!$A$1:$AZ$1,0),0),
fila,IFERROR(MATCH(TO_TEXT(D1923),ARRAYFOR"&amp;"MULA(TO_TEXT(Referencia!$A$2:$A6238)),0),0),
IF(OR(campo="""",campo=""-""),""NO APLICA"",
IF(col=0,""REVISAR EQUIVALENCIA"",
IF(fila=0,""SKU NO ENCONTRADO"",
LET(
valor,INDEX(Referencia!$A$2:$AZ6238,fila,col),
IF(TRIM(TO_TEXT(valor))=TRIM(TO_TEXT(I1923)),"&amp;"
""OK"",
""NO COINCIDE. Valor verdadero: ""&amp;IF(valor="""",""[VACÍO]"",TO_TEXT(valor))
)
))))
),""ERROR EN FÓRMULA""))"),"NO APLICA")</f>
        <v>NO APLICA</v>
      </c>
    </row>
    <row r="1924">
      <c r="A1924" s="83" t="s">
        <v>4618</v>
      </c>
      <c r="B1924" s="83" t="s">
        <v>4619</v>
      </c>
      <c r="C1924" s="81" t="s">
        <v>4621</v>
      </c>
      <c r="D1924" s="83" t="s">
        <v>4691</v>
      </c>
      <c r="E1924" s="81" t="s">
        <v>3280</v>
      </c>
      <c r="F1924" s="84">
        <v>626.0</v>
      </c>
      <c r="G1924" s="81" t="s">
        <v>44</v>
      </c>
      <c r="H1924" s="81" t="s">
        <v>4692</v>
      </c>
      <c r="I1924" s="81" t="s">
        <v>3270</v>
      </c>
      <c r="J1924" s="81" t="s">
        <v>4088</v>
      </c>
      <c r="K1924" s="81" t="str">
        <f>IFERROR(__xludf.DUMMYFUNCTION("IF(OR(D1924="""",G1924=""""),"""",IFERROR(LET(
campo,XLOOKUP(TRIM(G1924),ARRAYFORMULA(TRIM('indice columnas'!$A$2:$A$100)),'indice columnas'!$B$2:$B$100,""""),
col,IFERROR(MATCH(campo,Referencia!$A$1:$AZ$1,0),0),
fila,IFERROR(MATCH(TO_TEXT(D1924),ARRAYFOR"&amp;"MULA(TO_TEXT(Referencia!$A$2:$A6238)),0),0),
IF(OR(campo="""",campo=""-""),""NO APLICA"",
IF(col=0,""REVISAR EQUIVALENCIA"",
IF(fila=0,""SKU NO ENCONTRADO"",
LET(
valor,INDEX(Referencia!$A$2:$AZ6238,fila,col),
IF(TRIM(TO_TEXT(valor))=TRIM(TO_TEXT(I1924)),"&amp;"
""OK"",
""NO COINCIDE. Valor verdadero: ""&amp;IF(valor="""",""[VACÍO]"",TO_TEXT(valor))
)
))))
),""ERROR EN FÓRMULA""))"),"NO APLICA")</f>
        <v>NO APLICA</v>
      </c>
    </row>
    <row r="1925">
      <c r="A1925" s="83" t="s">
        <v>4618</v>
      </c>
      <c r="B1925" s="83" t="s">
        <v>4619</v>
      </c>
      <c r="C1925" s="81" t="s">
        <v>4621</v>
      </c>
      <c r="D1925" s="83" t="s">
        <v>4693</v>
      </c>
      <c r="E1925" s="81" t="s">
        <v>3281</v>
      </c>
      <c r="F1925" s="84">
        <v>627.0</v>
      </c>
      <c r="G1925" s="81" t="s">
        <v>44</v>
      </c>
      <c r="H1925" s="81" t="s">
        <v>4692</v>
      </c>
      <c r="I1925" s="81" t="s">
        <v>3270</v>
      </c>
      <c r="J1925" s="81" t="s">
        <v>4088</v>
      </c>
      <c r="K1925" s="81" t="str">
        <f>IFERROR(__xludf.DUMMYFUNCTION("IF(OR(D1925="""",G1925=""""),"""",IFERROR(LET(
campo,XLOOKUP(TRIM(G1925),ARRAYFORMULA(TRIM('indice columnas'!$A$2:$A$100)),'indice columnas'!$B$2:$B$100,""""),
col,IFERROR(MATCH(campo,Referencia!$A$1:$AZ$1,0),0),
fila,IFERROR(MATCH(TO_TEXT(D1925),ARRAYFOR"&amp;"MULA(TO_TEXT(Referencia!$A$2:$A6238)),0),0),
IF(OR(campo="""",campo=""-""),""NO APLICA"",
IF(col=0,""REVISAR EQUIVALENCIA"",
IF(fila=0,""SKU NO ENCONTRADO"",
LET(
valor,INDEX(Referencia!$A$2:$AZ6238,fila,col),
IF(TRIM(TO_TEXT(valor))=TRIM(TO_TEXT(I1925)),"&amp;"
""OK"",
""NO COINCIDE. Valor verdadero: ""&amp;IF(valor="""",""[VACÍO]"",TO_TEXT(valor))
)
))))
),""ERROR EN FÓRMULA""))"),"NO APLICA")</f>
        <v>NO APLICA</v>
      </c>
    </row>
    <row r="1926">
      <c r="A1926" s="83" t="s">
        <v>4618</v>
      </c>
      <c r="B1926" s="83" t="s">
        <v>4619</v>
      </c>
      <c r="C1926" s="81" t="s">
        <v>4621</v>
      </c>
      <c r="D1926" s="83" t="s">
        <v>4694</v>
      </c>
      <c r="E1926" s="81" t="s">
        <v>3284</v>
      </c>
      <c r="F1926" s="84">
        <v>628.0</v>
      </c>
      <c r="G1926" s="81" t="s">
        <v>44</v>
      </c>
      <c r="H1926" s="81" t="s">
        <v>4695</v>
      </c>
      <c r="I1926" s="81" t="s">
        <v>3284</v>
      </c>
      <c r="J1926" s="81" t="s">
        <v>4088</v>
      </c>
      <c r="K1926" s="81" t="str">
        <f>IFERROR(__xludf.DUMMYFUNCTION("IF(OR(D1926="""",G1926=""""),"""",IFERROR(LET(
campo,XLOOKUP(TRIM(G1926),ARRAYFORMULA(TRIM('indice columnas'!$A$2:$A$100)),'indice columnas'!$B$2:$B$100,""""),
col,IFERROR(MATCH(campo,Referencia!$A$1:$AZ$1,0),0),
fila,IFERROR(MATCH(TO_TEXT(D1926),ARRAYFOR"&amp;"MULA(TO_TEXT(Referencia!$A$2:$A6238)),0),0),
IF(OR(campo="""",campo=""-""),""NO APLICA"",
IF(col=0,""REVISAR EQUIVALENCIA"",
IF(fila=0,""SKU NO ENCONTRADO"",
LET(
valor,INDEX(Referencia!$A$2:$AZ6238,fila,col),
IF(TRIM(TO_TEXT(valor))=TRIM(TO_TEXT(I1926)),"&amp;"
""OK"",
""NO COINCIDE. Valor verdadero: ""&amp;IF(valor="""",""[VACÍO]"",TO_TEXT(valor))
)
))))
),""ERROR EN FÓRMULA""))"),"NO APLICA")</f>
        <v>NO APLICA</v>
      </c>
    </row>
    <row r="1927">
      <c r="A1927" s="83" t="s">
        <v>4618</v>
      </c>
      <c r="B1927" s="83" t="s">
        <v>4619</v>
      </c>
      <c r="C1927" s="81" t="s">
        <v>4621</v>
      </c>
      <c r="D1927" s="83" t="s">
        <v>4694</v>
      </c>
      <c r="E1927" s="81" t="s">
        <v>3295</v>
      </c>
      <c r="F1927" s="84">
        <v>629.0</v>
      </c>
      <c r="G1927" s="81" t="s">
        <v>44</v>
      </c>
      <c r="H1927" s="81" t="s">
        <v>4695</v>
      </c>
      <c r="I1927" s="81" t="s">
        <v>3284</v>
      </c>
      <c r="J1927" s="81" t="s">
        <v>4088</v>
      </c>
      <c r="K1927" s="81" t="str">
        <f>IFERROR(__xludf.DUMMYFUNCTION("IF(OR(D1927="""",G1927=""""),"""",IFERROR(LET(
campo,XLOOKUP(TRIM(G1927),ARRAYFORMULA(TRIM('indice columnas'!$A$2:$A$100)),'indice columnas'!$B$2:$B$100,""""),
col,IFERROR(MATCH(campo,Referencia!$A$1:$AZ$1,0),0),
fila,IFERROR(MATCH(TO_TEXT(D1927),ARRAYFOR"&amp;"MULA(TO_TEXT(Referencia!$A$2:$A6238)),0),0),
IF(OR(campo="""",campo=""-""),""NO APLICA"",
IF(col=0,""REVISAR EQUIVALENCIA"",
IF(fila=0,""SKU NO ENCONTRADO"",
LET(
valor,INDEX(Referencia!$A$2:$AZ6238,fila,col),
IF(TRIM(TO_TEXT(valor))=TRIM(TO_TEXT(I1927)),"&amp;"
""OK"",
""NO COINCIDE. Valor verdadero: ""&amp;IF(valor="""",""[VACÍO]"",TO_TEXT(valor))
)
))))
),""ERROR EN FÓRMULA""))"),"NO APLICA")</f>
        <v>NO APLICA</v>
      </c>
    </row>
    <row r="1928">
      <c r="A1928" s="83" t="s">
        <v>4618</v>
      </c>
      <c r="B1928" s="83" t="s">
        <v>4619</v>
      </c>
      <c r="C1928" s="81" t="s">
        <v>4621</v>
      </c>
      <c r="D1928" s="83" t="s">
        <v>4696</v>
      </c>
      <c r="E1928" s="81" t="s">
        <v>3296</v>
      </c>
      <c r="F1928" s="84">
        <v>630.0</v>
      </c>
      <c r="G1928" s="81" t="s">
        <v>44</v>
      </c>
      <c r="H1928" s="81" t="s">
        <v>4695</v>
      </c>
      <c r="I1928" s="81" t="s">
        <v>3284</v>
      </c>
      <c r="J1928" s="81" t="s">
        <v>4088</v>
      </c>
      <c r="K1928" s="81" t="str">
        <f>IFERROR(__xludf.DUMMYFUNCTION("IF(OR(D1928="""",G1928=""""),"""",IFERROR(LET(
campo,XLOOKUP(TRIM(G1928),ARRAYFORMULA(TRIM('indice columnas'!$A$2:$A$100)),'indice columnas'!$B$2:$B$100,""""),
col,IFERROR(MATCH(campo,Referencia!$A$1:$AZ$1,0),0),
fila,IFERROR(MATCH(TO_TEXT(D1928),ARRAYFOR"&amp;"MULA(TO_TEXT(Referencia!$A$2:$A6238)),0),0),
IF(OR(campo="""",campo=""-""),""NO APLICA"",
IF(col=0,""REVISAR EQUIVALENCIA"",
IF(fila=0,""SKU NO ENCONTRADO"",
LET(
valor,INDEX(Referencia!$A$2:$AZ6238,fila,col),
IF(TRIM(TO_TEXT(valor))=TRIM(TO_TEXT(I1928)),"&amp;"
""OK"",
""NO COINCIDE. Valor verdadero: ""&amp;IF(valor="""",""[VACÍO]"",TO_TEXT(valor))
)
))))
),""ERROR EN FÓRMULA""))"),"NO APLICA")</f>
        <v>NO APLICA</v>
      </c>
    </row>
    <row r="1929">
      <c r="A1929" s="83" t="s">
        <v>4618</v>
      </c>
      <c r="B1929" s="83" t="s">
        <v>4619</v>
      </c>
      <c r="C1929" s="81" t="s">
        <v>4621</v>
      </c>
      <c r="D1929" s="83" t="s">
        <v>4697</v>
      </c>
      <c r="E1929" s="81" t="s">
        <v>3299</v>
      </c>
      <c r="F1929" s="84">
        <v>631.0</v>
      </c>
      <c r="G1929" s="81" t="s">
        <v>44</v>
      </c>
      <c r="H1929" s="81" t="s">
        <v>224</v>
      </c>
      <c r="I1929" s="81" t="s">
        <v>3299</v>
      </c>
      <c r="J1929" s="81" t="s">
        <v>4088</v>
      </c>
      <c r="K1929" s="81" t="str">
        <f>IFERROR(__xludf.DUMMYFUNCTION("IF(OR(D1929="""",G1929=""""),"""",IFERROR(LET(
campo,XLOOKUP(TRIM(G1929),ARRAYFORMULA(TRIM('indice columnas'!$A$2:$A$100)),'indice columnas'!$B$2:$B$100,""""),
col,IFERROR(MATCH(campo,Referencia!$A$1:$AZ$1,0),0),
fila,IFERROR(MATCH(TO_TEXT(D1929),ARRAYFOR"&amp;"MULA(TO_TEXT(Referencia!$A$2:$A6238)),0),0),
IF(OR(campo="""",campo=""-""),""NO APLICA"",
IF(col=0,""REVISAR EQUIVALENCIA"",
IF(fila=0,""SKU NO ENCONTRADO"",
LET(
valor,INDEX(Referencia!$A$2:$AZ6238,fila,col),
IF(TRIM(TO_TEXT(valor))=TRIM(TO_TEXT(I1929)),"&amp;"
""OK"",
""NO COINCIDE. Valor verdadero: ""&amp;IF(valor="""",""[VACÍO]"",TO_TEXT(valor))
)
))))
),""ERROR EN FÓRMULA""))"),"NO APLICA")</f>
        <v>NO APLICA</v>
      </c>
    </row>
    <row r="1930">
      <c r="A1930" s="83" t="s">
        <v>4618</v>
      </c>
      <c r="B1930" s="83" t="s">
        <v>4619</v>
      </c>
      <c r="C1930" s="81" t="s">
        <v>4621</v>
      </c>
      <c r="D1930" s="83" t="s">
        <v>4697</v>
      </c>
      <c r="E1930" s="81" t="s">
        <v>3311</v>
      </c>
      <c r="F1930" s="84">
        <v>632.0</v>
      </c>
      <c r="G1930" s="81" t="s">
        <v>44</v>
      </c>
      <c r="H1930" s="81" t="s">
        <v>224</v>
      </c>
      <c r="I1930" s="81" t="s">
        <v>3299</v>
      </c>
      <c r="J1930" s="81" t="s">
        <v>4088</v>
      </c>
      <c r="K1930" s="81" t="str">
        <f>IFERROR(__xludf.DUMMYFUNCTION("IF(OR(D1930="""",G1930=""""),"""",IFERROR(LET(
campo,XLOOKUP(TRIM(G1930),ARRAYFORMULA(TRIM('indice columnas'!$A$2:$A$100)),'indice columnas'!$B$2:$B$100,""""),
col,IFERROR(MATCH(campo,Referencia!$A$1:$AZ$1,0),0),
fila,IFERROR(MATCH(TO_TEXT(D1930),ARRAYFOR"&amp;"MULA(TO_TEXT(Referencia!$A$2:$A6238)),0),0),
IF(OR(campo="""",campo=""-""),""NO APLICA"",
IF(col=0,""REVISAR EQUIVALENCIA"",
IF(fila=0,""SKU NO ENCONTRADO"",
LET(
valor,INDEX(Referencia!$A$2:$AZ6238,fila,col),
IF(TRIM(TO_TEXT(valor))=TRIM(TO_TEXT(I1930)),"&amp;"
""OK"",
""NO COINCIDE. Valor verdadero: ""&amp;IF(valor="""",""[VACÍO]"",TO_TEXT(valor))
)
))))
),""ERROR EN FÓRMULA""))"),"NO APLICA")</f>
        <v>NO APLICA</v>
      </c>
    </row>
    <row r="1931">
      <c r="A1931" s="83" t="s">
        <v>4618</v>
      </c>
      <c r="B1931" s="83" t="s">
        <v>4619</v>
      </c>
      <c r="C1931" s="81" t="s">
        <v>4621</v>
      </c>
      <c r="D1931" s="83" t="s">
        <v>4698</v>
      </c>
      <c r="E1931" s="81" t="s">
        <v>3312</v>
      </c>
      <c r="F1931" s="84">
        <v>633.0</v>
      </c>
      <c r="G1931" s="81" t="s">
        <v>44</v>
      </c>
      <c r="H1931" s="81" t="s">
        <v>224</v>
      </c>
      <c r="I1931" s="81" t="s">
        <v>3299</v>
      </c>
      <c r="J1931" s="81" t="s">
        <v>4088</v>
      </c>
      <c r="K1931" s="81" t="str">
        <f>IFERROR(__xludf.DUMMYFUNCTION("IF(OR(D1931="""",G1931=""""),"""",IFERROR(LET(
campo,XLOOKUP(TRIM(G1931),ARRAYFORMULA(TRIM('indice columnas'!$A$2:$A$100)),'indice columnas'!$B$2:$B$100,""""),
col,IFERROR(MATCH(campo,Referencia!$A$1:$AZ$1,0),0),
fila,IFERROR(MATCH(TO_TEXT(D1931),ARRAYFOR"&amp;"MULA(TO_TEXT(Referencia!$A$2:$A6238)),0),0),
IF(OR(campo="""",campo=""-""),""NO APLICA"",
IF(col=0,""REVISAR EQUIVALENCIA"",
IF(fila=0,""SKU NO ENCONTRADO"",
LET(
valor,INDEX(Referencia!$A$2:$AZ6238,fila,col),
IF(TRIM(TO_TEXT(valor))=TRIM(TO_TEXT(I1931)),"&amp;"
""OK"",
""NO COINCIDE. Valor verdadero: ""&amp;IF(valor="""",""[VACÍO]"",TO_TEXT(valor))
)
))))
),""ERROR EN FÓRMULA""))"),"NO APLICA")</f>
        <v>NO APLICA</v>
      </c>
    </row>
    <row r="1932">
      <c r="A1932" s="83" t="s">
        <v>4618</v>
      </c>
      <c r="B1932" s="83" t="s">
        <v>4619</v>
      </c>
      <c r="C1932" s="81" t="s">
        <v>4621</v>
      </c>
      <c r="D1932" s="83" t="s">
        <v>4699</v>
      </c>
      <c r="E1932" s="81" t="s">
        <v>3315</v>
      </c>
      <c r="F1932" s="84">
        <v>634.0</v>
      </c>
      <c r="G1932" s="81" t="s">
        <v>44</v>
      </c>
      <c r="H1932" s="81" t="s">
        <v>4700</v>
      </c>
      <c r="I1932" s="81" t="s">
        <v>3315</v>
      </c>
      <c r="J1932" s="81" t="s">
        <v>4088</v>
      </c>
      <c r="K1932" s="81" t="str">
        <f>IFERROR(__xludf.DUMMYFUNCTION("IF(OR(D1932="""",G1932=""""),"""",IFERROR(LET(
campo,XLOOKUP(TRIM(G1932),ARRAYFORMULA(TRIM('indice columnas'!$A$2:$A$100)),'indice columnas'!$B$2:$B$100,""""),
col,IFERROR(MATCH(campo,Referencia!$A$1:$AZ$1,0),0),
fila,IFERROR(MATCH(TO_TEXT(D1932),ARRAYFOR"&amp;"MULA(TO_TEXT(Referencia!$A$2:$A6238)),0),0),
IF(OR(campo="""",campo=""-""),""NO APLICA"",
IF(col=0,""REVISAR EQUIVALENCIA"",
IF(fila=0,""SKU NO ENCONTRADO"",
LET(
valor,INDEX(Referencia!$A$2:$AZ6238,fila,col),
IF(TRIM(TO_TEXT(valor))=TRIM(TO_TEXT(I1932)),"&amp;"
""OK"",
""NO COINCIDE. Valor verdadero: ""&amp;IF(valor="""",""[VACÍO]"",TO_TEXT(valor))
)
))))
),""ERROR EN FÓRMULA""))"),"NO APLICA")</f>
        <v>NO APLICA</v>
      </c>
    </row>
    <row r="1933">
      <c r="A1933" s="83" t="s">
        <v>4618</v>
      </c>
      <c r="B1933" s="83" t="s">
        <v>4619</v>
      </c>
      <c r="C1933" s="81" t="s">
        <v>4621</v>
      </c>
      <c r="D1933" s="83" t="s">
        <v>4699</v>
      </c>
      <c r="E1933" s="81" t="s">
        <v>3328</v>
      </c>
      <c r="F1933" s="84">
        <v>635.0</v>
      </c>
      <c r="G1933" s="81" t="s">
        <v>7</v>
      </c>
      <c r="H1933" s="81" t="s">
        <v>53</v>
      </c>
      <c r="I1933" s="81" t="s">
        <v>1134</v>
      </c>
      <c r="J1933" s="81" t="s">
        <v>224</v>
      </c>
      <c r="K1933" s="81" t="str">
        <f>IFERROR(__xludf.DUMMYFUNCTION("IF(OR(D1933="""",G1933=""""),"""",IFERROR(LET(
campo,XLOOKUP(TRIM(G1933),ARRAYFORMULA(TRIM('indice columnas'!$A$2:$A$100)),'indice columnas'!$B$2:$B$100,""""),
col,IFERROR(MATCH(campo,Referencia!$A$1:$AZ$1,0),0),
fila,IFERROR(MATCH(TO_TEXT(D1933),ARRAYFOR"&amp;"MULA(TO_TEXT(Referencia!$A$2:$A6238)),0),0),
IF(OR(campo="""",campo=""-""),""NO APLICA"",
IF(col=0,""REVISAR EQUIVALENCIA"",
IF(fila=0,""SKU NO ENCONTRADO"",
LET(
valor,INDEX(Referencia!$A$2:$AZ6238,fila,col),
IF(TRIM(TO_TEXT(valor))=TRIM(TO_TEXT(I1933)),"&amp;"
""OK"",
""NO COINCIDE. Valor verdadero: ""&amp;IF(valor="""",""[VACÍO]"",TO_TEXT(valor))
)
))))
),""ERROR EN FÓRMULA""))"),"REVISAR EQUIVALENCIA")</f>
        <v>REVISAR EQUIVALENCIA</v>
      </c>
    </row>
    <row r="1934">
      <c r="A1934" s="83" t="s">
        <v>4618</v>
      </c>
      <c r="B1934" s="83" t="s">
        <v>4619</v>
      </c>
      <c r="C1934" s="81" t="s">
        <v>4621</v>
      </c>
      <c r="D1934" s="83" t="s">
        <v>4699</v>
      </c>
      <c r="E1934" s="81" t="s">
        <v>3328</v>
      </c>
      <c r="F1934" s="84">
        <v>635.0</v>
      </c>
      <c r="G1934" s="81" t="s">
        <v>44</v>
      </c>
      <c r="H1934" s="81" t="s">
        <v>4700</v>
      </c>
      <c r="I1934" s="81" t="s">
        <v>3315</v>
      </c>
      <c r="J1934" s="81" t="s">
        <v>4088</v>
      </c>
      <c r="K1934" s="81" t="str">
        <f>IFERROR(__xludf.DUMMYFUNCTION("IF(OR(D1934="""",G1934=""""),"""",IFERROR(LET(
campo,XLOOKUP(TRIM(G1934),ARRAYFORMULA(TRIM('indice columnas'!$A$2:$A$100)),'indice columnas'!$B$2:$B$100,""""),
col,IFERROR(MATCH(campo,Referencia!$A$1:$AZ$1,0),0),
fila,IFERROR(MATCH(TO_TEXT(D1934),ARRAYFOR"&amp;"MULA(TO_TEXT(Referencia!$A$2:$A6238)),0),0),
IF(OR(campo="""",campo=""-""),""NO APLICA"",
IF(col=0,""REVISAR EQUIVALENCIA"",
IF(fila=0,""SKU NO ENCONTRADO"",
LET(
valor,INDEX(Referencia!$A$2:$AZ6238,fila,col),
IF(TRIM(TO_TEXT(valor))=TRIM(TO_TEXT(I1934)),"&amp;"
""OK"",
""NO COINCIDE. Valor verdadero: ""&amp;IF(valor="""",""[VACÍO]"",TO_TEXT(valor))
)
))))
),""ERROR EN FÓRMULA""))"),"NO APLICA")</f>
        <v>NO APLICA</v>
      </c>
    </row>
    <row r="1935">
      <c r="A1935" s="83" t="s">
        <v>4618</v>
      </c>
      <c r="B1935" s="83" t="s">
        <v>4619</v>
      </c>
      <c r="C1935" s="81" t="s">
        <v>4621</v>
      </c>
      <c r="D1935" s="83" t="s">
        <v>4701</v>
      </c>
      <c r="E1935" s="81" t="s">
        <v>3329</v>
      </c>
      <c r="F1935" s="84">
        <v>636.0</v>
      </c>
      <c r="G1935" s="81" t="s">
        <v>7</v>
      </c>
      <c r="H1935" s="81" t="s">
        <v>4702</v>
      </c>
      <c r="I1935" s="81" t="s">
        <v>1134</v>
      </c>
      <c r="J1935" s="81" t="s">
        <v>224</v>
      </c>
      <c r="K1935" s="81" t="str">
        <f>IFERROR(__xludf.DUMMYFUNCTION("IF(OR(D1935="""",G1935=""""),"""",IFERROR(LET(
campo,XLOOKUP(TRIM(G1935),ARRAYFORMULA(TRIM('indice columnas'!$A$2:$A$100)),'indice columnas'!$B$2:$B$100,""""),
col,IFERROR(MATCH(campo,Referencia!$A$1:$AZ$1,0),0),
fila,IFERROR(MATCH(TO_TEXT(D1935),ARRAYFOR"&amp;"MULA(TO_TEXT(Referencia!$A$2:$A6238)),0),0),
IF(OR(campo="""",campo=""-""),""NO APLICA"",
IF(col=0,""REVISAR EQUIVALENCIA"",
IF(fila=0,""SKU NO ENCONTRADO"",
LET(
valor,INDEX(Referencia!$A$2:$AZ6238,fila,col),
IF(TRIM(TO_TEXT(valor))=TRIM(TO_TEXT(I1935)),"&amp;"
""OK"",
""NO COINCIDE. Valor verdadero: ""&amp;IF(valor="""",""[VACÍO]"",TO_TEXT(valor))
)
))))
),""ERROR EN FÓRMULA""))"),"REVISAR EQUIVALENCIA")</f>
        <v>REVISAR EQUIVALENCIA</v>
      </c>
    </row>
    <row r="1936">
      <c r="A1936" s="83" t="s">
        <v>4618</v>
      </c>
      <c r="B1936" s="83" t="s">
        <v>4619</v>
      </c>
      <c r="C1936" s="81" t="s">
        <v>4621</v>
      </c>
      <c r="D1936" s="83" t="s">
        <v>4701</v>
      </c>
      <c r="E1936" s="81" t="s">
        <v>3329</v>
      </c>
      <c r="F1936" s="84">
        <v>636.0</v>
      </c>
      <c r="G1936" s="81" t="s">
        <v>44</v>
      </c>
      <c r="H1936" s="81" t="s">
        <v>4700</v>
      </c>
      <c r="I1936" s="81" t="s">
        <v>3315</v>
      </c>
      <c r="J1936" s="81" t="s">
        <v>4088</v>
      </c>
      <c r="K1936" s="81" t="str">
        <f>IFERROR(__xludf.DUMMYFUNCTION("IF(OR(D1936="""",G1936=""""),"""",IFERROR(LET(
campo,XLOOKUP(TRIM(G1936),ARRAYFORMULA(TRIM('indice columnas'!$A$2:$A$100)),'indice columnas'!$B$2:$B$100,""""),
col,IFERROR(MATCH(campo,Referencia!$A$1:$AZ$1,0),0),
fila,IFERROR(MATCH(TO_TEXT(D1936),ARRAYFOR"&amp;"MULA(TO_TEXT(Referencia!$A$2:$A6238)),0),0),
IF(OR(campo="""",campo=""-""),""NO APLICA"",
IF(col=0,""REVISAR EQUIVALENCIA"",
IF(fila=0,""SKU NO ENCONTRADO"",
LET(
valor,INDEX(Referencia!$A$2:$AZ6238,fila,col),
IF(TRIM(TO_TEXT(valor))=TRIM(TO_TEXT(I1936)),"&amp;"
""OK"",
""NO COINCIDE. Valor verdadero: ""&amp;IF(valor="""",""[VACÍO]"",TO_TEXT(valor))
)
))))
),""ERROR EN FÓRMULA""))"),"NO APLICA")</f>
        <v>NO APLICA</v>
      </c>
    </row>
    <row r="1937">
      <c r="A1937" s="83" t="s">
        <v>4618</v>
      </c>
      <c r="B1937" s="83" t="s">
        <v>4619</v>
      </c>
      <c r="C1937" s="81" t="s">
        <v>4621</v>
      </c>
      <c r="D1937" s="83" t="s">
        <v>4703</v>
      </c>
      <c r="E1937" s="81" t="s">
        <v>3339</v>
      </c>
      <c r="F1937" s="84">
        <v>637.0</v>
      </c>
      <c r="G1937" s="81" t="s">
        <v>44</v>
      </c>
      <c r="H1937" s="81" t="s">
        <v>4704</v>
      </c>
      <c r="I1937" s="81" t="s">
        <v>3362</v>
      </c>
      <c r="J1937" s="81" t="s">
        <v>4088</v>
      </c>
      <c r="K1937" s="81" t="str">
        <f>IFERROR(__xludf.DUMMYFUNCTION("IF(OR(D1937="""",G1937=""""),"""",IFERROR(LET(
campo,XLOOKUP(TRIM(G1937),ARRAYFORMULA(TRIM('indice columnas'!$A$2:$A$100)),'indice columnas'!$B$2:$B$100,""""),
col,IFERROR(MATCH(campo,Referencia!$A$1:$AZ$1,0),0),
fila,IFERROR(MATCH(TO_TEXT(D1937),ARRAYFOR"&amp;"MULA(TO_TEXT(Referencia!$A$2:$A6238)),0),0),
IF(OR(campo="""",campo=""-""),""NO APLICA"",
IF(col=0,""REVISAR EQUIVALENCIA"",
IF(fila=0,""SKU NO ENCONTRADO"",
LET(
valor,INDEX(Referencia!$A$2:$AZ6238,fila,col),
IF(TRIM(TO_TEXT(valor))=TRIM(TO_TEXT(I1937)),"&amp;"
""OK"",
""NO COINCIDE. Valor verdadero: ""&amp;IF(valor="""",""[VACÍO]"",TO_TEXT(valor))
)
))))
),""ERROR EN FÓRMULA""))"),"NO APLICA")</f>
        <v>NO APLICA</v>
      </c>
    </row>
    <row r="1938">
      <c r="A1938" s="83" t="s">
        <v>4618</v>
      </c>
      <c r="B1938" s="83" t="s">
        <v>4619</v>
      </c>
      <c r="C1938" s="81" t="s">
        <v>4621</v>
      </c>
      <c r="D1938" s="83" t="s">
        <v>4703</v>
      </c>
      <c r="E1938" s="81" t="s">
        <v>3353</v>
      </c>
      <c r="F1938" s="84">
        <v>638.0</v>
      </c>
      <c r="G1938" s="81" t="s">
        <v>44</v>
      </c>
      <c r="H1938" s="81" t="s">
        <v>4704</v>
      </c>
      <c r="I1938" s="81" t="s">
        <v>3362</v>
      </c>
      <c r="J1938" s="81" t="s">
        <v>4088</v>
      </c>
      <c r="K1938" s="81" t="str">
        <f>IFERROR(__xludf.DUMMYFUNCTION("IF(OR(D1938="""",G1938=""""),"""",IFERROR(LET(
campo,XLOOKUP(TRIM(G1938),ARRAYFORMULA(TRIM('indice columnas'!$A$2:$A$100)),'indice columnas'!$B$2:$B$100,""""),
col,IFERROR(MATCH(campo,Referencia!$A$1:$AZ$1,0),0),
fila,IFERROR(MATCH(TO_TEXT(D1938),ARRAYFOR"&amp;"MULA(TO_TEXT(Referencia!$A$2:$A6238)),0),0),
IF(OR(campo="""",campo=""-""),""NO APLICA"",
IF(col=0,""REVISAR EQUIVALENCIA"",
IF(fila=0,""SKU NO ENCONTRADO"",
LET(
valor,INDEX(Referencia!$A$2:$AZ6238,fila,col),
IF(TRIM(TO_TEXT(valor))=TRIM(TO_TEXT(I1938)),"&amp;"
""OK"",
""NO COINCIDE. Valor verdadero: ""&amp;IF(valor="""",""[VACÍO]"",TO_TEXT(valor))
)
))))
),""ERROR EN FÓRMULA""))"),"NO APLICA")</f>
        <v>NO APLICA</v>
      </c>
    </row>
    <row r="1939">
      <c r="A1939" s="83" t="s">
        <v>4618</v>
      </c>
      <c r="B1939" s="83" t="s">
        <v>4619</v>
      </c>
      <c r="C1939" s="81" t="s">
        <v>4621</v>
      </c>
      <c r="D1939" s="83" t="s">
        <v>4705</v>
      </c>
      <c r="E1939" s="81" t="s">
        <v>3354</v>
      </c>
      <c r="F1939" s="84">
        <v>639.0</v>
      </c>
      <c r="G1939" s="81" t="s">
        <v>44</v>
      </c>
      <c r="H1939" s="81" t="s">
        <v>4704</v>
      </c>
      <c r="I1939" s="81" t="s">
        <v>3362</v>
      </c>
      <c r="J1939" s="81" t="s">
        <v>4088</v>
      </c>
      <c r="K1939" s="81" t="str">
        <f>IFERROR(__xludf.DUMMYFUNCTION("IF(OR(D1939="""",G1939=""""),"""",IFERROR(LET(
campo,XLOOKUP(TRIM(G1939),ARRAYFORMULA(TRIM('indice columnas'!$A$2:$A$100)),'indice columnas'!$B$2:$B$100,""""),
col,IFERROR(MATCH(campo,Referencia!$A$1:$AZ$1,0),0),
fila,IFERROR(MATCH(TO_TEXT(D1939),ARRAYFOR"&amp;"MULA(TO_TEXT(Referencia!$A$2:$A6238)),0),0),
IF(OR(campo="""",campo=""-""),""NO APLICA"",
IF(col=0,""REVISAR EQUIVALENCIA"",
IF(fila=0,""SKU NO ENCONTRADO"",
LET(
valor,INDEX(Referencia!$A$2:$AZ6238,fila,col),
IF(TRIM(TO_TEXT(valor))=TRIM(TO_TEXT(I1939)),"&amp;"
""OK"",
""NO COINCIDE. Valor verdadero: ""&amp;IF(valor="""",""[VACÍO]"",TO_TEXT(valor))
)
))))
),""ERROR EN FÓRMULA""))"),"NO APLICA")</f>
        <v>NO APLICA</v>
      </c>
    </row>
    <row r="1940">
      <c r="A1940" s="83" t="s">
        <v>4618</v>
      </c>
      <c r="B1940" s="83" t="s">
        <v>4619</v>
      </c>
      <c r="C1940" s="81" t="s">
        <v>4621</v>
      </c>
      <c r="D1940" s="83" t="s">
        <v>4706</v>
      </c>
      <c r="E1940" s="81" t="s">
        <v>3359</v>
      </c>
      <c r="F1940" s="84">
        <v>640.0</v>
      </c>
      <c r="G1940" s="81" t="s">
        <v>44</v>
      </c>
      <c r="H1940" s="81" t="s">
        <v>4704</v>
      </c>
      <c r="I1940" s="81" t="s">
        <v>3362</v>
      </c>
      <c r="J1940" s="81" t="s">
        <v>4088</v>
      </c>
      <c r="K1940" s="81" t="str">
        <f>IFERROR(__xludf.DUMMYFUNCTION("IF(OR(D1940="""",G1940=""""),"""",IFERROR(LET(
campo,XLOOKUP(TRIM(G1940),ARRAYFORMULA(TRIM('indice columnas'!$A$2:$A$100)),'indice columnas'!$B$2:$B$100,""""),
col,IFERROR(MATCH(campo,Referencia!$A$1:$AZ$1,0),0),
fila,IFERROR(MATCH(TO_TEXT(D1940),ARRAYFOR"&amp;"MULA(TO_TEXT(Referencia!$A$2:$A6238)),0),0),
IF(OR(campo="""",campo=""-""),""NO APLICA"",
IF(col=0,""REVISAR EQUIVALENCIA"",
IF(fila=0,""SKU NO ENCONTRADO"",
LET(
valor,INDEX(Referencia!$A$2:$AZ6238,fila,col),
IF(TRIM(TO_TEXT(valor))=TRIM(TO_TEXT(I1940)),"&amp;"
""OK"",
""NO COINCIDE. Valor verdadero: ""&amp;IF(valor="""",""[VACÍO]"",TO_TEXT(valor))
)
))))
),""ERROR EN FÓRMULA""))"),"NO APLICA")</f>
        <v>NO APLICA</v>
      </c>
    </row>
    <row r="1941">
      <c r="A1941" s="83" t="s">
        <v>4618</v>
      </c>
      <c r="B1941" s="83" t="s">
        <v>4619</v>
      </c>
      <c r="C1941" s="81" t="s">
        <v>4621</v>
      </c>
      <c r="D1941" s="83" t="s">
        <v>4707</v>
      </c>
      <c r="E1941" s="81" t="s">
        <v>3362</v>
      </c>
      <c r="F1941" s="84">
        <v>641.0</v>
      </c>
      <c r="G1941" s="81" t="s">
        <v>44</v>
      </c>
      <c r="H1941" s="81" t="s">
        <v>4708</v>
      </c>
      <c r="I1941" s="81" t="s">
        <v>3362</v>
      </c>
      <c r="J1941" s="81" t="s">
        <v>4088</v>
      </c>
      <c r="K1941" s="81" t="str">
        <f>IFERROR(__xludf.DUMMYFUNCTION("IF(OR(D1941="""",G1941=""""),"""",IFERROR(LET(
campo,XLOOKUP(TRIM(G1941),ARRAYFORMULA(TRIM('indice columnas'!$A$2:$A$100)),'indice columnas'!$B$2:$B$100,""""),
col,IFERROR(MATCH(campo,Referencia!$A$1:$AZ$1,0),0),
fila,IFERROR(MATCH(TO_TEXT(D1941),ARRAYFOR"&amp;"MULA(TO_TEXT(Referencia!$A$2:$A6238)),0),0),
IF(OR(campo="""",campo=""-""),""NO APLICA"",
IF(col=0,""REVISAR EQUIVALENCIA"",
IF(fila=0,""SKU NO ENCONTRADO"",
LET(
valor,INDEX(Referencia!$A$2:$AZ6238,fila,col),
IF(TRIM(TO_TEXT(valor))=TRIM(TO_TEXT(I1941)),"&amp;"
""OK"",
""NO COINCIDE. Valor verdadero: ""&amp;IF(valor="""",""[VACÍO]"",TO_TEXT(valor))
)
))))
),""ERROR EN FÓRMULA""))"),"NO APLICA")</f>
        <v>NO APLICA</v>
      </c>
    </row>
    <row r="1942">
      <c r="A1942" s="83" t="s">
        <v>4618</v>
      </c>
      <c r="B1942" s="83" t="s">
        <v>4619</v>
      </c>
      <c r="C1942" s="81" t="s">
        <v>4621</v>
      </c>
      <c r="D1942" s="83" t="s">
        <v>4707</v>
      </c>
      <c r="E1942" s="81" t="s">
        <v>3369</v>
      </c>
      <c r="F1942" s="84">
        <v>642.0</v>
      </c>
      <c r="G1942" s="81" t="s">
        <v>44</v>
      </c>
      <c r="H1942" s="81" t="s">
        <v>4708</v>
      </c>
      <c r="I1942" s="81" t="s">
        <v>3362</v>
      </c>
      <c r="J1942" s="81" t="s">
        <v>4088</v>
      </c>
      <c r="K1942" s="81" t="str">
        <f>IFERROR(__xludf.DUMMYFUNCTION("IF(OR(D1942="""",G1942=""""),"""",IFERROR(LET(
campo,XLOOKUP(TRIM(G1942),ARRAYFORMULA(TRIM('indice columnas'!$A$2:$A$100)),'indice columnas'!$B$2:$B$100,""""),
col,IFERROR(MATCH(campo,Referencia!$A$1:$AZ$1,0),0),
fila,IFERROR(MATCH(TO_TEXT(D1942),ARRAYFOR"&amp;"MULA(TO_TEXT(Referencia!$A$2:$A6238)),0),0),
IF(OR(campo="""",campo=""-""),""NO APLICA"",
IF(col=0,""REVISAR EQUIVALENCIA"",
IF(fila=0,""SKU NO ENCONTRADO"",
LET(
valor,INDEX(Referencia!$A$2:$AZ6238,fila,col),
IF(TRIM(TO_TEXT(valor))=TRIM(TO_TEXT(I1942)),"&amp;"
""OK"",
""NO COINCIDE. Valor verdadero: ""&amp;IF(valor="""",""[VACÍO]"",TO_TEXT(valor))
)
))))
),""ERROR EN FÓRMULA""))"),"NO APLICA")</f>
        <v>NO APLICA</v>
      </c>
    </row>
    <row r="1943">
      <c r="A1943" s="83" t="s">
        <v>4618</v>
      </c>
      <c r="B1943" s="83" t="s">
        <v>4619</v>
      </c>
      <c r="C1943" s="81" t="s">
        <v>4621</v>
      </c>
      <c r="D1943" s="83" t="s">
        <v>4709</v>
      </c>
      <c r="E1943" s="81" t="s">
        <v>3370</v>
      </c>
      <c r="F1943" s="84">
        <v>643.0</v>
      </c>
      <c r="G1943" s="81" t="s">
        <v>44</v>
      </c>
      <c r="H1943" s="81" t="s">
        <v>4708</v>
      </c>
      <c r="I1943" s="81" t="s">
        <v>3362</v>
      </c>
      <c r="J1943" s="81" t="s">
        <v>4088</v>
      </c>
      <c r="K1943" s="81" t="str">
        <f>IFERROR(__xludf.DUMMYFUNCTION("IF(OR(D1943="""",G1943=""""),"""",IFERROR(LET(
campo,XLOOKUP(TRIM(G1943),ARRAYFORMULA(TRIM('indice columnas'!$A$2:$A$100)),'indice columnas'!$B$2:$B$100,""""),
col,IFERROR(MATCH(campo,Referencia!$A$1:$AZ$1,0),0),
fila,IFERROR(MATCH(TO_TEXT(D1943),ARRAYFOR"&amp;"MULA(TO_TEXT(Referencia!$A$2:$A6238)),0),0),
IF(OR(campo="""",campo=""-""),""NO APLICA"",
IF(col=0,""REVISAR EQUIVALENCIA"",
IF(fila=0,""SKU NO ENCONTRADO"",
LET(
valor,INDEX(Referencia!$A$2:$AZ6238,fila,col),
IF(TRIM(TO_TEXT(valor))=TRIM(TO_TEXT(I1943)),"&amp;"
""OK"",
""NO COINCIDE. Valor verdadero: ""&amp;IF(valor="""",""[VACÍO]"",TO_TEXT(valor))
)
))))
),""ERROR EN FÓRMULA""))"),"NO APLICA")</f>
        <v>NO APLICA</v>
      </c>
    </row>
    <row r="1944">
      <c r="A1944" s="83" t="s">
        <v>4618</v>
      </c>
      <c r="B1944" s="83" t="s">
        <v>4619</v>
      </c>
      <c r="C1944" s="81" t="s">
        <v>4621</v>
      </c>
      <c r="D1944" s="83" t="s">
        <v>4710</v>
      </c>
      <c r="E1944" s="81" t="s">
        <v>3372</v>
      </c>
      <c r="F1944" s="84">
        <v>644.0</v>
      </c>
      <c r="G1944" s="81" t="s">
        <v>44</v>
      </c>
      <c r="H1944" s="81" t="s">
        <v>4708</v>
      </c>
      <c r="I1944" s="81" t="s">
        <v>3362</v>
      </c>
      <c r="J1944" s="81" t="s">
        <v>4088</v>
      </c>
      <c r="K1944" s="81" t="str">
        <f>IFERROR(__xludf.DUMMYFUNCTION("IF(OR(D1944="""",G1944=""""),"""",IFERROR(LET(
campo,XLOOKUP(TRIM(G1944),ARRAYFORMULA(TRIM('indice columnas'!$A$2:$A$100)),'indice columnas'!$B$2:$B$100,""""),
col,IFERROR(MATCH(campo,Referencia!$A$1:$AZ$1,0),0),
fila,IFERROR(MATCH(TO_TEXT(D1944),ARRAYFOR"&amp;"MULA(TO_TEXT(Referencia!$A$2:$A6238)),0),0),
IF(OR(campo="""",campo=""-""),""NO APLICA"",
IF(col=0,""REVISAR EQUIVALENCIA"",
IF(fila=0,""SKU NO ENCONTRADO"",
LET(
valor,INDEX(Referencia!$A$2:$AZ6238,fila,col),
IF(TRIM(TO_TEXT(valor))=TRIM(TO_TEXT(I1944)),"&amp;"
""OK"",
""NO COINCIDE. Valor verdadero: ""&amp;IF(valor="""",""[VACÍO]"",TO_TEXT(valor))
)
))))
),""ERROR EN FÓRMULA""))"),"NO APLICA")</f>
        <v>NO APLICA</v>
      </c>
    </row>
    <row r="1945">
      <c r="A1945" s="83" t="s">
        <v>4618</v>
      </c>
      <c r="B1945" s="83" t="s">
        <v>4619</v>
      </c>
      <c r="C1945" s="81" t="s">
        <v>4621</v>
      </c>
      <c r="D1945" s="83" t="s">
        <v>4711</v>
      </c>
      <c r="E1945" s="81" t="s">
        <v>3375</v>
      </c>
      <c r="F1945" s="84">
        <v>645.0</v>
      </c>
      <c r="G1945" s="81" t="s">
        <v>44</v>
      </c>
      <c r="H1945" s="81" t="s">
        <v>4712</v>
      </c>
      <c r="I1945" s="81" t="s">
        <v>3375</v>
      </c>
      <c r="J1945" s="81" t="s">
        <v>4088</v>
      </c>
      <c r="K1945" s="81" t="str">
        <f>IFERROR(__xludf.DUMMYFUNCTION("IF(OR(D1945="""",G1945=""""),"""",IFERROR(LET(
campo,XLOOKUP(TRIM(G1945),ARRAYFORMULA(TRIM('indice columnas'!$A$2:$A$100)),'indice columnas'!$B$2:$B$100,""""),
col,IFERROR(MATCH(campo,Referencia!$A$1:$AZ$1,0),0),
fila,IFERROR(MATCH(TO_TEXT(D1945),ARRAYFOR"&amp;"MULA(TO_TEXT(Referencia!$A$2:$A6238)),0),0),
IF(OR(campo="""",campo=""-""),""NO APLICA"",
IF(col=0,""REVISAR EQUIVALENCIA"",
IF(fila=0,""SKU NO ENCONTRADO"",
LET(
valor,INDEX(Referencia!$A$2:$AZ6238,fila,col),
IF(TRIM(TO_TEXT(valor))=TRIM(TO_TEXT(I1945)),"&amp;"
""OK"",
""NO COINCIDE. Valor verdadero: ""&amp;IF(valor="""",""[VACÍO]"",TO_TEXT(valor))
)
))))
),""ERROR EN FÓRMULA""))"),"NO APLICA")</f>
        <v>NO APLICA</v>
      </c>
    </row>
    <row r="1946">
      <c r="A1946" s="83" t="s">
        <v>4618</v>
      </c>
      <c r="B1946" s="83" t="s">
        <v>4619</v>
      </c>
      <c r="C1946" s="81" t="s">
        <v>4621</v>
      </c>
      <c r="D1946" s="83" t="s">
        <v>4711</v>
      </c>
      <c r="E1946" s="81" t="s">
        <v>3389</v>
      </c>
      <c r="F1946" s="84">
        <v>646.0</v>
      </c>
      <c r="G1946" s="81" t="s">
        <v>44</v>
      </c>
      <c r="H1946" s="81" t="s">
        <v>4712</v>
      </c>
      <c r="I1946" s="81" t="s">
        <v>3375</v>
      </c>
      <c r="J1946" s="81" t="s">
        <v>4088</v>
      </c>
      <c r="K1946" s="81" t="str">
        <f>IFERROR(__xludf.DUMMYFUNCTION("IF(OR(D1946="""",G1946=""""),"""",IFERROR(LET(
campo,XLOOKUP(TRIM(G1946),ARRAYFORMULA(TRIM('indice columnas'!$A$2:$A$100)),'indice columnas'!$B$2:$B$100,""""),
col,IFERROR(MATCH(campo,Referencia!$A$1:$AZ$1,0),0),
fila,IFERROR(MATCH(TO_TEXT(D1946),ARRAYFOR"&amp;"MULA(TO_TEXT(Referencia!$A$2:$A6238)),0),0),
IF(OR(campo="""",campo=""-""),""NO APLICA"",
IF(col=0,""REVISAR EQUIVALENCIA"",
IF(fila=0,""SKU NO ENCONTRADO"",
LET(
valor,INDEX(Referencia!$A$2:$AZ6238,fila,col),
IF(TRIM(TO_TEXT(valor))=TRIM(TO_TEXT(I1946)),"&amp;"
""OK"",
""NO COINCIDE. Valor verdadero: ""&amp;IF(valor="""",""[VACÍO]"",TO_TEXT(valor))
)
))))
),""ERROR EN FÓRMULA""))"),"NO APLICA")</f>
        <v>NO APLICA</v>
      </c>
    </row>
    <row r="1947">
      <c r="A1947" s="83" t="s">
        <v>4618</v>
      </c>
      <c r="B1947" s="83" t="s">
        <v>4619</v>
      </c>
      <c r="C1947" s="81" t="s">
        <v>4621</v>
      </c>
      <c r="D1947" s="83" t="s">
        <v>4713</v>
      </c>
      <c r="E1947" s="81" t="s">
        <v>3390</v>
      </c>
      <c r="F1947" s="84">
        <v>647.0</v>
      </c>
      <c r="G1947" s="81" t="s">
        <v>44</v>
      </c>
      <c r="H1947" s="81" t="s">
        <v>4714</v>
      </c>
      <c r="I1947" s="81" t="s">
        <v>3375</v>
      </c>
      <c r="J1947" s="81" t="s">
        <v>4088</v>
      </c>
      <c r="K1947" s="81" t="str">
        <f>IFERROR(__xludf.DUMMYFUNCTION("IF(OR(D1947="""",G1947=""""),"""",IFERROR(LET(
campo,XLOOKUP(TRIM(G1947),ARRAYFORMULA(TRIM('indice columnas'!$A$2:$A$100)),'indice columnas'!$B$2:$B$100,""""),
col,IFERROR(MATCH(campo,Referencia!$A$1:$AZ$1,0),0),
fila,IFERROR(MATCH(TO_TEXT(D1947),ARRAYFOR"&amp;"MULA(TO_TEXT(Referencia!$A$2:$A6238)),0),0),
IF(OR(campo="""",campo=""-""),""NO APLICA"",
IF(col=0,""REVISAR EQUIVALENCIA"",
IF(fila=0,""SKU NO ENCONTRADO"",
LET(
valor,INDEX(Referencia!$A$2:$AZ6238,fila,col),
IF(TRIM(TO_TEXT(valor))=TRIM(TO_TEXT(I1947)),"&amp;"
""OK"",
""NO COINCIDE. Valor verdadero: ""&amp;IF(valor="""",""[VACÍO]"",TO_TEXT(valor))
)
))))
),""ERROR EN FÓRMULA""))"),"NO APLICA")</f>
        <v>NO APLICA</v>
      </c>
    </row>
    <row r="1948">
      <c r="A1948" s="83" t="s">
        <v>4618</v>
      </c>
      <c r="B1948" s="83" t="s">
        <v>4619</v>
      </c>
      <c r="C1948" s="81" t="s">
        <v>4621</v>
      </c>
      <c r="D1948" s="83" t="s">
        <v>4715</v>
      </c>
      <c r="E1948" s="81" t="s">
        <v>3402</v>
      </c>
      <c r="F1948" s="84">
        <v>648.0</v>
      </c>
      <c r="G1948" s="81" t="s">
        <v>44</v>
      </c>
      <c r="H1948" s="81" t="s">
        <v>4716</v>
      </c>
      <c r="I1948" s="81" t="s">
        <v>3402</v>
      </c>
      <c r="J1948" s="81" t="s">
        <v>4088</v>
      </c>
      <c r="K1948" s="81" t="str">
        <f>IFERROR(__xludf.DUMMYFUNCTION("IF(OR(D1948="""",G1948=""""),"""",IFERROR(LET(
campo,XLOOKUP(TRIM(G1948),ARRAYFORMULA(TRIM('indice columnas'!$A$2:$A$100)),'indice columnas'!$B$2:$B$100,""""),
col,IFERROR(MATCH(campo,Referencia!$A$1:$AZ$1,0),0),
fila,IFERROR(MATCH(TO_TEXT(D1948),ARRAYFOR"&amp;"MULA(TO_TEXT(Referencia!$A$2:$A6238)),0),0),
IF(OR(campo="""",campo=""-""),""NO APLICA"",
IF(col=0,""REVISAR EQUIVALENCIA"",
IF(fila=0,""SKU NO ENCONTRADO"",
LET(
valor,INDEX(Referencia!$A$2:$AZ6238,fila,col),
IF(TRIM(TO_TEXT(valor))=TRIM(TO_TEXT(I1948)),"&amp;"
""OK"",
""NO COINCIDE. Valor verdadero: ""&amp;IF(valor="""",""[VACÍO]"",TO_TEXT(valor))
)
))))
),""ERROR EN FÓRMULA""))"),"NO APLICA")</f>
        <v>NO APLICA</v>
      </c>
    </row>
    <row r="1949">
      <c r="A1949" s="83" t="s">
        <v>4618</v>
      </c>
      <c r="B1949" s="83" t="s">
        <v>4619</v>
      </c>
      <c r="C1949" s="81" t="s">
        <v>4621</v>
      </c>
      <c r="D1949" s="83" t="s">
        <v>4717</v>
      </c>
      <c r="E1949" s="81" t="s">
        <v>3414</v>
      </c>
      <c r="F1949" s="84">
        <v>649.0</v>
      </c>
      <c r="G1949" s="81" t="s">
        <v>44</v>
      </c>
      <c r="H1949" s="81" t="s">
        <v>4718</v>
      </c>
      <c r="I1949" s="81" t="s">
        <v>3414</v>
      </c>
      <c r="J1949" s="81" t="s">
        <v>4088</v>
      </c>
      <c r="K1949" s="81" t="str">
        <f>IFERROR(__xludf.DUMMYFUNCTION("IF(OR(D1949="""",G1949=""""),"""",IFERROR(LET(
campo,XLOOKUP(TRIM(G1949),ARRAYFORMULA(TRIM('indice columnas'!$A$2:$A$100)),'indice columnas'!$B$2:$B$100,""""),
col,IFERROR(MATCH(campo,Referencia!$A$1:$AZ$1,0),0),
fila,IFERROR(MATCH(TO_TEXT(D1949),ARRAYFOR"&amp;"MULA(TO_TEXT(Referencia!$A$2:$A6238)),0),0),
IF(OR(campo="""",campo=""-""),""NO APLICA"",
IF(col=0,""REVISAR EQUIVALENCIA"",
IF(fila=0,""SKU NO ENCONTRADO"",
LET(
valor,INDEX(Referencia!$A$2:$AZ6238,fila,col),
IF(TRIM(TO_TEXT(valor))=TRIM(TO_TEXT(I1949)),"&amp;"
""OK"",
""NO COINCIDE. Valor verdadero: ""&amp;IF(valor="""",""[VACÍO]"",TO_TEXT(valor))
)
))))
),""ERROR EN FÓRMULA""))"),"NO APLICA")</f>
        <v>NO APLICA</v>
      </c>
    </row>
    <row r="1950">
      <c r="A1950" s="83" t="s">
        <v>4618</v>
      </c>
      <c r="B1950" s="83" t="s">
        <v>4619</v>
      </c>
      <c r="C1950" s="81" t="s">
        <v>4621</v>
      </c>
      <c r="D1950" s="83" t="s">
        <v>4719</v>
      </c>
      <c r="E1950" s="81" t="s">
        <v>3427</v>
      </c>
      <c r="F1950" s="84">
        <v>650.0</v>
      </c>
      <c r="G1950" s="81" t="s">
        <v>44</v>
      </c>
      <c r="H1950" s="81" t="s">
        <v>4720</v>
      </c>
      <c r="I1950" s="81" t="s">
        <v>3427</v>
      </c>
      <c r="J1950" s="81" t="s">
        <v>4088</v>
      </c>
      <c r="K1950" s="81" t="str">
        <f>IFERROR(__xludf.DUMMYFUNCTION("IF(OR(D1950="""",G1950=""""),"""",IFERROR(LET(
campo,XLOOKUP(TRIM(G1950),ARRAYFORMULA(TRIM('indice columnas'!$A$2:$A$100)),'indice columnas'!$B$2:$B$100,""""),
col,IFERROR(MATCH(campo,Referencia!$A$1:$AZ$1,0),0),
fila,IFERROR(MATCH(TO_TEXT(D1950),ARRAYFOR"&amp;"MULA(TO_TEXT(Referencia!$A$2:$A6238)),0),0),
IF(OR(campo="""",campo=""-""),""NO APLICA"",
IF(col=0,""REVISAR EQUIVALENCIA"",
IF(fila=0,""SKU NO ENCONTRADO"",
LET(
valor,INDEX(Referencia!$A$2:$AZ6238,fila,col),
IF(TRIM(TO_TEXT(valor))=TRIM(TO_TEXT(I1950)),"&amp;"
""OK"",
""NO COINCIDE. Valor verdadero: ""&amp;IF(valor="""",""[VACÍO]"",TO_TEXT(valor))
)
))))
),""ERROR EN FÓRMULA""))"),"NO APLICA")</f>
        <v>NO APLICA</v>
      </c>
    </row>
    <row r="1951">
      <c r="A1951" s="83" t="s">
        <v>4618</v>
      </c>
      <c r="B1951" s="83" t="s">
        <v>4619</v>
      </c>
      <c r="C1951" s="81" t="s">
        <v>4621</v>
      </c>
      <c r="D1951" s="83" t="s">
        <v>4721</v>
      </c>
      <c r="E1951" s="81" t="s">
        <v>3439</v>
      </c>
      <c r="F1951" s="84">
        <v>651.0</v>
      </c>
      <c r="G1951" s="81" t="s">
        <v>44</v>
      </c>
      <c r="H1951" s="81" t="s">
        <v>4722</v>
      </c>
      <c r="I1951" s="81" t="s">
        <v>3439</v>
      </c>
      <c r="J1951" s="81" t="s">
        <v>4088</v>
      </c>
      <c r="K1951" s="81" t="str">
        <f>IFERROR(__xludf.DUMMYFUNCTION("IF(OR(D1951="""",G1951=""""),"""",IFERROR(LET(
campo,XLOOKUP(TRIM(G1951),ARRAYFORMULA(TRIM('indice columnas'!$A$2:$A$100)),'indice columnas'!$B$2:$B$100,""""),
col,IFERROR(MATCH(campo,Referencia!$A$1:$AZ$1,0),0),
fila,IFERROR(MATCH(TO_TEXT(D1951),ARRAYFOR"&amp;"MULA(TO_TEXT(Referencia!$A$2:$A6238)),0),0),
IF(OR(campo="""",campo=""-""),""NO APLICA"",
IF(col=0,""REVISAR EQUIVALENCIA"",
IF(fila=0,""SKU NO ENCONTRADO"",
LET(
valor,INDEX(Referencia!$A$2:$AZ6238,fila,col),
IF(TRIM(TO_TEXT(valor))=TRIM(TO_TEXT(I1951)),"&amp;"
""OK"",
""NO COINCIDE. Valor verdadero: ""&amp;IF(valor="""",""[VACÍO]"",TO_TEXT(valor))
)
))))
),""ERROR EN FÓRMULA""))"),"NO APLICA")</f>
        <v>NO APLICA</v>
      </c>
    </row>
    <row r="1952">
      <c r="A1952" s="83" t="s">
        <v>4618</v>
      </c>
      <c r="B1952" s="83" t="s">
        <v>4619</v>
      </c>
      <c r="C1952" s="81" t="s">
        <v>4621</v>
      </c>
      <c r="D1952" s="83" t="s">
        <v>4721</v>
      </c>
      <c r="E1952" s="81" t="s">
        <v>3451</v>
      </c>
      <c r="F1952" s="84">
        <v>652.0</v>
      </c>
      <c r="G1952" s="81" t="s">
        <v>44</v>
      </c>
      <c r="H1952" s="81" t="s">
        <v>4722</v>
      </c>
      <c r="I1952" s="81" t="s">
        <v>3439</v>
      </c>
      <c r="J1952" s="81" t="s">
        <v>4088</v>
      </c>
      <c r="K1952" s="81" t="str">
        <f>IFERROR(__xludf.DUMMYFUNCTION("IF(OR(D1952="""",G1952=""""),"""",IFERROR(LET(
campo,XLOOKUP(TRIM(G1952),ARRAYFORMULA(TRIM('indice columnas'!$A$2:$A$100)),'indice columnas'!$B$2:$B$100,""""),
col,IFERROR(MATCH(campo,Referencia!$A$1:$AZ$1,0),0),
fila,IFERROR(MATCH(TO_TEXT(D1952),ARRAYFOR"&amp;"MULA(TO_TEXT(Referencia!$A$2:$A6238)),0),0),
IF(OR(campo="""",campo=""-""),""NO APLICA"",
IF(col=0,""REVISAR EQUIVALENCIA"",
IF(fila=0,""SKU NO ENCONTRADO"",
LET(
valor,INDEX(Referencia!$A$2:$AZ6238,fila,col),
IF(TRIM(TO_TEXT(valor))=TRIM(TO_TEXT(I1952)),"&amp;"
""OK"",
""NO COINCIDE. Valor verdadero: ""&amp;IF(valor="""",""[VACÍO]"",TO_TEXT(valor))
)
))))
),""ERROR EN FÓRMULA""))"),"NO APLICA")</f>
        <v>NO APLICA</v>
      </c>
    </row>
    <row r="1953">
      <c r="A1953" s="83" t="s">
        <v>4618</v>
      </c>
      <c r="B1953" s="83" t="s">
        <v>4619</v>
      </c>
      <c r="C1953" s="81" t="s">
        <v>4621</v>
      </c>
      <c r="D1953" s="83" t="s">
        <v>4723</v>
      </c>
      <c r="E1953" s="81" t="s">
        <v>3452</v>
      </c>
      <c r="F1953" s="84">
        <v>653.0</v>
      </c>
      <c r="G1953" s="81" t="s">
        <v>44</v>
      </c>
      <c r="H1953" s="81" t="s">
        <v>4722</v>
      </c>
      <c r="I1953" s="81" t="s">
        <v>3439</v>
      </c>
      <c r="J1953" s="81" t="s">
        <v>4088</v>
      </c>
      <c r="K1953" s="81" t="str">
        <f>IFERROR(__xludf.DUMMYFUNCTION("IF(OR(D1953="""",G1953=""""),"""",IFERROR(LET(
campo,XLOOKUP(TRIM(G1953),ARRAYFORMULA(TRIM('indice columnas'!$A$2:$A$100)),'indice columnas'!$B$2:$B$100,""""),
col,IFERROR(MATCH(campo,Referencia!$A$1:$AZ$1,0),0),
fila,IFERROR(MATCH(TO_TEXT(D1953),ARRAYFOR"&amp;"MULA(TO_TEXT(Referencia!$A$2:$A6238)),0),0),
IF(OR(campo="""",campo=""-""),""NO APLICA"",
IF(col=0,""REVISAR EQUIVALENCIA"",
IF(fila=0,""SKU NO ENCONTRADO"",
LET(
valor,INDEX(Referencia!$A$2:$AZ6238,fila,col),
IF(TRIM(TO_TEXT(valor))=TRIM(TO_TEXT(I1953)),"&amp;"
""OK"",
""NO COINCIDE. Valor verdadero: ""&amp;IF(valor="""",""[VACÍO]"",TO_TEXT(valor))
)
))))
),""ERROR EN FÓRMULA""))"),"NO APLICA")</f>
        <v>NO APLICA</v>
      </c>
    </row>
    <row r="1954">
      <c r="A1954" s="83" t="s">
        <v>4618</v>
      </c>
      <c r="B1954" s="83" t="s">
        <v>4619</v>
      </c>
      <c r="C1954" s="81" t="s">
        <v>4621</v>
      </c>
      <c r="D1954" s="83" t="s">
        <v>4724</v>
      </c>
      <c r="E1954" s="81" t="s">
        <v>3462</v>
      </c>
      <c r="F1954" s="84">
        <v>654.0</v>
      </c>
      <c r="G1954" s="81" t="s">
        <v>44</v>
      </c>
      <c r="H1954" s="81" t="s">
        <v>4725</v>
      </c>
      <c r="I1954" s="81" t="s">
        <v>3462</v>
      </c>
      <c r="J1954" s="81" t="s">
        <v>4088</v>
      </c>
      <c r="K1954" s="81" t="str">
        <f>IFERROR(__xludf.DUMMYFUNCTION("IF(OR(D1954="""",G1954=""""),"""",IFERROR(LET(
campo,XLOOKUP(TRIM(G1954),ARRAYFORMULA(TRIM('indice columnas'!$A$2:$A$100)),'indice columnas'!$B$2:$B$100,""""),
col,IFERROR(MATCH(campo,Referencia!$A$1:$AZ$1,0),0),
fila,IFERROR(MATCH(TO_TEXT(D1954),ARRAYFOR"&amp;"MULA(TO_TEXT(Referencia!$A$2:$A6238)),0),0),
IF(OR(campo="""",campo=""-""),""NO APLICA"",
IF(col=0,""REVISAR EQUIVALENCIA"",
IF(fila=0,""SKU NO ENCONTRADO"",
LET(
valor,INDEX(Referencia!$A$2:$AZ6238,fila,col),
IF(TRIM(TO_TEXT(valor))=TRIM(TO_TEXT(I1954)),"&amp;"
""OK"",
""NO COINCIDE. Valor verdadero: ""&amp;IF(valor="""",""[VACÍO]"",TO_TEXT(valor))
)
))))
),""ERROR EN FÓRMULA""))"),"NO APLICA")</f>
        <v>NO APLICA</v>
      </c>
    </row>
    <row r="1955">
      <c r="A1955" s="83" t="s">
        <v>4618</v>
      </c>
      <c r="B1955" s="83" t="s">
        <v>4619</v>
      </c>
      <c r="C1955" s="81" t="s">
        <v>4621</v>
      </c>
      <c r="D1955" s="83" t="s">
        <v>4724</v>
      </c>
      <c r="E1955" s="81" t="s">
        <v>3473</v>
      </c>
      <c r="F1955" s="84">
        <v>655.0</v>
      </c>
      <c r="G1955" s="81" t="s">
        <v>44</v>
      </c>
      <c r="H1955" s="81" t="s">
        <v>4725</v>
      </c>
      <c r="I1955" s="81" t="s">
        <v>3462</v>
      </c>
      <c r="J1955" s="81" t="s">
        <v>4088</v>
      </c>
      <c r="K1955" s="81" t="str">
        <f>IFERROR(__xludf.DUMMYFUNCTION("IF(OR(D1955="""",G1955=""""),"""",IFERROR(LET(
campo,XLOOKUP(TRIM(G1955),ARRAYFORMULA(TRIM('indice columnas'!$A$2:$A$100)),'indice columnas'!$B$2:$B$100,""""),
col,IFERROR(MATCH(campo,Referencia!$A$1:$AZ$1,0),0),
fila,IFERROR(MATCH(TO_TEXT(D1955),ARRAYFOR"&amp;"MULA(TO_TEXT(Referencia!$A$2:$A6238)),0),0),
IF(OR(campo="""",campo=""-""),""NO APLICA"",
IF(col=0,""REVISAR EQUIVALENCIA"",
IF(fila=0,""SKU NO ENCONTRADO"",
LET(
valor,INDEX(Referencia!$A$2:$AZ6238,fila,col),
IF(TRIM(TO_TEXT(valor))=TRIM(TO_TEXT(I1955)),"&amp;"
""OK"",
""NO COINCIDE. Valor verdadero: ""&amp;IF(valor="""",""[VACÍO]"",TO_TEXT(valor))
)
))))
),""ERROR EN FÓRMULA""))"),"NO APLICA")</f>
        <v>NO APLICA</v>
      </c>
    </row>
    <row r="1956">
      <c r="A1956" s="83" t="s">
        <v>4618</v>
      </c>
      <c r="B1956" s="83" t="s">
        <v>4619</v>
      </c>
      <c r="C1956" s="81" t="s">
        <v>4621</v>
      </c>
      <c r="D1956" s="83" t="s">
        <v>4726</v>
      </c>
      <c r="E1956" s="81" t="s">
        <v>3474</v>
      </c>
      <c r="F1956" s="84">
        <v>656.0</v>
      </c>
      <c r="G1956" s="81" t="s">
        <v>44</v>
      </c>
      <c r="H1956" s="81" t="s">
        <v>4725</v>
      </c>
      <c r="I1956" s="81" t="s">
        <v>3462</v>
      </c>
      <c r="J1956" s="81" t="s">
        <v>4088</v>
      </c>
      <c r="K1956" s="81" t="str">
        <f>IFERROR(__xludf.DUMMYFUNCTION("IF(OR(D1956="""",G1956=""""),"""",IFERROR(LET(
campo,XLOOKUP(TRIM(G1956),ARRAYFORMULA(TRIM('indice columnas'!$A$2:$A$100)),'indice columnas'!$B$2:$B$100,""""),
col,IFERROR(MATCH(campo,Referencia!$A$1:$AZ$1,0),0),
fila,IFERROR(MATCH(TO_TEXT(D1956),ARRAYFOR"&amp;"MULA(TO_TEXT(Referencia!$A$2:$A6238)),0),0),
IF(OR(campo="""",campo=""-""),""NO APLICA"",
IF(col=0,""REVISAR EQUIVALENCIA"",
IF(fila=0,""SKU NO ENCONTRADO"",
LET(
valor,INDEX(Referencia!$A$2:$AZ6238,fila,col),
IF(TRIM(TO_TEXT(valor))=TRIM(TO_TEXT(I1956)),"&amp;"
""OK"",
""NO COINCIDE. Valor verdadero: ""&amp;IF(valor="""",""[VACÍO]"",TO_TEXT(valor))
)
))))
),""ERROR EN FÓRMULA""))"),"NO APLICA")</f>
        <v>NO APLICA</v>
      </c>
    </row>
    <row r="1957">
      <c r="A1957" s="83" t="s">
        <v>4618</v>
      </c>
      <c r="B1957" s="83" t="s">
        <v>4619</v>
      </c>
      <c r="C1957" s="81" t="s">
        <v>4621</v>
      </c>
      <c r="D1957" s="83" t="s">
        <v>4727</v>
      </c>
      <c r="E1957" s="81" t="s">
        <v>3483</v>
      </c>
      <c r="F1957" s="84">
        <v>657.0</v>
      </c>
      <c r="G1957" s="81" t="s">
        <v>44</v>
      </c>
      <c r="H1957" s="81" t="s">
        <v>4728</v>
      </c>
      <c r="I1957" s="81" t="s">
        <v>3483</v>
      </c>
      <c r="J1957" s="81" t="s">
        <v>4088</v>
      </c>
      <c r="K1957" s="81" t="str">
        <f>IFERROR(__xludf.DUMMYFUNCTION("IF(OR(D1957="""",G1957=""""),"""",IFERROR(LET(
campo,XLOOKUP(TRIM(G1957),ARRAYFORMULA(TRIM('indice columnas'!$A$2:$A$100)),'indice columnas'!$B$2:$B$100,""""),
col,IFERROR(MATCH(campo,Referencia!$A$1:$AZ$1,0),0),
fila,IFERROR(MATCH(TO_TEXT(D1957),ARRAYFOR"&amp;"MULA(TO_TEXT(Referencia!$A$2:$A6238)),0),0),
IF(OR(campo="""",campo=""-""),""NO APLICA"",
IF(col=0,""REVISAR EQUIVALENCIA"",
IF(fila=0,""SKU NO ENCONTRADO"",
LET(
valor,INDEX(Referencia!$A$2:$AZ6238,fila,col),
IF(TRIM(TO_TEXT(valor))=TRIM(TO_TEXT(I1957)),"&amp;"
""OK"",
""NO COINCIDE. Valor verdadero: ""&amp;IF(valor="""",""[VACÍO]"",TO_TEXT(valor))
)
))))
),""ERROR EN FÓRMULA""))"),"NO APLICA")</f>
        <v>NO APLICA</v>
      </c>
    </row>
    <row r="1958">
      <c r="A1958" s="83" t="s">
        <v>4618</v>
      </c>
      <c r="B1958" s="83" t="s">
        <v>4619</v>
      </c>
      <c r="C1958" s="81" t="s">
        <v>4621</v>
      </c>
      <c r="D1958" s="83" t="s">
        <v>4727</v>
      </c>
      <c r="E1958" s="81" t="s">
        <v>3496</v>
      </c>
      <c r="F1958" s="84">
        <v>658.0</v>
      </c>
      <c r="G1958" s="81" t="s">
        <v>7</v>
      </c>
      <c r="H1958" s="81" t="s">
        <v>53</v>
      </c>
      <c r="I1958" s="81" t="s">
        <v>1134</v>
      </c>
      <c r="J1958" s="81" t="s">
        <v>224</v>
      </c>
      <c r="K1958" s="81" t="str">
        <f>IFERROR(__xludf.DUMMYFUNCTION("IF(OR(D1958="""",G1958=""""),"""",IFERROR(LET(
campo,XLOOKUP(TRIM(G1958),ARRAYFORMULA(TRIM('indice columnas'!$A$2:$A$100)),'indice columnas'!$B$2:$B$100,""""),
col,IFERROR(MATCH(campo,Referencia!$A$1:$AZ$1,0),0),
fila,IFERROR(MATCH(TO_TEXT(D1958),ARRAYFOR"&amp;"MULA(TO_TEXT(Referencia!$A$2:$A6238)),0),0),
IF(OR(campo="""",campo=""-""),""NO APLICA"",
IF(col=0,""REVISAR EQUIVALENCIA"",
IF(fila=0,""SKU NO ENCONTRADO"",
LET(
valor,INDEX(Referencia!$A$2:$AZ6238,fila,col),
IF(TRIM(TO_TEXT(valor))=TRIM(TO_TEXT(I1958)),"&amp;"
""OK"",
""NO COINCIDE. Valor verdadero: ""&amp;IF(valor="""",""[VACÍO]"",TO_TEXT(valor))
)
))))
),""ERROR EN FÓRMULA""))"),"REVISAR EQUIVALENCIA")</f>
        <v>REVISAR EQUIVALENCIA</v>
      </c>
    </row>
    <row r="1959">
      <c r="A1959" s="83" t="s">
        <v>4618</v>
      </c>
      <c r="B1959" s="83" t="s">
        <v>4619</v>
      </c>
      <c r="C1959" s="81" t="s">
        <v>4621</v>
      </c>
      <c r="D1959" s="83" t="s">
        <v>4727</v>
      </c>
      <c r="E1959" s="81" t="s">
        <v>3496</v>
      </c>
      <c r="F1959" s="84">
        <v>658.0</v>
      </c>
      <c r="G1959" s="81" t="s">
        <v>44</v>
      </c>
      <c r="H1959" s="81" t="s">
        <v>4728</v>
      </c>
      <c r="I1959" s="81" t="s">
        <v>3483</v>
      </c>
      <c r="J1959" s="81" t="s">
        <v>4088</v>
      </c>
      <c r="K1959" s="81" t="str">
        <f>IFERROR(__xludf.DUMMYFUNCTION("IF(OR(D1959="""",G1959=""""),"""",IFERROR(LET(
campo,XLOOKUP(TRIM(G1959),ARRAYFORMULA(TRIM('indice columnas'!$A$2:$A$100)),'indice columnas'!$B$2:$B$100,""""),
col,IFERROR(MATCH(campo,Referencia!$A$1:$AZ$1,0),0),
fila,IFERROR(MATCH(TO_TEXT(D1959),ARRAYFOR"&amp;"MULA(TO_TEXT(Referencia!$A$2:$A6238)),0),0),
IF(OR(campo="""",campo=""-""),""NO APLICA"",
IF(col=0,""REVISAR EQUIVALENCIA"",
IF(fila=0,""SKU NO ENCONTRADO"",
LET(
valor,INDEX(Referencia!$A$2:$AZ6238,fila,col),
IF(TRIM(TO_TEXT(valor))=TRIM(TO_TEXT(I1959)),"&amp;"
""OK"",
""NO COINCIDE. Valor verdadero: ""&amp;IF(valor="""",""[VACÍO]"",TO_TEXT(valor))
)
))))
),""ERROR EN FÓRMULA""))"),"NO APLICA")</f>
        <v>NO APLICA</v>
      </c>
    </row>
    <row r="1960">
      <c r="A1960" s="83" t="s">
        <v>4618</v>
      </c>
      <c r="B1960" s="83" t="s">
        <v>4619</v>
      </c>
      <c r="C1960" s="81" t="s">
        <v>4621</v>
      </c>
      <c r="D1960" s="83" t="s">
        <v>4729</v>
      </c>
      <c r="E1960" s="81" t="s">
        <v>3497</v>
      </c>
      <c r="F1960" s="84">
        <v>659.0</v>
      </c>
      <c r="G1960" s="81" t="s">
        <v>7</v>
      </c>
      <c r="H1960" s="81" t="s">
        <v>53</v>
      </c>
      <c r="I1960" s="81" t="s">
        <v>1134</v>
      </c>
      <c r="J1960" s="81" t="s">
        <v>224</v>
      </c>
      <c r="K1960" s="81" t="str">
        <f>IFERROR(__xludf.DUMMYFUNCTION("IF(OR(D1960="""",G1960=""""),"""",IFERROR(LET(
campo,XLOOKUP(TRIM(G1960),ARRAYFORMULA(TRIM('indice columnas'!$A$2:$A$100)),'indice columnas'!$B$2:$B$100,""""),
col,IFERROR(MATCH(campo,Referencia!$A$1:$AZ$1,0),0),
fila,IFERROR(MATCH(TO_TEXT(D1960),ARRAYFOR"&amp;"MULA(TO_TEXT(Referencia!$A$2:$A6238)),0),0),
IF(OR(campo="""",campo=""-""),""NO APLICA"",
IF(col=0,""REVISAR EQUIVALENCIA"",
IF(fila=0,""SKU NO ENCONTRADO"",
LET(
valor,INDEX(Referencia!$A$2:$AZ6238,fila,col),
IF(TRIM(TO_TEXT(valor))=TRIM(TO_TEXT(I1960)),"&amp;"
""OK"",
""NO COINCIDE. Valor verdadero: ""&amp;IF(valor="""",""[VACÍO]"",TO_TEXT(valor))
)
))))
),""ERROR EN FÓRMULA""))"),"REVISAR EQUIVALENCIA")</f>
        <v>REVISAR EQUIVALENCIA</v>
      </c>
    </row>
    <row r="1961">
      <c r="A1961" s="83" t="s">
        <v>4618</v>
      </c>
      <c r="B1961" s="83" t="s">
        <v>4619</v>
      </c>
      <c r="C1961" s="81" t="s">
        <v>4621</v>
      </c>
      <c r="D1961" s="83" t="s">
        <v>4729</v>
      </c>
      <c r="E1961" s="81" t="s">
        <v>3497</v>
      </c>
      <c r="F1961" s="84">
        <v>659.0</v>
      </c>
      <c r="G1961" s="81" t="s">
        <v>44</v>
      </c>
      <c r="H1961" s="81" t="s">
        <v>4728</v>
      </c>
      <c r="I1961" s="81" t="s">
        <v>3483</v>
      </c>
      <c r="J1961" s="81" t="s">
        <v>4088</v>
      </c>
      <c r="K1961" s="81" t="str">
        <f>IFERROR(__xludf.DUMMYFUNCTION("IF(OR(D1961="""",G1961=""""),"""",IFERROR(LET(
campo,XLOOKUP(TRIM(G1961),ARRAYFORMULA(TRIM('indice columnas'!$A$2:$A$100)),'indice columnas'!$B$2:$B$100,""""),
col,IFERROR(MATCH(campo,Referencia!$A$1:$AZ$1,0),0),
fila,IFERROR(MATCH(TO_TEXT(D1961),ARRAYFOR"&amp;"MULA(TO_TEXT(Referencia!$A$2:$A6238)),0),0),
IF(OR(campo="""",campo=""-""),""NO APLICA"",
IF(col=0,""REVISAR EQUIVALENCIA"",
IF(fila=0,""SKU NO ENCONTRADO"",
LET(
valor,INDEX(Referencia!$A$2:$AZ6238,fila,col),
IF(TRIM(TO_TEXT(valor))=TRIM(TO_TEXT(I1961)),"&amp;"
""OK"",
""NO COINCIDE. Valor verdadero: ""&amp;IF(valor="""",""[VACÍO]"",TO_TEXT(valor))
)
))))
),""ERROR EN FÓRMULA""))"),"NO APLICA")</f>
        <v>NO APLICA</v>
      </c>
    </row>
    <row r="1962">
      <c r="A1962" s="83" t="s">
        <v>4618</v>
      </c>
      <c r="B1962" s="83" t="s">
        <v>4619</v>
      </c>
      <c r="C1962" s="81" t="s">
        <v>4621</v>
      </c>
      <c r="D1962" s="83" t="s">
        <v>4730</v>
      </c>
      <c r="E1962" s="81" t="s">
        <v>3500</v>
      </c>
      <c r="F1962" s="84">
        <v>660.0</v>
      </c>
      <c r="G1962" s="81" t="s">
        <v>7</v>
      </c>
      <c r="H1962" s="81" t="s">
        <v>53</v>
      </c>
      <c r="I1962" s="81" t="s">
        <v>1134</v>
      </c>
      <c r="J1962" s="81" t="s">
        <v>224</v>
      </c>
      <c r="K1962" s="81" t="str">
        <f>IFERROR(__xludf.DUMMYFUNCTION("IF(OR(D1962="""",G1962=""""),"""",IFERROR(LET(
campo,XLOOKUP(TRIM(G1962),ARRAYFORMULA(TRIM('indice columnas'!$A$2:$A$100)),'indice columnas'!$B$2:$B$100,""""),
col,IFERROR(MATCH(campo,Referencia!$A$1:$AZ$1,0),0),
fila,IFERROR(MATCH(TO_TEXT(D1962),ARRAYFOR"&amp;"MULA(TO_TEXT(Referencia!$A$2:$A6238)),0),0),
IF(OR(campo="""",campo=""-""),""NO APLICA"",
IF(col=0,""REVISAR EQUIVALENCIA"",
IF(fila=0,""SKU NO ENCONTRADO"",
LET(
valor,INDEX(Referencia!$A$2:$AZ6238,fila,col),
IF(TRIM(TO_TEXT(valor))=TRIM(TO_TEXT(I1962)),"&amp;"
""OK"",
""NO COINCIDE. Valor verdadero: ""&amp;IF(valor="""",""[VACÍO]"",TO_TEXT(valor))
)
))))
),""ERROR EN FÓRMULA""))"),"REVISAR EQUIVALENCIA")</f>
        <v>REVISAR EQUIVALENCIA</v>
      </c>
    </row>
    <row r="1963">
      <c r="A1963" s="83" t="s">
        <v>4618</v>
      </c>
      <c r="B1963" s="83" t="s">
        <v>4619</v>
      </c>
      <c r="C1963" s="81" t="s">
        <v>4621</v>
      </c>
      <c r="D1963" s="83" t="s">
        <v>4730</v>
      </c>
      <c r="E1963" s="81" t="s">
        <v>3500</v>
      </c>
      <c r="F1963" s="84">
        <v>660.0</v>
      </c>
      <c r="G1963" s="81" t="s">
        <v>44</v>
      </c>
      <c r="H1963" s="81" t="s">
        <v>4728</v>
      </c>
      <c r="I1963" s="81" t="s">
        <v>3483</v>
      </c>
      <c r="J1963" s="81" t="s">
        <v>4088</v>
      </c>
      <c r="K1963" s="81" t="str">
        <f>IFERROR(__xludf.DUMMYFUNCTION("IF(OR(D1963="""",G1963=""""),"""",IFERROR(LET(
campo,XLOOKUP(TRIM(G1963),ARRAYFORMULA(TRIM('indice columnas'!$A$2:$A$100)),'indice columnas'!$B$2:$B$100,""""),
col,IFERROR(MATCH(campo,Referencia!$A$1:$AZ$1,0),0),
fila,IFERROR(MATCH(TO_TEXT(D1963),ARRAYFOR"&amp;"MULA(TO_TEXT(Referencia!$A$2:$A6238)),0),0),
IF(OR(campo="""",campo=""-""),""NO APLICA"",
IF(col=0,""REVISAR EQUIVALENCIA"",
IF(fila=0,""SKU NO ENCONTRADO"",
LET(
valor,INDEX(Referencia!$A$2:$AZ6238,fila,col),
IF(TRIM(TO_TEXT(valor))=TRIM(TO_TEXT(I1963)),"&amp;"
""OK"",
""NO COINCIDE. Valor verdadero: ""&amp;IF(valor="""",""[VACÍO]"",TO_TEXT(valor))
)
))))
),""ERROR EN FÓRMULA""))"),"NO APLICA")</f>
        <v>NO APLICA</v>
      </c>
    </row>
    <row r="1964">
      <c r="A1964" s="83" t="s">
        <v>4618</v>
      </c>
      <c r="B1964" s="83" t="s">
        <v>4619</v>
      </c>
      <c r="C1964" s="81" t="s">
        <v>4621</v>
      </c>
      <c r="D1964" s="83" t="s">
        <v>4731</v>
      </c>
      <c r="E1964" s="81" t="s">
        <v>3510</v>
      </c>
      <c r="F1964" s="84">
        <v>661.0</v>
      </c>
      <c r="G1964" s="81" t="s">
        <v>7</v>
      </c>
      <c r="H1964" s="81" t="s">
        <v>53</v>
      </c>
      <c r="I1964" s="81" t="s">
        <v>1134</v>
      </c>
      <c r="J1964" s="81" t="s">
        <v>224</v>
      </c>
      <c r="K1964" s="81" t="str">
        <f>IFERROR(__xludf.DUMMYFUNCTION("IF(OR(D1964="""",G1964=""""),"""",IFERROR(LET(
campo,XLOOKUP(TRIM(G1964),ARRAYFORMULA(TRIM('indice columnas'!$A$2:$A$100)),'indice columnas'!$B$2:$B$100,""""),
col,IFERROR(MATCH(campo,Referencia!$A$1:$AZ$1,0),0),
fila,IFERROR(MATCH(TO_TEXT(D1964),ARRAYFOR"&amp;"MULA(TO_TEXT(Referencia!$A$2:$A6238)),0),0),
IF(OR(campo="""",campo=""-""),""NO APLICA"",
IF(col=0,""REVISAR EQUIVALENCIA"",
IF(fila=0,""SKU NO ENCONTRADO"",
LET(
valor,INDEX(Referencia!$A$2:$AZ6238,fila,col),
IF(TRIM(TO_TEXT(valor))=TRIM(TO_TEXT(I1964)),"&amp;"
""OK"",
""NO COINCIDE. Valor verdadero: ""&amp;IF(valor="""",""[VACÍO]"",TO_TEXT(valor))
)
))))
),""ERROR EN FÓRMULA""))"),"REVISAR EQUIVALENCIA")</f>
        <v>REVISAR EQUIVALENCIA</v>
      </c>
    </row>
    <row r="1965">
      <c r="A1965" s="83" t="s">
        <v>4618</v>
      </c>
      <c r="B1965" s="83" t="s">
        <v>4619</v>
      </c>
      <c r="C1965" s="81" t="s">
        <v>4621</v>
      </c>
      <c r="D1965" s="83" t="s">
        <v>4731</v>
      </c>
      <c r="E1965" s="81" t="s">
        <v>3510</v>
      </c>
      <c r="F1965" s="84">
        <v>661.0</v>
      </c>
      <c r="G1965" s="81" t="s">
        <v>44</v>
      </c>
      <c r="H1965" s="81" t="s">
        <v>4728</v>
      </c>
      <c r="I1965" s="81" t="s">
        <v>3483</v>
      </c>
      <c r="J1965" s="81" t="s">
        <v>4088</v>
      </c>
      <c r="K1965" s="81" t="str">
        <f>IFERROR(__xludf.DUMMYFUNCTION("IF(OR(D1965="""",G1965=""""),"""",IFERROR(LET(
campo,XLOOKUP(TRIM(G1965),ARRAYFORMULA(TRIM('indice columnas'!$A$2:$A$100)),'indice columnas'!$B$2:$B$100,""""),
col,IFERROR(MATCH(campo,Referencia!$A$1:$AZ$1,0),0),
fila,IFERROR(MATCH(TO_TEXT(D1965),ARRAYFOR"&amp;"MULA(TO_TEXT(Referencia!$A$2:$A6238)),0),0),
IF(OR(campo="""",campo=""-""),""NO APLICA"",
IF(col=0,""REVISAR EQUIVALENCIA"",
IF(fila=0,""SKU NO ENCONTRADO"",
LET(
valor,INDEX(Referencia!$A$2:$AZ6238,fila,col),
IF(TRIM(TO_TEXT(valor))=TRIM(TO_TEXT(I1965)),"&amp;"
""OK"",
""NO COINCIDE. Valor verdadero: ""&amp;IF(valor="""",""[VACÍO]"",TO_TEXT(valor))
)
))))
),""ERROR EN FÓRMULA""))"),"NO APLICA")</f>
        <v>NO APLICA</v>
      </c>
    </row>
    <row r="1966">
      <c r="A1966" s="83" t="s">
        <v>4618</v>
      </c>
      <c r="B1966" s="83" t="s">
        <v>4619</v>
      </c>
      <c r="C1966" s="81" t="s">
        <v>4621</v>
      </c>
      <c r="D1966" s="83" t="s">
        <v>4732</v>
      </c>
      <c r="E1966" s="81" t="s">
        <v>3513</v>
      </c>
      <c r="F1966" s="84">
        <v>662.0</v>
      </c>
      <c r="G1966" s="81" t="s">
        <v>44</v>
      </c>
      <c r="H1966" s="81" t="s">
        <v>4733</v>
      </c>
      <c r="I1966" s="81" t="s">
        <v>3513</v>
      </c>
      <c r="J1966" s="81" t="s">
        <v>4088</v>
      </c>
      <c r="K1966" s="81" t="str">
        <f>IFERROR(__xludf.DUMMYFUNCTION("IF(OR(D1966="""",G1966=""""),"""",IFERROR(LET(
campo,XLOOKUP(TRIM(G1966),ARRAYFORMULA(TRIM('indice columnas'!$A$2:$A$100)),'indice columnas'!$B$2:$B$100,""""),
col,IFERROR(MATCH(campo,Referencia!$A$1:$AZ$1,0),0),
fila,IFERROR(MATCH(TO_TEXT(D1966),ARRAYFOR"&amp;"MULA(TO_TEXT(Referencia!$A$2:$A6238)),0),0),
IF(OR(campo="""",campo=""-""),""NO APLICA"",
IF(col=0,""REVISAR EQUIVALENCIA"",
IF(fila=0,""SKU NO ENCONTRADO"",
LET(
valor,INDEX(Referencia!$A$2:$AZ6238,fila,col),
IF(TRIM(TO_TEXT(valor))=TRIM(TO_TEXT(I1966)),"&amp;"
""OK"",
""NO COINCIDE. Valor verdadero: ""&amp;IF(valor="""",""[VACÍO]"",TO_TEXT(valor))
)
))))
),""ERROR EN FÓRMULA""))"),"NO APLICA")</f>
        <v>NO APLICA</v>
      </c>
    </row>
    <row r="1967">
      <c r="A1967" s="83" t="s">
        <v>4618</v>
      </c>
      <c r="B1967" s="83" t="s">
        <v>4619</v>
      </c>
      <c r="C1967" s="81" t="s">
        <v>4621</v>
      </c>
      <c r="D1967" s="83" t="s">
        <v>4732</v>
      </c>
      <c r="E1967" s="81" t="s">
        <v>3523</v>
      </c>
      <c r="F1967" s="84">
        <v>663.0</v>
      </c>
      <c r="G1967" s="81" t="s">
        <v>12</v>
      </c>
      <c r="H1967" s="81" t="s">
        <v>224</v>
      </c>
      <c r="I1967" s="81" t="s">
        <v>55</v>
      </c>
      <c r="J1967" s="81" t="s">
        <v>224</v>
      </c>
      <c r="K1967" s="81" t="str">
        <f>IFERROR(__xludf.DUMMYFUNCTION("IF(OR(D1967="""",G1967=""""),"""",IFERROR(LET(
campo,XLOOKUP(TRIM(G1967),ARRAYFORMULA(TRIM('indice columnas'!$A$2:$A$100)),'indice columnas'!$B$2:$B$100,""""),
col,IFERROR(MATCH(campo,Referencia!$A$1:$AZ$1,0),0),
fila,IFERROR(MATCH(TO_TEXT(D1967),ARRAYFOR"&amp;"MULA(TO_TEXT(Referencia!$A$2:$A6238)),0),0),
IF(OR(campo="""",campo=""-""),""NO APLICA"",
IF(col=0,""REVISAR EQUIVALENCIA"",
IF(fila=0,""SKU NO ENCONTRADO"",
LET(
valor,INDEX(Referencia!$A$2:$AZ6238,fila,col),
IF(TRIM(TO_TEXT(valor))=TRIM(TO_TEXT(I1967)),"&amp;"
""OK"",
""NO COINCIDE. Valor verdadero: ""&amp;IF(valor="""",""[VACÍO]"",TO_TEXT(valor))
)
))))
),""ERROR EN FÓRMULA""))"),"OK")</f>
        <v>OK</v>
      </c>
    </row>
    <row r="1968">
      <c r="A1968" s="83" t="s">
        <v>4618</v>
      </c>
      <c r="B1968" s="83" t="s">
        <v>4619</v>
      </c>
      <c r="C1968" s="81" t="s">
        <v>4621</v>
      </c>
      <c r="D1968" s="83" t="s">
        <v>4732</v>
      </c>
      <c r="E1968" s="81" t="s">
        <v>3523</v>
      </c>
      <c r="F1968" s="84">
        <v>663.0</v>
      </c>
      <c r="G1968" s="81" t="s">
        <v>29</v>
      </c>
      <c r="H1968" s="81" t="s">
        <v>3514</v>
      </c>
      <c r="I1968" s="81" t="s">
        <v>3524</v>
      </c>
      <c r="J1968" s="81" t="s">
        <v>224</v>
      </c>
      <c r="K1968" s="81" t="str">
        <f>IFERROR(__xludf.DUMMYFUNCTION("IF(OR(D1968="""",G1968=""""),"""",IFERROR(LET(
campo,XLOOKUP(TRIM(G1968),ARRAYFORMULA(TRIM('indice columnas'!$A$2:$A$100)),'indice columnas'!$B$2:$B$100,""""),
col,IFERROR(MATCH(campo,Referencia!$A$1:$AZ$1,0),0),
fila,IFERROR(MATCH(TO_TEXT(D1968),ARRAYFOR"&amp;"MULA(TO_TEXT(Referencia!$A$2:$A6238)),0),0),
IF(OR(campo="""",campo=""-""),""NO APLICA"",
IF(col=0,""REVISAR EQUIVALENCIA"",
IF(fila=0,""SKU NO ENCONTRADO"",
LET(
valor,INDEX(Referencia!$A$2:$AZ6238,fila,col),
IF(TRIM(TO_TEXT(valor))=TRIM(TO_TEXT(I1968)),"&amp;"
""OK"",
""NO COINCIDE. Valor verdadero: ""&amp;IF(valor="""",""[VACÍO]"",TO_TEXT(valor))
)
))))
),""ERROR EN FÓRMULA""))"),"NO COINCIDE. Valor verdadero: Ø83 X 32")</f>
        <v>NO COINCIDE. Valor verdadero: Ø83 X 32</v>
      </c>
    </row>
    <row r="1969">
      <c r="A1969" s="83" t="s">
        <v>4618</v>
      </c>
      <c r="B1969" s="83" t="s">
        <v>4619</v>
      </c>
      <c r="C1969" s="81" t="s">
        <v>4621</v>
      </c>
      <c r="D1969" s="83" t="s">
        <v>4732</v>
      </c>
      <c r="E1969" s="81" t="s">
        <v>3523</v>
      </c>
      <c r="F1969" s="84">
        <v>663.0</v>
      </c>
      <c r="G1969" s="81" t="s">
        <v>44</v>
      </c>
      <c r="H1969" s="81" t="s">
        <v>4733</v>
      </c>
      <c r="I1969" s="81" t="s">
        <v>3513</v>
      </c>
      <c r="J1969" s="81" t="s">
        <v>4088</v>
      </c>
      <c r="K1969" s="81" t="str">
        <f>IFERROR(__xludf.DUMMYFUNCTION("IF(OR(D1969="""",G1969=""""),"""",IFERROR(LET(
campo,XLOOKUP(TRIM(G1969),ARRAYFORMULA(TRIM('indice columnas'!$A$2:$A$100)),'indice columnas'!$B$2:$B$100,""""),
col,IFERROR(MATCH(campo,Referencia!$A$1:$AZ$1,0),0),
fila,IFERROR(MATCH(TO_TEXT(D1969),ARRAYFOR"&amp;"MULA(TO_TEXT(Referencia!$A$2:$A6238)),0),0),
IF(OR(campo="""",campo=""-""),""NO APLICA"",
IF(col=0,""REVISAR EQUIVALENCIA"",
IF(fila=0,""SKU NO ENCONTRADO"",
LET(
valor,INDEX(Referencia!$A$2:$AZ6238,fila,col),
IF(TRIM(TO_TEXT(valor))=TRIM(TO_TEXT(I1969)),"&amp;"
""OK"",
""NO COINCIDE. Valor verdadero: ""&amp;IF(valor="""",""[VACÍO]"",TO_TEXT(valor))
)
))))
),""ERROR EN FÓRMULA""))"),"NO APLICA")</f>
        <v>NO APLICA</v>
      </c>
    </row>
    <row r="1970">
      <c r="A1970" s="83" t="s">
        <v>4618</v>
      </c>
      <c r="B1970" s="83" t="s">
        <v>4619</v>
      </c>
      <c r="C1970" s="81" t="s">
        <v>4621</v>
      </c>
      <c r="D1970" s="83" t="s">
        <v>4734</v>
      </c>
      <c r="E1970" s="81" t="s">
        <v>3526</v>
      </c>
      <c r="F1970" s="84">
        <v>664.0</v>
      </c>
      <c r="G1970" s="81" t="s">
        <v>12</v>
      </c>
      <c r="H1970" s="81" t="s">
        <v>224</v>
      </c>
      <c r="I1970" s="81" t="s">
        <v>55</v>
      </c>
      <c r="J1970" s="81" t="s">
        <v>224</v>
      </c>
      <c r="K1970" s="81" t="str">
        <f>IFERROR(__xludf.DUMMYFUNCTION("IF(OR(D1970="""",G1970=""""),"""",IFERROR(LET(
campo,XLOOKUP(TRIM(G1970),ARRAYFORMULA(TRIM('indice columnas'!$A$2:$A$100)),'indice columnas'!$B$2:$B$100,""""),
col,IFERROR(MATCH(campo,Referencia!$A$1:$AZ$1,0),0),
fila,IFERROR(MATCH(TO_TEXT(D1970),ARRAYFOR"&amp;"MULA(TO_TEXT(Referencia!$A$2:$A6238)),0),0),
IF(OR(campo="""",campo=""-""),""NO APLICA"",
IF(col=0,""REVISAR EQUIVALENCIA"",
IF(fila=0,""SKU NO ENCONTRADO"",
LET(
valor,INDEX(Referencia!$A$2:$AZ6238,fila,col),
IF(TRIM(TO_TEXT(valor))=TRIM(TO_TEXT(I1970)),"&amp;"
""OK"",
""NO COINCIDE. Valor verdadero: ""&amp;IF(valor="""",""[VACÍO]"",TO_TEXT(valor))
)
))))
),""ERROR EN FÓRMULA""))"),"OK")</f>
        <v>OK</v>
      </c>
    </row>
    <row r="1971">
      <c r="A1971" s="83" t="s">
        <v>4618</v>
      </c>
      <c r="B1971" s="83" t="s">
        <v>4619</v>
      </c>
      <c r="C1971" s="81" t="s">
        <v>4621</v>
      </c>
      <c r="D1971" s="83" t="s">
        <v>4734</v>
      </c>
      <c r="E1971" s="81" t="s">
        <v>3526</v>
      </c>
      <c r="F1971" s="84">
        <v>664.0</v>
      </c>
      <c r="G1971" s="81" t="s">
        <v>29</v>
      </c>
      <c r="H1971" s="81" t="s">
        <v>3514</v>
      </c>
      <c r="I1971" s="81" t="s">
        <v>3524</v>
      </c>
      <c r="J1971" s="81" t="s">
        <v>224</v>
      </c>
      <c r="K1971" s="81" t="str">
        <f>IFERROR(__xludf.DUMMYFUNCTION("IF(OR(D1971="""",G1971=""""),"""",IFERROR(LET(
campo,XLOOKUP(TRIM(G1971),ARRAYFORMULA(TRIM('indice columnas'!$A$2:$A$100)),'indice columnas'!$B$2:$B$100,""""),
col,IFERROR(MATCH(campo,Referencia!$A$1:$AZ$1,0),0),
fila,IFERROR(MATCH(TO_TEXT(D1971),ARRAYFOR"&amp;"MULA(TO_TEXT(Referencia!$A$2:$A6238)),0),0),
IF(OR(campo="""",campo=""-""),""NO APLICA"",
IF(col=0,""REVISAR EQUIVALENCIA"",
IF(fila=0,""SKU NO ENCONTRADO"",
LET(
valor,INDEX(Referencia!$A$2:$AZ6238,fila,col),
IF(TRIM(TO_TEXT(valor))=TRIM(TO_TEXT(I1971)),"&amp;"
""OK"",
""NO COINCIDE. Valor verdadero: ""&amp;IF(valor="""",""[VACÍO]"",TO_TEXT(valor))
)
))))
),""ERROR EN FÓRMULA""))"),"NO COINCIDE. Valor verdadero: Ø83 X 32")</f>
        <v>NO COINCIDE. Valor verdadero: Ø83 X 32</v>
      </c>
    </row>
    <row r="1972">
      <c r="A1972" s="83" t="s">
        <v>4618</v>
      </c>
      <c r="B1972" s="83" t="s">
        <v>4619</v>
      </c>
      <c r="C1972" s="81" t="s">
        <v>4621</v>
      </c>
      <c r="D1972" s="83" t="s">
        <v>4734</v>
      </c>
      <c r="E1972" s="81" t="s">
        <v>3526</v>
      </c>
      <c r="F1972" s="84">
        <v>664.0</v>
      </c>
      <c r="G1972" s="81" t="s">
        <v>44</v>
      </c>
      <c r="H1972" s="81" t="s">
        <v>4733</v>
      </c>
      <c r="I1972" s="81" t="s">
        <v>3513</v>
      </c>
      <c r="J1972" s="81" t="s">
        <v>4088</v>
      </c>
      <c r="K1972" s="81" t="str">
        <f>IFERROR(__xludf.DUMMYFUNCTION("IF(OR(D1972="""",G1972=""""),"""",IFERROR(LET(
campo,XLOOKUP(TRIM(G1972),ARRAYFORMULA(TRIM('indice columnas'!$A$2:$A$100)),'indice columnas'!$B$2:$B$100,""""),
col,IFERROR(MATCH(campo,Referencia!$A$1:$AZ$1,0),0),
fila,IFERROR(MATCH(TO_TEXT(D1972),ARRAYFOR"&amp;"MULA(TO_TEXT(Referencia!$A$2:$A6238)),0),0),
IF(OR(campo="""",campo=""-""),""NO APLICA"",
IF(col=0,""REVISAR EQUIVALENCIA"",
IF(fila=0,""SKU NO ENCONTRADO"",
LET(
valor,INDEX(Referencia!$A$2:$AZ6238,fila,col),
IF(TRIM(TO_TEXT(valor))=TRIM(TO_TEXT(I1972)),"&amp;"
""OK"",
""NO COINCIDE. Valor verdadero: ""&amp;IF(valor="""",""[VACÍO]"",TO_TEXT(valor))
)
))))
),""ERROR EN FÓRMULA""))"),"NO APLICA")</f>
        <v>NO APLICA</v>
      </c>
    </row>
    <row r="1973">
      <c r="A1973" s="83" t="s">
        <v>4618</v>
      </c>
      <c r="B1973" s="83" t="s">
        <v>4619</v>
      </c>
      <c r="C1973" s="81" t="s">
        <v>4621</v>
      </c>
      <c r="D1973" s="83" t="s">
        <v>4735</v>
      </c>
      <c r="E1973" s="81" t="s">
        <v>3529</v>
      </c>
      <c r="F1973" s="84">
        <v>665.0</v>
      </c>
      <c r="G1973" s="81" t="s">
        <v>44</v>
      </c>
      <c r="H1973" s="81" t="s">
        <v>4736</v>
      </c>
      <c r="I1973" s="81" t="s">
        <v>3529</v>
      </c>
      <c r="J1973" s="81" t="s">
        <v>4088</v>
      </c>
      <c r="K1973" s="81" t="str">
        <f>IFERROR(__xludf.DUMMYFUNCTION("IF(OR(D1973="""",G1973=""""),"""",IFERROR(LET(
campo,XLOOKUP(TRIM(G1973),ARRAYFORMULA(TRIM('indice columnas'!$A$2:$A$100)),'indice columnas'!$B$2:$B$100,""""),
col,IFERROR(MATCH(campo,Referencia!$A$1:$AZ$1,0),0),
fila,IFERROR(MATCH(TO_TEXT(D1973),ARRAYFOR"&amp;"MULA(TO_TEXT(Referencia!$A$2:$A6238)),0),0),
IF(OR(campo="""",campo=""-""),""NO APLICA"",
IF(col=0,""REVISAR EQUIVALENCIA"",
IF(fila=0,""SKU NO ENCONTRADO"",
LET(
valor,INDEX(Referencia!$A$2:$AZ6238,fila,col),
IF(TRIM(TO_TEXT(valor))=TRIM(TO_TEXT(I1973)),"&amp;"
""OK"",
""NO COINCIDE. Valor verdadero: ""&amp;IF(valor="""",""[VACÍO]"",TO_TEXT(valor))
)
))))
),""ERROR EN FÓRMULA""))"),"NO APLICA")</f>
        <v>NO APLICA</v>
      </c>
    </row>
    <row r="1974">
      <c r="A1974" s="83" t="s">
        <v>4618</v>
      </c>
      <c r="B1974" s="83" t="s">
        <v>4619</v>
      </c>
      <c r="C1974" s="81" t="s">
        <v>4621</v>
      </c>
      <c r="D1974" s="83" t="s">
        <v>4735</v>
      </c>
      <c r="E1974" s="81" t="s">
        <v>3539</v>
      </c>
      <c r="F1974" s="84">
        <v>666.0</v>
      </c>
      <c r="G1974" s="81" t="s">
        <v>12</v>
      </c>
      <c r="H1974" s="81" t="s">
        <v>224</v>
      </c>
      <c r="I1974" s="81" t="s">
        <v>55</v>
      </c>
      <c r="J1974" s="81" t="s">
        <v>224</v>
      </c>
      <c r="K1974" s="81" t="str">
        <f>IFERROR(__xludf.DUMMYFUNCTION("IF(OR(D1974="""",G1974=""""),"""",IFERROR(LET(
campo,XLOOKUP(TRIM(G1974),ARRAYFORMULA(TRIM('indice columnas'!$A$2:$A$100)),'indice columnas'!$B$2:$B$100,""""),
col,IFERROR(MATCH(campo,Referencia!$A$1:$AZ$1,0),0),
fila,IFERROR(MATCH(TO_TEXT(D1974),ARRAYFOR"&amp;"MULA(TO_TEXT(Referencia!$A$2:$A6238)),0),0),
IF(OR(campo="""",campo=""-""),""NO APLICA"",
IF(col=0,""REVISAR EQUIVALENCIA"",
IF(fila=0,""SKU NO ENCONTRADO"",
LET(
valor,INDEX(Referencia!$A$2:$AZ6238,fila,col),
IF(TRIM(TO_TEXT(valor))=TRIM(TO_TEXT(I1974)),"&amp;"
""OK"",
""NO COINCIDE. Valor verdadero: ""&amp;IF(valor="""",""[VACÍO]"",TO_TEXT(valor))
)
))))
),""ERROR EN FÓRMULA""))"),"OK")</f>
        <v>OK</v>
      </c>
    </row>
    <row r="1975">
      <c r="A1975" s="83" t="s">
        <v>4618</v>
      </c>
      <c r="B1975" s="83" t="s">
        <v>4619</v>
      </c>
      <c r="C1975" s="81" t="s">
        <v>4621</v>
      </c>
      <c r="D1975" s="83" t="s">
        <v>4735</v>
      </c>
      <c r="E1975" s="81" t="s">
        <v>3539</v>
      </c>
      <c r="F1975" s="84">
        <v>666.0</v>
      </c>
      <c r="G1975" s="81" t="s">
        <v>44</v>
      </c>
      <c r="H1975" s="81" t="s">
        <v>4736</v>
      </c>
      <c r="I1975" s="81" t="s">
        <v>3529</v>
      </c>
      <c r="J1975" s="81" t="s">
        <v>4088</v>
      </c>
      <c r="K1975" s="81" t="str">
        <f>IFERROR(__xludf.DUMMYFUNCTION("IF(OR(D1975="""",G1975=""""),"""",IFERROR(LET(
campo,XLOOKUP(TRIM(G1975),ARRAYFORMULA(TRIM('indice columnas'!$A$2:$A$100)),'indice columnas'!$B$2:$B$100,""""),
col,IFERROR(MATCH(campo,Referencia!$A$1:$AZ$1,0),0),
fila,IFERROR(MATCH(TO_TEXT(D1975),ARRAYFOR"&amp;"MULA(TO_TEXT(Referencia!$A$2:$A6238)),0),0),
IF(OR(campo="""",campo=""-""),""NO APLICA"",
IF(col=0,""REVISAR EQUIVALENCIA"",
IF(fila=0,""SKU NO ENCONTRADO"",
LET(
valor,INDEX(Referencia!$A$2:$AZ6238,fila,col),
IF(TRIM(TO_TEXT(valor))=TRIM(TO_TEXT(I1975)),"&amp;"
""OK"",
""NO COINCIDE. Valor verdadero: ""&amp;IF(valor="""",""[VACÍO]"",TO_TEXT(valor))
)
))))
),""ERROR EN FÓRMULA""))"),"NO APLICA")</f>
        <v>NO APLICA</v>
      </c>
    </row>
    <row r="1976">
      <c r="A1976" s="83" t="s">
        <v>4618</v>
      </c>
      <c r="B1976" s="83" t="s">
        <v>4619</v>
      </c>
      <c r="C1976" s="81" t="s">
        <v>4621</v>
      </c>
      <c r="D1976" s="83" t="s">
        <v>4737</v>
      </c>
      <c r="E1976" s="81" t="s">
        <v>3540</v>
      </c>
      <c r="F1976" s="84">
        <v>667.0</v>
      </c>
      <c r="G1976" s="81" t="s">
        <v>12</v>
      </c>
      <c r="H1976" s="81" t="s">
        <v>224</v>
      </c>
      <c r="I1976" s="81" t="s">
        <v>55</v>
      </c>
      <c r="J1976" s="81" t="s">
        <v>224</v>
      </c>
      <c r="K1976" s="81" t="str">
        <f>IFERROR(__xludf.DUMMYFUNCTION("IF(OR(D1976="""",G1976=""""),"""",IFERROR(LET(
campo,XLOOKUP(TRIM(G1976),ARRAYFORMULA(TRIM('indice columnas'!$A$2:$A$100)),'indice columnas'!$B$2:$B$100,""""),
col,IFERROR(MATCH(campo,Referencia!$A$1:$AZ$1,0),0),
fila,IFERROR(MATCH(TO_TEXT(D1976),ARRAYFOR"&amp;"MULA(TO_TEXT(Referencia!$A$2:$A6238)),0),0),
IF(OR(campo="""",campo=""-""),""NO APLICA"",
IF(col=0,""REVISAR EQUIVALENCIA"",
IF(fila=0,""SKU NO ENCONTRADO"",
LET(
valor,INDEX(Referencia!$A$2:$AZ6238,fila,col),
IF(TRIM(TO_TEXT(valor))=TRIM(TO_TEXT(I1976)),"&amp;"
""OK"",
""NO COINCIDE. Valor verdadero: ""&amp;IF(valor="""",""[VACÍO]"",TO_TEXT(valor))
)
))))
),""ERROR EN FÓRMULA""))"),"OK")</f>
        <v>OK</v>
      </c>
    </row>
    <row r="1977">
      <c r="A1977" s="83" t="s">
        <v>4618</v>
      </c>
      <c r="B1977" s="83" t="s">
        <v>4619</v>
      </c>
      <c r="C1977" s="81" t="s">
        <v>4621</v>
      </c>
      <c r="D1977" s="83" t="s">
        <v>4737</v>
      </c>
      <c r="E1977" s="81" t="s">
        <v>3540</v>
      </c>
      <c r="F1977" s="84">
        <v>667.0</v>
      </c>
      <c r="G1977" s="81" t="s">
        <v>44</v>
      </c>
      <c r="H1977" s="81" t="s">
        <v>4736</v>
      </c>
      <c r="I1977" s="81" t="s">
        <v>3529</v>
      </c>
      <c r="J1977" s="81" t="s">
        <v>4088</v>
      </c>
      <c r="K1977" s="81" t="str">
        <f>IFERROR(__xludf.DUMMYFUNCTION("IF(OR(D1977="""",G1977=""""),"""",IFERROR(LET(
campo,XLOOKUP(TRIM(G1977),ARRAYFORMULA(TRIM('indice columnas'!$A$2:$A$100)),'indice columnas'!$B$2:$B$100,""""),
col,IFERROR(MATCH(campo,Referencia!$A$1:$AZ$1,0),0),
fila,IFERROR(MATCH(TO_TEXT(D1977),ARRAYFOR"&amp;"MULA(TO_TEXT(Referencia!$A$2:$A6238)),0),0),
IF(OR(campo="""",campo=""-""),""NO APLICA"",
IF(col=0,""REVISAR EQUIVALENCIA"",
IF(fila=0,""SKU NO ENCONTRADO"",
LET(
valor,INDEX(Referencia!$A$2:$AZ6238,fila,col),
IF(TRIM(TO_TEXT(valor))=TRIM(TO_TEXT(I1977)),"&amp;"
""OK"",
""NO COINCIDE. Valor verdadero: ""&amp;IF(valor="""",""[VACÍO]"",TO_TEXT(valor))
)
))))
),""ERROR EN FÓRMULA""))"),"NO APLICA")</f>
        <v>NO APLICA</v>
      </c>
    </row>
    <row r="1978">
      <c r="A1978" s="83" t="s">
        <v>4618</v>
      </c>
      <c r="B1978" s="83" t="s">
        <v>4619</v>
      </c>
      <c r="C1978" s="81" t="s">
        <v>4621</v>
      </c>
      <c r="D1978" s="83" t="s">
        <v>4738</v>
      </c>
      <c r="E1978" s="81" t="s">
        <v>3543</v>
      </c>
      <c r="F1978" s="84">
        <v>668.0</v>
      </c>
      <c r="G1978" s="81" t="s">
        <v>44</v>
      </c>
      <c r="H1978" s="81" t="s">
        <v>4739</v>
      </c>
      <c r="I1978" s="81" t="s">
        <v>3543</v>
      </c>
      <c r="J1978" s="81" t="s">
        <v>4088</v>
      </c>
      <c r="K1978" s="81" t="str">
        <f>IFERROR(__xludf.DUMMYFUNCTION("IF(OR(D1978="""",G1978=""""),"""",IFERROR(LET(
campo,XLOOKUP(TRIM(G1978),ARRAYFORMULA(TRIM('indice columnas'!$A$2:$A$100)),'indice columnas'!$B$2:$B$100,""""),
col,IFERROR(MATCH(campo,Referencia!$A$1:$AZ$1,0),0),
fila,IFERROR(MATCH(TO_TEXT(D1978),ARRAYFOR"&amp;"MULA(TO_TEXT(Referencia!$A$2:$A6238)),0),0),
IF(OR(campo="""",campo=""-""),""NO APLICA"",
IF(col=0,""REVISAR EQUIVALENCIA"",
IF(fila=0,""SKU NO ENCONTRADO"",
LET(
valor,INDEX(Referencia!$A$2:$AZ6238,fila,col),
IF(TRIM(TO_TEXT(valor))=TRIM(TO_TEXT(I1978)),"&amp;"
""OK"",
""NO COINCIDE. Valor verdadero: ""&amp;IF(valor="""",""[VACÍO]"",TO_TEXT(valor))
)
))))
),""ERROR EN FÓRMULA""))"),"NO APLICA")</f>
        <v>NO APLICA</v>
      </c>
    </row>
    <row r="1979">
      <c r="A1979" s="83" t="s">
        <v>4618</v>
      </c>
      <c r="B1979" s="83" t="s">
        <v>4619</v>
      </c>
      <c r="C1979" s="81" t="s">
        <v>4621</v>
      </c>
      <c r="D1979" s="83" t="s">
        <v>4738</v>
      </c>
      <c r="E1979" s="81" t="s">
        <v>3553</v>
      </c>
      <c r="F1979" s="84">
        <v>669.0</v>
      </c>
      <c r="G1979" s="81" t="s">
        <v>12</v>
      </c>
      <c r="H1979" s="81" t="s">
        <v>224</v>
      </c>
      <c r="I1979" s="81" t="s">
        <v>55</v>
      </c>
      <c r="J1979" s="81" t="s">
        <v>224</v>
      </c>
      <c r="K1979" s="81" t="str">
        <f>IFERROR(__xludf.DUMMYFUNCTION("IF(OR(D1979="""",G1979=""""),"""",IFERROR(LET(
campo,XLOOKUP(TRIM(G1979),ARRAYFORMULA(TRIM('indice columnas'!$A$2:$A$100)),'indice columnas'!$B$2:$B$100,""""),
col,IFERROR(MATCH(campo,Referencia!$A$1:$AZ$1,0),0),
fila,IFERROR(MATCH(TO_TEXT(D1979),ARRAYFOR"&amp;"MULA(TO_TEXT(Referencia!$A$2:$A6238)),0),0),
IF(OR(campo="""",campo=""-""),""NO APLICA"",
IF(col=0,""REVISAR EQUIVALENCIA"",
IF(fila=0,""SKU NO ENCONTRADO"",
LET(
valor,INDEX(Referencia!$A$2:$AZ6238,fila,col),
IF(TRIM(TO_TEXT(valor))=TRIM(TO_TEXT(I1979)),"&amp;"
""OK"",
""NO COINCIDE. Valor verdadero: ""&amp;IF(valor="""",""[VACÍO]"",TO_TEXT(valor))
)
))))
),""ERROR EN FÓRMULA""))"),"OK")</f>
        <v>OK</v>
      </c>
    </row>
    <row r="1980">
      <c r="A1980" s="83" t="s">
        <v>4618</v>
      </c>
      <c r="B1980" s="83" t="s">
        <v>4619</v>
      </c>
      <c r="C1980" s="81" t="s">
        <v>4621</v>
      </c>
      <c r="D1980" s="83" t="s">
        <v>4738</v>
      </c>
      <c r="E1980" s="81" t="s">
        <v>3553</v>
      </c>
      <c r="F1980" s="84">
        <v>669.0</v>
      </c>
      <c r="G1980" s="81" t="s">
        <v>44</v>
      </c>
      <c r="H1980" s="81" t="s">
        <v>4739</v>
      </c>
      <c r="I1980" s="81" t="s">
        <v>3543</v>
      </c>
      <c r="J1980" s="81" t="s">
        <v>4088</v>
      </c>
      <c r="K1980" s="81" t="str">
        <f>IFERROR(__xludf.DUMMYFUNCTION("IF(OR(D1980="""",G1980=""""),"""",IFERROR(LET(
campo,XLOOKUP(TRIM(G1980),ARRAYFORMULA(TRIM('indice columnas'!$A$2:$A$100)),'indice columnas'!$B$2:$B$100,""""),
col,IFERROR(MATCH(campo,Referencia!$A$1:$AZ$1,0),0),
fila,IFERROR(MATCH(TO_TEXT(D1980),ARRAYFOR"&amp;"MULA(TO_TEXT(Referencia!$A$2:$A6238)),0),0),
IF(OR(campo="""",campo=""-""),""NO APLICA"",
IF(col=0,""REVISAR EQUIVALENCIA"",
IF(fila=0,""SKU NO ENCONTRADO"",
LET(
valor,INDEX(Referencia!$A$2:$AZ6238,fila,col),
IF(TRIM(TO_TEXT(valor))=TRIM(TO_TEXT(I1980)),"&amp;"
""OK"",
""NO COINCIDE. Valor verdadero: ""&amp;IF(valor="""",""[VACÍO]"",TO_TEXT(valor))
)
))))
),""ERROR EN FÓRMULA""))"),"NO APLICA")</f>
        <v>NO APLICA</v>
      </c>
    </row>
    <row r="1981">
      <c r="A1981" s="83" t="s">
        <v>4618</v>
      </c>
      <c r="B1981" s="83" t="s">
        <v>4619</v>
      </c>
      <c r="C1981" s="81" t="s">
        <v>4621</v>
      </c>
      <c r="D1981" s="83" t="s">
        <v>4740</v>
      </c>
      <c r="E1981" s="81" t="s">
        <v>3555</v>
      </c>
      <c r="F1981" s="84">
        <v>670.0</v>
      </c>
      <c r="G1981" s="81" t="s">
        <v>12</v>
      </c>
      <c r="H1981" s="81" t="s">
        <v>224</v>
      </c>
      <c r="I1981" s="81" t="s">
        <v>55</v>
      </c>
      <c r="J1981" s="81" t="s">
        <v>224</v>
      </c>
      <c r="K1981" s="81" t="str">
        <f>IFERROR(__xludf.DUMMYFUNCTION("IF(OR(D1981="""",G1981=""""),"""",IFERROR(LET(
campo,XLOOKUP(TRIM(G1981),ARRAYFORMULA(TRIM('indice columnas'!$A$2:$A$100)),'indice columnas'!$B$2:$B$100,""""),
col,IFERROR(MATCH(campo,Referencia!$A$1:$AZ$1,0),0),
fila,IFERROR(MATCH(TO_TEXT(D1981),ARRAYFOR"&amp;"MULA(TO_TEXT(Referencia!$A$2:$A6238)),0),0),
IF(OR(campo="""",campo=""-""),""NO APLICA"",
IF(col=0,""REVISAR EQUIVALENCIA"",
IF(fila=0,""SKU NO ENCONTRADO"",
LET(
valor,INDEX(Referencia!$A$2:$AZ6238,fila,col),
IF(TRIM(TO_TEXT(valor))=TRIM(TO_TEXT(I1981)),"&amp;"
""OK"",
""NO COINCIDE. Valor verdadero: ""&amp;IF(valor="""",""[VACÍO]"",TO_TEXT(valor))
)
))))
),""ERROR EN FÓRMULA""))"),"OK")</f>
        <v>OK</v>
      </c>
    </row>
    <row r="1982">
      <c r="A1982" s="83" t="s">
        <v>4618</v>
      </c>
      <c r="B1982" s="83" t="s">
        <v>4619</v>
      </c>
      <c r="C1982" s="81" t="s">
        <v>4621</v>
      </c>
      <c r="D1982" s="83" t="s">
        <v>4740</v>
      </c>
      <c r="E1982" s="81" t="s">
        <v>3555</v>
      </c>
      <c r="F1982" s="84">
        <v>670.0</v>
      </c>
      <c r="G1982" s="81" t="s">
        <v>44</v>
      </c>
      <c r="H1982" s="81" t="s">
        <v>4739</v>
      </c>
      <c r="I1982" s="81" t="s">
        <v>3543</v>
      </c>
      <c r="J1982" s="81" t="s">
        <v>4088</v>
      </c>
      <c r="K1982" s="81" t="str">
        <f>IFERROR(__xludf.DUMMYFUNCTION("IF(OR(D1982="""",G1982=""""),"""",IFERROR(LET(
campo,XLOOKUP(TRIM(G1982),ARRAYFORMULA(TRIM('indice columnas'!$A$2:$A$100)),'indice columnas'!$B$2:$B$100,""""),
col,IFERROR(MATCH(campo,Referencia!$A$1:$AZ$1,0),0),
fila,IFERROR(MATCH(TO_TEXT(D1982),ARRAYFOR"&amp;"MULA(TO_TEXT(Referencia!$A$2:$A6238)),0),0),
IF(OR(campo="""",campo=""-""),""NO APLICA"",
IF(col=0,""REVISAR EQUIVALENCIA"",
IF(fila=0,""SKU NO ENCONTRADO"",
LET(
valor,INDEX(Referencia!$A$2:$AZ6238,fila,col),
IF(TRIM(TO_TEXT(valor))=TRIM(TO_TEXT(I1982)),"&amp;"
""OK"",
""NO COINCIDE. Valor verdadero: ""&amp;IF(valor="""",""[VACÍO]"",TO_TEXT(valor))
)
))))
),""ERROR EN FÓRMULA""))"),"NO APLICA")</f>
        <v>NO APLICA</v>
      </c>
    </row>
    <row r="1983">
      <c r="A1983" s="83" t="s">
        <v>4618</v>
      </c>
      <c r="B1983" s="83" t="s">
        <v>4619</v>
      </c>
      <c r="C1983" s="81" t="s">
        <v>4621</v>
      </c>
      <c r="D1983" s="83" t="s">
        <v>4741</v>
      </c>
      <c r="E1983" s="81" t="s">
        <v>3558</v>
      </c>
      <c r="F1983" s="84">
        <v>671.0</v>
      </c>
      <c r="G1983" s="81" t="s">
        <v>44</v>
      </c>
      <c r="H1983" s="81" t="s">
        <v>4742</v>
      </c>
      <c r="I1983" s="81" t="s">
        <v>3558</v>
      </c>
      <c r="J1983" s="81" t="s">
        <v>4088</v>
      </c>
      <c r="K1983" s="81" t="str">
        <f>IFERROR(__xludf.DUMMYFUNCTION("IF(OR(D1983="""",G1983=""""),"""",IFERROR(LET(
campo,XLOOKUP(TRIM(G1983),ARRAYFORMULA(TRIM('indice columnas'!$A$2:$A$100)),'indice columnas'!$B$2:$B$100,""""),
col,IFERROR(MATCH(campo,Referencia!$A$1:$AZ$1,0),0),
fila,IFERROR(MATCH(TO_TEXT(D1983),ARRAYFOR"&amp;"MULA(TO_TEXT(Referencia!$A$2:$A6238)),0),0),
IF(OR(campo="""",campo=""-""),""NO APLICA"",
IF(col=0,""REVISAR EQUIVALENCIA"",
IF(fila=0,""SKU NO ENCONTRADO"",
LET(
valor,INDEX(Referencia!$A$2:$AZ6238,fila,col),
IF(TRIM(TO_TEXT(valor))=TRIM(TO_TEXT(I1983)),"&amp;"
""OK"",
""NO COINCIDE. Valor verdadero: ""&amp;IF(valor="""",""[VACÍO]"",TO_TEXT(valor))
)
))))
),""ERROR EN FÓRMULA""))"),"NO APLICA")</f>
        <v>NO APLICA</v>
      </c>
    </row>
    <row r="1984">
      <c r="A1984" s="83" t="s">
        <v>4618</v>
      </c>
      <c r="B1984" s="83" t="s">
        <v>4619</v>
      </c>
      <c r="C1984" s="81" t="s">
        <v>4621</v>
      </c>
      <c r="D1984" s="83" t="s">
        <v>4741</v>
      </c>
      <c r="E1984" s="81" t="s">
        <v>3567</v>
      </c>
      <c r="F1984" s="84">
        <v>672.0</v>
      </c>
      <c r="G1984" s="81" t="s">
        <v>12</v>
      </c>
      <c r="H1984" s="81" t="s">
        <v>224</v>
      </c>
      <c r="I1984" s="81" t="s">
        <v>55</v>
      </c>
      <c r="J1984" s="81" t="s">
        <v>224</v>
      </c>
      <c r="K1984" s="81" t="str">
        <f>IFERROR(__xludf.DUMMYFUNCTION("IF(OR(D1984="""",G1984=""""),"""",IFERROR(LET(
campo,XLOOKUP(TRIM(G1984),ARRAYFORMULA(TRIM('indice columnas'!$A$2:$A$100)),'indice columnas'!$B$2:$B$100,""""),
col,IFERROR(MATCH(campo,Referencia!$A$1:$AZ$1,0),0),
fila,IFERROR(MATCH(TO_TEXT(D1984),ARRAYFOR"&amp;"MULA(TO_TEXT(Referencia!$A$2:$A6238)),0),0),
IF(OR(campo="""",campo=""-""),""NO APLICA"",
IF(col=0,""REVISAR EQUIVALENCIA"",
IF(fila=0,""SKU NO ENCONTRADO"",
LET(
valor,INDEX(Referencia!$A$2:$AZ6238,fila,col),
IF(TRIM(TO_TEXT(valor))=TRIM(TO_TEXT(I1984)),"&amp;"
""OK"",
""NO COINCIDE. Valor verdadero: ""&amp;IF(valor="""",""[VACÍO]"",TO_TEXT(valor))
)
))))
),""ERROR EN FÓRMULA""))"),"OK")</f>
        <v>OK</v>
      </c>
    </row>
    <row r="1985">
      <c r="A1985" s="83" t="s">
        <v>4618</v>
      </c>
      <c r="B1985" s="83" t="s">
        <v>4619</v>
      </c>
      <c r="C1985" s="81" t="s">
        <v>4621</v>
      </c>
      <c r="D1985" s="83" t="s">
        <v>4741</v>
      </c>
      <c r="E1985" s="81" t="s">
        <v>3567</v>
      </c>
      <c r="F1985" s="84">
        <v>672.0</v>
      </c>
      <c r="G1985" s="81" t="s">
        <v>44</v>
      </c>
      <c r="H1985" s="81" t="s">
        <v>4742</v>
      </c>
      <c r="I1985" s="81" t="s">
        <v>3558</v>
      </c>
      <c r="J1985" s="81" t="s">
        <v>4088</v>
      </c>
      <c r="K1985" s="81" t="str">
        <f>IFERROR(__xludf.DUMMYFUNCTION("IF(OR(D1985="""",G1985=""""),"""",IFERROR(LET(
campo,XLOOKUP(TRIM(G1985),ARRAYFORMULA(TRIM('indice columnas'!$A$2:$A$100)),'indice columnas'!$B$2:$B$100,""""),
col,IFERROR(MATCH(campo,Referencia!$A$1:$AZ$1,0),0),
fila,IFERROR(MATCH(TO_TEXT(D1985),ARRAYFOR"&amp;"MULA(TO_TEXT(Referencia!$A$2:$A6238)),0),0),
IF(OR(campo="""",campo=""-""),""NO APLICA"",
IF(col=0,""REVISAR EQUIVALENCIA"",
IF(fila=0,""SKU NO ENCONTRADO"",
LET(
valor,INDEX(Referencia!$A$2:$AZ6238,fila,col),
IF(TRIM(TO_TEXT(valor))=TRIM(TO_TEXT(I1985)),"&amp;"
""OK"",
""NO COINCIDE. Valor verdadero: ""&amp;IF(valor="""",""[VACÍO]"",TO_TEXT(valor))
)
))))
),""ERROR EN FÓRMULA""))"),"NO APLICA")</f>
        <v>NO APLICA</v>
      </c>
    </row>
    <row r="1986">
      <c r="A1986" s="83" t="s">
        <v>4618</v>
      </c>
      <c r="B1986" s="83" t="s">
        <v>4619</v>
      </c>
      <c r="C1986" s="81" t="s">
        <v>4621</v>
      </c>
      <c r="D1986" s="83" t="s">
        <v>4743</v>
      </c>
      <c r="E1986" s="81" t="s">
        <v>3568</v>
      </c>
      <c r="F1986" s="84">
        <v>673.0</v>
      </c>
      <c r="G1986" s="81" t="s">
        <v>12</v>
      </c>
      <c r="H1986" s="81" t="s">
        <v>224</v>
      </c>
      <c r="I1986" s="81" t="s">
        <v>55</v>
      </c>
      <c r="J1986" s="81" t="s">
        <v>224</v>
      </c>
      <c r="K1986" s="81" t="str">
        <f>IFERROR(__xludf.DUMMYFUNCTION("IF(OR(D1986="""",G1986=""""),"""",IFERROR(LET(
campo,XLOOKUP(TRIM(G1986),ARRAYFORMULA(TRIM('indice columnas'!$A$2:$A$100)),'indice columnas'!$B$2:$B$100,""""),
col,IFERROR(MATCH(campo,Referencia!$A$1:$AZ$1,0),0),
fila,IFERROR(MATCH(TO_TEXT(D1986),ARRAYFOR"&amp;"MULA(TO_TEXT(Referencia!$A$2:$A6238)),0),0),
IF(OR(campo="""",campo=""-""),""NO APLICA"",
IF(col=0,""REVISAR EQUIVALENCIA"",
IF(fila=0,""SKU NO ENCONTRADO"",
LET(
valor,INDEX(Referencia!$A$2:$AZ6238,fila,col),
IF(TRIM(TO_TEXT(valor))=TRIM(TO_TEXT(I1986)),"&amp;"
""OK"",
""NO COINCIDE. Valor verdadero: ""&amp;IF(valor="""",""[VACÍO]"",TO_TEXT(valor))
)
))))
),""ERROR EN FÓRMULA""))"),"OK")</f>
        <v>OK</v>
      </c>
    </row>
    <row r="1987">
      <c r="A1987" s="83" t="s">
        <v>4618</v>
      </c>
      <c r="B1987" s="83" t="s">
        <v>4619</v>
      </c>
      <c r="C1987" s="81" t="s">
        <v>4621</v>
      </c>
      <c r="D1987" s="83" t="s">
        <v>4743</v>
      </c>
      <c r="E1987" s="81" t="s">
        <v>3568</v>
      </c>
      <c r="F1987" s="84">
        <v>673.0</v>
      </c>
      <c r="G1987" s="81" t="s">
        <v>44</v>
      </c>
      <c r="H1987" s="81" t="s">
        <v>4742</v>
      </c>
      <c r="I1987" s="81" t="s">
        <v>3558</v>
      </c>
      <c r="J1987" s="81" t="s">
        <v>4088</v>
      </c>
      <c r="K1987" s="81" t="str">
        <f>IFERROR(__xludf.DUMMYFUNCTION("IF(OR(D1987="""",G1987=""""),"""",IFERROR(LET(
campo,XLOOKUP(TRIM(G1987),ARRAYFORMULA(TRIM('indice columnas'!$A$2:$A$100)),'indice columnas'!$B$2:$B$100,""""),
col,IFERROR(MATCH(campo,Referencia!$A$1:$AZ$1,0),0),
fila,IFERROR(MATCH(TO_TEXT(D1987),ARRAYFOR"&amp;"MULA(TO_TEXT(Referencia!$A$2:$A6238)),0),0),
IF(OR(campo="""",campo=""-""),""NO APLICA"",
IF(col=0,""REVISAR EQUIVALENCIA"",
IF(fila=0,""SKU NO ENCONTRADO"",
LET(
valor,INDEX(Referencia!$A$2:$AZ6238,fila,col),
IF(TRIM(TO_TEXT(valor))=TRIM(TO_TEXT(I1987)),"&amp;"
""OK"",
""NO COINCIDE. Valor verdadero: ""&amp;IF(valor="""",""[VACÍO]"",TO_TEXT(valor))
)
))))
),""ERROR EN FÓRMULA""))"),"NO APLICA")</f>
        <v>NO APLICA</v>
      </c>
    </row>
    <row r="1988">
      <c r="A1988" s="83" t="s">
        <v>4618</v>
      </c>
      <c r="B1988" s="83" t="s">
        <v>4619</v>
      </c>
      <c r="C1988" s="81" t="s">
        <v>4621</v>
      </c>
      <c r="D1988" s="83" t="s">
        <v>4744</v>
      </c>
      <c r="E1988" s="81" t="s">
        <v>3571</v>
      </c>
      <c r="F1988" s="84">
        <v>674.0</v>
      </c>
      <c r="G1988" s="81" t="s">
        <v>44</v>
      </c>
      <c r="H1988" s="81" t="s">
        <v>4745</v>
      </c>
      <c r="I1988" s="81" t="s">
        <v>3571</v>
      </c>
      <c r="J1988" s="81" t="s">
        <v>4088</v>
      </c>
      <c r="K1988" s="81" t="str">
        <f>IFERROR(__xludf.DUMMYFUNCTION("IF(OR(D1988="""",G1988=""""),"""",IFERROR(LET(
campo,XLOOKUP(TRIM(G1988),ARRAYFORMULA(TRIM('indice columnas'!$A$2:$A$100)),'indice columnas'!$B$2:$B$100,""""),
col,IFERROR(MATCH(campo,Referencia!$A$1:$AZ$1,0),0),
fila,IFERROR(MATCH(TO_TEXT(D1988),ARRAYFOR"&amp;"MULA(TO_TEXT(Referencia!$A$2:$A6238)),0),0),
IF(OR(campo="""",campo=""-""),""NO APLICA"",
IF(col=0,""REVISAR EQUIVALENCIA"",
IF(fila=0,""SKU NO ENCONTRADO"",
LET(
valor,INDEX(Referencia!$A$2:$AZ6238,fila,col),
IF(TRIM(TO_TEXT(valor))=TRIM(TO_TEXT(I1988)),"&amp;"
""OK"",
""NO COINCIDE. Valor verdadero: ""&amp;IF(valor="""",""[VACÍO]"",TO_TEXT(valor))
)
))))
),""ERROR EN FÓRMULA""))"),"NO APLICA")</f>
        <v>NO APLICA</v>
      </c>
    </row>
    <row r="1989">
      <c r="A1989" s="83" t="s">
        <v>4618</v>
      </c>
      <c r="B1989" s="83" t="s">
        <v>4619</v>
      </c>
      <c r="C1989" s="81" t="s">
        <v>4621</v>
      </c>
      <c r="D1989" s="83" t="s">
        <v>4744</v>
      </c>
      <c r="E1989" s="81" t="s">
        <v>3580</v>
      </c>
      <c r="F1989" s="84">
        <v>675.0</v>
      </c>
      <c r="G1989" s="81" t="s">
        <v>12</v>
      </c>
      <c r="H1989" s="81" t="s">
        <v>224</v>
      </c>
      <c r="I1989" s="81" t="s">
        <v>55</v>
      </c>
      <c r="J1989" s="81" t="s">
        <v>224</v>
      </c>
      <c r="K1989" s="81" t="str">
        <f>IFERROR(__xludf.DUMMYFUNCTION("IF(OR(D1989="""",G1989=""""),"""",IFERROR(LET(
campo,XLOOKUP(TRIM(G1989),ARRAYFORMULA(TRIM('indice columnas'!$A$2:$A$100)),'indice columnas'!$B$2:$B$100,""""),
col,IFERROR(MATCH(campo,Referencia!$A$1:$AZ$1,0),0),
fila,IFERROR(MATCH(TO_TEXT(D1989),ARRAYFOR"&amp;"MULA(TO_TEXT(Referencia!$A$2:$A6238)),0),0),
IF(OR(campo="""",campo=""-""),""NO APLICA"",
IF(col=0,""REVISAR EQUIVALENCIA"",
IF(fila=0,""SKU NO ENCONTRADO"",
LET(
valor,INDEX(Referencia!$A$2:$AZ6238,fila,col),
IF(TRIM(TO_TEXT(valor))=TRIM(TO_TEXT(I1989)),"&amp;"
""OK"",
""NO COINCIDE. Valor verdadero: ""&amp;IF(valor="""",""[VACÍO]"",TO_TEXT(valor))
)
))))
),""ERROR EN FÓRMULA""))"),"OK")</f>
        <v>OK</v>
      </c>
    </row>
    <row r="1990">
      <c r="A1990" s="83" t="s">
        <v>4618</v>
      </c>
      <c r="B1990" s="83" t="s">
        <v>4619</v>
      </c>
      <c r="C1990" s="81" t="s">
        <v>4621</v>
      </c>
      <c r="D1990" s="83" t="s">
        <v>4744</v>
      </c>
      <c r="E1990" s="81" t="s">
        <v>3580</v>
      </c>
      <c r="F1990" s="84">
        <v>675.0</v>
      </c>
      <c r="G1990" s="81" t="s">
        <v>29</v>
      </c>
      <c r="H1990" s="81" t="s">
        <v>4746</v>
      </c>
      <c r="I1990" s="81" t="s">
        <v>3572</v>
      </c>
      <c r="J1990" s="81" t="s">
        <v>224</v>
      </c>
      <c r="K1990" s="81" t="str">
        <f>IFERROR(__xludf.DUMMYFUNCTION("IF(OR(D1990="""",G1990=""""),"""",IFERROR(LET(
campo,XLOOKUP(TRIM(G1990),ARRAYFORMULA(TRIM('indice columnas'!$A$2:$A$100)),'indice columnas'!$B$2:$B$100,""""),
col,IFERROR(MATCH(campo,Referencia!$A$1:$AZ$1,0),0),
fila,IFERROR(MATCH(TO_TEXT(D1990),ARRAYFOR"&amp;"MULA(TO_TEXT(Referencia!$A$2:$A6238)),0),0),
IF(OR(campo="""",campo=""-""),""NO APLICA"",
IF(col=0,""REVISAR EQUIVALENCIA"",
IF(fila=0,""SKU NO ENCONTRADO"",
LET(
valor,INDEX(Referencia!$A$2:$AZ6238,fila,col),
IF(TRIM(TO_TEXT(valor))=TRIM(TO_TEXT(I1990)),"&amp;"
""OK"",
""NO COINCIDE. Valor verdadero: ""&amp;IF(valor="""",""[VACÍO]"",TO_TEXT(valor))
)
))))
),""ERROR EN FÓRMULA""))"),"NO COINCIDE. Valor verdadero: ∅91 x 23")</f>
        <v>NO COINCIDE. Valor verdadero: ∅91 x 23</v>
      </c>
    </row>
    <row r="1991">
      <c r="A1991" s="83" t="s">
        <v>4618</v>
      </c>
      <c r="B1991" s="83" t="s">
        <v>4619</v>
      </c>
      <c r="C1991" s="81" t="s">
        <v>4621</v>
      </c>
      <c r="D1991" s="83" t="s">
        <v>4744</v>
      </c>
      <c r="E1991" s="81" t="s">
        <v>3580</v>
      </c>
      <c r="F1991" s="84">
        <v>675.0</v>
      </c>
      <c r="G1991" s="81" t="s">
        <v>44</v>
      </c>
      <c r="H1991" s="81" t="s">
        <v>4745</v>
      </c>
      <c r="I1991" s="81" t="s">
        <v>3571</v>
      </c>
      <c r="J1991" s="81" t="s">
        <v>4088</v>
      </c>
      <c r="K1991" s="81" t="str">
        <f>IFERROR(__xludf.DUMMYFUNCTION("IF(OR(D1991="""",G1991=""""),"""",IFERROR(LET(
campo,XLOOKUP(TRIM(G1991),ARRAYFORMULA(TRIM('indice columnas'!$A$2:$A$100)),'indice columnas'!$B$2:$B$100,""""),
col,IFERROR(MATCH(campo,Referencia!$A$1:$AZ$1,0),0),
fila,IFERROR(MATCH(TO_TEXT(D1991),ARRAYFOR"&amp;"MULA(TO_TEXT(Referencia!$A$2:$A6238)),0),0),
IF(OR(campo="""",campo=""-""),""NO APLICA"",
IF(col=0,""REVISAR EQUIVALENCIA"",
IF(fila=0,""SKU NO ENCONTRADO"",
LET(
valor,INDEX(Referencia!$A$2:$AZ6238,fila,col),
IF(TRIM(TO_TEXT(valor))=TRIM(TO_TEXT(I1991)),"&amp;"
""OK"",
""NO COINCIDE. Valor verdadero: ""&amp;IF(valor="""",""[VACÍO]"",TO_TEXT(valor))
)
))))
),""ERROR EN FÓRMULA""))"),"NO APLICA")</f>
        <v>NO APLICA</v>
      </c>
    </row>
    <row r="1992">
      <c r="A1992" s="83" t="s">
        <v>4618</v>
      </c>
      <c r="B1992" s="83" t="s">
        <v>4619</v>
      </c>
      <c r="C1992" s="81" t="s">
        <v>4621</v>
      </c>
      <c r="D1992" s="83" t="s">
        <v>4747</v>
      </c>
      <c r="E1992" s="81" t="s">
        <v>3581</v>
      </c>
      <c r="F1992" s="84">
        <v>676.0</v>
      </c>
      <c r="G1992" s="81" t="s">
        <v>12</v>
      </c>
      <c r="H1992" s="81" t="s">
        <v>224</v>
      </c>
      <c r="I1992" s="81" t="s">
        <v>55</v>
      </c>
      <c r="J1992" s="81" t="s">
        <v>224</v>
      </c>
      <c r="K1992" s="81" t="str">
        <f>IFERROR(__xludf.DUMMYFUNCTION("IF(OR(D1992="""",G1992=""""),"""",IFERROR(LET(
campo,XLOOKUP(TRIM(G1992),ARRAYFORMULA(TRIM('indice columnas'!$A$2:$A$100)),'indice columnas'!$B$2:$B$100,""""),
col,IFERROR(MATCH(campo,Referencia!$A$1:$AZ$1,0),0),
fila,IFERROR(MATCH(TO_TEXT(D1992),ARRAYFOR"&amp;"MULA(TO_TEXT(Referencia!$A$2:$A6238)),0),0),
IF(OR(campo="""",campo=""-""),""NO APLICA"",
IF(col=0,""REVISAR EQUIVALENCIA"",
IF(fila=0,""SKU NO ENCONTRADO"",
LET(
valor,INDEX(Referencia!$A$2:$AZ6238,fila,col),
IF(TRIM(TO_TEXT(valor))=TRIM(TO_TEXT(I1992)),"&amp;"
""OK"",
""NO COINCIDE. Valor verdadero: ""&amp;IF(valor="""",""[VACÍO]"",TO_TEXT(valor))
)
))))
),""ERROR EN FÓRMULA""))"),"OK")</f>
        <v>OK</v>
      </c>
    </row>
    <row r="1993">
      <c r="A1993" s="83" t="s">
        <v>4618</v>
      </c>
      <c r="B1993" s="83" t="s">
        <v>4619</v>
      </c>
      <c r="C1993" s="81" t="s">
        <v>4621</v>
      </c>
      <c r="D1993" s="83" t="s">
        <v>4747</v>
      </c>
      <c r="E1993" s="81" t="s">
        <v>3581</v>
      </c>
      <c r="F1993" s="84">
        <v>676.0</v>
      </c>
      <c r="G1993" s="81" t="s">
        <v>29</v>
      </c>
      <c r="H1993" s="81" t="s">
        <v>4746</v>
      </c>
      <c r="I1993" s="81" t="s">
        <v>3572</v>
      </c>
      <c r="J1993" s="81" t="s">
        <v>224</v>
      </c>
      <c r="K1993" s="81" t="str">
        <f>IFERROR(__xludf.DUMMYFUNCTION("IF(OR(D1993="""",G1993=""""),"""",IFERROR(LET(
campo,XLOOKUP(TRIM(G1993),ARRAYFORMULA(TRIM('indice columnas'!$A$2:$A$100)),'indice columnas'!$B$2:$B$100,""""),
col,IFERROR(MATCH(campo,Referencia!$A$1:$AZ$1,0),0),
fila,IFERROR(MATCH(TO_TEXT(D1993),ARRAYFOR"&amp;"MULA(TO_TEXT(Referencia!$A$2:$A6238)),0),0),
IF(OR(campo="""",campo=""-""),""NO APLICA"",
IF(col=0,""REVISAR EQUIVALENCIA"",
IF(fila=0,""SKU NO ENCONTRADO"",
LET(
valor,INDEX(Referencia!$A$2:$AZ6238,fila,col),
IF(TRIM(TO_TEXT(valor))=TRIM(TO_TEXT(I1993)),"&amp;"
""OK"",
""NO COINCIDE. Valor verdadero: ""&amp;IF(valor="""",""[VACÍO]"",TO_TEXT(valor))
)
))))
),""ERROR EN FÓRMULA""))"),"NO COINCIDE. Valor verdadero: ∅91 x 23")</f>
        <v>NO COINCIDE. Valor verdadero: ∅91 x 23</v>
      </c>
    </row>
    <row r="1994">
      <c r="A1994" s="83" t="s">
        <v>4618</v>
      </c>
      <c r="B1994" s="83" t="s">
        <v>4619</v>
      </c>
      <c r="C1994" s="81" t="s">
        <v>4621</v>
      </c>
      <c r="D1994" s="83" t="s">
        <v>4747</v>
      </c>
      <c r="E1994" s="81" t="s">
        <v>3581</v>
      </c>
      <c r="F1994" s="84">
        <v>676.0</v>
      </c>
      <c r="G1994" s="81" t="s">
        <v>44</v>
      </c>
      <c r="H1994" s="81" t="s">
        <v>4745</v>
      </c>
      <c r="I1994" s="81" t="s">
        <v>3571</v>
      </c>
      <c r="J1994" s="81" t="s">
        <v>4088</v>
      </c>
      <c r="K1994" s="81" t="str">
        <f>IFERROR(__xludf.DUMMYFUNCTION("IF(OR(D1994="""",G1994=""""),"""",IFERROR(LET(
campo,XLOOKUP(TRIM(G1994),ARRAYFORMULA(TRIM('indice columnas'!$A$2:$A$100)),'indice columnas'!$B$2:$B$100,""""),
col,IFERROR(MATCH(campo,Referencia!$A$1:$AZ$1,0),0),
fila,IFERROR(MATCH(TO_TEXT(D1994),ARRAYFOR"&amp;"MULA(TO_TEXT(Referencia!$A$2:$A6238)),0),0),
IF(OR(campo="""",campo=""-""),""NO APLICA"",
IF(col=0,""REVISAR EQUIVALENCIA"",
IF(fila=0,""SKU NO ENCONTRADO"",
LET(
valor,INDEX(Referencia!$A$2:$AZ6238,fila,col),
IF(TRIM(TO_TEXT(valor))=TRIM(TO_TEXT(I1994)),"&amp;"
""OK"",
""NO COINCIDE. Valor verdadero: ""&amp;IF(valor="""",""[VACÍO]"",TO_TEXT(valor))
)
))))
),""ERROR EN FÓRMULA""))"),"NO APLICA")</f>
        <v>NO APLICA</v>
      </c>
    </row>
    <row r="1995">
      <c r="A1995" s="83" t="s">
        <v>4618</v>
      </c>
      <c r="B1995" s="83" t="s">
        <v>4619</v>
      </c>
      <c r="C1995" s="81" t="s">
        <v>4621</v>
      </c>
      <c r="D1995" s="83" t="s">
        <v>4748</v>
      </c>
      <c r="E1995" s="81" t="s">
        <v>3584</v>
      </c>
      <c r="F1995" s="84">
        <v>677.0</v>
      </c>
      <c r="G1995" s="81" t="s">
        <v>12</v>
      </c>
      <c r="H1995" s="81" t="s">
        <v>224</v>
      </c>
      <c r="I1995" s="81" t="s">
        <v>1549</v>
      </c>
      <c r="J1995" s="81" t="s">
        <v>224</v>
      </c>
      <c r="K1995" s="81" t="str">
        <f>IFERROR(__xludf.DUMMYFUNCTION("IF(OR(D1995="""",G1995=""""),"""",IFERROR(LET(
campo,XLOOKUP(TRIM(G1995),ARRAYFORMULA(TRIM('indice columnas'!$A$2:$A$100)),'indice columnas'!$B$2:$B$100,""""),
col,IFERROR(MATCH(campo,Referencia!$A$1:$AZ$1,0),0),
fila,IFERROR(MATCH(TO_TEXT(D1995),ARRAYFOR"&amp;"MULA(TO_TEXT(Referencia!$A$2:$A6238)),0),0),
IF(OR(campo="""",campo=""-""),""NO APLICA"",
IF(col=0,""REVISAR EQUIVALENCIA"",
IF(fila=0,""SKU NO ENCONTRADO"",
LET(
valor,INDEX(Referencia!$A$2:$AZ6238,fila,col),
IF(TRIM(TO_TEXT(valor))=TRIM(TO_TEXT(I1995)),"&amp;"
""OK"",
""NO COINCIDE. Valor verdadero: ""&amp;IF(valor="""",""[VACÍO]"",TO_TEXT(valor))
)
))))
),""ERROR EN FÓRMULA""))"),"OK")</f>
        <v>OK</v>
      </c>
    </row>
    <row r="1996">
      <c r="A1996" s="83" t="s">
        <v>4618</v>
      </c>
      <c r="B1996" s="83" t="s">
        <v>4619</v>
      </c>
      <c r="C1996" s="81" t="s">
        <v>4621</v>
      </c>
      <c r="D1996" s="83" t="s">
        <v>4748</v>
      </c>
      <c r="E1996" s="81" t="s">
        <v>3584</v>
      </c>
      <c r="F1996" s="84">
        <v>677.0</v>
      </c>
      <c r="G1996" s="81" t="s">
        <v>44</v>
      </c>
      <c r="H1996" s="81" t="s">
        <v>224</v>
      </c>
      <c r="I1996" s="81" t="s">
        <v>1550</v>
      </c>
      <c r="J1996" s="81" t="s">
        <v>4088</v>
      </c>
      <c r="K1996" s="81" t="str">
        <f>IFERROR(__xludf.DUMMYFUNCTION("IF(OR(D1996="""",G1996=""""),"""",IFERROR(LET(
campo,XLOOKUP(TRIM(G1996),ARRAYFORMULA(TRIM('indice columnas'!$A$2:$A$100)),'indice columnas'!$B$2:$B$100,""""),
col,IFERROR(MATCH(campo,Referencia!$A$1:$AZ$1,0),0),
fila,IFERROR(MATCH(TO_TEXT(D1996),ARRAYFOR"&amp;"MULA(TO_TEXT(Referencia!$A$2:$A6238)),0),0),
IF(OR(campo="""",campo=""-""),""NO APLICA"",
IF(col=0,""REVISAR EQUIVALENCIA"",
IF(fila=0,""SKU NO ENCONTRADO"",
LET(
valor,INDEX(Referencia!$A$2:$AZ6238,fila,col),
IF(TRIM(TO_TEXT(valor))=TRIM(TO_TEXT(I1996)),"&amp;"
""OK"",
""NO COINCIDE. Valor verdadero: ""&amp;IF(valor="""",""[VACÍO]"",TO_TEXT(valor))
)
))))
),""ERROR EN FÓRMULA""))"),"NO APLICA")</f>
        <v>NO APLICA</v>
      </c>
    </row>
    <row r="1997">
      <c r="A1997" s="83" t="s">
        <v>4618</v>
      </c>
      <c r="B1997" s="83" t="s">
        <v>4619</v>
      </c>
      <c r="C1997" s="81" t="s">
        <v>4621</v>
      </c>
      <c r="D1997" s="83" t="s">
        <v>4749</v>
      </c>
      <c r="E1997" s="81" t="s">
        <v>3588</v>
      </c>
      <c r="F1997" s="84">
        <v>678.0</v>
      </c>
      <c r="G1997" s="81" t="s">
        <v>44</v>
      </c>
      <c r="H1997" s="81" t="s">
        <v>224</v>
      </c>
      <c r="I1997" s="81" t="s">
        <v>1923</v>
      </c>
      <c r="J1997" s="81" t="s">
        <v>4088</v>
      </c>
      <c r="K1997" s="81" t="str">
        <f>IFERROR(__xludf.DUMMYFUNCTION("IF(OR(D1997="""",G1997=""""),"""",IFERROR(LET(
campo,XLOOKUP(TRIM(G1997),ARRAYFORMULA(TRIM('indice columnas'!$A$2:$A$100)),'indice columnas'!$B$2:$B$100,""""),
col,IFERROR(MATCH(campo,Referencia!$A$1:$AZ$1,0),0),
fila,IFERROR(MATCH(TO_TEXT(D1997),ARRAYFOR"&amp;"MULA(TO_TEXT(Referencia!$A$2:$A6238)),0),0),
IF(OR(campo="""",campo=""-""),""NO APLICA"",
IF(col=0,""REVISAR EQUIVALENCIA"",
IF(fila=0,""SKU NO ENCONTRADO"",
LET(
valor,INDEX(Referencia!$A$2:$AZ6238,fila,col),
IF(TRIM(TO_TEXT(valor))=TRIM(TO_TEXT(I1997)),"&amp;"
""OK"",
""NO COINCIDE. Valor verdadero: ""&amp;IF(valor="""",""[VACÍO]"",TO_TEXT(valor))
)
))))
),""ERROR EN FÓRMULA""))"),"NO APLICA")</f>
        <v>NO APLICA</v>
      </c>
    </row>
    <row r="1998">
      <c r="A1998" s="83" t="s">
        <v>4618</v>
      </c>
      <c r="B1998" s="83" t="s">
        <v>4619</v>
      </c>
      <c r="C1998" s="81" t="s">
        <v>4621</v>
      </c>
      <c r="D1998" s="83" t="s">
        <v>4749</v>
      </c>
      <c r="E1998" s="81" t="s">
        <v>3596</v>
      </c>
      <c r="F1998" s="84">
        <v>679.0</v>
      </c>
      <c r="G1998" s="81" t="s">
        <v>44</v>
      </c>
      <c r="H1998" s="81" t="s">
        <v>224</v>
      </c>
      <c r="I1998" s="81" t="s">
        <v>1923</v>
      </c>
      <c r="J1998" s="81" t="s">
        <v>4088</v>
      </c>
      <c r="K1998" s="81" t="str">
        <f>IFERROR(__xludf.DUMMYFUNCTION("IF(OR(D1998="""",G1998=""""),"""",IFERROR(LET(
campo,XLOOKUP(TRIM(G1998),ARRAYFORMULA(TRIM('indice columnas'!$A$2:$A$100)),'indice columnas'!$B$2:$B$100,""""),
col,IFERROR(MATCH(campo,Referencia!$A$1:$AZ$1,0),0),
fila,IFERROR(MATCH(TO_TEXT(D1998),ARRAYFOR"&amp;"MULA(TO_TEXT(Referencia!$A$2:$A6238)),0),0),
IF(OR(campo="""",campo=""-""),""NO APLICA"",
IF(col=0,""REVISAR EQUIVALENCIA"",
IF(fila=0,""SKU NO ENCONTRADO"",
LET(
valor,INDEX(Referencia!$A$2:$AZ6238,fila,col),
IF(TRIM(TO_TEXT(valor))=TRIM(TO_TEXT(I1998)),"&amp;"
""OK"",
""NO COINCIDE. Valor verdadero: ""&amp;IF(valor="""",""[VACÍO]"",TO_TEXT(valor))
)
))))
),""ERROR EN FÓRMULA""))"),"NO APLICA")</f>
        <v>NO APLICA</v>
      </c>
    </row>
    <row r="1999">
      <c r="A1999" s="83" t="s">
        <v>4618</v>
      </c>
      <c r="B1999" s="83" t="s">
        <v>4619</v>
      </c>
      <c r="C1999" s="81" t="s">
        <v>4621</v>
      </c>
      <c r="D1999" s="83" t="s">
        <v>4750</v>
      </c>
      <c r="E1999" s="81" t="s">
        <v>3597</v>
      </c>
      <c r="F1999" s="84">
        <v>680.0</v>
      </c>
      <c r="G1999" s="81" t="s">
        <v>12</v>
      </c>
      <c r="H1999" s="81" t="s">
        <v>224</v>
      </c>
      <c r="I1999" s="81" t="s">
        <v>55</v>
      </c>
      <c r="J1999" s="81" t="s">
        <v>224</v>
      </c>
      <c r="K1999" s="81" t="str">
        <f>IFERROR(__xludf.DUMMYFUNCTION("IF(OR(D1999="""",G1999=""""),"""",IFERROR(LET(
campo,XLOOKUP(TRIM(G1999),ARRAYFORMULA(TRIM('indice columnas'!$A$2:$A$100)),'indice columnas'!$B$2:$B$100,""""),
col,IFERROR(MATCH(campo,Referencia!$A$1:$AZ$1,0),0),
fila,IFERROR(MATCH(TO_TEXT(D1999),ARRAYFOR"&amp;"MULA(TO_TEXT(Referencia!$A$2:$A6238)),0),0),
IF(OR(campo="""",campo=""-""),""NO APLICA"",
IF(col=0,""REVISAR EQUIVALENCIA"",
IF(fila=0,""SKU NO ENCONTRADO"",
LET(
valor,INDEX(Referencia!$A$2:$AZ6238,fila,col),
IF(TRIM(TO_TEXT(valor))=TRIM(TO_TEXT(I1999)),"&amp;"
""OK"",
""NO COINCIDE. Valor verdadero: ""&amp;IF(valor="""",""[VACÍO]"",TO_TEXT(valor))
)
))))
),""ERROR EN FÓRMULA""))"),"OK")</f>
        <v>OK</v>
      </c>
    </row>
    <row r="2000">
      <c r="A2000" s="83" t="s">
        <v>4618</v>
      </c>
      <c r="B2000" s="83" t="s">
        <v>4619</v>
      </c>
      <c r="C2000" s="81" t="s">
        <v>4621</v>
      </c>
      <c r="D2000" s="83" t="s">
        <v>4750</v>
      </c>
      <c r="E2000" s="81" t="s">
        <v>3597</v>
      </c>
      <c r="F2000" s="84">
        <v>680.0</v>
      </c>
      <c r="G2000" s="81" t="s">
        <v>44</v>
      </c>
      <c r="H2000" s="81" t="s">
        <v>224</v>
      </c>
      <c r="I2000" s="81" t="s">
        <v>1923</v>
      </c>
      <c r="J2000" s="81" t="s">
        <v>4088</v>
      </c>
      <c r="K2000" s="81" t="str">
        <f>IFERROR(__xludf.DUMMYFUNCTION("IF(OR(D2000="""",G2000=""""),"""",IFERROR(LET(
campo,XLOOKUP(TRIM(G2000),ARRAYFORMULA(TRIM('indice columnas'!$A$2:$A$100)),'indice columnas'!$B$2:$B$100,""""),
col,IFERROR(MATCH(campo,Referencia!$A$1:$AZ$1,0),0),
fila,IFERROR(MATCH(TO_TEXT(D2000),ARRAYFOR"&amp;"MULA(TO_TEXT(Referencia!$A$2:$A6238)),0),0),
IF(OR(campo="""",campo=""-""),""NO APLICA"",
IF(col=0,""REVISAR EQUIVALENCIA"",
IF(fila=0,""SKU NO ENCONTRADO"",
LET(
valor,INDEX(Referencia!$A$2:$AZ6238,fila,col),
IF(TRIM(TO_TEXT(valor))=TRIM(TO_TEXT(I2000)),"&amp;"
""OK"",
""NO COINCIDE. Valor verdadero: ""&amp;IF(valor="""",""[VACÍO]"",TO_TEXT(valor))
)
))))
),""ERROR EN FÓRMULA""))"),"NO APLICA")</f>
        <v>NO APLICA</v>
      </c>
    </row>
    <row r="2001">
      <c r="A2001" s="83" t="s">
        <v>4618</v>
      </c>
      <c r="B2001" s="83" t="s">
        <v>4619</v>
      </c>
      <c r="C2001" s="81" t="s">
        <v>4621</v>
      </c>
      <c r="D2001" s="83" t="s">
        <v>4751</v>
      </c>
      <c r="E2001" s="81" t="s">
        <v>3600</v>
      </c>
      <c r="F2001" s="84">
        <v>681.0</v>
      </c>
      <c r="G2001" s="81" t="s">
        <v>12</v>
      </c>
      <c r="H2001" s="81" t="s">
        <v>224</v>
      </c>
      <c r="I2001" s="81" t="s">
        <v>55</v>
      </c>
      <c r="J2001" s="81" t="s">
        <v>224</v>
      </c>
      <c r="K2001" s="81" t="str">
        <f>IFERROR(__xludf.DUMMYFUNCTION("IF(OR(D2001="""",G2001=""""),"""",IFERROR(LET(
campo,XLOOKUP(TRIM(G2001),ARRAYFORMULA(TRIM('indice columnas'!$A$2:$A$100)),'indice columnas'!$B$2:$B$100,""""),
col,IFERROR(MATCH(campo,Referencia!$A$1:$AZ$1,0),0),
fila,IFERROR(MATCH(TO_TEXT(D2001),ARRAYFOR"&amp;"MULA(TO_TEXT(Referencia!$A$2:$A6238)),0),0),
IF(OR(campo="""",campo=""-""),""NO APLICA"",
IF(col=0,""REVISAR EQUIVALENCIA"",
IF(fila=0,""SKU NO ENCONTRADO"",
LET(
valor,INDEX(Referencia!$A$2:$AZ6238,fila,col),
IF(TRIM(TO_TEXT(valor))=TRIM(TO_TEXT(I2001)),"&amp;"
""OK"",
""NO COINCIDE. Valor verdadero: ""&amp;IF(valor="""",""[VACÍO]"",TO_TEXT(valor))
)
))))
),""ERROR EN FÓRMULA""))"),"OK")</f>
        <v>OK</v>
      </c>
    </row>
    <row r="2002">
      <c r="A2002" s="83" t="s">
        <v>4618</v>
      </c>
      <c r="B2002" s="83" t="s">
        <v>4619</v>
      </c>
      <c r="C2002" s="81" t="s">
        <v>4621</v>
      </c>
      <c r="D2002" s="83" t="s">
        <v>4751</v>
      </c>
      <c r="E2002" s="81" t="s">
        <v>3600</v>
      </c>
      <c r="F2002" s="84">
        <v>681.0</v>
      </c>
      <c r="G2002" s="81" t="s">
        <v>44</v>
      </c>
      <c r="H2002" s="81" t="s">
        <v>224</v>
      </c>
      <c r="I2002" s="81" t="s">
        <v>924</v>
      </c>
      <c r="J2002" s="81" t="s">
        <v>4088</v>
      </c>
      <c r="K2002" s="81" t="str">
        <f>IFERROR(__xludf.DUMMYFUNCTION("IF(OR(D2002="""",G2002=""""),"""",IFERROR(LET(
campo,XLOOKUP(TRIM(G2002),ARRAYFORMULA(TRIM('indice columnas'!$A$2:$A$100)),'indice columnas'!$B$2:$B$100,""""),
col,IFERROR(MATCH(campo,Referencia!$A$1:$AZ$1,0),0),
fila,IFERROR(MATCH(TO_TEXT(D2002),ARRAYFOR"&amp;"MULA(TO_TEXT(Referencia!$A$2:$A6238)),0),0),
IF(OR(campo="""",campo=""-""),""NO APLICA"",
IF(col=0,""REVISAR EQUIVALENCIA"",
IF(fila=0,""SKU NO ENCONTRADO"",
LET(
valor,INDEX(Referencia!$A$2:$AZ6238,fila,col),
IF(TRIM(TO_TEXT(valor))=TRIM(TO_TEXT(I2002)),"&amp;"
""OK"",
""NO COINCIDE. Valor verdadero: ""&amp;IF(valor="""",""[VACÍO]"",TO_TEXT(valor))
)
))))
),""ERROR EN FÓRMULA""))"),"NO APLICA")</f>
        <v>NO APLICA</v>
      </c>
    </row>
    <row r="2003">
      <c r="A2003" s="83" t="s">
        <v>4618</v>
      </c>
      <c r="B2003" s="83" t="s">
        <v>4619</v>
      </c>
      <c r="C2003" s="81" t="s">
        <v>4621</v>
      </c>
      <c r="D2003" s="83" t="s">
        <v>4752</v>
      </c>
      <c r="E2003" s="81" t="s">
        <v>3605</v>
      </c>
      <c r="F2003" s="84">
        <v>682.0</v>
      </c>
      <c r="G2003" s="81" t="s">
        <v>12</v>
      </c>
      <c r="H2003" s="81" t="s">
        <v>224</v>
      </c>
      <c r="I2003" s="81" t="s">
        <v>55</v>
      </c>
      <c r="J2003" s="81" t="s">
        <v>224</v>
      </c>
      <c r="K2003" s="81" t="str">
        <f>IFERROR(__xludf.DUMMYFUNCTION("IF(OR(D2003="""",G2003=""""),"""",IFERROR(LET(
campo,XLOOKUP(TRIM(G2003),ARRAYFORMULA(TRIM('indice columnas'!$A$2:$A$100)),'indice columnas'!$B$2:$B$100,""""),
col,IFERROR(MATCH(campo,Referencia!$A$1:$AZ$1,0),0),
fila,IFERROR(MATCH(TO_TEXT(D2003),ARRAYFOR"&amp;"MULA(TO_TEXT(Referencia!$A$2:$A6238)),0),0),
IF(OR(campo="""",campo=""-""),""NO APLICA"",
IF(col=0,""REVISAR EQUIVALENCIA"",
IF(fila=0,""SKU NO ENCONTRADO"",
LET(
valor,INDEX(Referencia!$A$2:$AZ6238,fila,col),
IF(TRIM(TO_TEXT(valor))=TRIM(TO_TEXT(I2003)),"&amp;"
""OK"",
""NO COINCIDE. Valor verdadero: ""&amp;IF(valor="""",""[VACÍO]"",TO_TEXT(valor))
)
))))
),""ERROR EN FÓRMULA""))"),"OK")</f>
        <v>OK</v>
      </c>
    </row>
    <row r="2004">
      <c r="A2004" s="83" t="s">
        <v>4618</v>
      </c>
      <c r="B2004" s="83" t="s">
        <v>4619</v>
      </c>
      <c r="C2004" s="81" t="s">
        <v>4621</v>
      </c>
      <c r="D2004" s="83" t="s">
        <v>4752</v>
      </c>
      <c r="E2004" s="81" t="s">
        <v>3605</v>
      </c>
      <c r="F2004" s="84">
        <v>682.0</v>
      </c>
      <c r="G2004" s="81" t="s">
        <v>44</v>
      </c>
      <c r="H2004" s="81" t="s">
        <v>224</v>
      </c>
      <c r="I2004" s="81" t="s">
        <v>924</v>
      </c>
      <c r="J2004" s="81" t="s">
        <v>4088</v>
      </c>
      <c r="K2004" s="81" t="str">
        <f>IFERROR(__xludf.DUMMYFUNCTION("IF(OR(D2004="""",G2004=""""),"""",IFERROR(LET(
campo,XLOOKUP(TRIM(G2004),ARRAYFORMULA(TRIM('indice columnas'!$A$2:$A$100)),'indice columnas'!$B$2:$B$100,""""),
col,IFERROR(MATCH(campo,Referencia!$A$1:$AZ$1,0),0),
fila,IFERROR(MATCH(TO_TEXT(D2004),ARRAYFOR"&amp;"MULA(TO_TEXT(Referencia!$A$2:$A6238)),0),0),
IF(OR(campo="""",campo=""-""),""NO APLICA"",
IF(col=0,""REVISAR EQUIVALENCIA"",
IF(fila=0,""SKU NO ENCONTRADO"",
LET(
valor,INDEX(Referencia!$A$2:$AZ6238,fila,col),
IF(TRIM(TO_TEXT(valor))=TRIM(TO_TEXT(I2004)),"&amp;"
""OK"",
""NO COINCIDE. Valor verdadero: ""&amp;IF(valor="""",""[VACÍO]"",TO_TEXT(valor))
)
))))
),""ERROR EN FÓRMULA""))"),"NO APLICA")</f>
        <v>NO APLICA</v>
      </c>
    </row>
    <row r="2005">
      <c r="A2005" s="83" t="s">
        <v>4618</v>
      </c>
      <c r="B2005" s="83" t="s">
        <v>4619</v>
      </c>
      <c r="C2005" s="81" t="s">
        <v>4621</v>
      </c>
      <c r="D2005" s="83" t="s">
        <v>4753</v>
      </c>
      <c r="E2005" s="81" t="s">
        <v>3608</v>
      </c>
      <c r="F2005" s="84">
        <v>683.0</v>
      </c>
      <c r="G2005" s="81" t="s">
        <v>44</v>
      </c>
      <c r="H2005" s="81" t="s">
        <v>224</v>
      </c>
      <c r="I2005" s="81" t="s">
        <v>3608</v>
      </c>
      <c r="J2005" s="81" t="s">
        <v>4088</v>
      </c>
      <c r="K2005" s="81" t="str">
        <f>IFERROR(__xludf.DUMMYFUNCTION("IF(OR(D2005="""",G2005=""""),"""",IFERROR(LET(
campo,XLOOKUP(TRIM(G2005),ARRAYFORMULA(TRIM('indice columnas'!$A$2:$A$100)),'indice columnas'!$B$2:$B$100,""""),
col,IFERROR(MATCH(campo,Referencia!$A$1:$AZ$1,0),0),
fila,IFERROR(MATCH(TO_TEXT(D2005),ARRAYFOR"&amp;"MULA(TO_TEXT(Referencia!$A$2:$A6238)),0),0),
IF(OR(campo="""",campo=""-""),""NO APLICA"",
IF(col=0,""REVISAR EQUIVALENCIA"",
IF(fila=0,""SKU NO ENCONTRADO"",
LET(
valor,INDEX(Referencia!$A$2:$AZ6238,fila,col),
IF(TRIM(TO_TEXT(valor))=TRIM(TO_TEXT(I2005)),"&amp;"
""OK"",
""NO COINCIDE. Valor verdadero: ""&amp;IF(valor="""",""[VACÍO]"",TO_TEXT(valor))
)
))))
),""ERROR EN FÓRMULA""))"),"NO APLICA")</f>
        <v>NO APLICA</v>
      </c>
    </row>
    <row r="2006">
      <c r="A2006" s="83" t="s">
        <v>4618</v>
      </c>
      <c r="B2006" s="83" t="s">
        <v>4619</v>
      </c>
      <c r="C2006" s="81" t="s">
        <v>4621</v>
      </c>
      <c r="D2006" s="83" t="s">
        <v>4754</v>
      </c>
      <c r="E2006" s="81" t="s">
        <v>3621</v>
      </c>
      <c r="F2006" s="84">
        <v>684.0</v>
      </c>
      <c r="G2006" s="81" t="s">
        <v>44</v>
      </c>
      <c r="H2006" s="81" t="s">
        <v>224</v>
      </c>
      <c r="I2006" s="81" t="s">
        <v>3621</v>
      </c>
      <c r="J2006" s="81" t="s">
        <v>4088</v>
      </c>
      <c r="K2006" s="81" t="str">
        <f>IFERROR(__xludf.DUMMYFUNCTION("IF(OR(D2006="""",G2006=""""),"""",IFERROR(LET(
campo,XLOOKUP(TRIM(G2006),ARRAYFORMULA(TRIM('indice columnas'!$A$2:$A$100)),'indice columnas'!$B$2:$B$100,""""),
col,IFERROR(MATCH(campo,Referencia!$A$1:$AZ$1,0),0),
fila,IFERROR(MATCH(TO_TEXT(D2006),ARRAYFOR"&amp;"MULA(TO_TEXT(Referencia!$A$2:$A6238)),0),0),
IF(OR(campo="""",campo=""-""),""NO APLICA"",
IF(col=0,""REVISAR EQUIVALENCIA"",
IF(fila=0,""SKU NO ENCONTRADO"",
LET(
valor,INDEX(Referencia!$A$2:$AZ6238,fila,col),
IF(TRIM(TO_TEXT(valor))=TRIM(TO_TEXT(I2006)),"&amp;"
""OK"",
""NO COINCIDE. Valor verdadero: ""&amp;IF(valor="""",""[VACÍO]"",TO_TEXT(valor))
)
))))
),""ERROR EN FÓRMULA""))"),"NO APLICA")</f>
        <v>NO APLICA</v>
      </c>
    </row>
    <row r="2007">
      <c r="A2007" s="83" t="s">
        <v>4618</v>
      </c>
      <c r="B2007" s="83" t="s">
        <v>4619</v>
      </c>
      <c r="C2007" s="81" t="s">
        <v>4621</v>
      </c>
      <c r="D2007" s="83" t="s">
        <v>4755</v>
      </c>
      <c r="E2007" s="81" t="s">
        <v>3633</v>
      </c>
      <c r="F2007" s="84">
        <v>685.0</v>
      </c>
      <c r="G2007" s="81" t="s">
        <v>7</v>
      </c>
      <c r="H2007" s="81" t="s">
        <v>3623</v>
      </c>
      <c r="I2007" s="81" t="s">
        <v>1134</v>
      </c>
      <c r="J2007" s="81" t="s">
        <v>224</v>
      </c>
      <c r="K2007" s="81" t="str">
        <f>IFERROR(__xludf.DUMMYFUNCTION("IF(OR(D2007="""",G2007=""""),"""",IFERROR(LET(
campo,XLOOKUP(TRIM(G2007),ARRAYFORMULA(TRIM('indice columnas'!$A$2:$A$100)),'indice columnas'!$B$2:$B$100,""""),
col,IFERROR(MATCH(campo,Referencia!$A$1:$AZ$1,0),0),
fila,IFERROR(MATCH(TO_TEXT(D2007),ARRAYFOR"&amp;"MULA(TO_TEXT(Referencia!$A$2:$A6238)),0),0),
IF(OR(campo="""",campo=""-""),""NO APLICA"",
IF(col=0,""REVISAR EQUIVALENCIA"",
IF(fila=0,""SKU NO ENCONTRADO"",
LET(
valor,INDEX(Referencia!$A$2:$AZ6238,fila,col),
IF(TRIM(TO_TEXT(valor))=TRIM(TO_TEXT(I2007)),"&amp;"
""OK"",
""NO COINCIDE. Valor verdadero: ""&amp;IF(valor="""",""[VACÍO]"",TO_TEXT(valor))
)
))))
),""ERROR EN FÓRMULA""))"),"REVISAR EQUIVALENCIA")</f>
        <v>REVISAR EQUIVALENCIA</v>
      </c>
    </row>
    <row r="2008">
      <c r="A2008" s="83" t="s">
        <v>4618</v>
      </c>
      <c r="B2008" s="83" t="s">
        <v>4619</v>
      </c>
      <c r="C2008" s="81" t="s">
        <v>4621</v>
      </c>
      <c r="D2008" s="83" t="s">
        <v>4755</v>
      </c>
      <c r="E2008" s="81" t="s">
        <v>3633</v>
      </c>
      <c r="F2008" s="84">
        <v>685.0</v>
      </c>
      <c r="G2008" s="81" t="s">
        <v>12</v>
      </c>
      <c r="H2008" s="81" t="s">
        <v>224</v>
      </c>
      <c r="I2008" s="81" t="s">
        <v>1549</v>
      </c>
      <c r="J2008" s="81" t="s">
        <v>224</v>
      </c>
      <c r="K2008" s="81" t="str">
        <f>IFERROR(__xludf.DUMMYFUNCTION("IF(OR(D2008="""",G2008=""""),"""",IFERROR(LET(
campo,XLOOKUP(TRIM(G2008),ARRAYFORMULA(TRIM('indice columnas'!$A$2:$A$100)),'indice columnas'!$B$2:$B$100,""""),
col,IFERROR(MATCH(campo,Referencia!$A$1:$AZ$1,0),0),
fila,IFERROR(MATCH(TO_TEXT(D2008),ARRAYFOR"&amp;"MULA(TO_TEXT(Referencia!$A$2:$A6238)),0),0),
IF(OR(campo="""",campo=""-""),""NO APLICA"",
IF(col=0,""REVISAR EQUIVALENCIA"",
IF(fila=0,""SKU NO ENCONTRADO"",
LET(
valor,INDEX(Referencia!$A$2:$AZ6238,fila,col),
IF(TRIM(TO_TEXT(valor))=TRIM(TO_TEXT(I2008)),"&amp;"
""OK"",
""NO COINCIDE. Valor verdadero: ""&amp;IF(valor="""",""[VACÍO]"",TO_TEXT(valor))
)
))))
),""ERROR EN FÓRMULA""))"),"OK")</f>
        <v>OK</v>
      </c>
    </row>
    <row r="2009">
      <c r="A2009" s="83" t="s">
        <v>4618</v>
      </c>
      <c r="B2009" s="83" t="s">
        <v>4619</v>
      </c>
      <c r="C2009" s="81" t="s">
        <v>4621</v>
      </c>
      <c r="D2009" s="83" t="s">
        <v>4755</v>
      </c>
      <c r="E2009" s="81" t="s">
        <v>3633</v>
      </c>
      <c r="F2009" s="84">
        <v>685.0</v>
      </c>
      <c r="G2009" s="81" t="s">
        <v>34</v>
      </c>
      <c r="H2009" s="81" t="s">
        <v>463</v>
      </c>
      <c r="I2009" s="81" t="s">
        <v>112</v>
      </c>
      <c r="J2009" s="81" t="s">
        <v>224</v>
      </c>
      <c r="K2009" s="81" t="str">
        <f>IFERROR(__xludf.DUMMYFUNCTION("IF(OR(D2009="""",G2009=""""),"""",IFERROR(LET(
campo,XLOOKUP(TRIM(G2009),ARRAYFORMULA(TRIM('indice columnas'!$A$2:$A$100)),'indice columnas'!$B$2:$B$100,""""),
col,IFERROR(MATCH(campo,Referencia!$A$1:$AZ$1,0),0),
fila,IFERROR(MATCH(TO_TEXT(D2009),ARRAYFOR"&amp;"MULA(TO_TEXT(Referencia!$A$2:$A6238)),0),0),
IF(OR(campo="""",campo=""-""),""NO APLICA"",
IF(col=0,""REVISAR EQUIVALENCIA"",
IF(fila=0,""SKU NO ENCONTRADO"",
LET(
valor,INDEX(Referencia!$A$2:$AZ6238,fila,col),
IF(TRIM(TO_TEXT(valor))=TRIM(TO_TEXT(I2009)),"&amp;"
""OK"",
""NO COINCIDE. Valor verdadero: ""&amp;IF(valor="""",""[VACÍO]"",TO_TEXT(valor))
)
))))
),""ERROR EN FÓRMULA""))"),"OK")</f>
        <v>OK</v>
      </c>
    </row>
    <row r="2010">
      <c r="A2010" s="83" t="s">
        <v>4618</v>
      </c>
      <c r="B2010" s="83" t="s">
        <v>4619</v>
      </c>
      <c r="C2010" s="81" t="s">
        <v>4621</v>
      </c>
      <c r="D2010" s="83" t="s">
        <v>4755</v>
      </c>
      <c r="E2010" s="81" t="s">
        <v>3633</v>
      </c>
      <c r="F2010" s="84">
        <v>685.0</v>
      </c>
      <c r="G2010" s="81" t="s">
        <v>44</v>
      </c>
      <c r="H2010" s="81" t="s">
        <v>224</v>
      </c>
      <c r="I2010" s="81" t="s">
        <v>3621</v>
      </c>
      <c r="J2010" s="81" t="s">
        <v>4088</v>
      </c>
      <c r="K2010" s="81" t="str">
        <f>IFERROR(__xludf.DUMMYFUNCTION("IF(OR(D2010="""",G2010=""""),"""",IFERROR(LET(
campo,XLOOKUP(TRIM(G2010),ARRAYFORMULA(TRIM('indice columnas'!$A$2:$A$100)),'indice columnas'!$B$2:$B$100,""""),
col,IFERROR(MATCH(campo,Referencia!$A$1:$AZ$1,0),0),
fila,IFERROR(MATCH(TO_TEXT(D2010),ARRAYFOR"&amp;"MULA(TO_TEXT(Referencia!$A$2:$A6238)),0),0),
IF(OR(campo="""",campo=""-""),""NO APLICA"",
IF(col=0,""REVISAR EQUIVALENCIA"",
IF(fila=0,""SKU NO ENCONTRADO"",
LET(
valor,INDEX(Referencia!$A$2:$AZ6238,fila,col),
IF(TRIM(TO_TEXT(valor))=TRIM(TO_TEXT(I2010)),"&amp;"
""OK"",
""NO COINCIDE. Valor verdadero: ""&amp;IF(valor="""",""[VACÍO]"",TO_TEXT(valor))
)
))))
),""ERROR EN FÓRMULA""))"),"NO APLICA")</f>
        <v>NO APLICA</v>
      </c>
    </row>
    <row r="2011">
      <c r="A2011" s="83" t="s">
        <v>4618</v>
      </c>
      <c r="B2011" s="83" t="s">
        <v>4619</v>
      </c>
      <c r="C2011" s="81" t="s">
        <v>4621</v>
      </c>
      <c r="D2011" s="83" t="s">
        <v>4754</v>
      </c>
      <c r="E2011" s="81" t="s">
        <v>3636</v>
      </c>
      <c r="F2011" s="84">
        <v>686.0</v>
      </c>
      <c r="G2011" s="81" t="s">
        <v>7</v>
      </c>
      <c r="H2011" s="81" t="s">
        <v>3623</v>
      </c>
      <c r="I2011" s="81" t="s">
        <v>1134</v>
      </c>
      <c r="J2011" s="81" t="s">
        <v>224</v>
      </c>
      <c r="K2011" s="81" t="str">
        <f>IFERROR(__xludf.DUMMYFUNCTION("IF(OR(D2011="""",G2011=""""),"""",IFERROR(LET(
campo,XLOOKUP(TRIM(G2011),ARRAYFORMULA(TRIM('indice columnas'!$A$2:$A$100)),'indice columnas'!$B$2:$B$100,""""),
col,IFERROR(MATCH(campo,Referencia!$A$1:$AZ$1,0),0),
fila,IFERROR(MATCH(TO_TEXT(D2011),ARRAYFOR"&amp;"MULA(TO_TEXT(Referencia!$A$2:$A6238)),0),0),
IF(OR(campo="""",campo=""-""),""NO APLICA"",
IF(col=0,""REVISAR EQUIVALENCIA"",
IF(fila=0,""SKU NO ENCONTRADO"",
LET(
valor,INDEX(Referencia!$A$2:$AZ6238,fila,col),
IF(TRIM(TO_TEXT(valor))=TRIM(TO_TEXT(I2011)),"&amp;"
""OK"",
""NO COINCIDE. Valor verdadero: ""&amp;IF(valor="""",""[VACÍO]"",TO_TEXT(valor))
)
))))
),""ERROR EN FÓRMULA""))"),"REVISAR EQUIVALENCIA")</f>
        <v>REVISAR EQUIVALENCIA</v>
      </c>
    </row>
    <row r="2012">
      <c r="A2012" s="83" t="s">
        <v>4618</v>
      </c>
      <c r="B2012" s="83" t="s">
        <v>4619</v>
      </c>
      <c r="C2012" s="81" t="s">
        <v>4621</v>
      </c>
      <c r="D2012" s="83" t="s">
        <v>4754</v>
      </c>
      <c r="E2012" s="81" t="s">
        <v>3636</v>
      </c>
      <c r="F2012" s="84">
        <v>686.0</v>
      </c>
      <c r="G2012" s="81" t="s">
        <v>12</v>
      </c>
      <c r="H2012" s="81" t="s">
        <v>224</v>
      </c>
      <c r="I2012" s="81" t="s">
        <v>1549</v>
      </c>
      <c r="J2012" s="81" t="s">
        <v>224</v>
      </c>
      <c r="K2012" s="81" t="str">
        <f>IFERROR(__xludf.DUMMYFUNCTION("IF(OR(D2012="""",G2012=""""),"""",IFERROR(LET(
campo,XLOOKUP(TRIM(G2012),ARRAYFORMULA(TRIM('indice columnas'!$A$2:$A$100)),'indice columnas'!$B$2:$B$100,""""),
col,IFERROR(MATCH(campo,Referencia!$A$1:$AZ$1,0),0),
fila,IFERROR(MATCH(TO_TEXT(D2012),ARRAYFOR"&amp;"MULA(TO_TEXT(Referencia!$A$2:$A6238)),0),0),
IF(OR(campo="""",campo=""-""),""NO APLICA"",
IF(col=0,""REVISAR EQUIVALENCIA"",
IF(fila=0,""SKU NO ENCONTRADO"",
LET(
valor,INDEX(Referencia!$A$2:$AZ6238,fila,col),
IF(TRIM(TO_TEXT(valor))=TRIM(TO_TEXT(I2012)),"&amp;"
""OK"",
""NO COINCIDE. Valor verdadero: ""&amp;IF(valor="""",""[VACÍO]"",TO_TEXT(valor))
)
))))
),""ERROR EN FÓRMULA""))"),"OK")</f>
        <v>OK</v>
      </c>
    </row>
    <row r="2013">
      <c r="A2013" s="83" t="s">
        <v>4618</v>
      </c>
      <c r="B2013" s="83" t="s">
        <v>4619</v>
      </c>
      <c r="C2013" s="81" t="s">
        <v>4621</v>
      </c>
      <c r="D2013" s="83" t="s">
        <v>4754</v>
      </c>
      <c r="E2013" s="81" t="s">
        <v>3636</v>
      </c>
      <c r="F2013" s="84">
        <v>686.0</v>
      </c>
      <c r="G2013" s="81" t="s">
        <v>44</v>
      </c>
      <c r="H2013" s="81" t="s">
        <v>224</v>
      </c>
      <c r="I2013" s="81" t="s">
        <v>3621</v>
      </c>
      <c r="J2013" s="81" t="s">
        <v>4088</v>
      </c>
      <c r="K2013" s="81" t="str">
        <f>IFERROR(__xludf.DUMMYFUNCTION("IF(OR(D2013="""",G2013=""""),"""",IFERROR(LET(
campo,XLOOKUP(TRIM(G2013),ARRAYFORMULA(TRIM('indice columnas'!$A$2:$A$100)),'indice columnas'!$B$2:$B$100,""""),
col,IFERROR(MATCH(campo,Referencia!$A$1:$AZ$1,0),0),
fila,IFERROR(MATCH(TO_TEXT(D2013),ARRAYFOR"&amp;"MULA(TO_TEXT(Referencia!$A$2:$A6238)),0),0),
IF(OR(campo="""",campo=""-""),""NO APLICA"",
IF(col=0,""REVISAR EQUIVALENCIA"",
IF(fila=0,""SKU NO ENCONTRADO"",
LET(
valor,INDEX(Referencia!$A$2:$AZ6238,fila,col),
IF(TRIM(TO_TEXT(valor))=TRIM(TO_TEXT(I2013)),"&amp;"
""OK"",
""NO COINCIDE. Valor verdadero: ""&amp;IF(valor="""",""[VACÍO]"",TO_TEXT(valor))
)
))))
),""ERROR EN FÓRMULA""))"),"NO APLICA")</f>
        <v>NO APLICA</v>
      </c>
    </row>
    <row r="2014">
      <c r="A2014" s="83" t="s">
        <v>4618</v>
      </c>
      <c r="B2014" s="83" t="s">
        <v>4619</v>
      </c>
      <c r="C2014" s="81" t="s">
        <v>4621</v>
      </c>
      <c r="D2014" s="83" t="s">
        <v>4756</v>
      </c>
      <c r="E2014" s="81" t="s">
        <v>3637</v>
      </c>
      <c r="F2014" s="84">
        <v>687.0</v>
      </c>
      <c r="G2014" s="81" t="s">
        <v>7</v>
      </c>
      <c r="H2014" s="81" t="s">
        <v>3623</v>
      </c>
      <c r="I2014" s="81" t="s">
        <v>1134</v>
      </c>
      <c r="J2014" s="81" t="s">
        <v>224</v>
      </c>
      <c r="K2014" s="81" t="str">
        <f>IFERROR(__xludf.DUMMYFUNCTION("IF(OR(D2014="""",G2014=""""),"""",IFERROR(LET(
campo,XLOOKUP(TRIM(G2014),ARRAYFORMULA(TRIM('indice columnas'!$A$2:$A$100)),'indice columnas'!$B$2:$B$100,""""),
col,IFERROR(MATCH(campo,Referencia!$A$1:$AZ$1,0),0),
fila,IFERROR(MATCH(TO_TEXT(D2014),ARRAYFOR"&amp;"MULA(TO_TEXT(Referencia!$A$2:$A6238)),0),0),
IF(OR(campo="""",campo=""-""),""NO APLICA"",
IF(col=0,""REVISAR EQUIVALENCIA"",
IF(fila=0,""SKU NO ENCONTRADO"",
LET(
valor,INDEX(Referencia!$A$2:$AZ6238,fila,col),
IF(TRIM(TO_TEXT(valor))=TRIM(TO_TEXT(I2014)),"&amp;"
""OK"",
""NO COINCIDE. Valor verdadero: ""&amp;IF(valor="""",""[VACÍO]"",TO_TEXT(valor))
)
))))
),""ERROR EN FÓRMULA""))"),"REVISAR EQUIVALENCIA")</f>
        <v>REVISAR EQUIVALENCIA</v>
      </c>
    </row>
    <row r="2015">
      <c r="A2015" s="83" t="s">
        <v>4618</v>
      </c>
      <c r="B2015" s="83" t="s">
        <v>4619</v>
      </c>
      <c r="C2015" s="81" t="s">
        <v>4621</v>
      </c>
      <c r="D2015" s="83" t="s">
        <v>4756</v>
      </c>
      <c r="E2015" s="81" t="s">
        <v>3637</v>
      </c>
      <c r="F2015" s="84">
        <v>687.0</v>
      </c>
      <c r="G2015" s="81" t="s">
        <v>12</v>
      </c>
      <c r="H2015" s="81" t="s">
        <v>224</v>
      </c>
      <c r="I2015" s="81" t="s">
        <v>1549</v>
      </c>
      <c r="J2015" s="81" t="s">
        <v>224</v>
      </c>
      <c r="K2015" s="81" t="str">
        <f>IFERROR(__xludf.DUMMYFUNCTION("IF(OR(D2015="""",G2015=""""),"""",IFERROR(LET(
campo,XLOOKUP(TRIM(G2015),ARRAYFORMULA(TRIM('indice columnas'!$A$2:$A$100)),'indice columnas'!$B$2:$B$100,""""),
col,IFERROR(MATCH(campo,Referencia!$A$1:$AZ$1,0),0),
fila,IFERROR(MATCH(TO_TEXT(D2015),ARRAYFOR"&amp;"MULA(TO_TEXT(Referencia!$A$2:$A6238)),0),0),
IF(OR(campo="""",campo=""-""),""NO APLICA"",
IF(col=0,""REVISAR EQUIVALENCIA"",
IF(fila=0,""SKU NO ENCONTRADO"",
LET(
valor,INDEX(Referencia!$A$2:$AZ6238,fila,col),
IF(TRIM(TO_TEXT(valor))=TRIM(TO_TEXT(I2015)),"&amp;"
""OK"",
""NO COINCIDE. Valor verdadero: ""&amp;IF(valor="""",""[VACÍO]"",TO_TEXT(valor))
)
))))
),""ERROR EN FÓRMULA""))"),"OK")</f>
        <v>OK</v>
      </c>
    </row>
    <row r="2016">
      <c r="A2016" s="83" t="s">
        <v>4618</v>
      </c>
      <c r="B2016" s="83" t="s">
        <v>4619</v>
      </c>
      <c r="C2016" s="81" t="s">
        <v>4621</v>
      </c>
      <c r="D2016" s="83" t="s">
        <v>4756</v>
      </c>
      <c r="E2016" s="81" t="s">
        <v>3637</v>
      </c>
      <c r="F2016" s="84">
        <v>687.0</v>
      </c>
      <c r="G2016" s="81" t="s">
        <v>44</v>
      </c>
      <c r="H2016" s="81" t="s">
        <v>224</v>
      </c>
      <c r="I2016" s="81" t="s">
        <v>3621</v>
      </c>
      <c r="J2016" s="81" t="s">
        <v>4088</v>
      </c>
      <c r="K2016" s="81" t="str">
        <f>IFERROR(__xludf.DUMMYFUNCTION("IF(OR(D2016="""",G2016=""""),"""",IFERROR(LET(
campo,XLOOKUP(TRIM(G2016),ARRAYFORMULA(TRIM('indice columnas'!$A$2:$A$100)),'indice columnas'!$B$2:$B$100,""""),
col,IFERROR(MATCH(campo,Referencia!$A$1:$AZ$1,0),0),
fila,IFERROR(MATCH(TO_TEXT(D2016),ARRAYFOR"&amp;"MULA(TO_TEXT(Referencia!$A$2:$A6238)),0),0),
IF(OR(campo="""",campo=""-""),""NO APLICA"",
IF(col=0,""REVISAR EQUIVALENCIA"",
IF(fila=0,""SKU NO ENCONTRADO"",
LET(
valor,INDEX(Referencia!$A$2:$AZ6238,fila,col),
IF(TRIM(TO_TEXT(valor))=TRIM(TO_TEXT(I2016)),"&amp;"
""OK"",
""NO COINCIDE. Valor verdadero: ""&amp;IF(valor="""",""[VACÍO]"",TO_TEXT(valor))
)
))))
),""ERROR EN FÓRMULA""))"),"NO APLICA")</f>
        <v>NO APLICA</v>
      </c>
    </row>
    <row r="2017">
      <c r="A2017" s="83" t="s">
        <v>4618</v>
      </c>
      <c r="B2017" s="83" t="s">
        <v>4619</v>
      </c>
      <c r="C2017" s="81" t="s">
        <v>4621</v>
      </c>
      <c r="D2017" s="83" t="s">
        <v>4757</v>
      </c>
      <c r="E2017" s="81" t="s">
        <v>3640</v>
      </c>
      <c r="F2017" s="84">
        <v>688.0</v>
      </c>
      <c r="G2017" s="81" t="s">
        <v>7</v>
      </c>
      <c r="H2017" s="81" t="s">
        <v>3623</v>
      </c>
      <c r="I2017" s="81" t="s">
        <v>1134</v>
      </c>
      <c r="J2017" s="81" t="s">
        <v>224</v>
      </c>
      <c r="K2017" s="81" t="str">
        <f>IFERROR(__xludf.DUMMYFUNCTION("IF(OR(D2017="""",G2017=""""),"""",IFERROR(LET(
campo,XLOOKUP(TRIM(G2017),ARRAYFORMULA(TRIM('indice columnas'!$A$2:$A$100)),'indice columnas'!$B$2:$B$100,""""),
col,IFERROR(MATCH(campo,Referencia!$A$1:$AZ$1,0),0),
fila,IFERROR(MATCH(TO_TEXT(D2017),ARRAYFOR"&amp;"MULA(TO_TEXT(Referencia!$A$2:$A6238)),0),0),
IF(OR(campo="""",campo=""-""),""NO APLICA"",
IF(col=0,""REVISAR EQUIVALENCIA"",
IF(fila=0,""SKU NO ENCONTRADO"",
LET(
valor,INDEX(Referencia!$A$2:$AZ6238,fila,col),
IF(TRIM(TO_TEXT(valor))=TRIM(TO_TEXT(I2017)),"&amp;"
""OK"",
""NO COINCIDE. Valor verdadero: ""&amp;IF(valor="""",""[VACÍO]"",TO_TEXT(valor))
)
))))
),""ERROR EN FÓRMULA""))"),"REVISAR EQUIVALENCIA")</f>
        <v>REVISAR EQUIVALENCIA</v>
      </c>
    </row>
    <row r="2018">
      <c r="A2018" s="83" t="s">
        <v>4618</v>
      </c>
      <c r="B2018" s="83" t="s">
        <v>4619</v>
      </c>
      <c r="C2018" s="81" t="s">
        <v>4621</v>
      </c>
      <c r="D2018" s="83" t="s">
        <v>4757</v>
      </c>
      <c r="E2018" s="81" t="s">
        <v>3640</v>
      </c>
      <c r="F2018" s="84">
        <v>688.0</v>
      </c>
      <c r="G2018" s="81" t="s">
        <v>12</v>
      </c>
      <c r="H2018" s="81" t="s">
        <v>224</v>
      </c>
      <c r="I2018" s="81" t="s">
        <v>1549</v>
      </c>
      <c r="J2018" s="81" t="s">
        <v>224</v>
      </c>
      <c r="K2018" s="81" t="str">
        <f>IFERROR(__xludf.DUMMYFUNCTION("IF(OR(D2018="""",G2018=""""),"""",IFERROR(LET(
campo,XLOOKUP(TRIM(G2018),ARRAYFORMULA(TRIM('indice columnas'!$A$2:$A$100)),'indice columnas'!$B$2:$B$100,""""),
col,IFERROR(MATCH(campo,Referencia!$A$1:$AZ$1,0),0),
fila,IFERROR(MATCH(TO_TEXT(D2018),ARRAYFOR"&amp;"MULA(TO_TEXT(Referencia!$A$2:$A6238)),0),0),
IF(OR(campo="""",campo=""-""),""NO APLICA"",
IF(col=0,""REVISAR EQUIVALENCIA"",
IF(fila=0,""SKU NO ENCONTRADO"",
LET(
valor,INDEX(Referencia!$A$2:$AZ6238,fila,col),
IF(TRIM(TO_TEXT(valor))=TRIM(TO_TEXT(I2018)),"&amp;"
""OK"",
""NO COINCIDE. Valor verdadero: ""&amp;IF(valor="""",""[VACÍO]"",TO_TEXT(valor))
)
))))
),""ERROR EN FÓRMULA""))"),"OK")</f>
        <v>OK</v>
      </c>
    </row>
    <row r="2019">
      <c r="A2019" s="83" t="s">
        <v>4618</v>
      </c>
      <c r="B2019" s="83" t="s">
        <v>4619</v>
      </c>
      <c r="C2019" s="81" t="s">
        <v>4621</v>
      </c>
      <c r="D2019" s="83" t="s">
        <v>4757</v>
      </c>
      <c r="E2019" s="81" t="s">
        <v>3640</v>
      </c>
      <c r="F2019" s="84">
        <v>688.0</v>
      </c>
      <c r="G2019" s="81" t="s">
        <v>44</v>
      </c>
      <c r="H2019" s="81" t="s">
        <v>224</v>
      </c>
      <c r="I2019" s="81" t="s">
        <v>3621</v>
      </c>
      <c r="J2019" s="81" t="s">
        <v>4088</v>
      </c>
      <c r="K2019" s="81" t="str">
        <f>IFERROR(__xludf.DUMMYFUNCTION("IF(OR(D2019="""",G2019=""""),"""",IFERROR(LET(
campo,XLOOKUP(TRIM(G2019),ARRAYFORMULA(TRIM('indice columnas'!$A$2:$A$100)),'indice columnas'!$B$2:$B$100,""""),
col,IFERROR(MATCH(campo,Referencia!$A$1:$AZ$1,0),0),
fila,IFERROR(MATCH(TO_TEXT(D2019),ARRAYFOR"&amp;"MULA(TO_TEXT(Referencia!$A$2:$A6238)),0),0),
IF(OR(campo="""",campo=""-""),""NO APLICA"",
IF(col=0,""REVISAR EQUIVALENCIA"",
IF(fila=0,""SKU NO ENCONTRADO"",
LET(
valor,INDEX(Referencia!$A$2:$AZ6238,fila,col),
IF(TRIM(TO_TEXT(valor))=TRIM(TO_TEXT(I2019)),"&amp;"
""OK"",
""NO COINCIDE. Valor verdadero: ""&amp;IF(valor="""",""[VACÍO]"",TO_TEXT(valor))
)
))))
),""ERROR EN FÓRMULA""))"),"NO APLICA")</f>
        <v>NO APLICA</v>
      </c>
    </row>
    <row r="2020">
      <c r="A2020" s="83" t="s">
        <v>4618</v>
      </c>
      <c r="B2020" s="83" t="s">
        <v>4619</v>
      </c>
      <c r="C2020" s="81" t="s">
        <v>4621</v>
      </c>
      <c r="D2020" s="83" t="s">
        <v>4758</v>
      </c>
      <c r="E2020" s="81" t="s">
        <v>3643</v>
      </c>
      <c r="F2020" s="84">
        <v>689.0</v>
      </c>
      <c r="G2020" s="81" t="s">
        <v>7</v>
      </c>
      <c r="H2020" s="81" t="s">
        <v>3623</v>
      </c>
      <c r="I2020" s="81" t="s">
        <v>1134</v>
      </c>
      <c r="J2020" s="81" t="s">
        <v>224</v>
      </c>
      <c r="K2020" s="81" t="str">
        <f>IFERROR(__xludf.DUMMYFUNCTION("IF(OR(D2020="""",G2020=""""),"""",IFERROR(LET(
campo,XLOOKUP(TRIM(G2020),ARRAYFORMULA(TRIM('indice columnas'!$A$2:$A$100)),'indice columnas'!$B$2:$B$100,""""),
col,IFERROR(MATCH(campo,Referencia!$A$1:$AZ$1,0),0),
fila,IFERROR(MATCH(TO_TEXT(D2020),ARRAYFOR"&amp;"MULA(TO_TEXT(Referencia!$A$2:$A6238)),0),0),
IF(OR(campo="""",campo=""-""),""NO APLICA"",
IF(col=0,""REVISAR EQUIVALENCIA"",
IF(fila=0,""SKU NO ENCONTRADO"",
LET(
valor,INDEX(Referencia!$A$2:$AZ6238,fila,col),
IF(TRIM(TO_TEXT(valor))=TRIM(TO_TEXT(I2020)),"&amp;"
""OK"",
""NO COINCIDE. Valor verdadero: ""&amp;IF(valor="""",""[VACÍO]"",TO_TEXT(valor))
)
))))
),""ERROR EN FÓRMULA""))"),"REVISAR EQUIVALENCIA")</f>
        <v>REVISAR EQUIVALENCIA</v>
      </c>
    </row>
    <row r="2021">
      <c r="A2021" s="83" t="s">
        <v>4618</v>
      </c>
      <c r="B2021" s="83" t="s">
        <v>4619</v>
      </c>
      <c r="C2021" s="81" t="s">
        <v>4621</v>
      </c>
      <c r="D2021" s="83" t="s">
        <v>4758</v>
      </c>
      <c r="E2021" s="81" t="s">
        <v>3643</v>
      </c>
      <c r="F2021" s="84">
        <v>689.0</v>
      </c>
      <c r="G2021" s="81" t="s">
        <v>12</v>
      </c>
      <c r="H2021" s="81" t="s">
        <v>224</v>
      </c>
      <c r="I2021" s="81" t="s">
        <v>1549</v>
      </c>
      <c r="J2021" s="81" t="s">
        <v>224</v>
      </c>
      <c r="K2021" s="81" t="str">
        <f>IFERROR(__xludf.DUMMYFUNCTION("IF(OR(D2021="""",G2021=""""),"""",IFERROR(LET(
campo,XLOOKUP(TRIM(G2021),ARRAYFORMULA(TRIM('indice columnas'!$A$2:$A$100)),'indice columnas'!$B$2:$B$100,""""),
col,IFERROR(MATCH(campo,Referencia!$A$1:$AZ$1,0),0),
fila,IFERROR(MATCH(TO_TEXT(D2021),ARRAYFOR"&amp;"MULA(TO_TEXT(Referencia!$A$2:$A6238)),0),0),
IF(OR(campo="""",campo=""-""),""NO APLICA"",
IF(col=0,""REVISAR EQUIVALENCIA"",
IF(fila=0,""SKU NO ENCONTRADO"",
LET(
valor,INDEX(Referencia!$A$2:$AZ6238,fila,col),
IF(TRIM(TO_TEXT(valor))=TRIM(TO_TEXT(I2021)),"&amp;"
""OK"",
""NO COINCIDE. Valor verdadero: ""&amp;IF(valor="""",""[VACÍO]"",TO_TEXT(valor))
)
))))
),""ERROR EN FÓRMULA""))"),"OK")</f>
        <v>OK</v>
      </c>
    </row>
    <row r="2022">
      <c r="A2022" s="83" t="s">
        <v>4618</v>
      </c>
      <c r="B2022" s="83" t="s">
        <v>4619</v>
      </c>
      <c r="C2022" s="81" t="s">
        <v>4621</v>
      </c>
      <c r="D2022" s="83" t="s">
        <v>4758</v>
      </c>
      <c r="E2022" s="81" t="s">
        <v>3643</v>
      </c>
      <c r="F2022" s="84">
        <v>689.0</v>
      </c>
      <c r="G2022" s="81" t="s">
        <v>44</v>
      </c>
      <c r="H2022" s="81" t="s">
        <v>224</v>
      </c>
      <c r="I2022" s="81" t="s">
        <v>3621</v>
      </c>
      <c r="J2022" s="81" t="s">
        <v>4088</v>
      </c>
      <c r="K2022" s="81" t="str">
        <f>IFERROR(__xludf.DUMMYFUNCTION("IF(OR(D2022="""",G2022=""""),"""",IFERROR(LET(
campo,XLOOKUP(TRIM(G2022),ARRAYFORMULA(TRIM('indice columnas'!$A$2:$A$100)),'indice columnas'!$B$2:$B$100,""""),
col,IFERROR(MATCH(campo,Referencia!$A$1:$AZ$1,0),0),
fila,IFERROR(MATCH(TO_TEXT(D2022),ARRAYFOR"&amp;"MULA(TO_TEXT(Referencia!$A$2:$A6238)),0),0),
IF(OR(campo="""",campo=""-""),""NO APLICA"",
IF(col=0,""REVISAR EQUIVALENCIA"",
IF(fila=0,""SKU NO ENCONTRADO"",
LET(
valor,INDEX(Referencia!$A$2:$AZ6238,fila,col),
IF(TRIM(TO_TEXT(valor))=TRIM(TO_TEXT(I2022)),"&amp;"
""OK"",
""NO COINCIDE. Valor verdadero: ""&amp;IF(valor="""",""[VACÍO]"",TO_TEXT(valor))
)
))))
),""ERROR EN FÓRMULA""))"),"NO APLICA")</f>
        <v>NO APLICA</v>
      </c>
    </row>
    <row r="2023">
      <c r="A2023" s="83" t="s">
        <v>4618</v>
      </c>
      <c r="B2023" s="83" t="s">
        <v>4619</v>
      </c>
      <c r="C2023" s="81" t="s">
        <v>4621</v>
      </c>
      <c r="D2023" s="83" t="s">
        <v>4759</v>
      </c>
      <c r="E2023" s="81" t="s">
        <v>3646</v>
      </c>
      <c r="F2023" s="84">
        <v>690.0</v>
      </c>
      <c r="G2023" s="81" t="s">
        <v>7</v>
      </c>
      <c r="H2023" s="81" t="s">
        <v>3623</v>
      </c>
      <c r="I2023" s="81" t="s">
        <v>1134</v>
      </c>
      <c r="J2023" s="81" t="s">
        <v>224</v>
      </c>
      <c r="K2023" s="81" t="str">
        <f>IFERROR(__xludf.DUMMYFUNCTION("IF(OR(D2023="""",G2023=""""),"""",IFERROR(LET(
campo,XLOOKUP(TRIM(G2023),ARRAYFORMULA(TRIM('indice columnas'!$A$2:$A$100)),'indice columnas'!$B$2:$B$100,""""),
col,IFERROR(MATCH(campo,Referencia!$A$1:$AZ$1,0),0),
fila,IFERROR(MATCH(TO_TEXT(D2023),ARRAYFOR"&amp;"MULA(TO_TEXT(Referencia!$A$2:$A6238)),0),0),
IF(OR(campo="""",campo=""-""),""NO APLICA"",
IF(col=0,""REVISAR EQUIVALENCIA"",
IF(fila=0,""SKU NO ENCONTRADO"",
LET(
valor,INDEX(Referencia!$A$2:$AZ6238,fila,col),
IF(TRIM(TO_TEXT(valor))=TRIM(TO_TEXT(I2023)),"&amp;"
""OK"",
""NO COINCIDE. Valor verdadero: ""&amp;IF(valor="""",""[VACÍO]"",TO_TEXT(valor))
)
))))
),""ERROR EN FÓRMULA""))"),"REVISAR EQUIVALENCIA")</f>
        <v>REVISAR EQUIVALENCIA</v>
      </c>
    </row>
    <row r="2024">
      <c r="A2024" s="83" t="s">
        <v>4618</v>
      </c>
      <c r="B2024" s="83" t="s">
        <v>4619</v>
      </c>
      <c r="C2024" s="81" t="s">
        <v>4621</v>
      </c>
      <c r="D2024" s="83" t="s">
        <v>4759</v>
      </c>
      <c r="E2024" s="81" t="s">
        <v>3646</v>
      </c>
      <c r="F2024" s="84">
        <v>690.0</v>
      </c>
      <c r="G2024" s="81" t="s">
        <v>12</v>
      </c>
      <c r="H2024" s="81" t="s">
        <v>224</v>
      </c>
      <c r="I2024" s="81" t="s">
        <v>1549</v>
      </c>
      <c r="J2024" s="81" t="s">
        <v>224</v>
      </c>
      <c r="K2024" s="81" t="str">
        <f>IFERROR(__xludf.DUMMYFUNCTION("IF(OR(D2024="""",G2024=""""),"""",IFERROR(LET(
campo,XLOOKUP(TRIM(G2024),ARRAYFORMULA(TRIM('indice columnas'!$A$2:$A$100)),'indice columnas'!$B$2:$B$100,""""),
col,IFERROR(MATCH(campo,Referencia!$A$1:$AZ$1,0),0),
fila,IFERROR(MATCH(TO_TEXT(D2024),ARRAYFOR"&amp;"MULA(TO_TEXT(Referencia!$A$2:$A6238)),0),0),
IF(OR(campo="""",campo=""-""),""NO APLICA"",
IF(col=0,""REVISAR EQUIVALENCIA"",
IF(fila=0,""SKU NO ENCONTRADO"",
LET(
valor,INDEX(Referencia!$A$2:$AZ6238,fila,col),
IF(TRIM(TO_TEXT(valor))=TRIM(TO_TEXT(I2024)),"&amp;"
""OK"",
""NO COINCIDE. Valor verdadero: ""&amp;IF(valor="""",""[VACÍO]"",TO_TEXT(valor))
)
))))
),""ERROR EN FÓRMULA""))"),"OK")</f>
        <v>OK</v>
      </c>
    </row>
    <row r="2025">
      <c r="A2025" s="83" t="s">
        <v>4618</v>
      </c>
      <c r="B2025" s="83" t="s">
        <v>4619</v>
      </c>
      <c r="C2025" s="81" t="s">
        <v>4621</v>
      </c>
      <c r="D2025" s="83" t="s">
        <v>4759</v>
      </c>
      <c r="E2025" s="81" t="s">
        <v>3646</v>
      </c>
      <c r="F2025" s="84">
        <v>690.0</v>
      </c>
      <c r="G2025" s="81" t="s">
        <v>44</v>
      </c>
      <c r="H2025" s="81" t="s">
        <v>224</v>
      </c>
      <c r="I2025" s="81" t="s">
        <v>3621</v>
      </c>
      <c r="J2025" s="81" t="s">
        <v>4088</v>
      </c>
      <c r="K2025" s="81" t="str">
        <f>IFERROR(__xludf.DUMMYFUNCTION("IF(OR(D2025="""",G2025=""""),"""",IFERROR(LET(
campo,XLOOKUP(TRIM(G2025),ARRAYFORMULA(TRIM('indice columnas'!$A$2:$A$100)),'indice columnas'!$B$2:$B$100,""""),
col,IFERROR(MATCH(campo,Referencia!$A$1:$AZ$1,0),0),
fila,IFERROR(MATCH(TO_TEXT(D2025),ARRAYFOR"&amp;"MULA(TO_TEXT(Referencia!$A$2:$A6238)),0),0),
IF(OR(campo="""",campo=""-""),""NO APLICA"",
IF(col=0,""REVISAR EQUIVALENCIA"",
IF(fila=0,""SKU NO ENCONTRADO"",
LET(
valor,INDEX(Referencia!$A$2:$AZ6238,fila,col),
IF(TRIM(TO_TEXT(valor))=TRIM(TO_TEXT(I2025)),"&amp;"
""OK"",
""NO COINCIDE. Valor verdadero: ""&amp;IF(valor="""",""[VACÍO]"",TO_TEXT(valor))
)
))))
),""ERROR EN FÓRMULA""))"),"NO APLICA")</f>
        <v>NO APLICA</v>
      </c>
    </row>
    <row r="2026">
      <c r="A2026" s="83" t="s">
        <v>4618</v>
      </c>
      <c r="B2026" s="83" t="s">
        <v>4619</v>
      </c>
      <c r="C2026" s="81" t="s">
        <v>4621</v>
      </c>
      <c r="D2026" s="83" t="s">
        <v>4760</v>
      </c>
      <c r="E2026" s="81" t="s">
        <v>3649</v>
      </c>
      <c r="F2026" s="84">
        <v>691.0</v>
      </c>
      <c r="G2026" s="81" t="s">
        <v>44</v>
      </c>
      <c r="H2026" s="81" t="s">
        <v>224</v>
      </c>
      <c r="I2026" s="81" t="s">
        <v>3621</v>
      </c>
      <c r="J2026" s="81" t="s">
        <v>4088</v>
      </c>
      <c r="K2026" s="81" t="str">
        <f>IFERROR(__xludf.DUMMYFUNCTION("IF(OR(D2026="""",G2026=""""),"""",IFERROR(LET(
campo,XLOOKUP(TRIM(G2026),ARRAYFORMULA(TRIM('indice columnas'!$A$2:$A$100)),'indice columnas'!$B$2:$B$100,""""),
col,IFERROR(MATCH(campo,Referencia!$A$1:$AZ$1,0),0),
fila,IFERROR(MATCH(TO_TEXT(D2026),ARRAYFOR"&amp;"MULA(TO_TEXT(Referencia!$A$2:$A6238)),0),0),
IF(OR(campo="""",campo=""-""),""NO APLICA"",
IF(col=0,""REVISAR EQUIVALENCIA"",
IF(fila=0,""SKU NO ENCONTRADO"",
LET(
valor,INDEX(Referencia!$A$2:$AZ6238,fila,col),
IF(TRIM(TO_TEXT(valor))=TRIM(TO_TEXT(I2026)),"&amp;"
""OK"",
""NO COINCIDE. Valor verdadero: ""&amp;IF(valor="""",""[VACÍO]"",TO_TEXT(valor))
)
))))
),""ERROR EN FÓRMULA""))"),"NO APLICA")</f>
        <v>NO APLICA</v>
      </c>
    </row>
    <row r="2027">
      <c r="A2027" s="83" t="s">
        <v>4618</v>
      </c>
      <c r="B2027" s="83" t="s">
        <v>4619</v>
      </c>
      <c r="C2027" s="81" t="s">
        <v>4621</v>
      </c>
      <c r="D2027" s="83" t="s">
        <v>4760</v>
      </c>
      <c r="E2027" s="81" t="s">
        <v>3652</v>
      </c>
      <c r="F2027" s="84">
        <v>692.0</v>
      </c>
      <c r="G2027" s="81" t="s">
        <v>7</v>
      </c>
      <c r="H2027" s="81" t="s">
        <v>3623</v>
      </c>
      <c r="I2027" s="81" t="s">
        <v>1134</v>
      </c>
      <c r="J2027" s="81" t="s">
        <v>224</v>
      </c>
      <c r="K2027" s="81" t="str">
        <f>IFERROR(__xludf.DUMMYFUNCTION("IF(OR(D2027="""",G2027=""""),"""",IFERROR(LET(
campo,XLOOKUP(TRIM(G2027),ARRAYFORMULA(TRIM('indice columnas'!$A$2:$A$100)),'indice columnas'!$B$2:$B$100,""""),
col,IFERROR(MATCH(campo,Referencia!$A$1:$AZ$1,0),0),
fila,IFERROR(MATCH(TO_TEXT(D2027),ARRAYFOR"&amp;"MULA(TO_TEXT(Referencia!$A$2:$A6238)),0),0),
IF(OR(campo="""",campo=""-""),""NO APLICA"",
IF(col=0,""REVISAR EQUIVALENCIA"",
IF(fila=0,""SKU NO ENCONTRADO"",
LET(
valor,INDEX(Referencia!$A$2:$AZ6238,fila,col),
IF(TRIM(TO_TEXT(valor))=TRIM(TO_TEXT(I2027)),"&amp;"
""OK"",
""NO COINCIDE. Valor verdadero: ""&amp;IF(valor="""",""[VACÍO]"",TO_TEXT(valor))
)
))))
),""ERROR EN FÓRMULA""))"),"REVISAR EQUIVALENCIA")</f>
        <v>REVISAR EQUIVALENCIA</v>
      </c>
    </row>
    <row r="2028">
      <c r="A2028" s="83" t="s">
        <v>4618</v>
      </c>
      <c r="B2028" s="83" t="s">
        <v>4619</v>
      </c>
      <c r="C2028" s="81" t="s">
        <v>4621</v>
      </c>
      <c r="D2028" s="83" t="s">
        <v>4760</v>
      </c>
      <c r="E2028" s="81" t="s">
        <v>3652</v>
      </c>
      <c r="F2028" s="84">
        <v>692.0</v>
      </c>
      <c r="G2028" s="81" t="s">
        <v>12</v>
      </c>
      <c r="H2028" s="81" t="s">
        <v>224</v>
      </c>
      <c r="I2028" s="81" t="s">
        <v>1549</v>
      </c>
      <c r="J2028" s="81" t="s">
        <v>224</v>
      </c>
      <c r="K2028" s="81" t="str">
        <f>IFERROR(__xludf.DUMMYFUNCTION("IF(OR(D2028="""",G2028=""""),"""",IFERROR(LET(
campo,XLOOKUP(TRIM(G2028),ARRAYFORMULA(TRIM('indice columnas'!$A$2:$A$100)),'indice columnas'!$B$2:$B$100,""""),
col,IFERROR(MATCH(campo,Referencia!$A$1:$AZ$1,0),0),
fila,IFERROR(MATCH(TO_TEXT(D2028),ARRAYFOR"&amp;"MULA(TO_TEXT(Referencia!$A$2:$A6238)),0),0),
IF(OR(campo="""",campo=""-""),""NO APLICA"",
IF(col=0,""REVISAR EQUIVALENCIA"",
IF(fila=0,""SKU NO ENCONTRADO"",
LET(
valor,INDEX(Referencia!$A$2:$AZ6238,fila,col),
IF(TRIM(TO_TEXT(valor))=TRIM(TO_TEXT(I2028)),"&amp;"
""OK"",
""NO COINCIDE. Valor verdadero: ""&amp;IF(valor="""",""[VACÍO]"",TO_TEXT(valor))
)
))))
),""ERROR EN FÓRMULA""))"),"OK")</f>
        <v>OK</v>
      </c>
    </row>
    <row r="2029">
      <c r="A2029" s="83" t="s">
        <v>4618</v>
      </c>
      <c r="B2029" s="83" t="s">
        <v>4619</v>
      </c>
      <c r="C2029" s="81" t="s">
        <v>4621</v>
      </c>
      <c r="D2029" s="83" t="s">
        <v>4760</v>
      </c>
      <c r="E2029" s="81" t="s">
        <v>3652</v>
      </c>
      <c r="F2029" s="84">
        <v>692.0</v>
      </c>
      <c r="G2029" s="81" t="s">
        <v>44</v>
      </c>
      <c r="H2029" s="81" t="s">
        <v>224</v>
      </c>
      <c r="I2029" s="81" t="s">
        <v>3621</v>
      </c>
      <c r="J2029" s="81" t="s">
        <v>4088</v>
      </c>
      <c r="K2029" s="81" t="str">
        <f>IFERROR(__xludf.DUMMYFUNCTION("IF(OR(D2029="""",G2029=""""),"""",IFERROR(LET(
campo,XLOOKUP(TRIM(G2029),ARRAYFORMULA(TRIM('indice columnas'!$A$2:$A$100)),'indice columnas'!$B$2:$B$100,""""),
col,IFERROR(MATCH(campo,Referencia!$A$1:$AZ$1,0),0),
fila,IFERROR(MATCH(TO_TEXT(D2029),ARRAYFOR"&amp;"MULA(TO_TEXT(Referencia!$A$2:$A6238)),0),0),
IF(OR(campo="""",campo=""-""),""NO APLICA"",
IF(col=0,""REVISAR EQUIVALENCIA"",
IF(fila=0,""SKU NO ENCONTRADO"",
LET(
valor,INDEX(Referencia!$A$2:$AZ6238,fila,col),
IF(TRIM(TO_TEXT(valor))=TRIM(TO_TEXT(I2029)),"&amp;"
""OK"",
""NO COINCIDE. Valor verdadero: ""&amp;IF(valor="""",""[VACÍO]"",TO_TEXT(valor))
)
))))
),""ERROR EN FÓRMULA""))"),"NO APLICA")</f>
        <v>NO APLICA</v>
      </c>
    </row>
    <row r="2030">
      <c r="A2030" s="83" t="s">
        <v>4618</v>
      </c>
      <c r="B2030" s="83" t="s">
        <v>4619</v>
      </c>
      <c r="C2030" s="81" t="s">
        <v>4621</v>
      </c>
      <c r="D2030" s="83" t="s">
        <v>4761</v>
      </c>
      <c r="E2030" s="81" t="s">
        <v>3653</v>
      </c>
      <c r="F2030" s="84">
        <v>693.0</v>
      </c>
      <c r="G2030" s="81" t="s">
        <v>7</v>
      </c>
      <c r="H2030" s="81" t="s">
        <v>3623</v>
      </c>
      <c r="I2030" s="81" t="s">
        <v>1134</v>
      </c>
      <c r="J2030" s="81" t="s">
        <v>224</v>
      </c>
      <c r="K2030" s="81" t="str">
        <f>IFERROR(__xludf.DUMMYFUNCTION("IF(OR(D2030="""",G2030=""""),"""",IFERROR(LET(
campo,XLOOKUP(TRIM(G2030),ARRAYFORMULA(TRIM('indice columnas'!$A$2:$A$100)),'indice columnas'!$B$2:$B$100,""""),
col,IFERROR(MATCH(campo,Referencia!$A$1:$AZ$1,0),0),
fila,IFERROR(MATCH(TO_TEXT(D2030),ARRAYFOR"&amp;"MULA(TO_TEXT(Referencia!$A$2:$A6238)),0),0),
IF(OR(campo="""",campo=""-""),""NO APLICA"",
IF(col=0,""REVISAR EQUIVALENCIA"",
IF(fila=0,""SKU NO ENCONTRADO"",
LET(
valor,INDEX(Referencia!$A$2:$AZ6238,fila,col),
IF(TRIM(TO_TEXT(valor))=TRIM(TO_TEXT(I2030)),"&amp;"
""OK"",
""NO COINCIDE. Valor verdadero: ""&amp;IF(valor="""",""[VACÍO]"",TO_TEXT(valor))
)
))))
),""ERROR EN FÓRMULA""))"),"REVISAR EQUIVALENCIA")</f>
        <v>REVISAR EQUIVALENCIA</v>
      </c>
    </row>
    <row r="2031">
      <c r="A2031" s="83" t="s">
        <v>4618</v>
      </c>
      <c r="B2031" s="83" t="s">
        <v>4619</v>
      </c>
      <c r="C2031" s="81" t="s">
        <v>4621</v>
      </c>
      <c r="D2031" s="83" t="s">
        <v>4761</v>
      </c>
      <c r="E2031" s="81" t="s">
        <v>3653</v>
      </c>
      <c r="F2031" s="84">
        <v>693.0</v>
      </c>
      <c r="G2031" s="81" t="s">
        <v>12</v>
      </c>
      <c r="H2031" s="81" t="s">
        <v>224</v>
      </c>
      <c r="I2031" s="81" t="s">
        <v>1549</v>
      </c>
      <c r="J2031" s="81" t="s">
        <v>224</v>
      </c>
      <c r="K2031" s="81" t="str">
        <f>IFERROR(__xludf.DUMMYFUNCTION("IF(OR(D2031="""",G2031=""""),"""",IFERROR(LET(
campo,XLOOKUP(TRIM(G2031),ARRAYFORMULA(TRIM('indice columnas'!$A$2:$A$100)),'indice columnas'!$B$2:$B$100,""""),
col,IFERROR(MATCH(campo,Referencia!$A$1:$AZ$1,0),0),
fila,IFERROR(MATCH(TO_TEXT(D2031),ARRAYFOR"&amp;"MULA(TO_TEXT(Referencia!$A$2:$A6238)),0),0),
IF(OR(campo="""",campo=""-""),""NO APLICA"",
IF(col=0,""REVISAR EQUIVALENCIA"",
IF(fila=0,""SKU NO ENCONTRADO"",
LET(
valor,INDEX(Referencia!$A$2:$AZ6238,fila,col),
IF(TRIM(TO_TEXT(valor))=TRIM(TO_TEXT(I2031)),"&amp;"
""OK"",
""NO COINCIDE. Valor verdadero: ""&amp;IF(valor="""",""[VACÍO]"",TO_TEXT(valor))
)
))))
),""ERROR EN FÓRMULA""))"),"OK")</f>
        <v>OK</v>
      </c>
    </row>
    <row r="2032">
      <c r="A2032" s="83" t="s">
        <v>4618</v>
      </c>
      <c r="B2032" s="83" t="s">
        <v>4619</v>
      </c>
      <c r="C2032" s="81" t="s">
        <v>4621</v>
      </c>
      <c r="D2032" s="83" t="s">
        <v>4761</v>
      </c>
      <c r="E2032" s="81" t="s">
        <v>3653</v>
      </c>
      <c r="F2032" s="84">
        <v>693.0</v>
      </c>
      <c r="G2032" s="81" t="s">
        <v>44</v>
      </c>
      <c r="H2032" s="81" t="s">
        <v>224</v>
      </c>
      <c r="I2032" s="81" t="s">
        <v>3621</v>
      </c>
      <c r="J2032" s="81" t="s">
        <v>4088</v>
      </c>
      <c r="K2032" s="81" t="str">
        <f>IFERROR(__xludf.DUMMYFUNCTION("IF(OR(D2032="""",G2032=""""),"""",IFERROR(LET(
campo,XLOOKUP(TRIM(G2032),ARRAYFORMULA(TRIM('indice columnas'!$A$2:$A$100)),'indice columnas'!$B$2:$B$100,""""),
col,IFERROR(MATCH(campo,Referencia!$A$1:$AZ$1,0),0),
fila,IFERROR(MATCH(TO_TEXT(D2032),ARRAYFOR"&amp;"MULA(TO_TEXT(Referencia!$A$2:$A6238)),0),0),
IF(OR(campo="""",campo=""-""),""NO APLICA"",
IF(col=0,""REVISAR EQUIVALENCIA"",
IF(fila=0,""SKU NO ENCONTRADO"",
LET(
valor,INDEX(Referencia!$A$2:$AZ6238,fila,col),
IF(TRIM(TO_TEXT(valor))=TRIM(TO_TEXT(I2032)),"&amp;"
""OK"",
""NO COINCIDE. Valor verdadero: ""&amp;IF(valor="""",""[VACÍO]"",TO_TEXT(valor))
)
))))
),""ERROR EN FÓRMULA""))"),"NO APLICA")</f>
        <v>NO APLICA</v>
      </c>
    </row>
    <row r="2033">
      <c r="A2033" s="83" t="s">
        <v>4618</v>
      </c>
      <c r="B2033" s="83" t="s">
        <v>4619</v>
      </c>
      <c r="C2033" s="81" t="s">
        <v>4621</v>
      </c>
      <c r="D2033" s="83" t="s">
        <v>4762</v>
      </c>
      <c r="E2033" s="81" t="s">
        <v>3656</v>
      </c>
      <c r="F2033" s="84">
        <v>694.0</v>
      </c>
      <c r="G2033" s="81" t="s">
        <v>7</v>
      </c>
      <c r="H2033" s="81" t="s">
        <v>3623</v>
      </c>
      <c r="I2033" s="81" t="s">
        <v>1134</v>
      </c>
      <c r="J2033" s="81" t="s">
        <v>224</v>
      </c>
      <c r="K2033" s="81" t="str">
        <f>IFERROR(__xludf.DUMMYFUNCTION("IF(OR(D2033="""",G2033=""""),"""",IFERROR(LET(
campo,XLOOKUP(TRIM(G2033),ARRAYFORMULA(TRIM('indice columnas'!$A$2:$A$100)),'indice columnas'!$B$2:$B$100,""""),
col,IFERROR(MATCH(campo,Referencia!$A$1:$AZ$1,0),0),
fila,IFERROR(MATCH(TO_TEXT(D2033),ARRAYFOR"&amp;"MULA(TO_TEXT(Referencia!$A$2:$A6238)),0),0),
IF(OR(campo="""",campo=""-""),""NO APLICA"",
IF(col=0,""REVISAR EQUIVALENCIA"",
IF(fila=0,""SKU NO ENCONTRADO"",
LET(
valor,INDEX(Referencia!$A$2:$AZ6238,fila,col),
IF(TRIM(TO_TEXT(valor))=TRIM(TO_TEXT(I2033)),"&amp;"
""OK"",
""NO COINCIDE. Valor verdadero: ""&amp;IF(valor="""",""[VACÍO]"",TO_TEXT(valor))
)
))))
),""ERROR EN FÓRMULA""))"),"REVISAR EQUIVALENCIA")</f>
        <v>REVISAR EQUIVALENCIA</v>
      </c>
    </row>
    <row r="2034">
      <c r="A2034" s="83" t="s">
        <v>4618</v>
      </c>
      <c r="B2034" s="83" t="s">
        <v>4619</v>
      </c>
      <c r="C2034" s="81" t="s">
        <v>4621</v>
      </c>
      <c r="D2034" s="83" t="s">
        <v>4762</v>
      </c>
      <c r="E2034" s="81" t="s">
        <v>3656</v>
      </c>
      <c r="F2034" s="84">
        <v>694.0</v>
      </c>
      <c r="G2034" s="81" t="s">
        <v>12</v>
      </c>
      <c r="H2034" s="81" t="s">
        <v>224</v>
      </c>
      <c r="I2034" s="81" t="s">
        <v>1549</v>
      </c>
      <c r="J2034" s="81" t="s">
        <v>224</v>
      </c>
      <c r="K2034" s="81" t="str">
        <f>IFERROR(__xludf.DUMMYFUNCTION("IF(OR(D2034="""",G2034=""""),"""",IFERROR(LET(
campo,XLOOKUP(TRIM(G2034),ARRAYFORMULA(TRIM('indice columnas'!$A$2:$A$100)),'indice columnas'!$B$2:$B$100,""""),
col,IFERROR(MATCH(campo,Referencia!$A$1:$AZ$1,0),0),
fila,IFERROR(MATCH(TO_TEXT(D2034),ARRAYFOR"&amp;"MULA(TO_TEXT(Referencia!$A$2:$A6238)),0),0),
IF(OR(campo="""",campo=""-""),""NO APLICA"",
IF(col=0,""REVISAR EQUIVALENCIA"",
IF(fila=0,""SKU NO ENCONTRADO"",
LET(
valor,INDEX(Referencia!$A$2:$AZ6238,fila,col),
IF(TRIM(TO_TEXT(valor))=TRIM(TO_TEXT(I2034)),"&amp;"
""OK"",
""NO COINCIDE. Valor verdadero: ""&amp;IF(valor="""",""[VACÍO]"",TO_TEXT(valor))
)
))))
),""ERROR EN FÓRMULA""))"),"OK")</f>
        <v>OK</v>
      </c>
    </row>
    <row r="2035">
      <c r="A2035" s="83" t="s">
        <v>4618</v>
      </c>
      <c r="B2035" s="83" t="s">
        <v>4619</v>
      </c>
      <c r="C2035" s="81" t="s">
        <v>4621</v>
      </c>
      <c r="D2035" s="83" t="s">
        <v>4762</v>
      </c>
      <c r="E2035" s="81" t="s">
        <v>3656</v>
      </c>
      <c r="F2035" s="84">
        <v>694.0</v>
      </c>
      <c r="G2035" s="81" t="s">
        <v>44</v>
      </c>
      <c r="H2035" s="81" t="s">
        <v>224</v>
      </c>
      <c r="I2035" s="81" t="s">
        <v>3621</v>
      </c>
      <c r="J2035" s="81" t="s">
        <v>4088</v>
      </c>
      <c r="K2035" s="81" t="str">
        <f>IFERROR(__xludf.DUMMYFUNCTION("IF(OR(D2035="""",G2035=""""),"""",IFERROR(LET(
campo,XLOOKUP(TRIM(G2035),ARRAYFORMULA(TRIM('indice columnas'!$A$2:$A$100)),'indice columnas'!$B$2:$B$100,""""),
col,IFERROR(MATCH(campo,Referencia!$A$1:$AZ$1,0),0),
fila,IFERROR(MATCH(TO_TEXT(D2035),ARRAYFOR"&amp;"MULA(TO_TEXT(Referencia!$A$2:$A6238)),0),0),
IF(OR(campo="""",campo=""-""),""NO APLICA"",
IF(col=0,""REVISAR EQUIVALENCIA"",
IF(fila=0,""SKU NO ENCONTRADO"",
LET(
valor,INDEX(Referencia!$A$2:$AZ6238,fila,col),
IF(TRIM(TO_TEXT(valor))=TRIM(TO_TEXT(I2035)),"&amp;"
""OK"",
""NO COINCIDE. Valor verdadero: ""&amp;IF(valor="""",""[VACÍO]"",TO_TEXT(valor))
)
))))
),""ERROR EN FÓRMULA""))"),"NO APLICA")</f>
        <v>NO APLICA</v>
      </c>
    </row>
    <row r="2036">
      <c r="A2036" s="83" t="s">
        <v>4618</v>
      </c>
      <c r="B2036" s="83" t="s">
        <v>4619</v>
      </c>
      <c r="C2036" s="81" t="s">
        <v>4621</v>
      </c>
      <c r="D2036" s="83" t="s">
        <v>4763</v>
      </c>
      <c r="E2036" s="81" t="s">
        <v>3659</v>
      </c>
      <c r="F2036" s="84">
        <v>695.0</v>
      </c>
      <c r="G2036" s="81" t="s">
        <v>7</v>
      </c>
      <c r="H2036" s="81" t="s">
        <v>3623</v>
      </c>
      <c r="I2036" s="81" t="s">
        <v>1134</v>
      </c>
      <c r="J2036" s="81" t="s">
        <v>224</v>
      </c>
      <c r="K2036" s="81" t="str">
        <f>IFERROR(__xludf.DUMMYFUNCTION("IF(OR(D2036="""",G2036=""""),"""",IFERROR(LET(
campo,XLOOKUP(TRIM(G2036),ARRAYFORMULA(TRIM('indice columnas'!$A$2:$A$100)),'indice columnas'!$B$2:$B$100,""""),
col,IFERROR(MATCH(campo,Referencia!$A$1:$AZ$1,0),0),
fila,IFERROR(MATCH(TO_TEXT(D2036),ARRAYFOR"&amp;"MULA(TO_TEXT(Referencia!$A$2:$A6238)),0),0),
IF(OR(campo="""",campo=""-""),""NO APLICA"",
IF(col=0,""REVISAR EQUIVALENCIA"",
IF(fila=0,""SKU NO ENCONTRADO"",
LET(
valor,INDEX(Referencia!$A$2:$AZ6238,fila,col),
IF(TRIM(TO_TEXT(valor))=TRIM(TO_TEXT(I2036)),"&amp;"
""OK"",
""NO COINCIDE. Valor verdadero: ""&amp;IF(valor="""",""[VACÍO]"",TO_TEXT(valor))
)
))))
),""ERROR EN FÓRMULA""))"),"REVISAR EQUIVALENCIA")</f>
        <v>REVISAR EQUIVALENCIA</v>
      </c>
    </row>
    <row r="2037">
      <c r="A2037" s="83" t="s">
        <v>4618</v>
      </c>
      <c r="B2037" s="83" t="s">
        <v>4619</v>
      </c>
      <c r="C2037" s="81" t="s">
        <v>4621</v>
      </c>
      <c r="D2037" s="83" t="s">
        <v>4763</v>
      </c>
      <c r="E2037" s="81" t="s">
        <v>3659</v>
      </c>
      <c r="F2037" s="84">
        <v>695.0</v>
      </c>
      <c r="G2037" s="81" t="s">
        <v>12</v>
      </c>
      <c r="H2037" s="81" t="s">
        <v>224</v>
      </c>
      <c r="I2037" s="81" t="s">
        <v>1549</v>
      </c>
      <c r="J2037" s="81" t="s">
        <v>224</v>
      </c>
      <c r="K2037" s="81" t="str">
        <f>IFERROR(__xludf.DUMMYFUNCTION("IF(OR(D2037="""",G2037=""""),"""",IFERROR(LET(
campo,XLOOKUP(TRIM(G2037),ARRAYFORMULA(TRIM('indice columnas'!$A$2:$A$100)),'indice columnas'!$B$2:$B$100,""""),
col,IFERROR(MATCH(campo,Referencia!$A$1:$AZ$1,0),0),
fila,IFERROR(MATCH(TO_TEXT(D2037),ARRAYFOR"&amp;"MULA(TO_TEXT(Referencia!$A$2:$A6238)),0),0),
IF(OR(campo="""",campo=""-""),""NO APLICA"",
IF(col=0,""REVISAR EQUIVALENCIA"",
IF(fila=0,""SKU NO ENCONTRADO"",
LET(
valor,INDEX(Referencia!$A$2:$AZ6238,fila,col),
IF(TRIM(TO_TEXT(valor))=TRIM(TO_TEXT(I2037)),"&amp;"
""OK"",
""NO COINCIDE. Valor verdadero: ""&amp;IF(valor="""",""[VACÍO]"",TO_TEXT(valor))
)
))))
),""ERROR EN FÓRMULA""))"),"OK")</f>
        <v>OK</v>
      </c>
    </row>
    <row r="2038">
      <c r="A2038" s="83" t="s">
        <v>4618</v>
      </c>
      <c r="B2038" s="83" t="s">
        <v>4619</v>
      </c>
      <c r="C2038" s="81" t="s">
        <v>4621</v>
      </c>
      <c r="D2038" s="83" t="s">
        <v>4763</v>
      </c>
      <c r="E2038" s="81" t="s">
        <v>3659</v>
      </c>
      <c r="F2038" s="84">
        <v>695.0</v>
      </c>
      <c r="G2038" s="81" t="s">
        <v>44</v>
      </c>
      <c r="H2038" s="81" t="s">
        <v>224</v>
      </c>
      <c r="I2038" s="81" t="s">
        <v>3621</v>
      </c>
      <c r="J2038" s="81" t="s">
        <v>4088</v>
      </c>
      <c r="K2038" s="81" t="str">
        <f>IFERROR(__xludf.DUMMYFUNCTION("IF(OR(D2038="""",G2038=""""),"""",IFERROR(LET(
campo,XLOOKUP(TRIM(G2038),ARRAYFORMULA(TRIM('indice columnas'!$A$2:$A$100)),'indice columnas'!$B$2:$B$100,""""),
col,IFERROR(MATCH(campo,Referencia!$A$1:$AZ$1,0),0),
fila,IFERROR(MATCH(TO_TEXT(D2038),ARRAYFOR"&amp;"MULA(TO_TEXT(Referencia!$A$2:$A6238)),0),0),
IF(OR(campo="""",campo=""-""),""NO APLICA"",
IF(col=0,""REVISAR EQUIVALENCIA"",
IF(fila=0,""SKU NO ENCONTRADO"",
LET(
valor,INDEX(Referencia!$A$2:$AZ6238,fila,col),
IF(TRIM(TO_TEXT(valor))=TRIM(TO_TEXT(I2038)),"&amp;"
""OK"",
""NO COINCIDE. Valor verdadero: ""&amp;IF(valor="""",""[VACÍO]"",TO_TEXT(valor))
)
))))
),""ERROR EN FÓRMULA""))"),"NO APLICA")</f>
        <v>NO APLICA</v>
      </c>
    </row>
    <row r="2039">
      <c r="A2039" s="83" t="s">
        <v>4618</v>
      </c>
      <c r="B2039" s="83" t="s">
        <v>4619</v>
      </c>
      <c r="C2039" s="81" t="s">
        <v>4621</v>
      </c>
      <c r="D2039" s="83" t="s">
        <v>4764</v>
      </c>
      <c r="E2039" s="81" t="s">
        <v>3662</v>
      </c>
      <c r="F2039" s="84">
        <v>696.0</v>
      </c>
      <c r="G2039" s="81" t="s">
        <v>44</v>
      </c>
      <c r="H2039" s="81" t="s">
        <v>224</v>
      </c>
      <c r="I2039" s="81" t="s">
        <v>3662</v>
      </c>
      <c r="J2039" s="81" t="s">
        <v>4088</v>
      </c>
      <c r="K2039" s="81" t="str">
        <f>IFERROR(__xludf.DUMMYFUNCTION("IF(OR(D2039="""",G2039=""""),"""",IFERROR(LET(
campo,XLOOKUP(TRIM(G2039),ARRAYFORMULA(TRIM('indice columnas'!$A$2:$A$100)),'indice columnas'!$B$2:$B$100,""""),
col,IFERROR(MATCH(campo,Referencia!$A$1:$AZ$1,0),0),
fila,IFERROR(MATCH(TO_TEXT(D2039),ARRAYFOR"&amp;"MULA(TO_TEXT(Referencia!$A$2:$A6238)),0),0),
IF(OR(campo="""",campo=""-""),""NO APLICA"",
IF(col=0,""REVISAR EQUIVALENCIA"",
IF(fila=0,""SKU NO ENCONTRADO"",
LET(
valor,INDEX(Referencia!$A$2:$AZ6238,fila,col),
IF(TRIM(TO_TEXT(valor))=TRIM(TO_TEXT(I2039)),"&amp;"
""OK"",
""NO COINCIDE. Valor verdadero: ""&amp;IF(valor="""",""[VACÍO]"",TO_TEXT(valor))
)
))))
),""ERROR EN FÓRMULA""))"),"NO APLICA")</f>
        <v>NO APLICA</v>
      </c>
    </row>
    <row r="2040">
      <c r="A2040" s="83" t="s">
        <v>4618</v>
      </c>
      <c r="B2040" s="83" t="s">
        <v>4619</v>
      </c>
      <c r="C2040" s="81" t="s">
        <v>4621</v>
      </c>
      <c r="D2040" s="83" t="s">
        <v>4764</v>
      </c>
      <c r="E2040" s="81" t="s">
        <v>3672</v>
      </c>
      <c r="F2040" s="84">
        <v>697.0</v>
      </c>
      <c r="G2040" s="81" t="s">
        <v>7</v>
      </c>
      <c r="H2040" s="81" t="s">
        <v>3623</v>
      </c>
      <c r="I2040" s="81" t="s">
        <v>1134</v>
      </c>
      <c r="J2040" s="81" t="s">
        <v>224</v>
      </c>
      <c r="K2040" s="81" t="str">
        <f>IFERROR(__xludf.DUMMYFUNCTION("IF(OR(D2040="""",G2040=""""),"""",IFERROR(LET(
campo,XLOOKUP(TRIM(G2040),ARRAYFORMULA(TRIM('indice columnas'!$A$2:$A$100)),'indice columnas'!$B$2:$B$100,""""),
col,IFERROR(MATCH(campo,Referencia!$A$1:$AZ$1,0),0),
fila,IFERROR(MATCH(TO_TEXT(D2040),ARRAYFOR"&amp;"MULA(TO_TEXT(Referencia!$A$2:$A6238)),0),0),
IF(OR(campo="""",campo=""-""),""NO APLICA"",
IF(col=0,""REVISAR EQUIVALENCIA"",
IF(fila=0,""SKU NO ENCONTRADO"",
LET(
valor,INDEX(Referencia!$A$2:$AZ6238,fila,col),
IF(TRIM(TO_TEXT(valor))=TRIM(TO_TEXT(I2040)),"&amp;"
""OK"",
""NO COINCIDE. Valor verdadero: ""&amp;IF(valor="""",""[VACÍO]"",TO_TEXT(valor))
)
))))
),""ERROR EN FÓRMULA""))"),"REVISAR EQUIVALENCIA")</f>
        <v>REVISAR EQUIVALENCIA</v>
      </c>
    </row>
    <row r="2041">
      <c r="A2041" s="83" t="s">
        <v>4618</v>
      </c>
      <c r="B2041" s="83" t="s">
        <v>4619</v>
      </c>
      <c r="C2041" s="81" t="s">
        <v>4621</v>
      </c>
      <c r="D2041" s="83" t="s">
        <v>4764</v>
      </c>
      <c r="E2041" s="81" t="s">
        <v>3672</v>
      </c>
      <c r="F2041" s="84">
        <v>697.0</v>
      </c>
      <c r="G2041" s="81" t="s">
        <v>12</v>
      </c>
      <c r="H2041" s="81" t="s">
        <v>224</v>
      </c>
      <c r="I2041" s="81" t="s">
        <v>1549</v>
      </c>
      <c r="J2041" s="81" t="s">
        <v>224</v>
      </c>
      <c r="K2041" s="81" t="str">
        <f>IFERROR(__xludf.DUMMYFUNCTION("IF(OR(D2041="""",G2041=""""),"""",IFERROR(LET(
campo,XLOOKUP(TRIM(G2041),ARRAYFORMULA(TRIM('indice columnas'!$A$2:$A$100)),'indice columnas'!$B$2:$B$100,""""),
col,IFERROR(MATCH(campo,Referencia!$A$1:$AZ$1,0),0),
fila,IFERROR(MATCH(TO_TEXT(D2041),ARRAYFOR"&amp;"MULA(TO_TEXT(Referencia!$A$2:$A6238)),0),0),
IF(OR(campo="""",campo=""-""),""NO APLICA"",
IF(col=0,""REVISAR EQUIVALENCIA"",
IF(fila=0,""SKU NO ENCONTRADO"",
LET(
valor,INDEX(Referencia!$A$2:$AZ6238,fila,col),
IF(TRIM(TO_TEXT(valor))=TRIM(TO_TEXT(I2041)),"&amp;"
""OK"",
""NO COINCIDE. Valor verdadero: ""&amp;IF(valor="""",""[VACÍO]"",TO_TEXT(valor))
)
))))
),""ERROR EN FÓRMULA""))"),"OK")</f>
        <v>OK</v>
      </c>
    </row>
    <row r="2042">
      <c r="A2042" s="83" t="s">
        <v>4618</v>
      </c>
      <c r="B2042" s="83" t="s">
        <v>4619</v>
      </c>
      <c r="C2042" s="81" t="s">
        <v>4621</v>
      </c>
      <c r="D2042" s="83" t="s">
        <v>4764</v>
      </c>
      <c r="E2042" s="81" t="s">
        <v>3672</v>
      </c>
      <c r="F2042" s="84">
        <v>697.0</v>
      </c>
      <c r="G2042" s="81" t="s">
        <v>34</v>
      </c>
      <c r="H2042" s="81" t="s">
        <v>463</v>
      </c>
      <c r="I2042" s="81" t="s">
        <v>112</v>
      </c>
      <c r="J2042" s="81" t="s">
        <v>224</v>
      </c>
      <c r="K2042" s="81" t="str">
        <f>IFERROR(__xludf.DUMMYFUNCTION("IF(OR(D2042="""",G2042=""""),"""",IFERROR(LET(
campo,XLOOKUP(TRIM(G2042),ARRAYFORMULA(TRIM('indice columnas'!$A$2:$A$100)),'indice columnas'!$B$2:$B$100,""""),
col,IFERROR(MATCH(campo,Referencia!$A$1:$AZ$1,0),0),
fila,IFERROR(MATCH(TO_TEXT(D2042),ARRAYFOR"&amp;"MULA(TO_TEXT(Referencia!$A$2:$A6238)),0),0),
IF(OR(campo="""",campo=""-""),""NO APLICA"",
IF(col=0,""REVISAR EQUIVALENCIA"",
IF(fila=0,""SKU NO ENCONTRADO"",
LET(
valor,INDEX(Referencia!$A$2:$AZ6238,fila,col),
IF(TRIM(TO_TEXT(valor))=TRIM(TO_TEXT(I2042)),"&amp;"
""OK"",
""NO COINCIDE. Valor verdadero: ""&amp;IF(valor="""",""[VACÍO]"",TO_TEXT(valor))
)
))))
),""ERROR EN FÓRMULA""))"),"OK")</f>
        <v>OK</v>
      </c>
    </row>
    <row r="2043">
      <c r="A2043" s="83" t="s">
        <v>4618</v>
      </c>
      <c r="B2043" s="83" t="s">
        <v>4619</v>
      </c>
      <c r="C2043" s="81" t="s">
        <v>4621</v>
      </c>
      <c r="D2043" s="83" t="s">
        <v>4764</v>
      </c>
      <c r="E2043" s="81" t="s">
        <v>3672</v>
      </c>
      <c r="F2043" s="84">
        <v>697.0</v>
      </c>
      <c r="G2043" s="81" t="s">
        <v>44</v>
      </c>
      <c r="H2043" s="81" t="s">
        <v>224</v>
      </c>
      <c r="I2043" s="81" t="s">
        <v>3662</v>
      </c>
      <c r="J2043" s="81" t="s">
        <v>4088</v>
      </c>
      <c r="K2043" s="81" t="str">
        <f>IFERROR(__xludf.DUMMYFUNCTION("IF(OR(D2043="""",G2043=""""),"""",IFERROR(LET(
campo,XLOOKUP(TRIM(G2043),ARRAYFORMULA(TRIM('indice columnas'!$A$2:$A$100)),'indice columnas'!$B$2:$B$100,""""),
col,IFERROR(MATCH(campo,Referencia!$A$1:$AZ$1,0),0),
fila,IFERROR(MATCH(TO_TEXT(D2043),ARRAYFOR"&amp;"MULA(TO_TEXT(Referencia!$A$2:$A6238)),0),0),
IF(OR(campo="""",campo=""-""),""NO APLICA"",
IF(col=0,""REVISAR EQUIVALENCIA"",
IF(fila=0,""SKU NO ENCONTRADO"",
LET(
valor,INDEX(Referencia!$A$2:$AZ6238,fila,col),
IF(TRIM(TO_TEXT(valor))=TRIM(TO_TEXT(I2043)),"&amp;"
""OK"",
""NO COINCIDE. Valor verdadero: ""&amp;IF(valor="""",""[VACÍO]"",TO_TEXT(valor))
)
))))
),""ERROR EN FÓRMULA""))"),"NO APLICA")</f>
        <v>NO APLICA</v>
      </c>
    </row>
    <row r="2044">
      <c r="A2044" s="83" t="s">
        <v>4618</v>
      </c>
      <c r="B2044" s="83" t="s">
        <v>4619</v>
      </c>
      <c r="C2044" s="81" t="s">
        <v>4621</v>
      </c>
      <c r="D2044" s="83" t="s">
        <v>4765</v>
      </c>
      <c r="E2044" s="81" t="s">
        <v>3673</v>
      </c>
      <c r="F2044" s="84">
        <v>698.0</v>
      </c>
      <c r="G2044" s="81" t="s">
        <v>7</v>
      </c>
      <c r="H2044" s="81" t="s">
        <v>3623</v>
      </c>
      <c r="I2044" s="81" t="s">
        <v>1134</v>
      </c>
      <c r="J2044" s="81" t="s">
        <v>224</v>
      </c>
      <c r="K2044" s="81" t="str">
        <f>IFERROR(__xludf.DUMMYFUNCTION("IF(OR(D2044="""",G2044=""""),"""",IFERROR(LET(
campo,XLOOKUP(TRIM(G2044),ARRAYFORMULA(TRIM('indice columnas'!$A$2:$A$100)),'indice columnas'!$B$2:$B$100,""""),
col,IFERROR(MATCH(campo,Referencia!$A$1:$AZ$1,0),0),
fila,IFERROR(MATCH(TO_TEXT(D2044),ARRAYFOR"&amp;"MULA(TO_TEXT(Referencia!$A$2:$A6238)),0),0),
IF(OR(campo="""",campo=""-""),""NO APLICA"",
IF(col=0,""REVISAR EQUIVALENCIA"",
IF(fila=0,""SKU NO ENCONTRADO"",
LET(
valor,INDEX(Referencia!$A$2:$AZ6238,fila,col),
IF(TRIM(TO_TEXT(valor))=TRIM(TO_TEXT(I2044)),"&amp;"
""OK"",
""NO COINCIDE. Valor verdadero: ""&amp;IF(valor="""",""[VACÍO]"",TO_TEXT(valor))
)
))))
),""ERROR EN FÓRMULA""))"),"REVISAR EQUIVALENCIA")</f>
        <v>REVISAR EQUIVALENCIA</v>
      </c>
    </row>
    <row r="2045">
      <c r="A2045" s="83" t="s">
        <v>4618</v>
      </c>
      <c r="B2045" s="83" t="s">
        <v>4619</v>
      </c>
      <c r="C2045" s="81" t="s">
        <v>4621</v>
      </c>
      <c r="D2045" s="83" t="s">
        <v>4765</v>
      </c>
      <c r="E2045" s="81" t="s">
        <v>3673</v>
      </c>
      <c r="F2045" s="84">
        <v>698.0</v>
      </c>
      <c r="G2045" s="81" t="s">
        <v>12</v>
      </c>
      <c r="H2045" s="81" t="s">
        <v>224</v>
      </c>
      <c r="I2045" s="81" t="s">
        <v>1549</v>
      </c>
      <c r="J2045" s="81" t="s">
        <v>224</v>
      </c>
      <c r="K2045" s="81" t="str">
        <f>IFERROR(__xludf.DUMMYFUNCTION("IF(OR(D2045="""",G2045=""""),"""",IFERROR(LET(
campo,XLOOKUP(TRIM(G2045),ARRAYFORMULA(TRIM('indice columnas'!$A$2:$A$100)),'indice columnas'!$B$2:$B$100,""""),
col,IFERROR(MATCH(campo,Referencia!$A$1:$AZ$1,0),0),
fila,IFERROR(MATCH(TO_TEXT(D2045),ARRAYFOR"&amp;"MULA(TO_TEXT(Referencia!$A$2:$A6238)),0),0),
IF(OR(campo="""",campo=""-""),""NO APLICA"",
IF(col=0,""REVISAR EQUIVALENCIA"",
IF(fila=0,""SKU NO ENCONTRADO"",
LET(
valor,INDEX(Referencia!$A$2:$AZ6238,fila,col),
IF(TRIM(TO_TEXT(valor))=TRIM(TO_TEXT(I2045)),"&amp;"
""OK"",
""NO COINCIDE. Valor verdadero: ""&amp;IF(valor="""",""[VACÍO]"",TO_TEXT(valor))
)
))))
),""ERROR EN FÓRMULA""))"),"OK")</f>
        <v>OK</v>
      </c>
    </row>
    <row r="2046">
      <c r="A2046" s="83" t="s">
        <v>4618</v>
      </c>
      <c r="B2046" s="83" t="s">
        <v>4619</v>
      </c>
      <c r="C2046" s="81" t="s">
        <v>4621</v>
      </c>
      <c r="D2046" s="83" t="s">
        <v>4765</v>
      </c>
      <c r="E2046" s="81" t="s">
        <v>3673</v>
      </c>
      <c r="F2046" s="84">
        <v>698.0</v>
      </c>
      <c r="G2046" s="81" t="s">
        <v>44</v>
      </c>
      <c r="H2046" s="81" t="s">
        <v>224</v>
      </c>
      <c r="I2046" s="81" t="s">
        <v>3662</v>
      </c>
      <c r="J2046" s="81" t="s">
        <v>4088</v>
      </c>
      <c r="K2046" s="81" t="str">
        <f>IFERROR(__xludf.DUMMYFUNCTION("IF(OR(D2046="""",G2046=""""),"""",IFERROR(LET(
campo,XLOOKUP(TRIM(G2046),ARRAYFORMULA(TRIM('indice columnas'!$A$2:$A$100)),'indice columnas'!$B$2:$B$100,""""),
col,IFERROR(MATCH(campo,Referencia!$A$1:$AZ$1,0),0),
fila,IFERROR(MATCH(TO_TEXT(D2046),ARRAYFOR"&amp;"MULA(TO_TEXT(Referencia!$A$2:$A6238)),0),0),
IF(OR(campo="""",campo=""-""),""NO APLICA"",
IF(col=0,""REVISAR EQUIVALENCIA"",
IF(fila=0,""SKU NO ENCONTRADO"",
LET(
valor,INDEX(Referencia!$A$2:$AZ6238,fila,col),
IF(TRIM(TO_TEXT(valor))=TRIM(TO_TEXT(I2046)),"&amp;"
""OK"",
""NO COINCIDE. Valor verdadero: ""&amp;IF(valor="""",""[VACÍO]"",TO_TEXT(valor))
)
))))
),""ERROR EN FÓRMULA""))"),"NO APLICA")</f>
        <v>NO APLICA</v>
      </c>
    </row>
    <row r="2047">
      <c r="A2047" s="83" t="s">
        <v>4618</v>
      </c>
      <c r="B2047" s="83" t="s">
        <v>4619</v>
      </c>
      <c r="C2047" s="81" t="s">
        <v>4621</v>
      </c>
      <c r="D2047" s="83" t="s">
        <v>4766</v>
      </c>
      <c r="E2047" s="81" t="s">
        <v>3676</v>
      </c>
      <c r="F2047" s="84">
        <v>699.0</v>
      </c>
      <c r="G2047" s="81" t="s">
        <v>7</v>
      </c>
      <c r="H2047" s="81" t="s">
        <v>3623</v>
      </c>
      <c r="I2047" s="81" t="s">
        <v>1134</v>
      </c>
      <c r="J2047" s="81" t="s">
        <v>224</v>
      </c>
      <c r="K2047" s="81" t="str">
        <f>IFERROR(__xludf.DUMMYFUNCTION("IF(OR(D2047="""",G2047=""""),"""",IFERROR(LET(
campo,XLOOKUP(TRIM(G2047),ARRAYFORMULA(TRIM('indice columnas'!$A$2:$A$100)),'indice columnas'!$B$2:$B$100,""""),
col,IFERROR(MATCH(campo,Referencia!$A$1:$AZ$1,0),0),
fila,IFERROR(MATCH(TO_TEXT(D2047),ARRAYFOR"&amp;"MULA(TO_TEXT(Referencia!$A$2:$A6238)),0),0),
IF(OR(campo="""",campo=""-""),""NO APLICA"",
IF(col=0,""REVISAR EQUIVALENCIA"",
IF(fila=0,""SKU NO ENCONTRADO"",
LET(
valor,INDEX(Referencia!$A$2:$AZ6238,fila,col),
IF(TRIM(TO_TEXT(valor))=TRIM(TO_TEXT(I2047)),"&amp;"
""OK"",
""NO COINCIDE. Valor verdadero: ""&amp;IF(valor="""",""[VACÍO]"",TO_TEXT(valor))
)
))))
),""ERROR EN FÓRMULA""))"),"REVISAR EQUIVALENCIA")</f>
        <v>REVISAR EQUIVALENCIA</v>
      </c>
    </row>
    <row r="2048">
      <c r="A2048" s="83" t="s">
        <v>4618</v>
      </c>
      <c r="B2048" s="83" t="s">
        <v>4619</v>
      </c>
      <c r="C2048" s="81" t="s">
        <v>4621</v>
      </c>
      <c r="D2048" s="83" t="s">
        <v>4766</v>
      </c>
      <c r="E2048" s="81" t="s">
        <v>3676</v>
      </c>
      <c r="F2048" s="84">
        <v>699.0</v>
      </c>
      <c r="G2048" s="81" t="s">
        <v>12</v>
      </c>
      <c r="H2048" s="81" t="s">
        <v>224</v>
      </c>
      <c r="I2048" s="81" t="s">
        <v>1549</v>
      </c>
      <c r="J2048" s="81" t="s">
        <v>224</v>
      </c>
      <c r="K2048" s="81" t="str">
        <f>IFERROR(__xludf.DUMMYFUNCTION("IF(OR(D2048="""",G2048=""""),"""",IFERROR(LET(
campo,XLOOKUP(TRIM(G2048),ARRAYFORMULA(TRIM('indice columnas'!$A$2:$A$100)),'indice columnas'!$B$2:$B$100,""""),
col,IFERROR(MATCH(campo,Referencia!$A$1:$AZ$1,0),0),
fila,IFERROR(MATCH(TO_TEXT(D2048),ARRAYFOR"&amp;"MULA(TO_TEXT(Referencia!$A$2:$A6238)),0),0),
IF(OR(campo="""",campo=""-""),""NO APLICA"",
IF(col=0,""REVISAR EQUIVALENCIA"",
IF(fila=0,""SKU NO ENCONTRADO"",
LET(
valor,INDEX(Referencia!$A$2:$AZ6238,fila,col),
IF(TRIM(TO_TEXT(valor))=TRIM(TO_TEXT(I2048)),"&amp;"
""OK"",
""NO COINCIDE. Valor verdadero: ""&amp;IF(valor="""",""[VACÍO]"",TO_TEXT(valor))
)
))))
),""ERROR EN FÓRMULA""))"),"OK")</f>
        <v>OK</v>
      </c>
    </row>
    <row r="2049">
      <c r="A2049" s="83" t="s">
        <v>4618</v>
      </c>
      <c r="B2049" s="83" t="s">
        <v>4619</v>
      </c>
      <c r="C2049" s="81" t="s">
        <v>4621</v>
      </c>
      <c r="D2049" s="83" t="s">
        <v>4766</v>
      </c>
      <c r="E2049" s="81" t="s">
        <v>3676</v>
      </c>
      <c r="F2049" s="84">
        <v>699.0</v>
      </c>
      <c r="G2049" s="81" t="s">
        <v>44</v>
      </c>
      <c r="H2049" s="81" t="s">
        <v>224</v>
      </c>
      <c r="I2049" s="81" t="s">
        <v>3662</v>
      </c>
      <c r="J2049" s="81" t="s">
        <v>4088</v>
      </c>
      <c r="K2049" s="81" t="str">
        <f>IFERROR(__xludf.DUMMYFUNCTION("IF(OR(D2049="""",G2049=""""),"""",IFERROR(LET(
campo,XLOOKUP(TRIM(G2049),ARRAYFORMULA(TRIM('indice columnas'!$A$2:$A$100)),'indice columnas'!$B$2:$B$100,""""),
col,IFERROR(MATCH(campo,Referencia!$A$1:$AZ$1,0),0),
fila,IFERROR(MATCH(TO_TEXT(D2049),ARRAYFOR"&amp;"MULA(TO_TEXT(Referencia!$A$2:$A6238)),0),0),
IF(OR(campo="""",campo=""-""),""NO APLICA"",
IF(col=0,""REVISAR EQUIVALENCIA"",
IF(fila=0,""SKU NO ENCONTRADO"",
LET(
valor,INDEX(Referencia!$A$2:$AZ6238,fila,col),
IF(TRIM(TO_TEXT(valor))=TRIM(TO_TEXT(I2049)),"&amp;"
""OK"",
""NO COINCIDE. Valor verdadero: ""&amp;IF(valor="""",""[VACÍO]"",TO_TEXT(valor))
)
))))
),""ERROR EN FÓRMULA""))"),"NO APLICA")</f>
        <v>NO APLICA</v>
      </c>
    </row>
    <row r="2050">
      <c r="A2050" s="83" t="s">
        <v>4618</v>
      </c>
      <c r="B2050" s="83" t="s">
        <v>4619</v>
      </c>
      <c r="C2050" s="81" t="s">
        <v>4621</v>
      </c>
      <c r="D2050" s="83" t="s">
        <v>4767</v>
      </c>
      <c r="E2050" s="81" t="s">
        <v>3679</v>
      </c>
      <c r="F2050" s="84">
        <v>700.0</v>
      </c>
      <c r="G2050" s="81" t="s">
        <v>7</v>
      </c>
      <c r="H2050" s="81" t="s">
        <v>3623</v>
      </c>
      <c r="I2050" s="81" t="s">
        <v>1134</v>
      </c>
      <c r="J2050" s="81" t="s">
        <v>224</v>
      </c>
      <c r="K2050" s="81" t="str">
        <f>IFERROR(__xludf.DUMMYFUNCTION("IF(OR(D2050="""",G2050=""""),"""",IFERROR(LET(
campo,XLOOKUP(TRIM(G2050),ARRAYFORMULA(TRIM('indice columnas'!$A$2:$A$100)),'indice columnas'!$B$2:$B$100,""""),
col,IFERROR(MATCH(campo,Referencia!$A$1:$AZ$1,0),0),
fila,IFERROR(MATCH(TO_TEXT(D2050),ARRAYFOR"&amp;"MULA(TO_TEXT(Referencia!$A$2:$A6238)),0),0),
IF(OR(campo="""",campo=""-""),""NO APLICA"",
IF(col=0,""REVISAR EQUIVALENCIA"",
IF(fila=0,""SKU NO ENCONTRADO"",
LET(
valor,INDEX(Referencia!$A$2:$AZ6238,fila,col),
IF(TRIM(TO_TEXT(valor))=TRIM(TO_TEXT(I2050)),"&amp;"
""OK"",
""NO COINCIDE. Valor verdadero: ""&amp;IF(valor="""",""[VACÍO]"",TO_TEXT(valor))
)
))))
),""ERROR EN FÓRMULA""))"),"REVISAR EQUIVALENCIA")</f>
        <v>REVISAR EQUIVALENCIA</v>
      </c>
    </row>
    <row r="2051">
      <c r="A2051" s="83" t="s">
        <v>4618</v>
      </c>
      <c r="B2051" s="83" t="s">
        <v>4619</v>
      </c>
      <c r="C2051" s="81" t="s">
        <v>4621</v>
      </c>
      <c r="D2051" s="83" t="s">
        <v>4767</v>
      </c>
      <c r="E2051" s="81" t="s">
        <v>3679</v>
      </c>
      <c r="F2051" s="84">
        <v>700.0</v>
      </c>
      <c r="G2051" s="81" t="s">
        <v>12</v>
      </c>
      <c r="H2051" s="81" t="s">
        <v>224</v>
      </c>
      <c r="I2051" s="81" t="s">
        <v>1549</v>
      </c>
      <c r="J2051" s="81" t="s">
        <v>224</v>
      </c>
      <c r="K2051" s="81" t="str">
        <f>IFERROR(__xludf.DUMMYFUNCTION("IF(OR(D2051="""",G2051=""""),"""",IFERROR(LET(
campo,XLOOKUP(TRIM(G2051),ARRAYFORMULA(TRIM('indice columnas'!$A$2:$A$100)),'indice columnas'!$B$2:$B$100,""""),
col,IFERROR(MATCH(campo,Referencia!$A$1:$AZ$1,0),0),
fila,IFERROR(MATCH(TO_TEXT(D2051),ARRAYFOR"&amp;"MULA(TO_TEXT(Referencia!$A$2:$A6238)),0),0),
IF(OR(campo="""",campo=""-""),""NO APLICA"",
IF(col=0,""REVISAR EQUIVALENCIA"",
IF(fila=0,""SKU NO ENCONTRADO"",
LET(
valor,INDEX(Referencia!$A$2:$AZ6238,fila,col),
IF(TRIM(TO_TEXT(valor))=TRIM(TO_TEXT(I2051)),"&amp;"
""OK"",
""NO COINCIDE. Valor verdadero: ""&amp;IF(valor="""",""[VACÍO]"",TO_TEXT(valor))
)
))))
),""ERROR EN FÓRMULA""))"),"OK")</f>
        <v>OK</v>
      </c>
    </row>
    <row r="2052">
      <c r="A2052" s="83" t="s">
        <v>4618</v>
      </c>
      <c r="B2052" s="83" t="s">
        <v>4619</v>
      </c>
      <c r="C2052" s="81" t="s">
        <v>4621</v>
      </c>
      <c r="D2052" s="83" t="s">
        <v>4767</v>
      </c>
      <c r="E2052" s="81" t="s">
        <v>3679</v>
      </c>
      <c r="F2052" s="84">
        <v>700.0</v>
      </c>
      <c r="G2052" s="81" t="s">
        <v>44</v>
      </c>
      <c r="H2052" s="81" t="s">
        <v>224</v>
      </c>
      <c r="I2052" s="81" t="s">
        <v>3662</v>
      </c>
      <c r="J2052" s="81" t="s">
        <v>4088</v>
      </c>
      <c r="K2052" s="81" t="str">
        <f>IFERROR(__xludf.DUMMYFUNCTION("IF(OR(D2052="""",G2052=""""),"""",IFERROR(LET(
campo,XLOOKUP(TRIM(G2052),ARRAYFORMULA(TRIM('indice columnas'!$A$2:$A$100)),'indice columnas'!$B$2:$B$100,""""),
col,IFERROR(MATCH(campo,Referencia!$A$1:$AZ$1,0),0),
fila,IFERROR(MATCH(TO_TEXT(D2052),ARRAYFOR"&amp;"MULA(TO_TEXT(Referencia!$A$2:$A6238)),0),0),
IF(OR(campo="""",campo=""-""),""NO APLICA"",
IF(col=0,""REVISAR EQUIVALENCIA"",
IF(fila=0,""SKU NO ENCONTRADO"",
LET(
valor,INDEX(Referencia!$A$2:$AZ6238,fila,col),
IF(TRIM(TO_TEXT(valor))=TRIM(TO_TEXT(I2052)),"&amp;"
""OK"",
""NO COINCIDE. Valor verdadero: ""&amp;IF(valor="""",""[VACÍO]"",TO_TEXT(valor))
)
))))
),""ERROR EN FÓRMULA""))"),"NO APLICA")</f>
        <v>NO APLICA</v>
      </c>
    </row>
    <row r="2053">
      <c r="A2053" s="83" t="s">
        <v>4618</v>
      </c>
      <c r="B2053" s="83" t="s">
        <v>4619</v>
      </c>
      <c r="C2053" s="81" t="s">
        <v>4621</v>
      </c>
      <c r="D2053" s="83" t="s">
        <v>4768</v>
      </c>
      <c r="E2053" s="81" t="s">
        <v>3682</v>
      </c>
      <c r="F2053" s="84">
        <v>701.0</v>
      </c>
      <c r="G2053" s="81" t="s">
        <v>7</v>
      </c>
      <c r="H2053" s="81" t="s">
        <v>3623</v>
      </c>
      <c r="I2053" s="81" t="s">
        <v>1134</v>
      </c>
      <c r="J2053" s="81" t="s">
        <v>224</v>
      </c>
      <c r="K2053" s="81" t="str">
        <f>IFERROR(__xludf.DUMMYFUNCTION("IF(OR(D2053="""",G2053=""""),"""",IFERROR(LET(
campo,XLOOKUP(TRIM(G2053),ARRAYFORMULA(TRIM('indice columnas'!$A$2:$A$100)),'indice columnas'!$B$2:$B$100,""""),
col,IFERROR(MATCH(campo,Referencia!$A$1:$AZ$1,0),0),
fila,IFERROR(MATCH(TO_TEXT(D2053),ARRAYFOR"&amp;"MULA(TO_TEXT(Referencia!$A$2:$A6238)),0),0),
IF(OR(campo="""",campo=""-""),""NO APLICA"",
IF(col=0,""REVISAR EQUIVALENCIA"",
IF(fila=0,""SKU NO ENCONTRADO"",
LET(
valor,INDEX(Referencia!$A$2:$AZ6238,fila,col),
IF(TRIM(TO_TEXT(valor))=TRIM(TO_TEXT(I2053)),"&amp;"
""OK"",
""NO COINCIDE. Valor verdadero: ""&amp;IF(valor="""",""[VACÍO]"",TO_TEXT(valor))
)
))))
),""ERROR EN FÓRMULA""))"),"REVISAR EQUIVALENCIA")</f>
        <v>REVISAR EQUIVALENCIA</v>
      </c>
    </row>
    <row r="2054">
      <c r="A2054" s="83" t="s">
        <v>4618</v>
      </c>
      <c r="B2054" s="83" t="s">
        <v>4619</v>
      </c>
      <c r="C2054" s="81" t="s">
        <v>4621</v>
      </c>
      <c r="D2054" s="83" t="s">
        <v>4768</v>
      </c>
      <c r="E2054" s="81" t="s">
        <v>3682</v>
      </c>
      <c r="F2054" s="84">
        <v>701.0</v>
      </c>
      <c r="G2054" s="81" t="s">
        <v>12</v>
      </c>
      <c r="H2054" s="81" t="s">
        <v>224</v>
      </c>
      <c r="I2054" s="81" t="s">
        <v>1549</v>
      </c>
      <c r="J2054" s="81" t="s">
        <v>224</v>
      </c>
      <c r="K2054" s="81" t="str">
        <f>IFERROR(__xludf.DUMMYFUNCTION("IF(OR(D2054="""",G2054=""""),"""",IFERROR(LET(
campo,XLOOKUP(TRIM(G2054),ARRAYFORMULA(TRIM('indice columnas'!$A$2:$A$100)),'indice columnas'!$B$2:$B$100,""""),
col,IFERROR(MATCH(campo,Referencia!$A$1:$AZ$1,0),0),
fila,IFERROR(MATCH(TO_TEXT(D2054),ARRAYFOR"&amp;"MULA(TO_TEXT(Referencia!$A$2:$A6238)),0),0),
IF(OR(campo="""",campo=""-""),""NO APLICA"",
IF(col=0,""REVISAR EQUIVALENCIA"",
IF(fila=0,""SKU NO ENCONTRADO"",
LET(
valor,INDEX(Referencia!$A$2:$AZ6238,fila,col),
IF(TRIM(TO_TEXT(valor))=TRIM(TO_TEXT(I2054)),"&amp;"
""OK"",
""NO COINCIDE. Valor verdadero: ""&amp;IF(valor="""",""[VACÍO]"",TO_TEXT(valor))
)
))))
),""ERROR EN FÓRMULA""))"),"OK")</f>
        <v>OK</v>
      </c>
    </row>
    <row r="2055">
      <c r="A2055" s="83" t="s">
        <v>4618</v>
      </c>
      <c r="B2055" s="83" t="s">
        <v>4619</v>
      </c>
      <c r="C2055" s="81" t="s">
        <v>4621</v>
      </c>
      <c r="D2055" s="83" t="s">
        <v>4768</v>
      </c>
      <c r="E2055" s="81" t="s">
        <v>3682</v>
      </c>
      <c r="F2055" s="84">
        <v>701.0</v>
      </c>
      <c r="G2055" s="81" t="s">
        <v>44</v>
      </c>
      <c r="H2055" s="81" t="s">
        <v>224</v>
      </c>
      <c r="I2055" s="81" t="s">
        <v>3662</v>
      </c>
      <c r="J2055" s="81" t="s">
        <v>4088</v>
      </c>
      <c r="K2055" s="81" t="str">
        <f>IFERROR(__xludf.DUMMYFUNCTION("IF(OR(D2055="""",G2055=""""),"""",IFERROR(LET(
campo,XLOOKUP(TRIM(G2055),ARRAYFORMULA(TRIM('indice columnas'!$A$2:$A$100)),'indice columnas'!$B$2:$B$100,""""),
col,IFERROR(MATCH(campo,Referencia!$A$1:$AZ$1,0),0),
fila,IFERROR(MATCH(TO_TEXT(D2055),ARRAYFOR"&amp;"MULA(TO_TEXT(Referencia!$A$2:$A6238)),0),0),
IF(OR(campo="""",campo=""-""),""NO APLICA"",
IF(col=0,""REVISAR EQUIVALENCIA"",
IF(fila=0,""SKU NO ENCONTRADO"",
LET(
valor,INDEX(Referencia!$A$2:$AZ6238,fila,col),
IF(TRIM(TO_TEXT(valor))=TRIM(TO_TEXT(I2055)),"&amp;"
""OK"",
""NO COINCIDE. Valor verdadero: ""&amp;IF(valor="""",""[VACÍO]"",TO_TEXT(valor))
)
))))
),""ERROR EN FÓRMULA""))"),"NO APLICA")</f>
        <v>NO APLICA</v>
      </c>
    </row>
    <row r="2056">
      <c r="A2056" s="83" t="s">
        <v>4618</v>
      </c>
      <c r="B2056" s="83" t="s">
        <v>4619</v>
      </c>
      <c r="C2056" s="81" t="s">
        <v>4621</v>
      </c>
      <c r="D2056" s="83" t="s">
        <v>4769</v>
      </c>
      <c r="E2056" s="81" t="s">
        <v>3685</v>
      </c>
      <c r="F2056" s="84">
        <v>702.0</v>
      </c>
      <c r="G2056" s="81" t="s">
        <v>7</v>
      </c>
      <c r="H2056" s="81" t="s">
        <v>3623</v>
      </c>
      <c r="I2056" s="81" t="s">
        <v>1134</v>
      </c>
      <c r="J2056" s="81" t="s">
        <v>224</v>
      </c>
      <c r="K2056" s="81" t="str">
        <f>IFERROR(__xludf.DUMMYFUNCTION("IF(OR(D2056="""",G2056=""""),"""",IFERROR(LET(
campo,XLOOKUP(TRIM(G2056),ARRAYFORMULA(TRIM('indice columnas'!$A$2:$A$100)),'indice columnas'!$B$2:$B$100,""""),
col,IFERROR(MATCH(campo,Referencia!$A$1:$AZ$1,0),0),
fila,IFERROR(MATCH(TO_TEXT(D2056),ARRAYFOR"&amp;"MULA(TO_TEXT(Referencia!$A$2:$A6238)),0),0),
IF(OR(campo="""",campo=""-""),""NO APLICA"",
IF(col=0,""REVISAR EQUIVALENCIA"",
IF(fila=0,""SKU NO ENCONTRADO"",
LET(
valor,INDEX(Referencia!$A$2:$AZ6238,fila,col),
IF(TRIM(TO_TEXT(valor))=TRIM(TO_TEXT(I2056)),"&amp;"
""OK"",
""NO COINCIDE. Valor verdadero: ""&amp;IF(valor="""",""[VACÍO]"",TO_TEXT(valor))
)
))))
),""ERROR EN FÓRMULA""))"),"REVISAR EQUIVALENCIA")</f>
        <v>REVISAR EQUIVALENCIA</v>
      </c>
    </row>
    <row r="2057">
      <c r="A2057" s="83" t="s">
        <v>4618</v>
      </c>
      <c r="B2057" s="83" t="s">
        <v>4619</v>
      </c>
      <c r="C2057" s="81" t="s">
        <v>4621</v>
      </c>
      <c r="D2057" s="83" t="s">
        <v>4769</v>
      </c>
      <c r="E2057" s="81" t="s">
        <v>3685</v>
      </c>
      <c r="F2057" s="84">
        <v>702.0</v>
      </c>
      <c r="G2057" s="81" t="s">
        <v>12</v>
      </c>
      <c r="H2057" s="81" t="s">
        <v>224</v>
      </c>
      <c r="I2057" s="81" t="s">
        <v>1549</v>
      </c>
      <c r="J2057" s="81" t="s">
        <v>224</v>
      </c>
      <c r="K2057" s="81" t="str">
        <f>IFERROR(__xludf.DUMMYFUNCTION("IF(OR(D2057="""",G2057=""""),"""",IFERROR(LET(
campo,XLOOKUP(TRIM(G2057),ARRAYFORMULA(TRIM('indice columnas'!$A$2:$A$100)),'indice columnas'!$B$2:$B$100,""""),
col,IFERROR(MATCH(campo,Referencia!$A$1:$AZ$1,0),0),
fila,IFERROR(MATCH(TO_TEXT(D2057),ARRAYFOR"&amp;"MULA(TO_TEXT(Referencia!$A$2:$A6238)),0),0),
IF(OR(campo="""",campo=""-""),""NO APLICA"",
IF(col=0,""REVISAR EQUIVALENCIA"",
IF(fila=0,""SKU NO ENCONTRADO"",
LET(
valor,INDEX(Referencia!$A$2:$AZ6238,fila,col),
IF(TRIM(TO_TEXT(valor))=TRIM(TO_TEXT(I2057)),"&amp;"
""OK"",
""NO COINCIDE. Valor verdadero: ""&amp;IF(valor="""",""[VACÍO]"",TO_TEXT(valor))
)
))))
),""ERROR EN FÓRMULA""))"),"OK")</f>
        <v>OK</v>
      </c>
    </row>
    <row r="2058">
      <c r="A2058" s="83" t="s">
        <v>4618</v>
      </c>
      <c r="B2058" s="83" t="s">
        <v>4619</v>
      </c>
      <c r="C2058" s="81" t="s">
        <v>4621</v>
      </c>
      <c r="D2058" s="83" t="s">
        <v>4769</v>
      </c>
      <c r="E2058" s="81" t="s">
        <v>3685</v>
      </c>
      <c r="F2058" s="84">
        <v>702.0</v>
      </c>
      <c r="G2058" s="81" t="s">
        <v>44</v>
      </c>
      <c r="H2058" s="81" t="s">
        <v>224</v>
      </c>
      <c r="I2058" s="81" t="s">
        <v>3662</v>
      </c>
      <c r="J2058" s="81" t="s">
        <v>4088</v>
      </c>
      <c r="K2058" s="81" t="str">
        <f>IFERROR(__xludf.DUMMYFUNCTION("IF(OR(D2058="""",G2058=""""),"""",IFERROR(LET(
campo,XLOOKUP(TRIM(G2058),ARRAYFORMULA(TRIM('indice columnas'!$A$2:$A$100)),'indice columnas'!$B$2:$B$100,""""),
col,IFERROR(MATCH(campo,Referencia!$A$1:$AZ$1,0),0),
fila,IFERROR(MATCH(TO_TEXT(D2058),ARRAYFOR"&amp;"MULA(TO_TEXT(Referencia!$A$2:$A6238)),0),0),
IF(OR(campo="""",campo=""-""),""NO APLICA"",
IF(col=0,""REVISAR EQUIVALENCIA"",
IF(fila=0,""SKU NO ENCONTRADO"",
LET(
valor,INDEX(Referencia!$A$2:$AZ6238,fila,col),
IF(TRIM(TO_TEXT(valor))=TRIM(TO_TEXT(I2058)),"&amp;"
""OK"",
""NO COINCIDE. Valor verdadero: ""&amp;IF(valor="""",""[VACÍO]"",TO_TEXT(valor))
)
))))
),""ERROR EN FÓRMULA""))"),"NO APLICA")</f>
        <v>NO APLICA</v>
      </c>
    </row>
    <row r="2059">
      <c r="A2059" s="83" t="s">
        <v>4618</v>
      </c>
      <c r="B2059" s="83" t="s">
        <v>4619</v>
      </c>
      <c r="C2059" s="81" t="s">
        <v>4621</v>
      </c>
      <c r="D2059" s="83" t="s">
        <v>4770</v>
      </c>
      <c r="E2059" s="81" t="s">
        <v>3688</v>
      </c>
      <c r="F2059" s="84">
        <v>703.0</v>
      </c>
      <c r="G2059" s="81" t="s">
        <v>44</v>
      </c>
      <c r="H2059" s="81" t="s">
        <v>224</v>
      </c>
      <c r="I2059" s="81" t="s">
        <v>3688</v>
      </c>
      <c r="J2059" s="81" t="s">
        <v>4088</v>
      </c>
      <c r="K2059" s="81" t="str">
        <f>IFERROR(__xludf.DUMMYFUNCTION("IF(OR(D2059="""",G2059=""""),"""",IFERROR(LET(
campo,XLOOKUP(TRIM(G2059),ARRAYFORMULA(TRIM('indice columnas'!$A$2:$A$100)),'indice columnas'!$B$2:$B$100,""""),
col,IFERROR(MATCH(campo,Referencia!$A$1:$AZ$1,0),0),
fila,IFERROR(MATCH(TO_TEXT(D2059),ARRAYFOR"&amp;"MULA(TO_TEXT(Referencia!$A$2:$A6238)),0),0),
IF(OR(campo="""",campo=""-""),""NO APLICA"",
IF(col=0,""REVISAR EQUIVALENCIA"",
IF(fila=0,""SKU NO ENCONTRADO"",
LET(
valor,INDEX(Referencia!$A$2:$AZ6238,fila,col),
IF(TRIM(TO_TEXT(valor))=TRIM(TO_TEXT(I2059)),"&amp;"
""OK"",
""NO COINCIDE. Valor verdadero: ""&amp;IF(valor="""",""[VACÍO]"",TO_TEXT(valor))
)
))))
),""ERROR EN FÓRMULA""))"),"NO APLICA")</f>
        <v>NO APLICA</v>
      </c>
    </row>
    <row r="2060">
      <c r="A2060" s="83" t="s">
        <v>4618</v>
      </c>
      <c r="B2060" s="83" t="s">
        <v>4619</v>
      </c>
      <c r="C2060" s="81" t="s">
        <v>4621</v>
      </c>
      <c r="D2060" s="83" t="s">
        <v>4770</v>
      </c>
      <c r="E2060" s="81" t="s">
        <v>3697</v>
      </c>
      <c r="F2060" s="84">
        <v>704.0</v>
      </c>
      <c r="G2060" s="81" t="s">
        <v>7</v>
      </c>
      <c r="H2060" s="81" t="s">
        <v>3623</v>
      </c>
      <c r="I2060" s="81" t="s">
        <v>1134</v>
      </c>
      <c r="J2060" s="81" t="s">
        <v>224</v>
      </c>
      <c r="K2060" s="81" t="str">
        <f>IFERROR(__xludf.DUMMYFUNCTION("IF(OR(D2060="""",G2060=""""),"""",IFERROR(LET(
campo,XLOOKUP(TRIM(G2060),ARRAYFORMULA(TRIM('indice columnas'!$A$2:$A$100)),'indice columnas'!$B$2:$B$100,""""),
col,IFERROR(MATCH(campo,Referencia!$A$1:$AZ$1,0),0),
fila,IFERROR(MATCH(TO_TEXT(D2060),ARRAYFOR"&amp;"MULA(TO_TEXT(Referencia!$A$2:$A6238)),0),0),
IF(OR(campo="""",campo=""-""),""NO APLICA"",
IF(col=0,""REVISAR EQUIVALENCIA"",
IF(fila=0,""SKU NO ENCONTRADO"",
LET(
valor,INDEX(Referencia!$A$2:$AZ6238,fila,col),
IF(TRIM(TO_TEXT(valor))=TRIM(TO_TEXT(I2060)),"&amp;"
""OK"",
""NO COINCIDE. Valor verdadero: ""&amp;IF(valor="""",""[VACÍO]"",TO_TEXT(valor))
)
))))
),""ERROR EN FÓRMULA""))"),"REVISAR EQUIVALENCIA")</f>
        <v>REVISAR EQUIVALENCIA</v>
      </c>
    </row>
    <row r="2061">
      <c r="A2061" s="83" t="s">
        <v>4618</v>
      </c>
      <c r="B2061" s="83" t="s">
        <v>4619</v>
      </c>
      <c r="C2061" s="81" t="s">
        <v>4621</v>
      </c>
      <c r="D2061" s="83" t="s">
        <v>4770</v>
      </c>
      <c r="E2061" s="81" t="s">
        <v>3697</v>
      </c>
      <c r="F2061" s="84">
        <v>704.0</v>
      </c>
      <c r="G2061" s="81" t="s">
        <v>12</v>
      </c>
      <c r="H2061" s="81" t="s">
        <v>224</v>
      </c>
      <c r="I2061" s="81" t="s">
        <v>1549</v>
      </c>
      <c r="J2061" s="81" t="s">
        <v>224</v>
      </c>
      <c r="K2061" s="81" t="str">
        <f>IFERROR(__xludf.DUMMYFUNCTION("IF(OR(D2061="""",G2061=""""),"""",IFERROR(LET(
campo,XLOOKUP(TRIM(G2061),ARRAYFORMULA(TRIM('indice columnas'!$A$2:$A$100)),'indice columnas'!$B$2:$B$100,""""),
col,IFERROR(MATCH(campo,Referencia!$A$1:$AZ$1,0),0),
fila,IFERROR(MATCH(TO_TEXT(D2061),ARRAYFOR"&amp;"MULA(TO_TEXT(Referencia!$A$2:$A6238)),0),0),
IF(OR(campo="""",campo=""-""),""NO APLICA"",
IF(col=0,""REVISAR EQUIVALENCIA"",
IF(fila=0,""SKU NO ENCONTRADO"",
LET(
valor,INDEX(Referencia!$A$2:$AZ6238,fila,col),
IF(TRIM(TO_TEXT(valor))=TRIM(TO_TEXT(I2061)),"&amp;"
""OK"",
""NO COINCIDE. Valor verdadero: ""&amp;IF(valor="""",""[VACÍO]"",TO_TEXT(valor))
)
))))
),""ERROR EN FÓRMULA""))"),"OK")</f>
        <v>OK</v>
      </c>
    </row>
    <row r="2062">
      <c r="A2062" s="83" t="s">
        <v>4618</v>
      </c>
      <c r="B2062" s="83" t="s">
        <v>4619</v>
      </c>
      <c r="C2062" s="81" t="s">
        <v>4621</v>
      </c>
      <c r="D2062" s="83" t="s">
        <v>4770</v>
      </c>
      <c r="E2062" s="81" t="s">
        <v>3697</v>
      </c>
      <c r="F2062" s="84">
        <v>704.0</v>
      </c>
      <c r="G2062" s="81" t="s">
        <v>34</v>
      </c>
      <c r="H2062" s="81" t="s">
        <v>463</v>
      </c>
      <c r="I2062" s="81" t="s">
        <v>112</v>
      </c>
      <c r="J2062" s="81" t="s">
        <v>224</v>
      </c>
      <c r="K2062" s="81" t="str">
        <f>IFERROR(__xludf.DUMMYFUNCTION("IF(OR(D2062="""",G2062=""""),"""",IFERROR(LET(
campo,XLOOKUP(TRIM(G2062),ARRAYFORMULA(TRIM('indice columnas'!$A$2:$A$100)),'indice columnas'!$B$2:$B$100,""""),
col,IFERROR(MATCH(campo,Referencia!$A$1:$AZ$1,0),0),
fila,IFERROR(MATCH(TO_TEXT(D2062),ARRAYFOR"&amp;"MULA(TO_TEXT(Referencia!$A$2:$A6238)),0),0),
IF(OR(campo="""",campo=""-""),""NO APLICA"",
IF(col=0,""REVISAR EQUIVALENCIA"",
IF(fila=0,""SKU NO ENCONTRADO"",
LET(
valor,INDEX(Referencia!$A$2:$AZ6238,fila,col),
IF(TRIM(TO_TEXT(valor))=TRIM(TO_TEXT(I2062)),"&amp;"
""OK"",
""NO COINCIDE. Valor verdadero: ""&amp;IF(valor="""",""[VACÍO]"",TO_TEXT(valor))
)
))))
),""ERROR EN FÓRMULA""))"),"OK")</f>
        <v>OK</v>
      </c>
    </row>
    <row r="2063">
      <c r="A2063" s="83" t="s">
        <v>4618</v>
      </c>
      <c r="B2063" s="83" t="s">
        <v>4619</v>
      </c>
      <c r="C2063" s="81" t="s">
        <v>4621</v>
      </c>
      <c r="D2063" s="83" t="s">
        <v>4770</v>
      </c>
      <c r="E2063" s="81" t="s">
        <v>3697</v>
      </c>
      <c r="F2063" s="84">
        <v>704.0</v>
      </c>
      <c r="G2063" s="81" t="s">
        <v>44</v>
      </c>
      <c r="H2063" s="81" t="s">
        <v>224</v>
      </c>
      <c r="I2063" s="81" t="s">
        <v>3688</v>
      </c>
      <c r="J2063" s="81" t="s">
        <v>4088</v>
      </c>
      <c r="K2063" s="81" t="str">
        <f>IFERROR(__xludf.DUMMYFUNCTION("IF(OR(D2063="""",G2063=""""),"""",IFERROR(LET(
campo,XLOOKUP(TRIM(G2063),ARRAYFORMULA(TRIM('indice columnas'!$A$2:$A$100)),'indice columnas'!$B$2:$B$100,""""),
col,IFERROR(MATCH(campo,Referencia!$A$1:$AZ$1,0),0),
fila,IFERROR(MATCH(TO_TEXT(D2063),ARRAYFOR"&amp;"MULA(TO_TEXT(Referencia!$A$2:$A6238)),0),0),
IF(OR(campo="""",campo=""-""),""NO APLICA"",
IF(col=0,""REVISAR EQUIVALENCIA"",
IF(fila=0,""SKU NO ENCONTRADO"",
LET(
valor,INDEX(Referencia!$A$2:$AZ6238,fila,col),
IF(TRIM(TO_TEXT(valor))=TRIM(TO_TEXT(I2063)),"&amp;"
""OK"",
""NO COINCIDE. Valor verdadero: ""&amp;IF(valor="""",""[VACÍO]"",TO_TEXT(valor))
)
))))
),""ERROR EN FÓRMULA""))"),"NO APLICA")</f>
        <v>NO APLICA</v>
      </c>
    </row>
    <row r="2064">
      <c r="A2064" s="83" t="s">
        <v>4618</v>
      </c>
      <c r="B2064" s="83" t="s">
        <v>4619</v>
      </c>
      <c r="C2064" s="81" t="s">
        <v>4621</v>
      </c>
      <c r="D2064" s="83" t="s">
        <v>4771</v>
      </c>
      <c r="E2064" s="81" t="s">
        <v>3698</v>
      </c>
      <c r="F2064" s="84">
        <v>705.0</v>
      </c>
      <c r="G2064" s="81" t="s">
        <v>7</v>
      </c>
      <c r="H2064" s="81" t="s">
        <v>3623</v>
      </c>
      <c r="I2064" s="81" t="s">
        <v>1134</v>
      </c>
      <c r="J2064" s="81" t="s">
        <v>224</v>
      </c>
      <c r="K2064" s="81" t="str">
        <f>IFERROR(__xludf.DUMMYFUNCTION("IF(OR(D2064="""",G2064=""""),"""",IFERROR(LET(
campo,XLOOKUP(TRIM(G2064),ARRAYFORMULA(TRIM('indice columnas'!$A$2:$A$100)),'indice columnas'!$B$2:$B$100,""""),
col,IFERROR(MATCH(campo,Referencia!$A$1:$AZ$1,0),0),
fila,IFERROR(MATCH(TO_TEXT(D2064),ARRAYFOR"&amp;"MULA(TO_TEXT(Referencia!$A$2:$A6238)),0),0),
IF(OR(campo="""",campo=""-""),""NO APLICA"",
IF(col=0,""REVISAR EQUIVALENCIA"",
IF(fila=0,""SKU NO ENCONTRADO"",
LET(
valor,INDEX(Referencia!$A$2:$AZ6238,fila,col),
IF(TRIM(TO_TEXT(valor))=TRIM(TO_TEXT(I2064)),"&amp;"
""OK"",
""NO COINCIDE. Valor verdadero: ""&amp;IF(valor="""",""[VACÍO]"",TO_TEXT(valor))
)
))))
),""ERROR EN FÓRMULA""))"),"REVISAR EQUIVALENCIA")</f>
        <v>REVISAR EQUIVALENCIA</v>
      </c>
    </row>
    <row r="2065">
      <c r="A2065" s="83" t="s">
        <v>4618</v>
      </c>
      <c r="B2065" s="83" t="s">
        <v>4619</v>
      </c>
      <c r="C2065" s="81" t="s">
        <v>4621</v>
      </c>
      <c r="D2065" s="83" t="s">
        <v>4771</v>
      </c>
      <c r="E2065" s="81" t="s">
        <v>3698</v>
      </c>
      <c r="F2065" s="84">
        <v>705.0</v>
      </c>
      <c r="G2065" s="81" t="s">
        <v>12</v>
      </c>
      <c r="H2065" s="81" t="s">
        <v>224</v>
      </c>
      <c r="I2065" s="81" t="s">
        <v>1549</v>
      </c>
      <c r="J2065" s="81" t="s">
        <v>224</v>
      </c>
      <c r="K2065" s="81" t="str">
        <f>IFERROR(__xludf.DUMMYFUNCTION("IF(OR(D2065="""",G2065=""""),"""",IFERROR(LET(
campo,XLOOKUP(TRIM(G2065),ARRAYFORMULA(TRIM('indice columnas'!$A$2:$A$100)),'indice columnas'!$B$2:$B$100,""""),
col,IFERROR(MATCH(campo,Referencia!$A$1:$AZ$1,0),0),
fila,IFERROR(MATCH(TO_TEXT(D2065),ARRAYFOR"&amp;"MULA(TO_TEXT(Referencia!$A$2:$A6238)),0),0),
IF(OR(campo="""",campo=""-""),""NO APLICA"",
IF(col=0,""REVISAR EQUIVALENCIA"",
IF(fila=0,""SKU NO ENCONTRADO"",
LET(
valor,INDEX(Referencia!$A$2:$AZ6238,fila,col),
IF(TRIM(TO_TEXT(valor))=TRIM(TO_TEXT(I2065)),"&amp;"
""OK"",
""NO COINCIDE. Valor verdadero: ""&amp;IF(valor="""",""[VACÍO]"",TO_TEXT(valor))
)
))))
),""ERROR EN FÓRMULA""))"),"OK")</f>
        <v>OK</v>
      </c>
    </row>
    <row r="2066">
      <c r="A2066" s="83" t="s">
        <v>4618</v>
      </c>
      <c r="B2066" s="83" t="s">
        <v>4619</v>
      </c>
      <c r="C2066" s="81" t="s">
        <v>4621</v>
      </c>
      <c r="D2066" s="83" t="s">
        <v>4771</v>
      </c>
      <c r="E2066" s="81" t="s">
        <v>3698</v>
      </c>
      <c r="F2066" s="84">
        <v>705.0</v>
      </c>
      <c r="G2066" s="81" t="s">
        <v>44</v>
      </c>
      <c r="H2066" s="81" t="s">
        <v>224</v>
      </c>
      <c r="I2066" s="81" t="s">
        <v>3688</v>
      </c>
      <c r="J2066" s="81" t="s">
        <v>4088</v>
      </c>
      <c r="K2066" s="81" t="str">
        <f>IFERROR(__xludf.DUMMYFUNCTION("IF(OR(D2066="""",G2066=""""),"""",IFERROR(LET(
campo,XLOOKUP(TRIM(G2066),ARRAYFORMULA(TRIM('indice columnas'!$A$2:$A$100)),'indice columnas'!$B$2:$B$100,""""),
col,IFERROR(MATCH(campo,Referencia!$A$1:$AZ$1,0),0),
fila,IFERROR(MATCH(TO_TEXT(D2066),ARRAYFOR"&amp;"MULA(TO_TEXT(Referencia!$A$2:$A6238)),0),0),
IF(OR(campo="""",campo=""-""),""NO APLICA"",
IF(col=0,""REVISAR EQUIVALENCIA"",
IF(fila=0,""SKU NO ENCONTRADO"",
LET(
valor,INDEX(Referencia!$A$2:$AZ6238,fila,col),
IF(TRIM(TO_TEXT(valor))=TRIM(TO_TEXT(I2066)),"&amp;"
""OK"",
""NO COINCIDE. Valor verdadero: ""&amp;IF(valor="""",""[VACÍO]"",TO_TEXT(valor))
)
))))
),""ERROR EN FÓRMULA""))"),"NO APLICA")</f>
        <v>NO APLICA</v>
      </c>
    </row>
    <row r="2067">
      <c r="A2067" s="83" t="s">
        <v>4618</v>
      </c>
      <c r="B2067" s="83" t="s">
        <v>4619</v>
      </c>
      <c r="C2067" s="81" t="s">
        <v>4621</v>
      </c>
      <c r="D2067" s="83" t="s">
        <v>4772</v>
      </c>
      <c r="E2067" s="81" t="s">
        <v>3701</v>
      </c>
      <c r="F2067" s="84">
        <v>706.0</v>
      </c>
      <c r="G2067" s="81" t="s">
        <v>7</v>
      </c>
      <c r="H2067" s="81" t="s">
        <v>3623</v>
      </c>
      <c r="I2067" s="81" t="s">
        <v>1134</v>
      </c>
      <c r="J2067" s="81" t="s">
        <v>224</v>
      </c>
      <c r="K2067" s="81" t="str">
        <f>IFERROR(__xludf.DUMMYFUNCTION("IF(OR(D2067="""",G2067=""""),"""",IFERROR(LET(
campo,XLOOKUP(TRIM(G2067),ARRAYFORMULA(TRIM('indice columnas'!$A$2:$A$100)),'indice columnas'!$B$2:$B$100,""""),
col,IFERROR(MATCH(campo,Referencia!$A$1:$AZ$1,0),0),
fila,IFERROR(MATCH(TO_TEXT(D2067),ARRAYFOR"&amp;"MULA(TO_TEXT(Referencia!$A$2:$A6238)),0),0),
IF(OR(campo="""",campo=""-""),""NO APLICA"",
IF(col=0,""REVISAR EQUIVALENCIA"",
IF(fila=0,""SKU NO ENCONTRADO"",
LET(
valor,INDEX(Referencia!$A$2:$AZ6238,fila,col),
IF(TRIM(TO_TEXT(valor))=TRIM(TO_TEXT(I2067)),"&amp;"
""OK"",
""NO COINCIDE. Valor verdadero: ""&amp;IF(valor="""",""[VACÍO]"",TO_TEXT(valor))
)
))))
),""ERROR EN FÓRMULA""))"),"REVISAR EQUIVALENCIA")</f>
        <v>REVISAR EQUIVALENCIA</v>
      </c>
    </row>
    <row r="2068">
      <c r="A2068" s="83" t="s">
        <v>4618</v>
      </c>
      <c r="B2068" s="83" t="s">
        <v>4619</v>
      </c>
      <c r="C2068" s="81" t="s">
        <v>4621</v>
      </c>
      <c r="D2068" s="83" t="s">
        <v>4772</v>
      </c>
      <c r="E2068" s="81" t="s">
        <v>3701</v>
      </c>
      <c r="F2068" s="84">
        <v>706.0</v>
      </c>
      <c r="G2068" s="81" t="s">
        <v>12</v>
      </c>
      <c r="H2068" s="81" t="s">
        <v>224</v>
      </c>
      <c r="I2068" s="81" t="s">
        <v>1549</v>
      </c>
      <c r="J2068" s="81" t="s">
        <v>224</v>
      </c>
      <c r="K2068" s="81" t="str">
        <f>IFERROR(__xludf.DUMMYFUNCTION("IF(OR(D2068="""",G2068=""""),"""",IFERROR(LET(
campo,XLOOKUP(TRIM(G2068),ARRAYFORMULA(TRIM('indice columnas'!$A$2:$A$100)),'indice columnas'!$B$2:$B$100,""""),
col,IFERROR(MATCH(campo,Referencia!$A$1:$AZ$1,0),0),
fila,IFERROR(MATCH(TO_TEXT(D2068),ARRAYFOR"&amp;"MULA(TO_TEXT(Referencia!$A$2:$A6238)),0),0),
IF(OR(campo="""",campo=""-""),""NO APLICA"",
IF(col=0,""REVISAR EQUIVALENCIA"",
IF(fila=0,""SKU NO ENCONTRADO"",
LET(
valor,INDEX(Referencia!$A$2:$AZ6238,fila,col),
IF(TRIM(TO_TEXT(valor))=TRIM(TO_TEXT(I2068)),"&amp;"
""OK"",
""NO COINCIDE. Valor verdadero: ""&amp;IF(valor="""",""[VACÍO]"",TO_TEXT(valor))
)
))))
),""ERROR EN FÓRMULA""))"),"OK")</f>
        <v>OK</v>
      </c>
    </row>
    <row r="2069">
      <c r="A2069" s="83" t="s">
        <v>4618</v>
      </c>
      <c r="B2069" s="83" t="s">
        <v>4619</v>
      </c>
      <c r="C2069" s="81" t="s">
        <v>4621</v>
      </c>
      <c r="D2069" s="83" t="s">
        <v>4772</v>
      </c>
      <c r="E2069" s="81" t="s">
        <v>3701</v>
      </c>
      <c r="F2069" s="84">
        <v>706.0</v>
      </c>
      <c r="G2069" s="81" t="s">
        <v>44</v>
      </c>
      <c r="H2069" s="81" t="s">
        <v>224</v>
      </c>
      <c r="I2069" s="81" t="s">
        <v>3688</v>
      </c>
      <c r="J2069" s="81" t="s">
        <v>4088</v>
      </c>
      <c r="K2069" s="81" t="str">
        <f>IFERROR(__xludf.DUMMYFUNCTION("IF(OR(D2069="""",G2069=""""),"""",IFERROR(LET(
campo,XLOOKUP(TRIM(G2069),ARRAYFORMULA(TRIM('indice columnas'!$A$2:$A$100)),'indice columnas'!$B$2:$B$100,""""),
col,IFERROR(MATCH(campo,Referencia!$A$1:$AZ$1,0),0),
fila,IFERROR(MATCH(TO_TEXT(D2069),ARRAYFOR"&amp;"MULA(TO_TEXT(Referencia!$A$2:$A6238)),0),0),
IF(OR(campo="""",campo=""-""),""NO APLICA"",
IF(col=0,""REVISAR EQUIVALENCIA"",
IF(fila=0,""SKU NO ENCONTRADO"",
LET(
valor,INDEX(Referencia!$A$2:$AZ6238,fila,col),
IF(TRIM(TO_TEXT(valor))=TRIM(TO_TEXT(I2069)),"&amp;"
""OK"",
""NO COINCIDE. Valor verdadero: ""&amp;IF(valor="""",""[VACÍO]"",TO_TEXT(valor))
)
))))
),""ERROR EN FÓRMULA""))"),"NO APLICA")</f>
        <v>NO APLICA</v>
      </c>
    </row>
    <row r="2070">
      <c r="A2070" s="83" t="s">
        <v>4618</v>
      </c>
      <c r="B2070" s="83" t="s">
        <v>4619</v>
      </c>
      <c r="C2070" s="81" t="s">
        <v>4621</v>
      </c>
      <c r="D2070" s="83" t="s">
        <v>4773</v>
      </c>
      <c r="E2070" s="81" t="s">
        <v>3704</v>
      </c>
      <c r="F2070" s="84">
        <v>707.0</v>
      </c>
      <c r="G2070" s="81" t="s">
        <v>7</v>
      </c>
      <c r="H2070" s="81" t="s">
        <v>3623</v>
      </c>
      <c r="I2070" s="81" t="s">
        <v>1134</v>
      </c>
      <c r="J2070" s="81" t="s">
        <v>224</v>
      </c>
      <c r="K2070" s="81" t="str">
        <f>IFERROR(__xludf.DUMMYFUNCTION("IF(OR(D2070="""",G2070=""""),"""",IFERROR(LET(
campo,XLOOKUP(TRIM(G2070),ARRAYFORMULA(TRIM('indice columnas'!$A$2:$A$100)),'indice columnas'!$B$2:$B$100,""""),
col,IFERROR(MATCH(campo,Referencia!$A$1:$AZ$1,0),0),
fila,IFERROR(MATCH(TO_TEXT(D2070),ARRAYFOR"&amp;"MULA(TO_TEXT(Referencia!$A$2:$A6238)),0),0),
IF(OR(campo="""",campo=""-""),""NO APLICA"",
IF(col=0,""REVISAR EQUIVALENCIA"",
IF(fila=0,""SKU NO ENCONTRADO"",
LET(
valor,INDEX(Referencia!$A$2:$AZ6238,fila,col),
IF(TRIM(TO_TEXT(valor))=TRIM(TO_TEXT(I2070)),"&amp;"
""OK"",
""NO COINCIDE. Valor verdadero: ""&amp;IF(valor="""",""[VACÍO]"",TO_TEXT(valor))
)
))))
),""ERROR EN FÓRMULA""))"),"REVISAR EQUIVALENCIA")</f>
        <v>REVISAR EQUIVALENCIA</v>
      </c>
    </row>
    <row r="2071">
      <c r="A2071" s="83" t="s">
        <v>4618</v>
      </c>
      <c r="B2071" s="83" t="s">
        <v>4619</v>
      </c>
      <c r="C2071" s="81" t="s">
        <v>4621</v>
      </c>
      <c r="D2071" s="83" t="s">
        <v>4773</v>
      </c>
      <c r="E2071" s="81" t="s">
        <v>3704</v>
      </c>
      <c r="F2071" s="84">
        <v>707.0</v>
      </c>
      <c r="G2071" s="81" t="s">
        <v>12</v>
      </c>
      <c r="H2071" s="81" t="s">
        <v>224</v>
      </c>
      <c r="I2071" s="81" t="s">
        <v>1549</v>
      </c>
      <c r="J2071" s="81" t="s">
        <v>224</v>
      </c>
      <c r="K2071" s="81" t="str">
        <f>IFERROR(__xludf.DUMMYFUNCTION("IF(OR(D2071="""",G2071=""""),"""",IFERROR(LET(
campo,XLOOKUP(TRIM(G2071),ARRAYFORMULA(TRIM('indice columnas'!$A$2:$A$100)),'indice columnas'!$B$2:$B$100,""""),
col,IFERROR(MATCH(campo,Referencia!$A$1:$AZ$1,0),0),
fila,IFERROR(MATCH(TO_TEXT(D2071),ARRAYFOR"&amp;"MULA(TO_TEXT(Referencia!$A$2:$A6238)),0),0),
IF(OR(campo="""",campo=""-""),""NO APLICA"",
IF(col=0,""REVISAR EQUIVALENCIA"",
IF(fila=0,""SKU NO ENCONTRADO"",
LET(
valor,INDEX(Referencia!$A$2:$AZ6238,fila,col),
IF(TRIM(TO_TEXT(valor))=TRIM(TO_TEXT(I2071)),"&amp;"
""OK"",
""NO COINCIDE. Valor verdadero: ""&amp;IF(valor="""",""[VACÍO]"",TO_TEXT(valor))
)
))))
),""ERROR EN FÓRMULA""))"),"OK")</f>
        <v>OK</v>
      </c>
    </row>
    <row r="2072">
      <c r="A2072" s="83" t="s">
        <v>4618</v>
      </c>
      <c r="B2072" s="83" t="s">
        <v>4619</v>
      </c>
      <c r="C2072" s="81" t="s">
        <v>4621</v>
      </c>
      <c r="D2072" s="83" t="s">
        <v>4773</v>
      </c>
      <c r="E2072" s="81" t="s">
        <v>3704</v>
      </c>
      <c r="F2072" s="84">
        <v>707.0</v>
      </c>
      <c r="G2072" s="81" t="s">
        <v>44</v>
      </c>
      <c r="H2072" s="81" t="s">
        <v>224</v>
      </c>
      <c r="I2072" s="81" t="s">
        <v>3688</v>
      </c>
      <c r="J2072" s="81" t="s">
        <v>4088</v>
      </c>
      <c r="K2072" s="81" t="str">
        <f>IFERROR(__xludf.DUMMYFUNCTION("IF(OR(D2072="""",G2072=""""),"""",IFERROR(LET(
campo,XLOOKUP(TRIM(G2072),ARRAYFORMULA(TRIM('indice columnas'!$A$2:$A$100)),'indice columnas'!$B$2:$B$100,""""),
col,IFERROR(MATCH(campo,Referencia!$A$1:$AZ$1,0),0),
fila,IFERROR(MATCH(TO_TEXT(D2072),ARRAYFOR"&amp;"MULA(TO_TEXT(Referencia!$A$2:$A6238)),0),0),
IF(OR(campo="""",campo=""-""),""NO APLICA"",
IF(col=0,""REVISAR EQUIVALENCIA"",
IF(fila=0,""SKU NO ENCONTRADO"",
LET(
valor,INDEX(Referencia!$A$2:$AZ6238,fila,col),
IF(TRIM(TO_TEXT(valor))=TRIM(TO_TEXT(I2072)),"&amp;"
""OK"",
""NO COINCIDE. Valor verdadero: ""&amp;IF(valor="""",""[VACÍO]"",TO_TEXT(valor))
)
))))
),""ERROR EN FÓRMULA""))"),"NO APLICA")</f>
        <v>NO APLICA</v>
      </c>
    </row>
    <row r="2073">
      <c r="A2073" s="83" t="s">
        <v>4618</v>
      </c>
      <c r="B2073" s="83" t="s">
        <v>4619</v>
      </c>
      <c r="C2073" s="81" t="s">
        <v>4621</v>
      </c>
      <c r="D2073" s="83" t="s">
        <v>4774</v>
      </c>
      <c r="E2073" s="81" t="s">
        <v>3707</v>
      </c>
      <c r="F2073" s="84">
        <v>708.0</v>
      </c>
      <c r="G2073" s="81" t="s">
        <v>7</v>
      </c>
      <c r="H2073" s="81" t="s">
        <v>3623</v>
      </c>
      <c r="I2073" s="81" t="s">
        <v>1134</v>
      </c>
      <c r="J2073" s="81" t="s">
        <v>224</v>
      </c>
      <c r="K2073" s="81" t="str">
        <f>IFERROR(__xludf.DUMMYFUNCTION("IF(OR(D2073="""",G2073=""""),"""",IFERROR(LET(
campo,XLOOKUP(TRIM(G2073),ARRAYFORMULA(TRIM('indice columnas'!$A$2:$A$100)),'indice columnas'!$B$2:$B$100,""""),
col,IFERROR(MATCH(campo,Referencia!$A$1:$AZ$1,0),0),
fila,IFERROR(MATCH(TO_TEXT(D2073),ARRAYFOR"&amp;"MULA(TO_TEXT(Referencia!$A$2:$A6238)),0),0),
IF(OR(campo="""",campo=""-""),""NO APLICA"",
IF(col=0,""REVISAR EQUIVALENCIA"",
IF(fila=0,""SKU NO ENCONTRADO"",
LET(
valor,INDEX(Referencia!$A$2:$AZ6238,fila,col),
IF(TRIM(TO_TEXT(valor))=TRIM(TO_TEXT(I2073)),"&amp;"
""OK"",
""NO COINCIDE. Valor verdadero: ""&amp;IF(valor="""",""[VACÍO]"",TO_TEXT(valor))
)
))))
),""ERROR EN FÓRMULA""))"),"REVISAR EQUIVALENCIA")</f>
        <v>REVISAR EQUIVALENCIA</v>
      </c>
    </row>
    <row r="2074">
      <c r="A2074" s="83" t="s">
        <v>4618</v>
      </c>
      <c r="B2074" s="83" t="s">
        <v>4619</v>
      </c>
      <c r="C2074" s="81" t="s">
        <v>4621</v>
      </c>
      <c r="D2074" s="83" t="s">
        <v>4774</v>
      </c>
      <c r="E2074" s="81" t="s">
        <v>3707</v>
      </c>
      <c r="F2074" s="84">
        <v>708.0</v>
      </c>
      <c r="G2074" s="81" t="s">
        <v>12</v>
      </c>
      <c r="H2074" s="81" t="s">
        <v>224</v>
      </c>
      <c r="I2074" s="81" t="s">
        <v>1549</v>
      </c>
      <c r="J2074" s="81" t="s">
        <v>224</v>
      </c>
      <c r="K2074" s="81" t="str">
        <f>IFERROR(__xludf.DUMMYFUNCTION("IF(OR(D2074="""",G2074=""""),"""",IFERROR(LET(
campo,XLOOKUP(TRIM(G2074),ARRAYFORMULA(TRIM('indice columnas'!$A$2:$A$100)),'indice columnas'!$B$2:$B$100,""""),
col,IFERROR(MATCH(campo,Referencia!$A$1:$AZ$1,0),0),
fila,IFERROR(MATCH(TO_TEXT(D2074),ARRAYFOR"&amp;"MULA(TO_TEXT(Referencia!$A$2:$A6238)),0),0),
IF(OR(campo="""",campo=""-""),""NO APLICA"",
IF(col=0,""REVISAR EQUIVALENCIA"",
IF(fila=0,""SKU NO ENCONTRADO"",
LET(
valor,INDEX(Referencia!$A$2:$AZ6238,fila,col),
IF(TRIM(TO_TEXT(valor))=TRIM(TO_TEXT(I2074)),"&amp;"
""OK"",
""NO COINCIDE. Valor verdadero: ""&amp;IF(valor="""",""[VACÍO]"",TO_TEXT(valor))
)
))))
),""ERROR EN FÓRMULA""))"),"OK")</f>
        <v>OK</v>
      </c>
    </row>
    <row r="2075">
      <c r="A2075" s="83" t="s">
        <v>4618</v>
      </c>
      <c r="B2075" s="83" t="s">
        <v>4619</v>
      </c>
      <c r="C2075" s="81" t="s">
        <v>4621</v>
      </c>
      <c r="D2075" s="83" t="s">
        <v>4774</v>
      </c>
      <c r="E2075" s="81" t="s">
        <v>3707</v>
      </c>
      <c r="F2075" s="84">
        <v>708.0</v>
      </c>
      <c r="G2075" s="81" t="s">
        <v>44</v>
      </c>
      <c r="H2075" s="81" t="s">
        <v>224</v>
      </c>
      <c r="I2075" s="81" t="s">
        <v>3688</v>
      </c>
      <c r="J2075" s="81" t="s">
        <v>4088</v>
      </c>
      <c r="K2075" s="81" t="str">
        <f>IFERROR(__xludf.DUMMYFUNCTION("IF(OR(D2075="""",G2075=""""),"""",IFERROR(LET(
campo,XLOOKUP(TRIM(G2075),ARRAYFORMULA(TRIM('indice columnas'!$A$2:$A$100)),'indice columnas'!$B$2:$B$100,""""),
col,IFERROR(MATCH(campo,Referencia!$A$1:$AZ$1,0),0),
fila,IFERROR(MATCH(TO_TEXT(D2075),ARRAYFOR"&amp;"MULA(TO_TEXT(Referencia!$A$2:$A6238)),0),0),
IF(OR(campo="""",campo=""-""),""NO APLICA"",
IF(col=0,""REVISAR EQUIVALENCIA"",
IF(fila=0,""SKU NO ENCONTRADO"",
LET(
valor,INDEX(Referencia!$A$2:$AZ6238,fila,col),
IF(TRIM(TO_TEXT(valor))=TRIM(TO_TEXT(I2075)),"&amp;"
""OK"",
""NO COINCIDE. Valor verdadero: ""&amp;IF(valor="""",""[VACÍO]"",TO_TEXT(valor))
)
))))
),""ERROR EN FÓRMULA""))"),"NO APLICA")</f>
        <v>NO APLICA</v>
      </c>
    </row>
    <row r="2076">
      <c r="A2076" s="83" t="s">
        <v>4618</v>
      </c>
      <c r="B2076" s="83" t="s">
        <v>4619</v>
      </c>
      <c r="C2076" s="81" t="s">
        <v>4621</v>
      </c>
      <c r="D2076" s="83" t="s">
        <v>4775</v>
      </c>
      <c r="E2076" s="81" t="s">
        <v>3710</v>
      </c>
      <c r="F2076" s="84">
        <v>709.0</v>
      </c>
      <c r="G2076" s="81" t="s">
        <v>7</v>
      </c>
      <c r="H2076" s="81" t="s">
        <v>3623</v>
      </c>
      <c r="I2076" s="81" t="s">
        <v>1134</v>
      </c>
      <c r="J2076" s="81" t="s">
        <v>224</v>
      </c>
      <c r="K2076" s="81" t="str">
        <f>IFERROR(__xludf.DUMMYFUNCTION("IF(OR(D2076="""",G2076=""""),"""",IFERROR(LET(
campo,XLOOKUP(TRIM(G2076),ARRAYFORMULA(TRIM('indice columnas'!$A$2:$A$100)),'indice columnas'!$B$2:$B$100,""""),
col,IFERROR(MATCH(campo,Referencia!$A$1:$AZ$1,0),0),
fila,IFERROR(MATCH(TO_TEXT(D2076),ARRAYFOR"&amp;"MULA(TO_TEXT(Referencia!$A$2:$A6238)),0),0),
IF(OR(campo="""",campo=""-""),""NO APLICA"",
IF(col=0,""REVISAR EQUIVALENCIA"",
IF(fila=0,""SKU NO ENCONTRADO"",
LET(
valor,INDEX(Referencia!$A$2:$AZ6238,fila,col),
IF(TRIM(TO_TEXT(valor))=TRIM(TO_TEXT(I2076)),"&amp;"
""OK"",
""NO COINCIDE. Valor verdadero: ""&amp;IF(valor="""",""[VACÍO]"",TO_TEXT(valor))
)
))))
),""ERROR EN FÓRMULA""))"),"REVISAR EQUIVALENCIA")</f>
        <v>REVISAR EQUIVALENCIA</v>
      </c>
    </row>
    <row r="2077">
      <c r="A2077" s="83" t="s">
        <v>4618</v>
      </c>
      <c r="B2077" s="83" t="s">
        <v>4619</v>
      </c>
      <c r="C2077" s="81" t="s">
        <v>4621</v>
      </c>
      <c r="D2077" s="83" t="s">
        <v>4775</v>
      </c>
      <c r="E2077" s="81" t="s">
        <v>3710</v>
      </c>
      <c r="F2077" s="84">
        <v>709.0</v>
      </c>
      <c r="G2077" s="81" t="s">
        <v>12</v>
      </c>
      <c r="H2077" s="81" t="s">
        <v>224</v>
      </c>
      <c r="I2077" s="81" t="s">
        <v>1549</v>
      </c>
      <c r="J2077" s="81" t="s">
        <v>224</v>
      </c>
      <c r="K2077" s="81" t="str">
        <f>IFERROR(__xludf.DUMMYFUNCTION("IF(OR(D2077="""",G2077=""""),"""",IFERROR(LET(
campo,XLOOKUP(TRIM(G2077),ARRAYFORMULA(TRIM('indice columnas'!$A$2:$A$100)),'indice columnas'!$B$2:$B$100,""""),
col,IFERROR(MATCH(campo,Referencia!$A$1:$AZ$1,0),0),
fila,IFERROR(MATCH(TO_TEXT(D2077),ARRAYFOR"&amp;"MULA(TO_TEXT(Referencia!$A$2:$A6238)),0),0),
IF(OR(campo="""",campo=""-""),""NO APLICA"",
IF(col=0,""REVISAR EQUIVALENCIA"",
IF(fila=0,""SKU NO ENCONTRADO"",
LET(
valor,INDEX(Referencia!$A$2:$AZ6238,fila,col),
IF(TRIM(TO_TEXT(valor))=TRIM(TO_TEXT(I2077)),"&amp;"
""OK"",
""NO COINCIDE. Valor verdadero: ""&amp;IF(valor="""",""[VACÍO]"",TO_TEXT(valor))
)
))))
),""ERROR EN FÓRMULA""))"),"OK")</f>
        <v>OK</v>
      </c>
    </row>
    <row r="2078">
      <c r="A2078" s="83" t="s">
        <v>4618</v>
      </c>
      <c r="B2078" s="83" t="s">
        <v>4619</v>
      </c>
      <c r="C2078" s="81" t="s">
        <v>4621</v>
      </c>
      <c r="D2078" s="83" t="s">
        <v>4775</v>
      </c>
      <c r="E2078" s="81" t="s">
        <v>3710</v>
      </c>
      <c r="F2078" s="84">
        <v>709.0</v>
      </c>
      <c r="G2078" s="81" t="s">
        <v>44</v>
      </c>
      <c r="H2078" s="81" t="s">
        <v>224</v>
      </c>
      <c r="I2078" s="81" t="s">
        <v>3688</v>
      </c>
      <c r="J2078" s="81" t="s">
        <v>4088</v>
      </c>
      <c r="K2078" s="81" t="str">
        <f>IFERROR(__xludf.DUMMYFUNCTION("IF(OR(D2078="""",G2078=""""),"""",IFERROR(LET(
campo,XLOOKUP(TRIM(G2078),ARRAYFORMULA(TRIM('indice columnas'!$A$2:$A$100)),'indice columnas'!$B$2:$B$100,""""),
col,IFERROR(MATCH(campo,Referencia!$A$1:$AZ$1,0),0),
fila,IFERROR(MATCH(TO_TEXT(D2078),ARRAYFOR"&amp;"MULA(TO_TEXT(Referencia!$A$2:$A6238)),0),0),
IF(OR(campo="""",campo=""-""),""NO APLICA"",
IF(col=0,""REVISAR EQUIVALENCIA"",
IF(fila=0,""SKU NO ENCONTRADO"",
LET(
valor,INDEX(Referencia!$A$2:$AZ6238,fila,col),
IF(TRIM(TO_TEXT(valor))=TRIM(TO_TEXT(I2078)),"&amp;"
""OK"",
""NO COINCIDE. Valor verdadero: ""&amp;IF(valor="""",""[VACÍO]"",TO_TEXT(valor))
)
))))
),""ERROR EN FÓRMULA""))"),"NO APLICA")</f>
        <v>NO APLICA</v>
      </c>
    </row>
    <row r="2079">
      <c r="A2079" s="83" t="s">
        <v>4618</v>
      </c>
      <c r="B2079" s="83" t="s">
        <v>4619</v>
      </c>
      <c r="C2079" s="81" t="s">
        <v>4621</v>
      </c>
      <c r="D2079" s="83" t="s">
        <v>4776</v>
      </c>
      <c r="E2079" s="81" t="s">
        <v>3713</v>
      </c>
      <c r="F2079" s="84">
        <v>710.0</v>
      </c>
      <c r="G2079" s="81" t="s">
        <v>44</v>
      </c>
      <c r="H2079" s="81" t="s">
        <v>224</v>
      </c>
      <c r="I2079" s="81" t="s">
        <v>3688</v>
      </c>
      <c r="J2079" s="81" t="s">
        <v>4088</v>
      </c>
      <c r="K2079" s="81" t="str">
        <f>IFERROR(__xludf.DUMMYFUNCTION("IF(OR(D2079="""",G2079=""""),"""",IFERROR(LET(
campo,XLOOKUP(TRIM(G2079),ARRAYFORMULA(TRIM('indice columnas'!$A$2:$A$100)),'indice columnas'!$B$2:$B$100,""""),
col,IFERROR(MATCH(campo,Referencia!$A$1:$AZ$1,0),0),
fila,IFERROR(MATCH(TO_TEXT(D2079),ARRAYFOR"&amp;"MULA(TO_TEXT(Referencia!$A$2:$A6238)),0),0),
IF(OR(campo="""",campo=""-""),""NO APLICA"",
IF(col=0,""REVISAR EQUIVALENCIA"",
IF(fila=0,""SKU NO ENCONTRADO"",
LET(
valor,INDEX(Referencia!$A$2:$AZ6238,fila,col),
IF(TRIM(TO_TEXT(valor))=TRIM(TO_TEXT(I2079)),"&amp;"
""OK"",
""NO COINCIDE. Valor verdadero: ""&amp;IF(valor="""",""[VACÍO]"",TO_TEXT(valor))
)
))))
),""ERROR EN FÓRMULA""))"),"NO APLICA")</f>
        <v>NO APLICA</v>
      </c>
    </row>
    <row r="2080">
      <c r="A2080" s="83" t="s">
        <v>4618</v>
      </c>
      <c r="B2080" s="83" t="s">
        <v>4619</v>
      </c>
      <c r="C2080" s="81" t="s">
        <v>4621</v>
      </c>
      <c r="D2080" s="83" t="s">
        <v>4777</v>
      </c>
      <c r="E2080" s="81" t="s">
        <v>3716</v>
      </c>
      <c r="F2080" s="84">
        <v>711.0</v>
      </c>
      <c r="G2080" s="81" t="s">
        <v>44</v>
      </c>
      <c r="H2080" s="81" t="s">
        <v>224</v>
      </c>
      <c r="I2080" s="81" t="s">
        <v>3751</v>
      </c>
      <c r="J2080" s="81" t="s">
        <v>4088</v>
      </c>
      <c r="K2080" s="81" t="str">
        <f>IFERROR(__xludf.DUMMYFUNCTION("IF(OR(D2080="""",G2080=""""),"""",IFERROR(LET(
campo,XLOOKUP(TRIM(G2080),ARRAYFORMULA(TRIM('indice columnas'!$A$2:$A$100)),'indice columnas'!$B$2:$B$100,""""),
col,IFERROR(MATCH(campo,Referencia!$A$1:$AZ$1,0),0),
fila,IFERROR(MATCH(TO_TEXT(D2080),ARRAYFOR"&amp;"MULA(TO_TEXT(Referencia!$A$2:$A6238)),0),0),
IF(OR(campo="""",campo=""-""),""NO APLICA"",
IF(col=0,""REVISAR EQUIVALENCIA"",
IF(fila=0,""SKU NO ENCONTRADO"",
LET(
valor,INDEX(Referencia!$A$2:$AZ6238,fila,col),
IF(TRIM(TO_TEXT(valor))=TRIM(TO_TEXT(I2080)),"&amp;"
""OK"",
""NO COINCIDE. Valor verdadero: ""&amp;IF(valor="""",""[VACÍO]"",TO_TEXT(valor))
)
))))
),""ERROR EN FÓRMULA""))"),"NO APLICA")</f>
        <v>NO APLICA</v>
      </c>
    </row>
    <row r="2081">
      <c r="A2081" s="83" t="s">
        <v>4618</v>
      </c>
      <c r="B2081" s="83" t="s">
        <v>4619</v>
      </c>
      <c r="C2081" s="81" t="s">
        <v>4621</v>
      </c>
      <c r="D2081" s="83" t="s">
        <v>4777</v>
      </c>
      <c r="E2081" s="81" t="s">
        <v>3730</v>
      </c>
      <c r="F2081" s="84">
        <v>712.0</v>
      </c>
      <c r="G2081" s="81" t="s">
        <v>7</v>
      </c>
      <c r="H2081" s="81" t="s">
        <v>3623</v>
      </c>
      <c r="I2081" s="81" t="s">
        <v>53</v>
      </c>
      <c r="J2081" s="81" t="s">
        <v>224</v>
      </c>
      <c r="K2081" s="81" t="str">
        <f>IFERROR(__xludf.DUMMYFUNCTION("IF(OR(D2081="""",G2081=""""),"""",IFERROR(LET(
campo,XLOOKUP(TRIM(G2081),ARRAYFORMULA(TRIM('indice columnas'!$A$2:$A$100)),'indice columnas'!$B$2:$B$100,""""),
col,IFERROR(MATCH(campo,Referencia!$A$1:$AZ$1,0),0),
fila,IFERROR(MATCH(TO_TEXT(D2081),ARRAYFOR"&amp;"MULA(TO_TEXT(Referencia!$A$2:$A6238)),0),0),
IF(OR(campo="""",campo=""-""),""NO APLICA"",
IF(col=0,""REVISAR EQUIVALENCIA"",
IF(fila=0,""SKU NO ENCONTRADO"",
LET(
valor,INDEX(Referencia!$A$2:$AZ6238,fila,col),
IF(TRIM(TO_TEXT(valor))=TRIM(TO_TEXT(I2081)),"&amp;"
""OK"",
""NO COINCIDE. Valor verdadero: ""&amp;IF(valor="""",""[VACÍO]"",TO_TEXT(valor))
)
))))
),""ERROR EN FÓRMULA""))"),"REVISAR EQUIVALENCIA")</f>
        <v>REVISAR EQUIVALENCIA</v>
      </c>
    </row>
    <row r="2082">
      <c r="A2082" s="83" t="s">
        <v>4618</v>
      </c>
      <c r="B2082" s="83" t="s">
        <v>4619</v>
      </c>
      <c r="C2082" s="81" t="s">
        <v>4621</v>
      </c>
      <c r="D2082" s="83" t="s">
        <v>4777</v>
      </c>
      <c r="E2082" s="81" t="s">
        <v>3730</v>
      </c>
      <c r="F2082" s="84">
        <v>712.0</v>
      </c>
      <c r="G2082" s="81" t="s">
        <v>44</v>
      </c>
      <c r="H2082" s="81" t="s">
        <v>224</v>
      </c>
      <c r="I2082" s="81" t="s">
        <v>3751</v>
      </c>
      <c r="J2082" s="81" t="s">
        <v>4088</v>
      </c>
      <c r="K2082" s="81" t="str">
        <f>IFERROR(__xludf.DUMMYFUNCTION("IF(OR(D2082="""",G2082=""""),"""",IFERROR(LET(
campo,XLOOKUP(TRIM(G2082),ARRAYFORMULA(TRIM('indice columnas'!$A$2:$A$100)),'indice columnas'!$B$2:$B$100,""""),
col,IFERROR(MATCH(campo,Referencia!$A$1:$AZ$1,0),0),
fila,IFERROR(MATCH(TO_TEXT(D2082),ARRAYFOR"&amp;"MULA(TO_TEXT(Referencia!$A$2:$A6238)),0),0),
IF(OR(campo="""",campo=""-""),""NO APLICA"",
IF(col=0,""REVISAR EQUIVALENCIA"",
IF(fila=0,""SKU NO ENCONTRADO"",
LET(
valor,INDEX(Referencia!$A$2:$AZ6238,fila,col),
IF(TRIM(TO_TEXT(valor))=TRIM(TO_TEXT(I2082)),"&amp;"
""OK"",
""NO COINCIDE. Valor verdadero: ""&amp;IF(valor="""",""[VACÍO]"",TO_TEXT(valor))
)
))))
),""ERROR EN FÓRMULA""))"),"NO APLICA")</f>
        <v>NO APLICA</v>
      </c>
    </row>
    <row r="2083">
      <c r="A2083" s="83" t="s">
        <v>4618</v>
      </c>
      <c r="B2083" s="83" t="s">
        <v>4619</v>
      </c>
      <c r="C2083" s="81" t="s">
        <v>4621</v>
      </c>
      <c r="D2083" s="83" t="s">
        <v>4778</v>
      </c>
      <c r="E2083" s="81" t="s">
        <v>3731</v>
      </c>
      <c r="F2083" s="84">
        <v>713.0</v>
      </c>
      <c r="G2083" s="81" t="s">
        <v>7</v>
      </c>
      <c r="H2083" s="81" t="s">
        <v>3623</v>
      </c>
      <c r="I2083" s="81" t="s">
        <v>53</v>
      </c>
      <c r="J2083" s="81" t="s">
        <v>224</v>
      </c>
      <c r="K2083" s="81" t="str">
        <f>IFERROR(__xludf.DUMMYFUNCTION("IF(OR(D2083="""",G2083=""""),"""",IFERROR(LET(
campo,XLOOKUP(TRIM(G2083),ARRAYFORMULA(TRIM('indice columnas'!$A$2:$A$100)),'indice columnas'!$B$2:$B$100,""""),
col,IFERROR(MATCH(campo,Referencia!$A$1:$AZ$1,0),0),
fila,IFERROR(MATCH(TO_TEXT(D2083),ARRAYFOR"&amp;"MULA(TO_TEXT(Referencia!$A$2:$A6238)),0),0),
IF(OR(campo="""",campo=""-""),""NO APLICA"",
IF(col=0,""REVISAR EQUIVALENCIA"",
IF(fila=0,""SKU NO ENCONTRADO"",
LET(
valor,INDEX(Referencia!$A$2:$AZ6238,fila,col),
IF(TRIM(TO_TEXT(valor))=TRIM(TO_TEXT(I2083)),"&amp;"
""OK"",
""NO COINCIDE. Valor verdadero: ""&amp;IF(valor="""",""[VACÍO]"",TO_TEXT(valor))
)
))))
),""ERROR EN FÓRMULA""))"),"REVISAR EQUIVALENCIA")</f>
        <v>REVISAR EQUIVALENCIA</v>
      </c>
    </row>
    <row r="2084">
      <c r="A2084" s="83" t="s">
        <v>4618</v>
      </c>
      <c r="B2084" s="83" t="s">
        <v>4619</v>
      </c>
      <c r="C2084" s="81" t="s">
        <v>4621</v>
      </c>
      <c r="D2084" s="83" t="s">
        <v>4778</v>
      </c>
      <c r="E2084" s="81" t="s">
        <v>3731</v>
      </c>
      <c r="F2084" s="84">
        <v>713.0</v>
      </c>
      <c r="G2084" s="81" t="s">
        <v>44</v>
      </c>
      <c r="H2084" s="81" t="s">
        <v>224</v>
      </c>
      <c r="I2084" s="81" t="s">
        <v>3751</v>
      </c>
      <c r="J2084" s="81" t="s">
        <v>4088</v>
      </c>
      <c r="K2084" s="81" t="str">
        <f>IFERROR(__xludf.DUMMYFUNCTION("IF(OR(D2084="""",G2084=""""),"""",IFERROR(LET(
campo,XLOOKUP(TRIM(G2084),ARRAYFORMULA(TRIM('indice columnas'!$A$2:$A$100)),'indice columnas'!$B$2:$B$100,""""),
col,IFERROR(MATCH(campo,Referencia!$A$1:$AZ$1,0),0),
fila,IFERROR(MATCH(TO_TEXT(D2084),ARRAYFOR"&amp;"MULA(TO_TEXT(Referencia!$A$2:$A6238)),0),0),
IF(OR(campo="""",campo=""-""),""NO APLICA"",
IF(col=0,""REVISAR EQUIVALENCIA"",
IF(fila=0,""SKU NO ENCONTRADO"",
LET(
valor,INDEX(Referencia!$A$2:$AZ6238,fila,col),
IF(TRIM(TO_TEXT(valor))=TRIM(TO_TEXT(I2084)),"&amp;"
""OK"",
""NO COINCIDE. Valor verdadero: ""&amp;IF(valor="""",""[VACÍO]"",TO_TEXT(valor))
)
))))
),""ERROR EN FÓRMULA""))"),"NO APLICA")</f>
        <v>NO APLICA</v>
      </c>
    </row>
    <row r="2085">
      <c r="A2085" s="83" t="s">
        <v>4618</v>
      </c>
      <c r="B2085" s="83" t="s">
        <v>4619</v>
      </c>
      <c r="C2085" s="81" t="s">
        <v>4621</v>
      </c>
      <c r="D2085" s="83" t="s">
        <v>4779</v>
      </c>
      <c r="E2085" s="81" t="s">
        <v>3735</v>
      </c>
      <c r="F2085" s="84">
        <v>714.0</v>
      </c>
      <c r="G2085" s="81" t="s">
        <v>44</v>
      </c>
      <c r="H2085" s="81" t="s">
        <v>224</v>
      </c>
      <c r="I2085" s="81" t="s">
        <v>3751</v>
      </c>
      <c r="J2085" s="81" t="s">
        <v>4088</v>
      </c>
      <c r="K2085" s="81" t="str">
        <f>IFERROR(__xludf.DUMMYFUNCTION("IF(OR(D2085="""",G2085=""""),"""",IFERROR(LET(
campo,XLOOKUP(TRIM(G2085),ARRAYFORMULA(TRIM('indice columnas'!$A$2:$A$100)),'indice columnas'!$B$2:$B$100,""""),
col,IFERROR(MATCH(campo,Referencia!$A$1:$AZ$1,0),0),
fila,IFERROR(MATCH(TO_TEXT(D2085),ARRAYFOR"&amp;"MULA(TO_TEXT(Referencia!$A$2:$A6238)),0),0),
IF(OR(campo="""",campo=""-""),""NO APLICA"",
IF(col=0,""REVISAR EQUIVALENCIA"",
IF(fila=0,""SKU NO ENCONTRADO"",
LET(
valor,INDEX(Referencia!$A$2:$AZ6238,fila,col),
IF(TRIM(TO_TEXT(valor))=TRIM(TO_TEXT(I2085)),"&amp;"
""OK"",
""NO COINCIDE. Valor verdadero: ""&amp;IF(valor="""",""[VACÍO]"",TO_TEXT(valor))
)
))))
),""ERROR EN FÓRMULA""))"),"NO APLICA")</f>
        <v>NO APLICA</v>
      </c>
    </row>
    <row r="2086">
      <c r="A2086" s="83" t="s">
        <v>4618</v>
      </c>
      <c r="B2086" s="83" t="s">
        <v>4619</v>
      </c>
      <c r="C2086" s="81" t="s">
        <v>4621</v>
      </c>
      <c r="D2086" s="83" t="s">
        <v>4779</v>
      </c>
      <c r="E2086" s="81" t="s">
        <v>3746</v>
      </c>
      <c r="F2086" s="84">
        <v>715.0</v>
      </c>
      <c r="G2086" s="81" t="s">
        <v>7</v>
      </c>
      <c r="H2086" s="81" t="s">
        <v>3623</v>
      </c>
      <c r="I2086" s="81" t="s">
        <v>53</v>
      </c>
      <c r="J2086" s="81" t="s">
        <v>224</v>
      </c>
      <c r="K2086" s="81" t="str">
        <f>IFERROR(__xludf.DUMMYFUNCTION("IF(OR(D2086="""",G2086=""""),"""",IFERROR(LET(
campo,XLOOKUP(TRIM(G2086),ARRAYFORMULA(TRIM('indice columnas'!$A$2:$A$100)),'indice columnas'!$B$2:$B$100,""""),
col,IFERROR(MATCH(campo,Referencia!$A$1:$AZ$1,0),0),
fila,IFERROR(MATCH(TO_TEXT(D2086),ARRAYFOR"&amp;"MULA(TO_TEXT(Referencia!$A$2:$A6238)),0),0),
IF(OR(campo="""",campo=""-""),""NO APLICA"",
IF(col=0,""REVISAR EQUIVALENCIA"",
IF(fila=0,""SKU NO ENCONTRADO"",
LET(
valor,INDEX(Referencia!$A$2:$AZ6238,fila,col),
IF(TRIM(TO_TEXT(valor))=TRIM(TO_TEXT(I2086)),"&amp;"
""OK"",
""NO COINCIDE. Valor verdadero: ""&amp;IF(valor="""",""[VACÍO]"",TO_TEXT(valor))
)
))))
),""ERROR EN FÓRMULA""))"),"REVISAR EQUIVALENCIA")</f>
        <v>REVISAR EQUIVALENCIA</v>
      </c>
    </row>
    <row r="2087">
      <c r="A2087" s="83" t="s">
        <v>4618</v>
      </c>
      <c r="B2087" s="83" t="s">
        <v>4619</v>
      </c>
      <c r="C2087" s="81" t="s">
        <v>4621</v>
      </c>
      <c r="D2087" s="83" t="s">
        <v>4779</v>
      </c>
      <c r="E2087" s="81" t="s">
        <v>3746</v>
      </c>
      <c r="F2087" s="84">
        <v>715.0</v>
      </c>
      <c r="G2087" s="81" t="s">
        <v>44</v>
      </c>
      <c r="H2087" s="81" t="s">
        <v>224</v>
      </c>
      <c r="I2087" s="81" t="s">
        <v>3751</v>
      </c>
      <c r="J2087" s="81" t="s">
        <v>4088</v>
      </c>
      <c r="K2087" s="81" t="str">
        <f>IFERROR(__xludf.DUMMYFUNCTION("IF(OR(D2087="""",G2087=""""),"""",IFERROR(LET(
campo,XLOOKUP(TRIM(G2087),ARRAYFORMULA(TRIM('indice columnas'!$A$2:$A$100)),'indice columnas'!$B$2:$B$100,""""),
col,IFERROR(MATCH(campo,Referencia!$A$1:$AZ$1,0),0),
fila,IFERROR(MATCH(TO_TEXT(D2087),ARRAYFOR"&amp;"MULA(TO_TEXT(Referencia!$A$2:$A6238)),0),0),
IF(OR(campo="""",campo=""-""),""NO APLICA"",
IF(col=0,""REVISAR EQUIVALENCIA"",
IF(fila=0,""SKU NO ENCONTRADO"",
LET(
valor,INDEX(Referencia!$A$2:$AZ6238,fila,col),
IF(TRIM(TO_TEXT(valor))=TRIM(TO_TEXT(I2087)),"&amp;"
""OK"",
""NO COINCIDE. Valor verdadero: ""&amp;IF(valor="""",""[VACÍO]"",TO_TEXT(valor))
)
))))
),""ERROR EN FÓRMULA""))"),"NO APLICA")</f>
        <v>NO APLICA</v>
      </c>
    </row>
    <row r="2088">
      <c r="A2088" s="83" t="s">
        <v>4618</v>
      </c>
      <c r="B2088" s="83" t="s">
        <v>4619</v>
      </c>
      <c r="C2088" s="81" t="s">
        <v>4621</v>
      </c>
      <c r="D2088" s="83" t="s">
        <v>4780</v>
      </c>
      <c r="E2088" s="81" t="s">
        <v>3747</v>
      </c>
      <c r="F2088" s="84">
        <v>716.0</v>
      </c>
      <c r="G2088" s="81" t="s">
        <v>7</v>
      </c>
      <c r="H2088" s="81" t="s">
        <v>3623</v>
      </c>
      <c r="I2088" s="81" t="s">
        <v>53</v>
      </c>
      <c r="J2088" s="81" t="s">
        <v>224</v>
      </c>
      <c r="K2088" s="81" t="str">
        <f>IFERROR(__xludf.DUMMYFUNCTION("IF(OR(D2088="""",G2088=""""),"""",IFERROR(LET(
campo,XLOOKUP(TRIM(G2088),ARRAYFORMULA(TRIM('indice columnas'!$A$2:$A$100)),'indice columnas'!$B$2:$B$100,""""),
col,IFERROR(MATCH(campo,Referencia!$A$1:$AZ$1,0),0),
fila,IFERROR(MATCH(TO_TEXT(D2088),ARRAYFOR"&amp;"MULA(TO_TEXT(Referencia!$A$2:$A6238)),0),0),
IF(OR(campo="""",campo=""-""),""NO APLICA"",
IF(col=0,""REVISAR EQUIVALENCIA"",
IF(fila=0,""SKU NO ENCONTRADO"",
LET(
valor,INDEX(Referencia!$A$2:$AZ6238,fila,col),
IF(TRIM(TO_TEXT(valor))=TRIM(TO_TEXT(I2088)),"&amp;"
""OK"",
""NO COINCIDE. Valor verdadero: ""&amp;IF(valor="""",""[VACÍO]"",TO_TEXT(valor))
)
))))
),""ERROR EN FÓRMULA""))"),"REVISAR EQUIVALENCIA")</f>
        <v>REVISAR EQUIVALENCIA</v>
      </c>
    </row>
    <row r="2089">
      <c r="A2089" s="83" t="s">
        <v>4618</v>
      </c>
      <c r="B2089" s="83" t="s">
        <v>4619</v>
      </c>
      <c r="C2089" s="81" t="s">
        <v>4621</v>
      </c>
      <c r="D2089" s="83" t="s">
        <v>4780</v>
      </c>
      <c r="E2089" s="81" t="s">
        <v>3747</v>
      </c>
      <c r="F2089" s="84">
        <v>716.0</v>
      </c>
      <c r="G2089" s="81" t="s">
        <v>44</v>
      </c>
      <c r="H2089" s="81" t="s">
        <v>224</v>
      </c>
      <c r="I2089" s="81" t="s">
        <v>3751</v>
      </c>
      <c r="J2089" s="81" t="s">
        <v>4088</v>
      </c>
      <c r="K2089" s="81" t="str">
        <f>IFERROR(__xludf.DUMMYFUNCTION("IF(OR(D2089="""",G2089=""""),"""",IFERROR(LET(
campo,XLOOKUP(TRIM(G2089),ARRAYFORMULA(TRIM('indice columnas'!$A$2:$A$100)),'indice columnas'!$B$2:$B$100,""""),
col,IFERROR(MATCH(campo,Referencia!$A$1:$AZ$1,0),0),
fila,IFERROR(MATCH(TO_TEXT(D2089),ARRAYFOR"&amp;"MULA(TO_TEXT(Referencia!$A$2:$A6238)),0),0),
IF(OR(campo="""",campo=""-""),""NO APLICA"",
IF(col=0,""REVISAR EQUIVALENCIA"",
IF(fila=0,""SKU NO ENCONTRADO"",
LET(
valor,INDEX(Referencia!$A$2:$AZ6238,fila,col),
IF(TRIM(TO_TEXT(valor))=TRIM(TO_TEXT(I2089)),"&amp;"
""OK"",
""NO COINCIDE. Valor verdadero: ""&amp;IF(valor="""",""[VACÍO]"",TO_TEXT(valor))
)
))))
),""ERROR EN FÓRMULA""))"),"NO APLICA")</f>
        <v>NO APLICA</v>
      </c>
    </row>
    <row r="2090">
      <c r="A2090" s="83" t="s">
        <v>4618</v>
      </c>
      <c r="B2090" s="83" t="s">
        <v>4619</v>
      </c>
      <c r="C2090" s="81" t="s">
        <v>4621</v>
      </c>
      <c r="D2090" s="83" t="s">
        <v>4781</v>
      </c>
      <c r="E2090" s="81" t="s">
        <v>3751</v>
      </c>
      <c r="F2090" s="84">
        <v>717.0</v>
      </c>
      <c r="G2090" s="81" t="s">
        <v>44</v>
      </c>
      <c r="H2090" s="81" t="s">
        <v>224</v>
      </c>
      <c r="I2090" s="81" t="s">
        <v>3751</v>
      </c>
      <c r="J2090" s="81" t="s">
        <v>4088</v>
      </c>
      <c r="K2090" s="81" t="str">
        <f>IFERROR(__xludf.DUMMYFUNCTION("IF(OR(D2090="""",G2090=""""),"""",IFERROR(LET(
campo,XLOOKUP(TRIM(G2090),ARRAYFORMULA(TRIM('indice columnas'!$A$2:$A$100)),'indice columnas'!$B$2:$B$100,""""),
col,IFERROR(MATCH(campo,Referencia!$A$1:$AZ$1,0),0),
fila,IFERROR(MATCH(TO_TEXT(D2090),ARRAYFOR"&amp;"MULA(TO_TEXT(Referencia!$A$2:$A6238)),0),0),
IF(OR(campo="""",campo=""-""),""NO APLICA"",
IF(col=0,""REVISAR EQUIVALENCIA"",
IF(fila=0,""SKU NO ENCONTRADO"",
LET(
valor,INDEX(Referencia!$A$2:$AZ6238,fila,col),
IF(TRIM(TO_TEXT(valor))=TRIM(TO_TEXT(I2090)),"&amp;"
""OK"",
""NO COINCIDE. Valor verdadero: ""&amp;IF(valor="""",""[VACÍO]"",TO_TEXT(valor))
)
))))
),""ERROR EN FÓRMULA""))"),"NO APLICA")</f>
        <v>NO APLICA</v>
      </c>
    </row>
    <row r="2091">
      <c r="A2091" s="83" t="s">
        <v>4618</v>
      </c>
      <c r="B2091" s="83" t="s">
        <v>4619</v>
      </c>
      <c r="C2091" s="81" t="s">
        <v>4621</v>
      </c>
      <c r="D2091" s="83" t="s">
        <v>4781</v>
      </c>
      <c r="E2091" s="81" t="s">
        <v>3761</v>
      </c>
      <c r="F2091" s="84">
        <v>718.0</v>
      </c>
      <c r="G2091" s="81" t="s">
        <v>7</v>
      </c>
      <c r="H2091" s="81" t="s">
        <v>3623</v>
      </c>
      <c r="I2091" s="81" t="s">
        <v>53</v>
      </c>
      <c r="J2091" s="81" t="s">
        <v>224</v>
      </c>
      <c r="K2091" s="81" t="str">
        <f>IFERROR(__xludf.DUMMYFUNCTION("IF(OR(D2091="""",G2091=""""),"""",IFERROR(LET(
campo,XLOOKUP(TRIM(G2091),ARRAYFORMULA(TRIM('indice columnas'!$A$2:$A$100)),'indice columnas'!$B$2:$B$100,""""),
col,IFERROR(MATCH(campo,Referencia!$A$1:$AZ$1,0),0),
fila,IFERROR(MATCH(TO_TEXT(D2091),ARRAYFOR"&amp;"MULA(TO_TEXT(Referencia!$A$2:$A6238)),0),0),
IF(OR(campo="""",campo=""-""),""NO APLICA"",
IF(col=0,""REVISAR EQUIVALENCIA"",
IF(fila=0,""SKU NO ENCONTRADO"",
LET(
valor,INDEX(Referencia!$A$2:$AZ6238,fila,col),
IF(TRIM(TO_TEXT(valor))=TRIM(TO_TEXT(I2091)),"&amp;"
""OK"",
""NO COINCIDE. Valor verdadero: ""&amp;IF(valor="""",""[VACÍO]"",TO_TEXT(valor))
)
))))
),""ERROR EN FÓRMULA""))"),"REVISAR EQUIVALENCIA")</f>
        <v>REVISAR EQUIVALENCIA</v>
      </c>
    </row>
    <row r="2092">
      <c r="A2092" s="83" t="s">
        <v>4618</v>
      </c>
      <c r="B2092" s="83" t="s">
        <v>4619</v>
      </c>
      <c r="C2092" s="81" t="s">
        <v>4621</v>
      </c>
      <c r="D2092" s="83" t="s">
        <v>4781</v>
      </c>
      <c r="E2092" s="81" t="s">
        <v>3761</v>
      </c>
      <c r="F2092" s="84">
        <v>718.0</v>
      </c>
      <c r="G2092" s="81" t="s">
        <v>44</v>
      </c>
      <c r="H2092" s="81" t="s">
        <v>224</v>
      </c>
      <c r="I2092" s="81" t="s">
        <v>3751</v>
      </c>
      <c r="J2092" s="81" t="s">
        <v>4088</v>
      </c>
      <c r="K2092" s="81" t="str">
        <f>IFERROR(__xludf.DUMMYFUNCTION("IF(OR(D2092="""",G2092=""""),"""",IFERROR(LET(
campo,XLOOKUP(TRIM(G2092),ARRAYFORMULA(TRIM('indice columnas'!$A$2:$A$100)),'indice columnas'!$B$2:$B$100,""""),
col,IFERROR(MATCH(campo,Referencia!$A$1:$AZ$1,0),0),
fila,IFERROR(MATCH(TO_TEXT(D2092),ARRAYFOR"&amp;"MULA(TO_TEXT(Referencia!$A$2:$A6238)),0),0),
IF(OR(campo="""",campo=""-""),""NO APLICA"",
IF(col=0,""REVISAR EQUIVALENCIA"",
IF(fila=0,""SKU NO ENCONTRADO"",
LET(
valor,INDEX(Referencia!$A$2:$AZ6238,fila,col),
IF(TRIM(TO_TEXT(valor))=TRIM(TO_TEXT(I2092)),"&amp;"
""OK"",
""NO COINCIDE. Valor verdadero: ""&amp;IF(valor="""",""[VACÍO]"",TO_TEXT(valor))
)
))))
),""ERROR EN FÓRMULA""))"),"NO APLICA")</f>
        <v>NO APLICA</v>
      </c>
    </row>
    <row r="2093">
      <c r="A2093" s="83" t="s">
        <v>4618</v>
      </c>
      <c r="B2093" s="83" t="s">
        <v>4619</v>
      </c>
      <c r="C2093" s="81" t="s">
        <v>4621</v>
      </c>
      <c r="D2093" s="83" t="s">
        <v>4782</v>
      </c>
      <c r="E2093" s="81" t="s">
        <v>3762</v>
      </c>
      <c r="F2093" s="84">
        <v>719.0</v>
      </c>
      <c r="G2093" s="81" t="s">
        <v>7</v>
      </c>
      <c r="H2093" s="81" t="s">
        <v>3623</v>
      </c>
      <c r="I2093" s="81" t="s">
        <v>53</v>
      </c>
      <c r="J2093" s="81" t="s">
        <v>224</v>
      </c>
      <c r="K2093" s="81" t="str">
        <f>IFERROR(__xludf.DUMMYFUNCTION("IF(OR(D2093="""",G2093=""""),"""",IFERROR(LET(
campo,XLOOKUP(TRIM(G2093),ARRAYFORMULA(TRIM('indice columnas'!$A$2:$A$100)),'indice columnas'!$B$2:$B$100,""""),
col,IFERROR(MATCH(campo,Referencia!$A$1:$AZ$1,0),0),
fila,IFERROR(MATCH(TO_TEXT(D2093),ARRAYFOR"&amp;"MULA(TO_TEXT(Referencia!$A$2:$A6238)),0),0),
IF(OR(campo="""",campo=""-""),""NO APLICA"",
IF(col=0,""REVISAR EQUIVALENCIA"",
IF(fila=0,""SKU NO ENCONTRADO"",
LET(
valor,INDEX(Referencia!$A$2:$AZ6238,fila,col),
IF(TRIM(TO_TEXT(valor))=TRIM(TO_TEXT(I2093)),"&amp;"
""OK"",
""NO COINCIDE. Valor verdadero: ""&amp;IF(valor="""",""[VACÍO]"",TO_TEXT(valor))
)
))))
),""ERROR EN FÓRMULA""))"),"REVISAR EQUIVALENCIA")</f>
        <v>REVISAR EQUIVALENCIA</v>
      </c>
    </row>
    <row r="2094">
      <c r="A2094" s="83" t="s">
        <v>4618</v>
      </c>
      <c r="B2094" s="83" t="s">
        <v>4619</v>
      </c>
      <c r="C2094" s="81" t="s">
        <v>4621</v>
      </c>
      <c r="D2094" s="83" t="s">
        <v>4782</v>
      </c>
      <c r="E2094" s="81" t="s">
        <v>3762</v>
      </c>
      <c r="F2094" s="84">
        <v>719.0</v>
      </c>
      <c r="G2094" s="81" t="s">
        <v>44</v>
      </c>
      <c r="H2094" s="81" t="s">
        <v>224</v>
      </c>
      <c r="I2094" s="81" t="s">
        <v>3751</v>
      </c>
      <c r="J2094" s="81" t="s">
        <v>4088</v>
      </c>
      <c r="K2094" s="81" t="str">
        <f>IFERROR(__xludf.DUMMYFUNCTION("IF(OR(D2094="""",G2094=""""),"""",IFERROR(LET(
campo,XLOOKUP(TRIM(G2094),ARRAYFORMULA(TRIM('indice columnas'!$A$2:$A$100)),'indice columnas'!$B$2:$B$100,""""),
col,IFERROR(MATCH(campo,Referencia!$A$1:$AZ$1,0),0),
fila,IFERROR(MATCH(TO_TEXT(D2094),ARRAYFOR"&amp;"MULA(TO_TEXT(Referencia!$A$2:$A6238)),0),0),
IF(OR(campo="""",campo=""-""),""NO APLICA"",
IF(col=0,""REVISAR EQUIVALENCIA"",
IF(fila=0,""SKU NO ENCONTRADO"",
LET(
valor,INDEX(Referencia!$A$2:$AZ6238,fila,col),
IF(TRIM(TO_TEXT(valor))=TRIM(TO_TEXT(I2094)),"&amp;"
""OK"",
""NO COINCIDE. Valor verdadero: ""&amp;IF(valor="""",""[VACÍO]"",TO_TEXT(valor))
)
))))
),""ERROR EN FÓRMULA""))"),"NO APLICA")</f>
        <v>NO APLICA</v>
      </c>
    </row>
    <row r="2095">
      <c r="A2095" s="83" t="s">
        <v>4618</v>
      </c>
      <c r="B2095" s="83" t="s">
        <v>4619</v>
      </c>
      <c r="C2095" s="81" t="s">
        <v>4621</v>
      </c>
      <c r="D2095" s="83" t="s">
        <v>4783</v>
      </c>
      <c r="E2095" s="81" t="s">
        <v>3766</v>
      </c>
      <c r="F2095" s="84">
        <v>720.0</v>
      </c>
      <c r="G2095" s="81" t="s">
        <v>44</v>
      </c>
      <c r="H2095" s="81" t="s">
        <v>4784</v>
      </c>
      <c r="I2095" s="81" t="s">
        <v>3042</v>
      </c>
      <c r="J2095" s="81" t="s">
        <v>4088</v>
      </c>
      <c r="K2095" s="81" t="str">
        <f>IFERROR(__xludf.DUMMYFUNCTION("IF(OR(D2095="""",G2095=""""),"""",IFERROR(LET(
campo,XLOOKUP(TRIM(G2095),ARRAYFORMULA(TRIM('indice columnas'!$A$2:$A$100)),'indice columnas'!$B$2:$B$100,""""),
col,IFERROR(MATCH(campo,Referencia!$A$1:$AZ$1,0),0),
fila,IFERROR(MATCH(TO_TEXT(D2095),ARRAYFOR"&amp;"MULA(TO_TEXT(Referencia!$A$2:$A6238)),0),0),
IF(OR(campo="""",campo=""-""),""NO APLICA"",
IF(col=0,""REVISAR EQUIVALENCIA"",
IF(fila=0,""SKU NO ENCONTRADO"",
LET(
valor,INDEX(Referencia!$A$2:$AZ6238,fila,col),
IF(TRIM(TO_TEXT(valor))=TRIM(TO_TEXT(I2095)),"&amp;"
""OK"",
""NO COINCIDE. Valor verdadero: ""&amp;IF(valor="""",""[VACÍO]"",TO_TEXT(valor))
)
))))
),""ERROR EN FÓRMULA""))"),"NO APLICA")</f>
        <v>NO APLICA</v>
      </c>
    </row>
    <row r="2096">
      <c r="A2096" s="83" t="s">
        <v>4618</v>
      </c>
      <c r="B2096" s="83" t="s">
        <v>4619</v>
      </c>
      <c r="C2096" s="81" t="s">
        <v>4621</v>
      </c>
      <c r="D2096" s="83" t="s">
        <v>4783</v>
      </c>
      <c r="E2096" s="81" t="s">
        <v>3777</v>
      </c>
      <c r="F2096" s="84">
        <v>721.0</v>
      </c>
      <c r="G2096" s="81" t="s">
        <v>7</v>
      </c>
      <c r="H2096" s="81" t="s">
        <v>3623</v>
      </c>
      <c r="I2096" s="81" t="s">
        <v>53</v>
      </c>
      <c r="J2096" s="81" t="s">
        <v>224</v>
      </c>
      <c r="K2096" s="81" t="str">
        <f>IFERROR(__xludf.DUMMYFUNCTION("IF(OR(D2096="""",G2096=""""),"""",IFERROR(LET(
campo,XLOOKUP(TRIM(G2096),ARRAYFORMULA(TRIM('indice columnas'!$A$2:$A$100)),'indice columnas'!$B$2:$B$100,""""),
col,IFERROR(MATCH(campo,Referencia!$A$1:$AZ$1,0),0),
fila,IFERROR(MATCH(TO_TEXT(D2096),ARRAYFOR"&amp;"MULA(TO_TEXT(Referencia!$A$2:$A6238)),0),0),
IF(OR(campo="""",campo=""-""),""NO APLICA"",
IF(col=0,""REVISAR EQUIVALENCIA"",
IF(fila=0,""SKU NO ENCONTRADO"",
LET(
valor,INDEX(Referencia!$A$2:$AZ6238,fila,col),
IF(TRIM(TO_TEXT(valor))=TRIM(TO_TEXT(I2096)),"&amp;"
""OK"",
""NO COINCIDE. Valor verdadero: ""&amp;IF(valor="""",""[VACÍO]"",TO_TEXT(valor))
)
))))
),""ERROR EN FÓRMULA""))"),"REVISAR EQUIVALENCIA")</f>
        <v>REVISAR EQUIVALENCIA</v>
      </c>
    </row>
    <row r="2097">
      <c r="A2097" s="83" t="s">
        <v>4618</v>
      </c>
      <c r="B2097" s="83" t="s">
        <v>4619</v>
      </c>
      <c r="C2097" s="81" t="s">
        <v>4621</v>
      </c>
      <c r="D2097" s="83" t="s">
        <v>4783</v>
      </c>
      <c r="E2097" s="81" t="s">
        <v>3777</v>
      </c>
      <c r="F2097" s="84">
        <v>721.0</v>
      </c>
      <c r="G2097" s="81" t="s">
        <v>44</v>
      </c>
      <c r="H2097" s="81" t="s">
        <v>4784</v>
      </c>
      <c r="I2097" s="81" t="s">
        <v>3042</v>
      </c>
      <c r="J2097" s="81" t="s">
        <v>4088</v>
      </c>
      <c r="K2097" s="81" t="str">
        <f>IFERROR(__xludf.DUMMYFUNCTION("IF(OR(D2097="""",G2097=""""),"""",IFERROR(LET(
campo,XLOOKUP(TRIM(G2097),ARRAYFORMULA(TRIM('indice columnas'!$A$2:$A$100)),'indice columnas'!$B$2:$B$100,""""),
col,IFERROR(MATCH(campo,Referencia!$A$1:$AZ$1,0),0),
fila,IFERROR(MATCH(TO_TEXT(D2097),ARRAYFOR"&amp;"MULA(TO_TEXT(Referencia!$A$2:$A6238)),0),0),
IF(OR(campo="""",campo=""-""),""NO APLICA"",
IF(col=0,""REVISAR EQUIVALENCIA"",
IF(fila=0,""SKU NO ENCONTRADO"",
LET(
valor,INDEX(Referencia!$A$2:$AZ6238,fila,col),
IF(TRIM(TO_TEXT(valor))=TRIM(TO_TEXT(I2097)),"&amp;"
""OK"",
""NO COINCIDE. Valor verdadero: ""&amp;IF(valor="""",""[VACÍO]"",TO_TEXT(valor))
)
))))
),""ERROR EN FÓRMULA""))"),"NO APLICA")</f>
        <v>NO APLICA</v>
      </c>
    </row>
    <row r="2098">
      <c r="A2098" s="83" t="s">
        <v>4618</v>
      </c>
      <c r="B2098" s="83" t="s">
        <v>4619</v>
      </c>
      <c r="C2098" s="81" t="s">
        <v>4621</v>
      </c>
      <c r="D2098" s="83" t="s">
        <v>4785</v>
      </c>
      <c r="E2098" s="81" t="s">
        <v>3778</v>
      </c>
      <c r="F2098" s="84">
        <v>722.0</v>
      </c>
      <c r="G2098" s="81" t="s">
        <v>7</v>
      </c>
      <c r="H2098" s="81" t="s">
        <v>3623</v>
      </c>
      <c r="I2098" s="81" t="s">
        <v>53</v>
      </c>
      <c r="J2098" s="81" t="s">
        <v>224</v>
      </c>
      <c r="K2098" s="81" t="str">
        <f>IFERROR(__xludf.DUMMYFUNCTION("IF(OR(D2098="""",G2098=""""),"""",IFERROR(LET(
campo,XLOOKUP(TRIM(G2098),ARRAYFORMULA(TRIM('indice columnas'!$A$2:$A$100)),'indice columnas'!$B$2:$B$100,""""),
col,IFERROR(MATCH(campo,Referencia!$A$1:$AZ$1,0),0),
fila,IFERROR(MATCH(TO_TEXT(D2098),ARRAYFOR"&amp;"MULA(TO_TEXT(Referencia!$A$2:$A6238)),0),0),
IF(OR(campo="""",campo=""-""),""NO APLICA"",
IF(col=0,""REVISAR EQUIVALENCIA"",
IF(fila=0,""SKU NO ENCONTRADO"",
LET(
valor,INDEX(Referencia!$A$2:$AZ6238,fila,col),
IF(TRIM(TO_TEXT(valor))=TRIM(TO_TEXT(I2098)),"&amp;"
""OK"",
""NO COINCIDE. Valor verdadero: ""&amp;IF(valor="""",""[VACÍO]"",TO_TEXT(valor))
)
))))
),""ERROR EN FÓRMULA""))"),"REVISAR EQUIVALENCIA")</f>
        <v>REVISAR EQUIVALENCIA</v>
      </c>
    </row>
    <row r="2099">
      <c r="A2099" s="83" t="s">
        <v>4618</v>
      </c>
      <c r="B2099" s="83" t="s">
        <v>4619</v>
      </c>
      <c r="C2099" s="81" t="s">
        <v>4621</v>
      </c>
      <c r="D2099" s="83" t="s">
        <v>4785</v>
      </c>
      <c r="E2099" s="81" t="s">
        <v>3778</v>
      </c>
      <c r="F2099" s="84">
        <v>722.0</v>
      </c>
      <c r="G2099" s="81" t="s">
        <v>44</v>
      </c>
      <c r="H2099" s="81" t="s">
        <v>4784</v>
      </c>
      <c r="I2099" s="81" t="s">
        <v>3042</v>
      </c>
      <c r="J2099" s="81" t="s">
        <v>4088</v>
      </c>
      <c r="K2099" s="81" t="str">
        <f>IFERROR(__xludf.DUMMYFUNCTION("IF(OR(D2099="""",G2099=""""),"""",IFERROR(LET(
campo,XLOOKUP(TRIM(G2099),ARRAYFORMULA(TRIM('indice columnas'!$A$2:$A$100)),'indice columnas'!$B$2:$B$100,""""),
col,IFERROR(MATCH(campo,Referencia!$A$1:$AZ$1,0),0),
fila,IFERROR(MATCH(TO_TEXT(D2099),ARRAYFOR"&amp;"MULA(TO_TEXT(Referencia!$A$2:$A6238)),0),0),
IF(OR(campo="""",campo=""-""),""NO APLICA"",
IF(col=0,""REVISAR EQUIVALENCIA"",
IF(fila=0,""SKU NO ENCONTRADO"",
LET(
valor,INDEX(Referencia!$A$2:$AZ6238,fila,col),
IF(TRIM(TO_TEXT(valor))=TRIM(TO_TEXT(I2099)),"&amp;"
""OK"",
""NO COINCIDE. Valor verdadero: ""&amp;IF(valor="""",""[VACÍO]"",TO_TEXT(valor))
)
))))
),""ERROR EN FÓRMULA""))"),"NO APLICA")</f>
        <v>NO APLICA</v>
      </c>
    </row>
    <row r="2100">
      <c r="A2100" s="83" t="s">
        <v>4618</v>
      </c>
      <c r="B2100" s="83" t="s">
        <v>4619</v>
      </c>
      <c r="C2100" s="81" t="s">
        <v>4621</v>
      </c>
      <c r="D2100" s="83" t="s">
        <v>4786</v>
      </c>
      <c r="E2100" s="81" t="s">
        <v>3781</v>
      </c>
      <c r="F2100" s="84">
        <v>723.0</v>
      </c>
      <c r="G2100" s="81" t="s">
        <v>7</v>
      </c>
      <c r="H2100" s="81" t="s">
        <v>3623</v>
      </c>
      <c r="I2100" s="81" t="s">
        <v>53</v>
      </c>
      <c r="J2100" s="81" t="s">
        <v>224</v>
      </c>
      <c r="K2100" s="81" t="str">
        <f>IFERROR(__xludf.DUMMYFUNCTION("IF(OR(D2100="""",G2100=""""),"""",IFERROR(LET(
campo,XLOOKUP(TRIM(G2100),ARRAYFORMULA(TRIM('indice columnas'!$A$2:$A$100)),'indice columnas'!$B$2:$B$100,""""),
col,IFERROR(MATCH(campo,Referencia!$A$1:$AZ$1,0),0),
fila,IFERROR(MATCH(TO_TEXT(D2100),ARRAYFOR"&amp;"MULA(TO_TEXT(Referencia!$A$2:$A6238)),0),0),
IF(OR(campo="""",campo=""-""),""NO APLICA"",
IF(col=0,""REVISAR EQUIVALENCIA"",
IF(fila=0,""SKU NO ENCONTRADO"",
LET(
valor,INDEX(Referencia!$A$2:$AZ6238,fila,col),
IF(TRIM(TO_TEXT(valor))=TRIM(TO_TEXT(I2100)),"&amp;"
""OK"",
""NO COINCIDE. Valor verdadero: ""&amp;IF(valor="""",""[VACÍO]"",TO_TEXT(valor))
)
))))
),""ERROR EN FÓRMULA""))"),"REVISAR EQUIVALENCIA")</f>
        <v>REVISAR EQUIVALENCIA</v>
      </c>
    </row>
    <row r="2101">
      <c r="A2101" s="83" t="s">
        <v>4618</v>
      </c>
      <c r="B2101" s="83" t="s">
        <v>4619</v>
      </c>
      <c r="C2101" s="81" t="s">
        <v>4621</v>
      </c>
      <c r="D2101" s="83" t="s">
        <v>4786</v>
      </c>
      <c r="E2101" s="81" t="s">
        <v>3781</v>
      </c>
      <c r="F2101" s="84">
        <v>723.0</v>
      </c>
      <c r="G2101" s="81" t="s">
        <v>44</v>
      </c>
      <c r="H2101" s="81" t="s">
        <v>4784</v>
      </c>
      <c r="I2101" s="81" t="s">
        <v>3042</v>
      </c>
      <c r="J2101" s="81" t="s">
        <v>4088</v>
      </c>
      <c r="K2101" s="81" t="str">
        <f>IFERROR(__xludf.DUMMYFUNCTION("IF(OR(D2101="""",G2101=""""),"""",IFERROR(LET(
campo,XLOOKUP(TRIM(G2101),ARRAYFORMULA(TRIM('indice columnas'!$A$2:$A$100)),'indice columnas'!$B$2:$B$100,""""),
col,IFERROR(MATCH(campo,Referencia!$A$1:$AZ$1,0),0),
fila,IFERROR(MATCH(TO_TEXT(D2101),ARRAYFOR"&amp;"MULA(TO_TEXT(Referencia!$A$2:$A6238)),0),0),
IF(OR(campo="""",campo=""-""),""NO APLICA"",
IF(col=0,""REVISAR EQUIVALENCIA"",
IF(fila=0,""SKU NO ENCONTRADO"",
LET(
valor,INDEX(Referencia!$A$2:$AZ6238,fila,col),
IF(TRIM(TO_TEXT(valor))=TRIM(TO_TEXT(I2101)),"&amp;"
""OK"",
""NO COINCIDE. Valor verdadero: ""&amp;IF(valor="""",""[VACÍO]"",TO_TEXT(valor))
)
))))
),""ERROR EN FÓRMULA""))"),"NO APLICA")</f>
        <v>NO APLICA</v>
      </c>
    </row>
    <row r="2102">
      <c r="A2102" s="83" t="s">
        <v>4618</v>
      </c>
      <c r="B2102" s="83" t="s">
        <v>4619</v>
      </c>
      <c r="C2102" s="81" t="s">
        <v>4621</v>
      </c>
      <c r="D2102" s="83" t="s">
        <v>4787</v>
      </c>
      <c r="E2102" s="81" t="s">
        <v>3791</v>
      </c>
      <c r="F2102" s="84">
        <v>724.0</v>
      </c>
      <c r="G2102" s="81" t="s">
        <v>7</v>
      </c>
      <c r="H2102" s="81" t="s">
        <v>3623</v>
      </c>
      <c r="I2102" s="81" t="s">
        <v>53</v>
      </c>
      <c r="J2102" s="81" t="s">
        <v>224</v>
      </c>
      <c r="K2102" s="81" t="str">
        <f>IFERROR(__xludf.DUMMYFUNCTION("IF(OR(D2102="""",G2102=""""),"""",IFERROR(LET(
campo,XLOOKUP(TRIM(G2102),ARRAYFORMULA(TRIM('indice columnas'!$A$2:$A$100)),'indice columnas'!$B$2:$B$100,""""),
col,IFERROR(MATCH(campo,Referencia!$A$1:$AZ$1,0),0),
fila,IFERROR(MATCH(TO_TEXT(D2102),ARRAYFOR"&amp;"MULA(TO_TEXT(Referencia!$A$2:$A6238)),0),0),
IF(OR(campo="""",campo=""-""),""NO APLICA"",
IF(col=0,""REVISAR EQUIVALENCIA"",
IF(fila=0,""SKU NO ENCONTRADO"",
LET(
valor,INDEX(Referencia!$A$2:$AZ6238,fila,col),
IF(TRIM(TO_TEXT(valor))=TRIM(TO_TEXT(I2102)),"&amp;"
""OK"",
""NO COINCIDE. Valor verdadero: ""&amp;IF(valor="""",""[VACÍO]"",TO_TEXT(valor))
)
))))
),""ERROR EN FÓRMULA""))"),"REVISAR EQUIVALENCIA")</f>
        <v>REVISAR EQUIVALENCIA</v>
      </c>
    </row>
    <row r="2103">
      <c r="A2103" s="83" t="s">
        <v>4618</v>
      </c>
      <c r="B2103" s="83" t="s">
        <v>4619</v>
      </c>
      <c r="C2103" s="81" t="s">
        <v>4621</v>
      </c>
      <c r="D2103" s="83" t="s">
        <v>4787</v>
      </c>
      <c r="E2103" s="81" t="s">
        <v>3791</v>
      </c>
      <c r="F2103" s="84">
        <v>724.0</v>
      </c>
      <c r="G2103" s="81" t="s">
        <v>44</v>
      </c>
      <c r="H2103" s="81" t="s">
        <v>4784</v>
      </c>
      <c r="I2103" s="81" t="s">
        <v>3042</v>
      </c>
      <c r="J2103" s="81" t="s">
        <v>4088</v>
      </c>
      <c r="K2103" s="81" t="str">
        <f>IFERROR(__xludf.DUMMYFUNCTION("IF(OR(D2103="""",G2103=""""),"""",IFERROR(LET(
campo,XLOOKUP(TRIM(G2103),ARRAYFORMULA(TRIM('indice columnas'!$A$2:$A$100)),'indice columnas'!$B$2:$B$100,""""),
col,IFERROR(MATCH(campo,Referencia!$A$1:$AZ$1,0),0),
fila,IFERROR(MATCH(TO_TEXT(D2103),ARRAYFOR"&amp;"MULA(TO_TEXT(Referencia!$A$2:$A6238)),0),0),
IF(OR(campo="""",campo=""-""),""NO APLICA"",
IF(col=0,""REVISAR EQUIVALENCIA"",
IF(fila=0,""SKU NO ENCONTRADO"",
LET(
valor,INDEX(Referencia!$A$2:$AZ6238,fila,col),
IF(TRIM(TO_TEXT(valor))=TRIM(TO_TEXT(I2103)),"&amp;"
""OK"",
""NO COINCIDE. Valor verdadero: ""&amp;IF(valor="""",""[VACÍO]"",TO_TEXT(valor))
)
))))
),""ERROR EN FÓRMULA""))"),"NO APLICA")</f>
        <v>NO APLICA</v>
      </c>
    </row>
    <row r="2104">
      <c r="A2104" s="83" t="s">
        <v>4618</v>
      </c>
      <c r="B2104" s="83" t="s">
        <v>4619</v>
      </c>
      <c r="C2104" s="81" t="s">
        <v>4621</v>
      </c>
      <c r="D2104" s="83" t="s">
        <v>4788</v>
      </c>
      <c r="E2104" s="81" t="s">
        <v>3794</v>
      </c>
      <c r="F2104" s="84">
        <v>725.0</v>
      </c>
      <c r="G2104" s="81" t="s">
        <v>7</v>
      </c>
      <c r="H2104" s="81" t="s">
        <v>3623</v>
      </c>
      <c r="I2104" s="81" t="s">
        <v>53</v>
      </c>
      <c r="J2104" s="81" t="s">
        <v>224</v>
      </c>
      <c r="K2104" s="81" t="str">
        <f>IFERROR(__xludf.DUMMYFUNCTION("IF(OR(D2104="""",G2104=""""),"""",IFERROR(LET(
campo,XLOOKUP(TRIM(G2104),ARRAYFORMULA(TRIM('indice columnas'!$A$2:$A$100)),'indice columnas'!$B$2:$B$100,""""),
col,IFERROR(MATCH(campo,Referencia!$A$1:$AZ$1,0),0),
fila,IFERROR(MATCH(TO_TEXT(D2104),ARRAYFOR"&amp;"MULA(TO_TEXT(Referencia!$A$2:$A6238)),0),0),
IF(OR(campo="""",campo=""-""),""NO APLICA"",
IF(col=0,""REVISAR EQUIVALENCIA"",
IF(fila=0,""SKU NO ENCONTRADO"",
LET(
valor,INDEX(Referencia!$A$2:$AZ6238,fila,col),
IF(TRIM(TO_TEXT(valor))=TRIM(TO_TEXT(I2104)),"&amp;"
""OK"",
""NO COINCIDE. Valor verdadero: ""&amp;IF(valor="""",""[VACÍO]"",TO_TEXT(valor))
)
))))
),""ERROR EN FÓRMULA""))"),"REVISAR EQUIVALENCIA")</f>
        <v>REVISAR EQUIVALENCIA</v>
      </c>
    </row>
    <row r="2105">
      <c r="A2105" s="83" t="s">
        <v>4618</v>
      </c>
      <c r="B2105" s="83" t="s">
        <v>4619</v>
      </c>
      <c r="C2105" s="81" t="s">
        <v>4621</v>
      </c>
      <c r="D2105" s="83" t="s">
        <v>4788</v>
      </c>
      <c r="E2105" s="81" t="s">
        <v>3794</v>
      </c>
      <c r="F2105" s="84">
        <v>725.0</v>
      </c>
      <c r="G2105" s="81" t="s">
        <v>12</v>
      </c>
      <c r="H2105" s="81" t="s">
        <v>224</v>
      </c>
      <c r="I2105" s="81" t="s">
        <v>1549</v>
      </c>
      <c r="J2105" s="81" t="s">
        <v>224</v>
      </c>
      <c r="K2105" s="81" t="str">
        <f>IFERROR(__xludf.DUMMYFUNCTION("IF(OR(D2105="""",G2105=""""),"""",IFERROR(LET(
campo,XLOOKUP(TRIM(G2105),ARRAYFORMULA(TRIM('indice columnas'!$A$2:$A$100)),'indice columnas'!$B$2:$B$100,""""),
col,IFERROR(MATCH(campo,Referencia!$A$1:$AZ$1,0),0),
fila,IFERROR(MATCH(TO_TEXT(D2105),ARRAYFOR"&amp;"MULA(TO_TEXT(Referencia!$A$2:$A6238)),0),0),
IF(OR(campo="""",campo=""-""),""NO APLICA"",
IF(col=0,""REVISAR EQUIVALENCIA"",
IF(fila=0,""SKU NO ENCONTRADO"",
LET(
valor,INDEX(Referencia!$A$2:$AZ6238,fila,col),
IF(TRIM(TO_TEXT(valor))=TRIM(TO_TEXT(I2105)),"&amp;"
""OK"",
""NO COINCIDE. Valor verdadero: ""&amp;IF(valor="""",""[VACÍO]"",TO_TEXT(valor))
)
))))
),""ERROR EN FÓRMULA""))"),"OK")</f>
        <v>OK</v>
      </c>
    </row>
    <row r="2106">
      <c r="A2106" s="83" t="s">
        <v>4618</v>
      </c>
      <c r="B2106" s="83" t="s">
        <v>4619</v>
      </c>
      <c r="C2106" s="81" t="s">
        <v>4621</v>
      </c>
      <c r="D2106" s="83" t="s">
        <v>4788</v>
      </c>
      <c r="E2106" s="81" t="s">
        <v>3794</v>
      </c>
      <c r="F2106" s="84">
        <v>725.0</v>
      </c>
      <c r="G2106" s="81" t="s">
        <v>44</v>
      </c>
      <c r="H2106" s="81" t="s">
        <v>4789</v>
      </c>
      <c r="I2106" s="81" t="s">
        <v>2419</v>
      </c>
      <c r="J2106" s="81" t="s">
        <v>4088</v>
      </c>
      <c r="K2106" s="81" t="str">
        <f>IFERROR(__xludf.DUMMYFUNCTION("IF(OR(D2106="""",G2106=""""),"""",IFERROR(LET(
campo,XLOOKUP(TRIM(G2106),ARRAYFORMULA(TRIM('indice columnas'!$A$2:$A$100)),'indice columnas'!$B$2:$B$100,""""),
col,IFERROR(MATCH(campo,Referencia!$A$1:$AZ$1,0),0),
fila,IFERROR(MATCH(TO_TEXT(D2106),ARRAYFOR"&amp;"MULA(TO_TEXT(Referencia!$A$2:$A6238)),0),0),
IF(OR(campo="""",campo=""-""),""NO APLICA"",
IF(col=0,""REVISAR EQUIVALENCIA"",
IF(fila=0,""SKU NO ENCONTRADO"",
LET(
valor,INDEX(Referencia!$A$2:$AZ6238,fila,col),
IF(TRIM(TO_TEXT(valor))=TRIM(TO_TEXT(I2106)),"&amp;"
""OK"",
""NO COINCIDE. Valor verdadero: ""&amp;IF(valor="""",""[VACÍO]"",TO_TEXT(valor))
)
))))
),""ERROR EN FÓRMULA""))"),"NO APLICA")</f>
        <v>NO APLICA</v>
      </c>
    </row>
    <row r="2107">
      <c r="A2107" s="83" t="s">
        <v>4618</v>
      </c>
      <c r="B2107" s="83" t="s">
        <v>4619</v>
      </c>
      <c r="C2107" s="81" t="s">
        <v>4621</v>
      </c>
      <c r="D2107" s="83" t="s">
        <v>4790</v>
      </c>
      <c r="E2107" s="81" t="s">
        <v>3803</v>
      </c>
      <c r="F2107" s="84">
        <v>726.0</v>
      </c>
      <c r="G2107" s="81" t="s">
        <v>7</v>
      </c>
      <c r="H2107" s="81" t="s">
        <v>3623</v>
      </c>
      <c r="I2107" s="81" t="s">
        <v>53</v>
      </c>
      <c r="J2107" s="81" t="s">
        <v>224</v>
      </c>
      <c r="K2107" s="81" t="str">
        <f>IFERROR(__xludf.DUMMYFUNCTION("IF(OR(D2107="""",G2107=""""),"""",IFERROR(LET(
campo,XLOOKUP(TRIM(G2107),ARRAYFORMULA(TRIM('indice columnas'!$A$2:$A$100)),'indice columnas'!$B$2:$B$100,""""),
col,IFERROR(MATCH(campo,Referencia!$A$1:$AZ$1,0),0),
fila,IFERROR(MATCH(TO_TEXT(D2107),ARRAYFOR"&amp;"MULA(TO_TEXT(Referencia!$A$2:$A6238)),0),0),
IF(OR(campo="""",campo=""-""),""NO APLICA"",
IF(col=0,""REVISAR EQUIVALENCIA"",
IF(fila=0,""SKU NO ENCONTRADO"",
LET(
valor,INDEX(Referencia!$A$2:$AZ6238,fila,col),
IF(TRIM(TO_TEXT(valor))=TRIM(TO_TEXT(I2107)),"&amp;"
""OK"",
""NO COINCIDE. Valor verdadero: ""&amp;IF(valor="""",""[VACÍO]"",TO_TEXT(valor))
)
))))
),""ERROR EN FÓRMULA""))"),"REVISAR EQUIVALENCIA")</f>
        <v>REVISAR EQUIVALENCIA</v>
      </c>
    </row>
    <row r="2108">
      <c r="A2108" s="83" t="s">
        <v>4618</v>
      </c>
      <c r="B2108" s="83" t="s">
        <v>4619</v>
      </c>
      <c r="C2108" s="81" t="s">
        <v>4621</v>
      </c>
      <c r="D2108" s="83" t="s">
        <v>4790</v>
      </c>
      <c r="E2108" s="81" t="s">
        <v>3803</v>
      </c>
      <c r="F2108" s="84">
        <v>726.0</v>
      </c>
      <c r="G2108" s="81" t="s">
        <v>44</v>
      </c>
      <c r="H2108" s="81" t="s">
        <v>224</v>
      </c>
      <c r="I2108" s="81" t="s">
        <v>1775</v>
      </c>
      <c r="J2108" s="81" t="s">
        <v>4088</v>
      </c>
      <c r="K2108" s="81" t="str">
        <f>IFERROR(__xludf.DUMMYFUNCTION("IF(OR(D2108="""",G2108=""""),"""",IFERROR(LET(
campo,XLOOKUP(TRIM(G2108),ARRAYFORMULA(TRIM('indice columnas'!$A$2:$A$100)),'indice columnas'!$B$2:$B$100,""""),
col,IFERROR(MATCH(campo,Referencia!$A$1:$AZ$1,0),0),
fila,IFERROR(MATCH(TO_TEXT(D2108),ARRAYFOR"&amp;"MULA(TO_TEXT(Referencia!$A$2:$A6238)),0),0),
IF(OR(campo="""",campo=""-""),""NO APLICA"",
IF(col=0,""REVISAR EQUIVALENCIA"",
IF(fila=0,""SKU NO ENCONTRADO"",
LET(
valor,INDEX(Referencia!$A$2:$AZ6238,fila,col),
IF(TRIM(TO_TEXT(valor))=TRIM(TO_TEXT(I2108)),"&amp;"
""OK"",
""NO COINCIDE. Valor verdadero: ""&amp;IF(valor="""",""[VACÍO]"",TO_TEXT(valor))
)
))))
),""ERROR EN FÓRMULA""))"),"NO APLICA")</f>
        <v>NO APLICA</v>
      </c>
    </row>
    <row r="2109">
      <c r="A2109" s="83" t="s">
        <v>4618</v>
      </c>
      <c r="B2109" s="83" t="s">
        <v>4619</v>
      </c>
      <c r="C2109" s="81" t="s">
        <v>4621</v>
      </c>
      <c r="D2109" s="83" t="s">
        <v>4791</v>
      </c>
      <c r="E2109" s="81" t="s">
        <v>3812</v>
      </c>
      <c r="F2109" s="84">
        <v>727.0</v>
      </c>
      <c r="G2109" s="81" t="s">
        <v>7</v>
      </c>
      <c r="H2109" s="81" t="s">
        <v>3623</v>
      </c>
      <c r="I2109" s="81" t="s">
        <v>53</v>
      </c>
      <c r="J2109" s="81" t="s">
        <v>224</v>
      </c>
      <c r="K2109" s="81" t="str">
        <f>IFERROR(__xludf.DUMMYFUNCTION("IF(OR(D2109="""",G2109=""""),"""",IFERROR(LET(
campo,XLOOKUP(TRIM(G2109),ARRAYFORMULA(TRIM('indice columnas'!$A$2:$A$100)),'indice columnas'!$B$2:$B$100,""""),
col,IFERROR(MATCH(campo,Referencia!$A$1:$AZ$1,0),0),
fila,IFERROR(MATCH(TO_TEXT(D2109),ARRAYFOR"&amp;"MULA(TO_TEXT(Referencia!$A$2:$A6238)),0),0),
IF(OR(campo="""",campo=""-""),""NO APLICA"",
IF(col=0,""REVISAR EQUIVALENCIA"",
IF(fila=0,""SKU NO ENCONTRADO"",
LET(
valor,INDEX(Referencia!$A$2:$AZ6238,fila,col),
IF(TRIM(TO_TEXT(valor))=TRIM(TO_TEXT(I2109)),"&amp;"
""OK"",
""NO COINCIDE. Valor verdadero: ""&amp;IF(valor="""",""[VACÍO]"",TO_TEXT(valor))
)
))))
),""ERROR EN FÓRMULA""))"),"REVISAR EQUIVALENCIA")</f>
        <v>REVISAR EQUIVALENCIA</v>
      </c>
    </row>
    <row r="2110">
      <c r="A2110" s="83" t="s">
        <v>4618</v>
      </c>
      <c r="B2110" s="83" t="s">
        <v>4619</v>
      </c>
      <c r="C2110" s="81" t="s">
        <v>4621</v>
      </c>
      <c r="D2110" s="83" t="s">
        <v>4791</v>
      </c>
      <c r="E2110" s="81" t="s">
        <v>3812</v>
      </c>
      <c r="F2110" s="84">
        <v>727.0</v>
      </c>
      <c r="G2110" s="81" t="s">
        <v>44</v>
      </c>
      <c r="H2110" s="81" t="s">
        <v>224</v>
      </c>
      <c r="I2110" s="81" t="s">
        <v>1775</v>
      </c>
      <c r="J2110" s="81" t="s">
        <v>4088</v>
      </c>
      <c r="K2110" s="81" t="str">
        <f>IFERROR(__xludf.DUMMYFUNCTION("IF(OR(D2110="""",G2110=""""),"""",IFERROR(LET(
campo,XLOOKUP(TRIM(G2110),ARRAYFORMULA(TRIM('indice columnas'!$A$2:$A$100)),'indice columnas'!$B$2:$B$100,""""),
col,IFERROR(MATCH(campo,Referencia!$A$1:$AZ$1,0),0),
fila,IFERROR(MATCH(TO_TEXT(D2110),ARRAYFOR"&amp;"MULA(TO_TEXT(Referencia!$A$2:$A6238)),0),0),
IF(OR(campo="""",campo=""-""),""NO APLICA"",
IF(col=0,""REVISAR EQUIVALENCIA"",
IF(fila=0,""SKU NO ENCONTRADO"",
LET(
valor,INDEX(Referencia!$A$2:$AZ6238,fila,col),
IF(TRIM(TO_TEXT(valor))=TRIM(TO_TEXT(I2110)),"&amp;"
""OK"",
""NO COINCIDE. Valor verdadero: ""&amp;IF(valor="""",""[VACÍO]"",TO_TEXT(valor))
)
))))
),""ERROR EN FÓRMULA""))"),"NO APLICA")</f>
        <v>NO APLICA</v>
      </c>
    </row>
    <row r="2111">
      <c r="A2111" s="83" t="s">
        <v>4618</v>
      </c>
      <c r="B2111" s="83" t="s">
        <v>4619</v>
      </c>
      <c r="C2111" s="81" t="s">
        <v>4621</v>
      </c>
      <c r="D2111" s="83" t="s">
        <v>4792</v>
      </c>
      <c r="E2111" s="81" t="s">
        <v>3815</v>
      </c>
      <c r="F2111" s="84">
        <v>728.0</v>
      </c>
      <c r="G2111" s="81" t="s">
        <v>7</v>
      </c>
      <c r="H2111" s="81" t="s">
        <v>3623</v>
      </c>
      <c r="I2111" s="81" t="s">
        <v>53</v>
      </c>
      <c r="J2111" s="81" t="s">
        <v>224</v>
      </c>
      <c r="K2111" s="81" t="str">
        <f>IFERROR(__xludf.DUMMYFUNCTION("IF(OR(D2111="""",G2111=""""),"""",IFERROR(LET(
campo,XLOOKUP(TRIM(G2111),ARRAYFORMULA(TRIM('indice columnas'!$A$2:$A$100)),'indice columnas'!$B$2:$B$100,""""),
col,IFERROR(MATCH(campo,Referencia!$A$1:$AZ$1,0),0),
fila,IFERROR(MATCH(TO_TEXT(D2111),ARRAYFOR"&amp;"MULA(TO_TEXT(Referencia!$A$2:$A6238)),0),0),
IF(OR(campo="""",campo=""-""),""NO APLICA"",
IF(col=0,""REVISAR EQUIVALENCIA"",
IF(fila=0,""SKU NO ENCONTRADO"",
LET(
valor,INDEX(Referencia!$A$2:$AZ6238,fila,col),
IF(TRIM(TO_TEXT(valor))=TRIM(TO_TEXT(I2111)),"&amp;"
""OK"",
""NO COINCIDE. Valor verdadero: ""&amp;IF(valor="""",""[VACÍO]"",TO_TEXT(valor))
)
))))
),""ERROR EN FÓRMULA""))"),"REVISAR EQUIVALENCIA")</f>
        <v>REVISAR EQUIVALENCIA</v>
      </c>
    </row>
    <row r="2112">
      <c r="A2112" s="83" t="s">
        <v>4618</v>
      </c>
      <c r="B2112" s="83" t="s">
        <v>4619</v>
      </c>
      <c r="C2112" s="81" t="s">
        <v>4621</v>
      </c>
      <c r="D2112" s="83" t="s">
        <v>4792</v>
      </c>
      <c r="E2112" s="81" t="s">
        <v>3815</v>
      </c>
      <c r="F2112" s="84">
        <v>728.0</v>
      </c>
      <c r="G2112" s="81" t="s">
        <v>44</v>
      </c>
      <c r="H2112" s="81" t="s">
        <v>224</v>
      </c>
      <c r="I2112" s="81" t="s">
        <v>1775</v>
      </c>
      <c r="J2112" s="81" t="s">
        <v>4088</v>
      </c>
      <c r="K2112" s="81" t="str">
        <f>IFERROR(__xludf.DUMMYFUNCTION("IF(OR(D2112="""",G2112=""""),"""",IFERROR(LET(
campo,XLOOKUP(TRIM(G2112),ARRAYFORMULA(TRIM('indice columnas'!$A$2:$A$100)),'indice columnas'!$B$2:$B$100,""""),
col,IFERROR(MATCH(campo,Referencia!$A$1:$AZ$1,0),0),
fila,IFERROR(MATCH(TO_TEXT(D2112),ARRAYFOR"&amp;"MULA(TO_TEXT(Referencia!$A$2:$A6238)),0),0),
IF(OR(campo="""",campo=""-""),""NO APLICA"",
IF(col=0,""REVISAR EQUIVALENCIA"",
IF(fila=0,""SKU NO ENCONTRADO"",
LET(
valor,INDEX(Referencia!$A$2:$AZ6238,fila,col),
IF(TRIM(TO_TEXT(valor))=TRIM(TO_TEXT(I2112)),"&amp;"
""OK"",
""NO COINCIDE. Valor verdadero: ""&amp;IF(valor="""",""[VACÍO]"",TO_TEXT(valor))
)
))))
),""ERROR EN FÓRMULA""))"),"NO APLICA")</f>
        <v>NO APLICA</v>
      </c>
    </row>
    <row r="2113">
      <c r="A2113" s="83" t="s">
        <v>4618</v>
      </c>
      <c r="B2113" s="83" t="s">
        <v>4619</v>
      </c>
      <c r="C2113" s="81" t="s">
        <v>4621</v>
      </c>
      <c r="D2113" s="83" t="s">
        <v>4793</v>
      </c>
      <c r="E2113" s="81" t="s">
        <v>3821</v>
      </c>
      <c r="F2113" s="84">
        <v>729.0</v>
      </c>
      <c r="G2113" s="81" t="s">
        <v>7</v>
      </c>
      <c r="H2113" s="81" t="s">
        <v>3623</v>
      </c>
      <c r="I2113" s="81" t="s">
        <v>53</v>
      </c>
      <c r="J2113" s="81" t="s">
        <v>224</v>
      </c>
      <c r="K2113" s="81" t="str">
        <f>IFERROR(__xludf.DUMMYFUNCTION("IF(OR(D2113="""",G2113=""""),"""",IFERROR(LET(
campo,XLOOKUP(TRIM(G2113),ARRAYFORMULA(TRIM('indice columnas'!$A$2:$A$100)),'indice columnas'!$B$2:$B$100,""""),
col,IFERROR(MATCH(campo,Referencia!$A$1:$AZ$1,0),0),
fila,IFERROR(MATCH(TO_TEXT(D2113),ARRAYFOR"&amp;"MULA(TO_TEXT(Referencia!$A$2:$A6238)),0),0),
IF(OR(campo="""",campo=""-""),""NO APLICA"",
IF(col=0,""REVISAR EQUIVALENCIA"",
IF(fila=0,""SKU NO ENCONTRADO"",
LET(
valor,INDEX(Referencia!$A$2:$AZ6238,fila,col),
IF(TRIM(TO_TEXT(valor))=TRIM(TO_TEXT(I2113)),"&amp;"
""OK"",
""NO COINCIDE. Valor verdadero: ""&amp;IF(valor="""",""[VACÍO]"",TO_TEXT(valor))
)
))))
),""ERROR EN FÓRMULA""))"),"REVISAR EQUIVALENCIA")</f>
        <v>REVISAR EQUIVALENCIA</v>
      </c>
    </row>
    <row r="2114">
      <c r="A2114" s="83" t="s">
        <v>4618</v>
      </c>
      <c r="B2114" s="83" t="s">
        <v>4619</v>
      </c>
      <c r="C2114" s="81" t="s">
        <v>4621</v>
      </c>
      <c r="D2114" s="83" t="s">
        <v>4793</v>
      </c>
      <c r="E2114" s="81" t="s">
        <v>3821</v>
      </c>
      <c r="F2114" s="84">
        <v>729.0</v>
      </c>
      <c r="G2114" s="81" t="s">
        <v>44</v>
      </c>
      <c r="H2114" s="81" t="s">
        <v>224</v>
      </c>
      <c r="I2114" s="81" t="s">
        <v>1775</v>
      </c>
      <c r="J2114" s="81" t="s">
        <v>4088</v>
      </c>
      <c r="K2114" s="81" t="str">
        <f>IFERROR(__xludf.DUMMYFUNCTION("IF(OR(D2114="""",G2114=""""),"""",IFERROR(LET(
campo,XLOOKUP(TRIM(G2114),ARRAYFORMULA(TRIM('indice columnas'!$A$2:$A$100)),'indice columnas'!$B$2:$B$100,""""),
col,IFERROR(MATCH(campo,Referencia!$A$1:$AZ$1,0),0),
fila,IFERROR(MATCH(TO_TEXT(D2114),ARRAYFOR"&amp;"MULA(TO_TEXT(Referencia!$A$2:$A6238)),0),0),
IF(OR(campo="""",campo=""-""),""NO APLICA"",
IF(col=0,""REVISAR EQUIVALENCIA"",
IF(fila=0,""SKU NO ENCONTRADO"",
LET(
valor,INDEX(Referencia!$A$2:$AZ6238,fila,col),
IF(TRIM(TO_TEXT(valor))=TRIM(TO_TEXT(I2114)),"&amp;"
""OK"",
""NO COINCIDE. Valor verdadero: ""&amp;IF(valor="""",""[VACÍO]"",TO_TEXT(valor))
)
))))
),""ERROR EN FÓRMULA""))"),"NO APLICA")</f>
        <v>NO APLICA</v>
      </c>
    </row>
    <row r="2115">
      <c r="A2115" s="83" t="s">
        <v>4618</v>
      </c>
      <c r="B2115" s="83" t="s">
        <v>4619</v>
      </c>
      <c r="C2115" s="81" t="s">
        <v>4621</v>
      </c>
      <c r="D2115" s="83" t="s">
        <v>4794</v>
      </c>
      <c r="E2115" s="81" t="s">
        <v>3823</v>
      </c>
      <c r="F2115" s="84">
        <v>730.0</v>
      </c>
      <c r="G2115" s="81" t="s">
        <v>44</v>
      </c>
      <c r="H2115" s="81" t="s">
        <v>224</v>
      </c>
      <c r="I2115" s="81" t="s">
        <v>3830</v>
      </c>
      <c r="J2115" s="81" t="s">
        <v>4088</v>
      </c>
      <c r="K2115" s="81" t="str">
        <f>IFERROR(__xludf.DUMMYFUNCTION("IF(OR(D2115="""",G2115=""""),"""",IFERROR(LET(
campo,XLOOKUP(TRIM(G2115),ARRAYFORMULA(TRIM('indice columnas'!$A$2:$A$100)),'indice columnas'!$B$2:$B$100,""""),
col,IFERROR(MATCH(campo,Referencia!$A$1:$AZ$1,0),0),
fila,IFERROR(MATCH(TO_TEXT(D2115),ARRAYFOR"&amp;"MULA(TO_TEXT(Referencia!$A$2:$A6238)),0),0),
IF(OR(campo="""",campo=""-""),""NO APLICA"",
IF(col=0,""REVISAR EQUIVALENCIA"",
IF(fila=0,""SKU NO ENCONTRADO"",
LET(
valor,INDEX(Referencia!$A$2:$AZ6238,fila,col),
IF(TRIM(TO_TEXT(valor))=TRIM(TO_TEXT(I2115)),"&amp;"
""OK"",
""NO COINCIDE. Valor verdadero: ""&amp;IF(valor="""",""[VACÍO]"",TO_TEXT(valor))
)
))))
),""ERROR EN FÓRMULA""))"),"NO APLICA")</f>
        <v>NO APLICA</v>
      </c>
    </row>
    <row r="2116">
      <c r="A2116" s="83" t="s">
        <v>4618</v>
      </c>
      <c r="B2116" s="83" t="s">
        <v>4619</v>
      </c>
      <c r="C2116" s="81" t="s">
        <v>4621</v>
      </c>
      <c r="D2116" s="83" t="s">
        <v>4794</v>
      </c>
      <c r="E2116" s="81" t="s">
        <v>3829</v>
      </c>
      <c r="F2116" s="84">
        <v>731.0</v>
      </c>
      <c r="G2116" s="81" t="s">
        <v>7</v>
      </c>
      <c r="H2116" s="81" t="s">
        <v>3623</v>
      </c>
      <c r="I2116" s="81" t="s">
        <v>53</v>
      </c>
      <c r="J2116" s="81" t="s">
        <v>224</v>
      </c>
      <c r="K2116" s="81" t="str">
        <f>IFERROR(__xludf.DUMMYFUNCTION("IF(OR(D2116="""",G2116=""""),"""",IFERROR(LET(
campo,XLOOKUP(TRIM(G2116),ARRAYFORMULA(TRIM('indice columnas'!$A$2:$A$100)),'indice columnas'!$B$2:$B$100,""""),
col,IFERROR(MATCH(campo,Referencia!$A$1:$AZ$1,0),0),
fila,IFERROR(MATCH(TO_TEXT(D2116),ARRAYFOR"&amp;"MULA(TO_TEXT(Referencia!$A$2:$A6238)),0),0),
IF(OR(campo="""",campo=""-""),""NO APLICA"",
IF(col=0,""REVISAR EQUIVALENCIA"",
IF(fila=0,""SKU NO ENCONTRADO"",
LET(
valor,INDEX(Referencia!$A$2:$AZ6238,fila,col),
IF(TRIM(TO_TEXT(valor))=TRIM(TO_TEXT(I2116)),"&amp;"
""OK"",
""NO COINCIDE. Valor verdadero: ""&amp;IF(valor="""",""[VACÍO]"",TO_TEXT(valor))
)
))))
),""ERROR EN FÓRMULA""))"),"REVISAR EQUIVALENCIA")</f>
        <v>REVISAR EQUIVALENCIA</v>
      </c>
    </row>
    <row r="2117">
      <c r="A2117" s="83" t="s">
        <v>4618</v>
      </c>
      <c r="B2117" s="83" t="s">
        <v>4619</v>
      </c>
      <c r="C2117" s="81" t="s">
        <v>4621</v>
      </c>
      <c r="D2117" s="83" t="s">
        <v>4794</v>
      </c>
      <c r="E2117" s="81" t="s">
        <v>3829</v>
      </c>
      <c r="F2117" s="84">
        <v>731.0</v>
      </c>
      <c r="G2117" s="81" t="s">
        <v>12</v>
      </c>
      <c r="H2117" s="81" t="s">
        <v>224</v>
      </c>
      <c r="I2117" s="81" t="s">
        <v>55</v>
      </c>
      <c r="J2117" s="81" t="s">
        <v>224</v>
      </c>
      <c r="K2117" s="81" t="str">
        <f>IFERROR(__xludf.DUMMYFUNCTION("IF(OR(D2117="""",G2117=""""),"""",IFERROR(LET(
campo,XLOOKUP(TRIM(G2117),ARRAYFORMULA(TRIM('indice columnas'!$A$2:$A$100)),'indice columnas'!$B$2:$B$100,""""),
col,IFERROR(MATCH(campo,Referencia!$A$1:$AZ$1,0),0),
fila,IFERROR(MATCH(TO_TEXT(D2117),ARRAYFOR"&amp;"MULA(TO_TEXT(Referencia!$A$2:$A6238)),0),0),
IF(OR(campo="""",campo=""-""),""NO APLICA"",
IF(col=0,""REVISAR EQUIVALENCIA"",
IF(fila=0,""SKU NO ENCONTRADO"",
LET(
valor,INDEX(Referencia!$A$2:$AZ6238,fila,col),
IF(TRIM(TO_TEXT(valor))=TRIM(TO_TEXT(I2117)),"&amp;"
""OK"",
""NO COINCIDE. Valor verdadero: ""&amp;IF(valor="""",""[VACÍO]"",TO_TEXT(valor))
)
))))
),""ERROR EN FÓRMULA""))"),"OK")</f>
        <v>OK</v>
      </c>
    </row>
    <row r="2118">
      <c r="A2118" s="83" t="s">
        <v>4618</v>
      </c>
      <c r="B2118" s="83" t="s">
        <v>4619</v>
      </c>
      <c r="C2118" s="81" t="s">
        <v>4621</v>
      </c>
      <c r="D2118" s="83" t="s">
        <v>4794</v>
      </c>
      <c r="E2118" s="81" t="s">
        <v>3829</v>
      </c>
      <c r="F2118" s="84">
        <v>731.0</v>
      </c>
      <c r="G2118" s="81" t="s">
        <v>44</v>
      </c>
      <c r="H2118" s="81" t="s">
        <v>224</v>
      </c>
      <c r="I2118" s="81" t="s">
        <v>3830</v>
      </c>
      <c r="J2118" s="81" t="s">
        <v>4088</v>
      </c>
      <c r="K2118" s="81" t="str">
        <f>IFERROR(__xludf.DUMMYFUNCTION("IF(OR(D2118="""",G2118=""""),"""",IFERROR(LET(
campo,XLOOKUP(TRIM(G2118),ARRAYFORMULA(TRIM('indice columnas'!$A$2:$A$100)),'indice columnas'!$B$2:$B$100,""""),
col,IFERROR(MATCH(campo,Referencia!$A$1:$AZ$1,0),0),
fila,IFERROR(MATCH(TO_TEXT(D2118),ARRAYFOR"&amp;"MULA(TO_TEXT(Referencia!$A$2:$A6238)),0),0),
IF(OR(campo="""",campo=""-""),""NO APLICA"",
IF(col=0,""REVISAR EQUIVALENCIA"",
IF(fila=0,""SKU NO ENCONTRADO"",
LET(
valor,INDEX(Referencia!$A$2:$AZ6238,fila,col),
IF(TRIM(TO_TEXT(valor))=TRIM(TO_TEXT(I2118)),"&amp;"
""OK"",
""NO COINCIDE. Valor verdadero: ""&amp;IF(valor="""",""[VACÍO]"",TO_TEXT(valor))
)
))))
),""ERROR EN FÓRMULA""))"),"NO APLICA")</f>
        <v>NO APLICA</v>
      </c>
    </row>
    <row r="2119">
      <c r="A2119" s="83" t="s">
        <v>4618</v>
      </c>
      <c r="B2119" s="83" t="s">
        <v>4619</v>
      </c>
      <c r="C2119" s="81" t="s">
        <v>4621</v>
      </c>
      <c r="D2119" s="83" t="s">
        <v>4795</v>
      </c>
      <c r="E2119" s="81" t="s">
        <v>3831</v>
      </c>
      <c r="F2119" s="84">
        <v>732.0</v>
      </c>
      <c r="G2119" s="81" t="s">
        <v>7</v>
      </c>
      <c r="H2119" s="81" t="s">
        <v>3623</v>
      </c>
      <c r="I2119" s="81" t="s">
        <v>53</v>
      </c>
      <c r="J2119" s="81" t="s">
        <v>224</v>
      </c>
      <c r="K2119" s="81" t="str">
        <f>IFERROR(__xludf.DUMMYFUNCTION("IF(OR(D2119="""",G2119=""""),"""",IFERROR(LET(
campo,XLOOKUP(TRIM(G2119),ARRAYFORMULA(TRIM('indice columnas'!$A$2:$A$100)),'indice columnas'!$B$2:$B$100,""""),
col,IFERROR(MATCH(campo,Referencia!$A$1:$AZ$1,0),0),
fila,IFERROR(MATCH(TO_TEXT(D2119),ARRAYFOR"&amp;"MULA(TO_TEXT(Referencia!$A$2:$A6238)),0),0),
IF(OR(campo="""",campo=""-""),""NO APLICA"",
IF(col=0,""REVISAR EQUIVALENCIA"",
IF(fila=0,""SKU NO ENCONTRADO"",
LET(
valor,INDEX(Referencia!$A$2:$AZ6238,fila,col),
IF(TRIM(TO_TEXT(valor))=TRIM(TO_TEXT(I2119)),"&amp;"
""OK"",
""NO COINCIDE. Valor verdadero: ""&amp;IF(valor="""",""[VACÍO]"",TO_TEXT(valor))
)
))))
),""ERROR EN FÓRMULA""))"),"REVISAR EQUIVALENCIA")</f>
        <v>REVISAR EQUIVALENCIA</v>
      </c>
    </row>
    <row r="2120">
      <c r="A2120" s="83" t="s">
        <v>4618</v>
      </c>
      <c r="B2120" s="83" t="s">
        <v>4619</v>
      </c>
      <c r="C2120" s="81" t="s">
        <v>4621</v>
      </c>
      <c r="D2120" s="83" t="s">
        <v>4795</v>
      </c>
      <c r="E2120" s="81" t="s">
        <v>3831</v>
      </c>
      <c r="F2120" s="84">
        <v>732.0</v>
      </c>
      <c r="G2120" s="81" t="s">
        <v>12</v>
      </c>
      <c r="H2120" s="81" t="s">
        <v>224</v>
      </c>
      <c r="I2120" s="81" t="s">
        <v>55</v>
      </c>
      <c r="J2120" s="81" t="s">
        <v>224</v>
      </c>
      <c r="K2120" s="81" t="str">
        <f>IFERROR(__xludf.DUMMYFUNCTION("IF(OR(D2120="""",G2120=""""),"""",IFERROR(LET(
campo,XLOOKUP(TRIM(G2120),ARRAYFORMULA(TRIM('indice columnas'!$A$2:$A$100)),'indice columnas'!$B$2:$B$100,""""),
col,IFERROR(MATCH(campo,Referencia!$A$1:$AZ$1,0),0),
fila,IFERROR(MATCH(TO_TEXT(D2120),ARRAYFOR"&amp;"MULA(TO_TEXT(Referencia!$A$2:$A6238)),0),0),
IF(OR(campo="""",campo=""-""),""NO APLICA"",
IF(col=0,""REVISAR EQUIVALENCIA"",
IF(fila=0,""SKU NO ENCONTRADO"",
LET(
valor,INDEX(Referencia!$A$2:$AZ6238,fila,col),
IF(TRIM(TO_TEXT(valor))=TRIM(TO_TEXT(I2120)),"&amp;"
""OK"",
""NO COINCIDE. Valor verdadero: ""&amp;IF(valor="""",""[VACÍO]"",TO_TEXT(valor))
)
))))
),""ERROR EN FÓRMULA""))"),"OK")</f>
        <v>OK</v>
      </c>
    </row>
    <row r="2121">
      <c r="A2121" s="83" t="s">
        <v>4618</v>
      </c>
      <c r="B2121" s="83" t="s">
        <v>4619</v>
      </c>
      <c r="C2121" s="81" t="s">
        <v>4621</v>
      </c>
      <c r="D2121" s="83" t="s">
        <v>4795</v>
      </c>
      <c r="E2121" s="81" t="s">
        <v>3831</v>
      </c>
      <c r="F2121" s="84">
        <v>732.0</v>
      </c>
      <c r="G2121" s="81" t="s">
        <v>44</v>
      </c>
      <c r="H2121" s="81" t="s">
        <v>224</v>
      </c>
      <c r="I2121" s="81" t="s">
        <v>3830</v>
      </c>
      <c r="J2121" s="81" t="s">
        <v>4088</v>
      </c>
      <c r="K2121" s="81" t="str">
        <f>IFERROR(__xludf.DUMMYFUNCTION("IF(OR(D2121="""",G2121=""""),"""",IFERROR(LET(
campo,XLOOKUP(TRIM(G2121),ARRAYFORMULA(TRIM('indice columnas'!$A$2:$A$100)),'indice columnas'!$B$2:$B$100,""""),
col,IFERROR(MATCH(campo,Referencia!$A$1:$AZ$1,0),0),
fila,IFERROR(MATCH(TO_TEXT(D2121),ARRAYFOR"&amp;"MULA(TO_TEXT(Referencia!$A$2:$A6238)),0),0),
IF(OR(campo="""",campo=""-""),""NO APLICA"",
IF(col=0,""REVISAR EQUIVALENCIA"",
IF(fila=0,""SKU NO ENCONTRADO"",
LET(
valor,INDEX(Referencia!$A$2:$AZ6238,fila,col),
IF(TRIM(TO_TEXT(valor))=TRIM(TO_TEXT(I2121)),"&amp;"
""OK"",
""NO COINCIDE. Valor verdadero: ""&amp;IF(valor="""",""[VACÍO]"",TO_TEXT(valor))
)
))))
),""ERROR EN FÓRMULA""))"),"NO APLICA")</f>
        <v>NO APLICA</v>
      </c>
    </row>
    <row r="2122">
      <c r="A2122" s="83" t="s">
        <v>4618</v>
      </c>
      <c r="B2122" s="83" t="s">
        <v>4619</v>
      </c>
      <c r="C2122" s="81" t="s">
        <v>4621</v>
      </c>
      <c r="D2122" s="83" t="s">
        <v>4796</v>
      </c>
      <c r="E2122" s="81" t="s">
        <v>3833</v>
      </c>
      <c r="F2122" s="84">
        <v>733.0</v>
      </c>
      <c r="G2122" s="81" t="s">
        <v>44</v>
      </c>
      <c r="H2122" s="81" t="s">
        <v>224</v>
      </c>
      <c r="I2122" s="81" t="s">
        <v>3830</v>
      </c>
      <c r="J2122" s="81" t="s">
        <v>4088</v>
      </c>
      <c r="K2122" s="81" t="str">
        <f>IFERROR(__xludf.DUMMYFUNCTION("IF(OR(D2122="""",G2122=""""),"""",IFERROR(LET(
campo,XLOOKUP(TRIM(G2122),ARRAYFORMULA(TRIM('indice columnas'!$A$2:$A$100)),'indice columnas'!$B$2:$B$100,""""),
col,IFERROR(MATCH(campo,Referencia!$A$1:$AZ$1,0),0),
fila,IFERROR(MATCH(TO_TEXT(D2122),ARRAYFOR"&amp;"MULA(TO_TEXT(Referencia!$A$2:$A6238)),0),0),
IF(OR(campo="""",campo=""-""),""NO APLICA"",
IF(col=0,""REVISAR EQUIVALENCIA"",
IF(fila=0,""SKU NO ENCONTRADO"",
LET(
valor,INDEX(Referencia!$A$2:$AZ6238,fila,col),
IF(TRIM(TO_TEXT(valor))=TRIM(TO_TEXT(I2122)),"&amp;"
""OK"",
""NO COINCIDE. Valor verdadero: ""&amp;IF(valor="""",""[VACÍO]"",TO_TEXT(valor))
)
))))
),""ERROR EN FÓRMULA""))"),"NO APLICA")</f>
        <v>NO APLICA</v>
      </c>
    </row>
    <row r="2123">
      <c r="A2123" s="83" t="s">
        <v>4618</v>
      </c>
      <c r="B2123" s="83" t="s">
        <v>4619</v>
      </c>
      <c r="C2123" s="81" t="s">
        <v>4621</v>
      </c>
      <c r="D2123" s="83" t="s">
        <v>4796</v>
      </c>
      <c r="E2123" s="81" t="s">
        <v>3838</v>
      </c>
      <c r="F2123" s="84">
        <v>734.0</v>
      </c>
      <c r="G2123" s="81" t="s">
        <v>7</v>
      </c>
      <c r="H2123" s="81" t="s">
        <v>3623</v>
      </c>
      <c r="I2123" s="81" t="s">
        <v>53</v>
      </c>
      <c r="J2123" s="81" t="s">
        <v>224</v>
      </c>
      <c r="K2123" s="81" t="str">
        <f>IFERROR(__xludf.DUMMYFUNCTION("IF(OR(D2123="""",G2123=""""),"""",IFERROR(LET(
campo,XLOOKUP(TRIM(G2123),ARRAYFORMULA(TRIM('indice columnas'!$A$2:$A$100)),'indice columnas'!$B$2:$B$100,""""),
col,IFERROR(MATCH(campo,Referencia!$A$1:$AZ$1,0),0),
fila,IFERROR(MATCH(TO_TEXT(D2123),ARRAYFOR"&amp;"MULA(TO_TEXT(Referencia!$A$2:$A6238)),0),0),
IF(OR(campo="""",campo=""-""),""NO APLICA"",
IF(col=0,""REVISAR EQUIVALENCIA"",
IF(fila=0,""SKU NO ENCONTRADO"",
LET(
valor,INDEX(Referencia!$A$2:$AZ6238,fila,col),
IF(TRIM(TO_TEXT(valor))=TRIM(TO_TEXT(I2123)),"&amp;"
""OK"",
""NO COINCIDE. Valor verdadero: ""&amp;IF(valor="""",""[VACÍO]"",TO_TEXT(valor))
)
))))
),""ERROR EN FÓRMULA""))"),"REVISAR EQUIVALENCIA")</f>
        <v>REVISAR EQUIVALENCIA</v>
      </c>
    </row>
    <row r="2124">
      <c r="A2124" s="83" t="s">
        <v>4618</v>
      </c>
      <c r="B2124" s="83" t="s">
        <v>4619</v>
      </c>
      <c r="C2124" s="81" t="s">
        <v>4621</v>
      </c>
      <c r="D2124" s="83" t="s">
        <v>4796</v>
      </c>
      <c r="E2124" s="81" t="s">
        <v>3838</v>
      </c>
      <c r="F2124" s="84">
        <v>734.0</v>
      </c>
      <c r="G2124" s="81" t="s">
        <v>12</v>
      </c>
      <c r="H2124" s="81" t="s">
        <v>224</v>
      </c>
      <c r="I2124" s="81" t="s">
        <v>55</v>
      </c>
      <c r="J2124" s="81" t="s">
        <v>224</v>
      </c>
      <c r="K2124" s="81" t="str">
        <f>IFERROR(__xludf.DUMMYFUNCTION("IF(OR(D2124="""",G2124=""""),"""",IFERROR(LET(
campo,XLOOKUP(TRIM(G2124),ARRAYFORMULA(TRIM('indice columnas'!$A$2:$A$100)),'indice columnas'!$B$2:$B$100,""""),
col,IFERROR(MATCH(campo,Referencia!$A$1:$AZ$1,0),0),
fila,IFERROR(MATCH(TO_TEXT(D2124),ARRAYFOR"&amp;"MULA(TO_TEXT(Referencia!$A$2:$A6238)),0),0),
IF(OR(campo="""",campo=""-""),""NO APLICA"",
IF(col=0,""REVISAR EQUIVALENCIA"",
IF(fila=0,""SKU NO ENCONTRADO"",
LET(
valor,INDEX(Referencia!$A$2:$AZ6238,fila,col),
IF(TRIM(TO_TEXT(valor))=TRIM(TO_TEXT(I2124)),"&amp;"
""OK"",
""NO COINCIDE. Valor verdadero: ""&amp;IF(valor="""",""[VACÍO]"",TO_TEXT(valor))
)
))))
),""ERROR EN FÓRMULA""))"),"OK")</f>
        <v>OK</v>
      </c>
    </row>
    <row r="2125">
      <c r="A2125" s="83" t="s">
        <v>4618</v>
      </c>
      <c r="B2125" s="83" t="s">
        <v>4619</v>
      </c>
      <c r="C2125" s="81" t="s">
        <v>4621</v>
      </c>
      <c r="D2125" s="83" t="s">
        <v>4796</v>
      </c>
      <c r="E2125" s="81" t="s">
        <v>3838</v>
      </c>
      <c r="F2125" s="84">
        <v>734.0</v>
      </c>
      <c r="G2125" s="81" t="s">
        <v>44</v>
      </c>
      <c r="H2125" s="81" t="s">
        <v>224</v>
      </c>
      <c r="I2125" s="81" t="s">
        <v>3830</v>
      </c>
      <c r="J2125" s="81" t="s">
        <v>4088</v>
      </c>
      <c r="K2125" s="81" t="str">
        <f>IFERROR(__xludf.DUMMYFUNCTION("IF(OR(D2125="""",G2125=""""),"""",IFERROR(LET(
campo,XLOOKUP(TRIM(G2125),ARRAYFORMULA(TRIM('indice columnas'!$A$2:$A$100)),'indice columnas'!$B$2:$B$100,""""),
col,IFERROR(MATCH(campo,Referencia!$A$1:$AZ$1,0),0),
fila,IFERROR(MATCH(TO_TEXT(D2125),ARRAYFOR"&amp;"MULA(TO_TEXT(Referencia!$A$2:$A6238)),0),0),
IF(OR(campo="""",campo=""-""),""NO APLICA"",
IF(col=0,""REVISAR EQUIVALENCIA"",
IF(fila=0,""SKU NO ENCONTRADO"",
LET(
valor,INDEX(Referencia!$A$2:$AZ6238,fila,col),
IF(TRIM(TO_TEXT(valor))=TRIM(TO_TEXT(I2125)),"&amp;"
""OK"",
""NO COINCIDE. Valor verdadero: ""&amp;IF(valor="""",""[VACÍO]"",TO_TEXT(valor))
)
))))
),""ERROR EN FÓRMULA""))"),"NO APLICA")</f>
        <v>NO APLICA</v>
      </c>
    </row>
    <row r="2126">
      <c r="A2126" s="83" t="s">
        <v>4618</v>
      </c>
      <c r="B2126" s="83" t="s">
        <v>4619</v>
      </c>
      <c r="C2126" s="81" t="s">
        <v>4621</v>
      </c>
      <c r="D2126" s="83" t="s">
        <v>4797</v>
      </c>
      <c r="E2126" s="81" t="s">
        <v>3839</v>
      </c>
      <c r="F2126" s="84">
        <v>735.0</v>
      </c>
      <c r="G2126" s="81" t="s">
        <v>7</v>
      </c>
      <c r="H2126" s="81" t="s">
        <v>3623</v>
      </c>
      <c r="I2126" s="81" t="s">
        <v>53</v>
      </c>
      <c r="J2126" s="81" t="s">
        <v>224</v>
      </c>
      <c r="K2126" s="81" t="str">
        <f>IFERROR(__xludf.DUMMYFUNCTION("IF(OR(D2126="""",G2126=""""),"""",IFERROR(LET(
campo,XLOOKUP(TRIM(G2126),ARRAYFORMULA(TRIM('indice columnas'!$A$2:$A$100)),'indice columnas'!$B$2:$B$100,""""),
col,IFERROR(MATCH(campo,Referencia!$A$1:$AZ$1,0),0),
fila,IFERROR(MATCH(TO_TEXT(D2126),ARRAYFOR"&amp;"MULA(TO_TEXT(Referencia!$A$2:$A6238)),0),0),
IF(OR(campo="""",campo=""-""),""NO APLICA"",
IF(col=0,""REVISAR EQUIVALENCIA"",
IF(fila=0,""SKU NO ENCONTRADO"",
LET(
valor,INDEX(Referencia!$A$2:$AZ6238,fila,col),
IF(TRIM(TO_TEXT(valor))=TRIM(TO_TEXT(I2126)),"&amp;"
""OK"",
""NO COINCIDE. Valor verdadero: ""&amp;IF(valor="""",""[VACÍO]"",TO_TEXT(valor))
)
))))
),""ERROR EN FÓRMULA""))"),"REVISAR EQUIVALENCIA")</f>
        <v>REVISAR EQUIVALENCIA</v>
      </c>
    </row>
    <row r="2127">
      <c r="A2127" s="83" t="s">
        <v>4618</v>
      </c>
      <c r="B2127" s="83" t="s">
        <v>4619</v>
      </c>
      <c r="C2127" s="81" t="s">
        <v>4621</v>
      </c>
      <c r="D2127" s="83" t="s">
        <v>4797</v>
      </c>
      <c r="E2127" s="81" t="s">
        <v>3839</v>
      </c>
      <c r="F2127" s="84">
        <v>735.0</v>
      </c>
      <c r="G2127" s="81" t="s">
        <v>12</v>
      </c>
      <c r="H2127" s="81" t="s">
        <v>224</v>
      </c>
      <c r="I2127" s="81" t="s">
        <v>55</v>
      </c>
      <c r="J2127" s="81" t="s">
        <v>224</v>
      </c>
      <c r="K2127" s="81" t="str">
        <f>IFERROR(__xludf.DUMMYFUNCTION("IF(OR(D2127="""",G2127=""""),"""",IFERROR(LET(
campo,XLOOKUP(TRIM(G2127),ARRAYFORMULA(TRIM('indice columnas'!$A$2:$A$100)),'indice columnas'!$B$2:$B$100,""""),
col,IFERROR(MATCH(campo,Referencia!$A$1:$AZ$1,0),0),
fila,IFERROR(MATCH(TO_TEXT(D2127),ARRAYFOR"&amp;"MULA(TO_TEXT(Referencia!$A$2:$A6238)),0),0),
IF(OR(campo="""",campo=""-""),""NO APLICA"",
IF(col=0,""REVISAR EQUIVALENCIA"",
IF(fila=0,""SKU NO ENCONTRADO"",
LET(
valor,INDEX(Referencia!$A$2:$AZ6238,fila,col),
IF(TRIM(TO_TEXT(valor))=TRIM(TO_TEXT(I2127)),"&amp;"
""OK"",
""NO COINCIDE. Valor verdadero: ""&amp;IF(valor="""",""[VACÍO]"",TO_TEXT(valor))
)
))))
),""ERROR EN FÓRMULA""))"),"OK")</f>
        <v>OK</v>
      </c>
    </row>
    <row r="2128">
      <c r="A2128" s="83" t="s">
        <v>4618</v>
      </c>
      <c r="B2128" s="83" t="s">
        <v>4619</v>
      </c>
      <c r="C2128" s="81" t="s">
        <v>4621</v>
      </c>
      <c r="D2128" s="83" t="s">
        <v>4797</v>
      </c>
      <c r="E2128" s="81" t="s">
        <v>3839</v>
      </c>
      <c r="F2128" s="84">
        <v>735.0</v>
      </c>
      <c r="G2128" s="81" t="s">
        <v>44</v>
      </c>
      <c r="H2128" s="81" t="s">
        <v>224</v>
      </c>
      <c r="I2128" s="81" t="s">
        <v>3830</v>
      </c>
      <c r="J2128" s="81" t="s">
        <v>4088</v>
      </c>
      <c r="K2128" s="81" t="str">
        <f>IFERROR(__xludf.DUMMYFUNCTION("IF(OR(D2128="""",G2128=""""),"""",IFERROR(LET(
campo,XLOOKUP(TRIM(G2128),ARRAYFORMULA(TRIM('indice columnas'!$A$2:$A$100)),'indice columnas'!$B$2:$B$100,""""),
col,IFERROR(MATCH(campo,Referencia!$A$1:$AZ$1,0),0),
fila,IFERROR(MATCH(TO_TEXT(D2128),ARRAYFOR"&amp;"MULA(TO_TEXT(Referencia!$A$2:$A6238)),0),0),
IF(OR(campo="""",campo=""-""),""NO APLICA"",
IF(col=0,""REVISAR EQUIVALENCIA"",
IF(fila=0,""SKU NO ENCONTRADO"",
LET(
valor,INDEX(Referencia!$A$2:$AZ6238,fila,col),
IF(TRIM(TO_TEXT(valor))=TRIM(TO_TEXT(I2128)),"&amp;"
""OK"",
""NO COINCIDE. Valor verdadero: ""&amp;IF(valor="""",""[VACÍO]"",TO_TEXT(valor))
)
))))
),""ERROR EN FÓRMULA""))"),"NO APLICA")</f>
        <v>NO APLICA</v>
      </c>
    </row>
    <row r="2129">
      <c r="A2129" s="83" t="s">
        <v>4618</v>
      </c>
      <c r="B2129" s="83" t="s">
        <v>4619</v>
      </c>
      <c r="C2129" s="81" t="s">
        <v>4621</v>
      </c>
      <c r="D2129" s="83" t="s">
        <v>4798</v>
      </c>
      <c r="E2129" s="81" t="s">
        <v>3842</v>
      </c>
      <c r="F2129" s="84">
        <v>736.0</v>
      </c>
      <c r="G2129" s="81" t="s">
        <v>7</v>
      </c>
      <c r="H2129" s="81" t="s">
        <v>3623</v>
      </c>
      <c r="I2129" s="81" t="s">
        <v>53</v>
      </c>
      <c r="J2129" s="81" t="s">
        <v>224</v>
      </c>
      <c r="K2129" s="81" t="str">
        <f>IFERROR(__xludf.DUMMYFUNCTION("IF(OR(D2129="""",G2129=""""),"""",IFERROR(LET(
campo,XLOOKUP(TRIM(G2129),ARRAYFORMULA(TRIM('indice columnas'!$A$2:$A$100)),'indice columnas'!$B$2:$B$100,""""),
col,IFERROR(MATCH(campo,Referencia!$A$1:$AZ$1,0),0),
fila,IFERROR(MATCH(TO_TEXT(D2129),ARRAYFOR"&amp;"MULA(TO_TEXT(Referencia!$A$2:$A6238)),0),0),
IF(OR(campo="""",campo=""-""),""NO APLICA"",
IF(col=0,""REVISAR EQUIVALENCIA"",
IF(fila=0,""SKU NO ENCONTRADO"",
LET(
valor,INDEX(Referencia!$A$2:$AZ6238,fila,col),
IF(TRIM(TO_TEXT(valor))=TRIM(TO_TEXT(I2129)),"&amp;"
""OK"",
""NO COINCIDE. Valor verdadero: ""&amp;IF(valor="""",""[VACÍO]"",TO_TEXT(valor))
)
))))
),""ERROR EN FÓRMULA""))"),"REVISAR EQUIVALENCIA")</f>
        <v>REVISAR EQUIVALENCIA</v>
      </c>
    </row>
    <row r="2130">
      <c r="A2130" s="83" t="s">
        <v>4618</v>
      </c>
      <c r="B2130" s="83" t="s">
        <v>4619</v>
      </c>
      <c r="C2130" s="81" t="s">
        <v>4621</v>
      </c>
      <c r="D2130" s="83" t="s">
        <v>4798</v>
      </c>
      <c r="E2130" s="81" t="s">
        <v>3842</v>
      </c>
      <c r="F2130" s="84">
        <v>736.0</v>
      </c>
      <c r="G2130" s="81" t="s">
        <v>12</v>
      </c>
      <c r="H2130" s="81" t="s">
        <v>224</v>
      </c>
      <c r="I2130" s="81" t="s">
        <v>55</v>
      </c>
      <c r="J2130" s="81" t="s">
        <v>224</v>
      </c>
      <c r="K2130" s="81" t="str">
        <f>IFERROR(__xludf.DUMMYFUNCTION("IF(OR(D2130="""",G2130=""""),"""",IFERROR(LET(
campo,XLOOKUP(TRIM(G2130),ARRAYFORMULA(TRIM('indice columnas'!$A$2:$A$100)),'indice columnas'!$B$2:$B$100,""""),
col,IFERROR(MATCH(campo,Referencia!$A$1:$AZ$1,0),0),
fila,IFERROR(MATCH(TO_TEXT(D2130),ARRAYFOR"&amp;"MULA(TO_TEXT(Referencia!$A$2:$A6238)),0),0),
IF(OR(campo="""",campo=""-""),""NO APLICA"",
IF(col=0,""REVISAR EQUIVALENCIA"",
IF(fila=0,""SKU NO ENCONTRADO"",
LET(
valor,INDEX(Referencia!$A$2:$AZ6238,fila,col),
IF(TRIM(TO_TEXT(valor))=TRIM(TO_TEXT(I2130)),"&amp;"
""OK"",
""NO COINCIDE. Valor verdadero: ""&amp;IF(valor="""",""[VACÍO]"",TO_TEXT(valor))
)
))))
),""ERROR EN FÓRMULA""))"),"OK")</f>
        <v>OK</v>
      </c>
    </row>
    <row r="2131">
      <c r="A2131" s="83" t="s">
        <v>4618</v>
      </c>
      <c r="B2131" s="83" t="s">
        <v>4619</v>
      </c>
      <c r="C2131" s="81" t="s">
        <v>4621</v>
      </c>
      <c r="D2131" s="83" t="s">
        <v>4798</v>
      </c>
      <c r="E2131" s="81" t="s">
        <v>3842</v>
      </c>
      <c r="F2131" s="84">
        <v>736.0</v>
      </c>
      <c r="G2131" s="81" t="s">
        <v>44</v>
      </c>
      <c r="H2131" s="81" t="s">
        <v>224</v>
      </c>
      <c r="I2131" s="81" t="s">
        <v>1825</v>
      </c>
      <c r="J2131" s="81" t="s">
        <v>4088</v>
      </c>
      <c r="K2131" s="81" t="str">
        <f>IFERROR(__xludf.DUMMYFUNCTION("IF(OR(D2131="""",G2131=""""),"""",IFERROR(LET(
campo,XLOOKUP(TRIM(G2131),ARRAYFORMULA(TRIM('indice columnas'!$A$2:$A$100)),'indice columnas'!$B$2:$B$100,""""),
col,IFERROR(MATCH(campo,Referencia!$A$1:$AZ$1,0),0),
fila,IFERROR(MATCH(TO_TEXT(D2131),ARRAYFOR"&amp;"MULA(TO_TEXT(Referencia!$A$2:$A6238)),0),0),
IF(OR(campo="""",campo=""-""),""NO APLICA"",
IF(col=0,""REVISAR EQUIVALENCIA"",
IF(fila=0,""SKU NO ENCONTRADO"",
LET(
valor,INDEX(Referencia!$A$2:$AZ6238,fila,col),
IF(TRIM(TO_TEXT(valor))=TRIM(TO_TEXT(I2131)),"&amp;"
""OK"",
""NO COINCIDE. Valor verdadero: ""&amp;IF(valor="""",""[VACÍO]"",TO_TEXT(valor))
)
))))
),""ERROR EN FÓRMULA""))"),"NO APLICA")</f>
        <v>NO APLICA</v>
      </c>
    </row>
    <row r="2132">
      <c r="A2132" s="83" t="s">
        <v>4618</v>
      </c>
      <c r="B2132" s="83" t="s">
        <v>4619</v>
      </c>
      <c r="C2132" s="81" t="s">
        <v>4621</v>
      </c>
      <c r="D2132" s="83" t="s">
        <v>4799</v>
      </c>
      <c r="E2132" s="81" t="s">
        <v>3845</v>
      </c>
      <c r="F2132" s="84">
        <v>737.0</v>
      </c>
      <c r="G2132" s="81" t="s">
        <v>7</v>
      </c>
      <c r="H2132" s="81" t="s">
        <v>3623</v>
      </c>
      <c r="I2132" s="81" t="s">
        <v>53</v>
      </c>
      <c r="J2132" s="81" t="s">
        <v>224</v>
      </c>
      <c r="K2132" s="81" t="str">
        <f>IFERROR(__xludf.DUMMYFUNCTION("IF(OR(D2132="""",G2132=""""),"""",IFERROR(LET(
campo,XLOOKUP(TRIM(G2132),ARRAYFORMULA(TRIM('indice columnas'!$A$2:$A$100)),'indice columnas'!$B$2:$B$100,""""),
col,IFERROR(MATCH(campo,Referencia!$A$1:$AZ$1,0),0),
fila,IFERROR(MATCH(TO_TEXT(D2132),ARRAYFOR"&amp;"MULA(TO_TEXT(Referencia!$A$2:$A6238)),0),0),
IF(OR(campo="""",campo=""-""),""NO APLICA"",
IF(col=0,""REVISAR EQUIVALENCIA"",
IF(fila=0,""SKU NO ENCONTRADO"",
LET(
valor,INDEX(Referencia!$A$2:$AZ6238,fila,col),
IF(TRIM(TO_TEXT(valor))=TRIM(TO_TEXT(I2132)),"&amp;"
""OK"",
""NO COINCIDE. Valor verdadero: ""&amp;IF(valor="""",""[VACÍO]"",TO_TEXT(valor))
)
))))
),""ERROR EN FÓRMULA""))"),"REVISAR EQUIVALENCIA")</f>
        <v>REVISAR EQUIVALENCIA</v>
      </c>
    </row>
    <row r="2133">
      <c r="A2133" s="83" t="s">
        <v>4618</v>
      </c>
      <c r="B2133" s="83" t="s">
        <v>4619</v>
      </c>
      <c r="C2133" s="81" t="s">
        <v>4621</v>
      </c>
      <c r="D2133" s="83" t="s">
        <v>4799</v>
      </c>
      <c r="E2133" s="81" t="s">
        <v>3845</v>
      </c>
      <c r="F2133" s="84">
        <v>737.0</v>
      </c>
      <c r="G2133" s="81" t="s">
        <v>12</v>
      </c>
      <c r="H2133" s="81" t="s">
        <v>224</v>
      </c>
      <c r="I2133" s="81" t="s">
        <v>55</v>
      </c>
      <c r="J2133" s="81" t="s">
        <v>224</v>
      </c>
      <c r="K2133" s="81" t="str">
        <f>IFERROR(__xludf.DUMMYFUNCTION("IF(OR(D2133="""",G2133=""""),"""",IFERROR(LET(
campo,XLOOKUP(TRIM(G2133),ARRAYFORMULA(TRIM('indice columnas'!$A$2:$A$100)),'indice columnas'!$B$2:$B$100,""""),
col,IFERROR(MATCH(campo,Referencia!$A$1:$AZ$1,0),0),
fila,IFERROR(MATCH(TO_TEXT(D2133),ARRAYFOR"&amp;"MULA(TO_TEXT(Referencia!$A$2:$A6238)),0),0),
IF(OR(campo="""",campo=""-""),""NO APLICA"",
IF(col=0,""REVISAR EQUIVALENCIA"",
IF(fila=0,""SKU NO ENCONTRADO"",
LET(
valor,INDEX(Referencia!$A$2:$AZ6238,fila,col),
IF(TRIM(TO_TEXT(valor))=TRIM(TO_TEXT(I2133)),"&amp;"
""OK"",
""NO COINCIDE. Valor verdadero: ""&amp;IF(valor="""",""[VACÍO]"",TO_TEXT(valor))
)
))))
),""ERROR EN FÓRMULA""))"),"OK")</f>
        <v>OK</v>
      </c>
    </row>
    <row r="2134">
      <c r="A2134" s="83" t="s">
        <v>4618</v>
      </c>
      <c r="B2134" s="83" t="s">
        <v>4619</v>
      </c>
      <c r="C2134" s="81" t="s">
        <v>4621</v>
      </c>
      <c r="D2134" s="83" t="s">
        <v>4799</v>
      </c>
      <c r="E2134" s="81" t="s">
        <v>3845</v>
      </c>
      <c r="F2134" s="84">
        <v>737.0</v>
      </c>
      <c r="G2134" s="81" t="s">
        <v>44</v>
      </c>
      <c r="H2134" s="81" t="s">
        <v>224</v>
      </c>
      <c r="I2134" s="81" t="s">
        <v>1825</v>
      </c>
      <c r="J2134" s="81" t="s">
        <v>4088</v>
      </c>
      <c r="K2134" s="81" t="str">
        <f>IFERROR(__xludf.DUMMYFUNCTION("IF(OR(D2134="""",G2134=""""),"""",IFERROR(LET(
campo,XLOOKUP(TRIM(G2134),ARRAYFORMULA(TRIM('indice columnas'!$A$2:$A$100)),'indice columnas'!$B$2:$B$100,""""),
col,IFERROR(MATCH(campo,Referencia!$A$1:$AZ$1,0),0),
fila,IFERROR(MATCH(TO_TEXT(D2134),ARRAYFOR"&amp;"MULA(TO_TEXT(Referencia!$A$2:$A6238)),0),0),
IF(OR(campo="""",campo=""-""),""NO APLICA"",
IF(col=0,""REVISAR EQUIVALENCIA"",
IF(fila=0,""SKU NO ENCONTRADO"",
LET(
valor,INDEX(Referencia!$A$2:$AZ6238,fila,col),
IF(TRIM(TO_TEXT(valor))=TRIM(TO_TEXT(I2134)),"&amp;"
""OK"",
""NO COINCIDE. Valor verdadero: ""&amp;IF(valor="""",""[VACÍO]"",TO_TEXT(valor))
)
))))
),""ERROR EN FÓRMULA""))"),"NO APLICA")</f>
        <v>NO APLICA</v>
      </c>
    </row>
    <row r="2135">
      <c r="A2135" s="83" t="s">
        <v>4618</v>
      </c>
      <c r="B2135" s="83" t="s">
        <v>4619</v>
      </c>
      <c r="C2135" s="81" t="s">
        <v>4621</v>
      </c>
      <c r="D2135" s="83" t="s">
        <v>4800</v>
      </c>
      <c r="E2135" s="81" t="s">
        <v>3848</v>
      </c>
      <c r="F2135" s="84">
        <v>738.0</v>
      </c>
      <c r="G2135" s="81" t="s">
        <v>44</v>
      </c>
      <c r="H2135" s="81" t="s">
        <v>4801</v>
      </c>
      <c r="I2135" s="81" t="s">
        <v>1051</v>
      </c>
      <c r="J2135" s="81" t="s">
        <v>4088</v>
      </c>
      <c r="K2135" s="81" t="str">
        <f>IFERROR(__xludf.DUMMYFUNCTION("IF(OR(D2135="""",G2135=""""),"""",IFERROR(LET(
campo,XLOOKUP(TRIM(G2135),ARRAYFORMULA(TRIM('indice columnas'!$A$2:$A$100)),'indice columnas'!$B$2:$B$100,""""),
col,IFERROR(MATCH(campo,Referencia!$A$1:$AZ$1,0),0),
fila,IFERROR(MATCH(TO_TEXT(D2135),ARRAYFOR"&amp;"MULA(TO_TEXT(Referencia!$A$2:$A6238)),0),0),
IF(OR(campo="""",campo=""-""),""NO APLICA"",
IF(col=0,""REVISAR EQUIVALENCIA"",
IF(fila=0,""SKU NO ENCONTRADO"",
LET(
valor,INDEX(Referencia!$A$2:$AZ6238,fila,col),
IF(TRIM(TO_TEXT(valor))=TRIM(TO_TEXT(I2135)),"&amp;"
""OK"",
""NO COINCIDE. Valor verdadero: ""&amp;IF(valor="""",""[VACÍO]"",TO_TEXT(valor))
)
))))
),""ERROR EN FÓRMULA""))"),"NO APLICA")</f>
        <v>NO APLICA</v>
      </c>
    </row>
    <row r="2136">
      <c r="A2136" s="83" t="s">
        <v>4618</v>
      </c>
      <c r="B2136" s="83" t="s">
        <v>4619</v>
      </c>
      <c r="C2136" s="81" t="s">
        <v>4621</v>
      </c>
      <c r="D2136" s="83" t="s">
        <v>4800</v>
      </c>
      <c r="E2136" s="81" t="s">
        <v>3851</v>
      </c>
      <c r="F2136" s="84">
        <v>739.0</v>
      </c>
      <c r="G2136" s="81" t="s">
        <v>7</v>
      </c>
      <c r="H2136" s="81" t="s">
        <v>3623</v>
      </c>
      <c r="I2136" s="81" t="s">
        <v>53</v>
      </c>
      <c r="J2136" s="81" t="s">
        <v>224</v>
      </c>
      <c r="K2136" s="81" t="str">
        <f>IFERROR(__xludf.DUMMYFUNCTION("IF(OR(D2136="""",G2136=""""),"""",IFERROR(LET(
campo,XLOOKUP(TRIM(G2136),ARRAYFORMULA(TRIM('indice columnas'!$A$2:$A$100)),'indice columnas'!$B$2:$B$100,""""),
col,IFERROR(MATCH(campo,Referencia!$A$1:$AZ$1,0),0),
fila,IFERROR(MATCH(TO_TEXT(D2136),ARRAYFOR"&amp;"MULA(TO_TEXT(Referencia!$A$2:$A6238)),0),0),
IF(OR(campo="""",campo=""-""),""NO APLICA"",
IF(col=0,""REVISAR EQUIVALENCIA"",
IF(fila=0,""SKU NO ENCONTRADO"",
LET(
valor,INDEX(Referencia!$A$2:$AZ6238,fila,col),
IF(TRIM(TO_TEXT(valor))=TRIM(TO_TEXT(I2136)),"&amp;"
""OK"",
""NO COINCIDE. Valor verdadero: ""&amp;IF(valor="""",""[VACÍO]"",TO_TEXT(valor))
)
))))
),""ERROR EN FÓRMULA""))"),"REVISAR EQUIVALENCIA")</f>
        <v>REVISAR EQUIVALENCIA</v>
      </c>
    </row>
    <row r="2137">
      <c r="A2137" s="83" t="s">
        <v>4618</v>
      </c>
      <c r="B2137" s="83" t="s">
        <v>4619</v>
      </c>
      <c r="C2137" s="81" t="s">
        <v>4621</v>
      </c>
      <c r="D2137" s="83" t="s">
        <v>4800</v>
      </c>
      <c r="E2137" s="81" t="s">
        <v>3851</v>
      </c>
      <c r="F2137" s="84">
        <v>739.0</v>
      </c>
      <c r="G2137" s="81" t="s">
        <v>12</v>
      </c>
      <c r="H2137" s="81" t="s">
        <v>224</v>
      </c>
      <c r="I2137" s="81" t="s">
        <v>55</v>
      </c>
      <c r="J2137" s="81" t="s">
        <v>224</v>
      </c>
      <c r="K2137" s="81" t="str">
        <f>IFERROR(__xludf.DUMMYFUNCTION("IF(OR(D2137="""",G2137=""""),"""",IFERROR(LET(
campo,XLOOKUP(TRIM(G2137),ARRAYFORMULA(TRIM('indice columnas'!$A$2:$A$100)),'indice columnas'!$B$2:$B$100,""""),
col,IFERROR(MATCH(campo,Referencia!$A$1:$AZ$1,0),0),
fila,IFERROR(MATCH(TO_TEXT(D2137),ARRAYFOR"&amp;"MULA(TO_TEXT(Referencia!$A$2:$A6238)),0),0),
IF(OR(campo="""",campo=""-""),""NO APLICA"",
IF(col=0,""REVISAR EQUIVALENCIA"",
IF(fila=0,""SKU NO ENCONTRADO"",
LET(
valor,INDEX(Referencia!$A$2:$AZ6238,fila,col),
IF(TRIM(TO_TEXT(valor))=TRIM(TO_TEXT(I2137)),"&amp;"
""OK"",
""NO COINCIDE. Valor verdadero: ""&amp;IF(valor="""",""[VACÍO]"",TO_TEXT(valor))
)
))))
),""ERROR EN FÓRMULA""))"),"OK")</f>
        <v>OK</v>
      </c>
    </row>
    <row r="2138">
      <c r="A2138" s="83" t="s">
        <v>4618</v>
      </c>
      <c r="B2138" s="83" t="s">
        <v>4619</v>
      </c>
      <c r="C2138" s="81" t="s">
        <v>4621</v>
      </c>
      <c r="D2138" s="83" t="s">
        <v>4800</v>
      </c>
      <c r="E2138" s="81" t="s">
        <v>3851</v>
      </c>
      <c r="F2138" s="84">
        <v>739.0</v>
      </c>
      <c r="G2138" s="81" t="s">
        <v>44</v>
      </c>
      <c r="H2138" s="81" t="s">
        <v>4801</v>
      </c>
      <c r="I2138" s="81" t="s">
        <v>1051</v>
      </c>
      <c r="J2138" s="81" t="s">
        <v>4088</v>
      </c>
      <c r="K2138" s="81" t="str">
        <f>IFERROR(__xludf.DUMMYFUNCTION("IF(OR(D2138="""",G2138=""""),"""",IFERROR(LET(
campo,XLOOKUP(TRIM(G2138),ARRAYFORMULA(TRIM('indice columnas'!$A$2:$A$100)),'indice columnas'!$B$2:$B$100,""""),
col,IFERROR(MATCH(campo,Referencia!$A$1:$AZ$1,0),0),
fila,IFERROR(MATCH(TO_TEXT(D2138),ARRAYFOR"&amp;"MULA(TO_TEXT(Referencia!$A$2:$A6238)),0),0),
IF(OR(campo="""",campo=""-""),""NO APLICA"",
IF(col=0,""REVISAR EQUIVALENCIA"",
IF(fila=0,""SKU NO ENCONTRADO"",
LET(
valor,INDEX(Referencia!$A$2:$AZ6238,fila,col),
IF(TRIM(TO_TEXT(valor))=TRIM(TO_TEXT(I2138)),"&amp;"
""OK"",
""NO COINCIDE. Valor verdadero: ""&amp;IF(valor="""",""[VACÍO]"",TO_TEXT(valor))
)
))))
),""ERROR EN FÓRMULA""))"),"NO APLICA")</f>
        <v>NO APLICA</v>
      </c>
    </row>
    <row r="2139">
      <c r="A2139" s="83" t="s">
        <v>4618</v>
      </c>
      <c r="B2139" s="83" t="s">
        <v>4619</v>
      </c>
      <c r="C2139" s="81" t="s">
        <v>4621</v>
      </c>
      <c r="D2139" s="83" t="s">
        <v>4802</v>
      </c>
      <c r="E2139" s="81" t="s">
        <v>3852</v>
      </c>
      <c r="F2139" s="84">
        <v>740.0</v>
      </c>
      <c r="G2139" s="81" t="s">
        <v>7</v>
      </c>
      <c r="H2139" s="81" t="s">
        <v>3623</v>
      </c>
      <c r="I2139" s="81" t="s">
        <v>53</v>
      </c>
      <c r="J2139" s="81" t="s">
        <v>224</v>
      </c>
      <c r="K2139" s="81" t="str">
        <f>IFERROR(__xludf.DUMMYFUNCTION("IF(OR(D2139="""",G2139=""""),"""",IFERROR(LET(
campo,XLOOKUP(TRIM(G2139),ARRAYFORMULA(TRIM('indice columnas'!$A$2:$A$100)),'indice columnas'!$B$2:$B$100,""""),
col,IFERROR(MATCH(campo,Referencia!$A$1:$AZ$1,0),0),
fila,IFERROR(MATCH(TO_TEXT(D2139),ARRAYFOR"&amp;"MULA(TO_TEXT(Referencia!$A$2:$A6238)),0),0),
IF(OR(campo="""",campo=""-""),""NO APLICA"",
IF(col=0,""REVISAR EQUIVALENCIA"",
IF(fila=0,""SKU NO ENCONTRADO"",
LET(
valor,INDEX(Referencia!$A$2:$AZ6238,fila,col),
IF(TRIM(TO_TEXT(valor))=TRIM(TO_TEXT(I2139)),"&amp;"
""OK"",
""NO COINCIDE. Valor verdadero: ""&amp;IF(valor="""",""[VACÍO]"",TO_TEXT(valor))
)
))))
),""ERROR EN FÓRMULA""))"),"REVISAR EQUIVALENCIA")</f>
        <v>REVISAR EQUIVALENCIA</v>
      </c>
    </row>
    <row r="2140">
      <c r="A2140" s="83" t="s">
        <v>4618</v>
      </c>
      <c r="B2140" s="83" t="s">
        <v>4619</v>
      </c>
      <c r="C2140" s="81" t="s">
        <v>4621</v>
      </c>
      <c r="D2140" s="83" t="s">
        <v>4802</v>
      </c>
      <c r="E2140" s="81" t="s">
        <v>3852</v>
      </c>
      <c r="F2140" s="84">
        <v>740.0</v>
      </c>
      <c r="G2140" s="81" t="s">
        <v>12</v>
      </c>
      <c r="H2140" s="81" t="s">
        <v>224</v>
      </c>
      <c r="I2140" s="81" t="s">
        <v>55</v>
      </c>
      <c r="J2140" s="81" t="s">
        <v>224</v>
      </c>
      <c r="K2140" s="81" t="str">
        <f>IFERROR(__xludf.DUMMYFUNCTION("IF(OR(D2140="""",G2140=""""),"""",IFERROR(LET(
campo,XLOOKUP(TRIM(G2140),ARRAYFORMULA(TRIM('indice columnas'!$A$2:$A$100)),'indice columnas'!$B$2:$B$100,""""),
col,IFERROR(MATCH(campo,Referencia!$A$1:$AZ$1,0),0),
fila,IFERROR(MATCH(TO_TEXT(D2140),ARRAYFOR"&amp;"MULA(TO_TEXT(Referencia!$A$2:$A6238)),0),0),
IF(OR(campo="""",campo=""-""),""NO APLICA"",
IF(col=0,""REVISAR EQUIVALENCIA"",
IF(fila=0,""SKU NO ENCONTRADO"",
LET(
valor,INDEX(Referencia!$A$2:$AZ6238,fila,col),
IF(TRIM(TO_TEXT(valor))=TRIM(TO_TEXT(I2140)),"&amp;"
""OK"",
""NO COINCIDE. Valor verdadero: ""&amp;IF(valor="""",""[VACÍO]"",TO_TEXT(valor))
)
))))
),""ERROR EN FÓRMULA""))"),"OK")</f>
        <v>OK</v>
      </c>
    </row>
    <row r="2141">
      <c r="A2141" s="83" t="s">
        <v>4618</v>
      </c>
      <c r="B2141" s="83" t="s">
        <v>4619</v>
      </c>
      <c r="C2141" s="81" t="s">
        <v>4621</v>
      </c>
      <c r="D2141" s="83" t="s">
        <v>4802</v>
      </c>
      <c r="E2141" s="81" t="s">
        <v>3852</v>
      </c>
      <c r="F2141" s="84">
        <v>740.0</v>
      </c>
      <c r="G2141" s="81" t="s">
        <v>44</v>
      </c>
      <c r="H2141" s="81" t="s">
        <v>4801</v>
      </c>
      <c r="I2141" s="81" t="s">
        <v>1051</v>
      </c>
      <c r="J2141" s="81" t="s">
        <v>4088</v>
      </c>
      <c r="K2141" s="81" t="str">
        <f>IFERROR(__xludf.DUMMYFUNCTION("IF(OR(D2141="""",G2141=""""),"""",IFERROR(LET(
campo,XLOOKUP(TRIM(G2141),ARRAYFORMULA(TRIM('indice columnas'!$A$2:$A$100)),'indice columnas'!$B$2:$B$100,""""),
col,IFERROR(MATCH(campo,Referencia!$A$1:$AZ$1,0),0),
fila,IFERROR(MATCH(TO_TEXT(D2141),ARRAYFOR"&amp;"MULA(TO_TEXT(Referencia!$A$2:$A6238)),0),0),
IF(OR(campo="""",campo=""-""),""NO APLICA"",
IF(col=0,""REVISAR EQUIVALENCIA"",
IF(fila=0,""SKU NO ENCONTRADO"",
LET(
valor,INDEX(Referencia!$A$2:$AZ6238,fila,col),
IF(TRIM(TO_TEXT(valor))=TRIM(TO_TEXT(I2141)),"&amp;"
""OK"",
""NO COINCIDE. Valor verdadero: ""&amp;IF(valor="""",""[VACÍO]"",TO_TEXT(valor))
)
))))
),""ERROR EN FÓRMULA""))"),"NO APLICA")</f>
        <v>NO APLICA</v>
      </c>
    </row>
    <row r="2142">
      <c r="A2142" s="83" t="s">
        <v>4618</v>
      </c>
      <c r="B2142" s="83" t="s">
        <v>4619</v>
      </c>
      <c r="C2142" s="81" t="s">
        <v>4621</v>
      </c>
      <c r="D2142" s="83" t="s">
        <v>4803</v>
      </c>
      <c r="E2142" s="81" t="s">
        <v>3854</v>
      </c>
      <c r="F2142" s="84">
        <v>741.0</v>
      </c>
      <c r="G2142" s="81" t="s">
        <v>7</v>
      </c>
      <c r="H2142" s="81" t="s">
        <v>3623</v>
      </c>
      <c r="I2142" s="81" t="s">
        <v>53</v>
      </c>
      <c r="J2142" s="81" t="s">
        <v>224</v>
      </c>
      <c r="K2142" s="81" t="str">
        <f>IFERROR(__xludf.DUMMYFUNCTION("IF(OR(D2142="""",G2142=""""),"""",IFERROR(LET(
campo,XLOOKUP(TRIM(G2142),ARRAYFORMULA(TRIM('indice columnas'!$A$2:$A$100)),'indice columnas'!$B$2:$B$100,""""),
col,IFERROR(MATCH(campo,Referencia!$A$1:$AZ$1,0),0),
fila,IFERROR(MATCH(TO_TEXT(D2142),ARRAYFOR"&amp;"MULA(TO_TEXT(Referencia!$A$2:$A6238)),0),0),
IF(OR(campo="""",campo=""-""),""NO APLICA"",
IF(col=0,""REVISAR EQUIVALENCIA"",
IF(fila=0,""SKU NO ENCONTRADO"",
LET(
valor,INDEX(Referencia!$A$2:$AZ6238,fila,col),
IF(TRIM(TO_TEXT(valor))=TRIM(TO_TEXT(I2142)),"&amp;"
""OK"",
""NO COINCIDE. Valor verdadero: ""&amp;IF(valor="""",""[VACÍO]"",TO_TEXT(valor))
)
))))
),""ERROR EN FÓRMULA""))"),"REVISAR EQUIVALENCIA")</f>
        <v>REVISAR EQUIVALENCIA</v>
      </c>
    </row>
    <row r="2143">
      <c r="A2143" s="83" t="s">
        <v>4618</v>
      </c>
      <c r="B2143" s="83" t="s">
        <v>4619</v>
      </c>
      <c r="C2143" s="81" t="s">
        <v>4621</v>
      </c>
      <c r="D2143" s="83" t="s">
        <v>4803</v>
      </c>
      <c r="E2143" s="81" t="s">
        <v>3854</v>
      </c>
      <c r="F2143" s="84">
        <v>741.0</v>
      </c>
      <c r="G2143" s="81" t="s">
        <v>12</v>
      </c>
      <c r="H2143" s="81" t="s">
        <v>224</v>
      </c>
      <c r="I2143" s="81" t="s">
        <v>55</v>
      </c>
      <c r="J2143" s="81" t="s">
        <v>224</v>
      </c>
      <c r="K2143" s="81" t="str">
        <f>IFERROR(__xludf.DUMMYFUNCTION("IF(OR(D2143="""",G2143=""""),"""",IFERROR(LET(
campo,XLOOKUP(TRIM(G2143),ARRAYFORMULA(TRIM('indice columnas'!$A$2:$A$100)),'indice columnas'!$B$2:$B$100,""""),
col,IFERROR(MATCH(campo,Referencia!$A$1:$AZ$1,0),0),
fila,IFERROR(MATCH(TO_TEXT(D2143),ARRAYFOR"&amp;"MULA(TO_TEXT(Referencia!$A$2:$A6238)),0),0),
IF(OR(campo="""",campo=""-""),""NO APLICA"",
IF(col=0,""REVISAR EQUIVALENCIA"",
IF(fila=0,""SKU NO ENCONTRADO"",
LET(
valor,INDEX(Referencia!$A$2:$AZ6238,fila,col),
IF(TRIM(TO_TEXT(valor))=TRIM(TO_TEXT(I2143)),"&amp;"
""OK"",
""NO COINCIDE. Valor verdadero: ""&amp;IF(valor="""",""[VACÍO]"",TO_TEXT(valor))
)
))))
),""ERROR EN FÓRMULA""))"),"OK")</f>
        <v>OK</v>
      </c>
    </row>
    <row r="2144">
      <c r="A2144" s="83" t="s">
        <v>4618</v>
      </c>
      <c r="B2144" s="83" t="s">
        <v>4619</v>
      </c>
      <c r="C2144" s="81" t="s">
        <v>4621</v>
      </c>
      <c r="D2144" s="83" t="s">
        <v>4803</v>
      </c>
      <c r="E2144" s="81" t="s">
        <v>3854</v>
      </c>
      <c r="F2144" s="84">
        <v>741.0</v>
      </c>
      <c r="G2144" s="81" t="s">
        <v>44</v>
      </c>
      <c r="H2144" s="81" t="s">
        <v>224</v>
      </c>
      <c r="I2144" s="81" t="s">
        <v>3830</v>
      </c>
      <c r="J2144" s="81" t="s">
        <v>4088</v>
      </c>
      <c r="K2144" s="81" t="str">
        <f>IFERROR(__xludf.DUMMYFUNCTION("IF(OR(D2144="""",G2144=""""),"""",IFERROR(LET(
campo,XLOOKUP(TRIM(G2144),ARRAYFORMULA(TRIM('indice columnas'!$A$2:$A$100)),'indice columnas'!$B$2:$B$100,""""),
col,IFERROR(MATCH(campo,Referencia!$A$1:$AZ$1,0),0),
fila,IFERROR(MATCH(TO_TEXT(D2144),ARRAYFOR"&amp;"MULA(TO_TEXT(Referencia!$A$2:$A6238)),0),0),
IF(OR(campo="""",campo=""-""),""NO APLICA"",
IF(col=0,""REVISAR EQUIVALENCIA"",
IF(fila=0,""SKU NO ENCONTRADO"",
LET(
valor,INDEX(Referencia!$A$2:$AZ6238,fila,col),
IF(TRIM(TO_TEXT(valor))=TRIM(TO_TEXT(I2144)),"&amp;"
""OK"",
""NO COINCIDE. Valor verdadero: ""&amp;IF(valor="""",""[VACÍO]"",TO_TEXT(valor))
)
))))
),""ERROR EN FÓRMULA""))"),"NO APLICA")</f>
        <v>NO APLICA</v>
      </c>
    </row>
    <row r="2145">
      <c r="A2145" s="83" t="s">
        <v>4618</v>
      </c>
      <c r="B2145" s="83" t="s">
        <v>4619</v>
      </c>
      <c r="C2145" s="81" t="s">
        <v>4621</v>
      </c>
      <c r="D2145" s="83" t="s">
        <v>4804</v>
      </c>
      <c r="E2145" s="81" t="s">
        <v>3857</v>
      </c>
      <c r="F2145" s="84">
        <v>742.0</v>
      </c>
      <c r="G2145" s="81" t="s">
        <v>44</v>
      </c>
      <c r="H2145" s="81" t="s">
        <v>224</v>
      </c>
      <c r="I2145" s="81" t="s">
        <v>1051</v>
      </c>
      <c r="J2145" s="81" t="s">
        <v>4088</v>
      </c>
      <c r="K2145" s="81" t="str">
        <f>IFERROR(__xludf.DUMMYFUNCTION("IF(OR(D2145="""",G2145=""""),"""",IFERROR(LET(
campo,XLOOKUP(TRIM(G2145),ARRAYFORMULA(TRIM('indice columnas'!$A$2:$A$100)),'indice columnas'!$B$2:$B$100,""""),
col,IFERROR(MATCH(campo,Referencia!$A$1:$AZ$1,0),0),
fila,IFERROR(MATCH(TO_TEXT(D2145),ARRAYFOR"&amp;"MULA(TO_TEXT(Referencia!$A$2:$A6238)),0),0),
IF(OR(campo="""",campo=""-""),""NO APLICA"",
IF(col=0,""REVISAR EQUIVALENCIA"",
IF(fila=0,""SKU NO ENCONTRADO"",
LET(
valor,INDEX(Referencia!$A$2:$AZ6238,fila,col),
IF(TRIM(TO_TEXT(valor))=TRIM(TO_TEXT(I2145)),"&amp;"
""OK"",
""NO COINCIDE. Valor verdadero: ""&amp;IF(valor="""",""[VACÍO]"",TO_TEXT(valor))
)
))))
),""ERROR EN FÓRMULA""))"),"NO APLICA")</f>
        <v>NO APLICA</v>
      </c>
    </row>
    <row r="2146">
      <c r="A2146" s="83" t="s">
        <v>4618</v>
      </c>
      <c r="B2146" s="83" t="s">
        <v>4619</v>
      </c>
      <c r="C2146" s="81" t="s">
        <v>4621</v>
      </c>
      <c r="D2146" s="83" t="s">
        <v>4804</v>
      </c>
      <c r="E2146" s="81" t="s">
        <v>3858</v>
      </c>
      <c r="F2146" s="84">
        <v>743.0</v>
      </c>
      <c r="G2146" s="81" t="s">
        <v>12</v>
      </c>
      <c r="H2146" s="81" t="s">
        <v>224</v>
      </c>
      <c r="I2146" s="81" t="s">
        <v>55</v>
      </c>
      <c r="J2146" s="81" t="s">
        <v>224</v>
      </c>
      <c r="K2146" s="81" t="str">
        <f>IFERROR(__xludf.DUMMYFUNCTION("IF(OR(D2146="""",G2146=""""),"""",IFERROR(LET(
campo,XLOOKUP(TRIM(G2146),ARRAYFORMULA(TRIM('indice columnas'!$A$2:$A$100)),'indice columnas'!$B$2:$B$100,""""),
col,IFERROR(MATCH(campo,Referencia!$A$1:$AZ$1,0),0),
fila,IFERROR(MATCH(TO_TEXT(D2146),ARRAYFOR"&amp;"MULA(TO_TEXT(Referencia!$A$2:$A6238)),0),0),
IF(OR(campo="""",campo=""-""),""NO APLICA"",
IF(col=0,""REVISAR EQUIVALENCIA"",
IF(fila=0,""SKU NO ENCONTRADO"",
LET(
valor,INDEX(Referencia!$A$2:$AZ6238,fila,col),
IF(TRIM(TO_TEXT(valor))=TRIM(TO_TEXT(I2146)),"&amp;"
""OK"",
""NO COINCIDE. Valor verdadero: ""&amp;IF(valor="""",""[VACÍO]"",TO_TEXT(valor))
)
))))
),""ERROR EN FÓRMULA""))"),"OK")</f>
        <v>OK</v>
      </c>
    </row>
    <row r="2147">
      <c r="A2147" s="83" t="s">
        <v>4618</v>
      </c>
      <c r="B2147" s="83" t="s">
        <v>4619</v>
      </c>
      <c r="C2147" s="81" t="s">
        <v>4621</v>
      </c>
      <c r="D2147" s="83" t="s">
        <v>4804</v>
      </c>
      <c r="E2147" s="81" t="s">
        <v>3858</v>
      </c>
      <c r="F2147" s="84">
        <v>743.0</v>
      </c>
      <c r="G2147" s="81" t="s">
        <v>44</v>
      </c>
      <c r="H2147" s="81" t="s">
        <v>224</v>
      </c>
      <c r="I2147" s="81" t="s">
        <v>1051</v>
      </c>
      <c r="J2147" s="81" t="s">
        <v>4088</v>
      </c>
      <c r="K2147" s="81" t="str">
        <f>IFERROR(__xludf.DUMMYFUNCTION("IF(OR(D2147="""",G2147=""""),"""",IFERROR(LET(
campo,XLOOKUP(TRIM(G2147),ARRAYFORMULA(TRIM('indice columnas'!$A$2:$A$100)),'indice columnas'!$B$2:$B$100,""""),
col,IFERROR(MATCH(campo,Referencia!$A$1:$AZ$1,0),0),
fila,IFERROR(MATCH(TO_TEXT(D2147),ARRAYFOR"&amp;"MULA(TO_TEXT(Referencia!$A$2:$A6238)),0),0),
IF(OR(campo="""",campo=""-""),""NO APLICA"",
IF(col=0,""REVISAR EQUIVALENCIA"",
IF(fila=0,""SKU NO ENCONTRADO"",
LET(
valor,INDEX(Referencia!$A$2:$AZ6238,fila,col),
IF(TRIM(TO_TEXT(valor))=TRIM(TO_TEXT(I2147)),"&amp;"
""OK"",
""NO COINCIDE. Valor verdadero: ""&amp;IF(valor="""",""[VACÍO]"",TO_TEXT(valor))
)
))))
),""ERROR EN FÓRMULA""))"),"NO APLICA")</f>
        <v>NO APLICA</v>
      </c>
    </row>
    <row r="2148">
      <c r="A2148" s="83" t="s">
        <v>4618</v>
      </c>
      <c r="B2148" s="83" t="s">
        <v>4619</v>
      </c>
      <c r="C2148" s="81" t="s">
        <v>4621</v>
      </c>
      <c r="D2148" s="83" t="s">
        <v>4805</v>
      </c>
      <c r="E2148" s="81" t="s">
        <v>3859</v>
      </c>
      <c r="F2148" s="84">
        <v>744.0</v>
      </c>
      <c r="G2148" s="81" t="s">
        <v>12</v>
      </c>
      <c r="H2148" s="81" t="s">
        <v>224</v>
      </c>
      <c r="I2148" s="81" t="s">
        <v>55</v>
      </c>
      <c r="J2148" s="81" t="s">
        <v>224</v>
      </c>
      <c r="K2148" s="81" t="str">
        <f>IFERROR(__xludf.DUMMYFUNCTION("IF(OR(D2148="""",G2148=""""),"""",IFERROR(LET(
campo,XLOOKUP(TRIM(G2148),ARRAYFORMULA(TRIM('indice columnas'!$A$2:$A$100)),'indice columnas'!$B$2:$B$100,""""),
col,IFERROR(MATCH(campo,Referencia!$A$1:$AZ$1,0),0),
fila,IFERROR(MATCH(TO_TEXT(D2148),ARRAYFOR"&amp;"MULA(TO_TEXT(Referencia!$A$2:$A6238)),0),0),
IF(OR(campo="""",campo=""-""),""NO APLICA"",
IF(col=0,""REVISAR EQUIVALENCIA"",
IF(fila=0,""SKU NO ENCONTRADO"",
LET(
valor,INDEX(Referencia!$A$2:$AZ6238,fila,col),
IF(TRIM(TO_TEXT(valor))=TRIM(TO_TEXT(I2148)),"&amp;"
""OK"",
""NO COINCIDE. Valor verdadero: ""&amp;IF(valor="""",""[VACÍO]"",TO_TEXT(valor))
)
))))
),""ERROR EN FÓRMULA""))"),"OK")</f>
        <v>OK</v>
      </c>
    </row>
    <row r="2149">
      <c r="A2149" s="83" t="s">
        <v>4618</v>
      </c>
      <c r="B2149" s="83" t="s">
        <v>4619</v>
      </c>
      <c r="C2149" s="81" t="s">
        <v>4621</v>
      </c>
      <c r="D2149" s="83" t="s">
        <v>4805</v>
      </c>
      <c r="E2149" s="81" t="s">
        <v>3859</v>
      </c>
      <c r="F2149" s="84">
        <v>744.0</v>
      </c>
      <c r="G2149" s="81" t="s">
        <v>44</v>
      </c>
      <c r="H2149" s="81" t="s">
        <v>224</v>
      </c>
      <c r="I2149" s="81" t="s">
        <v>1051</v>
      </c>
      <c r="J2149" s="81" t="s">
        <v>4088</v>
      </c>
      <c r="K2149" s="81" t="str">
        <f>IFERROR(__xludf.DUMMYFUNCTION("IF(OR(D2149="""",G2149=""""),"""",IFERROR(LET(
campo,XLOOKUP(TRIM(G2149),ARRAYFORMULA(TRIM('indice columnas'!$A$2:$A$100)),'indice columnas'!$B$2:$B$100,""""),
col,IFERROR(MATCH(campo,Referencia!$A$1:$AZ$1,0),0),
fila,IFERROR(MATCH(TO_TEXT(D2149),ARRAYFOR"&amp;"MULA(TO_TEXT(Referencia!$A$2:$A6238)),0),0),
IF(OR(campo="""",campo=""-""),""NO APLICA"",
IF(col=0,""REVISAR EQUIVALENCIA"",
IF(fila=0,""SKU NO ENCONTRADO"",
LET(
valor,INDEX(Referencia!$A$2:$AZ6238,fila,col),
IF(TRIM(TO_TEXT(valor))=TRIM(TO_TEXT(I2149)),"&amp;"
""OK"",
""NO COINCIDE. Valor verdadero: ""&amp;IF(valor="""",""[VACÍO]"",TO_TEXT(valor))
)
))))
),""ERROR EN FÓRMULA""))"),"NO APLICA")</f>
        <v>NO APLICA</v>
      </c>
    </row>
    <row r="2150">
      <c r="A2150" s="83" t="s">
        <v>4618</v>
      </c>
      <c r="B2150" s="83" t="s">
        <v>4619</v>
      </c>
      <c r="C2150" s="81" t="s">
        <v>4621</v>
      </c>
      <c r="D2150" s="83" t="s">
        <v>4806</v>
      </c>
      <c r="E2150" s="81" t="s">
        <v>3860</v>
      </c>
      <c r="F2150" s="84">
        <v>745.0</v>
      </c>
      <c r="G2150" s="81" t="s">
        <v>44</v>
      </c>
      <c r="H2150" s="81" t="s">
        <v>224</v>
      </c>
      <c r="I2150" s="81" t="s">
        <v>1051</v>
      </c>
      <c r="J2150" s="81" t="s">
        <v>4088</v>
      </c>
      <c r="K2150" s="81" t="str">
        <f>IFERROR(__xludf.DUMMYFUNCTION("IF(OR(D2150="""",G2150=""""),"""",IFERROR(LET(
campo,XLOOKUP(TRIM(G2150),ARRAYFORMULA(TRIM('indice columnas'!$A$2:$A$100)),'indice columnas'!$B$2:$B$100,""""),
col,IFERROR(MATCH(campo,Referencia!$A$1:$AZ$1,0),0),
fila,IFERROR(MATCH(TO_TEXT(D2150),ARRAYFOR"&amp;"MULA(TO_TEXT(Referencia!$A$2:$A6238)),0),0),
IF(OR(campo="""",campo=""-""),""NO APLICA"",
IF(col=0,""REVISAR EQUIVALENCIA"",
IF(fila=0,""SKU NO ENCONTRADO"",
LET(
valor,INDEX(Referencia!$A$2:$AZ6238,fila,col),
IF(TRIM(TO_TEXT(valor))=TRIM(TO_TEXT(I2150)),"&amp;"
""OK"",
""NO COINCIDE. Valor verdadero: ""&amp;IF(valor="""",""[VACÍO]"",TO_TEXT(valor))
)
))))
),""ERROR EN FÓRMULA""))"),"NO APLICA")</f>
        <v>NO APLICA</v>
      </c>
    </row>
    <row r="2151">
      <c r="A2151" s="83" t="s">
        <v>4618</v>
      </c>
      <c r="B2151" s="83" t="s">
        <v>4619</v>
      </c>
      <c r="C2151" s="81" t="s">
        <v>4621</v>
      </c>
      <c r="D2151" s="83" t="s">
        <v>4806</v>
      </c>
      <c r="E2151" s="81" t="s">
        <v>3861</v>
      </c>
      <c r="F2151" s="84">
        <v>746.0</v>
      </c>
      <c r="G2151" s="81" t="s">
        <v>12</v>
      </c>
      <c r="H2151" s="81" t="s">
        <v>224</v>
      </c>
      <c r="I2151" s="81" t="s">
        <v>55</v>
      </c>
      <c r="J2151" s="81" t="s">
        <v>224</v>
      </c>
      <c r="K2151" s="81" t="str">
        <f>IFERROR(__xludf.DUMMYFUNCTION("IF(OR(D2151="""",G2151=""""),"""",IFERROR(LET(
campo,XLOOKUP(TRIM(G2151),ARRAYFORMULA(TRIM('indice columnas'!$A$2:$A$100)),'indice columnas'!$B$2:$B$100,""""),
col,IFERROR(MATCH(campo,Referencia!$A$1:$AZ$1,0),0),
fila,IFERROR(MATCH(TO_TEXT(D2151),ARRAYFOR"&amp;"MULA(TO_TEXT(Referencia!$A$2:$A6238)),0),0),
IF(OR(campo="""",campo=""-""),""NO APLICA"",
IF(col=0,""REVISAR EQUIVALENCIA"",
IF(fila=0,""SKU NO ENCONTRADO"",
LET(
valor,INDEX(Referencia!$A$2:$AZ6238,fila,col),
IF(TRIM(TO_TEXT(valor))=TRIM(TO_TEXT(I2151)),"&amp;"
""OK"",
""NO COINCIDE. Valor verdadero: ""&amp;IF(valor="""",""[VACÍO]"",TO_TEXT(valor))
)
))))
),""ERROR EN FÓRMULA""))"),"OK")</f>
        <v>OK</v>
      </c>
    </row>
    <row r="2152">
      <c r="A2152" s="83" t="s">
        <v>4618</v>
      </c>
      <c r="B2152" s="83" t="s">
        <v>4619</v>
      </c>
      <c r="C2152" s="81" t="s">
        <v>4621</v>
      </c>
      <c r="D2152" s="83" t="s">
        <v>4806</v>
      </c>
      <c r="E2152" s="81" t="s">
        <v>3861</v>
      </c>
      <c r="F2152" s="84">
        <v>746.0</v>
      </c>
      <c r="G2152" s="81" t="s">
        <v>44</v>
      </c>
      <c r="H2152" s="81" t="s">
        <v>224</v>
      </c>
      <c r="I2152" s="81" t="s">
        <v>1051</v>
      </c>
      <c r="J2152" s="81" t="s">
        <v>4088</v>
      </c>
      <c r="K2152" s="81" t="str">
        <f>IFERROR(__xludf.DUMMYFUNCTION("IF(OR(D2152="""",G2152=""""),"""",IFERROR(LET(
campo,XLOOKUP(TRIM(G2152),ARRAYFORMULA(TRIM('indice columnas'!$A$2:$A$100)),'indice columnas'!$B$2:$B$100,""""),
col,IFERROR(MATCH(campo,Referencia!$A$1:$AZ$1,0),0),
fila,IFERROR(MATCH(TO_TEXT(D2152),ARRAYFOR"&amp;"MULA(TO_TEXT(Referencia!$A$2:$A6238)),0),0),
IF(OR(campo="""",campo=""-""),""NO APLICA"",
IF(col=0,""REVISAR EQUIVALENCIA"",
IF(fila=0,""SKU NO ENCONTRADO"",
LET(
valor,INDEX(Referencia!$A$2:$AZ6238,fila,col),
IF(TRIM(TO_TEXT(valor))=TRIM(TO_TEXT(I2152)),"&amp;"
""OK"",
""NO COINCIDE. Valor verdadero: ""&amp;IF(valor="""",""[VACÍO]"",TO_TEXT(valor))
)
))))
),""ERROR EN FÓRMULA""))"),"NO APLICA")</f>
        <v>NO APLICA</v>
      </c>
    </row>
    <row r="2153">
      <c r="A2153" s="83" t="s">
        <v>4618</v>
      </c>
      <c r="B2153" s="83" t="s">
        <v>4619</v>
      </c>
      <c r="C2153" s="81" t="s">
        <v>4621</v>
      </c>
      <c r="D2153" s="83" t="s">
        <v>4807</v>
      </c>
      <c r="E2153" s="81" t="s">
        <v>3862</v>
      </c>
      <c r="F2153" s="84">
        <v>747.0</v>
      </c>
      <c r="G2153" s="81" t="s">
        <v>12</v>
      </c>
      <c r="H2153" s="81" t="s">
        <v>224</v>
      </c>
      <c r="I2153" s="81" t="s">
        <v>55</v>
      </c>
      <c r="J2153" s="81" t="s">
        <v>224</v>
      </c>
      <c r="K2153" s="81" t="str">
        <f>IFERROR(__xludf.DUMMYFUNCTION("IF(OR(D2153="""",G2153=""""),"""",IFERROR(LET(
campo,XLOOKUP(TRIM(G2153),ARRAYFORMULA(TRIM('indice columnas'!$A$2:$A$100)),'indice columnas'!$B$2:$B$100,""""),
col,IFERROR(MATCH(campo,Referencia!$A$1:$AZ$1,0),0),
fila,IFERROR(MATCH(TO_TEXT(D2153),ARRAYFOR"&amp;"MULA(TO_TEXT(Referencia!$A$2:$A6238)),0),0),
IF(OR(campo="""",campo=""-""),""NO APLICA"",
IF(col=0,""REVISAR EQUIVALENCIA"",
IF(fila=0,""SKU NO ENCONTRADO"",
LET(
valor,INDEX(Referencia!$A$2:$AZ6238,fila,col),
IF(TRIM(TO_TEXT(valor))=TRIM(TO_TEXT(I2153)),"&amp;"
""OK"",
""NO COINCIDE. Valor verdadero: ""&amp;IF(valor="""",""[VACÍO]"",TO_TEXT(valor))
)
))))
),""ERROR EN FÓRMULA""))"),"OK")</f>
        <v>OK</v>
      </c>
    </row>
    <row r="2154">
      <c r="A2154" s="83" t="s">
        <v>4618</v>
      </c>
      <c r="B2154" s="83" t="s">
        <v>4619</v>
      </c>
      <c r="C2154" s="81" t="s">
        <v>4621</v>
      </c>
      <c r="D2154" s="83" t="s">
        <v>4807</v>
      </c>
      <c r="E2154" s="81" t="s">
        <v>3862</v>
      </c>
      <c r="F2154" s="84">
        <v>747.0</v>
      </c>
      <c r="G2154" s="81" t="s">
        <v>44</v>
      </c>
      <c r="H2154" s="81" t="s">
        <v>224</v>
      </c>
      <c r="I2154" s="81" t="s">
        <v>1051</v>
      </c>
      <c r="J2154" s="81" t="s">
        <v>4088</v>
      </c>
      <c r="K2154" s="81" t="str">
        <f>IFERROR(__xludf.DUMMYFUNCTION("IF(OR(D2154="""",G2154=""""),"""",IFERROR(LET(
campo,XLOOKUP(TRIM(G2154),ARRAYFORMULA(TRIM('indice columnas'!$A$2:$A$100)),'indice columnas'!$B$2:$B$100,""""),
col,IFERROR(MATCH(campo,Referencia!$A$1:$AZ$1,0),0),
fila,IFERROR(MATCH(TO_TEXT(D2154),ARRAYFOR"&amp;"MULA(TO_TEXT(Referencia!$A$2:$A6238)),0),0),
IF(OR(campo="""",campo=""-""),""NO APLICA"",
IF(col=0,""REVISAR EQUIVALENCIA"",
IF(fila=0,""SKU NO ENCONTRADO"",
LET(
valor,INDEX(Referencia!$A$2:$AZ6238,fila,col),
IF(TRIM(TO_TEXT(valor))=TRIM(TO_TEXT(I2154)),"&amp;"
""OK"",
""NO COINCIDE. Valor verdadero: ""&amp;IF(valor="""",""[VACÍO]"",TO_TEXT(valor))
)
))))
),""ERROR EN FÓRMULA""))"),"NO APLICA")</f>
        <v>NO APLICA</v>
      </c>
    </row>
    <row r="2155">
      <c r="A2155" s="83" t="s">
        <v>4618</v>
      </c>
      <c r="B2155" s="83" t="s">
        <v>4619</v>
      </c>
      <c r="C2155" s="81" t="s">
        <v>4621</v>
      </c>
      <c r="D2155" s="83" t="s">
        <v>4808</v>
      </c>
      <c r="E2155" s="81" t="s">
        <v>3863</v>
      </c>
      <c r="F2155" s="84">
        <v>748.0</v>
      </c>
      <c r="G2155" s="81" t="s">
        <v>44</v>
      </c>
      <c r="H2155" s="81" t="s">
        <v>4570</v>
      </c>
      <c r="I2155" s="81" t="s">
        <v>2673</v>
      </c>
      <c r="J2155" s="81" t="s">
        <v>4088</v>
      </c>
      <c r="K2155" s="81" t="str">
        <f>IFERROR(__xludf.DUMMYFUNCTION("IF(OR(D2155="""",G2155=""""),"""",IFERROR(LET(
campo,XLOOKUP(TRIM(G2155),ARRAYFORMULA(TRIM('indice columnas'!$A$2:$A$100)),'indice columnas'!$B$2:$B$100,""""),
col,IFERROR(MATCH(campo,Referencia!$A$1:$AZ$1,0),0),
fila,IFERROR(MATCH(TO_TEXT(D2155),ARRAYFOR"&amp;"MULA(TO_TEXT(Referencia!$A$2:$A6238)),0),0),
IF(OR(campo="""",campo=""-""),""NO APLICA"",
IF(col=0,""REVISAR EQUIVALENCIA"",
IF(fila=0,""SKU NO ENCONTRADO"",
LET(
valor,INDEX(Referencia!$A$2:$AZ6238,fila,col),
IF(TRIM(TO_TEXT(valor))=TRIM(TO_TEXT(I2155)),"&amp;"
""OK"",
""NO COINCIDE. Valor verdadero: ""&amp;IF(valor="""",""[VACÍO]"",TO_TEXT(valor))
)
))))
),""ERROR EN FÓRMULA""))"),"NO APLICA")</f>
        <v>NO APLICA</v>
      </c>
    </row>
    <row r="2156">
      <c r="A2156" s="83" t="s">
        <v>4618</v>
      </c>
      <c r="B2156" s="83" t="s">
        <v>4619</v>
      </c>
      <c r="C2156" s="81" t="s">
        <v>4621</v>
      </c>
      <c r="D2156" s="83" t="s">
        <v>4808</v>
      </c>
      <c r="E2156" s="81" t="s">
        <v>3867</v>
      </c>
      <c r="F2156" s="84">
        <v>749.0</v>
      </c>
      <c r="G2156" s="81" t="s">
        <v>7</v>
      </c>
      <c r="H2156" s="81" t="s">
        <v>3623</v>
      </c>
      <c r="I2156" s="81" t="s">
        <v>1134</v>
      </c>
      <c r="J2156" s="81" t="s">
        <v>224</v>
      </c>
      <c r="K2156" s="81" t="str">
        <f>IFERROR(__xludf.DUMMYFUNCTION("IF(OR(D2156="""",G2156=""""),"""",IFERROR(LET(
campo,XLOOKUP(TRIM(G2156),ARRAYFORMULA(TRIM('indice columnas'!$A$2:$A$100)),'indice columnas'!$B$2:$B$100,""""),
col,IFERROR(MATCH(campo,Referencia!$A$1:$AZ$1,0),0),
fila,IFERROR(MATCH(TO_TEXT(D2156),ARRAYFOR"&amp;"MULA(TO_TEXT(Referencia!$A$2:$A6238)),0),0),
IF(OR(campo="""",campo=""-""),""NO APLICA"",
IF(col=0,""REVISAR EQUIVALENCIA"",
IF(fila=0,""SKU NO ENCONTRADO"",
LET(
valor,INDEX(Referencia!$A$2:$AZ6238,fila,col),
IF(TRIM(TO_TEXT(valor))=TRIM(TO_TEXT(I2156)),"&amp;"
""OK"",
""NO COINCIDE. Valor verdadero: ""&amp;IF(valor="""",""[VACÍO]"",TO_TEXT(valor))
)
))))
),""ERROR EN FÓRMULA""))"),"REVISAR EQUIVALENCIA")</f>
        <v>REVISAR EQUIVALENCIA</v>
      </c>
    </row>
    <row r="2157">
      <c r="A2157" s="83" t="s">
        <v>4618</v>
      </c>
      <c r="B2157" s="83" t="s">
        <v>4619</v>
      </c>
      <c r="C2157" s="81" t="s">
        <v>4621</v>
      </c>
      <c r="D2157" s="83" t="s">
        <v>4808</v>
      </c>
      <c r="E2157" s="81" t="s">
        <v>3867</v>
      </c>
      <c r="F2157" s="84">
        <v>749.0</v>
      </c>
      <c r="G2157" s="81" t="s">
        <v>12</v>
      </c>
      <c r="H2157" s="81" t="s">
        <v>224</v>
      </c>
      <c r="I2157" s="81" t="s">
        <v>55</v>
      </c>
      <c r="J2157" s="81" t="s">
        <v>224</v>
      </c>
      <c r="K2157" s="81" t="str">
        <f>IFERROR(__xludf.DUMMYFUNCTION("IF(OR(D2157="""",G2157=""""),"""",IFERROR(LET(
campo,XLOOKUP(TRIM(G2157),ARRAYFORMULA(TRIM('indice columnas'!$A$2:$A$100)),'indice columnas'!$B$2:$B$100,""""),
col,IFERROR(MATCH(campo,Referencia!$A$1:$AZ$1,0),0),
fila,IFERROR(MATCH(TO_TEXT(D2157),ARRAYFOR"&amp;"MULA(TO_TEXT(Referencia!$A$2:$A6238)),0),0),
IF(OR(campo="""",campo=""-""),""NO APLICA"",
IF(col=0,""REVISAR EQUIVALENCIA"",
IF(fila=0,""SKU NO ENCONTRADO"",
LET(
valor,INDEX(Referencia!$A$2:$AZ6238,fila,col),
IF(TRIM(TO_TEXT(valor))=TRIM(TO_TEXT(I2157)),"&amp;"
""OK"",
""NO COINCIDE. Valor verdadero: ""&amp;IF(valor="""",""[VACÍO]"",TO_TEXT(valor))
)
))))
),""ERROR EN FÓRMULA""))"),"OK")</f>
        <v>OK</v>
      </c>
    </row>
    <row r="2158">
      <c r="A2158" s="83" t="s">
        <v>4618</v>
      </c>
      <c r="B2158" s="83" t="s">
        <v>4619</v>
      </c>
      <c r="C2158" s="81" t="s">
        <v>4621</v>
      </c>
      <c r="D2158" s="83" t="s">
        <v>4808</v>
      </c>
      <c r="E2158" s="81" t="s">
        <v>3867</v>
      </c>
      <c r="F2158" s="84">
        <v>749.0</v>
      </c>
      <c r="G2158" s="81" t="s">
        <v>44</v>
      </c>
      <c r="H2158" s="81" t="s">
        <v>4570</v>
      </c>
      <c r="I2158" s="81" t="s">
        <v>2673</v>
      </c>
      <c r="J2158" s="81" t="s">
        <v>4088</v>
      </c>
      <c r="K2158" s="81" t="str">
        <f>IFERROR(__xludf.DUMMYFUNCTION("IF(OR(D2158="""",G2158=""""),"""",IFERROR(LET(
campo,XLOOKUP(TRIM(G2158),ARRAYFORMULA(TRIM('indice columnas'!$A$2:$A$100)),'indice columnas'!$B$2:$B$100,""""),
col,IFERROR(MATCH(campo,Referencia!$A$1:$AZ$1,0),0),
fila,IFERROR(MATCH(TO_TEXT(D2158),ARRAYFOR"&amp;"MULA(TO_TEXT(Referencia!$A$2:$A6238)),0),0),
IF(OR(campo="""",campo=""-""),""NO APLICA"",
IF(col=0,""REVISAR EQUIVALENCIA"",
IF(fila=0,""SKU NO ENCONTRADO"",
LET(
valor,INDEX(Referencia!$A$2:$AZ6238,fila,col),
IF(TRIM(TO_TEXT(valor))=TRIM(TO_TEXT(I2158)),"&amp;"
""OK"",
""NO COINCIDE. Valor verdadero: ""&amp;IF(valor="""",""[VACÍO]"",TO_TEXT(valor))
)
))))
),""ERROR EN FÓRMULA""))"),"NO APLICA")</f>
        <v>NO APLICA</v>
      </c>
    </row>
    <row r="2159">
      <c r="A2159" s="83" t="s">
        <v>4618</v>
      </c>
      <c r="B2159" s="83" t="s">
        <v>4619</v>
      </c>
      <c r="C2159" s="81" t="s">
        <v>4621</v>
      </c>
      <c r="D2159" s="83" t="s">
        <v>4809</v>
      </c>
      <c r="E2159" s="81" t="s">
        <v>3868</v>
      </c>
      <c r="F2159" s="84">
        <v>750.0</v>
      </c>
      <c r="G2159" s="81" t="s">
        <v>7</v>
      </c>
      <c r="H2159" s="81" t="s">
        <v>3623</v>
      </c>
      <c r="I2159" s="81" t="s">
        <v>1134</v>
      </c>
      <c r="J2159" s="81" t="s">
        <v>224</v>
      </c>
      <c r="K2159" s="81" t="str">
        <f>IFERROR(__xludf.DUMMYFUNCTION("IF(OR(D2159="""",G2159=""""),"""",IFERROR(LET(
campo,XLOOKUP(TRIM(G2159),ARRAYFORMULA(TRIM('indice columnas'!$A$2:$A$100)),'indice columnas'!$B$2:$B$100,""""),
col,IFERROR(MATCH(campo,Referencia!$A$1:$AZ$1,0),0),
fila,IFERROR(MATCH(TO_TEXT(D2159),ARRAYFOR"&amp;"MULA(TO_TEXT(Referencia!$A$2:$A6238)),0),0),
IF(OR(campo="""",campo=""-""),""NO APLICA"",
IF(col=0,""REVISAR EQUIVALENCIA"",
IF(fila=0,""SKU NO ENCONTRADO"",
LET(
valor,INDEX(Referencia!$A$2:$AZ6238,fila,col),
IF(TRIM(TO_TEXT(valor))=TRIM(TO_TEXT(I2159)),"&amp;"
""OK"",
""NO COINCIDE. Valor verdadero: ""&amp;IF(valor="""",""[VACÍO]"",TO_TEXT(valor))
)
))))
),""ERROR EN FÓRMULA""))"),"REVISAR EQUIVALENCIA")</f>
        <v>REVISAR EQUIVALENCIA</v>
      </c>
    </row>
    <row r="2160">
      <c r="A2160" s="83" t="s">
        <v>4618</v>
      </c>
      <c r="B2160" s="83" t="s">
        <v>4619</v>
      </c>
      <c r="C2160" s="81" t="s">
        <v>4621</v>
      </c>
      <c r="D2160" s="83" t="s">
        <v>4809</v>
      </c>
      <c r="E2160" s="81" t="s">
        <v>3868</v>
      </c>
      <c r="F2160" s="84">
        <v>750.0</v>
      </c>
      <c r="G2160" s="81" t="s">
        <v>12</v>
      </c>
      <c r="H2160" s="81" t="s">
        <v>224</v>
      </c>
      <c r="I2160" s="81" t="s">
        <v>55</v>
      </c>
      <c r="J2160" s="81" t="s">
        <v>224</v>
      </c>
      <c r="K2160" s="81" t="str">
        <f>IFERROR(__xludf.DUMMYFUNCTION("IF(OR(D2160="""",G2160=""""),"""",IFERROR(LET(
campo,XLOOKUP(TRIM(G2160),ARRAYFORMULA(TRIM('indice columnas'!$A$2:$A$100)),'indice columnas'!$B$2:$B$100,""""),
col,IFERROR(MATCH(campo,Referencia!$A$1:$AZ$1,0),0),
fila,IFERROR(MATCH(TO_TEXT(D2160),ARRAYFOR"&amp;"MULA(TO_TEXT(Referencia!$A$2:$A6238)),0),0),
IF(OR(campo="""",campo=""-""),""NO APLICA"",
IF(col=0,""REVISAR EQUIVALENCIA"",
IF(fila=0,""SKU NO ENCONTRADO"",
LET(
valor,INDEX(Referencia!$A$2:$AZ6238,fila,col),
IF(TRIM(TO_TEXT(valor))=TRIM(TO_TEXT(I2160)),"&amp;"
""OK"",
""NO COINCIDE. Valor verdadero: ""&amp;IF(valor="""",""[VACÍO]"",TO_TEXT(valor))
)
))))
),""ERROR EN FÓRMULA""))"),"OK")</f>
        <v>OK</v>
      </c>
    </row>
    <row r="2161">
      <c r="A2161" s="83" t="s">
        <v>4618</v>
      </c>
      <c r="B2161" s="83" t="s">
        <v>4619</v>
      </c>
      <c r="C2161" s="81" t="s">
        <v>4621</v>
      </c>
      <c r="D2161" s="83" t="s">
        <v>4809</v>
      </c>
      <c r="E2161" s="81" t="s">
        <v>3868</v>
      </c>
      <c r="F2161" s="84">
        <v>750.0</v>
      </c>
      <c r="G2161" s="81" t="s">
        <v>44</v>
      </c>
      <c r="H2161" s="81" t="s">
        <v>4570</v>
      </c>
      <c r="I2161" s="81" t="s">
        <v>2673</v>
      </c>
      <c r="J2161" s="81" t="s">
        <v>4088</v>
      </c>
      <c r="K2161" s="81" t="str">
        <f>IFERROR(__xludf.DUMMYFUNCTION("IF(OR(D2161="""",G2161=""""),"""",IFERROR(LET(
campo,XLOOKUP(TRIM(G2161),ARRAYFORMULA(TRIM('indice columnas'!$A$2:$A$100)),'indice columnas'!$B$2:$B$100,""""),
col,IFERROR(MATCH(campo,Referencia!$A$1:$AZ$1,0),0),
fila,IFERROR(MATCH(TO_TEXT(D2161),ARRAYFOR"&amp;"MULA(TO_TEXT(Referencia!$A$2:$A6238)),0),0),
IF(OR(campo="""",campo=""-""),""NO APLICA"",
IF(col=0,""REVISAR EQUIVALENCIA"",
IF(fila=0,""SKU NO ENCONTRADO"",
LET(
valor,INDEX(Referencia!$A$2:$AZ6238,fila,col),
IF(TRIM(TO_TEXT(valor))=TRIM(TO_TEXT(I2161)),"&amp;"
""OK"",
""NO COINCIDE. Valor verdadero: ""&amp;IF(valor="""",""[VACÍO]"",TO_TEXT(valor))
)
))))
),""ERROR EN FÓRMULA""))"),"NO APLICA")</f>
        <v>NO APLICA</v>
      </c>
    </row>
    <row r="2162">
      <c r="A2162" s="83" t="s">
        <v>4618</v>
      </c>
      <c r="B2162" s="83" t="s">
        <v>4619</v>
      </c>
      <c r="C2162" s="81" t="s">
        <v>4621</v>
      </c>
      <c r="D2162" s="83" t="s">
        <v>4810</v>
      </c>
      <c r="E2162" s="81" t="s">
        <v>3871</v>
      </c>
      <c r="F2162" s="84">
        <v>751.0</v>
      </c>
      <c r="G2162" s="81" t="s">
        <v>7</v>
      </c>
      <c r="H2162" s="81" t="s">
        <v>3623</v>
      </c>
      <c r="I2162" s="81" t="s">
        <v>1134</v>
      </c>
      <c r="J2162" s="81" t="s">
        <v>224</v>
      </c>
      <c r="K2162" s="81" t="str">
        <f>IFERROR(__xludf.DUMMYFUNCTION("IF(OR(D2162="""",G2162=""""),"""",IFERROR(LET(
campo,XLOOKUP(TRIM(G2162),ARRAYFORMULA(TRIM('indice columnas'!$A$2:$A$100)),'indice columnas'!$B$2:$B$100,""""),
col,IFERROR(MATCH(campo,Referencia!$A$1:$AZ$1,0),0),
fila,IFERROR(MATCH(TO_TEXT(D2162),ARRAYFOR"&amp;"MULA(TO_TEXT(Referencia!$A$2:$A6238)),0),0),
IF(OR(campo="""",campo=""-""),""NO APLICA"",
IF(col=0,""REVISAR EQUIVALENCIA"",
IF(fila=0,""SKU NO ENCONTRADO"",
LET(
valor,INDEX(Referencia!$A$2:$AZ6238,fila,col),
IF(TRIM(TO_TEXT(valor))=TRIM(TO_TEXT(I2162)),"&amp;"
""OK"",
""NO COINCIDE. Valor verdadero: ""&amp;IF(valor="""",""[VACÍO]"",TO_TEXT(valor))
)
))))
),""ERROR EN FÓRMULA""))"),"REVISAR EQUIVALENCIA")</f>
        <v>REVISAR EQUIVALENCIA</v>
      </c>
    </row>
    <row r="2163">
      <c r="A2163" s="83" t="s">
        <v>4618</v>
      </c>
      <c r="B2163" s="83" t="s">
        <v>4619</v>
      </c>
      <c r="C2163" s="81" t="s">
        <v>4621</v>
      </c>
      <c r="D2163" s="83" t="s">
        <v>4810</v>
      </c>
      <c r="E2163" s="81" t="s">
        <v>3871</v>
      </c>
      <c r="F2163" s="84">
        <v>751.0</v>
      </c>
      <c r="G2163" s="81" t="s">
        <v>44</v>
      </c>
      <c r="H2163" s="81" t="s">
        <v>4700</v>
      </c>
      <c r="I2163" s="81" t="s">
        <v>3315</v>
      </c>
      <c r="J2163" s="81" t="s">
        <v>4088</v>
      </c>
      <c r="K2163" s="81" t="str">
        <f>IFERROR(__xludf.DUMMYFUNCTION("IF(OR(D2163="""",G2163=""""),"""",IFERROR(LET(
campo,XLOOKUP(TRIM(G2163),ARRAYFORMULA(TRIM('indice columnas'!$A$2:$A$100)),'indice columnas'!$B$2:$B$100,""""),
col,IFERROR(MATCH(campo,Referencia!$A$1:$AZ$1,0),0),
fila,IFERROR(MATCH(TO_TEXT(D2163),ARRAYFOR"&amp;"MULA(TO_TEXT(Referencia!$A$2:$A6238)),0),0),
IF(OR(campo="""",campo=""-""),""NO APLICA"",
IF(col=0,""REVISAR EQUIVALENCIA"",
IF(fila=0,""SKU NO ENCONTRADO"",
LET(
valor,INDEX(Referencia!$A$2:$AZ6238,fila,col),
IF(TRIM(TO_TEXT(valor))=TRIM(TO_TEXT(I2163)),"&amp;"
""OK"",
""NO COINCIDE. Valor verdadero: ""&amp;IF(valor="""",""[VACÍO]"",TO_TEXT(valor))
)
))))
),""ERROR EN FÓRMULA""))"),"NO APLICA")</f>
        <v>NO APLICA</v>
      </c>
    </row>
    <row r="2164">
      <c r="A2164" s="83" t="s">
        <v>4618</v>
      </c>
      <c r="B2164" s="83" t="s">
        <v>4619</v>
      </c>
      <c r="C2164" s="81" t="s">
        <v>4621</v>
      </c>
      <c r="D2164" s="83" t="s">
        <v>4811</v>
      </c>
      <c r="E2164" s="81" t="s">
        <v>3874</v>
      </c>
      <c r="F2164" s="84">
        <v>752.0</v>
      </c>
      <c r="G2164" s="81" t="s">
        <v>7</v>
      </c>
      <c r="H2164" s="81" t="s">
        <v>4812</v>
      </c>
      <c r="I2164" s="81" t="s">
        <v>4008</v>
      </c>
      <c r="J2164" s="81" t="s">
        <v>224</v>
      </c>
      <c r="K2164" s="81" t="str">
        <f>IFERROR(__xludf.DUMMYFUNCTION("IF(OR(D2164="""",G2164=""""),"""",IFERROR(LET(
campo,XLOOKUP(TRIM(G2164),ARRAYFORMULA(TRIM('indice columnas'!$A$2:$A$100)),'indice columnas'!$B$2:$B$100,""""),
col,IFERROR(MATCH(campo,Referencia!$A$1:$AZ$1,0),0),
fila,IFERROR(MATCH(TO_TEXT(D2164),ARRAYFOR"&amp;"MULA(TO_TEXT(Referencia!$A$2:$A6238)),0),0),
IF(OR(campo="""",campo=""-""),""NO APLICA"",
IF(col=0,""REVISAR EQUIVALENCIA"",
IF(fila=0,""SKU NO ENCONTRADO"",
LET(
valor,INDEX(Referencia!$A$2:$AZ6238,fila,col),
IF(TRIM(TO_TEXT(valor))=TRIM(TO_TEXT(I2164)),"&amp;"
""OK"",
""NO COINCIDE. Valor verdadero: ""&amp;IF(valor="""",""[VACÍO]"",TO_TEXT(valor))
)
))))
),""ERROR EN FÓRMULA""))"),"REVISAR EQUIVALENCIA")</f>
        <v>REVISAR EQUIVALENCIA</v>
      </c>
    </row>
    <row r="2165">
      <c r="A2165" s="83" t="s">
        <v>4618</v>
      </c>
      <c r="B2165" s="83" t="s">
        <v>4619</v>
      </c>
      <c r="C2165" s="81" t="s">
        <v>4621</v>
      </c>
      <c r="D2165" s="83" t="s">
        <v>4811</v>
      </c>
      <c r="E2165" s="81" t="s">
        <v>3874</v>
      </c>
      <c r="F2165" s="84">
        <v>752.0</v>
      </c>
      <c r="G2165" s="81" t="s">
        <v>44</v>
      </c>
      <c r="H2165" s="81" t="s">
        <v>224</v>
      </c>
      <c r="I2165" s="81" t="s">
        <v>1775</v>
      </c>
      <c r="J2165" s="81" t="s">
        <v>4088</v>
      </c>
      <c r="K2165" s="81" t="str">
        <f>IFERROR(__xludf.DUMMYFUNCTION("IF(OR(D2165="""",G2165=""""),"""",IFERROR(LET(
campo,XLOOKUP(TRIM(G2165),ARRAYFORMULA(TRIM('indice columnas'!$A$2:$A$100)),'indice columnas'!$B$2:$B$100,""""),
col,IFERROR(MATCH(campo,Referencia!$A$1:$AZ$1,0),0),
fila,IFERROR(MATCH(TO_TEXT(D2165),ARRAYFOR"&amp;"MULA(TO_TEXT(Referencia!$A$2:$A6238)),0),0),
IF(OR(campo="""",campo=""-""),""NO APLICA"",
IF(col=0,""REVISAR EQUIVALENCIA"",
IF(fila=0,""SKU NO ENCONTRADO"",
LET(
valor,INDEX(Referencia!$A$2:$AZ6238,fila,col),
IF(TRIM(TO_TEXT(valor))=TRIM(TO_TEXT(I2165)),"&amp;"
""OK"",
""NO COINCIDE. Valor verdadero: ""&amp;IF(valor="""",""[VACÍO]"",TO_TEXT(valor))
)
))))
),""ERROR EN FÓRMULA""))"),"NO APLICA")</f>
        <v>NO APLICA</v>
      </c>
    </row>
    <row r="2166">
      <c r="A2166" s="83" t="s">
        <v>4618</v>
      </c>
      <c r="B2166" s="83" t="s">
        <v>4619</v>
      </c>
      <c r="C2166" s="81" t="s">
        <v>4621</v>
      </c>
      <c r="D2166" s="83" t="s">
        <v>4813</v>
      </c>
      <c r="E2166" s="81" t="s">
        <v>3877</v>
      </c>
      <c r="F2166" s="84">
        <v>753.0</v>
      </c>
      <c r="G2166" s="81" t="s">
        <v>7</v>
      </c>
      <c r="H2166" s="81" t="s">
        <v>4812</v>
      </c>
      <c r="I2166" s="81" t="s">
        <v>4008</v>
      </c>
      <c r="J2166" s="81" t="s">
        <v>224</v>
      </c>
      <c r="K2166" s="81" t="str">
        <f>IFERROR(__xludf.DUMMYFUNCTION("IF(OR(D2166="""",G2166=""""),"""",IFERROR(LET(
campo,XLOOKUP(TRIM(G2166),ARRAYFORMULA(TRIM('indice columnas'!$A$2:$A$100)),'indice columnas'!$B$2:$B$100,""""),
col,IFERROR(MATCH(campo,Referencia!$A$1:$AZ$1,0),0),
fila,IFERROR(MATCH(TO_TEXT(D2166),ARRAYFOR"&amp;"MULA(TO_TEXT(Referencia!$A$2:$A6238)),0),0),
IF(OR(campo="""",campo=""-""),""NO APLICA"",
IF(col=0,""REVISAR EQUIVALENCIA"",
IF(fila=0,""SKU NO ENCONTRADO"",
LET(
valor,INDEX(Referencia!$A$2:$AZ6238,fila,col),
IF(TRIM(TO_TEXT(valor))=TRIM(TO_TEXT(I2166)),"&amp;"
""OK"",
""NO COINCIDE. Valor verdadero: ""&amp;IF(valor="""",""[VACÍO]"",TO_TEXT(valor))
)
))))
),""ERROR EN FÓRMULA""))"),"REVISAR EQUIVALENCIA")</f>
        <v>REVISAR EQUIVALENCIA</v>
      </c>
    </row>
    <row r="2167">
      <c r="A2167" s="83" t="s">
        <v>4618</v>
      </c>
      <c r="B2167" s="83" t="s">
        <v>4619</v>
      </c>
      <c r="C2167" s="81" t="s">
        <v>4621</v>
      </c>
      <c r="D2167" s="83" t="s">
        <v>4813</v>
      </c>
      <c r="E2167" s="81" t="s">
        <v>3877</v>
      </c>
      <c r="F2167" s="84">
        <v>753.0</v>
      </c>
      <c r="G2167" s="81" t="s">
        <v>44</v>
      </c>
      <c r="H2167" s="81" t="s">
        <v>224</v>
      </c>
      <c r="I2167" s="81" t="s">
        <v>1775</v>
      </c>
      <c r="J2167" s="81" t="s">
        <v>4088</v>
      </c>
      <c r="K2167" s="81" t="str">
        <f>IFERROR(__xludf.DUMMYFUNCTION("IF(OR(D2167="""",G2167=""""),"""",IFERROR(LET(
campo,XLOOKUP(TRIM(G2167),ARRAYFORMULA(TRIM('indice columnas'!$A$2:$A$100)),'indice columnas'!$B$2:$B$100,""""),
col,IFERROR(MATCH(campo,Referencia!$A$1:$AZ$1,0),0),
fila,IFERROR(MATCH(TO_TEXT(D2167),ARRAYFOR"&amp;"MULA(TO_TEXT(Referencia!$A$2:$A6238)),0),0),
IF(OR(campo="""",campo=""-""),""NO APLICA"",
IF(col=0,""REVISAR EQUIVALENCIA"",
IF(fila=0,""SKU NO ENCONTRADO"",
LET(
valor,INDEX(Referencia!$A$2:$AZ6238,fila,col),
IF(TRIM(TO_TEXT(valor))=TRIM(TO_TEXT(I2167)),"&amp;"
""OK"",
""NO COINCIDE. Valor verdadero: ""&amp;IF(valor="""",""[VACÍO]"",TO_TEXT(valor))
)
))))
),""ERROR EN FÓRMULA""))"),"NO APLICA")</f>
        <v>NO APLICA</v>
      </c>
    </row>
    <row r="2168">
      <c r="A2168" s="83" t="s">
        <v>4618</v>
      </c>
      <c r="B2168" s="83" t="s">
        <v>4619</v>
      </c>
      <c r="C2168" s="81" t="s">
        <v>4621</v>
      </c>
      <c r="D2168" s="83" t="s">
        <v>4814</v>
      </c>
      <c r="E2168" s="81" t="s">
        <v>3879</v>
      </c>
      <c r="F2168" s="84">
        <v>754.0</v>
      </c>
      <c r="G2168" s="81" t="s">
        <v>7</v>
      </c>
      <c r="H2168" s="81" t="s">
        <v>3623</v>
      </c>
      <c r="I2168" s="81" t="s">
        <v>1134</v>
      </c>
      <c r="J2168" s="81" t="s">
        <v>224</v>
      </c>
      <c r="K2168" s="81" t="str">
        <f>IFERROR(__xludf.DUMMYFUNCTION("IF(OR(D2168="""",G2168=""""),"""",IFERROR(LET(
campo,XLOOKUP(TRIM(G2168),ARRAYFORMULA(TRIM('indice columnas'!$A$2:$A$100)),'indice columnas'!$B$2:$B$100,""""),
col,IFERROR(MATCH(campo,Referencia!$A$1:$AZ$1,0),0),
fila,IFERROR(MATCH(TO_TEXT(D2168),ARRAYFOR"&amp;"MULA(TO_TEXT(Referencia!$A$2:$A6238)),0),0),
IF(OR(campo="""",campo=""-""),""NO APLICA"",
IF(col=0,""REVISAR EQUIVALENCIA"",
IF(fila=0,""SKU NO ENCONTRADO"",
LET(
valor,INDEX(Referencia!$A$2:$AZ6238,fila,col),
IF(TRIM(TO_TEXT(valor))=TRIM(TO_TEXT(I2168)),"&amp;"
""OK"",
""NO COINCIDE. Valor verdadero: ""&amp;IF(valor="""",""[VACÍO]"",TO_TEXT(valor))
)
))))
),""ERROR EN FÓRMULA""))"),"REVISAR EQUIVALENCIA")</f>
        <v>REVISAR EQUIVALENCIA</v>
      </c>
    </row>
    <row r="2169">
      <c r="A2169" s="83" t="s">
        <v>4618</v>
      </c>
      <c r="B2169" s="83" t="s">
        <v>4619</v>
      </c>
      <c r="C2169" s="81" t="s">
        <v>4621</v>
      </c>
      <c r="D2169" s="83" t="s">
        <v>4814</v>
      </c>
      <c r="E2169" s="81" t="s">
        <v>3879</v>
      </c>
      <c r="F2169" s="84">
        <v>754.0</v>
      </c>
      <c r="G2169" s="81" t="s">
        <v>44</v>
      </c>
      <c r="H2169" s="81" t="s">
        <v>4649</v>
      </c>
      <c r="I2169" s="81" t="s">
        <v>3077</v>
      </c>
      <c r="J2169" s="81" t="s">
        <v>4088</v>
      </c>
      <c r="K2169" s="81" t="str">
        <f>IFERROR(__xludf.DUMMYFUNCTION("IF(OR(D2169="""",G2169=""""),"""",IFERROR(LET(
campo,XLOOKUP(TRIM(G2169),ARRAYFORMULA(TRIM('indice columnas'!$A$2:$A$100)),'indice columnas'!$B$2:$B$100,""""),
col,IFERROR(MATCH(campo,Referencia!$A$1:$AZ$1,0),0),
fila,IFERROR(MATCH(TO_TEXT(D2169),ARRAYFOR"&amp;"MULA(TO_TEXT(Referencia!$A$2:$A6238)),0),0),
IF(OR(campo="""",campo=""-""),""NO APLICA"",
IF(col=0,""REVISAR EQUIVALENCIA"",
IF(fila=0,""SKU NO ENCONTRADO"",
LET(
valor,INDEX(Referencia!$A$2:$AZ6238,fila,col),
IF(TRIM(TO_TEXT(valor))=TRIM(TO_TEXT(I2169)),"&amp;"
""OK"",
""NO COINCIDE. Valor verdadero: ""&amp;IF(valor="""",""[VACÍO]"",TO_TEXT(valor))
)
))))
),""ERROR EN FÓRMULA""))"),"NO APLICA")</f>
        <v>NO APLICA</v>
      </c>
    </row>
    <row r="2170">
      <c r="A2170" s="83" t="s">
        <v>4618</v>
      </c>
      <c r="B2170" s="83" t="s">
        <v>4619</v>
      </c>
      <c r="C2170" s="81" t="s">
        <v>4621</v>
      </c>
      <c r="D2170" s="83" t="s">
        <v>4815</v>
      </c>
      <c r="E2170" s="81" t="s">
        <v>3882</v>
      </c>
      <c r="F2170" s="84">
        <v>755.0</v>
      </c>
      <c r="G2170" s="81" t="s">
        <v>7</v>
      </c>
      <c r="H2170" s="81" t="s">
        <v>4812</v>
      </c>
      <c r="I2170" s="81" t="s">
        <v>4008</v>
      </c>
      <c r="J2170" s="81" t="s">
        <v>224</v>
      </c>
      <c r="K2170" s="81" t="str">
        <f>IFERROR(__xludf.DUMMYFUNCTION("IF(OR(D2170="""",G2170=""""),"""",IFERROR(LET(
campo,XLOOKUP(TRIM(G2170),ARRAYFORMULA(TRIM('indice columnas'!$A$2:$A$100)),'indice columnas'!$B$2:$B$100,""""),
col,IFERROR(MATCH(campo,Referencia!$A$1:$AZ$1,0),0),
fila,IFERROR(MATCH(TO_TEXT(D2170),ARRAYFOR"&amp;"MULA(TO_TEXT(Referencia!$A$2:$A6238)),0),0),
IF(OR(campo="""",campo=""-""),""NO APLICA"",
IF(col=0,""REVISAR EQUIVALENCIA"",
IF(fila=0,""SKU NO ENCONTRADO"",
LET(
valor,INDEX(Referencia!$A$2:$AZ6238,fila,col),
IF(TRIM(TO_TEXT(valor))=TRIM(TO_TEXT(I2170)),"&amp;"
""OK"",
""NO COINCIDE. Valor verdadero: ""&amp;IF(valor="""",""[VACÍO]"",TO_TEXT(valor))
)
))))
),""ERROR EN FÓRMULA""))"),"REVISAR EQUIVALENCIA")</f>
        <v>REVISAR EQUIVALENCIA</v>
      </c>
    </row>
    <row r="2171">
      <c r="A2171" s="83" t="s">
        <v>4618</v>
      </c>
      <c r="B2171" s="83" t="s">
        <v>4619</v>
      </c>
      <c r="C2171" s="81" t="s">
        <v>4621</v>
      </c>
      <c r="D2171" s="83" t="s">
        <v>4815</v>
      </c>
      <c r="E2171" s="81" t="s">
        <v>3882</v>
      </c>
      <c r="F2171" s="84">
        <v>755.0</v>
      </c>
      <c r="G2171" s="81" t="s">
        <v>44</v>
      </c>
      <c r="H2171" s="81" t="s">
        <v>4649</v>
      </c>
      <c r="I2171" s="81" t="s">
        <v>3077</v>
      </c>
      <c r="J2171" s="81" t="s">
        <v>4088</v>
      </c>
      <c r="K2171" s="81" t="str">
        <f>IFERROR(__xludf.DUMMYFUNCTION("IF(OR(D2171="""",G2171=""""),"""",IFERROR(LET(
campo,XLOOKUP(TRIM(G2171),ARRAYFORMULA(TRIM('indice columnas'!$A$2:$A$100)),'indice columnas'!$B$2:$B$100,""""),
col,IFERROR(MATCH(campo,Referencia!$A$1:$AZ$1,0),0),
fila,IFERROR(MATCH(TO_TEXT(D2171),ARRAYFOR"&amp;"MULA(TO_TEXT(Referencia!$A$2:$A6238)),0),0),
IF(OR(campo="""",campo=""-""),""NO APLICA"",
IF(col=0,""REVISAR EQUIVALENCIA"",
IF(fila=0,""SKU NO ENCONTRADO"",
LET(
valor,INDEX(Referencia!$A$2:$AZ6238,fila,col),
IF(TRIM(TO_TEXT(valor))=TRIM(TO_TEXT(I2171)),"&amp;"
""OK"",
""NO COINCIDE. Valor verdadero: ""&amp;IF(valor="""",""[VACÍO]"",TO_TEXT(valor))
)
))))
),""ERROR EN FÓRMULA""))"),"NO APLICA")</f>
        <v>NO APLICA</v>
      </c>
    </row>
    <row r="2172">
      <c r="A2172" s="83" t="s">
        <v>4618</v>
      </c>
      <c r="B2172" s="83" t="s">
        <v>4619</v>
      </c>
      <c r="C2172" s="81" t="s">
        <v>4621</v>
      </c>
      <c r="D2172" s="83" t="s">
        <v>4816</v>
      </c>
      <c r="E2172" s="81" t="s">
        <v>3885</v>
      </c>
      <c r="F2172" s="84">
        <v>756.0</v>
      </c>
      <c r="G2172" s="81" t="s">
        <v>44</v>
      </c>
      <c r="H2172" s="81" t="s">
        <v>4817</v>
      </c>
      <c r="I2172" s="81" t="s">
        <v>3077</v>
      </c>
      <c r="J2172" s="81" t="s">
        <v>4088</v>
      </c>
      <c r="K2172" s="81" t="str">
        <f>IFERROR(__xludf.DUMMYFUNCTION("IF(OR(D2172="""",G2172=""""),"""",IFERROR(LET(
campo,XLOOKUP(TRIM(G2172),ARRAYFORMULA(TRIM('indice columnas'!$A$2:$A$100)),'indice columnas'!$B$2:$B$100,""""),
col,IFERROR(MATCH(campo,Referencia!$A$1:$AZ$1,0),0),
fila,IFERROR(MATCH(TO_TEXT(D2172),ARRAYFOR"&amp;"MULA(TO_TEXT(Referencia!$A$2:$A6238)),0),0),
IF(OR(campo="""",campo=""-""),""NO APLICA"",
IF(col=0,""REVISAR EQUIVALENCIA"",
IF(fila=0,""SKU NO ENCONTRADO"",
LET(
valor,INDEX(Referencia!$A$2:$AZ6238,fila,col),
IF(TRIM(TO_TEXT(valor))=TRIM(TO_TEXT(I2172)),"&amp;"
""OK"",
""NO COINCIDE. Valor verdadero: ""&amp;IF(valor="""",""[VACÍO]"",TO_TEXT(valor))
)
))))
),""ERROR EN FÓRMULA""))"),"NO APLICA")</f>
        <v>NO APLICA</v>
      </c>
    </row>
    <row r="2173">
      <c r="A2173" s="83" t="s">
        <v>4618</v>
      </c>
      <c r="B2173" s="83" t="s">
        <v>4619</v>
      </c>
      <c r="C2173" s="81" t="s">
        <v>4621</v>
      </c>
      <c r="D2173" s="83" t="s">
        <v>4816</v>
      </c>
      <c r="E2173" s="81" t="s">
        <v>3895</v>
      </c>
      <c r="F2173" s="84">
        <v>757.0</v>
      </c>
      <c r="G2173" s="81" t="s">
        <v>7</v>
      </c>
      <c r="H2173" s="81" t="s">
        <v>4812</v>
      </c>
      <c r="I2173" s="81" t="s">
        <v>4008</v>
      </c>
      <c r="J2173" s="81" t="s">
        <v>224</v>
      </c>
      <c r="K2173" s="81" t="str">
        <f>IFERROR(__xludf.DUMMYFUNCTION("IF(OR(D2173="""",G2173=""""),"""",IFERROR(LET(
campo,XLOOKUP(TRIM(G2173),ARRAYFORMULA(TRIM('indice columnas'!$A$2:$A$100)),'indice columnas'!$B$2:$B$100,""""),
col,IFERROR(MATCH(campo,Referencia!$A$1:$AZ$1,0),0),
fila,IFERROR(MATCH(TO_TEXT(D2173),ARRAYFOR"&amp;"MULA(TO_TEXT(Referencia!$A$2:$A6238)),0),0),
IF(OR(campo="""",campo=""-""),""NO APLICA"",
IF(col=0,""REVISAR EQUIVALENCIA"",
IF(fila=0,""SKU NO ENCONTRADO"",
LET(
valor,INDEX(Referencia!$A$2:$AZ6238,fila,col),
IF(TRIM(TO_TEXT(valor))=TRIM(TO_TEXT(I2173)),"&amp;"
""OK"",
""NO COINCIDE. Valor verdadero: ""&amp;IF(valor="""",""[VACÍO]"",TO_TEXT(valor))
)
))))
),""ERROR EN FÓRMULA""))"),"REVISAR EQUIVALENCIA")</f>
        <v>REVISAR EQUIVALENCIA</v>
      </c>
    </row>
    <row r="2174">
      <c r="A2174" s="83" t="s">
        <v>4618</v>
      </c>
      <c r="B2174" s="83" t="s">
        <v>4619</v>
      </c>
      <c r="C2174" s="81" t="s">
        <v>4621</v>
      </c>
      <c r="D2174" s="83" t="s">
        <v>4816</v>
      </c>
      <c r="E2174" s="81" t="s">
        <v>3895</v>
      </c>
      <c r="F2174" s="84">
        <v>757.0</v>
      </c>
      <c r="G2174" s="81" t="s">
        <v>44</v>
      </c>
      <c r="H2174" s="81" t="s">
        <v>4817</v>
      </c>
      <c r="I2174" s="81" t="s">
        <v>3077</v>
      </c>
      <c r="J2174" s="81" t="s">
        <v>4088</v>
      </c>
      <c r="K2174" s="81" t="str">
        <f>IFERROR(__xludf.DUMMYFUNCTION("IF(OR(D2174="""",G2174=""""),"""",IFERROR(LET(
campo,XLOOKUP(TRIM(G2174),ARRAYFORMULA(TRIM('indice columnas'!$A$2:$A$100)),'indice columnas'!$B$2:$B$100,""""),
col,IFERROR(MATCH(campo,Referencia!$A$1:$AZ$1,0),0),
fila,IFERROR(MATCH(TO_TEXT(D2174),ARRAYFOR"&amp;"MULA(TO_TEXT(Referencia!$A$2:$A6238)),0),0),
IF(OR(campo="""",campo=""-""),""NO APLICA"",
IF(col=0,""REVISAR EQUIVALENCIA"",
IF(fila=0,""SKU NO ENCONTRADO"",
LET(
valor,INDEX(Referencia!$A$2:$AZ6238,fila,col),
IF(TRIM(TO_TEXT(valor))=TRIM(TO_TEXT(I2174)),"&amp;"
""OK"",
""NO COINCIDE. Valor verdadero: ""&amp;IF(valor="""",""[VACÍO]"",TO_TEXT(valor))
)
))))
),""ERROR EN FÓRMULA""))"),"NO APLICA")</f>
        <v>NO APLICA</v>
      </c>
    </row>
    <row r="2175">
      <c r="A2175" s="83" t="s">
        <v>4618</v>
      </c>
      <c r="B2175" s="83" t="s">
        <v>4619</v>
      </c>
      <c r="C2175" s="81" t="s">
        <v>4621</v>
      </c>
      <c r="D2175" s="83" t="s">
        <v>4818</v>
      </c>
      <c r="E2175" s="81" t="s">
        <v>3896</v>
      </c>
      <c r="F2175" s="84">
        <v>758.0</v>
      </c>
      <c r="G2175" s="81" t="s">
        <v>7</v>
      </c>
      <c r="H2175" s="81" t="s">
        <v>4812</v>
      </c>
      <c r="I2175" s="81" t="s">
        <v>4008</v>
      </c>
      <c r="J2175" s="81" t="s">
        <v>224</v>
      </c>
      <c r="K2175" s="81" t="str">
        <f>IFERROR(__xludf.DUMMYFUNCTION("IF(OR(D2175="""",G2175=""""),"""",IFERROR(LET(
campo,XLOOKUP(TRIM(G2175),ARRAYFORMULA(TRIM('indice columnas'!$A$2:$A$100)),'indice columnas'!$B$2:$B$100,""""),
col,IFERROR(MATCH(campo,Referencia!$A$1:$AZ$1,0),0),
fila,IFERROR(MATCH(TO_TEXT(D2175),ARRAYFOR"&amp;"MULA(TO_TEXT(Referencia!$A$2:$A6238)),0),0),
IF(OR(campo="""",campo=""-""),""NO APLICA"",
IF(col=0,""REVISAR EQUIVALENCIA"",
IF(fila=0,""SKU NO ENCONTRADO"",
LET(
valor,INDEX(Referencia!$A$2:$AZ6238,fila,col),
IF(TRIM(TO_TEXT(valor))=TRIM(TO_TEXT(I2175)),"&amp;"
""OK"",
""NO COINCIDE. Valor verdadero: ""&amp;IF(valor="""",""[VACÍO]"",TO_TEXT(valor))
)
))))
),""ERROR EN FÓRMULA""))"),"REVISAR EQUIVALENCIA")</f>
        <v>REVISAR EQUIVALENCIA</v>
      </c>
    </row>
    <row r="2176">
      <c r="A2176" s="83" t="s">
        <v>4618</v>
      </c>
      <c r="B2176" s="83" t="s">
        <v>4619</v>
      </c>
      <c r="C2176" s="81" t="s">
        <v>4621</v>
      </c>
      <c r="D2176" s="83" t="s">
        <v>4818</v>
      </c>
      <c r="E2176" s="81" t="s">
        <v>3896</v>
      </c>
      <c r="F2176" s="84">
        <v>758.0</v>
      </c>
      <c r="G2176" s="81" t="s">
        <v>44</v>
      </c>
      <c r="H2176" s="81" t="s">
        <v>4817</v>
      </c>
      <c r="I2176" s="81" t="s">
        <v>3077</v>
      </c>
      <c r="J2176" s="81" t="s">
        <v>4088</v>
      </c>
      <c r="K2176" s="81" t="str">
        <f>IFERROR(__xludf.DUMMYFUNCTION("IF(OR(D2176="""",G2176=""""),"""",IFERROR(LET(
campo,XLOOKUP(TRIM(G2176),ARRAYFORMULA(TRIM('indice columnas'!$A$2:$A$100)),'indice columnas'!$B$2:$B$100,""""),
col,IFERROR(MATCH(campo,Referencia!$A$1:$AZ$1,0),0),
fila,IFERROR(MATCH(TO_TEXT(D2176),ARRAYFOR"&amp;"MULA(TO_TEXT(Referencia!$A$2:$A6238)),0),0),
IF(OR(campo="""",campo=""-""),""NO APLICA"",
IF(col=0,""REVISAR EQUIVALENCIA"",
IF(fila=0,""SKU NO ENCONTRADO"",
LET(
valor,INDEX(Referencia!$A$2:$AZ6238,fila,col),
IF(TRIM(TO_TEXT(valor))=TRIM(TO_TEXT(I2176)),"&amp;"
""OK"",
""NO COINCIDE. Valor verdadero: ""&amp;IF(valor="""",""[VACÍO]"",TO_TEXT(valor))
)
))))
),""ERROR EN FÓRMULA""))"),"NO APLICA")</f>
        <v>NO APLICA</v>
      </c>
    </row>
    <row r="2177">
      <c r="A2177" s="83" t="s">
        <v>4618</v>
      </c>
      <c r="B2177" s="83" t="s">
        <v>4619</v>
      </c>
      <c r="C2177" s="81" t="s">
        <v>4621</v>
      </c>
      <c r="D2177" s="83" t="s">
        <v>4776</v>
      </c>
      <c r="E2177" s="81" t="s">
        <v>3899</v>
      </c>
      <c r="F2177" s="84">
        <v>759.0</v>
      </c>
      <c r="G2177" s="81" t="s">
        <v>7</v>
      </c>
      <c r="H2177" s="81" t="s">
        <v>3623</v>
      </c>
      <c r="I2177" s="81" t="s">
        <v>1134</v>
      </c>
      <c r="J2177" s="81" t="s">
        <v>224</v>
      </c>
      <c r="K2177" s="81" t="str">
        <f>IFERROR(__xludf.DUMMYFUNCTION("IF(OR(D2177="""",G2177=""""),"""",IFERROR(LET(
campo,XLOOKUP(TRIM(G2177),ARRAYFORMULA(TRIM('indice columnas'!$A$2:$A$100)),'indice columnas'!$B$2:$B$100,""""),
col,IFERROR(MATCH(campo,Referencia!$A$1:$AZ$1,0),0),
fila,IFERROR(MATCH(TO_TEXT(D2177),ARRAYFOR"&amp;"MULA(TO_TEXT(Referencia!$A$2:$A6238)),0),0),
IF(OR(campo="""",campo=""-""),""NO APLICA"",
IF(col=0,""REVISAR EQUIVALENCIA"",
IF(fila=0,""SKU NO ENCONTRADO"",
LET(
valor,INDEX(Referencia!$A$2:$AZ6238,fila,col),
IF(TRIM(TO_TEXT(valor))=TRIM(TO_TEXT(I2177)),"&amp;"
""OK"",
""NO COINCIDE. Valor verdadero: ""&amp;IF(valor="""",""[VACÍO]"",TO_TEXT(valor))
)
))))
),""ERROR EN FÓRMULA""))"),"REVISAR EQUIVALENCIA")</f>
        <v>REVISAR EQUIVALENCIA</v>
      </c>
    </row>
    <row r="2178">
      <c r="A2178" s="83" t="s">
        <v>4618</v>
      </c>
      <c r="B2178" s="83" t="s">
        <v>4619</v>
      </c>
      <c r="C2178" s="81" t="s">
        <v>4621</v>
      </c>
      <c r="D2178" s="83" t="s">
        <v>4776</v>
      </c>
      <c r="E2178" s="81" t="s">
        <v>3899</v>
      </c>
      <c r="F2178" s="84">
        <v>759.0</v>
      </c>
      <c r="G2178" s="81" t="s">
        <v>12</v>
      </c>
      <c r="H2178" s="81" t="s">
        <v>224</v>
      </c>
      <c r="I2178" s="81" t="s">
        <v>1549</v>
      </c>
      <c r="J2178" s="81" t="s">
        <v>224</v>
      </c>
      <c r="K2178" s="81" t="str">
        <f>IFERROR(__xludf.DUMMYFUNCTION("IF(OR(D2178="""",G2178=""""),"""",IFERROR(LET(
campo,XLOOKUP(TRIM(G2178),ARRAYFORMULA(TRIM('indice columnas'!$A$2:$A$100)),'indice columnas'!$B$2:$B$100,""""),
col,IFERROR(MATCH(campo,Referencia!$A$1:$AZ$1,0),0),
fila,IFERROR(MATCH(TO_TEXT(D2178),ARRAYFOR"&amp;"MULA(TO_TEXT(Referencia!$A$2:$A6238)),0),0),
IF(OR(campo="""",campo=""-""),""NO APLICA"",
IF(col=0,""REVISAR EQUIVALENCIA"",
IF(fila=0,""SKU NO ENCONTRADO"",
LET(
valor,INDEX(Referencia!$A$2:$AZ6238,fila,col),
IF(TRIM(TO_TEXT(valor))=TRIM(TO_TEXT(I2178)),"&amp;"
""OK"",
""NO COINCIDE. Valor verdadero: ""&amp;IF(valor="""",""[VACÍO]"",TO_TEXT(valor))
)
))))
),""ERROR EN FÓRMULA""))"),"OK")</f>
        <v>OK</v>
      </c>
    </row>
    <row r="2179">
      <c r="A2179" s="83" t="s">
        <v>4618</v>
      </c>
      <c r="B2179" s="83" t="s">
        <v>4619</v>
      </c>
      <c r="C2179" s="81" t="s">
        <v>4621</v>
      </c>
      <c r="D2179" s="83" t="s">
        <v>4776</v>
      </c>
      <c r="E2179" s="81" t="s">
        <v>3899</v>
      </c>
      <c r="F2179" s="84">
        <v>759.0</v>
      </c>
      <c r="G2179" s="81" t="s">
        <v>44</v>
      </c>
      <c r="H2179" s="81" t="s">
        <v>224</v>
      </c>
      <c r="I2179" s="81" t="s">
        <v>3688</v>
      </c>
      <c r="J2179" s="81" t="s">
        <v>4088</v>
      </c>
      <c r="K2179" s="81" t="str">
        <f>IFERROR(__xludf.DUMMYFUNCTION("IF(OR(D2179="""",G2179=""""),"""",IFERROR(LET(
campo,XLOOKUP(TRIM(G2179),ARRAYFORMULA(TRIM('indice columnas'!$A$2:$A$100)),'indice columnas'!$B$2:$B$100,""""),
col,IFERROR(MATCH(campo,Referencia!$A$1:$AZ$1,0),0),
fila,IFERROR(MATCH(TO_TEXT(D2179),ARRAYFOR"&amp;"MULA(TO_TEXT(Referencia!$A$2:$A6238)),0),0),
IF(OR(campo="""",campo=""-""),""NO APLICA"",
IF(col=0,""REVISAR EQUIVALENCIA"",
IF(fila=0,""SKU NO ENCONTRADO"",
LET(
valor,INDEX(Referencia!$A$2:$AZ6238,fila,col),
IF(TRIM(TO_TEXT(valor))=TRIM(TO_TEXT(I2179)),"&amp;"
""OK"",
""NO COINCIDE. Valor verdadero: ""&amp;IF(valor="""",""[VACÍO]"",TO_TEXT(valor))
)
))))
),""ERROR EN FÓRMULA""))"),"NO APLICA")</f>
        <v>NO APLICA</v>
      </c>
    </row>
    <row r="2180">
      <c r="A2180" s="83" t="s">
        <v>4618</v>
      </c>
      <c r="B2180" s="83" t="s">
        <v>4619</v>
      </c>
      <c r="C2180" s="81" t="s">
        <v>4621</v>
      </c>
      <c r="D2180" s="83" t="s">
        <v>4819</v>
      </c>
      <c r="E2180" s="81" t="s">
        <v>3900</v>
      </c>
      <c r="F2180" s="84">
        <v>760.0</v>
      </c>
      <c r="G2180" s="81" t="s">
        <v>7</v>
      </c>
      <c r="H2180" s="81" t="s">
        <v>3623</v>
      </c>
      <c r="I2180" s="81" t="s">
        <v>1134</v>
      </c>
      <c r="J2180" s="81" t="s">
        <v>224</v>
      </c>
      <c r="K2180" s="81" t="str">
        <f>IFERROR(__xludf.DUMMYFUNCTION("IF(OR(D2180="""",G2180=""""),"""",IFERROR(LET(
campo,XLOOKUP(TRIM(G2180),ARRAYFORMULA(TRIM('indice columnas'!$A$2:$A$100)),'indice columnas'!$B$2:$B$100,""""),
col,IFERROR(MATCH(campo,Referencia!$A$1:$AZ$1,0),0),
fila,IFERROR(MATCH(TO_TEXT(D2180),ARRAYFOR"&amp;"MULA(TO_TEXT(Referencia!$A$2:$A6238)),0),0),
IF(OR(campo="""",campo=""-""),""NO APLICA"",
IF(col=0,""REVISAR EQUIVALENCIA"",
IF(fila=0,""SKU NO ENCONTRADO"",
LET(
valor,INDEX(Referencia!$A$2:$AZ6238,fila,col),
IF(TRIM(TO_TEXT(valor))=TRIM(TO_TEXT(I2180)),"&amp;"
""OK"",
""NO COINCIDE. Valor verdadero: ""&amp;IF(valor="""",""[VACÍO]"",TO_TEXT(valor))
)
))))
),""ERROR EN FÓRMULA""))"),"REVISAR EQUIVALENCIA")</f>
        <v>REVISAR EQUIVALENCIA</v>
      </c>
    </row>
    <row r="2181">
      <c r="A2181" s="83" t="s">
        <v>4618</v>
      </c>
      <c r="B2181" s="83" t="s">
        <v>4619</v>
      </c>
      <c r="C2181" s="81" t="s">
        <v>4621</v>
      </c>
      <c r="D2181" s="83" t="s">
        <v>4819</v>
      </c>
      <c r="E2181" s="81" t="s">
        <v>3900</v>
      </c>
      <c r="F2181" s="84">
        <v>760.0</v>
      </c>
      <c r="G2181" s="81" t="s">
        <v>12</v>
      </c>
      <c r="H2181" s="81" t="s">
        <v>224</v>
      </c>
      <c r="I2181" s="81" t="s">
        <v>1549</v>
      </c>
      <c r="J2181" s="81" t="s">
        <v>224</v>
      </c>
      <c r="K2181" s="81" t="str">
        <f>IFERROR(__xludf.DUMMYFUNCTION("IF(OR(D2181="""",G2181=""""),"""",IFERROR(LET(
campo,XLOOKUP(TRIM(G2181),ARRAYFORMULA(TRIM('indice columnas'!$A$2:$A$100)),'indice columnas'!$B$2:$B$100,""""),
col,IFERROR(MATCH(campo,Referencia!$A$1:$AZ$1,0),0),
fila,IFERROR(MATCH(TO_TEXT(D2181),ARRAYFOR"&amp;"MULA(TO_TEXT(Referencia!$A$2:$A6238)),0),0),
IF(OR(campo="""",campo=""-""),""NO APLICA"",
IF(col=0,""REVISAR EQUIVALENCIA"",
IF(fila=0,""SKU NO ENCONTRADO"",
LET(
valor,INDEX(Referencia!$A$2:$AZ6238,fila,col),
IF(TRIM(TO_TEXT(valor))=TRIM(TO_TEXT(I2181)),"&amp;"
""OK"",
""NO COINCIDE. Valor verdadero: ""&amp;IF(valor="""",""[VACÍO]"",TO_TEXT(valor))
)
))))
),""ERROR EN FÓRMULA""))"),"OK")</f>
        <v>OK</v>
      </c>
    </row>
    <row r="2182">
      <c r="A2182" s="83" t="s">
        <v>4618</v>
      </c>
      <c r="B2182" s="83" t="s">
        <v>4619</v>
      </c>
      <c r="C2182" s="81" t="s">
        <v>4621</v>
      </c>
      <c r="D2182" s="83" t="s">
        <v>4819</v>
      </c>
      <c r="E2182" s="81" t="s">
        <v>3900</v>
      </c>
      <c r="F2182" s="84">
        <v>760.0</v>
      </c>
      <c r="G2182" s="81" t="s">
        <v>44</v>
      </c>
      <c r="H2182" s="81" t="s">
        <v>224</v>
      </c>
      <c r="I2182" s="81" t="s">
        <v>3688</v>
      </c>
      <c r="J2182" s="81" t="s">
        <v>4088</v>
      </c>
      <c r="K2182" s="81" t="str">
        <f>IFERROR(__xludf.DUMMYFUNCTION("IF(OR(D2182="""",G2182=""""),"""",IFERROR(LET(
campo,XLOOKUP(TRIM(G2182),ARRAYFORMULA(TRIM('indice columnas'!$A$2:$A$100)),'indice columnas'!$B$2:$B$100,""""),
col,IFERROR(MATCH(campo,Referencia!$A$1:$AZ$1,0),0),
fila,IFERROR(MATCH(TO_TEXT(D2182),ARRAYFOR"&amp;"MULA(TO_TEXT(Referencia!$A$2:$A6238)),0),0),
IF(OR(campo="""",campo=""-""),""NO APLICA"",
IF(col=0,""REVISAR EQUIVALENCIA"",
IF(fila=0,""SKU NO ENCONTRADO"",
LET(
valor,INDEX(Referencia!$A$2:$AZ6238,fila,col),
IF(TRIM(TO_TEXT(valor))=TRIM(TO_TEXT(I2182)),"&amp;"
""OK"",
""NO COINCIDE. Valor verdadero: ""&amp;IF(valor="""",""[VACÍO]"",TO_TEXT(valor))
)
))))
),""ERROR EN FÓRMULA""))"),"NO APLICA")</f>
        <v>NO APLICA</v>
      </c>
    </row>
    <row r="2183">
      <c r="A2183" s="83" t="s">
        <v>4618</v>
      </c>
      <c r="B2183" s="83" t="s">
        <v>4619</v>
      </c>
      <c r="C2183" s="81" t="s">
        <v>4621</v>
      </c>
      <c r="D2183" s="83" t="s">
        <v>4820</v>
      </c>
      <c r="E2183" s="81" t="s">
        <v>3903</v>
      </c>
      <c r="F2183" s="84">
        <v>761.0</v>
      </c>
      <c r="G2183" s="81" t="s">
        <v>7</v>
      </c>
      <c r="H2183" s="81" t="s">
        <v>3623</v>
      </c>
      <c r="I2183" s="81" t="s">
        <v>1134</v>
      </c>
      <c r="J2183" s="81" t="s">
        <v>224</v>
      </c>
      <c r="K2183" s="81" t="str">
        <f>IFERROR(__xludf.DUMMYFUNCTION("IF(OR(D2183="""",G2183=""""),"""",IFERROR(LET(
campo,XLOOKUP(TRIM(G2183),ARRAYFORMULA(TRIM('indice columnas'!$A$2:$A$100)),'indice columnas'!$B$2:$B$100,""""),
col,IFERROR(MATCH(campo,Referencia!$A$1:$AZ$1,0),0),
fila,IFERROR(MATCH(TO_TEXT(D2183),ARRAYFOR"&amp;"MULA(TO_TEXT(Referencia!$A$2:$A6238)),0),0),
IF(OR(campo="""",campo=""-""),""NO APLICA"",
IF(col=0,""REVISAR EQUIVALENCIA"",
IF(fila=0,""SKU NO ENCONTRADO"",
LET(
valor,INDEX(Referencia!$A$2:$AZ6238,fila,col),
IF(TRIM(TO_TEXT(valor))=TRIM(TO_TEXT(I2183)),"&amp;"
""OK"",
""NO COINCIDE. Valor verdadero: ""&amp;IF(valor="""",""[VACÍO]"",TO_TEXT(valor))
)
))))
),""ERROR EN FÓRMULA""))"),"REVISAR EQUIVALENCIA")</f>
        <v>REVISAR EQUIVALENCIA</v>
      </c>
    </row>
    <row r="2184">
      <c r="A2184" s="83" t="s">
        <v>4618</v>
      </c>
      <c r="B2184" s="83" t="s">
        <v>4619</v>
      </c>
      <c r="C2184" s="81" t="s">
        <v>4621</v>
      </c>
      <c r="D2184" s="83" t="s">
        <v>4820</v>
      </c>
      <c r="E2184" s="81" t="s">
        <v>3903</v>
      </c>
      <c r="F2184" s="84">
        <v>761.0</v>
      </c>
      <c r="G2184" s="81" t="s">
        <v>12</v>
      </c>
      <c r="H2184" s="81" t="s">
        <v>224</v>
      </c>
      <c r="I2184" s="81" t="s">
        <v>1549</v>
      </c>
      <c r="J2184" s="81" t="s">
        <v>224</v>
      </c>
      <c r="K2184" s="81" t="str">
        <f>IFERROR(__xludf.DUMMYFUNCTION("IF(OR(D2184="""",G2184=""""),"""",IFERROR(LET(
campo,XLOOKUP(TRIM(G2184),ARRAYFORMULA(TRIM('indice columnas'!$A$2:$A$100)),'indice columnas'!$B$2:$B$100,""""),
col,IFERROR(MATCH(campo,Referencia!$A$1:$AZ$1,0),0),
fila,IFERROR(MATCH(TO_TEXT(D2184),ARRAYFOR"&amp;"MULA(TO_TEXT(Referencia!$A$2:$A6238)),0),0),
IF(OR(campo="""",campo=""-""),""NO APLICA"",
IF(col=0,""REVISAR EQUIVALENCIA"",
IF(fila=0,""SKU NO ENCONTRADO"",
LET(
valor,INDEX(Referencia!$A$2:$AZ6238,fila,col),
IF(TRIM(TO_TEXT(valor))=TRIM(TO_TEXT(I2184)),"&amp;"
""OK"",
""NO COINCIDE. Valor verdadero: ""&amp;IF(valor="""",""[VACÍO]"",TO_TEXT(valor))
)
))))
),""ERROR EN FÓRMULA""))"),"OK")</f>
        <v>OK</v>
      </c>
    </row>
    <row r="2185">
      <c r="A2185" s="83" t="s">
        <v>4618</v>
      </c>
      <c r="B2185" s="83" t="s">
        <v>4619</v>
      </c>
      <c r="C2185" s="81" t="s">
        <v>4621</v>
      </c>
      <c r="D2185" s="83" t="s">
        <v>4820</v>
      </c>
      <c r="E2185" s="81" t="s">
        <v>3903</v>
      </c>
      <c r="F2185" s="84">
        <v>761.0</v>
      </c>
      <c r="G2185" s="81" t="s">
        <v>44</v>
      </c>
      <c r="H2185" s="81" t="s">
        <v>224</v>
      </c>
      <c r="I2185" s="81" t="s">
        <v>3688</v>
      </c>
      <c r="J2185" s="81" t="s">
        <v>4088</v>
      </c>
      <c r="K2185" s="81" t="str">
        <f>IFERROR(__xludf.DUMMYFUNCTION("IF(OR(D2185="""",G2185=""""),"""",IFERROR(LET(
campo,XLOOKUP(TRIM(G2185),ARRAYFORMULA(TRIM('indice columnas'!$A$2:$A$100)),'indice columnas'!$B$2:$B$100,""""),
col,IFERROR(MATCH(campo,Referencia!$A$1:$AZ$1,0),0),
fila,IFERROR(MATCH(TO_TEXT(D2185),ARRAYFOR"&amp;"MULA(TO_TEXT(Referencia!$A$2:$A6238)),0),0),
IF(OR(campo="""",campo=""-""),""NO APLICA"",
IF(col=0,""REVISAR EQUIVALENCIA"",
IF(fila=0,""SKU NO ENCONTRADO"",
LET(
valor,INDEX(Referencia!$A$2:$AZ6238,fila,col),
IF(TRIM(TO_TEXT(valor))=TRIM(TO_TEXT(I2185)),"&amp;"
""OK"",
""NO COINCIDE. Valor verdadero: ""&amp;IF(valor="""",""[VACÍO]"",TO_TEXT(valor))
)
))))
),""ERROR EN FÓRMULA""))"),"NO APLICA")</f>
        <v>NO APLICA</v>
      </c>
    </row>
    <row r="2186">
      <c r="A2186" s="83" t="s">
        <v>4618</v>
      </c>
      <c r="B2186" s="83" t="s">
        <v>4619</v>
      </c>
      <c r="C2186" s="81" t="s">
        <v>4621</v>
      </c>
      <c r="D2186" s="83" t="s">
        <v>4821</v>
      </c>
      <c r="E2186" s="81" t="s">
        <v>3906</v>
      </c>
      <c r="F2186" s="84">
        <v>762.0</v>
      </c>
      <c r="G2186" s="81" t="s">
        <v>7</v>
      </c>
      <c r="H2186" s="81" t="s">
        <v>3623</v>
      </c>
      <c r="I2186" s="81" t="s">
        <v>1134</v>
      </c>
      <c r="J2186" s="81" t="s">
        <v>224</v>
      </c>
      <c r="K2186" s="81" t="str">
        <f>IFERROR(__xludf.DUMMYFUNCTION("IF(OR(D2186="""",G2186=""""),"""",IFERROR(LET(
campo,XLOOKUP(TRIM(G2186),ARRAYFORMULA(TRIM('indice columnas'!$A$2:$A$100)),'indice columnas'!$B$2:$B$100,""""),
col,IFERROR(MATCH(campo,Referencia!$A$1:$AZ$1,0),0),
fila,IFERROR(MATCH(TO_TEXT(D2186),ARRAYFOR"&amp;"MULA(TO_TEXT(Referencia!$A$2:$A6238)),0),0),
IF(OR(campo="""",campo=""-""),""NO APLICA"",
IF(col=0,""REVISAR EQUIVALENCIA"",
IF(fila=0,""SKU NO ENCONTRADO"",
LET(
valor,INDEX(Referencia!$A$2:$AZ6238,fila,col),
IF(TRIM(TO_TEXT(valor))=TRIM(TO_TEXT(I2186)),"&amp;"
""OK"",
""NO COINCIDE. Valor verdadero: ""&amp;IF(valor="""",""[VACÍO]"",TO_TEXT(valor))
)
))))
),""ERROR EN FÓRMULA""))"),"REVISAR EQUIVALENCIA")</f>
        <v>REVISAR EQUIVALENCIA</v>
      </c>
    </row>
    <row r="2187">
      <c r="A2187" s="83" t="s">
        <v>4618</v>
      </c>
      <c r="B2187" s="83" t="s">
        <v>4619</v>
      </c>
      <c r="C2187" s="81" t="s">
        <v>4621</v>
      </c>
      <c r="D2187" s="83" t="s">
        <v>4821</v>
      </c>
      <c r="E2187" s="81" t="s">
        <v>3906</v>
      </c>
      <c r="F2187" s="84">
        <v>762.0</v>
      </c>
      <c r="G2187" s="81" t="s">
        <v>12</v>
      </c>
      <c r="H2187" s="81" t="s">
        <v>224</v>
      </c>
      <c r="I2187" s="81" t="s">
        <v>1549</v>
      </c>
      <c r="J2187" s="81" t="s">
        <v>224</v>
      </c>
      <c r="K2187" s="81" t="str">
        <f>IFERROR(__xludf.DUMMYFUNCTION("IF(OR(D2187="""",G2187=""""),"""",IFERROR(LET(
campo,XLOOKUP(TRIM(G2187),ARRAYFORMULA(TRIM('indice columnas'!$A$2:$A$100)),'indice columnas'!$B$2:$B$100,""""),
col,IFERROR(MATCH(campo,Referencia!$A$1:$AZ$1,0),0),
fila,IFERROR(MATCH(TO_TEXT(D2187),ARRAYFOR"&amp;"MULA(TO_TEXT(Referencia!$A$2:$A6238)),0),0),
IF(OR(campo="""",campo=""-""),""NO APLICA"",
IF(col=0,""REVISAR EQUIVALENCIA"",
IF(fila=0,""SKU NO ENCONTRADO"",
LET(
valor,INDEX(Referencia!$A$2:$AZ6238,fila,col),
IF(TRIM(TO_TEXT(valor))=TRIM(TO_TEXT(I2187)),"&amp;"
""OK"",
""NO COINCIDE. Valor verdadero: ""&amp;IF(valor="""",""[VACÍO]"",TO_TEXT(valor))
)
))))
),""ERROR EN FÓRMULA""))"),"OK")</f>
        <v>OK</v>
      </c>
    </row>
    <row r="2188">
      <c r="A2188" s="83" t="s">
        <v>4618</v>
      </c>
      <c r="B2188" s="83" t="s">
        <v>4619</v>
      </c>
      <c r="C2188" s="81" t="s">
        <v>4621</v>
      </c>
      <c r="D2188" s="83" t="s">
        <v>4821</v>
      </c>
      <c r="E2188" s="81" t="s">
        <v>3906</v>
      </c>
      <c r="F2188" s="84">
        <v>762.0</v>
      </c>
      <c r="G2188" s="81" t="s">
        <v>44</v>
      </c>
      <c r="H2188" s="81" t="s">
        <v>224</v>
      </c>
      <c r="I2188" s="81" t="s">
        <v>3688</v>
      </c>
      <c r="J2188" s="81" t="s">
        <v>4088</v>
      </c>
      <c r="K2188" s="81" t="str">
        <f>IFERROR(__xludf.DUMMYFUNCTION("IF(OR(D2188="""",G2188=""""),"""",IFERROR(LET(
campo,XLOOKUP(TRIM(G2188),ARRAYFORMULA(TRIM('indice columnas'!$A$2:$A$100)),'indice columnas'!$B$2:$B$100,""""),
col,IFERROR(MATCH(campo,Referencia!$A$1:$AZ$1,0),0),
fila,IFERROR(MATCH(TO_TEXT(D2188),ARRAYFOR"&amp;"MULA(TO_TEXT(Referencia!$A$2:$A6238)),0),0),
IF(OR(campo="""",campo=""-""),""NO APLICA"",
IF(col=0,""REVISAR EQUIVALENCIA"",
IF(fila=0,""SKU NO ENCONTRADO"",
LET(
valor,INDEX(Referencia!$A$2:$AZ6238,fila,col),
IF(TRIM(TO_TEXT(valor))=TRIM(TO_TEXT(I2188)),"&amp;"
""OK"",
""NO COINCIDE. Valor verdadero: ""&amp;IF(valor="""",""[VACÍO]"",TO_TEXT(valor))
)
))))
),""ERROR EN FÓRMULA""))"),"NO APLICA")</f>
        <v>NO APLICA</v>
      </c>
    </row>
    <row r="2189">
      <c r="A2189" s="83" t="s">
        <v>4618</v>
      </c>
      <c r="B2189" s="83" t="s">
        <v>4619</v>
      </c>
      <c r="C2189" s="81" t="s">
        <v>4621</v>
      </c>
      <c r="D2189" s="83" t="s">
        <v>4822</v>
      </c>
      <c r="E2189" s="81" t="s">
        <v>3909</v>
      </c>
      <c r="F2189" s="84">
        <v>763.0</v>
      </c>
      <c r="G2189" s="81" t="s">
        <v>44</v>
      </c>
      <c r="H2189" s="81" t="s">
        <v>224</v>
      </c>
      <c r="I2189" s="81" t="s">
        <v>3909</v>
      </c>
      <c r="J2189" s="81" t="s">
        <v>4088</v>
      </c>
      <c r="K2189" s="81" t="str">
        <f>IFERROR(__xludf.DUMMYFUNCTION("IF(OR(D2189="""",G2189=""""),"""",IFERROR(LET(
campo,XLOOKUP(TRIM(G2189),ARRAYFORMULA(TRIM('indice columnas'!$A$2:$A$100)),'indice columnas'!$B$2:$B$100,""""),
col,IFERROR(MATCH(campo,Referencia!$A$1:$AZ$1,0),0),
fila,IFERROR(MATCH(TO_TEXT(D2189),ARRAYFOR"&amp;"MULA(TO_TEXT(Referencia!$A$2:$A6238)),0),0),
IF(OR(campo="""",campo=""-""),""NO APLICA"",
IF(col=0,""REVISAR EQUIVALENCIA"",
IF(fila=0,""SKU NO ENCONTRADO"",
LET(
valor,INDEX(Referencia!$A$2:$AZ6238,fila,col),
IF(TRIM(TO_TEXT(valor))=TRIM(TO_TEXT(I2189)),"&amp;"
""OK"",
""NO COINCIDE. Valor verdadero: ""&amp;IF(valor="""",""[VACÍO]"",TO_TEXT(valor))
)
))))
),""ERROR EN FÓRMULA""))"),"NO APLICA")</f>
        <v>NO APLICA</v>
      </c>
    </row>
    <row r="2190">
      <c r="A2190" s="83" t="s">
        <v>4618</v>
      </c>
      <c r="B2190" s="83" t="s">
        <v>4619</v>
      </c>
      <c r="C2190" s="81" t="s">
        <v>4621</v>
      </c>
      <c r="D2190" s="83" t="s">
        <v>4822</v>
      </c>
      <c r="E2190" s="81" t="s">
        <v>3916</v>
      </c>
      <c r="F2190" s="84">
        <v>764.0</v>
      </c>
      <c r="G2190" s="81" t="s">
        <v>7</v>
      </c>
      <c r="H2190" s="81" t="s">
        <v>3623</v>
      </c>
      <c r="I2190" s="81" t="s">
        <v>1134</v>
      </c>
      <c r="J2190" s="81" t="s">
        <v>224</v>
      </c>
      <c r="K2190" s="81" t="str">
        <f>IFERROR(__xludf.DUMMYFUNCTION("IF(OR(D2190="""",G2190=""""),"""",IFERROR(LET(
campo,XLOOKUP(TRIM(G2190),ARRAYFORMULA(TRIM('indice columnas'!$A$2:$A$100)),'indice columnas'!$B$2:$B$100,""""),
col,IFERROR(MATCH(campo,Referencia!$A$1:$AZ$1,0),0),
fila,IFERROR(MATCH(TO_TEXT(D2190),ARRAYFOR"&amp;"MULA(TO_TEXT(Referencia!$A$2:$A6238)),0),0),
IF(OR(campo="""",campo=""-""),""NO APLICA"",
IF(col=0,""REVISAR EQUIVALENCIA"",
IF(fila=0,""SKU NO ENCONTRADO"",
LET(
valor,INDEX(Referencia!$A$2:$AZ6238,fila,col),
IF(TRIM(TO_TEXT(valor))=TRIM(TO_TEXT(I2190)),"&amp;"
""OK"",
""NO COINCIDE. Valor verdadero: ""&amp;IF(valor="""",""[VACÍO]"",TO_TEXT(valor))
)
))))
),""ERROR EN FÓRMULA""))"),"REVISAR EQUIVALENCIA")</f>
        <v>REVISAR EQUIVALENCIA</v>
      </c>
    </row>
    <row r="2191">
      <c r="A2191" s="83" t="s">
        <v>4618</v>
      </c>
      <c r="B2191" s="83" t="s">
        <v>4619</v>
      </c>
      <c r="C2191" s="81" t="s">
        <v>4621</v>
      </c>
      <c r="D2191" s="83" t="s">
        <v>4822</v>
      </c>
      <c r="E2191" s="81" t="s">
        <v>3916</v>
      </c>
      <c r="F2191" s="84">
        <v>764.0</v>
      </c>
      <c r="G2191" s="81" t="s">
        <v>12</v>
      </c>
      <c r="H2191" s="81" t="s">
        <v>224</v>
      </c>
      <c r="I2191" s="81" t="s">
        <v>1549</v>
      </c>
      <c r="J2191" s="81" t="s">
        <v>224</v>
      </c>
      <c r="K2191" s="81" t="str">
        <f>IFERROR(__xludf.DUMMYFUNCTION("IF(OR(D2191="""",G2191=""""),"""",IFERROR(LET(
campo,XLOOKUP(TRIM(G2191),ARRAYFORMULA(TRIM('indice columnas'!$A$2:$A$100)),'indice columnas'!$B$2:$B$100,""""),
col,IFERROR(MATCH(campo,Referencia!$A$1:$AZ$1,0),0),
fila,IFERROR(MATCH(TO_TEXT(D2191),ARRAYFOR"&amp;"MULA(TO_TEXT(Referencia!$A$2:$A6238)),0),0),
IF(OR(campo="""",campo=""-""),""NO APLICA"",
IF(col=0,""REVISAR EQUIVALENCIA"",
IF(fila=0,""SKU NO ENCONTRADO"",
LET(
valor,INDEX(Referencia!$A$2:$AZ6238,fila,col),
IF(TRIM(TO_TEXT(valor))=TRIM(TO_TEXT(I2191)),"&amp;"
""OK"",
""NO COINCIDE. Valor verdadero: ""&amp;IF(valor="""",""[VACÍO]"",TO_TEXT(valor))
)
))))
),""ERROR EN FÓRMULA""))"),"OK")</f>
        <v>OK</v>
      </c>
    </row>
    <row r="2192">
      <c r="A2192" s="83" t="s">
        <v>4618</v>
      </c>
      <c r="B2192" s="83" t="s">
        <v>4619</v>
      </c>
      <c r="C2192" s="81" t="s">
        <v>4621</v>
      </c>
      <c r="D2192" s="83" t="s">
        <v>4822</v>
      </c>
      <c r="E2192" s="81" t="s">
        <v>3916</v>
      </c>
      <c r="F2192" s="84">
        <v>764.0</v>
      </c>
      <c r="G2192" s="81" t="s">
        <v>34</v>
      </c>
      <c r="H2192" s="81" t="s">
        <v>463</v>
      </c>
      <c r="I2192" s="81" t="s">
        <v>112</v>
      </c>
      <c r="J2192" s="81" t="s">
        <v>224</v>
      </c>
      <c r="K2192" s="81" t="str">
        <f>IFERROR(__xludf.DUMMYFUNCTION("IF(OR(D2192="""",G2192=""""),"""",IFERROR(LET(
campo,XLOOKUP(TRIM(G2192),ARRAYFORMULA(TRIM('indice columnas'!$A$2:$A$100)),'indice columnas'!$B$2:$B$100,""""),
col,IFERROR(MATCH(campo,Referencia!$A$1:$AZ$1,0),0),
fila,IFERROR(MATCH(TO_TEXT(D2192),ARRAYFOR"&amp;"MULA(TO_TEXT(Referencia!$A$2:$A6238)),0),0),
IF(OR(campo="""",campo=""-""),""NO APLICA"",
IF(col=0,""REVISAR EQUIVALENCIA"",
IF(fila=0,""SKU NO ENCONTRADO"",
LET(
valor,INDEX(Referencia!$A$2:$AZ6238,fila,col),
IF(TRIM(TO_TEXT(valor))=TRIM(TO_TEXT(I2192)),"&amp;"
""OK"",
""NO COINCIDE. Valor verdadero: ""&amp;IF(valor="""",""[VACÍO]"",TO_TEXT(valor))
)
))))
),""ERROR EN FÓRMULA""))"),"OK")</f>
        <v>OK</v>
      </c>
    </row>
    <row r="2193">
      <c r="A2193" s="83" t="s">
        <v>4618</v>
      </c>
      <c r="B2193" s="83" t="s">
        <v>4619</v>
      </c>
      <c r="C2193" s="81" t="s">
        <v>4621</v>
      </c>
      <c r="D2193" s="83" t="s">
        <v>4822</v>
      </c>
      <c r="E2193" s="81" t="s">
        <v>3916</v>
      </c>
      <c r="F2193" s="84">
        <v>764.0</v>
      </c>
      <c r="G2193" s="81" t="s">
        <v>44</v>
      </c>
      <c r="H2193" s="81" t="s">
        <v>224</v>
      </c>
      <c r="I2193" s="81" t="s">
        <v>3909</v>
      </c>
      <c r="J2193" s="81" t="s">
        <v>4088</v>
      </c>
      <c r="K2193" s="81" t="str">
        <f>IFERROR(__xludf.DUMMYFUNCTION("IF(OR(D2193="""",G2193=""""),"""",IFERROR(LET(
campo,XLOOKUP(TRIM(G2193),ARRAYFORMULA(TRIM('indice columnas'!$A$2:$A$100)),'indice columnas'!$B$2:$B$100,""""),
col,IFERROR(MATCH(campo,Referencia!$A$1:$AZ$1,0),0),
fila,IFERROR(MATCH(TO_TEXT(D2193),ARRAYFOR"&amp;"MULA(TO_TEXT(Referencia!$A$2:$A6238)),0),0),
IF(OR(campo="""",campo=""-""),""NO APLICA"",
IF(col=0,""REVISAR EQUIVALENCIA"",
IF(fila=0,""SKU NO ENCONTRADO"",
LET(
valor,INDEX(Referencia!$A$2:$AZ6238,fila,col),
IF(TRIM(TO_TEXT(valor))=TRIM(TO_TEXT(I2193)),"&amp;"
""OK"",
""NO COINCIDE. Valor verdadero: ""&amp;IF(valor="""",""[VACÍO]"",TO_TEXT(valor))
)
))))
),""ERROR EN FÓRMULA""))"),"NO APLICA")</f>
        <v>NO APLICA</v>
      </c>
    </row>
    <row r="2194">
      <c r="A2194" s="83" t="s">
        <v>4618</v>
      </c>
      <c r="B2194" s="83" t="s">
        <v>4619</v>
      </c>
      <c r="C2194" s="81" t="s">
        <v>4621</v>
      </c>
      <c r="D2194" s="83" t="s">
        <v>4823</v>
      </c>
      <c r="E2194" s="81" t="s">
        <v>3917</v>
      </c>
      <c r="F2194" s="84">
        <v>765.0</v>
      </c>
      <c r="G2194" s="81" t="s">
        <v>7</v>
      </c>
      <c r="H2194" s="81" t="s">
        <v>3623</v>
      </c>
      <c r="I2194" s="81" t="s">
        <v>1134</v>
      </c>
      <c r="J2194" s="81" t="s">
        <v>224</v>
      </c>
      <c r="K2194" s="81" t="str">
        <f>IFERROR(__xludf.DUMMYFUNCTION("IF(OR(D2194="""",G2194=""""),"""",IFERROR(LET(
campo,XLOOKUP(TRIM(G2194),ARRAYFORMULA(TRIM('indice columnas'!$A$2:$A$100)),'indice columnas'!$B$2:$B$100,""""),
col,IFERROR(MATCH(campo,Referencia!$A$1:$AZ$1,0),0),
fila,IFERROR(MATCH(TO_TEXT(D2194),ARRAYFOR"&amp;"MULA(TO_TEXT(Referencia!$A$2:$A6238)),0),0),
IF(OR(campo="""",campo=""-""),""NO APLICA"",
IF(col=0,""REVISAR EQUIVALENCIA"",
IF(fila=0,""SKU NO ENCONTRADO"",
LET(
valor,INDEX(Referencia!$A$2:$AZ6238,fila,col),
IF(TRIM(TO_TEXT(valor))=TRIM(TO_TEXT(I2194)),"&amp;"
""OK"",
""NO COINCIDE. Valor verdadero: ""&amp;IF(valor="""",""[VACÍO]"",TO_TEXT(valor))
)
))))
),""ERROR EN FÓRMULA""))"),"REVISAR EQUIVALENCIA")</f>
        <v>REVISAR EQUIVALENCIA</v>
      </c>
    </row>
    <row r="2195">
      <c r="A2195" s="83" t="s">
        <v>4618</v>
      </c>
      <c r="B2195" s="83" t="s">
        <v>4619</v>
      </c>
      <c r="C2195" s="81" t="s">
        <v>4621</v>
      </c>
      <c r="D2195" s="83" t="s">
        <v>4823</v>
      </c>
      <c r="E2195" s="81" t="s">
        <v>3917</v>
      </c>
      <c r="F2195" s="84">
        <v>765.0</v>
      </c>
      <c r="G2195" s="81" t="s">
        <v>12</v>
      </c>
      <c r="H2195" s="81" t="s">
        <v>224</v>
      </c>
      <c r="I2195" s="81" t="s">
        <v>1549</v>
      </c>
      <c r="J2195" s="81" t="s">
        <v>224</v>
      </c>
      <c r="K2195" s="81" t="str">
        <f>IFERROR(__xludf.DUMMYFUNCTION("IF(OR(D2195="""",G2195=""""),"""",IFERROR(LET(
campo,XLOOKUP(TRIM(G2195),ARRAYFORMULA(TRIM('indice columnas'!$A$2:$A$100)),'indice columnas'!$B$2:$B$100,""""),
col,IFERROR(MATCH(campo,Referencia!$A$1:$AZ$1,0),0),
fila,IFERROR(MATCH(TO_TEXT(D2195),ARRAYFOR"&amp;"MULA(TO_TEXT(Referencia!$A$2:$A6238)),0),0),
IF(OR(campo="""",campo=""-""),""NO APLICA"",
IF(col=0,""REVISAR EQUIVALENCIA"",
IF(fila=0,""SKU NO ENCONTRADO"",
LET(
valor,INDEX(Referencia!$A$2:$AZ6238,fila,col),
IF(TRIM(TO_TEXT(valor))=TRIM(TO_TEXT(I2195)),"&amp;"
""OK"",
""NO COINCIDE. Valor verdadero: ""&amp;IF(valor="""",""[VACÍO]"",TO_TEXT(valor))
)
))))
),""ERROR EN FÓRMULA""))"),"OK")</f>
        <v>OK</v>
      </c>
    </row>
    <row r="2196">
      <c r="A2196" s="83" t="s">
        <v>4618</v>
      </c>
      <c r="B2196" s="83" t="s">
        <v>4619</v>
      </c>
      <c r="C2196" s="81" t="s">
        <v>4621</v>
      </c>
      <c r="D2196" s="83" t="s">
        <v>4823</v>
      </c>
      <c r="E2196" s="81" t="s">
        <v>3917</v>
      </c>
      <c r="F2196" s="84">
        <v>765.0</v>
      </c>
      <c r="G2196" s="81" t="s">
        <v>44</v>
      </c>
      <c r="H2196" s="81" t="s">
        <v>224</v>
      </c>
      <c r="I2196" s="81" t="s">
        <v>3909</v>
      </c>
      <c r="J2196" s="81" t="s">
        <v>4088</v>
      </c>
      <c r="K2196" s="81" t="str">
        <f>IFERROR(__xludf.DUMMYFUNCTION("IF(OR(D2196="""",G2196=""""),"""",IFERROR(LET(
campo,XLOOKUP(TRIM(G2196),ARRAYFORMULA(TRIM('indice columnas'!$A$2:$A$100)),'indice columnas'!$B$2:$B$100,""""),
col,IFERROR(MATCH(campo,Referencia!$A$1:$AZ$1,0),0),
fila,IFERROR(MATCH(TO_TEXT(D2196),ARRAYFOR"&amp;"MULA(TO_TEXT(Referencia!$A$2:$A6238)),0),0),
IF(OR(campo="""",campo=""-""),""NO APLICA"",
IF(col=0,""REVISAR EQUIVALENCIA"",
IF(fila=0,""SKU NO ENCONTRADO"",
LET(
valor,INDEX(Referencia!$A$2:$AZ6238,fila,col),
IF(TRIM(TO_TEXT(valor))=TRIM(TO_TEXT(I2196)),"&amp;"
""OK"",
""NO COINCIDE. Valor verdadero: ""&amp;IF(valor="""",""[VACÍO]"",TO_TEXT(valor))
)
))))
),""ERROR EN FÓRMULA""))"),"NO APLICA")</f>
        <v>NO APLICA</v>
      </c>
    </row>
    <row r="2197">
      <c r="A2197" s="83" t="s">
        <v>4618</v>
      </c>
      <c r="B2197" s="83" t="s">
        <v>4619</v>
      </c>
      <c r="C2197" s="81" t="s">
        <v>4621</v>
      </c>
      <c r="D2197" s="83" t="s">
        <v>4824</v>
      </c>
      <c r="E2197" s="81" t="s">
        <v>3920</v>
      </c>
      <c r="F2197" s="84">
        <v>766.0</v>
      </c>
      <c r="G2197" s="81" t="s">
        <v>7</v>
      </c>
      <c r="H2197" s="81" t="s">
        <v>3623</v>
      </c>
      <c r="I2197" s="81" t="s">
        <v>1134</v>
      </c>
      <c r="J2197" s="81" t="s">
        <v>224</v>
      </c>
      <c r="K2197" s="81" t="str">
        <f>IFERROR(__xludf.DUMMYFUNCTION("IF(OR(D2197="""",G2197=""""),"""",IFERROR(LET(
campo,XLOOKUP(TRIM(G2197),ARRAYFORMULA(TRIM('indice columnas'!$A$2:$A$100)),'indice columnas'!$B$2:$B$100,""""),
col,IFERROR(MATCH(campo,Referencia!$A$1:$AZ$1,0),0),
fila,IFERROR(MATCH(TO_TEXT(D2197),ARRAYFOR"&amp;"MULA(TO_TEXT(Referencia!$A$2:$A6238)),0),0),
IF(OR(campo="""",campo=""-""),""NO APLICA"",
IF(col=0,""REVISAR EQUIVALENCIA"",
IF(fila=0,""SKU NO ENCONTRADO"",
LET(
valor,INDEX(Referencia!$A$2:$AZ6238,fila,col),
IF(TRIM(TO_TEXT(valor))=TRIM(TO_TEXT(I2197)),"&amp;"
""OK"",
""NO COINCIDE. Valor verdadero: ""&amp;IF(valor="""",""[VACÍO]"",TO_TEXT(valor))
)
))))
),""ERROR EN FÓRMULA""))"),"REVISAR EQUIVALENCIA")</f>
        <v>REVISAR EQUIVALENCIA</v>
      </c>
    </row>
    <row r="2198">
      <c r="A2198" s="83" t="s">
        <v>4618</v>
      </c>
      <c r="B2198" s="83" t="s">
        <v>4619</v>
      </c>
      <c r="C2198" s="81" t="s">
        <v>4621</v>
      </c>
      <c r="D2198" s="83" t="s">
        <v>4824</v>
      </c>
      <c r="E2198" s="81" t="s">
        <v>3920</v>
      </c>
      <c r="F2198" s="84">
        <v>766.0</v>
      </c>
      <c r="G2198" s="81" t="s">
        <v>12</v>
      </c>
      <c r="H2198" s="81" t="s">
        <v>224</v>
      </c>
      <c r="I2198" s="81" t="s">
        <v>1549</v>
      </c>
      <c r="J2198" s="81" t="s">
        <v>224</v>
      </c>
      <c r="K2198" s="81" t="str">
        <f>IFERROR(__xludf.DUMMYFUNCTION("IF(OR(D2198="""",G2198=""""),"""",IFERROR(LET(
campo,XLOOKUP(TRIM(G2198),ARRAYFORMULA(TRIM('indice columnas'!$A$2:$A$100)),'indice columnas'!$B$2:$B$100,""""),
col,IFERROR(MATCH(campo,Referencia!$A$1:$AZ$1,0),0),
fila,IFERROR(MATCH(TO_TEXT(D2198),ARRAYFOR"&amp;"MULA(TO_TEXT(Referencia!$A$2:$A6238)),0),0),
IF(OR(campo="""",campo=""-""),""NO APLICA"",
IF(col=0,""REVISAR EQUIVALENCIA"",
IF(fila=0,""SKU NO ENCONTRADO"",
LET(
valor,INDEX(Referencia!$A$2:$AZ6238,fila,col),
IF(TRIM(TO_TEXT(valor))=TRIM(TO_TEXT(I2198)),"&amp;"
""OK"",
""NO COINCIDE. Valor verdadero: ""&amp;IF(valor="""",""[VACÍO]"",TO_TEXT(valor))
)
))))
),""ERROR EN FÓRMULA""))"),"OK")</f>
        <v>OK</v>
      </c>
    </row>
    <row r="2199">
      <c r="A2199" s="83" t="s">
        <v>4618</v>
      </c>
      <c r="B2199" s="83" t="s">
        <v>4619</v>
      </c>
      <c r="C2199" s="81" t="s">
        <v>4621</v>
      </c>
      <c r="D2199" s="83" t="s">
        <v>4824</v>
      </c>
      <c r="E2199" s="81" t="s">
        <v>3920</v>
      </c>
      <c r="F2199" s="84">
        <v>766.0</v>
      </c>
      <c r="G2199" s="81" t="s">
        <v>44</v>
      </c>
      <c r="H2199" s="81" t="s">
        <v>224</v>
      </c>
      <c r="I2199" s="81" t="s">
        <v>3909</v>
      </c>
      <c r="J2199" s="81" t="s">
        <v>4088</v>
      </c>
      <c r="K2199" s="81" t="str">
        <f>IFERROR(__xludf.DUMMYFUNCTION("IF(OR(D2199="""",G2199=""""),"""",IFERROR(LET(
campo,XLOOKUP(TRIM(G2199),ARRAYFORMULA(TRIM('indice columnas'!$A$2:$A$100)),'indice columnas'!$B$2:$B$100,""""),
col,IFERROR(MATCH(campo,Referencia!$A$1:$AZ$1,0),0),
fila,IFERROR(MATCH(TO_TEXT(D2199),ARRAYFOR"&amp;"MULA(TO_TEXT(Referencia!$A$2:$A6238)),0),0),
IF(OR(campo="""",campo=""-""),""NO APLICA"",
IF(col=0,""REVISAR EQUIVALENCIA"",
IF(fila=0,""SKU NO ENCONTRADO"",
LET(
valor,INDEX(Referencia!$A$2:$AZ6238,fila,col),
IF(TRIM(TO_TEXT(valor))=TRIM(TO_TEXT(I2199)),"&amp;"
""OK"",
""NO COINCIDE. Valor verdadero: ""&amp;IF(valor="""",""[VACÍO]"",TO_TEXT(valor))
)
))))
),""ERROR EN FÓRMULA""))"),"NO APLICA")</f>
        <v>NO APLICA</v>
      </c>
    </row>
    <row r="2200">
      <c r="A2200" s="83" t="s">
        <v>4618</v>
      </c>
      <c r="B2200" s="83" t="s">
        <v>4619</v>
      </c>
      <c r="C2200" s="81" t="s">
        <v>4621</v>
      </c>
      <c r="D2200" s="83" t="s">
        <v>4825</v>
      </c>
      <c r="E2200" s="81" t="s">
        <v>3923</v>
      </c>
      <c r="F2200" s="84">
        <v>767.0</v>
      </c>
      <c r="G2200" s="81" t="s">
        <v>7</v>
      </c>
      <c r="H2200" s="81" t="s">
        <v>3623</v>
      </c>
      <c r="I2200" s="81" t="s">
        <v>1134</v>
      </c>
      <c r="J2200" s="81" t="s">
        <v>224</v>
      </c>
      <c r="K2200" s="81" t="str">
        <f>IFERROR(__xludf.DUMMYFUNCTION("IF(OR(D2200="""",G2200=""""),"""",IFERROR(LET(
campo,XLOOKUP(TRIM(G2200),ARRAYFORMULA(TRIM('indice columnas'!$A$2:$A$100)),'indice columnas'!$B$2:$B$100,""""),
col,IFERROR(MATCH(campo,Referencia!$A$1:$AZ$1,0),0),
fila,IFERROR(MATCH(TO_TEXT(D2200),ARRAYFOR"&amp;"MULA(TO_TEXT(Referencia!$A$2:$A6238)),0),0),
IF(OR(campo="""",campo=""-""),""NO APLICA"",
IF(col=0,""REVISAR EQUIVALENCIA"",
IF(fila=0,""SKU NO ENCONTRADO"",
LET(
valor,INDEX(Referencia!$A$2:$AZ6238,fila,col),
IF(TRIM(TO_TEXT(valor))=TRIM(TO_TEXT(I2200)),"&amp;"
""OK"",
""NO COINCIDE. Valor verdadero: ""&amp;IF(valor="""",""[VACÍO]"",TO_TEXT(valor))
)
))))
),""ERROR EN FÓRMULA""))"),"REVISAR EQUIVALENCIA")</f>
        <v>REVISAR EQUIVALENCIA</v>
      </c>
    </row>
    <row r="2201">
      <c r="A2201" s="83" t="s">
        <v>4618</v>
      </c>
      <c r="B2201" s="83" t="s">
        <v>4619</v>
      </c>
      <c r="C2201" s="81" t="s">
        <v>4621</v>
      </c>
      <c r="D2201" s="83" t="s">
        <v>4825</v>
      </c>
      <c r="E2201" s="81" t="s">
        <v>3923</v>
      </c>
      <c r="F2201" s="84">
        <v>767.0</v>
      </c>
      <c r="G2201" s="81" t="s">
        <v>12</v>
      </c>
      <c r="H2201" s="81" t="s">
        <v>224</v>
      </c>
      <c r="I2201" s="81" t="s">
        <v>1549</v>
      </c>
      <c r="J2201" s="81" t="s">
        <v>224</v>
      </c>
      <c r="K2201" s="81" t="str">
        <f>IFERROR(__xludf.DUMMYFUNCTION("IF(OR(D2201="""",G2201=""""),"""",IFERROR(LET(
campo,XLOOKUP(TRIM(G2201),ARRAYFORMULA(TRIM('indice columnas'!$A$2:$A$100)),'indice columnas'!$B$2:$B$100,""""),
col,IFERROR(MATCH(campo,Referencia!$A$1:$AZ$1,0),0),
fila,IFERROR(MATCH(TO_TEXT(D2201),ARRAYFOR"&amp;"MULA(TO_TEXT(Referencia!$A$2:$A6238)),0),0),
IF(OR(campo="""",campo=""-""),""NO APLICA"",
IF(col=0,""REVISAR EQUIVALENCIA"",
IF(fila=0,""SKU NO ENCONTRADO"",
LET(
valor,INDEX(Referencia!$A$2:$AZ6238,fila,col),
IF(TRIM(TO_TEXT(valor))=TRIM(TO_TEXT(I2201)),"&amp;"
""OK"",
""NO COINCIDE. Valor verdadero: ""&amp;IF(valor="""",""[VACÍO]"",TO_TEXT(valor))
)
))))
),""ERROR EN FÓRMULA""))"),"OK")</f>
        <v>OK</v>
      </c>
    </row>
    <row r="2202">
      <c r="A2202" s="83" t="s">
        <v>4618</v>
      </c>
      <c r="B2202" s="83" t="s">
        <v>4619</v>
      </c>
      <c r="C2202" s="81" t="s">
        <v>4621</v>
      </c>
      <c r="D2202" s="83" t="s">
        <v>4825</v>
      </c>
      <c r="E2202" s="81" t="s">
        <v>3923</v>
      </c>
      <c r="F2202" s="84">
        <v>767.0</v>
      </c>
      <c r="G2202" s="81" t="s">
        <v>44</v>
      </c>
      <c r="H2202" s="81" t="s">
        <v>224</v>
      </c>
      <c r="I2202" s="81" t="s">
        <v>3909</v>
      </c>
      <c r="J2202" s="81" t="s">
        <v>4088</v>
      </c>
      <c r="K2202" s="81" t="str">
        <f>IFERROR(__xludf.DUMMYFUNCTION("IF(OR(D2202="""",G2202=""""),"""",IFERROR(LET(
campo,XLOOKUP(TRIM(G2202),ARRAYFORMULA(TRIM('indice columnas'!$A$2:$A$100)),'indice columnas'!$B$2:$B$100,""""),
col,IFERROR(MATCH(campo,Referencia!$A$1:$AZ$1,0),0),
fila,IFERROR(MATCH(TO_TEXT(D2202),ARRAYFOR"&amp;"MULA(TO_TEXT(Referencia!$A$2:$A6238)),0),0),
IF(OR(campo="""",campo=""-""),""NO APLICA"",
IF(col=0,""REVISAR EQUIVALENCIA"",
IF(fila=0,""SKU NO ENCONTRADO"",
LET(
valor,INDEX(Referencia!$A$2:$AZ6238,fila,col),
IF(TRIM(TO_TEXT(valor))=TRIM(TO_TEXT(I2202)),"&amp;"
""OK"",
""NO COINCIDE. Valor verdadero: ""&amp;IF(valor="""",""[VACÍO]"",TO_TEXT(valor))
)
))))
),""ERROR EN FÓRMULA""))"),"NO APLICA")</f>
        <v>NO APLICA</v>
      </c>
    </row>
    <row r="2203">
      <c r="A2203" s="83" t="s">
        <v>4618</v>
      </c>
      <c r="B2203" s="83" t="s">
        <v>4619</v>
      </c>
      <c r="C2203" s="81" t="s">
        <v>4621</v>
      </c>
      <c r="D2203" s="83" t="s">
        <v>4826</v>
      </c>
      <c r="E2203" s="81" t="s">
        <v>3926</v>
      </c>
      <c r="F2203" s="84">
        <v>768.0</v>
      </c>
      <c r="G2203" s="81" t="s">
        <v>7</v>
      </c>
      <c r="H2203" s="81" t="s">
        <v>3623</v>
      </c>
      <c r="I2203" s="81" t="s">
        <v>1134</v>
      </c>
      <c r="J2203" s="81" t="s">
        <v>224</v>
      </c>
      <c r="K2203" s="81" t="str">
        <f>IFERROR(__xludf.DUMMYFUNCTION("IF(OR(D2203="""",G2203=""""),"""",IFERROR(LET(
campo,XLOOKUP(TRIM(G2203),ARRAYFORMULA(TRIM('indice columnas'!$A$2:$A$100)),'indice columnas'!$B$2:$B$100,""""),
col,IFERROR(MATCH(campo,Referencia!$A$1:$AZ$1,0),0),
fila,IFERROR(MATCH(TO_TEXT(D2203),ARRAYFOR"&amp;"MULA(TO_TEXT(Referencia!$A$2:$A6238)),0),0),
IF(OR(campo="""",campo=""-""),""NO APLICA"",
IF(col=0,""REVISAR EQUIVALENCIA"",
IF(fila=0,""SKU NO ENCONTRADO"",
LET(
valor,INDEX(Referencia!$A$2:$AZ6238,fila,col),
IF(TRIM(TO_TEXT(valor))=TRIM(TO_TEXT(I2203)),"&amp;"
""OK"",
""NO COINCIDE. Valor verdadero: ""&amp;IF(valor="""",""[VACÍO]"",TO_TEXT(valor))
)
))))
),""ERROR EN FÓRMULA""))"),"REVISAR EQUIVALENCIA")</f>
        <v>REVISAR EQUIVALENCIA</v>
      </c>
    </row>
    <row r="2204">
      <c r="A2204" s="83" t="s">
        <v>4618</v>
      </c>
      <c r="B2204" s="83" t="s">
        <v>4619</v>
      </c>
      <c r="C2204" s="81" t="s">
        <v>4621</v>
      </c>
      <c r="D2204" s="83" t="s">
        <v>4826</v>
      </c>
      <c r="E2204" s="81" t="s">
        <v>3926</v>
      </c>
      <c r="F2204" s="84">
        <v>768.0</v>
      </c>
      <c r="G2204" s="81" t="s">
        <v>12</v>
      </c>
      <c r="H2204" s="81" t="s">
        <v>224</v>
      </c>
      <c r="I2204" s="81" t="s">
        <v>1549</v>
      </c>
      <c r="J2204" s="81" t="s">
        <v>224</v>
      </c>
      <c r="K2204" s="81" t="str">
        <f>IFERROR(__xludf.DUMMYFUNCTION("IF(OR(D2204="""",G2204=""""),"""",IFERROR(LET(
campo,XLOOKUP(TRIM(G2204),ARRAYFORMULA(TRIM('indice columnas'!$A$2:$A$100)),'indice columnas'!$B$2:$B$100,""""),
col,IFERROR(MATCH(campo,Referencia!$A$1:$AZ$1,0),0),
fila,IFERROR(MATCH(TO_TEXT(D2204),ARRAYFOR"&amp;"MULA(TO_TEXT(Referencia!$A$2:$A6238)),0),0),
IF(OR(campo="""",campo=""-""),""NO APLICA"",
IF(col=0,""REVISAR EQUIVALENCIA"",
IF(fila=0,""SKU NO ENCONTRADO"",
LET(
valor,INDEX(Referencia!$A$2:$AZ6238,fila,col),
IF(TRIM(TO_TEXT(valor))=TRIM(TO_TEXT(I2204)),"&amp;"
""OK"",
""NO COINCIDE. Valor verdadero: ""&amp;IF(valor="""",""[VACÍO]"",TO_TEXT(valor))
)
))))
),""ERROR EN FÓRMULA""))"),"OK")</f>
        <v>OK</v>
      </c>
    </row>
    <row r="2205">
      <c r="A2205" s="83" t="s">
        <v>4618</v>
      </c>
      <c r="B2205" s="83" t="s">
        <v>4619</v>
      </c>
      <c r="C2205" s="81" t="s">
        <v>4621</v>
      </c>
      <c r="D2205" s="83" t="s">
        <v>4826</v>
      </c>
      <c r="E2205" s="81" t="s">
        <v>3926</v>
      </c>
      <c r="F2205" s="84">
        <v>768.0</v>
      </c>
      <c r="G2205" s="81" t="s">
        <v>44</v>
      </c>
      <c r="H2205" s="81" t="s">
        <v>224</v>
      </c>
      <c r="I2205" s="81" t="s">
        <v>3909</v>
      </c>
      <c r="J2205" s="81" t="s">
        <v>4088</v>
      </c>
      <c r="K2205" s="81" t="str">
        <f>IFERROR(__xludf.DUMMYFUNCTION("IF(OR(D2205="""",G2205=""""),"""",IFERROR(LET(
campo,XLOOKUP(TRIM(G2205),ARRAYFORMULA(TRIM('indice columnas'!$A$2:$A$100)),'indice columnas'!$B$2:$B$100,""""),
col,IFERROR(MATCH(campo,Referencia!$A$1:$AZ$1,0),0),
fila,IFERROR(MATCH(TO_TEXT(D2205),ARRAYFOR"&amp;"MULA(TO_TEXT(Referencia!$A$2:$A6238)),0),0),
IF(OR(campo="""",campo=""-""),""NO APLICA"",
IF(col=0,""REVISAR EQUIVALENCIA"",
IF(fila=0,""SKU NO ENCONTRADO"",
LET(
valor,INDEX(Referencia!$A$2:$AZ6238,fila,col),
IF(TRIM(TO_TEXT(valor))=TRIM(TO_TEXT(I2205)),"&amp;"
""OK"",
""NO COINCIDE. Valor verdadero: ""&amp;IF(valor="""",""[VACÍO]"",TO_TEXT(valor))
)
))))
),""ERROR EN FÓRMULA""))"),"NO APLICA")</f>
        <v>NO APLICA</v>
      </c>
    </row>
    <row r="2206">
      <c r="A2206" s="83" t="s">
        <v>4618</v>
      </c>
      <c r="B2206" s="83" t="s">
        <v>4619</v>
      </c>
      <c r="C2206" s="81" t="s">
        <v>4621</v>
      </c>
      <c r="D2206" s="83" t="s">
        <v>4827</v>
      </c>
      <c r="E2206" s="81" t="s">
        <v>3929</v>
      </c>
      <c r="F2206" s="84">
        <v>769.0</v>
      </c>
      <c r="G2206" s="81" t="s">
        <v>7</v>
      </c>
      <c r="H2206" s="81" t="s">
        <v>3623</v>
      </c>
      <c r="I2206" s="81" t="s">
        <v>1134</v>
      </c>
      <c r="J2206" s="81" t="s">
        <v>224</v>
      </c>
      <c r="K2206" s="81" t="str">
        <f>IFERROR(__xludf.DUMMYFUNCTION("IF(OR(D2206="""",G2206=""""),"""",IFERROR(LET(
campo,XLOOKUP(TRIM(G2206),ARRAYFORMULA(TRIM('indice columnas'!$A$2:$A$100)),'indice columnas'!$B$2:$B$100,""""),
col,IFERROR(MATCH(campo,Referencia!$A$1:$AZ$1,0),0),
fila,IFERROR(MATCH(TO_TEXT(D2206),ARRAYFOR"&amp;"MULA(TO_TEXT(Referencia!$A$2:$A6238)),0),0),
IF(OR(campo="""",campo=""-""),""NO APLICA"",
IF(col=0,""REVISAR EQUIVALENCIA"",
IF(fila=0,""SKU NO ENCONTRADO"",
LET(
valor,INDEX(Referencia!$A$2:$AZ6238,fila,col),
IF(TRIM(TO_TEXT(valor))=TRIM(TO_TEXT(I2206)),"&amp;"
""OK"",
""NO COINCIDE. Valor verdadero: ""&amp;IF(valor="""",""[VACÍO]"",TO_TEXT(valor))
)
))))
),""ERROR EN FÓRMULA""))"),"REVISAR EQUIVALENCIA")</f>
        <v>REVISAR EQUIVALENCIA</v>
      </c>
    </row>
    <row r="2207">
      <c r="A2207" s="83" t="s">
        <v>4618</v>
      </c>
      <c r="B2207" s="83" t="s">
        <v>4619</v>
      </c>
      <c r="C2207" s="81" t="s">
        <v>4621</v>
      </c>
      <c r="D2207" s="83" t="s">
        <v>4827</v>
      </c>
      <c r="E2207" s="81" t="s">
        <v>3929</v>
      </c>
      <c r="F2207" s="84">
        <v>769.0</v>
      </c>
      <c r="G2207" s="81" t="s">
        <v>12</v>
      </c>
      <c r="H2207" s="81" t="s">
        <v>224</v>
      </c>
      <c r="I2207" s="81" t="s">
        <v>1549</v>
      </c>
      <c r="J2207" s="81" t="s">
        <v>224</v>
      </c>
      <c r="K2207" s="81" t="str">
        <f>IFERROR(__xludf.DUMMYFUNCTION("IF(OR(D2207="""",G2207=""""),"""",IFERROR(LET(
campo,XLOOKUP(TRIM(G2207),ARRAYFORMULA(TRIM('indice columnas'!$A$2:$A$100)),'indice columnas'!$B$2:$B$100,""""),
col,IFERROR(MATCH(campo,Referencia!$A$1:$AZ$1,0),0),
fila,IFERROR(MATCH(TO_TEXT(D2207),ARRAYFOR"&amp;"MULA(TO_TEXT(Referencia!$A$2:$A6238)),0),0),
IF(OR(campo="""",campo=""-""),""NO APLICA"",
IF(col=0,""REVISAR EQUIVALENCIA"",
IF(fila=0,""SKU NO ENCONTRADO"",
LET(
valor,INDEX(Referencia!$A$2:$AZ6238,fila,col),
IF(TRIM(TO_TEXT(valor))=TRIM(TO_TEXT(I2207)),"&amp;"
""OK"",
""NO COINCIDE. Valor verdadero: ""&amp;IF(valor="""",""[VACÍO]"",TO_TEXT(valor))
)
))))
),""ERROR EN FÓRMULA""))"),"OK")</f>
        <v>OK</v>
      </c>
    </row>
    <row r="2208">
      <c r="A2208" s="83" t="s">
        <v>4618</v>
      </c>
      <c r="B2208" s="83" t="s">
        <v>4619</v>
      </c>
      <c r="C2208" s="81" t="s">
        <v>4621</v>
      </c>
      <c r="D2208" s="83" t="s">
        <v>4827</v>
      </c>
      <c r="E2208" s="81" t="s">
        <v>3929</v>
      </c>
      <c r="F2208" s="84">
        <v>769.0</v>
      </c>
      <c r="G2208" s="81" t="s">
        <v>44</v>
      </c>
      <c r="H2208" s="81" t="s">
        <v>224</v>
      </c>
      <c r="I2208" s="81" t="s">
        <v>3909</v>
      </c>
      <c r="J2208" s="81" t="s">
        <v>4088</v>
      </c>
      <c r="K2208" s="81" t="str">
        <f>IFERROR(__xludf.DUMMYFUNCTION("IF(OR(D2208="""",G2208=""""),"""",IFERROR(LET(
campo,XLOOKUP(TRIM(G2208),ARRAYFORMULA(TRIM('indice columnas'!$A$2:$A$100)),'indice columnas'!$B$2:$B$100,""""),
col,IFERROR(MATCH(campo,Referencia!$A$1:$AZ$1,0),0),
fila,IFERROR(MATCH(TO_TEXT(D2208),ARRAYFOR"&amp;"MULA(TO_TEXT(Referencia!$A$2:$A6238)),0),0),
IF(OR(campo="""",campo=""-""),""NO APLICA"",
IF(col=0,""REVISAR EQUIVALENCIA"",
IF(fila=0,""SKU NO ENCONTRADO"",
LET(
valor,INDEX(Referencia!$A$2:$AZ6238,fila,col),
IF(TRIM(TO_TEXT(valor))=TRIM(TO_TEXT(I2208)),"&amp;"
""OK"",
""NO COINCIDE. Valor verdadero: ""&amp;IF(valor="""",""[VACÍO]"",TO_TEXT(valor))
)
))))
),""ERROR EN FÓRMULA""))"),"NO APLICA")</f>
        <v>NO APLICA</v>
      </c>
    </row>
    <row r="2209">
      <c r="A2209" s="83" t="s">
        <v>4618</v>
      </c>
      <c r="B2209" s="83" t="s">
        <v>4619</v>
      </c>
      <c r="C2209" s="81" t="s">
        <v>4621</v>
      </c>
      <c r="D2209" s="83" t="s">
        <v>4828</v>
      </c>
      <c r="E2209" s="81" t="s">
        <v>3932</v>
      </c>
      <c r="F2209" s="84">
        <v>770.0</v>
      </c>
      <c r="G2209" s="81" t="s">
        <v>44</v>
      </c>
      <c r="H2209" s="81" t="s">
        <v>224</v>
      </c>
      <c r="I2209" s="81" t="s">
        <v>3909</v>
      </c>
      <c r="J2209" s="81" t="s">
        <v>4088</v>
      </c>
      <c r="K2209" s="81" t="str">
        <f>IFERROR(__xludf.DUMMYFUNCTION("IF(OR(D2209="""",G2209=""""),"""",IFERROR(LET(
campo,XLOOKUP(TRIM(G2209),ARRAYFORMULA(TRIM('indice columnas'!$A$2:$A$100)),'indice columnas'!$B$2:$B$100,""""),
col,IFERROR(MATCH(campo,Referencia!$A$1:$AZ$1,0),0),
fila,IFERROR(MATCH(TO_TEXT(D2209),ARRAYFOR"&amp;"MULA(TO_TEXT(Referencia!$A$2:$A6238)),0),0),
IF(OR(campo="""",campo=""-""),""NO APLICA"",
IF(col=0,""REVISAR EQUIVALENCIA"",
IF(fila=0,""SKU NO ENCONTRADO"",
LET(
valor,INDEX(Referencia!$A$2:$AZ6238,fila,col),
IF(TRIM(TO_TEXT(valor))=TRIM(TO_TEXT(I2209)),"&amp;"
""OK"",
""NO COINCIDE. Valor verdadero: ""&amp;IF(valor="""",""[VACÍO]"",TO_TEXT(valor))
)
))))
),""ERROR EN FÓRMULA""))"),"NO APLICA")</f>
        <v>NO APLICA</v>
      </c>
    </row>
    <row r="2210">
      <c r="A2210" s="83" t="s">
        <v>4618</v>
      </c>
      <c r="B2210" s="83" t="s">
        <v>4619</v>
      </c>
      <c r="C2210" s="81" t="s">
        <v>4621</v>
      </c>
      <c r="D2210" s="83" t="s">
        <v>4828</v>
      </c>
      <c r="E2210" s="81" t="s">
        <v>3935</v>
      </c>
      <c r="F2210" s="84">
        <v>771.0</v>
      </c>
      <c r="G2210" s="81" t="s">
        <v>7</v>
      </c>
      <c r="H2210" s="81" t="s">
        <v>3623</v>
      </c>
      <c r="I2210" s="81" t="s">
        <v>1134</v>
      </c>
      <c r="J2210" s="81" t="s">
        <v>224</v>
      </c>
      <c r="K2210" s="81" t="str">
        <f>IFERROR(__xludf.DUMMYFUNCTION("IF(OR(D2210="""",G2210=""""),"""",IFERROR(LET(
campo,XLOOKUP(TRIM(G2210),ARRAYFORMULA(TRIM('indice columnas'!$A$2:$A$100)),'indice columnas'!$B$2:$B$100,""""),
col,IFERROR(MATCH(campo,Referencia!$A$1:$AZ$1,0),0),
fila,IFERROR(MATCH(TO_TEXT(D2210),ARRAYFOR"&amp;"MULA(TO_TEXT(Referencia!$A$2:$A6238)),0),0),
IF(OR(campo="""",campo=""-""),""NO APLICA"",
IF(col=0,""REVISAR EQUIVALENCIA"",
IF(fila=0,""SKU NO ENCONTRADO"",
LET(
valor,INDEX(Referencia!$A$2:$AZ6238,fila,col),
IF(TRIM(TO_TEXT(valor))=TRIM(TO_TEXT(I2210)),"&amp;"
""OK"",
""NO COINCIDE. Valor verdadero: ""&amp;IF(valor="""",""[VACÍO]"",TO_TEXT(valor))
)
))))
),""ERROR EN FÓRMULA""))"),"REVISAR EQUIVALENCIA")</f>
        <v>REVISAR EQUIVALENCIA</v>
      </c>
    </row>
    <row r="2211">
      <c r="A2211" s="83" t="s">
        <v>4618</v>
      </c>
      <c r="B2211" s="83" t="s">
        <v>4619</v>
      </c>
      <c r="C2211" s="81" t="s">
        <v>4621</v>
      </c>
      <c r="D2211" s="83" t="s">
        <v>4828</v>
      </c>
      <c r="E2211" s="81" t="s">
        <v>3935</v>
      </c>
      <c r="F2211" s="84">
        <v>771.0</v>
      </c>
      <c r="G2211" s="81" t="s">
        <v>12</v>
      </c>
      <c r="H2211" s="81" t="s">
        <v>224</v>
      </c>
      <c r="I2211" s="81" t="s">
        <v>1549</v>
      </c>
      <c r="J2211" s="81" t="s">
        <v>224</v>
      </c>
      <c r="K2211" s="81" t="str">
        <f>IFERROR(__xludf.DUMMYFUNCTION("IF(OR(D2211="""",G2211=""""),"""",IFERROR(LET(
campo,XLOOKUP(TRIM(G2211),ARRAYFORMULA(TRIM('indice columnas'!$A$2:$A$100)),'indice columnas'!$B$2:$B$100,""""),
col,IFERROR(MATCH(campo,Referencia!$A$1:$AZ$1,0),0),
fila,IFERROR(MATCH(TO_TEXT(D2211),ARRAYFOR"&amp;"MULA(TO_TEXT(Referencia!$A$2:$A6238)),0),0),
IF(OR(campo="""",campo=""-""),""NO APLICA"",
IF(col=0,""REVISAR EQUIVALENCIA"",
IF(fila=0,""SKU NO ENCONTRADO"",
LET(
valor,INDEX(Referencia!$A$2:$AZ6238,fila,col),
IF(TRIM(TO_TEXT(valor))=TRIM(TO_TEXT(I2211)),"&amp;"
""OK"",
""NO COINCIDE. Valor verdadero: ""&amp;IF(valor="""",""[VACÍO]"",TO_TEXT(valor))
)
))))
),""ERROR EN FÓRMULA""))"),"OK")</f>
        <v>OK</v>
      </c>
    </row>
    <row r="2212">
      <c r="A2212" s="83" t="s">
        <v>4618</v>
      </c>
      <c r="B2212" s="83" t="s">
        <v>4619</v>
      </c>
      <c r="C2212" s="81" t="s">
        <v>4621</v>
      </c>
      <c r="D2212" s="83" t="s">
        <v>4828</v>
      </c>
      <c r="E2212" s="81" t="s">
        <v>3935</v>
      </c>
      <c r="F2212" s="84">
        <v>771.0</v>
      </c>
      <c r="G2212" s="81" t="s">
        <v>44</v>
      </c>
      <c r="H2212" s="81" t="s">
        <v>224</v>
      </c>
      <c r="I2212" s="81" t="s">
        <v>3909</v>
      </c>
      <c r="J2212" s="81" t="s">
        <v>4088</v>
      </c>
      <c r="K2212" s="81" t="str">
        <f>IFERROR(__xludf.DUMMYFUNCTION("IF(OR(D2212="""",G2212=""""),"""",IFERROR(LET(
campo,XLOOKUP(TRIM(G2212),ARRAYFORMULA(TRIM('indice columnas'!$A$2:$A$100)),'indice columnas'!$B$2:$B$100,""""),
col,IFERROR(MATCH(campo,Referencia!$A$1:$AZ$1,0),0),
fila,IFERROR(MATCH(TO_TEXT(D2212),ARRAYFOR"&amp;"MULA(TO_TEXT(Referencia!$A$2:$A6238)),0),0),
IF(OR(campo="""",campo=""-""),""NO APLICA"",
IF(col=0,""REVISAR EQUIVALENCIA"",
IF(fila=0,""SKU NO ENCONTRADO"",
LET(
valor,INDEX(Referencia!$A$2:$AZ6238,fila,col),
IF(TRIM(TO_TEXT(valor))=TRIM(TO_TEXT(I2212)),"&amp;"
""OK"",
""NO COINCIDE. Valor verdadero: ""&amp;IF(valor="""",""[VACÍO]"",TO_TEXT(valor))
)
))))
),""ERROR EN FÓRMULA""))"),"NO APLICA")</f>
        <v>NO APLICA</v>
      </c>
    </row>
    <row r="2213">
      <c r="A2213" s="83" t="s">
        <v>4618</v>
      </c>
      <c r="B2213" s="83" t="s">
        <v>4619</v>
      </c>
      <c r="C2213" s="81" t="s">
        <v>4621</v>
      </c>
      <c r="D2213" s="83" t="s">
        <v>4829</v>
      </c>
      <c r="E2213" s="81" t="s">
        <v>3936</v>
      </c>
      <c r="F2213" s="84">
        <v>772.0</v>
      </c>
      <c r="G2213" s="81" t="s">
        <v>7</v>
      </c>
      <c r="H2213" s="81" t="s">
        <v>3623</v>
      </c>
      <c r="I2213" s="81" t="s">
        <v>1134</v>
      </c>
      <c r="J2213" s="81" t="s">
        <v>224</v>
      </c>
      <c r="K2213" s="81" t="str">
        <f>IFERROR(__xludf.DUMMYFUNCTION("IF(OR(D2213="""",G2213=""""),"""",IFERROR(LET(
campo,XLOOKUP(TRIM(G2213),ARRAYFORMULA(TRIM('indice columnas'!$A$2:$A$100)),'indice columnas'!$B$2:$B$100,""""),
col,IFERROR(MATCH(campo,Referencia!$A$1:$AZ$1,0),0),
fila,IFERROR(MATCH(TO_TEXT(D2213),ARRAYFOR"&amp;"MULA(TO_TEXT(Referencia!$A$2:$A6238)),0),0),
IF(OR(campo="""",campo=""-""),""NO APLICA"",
IF(col=0,""REVISAR EQUIVALENCIA"",
IF(fila=0,""SKU NO ENCONTRADO"",
LET(
valor,INDEX(Referencia!$A$2:$AZ6238,fila,col),
IF(TRIM(TO_TEXT(valor))=TRIM(TO_TEXT(I2213)),"&amp;"
""OK"",
""NO COINCIDE. Valor verdadero: ""&amp;IF(valor="""",""[VACÍO]"",TO_TEXT(valor))
)
))))
),""ERROR EN FÓRMULA""))"),"REVISAR EQUIVALENCIA")</f>
        <v>REVISAR EQUIVALENCIA</v>
      </c>
    </row>
    <row r="2214">
      <c r="A2214" s="83" t="s">
        <v>4618</v>
      </c>
      <c r="B2214" s="83" t="s">
        <v>4619</v>
      </c>
      <c r="C2214" s="81" t="s">
        <v>4621</v>
      </c>
      <c r="D2214" s="83" t="s">
        <v>4829</v>
      </c>
      <c r="E2214" s="81" t="s">
        <v>3936</v>
      </c>
      <c r="F2214" s="84">
        <v>772.0</v>
      </c>
      <c r="G2214" s="81" t="s">
        <v>12</v>
      </c>
      <c r="H2214" s="81" t="s">
        <v>224</v>
      </c>
      <c r="I2214" s="81" t="s">
        <v>1549</v>
      </c>
      <c r="J2214" s="81" t="s">
        <v>224</v>
      </c>
      <c r="K2214" s="81" t="str">
        <f>IFERROR(__xludf.DUMMYFUNCTION("IF(OR(D2214="""",G2214=""""),"""",IFERROR(LET(
campo,XLOOKUP(TRIM(G2214),ARRAYFORMULA(TRIM('indice columnas'!$A$2:$A$100)),'indice columnas'!$B$2:$B$100,""""),
col,IFERROR(MATCH(campo,Referencia!$A$1:$AZ$1,0),0),
fila,IFERROR(MATCH(TO_TEXT(D2214),ARRAYFOR"&amp;"MULA(TO_TEXT(Referencia!$A$2:$A6238)),0),0),
IF(OR(campo="""",campo=""-""),""NO APLICA"",
IF(col=0,""REVISAR EQUIVALENCIA"",
IF(fila=0,""SKU NO ENCONTRADO"",
LET(
valor,INDEX(Referencia!$A$2:$AZ6238,fila,col),
IF(TRIM(TO_TEXT(valor))=TRIM(TO_TEXT(I2214)),"&amp;"
""OK"",
""NO COINCIDE. Valor verdadero: ""&amp;IF(valor="""",""[VACÍO]"",TO_TEXT(valor))
)
))))
),""ERROR EN FÓRMULA""))"),"OK")</f>
        <v>OK</v>
      </c>
    </row>
    <row r="2215">
      <c r="A2215" s="83" t="s">
        <v>4618</v>
      </c>
      <c r="B2215" s="83" t="s">
        <v>4619</v>
      </c>
      <c r="C2215" s="81" t="s">
        <v>4621</v>
      </c>
      <c r="D2215" s="83" t="s">
        <v>4829</v>
      </c>
      <c r="E2215" s="81" t="s">
        <v>3936</v>
      </c>
      <c r="F2215" s="84">
        <v>772.0</v>
      </c>
      <c r="G2215" s="81" t="s">
        <v>44</v>
      </c>
      <c r="H2215" s="81" t="s">
        <v>224</v>
      </c>
      <c r="I2215" s="81" t="s">
        <v>3909</v>
      </c>
      <c r="J2215" s="81" t="s">
        <v>4088</v>
      </c>
      <c r="K2215" s="81" t="str">
        <f>IFERROR(__xludf.DUMMYFUNCTION("IF(OR(D2215="""",G2215=""""),"""",IFERROR(LET(
campo,XLOOKUP(TRIM(G2215),ARRAYFORMULA(TRIM('indice columnas'!$A$2:$A$100)),'indice columnas'!$B$2:$B$100,""""),
col,IFERROR(MATCH(campo,Referencia!$A$1:$AZ$1,0),0),
fila,IFERROR(MATCH(TO_TEXT(D2215),ARRAYFOR"&amp;"MULA(TO_TEXT(Referencia!$A$2:$A6238)),0),0),
IF(OR(campo="""",campo=""-""),""NO APLICA"",
IF(col=0,""REVISAR EQUIVALENCIA"",
IF(fila=0,""SKU NO ENCONTRADO"",
LET(
valor,INDEX(Referencia!$A$2:$AZ6238,fila,col),
IF(TRIM(TO_TEXT(valor))=TRIM(TO_TEXT(I2215)),"&amp;"
""OK"",
""NO COINCIDE. Valor verdadero: ""&amp;IF(valor="""",""[VACÍO]"",TO_TEXT(valor))
)
))))
),""ERROR EN FÓRMULA""))"),"NO APLICA")</f>
        <v>NO APLICA</v>
      </c>
    </row>
    <row r="2216">
      <c r="A2216" s="83" t="s">
        <v>4618</v>
      </c>
      <c r="B2216" s="83" t="s">
        <v>4619</v>
      </c>
      <c r="C2216" s="81" t="s">
        <v>4621</v>
      </c>
      <c r="D2216" s="83" t="s">
        <v>4830</v>
      </c>
      <c r="E2216" s="81" t="s">
        <v>3939</v>
      </c>
      <c r="F2216" s="84">
        <v>773.0</v>
      </c>
      <c r="G2216" s="81" t="s">
        <v>7</v>
      </c>
      <c r="H2216" s="81" t="s">
        <v>3623</v>
      </c>
      <c r="I2216" s="81" t="s">
        <v>1134</v>
      </c>
      <c r="J2216" s="81" t="s">
        <v>224</v>
      </c>
      <c r="K2216" s="81" t="str">
        <f>IFERROR(__xludf.DUMMYFUNCTION("IF(OR(D2216="""",G2216=""""),"""",IFERROR(LET(
campo,XLOOKUP(TRIM(G2216),ARRAYFORMULA(TRIM('indice columnas'!$A$2:$A$100)),'indice columnas'!$B$2:$B$100,""""),
col,IFERROR(MATCH(campo,Referencia!$A$1:$AZ$1,0),0),
fila,IFERROR(MATCH(TO_TEXT(D2216),ARRAYFOR"&amp;"MULA(TO_TEXT(Referencia!$A$2:$A6238)),0),0),
IF(OR(campo="""",campo=""-""),""NO APLICA"",
IF(col=0,""REVISAR EQUIVALENCIA"",
IF(fila=0,""SKU NO ENCONTRADO"",
LET(
valor,INDEX(Referencia!$A$2:$AZ6238,fila,col),
IF(TRIM(TO_TEXT(valor))=TRIM(TO_TEXT(I2216)),"&amp;"
""OK"",
""NO COINCIDE. Valor verdadero: ""&amp;IF(valor="""",""[VACÍO]"",TO_TEXT(valor))
)
))))
),""ERROR EN FÓRMULA""))"),"REVISAR EQUIVALENCIA")</f>
        <v>REVISAR EQUIVALENCIA</v>
      </c>
    </row>
    <row r="2217">
      <c r="A2217" s="83" t="s">
        <v>4618</v>
      </c>
      <c r="B2217" s="83" t="s">
        <v>4619</v>
      </c>
      <c r="C2217" s="81" t="s">
        <v>4621</v>
      </c>
      <c r="D2217" s="83" t="s">
        <v>4830</v>
      </c>
      <c r="E2217" s="81" t="s">
        <v>3939</v>
      </c>
      <c r="F2217" s="84">
        <v>773.0</v>
      </c>
      <c r="G2217" s="81" t="s">
        <v>12</v>
      </c>
      <c r="H2217" s="81" t="s">
        <v>224</v>
      </c>
      <c r="I2217" s="81" t="s">
        <v>1549</v>
      </c>
      <c r="J2217" s="81" t="s">
        <v>224</v>
      </c>
      <c r="K2217" s="81" t="str">
        <f>IFERROR(__xludf.DUMMYFUNCTION("IF(OR(D2217="""",G2217=""""),"""",IFERROR(LET(
campo,XLOOKUP(TRIM(G2217),ARRAYFORMULA(TRIM('indice columnas'!$A$2:$A$100)),'indice columnas'!$B$2:$B$100,""""),
col,IFERROR(MATCH(campo,Referencia!$A$1:$AZ$1,0),0),
fila,IFERROR(MATCH(TO_TEXT(D2217),ARRAYFOR"&amp;"MULA(TO_TEXT(Referencia!$A$2:$A6238)),0),0),
IF(OR(campo="""",campo=""-""),""NO APLICA"",
IF(col=0,""REVISAR EQUIVALENCIA"",
IF(fila=0,""SKU NO ENCONTRADO"",
LET(
valor,INDEX(Referencia!$A$2:$AZ6238,fila,col),
IF(TRIM(TO_TEXT(valor))=TRIM(TO_TEXT(I2217)),"&amp;"
""OK"",
""NO COINCIDE. Valor verdadero: ""&amp;IF(valor="""",""[VACÍO]"",TO_TEXT(valor))
)
))))
),""ERROR EN FÓRMULA""))"),"OK")</f>
        <v>OK</v>
      </c>
    </row>
    <row r="2218">
      <c r="A2218" s="83" t="s">
        <v>4618</v>
      </c>
      <c r="B2218" s="83" t="s">
        <v>4619</v>
      </c>
      <c r="C2218" s="81" t="s">
        <v>4621</v>
      </c>
      <c r="D2218" s="83" t="s">
        <v>4830</v>
      </c>
      <c r="E2218" s="81" t="s">
        <v>3939</v>
      </c>
      <c r="F2218" s="84">
        <v>773.0</v>
      </c>
      <c r="G2218" s="81" t="s">
        <v>44</v>
      </c>
      <c r="H2218" s="81" t="s">
        <v>224</v>
      </c>
      <c r="I2218" s="81" t="s">
        <v>3909</v>
      </c>
      <c r="J2218" s="81" t="s">
        <v>4088</v>
      </c>
      <c r="K2218" s="81" t="str">
        <f>IFERROR(__xludf.DUMMYFUNCTION("IF(OR(D2218="""",G2218=""""),"""",IFERROR(LET(
campo,XLOOKUP(TRIM(G2218),ARRAYFORMULA(TRIM('indice columnas'!$A$2:$A$100)),'indice columnas'!$B$2:$B$100,""""),
col,IFERROR(MATCH(campo,Referencia!$A$1:$AZ$1,0),0),
fila,IFERROR(MATCH(TO_TEXT(D2218),ARRAYFOR"&amp;"MULA(TO_TEXT(Referencia!$A$2:$A6238)),0),0),
IF(OR(campo="""",campo=""-""),""NO APLICA"",
IF(col=0,""REVISAR EQUIVALENCIA"",
IF(fila=0,""SKU NO ENCONTRADO"",
LET(
valor,INDEX(Referencia!$A$2:$AZ6238,fila,col),
IF(TRIM(TO_TEXT(valor))=TRIM(TO_TEXT(I2218)),"&amp;"
""OK"",
""NO COINCIDE. Valor verdadero: ""&amp;IF(valor="""",""[VACÍO]"",TO_TEXT(valor))
)
))))
),""ERROR EN FÓRMULA""))"),"NO APLICA")</f>
        <v>NO APLICA</v>
      </c>
    </row>
    <row r="2219">
      <c r="A2219" s="83" t="s">
        <v>4618</v>
      </c>
      <c r="B2219" s="83" t="s">
        <v>4619</v>
      </c>
      <c r="C2219" s="81" t="s">
        <v>4621</v>
      </c>
      <c r="D2219" s="83" t="s">
        <v>4831</v>
      </c>
      <c r="E2219" s="81" t="s">
        <v>3942</v>
      </c>
      <c r="F2219" s="84">
        <v>774.0</v>
      </c>
      <c r="G2219" s="81" t="s">
        <v>7</v>
      </c>
      <c r="H2219" s="81" t="s">
        <v>3623</v>
      </c>
      <c r="I2219" s="81" t="s">
        <v>1134</v>
      </c>
      <c r="J2219" s="81" t="s">
        <v>224</v>
      </c>
      <c r="K2219" s="81" t="str">
        <f>IFERROR(__xludf.DUMMYFUNCTION("IF(OR(D2219="""",G2219=""""),"""",IFERROR(LET(
campo,XLOOKUP(TRIM(G2219),ARRAYFORMULA(TRIM('indice columnas'!$A$2:$A$100)),'indice columnas'!$B$2:$B$100,""""),
col,IFERROR(MATCH(campo,Referencia!$A$1:$AZ$1,0),0),
fila,IFERROR(MATCH(TO_TEXT(D2219),ARRAYFOR"&amp;"MULA(TO_TEXT(Referencia!$A$2:$A6238)),0),0),
IF(OR(campo="""",campo=""-""),""NO APLICA"",
IF(col=0,""REVISAR EQUIVALENCIA"",
IF(fila=0,""SKU NO ENCONTRADO"",
LET(
valor,INDEX(Referencia!$A$2:$AZ6238,fila,col),
IF(TRIM(TO_TEXT(valor))=TRIM(TO_TEXT(I2219)),"&amp;"
""OK"",
""NO COINCIDE. Valor verdadero: ""&amp;IF(valor="""",""[VACÍO]"",TO_TEXT(valor))
)
))))
),""ERROR EN FÓRMULA""))"),"REVISAR EQUIVALENCIA")</f>
        <v>REVISAR EQUIVALENCIA</v>
      </c>
    </row>
    <row r="2220">
      <c r="A2220" s="83" t="s">
        <v>4618</v>
      </c>
      <c r="B2220" s="83" t="s">
        <v>4619</v>
      </c>
      <c r="C2220" s="81" t="s">
        <v>4621</v>
      </c>
      <c r="D2220" s="83" t="s">
        <v>4831</v>
      </c>
      <c r="E2220" s="81" t="s">
        <v>3942</v>
      </c>
      <c r="F2220" s="84">
        <v>774.0</v>
      </c>
      <c r="G2220" s="81" t="s">
        <v>12</v>
      </c>
      <c r="H2220" s="81" t="s">
        <v>224</v>
      </c>
      <c r="I2220" s="81" t="s">
        <v>1549</v>
      </c>
      <c r="J2220" s="81" t="s">
        <v>224</v>
      </c>
      <c r="K2220" s="81" t="str">
        <f>IFERROR(__xludf.DUMMYFUNCTION("IF(OR(D2220="""",G2220=""""),"""",IFERROR(LET(
campo,XLOOKUP(TRIM(G2220),ARRAYFORMULA(TRIM('indice columnas'!$A$2:$A$100)),'indice columnas'!$B$2:$B$100,""""),
col,IFERROR(MATCH(campo,Referencia!$A$1:$AZ$1,0),0),
fila,IFERROR(MATCH(TO_TEXT(D2220),ARRAYFOR"&amp;"MULA(TO_TEXT(Referencia!$A$2:$A6238)),0),0),
IF(OR(campo="""",campo=""-""),""NO APLICA"",
IF(col=0,""REVISAR EQUIVALENCIA"",
IF(fila=0,""SKU NO ENCONTRADO"",
LET(
valor,INDEX(Referencia!$A$2:$AZ6238,fila,col),
IF(TRIM(TO_TEXT(valor))=TRIM(TO_TEXT(I2220)),"&amp;"
""OK"",
""NO COINCIDE. Valor verdadero: ""&amp;IF(valor="""",""[VACÍO]"",TO_TEXT(valor))
)
))))
),""ERROR EN FÓRMULA""))"),"OK")</f>
        <v>OK</v>
      </c>
    </row>
    <row r="2221">
      <c r="A2221" s="83" t="s">
        <v>4618</v>
      </c>
      <c r="B2221" s="83" t="s">
        <v>4619</v>
      </c>
      <c r="C2221" s="81" t="s">
        <v>4621</v>
      </c>
      <c r="D2221" s="83" t="s">
        <v>4831</v>
      </c>
      <c r="E2221" s="81" t="s">
        <v>3942</v>
      </c>
      <c r="F2221" s="84">
        <v>774.0</v>
      </c>
      <c r="G2221" s="81" t="s">
        <v>44</v>
      </c>
      <c r="H2221" s="81" t="s">
        <v>224</v>
      </c>
      <c r="I2221" s="81" t="s">
        <v>3909</v>
      </c>
      <c r="J2221" s="81" t="s">
        <v>4088</v>
      </c>
      <c r="K2221" s="81" t="str">
        <f>IFERROR(__xludf.DUMMYFUNCTION("IF(OR(D2221="""",G2221=""""),"""",IFERROR(LET(
campo,XLOOKUP(TRIM(G2221),ARRAYFORMULA(TRIM('indice columnas'!$A$2:$A$100)),'indice columnas'!$B$2:$B$100,""""),
col,IFERROR(MATCH(campo,Referencia!$A$1:$AZ$1,0),0),
fila,IFERROR(MATCH(TO_TEXT(D2221),ARRAYFOR"&amp;"MULA(TO_TEXT(Referencia!$A$2:$A6238)),0),0),
IF(OR(campo="""",campo=""-""),""NO APLICA"",
IF(col=0,""REVISAR EQUIVALENCIA"",
IF(fila=0,""SKU NO ENCONTRADO"",
LET(
valor,INDEX(Referencia!$A$2:$AZ6238,fila,col),
IF(TRIM(TO_TEXT(valor))=TRIM(TO_TEXT(I2221)),"&amp;"
""OK"",
""NO COINCIDE. Valor verdadero: ""&amp;IF(valor="""",""[VACÍO]"",TO_TEXT(valor))
)
))))
),""ERROR EN FÓRMULA""))"),"NO APLICA")</f>
        <v>NO APLICA</v>
      </c>
    </row>
    <row r="2222">
      <c r="A2222" s="83" t="s">
        <v>4618</v>
      </c>
      <c r="B2222" s="83" t="s">
        <v>4619</v>
      </c>
      <c r="C2222" s="81" t="s">
        <v>4621</v>
      </c>
      <c r="D2222" s="83" t="s">
        <v>4832</v>
      </c>
      <c r="E2222" s="81" t="s">
        <v>3945</v>
      </c>
      <c r="F2222" s="84">
        <v>775.0</v>
      </c>
      <c r="G2222" s="81" t="s">
        <v>44</v>
      </c>
      <c r="H2222" s="81" t="s">
        <v>224</v>
      </c>
      <c r="I2222" s="81" t="s">
        <v>3945</v>
      </c>
      <c r="J2222" s="81" t="s">
        <v>4088</v>
      </c>
      <c r="K2222" s="81" t="str">
        <f>IFERROR(__xludf.DUMMYFUNCTION("IF(OR(D2222="""",G2222=""""),"""",IFERROR(LET(
campo,XLOOKUP(TRIM(G2222),ARRAYFORMULA(TRIM('indice columnas'!$A$2:$A$100)),'indice columnas'!$B$2:$B$100,""""),
col,IFERROR(MATCH(campo,Referencia!$A$1:$AZ$1,0),0),
fila,IFERROR(MATCH(TO_TEXT(D2222),ARRAYFOR"&amp;"MULA(TO_TEXT(Referencia!$A$2:$A6238)),0),0),
IF(OR(campo="""",campo=""-""),""NO APLICA"",
IF(col=0,""REVISAR EQUIVALENCIA"",
IF(fila=0,""SKU NO ENCONTRADO"",
LET(
valor,INDEX(Referencia!$A$2:$AZ6238,fila,col),
IF(TRIM(TO_TEXT(valor))=TRIM(TO_TEXT(I2222)),"&amp;"
""OK"",
""NO COINCIDE. Valor verdadero: ""&amp;IF(valor="""",""[VACÍO]"",TO_TEXT(valor))
)
))))
),""ERROR EN FÓRMULA""))"),"NO APLICA")</f>
        <v>NO APLICA</v>
      </c>
    </row>
    <row r="2223">
      <c r="A2223" s="83" t="s">
        <v>4618</v>
      </c>
      <c r="B2223" s="83" t="s">
        <v>4619</v>
      </c>
      <c r="C2223" s="81" t="s">
        <v>4621</v>
      </c>
      <c r="D2223" s="83" t="s">
        <v>4832</v>
      </c>
      <c r="E2223" s="81" t="s">
        <v>3955</v>
      </c>
      <c r="F2223" s="84">
        <v>776.0</v>
      </c>
      <c r="G2223" s="81" t="s">
        <v>7</v>
      </c>
      <c r="H2223" s="81" t="s">
        <v>3623</v>
      </c>
      <c r="I2223" s="81" t="s">
        <v>53</v>
      </c>
      <c r="J2223" s="81" t="s">
        <v>224</v>
      </c>
      <c r="K2223" s="81" t="str">
        <f>IFERROR(__xludf.DUMMYFUNCTION("IF(OR(D2223="""",G2223=""""),"""",IFERROR(LET(
campo,XLOOKUP(TRIM(G2223),ARRAYFORMULA(TRIM('indice columnas'!$A$2:$A$100)),'indice columnas'!$B$2:$B$100,""""),
col,IFERROR(MATCH(campo,Referencia!$A$1:$AZ$1,0),0),
fila,IFERROR(MATCH(TO_TEXT(D2223),ARRAYFOR"&amp;"MULA(TO_TEXT(Referencia!$A$2:$A6238)),0),0),
IF(OR(campo="""",campo=""-""),""NO APLICA"",
IF(col=0,""REVISAR EQUIVALENCIA"",
IF(fila=0,""SKU NO ENCONTRADO"",
LET(
valor,INDEX(Referencia!$A$2:$AZ6238,fila,col),
IF(TRIM(TO_TEXT(valor))=TRIM(TO_TEXT(I2223)),"&amp;"
""OK"",
""NO COINCIDE. Valor verdadero: ""&amp;IF(valor="""",""[VACÍO]"",TO_TEXT(valor))
)
))))
),""ERROR EN FÓRMULA""))"),"REVISAR EQUIVALENCIA")</f>
        <v>REVISAR EQUIVALENCIA</v>
      </c>
    </row>
    <row r="2224">
      <c r="A2224" s="83" t="s">
        <v>4618</v>
      </c>
      <c r="B2224" s="83" t="s">
        <v>4619</v>
      </c>
      <c r="C2224" s="81" t="s">
        <v>4621</v>
      </c>
      <c r="D2224" s="83" t="s">
        <v>4832</v>
      </c>
      <c r="E2224" s="81" t="s">
        <v>3955</v>
      </c>
      <c r="F2224" s="84">
        <v>776.0</v>
      </c>
      <c r="G2224" s="81" t="s">
        <v>44</v>
      </c>
      <c r="H2224" s="81" t="s">
        <v>224</v>
      </c>
      <c r="I2224" s="81" t="s">
        <v>3945</v>
      </c>
      <c r="J2224" s="81" t="s">
        <v>4088</v>
      </c>
      <c r="K2224" s="81" t="str">
        <f>IFERROR(__xludf.DUMMYFUNCTION("IF(OR(D2224="""",G2224=""""),"""",IFERROR(LET(
campo,XLOOKUP(TRIM(G2224),ARRAYFORMULA(TRIM('indice columnas'!$A$2:$A$100)),'indice columnas'!$B$2:$B$100,""""),
col,IFERROR(MATCH(campo,Referencia!$A$1:$AZ$1,0),0),
fila,IFERROR(MATCH(TO_TEXT(D2224),ARRAYFOR"&amp;"MULA(TO_TEXT(Referencia!$A$2:$A6238)),0),0),
IF(OR(campo="""",campo=""-""),""NO APLICA"",
IF(col=0,""REVISAR EQUIVALENCIA"",
IF(fila=0,""SKU NO ENCONTRADO"",
LET(
valor,INDEX(Referencia!$A$2:$AZ6238,fila,col),
IF(TRIM(TO_TEXT(valor))=TRIM(TO_TEXT(I2224)),"&amp;"
""OK"",
""NO COINCIDE. Valor verdadero: ""&amp;IF(valor="""",""[VACÍO]"",TO_TEXT(valor))
)
))))
),""ERROR EN FÓRMULA""))"),"NO APLICA")</f>
        <v>NO APLICA</v>
      </c>
    </row>
    <row r="2225">
      <c r="A2225" s="83" t="s">
        <v>4618</v>
      </c>
      <c r="B2225" s="83" t="s">
        <v>4619</v>
      </c>
      <c r="C2225" s="81" t="s">
        <v>4621</v>
      </c>
      <c r="D2225" s="83" t="s">
        <v>4833</v>
      </c>
      <c r="E2225" s="81" t="s">
        <v>3956</v>
      </c>
      <c r="F2225" s="84">
        <v>777.0</v>
      </c>
      <c r="G2225" s="81" t="s">
        <v>7</v>
      </c>
      <c r="H2225" s="81" t="s">
        <v>3623</v>
      </c>
      <c r="I2225" s="81" t="s">
        <v>53</v>
      </c>
      <c r="J2225" s="81" t="s">
        <v>224</v>
      </c>
      <c r="K2225" s="81" t="str">
        <f>IFERROR(__xludf.DUMMYFUNCTION("IF(OR(D2225="""",G2225=""""),"""",IFERROR(LET(
campo,XLOOKUP(TRIM(G2225),ARRAYFORMULA(TRIM('indice columnas'!$A$2:$A$100)),'indice columnas'!$B$2:$B$100,""""),
col,IFERROR(MATCH(campo,Referencia!$A$1:$AZ$1,0),0),
fila,IFERROR(MATCH(TO_TEXT(D2225),ARRAYFOR"&amp;"MULA(TO_TEXT(Referencia!$A$2:$A6238)),0),0),
IF(OR(campo="""",campo=""-""),""NO APLICA"",
IF(col=0,""REVISAR EQUIVALENCIA"",
IF(fila=0,""SKU NO ENCONTRADO"",
LET(
valor,INDEX(Referencia!$A$2:$AZ6238,fila,col),
IF(TRIM(TO_TEXT(valor))=TRIM(TO_TEXT(I2225)),"&amp;"
""OK"",
""NO COINCIDE. Valor verdadero: ""&amp;IF(valor="""",""[VACÍO]"",TO_TEXT(valor))
)
))))
),""ERROR EN FÓRMULA""))"),"REVISAR EQUIVALENCIA")</f>
        <v>REVISAR EQUIVALENCIA</v>
      </c>
    </row>
    <row r="2226">
      <c r="A2226" s="83" t="s">
        <v>4618</v>
      </c>
      <c r="B2226" s="83" t="s">
        <v>4619</v>
      </c>
      <c r="C2226" s="81" t="s">
        <v>4621</v>
      </c>
      <c r="D2226" s="83" t="s">
        <v>4833</v>
      </c>
      <c r="E2226" s="81" t="s">
        <v>3956</v>
      </c>
      <c r="F2226" s="84">
        <v>777.0</v>
      </c>
      <c r="G2226" s="81" t="s">
        <v>44</v>
      </c>
      <c r="H2226" s="81" t="s">
        <v>224</v>
      </c>
      <c r="I2226" s="81" t="s">
        <v>3945</v>
      </c>
      <c r="J2226" s="81" t="s">
        <v>4088</v>
      </c>
      <c r="K2226" s="81" t="str">
        <f>IFERROR(__xludf.DUMMYFUNCTION("IF(OR(D2226="""",G2226=""""),"""",IFERROR(LET(
campo,XLOOKUP(TRIM(G2226),ARRAYFORMULA(TRIM('indice columnas'!$A$2:$A$100)),'indice columnas'!$B$2:$B$100,""""),
col,IFERROR(MATCH(campo,Referencia!$A$1:$AZ$1,0),0),
fila,IFERROR(MATCH(TO_TEXT(D2226),ARRAYFOR"&amp;"MULA(TO_TEXT(Referencia!$A$2:$A6238)),0),0),
IF(OR(campo="""",campo=""-""),""NO APLICA"",
IF(col=0,""REVISAR EQUIVALENCIA"",
IF(fila=0,""SKU NO ENCONTRADO"",
LET(
valor,INDEX(Referencia!$A$2:$AZ6238,fila,col),
IF(TRIM(TO_TEXT(valor))=TRIM(TO_TEXT(I2226)),"&amp;"
""OK"",
""NO COINCIDE. Valor verdadero: ""&amp;IF(valor="""",""[VACÍO]"",TO_TEXT(valor))
)
))))
),""ERROR EN FÓRMULA""))"),"NO APLICA")</f>
        <v>NO APLICA</v>
      </c>
    </row>
    <row r="2227">
      <c r="A2227" s="83" t="s">
        <v>4618</v>
      </c>
      <c r="B2227" s="83" t="s">
        <v>4619</v>
      </c>
      <c r="C2227" s="81" t="s">
        <v>4621</v>
      </c>
      <c r="D2227" s="83" t="s">
        <v>4834</v>
      </c>
      <c r="E2227" s="81" t="s">
        <v>3959</v>
      </c>
      <c r="F2227" s="84">
        <v>778.0</v>
      </c>
      <c r="G2227" s="81" t="s">
        <v>7</v>
      </c>
      <c r="H2227" s="81" t="s">
        <v>3623</v>
      </c>
      <c r="I2227" s="81" t="s">
        <v>53</v>
      </c>
      <c r="J2227" s="81" t="s">
        <v>224</v>
      </c>
      <c r="K2227" s="81" t="str">
        <f>IFERROR(__xludf.DUMMYFUNCTION("IF(OR(D2227="""",G2227=""""),"""",IFERROR(LET(
campo,XLOOKUP(TRIM(G2227),ARRAYFORMULA(TRIM('indice columnas'!$A$2:$A$100)),'indice columnas'!$B$2:$B$100,""""),
col,IFERROR(MATCH(campo,Referencia!$A$1:$AZ$1,0),0),
fila,IFERROR(MATCH(TO_TEXT(D2227),ARRAYFOR"&amp;"MULA(TO_TEXT(Referencia!$A$2:$A6238)),0),0),
IF(OR(campo="""",campo=""-""),""NO APLICA"",
IF(col=0,""REVISAR EQUIVALENCIA"",
IF(fila=0,""SKU NO ENCONTRADO"",
LET(
valor,INDEX(Referencia!$A$2:$AZ6238,fila,col),
IF(TRIM(TO_TEXT(valor))=TRIM(TO_TEXT(I2227)),"&amp;"
""OK"",
""NO COINCIDE. Valor verdadero: ""&amp;IF(valor="""",""[VACÍO]"",TO_TEXT(valor))
)
))))
),""ERROR EN FÓRMULA""))"),"REVISAR EQUIVALENCIA")</f>
        <v>REVISAR EQUIVALENCIA</v>
      </c>
    </row>
    <row r="2228">
      <c r="A2228" s="83" t="s">
        <v>4618</v>
      </c>
      <c r="B2228" s="83" t="s">
        <v>4619</v>
      </c>
      <c r="C2228" s="81" t="s">
        <v>4621</v>
      </c>
      <c r="D2228" s="83" t="s">
        <v>4834</v>
      </c>
      <c r="E2228" s="81" t="s">
        <v>3959</v>
      </c>
      <c r="F2228" s="84">
        <v>778.0</v>
      </c>
      <c r="G2228" s="81" t="s">
        <v>44</v>
      </c>
      <c r="H2228" s="81" t="s">
        <v>224</v>
      </c>
      <c r="I2228" s="81" t="s">
        <v>3945</v>
      </c>
      <c r="J2228" s="81" t="s">
        <v>4088</v>
      </c>
      <c r="K2228" s="81" t="str">
        <f>IFERROR(__xludf.DUMMYFUNCTION("IF(OR(D2228="""",G2228=""""),"""",IFERROR(LET(
campo,XLOOKUP(TRIM(G2228),ARRAYFORMULA(TRIM('indice columnas'!$A$2:$A$100)),'indice columnas'!$B$2:$B$100,""""),
col,IFERROR(MATCH(campo,Referencia!$A$1:$AZ$1,0),0),
fila,IFERROR(MATCH(TO_TEXT(D2228),ARRAYFOR"&amp;"MULA(TO_TEXT(Referencia!$A$2:$A6238)),0),0),
IF(OR(campo="""",campo=""-""),""NO APLICA"",
IF(col=0,""REVISAR EQUIVALENCIA"",
IF(fila=0,""SKU NO ENCONTRADO"",
LET(
valor,INDEX(Referencia!$A$2:$AZ6238,fila,col),
IF(TRIM(TO_TEXT(valor))=TRIM(TO_TEXT(I2228)),"&amp;"
""OK"",
""NO COINCIDE. Valor verdadero: ""&amp;IF(valor="""",""[VACÍO]"",TO_TEXT(valor))
)
))))
),""ERROR EN FÓRMULA""))"),"NO APLICA")</f>
        <v>NO APLICA</v>
      </c>
    </row>
    <row r="2229">
      <c r="A2229" s="83" t="s">
        <v>4618</v>
      </c>
      <c r="B2229" s="83" t="s">
        <v>4619</v>
      </c>
      <c r="C2229" s="81" t="s">
        <v>4621</v>
      </c>
      <c r="D2229" s="83" t="s">
        <v>4835</v>
      </c>
      <c r="E2229" s="81" t="s">
        <v>3962</v>
      </c>
      <c r="F2229" s="84">
        <v>779.0</v>
      </c>
      <c r="G2229" s="81" t="s">
        <v>7</v>
      </c>
      <c r="H2229" s="81" t="s">
        <v>4812</v>
      </c>
      <c r="I2229" s="81" t="s">
        <v>4008</v>
      </c>
      <c r="J2229" s="81" t="s">
        <v>224</v>
      </c>
      <c r="K2229" s="81" t="str">
        <f>IFERROR(__xludf.DUMMYFUNCTION("IF(OR(D2229="""",G2229=""""),"""",IFERROR(LET(
campo,XLOOKUP(TRIM(G2229),ARRAYFORMULA(TRIM('indice columnas'!$A$2:$A$100)),'indice columnas'!$B$2:$B$100,""""),
col,IFERROR(MATCH(campo,Referencia!$A$1:$AZ$1,0),0),
fila,IFERROR(MATCH(TO_TEXT(D2229),ARRAYFOR"&amp;"MULA(TO_TEXT(Referencia!$A$2:$A6238)),0),0),
IF(OR(campo="""",campo=""-""),""NO APLICA"",
IF(col=0,""REVISAR EQUIVALENCIA"",
IF(fila=0,""SKU NO ENCONTRADO"",
LET(
valor,INDEX(Referencia!$A$2:$AZ6238,fila,col),
IF(TRIM(TO_TEXT(valor))=TRIM(TO_TEXT(I2229)),"&amp;"
""OK"",
""NO COINCIDE. Valor verdadero: ""&amp;IF(valor="""",""[VACÍO]"",TO_TEXT(valor))
)
))))
),""ERROR EN FÓRMULA""))"),"REVISAR EQUIVALENCIA")</f>
        <v>REVISAR EQUIVALENCIA</v>
      </c>
    </row>
    <row r="2230">
      <c r="A2230" s="83" t="s">
        <v>4618</v>
      </c>
      <c r="B2230" s="83" t="s">
        <v>4619</v>
      </c>
      <c r="C2230" s="81" t="s">
        <v>4621</v>
      </c>
      <c r="D2230" s="83" t="s">
        <v>4835</v>
      </c>
      <c r="E2230" s="81" t="s">
        <v>3962</v>
      </c>
      <c r="F2230" s="84">
        <v>779.0</v>
      </c>
      <c r="G2230" s="81" t="s">
        <v>44</v>
      </c>
      <c r="H2230" s="81" t="s">
        <v>224</v>
      </c>
      <c r="I2230" s="81" t="s">
        <v>3945</v>
      </c>
      <c r="J2230" s="81" t="s">
        <v>4088</v>
      </c>
      <c r="K2230" s="81" t="str">
        <f>IFERROR(__xludf.DUMMYFUNCTION("IF(OR(D2230="""",G2230=""""),"""",IFERROR(LET(
campo,XLOOKUP(TRIM(G2230),ARRAYFORMULA(TRIM('indice columnas'!$A$2:$A$100)),'indice columnas'!$B$2:$B$100,""""),
col,IFERROR(MATCH(campo,Referencia!$A$1:$AZ$1,0),0),
fila,IFERROR(MATCH(TO_TEXT(D2230),ARRAYFOR"&amp;"MULA(TO_TEXT(Referencia!$A$2:$A6238)),0),0),
IF(OR(campo="""",campo=""-""),""NO APLICA"",
IF(col=0,""REVISAR EQUIVALENCIA"",
IF(fila=0,""SKU NO ENCONTRADO"",
LET(
valor,INDEX(Referencia!$A$2:$AZ6238,fila,col),
IF(TRIM(TO_TEXT(valor))=TRIM(TO_TEXT(I2230)),"&amp;"
""OK"",
""NO COINCIDE. Valor verdadero: ""&amp;IF(valor="""",""[VACÍO]"",TO_TEXT(valor))
)
))))
),""ERROR EN FÓRMULA""))"),"NO APLICA")</f>
        <v>NO APLICA</v>
      </c>
    </row>
    <row r="2231">
      <c r="A2231" s="83" t="s">
        <v>4618</v>
      </c>
      <c r="B2231" s="83" t="s">
        <v>4619</v>
      </c>
      <c r="C2231" s="81" t="s">
        <v>4621</v>
      </c>
      <c r="D2231" s="83" t="s">
        <v>4836</v>
      </c>
      <c r="E2231" s="81" t="s">
        <v>3965</v>
      </c>
      <c r="F2231" s="84">
        <v>780.0</v>
      </c>
      <c r="G2231" s="81" t="s">
        <v>7</v>
      </c>
      <c r="H2231" s="81" t="s">
        <v>4812</v>
      </c>
      <c r="I2231" s="81" t="s">
        <v>4008</v>
      </c>
      <c r="J2231" s="81" t="s">
        <v>224</v>
      </c>
      <c r="K2231" s="81" t="str">
        <f>IFERROR(__xludf.DUMMYFUNCTION("IF(OR(D2231="""",G2231=""""),"""",IFERROR(LET(
campo,XLOOKUP(TRIM(G2231),ARRAYFORMULA(TRIM('indice columnas'!$A$2:$A$100)),'indice columnas'!$B$2:$B$100,""""),
col,IFERROR(MATCH(campo,Referencia!$A$1:$AZ$1,0),0),
fila,IFERROR(MATCH(TO_TEXT(D2231),ARRAYFOR"&amp;"MULA(TO_TEXT(Referencia!$A$2:$A6238)),0),0),
IF(OR(campo="""",campo=""-""),""NO APLICA"",
IF(col=0,""REVISAR EQUIVALENCIA"",
IF(fila=0,""SKU NO ENCONTRADO"",
LET(
valor,INDEX(Referencia!$A$2:$AZ6238,fila,col),
IF(TRIM(TO_TEXT(valor))=TRIM(TO_TEXT(I2231)),"&amp;"
""OK"",
""NO COINCIDE. Valor verdadero: ""&amp;IF(valor="""",""[VACÍO]"",TO_TEXT(valor))
)
))))
),""ERROR EN FÓRMULA""))"),"REVISAR EQUIVALENCIA")</f>
        <v>REVISAR EQUIVALENCIA</v>
      </c>
    </row>
    <row r="2232">
      <c r="A2232" s="83" t="s">
        <v>4618</v>
      </c>
      <c r="B2232" s="83" t="s">
        <v>4619</v>
      </c>
      <c r="C2232" s="81" t="s">
        <v>4621</v>
      </c>
      <c r="D2232" s="83" t="s">
        <v>4836</v>
      </c>
      <c r="E2232" s="81" t="s">
        <v>3965</v>
      </c>
      <c r="F2232" s="84">
        <v>780.0</v>
      </c>
      <c r="G2232" s="81" t="s">
        <v>44</v>
      </c>
      <c r="H2232" s="81" t="s">
        <v>224</v>
      </c>
      <c r="I2232" s="81" t="s">
        <v>3945</v>
      </c>
      <c r="J2232" s="81" t="s">
        <v>4088</v>
      </c>
      <c r="K2232" s="81" t="str">
        <f>IFERROR(__xludf.DUMMYFUNCTION("IF(OR(D2232="""",G2232=""""),"""",IFERROR(LET(
campo,XLOOKUP(TRIM(G2232),ARRAYFORMULA(TRIM('indice columnas'!$A$2:$A$100)),'indice columnas'!$B$2:$B$100,""""),
col,IFERROR(MATCH(campo,Referencia!$A$1:$AZ$1,0),0),
fila,IFERROR(MATCH(TO_TEXT(D2232),ARRAYFOR"&amp;"MULA(TO_TEXT(Referencia!$A$2:$A6238)),0),0),
IF(OR(campo="""",campo=""-""),""NO APLICA"",
IF(col=0,""REVISAR EQUIVALENCIA"",
IF(fila=0,""SKU NO ENCONTRADO"",
LET(
valor,INDEX(Referencia!$A$2:$AZ6238,fila,col),
IF(TRIM(TO_TEXT(valor))=TRIM(TO_TEXT(I2232)),"&amp;"
""OK"",
""NO COINCIDE. Valor verdadero: ""&amp;IF(valor="""",""[VACÍO]"",TO_TEXT(valor))
)
))))
),""ERROR EN FÓRMULA""))"),"NO APLICA")</f>
        <v>NO APLICA</v>
      </c>
    </row>
    <row r="2233">
      <c r="A2233" s="83" t="s">
        <v>4618</v>
      </c>
      <c r="B2233" s="83" t="s">
        <v>4619</v>
      </c>
      <c r="C2233" s="81" t="s">
        <v>4621</v>
      </c>
      <c r="D2233" s="83" t="s">
        <v>4837</v>
      </c>
      <c r="E2233" s="81" t="s">
        <v>3968</v>
      </c>
      <c r="F2233" s="84">
        <v>781.0</v>
      </c>
      <c r="G2233" s="81" t="s">
        <v>7</v>
      </c>
      <c r="H2233" s="81" t="s">
        <v>4812</v>
      </c>
      <c r="I2233" s="81" t="s">
        <v>4008</v>
      </c>
      <c r="J2233" s="81" t="s">
        <v>224</v>
      </c>
      <c r="K2233" s="81" t="str">
        <f>IFERROR(__xludf.DUMMYFUNCTION("IF(OR(D2233="""",G2233=""""),"""",IFERROR(LET(
campo,XLOOKUP(TRIM(G2233),ARRAYFORMULA(TRIM('indice columnas'!$A$2:$A$100)),'indice columnas'!$B$2:$B$100,""""),
col,IFERROR(MATCH(campo,Referencia!$A$1:$AZ$1,0),0),
fila,IFERROR(MATCH(TO_TEXT(D2233),ARRAYFOR"&amp;"MULA(TO_TEXT(Referencia!$A$2:$A6238)),0),0),
IF(OR(campo="""",campo=""-""),""NO APLICA"",
IF(col=0,""REVISAR EQUIVALENCIA"",
IF(fila=0,""SKU NO ENCONTRADO"",
LET(
valor,INDEX(Referencia!$A$2:$AZ6238,fila,col),
IF(TRIM(TO_TEXT(valor))=TRIM(TO_TEXT(I2233)),"&amp;"
""OK"",
""NO COINCIDE. Valor verdadero: ""&amp;IF(valor="""",""[VACÍO]"",TO_TEXT(valor))
)
))))
),""ERROR EN FÓRMULA""))"),"REVISAR EQUIVALENCIA")</f>
        <v>REVISAR EQUIVALENCIA</v>
      </c>
    </row>
    <row r="2234">
      <c r="A2234" s="83" t="s">
        <v>4618</v>
      </c>
      <c r="B2234" s="83" t="s">
        <v>4619</v>
      </c>
      <c r="C2234" s="81" t="s">
        <v>4621</v>
      </c>
      <c r="D2234" s="83" t="s">
        <v>4837</v>
      </c>
      <c r="E2234" s="81" t="s">
        <v>3968</v>
      </c>
      <c r="F2234" s="84">
        <v>781.0</v>
      </c>
      <c r="G2234" s="81" t="s">
        <v>44</v>
      </c>
      <c r="H2234" s="81" t="s">
        <v>224</v>
      </c>
      <c r="I2234" s="81" t="s">
        <v>3945</v>
      </c>
      <c r="J2234" s="81" t="s">
        <v>4088</v>
      </c>
      <c r="K2234" s="81" t="str">
        <f>IFERROR(__xludf.DUMMYFUNCTION("IF(OR(D2234="""",G2234=""""),"""",IFERROR(LET(
campo,XLOOKUP(TRIM(G2234),ARRAYFORMULA(TRIM('indice columnas'!$A$2:$A$100)),'indice columnas'!$B$2:$B$100,""""),
col,IFERROR(MATCH(campo,Referencia!$A$1:$AZ$1,0),0),
fila,IFERROR(MATCH(TO_TEXT(D2234),ARRAYFOR"&amp;"MULA(TO_TEXT(Referencia!$A$2:$A6238)),0),0),
IF(OR(campo="""",campo=""-""),""NO APLICA"",
IF(col=0,""REVISAR EQUIVALENCIA"",
IF(fila=0,""SKU NO ENCONTRADO"",
LET(
valor,INDEX(Referencia!$A$2:$AZ6238,fila,col),
IF(TRIM(TO_TEXT(valor))=TRIM(TO_TEXT(I2234)),"&amp;"
""OK"",
""NO COINCIDE. Valor verdadero: ""&amp;IF(valor="""",""[VACÍO]"",TO_TEXT(valor))
)
))))
),""ERROR EN FÓRMULA""))"),"NO APLICA")</f>
        <v>NO APLICA</v>
      </c>
    </row>
    <row r="2235">
      <c r="A2235" s="83" t="s">
        <v>4618</v>
      </c>
      <c r="B2235" s="83" t="s">
        <v>4619</v>
      </c>
      <c r="C2235" s="81" t="s">
        <v>4621</v>
      </c>
      <c r="D2235" s="83" t="s">
        <v>4838</v>
      </c>
      <c r="E2235" s="81" t="s">
        <v>3971</v>
      </c>
      <c r="F2235" s="84">
        <v>782.0</v>
      </c>
      <c r="G2235" s="81" t="s">
        <v>44</v>
      </c>
      <c r="H2235" s="81" t="s">
        <v>224</v>
      </c>
      <c r="I2235" s="81" t="s">
        <v>3971</v>
      </c>
      <c r="J2235" s="81" t="s">
        <v>4088</v>
      </c>
      <c r="K2235" s="81" t="str">
        <f>IFERROR(__xludf.DUMMYFUNCTION("IF(OR(D2235="""",G2235=""""),"""",IFERROR(LET(
campo,XLOOKUP(TRIM(G2235),ARRAYFORMULA(TRIM('indice columnas'!$A$2:$A$100)),'indice columnas'!$B$2:$B$100,""""),
col,IFERROR(MATCH(campo,Referencia!$A$1:$AZ$1,0),0),
fila,IFERROR(MATCH(TO_TEXT(D2235),ARRAYFOR"&amp;"MULA(TO_TEXT(Referencia!$A$2:$A6238)),0),0),
IF(OR(campo="""",campo=""-""),""NO APLICA"",
IF(col=0,""REVISAR EQUIVALENCIA"",
IF(fila=0,""SKU NO ENCONTRADO"",
LET(
valor,INDEX(Referencia!$A$2:$AZ6238,fila,col),
IF(TRIM(TO_TEXT(valor))=TRIM(TO_TEXT(I2235)),"&amp;"
""OK"",
""NO COINCIDE. Valor verdadero: ""&amp;IF(valor="""",""[VACÍO]"",TO_TEXT(valor))
)
))))
),""ERROR EN FÓRMULA""))"),"NO APLICA")</f>
        <v>NO APLICA</v>
      </c>
    </row>
    <row r="2236">
      <c r="A2236" s="83" t="s">
        <v>4618</v>
      </c>
      <c r="B2236" s="83" t="s">
        <v>4619</v>
      </c>
      <c r="C2236" s="81" t="s">
        <v>4621</v>
      </c>
      <c r="D2236" s="83" t="s">
        <v>4838</v>
      </c>
      <c r="E2236" s="81" t="s">
        <v>3981</v>
      </c>
      <c r="F2236" s="84">
        <v>783.0</v>
      </c>
      <c r="G2236" s="81" t="s">
        <v>7</v>
      </c>
      <c r="H2236" s="81" t="s">
        <v>3623</v>
      </c>
      <c r="I2236" s="81" t="s">
        <v>53</v>
      </c>
      <c r="J2236" s="81" t="s">
        <v>224</v>
      </c>
      <c r="K2236" s="81" t="str">
        <f>IFERROR(__xludf.DUMMYFUNCTION("IF(OR(D2236="""",G2236=""""),"""",IFERROR(LET(
campo,XLOOKUP(TRIM(G2236),ARRAYFORMULA(TRIM('indice columnas'!$A$2:$A$100)),'indice columnas'!$B$2:$B$100,""""),
col,IFERROR(MATCH(campo,Referencia!$A$1:$AZ$1,0),0),
fila,IFERROR(MATCH(TO_TEXT(D2236),ARRAYFOR"&amp;"MULA(TO_TEXT(Referencia!$A$2:$A6238)),0),0),
IF(OR(campo="""",campo=""-""),""NO APLICA"",
IF(col=0,""REVISAR EQUIVALENCIA"",
IF(fila=0,""SKU NO ENCONTRADO"",
LET(
valor,INDEX(Referencia!$A$2:$AZ6238,fila,col),
IF(TRIM(TO_TEXT(valor))=TRIM(TO_TEXT(I2236)),"&amp;"
""OK"",
""NO COINCIDE. Valor verdadero: ""&amp;IF(valor="""",""[VACÍO]"",TO_TEXT(valor))
)
))))
),""ERROR EN FÓRMULA""))"),"REVISAR EQUIVALENCIA")</f>
        <v>REVISAR EQUIVALENCIA</v>
      </c>
    </row>
    <row r="2237">
      <c r="A2237" s="83" t="s">
        <v>4618</v>
      </c>
      <c r="B2237" s="83" t="s">
        <v>4619</v>
      </c>
      <c r="C2237" s="81" t="s">
        <v>4621</v>
      </c>
      <c r="D2237" s="83" t="s">
        <v>4838</v>
      </c>
      <c r="E2237" s="81" t="s">
        <v>3981</v>
      </c>
      <c r="F2237" s="84">
        <v>783.0</v>
      </c>
      <c r="G2237" s="81" t="s">
        <v>44</v>
      </c>
      <c r="H2237" s="81" t="s">
        <v>224</v>
      </c>
      <c r="I2237" s="81" t="s">
        <v>3971</v>
      </c>
      <c r="J2237" s="81" t="s">
        <v>4088</v>
      </c>
      <c r="K2237" s="81" t="str">
        <f>IFERROR(__xludf.DUMMYFUNCTION("IF(OR(D2237="""",G2237=""""),"""",IFERROR(LET(
campo,XLOOKUP(TRIM(G2237),ARRAYFORMULA(TRIM('indice columnas'!$A$2:$A$100)),'indice columnas'!$B$2:$B$100,""""),
col,IFERROR(MATCH(campo,Referencia!$A$1:$AZ$1,0),0),
fila,IFERROR(MATCH(TO_TEXT(D2237),ARRAYFOR"&amp;"MULA(TO_TEXT(Referencia!$A$2:$A6238)),0),0),
IF(OR(campo="""",campo=""-""),""NO APLICA"",
IF(col=0,""REVISAR EQUIVALENCIA"",
IF(fila=0,""SKU NO ENCONTRADO"",
LET(
valor,INDEX(Referencia!$A$2:$AZ6238,fila,col),
IF(TRIM(TO_TEXT(valor))=TRIM(TO_TEXT(I2237)),"&amp;"
""OK"",
""NO COINCIDE. Valor verdadero: ""&amp;IF(valor="""",""[VACÍO]"",TO_TEXT(valor))
)
))))
),""ERROR EN FÓRMULA""))"),"NO APLICA")</f>
        <v>NO APLICA</v>
      </c>
    </row>
    <row r="2238">
      <c r="A2238" s="83" t="s">
        <v>4618</v>
      </c>
      <c r="B2238" s="83" t="s">
        <v>4619</v>
      </c>
      <c r="C2238" s="81" t="s">
        <v>4621</v>
      </c>
      <c r="D2238" s="83" t="s">
        <v>4839</v>
      </c>
      <c r="E2238" s="81" t="s">
        <v>3982</v>
      </c>
      <c r="F2238" s="84">
        <v>784.0</v>
      </c>
      <c r="G2238" s="81" t="s">
        <v>7</v>
      </c>
      <c r="H2238" s="81" t="s">
        <v>3623</v>
      </c>
      <c r="I2238" s="81" t="s">
        <v>53</v>
      </c>
      <c r="J2238" s="81" t="s">
        <v>224</v>
      </c>
      <c r="K2238" s="81" t="str">
        <f>IFERROR(__xludf.DUMMYFUNCTION("IF(OR(D2238="""",G2238=""""),"""",IFERROR(LET(
campo,XLOOKUP(TRIM(G2238),ARRAYFORMULA(TRIM('indice columnas'!$A$2:$A$100)),'indice columnas'!$B$2:$B$100,""""),
col,IFERROR(MATCH(campo,Referencia!$A$1:$AZ$1,0),0),
fila,IFERROR(MATCH(TO_TEXT(D2238),ARRAYFOR"&amp;"MULA(TO_TEXT(Referencia!$A$2:$A6238)),0),0),
IF(OR(campo="""",campo=""-""),""NO APLICA"",
IF(col=0,""REVISAR EQUIVALENCIA"",
IF(fila=0,""SKU NO ENCONTRADO"",
LET(
valor,INDEX(Referencia!$A$2:$AZ6238,fila,col),
IF(TRIM(TO_TEXT(valor))=TRIM(TO_TEXT(I2238)),"&amp;"
""OK"",
""NO COINCIDE. Valor verdadero: ""&amp;IF(valor="""",""[VACÍO]"",TO_TEXT(valor))
)
))))
),""ERROR EN FÓRMULA""))"),"REVISAR EQUIVALENCIA")</f>
        <v>REVISAR EQUIVALENCIA</v>
      </c>
    </row>
    <row r="2239">
      <c r="A2239" s="83" t="s">
        <v>4618</v>
      </c>
      <c r="B2239" s="83" t="s">
        <v>4619</v>
      </c>
      <c r="C2239" s="81" t="s">
        <v>4621</v>
      </c>
      <c r="D2239" s="83" t="s">
        <v>4839</v>
      </c>
      <c r="E2239" s="81" t="s">
        <v>3982</v>
      </c>
      <c r="F2239" s="84">
        <v>784.0</v>
      </c>
      <c r="G2239" s="81" t="s">
        <v>44</v>
      </c>
      <c r="H2239" s="81" t="s">
        <v>224</v>
      </c>
      <c r="I2239" s="81" t="s">
        <v>3971</v>
      </c>
      <c r="J2239" s="81" t="s">
        <v>4088</v>
      </c>
      <c r="K2239" s="81" t="str">
        <f>IFERROR(__xludf.DUMMYFUNCTION("IF(OR(D2239="""",G2239=""""),"""",IFERROR(LET(
campo,XLOOKUP(TRIM(G2239),ARRAYFORMULA(TRIM('indice columnas'!$A$2:$A$100)),'indice columnas'!$B$2:$B$100,""""),
col,IFERROR(MATCH(campo,Referencia!$A$1:$AZ$1,0),0),
fila,IFERROR(MATCH(TO_TEXT(D2239),ARRAYFOR"&amp;"MULA(TO_TEXT(Referencia!$A$2:$A6238)),0),0),
IF(OR(campo="""",campo=""-""),""NO APLICA"",
IF(col=0,""REVISAR EQUIVALENCIA"",
IF(fila=0,""SKU NO ENCONTRADO"",
LET(
valor,INDEX(Referencia!$A$2:$AZ6238,fila,col),
IF(TRIM(TO_TEXT(valor))=TRIM(TO_TEXT(I2239)),"&amp;"
""OK"",
""NO COINCIDE. Valor verdadero: ""&amp;IF(valor="""",""[VACÍO]"",TO_TEXT(valor))
)
))))
),""ERROR EN FÓRMULA""))"),"NO APLICA")</f>
        <v>NO APLICA</v>
      </c>
    </row>
    <row r="2240">
      <c r="A2240" s="83" t="s">
        <v>4618</v>
      </c>
      <c r="B2240" s="83" t="s">
        <v>4619</v>
      </c>
      <c r="C2240" s="81" t="s">
        <v>4621</v>
      </c>
      <c r="D2240" s="83" t="s">
        <v>4840</v>
      </c>
      <c r="E2240" s="81" t="s">
        <v>3985</v>
      </c>
      <c r="F2240" s="84">
        <v>785.0</v>
      </c>
      <c r="G2240" s="81" t="s">
        <v>7</v>
      </c>
      <c r="H2240" s="81" t="s">
        <v>3623</v>
      </c>
      <c r="I2240" s="81" t="s">
        <v>53</v>
      </c>
      <c r="J2240" s="81" t="s">
        <v>224</v>
      </c>
      <c r="K2240" s="81" t="str">
        <f>IFERROR(__xludf.DUMMYFUNCTION("IF(OR(D2240="""",G2240=""""),"""",IFERROR(LET(
campo,XLOOKUP(TRIM(G2240),ARRAYFORMULA(TRIM('indice columnas'!$A$2:$A$100)),'indice columnas'!$B$2:$B$100,""""),
col,IFERROR(MATCH(campo,Referencia!$A$1:$AZ$1,0),0),
fila,IFERROR(MATCH(TO_TEXT(D2240),ARRAYFOR"&amp;"MULA(TO_TEXT(Referencia!$A$2:$A6238)),0),0),
IF(OR(campo="""",campo=""-""),""NO APLICA"",
IF(col=0,""REVISAR EQUIVALENCIA"",
IF(fila=0,""SKU NO ENCONTRADO"",
LET(
valor,INDEX(Referencia!$A$2:$AZ6238,fila,col),
IF(TRIM(TO_TEXT(valor))=TRIM(TO_TEXT(I2240)),"&amp;"
""OK"",
""NO COINCIDE. Valor verdadero: ""&amp;IF(valor="""",""[VACÍO]"",TO_TEXT(valor))
)
))))
),""ERROR EN FÓRMULA""))"),"REVISAR EQUIVALENCIA")</f>
        <v>REVISAR EQUIVALENCIA</v>
      </c>
    </row>
    <row r="2241">
      <c r="A2241" s="83" t="s">
        <v>4618</v>
      </c>
      <c r="B2241" s="83" t="s">
        <v>4619</v>
      </c>
      <c r="C2241" s="81" t="s">
        <v>4621</v>
      </c>
      <c r="D2241" s="83" t="s">
        <v>4840</v>
      </c>
      <c r="E2241" s="81" t="s">
        <v>3985</v>
      </c>
      <c r="F2241" s="84">
        <v>785.0</v>
      </c>
      <c r="G2241" s="81" t="s">
        <v>44</v>
      </c>
      <c r="H2241" s="81" t="s">
        <v>224</v>
      </c>
      <c r="I2241" s="81" t="s">
        <v>3971</v>
      </c>
      <c r="J2241" s="81" t="s">
        <v>4088</v>
      </c>
      <c r="K2241" s="81" t="str">
        <f>IFERROR(__xludf.DUMMYFUNCTION("IF(OR(D2241="""",G2241=""""),"""",IFERROR(LET(
campo,XLOOKUP(TRIM(G2241),ARRAYFORMULA(TRIM('indice columnas'!$A$2:$A$100)),'indice columnas'!$B$2:$B$100,""""),
col,IFERROR(MATCH(campo,Referencia!$A$1:$AZ$1,0),0),
fila,IFERROR(MATCH(TO_TEXT(D2241),ARRAYFOR"&amp;"MULA(TO_TEXT(Referencia!$A$2:$A6238)),0),0),
IF(OR(campo="""",campo=""-""),""NO APLICA"",
IF(col=0,""REVISAR EQUIVALENCIA"",
IF(fila=0,""SKU NO ENCONTRADO"",
LET(
valor,INDEX(Referencia!$A$2:$AZ6238,fila,col),
IF(TRIM(TO_TEXT(valor))=TRIM(TO_TEXT(I2241)),"&amp;"
""OK"",
""NO COINCIDE. Valor verdadero: ""&amp;IF(valor="""",""[VACÍO]"",TO_TEXT(valor))
)
))))
),""ERROR EN FÓRMULA""))"),"NO APLICA")</f>
        <v>NO APLICA</v>
      </c>
    </row>
    <row r="2242">
      <c r="A2242" s="83" t="s">
        <v>4618</v>
      </c>
      <c r="B2242" s="83" t="s">
        <v>4619</v>
      </c>
      <c r="C2242" s="81" t="s">
        <v>4621</v>
      </c>
      <c r="D2242" s="83" t="s">
        <v>4841</v>
      </c>
      <c r="E2242" s="81" t="s">
        <v>3988</v>
      </c>
      <c r="F2242" s="84">
        <v>786.0</v>
      </c>
      <c r="G2242" s="81" t="s">
        <v>7</v>
      </c>
      <c r="H2242" s="81" t="s">
        <v>4812</v>
      </c>
      <c r="I2242" s="81" t="s">
        <v>4008</v>
      </c>
      <c r="J2242" s="81" t="s">
        <v>224</v>
      </c>
      <c r="K2242" s="81" t="str">
        <f>IFERROR(__xludf.DUMMYFUNCTION("IF(OR(D2242="""",G2242=""""),"""",IFERROR(LET(
campo,XLOOKUP(TRIM(G2242),ARRAYFORMULA(TRIM('indice columnas'!$A$2:$A$100)),'indice columnas'!$B$2:$B$100,""""),
col,IFERROR(MATCH(campo,Referencia!$A$1:$AZ$1,0),0),
fila,IFERROR(MATCH(TO_TEXT(D2242),ARRAYFOR"&amp;"MULA(TO_TEXT(Referencia!$A$2:$A6238)),0),0),
IF(OR(campo="""",campo=""-""),""NO APLICA"",
IF(col=0,""REVISAR EQUIVALENCIA"",
IF(fila=0,""SKU NO ENCONTRADO"",
LET(
valor,INDEX(Referencia!$A$2:$AZ6238,fila,col),
IF(TRIM(TO_TEXT(valor))=TRIM(TO_TEXT(I2242)),"&amp;"
""OK"",
""NO COINCIDE. Valor verdadero: ""&amp;IF(valor="""",""[VACÍO]"",TO_TEXT(valor))
)
))))
),""ERROR EN FÓRMULA""))"),"REVISAR EQUIVALENCIA")</f>
        <v>REVISAR EQUIVALENCIA</v>
      </c>
    </row>
    <row r="2243">
      <c r="A2243" s="83" t="s">
        <v>4618</v>
      </c>
      <c r="B2243" s="83" t="s">
        <v>4619</v>
      </c>
      <c r="C2243" s="81" t="s">
        <v>4621</v>
      </c>
      <c r="D2243" s="83" t="s">
        <v>4841</v>
      </c>
      <c r="E2243" s="81" t="s">
        <v>3988</v>
      </c>
      <c r="F2243" s="84">
        <v>786.0</v>
      </c>
      <c r="G2243" s="81" t="s">
        <v>44</v>
      </c>
      <c r="H2243" s="81" t="s">
        <v>224</v>
      </c>
      <c r="I2243" s="81" t="s">
        <v>3971</v>
      </c>
      <c r="J2243" s="81" t="s">
        <v>4088</v>
      </c>
      <c r="K2243" s="81" t="str">
        <f>IFERROR(__xludf.DUMMYFUNCTION("IF(OR(D2243="""",G2243=""""),"""",IFERROR(LET(
campo,XLOOKUP(TRIM(G2243),ARRAYFORMULA(TRIM('indice columnas'!$A$2:$A$100)),'indice columnas'!$B$2:$B$100,""""),
col,IFERROR(MATCH(campo,Referencia!$A$1:$AZ$1,0),0),
fila,IFERROR(MATCH(TO_TEXT(D2243),ARRAYFOR"&amp;"MULA(TO_TEXT(Referencia!$A$2:$A6238)),0),0),
IF(OR(campo="""",campo=""-""),""NO APLICA"",
IF(col=0,""REVISAR EQUIVALENCIA"",
IF(fila=0,""SKU NO ENCONTRADO"",
LET(
valor,INDEX(Referencia!$A$2:$AZ6238,fila,col),
IF(TRIM(TO_TEXT(valor))=TRIM(TO_TEXT(I2243)),"&amp;"
""OK"",
""NO COINCIDE. Valor verdadero: ""&amp;IF(valor="""",""[VACÍO]"",TO_TEXT(valor))
)
))))
),""ERROR EN FÓRMULA""))"),"NO APLICA")</f>
        <v>NO APLICA</v>
      </c>
    </row>
    <row r="2244">
      <c r="A2244" s="83" t="s">
        <v>4618</v>
      </c>
      <c r="B2244" s="83" t="s">
        <v>4619</v>
      </c>
      <c r="C2244" s="81" t="s">
        <v>4621</v>
      </c>
      <c r="D2244" s="83" t="s">
        <v>4842</v>
      </c>
      <c r="E2244" s="81" t="s">
        <v>3991</v>
      </c>
      <c r="F2244" s="84">
        <v>787.0</v>
      </c>
      <c r="G2244" s="81" t="s">
        <v>7</v>
      </c>
      <c r="H2244" s="81" t="s">
        <v>4812</v>
      </c>
      <c r="I2244" s="81" t="s">
        <v>4008</v>
      </c>
      <c r="J2244" s="81" t="s">
        <v>224</v>
      </c>
      <c r="K2244" s="81" t="str">
        <f>IFERROR(__xludf.DUMMYFUNCTION("IF(OR(D2244="""",G2244=""""),"""",IFERROR(LET(
campo,XLOOKUP(TRIM(G2244),ARRAYFORMULA(TRIM('indice columnas'!$A$2:$A$100)),'indice columnas'!$B$2:$B$100,""""),
col,IFERROR(MATCH(campo,Referencia!$A$1:$AZ$1,0),0),
fila,IFERROR(MATCH(TO_TEXT(D2244),ARRAYFOR"&amp;"MULA(TO_TEXT(Referencia!$A$2:$A6238)),0),0),
IF(OR(campo="""",campo=""-""),""NO APLICA"",
IF(col=0,""REVISAR EQUIVALENCIA"",
IF(fila=0,""SKU NO ENCONTRADO"",
LET(
valor,INDEX(Referencia!$A$2:$AZ6238,fila,col),
IF(TRIM(TO_TEXT(valor))=TRIM(TO_TEXT(I2244)),"&amp;"
""OK"",
""NO COINCIDE. Valor verdadero: ""&amp;IF(valor="""",""[VACÍO]"",TO_TEXT(valor))
)
))))
),""ERROR EN FÓRMULA""))"),"REVISAR EQUIVALENCIA")</f>
        <v>REVISAR EQUIVALENCIA</v>
      </c>
    </row>
    <row r="2245">
      <c r="A2245" s="83" t="s">
        <v>4618</v>
      </c>
      <c r="B2245" s="83" t="s">
        <v>4619</v>
      </c>
      <c r="C2245" s="81" t="s">
        <v>4621</v>
      </c>
      <c r="D2245" s="83" t="s">
        <v>4842</v>
      </c>
      <c r="E2245" s="81" t="s">
        <v>3991</v>
      </c>
      <c r="F2245" s="84">
        <v>787.0</v>
      </c>
      <c r="G2245" s="81" t="s">
        <v>44</v>
      </c>
      <c r="H2245" s="81" t="s">
        <v>224</v>
      </c>
      <c r="I2245" s="81" t="s">
        <v>3971</v>
      </c>
      <c r="J2245" s="81" t="s">
        <v>4088</v>
      </c>
      <c r="K2245" s="81" t="str">
        <f>IFERROR(__xludf.DUMMYFUNCTION("IF(OR(D2245="""",G2245=""""),"""",IFERROR(LET(
campo,XLOOKUP(TRIM(G2245),ARRAYFORMULA(TRIM('indice columnas'!$A$2:$A$100)),'indice columnas'!$B$2:$B$100,""""),
col,IFERROR(MATCH(campo,Referencia!$A$1:$AZ$1,0),0),
fila,IFERROR(MATCH(TO_TEXT(D2245),ARRAYFOR"&amp;"MULA(TO_TEXT(Referencia!$A$2:$A6238)),0),0),
IF(OR(campo="""",campo=""-""),""NO APLICA"",
IF(col=0,""REVISAR EQUIVALENCIA"",
IF(fila=0,""SKU NO ENCONTRADO"",
LET(
valor,INDEX(Referencia!$A$2:$AZ6238,fila,col),
IF(TRIM(TO_TEXT(valor))=TRIM(TO_TEXT(I2245)),"&amp;"
""OK"",
""NO COINCIDE. Valor verdadero: ""&amp;IF(valor="""",""[VACÍO]"",TO_TEXT(valor))
)
))))
),""ERROR EN FÓRMULA""))"),"NO APLICA")</f>
        <v>NO APLICA</v>
      </c>
    </row>
    <row r="2246">
      <c r="A2246" s="83" t="s">
        <v>4618</v>
      </c>
      <c r="B2246" s="83" t="s">
        <v>4619</v>
      </c>
      <c r="C2246" s="81" t="s">
        <v>4621</v>
      </c>
      <c r="D2246" s="83" t="s">
        <v>4843</v>
      </c>
      <c r="E2246" s="81" t="s">
        <v>3994</v>
      </c>
      <c r="F2246" s="84">
        <v>788.0</v>
      </c>
      <c r="G2246" s="81" t="s">
        <v>7</v>
      </c>
      <c r="H2246" s="81" t="s">
        <v>4812</v>
      </c>
      <c r="I2246" s="81" t="s">
        <v>4008</v>
      </c>
      <c r="J2246" s="81" t="s">
        <v>224</v>
      </c>
      <c r="K2246" s="81" t="str">
        <f>IFERROR(__xludf.DUMMYFUNCTION("IF(OR(D2246="""",G2246=""""),"""",IFERROR(LET(
campo,XLOOKUP(TRIM(G2246),ARRAYFORMULA(TRIM('indice columnas'!$A$2:$A$100)),'indice columnas'!$B$2:$B$100,""""),
col,IFERROR(MATCH(campo,Referencia!$A$1:$AZ$1,0),0),
fila,IFERROR(MATCH(TO_TEXT(D2246),ARRAYFOR"&amp;"MULA(TO_TEXT(Referencia!$A$2:$A6238)),0),0),
IF(OR(campo="""",campo=""-""),""NO APLICA"",
IF(col=0,""REVISAR EQUIVALENCIA"",
IF(fila=0,""SKU NO ENCONTRADO"",
LET(
valor,INDEX(Referencia!$A$2:$AZ6238,fila,col),
IF(TRIM(TO_TEXT(valor))=TRIM(TO_TEXT(I2246)),"&amp;"
""OK"",
""NO COINCIDE. Valor verdadero: ""&amp;IF(valor="""",""[VACÍO]"",TO_TEXT(valor))
)
))))
),""ERROR EN FÓRMULA""))"),"REVISAR EQUIVALENCIA")</f>
        <v>REVISAR EQUIVALENCIA</v>
      </c>
    </row>
    <row r="2247">
      <c r="A2247" s="83" t="s">
        <v>4618</v>
      </c>
      <c r="B2247" s="83" t="s">
        <v>4619</v>
      </c>
      <c r="C2247" s="81" t="s">
        <v>4621</v>
      </c>
      <c r="D2247" s="83" t="s">
        <v>4843</v>
      </c>
      <c r="E2247" s="81" t="s">
        <v>3994</v>
      </c>
      <c r="F2247" s="84">
        <v>788.0</v>
      </c>
      <c r="G2247" s="81" t="s">
        <v>44</v>
      </c>
      <c r="H2247" s="81" t="s">
        <v>224</v>
      </c>
      <c r="I2247" s="81" t="s">
        <v>3971</v>
      </c>
      <c r="J2247" s="81" t="s">
        <v>4088</v>
      </c>
      <c r="K2247" s="81" t="str">
        <f>IFERROR(__xludf.DUMMYFUNCTION("IF(OR(D2247="""",G2247=""""),"""",IFERROR(LET(
campo,XLOOKUP(TRIM(G2247),ARRAYFORMULA(TRIM('indice columnas'!$A$2:$A$100)),'indice columnas'!$B$2:$B$100,""""),
col,IFERROR(MATCH(campo,Referencia!$A$1:$AZ$1,0),0),
fila,IFERROR(MATCH(TO_TEXT(D2247),ARRAYFOR"&amp;"MULA(TO_TEXT(Referencia!$A$2:$A6238)),0),0),
IF(OR(campo="""",campo=""-""),""NO APLICA"",
IF(col=0,""REVISAR EQUIVALENCIA"",
IF(fila=0,""SKU NO ENCONTRADO"",
LET(
valor,INDEX(Referencia!$A$2:$AZ6238,fila,col),
IF(TRIM(TO_TEXT(valor))=TRIM(TO_TEXT(I2247)),"&amp;"
""OK"",
""NO COINCIDE. Valor verdadero: ""&amp;IF(valor="""",""[VACÍO]"",TO_TEXT(valor))
)
))))
),""ERROR EN FÓRMULA""))"),"NO APLICA")</f>
        <v>NO APLICA</v>
      </c>
    </row>
    <row r="2248">
      <c r="A2248" s="83" t="s">
        <v>4618</v>
      </c>
      <c r="B2248" s="83" t="s">
        <v>4619</v>
      </c>
      <c r="C2248" s="81" t="s">
        <v>4621</v>
      </c>
      <c r="D2248" s="83" t="s">
        <v>4257</v>
      </c>
      <c r="E2248" s="81" t="s">
        <v>1025</v>
      </c>
      <c r="F2248" s="84">
        <v>789.0</v>
      </c>
      <c r="G2248" s="81" t="s">
        <v>44</v>
      </c>
      <c r="H2248" s="81" t="s">
        <v>224</v>
      </c>
      <c r="I2248" s="81" t="s">
        <v>924</v>
      </c>
      <c r="J2248" s="81" t="s">
        <v>4088</v>
      </c>
      <c r="K2248" s="81" t="str">
        <f>IFERROR(__xludf.DUMMYFUNCTION("IF(OR(D2248="""",G2248=""""),"""",IFERROR(LET(
campo,XLOOKUP(TRIM(G2248),ARRAYFORMULA(TRIM('indice columnas'!$A$2:$A$100)),'indice columnas'!$B$2:$B$100,""""),
col,IFERROR(MATCH(campo,Referencia!$A$1:$AZ$1,0),0),
fila,IFERROR(MATCH(TO_TEXT(D2248),ARRAYFOR"&amp;"MULA(TO_TEXT(Referencia!$A$2:$A6238)),0),0),
IF(OR(campo="""",campo=""-""),""NO APLICA"",
IF(col=0,""REVISAR EQUIVALENCIA"",
IF(fila=0,""SKU NO ENCONTRADO"",
LET(
valor,INDEX(Referencia!$A$2:$AZ6238,fila,col),
IF(TRIM(TO_TEXT(valor))=TRIM(TO_TEXT(I2248)),"&amp;"
""OK"",
""NO COINCIDE. Valor verdadero: ""&amp;IF(valor="""",""[VACÍO]"",TO_TEXT(valor))
)
))))
),""ERROR EN FÓRMULA""))"),"NO APLICA")</f>
        <v>NO APLICA</v>
      </c>
    </row>
    <row r="2249">
      <c r="A2249" s="83" t="s">
        <v>4618</v>
      </c>
      <c r="B2249" s="83" t="s">
        <v>4619</v>
      </c>
      <c r="C2249" s="81" t="s">
        <v>4621</v>
      </c>
      <c r="D2249" s="83" t="s">
        <v>4498</v>
      </c>
      <c r="E2249" s="81" t="s">
        <v>2324</v>
      </c>
      <c r="F2249" s="84">
        <v>790.0</v>
      </c>
      <c r="G2249" s="81" t="s">
        <v>44</v>
      </c>
      <c r="H2249" s="81" t="s">
        <v>224</v>
      </c>
      <c r="I2249" s="81" t="s">
        <v>924</v>
      </c>
      <c r="J2249" s="81" t="s">
        <v>4088</v>
      </c>
      <c r="K2249" s="81" t="str">
        <f>IFERROR(__xludf.DUMMYFUNCTION("IF(OR(D2249="""",G2249=""""),"""",IFERROR(LET(
campo,XLOOKUP(TRIM(G2249),ARRAYFORMULA(TRIM('indice columnas'!$A$2:$A$100)),'indice columnas'!$B$2:$B$100,""""),
col,IFERROR(MATCH(campo,Referencia!$A$1:$AZ$1,0),0),
fila,IFERROR(MATCH(TO_TEXT(D2249),ARRAYFOR"&amp;"MULA(TO_TEXT(Referencia!$A$2:$A6238)),0),0),
IF(OR(campo="""",campo=""-""),""NO APLICA"",
IF(col=0,""REVISAR EQUIVALENCIA"",
IF(fila=0,""SKU NO ENCONTRADO"",
LET(
valor,INDEX(Referencia!$A$2:$AZ6238,fila,col),
IF(TRIM(TO_TEXT(valor))=TRIM(TO_TEXT(I2249)),"&amp;"
""OK"",
""NO COINCIDE. Valor verdadero: ""&amp;IF(valor="""",""[VACÍO]"",TO_TEXT(valor))
)
))))
),""ERROR EN FÓRMULA""))"),"NO APLICA")</f>
        <v>NO APLICA</v>
      </c>
    </row>
    <row r="2250">
      <c r="A2250" s="83" t="s">
        <v>4618</v>
      </c>
      <c r="B2250" s="83" t="s">
        <v>4619</v>
      </c>
      <c r="C2250" s="81" t="s">
        <v>4621</v>
      </c>
      <c r="D2250" s="83" t="s">
        <v>4844</v>
      </c>
      <c r="E2250" s="81" t="s">
        <v>3998</v>
      </c>
      <c r="F2250" s="84">
        <v>791.0</v>
      </c>
      <c r="G2250" s="81" t="s">
        <v>7</v>
      </c>
      <c r="H2250" s="81" t="s">
        <v>3623</v>
      </c>
      <c r="I2250" s="81" t="s">
        <v>53</v>
      </c>
      <c r="J2250" s="81" t="s">
        <v>224</v>
      </c>
      <c r="K2250" s="81" t="str">
        <f>IFERROR(__xludf.DUMMYFUNCTION("IF(OR(D2250="""",G2250=""""),"""",IFERROR(LET(
campo,XLOOKUP(TRIM(G2250),ARRAYFORMULA(TRIM('indice columnas'!$A$2:$A$100)),'indice columnas'!$B$2:$B$100,""""),
col,IFERROR(MATCH(campo,Referencia!$A$1:$AZ$1,0),0),
fila,IFERROR(MATCH(TO_TEXT(D2250),ARRAYFOR"&amp;"MULA(TO_TEXT(Referencia!$A$2:$A6238)),0),0),
IF(OR(campo="""",campo=""-""),""NO APLICA"",
IF(col=0,""REVISAR EQUIVALENCIA"",
IF(fila=0,""SKU NO ENCONTRADO"",
LET(
valor,INDEX(Referencia!$A$2:$AZ6238,fila,col),
IF(TRIM(TO_TEXT(valor))=TRIM(TO_TEXT(I2250)),"&amp;"
""OK"",
""NO COINCIDE. Valor verdadero: ""&amp;IF(valor="""",""[VACÍO]"",TO_TEXT(valor))
)
))))
),""ERROR EN FÓRMULA""))"),"REVISAR EQUIVALENCIA")</f>
        <v>REVISAR EQUIVALENCIA</v>
      </c>
    </row>
    <row r="2251">
      <c r="A2251" s="83" t="s">
        <v>4618</v>
      </c>
      <c r="B2251" s="83" t="s">
        <v>4619</v>
      </c>
      <c r="C2251" s="81" t="s">
        <v>4621</v>
      </c>
      <c r="D2251" s="83" t="s">
        <v>4844</v>
      </c>
      <c r="E2251" s="81" t="s">
        <v>3998</v>
      </c>
      <c r="F2251" s="84">
        <v>791.0</v>
      </c>
      <c r="G2251" s="81" t="s">
        <v>12</v>
      </c>
      <c r="H2251" s="81" t="s">
        <v>224</v>
      </c>
      <c r="I2251" s="81" t="s">
        <v>55</v>
      </c>
      <c r="J2251" s="81" t="s">
        <v>224</v>
      </c>
      <c r="K2251" s="81" t="str">
        <f>IFERROR(__xludf.DUMMYFUNCTION("IF(OR(D2251="""",G2251=""""),"""",IFERROR(LET(
campo,XLOOKUP(TRIM(G2251),ARRAYFORMULA(TRIM('indice columnas'!$A$2:$A$100)),'indice columnas'!$B$2:$B$100,""""),
col,IFERROR(MATCH(campo,Referencia!$A$1:$AZ$1,0),0),
fila,IFERROR(MATCH(TO_TEXT(D2251),ARRAYFOR"&amp;"MULA(TO_TEXT(Referencia!$A$2:$A6238)),0),0),
IF(OR(campo="""",campo=""-""),""NO APLICA"",
IF(col=0,""REVISAR EQUIVALENCIA"",
IF(fila=0,""SKU NO ENCONTRADO"",
LET(
valor,INDEX(Referencia!$A$2:$AZ6238,fila,col),
IF(TRIM(TO_TEXT(valor))=TRIM(TO_TEXT(I2251)),"&amp;"
""OK"",
""NO COINCIDE. Valor verdadero: ""&amp;IF(valor="""",""[VACÍO]"",TO_TEXT(valor))
)
))))
),""ERROR EN FÓRMULA""))"),"OK")</f>
        <v>OK</v>
      </c>
    </row>
    <row r="2252">
      <c r="A2252" s="83" t="s">
        <v>4618</v>
      </c>
      <c r="B2252" s="83" t="s">
        <v>4619</v>
      </c>
      <c r="C2252" s="81" t="s">
        <v>4621</v>
      </c>
      <c r="D2252" s="83" t="s">
        <v>4844</v>
      </c>
      <c r="E2252" s="81" t="s">
        <v>3998</v>
      </c>
      <c r="F2252" s="84">
        <v>791.0</v>
      </c>
      <c r="G2252" s="81" t="s">
        <v>25</v>
      </c>
      <c r="H2252" s="81" t="s">
        <v>224</v>
      </c>
      <c r="I2252" s="81" t="s">
        <v>55</v>
      </c>
      <c r="J2252" s="81" t="s">
        <v>224</v>
      </c>
      <c r="K2252" s="81" t="str">
        <f>IFERROR(__xludf.DUMMYFUNCTION("IF(OR(D2252="""",G2252=""""),"""",IFERROR(LET(
campo,XLOOKUP(TRIM(G2252),ARRAYFORMULA(TRIM('indice columnas'!$A$2:$A$100)),'indice columnas'!$B$2:$B$100,""""),
col,IFERROR(MATCH(campo,Referencia!$A$1:$AZ$1,0),0),
fila,IFERROR(MATCH(TO_TEXT(D2252),ARRAYFOR"&amp;"MULA(TO_TEXT(Referencia!$A$2:$A6238)),0),0),
IF(OR(campo="""",campo=""-""),""NO APLICA"",
IF(col=0,""REVISAR EQUIVALENCIA"",
IF(fila=0,""SKU NO ENCONTRADO"",
LET(
valor,INDEX(Referencia!$A$2:$AZ6238,fila,col),
IF(TRIM(TO_TEXT(valor))=TRIM(TO_TEXT(I2252)),"&amp;"
""OK"",
""NO COINCIDE. Valor verdadero: ""&amp;IF(valor="""",""[VACÍO]"",TO_TEXT(valor))
)
))))
),""ERROR EN FÓRMULA""))"),"OK")</f>
        <v>OK</v>
      </c>
    </row>
    <row r="2253">
      <c r="A2253" s="83" t="s">
        <v>4618</v>
      </c>
      <c r="B2253" s="83" t="s">
        <v>4619</v>
      </c>
      <c r="C2253" s="81" t="s">
        <v>4621</v>
      </c>
      <c r="D2253" s="83" t="s">
        <v>4844</v>
      </c>
      <c r="E2253" s="81" t="s">
        <v>3998</v>
      </c>
      <c r="F2253" s="84">
        <v>791.0</v>
      </c>
      <c r="G2253" s="81" t="s">
        <v>36</v>
      </c>
      <c r="H2253" s="81" t="s">
        <v>224</v>
      </c>
      <c r="I2253" s="81" t="s">
        <v>55</v>
      </c>
      <c r="J2253" s="81" t="s">
        <v>224</v>
      </c>
      <c r="K2253" s="81" t="str">
        <f>IFERROR(__xludf.DUMMYFUNCTION("IF(OR(D2253="""",G2253=""""),"""",IFERROR(LET(
campo,XLOOKUP(TRIM(G2253),ARRAYFORMULA(TRIM('indice columnas'!$A$2:$A$100)),'indice columnas'!$B$2:$B$100,""""),
col,IFERROR(MATCH(campo,Referencia!$A$1:$AZ$1,0),0),
fila,IFERROR(MATCH(TO_TEXT(D2253),ARRAYFOR"&amp;"MULA(TO_TEXT(Referencia!$A$2:$A6238)),0),0),
IF(OR(campo="""",campo=""-""),""NO APLICA"",
IF(col=0,""REVISAR EQUIVALENCIA"",
IF(fila=0,""SKU NO ENCONTRADO"",
LET(
valor,INDEX(Referencia!$A$2:$AZ6238,fila,col),
IF(TRIM(TO_TEXT(valor))=TRIM(TO_TEXT(I2253)),"&amp;"
""OK"",
""NO COINCIDE. Valor verdadero: ""&amp;IF(valor="""",""[VACÍO]"",TO_TEXT(valor))
)
))))
),""ERROR EN FÓRMULA""))"),"REVISAR EQUIVALENCIA")</f>
        <v>REVISAR EQUIVALENCIA</v>
      </c>
    </row>
    <row r="2254">
      <c r="A2254" s="83" t="s">
        <v>4618</v>
      </c>
      <c r="B2254" s="83" t="s">
        <v>4619</v>
      </c>
      <c r="C2254" s="81" t="s">
        <v>4621</v>
      </c>
      <c r="D2254" s="83" t="s">
        <v>4844</v>
      </c>
      <c r="E2254" s="81" t="s">
        <v>3998</v>
      </c>
      <c r="F2254" s="84">
        <v>791.0</v>
      </c>
      <c r="G2254" s="81" t="s">
        <v>44</v>
      </c>
      <c r="H2254" s="81" t="s">
        <v>224</v>
      </c>
      <c r="I2254" s="81" t="s">
        <v>1051</v>
      </c>
      <c r="J2254" s="81" t="s">
        <v>4088</v>
      </c>
      <c r="K2254" s="81" t="str">
        <f>IFERROR(__xludf.DUMMYFUNCTION("IF(OR(D2254="""",G2254=""""),"""",IFERROR(LET(
campo,XLOOKUP(TRIM(G2254),ARRAYFORMULA(TRIM('indice columnas'!$A$2:$A$100)),'indice columnas'!$B$2:$B$100,""""),
col,IFERROR(MATCH(campo,Referencia!$A$1:$AZ$1,0),0),
fila,IFERROR(MATCH(TO_TEXT(D2254),ARRAYFOR"&amp;"MULA(TO_TEXT(Referencia!$A$2:$A6238)),0),0),
IF(OR(campo="""",campo=""-""),""NO APLICA"",
IF(col=0,""REVISAR EQUIVALENCIA"",
IF(fila=0,""SKU NO ENCONTRADO"",
LET(
valor,INDEX(Referencia!$A$2:$AZ6238,fila,col),
IF(TRIM(TO_TEXT(valor))=TRIM(TO_TEXT(I2254)),"&amp;"
""OK"",
""NO COINCIDE. Valor verdadero: ""&amp;IF(valor="""",""[VACÍO]"",TO_TEXT(valor))
)
))))
),""ERROR EN FÓRMULA""))"),"NO APLICA")</f>
        <v>NO APLICA</v>
      </c>
    </row>
    <row r="2255">
      <c r="A2255" s="83" t="s">
        <v>4618</v>
      </c>
      <c r="B2255" s="83" t="s">
        <v>4619</v>
      </c>
      <c r="C2255" s="81" t="s">
        <v>4621</v>
      </c>
      <c r="D2255" s="83" t="s">
        <v>4845</v>
      </c>
      <c r="E2255" s="81" t="s">
        <v>4002</v>
      </c>
      <c r="F2255" s="84">
        <v>792.0</v>
      </c>
      <c r="G2255" s="81" t="s">
        <v>7</v>
      </c>
      <c r="H2255" s="81" t="s">
        <v>3623</v>
      </c>
      <c r="I2255" s="81" t="s">
        <v>53</v>
      </c>
      <c r="J2255" s="81" t="s">
        <v>224</v>
      </c>
      <c r="K2255" s="81" t="str">
        <f>IFERROR(__xludf.DUMMYFUNCTION("IF(OR(D2255="""",G2255=""""),"""",IFERROR(LET(
campo,XLOOKUP(TRIM(G2255),ARRAYFORMULA(TRIM('indice columnas'!$A$2:$A$100)),'indice columnas'!$B$2:$B$100,""""),
col,IFERROR(MATCH(campo,Referencia!$A$1:$AZ$1,0),0),
fila,IFERROR(MATCH(TO_TEXT(D2255),ARRAYFOR"&amp;"MULA(TO_TEXT(Referencia!$A$2:$A6238)),0),0),
IF(OR(campo="""",campo=""-""),""NO APLICA"",
IF(col=0,""REVISAR EQUIVALENCIA"",
IF(fila=0,""SKU NO ENCONTRADO"",
LET(
valor,INDEX(Referencia!$A$2:$AZ6238,fila,col),
IF(TRIM(TO_TEXT(valor))=TRIM(TO_TEXT(I2255)),"&amp;"
""OK"",
""NO COINCIDE. Valor verdadero: ""&amp;IF(valor="""",""[VACÍO]"",TO_TEXT(valor))
)
))))
),""ERROR EN FÓRMULA""))"),"REVISAR EQUIVALENCIA")</f>
        <v>REVISAR EQUIVALENCIA</v>
      </c>
    </row>
    <row r="2256">
      <c r="A2256" s="83" t="s">
        <v>4618</v>
      </c>
      <c r="B2256" s="83" t="s">
        <v>4619</v>
      </c>
      <c r="C2256" s="81" t="s">
        <v>4621</v>
      </c>
      <c r="D2256" s="83" t="s">
        <v>4845</v>
      </c>
      <c r="E2256" s="81" t="s">
        <v>4002</v>
      </c>
      <c r="F2256" s="84">
        <v>792.0</v>
      </c>
      <c r="G2256" s="81" t="s">
        <v>12</v>
      </c>
      <c r="H2256" s="81" t="s">
        <v>224</v>
      </c>
      <c r="I2256" s="81" t="s">
        <v>55</v>
      </c>
      <c r="J2256" s="81" t="s">
        <v>224</v>
      </c>
      <c r="K2256" s="81" t="str">
        <f>IFERROR(__xludf.DUMMYFUNCTION("IF(OR(D2256="""",G2256=""""),"""",IFERROR(LET(
campo,XLOOKUP(TRIM(G2256),ARRAYFORMULA(TRIM('indice columnas'!$A$2:$A$100)),'indice columnas'!$B$2:$B$100,""""),
col,IFERROR(MATCH(campo,Referencia!$A$1:$AZ$1,0),0),
fila,IFERROR(MATCH(TO_TEXT(D2256),ARRAYFOR"&amp;"MULA(TO_TEXT(Referencia!$A$2:$A6238)),0),0),
IF(OR(campo="""",campo=""-""),""NO APLICA"",
IF(col=0,""REVISAR EQUIVALENCIA"",
IF(fila=0,""SKU NO ENCONTRADO"",
LET(
valor,INDEX(Referencia!$A$2:$AZ6238,fila,col),
IF(TRIM(TO_TEXT(valor))=TRIM(TO_TEXT(I2256)),"&amp;"
""OK"",
""NO COINCIDE. Valor verdadero: ""&amp;IF(valor="""",""[VACÍO]"",TO_TEXT(valor))
)
))))
),""ERROR EN FÓRMULA""))"),"OK")</f>
        <v>OK</v>
      </c>
    </row>
    <row r="2257">
      <c r="A2257" s="83" t="s">
        <v>4618</v>
      </c>
      <c r="B2257" s="83" t="s">
        <v>4619</v>
      </c>
      <c r="C2257" s="81" t="s">
        <v>4621</v>
      </c>
      <c r="D2257" s="83" t="s">
        <v>4845</v>
      </c>
      <c r="E2257" s="81" t="s">
        <v>4002</v>
      </c>
      <c r="F2257" s="84">
        <v>792.0</v>
      </c>
      <c r="G2257" s="81" t="s">
        <v>25</v>
      </c>
      <c r="H2257" s="81" t="s">
        <v>224</v>
      </c>
      <c r="I2257" s="81" t="s">
        <v>55</v>
      </c>
      <c r="J2257" s="81" t="s">
        <v>224</v>
      </c>
      <c r="K2257" s="81" t="str">
        <f>IFERROR(__xludf.DUMMYFUNCTION("IF(OR(D2257="""",G2257=""""),"""",IFERROR(LET(
campo,XLOOKUP(TRIM(G2257),ARRAYFORMULA(TRIM('indice columnas'!$A$2:$A$100)),'indice columnas'!$B$2:$B$100,""""),
col,IFERROR(MATCH(campo,Referencia!$A$1:$AZ$1,0),0),
fila,IFERROR(MATCH(TO_TEXT(D2257),ARRAYFOR"&amp;"MULA(TO_TEXT(Referencia!$A$2:$A6238)),0),0),
IF(OR(campo="""",campo=""-""),""NO APLICA"",
IF(col=0,""REVISAR EQUIVALENCIA"",
IF(fila=0,""SKU NO ENCONTRADO"",
LET(
valor,INDEX(Referencia!$A$2:$AZ6238,fila,col),
IF(TRIM(TO_TEXT(valor))=TRIM(TO_TEXT(I2257)),"&amp;"
""OK"",
""NO COINCIDE. Valor verdadero: ""&amp;IF(valor="""",""[VACÍO]"",TO_TEXT(valor))
)
))))
),""ERROR EN FÓRMULA""))"),"OK")</f>
        <v>OK</v>
      </c>
    </row>
    <row r="2258">
      <c r="A2258" s="83" t="s">
        <v>4618</v>
      </c>
      <c r="B2258" s="83" t="s">
        <v>4619</v>
      </c>
      <c r="C2258" s="81" t="s">
        <v>4621</v>
      </c>
      <c r="D2258" s="83" t="s">
        <v>4845</v>
      </c>
      <c r="E2258" s="81" t="s">
        <v>4002</v>
      </c>
      <c r="F2258" s="84">
        <v>792.0</v>
      </c>
      <c r="G2258" s="81" t="s">
        <v>36</v>
      </c>
      <c r="H2258" s="81" t="s">
        <v>224</v>
      </c>
      <c r="I2258" s="81" t="s">
        <v>55</v>
      </c>
      <c r="J2258" s="81" t="s">
        <v>224</v>
      </c>
      <c r="K2258" s="81" t="str">
        <f>IFERROR(__xludf.DUMMYFUNCTION("IF(OR(D2258="""",G2258=""""),"""",IFERROR(LET(
campo,XLOOKUP(TRIM(G2258),ARRAYFORMULA(TRIM('indice columnas'!$A$2:$A$100)),'indice columnas'!$B$2:$B$100,""""),
col,IFERROR(MATCH(campo,Referencia!$A$1:$AZ$1,0),0),
fila,IFERROR(MATCH(TO_TEXT(D2258),ARRAYFOR"&amp;"MULA(TO_TEXT(Referencia!$A$2:$A6238)),0),0),
IF(OR(campo="""",campo=""-""),""NO APLICA"",
IF(col=0,""REVISAR EQUIVALENCIA"",
IF(fila=0,""SKU NO ENCONTRADO"",
LET(
valor,INDEX(Referencia!$A$2:$AZ6238,fila,col),
IF(TRIM(TO_TEXT(valor))=TRIM(TO_TEXT(I2258)),"&amp;"
""OK"",
""NO COINCIDE. Valor verdadero: ""&amp;IF(valor="""",""[VACÍO]"",TO_TEXT(valor))
)
))))
),""ERROR EN FÓRMULA""))"),"REVISAR EQUIVALENCIA")</f>
        <v>REVISAR EQUIVALENCIA</v>
      </c>
    </row>
    <row r="2259">
      <c r="A2259" s="83" t="s">
        <v>4618</v>
      </c>
      <c r="B2259" s="83" t="s">
        <v>4619</v>
      </c>
      <c r="C2259" s="81" t="s">
        <v>4621</v>
      </c>
      <c r="D2259" s="83" t="s">
        <v>4845</v>
      </c>
      <c r="E2259" s="81" t="s">
        <v>4002</v>
      </c>
      <c r="F2259" s="84">
        <v>792.0</v>
      </c>
      <c r="G2259" s="81" t="s">
        <v>44</v>
      </c>
      <c r="H2259" s="81" t="s">
        <v>224</v>
      </c>
      <c r="I2259" s="81" t="s">
        <v>1051</v>
      </c>
      <c r="J2259" s="81" t="s">
        <v>4088</v>
      </c>
      <c r="K2259" s="81" t="str">
        <f>IFERROR(__xludf.DUMMYFUNCTION("IF(OR(D2259="""",G2259=""""),"""",IFERROR(LET(
campo,XLOOKUP(TRIM(G2259),ARRAYFORMULA(TRIM('indice columnas'!$A$2:$A$100)),'indice columnas'!$B$2:$B$100,""""),
col,IFERROR(MATCH(campo,Referencia!$A$1:$AZ$1,0),0),
fila,IFERROR(MATCH(TO_TEXT(D2259),ARRAYFOR"&amp;"MULA(TO_TEXT(Referencia!$A$2:$A6238)),0),0),
IF(OR(campo="""",campo=""-""),""NO APLICA"",
IF(col=0,""REVISAR EQUIVALENCIA"",
IF(fila=0,""SKU NO ENCONTRADO"",
LET(
valor,INDEX(Referencia!$A$2:$AZ6238,fila,col),
IF(TRIM(TO_TEXT(valor))=TRIM(TO_TEXT(I2259)),"&amp;"
""OK"",
""NO COINCIDE. Valor verdadero: ""&amp;IF(valor="""",""[VACÍO]"",TO_TEXT(valor))
)
))))
),""ERROR EN FÓRMULA""))"),"NO APLICA")</f>
        <v>NO APLICA</v>
      </c>
    </row>
    <row r="2260">
      <c r="A2260" s="83" t="s">
        <v>4618</v>
      </c>
      <c r="B2260" s="83" t="s">
        <v>4619</v>
      </c>
      <c r="C2260" s="81" t="s">
        <v>4621</v>
      </c>
      <c r="D2260" s="83" t="s">
        <v>4846</v>
      </c>
      <c r="E2260" s="81" t="s">
        <v>1133</v>
      </c>
      <c r="F2260" s="84">
        <v>793.0</v>
      </c>
      <c r="G2260" s="81" t="s">
        <v>7</v>
      </c>
      <c r="H2260" s="81" t="s">
        <v>3623</v>
      </c>
      <c r="I2260" s="81" t="s">
        <v>53</v>
      </c>
      <c r="J2260" s="81" t="s">
        <v>224</v>
      </c>
      <c r="K2260" s="81" t="str">
        <f>IFERROR(__xludf.DUMMYFUNCTION("IF(OR(D2260="""",G2260=""""),"""",IFERROR(LET(
campo,XLOOKUP(TRIM(G2260),ARRAYFORMULA(TRIM('indice columnas'!$A$2:$A$100)),'indice columnas'!$B$2:$B$100,""""),
col,IFERROR(MATCH(campo,Referencia!$A$1:$AZ$1,0),0),
fila,IFERROR(MATCH(TO_TEXT(D2260),ARRAYFOR"&amp;"MULA(TO_TEXT(Referencia!$A$2:$A6238)),0),0),
IF(OR(campo="""",campo=""-""),""NO APLICA"",
IF(col=0,""REVISAR EQUIVALENCIA"",
IF(fila=0,""SKU NO ENCONTRADO"",
LET(
valor,INDEX(Referencia!$A$2:$AZ6238,fila,col),
IF(TRIM(TO_TEXT(valor))=TRIM(TO_TEXT(I2260)),"&amp;"
""OK"",
""NO COINCIDE. Valor verdadero: ""&amp;IF(valor="""",""[VACÍO]"",TO_TEXT(valor))
)
))))
),""ERROR EN FÓRMULA""))"),"REVISAR EQUIVALENCIA")</f>
        <v>REVISAR EQUIVALENCIA</v>
      </c>
    </row>
    <row r="2261">
      <c r="A2261" s="83" t="s">
        <v>4618</v>
      </c>
      <c r="B2261" s="83" t="s">
        <v>4619</v>
      </c>
      <c r="C2261" s="81" t="s">
        <v>4621</v>
      </c>
      <c r="D2261" s="83" t="s">
        <v>4846</v>
      </c>
      <c r="E2261" s="81" t="s">
        <v>1133</v>
      </c>
      <c r="F2261" s="84">
        <v>793.0</v>
      </c>
      <c r="G2261" s="81" t="s">
        <v>12</v>
      </c>
      <c r="H2261" s="81" t="s">
        <v>224</v>
      </c>
      <c r="I2261" s="81" t="s">
        <v>55</v>
      </c>
      <c r="J2261" s="81" t="s">
        <v>224</v>
      </c>
      <c r="K2261" s="81" t="str">
        <f>IFERROR(__xludf.DUMMYFUNCTION("IF(OR(D2261="""",G2261=""""),"""",IFERROR(LET(
campo,XLOOKUP(TRIM(G2261),ARRAYFORMULA(TRIM('indice columnas'!$A$2:$A$100)),'indice columnas'!$B$2:$B$100,""""),
col,IFERROR(MATCH(campo,Referencia!$A$1:$AZ$1,0),0),
fila,IFERROR(MATCH(TO_TEXT(D2261),ARRAYFOR"&amp;"MULA(TO_TEXT(Referencia!$A$2:$A6238)),0),0),
IF(OR(campo="""",campo=""-""),""NO APLICA"",
IF(col=0,""REVISAR EQUIVALENCIA"",
IF(fila=0,""SKU NO ENCONTRADO"",
LET(
valor,INDEX(Referencia!$A$2:$AZ6238,fila,col),
IF(TRIM(TO_TEXT(valor))=TRIM(TO_TEXT(I2261)),"&amp;"
""OK"",
""NO COINCIDE. Valor verdadero: ""&amp;IF(valor="""",""[VACÍO]"",TO_TEXT(valor))
)
))))
),""ERROR EN FÓRMULA""))"),"OK")</f>
        <v>OK</v>
      </c>
    </row>
    <row r="2262">
      <c r="A2262" s="83" t="s">
        <v>4618</v>
      </c>
      <c r="B2262" s="83" t="s">
        <v>4619</v>
      </c>
      <c r="C2262" s="81" t="s">
        <v>4621</v>
      </c>
      <c r="D2262" s="83" t="s">
        <v>4846</v>
      </c>
      <c r="E2262" s="81" t="s">
        <v>1133</v>
      </c>
      <c r="F2262" s="84">
        <v>793.0</v>
      </c>
      <c r="G2262" s="81" t="s">
        <v>25</v>
      </c>
      <c r="H2262" s="81" t="s">
        <v>224</v>
      </c>
      <c r="I2262" s="81" t="s">
        <v>55</v>
      </c>
      <c r="J2262" s="81" t="s">
        <v>224</v>
      </c>
      <c r="K2262" s="81" t="str">
        <f>IFERROR(__xludf.DUMMYFUNCTION("IF(OR(D2262="""",G2262=""""),"""",IFERROR(LET(
campo,XLOOKUP(TRIM(G2262),ARRAYFORMULA(TRIM('indice columnas'!$A$2:$A$100)),'indice columnas'!$B$2:$B$100,""""),
col,IFERROR(MATCH(campo,Referencia!$A$1:$AZ$1,0),0),
fila,IFERROR(MATCH(TO_TEXT(D2262),ARRAYFOR"&amp;"MULA(TO_TEXT(Referencia!$A$2:$A6238)),0),0),
IF(OR(campo="""",campo=""-""),""NO APLICA"",
IF(col=0,""REVISAR EQUIVALENCIA"",
IF(fila=0,""SKU NO ENCONTRADO"",
LET(
valor,INDEX(Referencia!$A$2:$AZ6238,fila,col),
IF(TRIM(TO_TEXT(valor))=TRIM(TO_TEXT(I2262)),"&amp;"
""OK"",
""NO COINCIDE. Valor verdadero: ""&amp;IF(valor="""",""[VACÍO]"",TO_TEXT(valor))
)
))))
),""ERROR EN FÓRMULA""))"),"OK")</f>
        <v>OK</v>
      </c>
    </row>
    <row r="2263">
      <c r="A2263" s="83" t="s">
        <v>4618</v>
      </c>
      <c r="B2263" s="83" t="s">
        <v>4619</v>
      </c>
      <c r="C2263" s="81" t="s">
        <v>4621</v>
      </c>
      <c r="D2263" s="83" t="s">
        <v>4846</v>
      </c>
      <c r="E2263" s="81" t="s">
        <v>1133</v>
      </c>
      <c r="F2263" s="84">
        <v>793.0</v>
      </c>
      <c r="G2263" s="81" t="s">
        <v>36</v>
      </c>
      <c r="H2263" s="81" t="s">
        <v>224</v>
      </c>
      <c r="I2263" s="81" t="s">
        <v>55</v>
      </c>
      <c r="J2263" s="81" t="s">
        <v>224</v>
      </c>
      <c r="K2263" s="81" t="str">
        <f>IFERROR(__xludf.DUMMYFUNCTION("IF(OR(D2263="""",G2263=""""),"""",IFERROR(LET(
campo,XLOOKUP(TRIM(G2263),ARRAYFORMULA(TRIM('indice columnas'!$A$2:$A$100)),'indice columnas'!$B$2:$B$100,""""),
col,IFERROR(MATCH(campo,Referencia!$A$1:$AZ$1,0),0),
fila,IFERROR(MATCH(TO_TEXT(D2263),ARRAYFOR"&amp;"MULA(TO_TEXT(Referencia!$A$2:$A6238)),0),0),
IF(OR(campo="""",campo=""-""),""NO APLICA"",
IF(col=0,""REVISAR EQUIVALENCIA"",
IF(fila=0,""SKU NO ENCONTRADO"",
LET(
valor,INDEX(Referencia!$A$2:$AZ6238,fila,col),
IF(TRIM(TO_TEXT(valor))=TRIM(TO_TEXT(I2263)),"&amp;"
""OK"",
""NO COINCIDE. Valor verdadero: ""&amp;IF(valor="""",""[VACÍO]"",TO_TEXT(valor))
)
))))
),""ERROR EN FÓRMULA""))"),"REVISAR EQUIVALENCIA")</f>
        <v>REVISAR EQUIVALENCIA</v>
      </c>
    </row>
    <row r="2264">
      <c r="A2264" s="83" t="s">
        <v>4618</v>
      </c>
      <c r="B2264" s="83" t="s">
        <v>4619</v>
      </c>
      <c r="C2264" s="81" t="s">
        <v>4621</v>
      </c>
      <c r="D2264" s="83" t="s">
        <v>4846</v>
      </c>
      <c r="E2264" s="81" t="s">
        <v>1133</v>
      </c>
      <c r="F2264" s="84">
        <v>793.0</v>
      </c>
      <c r="G2264" s="81" t="s">
        <v>44</v>
      </c>
      <c r="H2264" s="81" t="s">
        <v>224</v>
      </c>
      <c r="I2264" s="81" t="s">
        <v>1051</v>
      </c>
      <c r="J2264" s="81" t="s">
        <v>4088</v>
      </c>
      <c r="K2264" s="81" t="str">
        <f>IFERROR(__xludf.DUMMYFUNCTION("IF(OR(D2264="""",G2264=""""),"""",IFERROR(LET(
campo,XLOOKUP(TRIM(G2264),ARRAYFORMULA(TRIM('indice columnas'!$A$2:$A$100)),'indice columnas'!$B$2:$B$100,""""),
col,IFERROR(MATCH(campo,Referencia!$A$1:$AZ$1,0),0),
fila,IFERROR(MATCH(TO_TEXT(D2264),ARRAYFOR"&amp;"MULA(TO_TEXT(Referencia!$A$2:$A6238)),0),0),
IF(OR(campo="""",campo=""-""),""NO APLICA"",
IF(col=0,""REVISAR EQUIVALENCIA"",
IF(fila=0,""SKU NO ENCONTRADO"",
LET(
valor,INDEX(Referencia!$A$2:$AZ6238,fila,col),
IF(TRIM(TO_TEXT(valor))=TRIM(TO_TEXT(I2264)),"&amp;"
""OK"",
""NO COINCIDE. Valor verdadero: ""&amp;IF(valor="""",""[VACÍO]"",TO_TEXT(valor))
)
))))
),""ERROR EN FÓRMULA""))"),"NO APLICA")</f>
        <v>NO APLICA</v>
      </c>
    </row>
    <row r="2265">
      <c r="A2265" s="83" t="s">
        <v>4618</v>
      </c>
      <c r="B2265" s="83" t="s">
        <v>4619</v>
      </c>
      <c r="C2265" s="81" t="s">
        <v>4621</v>
      </c>
      <c r="D2265" s="83" t="s">
        <v>4847</v>
      </c>
      <c r="E2265" s="81" t="s">
        <v>4005</v>
      </c>
      <c r="F2265" s="84">
        <v>794.0</v>
      </c>
      <c r="G2265" s="81" t="s">
        <v>7</v>
      </c>
      <c r="H2265" s="81" t="s">
        <v>3623</v>
      </c>
      <c r="I2265" s="81" t="s">
        <v>53</v>
      </c>
      <c r="J2265" s="81" t="s">
        <v>224</v>
      </c>
      <c r="K2265" s="81" t="str">
        <f>IFERROR(__xludf.DUMMYFUNCTION("IF(OR(D2265="""",G2265=""""),"""",IFERROR(LET(
campo,XLOOKUP(TRIM(G2265),ARRAYFORMULA(TRIM('indice columnas'!$A$2:$A$100)),'indice columnas'!$B$2:$B$100,""""),
col,IFERROR(MATCH(campo,Referencia!$A$1:$AZ$1,0),0),
fila,IFERROR(MATCH(TO_TEXT(D2265),ARRAYFOR"&amp;"MULA(TO_TEXT(Referencia!$A$2:$A6238)),0),0),
IF(OR(campo="""",campo=""-""),""NO APLICA"",
IF(col=0,""REVISAR EQUIVALENCIA"",
IF(fila=0,""SKU NO ENCONTRADO"",
LET(
valor,INDEX(Referencia!$A$2:$AZ6238,fila,col),
IF(TRIM(TO_TEXT(valor))=TRIM(TO_TEXT(I2265)),"&amp;"
""OK"",
""NO COINCIDE. Valor verdadero: ""&amp;IF(valor="""",""[VACÍO]"",TO_TEXT(valor))
)
))))
),""ERROR EN FÓRMULA""))"),"REVISAR EQUIVALENCIA")</f>
        <v>REVISAR EQUIVALENCIA</v>
      </c>
    </row>
    <row r="2266">
      <c r="A2266" s="83" t="s">
        <v>4618</v>
      </c>
      <c r="B2266" s="83" t="s">
        <v>4619</v>
      </c>
      <c r="C2266" s="81" t="s">
        <v>4621</v>
      </c>
      <c r="D2266" s="83" t="s">
        <v>4847</v>
      </c>
      <c r="E2266" s="81" t="s">
        <v>4005</v>
      </c>
      <c r="F2266" s="84">
        <v>794.0</v>
      </c>
      <c r="G2266" s="81" t="s">
        <v>12</v>
      </c>
      <c r="H2266" s="81" t="s">
        <v>224</v>
      </c>
      <c r="I2266" s="81" t="s">
        <v>55</v>
      </c>
      <c r="J2266" s="81" t="s">
        <v>224</v>
      </c>
      <c r="K2266" s="81" t="str">
        <f>IFERROR(__xludf.DUMMYFUNCTION("IF(OR(D2266="""",G2266=""""),"""",IFERROR(LET(
campo,XLOOKUP(TRIM(G2266),ARRAYFORMULA(TRIM('indice columnas'!$A$2:$A$100)),'indice columnas'!$B$2:$B$100,""""),
col,IFERROR(MATCH(campo,Referencia!$A$1:$AZ$1,0),0),
fila,IFERROR(MATCH(TO_TEXT(D2266),ARRAYFOR"&amp;"MULA(TO_TEXT(Referencia!$A$2:$A6238)),0),0),
IF(OR(campo="""",campo=""-""),""NO APLICA"",
IF(col=0,""REVISAR EQUIVALENCIA"",
IF(fila=0,""SKU NO ENCONTRADO"",
LET(
valor,INDEX(Referencia!$A$2:$AZ6238,fila,col),
IF(TRIM(TO_TEXT(valor))=TRIM(TO_TEXT(I2266)),"&amp;"
""OK"",
""NO COINCIDE. Valor verdadero: ""&amp;IF(valor="""",""[VACÍO]"",TO_TEXT(valor))
)
))))
),""ERROR EN FÓRMULA""))"),"OK")</f>
        <v>OK</v>
      </c>
    </row>
    <row r="2267">
      <c r="A2267" s="83" t="s">
        <v>4618</v>
      </c>
      <c r="B2267" s="83" t="s">
        <v>4619</v>
      </c>
      <c r="C2267" s="81" t="s">
        <v>4621</v>
      </c>
      <c r="D2267" s="83" t="s">
        <v>4847</v>
      </c>
      <c r="E2267" s="81" t="s">
        <v>4005</v>
      </c>
      <c r="F2267" s="84">
        <v>794.0</v>
      </c>
      <c r="G2267" s="81" t="s">
        <v>25</v>
      </c>
      <c r="H2267" s="81" t="s">
        <v>224</v>
      </c>
      <c r="I2267" s="81" t="s">
        <v>55</v>
      </c>
      <c r="J2267" s="81" t="s">
        <v>224</v>
      </c>
      <c r="K2267" s="81" t="str">
        <f>IFERROR(__xludf.DUMMYFUNCTION("IF(OR(D2267="""",G2267=""""),"""",IFERROR(LET(
campo,XLOOKUP(TRIM(G2267),ARRAYFORMULA(TRIM('indice columnas'!$A$2:$A$100)),'indice columnas'!$B$2:$B$100,""""),
col,IFERROR(MATCH(campo,Referencia!$A$1:$AZ$1,0),0),
fila,IFERROR(MATCH(TO_TEXT(D2267),ARRAYFOR"&amp;"MULA(TO_TEXT(Referencia!$A$2:$A6238)),0),0),
IF(OR(campo="""",campo=""-""),""NO APLICA"",
IF(col=0,""REVISAR EQUIVALENCIA"",
IF(fila=0,""SKU NO ENCONTRADO"",
LET(
valor,INDEX(Referencia!$A$2:$AZ6238,fila,col),
IF(TRIM(TO_TEXT(valor))=TRIM(TO_TEXT(I2267)),"&amp;"
""OK"",
""NO COINCIDE. Valor verdadero: ""&amp;IF(valor="""",""[VACÍO]"",TO_TEXT(valor))
)
))))
),""ERROR EN FÓRMULA""))"),"OK")</f>
        <v>OK</v>
      </c>
    </row>
    <row r="2268">
      <c r="A2268" s="83" t="s">
        <v>4618</v>
      </c>
      <c r="B2268" s="83" t="s">
        <v>4619</v>
      </c>
      <c r="C2268" s="81" t="s">
        <v>4621</v>
      </c>
      <c r="D2268" s="83" t="s">
        <v>4847</v>
      </c>
      <c r="E2268" s="81" t="s">
        <v>4005</v>
      </c>
      <c r="F2268" s="84">
        <v>794.0</v>
      </c>
      <c r="G2268" s="81" t="s">
        <v>36</v>
      </c>
      <c r="H2268" s="81" t="s">
        <v>224</v>
      </c>
      <c r="I2268" s="81" t="s">
        <v>55</v>
      </c>
      <c r="J2268" s="81" t="s">
        <v>224</v>
      </c>
      <c r="K2268" s="81" t="str">
        <f>IFERROR(__xludf.DUMMYFUNCTION("IF(OR(D2268="""",G2268=""""),"""",IFERROR(LET(
campo,XLOOKUP(TRIM(G2268),ARRAYFORMULA(TRIM('indice columnas'!$A$2:$A$100)),'indice columnas'!$B$2:$B$100,""""),
col,IFERROR(MATCH(campo,Referencia!$A$1:$AZ$1,0),0),
fila,IFERROR(MATCH(TO_TEXT(D2268),ARRAYFOR"&amp;"MULA(TO_TEXT(Referencia!$A$2:$A6238)),0),0),
IF(OR(campo="""",campo=""-""),""NO APLICA"",
IF(col=0,""REVISAR EQUIVALENCIA"",
IF(fila=0,""SKU NO ENCONTRADO"",
LET(
valor,INDEX(Referencia!$A$2:$AZ6238,fila,col),
IF(TRIM(TO_TEXT(valor))=TRIM(TO_TEXT(I2268)),"&amp;"
""OK"",
""NO COINCIDE. Valor verdadero: ""&amp;IF(valor="""",""[VACÍO]"",TO_TEXT(valor))
)
))))
),""ERROR EN FÓRMULA""))"),"REVISAR EQUIVALENCIA")</f>
        <v>REVISAR EQUIVALENCIA</v>
      </c>
    </row>
    <row r="2269">
      <c r="A2269" s="83" t="s">
        <v>4618</v>
      </c>
      <c r="B2269" s="83" t="s">
        <v>4619</v>
      </c>
      <c r="C2269" s="81" t="s">
        <v>4621</v>
      </c>
      <c r="D2269" s="83" t="s">
        <v>4847</v>
      </c>
      <c r="E2269" s="81" t="s">
        <v>4005</v>
      </c>
      <c r="F2269" s="84">
        <v>794.0</v>
      </c>
      <c r="G2269" s="81" t="s">
        <v>44</v>
      </c>
      <c r="H2269" s="81" t="s">
        <v>224</v>
      </c>
      <c r="I2269" s="81" t="s">
        <v>1051</v>
      </c>
      <c r="J2269" s="81" t="s">
        <v>4088</v>
      </c>
      <c r="K2269" s="81" t="str">
        <f>IFERROR(__xludf.DUMMYFUNCTION("IF(OR(D2269="""",G2269=""""),"""",IFERROR(LET(
campo,XLOOKUP(TRIM(G2269),ARRAYFORMULA(TRIM('indice columnas'!$A$2:$A$100)),'indice columnas'!$B$2:$B$100,""""),
col,IFERROR(MATCH(campo,Referencia!$A$1:$AZ$1,0),0),
fila,IFERROR(MATCH(TO_TEXT(D2269),ARRAYFOR"&amp;"MULA(TO_TEXT(Referencia!$A$2:$A6238)),0),0),
IF(OR(campo="""",campo=""-""),""NO APLICA"",
IF(col=0,""REVISAR EQUIVALENCIA"",
IF(fila=0,""SKU NO ENCONTRADO"",
LET(
valor,INDEX(Referencia!$A$2:$AZ6238,fila,col),
IF(TRIM(TO_TEXT(valor))=TRIM(TO_TEXT(I2269)),"&amp;"
""OK"",
""NO COINCIDE. Valor verdadero: ""&amp;IF(valor="""",""[VACÍO]"",TO_TEXT(valor))
)
))))
),""ERROR EN FÓRMULA""))"),"NO APLICA")</f>
        <v>NO APLICA</v>
      </c>
    </row>
    <row r="2270">
      <c r="A2270" s="83" t="s">
        <v>4618</v>
      </c>
      <c r="B2270" s="83" t="s">
        <v>4619</v>
      </c>
      <c r="C2270" s="81" t="s">
        <v>4621</v>
      </c>
      <c r="D2270" s="83" t="s">
        <v>4848</v>
      </c>
      <c r="E2270" s="81" t="s">
        <v>1142</v>
      </c>
      <c r="F2270" s="84">
        <v>795.0</v>
      </c>
      <c r="G2270" s="81" t="s">
        <v>7</v>
      </c>
      <c r="H2270" s="81" t="s">
        <v>3623</v>
      </c>
      <c r="I2270" s="81" t="s">
        <v>4849</v>
      </c>
      <c r="J2270" s="81" t="s">
        <v>224</v>
      </c>
      <c r="K2270" s="81" t="str">
        <f>IFERROR(__xludf.DUMMYFUNCTION("IF(OR(D2270="""",G2270=""""),"""",IFERROR(LET(
campo,XLOOKUP(TRIM(G2270),ARRAYFORMULA(TRIM('indice columnas'!$A$2:$A$100)),'indice columnas'!$B$2:$B$100,""""),
col,IFERROR(MATCH(campo,Referencia!$A$1:$AZ$1,0),0),
fila,IFERROR(MATCH(TO_TEXT(D2270),ARRAYFOR"&amp;"MULA(TO_TEXT(Referencia!$A$2:$A6238)),0),0),
IF(OR(campo="""",campo=""-""),""NO APLICA"",
IF(col=0,""REVISAR EQUIVALENCIA"",
IF(fila=0,""SKU NO ENCONTRADO"",
LET(
valor,INDEX(Referencia!$A$2:$AZ6238,fila,col),
IF(TRIM(TO_TEXT(valor))=TRIM(TO_TEXT(I2270)),"&amp;"
""OK"",
""NO COINCIDE. Valor verdadero: ""&amp;IF(valor="""",""[VACÍO]"",TO_TEXT(valor))
)
))))
),""ERROR EN FÓRMULA""))"),"REVISAR EQUIVALENCIA")</f>
        <v>REVISAR EQUIVALENCIA</v>
      </c>
    </row>
    <row r="2271">
      <c r="A2271" s="83" t="s">
        <v>4618</v>
      </c>
      <c r="B2271" s="83" t="s">
        <v>4619</v>
      </c>
      <c r="C2271" s="81" t="s">
        <v>4621</v>
      </c>
      <c r="D2271" s="83" t="s">
        <v>4848</v>
      </c>
      <c r="E2271" s="81" t="s">
        <v>1142</v>
      </c>
      <c r="F2271" s="84">
        <v>795.0</v>
      </c>
      <c r="G2271" s="81" t="s">
        <v>12</v>
      </c>
      <c r="H2271" s="81" t="s">
        <v>224</v>
      </c>
      <c r="I2271" s="81" t="s">
        <v>55</v>
      </c>
      <c r="J2271" s="81" t="s">
        <v>224</v>
      </c>
      <c r="K2271" s="81" t="str">
        <f>IFERROR(__xludf.DUMMYFUNCTION("IF(OR(D2271="""",G2271=""""),"""",IFERROR(LET(
campo,XLOOKUP(TRIM(G2271),ARRAYFORMULA(TRIM('indice columnas'!$A$2:$A$100)),'indice columnas'!$B$2:$B$100,""""),
col,IFERROR(MATCH(campo,Referencia!$A$1:$AZ$1,0),0),
fila,IFERROR(MATCH(TO_TEXT(D2271),ARRAYFOR"&amp;"MULA(TO_TEXT(Referencia!$A$2:$A6238)),0),0),
IF(OR(campo="""",campo=""-""),""NO APLICA"",
IF(col=0,""REVISAR EQUIVALENCIA"",
IF(fila=0,""SKU NO ENCONTRADO"",
LET(
valor,INDEX(Referencia!$A$2:$AZ6238,fila,col),
IF(TRIM(TO_TEXT(valor))=TRIM(TO_TEXT(I2271)),"&amp;"
""OK"",
""NO COINCIDE. Valor verdadero: ""&amp;IF(valor="""",""[VACÍO]"",TO_TEXT(valor))
)
))))
),""ERROR EN FÓRMULA""))"),"OK")</f>
        <v>OK</v>
      </c>
    </row>
    <row r="2272">
      <c r="A2272" s="83" t="s">
        <v>4618</v>
      </c>
      <c r="B2272" s="83" t="s">
        <v>4619</v>
      </c>
      <c r="C2272" s="81" t="s">
        <v>4621</v>
      </c>
      <c r="D2272" s="83" t="s">
        <v>4848</v>
      </c>
      <c r="E2272" s="81" t="s">
        <v>1142</v>
      </c>
      <c r="F2272" s="84">
        <v>795.0</v>
      </c>
      <c r="G2272" s="81" t="s">
        <v>25</v>
      </c>
      <c r="H2272" s="81" t="s">
        <v>224</v>
      </c>
      <c r="I2272" s="81" t="s">
        <v>55</v>
      </c>
      <c r="J2272" s="81" t="s">
        <v>224</v>
      </c>
      <c r="K2272" s="81" t="str">
        <f>IFERROR(__xludf.DUMMYFUNCTION("IF(OR(D2272="""",G2272=""""),"""",IFERROR(LET(
campo,XLOOKUP(TRIM(G2272),ARRAYFORMULA(TRIM('indice columnas'!$A$2:$A$100)),'indice columnas'!$B$2:$B$100,""""),
col,IFERROR(MATCH(campo,Referencia!$A$1:$AZ$1,0),0),
fila,IFERROR(MATCH(TO_TEXT(D2272),ARRAYFOR"&amp;"MULA(TO_TEXT(Referencia!$A$2:$A6238)),0),0),
IF(OR(campo="""",campo=""-""),""NO APLICA"",
IF(col=0,""REVISAR EQUIVALENCIA"",
IF(fila=0,""SKU NO ENCONTRADO"",
LET(
valor,INDEX(Referencia!$A$2:$AZ6238,fila,col),
IF(TRIM(TO_TEXT(valor))=TRIM(TO_TEXT(I2272)),"&amp;"
""OK"",
""NO COINCIDE. Valor verdadero: ""&amp;IF(valor="""",""[VACÍO]"",TO_TEXT(valor))
)
))))
),""ERROR EN FÓRMULA""))"),"OK")</f>
        <v>OK</v>
      </c>
    </row>
    <row r="2273">
      <c r="A2273" s="83" t="s">
        <v>4618</v>
      </c>
      <c r="B2273" s="83" t="s">
        <v>4619</v>
      </c>
      <c r="C2273" s="81" t="s">
        <v>4621</v>
      </c>
      <c r="D2273" s="83" t="s">
        <v>4848</v>
      </c>
      <c r="E2273" s="81" t="s">
        <v>1142</v>
      </c>
      <c r="F2273" s="84">
        <v>795.0</v>
      </c>
      <c r="G2273" s="81" t="s">
        <v>36</v>
      </c>
      <c r="H2273" s="81" t="s">
        <v>224</v>
      </c>
      <c r="I2273" s="81" t="s">
        <v>55</v>
      </c>
      <c r="J2273" s="81" t="s">
        <v>224</v>
      </c>
      <c r="K2273" s="81" t="str">
        <f>IFERROR(__xludf.DUMMYFUNCTION("IF(OR(D2273="""",G2273=""""),"""",IFERROR(LET(
campo,XLOOKUP(TRIM(G2273),ARRAYFORMULA(TRIM('indice columnas'!$A$2:$A$100)),'indice columnas'!$B$2:$B$100,""""),
col,IFERROR(MATCH(campo,Referencia!$A$1:$AZ$1,0),0),
fila,IFERROR(MATCH(TO_TEXT(D2273),ARRAYFOR"&amp;"MULA(TO_TEXT(Referencia!$A$2:$A6238)),0),0),
IF(OR(campo="""",campo=""-""),""NO APLICA"",
IF(col=0,""REVISAR EQUIVALENCIA"",
IF(fila=0,""SKU NO ENCONTRADO"",
LET(
valor,INDEX(Referencia!$A$2:$AZ6238,fila,col),
IF(TRIM(TO_TEXT(valor))=TRIM(TO_TEXT(I2273)),"&amp;"
""OK"",
""NO COINCIDE. Valor verdadero: ""&amp;IF(valor="""",""[VACÍO]"",TO_TEXT(valor))
)
))))
),""ERROR EN FÓRMULA""))"),"REVISAR EQUIVALENCIA")</f>
        <v>REVISAR EQUIVALENCIA</v>
      </c>
    </row>
    <row r="2274">
      <c r="A2274" s="83" t="s">
        <v>4618</v>
      </c>
      <c r="B2274" s="83" t="s">
        <v>4619</v>
      </c>
      <c r="C2274" s="81" t="s">
        <v>4621</v>
      </c>
      <c r="D2274" s="83" t="s">
        <v>4848</v>
      </c>
      <c r="E2274" s="81" t="s">
        <v>1142</v>
      </c>
      <c r="F2274" s="84">
        <v>795.0</v>
      </c>
      <c r="G2274" s="81" t="s">
        <v>44</v>
      </c>
      <c r="H2274" s="81" t="s">
        <v>224</v>
      </c>
      <c r="I2274" s="81" t="s">
        <v>1051</v>
      </c>
      <c r="J2274" s="81" t="s">
        <v>4088</v>
      </c>
      <c r="K2274" s="81" t="str">
        <f>IFERROR(__xludf.DUMMYFUNCTION("IF(OR(D2274="""",G2274=""""),"""",IFERROR(LET(
campo,XLOOKUP(TRIM(G2274),ARRAYFORMULA(TRIM('indice columnas'!$A$2:$A$100)),'indice columnas'!$B$2:$B$100,""""),
col,IFERROR(MATCH(campo,Referencia!$A$1:$AZ$1,0),0),
fila,IFERROR(MATCH(TO_TEXT(D2274),ARRAYFOR"&amp;"MULA(TO_TEXT(Referencia!$A$2:$A6238)),0),0),
IF(OR(campo="""",campo=""-""),""NO APLICA"",
IF(col=0,""REVISAR EQUIVALENCIA"",
IF(fila=0,""SKU NO ENCONTRADO"",
LET(
valor,INDEX(Referencia!$A$2:$AZ6238,fila,col),
IF(TRIM(TO_TEXT(valor))=TRIM(TO_TEXT(I2274)),"&amp;"
""OK"",
""NO COINCIDE. Valor verdadero: ""&amp;IF(valor="""",""[VACÍO]"",TO_TEXT(valor))
)
))))
),""ERROR EN FÓRMULA""))"),"NO APLICA")</f>
        <v>NO APLICA</v>
      </c>
    </row>
    <row r="2275">
      <c r="A2275" s="83" t="s">
        <v>4618</v>
      </c>
      <c r="B2275" s="83" t="s">
        <v>4619</v>
      </c>
      <c r="C2275" s="81" t="s">
        <v>4621</v>
      </c>
      <c r="D2275" s="83" t="s">
        <v>4850</v>
      </c>
      <c r="E2275" s="81" t="s">
        <v>1138</v>
      </c>
      <c r="F2275" s="84">
        <v>796.0</v>
      </c>
      <c r="G2275" s="81" t="s">
        <v>7</v>
      </c>
      <c r="H2275" s="81" t="s">
        <v>3623</v>
      </c>
      <c r="I2275" s="81" t="s">
        <v>4849</v>
      </c>
      <c r="J2275" s="81" t="s">
        <v>224</v>
      </c>
      <c r="K2275" s="81" t="str">
        <f>IFERROR(__xludf.DUMMYFUNCTION("IF(OR(D2275="""",G2275=""""),"""",IFERROR(LET(
campo,XLOOKUP(TRIM(G2275),ARRAYFORMULA(TRIM('indice columnas'!$A$2:$A$100)),'indice columnas'!$B$2:$B$100,""""),
col,IFERROR(MATCH(campo,Referencia!$A$1:$AZ$1,0),0),
fila,IFERROR(MATCH(TO_TEXT(D2275),ARRAYFOR"&amp;"MULA(TO_TEXT(Referencia!$A$2:$A6238)),0),0),
IF(OR(campo="""",campo=""-""),""NO APLICA"",
IF(col=0,""REVISAR EQUIVALENCIA"",
IF(fila=0,""SKU NO ENCONTRADO"",
LET(
valor,INDEX(Referencia!$A$2:$AZ6238,fila,col),
IF(TRIM(TO_TEXT(valor))=TRIM(TO_TEXT(I2275)),"&amp;"
""OK"",
""NO COINCIDE. Valor verdadero: ""&amp;IF(valor="""",""[VACÍO]"",TO_TEXT(valor))
)
))))
),""ERROR EN FÓRMULA""))"),"REVISAR EQUIVALENCIA")</f>
        <v>REVISAR EQUIVALENCIA</v>
      </c>
    </row>
    <row r="2276">
      <c r="A2276" s="83" t="s">
        <v>4618</v>
      </c>
      <c r="B2276" s="83" t="s">
        <v>4619</v>
      </c>
      <c r="C2276" s="81" t="s">
        <v>4621</v>
      </c>
      <c r="D2276" s="83" t="s">
        <v>4850</v>
      </c>
      <c r="E2276" s="81" t="s">
        <v>1138</v>
      </c>
      <c r="F2276" s="84">
        <v>796.0</v>
      </c>
      <c r="G2276" s="81" t="s">
        <v>12</v>
      </c>
      <c r="H2276" s="81" t="s">
        <v>224</v>
      </c>
      <c r="I2276" s="81" t="s">
        <v>55</v>
      </c>
      <c r="J2276" s="81" t="s">
        <v>224</v>
      </c>
      <c r="K2276" s="81" t="str">
        <f>IFERROR(__xludf.DUMMYFUNCTION("IF(OR(D2276="""",G2276=""""),"""",IFERROR(LET(
campo,XLOOKUP(TRIM(G2276),ARRAYFORMULA(TRIM('indice columnas'!$A$2:$A$100)),'indice columnas'!$B$2:$B$100,""""),
col,IFERROR(MATCH(campo,Referencia!$A$1:$AZ$1,0),0),
fila,IFERROR(MATCH(TO_TEXT(D2276),ARRAYFOR"&amp;"MULA(TO_TEXT(Referencia!$A$2:$A6238)),0),0),
IF(OR(campo="""",campo=""-""),""NO APLICA"",
IF(col=0,""REVISAR EQUIVALENCIA"",
IF(fila=0,""SKU NO ENCONTRADO"",
LET(
valor,INDEX(Referencia!$A$2:$AZ6238,fila,col),
IF(TRIM(TO_TEXT(valor))=TRIM(TO_TEXT(I2276)),"&amp;"
""OK"",
""NO COINCIDE. Valor verdadero: ""&amp;IF(valor="""",""[VACÍO]"",TO_TEXT(valor))
)
))))
),""ERROR EN FÓRMULA""))"),"OK")</f>
        <v>OK</v>
      </c>
    </row>
    <row r="2277">
      <c r="A2277" s="83" t="s">
        <v>4618</v>
      </c>
      <c r="B2277" s="83" t="s">
        <v>4619</v>
      </c>
      <c r="C2277" s="81" t="s">
        <v>4621</v>
      </c>
      <c r="D2277" s="83" t="s">
        <v>4850</v>
      </c>
      <c r="E2277" s="81" t="s">
        <v>1138</v>
      </c>
      <c r="F2277" s="84">
        <v>796.0</v>
      </c>
      <c r="G2277" s="81" t="s">
        <v>25</v>
      </c>
      <c r="H2277" s="81" t="s">
        <v>224</v>
      </c>
      <c r="I2277" s="81" t="s">
        <v>55</v>
      </c>
      <c r="J2277" s="81" t="s">
        <v>224</v>
      </c>
      <c r="K2277" s="81" t="str">
        <f>IFERROR(__xludf.DUMMYFUNCTION("IF(OR(D2277="""",G2277=""""),"""",IFERROR(LET(
campo,XLOOKUP(TRIM(G2277),ARRAYFORMULA(TRIM('indice columnas'!$A$2:$A$100)),'indice columnas'!$B$2:$B$100,""""),
col,IFERROR(MATCH(campo,Referencia!$A$1:$AZ$1,0),0),
fila,IFERROR(MATCH(TO_TEXT(D2277),ARRAYFOR"&amp;"MULA(TO_TEXT(Referencia!$A$2:$A6238)),0),0),
IF(OR(campo="""",campo=""-""),""NO APLICA"",
IF(col=0,""REVISAR EQUIVALENCIA"",
IF(fila=0,""SKU NO ENCONTRADO"",
LET(
valor,INDEX(Referencia!$A$2:$AZ6238,fila,col),
IF(TRIM(TO_TEXT(valor))=TRIM(TO_TEXT(I2277)),"&amp;"
""OK"",
""NO COINCIDE. Valor verdadero: ""&amp;IF(valor="""",""[VACÍO]"",TO_TEXT(valor))
)
))))
),""ERROR EN FÓRMULA""))"),"OK")</f>
        <v>OK</v>
      </c>
    </row>
    <row r="2278">
      <c r="A2278" s="83" t="s">
        <v>4618</v>
      </c>
      <c r="B2278" s="83" t="s">
        <v>4619</v>
      </c>
      <c r="C2278" s="81" t="s">
        <v>4621</v>
      </c>
      <c r="D2278" s="83" t="s">
        <v>4850</v>
      </c>
      <c r="E2278" s="81" t="s">
        <v>1138</v>
      </c>
      <c r="F2278" s="84">
        <v>796.0</v>
      </c>
      <c r="G2278" s="81" t="s">
        <v>36</v>
      </c>
      <c r="H2278" s="81" t="s">
        <v>224</v>
      </c>
      <c r="I2278" s="81" t="s">
        <v>55</v>
      </c>
      <c r="J2278" s="81" t="s">
        <v>224</v>
      </c>
      <c r="K2278" s="81" t="str">
        <f>IFERROR(__xludf.DUMMYFUNCTION("IF(OR(D2278="""",G2278=""""),"""",IFERROR(LET(
campo,XLOOKUP(TRIM(G2278),ARRAYFORMULA(TRIM('indice columnas'!$A$2:$A$100)),'indice columnas'!$B$2:$B$100,""""),
col,IFERROR(MATCH(campo,Referencia!$A$1:$AZ$1,0),0),
fila,IFERROR(MATCH(TO_TEXT(D2278),ARRAYFOR"&amp;"MULA(TO_TEXT(Referencia!$A$2:$A6238)),0),0),
IF(OR(campo="""",campo=""-""),""NO APLICA"",
IF(col=0,""REVISAR EQUIVALENCIA"",
IF(fila=0,""SKU NO ENCONTRADO"",
LET(
valor,INDEX(Referencia!$A$2:$AZ6238,fila,col),
IF(TRIM(TO_TEXT(valor))=TRIM(TO_TEXT(I2278)),"&amp;"
""OK"",
""NO COINCIDE. Valor verdadero: ""&amp;IF(valor="""",""[VACÍO]"",TO_TEXT(valor))
)
))))
),""ERROR EN FÓRMULA""))"),"REVISAR EQUIVALENCIA")</f>
        <v>REVISAR EQUIVALENCIA</v>
      </c>
    </row>
    <row r="2279">
      <c r="A2279" s="83" t="s">
        <v>4618</v>
      </c>
      <c r="B2279" s="83" t="s">
        <v>4619</v>
      </c>
      <c r="C2279" s="81" t="s">
        <v>4621</v>
      </c>
      <c r="D2279" s="83" t="s">
        <v>4850</v>
      </c>
      <c r="E2279" s="81" t="s">
        <v>1138</v>
      </c>
      <c r="F2279" s="84">
        <v>796.0</v>
      </c>
      <c r="G2279" s="81" t="s">
        <v>44</v>
      </c>
      <c r="H2279" s="81" t="s">
        <v>224</v>
      </c>
      <c r="I2279" s="81" t="s">
        <v>1051</v>
      </c>
      <c r="J2279" s="81" t="s">
        <v>4088</v>
      </c>
      <c r="K2279" s="81" t="str">
        <f>IFERROR(__xludf.DUMMYFUNCTION("IF(OR(D2279="""",G2279=""""),"""",IFERROR(LET(
campo,XLOOKUP(TRIM(G2279),ARRAYFORMULA(TRIM('indice columnas'!$A$2:$A$100)),'indice columnas'!$B$2:$B$100,""""),
col,IFERROR(MATCH(campo,Referencia!$A$1:$AZ$1,0),0),
fila,IFERROR(MATCH(TO_TEXT(D2279),ARRAYFOR"&amp;"MULA(TO_TEXT(Referencia!$A$2:$A6238)),0),0),
IF(OR(campo="""",campo=""-""),""NO APLICA"",
IF(col=0,""REVISAR EQUIVALENCIA"",
IF(fila=0,""SKU NO ENCONTRADO"",
LET(
valor,INDEX(Referencia!$A$2:$AZ6238,fila,col),
IF(TRIM(TO_TEXT(valor))=TRIM(TO_TEXT(I2279)),"&amp;"
""OK"",
""NO COINCIDE. Valor verdadero: ""&amp;IF(valor="""",""[VACÍO]"",TO_TEXT(valor))
)
))))
),""ERROR EN FÓRMULA""))"),"NO APLICA")</f>
        <v>NO APLICA</v>
      </c>
    </row>
    <row r="2280">
      <c r="A2280" s="83" t="s">
        <v>4851</v>
      </c>
      <c r="B2280" s="83" t="s">
        <v>4852</v>
      </c>
      <c r="C2280" s="81" t="s">
        <v>4080</v>
      </c>
      <c r="D2280" s="81" t="s">
        <v>224</v>
      </c>
      <c r="E2280" s="81" t="s">
        <v>224</v>
      </c>
      <c r="F2280" s="81" t="s">
        <v>224</v>
      </c>
      <c r="G2280" s="81" t="s">
        <v>224</v>
      </c>
      <c r="H2280" s="81" t="s">
        <v>224</v>
      </c>
      <c r="I2280" s="81" t="s">
        <v>224</v>
      </c>
      <c r="J2280" s="81" t="s">
        <v>4853</v>
      </c>
      <c r="K2280" s="81" t="str">
        <f>IFERROR(__xludf.DUMMYFUNCTION("IF(OR(D2280="""",G2280=""""),"""",IFERROR(LET(
campo,XLOOKUP(TRIM(G2280),ARRAYFORMULA(TRIM('indice columnas'!$A$2:$A$100)),'indice columnas'!$B$2:$B$100,""""),
col,IFERROR(MATCH(campo,Referencia!$A$1:$AZ$1,0),0),
fila,IFERROR(MATCH(TO_TEXT(D2280),ARRAYFOR"&amp;"MULA(TO_TEXT(Referencia!$A$2:$A6238)),0),0),
IF(OR(campo="""",campo=""-""),""NO APLICA"",
IF(col=0,""REVISAR EQUIVALENCIA"",
IF(fila=0,""SKU NO ENCONTRADO"",
LET(
valor,INDEX(Referencia!$A$2:$AZ6238,fila,col),
IF(TRIM(TO_TEXT(valor))=TRIM(TO_TEXT(I2280)),"&amp;"
""OK"",
""NO COINCIDE. Valor verdadero: ""&amp;IF(valor="""",""[VACÍO]"",TO_TEXT(valor))
)
))))
),""ERROR EN FÓRMULA""))"),"")</f>
        <v/>
      </c>
    </row>
    <row r="2281">
      <c r="A2281" s="83" t="s">
        <v>4851</v>
      </c>
      <c r="B2281" s="83" t="s">
        <v>4852</v>
      </c>
      <c r="C2281" s="81" t="s">
        <v>4082</v>
      </c>
      <c r="D2281" s="81" t="s">
        <v>224</v>
      </c>
      <c r="E2281" s="81" t="s">
        <v>224</v>
      </c>
      <c r="F2281" s="81" t="s">
        <v>224</v>
      </c>
      <c r="G2281" s="81" t="s">
        <v>8</v>
      </c>
      <c r="H2281" s="81" t="s">
        <v>224</v>
      </c>
      <c r="I2281" s="81" t="s">
        <v>224</v>
      </c>
      <c r="J2281" s="81" t="s">
        <v>4083</v>
      </c>
      <c r="K2281" s="81" t="str">
        <f>IFERROR(__xludf.DUMMYFUNCTION("IF(OR(D2281="""",G2281=""""),"""",IFERROR(LET(
campo,XLOOKUP(TRIM(G2281),ARRAYFORMULA(TRIM('indice columnas'!$A$2:$A$100)),'indice columnas'!$B$2:$B$100,""""),
col,IFERROR(MATCH(campo,Referencia!$A$1:$AZ$1,0),0),
fila,IFERROR(MATCH(TO_TEXT(D2281),ARRAYFOR"&amp;"MULA(TO_TEXT(Referencia!$A$2:$A6238)),0),0),
IF(OR(campo="""",campo=""-""),""NO APLICA"",
IF(col=0,""REVISAR EQUIVALENCIA"",
IF(fila=0,""SKU NO ENCONTRADO"",
LET(
valor,INDEX(Referencia!$A$2:$AZ6238,fila,col),
IF(TRIM(TO_TEXT(valor))=TRIM(TO_TEXT(I2281)),"&amp;"
""OK"",
""NO COINCIDE. Valor verdadero: ""&amp;IF(valor="""",""[VACÍO]"",TO_TEXT(valor))
)
))))
),""ERROR EN FÓRMULA""))"),"")</f>
        <v/>
      </c>
    </row>
    <row r="2282">
      <c r="A2282" s="83" t="s">
        <v>4851</v>
      </c>
      <c r="B2282" s="83" t="s">
        <v>4852</v>
      </c>
      <c r="C2282" s="81" t="s">
        <v>4084</v>
      </c>
      <c r="D2282" s="81" t="s">
        <v>224</v>
      </c>
      <c r="E2282" s="81" t="s">
        <v>224</v>
      </c>
      <c r="F2282" s="81" t="s">
        <v>224</v>
      </c>
      <c r="G2282" s="81" t="s">
        <v>9</v>
      </c>
      <c r="H2282" s="81" t="s">
        <v>224</v>
      </c>
      <c r="I2282" s="81" t="s">
        <v>224</v>
      </c>
      <c r="J2282" s="81" t="s">
        <v>4085</v>
      </c>
      <c r="K2282" s="81" t="str">
        <f>IFERROR(__xludf.DUMMYFUNCTION("IF(OR(D2282="""",G2282=""""),"""",IFERROR(LET(
campo,XLOOKUP(TRIM(G2282),ARRAYFORMULA(TRIM('indice columnas'!$A$2:$A$100)),'indice columnas'!$B$2:$B$100,""""),
col,IFERROR(MATCH(campo,Referencia!$A$1:$AZ$1,0),0),
fila,IFERROR(MATCH(TO_TEXT(D2282),ARRAYFOR"&amp;"MULA(TO_TEXT(Referencia!$A$2:$A6238)),0),0),
IF(OR(campo="""",campo=""-""),""NO APLICA"",
IF(col=0,""REVISAR EQUIVALENCIA"",
IF(fila=0,""SKU NO ENCONTRADO"",
LET(
valor,INDEX(Referencia!$A$2:$AZ6238,fila,col),
IF(TRIM(TO_TEXT(valor))=TRIM(TO_TEXT(I2282)),"&amp;"
""OK"",
""NO COINCIDE. Valor verdadero: ""&amp;IF(valor="""",""[VACÍO]"",TO_TEXT(valor))
)
))))
),""ERROR EN FÓRMULA""))"),"")</f>
        <v/>
      </c>
    </row>
    <row r="2283">
      <c r="A2283" s="83" t="s">
        <v>4078</v>
      </c>
      <c r="B2283" s="83" t="s">
        <v>4079</v>
      </c>
      <c r="C2283" s="81" t="s">
        <v>4086</v>
      </c>
      <c r="D2283" s="83" t="s">
        <v>4617</v>
      </c>
      <c r="E2283" s="81" t="s">
        <v>2933</v>
      </c>
      <c r="F2283" s="84">
        <v>566.0</v>
      </c>
      <c r="G2283" s="81" t="s">
        <v>44</v>
      </c>
      <c r="H2283" s="81" t="s">
        <v>4440</v>
      </c>
      <c r="I2283" s="81" t="s">
        <v>2907</v>
      </c>
      <c r="J2283" s="81" t="s">
        <v>4088</v>
      </c>
      <c r="K2283" s="81" t="str">
        <f>IFERROR(__xludf.DUMMYFUNCTION("IF(OR(D2283="""",G2283=""""),"""",IFERROR(LET(
campo,XLOOKUP(TRIM(G2283),ARRAYFORMULA(TRIM('indice columnas'!$A$2:$A$100)),'indice columnas'!$B$2:$B$100,""""),
col,IFERROR(MATCH(campo,Referencia!$A$1:$AZ$1,0),0),
fila,IFERROR(MATCH(TO_TEXT(D2283),ARRAYFOR"&amp;"MULA(TO_TEXT(Referencia!$A$2:$A6238)),0),0),
IF(OR(campo="""",campo=""-""),""NO APLICA"",
IF(col=0,""REVISAR EQUIVALENCIA"",
IF(fila=0,""SKU NO ENCONTRADO"",
LET(
valor,INDEX(Referencia!$A$2:$AZ6238,fila,col),
IF(TRIM(TO_TEXT(valor))=TRIM(TO_TEXT(I2283)),"&amp;"
""OK"",
""NO COINCIDE. Valor verdadero: ""&amp;IF(valor="""",""[VACÍO]"",TO_TEXT(valor))
)
))))
),""ERROR EN FÓRMULA""))"),"NO APLICA")</f>
        <v>NO APLICA</v>
      </c>
    </row>
    <row r="2284">
      <c r="A2284" s="83" t="s">
        <v>4078</v>
      </c>
      <c r="B2284" s="83" t="s">
        <v>4079</v>
      </c>
      <c r="C2284" s="81" t="s">
        <v>4086</v>
      </c>
      <c r="D2284" s="83" t="s">
        <v>4622</v>
      </c>
      <c r="E2284" s="81" t="s">
        <v>2936</v>
      </c>
      <c r="F2284" s="84">
        <v>567.0</v>
      </c>
      <c r="G2284" s="81" t="s">
        <v>44</v>
      </c>
      <c r="H2284" s="81" t="s">
        <v>4623</v>
      </c>
      <c r="I2284" s="81" t="s">
        <v>4624</v>
      </c>
      <c r="J2284" s="81" t="s">
        <v>4088</v>
      </c>
      <c r="K2284" s="81" t="str">
        <f>IFERROR(__xludf.DUMMYFUNCTION("IF(OR(D2284="""",G2284=""""),"""",IFERROR(LET(
campo,XLOOKUP(TRIM(G2284),ARRAYFORMULA(TRIM('indice columnas'!$A$2:$A$100)),'indice columnas'!$B$2:$B$100,""""),
col,IFERROR(MATCH(campo,Referencia!$A$1:$AZ$1,0),0),
fila,IFERROR(MATCH(TO_TEXT(D2284),ARRAYFOR"&amp;"MULA(TO_TEXT(Referencia!$A$2:$A6238)),0),0),
IF(OR(campo="""",campo=""-""),""NO APLICA"",
IF(col=0,""REVISAR EQUIVALENCIA"",
IF(fila=0,""SKU NO ENCONTRADO"",
LET(
valor,INDEX(Referencia!$A$2:$AZ6238,fila,col),
IF(TRIM(TO_TEXT(valor))=TRIM(TO_TEXT(I2284)),"&amp;"
""OK"",
""NO COINCIDE. Valor verdadero: ""&amp;IF(valor="""",""[VACÍO]"",TO_TEXT(valor))
)
))))
),""ERROR EN FÓRMULA""))"),"NO APLICA")</f>
        <v>NO APLICA</v>
      </c>
    </row>
    <row r="2285">
      <c r="A2285" s="83" t="s">
        <v>4078</v>
      </c>
      <c r="B2285" s="83" t="s">
        <v>4079</v>
      </c>
      <c r="C2285" s="81" t="s">
        <v>4086</v>
      </c>
      <c r="D2285" s="83" t="s">
        <v>4625</v>
      </c>
      <c r="E2285" s="81" t="s">
        <v>2949</v>
      </c>
      <c r="F2285" s="84">
        <v>568.0</v>
      </c>
      <c r="G2285" s="81" t="s">
        <v>44</v>
      </c>
      <c r="H2285" s="81" t="s">
        <v>4626</v>
      </c>
      <c r="I2285" s="81" t="s">
        <v>2949</v>
      </c>
      <c r="J2285" s="81" t="s">
        <v>4088</v>
      </c>
      <c r="K2285" s="81" t="str">
        <f>IFERROR(__xludf.DUMMYFUNCTION("IF(OR(D2285="""",G2285=""""),"""",IFERROR(LET(
campo,XLOOKUP(TRIM(G2285),ARRAYFORMULA(TRIM('indice columnas'!$A$2:$A$100)),'indice columnas'!$B$2:$B$100,""""),
col,IFERROR(MATCH(campo,Referencia!$A$1:$AZ$1,0),0),
fila,IFERROR(MATCH(TO_TEXT(D2285),ARRAYFOR"&amp;"MULA(TO_TEXT(Referencia!$A$2:$A6238)),0),0),
IF(OR(campo="""",campo=""-""),""NO APLICA"",
IF(col=0,""REVISAR EQUIVALENCIA"",
IF(fila=0,""SKU NO ENCONTRADO"",
LET(
valor,INDEX(Referencia!$A$2:$AZ6238,fila,col),
IF(TRIM(TO_TEXT(valor))=TRIM(TO_TEXT(I2285)),"&amp;"
""OK"",
""NO COINCIDE. Valor verdadero: ""&amp;IF(valor="""",""[VACÍO]"",TO_TEXT(valor))
)
))))
),""ERROR EN FÓRMULA""))"),"NO APLICA")</f>
        <v>NO APLICA</v>
      </c>
    </row>
    <row r="2286">
      <c r="A2286" s="83" t="s">
        <v>4078</v>
      </c>
      <c r="B2286" s="83" t="s">
        <v>4079</v>
      </c>
      <c r="C2286" s="81" t="s">
        <v>4086</v>
      </c>
      <c r="D2286" s="83" t="s">
        <v>4625</v>
      </c>
      <c r="E2286" s="81" t="s">
        <v>2961</v>
      </c>
      <c r="F2286" s="84">
        <v>569.0</v>
      </c>
      <c r="G2286" s="81" t="s">
        <v>12</v>
      </c>
      <c r="H2286" s="81" t="s">
        <v>224</v>
      </c>
      <c r="I2286" s="81" t="s">
        <v>1549</v>
      </c>
      <c r="J2286" s="81" t="s">
        <v>224</v>
      </c>
      <c r="K2286" s="81" t="str">
        <f>IFERROR(__xludf.DUMMYFUNCTION("IF(OR(D2286="""",G2286=""""),"""",IFERROR(LET(
campo,XLOOKUP(TRIM(G2286),ARRAYFORMULA(TRIM('indice columnas'!$A$2:$A$100)),'indice columnas'!$B$2:$B$100,""""),
col,IFERROR(MATCH(campo,Referencia!$A$1:$AZ$1,0),0),
fila,IFERROR(MATCH(TO_TEXT(D2286),ARRAYFOR"&amp;"MULA(TO_TEXT(Referencia!$A$2:$A6238)),0),0),
IF(OR(campo="""",campo=""-""),""NO APLICA"",
IF(col=0,""REVISAR EQUIVALENCIA"",
IF(fila=0,""SKU NO ENCONTRADO"",
LET(
valor,INDEX(Referencia!$A$2:$AZ6238,fila,col),
IF(TRIM(TO_TEXT(valor))=TRIM(TO_TEXT(I2286)),"&amp;"
""OK"",
""NO COINCIDE. Valor verdadero: ""&amp;IF(valor="""",""[VACÍO]"",TO_TEXT(valor))
)
))))
),""ERROR EN FÓRMULA""))"),"OK")</f>
        <v>OK</v>
      </c>
    </row>
    <row r="2287">
      <c r="A2287" s="83" t="s">
        <v>4078</v>
      </c>
      <c r="B2287" s="83" t="s">
        <v>4079</v>
      </c>
      <c r="C2287" s="81" t="s">
        <v>4086</v>
      </c>
      <c r="D2287" s="83" t="s">
        <v>4625</v>
      </c>
      <c r="E2287" s="81" t="s">
        <v>2961</v>
      </c>
      <c r="F2287" s="84">
        <v>569.0</v>
      </c>
      <c r="G2287" s="81" t="s">
        <v>44</v>
      </c>
      <c r="H2287" s="81" t="s">
        <v>4626</v>
      </c>
      <c r="I2287" s="81" t="s">
        <v>2949</v>
      </c>
      <c r="J2287" s="81" t="s">
        <v>4088</v>
      </c>
      <c r="K2287" s="81" t="str">
        <f>IFERROR(__xludf.DUMMYFUNCTION("IF(OR(D2287="""",G2287=""""),"""",IFERROR(LET(
campo,XLOOKUP(TRIM(G2287),ARRAYFORMULA(TRIM('indice columnas'!$A$2:$A$100)),'indice columnas'!$B$2:$B$100,""""),
col,IFERROR(MATCH(campo,Referencia!$A$1:$AZ$1,0),0),
fila,IFERROR(MATCH(TO_TEXT(D2287),ARRAYFOR"&amp;"MULA(TO_TEXT(Referencia!$A$2:$A6238)),0),0),
IF(OR(campo="""",campo=""-""),""NO APLICA"",
IF(col=0,""REVISAR EQUIVALENCIA"",
IF(fila=0,""SKU NO ENCONTRADO"",
LET(
valor,INDEX(Referencia!$A$2:$AZ6238,fila,col),
IF(TRIM(TO_TEXT(valor))=TRIM(TO_TEXT(I2287)),"&amp;"
""OK"",
""NO COINCIDE. Valor verdadero: ""&amp;IF(valor="""",""[VACÍO]"",TO_TEXT(valor))
)
))))
),""ERROR EN FÓRMULA""))"),"NO APLICA")</f>
        <v>NO APLICA</v>
      </c>
    </row>
    <row r="2288">
      <c r="A2288" s="83" t="s">
        <v>4078</v>
      </c>
      <c r="B2288" s="83" t="s">
        <v>4079</v>
      </c>
      <c r="C2288" s="81" t="s">
        <v>4086</v>
      </c>
      <c r="D2288" s="83" t="s">
        <v>4627</v>
      </c>
      <c r="E2288" s="81" t="s">
        <v>2962</v>
      </c>
      <c r="F2288" s="84">
        <v>570.0</v>
      </c>
      <c r="G2288" s="81" t="s">
        <v>12</v>
      </c>
      <c r="H2288" s="81" t="s">
        <v>224</v>
      </c>
      <c r="I2288" s="81" t="s">
        <v>1549</v>
      </c>
      <c r="J2288" s="81" t="s">
        <v>224</v>
      </c>
      <c r="K2288" s="81" t="str">
        <f>IFERROR(__xludf.DUMMYFUNCTION("IF(OR(D2288="""",G2288=""""),"""",IFERROR(LET(
campo,XLOOKUP(TRIM(G2288),ARRAYFORMULA(TRIM('indice columnas'!$A$2:$A$100)),'indice columnas'!$B$2:$B$100,""""),
col,IFERROR(MATCH(campo,Referencia!$A$1:$AZ$1,0),0),
fila,IFERROR(MATCH(TO_TEXT(D2288),ARRAYFOR"&amp;"MULA(TO_TEXT(Referencia!$A$2:$A6238)),0),0),
IF(OR(campo="""",campo=""-""),""NO APLICA"",
IF(col=0,""REVISAR EQUIVALENCIA"",
IF(fila=0,""SKU NO ENCONTRADO"",
LET(
valor,INDEX(Referencia!$A$2:$AZ6238,fila,col),
IF(TRIM(TO_TEXT(valor))=TRIM(TO_TEXT(I2288)),"&amp;"
""OK"",
""NO COINCIDE. Valor verdadero: ""&amp;IF(valor="""",""[VACÍO]"",TO_TEXT(valor))
)
))))
),""ERROR EN FÓRMULA""))"),"OK")</f>
        <v>OK</v>
      </c>
    </row>
    <row r="2289">
      <c r="A2289" s="83" t="s">
        <v>4078</v>
      </c>
      <c r="B2289" s="83" t="s">
        <v>4079</v>
      </c>
      <c r="C2289" s="81" t="s">
        <v>4086</v>
      </c>
      <c r="D2289" s="83" t="s">
        <v>4627</v>
      </c>
      <c r="E2289" s="81" t="s">
        <v>2962</v>
      </c>
      <c r="F2289" s="84">
        <v>570.0</v>
      </c>
      <c r="G2289" s="81" t="s">
        <v>44</v>
      </c>
      <c r="H2289" s="81" t="s">
        <v>4626</v>
      </c>
      <c r="I2289" s="81" t="s">
        <v>2949</v>
      </c>
      <c r="J2289" s="81" t="s">
        <v>4088</v>
      </c>
      <c r="K2289" s="81" t="str">
        <f>IFERROR(__xludf.DUMMYFUNCTION("IF(OR(D2289="""",G2289=""""),"""",IFERROR(LET(
campo,XLOOKUP(TRIM(G2289),ARRAYFORMULA(TRIM('indice columnas'!$A$2:$A$100)),'indice columnas'!$B$2:$B$100,""""),
col,IFERROR(MATCH(campo,Referencia!$A$1:$AZ$1,0),0),
fila,IFERROR(MATCH(TO_TEXT(D2289),ARRAYFOR"&amp;"MULA(TO_TEXT(Referencia!$A$2:$A6238)),0),0),
IF(OR(campo="""",campo=""-""),""NO APLICA"",
IF(col=0,""REVISAR EQUIVALENCIA"",
IF(fila=0,""SKU NO ENCONTRADO"",
LET(
valor,INDEX(Referencia!$A$2:$AZ6238,fila,col),
IF(TRIM(TO_TEXT(valor))=TRIM(TO_TEXT(I2289)),"&amp;"
""OK"",
""NO COINCIDE. Valor verdadero: ""&amp;IF(valor="""",""[VACÍO]"",TO_TEXT(valor))
)
))))
),""ERROR EN FÓRMULA""))"),"NO APLICA")</f>
        <v>NO APLICA</v>
      </c>
    </row>
    <row r="2290">
      <c r="A2290" s="83" t="s">
        <v>4078</v>
      </c>
      <c r="B2290" s="83" t="s">
        <v>4079</v>
      </c>
      <c r="C2290" s="81" t="s">
        <v>4086</v>
      </c>
      <c r="D2290" s="83" t="s">
        <v>4628</v>
      </c>
      <c r="E2290" s="81" t="s">
        <v>2965</v>
      </c>
      <c r="F2290" s="84">
        <v>571.0</v>
      </c>
      <c r="G2290" s="81" t="s">
        <v>44</v>
      </c>
      <c r="H2290" s="81" t="s">
        <v>4629</v>
      </c>
      <c r="I2290" s="81" t="s">
        <v>2965</v>
      </c>
      <c r="J2290" s="81" t="s">
        <v>4088</v>
      </c>
      <c r="K2290" s="81" t="str">
        <f>IFERROR(__xludf.DUMMYFUNCTION("IF(OR(D2290="""",G2290=""""),"""",IFERROR(LET(
campo,XLOOKUP(TRIM(G2290),ARRAYFORMULA(TRIM('indice columnas'!$A$2:$A$100)),'indice columnas'!$B$2:$B$100,""""),
col,IFERROR(MATCH(campo,Referencia!$A$1:$AZ$1,0),0),
fila,IFERROR(MATCH(TO_TEXT(D2290),ARRAYFOR"&amp;"MULA(TO_TEXT(Referencia!$A$2:$A6238)),0),0),
IF(OR(campo="""",campo=""-""),""NO APLICA"",
IF(col=0,""REVISAR EQUIVALENCIA"",
IF(fila=0,""SKU NO ENCONTRADO"",
LET(
valor,INDEX(Referencia!$A$2:$AZ6238,fila,col),
IF(TRIM(TO_TEXT(valor))=TRIM(TO_TEXT(I2290)),"&amp;"
""OK"",
""NO COINCIDE. Valor verdadero: ""&amp;IF(valor="""",""[VACÍO]"",TO_TEXT(valor))
)
))))
),""ERROR EN FÓRMULA""))"),"NO APLICA")</f>
        <v>NO APLICA</v>
      </c>
    </row>
    <row r="2291">
      <c r="A2291" s="83" t="s">
        <v>4078</v>
      </c>
      <c r="B2291" s="83" t="s">
        <v>4079</v>
      </c>
      <c r="C2291" s="81" t="s">
        <v>4086</v>
      </c>
      <c r="D2291" s="83" t="s">
        <v>4628</v>
      </c>
      <c r="E2291" s="81" t="s">
        <v>2978</v>
      </c>
      <c r="F2291" s="84">
        <v>572.0</v>
      </c>
      <c r="G2291" s="81" t="s">
        <v>12</v>
      </c>
      <c r="H2291" s="81" t="s">
        <v>224</v>
      </c>
      <c r="I2291" s="81" t="s">
        <v>1549</v>
      </c>
      <c r="J2291" s="81" t="s">
        <v>224</v>
      </c>
      <c r="K2291" s="81" t="str">
        <f>IFERROR(__xludf.DUMMYFUNCTION("IF(OR(D2291="""",G2291=""""),"""",IFERROR(LET(
campo,XLOOKUP(TRIM(G2291),ARRAYFORMULA(TRIM('indice columnas'!$A$2:$A$100)),'indice columnas'!$B$2:$B$100,""""),
col,IFERROR(MATCH(campo,Referencia!$A$1:$AZ$1,0),0),
fila,IFERROR(MATCH(TO_TEXT(D2291),ARRAYFOR"&amp;"MULA(TO_TEXT(Referencia!$A$2:$A6238)),0),0),
IF(OR(campo="""",campo=""-""),""NO APLICA"",
IF(col=0,""REVISAR EQUIVALENCIA"",
IF(fila=0,""SKU NO ENCONTRADO"",
LET(
valor,INDEX(Referencia!$A$2:$AZ6238,fila,col),
IF(TRIM(TO_TEXT(valor))=TRIM(TO_TEXT(I2291)),"&amp;"
""OK"",
""NO COINCIDE. Valor verdadero: ""&amp;IF(valor="""",""[VACÍO]"",TO_TEXT(valor))
)
))))
),""ERROR EN FÓRMULA""))"),"OK")</f>
        <v>OK</v>
      </c>
    </row>
    <row r="2292">
      <c r="A2292" s="83" t="s">
        <v>4078</v>
      </c>
      <c r="B2292" s="83" t="s">
        <v>4079</v>
      </c>
      <c r="C2292" s="81" t="s">
        <v>4086</v>
      </c>
      <c r="D2292" s="83" t="s">
        <v>4628</v>
      </c>
      <c r="E2292" s="81" t="s">
        <v>2978</v>
      </c>
      <c r="F2292" s="84">
        <v>572.0</v>
      </c>
      <c r="G2292" s="81" t="s">
        <v>44</v>
      </c>
      <c r="H2292" s="81" t="s">
        <v>4629</v>
      </c>
      <c r="I2292" s="81" t="s">
        <v>2965</v>
      </c>
      <c r="J2292" s="81" t="s">
        <v>4088</v>
      </c>
      <c r="K2292" s="81" t="str">
        <f>IFERROR(__xludf.DUMMYFUNCTION("IF(OR(D2292="""",G2292=""""),"""",IFERROR(LET(
campo,XLOOKUP(TRIM(G2292),ARRAYFORMULA(TRIM('indice columnas'!$A$2:$A$100)),'indice columnas'!$B$2:$B$100,""""),
col,IFERROR(MATCH(campo,Referencia!$A$1:$AZ$1,0),0),
fila,IFERROR(MATCH(TO_TEXT(D2292),ARRAYFOR"&amp;"MULA(TO_TEXT(Referencia!$A$2:$A6238)),0),0),
IF(OR(campo="""",campo=""-""),""NO APLICA"",
IF(col=0,""REVISAR EQUIVALENCIA"",
IF(fila=0,""SKU NO ENCONTRADO"",
LET(
valor,INDEX(Referencia!$A$2:$AZ6238,fila,col),
IF(TRIM(TO_TEXT(valor))=TRIM(TO_TEXT(I2292)),"&amp;"
""OK"",
""NO COINCIDE. Valor verdadero: ""&amp;IF(valor="""",""[VACÍO]"",TO_TEXT(valor))
)
))))
),""ERROR EN FÓRMULA""))"),"NO APLICA")</f>
        <v>NO APLICA</v>
      </c>
    </row>
    <row r="2293">
      <c r="A2293" s="83" t="s">
        <v>4078</v>
      </c>
      <c r="B2293" s="83" t="s">
        <v>4079</v>
      </c>
      <c r="C2293" s="81" t="s">
        <v>4086</v>
      </c>
      <c r="D2293" s="83" t="s">
        <v>4630</v>
      </c>
      <c r="E2293" s="81" t="s">
        <v>2979</v>
      </c>
      <c r="F2293" s="84">
        <v>573.0</v>
      </c>
      <c r="G2293" s="81" t="s">
        <v>12</v>
      </c>
      <c r="H2293" s="81" t="s">
        <v>224</v>
      </c>
      <c r="I2293" s="81" t="s">
        <v>1549</v>
      </c>
      <c r="J2293" s="81" t="s">
        <v>224</v>
      </c>
      <c r="K2293" s="81" t="str">
        <f>IFERROR(__xludf.DUMMYFUNCTION("IF(OR(D2293="""",G2293=""""),"""",IFERROR(LET(
campo,XLOOKUP(TRIM(G2293),ARRAYFORMULA(TRIM('indice columnas'!$A$2:$A$100)),'indice columnas'!$B$2:$B$100,""""),
col,IFERROR(MATCH(campo,Referencia!$A$1:$AZ$1,0),0),
fila,IFERROR(MATCH(TO_TEXT(D2293),ARRAYFOR"&amp;"MULA(TO_TEXT(Referencia!$A$2:$A6238)),0),0),
IF(OR(campo="""",campo=""-""),""NO APLICA"",
IF(col=0,""REVISAR EQUIVALENCIA"",
IF(fila=0,""SKU NO ENCONTRADO"",
LET(
valor,INDEX(Referencia!$A$2:$AZ6238,fila,col),
IF(TRIM(TO_TEXT(valor))=TRIM(TO_TEXT(I2293)),"&amp;"
""OK"",
""NO COINCIDE. Valor verdadero: ""&amp;IF(valor="""",""[VACÍO]"",TO_TEXT(valor))
)
))))
),""ERROR EN FÓRMULA""))"),"OK")</f>
        <v>OK</v>
      </c>
    </row>
    <row r="2294">
      <c r="A2294" s="83" t="s">
        <v>4078</v>
      </c>
      <c r="B2294" s="83" t="s">
        <v>4079</v>
      </c>
      <c r="C2294" s="81" t="s">
        <v>4086</v>
      </c>
      <c r="D2294" s="83" t="s">
        <v>4630</v>
      </c>
      <c r="E2294" s="81" t="s">
        <v>2979</v>
      </c>
      <c r="F2294" s="84">
        <v>573.0</v>
      </c>
      <c r="G2294" s="81" t="s">
        <v>44</v>
      </c>
      <c r="H2294" s="81" t="s">
        <v>4629</v>
      </c>
      <c r="I2294" s="81" t="s">
        <v>2965</v>
      </c>
      <c r="J2294" s="81" t="s">
        <v>4088</v>
      </c>
      <c r="K2294" s="81" t="str">
        <f>IFERROR(__xludf.DUMMYFUNCTION("IF(OR(D2294="""",G2294=""""),"""",IFERROR(LET(
campo,XLOOKUP(TRIM(G2294),ARRAYFORMULA(TRIM('indice columnas'!$A$2:$A$100)),'indice columnas'!$B$2:$B$100,""""),
col,IFERROR(MATCH(campo,Referencia!$A$1:$AZ$1,0),0),
fila,IFERROR(MATCH(TO_TEXT(D2294),ARRAYFOR"&amp;"MULA(TO_TEXT(Referencia!$A$2:$A6238)),0),0),
IF(OR(campo="""",campo=""-""),""NO APLICA"",
IF(col=0,""REVISAR EQUIVALENCIA"",
IF(fila=0,""SKU NO ENCONTRADO"",
LET(
valor,INDEX(Referencia!$A$2:$AZ6238,fila,col),
IF(TRIM(TO_TEXT(valor))=TRIM(TO_TEXT(I2294)),"&amp;"
""OK"",
""NO COINCIDE. Valor verdadero: ""&amp;IF(valor="""",""[VACÍO]"",TO_TEXT(valor))
)
))))
),""ERROR EN FÓRMULA""))"),"NO APLICA")</f>
        <v>NO APLICA</v>
      </c>
    </row>
    <row r="2295">
      <c r="A2295" s="83" t="s">
        <v>4078</v>
      </c>
      <c r="B2295" s="83" t="s">
        <v>4079</v>
      </c>
      <c r="C2295" s="81" t="s">
        <v>4086</v>
      </c>
      <c r="D2295" s="83" t="s">
        <v>4631</v>
      </c>
      <c r="E2295" s="81" t="s">
        <v>2982</v>
      </c>
      <c r="F2295" s="84">
        <v>574.0</v>
      </c>
      <c r="G2295" s="81" t="s">
        <v>44</v>
      </c>
      <c r="H2295" s="81" t="s">
        <v>4632</v>
      </c>
      <c r="I2295" s="81" t="s">
        <v>2982</v>
      </c>
      <c r="J2295" s="81" t="s">
        <v>4088</v>
      </c>
      <c r="K2295" s="81" t="str">
        <f>IFERROR(__xludf.DUMMYFUNCTION("IF(OR(D2295="""",G2295=""""),"""",IFERROR(LET(
campo,XLOOKUP(TRIM(G2295),ARRAYFORMULA(TRIM('indice columnas'!$A$2:$A$100)),'indice columnas'!$B$2:$B$100,""""),
col,IFERROR(MATCH(campo,Referencia!$A$1:$AZ$1,0),0),
fila,IFERROR(MATCH(TO_TEXT(D2295),ARRAYFOR"&amp;"MULA(TO_TEXT(Referencia!$A$2:$A6238)),0),0),
IF(OR(campo="""",campo=""-""),""NO APLICA"",
IF(col=0,""REVISAR EQUIVALENCIA"",
IF(fila=0,""SKU NO ENCONTRADO"",
LET(
valor,INDEX(Referencia!$A$2:$AZ6238,fila,col),
IF(TRIM(TO_TEXT(valor))=TRIM(TO_TEXT(I2295)),"&amp;"
""OK"",
""NO COINCIDE. Valor verdadero: ""&amp;IF(valor="""",""[VACÍO]"",TO_TEXT(valor))
)
))))
),""ERROR EN FÓRMULA""))"),"NO APLICA")</f>
        <v>NO APLICA</v>
      </c>
    </row>
    <row r="2296">
      <c r="A2296" s="83" t="s">
        <v>4078</v>
      </c>
      <c r="B2296" s="83" t="s">
        <v>4079</v>
      </c>
      <c r="C2296" s="81" t="s">
        <v>4086</v>
      </c>
      <c r="D2296" s="83" t="s">
        <v>4631</v>
      </c>
      <c r="E2296" s="81" t="s">
        <v>2995</v>
      </c>
      <c r="F2296" s="84">
        <v>575.0</v>
      </c>
      <c r="G2296" s="81" t="s">
        <v>44</v>
      </c>
      <c r="H2296" s="81" t="s">
        <v>4632</v>
      </c>
      <c r="I2296" s="81" t="s">
        <v>2982</v>
      </c>
      <c r="J2296" s="81" t="s">
        <v>4088</v>
      </c>
      <c r="K2296" s="81" t="str">
        <f>IFERROR(__xludf.DUMMYFUNCTION("IF(OR(D2296="""",G2296=""""),"""",IFERROR(LET(
campo,XLOOKUP(TRIM(G2296),ARRAYFORMULA(TRIM('indice columnas'!$A$2:$A$100)),'indice columnas'!$B$2:$B$100,""""),
col,IFERROR(MATCH(campo,Referencia!$A$1:$AZ$1,0),0),
fila,IFERROR(MATCH(TO_TEXT(D2296),ARRAYFOR"&amp;"MULA(TO_TEXT(Referencia!$A$2:$A6238)),0),0),
IF(OR(campo="""",campo=""-""),""NO APLICA"",
IF(col=0,""REVISAR EQUIVALENCIA"",
IF(fila=0,""SKU NO ENCONTRADO"",
LET(
valor,INDEX(Referencia!$A$2:$AZ6238,fila,col),
IF(TRIM(TO_TEXT(valor))=TRIM(TO_TEXT(I2296)),"&amp;"
""OK"",
""NO COINCIDE. Valor verdadero: ""&amp;IF(valor="""",""[VACÍO]"",TO_TEXT(valor))
)
))))
),""ERROR EN FÓRMULA""))"),"NO APLICA")</f>
        <v>NO APLICA</v>
      </c>
    </row>
    <row r="2297">
      <c r="A2297" s="83" t="s">
        <v>4078</v>
      </c>
      <c r="B2297" s="83" t="s">
        <v>4079</v>
      </c>
      <c r="C2297" s="81" t="s">
        <v>4086</v>
      </c>
      <c r="D2297" s="83" t="s">
        <v>4633</v>
      </c>
      <c r="E2297" s="81" t="s">
        <v>2996</v>
      </c>
      <c r="F2297" s="84">
        <v>576.0</v>
      </c>
      <c r="G2297" s="81" t="s">
        <v>44</v>
      </c>
      <c r="H2297" s="81" t="s">
        <v>4632</v>
      </c>
      <c r="I2297" s="81" t="s">
        <v>2982</v>
      </c>
      <c r="J2297" s="81" t="s">
        <v>4088</v>
      </c>
      <c r="K2297" s="81" t="str">
        <f>IFERROR(__xludf.DUMMYFUNCTION("IF(OR(D2297="""",G2297=""""),"""",IFERROR(LET(
campo,XLOOKUP(TRIM(G2297),ARRAYFORMULA(TRIM('indice columnas'!$A$2:$A$100)),'indice columnas'!$B$2:$B$100,""""),
col,IFERROR(MATCH(campo,Referencia!$A$1:$AZ$1,0),0),
fila,IFERROR(MATCH(TO_TEXT(D2297),ARRAYFOR"&amp;"MULA(TO_TEXT(Referencia!$A$2:$A6238)),0),0),
IF(OR(campo="""",campo=""-""),""NO APLICA"",
IF(col=0,""REVISAR EQUIVALENCIA"",
IF(fila=0,""SKU NO ENCONTRADO"",
LET(
valor,INDEX(Referencia!$A$2:$AZ6238,fila,col),
IF(TRIM(TO_TEXT(valor))=TRIM(TO_TEXT(I2297)),"&amp;"
""OK"",
""NO COINCIDE. Valor verdadero: ""&amp;IF(valor="""",""[VACÍO]"",TO_TEXT(valor))
)
))))
),""ERROR EN FÓRMULA""))"),"NO APLICA")</f>
        <v>NO APLICA</v>
      </c>
    </row>
    <row r="2298">
      <c r="A2298" s="83" t="s">
        <v>4078</v>
      </c>
      <c r="B2298" s="83" t="s">
        <v>4079</v>
      </c>
      <c r="C2298" s="81" t="s">
        <v>4086</v>
      </c>
      <c r="D2298" s="83" t="s">
        <v>4634</v>
      </c>
      <c r="E2298" s="81" t="s">
        <v>2999</v>
      </c>
      <c r="F2298" s="84">
        <v>577.0</v>
      </c>
      <c r="G2298" s="81" t="s">
        <v>44</v>
      </c>
      <c r="H2298" s="81" t="s">
        <v>4635</v>
      </c>
      <c r="I2298" s="81" t="s">
        <v>2999</v>
      </c>
      <c r="J2298" s="81" t="s">
        <v>4088</v>
      </c>
      <c r="K2298" s="81" t="str">
        <f>IFERROR(__xludf.DUMMYFUNCTION("IF(OR(D2298="""",G2298=""""),"""",IFERROR(LET(
campo,XLOOKUP(TRIM(G2298),ARRAYFORMULA(TRIM('indice columnas'!$A$2:$A$100)),'indice columnas'!$B$2:$B$100,""""),
col,IFERROR(MATCH(campo,Referencia!$A$1:$AZ$1,0),0),
fila,IFERROR(MATCH(TO_TEXT(D2298),ARRAYFOR"&amp;"MULA(TO_TEXT(Referencia!$A$2:$A6238)),0),0),
IF(OR(campo="""",campo=""-""),""NO APLICA"",
IF(col=0,""REVISAR EQUIVALENCIA"",
IF(fila=0,""SKU NO ENCONTRADO"",
LET(
valor,INDEX(Referencia!$A$2:$AZ6238,fila,col),
IF(TRIM(TO_TEXT(valor))=TRIM(TO_TEXT(I2298)),"&amp;"
""OK"",
""NO COINCIDE. Valor verdadero: ""&amp;IF(valor="""",""[VACÍO]"",TO_TEXT(valor))
)
))))
),""ERROR EN FÓRMULA""))"),"NO APLICA")</f>
        <v>NO APLICA</v>
      </c>
    </row>
    <row r="2299">
      <c r="A2299" s="83" t="s">
        <v>4078</v>
      </c>
      <c r="B2299" s="83" t="s">
        <v>4079</v>
      </c>
      <c r="C2299" s="81" t="s">
        <v>4086</v>
      </c>
      <c r="D2299" s="83" t="s">
        <v>4634</v>
      </c>
      <c r="E2299" s="81" t="s">
        <v>3009</v>
      </c>
      <c r="F2299" s="84">
        <v>578.0</v>
      </c>
      <c r="G2299" s="81" t="s">
        <v>12</v>
      </c>
      <c r="H2299" s="81" t="s">
        <v>224</v>
      </c>
      <c r="I2299" s="81" t="s">
        <v>1549</v>
      </c>
      <c r="J2299" s="81" t="s">
        <v>224</v>
      </c>
      <c r="K2299" s="81" t="str">
        <f>IFERROR(__xludf.DUMMYFUNCTION("IF(OR(D2299="""",G2299=""""),"""",IFERROR(LET(
campo,XLOOKUP(TRIM(G2299),ARRAYFORMULA(TRIM('indice columnas'!$A$2:$A$100)),'indice columnas'!$B$2:$B$100,""""),
col,IFERROR(MATCH(campo,Referencia!$A$1:$AZ$1,0),0),
fila,IFERROR(MATCH(TO_TEXT(D2299),ARRAYFOR"&amp;"MULA(TO_TEXT(Referencia!$A$2:$A6238)),0),0),
IF(OR(campo="""",campo=""-""),""NO APLICA"",
IF(col=0,""REVISAR EQUIVALENCIA"",
IF(fila=0,""SKU NO ENCONTRADO"",
LET(
valor,INDEX(Referencia!$A$2:$AZ6238,fila,col),
IF(TRIM(TO_TEXT(valor))=TRIM(TO_TEXT(I2299)),"&amp;"
""OK"",
""NO COINCIDE. Valor verdadero: ""&amp;IF(valor="""",""[VACÍO]"",TO_TEXT(valor))
)
))))
),""ERROR EN FÓRMULA""))"),"OK")</f>
        <v>OK</v>
      </c>
    </row>
    <row r="2300">
      <c r="A2300" s="83" t="s">
        <v>4078</v>
      </c>
      <c r="B2300" s="83" t="s">
        <v>4079</v>
      </c>
      <c r="C2300" s="81" t="s">
        <v>4086</v>
      </c>
      <c r="D2300" s="83" t="s">
        <v>4634</v>
      </c>
      <c r="E2300" s="81" t="s">
        <v>3009</v>
      </c>
      <c r="F2300" s="84">
        <v>578.0</v>
      </c>
      <c r="G2300" s="81" t="s">
        <v>44</v>
      </c>
      <c r="H2300" s="81" t="s">
        <v>4635</v>
      </c>
      <c r="I2300" s="81" t="s">
        <v>2999</v>
      </c>
      <c r="J2300" s="81" t="s">
        <v>4088</v>
      </c>
      <c r="K2300" s="81" t="str">
        <f>IFERROR(__xludf.DUMMYFUNCTION("IF(OR(D2300="""",G2300=""""),"""",IFERROR(LET(
campo,XLOOKUP(TRIM(G2300),ARRAYFORMULA(TRIM('indice columnas'!$A$2:$A$100)),'indice columnas'!$B$2:$B$100,""""),
col,IFERROR(MATCH(campo,Referencia!$A$1:$AZ$1,0),0),
fila,IFERROR(MATCH(TO_TEXT(D2300),ARRAYFOR"&amp;"MULA(TO_TEXT(Referencia!$A$2:$A6238)),0),0),
IF(OR(campo="""",campo=""-""),""NO APLICA"",
IF(col=0,""REVISAR EQUIVALENCIA"",
IF(fila=0,""SKU NO ENCONTRADO"",
LET(
valor,INDEX(Referencia!$A$2:$AZ6238,fila,col),
IF(TRIM(TO_TEXT(valor))=TRIM(TO_TEXT(I2300)),"&amp;"
""OK"",
""NO COINCIDE. Valor verdadero: ""&amp;IF(valor="""",""[VACÍO]"",TO_TEXT(valor))
)
))))
),""ERROR EN FÓRMULA""))"),"NO APLICA")</f>
        <v>NO APLICA</v>
      </c>
    </row>
    <row r="2301">
      <c r="A2301" s="83" t="s">
        <v>4078</v>
      </c>
      <c r="B2301" s="83" t="s">
        <v>4079</v>
      </c>
      <c r="C2301" s="81" t="s">
        <v>4086</v>
      </c>
      <c r="D2301" s="83" t="s">
        <v>4636</v>
      </c>
      <c r="E2301" s="81" t="s">
        <v>3010</v>
      </c>
      <c r="F2301" s="84">
        <v>579.0</v>
      </c>
      <c r="G2301" s="81" t="s">
        <v>12</v>
      </c>
      <c r="H2301" s="81" t="s">
        <v>224</v>
      </c>
      <c r="I2301" s="81" t="s">
        <v>1549</v>
      </c>
      <c r="J2301" s="81" t="s">
        <v>224</v>
      </c>
      <c r="K2301" s="81" t="str">
        <f>IFERROR(__xludf.DUMMYFUNCTION("IF(OR(D2301="""",G2301=""""),"""",IFERROR(LET(
campo,XLOOKUP(TRIM(G2301),ARRAYFORMULA(TRIM('indice columnas'!$A$2:$A$100)),'indice columnas'!$B$2:$B$100,""""),
col,IFERROR(MATCH(campo,Referencia!$A$1:$AZ$1,0),0),
fila,IFERROR(MATCH(TO_TEXT(D2301),ARRAYFOR"&amp;"MULA(TO_TEXT(Referencia!$A$2:$A6238)),0),0),
IF(OR(campo="""",campo=""-""),""NO APLICA"",
IF(col=0,""REVISAR EQUIVALENCIA"",
IF(fila=0,""SKU NO ENCONTRADO"",
LET(
valor,INDEX(Referencia!$A$2:$AZ6238,fila,col),
IF(TRIM(TO_TEXT(valor))=TRIM(TO_TEXT(I2301)),"&amp;"
""OK"",
""NO COINCIDE. Valor verdadero: ""&amp;IF(valor="""",""[VACÍO]"",TO_TEXT(valor))
)
))))
),""ERROR EN FÓRMULA""))"),"OK")</f>
        <v>OK</v>
      </c>
    </row>
    <row r="2302">
      <c r="A2302" s="83" t="s">
        <v>4078</v>
      </c>
      <c r="B2302" s="83" t="s">
        <v>4079</v>
      </c>
      <c r="C2302" s="81" t="s">
        <v>4086</v>
      </c>
      <c r="D2302" s="83" t="s">
        <v>4636</v>
      </c>
      <c r="E2302" s="81" t="s">
        <v>3010</v>
      </c>
      <c r="F2302" s="84">
        <v>579.0</v>
      </c>
      <c r="G2302" s="81" t="s">
        <v>44</v>
      </c>
      <c r="H2302" s="81" t="s">
        <v>4635</v>
      </c>
      <c r="I2302" s="81" t="s">
        <v>2999</v>
      </c>
      <c r="J2302" s="81" t="s">
        <v>4088</v>
      </c>
      <c r="K2302" s="81" t="str">
        <f>IFERROR(__xludf.DUMMYFUNCTION("IF(OR(D2302="""",G2302=""""),"""",IFERROR(LET(
campo,XLOOKUP(TRIM(G2302),ARRAYFORMULA(TRIM('indice columnas'!$A$2:$A$100)),'indice columnas'!$B$2:$B$100,""""),
col,IFERROR(MATCH(campo,Referencia!$A$1:$AZ$1,0),0),
fila,IFERROR(MATCH(TO_TEXT(D2302),ARRAYFOR"&amp;"MULA(TO_TEXT(Referencia!$A$2:$A6238)),0),0),
IF(OR(campo="""",campo=""-""),""NO APLICA"",
IF(col=0,""REVISAR EQUIVALENCIA"",
IF(fila=0,""SKU NO ENCONTRADO"",
LET(
valor,INDEX(Referencia!$A$2:$AZ6238,fila,col),
IF(TRIM(TO_TEXT(valor))=TRIM(TO_TEXT(I2302)),"&amp;"
""OK"",
""NO COINCIDE. Valor verdadero: ""&amp;IF(valor="""",""[VACÍO]"",TO_TEXT(valor))
)
))))
),""ERROR EN FÓRMULA""))"),"NO APLICA")</f>
        <v>NO APLICA</v>
      </c>
    </row>
    <row r="2303">
      <c r="A2303" s="83" t="s">
        <v>4078</v>
      </c>
      <c r="B2303" s="83" t="s">
        <v>4079</v>
      </c>
      <c r="C2303" s="81" t="s">
        <v>4086</v>
      </c>
      <c r="D2303" s="83" t="s">
        <v>4637</v>
      </c>
      <c r="E2303" s="81" t="s">
        <v>3013</v>
      </c>
      <c r="F2303" s="84">
        <v>580.0</v>
      </c>
      <c r="G2303" s="81" t="s">
        <v>44</v>
      </c>
      <c r="H2303" s="81" t="s">
        <v>4638</v>
      </c>
      <c r="I2303" s="81" t="s">
        <v>3013</v>
      </c>
      <c r="J2303" s="81" t="s">
        <v>4088</v>
      </c>
      <c r="K2303" s="81" t="str">
        <f>IFERROR(__xludf.DUMMYFUNCTION("IF(OR(D2303="""",G2303=""""),"""",IFERROR(LET(
campo,XLOOKUP(TRIM(G2303),ARRAYFORMULA(TRIM('indice columnas'!$A$2:$A$100)),'indice columnas'!$B$2:$B$100,""""),
col,IFERROR(MATCH(campo,Referencia!$A$1:$AZ$1,0),0),
fila,IFERROR(MATCH(TO_TEXT(D2303),ARRAYFOR"&amp;"MULA(TO_TEXT(Referencia!$A$2:$A6238)),0),0),
IF(OR(campo="""",campo=""-""),""NO APLICA"",
IF(col=0,""REVISAR EQUIVALENCIA"",
IF(fila=0,""SKU NO ENCONTRADO"",
LET(
valor,INDEX(Referencia!$A$2:$AZ6238,fila,col),
IF(TRIM(TO_TEXT(valor))=TRIM(TO_TEXT(I2303)),"&amp;"
""OK"",
""NO COINCIDE. Valor verdadero: ""&amp;IF(valor="""",""[VACÍO]"",TO_TEXT(valor))
)
))))
),""ERROR EN FÓRMULA""))"),"NO APLICA")</f>
        <v>NO APLICA</v>
      </c>
    </row>
    <row r="2304">
      <c r="A2304" s="83" t="s">
        <v>4078</v>
      </c>
      <c r="B2304" s="83" t="s">
        <v>4079</v>
      </c>
      <c r="C2304" s="81" t="s">
        <v>4086</v>
      </c>
      <c r="D2304" s="83" t="s">
        <v>4637</v>
      </c>
      <c r="E2304" s="81" t="s">
        <v>3026</v>
      </c>
      <c r="F2304" s="84">
        <v>581.0</v>
      </c>
      <c r="G2304" s="81" t="s">
        <v>12</v>
      </c>
      <c r="H2304" s="81" t="s">
        <v>224</v>
      </c>
      <c r="I2304" s="81" t="s">
        <v>1549</v>
      </c>
      <c r="J2304" s="81" t="s">
        <v>224</v>
      </c>
      <c r="K2304" s="81" t="str">
        <f>IFERROR(__xludf.DUMMYFUNCTION("IF(OR(D2304="""",G2304=""""),"""",IFERROR(LET(
campo,XLOOKUP(TRIM(G2304),ARRAYFORMULA(TRIM('indice columnas'!$A$2:$A$100)),'indice columnas'!$B$2:$B$100,""""),
col,IFERROR(MATCH(campo,Referencia!$A$1:$AZ$1,0),0),
fila,IFERROR(MATCH(TO_TEXT(D2304),ARRAYFOR"&amp;"MULA(TO_TEXT(Referencia!$A$2:$A6238)),0),0),
IF(OR(campo="""",campo=""-""),""NO APLICA"",
IF(col=0,""REVISAR EQUIVALENCIA"",
IF(fila=0,""SKU NO ENCONTRADO"",
LET(
valor,INDEX(Referencia!$A$2:$AZ6238,fila,col),
IF(TRIM(TO_TEXT(valor))=TRIM(TO_TEXT(I2304)),"&amp;"
""OK"",
""NO COINCIDE. Valor verdadero: ""&amp;IF(valor="""",""[VACÍO]"",TO_TEXT(valor))
)
))))
),""ERROR EN FÓRMULA""))"),"OK")</f>
        <v>OK</v>
      </c>
    </row>
    <row r="2305">
      <c r="A2305" s="83" t="s">
        <v>4078</v>
      </c>
      <c r="B2305" s="83" t="s">
        <v>4079</v>
      </c>
      <c r="C2305" s="81" t="s">
        <v>4086</v>
      </c>
      <c r="D2305" s="83" t="s">
        <v>4637</v>
      </c>
      <c r="E2305" s="81" t="s">
        <v>3026</v>
      </c>
      <c r="F2305" s="84">
        <v>581.0</v>
      </c>
      <c r="G2305" s="81" t="s">
        <v>44</v>
      </c>
      <c r="H2305" s="81" t="s">
        <v>4638</v>
      </c>
      <c r="I2305" s="81" t="s">
        <v>3013</v>
      </c>
      <c r="J2305" s="81" t="s">
        <v>4088</v>
      </c>
      <c r="K2305" s="81" t="str">
        <f>IFERROR(__xludf.DUMMYFUNCTION("IF(OR(D2305="""",G2305=""""),"""",IFERROR(LET(
campo,XLOOKUP(TRIM(G2305),ARRAYFORMULA(TRIM('indice columnas'!$A$2:$A$100)),'indice columnas'!$B$2:$B$100,""""),
col,IFERROR(MATCH(campo,Referencia!$A$1:$AZ$1,0),0),
fila,IFERROR(MATCH(TO_TEXT(D2305),ARRAYFOR"&amp;"MULA(TO_TEXT(Referencia!$A$2:$A6238)),0),0),
IF(OR(campo="""",campo=""-""),""NO APLICA"",
IF(col=0,""REVISAR EQUIVALENCIA"",
IF(fila=0,""SKU NO ENCONTRADO"",
LET(
valor,INDEX(Referencia!$A$2:$AZ6238,fila,col),
IF(TRIM(TO_TEXT(valor))=TRIM(TO_TEXT(I2305)),"&amp;"
""OK"",
""NO COINCIDE. Valor verdadero: ""&amp;IF(valor="""",""[VACÍO]"",TO_TEXT(valor))
)
))))
),""ERROR EN FÓRMULA""))"),"NO APLICA")</f>
        <v>NO APLICA</v>
      </c>
    </row>
    <row r="2306">
      <c r="A2306" s="83" t="s">
        <v>4078</v>
      </c>
      <c r="B2306" s="83" t="s">
        <v>4079</v>
      </c>
      <c r="C2306" s="81" t="s">
        <v>4086</v>
      </c>
      <c r="D2306" s="83" t="s">
        <v>4639</v>
      </c>
      <c r="E2306" s="81" t="s">
        <v>3027</v>
      </c>
      <c r="F2306" s="84">
        <v>582.0</v>
      </c>
      <c r="G2306" s="81" t="s">
        <v>12</v>
      </c>
      <c r="H2306" s="81" t="s">
        <v>224</v>
      </c>
      <c r="I2306" s="81" t="s">
        <v>1549</v>
      </c>
      <c r="J2306" s="81" t="s">
        <v>224</v>
      </c>
      <c r="K2306" s="81" t="str">
        <f>IFERROR(__xludf.DUMMYFUNCTION("IF(OR(D2306="""",G2306=""""),"""",IFERROR(LET(
campo,XLOOKUP(TRIM(G2306),ARRAYFORMULA(TRIM('indice columnas'!$A$2:$A$100)),'indice columnas'!$B$2:$B$100,""""),
col,IFERROR(MATCH(campo,Referencia!$A$1:$AZ$1,0),0),
fila,IFERROR(MATCH(TO_TEXT(D2306),ARRAYFOR"&amp;"MULA(TO_TEXT(Referencia!$A$2:$A6238)),0),0),
IF(OR(campo="""",campo=""-""),""NO APLICA"",
IF(col=0,""REVISAR EQUIVALENCIA"",
IF(fila=0,""SKU NO ENCONTRADO"",
LET(
valor,INDEX(Referencia!$A$2:$AZ6238,fila,col),
IF(TRIM(TO_TEXT(valor))=TRIM(TO_TEXT(I2306)),"&amp;"
""OK"",
""NO COINCIDE. Valor verdadero: ""&amp;IF(valor="""",""[VACÍO]"",TO_TEXT(valor))
)
))))
),""ERROR EN FÓRMULA""))"),"OK")</f>
        <v>OK</v>
      </c>
    </row>
    <row r="2307">
      <c r="A2307" s="83" t="s">
        <v>4078</v>
      </c>
      <c r="B2307" s="83" t="s">
        <v>4079</v>
      </c>
      <c r="C2307" s="81" t="s">
        <v>4086</v>
      </c>
      <c r="D2307" s="83" t="s">
        <v>4639</v>
      </c>
      <c r="E2307" s="81" t="s">
        <v>3027</v>
      </c>
      <c r="F2307" s="84">
        <v>582.0</v>
      </c>
      <c r="G2307" s="81" t="s">
        <v>44</v>
      </c>
      <c r="H2307" s="81" t="s">
        <v>4638</v>
      </c>
      <c r="I2307" s="81" t="s">
        <v>3013</v>
      </c>
      <c r="J2307" s="81" t="s">
        <v>4088</v>
      </c>
      <c r="K2307" s="81" t="str">
        <f>IFERROR(__xludf.DUMMYFUNCTION("IF(OR(D2307="""",G2307=""""),"""",IFERROR(LET(
campo,XLOOKUP(TRIM(G2307),ARRAYFORMULA(TRIM('indice columnas'!$A$2:$A$100)),'indice columnas'!$B$2:$B$100,""""),
col,IFERROR(MATCH(campo,Referencia!$A$1:$AZ$1,0),0),
fila,IFERROR(MATCH(TO_TEXT(D2307),ARRAYFOR"&amp;"MULA(TO_TEXT(Referencia!$A$2:$A6238)),0),0),
IF(OR(campo="""",campo=""-""),""NO APLICA"",
IF(col=0,""REVISAR EQUIVALENCIA"",
IF(fila=0,""SKU NO ENCONTRADO"",
LET(
valor,INDEX(Referencia!$A$2:$AZ6238,fila,col),
IF(TRIM(TO_TEXT(valor))=TRIM(TO_TEXT(I2307)),"&amp;"
""OK"",
""NO COINCIDE. Valor verdadero: ""&amp;IF(valor="""",""[VACÍO]"",TO_TEXT(valor))
)
))))
),""ERROR EN FÓRMULA""))"),"NO APLICA")</f>
        <v>NO APLICA</v>
      </c>
    </row>
    <row r="2308">
      <c r="A2308" s="83" t="s">
        <v>4078</v>
      </c>
      <c r="B2308" s="83" t="s">
        <v>4079</v>
      </c>
      <c r="C2308" s="81" t="s">
        <v>4086</v>
      </c>
      <c r="D2308" s="83" t="s">
        <v>4640</v>
      </c>
      <c r="E2308" s="81" t="s">
        <v>3030</v>
      </c>
      <c r="F2308" s="84">
        <v>583.0</v>
      </c>
      <c r="G2308" s="81" t="s">
        <v>12</v>
      </c>
      <c r="H2308" s="81" t="s">
        <v>224</v>
      </c>
      <c r="I2308" s="81" t="s">
        <v>1549</v>
      </c>
      <c r="J2308" s="81" t="s">
        <v>224</v>
      </c>
      <c r="K2308" s="81" t="str">
        <f>IFERROR(__xludf.DUMMYFUNCTION("IF(OR(D2308="""",G2308=""""),"""",IFERROR(LET(
campo,XLOOKUP(TRIM(G2308),ARRAYFORMULA(TRIM('indice columnas'!$A$2:$A$100)),'indice columnas'!$B$2:$B$100,""""),
col,IFERROR(MATCH(campo,Referencia!$A$1:$AZ$1,0),0),
fila,IFERROR(MATCH(TO_TEXT(D2308),ARRAYFOR"&amp;"MULA(TO_TEXT(Referencia!$A$2:$A6238)),0),0),
IF(OR(campo="""",campo=""-""),""NO APLICA"",
IF(col=0,""REVISAR EQUIVALENCIA"",
IF(fila=0,""SKU NO ENCONTRADO"",
LET(
valor,INDEX(Referencia!$A$2:$AZ6238,fila,col),
IF(TRIM(TO_TEXT(valor))=TRIM(TO_TEXT(I2308)),"&amp;"
""OK"",
""NO COINCIDE. Valor verdadero: ""&amp;IF(valor="""",""[VACÍO]"",TO_TEXT(valor))
)
))))
),""ERROR EN FÓRMULA""))"),"OK")</f>
        <v>OK</v>
      </c>
    </row>
    <row r="2309">
      <c r="A2309" s="83" t="s">
        <v>4078</v>
      </c>
      <c r="B2309" s="83" t="s">
        <v>4079</v>
      </c>
      <c r="C2309" s="81" t="s">
        <v>4086</v>
      </c>
      <c r="D2309" s="83" t="s">
        <v>4640</v>
      </c>
      <c r="E2309" s="81" t="s">
        <v>3030</v>
      </c>
      <c r="F2309" s="84">
        <v>583.0</v>
      </c>
      <c r="G2309" s="81" t="s">
        <v>44</v>
      </c>
      <c r="H2309" s="81" t="s">
        <v>4641</v>
      </c>
      <c r="I2309" s="81" t="s">
        <v>3042</v>
      </c>
      <c r="J2309" s="81" t="s">
        <v>4088</v>
      </c>
      <c r="K2309" s="81" t="str">
        <f>IFERROR(__xludf.DUMMYFUNCTION("IF(OR(D2309="""",G2309=""""),"""",IFERROR(LET(
campo,XLOOKUP(TRIM(G2309),ARRAYFORMULA(TRIM('indice columnas'!$A$2:$A$100)),'indice columnas'!$B$2:$B$100,""""),
col,IFERROR(MATCH(campo,Referencia!$A$1:$AZ$1,0),0),
fila,IFERROR(MATCH(TO_TEXT(D2309),ARRAYFOR"&amp;"MULA(TO_TEXT(Referencia!$A$2:$A6238)),0),0),
IF(OR(campo="""",campo=""-""),""NO APLICA"",
IF(col=0,""REVISAR EQUIVALENCIA"",
IF(fila=0,""SKU NO ENCONTRADO"",
LET(
valor,INDEX(Referencia!$A$2:$AZ6238,fila,col),
IF(TRIM(TO_TEXT(valor))=TRIM(TO_TEXT(I2309)),"&amp;"
""OK"",
""NO COINCIDE. Valor verdadero: ""&amp;IF(valor="""",""[VACÍO]"",TO_TEXT(valor))
)
))))
),""ERROR EN FÓRMULA""))"),"NO APLICA")</f>
        <v>NO APLICA</v>
      </c>
    </row>
    <row r="2310">
      <c r="A2310" s="83" t="s">
        <v>4078</v>
      </c>
      <c r="B2310" s="83" t="s">
        <v>4079</v>
      </c>
      <c r="C2310" s="81" t="s">
        <v>4086</v>
      </c>
      <c r="D2310" s="83" t="s">
        <v>4642</v>
      </c>
      <c r="E2310" s="81" t="s">
        <v>3042</v>
      </c>
      <c r="F2310" s="84">
        <v>584.0</v>
      </c>
      <c r="G2310" s="81" t="s">
        <v>44</v>
      </c>
      <c r="H2310" s="81" t="s">
        <v>4641</v>
      </c>
      <c r="I2310" s="81" t="s">
        <v>3042</v>
      </c>
      <c r="J2310" s="81" t="s">
        <v>4088</v>
      </c>
      <c r="K2310" s="81" t="str">
        <f>IFERROR(__xludf.DUMMYFUNCTION("IF(OR(D2310="""",G2310=""""),"""",IFERROR(LET(
campo,XLOOKUP(TRIM(G2310),ARRAYFORMULA(TRIM('indice columnas'!$A$2:$A$100)),'indice columnas'!$B$2:$B$100,""""),
col,IFERROR(MATCH(campo,Referencia!$A$1:$AZ$1,0),0),
fila,IFERROR(MATCH(TO_TEXT(D2310),ARRAYFOR"&amp;"MULA(TO_TEXT(Referencia!$A$2:$A6238)),0),0),
IF(OR(campo="""",campo=""-""),""NO APLICA"",
IF(col=0,""REVISAR EQUIVALENCIA"",
IF(fila=0,""SKU NO ENCONTRADO"",
LET(
valor,INDEX(Referencia!$A$2:$AZ6238,fila,col),
IF(TRIM(TO_TEXT(valor))=TRIM(TO_TEXT(I2310)),"&amp;"
""OK"",
""NO COINCIDE. Valor verdadero: ""&amp;IF(valor="""",""[VACÍO]"",TO_TEXT(valor))
)
))))
),""ERROR EN FÓRMULA""))"),"NO APLICA")</f>
        <v>NO APLICA</v>
      </c>
    </row>
    <row r="2311">
      <c r="A2311" s="83" t="s">
        <v>4078</v>
      </c>
      <c r="B2311" s="83" t="s">
        <v>4079</v>
      </c>
      <c r="C2311" s="81" t="s">
        <v>4086</v>
      </c>
      <c r="D2311" s="83" t="s">
        <v>4642</v>
      </c>
      <c r="E2311" s="81" t="s">
        <v>3045</v>
      </c>
      <c r="F2311" s="84">
        <v>585.0</v>
      </c>
      <c r="G2311" s="81" t="s">
        <v>12</v>
      </c>
      <c r="H2311" s="81" t="s">
        <v>224</v>
      </c>
      <c r="I2311" s="81" t="s">
        <v>1549</v>
      </c>
      <c r="J2311" s="81" t="s">
        <v>224</v>
      </c>
      <c r="K2311" s="81" t="str">
        <f>IFERROR(__xludf.DUMMYFUNCTION("IF(OR(D2311="""",G2311=""""),"""",IFERROR(LET(
campo,XLOOKUP(TRIM(G2311),ARRAYFORMULA(TRIM('indice columnas'!$A$2:$A$100)),'indice columnas'!$B$2:$B$100,""""),
col,IFERROR(MATCH(campo,Referencia!$A$1:$AZ$1,0),0),
fila,IFERROR(MATCH(TO_TEXT(D2311),ARRAYFOR"&amp;"MULA(TO_TEXT(Referencia!$A$2:$A6238)),0),0),
IF(OR(campo="""",campo=""-""),""NO APLICA"",
IF(col=0,""REVISAR EQUIVALENCIA"",
IF(fila=0,""SKU NO ENCONTRADO"",
LET(
valor,INDEX(Referencia!$A$2:$AZ6238,fila,col),
IF(TRIM(TO_TEXT(valor))=TRIM(TO_TEXT(I2311)),"&amp;"
""OK"",
""NO COINCIDE. Valor verdadero: ""&amp;IF(valor="""",""[VACÍO]"",TO_TEXT(valor))
)
))))
),""ERROR EN FÓRMULA""))"),"OK")</f>
        <v>OK</v>
      </c>
    </row>
    <row r="2312">
      <c r="A2312" s="83" t="s">
        <v>4078</v>
      </c>
      <c r="B2312" s="83" t="s">
        <v>4079</v>
      </c>
      <c r="C2312" s="81" t="s">
        <v>4086</v>
      </c>
      <c r="D2312" s="83" t="s">
        <v>4642</v>
      </c>
      <c r="E2312" s="81" t="s">
        <v>3045</v>
      </c>
      <c r="F2312" s="84">
        <v>585.0</v>
      </c>
      <c r="G2312" s="81" t="s">
        <v>44</v>
      </c>
      <c r="H2312" s="81" t="s">
        <v>4641</v>
      </c>
      <c r="I2312" s="81" t="s">
        <v>3042</v>
      </c>
      <c r="J2312" s="81" t="s">
        <v>4088</v>
      </c>
      <c r="K2312" s="81" t="str">
        <f>IFERROR(__xludf.DUMMYFUNCTION("IF(OR(D2312="""",G2312=""""),"""",IFERROR(LET(
campo,XLOOKUP(TRIM(G2312),ARRAYFORMULA(TRIM('indice columnas'!$A$2:$A$100)),'indice columnas'!$B$2:$B$100,""""),
col,IFERROR(MATCH(campo,Referencia!$A$1:$AZ$1,0),0),
fila,IFERROR(MATCH(TO_TEXT(D2312),ARRAYFOR"&amp;"MULA(TO_TEXT(Referencia!$A$2:$A6238)),0),0),
IF(OR(campo="""",campo=""-""),""NO APLICA"",
IF(col=0,""REVISAR EQUIVALENCIA"",
IF(fila=0,""SKU NO ENCONTRADO"",
LET(
valor,INDEX(Referencia!$A$2:$AZ6238,fila,col),
IF(TRIM(TO_TEXT(valor))=TRIM(TO_TEXT(I2312)),"&amp;"
""OK"",
""NO COINCIDE. Valor verdadero: ""&amp;IF(valor="""",""[VACÍO]"",TO_TEXT(valor))
)
))))
),""ERROR EN FÓRMULA""))"),"NO APLICA")</f>
        <v>NO APLICA</v>
      </c>
    </row>
    <row r="2313">
      <c r="A2313" s="83" t="s">
        <v>4078</v>
      </c>
      <c r="B2313" s="83" t="s">
        <v>4079</v>
      </c>
      <c r="C2313" s="81" t="s">
        <v>4086</v>
      </c>
      <c r="D2313" s="83" t="s">
        <v>4643</v>
      </c>
      <c r="E2313" s="81" t="s">
        <v>3046</v>
      </c>
      <c r="F2313" s="84">
        <v>586.0</v>
      </c>
      <c r="G2313" s="81" t="s">
        <v>44</v>
      </c>
      <c r="H2313" s="81" t="s">
        <v>224</v>
      </c>
      <c r="I2313" s="81" t="s">
        <v>3046</v>
      </c>
      <c r="J2313" s="81" t="s">
        <v>4088</v>
      </c>
      <c r="K2313" s="81" t="str">
        <f>IFERROR(__xludf.DUMMYFUNCTION("IF(OR(D2313="""",G2313=""""),"""",IFERROR(LET(
campo,XLOOKUP(TRIM(G2313),ARRAYFORMULA(TRIM('indice columnas'!$A$2:$A$100)),'indice columnas'!$B$2:$B$100,""""),
col,IFERROR(MATCH(campo,Referencia!$A$1:$AZ$1,0),0),
fila,IFERROR(MATCH(TO_TEXT(D2313),ARRAYFOR"&amp;"MULA(TO_TEXT(Referencia!$A$2:$A6238)),0),0),
IF(OR(campo="""",campo=""-""),""NO APLICA"",
IF(col=0,""REVISAR EQUIVALENCIA"",
IF(fila=0,""SKU NO ENCONTRADO"",
LET(
valor,INDEX(Referencia!$A$2:$AZ6238,fila,col),
IF(TRIM(TO_TEXT(valor))=TRIM(TO_TEXT(I2313)),"&amp;"
""OK"",
""NO COINCIDE. Valor verdadero: ""&amp;IF(valor="""",""[VACÍO]"",TO_TEXT(valor))
)
))))
),""ERROR EN FÓRMULA""))"),"NO APLICA")</f>
        <v>NO APLICA</v>
      </c>
    </row>
    <row r="2314">
      <c r="A2314" s="83" t="s">
        <v>4078</v>
      </c>
      <c r="B2314" s="83" t="s">
        <v>4079</v>
      </c>
      <c r="C2314" s="81" t="s">
        <v>4086</v>
      </c>
      <c r="D2314" s="83" t="s">
        <v>4643</v>
      </c>
      <c r="E2314" s="81" t="s">
        <v>3058</v>
      </c>
      <c r="F2314" s="84">
        <v>587.0</v>
      </c>
      <c r="G2314" s="81" t="s">
        <v>12</v>
      </c>
      <c r="H2314" s="81" t="s">
        <v>224</v>
      </c>
      <c r="I2314" s="81" t="s">
        <v>1549</v>
      </c>
      <c r="J2314" s="81" t="s">
        <v>224</v>
      </c>
      <c r="K2314" s="81" t="str">
        <f>IFERROR(__xludf.DUMMYFUNCTION("IF(OR(D2314="""",G2314=""""),"""",IFERROR(LET(
campo,XLOOKUP(TRIM(G2314),ARRAYFORMULA(TRIM('indice columnas'!$A$2:$A$100)),'indice columnas'!$B$2:$B$100,""""),
col,IFERROR(MATCH(campo,Referencia!$A$1:$AZ$1,0),0),
fila,IFERROR(MATCH(TO_TEXT(D2314),ARRAYFOR"&amp;"MULA(TO_TEXT(Referencia!$A$2:$A6238)),0),0),
IF(OR(campo="""",campo=""-""),""NO APLICA"",
IF(col=0,""REVISAR EQUIVALENCIA"",
IF(fila=0,""SKU NO ENCONTRADO"",
LET(
valor,INDEX(Referencia!$A$2:$AZ6238,fila,col),
IF(TRIM(TO_TEXT(valor))=TRIM(TO_TEXT(I2314)),"&amp;"
""OK"",
""NO COINCIDE. Valor verdadero: ""&amp;IF(valor="""",""[VACÍO]"",TO_TEXT(valor))
)
))))
),""ERROR EN FÓRMULA""))"),"OK")</f>
        <v>OK</v>
      </c>
    </row>
    <row r="2315">
      <c r="A2315" s="83" t="s">
        <v>4078</v>
      </c>
      <c r="B2315" s="83" t="s">
        <v>4079</v>
      </c>
      <c r="C2315" s="81" t="s">
        <v>4086</v>
      </c>
      <c r="D2315" s="83" t="s">
        <v>4643</v>
      </c>
      <c r="E2315" s="81" t="s">
        <v>3058</v>
      </c>
      <c r="F2315" s="84">
        <v>587.0</v>
      </c>
      <c r="G2315" s="81" t="s">
        <v>44</v>
      </c>
      <c r="H2315" s="81" t="s">
        <v>224</v>
      </c>
      <c r="I2315" s="81" t="s">
        <v>3046</v>
      </c>
      <c r="J2315" s="81" t="s">
        <v>4088</v>
      </c>
      <c r="K2315" s="81" t="str">
        <f>IFERROR(__xludf.DUMMYFUNCTION("IF(OR(D2315="""",G2315=""""),"""",IFERROR(LET(
campo,XLOOKUP(TRIM(G2315),ARRAYFORMULA(TRIM('indice columnas'!$A$2:$A$100)),'indice columnas'!$B$2:$B$100,""""),
col,IFERROR(MATCH(campo,Referencia!$A$1:$AZ$1,0),0),
fila,IFERROR(MATCH(TO_TEXT(D2315),ARRAYFOR"&amp;"MULA(TO_TEXT(Referencia!$A$2:$A6238)),0),0),
IF(OR(campo="""",campo=""-""),""NO APLICA"",
IF(col=0,""REVISAR EQUIVALENCIA"",
IF(fila=0,""SKU NO ENCONTRADO"",
LET(
valor,INDEX(Referencia!$A$2:$AZ6238,fila,col),
IF(TRIM(TO_TEXT(valor))=TRIM(TO_TEXT(I2315)),"&amp;"
""OK"",
""NO COINCIDE. Valor verdadero: ""&amp;IF(valor="""",""[VACÍO]"",TO_TEXT(valor))
)
))))
),""ERROR EN FÓRMULA""))"),"NO APLICA")</f>
        <v>NO APLICA</v>
      </c>
    </row>
    <row r="2316">
      <c r="A2316" s="83" t="s">
        <v>4078</v>
      </c>
      <c r="B2316" s="83" t="s">
        <v>4079</v>
      </c>
      <c r="C2316" s="81" t="s">
        <v>4086</v>
      </c>
      <c r="D2316" s="83" t="s">
        <v>4644</v>
      </c>
      <c r="E2316" s="81" t="s">
        <v>3059</v>
      </c>
      <c r="F2316" s="84">
        <v>588.0</v>
      </c>
      <c r="G2316" s="81" t="s">
        <v>12</v>
      </c>
      <c r="H2316" s="81" t="s">
        <v>224</v>
      </c>
      <c r="I2316" s="81" t="s">
        <v>1549</v>
      </c>
      <c r="J2316" s="81" t="s">
        <v>224</v>
      </c>
      <c r="K2316" s="81" t="str">
        <f>IFERROR(__xludf.DUMMYFUNCTION("IF(OR(D2316="""",G2316=""""),"""",IFERROR(LET(
campo,XLOOKUP(TRIM(G2316),ARRAYFORMULA(TRIM('indice columnas'!$A$2:$A$100)),'indice columnas'!$B$2:$B$100,""""),
col,IFERROR(MATCH(campo,Referencia!$A$1:$AZ$1,0),0),
fila,IFERROR(MATCH(TO_TEXT(D2316),ARRAYFOR"&amp;"MULA(TO_TEXT(Referencia!$A$2:$A6238)),0),0),
IF(OR(campo="""",campo=""-""),""NO APLICA"",
IF(col=0,""REVISAR EQUIVALENCIA"",
IF(fila=0,""SKU NO ENCONTRADO"",
LET(
valor,INDEX(Referencia!$A$2:$AZ6238,fila,col),
IF(TRIM(TO_TEXT(valor))=TRIM(TO_TEXT(I2316)),"&amp;"
""OK"",
""NO COINCIDE. Valor verdadero: ""&amp;IF(valor="""",""[VACÍO]"",TO_TEXT(valor))
)
))))
),""ERROR EN FÓRMULA""))"),"OK")</f>
        <v>OK</v>
      </c>
    </row>
    <row r="2317">
      <c r="A2317" s="83" t="s">
        <v>4078</v>
      </c>
      <c r="B2317" s="83" t="s">
        <v>4079</v>
      </c>
      <c r="C2317" s="81" t="s">
        <v>4086</v>
      </c>
      <c r="D2317" s="83" t="s">
        <v>4644</v>
      </c>
      <c r="E2317" s="81" t="s">
        <v>3059</v>
      </c>
      <c r="F2317" s="84">
        <v>588.0</v>
      </c>
      <c r="G2317" s="81" t="s">
        <v>44</v>
      </c>
      <c r="H2317" s="81" t="s">
        <v>224</v>
      </c>
      <c r="I2317" s="81" t="s">
        <v>3046</v>
      </c>
      <c r="J2317" s="81" t="s">
        <v>4088</v>
      </c>
      <c r="K2317" s="81" t="str">
        <f>IFERROR(__xludf.DUMMYFUNCTION("IF(OR(D2317="""",G2317=""""),"""",IFERROR(LET(
campo,XLOOKUP(TRIM(G2317),ARRAYFORMULA(TRIM('indice columnas'!$A$2:$A$100)),'indice columnas'!$B$2:$B$100,""""),
col,IFERROR(MATCH(campo,Referencia!$A$1:$AZ$1,0),0),
fila,IFERROR(MATCH(TO_TEXT(D2317),ARRAYFOR"&amp;"MULA(TO_TEXT(Referencia!$A$2:$A6238)),0),0),
IF(OR(campo="""",campo=""-""),""NO APLICA"",
IF(col=0,""REVISAR EQUIVALENCIA"",
IF(fila=0,""SKU NO ENCONTRADO"",
LET(
valor,INDEX(Referencia!$A$2:$AZ6238,fila,col),
IF(TRIM(TO_TEXT(valor))=TRIM(TO_TEXT(I2317)),"&amp;"
""OK"",
""NO COINCIDE. Valor verdadero: ""&amp;IF(valor="""",""[VACÍO]"",TO_TEXT(valor))
)
))))
),""ERROR EN FÓRMULA""))"),"NO APLICA")</f>
        <v>NO APLICA</v>
      </c>
    </row>
    <row r="2318">
      <c r="A2318" s="83" t="s">
        <v>4078</v>
      </c>
      <c r="B2318" s="83" t="s">
        <v>4079</v>
      </c>
      <c r="C2318" s="81" t="s">
        <v>4086</v>
      </c>
      <c r="D2318" s="83" t="s">
        <v>4645</v>
      </c>
      <c r="E2318" s="81" t="s">
        <v>3062</v>
      </c>
      <c r="F2318" s="84">
        <v>589.0</v>
      </c>
      <c r="G2318" s="81" t="s">
        <v>44</v>
      </c>
      <c r="H2318" s="81" t="s">
        <v>4646</v>
      </c>
      <c r="I2318" s="81" t="s">
        <v>3062</v>
      </c>
      <c r="J2318" s="81" t="s">
        <v>4088</v>
      </c>
      <c r="K2318" s="81" t="str">
        <f>IFERROR(__xludf.DUMMYFUNCTION("IF(OR(D2318="""",G2318=""""),"""",IFERROR(LET(
campo,XLOOKUP(TRIM(G2318),ARRAYFORMULA(TRIM('indice columnas'!$A$2:$A$100)),'indice columnas'!$B$2:$B$100,""""),
col,IFERROR(MATCH(campo,Referencia!$A$1:$AZ$1,0),0),
fila,IFERROR(MATCH(TO_TEXT(D2318),ARRAYFOR"&amp;"MULA(TO_TEXT(Referencia!$A$2:$A6238)),0),0),
IF(OR(campo="""",campo=""-""),""NO APLICA"",
IF(col=0,""REVISAR EQUIVALENCIA"",
IF(fila=0,""SKU NO ENCONTRADO"",
LET(
valor,INDEX(Referencia!$A$2:$AZ6238,fila,col),
IF(TRIM(TO_TEXT(valor))=TRIM(TO_TEXT(I2318)),"&amp;"
""OK"",
""NO COINCIDE. Valor verdadero: ""&amp;IF(valor="""",""[VACÍO]"",TO_TEXT(valor))
)
))))
),""ERROR EN FÓRMULA""))"),"NO APLICA")</f>
        <v>NO APLICA</v>
      </c>
    </row>
    <row r="2319">
      <c r="A2319" s="83" t="s">
        <v>4078</v>
      </c>
      <c r="B2319" s="83" t="s">
        <v>4079</v>
      </c>
      <c r="C2319" s="81" t="s">
        <v>4086</v>
      </c>
      <c r="D2319" s="83" t="s">
        <v>4645</v>
      </c>
      <c r="E2319" s="81" t="s">
        <v>3073</v>
      </c>
      <c r="F2319" s="84">
        <v>590.0</v>
      </c>
      <c r="G2319" s="81" t="s">
        <v>44</v>
      </c>
      <c r="H2319" s="81" t="s">
        <v>4646</v>
      </c>
      <c r="I2319" s="81" t="s">
        <v>3062</v>
      </c>
      <c r="J2319" s="81" t="s">
        <v>4088</v>
      </c>
      <c r="K2319" s="81" t="str">
        <f>IFERROR(__xludf.DUMMYFUNCTION("IF(OR(D2319="""",G2319=""""),"""",IFERROR(LET(
campo,XLOOKUP(TRIM(G2319),ARRAYFORMULA(TRIM('indice columnas'!$A$2:$A$100)),'indice columnas'!$B$2:$B$100,""""),
col,IFERROR(MATCH(campo,Referencia!$A$1:$AZ$1,0),0),
fila,IFERROR(MATCH(TO_TEXT(D2319),ARRAYFOR"&amp;"MULA(TO_TEXT(Referencia!$A$2:$A6238)),0),0),
IF(OR(campo="""",campo=""-""),""NO APLICA"",
IF(col=0,""REVISAR EQUIVALENCIA"",
IF(fila=0,""SKU NO ENCONTRADO"",
LET(
valor,INDEX(Referencia!$A$2:$AZ6238,fila,col),
IF(TRIM(TO_TEXT(valor))=TRIM(TO_TEXT(I2319)),"&amp;"
""OK"",
""NO COINCIDE. Valor verdadero: ""&amp;IF(valor="""",""[VACÍO]"",TO_TEXT(valor))
)
))))
),""ERROR EN FÓRMULA""))"),"NO APLICA")</f>
        <v>NO APLICA</v>
      </c>
    </row>
    <row r="2320">
      <c r="A2320" s="83" t="s">
        <v>4078</v>
      </c>
      <c r="B2320" s="83" t="s">
        <v>4079</v>
      </c>
      <c r="C2320" s="81" t="s">
        <v>4086</v>
      </c>
      <c r="D2320" s="83" t="s">
        <v>4647</v>
      </c>
      <c r="E2320" s="81" t="s">
        <v>3074</v>
      </c>
      <c r="F2320" s="84">
        <v>591.0</v>
      </c>
      <c r="G2320" s="81" t="s">
        <v>44</v>
      </c>
      <c r="H2320" s="81" t="s">
        <v>4646</v>
      </c>
      <c r="I2320" s="81" t="s">
        <v>3062</v>
      </c>
      <c r="J2320" s="81" t="s">
        <v>4088</v>
      </c>
      <c r="K2320" s="81" t="str">
        <f>IFERROR(__xludf.DUMMYFUNCTION("IF(OR(D2320="""",G2320=""""),"""",IFERROR(LET(
campo,XLOOKUP(TRIM(G2320),ARRAYFORMULA(TRIM('indice columnas'!$A$2:$A$100)),'indice columnas'!$B$2:$B$100,""""),
col,IFERROR(MATCH(campo,Referencia!$A$1:$AZ$1,0),0),
fila,IFERROR(MATCH(TO_TEXT(D2320),ARRAYFOR"&amp;"MULA(TO_TEXT(Referencia!$A$2:$A6238)),0),0),
IF(OR(campo="""",campo=""-""),""NO APLICA"",
IF(col=0,""REVISAR EQUIVALENCIA"",
IF(fila=0,""SKU NO ENCONTRADO"",
LET(
valor,INDEX(Referencia!$A$2:$AZ6238,fila,col),
IF(TRIM(TO_TEXT(valor))=TRIM(TO_TEXT(I2320)),"&amp;"
""OK"",
""NO COINCIDE. Valor verdadero: ""&amp;IF(valor="""",""[VACÍO]"",TO_TEXT(valor))
)
))))
),""ERROR EN FÓRMULA""))"),"NO APLICA")</f>
        <v>NO APLICA</v>
      </c>
    </row>
    <row r="2321">
      <c r="A2321" s="83" t="s">
        <v>4078</v>
      </c>
      <c r="B2321" s="83" t="s">
        <v>4079</v>
      </c>
      <c r="C2321" s="81" t="s">
        <v>4086</v>
      </c>
      <c r="D2321" s="83" t="s">
        <v>4648</v>
      </c>
      <c r="E2321" s="81" t="s">
        <v>3077</v>
      </c>
      <c r="F2321" s="84">
        <v>592.0</v>
      </c>
      <c r="G2321" s="81" t="s">
        <v>44</v>
      </c>
      <c r="H2321" s="81" t="s">
        <v>4649</v>
      </c>
      <c r="I2321" s="81" t="s">
        <v>3077</v>
      </c>
      <c r="J2321" s="81" t="s">
        <v>4088</v>
      </c>
      <c r="K2321" s="81" t="str">
        <f>IFERROR(__xludf.DUMMYFUNCTION("IF(OR(D2321="""",G2321=""""),"""",IFERROR(LET(
campo,XLOOKUP(TRIM(G2321),ARRAYFORMULA(TRIM('indice columnas'!$A$2:$A$100)),'indice columnas'!$B$2:$B$100,""""),
col,IFERROR(MATCH(campo,Referencia!$A$1:$AZ$1,0),0),
fila,IFERROR(MATCH(TO_TEXT(D2321),ARRAYFOR"&amp;"MULA(TO_TEXT(Referencia!$A$2:$A6238)),0),0),
IF(OR(campo="""",campo=""-""),""NO APLICA"",
IF(col=0,""REVISAR EQUIVALENCIA"",
IF(fila=0,""SKU NO ENCONTRADO"",
LET(
valor,INDEX(Referencia!$A$2:$AZ6238,fila,col),
IF(TRIM(TO_TEXT(valor))=TRIM(TO_TEXT(I2321)),"&amp;"
""OK"",
""NO COINCIDE. Valor verdadero: ""&amp;IF(valor="""",""[VACÍO]"",TO_TEXT(valor))
)
))))
),""ERROR EN FÓRMULA""))"),"NO APLICA")</f>
        <v>NO APLICA</v>
      </c>
    </row>
    <row r="2322">
      <c r="A2322" s="83" t="s">
        <v>4078</v>
      </c>
      <c r="B2322" s="83" t="s">
        <v>4079</v>
      </c>
      <c r="C2322" s="81" t="s">
        <v>4086</v>
      </c>
      <c r="D2322" s="83" t="s">
        <v>4648</v>
      </c>
      <c r="E2322" s="81" t="s">
        <v>3090</v>
      </c>
      <c r="F2322" s="84">
        <v>593.0</v>
      </c>
      <c r="G2322" s="81" t="s">
        <v>7</v>
      </c>
      <c r="H2322" s="81" t="s">
        <v>53</v>
      </c>
      <c r="I2322" s="81" t="s">
        <v>1134</v>
      </c>
      <c r="J2322" s="81" t="s">
        <v>224</v>
      </c>
      <c r="K2322" s="81" t="str">
        <f>IFERROR(__xludf.DUMMYFUNCTION("IF(OR(D2322="""",G2322=""""),"""",IFERROR(LET(
campo,XLOOKUP(TRIM(G2322),ARRAYFORMULA(TRIM('indice columnas'!$A$2:$A$100)),'indice columnas'!$B$2:$B$100,""""),
col,IFERROR(MATCH(campo,Referencia!$A$1:$AZ$1,0),0),
fila,IFERROR(MATCH(TO_TEXT(D2322),ARRAYFOR"&amp;"MULA(TO_TEXT(Referencia!$A$2:$A6238)),0),0),
IF(OR(campo="""",campo=""-""),""NO APLICA"",
IF(col=0,""REVISAR EQUIVALENCIA"",
IF(fila=0,""SKU NO ENCONTRADO"",
LET(
valor,INDEX(Referencia!$A$2:$AZ6238,fila,col),
IF(TRIM(TO_TEXT(valor))=TRIM(TO_TEXT(I2322)),"&amp;"
""OK"",
""NO COINCIDE. Valor verdadero: ""&amp;IF(valor="""",""[VACÍO]"",TO_TEXT(valor))
)
))))
),""ERROR EN FÓRMULA""))"),"REVISAR EQUIVALENCIA")</f>
        <v>REVISAR EQUIVALENCIA</v>
      </c>
    </row>
    <row r="2323">
      <c r="A2323" s="83" t="s">
        <v>4078</v>
      </c>
      <c r="B2323" s="83" t="s">
        <v>4079</v>
      </c>
      <c r="C2323" s="81" t="s">
        <v>4086</v>
      </c>
      <c r="D2323" s="83" t="s">
        <v>4648</v>
      </c>
      <c r="E2323" s="81" t="s">
        <v>3090</v>
      </c>
      <c r="F2323" s="84">
        <v>593.0</v>
      </c>
      <c r="G2323" s="81" t="s">
        <v>44</v>
      </c>
      <c r="H2323" s="81" t="s">
        <v>4649</v>
      </c>
      <c r="I2323" s="81" t="s">
        <v>3077</v>
      </c>
      <c r="J2323" s="81" t="s">
        <v>4088</v>
      </c>
      <c r="K2323" s="81" t="str">
        <f>IFERROR(__xludf.DUMMYFUNCTION("IF(OR(D2323="""",G2323=""""),"""",IFERROR(LET(
campo,XLOOKUP(TRIM(G2323),ARRAYFORMULA(TRIM('indice columnas'!$A$2:$A$100)),'indice columnas'!$B$2:$B$100,""""),
col,IFERROR(MATCH(campo,Referencia!$A$1:$AZ$1,0),0),
fila,IFERROR(MATCH(TO_TEXT(D2323),ARRAYFOR"&amp;"MULA(TO_TEXT(Referencia!$A$2:$A6238)),0),0),
IF(OR(campo="""",campo=""-""),""NO APLICA"",
IF(col=0,""REVISAR EQUIVALENCIA"",
IF(fila=0,""SKU NO ENCONTRADO"",
LET(
valor,INDEX(Referencia!$A$2:$AZ6238,fila,col),
IF(TRIM(TO_TEXT(valor))=TRIM(TO_TEXT(I2323)),"&amp;"
""OK"",
""NO COINCIDE. Valor verdadero: ""&amp;IF(valor="""",""[VACÍO]"",TO_TEXT(valor))
)
))))
),""ERROR EN FÓRMULA""))"),"NO APLICA")</f>
        <v>NO APLICA</v>
      </c>
    </row>
    <row r="2324">
      <c r="A2324" s="83" t="s">
        <v>4078</v>
      </c>
      <c r="B2324" s="83" t="s">
        <v>4079</v>
      </c>
      <c r="C2324" s="81" t="s">
        <v>4086</v>
      </c>
      <c r="D2324" s="83" t="s">
        <v>4650</v>
      </c>
      <c r="E2324" s="81" t="s">
        <v>3091</v>
      </c>
      <c r="F2324" s="84">
        <v>594.0</v>
      </c>
      <c r="G2324" s="81" t="s">
        <v>7</v>
      </c>
      <c r="H2324" s="81" t="s">
        <v>53</v>
      </c>
      <c r="I2324" s="81" t="s">
        <v>1134</v>
      </c>
      <c r="J2324" s="81" t="s">
        <v>224</v>
      </c>
      <c r="K2324" s="81" t="str">
        <f>IFERROR(__xludf.DUMMYFUNCTION("IF(OR(D2324="""",G2324=""""),"""",IFERROR(LET(
campo,XLOOKUP(TRIM(G2324),ARRAYFORMULA(TRIM('indice columnas'!$A$2:$A$100)),'indice columnas'!$B$2:$B$100,""""),
col,IFERROR(MATCH(campo,Referencia!$A$1:$AZ$1,0),0),
fila,IFERROR(MATCH(TO_TEXT(D2324),ARRAYFOR"&amp;"MULA(TO_TEXT(Referencia!$A$2:$A6238)),0),0),
IF(OR(campo="""",campo=""-""),""NO APLICA"",
IF(col=0,""REVISAR EQUIVALENCIA"",
IF(fila=0,""SKU NO ENCONTRADO"",
LET(
valor,INDEX(Referencia!$A$2:$AZ6238,fila,col),
IF(TRIM(TO_TEXT(valor))=TRIM(TO_TEXT(I2324)),"&amp;"
""OK"",
""NO COINCIDE. Valor verdadero: ""&amp;IF(valor="""",""[VACÍO]"",TO_TEXT(valor))
)
))))
),""ERROR EN FÓRMULA""))"),"REVISAR EQUIVALENCIA")</f>
        <v>REVISAR EQUIVALENCIA</v>
      </c>
    </row>
    <row r="2325">
      <c r="A2325" s="83" t="s">
        <v>4078</v>
      </c>
      <c r="B2325" s="83" t="s">
        <v>4079</v>
      </c>
      <c r="C2325" s="81" t="s">
        <v>4086</v>
      </c>
      <c r="D2325" s="83" t="s">
        <v>4650</v>
      </c>
      <c r="E2325" s="81" t="s">
        <v>3091</v>
      </c>
      <c r="F2325" s="84">
        <v>594.0</v>
      </c>
      <c r="G2325" s="81" t="s">
        <v>44</v>
      </c>
      <c r="H2325" s="81" t="s">
        <v>4649</v>
      </c>
      <c r="I2325" s="81" t="s">
        <v>3077</v>
      </c>
      <c r="J2325" s="81" t="s">
        <v>4088</v>
      </c>
      <c r="K2325" s="81" t="str">
        <f>IFERROR(__xludf.DUMMYFUNCTION("IF(OR(D2325="""",G2325=""""),"""",IFERROR(LET(
campo,XLOOKUP(TRIM(G2325),ARRAYFORMULA(TRIM('indice columnas'!$A$2:$A$100)),'indice columnas'!$B$2:$B$100,""""),
col,IFERROR(MATCH(campo,Referencia!$A$1:$AZ$1,0),0),
fila,IFERROR(MATCH(TO_TEXT(D2325),ARRAYFOR"&amp;"MULA(TO_TEXT(Referencia!$A$2:$A6238)),0),0),
IF(OR(campo="""",campo=""-""),""NO APLICA"",
IF(col=0,""REVISAR EQUIVALENCIA"",
IF(fila=0,""SKU NO ENCONTRADO"",
LET(
valor,INDEX(Referencia!$A$2:$AZ6238,fila,col),
IF(TRIM(TO_TEXT(valor))=TRIM(TO_TEXT(I2325)),"&amp;"
""OK"",
""NO COINCIDE. Valor verdadero: ""&amp;IF(valor="""",""[VACÍO]"",TO_TEXT(valor))
)
))))
),""ERROR EN FÓRMULA""))"),"NO APLICA")</f>
        <v>NO APLICA</v>
      </c>
    </row>
    <row r="2326">
      <c r="A2326" s="83" t="s">
        <v>4078</v>
      </c>
      <c r="B2326" s="83" t="s">
        <v>4079</v>
      </c>
      <c r="C2326" s="81" t="s">
        <v>4086</v>
      </c>
      <c r="D2326" s="83" t="s">
        <v>4651</v>
      </c>
      <c r="E2326" s="81" t="s">
        <v>3094</v>
      </c>
      <c r="F2326" s="84">
        <v>595.0</v>
      </c>
      <c r="G2326" s="81" t="s">
        <v>44</v>
      </c>
      <c r="H2326" s="81" t="s">
        <v>4652</v>
      </c>
      <c r="I2326" s="81" t="s">
        <v>4653</v>
      </c>
      <c r="J2326" s="81" t="s">
        <v>4088</v>
      </c>
      <c r="K2326" s="81" t="str">
        <f>IFERROR(__xludf.DUMMYFUNCTION("IF(OR(D2326="""",G2326=""""),"""",IFERROR(LET(
campo,XLOOKUP(TRIM(G2326),ARRAYFORMULA(TRIM('indice columnas'!$A$2:$A$100)),'indice columnas'!$B$2:$B$100,""""),
col,IFERROR(MATCH(campo,Referencia!$A$1:$AZ$1,0),0),
fila,IFERROR(MATCH(TO_TEXT(D2326),ARRAYFOR"&amp;"MULA(TO_TEXT(Referencia!$A$2:$A6238)),0),0),
IF(OR(campo="""",campo=""-""),""NO APLICA"",
IF(col=0,""REVISAR EQUIVALENCIA"",
IF(fila=0,""SKU NO ENCONTRADO"",
LET(
valor,INDEX(Referencia!$A$2:$AZ6238,fila,col),
IF(TRIM(TO_TEXT(valor))=TRIM(TO_TEXT(I2326)),"&amp;"
""OK"",
""NO COINCIDE. Valor verdadero: ""&amp;IF(valor="""",""[VACÍO]"",TO_TEXT(valor))
)
))))
),""ERROR EN FÓRMULA""))"),"NO APLICA")</f>
        <v>NO APLICA</v>
      </c>
    </row>
    <row r="2327">
      <c r="A2327" s="83" t="s">
        <v>4078</v>
      </c>
      <c r="B2327" s="83" t="s">
        <v>4079</v>
      </c>
      <c r="C2327" s="81" t="s">
        <v>4086</v>
      </c>
      <c r="D2327" s="83" t="s">
        <v>4654</v>
      </c>
      <c r="E2327" s="81" t="s">
        <v>3107</v>
      </c>
      <c r="F2327" s="84">
        <v>596.0</v>
      </c>
      <c r="G2327" s="81" t="s">
        <v>44</v>
      </c>
      <c r="H2327" s="81" t="s">
        <v>4655</v>
      </c>
      <c r="I2327" s="81" t="s">
        <v>4656</v>
      </c>
      <c r="J2327" s="81" t="s">
        <v>4088</v>
      </c>
      <c r="K2327" s="81" t="str">
        <f>IFERROR(__xludf.DUMMYFUNCTION("IF(OR(D2327="""",G2327=""""),"""",IFERROR(LET(
campo,XLOOKUP(TRIM(G2327),ARRAYFORMULA(TRIM('indice columnas'!$A$2:$A$100)),'indice columnas'!$B$2:$B$100,""""),
col,IFERROR(MATCH(campo,Referencia!$A$1:$AZ$1,0),0),
fila,IFERROR(MATCH(TO_TEXT(D2327),ARRAYFOR"&amp;"MULA(TO_TEXT(Referencia!$A$2:$A6238)),0),0),
IF(OR(campo="""",campo=""-""),""NO APLICA"",
IF(col=0,""REVISAR EQUIVALENCIA"",
IF(fila=0,""SKU NO ENCONTRADO"",
LET(
valor,INDEX(Referencia!$A$2:$AZ6238,fila,col),
IF(TRIM(TO_TEXT(valor))=TRIM(TO_TEXT(I2327)),"&amp;"
""OK"",
""NO COINCIDE. Valor verdadero: ""&amp;IF(valor="""",""[VACÍO]"",TO_TEXT(valor))
)
))))
),""ERROR EN FÓRMULA""))"),"NO APLICA")</f>
        <v>NO APLICA</v>
      </c>
    </row>
    <row r="2328">
      <c r="A2328" s="83" t="s">
        <v>4078</v>
      </c>
      <c r="B2328" s="83" t="s">
        <v>4079</v>
      </c>
      <c r="C2328" s="81" t="s">
        <v>4086</v>
      </c>
      <c r="D2328" s="83" t="s">
        <v>4657</v>
      </c>
      <c r="E2328" s="81" t="s">
        <v>3118</v>
      </c>
      <c r="F2328" s="84">
        <v>597.0</v>
      </c>
      <c r="G2328" s="81" t="s">
        <v>44</v>
      </c>
      <c r="H2328" s="81" t="s">
        <v>4658</v>
      </c>
      <c r="I2328" s="81" t="s">
        <v>4659</v>
      </c>
      <c r="J2328" s="81" t="s">
        <v>4088</v>
      </c>
      <c r="K2328" s="81" t="str">
        <f>IFERROR(__xludf.DUMMYFUNCTION("IF(OR(D2328="""",G2328=""""),"""",IFERROR(LET(
campo,XLOOKUP(TRIM(G2328),ARRAYFORMULA(TRIM('indice columnas'!$A$2:$A$100)),'indice columnas'!$B$2:$B$100,""""),
col,IFERROR(MATCH(campo,Referencia!$A$1:$AZ$1,0),0),
fila,IFERROR(MATCH(TO_TEXT(D2328),ARRAYFOR"&amp;"MULA(TO_TEXT(Referencia!$A$2:$A6238)),0),0),
IF(OR(campo="""",campo=""-""),""NO APLICA"",
IF(col=0,""REVISAR EQUIVALENCIA"",
IF(fila=0,""SKU NO ENCONTRADO"",
LET(
valor,INDEX(Referencia!$A$2:$AZ6238,fila,col),
IF(TRIM(TO_TEXT(valor))=TRIM(TO_TEXT(I2328)),"&amp;"
""OK"",
""NO COINCIDE. Valor verdadero: ""&amp;IF(valor="""",""[VACÍO]"",TO_TEXT(valor))
)
))))
),""ERROR EN FÓRMULA""))"),"NO APLICA")</f>
        <v>NO APLICA</v>
      </c>
    </row>
    <row r="2329">
      <c r="A2329" s="83" t="s">
        <v>4078</v>
      </c>
      <c r="B2329" s="83" t="s">
        <v>4079</v>
      </c>
      <c r="C2329" s="81" t="s">
        <v>4086</v>
      </c>
      <c r="D2329" s="83" t="s">
        <v>4660</v>
      </c>
      <c r="E2329" s="81" t="s">
        <v>3128</v>
      </c>
      <c r="F2329" s="84">
        <v>598.0</v>
      </c>
      <c r="G2329" s="81" t="s">
        <v>44</v>
      </c>
      <c r="H2329" s="81" t="s">
        <v>4661</v>
      </c>
      <c r="I2329" s="81" t="s">
        <v>4662</v>
      </c>
      <c r="J2329" s="81" t="s">
        <v>4088</v>
      </c>
      <c r="K2329" s="81" t="str">
        <f>IFERROR(__xludf.DUMMYFUNCTION("IF(OR(D2329="""",G2329=""""),"""",IFERROR(LET(
campo,XLOOKUP(TRIM(G2329),ARRAYFORMULA(TRIM('indice columnas'!$A$2:$A$100)),'indice columnas'!$B$2:$B$100,""""),
col,IFERROR(MATCH(campo,Referencia!$A$1:$AZ$1,0),0),
fila,IFERROR(MATCH(TO_TEXT(D2329),ARRAYFOR"&amp;"MULA(TO_TEXT(Referencia!$A$2:$A6238)),0),0),
IF(OR(campo="""",campo=""-""),""NO APLICA"",
IF(col=0,""REVISAR EQUIVALENCIA"",
IF(fila=0,""SKU NO ENCONTRADO"",
LET(
valor,INDEX(Referencia!$A$2:$AZ6238,fila,col),
IF(TRIM(TO_TEXT(valor))=TRIM(TO_TEXT(I2329)),"&amp;"
""OK"",
""NO COINCIDE. Valor verdadero: ""&amp;IF(valor="""",""[VACÍO]"",TO_TEXT(valor))
)
))))
),""ERROR EN FÓRMULA""))"),"NO APLICA")</f>
        <v>NO APLICA</v>
      </c>
    </row>
    <row r="2330">
      <c r="A2330" s="83" t="s">
        <v>4078</v>
      </c>
      <c r="B2330" s="83" t="s">
        <v>4079</v>
      </c>
      <c r="C2330" s="81" t="s">
        <v>4086</v>
      </c>
      <c r="D2330" s="83" t="s">
        <v>4663</v>
      </c>
      <c r="E2330" s="81" t="s">
        <v>3138</v>
      </c>
      <c r="F2330" s="84">
        <v>599.0</v>
      </c>
      <c r="G2330" s="81" t="s">
        <v>44</v>
      </c>
      <c r="H2330" s="81" t="s">
        <v>4664</v>
      </c>
      <c r="I2330" s="81" t="s">
        <v>4665</v>
      </c>
      <c r="J2330" s="81" t="s">
        <v>4088</v>
      </c>
      <c r="K2330" s="81" t="str">
        <f>IFERROR(__xludf.DUMMYFUNCTION("IF(OR(D2330="""",G2330=""""),"""",IFERROR(LET(
campo,XLOOKUP(TRIM(G2330),ARRAYFORMULA(TRIM('indice columnas'!$A$2:$A$100)),'indice columnas'!$B$2:$B$100,""""),
col,IFERROR(MATCH(campo,Referencia!$A$1:$AZ$1,0),0),
fila,IFERROR(MATCH(TO_TEXT(D2330),ARRAYFOR"&amp;"MULA(TO_TEXT(Referencia!$A$2:$A6238)),0),0),
IF(OR(campo="""",campo=""-""),""NO APLICA"",
IF(col=0,""REVISAR EQUIVALENCIA"",
IF(fila=0,""SKU NO ENCONTRADO"",
LET(
valor,INDEX(Referencia!$A$2:$AZ6238,fila,col),
IF(TRIM(TO_TEXT(valor))=TRIM(TO_TEXT(I2330)),"&amp;"
""OK"",
""NO COINCIDE. Valor verdadero: ""&amp;IF(valor="""",""[VACÍO]"",TO_TEXT(valor))
)
))))
),""ERROR EN FÓRMULA""))"),"NO APLICA")</f>
        <v>NO APLICA</v>
      </c>
    </row>
    <row r="2331">
      <c r="A2331" s="83" t="s">
        <v>4078</v>
      </c>
      <c r="B2331" s="83" t="s">
        <v>4079</v>
      </c>
      <c r="C2331" s="81" t="s">
        <v>4086</v>
      </c>
      <c r="D2331" s="83" t="s">
        <v>4666</v>
      </c>
      <c r="E2331" s="81" t="s">
        <v>3148</v>
      </c>
      <c r="F2331" s="84">
        <v>600.0</v>
      </c>
      <c r="G2331" s="81" t="s">
        <v>44</v>
      </c>
      <c r="H2331" s="81" t="s">
        <v>4667</v>
      </c>
      <c r="I2331" s="81" t="s">
        <v>4668</v>
      </c>
      <c r="J2331" s="81" t="s">
        <v>4088</v>
      </c>
      <c r="K2331" s="81" t="str">
        <f>IFERROR(__xludf.DUMMYFUNCTION("IF(OR(D2331="""",G2331=""""),"""",IFERROR(LET(
campo,XLOOKUP(TRIM(G2331),ARRAYFORMULA(TRIM('indice columnas'!$A$2:$A$100)),'indice columnas'!$B$2:$B$100,""""),
col,IFERROR(MATCH(campo,Referencia!$A$1:$AZ$1,0),0),
fila,IFERROR(MATCH(TO_TEXT(D2331),ARRAYFOR"&amp;"MULA(TO_TEXT(Referencia!$A$2:$A6238)),0),0),
IF(OR(campo="""",campo=""-""),""NO APLICA"",
IF(col=0,""REVISAR EQUIVALENCIA"",
IF(fila=0,""SKU NO ENCONTRADO"",
LET(
valor,INDEX(Referencia!$A$2:$AZ6238,fila,col),
IF(TRIM(TO_TEXT(valor))=TRIM(TO_TEXT(I2331)),"&amp;"
""OK"",
""NO COINCIDE. Valor verdadero: ""&amp;IF(valor="""",""[VACÍO]"",TO_TEXT(valor))
)
))))
),""ERROR EN FÓRMULA""))"),"NO APLICA")</f>
        <v>NO APLICA</v>
      </c>
    </row>
    <row r="2332">
      <c r="A2332" s="83" t="s">
        <v>4078</v>
      </c>
      <c r="B2332" s="83" t="s">
        <v>4079</v>
      </c>
      <c r="C2332" s="81" t="s">
        <v>4086</v>
      </c>
      <c r="D2332" s="83" t="s">
        <v>4669</v>
      </c>
      <c r="E2332" s="81" t="s">
        <v>3160</v>
      </c>
      <c r="F2332" s="84">
        <v>601.0</v>
      </c>
      <c r="G2332" s="81" t="s">
        <v>44</v>
      </c>
      <c r="H2332" s="81" t="s">
        <v>4670</v>
      </c>
      <c r="I2332" s="81" t="s">
        <v>4671</v>
      </c>
      <c r="J2332" s="81" t="s">
        <v>4088</v>
      </c>
      <c r="K2332" s="81" t="str">
        <f>IFERROR(__xludf.DUMMYFUNCTION("IF(OR(D2332="""",G2332=""""),"""",IFERROR(LET(
campo,XLOOKUP(TRIM(G2332),ARRAYFORMULA(TRIM('indice columnas'!$A$2:$A$100)),'indice columnas'!$B$2:$B$100,""""),
col,IFERROR(MATCH(campo,Referencia!$A$1:$AZ$1,0),0),
fila,IFERROR(MATCH(TO_TEXT(D2332),ARRAYFOR"&amp;"MULA(TO_TEXT(Referencia!$A$2:$A6238)),0),0),
IF(OR(campo="""",campo=""-""),""NO APLICA"",
IF(col=0,""REVISAR EQUIVALENCIA"",
IF(fila=0,""SKU NO ENCONTRADO"",
LET(
valor,INDEX(Referencia!$A$2:$AZ6238,fila,col),
IF(TRIM(TO_TEXT(valor))=TRIM(TO_TEXT(I2332)),"&amp;"
""OK"",
""NO COINCIDE. Valor verdadero: ""&amp;IF(valor="""",""[VACÍO]"",TO_TEXT(valor))
)
))))
),""ERROR EN FÓRMULA""))"),"NO APLICA")</f>
        <v>NO APLICA</v>
      </c>
    </row>
    <row r="2333">
      <c r="A2333" s="83" t="s">
        <v>4078</v>
      </c>
      <c r="B2333" s="83" t="s">
        <v>4079</v>
      </c>
      <c r="C2333" s="81" t="s">
        <v>4086</v>
      </c>
      <c r="D2333" s="83" t="s">
        <v>4672</v>
      </c>
      <c r="E2333" s="81" t="s">
        <v>3170</v>
      </c>
      <c r="F2333" s="84">
        <v>602.0</v>
      </c>
      <c r="G2333" s="81" t="s">
        <v>44</v>
      </c>
      <c r="H2333" s="81" t="s">
        <v>4673</v>
      </c>
      <c r="I2333" s="81" t="s">
        <v>3170</v>
      </c>
      <c r="J2333" s="81" t="s">
        <v>4088</v>
      </c>
      <c r="K2333" s="81" t="str">
        <f>IFERROR(__xludf.DUMMYFUNCTION("IF(OR(D2333="""",G2333=""""),"""",IFERROR(LET(
campo,XLOOKUP(TRIM(G2333),ARRAYFORMULA(TRIM('indice columnas'!$A$2:$A$100)),'indice columnas'!$B$2:$B$100,""""),
col,IFERROR(MATCH(campo,Referencia!$A$1:$AZ$1,0),0),
fila,IFERROR(MATCH(TO_TEXT(D2333),ARRAYFOR"&amp;"MULA(TO_TEXT(Referencia!$A$2:$A6238)),0),0),
IF(OR(campo="""",campo=""-""),""NO APLICA"",
IF(col=0,""REVISAR EQUIVALENCIA"",
IF(fila=0,""SKU NO ENCONTRADO"",
LET(
valor,INDEX(Referencia!$A$2:$AZ6238,fila,col),
IF(TRIM(TO_TEXT(valor))=TRIM(TO_TEXT(I2333)),"&amp;"
""OK"",
""NO COINCIDE. Valor verdadero: ""&amp;IF(valor="""",""[VACÍO]"",TO_TEXT(valor))
)
))))
),""ERROR EN FÓRMULA""))"),"NO APLICA")</f>
        <v>NO APLICA</v>
      </c>
    </row>
    <row r="2334">
      <c r="A2334" s="83" t="s">
        <v>4078</v>
      </c>
      <c r="B2334" s="83" t="s">
        <v>4079</v>
      </c>
      <c r="C2334" s="81" t="s">
        <v>4086</v>
      </c>
      <c r="D2334" s="83" t="s">
        <v>4672</v>
      </c>
      <c r="E2334" s="81" t="s">
        <v>3182</v>
      </c>
      <c r="F2334" s="84">
        <v>603.0</v>
      </c>
      <c r="G2334" s="81" t="s">
        <v>44</v>
      </c>
      <c r="H2334" s="81" t="s">
        <v>4673</v>
      </c>
      <c r="I2334" s="81" t="s">
        <v>3170</v>
      </c>
      <c r="J2334" s="81" t="s">
        <v>4088</v>
      </c>
      <c r="K2334" s="81" t="str">
        <f>IFERROR(__xludf.DUMMYFUNCTION("IF(OR(D2334="""",G2334=""""),"""",IFERROR(LET(
campo,XLOOKUP(TRIM(G2334),ARRAYFORMULA(TRIM('indice columnas'!$A$2:$A$100)),'indice columnas'!$B$2:$B$100,""""),
col,IFERROR(MATCH(campo,Referencia!$A$1:$AZ$1,0),0),
fila,IFERROR(MATCH(TO_TEXT(D2334),ARRAYFOR"&amp;"MULA(TO_TEXT(Referencia!$A$2:$A6238)),0),0),
IF(OR(campo="""",campo=""-""),""NO APLICA"",
IF(col=0,""REVISAR EQUIVALENCIA"",
IF(fila=0,""SKU NO ENCONTRADO"",
LET(
valor,INDEX(Referencia!$A$2:$AZ6238,fila,col),
IF(TRIM(TO_TEXT(valor))=TRIM(TO_TEXT(I2334)),"&amp;"
""OK"",
""NO COINCIDE. Valor verdadero: ""&amp;IF(valor="""",""[VACÍO]"",TO_TEXT(valor))
)
))))
),""ERROR EN FÓRMULA""))"),"NO APLICA")</f>
        <v>NO APLICA</v>
      </c>
    </row>
    <row r="2335">
      <c r="A2335" s="83" t="s">
        <v>4078</v>
      </c>
      <c r="B2335" s="83" t="s">
        <v>4079</v>
      </c>
      <c r="C2335" s="81" t="s">
        <v>4086</v>
      </c>
      <c r="D2335" s="83" t="s">
        <v>4674</v>
      </c>
      <c r="E2335" s="81" t="s">
        <v>3183</v>
      </c>
      <c r="F2335" s="84">
        <v>604.0</v>
      </c>
      <c r="G2335" s="81" t="s">
        <v>44</v>
      </c>
      <c r="H2335" s="81" t="s">
        <v>4673</v>
      </c>
      <c r="I2335" s="81" t="s">
        <v>3170</v>
      </c>
      <c r="J2335" s="81" t="s">
        <v>4088</v>
      </c>
      <c r="K2335" s="81" t="str">
        <f>IFERROR(__xludf.DUMMYFUNCTION("IF(OR(D2335="""",G2335=""""),"""",IFERROR(LET(
campo,XLOOKUP(TRIM(G2335),ARRAYFORMULA(TRIM('indice columnas'!$A$2:$A$100)),'indice columnas'!$B$2:$B$100,""""),
col,IFERROR(MATCH(campo,Referencia!$A$1:$AZ$1,0),0),
fila,IFERROR(MATCH(TO_TEXT(D2335),ARRAYFOR"&amp;"MULA(TO_TEXT(Referencia!$A$2:$A6238)),0),0),
IF(OR(campo="""",campo=""-""),""NO APLICA"",
IF(col=0,""REVISAR EQUIVALENCIA"",
IF(fila=0,""SKU NO ENCONTRADO"",
LET(
valor,INDEX(Referencia!$A$2:$AZ6238,fila,col),
IF(TRIM(TO_TEXT(valor))=TRIM(TO_TEXT(I2335)),"&amp;"
""OK"",
""NO COINCIDE. Valor verdadero: ""&amp;IF(valor="""",""[VACÍO]"",TO_TEXT(valor))
)
))))
),""ERROR EN FÓRMULA""))"),"NO APLICA")</f>
        <v>NO APLICA</v>
      </c>
    </row>
    <row r="2336">
      <c r="A2336" s="83" t="s">
        <v>4078</v>
      </c>
      <c r="B2336" s="83" t="s">
        <v>4079</v>
      </c>
      <c r="C2336" s="81" t="s">
        <v>4086</v>
      </c>
      <c r="D2336" s="83" t="s">
        <v>4675</v>
      </c>
      <c r="E2336" s="81" t="s">
        <v>3186</v>
      </c>
      <c r="F2336" s="84">
        <v>605.0</v>
      </c>
      <c r="G2336" s="81" t="s">
        <v>44</v>
      </c>
      <c r="H2336" s="81" t="s">
        <v>4676</v>
      </c>
      <c r="I2336" s="81" t="s">
        <v>3170</v>
      </c>
      <c r="J2336" s="81" t="s">
        <v>4088</v>
      </c>
      <c r="K2336" s="81" t="str">
        <f>IFERROR(__xludf.DUMMYFUNCTION("IF(OR(D2336="""",G2336=""""),"""",IFERROR(LET(
campo,XLOOKUP(TRIM(G2336),ARRAYFORMULA(TRIM('indice columnas'!$A$2:$A$100)),'indice columnas'!$B$2:$B$100,""""),
col,IFERROR(MATCH(campo,Referencia!$A$1:$AZ$1,0),0),
fila,IFERROR(MATCH(TO_TEXT(D2336),ARRAYFOR"&amp;"MULA(TO_TEXT(Referencia!$A$2:$A6238)),0),0),
IF(OR(campo="""",campo=""-""),""NO APLICA"",
IF(col=0,""REVISAR EQUIVALENCIA"",
IF(fila=0,""SKU NO ENCONTRADO"",
LET(
valor,INDEX(Referencia!$A$2:$AZ6238,fila,col),
IF(TRIM(TO_TEXT(valor))=TRIM(TO_TEXT(I2336)),"&amp;"
""OK"",
""NO COINCIDE. Valor verdadero: ""&amp;IF(valor="""",""[VACÍO]"",TO_TEXT(valor))
)
))))
),""ERROR EN FÓRMULA""))"),"NO APLICA")</f>
        <v>NO APLICA</v>
      </c>
    </row>
    <row r="2337">
      <c r="A2337" s="83" t="s">
        <v>4078</v>
      </c>
      <c r="B2337" s="83" t="s">
        <v>4079</v>
      </c>
      <c r="C2337" s="81" t="s">
        <v>4086</v>
      </c>
      <c r="D2337" s="83" t="s">
        <v>4677</v>
      </c>
      <c r="E2337" s="81" t="s">
        <v>3196</v>
      </c>
      <c r="F2337" s="84">
        <v>606.0</v>
      </c>
      <c r="G2337" s="81" t="s">
        <v>44</v>
      </c>
      <c r="H2337" s="81" t="s">
        <v>224</v>
      </c>
      <c r="I2337" s="81" t="s">
        <v>3212</v>
      </c>
      <c r="J2337" s="81" t="s">
        <v>4088</v>
      </c>
      <c r="K2337" s="81" t="str">
        <f>IFERROR(__xludf.DUMMYFUNCTION("IF(OR(D2337="""",G2337=""""),"""",IFERROR(LET(
campo,XLOOKUP(TRIM(G2337),ARRAYFORMULA(TRIM('indice columnas'!$A$2:$A$100)),'indice columnas'!$B$2:$B$100,""""),
col,IFERROR(MATCH(campo,Referencia!$A$1:$AZ$1,0),0),
fila,IFERROR(MATCH(TO_TEXT(D2337),ARRAYFOR"&amp;"MULA(TO_TEXT(Referencia!$A$2:$A6238)),0),0),
IF(OR(campo="""",campo=""-""),""NO APLICA"",
IF(col=0,""REVISAR EQUIVALENCIA"",
IF(fila=0,""SKU NO ENCONTRADO"",
LET(
valor,INDEX(Referencia!$A$2:$AZ6238,fila,col),
IF(TRIM(TO_TEXT(valor))=TRIM(TO_TEXT(I2337)),"&amp;"
""OK"",
""NO COINCIDE. Valor verdadero: ""&amp;IF(valor="""",""[VACÍO]"",TO_TEXT(valor))
)
))))
),""ERROR EN FÓRMULA""))"),"NO APLICA")</f>
        <v>NO APLICA</v>
      </c>
    </row>
    <row r="2338">
      <c r="A2338" s="83" t="s">
        <v>4078</v>
      </c>
      <c r="B2338" s="83" t="s">
        <v>4079</v>
      </c>
      <c r="C2338" s="81" t="s">
        <v>4086</v>
      </c>
      <c r="D2338" s="83" t="s">
        <v>4677</v>
      </c>
      <c r="E2338" s="81" t="s">
        <v>3208</v>
      </c>
      <c r="F2338" s="84">
        <v>607.0</v>
      </c>
      <c r="G2338" s="81" t="s">
        <v>44</v>
      </c>
      <c r="H2338" s="81" t="s">
        <v>224</v>
      </c>
      <c r="I2338" s="81" t="s">
        <v>3212</v>
      </c>
      <c r="J2338" s="81" t="s">
        <v>4088</v>
      </c>
      <c r="K2338" s="81" t="str">
        <f>IFERROR(__xludf.DUMMYFUNCTION("IF(OR(D2338="""",G2338=""""),"""",IFERROR(LET(
campo,XLOOKUP(TRIM(G2338),ARRAYFORMULA(TRIM('indice columnas'!$A$2:$A$100)),'indice columnas'!$B$2:$B$100,""""),
col,IFERROR(MATCH(campo,Referencia!$A$1:$AZ$1,0),0),
fila,IFERROR(MATCH(TO_TEXT(D2338),ARRAYFOR"&amp;"MULA(TO_TEXT(Referencia!$A$2:$A6238)),0),0),
IF(OR(campo="""",campo=""-""),""NO APLICA"",
IF(col=0,""REVISAR EQUIVALENCIA"",
IF(fila=0,""SKU NO ENCONTRADO"",
LET(
valor,INDEX(Referencia!$A$2:$AZ6238,fila,col),
IF(TRIM(TO_TEXT(valor))=TRIM(TO_TEXT(I2338)),"&amp;"
""OK"",
""NO COINCIDE. Valor verdadero: ""&amp;IF(valor="""",""[VACÍO]"",TO_TEXT(valor))
)
))))
),""ERROR EN FÓRMULA""))"),"NO APLICA")</f>
        <v>NO APLICA</v>
      </c>
    </row>
    <row r="2339">
      <c r="A2339" s="83" t="s">
        <v>4078</v>
      </c>
      <c r="B2339" s="83" t="s">
        <v>4079</v>
      </c>
      <c r="C2339" s="81" t="s">
        <v>4086</v>
      </c>
      <c r="D2339" s="83" t="s">
        <v>4678</v>
      </c>
      <c r="E2339" s="81" t="s">
        <v>3209</v>
      </c>
      <c r="F2339" s="84">
        <v>608.0</v>
      </c>
      <c r="G2339" s="81" t="s">
        <v>44</v>
      </c>
      <c r="H2339" s="81" t="s">
        <v>224</v>
      </c>
      <c r="I2339" s="81" t="s">
        <v>3212</v>
      </c>
      <c r="J2339" s="81" t="s">
        <v>4088</v>
      </c>
      <c r="K2339" s="81" t="str">
        <f>IFERROR(__xludf.DUMMYFUNCTION("IF(OR(D2339="""",G2339=""""),"""",IFERROR(LET(
campo,XLOOKUP(TRIM(G2339),ARRAYFORMULA(TRIM('indice columnas'!$A$2:$A$100)),'indice columnas'!$B$2:$B$100,""""),
col,IFERROR(MATCH(campo,Referencia!$A$1:$AZ$1,0),0),
fila,IFERROR(MATCH(TO_TEXT(D2339),ARRAYFOR"&amp;"MULA(TO_TEXT(Referencia!$A$2:$A6238)),0),0),
IF(OR(campo="""",campo=""-""),""NO APLICA"",
IF(col=0,""REVISAR EQUIVALENCIA"",
IF(fila=0,""SKU NO ENCONTRADO"",
LET(
valor,INDEX(Referencia!$A$2:$AZ6238,fila,col),
IF(TRIM(TO_TEXT(valor))=TRIM(TO_TEXT(I2339)),"&amp;"
""OK"",
""NO COINCIDE. Valor verdadero: ""&amp;IF(valor="""",""[VACÍO]"",TO_TEXT(valor))
)
))))
),""ERROR EN FÓRMULA""))"),"NO APLICA")</f>
        <v>NO APLICA</v>
      </c>
    </row>
    <row r="2340">
      <c r="A2340" s="83" t="s">
        <v>4078</v>
      </c>
      <c r="B2340" s="83" t="s">
        <v>4079</v>
      </c>
      <c r="C2340" s="81" t="s">
        <v>4086</v>
      </c>
      <c r="D2340" s="83" t="s">
        <v>4679</v>
      </c>
      <c r="E2340" s="81" t="s">
        <v>3212</v>
      </c>
      <c r="F2340" s="84">
        <v>609.0</v>
      </c>
      <c r="G2340" s="81" t="s">
        <v>44</v>
      </c>
      <c r="H2340" s="81" t="s">
        <v>224</v>
      </c>
      <c r="I2340" s="81" t="s">
        <v>3212</v>
      </c>
      <c r="J2340" s="81" t="s">
        <v>4088</v>
      </c>
      <c r="K2340" s="81" t="str">
        <f>IFERROR(__xludf.DUMMYFUNCTION("IF(OR(D2340="""",G2340=""""),"""",IFERROR(LET(
campo,XLOOKUP(TRIM(G2340),ARRAYFORMULA(TRIM('indice columnas'!$A$2:$A$100)),'indice columnas'!$B$2:$B$100,""""),
col,IFERROR(MATCH(campo,Referencia!$A$1:$AZ$1,0),0),
fila,IFERROR(MATCH(TO_TEXT(D2340),ARRAYFOR"&amp;"MULA(TO_TEXT(Referencia!$A$2:$A6238)),0),0),
IF(OR(campo="""",campo=""-""),""NO APLICA"",
IF(col=0,""REVISAR EQUIVALENCIA"",
IF(fila=0,""SKU NO ENCONTRADO"",
LET(
valor,INDEX(Referencia!$A$2:$AZ6238,fila,col),
IF(TRIM(TO_TEXT(valor))=TRIM(TO_TEXT(I2340)),"&amp;"
""OK"",
""NO COINCIDE. Valor verdadero: ""&amp;IF(valor="""",""[VACÍO]"",TO_TEXT(valor))
)
))))
),""ERROR EN FÓRMULA""))"),"NO APLICA")</f>
        <v>NO APLICA</v>
      </c>
    </row>
    <row r="2341">
      <c r="A2341" s="83" t="s">
        <v>4078</v>
      </c>
      <c r="B2341" s="83" t="s">
        <v>4079</v>
      </c>
      <c r="C2341" s="81" t="s">
        <v>4086</v>
      </c>
      <c r="D2341" s="83" t="s">
        <v>4679</v>
      </c>
      <c r="E2341" s="81" t="s">
        <v>3219</v>
      </c>
      <c r="F2341" s="84">
        <v>610.0</v>
      </c>
      <c r="G2341" s="81" t="s">
        <v>44</v>
      </c>
      <c r="H2341" s="81" t="s">
        <v>224</v>
      </c>
      <c r="I2341" s="81" t="s">
        <v>3212</v>
      </c>
      <c r="J2341" s="81" t="s">
        <v>4088</v>
      </c>
      <c r="K2341" s="81" t="str">
        <f>IFERROR(__xludf.DUMMYFUNCTION("IF(OR(D2341="""",G2341=""""),"""",IFERROR(LET(
campo,XLOOKUP(TRIM(G2341),ARRAYFORMULA(TRIM('indice columnas'!$A$2:$A$100)),'indice columnas'!$B$2:$B$100,""""),
col,IFERROR(MATCH(campo,Referencia!$A$1:$AZ$1,0),0),
fila,IFERROR(MATCH(TO_TEXT(D2341),ARRAYFOR"&amp;"MULA(TO_TEXT(Referencia!$A$2:$A6238)),0),0),
IF(OR(campo="""",campo=""-""),""NO APLICA"",
IF(col=0,""REVISAR EQUIVALENCIA"",
IF(fila=0,""SKU NO ENCONTRADO"",
LET(
valor,INDEX(Referencia!$A$2:$AZ6238,fila,col),
IF(TRIM(TO_TEXT(valor))=TRIM(TO_TEXT(I2341)),"&amp;"
""OK"",
""NO COINCIDE. Valor verdadero: ""&amp;IF(valor="""",""[VACÍO]"",TO_TEXT(valor))
)
))))
),""ERROR EN FÓRMULA""))"),"NO APLICA")</f>
        <v>NO APLICA</v>
      </c>
    </row>
    <row r="2342">
      <c r="A2342" s="83" t="s">
        <v>4078</v>
      </c>
      <c r="B2342" s="83" t="s">
        <v>4079</v>
      </c>
      <c r="C2342" s="81" t="s">
        <v>4086</v>
      </c>
      <c r="D2342" s="83" t="s">
        <v>4680</v>
      </c>
      <c r="E2342" s="81" t="s">
        <v>3220</v>
      </c>
      <c r="F2342" s="84">
        <v>611.0</v>
      </c>
      <c r="G2342" s="81" t="s">
        <v>44</v>
      </c>
      <c r="H2342" s="81" t="s">
        <v>224</v>
      </c>
      <c r="I2342" s="81" t="s">
        <v>3212</v>
      </c>
      <c r="J2342" s="81" t="s">
        <v>4088</v>
      </c>
      <c r="K2342" s="81" t="str">
        <f>IFERROR(__xludf.DUMMYFUNCTION("IF(OR(D2342="""",G2342=""""),"""",IFERROR(LET(
campo,XLOOKUP(TRIM(G2342),ARRAYFORMULA(TRIM('indice columnas'!$A$2:$A$100)),'indice columnas'!$B$2:$B$100,""""),
col,IFERROR(MATCH(campo,Referencia!$A$1:$AZ$1,0),0),
fila,IFERROR(MATCH(TO_TEXT(D2342),ARRAYFOR"&amp;"MULA(TO_TEXT(Referencia!$A$2:$A6238)),0),0),
IF(OR(campo="""",campo=""-""),""NO APLICA"",
IF(col=0,""REVISAR EQUIVALENCIA"",
IF(fila=0,""SKU NO ENCONTRADO"",
LET(
valor,INDEX(Referencia!$A$2:$AZ6238,fila,col),
IF(TRIM(TO_TEXT(valor))=TRIM(TO_TEXT(I2342)),"&amp;"
""OK"",
""NO COINCIDE. Valor verdadero: ""&amp;IF(valor="""",""[VACÍO]"",TO_TEXT(valor))
)
))))
),""ERROR EN FÓRMULA""))"),"NO APLICA")</f>
        <v>NO APLICA</v>
      </c>
    </row>
    <row r="2343">
      <c r="A2343" s="83" t="s">
        <v>4078</v>
      </c>
      <c r="B2343" s="83" t="s">
        <v>4079</v>
      </c>
      <c r="C2343" s="81" t="s">
        <v>4086</v>
      </c>
      <c r="D2343" s="83" t="s">
        <v>4681</v>
      </c>
      <c r="E2343" s="81" t="s">
        <v>3223</v>
      </c>
      <c r="F2343" s="84">
        <v>612.0</v>
      </c>
      <c r="G2343" s="81" t="s">
        <v>44</v>
      </c>
      <c r="H2343" s="81" t="s">
        <v>224</v>
      </c>
      <c r="I2343" s="81" t="s">
        <v>3212</v>
      </c>
      <c r="J2343" s="81" t="s">
        <v>4088</v>
      </c>
      <c r="K2343" s="81" t="str">
        <f>IFERROR(__xludf.DUMMYFUNCTION("IF(OR(D2343="""",G2343=""""),"""",IFERROR(LET(
campo,XLOOKUP(TRIM(G2343),ARRAYFORMULA(TRIM('indice columnas'!$A$2:$A$100)),'indice columnas'!$B$2:$B$100,""""),
col,IFERROR(MATCH(campo,Referencia!$A$1:$AZ$1,0),0),
fila,IFERROR(MATCH(TO_TEXT(D2343),ARRAYFOR"&amp;"MULA(TO_TEXT(Referencia!$A$2:$A6238)),0),0),
IF(OR(campo="""",campo=""-""),""NO APLICA"",
IF(col=0,""REVISAR EQUIVALENCIA"",
IF(fila=0,""SKU NO ENCONTRADO"",
LET(
valor,INDEX(Referencia!$A$2:$AZ6238,fila,col),
IF(TRIM(TO_TEXT(valor))=TRIM(TO_TEXT(I2343)),"&amp;"
""OK"",
""NO COINCIDE. Valor verdadero: ""&amp;IF(valor="""",""[VACÍO]"",TO_TEXT(valor))
)
))))
),""ERROR EN FÓRMULA""))"),"NO APLICA")</f>
        <v>NO APLICA</v>
      </c>
    </row>
    <row r="2344">
      <c r="A2344" s="83" t="s">
        <v>4078</v>
      </c>
      <c r="B2344" s="83" t="s">
        <v>4079</v>
      </c>
      <c r="C2344" s="81" t="s">
        <v>4086</v>
      </c>
      <c r="D2344" s="83" t="s">
        <v>4682</v>
      </c>
      <c r="E2344" s="81" t="s">
        <v>3226</v>
      </c>
      <c r="F2344" s="84">
        <v>613.0</v>
      </c>
      <c r="G2344" s="81" t="s">
        <v>44</v>
      </c>
      <c r="H2344" s="81" t="s">
        <v>224</v>
      </c>
      <c r="I2344" s="81" t="s">
        <v>3212</v>
      </c>
      <c r="J2344" s="81" t="s">
        <v>4088</v>
      </c>
      <c r="K2344" s="81" t="str">
        <f>IFERROR(__xludf.DUMMYFUNCTION("IF(OR(D2344="""",G2344=""""),"""",IFERROR(LET(
campo,XLOOKUP(TRIM(G2344),ARRAYFORMULA(TRIM('indice columnas'!$A$2:$A$100)),'indice columnas'!$B$2:$B$100,""""),
col,IFERROR(MATCH(campo,Referencia!$A$1:$AZ$1,0),0),
fila,IFERROR(MATCH(TO_TEXT(D2344),ARRAYFOR"&amp;"MULA(TO_TEXT(Referencia!$A$2:$A6238)),0),0),
IF(OR(campo="""",campo=""-""),""NO APLICA"",
IF(col=0,""REVISAR EQUIVALENCIA"",
IF(fila=0,""SKU NO ENCONTRADO"",
LET(
valor,INDEX(Referencia!$A$2:$AZ6238,fila,col),
IF(TRIM(TO_TEXT(valor))=TRIM(TO_TEXT(I2344)),"&amp;"
""OK"",
""NO COINCIDE. Valor verdadero: ""&amp;IF(valor="""",""[VACÍO]"",TO_TEXT(valor))
)
))))
),""ERROR EN FÓRMULA""))"),"NO APLICA")</f>
        <v>NO APLICA</v>
      </c>
    </row>
    <row r="2345">
      <c r="A2345" s="83" t="s">
        <v>4078</v>
      </c>
      <c r="B2345" s="83" t="s">
        <v>4079</v>
      </c>
      <c r="C2345" s="81" t="s">
        <v>4086</v>
      </c>
      <c r="D2345" s="83" t="s">
        <v>4683</v>
      </c>
      <c r="E2345" s="81" t="s">
        <v>3228</v>
      </c>
      <c r="F2345" s="84">
        <v>614.0</v>
      </c>
      <c r="G2345" s="81" t="s">
        <v>44</v>
      </c>
      <c r="H2345" s="81" t="s">
        <v>224</v>
      </c>
      <c r="I2345" s="81" t="s">
        <v>3212</v>
      </c>
      <c r="J2345" s="81" t="s">
        <v>4088</v>
      </c>
      <c r="K2345" s="81" t="str">
        <f>IFERROR(__xludf.DUMMYFUNCTION("IF(OR(D2345="""",G2345=""""),"""",IFERROR(LET(
campo,XLOOKUP(TRIM(G2345),ARRAYFORMULA(TRIM('indice columnas'!$A$2:$A$100)),'indice columnas'!$B$2:$B$100,""""),
col,IFERROR(MATCH(campo,Referencia!$A$1:$AZ$1,0),0),
fila,IFERROR(MATCH(TO_TEXT(D2345),ARRAYFOR"&amp;"MULA(TO_TEXT(Referencia!$A$2:$A6238)),0),0),
IF(OR(campo="""",campo=""-""),""NO APLICA"",
IF(col=0,""REVISAR EQUIVALENCIA"",
IF(fila=0,""SKU NO ENCONTRADO"",
LET(
valor,INDEX(Referencia!$A$2:$AZ6238,fila,col),
IF(TRIM(TO_TEXT(valor))=TRIM(TO_TEXT(I2345)),"&amp;"
""OK"",
""NO COINCIDE. Valor verdadero: ""&amp;IF(valor="""",""[VACÍO]"",TO_TEXT(valor))
)
))))
),""ERROR EN FÓRMULA""))"),"NO APLICA")</f>
        <v>NO APLICA</v>
      </c>
    </row>
    <row r="2346">
      <c r="A2346" s="83" t="s">
        <v>4078</v>
      </c>
      <c r="B2346" s="83" t="s">
        <v>4079</v>
      </c>
      <c r="C2346" s="81" t="s">
        <v>4086</v>
      </c>
      <c r="D2346" s="83" t="s">
        <v>4683</v>
      </c>
      <c r="E2346" s="81" t="s">
        <v>3235</v>
      </c>
      <c r="F2346" s="84">
        <v>615.0</v>
      </c>
      <c r="G2346" s="81" t="s">
        <v>44</v>
      </c>
      <c r="H2346" s="81" t="s">
        <v>224</v>
      </c>
      <c r="I2346" s="81" t="s">
        <v>3212</v>
      </c>
      <c r="J2346" s="81" t="s">
        <v>4088</v>
      </c>
      <c r="K2346" s="81" t="str">
        <f>IFERROR(__xludf.DUMMYFUNCTION("IF(OR(D2346="""",G2346=""""),"""",IFERROR(LET(
campo,XLOOKUP(TRIM(G2346),ARRAYFORMULA(TRIM('indice columnas'!$A$2:$A$100)),'indice columnas'!$B$2:$B$100,""""),
col,IFERROR(MATCH(campo,Referencia!$A$1:$AZ$1,0),0),
fila,IFERROR(MATCH(TO_TEXT(D2346),ARRAYFOR"&amp;"MULA(TO_TEXT(Referencia!$A$2:$A6238)),0),0),
IF(OR(campo="""",campo=""-""),""NO APLICA"",
IF(col=0,""REVISAR EQUIVALENCIA"",
IF(fila=0,""SKU NO ENCONTRADO"",
LET(
valor,INDEX(Referencia!$A$2:$AZ6238,fila,col),
IF(TRIM(TO_TEXT(valor))=TRIM(TO_TEXT(I2346)),"&amp;"
""OK"",
""NO COINCIDE. Valor verdadero: ""&amp;IF(valor="""",""[VACÍO]"",TO_TEXT(valor))
)
))))
),""ERROR EN FÓRMULA""))"),"NO APLICA")</f>
        <v>NO APLICA</v>
      </c>
    </row>
    <row r="2347">
      <c r="A2347" s="83" t="s">
        <v>4078</v>
      </c>
      <c r="B2347" s="83" t="s">
        <v>4079</v>
      </c>
      <c r="C2347" s="81" t="s">
        <v>4086</v>
      </c>
      <c r="D2347" s="83" t="s">
        <v>4684</v>
      </c>
      <c r="E2347" s="81" t="s">
        <v>3236</v>
      </c>
      <c r="F2347" s="84">
        <v>616.0</v>
      </c>
      <c r="G2347" s="81" t="s">
        <v>44</v>
      </c>
      <c r="H2347" s="81" t="s">
        <v>224</v>
      </c>
      <c r="I2347" s="81" t="s">
        <v>3212</v>
      </c>
      <c r="J2347" s="81" t="s">
        <v>4088</v>
      </c>
      <c r="K2347" s="81" t="str">
        <f>IFERROR(__xludf.DUMMYFUNCTION("IF(OR(D2347="""",G2347=""""),"""",IFERROR(LET(
campo,XLOOKUP(TRIM(G2347),ARRAYFORMULA(TRIM('indice columnas'!$A$2:$A$100)),'indice columnas'!$B$2:$B$100,""""),
col,IFERROR(MATCH(campo,Referencia!$A$1:$AZ$1,0),0),
fila,IFERROR(MATCH(TO_TEXT(D2347),ARRAYFOR"&amp;"MULA(TO_TEXT(Referencia!$A$2:$A6238)),0),0),
IF(OR(campo="""",campo=""-""),""NO APLICA"",
IF(col=0,""REVISAR EQUIVALENCIA"",
IF(fila=0,""SKU NO ENCONTRADO"",
LET(
valor,INDEX(Referencia!$A$2:$AZ6238,fila,col),
IF(TRIM(TO_TEXT(valor))=TRIM(TO_TEXT(I2347)),"&amp;"
""OK"",
""NO COINCIDE. Valor verdadero: ""&amp;IF(valor="""",""[VACÍO]"",TO_TEXT(valor))
)
))))
),""ERROR EN FÓRMULA""))"),"NO APLICA")</f>
        <v>NO APLICA</v>
      </c>
    </row>
    <row r="2348">
      <c r="A2348" s="83" t="s">
        <v>4078</v>
      </c>
      <c r="B2348" s="83" t="s">
        <v>4079</v>
      </c>
      <c r="C2348" s="81" t="s">
        <v>4086</v>
      </c>
      <c r="D2348" s="83" t="s">
        <v>4685</v>
      </c>
      <c r="E2348" s="81" t="s">
        <v>3239</v>
      </c>
      <c r="F2348" s="84">
        <v>617.0</v>
      </c>
      <c r="G2348" s="81" t="s">
        <v>44</v>
      </c>
      <c r="H2348" s="81" t="s">
        <v>224</v>
      </c>
      <c r="I2348" s="81" t="s">
        <v>3212</v>
      </c>
      <c r="J2348" s="81" t="s">
        <v>4088</v>
      </c>
      <c r="K2348" s="81" t="str">
        <f>IFERROR(__xludf.DUMMYFUNCTION("IF(OR(D2348="""",G2348=""""),"""",IFERROR(LET(
campo,XLOOKUP(TRIM(G2348),ARRAYFORMULA(TRIM('indice columnas'!$A$2:$A$100)),'indice columnas'!$B$2:$B$100,""""),
col,IFERROR(MATCH(campo,Referencia!$A$1:$AZ$1,0),0),
fila,IFERROR(MATCH(TO_TEXT(D2348),ARRAYFOR"&amp;"MULA(TO_TEXT(Referencia!$A$2:$A6238)),0),0),
IF(OR(campo="""",campo=""-""),""NO APLICA"",
IF(col=0,""REVISAR EQUIVALENCIA"",
IF(fila=0,""SKU NO ENCONTRADO"",
LET(
valor,INDEX(Referencia!$A$2:$AZ6238,fila,col),
IF(TRIM(TO_TEXT(valor))=TRIM(TO_TEXT(I2348)),"&amp;"
""OK"",
""NO COINCIDE. Valor verdadero: ""&amp;IF(valor="""",""[VACÍO]"",TO_TEXT(valor))
)
))))
),""ERROR EN FÓRMULA""))"),"NO APLICA")</f>
        <v>NO APLICA</v>
      </c>
    </row>
    <row r="2349">
      <c r="A2349" s="83" t="s">
        <v>4078</v>
      </c>
      <c r="B2349" s="83" t="s">
        <v>4079</v>
      </c>
      <c r="C2349" s="81" t="s">
        <v>4086</v>
      </c>
      <c r="D2349" s="83" t="s">
        <v>4685</v>
      </c>
      <c r="E2349" s="81" t="s">
        <v>3247</v>
      </c>
      <c r="F2349" s="84">
        <v>618.0</v>
      </c>
      <c r="G2349" s="81" t="s">
        <v>44</v>
      </c>
      <c r="H2349" s="81" t="s">
        <v>224</v>
      </c>
      <c r="I2349" s="81" t="s">
        <v>3212</v>
      </c>
      <c r="J2349" s="81" t="s">
        <v>4088</v>
      </c>
      <c r="K2349" s="81" t="str">
        <f>IFERROR(__xludf.DUMMYFUNCTION("IF(OR(D2349="""",G2349=""""),"""",IFERROR(LET(
campo,XLOOKUP(TRIM(G2349),ARRAYFORMULA(TRIM('indice columnas'!$A$2:$A$100)),'indice columnas'!$B$2:$B$100,""""),
col,IFERROR(MATCH(campo,Referencia!$A$1:$AZ$1,0),0),
fila,IFERROR(MATCH(TO_TEXT(D2349),ARRAYFOR"&amp;"MULA(TO_TEXT(Referencia!$A$2:$A6238)),0),0),
IF(OR(campo="""",campo=""-""),""NO APLICA"",
IF(col=0,""REVISAR EQUIVALENCIA"",
IF(fila=0,""SKU NO ENCONTRADO"",
LET(
valor,INDEX(Referencia!$A$2:$AZ6238,fila,col),
IF(TRIM(TO_TEXT(valor))=TRIM(TO_TEXT(I2349)),"&amp;"
""OK"",
""NO COINCIDE. Valor verdadero: ""&amp;IF(valor="""",""[VACÍO]"",TO_TEXT(valor))
)
))))
),""ERROR EN FÓRMULA""))"),"NO APLICA")</f>
        <v>NO APLICA</v>
      </c>
    </row>
    <row r="2350">
      <c r="A2350" s="83" t="s">
        <v>4078</v>
      </c>
      <c r="B2350" s="83" t="s">
        <v>4079</v>
      </c>
      <c r="C2350" s="81" t="s">
        <v>4086</v>
      </c>
      <c r="D2350" s="83" t="s">
        <v>4686</v>
      </c>
      <c r="E2350" s="81" t="s">
        <v>3248</v>
      </c>
      <c r="F2350" s="84">
        <v>619.0</v>
      </c>
      <c r="G2350" s="81" t="s">
        <v>44</v>
      </c>
      <c r="H2350" s="81" t="s">
        <v>224</v>
      </c>
      <c r="I2350" s="81" t="s">
        <v>3212</v>
      </c>
      <c r="J2350" s="81" t="s">
        <v>4088</v>
      </c>
      <c r="K2350" s="81" t="str">
        <f>IFERROR(__xludf.DUMMYFUNCTION("IF(OR(D2350="""",G2350=""""),"""",IFERROR(LET(
campo,XLOOKUP(TRIM(G2350),ARRAYFORMULA(TRIM('indice columnas'!$A$2:$A$100)),'indice columnas'!$B$2:$B$100,""""),
col,IFERROR(MATCH(campo,Referencia!$A$1:$AZ$1,0),0),
fila,IFERROR(MATCH(TO_TEXT(D2350),ARRAYFOR"&amp;"MULA(TO_TEXT(Referencia!$A$2:$A6238)),0),0),
IF(OR(campo="""",campo=""-""),""NO APLICA"",
IF(col=0,""REVISAR EQUIVALENCIA"",
IF(fila=0,""SKU NO ENCONTRADO"",
LET(
valor,INDEX(Referencia!$A$2:$AZ6238,fila,col),
IF(TRIM(TO_TEXT(valor))=TRIM(TO_TEXT(I2350)),"&amp;"
""OK"",
""NO COINCIDE. Valor verdadero: ""&amp;IF(valor="""",""[VACÍO]"",TO_TEXT(valor))
)
))))
),""ERROR EN FÓRMULA""))"),"NO APLICA")</f>
        <v>NO APLICA</v>
      </c>
    </row>
    <row r="2351">
      <c r="A2351" s="83" t="s">
        <v>4078</v>
      </c>
      <c r="B2351" s="83" t="s">
        <v>4079</v>
      </c>
      <c r="C2351" s="81" t="s">
        <v>4086</v>
      </c>
      <c r="D2351" s="83" t="s">
        <v>4687</v>
      </c>
      <c r="E2351" s="81" t="s">
        <v>3251</v>
      </c>
      <c r="F2351" s="84">
        <v>620.0</v>
      </c>
      <c r="G2351" s="81" t="s">
        <v>44</v>
      </c>
      <c r="H2351" s="81" t="s">
        <v>224</v>
      </c>
      <c r="I2351" s="81" t="s">
        <v>3212</v>
      </c>
      <c r="J2351" s="81" t="s">
        <v>4088</v>
      </c>
      <c r="K2351" s="81" t="str">
        <f>IFERROR(__xludf.DUMMYFUNCTION("IF(OR(D2351="""",G2351=""""),"""",IFERROR(LET(
campo,XLOOKUP(TRIM(G2351),ARRAYFORMULA(TRIM('indice columnas'!$A$2:$A$100)),'indice columnas'!$B$2:$B$100,""""),
col,IFERROR(MATCH(campo,Referencia!$A$1:$AZ$1,0),0),
fila,IFERROR(MATCH(TO_TEXT(D2351),ARRAYFOR"&amp;"MULA(TO_TEXT(Referencia!$A$2:$A6238)),0),0),
IF(OR(campo="""",campo=""-""),""NO APLICA"",
IF(col=0,""REVISAR EQUIVALENCIA"",
IF(fila=0,""SKU NO ENCONTRADO"",
LET(
valor,INDEX(Referencia!$A$2:$AZ6238,fila,col),
IF(TRIM(TO_TEXT(valor))=TRIM(TO_TEXT(I2351)),"&amp;"
""OK"",
""NO COINCIDE. Valor verdadero: ""&amp;IF(valor="""",""[VACÍO]"",TO_TEXT(valor))
)
))))
),""ERROR EN FÓRMULA""))"),"NO APLICA")</f>
        <v>NO APLICA</v>
      </c>
    </row>
    <row r="2352">
      <c r="A2352" s="83" t="s">
        <v>4078</v>
      </c>
      <c r="B2352" s="83" t="s">
        <v>4079</v>
      </c>
      <c r="C2352" s="81" t="s">
        <v>4086</v>
      </c>
      <c r="D2352" s="83" t="s">
        <v>4688</v>
      </c>
      <c r="E2352" s="81" t="s">
        <v>3254</v>
      </c>
      <c r="F2352" s="84">
        <v>621.0</v>
      </c>
      <c r="G2352" s="81" t="s">
        <v>44</v>
      </c>
      <c r="H2352" s="81" t="s">
        <v>224</v>
      </c>
      <c r="I2352" s="81" t="s">
        <v>3212</v>
      </c>
      <c r="J2352" s="81" t="s">
        <v>4088</v>
      </c>
      <c r="K2352" s="81" t="str">
        <f>IFERROR(__xludf.DUMMYFUNCTION("IF(OR(D2352="""",G2352=""""),"""",IFERROR(LET(
campo,XLOOKUP(TRIM(G2352),ARRAYFORMULA(TRIM('indice columnas'!$A$2:$A$100)),'indice columnas'!$B$2:$B$100,""""),
col,IFERROR(MATCH(campo,Referencia!$A$1:$AZ$1,0),0),
fila,IFERROR(MATCH(TO_TEXT(D2352),ARRAYFOR"&amp;"MULA(TO_TEXT(Referencia!$A$2:$A6238)),0),0),
IF(OR(campo="""",campo=""-""),""NO APLICA"",
IF(col=0,""REVISAR EQUIVALENCIA"",
IF(fila=0,""SKU NO ENCONTRADO"",
LET(
valor,INDEX(Referencia!$A$2:$AZ6238,fila,col),
IF(TRIM(TO_TEXT(valor))=TRIM(TO_TEXT(I2352)),"&amp;"
""OK"",
""NO COINCIDE. Valor verdadero: ""&amp;IF(valor="""",""[VACÍO]"",TO_TEXT(valor))
)
))))
),""ERROR EN FÓRMULA""))"),"NO APLICA")</f>
        <v>NO APLICA</v>
      </c>
    </row>
    <row r="2353">
      <c r="A2353" s="83" t="s">
        <v>4078</v>
      </c>
      <c r="B2353" s="83" t="s">
        <v>4079</v>
      </c>
      <c r="C2353" s="81" t="s">
        <v>4086</v>
      </c>
      <c r="D2353" s="83" t="s">
        <v>4689</v>
      </c>
      <c r="E2353" s="81" t="s">
        <v>3257</v>
      </c>
      <c r="F2353" s="84">
        <v>622.0</v>
      </c>
      <c r="G2353" s="81" t="s">
        <v>44</v>
      </c>
      <c r="H2353" s="81" t="s">
        <v>224</v>
      </c>
      <c r="I2353" s="81" t="s">
        <v>3257</v>
      </c>
      <c r="J2353" s="81" t="s">
        <v>4088</v>
      </c>
      <c r="K2353" s="81" t="str">
        <f>IFERROR(__xludf.DUMMYFUNCTION("IF(OR(D2353="""",G2353=""""),"""",IFERROR(LET(
campo,XLOOKUP(TRIM(G2353),ARRAYFORMULA(TRIM('indice columnas'!$A$2:$A$100)),'indice columnas'!$B$2:$B$100,""""),
col,IFERROR(MATCH(campo,Referencia!$A$1:$AZ$1,0),0),
fila,IFERROR(MATCH(TO_TEXT(D2353),ARRAYFOR"&amp;"MULA(TO_TEXT(Referencia!$A$2:$A6238)),0),0),
IF(OR(campo="""",campo=""-""),""NO APLICA"",
IF(col=0,""REVISAR EQUIVALENCIA"",
IF(fila=0,""SKU NO ENCONTRADO"",
LET(
valor,INDEX(Referencia!$A$2:$AZ6238,fila,col),
IF(TRIM(TO_TEXT(valor))=TRIM(TO_TEXT(I2353)),"&amp;"
""OK"",
""NO COINCIDE. Valor verdadero: ""&amp;IF(valor="""",""[VACÍO]"",TO_TEXT(valor))
)
))))
),""ERROR EN FÓRMULA""))"),"NO APLICA")</f>
        <v>NO APLICA</v>
      </c>
    </row>
    <row r="2354">
      <c r="A2354" s="83" t="s">
        <v>4078</v>
      </c>
      <c r="B2354" s="83" t="s">
        <v>4079</v>
      </c>
      <c r="C2354" s="81" t="s">
        <v>4086</v>
      </c>
      <c r="D2354" s="83" t="s">
        <v>4689</v>
      </c>
      <c r="E2354" s="81" t="s">
        <v>3266</v>
      </c>
      <c r="F2354" s="84">
        <v>623.0</v>
      </c>
      <c r="G2354" s="81" t="s">
        <v>44</v>
      </c>
      <c r="H2354" s="81" t="s">
        <v>224</v>
      </c>
      <c r="I2354" s="81" t="s">
        <v>3257</v>
      </c>
      <c r="J2354" s="81" t="s">
        <v>4088</v>
      </c>
      <c r="K2354" s="81" t="str">
        <f>IFERROR(__xludf.DUMMYFUNCTION("IF(OR(D2354="""",G2354=""""),"""",IFERROR(LET(
campo,XLOOKUP(TRIM(G2354),ARRAYFORMULA(TRIM('indice columnas'!$A$2:$A$100)),'indice columnas'!$B$2:$B$100,""""),
col,IFERROR(MATCH(campo,Referencia!$A$1:$AZ$1,0),0),
fila,IFERROR(MATCH(TO_TEXT(D2354),ARRAYFOR"&amp;"MULA(TO_TEXT(Referencia!$A$2:$A6238)),0),0),
IF(OR(campo="""",campo=""-""),""NO APLICA"",
IF(col=0,""REVISAR EQUIVALENCIA"",
IF(fila=0,""SKU NO ENCONTRADO"",
LET(
valor,INDEX(Referencia!$A$2:$AZ6238,fila,col),
IF(TRIM(TO_TEXT(valor))=TRIM(TO_TEXT(I2354)),"&amp;"
""OK"",
""NO COINCIDE. Valor verdadero: ""&amp;IF(valor="""",""[VACÍO]"",TO_TEXT(valor))
)
))))
),""ERROR EN FÓRMULA""))"),"NO APLICA")</f>
        <v>NO APLICA</v>
      </c>
    </row>
    <row r="2355">
      <c r="A2355" s="83" t="s">
        <v>4078</v>
      </c>
      <c r="B2355" s="83" t="s">
        <v>4079</v>
      </c>
      <c r="C2355" s="81" t="s">
        <v>4086</v>
      </c>
      <c r="D2355" s="83" t="s">
        <v>4690</v>
      </c>
      <c r="E2355" s="81" t="s">
        <v>3267</v>
      </c>
      <c r="F2355" s="84">
        <v>624.0</v>
      </c>
      <c r="G2355" s="81" t="s">
        <v>44</v>
      </c>
      <c r="H2355" s="81" t="s">
        <v>224</v>
      </c>
      <c r="I2355" s="81" t="s">
        <v>3257</v>
      </c>
      <c r="J2355" s="81" t="s">
        <v>4088</v>
      </c>
      <c r="K2355" s="81" t="str">
        <f>IFERROR(__xludf.DUMMYFUNCTION("IF(OR(D2355="""",G2355=""""),"""",IFERROR(LET(
campo,XLOOKUP(TRIM(G2355),ARRAYFORMULA(TRIM('indice columnas'!$A$2:$A$100)),'indice columnas'!$B$2:$B$100,""""),
col,IFERROR(MATCH(campo,Referencia!$A$1:$AZ$1,0),0),
fila,IFERROR(MATCH(TO_TEXT(D2355),ARRAYFOR"&amp;"MULA(TO_TEXT(Referencia!$A$2:$A6238)),0),0),
IF(OR(campo="""",campo=""-""),""NO APLICA"",
IF(col=0,""REVISAR EQUIVALENCIA"",
IF(fila=0,""SKU NO ENCONTRADO"",
LET(
valor,INDEX(Referencia!$A$2:$AZ6238,fila,col),
IF(TRIM(TO_TEXT(valor))=TRIM(TO_TEXT(I2355)),"&amp;"
""OK"",
""NO COINCIDE. Valor verdadero: ""&amp;IF(valor="""",""[VACÍO]"",TO_TEXT(valor))
)
))))
),""ERROR EN FÓRMULA""))"),"NO APLICA")</f>
        <v>NO APLICA</v>
      </c>
    </row>
    <row r="2356">
      <c r="A2356" s="83" t="s">
        <v>4078</v>
      </c>
      <c r="B2356" s="83" t="s">
        <v>4079</v>
      </c>
      <c r="C2356" s="81" t="s">
        <v>4086</v>
      </c>
      <c r="D2356" s="83" t="s">
        <v>4691</v>
      </c>
      <c r="E2356" s="81" t="s">
        <v>3270</v>
      </c>
      <c r="F2356" s="84">
        <v>625.0</v>
      </c>
      <c r="G2356" s="81" t="s">
        <v>44</v>
      </c>
      <c r="H2356" s="81" t="s">
        <v>4692</v>
      </c>
      <c r="I2356" s="81" t="s">
        <v>3270</v>
      </c>
      <c r="J2356" s="81" t="s">
        <v>4088</v>
      </c>
      <c r="K2356" s="81" t="str">
        <f>IFERROR(__xludf.DUMMYFUNCTION("IF(OR(D2356="""",G2356=""""),"""",IFERROR(LET(
campo,XLOOKUP(TRIM(G2356),ARRAYFORMULA(TRIM('indice columnas'!$A$2:$A$100)),'indice columnas'!$B$2:$B$100,""""),
col,IFERROR(MATCH(campo,Referencia!$A$1:$AZ$1,0),0),
fila,IFERROR(MATCH(TO_TEXT(D2356),ARRAYFOR"&amp;"MULA(TO_TEXT(Referencia!$A$2:$A6238)),0),0),
IF(OR(campo="""",campo=""-""),""NO APLICA"",
IF(col=0,""REVISAR EQUIVALENCIA"",
IF(fila=0,""SKU NO ENCONTRADO"",
LET(
valor,INDEX(Referencia!$A$2:$AZ6238,fila,col),
IF(TRIM(TO_TEXT(valor))=TRIM(TO_TEXT(I2356)),"&amp;"
""OK"",
""NO COINCIDE. Valor verdadero: ""&amp;IF(valor="""",""[VACÍO]"",TO_TEXT(valor))
)
))))
),""ERROR EN FÓRMULA""))"),"NO APLICA")</f>
        <v>NO APLICA</v>
      </c>
    </row>
    <row r="2357">
      <c r="A2357" s="83" t="s">
        <v>4078</v>
      </c>
      <c r="B2357" s="83" t="s">
        <v>4079</v>
      </c>
      <c r="C2357" s="81" t="s">
        <v>4086</v>
      </c>
      <c r="D2357" s="83" t="s">
        <v>4691</v>
      </c>
      <c r="E2357" s="81" t="s">
        <v>3280</v>
      </c>
      <c r="F2357" s="84">
        <v>626.0</v>
      </c>
      <c r="G2357" s="81" t="s">
        <v>44</v>
      </c>
      <c r="H2357" s="81" t="s">
        <v>4692</v>
      </c>
      <c r="I2357" s="81" t="s">
        <v>3270</v>
      </c>
      <c r="J2357" s="81" t="s">
        <v>4088</v>
      </c>
      <c r="K2357" s="81" t="str">
        <f>IFERROR(__xludf.DUMMYFUNCTION("IF(OR(D2357="""",G2357=""""),"""",IFERROR(LET(
campo,XLOOKUP(TRIM(G2357),ARRAYFORMULA(TRIM('indice columnas'!$A$2:$A$100)),'indice columnas'!$B$2:$B$100,""""),
col,IFERROR(MATCH(campo,Referencia!$A$1:$AZ$1,0),0),
fila,IFERROR(MATCH(TO_TEXT(D2357),ARRAYFOR"&amp;"MULA(TO_TEXT(Referencia!$A$2:$A6238)),0),0),
IF(OR(campo="""",campo=""-""),""NO APLICA"",
IF(col=0,""REVISAR EQUIVALENCIA"",
IF(fila=0,""SKU NO ENCONTRADO"",
LET(
valor,INDEX(Referencia!$A$2:$AZ6238,fila,col),
IF(TRIM(TO_TEXT(valor))=TRIM(TO_TEXT(I2357)),"&amp;"
""OK"",
""NO COINCIDE. Valor verdadero: ""&amp;IF(valor="""",""[VACÍO]"",TO_TEXT(valor))
)
))))
),""ERROR EN FÓRMULA""))"),"NO APLICA")</f>
        <v>NO APLICA</v>
      </c>
    </row>
    <row r="2358">
      <c r="A2358" s="83" t="s">
        <v>4078</v>
      </c>
      <c r="B2358" s="83" t="s">
        <v>4079</v>
      </c>
      <c r="C2358" s="81" t="s">
        <v>4086</v>
      </c>
      <c r="D2358" s="83" t="s">
        <v>4693</v>
      </c>
      <c r="E2358" s="81" t="s">
        <v>3281</v>
      </c>
      <c r="F2358" s="84">
        <v>627.0</v>
      </c>
      <c r="G2358" s="81" t="s">
        <v>44</v>
      </c>
      <c r="H2358" s="81" t="s">
        <v>4692</v>
      </c>
      <c r="I2358" s="81" t="s">
        <v>3270</v>
      </c>
      <c r="J2358" s="81" t="s">
        <v>4088</v>
      </c>
      <c r="K2358" s="81" t="str">
        <f>IFERROR(__xludf.DUMMYFUNCTION("IF(OR(D2358="""",G2358=""""),"""",IFERROR(LET(
campo,XLOOKUP(TRIM(G2358),ARRAYFORMULA(TRIM('indice columnas'!$A$2:$A$100)),'indice columnas'!$B$2:$B$100,""""),
col,IFERROR(MATCH(campo,Referencia!$A$1:$AZ$1,0),0),
fila,IFERROR(MATCH(TO_TEXT(D2358),ARRAYFOR"&amp;"MULA(TO_TEXT(Referencia!$A$2:$A6238)),0),0),
IF(OR(campo="""",campo=""-""),""NO APLICA"",
IF(col=0,""REVISAR EQUIVALENCIA"",
IF(fila=0,""SKU NO ENCONTRADO"",
LET(
valor,INDEX(Referencia!$A$2:$AZ6238,fila,col),
IF(TRIM(TO_TEXT(valor))=TRIM(TO_TEXT(I2358)),"&amp;"
""OK"",
""NO COINCIDE. Valor verdadero: ""&amp;IF(valor="""",""[VACÍO]"",TO_TEXT(valor))
)
))))
),""ERROR EN FÓRMULA""))"),"NO APLICA")</f>
        <v>NO APLICA</v>
      </c>
    </row>
    <row r="2359">
      <c r="A2359" s="83" t="s">
        <v>4078</v>
      </c>
      <c r="B2359" s="83" t="s">
        <v>4079</v>
      </c>
      <c r="C2359" s="81" t="s">
        <v>4086</v>
      </c>
      <c r="D2359" s="83" t="s">
        <v>4694</v>
      </c>
      <c r="E2359" s="81" t="s">
        <v>3284</v>
      </c>
      <c r="F2359" s="84">
        <v>628.0</v>
      </c>
      <c r="G2359" s="81" t="s">
        <v>44</v>
      </c>
      <c r="H2359" s="81" t="s">
        <v>4695</v>
      </c>
      <c r="I2359" s="81" t="s">
        <v>3284</v>
      </c>
      <c r="J2359" s="81" t="s">
        <v>4088</v>
      </c>
      <c r="K2359" s="81" t="str">
        <f>IFERROR(__xludf.DUMMYFUNCTION("IF(OR(D2359="""",G2359=""""),"""",IFERROR(LET(
campo,XLOOKUP(TRIM(G2359),ARRAYFORMULA(TRIM('indice columnas'!$A$2:$A$100)),'indice columnas'!$B$2:$B$100,""""),
col,IFERROR(MATCH(campo,Referencia!$A$1:$AZ$1,0),0),
fila,IFERROR(MATCH(TO_TEXT(D2359),ARRAYFOR"&amp;"MULA(TO_TEXT(Referencia!$A$2:$A6238)),0),0),
IF(OR(campo="""",campo=""-""),""NO APLICA"",
IF(col=0,""REVISAR EQUIVALENCIA"",
IF(fila=0,""SKU NO ENCONTRADO"",
LET(
valor,INDEX(Referencia!$A$2:$AZ6238,fila,col),
IF(TRIM(TO_TEXT(valor))=TRIM(TO_TEXT(I2359)),"&amp;"
""OK"",
""NO COINCIDE. Valor verdadero: ""&amp;IF(valor="""",""[VACÍO]"",TO_TEXT(valor))
)
))))
),""ERROR EN FÓRMULA""))"),"NO APLICA")</f>
        <v>NO APLICA</v>
      </c>
    </row>
    <row r="2360">
      <c r="A2360" s="83" t="s">
        <v>4078</v>
      </c>
      <c r="B2360" s="83" t="s">
        <v>4079</v>
      </c>
      <c r="C2360" s="81" t="s">
        <v>4086</v>
      </c>
      <c r="D2360" s="83" t="s">
        <v>4694</v>
      </c>
      <c r="E2360" s="81" t="s">
        <v>3295</v>
      </c>
      <c r="F2360" s="84">
        <v>629.0</v>
      </c>
      <c r="G2360" s="81" t="s">
        <v>44</v>
      </c>
      <c r="H2360" s="81" t="s">
        <v>4695</v>
      </c>
      <c r="I2360" s="81" t="s">
        <v>3284</v>
      </c>
      <c r="J2360" s="81" t="s">
        <v>4088</v>
      </c>
      <c r="K2360" s="81" t="str">
        <f>IFERROR(__xludf.DUMMYFUNCTION("IF(OR(D2360="""",G2360=""""),"""",IFERROR(LET(
campo,XLOOKUP(TRIM(G2360),ARRAYFORMULA(TRIM('indice columnas'!$A$2:$A$100)),'indice columnas'!$B$2:$B$100,""""),
col,IFERROR(MATCH(campo,Referencia!$A$1:$AZ$1,0),0),
fila,IFERROR(MATCH(TO_TEXT(D2360),ARRAYFOR"&amp;"MULA(TO_TEXT(Referencia!$A$2:$A6238)),0),0),
IF(OR(campo="""",campo=""-""),""NO APLICA"",
IF(col=0,""REVISAR EQUIVALENCIA"",
IF(fila=0,""SKU NO ENCONTRADO"",
LET(
valor,INDEX(Referencia!$A$2:$AZ6238,fila,col),
IF(TRIM(TO_TEXT(valor))=TRIM(TO_TEXT(I2360)),"&amp;"
""OK"",
""NO COINCIDE. Valor verdadero: ""&amp;IF(valor="""",""[VACÍO]"",TO_TEXT(valor))
)
))))
),""ERROR EN FÓRMULA""))"),"NO APLICA")</f>
        <v>NO APLICA</v>
      </c>
    </row>
    <row r="2361">
      <c r="A2361" s="83" t="s">
        <v>4078</v>
      </c>
      <c r="B2361" s="83" t="s">
        <v>4079</v>
      </c>
      <c r="C2361" s="81" t="s">
        <v>4086</v>
      </c>
      <c r="D2361" s="83" t="s">
        <v>4696</v>
      </c>
      <c r="E2361" s="81" t="s">
        <v>3296</v>
      </c>
      <c r="F2361" s="84">
        <v>630.0</v>
      </c>
      <c r="G2361" s="81" t="s">
        <v>44</v>
      </c>
      <c r="H2361" s="81" t="s">
        <v>4695</v>
      </c>
      <c r="I2361" s="81" t="s">
        <v>3284</v>
      </c>
      <c r="J2361" s="81" t="s">
        <v>4088</v>
      </c>
      <c r="K2361" s="81" t="str">
        <f>IFERROR(__xludf.DUMMYFUNCTION("IF(OR(D2361="""",G2361=""""),"""",IFERROR(LET(
campo,XLOOKUP(TRIM(G2361),ARRAYFORMULA(TRIM('indice columnas'!$A$2:$A$100)),'indice columnas'!$B$2:$B$100,""""),
col,IFERROR(MATCH(campo,Referencia!$A$1:$AZ$1,0),0),
fila,IFERROR(MATCH(TO_TEXT(D2361),ARRAYFOR"&amp;"MULA(TO_TEXT(Referencia!$A$2:$A6238)),0),0),
IF(OR(campo="""",campo=""-""),""NO APLICA"",
IF(col=0,""REVISAR EQUIVALENCIA"",
IF(fila=0,""SKU NO ENCONTRADO"",
LET(
valor,INDEX(Referencia!$A$2:$AZ6238,fila,col),
IF(TRIM(TO_TEXT(valor))=TRIM(TO_TEXT(I2361)),"&amp;"
""OK"",
""NO COINCIDE. Valor verdadero: ""&amp;IF(valor="""",""[VACÍO]"",TO_TEXT(valor))
)
))))
),""ERROR EN FÓRMULA""))"),"NO APLICA")</f>
        <v>NO APLICA</v>
      </c>
    </row>
    <row r="2362">
      <c r="A2362" s="83" t="s">
        <v>4078</v>
      </c>
      <c r="B2362" s="83" t="s">
        <v>4079</v>
      </c>
      <c r="C2362" s="81" t="s">
        <v>4086</v>
      </c>
      <c r="D2362" s="83" t="s">
        <v>4697</v>
      </c>
      <c r="E2362" s="81" t="s">
        <v>3299</v>
      </c>
      <c r="F2362" s="84">
        <v>631.0</v>
      </c>
      <c r="G2362" s="81" t="s">
        <v>44</v>
      </c>
      <c r="H2362" s="81" t="s">
        <v>224</v>
      </c>
      <c r="I2362" s="81" t="s">
        <v>3299</v>
      </c>
      <c r="J2362" s="81" t="s">
        <v>4088</v>
      </c>
      <c r="K2362" s="81" t="str">
        <f>IFERROR(__xludf.DUMMYFUNCTION("IF(OR(D2362="""",G2362=""""),"""",IFERROR(LET(
campo,XLOOKUP(TRIM(G2362),ARRAYFORMULA(TRIM('indice columnas'!$A$2:$A$100)),'indice columnas'!$B$2:$B$100,""""),
col,IFERROR(MATCH(campo,Referencia!$A$1:$AZ$1,0),0),
fila,IFERROR(MATCH(TO_TEXT(D2362),ARRAYFOR"&amp;"MULA(TO_TEXT(Referencia!$A$2:$A6238)),0),0),
IF(OR(campo="""",campo=""-""),""NO APLICA"",
IF(col=0,""REVISAR EQUIVALENCIA"",
IF(fila=0,""SKU NO ENCONTRADO"",
LET(
valor,INDEX(Referencia!$A$2:$AZ6238,fila,col),
IF(TRIM(TO_TEXT(valor))=TRIM(TO_TEXT(I2362)),"&amp;"
""OK"",
""NO COINCIDE. Valor verdadero: ""&amp;IF(valor="""",""[VACÍO]"",TO_TEXT(valor))
)
))))
),""ERROR EN FÓRMULA""))"),"NO APLICA")</f>
        <v>NO APLICA</v>
      </c>
    </row>
    <row r="2363">
      <c r="A2363" s="83" t="s">
        <v>4078</v>
      </c>
      <c r="B2363" s="83" t="s">
        <v>4079</v>
      </c>
      <c r="C2363" s="81" t="s">
        <v>4086</v>
      </c>
      <c r="D2363" s="83" t="s">
        <v>4697</v>
      </c>
      <c r="E2363" s="81" t="s">
        <v>3311</v>
      </c>
      <c r="F2363" s="84">
        <v>632.0</v>
      </c>
      <c r="G2363" s="81" t="s">
        <v>44</v>
      </c>
      <c r="H2363" s="81" t="s">
        <v>224</v>
      </c>
      <c r="I2363" s="81" t="s">
        <v>3299</v>
      </c>
      <c r="J2363" s="81" t="s">
        <v>4088</v>
      </c>
      <c r="K2363" s="81" t="str">
        <f>IFERROR(__xludf.DUMMYFUNCTION("IF(OR(D2363="""",G2363=""""),"""",IFERROR(LET(
campo,XLOOKUP(TRIM(G2363),ARRAYFORMULA(TRIM('indice columnas'!$A$2:$A$100)),'indice columnas'!$B$2:$B$100,""""),
col,IFERROR(MATCH(campo,Referencia!$A$1:$AZ$1,0),0),
fila,IFERROR(MATCH(TO_TEXT(D2363),ARRAYFOR"&amp;"MULA(TO_TEXT(Referencia!$A$2:$A6238)),0),0),
IF(OR(campo="""",campo=""-""),""NO APLICA"",
IF(col=0,""REVISAR EQUIVALENCIA"",
IF(fila=0,""SKU NO ENCONTRADO"",
LET(
valor,INDEX(Referencia!$A$2:$AZ6238,fila,col),
IF(TRIM(TO_TEXT(valor))=TRIM(TO_TEXT(I2363)),"&amp;"
""OK"",
""NO COINCIDE. Valor verdadero: ""&amp;IF(valor="""",""[VACÍO]"",TO_TEXT(valor))
)
))))
),""ERROR EN FÓRMULA""))"),"NO APLICA")</f>
        <v>NO APLICA</v>
      </c>
    </row>
    <row r="2364">
      <c r="A2364" s="83" t="s">
        <v>4078</v>
      </c>
      <c r="B2364" s="83" t="s">
        <v>4079</v>
      </c>
      <c r="C2364" s="81" t="s">
        <v>4086</v>
      </c>
      <c r="D2364" s="83" t="s">
        <v>4698</v>
      </c>
      <c r="E2364" s="81" t="s">
        <v>3312</v>
      </c>
      <c r="F2364" s="84">
        <v>633.0</v>
      </c>
      <c r="G2364" s="81" t="s">
        <v>44</v>
      </c>
      <c r="H2364" s="81" t="s">
        <v>224</v>
      </c>
      <c r="I2364" s="81" t="s">
        <v>3299</v>
      </c>
      <c r="J2364" s="81" t="s">
        <v>4088</v>
      </c>
      <c r="K2364" s="81" t="str">
        <f>IFERROR(__xludf.DUMMYFUNCTION("IF(OR(D2364="""",G2364=""""),"""",IFERROR(LET(
campo,XLOOKUP(TRIM(G2364),ARRAYFORMULA(TRIM('indice columnas'!$A$2:$A$100)),'indice columnas'!$B$2:$B$100,""""),
col,IFERROR(MATCH(campo,Referencia!$A$1:$AZ$1,0),0),
fila,IFERROR(MATCH(TO_TEXT(D2364),ARRAYFOR"&amp;"MULA(TO_TEXT(Referencia!$A$2:$A6238)),0),0),
IF(OR(campo="""",campo=""-""),""NO APLICA"",
IF(col=0,""REVISAR EQUIVALENCIA"",
IF(fila=0,""SKU NO ENCONTRADO"",
LET(
valor,INDEX(Referencia!$A$2:$AZ6238,fila,col),
IF(TRIM(TO_TEXT(valor))=TRIM(TO_TEXT(I2364)),"&amp;"
""OK"",
""NO COINCIDE. Valor verdadero: ""&amp;IF(valor="""",""[VACÍO]"",TO_TEXT(valor))
)
))))
),""ERROR EN FÓRMULA""))"),"NO APLICA")</f>
        <v>NO APLICA</v>
      </c>
    </row>
    <row r="2365">
      <c r="A2365" s="83" t="s">
        <v>4078</v>
      </c>
      <c r="B2365" s="83" t="s">
        <v>4079</v>
      </c>
      <c r="C2365" s="81" t="s">
        <v>4086</v>
      </c>
      <c r="D2365" s="83" t="s">
        <v>4699</v>
      </c>
      <c r="E2365" s="81" t="s">
        <v>3315</v>
      </c>
      <c r="F2365" s="84">
        <v>634.0</v>
      </c>
      <c r="G2365" s="81" t="s">
        <v>44</v>
      </c>
      <c r="H2365" s="81" t="s">
        <v>4700</v>
      </c>
      <c r="I2365" s="81" t="s">
        <v>3315</v>
      </c>
      <c r="J2365" s="81" t="s">
        <v>4088</v>
      </c>
      <c r="K2365" s="81" t="str">
        <f>IFERROR(__xludf.DUMMYFUNCTION("IF(OR(D2365="""",G2365=""""),"""",IFERROR(LET(
campo,XLOOKUP(TRIM(G2365),ARRAYFORMULA(TRIM('indice columnas'!$A$2:$A$100)),'indice columnas'!$B$2:$B$100,""""),
col,IFERROR(MATCH(campo,Referencia!$A$1:$AZ$1,0),0),
fila,IFERROR(MATCH(TO_TEXT(D2365),ARRAYFOR"&amp;"MULA(TO_TEXT(Referencia!$A$2:$A6238)),0),0),
IF(OR(campo="""",campo=""-""),""NO APLICA"",
IF(col=0,""REVISAR EQUIVALENCIA"",
IF(fila=0,""SKU NO ENCONTRADO"",
LET(
valor,INDEX(Referencia!$A$2:$AZ6238,fila,col),
IF(TRIM(TO_TEXT(valor))=TRIM(TO_TEXT(I2365)),"&amp;"
""OK"",
""NO COINCIDE. Valor verdadero: ""&amp;IF(valor="""",""[VACÍO]"",TO_TEXT(valor))
)
))))
),""ERROR EN FÓRMULA""))"),"NO APLICA")</f>
        <v>NO APLICA</v>
      </c>
    </row>
    <row r="2366">
      <c r="A2366" s="83" t="s">
        <v>4078</v>
      </c>
      <c r="B2366" s="83" t="s">
        <v>4079</v>
      </c>
      <c r="C2366" s="81" t="s">
        <v>4086</v>
      </c>
      <c r="D2366" s="83" t="s">
        <v>4699</v>
      </c>
      <c r="E2366" s="81" t="s">
        <v>3328</v>
      </c>
      <c r="F2366" s="84">
        <v>635.0</v>
      </c>
      <c r="G2366" s="81" t="s">
        <v>7</v>
      </c>
      <c r="H2366" s="81" t="s">
        <v>53</v>
      </c>
      <c r="I2366" s="81" t="s">
        <v>1134</v>
      </c>
      <c r="J2366" s="81" t="s">
        <v>224</v>
      </c>
      <c r="K2366" s="81" t="str">
        <f>IFERROR(__xludf.DUMMYFUNCTION("IF(OR(D2366="""",G2366=""""),"""",IFERROR(LET(
campo,XLOOKUP(TRIM(G2366),ARRAYFORMULA(TRIM('indice columnas'!$A$2:$A$100)),'indice columnas'!$B$2:$B$100,""""),
col,IFERROR(MATCH(campo,Referencia!$A$1:$AZ$1,0),0),
fila,IFERROR(MATCH(TO_TEXT(D2366),ARRAYFOR"&amp;"MULA(TO_TEXT(Referencia!$A$2:$A6238)),0),0),
IF(OR(campo="""",campo=""-""),""NO APLICA"",
IF(col=0,""REVISAR EQUIVALENCIA"",
IF(fila=0,""SKU NO ENCONTRADO"",
LET(
valor,INDEX(Referencia!$A$2:$AZ6238,fila,col),
IF(TRIM(TO_TEXT(valor))=TRIM(TO_TEXT(I2366)),"&amp;"
""OK"",
""NO COINCIDE. Valor verdadero: ""&amp;IF(valor="""",""[VACÍO]"",TO_TEXT(valor))
)
))))
),""ERROR EN FÓRMULA""))"),"REVISAR EQUIVALENCIA")</f>
        <v>REVISAR EQUIVALENCIA</v>
      </c>
    </row>
    <row r="2367">
      <c r="A2367" s="83" t="s">
        <v>4078</v>
      </c>
      <c r="B2367" s="83" t="s">
        <v>4079</v>
      </c>
      <c r="C2367" s="81" t="s">
        <v>4086</v>
      </c>
      <c r="D2367" s="83" t="s">
        <v>4699</v>
      </c>
      <c r="E2367" s="81" t="s">
        <v>3328</v>
      </c>
      <c r="F2367" s="84">
        <v>635.0</v>
      </c>
      <c r="G2367" s="81" t="s">
        <v>44</v>
      </c>
      <c r="H2367" s="81" t="s">
        <v>4700</v>
      </c>
      <c r="I2367" s="81" t="s">
        <v>3315</v>
      </c>
      <c r="J2367" s="81" t="s">
        <v>4088</v>
      </c>
      <c r="K2367" s="81" t="str">
        <f>IFERROR(__xludf.DUMMYFUNCTION("IF(OR(D2367="""",G2367=""""),"""",IFERROR(LET(
campo,XLOOKUP(TRIM(G2367),ARRAYFORMULA(TRIM('indice columnas'!$A$2:$A$100)),'indice columnas'!$B$2:$B$100,""""),
col,IFERROR(MATCH(campo,Referencia!$A$1:$AZ$1,0),0),
fila,IFERROR(MATCH(TO_TEXT(D2367),ARRAYFOR"&amp;"MULA(TO_TEXT(Referencia!$A$2:$A6238)),0),0),
IF(OR(campo="""",campo=""-""),""NO APLICA"",
IF(col=0,""REVISAR EQUIVALENCIA"",
IF(fila=0,""SKU NO ENCONTRADO"",
LET(
valor,INDEX(Referencia!$A$2:$AZ6238,fila,col),
IF(TRIM(TO_TEXT(valor))=TRIM(TO_TEXT(I2367)),"&amp;"
""OK"",
""NO COINCIDE. Valor verdadero: ""&amp;IF(valor="""",""[VACÍO]"",TO_TEXT(valor))
)
))))
),""ERROR EN FÓRMULA""))"),"NO APLICA")</f>
        <v>NO APLICA</v>
      </c>
    </row>
    <row r="2368">
      <c r="A2368" s="83" t="s">
        <v>4078</v>
      </c>
      <c r="B2368" s="83" t="s">
        <v>4079</v>
      </c>
      <c r="C2368" s="81" t="s">
        <v>4086</v>
      </c>
      <c r="D2368" s="83" t="s">
        <v>4701</v>
      </c>
      <c r="E2368" s="81" t="s">
        <v>3329</v>
      </c>
      <c r="F2368" s="84">
        <v>636.0</v>
      </c>
      <c r="G2368" s="81" t="s">
        <v>7</v>
      </c>
      <c r="H2368" s="81" t="s">
        <v>4702</v>
      </c>
      <c r="I2368" s="81" t="s">
        <v>1134</v>
      </c>
      <c r="J2368" s="81" t="s">
        <v>224</v>
      </c>
      <c r="K2368" s="81" t="str">
        <f>IFERROR(__xludf.DUMMYFUNCTION("IF(OR(D2368="""",G2368=""""),"""",IFERROR(LET(
campo,XLOOKUP(TRIM(G2368),ARRAYFORMULA(TRIM('indice columnas'!$A$2:$A$100)),'indice columnas'!$B$2:$B$100,""""),
col,IFERROR(MATCH(campo,Referencia!$A$1:$AZ$1,0),0),
fila,IFERROR(MATCH(TO_TEXT(D2368),ARRAYFOR"&amp;"MULA(TO_TEXT(Referencia!$A$2:$A6238)),0),0),
IF(OR(campo="""",campo=""-""),""NO APLICA"",
IF(col=0,""REVISAR EQUIVALENCIA"",
IF(fila=0,""SKU NO ENCONTRADO"",
LET(
valor,INDEX(Referencia!$A$2:$AZ6238,fila,col),
IF(TRIM(TO_TEXT(valor))=TRIM(TO_TEXT(I2368)),"&amp;"
""OK"",
""NO COINCIDE. Valor verdadero: ""&amp;IF(valor="""",""[VACÍO]"",TO_TEXT(valor))
)
))))
),""ERROR EN FÓRMULA""))"),"REVISAR EQUIVALENCIA")</f>
        <v>REVISAR EQUIVALENCIA</v>
      </c>
    </row>
    <row r="2369">
      <c r="A2369" s="83" t="s">
        <v>4078</v>
      </c>
      <c r="B2369" s="83" t="s">
        <v>4079</v>
      </c>
      <c r="C2369" s="81" t="s">
        <v>4086</v>
      </c>
      <c r="D2369" s="83" t="s">
        <v>4701</v>
      </c>
      <c r="E2369" s="81" t="s">
        <v>3329</v>
      </c>
      <c r="F2369" s="84">
        <v>636.0</v>
      </c>
      <c r="G2369" s="81" t="s">
        <v>44</v>
      </c>
      <c r="H2369" s="81" t="s">
        <v>4700</v>
      </c>
      <c r="I2369" s="81" t="s">
        <v>3315</v>
      </c>
      <c r="J2369" s="81" t="s">
        <v>4088</v>
      </c>
      <c r="K2369" s="81" t="str">
        <f>IFERROR(__xludf.DUMMYFUNCTION("IF(OR(D2369="""",G2369=""""),"""",IFERROR(LET(
campo,XLOOKUP(TRIM(G2369),ARRAYFORMULA(TRIM('indice columnas'!$A$2:$A$100)),'indice columnas'!$B$2:$B$100,""""),
col,IFERROR(MATCH(campo,Referencia!$A$1:$AZ$1,0),0),
fila,IFERROR(MATCH(TO_TEXT(D2369),ARRAYFOR"&amp;"MULA(TO_TEXT(Referencia!$A$2:$A6238)),0),0),
IF(OR(campo="""",campo=""-""),""NO APLICA"",
IF(col=0,""REVISAR EQUIVALENCIA"",
IF(fila=0,""SKU NO ENCONTRADO"",
LET(
valor,INDEX(Referencia!$A$2:$AZ6238,fila,col),
IF(TRIM(TO_TEXT(valor))=TRIM(TO_TEXT(I2369)),"&amp;"
""OK"",
""NO COINCIDE. Valor verdadero: ""&amp;IF(valor="""",""[VACÍO]"",TO_TEXT(valor))
)
))))
),""ERROR EN FÓRMULA""))"),"NO APLICA")</f>
        <v>NO APLICA</v>
      </c>
    </row>
    <row r="2370">
      <c r="A2370" s="83" t="s">
        <v>4078</v>
      </c>
      <c r="B2370" s="83" t="s">
        <v>4079</v>
      </c>
      <c r="C2370" s="81" t="s">
        <v>4086</v>
      </c>
      <c r="D2370" s="83" t="s">
        <v>4703</v>
      </c>
      <c r="E2370" s="81" t="s">
        <v>3339</v>
      </c>
      <c r="F2370" s="84">
        <v>637.0</v>
      </c>
      <c r="G2370" s="81" t="s">
        <v>44</v>
      </c>
      <c r="H2370" s="81" t="s">
        <v>4704</v>
      </c>
      <c r="I2370" s="81" t="s">
        <v>3362</v>
      </c>
      <c r="J2370" s="81" t="s">
        <v>4088</v>
      </c>
      <c r="K2370" s="81" t="str">
        <f>IFERROR(__xludf.DUMMYFUNCTION("IF(OR(D2370="""",G2370=""""),"""",IFERROR(LET(
campo,XLOOKUP(TRIM(G2370),ARRAYFORMULA(TRIM('indice columnas'!$A$2:$A$100)),'indice columnas'!$B$2:$B$100,""""),
col,IFERROR(MATCH(campo,Referencia!$A$1:$AZ$1,0),0),
fila,IFERROR(MATCH(TO_TEXT(D2370),ARRAYFOR"&amp;"MULA(TO_TEXT(Referencia!$A$2:$A6238)),0),0),
IF(OR(campo="""",campo=""-""),""NO APLICA"",
IF(col=0,""REVISAR EQUIVALENCIA"",
IF(fila=0,""SKU NO ENCONTRADO"",
LET(
valor,INDEX(Referencia!$A$2:$AZ6238,fila,col),
IF(TRIM(TO_TEXT(valor))=TRIM(TO_TEXT(I2370)),"&amp;"
""OK"",
""NO COINCIDE. Valor verdadero: ""&amp;IF(valor="""",""[VACÍO]"",TO_TEXT(valor))
)
))))
),""ERROR EN FÓRMULA""))"),"NO APLICA")</f>
        <v>NO APLICA</v>
      </c>
    </row>
    <row r="2371">
      <c r="A2371" s="83" t="s">
        <v>4078</v>
      </c>
      <c r="B2371" s="83" t="s">
        <v>4079</v>
      </c>
      <c r="C2371" s="81" t="s">
        <v>4086</v>
      </c>
      <c r="D2371" s="83" t="s">
        <v>4703</v>
      </c>
      <c r="E2371" s="81" t="s">
        <v>3353</v>
      </c>
      <c r="F2371" s="84">
        <v>638.0</v>
      </c>
      <c r="G2371" s="81" t="s">
        <v>44</v>
      </c>
      <c r="H2371" s="81" t="s">
        <v>4704</v>
      </c>
      <c r="I2371" s="81" t="s">
        <v>3362</v>
      </c>
      <c r="J2371" s="81" t="s">
        <v>4088</v>
      </c>
      <c r="K2371" s="81" t="str">
        <f>IFERROR(__xludf.DUMMYFUNCTION("IF(OR(D2371="""",G2371=""""),"""",IFERROR(LET(
campo,XLOOKUP(TRIM(G2371),ARRAYFORMULA(TRIM('indice columnas'!$A$2:$A$100)),'indice columnas'!$B$2:$B$100,""""),
col,IFERROR(MATCH(campo,Referencia!$A$1:$AZ$1,0),0),
fila,IFERROR(MATCH(TO_TEXT(D2371),ARRAYFOR"&amp;"MULA(TO_TEXT(Referencia!$A$2:$A6238)),0),0),
IF(OR(campo="""",campo=""-""),""NO APLICA"",
IF(col=0,""REVISAR EQUIVALENCIA"",
IF(fila=0,""SKU NO ENCONTRADO"",
LET(
valor,INDEX(Referencia!$A$2:$AZ6238,fila,col),
IF(TRIM(TO_TEXT(valor))=TRIM(TO_TEXT(I2371)),"&amp;"
""OK"",
""NO COINCIDE. Valor verdadero: ""&amp;IF(valor="""",""[VACÍO]"",TO_TEXT(valor))
)
))))
),""ERROR EN FÓRMULA""))"),"NO APLICA")</f>
        <v>NO APLICA</v>
      </c>
    </row>
    <row r="2372">
      <c r="A2372" s="83" t="s">
        <v>4078</v>
      </c>
      <c r="B2372" s="83" t="s">
        <v>4079</v>
      </c>
      <c r="C2372" s="81" t="s">
        <v>4086</v>
      </c>
      <c r="D2372" s="83" t="s">
        <v>4705</v>
      </c>
      <c r="E2372" s="81" t="s">
        <v>3354</v>
      </c>
      <c r="F2372" s="84">
        <v>639.0</v>
      </c>
      <c r="G2372" s="81" t="s">
        <v>44</v>
      </c>
      <c r="H2372" s="81" t="s">
        <v>4704</v>
      </c>
      <c r="I2372" s="81" t="s">
        <v>3362</v>
      </c>
      <c r="J2372" s="81" t="s">
        <v>4088</v>
      </c>
      <c r="K2372" s="81" t="str">
        <f>IFERROR(__xludf.DUMMYFUNCTION("IF(OR(D2372="""",G2372=""""),"""",IFERROR(LET(
campo,XLOOKUP(TRIM(G2372),ARRAYFORMULA(TRIM('indice columnas'!$A$2:$A$100)),'indice columnas'!$B$2:$B$100,""""),
col,IFERROR(MATCH(campo,Referencia!$A$1:$AZ$1,0),0),
fila,IFERROR(MATCH(TO_TEXT(D2372),ARRAYFOR"&amp;"MULA(TO_TEXT(Referencia!$A$2:$A6238)),0),0),
IF(OR(campo="""",campo=""-""),""NO APLICA"",
IF(col=0,""REVISAR EQUIVALENCIA"",
IF(fila=0,""SKU NO ENCONTRADO"",
LET(
valor,INDEX(Referencia!$A$2:$AZ6238,fila,col),
IF(TRIM(TO_TEXT(valor))=TRIM(TO_TEXT(I2372)),"&amp;"
""OK"",
""NO COINCIDE. Valor verdadero: ""&amp;IF(valor="""",""[VACÍO]"",TO_TEXT(valor))
)
))))
),""ERROR EN FÓRMULA""))"),"NO APLICA")</f>
        <v>NO APLICA</v>
      </c>
    </row>
    <row r="2373">
      <c r="A2373" s="83" t="s">
        <v>4078</v>
      </c>
      <c r="B2373" s="83" t="s">
        <v>4079</v>
      </c>
      <c r="C2373" s="81" t="s">
        <v>4086</v>
      </c>
      <c r="D2373" s="83" t="s">
        <v>4706</v>
      </c>
      <c r="E2373" s="81" t="s">
        <v>3359</v>
      </c>
      <c r="F2373" s="84">
        <v>640.0</v>
      </c>
      <c r="G2373" s="81" t="s">
        <v>44</v>
      </c>
      <c r="H2373" s="81" t="s">
        <v>4704</v>
      </c>
      <c r="I2373" s="81" t="s">
        <v>3362</v>
      </c>
      <c r="J2373" s="81" t="s">
        <v>4088</v>
      </c>
      <c r="K2373" s="81" t="str">
        <f>IFERROR(__xludf.DUMMYFUNCTION("IF(OR(D2373="""",G2373=""""),"""",IFERROR(LET(
campo,XLOOKUP(TRIM(G2373),ARRAYFORMULA(TRIM('indice columnas'!$A$2:$A$100)),'indice columnas'!$B$2:$B$100,""""),
col,IFERROR(MATCH(campo,Referencia!$A$1:$AZ$1,0),0),
fila,IFERROR(MATCH(TO_TEXT(D2373),ARRAYFOR"&amp;"MULA(TO_TEXT(Referencia!$A$2:$A6238)),0),0),
IF(OR(campo="""",campo=""-""),""NO APLICA"",
IF(col=0,""REVISAR EQUIVALENCIA"",
IF(fila=0,""SKU NO ENCONTRADO"",
LET(
valor,INDEX(Referencia!$A$2:$AZ6238,fila,col),
IF(TRIM(TO_TEXT(valor))=TRIM(TO_TEXT(I2373)),"&amp;"
""OK"",
""NO COINCIDE. Valor verdadero: ""&amp;IF(valor="""",""[VACÍO]"",TO_TEXT(valor))
)
))))
),""ERROR EN FÓRMULA""))"),"NO APLICA")</f>
        <v>NO APLICA</v>
      </c>
    </row>
    <row r="2374">
      <c r="A2374" s="83" t="s">
        <v>4078</v>
      </c>
      <c r="B2374" s="83" t="s">
        <v>4079</v>
      </c>
      <c r="C2374" s="81" t="s">
        <v>4086</v>
      </c>
      <c r="D2374" s="83" t="s">
        <v>4707</v>
      </c>
      <c r="E2374" s="81" t="s">
        <v>3362</v>
      </c>
      <c r="F2374" s="84">
        <v>641.0</v>
      </c>
      <c r="G2374" s="81" t="s">
        <v>44</v>
      </c>
      <c r="H2374" s="81" t="s">
        <v>4708</v>
      </c>
      <c r="I2374" s="81" t="s">
        <v>3362</v>
      </c>
      <c r="J2374" s="81" t="s">
        <v>4088</v>
      </c>
      <c r="K2374" s="81" t="str">
        <f>IFERROR(__xludf.DUMMYFUNCTION("IF(OR(D2374="""",G2374=""""),"""",IFERROR(LET(
campo,XLOOKUP(TRIM(G2374),ARRAYFORMULA(TRIM('indice columnas'!$A$2:$A$100)),'indice columnas'!$B$2:$B$100,""""),
col,IFERROR(MATCH(campo,Referencia!$A$1:$AZ$1,0),0),
fila,IFERROR(MATCH(TO_TEXT(D2374),ARRAYFOR"&amp;"MULA(TO_TEXT(Referencia!$A$2:$A6238)),0),0),
IF(OR(campo="""",campo=""-""),""NO APLICA"",
IF(col=0,""REVISAR EQUIVALENCIA"",
IF(fila=0,""SKU NO ENCONTRADO"",
LET(
valor,INDEX(Referencia!$A$2:$AZ6238,fila,col),
IF(TRIM(TO_TEXT(valor))=TRIM(TO_TEXT(I2374)),"&amp;"
""OK"",
""NO COINCIDE. Valor verdadero: ""&amp;IF(valor="""",""[VACÍO]"",TO_TEXT(valor))
)
))))
),""ERROR EN FÓRMULA""))"),"NO APLICA")</f>
        <v>NO APLICA</v>
      </c>
    </row>
    <row r="2375">
      <c r="A2375" s="83" t="s">
        <v>4078</v>
      </c>
      <c r="B2375" s="83" t="s">
        <v>4079</v>
      </c>
      <c r="C2375" s="81" t="s">
        <v>4086</v>
      </c>
      <c r="D2375" s="83" t="s">
        <v>4707</v>
      </c>
      <c r="E2375" s="81" t="s">
        <v>3369</v>
      </c>
      <c r="F2375" s="84">
        <v>642.0</v>
      </c>
      <c r="G2375" s="81" t="s">
        <v>44</v>
      </c>
      <c r="H2375" s="81" t="s">
        <v>4708</v>
      </c>
      <c r="I2375" s="81" t="s">
        <v>3362</v>
      </c>
      <c r="J2375" s="81" t="s">
        <v>4088</v>
      </c>
      <c r="K2375" s="81" t="str">
        <f>IFERROR(__xludf.DUMMYFUNCTION("IF(OR(D2375="""",G2375=""""),"""",IFERROR(LET(
campo,XLOOKUP(TRIM(G2375),ARRAYFORMULA(TRIM('indice columnas'!$A$2:$A$100)),'indice columnas'!$B$2:$B$100,""""),
col,IFERROR(MATCH(campo,Referencia!$A$1:$AZ$1,0),0),
fila,IFERROR(MATCH(TO_TEXT(D2375),ARRAYFOR"&amp;"MULA(TO_TEXT(Referencia!$A$2:$A6238)),0),0),
IF(OR(campo="""",campo=""-""),""NO APLICA"",
IF(col=0,""REVISAR EQUIVALENCIA"",
IF(fila=0,""SKU NO ENCONTRADO"",
LET(
valor,INDEX(Referencia!$A$2:$AZ6238,fila,col),
IF(TRIM(TO_TEXT(valor))=TRIM(TO_TEXT(I2375)),"&amp;"
""OK"",
""NO COINCIDE. Valor verdadero: ""&amp;IF(valor="""",""[VACÍO]"",TO_TEXT(valor))
)
))))
),""ERROR EN FÓRMULA""))"),"NO APLICA")</f>
        <v>NO APLICA</v>
      </c>
    </row>
    <row r="2376">
      <c r="A2376" s="83" t="s">
        <v>4078</v>
      </c>
      <c r="B2376" s="83" t="s">
        <v>4079</v>
      </c>
      <c r="C2376" s="81" t="s">
        <v>4086</v>
      </c>
      <c r="D2376" s="83" t="s">
        <v>4709</v>
      </c>
      <c r="E2376" s="81" t="s">
        <v>3370</v>
      </c>
      <c r="F2376" s="84">
        <v>643.0</v>
      </c>
      <c r="G2376" s="81" t="s">
        <v>44</v>
      </c>
      <c r="H2376" s="81" t="s">
        <v>4708</v>
      </c>
      <c r="I2376" s="81" t="s">
        <v>3362</v>
      </c>
      <c r="J2376" s="81" t="s">
        <v>4088</v>
      </c>
      <c r="K2376" s="81" t="str">
        <f>IFERROR(__xludf.DUMMYFUNCTION("IF(OR(D2376="""",G2376=""""),"""",IFERROR(LET(
campo,XLOOKUP(TRIM(G2376),ARRAYFORMULA(TRIM('indice columnas'!$A$2:$A$100)),'indice columnas'!$B$2:$B$100,""""),
col,IFERROR(MATCH(campo,Referencia!$A$1:$AZ$1,0),0),
fila,IFERROR(MATCH(TO_TEXT(D2376),ARRAYFOR"&amp;"MULA(TO_TEXT(Referencia!$A$2:$A6238)),0),0),
IF(OR(campo="""",campo=""-""),""NO APLICA"",
IF(col=0,""REVISAR EQUIVALENCIA"",
IF(fila=0,""SKU NO ENCONTRADO"",
LET(
valor,INDEX(Referencia!$A$2:$AZ6238,fila,col),
IF(TRIM(TO_TEXT(valor))=TRIM(TO_TEXT(I2376)),"&amp;"
""OK"",
""NO COINCIDE. Valor verdadero: ""&amp;IF(valor="""",""[VACÍO]"",TO_TEXT(valor))
)
))))
),""ERROR EN FÓRMULA""))"),"NO APLICA")</f>
        <v>NO APLICA</v>
      </c>
    </row>
    <row r="2377">
      <c r="A2377" s="83" t="s">
        <v>4078</v>
      </c>
      <c r="B2377" s="83" t="s">
        <v>4079</v>
      </c>
      <c r="C2377" s="81" t="s">
        <v>4086</v>
      </c>
      <c r="D2377" s="83" t="s">
        <v>4710</v>
      </c>
      <c r="E2377" s="81" t="s">
        <v>3372</v>
      </c>
      <c r="F2377" s="84">
        <v>644.0</v>
      </c>
      <c r="G2377" s="81" t="s">
        <v>44</v>
      </c>
      <c r="H2377" s="81" t="s">
        <v>4708</v>
      </c>
      <c r="I2377" s="81" t="s">
        <v>3362</v>
      </c>
      <c r="J2377" s="81" t="s">
        <v>4088</v>
      </c>
      <c r="K2377" s="81" t="str">
        <f>IFERROR(__xludf.DUMMYFUNCTION("IF(OR(D2377="""",G2377=""""),"""",IFERROR(LET(
campo,XLOOKUP(TRIM(G2377),ARRAYFORMULA(TRIM('indice columnas'!$A$2:$A$100)),'indice columnas'!$B$2:$B$100,""""),
col,IFERROR(MATCH(campo,Referencia!$A$1:$AZ$1,0),0),
fila,IFERROR(MATCH(TO_TEXT(D2377),ARRAYFOR"&amp;"MULA(TO_TEXT(Referencia!$A$2:$A6238)),0),0),
IF(OR(campo="""",campo=""-""),""NO APLICA"",
IF(col=0,""REVISAR EQUIVALENCIA"",
IF(fila=0,""SKU NO ENCONTRADO"",
LET(
valor,INDEX(Referencia!$A$2:$AZ6238,fila,col),
IF(TRIM(TO_TEXT(valor))=TRIM(TO_TEXT(I2377)),"&amp;"
""OK"",
""NO COINCIDE. Valor verdadero: ""&amp;IF(valor="""",""[VACÍO]"",TO_TEXT(valor))
)
))))
),""ERROR EN FÓRMULA""))"),"NO APLICA")</f>
        <v>NO APLICA</v>
      </c>
    </row>
    <row r="2378">
      <c r="A2378" s="83" t="s">
        <v>4078</v>
      </c>
      <c r="B2378" s="83" t="s">
        <v>4079</v>
      </c>
      <c r="C2378" s="81" t="s">
        <v>4086</v>
      </c>
      <c r="D2378" s="83" t="s">
        <v>4711</v>
      </c>
      <c r="E2378" s="81" t="s">
        <v>3375</v>
      </c>
      <c r="F2378" s="84">
        <v>645.0</v>
      </c>
      <c r="G2378" s="81" t="s">
        <v>44</v>
      </c>
      <c r="H2378" s="81" t="s">
        <v>4712</v>
      </c>
      <c r="I2378" s="81" t="s">
        <v>3375</v>
      </c>
      <c r="J2378" s="81" t="s">
        <v>4088</v>
      </c>
      <c r="K2378" s="81" t="str">
        <f>IFERROR(__xludf.DUMMYFUNCTION("IF(OR(D2378="""",G2378=""""),"""",IFERROR(LET(
campo,XLOOKUP(TRIM(G2378),ARRAYFORMULA(TRIM('indice columnas'!$A$2:$A$100)),'indice columnas'!$B$2:$B$100,""""),
col,IFERROR(MATCH(campo,Referencia!$A$1:$AZ$1,0),0),
fila,IFERROR(MATCH(TO_TEXT(D2378),ARRAYFOR"&amp;"MULA(TO_TEXT(Referencia!$A$2:$A6238)),0),0),
IF(OR(campo="""",campo=""-""),""NO APLICA"",
IF(col=0,""REVISAR EQUIVALENCIA"",
IF(fila=0,""SKU NO ENCONTRADO"",
LET(
valor,INDEX(Referencia!$A$2:$AZ6238,fila,col),
IF(TRIM(TO_TEXT(valor))=TRIM(TO_TEXT(I2378)),"&amp;"
""OK"",
""NO COINCIDE. Valor verdadero: ""&amp;IF(valor="""",""[VACÍO]"",TO_TEXT(valor))
)
))))
),""ERROR EN FÓRMULA""))"),"NO APLICA")</f>
        <v>NO APLICA</v>
      </c>
    </row>
    <row r="2379">
      <c r="A2379" s="83" t="s">
        <v>4078</v>
      </c>
      <c r="B2379" s="83" t="s">
        <v>4079</v>
      </c>
      <c r="C2379" s="81" t="s">
        <v>4086</v>
      </c>
      <c r="D2379" s="83" t="s">
        <v>4711</v>
      </c>
      <c r="E2379" s="81" t="s">
        <v>3389</v>
      </c>
      <c r="F2379" s="84">
        <v>646.0</v>
      </c>
      <c r="G2379" s="81" t="s">
        <v>44</v>
      </c>
      <c r="H2379" s="81" t="s">
        <v>4712</v>
      </c>
      <c r="I2379" s="81" t="s">
        <v>3375</v>
      </c>
      <c r="J2379" s="81" t="s">
        <v>4088</v>
      </c>
      <c r="K2379" s="81" t="str">
        <f>IFERROR(__xludf.DUMMYFUNCTION("IF(OR(D2379="""",G2379=""""),"""",IFERROR(LET(
campo,XLOOKUP(TRIM(G2379),ARRAYFORMULA(TRIM('indice columnas'!$A$2:$A$100)),'indice columnas'!$B$2:$B$100,""""),
col,IFERROR(MATCH(campo,Referencia!$A$1:$AZ$1,0),0),
fila,IFERROR(MATCH(TO_TEXT(D2379),ARRAYFOR"&amp;"MULA(TO_TEXT(Referencia!$A$2:$A6238)),0),0),
IF(OR(campo="""",campo=""-""),""NO APLICA"",
IF(col=0,""REVISAR EQUIVALENCIA"",
IF(fila=0,""SKU NO ENCONTRADO"",
LET(
valor,INDEX(Referencia!$A$2:$AZ6238,fila,col),
IF(TRIM(TO_TEXT(valor))=TRIM(TO_TEXT(I2379)),"&amp;"
""OK"",
""NO COINCIDE. Valor verdadero: ""&amp;IF(valor="""",""[VACÍO]"",TO_TEXT(valor))
)
))))
),""ERROR EN FÓRMULA""))"),"NO APLICA")</f>
        <v>NO APLICA</v>
      </c>
    </row>
    <row r="2380">
      <c r="A2380" s="83" t="s">
        <v>4078</v>
      </c>
      <c r="B2380" s="83" t="s">
        <v>4079</v>
      </c>
      <c r="C2380" s="81" t="s">
        <v>4086</v>
      </c>
      <c r="D2380" s="83" t="s">
        <v>4713</v>
      </c>
      <c r="E2380" s="81" t="s">
        <v>3390</v>
      </c>
      <c r="F2380" s="84">
        <v>647.0</v>
      </c>
      <c r="G2380" s="81" t="s">
        <v>44</v>
      </c>
      <c r="H2380" s="81" t="s">
        <v>4714</v>
      </c>
      <c r="I2380" s="81" t="s">
        <v>3375</v>
      </c>
      <c r="J2380" s="81" t="s">
        <v>4088</v>
      </c>
      <c r="K2380" s="81" t="str">
        <f>IFERROR(__xludf.DUMMYFUNCTION("IF(OR(D2380="""",G2380=""""),"""",IFERROR(LET(
campo,XLOOKUP(TRIM(G2380),ARRAYFORMULA(TRIM('indice columnas'!$A$2:$A$100)),'indice columnas'!$B$2:$B$100,""""),
col,IFERROR(MATCH(campo,Referencia!$A$1:$AZ$1,0),0),
fila,IFERROR(MATCH(TO_TEXT(D2380),ARRAYFOR"&amp;"MULA(TO_TEXT(Referencia!$A$2:$A6238)),0),0),
IF(OR(campo="""",campo=""-""),""NO APLICA"",
IF(col=0,""REVISAR EQUIVALENCIA"",
IF(fila=0,""SKU NO ENCONTRADO"",
LET(
valor,INDEX(Referencia!$A$2:$AZ6238,fila,col),
IF(TRIM(TO_TEXT(valor))=TRIM(TO_TEXT(I2380)),"&amp;"
""OK"",
""NO COINCIDE. Valor verdadero: ""&amp;IF(valor="""",""[VACÍO]"",TO_TEXT(valor))
)
))))
),""ERROR EN FÓRMULA""))"),"NO APLICA")</f>
        <v>NO APLICA</v>
      </c>
    </row>
    <row r="2381">
      <c r="A2381" s="83" t="s">
        <v>4078</v>
      </c>
      <c r="B2381" s="83" t="s">
        <v>4079</v>
      </c>
      <c r="C2381" s="81" t="s">
        <v>4086</v>
      </c>
      <c r="D2381" s="83" t="s">
        <v>4715</v>
      </c>
      <c r="E2381" s="81" t="s">
        <v>3402</v>
      </c>
      <c r="F2381" s="84">
        <v>648.0</v>
      </c>
      <c r="G2381" s="81" t="s">
        <v>44</v>
      </c>
      <c r="H2381" s="81" t="s">
        <v>4716</v>
      </c>
      <c r="I2381" s="81" t="s">
        <v>3402</v>
      </c>
      <c r="J2381" s="81" t="s">
        <v>4088</v>
      </c>
      <c r="K2381" s="81" t="str">
        <f>IFERROR(__xludf.DUMMYFUNCTION("IF(OR(D2381="""",G2381=""""),"""",IFERROR(LET(
campo,XLOOKUP(TRIM(G2381),ARRAYFORMULA(TRIM('indice columnas'!$A$2:$A$100)),'indice columnas'!$B$2:$B$100,""""),
col,IFERROR(MATCH(campo,Referencia!$A$1:$AZ$1,0),0),
fila,IFERROR(MATCH(TO_TEXT(D2381),ARRAYFOR"&amp;"MULA(TO_TEXT(Referencia!$A$2:$A6238)),0),0),
IF(OR(campo="""",campo=""-""),""NO APLICA"",
IF(col=0,""REVISAR EQUIVALENCIA"",
IF(fila=0,""SKU NO ENCONTRADO"",
LET(
valor,INDEX(Referencia!$A$2:$AZ6238,fila,col),
IF(TRIM(TO_TEXT(valor))=TRIM(TO_TEXT(I2381)),"&amp;"
""OK"",
""NO COINCIDE. Valor verdadero: ""&amp;IF(valor="""",""[VACÍO]"",TO_TEXT(valor))
)
))))
),""ERROR EN FÓRMULA""))"),"NO APLICA")</f>
        <v>NO APLICA</v>
      </c>
    </row>
    <row r="2382">
      <c r="A2382" s="83" t="s">
        <v>4078</v>
      </c>
      <c r="B2382" s="83" t="s">
        <v>4079</v>
      </c>
      <c r="C2382" s="81" t="s">
        <v>4086</v>
      </c>
      <c r="D2382" s="83" t="s">
        <v>4717</v>
      </c>
      <c r="E2382" s="81" t="s">
        <v>3414</v>
      </c>
      <c r="F2382" s="84">
        <v>649.0</v>
      </c>
      <c r="G2382" s="81" t="s">
        <v>44</v>
      </c>
      <c r="H2382" s="81" t="s">
        <v>4718</v>
      </c>
      <c r="I2382" s="81" t="s">
        <v>3414</v>
      </c>
      <c r="J2382" s="81" t="s">
        <v>4088</v>
      </c>
      <c r="K2382" s="81" t="str">
        <f>IFERROR(__xludf.DUMMYFUNCTION("IF(OR(D2382="""",G2382=""""),"""",IFERROR(LET(
campo,XLOOKUP(TRIM(G2382),ARRAYFORMULA(TRIM('indice columnas'!$A$2:$A$100)),'indice columnas'!$B$2:$B$100,""""),
col,IFERROR(MATCH(campo,Referencia!$A$1:$AZ$1,0),0),
fila,IFERROR(MATCH(TO_TEXT(D2382),ARRAYFOR"&amp;"MULA(TO_TEXT(Referencia!$A$2:$A6238)),0),0),
IF(OR(campo="""",campo=""-""),""NO APLICA"",
IF(col=0,""REVISAR EQUIVALENCIA"",
IF(fila=0,""SKU NO ENCONTRADO"",
LET(
valor,INDEX(Referencia!$A$2:$AZ6238,fila,col),
IF(TRIM(TO_TEXT(valor))=TRIM(TO_TEXT(I2382)),"&amp;"
""OK"",
""NO COINCIDE. Valor verdadero: ""&amp;IF(valor="""",""[VACÍO]"",TO_TEXT(valor))
)
))))
),""ERROR EN FÓRMULA""))"),"NO APLICA")</f>
        <v>NO APLICA</v>
      </c>
    </row>
    <row r="2383">
      <c r="A2383" s="83" t="s">
        <v>4078</v>
      </c>
      <c r="B2383" s="83" t="s">
        <v>4079</v>
      </c>
      <c r="C2383" s="81" t="s">
        <v>4086</v>
      </c>
      <c r="D2383" s="83" t="s">
        <v>4719</v>
      </c>
      <c r="E2383" s="81" t="s">
        <v>3427</v>
      </c>
      <c r="F2383" s="84">
        <v>650.0</v>
      </c>
      <c r="G2383" s="81" t="s">
        <v>44</v>
      </c>
      <c r="H2383" s="81" t="s">
        <v>4720</v>
      </c>
      <c r="I2383" s="81" t="s">
        <v>3427</v>
      </c>
      <c r="J2383" s="81" t="s">
        <v>4088</v>
      </c>
      <c r="K2383" s="81" t="str">
        <f>IFERROR(__xludf.DUMMYFUNCTION("IF(OR(D2383="""",G2383=""""),"""",IFERROR(LET(
campo,XLOOKUP(TRIM(G2383),ARRAYFORMULA(TRIM('indice columnas'!$A$2:$A$100)),'indice columnas'!$B$2:$B$100,""""),
col,IFERROR(MATCH(campo,Referencia!$A$1:$AZ$1,0),0),
fila,IFERROR(MATCH(TO_TEXT(D2383),ARRAYFOR"&amp;"MULA(TO_TEXT(Referencia!$A$2:$A6238)),0),0),
IF(OR(campo="""",campo=""-""),""NO APLICA"",
IF(col=0,""REVISAR EQUIVALENCIA"",
IF(fila=0,""SKU NO ENCONTRADO"",
LET(
valor,INDEX(Referencia!$A$2:$AZ6238,fila,col),
IF(TRIM(TO_TEXT(valor))=TRIM(TO_TEXT(I2383)),"&amp;"
""OK"",
""NO COINCIDE. Valor verdadero: ""&amp;IF(valor="""",""[VACÍO]"",TO_TEXT(valor))
)
))))
),""ERROR EN FÓRMULA""))"),"NO APLICA")</f>
        <v>NO APLICA</v>
      </c>
    </row>
    <row r="2384">
      <c r="A2384" s="83" t="s">
        <v>4078</v>
      </c>
      <c r="B2384" s="83" t="s">
        <v>4079</v>
      </c>
      <c r="C2384" s="81" t="s">
        <v>4086</v>
      </c>
      <c r="D2384" s="83" t="s">
        <v>4721</v>
      </c>
      <c r="E2384" s="81" t="s">
        <v>3439</v>
      </c>
      <c r="F2384" s="84">
        <v>651.0</v>
      </c>
      <c r="G2384" s="81" t="s">
        <v>44</v>
      </c>
      <c r="H2384" s="81" t="s">
        <v>4722</v>
      </c>
      <c r="I2384" s="81" t="s">
        <v>3439</v>
      </c>
      <c r="J2384" s="81" t="s">
        <v>4088</v>
      </c>
      <c r="K2384" s="81" t="str">
        <f>IFERROR(__xludf.DUMMYFUNCTION("IF(OR(D2384="""",G2384=""""),"""",IFERROR(LET(
campo,XLOOKUP(TRIM(G2384),ARRAYFORMULA(TRIM('indice columnas'!$A$2:$A$100)),'indice columnas'!$B$2:$B$100,""""),
col,IFERROR(MATCH(campo,Referencia!$A$1:$AZ$1,0),0),
fila,IFERROR(MATCH(TO_TEXT(D2384),ARRAYFOR"&amp;"MULA(TO_TEXT(Referencia!$A$2:$A6238)),0),0),
IF(OR(campo="""",campo=""-""),""NO APLICA"",
IF(col=0,""REVISAR EQUIVALENCIA"",
IF(fila=0,""SKU NO ENCONTRADO"",
LET(
valor,INDEX(Referencia!$A$2:$AZ6238,fila,col),
IF(TRIM(TO_TEXT(valor))=TRIM(TO_TEXT(I2384)),"&amp;"
""OK"",
""NO COINCIDE. Valor verdadero: ""&amp;IF(valor="""",""[VACÍO]"",TO_TEXT(valor))
)
))))
),""ERROR EN FÓRMULA""))"),"NO APLICA")</f>
        <v>NO APLICA</v>
      </c>
    </row>
    <row r="2385">
      <c r="A2385" s="83" t="s">
        <v>4078</v>
      </c>
      <c r="B2385" s="83" t="s">
        <v>4079</v>
      </c>
      <c r="C2385" s="81" t="s">
        <v>4086</v>
      </c>
      <c r="D2385" s="83" t="s">
        <v>4721</v>
      </c>
      <c r="E2385" s="81" t="s">
        <v>3451</v>
      </c>
      <c r="F2385" s="84">
        <v>652.0</v>
      </c>
      <c r="G2385" s="81" t="s">
        <v>44</v>
      </c>
      <c r="H2385" s="81" t="s">
        <v>4722</v>
      </c>
      <c r="I2385" s="81" t="s">
        <v>3439</v>
      </c>
      <c r="J2385" s="81" t="s">
        <v>4088</v>
      </c>
      <c r="K2385" s="81" t="str">
        <f>IFERROR(__xludf.DUMMYFUNCTION("IF(OR(D2385="""",G2385=""""),"""",IFERROR(LET(
campo,XLOOKUP(TRIM(G2385),ARRAYFORMULA(TRIM('indice columnas'!$A$2:$A$100)),'indice columnas'!$B$2:$B$100,""""),
col,IFERROR(MATCH(campo,Referencia!$A$1:$AZ$1,0),0),
fila,IFERROR(MATCH(TO_TEXT(D2385),ARRAYFOR"&amp;"MULA(TO_TEXT(Referencia!$A$2:$A6238)),0),0),
IF(OR(campo="""",campo=""-""),""NO APLICA"",
IF(col=0,""REVISAR EQUIVALENCIA"",
IF(fila=0,""SKU NO ENCONTRADO"",
LET(
valor,INDEX(Referencia!$A$2:$AZ6238,fila,col),
IF(TRIM(TO_TEXT(valor))=TRIM(TO_TEXT(I2385)),"&amp;"
""OK"",
""NO COINCIDE. Valor verdadero: ""&amp;IF(valor="""",""[VACÍO]"",TO_TEXT(valor))
)
))))
),""ERROR EN FÓRMULA""))"),"NO APLICA")</f>
        <v>NO APLICA</v>
      </c>
    </row>
    <row r="2386">
      <c r="A2386" s="83" t="s">
        <v>4078</v>
      </c>
      <c r="B2386" s="83" t="s">
        <v>4079</v>
      </c>
      <c r="C2386" s="81" t="s">
        <v>4086</v>
      </c>
      <c r="D2386" s="83" t="s">
        <v>4723</v>
      </c>
      <c r="E2386" s="81" t="s">
        <v>3452</v>
      </c>
      <c r="F2386" s="84">
        <v>653.0</v>
      </c>
      <c r="G2386" s="81" t="s">
        <v>44</v>
      </c>
      <c r="H2386" s="81" t="s">
        <v>4722</v>
      </c>
      <c r="I2386" s="81" t="s">
        <v>3439</v>
      </c>
      <c r="J2386" s="81" t="s">
        <v>4088</v>
      </c>
      <c r="K2386" s="81" t="str">
        <f>IFERROR(__xludf.DUMMYFUNCTION("IF(OR(D2386="""",G2386=""""),"""",IFERROR(LET(
campo,XLOOKUP(TRIM(G2386),ARRAYFORMULA(TRIM('indice columnas'!$A$2:$A$100)),'indice columnas'!$B$2:$B$100,""""),
col,IFERROR(MATCH(campo,Referencia!$A$1:$AZ$1,0),0),
fila,IFERROR(MATCH(TO_TEXT(D2386),ARRAYFOR"&amp;"MULA(TO_TEXT(Referencia!$A$2:$A6238)),0),0),
IF(OR(campo="""",campo=""-""),""NO APLICA"",
IF(col=0,""REVISAR EQUIVALENCIA"",
IF(fila=0,""SKU NO ENCONTRADO"",
LET(
valor,INDEX(Referencia!$A$2:$AZ6238,fila,col),
IF(TRIM(TO_TEXT(valor))=TRIM(TO_TEXT(I2386)),"&amp;"
""OK"",
""NO COINCIDE. Valor verdadero: ""&amp;IF(valor="""",""[VACÍO]"",TO_TEXT(valor))
)
))))
),""ERROR EN FÓRMULA""))"),"NO APLICA")</f>
        <v>NO APLICA</v>
      </c>
    </row>
    <row r="2387">
      <c r="A2387" s="83" t="s">
        <v>4078</v>
      </c>
      <c r="B2387" s="83" t="s">
        <v>4079</v>
      </c>
      <c r="C2387" s="81" t="s">
        <v>4086</v>
      </c>
      <c r="D2387" s="83" t="s">
        <v>4724</v>
      </c>
      <c r="E2387" s="81" t="s">
        <v>3462</v>
      </c>
      <c r="F2387" s="84">
        <v>654.0</v>
      </c>
      <c r="G2387" s="81" t="s">
        <v>44</v>
      </c>
      <c r="H2387" s="81" t="s">
        <v>4725</v>
      </c>
      <c r="I2387" s="81" t="s">
        <v>3462</v>
      </c>
      <c r="J2387" s="81" t="s">
        <v>4088</v>
      </c>
      <c r="K2387" s="81" t="str">
        <f>IFERROR(__xludf.DUMMYFUNCTION("IF(OR(D2387="""",G2387=""""),"""",IFERROR(LET(
campo,XLOOKUP(TRIM(G2387),ARRAYFORMULA(TRIM('indice columnas'!$A$2:$A$100)),'indice columnas'!$B$2:$B$100,""""),
col,IFERROR(MATCH(campo,Referencia!$A$1:$AZ$1,0),0),
fila,IFERROR(MATCH(TO_TEXT(D2387),ARRAYFOR"&amp;"MULA(TO_TEXT(Referencia!$A$2:$A6238)),0),0),
IF(OR(campo="""",campo=""-""),""NO APLICA"",
IF(col=0,""REVISAR EQUIVALENCIA"",
IF(fila=0,""SKU NO ENCONTRADO"",
LET(
valor,INDEX(Referencia!$A$2:$AZ6238,fila,col),
IF(TRIM(TO_TEXT(valor))=TRIM(TO_TEXT(I2387)),"&amp;"
""OK"",
""NO COINCIDE. Valor verdadero: ""&amp;IF(valor="""",""[VACÍO]"",TO_TEXT(valor))
)
))))
),""ERROR EN FÓRMULA""))"),"NO APLICA")</f>
        <v>NO APLICA</v>
      </c>
    </row>
    <row r="2388">
      <c r="A2388" s="83" t="s">
        <v>4078</v>
      </c>
      <c r="B2388" s="83" t="s">
        <v>4079</v>
      </c>
      <c r="C2388" s="81" t="s">
        <v>4086</v>
      </c>
      <c r="D2388" s="83" t="s">
        <v>4724</v>
      </c>
      <c r="E2388" s="81" t="s">
        <v>3473</v>
      </c>
      <c r="F2388" s="84">
        <v>655.0</v>
      </c>
      <c r="G2388" s="81" t="s">
        <v>44</v>
      </c>
      <c r="H2388" s="81" t="s">
        <v>4725</v>
      </c>
      <c r="I2388" s="81" t="s">
        <v>3462</v>
      </c>
      <c r="J2388" s="81" t="s">
        <v>4088</v>
      </c>
      <c r="K2388" s="81" t="str">
        <f>IFERROR(__xludf.DUMMYFUNCTION("IF(OR(D2388="""",G2388=""""),"""",IFERROR(LET(
campo,XLOOKUP(TRIM(G2388),ARRAYFORMULA(TRIM('indice columnas'!$A$2:$A$100)),'indice columnas'!$B$2:$B$100,""""),
col,IFERROR(MATCH(campo,Referencia!$A$1:$AZ$1,0),0),
fila,IFERROR(MATCH(TO_TEXT(D2388),ARRAYFOR"&amp;"MULA(TO_TEXT(Referencia!$A$2:$A6238)),0),0),
IF(OR(campo="""",campo=""-""),""NO APLICA"",
IF(col=0,""REVISAR EQUIVALENCIA"",
IF(fila=0,""SKU NO ENCONTRADO"",
LET(
valor,INDEX(Referencia!$A$2:$AZ6238,fila,col),
IF(TRIM(TO_TEXT(valor))=TRIM(TO_TEXT(I2388)),"&amp;"
""OK"",
""NO COINCIDE. Valor verdadero: ""&amp;IF(valor="""",""[VACÍO]"",TO_TEXT(valor))
)
))))
),""ERROR EN FÓRMULA""))"),"NO APLICA")</f>
        <v>NO APLICA</v>
      </c>
    </row>
    <row r="2389">
      <c r="A2389" s="83" t="s">
        <v>4078</v>
      </c>
      <c r="B2389" s="83" t="s">
        <v>4079</v>
      </c>
      <c r="C2389" s="81" t="s">
        <v>4086</v>
      </c>
      <c r="D2389" s="83" t="s">
        <v>4726</v>
      </c>
      <c r="E2389" s="81" t="s">
        <v>3474</v>
      </c>
      <c r="F2389" s="84">
        <v>656.0</v>
      </c>
      <c r="G2389" s="81" t="s">
        <v>44</v>
      </c>
      <c r="H2389" s="81" t="s">
        <v>4725</v>
      </c>
      <c r="I2389" s="81" t="s">
        <v>3462</v>
      </c>
      <c r="J2389" s="81" t="s">
        <v>4088</v>
      </c>
      <c r="K2389" s="81" t="str">
        <f>IFERROR(__xludf.DUMMYFUNCTION("IF(OR(D2389="""",G2389=""""),"""",IFERROR(LET(
campo,XLOOKUP(TRIM(G2389),ARRAYFORMULA(TRIM('indice columnas'!$A$2:$A$100)),'indice columnas'!$B$2:$B$100,""""),
col,IFERROR(MATCH(campo,Referencia!$A$1:$AZ$1,0),0),
fila,IFERROR(MATCH(TO_TEXT(D2389),ARRAYFOR"&amp;"MULA(TO_TEXT(Referencia!$A$2:$A6238)),0),0),
IF(OR(campo="""",campo=""-""),""NO APLICA"",
IF(col=0,""REVISAR EQUIVALENCIA"",
IF(fila=0,""SKU NO ENCONTRADO"",
LET(
valor,INDEX(Referencia!$A$2:$AZ6238,fila,col),
IF(TRIM(TO_TEXT(valor))=TRIM(TO_TEXT(I2389)),"&amp;"
""OK"",
""NO COINCIDE. Valor verdadero: ""&amp;IF(valor="""",""[VACÍO]"",TO_TEXT(valor))
)
))))
),""ERROR EN FÓRMULA""))"),"NO APLICA")</f>
        <v>NO APLICA</v>
      </c>
    </row>
    <row r="2390">
      <c r="A2390" s="83" t="s">
        <v>4078</v>
      </c>
      <c r="B2390" s="83" t="s">
        <v>4079</v>
      </c>
      <c r="C2390" s="81" t="s">
        <v>4086</v>
      </c>
      <c r="D2390" s="83" t="s">
        <v>4727</v>
      </c>
      <c r="E2390" s="81" t="s">
        <v>3483</v>
      </c>
      <c r="F2390" s="84">
        <v>657.0</v>
      </c>
      <c r="G2390" s="81" t="s">
        <v>44</v>
      </c>
      <c r="H2390" s="81" t="s">
        <v>4728</v>
      </c>
      <c r="I2390" s="81" t="s">
        <v>3483</v>
      </c>
      <c r="J2390" s="81" t="s">
        <v>4088</v>
      </c>
      <c r="K2390" s="81" t="str">
        <f>IFERROR(__xludf.DUMMYFUNCTION("IF(OR(D2390="""",G2390=""""),"""",IFERROR(LET(
campo,XLOOKUP(TRIM(G2390),ARRAYFORMULA(TRIM('indice columnas'!$A$2:$A$100)),'indice columnas'!$B$2:$B$100,""""),
col,IFERROR(MATCH(campo,Referencia!$A$1:$AZ$1,0),0),
fila,IFERROR(MATCH(TO_TEXT(D2390),ARRAYFOR"&amp;"MULA(TO_TEXT(Referencia!$A$2:$A6238)),0),0),
IF(OR(campo="""",campo=""-""),""NO APLICA"",
IF(col=0,""REVISAR EQUIVALENCIA"",
IF(fila=0,""SKU NO ENCONTRADO"",
LET(
valor,INDEX(Referencia!$A$2:$AZ6238,fila,col),
IF(TRIM(TO_TEXT(valor))=TRIM(TO_TEXT(I2390)),"&amp;"
""OK"",
""NO COINCIDE. Valor verdadero: ""&amp;IF(valor="""",""[VACÍO]"",TO_TEXT(valor))
)
))))
),""ERROR EN FÓRMULA""))"),"NO APLICA")</f>
        <v>NO APLICA</v>
      </c>
    </row>
    <row r="2391">
      <c r="A2391" s="83" t="s">
        <v>4078</v>
      </c>
      <c r="B2391" s="83" t="s">
        <v>4079</v>
      </c>
      <c r="C2391" s="81" t="s">
        <v>4086</v>
      </c>
      <c r="D2391" s="83" t="s">
        <v>4727</v>
      </c>
      <c r="E2391" s="81" t="s">
        <v>3496</v>
      </c>
      <c r="F2391" s="84">
        <v>658.0</v>
      </c>
      <c r="G2391" s="81" t="s">
        <v>7</v>
      </c>
      <c r="H2391" s="81" t="s">
        <v>53</v>
      </c>
      <c r="I2391" s="81" t="s">
        <v>1134</v>
      </c>
      <c r="J2391" s="81" t="s">
        <v>224</v>
      </c>
      <c r="K2391" s="81" t="str">
        <f>IFERROR(__xludf.DUMMYFUNCTION("IF(OR(D2391="""",G2391=""""),"""",IFERROR(LET(
campo,XLOOKUP(TRIM(G2391),ARRAYFORMULA(TRIM('indice columnas'!$A$2:$A$100)),'indice columnas'!$B$2:$B$100,""""),
col,IFERROR(MATCH(campo,Referencia!$A$1:$AZ$1,0),0),
fila,IFERROR(MATCH(TO_TEXT(D2391),ARRAYFOR"&amp;"MULA(TO_TEXT(Referencia!$A$2:$A6238)),0),0),
IF(OR(campo="""",campo=""-""),""NO APLICA"",
IF(col=0,""REVISAR EQUIVALENCIA"",
IF(fila=0,""SKU NO ENCONTRADO"",
LET(
valor,INDEX(Referencia!$A$2:$AZ6238,fila,col),
IF(TRIM(TO_TEXT(valor))=TRIM(TO_TEXT(I2391)),"&amp;"
""OK"",
""NO COINCIDE. Valor verdadero: ""&amp;IF(valor="""",""[VACÍO]"",TO_TEXT(valor))
)
))))
),""ERROR EN FÓRMULA""))"),"REVISAR EQUIVALENCIA")</f>
        <v>REVISAR EQUIVALENCIA</v>
      </c>
    </row>
    <row r="2392">
      <c r="A2392" s="83" t="s">
        <v>4078</v>
      </c>
      <c r="B2392" s="83" t="s">
        <v>4079</v>
      </c>
      <c r="C2392" s="81" t="s">
        <v>4086</v>
      </c>
      <c r="D2392" s="83" t="s">
        <v>4727</v>
      </c>
      <c r="E2392" s="81" t="s">
        <v>3496</v>
      </c>
      <c r="F2392" s="84">
        <v>658.0</v>
      </c>
      <c r="G2392" s="81" t="s">
        <v>44</v>
      </c>
      <c r="H2392" s="81" t="s">
        <v>4728</v>
      </c>
      <c r="I2392" s="81" t="s">
        <v>3483</v>
      </c>
      <c r="J2392" s="81" t="s">
        <v>4088</v>
      </c>
      <c r="K2392" s="81" t="str">
        <f>IFERROR(__xludf.DUMMYFUNCTION("IF(OR(D2392="""",G2392=""""),"""",IFERROR(LET(
campo,XLOOKUP(TRIM(G2392),ARRAYFORMULA(TRIM('indice columnas'!$A$2:$A$100)),'indice columnas'!$B$2:$B$100,""""),
col,IFERROR(MATCH(campo,Referencia!$A$1:$AZ$1,0),0),
fila,IFERROR(MATCH(TO_TEXT(D2392),ARRAYFOR"&amp;"MULA(TO_TEXT(Referencia!$A$2:$A6238)),0),0),
IF(OR(campo="""",campo=""-""),""NO APLICA"",
IF(col=0,""REVISAR EQUIVALENCIA"",
IF(fila=0,""SKU NO ENCONTRADO"",
LET(
valor,INDEX(Referencia!$A$2:$AZ6238,fila,col),
IF(TRIM(TO_TEXT(valor))=TRIM(TO_TEXT(I2392)),"&amp;"
""OK"",
""NO COINCIDE. Valor verdadero: ""&amp;IF(valor="""",""[VACÍO]"",TO_TEXT(valor))
)
))))
),""ERROR EN FÓRMULA""))"),"NO APLICA")</f>
        <v>NO APLICA</v>
      </c>
    </row>
    <row r="2393">
      <c r="A2393" s="83" t="s">
        <v>4078</v>
      </c>
      <c r="B2393" s="83" t="s">
        <v>4079</v>
      </c>
      <c r="C2393" s="81" t="s">
        <v>4086</v>
      </c>
      <c r="D2393" s="83" t="s">
        <v>4729</v>
      </c>
      <c r="E2393" s="81" t="s">
        <v>3497</v>
      </c>
      <c r="F2393" s="84">
        <v>659.0</v>
      </c>
      <c r="G2393" s="81" t="s">
        <v>7</v>
      </c>
      <c r="H2393" s="81" t="s">
        <v>53</v>
      </c>
      <c r="I2393" s="81" t="s">
        <v>1134</v>
      </c>
      <c r="J2393" s="81" t="s">
        <v>224</v>
      </c>
      <c r="K2393" s="81" t="str">
        <f>IFERROR(__xludf.DUMMYFUNCTION("IF(OR(D2393="""",G2393=""""),"""",IFERROR(LET(
campo,XLOOKUP(TRIM(G2393),ARRAYFORMULA(TRIM('indice columnas'!$A$2:$A$100)),'indice columnas'!$B$2:$B$100,""""),
col,IFERROR(MATCH(campo,Referencia!$A$1:$AZ$1,0),0),
fila,IFERROR(MATCH(TO_TEXT(D2393),ARRAYFOR"&amp;"MULA(TO_TEXT(Referencia!$A$2:$A6238)),0),0),
IF(OR(campo="""",campo=""-""),""NO APLICA"",
IF(col=0,""REVISAR EQUIVALENCIA"",
IF(fila=0,""SKU NO ENCONTRADO"",
LET(
valor,INDEX(Referencia!$A$2:$AZ6238,fila,col),
IF(TRIM(TO_TEXT(valor))=TRIM(TO_TEXT(I2393)),"&amp;"
""OK"",
""NO COINCIDE. Valor verdadero: ""&amp;IF(valor="""",""[VACÍO]"",TO_TEXT(valor))
)
))))
),""ERROR EN FÓRMULA""))"),"REVISAR EQUIVALENCIA")</f>
        <v>REVISAR EQUIVALENCIA</v>
      </c>
    </row>
    <row r="2394">
      <c r="A2394" s="83" t="s">
        <v>4078</v>
      </c>
      <c r="B2394" s="83" t="s">
        <v>4079</v>
      </c>
      <c r="C2394" s="81" t="s">
        <v>4086</v>
      </c>
      <c r="D2394" s="83" t="s">
        <v>4729</v>
      </c>
      <c r="E2394" s="81" t="s">
        <v>3497</v>
      </c>
      <c r="F2394" s="84">
        <v>659.0</v>
      </c>
      <c r="G2394" s="81" t="s">
        <v>44</v>
      </c>
      <c r="H2394" s="81" t="s">
        <v>4728</v>
      </c>
      <c r="I2394" s="81" t="s">
        <v>3483</v>
      </c>
      <c r="J2394" s="81" t="s">
        <v>4088</v>
      </c>
      <c r="K2394" s="81" t="str">
        <f>IFERROR(__xludf.DUMMYFUNCTION("IF(OR(D2394="""",G2394=""""),"""",IFERROR(LET(
campo,XLOOKUP(TRIM(G2394),ARRAYFORMULA(TRIM('indice columnas'!$A$2:$A$100)),'indice columnas'!$B$2:$B$100,""""),
col,IFERROR(MATCH(campo,Referencia!$A$1:$AZ$1,0),0),
fila,IFERROR(MATCH(TO_TEXT(D2394),ARRAYFOR"&amp;"MULA(TO_TEXT(Referencia!$A$2:$A6238)),0),0),
IF(OR(campo="""",campo=""-""),""NO APLICA"",
IF(col=0,""REVISAR EQUIVALENCIA"",
IF(fila=0,""SKU NO ENCONTRADO"",
LET(
valor,INDEX(Referencia!$A$2:$AZ6238,fila,col),
IF(TRIM(TO_TEXT(valor))=TRIM(TO_TEXT(I2394)),"&amp;"
""OK"",
""NO COINCIDE. Valor verdadero: ""&amp;IF(valor="""",""[VACÍO]"",TO_TEXT(valor))
)
))))
),""ERROR EN FÓRMULA""))"),"NO APLICA")</f>
        <v>NO APLICA</v>
      </c>
    </row>
    <row r="2395">
      <c r="A2395" s="83" t="s">
        <v>4078</v>
      </c>
      <c r="B2395" s="83" t="s">
        <v>4079</v>
      </c>
      <c r="C2395" s="81" t="s">
        <v>4086</v>
      </c>
      <c r="D2395" s="83" t="s">
        <v>4730</v>
      </c>
      <c r="E2395" s="81" t="s">
        <v>3500</v>
      </c>
      <c r="F2395" s="84">
        <v>660.0</v>
      </c>
      <c r="G2395" s="81" t="s">
        <v>7</v>
      </c>
      <c r="H2395" s="81" t="s">
        <v>53</v>
      </c>
      <c r="I2395" s="81" t="s">
        <v>1134</v>
      </c>
      <c r="J2395" s="81" t="s">
        <v>224</v>
      </c>
      <c r="K2395" s="81" t="str">
        <f>IFERROR(__xludf.DUMMYFUNCTION("IF(OR(D2395="""",G2395=""""),"""",IFERROR(LET(
campo,XLOOKUP(TRIM(G2395),ARRAYFORMULA(TRIM('indice columnas'!$A$2:$A$100)),'indice columnas'!$B$2:$B$100,""""),
col,IFERROR(MATCH(campo,Referencia!$A$1:$AZ$1,0),0),
fila,IFERROR(MATCH(TO_TEXT(D2395),ARRAYFOR"&amp;"MULA(TO_TEXT(Referencia!$A$2:$A6238)),0),0),
IF(OR(campo="""",campo=""-""),""NO APLICA"",
IF(col=0,""REVISAR EQUIVALENCIA"",
IF(fila=0,""SKU NO ENCONTRADO"",
LET(
valor,INDEX(Referencia!$A$2:$AZ6238,fila,col),
IF(TRIM(TO_TEXT(valor))=TRIM(TO_TEXT(I2395)),"&amp;"
""OK"",
""NO COINCIDE. Valor verdadero: ""&amp;IF(valor="""",""[VACÍO]"",TO_TEXT(valor))
)
))))
),""ERROR EN FÓRMULA""))"),"REVISAR EQUIVALENCIA")</f>
        <v>REVISAR EQUIVALENCIA</v>
      </c>
    </row>
    <row r="2396">
      <c r="A2396" s="83" t="s">
        <v>4078</v>
      </c>
      <c r="B2396" s="83" t="s">
        <v>4079</v>
      </c>
      <c r="C2396" s="81" t="s">
        <v>4086</v>
      </c>
      <c r="D2396" s="83" t="s">
        <v>4730</v>
      </c>
      <c r="E2396" s="81" t="s">
        <v>3500</v>
      </c>
      <c r="F2396" s="84">
        <v>660.0</v>
      </c>
      <c r="G2396" s="81" t="s">
        <v>44</v>
      </c>
      <c r="H2396" s="81" t="s">
        <v>4728</v>
      </c>
      <c r="I2396" s="81" t="s">
        <v>3483</v>
      </c>
      <c r="J2396" s="81" t="s">
        <v>4088</v>
      </c>
      <c r="K2396" s="81" t="str">
        <f>IFERROR(__xludf.DUMMYFUNCTION("IF(OR(D2396="""",G2396=""""),"""",IFERROR(LET(
campo,XLOOKUP(TRIM(G2396),ARRAYFORMULA(TRIM('indice columnas'!$A$2:$A$100)),'indice columnas'!$B$2:$B$100,""""),
col,IFERROR(MATCH(campo,Referencia!$A$1:$AZ$1,0),0),
fila,IFERROR(MATCH(TO_TEXT(D2396),ARRAYFOR"&amp;"MULA(TO_TEXT(Referencia!$A$2:$A6238)),0),0),
IF(OR(campo="""",campo=""-""),""NO APLICA"",
IF(col=0,""REVISAR EQUIVALENCIA"",
IF(fila=0,""SKU NO ENCONTRADO"",
LET(
valor,INDEX(Referencia!$A$2:$AZ6238,fila,col),
IF(TRIM(TO_TEXT(valor))=TRIM(TO_TEXT(I2396)),"&amp;"
""OK"",
""NO COINCIDE. Valor verdadero: ""&amp;IF(valor="""",""[VACÍO]"",TO_TEXT(valor))
)
))))
),""ERROR EN FÓRMULA""))"),"NO APLICA")</f>
        <v>NO APLICA</v>
      </c>
    </row>
    <row r="2397">
      <c r="A2397" s="83" t="s">
        <v>4078</v>
      </c>
      <c r="B2397" s="83" t="s">
        <v>4079</v>
      </c>
      <c r="C2397" s="81" t="s">
        <v>4086</v>
      </c>
      <c r="D2397" s="83" t="s">
        <v>4731</v>
      </c>
      <c r="E2397" s="81" t="s">
        <v>3510</v>
      </c>
      <c r="F2397" s="84">
        <v>661.0</v>
      </c>
      <c r="G2397" s="81" t="s">
        <v>7</v>
      </c>
      <c r="H2397" s="81" t="s">
        <v>53</v>
      </c>
      <c r="I2397" s="81" t="s">
        <v>1134</v>
      </c>
      <c r="J2397" s="81" t="s">
        <v>224</v>
      </c>
      <c r="K2397" s="81" t="str">
        <f>IFERROR(__xludf.DUMMYFUNCTION("IF(OR(D2397="""",G2397=""""),"""",IFERROR(LET(
campo,XLOOKUP(TRIM(G2397),ARRAYFORMULA(TRIM('indice columnas'!$A$2:$A$100)),'indice columnas'!$B$2:$B$100,""""),
col,IFERROR(MATCH(campo,Referencia!$A$1:$AZ$1,0),0),
fila,IFERROR(MATCH(TO_TEXT(D2397),ARRAYFOR"&amp;"MULA(TO_TEXT(Referencia!$A$2:$A6238)),0),0),
IF(OR(campo="""",campo=""-""),""NO APLICA"",
IF(col=0,""REVISAR EQUIVALENCIA"",
IF(fila=0,""SKU NO ENCONTRADO"",
LET(
valor,INDEX(Referencia!$A$2:$AZ6238,fila,col),
IF(TRIM(TO_TEXT(valor))=TRIM(TO_TEXT(I2397)),"&amp;"
""OK"",
""NO COINCIDE. Valor verdadero: ""&amp;IF(valor="""",""[VACÍO]"",TO_TEXT(valor))
)
))))
),""ERROR EN FÓRMULA""))"),"REVISAR EQUIVALENCIA")</f>
        <v>REVISAR EQUIVALENCIA</v>
      </c>
    </row>
    <row r="2398">
      <c r="A2398" s="83" t="s">
        <v>4078</v>
      </c>
      <c r="B2398" s="83" t="s">
        <v>4079</v>
      </c>
      <c r="C2398" s="81" t="s">
        <v>4086</v>
      </c>
      <c r="D2398" s="83" t="s">
        <v>4731</v>
      </c>
      <c r="E2398" s="81" t="s">
        <v>3510</v>
      </c>
      <c r="F2398" s="84">
        <v>661.0</v>
      </c>
      <c r="G2398" s="81" t="s">
        <v>44</v>
      </c>
      <c r="H2398" s="81" t="s">
        <v>4728</v>
      </c>
      <c r="I2398" s="81" t="s">
        <v>3483</v>
      </c>
      <c r="J2398" s="81" t="s">
        <v>4088</v>
      </c>
      <c r="K2398" s="81" t="str">
        <f>IFERROR(__xludf.DUMMYFUNCTION("IF(OR(D2398="""",G2398=""""),"""",IFERROR(LET(
campo,XLOOKUP(TRIM(G2398),ARRAYFORMULA(TRIM('indice columnas'!$A$2:$A$100)),'indice columnas'!$B$2:$B$100,""""),
col,IFERROR(MATCH(campo,Referencia!$A$1:$AZ$1,0),0),
fila,IFERROR(MATCH(TO_TEXT(D2398),ARRAYFOR"&amp;"MULA(TO_TEXT(Referencia!$A$2:$A6238)),0),0),
IF(OR(campo="""",campo=""-""),""NO APLICA"",
IF(col=0,""REVISAR EQUIVALENCIA"",
IF(fila=0,""SKU NO ENCONTRADO"",
LET(
valor,INDEX(Referencia!$A$2:$AZ6238,fila,col),
IF(TRIM(TO_TEXT(valor))=TRIM(TO_TEXT(I2398)),"&amp;"
""OK"",
""NO COINCIDE. Valor verdadero: ""&amp;IF(valor="""",""[VACÍO]"",TO_TEXT(valor))
)
))))
),""ERROR EN FÓRMULA""))"),"NO APLICA")</f>
        <v>NO APLICA</v>
      </c>
    </row>
    <row r="2399">
      <c r="A2399" s="83" t="s">
        <v>4078</v>
      </c>
      <c r="B2399" s="83" t="s">
        <v>4079</v>
      </c>
      <c r="C2399" s="81" t="s">
        <v>4086</v>
      </c>
      <c r="D2399" s="83" t="s">
        <v>4732</v>
      </c>
      <c r="E2399" s="81" t="s">
        <v>3513</v>
      </c>
      <c r="F2399" s="84">
        <v>662.0</v>
      </c>
      <c r="G2399" s="81" t="s">
        <v>44</v>
      </c>
      <c r="H2399" s="81" t="s">
        <v>4733</v>
      </c>
      <c r="I2399" s="81" t="s">
        <v>3513</v>
      </c>
      <c r="J2399" s="81" t="s">
        <v>4088</v>
      </c>
      <c r="K2399" s="81" t="str">
        <f>IFERROR(__xludf.DUMMYFUNCTION("IF(OR(D2399="""",G2399=""""),"""",IFERROR(LET(
campo,XLOOKUP(TRIM(G2399),ARRAYFORMULA(TRIM('indice columnas'!$A$2:$A$100)),'indice columnas'!$B$2:$B$100,""""),
col,IFERROR(MATCH(campo,Referencia!$A$1:$AZ$1,0),0),
fila,IFERROR(MATCH(TO_TEXT(D2399),ARRAYFOR"&amp;"MULA(TO_TEXT(Referencia!$A$2:$A6238)),0),0),
IF(OR(campo="""",campo=""-""),""NO APLICA"",
IF(col=0,""REVISAR EQUIVALENCIA"",
IF(fila=0,""SKU NO ENCONTRADO"",
LET(
valor,INDEX(Referencia!$A$2:$AZ6238,fila,col),
IF(TRIM(TO_TEXT(valor))=TRIM(TO_TEXT(I2399)),"&amp;"
""OK"",
""NO COINCIDE. Valor verdadero: ""&amp;IF(valor="""",""[VACÍO]"",TO_TEXT(valor))
)
))))
),""ERROR EN FÓRMULA""))"),"NO APLICA")</f>
        <v>NO APLICA</v>
      </c>
    </row>
    <row r="2400">
      <c r="A2400" s="83" t="s">
        <v>4078</v>
      </c>
      <c r="B2400" s="83" t="s">
        <v>4079</v>
      </c>
      <c r="C2400" s="81" t="s">
        <v>4086</v>
      </c>
      <c r="D2400" s="83" t="s">
        <v>4732</v>
      </c>
      <c r="E2400" s="81" t="s">
        <v>3523</v>
      </c>
      <c r="F2400" s="84">
        <v>663.0</v>
      </c>
      <c r="G2400" s="81" t="s">
        <v>12</v>
      </c>
      <c r="H2400" s="81" t="s">
        <v>224</v>
      </c>
      <c r="I2400" s="81" t="s">
        <v>55</v>
      </c>
      <c r="J2400" s="81" t="s">
        <v>224</v>
      </c>
      <c r="K2400" s="81" t="str">
        <f>IFERROR(__xludf.DUMMYFUNCTION("IF(OR(D2400="""",G2400=""""),"""",IFERROR(LET(
campo,XLOOKUP(TRIM(G2400),ARRAYFORMULA(TRIM('indice columnas'!$A$2:$A$100)),'indice columnas'!$B$2:$B$100,""""),
col,IFERROR(MATCH(campo,Referencia!$A$1:$AZ$1,0),0),
fila,IFERROR(MATCH(TO_TEXT(D2400),ARRAYFOR"&amp;"MULA(TO_TEXT(Referencia!$A$2:$A6238)),0),0),
IF(OR(campo="""",campo=""-""),""NO APLICA"",
IF(col=0,""REVISAR EQUIVALENCIA"",
IF(fila=0,""SKU NO ENCONTRADO"",
LET(
valor,INDEX(Referencia!$A$2:$AZ6238,fila,col),
IF(TRIM(TO_TEXT(valor))=TRIM(TO_TEXT(I2400)),"&amp;"
""OK"",
""NO COINCIDE. Valor verdadero: ""&amp;IF(valor="""",""[VACÍO]"",TO_TEXT(valor))
)
))))
),""ERROR EN FÓRMULA""))"),"OK")</f>
        <v>OK</v>
      </c>
    </row>
    <row r="2401">
      <c r="A2401" s="83" t="s">
        <v>4078</v>
      </c>
      <c r="B2401" s="83" t="s">
        <v>4079</v>
      </c>
      <c r="C2401" s="81" t="s">
        <v>4086</v>
      </c>
      <c r="D2401" s="83" t="s">
        <v>4732</v>
      </c>
      <c r="E2401" s="81" t="s">
        <v>3523</v>
      </c>
      <c r="F2401" s="84">
        <v>663.0</v>
      </c>
      <c r="G2401" s="81" t="s">
        <v>29</v>
      </c>
      <c r="H2401" s="81" t="s">
        <v>3514</v>
      </c>
      <c r="I2401" s="81" t="s">
        <v>3524</v>
      </c>
      <c r="J2401" s="81" t="s">
        <v>224</v>
      </c>
      <c r="K2401" s="81" t="str">
        <f>IFERROR(__xludf.DUMMYFUNCTION("IF(OR(D2401="""",G2401=""""),"""",IFERROR(LET(
campo,XLOOKUP(TRIM(G2401),ARRAYFORMULA(TRIM('indice columnas'!$A$2:$A$100)),'indice columnas'!$B$2:$B$100,""""),
col,IFERROR(MATCH(campo,Referencia!$A$1:$AZ$1,0),0),
fila,IFERROR(MATCH(TO_TEXT(D2401),ARRAYFOR"&amp;"MULA(TO_TEXT(Referencia!$A$2:$A6238)),0),0),
IF(OR(campo="""",campo=""-""),""NO APLICA"",
IF(col=0,""REVISAR EQUIVALENCIA"",
IF(fila=0,""SKU NO ENCONTRADO"",
LET(
valor,INDEX(Referencia!$A$2:$AZ6238,fila,col),
IF(TRIM(TO_TEXT(valor))=TRIM(TO_TEXT(I2401)),"&amp;"
""OK"",
""NO COINCIDE. Valor verdadero: ""&amp;IF(valor="""",""[VACÍO]"",TO_TEXT(valor))
)
))))
),""ERROR EN FÓRMULA""))"),"NO COINCIDE. Valor verdadero: Ø83 X 32")</f>
        <v>NO COINCIDE. Valor verdadero: Ø83 X 32</v>
      </c>
    </row>
    <row r="2402">
      <c r="A2402" s="83" t="s">
        <v>4078</v>
      </c>
      <c r="B2402" s="83" t="s">
        <v>4079</v>
      </c>
      <c r="C2402" s="81" t="s">
        <v>4086</v>
      </c>
      <c r="D2402" s="83" t="s">
        <v>4732</v>
      </c>
      <c r="E2402" s="81" t="s">
        <v>3523</v>
      </c>
      <c r="F2402" s="84">
        <v>663.0</v>
      </c>
      <c r="G2402" s="81" t="s">
        <v>44</v>
      </c>
      <c r="H2402" s="81" t="s">
        <v>4733</v>
      </c>
      <c r="I2402" s="81" t="s">
        <v>3513</v>
      </c>
      <c r="J2402" s="81" t="s">
        <v>4088</v>
      </c>
      <c r="K2402" s="81" t="str">
        <f>IFERROR(__xludf.DUMMYFUNCTION("IF(OR(D2402="""",G2402=""""),"""",IFERROR(LET(
campo,XLOOKUP(TRIM(G2402),ARRAYFORMULA(TRIM('indice columnas'!$A$2:$A$100)),'indice columnas'!$B$2:$B$100,""""),
col,IFERROR(MATCH(campo,Referencia!$A$1:$AZ$1,0),0),
fila,IFERROR(MATCH(TO_TEXT(D2402),ARRAYFOR"&amp;"MULA(TO_TEXT(Referencia!$A$2:$A6238)),0),0),
IF(OR(campo="""",campo=""-""),""NO APLICA"",
IF(col=0,""REVISAR EQUIVALENCIA"",
IF(fila=0,""SKU NO ENCONTRADO"",
LET(
valor,INDEX(Referencia!$A$2:$AZ6238,fila,col),
IF(TRIM(TO_TEXT(valor))=TRIM(TO_TEXT(I2402)),"&amp;"
""OK"",
""NO COINCIDE. Valor verdadero: ""&amp;IF(valor="""",""[VACÍO]"",TO_TEXT(valor))
)
))))
),""ERROR EN FÓRMULA""))"),"NO APLICA")</f>
        <v>NO APLICA</v>
      </c>
    </row>
    <row r="2403">
      <c r="A2403" s="83" t="s">
        <v>4078</v>
      </c>
      <c r="B2403" s="83" t="s">
        <v>4079</v>
      </c>
      <c r="C2403" s="81" t="s">
        <v>4086</v>
      </c>
      <c r="D2403" s="83" t="s">
        <v>4734</v>
      </c>
      <c r="E2403" s="81" t="s">
        <v>3526</v>
      </c>
      <c r="F2403" s="84">
        <v>664.0</v>
      </c>
      <c r="G2403" s="81" t="s">
        <v>12</v>
      </c>
      <c r="H2403" s="81" t="s">
        <v>224</v>
      </c>
      <c r="I2403" s="81" t="s">
        <v>55</v>
      </c>
      <c r="J2403" s="81" t="s">
        <v>224</v>
      </c>
      <c r="K2403" s="81" t="str">
        <f>IFERROR(__xludf.DUMMYFUNCTION("IF(OR(D2403="""",G2403=""""),"""",IFERROR(LET(
campo,XLOOKUP(TRIM(G2403),ARRAYFORMULA(TRIM('indice columnas'!$A$2:$A$100)),'indice columnas'!$B$2:$B$100,""""),
col,IFERROR(MATCH(campo,Referencia!$A$1:$AZ$1,0),0),
fila,IFERROR(MATCH(TO_TEXT(D2403),ARRAYFOR"&amp;"MULA(TO_TEXT(Referencia!$A$2:$A6238)),0),0),
IF(OR(campo="""",campo=""-""),""NO APLICA"",
IF(col=0,""REVISAR EQUIVALENCIA"",
IF(fila=0,""SKU NO ENCONTRADO"",
LET(
valor,INDEX(Referencia!$A$2:$AZ6238,fila,col),
IF(TRIM(TO_TEXT(valor))=TRIM(TO_TEXT(I2403)),"&amp;"
""OK"",
""NO COINCIDE. Valor verdadero: ""&amp;IF(valor="""",""[VACÍO]"",TO_TEXT(valor))
)
))))
),""ERROR EN FÓRMULA""))"),"OK")</f>
        <v>OK</v>
      </c>
    </row>
    <row r="2404">
      <c r="A2404" s="83" t="s">
        <v>4078</v>
      </c>
      <c r="B2404" s="83" t="s">
        <v>4079</v>
      </c>
      <c r="C2404" s="81" t="s">
        <v>4086</v>
      </c>
      <c r="D2404" s="83" t="s">
        <v>4734</v>
      </c>
      <c r="E2404" s="81" t="s">
        <v>3526</v>
      </c>
      <c r="F2404" s="84">
        <v>664.0</v>
      </c>
      <c r="G2404" s="81" t="s">
        <v>29</v>
      </c>
      <c r="H2404" s="81" t="s">
        <v>3514</v>
      </c>
      <c r="I2404" s="81" t="s">
        <v>3524</v>
      </c>
      <c r="J2404" s="81" t="s">
        <v>224</v>
      </c>
      <c r="K2404" s="81" t="str">
        <f>IFERROR(__xludf.DUMMYFUNCTION("IF(OR(D2404="""",G2404=""""),"""",IFERROR(LET(
campo,XLOOKUP(TRIM(G2404),ARRAYFORMULA(TRIM('indice columnas'!$A$2:$A$100)),'indice columnas'!$B$2:$B$100,""""),
col,IFERROR(MATCH(campo,Referencia!$A$1:$AZ$1,0),0),
fila,IFERROR(MATCH(TO_TEXT(D2404),ARRAYFOR"&amp;"MULA(TO_TEXT(Referencia!$A$2:$A6238)),0),0),
IF(OR(campo="""",campo=""-""),""NO APLICA"",
IF(col=0,""REVISAR EQUIVALENCIA"",
IF(fila=0,""SKU NO ENCONTRADO"",
LET(
valor,INDEX(Referencia!$A$2:$AZ6238,fila,col),
IF(TRIM(TO_TEXT(valor))=TRIM(TO_TEXT(I2404)),"&amp;"
""OK"",
""NO COINCIDE. Valor verdadero: ""&amp;IF(valor="""",""[VACÍO]"",TO_TEXT(valor))
)
))))
),""ERROR EN FÓRMULA""))"),"NO COINCIDE. Valor verdadero: Ø83 X 32")</f>
        <v>NO COINCIDE. Valor verdadero: Ø83 X 32</v>
      </c>
    </row>
    <row r="2405">
      <c r="A2405" s="83" t="s">
        <v>4078</v>
      </c>
      <c r="B2405" s="83" t="s">
        <v>4079</v>
      </c>
      <c r="C2405" s="81" t="s">
        <v>4086</v>
      </c>
      <c r="D2405" s="83" t="s">
        <v>4734</v>
      </c>
      <c r="E2405" s="81" t="s">
        <v>3526</v>
      </c>
      <c r="F2405" s="84">
        <v>664.0</v>
      </c>
      <c r="G2405" s="81" t="s">
        <v>44</v>
      </c>
      <c r="H2405" s="81" t="s">
        <v>4733</v>
      </c>
      <c r="I2405" s="81" t="s">
        <v>3513</v>
      </c>
      <c r="J2405" s="81" t="s">
        <v>4088</v>
      </c>
      <c r="K2405" s="81" t="str">
        <f>IFERROR(__xludf.DUMMYFUNCTION("IF(OR(D2405="""",G2405=""""),"""",IFERROR(LET(
campo,XLOOKUP(TRIM(G2405),ARRAYFORMULA(TRIM('indice columnas'!$A$2:$A$100)),'indice columnas'!$B$2:$B$100,""""),
col,IFERROR(MATCH(campo,Referencia!$A$1:$AZ$1,0),0),
fila,IFERROR(MATCH(TO_TEXT(D2405),ARRAYFOR"&amp;"MULA(TO_TEXT(Referencia!$A$2:$A6238)),0),0),
IF(OR(campo="""",campo=""-""),""NO APLICA"",
IF(col=0,""REVISAR EQUIVALENCIA"",
IF(fila=0,""SKU NO ENCONTRADO"",
LET(
valor,INDEX(Referencia!$A$2:$AZ6238,fila,col),
IF(TRIM(TO_TEXT(valor))=TRIM(TO_TEXT(I2405)),"&amp;"
""OK"",
""NO COINCIDE. Valor verdadero: ""&amp;IF(valor="""",""[VACÍO]"",TO_TEXT(valor))
)
))))
),""ERROR EN FÓRMULA""))"),"NO APLICA")</f>
        <v>NO APLICA</v>
      </c>
    </row>
    <row r="2406">
      <c r="A2406" s="83" t="s">
        <v>4078</v>
      </c>
      <c r="B2406" s="83" t="s">
        <v>4079</v>
      </c>
      <c r="C2406" s="81" t="s">
        <v>4086</v>
      </c>
      <c r="D2406" s="83" t="s">
        <v>4735</v>
      </c>
      <c r="E2406" s="81" t="s">
        <v>3529</v>
      </c>
      <c r="F2406" s="84">
        <v>665.0</v>
      </c>
      <c r="G2406" s="81" t="s">
        <v>44</v>
      </c>
      <c r="H2406" s="81" t="s">
        <v>4736</v>
      </c>
      <c r="I2406" s="81" t="s">
        <v>3529</v>
      </c>
      <c r="J2406" s="81" t="s">
        <v>4088</v>
      </c>
      <c r="K2406" s="81" t="str">
        <f>IFERROR(__xludf.DUMMYFUNCTION("IF(OR(D2406="""",G2406=""""),"""",IFERROR(LET(
campo,XLOOKUP(TRIM(G2406),ARRAYFORMULA(TRIM('indice columnas'!$A$2:$A$100)),'indice columnas'!$B$2:$B$100,""""),
col,IFERROR(MATCH(campo,Referencia!$A$1:$AZ$1,0),0),
fila,IFERROR(MATCH(TO_TEXT(D2406),ARRAYFOR"&amp;"MULA(TO_TEXT(Referencia!$A$2:$A6238)),0),0),
IF(OR(campo="""",campo=""-""),""NO APLICA"",
IF(col=0,""REVISAR EQUIVALENCIA"",
IF(fila=0,""SKU NO ENCONTRADO"",
LET(
valor,INDEX(Referencia!$A$2:$AZ6238,fila,col),
IF(TRIM(TO_TEXT(valor))=TRIM(TO_TEXT(I2406)),"&amp;"
""OK"",
""NO COINCIDE. Valor verdadero: ""&amp;IF(valor="""",""[VACÍO]"",TO_TEXT(valor))
)
))))
),""ERROR EN FÓRMULA""))"),"NO APLICA")</f>
        <v>NO APLICA</v>
      </c>
    </row>
    <row r="2407">
      <c r="A2407" s="83" t="s">
        <v>4078</v>
      </c>
      <c r="B2407" s="83" t="s">
        <v>4079</v>
      </c>
      <c r="C2407" s="81" t="s">
        <v>4086</v>
      </c>
      <c r="D2407" s="83" t="s">
        <v>4735</v>
      </c>
      <c r="E2407" s="81" t="s">
        <v>3539</v>
      </c>
      <c r="F2407" s="84">
        <v>666.0</v>
      </c>
      <c r="G2407" s="81" t="s">
        <v>12</v>
      </c>
      <c r="H2407" s="81" t="s">
        <v>224</v>
      </c>
      <c r="I2407" s="81" t="s">
        <v>55</v>
      </c>
      <c r="J2407" s="81" t="s">
        <v>224</v>
      </c>
      <c r="K2407" s="81" t="str">
        <f>IFERROR(__xludf.DUMMYFUNCTION("IF(OR(D2407="""",G2407=""""),"""",IFERROR(LET(
campo,XLOOKUP(TRIM(G2407),ARRAYFORMULA(TRIM('indice columnas'!$A$2:$A$100)),'indice columnas'!$B$2:$B$100,""""),
col,IFERROR(MATCH(campo,Referencia!$A$1:$AZ$1,0),0),
fila,IFERROR(MATCH(TO_TEXT(D2407),ARRAYFOR"&amp;"MULA(TO_TEXT(Referencia!$A$2:$A6238)),0),0),
IF(OR(campo="""",campo=""-""),""NO APLICA"",
IF(col=0,""REVISAR EQUIVALENCIA"",
IF(fila=0,""SKU NO ENCONTRADO"",
LET(
valor,INDEX(Referencia!$A$2:$AZ6238,fila,col),
IF(TRIM(TO_TEXT(valor))=TRIM(TO_TEXT(I2407)),"&amp;"
""OK"",
""NO COINCIDE. Valor verdadero: ""&amp;IF(valor="""",""[VACÍO]"",TO_TEXT(valor))
)
))))
),""ERROR EN FÓRMULA""))"),"OK")</f>
        <v>OK</v>
      </c>
    </row>
    <row r="2408">
      <c r="A2408" s="83" t="s">
        <v>4078</v>
      </c>
      <c r="B2408" s="83" t="s">
        <v>4079</v>
      </c>
      <c r="C2408" s="81" t="s">
        <v>4086</v>
      </c>
      <c r="D2408" s="83" t="s">
        <v>4735</v>
      </c>
      <c r="E2408" s="81" t="s">
        <v>3539</v>
      </c>
      <c r="F2408" s="84">
        <v>666.0</v>
      </c>
      <c r="G2408" s="81" t="s">
        <v>44</v>
      </c>
      <c r="H2408" s="81" t="s">
        <v>4736</v>
      </c>
      <c r="I2408" s="81" t="s">
        <v>3529</v>
      </c>
      <c r="J2408" s="81" t="s">
        <v>4088</v>
      </c>
      <c r="K2408" s="81" t="str">
        <f>IFERROR(__xludf.DUMMYFUNCTION("IF(OR(D2408="""",G2408=""""),"""",IFERROR(LET(
campo,XLOOKUP(TRIM(G2408),ARRAYFORMULA(TRIM('indice columnas'!$A$2:$A$100)),'indice columnas'!$B$2:$B$100,""""),
col,IFERROR(MATCH(campo,Referencia!$A$1:$AZ$1,0),0),
fila,IFERROR(MATCH(TO_TEXT(D2408),ARRAYFOR"&amp;"MULA(TO_TEXT(Referencia!$A$2:$A6238)),0),0),
IF(OR(campo="""",campo=""-""),""NO APLICA"",
IF(col=0,""REVISAR EQUIVALENCIA"",
IF(fila=0,""SKU NO ENCONTRADO"",
LET(
valor,INDEX(Referencia!$A$2:$AZ6238,fila,col),
IF(TRIM(TO_TEXT(valor))=TRIM(TO_TEXT(I2408)),"&amp;"
""OK"",
""NO COINCIDE. Valor verdadero: ""&amp;IF(valor="""",""[VACÍO]"",TO_TEXT(valor))
)
))))
),""ERROR EN FÓRMULA""))"),"NO APLICA")</f>
        <v>NO APLICA</v>
      </c>
    </row>
    <row r="2409">
      <c r="A2409" s="83" t="s">
        <v>4078</v>
      </c>
      <c r="B2409" s="83" t="s">
        <v>4079</v>
      </c>
      <c r="C2409" s="81" t="s">
        <v>4086</v>
      </c>
      <c r="D2409" s="83" t="s">
        <v>4737</v>
      </c>
      <c r="E2409" s="81" t="s">
        <v>3540</v>
      </c>
      <c r="F2409" s="84">
        <v>667.0</v>
      </c>
      <c r="G2409" s="81" t="s">
        <v>12</v>
      </c>
      <c r="H2409" s="81" t="s">
        <v>224</v>
      </c>
      <c r="I2409" s="81" t="s">
        <v>55</v>
      </c>
      <c r="J2409" s="81" t="s">
        <v>224</v>
      </c>
      <c r="K2409" s="81" t="str">
        <f>IFERROR(__xludf.DUMMYFUNCTION("IF(OR(D2409="""",G2409=""""),"""",IFERROR(LET(
campo,XLOOKUP(TRIM(G2409),ARRAYFORMULA(TRIM('indice columnas'!$A$2:$A$100)),'indice columnas'!$B$2:$B$100,""""),
col,IFERROR(MATCH(campo,Referencia!$A$1:$AZ$1,0),0),
fila,IFERROR(MATCH(TO_TEXT(D2409),ARRAYFOR"&amp;"MULA(TO_TEXT(Referencia!$A$2:$A6238)),0),0),
IF(OR(campo="""",campo=""-""),""NO APLICA"",
IF(col=0,""REVISAR EQUIVALENCIA"",
IF(fila=0,""SKU NO ENCONTRADO"",
LET(
valor,INDEX(Referencia!$A$2:$AZ6238,fila,col),
IF(TRIM(TO_TEXT(valor))=TRIM(TO_TEXT(I2409)),"&amp;"
""OK"",
""NO COINCIDE. Valor verdadero: ""&amp;IF(valor="""",""[VACÍO]"",TO_TEXT(valor))
)
))))
),""ERROR EN FÓRMULA""))"),"OK")</f>
        <v>OK</v>
      </c>
    </row>
    <row r="2410">
      <c r="A2410" s="83" t="s">
        <v>4078</v>
      </c>
      <c r="B2410" s="83" t="s">
        <v>4079</v>
      </c>
      <c r="C2410" s="81" t="s">
        <v>4086</v>
      </c>
      <c r="D2410" s="83" t="s">
        <v>4737</v>
      </c>
      <c r="E2410" s="81" t="s">
        <v>3540</v>
      </c>
      <c r="F2410" s="84">
        <v>667.0</v>
      </c>
      <c r="G2410" s="81" t="s">
        <v>44</v>
      </c>
      <c r="H2410" s="81" t="s">
        <v>4736</v>
      </c>
      <c r="I2410" s="81" t="s">
        <v>3529</v>
      </c>
      <c r="J2410" s="81" t="s">
        <v>4088</v>
      </c>
      <c r="K2410" s="81" t="str">
        <f>IFERROR(__xludf.DUMMYFUNCTION("IF(OR(D2410="""",G2410=""""),"""",IFERROR(LET(
campo,XLOOKUP(TRIM(G2410),ARRAYFORMULA(TRIM('indice columnas'!$A$2:$A$100)),'indice columnas'!$B$2:$B$100,""""),
col,IFERROR(MATCH(campo,Referencia!$A$1:$AZ$1,0),0),
fila,IFERROR(MATCH(TO_TEXT(D2410),ARRAYFOR"&amp;"MULA(TO_TEXT(Referencia!$A$2:$A6238)),0),0),
IF(OR(campo="""",campo=""-""),""NO APLICA"",
IF(col=0,""REVISAR EQUIVALENCIA"",
IF(fila=0,""SKU NO ENCONTRADO"",
LET(
valor,INDEX(Referencia!$A$2:$AZ6238,fila,col),
IF(TRIM(TO_TEXT(valor))=TRIM(TO_TEXT(I2410)),"&amp;"
""OK"",
""NO COINCIDE. Valor verdadero: ""&amp;IF(valor="""",""[VACÍO]"",TO_TEXT(valor))
)
))))
),""ERROR EN FÓRMULA""))"),"NO APLICA")</f>
        <v>NO APLICA</v>
      </c>
    </row>
    <row r="2411">
      <c r="A2411" s="83" t="s">
        <v>4078</v>
      </c>
      <c r="B2411" s="83" t="s">
        <v>4079</v>
      </c>
      <c r="C2411" s="81" t="s">
        <v>4086</v>
      </c>
      <c r="D2411" s="83" t="s">
        <v>4738</v>
      </c>
      <c r="E2411" s="81" t="s">
        <v>3543</v>
      </c>
      <c r="F2411" s="84">
        <v>668.0</v>
      </c>
      <c r="G2411" s="81" t="s">
        <v>44</v>
      </c>
      <c r="H2411" s="81" t="s">
        <v>4739</v>
      </c>
      <c r="I2411" s="81" t="s">
        <v>3543</v>
      </c>
      <c r="J2411" s="81" t="s">
        <v>4088</v>
      </c>
      <c r="K2411" s="81" t="str">
        <f>IFERROR(__xludf.DUMMYFUNCTION("IF(OR(D2411="""",G2411=""""),"""",IFERROR(LET(
campo,XLOOKUP(TRIM(G2411),ARRAYFORMULA(TRIM('indice columnas'!$A$2:$A$100)),'indice columnas'!$B$2:$B$100,""""),
col,IFERROR(MATCH(campo,Referencia!$A$1:$AZ$1,0),0),
fila,IFERROR(MATCH(TO_TEXT(D2411),ARRAYFOR"&amp;"MULA(TO_TEXT(Referencia!$A$2:$A6238)),0),0),
IF(OR(campo="""",campo=""-""),""NO APLICA"",
IF(col=0,""REVISAR EQUIVALENCIA"",
IF(fila=0,""SKU NO ENCONTRADO"",
LET(
valor,INDEX(Referencia!$A$2:$AZ6238,fila,col),
IF(TRIM(TO_TEXT(valor))=TRIM(TO_TEXT(I2411)),"&amp;"
""OK"",
""NO COINCIDE. Valor verdadero: ""&amp;IF(valor="""",""[VACÍO]"",TO_TEXT(valor))
)
))))
),""ERROR EN FÓRMULA""))"),"NO APLICA")</f>
        <v>NO APLICA</v>
      </c>
    </row>
    <row r="2412">
      <c r="A2412" s="83" t="s">
        <v>4078</v>
      </c>
      <c r="B2412" s="83" t="s">
        <v>4079</v>
      </c>
      <c r="C2412" s="81" t="s">
        <v>4086</v>
      </c>
      <c r="D2412" s="83" t="s">
        <v>4738</v>
      </c>
      <c r="E2412" s="81" t="s">
        <v>3553</v>
      </c>
      <c r="F2412" s="84">
        <v>669.0</v>
      </c>
      <c r="G2412" s="81" t="s">
        <v>12</v>
      </c>
      <c r="H2412" s="81" t="s">
        <v>224</v>
      </c>
      <c r="I2412" s="81" t="s">
        <v>55</v>
      </c>
      <c r="J2412" s="81" t="s">
        <v>224</v>
      </c>
      <c r="K2412" s="81" t="str">
        <f>IFERROR(__xludf.DUMMYFUNCTION("IF(OR(D2412="""",G2412=""""),"""",IFERROR(LET(
campo,XLOOKUP(TRIM(G2412),ARRAYFORMULA(TRIM('indice columnas'!$A$2:$A$100)),'indice columnas'!$B$2:$B$100,""""),
col,IFERROR(MATCH(campo,Referencia!$A$1:$AZ$1,0),0),
fila,IFERROR(MATCH(TO_TEXT(D2412),ARRAYFOR"&amp;"MULA(TO_TEXT(Referencia!$A$2:$A6238)),0),0),
IF(OR(campo="""",campo=""-""),""NO APLICA"",
IF(col=0,""REVISAR EQUIVALENCIA"",
IF(fila=0,""SKU NO ENCONTRADO"",
LET(
valor,INDEX(Referencia!$A$2:$AZ6238,fila,col),
IF(TRIM(TO_TEXT(valor))=TRIM(TO_TEXT(I2412)),"&amp;"
""OK"",
""NO COINCIDE. Valor verdadero: ""&amp;IF(valor="""",""[VACÍO]"",TO_TEXT(valor))
)
))))
),""ERROR EN FÓRMULA""))"),"OK")</f>
        <v>OK</v>
      </c>
    </row>
    <row r="2413">
      <c r="A2413" s="83" t="s">
        <v>4078</v>
      </c>
      <c r="B2413" s="83" t="s">
        <v>4079</v>
      </c>
      <c r="C2413" s="81" t="s">
        <v>4086</v>
      </c>
      <c r="D2413" s="83" t="s">
        <v>4738</v>
      </c>
      <c r="E2413" s="81" t="s">
        <v>3553</v>
      </c>
      <c r="F2413" s="84">
        <v>669.0</v>
      </c>
      <c r="G2413" s="81" t="s">
        <v>44</v>
      </c>
      <c r="H2413" s="81" t="s">
        <v>4739</v>
      </c>
      <c r="I2413" s="81" t="s">
        <v>3543</v>
      </c>
      <c r="J2413" s="81" t="s">
        <v>4088</v>
      </c>
      <c r="K2413" s="81" t="str">
        <f>IFERROR(__xludf.DUMMYFUNCTION("IF(OR(D2413="""",G2413=""""),"""",IFERROR(LET(
campo,XLOOKUP(TRIM(G2413),ARRAYFORMULA(TRIM('indice columnas'!$A$2:$A$100)),'indice columnas'!$B$2:$B$100,""""),
col,IFERROR(MATCH(campo,Referencia!$A$1:$AZ$1,0),0),
fila,IFERROR(MATCH(TO_TEXT(D2413),ARRAYFOR"&amp;"MULA(TO_TEXT(Referencia!$A$2:$A6238)),0),0),
IF(OR(campo="""",campo=""-""),""NO APLICA"",
IF(col=0,""REVISAR EQUIVALENCIA"",
IF(fila=0,""SKU NO ENCONTRADO"",
LET(
valor,INDEX(Referencia!$A$2:$AZ6238,fila,col),
IF(TRIM(TO_TEXT(valor))=TRIM(TO_TEXT(I2413)),"&amp;"
""OK"",
""NO COINCIDE. Valor verdadero: ""&amp;IF(valor="""",""[VACÍO]"",TO_TEXT(valor))
)
))))
),""ERROR EN FÓRMULA""))"),"NO APLICA")</f>
        <v>NO APLICA</v>
      </c>
    </row>
    <row r="2414">
      <c r="A2414" s="83" t="s">
        <v>4078</v>
      </c>
      <c r="B2414" s="83" t="s">
        <v>4079</v>
      </c>
      <c r="C2414" s="81" t="s">
        <v>4086</v>
      </c>
      <c r="D2414" s="83" t="s">
        <v>4740</v>
      </c>
      <c r="E2414" s="81" t="s">
        <v>3555</v>
      </c>
      <c r="F2414" s="84">
        <v>670.0</v>
      </c>
      <c r="G2414" s="81" t="s">
        <v>12</v>
      </c>
      <c r="H2414" s="81" t="s">
        <v>224</v>
      </c>
      <c r="I2414" s="81" t="s">
        <v>55</v>
      </c>
      <c r="J2414" s="81" t="s">
        <v>224</v>
      </c>
      <c r="K2414" s="81" t="str">
        <f>IFERROR(__xludf.DUMMYFUNCTION("IF(OR(D2414="""",G2414=""""),"""",IFERROR(LET(
campo,XLOOKUP(TRIM(G2414),ARRAYFORMULA(TRIM('indice columnas'!$A$2:$A$100)),'indice columnas'!$B$2:$B$100,""""),
col,IFERROR(MATCH(campo,Referencia!$A$1:$AZ$1,0),0),
fila,IFERROR(MATCH(TO_TEXT(D2414),ARRAYFOR"&amp;"MULA(TO_TEXT(Referencia!$A$2:$A6238)),0),0),
IF(OR(campo="""",campo=""-""),""NO APLICA"",
IF(col=0,""REVISAR EQUIVALENCIA"",
IF(fila=0,""SKU NO ENCONTRADO"",
LET(
valor,INDEX(Referencia!$A$2:$AZ6238,fila,col),
IF(TRIM(TO_TEXT(valor))=TRIM(TO_TEXT(I2414)),"&amp;"
""OK"",
""NO COINCIDE. Valor verdadero: ""&amp;IF(valor="""",""[VACÍO]"",TO_TEXT(valor))
)
))))
),""ERROR EN FÓRMULA""))"),"OK")</f>
        <v>OK</v>
      </c>
    </row>
    <row r="2415">
      <c r="A2415" s="83" t="s">
        <v>4078</v>
      </c>
      <c r="B2415" s="83" t="s">
        <v>4079</v>
      </c>
      <c r="C2415" s="81" t="s">
        <v>4086</v>
      </c>
      <c r="D2415" s="83" t="s">
        <v>4740</v>
      </c>
      <c r="E2415" s="81" t="s">
        <v>3555</v>
      </c>
      <c r="F2415" s="84">
        <v>670.0</v>
      </c>
      <c r="G2415" s="81" t="s">
        <v>44</v>
      </c>
      <c r="H2415" s="81" t="s">
        <v>4739</v>
      </c>
      <c r="I2415" s="81" t="s">
        <v>3543</v>
      </c>
      <c r="J2415" s="81" t="s">
        <v>4088</v>
      </c>
      <c r="K2415" s="81" t="str">
        <f>IFERROR(__xludf.DUMMYFUNCTION("IF(OR(D2415="""",G2415=""""),"""",IFERROR(LET(
campo,XLOOKUP(TRIM(G2415),ARRAYFORMULA(TRIM('indice columnas'!$A$2:$A$100)),'indice columnas'!$B$2:$B$100,""""),
col,IFERROR(MATCH(campo,Referencia!$A$1:$AZ$1,0),0),
fila,IFERROR(MATCH(TO_TEXT(D2415),ARRAYFOR"&amp;"MULA(TO_TEXT(Referencia!$A$2:$A6238)),0),0),
IF(OR(campo="""",campo=""-""),""NO APLICA"",
IF(col=0,""REVISAR EQUIVALENCIA"",
IF(fila=0,""SKU NO ENCONTRADO"",
LET(
valor,INDEX(Referencia!$A$2:$AZ6238,fila,col),
IF(TRIM(TO_TEXT(valor))=TRIM(TO_TEXT(I2415)),"&amp;"
""OK"",
""NO COINCIDE. Valor verdadero: ""&amp;IF(valor="""",""[VACÍO]"",TO_TEXT(valor))
)
))))
),""ERROR EN FÓRMULA""))"),"NO APLICA")</f>
        <v>NO APLICA</v>
      </c>
    </row>
    <row r="2416">
      <c r="A2416" s="83" t="s">
        <v>4078</v>
      </c>
      <c r="B2416" s="83" t="s">
        <v>4079</v>
      </c>
      <c r="C2416" s="81" t="s">
        <v>4086</v>
      </c>
      <c r="D2416" s="83" t="s">
        <v>4741</v>
      </c>
      <c r="E2416" s="81" t="s">
        <v>3558</v>
      </c>
      <c r="F2416" s="84">
        <v>671.0</v>
      </c>
      <c r="G2416" s="81" t="s">
        <v>44</v>
      </c>
      <c r="H2416" s="81" t="s">
        <v>4742</v>
      </c>
      <c r="I2416" s="81" t="s">
        <v>3558</v>
      </c>
      <c r="J2416" s="81" t="s">
        <v>4088</v>
      </c>
      <c r="K2416" s="81" t="str">
        <f>IFERROR(__xludf.DUMMYFUNCTION("IF(OR(D2416="""",G2416=""""),"""",IFERROR(LET(
campo,XLOOKUP(TRIM(G2416),ARRAYFORMULA(TRIM('indice columnas'!$A$2:$A$100)),'indice columnas'!$B$2:$B$100,""""),
col,IFERROR(MATCH(campo,Referencia!$A$1:$AZ$1,0),0),
fila,IFERROR(MATCH(TO_TEXT(D2416),ARRAYFOR"&amp;"MULA(TO_TEXT(Referencia!$A$2:$A6238)),0),0),
IF(OR(campo="""",campo=""-""),""NO APLICA"",
IF(col=0,""REVISAR EQUIVALENCIA"",
IF(fila=0,""SKU NO ENCONTRADO"",
LET(
valor,INDEX(Referencia!$A$2:$AZ6238,fila,col),
IF(TRIM(TO_TEXT(valor))=TRIM(TO_TEXT(I2416)),"&amp;"
""OK"",
""NO COINCIDE. Valor verdadero: ""&amp;IF(valor="""",""[VACÍO]"",TO_TEXT(valor))
)
))))
),""ERROR EN FÓRMULA""))"),"NO APLICA")</f>
        <v>NO APLICA</v>
      </c>
    </row>
    <row r="2417">
      <c r="A2417" s="83" t="s">
        <v>4078</v>
      </c>
      <c r="B2417" s="83" t="s">
        <v>4079</v>
      </c>
      <c r="C2417" s="81" t="s">
        <v>4086</v>
      </c>
      <c r="D2417" s="83" t="s">
        <v>4741</v>
      </c>
      <c r="E2417" s="81" t="s">
        <v>3567</v>
      </c>
      <c r="F2417" s="84">
        <v>672.0</v>
      </c>
      <c r="G2417" s="81" t="s">
        <v>12</v>
      </c>
      <c r="H2417" s="81" t="s">
        <v>224</v>
      </c>
      <c r="I2417" s="81" t="s">
        <v>55</v>
      </c>
      <c r="J2417" s="81" t="s">
        <v>224</v>
      </c>
      <c r="K2417" s="81" t="str">
        <f>IFERROR(__xludf.DUMMYFUNCTION("IF(OR(D2417="""",G2417=""""),"""",IFERROR(LET(
campo,XLOOKUP(TRIM(G2417),ARRAYFORMULA(TRIM('indice columnas'!$A$2:$A$100)),'indice columnas'!$B$2:$B$100,""""),
col,IFERROR(MATCH(campo,Referencia!$A$1:$AZ$1,0),0),
fila,IFERROR(MATCH(TO_TEXT(D2417),ARRAYFOR"&amp;"MULA(TO_TEXT(Referencia!$A$2:$A6238)),0),0),
IF(OR(campo="""",campo=""-""),""NO APLICA"",
IF(col=0,""REVISAR EQUIVALENCIA"",
IF(fila=0,""SKU NO ENCONTRADO"",
LET(
valor,INDEX(Referencia!$A$2:$AZ6238,fila,col),
IF(TRIM(TO_TEXT(valor))=TRIM(TO_TEXT(I2417)),"&amp;"
""OK"",
""NO COINCIDE. Valor verdadero: ""&amp;IF(valor="""",""[VACÍO]"",TO_TEXT(valor))
)
))))
),""ERROR EN FÓRMULA""))"),"OK")</f>
        <v>OK</v>
      </c>
    </row>
    <row r="2418">
      <c r="A2418" s="83" t="s">
        <v>4078</v>
      </c>
      <c r="B2418" s="83" t="s">
        <v>4079</v>
      </c>
      <c r="C2418" s="81" t="s">
        <v>4086</v>
      </c>
      <c r="D2418" s="83" t="s">
        <v>4741</v>
      </c>
      <c r="E2418" s="81" t="s">
        <v>3567</v>
      </c>
      <c r="F2418" s="84">
        <v>672.0</v>
      </c>
      <c r="G2418" s="81" t="s">
        <v>44</v>
      </c>
      <c r="H2418" s="81" t="s">
        <v>4742</v>
      </c>
      <c r="I2418" s="81" t="s">
        <v>3558</v>
      </c>
      <c r="J2418" s="81" t="s">
        <v>4088</v>
      </c>
      <c r="K2418" s="81" t="str">
        <f>IFERROR(__xludf.DUMMYFUNCTION("IF(OR(D2418="""",G2418=""""),"""",IFERROR(LET(
campo,XLOOKUP(TRIM(G2418),ARRAYFORMULA(TRIM('indice columnas'!$A$2:$A$100)),'indice columnas'!$B$2:$B$100,""""),
col,IFERROR(MATCH(campo,Referencia!$A$1:$AZ$1,0),0),
fila,IFERROR(MATCH(TO_TEXT(D2418),ARRAYFOR"&amp;"MULA(TO_TEXT(Referencia!$A$2:$A6238)),0),0),
IF(OR(campo="""",campo=""-""),""NO APLICA"",
IF(col=0,""REVISAR EQUIVALENCIA"",
IF(fila=0,""SKU NO ENCONTRADO"",
LET(
valor,INDEX(Referencia!$A$2:$AZ6238,fila,col),
IF(TRIM(TO_TEXT(valor))=TRIM(TO_TEXT(I2418)),"&amp;"
""OK"",
""NO COINCIDE. Valor verdadero: ""&amp;IF(valor="""",""[VACÍO]"",TO_TEXT(valor))
)
))))
),""ERROR EN FÓRMULA""))"),"NO APLICA")</f>
        <v>NO APLICA</v>
      </c>
    </row>
    <row r="2419">
      <c r="A2419" s="83" t="s">
        <v>4078</v>
      </c>
      <c r="B2419" s="83" t="s">
        <v>4079</v>
      </c>
      <c r="C2419" s="81" t="s">
        <v>4086</v>
      </c>
      <c r="D2419" s="83" t="s">
        <v>4743</v>
      </c>
      <c r="E2419" s="81" t="s">
        <v>3568</v>
      </c>
      <c r="F2419" s="84">
        <v>673.0</v>
      </c>
      <c r="G2419" s="81" t="s">
        <v>12</v>
      </c>
      <c r="H2419" s="81" t="s">
        <v>224</v>
      </c>
      <c r="I2419" s="81" t="s">
        <v>55</v>
      </c>
      <c r="J2419" s="81" t="s">
        <v>224</v>
      </c>
      <c r="K2419" s="81" t="str">
        <f>IFERROR(__xludf.DUMMYFUNCTION("IF(OR(D2419="""",G2419=""""),"""",IFERROR(LET(
campo,XLOOKUP(TRIM(G2419),ARRAYFORMULA(TRIM('indice columnas'!$A$2:$A$100)),'indice columnas'!$B$2:$B$100,""""),
col,IFERROR(MATCH(campo,Referencia!$A$1:$AZ$1,0),0),
fila,IFERROR(MATCH(TO_TEXT(D2419),ARRAYFOR"&amp;"MULA(TO_TEXT(Referencia!$A$2:$A6238)),0),0),
IF(OR(campo="""",campo=""-""),""NO APLICA"",
IF(col=0,""REVISAR EQUIVALENCIA"",
IF(fila=0,""SKU NO ENCONTRADO"",
LET(
valor,INDEX(Referencia!$A$2:$AZ6238,fila,col),
IF(TRIM(TO_TEXT(valor))=TRIM(TO_TEXT(I2419)),"&amp;"
""OK"",
""NO COINCIDE. Valor verdadero: ""&amp;IF(valor="""",""[VACÍO]"",TO_TEXT(valor))
)
))))
),""ERROR EN FÓRMULA""))"),"OK")</f>
        <v>OK</v>
      </c>
    </row>
    <row r="2420">
      <c r="A2420" s="83" t="s">
        <v>4078</v>
      </c>
      <c r="B2420" s="83" t="s">
        <v>4079</v>
      </c>
      <c r="C2420" s="81" t="s">
        <v>4086</v>
      </c>
      <c r="D2420" s="83" t="s">
        <v>4743</v>
      </c>
      <c r="E2420" s="81" t="s">
        <v>3568</v>
      </c>
      <c r="F2420" s="84">
        <v>673.0</v>
      </c>
      <c r="G2420" s="81" t="s">
        <v>44</v>
      </c>
      <c r="H2420" s="81" t="s">
        <v>4742</v>
      </c>
      <c r="I2420" s="81" t="s">
        <v>3558</v>
      </c>
      <c r="J2420" s="81" t="s">
        <v>4088</v>
      </c>
      <c r="K2420" s="81" t="str">
        <f>IFERROR(__xludf.DUMMYFUNCTION("IF(OR(D2420="""",G2420=""""),"""",IFERROR(LET(
campo,XLOOKUP(TRIM(G2420),ARRAYFORMULA(TRIM('indice columnas'!$A$2:$A$100)),'indice columnas'!$B$2:$B$100,""""),
col,IFERROR(MATCH(campo,Referencia!$A$1:$AZ$1,0),0),
fila,IFERROR(MATCH(TO_TEXT(D2420),ARRAYFOR"&amp;"MULA(TO_TEXT(Referencia!$A$2:$A6238)),0),0),
IF(OR(campo="""",campo=""-""),""NO APLICA"",
IF(col=0,""REVISAR EQUIVALENCIA"",
IF(fila=0,""SKU NO ENCONTRADO"",
LET(
valor,INDEX(Referencia!$A$2:$AZ6238,fila,col),
IF(TRIM(TO_TEXT(valor))=TRIM(TO_TEXT(I2420)),"&amp;"
""OK"",
""NO COINCIDE. Valor verdadero: ""&amp;IF(valor="""",""[VACÍO]"",TO_TEXT(valor))
)
))))
),""ERROR EN FÓRMULA""))"),"NO APLICA")</f>
        <v>NO APLICA</v>
      </c>
    </row>
    <row r="2421">
      <c r="A2421" s="83" t="s">
        <v>4078</v>
      </c>
      <c r="B2421" s="83" t="s">
        <v>4079</v>
      </c>
      <c r="C2421" s="81" t="s">
        <v>4086</v>
      </c>
      <c r="D2421" s="83" t="s">
        <v>4744</v>
      </c>
      <c r="E2421" s="81" t="s">
        <v>3571</v>
      </c>
      <c r="F2421" s="84">
        <v>674.0</v>
      </c>
      <c r="G2421" s="81" t="s">
        <v>44</v>
      </c>
      <c r="H2421" s="81" t="s">
        <v>4745</v>
      </c>
      <c r="I2421" s="81" t="s">
        <v>3571</v>
      </c>
      <c r="J2421" s="81" t="s">
        <v>4088</v>
      </c>
      <c r="K2421" s="81" t="str">
        <f>IFERROR(__xludf.DUMMYFUNCTION("IF(OR(D2421="""",G2421=""""),"""",IFERROR(LET(
campo,XLOOKUP(TRIM(G2421),ARRAYFORMULA(TRIM('indice columnas'!$A$2:$A$100)),'indice columnas'!$B$2:$B$100,""""),
col,IFERROR(MATCH(campo,Referencia!$A$1:$AZ$1,0),0),
fila,IFERROR(MATCH(TO_TEXT(D2421),ARRAYFOR"&amp;"MULA(TO_TEXT(Referencia!$A$2:$A6238)),0),0),
IF(OR(campo="""",campo=""-""),""NO APLICA"",
IF(col=0,""REVISAR EQUIVALENCIA"",
IF(fila=0,""SKU NO ENCONTRADO"",
LET(
valor,INDEX(Referencia!$A$2:$AZ6238,fila,col),
IF(TRIM(TO_TEXT(valor))=TRIM(TO_TEXT(I2421)),"&amp;"
""OK"",
""NO COINCIDE. Valor verdadero: ""&amp;IF(valor="""",""[VACÍO]"",TO_TEXT(valor))
)
))))
),""ERROR EN FÓRMULA""))"),"NO APLICA")</f>
        <v>NO APLICA</v>
      </c>
    </row>
    <row r="2422">
      <c r="A2422" s="83" t="s">
        <v>4078</v>
      </c>
      <c r="B2422" s="83" t="s">
        <v>4079</v>
      </c>
      <c r="C2422" s="81" t="s">
        <v>4086</v>
      </c>
      <c r="D2422" s="83" t="s">
        <v>4744</v>
      </c>
      <c r="E2422" s="81" t="s">
        <v>3580</v>
      </c>
      <c r="F2422" s="84">
        <v>675.0</v>
      </c>
      <c r="G2422" s="81" t="s">
        <v>12</v>
      </c>
      <c r="H2422" s="81" t="s">
        <v>224</v>
      </c>
      <c r="I2422" s="81" t="s">
        <v>55</v>
      </c>
      <c r="J2422" s="81" t="s">
        <v>224</v>
      </c>
      <c r="K2422" s="81" t="str">
        <f>IFERROR(__xludf.DUMMYFUNCTION("IF(OR(D2422="""",G2422=""""),"""",IFERROR(LET(
campo,XLOOKUP(TRIM(G2422),ARRAYFORMULA(TRIM('indice columnas'!$A$2:$A$100)),'indice columnas'!$B$2:$B$100,""""),
col,IFERROR(MATCH(campo,Referencia!$A$1:$AZ$1,0),0),
fila,IFERROR(MATCH(TO_TEXT(D2422),ARRAYFOR"&amp;"MULA(TO_TEXT(Referencia!$A$2:$A6238)),0),0),
IF(OR(campo="""",campo=""-""),""NO APLICA"",
IF(col=0,""REVISAR EQUIVALENCIA"",
IF(fila=0,""SKU NO ENCONTRADO"",
LET(
valor,INDEX(Referencia!$A$2:$AZ6238,fila,col),
IF(TRIM(TO_TEXT(valor))=TRIM(TO_TEXT(I2422)),"&amp;"
""OK"",
""NO COINCIDE. Valor verdadero: ""&amp;IF(valor="""",""[VACÍO]"",TO_TEXT(valor))
)
))))
),""ERROR EN FÓRMULA""))"),"OK")</f>
        <v>OK</v>
      </c>
    </row>
    <row r="2423">
      <c r="A2423" s="83" t="s">
        <v>4078</v>
      </c>
      <c r="B2423" s="83" t="s">
        <v>4079</v>
      </c>
      <c r="C2423" s="81" t="s">
        <v>4086</v>
      </c>
      <c r="D2423" s="83" t="s">
        <v>4744</v>
      </c>
      <c r="E2423" s="81" t="s">
        <v>3580</v>
      </c>
      <c r="F2423" s="84">
        <v>675.0</v>
      </c>
      <c r="G2423" s="81" t="s">
        <v>29</v>
      </c>
      <c r="H2423" s="81" t="s">
        <v>4746</v>
      </c>
      <c r="I2423" s="81" t="s">
        <v>3572</v>
      </c>
      <c r="J2423" s="81" t="s">
        <v>224</v>
      </c>
      <c r="K2423" s="81" t="str">
        <f>IFERROR(__xludf.DUMMYFUNCTION("IF(OR(D2423="""",G2423=""""),"""",IFERROR(LET(
campo,XLOOKUP(TRIM(G2423),ARRAYFORMULA(TRIM('indice columnas'!$A$2:$A$100)),'indice columnas'!$B$2:$B$100,""""),
col,IFERROR(MATCH(campo,Referencia!$A$1:$AZ$1,0),0),
fila,IFERROR(MATCH(TO_TEXT(D2423),ARRAYFOR"&amp;"MULA(TO_TEXT(Referencia!$A$2:$A6238)),0),0),
IF(OR(campo="""",campo=""-""),""NO APLICA"",
IF(col=0,""REVISAR EQUIVALENCIA"",
IF(fila=0,""SKU NO ENCONTRADO"",
LET(
valor,INDEX(Referencia!$A$2:$AZ6238,fila,col),
IF(TRIM(TO_TEXT(valor))=TRIM(TO_TEXT(I2423)),"&amp;"
""OK"",
""NO COINCIDE. Valor verdadero: ""&amp;IF(valor="""",""[VACÍO]"",TO_TEXT(valor))
)
))))
),""ERROR EN FÓRMULA""))"),"NO COINCIDE. Valor verdadero: ∅91 x 23")</f>
        <v>NO COINCIDE. Valor verdadero: ∅91 x 23</v>
      </c>
    </row>
    <row r="2424">
      <c r="A2424" s="83" t="s">
        <v>4078</v>
      </c>
      <c r="B2424" s="83" t="s">
        <v>4079</v>
      </c>
      <c r="C2424" s="81" t="s">
        <v>4086</v>
      </c>
      <c r="D2424" s="83" t="s">
        <v>4744</v>
      </c>
      <c r="E2424" s="81" t="s">
        <v>3580</v>
      </c>
      <c r="F2424" s="84">
        <v>675.0</v>
      </c>
      <c r="G2424" s="81" t="s">
        <v>44</v>
      </c>
      <c r="H2424" s="81" t="s">
        <v>4745</v>
      </c>
      <c r="I2424" s="81" t="s">
        <v>3571</v>
      </c>
      <c r="J2424" s="81" t="s">
        <v>4088</v>
      </c>
      <c r="K2424" s="81" t="str">
        <f>IFERROR(__xludf.DUMMYFUNCTION("IF(OR(D2424="""",G2424=""""),"""",IFERROR(LET(
campo,XLOOKUP(TRIM(G2424),ARRAYFORMULA(TRIM('indice columnas'!$A$2:$A$100)),'indice columnas'!$B$2:$B$100,""""),
col,IFERROR(MATCH(campo,Referencia!$A$1:$AZ$1,0),0),
fila,IFERROR(MATCH(TO_TEXT(D2424),ARRAYFOR"&amp;"MULA(TO_TEXT(Referencia!$A$2:$A6238)),0),0),
IF(OR(campo="""",campo=""-""),""NO APLICA"",
IF(col=0,""REVISAR EQUIVALENCIA"",
IF(fila=0,""SKU NO ENCONTRADO"",
LET(
valor,INDEX(Referencia!$A$2:$AZ6238,fila,col),
IF(TRIM(TO_TEXT(valor))=TRIM(TO_TEXT(I2424)),"&amp;"
""OK"",
""NO COINCIDE. Valor verdadero: ""&amp;IF(valor="""",""[VACÍO]"",TO_TEXT(valor))
)
))))
),""ERROR EN FÓRMULA""))"),"NO APLICA")</f>
        <v>NO APLICA</v>
      </c>
    </row>
    <row r="2425">
      <c r="A2425" s="83" t="s">
        <v>4078</v>
      </c>
      <c r="B2425" s="83" t="s">
        <v>4079</v>
      </c>
      <c r="C2425" s="81" t="s">
        <v>4086</v>
      </c>
      <c r="D2425" s="83" t="s">
        <v>4747</v>
      </c>
      <c r="E2425" s="81" t="s">
        <v>3581</v>
      </c>
      <c r="F2425" s="84">
        <v>676.0</v>
      </c>
      <c r="G2425" s="81" t="s">
        <v>12</v>
      </c>
      <c r="H2425" s="81" t="s">
        <v>224</v>
      </c>
      <c r="I2425" s="81" t="s">
        <v>55</v>
      </c>
      <c r="J2425" s="81" t="s">
        <v>224</v>
      </c>
      <c r="K2425" s="81" t="str">
        <f>IFERROR(__xludf.DUMMYFUNCTION("IF(OR(D2425="""",G2425=""""),"""",IFERROR(LET(
campo,XLOOKUP(TRIM(G2425),ARRAYFORMULA(TRIM('indice columnas'!$A$2:$A$100)),'indice columnas'!$B$2:$B$100,""""),
col,IFERROR(MATCH(campo,Referencia!$A$1:$AZ$1,0),0),
fila,IFERROR(MATCH(TO_TEXT(D2425),ARRAYFOR"&amp;"MULA(TO_TEXT(Referencia!$A$2:$A6238)),0),0),
IF(OR(campo="""",campo=""-""),""NO APLICA"",
IF(col=0,""REVISAR EQUIVALENCIA"",
IF(fila=0,""SKU NO ENCONTRADO"",
LET(
valor,INDEX(Referencia!$A$2:$AZ6238,fila,col),
IF(TRIM(TO_TEXT(valor))=TRIM(TO_TEXT(I2425)),"&amp;"
""OK"",
""NO COINCIDE. Valor verdadero: ""&amp;IF(valor="""",""[VACÍO]"",TO_TEXT(valor))
)
))))
),""ERROR EN FÓRMULA""))"),"OK")</f>
        <v>OK</v>
      </c>
    </row>
    <row r="2426">
      <c r="A2426" s="83" t="s">
        <v>4078</v>
      </c>
      <c r="B2426" s="83" t="s">
        <v>4079</v>
      </c>
      <c r="C2426" s="81" t="s">
        <v>4086</v>
      </c>
      <c r="D2426" s="83" t="s">
        <v>4747</v>
      </c>
      <c r="E2426" s="81" t="s">
        <v>3581</v>
      </c>
      <c r="F2426" s="84">
        <v>676.0</v>
      </c>
      <c r="G2426" s="81" t="s">
        <v>29</v>
      </c>
      <c r="H2426" s="81" t="s">
        <v>4746</v>
      </c>
      <c r="I2426" s="81" t="s">
        <v>3572</v>
      </c>
      <c r="J2426" s="81" t="s">
        <v>224</v>
      </c>
      <c r="K2426" s="81" t="str">
        <f>IFERROR(__xludf.DUMMYFUNCTION("IF(OR(D2426="""",G2426=""""),"""",IFERROR(LET(
campo,XLOOKUP(TRIM(G2426),ARRAYFORMULA(TRIM('indice columnas'!$A$2:$A$100)),'indice columnas'!$B$2:$B$100,""""),
col,IFERROR(MATCH(campo,Referencia!$A$1:$AZ$1,0),0),
fila,IFERROR(MATCH(TO_TEXT(D2426),ARRAYFOR"&amp;"MULA(TO_TEXT(Referencia!$A$2:$A6238)),0),0),
IF(OR(campo="""",campo=""-""),""NO APLICA"",
IF(col=0,""REVISAR EQUIVALENCIA"",
IF(fila=0,""SKU NO ENCONTRADO"",
LET(
valor,INDEX(Referencia!$A$2:$AZ6238,fila,col),
IF(TRIM(TO_TEXT(valor))=TRIM(TO_TEXT(I2426)),"&amp;"
""OK"",
""NO COINCIDE. Valor verdadero: ""&amp;IF(valor="""",""[VACÍO]"",TO_TEXT(valor))
)
))))
),""ERROR EN FÓRMULA""))"),"NO COINCIDE. Valor verdadero: ∅91 x 23")</f>
        <v>NO COINCIDE. Valor verdadero: ∅91 x 23</v>
      </c>
    </row>
    <row r="2427">
      <c r="A2427" s="83" t="s">
        <v>4078</v>
      </c>
      <c r="B2427" s="83" t="s">
        <v>4079</v>
      </c>
      <c r="C2427" s="81" t="s">
        <v>4086</v>
      </c>
      <c r="D2427" s="83" t="s">
        <v>4747</v>
      </c>
      <c r="E2427" s="81" t="s">
        <v>3581</v>
      </c>
      <c r="F2427" s="84">
        <v>676.0</v>
      </c>
      <c r="G2427" s="81" t="s">
        <v>44</v>
      </c>
      <c r="H2427" s="81" t="s">
        <v>4745</v>
      </c>
      <c r="I2427" s="81" t="s">
        <v>3571</v>
      </c>
      <c r="J2427" s="81" t="s">
        <v>4088</v>
      </c>
      <c r="K2427" s="81" t="str">
        <f>IFERROR(__xludf.DUMMYFUNCTION("IF(OR(D2427="""",G2427=""""),"""",IFERROR(LET(
campo,XLOOKUP(TRIM(G2427),ARRAYFORMULA(TRIM('indice columnas'!$A$2:$A$100)),'indice columnas'!$B$2:$B$100,""""),
col,IFERROR(MATCH(campo,Referencia!$A$1:$AZ$1,0),0),
fila,IFERROR(MATCH(TO_TEXT(D2427),ARRAYFOR"&amp;"MULA(TO_TEXT(Referencia!$A$2:$A6238)),0),0),
IF(OR(campo="""",campo=""-""),""NO APLICA"",
IF(col=0,""REVISAR EQUIVALENCIA"",
IF(fila=0,""SKU NO ENCONTRADO"",
LET(
valor,INDEX(Referencia!$A$2:$AZ6238,fila,col),
IF(TRIM(TO_TEXT(valor))=TRIM(TO_TEXT(I2427)),"&amp;"
""OK"",
""NO COINCIDE. Valor verdadero: ""&amp;IF(valor="""",""[VACÍO]"",TO_TEXT(valor))
)
))))
),""ERROR EN FÓRMULA""))"),"NO APLICA")</f>
        <v>NO APLICA</v>
      </c>
    </row>
    <row r="2428">
      <c r="A2428" s="83" t="s">
        <v>4078</v>
      </c>
      <c r="B2428" s="83" t="s">
        <v>4079</v>
      </c>
      <c r="C2428" s="81" t="s">
        <v>4086</v>
      </c>
      <c r="D2428" s="83" t="s">
        <v>4748</v>
      </c>
      <c r="E2428" s="81" t="s">
        <v>3584</v>
      </c>
      <c r="F2428" s="84">
        <v>677.0</v>
      </c>
      <c r="G2428" s="81" t="s">
        <v>12</v>
      </c>
      <c r="H2428" s="81" t="s">
        <v>224</v>
      </c>
      <c r="I2428" s="81" t="s">
        <v>1549</v>
      </c>
      <c r="J2428" s="81" t="s">
        <v>224</v>
      </c>
      <c r="K2428" s="81" t="str">
        <f>IFERROR(__xludf.DUMMYFUNCTION("IF(OR(D2428="""",G2428=""""),"""",IFERROR(LET(
campo,XLOOKUP(TRIM(G2428),ARRAYFORMULA(TRIM('indice columnas'!$A$2:$A$100)),'indice columnas'!$B$2:$B$100,""""),
col,IFERROR(MATCH(campo,Referencia!$A$1:$AZ$1,0),0),
fila,IFERROR(MATCH(TO_TEXT(D2428),ARRAYFOR"&amp;"MULA(TO_TEXT(Referencia!$A$2:$A6238)),0),0),
IF(OR(campo="""",campo=""-""),""NO APLICA"",
IF(col=0,""REVISAR EQUIVALENCIA"",
IF(fila=0,""SKU NO ENCONTRADO"",
LET(
valor,INDEX(Referencia!$A$2:$AZ6238,fila,col),
IF(TRIM(TO_TEXT(valor))=TRIM(TO_TEXT(I2428)),"&amp;"
""OK"",
""NO COINCIDE. Valor verdadero: ""&amp;IF(valor="""",""[VACÍO]"",TO_TEXT(valor))
)
))))
),""ERROR EN FÓRMULA""))"),"OK")</f>
        <v>OK</v>
      </c>
    </row>
    <row r="2429">
      <c r="A2429" s="83" t="s">
        <v>4078</v>
      </c>
      <c r="B2429" s="83" t="s">
        <v>4079</v>
      </c>
      <c r="C2429" s="81" t="s">
        <v>4086</v>
      </c>
      <c r="D2429" s="83" t="s">
        <v>4748</v>
      </c>
      <c r="E2429" s="81" t="s">
        <v>3584</v>
      </c>
      <c r="F2429" s="84">
        <v>677.0</v>
      </c>
      <c r="G2429" s="81" t="s">
        <v>44</v>
      </c>
      <c r="H2429" s="81" t="s">
        <v>224</v>
      </c>
      <c r="I2429" s="81" t="s">
        <v>1550</v>
      </c>
      <c r="J2429" s="81" t="s">
        <v>4088</v>
      </c>
      <c r="K2429" s="81" t="str">
        <f>IFERROR(__xludf.DUMMYFUNCTION("IF(OR(D2429="""",G2429=""""),"""",IFERROR(LET(
campo,XLOOKUP(TRIM(G2429),ARRAYFORMULA(TRIM('indice columnas'!$A$2:$A$100)),'indice columnas'!$B$2:$B$100,""""),
col,IFERROR(MATCH(campo,Referencia!$A$1:$AZ$1,0),0),
fila,IFERROR(MATCH(TO_TEXT(D2429),ARRAYFOR"&amp;"MULA(TO_TEXT(Referencia!$A$2:$A6238)),0),0),
IF(OR(campo="""",campo=""-""),""NO APLICA"",
IF(col=0,""REVISAR EQUIVALENCIA"",
IF(fila=0,""SKU NO ENCONTRADO"",
LET(
valor,INDEX(Referencia!$A$2:$AZ6238,fila,col),
IF(TRIM(TO_TEXT(valor))=TRIM(TO_TEXT(I2429)),"&amp;"
""OK"",
""NO COINCIDE. Valor verdadero: ""&amp;IF(valor="""",""[VACÍO]"",TO_TEXT(valor))
)
))))
),""ERROR EN FÓRMULA""))"),"NO APLICA")</f>
        <v>NO APLICA</v>
      </c>
    </row>
    <row r="2430">
      <c r="A2430" s="83" t="s">
        <v>4078</v>
      </c>
      <c r="B2430" s="83" t="s">
        <v>4079</v>
      </c>
      <c r="C2430" s="81" t="s">
        <v>4086</v>
      </c>
      <c r="D2430" s="83" t="s">
        <v>4749</v>
      </c>
      <c r="E2430" s="81" t="s">
        <v>3588</v>
      </c>
      <c r="F2430" s="84">
        <v>678.0</v>
      </c>
      <c r="G2430" s="81" t="s">
        <v>44</v>
      </c>
      <c r="H2430" s="81" t="s">
        <v>224</v>
      </c>
      <c r="I2430" s="81" t="s">
        <v>1923</v>
      </c>
      <c r="J2430" s="81" t="s">
        <v>4088</v>
      </c>
      <c r="K2430" s="81" t="str">
        <f>IFERROR(__xludf.DUMMYFUNCTION("IF(OR(D2430="""",G2430=""""),"""",IFERROR(LET(
campo,XLOOKUP(TRIM(G2430),ARRAYFORMULA(TRIM('indice columnas'!$A$2:$A$100)),'indice columnas'!$B$2:$B$100,""""),
col,IFERROR(MATCH(campo,Referencia!$A$1:$AZ$1,0),0),
fila,IFERROR(MATCH(TO_TEXT(D2430),ARRAYFOR"&amp;"MULA(TO_TEXT(Referencia!$A$2:$A6238)),0),0),
IF(OR(campo="""",campo=""-""),""NO APLICA"",
IF(col=0,""REVISAR EQUIVALENCIA"",
IF(fila=0,""SKU NO ENCONTRADO"",
LET(
valor,INDEX(Referencia!$A$2:$AZ6238,fila,col),
IF(TRIM(TO_TEXT(valor))=TRIM(TO_TEXT(I2430)),"&amp;"
""OK"",
""NO COINCIDE. Valor verdadero: ""&amp;IF(valor="""",""[VACÍO]"",TO_TEXT(valor))
)
))))
),""ERROR EN FÓRMULA""))"),"NO APLICA")</f>
        <v>NO APLICA</v>
      </c>
    </row>
    <row r="2431">
      <c r="A2431" s="83" t="s">
        <v>4078</v>
      </c>
      <c r="B2431" s="83" t="s">
        <v>4079</v>
      </c>
      <c r="C2431" s="81" t="s">
        <v>4086</v>
      </c>
      <c r="D2431" s="83" t="s">
        <v>4749</v>
      </c>
      <c r="E2431" s="81" t="s">
        <v>3596</v>
      </c>
      <c r="F2431" s="84">
        <v>679.0</v>
      </c>
      <c r="G2431" s="81" t="s">
        <v>44</v>
      </c>
      <c r="H2431" s="81" t="s">
        <v>224</v>
      </c>
      <c r="I2431" s="81" t="s">
        <v>1923</v>
      </c>
      <c r="J2431" s="81" t="s">
        <v>4088</v>
      </c>
      <c r="K2431" s="81" t="str">
        <f>IFERROR(__xludf.DUMMYFUNCTION("IF(OR(D2431="""",G2431=""""),"""",IFERROR(LET(
campo,XLOOKUP(TRIM(G2431),ARRAYFORMULA(TRIM('indice columnas'!$A$2:$A$100)),'indice columnas'!$B$2:$B$100,""""),
col,IFERROR(MATCH(campo,Referencia!$A$1:$AZ$1,0),0),
fila,IFERROR(MATCH(TO_TEXT(D2431),ARRAYFOR"&amp;"MULA(TO_TEXT(Referencia!$A$2:$A6238)),0),0),
IF(OR(campo="""",campo=""-""),""NO APLICA"",
IF(col=0,""REVISAR EQUIVALENCIA"",
IF(fila=0,""SKU NO ENCONTRADO"",
LET(
valor,INDEX(Referencia!$A$2:$AZ6238,fila,col),
IF(TRIM(TO_TEXT(valor))=TRIM(TO_TEXT(I2431)),"&amp;"
""OK"",
""NO COINCIDE. Valor verdadero: ""&amp;IF(valor="""",""[VACÍO]"",TO_TEXT(valor))
)
))))
),""ERROR EN FÓRMULA""))"),"NO APLICA")</f>
        <v>NO APLICA</v>
      </c>
    </row>
    <row r="2432">
      <c r="A2432" s="83" t="s">
        <v>4078</v>
      </c>
      <c r="B2432" s="83" t="s">
        <v>4079</v>
      </c>
      <c r="C2432" s="81" t="s">
        <v>4086</v>
      </c>
      <c r="D2432" s="83" t="s">
        <v>4750</v>
      </c>
      <c r="E2432" s="81" t="s">
        <v>3597</v>
      </c>
      <c r="F2432" s="84">
        <v>680.0</v>
      </c>
      <c r="G2432" s="81" t="s">
        <v>12</v>
      </c>
      <c r="H2432" s="81" t="s">
        <v>224</v>
      </c>
      <c r="I2432" s="81" t="s">
        <v>55</v>
      </c>
      <c r="J2432" s="81" t="s">
        <v>224</v>
      </c>
      <c r="K2432" s="81" t="str">
        <f>IFERROR(__xludf.DUMMYFUNCTION("IF(OR(D2432="""",G2432=""""),"""",IFERROR(LET(
campo,XLOOKUP(TRIM(G2432),ARRAYFORMULA(TRIM('indice columnas'!$A$2:$A$100)),'indice columnas'!$B$2:$B$100,""""),
col,IFERROR(MATCH(campo,Referencia!$A$1:$AZ$1,0),0),
fila,IFERROR(MATCH(TO_TEXT(D2432),ARRAYFOR"&amp;"MULA(TO_TEXT(Referencia!$A$2:$A6238)),0),0),
IF(OR(campo="""",campo=""-""),""NO APLICA"",
IF(col=0,""REVISAR EQUIVALENCIA"",
IF(fila=0,""SKU NO ENCONTRADO"",
LET(
valor,INDEX(Referencia!$A$2:$AZ6238,fila,col),
IF(TRIM(TO_TEXT(valor))=TRIM(TO_TEXT(I2432)),"&amp;"
""OK"",
""NO COINCIDE. Valor verdadero: ""&amp;IF(valor="""",""[VACÍO]"",TO_TEXT(valor))
)
))))
),""ERROR EN FÓRMULA""))"),"OK")</f>
        <v>OK</v>
      </c>
    </row>
    <row r="2433">
      <c r="A2433" s="83" t="s">
        <v>4078</v>
      </c>
      <c r="B2433" s="83" t="s">
        <v>4079</v>
      </c>
      <c r="C2433" s="81" t="s">
        <v>4086</v>
      </c>
      <c r="D2433" s="83" t="s">
        <v>4750</v>
      </c>
      <c r="E2433" s="81" t="s">
        <v>3597</v>
      </c>
      <c r="F2433" s="84">
        <v>680.0</v>
      </c>
      <c r="G2433" s="81" t="s">
        <v>44</v>
      </c>
      <c r="H2433" s="81" t="s">
        <v>224</v>
      </c>
      <c r="I2433" s="81" t="s">
        <v>1923</v>
      </c>
      <c r="J2433" s="81" t="s">
        <v>4088</v>
      </c>
      <c r="K2433" s="81" t="str">
        <f>IFERROR(__xludf.DUMMYFUNCTION("IF(OR(D2433="""",G2433=""""),"""",IFERROR(LET(
campo,XLOOKUP(TRIM(G2433),ARRAYFORMULA(TRIM('indice columnas'!$A$2:$A$100)),'indice columnas'!$B$2:$B$100,""""),
col,IFERROR(MATCH(campo,Referencia!$A$1:$AZ$1,0),0),
fila,IFERROR(MATCH(TO_TEXT(D2433),ARRAYFOR"&amp;"MULA(TO_TEXT(Referencia!$A$2:$A6238)),0),0),
IF(OR(campo="""",campo=""-""),""NO APLICA"",
IF(col=0,""REVISAR EQUIVALENCIA"",
IF(fila=0,""SKU NO ENCONTRADO"",
LET(
valor,INDEX(Referencia!$A$2:$AZ6238,fila,col),
IF(TRIM(TO_TEXT(valor))=TRIM(TO_TEXT(I2433)),"&amp;"
""OK"",
""NO COINCIDE. Valor verdadero: ""&amp;IF(valor="""",""[VACÍO]"",TO_TEXT(valor))
)
))))
),""ERROR EN FÓRMULA""))"),"NO APLICA")</f>
        <v>NO APLICA</v>
      </c>
    </row>
    <row r="2434">
      <c r="A2434" s="83" t="s">
        <v>4078</v>
      </c>
      <c r="B2434" s="83" t="s">
        <v>4079</v>
      </c>
      <c r="C2434" s="81" t="s">
        <v>4086</v>
      </c>
      <c r="D2434" s="83" t="s">
        <v>4751</v>
      </c>
      <c r="E2434" s="81" t="s">
        <v>3600</v>
      </c>
      <c r="F2434" s="84">
        <v>681.0</v>
      </c>
      <c r="G2434" s="81" t="s">
        <v>12</v>
      </c>
      <c r="H2434" s="81" t="s">
        <v>224</v>
      </c>
      <c r="I2434" s="81" t="s">
        <v>55</v>
      </c>
      <c r="J2434" s="81" t="s">
        <v>224</v>
      </c>
      <c r="K2434" s="81" t="str">
        <f>IFERROR(__xludf.DUMMYFUNCTION("IF(OR(D2434="""",G2434=""""),"""",IFERROR(LET(
campo,XLOOKUP(TRIM(G2434),ARRAYFORMULA(TRIM('indice columnas'!$A$2:$A$100)),'indice columnas'!$B$2:$B$100,""""),
col,IFERROR(MATCH(campo,Referencia!$A$1:$AZ$1,0),0),
fila,IFERROR(MATCH(TO_TEXT(D2434),ARRAYFOR"&amp;"MULA(TO_TEXT(Referencia!$A$2:$A6238)),0),0),
IF(OR(campo="""",campo=""-""),""NO APLICA"",
IF(col=0,""REVISAR EQUIVALENCIA"",
IF(fila=0,""SKU NO ENCONTRADO"",
LET(
valor,INDEX(Referencia!$A$2:$AZ6238,fila,col),
IF(TRIM(TO_TEXT(valor))=TRIM(TO_TEXT(I2434)),"&amp;"
""OK"",
""NO COINCIDE. Valor verdadero: ""&amp;IF(valor="""",""[VACÍO]"",TO_TEXT(valor))
)
))))
),""ERROR EN FÓRMULA""))"),"OK")</f>
        <v>OK</v>
      </c>
    </row>
    <row r="2435">
      <c r="A2435" s="83" t="s">
        <v>4078</v>
      </c>
      <c r="B2435" s="83" t="s">
        <v>4079</v>
      </c>
      <c r="C2435" s="81" t="s">
        <v>4086</v>
      </c>
      <c r="D2435" s="83" t="s">
        <v>4751</v>
      </c>
      <c r="E2435" s="81" t="s">
        <v>3600</v>
      </c>
      <c r="F2435" s="84">
        <v>681.0</v>
      </c>
      <c r="G2435" s="81" t="s">
        <v>44</v>
      </c>
      <c r="H2435" s="81" t="s">
        <v>224</v>
      </c>
      <c r="I2435" s="81" t="s">
        <v>924</v>
      </c>
      <c r="J2435" s="81" t="s">
        <v>4088</v>
      </c>
      <c r="K2435" s="81" t="str">
        <f>IFERROR(__xludf.DUMMYFUNCTION("IF(OR(D2435="""",G2435=""""),"""",IFERROR(LET(
campo,XLOOKUP(TRIM(G2435),ARRAYFORMULA(TRIM('indice columnas'!$A$2:$A$100)),'indice columnas'!$B$2:$B$100,""""),
col,IFERROR(MATCH(campo,Referencia!$A$1:$AZ$1,0),0),
fila,IFERROR(MATCH(TO_TEXT(D2435),ARRAYFOR"&amp;"MULA(TO_TEXT(Referencia!$A$2:$A6238)),0),0),
IF(OR(campo="""",campo=""-""),""NO APLICA"",
IF(col=0,""REVISAR EQUIVALENCIA"",
IF(fila=0,""SKU NO ENCONTRADO"",
LET(
valor,INDEX(Referencia!$A$2:$AZ6238,fila,col),
IF(TRIM(TO_TEXT(valor))=TRIM(TO_TEXT(I2435)),"&amp;"
""OK"",
""NO COINCIDE. Valor verdadero: ""&amp;IF(valor="""",""[VACÍO]"",TO_TEXT(valor))
)
))))
),""ERROR EN FÓRMULA""))"),"NO APLICA")</f>
        <v>NO APLICA</v>
      </c>
    </row>
    <row r="2436">
      <c r="A2436" s="83" t="s">
        <v>4078</v>
      </c>
      <c r="B2436" s="83" t="s">
        <v>4079</v>
      </c>
      <c r="C2436" s="81" t="s">
        <v>4086</v>
      </c>
      <c r="D2436" s="83" t="s">
        <v>4752</v>
      </c>
      <c r="E2436" s="81" t="s">
        <v>3605</v>
      </c>
      <c r="F2436" s="84">
        <v>682.0</v>
      </c>
      <c r="G2436" s="81" t="s">
        <v>12</v>
      </c>
      <c r="H2436" s="81" t="s">
        <v>224</v>
      </c>
      <c r="I2436" s="81" t="s">
        <v>55</v>
      </c>
      <c r="J2436" s="81" t="s">
        <v>224</v>
      </c>
      <c r="K2436" s="81" t="str">
        <f>IFERROR(__xludf.DUMMYFUNCTION("IF(OR(D2436="""",G2436=""""),"""",IFERROR(LET(
campo,XLOOKUP(TRIM(G2436),ARRAYFORMULA(TRIM('indice columnas'!$A$2:$A$100)),'indice columnas'!$B$2:$B$100,""""),
col,IFERROR(MATCH(campo,Referencia!$A$1:$AZ$1,0),0),
fila,IFERROR(MATCH(TO_TEXT(D2436),ARRAYFOR"&amp;"MULA(TO_TEXT(Referencia!$A$2:$A6238)),0),0),
IF(OR(campo="""",campo=""-""),""NO APLICA"",
IF(col=0,""REVISAR EQUIVALENCIA"",
IF(fila=0,""SKU NO ENCONTRADO"",
LET(
valor,INDEX(Referencia!$A$2:$AZ6238,fila,col),
IF(TRIM(TO_TEXT(valor))=TRIM(TO_TEXT(I2436)),"&amp;"
""OK"",
""NO COINCIDE. Valor verdadero: ""&amp;IF(valor="""",""[VACÍO]"",TO_TEXT(valor))
)
))))
),""ERROR EN FÓRMULA""))"),"OK")</f>
        <v>OK</v>
      </c>
    </row>
    <row r="2437">
      <c r="A2437" s="83" t="s">
        <v>4078</v>
      </c>
      <c r="B2437" s="83" t="s">
        <v>4079</v>
      </c>
      <c r="C2437" s="81" t="s">
        <v>4086</v>
      </c>
      <c r="D2437" s="83" t="s">
        <v>4752</v>
      </c>
      <c r="E2437" s="81" t="s">
        <v>3605</v>
      </c>
      <c r="F2437" s="84">
        <v>682.0</v>
      </c>
      <c r="G2437" s="81" t="s">
        <v>44</v>
      </c>
      <c r="H2437" s="81" t="s">
        <v>224</v>
      </c>
      <c r="I2437" s="81" t="s">
        <v>924</v>
      </c>
      <c r="J2437" s="81" t="s">
        <v>4088</v>
      </c>
      <c r="K2437" s="81" t="str">
        <f>IFERROR(__xludf.DUMMYFUNCTION("IF(OR(D2437="""",G2437=""""),"""",IFERROR(LET(
campo,XLOOKUP(TRIM(G2437),ARRAYFORMULA(TRIM('indice columnas'!$A$2:$A$100)),'indice columnas'!$B$2:$B$100,""""),
col,IFERROR(MATCH(campo,Referencia!$A$1:$AZ$1,0),0),
fila,IFERROR(MATCH(TO_TEXT(D2437),ARRAYFOR"&amp;"MULA(TO_TEXT(Referencia!$A$2:$A6238)),0),0),
IF(OR(campo="""",campo=""-""),""NO APLICA"",
IF(col=0,""REVISAR EQUIVALENCIA"",
IF(fila=0,""SKU NO ENCONTRADO"",
LET(
valor,INDEX(Referencia!$A$2:$AZ6238,fila,col),
IF(TRIM(TO_TEXT(valor))=TRIM(TO_TEXT(I2437)),"&amp;"
""OK"",
""NO COINCIDE. Valor verdadero: ""&amp;IF(valor="""",""[VACÍO]"",TO_TEXT(valor))
)
))))
),""ERROR EN FÓRMULA""))"),"NO APLICA")</f>
        <v>NO APLICA</v>
      </c>
    </row>
    <row r="2438">
      <c r="A2438" s="83" t="s">
        <v>4078</v>
      </c>
      <c r="B2438" s="83" t="s">
        <v>4079</v>
      </c>
      <c r="C2438" s="81" t="s">
        <v>4086</v>
      </c>
      <c r="D2438" s="83" t="s">
        <v>4753</v>
      </c>
      <c r="E2438" s="81" t="s">
        <v>3608</v>
      </c>
      <c r="F2438" s="84">
        <v>683.0</v>
      </c>
      <c r="G2438" s="81" t="s">
        <v>44</v>
      </c>
      <c r="H2438" s="81" t="s">
        <v>224</v>
      </c>
      <c r="I2438" s="81" t="s">
        <v>3608</v>
      </c>
      <c r="J2438" s="81" t="s">
        <v>4088</v>
      </c>
      <c r="K2438" s="81" t="str">
        <f>IFERROR(__xludf.DUMMYFUNCTION("IF(OR(D2438="""",G2438=""""),"""",IFERROR(LET(
campo,XLOOKUP(TRIM(G2438),ARRAYFORMULA(TRIM('indice columnas'!$A$2:$A$100)),'indice columnas'!$B$2:$B$100,""""),
col,IFERROR(MATCH(campo,Referencia!$A$1:$AZ$1,0),0),
fila,IFERROR(MATCH(TO_TEXT(D2438),ARRAYFOR"&amp;"MULA(TO_TEXT(Referencia!$A$2:$A6238)),0),0),
IF(OR(campo="""",campo=""-""),""NO APLICA"",
IF(col=0,""REVISAR EQUIVALENCIA"",
IF(fila=0,""SKU NO ENCONTRADO"",
LET(
valor,INDEX(Referencia!$A$2:$AZ6238,fila,col),
IF(TRIM(TO_TEXT(valor))=TRIM(TO_TEXT(I2438)),"&amp;"
""OK"",
""NO COINCIDE. Valor verdadero: ""&amp;IF(valor="""",""[VACÍO]"",TO_TEXT(valor))
)
))))
),""ERROR EN FÓRMULA""))"),"NO APLICA")</f>
        <v>NO APLICA</v>
      </c>
    </row>
    <row r="2439">
      <c r="A2439" s="83" t="s">
        <v>4078</v>
      </c>
      <c r="B2439" s="83" t="s">
        <v>4079</v>
      </c>
      <c r="C2439" s="81" t="s">
        <v>4086</v>
      </c>
      <c r="D2439" s="83" t="s">
        <v>4754</v>
      </c>
      <c r="E2439" s="81" t="s">
        <v>3621</v>
      </c>
      <c r="F2439" s="84">
        <v>684.0</v>
      </c>
      <c r="G2439" s="81" t="s">
        <v>44</v>
      </c>
      <c r="H2439" s="81" t="s">
        <v>224</v>
      </c>
      <c r="I2439" s="81" t="s">
        <v>3621</v>
      </c>
      <c r="J2439" s="81" t="s">
        <v>4088</v>
      </c>
      <c r="K2439" s="81" t="str">
        <f>IFERROR(__xludf.DUMMYFUNCTION("IF(OR(D2439="""",G2439=""""),"""",IFERROR(LET(
campo,XLOOKUP(TRIM(G2439),ARRAYFORMULA(TRIM('indice columnas'!$A$2:$A$100)),'indice columnas'!$B$2:$B$100,""""),
col,IFERROR(MATCH(campo,Referencia!$A$1:$AZ$1,0),0),
fila,IFERROR(MATCH(TO_TEXT(D2439),ARRAYFOR"&amp;"MULA(TO_TEXT(Referencia!$A$2:$A6238)),0),0),
IF(OR(campo="""",campo=""-""),""NO APLICA"",
IF(col=0,""REVISAR EQUIVALENCIA"",
IF(fila=0,""SKU NO ENCONTRADO"",
LET(
valor,INDEX(Referencia!$A$2:$AZ6238,fila,col),
IF(TRIM(TO_TEXT(valor))=TRIM(TO_TEXT(I2439)),"&amp;"
""OK"",
""NO COINCIDE. Valor verdadero: ""&amp;IF(valor="""",""[VACÍO]"",TO_TEXT(valor))
)
))))
),""ERROR EN FÓRMULA""))"),"NO APLICA")</f>
        <v>NO APLICA</v>
      </c>
    </row>
    <row r="2440">
      <c r="A2440" s="83" t="s">
        <v>4078</v>
      </c>
      <c r="B2440" s="83" t="s">
        <v>4079</v>
      </c>
      <c r="C2440" s="81" t="s">
        <v>4086</v>
      </c>
      <c r="D2440" s="83" t="s">
        <v>4755</v>
      </c>
      <c r="E2440" s="81" t="s">
        <v>3633</v>
      </c>
      <c r="F2440" s="84">
        <v>685.0</v>
      </c>
      <c r="G2440" s="81" t="s">
        <v>7</v>
      </c>
      <c r="H2440" s="81" t="s">
        <v>3623</v>
      </c>
      <c r="I2440" s="81" t="s">
        <v>1134</v>
      </c>
      <c r="J2440" s="81" t="s">
        <v>224</v>
      </c>
      <c r="K2440" s="81" t="str">
        <f>IFERROR(__xludf.DUMMYFUNCTION("IF(OR(D2440="""",G2440=""""),"""",IFERROR(LET(
campo,XLOOKUP(TRIM(G2440),ARRAYFORMULA(TRIM('indice columnas'!$A$2:$A$100)),'indice columnas'!$B$2:$B$100,""""),
col,IFERROR(MATCH(campo,Referencia!$A$1:$AZ$1,0),0),
fila,IFERROR(MATCH(TO_TEXT(D2440),ARRAYFOR"&amp;"MULA(TO_TEXT(Referencia!$A$2:$A6238)),0),0),
IF(OR(campo="""",campo=""-""),""NO APLICA"",
IF(col=0,""REVISAR EQUIVALENCIA"",
IF(fila=0,""SKU NO ENCONTRADO"",
LET(
valor,INDEX(Referencia!$A$2:$AZ6238,fila,col),
IF(TRIM(TO_TEXT(valor))=TRIM(TO_TEXT(I2440)),"&amp;"
""OK"",
""NO COINCIDE. Valor verdadero: ""&amp;IF(valor="""",""[VACÍO]"",TO_TEXT(valor))
)
))))
),""ERROR EN FÓRMULA""))"),"REVISAR EQUIVALENCIA")</f>
        <v>REVISAR EQUIVALENCIA</v>
      </c>
    </row>
    <row r="2441">
      <c r="A2441" s="83" t="s">
        <v>4078</v>
      </c>
      <c r="B2441" s="83" t="s">
        <v>4079</v>
      </c>
      <c r="C2441" s="81" t="s">
        <v>4086</v>
      </c>
      <c r="D2441" s="83" t="s">
        <v>4755</v>
      </c>
      <c r="E2441" s="81" t="s">
        <v>3633</v>
      </c>
      <c r="F2441" s="84">
        <v>685.0</v>
      </c>
      <c r="G2441" s="81" t="s">
        <v>12</v>
      </c>
      <c r="H2441" s="81" t="s">
        <v>224</v>
      </c>
      <c r="I2441" s="81" t="s">
        <v>1549</v>
      </c>
      <c r="J2441" s="81" t="s">
        <v>224</v>
      </c>
      <c r="K2441" s="81" t="str">
        <f>IFERROR(__xludf.DUMMYFUNCTION("IF(OR(D2441="""",G2441=""""),"""",IFERROR(LET(
campo,XLOOKUP(TRIM(G2441),ARRAYFORMULA(TRIM('indice columnas'!$A$2:$A$100)),'indice columnas'!$B$2:$B$100,""""),
col,IFERROR(MATCH(campo,Referencia!$A$1:$AZ$1,0),0),
fila,IFERROR(MATCH(TO_TEXT(D2441),ARRAYFOR"&amp;"MULA(TO_TEXT(Referencia!$A$2:$A6238)),0),0),
IF(OR(campo="""",campo=""-""),""NO APLICA"",
IF(col=0,""REVISAR EQUIVALENCIA"",
IF(fila=0,""SKU NO ENCONTRADO"",
LET(
valor,INDEX(Referencia!$A$2:$AZ6238,fila,col),
IF(TRIM(TO_TEXT(valor))=TRIM(TO_TEXT(I2441)),"&amp;"
""OK"",
""NO COINCIDE. Valor verdadero: ""&amp;IF(valor="""",""[VACÍO]"",TO_TEXT(valor))
)
))))
),""ERROR EN FÓRMULA""))"),"OK")</f>
        <v>OK</v>
      </c>
    </row>
    <row r="2442">
      <c r="A2442" s="83" t="s">
        <v>4078</v>
      </c>
      <c r="B2442" s="83" t="s">
        <v>4079</v>
      </c>
      <c r="C2442" s="81" t="s">
        <v>4086</v>
      </c>
      <c r="D2442" s="83" t="s">
        <v>4755</v>
      </c>
      <c r="E2442" s="81" t="s">
        <v>3633</v>
      </c>
      <c r="F2442" s="84">
        <v>685.0</v>
      </c>
      <c r="G2442" s="81" t="s">
        <v>34</v>
      </c>
      <c r="H2442" s="81" t="s">
        <v>463</v>
      </c>
      <c r="I2442" s="81" t="s">
        <v>112</v>
      </c>
      <c r="J2442" s="81" t="s">
        <v>224</v>
      </c>
      <c r="K2442" s="81" t="str">
        <f>IFERROR(__xludf.DUMMYFUNCTION("IF(OR(D2442="""",G2442=""""),"""",IFERROR(LET(
campo,XLOOKUP(TRIM(G2442),ARRAYFORMULA(TRIM('indice columnas'!$A$2:$A$100)),'indice columnas'!$B$2:$B$100,""""),
col,IFERROR(MATCH(campo,Referencia!$A$1:$AZ$1,0),0),
fila,IFERROR(MATCH(TO_TEXT(D2442),ARRAYFOR"&amp;"MULA(TO_TEXT(Referencia!$A$2:$A6238)),0),0),
IF(OR(campo="""",campo=""-""),""NO APLICA"",
IF(col=0,""REVISAR EQUIVALENCIA"",
IF(fila=0,""SKU NO ENCONTRADO"",
LET(
valor,INDEX(Referencia!$A$2:$AZ6238,fila,col),
IF(TRIM(TO_TEXT(valor))=TRIM(TO_TEXT(I2442)),"&amp;"
""OK"",
""NO COINCIDE. Valor verdadero: ""&amp;IF(valor="""",""[VACÍO]"",TO_TEXT(valor))
)
))))
),""ERROR EN FÓRMULA""))"),"OK")</f>
        <v>OK</v>
      </c>
    </row>
    <row r="2443">
      <c r="A2443" s="83" t="s">
        <v>4078</v>
      </c>
      <c r="B2443" s="83" t="s">
        <v>4079</v>
      </c>
      <c r="C2443" s="81" t="s">
        <v>4086</v>
      </c>
      <c r="D2443" s="83" t="s">
        <v>4755</v>
      </c>
      <c r="E2443" s="81" t="s">
        <v>3633</v>
      </c>
      <c r="F2443" s="84">
        <v>685.0</v>
      </c>
      <c r="G2443" s="81" t="s">
        <v>44</v>
      </c>
      <c r="H2443" s="81" t="s">
        <v>224</v>
      </c>
      <c r="I2443" s="81" t="s">
        <v>3621</v>
      </c>
      <c r="J2443" s="81" t="s">
        <v>4088</v>
      </c>
      <c r="K2443" s="81" t="str">
        <f>IFERROR(__xludf.DUMMYFUNCTION("IF(OR(D2443="""",G2443=""""),"""",IFERROR(LET(
campo,XLOOKUP(TRIM(G2443),ARRAYFORMULA(TRIM('indice columnas'!$A$2:$A$100)),'indice columnas'!$B$2:$B$100,""""),
col,IFERROR(MATCH(campo,Referencia!$A$1:$AZ$1,0),0),
fila,IFERROR(MATCH(TO_TEXT(D2443),ARRAYFOR"&amp;"MULA(TO_TEXT(Referencia!$A$2:$A6238)),0),0),
IF(OR(campo="""",campo=""-""),""NO APLICA"",
IF(col=0,""REVISAR EQUIVALENCIA"",
IF(fila=0,""SKU NO ENCONTRADO"",
LET(
valor,INDEX(Referencia!$A$2:$AZ6238,fila,col),
IF(TRIM(TO_TEXT(valor))=TRIM(TO_TEXT(I2443)),"&amp;"
""OK"",
""NO COINCIDE. Valor verdadero: ""&amp;IF(valor="""",""[VACÍO]"",TO_TEXT(valor))
)
))))
),""ERROR EN FÓRMULA""))"),"NO APLICA")</f>
        <v>NO APLICA</v>
      </c>
    </row>
    <row r="2444">
      <c r="A2444" s="83" t="s">
        <v>4078</v>
      </c>
      <c r="B2444" s="83" t="s">
        <v>4079</v>
      </c>
      <c r="C2444" s="81" t="s">
        <v>4086</v>
      </c>
      <c r="D2444" s="83" t="s">
        <v>4754</v>
      </c>
      <c r="E2444" s="81" t="s">
        <v>3636</v>
      </c>
      <c r="F2444" s="84">
        <v>686.0</v>
      </c>
      <c r="G2444" s="81" t="s">
        <v>7</v>
      </c>
      <c r="H2444" s="81" t="s">
        <v>3623</v>
      </c>
      <c r="I2444" s="81" t="s">
        <v>1134</v>
      </c>
      <c r="J2444" s="81" t="s">
        <v>224</v>
      </c>
      <c r="K2444" s="81" t="str">
        <f>IFERROR(__xludf.DUMMYFUNCTION("IF(OR(D2444="""",G2444=""""),"""",IFERROR(LET(
campo,XLOOKUP(TRIM(G2444),ARRAYFORMULA(TRIM('indice columnas'!$A$2:$A$100)),'indice columnas'!$B$2:$B$100,""""),
col,IFERROR(MATCH(campo,Referencia!$A$1:$AZ$1,0),0),
fila,IFERROR(MATCH(TO_TEXT(D2444),ARRAYFOR"&amp;"MULA(TO_TEXT(Referencia!$A$2:$A6238)),0),0),
IF(OR(campo="""",campo=""-""),""NO APLICA"",
IF(col=0,""REVISAR EQUIVALENCIA"",
IF(fila=0,""SKU NO ENCONTRADO"",
LET(
valor,INDEX(Referencia!$A$2:$AZ6238,fila,col),
IF(TRIM(TO_TEXT(valor))=TRIM(TO_TEXT(I2444)),"&amp;"
""OK"",
""NO COINCIDE. Valor verdadero: ""&amp;IF(valor="""",""[VACÍO]"",TO_TEXT(valor))
)
))))
),""ERROR EN FÓRMULA""))"),"REVISAR EQUIVALENCIA")</f>
        <v>REVISAR EQUIVALENCIA</v>
      </c>
    </row>
    <row r="2445">
      <c r="A2445" s="83" t="s">
        <v>4078</v>
      </c>
      <c r="B2445" s="83" t="s">
        <v>4079</v>
      </c>
      <c r="C2445" s="81" t="s">
        <v>4086</v>
      </c>
      <c r="D2445" s="83" t="s">
        <v>4754</v>
      </c>
      <c r="E2445" s="81" t="s">
        <v>3636</v>
      </c>
      <c r="F2445" s="84">
        <v>686.0</v>
      </c>
      <c r="G2445" s="81" t="s">
        <v>12</v>
      </c>
      <c r="H2445" s="81" t="s">
        <v>224</v>
      </c>
      <c r="I2445" s="81" t="s">
        <v>1549</v>
      </c>
      <c r="J2445" s="81" t="s">
        <v>224</v>
      </c>
      <c r="K2445" s="81" t="str">
        <f>IFERROR(__xludf.DUMMYFUNCTION("IF(OR(D2445="""",G2445=""""),"""",IFERROR(LET(
campo,XLOOKUP(TRIM(G2445),ARRAYFORMULA(TRIM('indice columnas'!$A$2:$A$100)),'indice columnas'!$B$2:$B$100,""""),
col,IFERROR(MATCH(campo,Referencia!$A$1:$AZ$1,0),0),
fila,IFERROR(MATCH(TO_TEXT(D2445),ARRAYFOR"&amp;"MULA(TO_TEXT(Referencia!$A$2:$A6238)),0),0),
IF(OR(campo="""",campo=""-""),""NO APLICA"",
IF(col=0,""REVISAR EQUIVALENCIA"",
IF(fila=0,""SKU NO ENCONTRADO"",
LET(
valor,INDEX(Referencia!$A$2:$AZ6238,fila,col),
IF(TRIM(TO_TEXT(valor))=TRIM(TO_TEXT(I2445)),"&amp;"
""OK"",
""NO COINCIDE. Valor verdadero: ""&amp;IF(valor="""",""[VACÍO]"",TO_TEXT(valor))
)
))))
),""ERROR EN FÓRMULA""))"),"OK")</f>
        <v>OK</v>
      </c>
    </row>
    <row r="2446">
      <c r="A2446" s="83" t="s">
        <v>4078</v>
      </c>
      <c r="B2446" s="83" t="s">
        <v>4079</v>
      </c>
      <c r="C2446" s="81" t="s">
        <v>4086</v>
      </c>
      <c r="D2446" s="83" t="s">
        <v>4754</v>
      </c>
      <c r="E2446" s="81" t="s">
        <v>3636</v>
      </c>
      <c r="F2446" s="84">
        <v>686.0</v>
      </c>
      <c r="G2446" s="81" t="s">
        <v>44</v>
      </c>
      <c r="H2446" s="81" t="s">
        <v>224</v>
      </c>
      <c r="I2446" s="81" t="s">
        <v>3621</v>
      </c>
      <c r="J2446" s="81" t="s">
        <v>4088</v>
      </c>
      <c r="K2446" s="81" t="str">
        <f>IFERROR(__xludf.DUMMYFUNCTION("IF(OR(D2446="""",G2446=""""),"""",IFERROR(LET(
campo,XLOOKUP(TRIM(G2446),ARRAYFORMULA(TRIM('indice columnas'!$A$2:$A$100)),'indice columnas'!$B$2:$B$100,""""),
col,IFERROR(MATCH(campo,Referencia!$A$1:$AZ$1,0),0),
fila,IFERROR(MATCH(TO_TEXT(D2446),ARRAYFOR"&amp;"MULA(TO_TEXT(Referencia!$A$2:$A6238)),0),0),
IF(OR(campo="""",campo=""-""),""NO APLICA"",
IF(col=0,""REVISAR EQUIVALENCIA"",
IF(fila=0,""SKU NO ENCONTRADO"",
LET(
valor,INDEX(Referencia!$A$2:$AZ6238,fila,col),
IF(TRIM(TO_TEXT(valor))=TRIM(TO_TEXT(I2446)),"&amp;"
""OK"",
""NO COINCIDE. Valor verdadero: ""&amp;IF(valor="""",""[VACÍO]"",TO_TEXT(valor))
)
))))
),""ERROR EN FÓRMULA""))"),"NO APLICA")</f>
        <v>NO APLICA</v>
      </c>
    </row>
    <row r="2447">
      <c r="A2447" s="83" t="s">
        <v>4078</v>
      </c>
      <c r="B2447" s="83" t="s">
        <v>4079</v>
      </c>
      <c r="C2447" s="81" t="s">
        <v>4086</v>
      </c>
      <c r="D2447" s="83" t="s">
        <v>4756</v>
      </c>
      <c r="E2447" s="81" t="s">
        <v>3637</v>
      </c>
      <c r="F2447" s="84">
        <v>687.0</v>
      </c>
      <c r="G2447" s="81" t="s">
        <v>7</v>
      </c>
      <c r="H2447" s="81" t="s">
        <v>3623</v>
      </c>
      <c r="I2447" s="81" t="s">
        <v>1134</v>
      </c>
      <c r="J2447" s="81" t="s">
        <v>224</v>
      </c>
      <c r="K2447" s="81" t="str">
        <f>IFERROR(__xludf.DUMMYFUNCTION("IF(OR(D2447="""",G2447=""""),"""",IFERROR(LET(
campo,XLOOKUP(TRIM(G2447),ARRAYFORMULA(TRIM('indice columnas'!$A$2:$A$100)),'indice columnas'!$B$2:$B$100,""""),
col,IFERROR(MATCH(campo,Referencia!$A$1:$AZ$1,0),0),
fila,IFERROR(MATCH(TO_TEXT(D2447),ARRAYFOR"&amp;"MULA(TO_TEXT(Referencia!$A$2:$A6238)),0),0),
IF(OR(campo="""",campo=""-""),""NO APLICA"",
IF(col=0,""REVISAR EQUIVALENCIA"",
IF(fila=0,""SKU NO ENCONTRADO"",
LET(
valor,INDEX(Referencia!$A$2:$AZ6238,fila,col),
IF(TRIM(TO_TEXT(valor))=TRIM(TO_TEXT(I2447)),"&amp;"
""OK"",
""NO COINCIDE. Valor verdadero: ""&amp;IF(valor="""",""[VACÍO]"",TO_TEXT(valor))
)
))))
),""ERROR EN FÓRMULA""))"),"REVISAR EQUIVALENCIA")</f>
        <v>REVISAR EQUIVALENCIA</v>
      </c>
    </row>
    <row r="2448">
      <c r="A2448" s="83" t="s">
        <v>4078</v>
      </c>
      <c r="B2448" s="83" t="s">
        <v>4079</v>
      </c>
      <c r="C2448" s="81" t="s">
        <v>4086</v>
      </c>
      <c r="D2448" s="83" t="s">
        <v>4756</v>
      </c>
      <c r="E2448" s="81" t="s">
        <v>3637</v>
      </c>
      <c r="F2448" s="84">
        <v>687.0</v>
      </c>
      <c r="G2448" s="81" t="s">
        <v>12</v>
      </c>
      <c r="H2448" s="81" t="s">
        <v>224</v>
      </c>
      <c r="I2448" s="81" t="s">
        <v>1549</v>
      </c>
      <c r="J2448" s="81" t="s">
        <v>224</v>
      </c>
      <c r="K2448" s="81" t="str">
        <f>IFERROR(__xludf.DUMMYFUNCTION("IF(OR(D2448="""",G2448=""""),"""",IFERROR(LET(
campo,XLOOKUP(TRIM(G2448),ARRAYFORMULA(TRIM('indice columnas'!$A$2:$A$100)),'indice columnas'!$B$2:$B$100,""""),
col,IFERROR(MATCH(campo,Referencia!$A$1:$AZ$1,0),0),
fila,IFERROR(MATCH(TO_TEXT(D2448),ARRAYFOR"&amp;"MULA(TO_TEXT(Referencia!$A$2:$A6238)),0),0),
IF(OR(campo="""",campo=""-""),""NO APLICA"",
IF(col=0,""REVISAR EQUIVALENCIA"",
IF(fila=0,""SKU NO ENCONTRADO"",
LET(
valor,INDEX(Referencia!$A$2:$AZ6238,fila,col),
IF(TRIM(TO_TEXT(valor))=TRIM(TO_TEXT(I2448)),"&amp;"
""OK"",
""NO COINCIDE. Valor verdadero: ""&amp;IF(valor="""",""[VACÍO]"",TO_TEXT(valor))
)
))))
),""ERROR EN FÓRMULA""))"),"OK")</f>
        <v>OK</v>
      </c>
    </row>
    <row r="2449">
      <c r="A2449" s="83" t="s">
        <v>4078</v>
      </c>
      <c r="B2449" s="83" t="s">
        <v>4079</v>
      </c>
      <c r="C2449" s="81" t="s">
        <v>4086</v>
      </c>
      <c r="D2449" s="83" t="s">
        <v>4756</v>
      </c>
      <c r="E2449" s="81" t="s">
        <v>3637</v>
      </c>
      <c r="F2449" s="84">
        <v>687.0</v>
      </c>
      <c r="G2449" s="81" t="s">
        <v>44</v>
      </c>
      <c r="H2449" s="81" t="s">
        <v>224</v>
      </c>
      <c r="I2449" s="81" t="s">
        <v>3621</v>
      </c>
      <c r="J2449" s="81" t="s">
        <v>4088</v>
      </c>
      <c r="K2449" s="81" t="str">
        <f>IFERROR(__xludf.DUMMYFUNCTION("IF(OR(D2449="""",G2449=""""),"""",IFERROR(LET(
campo,XLOOKUP(TRIM(G2449),ARRAYFORMULA(TRIM('indice columnas'!$A$2:$A$100)),'indice columnas'!$B$2:$B$100,""""),
col,IFERROR(MATCH(campo,Referencia!$A$1:$AZ$1,0),0),
fila,IFERROR(MATCH(TO_TEXT(D2449),ARRAYFOR"&amp;"MULA(TO_TEXT(Referencia!$A$2:$A6238)),0),0),
IF(OR(campo="""",campo=""-""),""NO APLICA"",
IF(col=0,""REVISAR EQUIVALENCIA"",
IF(fila=0,""SKU NO ENCONTRADO"",
LET(
valor,INDEX(Referencia!$A$2:$AZ6238,fila,col),
IF(TRIM(TO_TEXT(valor))=TRIM(TO_TEXT(I2449)),"&amp;"
""OK"",
""NO COINCIDE. Valor verdadero: ""&amp;IF(valor="""",""[VACÍO]"",TO_TEXT(valor))
)
))))
),""ERROR EN FÓRMULA""))"),"NO APLICA")</f>
        <v>NO APLICA</v>
      </c>
    </row>
    <row r="2450">
      <c r="A2450" s="83" t="s">
        <v>4078</v>
      </c>
      <c r="B2450" s="83" t="s">
        <v>4079</v>
      </c>
      <c r="C2450" s="81" t="s">
        <v>4086</v>
      </c>
      <c r="D2450" s="83" t="s">
        <v>4757</v>
      </c>
      <c r="E2450" s="81" t="s">
        <v>3640</v>
      </c>
      <c r="F2450" s="84">
        <v>688.0</v>
      </c>
      <c r="G2450" s="81" t="s">
        <v>7</v>
      </c>
      <c r="H2450" s="81" t="s">
        <v>3623</v>
      </c>
      <c r="I2450" s="81" t="s">
        <v>1134</v>
      </c>
      <c r="J2450" s="81" t="s">
        <v>224</v>
      </c>
      <c r="K2450" s="81" t="str">
        <f>IFERROR(__xludf.DUMMYFUNCTION("IF(OR(D2450="""",G2450=""""),"""",IFERROR(LET(
campo,XLOOKUP(TRIM(G2450),ARRAYFORMULA(TRIM('indice columnas'!$A$2:$A$100)),'indice columnas'!$B$2:$B$100,""""),
col,IFERROR(MATCH(campo,Referencia!$A$1:$AZ$1,0),0),
fila,IFERROR(MATCH(TO_TEXT(D2450),ARRAYFOR"&amp;"MULA(TO_TEXT(Referencia!$A$2:$A6238)),0),0),
IF(OR(campo="""",campo=""-""),""NO APLICA"",
IF(col=0,""REVISAR EQUIVALENCIA"",
IF(fila=0,""SKU NO ENCONTRADO"",
LET(
valor,INDEX(Referencia!$A$2:$AZ6238,fila,col),
IF(TRIM(TO_TEXT(valor))=TRIM(TO_TEXT(I2450)),"&amp;"
""OK"",
""NO COINCIDE. Valor verdadero: ""&amp;IF(valor="""",""[VACÍO]"",TO_TEXT(valor))
)
))))
),""ERROR EN FÓRMULA""))"),"REVISAR EQUIVALENCIA")</f>
        <v>REVISAR EQUIVALENCIA</v>
      </c>
    </row>
    <row r="2451">
      <c r="A2451" s="83" t="s">
        <v>4078</v>
      </c>
      <c r="B2451" s="83" t="s">
        <v>4079</v>
      </c>
      <c r="C2451" s="81" t="s">
        <v>4086</v>
      </c>
      <c r="D2451" s="83" t="s">
        <v>4757</v>
      </c>
      <c r="E2451" s="81" t="s">
        <v>3640</v>
      </c>
      <c r="F2451" s="84">
        <v>688.0</v>
      </c>
      <c r="G2451" s="81" t="s">
        <v>12</v>
      </c>
      <c r="H2451" s="81" t="s">
        <v>224</v>
      </c>
      <c r="I2451" s="81" t="s">
        <v>1549</v>
      </c>
      <c r="J2451" s="81" t="s">
        <v>224</v>
      </c>
      <c r="K2451" s="81" t="str">
        <f>IFERROR(__xludf.DUMMYFUNCTION("IF(OR(D2451="""",G2451=""""),"""",IFERROR(LET(
campo,XLOOKUP(TRIM(G2451),ARRAYFORMULA(TRIM('indice columnas'!$A$2:$A$100)),'indice columnas'!$B$2:$B$100,""""),
col,IFERROR(MATCH(campo,Referencia!$A$1:$AZ$1,0),0),
fila,IFERROR(MATCH(TO_TEXT(D2451),ARRAYFOR"&amp;"MULA(TO_TEXT(Referencia!$A$2:$A6238)),0),0),
IF(OR(campo="""",campo=""-""),""NO APLICA"",
IF(col=0,""REVISAR EQUIVALENCIA"",
IF(fila=0,""SKU NO ENCONTRADO"",
LET(
valor,INDEX(Referencia!$A$2:$AZ6238,fila,col),
IF(TRIM(TO_TEXT(valor))=TRIM(TO_TEXT(I2451)),"&amp;"
""OK"",
""NO COINCIDE. Valor verdadero: ""&amp;IF(valor="""",""[VACÍO]"",TO_TEXT(valor))
)
))))
),""ERROR EN FÓRMULA""))"),"OK")</f>
        <v>OK</v>
      </c>
    </row>
    <row r="2452">
      <c r="A2452" s="83" t="s">
        <v>4078</v>
      </c>
      <c r="B2452" s="83" t="s">
        <v>4079</v>
      </c>
      <c r="C2452" s="81" t="s">
        <v>4086</v>
      </c>
      <c r="D2452" s="83" t="s">
        <v>4757</v>
      </c>
      <c r="E2452" s="81" t="s">
        <v>3640</v>
      </c>
      <c r="F2452" s="84">
        <v>688.0</v>
      </c>
      <c r="G2452" s="81" t="s">
        <v>44</v>
      </c>
      <c r="H2452" s="81" t="s">
        <v>224</v>
      </c>
      <c r="I2452" s="81" t="s">
        <v>3621</v>
      </c>
      <c r="J2452" s="81" t="s">
        <v>4088</v>
      </c>
      <c r="K2452" s="81" t="str">
        <f>IFERROR(__xludf.DUMMYFUNCTION("IF(OR(D2452="""",G2452=""""),"""",IFERROR(LET(
campo,XLOOKUP(TRIM(G2452),ARRAYFORMULA(TRIM('indice columnas'!$A$2:$A$100)),'indice columnas'!$B$2:$B$100,""""),
col,IFERROR(MATCH(campo,Referencia!$A$1:$AZ$1,0),0),
fila,IFERROR(MATCH(TO_TEXT(D2452),ARRAYFOR"&amp;"MULA(TO_TEXT(Referencia!$A$2:$A6238)),0),0),
IF(OR(campo="""",campo=""-""),""NO APLICA"",
IF(col=0,""REVISAR EQUIVALENCIA"",
IF(fila=0,""SKU NO ENCONTRADO"",
LET(
valor,INDEX(Referencia!$A$2:$AZ6238,fila,col),
IF(TRIM(TO_TEXT(valor))=TRIM(TO_TEXT(I2452)),"&amp;"
""OK"",
""NO COINCIDE. Valor verdadero: ""&amp;IF(valor="""",""[VACÍO]"",TO_TEXT(valor))
)
))))
),""ERROR EN FÓRMULA""))"),"NO APLICA")</f>
        <v>NO APLICA</v>
      </c>
    </row>
    <row r="2453">
      <c r="A2453" s="83" t="s">
        <v>4078</v>
      </c>
      <c r="B2453" s="83" t="s">
        <v>4079</v>
      </c>
      <c r="C2453" s="81" t="s">
        <v>4086</v>
      </c>
      <c r="D2453" s="83" t="s">
        <v>4758</v>
      </c>
      <c r="E2453" s="81" t="s">
        <v>3643</v>
      </c>
      <c r="F2453" s="84">
        <v>689.0</v>
      </c>
      <c r="G2453" s="81" t="s">
        <v>7</v>
      </c>
      <c r="H2453" s="81" t="s">
        <v>3623</v>
      </c>
      <c r="I2453" s="81" t="s">
        <v>1134</v>
      </c>
      <c r="J2453" s="81" t="s">
        <v>224</v>
      </c>
      <c r="K2453" s="81" t="str">
        <f>IFERROR(__xludf.DUMMYFUNCTION("IF(OR(D2453="""",G2453=""""),"""",IFERROR(LET(
campo,XLOOKUP(TRIM(G2453),ARRAYFORMULA(TRIM('indice columnas'!$A$2:$A$100)),'indice columnas'!$B$2:$B$100,""""),
col,IFERROR(MATCH(campo,Referencia!$A$1:$AZ$1,0),0),
fila,IFERROR(MATCH(TO_TEXT(D2453),ARRAYFOR"&amp;"MULA(TO_TEXT(Referencia!$A$2:$A6238)),0),0),
IF(OR(campo="""",campo=""-""),""NO APLICA"",
IF(col=0,""REVISAR EQUIVALENCIA"",
IF(fila=0,""SKU NO ENCONTRADO"",
LET(
valor,INDEX(Referencia!$A$2:$AZ6238,fila,col),
IF(TRIM(TO_TEXT(valor))=TRIM(TO_TEXT(I2453)),"&amp;"
""OK"",
""NO COINCIDE. Valor verdadero: ""&amp;IF(valor="""",""[VACÍO]"",TO_TEXT(valor))
)
))))
),""ERROR EN FÓRMULA""))"),"REVISAR EQUIVALENCIA")</f>
        <v>REVISAR EQUIVALENCIA</v>
      </c>
    </row>
    <row r="2454">
      <c r="A2454" s="83" t="s">
        <v>4078</v>
      </c>
      <c r="B2454" s="83" t="s">
        <v>4079</v>
      </c>
      <c r="C2454" s="81" t="s">
        <v>4086</v>
      </c>
      <c r="D2454" s="83" t="s">
        <v>4758</v>
      </c>
      <c r="E2454" s="81" t="s">
        <v>3643</v>
      </c>
      <c r="F2454" s="84">
        <v>689.0</v>
      </c>
      <c r="G2454" s="81" t="s">
        <v>12</v>
      </c>
      <c r="H2454" s="81" t="s">
        <v>224</v>
      </c>
      <c r="I2454" s="81" t="s">
        <v>1549</v>
      </c>
      <c r="J2454" s="81" t="s">
        <v>224</v>
      </c>
      <c r="K2454" s="81" t="str">
        <f>IFERROR(__xludf.DUMMYFUNCTION("IF(OR(D2454="""",G2454=""""),"""",IFERROR(LET(
campo,XLOOKUP(TRIM(G2454),ARRAYFORMULA(TRIM('indice columnas'!$A$2:$A$100)),'indice columnas'!$B$2:$B$100,""""),
col,IFERROR(MATCH(campo,Referencia!$A$1:$AZ$1,0),0),
fila,IFERROR(MATCH(TO_TEXT(D2454),ARRAYFOR"&amp;"MULA(TO_TEXT(Referencia!$A$2:$A6238)),0),0),
IF(OR(campo="""",campo=""-""),""NO APLICA"",
IF(col=0,""REVISAR EQUIVALENCIA"",
IF(fila=0,""SKU NO ENCONTRADO"",
LET(
valor,INDEX(Referencia!$A$2:$AZ6238,fila,col),
IF(TRIM(TO_TEXT(valor))=TRIM(TO_TEXT(I2454)),"&amp;"
""OK"",
""NO COINCIDE. Valor verdadero: ""&amp;IF(valor="""",""[VACÍO]"",TO_TEXT(valor))
)
))))
),""ERROR EN FÓRMULA""))"),"OK")</f>
        <v>OK</v>
      </c>
    </row>
    <row r="2455">
      <c r="A2455" s="83" t="s">
        <v>4078</v>
      </c>
      <c r="B2455" s="83" t="s">
        <v>4079</v>
      </c>
      <c r="C2455" s="81" t="s">
        <v>4086</v>
      </c>
      <c r="D2455" s="83" t="s">
        <v>4758</v>
      </c>
      <c r="E2455" s="81" t="s">
        <v>3643</v>
      </c>
      <c r="F2455" s="84">
        <v>689.0</v>
      </c>
      <c r="G2455" s="81" t="s">
        <v>44</v>
      </c>
      <c r="H2455" s="81" t="s">
        <v>224</v>
      </c>
      <c r="I2455" s="81" t="s">
        <v>3621</v>
      </c>
      <c r="J2455" s="81" t="s">
        <v>4088</v>
      </c>
      <c r="K2455" s="81" t="str">
        <f>IFERROR(__xludf.DUMMYFUNCTION("IF(OR(D2455="""",G2455=""""),"""",IFERROR(LET(
campo,XLOOKUP(TRIM(G2455),ARRAYFORMULA(TRIM('indice columnas'!$A$2:$A$100)),'indice columnas'!$B$2:$B$100,""""),
col,IFERROR(MATCH(campo,Referencia!$A$1:$AZ$1,0),0),
fila,IFERROR(MATCH(TO_TEXT(D2455),ARRAYFOR"&amp;"MULA(TO_TEXT(Referencia!$A$2:$A6238)),0),0),
IF(OR(campo="""",campo=""-""),""NO APLICA"",
IF(col=0,""REVISAR EQUIVALENCIA"",
IF(fila=0,""SKU NO ENCONTRADO"",
LET(
valor,INDEX(Referencia!$A$2:$AZ6238,fila,col),
IF(TRIM(TO_TEXT(valor))=TRIM(TO_TEXT(I2455)),"&amp;"
""OK"",
""NO COINCIDE. Valor verdadero: ""&amp;IF(valor="""",""[VACÍO]"",TO_TEXT(valor))
)
))))
),""ERROR EN FÓRMULA""))"),"NO APLICA")</f>
        <v>NO APLICA</v>
      </c>
    </row>
    <row r="2456">
      <c r="A2456" s="83" t="s">
        <v>4078</v>
      </c>
      <c r="B2456" s="83" t="s">
        <v>4079</v>
      </c>
      <c r="C2456" s="81" t="s">
        <v>4086</v>
      </c>
      <c r="D2456" s="83" t="s">
        <v>4759</v>
      </c>
      <c r="E2456" s="81" t="s">
        <v>3646</v>
      </c>
      <c r="F2456" s="84">
        <v>690.0</v>
      </c>
      <c r="G2456" s="81" t="s">
        <v>7</v>
      </c>
      <c r="H2456" s="81" t="s">
        <v>3623</v>
      </c>
      <c r="I2456" s="81" t="s">
        <v>1134</v>
      </c>
      <c r="J2456" s="81" t="s">
        <v>224</v>
      </c>
      <c r="K2456" s="81" t="str">
        <f>IFERROR(__xludf.DUMMYFUNCTION("IF(OR(D2456="""",G2456=""""),"""",IFERROR(LET(
campo,XLOOKUP(TRIM(G2456),ARRAYFORMULA(TRIM('indice columnas'!$A$2:$A$100)),'indice columnas'!$B$2:$B$100,""""),
col,IFERROR(MATCH(campo,Referencia!$A$1:$AZ$1,0),0),
fila,IFERROR(MATCH(TO_TEXT(D2456),ARRAYFOR"&amp;"MULA(TO_TEXT(Referencia!$A$2:$A6238)),0),0),
IF(OR(campo="""",campo=""-""),""NO APLICA"",
IF(col=0,""REVISAR EQUIVALENCIA"",
IF(fila=0,""SKU NO ENCONTRADO"",
LET(
valor,INDEX(Referencia!$A$2:$AZ6238,fila,col),
IF(TRIM(TO_TEXT(valor))=TRIM(TO_TEXT(I2456)),"&amp;"
""OK"",
""NO COINCIDE. Valor verdadero: ""&amp;IF(valor="""",""[VACÍO]"",TO_TEXT(valor))
)
))))
),""ERROR EN FÓRMULA""))"),"REVISAR EQUIVALENCIA")</f>
        <v>REVISAR EQUIVALENCIA</v>
      </c>
    </row>
    <row r="2457">
      <c r="A2457" s="83" t="s">
        <v>4078</v>
      </c>
      <c r="B2457" s="83" t="s">
        <v>4079</v>
      </c>
      <c r="C2457" s="81" t="s">
        <v>4086</v>
      </c>
      <c r="D2457" s="83" t="s">
        <v>4759</v>
      </c>
      <c r="E2457" s="81" t="s">
        <v>3646</v>
      </c>
      <c r="F2457" s="84">
        <v>690.0</v>
      </c>
      <c r="G2457" s="81" t="s">
        <v>12</v>
      </c>
      <c r="H2457" s="81" t="s">
        <v>224</v>
      </c>
      <c r="I2457" s="81" t="s">
        <v>1549</v>
      </c>
      <c r="J2457" s="81" t="s">
        <v>224</v>
      </c>
      <c r="K2457" s="81" t="str">
        <f>IFERROR(__xludf.DUMMYFUNCTION("IF(OR(D2457="""",G2457=""""),"""",IFERROR(LET(
campo,XLOOKUP(TRIM(G2457),ARRAYFORMULA(TRIM('indice columnas'!$A$2:$A$100)),'indice columnas'!$B$2:$B$100,""""),
col,IFERROR(MATCH(campo,Referencia!$A$1:$AZ$1,0),0),
fila,IFERROR(MATCH(TO_TEXT(D2457),ARRAYFOR"&amp;"MULA(TO_TEXT(Referencia!$A$2:$A6238)),0),0),
IF(OR(campo="""",campo=""-""),""NO APLICA"",
IF(col=0,""REVISAR EQUIVALENCIA"",
IF(fila=0,""SKU NO ENCONTRADO"",
LET(
valor,INDEX(Referencia!$A$2:$AZ6238,fila,col),
IF(TRIM(TO_TEXT(valor))=TRIM(TO_TEXT(I2457)),"&amp;"
""OK"",
""NO COINCIDE. Valor verdadero: ""&amp;IF(valor="""",""[VACÍO]"",TO_TEXT(valor))
)
))))
),""ERROR EN FÓRMULA""))"),"OK")</f>
        <v>OK</v>
      </c>
    </row>
    <row r="2458">
      <c r="A2458" s="83" t="s">
        <v>4078</v>
      </c>
      <c r="B2458" s="83" t="s">
        <v>4079</v>
      </c>
      <c r="C2458" s="81" t="s">
        <v>4086</v>
      </c>
      <c r="D2458" s="83" t="s">
        <v>4759</v>
      </c>
      <c r="E2458" s="81" t="s">
        <v>3646</v>
      </c>
      <c r="F2458" s="84">
        <v>690.0</v>
      </c>
      <c r="G2458" s="81" t="s">
        <v>44</v>
      </c>
      <c r="H2458" s="81" t="s">
        <v>224</v>
      </c>
      <c r="I2458" s="81" t="s">
        <v>3621</v>
      </c>
      <c r="J2458" s="81" t="s">
        <v>4088</v>
      </c>
      <c r="K2458" s="81" t="str">
        <f>IFERROR(__xludf.DUMMYFUNCTION("IF(OR(D2458="""",G2458=""""),"""",IFERROR(LET(
campo,XLOOKUP(TRIM(G2458),ARRAYFORMULA(TRIM('indice columnas'!$A$2:$A$100)),'indice columnas'!$B$2:$B$100,""""),
col,IFERROR(MATCH(campo,Referencia!$A$1:$AZ$1,0),0),
fila,IFERROR(MATCH(TO_TEXT(D2458),ARRAYFOR"&amp;"MULA(TO_TEXT(Referencia!$A$2:$A6238)),0),0),
IF(OR(campo="""",campo=""-""),""NO APLICA"",
IF(col=0,""REVISAR EQUIVALENCIA"",
IF(fila=0,""SKU NO ENCONTRADO"",
LET(
valor,INDEX(Referencia!$A$2:$AZ6238,fila,col),
IF(TRIM(TO_TEXT(valor))=TRIM(TO_TEXT(I2458)),"&amp;"
""OK"",
""NO COINCIDE. Valor verdadero: ""&amp;IF(valor="""",""[VACÍO]"",TO_TEXT(valor))
)
))))
),""ERROR EN FÓRMULA""))"),"NO APLICA")</f>
        <v>NO APLICA</v>
      </c>
    </row>
    <row r="2459">
      <c r="A2459" s="83" t="s">
        <v>4078</v>
      </c>
      <c r="B2459" s="83" t="s">
        <v>4079</v>
      </c>
      <c r="C2459" s="81" t="s">
        <v>4086</v>
      </c>
      <c r="D2459" s="83" t="s">
        <v>4760</v>
      </c>
      <c r="E2459" s="81" t="s">
        <v>3649</v>
      </c>
      <c r="F2459" s="84">
        <v>691.0</v>
      </c>
      <c r="G2459" s="81" t="s">
        <v>44</v>
      </c>
      <c r="H2459" s="81" t="s">
        <v>224</v>
      </c>
      <c r="I2459" s="81" t="s">
        <v>3621</v>
      </c>
      <c r="J2459" s="81" t="s">
        <v>4088</v>
      </c>
      <c r="K2459" s="81" t="str">
        <f>IFERROR(__xludf.DUMMYFUNCTION("IF(OR(D2459="""",G2459=""""),"""",IFERROR(LET(
campo,XLOOKUP(TRIM(G2459),ARRAYFORMULA(TRIM('indice columnas'!$A$2:$A$100)),'indice columnas'!$B$2:$B$100,""""),
col,IFERROR(MATCH(campo,Referencia!$A$1:$AZ$1,0),0),
fila,IFERROR(MATCH(TO_TEXT(D2459),ARRAYFOR"&amp;"MULA(TO_TEXT(Referencia!$A$2:$A6238)),0),0),
IF(OR(campo="""",campo=""-""),""NO APLICA"",
IF(col=0,""REVISAR EQUIVALENCIA"",
IF(fila=0,""SKU NO ENCONTRADO"",
LET(
valor,INDEX(Referencia!$A$2:$AZ6238,fila,col),
IF(TRIM(TO_TEXT(valor))=TRIM(TO_TEXT(I2459)),"&amp;"
""OK"",
""NO COINCIDE. Valor verdadero: ""&amp;IF(valor="""",""[VACÍO]"",TO_TEXT(valor))
)
))))
),""ERROR EN FÓRMULA""))"),"NO APLICA")</f>
        <v>NO APLICA</v>
      </c>
    </row>
    <row r="2460">
      <c r="A2460" s="83" t="s">
        <v>4078</v>
      </c>
      <c r="B2460" s="83" t="s">
        <v>4079</v>
      </c>
      <c r="C2460" s="81" t="s">
        <v>4086</v>
      </c>
      <c r="D2460" s="83" t="s">
        <v>4760</v>
      </c>
      <c r="E2460" s="81" t="s">
        <v>3652</v>
      </c>
      <c r="F2460" s="84">
        <v>692.0</v>
      </c>
      <c r="G2460" s="81" t="s">
        <v>7</v>
      </c>
      <c r="H2460" s="81" t="s">
        <v>3623</v>
      </c>
      <c r="I2460" s="81" t="s">
        <v>1134</v>
      </c>
      <c r="J2460" s="81" t="s">
        <v>224</v>
      </c>
      <c r="K2460" s="81" t="str">
        <f>IFERROR(__xludf.DUMMYFUNCTION("IF(OR(D2460="""",G2460=""""),"""",IFERROR(LET(
campo,XLOOKUP(TRIM(G2460),ARRAYFORMULA(TRIM('indice columnas'!$A$2:$A$100)),'indice columnas'!$B$2:$B$100,""""),
col,IFERROR(MATCH(campo,Referencia!$A$1:$AZ$1,0),0),
fila,IFERROR(MATCH(TO_TEXT(D2460),ARRAYFOR"&amp;"MULA(TO_TEXT(Referencia!$A$2:$A6238)),0),0),
IF(OR(campo="""",campo=""-""),""NO APLICA"",
IF(col=0,""REVISAR EQUIVALENCIA"",
IF(fila=0,""SKU NO ENCONTRADO"",
LET(
valor,INDEX(Referencia!$A$2:$AZ6238,fila,col),
IF(TRIM(TO_TEXT(valor))=TRIM(TO_TEXT(I2460)),"&amp;"
""OK"",
""NO COINCIDE. Valor verdadero: ""&amp;IF(valor="""",""[VACÍO]"",TO_TEXT(valor))
)
))))
),""ERROR EN FÓRMULA""))"),"REVISAR EQUIVALENCIA")</f>
        <v>REVISAR EQUIVALENCIA</v>
      </c>
    </row>
    <row r="2461">
      <c r="A2461" s="83" t="s">
        <v>4078</v>
      </c>
      <c r="B2461" s="83" t="s">
        <v>4079</v>
      </c>
      <c r="C2461" s="81" t="s">
        <v>4086</v>
      </c>
      <c r="D2461" s="83" t="s">
        <v>4760</v>
      </c>
      <c r="E2461" s="81" t="s">
        <v>3652</v>
      </c>
      <c r="F2461" s="84">
        <v>692.0</v>
      </c>
      <c r="G2461" s="81" t="s">
        <v>12</v>
      </c>
      <c r="H2461" s="81" t="s">
        <v>224</v>
      </c>
      <c r="I2461" s="81" t="s">
        <v>1549</v>
      </c>
      <c r="J2461" s="81" t="s">
        <v>224</v>
      </c>
      <c r="K2461" s="81" t="str">
        <f>IFERROR(__xludf.DUMMYFUNCTION("IF(OR(D2461="""",G2461=""""),"""",IFERROR(LET(
campo,XLOOKUP(TRIM(G2461),ARRAYFORMULA(TRIM('indice columnas'!$A$2:$A$100)),'indice columnas'!$B$2:$B$100,""""),
col,IFERROR(MATCH(campo,Referencia!$A$1:$AZ$1,0),0),
fila,IFERROR(MATCH(TO_TEXT(D2461),ARRAYFOR"&amp;"MULA(TO_TEXT(Referencia!$A$2:$A6238)),0),0),
IF(OR(campo="""",campo=""-""),""NO APLICA"",
IF(col=0,""REVISAR EQUIVALENCIA"",
IF(fila=0,""SKU NO ENCONTRADO"",
LET(
valor,INDEX(Referencia!$A$2:$AZ6238,fila,col),
IF(TRIM(TO_TEXT(valor))=TRIM(TO_TEXT(I2461)),"&amp;"
""OK"",
""NO COINCIDE. Valor verdadero: ""&amp;IF(valor="""",""[VACÍO]"",TO_TEXT(valor))
)
))))
),""ERROR EN FÓRMULA""))"),"OK")</f>
        <v>OK</v>
      </c>
    </row>
    <row r="2462">
      <c r="A2462" s="83" t="s">
        <v>4078</v>
      </c>
      <c r="B2462" s="83" t="s">
        <v>4079</v>
      </c>
      <c r="C2462" s="81" t="s">
        <v>4086</v>
      </c>
      <c r="D2462" s="83" t="s">
        <v>4760</v>
      </c>
      <c r="E2462" s="81" t="s">
        <v>3652</v>
      </c>
      <c r="F2462" s="84">
        <v>692.0</v>
      </c>
      <c r="G2462" s="81" t="s">
        <v>44</v>
      </c>
      <c r="H2462" s="81" t="s">
        <v>224</v>
      </c>
      <c r="I2462" s="81" t="s">
        <v>3621</v>
      </c>
      <c r="J2462" s="81" t="s">
        <v>4088</v>
      </c>
      <c r="K2462" s="81" t="str">
        <f>IFERROR(__xludf.DUMMYFUNCTION("IF(OR(D2462="""",G2462=""""),"""",IFERROR(LET(
campo,XLOOKUP(TRIM(G2462),ARRAYFORMULA(TRIM('indice columnas'!$A$2:$A$100)),'indice columnas'!$B$2:$B$100,""""),
col,IFERROR(MATCH(campo,Referencia!$A$1:$AZ$1,0),0),
fila,IFERROR(MATCH(TO_TEXT(D2462),ARRAYFOR"&amp;"MULA(TO_TEXT(Referencia!$A$2:$A6238)),0),0),
IF(OR(campo="""",campo=""-""),""NO APLICA"",
IF(col=0,""REVISAR EQUIVALENCIA"",
IF(fila=0,""SKU NO ENCONTRADO"",
LET(
valor,INDEX(Referencia!$A$2:$AZ6238,fila,col),
IF(TRIM(TO_TEXT(valor))=TRIM(TO_TEXT(I2462)),"&amp;"
""OK"",
""NO COINCIDE. Valor verdadero: ""&amp;IF(valor="""",""[VACÍO]"",TO_TEXT(valor))
)
))))
),""ERROR EN FÓRMULA""))"),"NO APLICA")</f>
        <v>NO APLICA</v>
      </c>
    </row>
    <row r="2463">
      <c r="A2463" s="83" t="s">
        <v>4078</v>
      </c>
      <c r="B2463" s="83" t="s">
        <v>4079</v>
      </c>
      <c r="C2463" s="81" t="s">
        <v>4086</v>
      </c>
      <c r="D2463" s="83" t="s">
        <v>4761</v>
      </c>
      <c r="E2463" s="81" t="s">
        <v>3653</v>
      </c>
      <c r="F2463" s="84">
        <v>693.0</v>
      </c>
      <c r="G2463" s="81" t="s">
        <v>7</v>
      </c>
      <c r="H2463" s="81" t="s">
        <v>3623</v>
      </c>
      <c r="I2463" s="81" t="s">
        <v>1134</v>
      </c>
      <c r="J2463" s="81" t="s">
        <v>224</v>
      </c>
      <c r="K2463" s="81" t="str">
        <f>IFERROR(__xludf.DUMMYFUNCTION("IF(OR(D2463="""",G2463=""""),"""",IFERROR(LET(
campo,XLOOKUP(TRIM(G2463),ARRAYFORMULA(TRIM('indice columnas'!$A$2:$A$100)),'indice columnas'!$B$2:$B$100,""""),
col,IFERROR(MATCH(campo,Referencia!$A$1:$AZ$1,0),0),
fila,IFERROR(MATCH(TO_TEXT(D2463),ARRAYFOR"&amp;"MULA(TO_TEXT(Referencia!$A$2:$A6238)),0),0),
IF(OR(campo="""",campo=""-""),""NO APLICA"",
IF(col=0,""REVISAR EQUIVALENCIA"",
IF(fila=0,""SKU NO ENCONTRADO"",
LET(
valor,INDEX(Referencia!$A$2:$AZ6238,fila,col),
IF(TRIM(TO_TEXT(valor))=TRIM(TO_TEXT(I2463)),"&amp;"
""OK"",
""NO COINCIDE. Valor verdadero: ""&amp;IF(valor="""",""[VACÍO]"",TO_TEXT(valor))
)
))))
),""ERROR EN FÓRMULA""))"),"REVISAR EQUIVALENCIA")</f>
        <v>REVISAR EQUIVALENCIA</v>
      </c>
    </row>
    <row r="2464">
      <c r="A2464" s="83" t="s">
        <v>4078</v>
      </c>
      <c r="B2464" s="83" t="s">
        <v>4079</v>
      </c>
      <c r="C2464" s="81" t="s">
        <v>4086</v>
      </c>
      <c r="D2464" s="83" t="s">
        <v>4761</v>
      </c>
      <c r="E2464" s="81" t="s">
        <v>3653</v>
      </c>
      <c r="F2464" s="84">
        <v>693.0</v>
      </c>
      <c r="G2464" s="81" t="s">
        <v>12</v>
      </c>
      <c r="H2464" s="81" t="s">
        <v>224</v>
      </c>
      <c r="I2464" s="81" t="s">
        <v>1549</v>
      </c>
      <c r="J2464" s="81" t="s">
        <v>224</v>
      </c>
      <c r="K2464" s="81" t="str">
        <f>IFERROR(__xludf.DUMMYFUNCTION("IF(OR(D2464="""",G2464=""""),"""",IFERROR(LET(
campo,XLOOKUP(TRIM(G2464),ARRAYFORMULA(TRIM('indice columnas'!$A$2:$A$100)),'indice columnas'!$B$2:$B$100,""""),
col,IFERROR(MATCH(campo,Referencia!$A$1:$AZ$1,0),0),
fila,IFERROR(MATCH(TO_TEXT(D2464),ARRAYFOR"&amp;"MULA(TO_TEXT(Referencia!$A$2:$A6238)),0),0),
IF(OR(campo="""",campo=""-""),""NO APLICA"",
IF(col=0,""REVISAR EQUIVALENCIA"",
IF(fila=0,""SKU NO ENCONTRADO"",
LET(
valor,INDEX(Referencia!$A$2:$AZ6238,fila,col),
IF(TRIM(TO_TEXT(valor))=TRIM(TO_TEXT(I2464)),"&amp;"
""OK"",
""NO COINCIDE. Valor verdadero: ""&amp;IF(valor="""",""[VACÍO]"",TO_TEXT(valor))
)
))))
),""ERROR EN FÓRMULA""))"),"OK")</f>
        <v>OK</v>
      </c>
    </row>
    <row r="2465">
      <c r="A2465" s="83" t="s">
        <v>4078</v>
      </c>
      <c r="B2465" s="83" t="s">
        <v>4079</v>
      </c>
      <c r="C2465" s="81" t="s">
        <v>4086</v>
      </c>
      <c r="D2465" s="83" t="s">
        <v>4761</v>
      </c>
      <c r="E2465" s="81" t="s">
        <v>3653</v>
      </c>
      <c r="F2465" s="84">
        <v>693.0</v>
      </c>
      <c r="G2465" s="81" t="s">
        <v>44</v>
      </c>
      <c r="H2465" s="81" t="s">
        <v>224</v>
      </c>
      <c r="I2465" s="81" t="s">
        <v>3621</v>
      </c>
      <c r="J2465" s="81" t="s">
        <v>4088</v>
      </c>
      <c r="K2465" s="81" t="str">
        <f>IFERROR(__xludf.DUMMYFUNCTION("IF(OR(D2465="""",G2465=""""),"""",IFERROR(LET(
campo,XLOOKUP(TRIM(G2465),ARRAYFORMULA(TRIM('indice columnas'!$A$2:$A$100)),'indice columnas'!$B$2:$B$100,""""),
col,IFERROR(MATCH(campo,Referencia!$A$1:$AZ$1,0),0),
fila,IFERROR(MATCH(TO_TEXT(D2465),ARRAYFOR"&amp;"MULA(TO_TEXT(Referencia!$A$2:$A6238)),0),0),
IF(OR(campo="""",campo=""-""),""NO APLICA"",
IF(col=0,""REVISAR EQUIVALENCIA"",
IF(fila=0,""SKU NO ENCONTRADO"",
LET(
valor,INDEX(Referencia!$A$2:$AZ6238,fila,col),
IF(TRIM(TO_TEXT(valor))=TRIM(TO_TEXT(I2465)),"&amp;"
""OK"",
""NO COINCIDE. Valor verdadero: ""&amp;IF(valor="""",""[VACÍO]"",TO_TEXT(valor))
)
))))
),""ERROR EN FÓRMULA""))"),"NO APLICA")</f>
        <v>NO APLICA</v>
      </c>
    </row>
    <row r="2466">
      <c r="A2466" s="83" t="s">
        <v>4078</v>
      </c>
      <c r="B2466" s="83" t="s">
        <v>4079</v>
      </c>
      <c r="C2466" s="81" t="s">
        <v>4086</v>
      </c>
      <c r="D2466" s="83" t="s">
        <v>4762</v>
      </c>
      <c r="E2466" s="81" t="s">
        <v>3656</v>
      </c>
      <c r="F2466" s="84">
        <v>694.0</v>
      </c>
      <c r="G2466" s="81" t="s">
        <v>7</v>
      </c>
      <c r="H2466" s="81" t="s">
        <v>3623</v>
      </c>
      <c r="I2466" s="81" t="s">
        <v>1134</v>
      </c>
      <c r="J2466" s="81" t="s">
        <v>224</v>
      </c>
      <c r="K2466" s="81" t="str">
        <f>IFERROR(__xludf.DUMMYFUNCTION("IF(OR(D2466="""",G2466=""""),"""",IFERROR(LET(
campo,XLOOKUP(TRIM(G2466),ARRAYFORMULA(TRIM('indice columnas'!$A$2:$A$100)),'indice columnas'!$B$2:$B$100,""""),
col,IFERROR(MATCH(campo,Referencia!$A$1:$AZ$1,0),0),
fila,IFERROR(MATCH(TO_TEXT(D2466),ARRAYFOR"&amp;"MULA(TO_TEXT(Referencia!$A$2:$A6238)),0),0),
IF(OR(campo="""",campo=""-""),""NO APLICA"",
IF(col=0,""REVISAR EQUIVALENCIA"",
IF(fila=0,""SKU NO ENCONTRADO"",
LET(
valor,INDEX(Referencia!$A$2:$AZ6238,fila,col),
IF(TRIM(TO_TEXT(valor))=TRIM(TO_TEXT(I2466)),"&amp;"
""OK"",
""NO COINCIDE. Valor verdadero: ""&amp;IF(valor="""",""[VACÍO]"",TO_TEXT(valor))
)
))))
),""ERROR EN FÓRMULA""))"),"REVISAR EQUIVALENCIA")</f>
        <v>REVISAR EQUIVALENCIA</v>
      </c>
    </row>
    <row r="2467">
      <c r="A2467" s="83" t="s">
        <v>4078</v>
      </c>
      <c r="B2467" s="83" t="s">
        <v>4079</v>
      </c>
      <c r="C2467" s="81" t="s">
        <v>4086</v>
      </c>
      <c r="D2467" s="83" t="s">
        <v>4762</v>
      </c>
      <c r="E2467" s="81" t="s">
        <v>3656</v>
      </c>
      <c r="F2467" s="84">
        <v>694.0</v>
      </c>
      <c r="G2467" s="81" t="s">
        <v>12</v>
      </c>
      <c r="H2467" s="81" t="s">
        <v>224</v>
      </c>
      <c r="I2467" s="81" t="s">
        <v>1549</v>
      </c>
      <c r="J2467" s="81" t="s">
        <v>224</v>
      </c>
      <c r="K2467" s="81" t="str">
        <f>IFERROR(__xludf.DUMMYFUNCTION("IF(OR(D2467="""",G2467=""""),"""",IFERROR(LET(
campo,XLOOKUP(TRIM(G2467),ARRAYFORMULA(TRIM('indice columnas'!$A$2:$A$100)),'indice columnas'!$B$2:$B$100,""""),
col,IFERROR(MATCH(campo,Referencia!$A$1:$AZ$1,0),0),
fila,IFERROR(MATCH(TO_TEXT(D2467),ARRAYFOR"&amp;"MULA(TO_TEXT(Referencia!$A$2:$A6238)),0),0),
IF(OR(campo="""",campo=""-""),""NO APLICA"",
IF(col=0,""REVISAR EQUIVALENCIA"",
IF(fila=0,""SKU NO ENCONTRADO"",
LET(
valor,INDEX(Referencia!$A$2:$AZ6238,fila,col),
IF(TRIM(TO_TEXT(valor))=TRIM(TO_TEXT(I2467)),"&amp;"
""OK"",
""NO COINCIDE. Valor verdadero: ""&amp;IF(valor="""",""[VACÍO]"",TO_TEXT(valor))
)
))))
),""ERROR EN FÓRMULA""))"),"OK")</f>
        <v>OK</v>
      </c>
    </row>
    <row r="2468">
      <c r="A2468" s="83" t="s">
        <v>4078</v>
      </c>
      <c r="B2468" s="83" t="s">
        <v>4079</v>
      </c>
      <c r="C2468" s="81" t="s">
        <v>4086</v>
      </c>
      <c r="D2468" s="83" t="s">
        <v>4762</v>
      </c>
      <c r="E2468" s="81" t="s">
        <v>3656</v>
      </c>
      <c r="F2468" s="84">
        <v>694.0</v>
      </c>
      <c r="G2468" s="81" t="s">
        <v>44</v>
      </c>
      <c r="H2468" s="81" t="s">
        <v>224</v>
      </c>
      <c r="I2468" s="81" t="s">
        <v>3621</v>
      </c>
      <c r="J2468" s="81" t="s">
        <v>4088</v>
      </c>
      <c r="K2468" s="81" t="str">
        <f>IFERROR(__xludf.DUMMYFUNCTION("IF(OR(D2468="""",G2468=""""),"""",IFERROR(LET(
campo,XLOOKUP(TRIM(G2468),ARRAYFORMULA(TRIM('indice columnas'!$A$2:$A$100)),'indice columnas'!$B$2:$B$100,""""),
col,IFERROR(MATCH(campo,Referencia!$A$1:$AZ$1,0),0),
fila,IFERROR(MATCH(TO_TEXT(D2468),ARRAYFOR"&amp;"MULA(TO_TEXT(Referencia!$A$2:$A6238)),0),0),
IF(OR(campo="""",campo=""-""),""NO APLICA"",
IF(col=0,""REVISAR EQUIVALENCIA"",
IF(fila=0,""SKU NO ENCONTRADO"",
LET(
valor,INDEX(Referencia!$A$2:$AZ6238,fila,col),
IF(TRIM(TO_TEXT(valor))=TRIM(TO_TEXT(I2468)),"&amp;"
""OK"",
""NO COINCIDE. Valor verdadero: ""&amp;IF(valor="""",""[VACÍO]"",TO_TEXT(valor))
)
))))
),""ERROR EN FÓRMULA""))"),"NO APLICA")</f>
        <v>NO APLICA</v>
      </c>
    </row>
    <row r="2469">
      <c r="A2469" s="83" t="s">
        <v>4078</v>
      </c>
      <c r="B2469" s="83" t="s">
        <v>4079</v>
      </c>
      <c r="C2469" s="81" t="s">
        <v>4086</v>
      </c>
      <c r="D2469" s="83" t="s">
        <v>4763</v>
      </c>
      <c r="E2469" s="81" t="s">
        <v>3659</v>
      </c>
      <c r="F2469" s="84">
        <v>695.0</v>
      </c>
      <c r="G2469" s="81" t="s">
        <v>7</v>
      </c>
      <c r="H2469" s="81" t="s">
        <v>3623</v>
      </c>
      <c r="I2469" s="81" t="s">
        <v>1134</v>
      </c>
      <c r="J2469" s="81" t="s">
        <v>224</v>
      </c>
      <c r="K2469" s="81" t="str">
        <f>IFERROR(__xludf.DUMMYFUNCTION("IF(OR(D2469="""",G2469=""""),"""",IFERROR(LET(
campo,XLOOKUP(TRIM(G2469),ARRAYFORMULA(TRIM('indice columnas'!$A$2:$A$100)),'indice columnas'!$B$2:$B$100,""""),
col,IFERROR(MATCH(campo,Referencia!$A$1:$AZ$1,0),0),
fila,IFERROR(MATCH(TO_TEXT(D2469),ARRAYFOR"&amp;"MULA(TO_TEXT(Referencia!$A$2:$A6238)),0),0),
IF(OR(campo="""",campo=""-""),""NO APLICA"",
IF(col=0,""REVISAR EQUIVALENCIA"",
IF(fila=0,""SKU NO ENCONTRADO"",
LET(
valor,INDEX(Referencia!$A$2:$AZ6238,fila,col),
IF(TRIM(TO_TEXT(valor))=TRIM(TO_TEXT(I2469)),"&amp;"
""OK"",
""NO COINCIDE. Valor verdadero: ""&amp;IF(valor="""",""[VACÍO]"",TO_TEXT(valor))
)
))))
),""ERROR EN FÓRMULA""))"),"REVISAR EQUIVALENCIA")</f>
        <v>REVISAR EQUIVALENCIA</v>
      </c>
    </row>
    <row r="2470">
      <c r="A2470" s="83" t="s">
        <v>4078</v>
      </c>
      <c r="B2470" s="83" t="s">
        <v>4079</v>
      </c>
      <c r="C2470" s="81" t="s">
        <v>4086</v>
      </c>
      <c r="D2470" s="83" t="s">
        <v>4763</v>
      </c>
      <c r="E2470" s="81" t="s">
        <v>3659</v>
      </c>
      <c r="F2470" s="84">
        <v>695.0</v>
      </c>
      <c r="G2470" s="81" t="s">
        <v>12</v>
      </c>
      <c r="H2470" s="81" t="s">
        <v>224</v>
      </c>
      <c r="I2470" s="81" t="s">
        <v>1549</v>
      </c>
      <c r="J2470" s="81" t="s">
        <v>224</v>
      </c>
      <c r="K2470" s="81" t="str">
        <f>IFERROR(__xludf.DUMMYFUNCTION("IF(OR(D2470="""",G2470=""""),"""",IFERROR(LET(
campo,XLOOKUP(TRIM(G2470),ARRAYFORMULA(TRIM('indice columnas'!$A$2:$A$100)),'indice columnas'!$B$2:$B$100,""""),
col,IFERROR(MATCH(campo,Referencia!$A$1:$AZ$1,0),0),
fila,IFERROR(MATCH(TO_TEXT(D2470),ARRAYFOR"&amp;"MULA(TO_TEXT(Referencia!$A$2:$A6238)),0),0),
IF(OR(campo="""",campo=""-""),""NO APLICA"",
IF(col=0,""REVISAR EQUIVALENCIA"",
IF(fila=0,""SKU NO ENCONTRADO"",
LET(
valor,INDEX(Referencia!$A$2:$AZ6238,fila,col),
IF(TRIM(TO_TEXT(valor))=TRIM(TO_TEXT(I2470)),"&amp;"
""OK"",
""NO COINCIDE. Valor verdadero: ""&amp;IF(valor="""",""[VACÍO]"",TO_TEXT(valor))
)
))))
),""ERROR EN FÓRMULA""))"),"OK")</f>
        <v>OK</v>
      </c>
    </row>
    <row r="2471">
      <c r="A2471" s="83" t="s">
        <v>4078</v>
      </c>
      <c r="B2471" s="83" t="s">
        <v>4079</v>
      </c>
      <c r="C2471" s="81" t="s">
        <v>4086</v>
      </c>
      <c r="D2471" s="83" t="s">
        <v>4763</v>
      </c>
      <c r="E2471" s="81" t="s">
        <v>3659</v>
      </c>
      <c r="F2471" s="84">
        <v>695.0</v>
      </c>
      <c r="G2471" s="81" t="s">
        <v>44</v>
      </c>
      <c r="H2471" s="81" t="s">
        <v>224</v>
      </c>
      <c r="I2471" s="81" t="s">
        <v>3621</v>
      </c>
      <c r="J2471" s="81" t="s">
        <v>4088</v>
      </c>
      <c r="K2471" s="81" t="str">
        <f>IFERROR(__xludf.DUMMYFUNCTION("IF(OR(D2471="""",G2471=""""),"""",IFERROR(LET(
campo,XLOOKUP(TRIM(G2471),ARRAYFORMULA(TRIM('indice columnas'!$A$2:$A$100)),'indice columnas'!$B$2:$B$100,""""),
col,IFERROR(MATCH(campo,Referencia!$A$1:$AZ$1,0),0),
fila,IFERROR(MATCH(TO_TEXT(D2471),ARRAYFOR"&amp;"MULA(TO_TEXT(Referencia!$A$2:$A6238)),0),0),
IF(OR(campo="""",campo=""-""),""NO APLICA"",
IF(col=0,""REVISAR EQUIVALENCIA"",
IF(fila=0,""SKU NO ENCONTRADO"",
LET(
valor,INDEX(Referencia!$A$2:$AZ6238,fila,col),
IF(TRIM(TO_TEXT(valor))=TRIM(TO_TEXT(I2471)),"&amp;"
""OK"",
""NO COINCIDE. Valor verdadero: ""&amp;IF(valor="""",""[VACÍO]"",TO_TEXT(valor))
)
))))
),""ERROR EN FÓRMULA""))"),"NO APLICA")</f>
        <v>NO APLICA</v>
      </c>
    </row>
    <row r="2472">
      <c r="A2472" s="83" t="s">
        <v>4078</v>
      </c>
      <c r="B2472" s="83" t="s">
        <v>4079</v>
      </c>
      <c r="C2472" s="81" t="s">
        <v>4086</v>
      </c>
      <c r="D2472" s="83" t="s">
        <v>4764</v>
      </c>
      <c r="E2472" s="81" t="s">
        <v>3662</v>
      </c>
      <c r="F2472" s="84">
        <v>696.0</v>
      </c>
      <c r="G2472" s="81" t="s">
        <v>44</v>
      </c>
      <c r="H2472" s="81" t="s">
        <v>224</v>
      </c>
      <c r="I2472" s="81" t="s">
        <v>3662</v>
      </c>
      <c r="J2472" s="81" t="s">
        <v>4088</v>
      </c>
      <c r="K2472" s="81" t="str">
        <f>IFERROR(__xludf.DUMMYFUNCTION("IF(OR(D2472="""",G2472=""""),"""",IFERROR(LET(
campo,XLOOKUP(TRIM(G2472),ARRAYFORMULA(TRIM('indice columnas'!$A$2:$A$100)),'indice columnas'!$B$2:$B$100,""""),
col,IFERROR(MATCH(campo,Referencia!$A$1:$AZ$1,0),0),
fila,IFERROR(MATCH(TO_TEXT(D2472),ARRAYFOR"&amp;"MULA(TO_TEXT(Referencia!$A$2:$A6238)),0),0),
IF(OR(campo="""",campo=""-""),""NO APLICA"",
IF(col=0,""REVISAR EQUIVALENCIA"",
IF(fila=0,""SKU NO ENCONTRADO"",
LET(
valor,INDEX(Referencia!$A$2:$AZ6238,fila,col),
IF(TRIM(TO_TEXT(valor))=TRIM(TO_TEXT(I2472)),"&amp;"
""OK"",
""NO COINCIDE. Valor verdadero: ""&amp;IF(valor="""",""[VACÍO]"",TO_TEXT(valor))
)
))))
),""ERROR EN FÓRMULA""))"),"NO APLICA")</f>
        <v>NO APLICA</v>
      </c>
    </row>
    <row r="2473">
      <c r="A2473" s="83" t="s">
        <v>4078</v>
      </c>
      <c r="B2473" s="83" t="s">
        <v>4079</v>
      </c>
      <c r="C2473" s="81" t="s">
        <v>4086</v>
      </c>
      <c r="D2473" s="83" t="s">
        <v>4764</v>
      </c>
      <c r="E2473" s="81" t="s">
        <v>3672</v>
      </c>
      <c r="F2473" s="84">
        <v>697.0</v>
      </c>
      <c r="G2473" s="81" t="s">
        <v>7</v>
      </c>
      <c r="H2473" s="81" t="s">
        <v>3623</v>
      </c>
      <c r="I2473" s="81" t="s">
        <v>1134</v>
      </c>
      <c r="J2473" s="81" t="s">
        <v>224</v>
      </c>
      <c r="K2473" s="81" t="str">
        <f>IFERROR(__xludf.DUMMYFUNCTION("IF(OR(D2473="""",G2473=""""),"""",IFERROR(LET(
campo,XLOOKUP(TRIM(G2473),ARRAYFORMULA(TRIM('indice columnas'!$A$2:$A$100)),'indice columnas'!$B$2:$B$100,""""),
col,IFERROR(MATCH(campo,Referencia!$A$1:$AZ$1,0),0),
fila,IFERROR(MATCH(TO_TEXT(D2473),ARRAYFOR"&amp;"MULA(TO_TEXT(Referencia!$A$2:$A6238)),0),0),
IF(OR(campo="""",campo=""-""),""NO APLICA"",
IF(col=0,""REVISAR EQUIVALENCIA"",
IF(fila=0,""SKU NO ENCONTRADO"",
LET(
valor,INDEX(Referencia!$A$2:$AZ6238,fila,col),
IF(TRIM(TO_TEXT(valor))=TRIM(TO_TEXT(I2473)),"&amp;"
""OK"",
""NO COINCIDE. Valor verdadero: ""&amp;IF(valor="""",""[VACÍO]"",TO_TEXT(valor))
)
))))
),""ERROR EN FÓRMULA""))"),"REVISAR EQUIVALENCIA")</f>
        <v>REVISAR EQUIVALENCIA</v>
      </c>
    </row>
    <row r="2474">
      <c r="A2474" s="83" t="s">
        <v>4078</v>
      </c>
      <c r="B2474" s="83" t="s">
        <v>4079</v>
      </c>
      <c r="C2474" s="81" t="s">
        <v>4086</v>
      </c>
      <c r="D2474" s="83" t="s">
        <v>4764</v>
      </c>
      <c r="E2474" s="81" t="s">
        <v>3672</v>
      </c>
      <c r="F2474" s="84">
        <v>697.0</v>
      </c>
      <c r="G2474" s="81" t="s">
        <v>12</v>
      </c>
      <c r="H2474" s="81" t="s">
        <v>224</v>
      </c>
      <c r="I2474" s="81" t="s">
        <v>1549</v>
      </c>
      <c r="J2474" s="81" t="s">
        <v>224</v>
      </c>
      <c r="K2474" s="81" t="str">
        <f>IFERROR(__xludf.DUMMYFUNCTION("IF(OR(D2474="""",G2474=""""),"""",IFERROR(LET(
campo,XLOOKUP(TRIM(G2474),ARRAYFORMULA(TRIM('indice columnas'!$A$2:$A$100)),'indice columnas'!$B$2:$B$100,""""),
col,IFERROR(MATCH(campo,Referencia!$A$1:$AZ$1,0),0),
fila,IFERROR(MATCH(TO_TEXT(D2474),ARRAYFOR"&amp;"MULA(TO_TEXT(Referencia!$A$2:$A6238)),0),0),
IF(OR(campo="""",campo=""-""),""NO APLICA"",
IF(col=0,""REVISAR EQUIVALENCIA"",
IF(fila=0,""SKU NO ENCONTRADO"",
LET(
valor,INDEX(Referencia!$A$2:$AZ6238,fila,col),
IF(TRIM(TO_TEXT(valor))=TRIM(TO_TEXT(I2474)),"&amp;"
""OK"",
""NO COINCIDE. Valor verdadero: ""&amp;IF(valor="""",""[VACÍO]"",TO_TEXT(valor))
)
))))
),""ERROR EN FÓRMULA""))"),"OK")</f>
        <v>OK</v>
      </c>
    </row>
    <row r="2475">
      <c r="A2475" s="83" t="s">
        <v>4078</v>
      </c>
      <c r="B2475" s="83" t="s">
        <v>4079</v>
      </c>
      <c r="C2475" s="81" t="s">
        <v>4086</v>
      </c>
      <c r="D2475" s="83" t="s">
        <v>4764</v>
      </c>
      <c r="E2475" s="81" t="s">
        <v>3672</v>
      </c>
      <c r="F2475" s="84">
        <v>697.0</v>
      </c>
      <c r="G2475" s="81" t="s">
        <v>34</v>
      </c>
      <c r="H2475" s="81" t="s">
        <v>463</v>
      </c>
      <c r="I2475" s="81" t="s">
        <v>112</v>
      </c>
      <c r="J2475" s="81" t="s">
        <v>224</v>
      </c>
      <c r="K2475" s="81" t="str">
        <f>IFERROR(__xludf.DUMMYFUNCTION("IF(OR(D2475="""",G2475=""""),"""",IFERROR(LET(
campo,XLOOKUP(TRIM(G2475),ARRAYFORMULA(TRIM('indice columnas'!$A$2:$A$100)),'indice columnas'!$B$2:$B$100,""""),
col,IFERROR(MATCH(campo,Referencia!$A$1:$AZ$1,0),0),
fila,IFERROR(MATCH(TO_TEXT(D2475),ARRAYFOR"&amp;"MULA(TO_TEXT(Referencia!$A$2:$A6238)),0),0),
IF(OR(campo="""",campo=""-""),""NO APLICA"",
IF(col=0,""REVISAR EQUIVALENCIA"",
IF(fila=0,""SKU NO ENCONTRADO"",
LET(
valor,INDEX(Referencia!$A$2:$AZ6238,fila,col),
IF(TRIM(TO_TEXT(valor))=TRIM(TO_TEXT(I2475)),"&amp;"
""OK"",
""NO COINCIDE. Valor verdadero: ""&amp;IF(valor="""",""[VACÍO]"",TO_TEXT(valor))
)
))))
),""ERROR EN FÓRMULA""))"),"OK")</f>
        <v>OK</v>
      </c>
    </row>
    <row r="2476">
      <c r="A2476" s="83" t="s">
        <v>4078</v>
      </c>
      <c r="B2476" s="83" t="s">
        <v>4079</v>
      </c>
      <c r="C2476" s="81" t="s">
        <v>4086</v>
      </c>
      <c r="D2476" s="83" t="s">
        <v>4764</v>
      </c>
      <c r="E2476" s="81" t="s">
        <v>3672</v>
      </c>
      <c r="F2476" s="84">
        <v>697.0</v>
      </c>
      <c r="G2476" s="81" t="s">
        <v>44</v>
      </c>
      <c r="H2476" s="81" t="s">
        <v>224</v>
      </c>
      <c r="I2476" s="81" t="s">
        <v>3662</v>
      </c>
      <c r="J2476" s="81" t="s">
        <v>4088</v>
      </c>
      <c r="K2476" s="81" t="str">
        <f>IFERROR(__xludf.DUMMYFUNCTION("IF(OR(D2476="""",G2476=""""),"""",IFERROR(LET(
campo,XLOOKUP(TRIM(G2476),ARRAYFORMULA(TRIM('indice columnas'!$A$2:$A$100)),'indice columnas'!$B$2:$B$100,""""),
col,IFERROR(MATCH(campo,Referencia!$A$1:$AZ$1,0),0),
fila,IFERROR(MATCH(TO_TEXT(D2476),ARRAYFOR"&amp;"MULA(TO_TEXT(Referencia!$A$2:$A6238)),0),0),
IF(OR(campo="""",campo=""-""),""NO APLICA"",
IF(col=0,""REVISAR EQUIVALENCIA"",
IF(fila=0,""SKU NO ENCONTRADO"",
LET(
valor,INDEX(Referencia!$A$2:$AZ6238,fila,col),
IF(TRIM(TO_TEXT(valor))=TRIM(TO_TEXT(I2476)),"&amp;"
""OK"",
""NO COINCIDE. Valor verdadero: ""&amp;IF(valor="""",""[VACÍO]"",TO_TEXT(valor))
)
))))
),""ERROR EN FÓRMULA""))"),"NO APLICA")</f>
        <v>NO APLICA</v>
      </c>
    </row>
    <row r="2477">
      <c r="A2477" s="83" t="s">
        <v>4078</v>
      </c>
      <c r="B2477" s="83" t="s">
        <v>4079</v>
      </c>
      <c r="C2477" s="81" t="s">
        <v>4086</v>
      </c>
      <c r="D2477" s="83" t="s">
        <v>4765</v>
      </c>
      <c r="E2477" s="81" t="s">
        <v>3673</v>
      </c>
      <c r="F2477" s="84">
        <v>698.0</v>
      </c>
      <c r="G2477" s="81" t="s">
        <v>7</v>
      </c>
      <c r="H2477" s="81" t="s">
        <v>3623</v>
      </c>
      <c r="I2477" s="81" t="s">
        <v>1134</v>
      </c>
      <c r="J2477" s="81" t="s">
        <v>224</v>
      </c>
      <c r="K2477" s="81" t="str">
        <f>IFERROR(__xludf.DUMMYFUNCTION("IF(OR(D2477="""",G2477=""""),"""",IFERROR(LET(
campo,XLOOKUP(TRIM(G2477),ARRAYFORMULA(TRIM('indice columnas'!$A$2:$A$100)),'indice columnas'!$B$2:$B$100,""""),
col,IFERROR(MATCH(campo,Referencia!$A$1:$AZ$1,0),0),
fila,IFERROR(MATCH(TO_TEXT(D2477),ARRAYFOR"&amp;"MULA(TO_TEXT(Referencia!$A$2:$A6238)),0),0),
IF(OR(campo="""",campo=""-""),""NO APLICA"",
IF(col=0,""REVISAR EQUIVALENCIA"",
IF(fila=0,""SKU NO ENCONTRADO"",
LET(
valor,INDEX(Referencia!$A$2:$AZ6238,fila,col),
IF(TRIM(TO_TEXT(valor))=TRIM(TO_TEXT(I2477)),"&amp;"
""OK"",
""NO COINCIDE. Valor verdadero: ""&amp;IF(valor="""",""[VACÍO]"",TO_TEXT(valor))
)
))))
),""ERROR EN FÓRMULA""))"),"REVISAR EQUIVALENCIA")</f>
        <v>REVISAR EQUIVALENCIA</v>
      </c>
    </row>
    <row r="2478">
      <c r="A2478" s="83" t="s">
        <v>4078</v>
      </c>
      <c r="B2478" s="83" t="s">
        <v>4079</v>
      </c>
      <c r="C2478" s="81" t="s">
        <v>4086</v>
      </c>
      <c r="D2478" s="83" t="s">
        <v>4765</v>
      </c>
      <c r="E2478" s="81" t="s">
        <v>3673</v>
      </c>
      <c r="F2478" s="84">
        <v>698.0</v>
      </c>
      <c r="G2478" s="81" t="s">
        <v>12</v>
      </c>
      <c r="H2478" s="81" t="s">
        <v>224</v>
      </c>
      <c r="I2478" s="81" t="s">
        <v>1549</v>
      </c>
      <c r="J2478" s="81" t="s">
        <v>224</v>
      </c>
      <c r="K2478" s="81" t="str">
        <f>IFERROR(__xludf.DUMMYFUNCTION("IF(OR(D2478="""",G2478=""""),"""",IFERROR(LET(
campo,XLOOKUP(TRIM(G2478),ARRAYFORMULA(TRIM('indice columnas'!$A$2:$A$100)),'indice columnas'!$B$2:$B$100,""""),
col,IFERROR(MATCH(campo,Referencia!$A$1:$AZ$1,0),0),
fila,IFERROR(MATCH(TO_TEXT(D2478),ARRAYFOR"&amp;"MULA(TO_TEXT(Referencia!$A$2:$A6238)),0),0),
IF(OR(campo="""",campo=""-""),""NO APLICA"",
IF(col=0,""REVISAR EQUIVALENCIA"",
IF(fila=0,""SKU NO ENCONTRADO"",
LET(
valor,INDEX(Referencia!$A$2:$AZ6238,fila,col),
IF(TRIM(TO_TEXT(valor))=TRIM(TO_TEXT(I2478)),"&amp;"
""OK"",
""NO COINCIDE. Valor verdadero: ""&amp;IF(valor="""",""[VACÍO]"",TO_TEXT(valor))
)
))))
),""ERROR EN FÓRMULA""))"),"OK")</f>
        <v>OK</v>
      </c>
    </row>
    <row r="2479">
      <c r="A2479" s="83" t="s">
        <v>4078</v>
      </c>
      <c r="B2479" s="83" t="s">
        <v>4079</v>
      </c>
      <c r="C2479" s="81" t="s">
        <v>4086</v>
      </c>
      <c r="D2479" s="83" t="s">
        <v>4765</v>
      </c>
      <c r="E2479" s="81" t="s">
        <v>3673</v>
      </c>
      <c r="F2479" s="84">
        <v>698.0</v>
      </c>
      <c r="G2479" s="81" t="s">
        <v>44</v>
      </c>
      <c r="H2479" s="81" t="s">
        <v>224</v>
      </c>
      <c r="I2479" s="81" t="s">
        <v>3662</v>
      </c>
      <c r="J2479" s="81" t="s">
        <v>4088</v>
      </c>
      <c r="K2479" s="81" t="str">
        <f>IFERROR(__xludf.DUMMYFUNCTION("IF(OR(D2479="""",G2479=""""),"""",IFERROR(LET(
campo,XLOOKUP(TRIM(G2479),ARRAYFORMULA(TRIM('indice columnas'!$A$2:$A$100)),'indice columnas'!$B$2:$B$100,""""),
col,IFERROR(MATCH(campo,Referencia!$A$1:$AZ$1,0),0),
fila,IFERROR(MATCH(TO_TEXT(D2479),ARRAYFOR"&amp;"MULA(TO_TEXT(Referencia!$A$2:$A6238)),0),0),
IF(OR(campo="""",campo=""-""),""NO APLICA"",
IF(col=0,""REVISAR EQUIVALENCIA"",
IF(fila=0,""SKU NO ENCONTRADO"",
LET(
valor,INDEX(Referencia!$A$2:$AZ6238,fila,col),
IF(TRIM(TO_TEXT(valor))=TRIM(TO_TEXT(I2479)),"&amp;"
""OK"",
""NO COINCIDE. Valor verdadero: ""&amp;IF(valor="""",""[VACÍO]"",TO_TEXT(valor))
)
))))
),""ERROR EN FÓRMULA""))"),"NO APLICA")</f>
        <v>NO APLICA</v>
      </c>
    </row>
    <row r="2480">
      <c r="A2480" s="83" t="s">
        <v>4078</v>
      </c>
      <c r="B2480" s="83" t="s">
        <v>4079</v>
      </c>
      <c r="C2480" s="81" t="s">
        <v>4086</v>
      </c>
      <c r="D2480" s="83" t="s">
        <v>4766</v>
      </c>
      <c r="E2480" s="81" t="s">
        <v>3676</v>
      </c>
      <c r="F2480" s="84">
        <v>699.0</v>
      </c>
      <c r="G2480" s="81" t="s">
        <v>7</v>
      </c>
      <c r="H2480" s="81" t="s">
        <v>3623</v>
      </c>
      <c r="I2480" s="81" t="s">
        <v>1134</v>
      </c>
      <c r="J2480" s="81" t="s">
        <v>224</v>
      </c>
      <c r="K2480" s="81" t="str">
        <f>IFERROR(__xludf.DUMMYFUNCTION("IF(OR(D2480="""",G2480=""""),"""",IFERROR(LET(
campo,XLOOKUP(TRIM(G2480),ARRAYFORMULA(TRIM('indice columnas'!$A$2:$A$100)),'indice columnas'!$B$2:$B$100,""""),
col,IFERROR(MATCH(campo,Referencia!$A$1:$AZ$1,0),0),
fila,IFERROR(MATCH(TO_TEXT(D2480),ARRAYFOR"&amp;"MULA(TO_TEXT(Referencia!$A$2:$A6238)),0),0),
IF(OR(campo="""",campo=""-""),""NO APLICA"",
IF(col=0,""REVISAR EQUIVALENCIA"",
IF(fila=0,""SKU NO ENCONTRADO"",
LET(
valor,INDEX(Referencia!$A$2:$AZ6238,fila,col),
IF(TRIM(TO_TEXT(valor))=TRIM(TO_TEXT(I2480)),"&amp;"
""OK"",
""NO COINCIDE. Valor verdadero: ""&amp;IF(valor="""",""[VACÍO]"",TO_TEXT(valor))
)
))))
),""ERROR EN FÓRMULA""))"),"REVISAR EQUIVALENCIA")</f>
        <v>REVISAR EQUIVALENCIA</v>
      </c>
    </row>
    <row r="2481">
      <c r="A2481" s="83" t="s">
        <v>4078</v>
      </c>
      <c r="B2481" s="83" t="s">
        <v>4079</v>
      </c>
      <c r="C2481" s="81" t="s">
        <v>4086</v>
      </c>
      <c r="D2481" s="83" t="s">
        <v>4766</v>
      </c>
      <c r="E2481" s="81" t="s">
        <v>3676</v>
      </c>
      <c r="F2481" s="84">
        <v>699.0</v>
      </c>
      <c r="G2481" s="81" t="s">
        <v>12</v>
      </c>
      <c r="H2481" s="81" t="s">
        <v>224</v>
      </c>
      <c r="I2481" s="81" t="s">
        <v>1549</v>
      </c>
      <c r="J2481" s="81" t="s">
        <v>224</v>
      </c>
      <c r="K2481" s="81" t="str">
        <f>IFERROR(__xludf.DUMMYFUNCTION("IF(OR(D2481="""",G2481=""""),"""",IFERROR(LET(
campo,XLOOKUP(TRIM(G2481),ARRAYFORMULA(TRIM('indice columnas'!$A$2:$A$100)),'indice columnas'!$B$2:$B$100,""""),
col,IFERROR(MATCH(campo,Referencia!$A$1:$AZ$1,0),0),
fila,IFERROR(MATCH(TO_TEXT(D2481),ARRAYFOR"&amp;"MULA(TO_TEXT(Referencia!$A$2:$A6238)),0),0),
IF(OR(campo="""",campo=""-""),""NO APLICA"",
IF(col=0,""REVISAR EQUIVALENCIA"",
IF(fila=0,""SKU NO ENCONTRADO"",
LET(
valor,INDEX(Referencia!$A$2:$AZ6238,fila,col),
IF(TRIM(TO_TEXT(valor))=TRIM(TO_TEXT(I2481)),"&amp;"
""OK"",
""NO COINCIDE. Valor verdadero: ""&amp;IF(valor="""",""[VACÍO]"",TO_TEXT(valor))
)
))))
),""ERROR EN FÓRMULA""))"),"OK")</f>
        <v>OK</v>
      </c>
    </row>
    <row r="2482">
      <c r="A2482" s="83" t="s">
        <v>4078</v>
      </c>
      <c r="B2482" s="83" t="s">
        <v>4079</v>
      </c>
      <c r="C2482" s="81" t="s">
        <v>4086</v>
      </c>
      <c r="D2482" s="83" t="s">
        <v>4766</v>
      </c>
      <c r="E2482" s="81" t="s">
        <v>3676</v>
      </c>
      <c r="F2482" s="84">
        <v>699.0</v>
      </c>
      <c r="G2482" s="81" t="s">
        <v>44</v>
      </c>
      <c r="H2482" s="81" t="s">
        <v>224</v>
      </c>
      <c r="I2482" s="81" t="s">
        <v>3662</v>
      </c>
      <c r="J2482" s="81" t="s">
        <v>4088</v>
      </c>
      <c r="K2482" s="81" t="str">
        <f>IFERROR(__xludf.DUMMYFUNCTION("IF(OR(D2482="""",G2482=""""),"""",IFERROR(LET(
campo,XLOOKUP(TRIM(G2482),ARRAYFORMULA(TRIM('indice columnas'!$A$2:$A$100)),'indice columnas'!$B$2:$B$100,""""),
col,IFERROR(MATCH(campo,Referencia!$A$1:$AZ$1,0),0),
fila,IFERROR(MATCH(TO_TEXT(D2482),ARRAYFOR"&amp;"MULA(TO_TEXT(Referencia!$A$2:$A6238)),0),0),
IF(OR(campo="""",campo=""-""),""NO APLICA"",
IF(col=0,""REVISAR EQUIVALENCIA"",
IF(fila=0,""SKU NO ENCONTRADO"",
LET(
valor,INDEX(Referencia!$A$2:$AZ6238,fila,col),
IF(TRIM(TO_TEXT(valor))=TRIM(TO_TEXT(I2482)),"&amp;"
""OK"",
""NO COINCIDE. Valor verdadero: ""&amp;IF(valor="""",""[VACÍO]"",TO_TEXT(valor))
)
))))
),""ERROR EN FÓRMULA""))"),"NO APLICA")</f>
        <v>NO APLICA</v>
      </c>
    </row>
    <row r="2483">
      <c r="A2483" s="83" t="s">
        <v>4078</v>
      </c>
      <c r="B2483" s="83" t="s">
        <v>4079</v>
      </c>
      <c r="C2483" s="81" t="s">
        <v>4086</v>
      </c>
      <c r="D2483" s="83" t="s">
        <v>4767</v>
      </c>
      <c r="E2483" s="81" t="s">
        <v>3679</v>
      </c>
      <c r="F2483" s="84">
        <v>700.0</v>
      </c>
      <c r="G2483" s="81" t="s">
        <v>7</v>
      </c>
      <c r="H2483" s="81" t="s">
        <v>3623</v>
      </c>
      <c r="I2483" s="81" t="s">
        <v>1134</v>
      </c>
      <c r="J2483" s="81" t="s">
        <v>224</v>
      </c>
      <c r="K2483" s="81" t="str">
        <f>IFERROR(__xludf.DUMMYFUNCTION("IF(OR(D2483="""",G2483=""""),"""",IFERROR(LET(
campo,XLOOKUP(TRIM(G2483),ARRAYFORMULA(TRIM('indice columnas'!$A$2:$A$100)),'indice columnas'!$B$2:$B$100,""""),
col,IFERROR(MATCH(campo,Referencia!$A$1:$AZ$1,0),0),
fila,IFERROR(MATCH(TO_TEXT(D2483),ARRAYFOR"&amp;"MULA(TO_TEXT(Referencia!$A$2:$A6238)),0),0),
IF(OR(campo="""",campo=""-""),""NO APLICA"",
IF(col=0,""REVISAR EQUIVALENCIA"",
IF(fila=0,""SKU NO ENCONTRADO"",
LET(
valor,INDEX(Referencia!$A$2:$AZ6238,fila,col),
IF(TRIM(TO_TEXT(valor))=TRIM(TO_TEXT(I2483)),"&amp;"
""OK"",
""NO COINCIDE. Valor verdadero: ""&amp;IF(valor="""",""[VACÍO]"",TO_TEXT(valor))
)
))))
),""ERROR EN FÓRMULA""))"),"REVISAR EQUIVALENCIA")</f>
        <v>REVISAR EQUIVALENCIA</v>
      </c>
    </row>
    <row r="2484">
      <c r="A2484" s="83" t="s">
        <v>4078</v>
      </c>
      <c r="B2484" s="83" t="s">
        <v>4079</v>
      </c>
      <c r="C2484" s="81" t="s">
        <v>4086</v>
      </c>
      <c r="D2484" s="83" t="s">
        <v>4767</v>
      </c>
      <c r="E2484" s="81" t="s">
        <v>3679</v>
      </c>
      <c r="F2484" s="84">
        <v>700.0</v>
      </c>
      <c r="G2484" s="81" t="s">
        <v>12</v>
      </c>
      <c r="H2484" s="81" t="s">
        <v>224</v>
      </c>
      <c r="I2484" s="81" t="s">
        <v>1549</v>
      </c>
      <c r="J2484" s="81" t="s">
        <v>224</v>
      </c>
      <c r="K2484" s="81" t="str">
        <f>IFERROR(__xludf.DUMMYFUNCTION("IF(OR(D2484="""",G2484=""""),"""",IFERROR(LET(
campo,XLOOKUP(TRIM(G2484),ARRAYFORMULA(TRIM('indice columnas'!$A$2:$A$100)),'indice columnas'!$B$2:$B$100,""""),
col,IFERROR(MATCH(campo,Referencia!$A$1:$AZ$1,0),0),
fila,IFERROR(MATCH(TO_TEXT(D2484),ARRAYFOR"&amp;"MULA(TO_TEXT(Referencia!$A$2:$A6238)),0),0),
IF(OR(campo="""",campo=""-""),""NO APLICA"",
IF(col=0,""REVISAR EQUIVALENCIA"",
IF(fila=0,""SKU NO ENCONTRADO"",
LET(
valor,INDEX(Referencia!$A$2:$AZ6238,fila,col),
IF(TRIM(TO_TEXT(valor))=TRIM(TO_TEXT(I2484)),"&amp;"
""OK"",
""NO COINCIDE. Valor verdadero: ""&amp;IF(valor="""",""[VACÍO]"",TO_TEXT(valor))
)
))))
),""ERROR EN FÓRMULA""))"),"OK")</f>
        <v>OK</v>
      </c>
    </row>
    <row r="2485">
      <c r="A2485" s="83" t="s">
        <v>4078</v>
      </c>
      <c r="B2485" s="83" t="s">
        <v>4079</v>
      </c>
      <c r="C2485" s="81" t="s">
        <v>4086</v>
      </c>
      <c r="D2485" s="83" t="s">
        <v>4767</v>
      </c>
      <c r="E2485" s="81" t="s">
        <v>3679</v>
      </c>
      <c r="F2485" s="84">
        <v>700.0</v>
      </c>
      <c r="G2485" s="81" t="s">
        <v>44</v>
      </c>
      <c r="H2485" s="81" t="s">
        <v>224</v>
      </c>
      <c r="I2485" s="81" t="s">
        <v>3662</v>
      </c>
      <c r="J2485" s="81" t="s">
        <v>4088</v>
      </c>
      <c r="K2485" s="81" t="str">
        <f>IFERROR(__xludf.DUMMYFUNCTION("IF(OR(D2485="""",G2485=""""),"""",IFERROR(LET(
campo,XLOOKUP(TRIM(G2485),ARRAYFORMULA(TRIM('indice columnas'!$A$2:$A$100)),'indice columnas'!$B$2:$B$100,""""),
col,IFERROR(MATCH(campo,Referencia!$A$1:$AZ$1,0),0),
fila,IFERROR(MATCH(TO_TEXT(D2485),ARRAYFOR"&amp;"MULA(TO_TEXT(Referencia!$A$2:$A6238)),0),0),
IF(OR(campo="""",campo=""-""),""NO APLICA"",
IF(col=0,""REVISAR EQUIVALENCIA"",
IF(fila=0,""SKU NO ENCONTRADO"",
LET(
valor,INDEX(Referencia!$A$2:$AZ6238,fila,col),
IF(TRIM(TO_TEXT(valor))=TRIM(TO_TEXT(I2485)),"&amp;"
""OK"",
""NO COINCIDE. Valor verdadero: ""&amp;IF(valor="""",""[VACÍO]"",TO_TEXT(valor))
)
))))
),""ERROR EN FÓRMULA""))"),"NO APLICA")</f>
        <v>NO APLICA</v>
      </c>
    </row>
    <row r="2486">
      <c r="A2486" s="83" t="s">
        <v>4078</v>
      </c>
      <c r="B2486" s="83" t="s">
        <v>4079</v>
      </c>
      <c r="C2486" s="81" t="s">
        <v>4086</v>
      </c>
      <c r="D2486" s="83" t="s">
        <v>4768</v>
      </c>
      <c r="E2486" s="81" t="s">
        <v>3682</v>
      </c>
      <c r="F2486" s="84">
        <v>701.0</v>
      </c>
      <c r="G2486" s="81" t="s">
        <v>7</v>
      </c>
      <c r="H2486" s="81" t="s">
        <v>3623</v>
      </c>
      <c r="I2486" s="81" t="s">
        <v>1134</v>
      </c>
      <c r="J2486" s="81" t="s">
        <v>224</v>
      </c>
      <c r="K2486" s="81" t="str">
        <f>IFERROR(__xludf.DUMMYFUNCTION("IF(OR(D2486="""",G2486=""""),"""",IFERROR(LET(
campo,XLOOKUP(TRIM(G2486),ARRAYFORMULA(TRIM('indice columnas'!$A$2:$A$100)),'indice columnas'!$B$2:$B$100,""""),
col,IFERROR(MATCH(campo,Referencia!$A$1:$AZ$1,0),0),
fila,IFERROR(MATCH(TO_TEXT(D2486),ARRAYFOR"&amp;"MULA(TO_TEXT(Referencia!$A$2:$A6238)),0),0),
IF(OR(campo="""",campo=""-""),""NO APLICA"",
IF(col=0,""REVISAR EQUIVALENCIA"",
IF(fila=0,""SKU NO ENCONTRADO"",
LET(
valor,INDEX(Referencia!$A$2:$AZ6238,fila,col),
IF(TRIM(TO_TEXT(valor))=TRIM(TO_TEXT(I2486)),"&amp;"
""OK"",
""NO COINCIDE. Valor verdadero: ""&amp;IF(valor="""",""[VACÍO]"",TO_TEXT(valor))
)
))))
),""ERROR EN FÓRMULA""))"),"REVISAR EQUIVALENCIA")</f>
        <v>REVISAR EQUIVALENCIA</v>
      </c>
    </row>
    <row r="2487">
      <c r="A2487" s="83" t="s">
        <v>4078</v>
      </c>
      <c r="B2487" s="83" t="s">
        <v>4079</v>
      </c>
      <c r="C2487" s="81" t="s">
        <v>4086</v>
      </c>
      <c r="D2487" s="83" t="s">
        <v>4768</v>
      </c>
      <c r="E2487" s="81" t="s">
        <v>3682</v>
      </c>
      <c r="F2487" s="84">
        <v>701.0</v>
      </c>
      <c r="G2487" s="81" t="s">
        <v>12</v>
      </c>
      <c r="H2487" s="81" t="s">
        <v>224</v>
      </c>
      <c r="I2487" s="81" t="s">
        <v>1549</v>
      </c>
      <c r="J2487" s="81" t="s">
        <v>224</v>
      </c>
      <c r="K2487" s="81" t="str">
        <f>IFERROR(__xludf.DUMMYFUNCTION("IF(OR(D2487="""",G2487=""""),"""",IFERROR(LET(
campo,XLOOKUP(TRIM(G2487),ARRAYFORMULA(TRIM('indice columnas'!$A$2:$A$100)),'indice columnas'!$B$2:$B$100,""""),
col,IFERROR(MATCH(campo,Referencia!$A$1:$AZ$1,0),0),
fila,IFERROR(MATCH(TO_TEXT(D2487),ARRAYFOR"&amp;"MULA(TO_TEXT(Referencia!$A$2:$A6238)),0),0),
IF(OR(campo="""",campo=""-""),""NO APLICA"",
IF(col=0,""REVISAR EQUIVALENCIA"",
IF(fila=0,""SKU NO ENCONTRADO"",
LET(
valor,INDEX(Referencia!$A$2:$AZ6238,fila,col),
IF(TRIM(TO_TEXT(valor))=TRIM(TO_TEXT(I2487)),"&amp;"
""OK"",
""NO COINCIDE. Valor verdadero: ""&amp;IF(valor="""",""[VACÍO]"",TO_TEXT(valor))
)
))))
),""ERROR EN FÓRMULA""))"),"OK")</f>
        <v>OK</v>
      </c>
    </row>
    <row r="2488">
      <c r="A2488" s="83" t="s">
        <v>4078</v>
      </c>
      <c r="B2488" s="83" t="s">
        <v>4079</v>
      </c>
      <c r="C2488" s="81" t="s">
        <v>4086</v>
      </c>
      <c r="D2488" s="83" t="s">
        <v>4768</v>
      </c>
      <c r="E2488" s="81" t="s">
        <v>3682</v>
      </c>
      <c r="F2488" s="84">
        <v>701.0</v>
      </c>
      <c r="G2488" s="81" t="s">
        <v>44</v>
      </c>
      <c r="H2488" s="81" t="s">
        <v>224</v>
      </c>
      <c r="I2488" s="81" t="s">
        <v>3662</v>
      </c>
      <c r="J2488" s="81" t="s">
        <v>4088</v>
      </c>
      <c r="K2488" s="81" t="str">
        <f>IFERROR(__xludf.DUMMYFUNCTION("IF(OR(D2488="""",G2488=""""),"""",IFERROR(LET(
campo,XLOOKUP(TRIM(G2488),ARRAYFORMULA(TRIM('indice columnas'!$A$2:$A$100)),'indice columnas'!$B$2:$B$100,""""),
col,IFERROR(MATCH(campo,Referencia!$A$1:$AZ$1,0),0),
fila,IFERROR(MATCH(TO_TEXT(D2488),ARRAYFOR"&amp;"MULA(TO_TEXT(Referencia!$A$2:$A6238)),0),0),
IF(OR(campo="""",campo=""-""),""NO APLICA"",
IF(col=0,""REVISAR EQUIVALENCIA"",
IF(fila=0,""SKU NO ENCONTRADO"",
LET(
valor,INDEX(Referencia!$A$2:$AZ6238,fila,col),
IF(TRIM(TO_TEXT(valor))=TRIM(TO_TEXT(I2488)),"&amp;"
""OK"",
""NO COINCIDE. Valor verdadero: ""&amp;IF(valor="""",""[VACÍO]"",TO_TEXT(valor))
)
))))
),""ERROR EN FÓRMULA""))"),"NO APLICA")</f>
        <v>NO APLICA</v>
      </c>
    </row>
    <row r="2489">
      <c r="A2489" s="83" t="s">
        <v>4078</v>
      </c>
      <c r="B2489" s="83" t="s">
        <v>4079</v>
      </c>
      <c r="C2489" s="81" t="s">
        <v>4086</v>
      </c>
      <c r="D2489" s="83" t="s">
        <v>4769</v>
      </c>
      <c r="E2489" s="81" t="s">
        <v>3685</v>
      </c>
      <c r="F2489" s="84">
        <v>702.0</v>
      </c>
      <c r="G2489" s="81" t="s">
        <v>7</v>
      </c>
      <c r="H2489" s="81" t="s">
        <v>3623</v>
      </c>
      <c r="I2489" s="81" t="s">
        <v>1134</v>
      </c>
      <c r="J2489" s="81" t="s">
        <v>224</v>
      </c>
      <c r="K2489" s="81" t="str">
        <f>IFERROR(__xludf.DUMMYFUNCTION("IF(OR(D2489="""",G2489=""""),"""",IFERROR(LET(
campo,XLOOKUP(TRIM(G2489),ARRAYFORMULA(TRIM('indice columnas'!$A$2:$A$100)),'indice columnas'!$B$2:$B$100,""""),
col,IFERROR(MATCH(campo,Referencia!$A$1:$AZ$1,0),0),
fila,IFERROR(MATCH(TO_TEXT(D2489),ARRAYFOR"&amp;"MULA(TO_TEXT(Referencia!$A$2:$A6238)),0),0),
IF(OR(campo="""",campo=""-""),""NO APLICA"",
IF(col=0,""REVISAR EQUIVALENCIA"",
IF(fila=0,""SKU NO ENCONTRADO"",
LET(
valor,INDEX(Referencia!$A$2:$AZ6238,fila,col),
IF(TRIM(TO_TEXT(valor))=TRIM(TO_TEXT(I2489)),"&amp;"
""OK"",
""NO COINCIDE. Valor verdadero: ""&amp;IF(valor="""",""[VACÍO]"",TO_TEXT(valor))
)
))))
),""ERROR EN FÓRMULA""))"),"REVISAR EQUIVALENCIA")</f>
        <v>REVISAR EQUIVALENCIA</v>
      </c>
    </row>
    <row r="2490">
      <c r="A2490" s="83" t="s">
        <v>4078</v>
      </c>
      <c r="B2490" s="83" t="s">
        <v>4079</v>
      </c>
      <c r="C2490" s="81" t="s">
        <v>4086</v>
      </c>
      <c r="D2490" s="83" t="s">
        <v>4769</v>
      </c>
      <c r="E2490" s="81" t="s">
        <v>3685</v>
      </c>
      <c r="F2490" s="84">
        <v>702.0</v>
      </c>
      <c r="G2490" s="81" t="s">
        <v>12</v>
      </c>
      <c r="H2490" s="81" t="s">
        <v>224</v>
      </c>
      <c r="I2490" s="81" t="s">
        <v>1549</v>
      </c>
      <c r="J2490" s="81" t="s">
        <v>224</v>
      </c>
      <c r="K2490" s="81" t="str">
        <f>IFERROR(__xludf.DUMMYFUNCTION("IF(OR(D2490="""",G2490=""""),"""",IFERROR(LET(
campo,XLOOKUP(TRIM(G2490),ARRAYFORMULA(TRIM('indice columnas'!$A$2:$A$100)),'indice columnas'!$B$2:$B$100,""""),
col,IFERROR(MATCH(campo,Referencia!$A$1:$AZ$1,0),0),
fila,IFERROR(MATCH(TO_TEXT(D2490),ARRAYFOR"&amp;"MULA(TO_TEXT(Referencia!$A$2:$A6238)),0),0),
IF(OR(campo="""",campo=""-""),""NO APLICA"",
IF(col=0,""REVISAR EQUIVALENCIA"",
IF(fila=0,""SKU NO ENCONTRADO"",
LET(
valor,INDEX(Referencia!$A$2:$AZ6238,fila,col),
IF(TRIM(TO_TEXT(valor))=TRIM(TO_TEXT(I2490)),"&amp;"
""OK"",
""NO COINCIDE. Valor verdadero: ""&amp;IF(valor="""",""[VACÍO]"",TO_TEXT(valor))
)
))))
),""ERROR EN FÓRMULA""))"),"OK")</f>
        <v>OK</v>
      </c>
    </row>
    <row r="2491">
      <c r="A2491" s="83" t="s">
        <v>4078</v>
      </c>
      <c r="B2491" s="83" t="s">
        <v>4079</v>
      </c>
      <c r="C2491" s="81" t="s">
        <v>4086</v>
      </c>
      <c r="D2491" s="83" t="s">
        <v>4769</v>
      </c>
      <c r="E2491" s="81" t="s">
        <v>3685</v>
      </c>
      <c r="F2491" s="84">
        <v>702.0</v>
      </c>
      <c r="G2491" s="81" t="s">
        <v>44</v>
      </c>
      <c r="H2491" s="81" t="s">
        <v>224</v>
      </c>
      <c r="I2491" s="81" t="s">
        <v>3662</v>
      </c>
      <c r="J2491" s="81" t="s">
        <v>4088</v>
      </c>
      <c r="K2491" s="81" t="str">
        <f>IFERROR(__xludf.DUMMYFUNCTION("IF(OR(D2491="""",G2491=""""),"""",IFERROR(LET(
campo,XLOOKUP(TRIM(G2491),ARRAYFORMULA(TRIM('indice columnas'!$A$2:$A$100)),'indice columnas'!$B$2:$B$100,""""),
col,IFERROR(MATCH(campo,Referencia!$A$1:$AZ$1,0),0),
fila,IFERROR(MATCH(TO_TEXT(D2491),ARRAYFOR"&amp;"MULA(TO_TEXT(Referencia!$A$2:$A6238)),0),0),
IF(OR(campo="""",campo=""-""),""NO APLICA"",
IF(col=0,""REVISAR EQUIVALENCIA"",
IF(fila=0,""SKU NO ENCONTRADO"",
LET(
valor,INDEX(Referencia!$A$2:$AZ6238,fila,col),
IF(TRIM(TO_TEXT(valor))=TRIM(TO_TEXT(I2491)),"&amp;"
""OK"",
""NO COINCIDE. Valor verdadero: ""&amp;IF(valor="""",""[VACÍO]"",TO_TEXT(valor))
)
))))
),""ERROR EN FÓRMULA""))"),"NO APLICA")</f>
        <v>NO APLICA</v>
      </c>
    </row>
    <row r="2492">
      <c r="A2492" s="83" t="s">
        <v>4078</v>
      </c>
      <c r="B2492" s="83" t="s">
        <v>4079</v>
      </c>
      <c r="C2492" s="81" t="s">
        <v>4086</v>
      </c>
      <c r="D2492" s="83" t="s">
        <v>4770</v>
      </c>
      <c r="E2492" s="81" t="s">
        <v>3688</v>
      </c>
      <c r="F2492" s="84">
        <v>703.0</v>
      </c>
      <c r="G2492" s="81" t="s">
        <v>44</v>
      </c>
      <c r="H2492" s="81" t="s">
        <v>224</v>
      </c>
      <c r="I2492" s="81" t="s">
        <v>3688</v>
      </c>
      <c r="J2492" s="81" t="s">
        <v>4088</v>
      </c>
      <c r="K2492" s="81" t="str">
        <f>IFERROR(__xludf.DUMMYFUNCTION("IF(OR(D2492="""",G2492=""""),"""",IFERROR(LET(
campo,XLOOKUP(TRIM(G2492),ARRAYFORMULA(TRIM('indice columnas'!$A$2:$A$100)),'indice columnas'!$B$2:$B$100,""""),
col,IFERROR(MATCH(campo,Referencia!$A$1:$AZ$1,0),0),
fila,IFERROR(MATCH(TO_TEXT(D2492),ARRAYFOR"&amp;"MULA(TO_TEXT(Referencia!$A$2:$A6238)),0),0),
IF(OR(campo="""",campo=""-""),""NO APLICA"",
IF(col=0,""REVISAR EQUIVALENCIA"",
IF(fila=0,""SKU NO ENCONTRADO"",
LET(
valor,INDEX(Referencia!$A$2:$AZ6238,fila,col),
IF(TRIM(TO_TEXT(valor))=TRIM(TO_TEXT(I2492)),"&amp;"
""OK"",
""NO COINCIDE. Valor verdadero: ""&amp;IF(valor="""",""[VACÍO]"",TO_TEXT(valor))
)
))))
),""ERROR EN FÓRMULA""))"),"NO APLICA")</f>
        <v>NO APLICA</v>
      </c>
    </row>
    <row r="2493">
      <c r="A2493" s="83" t="s">
        <v>4078</v>
      </c>
      <c r="B2493" s="83" t="s">
        <v>4079</v>
      </c>
      <c r="C2493" s="81" t="s">
        <v>4086</v>
      </c>
      <c r="D2493" s="83" t="s">
        <v>4770</v>
      </c>
      <c r="E2493" s="81" t="s">
        <v>3697</v>
      </c>
      <c r="F2493" s="84">
        <v>704.0</v>
      </c>
      <c r="G2493" s="81" t="s">
        <v>7</v>
      </c>
      <c r="H2493" s="81" t="s">
        <v>3623</v>
      </c>
      <c r="I2493" s="81" t="s">
        <v>1134</v>
      </c>
      <c r="J2493" s="81" t="s">
        <v>224</v>
      </c>
      <c r="K2493" s="81" t="str">
        <f>IFERROR(__xludf.DUMMYFUNCTION("IF(OR(D2493="""",G2493=""""),"""",IFERROR(LET(
campo,XLOOKUP(TRIM(G2493),ARRAYFORMULA(TRIM('indice columnas'!$A$2:$A$100)),'indice columnas'!$B$2:$B$100,""""),
col,IFERROR(MATCH(campo,Referencia!$A$1:$AZ$1,0),0),
fila,IFERROR(MATCH(TO_TEXT(D2493),ARRAYFOR"&amp;"MULA(TO_TEXT(Referencia!$A$2:$A6238)),0),0),
IF(OR(campo="""",campo=""-""),""NO APLICA"",
IF(col=0,""REVISAR EQUIVALENCIA"",
IF(fila=0,""SKU NO ENCONTRADO"",
LET(
valor,INDEX(Referencia!$A$2:$AZ6238,fila,col),
IF(TRIM(TO_TEXT(valor))=TRIM(TO_TEXT(I2493)),"&amp;"
""OK"",
""NO COINCIDE. Valor verdadero: ""&amp;IF(valor="""",""[VACÍO]"",TO_TEXT(valor))
)
))))
),""ERROR EN FÓRMULA""))"),"REVISAR EQUIVALENCIA")</f>
        <v>REVISAR EQUIVALENCIA</v>
      </c>
    </row>
    <row r="2494">
      <c r="A2494" s="83" t="s">
        <v>4078</v>
      </c>
      <c r="B2494" s="83" t="s">
        <v>4079</v>
      </c>
      <c r="C2494" s="81" t="s">
        <v>4086</v>
      </c>
      <c r="D2494" s="83" t="s">
        <v>4770</v>
      </c>
      <c r="E2494" s="81" t="s">
        <v>3697</v>
      </c>
      <c r="F2494" s="84">
        <v>704.0</v>
      </c>
      <c r="G2494" s="81" t="s">
        <v>12</v>
      </c>
      <c r="H2494" s="81" t="s">
        <v>224</v>
      </c>
      <c r="I2494" s="81" t="s">
        <v>1549</v>
      </c>
      <c r="J2494" s="81" t="s">
        <v>224</v>
      </c>
      <c r="K2494" s="81" t="str">
        <f>IFERROR(__xludf.DUMMYFUNCTION("IF(OR(D2494="""",G2494=""""),"""",IFERROR(LET(
campo,XLOOKUP(TRIM(G2494),ARRAYFORMULA(TRIM('indice columnas'!$A$2:$A$100)),'indice columnas'!$B$2:$B$100,""""),
col,IFERROR(MATCH(campo,Referencia!$A$1:$AZ$1,0),0),
fila,IFERROR(MATCH(TO_TEXT(D2494),ARRAYFOR"&amp;"MULA(TO_TEXT(Referencia!$A$2:$A6238)),0),0),
IF(OR(campo="""",campo=""-""),""NO APLICA"",
IF(col=0,""REVISAR EQUIVALENCIA"",
IF(fila=0,""SKU NO ENCONTRADO"",
LET(
valor,INDEX(Referencia!$A$2:$AZ6238,fila,col),
IF(TRIM(TO_TEXT(valor))=TRIM(TO_TEXT(I2494)),"&amp;"
""OK"",
""NO COINCIDE. Valor verdadero: ""&amp;IF(valor="""",""[VACÍO]"",TO_TEXT(valor))
)
))))
),""ERROR EN FÓRMULA""))"),"OK")</f>
        <v>OK</v>
      </c>
    </row>
    <row r="2495">
      <c r="A2495" s="83" t="s">
        <v>4078</v>
      </c>
      <c r="B2495" s="83" t="s">
        <v>4079</v>
      </c>
      <c r="C2495" s="81" t="s">
        <v>4086</v>
      </c>
      <c r="D2495" s="83" t="s">
        <v>4770</v>
      </c>
      <c r="E2495" s="81" t="s">
        <v>3697</v>
      </c>
      <c r="F2495" s="84">
        <v>704.0</v>
      </c>
      <c r="G2495" s="81" t="s">
        <v>34</v>
      </c>
      <c r="H2495" s="81" t="s">
        <v>463</v>
      </c>
      <c r="I2495" s="81" t="s">
        <v>112</v>
      </c>
      <c r="J2495" s="81" t="s">
        <v>224</v>
      </c>
      <c r="K2495" s="81" t="str">
        <f>IFERROR(__xludf.DUMMYFUNCTION("IF(OR(D2495="""",G2495=""""),"""",IFERROR(LET(
campo,XLOOKUP(TRIM(G2495),ARRAYFORMULA(TRIM('indice columnas'!$A$2:$A$100)),'indice columnas'!$B$2:$B$100,""""),
col,IFERROR(MATCH(campo,Referencia!$A$1:$AZ$1,0),0),
fila,IFERROR(MATCH(TO_TEXT(D2495),ARRAYFOR"&amp;"MULA(TO_TEXT(Referencia!$A$2:$A6238)),0),0),
IF(OR(campo="""",campo=""-""),""NO APLICA"",
IF(col=0,""REVISAR EQUIVALENCIA"",
IF(fila=0,""SKU NO ENCONTRADO"",
LET(
valor,INDEX(Referencia!$A$2:$AZ6238,fila,col),
IF(TRIM(TO_TEXT(valor))=TRIM(TO_TEXT(I2495)),"&amp;"
""OK"",
""NO COINCIDE. Valor verdadero: ""&amp;IF(valor="""",""[VACÍO]"",TO_TEXT(valor))
)
))))
),""ERROR EN FÓRMULA""))"),"OK")</f>
        <v>OK</v>
      </c>
    </row>
    <row r="2496">
      <c r="A2496" s="83" t="s">
        <v>4078</v>
      </c>
      <c r="B2496" s="83" t="s">
        <v>4079</v>
      </c>
      <c r="C2496" s="81" t="s">
        <v>4086</v>
      </c>
      <c r="D2496" s="83" t="s">
        <v>4770</v>
      </c>
      <c r="E2496" s="81" t="s">
        <v>3697</v>
      </c>
      <c r="F2496" s="84">
        <v>704.0</v>
      </c>
      <c r="G2496" s="81" t="s">
        <v>44</v>
      </c>
      <c r="H2496" s="81" t="s">
        <v>224</v>
      </c>
      <c r="I2496" s="81" t="s">
        <v>3688</v>
      </c>
      <c r="J2496" s="81" t="s">
        <v>4088</v>
      </c>
      <c r="K2496" s="81" t="str">
        <f>IFERROR(__xludf.DUMMYFUNCTION("IF(OR(D2496="""",G2496=""""),"""",IFERROR(LET(
campo,XLOOKUP(TRIM(G2496),ARRAYFORMULA(TRIM('indice columnas'!$A$2:$A$100)),'indice columnas'!$B$2:$B$100,""""),
col,IFERROR(MATCH(campo,Referencia!$A$1:$AZ$1,0),0),
fila,IFERROR(MATCH(TO_TEXT(D2496),ARRAYFOR"&amp;"MULA(TO_TEXT(Referencia!$A$2:$A6238)),0),0),
IF(OR(campo="""",campo=""-""),""NO APLICA"",
IF(col=0,""REVISAR EQUIVALENCIA"",
IF(fila=0,""SKU NO ENCONTRADO"",
LET(
valor,INDEX(Referencia!$A$2:$AZ6238,fila,col),
IF(TRIM(TO_TEXT(valor))=TRIM(TO_TEXT(I2496)),"&amp;"
""OK"",
""NO COINCIDE. Valor verdadero: ""&amp;IF(valor="""",""[VACÍO]"",TO_TEXT(valor))
)
))))
),""ERROR EN FÓRMULA""))"),"NO APLICA")</f>
        <v>NO APLICA</v>
      </c>
    </row>
    <row r="2497">
      <c r="A2497" s="83" t="s">
        <v>4078</v>
      </c>
      <c r="B2497" s="83" t="s">
        <v>4079</v>
      </c>
      <c r="C2497" s="81" t="s">
        <v>4086</v>
      </c>
      <c r="D2497" s="83" t="s">
        <v>4771</v>
      </c>
      <c r="E2497" s="81" t="s">
        <v>3698</v>
      </c>
      <c r="F2497" s="84">
        <v>705.0</v>
      </c>
      <c r="G2497" s="81" t="s">
        <v>7</v>
      </c>
      <c r="H2497" s="81" t="s">
        <v>3623</v>
      </c>
      <c r="I2497" s="81" t="s">
        <v>1134</v>
      </c>
      <c r="J2497" s="81" t="s">
        <v>224</v>
      </c>
      <c r="K2497" s="81" t="str">
        <f>IFERROR(__xludf.DUMMYFUNCTION("IF(OR(D2497="""",G2497=""""),"""",IFERROR(LET(
campo,XLOOKUP(TRIM(G2497),ARRAYFORMULA(TRIM('indice columnas'!$A$2:$A$100)),'indice columnas'!$B$2:$B$100,""""),
col,IFERROR(MATCH(campo,Referencia!$A$1:$AZ$1,0),0),
fila,IFERROR(MATCH(TO_TEXT(D2497),ARRAYFOR"&amp;"MULA(TO_TEXT(Referencia!$A$2:$A6238)),0),0),
IF(OR(campo="""",campo=""-""),""NO APLICA"",
IF(col=0,""REVISAR EQUIVALENCIA"",
IF(fila=0,""SKU NO ENCONTRADO"",
LET(
valor,INDEX(Referencia!$A$2:$AZ6238,fila,col),
IF(TRIM(TO_TEXT(valor))=TRIM(TO_TEXT(I2497)),"&amp;"
""OK"",
""NO COINCIDE. Valor verdadero: ""&amp;IF(valor="""",""[VACÍO]"",TO_TEXT(valor))
)
))))
),""ERROR EN FÓRMULA""))"),"REVISAR EQUIVALENCIA")</f>
        <v>REVISAR EQUIVALENCIA</v>
      </c>
    </row>
    <row r="2498">
      <c r="A2498" s="83" t="s">
        <v>4078</v>
      </c>
      <c r="B2498" s="83" t="s">
        <v>4079</v>
      </c>
      <c r="C2498" s="81" t="s">
        <v>4086</v>
      </c>
      <c r="D2498" s="83" t="s">
        <v>4771</v>
      </c>
      <c r="E2498" s="81" t="s">
        <v>3698</v>
      </c>
      <c r="F2498" s="84">
        <v>705.0</v>
      </c>
      <c r="G2498" s="81" t="s">
        <v>12</v>
      </c>
      <c r="H2498" s="81" t="s">
        <v>224</v>
      </c>
      <c r="I2498" s="81" t="s">
        <v>1549</v>
      </c>
      <c r="J2498" s="81" t="s">
        <v>224</v>
      </c>
      <c r="K2498" s="81" t="str">
        <f>IFERROR(__xludf.DUMMYFUNCTION("IF(OR(D2498="""",G2498=""""),"""",IFERROR(LET(
campo,XLOOKUP(TRIM(G2498),ARRAYFORMULA(TRIM('indice columnas'!$A$2:$A$100)),'indice columnas'!$B$2:$B$100,""""),
col,IFERROR(MATCH(campo,Referencia!$A$1:$AZ$1,0),0),
fila,IFERROR(MATCH(TO_TEXT(D2498),ARRAYFOR"&amp;"MULA(TO_TEXT(Referencia!$A$2:$A6238)),0),0),
IF(OR(campo="""",campo=""-""),""NO APLICA"",
IF(col=0,""REVISAR EQUIVALENCIA"",
IF(fila=0,""SKU NO ENCONTRADO"",
LET(
valor,INDEX(Referencia!$A$2:$AZ6238,fila,col),
IF(TRIM(TO_TEXT(valor))=TRIM(TO_TEXT(I2498)),"&amp;"
""OK"",
""NO COINCIDE. Valor verdadero: ""&amp;IF(valor="""",""[VACÍO]"",TO_TEXT(valor))
)
))))
),""ERROR EN FÓRMULA""))"),"OK")</f>
        <v>OK</v>
      </c>
    </row>
    <row r="2499">
      <c r="A2499" s="83" t="s">
        <v>4078</v>
      </c>
      <c r="B2499" s="83" t="s">
        <v>4079</v>
      </c>
      <c r="C2499" s="81" t="s">
        <v>4086</v>
      </c>
      <c r="D2499" s="83" t="s">
        <v>4771</v>
      </c>
      <c r="E2499" s="81" t="s">
        <v>3698</v>
      </c>
      <c r="F2499" s="84">
        <v>705.0</v>
      </c>
      <c r="G2499" s="81" t="s">
        <v>44</v>
      </c>
      <c r="H2499" s="81" t="s">
        <v>224</v>
      </c>
      <c r="I2499" s="81" t="s">
        <v>3688</v>
      </c>
      <c r="J2499" s="81" t="s">
        <v>4088</v>
      </c>
      <c r="K2499" s="81" t="str">
        <f>IFERROR(__xludf.DUMMYFUNCTION("IF(OR(D2499="""",G2499=""""),"""",IFERROR(LET(
campo,XLOOKUP(TRIM(G2499),ARRAYFORMULA(TRIM('indice columnas'!$A$2:$A$100)),'indice columnas'!$B$2:$B$100,""""),
col,IFERROR(MATCH(campo,Referencia!$A$1:$AZ$1,0),0),
fila,IFERROR(MATCH(TO_TEXT(D2499),ARRAYFOR"&amp;"MULA(TO_TEXT(Referencia!$A$2:$A6238)),0),0),
IF(OR(campo="""",campo=""-""),""NO APLICA"",
IF(col=0,""REVISAR EQUIVALENCIA"",
IF(fila=0,""SKU NO ENCONTRADO"",
LET(
valor,INDEX(Referencia!$A$2:$AZ6238,fila,col),
IF(TRIM(TO_TEXT(valor))=TRIM(TO_TEXT(I2499)),"&amp;"
""OK"",
""NO COINCIDE. Valor verdadero: ""&amp;IF(valor="""",""[VACÍO]"",TO_TEXT(valor))
)
))))
),""ERROR EN FÓRMULA""))"),"NO APLICA")</f>
        <v>NO APLICA</v>
      </c>
    </row>
    <row r="2500">
      <c r="A2500" s="83" t="s">
        <v>4078</v>
      </c>
      <c r="B2500" s="83" t="s">
        <v>4079</v>
      </c>
      <c r="C2500" s="81" t="s">
        <v>4086</v>
      </c>
      <c r="D2500" s="83" t="s">
        <v>4772</v>
      </c>
      <c r="E2500" s="81" t="s">
        <v>3701</v>
      </c>
      <c r="F2500" s="84">
        <v>706.0</v>
      </c>
      <c r="G2500" s="81" t="s">
        <v>7</v>
      </c>
      <c r="H2500" s="81" t="s">
        <v>3623</v>
      </c>
      <c r="I2500" s="81" t="s">
        <v>1134</v>
      </c>
      <c r="J2500" s="81" t="s">
        <v>224</v>
      </c>
      <c r="K2500" s="81" t="str">
        <f>IFERROR(__xludf.DUMMYFUNCTION("IF(OR(D2500="""",G2500=""""),"""",IFERROR(LET(
campo,XLOOKUP(TRIM(G2500),ARRAYFORMULA(TRIM('indice columnas'!$A$2:$A$100)),'indice columnas'!$B$2:$B$100,""""),
col,IFERROR(MATCH(campo,Referencia!$A$1:$AZ$1,0),0),
fila,IFERROR(MATCH(TO_TEXT(D2500),ARRAYFOR"&amp;"MULA(TO_TEXT(Referencia!$A$2:$A6238)),0),0),
IF(OR(campo="""",campo=""-""),""NO APLICA"",
IF(col=0,""REVISAR EQUIVALENCIA"",
IF(fila=0,""SKU NO ENCONTRADO"",
LET(
valor,INDEX(Referencia!$A$2:$AZ6238,fila,col),
IF(TRIM(TO_TEXT(valor))=TRIM(TO_TEXT(I2500)),"&amp;"
""OK"",
""NO COINCIDE. Valor verdadero: ""&amp;IF(valor="""",""[VACÍO]"",TO_TEXT(valor))
)
))))
),""ERROR EN FÓRMULA""))"),"REVISAR EQUIVALENCIA")</f>
        <v>REVISAR EQUIVALENCIA</v>
      </c>
    </row>
    <row r="2501">
      <c r="A2501" s="83" t="s">
        <v>4078</v>
      </c>
      <c r="B2501" s="83" t="s">
        <v>4079</v>
      </c>
      <c r="C2501" s="81" t="s">
        <v>4086</v>
      </c>
      <c r="D2501" s="83" t="s">
        <v>4772</v>
      </c>
      <c r="E2501" s="81" t="s">
        <v>3701</v>
      </c>
      <c r="F2501" s="84">
        <v>706.0</v>
      </c>
      <c r="G2501" s="81" t="s">
        <v>12</v>
      </c>
      <c r="H2501" s="81" t="s">
        <v>224</v>
      </c>
      <c r="I2501" s="81" t="s">
        <v>1549</v>
      </c>
      <c r="J2501" s="81" t="s">
        <v>224</v>
      </c>
      <c r="K2501" s="81" t="str">
        <f>IFERROR(__xludf.DUMMYFUNCTION("IF(OR(D2501="""",G2501=""""),"""",IFERROR(LET(
campo,XLOOKUP(TRIM(G2501),ARRAYFORMULA(TRIM('indice columnas'!$A$2:$A$100)),'indice columnas'!$B$2:$B$100,""""),
col,IFERROR(MATCH(campo,Referencia!$A$1:$AZ$1,0),0),
fila,IFERROR(MATCH(TO_TEXT(D2501),ARRAYFOR"&amp;"MULA(TO_TEXT(Referencia!$A$2:$A6238)),0),0),
IF(OR(campo="""",campo=""-""),""NO APLICA"",
IF(col=0,""REVISAR EQUIVALENCIA"",
IF(fila=0,""SKU NO ENCONTRADO"",
LET(
valor,INDEX(Referencia!$A$2:$AZ6238,fila,col),
IF(TRIM(TO_TEXT(valor))=TRIM(TO_TEXT(I2501)),"&amp;"
""OK"",
""NO COINCIDE. Valor verdadero: ""&amp;IF(valor="""",""[VACÍO]"",TO_TEXT(valor))
)
))))
),""ERROR EN FÓRMULA""))"),"OK")</f>
        <v>OK</v>
      </c>
    </row>
    <row r="2502">
      <c r="A2502" s="83" t="s">
        <v>4078</v>
      </c>
      <c r="B2502" s="83" t="s">
        <v>4079</v>
      </c>
      <c r="C2502" s="81" t="s">
        <v>4086</v>
      </c>
      <c r="D2502" s="83" t="s">
        <v>4772</v>
      </c>
      <c r="E2502" s="81" t="s">
        <v>3701</v>
      </c>
      <c r="F2502" s="84">
        <v>706.0</v>
      </c>
      <c r="G2502" s="81" t="s">
        <v>44</v>
      </c>
      <c r="H2502" s="81" t="s">
        <v>224</v>
      </c>
      <c r="I2502" s="81" t="s">
        <v>3688</v>
      </c>
      <c r="J2502" s="81" t="s">
        <v>4088</v>
      </c>
      <c r="K2502" s="81" t="str">
        <f>IFERROR(__xludf.DUMMYFUNCTION("IF(OR(D2502="""",G2502=""""),"""",IFERROR(LET(
campo,XLOOKUP(TRIM(G2502),ARRAYFORMULA(TRIM('indice columnas'!$A$2:$A$100)),'indice columnas'!$B$2:$B$100,""""),
col,IFERROR(MATCH(campo,Referencia!$A$1:$AZ$1,0),0),
fila,IFERROR(MATCH(TO_TEXT(D2502),ARRAYFOR"&amp;"MULA(TO_TEXT(Referencia!$A$2:$A6238)),0),0),
IF(OR(campo="""",campo=""-""),""NO APLICA"",
IF(col=0,""REVISAR EQUIVALENCIA"",
IF(fila=0,""SKU NO ENCONTRADO"",
LET(
valor,INDEX(Referencia!$A$2:$AZ6238,fila,col),
IF(TRIM(TO_TEXT(valor))=TRIM(TO_TEXT(I2502)),"&amp;"
""OK"",
""NO COINCIDE. Valor verdadero: ""&amp;IF(valor="""",""[VACÍO]"",TO_TEXT(valor))
)
))))
),""ERROR EN FÓRMULA""))"),"NO APLICA")</f>
        <v>NO APLICA</v>
      </c>
    </row>
    <row r="2503">
      <c r="A2503" s="83" t="s">
        <v>4078</v>
      </c>
      <c r="B2503" s="83" t="s">
        <v>4079</v>
      </c>
      <c r="C2503" s="81" t="s">
        <v>4086</v>
      </c>
      <c r="D2503" s="83" t="s">
        <v>4773</v>
      </c>
      <c r="E2503" s="81" t="s">
        <v>3704</v>
      </c>
      <c r="F2503" s="84">
        <v>707.0</v>
      </c>
      <c r="G2503" s="81" t="s">
        <v>7</v>
      </c>
      <c r="H2503" s="81" t="s">
        <v>3623</v>
      </c>
      <c r="I2503" s="81" t="s">
        <v>1134</v>
      </c>
      <c r="J2503" s="81" t="s">
        <v>224</v>
      </c>
      <c r="K2503" s="81" t="str">
        <f>IFERROR(__xludf.DUMMYFUNCTION("IF(OR(D2503="""",G2503=""""),"""",IFERROR(LET(
campo,XLOOKUP(TRIM(G2503),ARRAYFORMULA(TRIM('indice columnas'!$A$2:$A$100)),'indice columnas'!$B$2:$B$100,""""),
col,IFERROR(MATCH(campo,Referencia!$A$1:$AZ$1,0),0),
fila,IFERROR(MATCH(TO_TEXT(D2503),ARRAYFOR"&amp;"MULA(TO_TEXT(Referencia!$A$2:$A6238)),0),0),
IF(OR(campo="""",campo=""-""),""NO APLICA"",
IF(col=0,""REVISAR EQUIVALENCIA"",
IF(fila=0,""SKU NO ENCONTRADO"",
LET(
valor,INDEX(Referencia!$A$2:$AZ6238,fila,col),
IF(TRIM(TO_TEXT(valor))=TRIM(TO_TEXT(I2503)),"&amp;"
""OK"",
""NO COINCIDE. Valor verdadero: ""&amp;IF(valor="""",""[VACÍO]"",TO_TEXT(valor))
)
))))
),""ERROR EN FÓRMULA""))"),"REVISAR EQUIVALENCIA")</f>
        <v>REVISAR EQUIVALENCIA</v>
      </c>
    </row>
    <row r="2504">
      <c r="A2504" s="83" t="s">
        <v>4078</v>
      </c>
      <c r="B2504" s="83" t="s">
        <v>4079</v>
      </c>
      <c r="C2504" s="81" t="s">
        <v>4086</v>
      </c>
      <c r="D2504" s="83" t="s">
        <v>4773</v>
      </c>
      <c r="E2504" s="81" t="s">
        <v>3704</v>
      </c>
      <c r="F2504" s="84">
        <v>707.0</v>
      </c>
      <c r="G2504" s="81" t="s">
        <v>12</v>
      </c>
      <c r="H2504" s="81" t="s">
        <v>224</v>
      </c>
      <c r="I2504" s="81" t="s">
        <v>1549</v>
      </c>
      <c r="J2504" s="81" t="s">
        <v>224</v>
      </c>
      <c r="K2504" s="81" t="str">
        <f>IFERROR(__xludf.DUMMYFUNCTION("IF(OR(D2504="""",G2504=""""),"""",IFERROR(LET(
campo,XLOOKUP(TRIM(G2504),ARRAYFORMULA(TRIM('indice columnas'!$A$2:$A$100)),'indice columnas'!$B$2:$B$100,""""),
col,IFERROR(MATCH(campo,Referencia!$A$1:$AZ$1,0),0),
fila,IFERROR(MATCH(TO_TEXT(D2504),ARRAYFOR"&amp;"MULA(TO_TEXT(Referencia!$A$2:$A6238)),0),0),
IF(OR(campo="""",campo=""-""),""NO APLICA"",
IF(col=0,""REVISAR EQUIVALENCIA"",
IF(fila=0,""SKU NO ENCONTRADO"",
LET(
valor,INDEX(Referencia!$A$2:$AZ6238,fila,col),
IF(TRIM(TO_TEXT(valor))=TRIM(TO_TEXT(I2504)),"&amp;"
""OK"",
""NO COINCIDE. Valor verdadero: ""&amp;IF(valor="""",""[VACÍO]"",TO_TEXT(valor))
)
))))
),""ERROR EN FÓRMULA""))"),"OK")</f>
        <v>OK</v>
      </c>
    </row>
    <row r="2505">
      <c r="A2505" s="83" t="s">
        <v>4078</v>
      </c>
      <c r="B2505" s="83" t="s">
        <v>4079</v>
      </c>
      <c r="C2505" s="81" t="s">
        <v>4086</v>
      </c>
      <c r="D2505" s="83" t="s">
        <v>4773</v>
      </c>
      <c r="E2505" s="81" t="s">
        <v>3704</v>
      </c>
      <c r="F2505" s="84">
        <v>707.0</v>
      </c>
      <c r="G2505" s="81" t="s">
        <v>44</v>
      </c>
      <c r="H2505" s="81" t="s">
        <v>224</v>
      </c>
      <c r="I2505" s="81" t="s">
        <v>3688</v>
      </c>
      <c r="J2505" s="81" t="s">
        <v>4088</v>
      </c>
      <c r="K2505" s="81" t="str">
        <f>IFERROR(__xludf.DUMMYFUNCTION("IF(OR(D2505="""",G2505=""""),"""",IFERROR(LET(
campo,XLOOKUP(TRIM(G2505),ARRAYFORMULA(TRIM('indice columnas'!$A$2:$A$100)),'indice columnas'!$B$2:$B$100,""""),
col,IFERROR(MATCH(campo,Referencia!$A$1:$AZ$1,0),0),
fila,IFERROR(MATCH(TO_TEXT(D2505),ARRAYFOR"&amp;"MULA(TO_TEXT(Referencia!$A$2:$A6238)),0),0),
IF(OR(campo="""",campo=""-""),""NO APLICA"",
IF(col=0,""REVISAR EQUIVALENCIA"",
IF(fila=0,""SKU NO ENCONTRADO"",
LET(
valor,INDEX(Referencia!$A$2:$AZ6238,fila,col),
IF(TRIM(TO_TEXT(valor))=TRIM(TO_TEXT(I2505)),"&amp;"
""OK"",
""NO COINCIDE. Valor verdadero: ""&amp;IF(valor="""",""[VACÍO]"",TO_TEXT(valor))
)
))))
),""ERROR EN FÓRMULA""))"),"NO APLICA")</f>
        <v>NO APLICA</v>
      </c>
    </row>
    <row r="2506">
      <c r="A2506" s="83" t="s">
        <v>4078</v>
      </c>
      <c r="B2506" s="83" t="s">
        <v>4079</v>
      </c>
      <c r="C2506" s="81" t="s">
        <v>4086</v>
      </c>
      <c r="D2506" s="83" t="s">
        <v>4774</v>
      </c>
      <c r="E2506" s="81" t="s">
        <v>3707</v>
      </c>
      <c r="F2506" s="84">
        <v>708.0</v>
      </c>
      <c r="G2506" s="81" t="s">
        <v>7</v>
      </c>
      <c r="H2506" s="81" t="s">
        <v>3623</v>
      </c>
      <c r="I2506" s="81" t="s">
        <v>1134</v>
      </c>
      <c r="J2506" s="81" t="s">
        <v>224</v>
      </c>
      <c r="K2506" s="81" t="str">
        <f>IFERROR(__xludf.DUMMYFUNCTION("IF(OR(D2506="""",G2506=""""),"""",IFERROR(LET(
campo,XLOOKUP(TRIM(G2506),ARRAYFORMULA(TRIM('indice columnas'!$A$2:$A$100)),'indice columnas'!$B$2:$B$100,""""),
col,IFERROR(MATCH(campo,Referencia!$A$1:$AZ$1,0),0),
fila,IFERROR(MATCH(TO_TEXT(D2506),ARRAYFOR"&amp;"MULA(TO_TEXT(Referencia!$A$2:$A6238)),0),0),
IF(OR(campo="""",campo=""-""),""NO APLICA"",
IF(col=0,""REVISAR EQUIVALENCIA"",
IF(fila=0,""SKU NO ENCONTRADO"",
LET(
valor,INDEX(Referencia!$A$2:$AZ6238,fila,col),
IF(TRIM(TO_TEXT(valor))=TRIM(TO_TEXT(I2506)),"&amp;"
""OK"",
""NO COINCIDE. Valor verdadero: ""&amp;IF(valor="""",""[VACÍO]"",TO_TEXT(valor))
)
))))
),""ERROR EN FÓRMULA""))"),"REVISAR EQUIVALENCIA")</f>
        <v>REVISAR EQUIVALENCIA</v>
      </c>
    </row>
    <row r="2507">
      <c r="A2507" s="83" t="s">
        <v>4078</v>
      </c>
      <c r="B2507" s="83" t="s">
        <v>4079</v>
      </c>
      <c r="C2507" s="81" t="s">
        <v>4086</v>
      </c>
      <c r="D2507" s="83" t="s">
        <v>4774</v>
      </c>
      <c r="E2507" s="81" t="s">
        <v>3707</v>
      </c>
      <c r="F2507" s="84">
        <v>708.0</v>
      </c>
      <c r="G2507" s="81" t="s">
        <v>12</v>
      </c>
      <c r="H2507" s="81" t="s">
        <v>224</v>
      </c>
      <c r="I2507" s="81" t="s">
        <v>1549</v>
      </c>
      <c r="J2507" s="81" t="s">
        <v>224</v>
      </c>
      <c r="K2507" s="81" t="str">
        <f>IFERROR(__xludf.DUMMYFUNCTION("IF(OR(D2507="""",G2507=""""),"""",IFERROR(LET(
campo,XLOOKUP(TRIM(G2507),ARRAYFORMULA(TRIM('indice columnas'!$A$2:$A$100)),'indice columnas'!$B$2:$B$100,""""),
col,IFERROR(MATCH(campo,Referencia!$A$1:$AZ$1,0),0),
fila,IFERROR(MATCH(TO_TEXT(D2507),ARRAYFOR"&amp;"MULA(TO_TEXT(Referencia!$A$2:$A6238)),0),0),
IF(OR(campo="""",campo=""-""),""NO APLICA"",
IF(col=0,""REVISAR EQUIVALENCIA"",
IF(fila=0,""SKU NO ENCONTRADO"",
LET(
valor,INDEX(Referencia!$A$2:$AZ6238,fila,col),
IF(TRIM(TO_TEXT(valor))=TRIM(TO_TEXT(I2507)),"&amp;"
""OK"",
""NO COINCIDE. Valor verdadero: ""&amp;IF(valor="""",""[VACÍO]"",TO_TEXT(valor))
)
))))
),""ERROR EN FÓRMULA""))"),"OK")</f>
        <v>OK</v>
      </c>
    </row>
    <row r="2508">
      <c r="A2508" s="83" t="s">
        <v>4078</v>
      </c>
      <c r="B2508" s="83" t="s">
        <v>4079</v>
      </c>
      <c r="C2508" s="81" t="s">
        <v>4086</v>
      </c>
      <c r="D2508" s="83" t="s">
        <v>4774</v>
      </c>
      <c r="E2508" s="81" t="s">
        <v>3707</v>
      </c>
      <c r="F2508" s="84">
        <v>708.0</v>
      </c>
      <c r="G2508" s="81" t="s">
        <v>44</v>
      </c>
      <c r="H2508" s="81" t="s">
        <v>224</v>
      </c>
      <c r="I2508" s="81" t="s">
        <v>3688</v>
      </c>
      <c r="J2508" s="81" t="s">
        <v>4088</v>
      </c>
      <c r="K2508" s="81" t="str">
        <f>IFERROR(__xludf.DUMMYFUNCTION("IF(OR(D2508="""",G2508=""""),"""",IFERROR(LET(
campo,XLOOKUP(TRIM(G2508),ARRAYFORMULA(TRIM('indice columnas'!$A$2:$A$100)),'indice columnas'!$B$2:$B$100,""""),
col,IFERROR(MATCH(campo,Referencia!$A$1:$AZ$1,0),0),
fila,IFERROR(MATCH(TO_TEXT(D2508),ARRAYFOR"&amp;"MULA(TO_TEXT(Referencia!$A$2:$A6238)),0),0),
IF(OR(campo="""",campo=""-""),""NO APLICA"",
IF(col=0,""REVISAR EQUIVALENCIA"",
IF(fila=0,""SKU NO ENCONTRADO"",
LET(
valor,INDEX(Referencia!$A$2:$AZ6238,fila,col),
IF(TRIM(TO_TEXT(valor))=TRIM(TO_TEXT(I2508)),"&amp;"
""OK"",
""NO COINCIDE. Valor verdadero: ""&amp;IF(valor="""",""[VACÍO]"",TO_TEXT(valor))
)
))))
),""ERROR EN FÓRMULA""))"),"NO APLICA")</f>
        <v>NO APLICA</v>
      </c>
    </row>
    <row r="2509">
      <c r="A2509" s="83" t="s">
        <v>4078</v>
      </c>
      <c r="B2509" s="83" t="s">
        <v>4079</v>
      </c>
      <c r="C2509" s="81" t="s">
        <v>4086</v>
      </c>
      <c r="D2509" s="83" t="s">
        <v>4775</v>
      </c>
      <c r="E2509" s="81" t="s">
        <v>3710</v>
      </c>
      <c r="F2509" s="84">
        <v>709.0</v>
      </c>
      <c r="G2509" s="81" t="s">
        <v>7</v>
      </c>
      <c r="H2509" s="81" t="s">
        <v>3623</v>
      </c>
      <c r="I2509" s="81" t="s">
        <v>1134</v>
      </c>
      <c r="J2509" s="81" t="s">
        <v>224</v>
      </c>
      <c r="K2509" s="81" t="str">
        <f>IFERROR(__xludf.DUMMYFUNCTION("IF(OR(D2509="""",G2509=""""),"""",IFERROR(LET(
campo,XLOOKUP(TRIM(G2509),ARRAYFORMULA(TRIM('indice columnas'!$A$2:$A$100)),'indice columnas'!$B$2:$B$100,""""),
col,IFERROR(MATCH(campo,Referencia!$A$1:$AZ$1,0),0),
fila,IFERROR(MATCH(TO_TEXT(D2509),ARRAYFOR"&amp;"MULA(TO_TEXT(Referencia!$A$2:$A6238)),0),0),
IF(OR(campo="""",campo=""-""),""NO APLICA"",
IF(col=0,""REVISAR EQUIVALENCIA"",
IF(fila=0,""SKU NO ENCONTRADO"",
LET(
valor,INDEX(Referencia!$A$2:$AZ6238,fila,col),
IF(TRIM(TO_TEXT(valor))=TRIM(TO_TEXT(I2509)),"&amp;"
""OK"",
""NO COINCIDE. Valor verdadero: ""&amp;IF(valor="""",""[VACÍO]"",TO_TEXT(valor))
)
))))
),""ERROR EN FÓRMULA""))"),"REVISAR EQUIVALENCIA")</f>
        <v>REVISAR EQUIVALENCIA</v>
      </c>
    </row>
    <row r="2510">
      <c r="A2510" s="83" t="s">
        <v>4078</v>
      </c>
      <c r="B2510" s="83" t="s">
        <v>4079</v>
      </c>
      <c r="C2510" s="81" t="s">
        <v>4086</v>
      </c>
      <c r="D2510" s="83" t="s">
        <v>4775</v>
      </c>
      <c r="E2510" s="81" t="s">
        <v>3710</v>
      </c>
      <c r="F2510" s="84">
        <v>709.0</v>
      </c>
      <c r="G2510" s="81" t="s">
        <v>12</v>
      </c>
      <c r="H2510" s="81" t="s">
        <v>224</v>
      </c>
      <c r="I2510" s="81" t="s">
        <v>1549</v>
      </c>
      <c r="J2510" s="81" t="s">
        <v>224</v>
      </c>
      <c r="K2510" s="81" t="str">
        <f>IFERROR(__xludf.DUMMYFUNCTION("IF(OR(D2510="""",G2510=""""),"""",IFERROR(LET(
campo,XLOOKUP(TRIM(G2510),ARRAYFORMULA(TRIM('indice columnas'!$A$2:$A$100)),'indice columnas'!$B$2:$B$100,""""),
col,IFERROR(MATCH(campo,Referencia!$A$1:$AZ$1,0),0),
fila,IFERROR(MATCH(TO_TEXT(D2510),ARRAYFOR"&amp;"MULA(TO_TEXT(Referencia!$A$2:$A6238)),0),0),
IF(OR(campo="""",campo=""-""),""NO APLICA"",
IF(col=0,""REVISAR EQUIVALENCIA"",
IF(fila=0,""SKU NO ENCONTRADO"",
LET(
valor,INDEX(Referencia!$A$2:$AZ6238,fila,col),
IF(TRIM(TO_TEXT(valor))=TRIM(TO_TEXT(I2510)),"&amp;"
""OK"",
""NO COINCIDE. Valor verdadero: ""&amp;IF(valor="""",""[VACÍO]"",TO_TEXT(valor))
)
))))
),""ERROR EN FÓRMULA""))"),"OK")</f>
        <v>OK</v>
      </c>
    </row>
    <row r="2511">
      <c r="A2511" s="83" t="s">
        <v>4078</v>
      </c>
      <c r="B2511" s="83" t="s">
        <v>4079</v>
      </c>
      <c r="C2511" s="81" t="s">
        <v>4086</v>
      </c>
      <c r="D2511" s="83" t="s">
        <v>4775</v>
      </c>
      <c r="E2511" s="81" t="s">
        <v>3710</v>
      </c>
      <c r="F2511" s="84">
        <v>709.0</v>
      </c>
      <c r="G2511" s="81" t="s">
        <v>44</v>
      </c>
      <c r="H2511" s="81" t="s">
        <v>224</v>
      </c>
      <c r="I2511" s="81" t="s">
        <v>3688</v>
      </c>
      <c r="J2511" s="81" t="s">
        <v>4088</v>
      </c>
      <c r="K2511" s="81" t="str">
        <f>IFERROR(__xludf.DUMMYFUNCTION("IF(OR(D2511="""",G2511=""""),"""",IFERROR(LET(
campo,XLOOKUP(TRIM(G2511),ARRAYFORMULA(TRIM('indice columnas'!$A$2:$A$100)),'indice columnas'!$B$2:$B$100,""""),
col,IFERROR(MATCH(campo,Referencia!$A$1:$AZ$1,0),0),
fila,IFERROR(MATCH(TO_TEXT(D2511),ARRAYFOR"&amp;"MULA(TO_TEXT(Referencia!$A$2:$A6238)),0),0),
IF(OR(campo="""",campo=""-""),""NO APLICA"",
IF(col=0,""REVISAR EQUIVALENCIA"",
IF(fila=0,""SKU NO ENCONTRADO"",
LET(
valor,INDEX(Referencia!$A$2:$AZ6238,fila,col),
IF(TRIM(TO_TEXT(valor))=TRIM(TO_TEXT(I2511)),"&amp;"
""OK"",
""NO COINCIDE. Valor verdadero: ""&amp;IF(valor="""",""[VACÍO]"",TO_TEXT(valor))
)
))))
),""ERROR EN FÓRMULA""))"),"NO APLICA")</f>
        <v>NO APLICA</v>
      </c>
    </row>
    <row r="2512">
      <c r="A2512" s="83" t="s">
        <v>4078</v>
      </c>
      <c r="B2512" s="83" t="s">
        <v>4079</v>
      </c>
      <c r="C2512" s="81" t="s">
        <v>4086</v>
      </c>
      <c r="D2512" s="83" t="s">
        <v>4776</v>
      </c>
      <c r="E2512" s="81" t="s">
        <v>3713</v>
      </c>
      <c r="F2512" s="84">
        <v>710.0</v>
      </c>
      <c r="G2512" s="81" t="s">
        <v>44</v>
      </c>
      <c r="H2512" s="81" t="s">
        <v>224</v>
      </c>
      <c r="I2512" s="81" t="s">
        <v>3688</v>
      </c>
      <c r="J2512" s="81" t="s">
        <v>4088</v>
      </c>
      <c r="K2512" s="81" t="str">
        <f>IFERROR(__xludf.DUMMYFUNCTION("IF(OR(D2512="""",G2512=""""),"""",IFERROR(LET(
campo,XLOOKUP(TRIM(G2512),ARRAYFORMULA(TRIM('indice columnas'!$A$2:$A$100)),'indice columnas'!$B$2:$B$100,""""),
col,IFERROR(MATCH(campo,Referencia!$A$1:$AZ$1,0),0),
fila,IFERROR(MATCH(TO_TEXT(D2512),ARRAYFOR"&amp;"MULA(TO_TEXT(Referencia!$A$2:$A6238)),0),0),
IF(OR(campo="""",campo=""-""),""NO APLICA"",
IF(col=0,""REVISAR EQUIVALENCIA"",
IF(fila=0,""SKU NO ENCONTRADO"",
LET(
valor,INDEX(Referencia!$A$2:$AZ6238,fila,col),
IF(TRIM(TO_TEXT(valor))=TRIM(TO_TEXT(I2512)),"&amp;"
""OK"",
""NO COINCIDE. Valor verdadero: ""&amp;IF(valor="""",""[VACÍO]"",TO_TEXT(valor))
)
))))
),""ERROR EN FÓRMULA""))"),"NO APLICA")</f>
        <v>NO APLICA</v>
      </c>
    </row>
    <row r="2513">
      <c r="A2513" s="83" t="s">
        <v>4078</v>
      </c>
      <c r="B2513" s="83" t="s">
        <v>4079</v>
      </c>
      <c r="C2513" s="81" t="s">
        <v>4086</v>
      </c>
      <c r="D2513" s="83" t="s">
        <v>4777</v>
      </c>
      <c r="E2513" s="81" t="s">
        <v>3716</v>
      </c>
      <c r="F2513" s="84">
        <v>711.0</v>
      </c>
      <c r="G2513" s="81" t="s">
        <v>44</v>
      </c>
      <c r="H2513" s="81" t="s">
        <v>224</v>
      </c>
      <c r="I2513" s="81" t="s">
        <v>3751</v>
      </c>
      <c r="J2513" s="81" t="s">
        <v>4088</v>
      </c>
      <c r="K2513" s="81" t="str">
        <f>IFERROR(__xludf.DUMMYFUNCTION("IF(OR(D2513="""",G2513=""""),"""",IFERROR(LET(
campo,XLOOKUP(TRIM(G2513),ARRAYFORMULA(TRIM('indice columnas'!$A$2:$A$100)),'indice columnas'!$B$2:$B$100,""""),
col,IFERROR(MATCH(campo,Referencia!$A$1:$AZ$1,0),0),
fila,IFERROR(MATCH(TO_TEXT(D2513),ARRAYFOR"&amp;"MULA(TO_TEXT(Referencia!$A$2:$A6238)),0),0),
IF(OR(campo="""",campo=""-""),""NO APLICA"",
IF(col=0,""REVISAR EQUIVALENCIA"",
IF(fila=0,""SKU NO ENCONTRADO"",
LET(
valor,INDEX(Referencia!$A$2:$AZ6238,fila,col),
IF(TRIM(TO_TEXT(valor))=TRIM(TO_TEXT(I2513)),"&amp;"
""OK"",
""NO COINCIDE. Valor verdadero: ""&amp;IF(valor="""",""[VACÍO]"",TO_TEXT(valor))
)
))))
),""ERROR EN FÓRMULA""))"),"NO APLICA")</f>
        <v>NO APLICA</v>
      </c>
    </row>
    <row r="2514">
      <c r="A2514" s="83" t="s">
        <v>4078</v>
      </c>
      <c r="B2514" s="83" t="s">
        <v>4079</v>
      </c>
      <c r="C2514" s="81" t="s">
        <v>4086</v>
      </c>
      <c r="D2514" s="83" t="s">
        <v>4777</v>
      </c>
      <c r="E2514" s="81" t="s">
        <v>3730</v>
      </c>
      <c r="F2514" s="84">
        <v>712.0</v>
      </c>
      <c r="G2514" s="81" t="s">
        <v>7</v>
      </c>
      <c r="H2514" s="81" t="s">
        <v>3623</v>
      </c>
      <c r="I2514" s="81" t="s">
        <v>53</v>
      </c>
      <c r="J2514" s="81" t="s">
        <v>224</v>
      </c>
      <c r="K2514" s="81" t="str">
        <f>IFERROR(__xludf.DUMMYFUNCTION("IF(OR(D2514="""",G2514=""""),"""",IFERROR(LET(
campo,XLOOKUP(TRIM(G2514),ARRAYFORMULA(TRIM('indice columnas'!$A$2:$A$100)),'indice columnas'!$B$2:$B$100,""""),
col,IFERROR(MATCH(campo,Referencia!$A$1:$AZ$1,0),0),
fila,IFERROR(MATCH(TO_TEXT(D2514),ARRAYFOR"&amp;"MULA(TO_TEXT(Referencia!$A$2:$A6238)),0),0),
IF(OR(campo="""",campo=""-""),""NO APLICA"",
IF(col=0,""REVISAR EQUIVALENCIA"",
IF(fila=0,""SKU NO ENCONTRADO"",
LET(
valor,INDEX(Referencia!$A$2:$AZ6238,fila,col),
IF(TRIM(TO_TEXT(valor))=TRIM(TO_TEXT(I2514)),"&amp;"
""OK"",
""NO COINCIDE. Valor verdadero: ""&amp;IF(valor="""",""[VACÍO]"",TO_TEXT(valor))
)
))))
),""ERROR EN FÓRMULA""))"),"REVISAR EQUIVALENCIA")</f>
        <v>REVISAR EQUIVALENCIA</v>
      </c>
    </row>
    <row r="2515">
      <c r="A2515" s="83" t="s">
        <v>4078</v>
      </c>
      <c r="B2515" s="83" t="s">
        <v>4079</v>
      </c>
      <c r="C2515" s="81" t="s">
        <v>4086</v>
      </c>
      <c r="D2515" s="83" t="s">
        <v>4777</v>
      </c>
      <c r="E2515" s="81" t="s">
        <v>3730</v>
      </c>
      <c r="F2515" s="84">
        <v>712.0</v>
      </c>
      <c r="G2515" s="81" t="s">
        <v>44</v>
      </c>
      <c r="H2515" s="81" t="s">
        <v>224</v>
      </c>
      <c r="I2515" s="81" t="s">
        <v>3751</v>
      </c>
      <c r="J2515" s="81" t="s">
        <v>4088</v>
      </c>
      <c r="K2515" s="81" t="str">
        <f>IFERROR(__xludf.DUMMYFUNCTION("IF(OR(D2515="""",G2515=""""),"""",IFERROR(LET(
campo,XLOOKUP(TRIM(G2515),ARRAYFORMULA(TRIM('indice columnas'!$A$2:$A$100)),'indice columnas'!$B$2:$B$100,""""),
col,IFERROR(MATCH(campo,Referencia!$A$1:$AZ$1,0),0),
fila,IFERROR(MATCH(TO_TEXT(D2515),ARRAYFOR"&amp;"MULA(TO_TEXT(Referencia!$A$2:$A6238)),0),0),
IF(OR(campo="""",campo=""-""),""NO APLICA"",
IF(col=0,""REVISAR EQUIVALENCIA"",
IF(fila=0,""SKU NO ENCONTRADO"",
LET(
valor,INDEX(Referencia!$A$2:$AZ6238,fila,col),
IF(TRIM(TO_TEXT(valor))=TRIM(TO_TEXT(I2515)),"&amp;"
""OK"",
""NO COINCIDE. Valor verdadero: ""&amp;IF(valor="""",""[VACÍO]"",TO_TEXT(valor))
)
))))
),""ERROR EN FÓRMULA""))"),"NO APLICA")</f>
        <v>NO APLICA</v>
      </c>
    </row>
    <row r="2516">
      <c r="A2516" s="83" t="s">
        <v>4078</v>
      </c>
      <c r="B2516" s="83" t="s">
        <v>4079</v>
      </c>
      <c r="C2516" s="81" t="s">
        <v>4086</v>
      </c>
      <c r="D2516" s="83" t="s">
        <v>4778</v>
      </c>
      <c r="E2516" s="81" t="s">
        <v>3731</v>
      </c>
      <c r="F2516" s="84">
        <v>713.0</v>
      </c>
      <c r="G2516" s="81" t="s">
        <v>7</v>
      </c>
      <c r="H2516" s="81" t="s">
        <v>3623</v>
      </c>
      <c r="I2516" s="81" t="s">
        <v>53</v>
      </c>
      <c r="J2516" s="81" t="s">
        <v>224</v>
      </c>
      <c r="K2516" s="81" t="str">
        <f>IFERROR(__xludf.DUMMYFUNCTION("IF(OR(D2516="""",G2516=""""),"""",IFERROR(LET(
campo,XLOOKUP(TRIM(G2516),ARRAYFORMULA(TRIM('indice columnas'!$A$2:$A$100)),'indice columnas'!$B$2:$B$100,""""),
col,IFERROR(MATCH(campo,Referencia!$A$1:$AZ$1,0),0),
fila,IFERROR(MATCH(TO_TEXT(D2516),ARRAYFOR"&amp;"MULA(TO_TEXT(Referencia!$A$2:$A6238)),0),0),
IF(OR(campo="""",campo=""-""),""NO APLICA"",
IF(col=0,""REVISAR EQUIVALENCIA"",
IF(fila=0,""SKU NO ENCONTRADO"",
LET(
valor,INDEX(Referencia!$A$2:$AZ6238,fila,col),
IF(TRIM(TO_TEXT(valor))=TRIM(TO_TEXT(I2516)),"&amp;"
""OK"",
""NO COINCIDE. Valor verdadero: ""&amp;IF(valor="""",""[VACÍO]"",TO_TEXT(valor))
)
))))
),""ERROR EN FÓRMULA""))"),"REVISAR EQUIVALENCIA")</f>
        <v>REVISAR EQUIVALENCIA</v>
      </c>
    </row>
    <row r="2517">
      <c r="A2517" s="83" t="s">
        <v>4078</v>
      </c>
      <c r="B2517" s="83" t="s">
        <v>4079</v>
      </c>
      <c r="C2517" s="81" t="s">
        <v>4086</v>
      </c>
      <c r="D2517" s="83" t="s">
        <v>4778</v>
      </c>
      <c r="E2517" s="81" t="s">
        <v>3731</v>
      </c>
      <c r="F2517" s="84">
        <v>713.0</v>
      </c>
      <c r="G2517" s="81" t="s">
        <v>44</v>
      </c>
      <c r="H2517" s="81" t="s">
        <v>224</v>
      </c>
      <c r="I2517" s="81" t="s">
        <v>3751</v>
      </c>
      <c r="J2517" s="81" t="s">
        <v>4088</v>
      </c>
      <c r="K2517" s="81" t="str">
        <f>IFERROR(__xludf.DUMMYFUNCTION("IF(OR(D2517="""",G2517=""""),"""",IFERROR(LET(
campo,XLOOKUP(TRIM(G2517),ARRAYFORMULA(TRIM('indice columnas'!$A$2:$A$100)),'indice columnas'!$B$2:$B$100,""""),
col,IFERROR(MATCH(campo,Referencia!$A$1:$AZ$1,0),0),
fila,IFERROR(MATCH(TO_TEXT(D2517),ARRAYFOR"&amp;"MULA(TO_TEXT(Referencia!$A$2:$A6238)),0),0),
IF(OR(campo="""",campo=""-""),""NO APLICA"",
IF(col=0,""REVISAR EQUIVALENCIA"",
IF(fila=0,""SKU NO ENCONTRADO"",
LET(
valor,INDEX(Referencia!$A$2:$AZ6238,fila,col),
IF(TRIM(TO_TEXT(valor))=TRIM(TO_TEXT(I2517)),"&amp;"
""OK"",
""NO COINCIDE. Valor verdadero: ""&amp;IF(valor="""",""[VACÍO]"",TO_TEXT(valor))
)
))))
),""ERROR EN FÓRMULA""))"),"NO APLICA")</f>
        <v>NO APLICA</v>
      </c>
    </row>
    <row r="2518">
      <c r="A2518" s="83" t="s">
        <v>4078</v>
      </c>
      <c r="B2518" s="83" t="s">
        <v>4079</v>
      </c>
      <c r="C2518" s="81" t="s">
        <v>4086</v>
      </c>
      <c r="D2518" s="83" t="s">
        <v>4779</v>
      </c>
      <c r="E2518" s="81" t="s">
        <v>3735</v>
      </c>
      <c r="F2518" s="84">
        <v>714.0</v>
      </c>
      <c r="G2518" s="81" t="s">
        <v>44</v>
      </c>
      <c r="H2518" s="81" t="s">
        <v>224</v>
      </c>
      <c r="I2518" s="81" t="s">
        <v>3751</v>
      </c>
      <c r="J2518" s="81" t="s">
        <v>4088</v>
      </c>
      <c r="K2518" s="81" t="str">
        <f>IFERROR(__xludf.DUMMYFUNCTION("IF(OR(D2518="""",G2518=""""),"""",IFERROR(LET(
campo,XLOOKUP(TRIM(G2518),ARRAYFORMULA(TRIM('indice columnas'!$A$2:$A$100)),'indice columnas'!$B$2:$B$100,""""),
col,IFERROR(MATCH(campo,Referencia!$A$1:$AZ$1,0),0),
fila,IFERROR(MATCH(TO_TEXT(D2518),ARRAYFOR"&amp;"MULA(TO_TEXT(Referencia!$A$2:$A6238)),0),0),
IF(OR(campo="""",campo=""-""),""NO APLICA"",
IF(col=0,""REVISAR EQUIVALENCIA"",
IF(fila=0,""SKU NO ENCONTRADO"",
LET(
valor,INDEX(Referencia!$A$2:$AZ6238,fila,col),
IF(TRIM(TO_TEXT(valor))=TRIM(TO_TEXT(I2518)),"&amp;"
""OK"",
""NO COINCIDE. Valor verdadero: ""&amp;IF(valor="""",""[VACÍO]"",TO_TEXT(valor))
)
))))
),""ERROR EN FÓRMULA""))"),"NO APLICA")</f>
        <v>NO APLICA</v>
      </c>
    </row>
    <row r="2519">
      <c r="A2519" s="83" t="s">
        <v>4078</v>
      </c>
      <c r="B2519" s="83" t="s">
        <v>4079</v>
      </c>
      <c r="C2519" s="81" t="s">
        <v>4086</v>
      </c>
      <c r="D2519" s="83" t="s">
        <v>4779</v>
      </c>
      <c r="E2519" s="81" t="s">
        <v>3746</v>
      </c>
      <c r="F2519" s="84">
        <v>715.0</v>
      </c>
      <c r="G2519" s="81" t="s">
        <v>7</v>
      </c>
      <c r="H2519" s="81" t="s">
        <v>3623</v>
      </c>
      <c r="I2519" s="81" t="s">
        <v>53</v>
      </c>
      <c r="J2519" s="81" t="s">
        <v>224</v>
      </c>
      <c r="K2519" s="81" t="str">
        <f>IFERROR(__xludf.DUMMYFUNCTION("IF(OR(D2519="""",G2519=""""),"""",IFERROR(LET(
campo,XLOOKUP(TRIM(G2519),ARRAYFORMULA(TRIM('indice columnas'!$A$2:$A$100)),'indice columnas'!$B$2:$B$100,""""),
col,IFERROR(MATCH(campo,Referencia!$A$1:$AZ$1,0),0),
fila,IFERROR(MATCH(TO_TEXT(D2519),ARRAYFOR"&amp;"MULA(TO_TEXT(Referencia!$A$2:$A6238)),0),0),
IF(OR(campo="""",campo=""-""),""NO APLICA"",
IF(col=0,""REVISAR EQUIVALENCIA"",
IF(fila=0,""SKU NO ENCONTRADO"",
LET(
valor,INDEX(Referencia!$A$2:$AZ6238,fila,col),
IF(TRIM(TO_TEXT(valor))=TRIM(TO_TEXT(I2519)),"&amp;"
""OK"",
""NO COINCIDE. Valor verdadero: ""&amp;IF(valor="""",""[VACÍO]"",TO_TEXT(valor))
)
))))
),""ERROR EN FÓRMULA""))"),"REVISAR EQUIVALENCIA")</f>
        <v>REVISAR EQUIVALENCIA</v>
      </c>
    </row>
    <row r="2520">
      <c r="A2520" s="83" t="s">
        <v>4078</v>
      </c>
      <c r="B2520" s="83" t="s">
        <v>4079</v>
      </c>
      <c r="C2520" s="81" t="s">
        <v>4086</v>
      </c>
      <c r="D2520" s="83" t="s">
        <v>4779</v>
      </c>
      <c r="E2520" s="81" t="s">
        <v>3746</v>
      </c>
      <c r="F2520" s="84">
        <v>715.0</v>
      </c>
      <c r="G2520" s="81" t="s">
        <v>44</v>
      </c>
      <c r="H2520" s="81" t="s">
        <v>224</v>
      </c>
      <c r="I2520" s="81" t="s">
        <v>3751</v>
      </c>
      <c r="J2520" s="81" t="s">
        <v>4088</v>
      </c>
      <c r="K2520" s="81" t="str">
        <f>IFERROR(__xludf.DUMMYFUNCTION("IF(OR(D2520="""",G2520=""""),"""",IFERROR(LET(
campo,XLOOKUP(TRIM(G2520),ARRAYFORMULA(TRIM('indice columnas'!$A$2:$A$100)),'indice columnas'!$B$2:$B$100,""""),
col,IFERROR(MATCH(campo,Referencia!$A$1:$AZ$1,0),0),
fila,IFERROR(MATCH(TO_TEXT(D2520),ARRAYFOR"&amp;"MULA(TO_TEXT(Referencia!$A$2:$A6238)),0),0),
IF(OR(campo="""",campo=""-""),""NO APLICA"",
IF(col=0,""REVISAR EQUIVALENCIA"",
IF(fila=0,""SKU NO ENCONTRADO"",
LET(
valor,INDEX(Referencia!$A$2:$AZ6238,fila,col),
IF(TRIM(TO_TEXT(valor))=TRIM(TO_TEXT(I2520)),"&amp;"
""OK"",
""NO COINCIDE. Valor verdadero: ""&amp;IF(valor="""",""[VACÍO]"",TO_TEXT(valor))
)
))))
),""ERROR EN FÓRMULA""))"),"NO APLICA")</f>
        <v>NO APLICA</v>
      </c>
    </row>
    <row r="2521">
      <c r="A2521" s="83" t="s">
        <v>4078</v>
      </c>
      <c r="B2521" s="83" t="s">
        <v>4079</v>
      </c>
      <c r="C2521" s="81" t="s">
        <v>4086</v>
      </c>
      <c r="D2521" s="83" t="s">
        <v>4780</v>
      </c>
      <c r="E2521" s="81" t="s">
        <v>3747</v>
      </c>
      <c r="F2521" s="84">
        <v>716.0</v>
      </c>
      <c r="G2521" s="81" t="s">
        <v>7</v>
      </c>
      <c r="H2521" s="81" t="s">
        <v>3623</v>
      </c>
      <c r="I2521" s="81" t="s">
        <v>53</v>
      </c>
      <c r="J2521" s="81" t="s">
        <v>224</v>
      </c>
      <c r="K2521" s="81" t="str">
        <f>IFERROR(__xludf.DUMMYFUNCTION("IF(OR(D2521="""",G2521=""""),"""",IFERROR(LET(
campo,XLOOKUP(TRIM(G2521),ARRAYFORMULA(TRIM('indice columnas'!$A$2:$A$100)),'indice columnas'!$B$2:$B$100,""""),
col,IFERROR(MATCH(campo,Referencia!$A$1:$AZ$1,0),0),
fila,IFERROR(MATCH(TO_TEXT(D2521),ARRAYFOR"&amp;"MULA(TO_TEXT(Referencia!$A$2:$A6238)),0),0),
IF(OR(campo="""",campo=""-""),""NO APLICA"",
IF(col=0,""REVISAR EQUIVALENCIA"",
IF(fila=0,""SKU NO ENCONTRADO"",
LET(
valor,INDEX(Referencia!$A$2:$AZ6238,fila,col),
IF(TRIM(TO_TEXT(valor))=TRIM(TO_TEXT(I2521)),"&amp;"
""OK"",
""NO COINCIDE. Valor verdadero: ""&amp;IF(valor="""",""[VACÍO]"",TO_TEXT(valor))
)
))))
),""ERROR EN FÓRMULA""))"),"REVISAR EQUIVALENCIA")</f>
        <v>REVISAR EQUIVALENCIA</v>
      </c>
    </row>
    <row r="2522">
      <c r="A2522" s="83" t="s">
        <v>4078</v>
      </c>
      <c r="B2522" s="83" t="s">
        <v>4079</v>
      </c>
      <c r="C2522" s="81" t="s">
        <v>4086</v>
      </c>
      <c r="D2522" s="83" t="s">
        <v>4780</v>
      </c>
      <c r="E2522" s="81" t="s">
        <v>3747</v>
      </c>
      <c r="F2522" s="84">
        <v>716.0</v>
      </c>
      <c r="G2522" s="81" t="s">
        <v>44</v>
      </c>
      <c r="H2522" s="81" t="s">
        <v>224</v>
      </c>
      <c r="I2522" s="81" t="s">
        <v>3751</v>
      </c>
      <c r="J2522" s="81" t="s">
        <v>4088</v>
      </c>
      <c r="K2522" s="81" t="str">
        <f>IFERROR(__xludf.DUMMYFUNCTION("IF(OR(D2522="""",G2522=""""),"""",IFERROR(LET(
campo,XLOOKUP(TRIM(G2522),ARRAYFORMULA(TRIM('indice columnas'!$A$2:$A$100)),'indice columnas'!$B$2:$B$100,""""),
col,IFERROR(MATCH(campo,Referencia!$A$1:$AZ$1,0),0),
fila,IFERROR(MATCH(TO_TEXT(D2522),ARRAYFOR"&amp;"MULA(TO_TEXT(Referencia!$A$2:$A6238)),0),0),
IF(OR(campo="""",campo=""-""),""NO APLICA"",
IF(col=0,""REVISAR EQUIVALENCIA"",
IF(fila=0,""SKU NO ENCONTRADO"",
LET(
valor,INDEX(Referencia!$A$2:$AZ6238,fila,col),
IF(TRIM(TO_TEXT(valor))=TRIM(TO_TEXT(I2522)),"&amp;"
""OK"",
""NO COINCIDE. Valor verdadero: ""&amp;IF(valor="""",""[VACÍO]"",TO_TEXT(valor))
)
))))
),""ERROR EN FÓRMULA""))"),"NO APLICA")</f>
        <v>NO APLICA</v>
      </c>
    </row>
    <row r="2523">
      <c r="A2523" s="83" t="s">
        <v>4078</v>
      </c>
      <c r="B2523" s="83" t="s">
        <v>4079</v>
      </c>
      <c r="C2523" s="81" t="s">
        <v>4086</v>
      </c>
      <c r="D2523" s="83" t="s">
        <v>4781</v>
      </c>
      <c r="E2523" s="81" t="s">
        <v>3751</v>
      </c>
      <c r="F2523" s="84">
        <v>717.0</v>
      </c>
      <c r="G2523" s="81" t="s">
        <v>44</v>
      </c>
      <c r="H2523" s="81" t="s">
        <v>224</v>
      </c>
      <c r="I2523" s="81" t="s">
        <v>3751</v>
      </c>
      <c r="J2523" s="81" t="s">
        <v>4088</v>
      </c>
      <c r="K2523" s="81" t="str">
        <f>IFERROR(__xludf.DUMMYFUNCTION("IF(OR(D2523="""",G2523=""""),"""",IFERROR(LET(
campo,XLOOKUP(TRIM(G2523),ARRAYFORMULA(TRIM('indice columnas'!$A$2:$A$100)),'indice columnas'!$B$2:$B$100,""""),
col,IFERROR(MATCH(campo,Referencia!$A$1:$AZ$1,0),0),
fila,IFERROR(MATCH(TO_TEXT(D2523),ARRAYFOR"&amp;"MULA(TO_TEXT(Referencia!$A$2:$A6238)),0),0),
IF(OR(campo="""",campo=""-""),""NO APLICA"",
IF(col=0,""REVISAR EQUIVALENCIA"",
IF(fila=0,""SKU NO ENCONTRADO"",
LET(
valor,INDEX(Referencia!$A$2:$AZ6238,fila,col),
IF(TRIM(TO_TEXT(valor))=TRIM(TO_TEXT(I2523)),"&amp;"
""OK"",
""NO COINCIDE. Valor verdadero: ""&amp;IF(valor="""",""[VACÍO]"",TO_TEXT(valor))
)
))))
),""ERROR EN FÓRMULA""))"),"NO APLICA")</f>
        <v>NO APLICA</v>
      </c>
    </row>
    <row r="2524">
      <c r="A2524" s="83" t="s">
        <v>4078</v>
      </c>
      <c r="B2524" s="83" t="s">
        <v>4079</v>
      </c>
      <c r="C2524" s="81" t="s">
        <v>4086</v>
      </c>
      <c r="D2524" s="83" t="s">
        <v>4781</v>
      </c>
      <c r="E2524" s="81" t="s">
        <v>3761</v>
      </c>
      <c r="F2524" s="84">
        <v>718.0</v>
      </c>
      <c r="G2524" s="81" t="s">
        <v>7</v>
      </c>
      <c r="H2524" s="81" t="s">
        <v>3623</v>
      </c>
      <c r="I2524" s="81" t="s">
        <v>53</v>
      </c>
      <c r="J2524" s="81" t="s">
        <v>224</v>
      </c>
      <c r="K2524" s="81" t="str">
        <f>IFERROR(__xludf.DUMMYFUNCTION("IF(OR(D2524="""",G2524=""""),"""",IFERROR(LET(
campo,XLOOKUP(TRIM(G2524),ARRAYFORMULA(TRIM('indice columnas'!$A$2:$A$100)),'indice columnas'!$B$2:$B$100,""""),
col,IFERROR(MATCH(campo,Referencia!$A$1:$AZ$1,0),0),
fila,IFERROR(MATCH(TO_TEXT(D2524),ARRAYFOR"&amp;"MULA(TO_TEXT(Referencia!$A$2:$A6238)),0),0),
IF(OR(campo="""",campo=""-""),""NO APLICA"",
IF(col=0,""REVISAR EQUIVALENCIA"",
IF(fila=0,""SKU NO ENCONTRADO"",
LET(
valor,INDEX(Referencia!$A$2:$AZ6238,fila,col),
IF(TRIM(TO_TEXT(valor))=TRIM(TO_TEXT(I2524)),"&amp;"
""OK"",
""NO COINCIDE. Valor verdadero: ""&amp;IF(valor="""",""[VACÍO]"",TO_TEXT(valor))
)
))))
),""ERROR EN FÓRMULA""))"),"REVISAR EQUIVALENCIA")</f>
        <v>REVISAR EQUIVALENCIA</v>
      </c>
    </row>
    <row r="2525">
      <c r="A2525" s="83" t="s">
        <v>4078</v>
      </c>
      <c r="B2525" s="83" t="s">
        <v>4079</v>
      </c>
      <c r="C2525" s="81" t="s">
        <v>4086</v>
      </c>
      <c r="D2525" s="83" t="s">
        <v>4781</v>
      </c>
      <c r="E2525" s="81" t="s">
        <v>3761</v>
      </c>
      <c r="F2525" s="84">
        <v>718.0</v>
      </c>
      <c r="G2525" s="81" t="s">
        <v>44</v>
      </c>
      <c r="H2525" s="81" t="s">
        <v>224</v>
      </c>
      <c r="I2525" s="81" t="s">
        <v>3751</v>
      </c>
      <c r="J2525" s="81" t="s">
        <v>4088</v>
      </c>
      <c r="K2525" s="81" t="str">
        <f>IFERROR(__xludf.DUMMYFUNCTION("IF(OR(D2525="""",G2525=""""),"""",IFERROR(LET(
campo,XLOOKUP(TRIM(G2525),ARRAYFORMULA(TRIM('indice columnas'!$A$2:$A$100)),'indice columnas'!$B$2:$B$100,""""),
col,IFERROR(MATCH(campo,Referencia!$A$1:$AZ$1,0),0),
fila,IFERROR(MATCH(TO_TEXT(D2525),ARRAYFOR"&amp;"MULA(TO_TEXT(Referencia!$A$2:$A6238)),0),0),
IF(OR(campo="""",campo=""-""),""NO APLICA"",
IF(col=0,""REVISAR EQUIVALENCIA"",
IF(fila=0,""SKU NO ENCONTRADO"",
LET(
valor,INDEX(Referencia!$A$2:$AZ6238,fila,col),
IF(TRIM(TO_TEXT(valor))=TRIM(TO_TEXT(I2525)),"&amp;"
""OK"",
""NO COINCIDE. Valor verdadero: ""&amp;IF(valor="""",""[VACÍO]"",TO_TEXT(valor))
)
))))
),""ERROR EN FÓRMULA""))"),"NO APLICA")</f>
        <v>NO APLICA</v>
      </c>
    </row>
    <row r="2526">
      <c r="A2526" s="83" t="s">
        <v>4078</v>
      </c>
      <c r="B2526" s="83" t="s">
        <v>4079</v>
      </c>
      <c r="C2526" s="81" t="s">
        <v>4086</v>
      </c>
      <c r="D2526" s="83" t="s">
        <v>4782</v>
      </c>
      <c r="E2526" s="81" t="s">
        <v>3762</v>
      </c>
      <c r="F2526" s="84">
        <v>719.0</v>
      </c>
      <c r="G2526" s="81" t="s">
        <v>7</v>
      </c>
      <c r="H2526" s="81" t="s">
        <v>3623</v>
      </c>
      <c r="I2526" s="81" t="s">
        <v>53</v>
      </c>
      <c r="J2526" s="81" t="s">
        <v>224</v>
      </c>
      <c r="K2526" s="81" t="str">
        <f>IFERROR(__xludf.DUMMYFUNCTION("IF(OR(D2526="""",G2526=""""),"""",IFERROR(LET(
campo,XLOOKUP(TRIM(G2526),ARRAYFORMULA(TRIM('indice columnas'!$A$2:$A$100)),'indice columnas'!$B$2:$B$100,""""),
col,IFERROR(MATCH(campo,Referencia!$A$1:$AZ$1,0),0),
fila,IFERROR(MATCH(TO_TEXT(D2526),ARRAYFOR"&amp;"MULA(TO_TEXT(Referencia!$A$2:$A6238)),0),0),
IF(OR(campo="""",campo=""-""),""NO APLICA"",
IF(col=0,""REVISAR EQUIVALENCIA"",
IF(fila=0,""SKU NO ENCONTRADO"",
LET(
valor,INDEX(Referencia!$A$2:$AZ6238,fila,col),
IF(TRIM(TO_TEXT(valor))=TRIM(TO_TEXT(I2526)),"&amp;"
""OK"",
""NO COINCIDE. Valor verdadero: ""&amp;IF(valor="""",""[VACÍO]"",TO_TEXT(valor))
)
))))
),""ERROR EN FÓRMULA""))"),"REVISAR EQUIVALENCIA")</f>
        <v>REVISAR EQUIVALENCIA</v>
      </c>
    </row>
    <row r="2527">
      <c r="A2527" s="83" t="s">
        <v>4078</v>
      </c>
      <c r="B2527" s="83" t="s">
        <v>4079</v>
      </c>
      <c r="C2527" s="81" t="s">
        <v>4086</v>
      </c>
      <c r="D2527" s="83" t="s">
        <v>4782</v>
      </c>
      <c r="E2527" s="81" t="s">
        <v>3762</v>
      </c>
      <c r="F2527" s="84">
        <v>719.0</v>
      </c>
      <c r="G2527" s="81" t="s">
        <v>44</v>
      </c>
      <c r="H2527" s="81" t="s">
        <v>224</v>
      </c>
      <c r="I2527" s="81" t="s">
        <v>3751</v>
      </c>
      <c r="J2527" s="81" t="s">
        <v>4088</v>
      </c>
      <c r="K2527" s="81" t="str">
        <f>IFERROR(__xludf.DUMMYFUNCTION("IF(OR(D2527="""",G2527=""""),"""",IFERROR(LET(
campo,XLOOKUP(TRIM(G2527),ARRAYFORMULA(TRIM('indice columnas'!$A$2:$A$100)),'indice columnas'!$B$2:$B$100,""""),
col,IFERROR(MATCH(campo,Referencia!$A$1:$AZ$1,0),0),
fila,IFERROR(MATCH(TO_TEXT(D2527),ARRAYFOR"&amp;"MULA(TO_TEXT(Referencia!$A$2:$A6238)),0),0),
IF(OR(campo="""",campo=""-""),""NO APLICA"",
IF(col=0,""REVISAR EQUIVALENCIA"",
IF(fila=0,""SKU NO ENCONTRADO"",
LET(
valor,INDEX(Referencia!$A$2:$AZ6238,fila,col),
IF(TRIM(TO_TEXT(valor))=TRIM(TO_TEXT(I2527)),"&amp;"
""OK"",
""NO COINCIDE. Valor verdadero: ""&amp;IF(valor="""",""[VACÍO]"",TO_TEXT(valor))
)
))))
),""ERROR EN FÓRMULA""))"),"NO APLICA")</f>
        <v>NO APLICA</v>
      </c>
    </row>
    <row r="2528">
      <c r="A2528" s="83" t="s">
        <v>4078</v>
      </c>
      <c r="B2528" s="83" t="s">
        <v>4079</v>
      </c>
      <c r="C2528" s="81" t="s">
        <v>4086</v>
      </c>
      <c r="D2528" s="83" t="s">
        <v>4783</v>
      </c>
      <c r="E2528" s="81" t="s">
        <v>3766</v>
      </c>
      <c r="F2528" s="84">
        <v>720.0</v>
      </c>
      <c r="G2528" s="81" t="s">
        <v>44</v>
      </c>
      <c r="H2528" s="81" t="s">
        <v>4784</v>
      </c>
      <c r="I2528" s="81" t="s">
        <v>3042</v>
      </c>
      <c r="J2528" s="81" t="s">
        <v>4088</v>
      </c>
      <c r="K2528" s="81" t="str">
        <f>IFERROR(__xludf.DUMMYFUNCTION("IF(OR(D2528="""",G2528=""""),"""",IFERROR(LET(
campo,XLOOKUP(TRIM(G2528),ARRAYFORMULA(TRIM('indice columnas'!$A$2:$A$100)),'indice columnas'!$B$2:$B$100,""""),
col,IFERROR(MATCH(campo,Referencia!$A$1:$AZ$1,0),0),
fila,IFERROR(MATCH(TO_TEXT(D2528),ARRAYFOR"&amp;"MULA(TO_TEXT(Referencia!$A$2:$A6238)),0),0),
IF(OR(campo="""",campo=""-""),""NO APLICA"",
IF(col=0,""REVISAR EQUIVALENCIA"",
IF(fila=0,""SKU NO ENCONTRADO"",
LET(
valor,INDEX(Referencia!$A$2:$AZ6238,fila,col),
IF(TRIM(TO_TEXT(valor))=TRIM(TO_TEXT(I2528)),"&amp;"
""OK"",
""NO COINCIDE. Valor verdadero: ""&amp;IF(valor="""",""[VACÍO]"",TO_TEXT(valor))
)
))))
),""ERROR EN FÓRMULA""))"),"NO APLICA")</f>
        <v>NO APLICA</v>
      </c>
    </row>
    <row r="2529">
      <c r="A2529" s="83" t="s">
        <v>4078</v>
      </c>
      <c r="B2529" s="83" t="s">
        <v>4079</v>
      </c>
      <c r="C2529" s="81" t="s">
        <v>4086</v>
      </c>
      <c r="D2529" s="83" t="s">
        <v>4783</v>
      </c>
      <c r="E2529" s="81" t="s">
        <v>3777</v>
      </c>
      <c r="F2529" s="84">
        <v>721.0</v>
      </c>
      <c r="G2529" s="81" t="s">
        <v>7</v>
      </c>
      <c r="H2529" s="81" t="s">
        <v>3623</v>
      </c>
      <c r="I2529" s="81" t="s">
        <v>53</v>
      </c>
      <c r="J2529" s="81" t="s">
        <v>224</v>
      </c>
      <c r="K2529" s="81" t="str">
        <f>IFERROR(__xludf.DUMMYFUNCTION("IF(OR(D2529="""",G2529=""""),"""",IFERROR(LET(
campo,XLOOKUP(TRIM(G2529),ARRAYFORMULA(TRIM('indice columnas'!$A$2:$A$100)),'indice columnas'!$B$2:$B$100,""""),
col,IFERROR(MATCH(campo,Referencia!$A$1:$AZ$1,0),0),
fila,IFERROR(MATCH(TO_TEXT(D2529),ARRAYFOR"&amp;"MULA(TO_TEXT(Referencia!$A$2:$A6238)),0),0),
IF(OR(campo="""",campo=""-""),""NO APLICA"",
IF(col=0,""REVISAR EQUIVALENCIA"",
IF(fila=0,""SKU NO ENCONTRADO"",
LET(
valor,INDEX(Referencia!$A$2:$AZ6238,fila,col),
IF(TRIM(TO_TEXT(valor))=TRIM(TO_TEXT(I2529)),"&amp;"
""OK"",
""NO COINCIDE. Valor verdadero: ""&amp;IF(valor="""",""[VACÍO]"",TO_TEXT(valor))
)
))))
),""ERROR EN FÓRMULA""))"),"REVISAR EQUIVALENCIA")</f>
        <v>REVISAR EQUIVALENCIA</v>
      </c>
    </row>
    <row r="2530">
      <c r="A2530" s="83" t="s">
        <v>4078</v>
      </c>
      <c r="B2530" s="83" t="s">
        <v>4079</v>
      </c>
      <c r="C2530" s="81" t="s">
        <v>4086</v>
      </c>
      <c r="D2530" s="83" t="s">
        <v>4783</v>
      </c>
      <c r="E2530" s="81" t="s">
        <v>3777</v>
      </c>
      <c r="F2530" s="84">
        <v>721.0</v>
      </c>
      <c r="G2530" s="81" t="s">
        <v>44</v>
      </c>
      <c r="H2530" s="81" t="s">
        <v>4784</v>
      </c>
      <c r="I2530" s="81" t="s">
        <v>3042</v>
      </c>
      <c r="J2530" s="81" t="s">
        <v>4088</v>
      </c>
      <c r="K2530" s="81" t="str">
        <f>IFERROR(__xludf.DUMMYFUNCTION("IF(OR(D2530="""",G2530=""""),"""",IFERROR(LET(
campo,XLOOKUP(TRIM(G2530),ARRAYFORMULA(TRIM('indice columnas'!$A$2:$A$100)),'indice columnas'!$B$2:$B$100,""""),
col,IFERROR(MATCH(campo,Referencia!$A$1:$AZ$1,0),0),
fila,IFERROR(MATCH(TO_TEXT(D2530),ARRAYFOR"&amp;"MULA(TO_TEXT(Referencia!$A$2:$A6238)),0),0),
IF(OR(campo="""",campo=""-""),""NO APLICA"",
IF(col=0,""REVISAR EQUIVALENCIA"",
IF(fila=0,""SKU NO ENCONTRADO"",
LET(
valor,INDEX(Referencia!$A$2:$AZ6238,fila,col),
IF(TRIM(TO_TEXT(valor))=TRIM(TO_TEXT(I2530)),"&amp;"
""OK"",
""NO COINCIDE. Valor verdadero: ""&amp;IF(valor="""",""[VACÍO]"",TO_TEXT(valor))
)
))))
),""ERROR EN FÓRMULA""))"),"NO APLICA")</f>
        <v>NO APLICA</v>
      </c>
    </row>
    <row r="2531">
      <c r="A2531" s="83" t="s">
        <v>4078</v>
      </c>
      <c r="B2531" s="83" t="s">
        <v>4079</v>
      </c>
      <c r="C2531" s="81" t="s">
        <v>4086</v>
      </c>
      <c r="D2531" s="83" t="s">
        <v>4785</v>
      </c>
      <c r="E2531" s="81" t="s">
        <v>3778</v>
      </c>
      <c r="F2531" s="84">
        <v>722.0</v>
      </c>
      <c r="G2531" s="81" t="s">
        <v>7</v>
      </c>
      <c r="H2531" s="81" t="s">
        <v>3623</v>
      </c>
      <c r="I2531" s="81" t="s">
        <v>53</v>
      </c>
      <c r="J2531" s="81" t="s">
        <v>224</v>
      </c>
      <c r="K2531" s="81" t="str">
        <f>IFERROR(__xludf.DUMMYFUNCTION("IF(OR(D2531="""",G2531=""""),"""",IFERROR(LET(
campo,XLOOKUP(TRIM(G2531),ARRAYFORMULA(TRIM('indice columnas'!$A$2:$A$100)),'indice columnas'!$B$2:$B$100,""""),
col,IFERROR(MATCH(campo,Referencia!$A$1:$AZ$1,0),0),
fila,IFERROR(MATCH(TO_TEXT(D2531),ARRAYFOR"&amp;"MULA(TO_TEXT(Referencia!$A$2:$A6238)),0),0),
IF(OR(campo="""",campo=""-""),""NO APLICA"",
IF(col=0,""REVISAR EQUIVALENCIA"",
IF(fila=0,""SKU NO ENCONTRADO"",
LET(
valor,INDEX(Referencia!$A$2:$AZ6238,fila,col),
IF(TRIM(TO_TEXT(valor))=TRIM(TO_TEXT(I2531)),"&amp;"
""OK"",
""NO COINCIDE. Valor verdadero: ""&amp;IF(valor="""",""[VACÍO]"",TO_TEXT(valor))
)
))))
),""ERROR EN FÓRMULA""))"),"REVISAR EQUIVALENCIA")</f>
        <v>REVISAR EQUIVALENCIA</v>
      </c>
    </row>
    <row r="2532">
      <c r="A2532" s="83" t="s">
        <v>4078</v>
      </c>
      <c r="B2532" s="83" t="s">
        <v>4079</v>
      </c>
      <c r="C2532" s="81" t="s">
        <v>4086</v>
      </c>
      <c r="D2532" s="83" t="s">
        <v>4785</v>
      </c>
      <c r="E2532" s="81" t="s">
        <v>3778</v>
      </c>
      <c r="F2532" s="84">
        <v>722.0</v>
      </c>
      <c r="G2532" s="81" t="s">
        <v>44</v>
      </c>
      <c r="H2532" s="81" t="s">
        <v>4784</v>
      </c>
      <c r="I2532" s="81" t="s">
        <v>3042</v>
      </c>
      <c r="J2532" s="81" t="s">
        <v>4088</v>
      </c>
      <c r="K2532" s="81" t="str">
        <f>IFERROR(__xludf.DUMMYFUNCTION("IF(OR(D2532="""",G2532=""""),"""",IFERROR(LET(
campo,XLOOKUP(TRIM(G2532),ARRAYFORMULA(TRIM('indice columnas'!$A$2:$A$100)),'indice columnas'!$B$2:$B$100,""""),
col,IFERROR(MATCH(campo,Referencia!$A$1:$AZ$1,0),0),
fila,IFERROR(MATCH(TO_TEXT(D2532),ARRAYFOR"&amp;"MULA(TO_TEXT(Referencia!$A$2:$A6238)),0),0),
IF(OR(campo="""",campo=""-""),""NO APLICA"",
IF(col=0,""REVISAR EQUIVALENCIA"",
IF(fila=0,""SKU NO ENCONTRADO"",
LET(
valor,INDEX(Referencia!$A$2:$AZ6238,fila,col),
IF(TRIM(TO_TEXT(valor))=TRIM(TO_TEXT(I2532)),"&amp;"
""OK"",
""NO COINCIDE. Valor verdadero: ""&amp;IF(valor="""",""[VACÍO]"",TO_TEXT(valor))
)
))))
),""ERROR EN FÓRMULA""))"),"NO APLICA")</f>
        <v>NO APLICA</v>
      </c>
    </row>
    <row r="2533">
      <c r="A2533" s="83" t="s">
        <v>4078</v>
      </c>
      <c r="B2533" s="83" t="s">
        <v>4079</v>
      </c>
      <c r="C2533" s="81" t="s">
        <v>4086</v>
      </c>
      <c r="D2533" s="83" t="s">
        <v>4786</v>
      </c>
      <c r="E2533" s="81" t="s">
        <v>3781</v>
      </c>
      <c r="F2533" s="84">
        <v>723.0</v>
      </c>
      <c r="G2533" s="81" t="s">
        <v>7</v>
      </c>
      <c r="H2533" s="81" t="s">
        <v>3623</v>
      </c>
      <c r="I2533" s="81" t="s">
        <v>53</v>
      </c>
      <c r="J2533" s="81" t="s">
        <v>224</v>
      </c>
      <c r="K2533" s="81" t="str">
        <f>IFERROR(__xludf.DUMMYFUNCTION("IF(OR(D2533="""",G2533=""""),"""",IFERROR(LET(
campo,XLOOKUP(TRIM(G2533),ARRAYFORMULA(TRIM('indice columnas'!$A$2:$A$100)),'indice columnas'!$B$2:$B$100,""""),
col,IFERROR(MATCH(campo,Referencia!$A$1:$AZ$1,0),0),
fila,IFERROR(MATCH(TO_TEXT(D2533),ARRAYFOR"&amp;"MULA(TO_TEXT(Referencia!$A$2:$A6238)),0),0),
IF(OR(campo="""",campo=""-""),""NO APLICA"",
IF(col=0,""REVISAR EQUIVALENCIA"",
IF(fila=0,""SKU NO ENCONTRADO"",
LET(
valor,INDEX(Referencia!$A$2:$AZ6238,fila,col),
IF(TRIM(TO_TEXT(valor))=TRIM(TO_TEXT(I2533)),"&amp;"
""OK"",
""NO COINCIDE. Valor verdadero: ""&amp;IF(valor="""",""[VACÍO]"",TO_TEXT(valor))
)
))))
),""ERROR EN FÓRMULA""))"),"REVISAR EQUIVALENCIA")</f>
        <v>REVISAR EQUIVALENCIA</v>
      </c>
    </row>
    <row r="2534">
      <c r="A2534" s="83" t="s">
        <v>4078</v>
      </c>
      <c r="B2534" s="83" t="s">
        <v>4079</v>
      </c>
      <c r="C2534" s="81" t="s">
        <v>4086</v>
      </c>
      <c r="D2534" s="83" t="s">
        <v>4786</v>
      </c>
      <c r="E2534" s="81" t="s">
        <v>3781</v>
      </c>
      <c r="F2534" s="84">
        <v>723.0</v>
      </c>
      <c r="G2534" s="81" t="s">
        <v>44</v>
      </c>
      <c r="H2534" s="81" t="s">
        <v>4784</v>
      </c>
      <c r="I2534" s="81" t="s">
        <v>3042</v>
      </c>
      <c r="J2534" s="81" t="s">
        <v>4088</v>
      </c>
      <c r="K2534" s="81" t="str">
        <f>IFERROR(__xludf.DUMMYFUNCTION("IF(OR(D2534="""",G2534=""""),"""",IFERROR(LET(
campo,XLOOKUP(TRIM(G2534),ARRAYFORMULA(TRIM('indice columnas'!$A$2:$A$100)),'indice columnas'!$B$2:$B$100,""""),
col,IFERROR(MATCH(campo,Referencia!$A$1:$AZ$1,0),0),
fila,IFERROR(MATCH(TO_TEXT(D2534),ARRAYFOR"&amp;"MULA(TO_TEXT(Referencia!$A$2:$A6238)),0),0),
IF(OR(campo="""",campo=""-""),""NO APLICA"",
IF(col=0,""REVISAR EQUIVALENCIA"",
IF(fila=0,""SKU NO ENCONTRADO"",
LET(
valor,INDEX(Referencia!$A$2:$AZ6238,fila,col),
IF(TRIM(TO_TEXT(valor))=TRIM(TO_TEXT(I2534)),"&amp;"
""OK"",
""NO COINCIDE. Valor verdadero: ""&amp;IF(valor="""",""[VACÍO]"",TO_TEXT(valor))
)
))))
),""ERROR EN FÓRMULA""))"),"NO APLICA")</f>
        <v>NO APLICA</v>
      </c>
    </row>
    <row r="2535">
      <c r="A2535" s="83" t="s">
        <v>4078</v>
      </c>
      <c r="B2535" s="83" t="s">
        <v>4079</v>
      </c>
      <c r="C2535" s="81" t="s">
        <v>4086</v>
      </c>
      <c r="D2535" s="83" t="s">
        <v>4787</v>
      </c>
      <c r="E2535" s="81" t="s">
        <v>3791</v>
      </c>
      <c r="F2535" s="84">
        <v>724.0</v>
      </c>
      <c r="G2535" s="81" t="s">
        <v>7</v>
      </c>
      <c r="H2535" s="81" t="s">
        <v>3623</v>
      </c>
      <c r="I2535" s="81" t="s">
        <v>53</v>
      </c>
      <c r="J2535" s="81" t="s">
        <v>224</v>
      </c>
      <c r="K2535" s="81" t="str">
        <f>IFERROR(__xludf.DUMMYFUNCTION("IF(OR(D2535="""",G2535=""""),"""",IFERROR(LET(
campo,XLOOKUP(TRIM(G2535),ARRAYFORMULA(TRIM('indice columnas'!$A$2:$A$100)),'indice columnas'!$B$2:$B$100,""""),
col,IFERROR(MATCH(campo,Referencia!$A$1:$AZ$1,0),0),
fila,IFERROR(MATCH(TO_TEXT(D2535),ARRAYFOR"&amp;"MULA(TO_TEXT(Referencia!$A$2:$A6238)),0),0),
IF(OR(campo="""",campo=""-""),""NO APLICA"",
IF(col=0,""REVISAR EQUIVALENCIA"",
IF(fila=0,""SKU NO ENCONTRADO"",
LET(
valor,INDEX(Referencia!$A$2:$AZ6238,fila,col),
IF(TRIM(TO_TEXT(valor))=TRIM(TO_TEXT(I2535)),"&amp;"
""OK"",
""NO COINCIDE. Valor verdadero: ""&amp;IF(valor="""",""[VACÍO]"",TO_TEXT(valor))
)
))))
),""ERROR EN FÓRMULA""))"),"REVISAR EQUIVALENCIA")</f>
        <v>REVISAR EQUIVALENCIA</v>
      </c>
    </row>
    <row r="2536">
      <c r="A2536" s="83" t="s">
        <v>4078</v>
      </c>
      <c r="B2536" s="83" t="s">
        <v>4079</v>
      </c>
      <c r="C2536" s="81" t="s">
        <v>4086</v>
      </c>
      <c r="D2536" s="83" t="s">
        <v>4787</v>
      </c>
      <c r="E2536" s="81" t="s">
        <v>3791</v>
      </c>
      <c r="F2536" s="84">
        <v>724.0</v>
      </c>
      <c r="G2536" s="81" t="s">
        <v>44</v>
      </c>
      <c r="H2536" s="81" t="s">
        <v>4784</v>
      </c>
      <c r="I2536" s="81" t="s">
        <v>3042</v>
      </c>
      <c r="J2536" s="81" t="s">
        <v>4088</v>
      </c>
      <c r="K2536" s="81" t="str">
        <f>IFERROR(__xludf.DUMMYFUNCTION("IF(OR(D2536="""",G2536=""""),"""",IFERROR(LET(
campo,XLOOKUP(TRIM(G2536),ARRAYFORMULA(TRIM('indice columnas'!$A$2:$A$100)),'indice columnas'!$B$2:$B$100,""""),
col,IFERROR(MATCH(campo,Referencia!$A$1:$AZ$1,0),0),
fila,IFERROR(MATCH(TO_TEXT(D2536),ARRAYFOR"&amp;"MULA(TO_TEXT(Referencia!$A$2:$A6238)),0),0),
IF(OR(campo="""",campo=""-""),""NO APLICA"",
IF(col=0,""REVISAR EQUIVALENCIA"",
IF(fila=0,""SKU NO ENCONTRADO"",
LET(
valor,INDEX(Referencia!$A$2:$AZ6238,fila,col),
IF(TRIM(TO_TEXT(valor))=TRIM(TO_TEXT(I2536)),"&amp;"
""OK"",
""NO COINCIDE. Valor verdadero: ""&amp;IF(valor="""",""[VACÍO]"",TO_TEXT(valor))
)
))))
),""ERROR EN FÓRMULA""))"),"NO APLICA")</f>
        <v>NO APLICA</v>
      </c>
    </row>
    <row r="2537">
      <c r="A2537" s="83" t="s">
        <v>4078</v>
      </c>
      <c r="B2537" s="83" t="s">
        <v>4079</v>
      </c>
      <c r="C2537" s="81" t="s">
        <v>4086</v>
      </c>
      <c r="D2537" s="83" t="s">
        <v>4788</v>
      </c>
      <c r="E2537" s="81" t="s">
        <v>3794</v>
      </c>
      <c r="F2537" s="84">
        <v>725.0</v>
      </c>
      <c r="G2537" s="81" t="s">
        <v>7</v>
      </c>
      <c r="H2537" s="81" t="s">
        <v>3623</v>
      </c>
      <c r="I2537" s="81" t="s">
        <v>53</v>
      </c>
      <c r="J2537" s="81" t="s">
        <v>224</v>
      </c>
      <c r="K2537" s="81" t="str">
        <f>IFERROR(__xludf.DUMMYFUNCTION("IF(OR(D2537="""",G2537=""""),"""",IFERROR(LET(
campo,XLOOKUP(TRIM(G2537),ARRAYFORMULA(TRIM('indice columnas'!$A$2:$A$100)),'indice columnas'!$B$2:$B$100,""""),
col,IFERROR(MATCH(campo,Referencia!$A$1:$AZ$1,0),0),
fila,IFERROR(MATCH(TO_TEXT(D2537),ARRAYFOR"&amp;"MULA(TO_TEXT(Referencia!$A$2:$A6238)),0),0),
IF(OR(campo="""",campo=""-""),""NO APLICA"",
IF(col=0,""REVISAR EQUIVALENCIA"",
IF(fila=0,""SKU NO ENCONTRADO"",
LET(
valor,INDEX(Referencia!$A$2:$AZ6238,fila,col),
IF(TRIM(TO_TEXT(valor))=TRIM(TO_TEXT(I2537)),"&amp;"
""OK"",
""NO COINCIDE. Valor verdadero: ""&amp;IF(valor="""",""[VACÍO]"",TO_TEXT(valor))
)
))))
),""ERROR EN FÓRMULA""))"),"REVISAR EQUIVALENCIA")</f>
        <v>REVISAR EQUIVALENCIA</v>
      </c>
    </row>
    <row r="2538">
      <c r="A2538" s="83" t="s">
        <v>4078</v>
      </c>
      <c r="B2538" s="83" t="s">
        <v>4079</v>
      </c>
      <c r="C2538" s="81" t="s">
        <v>4086</v>
      </c>
      <c r="D2538" s="83" t="s">
        <v>4788</v>
      </c>
      <c r="E2538" s="81" t="s">
        <v>3794</v>
      </c>
      <c r="F2538" s="84">
        <v>725.0</v>
      </c>
      <c r="G2538" s="81" t="s">
        <v>12</v>
      </c>
      <c r="H2538" s="81" t="s">
        <v>224</v>
      </c>
      <c r="I2538" s="81" t="s">
        <v>1549</v>
      </c>
      <c r="J2538" s="81" t="s">
        <v>224</v>
      </c>
      <c r="K2538" s="81" t="str">
        <f>IFERROR(__xludf.DUMMYFUNCTION("IF(OR(D2538="""",G2538=""""),"""",IFERROR(LET(
campo,XLOOKUP(TRIM(G2538),ARRAYFORMULA(TRIM('indice columnas'!$A$2:$A$100)),'indice columnas'!$B$2:$B$100,""""),
col,IFERROR(MATCH(campo,Referencia!$A$1:$AZ$1,0),0),
fila,IFERROR(MATCH(TO_TEXT(D2538),ARRAYFOR"&amp;"MULA(TO_TEXT(Referencia!$A$2:$A6238)),0),0),
IF(OR(campo="""",campo=""-""),""NO APLICA"",
IF(col=0,""REVISAR EQUIVALENCIA"",
IF(fila=0,""SKU NO ENCONTRADO"",
LET(
valor,INDEX(Referencia!$A$2:$AZ6238,fila,col),
IF(TRIM(TO_TEXT(valor))=TRIM(TO_TEXT(I2538)),"&amp;"
""OK"",
""NO COINCIDE. Valor verdadero: ""&amp;IF(valor="""",""[VACÍO]"",TO_TEXT(valor))
)
))))
),""ERROR EN FÓRMULA""))"),"OK")</f>
        <v>OK</v>
      </c>
    </row>
    <row r="2539">
      <c r="A2539" s="83" t="s">
        <v>4078</v>
      </c>
      <c r="B2539" s="83" t="s">
        <v>4079</v>
      </c>
      <c r="C2539" s="81" t="s">
        <v>4086</v>
      </c>
      <c r="D2539" s="83" t="s">
        <v>4788</v>
      </c>
      <c r="E2539" s="81" t="s">
        <v>3794</v>
      </c>
      <c r="F2539" s="84">
        <v>725.0</v>
      </c>
      <c r="G2539" s="81" t="s">
        <v>44</v>
      </c>
      <c r="H2539" s="81" t="s">
        <v>4789</v>
      </c>
      <c r="I2539" s="81" t="s">
        <v>2419</v>
      </c>
      <c r="J2539" s="81" t="s">
        <v>4088</v>
      </c>
      <c r="K2539" s="81" t="str">
        <f>IFERROR(__xludf.DUMMYFUNCTION("IF(OR(D2539="""",G2539=""""),"""",IFERROR(LET(
campo,XLOOKUP(TRIM(G2539),ARRAYFORMULA(TRIM('indice columnas'!$A$2:$A$100)),'indice columnas'!$B$2:$B$100,""""),
col,IFERROR(MATCH(campo,Referencia!$A$1:$AZ$1,0),0),
fila,IFERROR(MATCH(TO_TEXT(D2539),ARRAYFOR"&amp;"MULA(TO_TEXT(Referencia!$A$2:$A6238)),0),0),
IF(OR(campo="""",campo=""-""),""NO APLICA"",
IF(col=0,""REVISAR EQUIVALENCIA"",
IF(fila=0,""SKU NO ENCONTRADO"",
LET(
valor,INDEX(Referencia!$A$2:$AZ6238,fila,col),
IF(TRIM(TO_TEXT(valor))=TRIM(TO_TEXT(I2539)),"&amp;"
""OK"",
""NO COINCIDE. Valor verdadero: ""&amp;IF(valor="""",""[VACÍO]"",TO_TEXT(valor))
)
))))
),""ERROR EN FÓRMULA""))"),"NO APLICA")</f>
        <v>NO APLICA</v>
      </c>
    </row>
    <row r="2540">
      <c r="A2540" s="83" t="s">
        <v>4078</v>
      </c>
      <c r="B2540" s="83" t="s">
        <v>4079</v>
      </c>
      <c r="C2540" s="81" t="s">
        <v>4086</v>
      </c>
      <c r="D2540" s="83" t="s">
        <v>4790</v>
      </c>
      <c r="E2540" s="81" t="s">
        <v>3803</v>
      </c>
      <c r="F2540" s="84">
        <v>726.0</v>
      </c>
      <c r="G2540" s="81" t="s">
        <v>7</v>
      </c>
      <c r="H2540" s="81" t="s">
        <v>3623</v>
      </c>
      <c r="I2540" s="81" t="s">
        <v>53</v>
      </c>
      <c r="J2540" s="81" t="s">
        <v>224</v>
      </c>
      <c r="K2540" s="81" t="str">
        <f>IFERROR(__xludf.DUMMYFUNCTION("IF(OR(D2540="""",G2540=""""),"""",IFERROR(LET(
campo,XLOOKUP(TRIM(G2540),ARRAYFORMULA(TRIM('indice columnas'!$A$2:$A$100)),'indice columnas'!$B$2:$B$100,""""),
col,IFERROR(MATCH(campo,Referencia!$A$1:$AZ$1,0),0),
fila,IFERROR(MATCH(TO_TEXT(D2540),ARRAYFOR"&amp;"MULA(TO_TEXT(Referencia!$A$2:$A6238)),0),0),
IF(OR(campo="""",campo=""-""),""NO APLICA"",
IF(col=0,""REVISAR EQUIVALENCIA"",
IF(fila=0,""SKU NO ENCONTRADO"",
LET(
valor,INDEX(Referencia!$A$2:$AZ6238,fila,col),
IF(TRIM(TO_TEXT(valor))=TRIM(TO_TEXT(I2540)),"&amp;"
""OK"",
""NO COINCIDE. Valor verdadero: ""&amp;IF(valor="""",""[VACÍO]"",TO_TEXT(valor))
)
))))
),""ERROR EN FÓRMULA""))"),"REVISAR EQUIVALENCIA")</f>
        <v>REVISAR EQUIVALENCIA</v>
      </c>
    </row>
    <row r="2541">
      <c r="A2541" s="83" t="s">
        <v>4078</v>
      </c>
      <c r="B2541" s="83" t="s">
        <v>4079</v>
      </c>
      <c r="C2541" s="81" t="s">
        <v>4086</v>
      </c>
      <c r="D2541" s="83" t="s">
        <v>4790</v>
      </c>
      <c r="E2541" s="81" t="s">
        <v>3803</v>
      </c>
      <c r="F2541" s="84">
        <v>726.0</v>
      </c>
      <c r="G2541" s="81" t="s">
        <v>44</v>
      </c>
      <c r="H2541" s="81" t="s">
        <v>224</v>
      </c>
      <c r="I2541" s="81" t="s">
        <v>1775</v>
      </c>
      <c r="J2541" s="81" t="s">
        <v>4088</v>
      </c>
      <c r="K2541" s="81" t="str">
        <f>IFERROR(__xludf.DUMMYFUNCTION("IF(OR(D2541="""",G2541=""""),"""",IFERROR(LET(
campo,XLOOKUP(TRIM(G2541),ARRAYFORMULA(TRIM('indice columnas'!$A$2:$A$100)),'indice columnas'!$B$2:$B$100,""""),
col,IFERROR(MATCH(campo,Referencia!$A$1:$AZ$1,0),0),
fila,IFERROR(MATCH(TO_TEXT(D2541),ARRAYFOR"&amp;"MULA(TO_TEXT(Referencia!$A$2:$A6238)),0),0),
IF(OR(campo="""",campo=""-""),""NO APLICA"",
IF(col=0,""REVISAR EQUIVALENCIA"",
IF(fila=0,""SKU NO ENCONTRADO"",
LET(
valor,INDEX(Referencia!$A$2:$AZ6238,fila,col),
IF(TRIM(TO_TEXT(valor))=TRIM(TO_TEXT(I2541)),"&amp;"
""OK"",
""NO COINCIDE. Valor verdadero: ""&amp;IF(valor="""",""[VACÍO]"",TO_TEXT(valor))
)
))))
),""ERROR EN FÓRMULA""))"),"NO APLICA")</f>
        <v>NO APLICA</v>
      </c>
    </row>
    <row r="2542">
      <c r="A2542" s="83" t="s">
        <v>4078</v>
      </c>
      <c r="B2542" s="83" t="s">
        <v>4079</v>
      </c>
      <c r="C2542" s="81" t="s">
        <v>4086</v>
      </c>
      <c r="D2542" s="83" t="s">
        <v>4791</v>
      </c>
      <c r="E2542" s="81" t="s">
        <v>3812</v>
      </c>
      <c r="F2542" s="84">
        <v>727.0</v>
      </c>
      <c r="G2542" s="81" t="s">
        <v>7</v>
      </c>
      <c r="H2542" s="81" t="s">
        <v>3623</v>
      </c>
      <c r="I2542" s="81" t="s">
        <v>53</v>
      </c>
      <c r="J2542" s="81" t="s">
        <v>224</v>
      </c>
      <c r="K2542" s="81" t="str">
        <f>IFERROR(__xludf.DUMMYFUNCTION("IF(OR(D2542="""",G2542=""""),"""",IFERROR(LET(
campo,XLOOKUP(TRIM(G2542),ARRAYFORMULA(TRIM('indice columnas'!$A$2:$A$100)),'indice columnas'!$B$2:$B$100,""""),
col,IFERROR(MATCH(campo,Referencia!$A$1:$AZ$1,0),0),
fila,IFERROR(MATCH(TO_TEXT(D2542),ARRAYFOR"&amp;"MULA(TO_TEXT(Referencia!$A$2:$A6238)),0),0),
IF(OR(campo="""",campo=""-""),""NO APLICA"",
IF(col=0,""REVISAR EQUIVALENCIA"",
IF(fila=0,""SKU NO ENCONTRADO"",
LET(
valor,INDEX(Referencia!$A$2:$AZ6238,fila,col),
IF(TRIM(TO_TEXT(valor))=TRIM(TO_TEXT(I2542)),"&amp;"
""OK"",
""NO COINCIDE. Valor verdadero: ""&amp;IF(valor="""",""[VACÍO]"",TO_TEXT(valor))
)
))))
),""ERROR EN FÓRMULA""))"),"REVISAR EQUIVALENCIA")</f>
        <v>REVISAR EQUIVALENCIA</v>
      </c>
    </row>
    <row r="2543">
      <c r="A2543" s="83" t="s">
        <v>4078</v>
      </c>
      <c r="B2543" s="83" t="s">
        <v>4079</v>
      </c>
      <c r="C2543" s="81" t="s">
        <v>4086</v>
      </c>
      <c r="D2543" s="83" t="s">
        <v>4791</v>
      </c>
      <c r="E2543" s="81" t="s">
        <v>3812</v>
      </c>
      <c r="F2543" s="84">
        <v>727.0</v>
      </c>
      <c r="G2543" s="81" t="s">
        <v>44</v>
      </c>
      <c r="H2543" s="81" t="s">
        <v>224</v>
      </c>
      <c r="I2543" s="81" t="s">
        <v>1775</v>
      </c>
      <c r="J2543" s="81" t="s">
        <v>4088</v>
      </c>
      <c r="K2543" s="81" t="str">
        <f>IFERROR(__xludf.DUMMYFUNCTION("IF(OR(D2543="""",G2543=""""),"""",IFERROR(LET(
campo,XLOOKUP(TRIM(G2543),ARRAYFORMULA(TRIM('indice columnas'!$A$2:$A$100)),'indice columnas'!$B$2:$B$100,""""),
col,IFERROR(MATCH(campo,Referencia!$A$1:$AZ$1,0),0),
fila,IFERROR(MATCH(TO_TEXT(D2543),ARRAYFOR"&amp;"MULA(TO_TEXT(Referencia!$A$2:$A6238)),0),0),
IF(OR(campo="""",campo=""-""),""NO APLICA"",
IF(col=0,""REVISAR EQUIVALENCIA"",
IF(fila=0,""SKU NO ENCONTRADO"",
LET(
valor,INDEX(Referencia!$A$2:$AZ6238,fila,col),
IF(TRIM(TO_TEXT(valor))=TRIM(TO_TEXT(I2543)),"&amp;"
""OK"",
""NO COINCIDE. Valor verdadero: ""&amp;IF(valor="""",""[VACÍO]"",TO_TEXT(valor))
)
))))
),""ERROR EN FÓRMULA""))"),"NO APLICA")</f>
        <v>NO APLICA</v>
      </c>
    </row>
    <row r="2544">
      <c r="A2544" s="83" t="s">
        <v>4078</v>
      </c>
      <c r="B2544" s="83" t="s">
        <v>4079</v>
      </c>
      <c r="C2544" s="81" t="s">
        <v>4086</v>
      </c>
      <c r="D2544" s="83" t="s">
        <v>4792</v>
      </c>
      <c r="E2544" s="81" t="s">
        <v>3815</v>
      </c>
      <c r="F2544" s="84">
        <v>728.0</v>
      </c>
      <c r="G2544" s="81" t="s">
        <v>7</v>
      </c>
      <c r="H2544" s="81" t="s">
        <v>3623</v>
      </c>
      <c r="I2544" s="81" t="s">
        <v>53</v>
      </c>
      <c r="J2544" s="81" t="s">
        <v>224</v>
      </c>
      <c r="K2544" s="81" t="str">
        <f>IFERROR(__xludf.DUMMYFUNCTION("IF(OR(D2544="""",G2544=""""),"""",IFERROR(LET(
campo,XLOOKUP(TRIM(G2544),ARRAYFORMULA(TRIM('indice columnas'!$A$2:$A$100)),'indice columnas'!$B$2:$B$100,""""),
col,IFERROR(MATCH(campo,Referencia!$A$1:$AZ$1,0),0),
fila,IFERROR(MATCH(TO_TEXT(D2544),ARRAYFOR"&amp;"MULA(TO_TEXT(Referencia!$A$2:$A6238)),0),0),
IF(OR(campo="""",campo=""-""),""NO APLICA"",
IF(col=0,""REVISAR EQUIVALENCIA"",
IF(fila=0,""SKU NO ENCONTRADO"",
LET(
valor,INDEX(Referencia!$A$2:$AZ6238,fila,col),
IF(TRIM(TO_TEXT(valor))=TRIM(TO_TEXT(I2544)),"&amp;"
""OK"",
""NO COINCIDE. Valor verdadero: ""&amp;IF(valor="""",""[VACÍO]"",TO_TEXT(valor))
)
))))
),""ERROR EN FÓRMULA""))"),"REVISAR EQUIVALENCIA")</f>
        <v>REVISAR EQUIVALENCIA</v>
      </c>
    </row>
    <row r="2545">
      <c r="A2545" s="83" t="s">
        <v>4078</v>
      </c>
      <c r="B2545" s="83" t="s">
        <v>4079</v>
      </c>
      <c r="C2545" s="81" t="s">
        <v>4086</v>
      </c>
      <c r="D2545" s="83" t="s">
        <v>4792</v>
      </c>
      <c r="E2545" s="81" t="s">
        <v>3815</v>
      </c>
      <c r="F2545" s="84">
        <v>728.0</v>
      </c>
      <c r="G2545" s="81" t="s">
        <v>44</v>
      </c>
      <c r="H2545" s="81" t="s">
        <v>224</v>
      </c>
      <c r="I2545" s="81" t="s">
        <v>1775</v>
      </c>
      <c r="J2545" s="81" t="s">
        <v>4088</v>
      </c>
      <c r="K2545" s="81" t="str">
        <f>IFERROR(__xludf.DUMMYFUNCTION("IF(OR(D2545="""",G2545=""""),"""",IFERROR(LET(
campo,XLOOKUP(TRIM(G2545),ARRAYFORMULA(TRIM('indice columnas'!$A$2:$A$100)),'indice columnas'!$B$2:$B$100,""""),
col,IFERROR(MATCH(campo,Referencia!$A$1:$AZ$1,0),0),
fila,IFERROR(MATCH(TO_TEXT(D2545),ARRAYFOR"&amp;"MULA(TO_TEXT(Referencia!$A$2:$A6238)),0),0),
IF(OR(campo="""",campo=""-""),""NO APLICA"",
IF(col=0,""REVISAR EQUIVALENCIA"",
IF(fila=0,""SKU NO ENCONTRADO"",
LET(
valor,INDEX(Referencia!$A$2:$AZ6238,fila,col),
IF(TRIM(TO_TEXT(valor))=TRIM(TO_TEXT(I2545)),"&amp;"
""OK"",
""NO COINCIDE. Valor verdadero: ""&amp;IF(valor="""",""[VACÍO]"",TO_TEXT(valor))
)
))))
),""ERROR EN FÓRMULA""))"),"NO APLICA")</f>
        <v>NO APLICA</v>
      </c>
    </row>
    <row r="2546">
      <c r="A2546" s="83" t="s">
        <v>4078</v>
      </c>
      <c r="B2546" s="83" t="s">
        <v>4079</v>
      </c>
      <c r="C2546" s="81" t="s">
        <v>4086</v>
      </c>
      <c r="D2546" s="83" t="s">
        <v>4793</v>
      </c>
      <c r="E2546" s="81" t="s">
        <v>3821</v>
      </c>
      <c r="F2546" s="84">
        <v>729.0</v>
      </c>
      <c r="G2546" s="81" t="s">
        <v>7</v>
      </c>
      <c r="H2546" s="81" t="s">
        <v>3623</v>
      </c>
      <c r="I2546" s="81" t="s">
        <v>53</v>
      </c>
      <c r="J2546" s="81" t="s">
        <v>224</v>
      </c>
      <c r="K2546" s="81" t="str">
        <f>IFERROR(__xludf.DUMMYFUNCTION("IF(OR(D2546="""",G2546=""""),"""",IFERROR(LET(
campo,XLOOKUP(TRIM(G2546),ARRAYFORMULA(TRIM('indice columnas'!$A$2:$A$100)),'indice columnas'!$B$2:$B$100,""""),
col,IFERROR(MATCH(campo,Referencia!$A$1:$AZ$1,0),0),
fila,IFERROR(MATCH(TO_TEXT(D2546),ARRAYFOR"&amp;"MULA(TO_TEXT(Referencia!$A$2:$A6238)),0),0),
IF(OR(campo="""",campo=""-""),""NO APLICA"",
IF(col=0,""REVISAR EQUIVALENCIA"",
IF(fila=0,""SKU NO ENCONTRADO"",
LET(
valor,INDEX(Referencia!$A$2:$AZ6238,fila,col),
IF(TRIM(TO_TEXT(valor))=TRIM(TO_TEXT(I2546)),"&amp;"
""OK"",
""NO COINCIDE. Valor verdadero: ""&amp;IF(valor="""",""[VACÍO]"",TO_TEXT(valor))
)
))))
),""ERROR EN FÓRMULA""))"),"REVISAR EQUIVALENCIA")</f>
        <v>REVISAR EQUIVALENCIA</v>
      </c>
    </row>
    <row r="2547">
      <c r="A2547" s="83" t="s">
        <v>4078</v>
      </c>
      <c r="B2547" s="83" t="s">
        <v>4079</v>
      </c>
      <c r="C2547" s="81" t="s">
        <v>4086</v>
      </c>
      <c r="D2547" s="83" t="s">
        <v>4793</v>
      </c>
      <c r="E2547" s="81" t="s">
        <v>3821</v>
      </c>
      <c r="F2547" s="84">
        <v>729.0</v>
      </c>
      <c r="G2547" s="81" t="s">
        <v>44</v>
      </c>
      <c r="H2547" s="81" t="s">
        <v>224</v>
      </c>
      <c r="I2547" s="81" t="s">
        <v>1775</v>
      </c>
      <c r="J2547" s="81" t="s">
        <v>4088</v>
      </c>
      <c r="K2547" s="81" t="str">
        <f>IFERROR(__xludf.DUMMYFUNCTION("IF(OR(D2547="""",G2547=""""),"""",IFERROR(LET(
campo,XLOOKUP(TRIM(G2547),ARRAYFORMULA(TRIM('indice columnas'!$A$2:$A$100)),'indice columnas'!$B$2:$B$100,""""),
col,IFERROR(MATCH(campo,Referencia!$A$1:$AZ$1,0),0),
fila,IFERROR(MATCH(TO_TEXT(D2547),ARRAYFOR"&amp;"MULA(TO_TEXT(Referencia!$A$2:$A6238)),0),0),
IF(OR(campo="""",campo=""-""),""NO APLICA"",
IF(col=0,""REVISAR EQUIVALENCIA"",
IF(fila=0,""SKU NO ENCONTRADO"",
LET(
valor,INDEX(Referencia!$A$2:$AZ6238,fila,col),
IF(TRIM(TO_TEXT(valor))=TRIM(TO_TEXT(I2547)),"&amp;"
""OK"",
""NO COINCIDE. Valor verdadero: ""&amp;IF(valor="""",""[VACÍO]"",TO_TEXT(valor))
)
))))
),""ERROR EN FÓRMULA""))"),"NO APLICA")</f>
        <v>NO APLICA</v>
      </c>
    </row>
    <row r="2548">
      <c r="A2548" s="83" t="s">
        <v>4078</v>
      </c>
      <c r="B2548" s="83" t="s">
        <v>4079</v>
      </c>
      <c r="C2548" s="81" t="s">
        <v>4086</v>
      </c>
      <c r="D2548" s="83" t="s">
        <v>4794</v>
      </c>
      <c r="E2548" s="81" t="s">
        <v>3823</v>
      </c>
      <c r="F2548" s="84">
        <v>730.0</v>
      </c>
      <c r="G2548" s="81" t="s">
        <v>44</v>
      </c>
      <c r="H2548" s="81" t="s">
        <v>224</v>
      </c>
      <c r="I2548" s="81" t="s">
        <v>3830</v>
      </c>
      <c r="J2548" s="81" t="s">
        <v>4088</v>
      </c>
      <c r="K2548" s="81" t="str">
        <f>IFERROR(__xludf.DUMMYFUNCTION("IF(OR(D2548="""",G2548=""""),"""",IFERROR(LET(
campo,XLOOKUP(TRIM(G2548),ARRAYFORMULA(TRIM('indice columnas'!$A$2:$A$100)),'indice columnas'!$B$2:$B$100,""""),
col,IFERROR(MATCH(campo,Referencia!$A$1:$AZ$1,0),0),
fila,IFERROR(MATCH(TO_TEXT(D2548),ARRAYFOR"&amp;"MULA(TO_TEXT(Referencia!$A$2:$A6238)),0),0),
IF(OR(campo="""",campo=""-""),""NO APLICA"",
IF(col=0,""REVISAR EQUIVALENCIA"",
IF(fila=0,""SKU NO ENCONTRADO"",
LET(
valor,INDEX(Referencia!$A$2:$AZ6238,fila,col),
IF(TRIM(TO_TEXT(valor))=TRIM(TO_TEXT(I2548)),"&amp;"
""OK"",
""NO COINCIDE. Valor verdadero: ""&amp;IF(valor="""",""[VACÍO]"",TO_TEXT(valor))
)
))))
),""ERROR EN FÓRMULA""))"),"NO APLICA")</f>
        <v>NO APLICA</v>
      </c>
    </row>
    <row r="2549">
      <c r="A2549" s="83" t="s">
        <v>4078</v>
      </c>
      <c r="B2549" s="83" t="s">
        <v>4079</v>
      </c>
      <c r="C2549" s="81" t="s">
        <v>4086</v>
      </c>
      <c r="D2549" s="83" t="s">
        <v>4794</v>
      </c>
      <c r="E2549" s="81" t="s">
        <v>3829</v>
      </c>
      <c r="F2549" s="84">
        <v>731.0</v>
      </c>
      <c r="G2549" s="81" t="s">
        <v>7</v>
      </c>
      <c r="H2549" s="81" t="s">
        <v>3623</v>
      </c>
      <c r="I2549" s="81" t="s">
        <v>53</v>
      </c>
      <c r="J2549" s="81" t="s">
        <v>224</v>
      </c>
      <c r="K2549" s="81" t="str">
        <f>IFERROR(__xludf.DUMMYFUNCTION("IF(OR(D2549="""",G2549=""""),"""",IFERROR(LET(
campo,XLOOKUP(TRIM(G2549),ARRAYFORMULA(TRIM('indice columnas'!$A$2:$A$100)),'indice columnas'!$B$2:$B$100,""""),
col,IFERROR(MATCH(campo,Referencia!$A$1:$AZ$1,0),0),
fila,IFERROR(MATCH(TO_TEXT(D2549),ARRAYFOR"&amp;"MULA(TO_TEXT(Referencia!$A$2:$A6238)),0),0),
IF(OR(campo="""",campo=""-""),""NO APLICA"",
IF(col=0,""REVISAR EQUIVALENCIA"",
IF(fila=0,""SKU NO ENCONTRADO"",
LET(
valor,INDEX(Referencia!$A$2:$AZ6238,fila,col),
IF(TRIM(TO_TEXT(valor))=TRIM(TO_TEXT(I2549)),"&amp;"
""OK"",
""NO COINCIDE. Valor verdadero: ""&amp;IF(valor="""",""[VACÍO]"",TO_TEXT(valor))
)
))))
),""ERROR EN FÓRMULA""))"),"REVISAR EQUIVALENCIA")</f>
        <v>REVISAR EQUIVALENCIA</v>
      </c>
    </row>
    <row r="2550">
      <c r="A2550" s="83" t="s">
        <v>4078</v>
      </c>
      <c r="B2550" s="83" t="s">
        <v>4079</v>
      </c>
      <c r="C2550" s="81" t="s">
        <v>4086</v>
      </c>
      <c r="D2550" s="83" t="s">
        <v>4794</v>
      </c>
      <c r="E2550" s="81" t="s">
        <v>3829</v>
      </c>
      <c r="F2550" s="84">
        <v>731.0</v>
      </c>
      <c r="G2550" s="81" t="s">
        <v>12</v>
      </c>
      <c r="H2550" s="81" t="s">
        <v>224</v>
      </c>
      <c r="I2550" s="81" t="s">
        <v>55</v>
      </c>
      <c r="J2550" s="81" t="s">
        <v>224</v>
      </c>
      <c r="K2550" s="81" t="str">
        <f>IFERROR(__xludf.DUMMYFUNCTION("IF(OR(D2550="""",G2550=""""),"""",IFERROR(LET(
campo,XLOOKUP(TRIM(G2550),ARRAYFORMULA(TRIM('indice columnas'!$A$2:$A$100)),'indice columnas'!$B$2:$B$100,""""),
col,IFERROR(MATCH(campo,Referencia!$A$1:$AZ$1,0),0),
fila,IFERROR(MATCH(TO_TEXT(D2550),ARRAYFOR"&amp;"MULA(TO_TEXT(Referencia!$A$2:$A6238)),0),0),
IF(OR(campo="""",campo=""-""),""NO APLICA"",
IF(col=0,""REVISAR EQUIVALENCIA"",
IF(fila=0,""SKU NO ENCONTRADO"",
LET(
valor,INDEX(Referencia!$A$2:$AZ6238,fila,col),
IF(TRIM(TO_TEXT(valor))=TRIM(TO_TEXT(I2550)),"&amp;"
""OK"",
""NO COINCIDE. Valor verdadero: ""&amp;IF(valor="""",""[VACÍO]"",TO_TEXT(valor))
)
))))
),""ERROR EN FÓRMULA""))"),"OK")</f>
        <v>OK</v>
      </c>
    </row>
    <row r="2551">
      <c r="A2551" s="83" t="s">
        <v>4078</v>
      </c>
      <c r="B2551" s="83" t="s">
        <v>4079</v>
      </c>
      <c r="C2551" s="81" t="s">
        <v>4086</v>
      </c>
      <c r="D2551" s="83" t="s">
        <v>4794</v>
      </c>
      <c r="E2551" s="81" t="s">
        <v>3829</v>
      </c>
      <c r="F2551" s="84">
        <v>731.0</v>
      </c>
      <c r="G2551" s="81" t="s">
        <v>44</v>
      </c>
      <c r="H2551" s="81" t="s">
        <v>224</v>
      </c>
      <c r="I2551" s="81" t="s">
        <v>3830</v>
      </c>
      <c r="J2551" s="81" t="s">
        <v>4088</v>
      </c>
      <c r="K2551" s="81" t="str">
        <f>IFERROR(__xludf.DUMMYFUNCTION("IF(OR(D2551="""",G2551=""""),"""",IFERROR(LET(
campo,XLOOKUP(TRIM(G2551),ARRAYFORMULA(TRIM('indice columnas'!$A$2:$A$100)),'indice columnas'!$B$2:$B$100,""""),
col,IFERROR(MATCH(campo,Referencia!$A$1:$AZ$1,0),0),
fila,IFERROR(MATCH(TO_TEXT(D2551),ARRAYFOR"&amp;"MULA(TO_TEXT(Referencia!$A$2:$A6238)),0),0),
IF(OR(campo="""",campo=""-""),""NO APLICA"",
IF(col=0,""REVISAR EQUIVALENCIA"",
IF(fila=0,""SKU NO ENCONTRADO"",
LET(
valor,INDEX(Referencia!$A$2:$AZ6238,fila,col),
IF(TRIM(TO_TEXT(valor))=TRIM(TO_TEXT(I2551)),"&amp;"
""OK"",
""NO COINCIDE. Valor verdadero: ""&amp;IF(valor="""",""[VACÍO]"",TO_TEXT(valor))
)
))))
),""ERROR EN FÓRMULA""))"),"NO APLICA")</f>
        <v>NO APLICA</v>
      </c>
    </row>
    <row r="2552">
      <c r="A2552" s="83" t="s">
        <v>4078</v>
      </c>
      <c r="B2552" s="83" t="s">
        <v>4079</v>
      </c>
      <c r="C2552" s="81" t="s">
        <v>4086</v>
      </c>
      <c r="D2552" s="83" t="s">
        <v>4795</v>
      </c>
      <c r="E2552" s="81" t="s">
        <v>3831</v>
      </c>
      <c r="F2552" s="84">
        <v>732.0</v>
      </c>
      <c r="G2552" s="81" t="s">
        <v>7</v>
      </c>
      <c r="H2552" s="81" t="s">
        <v>3623</v>
      </c>
      <c r="I2552" s="81" t="s">
        <v>53</v>
      </c>
      <c r="J2552" s="81" t="s">
        <v>224</v>
      </c>
      <c r="K2552" s="81" t="str">
        <f>IFERROR(__xludf.DUMMYFUNCTION("IF(OR(D2552="""",G2552=""""),"""",IFERROR(LET(
campo,XLOOKUP(TRIM(G2552),ARRAYFORMULA(TRIM('indice columnas'!$A$2:$A$100)),'indice columnas'!$B$2:$B$100,""""),
col,IFERROR(MATCH(campo,Referencia!$A$1:$AZ$1,0),0),
fila,IFERROR(MATCH(TO_TEXT(D2552),ARRAYFOR"&amp;"MULA(TO_TEXT(Referencia!$A$2:$A6238)),0),0),
IF(OR(campo="""",campo=""-""),""NO APLICA"",
IF(col=0,""REVISAR EQUIVALENCIA"",
IF(fila=0,""SKU NO ENCONTRADO"",
LET(
valor,INDEX(Referencia!$A$2:$AZ6238,fila,col),
IF(TRIM(TO_TEXT(valor))=TRIM(TO_TEXT(I2552)),"&amp;"
""OK"",
""NO COINCIDE. Valor verdadero: ""&amp;IF(valor="""",""[VACÍO]"",TO_TEXT(valor))
)
))))
),""ERROR EN FÓRMULA""))"),"REVISAR EQUIVALENCIA")</f>
        <v>REVISAR EQUIVALENCIA</v>
      </c>
    </row>
    <row r="2553">
      <c r="A2553" s="83" t="s">
        <v>4078</v>
      </c>
      <c r="B2553" s="83" t="s">
        <v>4079</v>
      </c>
      <c r="C2553" s="81" t="s">
        <v>4086</v>
      </c>
      <c r="D2553" s="83" t="s">
        <v>4795</v>
      </c>
      <c r="E2553" s="81" t="s">
        <v>3831</v>
      </c>
      <c r="F2553" s="84">
        <v>732.0</v>
      </c>
      <c r="G2553" s="81" t="s">
        <v>12</v>
      </c>
      <c r="H2553" s="81" t="s">
        <v>224</v>
      </c>
      <c r="I2553" s="81" t="s">
        <v>55</v>
      </c>
      <c r="J2553" s="81" t="s">
        <v>224</v>
      </c>
      <c r="K2553" s="81" t="str">
        <f>IFERROR(__xludf.DUMMYFUNCTION("IF(OR(D2553="""",G2553=""""),"""",IFERROR(LET(
campo,XLOOKUP(TRIM(G2553),ARRAYFORMULA(TRIM('indice columnas'!$A$2:$A$100)),'indice columnas'!$B$2:$B$100,""""),
col,IFERROR(MATCH(campo,Referencia!$A$1:$AZ$1,0),0),
fila,IFERROR(MATCH(TO_TEXT(D2553),ARRAYFOR"&amp;"MULA(TO_TEXT(Referencia!$A$2:$A6238)),0),0),
IF(OR(campo="""",campo=""-""),""NO APLICA"",
IF(col=0,""REVISAR EQUIVALENCIA"",
IF(fila=0,""SKU NO ENCONTRADO"",
LET(
valor,INDEX(Referencia!$A$2:$AZ6238,fila,col),
IF(TRIM(TO_TEXT(valor))=TRIM(TO_TEXT(I2553)),"&amp;"
""OK"",
""NO COINCIDE. Valor verdadero: ""&amp;IF(valor="""",""[VACÍO]"",TO_TEXT(valor))
)
))))
),""ERROR EN FÓRMULA""))"),"OK")</f>
        <v>OK</v>
      </c>
    </row>
    <row r="2554">
      <c r="A2554" s="83" t="s">
        <v>4078</v>
      </c>
      <c r="B2554" s="83" t="s">
        <v>4079</v>
      </c>
      <c r="C2554" s="81" t="s">
        <v>4086</v>
      </c>
      <c r="D2554" s="83" t="s">
        <v>4795</v>
      </c>
      <c r="E2554" s="81" t="s">
        <v>3831</v>
      </c>
      <c r="F2554" s="84">
        <v>732.0</v>
      </c>
      <c r="G2554" s="81" t="s">
        <v>44</v>
      </c>
      <c r="H2554" s="81" t="s">
        <v>224</v>
      </c>
      <c r="I2554" s="81" t="s">
        <v>3830</v>
      </c>
      <c r="J2554" s="81" t="s">
        <v>4088</v>
      </c>
      <c r="K2554" s="81" t="str">
        <f>IFERROR(__xludf.DUMMYFUNCTION("IF(OR(D2554="""",G2554=""""),"""",IFERROR(LET(
campo,XLOOKUP(TRIM(G2554),ARRAYFORMULA(TRIM('indice columnas'!$A$2:$A$100)),'indice columnas'!$B$2:$B$100,""""),
col,IFERROR(MATCH(campo,Referencia!$A$1:$AZ$1,0),0),
fila,IFERROR(MATCH(TO_TEXT(D2554),ARRAYFOR"&amp;"MULA(TO_TEXT(Referencia!$A$2:$A6238)),0),0),
IF(OR(campo="""",campo=""-""),""NO APLICA"",
IF(col=0,""REVISAR EQUIVALENCIA"",
IF(fila=0,""SKU NO ENCONTRADO"",
LET(
valor,INDEX(Referencia!$A$2:$AZ6238,fila,col),
IF(TRIM(TO_TEXT(valor))=TRIM(TO_TEXT(I2554)),"&amp;"
""OK"",
""NO COINCIDE. Valor verdadero: ""&amp;IF(valor="""",""[VACÍO]"",TO_TEXT(valor))
)
))))
),""ERROR EN FÓRMULA""))"),"NO APLICA")</f>
        <v>NO APLICA</v>
      </c>
    </row>
    <row r="2555">
      <c r="A2555" s="83" t="s">
        <v>4078</v>
      </c>
      <c r="B2555" s="83" t="s">
        <v>4079</v>
      </c>
      <c r="C2555" s="81" t="s">
        <v>4086</v>
      </c>
      <c r="D2555" s="83" t="s">
        <v>4796</v>
      </c>
      <c r="E2555" s="81" t="s">
        <v>3833</v>
      </c>
      <c r="F2555" s="84">
        <v>733.0</v>
      </c>
      <c r="G2555" s="81" t="s">
        <v>44</v>
      </c>
      <c r="H2555" s="81" t="s">
        <v>224</v>
      </c>
      <c r="I2555" s="81" t="s">
        <v>3830</v>
      </c>
      <c r="J2555" s="81" t="s">
        <v>4088</v>
      </c>
      <c r="K2555" s="81" t="str">
        <f>IFERROR(__xludf.DUMMYFUNCTION("IF(OR(D2555="""",G2555=""""),"""",IFERROR(LET(
campo,XLOOKUP(TRIM(G2555),ARRAYFORMULA(TRIM('indice columnas'!$A$2:$A$100)),'indice columnas'!$B$2:$B$100,""""),
col,IFERROR(MATCH(campo,Referencia!$A$1:$AZ$1,0),0),
fila,IFERROR(MATCH(TO_TEXT(D2555),ARRAYFOR"&amp;"MULA(TO_TEXT(Referencia!$A$2:$A6238)),0),0),
IF(OR(campo="""",campo=""-""),""NO APLICA"",
IF(col=0,""REVISAR EQUIVALENCIA"",
IF(fila=0,""SKU NO ENCONTRADO"",
LET(
valor,INDEX(Referencia!$A$2:$AZ6238,fila,col),
IF(TRIM(TO_TEXT(valor))=TRIM(TO_TEXT(I2555)),"&amp;"
""OK"",
""NO COINCIDE. Valor verdadero: ""&amp;IF(valor="""",""[VACÍO]"",TO_TEXT(valor))
)
))))
),""ERROR EN FÓRMULA""))"),"NO APLICA")</f>
        <v>NO APLICA</v>
      </c>
    </row>
    <row r="2556">
      <c r="A2556" s="83" t="s">
        <v>4078</v>
      </c>
      <c r="B2556" s="83" t="s">
        <v>4079</v>
      </c>
      <c r="C2556" s="81" t="s">
        <v>4086</v>
      </c>
      <c r="D2556" s="83" t="s">
        <v>4796</v>
      </c>
      <c r="E2556" s="81" t="s">
        <v>3838</v>
      </c>
      <c r="F2556" s="84">
        <v>734.0</v>
      </c>
      <c r="G2556" s="81" t="s">
        <v>7</v>
      </c>
      <c r="H2556" s="81" t="s">
        <v>3623</v>
      </c>
      <c r="I2556" s="81" t="s">
        <v>53</v>
      </c>
      <c r="J2556" s="81" t="s">
        <v>224</v>
      </c>
      <c r="K2556" s="81" t="str">
        <f>IFERROR(__xludf.DUMMYFUNCTION("IF(OR(D2556="""",G2556=""""),"""",IFERROR(LET(
campo,XLOOKUP(TRIM(G2556),ARRAYFORMULA(TRIM('indice columnas'!$A$2:$A$100)),'indice columnas'!$B$2:$B$100,""""),
col,IFERROR(MATCH(campo,Referencia!$A$1:$AZ$1,0),0),
fila,IFERROR(MATCH(TO_TEXT(D2556),ARRAYFOR"&amp;"MULA(TO_TEXT(Referencia!$A$2:$A6238)),0),0),
IF(OR(campo="""",campo=""-""),""NO APLICA"",
IF(col=0,""REVISAR EQUIVALENCIA"",
IF(fila=0,""SKU NO ENCONTRADO"",
LET(
valor,INDEX(Referencia!$A$2:$AZ6238,fila,col),
IF(TRIM(TO_TEXT(valor))=TRIM(TO_TEXT(I2556)),"&amp;"
""OK"",
""NO COINCIDE. Valor verdadero: ""&amp;IF(valor="""",""[VACÍO]"",TO_TEXT(valor))
)
))))
),""ERROR EN FÓRMULA""))"),"REVISAR EQUIVALENCIA")</f>
        <v>REVISAR EQUIVALENCIA</v>
      </c>
    </row>
    <row r="2557">
      <c r="A2557" s="83" t="s">
        <v>4078</v>
      </c>
      <c r="B2557" s="83" t="s">
        <v>4079</v>
      </c>
      <c r="C2557" s="81" t="s">
        <v>4086</v>
      </c>
      <c r="D2557" s="83" t="s">
        <v>4796</v>
      </c>
      <c r="E2557" s="81" t="s">
        <v>3838</v>
      </c>
      <c r="F2557" s="84">
        <v>734.0</v>
      </c>
      <c r="G2557" s="81" t="s">
        <v>12</v>
      </c>
      <c r="H2557" s="81" t="s">
        <v>224</v>
      </c>
      <c r="I2557" s="81" t="s">
        <v>55</v>
      </c>
      <c r="J2557" s="81" t="s">
        <v>224</v>
      </c>
      <c r="K2557" s="81" t="str">
        <f>IFERROR(__xludf.DUMMYFUNCTION("IF(OR(D2557="""",G2557=""""),"""",IFERROR(LET(
campo,XLOOKUP(TRIM(G2557),ARRAYFORMULA(TRIM('indice columnas'!$A$2:$A$100)),'indice columnas'!$B$2:$B$100,""""),
col,IFERROR(MATCH(campo,Referencia!$A$1:$AZ$1,0),0),
fila,IFERROR(MATCH(TO_TEXT(D2557),ARRAYFOR"&amp;"MULA(TO_TEXT(Referencia!$A$2:$A6238)),0),0),
IF(OR(campo="""",campo=""-""),""NO APLICA"",
IF(col=0,""REVISAR EQUIVALENCIA"",
IF(fila=0,""SKU NO ENCONTRADO"",
LET(
valor,INDEX(Referencia!$A$2:$AZ6238,fila,col),
IF(TRIM(TO_TEXT(valor))=TRIM(TO_TEXT(I2557)),"&amp;"
""OK"",
""NO COINCIDE. Valor verdadero: ""&amp;IF(valor="""",""[VACÍO]"",TO_TEXT(valor))
)
))))
),""ERROR EN FÓRMULA""))"),"OK")</f>
        <v>OK</v>
      </c>
    </row>
    <row r="2558">
      <c r="A2558" s="83" t="s">
        <v>4078</v>
      </c>
      <c r="B2558" s="83" t="s">
        <v>4079</v>
      </c>
      <c r="C2558" s="81" t="s">
        <v>4086</v>
      </c>
      <c r="D2558" s="83" t="s">
        <v>4796</v>
      </c>
      <c r="E2558" s="81" t="s">
        <v>3838</v>
      </c>
      <c r="F2558" s="84">
        <v>734.0</v>
      </c>
      <c r="G2558" s="81" t="s">
        <v>44</v>
      </c>
      <c r="H2558" s="81" t="s">
        <v>224</v>
      </c>
      <c r="I2558" s="81" t="s">
        <v>3830</v>
      </c>
      <c r="J2558" s="81" t="s">
        <v>4088</v>
      </c>
      <c r="K2558" s="81" t="str">
        <f>IFERROR(__xludf.DUMMYFUNCTION("IF(OR(D2558="""",G2558=""""),"""",IFERROR(LET(
campo,XLOOKUP(TRIM(G2558),ARRAYFORMULA(TRIM('indice columnas'!$A$2:$A$100)),'indice columnas'!$B$2:$B$100,""""),
col,IFERROR(MATCH(campo,Referencia!$A$1:$AZ$1,0),0),
fila,IFERROR(MATCH(TO_TEXT(D2558),ARRAYFOR"&amp;"MULA(TO_TEXT(Referencia!$A$2:$A6238)),0),0),
IF(OR(campo="""",campo=""-""),""NO APLICA"",
IF(col=0,""REVISAR EQUIVALENCIA"",
IF(fila=0,""SKU NO ENCONTRADO"",
LET(
valor,INDEX(Referencia!$A$2:$AZ6238,fila,col),
IF(TRIM(TO_TEXT(valor))=TRIM(TO_TEXT(I2558)),"&amp;"
""OK"",
""NO COINCIDE. Valor verdadero: ""&amp;IF(valor="""",""[VACÍO]"",TO_TEXT(valor))
)
))))
),""ERROR EN FÓRMULA""))"),"NO APLICA")</f>
        <v>NO APLICA</v>
      </c>
    </row>
    <row r="2559">
      <c r="A2559" s="83" t="s">
        <v>4078</v>
      </c>
      <c r="B2559" s="83" t="s">
        <v>4079</v>
      </c>
      <c r="C2559" s="81" t="s">
        <v>4086</v>
      </c>
      <c r="D2559" s="83" t="s">
        <v>4797</v>
      </c>
      <c r="E2559" s="81" t="s">
        <v>3839</v>
      </c>
      <c r="F2559" s="84">
        <v>735.0</v>
      </c>
      <c r="G2559" s="81" t="s">
        <v>7</v>
      </c>
      <c r="H2559" s="81" t="s">
        <v>3623</v>
      </c>
      <c r="I2559" s="81" t="s">
        <v>53</v>
      </c>
      <c r="J2559" s="81" t="s">
        <v>224</v>
      </c>
      <c r="K2559" s="81" t="str">
        <f>IFERROR(__xludf.DUMMYFUNCTION("IF(OR(D2559="""",G2559=""""),"""",IFERROR(LET(
campo,XLOOKUP(TRIM(G2559),ARRAYFORMULA(TRIM('indice columnas'!$A$2:$A$100)),'indice columnas'!$B$2:$B$100,""""),
col,IFERROR(MATCH(campo,Referencia!$A$1:$AZ$1,0),0),
fila,IFERROR(MATCH(TO_TEXT(D2559),ARRAYFOR"&amp;"MULA(TO_TEXT(Referencia!$A$2:$A6238)),0),0),
IF(OR(campo="""",campo=""-""),""NO APLICA"",
IF(col=0,""REVISAR EQUIVALENCIA"",
IF(fila=0,""SKU NO ENCONTRADO"",
LET(
valor,INDEX(Referencia!$A$2:$AZ6238,fila,col),
IF(TRIM(TO_TEXT(valor))=TRIM(TO_TEXT(I2559)),"&amp;"
""OK"",
""NO COINCIDE. Valor verdadero: ""&amp;IF(valor="""",""[VACÍO]"",TO_TEXT(valor))
)
))))
),""ERROR EN FÓRMULA""))"),"REVISAR EQUIVALENCIA")</f>
        <v>REVISAR EQUIVALENCIA</v>
      </c>
    </row>
    <row r="2560">
      <c r="A2560" s="83" t="s">
        <v>4078</v>
      </c>
      <c r="B2560" s="83" t="s">
        <v>4079</v>
      </c>
      <c r="C2560" s="81" t="s">
        <v>4086</v>
      </c>
      <c r="D2560" s="83" t="s">
        <v>4797</v>
      </c>
      <c r="E2560" s="81" t="s">
        <v>3839</v>
      </c>
      <c r="F2560" s="84">
        <v>735.0</v>
      </c>
      <c r="G2560" s="81" t="s">
        <v>12</v>
      </c>
      <c r="H2560" s="81" t="s">
        <v>224</v>
      </c>
      <c r="I2560" s="81" t="s">
        <v>55</v>
      </c>
      <c r="J2560" s="81" t="s">
        <v>224</v>
      </c>
      <c r="K2560" s="81" t="str">
        <f>IFERROR(__xludf.DUMMYFUNCTION("IF(OR(D2560="""",G2560=""""),"""",IFERROR(LET(
campo,XLOOKUP(TRIM(G2560),ARRAYFORMULA(TRIM('indice columnas'!$A$2:$A$100)),'indice columnas'!$B$2:$B$100,""""),
col,IFERROR(MATCH(campo,Referencia!$A$1:$AZ$1,0),0),
fila,IFERROR(MATCH(TO_TEXT(D2560),ARRAYFOR"&amp;"MULA(TO_TEXT(Referencia!$A$2:$A6238)),0),0),
IF(OR(campo="""",campo=""-""),""NO APLICA"",
IF(col=0,""REVISAR EQUIVALENCIA"",
IF(fila=0,""SKU NO ENCONTRADO"",
LET(
valor,INDEX(Referencia!$A$2:$AZ6238,fila,col),
IF(TRIM(TO_TEXT(valor))=TRIM(TO_TEXT(I2560)),"&amp;"
""OK"",
""NO COINCIDE. Valor verdadero: ""&amp;IF(valor="""",""[VACÍO]"",TO_TEXT(valor))
)
))))
),""ERROR EN FÓRMULA""))"),"OK")</f>
        <v>OK</v>
      </c>
    </row>
    <row r="2561">
      <c r="A2561" s="83" t="s">
        <v>4078</v>
      </c>
      <c r="B2561" s="83" t="s">
        <v>4079</v>
      </c>
      <c r="C2561" s="81" t="s">
        <v>4086</v>
      </c>
      <c r="D2561" s="83" t="s">
        <v>4797</v>
      </c>
      <c r="E2561" s="81" t="s">
        <v>3839</v>
      </c>
      <c r="F2561" s="84">
        <v>735.0</v>
      </c>
      <c r="G2561" s="81" t="s">
        <v>44</v>
      </c>
      <c r="H2561" s="81" t="s">
        <v>224</v>
      </c>
      <c r="I2561" s="81" t="s">
        <v>3830</v>
      </c>
      <c r="J2561" s="81" t="s">
        <v>4088</v>
      </c>
      <c r="K2561" s="81" t="str">
        <f>IFERROR(__xludf.DUMMYFUNCTION("IF(OR(D2561="""",G2561=""""),"""",IFERROR(LET(
campo,XLOOKUP(TRIM(G2561),ARRAYFORMULA(TRIM('indice columnas'!$A$2:$A$100)),'indice columnas'!$B$2:$B$100,""""),
col,IFERROR(MATCH(campo,Referencia!$A$1:$AZ$1,0),0),
fila,IFERROR(MATCH(TO_TEXT(D2561),ARRAYFOR"&amp;"MULA(TO_TEXT(Referencia!$A$2:$A6238)),0),0),
IF(OR(campo="""",campo=""-""),""NO APLICA"",
IF(col=0,""REVISAR EQUIVALENCIA"",
IF(fila=0,""SKU NO ENCONTRADO"",
LET(
valor,INDEX(Referencia!$A$2:$AZ6238,fila,col),
IF(TRIM(TO_TEXT(valor))=TRIM(TO_TEXT(I2561)),"&amp;"
""OK"",
""NO COINCIDE. Valor verdadero: ""&amp;IF(valor="""",""[VACÍO]"",TO_TEXT(valor))
)
))))
),""ERROR EN FÓRMULA""))"),"NO APLICA")</f>
        <v>NO APLICA</v>
      </c>
    </row>
    <row r="2562">
      <c r="A2562" s="83" t="s">
        <v>4078</v>
      </c>
      <c r="B2562" s="83" t="s">
        <v>4079</v>
      </c>
      <c r="C2562" s="81" t="s">
        <v>4086</v>
      </c>
      <c r="D2562" s="83" t="s">
        <v>4798</v>
      </c>
      <c r="E2562" s="81" t="s">
        <v>3842</v>
      </c>
      <c r="F2562" s="84">
        <v>736.0</v>
      </c>
      <c r="G2562" s="81" t="s">
        <v>7</v>
      </c>
      <c r="H2562" s="81" t="s">
        <v>3623</v>
      </c>
      <c r="I2562" s="81" t="s">
        <v>53</v>
      </c>
      <c r="J2562" s="81" t="s">
        <v>224</v>
      </c>
      <c r="K2562" s="81" t="str">
        <f>IFERROR(__xludf.DUMMYFUNCTION("IF(OR(D2562="""",G2562=""""),"""",IFERROR(LET(
campo,XLOOKUP(TRIM(G2562),ARRAYFORMULA(TRIM('indice columnas'!$A$2:$A$100)),'indice columnas'!$B$2:$B$100,""""),
col,IFERROR(MATCH(campo,Referencia!$A$1:$AZ$1,0),0),
fila,IFERROR(MATCH(TO_TEXT(D2562),ARRAYFOR"&amp;"MULA(TO_TEXT(Referencia!$A$2:$A6238)),0),0),
IF(OR(campo="""",campo=""-""),""NO APLICA"",
IF(col=0,""REVISAR EQUIVALENCIA"",
IF(fila=0,""SKU NO ENCONTRADO"",
LET(
valor,INDEX(Referencia!$A$2:$AZ6238,fila,col),
IF(TRIM(TO_TEXT(valor))=TRIM(TO_TEXT(I2562)),"&amp;"
""OK"",
""NO COINCIDE. Valor verdadero: ""&amp;IF(valor="""",""[VACÍO]"",TO_TEXT(valor))
)
))))
),""ERROR EN FÓRMULA""))"),"REVISAR EQUIVALENCIA")</f>
        <v>REVISAR EQUIVALENCIA</v>
      </c>
    </row>
    <row r="2563">
      <c r="A2563" s="83" t="s">
        <v>4078</v>
      </c>
      <c r="B2563" s="83" t="s">
        <v>4079</v>
      </c>
      <c r="C2563" s="81" t="s">
        <v>4086</v>
      </c>
      <c r="D2563" s="83" t="s">
        <v>4798</v>
      </c>
      <c r="E2563" s="81" t="s">
        <v>3842</v>
      </c>
      <c r="F2563" s="84">
        <v>736.0</v>
      </c>
      <c r="G2563" s="81" t="s">
        <v>12</v>
      </c>
      <c r="H2563" s="81" t="s">
        <v>224</v>
      </c>
      <c r="I2563" s="81" t="s">
        <v>55</v>
      </c>
      <c r="J2563" s="81" t="s">
        <v>224</v>
      </c>
      <c r="K2563" s="81" t="str">
        <f>IFERROR(__xludf.DUMMYFUNCTION("IF(OR(D2563="""",G2563=""""),"""",IFERROR(LET(
campo,XLOOKUP(TRIM(G2563),ARRAYFORMULA(TRIM('indice columnas'!$A$2:$A$100)),'indice columnas'!$B$2:$B$100,""""),
col,IFERROR(MATCH(campo,Referencia!$A$1:$AZ$1,0),0),
fila,IFERROR(MATCH(TO_TEXT(D2563),ARRAYFOR"&amp;"MULA(TO_TEXT(Referencia!$A$2:$A6238)),0),0),
IF(OR(campo="""",campo=""-""),""NO APLICA"",
IF(col=0,""REVISAR EQUIVALENCIA"",
IF(fila=0,""SKU NO ENCONTRADO"",
LET(
valor,INDEX(Referencia!$A$2:$AZ6238,fila,col),
IF(TRIM(TO_TEXT(valor))=TRIM(TO_TEXT(I2563)),"&amp;"
""OK"",
""NO COINCIDE. Valor verdadero: ""&amp;IF(valor="""",""[VACÍO]"",TO_TEXT(valor))
)
))))
),""ERROR EN FÓRMULA""))"),"OK")</f>
        <v>OK</v>
      </c>
    </row>
    <row r="2564">
      <c r="A2564" s="83" t="s">
        <v>4078</v>
      </c>
      <c r="B2564" s="83" t="s">
        <v>4079</v>
      </c>
      <c r="C2564" s="81" t="s">
        <v>4086</v>
      </c>
      <c r="D2564" s="83" t="s">
        <v>4798</v>
      </c>
      <c r="E2564" s="81" t="s">
        <v>3842</v>
      </c>
      <c r="F2564" s="84">
        <v>736.0</v>
      </c>
      <c r="G2564" s="81" t="s">
        <v>44</v>
      </c>
      <c r="H2564" s="81" t="s">
        <v>224</v>
      </c>
      <c r="I2564" s="81" t="s">
        <v>1825</v>
      </c>
      <c r="J2564" s="81" t="s">
        <v>4088</v>
      </c>
      <c r="K2564" s="81" t="str">
        <f>IFERROR(__xludf.DUMMYFUNCTION("IF(OR(D2564="""",G2564=""""),"""",IFERROR(LET(
campo,XLOOKUP(TRIM(G2564),ARRAYFORMULA(TRIM('indice columnas'!$A$2:$A$100)),'indice columnas'!$B$2:$B$100,""""),
col,IFERROR(MATCH(campo,Referencia!$A$1:$AZ$1,0),0),
fila,IFERROR(MATCH(TO_TEXT(D2564),ARRAYFOR"&amp;"MULA(TO_TEXT(Referencia!$A$2:$A6238)),0),0),
IF(OR(campo="""",campo=""-""),""NO APLICA"",
IF(col=0,""REVISAR EQUIVALENCIA"",
IF(fila=0,""SKU NO ENCONTRADO"",
LET(
valor,INDEX(Referencia!$A$2:$AZ6238,fila,col),
IF(TRIM(TO_TEXT(valor))=TRIM(TO_TEXT(I2564)),"&amp;"
""OK"",
""NO COINCIDE. Valor verdadero: ""&amp;IF(valor="""",""[VACÍO]"",TO_TEXT(valor))
)
))))
),""ERROR EN FÓRMULA""))"),"NO APLICA")</f>
        <v>NO APLICA</v>
      </c>
    </row>
    <row r="2565">
      <c r="A2565" s="83" t="s">
        <v>4078</v>
      </c>
      <c r="B2565" s="83" t="s">
        <v>4079</v>
      </c>
      <c r="C2565" s="81" t="s">
        <v>4086</v>
      </c>
      <c r="D2565" s="83" t="s">
        <v>4799</v>
      </c>
      <c r="E2565" s="81" t="s">
        <v>3845</v>
      </c>
      <c r="F2565" s="84">
        <v>737.0</v>
      </c>
      <c r="G2565" s="81" t="s">
        <v>7</v>
      </c>
      <c r="H2565" s="81" t="s">
        <v>3623</v>
      </c>
      <c r="I2565" s="81" t="s">
        <v>53</v>
      </c>
      <c r="J2565" s="81" t="s">
        <v>224</v>
      </c>
      <c r="K2565" s="81" t="str">
        <f>IFERROR(__xludf.DUMMYFUNCTION("IF(OR(D2565="""",G2565=""""),"""",IFERROR(LET(
campo,XLOOKUP(TRIM(G2565),ARRAYFORMULA(TRIM('indice columnas'!$A$2:$A$100)),'indice columnas'!$B$2:$B$100,""""),
col,IFERROR(MATCH(campo,Referencia!$A$1:$AZ$1,0),0),
fila,IFERROR(MATCH(TO_TEXT(D2565),ARRAYFOR"&amp;"MULA(TO_TEXT(Referencia!$A$2:$A6238)),0),0),
IF(OR(campo="""",campo=""-""),""NO APLICA"",
IF(col=0,""REVISAR EQUIVALENCIA"",
IF(fila=0,""SKU NO ENCONTRADO"",
LET(
valor,INDEX(Referencia!$A$2:$AZ6238,fila,col),
IF(TRIM(TO_TEXT(valor))=TRIM(TO_TEXT(I2565)),"&amp;"
""OK"",
""NO COINCIDE. Valor verdadero: ""&amp;IF(valor="""",""[VACÍO]"",TO_TEXT(valor))
)
))))
),""ERROR EN FÓRMULA""))"),"REVISAR EQUIVALENCIA")</f>
        <v>REVISAR EQUIVALENCIA</v>
      </c>
    </row>
    <row r="2566">
      <c r="A2566" s="83" t="s">
        <v>4078</v>
      </c>
      <c r="B2566" s="83" t="s">
        <v>4079</v>
      </c>
      <c r="C2566" s="81" t="s">
        <v>4086</v>
      </c>
      <c r="D2566" s="83" t="s">
        <v>4799</v>
      </c>
      <c r="E2566" s="81" t="s">
        <v>3845</v>
      </c>
      <c r="F2566" s="84">
        <v>737.0</v>
      </c>
      <c r="G2566" s="81" t="s">
        <v>12</v>
      </c>
      <c r="H2566" s="81" t="s">
        <v>224</v>
      </c>
      <c r="I2566" s="81" t="s">
        <v>55</v>
      </c>
      <c r="J2566" s="81" t="s">
        <v>224</v>
      </c>
      <c r="K2566" s="81" t="str">
        <f>IFERROR(__xludf.DUMMYFUNCTION("IF(OR(D2566="""",G2566=""""),"""",IFERROR(LET(
campo,XLOOKUP(TRIM(G2566),ARRAYFORMULA(TRIM('indice columnas'!$A$2:$A$100)),'indice columnas'!$B$2:$B$100,""""),
col,IFERROR(MATCH(campo,Referencia!$A$1:$AZ$1,0),0),
fila,IFERROR(MATCH(TO_TEXT(D2566),ARRAYFOR"&amp;"MULA(TO_TEXT(Referencia!$A$2:$A6238)),0),0),
IF(OR(campo="""",campo=""-""),""NO APLICA"",
IF(col=0,""REVISAR EQUIVALENCIA"",
IF(fila=0,""SKU NO ENCONTRADO"",
LET(
valor,INDEX(Referencia!$A$2:$AZ6238,fila,col),
IF(TRIM(TO_TEXT(valor))=TRIM(TO_TEXT(I2566)),"&amp;"
""OK"",
""NO COINCIDE. Valor verdadero: ""&amp;IF(valor="""",""[VACÍO]"",TO_TEXT(valor))
)
))))
),""ERROR EN FÓRMULA""))"),"OK")</f>
        <v>OK</v>
      </c>
    </row>
    <row r="2567">
      <c r="A2567" s="83" t="s">
        <v>4078</v>
      </c>
      <c r="B2567" s="83" t="s">
        <v>4079</v>
      </c>
      <c r="C2567" s="81" t="s">
        <v>4086</v>
      </c>
      <c r="D2567" s="83" t="s">
        <v>4799</v>
      </c>
      <c r="E2567" s="81" t="s">
        <v>3845</v>
      </c>
      <c r="F2567" s="84">
        <v>737.0</v>
      </c>
      <c r="G2567" s="81" t="s">
        <v>44</v>
      </c>
      <c r="H2567" s="81" t="s">
        <v>224</v>
      </c>
      <c r="I2567" s="81" t="s">
        <v>1825</v>
      </c>
      <c r="J2567" s="81" t="s">
        <v>4088</v>
      </c>
      <c r="K2567" s="81" t="str">
        <f>IFERROR(__xludf.DUMMYFUNCTION("IF(OR(D2567="""",G2567=""""),"""",IFERROR(LET(
campo,XLOOKUP(TRIM(G2567),ARRAYFORMULA(TRIM('indice columnas'!$A$2:$A$100)),'indice columnas'!$B$2:$B$100,""""),
col,IFERROR(MATCH(campo,Referencia!$A$1:$AZ$1,0),0),
fila,IFERROR(MATCH(TO_TEXT(D2567),ARRAYFOR"&amp;"MULA(TO_TEXT(Referencia!$A$2:$A6238)),0),0),
IF(OR(campo="""",campo=""-""),""NO APLICA"",
IF(col=0,""REVISAR EQUIVALENCIA"",
IF(fila=0,""SKU NO ENCONTRADO"",
LET(
valor,INDEX(Referencia!$A$2:$AZ6238,fila,col),
IF(TRIM(TO_TEXT(valor))=TRIM(TO_TEXT(I2567)),"&amp;"
""OK"",
""NO COINCIDE. Valor verdadero: ""&amp;IF(valor="""",""[VACÍO]"",TO_TEXT(valor))
)
))))
),""ERROR EN FÓRMULA""))"),"NO APLICA")</f>
        <v>NO APLICA</v>
      </c>
    </row>
    <row r="2568">
      <c r="A2568" s="83" t="s">
        <v>4078</v>
      </c>
      <c r="B2568" s="83" t="s">
        <v>4079</v>
      </c>
      <c r="C2568" s="81" t="s">
        <v>4086</v>
      </c>
      <c r="D2568" s="83" t="s">
        <v>4800</v>
      </c>
      <c r="E2568" s="81" t="s">
        <v>3848</v>
      </c>
      <c r="F2568" s="84">
        <v>738.0</v>
      </c>
      <c r="G2568" s="81" t="s">
        <v>44</v>
      </c>
      <c r="H2568" s="81" t="s">
        <v>4801</v>
      </c>
      <c r="I2568" s="81" t="s">
        <v>1051</v>
      </c>
      <c r="J2568" s="81" t="s">
        <v>4088</v>
      </c>
      <c r="K2568" s="81" t="str">
        <f>IFERROR(__xludf.DUMMYFUNCTION("IF(OR(D2568="""",G2568=""""),"""",IFERROR(LET(
campo,XLOOKUP(TRIM(G2568),ARRAYFORMULA(TRIM('indice columnas'!$A$2:$A$100)),'indice columnas'!$B$2:$B$100,""""),
col,IFERROR(MATCH(campo,Referencia!$A$1:$AZ$1,0),0),
fila,IFERROR(MATCH(TO_TEXT(D2568),ARRAYFOR"&amp;"MULA(TO_TEXT(Referencia!$A$2:$A6238)),0),0),
IF(OR(campo="""",campo=""-""),""NO APLICA"",
IF(col=0,""REVISAR EQUIVALENCIA"",
IF(fila=0,""SKU NO ENCONTRADO"",
LET(
valor,INDEX(Referencia!$A$2:$AZ6238,fila,col),
IF(TRIM(TO_TEXT(valor))=TRIM(TO_TEXT(I2568)),"&amp;"
""OK"",
""NO COINCIDE. Valor verdadero: ""&amp;IF(valor="""",""[VACÍO]"",TO_TEXT(valor))
)
))))
),""ERROR EN FÓRMULA""))"),"NO APLICA")</f>
        <v>NO APLICA</v>
      </c>
    </row>
    <row r="2569">
      <c r="A2569" s="83" t="s">
        <v>4078</v>
      </c>
      <c r="B2569" s="83" t="s">
        <v>4079</v>
      </c>
      <c r="C2569" s="81" t="s">
        <v>4086</v>
      </c>
      <c r="D2569" s="83" t="s">
        <v>4800</v>
      </c>
      <c r="E2569" s="81" t="s">
        <v>3851</v>
      </c>
      <c r="F2569" s="84">
        <v>739.0</v>
      </c>
      <c r="G2569" s="81" t="s">
        <v>7</v>
      </c>
      <c r="H2569" s="81" t="s">
        <v>3623</v>
      </c>
      <c r="I2569" s="81" t="s">
        <v>53</v>
      </c>
      <c r="J2569" s="81" t="s">
        <v>224</v>
      </c>
      <c r="K2569" s="81" t="str">
        <f>IFERROR(__xludf.DUMMYFUNCTION("IF(OR(D2569="""",G2569=""""),"""",IFERROR(LET(
campo,XLOOKUP(TRIM(G2569),ARRAYFORMULA(TRIM('indice columnas'!$A$2:$A$100)),'indice columnas'!$B$2:$B$100,""""),
col,IFERROR(MATCH(campo,Referencia!$A$1:$AZ$1,0),0),
fila,IFERROR(MATCH(TO_TEXT(D2569),ARRAYFOR"&amp;"MULA(TO_TEXT(Referencia!$A$2:$A6238)),0),0),
IF(OR(campo="""",campo=""-""),""NO APLICA"",
IF(col=0,""REVISAR EQUIVALENCIA"",
IF(fila=0,""SKU NO ENCONTRADO"",
LET(
valor,INDEX(Referencia!$A$2:$AZ6238,fila,col),
IF(TRIM(TO_TEXT(valor))=TRIM(TO_TEXT(I2569)),"&amp;"
""OK"",
""NO COINCIDE. Valor verdadero: ""&amp;IF(valor="""",""[VACÍO]"",TO_TEXT(valor))
)
))))
),""ERROR EN FÓRMULA""))"),"REVISAR EQUIVALENCIA")</f>
        <v>REVISAR EQUIVALENCIA</v>
      </c>
    </row>
    <row r="2570">
      <c r="A2570" s="83" t="s">
        <v>4078</v>
      </c>
      <c r="B2570" s="83" t="s">
        <v>4079</v>
      </c>
      <c r="C2570" s="81" t="s">
        <v>4086</v>
      </c>
      <c r="D2570" s="83" t="s">
        <v>4800</v>
      </c>
      <c r="E2570" s="81" t="s">
        <v>3851</v>
      </c>
      <c r="F2570" s="84">
        <v>739.0</v>
      </c>
      <c r="G2570" s="81" t="s">
        <v>12</v>
      </c>
      <c r="H2570" s="81" t="s">
        <v>224</v>
      </c>
      <c r="I2570" s="81" t="s">
        <v>55</v>
      </c>
      <c r="J2570" s="81" t="s">
        <v>224</v>
      </c>
      <c r="K2570" s="81" t="str">
        <f>IFERROR(__xludf.DUMMYFUNCTION("IF(OR(D2570="""",G2570=""""),"""",IFERROR(LET(
campo,XLOOKUP(TRIM(G2570),ARRAYFORMULA(TRIM('indice columnas'!$A$2:$A$100)),'indice columnas'!$B$2:$B$100,""""),
col,IFERROR(MATCH(campo,Referencia!$A$1:$AZ$1,0),0),
fila,IFERROR(MATCH(TO_TEXT(D2570),ARRAYFOR"&amp;"MULA(TO_TEXT(Referencia!$A$2:$A6238)),0),0),
IF(OR(campo="""",campo=""-""),""NO APLICA"",
IF(col=0,""REVISAR EQUIVALENCIA"",
IF(fila=0,""SKU NO ENCONTRADO"",
LET(
valor,INDEX(Referencia!$A$2:$AZ6238,fila,col),
IF(TRIM(TO_TEXT(valor))=TRIM(TO_TEXT(I2570)),"&amp;"
""OK"",
""NO COINCIDE. Valor verdadero: ""&amp;IF(valor="""",""[VACÍO]"",TO_TEXT(valor))
)
))))
),""ERROR EN FÓRMULA""))"),"OK")</f>
        <v>OK</v>
      </c>
    </row>
    <row r="2571">
      <c r="A2571" s="83" t="s">
        <v>4078</v>
      </c>
      <c r="B2571" s="83" t="s">
        <v>4079</v>
      </c>
      <c r="C2571" s="81" t="s">
        <v>4086</v>
      </c>
      <c r="D2571" s="83" t="s">
        <v>4800</v>
      </c>
      <c r="E2571" s="81" t="s">
        <v>3851</v>
      </c>
      <c r="F2571" s="84">
        <v>739.0</v>
      </c>
      <c r="G2571" s="81" t="s">
        <v>44</v>
      </c>
      <c r="H2571" s="81" t="s">
        <v>4801</v>
      </c>
      <c r="I2571" s="81" t="s">
        <v>1051</v>
      </c>
      <c r="J2571" s="81" t="s">
        <v>4088</v>
      </c>
      <c r="K2571" s="81" t="str">
        <f>IFERROR(__xludf.DUMMYFUNCTION("IF(OR(D2571="""",G2571=""""),"""",IFERROR(LET(
campo,XLOOKUP(TRIM(G2571),ARRAYFORMULA(TRIM('indice columnas'!$A$2:$A$100)),'indice columnas'!$B$2:$B$100,""""),
col,IFERROR(MATCH(campo,Referencia!$A$1:$AZ$1,0),0),
fila,IFERROR(MATCH(TO_TEXT(D2571),ARRAYFOR"&amp;"MULA(TO_TEXT(Referencia!$A$2:$A6238)),0),0),
IF(OR(campo="""",campo=""-""),""NO APLICA"",
IF(col=0,""REVISAR EQUIVALENCIA"",
IF(fila=0,""SKU NO ENCONTRADO"",
LET(
valor,INDEX(Referencia!$A$2:$AZ6238,fila,col),
IF(TRIM(TO_TEXT(valor))=TRIM(TO_TEXT(I2571)),"&amp;"
""OK"",
""NO COINCIDE. Valor verdadero: ""&amp;IF(valor="""",""[VACÍO]"",TO_TEXT(valor))
)
))))
),""ERROR EN FÓRMULA""))"),"NO APLICA")</f>
        <v>NO APLICA</v>
      </c>
    </row>
    <row r="2572">
      <c r="A2572" s="83" t="s">
        <v>4078</v>
      </c>
      <c r="B2572" s="83" t="s">
        <v>4079</v>
      </c>
      <c r="C2572" s="81" t="s">
        <v>4086</v>
      </c>
      <c r="D2572" s="83" t="s">
        <v>4802</v>
      </c>
      <c r="E2572" s="81" t="s">
        <v>3852</v>
      </c>
      <c r="F2572" s="84">
        <v>740.0</v>
      </c>
      <c r="G2572" s="81" t="s">
        <v>7</v>
      </c>
      <c r="H2572" s="81" t="s">
        <v>3623</v>
      </c>
      <c r="I2572" s="81" t="s">
        <v>53</v>
      </c>
      <c r="J2572" s="81" t="s">
        <v>224</v>
      </c>
      <c r="K2572" s="81" t="str">
        <f>IFERROR(__xludf.DUMMYFUNCTION("IF(OR(D2572="""",G2572=""""),"""",IFERROR(LET(
campo,XLOOKUP(TRIM(G2572),ARRAYFORMULA(TRIM('indice columnas'!$A$2:$A$100)),'indice columnas'!$B$2:$B$100,""""),
col,IFERROR(MATCH(campo,Referencia!$A$1:$AZ$1,0),0),
fila,IFERROR(MATCH(TO_TEXT(D2572),ARRAYFOR"&amp;"MULA(TO_TEXT(Referencia!$A$2:$A6238)),0),0),
IF(OR(campo="""",campo=""-""),""NO APLICA"",
IF(col=0,""REVISAR EQUIVALENCIA"",
IF(fila=0,""SKU NO ENCONTRADO"",
LET(
valor,INDEX(Referencia!$A$2:$AZ6238,fila,col),
IF(TRIM(TO_TEXT(valor))=TRIM(TO_TEXT(I2572)),"&amp;"
""OK"",
""NO COINCIDE. Valor verdadero: ""&amp;IF(valor="""",""[VACÍO]"",TO_TEXT(valor))
)
))))
),""ERROR EN FÓRMULA""))"),"REVISAR EQUIVALENCIA")</f>
        <v>REVISAR EQUIVALENCIA</v>
      </c>
    </row>
    <row r="2573">
      <c r="A2573" s="83" t="s">
        <v>4078</v>
      </c>
      <c r="B2573" s="83" t="s">
        <v>4079</v>
      </c>
      <c r="C2573" s="81" t="s">
        <v>4086</v>
      </c>
      <c r="D2573" s="83" t="s">
        <v>4802</v>
      </c>
      <c r="E2573" s="81" t="s">
        <v>3852</v>
      </c>
      <c r="F2573" s="84">
        <v>740.0</v>
      </c>
      <c r="G2573" s="81" t="s">
        <v>12</v>
      </c>
      <c r="H2573" s="81" t="s">
        <v>224</v>
      </c>
      <c r="I2573" s="81" t="s">
        <v>55</v>
      </c>
      <c r="J2573" s="81" t="s">
        <v>224</v>
      </c>
      <c r="K2573" s="81" t="str">
        <f>IFERROR(__xludf.DUMMYFUNCTION("IF(OR(D2573="""",G2573=""""),"""",IFERROR(LET(
campo,XLOOKUP(TRIM(G2573),ARRAYFORMULA(TRIM('indice columnas'!$A$2:$A$100)),'indice columnas'!$B$2:$B$100,""""),
col,IFERROR(MATCH(campo,Referencia!$A$1:$AZ$1,0),0),
fila,IFERROR(MATCH(TO_TEXT(D2573),ARRAYFOR"&amp;"MULA(TO_TEXT(Referencia!$A$2:$A6238)),0),0),
IF(OR(campo="""",campo=""-""),""NO APLICA"",
IF(col=0,""REVISAR EQUIVALENCIA"",
IF(fila=0,""SKU NO ENCONTRADO"",
LET(
valor,INDEX(Referencia!$A$2:$AZ6238,fila,col),
IF(TRIM(TO_TEXT(valor))=TRIM(TO_TEXT(I2573)),"&amp;"
""OK"",
""NO COINCIDE. Valor verdadero: ""&amp;IF(valor="""",""[VACÍO]"",TO_TEXT(valor))
)
))))
),""ERROR EN FÓRMULA""))"),"OK")</f>
        <v>OK</v>
      </c>
    </row>
    <row r="2574">
      <c r="A2574" s="83" t="s">
        <v>4078</v>
      </c>
      <c r="B2574" s="83" t="s">
        <v>4079</v>
      </c>
      <c r="C2574" s="81" t="s">
        <v>4086</v>
      </c>
      <c r="D2574" s="83" t="s">
        <v>4802</v>
      </c>
      <c r="E2574" s="81" t="s">
        <v>3852</v>
      </c>
      <c r="F2574" s="84">
        <v>740.0</v>
      </c>
      <c r="G2574" s="81" t="s">
        <v>44</v>
      </c>
      <c r="H2574" s="81" t="s">
        <v>4801</v>
      </c>
      <c r="I2574" s="81" t="s">
        <v>1051</v>
      </c>
      <c r="J2574" s="81" t="s">
        <v>4088</v>
      </c>
      <c r="K2574" s="81" t="str">
        <f>IFERROR(__xludf.DUMMYFUNCTION("IF(OR(D2574="""",G2574=""""),"""",IFERROR(LET(
campo,XLOOKUP(TRIM(G2574),ARRAYFORMULA(TRIM('indice columnas'!$A$2:$A$100)),'indice columnas'!$B$2:$B$100,""""),
col,IFERROR(MATCH(campo,Referencia!$A$1:$AZ$1,0),0),
fila,IFERROR(MATCH(TO_TEXT(D2574),ARRAYFOR"&amp;"MULA(TO_TEXT(Referencia!$A$2:$A6238)),0),0),
IF(OR(campo="""",campo=""-""),""NO APLICA"",
IF(col=0,""REVISAR EQUIVALENCIA"",
IF(fila=0,""SKU NO ENCONTRADO"",
LET(
valor,INDEX(Referencia!$A$2:$AZ6238,fila,col),
IF(TRIM(TO_TEXT(valor))=TRIM(TO_TEXT(I2574)),"&amp;"
""OK"",
""NO COINCIDE. Valor verdadero: ""&amp;IF(valor="""",""[VACÍO]"",TO_TEXT(valor))
)
))))
),""ERROR EN FÓRMULA""))"),"NO APLICA")</f>
        <v>NO APLICA</v>
      </c>
    </row>
    <row r="2575">
      <c r="A2575" s="83" t="s">
        <v>4078</v>
      </c>
      <c r="B2575" s="83" t="s">
        <v>4079</v>
      </c>
      <c r="C2575" s="81" t="s">
        <v>4086</v>
      </c>
      <c r="D2575" s="83" t="s">
        <v>4803</v>
      </c>
      <c r="E2575" s="81" t="s">
        <v>3854</v>
      </c>
      <c r="F2575" s="84">
        <v>741.0</v>
      </c>
      <c r="G2575" s="81" t="s">
        <v>7</v>
      </c>
      <c r="H2575" s="81" t="s">
        <v>3623</v>
      </c>
      <c r="I2575" s="81" t="s">
        <v>53</v>
      </c>
      <c r="J2575" s="81" t="s">
        <v>224</v>
      </c>
      <c r="K2575" s="81" t="str">
        <f>IFERROR(__xludf.DUMMYFUNCTION("IF(OR(D2575="""",G2575=""""),"""",IFERROR(LET(
campo,XLOOKUP(TRIM(G2575),ARRAYFORMULA(TRIM('indice columnas'!$A$2:$A$100)),'indice columnas'!$B$2:$B$100,""""),
col,IFERROR(MATCH(campo,Referencia!$A$1:$AZ$1,0),0),
fila,IFERROR(MATCH(TO_TEXT(D2575),ARRAYFOR"&amp;"MULA(TO_TEXT(Referencia!$A$2:$A6238)),0),0),
IF(OR(campo="""",campo=""-""),""NO APLICA"",
IF(col=0,""REVISAR EQUIVALENCIA"",
IF(fila=0,""SKU NO ENCONTRADO"",
LET(
valor,INDEX(Referencia!$A$2:$AZ6238,fila,col),
IF(TRIM(TO_TEXT(valor))=TRIM(TO_TEXT(I2575)),"&amp;"
""OK"",
""NO COINCIDE. Valor verdadero: ""&amp;IF(valor="""",""[VACÍO]"",TO_TEXT(valor))
)
))))
),""ERROR EN FÓRMULA""))"),"REVISAR EQUIVALENCIA")</f>
        <v>REVISAR EQUIVALENCIA</v>
      </c>
    </row>
    <row r="2576">
      <c r="A2576" s="83" t="s">
        <v>4078</v>
      </c>
      <c r="B2576" s="83" t="s">
        <v>4079</v>
      </c>
      <c r="C2576" s="81" t="s">
        <v>4086</v>
      </c>
      <c r="D2576" s="83" t="s">
        <v>4803</v>
      </c>
      <c r="E2576" s="81" t="s">
        <v>3854</v>
      </c>
      <c r="F2576" s="84">
        <v>741.0</v>
      </c>
      <c r="G2576" s="81" t="s">
        <v>12</v>
      </c>
      <c r="H2576" s="81" t="s">
        <v>224</v>
      </c>
      <c r="I2576" s="81" t="s">
        <v>55</v>
      </c>
      <c r="J2576" s="81" t="s">
        <v>224</v>
      </c>
      <c r="K2576" s="81" t="str">
        <f>IFERROR(__xludf.DUMMYFUNCTION("IF(OR(D2576="""",G2576=""""),"""",IFERROR(LET(
campo,XLOOKUP(TRIM(G2576),ARRAYFORMULA(TRIM('indice columnas'!$A$2:$A$100)),'indice columnas'!$B$2:$B$100,""""),
col,IFERROR(MATCH(campo,Referencia!$A$1:$AZ$1,0),0),
fila,IFERROR(MATCH(TO_TEXT(D2576),ARRAYFOR"&amp;"MULA(TO_TEXT(Referencia!$A$2:$A6238)),0),0),
IF(OR(campo="""",campo=""-""),""NO APLICA"",
IF(col=0,""REVISAR EQUIVALENCIA"",
IF(fila=0,""SKU NO ENCONTRADO"",
LET(
valor,INDEX(Referencia!$A$2:$AZ6238,fila,col),
IF(TRIM(TO_TEXT(valor))=TRIM(TO_TEXT(I2576)),"&amp;"
""OK"",
""NO COINCIDE. Valor verdadero: ""&amp;IF(valor="""",""[VACÍO]"",TO_TEXT(valor))
)
))))
),""ERROR EN FÓRMULA""))"),"OK")</f>
        <v>OK</v>
      </c>
    </row>
    <row r="2577">
      <c r="A2577" s="83" t="s">
        <v>4078</v>
      </c>
      <c r="B2577" s="83" t="s">
        <v>4079</v>
      </c>
      <c r="C2577" s="81" t="s">
        <v>4086</v>
      </c>
      <c r="D2577" s="83" t="s">
        <v>4803</v>
      </c>
      <c r="E2577" s="81" t="s">
        <v>3854</v>
      </c>
      <c r="F2577" s="84">
        <v>741.0</v>
      </c>
      <c r="G2577" s="81" t="s">
        <v>44</v>
      </c>
      <c r="H2577" s="81" t="s">
        <v>224</v>
      </c>
      <c r="I2577" s="81" t="s">
        <v>3830</v>
      </c>
      <c r="J2577" s="81" t="s">
        <v>4088</v>
      </c>
      <c r="K2577" s="81" t="str">
        <f>IFERROR(__xludf.DUMMYFUNCTION("IF(OR(D2577="""",G2577=""""),"""",IFERROR(LET(
campo,XLOOKUP(TRIM(G2577),ARRAYFORMULA(TRIM('indice columnas'!$A$2:$A$100)),'indice columnas'!$B$2:$B$100,""""),
col,IFERROR(MATCH(campo,Referencia!$A$1:$AZ$1,0),0),
fila,IFERROR(MATCH(TO_TEXT(D2577),ARRAYFOR"&amp;"MULA(TO_TEXT(Referencia!$A$2:$A6238)),0),0),
IF(OR(campo="""",campo=""-""),""NO APLICA"",
IF(col=0,""REVISAR EQUIVALENCIA"",
IF(fila=0,""SKU NO ENCONTRADO"",
LET(
valor,INDEX(Referencia!$A$2:$AZ6238,fila,col),
IF(TRIM(TO_TEXT(valor))=TRIM(TO_TEXT(I2577)),"&amp;"
""OK"",
""NO COINCIDE. Valor verdadero: ""&amp;IF(valor="""",""[VACÍO]"",TO_TEXT(valor))
)
))))
),""ERROR EN FÓRMULA""))"),"NO APLICA")</f>
        <v>NO APLICA</v>
      </c>
    </row>
    <row r="2578">
      <c r="A2578" s="83" t="s">
        <v>4078</v>
      </c>
      <c r="B2578" s="83" t="s">
        <v>4079</v>
      </c>
      <c r="C2578" s="81" t="s">
        <v>4086</v>
      </c>
      <c r="D2578" s="83" t="s">
        <v>4804</v>
      </c>
      <c r="E2578" s="81" t="s">
        <v>3857</v>
      </c>
      <c r="F2578" s="84">
        <v>742.0</v>
      </c>
      <c r="G2578" s="81" t="s">
        <v>44</v>
      </c>
      <c r="H2578" s="81" t="s">
        <v>224</v>
      </c>
      <c r="I2578" s="81" t="s">
        <v>1051</v>
      </c>
      <c r="J2578" s="81" t="s">
        <v>4088</v>
      </c>
      <c r="K2578" s="81" t="str">
        <f>IFERROR(__xludf.DUMMYFUNCTION("IF(OR(D2578="""",G2578=""""),"""",IFERROR(LET(
campo,XLOOKUP(TRIM(G2578),ARRAYFORMULA(TRIM('indice columnas'!$A$2:$A$100)),'indice columnas'!$B$2:$B$100,""""),
col,IFERROR(MATCH(campo,Referencia!$A$1:$AZ$1,0),0),
fila,IFERROR(MATCH(TO_TEXT(D2578),ARRAYFOR"&amp;"MULA(TO_TEXT(Referencia!$A$2:$A6238)),0),0),
IF(OR(campo="""",campo=""-""),""NO APLICA"",
IF(col=0,""REVISAR EQUIVALENCIA"",
IF(fila=0,""SKU NO ENCONTRADO"",
LET(
valor,INDEX(Referencia!$A$2:$AZ6238,fila,col),
IF(TRIM(TO_TEXT(valor))=TRIM(TO_TEXT(I2578)),"&amp;"
""OK"",
""NO COINCIDE. Valor verdadero: ""&amp;IF(valor="""",""[VACÍO]"",TO_TEXT(valor))
)
))))
),""ERROR EN FÓRMULA""))"),"NO APLICA")</f>
        <v>NO APLICA</v>
      </c>
    </row>
    <row r="2579">
      <c r="A2579" s="83" t="s">
        <v>4078</v>
      </c>
      <c r="B2579" s="83" t="s">
        <v>4079</v>
      </c>
      <c r="C2579" s="81" t="s">
        <v>4086</v>
      </c>
      <c r="D2579" s="83" t="s">
        <v>4804</v>
      </c>
      <c r="E2579" s="81" t="s">
        <v>3858</v>
      </c>
      <c r="F2579" s="84">
        <v>743.0</v>
      </c>
      <c r="G2579" s="81" t="s">
        <v>12</v>
      </c>
      <c r="H2579" s="81" t="s">
        <v>224</v>
      </c>
      <c r="I2579" s="81" t="s">
        <v>55</v>
      </c>
      <c r="J2579" s="81" t="s">
        <v>224</v>
      </c>
      <c r="K2579" s="81" t="str">
        <f>IFERROR(__xludf.DUMMYFUNCTION("IF(OR(D2579="""",G2579=""""),"""",IFERROR(LET(
campo,XLOOKUP(TRIM(G2579),ARRAYFORMULA(TRIM('indice columnas'!$A$2:$A$100)),'indice columnas'!$B$2:$B$100,""""),
col,IFERROR(MATCH(campo,Referencia!$A$1:$AZ$1,0),0),
fila,IFERROR(MATCH(TO_TEXT(D2579),ARRAYFOR"&amp;"MULA(TO_TEXT(Referencia!$A$2:$A6238)),0),0),
IF(OR(campo="""",campo=""-""),""NO APLICA"",
IF(col=0,""REVISAR EQUIVALENCIA"",
IF(fila=0,""SKU NO ENCONTRADO"",
LET(
valor,INDEX(Referencia!$A$2:$AZ6238,fila,col),
IF(TRIM(TO_TEXT(valor))=TRIM(TO_TEXT(I2579)),"&amp;"
""OK"",
""NO COINCIDE. Valor verdadero: ""&amp;IF(valor="""",""[VACÍO]"",TO_TEXT(valor))
)
))))
),""ERROR EN FÓRMULA""))"),"OK")</f>
        <v>OK</v>
      </c>
    </row>
    <row r="2580">
      <c r="A2580" s="83" t="s">
        <v>4078</v>
      </c>
      <c r="B2580" s="83" t="s">
        <v>4079</v>
      </c>
      <c r="C2580" s="81" t="s">
        <v>4086</v>
      </c>
      <c r="D2580" s="83" t="s">
        <v>4804</v>
      </c>
      <c r="E2580" s="81" t="s">
        <v>3858</v>
      </c>
      <c r="F2580" s="84">
        <v>743.0</v>
      </c>
      <c r="G2580" s="81" t="s">
        <v>44</v>
      </c>
      <c r="H2580" s="81" t="s">
        <v>224</v>
      </c>
      <c r="I2580" s="81" t="s">
        <v>1051</v>
      </c>
      <c r="J2580" s="81" t="s">
        <v>4088</v>
      </c>
      <c r="K2580" s="81" t="str">
        <f>IFERROR(__xludf.DUMMYFUNCTION("IF(OR(D2580="""",G2580=""""),"""",IFERROR(LET(
campo,XLOOKUP(TRIM(G2580),ARRAYFORMULA(TRIM('indice columnas'!$A$2:$A$100)),'indice columnas'!$B$2:$B$100,""""),
col,IFERROR(MATCH(campo,Referencia!$A$1:$AZ$1,0),0),
fila,IFERROR(MATCH(TO_TEXT(D2580),ARRAYFOR"&amp;"MULA(TO_TEXT(Referencia!$A$2:$A6238)),0),0),
IF(OR(campo="""",campo=""-""),""NO APLICA"",
IF(col=0,""REVISAR EQUIVALENCIA"",
IF(fila=0,""SKU NO ENCONTRADO"",
LET(
valor,INDEX(Referencia!$A$2:$AZ6238,fila,col),
IF(TRIM(TO_TEXT(valor))=TRIM(TO_TEXT(I2580)),"&amp;"
""OK"",
""NO COINCIDE. Valor verdadero: ""&amp;IF(valor="""",""[VACÍO]"",TO_TEXT(valor))
)
))))
),""ERROR EN FÓRMULA""))"),"NO APLICA")</f>
        <v>NO APLICA</v>
      </c>
    </row>
    <row r="2581">
      <c r="A2581" s="83" t="s">
        <v>4078</v>
      </c>
      <c r="B2581" s="83" t="s">
        <v>4079</v>
      </c>
      <c r="C2581" s="81" t="s">
        <v>4086</v>
      </c>
      <c r="D2581" s="83" t="s">
        <v>4805</v>
      </c>
      <c r="E2581" s="81" t="s">
        <v>3859</v>
      </c>
      <c r="F2581" s="84">
        <v>744.0</v>
      </c>
      <c r="G2581" s="81" t="s">
        <v>12</v>
      </c>
      <c r="H2581" s="81" t="s">
        <v>224</v>
      </c>
      <c r="I2581" s="81" t="s">
        <v>55</v>
      </c>
      <c r="J2581" s="81" t="s">
        <v>224</v>
      </c>
      <c r="K2581" s="81" t="str">
        <f>IFERROR(__xludf.DUMMYFUNCTION("IF(OR(D2581="""",G2581=""""),"""",IFERROR(LET(
campo,XLOOKUP(TRIM(G2581),ARRAYFORMULA(TRIM('indice columnas'!$A$2:$A$100)),'indice columnas'!$B$2:$B$100,""""),
col,IFERROR(MATCH(campo,Referencia!$A$1:$AZ$1,0),0),
fila,IFERROR(MATCH(TO_TEXT(D2581),ARRAYFOR"&amp;"MULA(TO_TEXT(Referencia!$A$2:$A6238)),0),0),
IF(OR(campo="""",campo=""-""),""NO APLICA"",
IF(col=0,""REVISAR EQUIVALENCIA"",
IF(fila=0,""SKU NO ENCONTRADO"",
LET(
valor,INDEX(Referencia!$A$2:$AZ6238,fila,col),
IF(TRIM(TO_TEXT(valor))=TRIM(TO_TEXT(I2581)),"&amp;"
""OK"",
""NO COINCIDE. Valor verdadero: ""&amp;IF(valor="""",""[VACÍO]"",TO_TEXT(valor))
)
))))
),""ERROR EN FÓRMULA""))"),"OK")</f>
        <v>OK</v>
      </c>
    </row>
    <row r="2582">
      <c r="A2582" s="83" t="s">
        <v>4078</v>
      </c>
      <c r="B2582" s="83" t="s">
        <v>4079</v>
      </c>
      <c r="C2582" s="81" t="s">
        <v>4086</v>
      </c>
      <c r="D2582" s="83" t="s">
        <v>4805</v>
      </c>
      <c r="E2582" s="81" t="s">
        <v>3859</v>
      </c>
      <c r="F2582" s="84">
        <v>744.0</v>
      </c>
      <c r="G2582" s="81" t="s">
        <v>44</v>
      </c>
      <c r="H2582" s="81" t="s">
        <v>224</v>
      </c>
      <c r="I2582" s="81" t="s">
        <v>1051</v>
      </c>
      <c r="J2582" s="81" t="s">
        <v>4088</v>
      </c>
      <c r="K2582" s="81" t="str">
        <f>IFERROR(__xludf.DUMMYFUNCTION("IF(OR(D2582="""",G2582=""""),"""",IFERROR(LET(
campo,XLOOKUP(TRIM(G2582),ARRAYFORMULA(TRIM('indice columnas'!$A$2:$A$100)),'indice columnas'!$B$2:$B$100,""""),
col,IFERROR(MATCH(campo,Referencia!$A$1:$AZ$1,0),0),
fila,IFERROR(MATCH(TO_TEXT(D2582),ARRAYFOR"&amp;"MULA(TO_TEXT(Referencia!$A$2:$A6238)),0),0),
IF(OR(campo="""",campo=""-""),""NO APLICA"",
IF(col=0,""REVISAR EQUIVALENCIA"",
IF(fila=0,""SKU NO ENCONTRADO"",
LET(
valor,INDEX(Referencia!$A$2:$AZ6238,fila,col),
IF(TRIM(TO_TEXT(valor))=TRIM(TO_TEXT(I2582)),"&amp;"
""OK"",
""NO COINCIDE. Valor verdadero: ""&amp;IF(valor="""",""[VACÍO]"",TO_TEXT(valor))
)
))))
),""ERROR EN FÓRMULA""))"),"NO APLICA")</f>
        <v>NO APLICA</v>
      </c>
    </row>
    <row r="2583">
      <c r="A2583" s="83" t="s">
        <v>4078</v>
      </c>
      <c r="B2583" s="83" t="s">
        <v>4079</v>
      </c>
      <c r="C2583" s="81" t="s">
        <v>4086</v>
      </c>
      <c r="D2583" s="83" t="s">
        <v>4806</v>
      </c>
      <c r="E2583" s="81" t="s">
        <v>3860</v>
      </c>
      <c r="F2583" s="84">
        <v>745.0</v>
      </c>
      <c r="G2583" s="81" t="s">
        <v>44</v>
      </c>
      <c r="H2583" s="81" t="s">
        <v>224</v>
      </c>
      <c r="I2583" s="81" t="s">
        <v>1051</v>
      </c>
      <c r="J2583" s="81" t="s">
        <v>4088</v>
      </c>
      <c r="K2583" s="81" t="str">
        <f>IFERROR(__xludf.DUMMYFUNCTION("IF(OR(D2583="""",G2583=""""),"""",IFERROR(LET(
campo,XLOOKUP(TRIM(G2583),ARRAYFORMULA(TRIM('indice columnas'!$A$2:$A$100)),'indice columnas'!$B$2:$B$100,""""),
col,IFERROR(MATCH(campo,Referencia!$A$1:$AZ$1,0),0),
fila,IFERROR(MATCH(TO_TEXT(D2583),ARRAYFOR"&amp;"MULA(TO_TEXT(Referencia!$A$2:$A6238)),0),0),
IF(OR(campo="""",campo=""-""),""NO APLICA"",
IF(col=0,""REVISAR EQUIVALENCIA"",
IF(fila=0,""SKU NO ENCONTRADO"",
LET(
valor,INDEX(Referencia!$A$2:$AZ6238,fila,col),
IF(TRIM(TO_TEXT(valor))=TRIM(TO_TEXT(I2583)),"&amp;"
""OK"",
""NO COINCIDE. Valor verdadero: ""&amp;IF(valor="""",""[VACÍO]"",TO_TEXT(valor))
)
))))
),""ERROR EN FÓRMULA""))"),"NO APLICA")</f>
        <v>NO APLICA</v>
      </c>
    </row>
    <row r="2584">
      <c r="A2584" s="83" t="s">
        <v>4078</v>
      </c>
      <c r="B2584" s="83" t="s">
        <v>4079</v>
      </c>
      <c r="C2584" s="81" t="s">
        <v>4086</v>
      </c>
      <c r="D2584" s="83" t="s">
        <v>4806</v>
      </c>
      <c r="E2584" s="81" t="s">
        <v>3861</v>
      </c>
      <c r="F2584" s="84">
        <v>746.0</v>
      </c>
      <c r="G2584" s="81" t="s">
        <v>12</v>
      </c>
      <c r="H2584" s="81" t="s">
        <v>224</v>
      </c>
      <c r="I2584" s="81" t="s">
        <v>55</v>
      </c>
      <c r="J2584" s="81" t="s">
        <v>224</v>
      </c>
      <c r="K2584" s="81" t="str">
        <f>IFERROR(__xludf.DUMMYFUNCTION("IF(OR(D2584="""",G2584=""""),"""",IFERROR(LET(
campo,XLOOKUP(TRIM(G2584),ARRAYFORMULA(TRIM('indice columnas'!$A$2:$A$100)),'indice columnas'!$B$2:$B$100,""""),
col,IFERROR(MATCH(campo,Referencia!$A$1:$AZ$1,0),0),
fila,IFERROR(MATCH(TO_TEXT(D2584),ARRAYFOR"&amp;"MULA(TO_TEXT(Referencia!$A$2:$A6238)),0),0),
IF(OR(campo="""",campo=""-""),""NO APLICA"",
IF(col=0,""REVISAR EQUIVALENCIA"",
IF(fila=0,""SKU NO ENCONTRADO"",
LET(
valor,INDEX(Referencia!$A$2:$AZ6238,fila,col),
IF(TRIM(TO_TEXT(valor))=TRIM(TO_TEXT(I2584)),"&amp;"
""OK"",
""NO COINCIDE. Valor verdadero: ""&amp;IF(valor="""",""[VACÍO]"",TO_TEXT(valor))
)
))))
),""ERROR EN FÓRMULA""))"),"OK")</f>
        <v>OK</v>
      </c>
    </row>
    <row r="2585">
      <c r="A2585" s="83" t="s">
        <v>4078</v>
      </c>
      <c r="B2585" s="83" t="s">
        <v>4079</v>
      </c>
      <c r="C2585" s="81" t="s">
        <v>4086</v>
      </c>
      <c r="D2585" s="83" t="s">
        <v>4806</v>
      </c>
      <c r="E2585" s="81" t="s">
        <v>3861</v>
      </c>
      <c r="F2585" s="84">
        <v>746.0</v>
      </c>
      <c r="G2585" s="81" t="s">
        <v>44</v>
      </c>
      <c r="H2585" s="81" t="s">
        <v>224</v>
      </c>
      <c r="I2585" s="81" t="s">
        <v>1051</v>
      </c>
      <c r="J2585" s="81" t="s">
        <v>4088</v>
      </c>
      <c r="K2585" s="81" t="str">
        <f>IFERROR(__xludf.DUMMYFUNCTION("IF(OR(D2585="""",G2585=""""),"""",IFERROR(LET(
campo,XLOOKUP(TRIM(G2585),ARRAYFORMULA(TRIM('indice columnas'!$A$2:$A$100)),'indice columnas'!$B$2:$B$100,""""),
col,IFERROR(MATCH(campo,Referencia!$A$1:$AZ$1,0),0),
fila,IFERROR(MATCH(TO_TEXT(D2585),ARRAYFOR"&amp;"MULA(TO_TEXT(Referencia!$A$2:$A6238)),0),0),
IF(OR(campo="""",campo=""-""),""NO APLICA"",
IF(col=0,""REVISAR EQUIVALENCIA"",
IF(fila=0,""SKU NO ENCONTRADO"",
LET(
valor,INDEX(Referencia!$A$2:$AZ6238,fila,col),
IF(TRIM(TO_TEXT(valor))=TRIM(TO_TEXT(I2585)),"&amp;"
""OK"",
""NO COINCIDE. Valor verdadero: ""&amp;IF(valor="""",""[VACÍO]"",TO_TEXT(valor))
)
))))
),""ERROR EN FÓRMULA""))"),"NO APLICA")</f>
        <v>NO APLICA</v>
      </c>
    </row>
    <row r="2586">
      <c r="A2586" s="83" t="s">
        <v>4078</v>
      </c>
      <c r="B2586" s="83" t="s">
        <v>4079</v>
      </c>
      <c r="C2586" s="81" t="s">
        <v>4086</v>
      </c>
      <c r="D2586" s="83" t="s">
        <v>4807</v>
      </c>
      <c r="E2586" s="81" t="s">
        <v>3862</v>
      </c>
      <c r="F2586" s="84">
        <v>747.0</v>
      </c>
      <c r="G2586" s="81" t="s">
        <v>12</v>
      </c>
      <c r="H2586" s="81" t="s">
        <v>224</v>
      </c>
      <c r="I2586" s="81" t="s">
        <v>55</v>
      </c>
      <c r="J2586" s="81" t="s">
        <v>224</v>
      </c>
      <c r="K2586" s="81" t="str">
        <f>IFERROR(__xludf.DUMMYFUNCTION("IF(OR(D2586="""",G2586=""""),"""",IFERROR(LET(
campo,XLOOKUP(TRIM(G2586),ARRAYFORMULA(TRIM('indice columnas'!$A$2:$A$100)),'indice columnas'!$B$2:$B$100,""""),
col,IFERROR(MATCH(campo,Referencia!$A$1:$AZ$1,0),0),
fila,IFERROR(MATCH(TO_TEXT(D2586),ARRAYFOR"&amp;"MULA(TO_TEXT(Referencia!$A$2:$A6238)),0),0),
IF(OR(campo="""",campo=""-""),""NO APLICA"",
IF(col=0,""REVISAR EQUIVALENCIA"",
IF(fila=0,""SKU NO ENCONTRADO"",
LET(
valor,INDEX(Referencia!$A$2:$AZ6238,fila,col),
IF(TRIM(TO_TEXT(valor))=TRIM(TO_TEXT(I2586)),"&amp;"
""OK"",
""NO COINCIDE. Valor verdadero: ""&amp;IF(valor="""",""[VACÍO]"",TO_TEXT(valor))
)
))))
),""ERROR EN FÓRMULA""))"),"OK")</f>
        <v>OK</v>
      </c>
    </row>
    <row r="2587">
      <c r="A2587" s="83" t="s">
        <v>4078</v>
      </c>
      <c r="B2587" s="83" t="s">
        <v>4079</v>
      </c>
      <c r="C2587" s="81" t="s">
        <v>4086</v>
      </c>
      <c r="D2587" s="83" t="s">
        <v>4807</v>
      </c>
      <c r="E2587" s="81" t="s">
        <v>3862</v>
      </c>
      <c r="F2587" s="84">
        <v>747.0</v>
      </c>
      <c r="G2587" s="81" t="s">
        <v>44</v>
      </c>
      <c r="H2587" s="81" t="s">
        <v>224</v>
      </c>
      <c r="I2587" s="81" t="s">
        <v>1051</v>
      </c>
      <c r="J2587" s="81" t="s">
        <v>4088</v>
      </c>
      <c r="K2587" s="81" t="str">
        <f>IFERROR(__xludf.DUMMYFUNCTION("IF(OR(D2587="""",G2587=""""),"""",IFERROR(LET(
campo,XLOOKUP(TRIM(G2587),ARRAYFORMULA(TRIM('indice columnas'!$A$2:$A$100)),'indice columnas'!$B$2:$B$100,""""),
col,IFERROR(MATCH(campo,Referencia!$A$1:$AZ$1,0),0),
fila,IFERROR(MATCH(TO_TEXT(D2587),ARRAYFOR"&amp;"MULA(TO_TEXT(Referencia!$A$2:$A6238)),0),0),
IF(OR(campo="""",campo=""-""),""NO APLICA"",
IF(col=0,""REVISAR EQUIVALENCIA"",
IF(fila=0,""SKU NO ENCONTRADO"",
LET(
valor,INDEX(Referencia!$A$2:$AZ6238,fila,col),
IF(TRIM(TO_TEXT(valor))=TRIM(TO_TEXT(I2587)),"&amp;"
""OK"",
""NO COINCIDE. Valor verdadero: ""&amp;IF(valor="""",""[VACÍO]"",TO_TEXT(valor))
)
))))
),""ERROR EN FÓRMULA""))"),"NO APLICA")</f>
        <v>NO APLICA</v>
      </c>
    </row>
    <row r="2588">
      <c r="A2588" s="83" t="s">
        <v>4078</v>
      </c>
      <c r="B2588" s="83" t="s">
        <v>4079</v>
      </c>
      <c r="C2588" s="81" t="s">
        <v>4086</v>
      </c>
      <c r="D2588" s="83" t="s">
        <v>4808</v>
      </c>
      <c r="E2588" s="81" t="s">
        <v>3863</v>
      </c>
      <c r="F2588" s="84">
        <v>748.0</v>
      </c>
      <c r="G2588" s="81" t="s">
        <v>44</v>
      </c>
      <c r="H2588" s="81" t="s">
        <v>4570</v>
      </c>
      <c r="I2588" s="81" t="s">
        <v>2673</v>
      </c>
      <c r="J2588" s="81" t="s">
        <v>4088</v>
      </c>
      <c r="K2588" s="81" t="str">
        <f>IFERROR(__xludf.DUMMYFUNCTION("IF(OR(D2588="""",G2588=""""),"""",IFERROR(LET(
campo,XLOOKUP(TRIM(G2588),ARRAYFORMULA(TRIM('indice columnas'!$A$2:$A$100)),'indice columnas'!$B$2:$B$100,""""),
col,IFERROR(MATCH(campo,Referencia!$A$1:$AZ$1,0),0),
fila,IFERROR(MATCH(TO_TEXT(D2588),ARRAYFOR"&amp;"MULA(TO_TEXT(Referencia!$A$2:$A6238)),0),0),
IF(OR(campo="""",campo=""-""),""NO APLICA"",
IF(col=0,""REVISAR EQUIVALENCIA"",
IF(fila=0,""SKU NO ENCONTRADO"",
LET(
valor,INDEX(Referencia!$A$2:$AZ6238,fila,col),
IF(TRIM(TO_TEXT(valor))=TRIM(TO_TEXT(I2588)),"&amp;"
""OK"",
""NO COINCIDE. Valor verdadero: ""&amp;IF(valor="""",""[VACÍO]"",TO_TEXT(valor))
)
))))
),""ERROR EN FÓRMULA""))"),"NO APLICA")</f>
        <v>NO APLICA</v>
      </c>
    </row>
    <row r="2589">
      <c r="A2589" s="83" t="s">
        <v>4078</v>
      </c>
      <c r="B2589" s="83" t="s">
        <v>4079</v>
      </c>
      <c r="C2589" s="81" t="s">
        <v>4086</v>
      </c>
      <c r="D2589" s="83" t="s">
        <v>4808</v>
      </c>
      <c r="E2589" s="81" t="s">
        <v>3867</v>
      </c>
      <c r="F2589" s="84">
        <v>749.0</v>
      </c>
      <c r="G2589" s="81" t="s">
        <v>7</v>
      </c>
      <c r="H2589" s="81" t="s">
        <v>3623</v>
      </c>
      <c r="I2589" s="81" t="s">
        <v>1134</v>
      </c>
      <c r="J2589" s="81" t="s">
        <v>224</v>
      </c>
      <c r="K2589" s="81" t="str">
        <f>IFERROR(__xludf.DUMMYFUNCTION("IF(OR(D2589="""",G2589=""""),"""",IFERROR(LET(
campo,XLOOKUP(TRIM(G2589),ARRAYFORMULA(TRIM('indice columnas'!$A$2:$A$100)),'indice columnas'!$B$2:$B$100,""""),
col,IFERROR(MATCH(campo,Referencia!$A$1:$AZ$1,0),0),
fila,IFERROR(MATCH(TO_TEXT(D2589),ARRAYFOR"&amp;"MULA(TO_TEXT(Referencia!$A$2:$A6238)),0),0),
IF(OR(campo="""",campo=""-""),""NO APLICA"",
IF(col=0,""REVISAR EQUIVALENCIA"",
IF(fila=0,""SKU NO ENCONTRADO"",
LET(
valor,INDEX(Referencia!$A$2:$AZ6238,fila,col),
IF(TRIM(TO_TEXT(valor))=TRIM(TO_TEXT(I2589)),"&amp;"
""OK"",
""NO COINCIDE. Valor verdadero: ""&amp;IF(valor="""",""[VACÍO]"",TO_TEXT(valor))
)
))))
),""ERROR EN FÓRMULA""))"),"REVISAR EQUIVALENCIA")</f>
        <v>REVISAR EQUIVALENCIA</v>
      </c>
    </row>
    <row r="2590">
      <c r="A2590" s="83" t="s">
        <v>4078</v>
      </c>
      <c r="B2590" s="83" t="s">
        <v>4079</v>
      </c>
      <c r="C2590" s="81" t="s">
        <v>4086</v>
      </c>
      <c r="D2590" s="83" t="s">
        <v>4808</v>
      </c>
      <c r="E2590" s="81" t="s">
        <v>3867</v>
      </c>
      <c r="F2590" s="84">
        <v>749.0</v>
      </c>
      <c r="G2590" s="81" t="s">
        <v>12</v>
      </c>
      <c r="H2590" s="81" t="s">
        <v>224</v>
      </c>
      <c r="I2590" s="81" t="s">
        <v>55</v>
      </c>
      <c r="J2590" s="81" t="s">
        <v>224</v>
      </c>
      <c r="K2590" s="81" t="str">
        <f>IFERROR(__xludf.DUMMYFUNCTION("IF(OR(D2590="""",G2590=""""),"""",IFERROR(LET(
campo,XLOOKUP(TRIM(G2590),ARRAYFORMULA(TRIM('indice columnas'!$A$2:$A$100)),'indice columnas'!$B$2:$B$100,""""),
col,IFERROR(MATCH(campo,Referencia!$A$1:$AZ$1,0),0),
fila,IFERROR(MATCH(TO_TEXT(D2590),ARRAYFOR"&amp;"MULA(TO_TEXT(Referencia!$A$2:$A6238)),0),0),
IF(OR(campo="""",campo=""-""),""NO APLICA"",
IF(col=0,""REVISAR EQUIVALENCIA"",
IF(fila=0,""SKU NO ENCONTRADO"",
LET(
valor,INDEX(Referencia!$A$2:$AZ6238,fila,col),
IF(TRIM(TO_TEXT(valor))=TRIM(TO_TEXT(I2590)),"&amp;"
""OK"",
""NO COINCIDE. Valor verdadero: ""&amp;IF(valor="""",""[VACÍO]"",TO_TEXT(valor))
)
))))
),""ERROR EN FÓRMULA""))"),"OK")</f>
        <v>OK</v>
      </c>
    </row>
    <row r="2591">
      <c r="A2591" s="83" t="s">
        <v>4078</v>
      </c>
      <c r="B2591" s="83" t="s">
        <v>4079</v>
      </c>
      <c r="C2591" s="81" t="s">
        <v>4086</v>
      </c>
      <c r="D2591" s="83" t="s">
        <v>4808</v>
      </c>
      <c r="E2591" s="81" t="s">
        <v>3867</v>
      </c>
      <c r="F2591" s="84">
        <v>749.0</v>
      </c>
      <c r="G2591" s="81" t="s">
        <v>44</v>
      </c>
      <c r="H2591" s="81" t="s">
        <v>4570</v>
      </c>
      <c r="I2591" s="81" t="s">
        <v>2673</v>
      </c>
      <c r="J2591" s="81" t="s">
        <v>4088</v>
      </c>
      <c r="K2591" s="81" t="str">
        <f>IFERROR(__xludf.DUMMYFUNCTION("IF(OR(D2591="""",G2591=""""),"""",IFERROR(LET(
campo,XLOOKUP(TRIM(G2591),ARRAYFORMULA(TRIM('indice columnas'!$A$2:$A$100)),'indice columnas'!$B$2:$B$100,""""),
col,IFERROR(MATCH(campo,Referencia!$A$1:$AZ$1,0),0),
fila,IFERROR(MATCH(TO_TEXT(D2591),ARRAYFOR"&amp;"MULA(TO_TEXT(Referencia!$A$2:$A6238)),0),0),
IF(OR(campo="""",campo=""-""),""NO APLICA"",
IF(col=0,""REVISAR EQUIVALENCIA"",
IF(fila=0,""SKU NO ENCONTRADO"",
LET(
valor,INDEX(Referencia!$A$2:$AZ6238,fila,col),
IF(TRIM(TO_TEXT(valor))=TRIM(TO_TEXT(I2591)),"&amp;"
""OK"",
""NO COINCIDE. Valor verdadero: ""&amp;IF(valor="""",""[VACÍO]"",TO_TEXT(valor))
)
))))
),""ERROR EN FÓRMULA""))"),"NO APLICA")</f>
        <v>NO APLICA</v>
      </c>
    </row>
    <row r="2592">
      <c r="A2592" s="83" t="s">
        <v>4078</v>
      </c>
      <c r="B2592" s="83" t="s">
        <v>4079</v>
      </c>
      <c r="C2592" s="81" t="s">
        <v>4086</v>
      </c>
      <c r="D2592" s="83" t="s">
        <v>4809</v>
      </c>
      <c r="E2592" s="81" t="s">
        <v>3868</v>
      </c>
      <c r="F2592" s="84">
        <v>750.0</v>
      </c>
      <c r="G2592" s="81" t="s">
        <v>7</v>
      </c>
      <c r="H2592" s="81" t="s">
        <v>3623</v>
      </c>
      <c r="I2592" s="81" t="s">
        <v>1134</v>
      </c>
      <c r="J2592" s="81" t="s">
        <v>224</v>
      </c>
      <c r="K2592" s="81" t="str">
        <f>IFERROR(__xludf.DUMMYFUNCTION("IF(OR(D2592="""",G2592=""""),"""",IFERROR(LET(
campo,XLOOKUP(TRIM(G2592),ARRAYFORMULA(TRIM('indice columnas'!$A$2:$A$100)),'indice columnas'!$B$2:$B$100,""""),
col,IFERROR(MATCH(campo,Referencia!$A$1:$AZ$1,0),0),
fila,IFERROR(MATCH(TO_TEXT(D2592),ARRAYFOR"&amp;"MULA(TO_TEXT(Referencia!$A$2:$A6238)),0),0),
IF(OR(campo="""",campo=""-""),""NO APLICA"",
IF(col=0,""REVISAR EQUIVALENCIA"",
IF(fila=0,""SKU NO ENCONTRADO"",
LET(
valor,INDEX(Referencia!$A$2:$AZ6238,fila,col),
IF(TRIM(TO_TEXT(valor))=TRIM(TO_TEXT(I2592)),"&amp;"
""OK"",
""NO COINCIDE. Valor verdadero: ""&amp;IF(valor="""",""[VACÍO]"",TO_TEXT(valor))
)
))))
),""ERROR EN FÓRMULA""))"),"REVISAR EQUIVALENCIA")</f>
        <v>REVISAR EQUIVALENCIA</v>
      </c>
    </row>
    <row r="2593">
      <c r="A2593" s="83" t="s">
        <v>4078</v>
      </c>
      <c r="B2593" s="83" t="s">
        <v>4079</v>
      </c>
      <c r="C2593" s="81" t="s">
        <v>4086</v>
      </c>
      <c r="D2593" s="83" t="s">
        <v>4809</v>
      </c>
      <c r="E2593" s="81" t="s">
        <v>3868</v>
      </c>
      <c r="F2593" s="84">
        <v>750.0</v>
      </c>
      <c r="G2593" s="81" t="s">
        <v>12</v>
      </c>
      <c r="H2593" s="81" t="s">
        <v>224</v>
      </c>
      <c r="I2593" s="81" t="s">
        <v>55</v>
      </c>
      <c r="J2593" s="81" t="s">
        <v>224</v>
      </c>
      <c r="K2593" s="81" t="str">
        <f>IFERROR(__xludf.DUMMYFUNCTION("IF(OR(D2593="""",G2593=""""),"""",IFERROR(LET(
campo,XLOOKUP(TRIM(G2593),ARRAYFORMULA(TRIM('indice columnas'!$A$2:$A$100)),'indice columnas'!$B$2:$B$100,""""),
col,IFERROR(MATCH(campo,Referencia!$A$1:$AZ$1,0),0),
fila,IFERROR(MATCH(TO_TEXT(D2593),ARRAYFOR"&amp;"MULA(TO_TEXT(Referencia!$A$2:$A6238)),0),0),
IF(OR(campo="""",campo=""-""),""NO APLICA"",
IF(col=0,""REVISAR EQUIVALENCIA"",
IF(fila=0,""SKU NO ENCONTRADO"",
LET(
valor,INDEX(Referencia!$A$2:$AZ6238,fila,col),
IF(TRIM(TO_TEXT(valor))=TRIM(TO_TEXT(I2593)),"&amp;"
""OK"",
""NO COINCIDE. Valor verdadero: ""&amp;IF(valor="""",""[VACÍO]"",TO_TEXT(valor))
)
))))
),""ERROR EN FÓRMULA""))"),"OK")</f>
        <v>OK</v>
      </c>
    </row>
    <row r="2594">
      <c r="A2594" s="83" t="s">
        <v>4078</v>
      </c>
      <c r="B2594" s="83" t="s">
        <v>4079</v>
      </c>
      <c r="C2594" s="81" t="s">
        <v>4086</v>
      </c>
      <c r="D2594" s="83" t="s">
        <v>4809</v>
      </c>
      <c r="E2594" s="81" t="s">
        <v>3868</v>
      </c>
      <c r="F2594" s="84">
        <v>750.0</v>
      </c>
      <c r="G2594" s="81" t="s">
        <v>44</v>
      </c>
      <c r="H2594" s="81" t="s">
        <v>4570</v>
      </c>
      <c r="I2594" s="81" t="s">
        <v>2673</v>
      </c>
      <c r="J2594" s="81" t="s">
        <v>4088</v>
      </c>
      <c r="K2594" s="81" t="str">
        <f>IFERROR(__xludf.DUMMYFUNCTION("IF(OR(D2594="""",G2594=""""),"""",IFERROR(LET(
campo,XLOOKUP(TRIM(G2594),ARRAYFORMULA(TRIM('indice columnas'!$A$2:$A$100)),'indice columnas'!$B$2:$B$100,""""),
col,IFERROR(MATCH(campo,Referencia!$A$1:$AZ$1,0),0),
fila,IFERROR(MATCH(TO_TEXT(D2594),ARRAYFOR"&amp;"MULA(TO_TEXT(Referencia!$A$2:$A6238)),0),0),
IF(OR(campo="""",campo=""-""),""NO APLICA"",
IF(col=0,""REVISAR EQUIVALENCIA"",
IF(fila=0,""SKU NO ENCONTRADO"",
LET(
valor,INDEX(Referencia!$A$2:$AZ6238,fila,col),
IF(TRIM(TO_TEXT(valor))=TRIM(TO_TEXT(I2594)),"&amp;"
""OK"",
""NO COINCIDE. Valor verdadero: ""&amp;IF(valor="""",""[VACÍO]"",TO_TEXT(valor))
)
))))
),""ERROR EN FÓRMULA""))"),"NO APLICA")</f>
        <v>NO APLICA</v>
      </c>
    </row>
    <row r="2595">
      <c r="A2595" s="83" t="s">
        <v>4078</v>
      </c>
      <c r="B2595" s="83" t="s">
        <v>4079</v>
      </c>
      <c r="C2595" s="81" t="s">
        <v>4086</v>
      </c>
      <c r="D2595" s="83" t="s">
        <v>4810</v>
      </c>
      <c r="E2595" s="81" t="s">
        <v>3871</v>
      </c>
      <c r="F2595" s="84">
        <v>751.0</v>
      </c>
      <c r="G2595" s="81" t="s">
        <v>7</v>
      </c>
      <c r="H2595" s="81" t="s">
        <v>3623</v>
      </c>
      <c r="I2595" s="81" t="s">
        <v>1134</v>
      </c>
      <c r="J2595" s="81" t="s">
        <v>224</v>
      </c>
      <c r="K2595" s="81" t="str">
        <f>IFERROR(__xludf.DUMMYFUNCTION("IF(OR(D2595="""",G2595=""""),"""",IFERROR(LET(
campo,XLOOKUP(TRIM(G2595),ARRAYFORMULA(TRIM('indice columnas'!$A$2:$A$100)),'indice columnas'!$B$2:$B$100,""""),
col,IFERROR(MATCH(campo,Referencia!$A$1:$AZ$1,0),0),
fila,IFERROR(MATCH(TO_TEXT(D2595),ARRAYFOR"&amp;"MULA(TO_TEXT(Referencia!$A$2:$A6238)),0),0),
IF(OR(campo="""",campo=""-""),""NO APLICA"",
IF(col=0,""REVISAR EQUIVALENCIA"",
IF(fila=0,""SKU NO ENCONTRADO"",
LET(
valor,INDEX(Referencia!$A$2:$AZ6238,fila,col),
IF(TRIM(TO_TEXT(valor))=TRIM(TO_TEXT(I2595)),"&amp;"
""OK"",
""NO COINCIDE. Valor verdadero: ""&amp;IF(valor="""",""[VACÍO]"",TO_TEXT(valor))
)
))))
),""ERROR EN FÓRMULA""))"),"REVISAR EQUIVALENCIA")</f>
        <v>REVISAR EQUIVALENCIA</v>
      </c>
    </row>
    <row r="2596">
      <c r="A2596" s="83" t="s">
        <v>4078</v>
      </c>
      <c r="B2596" s="83" t="s">
        <v>4079</v>
      </c>
      <c r="C2596" s="81" t="s">
        <v>4086</v>
      </c>
      <c r="D2596" s="83" t="s">
        <v>4810</v>
      </c>
      <c r="E2596" s="81" t="s">
        <v>3871</v>
      </c>
      <c r="F2596" s="84">
        <v>751.0</v>
      </c>
      <c r="G2596" s="81" t="s">
        <v>44</v>
      </c>
      <c r="H2596" s="81" t="s">
        <v>4700</v>
      </c>
      <c r="I2596" s="81" t="s">
        <v>3315</v>
      </c>
      <c r="J2596" s="81" t="s">
        <v>4088</v>
      </c>
      <c r="K2596" s="81" t="str">
        <f>IFERROR(__xludf.DUMMYFUNCTION("IF(OR(D2596="""",G2596=""""),"""",IFERROR(LET(
campo,XLOOKUP(TRIM(G2596),ARRAYFORMULA(TRIM('indice columnas'!$A$2:$A$100)),'indice columnas'!$B$2:$B$100,""""),
col,IFERROR(MATCH(campo,Referencia!$A$1:$AZ$1,0),0),
fila,IFERROR(MATCH(TO_TEXT(D2596),ARRAYFOR"&amp;"MULA(TO_TEXT(Referencia!$A$2:$A6238)),0),0),
IF(OR(campo="""",campo=""-""),""NO APLICA"",
IF(col=0,""REVISAR EQUIVALENCIA"",
IF(fila=0,""SKU NO ENCONTRADO"",
LET(
valor,INDEX(Referencia!$A$2:$AZ6238,fila,col),
IF(TRIM(TO_TEXT(valor))=TRIM(TO_TEXT(I2596)),"&amp;"
""OK"",
""NO COINCIDE. Valor verdadero: ""&amp;IF(valor="""",""[VACÍO]"",TO_TEXT(valor))
)
))))
),""ERROR EN FÓRMULA""))"),"NO APLICA")</f>
        <v>NO APLICA</v>
      </c>
    </row>
    <row r="2597">
      <c r="A2597" s="83" t="s">
        <v>4078</v>
      </c>
      <c r="B2597" s="83" t="s">
        <v>4079</v>
      </c>
      <c r="C2597" s="81" t="s">
        <v>4086</v>
      </c>
      <c r="D2597" s="83" t="s">
        <v>4811</v>
      </c>
      <c r="E2597" s="81" t="s">
        <v>3874</v>
      </c>
      <c r="F2597" s="84">
        <v>752.0</v>
      </c>
      <c r="G2597" s="81" t="s">
        <v>7</v>
      </c>
      <c r="H2597" s="81" t="s">
        <v>4812</v>
      </c>
      <c r="I2597" s="81" t="s">
        <v>4008</v>
      </c>
      <c r="J2597" s="81" t="s">
        <v>224</v>
      </c>
      <c r="K2597" s="81" t="str">
        <f>IFERROR(__xludf.DUMMYFUNCTION("IF(OR(D2597="""",G2597=""""),"""",IFERROR(LET(
campo,XLOOKUP(TRIM(G2597),ARRAYFORMULA(TRIM('indice columnas'!$A$2:$A$100)),'indice columnas'!$B$2:$B$100,""""),
col,IFERROR(MATCH(campo,Referencia!$A$1:$AZ$1,0),0),
fila,IFERROR(MATCH(TO_TEXT(D2597),ARRAYFOR"&amp;"MULA(TO_TEXT(Referencia!$A$2:$A6238)),0),0),
IF(OR(campo="""",campo=""-""),""NO APLICA"",
IF(col=0,""REVISAR EQUIVALENCIA"",
IF(fila=0,""SKU NO ENCONTRADO"",
LET(
valor,INDEX(Referencia!$A$2:$AZ6238,fila,col),
IF(TRIM(TO_TEXT(valor))=TRIM(TO_TEXT(I2597)),"&amp;"
""OK"",
""NO COINCIDE. Valor verdadero: ""&amp;IF(valor="""",""[VACÍO]"",TO_TEXT(valor))
)
))))
),""ERROR EN FÓRMULA""))"),"REVISAR EQUIVALENCIA")</f>
        <v>REVISAR EQUIVALENCIA</v>
      </c>
    </row>
    <row r="2598">
      <c r="A2598" s="83" t="s">
        <v>4078</v>
      </c>
      <c r="B2598" s="83" t="s">
        <v>4079</v>
      </c>
      <c r="C2598" s="81" t="s">
        <v>4086</v>
      </c>
      <c r="D2598" s="83" t="s">
        <v>4811</v>
      </c>
      <c r="E2598" s="81" t="s">
        <v>3874</v>
      </c>
      <c r="F2598" s="84">
        <v>752.0</v>
      </c>
      <c r="G2598" s="81" t="s">
        <v>44</v>
      </c>
      <c r="H2598" s="81" t="s">
        <v>224</v>
      </c>
      <c r="I2598" s="81" t="s">
        <v>1775</v>
      </c>
      <c r="J2598" s="81" t="s">
        <v>4088</v>
      </c>
      <c r="K2598" s="81" t="str">
        <f>IFERROR(__xludf.DUMMYFUNCTION("IF(OR(D2598="""",G2598=""""),"""",IFERROR(LET(
campo,XLOOKUP(TRIM(G2598),ARRAYFORMULA(TRIM('indice columnas'!$A$2:$A$100)),'indice columnas'!$B$2:$B$100,""""),
col,IFERROR(MATCH(campo,Referencia!$A$1:$AZ$1,0),0),
fila,IFERROR(MATCH(TO_TEXT(D2598),ARRAYFOR"&amp;"MULA(TO_TEXT(Referencia!$A$2:$A6238)),0),0),
IF(OR(campo="""",campo=""-""),""NO APLICA"",
IF(col=0,""REVISAR EQUIVALENCIA"",
IF(fila=0,""SKU NO ENCONTRADO"",
LET(
valor,INDEX(Referencia!$A$2:$AZ6238,fila,col),
IF(TRIM(TO_TEXT(valor))=TRIM(TO_TEXT(I2598)),"&amp;"
""OK"",
""NO COINCIDE. Valor verdadero: ""&amp;IF(valor="""",""[VACÍO]"",TO_TEXT(valor))
)
))))
),""ERROR EN FÓRMULA""))"),"NO APLICA")</f>
        <v>NO APLICA</v>
      </c>
    </row>
    <row r="2599">
      <c r="A2599" s="83" t="s">
        <v>4078</v>
      </c>
      <c r="B2599" s="83" t="s">
        <v>4079</v>
      </c>
      <c r="C2599" s="81" t="s">
        <v>4086</v>
      </c>
      <c r="D2599" s="83" t="s">
        <v>4813</v>
      </c>
      <c r="E2599" s="81" t="s">
        <v>3877</v>
      </c>
      <c r="F2599" s="84">
        <v>753.0</v>
      </c>
      <c r="G2599" s="81" t="s">
        <v>7</v>
      </c>
      <c r="H2599" s="81" t="s">
        <v>4812</v>
      </c>
      <c r="I2599" s="81" t="s">
        <v>4008</v>
      </c>
      <c r="J2599" s="81" t="s">
        <v>224</v>
      </c>
      <c r="K2599" s="81" t="str">
        <f>IFERROR(__xludf.DUMMYFUNCTION("IF(OR(D2599="""",G2599=""""),"""",IFERROR(LET(
campo,XLOOKUP(TRIM(G2599),ARRAYFORMULA(TRIM('indice columnas'!$A$2:$A$100)),'indice columnas'!$B$2:$B$100,""""),
col,IFERROR(MATCH(campo,Referencia!$A$1:$AZ$1,0),0),
fila,IFERROR(MATCH(TO_TEXT(D2599),ARRAYFOR"&amp;"MULA(TO_TEXT(Referencia!$A$2:$A6238)),0),0),
IF(OR(campo="""",campo=""-""),""NO APLICA"",
IF(col=0,""REVISAR EQUIVALENCIA"",
IF(fila=0,""SKU NO ENCONTRADO"",
LET(
valor,INDEX(Referencia!$A$2:$AZ6238,fila,col),
IF(TRIM(TO_TEXT(valor))=TRIM(TO_TEXT(I2599)),"&amp;"
""OK"",
""NO COINCIDE. Valor verdadero: ""&amp;IF(valor="""",""[VACÍO]"",TO_TEXT(valor))
)
))))
),""ERROR EN FÓRMULA""))"),"REVISAR EQUIVALENCIA")</f>
        <v>REVISAR EQUIVALENCIA</v>
      </c>
    </row>
    <row r="2600">
      <c r="A2600" s="83" t="s">
        <v>4078</v>
      </c>
      <c r="B2600" s="83" t="s">
        <v>4079</v>
      </c>
      <c r="C2600" s="81" t="s">
        <v>4086</v>
      </c>
      <c r="D2600" s="83" t="s">
        <v>4813</v>
      </c>
      <c r="E2600" s="81" t="s">
        <v>3877</v>
      </c>
      <c r="F2600" s="84">
        <v>753.0</v>
      </c>
      <c r="G2600" s="81" t="s">
        <v>44</v>
      </c>
      <c r="H2600" s="81" t="s">
        <v>224</v>
      </c>
      <c r="I2600" s="81" t="s">
        <v>1775</v>
      </c>
      <c r="J2600" s="81" t="s">
        <v>4088</v>
      </c>
      <c r="K2600" s="81" t="str">
        <f>IFERROR(__xludf.DUMMYFUNCTION("IF(OR(D2600="""",G2600=""""),"""",IFERROR(LET(
campo,XLOOKUP(TRIM(G2600),ARRAYFORMULA(TRIM('indice columnas'!$A$2:$A$100)),'indice columnas'!$B$2:$B$100,""""),
col,IFERROR(MATCH(campo,Referencia!$A$1:$AZ$1,0),0),
fila,IFERROR(MATCH(TO_TEXT(D2600),ARRAYFOR"&amp;"MULA(TO_TEXT(Referencia!$A$2:$A6238)),0),0),
IF(OR(campo="""",campo=""-""),""NO APLICA"",
IF(col=0,""REVISAR EQUIVALENCIA"",
IF(fila=0,""SKU NO ENCONTRADO"",
LET(
valor,INDEX(Referencia!$A$2:$AZ6238,fila,col),
IF(TRIM(TO_TEXT(valor))=TRIM(TO_TEXT(I2600)),"&amp;"
""OK"",
""NO COINCIDE. Valor verdadero: ""&amp;IF(valor="""",""[VACÍO]"",TO_TEXT(valor))
)
))))
),""ERROR EN FÓRMULA""))"),"NO APLICA")</f>
        <v>NO APLICA</v>
      </c>
    </row>
    <row r="2601">
      <c r="A2601" s="83" t="s">
        <v>4078</v>
      </c>
      <c r="B2601" s="83" t="s">
        <v>4079</v>
      </c>
      <c r="C2601" s="81" t="s">
        <v>4086</v>
      </c>
      <c r="D2601" s="83" t="s">
        <v>4814</v>
      </c>
      <c r="E2601" s="81" t="s">
        <v>3879</v>
      </c>
      <c r="F2601" s="84">
        <v>754.0</v>
      </c>
      <c r="G2601" s="81" t="s">
        <v>7</v>
      </c>
      <c r="H2601" s="81" t="s">
        <v>3623</v>
      </c>
      <c r="I2601" s="81" t="s">
        <v>1134</v>
      </c>
      <c r="J2601" s="81" t="s">
        <v>224</v>
      </c>
      <c r="K2601" s="81" t="str">
        <f>IFERROR(__xludf.DUMMYFUNCTION("IF(OR(D2601="""",G2601=""""),"""",IFERROR(LET(
campo,XLOOKUP(TRIM(G2601),ARRAYFORMULA(TRIM('indice columnas'!$A$2:$A$100)),'indice columnas'!$B$2:$B$100,""""),
col,IFERROR(MATCH(campo,Referencia!$A$1:$AZ$1,0),0),
fila,IFERROR(MATCH(TO_TEXT(D2601),ARRAYFOR"&amp;"MULA(TO_TEXT(Referencia!$A$2:$A6238)),0),0),
IF(OR(campo="""",campo=""-""),""NO APLICA"",
IF(col=0,""REVISAR EQUIVALENCIA"",
IF(fila=0,""SKU NO ENCONTRADO"",
LET(
valor,INDEX(Referencia!$A$2:$AZ6238,fila,col),
IF(TRIM(TO_TEXT(valor))=TRIM(TO_TEXT(I2601)),"&amp;"
""OK"",
""NO COINCIDE. Valor verdadero: ""&amp;IF(valor="""",""[VACÍO]"",TO_TEXT(valor))
)
))))
),""ERROR EN FÓRMULA""))"),"REVISAR EQUIVALENCIA")</f>
        <v>REVISAR EQUIVALENCIA</v>
      </c>
    </row>
    <row r="2602">
      <c r="A2602" s="83" t="s">
        <v>4078</v>
      </c>
      <c r="B2602" s="83" t="s">
        <v>4079</v>
      </c>
      <c r="C2602" s="81" t="s">
        <v>4086</v>
      </c>
      <c r="D2602" s="83" t="s">
        <v>4814</v>
      </c>
      <c r="E2602" s="81" t="s">
        <v>3879</v>
      </c>
      <c r="F2602" s="84">
        <v>754.0</v>
      </c>
      <c r="G2602" s="81" t="s">
        <v>44</v>
      </c>
      <c r="H2602" s="81" t="s">
        <v>4649</v>
      </c>
      <c r="I2602" s="81" t="s">
        <v>3077</v>
      </c>
      <c r="J2602" s="81" t="s">
        <v>4088</v>
      </c>
      <c r="K2602" s="81" t="str">
        <f>IFERROR(__xludf.DUMMYFUNCTION("IF(OR(D2602="""",G2602=""""),"""",IFERROR(LET(
campo,XLOOKUP(TRIM(G2602),ARRAYFORMULA(TRIM('indice columnas'!$A$2:$A$100)),'indice columnas'!$B$2:$B$100,""""),
col,IFERROR(MATCH(campo,Referencia!$A$1:$AZ$1,0),0),
fila,IFERROR(MATCH(TO_TEXT(D2602),ARRAYFOR"&amp;"MULA(TO_TEXT(Referencia!$A$2:$A6238)),0),0),
IF(OR(campo="""",campo=""-""),""NO APLICA"",
IF(col=0,""REVISAR EQUIVALENCIA"",
IF(fila=0,""SKU NO ENCONTRADO"",
LET(
valor,INDEX(Referencia!$A$2:$AZ6238,fila,col),
IF(TRIM(TO_TEXT(valor))=TRIM(TO_TEXT(I2602)),"&amp;"
""OK"",
""NO COINCIDE. Valor verdadero: ""&amp;IF(valor="""",""[VACÍO]"",TO_TEXT(valor))
)
))))
),""ERROR EN FÓRMULA""))"),"NO APLICA")</f>
        <v>NO APLICA</v>
      </c>
    </row>
    <row r="2603">
      <c r="A2603" s="83" t="s">
        <v>4078</v>
      </c>
      <c r="B2603" s="83" t="s">
        <v>4079</v>
      </c>
      <c r="C2603" s="81" t="s">
        <v>4086</v>
      </c>
      <c r="D2603" s="83" t="s">
        <v>4815</v>
      </c>
      <c r="E2603" s="81" t="s">
        <v>3882</v>
      </c>
      <c r="F2603" s="84">
        <v>755.0</v>
      </c>
      <c r="G2603" s="81" t="s">
        <v>7</v>
      </c>
      <c r="H2603" s="81" t="s">
        <v>4812</v>
      </c>
      <c r="I2603" s="81" t="s">
        <v>4008</v>
      </c>
      <c r="J2603" s="81" t="s">
        <v>224</v>
      </c>
      <c r="K2603" s="81" t="str">
        <f>IFERROR(__xludf.DUMMYFUNCTION("IF(OR(D2603="""",G2603=""""),"""",IFERROR(LET(
campo,XLOOKUP(TRIM(G2603),ARRAYFORMULA(TRIM('indice columnas'!$A$2:$A$100)),'indice columnas'!$B$2:$B$100,""""),
col,IFERROR(MATCH(campo,Referencia!$A$1:$AZ$1,0),0),
fila,IFERROR(MATCH(TO_TEXT(D2603),ARRAYFOR"&amp;"MULA(TO_TEXT(Referencia!$A$2:$A6238)),0),0),
IF(OR(campo="""",campo=""-""),""NO APLICA"",
IF(col=0,""REVISAR EQUIVALENCIA"",
IF(fila=0,""SKU NO ENCONTRADO"",
LET(
valor,INDEX(Referencia!$A$2:$AZ6238,fila,col),
IF(TRIM(TO_TEXT(valor))=TRIM(TO_TEXT(I2603)),"&amp;"
""OK"",
""NO COINCIDE. Valor verdadero: ""&amp;IF(valor="""",""[VACÍO]"",TO_TEXT(valor))
)
))))
),""ERROR EN FÓRMULA""))"),"REVISAR EQUIVALENCIA")</f>
        <v>REVISAR EQUIVALENCIA</v>
      </c>
    </row>
    <row r="2604">
      <c r="A2604" s="83" t="s">
        <v>4078</v>
      </c>
      <c r="B2604" s="83" t="s">
        <v>4079</v>
      </c>
      <c r="C2604" s="81" t="s">
        <v>4086</v>
      </c>
      <c r="D2604" s="83" t="s">
        <v>4815</v>
      </c>
      <c r="E2604" s="81" t="s">
        <v>3882</v>
      </c>
      <c r="F2604" s="84">
        <v>755.0</v>
      </c>
      <c r="G2604" s="81" t="s">
        <v>44</v>
      </c>
      <c r="H2604" s="81" t="s">
        <v>4649</v>
      </c>
      <c r="I2604" s="81" t="s">
        <v>3077</v>
      </c>
      <c r="J2604" s="81" t="s">
        <v>4088</v>
      </c>
      <c r="K2604" s="81" t="str">
        <f>IFERROR(__xludf.DUMMYFUNCTION("IF(OR(D2604="""",G2604=""""),"""",IFERROR(LET(
campo,XLOOKUP(TRIM(G2604),ARRAYFORMULA(TRIM('indice columnas'!$A$2:$A$100)),'indice columnas'!$B$2:$B$100,""""),
col,IFERROR(MATCH(campo,Referencia!$A$1:$AZ$1,0),0),
fila,IFERROR(MATCH(TO_TEXT(D2604),ARRAYFOR"&amp;"MULA(TO_TEXT(Referencia!$A$2:$A6238)),0),0),
IF(OR(campo="""",campo=""-""),""NO APLICA"",
IF(col=0,""REVISAR EQUIVALENCIA"",
IF(fila=0,""SKU NO ENCONTRADO"",
LET(
valor,INDEX(Referencia!$A$2:$AZ6238,fila,col),
IF(TRIM(TO_TEXT(valor))=TRIM(TO_TEXT(I2604)),"&amp;"
""OK"",
""NO COINCIDE. Valor verdadero: ""&amp;IF(valor="""",""[VACÍO]"",TO_TEXT(valor))
)
))))
),""ERROR EN FÓRMULA""))"),"NO APLICA")</f>
        <v>NO APLICA</v>
      </c>
    </row>
    <row r="2605">
      <c r="A2605" s="83" t="s">
        <v>4078</v>
      </c>
      <c r="B2605" s="83" t="s">
        <v>4079</v>
      </c>
      <c r="C2605" s="81" t="s">
        <v>4086</v>
      </c>
      <c r="D2605" s="83" t="s">
        <v>4816</v>
      </c>
      <c r="E2605" s="81" t="s">
        <v>3885</v>
      </c>
      <c r="F2605" s="84">
        <v>756.0</v>
      </c>
      <c r="G2605" s="81" t="s">
        <v>44</v>
      </c>
      <c r="H2605" s="81" t="s">
        <v>4817</v>
      </c>
      <c r="I2605" s="81" t="s">
        <v>3077</v>
      </c>
      <c r="J2605" s="81" t="s">
        <v>4088</v>
      </c>
      <c r="K2605" s="81" t="str">
        <f>IFERROR(__xludf.DUMMYFUNCTION("IF(OR(D2605="""",G2605=""""),"""",IFERROR(LET(
campo,XLOOKUP(TRIM(G2605),ARRAYFORMULA(TRIM('indice columnas'!$A$2:$A$100)),'indice columnas'!$B$2:$B$100,""""),
col,IFERROR(MATCH(campo,Referencia!$A$1:$AZ$1,0),0),
fila,IFERROR(MATCH(TO_TEXT(D2605),ARRAYFOR"&amp;"MULA(TO_TEXT(Referencia!$A$2:$A6238)),0),0),
IF(OR(campo="""",campo=""-""),""NO APLICA"",
IF(col=0,""REVISAR EQUIVALENCIA"",
IF(fila=0,""SKU NO ENCONTRADO"",
LET(
valor,INDEX(Referencia!$A$2:$AZ6238,fila,col),
IF(TRIM(TO_TEXT(valor))=TRIM(TO_TEXT(I2605)),"&amp;"
""OK"",
""NO COINCIDE. Valor verdadero: ""&amp;IF(valor="""",""[VACÍO]"",TO_TEXT(valor))
)
))))
),""ERROR EN FÓRMULA""))"),"NO APLICA")</f>
        <v>NO APLICA</v>
      </c>
    </row>
    <row r="2606">
      <c r="A2606" s="83" t="s">
        <v>4078</v>
      </c>
      <c r="B2606" s="83" t="s">
        <v>4079</v>
      </c>
      <c r="C2606" s="81" t="s">
        <v>4086</v>
      </c>
      <c r="D2606" s="83" t="s">
        <v>4816</v>
      </c>
      <c r="E2606" s="81" t="s">
        <v>3895</v>
      </c>
      <c r="F2606" s="84">
        <v>757.0</v>
      </c>
      <c r="G2606" s="81" t="s">
        <v>7</v>
      </c>
      <c r="H2606" s="81" t="s">
        <v>4812</v>
      </c>
      <c r="I2606" s="81" t="s">
        <v>4008</v>
      </c>
      <c r="J2606" s="81" t="s">
        <v>224</v>
      </c>
      <c r="K2606" s="81" t="str">
        <f>IFERROR(__xludf.DUMMYFUNCTION("IF(OR(D2606="""",G2606=""""),"""",IFERROR(LET(
campo,XLOOKUP(TRIM(G2606),ARRAYFORMULA(TRIM('indice columnas'!$A$2:$A$100)),'indice columnas'!$B$2:$B$100,""""),
col,IFERROR(MATCH(campo,Referencia!$A$1:$AZ$1,0),0),
fila,IFERROR(MATCH(TO_TEXT(D2606),ARRAYFOR"&amp;"MULA(TO_TEXT(Referencia!$A$2:$A6238)),0),0),
IF(OR(campo="""",campo=""-""),""NO APLICA"",
IF(col=0,""REVISAR EQUIVALENCIA"",
IF(fila=0,""SKU NO ENCONTRADO"",
LET(
valor,INDEX(Referencia!$A$2:$AZ6238,fila,col),
IF(TRIM(TO_TEXT(valor))=TRIM(TO_TEXT(I2606)),"&amp;"
""OK"",
""NO COINCIDE. Valor verdadero: ""&amp;IF(valor="""",""[VACÍO]"",TO_TEXT(valor))
)
))))
),""ERROR EN FÓRMULA""))"),"REVISAR EQUIVALENCIA")</f>
        <v>REVISAR EQUIVALENCIA</v>
      </c>
    </row>
    <row r="2607">
      <c r="A2607" s="83" t="s">
        <v>4078</v>
      </c>
      <c r="B2607" s="83" t="s">
        <v>4079</v>
      </c>
      <c r="C2607" s="81" t="s">
        <v>4086</v>
      </c>
      <c r="D2607" s="83" t="s">
        <v>4816</v>
      </c>
      <c r="E2607" s="81" t="s">
        <v>3895</v>
      </c>
      <c r="F2607" s="84">
        <v>757.0</v>
      </c>
      <c r="G2607" s="81" t="s">
        <v>44</v>
      </c>
      <c r="H2607" s="81" t="s">
        <v>4817</v>
      </c>
      <c r="I2607" s="81" t="s">
        <v>3077</v>
      </c>
      <c r="J2607" s="81" t="s">
        <v>4088</v>
      </c>
      <c r="K2607" s="81" t="str">
        <f>IFERROR(__xludf.DUMMYFUNCTION("IF(OR(D2607="""",G2607=""""),"""",IFERROR(LET(
campo,XLOOKUP(TRIM(G2607),ARRAYFORMULA(TRIM('indice columnas'!$A$2:$A$100)),'indice columnas'!$B$2:$B$100,""""),
col,IFERROR(MATCH(campo,Referencia!$A$1:$AZ$1,0),0),
fila,IFERROR(MATCH(TO_TEXT(D2607),ARRAYFOR"&amp;"MULA(TO_TEXT(Referencia!$A$2:$A6238)),0),0),
IF(OR(campo="""",campo=""-""),""NO APLICA"",
IF(col=0,""REVISAR EQUIVALENCIA"",
IF(fila=0,""SKU NO ENCONTRADO"",
LET(
valor,INDEX(Referencia!$A$2:$AZ6238,fila,col),
IF(TRIM(TO_TEXT(valor))=TRIM(TO_TEXT(I2607)),"&amp;"
""OK"",
""NO COINCIDE. Valor verdadero: ""&amp;IF(valor="""",""[VACÍO]"",TO_TEXT(valor))
)
))))
),""ERROR EN FÓRMULA""))"),"NO APLICA")</f>
        <v>NO APLICA</v>
      </c>
    </row>
    <row r="2608">
      <c r="A2608" s="83" t="s">
        <v>4078</v>
      </c>
      <c r="B2608" s="83" t="s">
        <v>4079</v>
      </c>
      <c r="C2608" s="81" t="s">
        <v>4086</v>
      </c>
      <c r="D2608" s="83" t="s">
        <v>4818</v>
      </c>
      <c r="E2608" s="81" t="s">
        <v>3896</v>
      </c>
      <c r="F2608" s="84">
        <v>758.0</v>
      </c>
      <c r="G2608" s="81" t="s">
        <v>7</v>
      </c>
      <c r="H2608" s="81" t="s">
        <v>4812</v>
      </c>
      <c r="I2608" s="81" t="s">
        <v>4008</v>
      </c>
      <c r="J2608" s="81" t="s">
        <v>224</v>
      </c>
      <c r="K2608" s="81" t="str">
        <f>IFERROR(__xludf.DUMMYFUNCTION("IF(OR(D2608="""",G2608=""""),"""",IFERROR(LET(
campo,XLOOKUP(TRIM(G2608),ARRAYFORMULA(TRIM('indice columnas'!$A$2:$A$100)),'indice columnas'!$B$2:$B$100,""""),
col,IFERROR(MATCH(campo,Referencia!$A$1:$AZ$1,0),0),
fila,IFERROR(MATCH(TO_TEXT(D2608),ARRAYFOR"&amp;"MULA(TO_TEXT(Referencia!$A$2:$A6238)),0),0),
IF(OR(campo="""",campo=""-""),""NO APLICA"",
IF(col=0,""REVISAR EQUIVALENCIA"",
IF(fila=0,""SKU NO ENCONTRADO"",
LET(
valor,INDEX(Referencia!$A$2:$AZ6238,fila,col),
IF(TRIM(TO_TEXT(valor))=TRIM(TO_TEXT(I2608)),"&amp;"
""OK"",
""NO COINCIDE. Valor verdadero: ""&amp;IF(valor="""",""[VACÍO]"",TO_TEXT(valor))
)
))))
),""ERROR EN FÓRMULA""))"),"REVISAR EQUIVALENCIA")</f>
        <v>REVISAR EQUIVALENCIA</v>
      </c>
    </row>
    <row r="2609">
      <c r="A2609" s="83" t="s">
        <v>4078</v>
      </c>
      <c r="B2609" s="83" t="s">
        <v>4079</v>
      </c>
      <c r="C2609" s="81" t="s">
        <v>4086</v>
      </c>
      <c r="D2609" s="83" t="s">
        <v>4818</v>
      </c>
      <c r="E2609" s="81" t="s">
        <v>3896</v>
      </c>
      <c r="F2609" s="84">
        <v>758.0</v>
      </c>
      <c r="G2609" s="81" t="s">
        <v>44</v>
      </c>
      <c r="H2609" s="81" t="s">
        <v>4817</v>
      </c>
      <c r="I2609" s="81" t="s">
        <v>3077</v>
      </c>
      <c r="J2609" s="81" t="s">
        <v>4088</v>
      </c>
      <c r="K2609" s="81" t="str">
        <f>IFERROR(__xludf.DUMMYFUNCTION("IF(OR(D2609="""",G2609=""""),"""",IFERROR(LET(
campo,XLOOKUP(TRIM(G2609),ARRAYFORMULA(TRIM('indice columnas'!$A$2:$A$100)),'indice columnas'!$B$2:$B$100,""""),
col,IFERROR(MATCH(campo,Referencia!$A$1:$AZ$1,0),0),
fila,IFERROR(MATCH(TO_TEXT(D2609),ARRAYFOR"&amp;"MULA(TO_TEXT(Referencia!$A$2:$A6238)),0),0),
IF(OR(campo="""",campo=""-""),""NO APLICA"",
IF(col=0,""REVISAR EQUIVALENCIA"",
IF(fila=0,""SKU NO ENCONTRADO"",
LET(
valor,INDEX(Referencia!$A$2:$AZ6238,fila,col),
IF(TRIM(TO_TEXT(valor))=TRIM(TO_TEXT(I2609)),"&amp;"
""OK"",
""NO COINCIDE. Valor verdadero: ""&amp;IF(valor="""",""[VACÍO]"",TO_TEXT(valor))
)
))))
),""ERROR EN FÓRMULA""))"),"NO APLICA")</f>
        <v>NO APLICA</v>
      </c>
    </row>
    <row r="2610">
      <c r="A2610" s="83" t="s">
        <v>4078</v>
      </c>
      <c r="B2610" s="83" t="s">
        <v>4079</v>
      </c>
      <c r="C2610" s="81" t="s">
        <v>4086</v>
      </c>
      <c r="D2610" s="83" t="s">
        <v>4776</v>
      </c>
      <c r="E2610" s="81" t="s">
        <v>3899</v>
      </c>
      <c r="F2610" s="84">
        <v>759.0</v>
      </c>
      <c r="G2610" s="81" t="s">
        <v>7</v>
      </c>
      <c r="H2610" s="81" t="s">
        <v>3623</v>
      </c>
      <c r="I2610" s="81" t="s">
        <v>1134</v>
      </c>
      <c r="J2610" s="81" t="s">
        <v>224</v>
      </c>
      <c r="K2610" s="81" t="str">
        <f>IFERROR(__xludf.DUMMYFUNCTION("IF(OR(D2610="""",G2610=""""),"""",IFERROR(LET(
campo,XLOOKUP(TRIM(G2610),ARRAYFORMULA(TRIM('indice columnas'!$A$2:$A$100)),'indice columnas'!$B$2:$B$100,""""),
col,IFERROR(MATCH(campo,Referencia!$A$1:$AZ$1,0),0),
fila,IFERROR(MATCH(TO_TEXT(D2610),ARRAYFOR"&amp;"MULA(TO_TEXT(Referencia!$A$2:$A6238)),0),0),
IF(OR(campo="""",campo=""-""),""NO APLICA"",
IF(col=0,""REVISAR EQUIVALENCIA"",
IF(fila=0,""SKU NO ENCONTRADO"",
LET(
valor,INDEX(Referencia!$A$2:$AZ6238,fila,col),
IF(TRIM(TO_TEXT(valor))=TRIM(TO_TEXT(I2610)),"&amp;"
""OK"",
""NO COINCIDE. Valor verdadero: ""&amp;IF(valor="""",""[VACÍO]"",TO_TEXT(valor))
)
))))
),""ERROR EN FÓRMULA""))"),"REVISAR EQUIVALENCIA")</f>
        <v>REVISAR EQUIVALENCIA</v>
      </c>
    </row>
    <row r="2611">
      <c r="A2611" s="83" t="s">
        <v>4078</v>
      </c>
      <c r="B2611" s="83" t="s">
        <v>4079</v>
      </c>
      <c r="C2611" s="81" t="s">
        <v>4086</v>
      </c>
      <c r="D2611" s="83" t="s">
        <v>4776</v>
      </c>
      <c r="E2611" s="81" t="s">
        <v>3899</v>
      </c>
      <c r="F2611" s="84">
        <v>759.0</v>
      </c>
      <c r="G2611" s="81" t="s">
        <v>12</v>
      </c>
      <c r="H2611" s="81" t="s">
        <v>224</v>
      </c>
      <c r="I2611" s="81" t="s">
        <v>1549</v>
      </c>
      <c r="J2611" s="81" t="s">
        <v>224</v>
      </c>
      <c r="K2611" s="81" t="str">
        <f>IFERROR(__xludf.DUMMYFUNCTION("IF(OR(D2611="""",G2611=""""),"""",IFERROR(LET(
campo,XLOOKUP(TRIM(G2611),ARRAYFORMULA(TRIM('indice columnas'!$A$2:$A$100)),'indice columnas'!$B$2:$B$100,""""),
col,IFERROR(MATCH(campo,Referencia!$A$1:$AZ$1,0),0),
fila,IFERROR(MATCH(TO_TEXT(D2611),ARRAYFOR"&amp;"MULA(TO_TEXT(Referencia!$A$2:$A6238)),0),0),
IF(OR(campo="""",campo=""-""),""NO APLICA"",
IF(col=0,""REVISAR EQUIVALENCIA"",
IF(fila=0,""SKU NO ENCONTRADO"",
LET(
valor,INDEX(Referencia!$A$2:$AZ6238,fila,col),
IF(TRIM(TO_TEXT(valor))=TRIM(TO_TEXT(I2611)),"&amp;"
""OK"",
""NO COINCIDE. Valor verdadero: ""&amp;IF(valor="""",""[VACÍO]"",TO_TEXT(valor))
)
))))
),""ERROR EN FÓRMULA""))"),"OK")</f>
        <v>OK</v>
      </c>
    </row>
    <row r="2612">
      <c r="A2612" s="83" t="s">
        <v>4078</v>
      </c>
      <c r="B2612" s="83" t="s">
        <v>4079</v>
      </c>
      <c r="C2612" s="81" t="s">
        <v>4086</v>
      </c>
      <c r="D2612" s="83" t="s">
        <v>4776</v>
      </c>
      <c r="E2612" s="81" t="s">
        <v>3899</v>
      </c>
      <c r="F2612" s="84">
        <v>759.0</v>
      </c>
      <c r="G2612" s="81" t="s">
        <v>44</v>
      </c>
      <c r="H2612" s="81" t="s">
        <v>224</v>
      </c>
      <c r="I2612" s="81" t="s">
        <v>3688</v>
      </c>
      <c r="J2612" s="81" t="s">
        <v>4088</v>
      </c>
      <c r="K2612" s="81" t="str">
        <f>IFERROR(__xludf.DUMMYFUNCTION("IF(OR(D2612="""",G2612=""""),"""",IFERROR(LET(
campo,XLOOKUP(TRIM(G2612),ARRAYFORMULA(TRIM('indice columnas'!$A$2:$A$100)),'indice columnas'!$B$2:$B$100,""""),
col,IFERROR(MATCH(campo,Referencia!$A$1:$AZ$1,0),0),
fila,IFERROR(MATCH(TO_TEXT(D2612),ARRAYFOR"&amp;"MULA(TO_TEXT(Referencia!$A$2:$A6238)),0),0),
IF(OR(campo="""",campo=""-""),""NO APLICA"",
IF(col=0,""REVISAR EQUIVALENCIA"",
IF(fila=0,""SKU NO ENCONTRADO"",
LET(
valor,INDEX(Referencia!$A$2:$AZ6238,fila,col),
IF(TRIM(TO_TEXT(valor))=TRIM(TO_TEXT(I2612)),"&amp;"
""OK"",
""NO COINCIDE. Valor verdadero: ""&amp;IF(valor="""",""[VACÍO]"",TO_TEXT(valor))
)
))))
),""ERROR EN FÓRMULA""))"),"NO APLICA")</f>
        <v>NO APLICA</v>
      </c>
    </row>
    <row r="2613">
      <c r="A2613" s="83" t="s">
        <v>4078</v>
      </c>
      <c r="B2613" s="83" t="s">
        <v>4079</v>
      </c>
      <c r="C2613" s="81" t="s">
        <v>4086</v>
      </c>
      <c r="D2613" s="83" t="s">
        <v>4819</v>
      </c>
      <c r="E2613" s="81" t="s">
        <v>3900</v>
      </c>
      <c r="F2613" s="84">
        <v>760.0</v>
      </c>
      <c r="G2613" s="81" t="s">
        <v>7</v>
      </c>
      <c r="H2613" s="81" t="s">
        <v>3623</v>
      </c>
      <c r="I2613" s="81" t="s">
        <v>1134</v>
      </c>
      <c r="J2613" s="81" t="s">
        <v>224</v>
      </c>
      <c r="K2613" s="81" t="str">
        <f>IFERROR(__xludf.DUMMYFUNCTION("IF(OR(D2613="""",G2613=""""),"""",IFERROR(LET(
campo,XLOOKUP(TRIM(G2613),ARRAYFORMULA(TRIM('indice columnas'!$A$2:$A$100)),'indice columnas'!$B$2:$B$100,""""),
col,IFERROR(MATCH(campo,Referencia!$A$1:$AZ$1,0),0),
fila,IFERROR(MATCH(TO_TEXT(D2613),ARRAYFOR"&amp;"MULA(TO_TEXT(Referencia!$A$2:$A6238)),0),0),
IF(OR(campo="""",campo=""-""),""NO APLICA"",
IF(col=0,""REVISAR EQUIVALENCIA"",
IF(fila=0,""SKU NO ENCONTRADO"",
LET(
valor,INDEX(Referencia!$A$2:$AZ6238,fila,col),
IF(TRIM(TO_TEXT(valor))=TRIM(TO_TEXT(I2613)),"&amp;"
""OK"",
""NO COINCIDE. Valor verdadero: ""&amp;IF(valor="""",""[VACÍO]"",TO_TEXT(valor))
)
))))
),""ERROR EN FÓRMULA""))"),"REVISAR EQUIVALENCIA")</f>
        <v>REVISAR EQUIVALENCIA</v>
      </c>
    </row>
    <row r="2614">
      <c r="A2614" s="83" t="s">
        <v>4078</v>
      </c>
      <c r="B2614" s="83" t="s">
        <v>4079</v>
      </c>
      <c r="C2614" s="81" t="s">
        <v>4086</v>
      </c>
      <c r="D2614" s="83" t="s">
        <v>4819</v>
      </c>
      <c r="E2614" s="81" t="s">
        <v>3900</v>
      </c>
      <c r="F2614" s="84">
        <v>760.0</v>
      </c>
      <c r="G2614" s="81" t="s">
        <v>12</v>
      </c>
      <c r="H2614" s="81" t="s">
        <v>224</v>
      </c>
      <c r="I2614" s="81" t="s">
        <v>1549</v>
      </c>
      <c r="J2614" s="81" t="s">
        <v>224</v>
      </c>
      <c r="K2614" s="81" t="str">
        <f>IFERROR(__xludf.DUMMYFUNCTION("IF(OR(D2614="""",G2614=""""),"""",IFERROR(LET(
campo,XLOOKUP(TRIM(G2614),ARRAYFORMULA(TRIM('indice columnas'!$A$2:$A$100)),'indice columnas'!$B$2:$B$100,""""),
col,IFERROR(MATCH(campo,Referencia!$A$1:$AZ$1,0),0),
fila,IFERROR(MATCH(TO_TEXT(D2614),ARRAYFOR"&amp;"MULA(TO_TEXT(Referencia!$A$2:$A6238)),0),0),
IF(OR(campo="""",campo=""-""),""NO APLICA"",
IF(col=0,""REVISAR EQUIVALENCIA"",
IF(fila=0,""SKU NO ENCONTRADO"",
LET(
valor,INDEX(Referencia!$A$2:$AZ6238,fila,col),
IF(TRIM(TO_TEXT(valor))=TRIM(TO_TEXT(I2614)),"&amp;"
""OK"",
""NO COINCIDE. Valor verdadero: ""&amp;IF(valor="""",""[VACÍO]"",TO_TEXT(valor))
)
))))
),""ERROR EN FÓRMULA""))"),"OK")</f>
        <v>OK</v>
      </c>
    </row>
    <row r="2615">
      <c r="A2615" s="83" t="s">
        <v>4078</v>
      </c>
      <c r="B2615" s="83" t="s">
        <v>4079</v>
      </c>
      <c r="C2615" s="81" t="s">
        <v>4086</v>
      </c>
      <c r="D2615" s="83" t="s">
        <v>4819</v>
      </c>
      <c r="E2615" s="81" t="s">
        <v>3900</v>
      </c>
      <c r="F2615" s="84">
        <v>760.0</v>
      </c>
      <c r="G2615" s="81" t="s">
        <v>44</v>
      </c>
      <c r="H2615" s="81" t="s">
        <v>224</v>
      </c>
      <c r="I2615" s="81" t="s">
        <v>3688</v>
      </c>
      <c r="J2615" s="81" t="s">
        <v>4088</v>
      </c>
      <c r="K2615" s="81" t="str">
        <f>IFERROR(__xludf.DUMMYFUNCTION("IF(OR(D2615="""",G2615=""""),"""",IFERROR(LET(
campo,XLOOKUP(TRIM(G2615),ARRAYFORMULA(TRIM('indice columnas'!$A$2:$A$100)),'indice columnas'!$B$2:$B$100,""""),
col,IFERROR(MATCH(campo,Referencia!$A$1:$AZ$1,0),0),
fila,IFERROR(MATCH(TO_TEXT(D2615),ARRAYFOR"&amp;"MULA(TO_TEXT(Referencia!$A$2:$A6238)),0),0),
IF(OR(campo="""",campo=""-""),""NO APLICA"",
IF(col=0,""REVISAR EQUIVALENCIA"",
IF(fila=0,""SKU NO ENCONTRADO"",
LET(
valor,INDEX(Referencia!$A$2:$AZ6238,fila,col),
IF(TRIM(TO_TEXT(valor))=TRIM(TO_TEXT(I2615)),"&amp;"
""OK"",
""NO COINCIDE. Valor verdadero: ""&amp;IF(valor="""",""[VACÍO]"",TO_TEXT(valor))
)
))))
),""ERROR EN FÓRMULA""))"),"NO APLICA")</f>
        <v>NO APLICA</v>
      </c>
    </row>
    <row r="2616">
      <c r="A2616" s="83" t="s">
        <v>4078</v>
      </c>
      <c r="B2616" s="83" t="s">
        <v>4079</v>
      </c>
      <c r="C2616" s="81" t="s">
        <v>4086</v>
      </c>
      <c r="D2616" s="83" t="s">
        <v>4820</v>
      </c>
      <c r="E2616" s="81" t="s">
        <v>3903</v>
      </c>
      <c r="F2616" s="84">
        <v>761.0</v>
      </c>
      <c r="G2616" s="81" t="s">
        <v>7</v>
      </c>
      <c r="H2616" s="81" t="s">
        <v>3623</v>
      </c>
      <c r="I2616" s="81" t="s">
        <v>1134</v>
      </c>
      <c r="J2616" s="81" t="s">
        <v>224</v>
      </c>
      <c r="K2616" s="81" t="str">
        <f>IFERROR(__xludf.DUMMYFUNCTION("IF(OR(D2616="""",G2616=""""),"""",IFERROR(LET(
campo,XLOOKUP(TRIM(G2616),ARRAYFORMULA(TRIM('indice columnas'!$A$2:$A$100)),'indice columnas'!$B$2:$B$100,""""),
col,IFERROR(MATCH(campo,Referencia!$A$1:$AZ$1,0),0),
fila,IFERROR(MATCH(TO_TEXT(D2616),ARRAYFOR"&amp;"MULA(TO_TEXT(Referencia!$A$2:$A6238)),0),0),
IF(OR(campo="""",campo=""-""),""NO APLICA"",
IF(col=0,""REVISAR EQUIVALENCIA"",
IF(fila=0,""SKU NO ENCONTRADO"",
LET(
valor,INDEX(Referencia!$A$2:$AZ6238,fila,col),
IF(TRIM(TO_TEXT(valor))=TRIM(TO_TEXT(I2616)),"&amp;"
""OK"",
""NO COINCIDE. Valor verdadero: ""&amp;IF(valor="""",""[VACÍO]"",TO_TEXT(valor))
)
))))
),""ERROR EN FÓRMULA""))"),"REVISAR EQUIVALENCIA")</f>
        <v>REVISAR EQUIVALENCIA</v>
      </c>
    </row>
    <row r="2617">
      <c r="A2617" s="83" t="s">
        <v>4078</v>
      </c>
      <c r="B2617" s="83" t="s">
        <v>4079</v>
      </c>
      <c r="C2617" s="81" t="s">
        <v>4086</v>
      </c>
      <c r="D2617" s="83" t="s">
        <v>4820</v>
      </c>
      <c r="E2617" s="81" t="s">
        <v>3903</v>
      </c>
      <c r="F2617" s="84">
        <v>761.0</v>
      </c>
      <c r="G2617" s="81" t="s">
        <v>12</v>
      </c>
      <c r="H2617" s="81" t="s">
        <v>224</v>
      </c>
      <c r="I2617" s="81" t="s">
        <v>1549</v>
      </c>
      <c r="J2617" s="81" t="s">
        <v>224</v>
      </c>
      <c r="K2617" s="81" t="str">
        <f>IFERROR(__xludf.DUMMYFUNCTION("IF(OR(D2617="""",G2617=""""),"""",IFERROR(LET(
campo,XLOOKUP(TRIM(G2617),ARRAYFORMULA(TRIM('indice columnas'!$A$2:$A$100)),'indice columnas'!$B$2:$B$100,""""),
col,IFERROR(MATCH(campo,Referencia!$A$1:$AZ$1,0),0),
fila,IFERROR(MATCH(TO_TEXT(D2617),ARRAYFOR"&amp;"MULA(TO_TEXT(Referencia!$A$2:$A6238)),0),0),
IF(OR(campo="""",campo=""-""),""NO APLICA"",
IF(col=0,""REVISAR EQUIVALENCIA"",
IF(fila=0,""SKU NO ENCONTRADO"",
LET(
valor,INDEX(Referencia!$A$2:$AZ6238,fila,col),
IF(TRIM(TO_TEXT(valor))=TRIM(TO_TEXT(I2617)),"&amp;"
""OK"",
""NO COINCIDE. Valor verdadero: ""&amp;IF(valor="""",""[VACÍO]"",TO_TEXT(valor))
)
))))
),""ERROR EN FÓRMULA""))"),"OK")</f>
        <v>OK</v>
      </c>
    </row>
    <row r="2618">
      <c r="A2618" s="83" t="s">
        <v>4078</v>
      </c>
      <c r="B2618" s="83" t="s">
        <v>4079</v>
      </c>
      <c r="C2618" s="81" t="s">
        <v>4086</v>
      </c>
      <c r="D2618" s="83" t="s">
        <v>4820</v>
      </c>
      <c r="E2618" s="81" t="s">
        <v>3903</v>
      </c>
      <c r="F2618" s="84">
        <v>761.0</v>
      </c>
      <c r="G2618" s="81" t="s">
        <v>44</v>
      </c>
      <c r="H2618" s="81" t="s">
        <v>224</v>
      </c>
      <c r="I2618" s="81" t="s">
        <v>3688</v>
      </c>
      <c r="J2618" s="81" t="s">
        <v>4088</v>
      </c>
      <c r="K2618" s="81" t="str">
        <f>IFERROR(__xludf.DUMMYFUNCTION("IF(OR(D2618="""",G2618=""""),"""",IFERROR(LET(
campo,XLOOKUP(TRIM(G2618),ARRAYFORMULA(TRIM('indice columnas'!$A$2:$A$100)),'indice columnas'!$B$2:$B$100,""""),
col,IFERROR(MATCH(campo,Referencia!$A$1:$AZ$1,0),0),
fila,IFERROR(MATCH(TO_TEXT(D2618),ARRAYFOR"&amp;"MULA(TO_TEXT(Referencia!$A$2:$A6238)),0),0),
IF(OR(campo="""",campo=""-""),""NO APLICA"",
IF(col=0,""REVISAR EQUIVALENCIA"",
IF(fila=0,""SKU NO ENCONTRADO"",
LET(
valor,INDEX(Referencia!$A$2:$AZ6238,fila,col),
IF(TRIM(TO_TEXT(valor))=TRIM(TO_TEXT(I2618)),"&amp;"
""OK"",
""NO COINCIDE. Valor verdadero: ""&amp;IF(valor="""",""[VACÍO]"",TO_TEXT(valor))
)
))))
),""ERROR EN FÓRMULA""))"),"NO APLICA")</f>
        <v>NO APLICA</v>
      </c>
    </row>
    <row r="2619">
      <c r="A2619" s="83" t="s">
        <v>4078</v>
      </c>
      <c r="B2619" s="83" t="s">
        <v>4079</v>
      </c>
      <c r="C2619" s="81" t="s">
        <v>4086</v>
      </c>
      <c r="D2619" s="83" t="s">
        <v>4821</v>
      </c>
      <c r="E2619" s="81" t="s">
        <v>3906</v>
      </c>
      <c r="F2619" s="84">
        <v>762.0</v>
      </c>
      <c r="G2619" s="81" t="s">
        <v>7</v>
      </c>
      <c r="H2619" s="81" t="s">
        <v>3623</v>
      </c>
      <c r="I2619" s="81" t="s">
        <v>1134</v>
      </c>
      <c r="J2619" s="81" t="s">
        <v>224</v>
      </c>
      <c r="K2619" s="81" t="str">
        <f>IFERROR(__xludf.DUMMYFUNCTION("IF(OR(D2619="""",G2619=""""),"""",IFERROR(LET(
campo,XLOOKUP(TRIM(G2619),ARRAYFORMULA(TRIM('indice columnas'!$A$2:$A$100)),'indice columnas'!$B$2:$B$100,""""),
col,IFERROR(MATCH(campo,Referencia!$A$1:$AZ$1,0),0),
fila,IFERROR(MATCH(TO_TEXT(D2619),ARRAYFOR"&amp;"MULA(TO_TEXT(Referencia!$A$2:$A6238)),0),0),
IF(OR(campo="""",campo=""-""),""NO APLICA"",
IF(col=0,""REVISAR EQUIVALENCIA"",
IF(fila=0,""SKU NO ENCONTRADO"",
LET(
valor,INDEX(Referencia!$A$2:$AZ6238,fila,col),
IF(TRIM(TO_TEXT(valor))=TRIM(TO_TEXT(I2619)),"&amp;"
""OK"",
""NO COINCIDE. Valor verdadero: ""&amp;IF(valor="""",""[VACÍO]"",TO_TEXT(valor))
)
))))
),""ERROR EN FÓRMULA""))"),"REVISAR EQUIVALENCIA")</f>
        <v>REVISAR EQUIVALENCIA</v>
      </c>
    </row>
    <row r="2620">
      <c r="A2620" s="83" t="s">
        <v>4078</v>
      </c>
      <c r="B2620" s="83" t="s">
        <v>4079</v>
      </c>
      <c r="C2620" s="81" t="s">
        <v>4086</v>
      </c>
      <c r="D2620" s="83" t="s">
        <v>4821</v>
      </c>
      <c r="E2620" s="81" t="s">
        <v>3906</v>
      </c>
      <c r="F2620" s="84">
        <v>762.0</v>
      </c>
      <c r="G2620" s="81" t="s">
        <v>12</v>
      </c>
      <c r="H2620" s="81" t="s">
        <v>224</v>
      </c>
      <c r="I2620" s="81" t="s">
        <v>1549</v>
      </c>
      <c r="J2620" s="81" t="s">
        <v>224</v>
      </c>
      <c r="K2620" s="81" t="str">
        <f>IFERROR(__xludf.DUMMYFUNCTION("IF(OR(D2620="""",G2620=""""),"""",IFERROR(LET(
campo,XLOOKUP(TRIM(G2620),ARRAYFORMULA(TRIM('indice columnas'!$A$2:$A$100)),'indice columnas'!$B$2:$B$100,""""),
col,IFERROR(MATCH(campo,Referencia!$A$1:$AZ$1,0),0),
fila,IFERROR(MATCH(TO_TEXT(D2620),ARRAYFOR"&amp;"MULA(TO_TEXT(Referencia!$A$2:$A6238)),0),0),
IF(OR(campo="""",campo=""-""),""NO APLICA"",
IF(col=0,""REVISAR EQUIVALENCIA"",
IF(fila=0,""SKU NO ENCONTRADO"",
LET(
valor,INDEX(Referencia!$A$2:$AZ6238,fila,col),
IF(TRIM(TO_TEXT(valor))=TRIM(TO_TEXT(I2620)),"&amp;"
""OK"",
""NO COINCIDE. Valor verdadero: ""&amp;IF(valor="""",""[VACÍO]"",TO_TEXT(valor))
)
))))
),""ERROR EN FÓRMULA""))"),"OK")</f>
        <v>OK</v>
      </c>
    </row>
    <row r="2621">
      <c r="A2621" s="83" t="s">
        <v>4078</v>
      </c>
      <c r="B2621" s="83" t="s">
        <v>4079</v>
      </c>
      <c r="C2621" s="81" t="s">
        <v>4086</v>
      </c>
      <c r="D2621" s="83" t="s">
        <v>4821</v>
      </c>
      <c r="E2621" s="81" t="s">
        <v>3906</v>
      </c>
      <c r="F2621" s="84">
        <v>762.0</v>
      </c>
      <c r="G2621" s="81" t="s">
        <v>44</v>
      </c>
      <c r="H2621" s="81" t="s">
        <v>224</v>
      </c>
      <c r="I2621" s="81" t="s">
        <v>3688</v>
      </c>
      <c r="J2621" s="81" t="s">
        <v>4088</v>
      </c>
      <c r="K2621" s="81" t="str">
        <f>IFERROR(__xludf.DUMMYFUNCTION("IF(OR(D2621="""",G2621=""""),"""",IFERROR(LET(
campo,XLOOKUP(TRIM(G2621),ARRAYFORMULA(TRIM('indice columnas'!$A$2:$A$100)),'indice columnas'!$B$2:$B$100,""""),
col,IFERROR(MATCH(campo,Referencia!$A$1:$AZ$1,0),0),
fila,IFERROR(MATCH(TO_TEXT(D2621),ARRAYFOR"&amp;"MULA(TO_TEXT(Referencia!$A$2:$A6238)),0),0),
IF(OR(campo="""",campo=""-""),""NO APLICA"",
IF(col=0,""REVISAR EQUIVALENCIA"",
IF(fila=0,""SKU NO ENCONTRADO"",
LET(
valor,INDEX(Referencia!$A$2:$AZ6238,fila,col),
IF(TRIM(TO_TEXT(valor))=TRIM(TO_TEXT(I2621)),"&amp;"
""OK"",
""NO COINCIDE. Valor verdadero: ""&amp;IF(valor="""",""[VACÍO]"",TO_TEXT(valor))
)
))))
),""ERROR EN FÓRMULA""))"),"NO APLICA")</f>
        <v>NO APLICA</v>
      </c>
    </row>
    <row r="2622">
      <c r="A2622" s="83" t="s">
        <v>4078</v>
      </c>
      <c r="B2622" s="83" t="s">
        <v>4079</v>
      </c>
      <c r="C2622" s="81" t="s">
        <v>4086</v>
      </c>
      <c r="D2622" s="83" t="s">
        <v>4822</v>
      </c>
      <c r="E2622" s="81" t="s">
        <v>3909</v>
      </c>
      <c r="F2622" s="84">
        <v>763.0</v>
      </c>
      <c r="G2622" s="81" t="s">
        <v>44</v>
      </c>
      <c r="H2622" s="81" t="s">
        <v>224</v>
      </c>
      <c r="I2622" s="81" t="s">
        <v>3909</v>
      </c>
      <c r="J2622" s="81" t="s">
        <v>4088</v>
      </c>
      <c r="K2622" s="81" t="str">
        <f>IFERROR(__xludf.DUMMYFUNCTION("IF(OR(D2622="""",G2622=""""),"""",IFERROR(LET(
campo,XLOOKUP(TRIM(G2622),ARRAYFORMULA(TRIM('indice columnas'!$A$2:$A$100)),'indice columnas'!$B$2:$B$100,""""),
col,IFERROR(MATCH(campo,Referencia!$A$1:$AZ$1,0),0),
fila,IFERROR(MATCH(TO_TEXT(D2622),ARRAYFOR"&amp;"MULA(TO_TEXT(Referencia!$A$2:$A6238)),0),0),
IF(OR(campo="""",campo=""-""),""NO APLICA"",
IF(col=0,""REVISAR EQUIVALENCIA"",
IF(fila=0,""SKU NO ENCONTRADO"",
LET(
valor,INDEX(Referencia!$A$2:$AZ6238,fila,col),
IF(TRIM(TO_TEXT(valor))=TRIM(TO_TEXT(I2622)),"&amp;"
""OK"",
""NO COINCIDE. Valor verdadero: ""&amp;IF(valor="""",""[VACÍO]"",TO_TEXT(valor))
)
))))
),""ERROR EN FÓRMULA""))"),"NO APLICA")</f>
        <v>NO APLICA</v>
      </c>
    </row>
    <row r="2623">
      <c r="A2623" s="83" t="s">
        <v>4078</v>
      </c>
      <c r="B2623" s="83" t="s">
        <v>4079</v>
      </c>
      <c r="C2623" s="81" t="s">
        <v>4086</v>
      </c>
      <c r="D2623" s="83" t="s">
        <v>4822</v>
      </c>
      <c r="E2623" s="81" t="s">
        <v>3916</v>
      </c>
      <c r="F2623" s="84">
        <v>764.0</v>
      </c>
      <c r="G2623" s="81" t="s">
        <v>7</v>
      </c>
      <c r="H2623" s="81" t="s">
        <v>3623</v>
      </c>
      <c r="I2623" s="81" t="s">
        <v>1134</v>
      </c>
      <c r="J2623" s="81" t="s">
        <v>224</v>
      </c>
      <c r="K2623" s="81" t="str">
        <f>IFERROR(__xludf.DUMMYFUNCTION("IF(OR(D2623="""",G2623=""""),"""",IFERROR(LET(
campo,XLOOKUP(TRIM(G2623),ARRAYFORMULA(TRIM('indice columnas'!$A$2:$A$100)),'indice columnas'!$B$2:$B$100,""""),
col,IFERROR(MATCH(campo,Referencia!$A$1:$AZ$1,0),0),
fila,IFERROR(MATCH(TO_TEXT(D2623),ARRAYFOR"&amp;"MULA(TO_TEXT(Referencia!$A$2:$A6238)),0),0),
IF(OR(campo="""",campo=""-""),""NO APLICA"",
IF(col=0,""REVISAR EQUIVALENCIA"",
IF(fila=0,""SKU NO ENCONTRADO"",
LET(
valor,INDEX(Referencia!$A$2:$AZ6238,fila,col),
IF(TRIM(TO_TEXT(valor))=TRIM(TO_TEXT(I2623)),"&amp;"
""OK"",
""NO COINCIDE. Valor verdadero: ""&amp;IF(valor="""",""[VACÍO]"",TO_TEXT(valor))
)
))))
),""ERROR EN FÓRMULA""))"),"REVISAR EQUIVALENCIA")</f>
        <v>REVISAR EQUIVALENCIA</v>
      </c>
    </row>
    <row r="2624">
      <c r="A2624" s="83" t="s">
        <v>4078</v>
      </c>
      <c r="B2624" s="83" t="s">
        <v>4079</v>
      </c>
      <c r="C2624" s="81" t="s">
        <v>4086</v>
      </c>
      <c r="D2624" s="83" t="s">
        <v>4822</v>
      </c>
      <c r="E2624" s="81" t="s">
        <v>3916</v>
      </c>
      <c r="F2624" s="84">
        <v>764.0</v>
      </c>
      <c r="G2624" s="81" t="s">
        <v>12</v>
      </c>
      <c r="H2624" s="81" t="s">
        <v>224</v>
      </c>
      <c r="I2624" s="81" t="s">
        <v>1549</v>
      </c>
      <c r="J2624" s="81" t="s">
        <v>224</v>
      </c>
      <c r="K2624" s="81" t="str">
        <f>IFERROR(__xludf.DUMMYFUNCTION("IF(OR(D2624="""",G2624=""""),"""",IFERROR(LET(
campo,XLOOKUP(TRIM(G2624),ARRAYFORMULA(TRIM('indice columnas'!$A$2:$A$100)),'indice columnas'!$B$2:$B$100,""""),
col,IFERROR(MATCH(campo,Referencia!$A$1:$AZ$1,0),0),
fila,IFERROR(MATCH(TO_TEXT(D2624),ARRAYFOR"&amp;"MULA(TO_TEXT(Referencia!$A$2:$A6238)),0),0),
IF(OR(campo="""",campo=""-""),""NO APLICA"",
IF(col=0,""REVISAR EQUIVALENCIA"",
IF(fila=0,""SKU NO ENCONTRADO"",
LET(
valor,INDEX(Referencia!$A$2:$AZ6238,fila,col),
IF(TRIM(TO_TEXT(valor))=TRIM(TO_TEXT(I2624)),"&amp;"
""OK"",
""NO COINCIDE. Valor verdadero: ""&amp;IF(valor="""",""[VACÍO]"",TO_TEXT(valor))
)
))))
),""ERROR EN FÓRMULA""))"),"OK")</f>
        <v>OK</v>
      </c>
    </row>
    <row r="2625">
      <c r="A2625" s="83" t="s">
        <v>4078</v>
      </c>
      <c r="B2625" s="83" t="s">
        <v>4079</v>
      </c>
      <c r="C2625" s="81" t="s">
        <v>4086</v>
      </c>
      <c r="D2625" s="83" t="s">
        <v>4822</v>
      </c>
      <c r="E2625" s="81" t="s">
        <v>3916</v>
      </c>
      <c r="F2625" s="84">
        <v>764.0</v>
      </c>
      <c r="G2625" s="81" t="s">
        <v>34</v>
      </c>
      <c r="H2625" s="81" t="s">
        <v>463</v>
      </c>
      <c r="I2625" s="81" t="s">
        <v>112</v>
      </c>
      <c r="J2625" s="81" t="s">
        <v>224</v>
      </c>
      <c r="K2625" s="81" t="str">
        <f>IFERROR(__xludf.DUMMYFUNCTION("IF(OR(D2625="""",G2625=""""),"""",IFERROR(LET(
campo,XLOOKUP(TRIM(G2625),ARRAYFORMULA(TRIM('indice columnas'!$A$2:$A$100)),'indice columnas'!$B$2:$B$100,""""),
col,IFERROR(MATCH(campo,Referencia!$A$1:$AZ$1,0),0),
fila,IFERROR(MATCH(TO_TEXT(D2625),ARRAYFOR"&amp;"MULA(TO_TEXT(Referencia!$A$2:$A6238)),0),0),
IF(OR(campo="""",campo=""-""),""NO APLICA"",
IF(col=0,""REVISAR EQUIVALENCIA"",
IF(fila=0,""SKU NO ENCONTRADO"",
LET(
valor,INDEX(Referencia!$A$2:$AZ6238,fila,col),
IF(TRIM(TO_TEXT(valor))=TRIM(TO_TEXT(I2625)),"&amp;"
""OK"",
""NO COINCIDE. Valor verdadero: ""&amp;IF(valor="""",""[VACÍO]"",TO_TEXT(valor))
)
))))
),""ERROR EN FÓRMULA""))"),"OK")</f>
        <v>OK</v>
      </c>
    </row>
    <row r="2626">
      <c r="A2626" s="83" t="s">
        <v>4078</v>
      </c>
      <c r="B2626" s="83" t="s">
        <v>4079</v>
      </c>
      <c r="C2626" s="81" t="s">
        <v>4086</v>
      </c>
      <c r="D2626" s="83" t="s">
        <v>4822</v>
      </c>
      <c r="E2626" s="81" t="s">
        <v>3916</v>
      </c>
      <c r="F2626" s="84">
        <v>764.0</v>
      </c>
      <c r="G2626" s="81" t="s">
        <v>44</v>
      </c>
      <c r="H2626" s="81" t="s">
        <v>224</v>
      </c>
      <c r="I2626" s="81" t="s">
        <v>3909</v>
      </c>
      <c r="J2626" s="81" t="s">
        <v>4088</v>
      </c>
      <c r="K2626" s="81" t="str">
        <f>IFERROR(__xludf.DUMMYFUNCTION("IF(OR(D2626="""",G2626=""""),"""",IFERROR(LET(
campo,XLOOKUP(TRIM(G2626),ARRAYFORMULA(TRIM('indice columnas'!$A$2:$A$100)),'indice columnas'!$B$2:$B$100,""""),
col,IFERROR(MATCH(campo,Referencia!$A$1:$AZ$1,0),0),
fila,IFERROR(MATCH(TO_TEXT(D2626),ARRAYFOR"&amp;"MULA(TO_TEXT(Referencia!$A$2:$A6238)),0),0),
IF(OR(campo="""",campo=""-""),""NO APLICA"",
IF(col=0,""REVISAR EQUIVALENCIA"",
IF(fila=0,""SKU NO ENCONTRADO"",
LET(
valor,INDEX(Referencia!$A$2:$AZ6238,fila,col),
IF(TRIM(TO_TEXT(valor))=TRIM(TO_TEXT(I2626)),"&amp;"
""OK"",
""NO COINCIDE. Valor verdadero: ""&amp;IF(valor="""",""[VACÍO]"",TO_TEXT(valor))
)
))))
),""ERROR EN FÓRMULA""))"),"NO APLICA")</f>
        <v>NO APLICA</v>
      </c>
    </row>
    <row r="2627">
      <c r="A2627" s="83" t="s">
        <v>4078</v>
      </c>
      <c r="B2627" s="83" t="s">
        <v>4079</v>
      </c>
      <c r="C2627" s="81" t="s">
        <v>4086</v>
      </c>
      <c r="D2627" s="83" t="s">
        <v>4823</v>
      </c>
      <c r="E2627" s="81" t="s">
        <v>3917</v>
      </c>
      <c r="F2627" s="84">
        <v>765.0</v>
      </c>
      <c r="G2627" s="81" t="s">
        <v>7</v>
      </c>
      <c r="H2627" s="81" t="s">
        <v>3623</v>
      </c>
      <c r="I2627" s="81" t="s">
        <v>1134</v>
      </c>
      <c r="J2627" s="81" t="s">
        <v>224</v>
      </c>
      <c r="K2627" s="81" t="str">
        <f>IFERROR(__xludf.DUMMYFUNCTION("IF(OR(D2627="""",G2627=""""),"""",IFERROR(LET(
campo,XLOOKUP(TRIM(G2627),ARRAYFORMULA(TRIM('indice columnas'!$A$2:$A$100)),'indice columnas'!$B$2:$B$100,""""),
col,IFERROR(MATCH(campo,Referencia!$A$1:$AZ$1,0),0),
fila,IFERROR(MATCH(TO_TEXT(D2627),ARRAYFOR"&amp;"MULA(TO_TEXT(Referencia!$A$2:$A6238)),0),0),
IF(OR(campo="""",campo=""-""),""NO APLICA"",
IF(col=0,""REVISAR EQUIVALENCIA"",
IF(fila=0,""SKU NO ENCONTRADO"",
LET(
valor,INDEX(Referencia!$A$2:$AZ6238,fila,col),
IF(TRIM(TO_TEXT(valor))=TRIM(TO_TEXT(I2627)),"&amp;"
""OK"",
""NO COINCIDE. Valor verdadero: ""&amp;IF(valor="""",""[VACÍO]"",TO_TEXT(valor))
)
))))
),""ERROR EN FÓRMULA""))"),"REVISAR EQUIVALENCIA")</f>
        <v>REVISAR EQUIVALENCIA</v>
      </c>
    </row>
    <row r="2628">
      <c r="A2628" s="83" t="s">
        <v>4078</v>
      </c>
      <c r="B2628" s="83" t="s">
        <v>4079</v>
      </c>
      <c r="C2628" s="81" t="s">
        <v>4086</v>
      </c>
      <c r="D2628" s="83" t="s">
        <v>4823</v>
      </c>
      <c r="E2628" s="81" t="s">
        <v>3917</v>
      </c>
      <c r="F2628" s="84">
        <v>765.0</v>
      </c>
      <c r="G2628" s="81" t="s">
        <v>12</v>
      </c>
      <c r="H2628" s="81" t="s">
        <v>224</v>
      </c>
      <c r="I2628" s="81" t="s">
        <v>1549</v>
      </c>
      <c r="J2628" s="81" t="s">
        <v>224</v>
      </c>
      <c r="K2628" s="81" t="str">
        <f>IFERROR(__xludf.DUMMYFUNCTION("IF(OR(D2628="""",G2628=""""),"""",IFERROR(LET(
campo,XLOOKUP(TRIM(G2628),ARRAYFORMULA(TRIM('indice columnas'!$A$2:$A$100)),'indice columnas'!$B$2:$B$100,""""),
col,IFERROR(MATCH(campo,Referencia!$A$1:$AZ$1,0),0),
fila,IFERROR(MATCH(TO_TEXT(D2628),ARRAYFOR"&amp;"MULA(TO_TEXT(Referencia!$A$2:$A6238)),0),0),
IF(OR(campo="""",campo=""-""),""NO APLICA"",
IF(col=0,""REVISAR EQUIVALENCIA"",
IF(fila=0,""SKU NO ENCONTRADO"",
LET(
valor,INDEX(Referencia!$A$2:$AZ6238,fila,col),
IF(TRIM(TO_TEXT(valor))=TRIM(TO_TEXT(I2628)),"&amp;"
""OK"",
""NO COINCIDE. Valor verdadero: ""&amp;IF(valor="""",""[VACÍO]"",TO_TEXT(valor))
)
))))
),""ERROR EN FÓRMULA""))"),"OK")</f>
        <v>OK</v>
      </c>
    </row>
    <row r="2629">
      <c r="A2629" s="83" t="s">
        <v>4078</v>
      </c>
      <c r="B2629" s="83" t="s">
        <v>4079</v>
      </c>
      <c r="C2629" s="81" t="s">
        <v>4086</v>
      </c>
      <c r="D2629" s="83" t="s">
        <v>4823</v>
      </c>
      <c r="E2629" s="81" t="s">
        <v>3917</v>
      </c>
      <c r="F2629" s="84">
        <v>765.0</v>
      </c>
      <c r="G2629" s="81" t="s">
        <v>44</v>
      </c>
      <c r="H2629" s="81" t="s">
        <v>224</v>
      </c>
      <c r="I2629" s="81" t="s">
        <v>3909</v>
      </c>
      <c r="J2629" s="81" t="s">
        <v>4088</v>
      </c>
      <c r="K2629" s="81" t="str">
        <f>IFERROR(__xludf.DUMMYFUNCTION("IF(OR(D2629="""",G2629=""""),"""",IFERROR(LET(
campo,XLOOKUP(TRIM(G2629),ARRAYFORMULA(TRIM('indice columnas'!$A$2:$A$100)),'indice columnas'!$B$2:$B$100,""""),
col,IFERROR(MATCH(campo,Referencia!$A$1:$AZ$1,0),0),
fila,IFERROR(MATCH(TO_TEXT(D2629),ARRAYFOR"&amp;"MULA(TO_TEXT(Referencia!$A$2:$A6238)),0),0),
IF(OR(campo="""",campo=""-""),""NO APLICA"",
IF(col=0,""REVISAR EQUIVALENCIA"",
IF(fila=0,""SKU NO ENCONTRADO"",
LET(
valor,INDEX(Referencia!$A$2:$AZ6238,fila,col),
IF(TRIM(TO_TEXT(valor))=TRIM(TO_TEXT(I2629)),"&amp;"
""OK"",
""NO COINCIDE. Valor verdadero: ""&amp;IF(valor="""",""[VACÍO]"",TO_TEXT(valor))
)
))))
),""ERROR EN FÓRMULA""))"),"NO APLICA")</f>
        <v>NO APLICA</v>
      </c>
    </row>
    <row r="2630">
      <c r="A2630" s="83" t="s">
        <v>4078</v>
      </c>
      <c r="B2630" s="83" t="s">
        <v>4079</v>
      </c>
      <c r="C2630" s="81" t="s">
        <v>4086</v>
      </c>
      <c r="D2630" s="83" t="s">
        <v>4824</v>
      </c>
      <c r="E2630" s="81" t="s">
        <v>3920</v>
      </c>
      <c r="F2630" s="84">
        <v>766.0</v>
      </c>
      <c r="G2630" s="81" t="s">
        <v>7</v>
      </c>
      <c r="H2630" s="81" t="s">
        <v>3623</v>
      </c>
      <c r="I2630" s="81" t="s">
        <v>1134</v>
      </c>
      <c r="J2630" s="81" t="s">
        <v>224</v>
      </c>
      <c r="K2630" s="81" t="str">
        <f>IFERROR(__xludf.DUMMYFUNCTION("IF(OR(D2630="""",G2630=""""),"""",IFERROR(LET(
campo,XLOOKUP(TRIM(G2630),ARRAYFORMULA(TRIM('indice columnas'!$A$2:$A$100)),'indice columnas'!$B$2:$B$100,""""),
col,IFERROR(MATCH(campo,Referencia!$A$1:$AZ$1,0),0),
fila,IFERROR(MATCH(TO_TEXT(D2630),ARRAYFOR"&amp;"MULA(TO_TEXT(Referencia!$A$2:$A6238)),0),0),
IF(OR(campo="""",campo=""-""),""NO APLICA"",
IF(col=0,""REVISAR EQUIVALENCIA"",
IF(fila=0,""SKU NO ENCONTRADO"",
LET(
valor,INDEX(Referencia!$A$2:$AZ6238,fila,col),
IF(TRIM(TO_TEXT(valor))=TRIM(TO_TEXT(I2630)),"&amp;"
""OK"",
""NO COINCIDE. Valor verdadero: ""&amp;IF(valor="""",""[VACÍO]"",TO_TEXT(valor))
)
))))
),""ERROR EN FÓRMULA""))"),"REVISAR EQUIVALENCIA")</f>
        <v>REVISAR EQUIVALENCIA</v>
      </c>
    </row>
    <row r="2631">
      <c r="A2631" s="83" t="s">
        <v>4078</v>
      </c>
      <c r="B2631" s="83" t="s">
        <v>4079</v>
      </c>
      <c r="C2631" s="81" t="s">
        <v>4086</v>
      </c>
      <c r="D2631" s="83" t="s">
        <v>4824</v>
      </c>
      <c r="E2631" s="81" t="s">
        <v>3920</v>
      </c>
      <c r="F2631" s="84">
        <v>766.0</v>
      </c>
      <c r="G2631" s="81" t="s">
        <v>12</v>
      </c>
      <c r="H2631" s="81" t="s">
        <v>224</v>
      </c>
      <c r="I2631" s="81" t="s">
        <v>1549</v>
      </c>
      <c r="J2631" s="81" t="s">
        <v>224</v>
      </c>
      <c r="K2631" s="81" t="str">
        <f>IFERROR(__xludf.DUMMYFUNCTION("IF(OR(D2631="""",G2631=""""),"""",IFERROR(LET(
campo,XLOOKUP(TRIM(G2631),ARRAYFORMULA(TRIM('indice columnas'!$A$2:$A$100)),'indice columnas'!$B$2:$B$100,""""),
col,IFERROR(MATCH(campo,Referencia!$A$1:$AZ$1,0),0),
fila,IFERROR(MATCH(TO_TEXT(D2631),ARRAYFOR"&amp;"MULA(TO_TEXT(Referencia!$A$2:$A6238)),0),0),
IF(OR(campo="""",campo=""-""),""NO APLICA"",
IF(col=0,""REVISAR EQUIVALENCIA"",
IF(fila=0,""SKU NO ENCONTRADO"",
LET(
valor,INDEX(Referencia!$A$2:$AZ6238,fila,col),
IF(TRIM(TO_TEXT(valor))=TRIM(TO_TEXT(I2631)),"&amp;"
""OK"",
""NO COINCIDE. Valor verdadero: ""&amp;IF(valor="""",""[VACÍO]"",TO_TEXT(valor))
)
))))
),""ERROR EN FÓRMULA""))"),"OK")</f>
        <v>OK</v>
      </c>
    </row>
    <row r="2632">
      <c r="A2632" s="83" t="s">
        <v>4078</v>
      </c>
      <c r="B2632" s="83" t="s">
        <v>4079</v>
      </c>
      <c r="C2632" s="81" t="s">
        <v>4086</v>
      </c>
      <c r="D2632" s="83" t="s">
        <v>4824</v>
      </c>
      <c r="E2632" s="81" t="s">
        <v>3920</v>
      </c>
      <c r="F2632" s="84">
        <v>766.0</v>
      </c>
      <c r="G2632" s="81" t="s">
        <v>44</v>
      </c>
      <c r="H2632" s="81" t="s">
        <v>224</v>
      </c>
      <c r="I2632" s="81" t="s">
        <v>3909</v>
      </c>
      <c r="J2632" s="81" t="s">
        <v>4088</v>
      </c>
      <c r="K2632" s="81" t="str">
        <f>IFERROR(__xludf.DUMMYFUNCTION("IF(OR(D2632="""",G2632=""""),"""",IFERROR(LET(
campo,XLOOKUP(TRIM(G2632),ARRAYFORMULA(TRIM('indice columnas'!$A$2:$A$100)),'indice columnas'!$B$2:$B$100,""""),
col,IFERROR(MATCH(campo,Referencia!$A$1:$AZ$1,0),0),
fila,IFERROR(MATCH(TO_TEXT(D2632),ARRAYFOR"&amp;"MULA(TO_TEXT(Referencia!$A$2:$A6238)),0),0),
IF(OR(campo="""",campo=""-""),""NO APLICA"",
IF(col=0,""REVISAR EQUIVALENCIA"",
IF(fila=0,""SKU NO ENCONTRADO"",
LET(
valor,INDEX(Referencia!$A$2:$AZ6238,fila,col),
IF(TRIM(TO_TEXT(valor))=TRIM(TO_TEXT(I2632)),"&amp;"
""OK"",
""NO COINCIDE. Valor verdadero: ""&amp;IF(valor="""",""[VACÍO]"",TO_TEXT(valor))
)
))))
),""ERROR EN FÓRMULA""))"),"NO APLICA")</f>
        <v>NO APLICA</v>
      </c>
    </row>
    <row r="2633">
      <c r="A2633" s="83" t="s">
        <v>4078</v>
      </c>
      <c r="B2633" s="83" t="s">
        <v>4079</v>
      </c>
      <c r="C2633" s="81" t="s">
        <v>4086</v>
      </c>
      <c r="D2633" s="83" t="s">
        <v>4825</v>
      </c>
      <c r="E2633" s="81" t="s">
        <v>3923</v>
      </c>
      <c r="F2633" s="84">
        <v>767.0</v>
      </c>
      <c r="G2633" s="81" t="s">
        <v>7</v>
      </c>
      <c r="H2633" s="81" t="s">
        <v>3623</v>
      </c>
      <c r="I2633" s="81" t="s">
        <v>1134</v>
      </c>
      <c r="J2633" s="81" t="s">
        <v>224</v>
      </c>
      <c r="K2633" s="81" t="str">
        <f>IFERROR(__xludf.DUMMYFUNCTION("IF(OR(D2633="""",G2633=""""),"""",IFERROR(LET(
campo,XLOOKUP(TRIM(G2633),ARRAYFORMULA(TRIM('indice columnas'!$A$2:$A$100)),'indice columnas'!$B$2:$B$100,""""),
col,IFERROR(MATCH(campo,Referencia!$A$1:$AZ$1,0),0),
fila,IFERROR(MATCH(TO_TEXT(D2633),ARRAYFOR"&amp;"MULA(TO_TEXT(Referencia!$A$2:$A6238)),0),0),
IF(OR(campo="""",campo=""-""),""NO APLICA"",
IF(col=0,""REVISAR EQUIVALENCIA"",
IF(fila=0,""SKU NO ENCONTRADO"",
LET(
valor,INDEX(Referencia!$A$2:$AZ6238,fila,col),
IF(TRIM(TO_TEXT(valor))=TRIM(TO_TEXT(I2633)),"&amp;"
""OK"",
""NO COINCIDE. Valor verdadero: ""&amp;IF(valor="""",""[VACÍO]"",TO_TEXT(valor))
)
))))
),""ERROR EN FÓRMULA""))"),"REVISAR EQUIVALENCIA")</f>
        <v>REVISAR EQUIVALENCIA</v>
      </c>
    </row>
    <row r="2634">
      <c r="A2634" s="83" t="s">
        <v>4078</v>
      </c>
      <c r="B2634" s="83" t="s">
        <v>4079</v>
      </c>
      <c r="C2634" s="81" t="s">
        <v>4086</v>
      </c>
      <c r="D2634" s="83" t="s">
        <v>4825</v>
      </c>
      <c r="E2634" s="81" t="s">
        <v>3923</v>
      </c>
      <c r="F2634" s="84">
        <v>767.0</v>
      </c>
      <c r="G2634" s="81" t="s">
        <v>12</v>
      </c>
      <c r="H2634" s="81" t="s">
        <v>224</v>
      </c>
      <c r="I2634" s="81" t="s">
        <v>1549</v>
      </c>
      <c r="J2634" s="81" t="s">
        <v>224</v>
      </c>
      <c r="K2634" s="81" t="str">
        <f>IFERROR(__xludf.DUMMYFUNCTION("IF(OR(D2634="""",G2634=""""),"""",IFERROR(LET(
campo,XLOOKUP(TRIM(G2634),ARRAYFORMULA(TRIM('indice columnas'!$A$2:$A$100)),'indice columnas'!$B$2:$B$100,""""),
col,IFERROR(MATCH(campo,Referencia!$A$1:$AZ$1,0),0),
fila,IFERROR(MATCH(TO_TEXT(D2634),ARRAYFOR"&amp;"MULA(TO_TEXT(Referencia!$A$2:$A6238)),0),0),
IF(OR(campo="""",campo=""-""),""NO APLICA"",
IF(col=0,""REVISAR EQUIVALENCIA"",
IF(fila=0,""SKU NO ENCONTRADO"",
LET(
valor,INDEX(Referencia!$A$2:$AZ6238,fila,col),
IF(TRIM(TO_TEXT(valor))=TRIM(TO_TEXT(I2634)),"&amp;"
""OK"",
""NO COINCIDE. Valor verdadero: ""&amp;IF(valor="""",""[VACÍO]"",TO_TEXT(valor))
)
))))
),""ERROR EN FÓRMULA""))"),"OK")</f>
        <v>OK</v>
      </c>
    </row>
    <row r="2635">
      <c r="A2635" s="83" t="s">
        <v>4078</v>
      </c>
      <c r="B2635" s="83" t="s">
        <v>4079</v>
      </c>
      <c r="C2635" s="81" t="s">
        <v>4086</v>
      </c>
      <c r="D2635" s="83" t="s">
        <v>4825</v>
      </c>
      <c r="E2635" s="81" t="s">
        <v>3923</v>
      </c>
      <c r="F2635" s="84">
        <v>767.0</v>
      </c>
      <c r="G2635" s="81" t="s">
        <v>44</v>
      </c>
      <c r="H2635" s="81" t="s">
        <v>224</v>
      </c>
      <c r="I2635" s="81" t="s">
        <v>3909</v>
      </c>
      <c r="J2635" s="81" t="s">
        <v>4088</v>
      </c>
      <c r="K2635" s="81" t="str">
        <f>IFERROR(__xludf.DUMMYFUNCTION("IF(OR(D2635="""",G2635=""""),"""",IFERROR(LET(
campo,XLOOKUP(TRIM(G2635),ARRAYFORMULA(TRIM('indice columnas'!$A$2:$A$100)),'indice columnas'!$B$2:$B$100,""""),
col,IFERROR(MATCH(campo,Referencia!$A$1:$AZ$1,0),0),
fila,IFERROR(MATCH(TO_TEXT(D2635),ARRAYFOR"&amp;"MULA(TO_TEXT(Referencia!$A$2:$A6238)),0),0),
IF(OR(campo="""",campo=""-""),""NO APLICA"",
IF(col=0,""REVISAR EQUIVALENCIA"",
IF(fila=0,""SKU NO ENCONTRADO"",
LET(
valor,INDEX(Referencia!$A$2:$AZ6238,fila,col),
IF(TRIM(TO_TEXT(valor))=TRIM(TO_TEXT(I2635)),"&amp;"
""OK"",
""NO COINCIDE. Valor verdadero: ""&amp;IF(valor="""",""[VACÍO]"",TO_TEXT(valor))
)
))))
),""ERROR EN FÓRMULA""))"),"NO APLICA")</f>
        <v>NO APLICA</v>
      </c>
    </row>
    <row r="2636">
      <c r="A2636" s="83" t="s">
        <v>4078</v>
      </c>
      <c r="B2636" s="83" t="s">
        <v>4079</v>
      </c>
      <c r="C2636" s="81" t="s">
        <v>4086</v>
      </c>
      <c r="D2636" s="83" t="s">
        <v>4826</v>
      </c>
      <c r="E2636" s="81" t="s">
        <v>3926</v>
      </c>
      <c r="F2636" s="84">
        <v>768.0</v>
      </c>
      <c r="G2636" s="81" t="s">
        <v>7</v>
      </c>
      <c r="H2636" s="81" t="s">
        <v>3623</v>
      </c>
      <c r="I2636" s="81" t="s">
        <v>1134</v>
      </c>
      <c r="J2636" s="81" t="s">
        <v>224</v>
      </c>
      <c r="K2636" s="81" t="str">
        <f>IFERROR(__xludf.DUMMYFUNCTION("IF(OR(D2636="""",G2636=""""),"""",IFERROR(LET(
campo,XLOOKUP(TRIM(G2636),ARRAYFORMULA(TRIM('indice columnas'!$A$2:$A$100)),'indice columnas'!$B$2:$B$100,""""),
col,IFERROR(MATCH(campo,Referencia!$A$1:$AZ$1,0),0),
fila,IFERROR(MATCH(TO_TEXT(D2636),ARRAYFOR"&amp;"MULA(TO_TEXT(Referencia!$A$2:$A6238)),0),0),
IF(OR(campo="""",campo=""-""),""NO APLICA"",
IF(col=0,""REVISAR EQUIVALENCIA"",
IF(fila=0,""SKU NO ENCONTRADO"",
LET(
valor,INDEX(Referencia!$A$2:$AZ6238,fila,col),
IF(TRIM(TO_TEXT(valor))=TRIM(TO_TEXT(I2636)),"&amp;"
""OK"",
""NO COINCIDE. Valor verdadero: ""&amp;IF(valor="""",""[VACÍO]"",TO_TEXT(valor))
)
))))
),""ERROR EN FÓRMULA""))"),"REVISAR EQUIVALENCIA")</f>
        <v>REVISAR EQUIVALENCIA</v>
      </c>
    </row>
    <row r="2637">
      <c r="A2637" s="83" t="s">
        <v>4078</v>
      </c>
      <c r="B2637" s="83" t="s">
        <v>4079</v>
      </c>
      <c r="C2637" s="81" t="s">
        <v>4086</v>
      </c>
      <c r="D2637" s="83" t="s">
        <v>4826</v>
      </c>
      <c r="E2637" s="81" t="s">
        <v>3926</v>
      </c>
      <c r="F2637" s="84">
        <v>768.0</v>
      </c>
      <c r="G2637" s="81" t="s">
        <v>12</v>
      </c>
      <c r="H2637" s="81" t="s">
        <v>224</v>
      </c>
      <c r="I2637" s="81" t="s">
        <v>1549</v>
      </c>
      <c r="J2637" s="81" t="s">
        <v>224</v>
      </c>
      <c r="K2637" s="81" t="str">
        <f>IFERROR(__xludf.DUMMYFUNCTION("IF(OR(D2637="""",G2637=""""),"""",IFERROR(LET(
campo,XLOOKUP(TRIM(G2637),ARRAYFORMULA(TRIM('indice columnas'!$A$2:$A$100)),'indice columnas'!$B$2:$B$100,""""),
col,IFERROR(MATCH(campo,Referencia!$A$1:$AZ$1,0),0),
fila,IFERROR(MATCH(TO_TEXT(D2637),ARRAYFOR"&amp;"MULA(TO_TEXT(Referencia!$A$2:$A6238)),0),0),
IF(OR(campo="""",campo=""-""),""NO APLICA"",
IF(col=0,""REVISAR EQUIVALENCIA"",
IF(fila=0,""SKU NO ENCONTRADO"",
LET(
valor,INDEX(Referencia!$A$2:$AZ6238,fila,col),
IF(TRIM(TO_TEXT(valor))=TRIM(TO_TEXT(I2637)),"&amp;"
""OK"",
""NO COINCIDE. Valor verdadero: ""&amp;IF(valor="""",""[VACÍO]"",TO_TEXT(valor))
)
))))
),""ERROR EN FÓRMULA""))"),"OK")</f>
        <v>OK</v>
      </c>
    </row>
    <row r="2638">
      <c r="A2638" s="83" t="s">
        <v>4078</v>
      </c>
      <c r="B2638" s="83" t="s">
        <v>4079</v>
      </c>
      <c r="C2638" s="81" t="s">
        <v>4086</v>
      </c>
      <c r="D2638" s="83" t="s">
        <v>4826</v>
      </c>
      <c r="E2638" s="81" t="s">
        <v>3926</v>
      </c>
      <c r="F2638" s="84">
        <v>768.0</v>
      </c>
      <c r="G2638" s="81" t="s">
        <v>44</v>
      </c>
      <c r="H2638" s="81" t="s">
        <v>224</v>
      </c>
      <c r="I2638" s="81" t="s">
        <v>3909</v>
      </c>
      <c r="J2638" s="81" t="s">
        <v>4088</v>
      </c>
      <c r="K2638" s="81" t="str">
        <f>IFERROR(__xludf.DUMMYFUNCTION("IF(OR(D2638="""",G2638=""""),"""",IFERROR(LET(
campo,XLOOKUP(TRIM(G2638),ARRAYFORMULA(TRIM('indice columnas'!$A$2:$A$100)),'indice columnas'!$B$2:$B$100,""""),
col,IFERROR(MATCH(campo,Referencia!$A$1:$AZ$1,0),0),
fila,IFERROR(MATCH(TO_TEXT(D2638),ARRAYFOR"&amp;"MULA(TO_TEXT(Referencia!$A$2:$A6238)),0),0),
IF(OR(campo="""",campo=""-""),""NO APLICA"",
IF(col=0,""REVISAR EQUIVALENCIA"",
IF(fila=0,""SKU NO ENCONTRADO"",
LET(
valor,INDEX(Referencia!$A$2:$AZ6238,fila,col),
IF(TRIM(TO_TEXT(valor))=TRIM(TO_TEXT(I2638)),"&amp;"
""OK"",
""NO COINCIDE. Valor verdadero: ""&amp;IF(valor="""",""[VACÍO]"",TO_TEXT(valor))
)
))))
),""ERROR EN FÓRMULA""))"),"NO APLICA")</f>
        <v>NO APLICA</v>
      </c>
    </row>
    <row r="2639">
      <c r="A2639" s="83" t="s">
        <v>4078</v>
      </c>
      <c r="B2639" s="83" t="s">
        <v>4079</v>
      </c>
      <c r="C2639" s="81" t="s">
        <v>4086</v>
      </c>
      <c r="D2639" s="83" t="s">
        <v>4827</v>
      </c>
      <c r="E2639" s="81" t="s">
        <v>3929</v>
      </c>
      <c r="F2639" s="84">
        <v>769.0</v>
      </c>
      <c r="G2639" s="81" t="s">
        <v>7</v>
      </c>
      <c r="H2639" s="81" t="s">
        <v>3623</v>
      </c>
      <c r="I2639" s="81" t="s">
        <v>1134</v>
      </c>
      <c r="J2639" s="81" t="s">
        <v>224</v>
      </c>
      <c r="K2639" s="81" t="str">
        <f>IFERROR(__xludf.DUMMYFUNCTION("IF(OR(D2639="""",G2639=""""),"""",IFERROR(LET(
campo,XLOOKUP(TRIM(G2639),ARRAYFORMULA(TRIM('indice columnas'!$A$2:$A$100)),'indice columnas'!$B$2:$B$100,""""),
col,IFERROR(MATCH(campo,Referencia!$A$1:$AZ$1,0),0),
fila,IFERROR(MATCH(TO_TEXT(D2639),ARRAYFOR"&amp;"MULA(TO_TEXT(Referencia!$A$2:$A6238)),0),0),
IF(OR(campo="""",campo=""-""),""NO APLICA"",
IF(col=0,""REVISAR EQUIVALENCIA"",
IF(fila=0,""SKU NO ENCONTRADO"",
LET(
valor,INDEX(Referencia!$A$2:$AZ6238,fila,col),
IF(TRIM(TO_TEXT(valor))=TRIM(TO_TEXT(I2639)),"&amp;"
""OK"",
""NO COINCIDE. Valor verdadero: ""&amp;IF(valor="""",""[VACÍO]"",TO_TEXT(valor))
)
))))
),""ERROR EN FÓRMULA""))"),"REVISAR EQUIVALENCIA")</f>
        <v>REVISAR EQUIVALENCIA</v>
      </c>
    </row>
    <row r="2640">
      <c r="A2640" s="83" t="s">
        <v>4078</v>
      </c>
      <c r="B2640" s="83" t="s">
        <v>4079</v>
      </c>
      <c r="C2640" s="81" t="s">
        <v>4086</v>
      </c>
      <c r="D2640" s="83" t="s">
        <v>4827</v>
      </c>
      <c r="E2640" s="81" t="s">
        <v>3929</v>
      </c>
      <c r="F2640" s="84">
        <v>769.0</v>
      </c>
      <c r="G2640" s="81" t="s">
        <v>12</v>
      </c>
      <c r="H2640" s="81" t="s">
        <v>224</v>
      </c>
      <c r="I2640" s="81" t="s">
        <v>1549</v>
      </c>
      <c r="J2640" s="81" t="s">
        <v>224</v>
      </c>
      <c r="K2640" s="81" t="str">
        <f>IFERROR(__xludf.DUMMYFUNCTION("IF(OR(D2640="""",G2640=""""),"""",IFERROR(LET(
campo,XLOOKUP(TRIM(G2640),ARRAYFORMULA(TRIM('indice columnas'!$A$2:$A$100)),'indice columnas'!$B$2:$B$100,""""),
col,IFERROR(MATCH(campo,Referencia!$A$1:$AZ$1,0),0),
fila,IFERROR(MATCH(TO_TEXT(D2640),ARRAYFOR"&amp;"MULA(TO_TEXT(Referencia!$A$2:$A6238)),0),0),
IF(OR(campo="""",campo=""-""),""NO APLICA"",
IF(col=0,""REVISAR EQUIVALENCIA"",
IF(fila=0,""SKU NO ENCONTRADO"",
LET(
valor,INDEX(Referencia!$A$2:$AZ6238,fila,col),
IF(TRIM(TO_TEXT(valor))=TRIM(TO_TEXT(I2640)),"&amp;"
""OK"",
""NO COINCIDE. Valor verdadero: ""&amp;IF(valor="""",""[VACÍO]"",TO_TEXT(valor))
)
))))
),""ERROR EN FÓRMULA""))"),"OK")</f>
        <v>OK</v>
      </c>
    </row>
    <row r="2641">
      <c r="A2641" s="83" t="s">
        <v>4078</v>
      </c>
      <c r="B2641" s="83" t="s">
        <v>4079</v>
      </c>
      <c r="C2641" s="81" t="s">
        <v>4086</v>
      </c>
      <c r="D2641" s="83" t="s">
        <v>4827</v>
      </c>
      <c r="E2641" s="81" t="s">
        <v>3929</v>
      </c>
      <c r="F2641" s="84">
        <v>769.0</v>
      </c>
      <c r="G2641" s="81" t="s">
        <v>44</v>
      </c>
      <c r="H2641" s="81" t="s">
        <v>224</v>
      </c>
      <c r="I2641" s="81" t="s">
        <v>3909</v>
      </c>
      <c r="J2641" s="81" t="s">
        <v>4088</v>
      </c>
      <c r="K2641" s="81" t="str">
        <f>IFERROR(__xludf.DUMMYFUNCTION("IF(OR(D2641="""",G2641=""""),"""",IFERROR(LET(
campo,XLOOKUP(TRIM(G2641),ARRAYFORMULA(TRIM('indice columnas'!$A$2:$A$100)),'indice columnas'!$B$2:$B$100,""""),
col,IFERROR(MATCH(campo,Referencia!$A$1:$AZ$1,0),0),
fila,IFERROR(MATCH(TO_TEXT(D2641),ARRAYFOR"&amp;"MULA(TO_TEXT(Referencia!$A$2:$A6238)),0),0),
IF(OR(campo="""",campo=""-""),""NO APLICA"",
IF(col=0,""REVISAR EQUIVALENCIA"",
IF(fila=0,""SKU NO ENCONTRADO"",
LET(
valor,INDEX(Referencia!$A$2:$AZ6238,fila,col),
IF(TRIM(TO_TEXT(valor))=TRIM(TO_TEXT(I2641)),"&amp;"
""OK"",
""NO COINCIDE. Valor verdadero: ""&amp;IF(valor="""",""[VACÍO]"",TO_TEXT(valor))
)
))))
),""ERROR EN FÓRMULA""))"),"NO APLICA")</f>
        <v>NO APLICA</v>
      </c>
    </row>
    <row r="2642">
      <c r="A2642" s="83" t="s">
        <v>4078</v>
      </c>
      <c r="B2642" s="83" t="s">
        <v>4079</v>
      </c>
      <c r="C2642" s="81" t="s">
        <v>4086</v>
      </c>
      <c r="D2642" s="83" t="s">
        <v>4828</v>
      </c>
      <c r="E2642" s="81" t="s">
        <v>3932</v>
      </c>
      <c r="F2642" s="84">
        <v>770.0</v>
      </c>
      <c r="G2642" s="81" t="s">
        <v>44</v>
      </c>
      <c r="H2642" s="81" t="s">
        <v>224</v>
      </c>
      <c r="I2642" s="81" t="s">
        <v>3909</v>
      </c>
      <c r="J2642" s="81" t="s">
        <v>4088</v>
      </c>
      <c r="K2642" s="81" t="str">
        <f>IFERROR(__xludf.DUMMYFUNCTION("IF(OR(D2642="""",G2642=""""),"""",IFERROR(LET(
campo,XLOOKUP(TRIM(G2642),ARRAYFORMULA(TRIM('indice columnas'!$A$2:$A$100)),'indice columnas'!$B$2:$B$100,""""),
col,IFERROR(MATCH(campo,Referencia!$A$1:$AZ$1,0),0),
fila,IFERROR(MATCH(TO_TEXT(D2642),ARRAYFOR"&amp;"MULA(TO_TEXT(Referencia!$A$2:$A6238)),0),0),
IF(OR(campo="""",campo=""-""),""NO APLICA"",
IF(col=0,""REVISAR EQUIVALENCIA"",
IF(fila=0,""SKU NO ENCONTRADO"",
LET(
valor,INDEX(Referencia!$A$2:$AZ6238,fila,col),
IF(TRIM(TO_TEXT(valor))=TRIM(TO_TEXT(I2642)),"&amp;"
""OK"",
""NO COINCIDE. Valor verdadero: ""&amp;IF(valor="""",""[VACÍO]"",TO_TEXT(valor))
)
))))
),""ERROR EN FÓRMULA""))"),"NO APLICA")</f>
        <v>NO APLICA</v>
      </c>
    </row>
    <row r="2643">
      <c r="A2643" s="83" t="s">
        <v>4078</v>
      </c>
      <c r="B2643" s="83" t="s">
        <v>4079</v>
      </c>
      <c r="C2643" s="81" t="s">
        <v>4086</v>
      </c>
      <c r="D2643" s="83" t="s">
        <v>4828</v>
      </c>
      <c r="E2643" s="81" t="s">
        <v>3935</v>
      </c>
      <c r="F2643" s="84">
        <v>771.0</v>
      </c>
      <c r="G2643" s="81" t="s">
        <v>7</v>
      </c>
      <c r="H2643" s="81" t="s">
        <v>3623</v>
      </c>
      <c r="I2643" s="81" t="s">
        <v>1134</v>
      </c>
      <c r="J2643" s="81" t="s">
        <v>224</v>
      </c>
      <c r="K2643" s="81" t="str">
        <f>IFERROR(__xludf.DUMMYFUNCTION("IF(OR(D2643="""",G2643=""""),"""",IFERROR(LET(
campo,XLOOKUP(TRIM(G2643),ARRAYFORMULA(TRIM('indice columnas'!$A$2:$A$100)),'indice columnas'!$B$2:$B$100,""""),
col,IFERROR(MATCH(campo,Referencia!$A$1:$AZ$1,0),0),
fila,IFERROR(MATCH(TO_TEXT(D2643),ARRAYFOR"&amp;"MULA(TO_TEXT(Referencia!$A$2:$A6238)),0),0),
IF(OR(campo="""",campo=""-""),""NO APLICA"",
IF(col=0,""REVISAR EQUIVALENCIA"",
IF(fila=0,""SKU NO ENCONTRADO"",
LET(
valor,INDEX(Referencia!$A$2:$AZ6238,fila,col),
IF(TRIM(TO_TEXT(valor))=TRIM(TO_TEXT(I2643)),"&amp;"
""OK"",
""NO COINCIDE. Valor verdadero: ""&amp;IF(valor="""",""[VACÍO]"",TO_TEXT(valor))
)
))))
),""ERROR EN FÓRMULA""))"),"REVISAR EQUIVALENCIA")</f>
        <v>REVISAR EQUIVALENCIA</v>
      </c>
    </row>
    <row r="2644">
      <c r="A2644" s="83" t="s">
        <v>4078</v>
      </c>
      <c r="B2644" s="83" t="s">
        <v>4079</v>
      </c>
      <c r="C2644" s="81" t="s">
        <v>4086</v>
      </c>
      <c r="D2644" s="83" t="s">
        <v>4828</v>
      </c>
      <c r="E2644" s="81" t="s">
        <v>3935</v>
      </c>
      <c r="F2644" s="84">
        <v>771.0</v>
      </c>
      <c r="G2644" s="81" t="s">
        <v>12</v>
      </c>
      <c r="H2644" s="81" t="s">
        <v>224</v>
      </c>
      <c r="I2644" s="81" t="s">
        <v>1549</v>
      </c>
      <c r="J2644" s="81" t="s">
        <v>224</v>
      </c>
      <c r="K2644" s="81" t="str">
        <f>IFERROR(__xludf.DUMMYFUNCTION("IF(OR(D2644="""",G2644=""""),"""",IFERROR(LET(
campo,XLOOKUP(TRIM(G2644),ARRAYFORMULA(TRIM('indice columnas'!$A$2:$A$100)),'indice columnas'!$B$2:$B$100,""""),
col,IFERROR(MATCH(campo,Referencia!$A$1:$AZ$1,0),0),
fila,IFERROR(MATCH(TO_TEXT(D2644),ARRAYFOR"&amp;"MULA(TO_TEXT(Referencia!$A$2:$A6238)),0),0),
IF(OR(campo="""",campo=""-""),""NO APLICA"",
IF(col=0,""REVISAR EQUIVALENCIA"",
IF(fila=0,""SKU NO ENCONTRADO"",
LET(
valor,INDEX(Referencia!$A$2:$AZ6238,fila,col),
IF(TRIM(TO_TEXT(valor))=TRIM(TO_TEXT(I2644)),"&amp;"
""OK"",
""NO COINCIDE. Valor verdadero: ""&amp;IF(valor="""",""[VACÍO]"",TO_TEXT(valor))
)
))))
),""ERROR EN FÓRMULA""))"),"OK")</f>
        <v>OK</v>
      </c>
    </row>
    <row r="2645">
      <c r="A2645" s="83" t="s">
        <v>4078</v>
      </c>
      <c r="B2645" s="83" t="s">
        <v>4079</v>
      </c>
      <c r="C2645" s="81" t="s">
        <v>4086</v>
      </c>
      <c r="D2645" s="83" t="s">
        <v>4828</v>
      </c>
      <c r="E2645" s="81" t="s">
        <v>3935</v>
      </c>
      <c r="F2645" s="84">
        <v>771.0</v>
      </c>
      <c r="G2645" s="81" t="s">
        <v>44</v>
      </c>
      <c r="H2645" s="81" t="s">
        <v>224</v>
      </c>
      <c r="I2645" s="81" t="s">
        <v>3909</v>
      </c>
      <c r="J2645" s="81" t="s">
        <v>4088</v>
      </c>
      <c r="K2645" s="81" t="str">
        <f>IFERROR(__xludf.DUMMYFUNCTION("IF(OR(D2645="""",G2645=""""),"""",IFERROR(LET(
campo,XLOOKUP(TRIM(G2645),ARRAYFORMULA(TRIM('indice columnas'!$A$2:$A$100)),'indice columnas'!$B$2:$B$100,""""),
col,IFERROR(MATCH(campo,Referencia!$A$1:$AZ$1,0),0),
fila,IFERROR(MATCH(TO_TEXT(D2645),ARRAYFOR"&amp;"MULA(TO_TEXT(Referencia!$A$2:$A6238)),0),0),
IF(OR(campo="""",campo=""-""),""NO APLICA"",
IF(col=0,""REVISAR EQUIVALENCIA"",
IF(fila=0,""SKU NO ENCONTRADO"",
LET(
valor,INDEX(Referencia!$A$2:$AZ6238,fila,col),
IF(TRIM(TO_TEXT(valor))=TRIM(TO_TEXT(I2645)),"&amp;"
""OK"",
""NO COINCIDE. Valor verdadero: ""&amp;IF(valor="""",""[VACÍO]"",TO_TEXT(valor))
)
))))
),""ERROR EN FÓRMULA""))"),"NO APLICA")</f>
        <v>NO APLICA</v>
      </c>
    </row>
    <row r="2646">
      <c r="A2646" s="83" t="s">
        <v>4078</v>
      </c>
      <c r="B2646" s="83" t="s">
        <v>4079</v>
      </c>
      <c r="C2646" s="81" t="s">
        <v>4086</v>
      </c>
      <c r="D2646" s="83" t="s">
        <v>4829</v>
      </c>
      <c r="E2646" s="81" t="s">
        <v>3936</v>
      </c>
      <c r="F2646" s="84">
        <v>772.0</v>
      </c>
      <c r="G2646" s="81" t="s">
        <v>7</v>
      </c>
      <c r="H2646" s="81" t="s">
        <v>3623</v>
      </c>
      <c r="I2646" s="81" t="s">
        <v>1134</v>
      </c>
      <c r="J2646" s="81" t="s">
        <v>224</v>
      </c>
      <c r="K2646" s="81" t="str">
        <f>IFERROR(__xludf.DUMMYFUNCTION("IF(OR(D2646="""",G2646=""""),"""",IFERROR(LET(
campo,XLOOKUP(TRIM(G2646),ARRAYFORMULA(TRIM('indice columnas'!$A$2:$A$100)),'indice columnas'!$B$2:$B$100,""""),
col,IFERROR(MATCH(campo,Referencia!$A$1:$AZ$1,0),0),
fila,IFERROR(MATCH(TO_TEXT(D2646),ARRAYFOR"&amp;"MULA(TO_TEXT(Referencia!$A$2:$A6238)),0),0),
IF(OR(campo="""",campo=""-""),""NO APLICA"",
IF(col=0,""REVISAR EQUIVALENCIA"",
IF(fila=0,""SKU NO ENCONTRADO"",
LET(
valor,INDEX(Referencia!$A$2:$AZ6238,fila,col),
IF(TRIM(TO_TEXT(valor))=TRIM(TO_TEXT(I2646)),"&amp;"
""OK"",
""NO COINCIDE. Valor verdadero: ""&amp;IF(valor="""",""[VACÍO]"",TO_TEXT(valor))
)
))))
),""ERROR EN FÓRMULA""))"),"REVISAR EQUIVALENCIA")</f>
        <v>REVISAR EQUIVALENCIA</v>
      </c>
    </row>
    <row r="2647">
      <c r="A2647" s="83" t="s">
        <v>4078</v>
      </c>
      <c r="B2647" s="83" t="s">
        <v>4079</v>
      </c>
      <c r="C2647" s="81" t="s">
        <v>4086</v>
      </c>
      <c r="D2647" s="83" t="s">
        <v>4829</v>
      </c>
      <c r="E2647" s="81" t="s">
        <v>3936</v>
      </c>
      <c r="F2647" s="84">
        <v>772.0</v>
      </c>
      <c r="G2647" s="81" t="s">
        <v>12</v>
      </c>
      <c r="H2647" s="81" t="s">
        <v>224</v>
      </c>
      <c r="I2647" s="81" t="s">
        <v>1549</v>
      </c>
      <c r="J2647" s="81" t="s">
        <v>224</v>
      </c>
      <c r="K2647" s="81" t="str">
        <f>IFERROR(__xludf.DUMMYFUNCTION("IF(OR(D2647="""",G2647=""""),"""",IFERROR(LET(
campo,XLOOKUP(TRIM(G2647),ARRAYFORMULA(TRIM('indice columnas'!$A$2:$A$100)),'indice columnas'!$B$2:$B$100,""""),
col,IFERROR(MATCH(campo,Referencia!$A$1:$AZ$1,0),0),
fila,IFERROR(MATCH(TO_TEXT(D2647),ARRAYFOR"&amp;"MULA(TO_TEXT(Referencia!$A$2:$A6238)),0),0),
IF(OR(campo="""",campo=""-""),""NO APLICA"",
IF(col=0,""REVISAR EQUIVALENCIA"",
IF(fila=0,""SKU NO ENCONTRADO"",
LET(
valor,INDEX(Referencia!$A$2:$AZ6238,fila,col),
IF(TRIM(TO_TEXT(valor))=TRIM(TO_TEXT(I2647)),"&amp;"
""OK"",
""NO COINCIDE. Valor verdadero: ""&amp;IF(valor="""",""[VACÍO]"",TO_TEXT(valor))
)
))))
),""ERROR EN FÓRMULA""))"),"OK")</f>
        <v>OK</v>
      </c>
    </row>
    <row r="2648">
      <c r="A2648" s="83" t="s">
        <v>4078</v>
      </c>
      <c r="B2648" s="83" t="s">
        <v>4079</v>
      </c>
      <c r="C2648" s="81" t="s">
        <v>4086</v>
      </c>
      <c r="D2648" s="83" t="s">
        <v>4829</v>
      </c>
      <c r="E2648" s="81" t="s">
        <v>3936</v>
      </c>
      <c r="F2648" s="84">
        <v>772.0</v>
      </c>
      <c r="G2648" s="81" t="s">
        <v>44</v>
      </c>
      <c r="H2648" s="81" t="s">
        <v>224</v>
      </c>
      <c r="I2648" s="81" t="s">
        <v>3909</v>
      </c>
      <c r="J2648" s="81" t="s">
        <v>4088</v>
      </c>
      <c r="K2648" s="81" t="str">
        <f>IFERROR(__xludf.DUMMYFUNCTION("IF(OR(D2648="""",G2648=""""),"""",IFERROR(LET(
campo,XLOOKUP(TRIM(G2648),ARRAYFORMULA(TRIM('indice columnas'!$A$2:$A$100)),'indice columnas'!$B$2:$B$100,""""),
col,IFERROR(MATCH(campo,Referencia!$A$1:$AZ$1,0),0),
fila,IFERROR(MATCH(TO_TEXT(D2648),ARRAYFOR"&amp;"MULA(TO_TEXT(Referencia!$A$2:$A6238)),0),0),
IF(OR(campo="""",campo=""-""),""NO APLICA"",
IF(col=0,""REVISAR EQUIVALENCIA"",
IF(fila=0,""SKU NO ENCONTRADO"",
LET(
valor,INDEX(Referencia!$A$2:$AZ6238,fila,col),
IF(TRIM(TO_TEXT(valor))=TRIM(TO_TEXT(I2648)),"&amp;"
""OK"",
""NO COINCIDE. Valor verdadero: ""&amp;IF(valor="""",""[VACÍO]"",TO_TEXT(valor))
)
))))
),""ERROR EN FÓRMULA""))"),"NO APLICA")</f>
        <v>NO APLICA</v>
      </c>
    </row>
    <row r="2649">
      <c r="A2649" s="83" t="s">
        <v>4078</v>
      </c>
      <c r="B2649" s="83" t="s">
        <v>4079</v>
      </c>
      <c r="C2649" s="81" t="s">
        <v>4086</v>
      </c>
      <c r="D2649" s="83" t="s">
        <v>4830</v>
      </c>
      <c r="E2649" s="81" t="s">
        <v>3939</v>
      </c>
      <c r="F2649" s="84">
        <v>773.0</v>
      </c>
      <c r="G2649" s="81" t="s">
        <v>7</v>
      </c>
      <c r="H2649" s="81" t="s">
        <v>3623</v>
      </c>
      <c r="I2649" s="81" t="s">
        <v>1134</v>
      </c>
      <c r="J2649" s="81" t="s">
        <v>224</v>
      </c>
      <c r="K2649" s="81" t="str">
        <f>IFERROR(__xludf.DUMMYFUNCTION("IF(OR(D2649="""",G2649=""""),"""",IFERROR(LET(
campo,XLOOKUP(TRIM(G2649),ARRAYFORMULA(TRIM('indice columnas'!$A$2:$A$100)),'indice columnas'!$B$2:$B$100,""""),
col,IFERROR(MATCH(campo,Referencia!$A$1:$AZ$1,0),0),
fila,IFERROR(MATCH(TO_TEXT(D2649),ARRAYFOR"&amp;"MULA(TO_TEXT(Referencia!$A$2:$A6238)),0),0),
IF(OR(campo="""",campo=""-""),""NO APLICA"",
IF(col=0,""REVISAR EQUIVALENCIA"",
IF(fila=0,""SKU NO ENCONTRADO"",
LET(
valor,INDEX(Referencia!$A$2:$AZ6238,fila,col),
IF(TRIM(TO_TEXT(valor))=TRIM(TO_TEXT(I2649)),"&amp;"
""OK"",
""NO COINCIDE. Valor verdadero: ""&amp;IF(valor="""",""[VACÍO]"",TO_TEXT(valor))
)
))))
),""ERROR EN FÓRMULA""))"),"REVISAR EQUIVALENCIA")</f>
        <v>REVISAR EQUIVALENCIA</v>
      </c>
    </row>
    <row r="2650">
      <c r="A2650" s="83" t="s">
        <v>4078</v>
      </c>
      <c r="B2650" s="83" t="s">
        <v>4079</v>
      </c>
      <c r="C2650" s="81" t="s">
        <v>4086</v>
      </c>
      <c r="D2650" s="83" t="s">
        <v>4830</v>
      </c>
      <c r="E2650" s="81" t="s">
        <v>3939</v>
      </c>
      <c r="F2650" s="84">
        <v>773.0</v>
      </c>
      <c r="G2650" s="81" t="s">
        <v>12</v>
      </c>
      <c r="H2650" s="81" t="s">
        <v>224</v>
      </c>
      <c r="I2650" s="81" t="s">
        <v>1549</v>
      </c>
      <c r="J2650" s="81" t="s">
        <v>224</v>
      </c>
      <c r="K2650" s="81" t="str">
        <f>IFERROR(__xludf.DUMMYFUNCTION("IF(OR(D2650="""",G2650=""""),"""",IFERROR(LET(
campo,XLOOKUP(TRIM(G2650),ARRAYFORMULA(TRIM('indice columnas'!$A$2:$A$100)),'indice columnas'!$B$2:$B$100,""""),
col,IFERROR(MATCH(campo,Referencia!$A$1:$AZ$1,0),0),
fila,IFERROR(MATCH(TO_TEXT(D2650),ARRAYFOR"&amp;"MULA(TO_TEXT(Referencia!$A$2:$A6238)),0),0),
IF(OR(campo="""",campo=""-""),""NO APLICA"",
IF(col=0,""REVISAR EQUIVALENCIA"",
IF(fila=0,""SKU NO ENCONTRADO"",
LET(
valor,INDEX(Referencia!$A$2:$AZ6238,fila,col),
IF(TRIM(TO_TEXT(valor))=TRIM(TO_TEXT(I2650)),"&amp;"
""OK"",
""NO COINCIDE. Valor verdadero: ""&amp;IF(valor="""",""[VACÍO]"",TO_TEXT(valor))
)
))))
),""ERROR EN FÓRMULA""))"),"OK")</f>
        <v>OK</v>
      </c>
    </row>
    <row r="2651">
      <c r="A2651" s="83" t="s">
        <v>4078</v>
      </c>
      <c r="B2651" s="83" t="s">
        <v>4079</v>
      </c>
      <c r="C2651" s="81" t="s">
        <v>4086</v>
      </c>
      <c r="D2651" s="83" t="s">
        <v>4830</v>
      </c>
      <c r="E2651" s="81" t="s">
        <v>3939</v>
      </c>
      <c r="F2651" s="84">
        <v>773.0</v>
      </c>
      <c r="G2651" s="81" t="s">
        <v>44</v>
      </c>
      <c r="H2651" s="81" t="s">
        <v>224</v>
      </c>
      <c r="I2651" s="81" t="s">
        <v>3909</v>
      </c>
      <c r="J2651" s="81" t="s">
        <v>4088</v>
      </c>
      <c r="K2651" s="81" t="str">
        <f>IFERROR(__xludf.DUMMYFUNCTION("IF(OR(D2651="""",G2651=""""),"""",IFERROR(LET(
campo,XLOOKUP(TRIM(G2651),ARRAYFORMULA(TRIM('indice columnas'!$A$2:$A$100)),'indice columnas'!$B$2:$B$100,""""),
col,IFERROR(MATCH(campo,Referencia!$A$1:$AZ$1,0),0),
fila,IFERROR(MATCH(TO_TEXT(D2651),ARRAYFOR"&amp;"MULA(TO_TEXT(Referencia!$A$2:$A6238)),0),0),
IF(OR(campo="""",campo=""-""),""NO APLICA"",
IF(col=0,""REVISAR EQUIVALENCIA"",
IF(fila=0,""SKU NO ENCONTRADO"",
LET(
valor,INDEX(Referencia!$A$2:$AZ6238,fila,col),
IF(TRIM(TO_TEXT(valor))=TRIM(TO_TEXT(I2651)),"&amp;"
""OK"",
""NO COINCIDE. Valor verdadero: ""&amp;IF(valor="""",""[VACÍO]"",TO_TEXT(valor))
)
))))
),""ERROR EN FÓRMULA""))"),"NO APLICA")</f>
        <v>NO APLICA</v>
      </c>
    </row>
    <row r="2652">
      <c r="A2652" s="83" t="s">
        <v>4078</v>
      </c>
      <c r="B2652" s="83" t="s">
        <v>4079</v>
      </c>
      <c r="C2652" s="81" t="s">
        <v>4086</v>
      </c>
      <c r="D2652" s="83" t="s">
        <v>4831</v>
      </c>
      <c r="E2652" s="81" t="s">
        <v>3942</v>
      </c>
      <c r="F2652" s="84">
        <v>774.0</v>
      </c>
      <c r="G2652" s="81" t="s">
        <v>7</v>
      </c>
      <c r="H2652" s="81" t="s">
        <v>3623</v>
      </c>
      <c r="I2652" s="81" t="s">
        <v>1134</v>
      </c>
      <c r="J2652" s="81" t="s">
        <v>224</v>
      </c>
      <c r="K2652" s="81" t="str">
        <f>IFERROR(__xludf.DUMMYFUNCTION("IF(OR(D2652="""",G2652=""""),"""",IFERROR(LET(
campo,XLOOKUP(TRIM(G2652),ARRAYFORMULA(TRIM('indice columnas'!$A$2:$A$100)),'indice columnas'!$B$2:$B$100,""""),
col,IFERROR(MATCH(campo,Referencia!$A$1:$AZ$1,0),0),
fila,IFERROR(MATCH(TO_TEXT(D2652),ARRAYFOR"&amp;"MULA(TO_TEXT(Referencia!$A$2:$A6238)),0),0),
IF(OR(campo="""",campo=""-""),""NO APLICA"",
IF(col=0,""REVISAR EQUIVALENCIA"",
IF(fila=0,""SKU NO ENCONTRADO"",
LET(
valor,INDEX(Referencia!$A$2:$AZ6238,fila,col),
IF(TRIM(TO_TEXT(valor))=TRIM(TO_TEXT(I2652)),"&amp;"
""OK"",
""NO COINCIDE. Valor verdadero: ""&amp;IF(valor="""",""[VACÍO]"",TO_TEXT(valor))
)
))))
),""ERROR EN FÓRMULA""))"),"REVISAR EQUIVALENCIA")</f>
        <v>REVISAR EQUIVALENCIA</v>
      </c>
    </row>
    <row r="2653">
      <c r="A2653" s="83" t="s">
        <v>4078</v>
      </c>
      <c r="B2653" s="83" t="s">
        <v>4079</v>
      </c>
      <c r="C2653" s="81" t="s">
        <v>4086</v>
      </c>
      <c r="D2653" s="83" t="s">
        <v>4831</v>
      </c>
      <c r="E2653" s="81" t="s">
        <v>3942</v>
      </c>
      <c r="F2653" s="84">
        <v>774.0</v>
      </c>
      <c r="G2653" s="81" t="s">
        <v>12</v>
      </c>
      <c r="H2653" s="81" t="s">
        <v>224</v>
      </c>
      <c r="I2653" s="81" t="s">
        <v>1549</v>
      </c>
      <c r="J2653" s="81" t="s">
        <v>224</v>
      </c>
      <c r="K2653" s="81" t="str">
        <f>IFERROR(__xludf.DUMMYFUNCTION("IF(OR(D2653="""",G2653=""""),"""",IFERROR(LET(
campo,XLOOKUP(TRIM(G2653),ARRAYFORMULA(TRIM('indice columnas'!$A$2:$A$100)),'indice columnas'!$B$2:$B$100,""""),
col,IFERROR(MATCH(campo,Referencia!$A$1:$AZ$1,0),0),
fila,IFERROR(MATCH(TO_TEXT(D2653),ARRAYFOR"&amp;"MULA(TO_TEXT(Referencia!$A$2:$A6238)),0),0),
IF(OR(campo="""",campo=""-""),""NO APLICA"",
IF(col=0,""REVISAR EQUIVALENCIA"",
IF(fila=0,""SKU NO ENCONTRADO"",
LET(
valor,INDEX(Referencia!$A$2:$AZ6238,fila,col),
IF(TRIM(TO_TEXT(valor))=TRIM(TO_TEXT(I2653)),"&amp;"
""OK"",
""NO COINCIDE. Valor verdadero: ""&amp;IF(valor="""",""[VACÍO]"",TO_TEXT(valor))
)
))))
),""ERROR EN FÓRMULA""))"),"OK")</f>
        <v>OK</v>
      </c>
    </row>
    <row r="2654">
      <c r="A2654" s="83" t="s">
        <v>4078</v>
      </c>
      <c r="B2654" s="83" t="s">
        <v>4079</v>
      </c>
      <c r="C2654" s="81" t="s">
        <v>4086</v>
      </c>
      <c r="D2654" s="83" t="s">
        <v>4831</v>
      </c>
      <c r="E2654" s="81" t="s">
        <v>3942</v>
      </c>
      <c r="F2654" s="84">
        <v>774.0</v>
      </c>
      <c r="G2654" s="81" t="s">
        <v>44</v>
      </c>
      <c r="H2654" s="81" t="s">
        <v>224</v>
      </c>
      <c r="I2654" s="81" t="s">
        <v>3909</v>
      </c>
      <c r="J2654" s="81" t="s">
        <v>4088</v>
      </c>
      <c r="K2654" s="81" t="str">
        <f>IFERROR(__xludf.DUMMYFUNCTION("IF(OR(D2654="""",G2654=""""),"""",IFERROR(LET(
campo,XLOOKUP(TRIM(G2654),ARRAYFORMULA(TRIM('indice columnas'!$A$2:$A$100)),'indice columnas'!$B$2:$B$100,""""),
col,IFERROR(MATCH(campo,Referencia!$A$1:$AZ$1,0),0),
fila,IFERROR(MATCH(TO_TEXT(D2654),ARRAYFOR"&amp;"MULA(TO_TEXT(Referencia!$A$2:$A6238)),0),0),
IF(OR(campo="""",campo=""-""),""NO APLICA"",
IF(col=0,""REVISAR EQUIVALENCIA"",
IF(fila=0,""SKU NO ENCONTRADO"",
LET(
valor,INDEX(Referencia!$A$2:$AZ6238,fila,col),
IF(TRIM(TO_TEXT(valor))=TRIM(TO_TEXT(I2654)),"&amp;"
""OK"",
""NO COINCIDE. Valor verdadero: ""&amp;IF(valor="""",""[VACÍO]"",TO_TEXT(valor))
)
))))
),""ERROR EN FÓRMULA""))"),"NO APLICA")</f>
        <v>NO APLICA</v>
      </c>
    </row>
    <row r="2655">
      <c r="A2655" s="83" t="s">
        <v>4078</v>
      </c>
      <c r="B2655" s="83" t="s">
        <v>4079</v>
      </c>
      <c r="C2655" s="81" t="s">
        <v>4086</v>
      </c>
      <c r="D2655" s="83" t="s">
        <v>4832</v>
      </c>
      <c r="E2655" s="81" t="s">
        <v>3945</v>
      </c>
      <c r="F2655" s="84">
        <v>775.0</v>
      </c>
      <c r="G2655" s="81" t="s">
        <v>44</v>
      </c>
      <c r="H2655" s="81" t="s">
        <v>224</v>
      </c>
      <c r="I2655" s="81" t="s">
        <v>3945</v>
      </c>
      <c r="J2655" s="81" t="s">
        <v>4088</v>
      </c>
      <c r="K2655" s="81" t="str">
        <f>IFERROR(__xludf.DUMMYFUNCTION("IF(OR(D2655="""",G2655=""""),"""",IFERROR(LET(
campo,XLOOKUP(TRIM(G2655),ARRAYFORMULA(TRIM('indice columnas'!$A$2:$A$100)),'indice columnas'!$B$2:$B$100,""""),
col,IFERROR(MATCH(campo,Referencia!$A$1:$AZ$1,0),0),
fila,IFERROR(MATCH(TO_TEXT(D2655),ARRAYFOR"&amp;"MULA(TO_TEXT(Referencia!$A$2:$A6238)),0),0),
IF(OR(campo="""",campo=""-""),""NO APLICA"",
IF(col=0,""REVISAR EQUIVALENCIA"",
IF(fila=0,""SKU NO ENCONTRADO"",
LET(
valor,INDEX(Referencia!$A$2:$AZ6238,fila,col),
IF(TRIM(TO_TEXT(valor))=TRIM(TO_TEXT(I2655)),"&amp;"
""OK"",
""NO COINCIDE. Valor verdadero: ""&amp;IF(valor="""",""[VACÍO]"",TO_TEXT(valor))
)
))))
),""ERROR EN FÓRMULA""))"),"NO APLICA")</f>
        <v>NO APLICA</v>
      </c>
    </row>
    <row r="2656">
      <c r="A2656" s="83" t="s">
        <v>4078</v>
      </c>
      <c r="B2656" s="83" t="s">
        <v>4079</v>
      </c>
      <c r="C2656" s="81" t="s">
        <v>4086</v>
      </c>
      <c r="D2656" s="83" t="s">
        <v>4832</v>
      </c>
      <c r="E2656" s="81" t="s">
        <v>3955</v>
      </c>
      <c r="F2656" s="84">
        <v>776.0</v>
      </c>
      <c r="G2656" s="81" t="s">
        <v>7</v>
      </c>
      <c r="H2656" s="81" t="s">
        <v>3623</v>
      </c>
      <c r="I2656" s="81" t="s">
        <v>53</v>
      </c>
      <c r="J2656" s="81" t="s">
        <v>224</v>
      </c>
      <c r="K2656" s="81" t="str">
        <f>IFERROR(__xludf.DUMMYFUNCTION("IF(OR(D2656="""",G2656=""""),"""",IFERROR(LET(
campo,XLOOKUP(TRIM(G2656),ARRAYFORMULA(TRIM('indice columnas'!$A$2:$A$100)),'indice columnas'!$B$2:$B$100,""""),
col,IFERROR(MATCH(campo,Referencia!$A$1:$AZ$1,0),0),
fila,IFERROR(MATCH(TO_TEXT(D2656),ARRAYFOR"&amp;"MULA(TO_TEXT(Referencia!$A$2:$A6238)),0),0),
IF(OR(campo="""",campo=""-""),""NO APLICA"",
IF(col=0,""REVISAR EQUIVALENCIA"",
IF(fila=0,""SKU NO ENCONTRADO"",
LET(
valor,INDEX(Referencia!$A$2:$AZ6238,fila,col),
IF(TRIM(TO_TEXT(valor))=TRIM(TO_TEXT(I2656)),"&amp;"
""OK"",
""NO COINCIDE. Valor verdadero: ""&amp;IF(valor="""",""[VACÍO]"",TO_TEXT(valor))
)
))))
),""ERROR EN FÓRMULA""))"),"REVISAR EQUIVALENCIA")</f>
        <v>REVISAR EQUIVALENCIA</v>
      </c>
    </row>
    <row r="2657">
      <c r="A2657" s="83" t="s">
        <v>4078</v>
      </c>
      <c r="B2657" s="83" t="s">
        <v>4079</v>
      </c>
      <c r="C2657" s="81" t="s">
        <v>4086</v>
      </c>
      <c r="D2657" s="83" t="s">
        <v>4832</v>
      </c>
      <c r="E2657" s="81" t="s">
        <v>3955</v>
      </c>
      <c r="F2657" s="84">
        <v>776.0</v>
      </c>
      <c r="G2657" s="81" t="s">
        <v>44</v>
      </c>
      <c r="H2657" s="81" t="s">
        <v>224</v>
      </c>
      <c r="I2657" s="81" t="s">
        <v>3945</v>
      </c>
      <c r="J2657" s="81" t="s">
        <v>4088</v>
      </c>
      <c r="K2657" s="81" t="str">
        <f>IFERROR(__xludf.DUMMYFUNCTION("IF(OR(D2657="""",G2657=""""),"""",IFERROR(LET(
campo,XLOOKUP(TRIM(G2657),ARRAYFORMULA(TRIM('indice columnas'!$A$2:$A$100)),'indice columnas'!$B$2:$B$100,""""),
col,IFERROR(MATCH(campo,Referencia!$A$1:$AZ$1,0),0),
fila,IFERROR(MATCH(TO_TEXT(D2657),ARRAYFOR"&amp;"MULA(TO_TEXT(Referencia!$A$2:$A6238)),0),0),
IF(OR(campo="""",campo=""-""),""NO APLICA"",
IF(col=0,""REVISAR EQUIVALENCIA"",
IF(fila=0,""SKU NO ENCONTRADO"",
LET(
valor,INDEX(Referencia!$A$2:$AZ6238,fila,col),
IF(TRIM(TO_TEXT(valor))=TRIM(TO_TEXT(I2657)),"&amp;"
""OK"",
""NO COINCIDE. Valor verdadero: ""&amp;IF(valor="""",""[VACÍO]"",TO_TEXT(valor))
)
))))
),""ERROR EN FÓRMULA""))"),"NO APLICA")</f>
        <v>NO APLICA</v>
      </c>
    </row>
    <row r="2658">
      <c r="A2658" s="83" t="s">
        <v>4078</v>
      </c>
      <c r="B2658" s="83" t="s">
        <v>4079</v>
      </c>
      <c r="C2658" s="81" t="s">
        <v>4086</v>
      </c>
      <c r="D2658" s="83" t="s">
        <v>4833</v>
      </c>
      <c r="E2658" s="81" t="s">
        <v>3956</v>
      </c>
      <c r="F2658" s="84">
        <v>777.0</v>
      </c>
      <c r="G2658" s="81" t="s">
        <v>7</v>
      </c>
      <c r="H2658" s="81" t="s">
        <v>3623</v>
      </c>
      <c r="I2658" s="81" t="s">
        <v>53</v>
      </c>
      <c r="J2658" s="81" t="s">
        <v>224</v>
      </c>
      <c r="K2658" s="81" t="str">
        <f>IFERROR(__xludf.DUMMYFUNCTION("IF(OR(D2658="""",G2658=""""),"""",IFERROR(LET(
campo,XLOOKUP(TRIM(G2658),ARRAYFORMULA(TRIM('indice columnas'!$A$2:$A$100)),'indice columnas'!$B$2:$B$100,""""),
col,IFERROR(MATCH(campo,Referencia!$A$1:$AZ$1,0),0),
fila,IFERROR(MATCH(TO_TEXT(D2658),ARRAYFOR"&amp;"MULA(TO_TEXT(Referencia!$A$2:$A6238)),0),0),
IF(OR(campo="""",campo=""-""),""NO APLICA"",
IF(col=0,""REVISAR EQUIVALENCIA"",
IF(fila=0,""SKU NO ENCONTRADO"",
LET(
valor,INDEX(Referencia!$A$2:$AZ6238,fila,col),
IF(TRIM(TO_TEXT(valor))=TRIM(TO_TEXT(I2658)),"&amp;"
""OK"",
""NO COINCIDE. Valor verdadero: ""&amp;IF(valor="""",""[VACÍO]"",TO_TEXT(valor))
)
))))
),""ERROR EN FÓRMULA""))"),"REVISAR EQUIVALENCIA")</f>
        <v>REVISAR EQUIVALENCIA</v>
      </c>
    </row>
    <row r="2659">
      <c r="A2659" s="83" t="s">
        <v>4078</v>
      </c>
      <c r="B2659" s="83" t="s">
        <v>4079</v>
      </c>
      <c r="C2659" s="81" t="s">
        <v>4086</v>
      </c>
      <c r="D2659" s="83" t="s">
        <v>4833</v>
      </c>
      <c r="E2659" s="81" t="s">
        <v>3956</v>
      </c>
      <c r="F2659" s="84">
        <v>777.0</v>
      </c>
      <c r="G2659" s="81" t="s">
        <v>44</v>
      </c>
      <c r="H2659" s="81" t="s">
        <v>224</v>
      </c>
      <c r="I2659" s="81" t="s">
        <v>3945</v>
      </c>
      <c r="J2659" s="81" t="s">
        <v>4088</v>
      </c>
      <c r="K2659" s="81" t="str">
        <f>IFERROR(__xludf.DUMMYFUNCTION("IF(OR(D2659="""",G2659=""""),"""",IFERROR(LET(
campo,XLOOKUP(TRIM(G2659),ARRAYFORMULA(TRIM('indice columnas'!$A$2:$A$100)),'indice columnas'!$B$2:$B$100,""""),
col,IFERROR(MATCH(campo,Referencia!$A$1:$AZ$1,0),0),
fila,IFERROR(MATCH(TO_TEXT(D2659),ARRAYFOR"&amp;"MULA(TO_TEXT(Referencia!$A$2:$A6238)),0),0),
IF(OR(campo="""",campo=""-""),""NO APLICA"",
IF(col=0,""REVISAR EQUIVALENCIA"",
IF(fila=0,""SKU NO ENCONTRADO"",
LET(
valor,INDEX(Referencia!$A$2:$AZ6238,fila,col),
IF(TRIM(TO_TEXT(valor))=TRIM(TO_TEXT(I2659)),"&amp;"
""OK"",
""NO COINCIDE. Valor verdadero: ""&amp;IF(valor="""",""[VACÍO]"",TO_TEXT(valor))
)
))))
),""ERROR EN FÓRMULA""))"),"NO APLICA")</f>
        <v>NO APLICA</v>
      </c>
    </row>
    <row r="2660">
      <c r="A2660" s="83" t="s">
        <v>4078</v>
      </c>
      <c r="B2660" s="83" t="s">
        <v>4079</v>
      </c>
      <c r="C2660" s="81" t="s">
        <v>4086</v>
      </c>
      <c r="D2660" s="83" t="s">
        <v>4834</v>
      </c>
      <c r="E2660" s="81" t="s">
        <v>3959</v>
      </c>
      <c r="F2660" s="84">
        <v>778.0</v>
      </c>
      <c r="G2660" s="81" t="s">
        <v>7</v>
      </c>
      <c r="H2660" s="81" t="s">
        <v>3623</v>
      </c>
      <c r="I2660" s="81" t="s">
        <v>53</v>
      </c>
      <c r="J2660" s="81" t="s">
        <v>224</v>
      </c>
      <c r="K2660" s="81" t="str">
        <f>IFERROR(__xludf.DUMMYFUNCTION("IF(OR(D2660="""",G2660=""""),"""",IFERROR(LET(
campo,XLOOKUP(TRIM(G2660),ARRAYFORMULA(TRIM('indice columnas'!$A$2:$A$100)),'indice columnas'!$B$2:$B$100,""""),
col,IFERROR(MATCH(campo,Referencia!$A$1:$AZ$1,0),0),
fila,IFERROR(MATCH(TO_TEXT(D2660),ARRAYFOR"&amp;"MULA(TO_TEXT(Referencia!$A$2:$A6238)),0),0),
IF(OR(campo="""",campo=""-""),""NO APLICA"",
IF(col=0,""REVISAR EQUIVALENCIA"",
IF(fila=0,""SKU NO ENCONTRADO"",
LET(
valor,INDEX(Referencia!$A$2:$AZ6238,fila,col),
IF(TRIM(TO_TEXT(valor))=TRIM(TO_TEXT(I2660)),"&amp;"
""OK"",
""NO COINCIDE. Valor verdadero: ""&amp;IF(valor="""",""[VACÍO]"",TO_TEXT(valor))
)
))))
),""ERROR EN FÓRMULA""))"),"REVISAR EQUIVALENCIA")</f>
        <v>REVISAR EQUIVALENCIA</v>
      </c>
    </row>
    <row r="2661">
      <c r="A2661" s="83" t="s">
        <v>4078</v>
      </c>
      <c r="B2661" s="83" t="s">
        <v>4079</v>
      </c>
      <c r="C2661" s="81" t="s">
        <v>4086</v>
      </c>
      <c r="D2661" s="83" t="s">
        <v>4834</v>
      </c>
      <c r="E2661" s="81" t="s">
        <v>3959</v>
      </c>
      <c r="F2661" s="84">
        <v>778.0</v>
      </c>
      <c r="G2661" s="81" t="s">
        <v>44</v>
      </c>
      <c r="H2661" s="81" t="s">
        <v>224</v>
      </c>
      <c r="I2661" s="81" t="s">
        <v>3945</v>
      </c>
      <c r="J2661" s="81" t="s">
        <v>4088</v>
      </c>
      <c r="K2661" s="81" t="str">
        <f>IFERROR(__xludf.DUMMYFUNCTION("IF(OR(D2661="""",G2661=""""),"""",IFERROR(LET(
campo,XLOOKUP(TRIM(G2661),ARRAYFORMULA(TRIM('indice columnas'!$A$2:$A$100)),'indice columnas'!$B$2:$B$100,""""),
col,IFERROR(MATCH(campo,Referencia!$A$1:$AZ$1,0),0),
fila,IFERROR(MATCH(TO_TEXT(D2661),ARRAYFOR"&amp;"MULA(TO_TEXT(Referencia!$A$2:$A6238)),0),0),
IF(OR(campo="""",campo=""-""),""NO APLICA"",
IF(col=0,""REVISAR EQUIVALENCIA"",
IF(fila=0,""SKU NO ENCONTRADO"",
LET(
valor,INDEX(Referencia!$A$2:$AZ6238,fila,col),
IF(TRIM(TO_TEXT(valor))=TRIM(TO_TEXT(I2661)),"&amp;"
""OK"",
""NO COINCIDE. Valor verdadero: ""&amp;IF(valor="""",""[VACÍO]"",TO_TEXT(valor))
)
))))
),""ERROR EN FÓRMULA""))"),"NO APLICA")</f>
        <v>NO APLICA</v>
      </c>
    </row>
    <row r="2662">
      <c r="A2662" s="83" t="s">
        <v>4078</v>
      </c>
      <c r="B2662" s="83" t="s">
        <v>4079</v>
      </c>
      <c r="C2662" s="81" t="s">
        <v>4086</v>
      </c>
      <c r="D2662" s="83" t="s">
        <v>4835</v>
      </c>
      <c r="E2662" s="81" t="s">
        <v>3962</v>
      </c>
      <c r="F2662" s="84">
        <v>779.0</v>
      </c>
      <c r="G2662" s="81" t="s">
        <v>7</v>
      </c>
      <c r="H2662" s="81" t="s">
        <v>4812</v>
      </c>
      <c r="I2662" s="81" t="s">
        <v>4008</v>
      </c>
      <c r="J2662" s="81" t="s">
        <v>224</v>
      </c>
      <c r="K2662" s="81" t="str">
        <f>IFERROR(__xludf.DUMMYFUNCTION("IF(OR(D2662="""",G2662=""""),"""",IFERROR(LET(
campo,XLOOKUP(TRIM(G2662),ARRAYFORMULA(TRIM('indice columnas'!$A$2:$A$100)),'indice columnas'!$B$2:$B$100,""""),
col,IFERROR(MATCH(campo,Referencia!$A$1:$AZ$1,0),0),
fila,IFERROR(MATCH(TO_TEXT(D2662),ARRAYFOR"&amp;"MULA(TO_TEXT(Referencia!$A$2:$A6238)),0),0),
IF(OR(campo="""",campo=""-""),""NO APLICA"",
IF(col=0,""REVISAR EQUIVALENCIA"",
IF(fila=0,""SKU NO ENCONTRADO"",
LET(
valor,INDEX(Referencia!$A$2:$AZ6238,fila,col),
IF(TRIM(TO_TEXT(valor))=TRIM(TO_TEXT(I2662)),"&amp;"
""OK"",
""NO COINCIDE. Valor verdadero: ""&amp;IF(valor="""",""[VACÍO]"",TO_TEXT(valor))
)
))))
),""ERROR EN FÓRMULA""))"),"REVISAR EQUIVALENCIA")</f>
        <v>REVISAR EQUIVALENCIA</v>
      </c>
    </row>
    <row r="2663">
      <c r="A2663" s="83" t="s">
        <v>4078</v>
      </c>
      <c r="B2663" s="83" t="s">
        <v>4079</v>
      </c>
      <c r="C2663" s="81" t="s">
        <v>4086</v>
      </c>
      <c r="D2663" s="83" t="s">
        <v>4835</v>
      </c>
      <c r="E2663" s="81" t="s">
        <v>3962</v>
      </c>
      <c r="F2663" s="84">
        <v>779.0</v>
      </c>
      <c r="G2663" s="81" t="s">
        <v>44</v>
      </c>
      <c r="H2663" s="81" t="s">
        <v>224</v>
      </c>
      <c r="I2663" s="81" t="s">
        <v>3945</v>
      </c>
      <c r="J2663" s="81" t="s">
        <v>4088</v>
      </c>
      <c r="K2663" s="81" t="str">
        <f>IFERROR(__xludf.DUMMYFUNCTION("IF(OR(D2663="""",G2663=""""),"""",IFERROR(LET(
campo,XLOOKUP(TRIM(G2663),ARRAYFORMULA(TRIM('indice columnas'!$A$2:$A$100)),'indice columnas'!$B$2:$B$100,""""),
col,IFERROR(MATCH(campo,Referencia!$A$1:$AZ$1,0),0),
fila,IFERROR(MATCH(TO_TEXT(D2663),ARRAYFOR"&amp;"MULA(TO_TEXT(Referencia!$A$2:$A6238)),0),0),
IF(OR(campo="""",campo=""-""),""NO APLICA"",
IF(col=0,""REVISAR EQUIVALENCIA"",
IF(fila=0,""SKU NO ENCONTRADO"",
LET(
valor,INDEX(Referencia!$A$2:$AZ6238,fila,col),
IF(TRIM(TO_TEXT(valor))=TRIM(TO_TEXT(I2663)),"&amp;"
""OK"",
""NO COINCIDE. Valor verdadero: ""&amp;IF(valor="""",""[VACÍO]"",TO_TEXT(valor))
)
))))
),""ERROR EN FÓRMULA""))"),"NO APLICA")</f>
        <v>NO APLICA</v>
      </c>
    </row>
    <row r="2664">
      <c r="A2664" s="83" t="s">
        <v>4078</v>
      </c>
      <c r="B2664" s="83" t="s">
        <v>4079</v>
      </c>
      <c r="C2664" s="81" t="s">
        <v>4086</v>
      </c>
      <c r="D2664" s="83" t="s">
        <v>4836</v>
      </c>
      <c r="E2664" s="81" t="s">
        <v>3965</v>
      </c>
      <c r="F2664" s="84">
        <v>780.0</v>
      </c>
      <c r="G2664" s="81" t="s">
        <v>7</v>
      </c>
      <c r="H2664" s="81" t="s">
        <v>4812</v>
      </c>
      <c r="I2664" s="81" t="s">
        <v>4008</v>
      </c>
      <c r="J2664" s="81" t="s">
        <v>224</v>
      </c>
      <c r="K2664" s="81" t="str">
        <f>IFERROR(__xludf.DUMMYFUNCTION("IF(OR(D2664="""",G2664=""""),"""",IFERROR(LET(
campo,XLOOKUP(TRIM(G2664),ARRAYFORMULA(TRIM('indice columnas'!$A$2:$A$100)),'indice columnas'!$B$2:$B$100,""""),
col,IFERROR(MATCH(campo,Referencia!$A$1:$AZ$1,0),0),
fila,IFERROR(MATCH(TO_TEXT(D2664),ARRAYFOR"&amp;"MULA(TO_TEXT(Referencia!$A$2:$A6238)),0),0),
IF(OR(campo="""",campo=""-""),""NO APLICA"",
IF(col=0,""REVISAR EQUIVALENCIA"",
IF(fila=0,""SKU NO ENCONTRADO"",
LET(
valor,INDEX(Referencia!$A$2:$AZ6238,fila,col),
IF(TRIM(TO_TEXT(valor))=TRIM(TO_TEXT(I2664)),"&amp;"
""OK"",
""NO COINCIDE. Valor verdadero: ""&amp;IF(valor="""",""[VACÍO]"",TO_TEXT(valor))
)
))))
),""ERROR EN FÓRMULA""))"),"REVISAR EQUIVALENCIA")</f>
        <v>REVISAR EQUIVALENCIA</v>
      </c>
    </row>
    <row r="2665">
      <c r="A2665" s="83" t="s">
        <v>4078</v>
      </c>
      <c r="B2665" s="83" t="s">
        <v>4079</v>
      </c>
      <c r="C2665" s="81" t="s">
        <v>4086</v>
      </c>
      <c r="D2665" s="83" t="s">
        <v>4836</v>
      </c>
      <c r="E2665" s="81" t="s">
        <v>3965</v>
      </c>
      <c r="F2665" s="84">
        <v>780.0</v>
      </c>
      <c r="G2665" s="81" t="s">
        <v>44</v>
      </c>
      <c r="H2665" s="81" t="s">
        <v>224</v>
      </c>
      <c r="I2665" s="81" t="s">
        <v>3945</v>
      </c>
      <c r="J2665" s="81" t="s">
        <v>4088</v>
      </c>
      <c r="K2665" s="81" t="str">
        <f>IFERROR(__xludf.DUMMYFUNCTION("IF(OR(D2665="""",G2665=""""),"""",IFERROR(LET(
campo,XLOOKUP(TRIM(G2665),ARRAYFORMULA(TRIM('indice columnas'!$A$2:$A$100)),'indice columnas'!$B$2:$B$100,""""),
col,IFERROR(MATCH(campo,Referencia!$A$1:$AZ$1,0),0),
fila,IFERROR(MATCH(TO_TEXT(D2665),ARRAYFOR"&amp;"MULA(TO_TEXT(Referencia!$A$2:$A6238)),0),0),
IF(OR(campo="""",campo=""-""),""NO APLICA"",
IF(col=0,""REVISAR EQUIVALENCIA"",
IF(fila=0,""SKU NO ENCONTRADO"",
LET(
valor,INDEX(Referencia!$A$2:$AZ6238,fila,col),
IF(TRIM(TO_TEXT(valor))=TRIM(TO_TEXT(I2665)),"&amp;"
""OK"",
""NO COINCIDE. Valor verdadero: ""&amp;IF(valor="""",""[VACÍO]"",TO_TEXT(valor))
)
))))
),""ERROR EN FÓRMULA""))"),"NO APLICA")</f>
        <v>NO APLICA</v>
      </c>
    </row>
    <row r="2666">
      <c r="A2666" s="83" t="s">
        <v>4078</v>
      </c>
      <c r="B2666" s="83" t="s">
        <v>4079</v>
      </c>
      <c r="C2666" s="81" t="s">
        <v>4086</v>
      </c>
      <c r="D2666" s="83" t="s">
        <v>4837</v>
      </c>
      <c r="E2666" s="81" t="s">
        <v>3968</v>
      </c>
      <c r="F2666" s="84">
        <v>781.0</v>
      </c>
      <c r="G2666" s="81" t="s">
        <v>7</v>
      </c>
      <c r="H2666" s="81" t="s">
        <v>4812</v>
      </c>
      <c r="I2666" s="81" t="s">
        <v>4008</v>
      </c>
      <c r="J2666" s="81" t="s">
        <v>224</v>
      </c>
      <c r="K2666" s="81" t="str">
        <f>IFERROR(__xludf.DUMMYFUNCTION("IF(OR(D2666="""",G2666=""""),"""",IFERROR(LET(
campo,XLOOKUP(TRIM(G2666),ARRAYFORMULA(TRIM('indice columnas'!$A$2:$A$100)),'indice columnas'!$B$2:$B$100,""""),
col,IFERROR(MATCH(campo,Referencia!$A$1:$AZ$1,0),0),
fila,IFERROR(MATCH(TO_TEXT(D2666),ARRAYFOR"&amp;"MULA(TO_TEXT(Referencia!$A$2:$A6238)),0),0),
IF(OR(campo="""",campo=""-""),""NO APLICA"",
IF(col=0,""REVISAR EQUIVALENCIA"",
IF(fila=0,""SKU NO ENCONTRADO"",
LET(
valor,INDEX(Referencia!$A$2:$AZ6238,fila,col),
IF(TRIM(TO_TEXT(valor))=TRIM(TO_TEXT(I2666)),"&amp;"
""OK"",
""NO COINCIDE. Valor verdadero: ""&amp;IF(valor="""",""[VACÍO]"",TO_TEXT(valor))
)
))))
),""ERROR EN FÓRMULA""))"),"REVISAR EQUIVALENCIA")</f>
        <v>REVISAR EQUIVALENCIA</v>
      </c>
    </row>
    <row r="2667">
      <c r="A2667" s="83" t="s">
        <v>4078</v>
      </c>
      <c r="B2667" s="83" t="s">
        <v>4079</v>
      </c>
      <c r="C2667" s="81" t="s">
        <v>4086</v>
      </c>
      <c r="D2667" s="83" t="s">
        <v>4837</v>
      </c>
      <c r="E2667" s="81" t="s">
        <v>3968</v>
      </c>
      <c r="F2667" s="84">
        <v>781.0</v>
      </c>
      <c r="G2667" s="81" t="s">
        <v>44</v>
      </c>
      <c r="H2667" s="81" t="s">
        <v>224</v>
      </c>
      <c r="I2667" s="81" t="s">
        <v>3945</v>
      </c>
      <c r="J2667" s="81" t="s">
        <v>4088</v>
      </c>
      <c r="K2667" s="81" t="str">
        <f>IFERROR(__xludf.DUMMYFUNCTION("IF(OR(D2667="""",G2667=""""),"""",IFERROR(LET(
campo,XLOOKUP(TRIM(G2667),ARRAYFORMULA(TRIM('indice columnas'!$A$2:$A$100)),'indice columnas'!$B$2:$B$100,""""),
col,IFERROR(MATCH(campo,Referencia!$A$1:$AZ$1,0),0),
fila,IFERROR(MATCH(TO_TEXT(D2667),ARRAYFOR"&amp;"MULA(TO_TEXT(Referencia!$A$2:$A6238)),0),0),
IF(OR(campo="""",campo=""-""),""NO APLICA"",
IF(col=0,""REVISAR EQUIVALENCIA"",
IF(fila=0,""SKU NO ENCONTRADO"",
LET(
valor,INDEX(Referencia!$A$2:$AZ6238,fila,col),
IF(TRIM(TO_TEXT(valor))=TRIM(TO_TEXT(I2667)),"&amp;"
""OK"",
""NO COINCIDE. Valor verdadero: ""&amp;IF(valor="""",""[VACÍO]"",TO_TEXT(valor))
)
))))
),""ERROR EN FÓRMULA""))"),"NO APLICA")</f>
        <v>NO APLICA</v>
      </c>
    </row>
    <row r="2668">
      <c r="A2668" s="83" t="s">
        <v>4078</v>
      </c>
      <c r="B2668" s="83" t="s">
        <v>4079</v>
      </c>
      <c r="C2668" s="81" t="s">
        <v>4086</v>
      </c>
      <c r="D2668" s="83" t="s">
        <v>4838</v>
      </c>
      <c r="E2668" s="81" t="s">
        <v>3971</v>
      </c>
      <c r="F2668" s="84">
        <v>782.0</v>
      </c>
      <c r="G2668" s="81" t="s">
        <v>44</v>
      </c>
      <c r="H2668" s="81" t="s">
        <v>224</v>
      </c>
      <c r="I2668" s="81" t="s">
        <v>3971</v>
      </c>
      <c r="J2668" s="81" t="s">
        <v>4088</v>
      </c>
      <c r="K2668" s="81" t="str">
        <f>IFERROR(__xludf.DUMMYFUNCTION("IF(OR(D2668="""",G2668=""""),"""",IFERROR(LET(
campo,XLOOKUP(TRIM(G2668),ARRAYFORMULA(TRIM('indice columnas'!$A$2:$A$100)),'indice columnas'!$B$2:$B$100,""""),
col,IFERROR(MATCH(campo,Referencia!$A$1:$AZ$1,0),0),
fila,IFERROR(MATCH(TO_TEXT(D2668),ARRAYFOR"&amp;"MULA(TO_TEXT(Referencia!$A$2:$A6238)),0),0),
IF(OR(campo="""",campo=""-""),""NO APLICA"",
IF(col=0,""REVISAR EQUIVALENCIA"",
IF(fila=0,""SKU NO ENCONTRADO"",
LET(
valor,INDEX(Referencia!$A$2:$AZ6238,fila,col),
IF(TRIM(TO_TEXT(valor))=TRIM(TO_TEXT(I2668)),"&amp;"
""OK"",
""NO COINCIDE. Valor verdadero: ""&amp;IF(valor="""",""[VACÍO]"",TO_TEXT(valor))
)
))))
),""ERROR EN FÓRMULA""))"),"NO APLICA")</f>
        <v>NO APLICA</v>
      </c>
    </row>
    <row r="2669">
      <c r="A2669" s="83" t="s">
        <v>4078</v>
      </c>
      <c r="B2669" s="83" t="s">
        <v>4079</v>
      </c>
      <c r="C2669" s="81" t="s">
        <v>4086</v>
      </c>
      <c r="D2669" s="83" t="s">
        <v>4838</v>
      </c>
      <c r="E2669" s="81" t="s">
        <v>3981</v>
      </c>
      <c r="F2669" s="84">
        <v>783.0</v>
      </c>
      <c r="G2669" s="81" t="s">
        <v>7</v>
      </c>
      <c r="H2669" s="81" t="s">
        <v>3623</v>
      </c>
      <c r="I2669" s="81" t="s">
        <v>53</v>
      </c>
      <c r="J2669" s="81" t="s">
        <v>224</v>
      </c>
      <c r="K2669" s="81" t="str">
        <f>IFERROR(__xludf.DUMMYFUNCTION("IF(OR(D2669="""",G2669=""""),"""",IFERROR(LET(
campo,XLOOKUP(TRIM(G2669),ARRAYFORMULA(TRIM('indice columnas'!$A$2:$A$100)),'indice columnas'!$B$2:$B$100,""""),
col,IFERROR(MATCH(campo,Referencia!$A$1:$AZ$1,0),0),
fila,IFERROR(MATCH(TO_TEXT(D2669),ARRAYFOR"&amp;"MULA(TO_TEXT(Referencia!$A$2:$A6238)),0),0),
IF(OR(campo="""",campo=""-""),""NO APLICA"",
IF(col=0,""REVISAR EQUIVALENCIA"",
IF(fila=0,""SKU NO ENCONTRADO"",
LET(
valor,INDEX(Referencia!$A$2:$AZ6238,fila,col),
IF(TRIM(TO_TEXT(valor))=TRIM(TO_TEXT(I2669)),"&amp;"
""OK"",
""NO COINCIDE. Valor verdadero: ""&amp;IF(valor="""",""[VACÍO]"",TO_TEXT(valor))
)
))))
),""ERROR EN FÓRMULA""))"),"REVISAR EQUIVALENCIA")</f>
        <v>REVISAR EQUIVALENCIA</v>
      </c>
    </row>
    <row r="2670">
      <c r="A2670" s="83" t="s">
        <v>4078</v>
      </c>
      <c r="B2670" s="83" t="s">
        <v>4079</v>
      </c>
      <c r="C2670" s="81" t="s">
        <v>4086</v>
      </c>
      <c r="D2670" s="83" t="s">
        <v>4838</v>
      </c>
      <c r="E2670" s="81" t="s">
        <v>3981</v>
      </c>
      <c r="F2670" s="84">
        <v>783.0</v>
      </c>
      <c r="G2670" s="81" t="s">
        <v>44</v>
      </c>
      <c r="H2670" s="81" t="s">
        <v>224</v>
      </c>
      <c r="I2670" s="81" t="s">
        <v>3971</v>
      </c>
      <c r="J2670" s="81" t="s">
        <v>4088</v>
      </c>
      <c r="K2670" s="81" t="str">
        <f>IFERROR(__xludf.DUMMYFUNCTION("IF(OR(D2670="""",G2670=""""),"""",IFERROR(LET(
campo,XLOOKUP(TRIM(G2670),ARRAYFORMULA(TRIM('indice columnas'!$A$2:$A$100)),'indice columnas'!$B$2:$B$100,""""),
col,IFERROR(MATCH(campo,Referencia!$A$1:$AZ$1,0),0),
fila,IFERROR(MATCH(TO_TEXT(D2670),ARRAYFOR"&amp;"MULA(TO_TEXT(Referencia!$A$2:$A6238)),0),0),
IF(OR(campo="""",campo=""-""),""NO APLICA"",
IF(col=0,""REVISAR EQUIVALENCIA"",
IF(fila=0,""SKU NO ENCONTRADO"",
LET(
valor,INDEX(Referencia!$A$2:$AZ6238,fila,col),
IF(TRIM(TO_TEXT(valor))=TRIM(TO_TEXT(I2670)),"&amp;"
""OK"",
""NO COINCIDE. Valor verdadero: ""&amp;IF(valor="""",""[VACÍO]"",TO_TEXT(valor))
)
))))
),""ERROR EN FÓRMULA""))"),"NO APLICA")</f>
        <v>NO APLICA</v>
      </c>
    </row>
    <row r="2671">
      <c r="A2671" s="83" t="s">
        <v>4078</v>
      </c>
      <c r="B2671" s="83" t="s">
        <v>4079</v>
      </c>
      <c r="C2671" s="81" t="s">
        <v>4086</v>
      </c>
      <c r="D2671" s="83" t="s">
        <v>4839</v>
      </c>
      <c r="E2671" s="81" t="s">
        <v>3982</v>
      </c>
      <c r="F2671" s="84">
        <v>784.0</v>
      </c>
      <c r="G2671" s="81" t="s">
        <v>7</v>
      </c>
      <c r="H2671" s="81" t="s">
        <v>3623</v>
      </c>
      <c r="I2671" s="81" t="s">
        <v>53</v>
      </c>
      <c r="J2671" s="81" t="s">
        <v>224</v>
      </c>
      <c r="K2671" s="81" t="str">
        <f>IFERROR(__xludf.DUMMYFUNCTION("IF(OR(D2671="""",G2671=""""),"""",IFERROR(LET(
campo,XLOOKUP(TRIM(G2671),ARRAYFORMULA(TRIM('indice columnas'!$A$2:$A$100)),'indice columnas'!$B$2:$B$100,""""),
col,IFERROR(MATCH(campo,Referencia!$A$1:$AZ$1,0),0),
fila,IFERROR(MATCH(TO_TEXT(D2671),ARRAYFOR"&amp;"MULA(TO_TEXT(Referencia!$A$2:$A6238)),0),0),
IF(OR(campo="""",campo=""-""),""NO APLICA"",
IF(col=0,""REVISAR EQUIVALENCIA"",
IF(fila=0,""SKU NO ENCONTRADO"",
LET(
valor,INDEX(Referencia!$A$2:$AZ6238,fila,col),
IF(TRIM(TO_TEXT(valor))=TRIM(TO_TEXT(I2671)),"&amp;"
""OK"",
""NO COINCIDE. Valor verdadero: ""&amp;IF(valor="""",""[VACÍO]"",TO_TEXT(valor))
)
))))
),""ERROR EN FÓRMULA""))"),"REVISAR EQUIVALENCIA")</f>
        <v>REVISAR EQUIVALENCIA</v>
      </c>
    </row>
    <row r="2672">
      <c r="A2672" s="83" t="s">
        <v>4078</v>
      </c>
      <c r="B2672" s="83" t="s">
        <v>4079</v>
      </c>
      <c r="C2672" s="81" t="s">
        <v>4086</v>
      </c>
      <c r="D2672" s="83" t="s">
        <v>4839</v>
      </c>
      <c r="E2672" s="81" t="s">
        <v>3982</v>
      </c>
      <c r="F2672" s="84">
        <v>784.0</v>
      </c>
      <c r="G2672" s="81" t="s">
        <v>44</v>
      </c>
      <c r="H2672" s="81" t="s">
        <v>224</v>
      </c>
      <c r="I2672" s="81" t="s">
        <v>3971</v>
      </c>
      <c r="J2672" s="81" t="s">
        <v>4088</v>
      </c>
      <c r="K2672" s="81" t="str">
        <f>IFERROR(__xludf.DUMMYFUNCTION("IF(OR(D2672="""",G2672=""""),"""",IFERROR(LET(
campo,XLOOKUP(TRIM(G2672),ARRAYFORMULA(TRIM('indice columnas'!$A$2:$A$100)),'indice columnas'!$B$2:$B$100,""""),
col,IFERROR(MATCH(campo,Referencia!$A$1:$AZ$1,0),0),
fila,IFERROR(MATCH(TO_TEXT(D2672),ARRAYFOR"&amp;"MULA(TO_TEXT(Referencia!$A$2:$A6238)),0),0),
IF(OR(campo="""",campo=""-""),""NO APLICA"",
IF(col=0,""REVISAR EQUIVALENCIA"",
IF(fila=0,""SKU NO ENCONTRADO"",
LET(
valor,INDEX(Referencia!$A$2:$AZ6238,fila,col),
IF(TRIM(TO_TEXT(valor))=TRIM(TO_TEXT(I2672)),"&amp;"
""OK"",
""NO COINCIDE. Valor verdadero: ""&amp;IF(valor="""",""[VACÍO]"",TO_TEXT(valor))
)
))))
),""ERROR EN FÓRMULA""))"),"NO APLICA")</f>
        <v>NO APLICA</v>
      </c>
    </row>
    <row r="2673">
      <c r="A2673" s="83" t="s">
        <v>4078</v>
      </c>
      <c r="B2673" s="83" t="s">
        <v>4079</v>
      </c>
      <c r="C2673" s="81" t="s">
        <v>4086</v>
      </c>
      <c r="D2673" s="83" t="s">
        <v>4840</v>
      </c>
      <c r="E2673" s="81" t="s">
        <v>3985</v>
      </c>
      <c r="F2673" s="84">
        <v>785.0</v>
      </c>
      <c r="G2673" s="81" t="s">
        <v>7</v>
      </c>
      <c r="H2673" s="81" t="s">
        <v>3623</v>
      </c>
      <c r="I2673" s="81" t="s">
        <v>53</v>
      </c>
      <c r="J2673" s="81" t="s">
        <v>224</v>
      </c>
      <c r="K2673" s="81" t="str">
        <f>IFERROR(__xludf.DUMMYFUNCTION("IF(OR(D2673="""",G2673=""""),"""",IFERROR(LET(
campo,XLOOKUP(TRIM(G2673),ARRAYFORMULA(TRIM('indice columnas'!$A$2:$A$100)),'indice columnas'!$B$2:$B$100,""""),
col,IFERROR(MATCH(campo,Referencia!$A$1:$AZ$1,0),0),
fila,IFERROR(MATCH(TO_TEXT(D2673),ARRAYFOR"&amp;"MULA(TO_TEXT(Referencia!$A$2:$A6238)),0),0),
IF(OR(campo="""",campo=""-""),""NO APLICA"",
IF(col=0,""REVISAR EQUIVALENCIA"",
IF(fila=0,""SKU NO ENCONTRADO"",
LET(
valor,INDEX(Referencia!$A$2:$AZ6238,fila,col),
IF(TRIM(TO_TEXT(valor))=TRIM(TO_TEXT(I2673)),"&amp;"
""OK"",
""NO COINCIDE. Valor verdadero: ""&amp;IF(valor="""",""[VACÍO]"",TO_TEXT(valor))
)
))))
),""ERROR EN FÓRMULA""))"),"REVISAR EQUIVALENCIA")</f>
        <v>REVISAR EQUIVALENCIA</v>
      </c>
    </row>
    <row r="2674">
      <c r="A2674" s="83" t="s">
        <v>4078</v>
      </c>
      <c r="B2674" s="83" t="s">
        <v>4079</v>
      </c>
      <c r="C2674" s="81" t="s">
        <v>4086</v>
      </c>
      <c r="D2674" s="83" t="s">
        <v>4840</v>
      </c>
      <c r="E2674" s="81" t="s">
        <v>3985</v>
      </c>
      <c r="F2674" s="84">
        <v>785.0</v>
      </c>
      <c r="G2674" s="81" t="s">
        <v>44</v>
      </c>
      <c r="H2674" s="81" t="s">
        <v>224</v>
      </c>
      <c r="I2674" s="81" t="s">
        <v>3971</v>
      </c>
      <c r="J2674" s="81" t="s">
        <v>4088</v>
      </c>
      <c r="K2674" s="81" t="str">
        <f>IFERROR(__xludf.DUMMYFUNCTION("IF(OR(D2674="""",G2674=""""),"""",IFERROR(LET(
campo,XLOOKUP(TRIM(G2674),ARRAYFORMULA(TRIM('indice columnas'!$A$2:$A$100)),'indice columnas'!$B$2:$B$100,""""),
col,IFERROR(MATCH(campo,Referencia!$A$1:$AZ$1,0),0),
fila,IFERROR(MATCH(TO_TEXT(D2674),ARRAYFOR"&amp;"MULA(TO_TEXT(Referencia!$A$2:$A6238)),0),0),
IF(OR(campo="""",campo=""-""),""NO APLICA"",
IF(col=0,""REVISAR EQUIVALENCIA"",
IF(fila=0,""SKU NO ENCONTRADO"",
LET(
valor,INDEX(Referencia!$A$2:$AZ6238,fila,col),
IF(TRIM(TO_TEXT(valor))=TRIM(TO_TEXT(I2674)),"&amp;"
""OK"",
""NO COINCIDE. Valor verdadero: ""&amp;IF(valor="""",""[VACÍO]"",TO_TEXT(valor))
)
))))
),""ERROR EN FÓRMULA""))"),"NO APLICA")</f>
        <v>NO APLICA</v>
      </c>
    </row>
    <row r="2675">
      <c r="A2675" s="83" t="s">
        <v>4078</v>
      </c>
      <c r="B2675" s="83" t="s">
        <v>4079</v>
      </c>
      <c r="C2675" s="81" t="s">
        <v>4086</v>
      </c>
      <c r="D2675" s="83" t="s">
        <v>4841</v>
      </c>
      <c r="E2675" s="81" t="s">
        <v>3988</v>
      </c>
      <c r="F2675" s="84">
        <v>786.0</v>
      </c>
      <c r="G2675" s="81" t="s">
        <v>7</v>
      </c>
      <c r="H2675" s="81" t="s">
        <v>4812</v>
      </c>
      <c r="I2675" s="81" t="s">
        <v>4008</v>
      </c>
      <c r="J2675" s="81" t="s">
        <v>224</v>
      </c>
      <c r="K2675" s="81" t="str">
        <f>IFERROR(__xludf.DUMMYFUNCTION("IF(OR(D2675="""",G2675=""""),"""",IFERROR(LET(
campo,XLOOKUP(TRIM(G2675),ARRAYFORMULA(TRIM('indice columnas'!$A$2:$A$100)),'indice columnas'!$B$2:$B$100,""""),
col,IFERROR(MATCH(campo,Referencia!$A$1:$AZ$1,0),0),
fila,IFERROR(MATCH(TO_TEXT(D2675),ARRAYFOR"&amp;"MULA(TO_TEXT(Referencia!$A$2:$A6238)),0),0),
IF(OR(campo="""",campo=""-""),""NO APLICA"",
IF(col=0,""REVISAR EQUIVALENCIA"",
IF(fila=0,""SKU NO ENCONTRADO"",
LET(
valor,INDEX(Referencia!$A$2:$AZ6238,fila,col),
IF(TRIM(TO_TEXT(valor))=TRIM(TO_TEXT(I2675)),"&amp;"
""OK"",
""NO COINCIDE. Valor verdadero: ""&amp;IF(valor="""",""[VACÍO]"",TO_TEXT(valor))
)
))))
),""ERROR EN FÓRMULA""))"),"REVISAR EQUIVALENCIA")</f>
        <v>REVISAR EQUIVALENCIA</v>
      </c>
    </row>
    <row r="2676">
      <c r="A2676" s="83" t="s">
        <v>4078</v>
      </c>
      <c r="B2676" s="83" t="s">
        <v>4079</v>
      </c>
      <c r="C2676" s="81" t="s">
        <v>4086</v>
      </c>
      <c r="D2676" s="83" t="s">
        <v>4841</v>
      </c>
      <c r="E2676" s="81" t="s">
        <v>3988</v>
      </c>
      <c r="F2676" s="84">
        <v>786.0</v>
      </c>
      <c r="G2676" s="81" t="s">
        <v>44</v>
      </c>
      <c r="H2676" s="81" t="s">
        <v>224</v>
      </c>
      <c r="I2676" s="81" t="s">
        <v>3971</v>
      </c>
      <c r="J2676" s="81" t="s">
        <v>4088</v>
      </c>
      <c r="K2676" s="81" t="str">
        <f>IFERROR(__xludf.DUMMYFUNCTION("IF(OR(D2676="""",G2676=""""),"""",IFERROR(LET(
campo,XLOOKUP(TRIM(G2676),ARRAYFORMULA(TRIM('indice columnas'!$A$2:$A$100)),'indice columnas'!$B$2:$B$100,""""),
col,IFERROR(MATCH(campo,Referencia!$A$1:$AZ$1,0),0),
fila,IFERROR(MATCH(TO_TEXT(D2676),ARRAYFOR"&amp;"MULA(TO_TEXT(Referencia!$A$2:$A6238)),0),0),
IF(OR(campo="""",campo=""-""),""NO APLICA"",
IF(col=0,""REVISAR EQUIVALENCIA"",
IF(fila=0,""SKU NO ENCONTRADO"",
LET(
valor,INDEX(Referencia!$A$2:$AZ6238,fila,col),
IF(TRIM(TO_TEXT(valor))=TRIM(TO_TEXT(I2676)),"&amp;"
""OK"",
""NO COINCIDE. Valor verdadero: ""&amp;IF(valor="""",""[VACÍO]"",TO_TEXT(valor))
)
))))
),""ERROR EN FÓRMULA""))"),"NO APLICA")</f>
        <v>NO APLICA</v>
      </c>
    </row>
    <row r="2677">
      <c r="A2677" s="83" t="s">
        <v>4078</v>
      </c>
      <c r="B2677" s="83" t="s">
        <v>4079</v>
      </c>
      <c r="C2677" s="81" t="s">
        <v>4086</v>
      </c>
      <c r="D2677" s="83" t="s">
        <v>4842</v>
      </c>
      <c r="E2677" s="81" t="s">
        <v>3991</v>
      </c>
      <c r="F2677" s="84">
        <v>787.0</v>
      </c>
      <c r="G2677" s="81" t="s">
        <v>7</v>
      </c>
      <c r="H2677" s="81" t="s">
        <v>4812</v>
      </c>
      <c r="I2677" s="81" t="s">
        <v>4008</v>
      </c>
      <c r="J2677" s="81" t="s">
        <v>224</v>
      </c>
      <c r="K2677" s="81" t="str">
        <f>IFERROR(__xludf.DUMMYFUNCTION("IF(OR(D2677="""",G2677=""""),"""",IFERROR(LET(
campo,XLOOKUP(TRIM(G2677),ARRAYFORMULA(TRIM('indice columnas'!$A$2:$A$100)),'indice columnas'!$B$2:$B$100,""""),
col,IFERROR(MATCH(campo,Referencia!$A$1:$AZ$1,0),0),
fila,IFERROR(MATCH(TO_TEXT(D2677),ARRAYFOR"&amp;"MULA(TO_TEXT(Referencia!$A$2:$A6238)),0),0),
IF(OR(campo="""",campo=""-""),""NO APLICA"",
IF(col=0,""REVISAR EQUIVALENCIA"",
IF(fila=0,""SKU NO ENCONTRADO"",
LET(
valor,INDEX(Referencia!$A$2:$AZ6238,fila,col),
IF(TRIM(TO_TEXT(valor))=TRIM(TO_TEXT(I2677)),"&amp;"
""OK"",
""NO COINCIDE. Valor verdadero: ""&amp;IF(valor="""",""[VACÍO]"",TO_TEXT(valor))
)
))))
),""ERROR EN FÓRMULA""))"),"REVISAR EQUIVALENCIA")</f>
        <v>REVISAR EQUIVALENCIA</v>
      </c>
    </row>
    <row r="2678">
      <c r="A2678" s="83" t="s">
        <v>4078</v>
      </c>
      <c r="B2678" s="83" t="s">
        <v>4079</v>
      </c>
      <c r="C2678" s="81" t="s">
        <v>4086</v>
      </c>
      <c r="D2678" s="83" t="s">
        <v>4842</v>
      </c>
      <c r="E2678" s="81" t="s">
        <v>3991</v>
      </c>
      <c r="F2678" s="84">
        <v>787.0</v>
      </c>
      <c r="G2678" s="81" t="s">
        <v>44</v>
      </c>
      <c r="H2678" s="81" t="s">
        <v>224</v>
      </c>
      <c r="I2678" s="81" t="s">
        <v>3971</v>
      </c>
      <c r="J2678" s="81" t="s">
        <v>4088</v>
      </c>
      <c r="K2678" s="81" t="str">
        <f>IFERROR(__xludf.DUMMYFUNCTION("IF(OR(D2678="""",G2678=""""),"""",IFERROR(LET(
campo,XLOOKUP(TRIM(G2678),ARRAYFORMULA(TRIM('indice columnas'!$A$2:$A$100)),'indice columnas'!$B$2:$B$100,""""),
col,IFERROR(MATCH(campo,Referencia!$A$1:$AZ$1,0),0),
fila,IFERROR(MATCH(TO_TEXT(D2678),ARRAYFOR"&amp;"MULA(TO_TEXT(Referencia!$A$2:$A6238)),0),0),
IF(OR(campo="""",campo=""-""),""NO APLICA"",
IF(col=0,""REVISAR EQUIVALENCIA"",
IF(fila=0,""SKU NO ENCONTRADO"",
LET(
valor,INDEX(Referencia!$A$2:$AZ6238,fila,col),
IF(TRIM(TO_TEXT(valor))=TRIM(TO_TEXT(I2678)),"&amp;"
""OK"",
""NO COINCIDE. Valor verdadero: ""&amp;IF(valor="""",""[VACÍO]"",TO_TEXT(valor))
)
))))
),""ERROR EN FÓRMULA""))"),"NO APLICA")</f>
        <v>NO APLICA</v>
      </c>
    </row>
    <row r="2679">
      <c r="A2679" s="83" t="s">
        <v>4078</v>
      </c>
      <c r="B2679" s="83" t="s">
        <v>4079</v>
      </c>
      <c r="C2679" s="81" t="s">
        <v>4086</v>
      </c>
      <c r="D2679" s="83" t="s">
        <v>4843</v>
      </c>
      <c r="E2679" s="81" t="s">
        <v>3994</v>
      </c>
      <c r="F2679" s="84">
        <v>788.0</v>
      </c>
      <c r="G2679" s="81" t="s">
        <v>7</v>
      </c>
      <c r="H2679" s="81" t="s">
        <v>4812</v>
      </c>
      <c r="I2679" s="81" t="s">
        <v>4008</v>
      </c>
      <c r="J2679" s="81" t="s">
        <v>224</v>
      </c>
      <c r="K2679" s="81" t="str">
        <f>IFERROR(__xludf.DUMMYFUNCTION("IF(OR(D2679="""",G2679=""""),"""",IFERROR(LET(
campo,XLOOKUP(TRIM(G2679),ARRAYFORMULA(TRIM('indice columnas'!$A$2:$A$100)),'indice columnas'!$B$2:$B$100,""""),
col,IFERROR(MATCH(campo,Referencia!$A$1:$AZ$1,0),0),
fila,IFERROR(MATCH(TO_TEXT(D2679),ARRAYFOR"&amp;"MULA(TO_TEXT(Referencia!$A$2:$A6238)),0),0),
IF(OR(campo="""",campo=""-""),""NO APLICA"",
IF(col=0,""REVISAR EQUIVALENCIA"",
IF(fila=0,""SKU NO ENCONTRADO"",
LET(
valor,INDEX(Referencia!$A$2:$AZ6238,fila,col),
IF(TRIM(TO_TEXT(valor))=TRIM(TO_TEXT(I2679)),"&amp;"
""OK"",
""NO COINCIDE. Valor verdadero: ""&amp;IF(valor="""",""[VACÍO]"",TO_TEXT(valor))
)
))))
),""ERROR EN FÓRMULA""))"),"REVISAR EQUIVALENCIA")</f>
        <v>REVISAR EQUIVALENCIA</v>
      </c>
    </row>
    <row r="2680">
      <c r="A2680" s="83" t="s">
        <v>4078</v>
      </c>
      <c r="B2680" s="83" t="s">
        <v>4079</v>
      </c>
      <c r="C2680" s="81" t="s">
        <v>4086</v>
      </c>
      <c r="D2680" s="83" t="s">
        <v>4843</v>
      </c>
      <c r="E2680" s="81" t="s">
        <v>3994</v>
      </c>
      <c r="F2680" s="84">
        <v>788.0</v>
      </c>
      <c r="G2680" s="81" t="s">
        <v>44</v>
      </c>
      <c r="H2680" s="81" t="s">
        <v>224</v>
      </c>
      <c r="I2680" s="81" t="s">
        <v>3971</v>
      </c>
      <c r="J2680" s="81" t="s">
        <v>4088</v>
      </c>
      <c r="K2680" s="81" t="str">
        <f>IFERROR(__xludf.DUMMYFUNCTION("IF(OR(D2680="""",G2680=""""),"""",IFERROR(LET(
campo,XLOOKUP(TRIM(G2680),ARRAYFORMULA(TRIM('indice columnas'!$A$2:$A$100)),'indice columnas'!$B$2:$B$100,""""),
col,IFERROR(MATCH(campo,Referencia!$A$1:$AZ$1,0),0),
fila,IFERROR(MATCH(TO_TEXT(D2680),ARRAYFOR"&amp;"MULA(TO_TEXT(Referencia!$A$2:$A6238)),0),0),
IF(OR(campo="""",campo=""-""),""NO APLICA"",
IF(col=0,""REVISAR EQUIVALENCIA"",
IF(fila=0,""SKU NO ENCONTRADO"",
LET(
valor,INDEX(Referencia!$A$2:$AZ6238,fila,col),
IF(TRIM(TO_TEXT(valor))=TRIM(TO_TEXT(I2680)),"&amp;"
""OK"",
""NO COINCIDE. Valor verdadero: ""&amp;IF(valor="""",""[VACÍO]"",TO_TEXT(valor))
)
))))
),""ERROR EN FÓRMULA""))"),"NO APLICA")</f>
        <v>NO APLICA</v>
      </c>
    </row>
    <row r="2681">
      <c r="A2681" s="83" t="s">
        <v>4078</v>
      </c>
      <c r="B2681" s="83" t="s">
        <v>4079</v>
      </c>
      <c r="C2681" s="81" t="s">
        <v>4086</v>
      </c>
      <c r="D2681" s="83" t="s">
        <v>4257</v>
      </c>
      <c r="E2681" s="81" t="s">
        <v>1025</v>
      </c>
      <c r="F2681" s="84">
        <v>789.0</v>
      </c>
      <c r="G2681" s="81" t="s">
        <v>44</v>
      </c>
      <c r="H2681" s="81" t="s">
        <v>224</v>
      </c>
      <c r="I2681" s="81" t="s">
        <v>924</v>
      </c>
      <c r="J2681" s="81" t="s">
        <v>4088</v>
      </c>
      <c r="K2681" s="81" t="str">
        <f>IFERROR(__xludf.DUMMYFUNCTION("IF(OR(D2681="""",G2681=""""),"""",IFERROR(LET(
campo,XLOOKUP(TRIM(G2681),ARRAYFORMULA(TRIM('indice columnas'!$A$2:$A$100)),'indice columnas'!$B$2:$B$100,""""),
col,IFERROR(MATCH(campo,Referencia!$A$1:$AZ$1,0),0),
fila,IFERROR(MATCH(TO_TEXT(D2681),ARRAYFOR"&amp;"MULA(TO_TEXT(Referencia!$A$2:$A6238)),0),0),
IF(OR(campo="""",campo=""-""),""NO APLICA"",
IF(col=0,""REVISAR EQUIVALENCIA"",
IF(fila=0,""SKU NO ENCONTRADO"",
LET(
valor,INDEX(Referencia!$A$2:$AZ6238,fila,col),
IF(TRIM(TO_TEXT(valor))=TRIM(TO_TEXT(I2681)),"&amp;"
""OK"",
""NO COINCIDE. Valor verdadero: ""&amp;IF(valor="""",""[VACÍO]"",TO_TEXT(valor))
)
))))
),""ERROR EN FÓRMULA""))"),"NO APLICA")</f>
        <v>NO APLICA</v>
      </c>
    </row>
    <row r="2682">
      <c r="A2682" s="83" t="s">
        <v>4078</v>
      </c>
      <c r="B2682" s="83" t="s">
        <v>4079</v>
      </c>
      <c r="C2682" s="81" t="s">
        <v>4086</v>
      </c>
      <c r="D2682" s="83" t="s">
        <v>4498</v>
      </c>
      <c r="E2682" s="81" t="s">
        <v>2324</v>
      </c>
      <c r="F2682" s="84">
        <v>790.0</v>
      </c>
      <c r="G2682" s="81" t="s">
        <v>44</v>
      </c>
      <c r="H2682" s="81" t="s">
        <v>224</v>
      </c>
      <c r="I2682" s="81" t="s">
        <v>924</v>
      </c>
      <c r="J2682" s="81" t="s">
        <v>4088</v>
      </c>
      <c r="K2682" s="81" t="str">
        <f>IFERROR(__xludf.DUMMYFUNCTION("IF(OR(D2682="""",G2682=""""),"""",IFERROR(LET(
campo,XLOOKUP(TRIM(G2682),ARRAYFORMULA(TRIM('indice columnas'!$A$2:$A$100)),'indice columnas'!$B$2:$B$100,""""),
col,IFERROR(MATCH(campo,Referencia!$A$1:$AZ$1,0),0),
fila,IFERROR(MATCH(TO_TEXT(D2682),ARRAYFOR"&amp;"MULA(TO_TEXT(Referencia!$A$2:$A6238)),0),0),
IF(OR(campo="""",campo=""-""),""NO APLICA"",
IF(col=0,""REVISAR EQUIVALENCIA"",
IF(fila=0,""SKU NO ENCONTRADO"",
LET(
valor,INDEX(Referencia!$A$2:$AZ6238,fila,col),
IF(TRIM(TO_TEXT(valor))=TRIM(TO_TEXT(I2682)),"&amp;"
""OK"",
""NO COINCIDE. Valor verdadero: ""&amp;IF(valor="""",""[VACÍO]"",TO_TEXT(valor))
)
))))
),""ERROR EN FÓRMULA""))"),"NO APLICA")</f>
        <v>NO APLICA</v>
      </c>
    </row>
    <row r="2683">
      <c r="A2683" s="83" t="s">
        <v>4078</v>
      </c>
      <c r="B2683" s="83" t="s">
        <v>4079</v>
      </c>
      <c r="C2683" s="81" t="s">
        <v>4086</v>
      </c>
      <c r="D2683" s="83" t="s">
        <v>4844</v>
      </c>
      <c r="E2683" s="81" t="s">
        <v>3998</v>
      </c>
      <c r="F2683" s="84">
        <v>791.0</v>
      </c>
      <c r="G2683" s="81" t="s">
        <v>7</v>
      </c>
      <c r="H2683" s="81" t="s">
        <v>3623</v>
      </c>
      <c r="I2683" s="81" t="s">
        <v>53</v>
      </c>
      <c r="J2683" s="81" t="s">
        <v>224</v>
      </c>
      <c r="K2683" s="81" t="str">
        <f>IFERROR(__xludf.DUMMYFUNCTION("IF(OR(D2683="""",G2683=""""),"""",IFERROR(LET(
campo,XLOOKUP(TRIM(G2683),ARRAYFORMULA(TRIM('indice columnas'!$A$2:$A$100)),'indice columnas'!$B$2:$B$100,""""),
col,IFERROR(MATCH(campo,Referencia!$A$1:$AZ$1,0),0),
fila,IFERROR(MATCH(TO_TEXT(D2683),ARRAYFOR"&amp;"MULA(TO_TEXT(Referencia!$A$2:$A6238)),0),0),
IF(OR(campo="""",campo=""-""),""NO APLICA"",
IF(col=0,""REVISAR EQUIVALENCIA"",
IF(fila=0,""SKU NO ENCONTRADO"",
LET(
valor,INDEX(Referencia!$A$2:$AZ6238,fila,col),
IF(TRIM(TO_TEXT(valor))=TRIM(TO_TEXT(I2683)),"&amp;"
""OK"",
""NO COINCIDE. Valor verdadero: ""&amp;IF(valor="""",""[VACÍO]"",TO_TEXT(valor))
)
))))
),""ERROR EN FÓRMULA""))"),"REVISAR EQUIVALENCIA")</f>
        <v>REVISAR EQUIVALENCIA</v>
      </c>
    </row>
    <row r="2684">
      <c r="A2684" s="83" t="s">
        <v>4078</v>
      </c>
      <c r="B2684" s="83" t="s">
        <v>4079</v>
      </c>
      <c r="C2684" s="81" t="s">
        <v>4086</v>
      </c>
      <c r="D2684" s="83" t="s">
        <v>4844</v>
      </c>
      <c r="E2684" s="81" t="s">
        <v>3998</v>
      </c>
      <c r="F2684" s="84">
        <v>791.0</v>
      </c>
      <c r="G2684" s="81" t="s">
        <v>12</v>
      </c>
      <c r="H2684" s="81" t="s">
        <v>224</v>
      </c>
      <c r="I2684" s="81" t="s">
        <v>55</v>
      </c>
      <c r="J2684" s="81" t="s">
        <v>224</v>
      </c>
      <c r="K2684" s="81" t="str">
        <f>IFERROR(__xludf.DUMMYFUNCTION("IF(OR(D2684="""",G2684=""""),"""",IFERROR(LET(
campo,XLOOKUP(TRIM(G2684),ARRAYFORMULA(TRIM('indice columnas'!$A$2:$A$100)),'indice columnas'!$B$2:$B$100,""""),
col,IFERROR(MATCH(campo,Referencia!$A$1:$AZ$1,0),0),
fila,IFERROR(MATCH(TO_TEXT(D2684),ARRAYFOR"&amp;"MULA(TO_TEXT(Referencia!$A$2:$A6238)),0),0),
IF(OR(campo="""",campo=""-""),""NO APLICA"",
IF(col=0,""REVISAR EQUIVALENCIA"",
IF(fila=0,""SKU NO ENCONTRADO"",
LET(
valor,INDEX(Referencia!$A$2:$AZ6238,fila,col),
IF(TRIM(TO_TEXT(valor))=TRIM(TO_TEXT(I2684)),"&amp;"
""OK"",
""NO COINCIDE. Valor verdadero: ""&amp;IF(valor="""",""[VACÍO]"",TO_TEXT(valor))
)
))))
),""ERROR EN FÓRMULA""))"),"OK")</f>
        <v>OK</v>
      </c>
    </row>
    <row r="2685">
      <c r="A2685" s="83" t="s">
        <v>4078</v>
      </c>
      <c r="B2685" s="83" t="s">
        <v>4079</v>
      </c>
      <c r="C2685" s="81" t="s">
        <v>4086</v>
      </c>
      <c r="D2685" s="83" t="s">
        <v>4844</v>
      </c>
      <c r="E2685" s="81" t="s">
        <v>3998</v>
      </c>
      <c r="F2685" s="84">
        <v>791.0</v>
      </c>
      <c r="G2685" s="81" t="s">
        <v>25</v>
      </c>
      <c r="H2685" s="81" t="s">
        <v>224</v>
      </c>
      <c r="I2685" s="81" t="s">
        <v>55</v>
      </c>
      <c r="J2685" s="81" t="s">
        <v>224</v>
      </c>
      <c r="K2685" s="81" t="str">
        <f>IFERROR(__xludf.DUMMYFUNCTION("IF(OR(D2685="""",G2685=""""),"""",IFERROR(LET(
campo,XLOOKUP(TRIM(G2685),ARRAYFORMULA(TRIM('indice columnas'!$A$2:$A$100)),'indice columnas'!$B$2:$B$100,""""),
col,IFERROR(MATCH(campo,Referencia!$A$1:$AZ$1,0),0),
fila,IFERROR(MATCH(TO_TEXT(D2685),ARRAYFOR"&amp;"MULA(TO_TEXT(Referencia!$A$2:$A6238)),0),0),
IF(OR(campo="""",campo=""-""),""NO APLICA"",
IF(col=0,""REVISAR EQUIVALENCIA"",
IF(fila=0,""SKU NO ENCONTRADO"",
LET(
valor,INDEX(Referencia!$A$2:$AZ6238,fila,col),
IF(TRIM(TO_TEXT(valor))=TRIM(TO_TEXT(I2685)),"&amp;"
""OK"",
""NO COINCIDE. Valor verdadero: ""&amp;IF(valor="""",""[VACÍO]"",TO_TEXT(valor))
)
))))
),""ERROR EN FÓRMULA""))"),"OK")</f>
        <v>OK</v>
      </c>
    </row>
    <row r="2686">
      <c r="A2686" s="83" t="s">
        <v>4078</v>
      </c>
      <c r="B2686" s="83" t="s">
        <v>4079</v>
      </c>
      <c r="C2686" s="81" t="s">
        <v>4086</v>
      </c>
      <c r="D2686" s="83" t="s">
        <v>4844</v>
      </c>
      <c r="E2686" s="81" t="s">
        <v>3998</v>
      </c>
      <c r="F2686" s="84">
        <v>791.0</v>
      </c>
      <c r="G2686" s="81" t="s">
        <v>36</v>
      </c>
      <c r="H2686" s="81" t="s">
        <v>224</v>
      </c>
      <c r="I2686" s="81" t="s">
        <v>55</v>
      </c>
      <c r="J2686" s="81" t="s">
        <v>224</v>
      </c>
      <c r="K2686" s="81" t="str">
        <f>IFERROR(__xludf.DUMMYFUNCTION("IF(OR(D2686="""",G2686=""""),"""",IFERROR(LET(
campo,XLOOKUP(TRIM(G2686),ARRAYFORMULA(TRIM('indice columnas'!$A$2:$A$100)),'indice columnas'!$B$2:$B$100,""""),
col,IFERROR(MATCH(campo,Referencia!$A$1:$AZ$1,0),0),
fila,IFERROR(MATCH(TO_TEXT(D2686),ARRAYFOR"&amp;"MULA(TO_TEXT(Referencia!$A$2:$A6238)),0),0),
IF(OR(campo="""",campo=""-""),""NO APLICA"",
IF(col=0,""REVISAR EQUIVALENCIA"",
IF(fila=0,""SKU NO ENCONTRADO"",
LET(
valor,INDEX(Referencia!$A$2:$AZ6238,fila,col),
IF(TRIM(TO_TEXT(valor))=TRIM(TO_TEXT(I2686)),"&amp;"
""OK"",
""NO COINCIDE. Valor verdadero: ""&amp;IF(valor="""",""[VACÍO]"",TO_TEXT(valor))
)
))))
),""ERROR EN FÓRMULA""))"),"REVISAR EQUIVALENCIA")</f>
        <v>REVISAR EQUIVALENCIA</v>
      </c>
    </row>
    <row r="2687">
      <c r="A2687" s="83" t="s">
        <v>4078</v>
      </c>
      <c r="B2687" s="83" t="s">
        <v>4079</v>
      </c>
      <c r="C2687" s="81" t="s">
        <v>4086</v>
      </c>
      <c r="D2687" s="83" t="s">
        <v>4844</v>
      </c>
      <c r="E2687" s="81" t="s">
        <v>3998</v>
      </c>
      <c r="F2687" s="84">
        <v>791.0</v>
      </c>
      <c r="G2687" s="81" t="s">
        <v>44</v>
      </c>
      <c r="H2687" s="81" t="s">
        <v>224</v>
      </c>
      <c r="I2687" s="81" t="s">
        <v>1051</v>
      </c>
      <c r="J2687" s="81" t="s">
        <v>4088</v>
      </c>
      <c r="K2687" s="81" t="str">
        <f>IFERROR(__xludf.DUMMYFUNCTION("IF(OR(D2687="""",G2687=""""),"""",IFERROR(LET(
campo,XLOOKUP(TRIM(G2687),ARRAYFORMULA(TRIM('indice columnas'!$A$2:$A$100)),'indice columnas'!$B$2:$B$100,""""),
col,IFERROR(MATCH(campo,Referencia!$A$1:$AZ$1,0),0),
fila,IFERROR(MATCH(TO_TEXT(D2687),ARRAYFOR"&amp;"MULA(TO_TEXT(Referencia!$A$2:$A6238)),0),0),
IF(OR(campo="""",campo=""-""),""NO APLICA"",
IF(col=0,""REVISAR EQUIVALENCIA"",
IF(fila=0,""SKU NO ENCONTRADO"",
LET(
valor,INDEX(Referencia!$A$2:$AZ6238,fila,col),
IF(TRIM(TO_TEXT(valor))=TRIM(TO_TEXT(I2687)),"&amp;"
""OK"",
""NO COINCIDE. Valor verdadero: ""&amp;IF(valor="""",""[VACÍO]"",TO_TEXT(valor))
)
))))
),""ERROR EN FÓRMULA""))"),"NO APLICA")</f>
        <v>NO APLICA</v>
      </c>
    </row>
    <row r="2688">
      <c r="A2688" s="83" t="s">
        <v>4078</v>
      </c>
      <c r="B2688" s="83" t="s">
        <v>4079</v>
      </c>
      <c r="C2688" s="81" t="s">
        <v>4086</v>
      </c>
      <c r="D2688" s="83" t="s">
        <v>4845</v>
      </c>
      <c r="E2688" s="81" t="s">
        <v>4002</v>
      </c>
      <c r="F2688" s="84">
        <v>792.0</v>
      </c>
      <c r="G2688" s="81" t="s">
        <v>7</v>
      </c>
      <c r="H2688" s="81" t="s">
        <v>3623</v>
      </c>
      <c r="I2688" s="81" t="s">
        <v>53</v>
      </c>
      <c r="J2688" s="81" t="s">
        <v>224</v>
      </c>
      <c r="K2688" s="81" t="str">
        <f>IFERROR(__xludf.DUMMYFUNCTION("IF(OR(D2688="""",G2688=""""),"""",IFERROR(LET(
campo,XLOOKUP(TRIM(G2688),ARRAYFORMULA(TRIM('indice columnas'!$A$2:$A$100)),'indice columnas'!$B$2:$B$100,""""),
col,IFERROR(MATCH(campo,Referencia!$A$1:$AZ$1,0),0),
fila,IFERROR(MATCH(TO_TEXT(D2688),ARRAYFOR"&amp;"MULA(TO_TEXT(Referencia!$A$2:$A6238)),0),0),
IF(OR(campo="""",campo=""-""),""NO APLICA"",
IF(col=0,""REVISAR EQUIVALENCIA"",
IF(fila=0,""SKU NO ENCONTRADO"",
LET(
valor,INDEX(Referencia!$A$2:$AZ6238,fila,col),
IF(TRIM(TO_TEXT(valor))=TRIM(TO_TEXT(I2688)),"&amp;"
""OK"",
""NO COINCIDE. Valor verdadero: ""&amp;IF(valor="""",""[VACÍO]"",TO_TEXT(valor))
)
))))
),""ERROR EN FÓRMULA""))"),"REVISAR EQUIVALENCIA")</f>
        <v>REVISAR EQUIVALENCIA</v>
      </c>
    </row>
    <row r="2689">
      <c r="A2689" s="83" t="s">
        <v>4078</v>
      </c>
      <c r="B2689" s="83" t="s">
        <v>4079</v>
      </c>
      <c r="C2689" s="81" t="s">
        <v>4086</v>
      </c>
      <c r="D2689" s="83" t="s">
        <v>4845</v>
      </c>
      <c r="E2689" s="81" t="s">
        <v>4002</v>
      </c>
      <c r="F2689" s="84">
        <v>792.0</v>
      </c>
      <c r="G2689" s="81" t="s">
        <v>12</v>
      </c>
      <c r="H2689" s="81" t="s">
        <v>224</v>
      </c>
      <c r="I2689" s="81" t="s">
        <v>55</v>
      </c>
      <c r="J2689" s="81" t="s">
        <v>224</v>
      </c>
      <c r="K2689" s="81" t="str">
        <f>IFERROR(__xludf.DUMMYFUNCTION("IF(OR(D2689="""",G2689=""""),"""",IFERROR(LET(
campo,XLOOKUP(TRIM(G2689),ARRAYFORMULA(TRIM('indice columnas'!$A$2:$A$100)),'indice columnas'!$B$2:$B$100,""""),
col,IFERROR(MATCH(campo,Referencia!$A$1:$AZ$1,0),0),
fila,IFERROR(MATCH(TO_TEXT(D2689),ARRAYFOR"&amp;"MULA(TO_TEXT(Referencia!$A$2:$A6238)),0),0),
IF(OR(campo="""",campo=""-""),""NO APLICA"",
IF(col=0,""REVISAR EQUIVALENCIA"",
IF(fila=0,""SKU NO ENCONTRADO"",
LET(
valor,INDEX(Referencia!$A$2:$AZ6238,fila,col),
IF(TRIM(TO_TEXT(valor))=TRIM(TO_TEXT(I2689)),"&amp;"
""OK"",
""NO COINCIDE. Valor verdadero: ""&amp;IF(valor="""",""[VACÍO]"",TO_TEXT(valor))
)
))))
),""ERROR EN FÓRMULA""))"),"OK")</f>
        <v>OK</v>
      </c>
    </row>
    <row r="2690">
      <c r="A2690" s="83" t="s">
        <v>4078</v>
      </c>
      <c r="B2690" s="83" t="s">
        <v>4079</v>
      </c>
      <c r="C2690" s="81" t="s">
        <v>4086</v>
      </c>
      <c r="D2690" s="83" t="s">
        <v>4845</v>
      </c>
      <c r="E2690" s="81" t="s">
        <v>4002</v>
      </c>
      <c r="F2690" s="84">
        <v>792.0</v>
      </c>
      <c r="G2690" s="81" t="s">
        <v>25</v>
      </c>
      <c r="H2690" s="81" t="s">
        <v>224</v>
      </c>
      <c r="I2690" s="81" t="s">
        <v>55</v>
      </c>
      <c r="J2690" s="81" t="s">
        <v>224</v>
      </c>
      <c r="K2690" s="81" t="str">
        <f>IFERROR(__xludf.DUMMYFUNCTION("IF(OR(D2690="""",G2690=""""),"""",IFERROR(LET(
campo,XLOOKUP(TRIM(G2690),ARRAYFORMULA(TRIM('indice columnas'!$A$2:$A$100)),'indice columnas'!$B$2:$B$100,""""),
col,IFERROR(MATCH(campo,Referencia!$A$1:$AZ$1,0),0),
fila,IFERROR(MATCH(TO_TEXT(D2690),ARRAYFOR"&amp;"MULA(TO_TEXT(Referencia!$A$2:$A6238)),0),0),
IF(OR(campo="""",campo=""-""),""NO APLICA"",
IF(col=0,""REVISAR EQUIVALENCIA"",
IF(fila=0,""SKU NO ENCONTRADO"",
LET(
valor,INDEX(Referencia!$A$2:$AZ6238,fila,col),
IF(TRIM(TO_TEXT(valor))=TRIM(TO_TEXT(I2690)),"&amp;"
""OK"",
""NO COINCIDE. Valor verdadero: ""&amp;IF(valor="""",""[VACÍO]"",TO_TEXT(valor))
)
))))
),""ERROR EN FÓRMULA""))"),"OK")</f>
        <v>OK</v>
      </c>
    </row>
    <row r="2691">
      <c r="A2691" s="83" t="s">
        <v>4078</v>
      </c>
      <c r="B2691" s="83" t="s">
        <v>4079</v>
      </c>
      <c r="C2691" s="81" t="s">
        <v>4086</v>
      </c>
      <c r="D2691" s="83" t="s">
        <v>4845</v>
      </c>
      <c r="E2691" s="81" t="s">
        <v>4002</v>
      </c>
      <c r="F2691" s="84">
        <v>792.0</v>
      </c>
      <c r="G2691" s="81" t="s">
        <v>36</v>
      </c>
      <c r="H2691" s="81" t="s">
        <v>224</v>
      </c>
      <c r="I2691" s="81" t="s">
        <v>55</v>
      </c>
      <c r="J2691" s="81" t="s">
        <v>224</v>
      </c>
      <c r="K2691" s="81" t="str">
        <f>IFERROR(__xludf.DUMMYFUNCTION("IF(OR(D2691="""",G2691=""""),"""",IFERROR(LET(
campo,XLOOKUP(TRIM(G2691),ARRAYFORMULA(TRIM('indice columnas'!$A$2:$A$100)),'indice columnas'!$B$2:$B$100,""""),
col,IFERROR(MATCH(campo,Referencia!$A$1:$AZ$1,0),0),
fila,IFERROR(MATCH(TO_TEXT(D2691),ARRAYFOR"&amp;"MULA(TO_TEXT(Referencia!$A$2:$A6238)),0),0),
IF(OR(campo="""",campo=""-""),""NO APLICA"",
IF(col=0,""REVISAR EQUIVALENCIA"",
IF(fila=0,""SKU NO ENCONTRADO"",
LET(
valor,INDEX(Referencia!$A$2:$AZ6238,fila,col),
IF(TRIM(TO_TEXT(valor))=TRIM(TO_TEXT(I2691)),"&amp;"
""OK"",
""NO COINCIDE. Valor verdadero: ""&amp;IF(valor="""",""[VACÍO]"",TO_TEXT(valor))
)
))))
),""ERROR EN FÓRMULA""))"),"REVISAR EQUIVALENCIA")</f>
        <v>REVISAR EQUIVALENCIA</v>
      </c>
    </row>
    <row r="2692">
      <c r="A2692" s="83" t="s">
        <v>4078</v>
      </c>
      <c r="B2692" s="83" t="s">
        <v>4079</v>
      </c>
      <c r="C2692" s="81" t="s">
        <v>4086</v>
      </c>
      <c r="D2692" s="83" t="s">
        <v>4845</v>
      </c>
      <c r="E2692" s="81" t="s">
        <v>4002</v>
      </c>
      <c r="F2692" s="84">
        <v>792.0</v>
      </c>
      <c r="G2692" s="81" t="s">
        <v>44</v>
      </c>
      <c r="H2692" s="81" t="s">
        <v>224</v>
      </c>
      <c r="I2692" s="81" t="s">
        <v>1051</v>
      </c>
      <c r="J2692" s="81" t="s">
        <v>4088</v>
      </c>
      <c r="K2692" s="81" t="str">
        <f>IFERROR(__xludf.DUMMYFUNCTION("IF(OR(D2692="""",G2692=""""),"""",IFERROR(LET(
campo,XLOOKUP(TRIM(G2692),ARRAYFORMULA(TRIM('indice columnas'!$A$2:$A$100)),'indice columnas'!$B$2:$B$100,""""),
col,IFERROR(MATCH(campo,Referencia!$A$1:$AZ$1,0),0),
fila,IFERROR(MATCH(TO_TEXT(D2692),ARRAYFOR"&amp;"MULA(TO_TEXT(Referencia!$A$2:$A6238)),0),0),
IF(OR(campo="""",campo=""-""),""NO APLICA"",
IF(col=0,""REVISAR EQUIVALENCIA"",
IF(fila=0,""SKU NO ENCONTRADO"",
LET(
valor,INDEX(Referencia!$A$2:$AZ6238,fila,col),
IF(TRIM(TO_TEXT(valor))=TRIM(TO_TEXT(I2692)),"&amp;"
""OK"",
""NO COINCIDE. Valor verdadero: ""&amp;IF(valor="""",""[VACÍO]"",TO_TEXT(valor))
)
))))
),""ERROR EN FÓRMULA""))"),"NO APLICA")</f>
        <v>NO APLICA</v>
      </c>
    </row>
    <row r="2693">
      <c r="A2693" s="83" t="s">
        <v>4078</v>
      </c>
      <c r="B2693" s="83" t="s">
        <v>4079</v>
      </c>
      <c r="C2693" s="81" t="s">
        <v>4086</v>
      </c>
      <c r="D2693" s="83" t="s">
        <v>4846</v>
      </c>
      <c r="E2693" s="81" t="s">
        <v>1133</v>
      </c>
      <c r="F2693" s="84">
        <v>793.0</v>
      </c>
      <c r="G2693" s="81" t="s">
        <v>7</v>
      </c>
      <c r="H2693" s="81" t="s">
        <v>3623</v>
      </c>
      <c r="I2693" s="81" t="s">
        <v>53</v>
      </c>
      <c r="J2693" s="81" t="s">
        <v>224</v>
      </c>
      <c r="K2693" s="81" t="str">
        <f>IFERROR(__xludf.DUMMYFUNCTION("IF(OR(D2693="""",G2693=""""),"""",IFERROR(LET(
campo,XLOOKUP(TRIM(G2693),ARRAYFORMULA(TRIM('indice columnas'!$A$2:$A$100)),'indice columnas'!$B$2:$B$100,""""),
col,IFERROR(MATCH(campo,Referencia!$A$1:$AZ$1,0),0),
fila,IFERROR(MATCH(TO_TEXT(D2693),ARRAYFOR"&amp;"MULA(TO_TEXT(Referencia!$A$2:$A6238)),0),0),
IF(OR(campo="""",campo=""-""),""NO APLICA"",
IF(col=0,""REVISAR EQUIVALENCIA"",
IF(fila=0,""SKU NO ENCONTRADO"",
LET(
valor,INDEX(Referencia!$A$2:$AZ6238,fila,col),
IF(TRIM(TO_TEXT(valor))=TRIM(TO_TEXT(I2693)),"&amp;"
""OK"",
""NO COINCIDE. Valor verdadero: ""&amp;IF(valor="""",""[VACÍO]"",TO_TEXT(valor))
)
))))
),""ERROR EN FÓRMULA""))"),"REVISAR EQUIVALENCIA")</f>
        <v>REVISAR EQUIVALENCIA</v>
      </c>
    </row>
    <row r="2694">
      <c r="A2694" s="83" t="s">
        <v>4078</v>
      </c>
      <c r="B2694" s="83" t="s">
        <v>4079</v>
      </c>
      <c r="C2694" s="81" t="s">
        <v>4086</v>
      </c>
      <c r="D2694" s="83" t="s">
        <v>4846</v>
      </c>
      <c r="E2694" s="81" t="s">
        <v>1133</v>
      </c>
      <c r="F2694" s="84">
        <v>793.0</v>
      </c>
      <c r="G2694" s="81" t="s">
        <v>12</v>
      </c>
      <c r="H2694" s="81" t="s">
        <v>224</v>
      </c>
      <c r="I2694" s="81" t="s">
        <v>55</v>
      </c>
      <c r="J2694" s="81" t="s">
        <v>224</v>
      </c>
      <c r="K2694" s="81" t="str">
        <f>IFERROR(__xludf.DUMMYFUNCTION("IF(OR(D2694="""",G2694=""""),"""",IFERROR(LET(
campo,XLOOKUP(TRIM(G2694),ARRAYFORMULA(TRIM('indice columnas'!$A$2:$A$100)),'indice columnas'!$B$2:$B$100,""""),
col,IFERROR(MATCH(campo,Referencia!$A$1:$AZ$1,0),0),
fila,IFERROR(MATCH(TO_TEXT(D2694),ARRAYFOR"&amp;"MULA(TO_TEXT(Referencia!$A$2:$A6238)),0),0),
IF(OR(campo="""",campo=""-""),""NO APLICA"",
IF(col=0,""REVISAR EQUIVALENCIA"",
IF(fila=0,""SKU NO ENCONTRADO"",
LET(
valor,INDEX(Referencia!$A$2:$AZ6238,fila,col),
IF(TRIM(TO_TEXT(valor))=TRIM(TO_TEXT(I2694)),"&amp;"
""OK"",
""NO COINCIDE. Valor verdadero: ""&amp;IF(valor="""",""[VACÍO]"",TO_TEXT(valor))
)
))))
),""ERROR EN FÓRMULA""))"),"OK")</f>
        <v>OK</v>
      </c>
    </row>
    <row r="2695">
      <c r="A2695" s="83" t="s">
        <v>4078</v>
      </c>
      <c r="B2695" s="83" t="s">
        <v>4079</v>
      </c>
      <c r="C2695" s="81" t="s">
        <v>4086</v>
      </c>
      <c r="D2695" s="83" t="s">
        <v>4846</v>
      </c>
      <c r="E2695" s="81" t="s">
        <v>1133</v>
      </c>
      <c r="F2695" s="84">
        <v>793.0</v>
      </c>
      <c r="G2695" s="81" t="s">
        <v>25</v>
      </c>
      <c r="H2695" s="81" t="s">
        <v>224</v>
      </c>
      <c r="I2695" s="81" t="s">
        <v>55</v>
      </c>
      <c r="J2695" s="81" t="s">
        <v>224</v>
      </c>
      <c r="K2695" s="81" t="str">
        <f>IFERROR(__xludf.DUMMYFUNCTION("IF(OR(D2695="""",G2695=""""),"""",IFERROR(LET(
campo,XLOOKUP(TRIM(G2695),ARRAYFORMULA(TRIM('indice columnas'!$A$2:$A$100)),'indice columnas'!$B$2:$B$100,""""),
col,IFERROR(MATCH(campo,Referencia!$A$1:$AZ$1,0),0),
fila,IFERROR(MATCH(TO_TEXT(D2695),ARRAYFOR"&amp;"MULA(TO_TEXT(Referencia!$A$2:$A6238)),0),0),
IF(OR(campo="""",campo=""-""),""NO APLICA"",
IF(col=0,""REVISAR EQUIVALENCIA"",
IF(fila=0,""SKU NO ENCONTRADO"",
LET(
valor,INDEX(Referencia!$A$2:$AZ6238,fila,col),
IF(TRIM(TO_TEXT(valor))=TRIM(TO_TEXT(I2695)),"&amp;"
""OK"",
""NO COINCIDE. Valor verdadero: ""&amp;IF(valor="""",""[VACÍO]"",TO_TEXT(valor))
)
))))
),""ERROR EN FÓRMULA""))"),"OK")</f>
        <v>OK</v>
      </c>
    </row>
    <row r="2696">
      <c r="A2696" s="83" t="s">
        <v>4078</v>
      </c>
      <c r="B2696" s="83" t="s">
        <v>4079</v>
      </c>
      <c r="C2696" s="81" t="s">
        <v>4086</v>
      </c>
      <c r="D2696" s="83" t="s">
        <v>4846</v>
      </c>
      <c r="E2696" s="81" t="s">
        <v>1133</v>
      </c>
      <c r="F2696" s="84">
        <v>793.0</v>
      </c>
      <c r="G2696" s="81" t="s">
        <v>36</v>
      </c>
      <c r="H2696" s="81" t="s">
        <v>224</v>
      </c>
      <c r="I2696" s="81" t="s">
        <v>55</v>
      </c>
      <c r="J2696" s="81" t="s">
        <v>224</v>
      </c>
      <c r="K2696" s="81" t="str">
        <f>IFERROR(__xludf.DUMMYFUNCTION("IF(OR(D2696="""",G2696=""""),"""",IFERROR(LET(
campo,XLOOKUP(TRIM(G2696),ARRAYFORMULA(TRIM('indice columnas'!$A$2:$A$100)),'indice columnas'!$B$2:$B$100,""""),
col,IFERROR(MATCH(campo,Referencia!$A$1:$AZ$1,0),0),
fila,IFERROR(MATCH(TO_TEXT(D2696),ARRAYFOR"&amp;"MULA(TO_TEXT(Referencia!$A$2:$A6238)),0),0),
IF(OR(campo="""",campo=""-""),""NO APLICA"",
IF(col=0,""REVISAR EQUIVALENCIA"",
IF(fila=0,""SKU NO ENCONTRADO"",
LET(
valor,INDEX(Referencia!$A$2:$AZ6238,fila,col),
IF(TRIM(TO_TEXT(valor))=TRIM(TO_TEXT(I2696)),"&amp;"
""OK"",
""NO COINCIDE. Valor verdadero: ""&amp;IF(valor="""",""[VACÍO]"",TO_TEXT(valor))
)
))))
),""ERROR EN FÓRMULA""))"),"REVISAR EQUIVALENCIA")</f>
        <v>REVISAR EQUIVALENCIA</v>
      </c>
    </row>
    <row r="2697">
      <c r="A2697" s="83" t="s">
        <v>4078</v>
      </c>
      <c r="B2697" s="83" t="s">
        <v>4079</v>
      </c>
      <c r="C2697" s="81" t="s">
        <v>4086</v>
      </c>
      <c r="D2697" s="83" t="s">
        <v>4846</v>
      </c>
      <c r="E2697" s="81" t="s">
        <v>1133</v>
      </c>
      <c r="F2697" s="84">
        <v>793.0</v>
      </c>
      <c r="G2697" s="81" t="s">
        <v>44</v>
      </c>
      <c r="H2697" s="81" t="s">
        <v>224</v>
      </c>
      <c r="I2697" s="81" t="s">
        <v>1051</v>
      </c>
      <c r="J2697" s="81" t="s">
        <v>4088</v>
      </c>
      <c r="K2697" s="81" t="str">
        <f>IFERROR(__xludf.DUMMYFUNCTION("IF(OR(D2697="""",G2697=""""),"""",IFERROR(LET(
campo,XLOOKUP(TRIM(G2697),ARRAYFORMULA(TRIM('indice columnas'!$A$2:$A$100)),'indice columnas'!$B$2:$B$100,""""),
col,IFERROR(MATCH(campo,Referencia!$A$1:$AZ$1,0),0),
fila,IFERROR(MATCH(TO_TEXT(D2697),ARRAYFOR"&amp;"MULA(TO_TEXT(Referencia!$A$2:$A6238)),0),0),
IF(OR(campo="""",campo=""-""),""NO APLICA"",
IF(col=0,""REVISAR EQUIVALENCIA"",
IF(fila=0,""SKU NO ENCONTRADO"",
LET(
valor,INDEX(Referencia!$A$2:$AZ6238,fila,col),
IF(TRIM(TO_TEXT(valor))=TRIM(TO_TEXT(I2697)),"&amp;"
""OK"",
""NO COINCIDE. Valor verdadero: ""&amp;IF(valor="""",""[VACÍO]"",TO_TEXT(valor))
)
))))
),""ERROR EN FÓRMULA""))"),"NO APLICA")</f>
        <v>NO APLICA</v>
      </c>
    </row>
    <row r="2698">
      <c r="A2698" s="83" t="s">
        <v>4078</v>
      </c>
      <c r="B2698" s="83" t="s">
        <v>4079</v>
      </c>
      <c r="C2698" s="81" t="s">
        <v>4086</v>
      </c>
      <c r="D2698" s="83" t="s">
        <v>4847</v>
      </c>
      <c r="E2698" s="81" t="s">
        <v>4005</v>
      </c>
      <c r="F2698" s="84">
        <v>794.0</v>
      </c>
      <c r="G2698" s="81" t="s">
        <v>7</v>
      </c>
      <c r="H2698" s="81" t="s">
        <v>3623</v>
      </c>
      <c r="I2698" s="81" t="s">
        <v>53</v>
      </c>
      <c r="J2698" s="81" t="s">
        <v>224</v>
      </c>
      <c r="K2698" s="81" t="str">
        <f>IFERROR(__xludf.DUMMYFUNCTION("IF(OR(D2698="""",G2698=""""),"""",IFERROR(LET(
campo,XLOOKUP(TRIM(G2698),ARRAYFORMULA(TRIM('indice columnas'!$A$2:$A$100)),'indice columnas'!$B$2:$B$100,""""),
col,IFERROR(MATCH(campo,Referencia!$A$1:$AZ$1,0),0),
fila,IFERROR(MATCH(TO_TEXT(D2698),ARRAYFOR"&amp;"MULA(TO_TEXT(Referencia!$A$2:$A6238)),0),0),
IF(OR(campo="""",campo=""-""),""NO APLICA"",
IF(col=0,""REVISAR EQUIVALENCIA"",
IF(fila=0,""SKU NO ENCONTRADO"",
LET(
valor,INDEX(Referencia!$A$2:$AZ6238,fila,col),
IF(TRIM(TO_TEXT(valor))=TRIM(TO_TEXT(I2698)),"&amp;"
""OK"",
""NO COINCIDE. Valor verdadero: ""&amp;IF(valor="""",""[VACÍO]"",TO_TEXT(valor))
)
))))
),""ERROR EN FÓRMULA""))"),"REVISAR EQUIVALENCIA")</f>
        <v>REVISAR EQUIVALENCIA</v>
      </c>
    </row>
    <row r="2699">
      <c r="A2699" s="83" t="s">
        <v>4078</v>
      </c>
      <c r="B2699" s="83" t="s">
        <v>4079</v>
      </c>
      <c r="C2699" s="81" t="s">
        <v>4086</v>
      </c>
      <c r="D2699" s="83" t="s">
        <v>4847</v>
      </c>
      <c r="E2699" s="81" t="s">
        <v>4005</v>
      </c>
      <c r="F2699" s="84">
        <v>794.0</v>
      </c>
      <c r="G2699" s="81" t="s">
        <v>12</v>
      </c>
      <c r="H2699" s="81" t="s">
        <v>224</v>
      </c>
      <c r="I2699" s="81" t="s">
        <v>55</v>
      </c>
      <c r="J2699" s="81" t="s">
        <v>224</v>
      </c>
      <c r="K2699" s="81" t="str">
        <f>IFERROR(__xludf.DUMMYFUNCTION("IF(OR(D2699="""",G2699=""""),"""",IFERROR(LET(
campo,XLOOKUP(TRIM(G2699),ARRAYFORMULA(TRIM('indice columnas'!$A$2:$A$100)),'indice columnas'!$B$2:$B$100,""""),
col,IFERROR(MATCH(campo,Referencia!$A$1:$AZ$1,0),0),
fila,IFERROR(MATCH(TO_TEXT(D2699),ARRAYFOR"&amp;"MULA(TO_TEXT(Referencia!$A$2:$A6238)),0),0),
IF(OR(campo="""",campo=""-""),""NO APLICA"",
IF(col=0,""REVISAR EQUIVALENCIA"",
IF(fila=0,""SKU NO ENCONTRADO"",
LET(
valor,INDEX(Referencia!$A$2:$AZ6238,fila,col),
IF(TRIM(TO_TEXT(valor))=TRIM(TO_TEXT(I2699)),"&amp;"
""OK"",
""NO COINCIDE. Valor verdadero: ""&amp;IF(valor="""",""[VACÍO]"",TO_TEXT(valor))
)
))))
),""ERROR EN FÓRMULA""))"),"OK")</f>
        <v>OK</v>
      </c>
    </row>
    <row r="2700">
      <c r="A2700" s="83" t="s">
        <v>4078</v>
      </c>
      <c r="B2700" s="83" t="s">
        <v>4079</v>
      </c>
      <c r="C2700" s="81" t="s">
        <v>4086</v>
      </c>
      <c r="D2700" s="83" t="s">
        <v>4847</v>
      </c>
      <c r="E2700" s="81" t="s">
        <v>4005</v>
      </c>
      <c r="F2700" s="84">
        <v>794.0</v>
      </c>
      <c r="G2700" s="81" t="s">
        <v>25</v>
      </c>
      <c r="H2700" s="81" t="s">
        <v>224</v>
      </c>
      <c r="I2700" s="81" t="s">
        <v>55</v>
      </c>
      <c r="J2700" s="81" t="s">
        <v>224</v>
      </c>
      <c r="K2700" s="81" t="str">
        <f>IFERROR(__xludf.DUMMYFUNCTION("IF(OR(D2700="""",G2700=""""),"""",IFERROR(LET(
campo,XLOOKUP(TRIM(G2700),ARRAYFORMULA(TRIM('indice columnas'!$A$2:$A$100)),'indice columnas'!$B$2:$B$100,""""),
col,IFERROR(MATCH(campo,Referencia!$A$1:$AZ$1,0),0),
fila,IFERROR(MATCH(TO_TEXT(D2700),ARRAYFOR"&amp;"MULA(TO_TEXT(Referencia!$A$2:$A6238)),0),0),
IF(OR(campo="""",campo=""-""),""NO APLICA"",
IF(col=0,""REVISAR EQUIVALENCIA"",
IF(fila=0,""SKU NO ENCONTRADO"",
LET(
valor,INDEX(Referencia!$A$2:$AZ6238,fila,col),
IF(TRIM(TO_TEXT(valor))=TRIM(TO_TEXT(I2700)),"&amp;"
""OK"",
""NO COINCIDE. Valor verdadero: ""&amp;IF(valor="""",""[VACÍO]"",TO_TEXT(valor))
)
))))
),""ERROR EN FÓRMULA""))"),"OK")</f>
        <v>OK</v>
      </c>
    </row>
    <row r="2701">
      <c r="A2701" s="83" t="s">
        <v>4078</v>
      </c>
      <c r="B2701" s="83" t="s">
        <v>4079</v>
      </c>
      <c r="C2701" s="81" t="s">
        <v>4086</v>
      </c>
      <c r="D2701" s="83" t="s">
        <v>4847</v>
      </c>
      <c r="E2701" s="81" t="s">
        <v>4005</v>
      </c>
      <c r="F2701" s="84">
        <v>794.0</v>
      </c>
      <c r="G2701" s="81" t="s">
        <v>36</v>
      </c>
      <c r="H2701" s="81" t="s">
        <v>224</v>
      </c>
      <c r="I2701" s="81" t="s">
        <v>55</v>
      </c>
      <c r="J2701" s="81" t="s">
        <v>224</v>
      </c>
      <c r="K2701" s="81" t="str">
        <f>IFERROR(__xludf.DUMMYFUNCTION("IF(OR(D2701="""",G2701=""""),"""",IFERROR(LET(
campo,XLOOKUP(TRIM(G2701),ARRAYFORMULA(TRIM('indice columnas'!$A$2:$A$100)),'indice columnas'!$B$2:$B$100,""""),
col,IFERROR(MATCH(campo,Referencia!$A$1:$AZ$1,0),0),
fila,IFERROR(MATCH(TO_TEXT(D2701),ARRAYFOR"&amp;"MULA(TO_TEXT(Referencia!$A$2:$A6238)),0),0),
IF(OR(campo="""",campo=""-""),""NO APLICA"",
IF(col=0,""REVISAR EQUIVALENCIA"",
IF(fila=0,""SKU NO ENCONTRADO"",
LET(
valor,INDEX(Referencia!$A$2:$AZ6238,fila,col),
IF(TRIM(TO_TEXT(valor))=TRIM(TO_TEXT(I2701)),"&amp;"
""OK"",
""NO COINCIDE. Valor verdadero: ""&amp;IF(valor="""",""[VACÍO]"",TO_TEXT(valor))
)
))))
),""ERROR EN FÓRMULA""))"),"REVISAR EQUIVALENCIA")</f>
        <v>REVISAR EQUIVALENCIA</v>
      </c>
    </row>
    <row r="2702">
      <c r="A2702" s="83" t="s">
        <v>4078</v>
      </c>
      <c r="B2702" s="83" t="s">
        <v>4079</v>
      </c>
      <c r="C2702" s="81" t="s">
        <v>4086</v>
      </c>
      <c r="D2702" s="83" t="s">
        <v>4847</v>
      </c>
      <c r="E2702" s="81" t="s">
        <v>4005</v>
      </c>
      <c r="F2702" s="84">
        <v>794.0</v>
      </c>
      <c r="G2702" s="81" t="s">
        <v>44</v>
      </c>
      <c r="H2702" s="81" t="s">
        <v>224</v>
      </c>
      <c r="I2702" s="81" t="s">
        <v>1051</v>
      </c>
      <c r="J2702" s="81" t="s">
        <v>4088</v>
      </c>
      <c r="K2702" s="81" t="str">
        <f>IFERROR(__xludf.DUMMYFUNCTION("IF(OR(D2702="""",G2702=""""),"""",IFERROR(LET(
campo,XLOOKUP(TRIM(G2702),ARRAYFORMULA(TRIM('indice columnas'!$A$2:$A$100)),'indice columnas'!$B$2:$B$100,""""),
col,IFERROR(MATCH(campo,Referencia!$A$1:$AZ$1,0),0),
fila,IFERROR(MATCH(TO_TEXT(D2702),ARRAYFOR"&amp;"MULA(TO_TEXT(Referencia!$A$2:$A6238)),0),0),
IF(OR(campo="""",campo=""-""),""NO APLICA"",
IF(col=0,""REVISAR EQUIVALENCIA"",
IF(fila=0,""SKU NO ENCONTRADO"",
LET(
valor,INDEX(Referencia!$A$2:$AZ6238,fila,col),
IF(TRIM(TO_TEXT(valor))=TRIM(TO_TEXT(I2702)),"&amp;"
""OK"",
""NO COINCIDE. Valor verdadero: ""&amp;IF(valor="""",""[VACÍO]"",TO_TEXT(valor))
)
))))
),""ERROR EN FÓRMULA""))"),"NO APLICA")</f>
        <v>NO APLICA</v>
      </c>
    </row>
    <row r="2703">
      <c r="A2703" s="83" t="s">
        <v>4078</v>
      </c>
      <c r="B2703" s="83" t="s">
        <v>4079</v>
      </c>
      <c r="C2703" s="81" t="s">
        <v>4086</v>
      </c>
      <c r="D2703" s="83" t="s">
        <v>4848</v>
      </c>
      <c r="E2703" s="81" t="s">
        <v>1142</v>
      </c>
      <c r="F2703" s="84">
        <v>795.0</v>
      </c>
      <c r="G2703" s="81" t="s">
        <v>7</v>
      </c>
      <c r="H2703" s="81" t="s">
        <v>3623</v>
      </c>
      <c r="I2703" s="81" t="s">
        <v>4849</v>
      </c>
      <c r="J2703" s="81" t="s">
        <v>224</v>
      </c>
      <c r="K2703" s="81" t="str">
        <f>IFERROR(__xludf.DUMMYFUNCTION("IF(OR(D2703="""",G2703=""""),"""",IFERROR(LET(
campo,XLOOKUP(TRIM(G2703),ARRAYFORMULA(TRIM('indice columnas'!$A$2:$A$100)),'indice columnas'!$B$2:$B$100,""""),
col,IFERROR(MATCH(campo,Referencia!$A$1:$AZ$1,0),0),
fila,IFERROR(MATCH(TO_TEXT(D2703),ARRAYFOR"&amp;"MULA(TO_TEXT(Referencia!$A$2:$A6238)),0),0),
IF(OR(campo="""",campo=""-""),""NO APLICA"",
IF(col=0,""REVISAR EQUIVALENCIA"",
IF(fila=0,""SKU NO ENCONTRADO"",
LET(
valor,INDEX(Referencia!$A$2:$AZ6238,fila,col),
IF(TRIM(TO_TEXT(valor))=TRIM(TO_TEXT(I2703)),"&amp;"
""OK"",
""NO COINCIDE. Valor verdadero: ""&amp;IF(valor="""",""[VACÍO]"",TO_TEXT(valor))
)
))))
),""ERROR EN FÓRMULA""))"),"REVISAR EQUIVALENCIA")</f>
        <v>REVISAR EQUIVALENCIA</v>
      </c>
    </row>
    <row r="2704">
      <c r="A2704" s="83" t="s">
        <v>4078</v>
      </c>
      <c r="B2704" s="83" t="s">
        <v>4079</v>
      </c>
      <c r="C2704" s="81" t="s">
        <v>4086</v>
      </c>
      <c r="D2704" s="83" t="s">
        <v>4848</v>
      </c>
      <c r="E2704" s="81" t="s">
        <v>1142</v>
      </c>
      <c r="F2704" s="84">
        <v>795.0</v>
      </c>
      <c r="G2704" s="81" t="s">
        <v>12</v>
      </c>
      <c r="H2704" s="81" t="s">
        <v>224</v>
      </c>
      <c r="I2704" s="81" t="s">
        <v>55</v>
      </c>
      <c r="J2704" s="81" t="s">
        <v>224</v>
      </c>
      <c r="K2704" s="81" t="str">
        <f>IFERROR(__xludf.DUMMYFUNCTION("IF(OR(D2704="""",G2704=""""),"""",IFERROR(LET(
campo,XLOOKUP(TRIM(G2704),ARRAYFORMULA(TRIM('indice columnas'!$A$2:$A$100)),'indice columnas'!$B$2:$B$100,""""),
col,IFERROR(MATCH(campo,Referencia!$A$1:$AZ$1,0),0),
fila,IFERROR(MATCH(TO_TEXT(D2704),ARRAYFOR"&amp;"MULA(TO_TEXT(Referencia!$A$2:$A6238)),0),0),
IF(OR(campo="""",campo=""-""),""NO APLICA"",
IF(col=0,""REVISAR EQUIVALENCIA"",
IF(fila=0,""SKU NO ENCONTRADO"",
LET(
valor,INDEX(Referencia!$A$2:$AZ6238,fila,col),
IF(TRIM(TO_TEXT(valor))=TRIM(TO_TEXT(I2704)),"&amp;"
""OK"",
""NO COINCIDE. Valor verdadero: ""&amp;IF(valor="""",""[VACÍO]"",TO_TEXT(valor))
)
))))
),""ERROR EN FÓRMULA""))"),"OK")</f>
        <v>OK</v>
      </c>
    </row>
    <row r="2705">
      <c r="A2705" s="83" t="s">
        <v>4078</v>
      </c>
      <c r="B2705" s="83" t="s">
        <v>4079</v>
      </c>
      <c r="C2705" s="81" t="s">
        <v>4086</v>
      </c>
      <c r="D2705" s="83" t="s">
        <v>4848</v>
      </c>
      <c r="E2705" s="81" t="s">
        <v>1142</v>
      </c>
      <c r="F2705" s="84">
        <v>795.0</v>
      </c>
      <c r="G2705" s="81" t="s">
        <v>25</v>
      </c>
      <c r="H2705" s="81" t="s">
        <v>224</v>
      </c>
      <c r="I2705" s="81" t="s">
        <v>55</v>
      </c>
      <c r="J2705" s="81" t="s">
        <v>224</v>
      </c>
      <c r="K2705" s="81" t="str">
        <f>IFERROR(__xludf.DUMMYFUNCTION("IF(OR(D2705="""",G2705=""""),"""",IFERROR(LET(
campo,XLOOKUP(TRIM(G2705),ARRAYFORMULA(TRIM('indice columnas'!$A$2:$A$100)),'indice columnas'!$B$2:$B$100,""""),
col,IFERROR(MATCH(campo,Referencia!$A$1:$AZ$1,0),0),
fila,IFERROR(MATCH(TO_TEXT(D2705),ARRAYFOR"&amp;"MULA(TO_TEXT(Referencia!$A$2:$A6238)),0),0),
IF(OR(campo="""",campo=""-""),""NO APLICA"",
IF(col=0,""REVISAR EQUIVALENCIA"",
IF(fila=0,""SKU NO ENCONTRADO"",
LET(
valor,INDEX(Referencia!$A$2:$AZ6238,fila,col),
IF(TRIM(TO_TEXT(valor))=TRIM(TO_TEXT(I2705)),"&amp;"
""OK"",
""NO COINCIDE. Valor verdadero: ""&amp;IF(valor="""",""[VACÍO]"",TO_TEXT(valor))
)
))))
),""ERROR EN FÓRMULA""))"),"OK")</f>
        <v>OK</v>
      </c>
    </row>
    <row r="2706">
      <c r="A2706" s="83" t="s">
        <v>4078</v>
      </c>
      <c r="B2706" s="83" t="s">
        <v>4079</v>
      </c>
      <c r="C2706" s="81" t="s">
        <v>4086</v>
      </c>
      <c r="D2706" s="83" t="s">
        <v>4848</v>
      </c>
      <c r="E2706" s="81" t="s">
        <v>1142</v>
      </c>
      <c r="F2706" s="84">
        <v>795.0</v>
      </c>
      <c r="G2706" s="81" t="s">
        <v>36</v>
      </c>
      <c r="H2706" s="81" t="s">
        <v>224</v>
      </c>
      <c r="I2706" s="81" t="s">
        <v>55</v>
      </c>
      <c r="J2706" s="81" t="s">
        <v>224</v>
      </c>
      <c r="K2706" s="81" t="str">
        <f>IFERROR(__xludf.DUMMYFUNCTION("IF(OR(D2706="""",G2706=""""),"""",IFERROR(LET(
campo,XLOOKUP(TRIM(G2706),ARRAYFORMULA(TRIM('indice columnas'!$A$2:$A$100)),'indice columnas'!$B$2:$B$100,""""),
col,IFERROR(MATCH(campo,Referencia!$A$1:$AZ$1,0),0),
fila,IFERROR(MATCH(TO_TEXT(D2706),ARRAYFOR"&amp;"MULA(TO_TEXT(Referencia!$A$2:$A6238)),0),0),
IF(OR(campo="""",campo=""-""),""NO APLICA"",
IF(col=0,""REVISAR EQUIVALENCIA"",
IF(fila=0,""SKU NO ENCONTRADO"",
LET(
valor,INDEX(Referencia!$A$2:$AZ6238,fila,col),
IF(TRIM(TO_TEXT(valor))=TRIM(TO_TEXT(I2706)),"&amp;"
""OK"",
""NO COINCIDE. Valor verdadero: ""&amp;IF(valor="""",""[VACÍO]"",TO_TEXT(valor))
)
))))
),""ERROR EN FÓRMULA""))"),"REVISAR EQUIVALENCIA")</f>
        <v>REVISAR EQUIVALENCIA</v>
      </c>
    </row>
    <row r="2707">
      <c r="A2707" s="83" t="s">
        <v>4078</v>
      </c>
      <c r="B2707" s="83" t="s">
        <v>4079</v>
      </c>
      <c r="C2707" s="81" t="s">
        <v>4086</v>
      </c>
      <c r="D2707" s="83" t="s">
        <v>4848</v>
      </c>
      <c r="E2707" s="81" t="s">
        <v>1142</v>
      </c>
      <c r="F2707" s="84">
        <v>795.0</v>
      </c>
      <c r="G2707" s="81" t="s">
        <v>44</v>
      </c>
      <c r="H2707" s="81" t="s">
        <v>224</v>
      </c>
      <c r="I2707" s="81" t="s">
        <v>1051</v>
      </c>
      <c r="J2707" s="81" t="s">
        <v>4088</v>
      </c>
      <c r="K2707" s="81" t="str">
        <f>IFERROR(__xludf.DUMMYFUNCTION("IF(OR(D2707="""",G2707=""""),"""",IFERROR(LET(
campo,XLOOKUP(TRIM(G2707),ARRAYFORMULA(TRIM('indice columnas'!$A$2:$A$100)),'indice columnas'!$B$2:$B$100,""""),
col,IFERROR(MATCH(campo,Referencia!$A$1:$AZ$1,0),0),
fila,IFERROR(MATCH(TO_TEXT(D2707),ARRAYFOR"&amp;"MULA(TO_TEXT(Referencia!$A$2:$A6238)),0),0),
IF(OR(campo="""",campo=""-""),""NO APLICA"",
IF(col=0,""REVISAR EQUIVALENCIA"",
IF(fila=0,""SKU NO ENCONTRADO"",
LET(
valor,INDEX(Referencia!$A$2:$AZ6238,fila,col),
IF(TRIM(TO_TEXT(valor))=TRIM(TO_TEXT(I2707)),"&amp;"
""OK"",
""NO COINCIDE. Valor verdadero: ""&amp;IF(valor="""",""[VACÍO]"",TO_TEXT(valor))
)
))))
),""ERROR EN FÓRMULA""))"),"NO APLICA")</f>
        <v>NO APLICA</v>
      </c>
    </row>
    <row r="2708">
      <c r="A2708" s="83" t="s">
        <v>4078</v>
      </c>
      <c r="B2708" s="83" t="s">
        <v>4079</v>
      </c>
      <c r="C2708" s="81" t="s">
        <v>4086</v>
      </c>
      <c r="D2708" s="83" t="s">
        <v>4850</v>
      </c>
      <c r="E2708" s="81" t="s">
        <v>1138</v>
      </c>
      <c r="F2708" s="84">
        <v>796.0</v>
      </c>
      <c r="G2708" s="81" t="s">
        <v>7</v>
      </c>
      <c r="H2708" s="81" t="s">
        <v>3623</v>
      </c>
      <c r="I2708" s="81" t="s">
        <v>4849</v>
      </c>
      <c r="J2708" s="81" t="s">
        <v>224</v>
      </c>
      <c r="K2708" s="81" t="str">
        <f>IFERROR(__xludf.DUMMYFUNCTION("IF(OR(D2708="""",G2708=""""),"""",IFERROR(LET(
campo,XLOOKUP(TRIM(G2708),ARRAYFORMULA(TRIM('indice columnas'!$A$2:$A$100)),'indice columnas'!$B$2:$B$100,""""),
col,IFERROR(MATCH(campo,Referencia!$A$1:$AZ$1,0),0),
fila,IFERROR(MATCH(TO_TEXT(D2708),ARRAYFOR"&amp;"MULA(TO_TEXT(Referencia!$A$2:$A6238)),0),0),
IF(OR(campo="""",campo=""-""),""NO APLICA"",
IF(col=0,""REVISAR EQUIVALENCIA"",
IF(fila=0,""SKU NO ENCONTRADO"",
LET(
valor,INDEX(Referencia!$A$2:$AZ6238,fila,col),
IF(TRIM(TO_TEXT(valor))=TRIM(TO_TEXT(I2708)),"&amp;"
""OK"",
""NO COINCIDE. Valor verdadero: ""&amp;IF(valor="""",""[VACÍO]"",TO_TEXT(valor))
)
))))
),""ERROR EN FÓRMULA""))"),"REVISAR EQUIVALENCIA")</f>
        <v>REVISAR EQUIVALENCIA</v>
      </c>
    </row>
    <row r="2709">
      <c r="A2709" s="83" t="s">
        <v>4078</v>
      </c>
      <c r="B2709" s="83" t="s">
        <v>4079</v>
      </c>
      <c r="C2709" s="81" t="s">
        <v>4086</v>
      </c>
      <c r="D2709" s="83" t="s">
        <v>4850</v>
      </c>
      <c r="E2709" s="81" t="s">
        <v>1138</v>
      </c>
      <c r="F2709" s="84">
        <v>796.0</v>
      </c>
      <c r="G2709" s="81" t="s">
        <v>12</v>
      </c>
      <c r="H2709" s="81" t="s">
        <v>224</v>
      </c>
      <c r="I2709" s="81" t="s">
        <v>55</v>
      </c>
      <c r="J2709" s="81" t="s">
        <v>224</v>
      </c>
      <c r="K2709" s="81" t="str">
        <f>IFERROR(__xludf.DUMMYFUNCTION("IF(OR(D2709="""",G2709=""""),"""",IFERROR(LET(
campo,XLOOKUP(TRIM(G2709),ARRAYFORMULA(TRIM('indice columnas'!$A$2:$A$100)),'indice columnas'!$B$2:$B$100,""""),
col,IFERROR(MATCH(campo,Referencia!$A$1:$AZ$1,0),0),
fila,IFERROR(MATCH(TO_TEXT(D2709),ARRAYFOR"&amp;"MULA(TO_TEXT(Referencia!$A$2:$A6238)),0),0),
IF(OR(campo="""",campo=""-""),""NO APLICA"",
IF(col=0,""REVISAR EQUIVALENCIA"",
IF(fila=0,""SKU NO ENCONTRADO"",
LET(
valor,INDEX(Referencia!$A$2:$AZ6238,fila,col),
IF(TRIM(TO_TEXT(valor))=TRIM(TO_TEXT(I2709)),"&amp;"
""OK"",
""NO COINCIDE. Valor verdadero: ""&amp;IF(valor="""",""[VACÍO]"",TO_TEXT(valor))
)
))))
),""ERROR EN FÓRMULA""))"),"OK")</f>
        <v>OK</v>
      </c>
    </row>
    <row r="2710">
      <c r="A2710" s="83" t="s">
        <v>4078</v>
      </c>
      <c r="B2710" s="83" t="s">
        <v>4079</v>
      </c>
      <c r="C2710" s="81" t="s">
        <v>4086</v>
      </c>
      <c r="D2710" s="83" t="s">
        <v>4850</v>
      </c>
      <c r="E2710" s="81" t="s">
        <v>1138</v>
      </c>
      <c r="F2710" s="84">
        <v>796.0</v>
      </c>
      <c r="G2710" s="81" t="s">
        <v>25</v>
      </c>
      <c r="H2710" s="81" t="s">
        <v>224</v>
      </c>
      <c r="I2710" s="81" t="s">
        <v>55</v>
      </c>
      <c r="J2710" s="81" t="s">
        <v>224</v>
      </c>
      <c r="K2710" s="81" t="str">
        <f>IFERROR(__xludf.DUMMYFUNCTION("IF(OR(D2710="""",G2710=""""),"""",IFERROR(LET(
campo,XLOOKUP(TRIM(G2710),ARRAYFORMULA(TRIM('indice columnas'!$A$2:$A$100)),'indice columnas'!$B$2:$B$100,""""),
col,IFERROR(MATCH(campo,Referencia!$A$1:$AZ$1,0),0),
fila,IFERROR(MATCH(TO_TEXT(D2710),ARRAYFOR"&amp;"MULA(TO_TEXT(Referencia!$A$2:$A6238)),0),0),
IF(OR(campo="""",campo=""-""),""NO APLICA"",
IF(col=0,""REVISAR EQUIVALENCIA"",
IF(fila=0,""SKU NO ENCONTRADO"",
LET(
valor,INDEX(Referencia!$A$2:$AZ6238,fila,col),
IF(TRIM(TO_TEXT(valor))=TRIM(TO_TEXT(I2710)),"&amp;"
""OK"",
""NO COINCIDE. Valor verdadero: ""&amp;IF(valor="""",""[VACÍO]"",TO_TEXT(valor))
)
))))
),""ERROR EN FÓRMULA""))"),"OK")</f>
        <v>OK</v>
      </c>
    </row>
    <row r="2711">
      <c r="A2711" s="83" t="s">
        <v>4078</v>
      </c>
      <c r="B2711" s="83" t="s">
        <v>4079</v>
      </c>
      <c r="C2711" s="81" t="s">
        <v>4086</v>
      </c>
      <c r="D2711" s="83" t="s">
        <v>4850</v>
      </c>
      <c r="E2711" s="81" t="s">
        <v>1138</v>
      </c>
      <c r="F2711" s="84">
        <v>796.0</v>
      </c>
      <c r="G2711" s="81" t="s">
        <v>36</v>
      </c>
      <c r="H2711" s="81" t="s">
        <v>224</v>
      </c>
      <c r="I2711" s="81" t="s">
        <v>55</v>
      </c>
      <c r="J2711" s="81" t="s">
        <v>224</v>
      </c>
      <c r="K2711" s="81" t="str">
        <f>IFERROR(__xludf.DUMMYFUNCTION("IF(OR(D2711="""",G2711=""""),"""",IFERROR(LET(
campo,XLOOKUP(TRIM(G2711),ARRAYFORMULA(TRIM('indice columnas'!$A$2:$A$100)),'indice columnas'!$B$2:$B$100,""""),
col,IFERROR(MATCH(campo,Referencia!$A$1:$AZ$1,0),0),
fila,IFERROR(MATCH(TO_TEXT(D2711),ARRAYFOR"&amp;"MULA(TO_TEXT(Referencia!$A$2:$A6238)),0),0),
IF(OR(campo="""",campo=""-""),""NO APLICA"",
IF(col=0,""REVISAR EQUIVALENCIA"",
IF(fila=0,""SKU NO ENCONTRADO"",
LET(
valor,INDEX(Referencia!$A$2:$AZ6238,fila,col),
IF(TRIM(TO_TEXT(valor))=TRIM(TO_TEXT(I2711)),"&amp;"
""OK"",
""NO COINCIDE. Valor verdadero: ""&amp;IF(valor="""",""[VACÍO]"",TO_TEXT(valor))
)
))))
),""ERROR EN FÓRMULA""))"),"REVISAR EQUIVALENCIA")</f>
        <v>REVISAR EQUIVALENCIA</v>
      </c>
    </row>
    <row r="2712">
      <c r="A2712" s="83" t="s">
        <v>4078</v>
      </c>
      <c r="B2712" s="83" t="s">
        <v>4079</v>
      </c>
      <c r="C2712" s="81" t="s">
        <v>4086</v>
      </c>
      <c r="D2712" s="83" t="s">
        <v>4850</v>
      </c>
      <c r="E2712" s="81" t="s">
        <v>1138</v>
      </c>
      <c r="F2712" s="84">
        <v>796.0</v>
      </c>
      <c r="G2712" s="81" t="s">
        <v>44</v>
      </c>
      <c r="H2712" s="81" t="s">
        <v>224</v>
      </c>
      <c r="I2712" s="81" t="s">
        <v>1051</v>
      </c>
      <c r="J2712" s="81" t="s">
        <v>4088</v>
      </c>
      <c r="K2712" s="81" t="str">
        <f>IFERROR(__xludf.DUMMYFUNCTION("IF(OR(D2712="""",G2712=""""),"""",IFERROR(LET(
campo,XLOOKUP(TRIM(G2712),ARRAYFORMULA(TRIM('indice columnas'!$A$2:$A$100)),'indice columnas'!$B$2:$B$100,""""),
col,IFERROR(MATCH(campo,Referencia!$A$1:$AZ$1,0),0),
fila,IFERROR(MATCH(TO_TEXT(D2712),ARRAYFOR"&amp;"MULA(TO_TEXT(Referencia!$A$2:$A6238)),0),0),
IF(OR(campo="""",campo=""-""),""NO APLICA"",
IF(col=0,""REVISAR EQUIVALENCIA"",
IF(fila=0,""SKU NO ENCONTRADO"",
LET(
valor,INDEX(Referencia!$A$2:$AZ6238,fila,col),
IF(TRIM(TO_TEXT(valor))=TRIM(TO_TEXT(I2712)),"&amp;"
""OK"",
""NO COINCIDE. Valor verdadero: ""&amp;IF(valor="""",""[VACÍO]"",TO_TEXT(valor))
)
))))
),""ERROR EN FÓRMULA""))"),"NO APLICA")</f>
        <v>NO APLICA</v>
      </c>
    </row>
    <row r="2713">
      <c r="A2713" s="83" t="s">
        <v>4854</v>
      </c>
      <c r="B2713" s="83" t="s">
        <v>4855</v>
      </c>
      <c r="C2713" s="81" t="s">
        <v>4080</v>
      </c>
      <c r="D2713" s="81" t="s">
        <v>224</v>
      </c>
      <c r="E2713" s="81" t="s">
        <v>224</v>
      </c>
      <c r="F2713" s="81" t="s">
        <v>224</v>
      </c>
      <c r="G2713" s="81" t="s">
        <v>224</v>
      </c>
      <c r="H2713" s="81" t="s">
        <v>224</v>
      </c>
      <c r="I2713" s="81" t="s">
        <v>224</v>
      </c>
      <c r="J2713" s="81" t="s">
        <v>4856</v>
      </c>
      <c r="K2713" s="81" t="str">
        <f>IFERROR(__xludf.DUMMYFUNCTION("IF(OR(D2713="""",G2713=""""),"""",IFERROR(LET(
campo,XLOOKUP(TRIM(G2713),ARRAYFORMULA(TRIM('indice columnas'!$A$2:$A$100)),'indice columnas'!$B$2:$B$100,""""),
col,IFERROR(MATCH(campo,Referencia!$A$1:$AZ$1,0),0),
fila,IFERROR(MATCH(TO_TEXT(D2713),ARRAYFOR"&amp;"MULA(TO_TEXT(Referencia!$A$2:$A6238)),0),0),
IF(OR(campo="""",campo=""-""),""NO APLICA"",
IF(col=0,""REVISAR EQUIVALENCIA"",
IF(fila=0,""SKU NO ENCONTRADO"",
LET(
valor,INDEX(Referencia!$A$2:$AZ6238,fila,col),
IF(TRIM(TO_TEXT(valor))=TRIM(TO_TEXT(I2713)),"&amp;"
""OK"",
""NO COINCIDE. Valor verdadero: ""&amp;IF(valor="""",""[VACÍO]"",TO_TEXT(valor))
)
))))
),""ERROR EN FÓRMULA""))"),"")</f>
        <v/>
      </c>
    </row>
    <row r="2714">
      <c r="A2714" s="83" t="s">
        <v>4854</v>
      </c>
      <c r="B2714" s="83" t="s">
        <v>4855</v>
      </c>
      <c r="C2714" s="81" t="s">
        <v>4082</v>
      </c>
      <c r="D2714" s="81" t="s">
        <v>224</v>
      </c>
      <c r="E2714" s="81" t="s">
        <v>224</v>
      </c>
      <c r="F2714" s="81" t="s">
        <v>224</v>
      </c>
      <c r="G2714" s="81" t="s">
        <v>8</v>
      </c>
      <c r="H2714" s="81" t="s">
        <v>224</v>
      </c>
      <c r="I2714" s="81" t="s">
        <v>224</v>
      </c>
      <c r="J2714" s="81" t="s">
        <v>4083</v>
      </c>
      <c r="K2714" s="81" t="str">
        <f>IFERROR(__xludf.DUMMYFUNCTION("IF(OR(D2714="""",G2714=""""),"""",IFERROR(LET(
campo,XLOOKUP(TRIM(G2714),ARRAYFORMULA(TRIM('indice columnas'!$A$2:$A$100)),'indice columnas'!$B$2:$B$100,""""),
col,IFERROR(MATCH(campo,Referencia!$A$1:$AZ$1,0),0),
fila,IFERROR(MATCH(TO_TEXT(D2714),ARRAYFOR"&amp;"MULA(TO_TEXT(Referencia!$A$2:$A6238)),0),0),
IF(OR(campo="""",campo=""-""),""NO APLICA"",
IF(col=0,""REVISAR EQUIVALENCIA"",
IF(fila=0,""SKU NO ENCONTRADO"",
LET(
valor,INDEX(Referencia!$A$2:$AZ6238,fila,col),
IF(TRIM(TO_TEXT(valor))=TRIM(TO_TEXT(I2714)),"&amp;"
""OK"",
""NO COINCIDE. Valor verdadero: ""&amp;IF(valor="""",""[VACÍO]"",TO_TEXT(valor))
)
))))
),""ERROR EN FÓRMULA""))"),"")</f>
        <v/>
      </c>
    </row>
    <row r="2715">
      <c r="A2715" s="83" t="s">
        <v>4854</v>
      </c>
      <c r="B2715" s="83" t="s">
        <v>4855</v>
      </c>
      <c r="C2715" s="81" t="s">
        <v>4084</v>
      </c>
      <c r="D2715" s="81" t="s">
        <v>224</v>
      </c>
      <c r="E2715" s="81" t="s">
        <v>224</v>
      </c>
      <c r="F2715" s="81" t="s">
        <v>224</v>
      </c>
      <c r="G2715" s="81" t="s">
        <v>9</v>
      </c>
      <c r="H2715" s="81" t="s">
        <v>224</v>
      </c>
      <c r="I2715" s="81" t="s">
        <v>224</v>
      </c>
      <c r="J2715" s="81" t="s">
        <v>4085</v>
      </c>
      <c r="K2715" s="81" t="str">
        <f>IFERROR(__xludf.DUMMYFUNCTION("IF(OR(D2715="""",G2715=""""),"""",IFERROR(LET(
campo,XLOOKUP(TRIM(G2715),ARRAYFORMULA(TRIM('indice columnas'!$A$2:$A$100)),'indice columnas'!$B$2:$B$100,""""),
col,IFERROR(MATCH(campo,Referencia!$A$1:$AZ$1,0),0),
fila,IFERROR(MATCH(TO_TEXT(D2715),ARRAYFOR"&amp;"MULA(TO_TEXT(Referencia!$A$2:$A6238)),0),0),
IF(OR(campo="""",campo=""-""),""NO APLICA"",
IF(col=0,""REVISAR EQUIVALENCIA"",
IF(fila=0,""SKU NO ENCONTRADO"",
LET(
valor,INDEX(Referencia!$A$2:$AZ6238,fila,col),
IF(TRIM(TO_TEXT(valor))=TRIM(TO_TEXT(I2715)),"&amp;"
""OK"",
""NO COINCIDE. Valor verdadero: ""&amp;IF(valor="""",""[VACÍO]"",TO_TEXT(valor))
)
))))
),""ERROR EN FÓRMULA""))"),"")</f>
        <v/>
      </c>
    </row>
    <row r="2716">
      <c r="A2716" s="83" t="s">
        <v>4854</v>
      </c>
      <c r="B2716" s="83" t="s">
        <v>4855</v>
      </c>
      <c r="C2716" s="81" t="s">
        <v>4621</v>
      </c>
      <c r="D2716" s="83" t="s">
        <v>4238</v>
      </c>
      <c r="E2716" s="81" t="s">
        <v>918</v>
      </c>
      <c r="F2716" s="84">
        <v>163.0</v>
      </c>
      <c r="G2716" s="81" t="s">
        <v>41</v>
      </c>
      <c r="H2716" s="81" t="s">
        <v>931</v>
      </c>
      <c r="I2716" s="81" t="s">
        <v>924</v>
      </c>
      <c r="J2716" s="81" t="s">
        <v>224</v>
      </c>
      <c r="K2716" s="81" t="str">
        <f>IFERROR(__xludf.DUMMYFUNCTION("IF(OR(D2716="""",G2716=""""),"""",IFERROR(LET(
campo,XLOOKUP(TRIM(G2716),ARRAYFORMULA(TRIM('indice columnas'!$A$2:$A$100)),'indice columnas'!$B$2:$B$100,""""),
col,IFERROR(MATCH(campo,Referencia!$A$1:$AZ$1,0),0),
fila,IFERROR(MATCH(TO_TEXT(D2716),ARRAYFOR"&amp;"MULA(TO_TEXT(Referencia!$A$2:$A6238)),0),0),
IF(OR(campo="""",campo=""-""),""NO APLICA"",
IF(col=0,""REVISAR EQUIVALENCIA"",
IF(fila=0,""SKU NO ENCONTRADO"",
LET(
valor,INDEX(Referencia!$A$2:$AZ6238,fila,col),
IF(TRIM(TO_TEXT(valor))=TRIM(TO_TEXT(I2716)),"&amp;"
""OK"",
""NO COINCIDE. Valor verdadero: ""&amp;IF(valor="""",""[VACÍO]"",TO_TEXT(valor))
)
))))
),""ERROR EN FÓRMULA""))"),"REVISAR EQUIVALENCIA")</f>
        <v>REVISAR EQUIVALENCIA</v>
      </c>
    </row>
    <row r="2717">
      <c r="A2717" s="83" t="s">
        <v>4854</v>
      </c>
      <c r="B2717" s="83" t="s">
        <v>4855</v>
      </c>
      <c r="C2717" s="81" t="s">
        <v>4621</v>
      </c>
      <c r="D2717" s="83" t="s">
        <v>4239</v>
      </c>
      <c r="E2717" s="81" t="s">
        <v>934</v>
      </c>
      <c r="F2717" s="84">
        <v>165.0</v>
      </c>
      <c r="G2717" s="81" t="s">
        <v>41</v>
      </c>
      <c r="H2717" s="81" t="s">
        <v>931</v>
      </c>
      <c r="I2717" s="81" t="s">
        <v>924</v>
      </c>
      <c r="J2717" s="81" t="s">
        <v>224</v>
      </c>
      <c r="K2717" s="81" t="str">
        <f>IFERROR(__xludf.DUMMYFUNCTION("IF(OR(D2717="""",G2717=""""),"""",IFERROR(LET(
campo,XLOOKUP(TRIM(G2717),ARRAYFORMULA(TRIM('indice columnas'!$A$2:$A$100)),'indice columnas'!$B$2:$B$100,""""),
col,IFERROR(MATCH(campo,Referencia!$A$1:$AZ$1,0),0),
fila,IFERROR(MATCH(TO_TEXT(D2717),ARRAYFOR"&amp;"MULA(TO_TEXT(Referencia!$A$2:$A6238)),0),0),
IF(OR(campo="""",campo=""-""),""NO APLICA"",
IF(col=0,""REVISAR EQUIVALENCIA"",
IF(fila=0,""SKU NO ENCONTRADO"",
LET(
valor,INDEX(Referencia!$A$2:$AZ6238,fila,col),
IF(TRIM(TO_TEXT(valor))=TRIM(TO_TEXT(I2717)),"&amp;"
""OK"",
""NO COINCIDE. Valor verdadero: ""&amp;IF(valor="""",""[VACÍO]"",TO_TEXT(valor))
)
))))
),""ERROR EN FÓRMULA""))"),"REVISAR EQUIVALENCIA")</f>
        <v>REVISAR EQUIVALENCIA</v>
      </c>
    </row>
    <row r="2718">
      <c r="A2718" s="83" t="s">
        <v>4854</v>
      </c>
      <c r="B2718" s="83" t="s">
        <v>4855</v>
      </c>
      <c r="C2718" s="81" t="s">
        <v>4621</v>
      </c>
      <c r="D2718" s="83" t="s">
        <v>4240</v>
      </c>
      <c r="E2718" s="81" t="s">
        <v>935</v>
      </c>
      <c r="F2718" s="84">
        <v>166.0</v>
      </c>
      <c r="G2718" s="81" t="s">
        <v>41</v>
      </c>
      <c r="H2718" s="81" t="s">
        <v>931</v>
      </c>
      <c r="I2718" s="81" t="s">
        <v>924</v>
      </c>
      <c r="J2718" s="81" t="s">
        <v>224</v>
      </c>
      <c r="K2718" s="81" t="str">
        <f>IFERROR(__xludf.DUMMYFUNCTION("IF(OR(D2718="""",G2718=""""),"""",IFERROR(LET(
campo,XLOOKUP(TRIM(G2718),ARRAYFORMULA(TRIM('indice columnas'!$A$2:$A$100)),'indice columnas'!$B$2:$B$100,""""),
col,IFERROR(MATCH(campo,Referencia!$A$1:$AZ$1,0),0),
fila,IFERROR(MATCH(TO_TEXT(D2718),ARRAYFOR"&amp;"MULA(TO_TEXT(Referencia!$A$2:$A6238)),0),0),
IF(OR(campo="""",campo=""-""),""NO APLICA"",
IF(col=0,""REVISAR EQUIVALENCIA"",
IF(fila=0,""SKU NO ENCONTRADO"",
LET(
valor,INDEX(Referencia!$A$2:$AZ6238,fila,col),
IF(TRIM(TO_TEXT(valor))=TRIM(TO_TEXT(I2718)),"&amp;"
""OK"",
""NO COINCIDE. Valor verdadero: ""&amp;IF(valor="""",""[VACÍO]"",TO_TEXT(valor))
)
))))
),""ERROR EN FÓRMULA""))"),"REVISAR EQUIVALENCIA")</f>
        <v>REVISAR EQUIVALENCIA</v>
      </c>
    </row>
    <row r="2719">
      <c r="A2719" s="83" t="s">
        <v>4854</v>
      </c>
      <c r="B2719" s="83" t="s">
        <v>4855</v>
      </c>
      <c r="C2719" s="81" t="s">
        <v>4621</v>
      </c>
      <c r="D2719" s="83" t="s">
        <v>4241</v>
      </c>
      <c r="E2719" s="81" t="s">
        <v>943</v>
      </c>
      <c r="F2719" s="84">
        <v>168.0</v>
      </c>
      <c r="G2719" s="81" t="s">
        <v>41</v>
      </c>
      <c r="H2719" s="81" t="s">
        <v>931</v>
      </c>
      <c r="I2719" s="81" t="s">
        <v>924</v>
      </c>
      <c r="J2719" s="81" t="s">
        <v>224</v>
      </c>
      <c r="K2719" s="81" t="str">
        <f>IFERROR(__xludf.DUMMYFUNCTION("IF(OR(D2719="""",G2719=""""),"""",IFERROR(LET(
campo,XLOOKUP(TRIM(G2719),ARRAYFORMULA(TRIM('indice columnas'!$A$2:$A$100)),'indice columnas'!$B$2:$B$100,""""),
col,IFERROR(MATCH(campo,Referencia!$A$1:$AZ$1,0),0),
fila,IFERROR(MATCH(TO_TEXT(D2719),ARRAYFOR"&amp;"MULA(TO_TEXT(Referencia!$A$2:$A6238)),0),0),
IF(OR(campo="""",campo=""-""),""NO APLICA"",
IF(col=0,""REVISAR EQUIVALENCIA"",
IF(fila=0,""SKU NO ENCONTRADO"",
LET(
valor,INDEX(Referencia!$A$2:$AZ6238,fila,col),
IF(TRIM(TO_TEXT(valor))=TRIM(TO_TEXT(I2719)),"&amp;"
""OK"",
""NO COINCIDE. Valor verdadero: ""&amp;IF(valor="""",""[VACÍO]"",TO_TEXT(valor))
)
))))
),""ERROR EN FÓRMULA""))"),"REVISAR EQUIVALENCIA")</f>
        <v>REVISAR EQUIVALENCIA</v>
      </c>
    </row>
    <row r="2720">
      <c r="A2720" s="83" t="s">
        <v>4854</v>
      </c>
      <c r="B2720" s="83" t="s">
        <v>4855</v>
      </c>
      <c r="C2720" s="81" t="s">
        <v>4621</v>
      </c>
      <c r="D2720" s="83" t="s">
        <v>4242</v>
      </c>
      <c r="E2720" s="81" t="s">
        <v>944</v>
      </c>
      <c r="F2720" s="84">
        <v>169.0</v>
      </c>
      <c r="G2720" s="81" t="s">
        <v>41</v>
      </c>
      <c r="H2720" s="81" t="s">
        <v>931</v>
      </c>
      <c r="I2720" s="81" t="s">
        <v>924</v>
      </c>
      <c r="J2720" s="81" t="s">
        <v>224</v>
      </c>
      <c r="K2720" s="81" t="str">
        <f>IFERROR(__xludf.DUMMYFUNCTION("IF(OR(D2720="""",G2720=""""),"""",IFERROR(LET(
campo,XLOOKUP(TRIM(G2720),ARRAYFORMULA(TRIM('indice columnas'!$A$2:$A$100)),'indice columnas'!$B$2:$B$100,""""),
col,IFERROR(MATCH(campo,Referencia!$A$1:$AZ$1,0),0),
fila,IFERROR(MATCH(TO_TEXT(D2720),ARRAYFOR"&amp;"MULA(TO_TEXT(Referencia!$A$2:$A6238)),0),0),
IF(OR(campo="""",campo=""-""),""NO APLICA"",
IF(col=0,""REVISAR EQUIVALENCIA"",
IF(fila=0,""SKU NO ENCONTRADO"",
LET(
valor,INDEX(Referencia!$A$2:$AZ6238,fila,col),
IF(TRIM(TO_TEXT(valor))=TRIM(TO_TEXT(I2720)),"&amp;"
""OK"",
""NO COINCIDE. Valor verdadero: ""&amp;IF(valor="""",""[VACÍO]"",TO_TEXT(valor))
)
))))
),""ERROR EN FÓRMULA""))"),"REVISAR EQUIVALENCIA")</f>
        <v>REVISAR EQUIVALENCIA</v>
      </c>
    </row>
    <row r="2721">
      <c r="A2721" s="83" t="s">
        <v>4854</v>
      </c>
      <c r="B2721" s="83" t="s">
        <v>4855</v>
      </c>
      <c r="C2721" s="81" t="s">
        <v>4621</v>
      </c>
      <c r="D2721" s="83" t="s">
        <v>4243</v>
      </c>
      <c r="E2721" s="81" t="s">
        <v>951</v>
      </c>
      <c r="F2721" s="84">
        <v>171.0</v>
      </c>
      <c r="G2721" s="81" t="s">
        <v>41</v>
      </c>
      <c r="H2721" s="81" t="s">
        <v>931</v>
      </c>
      <c r="I2721" s="81" t="s">
        <v>924</v>
      </c>
      <c r="J2721" s="81" t="s">
        <v>224</v>
      </c>
      <c r="K2721" s="81" t="str">
        <f>IFERROR(__xludf.DUMMYFUNCTION("IF(OR(D2721="""",G2721=""""),"""",IFERROR(LET(
campo,XLOOKUP(TRIM(G2721),ARRAYFORMULA(TRIM('indice columnas'!$A$2:$A$100)),'indice columnas'!$B$2:$B$100,""""),
col,IFERROR(MATCH(campo,Referencia!$A$1:$AZ$1,0),0),
fila,IFERROR(MATCH(TO_TEXT(D2721),ARRAYFOR"&amp;"MULA(TO_TEXT(Referencia!$A$2:$A6238)),0),0),
IF(OR(campo="""",campo=""-""),""NO APLICA"",
IF(col=0,""REVISAR EQUIVALENCIA"",
IF(fila=0,""SKU NO ENCONTRADO"",
LET(
valor,INDEX(Referencia!$A$2:$AZ6238,fila,col),
IF(TRIM(TO_TEXT(valor))=TRIM(TO_TEXT(I2721)),"&amp;"
""OK"",
""NO COINCIDE. Valor verdadero: ""&amp;IF(valor="""",""[VACÍO]"",TO_TEXT(valor))
)
))))
),""ERROR EN FÓRMULA""))"),"REVISAR EQUIVALENCIA")</f>
        <v>REVISAR EQUIVALENCIA</v>
      </c>
    </row>
    <row r="2722">
      <c r="A2722" s="83" t="s">
        <v>4854</v>
      </c>
      <c r="B2722" s="83" t="s">
        <v>4855</v>
      </c>
      <c r="C2722" s="81" t="s">
        <v>4621</v>
      </c>
      <c r="D2722" s="83" t="s">
        <v>4244</v>
      </c>
      <c r="E2722" s="81" t="s">
        <v>952</v>
      </c>
      <c r="F2722" s="84">
        <v>172.0</v>
      </c>
      <c r="G2722" s="81" t="s">
        <v>41</v>
      </c>
      <c r="H2722" s="81" t="s">
        <v>931</v>
      </c>
      <c r="I2722" s="81" t="s">
        <v>924</v>
      </c>
      <c r="J2722" s="81" t="s">
        <v>224</v>
      </c>
      <c r="K2722" s="81" t="str">
        <f>IFERROR(__xludf.DUMMYFUNCTION("IF(OR(D2722="""",G2722=""""),"""",IFERROR(LET(
campo,XLOOKUP(TRIM(G2722),ARRAYFORMULA(TRIM('indice columnas'!$A$2:$A$100)),'indice columnas'!$B$2:$B$100,""""),
col,IFERROR(MATCH(campo,Referencia!$A$1:$AZ$1,0),0),
fila,IFERROR(MATCH(TO_TEXT(D2722),ARRAYFOR"&amp;"MULA(TO_TEXT(Referencia!$A$2:$A6238)),0),0),
IF(OR(campo="""",campo=""-""),""NO APLICA"",
IF(col=0,""REVISAR EQUIVALENCIA"",
IF(fila=0,""SKU NO ENCONTRADO"",
LET(
valor,INDEX(Referencia!$A$2:$AZ6238,fila,col),
IF(TRIM(TO_TEXT(valor))=TRIM(TO_TEXT(I2722)),"&amp;"
""OK"",
""NO COINCIDE. Valor verdadero: ""&amp;IF(valor="""",""[VACÍO]"",TO_TEXT(valor))
)
))))
),""ERROR EN FÓRMULA""))"),"REVISAR EQUIVALENCIA")</f>
        <v>REVISAR EQUIVALENCIA</v>
      </c>
    </row>
    <row r="2723">
      <c r="A2723" s="83" t="s">
        <v>4854</v>
      </c>
      <c r="B2723" s="83" t="s">
        <v>4855</v>
      </c>
      <c r="C2723" s="81" t="s">
        <v>4621</v>
      </c>
      <c r="D2723" s="83" t="s">
        <v>4245</v>
      </c>
      <c r="E2723" s="81" t="s">
        <v>961</v>
      </c>
      <c r="F2723" s="84">
        <v>174.0</v>
      </c>
      <c r="G2723" s="81" t="s">
        <v>41</v>
      </c>
      <c r="H2723" s="81" t="s">
        <v>931</v>
      </c>
      <c r="I2723" s="81" t="s">
        <v>924</v>
      </c>
      <c r="J2723" s="81" t="s">
        <v>224</v>
      </c>
      <c r="K2723" s="81" t="str">
        <f>IFERROR(__xludf.DUMMYFUNCTION("IF(OR(D2723="""",G2723=""""),"""",IFERROR(LET(
campo,XLOOKUP(TRIM(G2723),ARRAYFORMULA(TRIM('indice columnas'!$A$2:$A$100)),'indice columnas'!$B$2:$B$100,""""),
col,IFERROR(MATCH(campo,Referencia!$A$1:$AZ$1,0),0),
fila,IFERROR(MATCH(TO_TEXT(D2723),ARRAYFOR"&amp;"MULA(TO_TEXT(Referencia!$A$2:$A6238)),0),0),
IF(OR(campo="""",campo=""-""),""NO APLICA"",
IF(col=0,""REVISAR EQUIVALENCIA"",
IF(fila=0,""SKU NO ENCONTRADO"",
LET(
valor,INDEX(Referencia!$A$2:$AZ6238,fila,col),
IF(TRIM(TO_TEXT(valor))=TRIM(TO_TEXT(I2723)),"&amp;"
""OK"",
""NO COINCIDE. Valor verdadero: ""&amp;IF(valor="""",""[VACÍO]"",TO_TEXT(valor))
)
))))
),""ERROR EN FÓRMULA""))"),"REVISAR EQUIVALENCIA")</f>
        <v>REVISAR EQUIVALENCIA</v>
      </c>
    </row>
    <row r="2724">
      <c r="A2724" s="83" t="s">
        <v>4854</v>
      </c>
      <c r="B2724" s="83" t="s">
        <v>4855</v>
      </c>
      <c r="C2724" s="81" t="s">
        <v>4621</v>
      </c>
      <c r="D2724" s="83" t="s">
        <v>4246</v>
      </c>
      <c r="E2724" s="81" t="s">
        <v>962</v>
      </c>
      <c r="F2724" s="84">
        <v>175.0</v>
      </c>
      <c r="G2724" s="81" t="s">
        <v>41</v>
      </c>
      <c r="H2724" s="81" t="s">
        <v>931</v>
      </c>
      <c r="I2724" s="81" t="s">
        <v>924</v>
      </c>
      <c r="J2724" s="81" t="s">
        <v>224</v>
      </c>
      <c r="K2724" s="81" t="str">
        <f>IFERROR(__xludf.DUMMYFUNCTION("IF(OR(D2724="""",G2724=""""),"""",IFERROR(LET(
campo,XLOOKUP(TRIM(G2724),ARRAYFORMULA(TRIM('indice columnas'!$A$2:$A$100)),'indice columnas'!$B$2:$B$100,""""),
col,IFERROR(MATCH(campo,Referencia!$A$1:$AZ$1,0),0),
fila,IFERROR(MATCH(TO_TEXT(D2724),ARRAYFOR"&amp;"MULA(TO_TEXT(Referencia!$A$2:$A6238)),0),0),
IF(OR(campo="""",campo=""-""),""NO APLICA"",
IF(col=0,""REVISAR EQUIVALENCIA"",
IF(fila=0,""SKU NO ENCONTRADO"",
LET(
valor,INDEX(Referencia!$A$2:$AZ6238,fila,col),
IF(TRIM(TO_TEXT(valor))=TRIM(TO_TEXT(I2724)),"&amp;"
""OK"",
""NO COINCIDE. Valor verdadero: ""&amp;IF(valor="""",""[VACÍO]"",TO_TEXT(valor))
)
))))
),""ERROR EN FÓRMULA""))"),"REVISAR EQUIVALENCIA")</f>
        <v>REVISAR EQUIVALENCIA</v>
      </c>
    </row>
    <row r="2725">
      <c r="A2725" s="83" t="s">
        <v>4854</v>
      </c>
      <c r="B2725" s="83" t="s">
        <v>4855</v>
      </c>
      <c r="C2725" s="81" t="s">
        <v>4621</v>
      </c>
      <c r="D2725" s="83" t="s">
        <v>4247</v>
      </c>
      <c r="E2725" s="81" t="s">
        <v>971</v>
      </c>
      <c r="F2725" s="84">
        <v>177.0</v>
      </c>
      <c r="G2725" s="81" t="s">
        <v>41</v>
      </c>
      <c r="H2725" s="81" t="s">
        <v>931</v>
      </c>
      <c r="I2725" s="81" t="s">
        <v>924</v>
      </c>
      <c r="J2725" s="81" t="s">
        <v>224</v>
      </c>
      <c r="K2725" s="81" t="str">
        <f>IFERROR(__xludf.DUMMYFUNCTION("IF(OR(D2725="""",G2725=""""),"""",IFERROR(LET(
campo,XLOOKUP(TRIM(G2725),ARRAYFORMULA(TRIM('indice columnas'!$A$2:$A$100)),'indice columnas'!$B$2:$B$100,""""),
col,IFERROR(MATCH(campo,Referencia!$A$1:$AZ$1,0),0),
fila,IFERROR(MATCH(TO_TEXT(D2725),ARRAYFOR"&amp;"MULA(TO_TEXT(Referencia!$A$2:$A6238)),0),0),
IF(OR(campo="""",campo=""-""),""NO APLICA"",
IF(col=0,""REVISAR EQUIVALENCIA"",
IF(fila=0,""SKU NO ENCONTRADO"",
LET(
valor,INDEX(Referencia!$A$2:$AZ6238,fila,col),
IF(TRIM(TO_TEXT(valor))=TRIM(TO_TEXT(I2725)),"&amp;"
""OK"",
""NO COINCIDE. Valor verdadero: ""&amp;IF(valor="""",""[VACÍO]"",TO_TEXT(valor))
)
))))
),""ERROR EN FÓRMULA""))"),"REVISAR EQUIVALENCIA")</f>
        <v>REVISAR EQUIVALENCIA</v>
      </c>
    </row>
    <row r="2726">
      <c r="A2726" s="83" t="s">
        <v>4854</v>
      </c>
      <c r="B2726" s="83" t="s">
        <v>4855</v>
      </c>
      <c r="C2726" s="81" t="s">
        <v>4621</v>
      </c>
      <c r="D2726" s="83" t="s">
        <v>4248</v>
      </c>
      <c r="E2726" s="81" t="s">
        <v>972</v>
      </c>
      <c r="F2726" s="84">
        <v>178.0</v>
      </c>
      <c r="G2726" s="81" t="s">
        <v>41</v>
      </c>
      <c r="H2726" s="81" t="s">
        <v>931</v>
      </c>
      <c r="I2726" s="81" t="s">
        <v>924</v>
      </c>
      <c r="J2726" s="81" t="s">
        <v>224</v>
      </c>
      <c r="K2726" s="81" t="str">
        <f>IFERROR(__xludf.DUMMYFUNCTION("IF(OR(D2726="""",G2726=""""),"""",IFERROR(LET(
campo,XLOOKUP(TRIM(G2726),ARRAYFORMULA(TRIM('indice columnas'!$A$2:$A$100)),'indice columnas'!$B$2:$B$100,""""),
col,IFERROR(MATCH(campo,Referencia!$A$1:$AZ$1,0),0),
fila,IFERROR(MATCH(TO_TEXT(D2726),ARRAYFOR"&amp;"MULA(TO_TEXT(Referencia!$A$2:$A6238)),0),0),
IF(OR(campo="""",campo=""-""),""NO APLICA"",
IF(col=0,""REVISAR EQUIVALENCIA"",
IF(fila=0,""SKU NO ENCONTRADO"",
LET(
valor,INDEX(Referencia!$A$2:$AZ6238,fila,col),
IF(TRIM(TO_TEXT(valor))=TRIM(TO_TEXT(I2726)),"&amp;"
""OK"",
""NO COINCIDE. Valor verdadero: ""&amp;IF(valor="""",""[VACÍO]"",TO_TEXT(valor))
)
))))
),""ERROR EN FÓRMULA""))"),"REVISAR EQUIVALENCIA")</f>
        <v>REVISAR EQUIVALENCIA</v>
      </c>
    </row>
    <row r="2727">
      <c r="A2727" s="83" t="s">
        <v>4854</v>
      </c>
      <c r="B2727" s="83" t="s">
        <v>4855</v>
      </c>
      <c r="C2727" s="81" t="s">
        <v>4621</v>
      </c>
      <c r="D2727" s="83" t="s">
        <v>4249</v>
      </c>
      <c r="E2727" s="81" t="s">
        <v>981</v>
      </c>
      <c r="F2727" s="84">
        <v>180.0</v>
      </c>
      <c r="G2727" s="81" t="s">
        <v>41</v>
      </c>
      <c r="H2727" s="81" t="s">
        <v>931</v>
      </c>
      <c r="I2727" s="81" t="s">
        <v>924</v>
      </c>
      <c r="J2727" s="81" t="s">
        <v>224</v>
      </c>
      <c r="K2727" s="81" t="str">
        <f>IFERROR(__xludf.DUMMYFUNCTION("IF(OR(D2727="""",G2727=""""),"""",IFERROR(LET(
campo,XLOOKUP(TRIM(G2727),ARRAYFORMULA(TRIM('indice columnas'!$A$2:$A$100)),'indice columnas'!$B$2:$B$100,""""),
col,IFERROR(MATCH(campo,Referencia!$A$1:$AZ$1,0),0),
fila,IFERROR(MATCH(TO_TEXT(D2727),ARRAYFOR"&amp;"MULA(TO_TEXT(Referencia!$A$2:$A6238)),0),0),
IF(OR(campo="""",campo=""-""),""NO APLICA"",
IF(col=0,""REVISAR EQUIVALENCIA"",
IF(fila=0,""SKU NO ENCONTRADO"",
LET(
valor,INDEX(Referencia!$A$2:$AZ6238,fila,col),
IF(TRIM(TO_TEXT(valor))=TRIM(TO_TEXT(I2727)),"&amp;"
""OK"",
""NO COINCIDE. Valor verdadero: ""&amp;IF(valor="""",""[VACÍO]"",TO_TEXT(valor))
)
))))
),""ERROR EN FÓRMULA""))"),"REVISAR EQUIVALENCIA")</f>
        <v>REVISAR EQUIVALENCIA</v>
      </c>
    </row>
    <row r="2728">
      <c r="A2728" s="83" t="s">
        <v>4854</v>
      </c>
      <c r="B2728" s="83" t="s">
        <v>4855</v>
      </c>
      <c r="C2728" s="81" t="s">
        <v>4621</v>
      </c>
      <c r="D2728" s="83" t="s">
        <v>4250</v>
      </c>
      <c r="E2728" s="81" t="s">
        <v>982</v>
      </c>
      <c r="F2728" s="84">
        <v>181.0</v>
      </c>
      <c r="G2728" s="81" t="s">
        <v>41</v>
      </c>
      <c r="H2728" s="81" t="s">
        <v>931</v>
      </c>
      <c r="I2728" s="81" t="s">
        <v>924</v>
      </c>
      <c r="J2728" s="81" t="s">
        <v>224</v>
      </c>
      <c r="K2728" s="81" t="str">
        <f>IFERROR(__xludf.DUMMYFUNCTION("IF(OR(D2728="""",G2728=""""),"""",IFERROR(LET(
campo,XLOOKUP(TRIM(G2728),ARRAYFORMULA(TRIM('indice columnas'!$A$2:$A$100)),'indice columnas'!$B$2:$B$100,""""),
col,IFERROR(MATCH(campo,Referencia!$A$1:$AZ$1,0),0),
fila,IFERROR(MATCH(TO_TEXT(D2728),ARRAYFOR"&amp;"MULA(TO_TEXT(Referencia!$A$2:$A6238)),0),0),
IF(OR(campo="""",campo=""-""),""NO APLICA"",
IF(col=0,""REVISAR EQUIVALENCIA"",
IF(fila=0,""SKU NO ENCONTRADO"",
LET(
valor,INDEX(Referencia!$A$2:$AZ6238,fila,col),
IF(TRIM(TO_TEXT(valor))=TRIM(TO_TEXT(I2728)),"&amp;"
""OK"",
""NO COINCIDE. Valor verdadero: ""&amp;IF(valor="""",""[VACÍO]"",TO_TEXT(valor))
)
))))
),""ERROR EN FÓRMULA""))"),"REVISAR EQUIVALENCIA")</f>
        <v>REVISAR EQUIVALENCIA</v>
      </c>
    </row>
    <row r="2729">
      <c r="A2729" s="83" t="s">
        <v>4854</v>
      </c>
      <c r="B2729" s="83" t="s">
        <v>4855</v>
      </c>
      <c r="C2729" s="81" t="s">
        <v>4621</v>
      </c>
      <c r="D2729" s="83" t="s">
        <v>4251</v>
      </c>
      <c r="E2729" s="81" t="s">
        <v>991</v>
      </c>
      <c r="F2729" s="84">
        <v>183.0</v>
      </c>
      <c r="G2729" s="81" t="s">
        <v>41</v>
      </c>
      <c r="H2729" s="81" t="s">
        <v>931</v>
      </c>
      <c r="I2729" s="81" t="s">
        <v>924</v>
      </c>
      <c r="J2729" s="81" t="s">
        <v>224</v>
      </c>
      <c r="K2729" s="81" t="str">
        <f>IFERROR(__xludf.DUMMYFUNCTION("IF(OR(D2729="""",G2729=""""),"""",IFERROR(LET(
campo,XLOOKUP(TRIM(G2729),ARRAYFORMULA(TRIM('indice columnas'!$A$2:$A$100)),'indice columnas'!$B$2:$B$100,""""),
col,IFERROR(MATCH(campo,Referencia!$A$1:$AZ$1,0),0),
fila,IFERROR(MATCH(TO_TEXT(D2729),ARRAYFOR"&amp;"MULA(TO_TEXT(Referencia!$A$2:$A6238)),0),0),
IF(OR(campo="""",campo=""-""),""NO APLICA"",
IF(col=0,""REVISAR EQUIVALENCIA"",
IF(fila=0,""SKU NO ENCONTRADO"",
LET(
valor,INDEX(Referencia!$A$2:$AZ6238,fila,col),
IF(TRIM(TO_TEXT(valor))=TRIM(TO_TEXT(I2729)),"&amp;"
""OK"",
""NO COINCIDE. Valor verdadero: ""&amp;IF(valor="""",""[VACÍO]"",TO_TEXT(valor))
)
))))
),""ERROR EN FÓRMULA""))"),"REVISAR EQUIVALENCIA")</f>
        <v>REVISAR EQUIVALENCIA</v>
      </c>
    </row>
    <row r="2730">
      <c r="A2730" s="83" t="s">
        <v>4854</v>
      </c>
      <c r="B2730" s="83" t="s">
        <v>4855</v>
      </c>
      <c r="C2730" s="81" t="s">
        <v>4621</v>
      </c>
      <c r="D2730" s="83" t="s">
        <v>4252</v>
      </c>
      <c r="E2730" s="81" t="s">
        <v>992</v>
      </c>
      <c r="F2730" s="84">
        <v>184.0</v>
      </c>
      <c r="G2730" s="81" t="s">
        <v>41</v>
      </c>
      <c r="H2730" s="81" t="s">
        <v>931</v>
      </c>
      <c r="I2730" s="81" t="s">
        <v>924</v>
      </c>
      <c r="J2730" s="81" t="s">
        <v>224</v>
      </c>
      <c r="K2730" s="81" t="str">
        <f>IFERROR(__xludf.DUMMYFUNCTION("IF(OR(D2730="""",G2730=""""),"""",IFERROR(LET(
campo,XLOOKUP(TRIM(G2730),ARRAYFORMULA(TRIM('indice columnas'!$A$2:$A$100)),'indice columnas'!$B$2:$B$100,""""),
col,IFERROR(MATCH(campo,Referencia!$A$1:$AZ$1,0),0),
fila,IFERROR(MATCH(TO_TEXT(D2730),ARRAYFOR"&amp;"MULA(TO_TEXT(Referencia!$A$2:$A6238)),0),0),
IF(OR(campo="""",campo=""-""),""NO APLICA"",
IF(col=0,""REVISAR EQUIVALENCIA"",
IF(fila=0,""SKU NO ENCONTRADO"",
LET(
valor,INDEX(Referencia!$A$2:$AZ6238,fila,col),
IF(TRIM(TO_TEXT(valor))=TRIM(TO_TEXT(I2730)),"&amp;"
""OK"",
""NO COINCIDE. Valor verdadero: ""&amp;IF(valor="""",""[VACÍO]"",TO_TEXT(valor))
)
))))
),""ERROR EN FÓRMULA""))"),"REVISAR EQUIVALENCIA")</f>
        <v>REVISAR EQUIVALENCIA</v>
      </c>
    </row>
    <row r="2731">
      <c r="A2731" s="83" t="s">
        <v>4854</v>
      </c>
      <c r="B2731" s="83" t="s">
        <v>4855</v>
      </c>
      <c r="C2731" s="81" t="s">
        <v>4621</v>
      </c>
      <c r="D2731" s="83" t="s">
        <v>4253</v>
      </c>
      <c r="E2731" s="81" t="s">
        <v>1001</v>
      </c>
      <c r="F2731" s="84">
        <v>186.0</v>
      </c>
      <c r="G2731" s="81" t="s">
        <v>41</v>
      </c>
      <c r="H2731" s="81" t="s">
        <v>931</v>
      </c>
      <c r="I2731" s="81" t="s">
        <v>924</v>
      </c>
      <c r="J2731" s="81" t="s">
        <v>224</v>
      </c>
      <c r="K2731" s="81" t="str">
        <f>IFERROR(__xludf.DUMMYFUNCTION("IF(OR(D2731="""",G2731=""""),"""",IFERROR(LET(
campo,XLOOKUP(TRIM(G2731),ARRAYFORMULA(TRIM('indice columnas'!$A$2:$A$100)),'indice columnas'!$B$2:$B$100,""""),
col,IFERROR(MATCH(campo,Referencia!$A$1:$AZ$1,0),0),
fila,IFERROR(MATCH(TO_TEXT(D2731),ARRAYFOR"&amp;"MULA(TO_TEXT(Referencia!$A$2:$A6238)),0),0),
IF(OR(campo="""",campo=""-""),""NO APLICA"",
IF(col=0,""REVISAR EQUIVALENCIA"",
IF(fila=0,""SKU NO ENCONTRADO"",
LET(
valor,INDEX(Referencia!$A$2:$AZ6238,fila,col),
IF(TRIM(TO_TEXT(valor))=TRIM(TO_TEXT(I2731)),"&amp;"
""OK"",
""NO COINCIDE. Valor verdadero: ""&amp;IF(valor="""",""[VACÍO]"",TO_TEXT(valor))
)
))))
),""ERROR EN FÓRMULA""))"),"REVISAR EQUIVALENCIA")</f>
        <v>REVISAR EQUIVALENCIA</v>
      </c>
    </row>
    <row r="2732">
      <c r="A2732" s="83" t="s">
        <v>4854</v>
      </c>
      <c r="B2732" s="83" t="s">
        <v>4855</v>
      </c>
      <c r="C2732" s="81" t="s">
        <v>4621</v>
      </c>
      <c r="D2732" s="83" t="s">
        <v>4254</v>
      </c>
      <c r="E2732" s="81" t="s">
        <v>1002</v>
      </c>
      <c r="F2732" s="84">
        <v>187.0</v>
      </c>
      <c r="G2732" s="81" t="s">
        <v>41</v>
      </c>
      <c r="H2732" s="81" t="s">
        <v>931</v>
      </c>
      <c r="I2732" s="81" t="s">
        <v>924</v>
      </c>
      <c r="J2732" s="81" t="s">
        <v>224</v>
      </c>
      <c r="K2732" s="81" t="str">
        <f>IFERROR(__xludf.DUMMYFUNCTION("IF(OR(D2732="""",G2732=""""),"""",IFERROR(LET(
campo,XLOOKUP(TRIM(G2732),ARRAYFORMULA(TRIM('indice columnas'!$A$2:$A$100)),'indice columnas'!$B$2:$B$100,""""),
col,IFERROR(MATCH(campo,Referencia!$A$1:$AZ$1,0),0),
fila,IFERROR(MATCH(TO_TEXT(D2732),ARRAYFOR"&amp;"MULA(TO_TEXT(Referencia!$A$2:$A6238)),0),0),
IF(OR(campo="""",campo=""-""),""NO APLICA"",
IF(col=0,""REVISAR EQUIVALENCIA"",
IF(fila=0,""SKU NO ENCONTRADO"",
LET(
valor,INDEX(Referencia!$A$2:$AZ6238,fila,col),
IF(TRIM(TO_TEXT(valor))=TRIM(TO_TEXT(I2732)),"&amp;"
""OK"",
""NO COINCIDE. Valor verdadero: ""&amp;IF(valor="""",""[VACÍO]"",TO_TEXT(valor))
)
))))
),""ERROR EN FÓRMULA""))"),"REVISAR EQUIVALENCIA")</f>
        <v>REVISAR EQUIVALENCIA</v>
      </c>
    </row>
    <row r="2733">
      <c r="A2733" s="83" t="s">
        <v>4854</v>
      </c>
      <c r="B2733" s="83" t="s">
        <v>4855</v>
      </c>
      <c r="C2733" s="81" t="s">
        <v>4621</v>
      </c>
      <c r="D2733" s="83" t="s">
        <v>4255</v>
      </c>
      <c r="E2733" s="81" t="s">
        <v>1011</v>
      </c>
      <c r="F2733" s="84">
        <v>189.0</v>
      </c>
      <c r="G2733" s="81" t="s">
        <v>41</v>
      </c>
      <c r="H2733" s="81" t="s">
        <v>931</v>
      </c>
      <c r="I2733" s="81" t="s">
        <v>924</v>
      </c>
      <c r="J2733" s="81" t="s">
        <v>224</v>
      </c>
      <c r="K2733" s="81" t="str">
        <f>IFERROR(__xludf.DUMMYFUNCTION("IF(OR(D2733="""",G2733=""""),"""",IFERROR(LET(
campo,XLOOKUP(TRIM(G2733),ARRAYFORMULA(TRIM('indice columnas'!$A$2:$A$100)),'indice columnas'!$B$2:$B$100,""""),
col,IFERROR(MATCH(campo,Referencia!$A$1:$AZ$1,0),0),
fila,IFERROR(MATCH(TO_TEXT(D2733),ARRAYFOR"&amp;"MULA(TO_TEXT(Referencia!$A$2:$A6238)),0),0),
IF(OR(campo="""",campo=""-""),""NO APLICA"",
IF(col=0,""REVISAR EQUIVALENCIA"",
IF(fila=0,""SKU NO ENCONTRADO"",
LET(
valor,INDEX(Referencia!$A$2:$AZ6238,fila,col),
IF(TRIM(TO_TEXT(valor))=TRIM(TO_TEXT(I2733)),"&amp;"
""OK"",
""NO COINCIDE. Valor verdadero: ""&amp;IF(valor="""",""[VACÍO]"",TO_TEXT(valor))
)
))))
),""ERROR EN FÓRMULA""))"),"REVISAR EQUIVALENCIA")</f>
        <v>REVISAR EQUIVALENCIA</v>
      </c>
    </row>
    <row r="2734">
      <c r="A2734" s="83" t="s">
        <v>4854</v>
      </c>
      <c r="B2734" s="83" t="s">
        <v>4855</v>
      </c>
      <c r="C2734" s="81" t="s">
        <v>4621</v>
      </c>
      <c r="D2734" s="83" t="s">
        <v>4256</v>
      </c>
      <c r="E2734" s="81" t="s">
        <v>1012</v>
      </c>
      <c r="F2734" s="84">
        <v>190.0</v>
      </c>
      <c r="G2734" s="81" t="s">
        <v>41</v>
      </c>
      <c r="H2734" s="81" t="s">
        <v>931</v>
      </c>
      <c r="I2734" s="81" t="s">
        <v>924</v>
      </c>
      <c r="J2734" s="81" t="s">
        <v>224</v>
      </c>
      <c r="K2734" s="81" t="str">
        <f>IFERROR(__xludf.DUMMYFUNCTION("IF(OR(D2734="""",G2734=""""),"""",IFERROR(LET(
campo,XLOOKUP(TRIM(G2734),ARRAYFORMULA(TRIM('indice columnas'!$A$2:$A$100)),'indice columnas'!$B$2:$B$100,""""),
col,IFERROR(MATCH(campo,Referencia!$A$1:$AZ$1,0),0),
fila,IFERROR(MATCH(TO_TEXT(D2734),ARRAYFOR"&amp;"MULA(TO_TEXT(Referencia!$A$2:$A6238)),0),0),
IF(OR(campo="""",campo=""-""),""NO APLICA"",
IF(col=0,""REVISAR EQUIVALENCIA"",
IF(fila=0,""SKU NO ENCONTRADO"",
LET(
valor,INDEX(Referencia!$A$2:$AZ6238,fila,col),
IF(TRIM(TO_TEXT(valor))=TRIM(TO_TEXT(I2734)),"&amp;"
""OK"",
""NO COINCIDE. Valor verdadero: ""&amp;IF(valor="""",""[VACÍO]"",TO_TEXT(valor))
)
))))
),""ERROR EN FÓRMULA""))"),"REVISAR EQUIVALENCIA")</f>
        <v>REVISAR EQUIVALENCIA</v>
      </c>
    </row>
    <row r="2735">
      <c r="A2735" s="83" t="s">
        <v>4854</v>
      </c>
      <c r="B2735" s="83" t="s">
        <v>4855</v>
      </c>
      <c r="C2735" s="81" t="s">
        <v>4621</v>
      </c>
      <c r="D2735" s="83" t="s">
        <v>4257</v>
      </c>
      <c r="E2735" s="81" t="s">
        <v>1025</v>
      </c>
      <c r="F2735" s="84">
        <v>192.0</v>
      </c>
      <c r="G2735" s="81" t="s">
        <v>41</v>
      </c>
      <c r="H2735" s="81" t="s">
        <v>931</v>
      </c>
      <c r="I2735" s="81" t="s">
        <v>924</v>
      </c>
      <c r="J2735" s="81" t="s">
        <v>224</v>
      </c>
      <c r="K2735" s="81" t="str">
        <f>IFERROR(__xludf.DUMMYFUNCTION("IF(OR(D2735="""",G2735=""""),"""",IFERROR(LET(
campo,XLOOKUP(TRIM(G2735),ARRAYFORMULA(TRIM('indice columnas'!$A$2:$A$100)),'indice columnas'!$B$2:$B$100,""""),
col,IFERROR(MATCH(campo,Referencia!$A$1:$AZ$1,0),0),
fila,IFERROR(MATCH(TO_TEXT(D2735),ARRAYFOR"&amp;"MULA(TO_TEXT(Referencia!$A$2:$A6238)),0),0),
IF(OR(campo="""",campo=""-""),""NO APLICA"",
IF(col=0,""REVISAR EQUIVALENCIA"",
IF(fila=0,""SKU NO ENCONTRADO"",
LET(
valor,INDEX(Referencia!$A$2:$AZ6238,fila,col),
IF(TRIM(TO_TEXT(valor))=TRIM(TO_TEXT(I2735)),"&amp;"
""OK"",
""NO COINCIDE. Valor verdadero: ""&amp;IF(valor="""",""[VACÍO]"",TO_TEXT(valor))
)
))))
),""ERROR EN FÓRMULA""))"),"REVISAR EQUIVALENCIA")</f>
        <v>REVISAR EQUIVALENCIA</v>
      </c>
    </row>
    <row r="2736">
      <c r="A2736" s="83" t="s">
        <v>4854</v>
      </c>
      <c r="B2736" s="83" t="s">
        <v>4855</v>
      </c>
      <c r="C2736" s="81" t="s">
        <v>4621</v>
      </c>
      <c r="D2736" s="83" t="s">
        <v>4260</v>
      </c>
      <c r="E2736" s="81" t="s">
        <v>1028</v>
      </c>
      <c r="F2736" s="84">
        <v>193.0</v>
      </c>
      <c r="G2736" s="81" t="s">
        <v>41</v>
      </c>
      <c r="H2736" s="81" t="s">
        <v>931</v>
      </c>
      <c r="I2736" s="81" t="s">
        <v>924</v>
      </c>
      <c r="J2736" s="81" t="s">
        <v>224</v>
      </c>
      <c r="K2736" s="81" t="str">
        <f>IFERROR(__xludf.DUMMYFUNCTION("IF(OR(D2736="""",G2736=""""),"""",IFERROR(LET(
campo,XLOOKUP(TRIM(G2736),ARRAYFORMULA(TRIM('indice columnas'!$A$2:$A$100)),'indice columnas'!$B$2:$B$100,""""),
col,IFERROR(MATCH(campo,Referencia!$A$1:$AZ$1,0),0),
fila,IFERROR(MATCH(TO_TEXT(D2736),ARRAYFOR"&amp;"MULA(TO_TEXT(Referencia!$A$2:$A6238)),0),0),
IF(OR(campo="""",campo=""-""),""NO APLICA"",
IF(col=0,""REVISAR EQUIVALENCIA"",
IF(fila=0,""SKU NO ENCONTRADO"",
LET(
valor,INDEX(Referencia!$A$2:$AZ6238,fila,col),
IF(TRIM(TO_TEXT(valor))=TRIM(TO_TEXT(I2736)),"&amp;"
""OK"",
""NO COINCIDE. Valor verdadero: ""&amp;IF(valor="""",""[VACÍO]"",TO_TEXT(valor))
)
))))
),""ERROR EN FÓRMULA""))"),"REVISAR EQUIVALENCIA")</f>
        <v>REVISAR EQUIVALENCIA</v>
      </c>
    </row>
    <row r="2737">
      <c r="A2737" s="83" t="s">
        <v>4854</v>
      </c>
      <c r="B2737" s="83" t="s">
        <v>4855</v>
      </c>
      <c r="C2737" s="81" t="s">
        <v>4621</v>
      </c>
      <c r="D2737" s="83" t="s">
        <v>4261</v>
      </c>
      <c r="E2737" s="81" t="s">
        <v>1032</v>
      </c>
      <c r="F2737" s="84">
        <v>194.0</v>
      </c>
      <c r="G2737" s="81" t="s">
        <v>41</v>
      </c>
      <c r="H2737" s="81" t="s">
        <v>931</v>
      </c>
      <c r="I2737" s="81" t="s">
        <v>924</v>
      </c>
      <c r="J2737" s="81" t="s">
        <v>224</v>
      </c>
      <c r="K2737" s="81" t="str">
        <f>IFERROR(__xludf.DUMMYFUNCTION("IF(OR(D2737="""",G2737=""""),"""",IFERROR(LET(
campo,XLOOKUP(TRIM(G2737),ARRAYFORMULA(TRIM('indice columnas'!$A$2:$A$100)),'indice columnas'!$B$2:$B$100,""""),
col,IFERROR(MATCH(campo,Referencia!$A$1:$AZ$1,0),0),
fila,IFERROR(MATCH(TO_TEXT(D2737),ARRAYFOR"&amp;"MULA(TO_TEXT(Referencia!$A$2:$A6238)),0),0),
IF(OR(campo="""",campo=""-""),""NO APLICA"",
IF(col=0,""REVISAR EQUIVALENCIA"",
IF(fila=0,""SKU NO ENCONTRADO"",
LET(
valor,INDEX(Referencia!$A$2:$AZ6238,fila,col),
IF(TRIM(TO_TEXT(valor))=TRIM(TO_TEXT(I2737)),"&amp;"
""OK"",
""NO COINCIDE. Valor verdadero: ""&amp;IF(valor="""",""[VACÍO]"",TO_TEXT(valor))
)
))))
),""ERROR EN FÓRMULA""))"),"REVISAR EQUIVALENCIA")</f>
        <v>REVISAR EQUIVALENCIA</v>
      </c>
    </row>
    <row r="2738">
      <c r="A2738" s="83" t="s">
        <v>4854</v>
      </c>
      <c r="B2738" s="83" t="s">
        <v>4855</v>
      </c>
      <c r="C2738" s="81" t="s">
        <v>4621</v>
      </c>
      <c r="D2738" s="83" t="s">
        <v>4263</v>
      </c>
      <c r="E2738" s="81" t="s">
        <v>1036</v>
      </c>
      <c r="F2738" s="84">
        <v>195.0</v>
      </c>
      <c r="G2738" s="81" t="s">
        <v>41</v>
      </c>
      <c r="H2738" s="81" t="s">
        <v>931</v>
      </c>
      <c r="I2738" s="81" t="s">
        <v>924</v>
      </c>
      <c r="J2738" s="81" t="s">
        <v>224</v>
      </c>
      <c r="K2738" s="81" t="str">
        <f>IFERROR(__xludf.DUMMYFUNCTION("IF(OR(D2738="""",G2738=""""),"""",IFERROR(LET(
campo,XLOOKUP(TRIM(G2738),ARRAYFORMULA(TRIM('indice columnas'!$A$2:$A$100)),'indice columnas'!$B$2:$B$100,""""),
col,IFERROR(MATCH(campo,Referencia!$A$1:$AZ$1,0),0),
fila,IFERROR(MATCH(TO_TEXT(D2738),ARRAYFOR"&amp;"MULA(TO_TEXT(Referencia!$A$2:$A6238)),0),0),
IF(OR(campo="""",campo=""-""),""NO APLICA"",
IF(col=0,""REVISAR EQUIVALENCIA"",
IF(fila=0,""SKU NO ENCONTRADO"",
LET(
valor,INDEX(Referencia!$A$2:$AZ6238,fila,col),
IF(TRIM(TO_TEXT(valor))=TRIM(TO_TEXT(I2738)),"&amp;"
""OK"",
""NO COINCIDE. Valor verdadero: ""&amp;IF(valor="""",""[VACÍO]"",TO_TEXT(valor))
)
))))
),""ERROR EN FÓRMULA""))"),"REVISAR EQUIVALENCIA")</f>
        <v>REVISAR EQUIVALENCIA</v>
      </c>
    </row>
    <row r="2739">
      <c r="A2739" s="83" t="s">
        <v>4854</v>
      </c>
      <c r="B2739" s="83" t="s">
        <v>4855</v>
      </c>
      <c r="C2739" s="81" t="s">
        <v>4621</v>
      </c>
      <c r="D2739" s="83" t="s">
        <v>4264</v>
      </c>
      <c r="E2739" s="81" t="s">
        <v>1037</v>
      </c>
      <c r="F2739" s="84">
        <v>196.0</v>
      </c>
      <c r="G2739" s="81" t="s">
        <v>41</v>
      </c>
      <c r="H2739" s="81" t="s">
        <v>931</v>
      </c>
      <c r="I2739" s="81" t="s">
        <v>924</v>
      </c>
      <c r="J2739" s="81" t="s">
        <v>224</v>
      </c>
      <c r="K2739" s="81" t="str">
        <f>IFERROR(__xludf.DUMMYFUNCTION("IF(OR(D2739="""",G2739=""""),"""",IFERROR(LET(
campo,XLOOKUP(TRIM(G2739),ARRAYFORMULA(TRIM('indice columnas'!$A$2:$A$100)),'indice columnas'!$B$2:$B$100,""""),
col,IFERROR(MATCH(campo,Referencia!$A$1:$AZ$1,0),0),
fila,IFERROR(MATCH(TO_TEXT(D2739),ARRAYFOR"&amp;"MULA(TO_TEXT(Referencia!$A$2:$A6238)),0),0),
IF(OR(campo="""",campo=""-""),""NO APLICA"",
IF(col=0,""REVISAR EQUIVALENCIA"",
IF(fila=0,""SKU NO ENCONTRADO"",
LET(
valor,INDEX(Referencia!$A$2:$AZ6238,fila,col),
IF(TRIM(TO_TEXT(valor))=TRIM(TO_TEXT(I2739)),"&amp;"
""OK"",
""NO COINCIDE. Valor verdadero: ""&amp;IF(valor="""",""[VACÍO]"",TO_TEXT(valor))
)
))))
),""ERROR EN FÓRMULA""))"),"REVISAR EQUIVALENCIA")</f>
        <v>REVISAR EQUIVALENCIA</v>
      </c>
    </row>
    <row r="2740">
      <c r="A2740" s="83" t="s">
        <v>4854</v>
      </c>
      <c r="B2740" s="83" t="s">
        <v>4855</v>
      </c>
      <c r="C2740" s="81" t="s">
        <v>4621</v>
      </c>
      <c r="D2740" s="83" t="s">
        <v>4266</v>
      </c>
      <c r="E2740" s="81" t="s">
        <v>1041</v>
      </c>
      <c r="F2740" s="84">
        <v>197.0</v>
      </c>
      <c r="G2740" s="81" t="s">
        <v>41</v>
      </c>
      <c r="H2740" s="81" t="s">
        <v>931</v>
      </c>
      <c r="I2740" s="81" t="s">
        <v>924</v>
      </c>
      <c r="J2740" s="81" t="s">
        <v>224</v>
      </c>
      <c r="K2740" s="81" t="str">
        <f>IFERROR(__xludf.DUMMYFUNCTION("IF(OR(D2740="""",G2740=""""),"""",IFERROR(LET(
campo,XLOOKUP(TRIM(G2740),ARRAYFORMULA(TRIM('indice columnas'!$A$2:$A$100)),'indice columnas'!$B$2:$B$100,""""),
col,IFERROR(MATCH(campo,Referencia!$A$1:$AZ$1,0),0),
fila,IFERROR(MATCH(TO_TEXT(D2740),ARRAYFOR"&amp;"MULA(TO_TEXT(Referencia!$A$2:$A6238)),0),0),
IF(OR(campo="""",campo=""-""),""NO APLICA"",
IF(col=0,""REVISAR EQUIVALENCIA"",
IF(fila=0,""SKU NO ENCONTRADO"",
LET(
valor,INDEX(Referencia!$A$2:$AZ6238,fila,col),
IF(TRIM(TO_TEXT(valor))=TRIM(TO_TEXT(I2740)),"&amp;"
""OK"",
""NO COINCIDE. Valor verdadero: ""&amp;IF(valor="""",""[VACÍO]"",TO_TEXT(valor))
)
))))
),""ERROR EN FÓRMULA""))"),"REVISAR EQUIVALENCIA")</f>
        <v>REVISAR EQUIVALENCIA</v>
      </c>
    </row>
    <row r="2741">
      <c r="A2741" s="83" t="s">
        <v>4854</v>
      </c>
      <c r="B2741" s="83" t="s">
        <v>4855</v>
      </c>
      <c r="C2741" s="81" t="s">
        <v>4621</v>
      </c>
      <c r="D2741" s="83" t="s">
        <v>4267</v>
      </c>
      <c r="E2741" s="81" t="s">
        <v>1050</v>
      </c>
      <c r="F2741" s="84">
        <v>199.0</v>
      </c>
      <c r="G2741" s="81" t="s">
        <v>41</v>
      </c>
      <c r="H2741" s="81" t="s">
        <v>1047</v>
      </c>
      <c r="I2741" s="81" t="s">
        <v>1051</v>
      </c>
      <c r="J2741" s="81" t="s">
        <v>224</v>
      </c>
      <c r="K2741" s="81" t="str">
        <f>IFERROR(__xludf.DUMMYFUNCTION("IF(OR(D2741="""",G2741=""""),"""",IFERROR(LET(
campo,XLOOKUP(TRIM(G2741),ARRAYFORMULA(TRIM('indice columnas'!$A$2:$A$100)),'indice columnas'!$B$2:$B$100,""""),
col,IFERROR(MATCH(campo,Referencia!$A$1:$AZ$1,0),0),
fila,IFERROR(MATCH(TO_TEXT(D2741),ARRAYFOR"&amp;"MULA(TO_TEXT(Referencia!$A$2:$A6238)),0),0),
IF(OR(campo="""",campo=""-""),""NO APLICA"",
IF(col=0,""REVISAR EQUIVALENCIA"",
IF(fila=0,""SKU NO ENCONTRADO"",
LET(
valor,INDEX(Referencia!$A$2:$AZ6238,fila,col),
IF(TRIM(TO_TEXT(valor))=TRIM(TO_TEXT(I2741)),"&amp;"
""OK"",
""NO COINCIDE. Valor verdadero: ""&amp;IF(valor="""",""[VACÍO]"",TO_TEXT(valor))
)
))))
),""ERROR EN FÓRMULA""))"),"REVISAR EQUIVALENCIA")</f>
        <v>REVISAR EQUIVALENCIA</v>
      </c>
    </row>
    <row r="2742">
      <c r="A2742" s="83" t="s">
        <v>4854</v>
      </c>
      <c r="B2742" s="83" t="s">
        <v>4855</v>
      </c>
      <c r="C2742" s="81" t="s">
        <v>4621</v>
      </c>
      <c r="D2742" s="83" t="s">
        <v>4268</v>
      </c>
      <c r="E2742" s="81" t="s">
        <v>1052</v>
      </c>
      <c r="F2742" s="84">
        <v>200.0</v>
      </c>
      <c r="G2742" s="81" t="s">
        <v>41</v>
      </c>
      <c r="H2742" s="81" t="s">
        <v>1047</v>
      </c>
      <c r="I2742" s="81" t="s">
        <v>1051</v>
      </c>
      <c r="J2742" s="81" t="s">
        <v>224</v>
      </c>
      <c r="K2742" s="81" t="str">
        <f>IFERROR(__xludf.DUMMYFUNCTION("IF(OR(D2742="""",G2742=""""),"""",IFERROR(LET(
campo,XLOOKUP(TRIM(G2742),ARRAYFORMULA(TRIM('indice columnas'!$A$2:$A$100)),'indice columnas'!$B$2:$B$100,""""),
col,IFERROR(MATCH(campo,Referencia!$A$1:$AZ$1,0),0),
fila,IFERROR(MATCH(TO_TEXT(D2742),ARRAYFOR"&amp;"MULA(TO_TEXT(Referencia!$A$2:$A6238)),0),0),
IF(OR(campo="""",campo=""-""),""NO APLICA"",
IF(col=0,""REVISAR EQUIVALENCIA"",
IF(fila=0,""SKU NO ENCONTRADO"",
LET(
valor,INDEX(Referencia!$A$2:$AZ6238,fila,col),
IF(TRIM(TO_TEXT(valor))=TRIM(TO_TEXT(I2742)),"&amp;"
""OK"",
""NO COINCIDE. Valor verdadero: ""&amp;IF(valor="""",""[VACÍO]"",TO_TEXT(valor))
)
))))
),""ERROR EN FÓRMULA""))"),"REVISAR EQUIVALENCIA")</f>
        <v>REVISAR EQUIVALENCIA</v>
      </c>
    </row>
    <row r="2743">
      <c r="A2743" s="83" t="s">
        <v>4854</v>
      </c>
      <c r="B2743" s="83" t="s">
        <v>4855</v>
      </c>
      <c r="C2743" s="81" t="s">
        <v>4621</v>
      </c>
      <c r="D2743" s="83" t="s">
        <v>4269</v>
      </c>
      <c r="E2743" s="81" t="s">
        <v>1060</v>
      </c>
      <c r="F2743" s="84">
        <v>202.0</v>
      </c>
      <c r="G2743" s="81" t="s">
        <v>41</v>
      </c>
      <c r="H2743" s="81" t="s">
        <v>1047</v>
      </c>
      <c r="I2743" s="81" t="s">
        <v>1051</v>
      </c>
      <c r="J2743" s="81" t="s">
        <v>224</v>
      </c>
      <c r="K2743" s="81" t="str">
        <f>IFERROR(__xludf.DUMMYFUNCTION("IF(OR(D2743="""",G2743=""""),"""",IFERROR(LET(
campo,XLOOKUP(TRIM(G2743),ARRAYFORMULA(TRIM('indice columnas'!$A$2:$A$100)),'indice columnas'!$B$2:$B$100,""""),
col,IFERROR(MATCH(campo,Referencia!$A$1:$AZ$1,0),0),
fila,IFERROR(MATCH(TO_TEXT(D2743),ARRAYFOR"&amp;"MULA(TO_TEXT(Referencia!$A$2:$A6238)),0),0),
IF(OR(campo="""",campo=""-""),""NO APLICA"",
IF(col=0,""REVISAR EQUIVALENCIA"",
IF(fila=0,""SKU NO ENCONTRADO"",
LET(
valor,INDEX(Referencia!$A$2:$AZ6238,fila,col),
IF(TRIM(TO_TEXT(valor))=TRIM(TO_TEXT(I2743)),"&amp;"
""OK"",
""NO COINCIDE. Valor verdadero: ""&amp;IF(valor="""",""[VACÍO]"",TO_TEXT(valor))
)
))))
),""ERROR EN FÓRMULA""))"),"REVISAR EQUIVALENCIA")</f>
        <v>REVISAR EQUIVALENCIA</v>
      </c>
    </row>
    <row r="2744">
      <c r="A2744" s="83" t="s">
        <v>4854</v>
      </c>
      <c r="B2744" s="83" t="s">
        <v>4855</v>
      </c>
      <c r="C2744" s="81" t="s">
        <v>4621</v>
      </c>
      <c r="D2744" s="83" t="s">
        <v>4270</v>
      </c>
      <c r="E2744" s="81" t="s">
        <v>1062</v>
      </c>
      <c r="F2744" s="84">
        <v>203.0</v>
      </c>
      <c r="G2744" s="81" t="s">
        <v>41</v>
      </c>
      <c r="H2744" s="81" t="s">
        <v>1047</v>
      </c>
      <c r="I2744" s="81" t="s">
        <v>1051</v>
      </c>
      <c r="J2744" s="81" t="s">
        <v>224</v>
      </c>
      <c r="K2744" s="81" t="str">
        <f>IFERROR(__xludf.DUMMYFUNCTION("IF(OR(D2744="""",G2744=""""),"""",IFERROR(LET(
campo,XLOOKUP(TRIM(G2744),ARRAYFORMULA(TRIM('indice columnas'!$A$2:$A$100)),'indice columnas'!$B$2:$B$100,""""),
col,IFERROR(MATCH(campo,Referencia!$A$1:$AZ$1,0),0),
fila,IFERROR(MATCH(TO_TEXT(D2744),ARRAYFOR"&amp;"MULA(TO_TEXT(Referencia!$A$2:$A6238)),0),0),
IF(OR(campo="""",campo=""-""),""NO APLICA"",
IF(col=0,""REVISAR EQUIVALENCIA"",
IF(fila=0,""SKU NO ENCONTRADO"",
LET(
valor,INDEX(Referencia!$A$2:$AZ6238,fila,col),
IF(TRIM(TO_TEXT(valor))=TRIM(TO_TEXT(I2744)),"&amp;"
""OK"",
""NO COINCIDE. Valor verdadero: ""&amp;IF(valor="""",""[VACÍO]"",TO_TEXT(valor))
)
))))
),""ERROR EN FÓRMULA""))"),"REVISAR EQUIVALENCIA")</f>
        <v>REVISAR EQUIVALENCIA</v>
      </c>
    </row>
    <row r="2745">
      <c r="A2745" s="83" t="s">
        <v>4854</v>
      </c>
      <c r="B2745" s="83" t="s">
        <v>4855</v>
      </c>
      <c r="C2745" s="81" t="s">
        <v>4621</v>
      </c>
      <c r="D2745" s="83" t="s">
        <v>4271</v>
      </c>
      <c r="E2745" s="81" t="s">
        <v>1069</v>
      </c>
      <c r="F2745" s="84">
        <v>205.0</v>
      </c>
      <c r="G2745" s="81" t="s">
        <v>41</v>
      </c>
      <c r="H2745" s="81" t="s">
        <v>1047</v>
      </c>
      <c r="I2745" s="81" t="s">
        <v>1051</v>
      </c>
      <c r="J2745" s="81" t="s">
        <v>224</v>
      </c>
      <c r="K2745" s="81" t="str">
        <f>IFERROR(__xludf.DUMMYFUNCTION("IF(OR(D2745="""",G2745=""""),"""",IFERROR(LET(
campo,XLOOKUP(TRIM(G2745),ARRAYFORMULA(TRIM('indice columnas'!$A$2:$A$100)),'indice columnas'!$B$2:$B$100,""""),
col,IFERROR(MATCH(campo,Referencia!$A$1:$AZ$1,0),0),
fila,IFERROR(MATCH(TO_TEXT(D2745),ARRAYFOR"&amp;"MULA(TO_TEXT(Referencia!$A$2:$A6238)),0),0),
IF(OR(campo="""",campo=""-""),""NO APLICA"",
IF(col=0,""REVISAR EQUIVALENCIA"",
IF(fila=0,""SKU NO ENCONTRADO"",
LET(
valor,INDEX(Referencia!$A$2:$AZ6238,fila,col),
IF(TRIM(TO_TEXT(valor))=TRIM(TO_TEXT(I2745)),"&amp;"
""OK"",
""NO COINCIDE. Valor verdadero: ""&amp;IF(valor="""",""[VACÍO]"",TO_TEXT(valor))
)
))))
),""ERROR EN FÓRMULA""))"),"REVISAR EQUIVALENCIA")</f>
        <v>REVISAR EQUIVALENCIA</v>
      </c>
    </row>
    <row r="2746">
      <c r="A2746" s="83" t="s">
        <v>4854</v>
      </c>
      <c r="B2746" s="83" t="s">
        <v>4855</v>
      </c>
      <c r="C2746" s="81" t="s">
        <v>4621</v>
      </c>
      <c r="D2746" s="83" t="s">
        <v>4272</v>
      </c>
      <c r="E2746" s="81" t="s">
        <v>1070</v>
      </c>
      <c r="F2746" s="84">
        <v>206.0</v>
      </c>
      <c r="G2746" s="81" t="s">
        <v>41</v>
      </c>
      <c r="H2746" s="81" t="s">
        <v>1047</v>
      </c>
      <c r="I2746" s="81" t="s">
        <v>1051</v>
      </c>
      <c r="J2746" s="81" t="s">
        <v>224</v>
      </c>
      <c r="K2746" s="81" t="str">
        <f>IFERROR(__xludf.DUMMYFUNCTION("IF(OR(D2746="""",G2746=""""),"""",IFERROR(LET(
campo,XLOOKUP(TRIM(G2746),ARRAYFORMULA(TRIM('indice columnas'!$A$2:$A$100)),'indice columnas'!$B$2:$B$100,""""),
col,IFERROR(MATCH(campo,Referencia!$A$1:$AZ$1,0),0),
fila,IFERROR(MATCH(TO_TEXT(D2746),ARRAYFOR"&amp;"MULA(TO_TEXT(Referencia!$A$2:$A6238)),0),0),
IF(OR(campo="""",campo=""-""),""NO APLICA"",
IF(col=0,""REVISAR EQUIVALENCIA"",
IF(fila=0,""SKU NO ENCONTRADO"",
LET(
valor,INDEX(Referencia!$A$2:$AZ6238,fila,col),
IF(TRIM(TO_TEXT(valor))=TRIM(TO_TEXT(I2746)),"&amp;"
""OK"",
""NO COINCIDE. Valor verdadero: ""&amp;IF(valor="""",""[VACÍO]"",TO_TEXT(valor))
)
))))
),""ERROR EN FÓRMULA""))"),"REVISAR EQUIVALENCIA")</f>
        <v>REVISAR EQUIVALENCIA</v>
      </c>
    </row>
    <row r="2747">
      <c r="A2747" s="83" t="s">
        <v>4854</v>
      </c>
      <c r="B2747" s="83" t="s">
        <v>4855</v>
      </c>
      <c r="C2747" s="81" t="s">
        <v>4621</v>
      </c>
      <c r="D2747" s="83" t="s">
        <v>4273</v>
      </c>
      <c r="E2747" s="81" t="s">
        <v>1079</v>
      </c>
      <c r="F2747" s="84">
        <v>208.0</v>
      </c>
      <c r="G2747" s="81" t="s">
        <v>41</v>
      </c>
      <c r="H2747" s="81" t="s">
        <v>1047</v>
      </c>
      <c r="I2747" s="81" t="s">
        <v>1051</v>
      </c>
      <c r="J2747" s="81" t="s">
        <v>224</v>
      </c>
      <c r="K2747" s="81" t="str">
        <f>IFERROR(__xludf.DUMMYFUNCTION("IF(OR(D2747="""",G2747=""""),"""",IFERROR(LET(
campo,XLOOKUP(TRIM(G2747),ARRAYFORMULA(TRIM('indice columnas'!$A$2:$A$100)),'indice columnas'!$B$2:$B$100,""""),
col,IFERROR(MATCH(campo,Referencia!$A$1:$AZ$1,0),0),
fila,IFERROR(MATCH(TO_TEXT(D2747),ARRAYFOR"&amp;"MULA(TO_TEXT(Referencia!$A$2:$A6238)),0),0),
IF(OR(campo="""",campo=""-""),""NO APLICA"",
IF(col=0,""REVISAR EQUIVALENCIA"",
IF(fila=0,""SKU NO ENCONTRADO"",
LET(
valor,INDEX(Referencia!$A$2:$AZ6238,fila,col),
IF(TRIM(TO_TEXT(valor))=TRIM(TO_TEXT(I2747)),"&amp;"
""OK"",
""NO COINCIDE. Valor verdadero: ""&amp;IF(valor="""",""[VACÍO]"",TO_TEXT(valor))
)
))))
),""ERROR EN FÓRMULA""))"),"REVISAR EQUIVALENCIA")</f>
        <v>REVISAR EQUIVALENCIA</v>
      </c>
    </row>
    <row r="2748">
      <c r="A2748" s="83" t="s">
        <v>4854</v>
      </c>
      <c r="B2748" s="83" t="s">
        <v>4855</v>
      </c>
      <c r="C2748" s="81" t="s">
        <v>4621</v>
      </c>
      <c r="D2748" s="83" t="s">
        <v>4274</v>
      </c>
      <c r="E2748" s="81" t="s">
        <v>1080</v>
      </c>
      <c r="F2748" s="84">
        <v>209.0</v>
      </c>
      <c r="G2748" s="81" t="s">
        <v>41</v>
      </c>
      <c r="H2748" s="81" t="s">
        <v>1047</v>
      </c>
      <c r="I2748" s="81" t="s">
        <v>1051</v>
      </c>
      <c r="J2748" s="81" t="s">
        <v>224</v>
      </c>
      <c r="K2748" s="81" t="str">
        <f>IFERROR(__xludf.DUMMYFUNCTION("IF(OR(D2748="""",G2748=""""),"""",IFERROR(LET(
campo,XLOOKUP(TRIM(G2748),ARRAYFORMULA(TRIM('indice columnas'!$A$2:$A$100)),'indice columnas'!$B$2:$B$100,""""),
col,IFERROR(MATCH(campo,Referencia!$A$1:$AZ$1,0),0),
fila,IFERROR(MATCH(TO_TEXT(D2748),ARRAYFOR"&amp;"MULA(TO_TEXT(Referencia!$A$2:$A6238)),0),0),
IF(OR(campo="""",campo=""-""),""NO APLICA"",
IF(col=0,""REVISAR EQUIVALENCIA"",
IF(fila=0,""SKU NO ENCONTRADO"",
LET(
valor,INDEX(Referencia!$A$2:$AZ6238,fila,col),
IF(TRIM(TO_TEXT(valor))=TRIM(TO_TEXT(I2748)),"&amp;"
""OK"",
""NO COINCIDE. Valor verdadero: ""&amp;IF(valor="""",""[VACÍO]"",TO_TEXT(valor))
)
))))
),""ERROR EN FÓRMULA""))"),"REVISAR EQUIVALENCIA")</f>
        <v>REVISAR EQUIVALENCIA</v>
      </c>
    </row>
    <row r="2749">
      <c r="A2749" s="83" t="s">
        <v>4854</v>
      </c>
      <c r="B2749" s="83" t="s">
        <v>4855</v>
      </c>
      <c r="C2749" s="81" t="s">
        <v>4621</v>
      </c>
      <c r="D2749" s="83" t="s">
        <v>4275</v>
      </c>
      <c r="E2749" s="81" t="s">
        <v>1089</v>
      </c>
      <c r="F2749" s="84">
        <v>211.0</v>
      </c>
      <c r="G2749" s="81" t="s">
        <v>41</v>
      </c>
      <c r="H2749" s="81" t="s">
        <v>1047</v>
      </c>
      <c r="I2749" s="81" t="s">
        <v>1051</v>
      </c>
      <c r="J2749" s="81" t="s">
        <v>224</v>
      </c>
      <c r="K2749" s="81" t="str">
        <f>IFERROR(__xludf.DUMMYFUNCTION("IF(OR(D2749="""",G2749=""""),"""",IFERROR(LET(
campo,XLOOKUP(TRIM(G2749),ARRAYFORMULA(TRIM('indice columnas'!$A$2:$A$100)),'indice columnas'!$B$2:$B$100,""""),
col,IFERROR(MATCH(campo,Referencia!$A$1:$AZ$1,0),0),
fila,IFERROR(MATCH(TO_TEXT(D2749),ARRAYFOR"&amp;"MULA(TO_TEXT(Referencia!$A$2:$A6238)),0),0),
IF(OR(campo="""",campo=""-""),""NO APLICA"",
IF(col=0,""REVISAR EQUIVALENCIA"",
IF(fila=0,""SKU NO ENCONTRADO"",
LET(
valor,INDEX(Referencia!$A$2:$AZ6238,fila,col),
IF(TRIM(TO_TEXT(valor))=TRIM(TO_TEXT(I2749)),"&amp;"
""OK"",
""NO COINCIDE. Valor verdadero: ""&amp;IF(valor="""",""[VACÍO]"",TO_TEXT(valor))
)
))))
),""ERROR EN FÓRMULA""))"),"REVISAR EQUIVALENCIA")</f>
        <v>REVISAR EQUIVALENCIA</v>
      </c>
    </row>
    <row r="2750">
      <c r="A2750" s="83" t="s">
        <v>4854</v>
      </c>
      <c r="B2750" s="83" t="s">
        <v>4855</v>
      </c>
      <c r="C2750" s="81" t="s">
        <v>4621</v>
      </c>
      <c r="D2750" s="83" t="s">
        <v>4276</v>
      </c>
      <c r="E2750" s="81" t="s">
        <v>1090</v>
      </c>
      <c r="F2750" s="84">
        <v>212.0</v>
      </c>
      <c r="G2750" s="81" t="s">
        <v>41</v>
      </c>
      <c r="H2750" s="81" t="s">
        <v>1047</v>
      </c>
      <c r="I2750" s="81" t="s">
        <v>1051</v>
      </c>
      <c r="J2750" s="81" t="s">
        <v>224</v>
      </c>
      <c r="K2750" s="81" t="str">
        <f>IFERROR(__xludf.DUMMYFUNCTION("IF(OR(D2750="""",G2750=""""),"""",IFERROR(LET(
campo,XLOOKUP(TRIM(G2750),ARRAYFORMULA(TRIM('indice columnas'!$A$2:$A$100)),'indice columnas'!$B$2:$B$100,""""),
col,IFERROR(MATCH(campo,Referencia!$A$1:$AZ$1,0),0),
fila,IFERROR(MATCH(TO_TEXT(D2750),ARRAYFOR"&amp;"MULA(TO_TEXT(Referencia!$A$2:$A6238)),0),0),
IF(OR(campo="""",campo=""-""),""NO APLICA"",
IF(col=0,""REVISAR EQUIVALENCIA"",
IF(fila=0,""SKU NO ENCONTRADO"",
LET(
valor,INDEX(Referencia!$A$2:$AZ6238,fila,col),
IF(TRIM(TO_TEXT(valor))=TRIM(TO_TEXT(I2750)),"&amp;"
""OK"",
""NO COINCIDE. Valor verdadero: ""&amp;IF(valor="""",""[VACÍO]"",TO_TEXT(valor))
)
))))
),""ERROR EN FÓRMULA""))"),"REVISAR EQUIVALENCIA")</f>
        <v>REVISAR EQUIVALENCIA</v>
      </c>
    </row>
    <row r="2751">
      <c r="A2751" s="83" t="s">
        <v>4854</v>
      </c>
      <c r="B2751" s="83" t="s">
        <v>4855</v>
      </c>
      <c r="C2751" s="81" t="s">
        <v>4621</v>
      </c>
      <c r="D2751" s="83" t="s">
        <v>4277</v>
      </c>
      <c r="E2751" s="81" t="s">
        <v>1099</v>
      </c>
      <c r="F2751" s="84">
        <v>214.0</v>
      </c>
      <c r="G2751" s="81" t="s">
        <v>41</v>
      </c>
      <c r="H2751" s="81" t="s">
        <v>1047</v>
      </c>
      <c r="I2751" s="81" t="s">
        <v>1051</v>
      </c>
      <c r="J2751" s="81" t="s">
        <v>224</v>
      </c>
      <c r="K2751" s="81" t="str">
        <f>IFERROR(__xludf.DUMMYFUNCTION("IF(OR(D2751="""",G2751=""""),"""",IFERROR(LET(
campo,XLOOKUP(TRIM(G2751),ARRAYFORMULA(TRIM('indice columnas'!$A$2:$A$100)),'indice columnas'!$B$2:$B$100,""""),
col,IFERROR(MATCH(campo,Referencia!$A$1:$AZ$1,0),0),
fila,IFERROR(MATCH(TO_TEXT(D2751),ARRAYFOR"&amp;"MULA(TO_TEXT(Referencia!$A$2:$A6238)),0),0),
IF(OR(campo="""",campo=""-""),""NO APLICA"",
IF(col=0,""REVISAR EQUIVALENCIA"",
IF(fila=0,""SKU NO ENCONTRADO"",
LET(
valor,INDEX(Referencia!$A$2:$AZ6238,fila,col),
IF(TRIM(TO_TEXT(valor))=TRIM(TO_TEXT(I2751)),"&amp;"
""OK"",
""NO COINCIDE. Valor verdadero: ""&amp;IF(valor="""",""[VACÍO]"",TO_TEXT(valor))
)
))))
),""ERROR EN FÓRMULA""))"),"REVISAR EQUIVALENCIA")</f>
        <v>REVISAR EQUIVALENCIA</v>
      </c>
    </row>
    <row r="2752">
      <c r="A2752" s="83" t="s">
        <v>4854</v>
      </c>
      <c r="B2752" s="83" t="s">
        <v>4855</v>
      </c>
      <c r="C2752" s="81" t="s">
        <v>4621</v>
      </c>
      <c r="D2752" s="83" t="s">
        <v>4278</v>
      </c>
      <c r="E2752" s="81" t="s">
        <v>1100</v>
      </c>
      <c r="F2752" s="84">
        <v>215.0</v>
      </c>
      <c r="G2752" s="81" t="s">
        <v>41</v>
      </c>
      <c r="H2752" s="81" t="s">
        <v>1047</v>
      </c>
      <c r="I2752" s="81" t="s">
        <v>1051</v>
      </c>
      <c r="J2752" s="81" t="s">
        <v>224</v>
      </c>
      <c r="K2752" s="81" t="str">
        <f>IFERROR(__xludf.DUMMYFUNCTION("IF(OR(D2752="""",G2752=""""),"""",IFERROR(LET(
campo,XLOOKUP(TRIM(G2752),ARRAYFORMULA(TRIM('indice columnas'!$A$2:$A$100)),'indice columnas'!$B$2:$B$100,""""),
col,IFERROR(MATCH(campo,Referencia!$A$1:$AZ$1,0),0),
fila,IFERROR(MATCH(TO_TEXT(D2752),ARRAYFOR"&amp;"MULA(TO_TEXT(Referencia!$A$2:$A6238)),0),0),
IF(OR(campo="""",campo=""-""),""NO APLICA"",
IF(col=0,""REVISAR EQUIVALENCIA"",
IF(fila=0,""SKU NO ENCONTRADO"",
LET(
valor,INDEX(Referencia!$A$2:$AZ6238,fila,col),
IF(TRIM(TO_TEXT(valor))=TRIM(TO_TEXT(I2752)),"&amp;"
""OK"",
""NO COINCIDE. Valor verdadero: ""&amp;IF(valor="""",""[VACÍO]"",TO_TEXT(valor))
)
))))
),""ERROR EN FÓRMULA""))"),"REVISAR EQUIVALENCIA")</f>
        <v>REVISAR EQUIVALENCIA</v>
      </c>
    </row>
    <row r="2753">
      <c r="A2753" s="83" t="s">
        <v>4854</v>
      </c>
      <c r="B2753" s="83" t="s">
        <v>4855</v>
      </c>
      <c r="C2753" s="81" t="s">
        <v>4621</v>
      </c>
      <c r="D2753" s="83" t="s">
        <v>4279</v>
      </c>
      <c r="E2753" s="81" t="s">
        <v>1109</v>
      </c>
      <c r="F2753" s="84">
        <v>217.0</v>
      </c>
      <c r="G2753" s="81" t="s">
        <v>41</v>
      </c>
      <c r="H2753" s="81" t="s">
        <v>1047</v>
      </c>
      <c r="I2753" s="81" t="s">
        <v>1051</v>
      </c>
      <c r="J2753" s="81" t="s">
        <v>224</v>
      </c>
      <c r="K2753" s="81" t="str">
        <f>IFERROR(__xludf.DUMMYFUNCTION("IF(OR(D2753="""",G2753=""""),"""",IFERROR(LET(
campo,XLOOKUP(TRIM(G2753),ARRAYFORMULA(TRIM('indice columnas'!$A$2:$A$100)),'indice columnas'!$B$2:$B$100,""""),
col,IFERROR(MATCH(campo,Referencia!$A$1:$AZ$1,0),0),
fila,IFERROR(MATCH(TO_TEXT(D2753),ARRAYFOR"&amp;"MULA(TO_TEXT(Referencia!$A$2:$A6238)),0),0),
IF(OR(campo="""",campo=""-""),""NO APLICA"",
IF(col=0,""REVISAR EQUIVALENCIA"",
IF(fila=0,""SKU NO ENCONTRADO"",
LET(
valor,INDEX(Referencia!$A$2:$AZ6238,fila,col),
IF(TRIM(TO_TEXT(valor))=TRIM(TO_TEXT(I2753)),"&amp;"
""OK"",
""NO COINCIDE. Valor verdadero: ""&amp;IF(valor="""",""[VACÍO]"",TO_TEXT(valor))
)
))))
),""ERROR EN FÓRMULA""))"),"REVISAR EQUIVALENCIA")</f>
        <v>REVISAR EQUIVALENCIA</v>
      </c>
    </row>
    <row r="2754">
      <c r="A2754" s="83" t="s">
        <v>4854</v>
      </c>
      <c r="B2754" s="83" t="s">
        <v>4855</v>
      </c>
      <c r="C2754" s="81" t="s">
        <v>4621</v>
      </c>
      <c r="D2754" s="83" t="s">
        <v>4280</v>
      </c>
      <c r="E2754" s="81" t="s">
        <v>1110</v>
      </c>
      <c r="F2754" s="84">
        <v>218.0</v>
      </c>
      <c r="G2754" s="81" t="s">
        <v>41</v>
      </c>
      <c r="H2754" s="81" t="s">
        <v>1047</v>
      </c>
      <c r="I2754" s="81" t="s">
        <v>1051</v>
      </c>
      <c r="J2754" s="81" t="s">
        <v>224</v>
      </c>
      <c r="K2754" s="81" t="str">
        <f>IFERROR(__xludf.DUMMYFUNCTION("IF(OR(D2754="""",G2754=""""),"""",IFERROR(LET(
campo,XLOOKUP(TRIM(G2754),ARRAYFORMULA(TRIM('indice columnas'!$A$2:$A$100)),'indice columnas'!$B$2:$B$100,""""),
col,IFERROR(MATCH(campo,Referencia!$A$1:$AZ$1,0),0),
fila,IFERROR(MATCH(TO_TEXT(D2754),ARRAYFOR"&amp;"MULA(TO_TEXT(Referencia!$A$2:$A6238)),0),0),
IF(OR(campo="""",campo=""-""),""NO APLICA"",
IF(col=0,""REVISAR EQUIVALENCIA"",
IF(fila=0,""SKU NO ENCONTRADO"",
LET(
valor,INDEX(Referencia!$A$2:$AZ6238,fila,col),
IF(TRIM(TO_TEXT(valor))=TRIM(TO_TEXT(I2754)),"&amp;"
""OK"",
""NO COINCIDE. Valor verdadero: ""&amp;IF(valor="""",""[VACÍO]"",TO_TEXT(valor))
)
))))
),""ERROR EN FÓRMULA""))"),"REVISAR EQUIVALENCIA")</f>
        <v>REVISAR EQUIVALENCIA</v>
      </c>
    </row>
    <row r="2755">
      <c r="A2755" s="83" t="s">
        <v>4854</v>
      </c>
      <c r="B2755" s="83" t="s">
        <v>4855</v>
      </c>
      <c r="C2755" s="81" t="s">
        <v>4621</v>
      </c>
      <c r="D2755" s="83" t="s">
        <v>4281</v>
      </c>
      <c r="E2755" s="81" t="s">
        <v>1119</v>
      </c>
      <c r="F2755" s="84">
        <v>220.0</v>
      </c>
      <c r="G2755" s="81" t="s">
        <v>41</v>
      </c>
      <c r="H2755" s="81" t="s">
        <v>1047</v>
      </c>
      <c r="I2755" s="81" t="s">
        <v>1051</v>
      </c>
      <c r="J2755" s="81" t="s">
        <v>224</v>
      </c>
      <c r="K2755" s="81" t="str">
        <f>IFERROR(__xludf.DUMMYFUNCTION("IF(OR(D2755="""",G2755=""""),"""",IFERROR(LET(
campo,XLOOKUP(TRIM(G2755),ARRAYFORMULA(TRIM('indice columnas'!$A$2:$A$100)),'indice columnas'!$B$2:$B$100,""""),
col,IFERROR(MATCH(campo,Referencia!$A$1:$AZ$1,0),0),
fila,IFERROR(MATCH(TO_TEXT(D2755),ARRAYFOR"&amp;"MULA(TO_TEXT(Referencia!$A$2:$A6238)),0),0),
IF(OR(campo="""",campo=""-""),""NO APLICA"",
IF(col=0,""REVISAR EQUIVALENCIA"",
IF(fila=0,""SKU NO ENCONTRADO"",
LET(
valor,INDEX(Referencia!$A$2:$AZ6238,fila,col),
IF(TRIM(TO_TEXT(valor))=TRIM(TO_TEXT(I2755)),"&amp;"
""OK"",
""NO COINCIDE. Valor verdadero: ""&amp;IF(valor="""",""[VACÍO]"",TO_TEXT(valor))
)
))))
),""ERROR EN FÓRMULA""))"),"REVISAR EQUIVALENCIA")</f>
        <v>REVISAR EQUIVALENCIA</v>
      </c>
    </row>
    <row r="2756">
      <c r="A2756" s="83" t="s">
        <v>4854</v>
      </c>
      <c r="B2756" s="83" t="s">
        <v>4855</v>
      </c>
      <c r="C2756" s="81" t="s">
        <v>4621</v>
      </c>
      <c r="D2756" s="83" t="s">
        <v>4282</v>
      </c>
      <c r="E2756" s="81" t="s">
        <v>1120</v>
      </c>
      <c r="F2756" s="84">
        <v>221.0</v>
      </c>
      <c r="G2756" s="81" t="s">
        <v>41</v>
      </c>
      <c r="H2756" s="81" t="s">
        <v>1047</v>
      </c>
      <c r="I2756" s="81" t="s">
        <v>1051</v>
      </c>
      <c r="J2756" s="81" t="s">
        <v>224</v>
      </c>
      <c r="K2756" s="81" t="str">
        <f>IFERROR(__xludf.DUMMYFUNCTION("IF(OR(D2756="""",G2756=""""),"""",IFERROR(LET(
campo,XLOOKUP(TRIM(G2756),ARRAYFORMULA(TRIM('indice columnas'!$A$2:$A$100)),'indice columnas'!$B$2:$B$100,""""),
col,IFERROR(MATCH(campo,Referencia!$A$1:$AZ$1,0),0),
fila,IFERROR(MATCH(TO_TEXT(D2756),ARRAYFOR"&amp;"MULA(TO_TEXT(Referencia!$A$2:$A6238)),0),0),
IF(OR(campo="""",campo=""-""),""NO APLICA"",
IF(col=0,""REVISAR EQUIVALENCIA"",
IF(fila=0,""SKU NO ENCONTRADO"",
LET(
valor,INDEX(Referencia!$A$2:$AZ6238,fila,col),
IF(TRIM(TO_TEXT(valor))=TRIM(TO_TEXT(I2756)),"&amp;"
""OK"",
""NO COINCIDE. Valor verdadero: ""&amp;IF(valor="""",""[VACÍO]"",TO_TEXT(valor))
)
))))
),""ERROR EN FÓRMULA""))"),"REVISAR EQUIVALENCIA")</f>
        <v>REVISAR EQUIVALENCIA</v>
      </c>
    </row>
    <row r="2757">
      <c r="A2757" s="83" t="s">
        <v>4854</v>
      </c>
      <c r="B2757" s="83" t="s">
        <v>4855</v>
      </c>
      <c r="C2757" s="81" t="s">
        <v>4621</v>
      </c>
      <c r="D2757" s="83" t="s">
        <v>4283</v>
      </c>
      <c r="E2757" s="81" t="s">
        <v>1129</v>
      </c>
      <c r="F2757" s="84">
        <v>223.0</v>
      </c>
      <c r="G2757" s="81" t="s">
        <v>41</v>
      </c>
      <c r="H2757" s="81" t="s">
        <v>1047</v>
      </c>
      <c r="I2757" s="81" t="s">
        <v>1051</v>
      </c>
      <c r="J2757" s="81" t="s">
        <v>224</v>
      </c>
      <c r="K2757" s="81" t="str">
        <f>IFERROR(__xludf.DUMMYFUNCTION("IF(OR(D2757="""",G2757=""""),"""",IFERROR(LET(
campo,XLOOKUP(TRIM(G2757),ARRAYFORMULA(TRIM('indice columnas'!$A$2:$A$100)),'indice columnas'!$B$2:$B$100,""""),
col,IFERROR(MATCH(campo,Referencia!$A$1:$AZ$1,0),0),
fila,IFERROR(MATCH(TO_TEXT(D2757),ARRAYFOR"&amp;"MULA(TO_TEXT(Referencia!$A$2:$A6238)),0),0),
IF(OR(campo="""",campo=""-""),""NO APLICA"",
IF(col=0,""REVISAR EQUIVALENCIA"",
IF(fila=0,""SKU NO ENCONTRADO"",
LET(
valor,INDEX(Referencia!$A$2:$AZ6238,fila,col),
IF(TRIM(TO_TEXT(valor))=TRIM(TO_TEXT(I2757)),"&amp;"
""OK"",
""NO COINCIDE. Valor verdadero: ""&amp;IF(valor="""",""[VACÍO]"",TO_TEXT(valor))
)
))))
),""ERROR EN FÓRMULA""))"),"REVISAR EQUIVALENCIA")</f>
        <v>REVISAR EQUIVALENCIA</v>
      </c>
    </row>
    <row r="2758">
      <c r="A2758" s="83" t="s">
        <v>4854</v>
      </c>
      <c r="B2758" s="83" t="s">
        <v>4855</v>
      </c>
      <c r="C2758" s="81" t="s">
        <v>4621</v>
      </c>
      <c r="D2758" s="83" t="s">
        <v>4284</v>
      </c>
      <c r="E2758" s="81" t="s">
        <v>1130</v>
      </c>
      <c r="F2758" s="84">
        <v>224.0</v>
      </c>
      <c r="G2758" s="81" t="s">
        <v>41</v>
      </c>
      <c r="H2758" s="81" t="s">
        <v>1047</v>
      </c>
      <c r="I2758" s="81" t="s">
        <v>1051</v>
      </c>
      <c r="J2758" s="81" t="s">
        <v>224</v>
      </c>
      <c r="K2758" s="81" t="str">
        <f>IFERROR(__xludf.DUMMYFUNCTION("IF(OR(D2758="""",G2758=""""),"""",IFERROR(LET(
campo,XLOOKUP(TRIM(G2758),ARRAYFORMULA(TRIM('indice columnas'!$A$2:$A$100)),'indice columnas'!$B$2:$B$100,""""),
col,IFERROR(MATCH(campo,Referencia!$A$1:$AZ$1,0),0),
fila,IFERROR(MATCH(TO_TEXT(D2758),ARRAYFOR"&amp;"MULA(TO_TEXT(Referencia!$A$2:$A6238)),0),0),
IF(OR(campo="""",campo=""-""),""NO APLICA"",
IF(col=0,""REVISAR EQUIVALENCIA"",
IF(fila=0,""SKU NO ENCONTRADO"",
LET(
valor,INDEX(Referencia!$A$2:$AZ6238,fila,col),
IF(TRIM(TO_TEXT(valor))=TRIM(TO_TEXT(I2758)),"&amp;"
""OK"",
""NO COINCIDE. Valor verdadero: ""&amp;IF(valor="""",""[VACÍO]"",TO_TEXT(valor))
)
))))
),""ERROR EN FÓRMULA""))"),"REVISAR EQUIVALENCIA")</f>
        <v>REVISAR EQUIVALENCIA</v>
      </c>
    </row>
    <row r="2759">
      <c r="A2759" s="83" t="s">
        <v>4854</v>
      </c>
      <c r="B2759" s="83" t="s">
        <v>4855</v>
      </c>
      <c r="C2759" s="81" t="s">
        <v>4621</v>
      </c>
      <c r="D2759" s="83" t="s">
        <v>4285</v>
      </c>
      <c r="E2759" s="81" t="s">
        <v>1133</v>
      </c>
      <c r="F2759" s="84">
        <v>225.0</v>
      </c>
      <c r="G2759" s="81" t="s">
        <v>41</v>
      </c>
      <c r="H2759" s="81" t="s">
        <v>1047</v>
      </c>
      <c r="I2759" s="81" t="s">
        <v>1051</v>
      </c>
      <c r="J2759" s="81" t="s">
        <v>224</v>
      </c>
      <c r="K2759" s="81" t="str">
        <f>IFERROR(__xludf.DUMMYFUNCTION("IF(OR(D2759="""",G2759=""""),"""",IFERROR(LET(
campo,XLOOKUP(TRIM(G2759),ARRAYFORMULA(TRIM('indice columnas'!$A$2:$A$100)),'indice columnas'!$B$2:$B$100,""""),
col,IFERROR(MATCH(campo,Referencia!$A$1:$AZ$1,0),0),
fila,IFERROR(MATCH(TO_TEXT(D2759),ARRAYFOR"&amp;"MULA(TO_TEXT(Referencia!$A$2:$A6238)),0),0),
IF(OR(campo="""",campo=""-""),""NO APLICA"",
IF(col=0,""REVISAR EQUIVALENCIA"",
IF(fila=0,""SKU NO ENCONTRADO"",
LET(
valor,INDEX(Referencia!$A$2:$AZ6238,fila,col),
IF(TRIM(TO_TEXT(valor))=TRIM(TO_TEXT(I2759)),"&amp;"
""OK"",
""NO COINCIDE. Valor verdadero: ""&amp;IF(valor="""",""[VACÍO]"",TO_TEXT(valor))
)
))))
),""ERROR EN FÓRMULA""))"),"REVISAR EQUIVALENCIA")</f>
        <v>REVISAR EQUIVALENCIA</v>
      </c>
    </row>
    <row r="2760">
      <c r="A2760" s="83" t="s">
        <v>4854</v>
      </c>
      <c r="B2760" s="83" t="s">
        <v>4855</v>
      </c>
      <c r="C2760" s="81" t="s">
        <v>4621</v>
      </c>
      <c r="D2760" s="83" t="s">
        <v>4287</v>
      </c>
      <c r="E2760" s="81" t="s">
        <v>1138</v>
      </c>
      <c r="F2760" s="84">
        <v>226.0</v>
      </c>
      <c r="G2760" s="81" t="s">
        <v>41</v>
      </c>
      <c r="H2760" s="81" t="s">
        <v>1047</v>
      </c>
      <c r="I2760" s="81" t="s">
        <v>1051</v>
      </c>
      <c r="J2760" s="81" t="s">
        <v>224</v>
      </c>
      <c r="K2760" s="81" t="str">
        <f>IFERROR(__xludf.DUMMYFUNCTION("IF(OR(D2760="""",G2760=""""),"""",IFERROR(LET(
campo,XLOOKUP(TRIM(G2760),ARRAYFORMULA(TRIM('indice columnas'!$A$2:$A$100)),'indice columnas'!$B$2:$B$100,""""),
col,IFERROR(MATCH(campo,Referencia!$A$1:$AZ$1,0),0),
fila,IFERROR(MATCH(TO_TEXT(D2760),ARRAYFOR"&amp;"MULA(TO_TEXT(Referencia!$A$2:$A6238)),0),0),
IF(OR(campo="""",campo=""-""),""NO APLICA"",
IF(col=0,""REVISAR EQUIVALENCIA"",
IF(fila=0,""SKU NO ENCONTRADO"",
LET(
valor,INDEX(Referencia!$A$2:$AZ6238,fila,col),
IF(TRIM(TO_TEXT(valor))=TRIM(TO_TEXT(I2760)),"&amp;"
""OK"",
""NO COINCIDE. Valor verdadero: ""&amp;IF(valor="""",""[VACÍO]"",TO_TEXT(valor))
)
))))
),""ERROR EN FÓRMULA""))"),"REVISAR EQUIVALENCIA")</f>
        <v>REVISAR EQUIVALENCIA</v>
      </c>
    </row>
    <row r="2761">
      <c r="A2761" s="83" t="s">
        <v>4854</v>
      </c>
      <c r="B2761" s="83" t="s">
        <v>4855</v>
      </c>
      <c r="C2761" s="81" t="s">
        <v>4621</v>
      </c>
      <c r="D2761" s="83" t="s">
        <v>4289</v>
      </c>
      <c r="E2761" s="81" t="s">
        <v>1142</v>
      </c>
      <c r="F2761" s="84">
        <v>227.0</v>
      </c>
      <c r="G2761" s="81" t="s">
        <v>41</v>
      </c>
      <c r="H2761" s="81" t="s">
        <v>1047</v>
      </c>
      <c r="I2761" s="81" t="s">
        <v>1051</v>
      </c>
      <c r="J2761" s="81" t="s">
        <v>224</v>
      </c>
      <c r="K2761" s="81" t="str">
        <f>IFERROR(__xludf.DUMMYFUNCTION("IF(OR(D2761="""",G2761=""""),"""",IFERROR(LET(
campo,XLOOKUP(TRIM(G2761),ARRAYFORMULA(TRIM('indice columnas'!$A$2:$A$100)),'indice columnas'!$B$2:$B$100,""""),
col,IFERROR(MATCH(campo,Referencia!$A$1:$AZ$1,0),0),
fila,IFERROR(MATCH(TO_TEXT(D2761),ARRAYFOR"&amp;"MULA(TO_TEXT(Referencia!$A$2:$A6238)),0),0),
IF(OR(campo="""",campo=""-""),""NO APLICA"",
IF(col=0,""REVISAR EQUIVALENCIA"",
IF(fila=0,""SKU NO ENCONTRADO"",
LET(
valor,INDEX(Referencia!$A$2:$AZ6238,fila,col),
IF(TRIM(TO_TEXT(valor))=TRIM(TO_TEXT(I2761)),"&amp;"
""OK"",
""NO COINCIDE. Valor verdadero: ""&amp;IF(valor="""",""[VACÍO]"",TO_TEXT(valor))
)
))))
),""ERROR EN FÓRMULA""))"),"REVISAR EQUIVALENCIA")</f>
        <v>REVISAR EQUIVALENCIA</v>
      </c>
    </row>
    <row r="2762">
      <c r="A2762" s="83" t="s">
        <v>4854</v>
      </c>
      <c r="B2762" s="83" t="s">
        <v>4855</v>
      </c>
      <c r="C2762" s="81" t="s">
        <v>4621</v>
      </c>
      <c r="D2762" s="83" t="s">
        <v>4304</v>
      </c>
      <c r="E2762" s="81" t="s">
        <v>1232</v>
      </c>
      <c r="F2762" s="84">
        <v>244.0</v>
      </c>
      <c r="G2762" s="81" t="s">
        <v>41</v>
      </c>
      <c r="H2762" s="81" t="s">
        <v>1229</v>
      </c>
      <c r="I2762" s="81" t="s">
        <v>1233</v>
      </c>
      <c r="J2762" s="81" t="s">
        <v>224</v>
      </c>
      <c r="K2762" s="81" t="str">
        <f>IFERROR(__xludf.DUMMYFUNCTION("IF(OR(D2762="""",G2762=""""),"""",IFERROR(LET(
campo,XLOOKUP(TRIM(G2762),ARRAYFORMULA(TRIM('indice columnas'!$A$2:$A$100)),'indice columnas'!$B$2:$B$100,""""),
col,IFERROR(MATCH(campo,Referencia!$A$1:$AZ$1,0),0),
fila,IFERROR(MATCH(TO_TEXT(D2762),ARRAYFOR"&amp;"MULA(TO_TEXT(Referencia!$A$2:$A6238)),0),0),
IF(OR(campo="""",campo=""-""),""NO APLICA"",
IF(col=0,""REVISAR EQUIVALENCIA"",
IF(fila=0,""SKU NO ENCONTRADO"",
LET(
valor,INDEX(Referencia!$A$2:$AZ6238,fila,col),
IF(TRIM(TO_TEXT(valor))=TRIM(TO_TEXT(I2762)),"&amp;"
""OK"",
""NO COINCIDE. Valor verdadero: ""&amp;IF(valor="""",""[VACÍO]"",TO_TEXT(valor))
)
))))
),""ERROR EN FÓRMULA""))"),"REVISAR EQUIVALENCIA")</f>
        <v>REVISAR EQUIVALENCIA</v>
      </c>
    </row>
    <row r="2763">
      <c r="A2763" s="83" t="s">
        <v>4854</v>
      </c>
      <c r="B2763" s="83" t="s">
        <v>4855</v>
      </c>
      <c r="C2763" s="81" t="s">
        <v>4621</v>
      </c>
      <c r="D2763" s="83" t="s">
        <v>4305</v>
      </c>
      <c r="E2763" s="81" t="s">
        <v>1234</v>
      </c>
      <c r="F2763" s="84">
        <v>245.0</v>
      </c>
      <c r="G2763" s="81" t="s">
        <v>41</v>
      </c>
      <c r="H2763" s="81" t="s">
        <v>1229</v>
      </c>
      <c r="I2763" s="81" t="s">
        <v>1233</v>
      </c>
      <c r="J2763" s="81" t="s">
        <v>224</v>
      </c>
      <c r="K2763" s="81" t="str">
        <f>IFERROR(__xludf.DUMMYFUNCTION("IF(OR(D2763="""",G2763=""""),"""",IFERROR(LET(
campo,XLOOKUP(TRIM(G2763),ARRAYFORMULA(TRIM('indice columnas'!$A$2:$A$100)),'indice columnas'!$B$2:$B$100,""""),
col,IFERROR(MATCH(campo,Referencia!$A$1:$AZ$1,0),0),
fila,IFERROR(MATCH(TO_TEXT(D2763),ARRAYFOR"&amp;"MULA(TO_TEXT(Referencia!$A$2:$A6238)),0),0),
IF(OR(campo="""",campo=""-""),""NO APLICA"",
IF(col=0,""REVISAR EQUIVALENCIA"",
IF(fila=0,""SKU NO ENCONTRADO"",
LET(
valor,INDEX(Referencia!$A$2:$AZ6238,fila,col),
IF(TRIM(TO_TEXT(valor))=TRIM(TO_TEXT(I2763)),"&amp;"
""OK"",
""NO COINCIDE. Valor verdadero: ""&amp;IF(valor="""",""[VACÍO]"",TO_TEXT(valor))
)
))))
),""ERROR EN FÓRMULA""))"),"REVISAR EQUIVALENCIA")</f>
        <v>REVISAR EQUIVALENCIA</v>
      </c>
    </row>
    <row r="2764">
      <c r="A2764" s="83" t="s">
        <v>4854</v>
      </c>
      <c r="B2764" s="83" t="s">
        <v>4855</v>
      </c>
      <c r="C2764" s="81" t="s">
        <v>4621</v>
      </c>
      <c r="D2764" s="83" t="s">
        <v>4306</v>
      </c>
      <c r="E2764" s="81" t="s">
        <v>1237</v>
      </c>
      <c r="F2764" s="84">
        <v>246.0</v>
      </c>
      <c r="G2764" s="81" t="s">
        <v>41</v>
      </c>
      <c r="H2764" s="81" t="s">
        <v>4857</v>
      </c>
      <c r="I2764" s="81" t="s">
        <v>1237</v>
      </c>
      <c r="J2764" s="81" t="s">
        <v>224</v>
      </c>
      <c r="K2764" s="81" t="str">
        <f>IFERROR(__xludf.DUMMYFUNCTION("IF(OR(D2764="""",G2764=""""),"""",IFERROR(LET(
campo,XLOOKUP(TRIM(G2764),ARRAYFORMULA(TRIM('indice columnas'!$A$2:$A$100)),'indice columnas'!$B$2:$B$100,""""),
col,IFERROR(MATCH(campo,Referencia!$A$1:$AZ$1,0),0),
fila,IFERROR(MATCH(TO_TEXT(D2764),ARRAYFOR"&amp;"MULA(TO_TEXT(Referencia!$A$2:$A6238)),0),0),
IF(OR(campo="""",campo=""-""),""NO APLICA"",
IF(col=0,""REVISAR EQUIVALENCIA"",
IF(fila=0,""SKU NO ENCONTRADO"",
LET(
valor,INDEX(Referencia!$A$2:$AZ6238,fila,col),
IF(TRIM(TO_TEXT(valor))=TRIM(TO_TEXT(I2764)),"&amp;"
""OK"",
""NO COINCIDE. Valor verdadero: ""&amp;IF(valor="""",""[VACÍO]"",TO_TEXT(valor))
)
))))
),""ERROR EN FÓRMULA""))"),"REVISAR EQUIVALENCIA")</f>
        <v>REVISAR EQUIVALENCIA</v>
      </c>
    </row>
    <row r="2765">
      <c r="A2765" s="83" t="s">
        <v>4854</v>
      </c>
      <c r="B2765" s="83" t="s">
        <v>4855</v>
      </c>
      <c r="C2765" s="81" t="s">
        <v>4621</v>
      </c>
      <c r="D2765" s="83" t="s">
        <v>4308</v>
      </c>
      <c r="E2765" s="81" t="s">
        <v>1247</v>
      </c>
      <c r="F2765" s="84">
        <v>247.0</v>
      </c>
      <c r="G2765" s="81" t="s">
        <v>41</v>
      </c>
      <c r="H2765" s="81" t="s">
        <v>4857</v>
      </c>
      <c r="I2765" s="81" t="s">
        <v>1237</v>
      </c>
      <c r="J2765" s="81" t="s">
        <v>224</v>
      </c>
      <c r="K2765" s="81" t="str">
        <f>IFERROR(__xludf.DUMMYFUNCTION("IF(OR(D2765="""",G2765=""""),"""",IFERROR(LET(
campo,XLOOKUP(TRIM(G2765),ARRAYFORMULA(TRIM('indice columnas'!$A$2:$A$100)),'indice columnas'!$B$2:$B$100,""""),
col,IFERROR(MATCH(campo,Referencia!$A$1:$AZ$1,0),0),
fila,IFERROR(MATCH(TO_TEXT(D2765),ARRAYFOR"&amp;"MULA(TO_TEXT(Referencia!$A$2:$A6238)),0),0),
IF(OR(campo="""",campo=""-""),""NO APLICA"",
IF(col=0,""REVISAR EQUIVALENCIA"",
IF(fila=0,""SKU NO ENCONTRADO"",
LET(
valor,INDEX(Referencia!$A$2:$AZ6238,fila,col),
IF(TRIM(TO_TEXT(valor))=TRIM(TO_TEXT(I2765)),"&amp;"
""OK"",
""NO COINCIDE. Valor verdadero: ""&amp;IF(valor="""",""[VACÍO]"",TO_TEXT(valor))
)
))))
),""ERROR EN FÓRMULA""))"),"REVISAR EQUIVALENCIA")</f>
        <v>REVISAR EQUIVALENCIA</v>
      </c>
    </row>
    <row r="2766">
      <c r="A2766" s="83" t="s">
        <v>4854</v>
      </c>
      <c r="B2766" s="83" t="s">
        <v>4855</v>
      </c>
      <c r="C2766" s="81" t="s">
        <v>4621</v>
      </c>
      <c r="D2766" s="83" t="s">
        <v>4320</v>
      </c>
      <c r="E2766" s="81" t="s">
        <v>1365</v>
      </c>
      <c r="F2766" s="84">
        <v>261.0</v>
      </c>
      <c r="G2766" s="81" t="s">
        <v>41</v>
      </c>
      <c r="H2766" s="81" t="s">
        <v>931</v>
      </c>
      <c r="I2766" s="81" t="s">
        <v>924</v>
      </c>
      <c r="J2766" s="81" t="s">
        <v>224</v>
      </c>
      <c r="K2766" s="81" t="str">
        <f>IFERROR(__xludf.DUMMYFUNCTION("IF(OR(D2766="""",G2766=""""),"""",IFERROR(LET(
campo,XLOOKUP(TRIM(G2766),ARRAYFORMULA(TRIM('indice columnas'!$A$2:$A$100)),'indice columnas'!$B$2:$B$100,""""),
col,IFERROR(MATCH(campo,Referencia!$A$1:$AZ$1,0),0),
fila,IFERROR(MATCH(TO_TEXT(D2766),ARRAYFOR"&amp;"MULA(TO_TEXT(Referencia!$A$2:$A6238)),0),0),
IF(OR(campo="""",campo=""-""),""NO APLICA"",
IF(col=0,""REVISAR EQUIVALENCIA"",
IF(fila=0,""SKU NO ENCONTRADO"",
LET(
valor,INDEX(Referencia!$A$2:$AZ6238,fila,col),
IF(TRIM(TO_TEXT(valor))=TRIM(TO_TEXT(I2766)),"&amp;"
""OK"",
""NO COINCIDE. Valor verdadero: ""&amp;IF(valor="""",""[VACÍO]"",TO_TEXT(valor))
)
))))
),""ERROR EN FÓRMULA""))"),"REVISAR EQUIVALENCIA")</f>
        <v>REVISAR EQUIVALENCIA</v>
      </c>
    </row>
    <row r="2767">
      <c r="A2767" s="83" t="s">
        <v>4854</v>
      </c>
      <c r="B2767" s="83" t="s">
        <v>4855</v>
      </c>
      <c r="C2767" s="81" t="s">
        <v>4621</v>
      </c>
      <c r="D2767" s="83" t="s">
        <v>4322</v>
      </c>
      <c r="E2767" s="81" t="s">
        <v>1367</v>
      </c>
      <c r="F2767" s="84">
        <v>262.0</v>
      </c>
      <c r="G2767" s="81" t="s">
        <v>41</v>
      </c>
      <c r="H2767" s="81" t="s">
        <v>931</v>
      </c>
      <c r="I2767" s="81" t="s">
        <v>924</v>
      </c>
      <c r="J2767" s="81" t="s">
        <v>224</v>
      </c>
      <c r="K2767" s="81" t="str">
        <f>IFERROR(__xludf.DUMMYFUNCTION("IF(OR(D2767="""",G2767=""""),"""",IFERROR(LET(
campo,XLOOKUP(TRIM(G2767),ARRAYFORMULA(TRIM('indice columnas'!$A$2:$A$100)),'indice columnas'!$B$2:$B$100,""""),
col,IFERROR(MATCH(campo,Referencia!$A$1:$AZ$1,0),0),
fila,IFERROR(MATCH(TO_TEXT(D2767),ARRAYFOR"&amp;"MULA(TO_TEXT(Referencia!$A$2:$A6238)),0),0),
IF(OR(campo="""",campo=""-""),""NO APLICA"",
IF(col=0,""REVISAR EQUIVALENCIA"",
IF(fila=0,""SKU NO ENCONTRADO"",
LET(
valor,INDEX(Referencia!$A$2:$AZ6238,fila,col),
IF(TRIM(TO_TEXT(valor))=TRIM(TO_TEXT(I2767)),"&amp;"
""OK"",
""NO COINCIDE. Valor verdadero: ""&amp;IF(valor="""",""[VACÍO]"",TO_TEXT(valor))
)
))))
),""ERROR EN FÓRMULA""))"),"REVISAR EQUIVALENCIA")</f>
        <v>REVISAR EQUIVALENCIA</v>
      </c>
    </row>
    <row r="2768">
      <c r="A2768" s="83" t="s">
        <v>4854</v>
      </c>
      <c r="B2768" s="83" t="s">
        <v>4855</v>
      </c>
      <c r="C2768" s="81" t="s">
        <v>4621</v>
      </c>
      <c r="D2768" s="83" t="s">
        <v>4323</v>
      </c>
      <c r="E2768" s="81" t="s">
        <v>1370</v>
      </c>
      <c r="F2768" s="84">
        <v>263.0</v>
      </c>
      <c r="G2768" s="81" t="s">
        <v>41</v>
      </c>
      <c r="H2768" s="81" t="s">
        <v>931</v>
      </c>
      <c r="I2768" s="81" t="s">
        <v>924</v>
      </c>
      <c r="J2768" s="81" t="s">
        <v>224</v>
      </c>
      <c r="K2768" s="81" t="str">
        <f>IFERROR(__xludf.DUMMYFUNCTION("IF(OR(D2768="""",G2768=""""),"""",IFERROR(LET(
campo,XLOOKUP(TRIM(G2768),ARRAYFORMULA(TRIM('indice columnas'!$A$2:$A$100)),'indice columnas'!$B$2:$B$100,""""),
col,IFERROR(MATCH(campo,Referencia!$A$1:$AZ$1,0),0),
fila,IFERROR(MATCH(TO_TEXT(D2768),ARRAYFOR"&amp;"MULA(TO_TEXT(Referencia!$A$2:$A6238)),0),0),
IF(OR(campo="""",campo=""-""),""NO APLICA"",
IF(col=0,""REVISAR EQUIVALENCIA"",
IF(fila=0,""SKU NO ENCONTRADO"",
LET(
valor,INDEX(Referencia!$A$2:$AZ6238,fila,col),
IF(TRIM(TO_TEXT(valor))=TRIM(TO_TEXT(I2768)),"&amp;"
""OK"",
""NO COINCIDE. Valor verdadero: ""&amp;IF(valor="""",""[VACÍO]"",TO_TEXT(valor))
)
))))
),""ERROR EN FÓRMULA""))"),"REVISAR EQUIVALENCIA")</f>
        <v>REVISAR EQUIVALENCIA</v>
      </c>
    </row>
    <row r="2769">
      <c r="A2769" s="83" t="s">
        <v>4854</v>
      </c>
      <c r="B2769" s="83" t="s">
        <v>4855</v>
      </c>
      <c r="C2769" s="81" t="s">
        <v>4621</v>
      </c>
      <c r="D2769" s="83" t="s">
        <v>4325</v>
      </c>
      <c r="E2769" s="81" t="s">
        <v>1374</v>
      </c>
      <c r="F2769" s="84">
        <v>264.0</v>
      </c>
      <c r="G2769" s="81" t="s">
        <v>41</v>
      </c>
      <c r="H2769" s="81" t="s">
        <v>931</v>
      </c>
      <c r="I2769" s="81" t="s">
        <v>924</v>
      </c>
      <c r="J2769" s="81" t="s">
        <v>224</v>
      </c>
      <c r="K2769" s="81" t="str">
        <f>IFERROR(__xludf.DUMMYFUNCTION("IF(OR(D2769="""",G2769=""""),"""",IFERROR(LET(
campo,XLOOKUP(TRIM(G2769),ARRAYFORMULA(TRIM('indice columnas'!$A$2:$A$100)),'indice columnas'!$B$2:$B$100,""""),
col,IFERROR(MATCH(campo,Referencia!$A$1:$AZ$1,0),0),
fila,IFERROR(MATCH(TO_TEXT(D2769),ARRAYFOR"&amp;"MULA(TO_TEXT(Referencia!$A$2:$A6238)),0),0),
IF(OR(campo="""",campo=""-""),""NO APLICA"",
IF(col=0,""REVISAR EQUIVALENCIA"",
IF(fila=0,""SKU NO ENCONTRADO"",
LET(
valor,INDEX(Referencia!$A$2:$AZ6238,fila,col),
IF(TRIM(TO_TEXT(valor))=TRIM(TO_TEXT(I2769)),"&amp;"
""OK"",
""NO COINCIDE. Valor verdadero: ""&amp;IF(valor="""",""[VACÍO]"",TO_TEXT(valor))
)
))))
),""ERROR EN FÓRMULA""))"),"REVISAR EQUIVALENCIA")</f>
        <v>REVISAR EQUIVALENCIA</v>
      </c>
    </row>
    <row r="2770">
      <c r="A2770" s="83" t="s">
        <v>4854</v>
      </c>
      <c r="B2770" s="83" t="s">
        <v>4855</v>
      </c>
      <c r="C2770" s="81" t="s">
        <v>4621</v>
      </c>
      <c r="D2770" s="83" t="s">
        <v>4326</v>
      </c>
      <c r="E2770" s="81" t="s">
        <v>1375</v>
      </c>
      <c r="F2770" s="84">
        <v>265.0</v>
      </c>
      <c r="G2770" s="81" t="s">
        <v>41</v>
      </c>
      <c r="H2770" s="81" t="s">
        <v>931</v>
      </c>
      <c r="I2770" s="81" t="s">
        <v>924</v>
      </c>
      <c r="J2770" s="81" t="s">
        <v>224</v>
      </c>
      <c r="K2770" s="81" t="str">
        <f>IFERROR(__xludf.DUMMYFUNCTION("IF(OR(D2770="""",G2770=""""),"""",IFERROR(LET(
campo,XLOOKUP(TRIM(G2770),ARRAYFORMULA(TRIM('indice columnas'!$A$2:$A$100)),'indice columnas'!$B$2:$B$100,""""),
col,IFERROR(MATCH(campo,Referencia!$A$1:$AZ$1,0),0),
fila,IFERROR(MATCH(TO_TEXT(D2770),ARRAYFOR"&amp;"MULA(TO_TEXT(Referencia!$A$2:$A6238)),0),0),
IF(OR(campo="""",campo=""-""),""NO APLICA"",
IF(col=0,""REVISAR EQUIVALENCIA"",
IF(fila=0,""SKU NO ENCONTRADO"",
LET(
valor,INDEX(Referencia!$A$2:$AZ6238,fila,col),
IF(TRIM(TO_TEXT(valor))=TRIM(TO_TEXT(I2770)),"&amp;"
""OK"",
""NO COINCIDE. Valor verdadero: ""&amp;IF(valor="""",""[VACÍO]"",TO_TEXT(valor))
)
))))
),""ERROR EN FÓRMULA""))"),"REVISAR EQUIVALENCIA")</f>
        <v>REVISAR EQUIVALENCIA</v>
      </c>
    </row>
    <row r="2771">
      <c r="A2771" s="83" t="s">
        <v>4854</v>
      </c>
      <c r="B2771" s="83" t="s">
        <v>4855</v>
      </c>
      <c r="C2771" s="81" t="s">
        <v>4621</v>
      </c>
      <c r="D2771" s="83" t="s">
        <v>4328</v>
      </c>
      <c r="E2771" s="81" t="s">
        <v>1379</v>
      </c>
      <c r="F2771" s="84">
        <v>266.0</v>
      </c>
      <c r="G2771" s="81" t="s">
        <v>41</v>
      </c>
      <c r="H2771" s="81" t="s">
        <v>931</v>
      </c>
      <c r="I2771" s="81" t="s">
        <v>924</v>
      </c>
      <c r="J2771" s="81" t="s">
        <v>224</v>
      </c>
      <c r="K2771" s="81" t="str">
        <f>IFERROR(__xludf.DUMMYFUNCTION("IF(OR(D2771="""",G2771=""""),"""",IFERROR(LET(
campo,XLOOKUP(TRIM(G2771),ARRAYFORMULA(TRIM('indice columnas'!$A$2:$A$100)),'indice columnas'!$B$2:$B$100,""""),
col,IFERROR(MATCH(campo,Referencia!$A$1:$AZ$1,0),0),
fila,IFERROR(MATCH(TO_TEXT(D2771),ARRAYFOR"&amp;"MULA(TO_TEXT(Referencia!$A$2:$A6238)),0),0),
IF(OR(campo="""",campo=""-""),""NO APLICA"",
IF(col=0,""REVISAR EQUIVALENCIA"",
IF(fila=0,""SKU NO ENCONTRADO"",
LET(
valor,INDEX(Referencia!$A$2:$AZ6238,fila,col),
IF(TRIM(TO_TEXT(valor))=TRIM(TO_TEXT(I2771)),"&amp;"
""OK"",
""NO COINCIDE. Valor verdadero: ""&amp;IF(valor="""",""[VACÍO]"",TO_TEXT(valor))
)
))))
),""ERROR EN FÓRMULA""))"),"REVISAR EQUIVALENCIA")</f>
        <v>REVISAR EQUIVALENCIA</v>
      </c>
    </row>
    <row r="2772">
      <c r="A2772" s="83" t="s">
        <v>4854</v>
      </c>
      <c r="B2772" s="83" t="s">
        <v>4855</v>
      </c>
      <c r="C2772" s="81" t="s">
        <v>4621</v>
      </c>
      <c r="D2772" s="83" t="s">
        <v>4329</v>
      </c>
      <c r="E2772" s="81" t="s">
        <v>1387</v>
      </c>
      <c r="F2772" s="84">
        <v>268.0</v>
      </c>
      <c r="G2772" s="81" t="s">
        <v>41</v>
      </c>
      <c r="H2772" s="81" t="s">
        <v>1047</v>
      </c>
      <c r="I2772" s="81" t="s">
        <v>1051</v>
      </c>
      <c r="J2772" s="81" t="s">
        <v>224</v>
      </c>
      <c r="K2772" s="81" t="str">
        <f>IFERROR(__xludf.DUMMYFUNCTION("IF(OR(D2772="""",G2772=""""),"""",IFERROR(LET(
campo,XLOOKUP(TRIM(G2772),ARRAYFORMULA(TRIM('indice columnas'!$A$2:$A$100)),'indice columnas'!$B$2:$B$100,""""),
col,IFERROR(MATCH(campo,Referencia!$A$1:$AZ$1,0),0),
fila,IFERROR(MATCH(TO_TEXT(D2772),ARRAYFOR"&amp;"MULA(TO_TEXT(Referencia!$A$2:$A6238)),0),0),
IF(OR(campo="""",campo=""-""),""NO APLICA"",
IF(col=0,""REVISAR EQUIVALENCIA"",
IF(fila=0,""SKU NO ENCONTRADO"",
LET(
valor,INDEX(Referencia!$A$2:$AZ6238,fila,col),
IF(TRIM(TO_TEXT(valor))=TRIM(TO_TEXT(I2772)),"&amp;"
""OK"",
""NO COINCIDE. Valor verdadero: ""&amp;IF(valor="""",""[VACÍO]"",TO_TEXT(valor))
)
))))
),""ERROR EN FÓRMULA""))"),"REVISAR EQUIVALENCIA")</f>
        <v>REVISAR EQUIVALENCIA</v>
      </c>
    </row>
    <row r="2773">
      <c r="A2773" s="83" t="s">
        <v>4854</v>
      </c>
      <c r="B2773" s="83" t="s">
        <v>4855</v>
      </c>
      <c r="C2773" s="81" t="s">
        <v>4621</v>
      </c>
      <c r="D2773" s="83" t="s">
        <v>4331</v>
      </c>
      <c r="E2773" s="81" t="s">
        <v>1388</v>
      </c>
      <c r="F2773" s="84">
        <v>269.0</v>
      </c>
      <c r="G2773" s="81" t="s">
        <v>41</v>
      </c>
      <c r="H2773" s="81" t="s">
        <v>1047</v>
      </c>
      <c r="I2773" s="81" t="s">
        <v>1051</v>
      </c>
      <c r="J2773" s="81" t="s">
        <v>224</v>
      </c>
      <c r="K2773" s="81" t="str">
        <f>IFERROR(__xludf.DUMMYFUNCTION("IF(OR(D2773="""",G2773=""""),"""",IFERROR(LET(
campo,XLOOKUP(TRIM(G2773),ARRAYFORMULA(TRIM('indice columnas'!$A$2:$A$100)),'indice columnas'!$B$2:$B$100,""""),
col,IFERROR(MATCH(campo,Referencia!$A$1:$AZ$1,0),0),
fila,IFERROR(MATCH(TO_TEXT(D2773),ARRAYFOR"&amp;"MULA(TO_TEXT(Referencia!$A$2:$A6238)),0),0),
IF(OR(campo="""",campo=""-""),""NO APLICA"",
IF(col=0,""REVISAR EQUIVALENCIA"",
IF(fila=0,""SKU NO ENCONTRADO"",
LET(
valor,INDEX(Referencia!$A$2:$AZ6238,fila,col),
IF(TRIM(TO_TEXT(valor))=TRIM(TO_TEXT(I2773)),"&amp;"
""OK"",
""NO COINCIDE. Valor verdadero: ""&amp;IF(valor="""",""[VACÍO]"",TO_TEXT(valor))
)
))))
),""ERROR EN FÓRMULA""))"),"REVISAR EQUIVALENCIA")</f>
        <v>REVISAR EQUIVALENCIA</v>
      </c>
    </row>
    <row r="2774">
      <c r="A2774" s="83" t="s">
        <v>4854</v>
      </c>
      <c r="B2774" s="83" t="s">
        <v>4855</v>
      </c>
      <c r="C2774" s="81" t="s">
        <v>4621</v>
      </c>
      <c r="D2774" s="83" t="s">
        <v>4332</v>
      </c>
      <c r="E2774" s="81" t="s">
        <v>1391</v>
      </c>
      <c r="F2774" s="84">
        <v>270.0</v>
      </c>
      <c r="G2774" s="81" t="s">
        <v>41</v>
      </c>
      <c r="H2774" s="81" t="s">
        <v>1047</v>
      </c>
      <c r="I2774" s="81" t="s">
        <v>1051</v>
      </c>
      <c r="J2774" s="81" t="s">
        <v>224</v>
      </c>
      <c r="K2774" s="81" t="str">
        <f>IFERROR(__xludf.DUMMYFUNCTION("IF(OR(D2774="""",G2774=""""),"""",IFERROR(LET(
campo,XLOOKUP(TRIM(G2774),ARRAYFORMULA(TRIM('indice columnas'!$A$2:$A$100)),'indice columnas'!$B$2:$B$100,""""),
col,IFERROR(MATCH(campo,Referencia!$A$1:$AZ$1,0),0),
fila,IFERROR(MATCH(TO_TEXT(D2774),ARRAYFOR"&amp;"MULA(TO_TEXT(Referencia!$A$2:$A6238)),0),0),
IF(OR(campo="""",campo=""-""),""NO APLICA"",
IF(col=0,""REVISAR EQUIVALENCIA"",
IF(fila=0,""SKU NO ENCONTRADO"",
LET(
valor,INDEX(Referencia!$A$2:$AZ6238,fila,col),
IF(TRIM(TO_TEXT(valor))=TRIM(TO_TEXT(I2774)),"&amp;"
""OK"",
""NO COINCIDE. Valor verdadero: ""&amp;IF(valor="""",""[VACÍO]"",TO_TEXT(valor))
)
))))
),""ERROR EN FÓRMULA""))"),"REVISAR EQUIVALENCIA")</f>
        <v>REVISAR EQUIVALENCIA</v>
      </c>
    </row>
    <row r="2775">
      <c r="A2775" s="83" t="s">
        <v>4854</v>
      </c>
      <c r="B2775" s="83" t="s">
        <v>4855</v>
      </c>
      <c r="C2775" s="81" t="s">
        <v>4621</v>
      </c>
      <c r="D2775" s="83" t="s">
        <v>4334</v>
      </c>
      <c r="E2775" s="81" t="s">
        <v>1395</v>
      </c>
      <c r="F2775" s="84">
        <v>271.0</v>
      </c>
      <c r="G2775" s="81" t="s">
        <v>41</v>
      </c>
      <c r="H2775" s="81" t="s">
        <v>1047</v>
      </c>
      <c r="I2775" s="81" t="s">
        <v>1051</v>
      </c>
      <c r="J2775" s="81" t="s">
        <v>224</v>
      </c>
      <c r="K2775" s="81" t="str">
        <f>IFERROR(__xludf.DUMMYFUNCTION("IF(OR(D2775="""",G2775=""""),"""",IFERROR(LET(
campo,XLOOKUP(TRIM(G2775),ARRAYFORMULA(TRIM('indice columnas'!$A$2:$A$100)),'indice columnas'!$B$2:$B$100,""""),
col,IFERROR(MATCH(campo,Referencia!$A$1:$AZ$1,0),0),
fila,IFERROR(MATCH(TO_TEXT(D2775),ARRAYFOR"&amp;"MULA(TO_TEXT(Referencia!$A$2:$A6238)),0),0),
IF(OR(campo="""",campo=""-""),""NO APLICA"",
IF(col=0,""REVISAR EQUIVALENCIA"",
IF(fila=0,""SKU NO ENCONTRADO"",
LET(
valor,INDEX(Referencia!$A$2:$AZ6238,fila,col),
IF(TRIM(TO_TEXT(valor))=TRIM(TO_TEXT(I2775)),"&amp;"
""OK"",
""NO COINCIDE. Valor verdadero: ""&amp;IF(valor="""",""[VACÍO]"",TO_TEXT(valor))
)
))))
),""ERROR EN FÓRMULA""))"),"REVISAR EQUIVALENCIA")</f>
        <v>REVISAR EQUIVALENCIA</v>
      </c>
    </row>
    <row r="2776">
      <c r="A2776" s="83" t="s">
        <v>4854</v>
      </c>
      <c r="B2776" s="83" t="s">
        <v>4855</v>
      </c>
      <c r="C2776" s="81" t="s">
        <v>4621</v>
      </c>
      <c r="D2776" s="83" t="s">
        <v>4335</v>
      </c>
      <c r="E2776" s="81" t="s">
        <v>1396</v>
      </c>
      <c r="F2776" s="84">
        <v>272.0</v>
      </c>
      <c r="G2776" s="81" t="s">
        <v>41</v>
      </c>
      <c r="H2776" s="81" t="s">
        <v>1047</v>
      </c>
      <c r="I2776" s="81" t="s">
        <v>1051</v>
      </c>
      <c r="J2776" s="81" t="s">
        <v>224</v>
      </c>
      <c r="K2776" s="81" t="str">
        <f>IFERROR(__xludf.DUMMYFUNCTION("IF(OR(D2776="""",G2776=""""),"""",IFERROR(LET(
campo,XLOOKUP(TRIM(G2776),ARRAYFORMULA(TRIM('indice columnas'!$A$2:$A$100)),'indice columnas'!$B$2:$B$100,""""),
col,IFERROR(MATCH(campo,Referencia!$A$1:$AZ$1,0),0),
fila,IFERROR(MATCH(TO_TEXT(D2776),ARRAYFOR"&amp;"MULA(TO_TEXT(Referencia!$A$2:$A6238)),0),0),
IF(OR(campo="""",campo=""-""),""NO APLICA"",
IF(col=0,""REVISAR EQUIVALENCIA"",
IF(fila=0,""SKU NO ENCONTRADO"",
LET(
valor,INDEX(Referencia!$A$2:$AZ6238,fila,col),
IF(TRIM(TO_TEXT(valor))=TRIM(TO_TEXT(I2776)),"&amp;"
""OK"",
""NO COINCIDE. Valor verdadero: ""&amp;IF(valor="""",""[VACÍO]"",TO_TEXT(valor))
)
))))
),""ERROR EN FÓRMULA""))"),"REVISAR EQUIVALENCIA")</f>
        <v>REVISAR EQUIVALENCIA</v>
      </c>
    </row>
    <row r="2777">
      <c r="A2777" s="83" t="s">
        <v>4854</v>
      </c>
      <c r="B2777" s="83" t="s">
        <v>4855</v>
      </c>
      <c r="C2777" s="81" t="s">
        <v>4621</v>
      </c>
      <c r="D2777" s="83" t="s">
        <v>4337</v>
      </c>
      <c r="E2777" s="81" t="s">
        <v>1400</v>
      </c>
      <c r="F2777" s="84">
        <v>273.0</v>
      </c>
      <c r="G2777" s="81" t="s">
        <v>41</v>
      </c>
      <c r="H2777" s="81" t="s">
        <v>1047</v>
      </c>
      <c r="I2777" s="81" t="s">
        <v>1051</v>
      </c>
      <c r="J2777" s="81" t="s">
        <v>224</v>
      </c>
      <c r="K2777" s="81" t="str">
        <f>IFERROR(__xludf.DUMMYFUNCTION("IF(OR(D2777="""",G2777=""""),"""",IFERROR(LET(
campo,XLOOKUP(TRIM(G2777),ARRAYFORMULA(TRIM('indice columnas'!$A$2:$A$100)),'indice columnas'!$B$2:$B$100,""""),
col,IFERROR(MATCH(campo,Referencia!$A$1:$AZ$1,0),0),
fila,IFERROR(MATCH(TO_TEXT(D2777),ARRAYFOR"&amp;"MULA(TO_TEXT(Referencia!$A$2:$A6238)),0),0),
IF(OR(campo="""",campo=""-""),""NO APLICA"",
IF(col=0,""REVISAR EQUIVALENCIA"",
IF(fila=0,""SKU NO ENCONTRADO"",
LET(
valor,INDEX(Referencia!$A$2:$AZ6238,fila,col),
IF(TRIM(TO_TEXT(valor))=TRIM(TO_TEXT(I2777)),"&amp;"
""OK"",
""NO COINCIDE. Valor verdadero: ""&amp;IF(valor="""",""[VACÍO]"",TO_TEXT(valor))
)
))))
),""ERROR EN FÓRMULA""))"),"REVISAR EQUIVALENCIA")</f>
        <v>REVISAR EQUIVALENCIA</v>
      </c>
    </row>
    <row r="2778">
      <c r="A2778" s="83" t="s">
        <v>4854</v>
      </c>
      <c r="B2778" s="83" t="s">
        <v>4855</v>
      </c>
      <c r="C2778" s="81" t="s">
        <v>4621</v>
      </c>
      <c r="D2778" s="83" t="s">
        <v>4351</v>
      </c>
      <c r="E2778" s="81" t="s">
        <v>1474</v>
      </c>
      <c r="F2778" s="84">
        <v>284.0</v>
      </c>
      <c r="G2778" s="81" t="s">
        <v>41</v>
      </c>
      <c r="H2778" s="81" t="s">
        <v>55</v>
      </c>
      <c r="I2778" s="81" t="s">
        <v>1476</v>
      </c>
      <c r="J2778" s="81" t="s">
        <v>224</v>
      </c>
      <c r="K2778" s="81" t="str">
        <f>IFERROR(__xludf.DUMMYFUNCTION("IF(OR(D2778="""",G2778=""""),"""",IFERROR(LET(
campo,XLOOKUP(TRIM(G2778),ARRAYFORMULA(TRIM('indice columnas'!$A$2:$A$100)),'indice columnas'!$B$2:$B$100,""""),
col,IFERROR(MATCH(campo,Referencia!$A$1:$AZ$1,0),0),
fila,IFERROR(MATCH(TO_TEXT(D2778),ARRAYFOR"&amp;"MULA(TO_TEXT(Referencia!$A$2:$A6238)),0),0),
IF(OR(campo="""",campo=""-""),""NO APLICA"",
IF(col=0,""REVISAR EQUIVALENCIA"",
IF(fila=0,""SKU NO ENCONTRADO"",
LET(
valor,INDEX(Referencia!$A$2:$AZ6238,fila,col),
IF(TRIM(TO_TEXT(valor))=TRIM(TO_TEXT(I2778)),"&amp;"
""OK"",
""NO COINCIDE. Valor verdadero: ""&amp;IF(valor="""",""[VACÍO]"",TO_TEXT(valor))
)
))))
),""ERROR EN FÓRMULA""))"),"REVISAR EQUIVALENCIA")</f>
        <v>REVISAR EQUIVALENCIA</v>
      </c>
    </row>
    <row r="2779">
      <c r="A2779" s="83" t="s">
        <v>4854</v>
      </c>
      <c r="B2779" s="83" t="s">
        <v>4855</v>
      </c>
      <c r="C2779" s="81" t="s">
        <v>4621</v>
      </c>
      <c r="D2779" s="83" t="s">
        <v>4353</v>
      </c>
      <c r="E2779" s="81" t="s">
        <v>1477</v>
      </c>
      <c r="F2779" s="84">
        <v>285.0</v>
      </c>
      <c r="G2779" s="81" t="s">
        <v>41</v>
      </c>
      <c r="H2779" s="81" t="s">
        <v>55</v>
      </c>
      <c r="I2779" s="81" t="s">
        <v>1476</v>
      </c>
      <c r="J2779" s="81" t="s">
        <v>224</v>
      </c>
      <c r="K2779" s="81" t="str">
        <f>IFERROR(__xludf.DUMMYFUNCTION("IF(OR(D2779="""",G2779=""""),"""",IFERROR(LET(
campo,XLOOKUP(TRIM(G2779),ARRAYFORMULA(TRIM('indice columnas'!$A$2:$A$100)),'indice columnas'!$B$2:$B$100,""""),
col,IFERROR(MATCH(campo,Referencia!$A$1:$AZ$1,0),0),
fila,IFERROR(MATCH(TO_TEXT(D2779),ARRAYFOR"&amp;"MULA(TO_TEXT(Referencia!$A$2:$A6238)),0),0),
IF(OR(campo="""",campo=""-""),""NO APLICA"",
IF(col=0,""REVISAR EQUIVALENCIA"",
IF(fila=0,""SKU NO ENCONTRADO"",
LET(
valor,INDEX(Referencia!$A$2:$AZ6238,fila,col),
IF(TRIM(TO_TEXT(valor))=TRIM(TO_TEXT(I2779)),"&amp;"
""OK"",
""NO COINCIDE. Valor verdadero: ""&amp;IF(valor="""",""[VACÍO]"",TO_TEXT(valor))
)
))))
),""ERROR EN FÓRMULA""))"),"REVISAR EQUIVALENCIA")</f>
        <v>REVISAR EQUIVALENCIA</v>
      </c>
    </row>
    <row r="2780">
      <c r="A2780" s="83" t="s">
        <v>4854</v>
      </c>
      <c r="B2780" s="83" t="s">
        <v>4855</v>
      </c>
      <c r="C2780" s="81" t="s">
        <v>4621</v>
      </c>
      <c r="D2780" s="83" t="s">
        <v>4363</v>
      </c>
      <c r="E2780" s="81" t="s">
        <v>1548</v>
      </c>
      <c r="F2780" s="84">
        <v>299.0</v>
      </c>
      <c r="G2780" s="81" t="s">
        <v>41</v>
      </c>
      <c r="H2780" s="81" t="s">
        <v>1543</v>
      </c>
      <c r="I2780" s="81" t="s">
        <v>1550</v>
      </c>
      <c r="J2780" s="81" t="s">
        <v>224</v>
      </c>
      <c r="K2780" s="81" t="str">
        <f>IFERROR(__xludf.DUMMYFUNCTION("IF(OR(D2780="""",G2780=""""),"""",IFERROR(LET(
campo,XLOOKUP(TRIM(G2780),ARRAYFORMULA(TRIM('indice columnas'!$A$2:$A$100)),'indice columnas'!$B$2:$B$100,""""),
col,IFERROR(MATCH(campo,Referencia!$A$1:$AZ$1,0),0),
fila,IFERROR(MATCH(TO_TEXT(D2780),ARRAYFOR"&amp;"MULA(TO_TEXT(Referencia!$A$2:$A6238)),0),0),
IF(OR(campo="""",campo=""-""),""NO APLICA"",
IF(col=0,""REVISAR EQUIVALENCIA"",
IF(fila=0,""SKU NO ENCONTRADO"",
LET(
valor,INDEX(Referencia!$A$2:$AZ6238,fila,col),
IF(TRIM(TO_TEXT(valor))=TRIM(TO_TEXT(I2780)),"&amp;"
""OK"",
""NO COINCIDE. Valor verdadero: ""&amp;IF(valor="""",""[VACÍO]"",TO_TEXT(valor))
)
))))
),""ERROR EN FÓRMULA""))"),"REVISAR EQUIVALENCIA")</f>
        <v>REVISAR EQUIVALENCIA</v>
      </c>
    </row>
    <row r="2781">
      <c r="A2781" s="83" t="s">
        <v>4854</v>
      </c>
      <c r="B2781" s="83" t="s">
        <v>4855</v>
      </c>
      <c r="C2781" s="81" t="s">
        <v>4621</v>
      </c>
      <c r="D2781" s="83" t="s">
        <v>4364</v>
      </c>
      <c r="E2781" s="81" t="s">
        <v>1551</v>
      </c>
      <c r="F2781" s="84">
        <v>300.0</v>
      </c>
      <c r="G2781" s="81" t="s">
        <v>41</v>
      </c>
      <c r="H2781" s="81" t="s">
        <v>1543</v>
      </c>
      <c r="I2781" s="81" t="s">
        <v>1550</v>
      </c>
      <c r="J2781" s="81" t="s">
        <v>224</v>
      </c>
      <c r="K2781" s="81" t="str">
        <f>IFERROR(__xludf.DUMMYFUNCTION("IF(OR(D2781="""",G2781=""""),"""",IFERROR(LET(
campo,XLOOKUP(TRIM(G2781),ARRAYFORMULA(TRIM('indice columnas'!$A$2:$A$100)),'indice columnas'!$B$2:$B$100,""""),
col,IFERROR(MATCH(campo,Referencia!$A$1:$AZ$1,0),0),
fila,IFERROR(MATCH(TO_TEXT(D2781),ARRAYFOR"&amp;"MULA(TO_TEXT(Referencia!$A$2:$A6238)),0),0),
IF(OR(campo="""",campo=""-""),""NO APLICA"",
IF(col=0,""REVISAR EQUIVALENCIA"",
IF(fila=0,""SKU NO ENCONTRADO"",
LET(
valor,INDEX(Referencia!$A$2:$AZ6238,fila,col),
IF(TRIM(TO_TEXT(valor))=TRIM(TO_TEXT(I2781)),"&amp;"
""OK"",
""NO COINCIDE. Valor verdadero: ""&amp;IF(valor="""",""[VACÍO]"",TO_TEXT(valor))
)
))))
),""ERROR EN FÓRMULA""))"),"REVISAR EQUIVALENCIA")</f>
        <v>REVISAR EQUIVALENCIA</v>
      </c>
    </row>
    <row r="2782">
      <c r="A2782" s="83" t="s">
        <v>4854</v>
      </c>
      <c r="B2782" s="83" t="s">
        <v>4855</v>
      </c>
      <c r="C2782" s="81" t="s">
        <v>4621</v>
      </c>
      <c r="D2782" s="83" t="s">
        <v>4375</v>
      </c>
      <c r="E2782" s="81" t="s">
        <v>1590</v>
      </c>
      <c r="F2782" s="84">
        <v>314.0</v>
      </c>
      <c r="G2782" s="81" t="s">
        <v>41</v>
      </c>
      <c r="H2782" s="81" t="s">
        <v>931</v>
      </c>
      <c r="I2782" s="81" t="s">
        <v>924</v>
      </c>
      <c r="J2782" s="81" t="s">
        <v>224</v>
      </c>
      <c r="K2782" s="81" t="str">
        <f>IFERROR(__xludf.DUMMYFUNCTION("IF(OR(D2782="""",G2782=""""),"""",IFERROR(LET(
campo,XLOOKUP(TRIM(G2782),ARRAYFORMULA(TRIM('indice columnas'!$A$2:$A$100)),'indice columnas'!$B$2:$B$100,""""),
col,IFERROR(MATCH(campo,Referencia!$A$1:$AZ$1,0),0),
fila,IFERROR(MATCH(TO_TEXT(D2782),ARRAYFOR"&amp;"MULA(TO_TEXT(Referencia!$A$2:$A6238)),0),0),
IF(OR(campo="""",campo=""-""),""NO APLICA"",
IF(col=0,""REVISAR EQUIVALENCIA"",
IF(fila=0,""SKU NO ENCONTRADO"",
LET(
valor,INDEX(Referencia!$A$2:$AZ6238,fila,col),
IF(TRIM(TO_TEXT(valor))=TRIM(TO_TEXT(I2782)),"&amp;"
""OK"",
""NO COINCIDE. Valor verdadero: ""&amp;IF(valor="""",""[VACÍO]"",TO_TEXT(valor))
)
))))
),""ERROR EN FÓRMULA""))"),"REVISAR EQUIVALENCIA")</f>
        <v>REVISAR EQUIVALENCIA</v>
      </c>
    </row>
    <row r="2783">
      <c r="A2783" s="83" t="s">
        <v>4854</v>
      </c>
      <c r="B2783" s="83" t="s">
        <v>4855</v>
      </c>
      <c r="C2783" s="81" t="s">
        <v>4621</v>
      </c>
      <c r="D2783" s="83" t="s">
        <v>4376</v>
      </c>
      <c r="E2783" s="81" t="s">
        <v>1591</v>
      </c>
      <c r="F2783" s="84">
        <v>315.0</v>
      </c>
      <c r="G2783" s="81" t="s">
        <v>41</v>
      </c>
      <c r="H2783" s="81" t="s">
        <v>931</v>
      </c>
      <c r="I2783" s="81" t="s">
        <v>924</v>
      </c>
      <c r="J2783" s="81" t="s">
        <v>224</v>
      </c>
      <c r="K2783" s="81" t="str">
        <f>IFERROR(__xludf.DUMMYFUNCTION("IF(OR(D2783="""",G2783=""""),"""",IFERROR(LET(
campo,XLOOKUP(TRIM(G2783),ARRAYFORMULA(TRIM('indice columnas'!$A$2:$A$100)),'indice columnas'!$B$2:$B$100,""""),
col,IFERROR(MATCH(campo,Referencia!$A$1:$AZ$1,0),0),
fila,IFERROR(MATCH(TO_TEXT(D2783),ARRAYFOR"&amp;"MULA(TO_TEXT(Referencia!$A$2:$A6238)),0),0),
IF(OR(campo="""",campo=""-""),""NO APLICA"",
IF(col=0,""REVISAR EQUIVALENCIA"",
IF(fila=0,""SKU NO ENCONTRADO"",
LET(
valor,INDEX(Referencia!$A$2:$AZ6238,fila,col),
IF(TRIM(TO_TEXT(valor))=TRIM(TO_TEXT(I2783)),"&amp;"
""OK"",
""NO COINCIDE. Valor verdadero: ""&amp;IF(valor="""",""[VACÍO]"",TO_TEXT(valor))
)
))))
),""ERROR EN FÓRMULA""))"),"REVISAR EQUIVALENCIA")</f>
        <v>REVISAR EQUIVALENCIA</v>
      </c>
    </row>
    <row r="2784">
      <c r="A2784" s="83" t="s">
        <v>4854</v>
      </c>
      <c r="B2784" s="83" t="s">
        <v>4855</v>
      </c>
      <c r="C2784" s="81" t="s">
        <v>4621</v>
      </c>
      <c r="D2784" s="83" t="s">
        <v>4389</v>
      </c>
      <c r="E2784" s="81" t="s">
        <v>1678</v>
      </c>
      <c r="F2784" s="84">
        <v>332.0</v>
      </c>
      <c r="G2784" s="81" t="s">
        <v>41</v>
      </c>
      <c r="H2784" s="81" t="s">
        <v>1675</v>
      </c>
      <c r="I2784" s="81" t="s">
        <v>1670</v>
      </c>
      <c r="J2784" s="81" t="s">
        <v>224</v>
      </c>
      <c r="K2784" s="81" t="str">
        <f>IFERROR(__xludf.DUMMYFUNCTION("IF(OR(D2784="""",G2784=""""),"""",IFERROR(LET(
campo,XLOOKUP(TRIM(G2784),ARRAYFORMULA(TRIM('indice columnas'!$A$2:$A$100)),'indice columnas'!$B$2:$B$100,""""),
col,IFERROR(MATCH(campo,Referencia!$A$1:$AZ$1,0),0),
fila,IFERROR(MATCH(TO_TEXT(D2784),ARRAYFOR"&amp;"MULA(TO_TEXT(Referencia!$A$2:$A6238)),0),0),
IF(OR(campo="""",campo=""-""),""NO APLICA"",
IF(col=0,""REVISAR EQUIVALENCIA"",
IF(fila=0,""SKU NO ENCONTRADO"",
LET(
valor,INDEX(Referencia!$A$2:$AZ6238,fila,col),
IF(TRIM(TO_TEXT(valor))=TRIM(TO_TEXT(I2784)),"&amp;"
""OK"",
""NO COINCIDE. Valor verdadero: ""&amp;IF(valor="""",""[VACÍO]"",TO_TEXT(valor))
)
))))
),""ERROR EN FÓRMULA""))"),"REVISAR EQUIVALENCIA")</f>
        <v>REVISAR EQUIVALENCIA</v>
      </c>
    </row>
    <row r="2785">
      <c r="A2785" s="83" t="s">
        <v>4854</v>
      </c>
      <c r="B2785" s="83" t="s">
        <v>4855</v>
      </c>
      <c r="C2785" s="81" t="s">
        <v>4621</v>
      </c>
      <c r="D2785" s="83" t="s">
        <v>4390</v>
      </c>
      <c r="E2785" s="81" t="s">
        <v>1679</v>
      </c>
      <c r="F2785" s="84">
        <v>333.0</v>
      </c>
      <c r="G2785" s="81" t="s">
        <v>41</v>
      </c>
      <c r="H2785" s="81" t="s">
        <v>1675</v>
      </c>
      <c r="I2785" s="81" t="s">
        <v>1670</v>
      </c>
      <c r="J2785" s="81" t="s">
        <v>224</v>
      </c>
      <c r="K2785" s="81" t="str">
        <f>IFERROR(__xludf.DUMMYFUNCTION("IF(OR(D2785="""",G2785=""""),"""",IFERROR(LET(
campo,XLOOKUP(TRIM(G2785),ARRAYFORMULA(TRIM('indice columnas'!$A$2:$A$100)),'indice columnas'!$B$2:$B$100,""""),
col,IFERROR(MATCH(campo,Referencia!$A$1:$AZ$1,0),0),
fila,IFERROR(MATCH(TO_TEXT(D2785),ARRAYFOR"&amp;"MULA(TO_TEXT(Referencia!$A$2:$A6238)),0),0),
IF(OR(campo="""",campo=""-""),""NO APLICA"",
IF(col=0,""REVISAR EQUIVALENCIA"",
IF(fila=0,""SKU NO ENCONTRADO"",
LET(
valor,INDEX(Referencia!$A$2:$AZ6238,fila,col),
IF(TRIM(TO_TEXT(valor))=TRIM(TO_TEXT(I2785)),"&amp;"
""OK"",
""NO COINCIDE. Valor verdadero: ""&amp;IF(valor="""",""[VACÍO]"",TO_TEXT(valor))
)
))))
),""ERROR EN FÓRMULA""))"),"REVISAR EQUIVALENCIA")</f>
        <v>REVISAR EQUIVALENCIA</v>
      </c>
    </row>
    <row r="2786">
      <c r="A2786" s="83" t="s">
        <v>4854</v>
      </c>
      <c r="B2786" s="83" t="s">
        <v>4855</v>
      </c>
      <c r="C2786" s="81" t="s">
        <v>4621</v>
      </c>
      <c r="D2786" s="83" t="s">
        <v>4391</v>
      </c>
      <c r="E2786" s="81" t="s">
        <v>1682</v>
      </c>
      <c r="F2786" s="84">
        <v>334.0</v>
      </c>
      <c r="G2786" s="81" t="s">
        <v>41</v>
      </c>
      <c r="H2786" s="81" t="s">
        <v>4858</v>
      </c>
      <c r="I2786" s="81" t="s">
        <v>1687</v>
      </c>
      <c r="J2786" s="81" t="s">
        <v>224</v>
      </c>
      <c r="K2786" s="81" t="str">
        <f>IFERROR(__xludf.DUMMYFUNCTION("IF(OR(D2786="""",G2786=""""),"""",IFERROR(LET(
campo,XLOOKUP(TRIM(G2786),ARRAYFORMULA(TRIM('indice columnas'!$A$2:$A$100)),'indice columnas'!$B$2:$B$100,""""),
col,IFERROR(MATCH(campo,Referencia!$A$1:$AZ$1,0),0),
fila,IFERROR(MATCH(TO_TEXT(D2786),ARRAYFOR"&amp;"MULA(TO_TEXT(Referencia!$A$2:$A6238)),0),0),
IF(OR(campo="""",campo=""-""),""NO APLICA"",
IF(col=0,""REVISAR EQUIVALENCIA"",
IF(fila=0,""SKU NO ENCONTRADO"",
LET(
valor,INDEX(Referencia!$A$2:$AZ6238,fila,col),
IF(TRIM(TO_TEXT(valor))=TRIM(TO_TEXT(I2786)),"&amp;"
""OK"",
""NO COINCIDE. Valor verdadero: ""&amp;IF(valor="""",""[VACÍO]"",TO_TEXT(valor))
)
))))
),""ERROR EN FÓRMULA""))"),"REVISAR EQUIVALENCIA")</f>
        <v>REVISAR EQUIVALENCIA</v>
      </c>
    </row>
    <row r="2787">
      <c r="A2787" s="83" t="s">
        <v>4854</v>
      </c>
      <c r="B2787" s="83" t="s">
        <v>4855</v>
      </c>
      <c r="C2787" s="81" t="s">
        <v>4621</v>
      </c>
      <c r="D2787" s="83" t="s">
        <v>4393</v>
      </c>
      <c r="E2787" s="81" t="s">
        <v>1690</v>
      </c>
      <c r="F2787" s="84">
        <v>335.0</v>
      </c>
      <c r="G2787" s="81" t="s">
        <v>41</v>
      </c>
      <c r="H2787" s="81" t="s">
        <v>4859</v>
      </c>
      <c r="I2787" s="81" t="s">
        <v>1694</v>
      </c>
      <c r="J2787" s="81" t="s">
        <v>224</v>
      </c>
      <c r="K2787" s="81" t="str">
        <f>IFERROR(__xludf.DUMMYFUNCTION("IF(OR(D2787="""",G2787=""""),"""",IFERROR(LET(
campo,XLOOKUP(TRIM(G2787),ARRAYFORMULA(TRIM('indice columnas'!$A$2:$A$100)),'indice columnas'!$B$2:$B$100,""""),
col,IFERROR(MATCH(campo,Referencia!$A$1:$AZ$1,0),0),
fila,IFERROR(MATCH(TO_TEXT(D2787),ARRAYFOR"&amp;"MULA(TO_TEXT(Referencia!$A$2:$A6238)),0),0),
IF(OR(campo="""",campo=""-""),""NO APLICA"",
IF(col=0,""REVISAR EQUIVALENCIA"",
IF(fila=0,""SKU NO ENCONTRADO"",
LET(
valor,INDEX(Referencia!$A$2:$AZ6238,fila,col),
IF(TRIM(TO_TEXT(valor))=TRIM(TO_TEXT(I2787)),"&amp;"
""OK"",
""NO COINCIDE. Valor verdadero: ""&amp;IF(valor="""",""[VACÍO]"",TO_TEXT(valor))
)
))))
),""ERROR EN FÓRMULA""))"),"REVISAR EQUIVALENCIA")</f>
        <v>REVISAR EQUIVALENCIA</v>
      </c>
    </row>
    <row r="2788">
      <c r="A2788" s="83" t="s">
        <v>4854</v>
      </c>
      <c r="B2788" s="83" t="s">
        <v>4855</v>
      </c>
      <c r="C2788" s="81" t="s">
        <v>4621</v>
      </c>
      <c r="D2788" s="83" t="s">
        <v>4394</v>
      </c>
      <c r="E2788" s="81" t="s">
        <v>1698</v>
      </c>
      <c r="F2788" s="84">
        <v>336.0</v>
      </c>
      <c r="G2788" s="81" t="s">
        <v>41</v>
      </c>
      <c r="H2788" s="81" t="s">
        <v>4859</v>
      </c>
      <c r="I2788" s="81" t="s">
        <v>1694</v>
      </c>
      <c r="J2788" s="81" t="s">
        <v>224</v>
      </c>
      <c r="K2788" s="81" t="str">
        <f>IFERROR(__xludf.DUMMYFUNCTION("IF(OR(D2788="""",G2788=""""),"""",IFERROR(LET(
campo,XLOOKUP(TRIM(G2788),ARRAYFORMULA(TRIM('indice columnas'!$A$2:$A$100)),'indice columnas'!$B$2:$B$100,""""),
col,IFERROR(MATCH(campo,Referencia!$A$1:$AZ$1,0),0),
fila,IFERROR(MATCH(TO_TEXT(D2788),ARRAYFOR"&amp;"MULA(TO_TEXT(Referencia!$A$2:$A6238)),0),0),
IF(OR(campo="""",campo=""-""),""NO APLICA"",
IF(col=0,""REVISAR EQUIVALENCIA"",
IF(fila=0,""SKU NO ENCONTRADO"",
LET(
valor,INDEX(Referencia!$A$2:$AZ6238,fila,col),
IF(TRIM(TO_TEXT(valor))=TRIM(TO_TEXT(I2788)),"&amp;"
""OK"",
""NO COINCIDE. Valor verdadero: ""&amp;IF(valor="""",""[VACÍO]"",TO_TEXT(valor))
)
))))
),""ERROR EN FÓRMULA""))"),"REVISAR EQUIVALENCIA")</f>
        <v>REVISAR EQUIVALENCIA</v>
      </c>
    </row>
    <row r="2789">
      <c r="A2789" s="83" t="s">
        <v>4854</v>
      </c>
      <c r="B2789" s="83" t="s">
        <v>4855</v>
      </c>
      <c r="C2789" s="81" t="s">
        <v>4621</v>
      </c>
      <c r="D2789" s="83" t="s">
        <v>4402</v>
      </c>
      <c r="E2789" s="81" t="s">
        <v>1741</v>
      </c>
      <c r="F2789" s="84">
        <v>345.0</v>
      </c>
      <c r="G2789" s="81" t="s">
        <v>41</v>
      </c>
      <c r="H2789" s="81" t="s">
        <v>931</v>
      </c>
      <c r="I2789" s="81" t="s">
        <v>924</v>
      </c>
      <c r="J2789" s="81" t="s">
        <v>224</v>
      </c>
      <c r="K2789" s="81" t="str">
        <f>IFERROR(__xludf.DUMMYFUNCTION("IF(OR(D2789="""",G2789=""""),"""",IFERROR(LET(
campo,XLOOKUP(TRIM(G2789),ARRAYFORMULA(TRIM('indice columnas'!$A$2:$A$100)),'indice columnas'!$B$2:$B$100,""""),
col,IFERROR(MATCH(campo,Referencia!$A$1:$AZ$1,0),0),
fila,IFERROR(MATCH(TO_TEXT(D2789),ARRAYFOR"&amp;"MULA(TO_TEXT(Referencia!$A$2:$A6238)),0),0),
IF(OR(campo="""",campo=""-""),""NO APLICA"",
IF(col=0,""REVISAR EQUIVALENCIA"",
IF(fila=0,""SKU NO ENCONTRADO"",
LET(
valor,INDEX(Referencia!$A$2:$AZ6238,fila,col),
IF(TRIM(TO_TEXT(valor))=TRIM(TO_TEXT(I2789)),"&amp;"
""OK"",
""NO COINCIDE. Valor verdadero: ""&amp;IF(valor="""",""[VACÍO]"",TO_TEXT(valor))
)
))))
),""ERROR EN FÓRMULA""))"),"REVISAR EQUIVALENCIA")</f>
        <v>REVISAR EQUIVALENCIA</v>
      </c>
    </row>
    <row r="2790">
      <c r="A2790" s="83" t="s">
        <v>4854</v>
      </c>
      <c r="B2790" s="83" t="s">
        <v>4855</v>
      </c>
      <c r="C2790" s="81" t="s">
        <v>4621</v>
      </c>
      <c r="D2790" s="83" t="s">
        <v>4403</v>
      </c>
      <c r="E2790" s="81" t="s">
        <v>1742</v>
      </c>
      <c r="F2790" s="84">
        <v>346.0</v>
      </c>
      <c r="G2790" s="81" t="s">
        <v>41</v>
      </c>
      <c r="H2790" s="81" t="s">
        <v>931</v>
      </c>
      <c r="I2790" s="81" t="s">
        <v>924</v>
      </c>
      <c r="J2790" s="81" t="s">
        <v>224</v>
      </c>
      <c r="K2790" s="81" t="str">
        <f>IFERROR(__xludf.DUMMYFUNCTION("IF(OR(D2790="""",G2790=""""),"""",IFERROR(LET(
campo,XLOOKUP(TRIM(G2790),ARRAYFORMULA(TRIM('indice columnas'!$A$2:$A$100)),'indice columnas'!$B$2:$B$100,""""),
col,IFERROR(MATCH(campo,Referencia!$A$1:$AZ$1,0),0),
fila,IFERROR(MATCH(TO_TEXT(D2790),ARRAYFOR"&amp;"MULA(TO_TEXT(Referencia!$A$2:$A6238)),0),0),
IF(OR(campo="""",campo=""-""),""NO APLICA"",
IF(col=0,""REVISAR EQUIVALENCIA"",
IF(fila=0,""SKU NO ENCONTRADO"",
LET(
valor,INDEX(Referencia!$A$2:$AZ6238,fila,col),
IF(TRIM(TO_TEXT(valor))=TRIM(TO_TEXT(I2790)),"&amp;"
""OK"",
""NO COINCIDE. Valor verdadero: ""&amp;IF(valor="""",""[VACÍO]"",TO_TEXT(valor))
)
))))
),""ERROR EN FÓRMULA""))"),"REVISAR EQUIVALENCIA")</f>
        <v>REVISAR EQUIVALENCIA</v>
      </c>
    </row>
    <row r="2791">
      <c r="A2791" s="83" t="s">
        <v>4854</v>
      </c>
      <c r="B2791" s="83" t="s">
        <v>4855</v>
      </c>
      <c r="C2791" s="81" t="s">
        <v>4621</v>
      </c>
      <c r="D2791" s="83" t="s">
        <v>4406</v>
      </c>
      <c r="E2791" s="81" t="s">
        <v>1760</v>
      </c>
      <c r="F2791" s="84">
        <v>350.0</v>
      </c>
      <c r="G2791" s="81" t="s">
        <v>41</v>
      </c>
      <c r="H2791" s="81" t="s">
        <v>55</v>
      </c>
      <c r="I2791" s="81" t="s">
        <v>1761</v>
      </c>
      <c r="J2791" s="81" t="s">
        <v>224</v>
      </c>
      <c r="K2791" s="81" t="str">
        <f>IFERROR(__xludf.DUMMYFUNCTION("IF(OR(D2791="""",G2791=""""),"""",IFERROR(LET(
campo,XLOOKUP(TRIM(G2791),ARRAYFORMULA(TRIM('indice columnas'!$A$2:$A$100)),'indice columnas'!$B$2:$B$100,""""),
col,IFERROR(MATCH(campo,Referencia!$A$1:$AZ$1,0),0),
fila,IFERROR(MATCH(TO_TEXT(D2791),ARRAYFOR"&amp;"MULA(TO_TEXT(Referencia!$A$2:$A6238)),0),0),
IF(OR(campo="""",campo=""-""),""NO APLICA"",
IF(col=0,""REVISAR EQUIVALENCIA"",
IF(fila=0,""SKU NO ENCONTRADO"",
LET(
valor,INDEX(Referencia!$A$2:$AZ6238,fila,col),
IF(TRIM(TO_TEXT(valor))=TRIM(TO_TEXT(I2791)),"&amp;"
""OK"",
""NO COINCIDE. Valor verdadero: ""&amp;IF(valor="""",""[VACÍO]"",TO_TEXT(valor))
)
))))
),""ERROR EN FÓRMULA""))"),"REVISAR EQUIVALENCIA")</f>
        <v>REVISAR EQUIVALENCIA</v>
      </c>
    </row>
    <row r="2792">
      <c r="A2792" s="83" t="s">
        <v>4854</v>
      </c>
      <c r="B2792" s="83" t="s">
        <v>4855</v>
      </c>
      <c r="C2792" s="81" t="s">
        <v>4621</v>
      </c>
      <c r="D2792" s="83" t="s">
        <v>4407</v>
      </c>
      <c r="E2792" s="81" t="s">
        <v>1762</v>
      </c>
      <c r="F2792" s="84">
        <v>351.0</v>
      </c>
      <c r="G2792" s="81" t="s">
        <v>41</v>
      </c>
      <c r="H2792" s="81" t="s">
        <v>55</v>
      </c>
      <c r="I2792" s="81" t="s">
        <v>1761</v>
      </c>
      <c r="J2792" s="81" t="s">
        <v>224</v>
      </c>
      <c r="K2792" s="81" t="str">
        <f>IFERROR(__xludf.DUMMYFUNCTION("IF(OR(D2792="""",G2792=""""),"""",IFERROR(LET(
campo,XLOOKUP(TRIM(G2792),ARRAYFORMULA(TRIM('indice columnas'!$A$2:$A$100)),'indice columnas'!$B$2:$B$100,""""),
col,IFERROR(MATCH(campo,Referencia!$A$1:$AZ$1,0),0),
fila,IFERROR(MATCH(TO_TEXT(D2792),ARRAYFOR"&amp;"MULA(TO_TEXT(Referencia!$A$2:$A6238)),0),0),
IF(OR(campo="""",campo=""-""),""NO APLICA"",
IF(col=0,""REVISAR EQUIVALENCIA"",
IF(fila=0,""SKU NO ENCONTRADO"",
LET(
valor,INDEX(Referencia!$A$2:$AZ6238,fila,col),
IF(TRIM(TO_TEXT(valor))=TRIM(TO_TEXT(I2792)),"&amp;"
""OK"",
""NO COINCIDE. Valor verdadero: ""&amp;IF(valor="""",""[VACÍO]"",TO_TEXT(valor))
)
))))
),""ERROR EN FÓRMULA""))"),"REVISAR EQUIVALENCIA")</f>
        <v>REVISAR EQUIVALENCIA</v>
      </c>
    </row>
    <row r="2793">
      <c r="A2793" s="83" t="s">
        <v>4854</v>
      </c>
      <c r="B2793" s="83" t="s">
        <v>4855</v>
      </c>
      <c r="C2793" s="81" t="s">
        <v>4621</v>
      </c>
      <c r="D2793" s="83" t="s">
        <v>4475</v>
      </c>
      <c r="E2793" s="81" t="s">
        <v>2225</v>
      </c>
      <c r="F2793" s="84">
        <v>426.0</v>
      </c>
      <c r="G2793" s="81" t="s">
        <v>41</v>
      </c>
      <c r="H2793" s="81" t="s">
        <v>2220</v>
      </c>
      <c r="I2793" s="81" t="s">
        <v>2226</v>
      </c>
      <c r="J2793" s="81" t="s">
        <v>224</v>
      </c>
      <c r="K2793" s="81" t="str">
        <f>IFERROR(__xludf.DUMMYFUNCTION("IF(OR(D2793="""",G2793=""""),"""",IFERROR(LET(
campo,XLOOKUP(TRIM(G2793),ARRAYFORMULA(TRIM('indice columnas'!$A$2:$A$100)),'indice columnas'!$B$2:$B$100,""""),
col,IFERROR(MATCH(campo,Referencia!$A$1:$AZ$1,0),0),
fila,IFERROR(MATCH(TO_TEXT(D2793),ARRAYFOR"&amp;"MULA(TO_TEXT(Referencia!$A$2:$A6238)),0),0),
IF(OR(campo="""",campo=""-""),""NO APLICA"",
IF(col=0,""REVISAR EQUIVALENCIA"",
IF(fila=0,""SKU NO ENCONTRADO"",
LET(
valor,INDEX(Referencia!$A$2:$AZ6238,fila,col),
IF(TRIM(TO_TEXT(valor))=TRIM(TO_TEXT(I2793)),"&amp;"
""OK"",
""NO COINCIDE. Valor verdadero: ""&amp;IF(valor="""",""[VACÍO]"",TO_TEXT(valor))
)
))))
),""ERROR EN FÓRMULA""))"),"REVISAR EQUIVALENCIA")</f>
        <v>REVISAR EQUIVALENCIA</v>
      </c>
    </row>
    <row r="2794">
      <c r="A2794" s="83" t="s">
        <v>4854</v>
      </c>
      <c r="B2794" s="83" t="s">
        <v>4855</v>
      </c>
      <c r="C2794" s="81" t="s">
        <v>4621</v>
      </c>
      <c r="D2794" s="83" t="s">
        <v>4477</v>
      </c>
      <c r="E2794" s="81" t="s">
        <v>2227</v>
      </c>
      <c r="F2794" s="84">
        <v>427.0</v>
      </c>
      <c r="G2794" s="81" t="s">
        <v>41</v>
      </c>
      <c r="H2794" s="81" t="s">
        <v>2220</v>
      </c>
      <c r="I2794" s="81" t="s">
        <v>2226</v>
      </c>
      <c r="J2794" s="81" t="s">
        <v>224</v>
      </c>
      <c r="K2794" s="81" t="str">
        <f>IFERROR(__xludf.DUMMYFUNCTION("IF(OR(D2794="""",G2794=""""),"""",IFERROR(LET(
campo,XLOOKUP(TRIM(G2794),ARRAYFORMULA(TRIM('indice columnas'!$A$2:$A$100)),'indice columnas'!$B$2:$B$100,""""),
col,IFERROR(MATCH(campo,Referencia!$A$1:$AZ$1,0),0),
fila,IFERROR(MATCH(TO_TEXT(D2794),ARRAYFOR"&amp;"MULA(TO_TEXT(Referencia!$A$2:$A6238)),0),0),
IF(OR(campo="""",campo=""-""),""NO APLICA"",
IF(col=0,""REVISAR EQUIVALENCIA"",
IF(fila=0,""SKU NO ENCONTRADO"",
LET(
valor,INDEX(Referencia!$A$2:$AZ6238,fila,col),
IF(TRIM(TO_TEXT(valor))=TRIM(TO_TEXT(I2794)),"&amp;"
""OK"",
""NO COINCIDE. Valor verdadero: ""&amp;IF(valor="""",""[VACÍO]"",TO_TEXT(valor))
)
))))
),""ERROR EN FÓRMULA""))"),"REVISAR EQUIVALENCIA")</f>
        <v>REVISAR EQUIVALENCIA</v>
      </c>
    </row>
    <row r="2795">
      <c r="A2795" s="83" t="s">
        <v>4854</v>
      </c>
      <c r="B2795" s="83" t="s">
        <v>4855</v>
      </c>
      <c r="C2795" s="81" t="s">
        <v>4621</v>
      </c>
      <c r="D2795" s="83" t="s">
        <v>4490</v>
      </c>
      <c r="E2795" s="81" t="s">
        <v>2295</v>
      </c>
      <c r="F2795" s="84">
        <v>440.0</v>
      </c>
      <c r="G2795" s="81" t="s">
        <v>41</v>
      </c>
      <c r="H2795" s="81" t="s">
        <v>2292</v>
      </c>
      <c r="I2795" s="81" t="s">
        <v>2296</v>
      </c>
      <c r="J2795" s="81" t="s">
        <v>224</v>
      </c>
      <c r="K2795" s="81" t="str">
        <f>IFERROR(__xludf.DUMMYFUNCTION("IF(OR(D2795="""",G2795=""""),"""",IFERROR(LET(
campo,XLOOKUP(TRIM(G2795),ARRAYFORMULA(TRIM('indice columnas'!$A$2:$A$100)),'indice columnas'!$B$2:$B$100,""""),
col,IFERROR(MATCH(campo,Referencia!$A$1:$AZ$1,0),0),
fila,IFERROR(MATCH(TO_TEXT(D2795),ARRAYFOR"&amp;"MULA(TO_TEXT(Referencia!$A$2:$A6238)),0),0),
IF(OR(campo="""",campo=""-""),""NO APLICA"",
IF(col=0,""REVISAR EQUIVALENCIA"",
IF(fila=0,""SKU NO ENCONTRADO"",
LET(
valor,INDEX(Referencia!$A$2:$AZ6238,fila,col),
IF(TRIM(TO_TEXT(valor))=TRIM(TO_TEXT(I2795)),"&amp;"
""OK"",
""NO COINCIDE. Valor verdadero: ""&amp;IF(valor="""",""[VACÍO]"",TO_TEXT(valor))
)
))))
),""ERROR EN FÓRMULA""))"),"REVISAR EQUIVALENCIA")</f>
        <v>REVISAR EQUIVALENCIA</v>
      </c>
    </row>
    <row r="2796">
      <c r="A2796" s="83" t="s">
        <v>4854</v>
      </c>
      <c r="B2796" s="83" t="s">
        <v>4855</v>
      </c>
      <c r="C2796" s="81" t="s">
        <v>4621</v>
      </c>
      <c r="D2796" s="83" t="s">
        <v>4493</v>
      </c>
      <c r="E2796" s="81" t="s">
        <v>2297</v>
      </c>
      <c r="F2796" s="84">
        <v>441.0</v>
      </c>
      <c r="G2796" s="81" t="s">
        <v>41</v>
      </c>
      <c r="H2796" s="81" t="s">
        <v>2292</v>
      </c>
      <c r="I2796" s="81" t="s">
        <v>2296</v>
      </c>
      <c r="J2796" s="81" t="s">
        <v>224</v>
      </c>
      <c r="K2796" s="81" t="str">
        <f>IFERROR(__xludf.DUMMYFUNCTION("IF(OR(D2796="""",G2796=""""),"""",IFERROR(LET(
campo,XLOOKUP(TRIM(G2796),ARRAYFORMULA(TRIM('indice columnas'!$A$2:$A$100)),'indice columnas'!$B$2:$B$100,""""),
col,IFERROR(MATCH(campo,Referencia!$A$1:$AZ$1,0),0),
fila,IFERROR(MATCH(TO_TEXT(D2796),ARRAYFOR"&amp;"MULA(TO_TEXT(Referencia!$A$2:$A6238)),0),0),
IF(OR(campo="""",campo=""-""),""NO APLICA"",
IF(col=0,""REVISAR EQUIVALENCIA"",
IF(fila=0,""SKU NO ENCONTRADO"",
LET(
valor,INDEX(Referencia!$A$2:$AZ6238,fila,col),
IF(TRIM(TO_TEXT(valor))=TRIM(TO_TEXT(I2796)),"&amp;"
""OK"",
""NO COINCIDE. Valor verdadero: ""&amp;IF(valor="""",""[VACÍO]"",TO_TEXT(valor))
)
))))
),""ERROR EN FÓRMULA""))"),"REVISAR EQUIVALENCIA")</f>
        <v>REVISAR EQUIVALENCIA</v>
      </c>
    </row>
    <row r="2797">
      <c r="A2797" s="83" t="s">
        <v>4854</v>
      </c>
      <c r="B2797" s="83" t="s">
        <v>4855</v>
      </c>
      <c r="C2797" s="81" t="s">
        <v>4621</v>
      </c>
      <c r="D2797" s="83" t="s">
        <v>4498</v>
      </c>
      <c r="E2797" s="81" t="s">
        <v>2324</v>
      </c>
      <c r="F2797" s="84">
        <v>449.0</v>
      </c>
      <c r="G2797" s="81" t="s">
        <v>41</v>
      </c>
      <c r="H2797" s="81" t="s">
        <v>931</v>
      </c>
      <c r="I2797" s="81" t="s">
        <v>924</v>
      </c>
      <c r="J2797" s="81" t="s">
        <v>224</v>
      </c>
      <c r="K2797" s="81" t="str">
        <f>IFERROR(__xludf.DUMMYFUNCTION("IF(OR(D2797="""",G2797=""""),"""",IFERROR(LET(
campo,XLOOKUP(TRIM(G2797),ARRAYFORMULA(TRIM('indice columnas'!$A$2:$A$100)),'indice columnas'!$B$2:$B$100,""""),
col,IFERROR(MATCH(campo,Referencia!$A$1:$AZ$1,0),0),
fila,IFERROR(MATCH(TO_TEXT(D2797),ARRAYFOR"&amp;"MULA(TO_TEXT(Referencia!$A$2:$A6238)),0),0),
IF(OR(campo="""",campo=""-""),""NO APLICA"",
IF(col=0,""REVISAR EQUIVALENCIA"",
IF(fila=0,""SKU NO ENCONTRADO"",
LET(
valor,INDEX(Referencia!$A$2:$AZ6238,fila,col),
IF(TRIM(TO_TEXT(valor))=TRIM(TO_TEXT(I2797)),"&amp;"
""OK"",
""NO COINCIDE. Valor verdadero: ""&amp;IF(valor="""",""[VACÍO]"",TO_TEXT(valor))
)
))))
),""ERROR EN FÓRMULA""))"),"REVISAR EQUIVALENCIA")</f>
        <v>REVISAR EQUIVALENCIA</v>
      </c>
    </row>
    <row r="2798">
      <c r="A2798" s="83" t="s">
        <v>4854</v>
      </c>
      <c r="B2798" s="83" t="s">
        <v>4855</v>
      </c>
      <c r="C2798" s="81" t="s">
        <v>4621</v>
      </c>
      <c r="D2798" s="83" t="s">
        <v>4500</v>
      </c>
      <c r="E2798" s="81" t="s">
        <v>2326</v>
      </c>
      <c r="F2798" s="84">
        <v>450.0</v>
      </c>
      <c r="G2798" s="81" t="s">
        <v>41</v>
      </c>
      <c r="H2798" s="81" t="s">
        <v>931</v>
      </c>
      <c r="I2798" s="81" t="s">
        <v>924</v>
      </c>
      <c r="J2798" s="81" t="s">
        <v>224</v>
      </c>
      <c r="K2798" s="81" t="str">
        <f>IFERROR(__xludf.DUMMYFUNCTION("IF(OR(D2798="""",G2798=""""),"""",IFERROR(LET(
campo,XLOOKUP(TRIM(G2798),ARRAYFORMULA(TRIM('indice columnas'!$A$2:$A$100)),'indice columnas'!$B$2:$B$100,""""),
col,IFERROR(MATCH(campo,Referencia!$A$1:$AZ$1,0),0),
fila,IFERROR(MATCH(TO_TEXT(D2798),ARRAYFOR"&amp;"MULA(TO_TEXT(Referencia!$A$2:$A6238)),0),0),
IF(OR(campo="""",campo=""-""),""NO APLICA"",
IF(col=0,""REVISAR EQUIVALENCIA"",
IF(fila=0,""SKU NO ENCONTRADO"",
LET(
valor,INDEX(Referencia!$A$2:$AZ6238,fila,col),
IF(TRIM(TO_TEXT(valor))=TRIM(TO_TEXT(I2798)),"&amp;"
""OK"",
""NO COINCIDE. Valor verdadero: ""&amp;IF(valor="""",""[VACÍO]"",TO_TEXT(valor))
)
))))
),""ERROR EN FÓRMULA""))"),"REVISAR EQUIVALENCIA")</f>
        <v>REVISAR EQUIVALENCIA</v>
      </c>
    </row>
    <row r="2799">
      <c r="A2799" s="83" t="s">
        <v>4854</v>
      </c>
      <c r="B2799" s="83" t="s">
        <v>4855</v>
      </c>
      <c r="C2799" s="81" t="s">
        <v>4621</v>
      </c>
      <c r="D2799" s="83" t="s">
        <v>4558</v>
      </c>
      <c r="E2799" s="81" t="s">
        <v>2619</v>
      </c>
      <c r="F2799" s="84">
        <v>504.0</v>
      </c>
      <c r="G2799" s="81" t="s">
        <v>41</v>
      </c>
      <c r="H2799" s="81" t="s">
        <v>4860</v>
      </c>
      <c r="I2799" s="81" t="s">
        <v>2629</v>
      </c>
      <c r="J2799" s="81" t="s">
        <v>224</v>
      </c>
      <c r="K2799" s="81" t="str">
        <f>IFERROR(__xludf.DUMMYFUNCTION("IF(OR(D2799="""",G2799=""""),"""",IFERROR(LET(
campo,XLOOKUP(TRIM(G2799),ARRAYFORMULA(TRIM('indice columnas'!$A$2:$A$100)),'indice columnas'!$B$2:$B$100,""""),
col,IFERROR(MATCH(campo,Referencia!$A$1:$AZ$1,0),0),
fila,IFERROR(MATCH(TO_TEXT(D2799),ARRAYFOR"&amp;"MULA(TO_TEXT(Referencia!$A$2:$A6238)),0),0),
IF(OR(campo="""",campo=""-""),""NO APLICA"",
IF(col=0,""REVISAR EQUIVALENCIA"",
IF(fila=0,""SKU NO ENCONTRADO"",
LET(
valor,INDEX(Referencia!$A$2:$AZ6238,fila,col),
IF(TRIM(TO_TEXT(valor))=TRIM(TO_TEXT(I2799)),"&amp;"
""OK"",
""NO COINCIDE. Valor verdadero: ""&amp;IF(valor="""",""[VACÍO]"",TO_TEXT(valor))
)
))))
),""ERROR EN FÓRMULA""))"),"REVISAR EQUIVALENCIA")</f>
        <v>REVISAR EQUIVALENCIA</v>
      </c>
    </row>
    <row r="2800">
      <c r="A2800" s="83" t="s">
        <v>4854</v>
      </c>
      <c r="B2800" s="83" t="s">
        <v>4855</v>
      </c>
      <c r="C2800" s="81" t="s">
        <v>4621</v>
      </c>
      <c r="D2800" s="83" t="s">
        <v>4558</v>
      </c>
      <c r="E2800" s="81" t="s">
        <v>2634</v>
      </c>
      <c r="F2800" s="84">
        <v>505.0</v>
      </c>
      <c r="G2800" s="81" t="s">
        <v>41</v>
      </c>
      <c r="H2800" s="81" t="s">
        <v>4860</v>
      </c>
      <c r="I2800" s="81" t="s">
        <v>2629</v>
      </c>
      <c r="J2800" s="81" t="s">
        <v>224</v>
      </c>
      <c r="K2800" s="81" t="str">
        <f>IFERROR(__xludf.DUMMYFUNCTION("IF(OR(D2800="""",G2800=""""),"""",IFERROR(LET(
campo,XLOOKUP(TRIM(G2800),ARRAYFORMULA(TRIM('indice columnas'!$A$2:$A$100)),'indice columnas'!$B$2:$B$100,""""),
col,IFERROR(MATCH(campo,Referencia!$A$1:$AZ$1,0),0),
fila,IFERROR(MATCH(TO_TEXT(D2800),ARRAYFOR"&amp;"MULA(TO_TEXT(Referencia!$A$2:$A6238)),0),0),
IF(OR(campo="""",campo=""-""),""NO APLICA"",
IF(col=0,""REVISAR EQUIVALENCIA"",
IF(fila=0,""SKU NO ENCONTRADO"",
LET(
valor,INDEX(Referencia!$A$2:$AZ6238,fila,col),
IF(TRIM(TO_TEXT(valor))=TRIM(TO_TEXT(I2800)),"&amp;"
""OK"",
""NO COINCIDE. Valor verdadero: ""&amp;IF(valor="""",""[VACÍO]"",TO_TEXT(valor))
)
))))
),""ERROR EN FÓRMULA""))"),"REVISAR EQUIVALENCIA")</f>
        <v>REVISAR EQUIVALENCIA</v>
      </c>
    </row>
    <row r="2801">
      <c r="A2801" s="83" t="s">
        <v>4854</v>
      </c>
      <c r="B2801" s="83" t="s">
        <v>4855</v>
      </c>
      <c r="C2801" s="81" t="s">
        <v>4621</v>
      </c>
      <c r="D2801" s="83" t="s">
        <v>4560</v>
      </c>
      <c r="E2801" s="81" t="s">
        <v>2635</v>
      </c>
      <c r="F2801" s="84">
        <v>506.0</v>
      </c>
      <c r="G2801" s="81" t="s">
        <v>41</v>
      </c>
      <c r="H2801" s="81" t="s">
        <v>4860</v>
      </c>
      <c r="I2801" s="81" t="s">
        <v>2629</v>
      </c>
      <c r="J2801" s="81" t="s">
        <v>224</v>
      </c>
      <c r="K2801" s="81" t="str">
        <f>IFERROR(__xludf.DUMMYFUNCTION("IF(OR(D2801="""",G2801=""""),"""",IFERROR(LET(
campo,XLOOKUP(TRIM(G2801),ARRAYFORMULA(TRIM('indice columnas'!$A$2:$A$100)),'indice columnas'!$B$2:$B$100,""""),
col,IFERROR(MATCH(campo,Referencia!$A$1:$AZ$1,0),0),
fila,IFERROR(MATCH(TO_TEXT(D2801),ARRAYFOR"&amp;"MULA(TO_TEXT(Referencia!$A$2:$A6238)),0),0),
IF(OR(campo="""",campo=""-""),""NO APLICA"",
IF(col=0,""REVISAR EQUIVALENCIA"",
IF(fila=0,""SKU NO ENCONTRADO"",
LET(
valor,INDEX(Referencia!$A$2:$AZ6238,fila,col),
IF(TRIM(TO_TEXT(valor))=TRIM(TO_TEXT(I2801)),"&amp;"
""OK"",
""NO COINCIDE. Valor verdadero: ""&amp;IF(valor="""",""[VACÍO]"",TO_TEXT(valor))
)
))))
),""ERROR EN FÓRMULA""))"),"REVISAR EQUIVALENCIA")</f>
        <v>REVISAR EQUIVALENCIA</v>
      </c>
    </row>
    <row r="2802">
      <c r="A2802" s="83" t="s">
        <v>4854</v>
      </c>
      <c r="B2802" s="83" t="s">
        <v>4855</v>
      </c>
      <c r="C2802" s="81" t="s">
        <v>4621</v>
      </c>
      <c r="D2802" s="83" t="s">
        <v>4561</v>
      </c>
      <c r="E2802" s="81" t="s">
        <v>2638</v>
      </c>
      <c r="F2802" s="84">
        <v>507.0</v>
      </c>
      <c r="G2802" s="81" t="s">
        <v>41</v>
      </c>
      <c r="H2802" s="81" t="s">
        <v>4860</v>
      </c>
      <c r="I2802" s="81" t="s">
        <v>2629</v>
      </c>
      <c r="J2802" s="81" t="s">
        <v>224</v>
      </c>
      <c r="K2802" s="81" t="str">
        <f>IFERROR(__xludf.DUMMYFUNCTION("IF(OR(D2802="""",G2802=""""),"""",IFERROR(LET(
campo,XLOOKUP(TRIM(G2802),ARRAYFORMULA(TRIM('indice columnas'!$A$2:$A$100)),'indice columnas'!$B$2:$B$100,""""),
col,IFERROR(MATCH(campo,Referencia!$A$1:$AZ$1,0),0),
fila,IFERROR(MATCH(TO_TEXT(D2802),ARRAYFOR"&amp;"MULA(TO_TEXT(Referencia!$A$2:$A6238)),0),0),
IF(OR(campo="""",campo=""-""),""NO APLICA"",
IF(col=0,""REVISAR EQUIVALENCIA"",
IF(fila=0,""SKU NO ENCONTRADO"",
LET(
valor,INDEX(Referencia!$A$2:$AZ6238,fila,col),
IF(TRIM(TO_TEXT(valor))=TRIM(TO_TEXT(I2802)),"&amp;"
""OK"",
""NO COINCIDE. Valor verdadero: ""&amp;IF(valor="""",""[VACÍO]"",TO_TEXT(valor))
)
))))
),""ERROR EN FÓRMULA""))"),"REVISAR EQUIVALENCIA")</f>
        <v>REVISAR EQUIVALENCIA</v>
      </c>
    </row>
    <row r="2803">
      <c r="A2803" s="83" t="s">
        <v>4854</v>
      </c>
      <c r="B2803" s="83" t="s">
        <v>4855</v>
      </c>
      <c r="C2803" s="81" t="s">
        <v>4621</v>
      </c>
      <c r="D2803" s="83" t="s">
        <v>4562</v>
      </c>
      <c r="E2803" s="81" t="s">
        <v>2648</v>
      </c>
      <c r="F2803" s="84">
        <v>508.0</v>
      </c>
      <c r="G2803" s="81" t="s">
        <v>41</v>
      </c>
      <c r="H2803" s="81" t="s">
        <v>4860</v>
      </c>
      <c r="I2803" s="81" t="s">
        <v>2629</v>
      </c>
      <c r="J2803" s="81" t="s">
        <v>224</v>
      </c>
      <c r="K2803" s="81" t="str">
        <f>IFERROR(__xludf.DUMMYFUNCTION("IF(OR(D2803="""",G2803=""""),"""",IFERROR(LET(
campo,XLOOKUP(TRIM(G2803),ARRAYFORMULA(TRIM('indice columnas'!$A$2:$A$100)),'indice columnas'!$B$2:$B$100,""""),
col,IFERROR(MATCH(campo,Referencia!$A$1:$AZ$1,0),0),
fila,IFERROR(MATCH(TO_TEXT(D2803),ARRAYFOR"&amp;"MULA(TO_TEXT(Referencia!$A$2:$A6238)),0),0),
IF(OR(campo="""",campo=""-""),""NO APLICA"",
IF(col=0,""REVISAR EQUIVALENCIA"",
IF(fila=0,""SKU NO ENCONTRADO"",
LET(
valor,INDEX(Referencia!$A$2:$AZ6238,fila,col),
IF(TRIM(TO_TEXT(valor))=TRIM(TO_TEXT(I2803)),"&amp;"
""OK"",
""NO COINCIDE. Valor verdadero: ""&amp;IF(valor="""",""[VACÍO]"",TO_TEXT(valor))
)
))))
),""ERROR EN FÓRMULA""))"),"REVISAR EQUIVALENCIA")</f>
        <v>REVISAR EQUIVALENCIA</v>
      </c>
    </row>
    <row r="2804">
      <c r="A2804" s="83" t="s">
        <v>4854</v>
      </c>
      <c r="B2804" s="83" t="s">
        <v>4855</v>
      </c>
      <c r="C2804" s="81" t="s">
        <v>4621</v>
      </c>
      <c r="D2804" s="83" t="s">
        <v>4567</v>
      </c>
      <c r="E2804" s="81" t="s">
        <v>2671</v>
      </c>
      <c r="F2804" s="84">
        <v>514.0</v>
      </c>
      <c r="G2804" s="81" t="s">
        <v>41</v>
      </c>
      <c r="H2804" s="81" t="s">
        <v>1047</v>
      </c>
      <c r="I2804" s="81" t="s">
        <v>1051</v>
      </c>
      <c r="J2804" s="81" t="s">
        <v>224</v>
      </c>
      <c r="K2804" s="81" t="str">
        <f>IFERROR(__xludf.DUMMYFUNCTION("IF(OR(D2804="""",G2804=""""),"""",IFERROR(LET(
campo,XLOOKUP(TRIM(G2804),ARRAYFORMULA(TRIM('indice columnas'!$A$2:$A$100)),'indice columnas'!$B$2:$B$100,""""),
col,IFERROR(MATCH(campo,Referencia!$A$1:$AZ$1,0),0),
fila,IFERROR(MATCH(TO_TEXT(D2804),ARRAYFOR"&amp;"MULA(TO_TEXT(Referencia!$A$2:$A6238)),0),0),
IF(OR(campo="""",campo=""-""),""NO APLICA"",
IF(col=0,""REVISAR EQUIVALENCIA"",
IF(fila=0,""SKU NO ENCONTRADO"",
LET(
valor,INDEX(Referencia!$A$2:$AZ6238,fila,col),
IF(TRIM(TO_TEXT(valor))=TRIM(TO_TEXT(I2804)),"&amp;"
""OK"",
""NO COINCIDE. Valor verdadero: ""&amp;IF(valor="""",""[VACÍO]"",TO_TEXT(valor))
)
))))
),""ERROR EN FÓRMULA""))"),"REVISAR EQUIVALENCIA")</f>
        <v>REVISAR EQUIVALENCIA</v>
      </c>
    </row>
    <row r="2805">
      <c r="A2805" s="83" t="s">
        <v>4854</v>
      </c>
      <c r="B2805" s="83" t="s">
        <v>4855</v>
      </c>
      <c r="C2805" s="81" t="s">
        <v>4621</v>
      </c>
      <c r="D2805" s="83" t="s">
        <v>4568</v>
      </c>
      <c r="E2805" s="81" t="s">
        <v>2672</v>
      </c>
      <c r="F2805" s="84">
        <v>515.0</v>
      </c>
      <c r="G2805" s="81" t="s">
        <v>41</v>
      </c>
      <c r="H2805" s="81" t="s">
        <v>1047</v>
      </c>
      <c r="I2805" s="81" t="s">
        <v>1051</v>
      </c>
      <c r="J2805" s="81" t="s">
        <v>224</v>
      </c>
      <c r="K2805" s="81" t="str">
        <f>IFERROR(__xludf.DUMMYFUNCTION("IF(OR(D2805="""",G2805=""""),"""",IFERROR(LET(
campo,XLOOKUP(TRIM(G2805),ARRAYFORMULA(TRIM('indice columnas'!$A$2:$A$100)),'indice columnas'!$B$2:$B$100,""""),
col,IFERROR(MATCH(campo,Referencia!$A$1:$AZ$1,0),0),
fila,IFERROR(MATCH(TO_TEXT(D2805),ARRAYFOR"&amp;"MULA(TO_TEXT(Referencia!$A$2:$A6238)),0),0),
IF(OR(campo="""",campo=""-""),""NO APLICA"",
IF(col=0,""REVISAR EQUIVALENCIA"",
IF(fila=0,""SKU NO ENCONTRADO"",
LET(
valor,INDEX(Referencia!$A$2:$AZ6238,fila,col),
IF(TRIM(TO_TEXT(valor))=TRIM(TO_TEXT(I2805)),"&amp;"
""OK"",
""NO COINCIDE. Valor verdadero: ""&amp;IF(valor="""",""[VACÍO]"",TO_TEXT(valor))
)
))))
),""ERROR EN FÓRMULA""))"),"REVISAR EQUIVALENCIA")</f>
        <v>REVISAR EQUIVALENCIA</v>
      </c>
    </row>
    <row r="2806">
      <c r="A2806" s="83" t="s">
        <v>4854</v>
      </c>
      <c r="B2806" s="83" t="s">
        <v>4855</v>
      </c>
      <c r="C2806" s="81" t="s">
        <v>4621</v>
      </c>
      <c r="D2806" s="83" t="s">
        <v>4608</v>
      </c>
      <c r="E2806" s="81" t="s">
        <v>2906</v>
      </c>
      <c r="F2806" s="84">
        <v>560.0</v>
      </c>
      <c r="G2806" s="81" t="s">
        <v>41</v>
      </c>
      <c r="H2806" s="81" t="s">
        <v>2901</v>
      </c>
      <c r="I2806" s="81" t="s">
        <v>2907</v>
      </c>
      <c r="J2806" s="81" t="s">
        <v>224</v>
      </c>
      <c r="K2806" s="81" t="str">
        <f>IFERROR(__xludf.DUMMYFUNCTION("IF(OR(D2806="""",G2806=""""),"""",IFERROR(LET(
campo,XLOOKUP(TRIM(G2806),ARRAYFORMULA(TRIM('indice columnas'!$A$2:$A$100)),'indice columnas'!$B$2:$B$100,""""),
col,IFERROR(MATCH(campo,Referencia!$A$1:$AZ$1,0),0),
fila,IFERROR(MATCH(TO_TEXT(D2806),ARRAYFOR"&amp;"MULA(TO_TEXT(Referencia!$A$2:$A6238)),0),0),
IF(OR(campo="""",campo=""-""),""NO APLICA"",
IF(col=0,""REVISAR EQUIVALENCIA"",
IF(fila=0,""SKU NO ENCONTRADO"",
LET(
valor,INDEX(Referencia!$A$2:$AZ6238,fila,col),
IF(TRIM(TO_TEXT(valor))=TRIM(TO_TEXT(I2806)),"&amp;"
""OK"",
""NO COINCIDE. Valor verdadero: ""&amp;IF(valor="""",""[VACÍO]"",TO_TEXT(valor))
)
))))
),""ERROR EN FÓRMULA""))"),"REVISAR EQUIVALENCIA")</f>
        <v>REVISAR EQUIVALENCIA</v>
      </c>
    </row>
    <row r="2807">
      <c r="A2807" s="83" t="s">
        <v>4854</v>
      </c>
      <c r="B2807" s="83" t="s">
        <v>4855</v>
      </c>
      <c r="C2807" s="81" t="s">
        <v>4621</v>
      </c>
      <c r="D2807" s="83" t="s">
        <v>4611</v>
      </c>
      <c r="E2807" s="81" t="s">
        <v>2908</v>
      </c>
      <c r="F2807" s="84">
        <v>561.0</v>
      </c>
      <c r="G2807" s="81" t="s">
        <v>41</v>
      </c>
      <c r="H2807" s="81" t="s">
        <v>2901</v>
      </c>
      <c r="I2807" s="81" t="s">
        <v>2907</v>
      </c>
      <c r="J2807" s="81" t="s">
        <v>224</v>
      </c>
      <c r="K2807" s="81" t="str">
        <f>IFERROR(__xludf.DUMMYFUNCTION("IF(OR(D2807="""",G2807=""""),"""",IFERROR(LET(
campo,XLOOKUP(TRIM(G2807),ARRAYFORMULA(TRIM('indice columnas'!$A$2:$A$100)),'indice columnas'!$B$2:$B$100,""""),
col,IFERROR(MATCH(campo,Referencia!$A$1:$AZ$1,0),0),
fila,IFERROR(MATCH(TO_TEXT(D2807),ARRAYFOR"&amp;"MULA(TO_TEXT(Referencia!$A$2:$A6238)),0),0),
IF(OR(campo="""",campo=""-""),""NO APLICA"",
IF(col=0,""REVISAR EQUIVALENCIA"",
IF(fila=0,""SKU NO ENCONTRADO"",
LET(
valor,INDEX(Referencia!$A$2:$AZ6238,fila,col),
IF(TRIM(TO_TEXT(valor))=TRIM(TO_TEXT(I2807)),"&amp;"
""OK"",
""NO COINCIDE. Valor verdadero: ""&amp;IF(valor="""",""[VACÍO]"",TO_TEXT(valor))
)
))))
),""ERROR EN FÓRMULA""))"),"REVISAR EQUIVALENCIA")</f>
        <v>REVISAR EQUIVALENCIA</v>
      </c>
    </row>
    <row r="2808">
      <c r="A2808" s="83" t="s">
        <v>4854</v>
      </c>
      <c r="B2808" s="83" t="s">
        <v>4855</v>
      </c>
      <c r="C2808" s="81" t="s">
        <v>4621</v>
      </c>
      <c r="D2808" s="83" t="s">
        <v>4614</v>
      </c>
      <c r="E2808" s="81" t="s">
        <v>2922</v>
      </c>
      <c r="F2808" s="84">
        <v>564.0</v>
      </c>
      <c r="G2808" s="81" t="s">
        <v>41</v>
      </c>
      <c r="H2808" s="81" t="s">
        <v>2901</v>
      </c>
      <c r="I2808" s="81" t="s">
        <v>2907</v>
      </c>
      <c r="J2808" s="81" t="s">
        <v>224</v>
      </c>
      <c r="K2808" s="81" t="str">
        <f>IFERROR(__xludf.DUMMYFUNCTION("IF(OR(D2808="""",G2808=""""),"""",IFERROR(LET(
campo,XLOOKUP(TRIM(G2808),ARRAYFORMULA(TRIM('indice columnas'!$A$2:$A$100)),'indice columnas'!$B$2:$B$100,""""),
col,IFERROR(MATCH(campo,Referencia!$A$1:$AZ$1,0),0),
fila,IFERROR(MATCH(TO_TEXT(D2808),ARRAYFOR"&amp;"MULA(TO_TEXT(Referencia!$A$2:$A6238)),0),0),
IF(OR(campo="""",campo=""-""),""NO APLICA"",
IF(col=0,""REVISAR EQUIVALENCIA"",
IF(fila=0,""SKU NO ENCONTRADO"",
LET(
valor,INDEX(Referencia!$A$2:$AZ6238,fila,col),
IF(TRIM(TO_TEXT(valor))=TRIM(TO_TEXT(I2808)),"&amp;"
""OK"",
""NO COINCIDE. Valor verdadero: ""&amp;IF(valor="""",""[VACÍO]"",TO_TEXT(valor))
)
))))
),""ERROR EN FÓRMULA""))"),"REVISAR EQUIVALENCIA")</f>
        <v>REVISAR EQUIVALENCIA</v>
      </c>
    </row>
    <row r="2809">
      <c r="A2809" s="83" t="s">
        <v>4854</v>
      </c>
      <c r="B2809" s="83" t="s">
        <v>4855</v>
      </c>
      <c r="C2809" s="81" t="s">
        <v>4621</v>
      </c>
      <c r="D2809" s="83" t="s">
        <v>4617</v>
      </c>
      <c r="E2809" s="81" t="s">
        <v>2933</v>
      </c>
      <c r="F2809" s="84">
        <v>566.0</v>
      </c>
      <c r="G2809" s="81" t="s">
        <v>41</v>
      </c>
      <c r="H2809" s="81" t="s">
        <v>2901</v>
      </c>
      <c r="I2809" s="81" t="s">
        <v>2907</v>
      </c>
      <c r="J2809" s="81" t="s">
        <v>224</v>
      </c>
      <c r="K2809" s="81" t="str">
        <f>IFERROR(__xludf.DUMMYFUNCTION("IF(OR(D2809="""",G2809=""""),"""",IFERROR(LET(
campo,XLOOKUP(TRIM(G2809),ARRAYFORMULA(TRIM('indice columnas'!$A$2:$A$100)),'indice columnas'!$B$2:$B$100,""""),
col,IFERROR(MATCH(campo,Referencia!$A$1:$AZ$1,0),0),
fila,IFERROR(MATCH(TO_TEXT(D2809),ARRAYFOR"&amp;"MULA(TO_TEXT(Referencia!$A$2:$A6238)),0),0),
IF(OR(campo="""",campo=""-""),""NO APLICA"",
IF(col=0,""REVISAR EQUIVALENCIA"",
IF(fila=0,""SKU NO ENCONTRADO"",
LET(
valor,INDEX(Referencia!$A$2:$AZ6238,fila,col),
IF(TRIM(TO_TEXT(valor))=TRIM(TO_TEXT(I2809)),"&amp;"
""OK"",
""NO COINCIDE. Valor verdadero: ""&amp;IF(valor="""",""[VACÍO]"",TO_TEXT(valor))
)
))))
),""ERROR EN FÓRMULA""))"),"REVISAR EQUIVALENCIA")</f>
        <v>REVISAR EQUIVALENCIA</v>
      </c>
    </row>
    <row r="2810">
      <c r="A2810" s="83" t="s">
        <v>4854</v>
      </c>
      <c r="B2810" s="83" t="s">
        <v>4855</v>
      </c>
      <c r="C2810" s="81" t="s">
        <v>4621</v>
      </c>
      <c r="D2810" s="83" t="s">
        <v>4748</v>
      </c>
      <c r="E2810" s="81" t="s">
        <v>3584</v>
      </c>
      <c r="F2810" s="84">
        <v>677.0</v>
      </c>
      <c r="G2810" s="81" t="s">
        <v>41</v>
      </c>
      <c r="H2810" s="81" t="s">
        <v>1543</v>
      </c>
      <c r="I2810" s="81" t="s">
        <v>1550</v>
      </c>
      <c r="J2810" s="81" t="s">
        <v>224</v>
      </c>
      <c r="K2810" s="81" t="str">
        <f>IFERROR(__xludf.DUMMYFUNCTION("IF(OR(D2810="""",G2810=""""),"""",IFERROR(LET(
campo,XLOOKUP(TRIM(G2810),ARRAYFORMULA(TRIM('indice columnas'!$A$2:$A$100)),'indice columnas'!$B$2:$B$100,""""),
col,IFERROR(MATCH(campo,Referencia!$A$1:$AZ$1,0),0),
fila,IFERROR(MATCH(TO_TEXT(D2810),ARRAYFOR"&amp;"MULA(TO_TEXT(Referencia!$A$2:$A6238)),0),0),
IF(OR(campo="""",campo=""-""),""NO APLICA"",
IF(col=0,""REVISAR EQUIVALENCIA"",
IF(fila=0,""SKU NO ENCONTRADO"",
LET(
valor,INDEX(Referencia!$A$2:$AZ6238,fila,col),
IF(TRIM(TO_TEXT(valor))=TRIM(TO_TEXT(I2810)),"&amp;"
""OK"",
""NO COINCIDE. Valor verdadero: ""&amp;IF(valor="""",""[VACÍO]"",TO_TEXT(valor))
)
))))
),""ERROR EN FÓRMULA""))"),"REVISAR EQUIVALENCIA")</f>
        <v>REVISAR EQUIVALENCIA</v>
      </c>
    </row>
    <row r="2811">
      <c r="A2811" s="83" t="s">
        <v>4854</v>
      </c>
      <c r="B2811" s="83" t="s">
        <v>4855</v>
      </c>
      <c r="C2811" s="81" t="s">
        <v>4621</v>
      </c>
      <c r="D2811" s="83" t="s">
        <v>4751</v>
      </c>
      <c r="E2811" s="81" t="s">
        <v>3600</v>
      </c>
      <c r="F2811" s="84">
        <v>681.0</v>
      </c>
      <c r="G2811" s="81" t="s">
        <v>41</v>
      </c>
      <c r="H2811" s="81" t="s">
        <v>931</v>
      </c>
      <c r="I2811" s="81" t="s">
        <v>924</v>
      </c>
      <c r="J2811" s="81" t="s">
        <v>224</v>
      </c>
      <c r="K2811" s="81" t="str">
        <f>IFERROR(__xludf.DUMMYFUNCTION("IF(OR(D2811="""",G2811=""""),"""",IFERROR(LET(
campo,XLOOKUP(TRIM(G2811),ARRAYFORMULA(TRIM('indice columnas'!$A$2:$A$100)),'indice columnas'!$B$2:$B$100,""""),
col,IFERROR(MATCH(campo,Referencia!$A$1:$AZ$1,0),0),
fila,IFERROR(MATCH(TO_TEXT(D2811),ARRAYFOR"&amp;"MULA(TO_TEXT(Referencia!$A$2:$A6238)),0),0),
IF(OR(campo="""",campo=""-""),""NO APLICA"",
IF(col=0,""REVISAR EQUIVALENCIA"",
IF(fila=0,""SKU NO ENCONTRADO"",
LET(
valor,INDEX(Referencia!$A$2:$AZ6238,fila,col),
IF(TRIM(TO_TEXT(valor))=TRIM(TO_TEXT(I2811)),"&amp;"
""OK"",
""NO COINCIDE. Valor verdadero: ""&amp;IF(valor="""",""[VACÍO]"",TO_TEXT(valor))
)
))))
),""ERROR EN FÓRMULA""))"),"REVISAR EQUIVALENCIA")</f>
        <v>REVISAR EQUIVALENCIA</v>
      </c>
    </row>
    <row r="2812">
      <c r="A2812" s="83" t="s">
        <v>4854</v>
      </c>
      <c r="B2812" s="83" t="s">
        <v>4855</v>
      </c>
      <c r="C2812" s="81" t="s">
        <v>4621</v>
      </c>
      <c r="D2812" s="83" t="s">
        <v>4752</v>
      </c>
      <c r="E2812" s="81" t="s">
        <v>3605</v>
      </c>
      <c r="F2812" s="84">
        <v>682.0</v>
      </c>
      <c r="G2812" s="81" t="s">
        <v>41</v>
      </c>
      <c r="H2812" s="81" t="s">
        <v>931</v>
      </c>
      <c r="I2812" s="81" t="s">
        <v>924</v>
      </c>
      <c r="J2812" s="81" t="s">
        <v>224</v>
      </c>
      <c r="K2812" s="81" t="str">
        <f>IFERROR(__xludf.DUMMYFUNCTION("IF(OR(D2812="""",G2812=""""),"""",IFERROR(LET(
campo,XLOOKUP(TRIM(G2812),ARRAYFORMULA(TRIM('indice columnas'!$A$2:$A$100)),'indice columnas'!$B$2:$B$100,""""),
col,IFERROR(MATCH(campo,Referencia!$A$1:$AZ$1,0),0),
fila,IFERROR(MATCH(TO_TEXT(D2812),ARRAYFOR"&amp;"MULA(TO_TEXT(Referencia!$A$2:$A6238)),0),0),
IF(OR(campo="""",campo=""-""),""NO APLICA"",
IF(col=0,""REVISAR EQUIVALENCIA"",
IF(fila=0,""SKU NO ENCONTRADO"",
LET(
valor,INDEX(Referencia!$A$2:$AZ6238,fila,col),
IF(TRIM(TO_TEXT(valor))=TRIM(TO_TEXT(I2812)),"&amp;"
""OK"",
""NO COINCIDE. Valor verdadero: ""&amp;IF(valor="""",""[VACÍO]"",TO_TEXT(valor))
)
))))
),""ERROR EN FÓRMULA""))"),"REVISAR EQUIVALENCIA")</f>
        <v>REVISAR EQUIVALENCIA</v>
      </c>
    </row>
    <row r="2813">
      <c r="A2813" s="83" t="s">
        <v>4854</v>
      </c>
      <c r="B2813" s="83" t="s">
        <v>4855</v>
      </c>
      <c r="C2813" s="81" t="s">
        <v>4621</v>
      </c>
      <c r="D2813" s="83" t="s">
        <v>4794</v>
      </c>
      <c r="E2813" s="81" t="s">
        <v>3829</v>
      </c>
      <c r="F2813" s="84">
        <v>731.0</v>
      </c>
      <c r="G2813" s="81" t="s">
        <v>41</v>
      </c>
      <c r="H2813" s="81" t="s">
        <v>55</v>
      </c>
      <c r="I2813" s="81" t="s">
        <v>3830</v>
      </c>
      <c r="J2813" s="81" t="s">
        <v>224</v>
      </c>
      <c r="K2813" s="81" t="str">
        <f>IFERROR(__xludf.DUMMYFUNCTION("IF(OR(D2813="""",G2813=""""),"""",IFERROR(LET(
campo,XLOOKUP(TRIM(G2813),ARRAYFORMULA(TRIM('indice columnas'!$A$2:$A$100)),'indice columnas'!$B$2:$B$100,""""),
col,IFERROR(MATCH(campo,Referencia!$A$1:$AZ$1,0),0),
fila,IFERROR(MATCH(TO_TEXT(D2813),ARRAYFOR"&amp;"MULA(TO_TEXT(Referencia!$A$2:$A6238)),0),0),
IF(OR(campo="""",campo=""-""),""NO APLICA"",
IF(col=0,""REVISAR EQUIVALENCIA"",
IF(fila=0,""SKU NO ENCONTRADO"",
LET(
valor,INDEX(Referencia!$A$2:$AZ6238,fila,col),
IF(TRIM(TO_TEXT(valor))=TRIM(TO_TEXT(I2813)),"&amp;"
""OK"",
""NO COINCIDE. Valor verdadero: ""&amp;IF(valor="""",""[VACÍO]"",TO_TEXT(valor))
)
))))
),""ERROR EN FÓRMULA""))"),"REVISAR EQUIVALENCIA")</f>
        <v>REVISAR EQUIVALENCIA</v>
      </c>
    </row>
    <row r="2814">
      <c r="A2814" s="83" t="s">
        <v>4854</v>
      </c>
      <c r="B2814" s="83" t="s">
        <v>4855</v>
      </c>
      <c r="C2814" s="81" t="s">
        <v>4621</v>
      </c>
      <c r="D2814" s="83" t="s">
        <v>4795</v>
      </c>
      <c r="E2814" s="81" t="s">
        <v>3831</v>
      </c>
      <c r="F2814" s="84">
        <v>732.0</v>
      </c>
      <c r="G2814" s="81" t="s">
        <v>41</v>
      </c>
      <c r="H2814" s="81" t="s">
        <v>55</v>
      </c>
      <c r="I2814" s="81" t="s">
        <v>3830</v>
      </c>
      <c r="J2814" s="81" t="s">
        <v>224</v>
      </c>
      <c r="K2814" s="81" t="str">
        <f>IFERROR(__xludf.DUMMYFUNCTION("IF(OR(D2814="""",G2814=""""),"""",IFERROR(LET(
campo,XLOOKUP(TRIM(G2814),ARRAYFORMULA(TRIM('indice columnas'!$A$2:$A$100)),'indice columnas'!$B$2:$B$100,""""),
col,IFERROR(MATCH(campo,Referencia!$A$1:$AZ$1,0),0),
fila,IFERROR(MATCH(TO_TEXT(D2814),ARRAYFOR"&amp;"MULA(TO_TEXT(Referencia!$A$2:$A6238)),0),0),
IF(OR(campo="""",campo=""-""),""NO APLICA"",
IF(col=0,""REVISAR EQUIVALENCIA"",
IF(fila=0,""SKU NO ENCONTRADO"",
LET(
valor,INDEX(Referencia!$A$2:$AZ6238,fila,col),
IF(TRIM(TO_TEXT(valor))=TRIM(TO_TEXT(I2814)),"&amp;"
""OK"",
""NO COINCIDE. Valor verdadero: ""&amp;IF(valor="""",""[VACÍO]"",TO_TEXT(valor))
)
))))
),""ERROR EN FÓRMULA""))"),"REVISAR EQUIVALENCIA")</f>
        <v>REVISAR EQUIVALENCIA</v>
      </c>
    </row>
    <row r="2815">
      <c r="A2815" s="83" t="s">
        <v>4854</v>
      </c>
      <c r="B2815" s="83" t="s">
        <v>4855</v>
      </c>
      <c r="C2815" s="81" t="s">
        <v>4621</v>
      </c>
      <c r="D2815" s="83" t="s">
        <v>4796</v>
      </c>
      <c r="E2815" s="81" t="s">
        <v>3838</v>
      </c>
      <c r="F2815" s="84">
        <v>734.0</v>
      </c>
      <c r="G2815" s="81" t="s">
        <v>41</v>
      </c>
      <c r="H2815" s="81" t="s">
        <v>55</v>
      </c>
      <c r="I2815" s="81" t="s">
        <v>3830</v>
      </c>
      <c r="J2815" s="81" t="s">
        <v>224</v>
      </c>
      <c r="K2815" s="81" t="str">
        <f>IFERROR(__xludf.DUMMYFUNCTION("IF(OR(D2815="""",G2815=""""),"""",IFERROR(LET(
campo,XLOOKUP(TRIM(G2815),ARRAYFORMULA(TRIM('indice columnas'!$A$2:$A$100)),'indice columnas'!$B$2:$B$100,""""),
col,IFERROR(MATCH(campo,Referencia!$A$1:$AZ$1,0),0),
fila,IFERROR(MATCH(TO_TEXT(D2815),ARRAYFOR"&amp;"MULA(TO_TEXT(Referencia!$A$2:$A6238)),0),0),
IF(OR(campo="""",campo=""-""),""NO APLICA"",
IF(col=0,""REVISAR EQUIVALENCIA"",
IF(fila=0,""SKU NO ENCONTRADO"",
LET(
valor,INDEX(Referencia!$A$2:$AZ6238,fila,col),
IF(TRIM(TO_TEXT(valor))=TRIM(TO_TEXT(I2815)),"&amp;"
""OK"",
""NO COINCIDE. Valor verdadero: ""&amp;IF(valor="""",""[VACÍO]"",TO_TEXT(valor))
)
))))
),""ERROR EN FÓRMULA""))"),"REVISAR EQUIVALENCIA")</f>
        <v>REVISAR EQUIVALENCIA</v>
      </c>
    </row>
    <row r="2816">
      <c r="A2816" s="83" t="s">
        <v>4854</v>
      </c>
      <c r="B2816" s="83" t="s">
        <v>4855</v>
      </c>
      <c r="C2816" s="81" t="s">
        <v>4621</v>
      </c>
      <c r="D2816" s="83" t="s">
        <v>4797</v>
      </c>
      <c r="E2816" s="81" t="s">
        <v>3839</v>
      </c>
      <c r="F2816" s="84">
        <v>735.0</v>
      </c>
      <c r="G2816" s="81" t="s">
        <v>41</v>
      </c>
      <c r="H2816" s="81" t="s">
        <v>55</v>
      </c>
      <c r="I2816" s="81" t="s">
        <v>3830</v>
      </c>
      <c r="J2816" s="81" t="s">
        <v>224</v>
      </c>
      <c r="K2816" s="81" t="str">
        <f>IFERROR(__xludf.DUMMYFUNCTION("IF(OR(D2816="""",G2816=""""),"""",IFERROR(LET(
campo,XLOOKUP(TRIM(G2816),ARRAYFORMULA(TRIM('indice columnas'!$A$2:$A$100)),'indice columnas'!$B$2:$B$100,""""),
col,IFERROR(MATCH(campo,Referencia!$A$1:$AZ$1,0),0),
fila,IFERROR(MATCH(TO_TEXT(D2816),ARRAYFOR"&amp;"MULA(TO_TEXT(Referencia!$A$2:$A6238)),0),0),
IF(OR(campo="""",campo=""-""),""NO APLICA"",
IF(col=0,""REVISAR EQUIVALENCIA"",
IF(fila=0,""SKU NO ENCONTRADO"",
LET(
valor,INDEX(Referencia!$A$2:$AZ6238,fila,col),
IF(TRIM(TO_TEXT(valor))=TRIM(TO_TEXT(I2816)),"&amp;"
""OK"",
""NO COINCIDE. Valor verdadero: ""&amp;IF(valor="""",""[VACÍO]"",TO_TEXT(valor))
)
))))
),""ERROR EN FÓRMULA""))"),"REVISAR EQUIVALENCIA")</f>
        <v>REVISAR EQUIVALENCIA</v>
      </c>
    </row>
    <row r="2817">
      <c r="A2817" s="83" t="s">
        <v>4854</v>
      </c>
      <c r="B2817" s="83" t="s">
        <v>4855</v>
      </c>
      <c r="C2817" s="81" t="s">
        <v>4621</v>
      </c>
      <c r="D2817" s="83" t="s">
        <v>4800</v>
      </c>
      <c r="E2817" s="81" t="s">
        <v>3851</v>
      </c>
      <c r="F2817" s="84">
        <v>739.0</v>
      </c>
      <c r="G2817" s="81" t="s">
        <v>41</v>
      </c>
      <c r="H2817" s="81" t="s">
        <v>1047</v>
      </c>
      <c r="I2817" s="81" t="s">
        <v>1051</v>
      </c>
      <c r="J2817" s="81" t="s">
        <v>224</v>
      </c>
      <c r="K2817" s="81" t="str">
        <f>IFERROR(__xludf.DUMMYFUNCTION("IF(OR(D2817="""",G2817=""""),"""",IFERROR(LET(
campo,XLOOKUP(TRIM(G2817),ARRAYFORMULA(TRIM('indice columnas'!$A$2:$A$100)),'indice columnas'!$B$2:$B$100,""""),
col,IFERROR(MATCH(campo,Referencia!$A$1:$AZ$1,0),0),
fila,IFERROR(MATCH(TO_TEXT(D2817),ARRAYFOR"&amp;"MULA(TO_TEXT(Referencia!$A$2:$A6238)),0),0),
IF(OR(campo="""",campo=""-""),""NO APLICA"",
IF(col=0,""REVISAR EQUIVALENCIA"",
IF(fila=0,""SKU NO ENCONTRADO"",
LET(
valor,INDEX(Referencia!$A$2:$AZ6238,fila,col),
IF(TRIM(TO_TEXT(valor))=TRIM(TO_TEXT(I2817)),"&amp;"
""OK"",
""NO COINCIDE. Valor verdadero: ""&amp;IF(valor="""",""[VACÍO]"",TO_TEXT(valor))
)
))))
),""ERROR EN FÓRMULA""))"),"REVISAR EQUIVALENCIA")</f>
        <v>REVISAR EQUIVALENCIA</v>
      </c>
    </row>
    <row r="2818">
      <c r="A2818" s="83" t="s">
        <v>4854</v>
      </c>
      <c r="B2818" s="83" t="s">
        <v>4855</v>
      </c>
      <c r="C2818" s="81" t="s">
        <v>4621</v>
      </c>
      <c r="D2818" s="83" t="s">
        <v>4802</v>
      </c>
      <c r="E2818" s="81" t="s">
        <v>3852</v>
      </c>
      <c r="F2818" s="84">
        <v>740.0</v>
      </c>
      <c r="G2818" s="81" t="s">
        <v>41</v>
      </c>
      <c r="H2818" s="81" t="s">
        <v>1047</v>
      </c>
      <c r="I2818" s="81" t="s">
        <v>1051</v>
      </c>
      <c r="J2818" s="81" t="s">
        <v>224</v>
      </c>
      <c r="K2818" s="81" t="str">
        <f>IFERROR(__xludf.DUMMYFUNCTION("IF(OR(D2818="""",G2818=""""),"""",IFERROR(LET(
campo,XLOOKUP(TRIM(G2818),ARRAYFORMULA(TRIM('indice columnas'!$A$2:$A$100)),'indice columnas'!$B$2:$B$100,""""),
col,IFERROR(MATCH(campo,Referencia!$A$1:$AZ$1,0),0),
fila,IFERROR(MATCH(TO_TEXT(D2818),ARRAYFOR"&amp;"MULA(TO_TEXT(Referencia!$A$2:$A6238)),0),0),
IF(OR(campo="""",campo=""-""),""NO APLICA"",
IF(col=0,""REVISAR EQUIVALENCIA"",
IF(fila=0,""SKU NO ENCONTRADO"",
LET(
valor,INDEX(Referencia!$A$2:$AZ6238,fila,col),
IF(TRIM(TO_TEXT(valor))=TRIM(TO_TEXT(I2818)),"&amp;"
""OK"",
""NO COINCIDE. Valor verdadero: ""&amp;IF(valor="""",""[VACÍO]"",TO_TEXT(valor))
)
))))
),""ERROR EN FÓRMULA""))"),"REVISAR EQUIVALENCIA")</f>
        <v>REVISAR EQUIVALENCIA</v>
      </c>
    </row>
    <row r="2819">
      <c r="A2819" s="83" t="s">
        <v>4854</v>
      </c>
      <c r="B2819" s="83" t="s">
        <v>4855</v>
      </c>
      <c r="C2819" s="81" t="s">
        <v>4621</v>
      </c>
      <c r="D2819" s="83" t="s">
        <v>4803</v>
      </c>
      <c r="E2819" s="81" t="s">
        <v>3854</v>
      </c>
      <c r="F2819" s="84">
        <v>741.0</v>
      </c>
      <c r="G2819" s="81" t="s">
        <v>41</v>
      </c>
      <c r="H2819" s="81" t="s">
        <v>55</v>
      </c>
      <c r="I2819" s="81" t="s">
        <v>3830</v>
      </c>
      <c r="J2819" s="81" t="s">
        <v>224</v>
      </c>
      <c r="K2819" s="81" t="str">
        <f>IFERROR(__xludf.DUMMYFUNCTION("IF(OR(D2819="""",G2819=""""),"""",IFERROR(LET(
campo,XLOOKUP(TRIM(G2819),ARRAYFORMULA(TRIM('indice columnas'!$A$2:$A$100)),'indice columnas'!$B$2:$B$100,""""),
col,IFERROR(MATCH(campo,Referencia!$A$1:$AZ$1,0),0),
fila,IFERROR(MATCH(TO_TEXT(D2819),ARRAYFOR"&amp;"MULA(TO_TEXT(Referencia!$A$2:$A6238)),0),0),
IF(OR(campo="""",campo=""-""),""NO APLICA"",
IF(col=0,""REVISAR EQUIVALENCIA"",
IF(fila=0,""SKU NO ENCONTRADO"",
LET(
valor,INDEX(Referencia!$A$2:$AZ6238,fila,col),
IF(TRIM(TO_TEXT(valor))=TRIM(TO_TEXT(I2819)),"&amp;"
""OK"",
""NO COINCIDE. Valor verdadero: ""&amp;IF(valor="""",""[VACÍO]"",TO_TEXT(valor))
)
))))
),""ERROR EN FÓRMULA""))"),"REVISAR EQUIVALENCIA")</f>
        <v>REVISAR EQUIVALENCIA</v>
      </c>
    </row>
    <row r="2820">
      <c r="A2820" s="83" t="s">
        <v>4854</v>
      </c>
      <c r="B2820" s="83" t="s">
        <v>4855</v>
      </c>
      <c r="C2820" s="81" t="s">
        <v>4621</v>
      </c>
      <c r="D2820" s="83" t="s">
        <v>4804</v>
      </c>
      <c r="E2820" s="81" t="s">
        <v>3858</v>
      </c>
      <c r="F2820" s="84">
        <v>743.0</v>
      </c>
      <c r="G2820" s="81" t="s">
        <v>41</v>
      </c>
      <c r="H2820" s="81" t="s">
        <v>1047</v>
      </c>
      <c r="I2820" s="81" t="s">
        <v>1051</v>
      </c>
      <c r="J2820" s="81" t="s">
        <v>224</v>
      </c>
      <c r="K2820" s="81" t="str">
        <f>IFERROR(__xludf.DUMMYFUNCTION("IF(OR(D2820="""",G2820=""""),"""",IFERROR(LET(
campo,XLOOKUP(TRIM(G2820),ARRAYFORMULA(TRIM('indice columnas'!$A$2:$A$100)),'indice columnas'!$B$2:$B$100,""""),
col,IFERROR(MATCH(campo,Referencia!$A$1:$AZ$1,0),0),
fila,IFERROR(MATCH(TO_TEXT(D2820),ARRAYFOR"&amp;"MULA(TO_TEXT(Referencia!$A$2:$A6238)),0),0),
IF(OR(campo="""",campo=""-""),""NO APLICA"",
IF(col=0,""REVISAR EQUIVALENCIA"",
IF(fila=0,""SKU NO ENCONTRADO"",
LET(
valor,INDEX(Referencia!$A$2:$AZ6238,fila,col),
IF(TRIM(TO_TEXT(valor))=TRIM(TO_TEXT(I2820)),"&amp;"
""OK"",
""NO COINCIDE. Valor verdadero: ""&amp;IF(valor="""",""[VACÍO]"",TO_TEXT(valor))
)
))))
),""ERROR EN FÓRMULA""))"),"REVISAR EQUIVALENCIA")</f>
        <v>REVISAR EQUIVALENCIA</v>
      </c>
    </row>
    <row r="2821">
      <c r="A2821" s="83" t="s">
        <v>4854</v>
      </c>
      <c r="B2821" s="83" t="s">
        <v>4855</v>
      </c>
      <c r="C2821" s="81" t="s">
        <v>4621</v>
      </c>
      <c r="D2821" s="83" t="s">
        <v>4805</v>
      </c>
      <c r="E2821" s="81" t="s">
        <v>3859</v>
      </c>
      <c r="F2821" s="84">
        <v>744.0</v>
      </c>
      <c r="G2821" s="81" t="s">
        <v>41</v>
      </c>
      <c r="H2821" s="81" t="s">
        <v>1047</v>
      </c>
      <c r="I2821" s="81" t="s">
        <v>1051</v>
      </c>
      <c r="J2821" s="81" t="s">
        <v>224</v>
      </c>
      <c r="K2821" s="81" t="str">
        <f>IFERROR(__xludf.DUMMYFUNCTION("IF(OR(D2821="""",G2821=""""),"""",IFERROR(LET(
campo,XLOOKUP(TRIM(G2821),ARRAYFORMULA(TRIM('indice columnas'!$A$2:$A$100)),'indice columnas'!$B$2:$B$100,""""),
col,IFERROR(MATCH(campo,Referencia!$A$1:$AZ$1,0),0),
fila,IFERROR(MATCH(TO_TEXT(D2821),ARRAYFOR"&amp;"MULA(TO_TEXT(Referencia!$A$2:$A6238)),0),0),
IF(OR(campo="""",campo=""-""),""NO APLICA"",
IF(col=0,""REVISAR EQUIVALENCIA"",
IF(fila=0,""SKU NO ENCONTRADO"",
LET(
valor,INDEX(Referencia!$A$2:$AZ6238,fila,col),
IF(TRIM(TO_TEXT(valor))=TRIM(TO_TEXT(I2821)),"&amp;"
""OK"",
""NO COINCIDE. Valor verdadero: ""&amp;IF(valor="""",""[VACÍO]"",TO_TEXT(valor))
)
))))
),""ERROR EN FÓRMULA""))"),"REVISAR EQUIVALENCIA")</f>
        <v>REVISAR EQUIVALENCIA</v>
      </c>
    </row>
    <row r="2822">
      <c r="A2822" s="83" t="s">
        <v>4854</v>
      </c>
      <c r="B2822" s="83" t="s">
        <v>4855</v>
      </c>
      <c r="C2822" s="81" t="s">
        <v>4621</v>
      </c>
      <c r="D2822" s="83" t="s">
        <v>4806</v>
      </c>
      <c r="E2822" s="81" t="s">
        <v>3861</v>
      </c>
      <c r="F2822" s="84">
        <v>746.0</v>
      </c>
      <c r="G2822" s="81" t="s">
        <v>41</v>
      </c>
      <c r="H2822" s="81" t="s">
        <v>1047</v>
      </c>
      <c r="I2822" s="81" t="s">
        <v>1051</v>
      </c>
      <c r="J2822" s="81" t="s">
        <v>224</v>
      </c>
      <c r="K2822" s="81" t="str">
        <f>IFERROR(__xludf.DUMMYFUNCTION("IF(OR(D2822="""",G2822=""""),"""",IFERROR(LET(
campo,XLOOKUP(TRIM(G2822),ARRAYFORMULA(TRIM('indice columnas'!$A$2:$A$100)),'indice columnas'!$B$2:$B$100,""""),
col,IFERROR(MATCH(campo,Referencia!$A$1:$AZ$1,0),0),
fila,IFERROR(MATCH(TO_TEXT(D2822),ARRAYFOR"&amp;"MULA(TO_TEXT(Referencia!$A$2:$A6238)),0),0),
IF(OR(campo="""",campo=""-""),""NO APLICA"",
IF(col=0,""REVISAR EQUIVALENCIA"",
IF(fila=0,""SKU NO ENCONTRADO"",
LET(
valor,INDEX(Referencia!$A$2:$AZ6238,fila,col),
IF(TRIM(TO_TEXT(valor))=TRIM(TO_TEXT(I2822)),"&amp;"
""OK"",
""NO COINCIDE. Valor verdadero: ""&amp;IF(valor="""",""[VACÍO]"",TO_TEXT(valor))
)
))))
),""ERROR EN FÓRMULA""))"),"REVISAR EQUIVALENCIA")</f>
        <v>REVISAR EQUIVALENCIA</v>
      </c>
    </row>
    <row r="2823">
      <c r="A2823" s="83" t="s">
        <v>4854</v>
      </c>
      <c r="B2823" s="83" t="s">
        <v>4855</v>
      </c>
      <c r="C2823" s="81" t="s">
        <v>4621</v>
      </c>
      <c r="D2823" s="83" t="s">
        <v>4807</v>
      </c>
      <c r="E2823" s="81" t="s">
        <v>3862</v>
      </c>
      <c r="F2823" s="84">
        <v>747.0</v>
      </c>
      <c r="G2823" s="81" t="s">
        <v>41</v>
      </c>
      <c r="H2823" s="81" t="s">
        <v>1047</v>
      </c>
      <c r="I2823" s="81" t="s">
        <v>1051</v>
      </c>
      <c r="J2823" s="81" t="s">
        <v>224</v>
      </c>
      <c r="K2823" s="81" t="str">
        <f>IFERROR(__xludf.DUMMYFUNCTION("IF(OR(D2823="""",G2823=""""),"""",IFERROR(LET(
campo,XLOOKUP(TRIM(G2823),ARRAYFORMULA(TRIM('indice columnas'!$A$2:$A$100)),'indice columnas'!$B$2:$B$100,""""),
col,IFERROR(MATCH(campo,Referencia!$A$1:$AZ$1,0),0),
fila,IFERROR(MATCH(TO_TEXT(D2823),ARRAYFOR"&amp;"MULA(TO_TEXT(Referencia!$A$2:$A6238)),0),0),
IF(OR(campo="""",campo=""-""),""NO APLICA"",
IF(col=0,""REVISAR EQUIVALENCIA"",
IF(fila=0,""SKU NO ENCONTRADO"",
LET(
valor,INDEX(Referencia!$A$2:$AZ6238,fila,col),
IF(TRIM(TO_TEXT(valor))=TRIM(TO_TEXT(I2823)),"&amp;"
""OK"",
""NO COINCIDE. Valor verdadero: ""&amp;IF(valor="""",""[VACÍO]"",TO_TEXT(valor))
)
))))
),""ERROR EN FÓRMULA""))"),"REVISAR EQUIVALENCIA")</f>
        <v>REVISAR EQUIVALENCIA</v>
      </c>
    </row>
    <row r="2824">
      <c r="A2824" s="83" t="s">
        <v>4854</v>
      </c>
      <c r="B2824" s="83" t="s">
        <v>4855</v>
      </c>
      <c r="C2824" s="81" t="s">
        <v>4621</v>
      </c>
      <c r="D2824" s="83" t="s">
        <v>4844</v>
      </c>
      <c r="E2824" s="81" t="s">
        <v>3998</v>
      </c>
      <c r="F2824" s="84">
        <v>791.0</v>
      </c>
      <c r="G2824" s="81" t="s">
        <v>41</v>
      </c>
      <c r="H2824" s="81" t="s">
        <v>1047</v>
      </c>
      <c r="I2824" s="81" t="s">
        <v>1051</v>
      </c>
      <c r="J2824" s="81" t="s">
        <v>224</v>
      </c>
      <c r="K2824" s="81" t="str">
        <f>IFERROR(__xludf.DUMMYFUNCTION("IF(OR(D2824="""",G2824=""""),"""",IFERROR(LET(
campo,XLOOKUP(TRIM(G2824),ARRAYFORMULA(TRIM('indice columnas'!$A$2:$A$100)),'indice columnas'!$B$2:$B$100,""""),
col,IFERROR(MATCH(campo,Referencia!$A$1:$AZ$1,0),0),
fila,IFERROR(MATCH(TO_TEXT(D2824),ARRAYFOR"&amp;"MULA(TO_TEXT(Referencia!$A$2:$A6238)),0),0),
IF(OR(campo="""",campo=""-""),""NO APLICA"",
IF(col=0,""REVISAR EQUIVALENCIA"",
IF(fila=0,""SKU NO ENCONTRADO"",
LET(
valor,INDEX(Referencia!$A$2:$AZ6238,fila,col),
IF(TRIM(TO_TEXT(valor))=TRIM(TO_TEXT(I2824)),"&amp;"
""OK"",
""NO COINCIDE. Valor verdadero: ""&amp;IF(valor="""",""[VACÍO]"",TO_TEXT(valor))
)
))))
),""ERROR EN FÓRMULA""))"),"REVISAR EQUIVALENCIA")</f>
        <v>REVISAR EQUIVALENCIA</v>
      </c>
    </row>
    <row r="2825">
      <c r="A2825" s="83" t="s">
        <v>4854</v>
      </c>
      <c r="B2825" s="83" t="s">
        <v>4855</v>
      </c>
      <c r="C2825" s="81" t="s">
        <v>4621</v>
      </c>
      <c r="D2825" s="83" t="s">
        <v>4845</v>
      </c>
      <c r="E2825" s="81" t="s">
        <v>4002</v>
      </c>
      <c r="F2825" s="84">
        <v>792.0</v>
      </c>
      <c r="G2825" s="81" t="s">
        <v>41</v>
      </c>
      <c r="H2825" s="81" t="s">
        <v>1047</v>
      </c>
      <c r="I2825" s="81" t="s">
        <v>1051</v>
      </c>
      <c r="J2825" s="81" t="s">
        <v>224</v>
      </c>
      <c r="K2825" s="81" t="str">
        <f>IFERROR(__xludf.DUMMYFUNCTION("IF(OR(D2825="""",G2825=""""),"""",IFERROR(LET(
campo,XLOOKUP(TRIM(G2825),ARRAYFORMULA(TRIM('indice columnas'!$A$2:$A$100)),'indice columnas'!$B$2:$B$100,""""),
col,IFERROR(MATCH(campo,Referencia!$A$1:$AZ$1,0),0),
fila,IFERROR(MATCH(TO_TEXT(D2825),ARRAYFOR"&amp;"MULA(TO_TEXT(Referencia!$A$2:$A6238)),0),0),
IF(OR(campo="""",campo=""-""),""NO APLICA"",
IF(col=0,""REVISAR EQUIVALENCIA"",
IF(fila=0,""SKU NO ENCONTRADO"",
LET(
valor,INDEX(Referencia!$A$2:$AZ6238,fila,col),
IF(TRIM(TO_TEXT(valor))=TRIM(TO_TEXT(I2825)),"&amp;"
""OK"",
""NO COINCIDE. Valor verdadero: ""&amp;IF(valor="""",""[VACÍO]"",TO_TEXT(valor))
)
))))
),""ERROR EN FÓRMULA""))"),"REVISAR EQUIVALENCIA")</f>
        <v>REVISAR EQUIVALENCIA</v>
      </c>
    </row>
    <row r="2826">
      <c r="A2826" s="83" t="s">
        <v>4854</v>
      </c>
      <c r="B2826" s="83" t="s">
        <v>4855</v>
      </c>
      <c r="C2826" s="81" t="s">
        <v>4621</v>
      </c>
      <c r="D2826" s="83" t="s">
        <v>4846</v>
      </c>
      <c r="E2826" s="81" t="s">
        <v>1133</v>
      </c>
      <c r="F2826" s="84">
        <v>793.0</v>
      </c>
      <c r="G2826" s="81" t="s">
        <v>41</v>
      </c>
      <c r="H2826" s="81" t="s">
        <v>1047</v>
      </c>
      <c r="I2826" s="81" t="s">
        <v>1051</v>
      </c>
      <c r="J2826" s="81" t="s">
        <v>224</v>
      </c>
      <c r="K2826" s="81" t="str">
        <f>IFERROR(__xludf.DUMMYFUNCTION("IF(OR(D2826="""",G2826=""""),"""",IFERROR(LET(
campo,XLOOKUP(TRIM(G2826),ARRAYFORMULA(TRIM('indice columnas'!$A$2:$A$100)),'indice columnas'!$B$2:$B$100,""""),
col,IFERROR(MATCH(campo,Referencia!$A$1:$AZ$1,0),0),
fila,IFERROR(MATCH(TO_TEXT(D2826),ARRAYFOR"&amp;"MULA(TO_TEXT(Referencia!$A$2:$A6238)),0),0),
IF(OR(campo="""",campo=""-""),""NO APLICA"",
IF(col=0,""REVISAR EQUIVALENCIA"",
IF(fila=0,""SKU NO ENCONTRADO"",
LET(
valor,INDEX(Referencia!$A$2:$AZ6238,fila,col),
IF(TRIM(TO_TEXT(valor))=TRIM(TO_TEXT(I2826)),"&amp;"
""OK"",
""NO COINCIDE. Valor verdadero: ""&amp;IF(valor="""",""[VACÍO]"",TO_TEXT(valor))
)
))))
),""ERROR EN FÓRMULA""))"),"REVISAR EQUIVALENCIA")</f>
        <v>REVISAR EQUIVALENCIA</v>
      </c>
    </row>
    <row r="2827">
      <c r="A2827" s="83" t="s">
        <v>4854</v>
      </c>
      <c r="B2827" s="83" t="s">
        <v>4855</v>
      </c>
      <c r="C2827" s="81" t="s">
        <v>4621</v>
      </c>
      <c r="D2827" s="83" t="s">
        <v>4847</v>
      </c>
      <c r="E2827" s="81" t="s">
        <v>4005</v>
      </c>
      <c r="F2827" s="84">
        <v>794.0</v>
      </c>
      <c r="G2827" s="81" t="s">
        <v>41</v>
      </c>
      <c r="H2827" s="81" t="s">
        <v>1047</v>
      </c>
      <c r="I2827" s="81" t="s">
        <v>1051</v>
      </c>
      <c r="J2827" s="81" t="s">
        <v>224</v>
      </c>
      <c r="K2827" s="81" t="str">
        <f>IFERROR(__xludf.DUMMYFUNCTION("IF(OR(D2827="""",G2827=""""),"""",IFERROR(LET(
campo,XLOOKUP(TRIM(G2827),ARRAYFORMULA(TRIM('indice columnas'!$A$2:$A$100)),'indice columnas'!$B$2:$B$100,""""),
col,IFERROR(MATCH(campo,Referencia!$A$1:$AZ$1,0),0),
fila,IFERROR(MATCH(TO_TEXT(D2827),ARRAYFOR"&amp;"MULA(TO_TEXT(Referencia!$A$2:$A6238)),0),0),
IF(OR(campo="""",campo=""-""),""NO APLICA"",
IF(col=0,""REVISAR EQUIVALENCIA"",
IF(fila=0,""SKU NO ENCONTRADO"",
LET(
valor,INDEX(Referencia!$A$2:$AZ6238,fila,col),
IF(TRIM(TO_TEXT(valor))=TRIM(TO_TEXT(I2827)),"&amp;"
""OK"",
""NO COINCIDE. Valor verdadero: ""&amp;IF(valor="""",""[VACÍO]"",TO_TEXT(valor))
)
))))
),""ERROR EN FÓRMULA""))"),"REVISAR EQUIVALENCIA")</f>
        <v>REVISAR EQUIVALENCIA</v>
      </c>
    </row>
    <row r="2828">
      <c r="A2828" s="83" t="s">
        <v>4854</v>
      </c>
      <c r="B2828" s="83" t="s">
        <v>4855</v>
      </c>
      <c r="C2828" s="81" t="s">
        <v>4621</v>
      </c>
      <c r="D2828" s="83" t="s">
        <v>4848</v>
      </c>
      <c r="E2828" s="81" t="s">
        <v>1142</v>
      </c>
      <c r="F2828" s="84">
        <v>795.0</v>
      </c>
      <c r="G2828" s="81" t="s">
        <v>41</v>
      </c>
      <c r="H2828" s="81" t="s">
        <v>1047</v>
      </c>
      <c r="I2828" s="81" t="s">
        <v>1051</v>
      </c>
      <c r="J2828" s="81" t="s">
        <v>224</v>
      </c>
      <c r="K2828" s="81" t="str">
        <f>IFERROR(__xludf.DUMMYFUNCTION("IF(OR(D2828="""",G2828=""""),"""",IFERROR(LET(
campo,XLOOKUP(TRIM(G2828),ARRAYFORMULA(TRIM('indice columnas'!$A$2:$A$100)),'indice columnas'!$B$2:$B$100,""""),
col,IFERROR(MATCH(campo,Referencia!$A$1:$AZ$1,0),0),
fila,IFERROR(MATCH(TO_TEXT(D2828),ARRAYFOR"&amp;"MULA(TO_TEXT(Referencia!$A$2:$A6238)),0),0),
IF(OR(campo="""",campo=""-""),""NO APLICA"",
IF(col=0,""REVISAR EQUIVALENCIA"",
IF(fila=0,""SKU NO ENCONTRADO"",
LET(
valor,INDEX(Referencia!$A$2:$AZ6238,fila,col),
IF(TRIM(TO_TEXT(valor))=TRIM(TO_TEXT(I2828)),"&amp;"
""OK"",
""NO COINCIDE. Valor verdadero: ""&amp;IF(valor="""",""[VACÍO]"",TO_TEXT(valor))
)
))))
),""ERROR EN FÓRMULA""))"),"REVISAR EQUIVALENCIA")</f>
        <v>REVISAR EQUIVALENCIA</v>
      </c>
    </row>
    <row r="2829">
      <c r="A2829" s="83" t="s">
        <v>4854</v>
      </c>
      <c r="B2829" s="83" t="s">
        <v>4855</v>
      </c>
      <c r="C2829" s="81" t="s">
        <v>4621</v>
      </c>
      <c r="D2829" s="83" t="s">
        <v>4850</v>
      </c>
      <c r="E2829" s="81" t="s">
        <v>1138</v>
      </c>
      <c r="F2829" s="84">
        <v>796.0</v>
      </c>
      <c r="G2829" s="81" t="s">
        <v>41</v>
      </c>
      <c r="H2829" s="81" t="s">
        <v>1047</v>
      </c>
      <c r="I2829" s="81" t="s">
        <v>1051</v>
      </c>
      <c r="J2829" s="81" t="s">
        <v>224</v>
      </c>
      <c r="K2829" s="81" t="str">
        <f>IFERROR(__xludf.DUMMYFUNCTION("IF(OR(D2829="""",G2829=""""),"""",IFERROR(LET(
campo,XLOOKUP(TRIM(G2829),ARRAYFORMULA(TRIM('indice columnas'!$A$2:$A$100)),'indice columnas'!$B$2:$B$100,""""),
col,IFERROR(MATCH(campo,Referencia!$A$1:$AZ$1,0),0),
fila,IFERROR(MATCH(TO_TEXT(D2829),ARRAYFOR"&amp;"MULA(TO_TEXT(Referencia!$A$2:$A6238)),0),0),
IF(OR(campo="""",campo=""-""),""NO APLICA"",
IF(col=0,""REVISAR EQUIVALENCIA"",
IF(fila=0,""SKU NO ENCONTRADO"",
LET(
valor,INDEX(Referencia!$A$2:$AZ6238,fila,col),
IF(TRIM(TO_TEXT(valor))=TRIM(TO_TEXT(I2829)),"&amp;"
""OK"",
""NO COINCIDE. Valor verdadero: ""&amp;IF(valor="""",""[VACÍO]"",TO_TEXT(valor))
)
))))
),""ERROR EN FÓRMULA""))"),"REVISAR EQUIVALENCIA")</f>
        <v>REVISAR EQUIVALENCIA</v>
      </c>
    </row>
    <row r="2830">
      <c r="A2830" s="83" t="s">
        <v>4854</v>
      </c>
      <c r="B2830" s="83" t="s">
        <v>4855</v>
      </c>
      <c r="C2830" s="81" t="s">
        <v>4621</v>
      </c>
      <c r="D2830" s="83" t="s">
        <v>4861</v>
      </c>
      <c r="E2830" s="81" t="s">
        <v>4007</v>
      </c>
      <c r="F2830" s="84">
        <v>797.0</v>
      </c>
      <c r="G2830" s="81" t="s">
        <v>10</v>
      </c>
      <c r="H2830" s="81" t="s">
        <v>224</v>
      </c>
      <c r="I2830" s="81" t="s">
        <v>54</v>
      </c>
      <c r="J2830" s="81" t="s">
        <v>224</v>
      </c>
      <c r="K2830" s="81" t="str">
        <f>IFERROR(__xludf.DUMMYFUNCTION("IF(OR(D2830="""",G2830=""""),"""",IFERROR(LET(
campo,XLOOKUP(TRIM(G2830),ARRAYFORMULA(TRIM('indice columnas'!$A$2:$A$100)),'indice columnas'!$B$2:$B$100,""""),
col,IFERROR(MATCH(campo,Referencia!$A$1:$AZ$1,0),0),
fila,IFERROR(MATCH(TO_TEXT(D2830),ARRAYFOR"&amp;"MULA(TO_TEXT(Referencia!$A$2:$A6238)),0),0),
IF(OR(campo="""",campo=""-""),""NO APLICA"",
IF(col=0,""REVISAR EQUIVALENCIA"",
IF(fila=0,""SKU NO ENCONTRADO"",
LET(
valor,INDEX(Referencia!$A$2:$AZ6238,fila,col),
IF(TRIM(TO_TEXT(valor))=TRIM(TO_TEXT(I2830)),"&amp;"
""OK"",
""NO COINCIDE. Valor verdadero: ""&amp;IF(valor="""",""[VACÍO]"",TO_TEXT(valor))
)
))))
),""ERROR EN FÓRMULA""))"),"OK")</f>
        <v>OK</v>
      </c>
    </row>
    <row r="2831">
      <c r="A2831" s="83" t="s">
        <v>4854</v>
      </c>
      <c r="B2831" s="83" t="s">
        <v>4855</v>
      </c>
      <c r="C2831" s="81" t="s">
        <v>4621</v>
      </c>
      <c r="D2831" s="83" t="s">
        <v>4861</v>
      </c>
      <c r="E2831" s="81" t="s">
        <v>4007</v>
      </c>
      <c r="F2831" s="84">
        <v>797.0</v>
      </c>
      <c r="G2831" s="81" t="s">
        <v>11</v>
      </c>
      <c r="H2831" s="81" t="s">
        <v>224</v>
      </c>
      <c r="I2831" s="81" t="s">
        <v>55</v>
      </c>
      <c r="J2831" s="81" t="s">
        <v>224</v>
      </c>
      <c r="K2831" s="81" t="str">
        <f>IFERROR(__xludf.DUMMYFUNCTION("IF(OR(D2831="""",G2831=""""),"""",IFERROR(LET(
campo,XLOOKUP(TRIM(G2831),ARRAYFORMULA(TRIM('indice columnas'!$A$2:$A$100)),'indice columnas'!$B$2:$B$100,""""),
col,IFERROR(MATCH(campo,Referencia!$A$1:$AZ$1,0),0),
fila,IFERROR(MATCH(TO_TEXT(D2831),ARRAYFOR"&amp;"MULA(TO_TEXT(Referencia!$A$2:$A6238)),0),0),
IF(OR(campo="""",campo=""-""),""NO APLICA"",
IF(col=0,""REVISAR EQUIVALENCIA"",
IF(fila=0,""SKU NO ENCONTRADO"",
LET(
valor,INDEX(Referencia!$A$2:$AZ6238,fila,col),
IF(TRIM(TO_TEXT(valor))=TRIM(TO_TEXT(I2831)),"&amp;"
""OK"",
""NO COINCIDE. Valor verdadero: ""&amp;IF(valor="""",""[VACÍO]"",TO_TEXT(valor))
)
))))
),""ERROR EN FÓRMULA""))"),"OK")</f>
        <v>OK</v>
      </c>
    </row>
    <row r="2832">
      <c r="A2832" s="83" t="s">
        <v>4854</v>
      </c>
      <c r="B2832" s="83" t="s">
        <v>4855</v>
      </c>
      <c r="C2832" s="81" t="s">
        <v>4621</v>
      </c>
      <c r="D2832" s="83" t="s">
        <v>4861</v>
      </c>
      <c r="E2832" s="81" t="s">
        <v>4007</v>
      </c>
      <c r="F2832" s="84">
        <v>797.0</v>
      </c>
      <c r="G2832" s="81" t="s">
        <v>12</v>
      </c>
      <c r="H2832" s="81" t="s">
        <v>224</v>
      </c>
      <c r="I2832" s="81" t="s">
        <v>55</v>
      </c>
      <c r="J2832" s="81" t="s">
        <v>224</v>
      </c>
      <c r="K2832" s="81" t="str">
        <f>IFERROR(__xludf.DUMMYFUNCTION("IF(OR(D2832="""",G2832=""""),"""",IFERROR(LET(
campo,XLOOKUP(TRIM(G2832),ARRAYFORMULA(TRIM('indice columnas'!$A$2:$A$100)),'indice columnas'!$B$2:$B$100,""""),
col,IFERROR(MATCH(campo,Referencia!$A$1:$AZ$1,0),0),
fila,IFERROR(MATCH(TO_TEXT(D2832),ARRAYFOR"&amp;"MULA(TO_TEXT(Referencia!$A$2:$A6238)),0),0),
IF(OR(campo="""",campo=""-""),""NO APLICA"",
IF(col=0,""REVISAR EQUIVALENCIA"",
IF(fila=0,""SKU NO ENCONTRADO"",
LET(
valor,INDEX(Referencia!$A$2:$AZ6238,fila,col),
IF(TRIM(TO_TEXT(valor))=TRIM(TO_TEXT(I2832)),"&amp;"
""OK"",
""NO COINCIDE. Valor verdadero: ""&amp;IF(valor="""",""[VACÍO]"",TO_TEXT(valor))
)
))))
),""ERROR EN FÓRMULA""))"),"OK")</f>
        <v>OK</v>
      </c>
    </row>
    <row r="2833">
      <c r="A2833" s="83" t="s">
        <v>4854</v>
      </c>
      <c r="B2833" s="83" t="s">
        <v>4855</v>
      </c>
      <c r="C2833" s="81" t="s">
        <v>4621</v>
      </c>
      <c r="D2833" s="83" t="s">
        <v>4861</v>
      </c>
      <c r="E2833" s="81" t="s">
        <v>4007</v>
      </c>
      <c r="F2833" s="84">
        <v>797.0</v>
      </c>
      <c r="G2833" s="81" t="s">
        <v>13</v>
      </c>
      <c r="H2833" s="81" t="s">
        <v>224</v>
      </c>
      <c r="I2833" s="81" t="s">
        <v>55</v>
      </c>
      <c r="J2833" s="81" t="s">
        <v>224</v>
      </c>
      <c r="K2833" s="81" t="str">
        <f>IFERROR(__xludf.DUMMYFUNCTION("IF(OR(D2833="""",G2833=""""),"""",IFERROR(LET(
campo,XLOOKUP(TRIM(G2833),ARRAYFORMULA(TRIM('indice columnas'!$A$2:$A$100)),'indice columnas'!$B$2:$B$100,""""),
col,IFERROR(MATCH(campo,Referencia!$A$1:$AZ$1,0),0),
fila,IFERROR(MATCH(TO_TEXT(D2833),ARRAYFOR"&amp;"MULA(TO_TEXT(Referencia!$A$2:$A6238)),0),0),
IF(OR(campo="""",campo=""-""),""NO APLICA"",
IF(col=0,""REVISAR EQUIVALENCIA"",
IF(fila=0,""SKU NO ENCONTRADO"",
LET(
valor,INDEX(Referencia!$A$2:$AZ6238,fila,col),
IF(TRIM(TO_TEXT(valor))=TRIM(TO_TEXT(I2833)),"&amp;"
""OK"",
""NO COINCIDE. Valor verdadero: ""&amp;IF(valor="""",""[VACÍO]"",TO_TEXT(valor))
)
))))
),""ERROR EN FÓRMULA""))"),"OK")</f>
        <v>OK</v>
      </c>
    </row>
    <row r="2834">
      <c r="A2834" s="83" t="s">
        <v>4854</v>
      </c>
      <c r="B2834" s="83" t="s">
        <v>4855</v>
      </c>
      <c r="C2834" s="81" t="s">
        <v>4621</v>
      </c>
      <c r="D2834" s="83" t="s">
        <v>4861</v>
      </c>
      <c r="E2834" s="81" t="s">
        <v>4007</v>
      </c>
      <c r="F2834" s="84">
        <v>797.0</v>
      </c>
      <c r="G2834" s="81" t="s">
        <v>14</v>
      </c>
      <c r="H2834" s="81" t="s">
        <v>224</v>
      </c>
      <c r="I2834" s="81" t="s">
        <v>228</v>
      </c>
      <c r="J2834" s="81" t="s">
        <v>224</v>
      </c>
      <c r="K2834" s="81" t="str">
        <f>IFERROR(__xludf.DUMMYFUNCTION("IF(OR(D2834="""",G2834=""""),"""",IFERROR(LET(
campo,XLOOKUP(TRIM(G2834),ARRAYFORMULA(TRIM('indice columnas'!$A$2:$A$100)),'indice columnas'!$B$2:$B$100,""""),
col,IFERROR(MATCH(campo,Referencia!$A$1:$AZ$1,0),0),
fila,IFERROR(MATCH(TO_TEXT(D2834),ARRAYFOR"&amp;"MULA(TO_TEXT(Referencia!$A$2:$A6238)),0),0),
IF(OR(campo="""",campo=""-""),""NO APLICA"",
IF(col=0,""REVISAR EQUIVALENCIA"",
IF(fila=0,""SKU NO ENCONTRADO"",
LET(
valor,INDEX(Referencia!$A$2:$AZ6238,fila,col),
IF(TRIM(TO_TEXT(valor))=TRIM(TO_TEXT(I2834)),"&amp;"
""OK"",
""NO COINCIDE. Valor verdadero: ""&amp;IF(valor="""",""[VACÍO]"",TO_TEXT(valor))
)
))))
),""ERROR EN FÓRMULA""))"),"NO COINCIDE. Valor verdadero: 220")</f>
        <v>NO COINCIDE. Valor verdadero: 220</v>
      </c>
    </row>
    <row r="2835">
      <c r="A2835" s="83" t="s">
        <v>4854</v>
      </c>
      <c r="B2835" s="83" t="s">
        <v>4855</v>
      </c>
      <c r="C2835" s="81" t="s">
        <v>4621</v>
      </c>
      <c r="D2835" s="83" t="s">
        <v>4861</v>
      </c>
      <c r="E2835" s="81" t="s">
        <v>4007</v>
      </c>
      <c r="F2835" s="84">
        <v>797.0</v>
      </c>
      <c r="G2835" s="81" t="s">
        <v>15</v>
      </c>
      <c r="H2835" s="81" t="s">
        <v>224</v>
      </c>
      <c r="I2835" s="81" t="s">
        <v>229</v>
      </c>
      <c r="J2835" s="81" t="s">
        <v>224</v>
      </c>
      <c r="K2835" s="81" t="str">
        <f>IFERROR(__xludf.DUMMYFUNCTION("IF(OR(D2835="""",G2835=""""),"""",IFERROR(LET(
campo,XLOOKUP(TRIM(G2835),ARRAYFORMULA(TRIM('indice columnas'!$A$2:$A$100)),'indice columnas'!$B$2:$B$100,""""),
col,IFERROR(MATCH(campo,Referencia!$A$1:$AZ$1,0),0),
fila,IFERROR(MATCH(TO_TEXT(D2835),ARRAYFOR"&amp;"MULA(TO_TEXT(Referencia!$A$2:$A6238)),0),0),
IF(OR(campo="""",campo=""-""),""NO APLICA"",
IF(col=0,""REVISAR EQUIVALENCIA"",
IF(fila=0,""SKU NO ENCONTRADO"",
LET(
valor,INDEX(Referencia!$A$2:$AZ6238,fila,col),
IF(TRIM(TO_TEXT(valor))=TRIM(TO_TEXT(I2835)),"&amp;"
""OK"",
""NO COINCIDE. Valor verdadero: ""&amp;IF(valor="""",""[VACÍO]"",TO_TEXT(valor))
)
))))
),""ERROR EN FÓRMULA""))"),"NO COINCIDE. Valor verdadero: 50")</f>
        <v>NO COINCIDE. Valor verdadero: 50</v>
      </c>
    </row>
    <row r="2836">
      <c r="A2836" s="83" t="s">
        <v>4854</v>
      </c>
      <c r="B2836" s="83" t="s">
        <v>4855</v>
      </c>
      <c r="C2836" s="81" t="s">
        <v>4621</v>
      </c>
      <c r="D2836" s="83" t="s">
        <v>4861</v>
      </c>
      <c r="E2836" s="81" t="s">
        <v>4007</v>
      </c>
      <c r="F2836" s="84">
        <v>797.0</v>
      </c>
      <c r="G2836" s="81" t="s">
        <v>16</v>
      </c>
      <c r="H2836" s="81" t="s">
        <v>224</v>
      </c>
      <c r="I2836" s="81" t="s">
        <v>240</v>
      </c>
      <c r="J2836" s="81" t="s">
        <v>224</v>
      </c>
      <c r="K2836" s="81" t="str">
        <f>IFERROR(__xludf.DUMMYFUNCTION("IF(OR(D2836="""",G2836=""""),"""",IFERROR(LET(
campo,XLOOKUP(TRIM(G2836),ARRAYFORMULA(TRIM('indice columnas'!$A$2:$A$100)),'indice columnas'!$B$2:$B$100,""""),
col,IFERROR(MATCH(campo,Referencia!$A$1:$AZ$1,0),0),
fila,IFERROR(MATCH(TO_TEXT(D2836),ARRAYFOR"&amp;"MULA(TO_TEXT(Referencia!$A$2:$A6238)),0),0),
IF(OR(campo="""",campo=""-""),""NO APLICA"",
IF(col=0,""REVISAR EQUIVALENCIA"",
IF(fila=0,""SKU NO ENCONTRADO"",
LET(
valor,INDEX(Referencia!$A$2:$AZ6238,fila,col),
IF(TRIM(TO_TEXT(valor))=TRIM(TO_TEXT(I2836)),"&amp;"
""OK"",
""NO COINCIDE. Valor verdadero: ""&amp;IF(valor="""",""[VACÍO]"",TO_TEXT(valor))
)
))))
),""ERROR EN FÓRMULA""))"),"OK")</f>
        <v>OK</v>
      </c>
    </row>
    <row r="2837">
      <c r="A2837" s="83" t="s">
        <v>4854</v>
      </c>
      <c r="B2837" s="83" t="s">
        <v>4855</v>
      </c>
      <c r="C2837" s="81" t="s">
        <v>4621</v>
      </c>
      <c r="D2837" s="83" t="s">
        <v>4861</v>
      </c>
      <c r="E2837" s="81" t="s">
        <v>4007</v>
      </c>
      <c r="F2837" s="84">
        <v>797.0</v>
      </c>
      <c r="G2837" s="81" t="s">
        <v>17</v>
      </c>
      <c r="H2837" s="81" t="s">
        <v>224</v>
      </c>
      <c r="I2837" s="81" t="s">
        <v>55</v>
      </c>
      <c r="J2837" s="81" t="s">
        <v>224</v>
      </c>
      <c r="K2837" s="81" t="str">
        <f>IFERROR(__xludf.DUMMYFUNCTION("IF(OR(D2837="""",G2837=""""),"""",IFERROR(LET(
campo,XLOOKUP(TRIM(G2837),ARRAYFORMULA(TRIM('indice columnas'!$A$2:$A$100)),'indice columnas'!$B$2:$B$100,""""),
col,IFERROR(MATCH(campo,Referencia!$A$1:$AZ$1,0),0),
fila,IFERROR(MATCH(TO_TEXT(D2837),ARRAYFOR"&amp;"MULA(TO_TEXT(Referencia!$A$2:$A6238)),0),0),
IF(OR(campo="""",campo=""-""),""NO APLICA"",
IF(col=0,""REVISAR EQUIVALENCIA"",
IF(fila=0,""SKU NO ENCONTRADO"",
LET(
valor,INDEX(Referencia!$A$2:$AZ6238,fila,col),
IF(TRIM(TO_TEXT(valor))=TRIM(TO_TEXT(I2837)),"&amp;"
""OK"",
""NO COINCIDE. Valor verdadero: ""&amp;IF(valor="""",""[VACÍO]"",TO_TEXT(valor))
)
))))
),""ERROR EN FÓRMULA""))"),"OK")</f>
        <v>OK</v>
      </c>
    </row>
    <row r="2838">
      <c r="A2838" s="83" t="s">
        <v>4854</v>
      </c>
      <c r="B2838" s="83" t="s">
        <v>4855</v>
      </c>
      <c r="C2838" s="81" t="s">
        <v>4621</v>
      </c>
      <c r="D2838" s="83" t="s">
        <v>4861</v>
      </c>
      <c r="E2838" s="81" t="s">
        <v>4007</v>
      </c>
      <c r="F2838" s="84">
        <v>797.0</v>
      </c>
      <c r="G2838" s="81" t="s">
        <v>18</v>
      </c>
      <c r="H2838" s="81" t="s">
        <v>224</v>
      </c>
      <c r="I2838" s="81" t="s">
        <v>55</v>
      </c>
      <c r="J2838" s="81" t="s">
        <v>224</v>
      </c>
      <c r="K2838" s="81" t="str">
        <f>IFERROR(__xludf.DUMMYFUNCTION("IF(OR(D2838="""",G2838=""""),"""",IFERROR(LET(
campo,XLOOKUP(TRIM(G2838),ARRAYFORMULA(TRIM('indice columnas'!$A$2:$A$100)),'indice columnas'!$B$2:$B$100,""""),
col,IFERROR(MATCH(campo,Referencia!$A$1:$AZ$1,0),0),
fila,IFERROR(MATCH(TO_TEXT(D2838),ARRAYFOR"&amp;"MULA(TO_TEXT(Referencia!$A$2:$A6238)),0),0),
IF(OR(campo="""",campo=""-""),""NO APLICA"",
IF(col=0,""REVISAR EQUIVALENCIA"",
IF(fila=0,""SKU NO ENCONTRADO"",
LET(
valor,INDEX(Referencia!$A$2:$AZ6238,fila,col),
IF(TRIM(TO_TEXT(valor))=TRIM(TO_TEXT(I2838)),"&amp;"
""OK"",
""NO COINCIDE. Valor verdadero: ""&amp;IF(valor="""",""[VACÍO]"",TO_TEXT(valor))
)
))))
),""ERROR EN FÓRMULA""))"),"OK")</f>
        <v>OK</v>
      </c>
    </row>
    <row r="2839">
      <c r="A2839" s="83" t="s">
        <v>4854</v>
      </c>
      <c r="B2839" s="83" t="s">
        <v>4855</v>
      </c>
      <c r="C2839" s="81" t="s">
        <v>4621</v>
      </c>
      <c r="D2839" s="83" t="s">
        <v>4861</v>
      </c>
      <c r="E2839" s="81" t="s">
        <v>4007</v>
      </c>
      <c r="F2839" s="84">
        <v>797.0</v>
      </c>
      <c r="G2839" s="81" t="s">
        <v>19</v>
      </c>
      <c r="H2839" s="81" t="s">
        <v>224</v>
      </c>
      <c r="I2839" s="81" t="s">
        <v>55</v>
      </c>
      <c r="J2839" s="81" t="s">
        <v>224</v>
      </c>
      <c r="K2839" s="81" t="str">
        <f>IFERROR(__xludf.DUMMYFUNCTION("IF(OR(D2839="""",G2839=""""),"""",IFERROR(LET(
campo,XLOOKUP(TRIM(G2839),ARRAYFORMULA(TRIM('indice columnas'!$A$2:$A$100)),'indice columnas'!$B$2:$B$100,""""),
col,IFERROR(MATCH(campo,Referencia!$A$1:$AZ$1,0),0),
fila,IFERROR(MATCH(TO_TEXT(D2839),ARRAYFOR"&amp;"MULA(TO_TEXT(Referencia!$A$2:$A6238)),0),0),
IF(OR(campo="""",campo=""-""),""NO APLICA"",
IF(col=0,""REVISAR EQUIVALENCIA"",
IF(fila=0,""SKU NO ENCONTRADO"",
LET(
valor,INDEX(Referencia!$A$2:$AZ6238,fila,col),
IF(TRIM(TO_TEXT(valor))=TRIM(TO_TEXT(I2839)),"&amp;"
""OK"",
""NO COINCIDE. Valor verdadero: ""&amp;IF(valor="""",""[VACÍO]"",TO_TEXT(valor))
)
))))
),""ERROR EN FÓRMULA""))"),"OK")</f>
        <v>OK</v>
      </c>
    </row>
    <row r="2840">
      <c r="A2840" s="83" t="s">
        <v>4854</v>
      </c>
      <c r="B2840" s="83" t="s">
        <v>4855</v>
      </c>
      <c r="C2840" s="81" t="s">
        <v>4621</v>
      </c>
      <c r="D2840" s="83" t="s">
        <v>4861</v>
      </c>
      <c r="E2840" s="81" t="s">
        <v>4007</v>
      </c>
      <c r="F2840" s="84">
        <v>797.0</v>
      </c>
      <c r="G2840" s="81" t="s">
        <v>20</v>
      </c>
      <c r="H2840" s="81" t="s">
        <v>224</v>
      </c>
      <c r="I2840" s="81" t="s">
        <v>55</v>
      </c>
      <c r="J2840" s="81" t="s">
        <v>224</v>
      </c>
      <c r="K2840" s="81" t="str">
        <f>IFERROR(__xludf.DUMMYFUNCTION("IF(OR(D2840="""",G2840=""""),"""",IFERROR(LET(
campo,XLOOKUP(TRIM(G2840),ARRAYFORMULA(TRIM('indice columnas'!$A$2:$A$100)),'indice columnas'!$B$2:$B$100,""""),
col,IFERROR(MATCH(campo,Referencia!$A$1:$AZ$1,0),0),
fila,IFERROR(MATCH(TO_TEXT(D2840),ARRAYFOR"&amp;"MULA(TO_TEXT(Referencia!$A$2:$A6238)),0),0),
IF(OR(campo="""",campo=""-""),""NO APLICA"",
IF(col=0,""REVISAR EQUIVALENCIA"",
IF(fila=0,""SKU NO ENCONTRADO"",
LET(
valor,INDEX(Referencia!$A$2:$AZ6238,fila,col),
IF(TRIM(TO_TEXT(valor))=TRIM(TO_TEXT(I2840)),"&amp;"
""OK"",
""NO COINCIDE. Valor verdadero: ""&amp;IF(valor="""",""[VACÍO]"",TO_TEXT(valor))
)
))))
),""ERROR EN FÓRMULA""))"),"OK")</f>
        <v>OK</v>
      </c>
    </row>
    <row r="2841">
      <c r="A2841" s="83" t="s">
        <v>4854</v>
      </c>
      <c r="B2841" s="83" t="s">
        <v>4855</v>
      </c>
      <c r="C2841" s="81" t="s">
        <v>4621</v>
      </c>
      <c r="D2841" s="83" t="s">
        <v>4861</v>
      </c>
      <c r="E2841" s="81" t="s">
        <v>4007</v>
      </c>
      <c r="F2841" s="84">
        <v>797.0</v>
      </c>
      <c r="G2841" s="81" t="s">
        <v>21</v>
      </c>
      <c r="H2841" s="81" t="s">
        <v>224</v>
      </c>
      <c r="I2841" s="81" t="s">
        <v>55</v>
      </c>
      <c r="J2841" s="81" t="s">
        <v>224</v>
      </c>
      <c r="K2841" s="81" t="str">
        <f>IFERROR(__xludf.DUMMYFUNCTION("IF(OR(D2841="""",G2841=""""),"""",IFERROR(LET(
campo,XLOOKUP(TRIM(G2841),ARRAYFORMULA(TRIM('indice columnas'!$A$2:$A$100)),'indice columnas'!$B$2:$B$100,""""),
col,IFERROR(MATCH(campo,Referencia!$A$1:$AZ$1,0),0),
fila,IFERROR(MATCH(TO_TEXT(D2841),ARRAYFOR"&amp;"MULA(TO_TEXT(Referencia!$A$2:$A6238)),0),0),
IF(OR(campo="""",campo=""-""),""NO APLICA"",
IF(col=0,""REVISAR EQUIVALENCIA"",
IF(fila=0,""SKU NO ENCONTRADO"",
LET(
valor,INDEX(Referencia!$A$2:$AZ6238,fila,col),
IF(TRIM(TO_TEXT(valor))=TRIM(TO_TEXT(I2841)),"&amp;"
""OK"",
""NO COINCIDE. Valor verdadero: ""&amp;IF(valor="""",""[VACÍO]"",TO_TEXT(valor))
)
))))
),""ERROR EN FÓRMULA""))"),"OK")</f>
        <v>OK</v>
      </c>
    </row>
    <row r="2842">
      <c r="A2842" s="83" t="s">
        <v>4854</v>
      </c>
      <c r="B2842" s="83" t="s">
        <v>4855</v>
      </c>
      <c r="C2842" s="81" t="s">
        <v>4621</v>
      </c>
      <c r="D2842" s="83" t="s">
        <v>4861</v>
      </c>
      <c r="E2842" s="81" t="s">
        <v>4007</v>
      </c>
      <c r="F2842" s="84">
        <v>797.0</v>
      </c>
      <c r="G2842" s="81" t="s">
        <v>22</v>
      </c>
      <c r="H2842" s="81" t="s">
        <v>224</v>
      </c>
      <c r="I2842" s="81" t="s">
        <v>55</v>
      </c>
      <c r="J2842" s="81" t="s">
        <v>224</v>
      </c>
      <c r="K2842" s="81" t="str">
        <f>IFERROR(__xludf.DUMMYFUNCTION("IF(OR(D2842="""",G2842=""""),"""",IFERROR(LET(
campo,XLOOKUP(TRIM(G2842),ARRAYFORMULA(TRIM('indice columnas'!$A$2:$A$100)),'indice columnas'!$B$2:$B$100,""""),
col,IFERROR(MATCH(campo,Referencia!$A$1:$AZ$1,0),0),
fila,IFERROR(MATCH(TO_TEXT(D2842),ARRAYFOR"&amp;"MULA(TO_TEXT(Referencia!$A$2:$A6238)),0),0),
IF(OR(campo="""",campo=""-""),""NO APLICA"",
IF(col=0,""REVISAR EQUIVALENCIA"",
IF(fila=0,""SKU NO ENCONTRADO"",
LET(
valor,INDEX(Referencia!$A$2:$AZ6238,fila,col),
IF(TRIM(TO_TEXT(valor))=TRIM(TO_TEXT(I2842)),"&amp;"
""OK"",
""NO COINCIDE. Valor verdadero: ""&amp;IF(valor="""",""[VACÍO]"",TO_TEXT(valor))
)
))))
),""ERROR EN FÓRMULA""))"),"OK")</f>
        <v>OK</v>
      </c>
    </row>
    <row r="2843">
      <c r="A2843" s="83" t="s">
        <v>4854</v>
      </c>
      <c r="B2843" s="83" t="s">
        <v>4855</v>
      </c>
      <c r="C2843" s="81" t="s">
        <v>4621</v>
      </c>
      <c r="D2843" s="83" t="s">
        <v>4861</v>
      </c>
      <c r="E2843" s="81" t="s">
        <v>4007</v>
      </c>
      <c r="F2843" s="84">
        <v>797.0</v>
      </c>
      <c r="G2843" s="81" t="s">
        <v>23</v>
      </c>
      <c r="H2843" s="81" t="s">
        <v>224</v>
      </c>
      <c r="I2843" s="81" t="s">
        <v>55</v>
      </c>
      <c r="J2843" s="81" t="s">
        <v>224</v>
      </c>
      <c r="K2843" s="81" t="str">
        <f>IFERROR(__xludf.DUMMYFUNCTION("IF(OR(D2843="""",G2843=""""),"""",IFERROR(LET(
campo,XLOOKUP(TRIM(G2843),ARRAYFORMULA(TRIM('indice columnas'!$A$2:$A$100)),'indice columnas'!$B$2:$B$100,""""),
col,IFERROR(MATCH(campo,Referencia!$A$1:$AZ$1,0),0),
fila,IFERROR(MATCH(TO_TEXT(D2843),ARRAYFOR"&amp;"MULA(TO_TEXT(Referencia!$A$2:$A6238)),0),0),
IF(OR(campo="""",campo=""-""),""NO APLICA"",
IF(col=0,""REVISAR EQUIVALENCIA"",
IF(fila=0,""SKU NO ENCONTRADO"",
LET(
valor,INDEX(Referencia!$A$2:$AZ6238,fila,col),
IF(TRIM(TO_TEXT(valor))=TRIM(TO_TEXT(I2843)),"&amp;"
""OK"",
""NO COINCIDE. Valor verdadero: ""&amp;IF(valor="""",""[VACÍO]"",TO_TEXT(valor))
)
))))
),""ERROR EN FÓRMULA""))"),"OK")</f>
        <v>OK</v>
      </c>
    </row>
    <row r="2844">
      <c r="A2844" s="83" t="s">
        <v>4854</v>
      </c>
      <c r="B2844" s="83" t="s">
        <v>4855</v>
      </c>
      <c r="C2844" s="81" t="s">
        <v>4621</v>
      </c>
      <c r="D2844" s="83" t="s">
        <v>4861</v>
      </c>
      <c r="E2844" s="81" t="s">
        <v>4007</v>
      </c>
      <c r="F2844" s="84">
        <v>797.0</v>
      </c>
      <c r="G2844" s="81" t="s">
        <v>24</v>
      </c>
      <c r="H2844" s="81" t="s">
        <v>224</v>
      </c>
      <c r="I2844" s="81" t="s">
        <v>55</v>
      </c>
      <c r="J2844" s="81" t="s">
        <v>224</v>
      </c>
      <c r="K2844" s="81" t="str">
        <f>IFERROR(__xludf.DUMMYFUNCTION("IF(OR(D2844="""",G2844=""""),"""",IFERROR(LET(
campo,XLOOKUP(TRIM(G2844),ARRAYFORMULA(TRIM('indice columnas'!$A$2:$A$100)),'indice columnas'!$B$2:$B$100,""""),
col,IFERROR(MATCH(campo,Referencia!$A$1:$AZ$1,0),0),
fila,IFERROR(MATCH(TO_TEXT(D2844),ARRAYFOR"&amp;"MULA(TO_TEXT(Referencia!$A$2:$A6238)),0),0),
IF(OR(campo="""",campo=""-""),""NO APLICA"",
IF(col=0,""REVISAR EQUIVALENCIA"",
IF(fila=0,""SKU NO ENCONTRADO"",
LET(
valor,INDEX(Referencia!$A$2:$AZ6238,fila,col),
IF(TRIM(TO_TEXT(valor))=TRIM(TO_TEXT(I2844)),"&amp;"
""OK"",
""NO COINCIDE. Valor verdadero: ""&amp;IF(valor="""",""[VACÍO]"",TO_TEXT(valor))
)
))))
),""ERROR EN FÓRMULA""))"),"OK")</f>
        <v>OK</v>
      </c>
    </row>
    <row r="2845">
      <c r="A2845" s="83" t="s">
        <v>4854</v>
      </c>
      <c r="B2845" s="83" t="s">
        <v>4855</v>
      </c>
      <c r="C2845" s="81" t="s">
        <v>4621</v>
      </c>
      <c r="D2845" s="83" t="s">
        <v>4861</v>
      </c>
      <c r="E2845" s="81" t="s">
        <v>4007</v>
      </c>
      <c r="F2845" s="84">
        <v>797.0</v>
      </c>
      <c r="G2845" s="81" t="s">
        <v>25</v>
      </c>
      <c r="H2845" s="81" t="s">
        <v>224</v>
      </c>
      <c r="I2845" s="81" t="s">
        <v>55</v>
      </c>
      <c r="J2845" s="81" t="s">
        <v>224</v>
      </c>
      <c r="K2845" s="81" t="str">
        <f>IFERROR(__xludf.DUMMYFUNCTION("IF(OR(D2845="""",G2845=""""),"""",IFERROR(LET(
campo,XLOOKUP(TRIM(G2845),ARRAYFORMULA(TRIM('indice columnas'!$A$2:$A$100)),'indice columnas'!$B$2:$B$100,""""),
col,IFERROR(MATCH(campo,Referencia!$A$1:$AZ$1,0),0),
fila,IFERROR(MATCH(TO_TEXT(D2845),ARRAYFOR"&amp;"MULA(TO_TEXT(Referencia!$A$2:$A6238)),0),0),
IF(OR(campo="""",campo=""-""),""NO APLICA"",
IF(col=0,""REVISAR EQUIVALENCIA"",
IF(fila=0,""SKU NO ENCONTRADO"",
LET(
valor,INDEX(Referencia!$A$2:$AZ6238,fila,col),
IF(TRIM(TO_TEXT(valor))=TRIM(TO_TEXT(I2845)),"&amp;"
""OK"",
""NO COINCIDE. Valor verdadero: ""&amp;IF(valor="""",""[VACÍO]"",TO_TEXT(valor))
)
))))
),""ERROR EN FÓRMULA""))"),"OK")</f>
        <v>OK</v>
      </c>
    </row>
    <row r="2846">
      <c r="A2846" s="83" t="s">
        <v>4854</v>
      </c>
      <c r="B2846" s="83" t="s">
        <v>4855</v>
      </c>
      <c r="C2846" s="81" t="s">
        <v>4621</v>
      </c>
      <c r="D2846" s="83" t="s">
        <v>4861</v>
      </c>
      <c r="E2846" s="81" t="s">
        <v>4007</v>
      </c>
      <c r="F2846" s="84">
        <v>797.0</v>
      </c>
      <c r="G2846" s="81" t="s">
        <v>26</v>
      </c>
      <c r="H2846" s="81" t="s">
        <v>224</v>
      </c>
      <c r="I2846" s="81" t="s">
        <v>231</v>
      </c>
      <c r="J2846" s="81" t="s">
        <v>224</v>
      </c>
      <c r="K2846" s="81" t="str">
        <f>IFERROR(__xludf.DUMMYFUNCTION("IF(OR(D2846="""",G2846=""""),"""",IFERROR(LET(
campo,XLOOKUP(TRIM(G2846),ARRAYFORMULA(TRIM('indice columnas'!$A$2:$A$100)),'indice columnas'!$B$2:$B$100,""""),
col,IFERROR(MATCH(campo,Referencia!$A$1:$AZ$1,0),0),
fila,IFERROR(MATCH(TO_TEXT(D2846),ARRAYFOR"&amp;"MULA(TO_TEXT(Referencia!$A$2:$A6238)),0),0),
IF(OR(campo="""",campo=""-""),""NO APLICA"",
IF(col=0,""REVISAR EQUIVALENCIA"",
IF(fila=0,""SKU NO ENCONTRADO"",
LET(
valor,INDEX(Referencia!$A$2:$AZ6238,fila,col),
IF(TRIM(TO_TEXT(valor))=TRIM(TO_TEXT(I2846)),"&amp;"
""OK"",
""NO COINCIDE. Valor verdadero: ""&amp;IF(valor="""",""[VACÍO]"",TO_TEXT(valor))
)
))))
),""ERROR EN FÓRMULA""))"),"OK")</f>
        <v>OK</v>
      </c>
    </row>
    <row r="2847">
      <c r="A2847" s="83" t="s">
        <v>4854</v>
      </c>
      <c r="B2847" s="83" t="s">
        <v>4855</v>
      </c>
      <c r="C2847" s="81" t="s">
        <v>4621</v>
      </c>
      <c r="D2847" s="83" t="s">
        <v>4861</v>
      </c>
      <c r="E2847" s="81" t="s">
        <v>4007</v>
      </c>
      <c r="F2847" s="84">
        <v>797.0</v>
      </c>
      <c r="G2847" s="81" t="s">
        <v>27</v>
      </c>
      <c r="H2847" s="81" t="s">
        <v>224</v>
      </c>
      <c r="I2847" s="81" t="s">
        <v>60</v>
      </c>
      <c r="J2847" s="81" t="s">
        <v>224</v>
      </c>
      <c r="K2847" s="81" t="str">
        <f>IFERROR(__xludf.DUMMYFUNCTION("IF(OR(D2847="""",G2847=""""),"""",IFERROR(LET(
campo,XLOOKUP(TRIM(G2847),ARRAYFORMULA(TRIM('indice columnas'!$A$2:$A$100)),'indice columnas'!$B$2:$B$100,""""),
col,IFERROR(MATCH(campo,Referencia!$A$1:$AZ$1,0),0),
fila,IFERROR(MATCH(TO_TEXT(D2847),ARRAYFOR"&amp;"MULA(TO_TEXT(Referencia!$A$2:$A6238)),0),0),
IF(OR(campo="""",campo=""-""),""NO APLICA"",
IF(col=0,""REVISAR EQUIVALENCIA"",
IF(fila=0,""SKU NO ENCONTRADO"",
LET(
valor,INDEX(Referencia!$A$2:$AZ6238,fila,col),
IF(TRIM(TO_TEXT(valor))=TRIM(TO_TEXT(I2847)),"&amp;"
""OK"",
""NO COINCIDE. Valor verdadero: ""&amp;IF(valor="""",""[VACÍO]"",TO_TEXT(valor))
)
))))
),""ERROR EN FÓRMULA""))"),"OK")</f>
        <v>OK</v>
      </c>
    </row>
    <row r="2848">
      <c r="A2848" s="83" t="s">
        <v>4854</v>
      </c>
      <c r="B2848" s="83" t="s">
        <v>4855</v>
      </c>
      <c r="C2848" s="81" t="s">
        <v>4621</v>
      </c>
      <c r="D2848" s="83" t="s">
        <v>4861</v>
      </c>
      <c r="E2848" s="81" t="s">
        <v>4007</v>
      </c>
      <c r="F2848" s="84">
        <v>797.0</v>
      </c>
      <c r="G2848" s="81" t="s">
        <v>28</v>
      </c>
      <c r="H2848" s="81" t="s">
        <v>224</v>
      </c>
      <c r="I2848" s="81" t="s">
        <v>348</v>
      </c>
      <c r="J2848" s="81" t="s">
        <v>224</v>
      </c>
      <c r="K2848" s="81" t="str">
        <f>IFERROR(__xludf.DUMMYFUNCTION("IF(OR(D2848="""",G2848=""""),"""",IFERROR(LET(
campo,XLOOKUP(TRIM(G2848),ARRAYFORMULA(TRIM('indice columnas'!$A$2:$A$100)),'indice columnas'!$B$2:$B$100,""""),
col,IFERROR(MATCH(campo,Referencia!$A$1:$AZ$1,0),0),
fila,IFERROR(MATCH(TO_TEXT(D2848),ARRAYFOR"&amp;"MULA(TO_TEXT(Referencia!$A$2:$A6238)),0),0),
IF(OR(campo="""",campo=""-""),""NO APLICA"",
IF(col=0,""REVISAR EQUIVALENCIA"",
IF(fila=0,""SKU NO ENCONTRADO"",
LET(
valor,INDEX(Referencia!$A$2:$AZ6238,fila,col),
IF(TRIM(TO_TEXT(valor))=TRIM(TO_TEXT(I2848)),"&amp;"
""OK"",
""NO COINCIDE. Valor verdadero: ""&amp;IF(valor="""",""[VACÍO]"",TO_TEXT(valor))
)
))))
),""ERROR EN FÓRMULA""))"),"OK")</f>
        <v>OK</v>
      </c>
    </row>
    <row r="2849">
      <c r="A2849" s="83" t="s">
        <v>4854</v>
      </c>
      <c r="B2849" s="83" t="s">
        <v>4855</v>
      </c>
      <c r="C2849" s="81" t="s">
        <v>4621</v>
      </c>
      <c r="D2849" s="83" t="s">
        <v>4861</v>
      </c>
      <c r="E2849" s="81" t="s">
        <v>4007</v>
      </c>
      <c r="F2849" s="84">
        <v>797.0</v>
      </c>
      <c r="G2849" s="81" t="s">
        <v>29</v>
      </c>
      <c r="H2849" s="81" t="s">
        <v>224</v>
      </c>
      <c r="I2849" s="81" t="s">
        <v>3531</v>
      </c>
      <c r="J2849" s="81" t="s">
        <v>224</v>
      </c>
      <c r="K2849" s="81" t="str">
        <f>IFERROR(__xludf.DUMMYFUNCTION("IF(OR(D2849="""",G2849=""""),"""",IFERROR(LET(
campo,XLOOKUP(TRIM(G2849),ARRAYFORMULA(TRIM('indice columnas'!$A$2:$A$100)),'indice columnas'!$B$2:$B$100,""""),
col,IFERROR(MATCH(campo,Referencia!$A$1:$AZ$1,0),0),
fila,IFERROR(MATCH(TO_TEXT(D2849),ARRAYFOR"&amp;"MULA(TO_TEXT(Referencia!$A$2:$A6238)),0),0),
IF(OR(campo="""",campo=""-""),""NO APLICA"",
IF(col=0,""REVISAR EQUIVALENCIA"",
IF(fila=0,""SKU NO ENCONTRADO"",
LET(
valor,INDEX(Referencia!$A$2:$AZ6238,fila,col),
IF(TRIM(TO_TEXT(valor))=TRIM(TO_TEXT(I2849)),"&amp;"
""OK"",
""NO COINCIDE. Valor verdadero: ""&amp;IF(valor="""",""[VACÍO]"",TO_TEXT(valor))
)
))))
),""ERROR EN FÓRMULA""))"),"NO COINCIDE. Valor verdadero: Ø98 x 30")</f>
        <v>NO COINCIDE. Valor verdadero: Ø98 x 30</v>
      </c>
    </row>
    <row r="2850">
      <c r="A2850" s="83" t="s">
        <v>4854</v>
      </c>
      <c r="B2850" s="83" t="s">
        <v>4855</v>
      </c>
      <c r="C2850" s="81" t="s">
        <v>4621</v>
      </c>
      <c r="D2850" s="83" t="s">
        <v>4861</v>
      </c>
      <c r="E2850" s="81" t="s">
        <v>4007</v>
      </c>
      <c r="F2850" s="84">
        <v>797.0</v>
      </c>
      <c r="G2850" s="81" t="s">
        <v>30</v>
      </c>
      <c r="H2850" s="81" t="s">
        <v>224</v>
      </c>
      <c r="I2850" s="81" t="s">
        <v>3532</v>
      </c>
      <c r="J2850" s="81" t="s">
        <v>224</v>
      </c>
      <c r="K2850" s="81" t="str">
        <f>IFERROR(__xludf.DUMMYFUNCTION("IF(OR(D2850="""",G2850=""""),"""",IFERROR(LET(
campo,XLOOKUP(TRIM(G2850),ARRAYFORMULA(TRIM('indice columnas'!$A$2:$A$100)),'indice columnas'!$B$2:$B$100,""""),
col,IFERROR(MATCH(campo,Referencia!$A$1:$AZ$1,0),0),
fila,IFERROR(MATCH(TO_TEXT(D2850),ARRAYFOR"&amp;"MULA(TO_TEXT(Referencia!$A$2:$A6238)),0),0),
IF(OR(campo="""",campo=""-""),""NO APLICA"",
IF(col=0,""REVISAR EQUIVALENCIA"",
IF(fila=0,""SKU NO ENCONTRADO"",
LET(
valor,INDEX(Referencia!$A$2:$AZ6238,fila,col),
IF(TRIM(TO_TEXT(valor))=TRIM(TO_TEXT(I2850)),"&amp;"
""OK"",
""NO COINCIDE. Valor verdadero: ""&amp;IF(valor="""",""[VACÍO]"",TO_TEXT(valor))
)
))))
),""ERROR EN FÓRMULA""))"),"NO COINCIDE. Valor verdadero: Ø89-93")</f>
        <v>NO COINCIDE. Valor verdadero: Ø89-93</v>
      </c>
    </row>
    <row r="2851">
      <c r="A2851" s="83" t="s">
        <v>4854</v>
      </c>
      <c r="B2851" s="83" t="s">
        <v>4855</v>
      </c>
      <c r="C2851" s="81" t="s">
        <v>4621</v>
      </c>
      <c r="D2851" s="83" t="s">
        <v>4861</v>
      </c>
      <c r="E2851" s="81" t="s">
        <v>4007</v>
      </c>
      <c r="F2851" s="84">
        <v>797.0</v>
      </c>
      <c r="G2851" s="81" t="s">
        <v>31</v>
      </c>
      <c r="H2851" s="81" t="s">
        <v>224</v>
      </c>
      <c r="I2851" s="81" t="s">
        <v>488</v>
      </c>
      <c r="J2851" s="81" t="s">
        <v>224</v>
      </c>
      <c r="K2851" s="81" t="str">
        <f>IFERROR(__xludf.DUMMYFUNCTION("IF(OR(D2851="""",G2851=""""),"""",IFERROR(LET(
campo,XLOOKUP(TRIM(G2851),ARRAYFORMULA(TRIM('indice columnas'!$A$2:$A$100)),'indice columnas'!$B$2:$B$100,""""),
col,IFERROR(MATCH(campo,Referencia!$A$1:$AZ$1,0),0),
fila,IFERROR(MATCH(TO_TEXT(D2851),ARRAYFOR"&amp;"MULA(TO_TEXT(Referencia!$A$2:$A6238)),0),0),
IF(OR(campo="""",campo=""-""),""NO APLICA"",
IF(col=0,""REVISAR EQUIVALENCIA"",
IF(fila=0,""SKU NO ENCONTRADO"",
LET(
valor,INDEX(Referencia!$A$2:$AZ6238,fila,col),
IF(TRIM(TO_TEXT(valor))=TRIM(TO_TEXT(I2851)),"&amp;"
""OK"",
""NO COINCIDE. Valor verdadero: ""&amp;IF(valor="""",""[VACÍO]"",TO_TEXT(valor))
)
))))
),""ERROR EN FÓRMULA""))"),"OK")</f>
        <v>OK</v>
      </c>
    </row>
    <row r="2852">
      <c r="A2852" s="83" t="s">
        <v>4854</v>
      </c>
      <c r="B2852" s="83" t="s">
        <v>4855</v>
      </c>
      <c r="C2852" s="81" t="s">
        <v>4621</v>
      </c>
      <c r="D2852" s="83" t="s">
        <v>4861</v>
      </c>
      <c r="E2852" s="81" t="s">
        <v>4007</v>
      </c>
      <c r="F2852" s="84">
        <v>797.0</v>
      </c>
      <c r="G2852" s="81" t="s">
        <v>32</v>
      </c>
      <c r="H2852" s="81" t="s">
        <v>224</v>
      </c>
      <c r="I2852" s="81" t="s">
        <v>2429</v>
      </c>
      <c r="J2852" s="81" t="s">
        <v>224</v>
      </c>
      <c r="K2852" s="81" t="str">
        <f>IFERROR(__xludf.DUMMYFUNCTION("IF(OR(D2852="""",G2852=""""),"""",IFERROR(LET(
campo,XLOOKUP(TRIM(G2852),ARRAYFORMULA(TRIM('indice columnas'!$A$2:$A$100)),'indice columnas'!$B$2:$B$100,""""),
col,IFERROR(MATCH(campo,Referencia!$A$1:$AZ$1,0),0),
fila,IFERROR(MATCH(TO_TEXT(D2852),ARRAYFOR"&amp;"MULA(TO_TEXT(Referencia!$A$2:$A6238)),0),0),
IF(OR(campo="""",campo=""-""),""NO APLICA"",
IF(col=0,""REVISAR EQUIVALENCIA"",
IF(fila=0,""SKU NO ENCONTRADO"",
LET(
valor,INDEX(Referencia!$A$2:$AZ6238,fila,col),
IF(TRIM(TO_TEXT(valor))=TRIM(TO_TEXT(I2852)),"&amp;"
""OK"",
""NO COINCIDE. Valor verdadero: ""&amp;IF(valor="""",""[VACÍO]"",TO_TEXT(valor))
)
))))
),""ERROR EN FÓRMULA""))"),"OK")</f>
        <v>OK</v>
      </c>
    </row>
    <row r="2853">
      <c r="A2853" s="83" t="s">
        <v>4854</v>
      </c>
      <c r="B2853" s="83" t="s">
        <v>4855</v>
      </c>
      <c r="C2853" s="81" t="s">
        <v>4621</v>
      </c>
      <c r="D2853" s="83" t="s">
        <v>4861</v>
      </c>
      <c r="E2853" s="81" t="s">
        <v>4007</v>
      </c>
      <c r="F2853" s="84">
        <v>797.0</v>
      </c>
      <c r="G2853" s="81" t="s">
        <v>33</v>
      </c>
      <c r="H2853" s="81" t="s">
        <v>224</v>
      </c>
      <c r="I2853" s="81" t="s">
        <v>55</v>
      </c>
      <c r="J2853" s="81" t="s">
        <v>224</v>
      </c>
      <c r="K2853" s="81" t="str">
        <f>IFERROR(__xludf.DUMMYFUNCTION("IF(OR(D2853="""",G2853=""""),"""",IFERROR(LET(
campo,XLOOKUP(TRIM(G2853),ARRAYFORMULA(TRIM('indice columnas'!$A$2:$A$100)),'indice columnas'!$B$2:$B$100,""""),
col,IFERROR(MATCH(campo,Referencia!$A$1:$AZ$1,0),0),
fila,IFERROR(MATCH(TO_TEXT(D2853),ARRAYFOR"&amp;"MULA(TO_TEXT(Referencia!$A$2:$A6238)),0),0),
IF(OR(campo="""",campo=""-""),""NO APLICA"",
IF(col=0,""REVISAR EQUIVALENCIA"",
IF(fila=0,""SKU NO ENCONTRADO"",
LET(
valor,INDEX(Referencia!$A$2:$AZ6238,fila,col),
IF(TRIM(TO_TEXT(valor))=TRIM(TO_TEXT(I2853)),"&amp;"
""OK"",
""NO COINCIDE. Valor verdadero: ""&amp;IF(valor="""",""[VACÍO]"",TO_TEXT(valor))
)
))))
),""ERROR EN FÓRMULA""))"),"OK")</f>
        <v>OK</v>
      </c>
    </row>
    <row r="2854">
      <c r="A2854" s="83" t="s">
        <v>4854</v>
      </c>
      <c r="B2854" s="83" t="s">
        <v>4855</v>
      </c>
      <c r="C2854" s="81" t="s">
        <v>4621</v>
      </c>
      <c r="D2854" s="83" t="s">
        <v>4861</v>
      </c>
      <c r="E2854" s="81" t="s">
        <v>4007</v>
      </c>
      <c r="F2854" s="84">
        <v>797.0</v>
      </c>
      <c r="G2854" s="81" t="s">
        <v>34</v>
      </c>
      <c r="H2854" s="81" t="s">
        <v>224</v>
      </c>
      <c r="I2854" s="81" t="s">
        <v>112</v>
      </c>
      <c r="J2854" s="81" t="s">
        <v>224</v>
      </c>
      <c r="K2854" s="81" t="str">
        <f>IFERROR(__xludf.DUMMYFUNCTION("IF(OR(D2854="""",G2854=""""),"""",IFERROR(LET(
campo,XLOOKUP(TRIM(G2854),ARRAYFORMULA(TRIM('indice columnas'!$A$2:$A$100)),'indice columnas'!$B$2:$B$100,""""),
col,IFERROR(MATCH(campo,Referencia!$A$1:$AZ$1,0),0),
fila,IFERROR(MATCH(TO_TEXT(D2854),ARRAYFOR"&amp;"MULA(TO_TEXT(Referencia!$A$2:$A6238)),0),0),
IF(OR(campo="""",campo=""-""),""NO APLICA"",
IF(col=0,""REVISAR EQUIVALENCIA"",
IF(fila=0,""SKU NO ENCONTRADO"",
LET(
valor,INDEX(Referencia!$A$2:$AZ6238,fila,col),
IF(TRIM(TO_TEXT(valor))=TRIM(TO_TEXT(I2854)),"&amp;"
""OK"",
""NO COINCIDE. Valor verdadero: ""&amp;IF(valor="""",""[VACÍO]"",TO_TEXT(valor))
)
))))
),""ERROR EN FÓRMULA""))"),"OK")</f>
        <v>OK</v>
      </c>
    </row>
    <row r="2855">
      <c r="A2855" s="83" t="s">
        <v>4854</v>
      </c>
      <c r="B2855" s="83" t="s">
        <v>4855</v>
      </c>
      <c r="C2855" s="81" t="s">
        <v>4621</v>
      </c>
      <c r="D2855" s="83" t="s">
        <v>4861</v>
      </c>
      <c r="E2855" s="81" t="s">
        <v>4007</v>
      </c>
      <c r="F2855" s="84">
        <v>797.0</v>
      </c>
      <c r="G2855" s="81" t="s">
        <v>35</v>
      </c>
      <c r="H2855" s="81" t="s">
        <v>224</v>
      </c>
      <c r="I2855" s="81" t="s">
        <v>49</v>
      </c>
      <c r="J2855" s="81" t="s">
        <v>224</v>
      </c>
      <c r="K2855" s="81" t="str">
        <f>IFERROR(__xludf.DUMMYFUNCTION("IF(OR(D2855="""",G2855=""""),"""",IFERROR(LET(
campo,XLOOKUP(TRIM(G2855),ARRAYFORMULA(TRIM('indice columnas'!$A$2:$A$100)),'indice columnas'!$B$2:$B$100,""""),
col,IFERROR(MATCH(campo,Referencia!$A$1:$AZ$1,0),0),
fila,IFERROR(MATCH(TO_TEXT(D2855),ARRAYFOR"&amp;"MULA(TO_TEXT(Referencia!$A$2:$A6238)),0),0),
IF(OR(campo="""",campo=""-""),""NO APLICA"",
IF(col=0,""REVISAR EQUIVALENCIA"",
IF(fila=0,""SKU NO ENCONTRADO"",
LET(
valor,INDEX(Referencia!$A$2:$AZ6238,fila,col),
IF(TRIM(TO_TEXT(valor))=TRIM(TO_TEXT(I2855)),"&amp;"
""OK"",
""NO COINCIDE. Valor verdadero: ""&amp;IF(valor="""",""[VACÍO]"",TO_TEXT(valor))
)
))))
),""ERROR EN FÓRMULA""))"),"OK")</f>
        <v>OK</v>
      </c>
    </row>
    <row r="2856">
      <c r="A2856" s="83" t="s">
        <v>4854</v>
      </c>
      <c r="B2856" s="83" t="s">
        <v>4855</v>
      </c>
      <c r="C2856" s="81" t="s">
        <v>4621</v>
      </c>
      <c r="D2856" s="83" t="s">
        <v>4861</v>
      </c>
      <c r="E2856" s="81" t="s">
        <v>4007</v>
      </c>
      <c r="F2856" s="84">
        <v>797.0</v>
      </c>
      <c r="G2856" s="81" t="s">
        <v>36</v>
      </c>
      <c r="H2856" s="81" t="s">
        <v>224</v>
      </c>
      <c r="I2856" s="81" t="s">
        <v>55</v>
      </c>
      <c r="J2856" s="81" t="s">
        <v>224</v>
      </c>
      <c r="K2856" s="81" t="str">
        <f>IFERROR(__xludf.DUMMYFUNCTION("IF(OR(D2856="""",G2856=""""),"""",IFERROR(LET(
campo,XLOOKUP(TRIM(G2856),ARRAYFORMULA(TRIM('indice columnas'!$A$2:$A$100)),'indice columnas'!$B$2:$B$100,""""),
col,IFERROR(MATCH(campo,Referencia!$A$1:$AZ$1,0),0),
fila,IFERROR(MATCH(TO_TEXT(D2856),ARRAYFOR"&amp;"MULA(TO_TEXT(Referencia!$A$2:$A6238)),0),0),
IF(OR(campo="""",campo=""-""),""NO APLICA"",
IF(col=0,""REVISAR EQUIVALENCIA"",
IF(fila=0,""SKU NO ENCONTRADO"",
LET(
valor,INDEX(Referencia!$A$2:$AZ6238,fila,col),
IF(TRIM(TO_TEXT(valor))=TRIM(TO_TEXT(I2856)),"&amp;"
""OK"",
""NO COINCIDE. Valor verdadero: ""&amp;IF(valor="""",""[VACÍO]"",TO_TEXT(valor))
)
))))
),""ERROR EN FÓRMULA""))"),"REVISAR EQUIVALENCIA")</f>
        <v>REVISAR EQUIVALENCIA</v>
      </c>
    </row>
    <row r="2857">
      <c r="A2857" s="83" t="s">
        <v>4854</v>
      </c>
      <c r="B2857" s="83" t="s">
        <v>4855</v>
      </c>
      <c r="C2857" s="81" t="s">
        <v>4621</v>
      </c>
      <c r="D2857" s="83" t="s">
        <v>4861</v>
      </c>
      <c r="E2857" s="81" t="s">
        <v>4007</v>
      </c>
      <c r="F2857" s="84">
        <v>797.0</v>
      </c>
      <c r="G2857" s="81" t="s">
        <v>37</v>
      </c>
      <c r="H2857" s="81" t="s">
        <v>224</v>
      </c>
      <c r="I2857" s="81" t="s">
        <v>720</v>
      </c>
      <c r="J2857" s="81" t="s">
        <v>224</v>
      </c>
      <c r="K2857" s="81" t="str">
        <f>IFERROR(__xludf.DUMMYFUNCTION("IF(OR(D2857="""",G2857=""""),"""",IFERROR(LET(
campo,XLOOKUP(TRIM(G2857),ARRAYFORMULA(TRIM('indice columnas'!$A$2:$A$100)),'indice columnas'!$B$2:$B$100,""""),
col,IFERROR(MATCH(campo,Referencia!$A$1:$AZ$1,0),0),
fila,IFERROR(MATCH(TO_TEXT(D2857),ARRAYFOR"&amp;"MULA(TO_TEXT(Referencia!$A$2:$A6238)),0),0),
IF(OR(campo="""",campo=""-""),""NO APLICA"",
IF(col=0,""REVISAR EQUIVALENCIA"",
IF(fila=0,""SKU NO ENCONTRADO"",
LET(
valor,INDEX(Referencia!$A$2:$AZ6238,fila,col),
IF(TRIM(TO_TEXT(valor))=TRIM(TO_TEXT(I2857)),"&amp;"
""OK"",
""NO COINCIDE. Valor verdadero: ""&amp;IF(valor="""",""[VACÍO]"",TO_TEXT(valor))
)
))))
),""ERROR EN FÓRMULA""))"),"OK")</f>
        <v>OK</v>
      </c>
    </row>
    <row r="2858">
      <c r="A2858" s="83" t="s">
        <v>4854</v>
      </c>
      <c r="B2858" s="83" t="s">
        <v>4855</v>
      </c>
      <c r="C2858" s="81" t="s">
        <v>4621</v>
      </c>
      <c r="D2858" s="83" t="s">
        <v>4861</v>
      </c>
      <c r="E2858" s="81" t="s">
        <v>4007</v>
      </c>
      <c r="F2858" s="84">
        <v>797.0</v>
      </c>
      <c r="G2858" s="81" t="s">
        <v>41</v>
      </c>
      <c r="H2858" s="81" t="s">
        <v>224</v>
      </c>
      <c r="I2858" s="81" t="s">
        <v>3529</v>
      </c>
      <c r="J2858" s="81" t="s">
        <v>224</v>
      </c>
      <c r="K2858" s="81" t="str">
        <f>IFERROR(__xludf.DUMMYFUNCTION("IF(OR(D2858="""",G2858=""""),"""",IFERROR(LET(
campo,XLOOKUP(TRIM(G2858),ARRAYFORMULA(TRIM('indice columnas'!$A$2:$A$100)),'indice columnas'!$B$2:$B$100,""""),
col,IFERROR(MATCH(campo,Referencia!$A$1:$AZ$1,0),0),
fila,IFERROR(MATCH(TO_TEXT(D2858),ARRAYFOR"&amp;"MULA(TO_TEXT(Referencia!$A$2:$A6238)),0),0),
IF(OR(campo="""",campo=""-""),""NO APLICA"",
IF(col=0,""REVISAR EQUIVALENCIA"",
IF(fila=0,""SKU NO ENCONTRADO"",
LET(
valor,INDEX(Referencia!$A$2:$AZ6238,fila,col),
IF(TRIM(TO_TEXT(valor))=TRIM(TO_TEXT(I2858)),"&amp;"
""OK"",
""NO COINCIDE. Valor verdadero: ""&amp;IF(valor="""",""[VACÍO]"",TO_TEXT(valor))
)
))))
),""ERROR EN FÓRMULA""))"),"REVISAR EQUIVALENCIA")</f>
        <v>REVISAR EQUIVALENCIA</v>
      </c>
    </row>
    <row r="2859">
      <c r="A2859" s="83" t="s">
        <v>4854</v>
      </c>
      <c r="B2859" s="83" t="s">
        <v>4855</v>
      </c>
      <c r="C2859" s="81" t="s">
        <v>4621</v>
      </c>
      <c r="D2859" s="83" t="s">
        <v>4862</v>
      </c>
      <c r="E2859" s="81" t="s">
        <v>4011</v>
      </c>
      <c r="F2859" s="84">
        <v>798.0</v>
      </c>
      <c r="G2859" s="81" t="s">
        <v>10</v>
      </c>
      <c r="H2859" s="81" t="s">
        <v>224</v>
      </c>
      <c r="I2859" s="81" t="s">
        <v>84</v>
      </c>
      <c r="J2859" s="81" t="s">
        <v>224</v>
      </c>
      <c r="K2859" s="81" t="str">
        <f>IFERROR(__xludf.DUMMYFUNCTION("IF(OR(D2859="""",G2859=""""),"""",IFERROR(LET(
campo,XLOOKUP(TRIM(G2859),ARRAYFORMULA(TRIM('indice columnas'!$A$2:$A$100)),'indice columnas'!$B$2:$B$100,""""),
col,IFERROR(MATCH(campo,Referencia!$A$1:$AZ$1,0),0),
fila,IFERROR(MATCH(TO_TEXT(D2859),ARRAYFOR"&amp;"MULA(TO_TEXT(Referencia!$A$2:$A6238)),0),0),
IF(OR(campo="""",campo=""-""),""NO APLICA"",
IF(col=0,""REVISAR EQUIVALENCIA"",
IF(fila=0,""SKU NO ENCONTRADO"",
LET(
valor,INDEX(Referencia!$A$2:$AZ6238,fila,col),
IF(TRIM(TO_TEXT(valor))=TRIM(TO_TEXT(I2859)),"&amp;"
""OK"",
""NO COINCIDE. Valor verdadero: ""&amp;IF(valor="""",""[VACÍO]"",TO_TEXT(valor))
)
))))
),""ERROR EN FÓRMULA""))"),"OK")</f>
        <v>OK</v>
      </c>
    </row>
    <row r="2860">
      <c r="A2860" s="83" t="s">
        <v>4854</v>
      </c>
      <c r="B2860" s="83" t="s">
        <v>4855</v>
      </c>
      <c r="C2860" s="81" t="s">
        <v>4621</v>
      </c>
      <c r="D2860" s="83" t="s">
        <v>4862</v>
      </c>
      <c r="E2860" s="81" t="s">
        <v>4011</v>
      </c>
      <c r="F2860" s="84">
        <v>798.0</v>
      </c>
      <c r="G2860" s="81" t="s">
        <v>11</v>
      </c>
      <c r="H2860" s="81" t="s">
        <v>224</v>
      </c>
      <c r="I2860" s="81" t="s">
        <v>126</v>
      </c>
      <c r="J2860" s="81" t="s">
        <v>224</v>
      </c>
      <c r="K2860" s="81" t="str">
        <f>IFERROR(__xludf.DUMMYFUNCTION("IF(OR(D2860="""",G2860=""""),"""",IFERROR(LET(
campo,XLOOKUP(TRIM(G2860),ARRAYFORMULA(TRIM('indice columnas'!$A$2:$A$100)),'indice columnas'!$B$2:$B$100,""""),
col,IFERROR(MATCH(campo,Referencia!$A$1:$AZ$1,0),0),
fila,IFERROR(MATCH(TO_TEXT(D2860),ARRAYFOR"&amp;"MULA(TO_TEXT(Referencia!$A$2:$A6238)),0),0),
IF(OR(campo="""",campo=""-""),""NO APLICA"",
IF(col=0,""REVISAR EQUIVALENCIA"",
IF(fila=0,""SKU NO ENCONTRADO"",
LET(
valor,INDEX(Referencia!$A$2:$AZ6238,fila,col),
IF(TRIM(TO_TEXT(valor))=TRIM(TO_TEXT(I2860)),"&amp;"
""OK"",
""NO COINCIDE. Valor verdadero: ""&amp;IF(valor="""",""[VACÍO]"",TO_TEXT(valor))
)
))))
),""ERROR EN FÓRMULA""))"),"OK")</f>
        <v>OK</v>
      </c>
    </row>
    <row r="2861">
      <c r="A2861" s="83" t="s">
        <v>4854</v>
      </c>
      <c r="B2861" s="83" t="s">
        <v>4855</v>
      </c>
      <c r="C2861" s="81" t="s">
        <v>4621</v>
      </c>
      <c r="D2861" s="83" t="s">
        <v>4862</v>
      </c>
      <c r="E2861" s="81" t="s">
        <v>4011</v>
      </c>
      <c r="F2861" s="84">
        <v>798.0</v>
      </c>
      <c r="G2861" s="81" t="s">
        <v>13</v>
      </c>
      <c r="H2861" s="81" t="s">
        <v>224</v>
      </c>
      <c r="I2861" s="81" t="s">
        <v>85</v>
      </c>
      <c r="J2861" s="81" t="s">
        <v>224</v>
      </c>
      <c r="K2861" s="81" t="str">
        <f>IFERROR(__xludf.DUMMYFUNCTION("IF(OR(D2861="""",G2861=""""),"""",IFERROR(LET(
campo,XLOOKUP(TRIM(G2861),ARRAYFORMULA(TRIM('indice columnas'!$A$2:$A$100)),'indice columnas'!$B$2:$B$100,""""),
col,IFERROR(MATCH(campo,Referencia!$A$1:$AZ$1,0),0),
fila,IFERROR(MATCH(TO_TEXT(D2861),ARRAYFOR"&amp;"MULA(TO_TEXT(Referencia!$A$2:$A6238)),0),0),
IF(OR(campo="""",campo=""-""),""NO APLICA"",
IF(col=0,""REVISAR EQUIVALENCIA"",
IF(fila=0,""SKU NO ENCONTRADO"",
LET(
valor,INDEX(Referencia!$A$2:$AZ6238,fila,col),
IF(TRIM(TO_TEXT(valor))=TRIM(TO_TEXT(I2861)),"&amp;"
""OK"",
""NO COINCIDE. Valor verdadero: ""&amp;IF(valor="""",""[VACÍO]"",TO_TEXT(valor))
)
))))
),""ERROR EN FÓRMULA""))"),"OK")</f>
        <v>OK</v>
      </c>
    </row>
    <row r="2862">
      <c r="A2862" s="83" t="s">
        <v>4854</v>
      </c>
      <c r="B2862" s="83" t="s">
        <v>4855</v>
      </c>
      <c r="C2862" s="81" t="s">
        <v>4621</v>
      </c>
      <c r="D2862" s="83" t="s">
        <v>4862</v>
      </c>
      <c r="E2862" s="81" t="s">
        <v>4011</v>
      </c>
      <c r="F2862" s="84">
        <v>798.0</v>
      </c>
      <c r="G2862" s="81" t="s">
        <v>14</v>
      </c>
      <c r="H2862" s="81" t="s">
        <v>224</v>
      </c>
      <c r="I2862" s="81" t="s">
        <v>56</v>
      </c>
      <c r="J2862" s="81" t="s">
        <v>224</v>
      </c>
      <c r="K2862" s="81" t="str">
        <f>IFERROR(__xludf.DUMMYFUNCTION("IF(OR(D2862="""",G2862=""""),"""",IFERROR(LET(
campo,XLOOKUP(TRIM(G2862),ARRAYFORMULA(TRIM('indice columnas'!$A$2:$A$100)),'indice columnas'!$B$2:$B$100,""""),
col,IFERROR(MATCH(campo,Referencia!$A$1:$AZ$1,0),0),
fila,IFERROR(MATCH(TO_TEXT(D2862),ARRAYFOR"&amp;"MULA(TO_TEXT(Referencia!$A$2:$A6238)),0),0),
IF(OR(campo="""",campo=""-""),""NO APLICA"",
IF(col=0,""REVISAR EQUIVALENCIA"",
IF(fila=0,""SKU NO ENCONTRADO"",
LET(
valor,INDEX(Referencia!$A$2:$AZ6238,fila,col),
IF(TRIM(TO_TEXT(valor))=TRIM(TO_TEXT(I2862)),"&amp;"
""OK"",
""NO COINCIDE. Valor verdadero: ""&amp;IF(valor="""",""[VACÍO]"",TO_TEXT(valor))
)
))))
),""ERROR EN FÓRMULA""))"),"NO COINCIDE. Valor verdadero: 220-240")</f>
        <v>NO COINCIDE. Valor verdadero: 220-240</v>
      </c>
    </row>
    <row r="2863">
      <c r="A2863" s="83" t="s">
        <v>4854</v>
      </c>
      <c r="B2863" s="83" t="s">
        <v>4855</v>
      </c>
      <c r="C2863" s="81" t="s">
        <v>4621</v>
      </c>
      <c r="D2863" s="83" t="s">
        <v>4862</v>
      </c>
      <c r="E2863" s="81" t="s">
        <v>4011</v>
      </c>
      <c r="F2863" s="84">
        <v>798.0</v>
      </c>
      <c r="G2863" s="81" t="s">
        <v>15</v>
      </c>
      <c r="H2863" s="81" t="s">
        <v>224</v>
      </c>
      <c r="I2863" s="81" t="s">
        <v>57</v>
      </c>
      <c r="J2863" s="81" t="s">
        <v>224</v>
      </c>
      <c r="K2863" s="81" t="str">
        <f>IFERROR(__xludf.DUMMYFUNCTION("IF(OR(D2863="""",G2863=""""),"""",IFERROR(LET(
campo,XLOOKUP(TRIM(G2863),ARRAYFORMULA(TRIM('indice columnas'!$A$2:$A$100)),'indice columnas'!$B$2:$B$100,""""),
col,IFERROR(MATCH(campo,Referencia!$A$1:$AZ$1,0),0),
fila,IFERROR(MATCH(TO_TEXT(D2863),ARRAYFOR"&amp;"MULA(TO_TEXT(Referencia!$A$2:$A6238)),0),0),
IF(OR(campo="""",campo=""-""),""NO APLICA"",
IF(col=0,""REVISAR EQUIVALENCIA"",
IF(fila=0,""SKU NO ENCONTRADO"",
LET(
valor,INDEX(Referencia!$A$2:$AZ6238,fila,col),
IF(TRIM(TO_TEXT(valor))=TRIM(TO_TEXT(I2863)),"&amp;"
""OK"",
""NO COINCIDE. Valor verdadero: ""&amp;IF(valor="""",""[VACÍO]"",TO_TEXT(valor))
)
))))
),""ERROR EN FÓRMULA""))"),"NO COINCIDE. Valor verdadero: 50/60")</f>
        <v>NO COINCIDE. Valor verdadero: 50/60</v>
      </c>
    </row>
    <row r="2864">
      <c r="A2864" s="83" t="s">
        <v>4854</v>
      </c>
      <c r="B2864" s="83" t="s">
        <v>4855</v>
      </c>
      <c r="C2864" s="81" t="s">
        <v>4621</v>
      </c>
      <c r="D2864" s="83" t="s">
        <v>4862</v>
      </c>
      <c r="E2864" s="81" t="s">
        <v>4011</v>
      </c>
      <c r="F2864" s="84">
        <v>798.0</v>
      </c>
      <c r="G2864" s="81" t="s">
        <v>16</v>
      </c>
      <c r="H2864" s="81" t="s">
        <v>224</v>
      </c>
      <c r="I2864" s="81" t="s">
        <v>334</v>
      </c>
      <c r="J2864" s="81" t="s">
        <v>224</v>
      </c>
      <c r="K2864" s="81" t="str">
        <f>IFERROR(__xludf.DUMMYFUNCTION("IF(OR(D2864="""",G2864=""""),"""",IFERROR(LET(
campo,XLOOKUP(TRIM(G2864),ARRAYFORMULA(TRIM('indice columnas'!$A$2:$A$100)),'indice columnas'!$B$2:$B$100,""""),
col,IFERROR(MATCH(campo,Referencia!$A$1:$AZ$1,0),0),
fila,IFERROR(MATCH(TO_TEXT(D2864),ARRAYFOR"&amp;"MULA(TO_TEXT(Referencia!$A$2:$A6238)),0),0),
IF(OR(campo="""",campo=""-""),""NO APLICA"",
IF(col=0,""REVISAR EQUIVALENCIA"",
IF(fila=0,""SKU NO ENCONTRADO"",
LET(
valor,INDEX(Referencia!$A$2:$AZ6238,fila,col),
IF(TRIM(TO_TEXT(valor))=TRIM(TO_TEXT(I2864)),"&amp;"
""OK"",
""NO COINCIDE. Valor verdadero: ""&amp;IF(valor="""",""[VACÍO]"",TO_TEXT(valor))
)
))))
),""ERROR EN FÓRMULA""))"),"NO COINCIDE. Valor verdadero: 5")</f>
        <v>NO COINCIDE. Valor verdadero: 5</v>
      </c>
    </row>
    <row r="2865">
      <c r="A2865" s="83" t="s">
        <v>4854</v>
      </c>
      <c r="B2865" s="83" t="s">
        <v>4855</v>
      </c>
      <c r="C2865" s="81" t="s">
        <v>4621</v>
      </c>
      <c r="D2865" s="83" t="s">
        <v>4862</v>
      </c>
      <c r="E2865" s="81" t="s">
        <v>4011</v>
      </c>
      <c r="F2865" s="84">
        <v>798.0</v>
      </c>
      <c r="G2865" s="81" t="s">
        <v>17</v>
      </c>
      <c r="H2865" s="81" t="s">
        <v>224</v>
      </c>
      <c r="I2865" s="83" t="s">
        <v>4012</v>
      </c>
      <c r="J2865" s="81" t="s">
        <v>224</v>
      </c>
      <c r="K2865" s="81" t="str">
        <f>IFERROR(__xludf.DUMMYFUNCTION("IF(OR(D2865="""",G2865=""""),"""",IFERROR(LET(
campo,XLOOKUP(TRIM(G2865),ARRAYFORMULA(TRIM('indice columnas'!$A$2:$A$100)),'indice columnas'!$B$2:$B$100,""""),
col,IFERROR(MATCH(campo,Referencia!$A$1:$AZ$1,0),0),
fila,IFERROR(MATCH(TO_TEXT(D2865),ARRAYFOR"&amp;"MULA(TO_TEXT(Referencia!$A$2:$A6238)),0),0),
IF(OR(campo="""",campo=""-""),""NO APLICA"",
IF(col=0,""REVISAR EQUIVALENCIA"",
IF(fila=0,""SKU NO ENCONTRADO"",
LET(
valor,INDEX(Referencia!$A$2:$AZ6238,fila,col),
IF(TRIM(TO_TEXT(valor))=TRIM(TO_TEXT(I2865)),"&amp;"
""OK"",
""NO COINCIDE. Valor verdadero: ""&amp;IF(valor="""",""[VACÍO]"",TO_TEXT(valor))
)
))))
),""ERROR EN FÓRMULA""))"),"OK")</f>
        <v>OK</v>
      </c>
    </row>
    <row r="2866">
      <c r="A2866" s="83" t="s">
        <v>4854</v>
      </c>
      <c r="B2866" s="83" t="s">
        <v>4855</v>
      </c>
      <c r="C2866" s="81" t="s">
        <v>4621</v>
      </c>
      <c r="D2866" s="83" t="s">
        <v>4862</v>
      </c>
      <c r="E2866" s="81" t="s">
        <v>4011</v>
      </c>
      <c r="F2866" s="84">
        <v>798.0</v>
      </c>
      <c r="G2866" s="81" t="s">
        <v>18</v>
      </c>
      <c r="H2866" s="81" t="s">
        <v>224</v>
      </c>
      <c r="I2866" s="81" t="s">
        <v>49</v>
      </c>
      <c r="J2866" s="81" t="s">
        <v>224</v>
      </c>
      <c r="K2866" s="81" t="str">
        <f>IFERROR(__xludf.DUMMYFUNCTION("IF(OR(D2866="""",G2866=""""),"""",IFERROR(LET(
campo,XLOOKUP(TRIM(G2866),ARRAYFORMULA(TRIM('indice columnas'!$A$2:$A$100)),'indice columnas'!$B$2:$B$100,""""),
col,IFERROR(MATCH(campo,Referencia!$A$1:$AZ$1,0),0),
fila,IFERROR(MATCH(TO_TEXT(D2866),ARRAYFOR"&amp;"MULA(TO_TEXT(Referencia!$A$2:$A6238)),0),0),
IF(OR(campo="""",campo=""-""),""NO APLICA"",
IF(col=0,""REVISAR EQUIVALENCIA"",
IF(fila=0,""SKU NO ENCONTRADO"",
LET(
valor,INDEX(Referencia!$A$2:$AZ6238,fila,col),
IF(TRIM(TO_TEXT(valor))=TRIM(TO_TEXT(I2866)),"&amp;"
""OK"",
""NO COINCIDE. Valor verdadero: ""&amp;IF(valor="""",""[VACÍO]"",TO_TEXT(valor))
)
))))
),""ERROR EN FÓRMULA""))"),"OK")</f>
        <v>OK</v>
      </c>
    </row>
    <row r="2867">
      <c r="A2867" s="83" t="s">
        <v>4854</v>
      </c>
      <c r="B2867" s="83" t="s">
        <v>4855</v>
      </c>
      <c r="C2867" s="81" t="s">
        <v>4621</v>
      </c>
      <c r="D2867" s="83" t="s">
        <v>4862</v>
      </c>
      <c r="E2867" s="81" t="s">
        <v>4011</v>
      </c>
      <c r="F2867" s="84">
        <v>798.0</v>
      </c>
      <c r="G2867" s="81" t="s">
        <v>19</v>
      </c>
      <c r="H2867" s="81" t="s">
        <v>224</v>
      </c>
      <c r="I2867" s="81" t="s">
        <v>49</v>
      </c>
      <c r="J2867" s="81" t="s">
        <v>224</v>
      </c>
      <c r="K2867" s="81" t="str">
        <f>IFERROR(__xludf.DUMMYFUNCTION("IF(OR(D2867="""",G2867=""""),"""",IFERROR(LET(
campo,XLOOKUP(TRIM(G2867),ARRAYFORMULA(TRIM('indice columnas'!$A$2:$A$100)),'indice columnas'!$B$2:$B$100,""""),
col,IFERROR(MATCH(campo,Referencia!$A$1:$AZ$1,0),0),
fila,IFERROR(MATCH(TO_TEXT(D2867),ARRAYFOR"&amp;"MULA(TO_TEXT(Referencia!$A$2:$A6238)),0),0),
IF(OR(campo="""",campo=""-""),""NO APLICA"",
IF(col=0,""REVISAR EQUIVALENCIA"",
IF(fila=0,""SKU NO ENCONTRADO"",
LET(
valor,INDEX(Referencia!$A$2:$AZ6238,fila,col),
IF(TRIM(TO_TEXT(valor))=TRIM(TO_TEXT(I2867)),"&amp;"
""OK"",
""NO COINCIDE. Valor verdadero: ""&amp;IF(valor="""",""[VACÍO]"",TO_TEXT(valor))
)
))))
),""ERROR EN FÓRMULA""))"),"OK")</f>
        <v>OK</v>
      </c>
    </row>
    <row r="2868">
      <c r="A2868" s="83" t="s">
        <v>4854</v>
      </c>
      <c r="B2868" s="83" t="s">
        <v>4855</v>
      </c>
      <c r="C2868" s="81" t="s">
        <v>4621</v>
      </c>
      <c r="D2868" s="83" t="s">
        <v>4862</v>
      </c>
      <c r="E2868" s="81" t="s">
        <v>4011</v>
      </c>
      <c r="F2868" s="84">
        <v>798.0</v>
      </c>
      <c r="G2868" s="81" t="s">
        <v>20</v>
      </c>
      <c r="H2868" s="81" t="s">
        <v>224</v>
      </c>
      <c r="I2868" s="81" t="s">
        <v>1828</v>
      </c>
      <c r="J2868" s="81" t="s">
        <v>224</v>
      </c>
      <c r="K2868" s="81" t="str">
        <f>IFERROR(__xludf.DUMMYFUNCTION("IF(OR(D2868="""",G2868=""""),"""",IFERROR(LET(
campo,XLOOKUP(TRIM(G2868),ARRAYFORMULA(TRIM('indice columnas'!$A$2:$A$100)),'indice columnas'!$B$2:$B$100,""""),
col,IFERROR(MATCH(campo,Referencia!$A$1:$AZ$1,0),0),
fila,IFERROR(MATCH(TO_TEXT(D2868),ARRAYFOR"&amp;"MULA(TO_TEXT(Referencia!$A$2:$A6238)),0),0),
IF(OR(campo="""",campo=""-""),""NO APLICA"",
IF(col=0,""REVISAR EQUIVALENCIA"",
IF(fila=0,""SKU NO ENCONTRADO"",
LET(
valor,INDEX(Referencia!$A$2:$AZ6238,fila,col),
IF(TRIM(TO_TEXT(valor))=TRIM(TO_TEXT(I2868)),"&amp;"
""OK"",
""NO COINCIDE. Valor verdadero: ""&amp;IF(valor="""",""[VACÍO]"",TO_TEXT(valor))
)
))))
),""ERROR EN FÓRMULA""))"),"NO COINCIDE. Valor verdadero: 280")</f>
        <v>NO COINCIDE. Valor verdadero: 280</v>
      </c>
    </row>
    <row r="2869">
      <c r="A2869" s="83" t="s">
        <v>4854</v>
      </c>
      <c r="B2869" s="83" t="s">
        <v>4855</v>
      </c>
      <c r="C2869" s="81" t="s">
        <v>4621</v>
      </c>
      <c r="D2869" s="83" t="s">
        <v>4862</v>
      </c>
      <c r="E2869" s="81" t="s">
        <v>4011</v>
      </c>
      <c r="F2869" s="84">
        <v>798.0</v>
      </c>
      <c r="G2869" s="81" t="s">
        <v>21</v>
      </c>
      <c r="H2869" s="81" t="s">
        <v>224</v>
      </c>
      <c r="I2869" s="81" t="s">
        <v>1829</v>
      </c>
      <c r="J2869" s="81" t="s">
        <v>224</v>
      </c>
      <c r="K2869" s="81" t="str">
        <f>IFERROR(__xludf.DUMMYFUNCTION("IF(OR(D2869="""",G2869=""""),"""",IFERROR(LET(
campo,XLOOKUP(TRIM(G2869),ARRAYFORMULA(TRIM('indice columnas'!$A$2:$A$100)),'indice columnas'!$B$2:$B$100,""""),
col,IFERROR(MATCH(campo,Referencia!$A$1:$AZ$1,0),0),
fila,IFERROR(MATCH(TO_TEXT(D2869),ARRAYFOR"&amp;"MULA(TO_TEXT(Referencia!$A$2:$A6238)),0),0),
IF(OR(campo="""",campo=""-""),""NO APLICA"",
IF(col=0,""REVISAR EQUIVALENCIA"",
IF(fila=0,""SKU NO ENCONTRADO"",
LET(
valor,INDEX(Referencia!$A$2:$AZ6238,fila,col),
IF(TRIM(TO_TEXT(valor))=TRIM(TO_TEXT(I2869)),"&amp;"
""OK"",
""NO COINCIDE. Valor verdadero: ""&amp;IF(valor="""",""[VACÍO]"",TO_TEXT(valor))
)
))))
),""ERROR EN FÓRMULA""))"),"NO COINCIDE. Valor verdadero: 56")</f>
        <v>NO COINCIDE. Valor verdadero: 56</v>
      </c>
    </row>
    <row r="2870">
      <c r="A2870" s="83" t="s">
        <v>4854</v>
      </c>
      <c r="B2870" s="83" t="s">
        <v>4855</v>
      </c>
      <c r="C2870" s="81" t="s">
        <v>4621</v>
      </c>
      <c r="D2870" s="83" t="s">
        <v>4862</v>
      </c>
      <c r="E2870" s="81" t="s">
        <v>4011</v>
      </c>
      <c r="F2870" s="84">
        <v>798.0</v>
      </c>
      <c r="G2870" s="81" t="s">
        <v>22</v>
      </c>
      <c r="H2870" s="81" t="s">
        <v>224</v>
      </c>
      <c r="I2870" s="81" t="s">
        <v>4013</v>
      </c>
      <c r="J2870" s="81" t="s">
        <v>224</v>
      </c>
      <c r="K2870" s="81" t="str">
        <f>IFERROR(__xludf.DUMMYFUNCTION("IF(OR(D2870="""",G2870=""""),"""",IFERROR(LET(
campo,XLOOKUP(TRIM(G2870),ARRAYFORMULA(TRIM('indice columnas'!$A$2:$A$100)),'indice columnas'!$B$2:$B$100,""""),
col,IFERROR(MATCH(campo,Referencia!$A$1:$AZ$1,0),0),
fila,IFERROR(MATCH(TO_TEXT(D2870),ARRAYFOR"&amp;"MULA(TO_TEXT(Referencia!$A$2:$A6238)),0),0),
IF(OR(campo="""",campo=""-""),""NO APLICA"",
IF(col=0,""REVISAR EQUIVALENCIA"",
IF(fila=0,""SKU NO ENCONTRADO"",
LET(
valor,INDEX(Referencia!$A$2:$AZ6238,fila,col),
IF(TRIM(TO_TEXT(valor))=TRIM(TO_TEXT(I2870)),"&amp;"
""OK"",
""NO COINCIDE. Valor verdadero: ""&amp;IF(valor="""",""[VACÍO]"",TO_TEXT(valor))
)
))))
),""ERROR EN FÓRMULA""))"),"NO COINCIDE. Valor verdadero: 2200")</f>
        <v>NO COINCIDE. Valor verdadero: 2200</v>
      </c>
    </row>
    <row r="2871">
      <c r="A2871" s="83" t="s">
        <v>4854</v>
      </c>
      <c r="B2871" s="83" t="s">
        <v>4855</v>
      </c>
      <c r="C2871" s="81" t="s">
        <v>4621</v>
      </c>
      <c r="D2871" s="83" t="s">
        <v>4862</v>
      </c>
      <c r="E2871" s="81" t="s">
        <v>4011</v>
      </c>
      <c r="F2871" s="84">
        <v>798.0</v>
      </c>
      <c r="G2871" s="81" t="s">
        <v>23</v>
      </c>
      <c r="H2871" s="81" t="s">
        <v>224</v>
      </c>
      <c r="I2871" s="81" t="s">
        <v>108</v>
      </c>
      <c r="J2871" s="81" t="s">
        <v>224</v>
      </c>
      <c r="K2871" s="81" t="str">
        <f>IFERROR(__xludf.DUMMYFUNCTION("IF(OR(D2871="""",G2871=""""),"""",IFERROR(LET(
campo,XLOOKUP(TRIM(G2871),ARRAYFORMULA(TRIM('indice columnas'!$A$2:$A$100)),'indice columnas'!$B$2:$B$100,""""),
col,IFERROR(MATCH(campo,Referencia!$A$1:$AZ$1,0),0),
fila,IFERROR(MATCH(TO_TEXT(D2871),ARRAYFOR"&amp;"MULA(TO_TEXT(Referencia!$A$2:$A6238)),0),0),
IF(OR(campo="""",campo=""-""),""NO APLICA"",
IF(col=0,""REVISAR EQUIVALENCIA"",
IF(fila=0,""SKU NO ENCONTRADO"",
LET(
valor,INDEX(Referencia!$A$2:$AZ6238,fila,col),
IF(TRIM(TO_TEXT(valor))=TRIM(TO_TEXT(I2871)),"&amp;"
""OK"",
""NO COINCIDE. Valor verdadero: ""&amp;IF(valor="""",""[VACÍO]"",TO_TEXT(valor))
)
))))
),""ERROR EN FÓRMULA""))"),"OK")</f>
        <v>OK</v>
      </c>
    </row>
    <row r="2872">
      <c r="A2872" s="83" t="s">
        <v>4854</v>
      </c>
      <c r="B2872" s="83" t="s">
        <v>4855</v>
      </c>
      <c r="C2872" s="81" t="s">
        <v>4621</v>
      </c>
      <c r="D2872" s="83" t="s">
        <v>4862</v>
      </c>
      <c r="E2872" s="81" t="s">
        <v>4011</v>
      </c>
      <c r="F2872" s="84">
        <v>798.0</v>
      </c>
      <c r="G2872" s="81" t="s">
        <v>24</v>
      </c>
      <c r="H2872" s="81" t="s">
        <v>224</v>
      </c>
      <c r="I2872" s="81" t="s">
        <v>1830</v>
      </c>
      <c r="J2872" s="81" t="s">
        <v>224</v>
      </c>
      <c r="K2872" s="81" t="str">
        <f>IFERROR(__xludf.DUMMYFUNCTION("IF(OR(D2872="""",G2872=""""),"""",IFERROR(LET(
campo,XLOOKUP(TRIM(G2872),ARRAYFORMULA(TRIM('indice columnas'!$A$2:$A$100)),'indice columnas'!$B$2:$B$100,""""),
col,IFERROR(MATCH(campo,Referencia!$A$1:$AZ$1,0),0),
fila,IFERROR(MATCH(TO_TEXT(D2872),ARRAYFOR"&amp;"MULA(TO_TEXT(Referencia!$A$2:$A6238)),0),0),
IF(OR(campo="""",campo=""-""),""NO APLICA"",
IF(col=0,""REVISAR EQUIVALENCIA"",
IF(fila=0,""SKU NO ENCONTRADO"",
LET(
valor,INDEX(Referencia!$A$2:$AZ6238,fila,col),
IF(TRIM(TO_TEXT(valor))=TRIM(TO_TEXT(I2872)),"&amp;"
""OK"",
""NO COINCIDE. Valor verdadero: ""&amp;IF(valor="""",""[VACÍO]"",TO_TEXT(valor))
)
))))
),""ERROR EN FÓRMULA""))"),"NO COINCIDE. Valor verdadero: 15 / 24 / 36")</f>
        <v>NO COINCIDE. Valor verdadero: 15 / 24 / 36</v>
      </c>
    </row>
    <row r="2873">
      <c r="A2873" s="83" t="s">
        <v>4854</v>
      </c>
      <c r="B2873" s="83" t="s">
        <v>4855</v>
      </c>
      <c r="C2873" s="81" t="s">
        <v>4621</v>
      </c>
      <c r="D2873" s="83" t="s">
        <v>4862</v>
      </c>
      <c r="E2873" s="81" t="s">
        <v>4011</v>
      </c>
      <c r="F2873" s="84">
        <v>798.0</v>
      </c>
      <c r="G2873" s="81" t="s">
        <v>25</v>
      </c>
      <c r="H2873" s="81" t="s">
        <v>224</v>
      </c>
      <c r="I2873" s="81" t="s">
        <v>1831</v>
      </c>
      <c r="J2873" s="81" t="s">
        <v>224</v>
      </c>
      <c r="K2873" s="81" t="str">
        <f>IFERROR(__xludf.DUMMYFUNCTION("IF(OR(D2873="""",G2873=""""),"""",IFERROR(LET(
campo,XLOOKUP(TRIM(G2873),ARRAYFORMULA(TRIM('indice columnas'!$A$2:$A$100)),'indice columnas'!$B$2:$B$100,""""),
col,IFERROR(MATCH(campo,Referencia!$A$1:$AZ$1,0),0),
fila,IFERROR(MATCH(TO_TEXT(D2873),ARRAYFOR"&amp;"MULA(TO_TEXT(Referencia!$A$2:$A6238)),0),0),
IF(OR(campo="""",campo=""-""),""NO APLICA"",
IF(col=0,""REVISAR EQUIVALENCIA"",
IF(fila=0,""SKU NO ENCONTRADO"",
LET(
valor,INDEX(Referencia!$A$2:$AZ6238,fila,col),
IF(TRIM(TO_TEXT(valor))=TRIM(TO_TEXT(I2873)),"&amp;"
""OK"",
""NO COINCIDE. Valor verdadero: ""&amp;IF(valor="""",""[VACÍO]"",TO_TEXT(valor))
)
))))
),""ERROR EN FÓRMULA""))"),"OK")</f>
        <v>OK</v>
      </c>
    </row>
    <row r="2874">
      <c r="A2874" s="83" t="s">
        <v>4854</v>
      </c>
      <c r="B2874" s="83" t="s">
        <v>4855</v>
      </c>
      <c r="C2874" s="81" t="s">
        <v>4621</v>
      </c>
      <c r="D2874" s="83" t="s">
        <v>4862</v>
      </c>
      <c r="E2874" s="81" t="s">
        <v>4011</v>
      </c>
      <c r="F2874" s="84">
        <v>798.0</v>
      </c>
      <c r="G2874" s="81" t="s">
        <v>26</v>
      </c>
      <c r="H2874" s="81" t="s">
        <v>224</v>
      </c>
      <c r="I2874" s="81" t="s">
        <v>59</v>
      </c>
      <c r="J2874" s="81" t="s">
        <v>224</v>
      </c>
      <c r="K2874" s="81" t="str">
        <f>IFERROR(__xludf.DUMMYFUNCTION("IF(OR(D2874="""",G2874=""""),"""",IFERROR(LET(
campo,XLOOKUP(TRIM(G2874),ARRAYFORMULA(TRIM('indice columnas'!$A$2:$A$100)),'indice columnas'!$B$2:$B$100,""""),
col,IFERROR(MATCH(campo,Referencia!$A$1:$AZ$1,0),0),
fila,IFERROR(MATCH(TO_TEXT(D2874),ARRAYFOR"&amp;"MULA(TO_TEXT(Referencia!$A$2:$A6238)),0),0),
IF(OR(campo="""",campo=""-""),""NO APLICA"",
IF(col=0,""REVISAR EQUIVALENCIA"",
IF(fila=0,""SKU NO ENCONTRADO"",
LET(
valor,INDEX(Referencia!$A$2:$AZ6238,fila,col),
IF(TRIM(TO_TEXT(valor))=TRIM(TO_TEXT(I2874)),"&amp;"
""OK"",
""NO COINCIDE. Valor verdadero: ""&amp;IF(valor="""",""[VACÍO]"",TO_TEXT(valor))
)
))))
),""ERROR EN FÓRMULA""))"),"OK")</f>
        <v>OK</v>
      </c>
    </row>
    <row r="2875">
      <c r="A2875" s="83" t="s">
        <v>4854</v>
      </c>
      <c r="B2875" s="83" t="s">
        <v>4855</v>
      </c>
      <c r="C2875" s="81" t="s">
        <v>4621</v>
      </c>
      <c r="D2875" s="83" t="s">
        <v>4862</v>
      </c>
      <c r="E2875" s="81" t="s">
        <v>4011</v>
      </c>
      <c r="F2875" s="84">
        <v>798.0</v>
      </c>
      <c r="G2875" s="81" t="s">
        <v>27</v>
      </c>
      <c r="H2875" s="81" t="s">
        <v>224</v>
      </c>
      <c r="I2875" s="81" t="s">
        <v>60</v>
      </c>
      <c r="J2875" s="81" t="s">
        <v>224</v>
      </c>
      <c r="K2875" s="81" t="str">
        <f>IFERROR(__xludf.DUMMYFUNCTION("IF(OR(D2875="""",G2875=""""),"""",IFERROR(LET(
campo,XLOOKUP(TRIM(G2875),ARRAYFORMULA(TRIM('indice columnas'!$A$2:$A$100)),'indice columnas'!$B$2:$B$100,""""),
col,IFERROR(MATCH(campo,Referencia!$A$1:$AZ$1,0),0),
fila,IFERROR(MATCH(TO_TEXT(D2875),ARRAYFOR"&amp;"MULA(TO_TEXT(Referencia!$A$2:$A6238)),0),0),
IF(OR(campo="""",campo=""-""),""NO APLICA"",
IF(col=0,""REVISAR EQUIVALENCIA"",
IF(fila=0,""SKU NO ENCONTRADO"",
LET(
valor,INDEX(Referencia!$A$2:$AZ6238,fila,col),
IF(TRIM(TO_TEXT(valor))=TRIM(TO_TEXT(I2875)),"&amp;"
""OK"",
""NO COINCIDE. Valor verdadero: ""&amp;IF(valor="""",""[VACÍO]"",TO_TEXT(valor))
)
))))
),""ERROR EN FÓRMULA""))"),"OK")</f>
        <v>OK</v>
      </c>
    </row>
    <row r="2876">
      <c r="A2876" s="83" t="s">
        <v>4854</v>
      </c>
      <c r="B2876" s="83" t="s">
        <v>4855</v>
      </c>
      <c r="C2876" s="81" t="s">
        <v>4621</v>
      </c>
      <c r="D2876" s="83" t="s">
        <v>4862</v>
      </c>
      <c r="E2876" s="81" t="s">
        <v>4011</v>
      </c>
      <c r="F2876" s="84">
        <v>798.0</v>
      </c>
      <c r="G2876" s="81" t="s">
        <v>28</v>
      </c>
      <c r="H2876" s="81" t="s">
        <v>224</v>
      </c>
      <c r="I2876" s="81" t="s">
        <v>1599</v>
      </c>
      <c r="J2876" s="81" t="s">
        <v>224</v>
      </c>
      <c r="K2876" s="81" t="str">
        <f>IFERROR(__xludf.DUMMYFUNCTION("IF(OR(D2876="""",G2876=""""),"""",IFERROR(LET(
campo,XLOOKUP(TRIM(G2876),ARRAYFORMULA(TRIM('indice columnas'!$A$2:$A$100)),'indice columnas'!$B$2:$B$100,""""),
col,IFERROR(MATCH(campo,Referencia!$A$1:$AZ$1,0),0),
fila,IFERROR(MATCH(TO_TEXT(D2876),ARRAYFOR"&amp;"MULA(TO_TEXT(Referencia!$A$2:$A6238)),0),0),
IF(OR(campo="""",campo=""-""),""NO APLICA"",
IF(col=0,""REVISAR EQUIVALENCIA"",
IF(fila=0,""SKU NO ENCONTRADO"",
LET(
valor,INDEX(Referencia!$A$2:$AZ6238,fila,col),
IF(TRIM(TO_TEXT(valor))=TRIM(TO_TEXT(I2876)),"&amp;"
""OK"",
""NO COINCIDE. Valor verdadero: ""&amp;IF(valor="""",""[VACÍO]"",TO_TEXT(valor))
)
))))
),""ERROR EN FÓRMULA""))"),"OK")</f>
        <v>OK</v>
      </c>
    </row>
    <row r="2877">
      <c r="A2877" s="83" t="s">
        <v>4854</v>
      </c>
      <c r="B2877" s="83" t="s">
        <v>4855</v>
      </c>
      <c r="C2877" s="81" t="s">
        <v>4621</v>
      </c>
      <c r="D2877" s="83" t="s">
        <v>4862</v>
      </c>
      <c r="E2877" s="81" t="s">
        <v>4011</v>
      </c>
      <c r="F2877" s="84">
        <v>798.0</v>
      </c>
      <c r="G2877" s="81" t="s">
        <v>29</v>
      </c>
      <c r="H2877" s="81" t="s">
        <v>224</v>
      </c>
      <c r="I2877" s="81" t="s">
        <v>1832</v>
      </c>
      <c r="J2877" s="81" t="s">
        <v>224</v>
      </c>
      <c r="K2877" s="81" t="str">
        <f>IFERROR(__xludf.DUMMYFUNCTION("IF(OR(D2877="""",G2877=""""),"""",IFERROR(LET(
campo,XLOOKUP(TRIM(G2877),ARRAYFORMULA(TRIM('indice columnas'!$A$2:$A$100)),'indice columnas'!$B$2:$B$100,""""),
col,IFERROR(MATCH(campo,Referencia!$A$1:$AZ$1,0),0),
fila,IFERROR(MATCH(TO_TEXT(D2877),ARRAYFOR"&amp;"MULA(TO_TEXT(Referencia!$A$2:$A6238)),0),0),
IF(OR(campo="""",campo=""-""),""NO APLICA"",
IF(col=0,""REVISAR EQUIVALENCIA"",
IF(fila=0,""SKU NO ENCONTRADO"",
LET(
valor,INDEX(Referencia!$A$2:$AZ6238,fila,col),
IF(TRIM(TO_TEXT(valor))=TRIM(TO_TEXT(I2877)),"&amp;"
""OK"",
""NO COINCIDE. Valor verdadero: ""&amp;IF(valor="""",""[VACÍO]"",TO_TEXT(valor))
)
))))
),""ERROR EN FÓRMULA""))"),"NO COINCIDE. Valor verdadero: Ø40 x 100")</f>
        <v>NO COINCIDE. Valor verdadero: Ø40 x 100</v>
      </c>
    </row>
    <row r="2878">
      <c r="A2878" s="83" t="s">
        <v>4854</v>
      </c>
      <c r="B2878" s="83" t="s">
        <v>4855</v>
      </c>
      <c r="C2878" s="81" t="s">
        <v>4621</v>
      </c>
      <c r="D2878" s="83" t="s">
        <v>4862</v>
      </c>
      <c r="E2878" s="81" t="s">
        <v>4011</v>
      </c>
      <c r="F2878" s="84">
        <v>798.0</v>
      </c>
      <c r="G2878" s="81" t="s">
        <v>30</v>
      </c>
      <c r="H2878" s="81" t="s">
        <v>224</v>
      </c>
      <c r="I2878" s="81" t="s">
        <v>55</v>
      </c>
      <c r="J2878" s="81" t="s">
        <v>224</v>
      </c>
      <c r="K2878" s="81" t="str">
        <f>IFERROR(__xludf.DUMMYFUNCTION("IF(OR(D2878="""",G2878=""""),"""",IFERROR(LET(
campo,XLOOKUP(TRIM(G2878),ARRAYFORMULA(TRIM('indice columnas'!$A$2:$A$100)),'indice columnas'!$B$2:$B$100,""""),
col,IFERROR(MATCH(campo,Referencia!$A$1:$AZ$1,0),0),
fila,IFERROR(MATCH(TO_TEXT(D2878),ARRAYFOR"&amp;"MULA(TO_TEXT(Referencia!$A$2:$A6238)),0),0),
IF(OR(campo="""",campo=""-""),""NO APLICA"",
IF(col=0,""REVISAR EQUIVALENCIA"",
IF(fila=0,""SKU NO ENCONTRADO"",
LET(
valor,INDEX(Referencia!$A$2:$AZ6238,fila,col),
IF(TRIM(TO_TEXT(valor))=TRIM(TO_TEXT(I2878)),"&amp;"
""OK"",
""NO COINCIDE. Valor verdadero: ""&amp;IF(valor="""",""[VACÍO]"",TO_TEXT(valor))
)
))))
),""ERROR EN FÓRMULA""))"),"OK")</f>
        <v>OK</v>
      </c>
    </row>
    <row r="2879">
      <c r="A2879" s="83" t="s">
        <v>4854</v>
      </c>
      <c r="B2879" s="83" t="s">
        <v>4855</v>
      </c>
      <c r="C2879" s="81" t="s">
        <v>4621</v>
      </c>
      <c r="D2879" s="83" t="s">
        <v>4862</v>
      </c>
      <c r="E2879" s="81" t="s">
        <v>4011</v>
      </c>
      <c r="F2879" s="84">
        <v>798.0</v>
      </c>
      <c r="G2879" s="81" t="s">
        <v>31</v>
      </c>
      <c r="H2879" s="81" t="s">
        <v>224</v>
      </c>
      <c r="I2879" s="81" t="s">
        <v>55</v>
      </c>
      <c r="J2879" s="81" t="s">
        <v>224</v>
      </c>
      <c r="K2879" s="81" t="str">
        <f>IFERROR(__xludf.DUMMYFUNCTION("IF(OR(D2879="""",G2879=""""),"""",IFERROR(LET(
campo,XLOOKUP(TRIM(G2879),ARRAYFORMULA(TRIM('indice columnas'!$A$2:$A$100)),'indice columnas'!$B$2:$B$100,""""),
col,IFERROR(MATCH(campo,Referencia!$A$1:$AZ$1,0),0),
fila,IFERROR(MATCH(TO_TEXT(D2879),ARRAYFOR"&amp;"MULA(TO_TEXT(Referencia!$A$2:$A6238)),0),0),
IF(OR(campo="""",campo=""-""),""NO APLICA"",
IF(col=0,""REVISAR EQUIVALENCIA"",
IF(fila=0,""SKU NO ENCONTRADO"",
LET(
valor,INDEX(Referencia!$A$2:$AZ6238,fila,col),
IF(TRIM(TO_TEXT(valor))=TRIM(TO_TEXT(I2879)),"&amp;"
""OK"",
""NO COINCIDE. Valor verdadero: ""&amp;IF(valor="""",""[VACÍO]"",TO_TEXT(valor))
)
))))
),""ERROR EN FÓRMULA""))"),"OK")</f>
        <v>OK</v>
      </c>
    </row>
    <row r="2880">
      <c r="A2880" s="83" t="s">
        <v>4854</v>
      </c>
      <c r="B2880" s="83" t="s">
        <v>4855</v>
      </c>
      <c r="C2880" s="81" t="s">
        <v>4621</v>
      </c>
      <c r="D2880" s="83" t="s">
        <v>4862</v>
      </c>
      <c r="E2880" s="81" t="s">
        <v>4011</v>
      </c>
      <c r="F2880" s="84">
        <v>798.0</v>
      </c>
      <c r="G2880" s="81" t="s">
        <v>32</v>
      </c>
      <c r="H2880" s="81" t="s">
        <v>224</v>
      </c>
      <c r="I2880" s="81" t="s">
        <v>63</v>
      </c>
      <c r="J2880" s="81" t="s">
        <v>224</v>
      </c>
      <c r="K2880" s="81" t="str">
        <f>IFERROR(__xludf.DUMMYFUNCTION("IF(OR(D2880="""",G2880=""""),"""",IFERROR(LET(
campo,XLOOKUP(TRIM(G2880),ARRAYFORMULA(TRIM('indice columnas'!$A$2:$A$100)),'indice columnas'!$B$2:$B$100,""""),
col,IFERROR(MATCH(campo,Referencia!$A$1:$AZ$1,0),0),
fila,IFERROR(MATCH(TO_TEXT(D2880),ARRAYFOR"&amp;"MULA(TO_TEXT(Referencia!$A$2:$A6238)),0),0),
IF(OR(campo="""",campo=""-""),""NO APLICA"",
IF(col=0,""REVISAR EQUIVALENCIA"",
IF(fila=0,""SKU NO ENCONTRADO"",
LET(
valor,INDEX(Referencia!$A$2:$AZ6238,fila,col),
IF(TRIM(TO_TEXT(valor))=TRIM(TO_TEXT(I2880)),"&amp;"
""OK"",
""NO COINCIDE. Valor verdadero: ""&amp;IF(valor="""",""[VACÍO]"",TO_TEXT(valor))
)
))))
),""ERROR EN FÓRMULA""))"),"OK")</f>
        <v>OK</v>
      </c>
    </row>
    <row r="2881">
      <c r="A2881" s="83" t="s">
        <v>4854</v>
      </c>
      <c r="B2881" s="83" t="s">
        <v>4855</v>
      </c>
      <c r="C2881" s="81" t="s">
        <v>4621</v>
      </c>
      <c r="D2881" s="83" t="s">
        <v>4862</v>
      </c>
      <c r="E2881" s="81" t="s">
        <v>4011</v>
      </c>
      <c r="F2881" s="84">
        <v>798.0</v>
      </c>
      <c r="G2881" s="81" t="s">
        <v>33</v>
      </c>
      <c r="H2881" s="81" t="s">
        <v>224</v>
      </c>
      <c r="I2881" s="81" t="s">
        <v>1833</v>
      </c>
      <c r="J2881" s="81" t="s">
        <v>224</v>
      </c>
      <c r="K2881" s="81" t="str">
        <f>IFERROR(__xludf.DUMMYFUNCTION("IF(OR(D2881="""",G2881=""""),"""",IFERROR(LET(
campo,XLOOKUP(TRIM(G2881),ARRAYFORMULA(TRIM('indice columnas'!$A$2:$A$100)),'indice columnas'!$B$2:$B$100,""""),
col,IFERROR(MATCH(campo,Referencia!$A$1:$AZ$1,0),0),
fila,IFERROR(MATCH(TO_TEXT(D2881),ARRAYFOR"&amp;"MULA(TO_TEXT(Referencia!$A$2:$A6238)),0),0),
IF(OR(campo="""",campo=""-""),""NO APLICA"",
IF(col=0,""REVISAR EQUIVALENCIA"",
IF(fila=0,""SKU NO ENCONTRADO"",
LET(
valor,INDEX(Referencia!$A$2:$AZ6238,fila,col),
IF(TRIM(TO_TEXT(valor))=TRIM(TO_TEXT(I2881)),"&amp;"
""OK"",
""NO COINCIDE. Valor verdadero: ""&amp;IF(valor="""",""[VACÍO]"",TO_TEXT(valor))
)
))))
),""ERROR EN FÓRMULA""))"),"OK")</f>
        <v>OK</v>
      </c>
    </row>
    <row r="2882">
      <c r="A2882" s="83" t="s">
        <v>4854</v>
      </c>
      <c r="B2882" s="83" t="s">
        <v>4855</v>
      </c>
      <c r="C2882" s="81" t="s">
        <v>4621</v>
      </c>
      <c r="D2882" s="83" t="s">
        <v>4862</v>
      </c>
      <c r="E2882" s="81" t="s">
        <v>4011</v>
      </c>
      <c r="F2882" s="84">
        <v>798.0</v>
      </c>
      <c r="G2882" s="81" t="s">
        <v>34</v>
      </c>
      <c r="H2882" s="81" t="s">
        <v>224</v>
      </c>
      <c r="I2882" s="81" t="s">
        <v>94</v>
      </c>
      <c r="J2882" s="81" t="s">
        <v>224</v>
      </c>
      <c r="K2882" s="81" t="str">
        <f>IFERROR(__xludf.DUMMYFUNCTION("IF(OR(D2882="""",G2882=""""),"""",IFERROR(LET(
campo,XLOOKUP(TRIM(G2882),ARRAYFORMULA(TRIM('indice columnas'!$A$2:$A$100)),'indice columnas'!$B$2:$B$100,""""),
col,IFERROR(MATCH(campo,Referencia!$A$1:$AZ$1,0),0),
fila,IFERROR(MATCH(TO_TEXT(D2882),ARRAYFOR"&amp;"MULA(TO_TEXT(Referencia!$A$2:$A6238)),0),0),
IF(OR(campo="""",campo=""-""),""NO APLICA"",
IF(col=0,""REVISAR EQUIVALENCIA"",
IF(fila=0,""SKU NO ENCONTRADO"",
LET(
valor,INDEX(Referencia!$A$2:$AZ6238,fila,col),
IF(TRIM(TO_TEXT(valor))=TRIM(TO_TEXT(I2882)),"&amp;"
""OK"",
""NO COINCIDE. Valor verdadero: ""&amp;IF(valor="""",""[VACÍO]"",TO_TEXT(valor))
)
))))
),""ERROR EN FÓRMULA""))"),"OK")</f>
        <v>OK</v>
      </c>
    </row>
    <row r="2883">
      <c r="A2883" s="83" t="s">
        <v>4854</v>
      </c>
      <c r="B2883" s="83" t="s">
        <v>4855</v>
      </c>
      <c r="C2883" s="81" t="s">
        <v>4621</v>
      </c>
      <c r="D2883" s="83" t="s">
        <v>4862</v>
      </c>
      <c r="E2883" s="81" t="s">
        <v>4011</v>
      </c>
      <c r="F2883" s="84">
        <v>798.0</v>
      </c>
      <c r="G2883" s="81" t="s">
        <v>35</v>
      </c>
      <c r="H2883" s="81" t="s">
        <v>224</v>
      </c>
      <c r="I2883" s="81" t="s">
        <v>49</v>
      </c>
      <c r="J2883" s="81" t="s">
        <v>224</v>
      </c>
      <c r="K2883" s="81" t="str">
        <f>IFERROR(__xludf.DUMMYFUNCTION("IF(OR(D2883="""",G2883=""""),"""",IFERROR(LET(
campo,XLOOKUP(TRIM(G2883),ARRAYFORMULA(TRIM('indice columnas'!$A$2:$A$100)),'indice columnas'!$B$2:$B$100,""""),
col,IFERROR(MATCH(campo,Referencia!$A$1:$AZ$1,0),0),
fila,IFERROR(MATCH(TO_TEXT(D2883),ARRAYFOR"&amp;"MULA(TO_TEXT(Referencia!$A$2:$A6238)),0),0),
IF(OR(campo="""",campo=""-""),""NO APLICA"",
IF(col=0,""REVISAR EQUIVALENCIA"",
IF(fila=0,""SKU NO ENCONTRADO"",
LET(
valor,INDEX(Referencia!$A$2:$AZ6238,fila,col),
IF(TRIM(TO_TEXT(valor))=TRIM(TO_TEXT(I2883)),"&amp;"
""OK"",
""NO COINCIDE. Valor verdadero: ""&amp;IF(valor="""",""[VACÍO]"",TO_TEXT(valor))
)
))))
),""ERROR EN FÓRMULA""))"),"OK")</f>
        <v>OK</v>
      </c>
    </row>
    <row r="2884">
      <c r="A2884" s="83" t="s">
        <v>4854</v>
      </c>
      <c r="B2884" s="83" t="s">
        <v>4855</v>
      </c>
      <c r="C2884" s="81" t="s">
        <v>4621</v>
      </c>
      <c r="D2884" s="83" t="s">
        <v>4862</v>
      </c>
      <c r="E2884" s="81" t="s">
        <v>4011</v>
      </c>
      <c r="F2884" s="84">
        <v>798.0</v>
      </c>
      <c r="G2884" s="81" t="s">
        <v>36</v>
      </c>
      <c r="H2884" s="81" t="s">
        <v>224</v>
      </c>
      <c r="I2884" s="81" t="s">
        <v>95</v>
      </c>
      <c r="J2884" s="81" t="s">
        <v>224</v>
      </c>
      <c r="K2884" s="81" t="str">
        <f>IFERROR(__xludf.DUMMYFUNCTION("IF(OR(D2884="""",G2884=""""),"""",IFERROR(LET(
campo,XLOOKUP(TRIM(G2884),ARRAYFORMULA(TRIM('indice columnas'!$A$2:$A$100)),'indice columnas'!$B$2:$B$100,""""),
col,IFERROR(MATCH(campo,Referencia!$A$1:$AZ$1,0),0),
fila,IFERROR(MATCH(TO_TEXT(D2884),ARRAYFOR"&amp;"MULA(TO_TEXT(Referencia!$A$2:$A6238)),0),0),
IF(OR(campo="""",campo=""-""),""NO APLICA"",
IF(col=0,""REVISAR EQUIVALENCIA"",
IF(fila=0,""SKU NO ENCONTRADO"",
LET(
valor,INDEX(Referencia!$A$2:$AZ6238,fila,col),
IF(TRIM(TO_TEXT(valor))=TRIM(TO_TEXT(I2884)),"&amp;"
""OK"",
""NO COINCIDE. Valor verdadero: ""&amp;IF(valor="""",""[VACÍO]"",TO_TEXT(valor))
)
))))
),""ERROR EN FÓRMULA""))"),"REVISAR EQUIVALENCIA")</f>
        <v>REVISAR EQUIVALENCIA</v>
      </c>
    </row>
    <row r="2885">
      <c r="A2885" s="83" t="s">
        <v>4854</v>
      </c>
      <c r="B2885" s="83" t="s">
        <v>4855</v>
      </c>
      <c r="C2885" s="81" t="s">
        <v>4621</v>
      </c>
      <c r="D2885" s="83" t="s">
        <v>4862</v>
      </c>
      <c r="E2885" s="81" t="s">
        <v>4011</v>
      </c>
      <c r="F2885" s="84">
        <v>798.0</v>
      </c>
      <c r="G2885" s="81" t="s">
        <v>37</v>
      </c>
      <c r="H2885" s="81" t="s">
        <v>224</v>
      </c>
      <c r="I2885" s="81" t="s">
        <v>66</v>
      </c>
      <c r="J2885" s="81" t="s">
        <v>224</v>
      </c>
      <c r="K2885" s="81" t="str">
        <f>IFERROR(__xludf.DUMMYFUNCTION("IF(OR(D2885="""",G2885=""""),"""",IFERROR(LET(
campo,XLOOKUP(TRIM(G2885),ARRAYFORMULA(TRIM('indice columnas'!$A$2:$A$100)),'indice columnas'!$B$2:$B$100,""""),
col,IFERROR(MATCH(campo,Referencia!$A$1:$AZ$1,0),0),
fila,IFERROR(MATCH(TO_TEXT(D2885),ARRAYFOR"&amp;"MULA(TO_TEXT(Referencia!$A$2:$A6238)),0),0),
IF(OR(campo="""",campo=""-""),""NO APLICA"",
IF(col=0,""REVISAR EQUIVALENCIA"",
IF(fila=0,""SKU NO ENCONTRADO"",
LET(
valor,INDEX(Referencia!$A$2:$AZ6238,fila,col),
IF(TRIM(TO_TEXT(valor))=TRIM(TO_TEXT(I2885)),"&amp;"
""OK"",
""NO COINCIDE. Valor verdadero: ""&amp;IF(valor="""",""[VACÍO]"",TO_TEXT(valor))
)
))))
),""ERROR EN FÓRMULA""))"),"OK")</f>
        <v>OK</v>
      </c>
    </row>
    <row r="2886">
      <c r="A2886" s="83" t="s">
        <v>4854</v>
      </c>
      <c r="B2886" s="83" t="s">
        <v>4855</v>
      </c>
      <c r="C2886" s="81" t="s">
        <v>4621</v>
      </c>
      <c r="D2886" s="83" t="s">
        <v>4862</v>
      </c>
      <c r="E2886" s="81" t="s">
        <v>4011</v>
      </c>
      <c r="F2886" s="84">
        <v>798.0</v>
      </c>
      <c r="G2886" s="81" t="s">
        <v>41</v>
      </c>
      <c r="H2886" s="81" t="s">
        <v>224</v>
      </c>
      <c r="I2886" s="81" t="s">
        <v>1825</v>
      </c>
      <c r="J2886" s="81" t="s">
        <v>224</v>
      </c>
      <c r="K2886" s="81" t="str">
        <f>IFERROR(__xludf.DUMMYFUNCTION("IF(OR(D2886="""",G2886=""""),"""",IFERROR(LET(
campo,XLOOKUP(TRIM(G2886),ARRAYFORMULA(TRIM('indice columnas'!$A$2:$A$100)),'indice columnas'!$B$2:$B$100,""""),
col,IFERROR(MATCH(campo,Referencia!$A$1:$AZ$1,0),0),
fila,IFERROR(MATCH(TO_TEXT(D2886),ARRAYFOR"&amp;"MULA(TO_TEXT(Referencia!$A$2:$A6238)),0),0),
IF(OR(campo="""",campo=""-""),""NO APLICA"",
IF(col=0,""REVISAR EQUIVALENCIA"",
IF(fila=0,""SKU NO ENCONTRADO"",
LET(
valor,INDEX(Referencia!$A$2:$AZ6238,fila,col),
IF(TRIM(TO_TEXT(valor))=TRIM(TO_TEXT(I2886)),"&amp;"
""OK"",
""NO COINCIDE. Valor verdadero: ""&amp;IF(valor="""",""[VACÍO]"",TO_TEXT(valor))
)
))))
),""ERROR EN FÓRMULA""))"),"REVISAR EQUIVALENCIA")</f>
        <v>REVISAR EQUIVALENCIA</v>
      </c>
    </row>
    <row r="2887">
      <c r="A2887" s="83" t="s">
        <v>4854</v>
      </c>
      <c r="B2887" s="83" t="s">
        <v>4855</v>
      </c>
      <c r="C2887" s="81" t="s">
        <v>4621</v>
      </c>
      <c r="D2887" s="83" t="s">
        <v>4863</v>
      </c>
      <c r="E2887" s="81" t="s">
        <v>4014</v>
      </c>
      <c r="F2887" s="84">
        <v>799.0</v>
      </c>
      <c r="G2887" s="81" t="s">
        <v>10</v>
      </c>
      <c r="H2887" s="81" t="s">
        <v>224</v>
      </c>
      <c r="I2887" s="81" t="s">
        <v>84</v>
      </c>
      <c r="J2887" s="81" t="s">
        <v>224</v>
      </c>
      <c r="K2887" s="81" t="str">
        <f>IFERROR(__xludf.DUMMYFUNCTION("IF(OR(D2887="""",G2887=""""),"""",IFERROR(LET(
campo,XLOOKUP(TRIM(G2887),ARRAYFORMULA(TRIM('indice columnas'!$A$2:$A$100)),'indice columnas'!$B$2:$B$100,""""),
col,IFERROR(MATCH(campo,Referencia!$A$1:$AZ$1,0),0),
fila,IFERROR(MATCH(TO_TEXT(D2887),ARRAYFOR"&amp;"MULA(TO_TEXT(Referencia!$A$2:$A6238)),0),0),
IF(OR(campo="""",campo=""-""),""NO APLICA"",
IF(col=0,""REVISAR EQUIVALENCIA"",
IF(fila=0,""SKU NO ENCONTRADO"",
LET(
valor,INDEX(Referencia!$A$2:$AZ6238,fila,col),
IF(TRIM(TO_TEXT(valor))=TRIM(TO_TEXT(I2887)),"&amp;"
""OK"",
""NO COINCIDE. Valor verdadero: ""&amp;IF(valor="""",""[VACÍO]"",TO_TEXT(valor))
)
))))
),""ERROR EN FÓRMULA""))"),"OK")</f>
        <v>OK</v>
      </c>
    </row>
    <row r="2888">
      <c r="A2888" s="83" t="s">
        <v>4854</v>
      </c>
      <c r="B2888" s="83" t="s">
        <v>4855</v>
      </c>
      <c r="C2888" s="81" t="s">
        <v>4621</v>
      </c>
      <c r="D2888" s="83" t="s">
        <v>4863</v>
      </c>
      <c r="E2888" s="81" t="s">
        <v>4014</v>
      </c>
      <c r="F2888" s="84">
        <v>799.0</v>
      </c>
      <c r="G2888" s="81" t="s">
        <v>11</v>
      </c>
      <c r="H2888" s="81" t="s">
        <v>224</v>
      </c>
      <c r="I2888" s="81" t="s">
        <v>126</v>
      </c>
      <c r="J2888" s="81" t="s">
        <v>224</v>
      </c>
      <c r="K2888" s="81" t="str">
        <f>IFERROR(__xludf.DUMMYFUNCTION("IF(OR(D2888="""",G2888=""""),"""",IFERROR(LET(
campo,XLOOKUP(TRIM(G2888),ARRAYFORMULA(TRIM('indice columnas'!$A$2:$A$100)),'indice columnas'!$B$2:$B$100,""""),
col,IFERROR(MATCH(campo,Referencia!$A$1:$AZ$1,0),0),
fila,IFERROR(MATCH(TO_TEXT(D2888),ARRAYFOR"&amp;"MULA(TO_TEXT(Referencia!$A$2:$A6238)),0),0),
IF(OR(campo="""",campo=""-""),""NO APLICA"",
IF(col=0,""REVISAR EQUIVALENCIA"",
IF(fila=0,""SKU NO ENCONTRADO"",
LET(
valor,INDEX(Referencia!$A$2:$AZ6238,fila,col),
IF(TRIM(TO_TEXT(valor))=TRIM(TO_TEXT(I2888)),"&amp;"
""OK"",
""NO COINCIDE. Valor verdadero: ""&amp;IF(valor="""",""[VACÍO]"",TO_TEXT(valor))
)
))))
),""ERROR EN FÓRMULA""))"),"OK")</f>
        <v>OK</v>
      </c>
    </row>
    <row r="2889">
      <c r="A2889" s="83" t="s">
        <v>4854</v>
      </c>
      <c r="B2889" s="83" t="s">
        <v>4855</v>
      </c>
      <c r="C2889" s="81" t="s">
        <v>4621</v>
      </c>
      <c r="D2889" s="83" t="s">
        <v>4863</v>
      </c>
      <c r="E2889" s="81" t="s">
        <v>4014</v>
      </c>
      <c r="F2889" s="84">
        <v>799.0</v>
      </c>
      <c r="G2889" s="81" t="s">
        <v>12</v>
      </c>
      <c r="H2889" s="81" t="s">
        <v>224</v>
      </c>
      <c r="I2889" s="81" t="s">
        <v>55</v>
      </c>
      <c r="J2889" s="81" t="s">
        <v>224</v>
      </c>
      <c r="K2889" s="81" t="str">
        <f>IFERROR(__xludf.DUMMYFUNCTION("IF(OR(D2889="""",G2889=""""),"""",IFERROR(LET(
campo,XLOOKUP(TRIM(G2889),ARRAYFORMULA(TRIM('indice columnas'!$A$2:$A$100)),'indice columnas'!$B$2:$B$100,""""),
col,IFERROR(MATCH(campo,Referencia!$A$1:$AZ$1,0),0),
fila,IFERROR(MATCH(TO_TEXT(D2889),ARRAYFOR"&amp;"MULA(TO_TEXT(Referencia!$A$2:$A6238)),0),0),
IF(OR(campo="""",campo=""-""),""NO APLICA"",
IF(col=0,""REVISAR EQUIVALENCIA"",
IF(fila=0,""SKU NO ENCONTRADO"",
LET(
valor,INDEX(Referencia!$A$2:$AZ6238,fila,col),
IF(TRIM(TO_TEXT(valor))=TRIM(TO_TEXT(I2889)),"&amp;"
""OK"",
""NO COINCIDE. Valor verdadero: ""&amp;IF(valor="""",""[VACÍO]"",TO_TEXT(valor))
)
))))
),""ERROR EN FÓRMULA""))"),"OK")</f>
        <v>OK</v>
      </c>
    </row>
    <row r="2890">
      <c r="A2890" s="83" t="s">
        <v>4854</v>
      </c>
      <c r="B2890" s="83" t="s">
        <v>4855</v>
      </c>
      <c r="C2890" s="81" t="s">
        <v>4621</v>
      </c>
      <c r="D2890" s="83" t="s">
        <v>4863</v>
      </c>
      <c r="E2890" s="81" t="s">
        <v>4014</v>
      </c>
      <c r="F2890" s="84">
        <v>799.0</v>
      </c>
      <c r="G2890" s="81" t="s">
        <v>13</v>
      </c>
      <c r="H2890" s="81" t="s">
        <v>224</v>
      </c>
      <c r="I2890" s="81" t="s">
        <v>85</v>
      </c>
      <c r="J2890" s="81" t="s">
        <v>224</v>
      </c>
      <c r="K2890" s="81" t="str">
        <f>IFERROR(__xludf.DUMMYFUNCTION("IF(OR(D2890="""",G2890=""""),"""",IFERROR(LET(
campo,XLOOKUP(TRIM(G2890),ARRAYFORMULA(TRIM('indice columnas'!$A$2:$A$100)),'indice columnas'!$B$2:$B$100,""""),
col,IFERROR(MATCH(campo,Referencia!$A$1:$AZ$1,0),0),
fila,IFERROR(MATCH(TO_TEXT(D2890),ARRAYFOR"&amp;"MULA(TO_TEXT(Referencia!$A$2:$A6238)),0),0),
IF(OR(campo="""",campo=""-""),""NO APLICA"",
IF(col=0,""REVISAR EQUIVALENCIA"",
IF(fila=0,""SKU NO ENCONTRADO"",
LET(
valor,INDEX(Referencia!$A$2:$AZ6238,fila,col),
IF(TRIM(TO_TEXT(valor))=TRIM(TO_TEXT(I2890)),"&amp;"
""OK"",
""NO COINCIDE. Valor verdadero: ""&amp;IF(valor="""",""[VACÍO]"",TO_TEXT(valor))
)
))))
),""ERROR EN FÓRMULA""))"),"OK")</f>
        <v>OK</v>
      </c>
    </row>
    <row r="2891">
      <c r="A2891" s="83" t="s">
        <v>4854</v>
      </c>
      <c r="B2891" s="83" t="s">
        <v>4855</v>
      </c>
      <c r="C2891" s="81" t="s">
        <v>4621</v>
      </c>
      <c r="D2891" s="83" t="s">
        <v>4863</v>
      </c>
      <c r="E2891" s="81" t="s">
        <v>4014</v>
      </c>
      <c r="F2891" s="84">
        <v>799.0</v>
      </c>
      <c r="G2891" s="81" t="s">
        <v>14</v>
      </c>
      <c r="H2891" s="81" t="s">
        <v>224</v>
      </c>
      <c r="I2891" s="81" t="s">
        <v>1845</v>
      </c>
      <c r="J2891" s="81" t="s">
        <v>224</v>
      </c>
      <c r="K2891" s="81" t="str">
        <f>IFERROR(__xludf.DUMMYFUNCTION("IF(OR(D2891="""",G2891=""""),"""",IFERROR(LET(
campo,XLOOKUP(TRIM(G2891),ARRAYFORMULA(TRIM('indice columnas'!$A$2:$A$100)),'indice columnas'!$B$2:$B$100,""""),
col,IFERROR(MATCH(campo,Referencia!$A$1:$AZ$1,0),0),
fila,IFERROR(MATCH(TO_TEXT(D2891),ARRAYFOR"&amp;"MULA(TO_TEXT(Referencia!$A$2:$A6238)),0),0),
IF(OR(campo="""",campo=""-""),""NO APLICA"",
IF(col=0,""REVISAR EQUIVALENCIA"",
IF(fila=0,""SKU NO ENCONTRADO"",
LET(
valor,INDEX(Referencia!$A$2:$AZ6238,fila,col),
IF(TRIM(TO_TEXT(valor))=TRIM(TO_TEXT(I2891)),"&amp;"
""OK"",
""NO COINCIDE. Valor verdadero: ""&amp;IF(valor="""",""[VACÍO]"",TO_TEXT(valor))
)
))))
),""ERROR EN FÓRMULA""))"),"OK")</f>
        <v>OK</v>
      </c>
    </row>
    <row r="2892">
      <c r="A2892" s="83" t="s">
        <v>4854</v>
      </c>
      <c r="B2892" s="83" t="s">
        <v>4855</v>
      </c>
      <c r="C2892" s="81" t="s">
        <v>4621</v>
      </c>
      <c r="D2892" s="83" t="s">
        <v>4863</v>
      </c>
      <c r="E2892" s="81" t="s">
        <v>4014</v>
      </c>
      <c r="F2892" s="84">
        <v>799.0</v>
      </c>
      <c r="G2892" s="81" t="s">
        <v>15</v>
      </c>
      <c r="H2892" s="81" t="s">
        <v>224</v>
      </c>
      <c r="I2892" s="81" t="s">
        <v>55</v>
      </c>
      <c r="J2892" s="81" t="s">
        <v>224</v>
      </c>
      <c r="K2892" s="81" t="str">
        <f>IFERROR(__xludf.DUMMYFUNCTION("IF(OR(D2892="""",G2892=""""),"""",IFERROR(LET(
campo,XLOOKUP(TRIM(G2892),ARRAYFORMULA(TRIM('indice columnas'!$A$2:$A$100)),'indice columnas'!$B$2:$B$100,""""),
col,IFERROR(MATCH(campo,Referencia!$A$1:$AZ$1,0),0),
fila,IFERROR(MATCH(TO_TEXT(D2892),ARRAYFOR"&amp;"MULA(TO_TEXT(Referencia!$A$2:$A6238)),0),0),
IF(OR(campo="""",campo=""-""),""NO APLICA"",
IF(col=0,""REVISAR EQUIVALENCIA"",
IF(fila=0,""SKU NO ENCONTRADO"",
LET(
valor,INDEX(Referencia!$A$2:$AZ6238,fila,col),
IF(TRIM(TO_TEXT(valor))=TRIM(TO_TEXT(I2892)),"&amp;"
""OK"",
""NO COINCIDE. Valor verdadero: ""&amp;IF(valor="""",""[VACÍO]"",TO_TEXT(valor))
)
))))
),""ERROR EN FÓRMULA""))"),"OK")</f>
        <v>OK</v>
      </c>
    </row>
    <row r="2893">
      <c r="A2893" s="83" t="s">
        <v>4854</v>
      </c>
      <c r="B2893" s="83" t="s">
        <v>4855</v>
      </c>
      <c r="C2893" s="81" t="s">
        <v>4621</v>
      </c>
      <c r="D2893" s="83" t="s">
        <v>4863</v>
      </c>
      <c r="E2893" s="81" t="s">
        <v>4014</v>
      </c>
      <c r="F2893" s="84">
        <v>799.0</v>
      </c>
      <c r="G2893" s="81" t="s">
        <v>16</v>
      </c>
      <c r="H2893" s="81" t="s">
        <v>224</v>
      </c>
      <c r="I2893" s="81" t="s">
        <v>334</v>
      </c>
      <c r="J2893" s="81" t="s">
        <v>224</v>
      </c>
      <c r="K2893" s="81" t="str">
        <f>IFERROR(__xludf.DUMMYFUNCTION("IF(OR(D2893="""",G2893=""""),"""",IFERROR(LET(
campo,XLOOKUP(TRIM(G2893),ARRAYFORMULA(TRIM('indice columnas'!$A$2:$A$100)),'indice columnas'!$B$2:$B$100,""""),
col,IFERROR(MATCH(campo,Referencia!$A$1:$AZ$1,0),0),
fila,IFERROR(MATCH(TO_TEXT(D2893),ARRAYFOR"&amp;"MULA(TO_TEXT(Referencia!$A$2:$A6238)),0),0),
IF(OR(campo="""",campo=""-""),""NO APLICA"",
IF(col=0,""REVISAR EQUIVALENCIA"",
IF(fila=0,""SKU NO ENCONTRADO"",
LET(
valor,INDEX(Referencia!$A$2:$AZ6238,fila,col),
IF(TRIM(TO_TEXT(valor))=TRIM(TO_TEXT(I2893)),"&amp;"
""OK"",
""NO COINCIDE. Valor verdadero: ""&amp;IF(valor="""",""[VACÍO]"",TO_TEXT(valor))
)
))))
),""ERROR EN FÓRMULA""))"),"NO COINCIDE. Valor verdadero: 5")</f>
        <v>NO COINCIDE. Valor verdadero: 5</v>
      </c>
    </row>
    <row r="2894">
      <c r="A2894" s="83" t="s">
        <v>4854</v>
      </c>
      <c r="B2894" s="83" t="s">
        <v>4855</v>
      </c>
      <c r="C2894" s="81" t="s">
        <v>4621</v>
      </c>
      <c r="D2894" s="83" t="s">
        <v>4863</v>
      </c>
      <c r="E2894" s="81" t="s">
        <v>4014</v>
      </c>
      <c r="F2894" s="84">
        <v>799.0</v>
      </c>
      <c r="G2894" s="81" t="s">
        <v>17</v>
      </c>
      <c r="H2894" s="81" t="s">
        <v>224</v>
      </c>
      <c r="I2894" s="81" t="s">
        <v>55</v>
      </c>
      <c r="J2894" s="81" t="s">
        <v>224</v>
      </c>
      <c r="K2894" s="81" t="str">
        <f>IFERROR(__xludf.DUMMYFUNCTION("IF(OR(D2894="""",G2894=""""),"""",IFERROR(LET(
campo,XLOOKUP(TRIM(G2894),ARRAYFORMULA(TRIM('indice columnas'!$A$2:$A$100)),'indice columnas'!$B$2:$B$100,""""),
col,IFERROR(MATCH(campo,Referencia!$A$1:$AZ$1,0),0),
fila,IFERROR(MATCH(TO_TEXT(D2894),ARRAYFOR"&amp;"MULA(TO_TEXT(Referencia!$A$2:$A6238)),0),0),
IF(OR(campo="""",campo=""-""),""NO APLICA"",
IF(col=0,""REVISAR EQUIVALENCIA"",
IF(fila=0,""SKU NO ENCONTRADO"",
LET(
valor,INDEX(Referencia!$A$2:$AZ6238,fila,col),
IF(TRIM(TO_TEXT(valor))=TRIM(TO_TEXT(I2894)),"&amp;"
""OK"",
""NO COINCIDE. Valor verdadero: ""&amp;IF(valor="""",""[VACÍO]"",TO_TEXT(valor))
)
))))
),""ERROR EN FÓRMULA""))"),"OK")</f>
        <v>OK</v>
      </c>
    </row>
    <row r="2895">
      <c r="A2895" s="83" t="s">
        <v>4854</v>
      </c>
      <c r="B2895" s="83" t="s">
        <v>4855</v>
      </c>
      <c r="C2895" s="81" t="s">
        <v>4621</v>
      </c>
      <c r="D2895" s="83" t="s">
        <v>4863</v>
      </c>
      <c r="E2895" s="81" t="s">
        <v>4014</v>
      </c>
      <c r="F2895" s="84">
        <v>799.0</v>
      </c>
      <c r="G2895" s="81" t="s">
        <v>18</v>
      </c>
      <c r="H2895" s="81" t="s">
        <v>224</v>
      </c>
      <c r="I2895" s="81" t="s">
        <v>49</v>
      </c>
      <c r="J2895" s="81" t="s">
        <v>224</v>
      </c>
      <c r="K2895" s="81" t="str">
        <f>IFERROR(__xludf.DUMMYFUNCTION("IF(OR(D2895="""",G2895=""""),"""",IFERROR(LET(
campo,XLOOKUP(TRIM(G2895),ARRAYFORMULA(TRIM('indice columnas'!$A$2:$A$100)),'indice columnas'!$B$2:$B$100,""""),
col,IFERROR(MATCH(campo,Referencia!$A$1:$AZ$1,0),0),
fila,IFERROR(MATCH(TO_TEXT(D2895),ARRAYFOR"&amp;"MULA(TO_TEXT(Referencia!$A$2:$A6238)),0),0),
IF(OR(campo="""",campo=""-""),""NO APLICA"",
IF(col=0,""REVISAR EQUIVALENCIA"",
IF(fila=0,""SKU NO ENCONTRADO"",
LET(
valor,INDEX(Referencia!$A$2:$AZ6238,fila,col),
IF(TRIM(TO_TEXT(valor))=TRIM(TO_TEXT(I2895)),"&amp;"
""OK"",
""NO COINCIDE. Valor verdadero: ""&amp;IF(valor="""",""[VACÍO]"",TO_TEXT(valor))
)
))))
),""ERROR EN FÓRMULA""))"),"OK")</f>
        <v>OK</v>
      </c>
    </row>
    <row r="2896">
      <c r="A2896" s="83" t="s">
        <v>4854</v>
      </c>
      <c r="B2896" s="83" t="s">
        <v>4855</v>
      </c>
      <c r="C2896" s="81" t="s">
        <v>4621</v>
      </c>
      <c r="D2896" s="83" t="s">
        <v>4863</v>
      </c>
      <c r="E2896" s="81" t="s">
        <v>4014</v>
      </c>
      <c r="F2896" s="84">
        <v>799.0</v>
      </c>
      <c r="G2896" s="81" t="s">
        <v>19</v>
      </c>
      <c r="H2896" s="81" t="s">
        <v>224</v>
      </c>
      <c r="I2896" s="81" t="s">
        <v>49</v>
      </c>
      <c r="J2896" s="81" t="s">
        <v>224</v>
      </c>
      <c r="K2896" s="81" t="str">
        <f>IFERROR(__xludf.DUMMYFUNCTION("IF(OR(D2896="""",G2896=""""),"""",IFERROR(LET(
campo,XLOOKUP(TRIM(G2896),ARRAYFORMULA(TRIM('indice columnas'!$A$2:$A$100)),'indice columnas'!$B$2:$B$100,""""),
col,IFERROR(MATCH(campo,Referencia!$A$1:$AZ$1,0),0),
fila,IFERROR(MATCH(TO_TEXT(D2896),ARRAYFOR"&amp;"MULA(TO_TEXT(Referencia!$A$2:$A6238)),0),0),
IF(OR(campo="""",campo=""-""),""NO APLICA"",
IF(col=0,""REVISAR EQUIVALENCIA"",
IF(fila=0,""SKU NO ENCONTRADO"",
LET(
valor,INDEX(Referencia!$A$2:$AZ6238,fila,col),
IF(TRIM(TO_TEXT(valor))=TRIM(TO_TEXT(I2896)),"&amp;"
""OK"",
""NO COINCIDE. Valor verdadero: ""&amp;IF(valor="""",""[VACÍO]"",TO_TEXT(valor))
)
))))
),""ERROR EN FÓRMULA""))"),"OK")</f>
        <v>OK</v>
      </c>
    </row>
    <row r="2897">
      <c r="A2897" s="83" t="s">
        <v>4854</v>
      </c>
      <c r="B2897" s="83" t="s">
        <v>4855</v>
      </c>
      <c r="C2897" s="81" t="s">
        <v>4621</v>
      </c>
      <c r="D2897" s="83" t="s">
        <v>4863</v>
      </c>
      <c r="E2897" s="81" t="s">
        <v>4014</v>
      </c>
      <c r="F2897" s="84">
        <v>799.0</v>
      </c>
      <c r="G2897" s="81" t="s">
        <v>20</v>
      </c>
      <c r="H2897" s="81" t="s">
        <v>224</v>
      </c>
      <c r="I2897" s="81" t="s">
        <v>1828</v>
      </c>
      <c r="J2897" s="81" t="s">
        <v>224</v>
      </c>
      <c r="K2897" s="81" t="str">
        <f>IFERROR(__xludf.DUMMYFUNCTION("IF(OR(D2897="""",G2897=""""),"""",IFERROR(LET(
campo,XLOOKUP(TRIM(G2897),ARRAYFORMULA(TRIM('indice columnas'!$A$2:$A$100)),'indice columnas'!$B$2:$B$100,""""),
col,IFERROR(MATCH(campo,Referencia!$A$1:$AZ$1,0),0),
fila,IFERROR(MATCH(TO_TEXT(D2897),ARRAYFOR"&amp;"MULA(TO_TEXT(Referencia!$A$2:$A6238)),0),0),
IF(OR(campo="""",campo=""-""),""NO APLICA"",
IF(col=0,""REVISAR EQUIVALENCIA"",
IF(fila=0,""SKU NO ENCONTRADO"",
LET(
valor,INDEX(Referencia!$A$2:$AZ6238,fila,col),
IF(TRIM(TO_TEXT(valor))=TRIM(TO_TEXT(I2897)),"&amp;"
""OK"",
""NO COINCIDE. Valor verdadero: ""&amp;IF(valor="""",""[VACÍO]"",TO_TEXT(valor))
)
))))
),""ERROR EN FÓRMULA""))"),"NO COINCIDE. Valor verdadero: 280")</f>
        <v>NO COINCIDE. Valor verdadero: 280</v>
      </c>
    </row>
    <row r="2898">
      <c r="A2898" s="83" t="s">
        <v>4854</v>
      </c>
      <c r="B2898" s="83" t="s">
        <v>4855</v>
      </c>
      <c r="C2898" s="81" t="s">
        <v>4621</v>
      </c>
      <c r="D2898" s="83" t="s">
        <v>4863</v>
      </c>
      <c r="E2898" s="81" t="s">
        <v>4014</v>
      </c>
      <c r="F2898" s="84">
        <v>799.0</v>
      </c>
      <c r="G2898" s="81" t="s">
        <v>21</v>
      </c>
      <c r="H2898" s="81" t="s">
        <v>224</v>
      </c>
      <c r="I2898" s="81" t="s">
        <v>1829</v>
      </c>
      <c r="J2898" s="81" t="s">
        <v>224</v>
      </c>
      <c r="K2898" s="81" t="str">
        <f>IFERROR(__xludf.DUMMYFUNCTION("IF(OR(D2898="""",G2898=""""),"""",IFERROR(LET(
campo,XLOOKUP(TRIM(G2898),ARRAYFORMULA(TRIM('indice columnas'!$A$2:$A$100)),'indice columnas'!$B$2:$B$100,""""),
col,IFERROR(MATCH(campo,Referencia!$A$1:$AZ$1,0),0),
fila,IFERROR(MATCH(TO_TEXT(D2898),ARRAYFOR"&amp;"MULA(TO_TEXT(Referencia!$A$2:$A6238)),0),0),
IF(OR(campo="""",campo=""-""),""NO APLICA"",
IF(col=0,""REVISAR EQUIVALENCIA"",
IF(fila=0,""SKU NO ENCONTRADO"",
LET(
valor,INDEX(Referencia!$A$2:$AZ6238,fila,col),
IF(TRIM(TO_TEXT(valor))=TRIM(TO_TEXT(I2898)),"&amp;"
""OK"",
""NO COINCIDE. Valor verdadero: ""&amp;IF(valor="""",""[VACÍO]"",TO_TEXT(valor))
)
))))
),""ERROR EN FÓRMULA""))"),"NO COINCIDE. Valor verdadero: 56")</f>
        <v>NO COINCIDE. Valor verdadero: 56</v>
      </c>
    </row>
    <row r="2899">
      <c r="A2899" s="83" t="s">
        <v>4854</v>
      </c>
      <c r="B2899" s="83" t="s">
        <v>4855</v>
      </c>
      <c r="C2899" s="81" t="s">
        <v>4621</v>
      </c>
      <c r="D2899" s="83" t="s">
        <v>4863</v>
      </c>
      <c r="E2899" s="81" t="s">
        <v>4014</v>
      </c>
      <c r="F2899" s="84">
        <v>799.0</v>
      </c>
      <c r="G2899" s="81" t="s">
        <v>22</v>
      </c>
      <c r="H2899" s="81" t="s">
        <v>224</v>
      </c>
      <c r="I2899" s="81" t="s">
        <v>4013</v>
      </c>
      <c r="J2899" s="81" t="s">
        <v>224</v>
      </c>
      <c r="K2899" s="81" t="str">
        <f>IFERROR(__xludf.DUMMYFUNCTION("IF(OR(D2899="""",G2899=""""),"""",IFERROR(LET(
campo,XLOOKUP(TRIM(G2899),ARRAYFORMULA(TRIM('indice columnas'!$A$2:$A$100)),'indice columnas'!$B$2:$B$100,""""),
col,IFERROR(MATCH(campo,Referencia!$A$1:$AZ$1,0),0),
fila,IFERROR(MATCH(TO_TEXT(D2899),ARRAYFOR"&amp;"MULA(TO_TEXT(Referencia!$A$2:$A6238)),0),0),
IF(OR(campo="""",campo=""-""),""NO APLICA"",
IF(col=0,""REVISAR EQUIVALENCIA"",
IF(fila=0,""SKU NO ENCONTRADO"",
LET(
valor,INDEX(Referencia!$A$2:$AZ6238,fila,col),
IF(TRIM(TO_TEXT(valor))=TRIM(TO_TEXT(I2899)),"&amp;"
""OK"",
""NO COINCIDE. Valor verdadero: ""&amp;IF(valor="""",""[VACÍO]"",TO_TEXT(valor))
)
))))
),""ERROR EN FÓRMULA""))"),"NO COINCIDE. Valor verdadero: 2200")</f>
        <v>NO COINCIDE. Valor verdadero: 2200</v>
      </c>
    </row>
    <row r="2900">
      <c r="A2900" s="83" t="s">
        <v>4854</v>
      </c>
      <c r="B2900" s="83" t="s">
        <v>4855</v>
      </c>
      <c r="C2900" s="81" t="s">
        <v>4621</v>
      </c>
      <c r="D2900" s="83" t="s">
        <v>4863</v>
      </c>
      <c r="E2900" s="81" t="s">
        <v>4014</v>
      </c>
      <c r="F2900" s="84">
        <v>799.0</v>
      </c>
      <c r="G2900" s="81" t="s">
        <v>23</v>
      </c>
      <c r="H2900" s="81" t="s">
        <v>224</v>
      </c>
      <c r="I2900" s="81" t="s">
        <v>108</v>
      </c>
      <c r="J2900" s="81" t="s">
        <v>224</v>
      </c>
      <c r="K2900" s="81" t="str">
        <f>IFERROR(__xludf.DUMMYFUNCTION("IF(OR(D2900="""",G2900=""""),"""",IFERROR(LET(
campo,XLOOKUP(TRIM(G2900),ARRAYFORMULA(TRIM('indice columnas'!$A$2:$A$100)),'indice columnas'!$B$2:$B$100,""""),
col,IFERROR(MATCH(campo,Referencia!$A$1:$AZ$1,0),0),
fila,IFERROR(MATCH(TO_TEXT(D2900),ARRAYFOR"&amp;"MULA(TO_TEXT(Referencia!$A$2:$A6238)),0),0),
IF(OR(campo="""",campo=""-""),""NO APLICA"",
IF(col=0,""REVISAR EQUIVALENCIA"",
IF(fila=0,""SKU NO ENCONTRADO"",
LET(
valor,INDEX(Referencia!$A$2:$AZ6238,fila,col),
IF(TRIM(TO_TEXT(valor))=TRIM(TO_TEXT(I2900)),"&amp;"
""OK"",
""NO COINCIDE. Valor verdadero: ""&amp;IF(valor="""",""[VACÍO]"",TO_TEXT(valor))
)
))))
),""ERROR EN FÓRMULA""))"),"OK")</f>
        <v>OK</v>
      </c>
    </row>
    <row r="2901">
      <c r="A2901" s="83" t="s">
        <v>4854</v>
      </c>
      <c r="B2901" s="83" t="s">
        <v>4855</v>
      </c>
      <c r="C2901" s="81" t="s">
        <v>4621</v>
      </c>
      <c r="D2901" s="83" t="s">
        <v>4863</v>
      </c>
      <c r="E2901" s="81" t="s">
        <v>4014</v>
      </c>
      <c r="F2901" s="84">
        <v>799.0</v>
      </c>
      <c r="G2901" s="81" t="s">
        <v>24</v>
      </c>
      <c r="H2901" s="81" t="s">
        <v>224</v>
      </c>
      <c r="I2901" s="81" t="s">
        <v>1830</v>
      </c>
      <c r="J2901" s="81" t="s">
        <v>224</v>
      </c>
      <c r="K2901" s="81" t="str">
        <f>IFERROR(__xludf.DUMMYFUNCTION("IF(OR(D2901="""",G2901=""""),"""",IFERROR(LET(
campo,XLOOKUP(TRIM(G2901),ARRAYFORMULA(TRIM('indice columnas'!$A$2:$A$100)),'indice columnas'!$B$2:$B$100,""""),
col,IFERROR(MATCH(campo,Referencia!$A$1:$AZ$1,0),0),
fila,IFERROR(MATCH(TO_TEXT(D2901),ARRAYFOR"&amp;"MULA(TO_TEXT(Referencia!$A$2:$A6238)),0),0),
IF(OR(campo="""",campo=""-""),""NO APLICA"",
IF(col=0,""REVISAR EQUIVALENCIA"",
IF(fila=0,""SKU NO ENCONTRADO"",
LET(
valor,INDEX(Referencia!$A$2:$AZ6238,fila,col),
IF(TRIM(TO_TEXT(valor))=TRIM(TO_TEXT(I2901)),"&amp;"
""OK"",
""NO COINCIDE. Valor verdadero: ""&amp;IF(valor="""",""[VACÍO]"",TO_TEXT(valor))
)
))))
),""ERROR EN FÓRMULA""))"),"NO COINCIDE. Valor verdadero: 15 / 24 / 36")</f>
        <v>NO COINCIDE. Valor verdadero: 15 / 24 / 36</v>
      </c>
    </row>
    <row r="2902">
      <c r="A2902" s="83" t="s">
        <v>4854</v>
      </c>
      <c r="B2902" s="83" t="s">
        <v>4855</v>
      </c>
      <c r="C2902" s="81" t="s">
        <v>4621</v>
      </c>
      <c r="D2902" s="83" t="s">
        <v>4863</v>
      </c>
      <c r="E2902" s="81" t="s">
        <v>4014</v>
      </c>
      <c r="F2902" s="84">
        <v>799.0</v>
      </c>
      <c r="G2902" s="81" t="s">
        <v>25</v>
      </c>
      <c r="H2902" s="81" t="s">
        <v>224</v>
      </c>
      <c r="I2902" s="81" t="s">
        <v>1831</v>
      </c>
      <c r="J2902" s="81" t="s">
        <v>224</v>
      </c>
      <c r="K2902" s="81" t="str">
        <f>IFERROR(__xludf.DUMMYFUNCTION("IF(OR(D2902="""",G2902=""""),"""",IFERROR(LET(
campo,XLOOKUP(TRIM(G2902),ARRAYFORMULA(TRIM('indice columnas'!$A$2:$A$100)),'indice columnas'!$B$2:$B$100,""""),
col,IFERROR(MATCH(campo,Referencia!$A$1:$AZ$1,0),0),
fila,IFERROR(MATCH(TO_TEXT(D2902),ARRAYFOR"&amp;"MULA(TO_TEXT(Referencia!$A$2:$A6238)),0),0),
IF(OR(campo="""",campo=""-""),""NO APLICA"",
IF(col=0,""REVISAR EQUIVALENCIA"",
IF(fila=0,""SKU NO ENCONTRADO"",
LET(
valor,INDEX(Referencia!$A$2:$AZ6238,fila,col),
IF(TRIM(TO_TEXT(valor))=TRIM(TO_TEXT(I2902)),"&amp;"
""OK"",
""NO COINCIDE. Valor verdadero: ""&amp;IF(valor="""",""[VACÍO]"",TO_TEXT(valor))
)
))))
),""ERROR EN FÓRMULA""))"),"OK")</f>
        <v>OK</v>
      </c>
    </row>
    <row r="2903">
      <c r="A2903" s="83" t="s">
        <v>4854</v>
      </c>
      <c r="B2903" s="83" t="s">
        <v>4855</v>
      </c>
      <c r="C2903" s="81" t="s">
        <v>4621</v>
      </c>
      <c r="D2903" s="83" t="s">
        <v>4863</v>
      </c>
      <c r="E2903" s="81" t="s">
        <v>4014</v>
      </c>
      <c r="F2903" s="84">
        <v>799.0</v>
      </c>
      <c r="G2903" s="81" t="s">
        <v>26</v>
      </c>
      <c r="H2903" s="81" t="s">
        <v>224</v>
      </c>
      <c r="I2903" s="81" t="s">
        <v>59</v>
      </c>
      <c r="J2903" s="81" t="s">
        <v>224</v>
      </c>
      <c r="K2903" s="81" t="str">
        <f>IFERROR(__xludf.DUMMYFUNCTION("IF(OR(D2903="""",G2903=""""),"""",IFERROR(LET(
campo,XLOOKUP(TRIM(G2903),ARRAYFORMULA(TRIM('indice columnas'!$A$2:$A$100)),'indice columnas'!$B$2:$B$100,""""),
col,IFERROR(MATCH(campo,Referencia!$A$1:$AZ$1,0),0),
fila,IFERROR(MATCH(TO_TEXT(D2903),ARRAYFOR"&amp;"MULA(TO_TEXT(Referencia!$A$2:$A6238)),0),0),
IF(OR(campo="""",campo=""-""),""NO APLICA"",
IF(col=0,""REVISAR EQUIVALENCIA"",
IF(fila=0,""SKU NO ENCONTRADO"",
LET(
valor,INDEX(Referencia!$A$2:$AZ6238,fila,col),
IF(TRIM(TO_TEXT(valor))=TRIM(TO_TEXT(I2903)),"&amp;"
""OK"",
""NO COINCIDE. Valor verdadero: ""&amp;IF(valor="""",""[VACÍO]"",TO_TEXT(valor))
)
))))
),""ERROR EN FÓRMULA""))"),"OK")</f>
        <v>OK</v>
      </c>
    </row>
    <row r="2904">
      <c r="A2904" s="83" t="s">
        <v>4854</v>
      </c>
      <c r="B2904" s="83" t="s">
        <v>4855</v>
      </c>
      <c r="C2904" s="81" t="s">
        <v>4621</v>
      </c>
      <c r="D2904" s="83" t="s">
        <v>4863</v>
      </c>
      <c r="E2904" s="81" t="s">
        <v>4014</v>
      </c>
      <c r="F2904" s="84">
        <v>799.0</v>
      </c>
      <c r="G2904" s="81" t="s">
        <v>27</v>
      </c>
      <c r="H2904" s="81" t="s">
        <v>224</v>
      </c>
      <c r="I2904" s="81" t="s">
        <v>1846</v>
      </c>
      <c r="J2904" s="81" t="s">
        <v>224</v>
      </c>
      <c r="K2904" s="81" t="str">
        <f>IFERROR(__xludf.DUMMYFUNCTION("IF(OR(D2904="""",G2904=""""),"""",IFERROR(LET(
campo,XLOOKUP(TRIM(G2904),ARRAYFORMULA(TRIM('indice columnas'!$A$2:$A$100)),'indice columnas'!$B$2:$B$100,""""),
col,IFERROR(MATCH(campo,Referencia!$A$1:$AZ$1,0),0),
fila,IFERROR(MATCH(TO_TEXT(D2904),ARRAYFOR"&amp;"MULA(TO_TEXT(Referencia!$A$2:$A6238)),0),0),
IF(OR(campo="""",campo=""-""),""NO APLICA"",
IF(col=0,""REVISAR EQUIVALENCIA"",
IF(fila=0,""SKU NO ENCONTRADO"",
LET(
valor,INDEX(Referencia!$A$2:$AZ6238,fila,col),
IF(TRIM(TO_TEXT(valor))=TRIM(TO_TEXT(I2904)),"&amp;"
""OK"",
""NO COINCIDE. Valor verdadero: ""&amp;IF(valor="""",""[VACÍO]"",TO_TEXT(valor))
)
))))
),""ERROR EN FÓRMULA""))"),"OK")</f>
        <v>OK</v>
      </c>
    </row>
    <row r="2905">
      <c r="A2905" s="83" t="s">
        <v>4854</v>
      </c>
      <c r="B2905" s="83" t="s">
        <v>4855</v>
      </c>
      <c r="C2905" s="81" t="s">
        <v>4621</v>
      </c>
      <c r="D2905" s="83" t="s">
        <v>4863</v>
      </c>
      <c r="E2905" s="81" t="s">
        <v>4014</v>
      </c>
      <c r="F2905" s="84">
        <v>799.0</v>
      </c>
      <c r="G2905" s="81" t="s">
        <v>28</v>
      </c>
      <c r="H2905" s="81" t="s">
        <v>224</v>
      </c>
      <c r="I2905" s="81" t="s">
        <v>1599</v>
      </c>
      <c r="J2905" s="81" t="s">
        <v>224</v>
      </c>
      <c r="K2905" s="81" t="str">
        <f>IFERROR(__xludf.DUMMYFUNCTION("IF(OR(D2905="""",G2905=""""),"""",IFERROR(LET(
campo,XLOOKUP(TRIM(G2905),ARRAYFORMULA(TRIM('indice columnas'!$A$2:$A$100)),'indice columnas'!$B$2:$B$100,""""),
col,IFERROR(MATCH(campo,Referencia!$A$1:$AZ$1,0),0),
fila,IFERROR(MATCH(TO_TEXT(D2905),ARRAYFOR"&amp;"MULA(TO_TEXT(Referencia!$A$2:$A6238)),0),0),
IF(OR(campo="""",campo=""-""),""NO APLICA"",
IF(col=0,""REVISAR EQUIVALENCIA"",
IF(fila=0,""SKU NO ENCONTRADO"",
LET(
valor,INDEX(Referencia!$A$2:$AZ6238,fila,col),
IF(TRIM(TO_TEXT(valor))=TRIM(TO_TEXT(I2905)),"&amp;"
""OK"",
""NO COINCIDE. Valor verdadero: ""&amp;IF(valor="""",""[VACÍO]"",TO_TEXT(valor))
)
))))
),""ERROR EN FÓRMULA""))"),"OK")</f>
        <v>OK</v>
      </c>
    </row>
    <row r="2906">
      <c r="A2906" s="83" t="s">
        <v>4854</v>
      </c>
      <c r="B2906" s="83" t="s">
        <v>4855</v>
      </c>
      <c r="C2906" s="81" t="s">
        <v>4621</v>
      </c>
      <c r="D2906" s="83" t="s">
        <v>4863</v>
      </c>
      <c r="E2906" s="81" t="s">
        <v>4014</v>
      </c>
      <c r="F2906" s="84">
        <v>799.0</v>
      </c>
      <c r="G2906" s="81" t="s">
        <v>29</v>
      </c>
      <c r="H2906" s="81" t="s">
        <v>224</v>
      </c>
      <c r="I2906" s="81" t="s">
        <v>1832</v>
      </c>
      <c r="J2906" s="81" t="s">
        <v>224</v>
      </c>
      <c r="K2906" s="81" t="str">
        <f>IFERROR(__xludf.DUMMYFUNCTION("IF(OR(D2906="""",G2906=""""),"""",IFERROR(LET(
campo,XLOOKUP(TRIM(G2906),ARRAYFORMULA(TRIM('indice columnas'!$A$2:$A$100)),'indice columnas'!$B$2:$B$100,""""),
col,IFERROR(MATCH(campo,Referencia!$A$1:$AZ$1,0),0),
fila,IFERROR(MATCH(TO_TEXT(D2906),ARRAYFOR"&amp;"MULA(TO_TEXT(Referencia!$A$2:$A6238)),0),0),
IF(OR(campo="""",campo=""-""),""NO APLICA"",
IF(col=0,""REVISAR EQUIVALENCIA"",
IF(fila=0,""SKU NO ENCONTRADO"",
LET(
valor,INDEX(Referencia!$A$2:$AZ6238,fila,col),
IF(TRIM(TO_TEXT(valor))=TRIM(TO_TEXT(I2906)),"&amp;"
""OK"",
""NO COINCIDE. Valor verdadero: ""&amp;IF(valor="""",""[VACÍO]"",TO_TEXT(valor))
)
))))
),""ERROR EN FÓRMULA""))"),"NO COINCIDE. Valor verdadero: Ø40 x 100")</f>
        <v>NO COINCIDE. Valor verdadero: Ø40 x 100</v>
      </c>
    </row>
    <row r="2907">
      <c r="A2907" s="83" t="s">
        <v>4854</v>
      </c>
      <c r="B2907" s="83" t="s">
        <v>4855</v>
      </c>
      <c r="C2907" s="81" t="s">
        <v>4621</v>
      </c>
      <c r="D2907" s="83" t="s">
        <v>4863</v>
      </c>
      <c r="E2907" s="81" t="s">
        <v>4014</v>
      </c>
      <c r="F2907" s="84">
        <v>799.0</v>
      </c>
      <c r="G2907" s="81" t="s">
        <v>30</v>
      </c>
      <c r="H2907" s="81" t="s">
        <v>224</v>
      </c>
      <c r="I2907" s="81" t="s">
        <v>55</v>
      </c>
      <c r="J2907" s="81" t="s">
        <v>224</v>
      </c>
      <c r="K2907" s="81" t="str">
        <f>IFERROR(__xludf.DUMMYFUNCTION("IF(OR(D2907="""",G2907=""""),"""",IFERROR(LET(
campo,XLOOKUP(TRIM(G2907),ARRAYFORMULA(TRIM('indice columnas'!$A$2:$A$100)),'indice columnas'!$B$2:$B$100,""""),
col,IFERROR(MATCH(campo,Referencia!$A$1:$AZ$1,0),0),
fila,IFERROR(MATCH(TO_TEXT(D2907),ARRAYFOR"&amp;"MULA(TO_TEXT(Referencia!$A$2:$A6238)),0),0),
IF(OR(campo="""",campo=""-""),""NO APLICA"",
IF(col=0,""REVISAR EQUIVALENCIA"",
IF(fila=0,""SKU NO ENCONTRADO"",
LET(
valor,INDEX(Referencia!$A$2:$AZ6238,fila,col),
IF(TRIM(TO_TEXT(valor))=TRIM(TO_TEXT(I2907)),"&amp;"
""OK"",
""NO COINCIDE. Valor verdadero: ""&amp;IF(valor="""",""[VACÍO]"",TO_TEXT(valor))
)
))))
),""ERROR EN FÓRMULA""))"),"OK")</f>
        <v>OK</v>
      </c>
    </row>
    <row r="2908">
      <c r="A2908" s="83" t="s">
        <v>4854</v>
      </c>
      <c r="B2908" s="83" t="s">
        <v>4855</v>
      </c>
      <c r="C2908" s="81" t="s">
        <v>4621</v>
      </c>
      <c r="D2908" s="83" t="s">
        <v>4863</v>
      </c>
      <c r="E2908" s="81" t="s">
        <v>4014</v>
      </c>
      <c r="F2908" s="84">
        <v>799.0</v>
      </c>
      <c r="G2908" s="81" t="s">
        <v>31</v>
      </c>
      <c r="H2908" s="81" t="s">
        <v>224</v>
      </c>
      <c r="I2908" s="81" t="s">
        <v>55</v>
      </c>
      <c r="J2908" s="81" t="s">
        <v>224</v>
      </c>
      <c r="K2908" s="81" t="str">
        <f>IFERROR(__xludf.DUMMYFUNCTION("IF(OR(D2908="""",G2908=""""),"""",IFERROR(LET(
campo,XLOOKUP(TRIM(G2908),ARRAYFORMULA(TRIM('indice columnas'!$A$2:$A$100)),'indice columnas'!$B$2:$B$100,""""),
col,IFERROR(MATCH(campo,Referencia!$A$1:$AZ$1,0),0),
fila,IFERROR(MATCH(TO_TEXT(D2908),ARRAYFOR"&amp;"MULA(TO_TEXT(Referencia!$A$2:$A6238)),0),0),
IF(OR(campo="""",campo=""-""),""NO APLICA"",
IF(col=0,""REVISAR EQUIVALENCIA"",
IF(fila=0,""SKU NO ENCONTRADO"",
LET(
valor,INDEX(Referencia!$A$2:$AZ6238,fila,col),
IF(TRIM(TO_TEXT(valor))=TRIM(TO_TEXT(I2908)),"&amp;"
""OK"",
""NO COINCIDE. Valor verdadero: ""&amp;IF(valor="""",""[VACÍO]"",TO_TEXT(valor))
)
))))
),""ERROR EN FÓRMULA""))"),"OK")</f>
        <v>OK</v>
      </c>
    </row>
    <row r="2909">
      <c r="A2909" s="83" t="s">
        <v>4854</v>
      </c>
      <c r="B2909" s="83" t="s">
        <v>4855</v>
      </c>
      <c r="C2909" s="81" t="s">
        <v>4621</v>
      </c>
      <c r="D2909" s="83" t="s">
        <v>4863</v>
      </c>
      <c r="E2909" s="81" t="s">
        <v>4014</v>
      </c>
      <c r="F2909" s="84">
        <v>799.0</v>
      </c>
      <c r="G2909" s="81" t="s">
        <v>32</v>
      </c>
      <c r="H2909" s="81" t="s">
        <v>224</v>
      </c>
      <c r="I2909" s="81" t="s">
        <v>63</v>
      </c>
      <c r="J2909" s="81" t="s">
        <v>224</v>
      </c>
      <c r="K2909" s="81" t="str">
        <f>IFERROR(__xludf.DUMMYFUNCTION("IF(OR(D2909="""",G2909=""""),"""",IFERROR(LET(
campo,XLOOKUP(TRIM(G2909),ARRAYFORMULA(TRIM('indice columnas'!$A$2:$A$100)),'indice columnas'!$B$2:$B$100,""""),
col,IFERROR(MATCH(campo,Referencia!$A$1:$AZ$1,0),0),
fila,IFERROR(MATCH(TO_TEXT(D2909),ARRAYFOR"&amp;"MULA(TO_TEXT(Referencia!$A$2:$A6238)),0),0),
IF(OR(campo="""",campo=""-""),""NO APLICA"",
IF(col=0,""REVISAR EQUIVALENCIA"",
IF(fila=0,""SKU NO ENCONTRADO"",
LET(
valor,INDEX(Referencia!$A$2:$AZ6238,fila,col),
IF(TRIM(TO_TEXT(valor))=TRIM(TO_TEXT(I2909)),"&amp;"
""OK"",
""NO COINCIDE. Valor verdadero: ""&amp;IF(valor="""",""[VACÍO]"",TO_TEXT(valor))
)
))))
),""ERROR EN FÓRMULA""))"),"OK")</f>
        <v>OK</v>
      </c>
    </row>
    <row r="2910">
      <c r="A2910" s="83" t="s">
        <v>4854</v>
      </c>
      <c r="B2910" s="83" t="s">
        <v>4855</v>
      </c>
      <c r="C2910" s="81" t="s">
        <v>4621</v>
      </c>
      <c r="D2910" s="83" t="s">
        <v>4863</v>
      </c>
      <c r="E2910" s="81" t="s">
        <v>4014</v>
      </c>
      <c r="F2910" s="84">
        <v>799.0</v>
      </c>
      <c r="G2910" s="81" t="s">
        <v>33</v>
      </c>
      <c r="H2910" s="81" t="s">
        <v>224</v>
      </c>
      <c r="I2910" s="81" t="s">
        <v>1833</v>
      </c>
      <c r="J2910" s="81" t="s">
        <v>224</v>
      </c>
      <c r="K2910" s="81" t="str">
        <f>IFERROR(__xludf.DUMMYFUNCTION("IF(OR(D2910="""",G2910=""""),"""",IFERROR(LET(
campo,XLOOKUP(TRIM(G2910),ARRAYFORMULA(TRIM('indice columnas'!$A$2:$A$100)),'indice columnas'!$B$2:$B$100,""""),
col,IFERROR(MATCH(campo,Referencia!$A$1:$AZ$1,0),0),
fila,IFERROR(MATCH(TO_TEXT(D2910),ARRAYFOR"&amp;"MULA(TO_TEXT(Referencia!$A$2:$A6238)),0),0),
IF(OR(campo="""",campo=""-""),""NO APLICA"",
IF(col=0,""REVISAR EQUIVALENCIA"",
IF(fila=0,""SKU NO ENCONTRADO"",
LET(
valor,INDEX(Referencia!$A$2:$AZ6238,fila,col),
IF(TRIM(TO_TEXT(valor))=TRIM(TO_TEXT(I2910)),"&amp;"
""OK"",
""NO COINCIDE. Valor verdadero: ""&amp;IF(valor="""",""[VACÍO]"",TO_TEXT(valor))
)
))))
),""ERROR EN FÓRMULA""))"),"OK")</f>
        <v>OK</v>
      </c>
    </row>
    <row r="2911">
      <c r="A2911" s="83" t="s">
        <v>4854</v>
      </c>
      <c r="B2911" s="83" t="s">
        <v>4855</v>
      </c>
      <c r="C2911" s="81" t="s">
        <v>4621</v>
      </c>
      <c r="D2911" s="83" t="s">
        <v>4863</v>
      </c>
      <c r="E2911" s="81" t="s">
        <v>4014</v>
      </c>
      <c r="F2911" s="84">
        <v>799.0</v>
      </c>
      <c r="G2911" s="81" t="s">
        <v>34</v>
      </c>
      <c r="H2911" s="81" t="s">
        <v>224</v>
      </c>
      <c r="I2911" s="81" t="s">
        <v>94</v>
      </c>
      <c r="J2911" s="81" t="s">
        <v>224</v>
      </c>
      <c r="K2911" s="81" t="str">
        <f>IFERROR(__xludf.DUMMYFUNCTION("IF(OR(D2911="""",G2911=""""),"""",IFERROR(LET(
campo,XLOOKUP(TRIM(G2911),ARRAYFORMULA(TRIM('indice columnas'!$A$2:$A$100)),'indice columnas'!$B$2:$B$100,""""),
col,IFERROR(MATCH(campo,Referencia!$A$1:$AZ$1,0),0),
fila,IFERROR(MATCH(TO_TEXT(D2911),ARRAYFOR"&amp;"MULA(TO_TEXT(Referencia!$A$2:$A6238)),0),0),
IF(OR(campo="""",campo=""-""),""NO APLICA"",
IF(col=0,""REVISAR EQUIVALENCIA"",
IF(fila=0,""SKU NO ENCONTRADO"",
LET(
valor,INDEX(Referencia!$A$2:$AZ6238,fila,col),
IF(TRIM(TO_TEXT(valor))=TRIM(TO_TEXT(I2911)),"&amp;"
""OK"",
""NO COINCIDE. Valor verdadero: ""&amp;IF(valor="""",""[VACÍO]"",TO_TEXT(valor))
)
))))
),""ERROR EN FÓRMULA""))"),"OK")</f>
        <v>OK</v>
      </c>
    </row>
    <row r="2912">
      <c r="A2912" s="83" t="s">
        <v>4854</v>
      </c>
      <c r="B2912" s="83" t="s">
        <v>4855</v>
      </c>
      <c r="C2912" s="81" t="s">
        <v>4621</v>
      </c>
      <c r="D2912" s="83" t="s">
        <v>4863</v>
      </c>
      <c r="E2912" s="81" t="s">
        <v>4014</v>
      </c>
      <c r="F2912" s="84">
        <v>799.0</v>
      </c>
      <c r="G2912" s="81" t="s">
        <v>35</v>
      </c>
      <c r="H2912" s="81" t="s">
        <v>224</v>
      </c>
      <c r="I2912" s="81" t="s">
        <v>49</v>
      </c>
      <c r="J2912" s="81" t="s">
        <v>224</v>
      </c>
      <c r="K2912" s="81" t="str">
        <f>IFERROR(__xludf.DUMMYFUNCTION("IF(OR(D2912="""",G2912=""""),"""",IFERROR(LET(
campo,XLOOKUP(TRIM(G2912),ARRAYFORMULA(TRIM('indice columnas'!$A$2:$A$100)),'indice columnas'!$B$2:$B$100,""""),
col,IFERROR(MATCH(campo,Referencia!$A$1:$AZ$1,0),0),
fila,IFERROR(MATCH(TO_TEXT(D2912),ARRAYFOR"&amp;"MULA(TO_TEXT(Referencia!$A$2:$A6238)),0),0),
IF(OR(campo="""",campo=""-""),""NO APLICA"",
IF(col=0,""REVISAR EQUIVALENCIA"",
IF(fila=0,""SKU NO ENCONTRADO"",
LET(
valor,INDEX(Referencia!$A$2:$AZ6238,fila,col),
IF(TRIM(TO_TEXT(valor))=TRIM(TO_TEXT(I2912)),"&amp;"
""OK"",
""NO COINCIDE. Valor verdadero: ""&amp;IF(valor="""",""[VACÍO]"",TO_TEXT(valor))
)
))))
),""ERROR EN FÓRMULA""))"),"OK")</f>
        <v>OK</v>
      </c>
    </row>
    <row r="2913">
      <c r="A2913" s="83" t="s">
        <v>4854</v>
      </c>
      <c r="B2913" s="83" t="s">
        <v>4855</v>
      </c>
      <c r="C2913" s="81" t="s">
        <v>4621</v>
      </c>
      <c r="D2913" s="83" t="s">
        <v>4863</v>
      </c>
      <c r="E2913" s="81" t="s">
        <v>4014</v>
      </c>
      <c r="F2913" s="84">
        <v>799.0</v>
      </c>
      <c r="G2913" s="81" t="s">
        <v>36</v>
      </c>
      <c r="H2913" s="81" t="s">
        <v>224</v>
      </c>
      <c r="I2913" s="81" t="s">
        <v>95</v>
      </c>
      <c r="J2913" s="81" t="s">
        <v>224</v>
      </c>
      <c r="K2913" s="81" t="str">
        <f>IFERROR(__xludf.DUMMYFUNCTION("IF(OR(D2913="""",G2913=""""),"""",IFERROR(LET(
campo,XLOOKUP(TRIM(G2913),ARRAYFORMULA(TRIM('indice columnas'!$A$2:$A$100)),'indice columnas'!$B$2:$B$100,""""),
col,IFERROR(MATCH(campo,Referencia!$A$1:$AZ$1,0),0),
fila,IFERROR(MATCH(TO_TEXT(D2913),ARRAYFOR"&amp;"MULA(TO_TEXT(Referencia!$A$2:$A6238)),0),0),
IF(OR(campo="""",campo=""-""),""NO APLICA"",
IF(col=0,""REVISAR EQUIVALENCIA"",
IF(fila=0,""SKU NO ENCONTRADO"",
LET(
valor,INDEX(Referencia!$A$2:$AZ6238,fila,col),
IF(TRIM(TO_TEXT(valor))=TRIM(TO_TEXT(I2913)),"&amp;"
""OK"",
""NO COINCIDE. Valor verdadero: ""&amp;IF(valor="""",""[VACÍO]"",TO_TEXT(valor))
)
))))
),""ERROR EN FÓRMULA""))"),"REVISAR EQUIVALENCIA")</f>
        <v>REVISAR EQUIVALENCIA</v>
      </c>
    </row>
    <row r="2914">
      <c r="A2914" s="83" t="s">
        <v>4854</v>
      </c>
      <c r="B2914" s="83" t="s">
        <v>4855</v>
      </c>
      <c r="C2914" s="81" t="s">
        <v>4621</v>
      </c>
      <c r="D2914" s="83" t="s">
        <v>4863</v>
      </c>
      <c r="E2914" s="81" t="s">
        <v>4014</v>
      </c>
      <c r="F2914" s="84">
        <v>799.0</v>
      </c>
      <c r="G2914" s="81" t="s">
        <v>37</v>
      </c>
      <c r="H2914" s="81" t="s">
        <v>224</v>
      </c>
      <c r="I2914" s="81" t="s">
        <v>66</v>
      </c>
      <c r="J2914" s="81" t="s">
        <v>224</v>
      </c>
      <c r="K2914" s="81" t="str">
        <f>IFERROR(__xludf.DUMMYFUNCTION("IF(OR(D2914="""",G2914=""""),"""",IFERROR(LET(
campo,XLOOKUP(TRIM(G2914),ARRAYFORMULA(TRIM('indice columnas'!$A$2:$A$100)),'indice columnas'!$B$2:$B$100,""""),
col,IFERROR(MATCH(campo,Referencia!$A$1:$AZ$1,0),0),
fila,IFERROR(MATCH(TO_TEXT(D2914),ARRAYFOR"&amp;"MULA(TO_TEXT(Referencia!$A$2:$A6238)),0),0),
IF(OR(campo="""",campo=""-""),""NO APLICA"",
IF(col=0,""REVISAR EQUIVALENCIA"",
IF(fila=0,""SKU NO ENCONTRADO"",
LET(
valor,INDEX(Referencia!$A$2:$AZ6238,fila,col),
IF(TRIM(TO_TEXT(valor))=TRIM(TO_TEXT(I2914)),"&amp;"
""OK"",
""NO COINCIDE. Valor verdadero: ""&amp;IF(valor="""",""[VACÍO]"",TO_TEXT(valor))
)
))))
),""ERROR EN FÓRMULA""))"),"OK")</f>
        <v>OK</v>
      </c>
    </row>
    <row r="2915">
      <c r="A2915" s="83" t="s">
        <v>4854</v>
      </c>
      <c r="B2915" s="83" t="s">
        <v>4855</v>
      </c>
      <c r="C2915" s="81" t="s">
        <v>4621</v>
      </c>
      <c r="D2915" s="83" t="s">
        <v>4863</v>
      </c>
      <c r="E2915" s="81" t="s">
        <v>4014</v>
      </c>
      <c r="F2915" s="84">
        <v>799.0</v>
      </c>
      <c r="G2915" s="81" t="s">
        <v>41</v>
      </c>
      <c r="H2915" s="81" t="s">
        <v>224</v>
      </c>
      <c r="I2915" s="81" t="s">
        <v>1825</v>
      </c>
      <c r="J2915" s="81" t="s">
        <v>224</v>
      </c>
      <c r="K2915" s="81" t="str">
        <f>IFERROR(__xludf.DUMMYFUNCTION("IF(OR(D2915="""",G2915=""""),"""",IFERROR(LET(
campo,XLOOKUP(TRIM(G2915),ARRAYFORMULA(TRIM('indice columnas'!$A$2:$A$100)),'indice columnas'!$B$2:$B$100,""""),
col,IFERROR(MATCH(campo,Referencia!$A$1:$AZ$1,0),0),
fila,IFERROR(MATCH(TO_TEXT(D2915),ARRAYFOR"&amp;"MULA(TO_TEXT(Referencia!$A$2:$A6238)),0),0),
IF(OR(campo="""",campo=""-""),""NO APLICA"",
IF(col=0,""REVISAR EQUIVALENCIA"",
IF(fila=0,""SKU NO ENCONTRADO"",
LET(
valor,INDEX(Referencia!$A$2:$AZ6238,fila,col),
IF(TRIM(TO_TEXT(valor))=TRIM(TO_TEXT(I2915)),"&amp;"
""OK"",
""NO COINCIDE. Valor verdadero: ""&amp;IF(valor="""",""[VACÍO]"",TO_TEXT(valor))
)
))))
),""ERROR EN FÓRMULA""))"),"REVISAR EQUIVALENCIA")</f>
        <v>REVISAR EQUIVALENCIA</v>
      </c>
    </row>
    <row r="2916">
      <c r="A2916" s="83" t="s">
        <v>4854</v>
      </c>
      <c r="B2916" s="83" t="s">
        <v>4855</v>
      </c>
      <c r="C2916" s="81" t="s">
        <v>4621</v>
      </c>
      <c r="D2916" s="83" t="s">
        <v>4864</v>
      </c>
      <c r="E2916" s="81" t="s">
        <v>4016</v>
      </c>
      <c r="F2916" s="84">
        <v>800.0</v>
      </c>
      <c r="G2916" s="81" t="s">
        <v>10</v>
      </c>
      <c r="H2916" s="81" t="s">
        <v>224</v>
      </c>
      <c r="I2916" s="81" t="s">
        <v>84</v>
      </c>
      <c r="J2916" s="81" t="s">
        <v>224</v>
      </c>
      <c r="K2916" s="81" t="str">
        <f>IFERROR(__xludf.DUMMYFUNCTION("IF(OR(D2916="""",G2916=""""),"""",IFERROR(LET(
campo,XLOOKUP(TRIM(G2916),ARRAYFORMULA(TRIM('indice columnas'!$A$2:$A$100)),'indice columnas'!$B$2:$B$100,""""),
col,IFERROR(MATCH(campo,Referencia!$A$1:$AZ$1,0),0),
fila,IFERROR(MATCH(TO_TEXT(D2916),ARRAYFOR"&amp;"MULA(TO_TEXT(Referencia!$A$2:$A6238)),0),0),
IF(OR(campo="""",campo=""-""),""NO APLICA"",
IF(col=0,""REVISAR EQUIVALENCIA"",
IF(fila=0,""SKU NO ENCONTRADO"",
LET(
valor,INDEX(Referencia!$A$2:$AZ6238,fila,col),
IF(TRIM(TO_TEXT(valor))=TRIM(TO_TEXT(I2916)),"&amp;"
""OK"",
""NO COINCIDE. Valor verdadero: ""&amp;IF(valor="""",""[VACÍO]"",TO_TEXT(valor))
)
))))
),""ERROR EN FÓRMULA""))"),"OK")</f>
        <v>OK</v>
      </c>
    </row>
    <row r="2917">
      <c r="A2917" s="83" t="s">
        <v>4854</v>
      </c>
      <c r="B2917" s="83" t="s">
        <v>4855</v>
      </c>
      <c r="C2917" s="81" t="s">
        <v>4621</v>
      </c>
      <c r="D2917" s="83" t="s">
        <v>4864</v>
      </c>
      <c r="E2917" s="81" t="s">
        <v>4016</v>
      </c>
      <c r="F2917" s="84">
        <v>800.0</v>
      </c>
      <c r="G2917" s="81" t="s">
        <v>11</v>
      </c>
      <c r="H2917" s="81" t="s">
        <v>224</v>
      </c>
      <c r="I2917" s="81" t="s">
        <v>126</v>
      </c>
      <c r="J2917" s="81" t="s">
        <v>224</v>
      </c>
      <c r="K2917" s="81" t="str">
        <f>IFERROR(__xludf.DUMMYFUNCTION("IF(OR(D2917="""",G2917=""""),"""",IFERROR(LET(
campo,XLOOKUP(TRIM(G2917),ARRAYFORMULA(TRIM('indice columnas'!$A$2:$A$100)),'indice columnas'!$B$2:$B$100,""""),
col,IFERROR(MATCH(campo,Referencia!$A$1:$AZ$1,0),0),
fila,IFERROR(MATCH(TO_TEXT(D2917),ARRAYFOR"&amp;"MULA(TO_TEXT(Referencia!$A$2:$A6238)),0),0),
IF(OR(campo="""",campo=""-""),""NO APLICA"",
IF(col=0,""REVISAR EQUIVALENCIA"",
IF(fila=0,""SKU NO ENCONTRADO"",
LET(
valor,INDEX(Referencia!$A$2:$AZ6238,fila,col),
IF(TRIM(TO_TEXT(valor))=TRIM(TO_TEXT(I2917)),"&amp;"
""OK"",
""NO COINCIDE. Valor verdadero: ""&amp;IF(valor="""",""[VACÍO]"",TO_TEXT(valor))
)
))))
),""ERROR EN FÓRMULA""))"),"OK")</f>
        <v>OK</v>
      </c>
    </row>
    <row r="2918">
      <c r="A2918" s="83" t="s">
        <v>4854</v>
      </c>
      <c r="B2918" s="83" t="s">
        <v>4855</v>
      </c>
      <c r="C2918" s="81" t="s">
        <v>4621</v>
      </c>
      <c r="D2918" s="83" t="s">
        <v>4864</v>
      </c>
      <c r="E2918" s="81" t="s">
        <v>4016</v>
      </c>
      <c r="F2918" s="84">
        <v>800.0</v>
      </c>
      <c r="G2918" s="81" t="s">
        <v>13</v>
      </c>
      <c r="H2918" s="81" t="s">
        <v>224</v>
      </c>
      <c r="I2918" s="81" t="s">
        <v>85</v>
      </c>
      <c r="J2918" s="81" t="s">
        <v>224</v>
      </c>
      <c r="K2918" s="81" t="str">
        <f>IFERROR(__xludf.DUMMYFUNCTION("IF(OR(D2918="""",G2918=""""),"""",IFERROR(LET(
campo,XLOOKUP(TRIM(G2918),ARRAYFORMULA(TRIM('indice columnas'!$A$2:$A$100)),'indice columnas'!$B$2:$B$100,""""),
col,IFERROR(MATCH(campo,Referencia!$A$1:$AZ$1,0),0),
fila,IFERROR(MATCH(TO_TEXT(D2918),ARRAYFOR"&amp;"MULA(TO_TEXT(Referencia!$A$2:$A6238)),0),0),
IF(OR(campo="""",campo=""-""),""NO APLICA"",
IF(col=0,""REVISAR EQUIVALENCIA"",
IF(fila=0,""SKU NO ENCONTRADO"",
LET(
valor,INDEX(Referencia!$A$2:$AZ6238,fila,col),
IF(TRIM(TO_TEXT(valor))=TRIM(TO_TEXT(I2918)),"&amp;"
""OK"",
""NO COINCIDE. Valor verdadero: ""&amp;IF(valor="""",""[VACÍO]"",TO_TEXT(valor))
)
))))
),""ERROR EN FÓRMULA""))"),"OK")</f>
        <v>OK</v>
      </c>
    </row>
    <row r="2919">
      <c r="A2919" s="83" t="s">
        <v>4854</v>
      </c>
      <c r="B2919" s="83" t="s">
        <v>4855</v>
      </c>
      <c r="C2919" s="81" t="s">
        <v>4621</v>
      </c>
      <c r="D2919" s="83" t="s">
        <v>4864</v>
      </c>
      <c r="E2919" s="81" t="s">
        <v>4016</v>
      </c>
      <c r="F2919" s="84">
        <v>800.0</v>
      </c>
      <c r="G2919" s="81" t="s">
        <v>14</v>
      </c>
      <c r="H2919" s="81" t="s">
        <v>224</v>
      </c>
      <c r="I2919" s="81" t="s">
        <v>56</v>
      </c>
      <c r="J2919" s="81" t="s">
        <v>224</v>
      </c>
      <c r="K2919" s="81" t="str">
        <f>IFERROR(__xludf.DUMMYFUNCTION("IF(OR(D2919="""",G2919=""""),"""",IFERROR(LET(
campo,XLOOKUP(TRIM(G2919),ARRAYFORMULA(TRIM('indice columnas'!$A$2:$A$100)),'indice columnas'!$B$2:$B$100,""""),
col,IFERROR(MATCH(campo,Referencia!$A$1:$AZ$1,0),0),
fila,IFERROR(MATCH(TO_TEXT(D2919),ARRAYFOR"&amp;"MULA(TO_TEXT(Referencia!$A$2:$A6238)),0),0),
IF(OR(campo="""",campo=""-""),""NO APLICA"",
IF(col=0,""REVISAR EQUIVALENCIA"",
IF(fila=0,""SKU NO ENCONTRADO"",
LET(
valor,INDEX(Referencia!$A$2:$AZ6238,fila,col),
IF(TRIM(TO_TEXT(valor))=TRIM(TO_TEXT(I2919)),"&amp;"
""OK"",
""NO COINCIDE. Valor verdadero: ""&amp;IF(valor="""",""[VACÍO]"",TO_TEXT(valor))
)
))))
),""ERROR EN FÓRMULA""))"),"NO COINCIDE. Valor verdadero: 220-240")</f>
        <v>NO COINCIDE. Valor verdadero: 220-240</v>
      </c>
    </row>
    <row r="2920">
      <c r="A2920" s="83" t="s">
        <v>4854</v>
      </c>
      <c r="B2920" s="83" t="s">
        <v>4855</v>
      </c>
      <c r="C2920" s="81" t="s">
        <v>4621</v>
      </c>
      <c r="D2920" s="83" t="s">
        <v>4864</v>
      </c>
      <c r="E2920" s="81" t="s">
        <v>4016</v>
      </c>
      <c r="F2920" s="84">
        <v>800.0</v>
      </c>
      <c r="G2920" s="81" t="s">
        <v>15</v>
      </c>
      <c r="H2920" s="81" t="s">
        <v>224</v>
      </c>
      <c r="I2920" s="81" t="s">
        <v>57</v>
      </c>
      <c r="J2920" s="81" t="s">
        <v>224</v>
      </c>
      <c r="K2920" s="81" t="str">
        <f>IFERROR(__xludf.DUMMYFUNCTION("IF(OR(D2920="""",G2920=""""),"""",IFERROR(LET(
campo,XLOOKUP(TRIM(G2920),ARRAYFORMULA(TRIM('indice columnas'!$A$2:$A$100)),'indice columnas'!$B$2:$B$100,""""),
col,IFERROR(MATCH(campo,Referencia!$A$1:$AZ$1,0),0),
fila,IFERROR(MATCH(TO_TEXT(D2920),ARRAYFOR"&amp;"MULA(TO_TEXT(Referencia!$A$2:$A6238)),0),0),
IF(OR(campo="""",campo=""-""),""NO APLICA"",
IF(col=0,""REVISAR EQUIVALENCIA"",
IF(fila=0,""SKU NO ENCONTRADO"",
LET(
valor,INDEX(Referencia!$A$2:$AZ6238,fila,col),
IF(TRIM(TO_TEXT(valor))=TRIM(TO_TEXT(I2920)),"&amp;"
""OK"",
""NO COINCIDE. Valor verdadero: ""&amp;IF(valor="""",""[VACÍO]"",TO_TEXT(valor))
)
))))
),""ERROR EN FÓRMULA""))"),"NO COINCIDE. Valor verdadero: 50/60")</f>
        <v>NO COINCIDE. Valor verdadero: 50/60</v>
      </c>
    </row>
    <row r="2921">
      <c r="A2921" s="83" t="s">
        <v>4854</v>
      </c>
      <c r="B2921" s="83" t="s">
        <v>4855</v>
      </c>
      <c r="C2921" s="81" t="s">
        <v>4621</v>
      </c>
      <c r="D2921" s="83" t="s">
        <v>4864</v>
      </c>
      <c r="E2921" s="81" t="s">
        <v>4016</v>
      </c>
      <c r="F2921" s="84">
        <v>800.0</v>
      </c>
      <c r="G2921" s="81" t="s">
        <v>16</v>
      </c>
      <c r="H2921" s="81" t="s">
        <v>224</v>
      </c>
      <c r="I2921" s="81" t="s">
        <v>1299</v>
      </c>
      <c r="J2921" s="81" t="s">
        <v>224</v>
      </c>
      <c r="K2921" s="81" t="str">
        <f>IFERROR(__xludf.DUMMYFUNCTION("IF(OR(D2921="""",G2921=""""),"""",IFERROR(LET(
campo,XLOOKUP(TRIM(G2921),ARRAYFORMULA(TRIM('indice columnas'!$A$2:$A$100)),'indice columnas'!$B$2:$B$100,""""),
col,IFERROR(MATCH(campo,Referencia!$A$1:$AZ$1,0),0),
fila,IFERROR(MATCH(TO_TEXT(D2921),ARRAYFOR"&amp;"MULA(TO_TEXT(Referencia!$A$2:$A6238)),0),0),
IF(OR(campo="""",campo=""-""),""NO APLICA"",
IF(col=0,""REVISAR EQUIVALENCIA"",
IF(fila=0,""SKU NO ENCONTRADO"",
LET(
valor,INDEX(Referencia!$A$2:$AZ6238,fila,col),
IF(TRIM(TO_TEXT(valor))=TRIM(TO_TEXT(I2921)),"&amp;"
""OK"",
""NO COINCIDE. Valor verdadero: ""&amp;IF(valor="""",""[VACÍO]"",TO_TEXT(valor))
)
))))
),""ERROR EN FÓRMULA""))"),"NO COINCIDE. Valor verdadero: 10")</f>
        <v>NO COINCIDE. Valor verdadero: 10</v>
      </c>
    </row>
    <row r="2922">
      <c r="A2922" s="83" t="s">
        <v>4854</v>
      </c>
      <c r="B2922" s="83" t="s">
        <v>4855</v>
      </c>
      <c r="C2922" s="81" t="s">
        <v>4621</v>
      </c>
      <c r="D2922" s="83" t="s">
        <v>4864</v>
      </c>
      <c r="E2922" s="81" t="s">
        <v>4016</v>
      </c>
      <c r="F2922" s="84">
        <v>800.0</v>
      </c>
      <c r="G2922" s="81" t="s">
        <v>17</v>
      </c>
      <c r="H2922" s="81" t="s">
        <v>224</v>
      </c>
      <c r="I2922" s="83" t="s">
        <v>4012</v>
      </c>
      <c r="J2922" s="81" t="s">
        <v>224</v>
      </c>
      <c r="K2922" s="81" t="str">
        <f>IFERROR(__xludf.DUMMYFUNCTION("IF(OR(D2922="""",G2922=""""),"""",IFERROR(LET(
campo,XLOOKUP(TRIM(G2922),ARRAYFORMULA(TRIM('indice columnas'!$A$2:$A$100)),'indice columnas'!$B$2:$B$100,""""),
col,IFERROR(MATCH(campo,Referencia!$A$1:$AZ$1,0),0),
fila,IFERROR(MATCH(TO_TEXT(D2922),ARRAYFOR"&amp;"MULA(TO_TEXT(Referencia!$A$2:$A6238)),0),0),
IF(OR(campo="""",campo=""-""),""NO APLICA"",
IF(col=0,""REVISAR EQUIVALENCIA"",
IF(fila=0,""SKU NO ENCONTRADO"",
LET(
valor,INDEX(Referencia!$A$2:$AZ6238,fila,col),
IF(TRIM(TO_TEXT(valor))=TRIM(TO_TEXT(I2922)),"&amp;"
""OK"",
""NO COINCIDE. Valor verdadero: ""&amp;IF(valor="""",""[VACÍO]"",TO_TEXT(valor))
)
))))
),""ERROR EN FÓRMULA""))"),"OK")</f>
        <v>OK</v>
      </c>
    </row>
    <row r="2923">
      <c r="A2923" s="83" t="s">
        <v>4854</v>
      </c>
      <c r="B2923" s="83" t="s">
        <v>4855</v>
      </c>
      <c r="C2923" s="81" t="s">
        <v>4621</v>
      </c>
      <c r="D2923" s="83" t="s">
        <v>4864</v>
      </c>
      <c r="E2923" s="81" t="s">
        <v>4016</v>
      </c>
      <c r="F2923" s="84">
        <v>800.0</v>
      </c>
      <c r="G2923" s="81" t="s">
        <v>18</v>
      </c>
      <c r="H2923" s="81" t="s">
        <v>224</v>
      </c>
      <c r="I2923" s="81" t="s">
        <v>49</v>
      </c>
      <c r="J2923" s="81" t="s">
        <v>224</v>
      </c>
      <c r="K2923" s="81" t="str">
        <f>IFERROR(__xludf.DUMMYFUNCTION("IF(OR(D2923="""",G2923=""""),"""",IFERROR(LET(
campo,XLOOKUP(TRIM(G2923),ARRAYFORMULA(TRIM('indice columnas'!$A$2:$A$100)),'indice columnas'!$B$2:$B$100,""""),
col,IFERROR(MATCH(campo,Referencia!$A$1:$AZ$1,0),0),
fila,IFERROR(MATCH(TO_TEXT(D2923),ARRAYFOR"&amp;"MULA(TO_TEXT(Referencia!$A$2:$A6238)),0),0),
IF(OR(campo="""",campo=""-""),""NO APLICA"",
IF(col=0,""REVISAR EQUIVALENCIA"",
IF(fila=0,""SKU NO ENCONTRADO"",
LET(
valor,INDEX(Referencia!$A$2:$AZ6238,fila,col),
IF(TRIM(TO_TEXT(valor))=TRIM(TO_TEXT(I2923)),"&amp;"
""OK"",
""NO COINCIDE. Valor verdadero: ""&amp;IF(valor="""",""[VACÍO]"",TO_TEXT(valor))
)
))))
),""ERROR EN FÓRMULA""))"),"OK")</f>
        <v>OK</v>
      </c>
    </row>
    <row r="2924">
      <c r="A2924" s="83" t="s">
        <v>4854</v>
      </c>
      <c r="B2924" s="83" t="s">
        <v>4855</v>
      </c>
      <c r="C2924" s="81" t="s">
        <v>4621</v>
      </c>
      <c r="D2924" s="83" t="s">
        <v>4864</v>
      </c>
      <c r="E2924" s="81" t="s">
        <v>4016</v>
      </c>
      <c r="F2924" s="84">
        <v>800.0</v>
      </c>
      <c r="G2924" s="81" t="s">
        <v>19</v>
      </c>
      <c r="H2924" s="81" t="s">
        <v>224</v>
      </c>
      <c r="I2924" s="81" t="s">
        <v>49</v>
      </c>
      <c r="J2924" s="81" t="s">
        <v>224</v>
      </c>
      <c r="K2924" s="81" t="str">
        <f>IFERROR(__xludf.DUMMYFUNCTION("IF(OR(D2924="""",G2924=""""),"""",IFERROR(LET(
campo,XLOOKUP(TRIM(G2924),ARRAYFORMULA(TRIM('indice columnas'!$A$2:$A$100)),'indice columnas'!$B$2:$B$100,""""),
col,IFERROR(MATCH(campo,Referencia!$A$1:$AZ$1,0),0),
fila,IFERROR(MATCH(TO_TEXT(D2924),ARRAYFOR"&amp;"MULA(TO_TEXT(Referencia!$A$2:$A6238)),0),0),
IF(OR(campo="""",campo=""-""),""NO APLICA"",
IF(col=0,""REVISAR EQUIVALENCIA"",
IF(fila=0,""SKU NO ENCONTRADO"",
LET(
valor,INDEX(Referencia!$A$2:$AZ6238,fila,col),
IF(TRIM(TO_TEXT(valor))=TRIM(TO_TEXT(I2924)),"&amp;"
""OK"",
""NO COINCIDE. Valor verdadero: ""&amp;IF(valor="""",""[VACÍO]"",TO_TEXT(valor))
)
))))
),""ERROR EN FÓRMULA""))"),"OK")</f>
        <v>OK</v>
      </c>
    </row>
    <row r="2925">
      <c r="A2925" s="83" t="s">
        <v>4854</v>
      </c>
      <c r="B2925" s="83" t="s">
        <v>4855</v>
      </c>
      <c r="C2925" s="81" t="s">
        <v>4621</v>
      </c>
      <c r="D2925" s="83" t="s">
        <v>4864</v>
      </c>
      <c r="E2925" s="81" t="s">
        <v>4016</v>
      </c>
      <c r="F2925" s="84">
        <v>800.0</v>
      </c>
      <c r="G2925" s="81" t="s">
        <v>20</v>
      </c>
      <c r="H2925" s="81" t="s">
        <v>224</v>
      </c>
      <c r="I2925" s="81" t="s">
        <v>1850</v>
      </c>
      <c r="J2925" s="81" t="s">
        <v>224</v>
      </c>
      <c r="K2925" s="81" t="str">
        <f>IFERROR(__xludf.DUMMYFUNCTION("IF(OR(D2925="""",G2925=""""),"""",IFERROR(LET(
campo,XLOOKUP(TRIM(G2925),ARRAYFORMULA(TRIM('indice columnas'!$A$2:$A$100)),'indice columnas'!$B$2:$B$100,""""),
col,IFERROR(MATCH(campo,Referencia!$A$1:$AZ$1,0),0),
fila,IFERROR(MATCH(TO_TEXT(D2925),ARRAYFOR"&amp;"MULA(TO_TEXT(Referencia!$A$2:$A6238)),0),0),
IF(OR(campo="""",campo=""-""),""NO APLICA"",
IF(col=0,""REVISAR EQUIVALENCIA"",
IF(fila=0,""SKU NO ENCONTRADO"",
LET(
valor,INDEX(Referencia!$A$2:$AZ6238,fila,col),
IF(TRIM(TO_TEXT(valor))=TRIM(TO_TEXT(I2925)),"&amp;"
""OK"",
""NO COINCIDE. Valor verdadero: ""&amp;IF(valor="""",""[VACÍO]"",TO_TEXT(valor))
)
))))
),""ERROR EN FÓRMULA""))"),"NO COINCIDE. Valor verdadero: 675")</f>
        <v>NO COINCIDE. Valor verdadero: 675</v>
      </c>
    </row>
    <row r="2926">
      <c r="A2926" s="83" t="s">
        <v>4854</v>
      </c>
      <c r="B2926" s="83" t="s">
        <v>4855</v>
      </c>
      <c r="C2926" s="81" t="s">
        <v>4621</v>
      </c>
      <c r="D2926" s="83" t="s">
        <v>4864</v>
      </c>
      <c r="E2926" s="81" t="s">
        <v>4016</v>
      </c>
      <c r="F2926" s="84">
        <v>800.0</v>
      </c>
      <c r="G2926" s="81" t="s">
        <v>21</v>
      </c>
      <c r="H2926" s="81" t="s">
        <v>224</v>
      </c>
      <c r="I2926" s="81" t="s">
        <v>1851</v>
      </c>
      <c r="J2926" s="81" t="s">
        <v>224</v>
      </c>
      <c r="K2926" s="81" t="str">
        <f>IFERROR(__xludf.DUMMYFUNCTION("IF(OR(D2926="""",G2926=""""),"""",IFERROR(LET(
campo,XLOOKUP(TRIM(G2926),ARRAYFORMULA(TRIM('indice columnas'!$A$2:$A$100)),'indice columnas'!$B$2:$B$100,""""),
col,IFERROR(MATCH(campo,Referencia!$A$1:$AZ$1,0),0),
fila,IFERROR(MATCH(TO_TEXT(D2926),ARRAYFOR"&amp;"MULA(TO_TEXT(Referencia!$A$2:$A6238)),0),0),
IF(OR(campo="""",campo=""-""),""NO APLICA"",
IF(col=0,""REVISAR EQUIVALENCIA"",
IF(fila=0,""SKU NO ENCONTRADO"",
LET(
valor,INDEX(Referencia!$A$2:$AZ6238,fila,col),
IF(TRIM(TO_TEXT(valor))=TRIM(TO_TEXT(I2926)),"&amp;"
""OK"",
""NO COINCIDE. Valor verdadero: ""&amp;IF(valor="""",""[VACÍO]"",TO_TEXT(valor))
)
))))
),""ERROR EN FÓRMULA""))"),"NO COINCIDE. Valor verdadero: 68")</f>
        <v>NO COINCIDE. Valor verdadero: 68</v>
      </c>
    </row>
    <row r="2927">
      <c r="A2927" s="83" t="s">
        <v>4854</v>
      </c>
      <c r="B2927" s="83" t="s">
        <v>4855</v>
      </c>
      <c r="C2927" s="81" t="s">
        <v>4621</v>
      </c>
      <c r="D2927" s="83" t="s">
        <v>4864</v>
      </c>
      <c r="E2927" s="81" t="s">
        <v>4016</v>
      </c>
      <c r="F2927" s="84">
        <v>800.0</v>
      </c>
      <c r="G2927" s="81" t="s">
        <v>22</v>
      </c>
      <c r="H2927" s="81" t="s">
        <v>224</v>
      </c>
      <c r="I2927" s="81" t="s">
        <v>4013</v>
      </c>
      <c r="J2927" s="81" t="s">
        <v>224</v>
      </c>
      <c r="K2927" s="81" t="str">
        <f>IFERROR(__xludf.DUMMYFUNCTION("IF(OR(D2927="""",G2927=""""),"""",IFERROR(LET(
campo,XLOOKUP(TRIM(G2927),ARRAYFORMULA(TRIM('indice columnas'!$A$2:$A$100)),'indice columnas'!$B$2:$B$100,""""),
col,IFERROR(MATCH(campo,Referencia!$A$1:$AZ$1,0),0),
fila,IFERROR(MATCH(TO_TEXT(D2927),ARRAYFOR"&amp;"MULA(TO_TEXT(Referencia!$A$2:$A6238)),0),0),
IF(OR(campo="""",campo=""-""),""NO APLICA"",
IF(col=0,""REVISAR EQUIVALENCIA"",
IF(fila=0,""SKU NO ENCONTRADO"",
LET(
valor,INDEX(Referencia!$A$2:$AZ6238,fila,col),
IF(TRIM(TO_TEXT(valor))=TRIM(TO_TEXT(I2927)),"&amp;"
""OK"",
""NO COINCIDE. Valor verdadero: ""&amp;IF(valor="""",""[VACÍO]"",TO_TEXT(valor))
)
))))
),""ERROR EN FÓRMULA""))"),"NO COINCIDE. Valor verdadero: 2200")</f>
        <v>NO COINCIDE. Valor verdadero: 2200</v>
      </c>
    </row>
    <row r="2928">
      <c r="A2928" s="83" t="s">
        <v>4854</v>
      </c>
      <c r="B2928" s="83" t="s">
        <v>4855</v>
      </c>
      <c r="C2928" s="81" t="s">
        <v>4621</v>
      </c>
      <c r="D2928" s="83" t="s">
        <v>4864</v>
      </c>
      <c r="E2928" s="81" t="s">
        <v>4016</v>
      </c>
      <c r="F2928" s="84">
        <v>800.0</v>
      </c>
      <c r="G2928" s="81" t="s">
        <v>23</v>
      </c>
      <c r="H2928" s="81" t="s">
        <v>224</v>
      </c>
      <c r="I2928" s="81" t="s">
        <v>108</v>
      </c>
      <c r="J2928" s="81" t="s">
        <v>224</v>
      </c>
      <c r="K2928" s="81" t="str">
        <f>IFERROR(__xludf.DUMMYFUNCTION("IF(OR(D2928="""",G2928=""""),"""",IFERROR(LET(
campo,XLOOKUP(TRIM(G2928),ARRAYFORMULA(TRIM('indice columnas'!$A$2:$A$100)),'indice columnas'!$B$2:$B$100,""""),
col,IFERROR(MATCH(campo,Referencia!$A$1:$AZ$1,0),0),
fila,IFERROR(MATCH(TO_TEXT(D2928),ARRAYFOR"&amp;"MULA(TO_TEXT(Referencia!$A$2:$A6238)),0),0),
IF(OR(campo="""",campo=""-""),""NO APLICA"",
IF(col=0,""REVISAR EQUIVALENCIA"",
IF(fila=0,""SKU NO ENCONTRADO"",
LET(
valor,INDEX(Referencia!$A$2:$AZ6238,fila,col),
IF(TRIM(TO_TEXT(valor))=TRIM(TO_TEXT(I2928)),"&amp;"
""OK"",
""NO COINCIDE. Valor verdadero: ""&amp;IF(valor="""",""[VACÍO]"",TO_TEXT(valor))
)
))))
),""ERROR EN FÓRMULA""))"),"OK")</f>
        <v>OK</v>
      </c>
    </row>
    <row r="2929">
      <c r="A2929" s="83" t="s">
        <v>4854</v>
      </c>
      <c r="B2929" s="83" t="s">
        <v>4855</v>
      </c>
      <c r="C2929" s="81" t="s">
        <v>4621</v>
      </c>
      <c r="D2929" s="83" t="s">
        <v>4864</v>
      </c>
      <c r="E2929" s="81" t="s">
        <v>4016</v>
      </c>
      <c r="F2929" s="84">
        <v>800.0</v>
      </c>
      <c r="G2929" s="81" t="s">
        <v>24</v>
      </c>
      <c r="H2929" s="81" t="s">
        <v>224</v>
      </c>
      <c r="I2929" s="81" t="s">
        <v>1830</v>
      </c>
      <c r="J2929" s="81" t="s">
        <v>224</v>
      </c>
      <c r="K2929" s="81" t="str">
        <f>IFERROR(__xludf.DUMMYFUNCTION("IF(OR(D2929="""",G2929=""""),"""",IFERROR(LET(
campo,XLOOKUP(TRIM(G2929),ARRAYFORMULA(TRIM('indice columnas'!$A$2:$A$100)),'indice columnas'!$B$2:$B$100,""""),
col,IFERROR(MATCH(campo,Referencia!$A$1:$AZ$1,0),0),
fila,IFERROR(MATCH(TO_TEXT(D2929),ARRAYFOR"&amp;"MULA(TO_TEXT(Referencia!$A$2:$A6238)),0),0),
IF(OR(campo="""",campo=""-""),""NO APLICA"",
IF(col=0,""REVISAR EQUIVALENCIA"",
IF(fila=0,""SKU NO ENCONTRADO"",
LET(
valor,INDEX(Referencia!$A$2:$AZ6238,fila,col),
IF(TRIM(TO_TEXT(valor))=TRIM(TO_TEXT(I2929)),"&amp;"
""OK"",
""NO COINCIDE. Valor verdadero: ""&amp;IF(valor="""",""[VACÍO]"",TO_TEXT(valor))
)
))))
),""ERROR EN FÓRMULA""))"),"NO COINCIDE. Valor verdadero: 15 / 24 / 36")</f>
        <v>NO COINCIDE. Valor verdadero: 15 / 24 / 36</v>
      </c>
    </row>
    <row r="2930">
      <c r="A2930" s="83" t="s">
        <v>4854</v>
      </c>
      <c r="B2930" s="83" t="s">
        <v>4855</v>
      </c>
      <c r="C2930" s="81" t="s">
        <v>4621</v>
      </c>
      <c r="D2930" s="83" t="s">
        <v>4864</v>
      </c>
      <c r="E2930" s="81" t="s">
        <v>4016</v>
      </c>
      <c r="F2930" s="84">
        <v>800.0</v>
      </c>
      <c r="G2930" s="81" t="s">
        <v>25</v>
      </c>
      <c r="H2930" s="81" t="s">
        <v>224</v>
      </c>
      <c r="I2930" s="81" t="s">
        <v>1852</v>
      </c>
      <c r="J2930" s="81" t="s">
        <v>224</v>
      </c>
      <c r="K2930" s="81" t="str">
        <f>IFERROR(__xludf.DUMMYFUNCTION("IF(OR(D2930="""",G2930=""""),"""",IFERROR(LET(
campo,XLOOKUP(TRIM(G2930),ARRAYFORMULA(TRIM('indice columnas'!$A$2:$A$100)),'indice columnas'!$B$2:$B$100,""""),
col,IFERROR(MATCH(campo,Referencia!$A$1:$AZ$1,0),0),
fila,IFERROR(MATCH(TO_TEXT(D2930),ARRAYFOR"&amp;"MULA(TO_TEXT(Referencia!$A$2:$A6238)),0),0),
IF(OR(campo="""",campo=""-""),""NO APLICA"",
IF(col=0,""REVISAR EQUIVALENCIA"",
IF(fila=0,""SKU NO ENCONTRADO"",
LET(
valor,INDEX(Referencia!$A$2:$AZ6238,fila,col),
IF(TRIM(TO_TEXT(valor))=TRIM(TO_TEXT(I2930)),"&amp;"
""OK"",
""NO COINCIDE. Valor verdadero: ""&amp;IF(valor="""",""[VACÍO]"",TO_TEXT(valor))
)
))))
),""ERROR EN FÓRMULA""))"),"OK")</f>
        <v>OK</v>
      </c>
    </row>
    <row r="2931">
      <c r="A2931" s="83" t="s">
        <v>4854</v>
      </c>
      <c r="B2931" s="83" t="s">
        <v>4855</v>
      </c>
      <c r="C2931" s="81" t="s">
        <v>4621</v>
      </c>
      <c r="D2931" s="83" t="s">
        <v>4864</v>
      </c>
      <c r="E2931" s="81" t="s">
        <v>4016</v>
      </c>
      <c r="F2931" s="84">
        <v>800.0</v>
      </c>
      <c r="G2931" s="81" t="s">
        <v>26</v>
      </c>
      <c r="H2931" s="81" t="s">
        <v>224</v>
      </c>
      <c r="I2931" s="81" t="s">
        <v>59</v>
      </c>
      <c r="J2931" s="81" t="s">
        <v>224</v>
      </c>
      <c r="K2931" s="81" t="str">
        <f>IFERROR(__xludf.DUMMYFUNCTION("IF(OR(D2931="""",G2931=""""),"""",IFERROR(LET(
campo,XLOOKUP(TRIM(G2931),ARRAYFORMULA(TRIM('indice columnas'!$A$2:$A$100)),'indice columnas'!$B$2:$B$100,""""),
col,IFERROR(MATCH(campo,Referencia!$A$1:$AZ$1,0),0),
fila,IFERROR(MATCH(TO_TEXT(D2931),ARRAYFOR"&amp;"MULA(TO_TEXT(Referencia!$A$2:$A6238)),0),0),
IF(OR(campo="""",campo=""-""),""NO APLICA"",
IF(col=0,""REVISAR EQUIVALENCIA"",
IF(fila=0,""SKU NO ENCONTRADO"",
LET(
valor,INDEX(Referencia!$A$2:$AZ6238,fila,col),
IF(TRIM(TO_TEXT(valor))=TRIM(TO_TEXT(I2931)),"&amp;"
""OK"",
""NO COINCIDE. Valor verdadero: ""&amp;IF(valor="""",""[VACÍO]"",TO_TEXT(valor))
)
))))
),""ERROR EN FÓRMULA""))"),"OK")</f>
        <v>OK</v>
      </c>
    </row>
    <row r="2932">
      <c r="A2932" s="83" t="s">
        <v>4854</v>
      </c>
      <c r="B2932" s="83" t="s">
        <v>4855</v>
      </c>
      <c r="C2932" s="81" t="s">
        <v>4621</v>
      </c>
      <c r="D2932" s="83" t="s">
        <v>4864</v>
      </c>
      <c r="E2932" s="81" t="s">
        <v>4016</v>
      </c>
      <c r="F2932" s="84">
        <v>800.0</v>
      </c>
      <c r="G2932" s="81" t="s">
        <v>27</v>
      </c>
      <c r="H2932" s="81" t="s">
        <v>224</v>
      </c>
      <c r="I2932" s="81" t="s">
        <v>60</v>
      </c>
      <c r="J2932" s="81" t="s">
        <v>224</v>
      </c>
      <c r="K2932" s="81" t="str">
        <f>IFERROR(__xludf.DUMMYFUNCTION("IF(OR(D2932="""",G2932=""""),"""",IFERROR(LET(
campo,XLOOKUP(TRIM(G2932),ARRAYFORMULA(TRIM('indice columnas'!$A$2:$A$100)),'indice columnas'!$B$2:$B$100,""""),
col,IFERROR(MATCH(campo,Referencia!$A$1:$AZ$1,0),0),
fila,IFERROR(MATCH(TO_TEXT(D2932),ARRAYFOR"&amp;"MULA(TO_TEXT(Referencia!$A$2:$A6238)),0),0),
IF(OR(campo="""",campo=""-""),""NO APLICA"",
IF(col=0,""REVISAR EQUIVALENCIA"",
IF(fila=0,""SKU NO ENCONTRADO"",
LET(
valor,INDEX(Referencia!$A$2:$AZ6238,fila,col),
IF(TRIM(TO_TEXT(valor))=TRIM(TO_TEXT(I2932)),"&amp;"
""OK"",
""NO COINCIDE. Valor verdadero: ""&amp;IF(valor="""",""[VACÍO]"",TO_TEXT(valor))
)
))))
),""ERROR EN FÓRMULA""))"),"OK")</f>
        <v>OK</v>
      </c>
    </row>
    <row r="2933">
      <c r="A2933" s="83" t="s">
        <v>4854</v>
      </c>
      <c r="B2933" s="83" t="s">
        <v>4855</v>
      </c>
      <c r="C2933" s="81" t="s">
        <v>4621</v>
      </c>
      <c r="D2933" s="83" t="s">
        <v>4864</v>
      </c>
      <c r="E2933" s="81" t="s">
        <v>4016</v>
      </c>
      <c r="F2933" s="84">
        <v>800.0</v>
      </c>
      <c r="G2933" s="81" t="s">
        <v>28</v>
      </c>
      <c r="H2933" s="81" t="s">
        <v>224</v>
      </c>
      <c r="I2933" s="81" t="s">
        <v>1599</v>
      </c>
      <c r="J2933" s="81" t="s">
        <v>224</v>
      </c>
      <c r="K2933" s="81" t="str">
        <f>IFERROR(__xludf.DUMMYFUNCTION("IF(OR(D2933="""",G2933=""""),"""",IFERROR(LET(
campo,XLOOKUP(TRIM(G2933),ARRAYFORMULA(TRIM('indice columnas'!$A$2:$A$100)),'indice columnas'!$B$2:$B$100,""""),
col,IFERROR(MATCH(campo,Referencia!$A$1:$AZ$1,0),0),
fila,IFERROR(MATCH(TO_TEXT(D2933),ARRAYFOR"&amp;"MULA(TO_TEXT(Referencia!$A$2:$A6238)),0),0),
IF(OR(campo="""",campo=""-""),""NO APLICA"",
IF(col=0,""REVISAR EQUIVALENCIA"",
IF(fila=0,""SKU NO ENCONTRADO"",
LET(
valor,INDEX(Referencia!$A$2:$AZ6238,fila,col),
IF(TRIM(TO_TEXT(valor))=TRIM(TO_TEXT(I2933)),"&amp;"
""OK"",
""NO COINCIDE. Valor verdadero: ""&amp;IF(valor="""",""[VACÍO]"",TO_TEXT(valor))
)
))))
),""ERROR EN FÓRMULA""))"),"OK")</f>
        <v>OK</v>
      </c>
    </row>
    <row r="2934">
      <c r="A2934" s="83" t="s">
        <v>4854</v>
      </c>
      <c r="B2934" s="83" t="s">
        <v>4855</v>
      </c>
      <c r="C2934" s="81" t="s">
        <v>4621</v>
      </c>
      <c r="D2934" s="83" t="s">
        <v>4864</v>
      </c>
      <c r="E2934" s="81" t="s">
        <v>4016</v>
      </c>
      <c r="F2934" s="84">
        <v>800.0</v>
      </c>
      <c r="G2934" s="81" t="s">
        <v>29</v>
      </c>
      <c r="H2934" s="81" t="s">
        <v>224</v>
      </c>
      <c r="I2934" s="81" t="s">
        <v>1853</v>
      </c>
      <c r="J2934" s="81" t="s">
        <v>224</v>
      </c>
      <c r="K2934" s="81" t="str">
        <f>IFERROR(__xludf.DUMMYFUNCTION("IF(OR(D2934="""",G2934=""""),"""",IFERROR(LET(
campo,XLOOKUP(TRIM(G2934),ARRAYFORMULA(TRIM('indice columnas'!$A$2:$A$100)),'indice columnas'!$B$2:$B$100,""""),
col,IFERROR(MATCH(campo,Referencia!$A$1:$AZ$1,0),0),
fila,IFERROR(MATCH(TO_TEXT(D2934),ARRAYFOR"&amp;"MULA(TO_TEXT(Referencia!$A$2:$A6238)),0),0),
IF(OR(campo="""",campo=""-""),""NO APLICA"",
IF(col=0,""REVISAR EQUIVALENCIA"",
IF(fila=0,""SKU NO ENCONTRADO"",
LET(
valor,INDEX(Referencia!$A$2:$AZ6238,fila,col),
IF(TRIM(TO_TEXT(valor))=TRIM(TO_TEXT(I2934)),"&amp;"
""OK"",
""NO COINCIDE. Valor verdadero: ""&amp;IF(valor="""",""[VACÍO]"",TO_TEXT(valor))
)
))))
),""ERROR EN FÓRMULA""))"),"NO COINCIDE. Valor verdadero: Ø60 x 135")</f>
        <v>NO COINCIDE. Valor verdadero: Ø60 x 135</v>
      </c>
    </row>
    <row r="2935">
      <c r="A2935" s="83" t="s">
        <v>4854</v>
      </c>
      <c r="B2935" s="83" t="s">
        <v>4855</v>
      </c>
      <c r="C2935" s="81" t="s">
        <v>4621</v>
      </c>
      <c r="D2935" s="83" t="s">
        <v>4864</v>
      </c>
      <c r="E2935" s="81" t="s">
        <v>4016</v>
      </c>
      <c r="F2935" s="84">
        <v>800.0</v>
      </c>
      <c r="G2935" s="81" t="s">
        <v>30</v>
      </c>
      <c r="H2935" s="81" t="s">
        <v>224</v>
      </c>
      <c r="I2935" s="81" t="s">
        <v>55</v>
      </c>
      <c r="J2935" s="81" t="s">
        <v>224</v>
      </c>
      <c r="K2935" s="81" t="str">
        <f>IFERROR(__xludf.DUMMYFUNCTION("IF(OR(D2935="""",G2935=""""),"""",IFERROR(LET(
campo,XLOOKUP(TRIM(G2935),ARRAYFORMULA(TRIM('indice columnas'!$A$2:$A$100)),'indice columnas'!$B$2:$B$100,""""),
col,IFERROR(MATCH(campo,Referencia!$A$1:$AZ$1,0),0),
fila,IFERROR(MATCH(TO_TEXT(D2935),ARRAYFOR"&amp;"MULA(TO_TEXT(Referencia!$A$2:$A6238)),0),0),
IF(OR(campo="""",campo=""-""),""NO APLICA"",
IF(col=0,""REVISAR EQUIVALENCIA"",
IF(fila=0,""SKU NO ENCONTRADO"",
LET(
valor,INDEX(Referencia!$A$2:$AZ6238,fila,col),
IF(TRIM(TO_TEXT(valor))=TRIM(TO_TEXT(I2935)),"&amp;"
""OK"",
""NO COINCIDE. Valor verdadero: ""&amp;IF(valor="""",""[VACÍO]"",TO_TEXT(valor))
)
))))
),""ERROR EN FÓRMULA""))"),"OK")</f>
        <v>OK</v>
      </c>
    </row>
    <row r="2936">
      <c r="A2936" s="83" t="s">
        <v>4854</v>
      </c>
      <c r="B2936" s="83" t="s">
        <v>4855</v>
      </c>
      <c r="C2936" s="81" t="s">
        <v>4621</v>
      </c>
      <c r="D2936" s="83" t="s">
        <v>4864</v>
      </c>
      <c r="E2936" s="81" t="s">
        <v>4016</v>
      </c>
      <c r="F2936" s="84">
        <v>800.0</v>
      </c>
      <c r="G2936" s="81" t="s">
        <v>31</v>
      </c>
      <c r="H2936" s="81" t="s">
        <v>224</v>
      </c>
      <c r="I2936" s="81" t="s">
        <v>55</v>
      </c>
      <c r="J2936" s="81" t="s">
        <v>224</v>
      </c>
      <c r="K2936" s="81" t="str">
        <f>IFERROR(__xludf.DUMMYFUNCTION("IF(OR(D2936="""",G2936=""""),"""",IFERROR(LET(
campo,XLOOKUP(TRIM(G2936),ARRAYFORMULA(TRIM('indice columnas'!$A$2:$A$100)),'indice columnas'!$B$2:$B$100,""""),
col,IFERROR(MATCH(campo,Referencia!$A$1:$AZ$1,0),0),
fila,IFERROR(MATCH(TO_TEXT(D2936),ARRAYFOR"&amp;"MULA(TO_TEXT(Referencia!$A$2:$A6238)),0),0),
IF(OR(campo="""",campo=""-""),""NO APLICA"",
IF(col=0,""REVISAR EQUIVALENCIA"",
IF(fila=0,""SKU NO ENCONTRADO"",
LET(
valor,INDEX(Referencia!$A$2:$AZ6238,fila,col),
IF(TRIM(TO_TEXT(valor))=TRIM(TO_TEXT(I2936)),"&amp;"
""OK"",
""NO COINCIDE. Valor verdadero: ""&amp;IF(valor="""",""[VACÍO]"",TO_TEXT(valor))
)
))))
),""ERROR EN FÓRMULA""))"),"OK")</f>
        <v>OK</v>
      </c>
    </row>
    <row r="2937">
      <c r="A2937" s="83" t="s">
        <v>4854</v>
      </c>
      <c r="B2937" s="83" t="s">
        <v>4855</v>
      </c>
      <c r="C2937" s="81" t="s">
        <v>4621</v>
      </c>
      <c r="D2937" s="83" t="s">
        <v>4864</v>
      </c>
      <c r="E2937" s="81" t="s">
        <v>4016</v>
      </c>
      <c r="F2937" s="84">
        <v>800.0</v>
      </c>
      <c r="G2937" s="81" t="s">
        <v>32</v>
      </c>
      <c r="H2937" s="81" t="s">
        <v>224</v>
      </c>
      <c r="I2937" s="81" t="s">
        <v>63</v>
      </c>
      <c r="J2937" s="81" t="s">
        <v>224</v>
      </c>
      <c r="K2937" s="81" t="str">
        <f>IFERROR(__xludf.DUMMYFUNCTION("IF(OR(D2937="""",G2937=""""),"""",IFERROR(LET(
campo,XLOOKUP(TRIM(G2937),ARRAYFORMULA(TRIM('indice columnas'!$A$2:$A$100)),'indice columnas'!$B$2:$B$100,""""),
col,IFERROR(MATCH(campo,Referencia!$A$1:$AZ$1,0),0),
fila,IFERROR(MATCH(TO_TEXT(D2937),ARRAYFOR"&amp;"MULA(TO_TEXT(Referencia!$A$2:$A6238)),0),0),
IF(OR(campo="""",campo=""-""),""NO APLICA"",
IF(col=0,""REVISAR EQUIVALENCIA"",
IF(fila=0,""SKU NO ENCONTRADO"",
LET(
valor,INDEX(Referencia!$A$2:$AZ6238,fila,col),
IF(TRIM(TO_TEXT(valor))=TRIM(TO_TEXT(I2937)),"&amp;"
""OK"",
""NO COINCIDE. Valor verdadero: ""&amp;IF(valor="""",""[VACÍO]"",TO_TEXT(valor))
)
))))
),""ERROR EN FÓRMULA""))"),"OK")</f>
        <v>OK</v>
      </c>
    </row>
    <row r="2938">
      <c r="A2938" s="83" t="s">
        <v>4854</v>
      </c>
      <c r="B2938" s="83" t="s">
        <v>4855</v>
      </c>
      <c r="C2938" s="81" t="s">
        <v>4621</v>
      </c>
      <c r="D2938" s="83" t="s">
        <v>4864</v>
      </c>
      <c r="E2938" s="81" t="s">
        <v>4016</v>
      </c>
      <c r="F2938" s="84">
        <v>800.0</v>
      </c>
      <c r="G2938" s="81" t="s">
        <v>33</v>
      </c>
      <c r="H2938" s="81" t="s">
        <v>224</v>
      </c>
      <c r="I2938" s="81" t="s">
        <v>1833</v>
      </c>
      <c r="J2938" s="81" t="s">
        <v>224</v>
      </c>
      <c r="K2938" s="81" t="str">
        <f>IFERROR(__xludf.DUMMYFUNCTION("IF(OR(D2938="""",G2938=""""),"""",IFERROR(LET(
campo,XLOOKUP(TRIM(G2938),ARRAYFORMULA(TRIM('indice columnas'!$A$2:$A$100)),'indice columnas'!$B$2:$B$100,""""),
col,IFERROR(MATCH(campo,Referencia!$A$1:$AZ$1,0),0),
fila,IFERROR(MATCH(TO_TEXT(D2938),ARRAYFOR"&amp;"MULA(TO_TEXT(Referencia!$A$2:$A6238)),0),0),
IF(OR(campo="""",campo=""-""),""NO APLICA"",
IF(col=0,""REVISAR EQUIVALENCIA"",
IF(fila=0,""SKU NO ENCONTRADO"",
LET(
valor,INDEX(Referencia!$A$2:$AZ6238,fila,col),
IF(TRIM(TO_TEXT(valor))=TRIM(TO_TEXT(I2938)),"&amp;"
""OK"",
""NO COINCIDE. Valor verdadero: ""&amp;IF(valor="""",""[VACÍO]"",TO_TEXT(valor))
)
))))
),""ERROR EN FÓRMULA""))"),"OK")</f>
        <v>OK</v>
      </c>
    </row>
    <row r="2939">
      <c r="A2939" s="83" t="s">
        <v>4854</v>
      </c>
      <c r="B2939" s="83" t="s">
        <v>4855</v>
      </c>
      <c r="C2939" s="81" t="s">
        <v>4621</v>
      </c>
      <c r="D2939" s="83" t="s">
        <v>4864</v>
      </c>
      <c r="E2939" s="81" t="s">
        <v>4016</v>
      </c>
      <c r="F2939" s="84">
        <v>800.0</v>
      </c>
      <c r="G2939" s="81" t="s">
        <v>34</v>
      </c>
      <c r="H2939" s="81" t="s">
        <v>224</v>
      </c>
      <c r="I2939" s="81" t="s">
        <v>94</v>
      </c>
      <c r="J2939" s="81" t="s">
        <v>224</v>
      </c>
      <c r="K2939" s="81" t="str">
        <f>IFERROR(__xludf.DUMMYFUNCTION("IF(OR(D2939="""",G2939=""""),"""",IFERROR(LET(
campo,XLOOKUP(TRIM(G2939),ARRAYFORMULA(TRIM('indice columnas'!$A$2:$A$100)),'indice columnas'!$B$2:$B$100,""""),
col,IFERROR(MATCH(campo,Referencia!$A$1:$AZ$1,0),0),
fila,IFERROR(MATCH(TO_TEXT(D2939),ARRAYFOR"&amp;"MULA(TO_TEXT(Referencia!$A$2:$A6238)),0),0),
IF(OR(campo="""",campo=""-""),""NO APLICA"",
IF(col=0,""REVISAR EQUIVALENCIA"",
IF(fila=0,""SKU NO ENCONTRADO"",
LET(
valor,INDEX(Referencia!$A$2:$AZ6238,fila,col),
IF(TRIM(TO_TEXT(valor))=TRIM(TO_TEXT(I2939)),"&amp;"
""OK"",
""NO COINCIDE. Valor verdadero: ""&amp;IF(valor="""",""[VACÍO]"",TO_TEXT(valor))
)
))))
),""ERROR EN FÓRMULA""))"),"OK")</f>
        <v>OK</v>
      </c>
    </row>
    <row r="2940">
      <c r="A2940" s="83" t="s">
        <v>4854</v>
      </c>
      <c r="B2940" s="83" t="s">
        <v>4855</v>
      </c>
      <c r="C2940" s="81" t="s">
        <v>4621</v>
      </c>
      <c r="D2940" s="83" t="s">
        <v>4864</v>
      </c>
      <c r="E2940" s="81" t="s">
        <v>4016</v>
      </c>
      <c r="F2940" s="84">
        <v>800.0</v>
      </c>
      <c r="G2940" s="81" t="s">
        <v>35</v>
      </c>
      <c r="H2940" s="81" t="s">
        <v>224</v>
      </c>
      <c r="I2940" s="81" t="s">
        <v>49</v>
      </c>
      <c r="J2940" s="81" t="s">
        <v>224</v>
      </c>
      <c r="K2940" s="81" t="str">
        <f>IFERROR(__xludf.DUMMYFUNCTION("IF(OR(D2940="""",G2940=""""),"""",IFERROR(LET(
campo,XLOOKUP(TRIM(G2940),ARRAYFORMULA(TRIM('indice columnas'!$A$2:$A$100)),'indice columnas'!$B$2:$B$100,""""),
col,IFERROR(MATCH(campo,Referencia!$A$1:$AZ$1,0),0),
fila,IFERROR(MATCH(TO_TEXT(D2940),ARRAYFOR"&amp;"MULA(TO_TEXT(Referencia!$A$2:$A6238)),0),0),
IF(OR(campo="""",campo=""-""),""NO APLICA"",
IF(col=0,""REVISAR EQUIVALENCIA"",
IF(fila=0,""SKU NO ENCONTRADO"",
LET(
valor,INDEX(Referencia!$A$2:$AZ6238,fila,col),
IF(TRIM(TO_TEXT(valor))=TRIM(TO_TEXT(I2940)),"&amp;"
""OK"",
""NO COINCIDE. Valor verdadero: ""&amp;IF(valor="""",""[VACÍO]"",TO_TEXT(valor))
)
))))
),""ERROR EN FÓRMULA""))"),"OK")</f>
        <v>OK</v>
      </c>
    </row>
    <row r="2941">
      <c r="A2941" s="83" t="s">
        <v>4854</v>
      </c>
      <c r="B2941" s="83" t="s">
        <v>4855</v>
      </c>
      <c r="C2941" s="81" t="s">
        <v>4621</v>
      </c>
      <c r="D2941" s="83" t="s">
        <v>4864</v>
      </c>
      <c r="E2941" s="81" t="s">
        <v>4016</v>
      </c>
      <c r="F2941" s="84">
        <v>800.0</v>
      </c>
      <c r="G2941" s="81" t="s">
        <v>36</v>
      </c>
      <c r="H2941" s="81" t="s">
        <v>224</v>
      </c>
      <c r="I2941" s="81" t="s">
        <v>95</v>
      </c>
      <c r="J2941" s="81" t="s">
        <v>224</v>
      </c>
      <c r="K2941" s="81" t="str">
        <f>IFERROR(__xludf.DUMMYFUNCTION("IF(OR(D2941="""",G2941=""""),"""",IFERROR(LET(
campo,XLOOKUP(TRIM(G2941),ARRAYFORMULA(TRIM('indice columnas'!$A$2:$A$100)),'indice columnas'!$B$2:$B$100,""""),
col,IFERROR(MATCH(campo,Referencia!$A$1:$AZ$1,0),0),
fila,IFERROR(MATCH(TO_TEXT(D2941),ARRAYFOR"&amp;"MULA(TO_TEXT(Referencia!$A$2:$A6238)),0),0),
IF(OR(campo="""",campo=""-""),""NO APLICA"",
IF(col=0,""REVISAR EQUIVALENCIA"",
IF(fila=0,""SKU NO ENCONTRADO"",
LET(
valor,INDEX(Referencia!$A$2:$AZ6238,fila,col),
IF(TRIM(TO_TEXT(valor))=TRIM(TO_TEXT(I2941)),"&amp;"
""OK"",
""NO COINCIDE. Valor verdadero: ""&amp;IF(valor="""",""[VACÍO]"",TO_TEXT(valor))
)
))))
),""ERROR EN FÓRMULA""))"),"REVISAR EQUIVALENCIA")</f>
        <v>REVISAR EQUIVALENCIA</v>
      </c>
    </row>
    <row r="2942">
      <c r="A2942" s="83" t="s">
        <v>4854</v>
      </c>
      <c r="B2942" s="83" t="s">
        <v>4855</v>
      </c>
      <c r="C2942" s="81" t="s">
        <v>4621</v>
      </c>
      <c r="D2942" s="83" t="s">
        <v>4864</v>
      </c>
      <c r="E2942" s="81" t="s">
        <v>4016</v>
      </c>
      <c r="F2942" s="84">
        <v>800.0</v>
      </c>
      <c r="G2942" s="81" t="s">
        <v>37</v>
      </c>
      <c r="H2942" s="81" t="s">
        <v>224</v>
      </c>
      <c r="I2942" s="81" t="s">
        <v>66</v>
      </c>
      <c r="J2942" s="81" t="s">
        <v>224</v>
      </c>
      <c r="K2942" s="81" t="str">
        <f>IFERROR(__xludf.DUMMYFUNCTION("IF(OR(D2942="""",G2942=""""),"""",IFERROR(LET(
campo,XLOOKUP(TRIM(G2942),ARRAYFORMULA(TRIM('indice columnas'!$A$2:$A$100)),'indice columnas'!$B$2:$B$100,""""),
col,IFERROR(MATCH(campo,Referencia!$A$1:$AZ$1,0),0),
fila,IFERROR(MATCH(TO_TEXT(D2942),ARRAYFOR"&amp;"MULA(TO_TEXT(Referencia!$A$2:$A6238)),0),0),
IF(OR(campo="""",campo=""-""),""NO APLICA"",
IF(col=0,""REVISAR EQUIVALENCIA"",
IF(fila=0,""SKU NO ENCONTRADO"",
LET(
valor,INDEX(Referencia!$A$2:$AZ6238,fila,col),
IF(TRIM(TO_TEXT(valor))=TRIM(TO_TEXT(I2942)),"&amp;"
""OK"",
""NO COINCIDE. Valor verdadero: ""&amp;IF(valor="""",""[VACÍO]"",TO_TEXT(valor))
)
))))
),""ERROR EN FÓRMULA""))"),"OK")</f>
        <v>OK</v>
      </c>
    </row>
    <row r="2943">
      <c r="A2943" s="83" t="s">
        <v>4854</v>
      </c>
      <c r="B2943" s="83" t="s">
        <v>4855</v>
      </c>
      <c r="C2943" s="81" t="s">
        <v>4621</v>
      </c>
      <c r="D2943" s="83" t="s">
        <v>4864</v>
      </c>
      <c r="E2943" s="81" t="s">
        <v>4016</v>
      </c>
      <c r="F2943" s="84">
        <v>800.0</v>
      </c>
      <c r="G2943" s="81" t="s">
        <v>41</v>
      </c>
      <c r="H2943" s="81" t="s">
        <v>224</v>
      </c>
      <c r="I2943" s="81" t="s">
        <v>1825</v>
      </c>
      <c r="J2943" s="81" t="s">
        <v>224</v>
      </c>
      <c r="K2943" s="81" t="str">
        <f>IFERROR(__xludf.DUMMYFUNCTION("IF(OR(D2943="""",G2943=""""),"""",IFERROR(LET(
campo,XLOOKUP(TRIM(G2943),ARRAYFORMULA(TRIM('indice columnas'!$A$2:$A$100)),'indice columnas'!$B$2:$B$100,""""),
col,IFERROR(MATCH(campo,Referencia!$A$1:$AZ$1,0),0),
fila,IFERROR(MATCH(TO_TEXT(D2943),ARRAYFOR"&amp;"MULA(TO_TEXT(Referencia!$A$2:$A6238)),0),0),
IF(OR(campo="""",campo=""-""),""NO APLICA"",
IF(col=0,""REVISAR EQUIVALENCIA"",
IF(fila=0,""SKU NO ENCONTRADO"",
LET(
valor,INDEX(Referencia!$A$2:$AZ6238,fila,col),
IF(TRIM(TO_TEXT(valor))=TRIM(TO_TEXT(I2943)),"&amp;"
""OK"",
""NO COINCIDE. Valor verdadero: ""&amp;IF(valor="""",""[VACÍO]"",TO_TEXT(valor))
)
))))
),""ERROR EN FÓRMULA""))"),"REVISAR EQUIVALENCIA")</f>
        <v>REVISAR EQUIVALENCIA</v>
      </c>
    </row>
    <row r="2944">
      <c r="A2944" s="83" t="s">
        <v>4854</v>
      </c>
      <c r="B2944" s="83" t="s">
        <v>4855</v>
      </c>
      <c r="C2944" s="81" t="s">
        <v>4621</v>
      </c>
      <c r="D2944" s="83" t="s">
        <v>4865</v>
      </c>
      <c r="E2944" s="81" t="s">
        <v>4017</v>
      </c>
      <c r="F2944" s="84">
        <v>801.0</v>
      </c>
      <c r="G2944" s="81" t="s">
        <v>10</v>
      </c>
      <c r="H2944" s="81" t="s">
        <v>224</v>
      </c>
      <c r="I2944" s="81" t="s">
        <v>84</v>
      </c>
      <c r="J2944" s="81" t="s">
        <v>224</v>
      </c>
      <c r="K2944" s="81" t="str">
        <f>IFERROR(__xludf.DUMMYFUNCTION("IF(OR(D2944="""",G2944=""""),"""",IFERROR(LET(
campo,XLOOKUP(TRIM(G2944),ARRAYFORMULA(TRIM('indice columnas'!$A$2:$A$100)),'indice columnas'!$B$2:$B$100,""""),
col,IFERROR(MATCH(campo,Referencia!$A$1:$AZ$1,0),0),
fila,IFERROR(MATCH(TO_TEXT(D2944),ARRAYFOR"&amp;"MULA(TO_TEXT(Referencia!$A$2:$A6238)),0),0),
IF(OR(campo="""",campo=""-""),""NO APLICA"",
IF(col=0,""REVISAR EQUIVALENCIA"",
IF(fila=0,""SKU NO ENCONTRADO"",
LET(
valor,INDEX(Referencia!$A$2:$AZ6238,fila,col),
IF(TRIM(TO_TEXT(valor))=TRIM(TO_TEXT(I2944)),"&amp;"
""OK"",
""NO COINCIDE. Valor verdadero: ""&amp;IF(valor="""",""[VACÍO]"",TO_TEXT(valor))
)
))))
),""ERROR EN FÓRMULA""))"),"OK")</f>
        <v>OK</v>
      </c>
    </row>
    <row r="2945">
      <c r="A2945" s="83" t="s">
        <v>4854</v>
      </c>
      <c r="B2945" s="83" t="s">
        <v>4855</v>
      </c>
      <c r="C2945" s="81" t="s">
        <v>4621</v>
      </c>
      <c r="D2945" s="83" t="s">
        <v>4865</v>
      </c>
      <c r="E2945" s="81" t="s">
        <v>4017</v>
      </c>
      <c r="F2945" s="84">
        <v>801.0</v>
      </c>
      <c r="G2945" s="81" t="s">
        <v>11</v>
      </c>
      <c r="H2945" s="81" t="s">
        <v>224</v>
      </c>
      <c r="I2945" s="81" t="s">
        <v>126</v>
      </c>
      <c r="J2945" s="81" t="s">
        <v>224</v>
      </c>
      <c r="K2945" s="81" t="str">
        <f>IFERROR(__xludf.DUMMYFUNCTION("IF(OR(D2945="""",G2945=""""),"""",IFERROR(LET(
campo,XLOOKUP(TRIM(G2945),ARRAYFORMULA(TRIM('indice columnas'!$A$2:$A$100)),'indice columnas'!$B$2:$B$100,""""),
col,IFERROR(MATCH(campo,Referencia!$A$1:$AZ$1,0),0),
fila,IFERROR(MATCH(TO_TEXT(D2945),ARRAYFOR"&amp;"MULA(TO_TEXT(Referencia!$A$2:$A6238)),0),0),
IF(OR(campo="""",campo=""-""),""NO APLICA"",
IF(col=0,""REVISAR EQUIVALENCIA"",
IF(fila=0,""SKU NO ENCONTRADO"",
LET(
valor,INDEX(Referencia!$A$2:$AZ6238,fila,col),
IF(TRIM(TO_TEXT(valor))=TRIM(TO_TEXT(I2945)),"&amp;"
""OK"",
""NO COINCIDE. Valor verdadero: ""&amp;IF(valor="""",""[VACÍO]"",TO_TEXT(valor))
)
))))
),""ERROR EN FÓRMULA""))"),"OK")</f>
        <v>OK</v>
      </c>
    </row>
    <row r="2946">
      <c r="A2946" s="83" t="s">
        <v>4854</v>
      </c>
      <c r="B2946" s="83" t="s">
        <v>4855</v>
      </c>
      <c r="C2946" s="81" t="s">
        <v>4621</v>
      </c>
      <c r="D2946" s="83" t="s">
        <v>4865</v>
      </c>
      <c r="E2946" s="81" t="s">
        <v>4017</v>
      </c>
      <c r="F2946" s="84">
        <v>801.0</v>
      </c>
      <c r="G2946" s="81" t="s">
        <v>12</v>
      </c>
      <c r="H2946" s="81" t="s">
        <v>224</v>
      </c>
      <c r="I2946" s="81" t="s">
        <v>55</v>
      </c>
      <c r="J2946" s="81" t="s">
        <v>224</v>
      </c>
      <c r="K2946" s="81" t="str">
        <f>IFERROR(__xludf.DUMMYFUNCTION("IF(OR(D2946="""",G2946=""""),"""",IFERROR(LET(
campo,XLOOKUP(TRIM(G2946),ARRAYFORMULA(TRIM('indice columnas'!$A$2:$A$100)),'indice columnas'!$B$2:$B$100,""""),
col,IFERROR(MATCH(campo,Referencia!$A$1:$AZ$1,0),0),
fila,IFERROR(MATCH(TO_TEXT(D2946),ARRAYFOR"&amp;"MULA(TO_TEXT(Referencia!$A$2:$A6238)),0),0),
IF(OR(campo="""",campo=""-""),""NO APLICA"",
IF(col=0,""REVISAR EQUIVALENCIA"",
IF(fila=0,""SKU NO ENCONTRADO"",
LET(
valor,INDEX(Referencia!$A$2:$AZ6238,fila,col),
IF(TRIM(TO_TEXT(valor))=TRIM(TO_TEXT(I2946)),"&amp;"
""OK"",
""NO COINCIDE. Valor verdadero: ""&amp;IF(valor="""",""[VACÍO]"",TO_TEXT(valor))
)
))))
),""ERROR EN FÓRMULA""))"),"OK")</f>
        <v>OK</v>
      </c>
    </row>
    <row r="2947">
      <c r="A2947" s="83" t="s">
        <v>4854</v>
      </c>
      <c r="B2947" s="83" t="s">
        <v>4855</v>
      </c>
      <c r="C2947" s="81" t="s">
        <v>4621</v>
      </c>
      <c r="D2947" s="83" t="s">
        <v>4865</v>
      </c>
      <c r="E2947" s="81" t="s">
        <v>4017</v>
      </c>
      <c r="F2947" s="84">
        <v>801.0</v>
      </c>
      <c r="G2947" s="81" t="s">
        <v>13</v>
      </c>
      <c r="H2947" s="81" t="s">
        <v>224</v>
      </c>
      <c r="I2947" s="81" t="s">
        <v>85</v>
      </c>
      <c r="J2947" s="81" t="s">
        <v>224</v>
      </c>
      <c r="K2947" s="81" t="str">
        <f>IFERROR(__xludf.DUMMYFUNCTION("IF(OR(D2947="""",G2947=""""),"""",IFERROR(LET(
campo,XLOOKUP(TRIM(G2947),ARRAYFORMULA(TRIM('indice columnas'!$A$2:$A$100)),'indice columnas'!$B$2:$B$100,""""),
col,IFERROR(MATCH(campo,Referencia!$A$1:$AZ$1,0),0),
fila,IFERROR(MATCH(TO_TEXT(D2947),ARRAYFOR"&amp;"MULA(TO_TEXT(Referencia!$A$2:$A6238)),0),0),
IF(OR(campo="""",campo=""-""),""NO APLICA"",
IF(col=0,""REVISAR EQUIVALENCIA"",
IF(fila=0,""SKU NO ENCONTRADO"",
LET(
valor,INDEX(Referencia!$A$2:$AZ6238,fila,col),
IF(TRIM(TO_TEXT(valor))=TRIM(TO_TEXT(I2947)),"&amp;"
""OK"",
""NO COINCIDE. Valor verdadero: ""&amp;IF(valor="""",""[VACÍO]"",TO_TEXT(valor))
)
))))
),""ERROR EN FÓRMULA""))"),"OK")</f>
        <v>OK</v>
      </c>
    </row>
    <row r="2948">
      <c r="A2948" s="83" t="s">
        <v>4854</v>
      </c>
      <c r="B2948" s="83" t="s">
        <v>4855</v>
      </c>
      <c r="C2948" s="81" t="s">
        <v>4621</v>
      </c>
      <c r="D2948" s="83" t="s">
        <v>4865</v>
      </c>
      <c r="E2948" s="81" t="s">
        <v>4017</v>
      </c>
      <c r="F2948" s="84">
        <v>801.0</v>
      </c>
      <c r="G2948" s="81" t="s">
        <v>14</v>
      </c>
      <c r="H2948" s="81" t="s">
        <v>224</v>
      </c>
      <c r="I2948" s="81" t="s">
        <v>1845</v>
      </c>
      <c r="J2948" s="81" t="s">
        <v>224</v>
      </c>
      <c r="K2948" s="81" t="str">
        <f>IFERROR(__xludf.DUMMYFUNCTION("IF(OR(D2948="""",G2948=""""),"""",IFERROR(LET(
campo,XLOOKUP(TRIM(G2948),ARRAYFORMULA(TRIM('indice columnas'!$A$2:$A$100)),'indice columnas'!$B$2:$B$100,""""),
col,IFERROR(MATCH(campo,Referencia!$A$1:$AZ$1,0),0),
fila,IFERROR(MATCH(TO_TEXT(D2948),ARRAYFOR"&amp;"MULA(TO_TEXT(Referencia!$A$2:$A6238)),0),0),
IF(OR(campo="""",campo=""-""),""NO APLICA"",
IF(col=0,""REVISAR EQUIVALENCIA"",
IF(fila=0,""SKU NO ENCONTRADO"",
LET(
valor,INDEX(Referencia!$A$2:$AZ6238,fila,col),
IF(TRIM(TO_TEXT(valor))=TRIM(TO_TEXT(I2948)),"&amp;"
""OK"",
""NO COINCIDE. Valor verdadero: ""&amp;IF(valor="""",""[VACÍO]"",TO_TEXT(valor))
)
))))
),""ERROR EN FÓRMULA""))"),"OK")</f>
        <v>OK</v>
      </c>
    </row>
    <row r="2949">
      <c r="A2949" s="83" t="s">
        <v>4854</v>
      </c>
      <c r="B2949" s="83" t="s">
        <v>4855</v>
      </c>
      <c r="C2949" s="81" t="s">
        <v>4621</v>
      </c>
      <c r="D2949" s="83" t="s">
        <v>4865</v>
      </c>
      <c r="E2949" s="81" t="s">
        <v>4017</v>
      </c>
      <c r="F2949" s="84">
        <v>801.0</v>
      </c>
      <c r="G2949" s="81" t="s">
        <v>15</v>
      </c>
      <c r="H2949" s="81" t="s">
        <v>224</v>
      </c>
      <c r="I2949" s="81" t="s">
        <v>55</v>
      </c>
      <c r="J2949" s="81" t="s">
        <v>224</v>
      </c>
      <c r="K2949" s="81" t="str">
        <f>IFERROR(__xludf.DUMMYFUNCTION("IF(OR(D2949="""",G2949=""""),"""",IFERROR(LET(
campo,XLOOKUP(TRIM(G2949),ARRAYFORMULA(TRIM('indice columnas'!$A$2:$A$100)),'indice columnas'!$B$2:$B$100,""""),
col,IFERROR(MATCH(campo,Referencia!$A$1:$AZ$1,0),0),
fila,IFERROR(MATCH(TO_TEXT(D2949),ARRAYFOR"&amp;"MULA(TO_TEXT(Referencia!$A$2:$A6238)),0),0),
IF(OR(campo="""",campo=""-""),""NO APLICA"",
IF(col=0,""REVISAR EQUIVALENCIA"",
IF(fila=0,""SKU NO ENCONTRADO"",
LET(
valor,INDEX(Referencia!$A$2:$AZ6238,fila,col),
IF(TRIM(TO_TEXT(valor))=TRIM(TO_TEXT(I2949)),"&amp;"
""OK"",
""NO COINCIDE. Valor verdadero: ""&amp;IF(valor="""",""[VACÍO]"",TO_TEXT(valor))
)
))))
),""ERROR EN FÓRMULA""))"),"OK")</f>
        <v>OK</v>
      </c>
    </row>
    <row r="2950">
      <c r="A2950" s="83" t="s">
        <v>4854</v>
      </c>
      <c r="B2950" s="83" t="s">
        <v>4855</v>
      </c>
      <c r="C2950" s="81" t="s">
        <v>4621</v>
      </c>
      <c r="D2950" s="83" t="s">
        <v>4865</v>
      </c>
      <c r="E2950" s="81" t="s">
        <v>4017</v>
      </c>
      <c r="F2950" s="84">
        <v>801.0</v>
      </c>
      <c r="G2950" s="81" t="s">
        <v>16</v>
      </c>
      <c r="H2950" s="81" t="s">
        <v>224</v>
      </c>
      <c r="I2950" s="81" t="s">
        <v>1299</v>
      </c>
      <c r="J2950" s="81" t="s">
        <v>224</v>
      </c>
      <c r="K2950" s="81" t="str">
        <f>IFERROR(__xludf.DUMMYFUNCTION("IF(OR(D2950="""",G2950=""""),"""",IFERROR(LET(
campo,XLOOKUP(TRIM(G2950),ARRAYFORMULA(TRIM('indice columnas'!$A$2:$A$100)),'indice columnas'!$B$2:$B$100,""""),
col,IFERROR(MATCH(campo,Referencia!$A$1:$AZ$1,0),0),
fila,IFERROR(MATCH(TO_TEXT(D2950),ARRAYFOR"&amp;"MULA(TO_TEXT(Referencia!$A$2:$A6238)),0),0),
IF(OR(campo="""",campo=""-""),""NO APLICA"",
IF(col=0,""REVISAR EQUIVALENCIA"",
IF(fila=0,""SKU NO ENCONTRADO"",
LET(
valor,INDEX(Referencia!$A$2:$AZ6238,fila,col),
IF(TRIM(TO_TEXT(valor))=TRIM(TO_TEXT(I2950)),"&amp;"
""OK"",
""NO COINCIDE. Valor verdadero: ""&amp;IF(valor="""",""[VACÍO]"",TO_TEXT(valor))
)
))))
),""ERROR EN FÓRMULA""))"),"NO COINCIDE. Valor verdadero: 10")</f>
        <v>NO COINCIDE. Valor verdadero: 10</v>
      </c>
    </row>
    <row r="2951">
      <c r="A2951" s="83" t="s">
        <v>4854</v>
      </c>
      <c r="B2951" s="83" t="s">
        <v>4855</v>
      </c>
      <c r="C2951" s="81" t="s">
        <v>4621</v>
      </c>
      <c r="D2951" s="83" t="s">
        <v>4865</v>
      </c>
      <c r="E2951" s="81" t="s">
        <v>4017</v>
      </c>
      <c r="F2951" s="84">
        <v>801.0</v>
      </c>
      <c r="G2951" s="81" t="s">
        <v>17</v>
      </c>
      <c r="H2951" s="81" t="s">
        <v>224</v>
      </c>
      <c r="I2951" s="81" t="s">
        <v>55</v>
      </c>
      <c r="J2951" s="81" t="s">
        <v>224</v>
      </c>
      <c r="K2951" s="81" t="str">
        <f>IFERROR(__xludf.DUMMYFUNCTION("IF(OR(D2951="""",G2951=""""),"""",IFERROR(LET(
campo,XLOOKUP(TRIM(G2951),ARRAYFORMULA(TRIM('indice columnas'!$A$2:$A$100)),'indice columnas'!$B$2:$B$100,""""),
col,IFERROR(MATCH(campo,Referencia!$A$1:$AZ$1,0),0),
fila,IFERROR(MATCH(TO_TEXT(D2951),ARRAYFOR"&amp;"MULA(TO_TEXT(Referencia!$A$2:$A6238)),0),0),
IF(OR(campo="""",campo=""-""),""NO APLICA"",
IF(col=0,""REVISAR EQUIVALENCIA"",
IF(fila=0,""SKU NO ENCONTRADO"",
LET(
valor,INDEX(Referencia!$A$2:$AZ6238,fila,col),
IF(TRIM(TO_TEXT(valor))=TRIM(TO_TEXT(I2951)),"&amp;"
""OK"",
""NO COINCIDE. Valor verdadero: ""&amp;IF(valor="""",""[VACÍO]"",TO_TEXT(valor))
)
))))
),""ERROR EN FÓRMULA""))"),"OK")</f>
        <v>OK</v>
      </c>
    </row>
    <row r="2952">
      <c r="A2952" s="83" t="s">
        <v>4854</v>
      </c>
      <c r="B2952" s="83" t="s">
        <v>4855</v>
      </c>
      <c r="C2952" s="81" t="s">
        <v>4621</v>
      </c>
      <c r="D2952" s="83" t="s">
        <v>4865</v>
      </c>
      <c r="E2952" s="81" t="s">
        <v>4017</v>
      </c>
      <c r="F2952" s="84">
        <v>801.0</v>
      </c>
      <c r="G2952" s="81" t="s">
        <v>18</v>
      </c>
      <c r="H2952" s="81" t="s">
        <v>224</v>
      </c>
      <c r="I2952" s="81" t="s">
        <v>49</v>
      </c>
      <c r="J2952" s="81" t="s">
        <v>224</v>
      </c>
      <c r="K2952" s="81" t="str">
        <f>IFERROR(__xludf.DUMMYFUNCTION("IF(OR(D2952="""",G2952=""""),"""",IFERROR(LET(
campo,XLOOKUP(TRIM(G2952),ARRAYFORMULA(TRIM('indice columnas'!$A$2:$A$100)),'indice columnas'!$B$2:$B$100,""""),
col,IFERROR(MATCH(campo,Referencia!$A$1:$AZ$1,0),0),
fila,IFERROR(MATCH(TO_TEXT(D2952),ARRAYFOR"&amp;"MULA(TO_TEXT(Referencia!$A$2:$A6238)),0),0),
IF(OR(campo="""",campo=""-""),""NO APLICA"",
IF(col=0,""REVISAR EQUIVALENCIA"",
IF(fila=0,""SKU NO ENCONTRADO"",
LET(
valor,INDEX(Referencia!$A$2:$AZ6238,fila,col),
IF(TRIM(TO_TEXT(valor))=TRIM(TO_TEXT(I2952)),"&amp;"
""OK"",
""NO COINCIDE. Valor verdadero: ""&amp;IF(valor="""",""[VACÍO]"",TO_TEXT(valor))
)
))))
),""ERROR EN FÓRMULA""))"),"OK")</f>
        <v>OK</v>
      </c>
    </row>
    <row r="2953">
      <c r="A2953" s="83" t="s">
        <v>4854</v>
      </c>
      <c r="B2953" s="83" t="s">
        <v>4855</v>
      </c>
      <c r="C2953" s="81" t="s">
        <v>4621</v>
      </c>
      <c r="D2953" s="83" t="s">
        <v>4865</v>
      </c>
      <c r="E2953" s="81" t="s">
        <v>4017</v>
      </c>
      <c r="F2953" s="84">
        <v>801.0</v>
      </c>
      <c r="G2953" s="81" t="s">
        <v>19</v>
      </c>
      <c r="H2953" s="81" t="s">
        <v>224</v>
      </c>
      <c r="I2953" s="81" t="s">
        <v>49</v>
      </c>
      <c r="J2953" s="81" t="s">
        <v>224</v>
      </c>
      <c r="K2953" s="81" t="str">
        <f>IFERROR(__xludf.DUMMYFUNCTION("IF(OR(D2953="""",G2953=""""),"""",IFERROR(LET(
campo,XLOOKUP(TRIM(G2953),ARRAYFORMULA(TRIM('indice columnas'!$A$2:$A$100)),'indice columnas'!$B$2:$B$100,""""),
col,IFERROR(MATCH(campo,Referencia!$A$1:$AZ$1,0),0),
fila,IFERROR(MATCH(TO_TEXT(D2953),ARRAYFOR"&amp;"MULA(TO_TEXT(Referencia!$A$2:$A6238)),0),0),
IF(OR(campo="""",campo=""-""),""NO APLICA"",
IF(col=0,""REVISAR EQUIVALENCIA"",
IF(fila=0,""SKU NO ENCONTRADO"",
LET(
valor,INDEX(Referencia!$A$2:$AZ6238,fila,col),
IF(TRIM(TO_TEXT(valor))=TRIM(TO_TEXT(I2953)),"&amp;"
""OK"",
""NO COINCIDE. Valor verdadero: ""&amp;IF(valor="""",""[VACÍO]"",TO_TEXT(valor))
)
))))
),""ERROR EN FÓRMULA""))"),"OK")</f>
        <v>OK</v>
      </c>
    </row>
    <row r="2954">
      <c r="A2954" s="83" t="s">
        <v>4854</v>
      </c>
      <c r="B2954" s="83" t="s">
        <v>4855</v>
      </c>
      <c r="C2954" s="81" t="s">
        <v>4621</v>
      </c>
      <c r="D2954" s="83" t="s">
        <v>4865</v>
      </c>
      <c r="E2954" s="81" t="s">
        <v>4017</v>
      </c>
      <c r="F2954" s="84">
        <v>801.0</v>
      </c>
      <c r="G2954" s="81" t="s">
        <v>20</v>
      </c>
      <c r="H2954" s="81" t="s">
        <v>224</v>
      </c>
      <c r="I2954" s="81" t="s">
        <v>1850</v>
      </c>
      <c r="J2954" s="81" t="s">
        <v>224</v>
      </c>
      <c r="K2954" s="81" t="str">
        <f>IFERROR(__xludf.DUMMYFUNCTION("IF(OR(D2954="""",G2954=""""),"""",IFERROR(LET(
campo,XLOOKUP(TRIM(G2954),ARRAYFORMULA(TRIM('indice columnas'!$A$2:$A$100)),'indice columnas'!$B$2:$B$100,""""),
col,IFERROR(MATCH(campo,Referencia!$A$1:$AZ$1,0),0),
fila,IFERROR(MATCH(TO_TEXT(D2954),ARRAYFOR"&amp;"MULA(TO_TEXT(Referencia!$A$2:$A6238)),0),0),
IF(OR(campo="""",campo=""-""),""NO APLICA"",
IF(col=0,""REVISAR EQUIVALENCIA"",
IF(fila=0,""SKU NO ENCONTRADO"",
LET(
valor,INDEX(Referencia!$A$2:$AZ6238,fila,col),
IF(TRIM(TO_TEXT(valor))=TRIM(TO_TEXT(I2954)),"&amp;"
""OK"",
""NO COINCIDE. Valor verdadero: ""&amp;IF(valor="""",""[VACÍO]"",TO_TEXT(valor))
)
))))
),""ERROR EN FÓRMULA""))"),"NO COINCIDE. Valor verdadero: 675")</f>
        <v>NO COINCIDE. Valor verdadero: 675</v>
      </c>
    </row>
    <row r="2955">
      <c r="A2955" s="83" t="s">
        <v>4854</v>
      </c>
      <c r="B2955" s="83" t="s">
        <v>4855</v>
      </c>
      <c r="C2955" s="81" t="s">
        <v>4621</v>
      </c>
      <c r="D2955" s="83" t="s">
        <v>4865</v>
      </c>
      <c r="E2955" s="81" t="s">
        <v>4017</v>
      </c>
      <c r="F2955" s="84">
        <v>801.0</v>
      </c>
      <c r="G2955" s="81" t="s">
        <v>21</v>
      </c>
      <c r="H2955" s="81" t="s">
        <v>224</v>
      </c>
      <c r="I2955" s="81" t="s">
        <v>1851</v>
      </c>
      <c r="J2955" s="81" t="s">
        <v>224</v>
      </c>
      <c r="K2955" s="81" t="str">
        <f>IFERROR(__xludf.DUMMYFUNCTION("IF(OR(D2955="""",G2955=""""),"""",IFERROR(LET(
campo,XLOOKUP(TRIM(G2955),ARRAYFORMULA(TRIM('indice columnas'!$A$2:$A$100)),'indice columnas'!$B$2:$B$100,""""),
col,IFERROR(MATCH(campo,Referencia!$A$1:$AZ$1,0),0),
fila,IFERROR(MATCH(TO_TEXT(D2955),ARRAYFOR"&amp;"MULA(TO_TEXT(Referencia!$A$2:$A6238)),0),0),
IF(OR(campo="""",campo=""-""),""NO APLICA"",
IF(col=0,""REVISAR EQUIVALENCIA"",
IF(fila=0,""SKU NO ENCONTRADO"",
LET(
valor,INDEX(Referencia!$A$2:$AZ6238,fila,col),
IF(TRIM(TO_TEXT(valor))=TRIM(TO_TEXT(I2955)),"&amp;"
""OK"",
""NO COINCIDE. Valor verdadero: ""&amp;IF(valor="""",""[VACÍO]"",TO_TEXT(valor))
)
))))
),""ERROR EN FÓRMULA""))"),"NO COINCIDE. Valor verdadero: 68")</f>
        <v>NO COINCIDE. Valor verdadero: 68</v>
      </c>
    </row>
    <row r="2956">
      <c r="A2956" s="83" t="s">
        <v>4854</v>
      </c>
      <c r="B2956" s="83" t="s">
        <v>4855</v>
      </c>
      <c r="C2956" s="81" t="s">
        <v>4621</v>
      </c>
      <c r="D2956" s="83" t="s">
        <v>4865</v>
      </c>
      <c r="E2956" s="81" t="s">
        <v>4017</v>
      </c>
      <c r="F2956" s="84">
        <v>801.0</v>
      </c>
      <c r="G2956" s="81" t="s">
        <v>22</v>
      </c>
      <c r="H2956" s="81" t="s">
        <v>224</v>
      </c>
      <c r="I2956" s="81" t="s">
        <v>4013</v>
      </c>
      <c r="J2956" s="81" t="s">
        <v>224</v>
      </c>
      <c r="K2956" s="81" t="str">
        <f>IFERROR(__xludf.DUMMYFUNCTION("IF(OR(D2956="""",G2956=""""),"""",IFERROR(LET(
campo,XLOOKUP(TRIM(G2956),ARRAYFORMULA(TRIM('indice columnas'!$A$2:$A$100)),'indice columnas'!$B$2:$B$100,""""),
col,IFERROR(MATCH(campo,Referencia!$A$1:$AZ$1,0),0),
fila,IFERROR(MATCH(TO_TEXT(D2956),ARRAYFOR"&amp;"MULA(TO_TEXT(Referencia!$A$2:$A6238)),0),0),
IF(OR(campo="""",campo=""-""),""NO APLICA"",
IF(col=0,""REVISAR EQUIVALENCIA"",
IF(fila=0,""SKU NO ENCONTRADO"",
LET(
valor,INDEX(Referencia!$A$2:$AZ6238,fila,col),
IF(TRIM(TO_TEXT(valor))=TRIM(TO_TEXT(I2956)),"&amp;"
""OK"",
""NO COINCIDE. Valor verdadero: ""&amp;IF(valor="""",""[VACÍO]"",TO_TEXT(valor))
)
))))
),""ERROR EN FÓRMULA""))"),"NO COINCIDE. Valor verdadero: 2200")</f>
        <v>NO COINCIDE. Valor verdadero: 2200</v>
      </c>
    </row>
    <row r="2957">
      <c r="A2957" s="83" t="s">
        <v>4854</v>
      </c>
      <c r="B2957" s="83" t="s">
        <v>4855</v>
      </c>
      <c r="C2957" s="81" t="s">
        <v>4621</v>
      </c>
      <c r="D2957" s="83" t="s">
        <v>4865</v>
      </c>
      <c r="E2957" s="81" t="s">
        <v>4017</v>
      </c>
      <c r="F2957" s="84">
        <v>801.0</v>
      </c>
      <c r="G2957" s="81" t="s">
        <v>23</v>
      </c>
      <c r="H2957" s="81" t="s">
        <v>224</v>
      </c>
      <c r="I2957" s="81" t="s">
        <v>108</v>
      </c>
      <c r="J2957" s="81" t="s">
        <v>224</v>
      </c>
      <c r="K2957" s="81" t="str">
        <f>IFERROR(__xludf.DUMMYFUNCTION("IF(OR(D2957="""",G2957=""""),"""",IFERROR(LET(
campo,XLOOKUP(TRIM(G2957),ARRAYFORMULA(TRIM('indice columnas'!$A$2:$A$100)),'indice columnas'!$B$2:$B$100,""""),
col,IFERROR(MATCH(campo,Referencia!$A$1:$AZ$1,0),0),
fila,IFERROR(MATCH(TO_TEXT(D2957),ARRAYFOR"&amp;"MULA(TO_TEXT(Referencia!$A$2:$A6238)),0),0),
IF(OR(campo="""",campo=""-""),""NO APLICA"",
IF(col=0,""REVISAR EQUIVALENCIA"",
IF(fila=0,""SKU NO ENCONTRADO"",
LET(
valor,INDEX(Referencia!$A$2:$AZ6238,fila,col),
IF(TRIM(TO_TEXT(valor))=TRIM(TO_TEXT(I2957)),"&amp;"
""OK"",
""NO COINCIDE. Valor verdadero: ""&amp;IF(valor="""",""[VACÍO]"",TO_TEXT(valor))
)
))))
),""ERROR EN FÓRMULA""))"),"OK")</f>
        <v>OK</v>
      </c>
    </row>
    <row r="2958">
      <c r="A2958" s="83" t="s">
        <v>4854</v>
      </c>
      <c r="B2958" s="83" t="s">
        <v>4855</v>
      </c>
      <c r="C2958" s="81" t="s">
        <v>4621</v>
      </c>
      <c r="D2958" s="83" t="s">
        <v>4865</v>
      </c>
      <c r="E2958" s="81" t="s">
        <v>4017</v>
      </c>
      <c r="F2958" s="84">
        <v>801.0</v>
      </c>
      <c r="G2958" s="81" t="s">
        <v>24</v>
      </c>
      <c r="H2958" s="81" t="s">
        <v>224</v>
      </c>
      <c r="I2958" s="81" t="s">
        <v>1830</v>
      </c>
      <c r="J2958" s="81" t="s">
        <v>224</v>
      </c>
      <c r="K2958" s="81" t="str">
        <f>IFERROR(__xludf.DUMMYFUNCTION("IF(OR(D2958="""",G2958=""""),"""",IFERROR(LET(
campo,XLOOKUP(TRIM(G2958),ARRAYFORMULA(TRIM('indice columnas'!$A$2:$A$100)),'indice columnas'!$B$2:$B$100,""""),
col,IFERROR(MATCH(campo,Referencia!$A$1:$AZ$1,0),0),
fila,IFERROR(MATCH(TO_TEXT(D2958),ARRAYFOR"&amp;"MULA(TO_TEXT(Referencia!$A$2:$A6238)),0),0),
IF(OR(campo="""",campo=""-""),""NO APLICA"",
IF(col=0,""REVISAR EQUIVALENCIA"",
IF(fila=0,""SKU NO ENCONTRADO"",
LET(
valor,INDEX(Referencia!$A$2:$AZ6238,fila,col),
IF(TRIM(TO_TEXT(valor))=TRIM(TO_TEXT(I2958)),"&amp;"
""OK"",
""NO COINCIDE. Valor verdadero: ""&amp;IF(valor="""",""[VACÍO]"",TO_TEXT(valor))
)
))))
),""ERROR EN FÓRMULA""))"),"NO COINCIDE. Valor verdadero: 15 / 24 / 36")</f>
        <v>NO COINCIDE. Valor verdadero: 15 / 24 / 36</v>
      </c>
    </row>
    <row r="2959">
      <c r="A2959" s="83" t="s">
        <v>4854</v>
      </c>
      <c r="B2959" s="83" t="s">
        <v>4855</v>
      </c>
      <c r="C2959" s="81" t="s">
        <v>4621</v>
      </c>
      <c r="D2959" s="83" t="s">
        <v>4865</v>
      </c>
      <c r="E2959" s="81" t="s">
        <v>4017</v>
      </c>
      <c r="F2959" s="84">
        <v>801.0</v>
      </c>
      <c r="G2959" s="81" t="s">
        <v>25</v>
      </c>
      <c r="H2959" s="81" t="s">
        <v>224</v>
      </c>
      <c r="I2959" s="81" t="s">
        <v>1852</v>
      </c>
      <c r="J2959" s="81" t="s">
        <v>224</v>
      </c>
      <c r="K2959" s="81" t="str">
        <f>IFERROR(__xludf.DUMMYFUNCTION("IF(OR(D2959="""",G2959=""""),"""",IFERROR(LET(
campo,XLOOKUP(TRIM(G2959),ARRAYFORMULA(TRIM('indice columnas'!$A$2:$A$100)),'indice columnas'!$B$2:$B$100,""""),
col,IFERROR(MATCH(campo,Referencia!$A$1:$AZ$1,0),0),
fila,IFERROR(MATCH(TO_TEXT(D2959),ARRAYFOR"&amp;"MULA(TO_TEXT(Referencia!$A$2:$A6238)),0),0),
IF(OR(campo="""",campo=""-""),""NO APLICA"",
IF(col=0,""REVISAR EQUIVALENCIA"",
IF(fila=0,""SKU NO ENCONTRADO"",
LET(
valor,INDEX(Referencia!$A$2:$AZ6238,fila,col),
IF(TRIM(TO_TEXT(valor))=TRIM(TO_TEXT(I2959)),"&amp;"
""OK"",
""NO COINCIDE. Valor verdadero: ""&amp;IF(valor="""",""[VACÍO]"",TO_TEXT(valor))
)
))))
),""ERROR EN FÓRMULA""))"),"OK")</f>
        <v>OK</v>
      </c>
    </row>
    <row r="2960">
      <c r="A2960" s="83" t="s">
        <v>4854</v>
      </c>
      <c r="B2960" s="83" t="s">
        <v>4855</v>
      </c>
      <c r="C2960" s="81" t="s">
        <v>4621</v>
      </c>
      <c r="D2960" s="83" t="s">
        <v>4865</v>
      </c>
      <c r="E2960" s="81" t="s">
        <v>4017</v>
      </c>
      <c r="F2960" s="84">
        <v>801.0</v>
      </c>
      <c r="G2960" s="81" t="s">
        <v>26</v>
      </c>
      <c r="H2960" s="81" t="s">
        <v>224</v>
      </c>
      <c r="I2960" s="81" t="s">
        <v>59</v>
      </c>
      <c r="J2960" s="81" t="s">
        <v>224</v>
      </c>
      <c r="K2960" s="81" t="str">
        <f>IFERROR(__xludf.DUMMYFUNCTION("IF(OR(D2960="""",G2960=""""),"""",IFERROR(LET(
campo,XLOOKUP(TRIM(G2960),ARRAYFORMULA(TRIM('indice columnas'!$A$2:$A$100)),'indice columnas'!$B$2:$B$100,""""),
col,IFERROR(MATCH(campo,Referencia!$A$1:$AZ$1,0),0),
fila,IFERROR(MATCH(TO_TEXT(D2960),ARRAYFOR"&amp;"MULA(TO_TEXT(Referencia!$A$2:$A6238)),0),0),
IF(OR(campo="""",campo=""-""),""NO APLICA"",
IF(col=0,""REVISAR EQUIVALENCIA"",
IF(fila=0,""SKU NO ENCONTRADO"",
LET(
valor,INDEX(Referencia!$A$2:$AZ6238,fila,col),
IF(TRIM(TO_TEXT(valor))=TRIM(TO_TEXT(I2960)),"&amp;"
""OK"",
""NO COINCIDE. Valor verdadero: ""&amp;IF(valor="""",""[VACÍO]"",TO_TEXT(valor))
)
))))
),""ERROR EN FÓRMULA""))"),"OK")</f>
        <v>OK</v>
      </c>
    </row>
    <row r="2961">
      <c r="A2961" s="83" t="s">
        <v>4854</v>
      </c>
      <c r="B2961" s="83" t="s">
        <v>4855</v>
      </c>
      <c r="C2961" s="81" t="s">
        <v>4621</v>
      </c>
      <c r="D2961" s="83" t="s">
        <v>4865</v>
      </c>
      <c r="E2961" s="81" t="s">
        <v>4017</v>
      </c>
      <c r="F2961" s="84">
        <v>801.0</v>
      </c>
      <c r="G2961" s="81" t="s">
        <v>27</v>
      </c>
      <c r="H2961" s="81" t="s">
        <v>224</v>
      </c>
      <c r="I2961" s="81" t="s">
        <v>1846</v>
      </c>
      <c r="J2961" s="81" t="s">
        <v>224</v>
      </c>
      <c r="K2961" s="81" t="str">
        <f>IFERROR(__xludf.DUMMYFUNCTION("IF(OR(D2961="""",G2961=""""),"""",IFERROR(LET(
campo,XLOOKUP(TRIM(G2961),ARRAYFORMULA(TRIM('indice columnas'!$A$2:$A$100)),'indice columnas'!$B$2:$B$100,""""),
col,IFERROR(MATCH(campo,Referencia!$A$1:$AZ$1,0),0),
fila,IFERROR(MATCH(TO_TEXT(D2961),ARRAYFOR"&amp;"MULA(TO_TEXT(Referencia!$A$2:$A6238)),0),0),
IF(OR(campo="""",campo=""-""),""NO APLICA"",
IF(col=0,""REVISAR EQUIVALENCIA"",
IF(fila=0,""SKU NO ENCONTRADO"",
LET(
valor,INDEX(Referencia!$A$2:$AZ6238,fila,col),
IF(TRIM(TO_TEXT(valor))=TRIM(TO_TEXT(I2961)),"&amp;"
""OK"",
""NO COINCIDE. Valor verdadero: ""&amp;IF(valor="""",""[VACÍO]"",TO_TEXT(valor))
)
))))
),""ERROR EN FÓRMULA""))"),"OK")</f>
        <v>OK</v>
      </c>
    </row>
    <row r="2962">
      <c r="A2962" s="83" t="s">
        <v>4854</v>
      </c>
      <c r="B2962" s="83" t="s">
        <v>4855</v>
      </c>
      <c r="C2962" s="81" t="s">
        <v>4621</v>
      </c>
      <c r="D2962" s="83" t="s">
        <v>4865</v>
      </c>
      <c r="E2962" s="81" t="s">
        <v>4017</v>
      </c>
      <c r="F2962" s="84">
        <v>801.0</v>
      </c>
      <c r="G2962" s="81" t="s">
        <v>28</v>
      </c>
      <c r="H2962" s="81" t="s">
        <v>224</v>
      </c>
      <c r="I2962" s="81" t="s">
        <v>1599</v>
      </c>
      <c r="J2962" s="81" t="s">
        <v>224</v>
      </c>
      <c r="K2962" s="81" t="str">
        <f>IFERROR(__xludf.DUMMYFUNCTION("IF(OR(D2962="""",G2962=""""),"""",IFERROR(LET(
campo,XLOOKUP(TRIM(G2962),ARRAYFORMULA(TRIM('indice columnas'!$A$2:$A$100)),'indice columnas'!$B$2:$B$100,""""),
col,IFERROR(MATCH(campo,Referencia!$A$1:$AZ$1,0),0),
fila,IFERROR(MATCH(TO_TEXT(D2962),ARRAYFOR"&amp;"MULA(TO_TEXT(Referencia!$A$2:$A6238)),0),0),
IF(OR(campo="""",campo=""-""),""NO APLICA"",
IF(col=0,""REVISAR EQUIVALENCIA"",
IF(fila=0,""SKU NO ENCONTRADO"",
LET(
valor,INDEX(Referencia!$A$2:$AZ6238,fila,col),
IF(TRIM(TO_TEXT(valor))=TRIM(TO_TEXT(I2962)),"&amp;"
""OK"",
""NO COINCIDE. Valor verdadero: ""&amp;IF(valor="""",""[VACÍO]"",TO_TEXT(valor))
)
))))
),""ERROR EN FÓRMULA""))"),"OK")</f>
        <v>OK</v>
      </c>
    </row>
    <row r="2963">
      <c r="A2963" s="83" t="s">
        <v>4854</v>
      </c>
      <c r="B2963" s="83" t="s">
        <v>4855</v>
      </c>
      <c r="C2963" s="81" t="s">
        <v>4621</v>
      </c>
      <c r="D2963" s="83" t="s">
        <v>4865</v>
      </c>
      <c r="E2963" s="81" t="s">
        <v>4017</v>
      </c>
      <c r="F2963" s="84">
        <v>801.0</v>
      </c>
      <c r="G2963" s="81" t="s">
        <v>29</v>
      </c>
      <c r="H2963" s="81" t="s">
        <v>224</v>
      </c>
      <c r="I2963" s="81" t="s">
        <v>1853</v>
      </c>
      <c r="J2963" s="81" t="s">
        <v>224</v>
      </c>
      <c r="K2963" s="81" t="str">
        <f>IFERROR(__xludf.DUMMYFUNCTION("IF(OR(D2963="""",G2963=""""),"""",IFERROR(LET(
campo,XLOOKUP(TRIM(G2963),ARRAYFORMULA(TRIM('indice columnas'!$A$2:$A$100)),'indice columnas'!$B$2:$B$100,""""),
col,IFERROR(MATCH(campo,Referencia!$A$1:$AZ$1,0),0),
fila,IFERROR(MATCH(TO_TEXT(D2963),ARRAYFOR"&amp;"MULA(TO_TEXT(Referencia!$A$2:$A6238)),0),0),
IF(OR(campo="""",campo=""-""),""NO APLICA"",
IF(col=0,""REVISAR EQUIVALENCIA"",
IF(fila=0,""SKU NO ENCONTRADO"",
LET(
valor,INDEX(Referencia!$A$2:$AZ6238,fila,col),
IF(TRIM(TO_TEXT(valor))=TRIM(TO_TEXT(I2963)),"&amp;"
""OK"",
""NO COINCIDE. Valor verdadero: ""&amp;IF(valor="""",""[VACÍO]"",TO_TEXT(valor))
)
))))
),""ERROR EN FÓRMULA""))"),"NO COINCIDE. Valor verdadero: Ø60 x 135")</f>
        <v>NO COINCIDE. Valor verdadero: Ø60 x 135</v>
      </c>
    </row>
    <row r="2964">
      <c r="A2964" s="83" t="s">
        <v>4854</v>
      </c>
      <c r="B2964" s="83" t="s">
        <v>4855</v>
      </c>
      <c r="C2964" s="81" t="s">
        <v>4621</v>
      </c>
      <c r="D2964" s="83" t="s">
        <v>4865</v>
      </c>
      <c r="E2964" s="81" t="s">
        <v>4017</v>
      </c>
      <c r="F2964" s="84">
        <v>801.0</v>
      </c>
      <c r="G2964" s="81" t="s">
        <v>30</v>
      </c>
      <c r="H2964" s="81" t="s">
        <v>224</v>
      </c>
      <c r="I2964" s="81" t="s">
        <v>55</v>
      </c>
      <c r="J2964" s="81" t="s">
        <v>224</v>
      </c>
      <c r="K2964" s="81" t="str">
        <f>IFERROR(__xludf.DUMMYFUNCTION("IF(OR(D2964="""",G2964=""""),"""",IFERROR(LET(
campo,XLOOKUP(TRIM(G2964),ARRAYFORMULA(TRIM('indice columnas'!$A$2:$A$100)),'indice columnas'!$B$2:$B$100,""""),
col,IFERROR(MATCH(campo,Referencia!$A$1:$AZ$1,0),0),
fila,IFERROR(MATCH(TO_TEXT(D2964),ARRAYFOR"&amp;"MULA(TO_TEXT(Referencia!$A$2:$A6238)),0),0),
IF(OR(campo="""",campo=""-""),""NO APLICA"",
IF(col=0,""REVISAR EQUIVALENCIA"",
IF(fila=0,""SKU NO ENCONTRADO"",
LET(
valor,INDEX(Referencia!$A$2:$AZ6238,fila,col),
IF(TRIM(TO_TEXT(valor))=TRIM(TO_TEXT(I2964)),"&amp;"
""OK"",
""NO COINCIDE. Valor verdadero: ""&amp;IF(valor="""",""[VACÍO]"",TO_TEXT(valor))
)
))))
),""ERROR EN FÓRMULA""))"),"OK")</f>
        <v>OK</v>
      </c>
    </row>
    <row r="2965">
      <c r="A2965" s="83" t="s">
        <v>4854</v>
      </c>
      <c r="B2965" s="83" t="s">
        <v>4855</v>
      </c>
      <c r="C2965" s="81" t="s">
        <v>4621</v>
      </c>
      <c r="D2965" s="83" t="s">
        <v>4865</v>
      </c>
      <c r="E2965" s="81" t="s">
        <v>4017</v>
      </c>
      <c r="F2965" s="84">
        <v>801.0</v>
      </c>
      <c r="G2965" s="81" t="s">
        <v>31</v>
      </c>
      <c r="H2965" s="81" t="s">
        <v>224</v>
      </c>
      <c r="I2965" s="81" t="s">
        <v>55</v>
      </c>
      <c r="J2965" s="81" t="s">
        <v>224</v>
      </c>
      <c r="K2965" s="81" t="str">
        <f>IFERROR(__xludf.DUMMYFUNCTION("IF(OR(D2965="""",G2965=""""),"""",IFERROR(LET(
campo,XLOOKUP(TRIM(G2965),ARRAYFORMULA(TRIM('indice columnas'!$A$2:$A$100)),'indice columnas'!$B$2:$B$100,""""),
col,IFERROR(MATCH(campo,Referencia!$A$1:$AZ$1,0),0),
fila,IFERROR(MATCH(TO_TEXT(D2965),ARRAYFOR"&amp;"MULA(TO_TEXT(Referencia!$A$2:$A6238)),0),0),
IF(OR(campo="""",campo=""-""),""NO APLICA"",
IF(col=0,""REVISAR EQUIVALENCIA"",
IF(fila=0,""SKU NO ENCONTRADO"",
LET(
valor,INDEX(Referencia!$A$2:$AZ6238,fila,col),
IF(TRIM(TO_TEXT(valor))=TRIM(TO_TEXT(I2965)),"&amp;"
""OK"",
""NO COINCIDE. Valor verdadero: ""&amp;IF(valor="""",""[VACÍO]"",TO_TEXT(valor))
)
))))
),""ERROR EN FÓRMULA""))"),"OK")</f>
        <v>OK</v>
      </c>
    </row>
    <row r="2966">
      <c r="A2966" s="83" t="s">
        <v>4854</v>
      </c>
      <c r="B2966" s="83" t="s">
        <v>4855</v>
      </c>
      <c r="C2966" s="81" t="s">
        <v>4621</v>
      </c>
      <c r="D2966" s="83" t="s">
        <v>4865</v>
      </c>
      <c r="E2966" s="81" t="s">
        <v>4017</v>
      </c>
      <c r="F2966" s="84">
        <v>801.0</v>
      </c>
      <c r="G2966" s="81" t="s">
        <v>32</v>
      </c>
      <c r="H2966" s="81" t="s">
        <v>224</v>
      </c>
      <c r="I2966" s="81" t="s">
        <v>63</v>
      </c>
      <c r="J2966" s="81" t="s">
        <v>224</v>
      </c>
      <c r="K2966" s="81" t="str">
        <f>IFERROR(__xludf.DUMMYFUNCTION("IF(OR(D2966="""",G2966=""""),"""",IFERROR(LET(
campo,XLOOKUP(TRIM(G2966),ARRAYFORMULA(TRIM('indice columnas'!$A$2:$A$100)),'indice columnas'!$B$2:$B$100,""""),
col,IFERROR(MATCH(campo,Referencia!$A$1:$AZ$1,0),0),
fila,IFERROR(MATCH(TO_TEXT(D2966),ARRAYFOR"&amp;"MULA(TO_TEXT(Referencia!$A$2:$A6238)),0),0),
IF(OR(campo="""",campo=""-""),""NO APLICA"",
IF(col=0,""REVISAR EQUIVALENCIA"",
IF(fila=0,""SKU NO ENCONTRADO"",
LET(
valor,INDEX(Referencia!$A$2:$AZ6238,fila,col),
IF(TRIM(TO_TEXT(valor))=TRIM(TO_TEXT(I2966)),"&amp;"
""OK"",
""NO COINCIDE. Valor verdadero: ""&amp;IF(valor="""",""[VACÍO]"",TO_TEXT(valor))
)
))))
),""ERROR EN FÓRMULA""))"),"OK")</f>
        <v>OK</v>
      </c>
    </row>
    <row r="2967">
      <c r="A2967" s="83" t="s">
        <v>4854</v>
      </c>
      <c r="B2967" s="83" t="s">
        <v>4855</v>
      </c>
      <c r="C2967" s="81" t="s">
        <v>4621</v>
      </c>
      <c r="D2967" s="83" t="s">
        <v>4865</v>
      </c>
      <c r="E2967" s="81" t="s">
        <v>4017</v>
      </c>
      <c r="F2967" s="84">
        <v>801.0</v>
      </c>
      <c r="G2967" s="81" t="s">
        <v>33</v>
      </c>
      <c r="H2967" s="81" t="s">
        <v>224</v>
      </c>
      <c r="I2967" s="81" t="s">
        <v>1833</v>
      </c>
      <c r="J2967" s="81" t="s">
        <v>224</v>
      </c>
      <c r="K2967" s="81" t="str">
        <f>IFERROR(__xludf.DUMMYFUNCTION("IF(OR(D2967="""",G2967=""""),"""",IFERROR(LET(
campo,XLOOKUP(TRIM(G2967),ARRAYFORMULA(TRIM('indice columnas'!$A$2:$A$100)),'indice columnas'!$B$2:$B$100,""""),
col,IFERROR(MATCH(campo,Referencia!$A$1:$AZ$1,0),0),
fila,IFERROR(MATCH(TO_TEXT(D2967),ARRAYFOR"&amp;"MULA(TO_TEXT(Referencia!$A$2:$A6238)),0),0),
IF(OR(campo="""",campo=""-""),""NO APLICA"",
IF(col=0,""REVISAR EQUIVALENCIA"",
IF(fila=0,""SKU NO ENCONTRADO"",
LET(
valor,INDEX(Referencia!$A$2:$AZ6238,fila,col),
IF(TRIM(TO_TEXT(valor))=TRIM(TO_TEXT(I2967)),"&amp;"
""OK"",
""NO COINCIDE. Valor verdadero: ""&amp;IF(valor="""",""[VACÍO]"",TO_TEXT(valor))
)
))))
),""ERROR EN FÓRMULA""))"),"OK")</f>
        <v>OK</v>
      </c>
    </row>
    <row r="2968">
      <c r="A2968" s="83" t="s">
        <v>4854</v>
      </c>
      <c r="B2968" s="83" t="s">
        <v>4855</v>
      </c>
      <c r="C2968" s="81" t="s">
        <v>4621</v>
      </c>
      <c r="D2968" s="83" t="s">
        <v>4865</v>
      </c>
      <c r="E2968" s="81" t="s">
        <v>4017</v>
      </c>
      <c r="F2968" s="84">
        <v>801.0</v>
      </c>
      <c r="G2968" s="81" t="s">
        <v>34</v>
      </c>
      <c r="H2968" s="81" t="s">
        <v>224</v>
      </c>
      <c r="I2968" s="81" t="s">
        <v>94</v>
      </c>
      <c r="J2968" s="81" t="s">
        <v>224</v>
      </c>
      <c r="K2968" s="81" t="str">
        <f>IFERROR(__xludf.DUMMYFUNCTION("IF(OR(D2968="""",G2968=""""),"""",IFERROR(LET(
campo,XLOOKUP(TRIM(G2968),ARRAYFORMULA(TRIM('indice columnas'!$A$2:$A$100)),'indice columnas'!$B$2:$B$100,""""),
col,IFERROR(MATCH(campo,Referencia!$A$1:$AZ$1,0),0),
fila,IFERROR(MATCH(TO_TEXT(D2968),ARRAYFOR"&amp;"MULA(TO_TEXT(Referencia!$A$2:$A6238)),0),0),
IF(OR(campo="""",campo=""-""),""NO APLICA"",
IF(col=0,""REVISAR EQUIVALENCIA"",
IF(fila=0,""SKU NO ENCONTRADO"",
LET(
valor,INDEX(Referencia!$A$2:$AZ6238,fila,col),
IF(TRIM(TO_TEXT(valor))=TRIM(TO_TEXT(I2968)),"&amp;"
""OK"",
""NO COINCIDE. Valor verdadero: ""&amp;IF(valor="""",""[VACÍO]"",TO_TEXT(valor))
)
))))
),""ERROR EN FÓRMULA""))"),"OK")</f>
        <v>OK</v>
      </c>
    </row>
    <row r="2969">
      <c r="A2969" s="83" t="s">
        <v>4854</v>
      </c>
      <c r="B2969" s="83" t="s">
        <v>4855</v>
      </c>
      <c r="C2969" s="81" t="s">
        <v>4621</v>
      </c>
      <c r="D2969" s="83" t="s">
        <v>4865</v>
      </c>
      <c r="E2969" s="81" t="s">
        <v>4017</v>
      </c>
      <c r="F2969" s="84">
        <v>801.0</v>
      </c>
      <c r="G2969" s="81" t="s">
        <v>35</v>
      </c>
      <c r="H2969" s="81" t="s">
        <v>224</v>
      </c>
      <c r="I2969" s="81" t="s">
        <v>49</v>
      </c>
      <c r="J2969" s="81" t="s">
        <v>224</v>
      </c>
      <c r="K2969" s="81" t="str">
        <f>IFERROR(__xludf.DUMMYFUNCTION("IF(OR(D2969="""",G2969=""""),"""",IFERROR(LET(
campo,XLOOKUP(TRIM(G2969),ARRAYFORMULA(TRIM('indice columnas'!$A$2:$A$100)),'indice columnas'!$B$2:$B$100,""""),
col,IFERROR(MATCH(campo,Referencia!$A$1:$AZ$1,0),0),
fila,IFERROR(MATCH(TO_TEXT(D2969),ARRAYFOR"&amp;"MULA(TO_TEXT(Referencia!$A$2:$A6238)),0),0),
IF(OR(campo="""",campo=""-""),""NO APLICA"",
IF(col=0,""REVISAR EQUIVALENCIA"",
IF(fila=0,""SKU NO ENCONTRADO"",
LET(
valor,INDEX(Referencia!$A$2:$AZ6238,fila,col),
IF(TRIM(TO_TEXT(valor))=TRIM(TO_TEXT(I2969)),"&amp;"
""OK"",
""NO COINCIDE. Valor verdadero: ""&amp;IF(valor="""",""[VACÍO]"",TO_TEXT(valor))
)
))))
),""ERROR EN FÓRMULA""))"),"OK")</f>
        <v>OK</v>
      </c>
    </row>
    <row r="2970">
      <c r="A2970" s="83" t="s">
        <v>4854</v>
      </c>
      <c r="B2970" s="83" t="s">
        <v>4855</v>
      </c>
      <c r="C2970" s="81" t="s">
        <v>4621</v>
      </c>
      <c r="D2970" s="83" t="s">
        <v>4865</v>
      </c>
      <c r="E2970" s="81" t="s">
        <v>4017</v>
      </c>
      <c r="F2970" s="84">
        <v>801.0</v>
      </c>
      <c r="G2970" s="81" t="s">
        <v>36</v>
      </c>
      <c r="H2970" s="81" t="s">
        <v>224</v>
      </c>
      <c r="I2970" s="81" t="s">
        <v>95</v>
      </c>
      <c r="J2970" s="81" t="s">
        <v>224</v>
      </c>
      <c r="K2970" s="81" t="str">
        <f>IFERROR(__xludf.DUMMYFUNCTION("IF(OR(D2970="""",G2970=""""),"""",IFERROR(LET(
campo,XLOOKUP(TRIM(G2970),ARRAYFORMULA(TRIM('indice columnas'!$A$2:$A$100)),'indice columnas'!$B$2:$B$100,""""),
col,IFERROR(MATCH(campo,Referencia!$A$1:$AZ$1,0),0),
fila,IFERROR(MATCH(TO_TEXT(D2970),ARRAYFOR"&amp;"MULA(TO_TEXT(Referencia!$A$2:$A6238)),0),0),
IF(OR(campo="""",campo=""-""),""NO APLICA"",
IF(col=0,""REVISAR EQUIVALENCIA"",
IF(fila=0,""SKU NO ENCONTRADO"",
LET(
valor,INDEX(Referencia!$A$2:$AZ6238,fila,col),
IF(TRIM(TO_TEXT(valor))=TRIM(TO_TEXT(I2970)),"&amp;"
""OK"",
""NO COINCIDE. Valor verdadero: ""&amp;IF(valor="""",""[VACÍO]"",TO_TEXT(valor))
)
))))
),""ERROR EN FÓRMULA""))"),"REVISAR EQUIVALENCIA")</f>
        <v>REVISAR EQUIVALENCIA</v>
      </c>
    </row>
    <row r="2971">
      <c r="A2971" s="83" t="s">
        <v>4854</v>
      </c>
      <c r="B2971" s="83" t="s">
        <v>4855</v>
      </c>
      <c r="C2971" s="81" t="s">
        <v>4621</v>
      </c>
      <c r="D2971" s="83" t="s">
        <v>4865</v>
      </c>
      <c r="E2971" s="81" t="s">
        <v>4017</v>
      </c>
      <c r="F2971" s="84">
        <v>801.0</v>
      </c>
      <c r="G2971" s="81" t="s">
        <v>37</v>
      </c>
      <c r="H2971" s="81" t="s">
        <v>224</v>
      </c>
      <c r="I2971" s="81" t="s">
        <v>66</v>
      </c>
      <c r="J2971" s="81" t="s">
        <v>224</v>
      </c>
      <c r="K2971" s="81" t="str">
        <f>IFERROR(__xludf.DUMMYFUNCTION("IF(OR(D2971="""",G2971=""""),"""",IFERROR(LET(
campo,XLOOKUP(TRIM(G2971),ARRAYFORMULA(TRIM('indice columnas'!$A$2:$A$100)),'indice columnas'!$B$2:$B$100,""""),
col,IFERROR(MATCH(campo,Referencia!$A$1:$AZ$1,0),0),
fila,IFERROR(MATCH(TO_TEXT(D2971),ARRAYFOR"&amp;"MULA(TO_TEXT(Referencia!$A$2:$A6238)),0),0),
IF(OR(campo="""",campo=""-""),""NO APLICA"",
IF(col=0,""REVISAR EQUIVALENCIA"",
IF(fila=0,""SKU NO ENCONTRADO"",
LET(
valor,INDEX(Referencia!$A$2:$AZ6238,fila,col),
IF(TRIM(TO_TEXT(valor))=TRIM(TO_TEXT(I2971)),"&amp;"
""OK"",
""NO COINCIDE. Valor verdadero: ""&amp;IF(valor="""",""[VACÍO]"",TO_TEXT(valor))
)
))))
),""ERROR EN FÓRMULA""))"),"OK")</f>
        <v>OK</v>
      </c>
    </row>
    <row r="2972">
      <c r="A2972" s="83" t="s">
        <v>4854</v>
      </c>
      <c r="B2972" s="83" t="s">
        <v>4855</v>
      </c>
      <c r="C2972" s="81" t="s">
        <v>4621</v>
      </c>
      <c r="D2972" s="83" t="s">
        <v>4865</v>
      </c>
      <c r="E2972" s="81" t="s">
        <v>4017</v>
      </c>
      <c r="F2972" s="84">
        <v>801.0</v>
      </c>
      <c r="G2972" s="81" t="s">
        <v>41</v>
      </c>
      <c r="H2972" s="81" t="s">
        <v>224</v>
      </c>
      <c r="I2972" s="81" t="s">
        <v>1825</v>
      </c>
      <c r="J2972" s="81" t="s">
        <v>224</v>
      </c>
      <c r="K2972" s="81" t="str">
        <f>IFERROR(__xludf.DUMMYFUNCTION("IF(OR(D2972="""",G2972=""""),"""",IFERROR(LET(
campo,XLOOKUP(TRIM(G2972),ARRAYFORMULA(TRIM('indice columnas'!$A$2:$A$100)),'indice columnas'!$B$2:$B$100,""""),
col,IFERROR(MATCH(campo,Referencia!$A$1:$AZ$1,0),0),
fila,IFERROR(MATCH(TO_TEXT(D2972),ARRAYFOR"&amp;"MULA(TO_TEXT(Referencia!$A$2:$A6238)),0),0),
IF(OR(campo="""",campo=""-""),""NO APLICA"",
IF(col=0,""REVISAR EQUIVALENCIA"",
IF(fila=0,""SKU NO ENCONTRADO"",
LET(
valor,INDEX(Referencia!$A$2:$AZ6238,fila,col),
IF(TRIM(TO_TEXT(valor))=TRIM(TO_TEXT(I2972)),"&amp;"
""OK"",
""NO COINCIDE. Valor verdadero: ""&amp;IF(valor="""",""[VACÍO]"",TO_TEXT(valor))
)
))))
),""ERROR EN FÓRMULA""))"),"REVISAR EQUIVALENCIA")</f>
        <v>REVISAR EQUIVALENCIA</v>
      </c>
    </row>
    <row r="2973">
      <c r="A2973" s="83" t="s">
        <v>4854</v>
      </c>
      <c r="B2973" s="83" t="s">
        <v>4855</v>
      </c>
      <c r="C2973" s="81" t="s">
        <v>4621</v>
      </c>
      <c r="D2973" s="83" t="s">
        <v>4866</v>
      </c>
      <c r="E2973" s="81" t="s">
        <v>4018</v>
      </c>
      <c r="F2973" s="84">
        <v>802.0</v>
      </c>
      <c r="G2973" s="81" t="s">
        <v>10</v>
      </c>
      <c r="H2973" s="81" t="s">
        <v>224</v>
      </c>
      <c r="I2973" s="81" t="s">
        <v>84</v>
      </c>
      <c r="J2973" s="81" t="s">
        <v>224</v>
      </c>
      <c r="K2973" s="81" t="str">
        <f>IFERROR(__xludf.DUMMYFUNCTION("IF(OR(D2973="""",G2973=""""),"""",IFERROR(LET(
campo,XLOOKUP(TRIM(G2973),ARRAYFORMULA(TRIM('indice columnas'!$A$2:$A$100)),'indice columnas'!$B$2:$B$100,""""),
col,IFERROR(MATCH(campo,Referencia!$A$1:$AZ$1,0),0),
fila,IFERROR(MATCH(TO_TEXT(D2973),ARRAYFOR"&amp;"MULA(TO_TEXT(Referencia!$A$2:$A6238)),0),0),
IF(OR(campo="""",campo=""-""),""NO APLICA"",
IF(col=0,""REVISAR EQUIVALENCIA"",
IF(fila=0,""SKU NO ENCONTRADO"",
LET(
valor,INDEX(Referencia!$A$2:$AZ6238,fila,col),
IF(TRIM(TO_TEXT(valor))=TRIM(TO_TEXT(I2973)),"&amp;"
""OK"",
""NO COINCIDE. Valor verdadero: ""&amp;IF(valor="""",""[VACÍO]"",TO_TEXT(valor))
)
))))
),""ERROR EN FÓRMULA""))"),"OK")</f>
        <v>OK</v>
      </c>
    </row>
    <row r="2974">
      <c r="A2974" s="83" t="s">
        <v>4854</v>
      </c>
      <c r="B2974" s="83" t="s">
        <v>4855</v>
      </c>
      <c r="C2974" s="81" t="s">
        <v>4621</v>
      </c>
      <c r="D2974" s="83" t="s">
        <v>4866</v>
      </c>
      <c r="E2974" s="81" t="s">
        <v>4018</v>
      </c>
      <c r="F2974" s="84">
        <v>802.0</v>
      </c>
      <c r="G2974" s="81" t="s">
        <v>11</v>
      </c>
      <c r="H2974" s="81" t="s">
        <v>224</v>
      </c>
      <c r="I2974" s="81" t="s">
        <v>126</v>
      </c>
      <c r="J2974" s="81" t="s">
        <v>224</v>
      </c>
      <c r="K2974" s="81" t="str">
        <f>IFERROR(__xludf.DUMMYFUNCTION("IF(OR(D2974="""",G2974=""""),"""",IFERROR(LET(
campo,XLOOKUP(TRIM(G2974),ARRAYFORMULA(TRIM('indice columnas'!$A$2:$A$100)),'indice columnas'!$B$2:$B$100,""""),
col,IFERROR(MATCH(campo,Referencia!$A$1:$AZ$1,0),0),
fila,IFERROR(MATCH(TO_TEXT(D2974),ARRAYFOR"&amp;"MULA(TO_TEXT(Referencia!$A$2:$A6238)),0),0),
IF(OR(campo="""",campo=""-""),""NO APLICA"",
IF(col=0,""REVISAR EQUIVALENCIA"",
IF(fila=0,""SKU NO ENCONTRADO"",
LET(
valor,INDEX(Referencia!$A$2:$AZ6238,fila,col),
IF(TRIM(TO_TEXT(valor))=TRIM(TO_TEXT(I2974)),"&amp;"
""OK"",
""NO COINCIDE. Valor verdadero: ""&amp;IF(valor="""",""[VACÍO]"",TO_TEXT(valor))
)
))))
),""ERROR EN FÓRMULA""))"),"OK")</f>
        <v>OK</v>
      </c>
    </row>
    <row r="2975">
      <c r="A2975" s="83" t="s">
        <v>4854</v>
      </c>
      <c r="B2975" s="83" t="s">
        <v>4855</v>
      </c>
      <c r="C2975" s="81" t="s">
        <v>4621</v>
      </c>
      <c r="D2975" s="83" t="s">
        <v>4866</v>
      </c>
      <c r="E2975" s="81" t="s">
        <v>4018</v>
      </c>
      <c r="F2975" s="84">
        <v>802.0</v>
      </c>
      <c r="G2975" s="81" t="s">
        <v>13</v>
      </c>
      <c r="H2975" s="81" t="s">
        <v>224</v>
      </c>
      <c r="I2975" s="81" t="s">
        <v>85</v>
      </c>
      <c r="J2975" s="81" t="s">
        <v>224</v>
      </c>
      <c r="K2975" s="81" t="str">
        <f>IFERROR(__xludf.DUMMYFUNCTION("IF(OR(D2975="""",G2975=""""),"""",IFERROR(LET(
campo,XLOOKUP(TRIM(G2975),ARRAYFORMULA(TRIM('indice columnas'!$A$2:$A$100)),'indice columnas'!$B$2:$B$100,""""),
col,IFERROR(MATCH(campo,Referencia!$A$1:$AZ$1,0),0),
fila,IFERROR(MATCH(TO_TEXT(D2975),ARRAYFOR"&amp;"MULA(TO_TEXT(Referencia!$A$2:$A6238)),0),0),
IF(OR(campo="""",campo=""-""),""NO APLICA"",
IF(col=0,""REVISAR EQUIVALENCIA"",
IF(fila=0,""SKU NO ENCONTRADO"",
LET(
valor,INDEX(Referencia!$A$2:$AZ6238,fila,col),
IF(TRIM(TO_TEXT(valor))=TRIM(TO_TEXT(I2975)),"&amp;"
""OK"",
""NO COINCIDE. Valor verdadero: ""&amp;IF(valor="""",""[VACÍO]"",TO_TEXT(valor))
)
))))
),""ERROR EN FÓRMULA""))"),"OK")</f>
        <v>OK</v>
      </c>
    </row>
    <row r="2976">
      <c r="A2976" s="83" t="s">
        <v>4854</v>
      </c>
      <c r="B2976" s="83" t="s">
        <v>4855</v>
      </c>
      <c r="C2976" s="81" t="s">
        <v>4621</v>
      </c>
      <c r="D2976" s="83" t="s">
        <v>4866</v>
      </c>
      <c r="E2976" s="81" t="s">
        <v>4018</v>
      </c>
      <c r="F2976" s="84">
        <v>802.0</v>
      </c>
      <c r="G2976" s="81" t="s">
        <v>14</v>
      </c>
      <c r="H2976" s="81" t="s">
        <v>224</v>
      </c>
      <c r="I2976" s="81" t="s">
        <v>56</v>
      </c>
      <c r="J2976" s="81" t="s">
        <v>224</v>
      </c>
      <c r="K2976" s="81" t="str">
        <f>IFERROR(__xludf.DUMMYFUNCTION("IF(OR(D2976="""",G2976=""""),"""",IFERROR(LET(
campo,XLOOKUP(TRIM(G2976),ARRAYFORMULA(TRIM('indice columnas'!$A$2:$A$100)),'indice columnas'!$B$2:$B$100,""""),
col,IFERROR(MATCH(campo,Referencia!$A$1:$AZ$1,0),0),
fila,IFERROR(MATCH(TO_TEXT(D2976),ARRAYFOR"&amp;"MULA(TO_TEXT(Referencia!$A$2:$A6238)),0),0),
IF(OR(campo="""",campo=""-""),""NO APLICA"",
IF(col=0,""REVISAR EQUIVALENCIA"",
IF(fila=0,""SKU NO ENCONTRADO"",
LET(
valor,INDEX(Referencia!$A$2:$AZ6238,fila,col),
IF(TRIM(TO_TEXT(valor))=TRIM(TO_TEXT(I2976)),"&amp;"
""OK"",
""NO COINCIDE. Valor verdadero: ""&amp;IF(valor="""",""[VACÍO]"",TO_TEXT(valor))
)
))))
),""ERROR EN FÓRMULA""))"),"NO COINCIDE. Valor verdadero: 220-240")</f>
        <v>NO COINCIDE. Valor verdadero: 220-240</v>
      </c>
    </row>
    <row r="2977">
      <c r="A2977" s="83" t="s">
        <v>4854</v>
      </c>
      <c r="B2977" s="83" t="s">
        <v>4855</v>
      </c>
      <c r="C2977" s="81" t="s">
        <v>4621</v>
      </c>
      <c r="D2977" s="83" t="s">
        <v>4866</v>
      </c>
      <c r="E2977" s="81" t="s">
        <v>4018</v>
      </c>
      <c r="F2977" s="84">
        <v>802.0</v>
      </c>
      <c r="G2977" s="81" t="s">
        <v>15</v>
      </c>
      <c r="H2977" s="81" t="s">
        <v>224</v>
      </c>
      <c r="I2977" s="81" t="s">
        <v>57</v>
      </c>
      <c r="J2977" s="81" t="s">
        <v>224</v>
      </c>
      <c r="K2977" s="81" t="str">
        <f>IFERROR(__xludf.DUMMYFUNCTION("IF(OR(D2977="""",G2977=""""),"""",IFERROR(LET(
campo,XLOOKUP(TRIM(G2977),ARRAYFORMULA(TRIM('indice columnas'!$A$2:$A$100)),'indice columnas'!$B$2:$B$100,""""),
col,IFERROR(MATCH(campo,Referencia!$A$1:$AZ$1,0),0),
fila,IFERROR(MATCH(TO_TEXT(D2977),ARRAYFOR"&amp;"MULA(TO_TEXT(Referencia!$A$2:$A6238)),0),0),
IF(OR(campo="""",campo=""-""),""NO APLICA"",
IF(col=0,""REVISAR EQUIVALENCIA"",
IF(fila=0,""SKU NO ENCONTRADO"",
LET(
valor,INDEX(Referencia!$A$2:$AZ6238,fila,col),
IF(TRIM(TO_TEXT(valor))=TRIM(TO_TEXT(I2977)),"&amp;"
""OK"",
""NO COINCIDE. Valor verdadero: ""&amp;IF(valor="""",""[VACÍO]"",TO_TEXT(valor))
)
))))
),""ERROR EN FÓRMULA""))"),"NO COINCIDE. Valor verdadero: 50/60")</f>
        <v>NO COINCIDE. Valor verdadero: 50/60</v>
      </c>
    </row>
    <row r="2978">
      <c r="A2978" s="83" t="s">
        <v>4854</v>
      </c>
      <c r="B2978" s="83" t="s">
        <v>4855</v>
      </c>
      <c r="C2978" s="81" t="s">
        <v>4621</v>
      </c>
      <c r="D2978" s="83" t="s">
        <v>4866</v>
      </c>
      <c r="E2978" s="81" t="s">
        <v>4018</v>
      </c>
      <c r="F2978" s="84">
        <v>802.0</v>
      </c>
      <c r="G2978" s="81" t="s">
        <v>16</v>
      </c>
      <c r="H2978" s="81" t="s">
        <v>224</v>
      </c>
      <c r="I2978" s="81" t="s">
        <v>1865</v>
      </c>
      <c r="J2978" s="81" t="s">
        <v>224</v>
      </c>
      <c r="K2978" s="81" t="str">
        <f>IFERROR(__xludf.DUMMYFUNCTION("IF(OR(D2978="""",G2978=""""),"""",IFERROR(LET(
campo,XLOOKUP(TRIM(G2978),ARRAYFORMULA(TRIM('indice columnas'!$A$2:$A$100)),'indice columnas'!$B$2:$B$100,""""),
col,IFERROR(MATCH(campo,Referencia!$A$1:$AZ$1,0),0),
fila,IFERROR(MATCH(TO_TEXT(D2978),ARRAYFOR"&amp;"MULA(TO_TEXT(Referencia!$A$2:$A6238)),0),0),
IF(OR(campo="""",campo=""-""),""NO APLICA"",
IF(col=0,""REVISAR EQUIVALENCIA"",
IF(fila=0,""SKU NO ENCONTRADO"",
LET(
valor,INDEX(Referencia!$A$2:$AZ6238,fila,col),
IF(TRIM(TO_TEXT(valor))=TRIM(TO_TEXT(I2978)),"&amp;"
""OK"",
""NO COINCIDE. Valor verdadero: ""&amp;IF(valor="""",""[VACÍO]"",TO_TEXT(valor))
)
))))
),""ERROR EN FÓRMULA""))"),"NO COINCIDE. Valor verdadero: 20")</f>
        <v>NO COINCIDE. Valor verdadero: 20</v>
      </c>
    </row>
    <row r="2979">
      <c r="A2979" s="83" t="s">
        <v>4854</v>
      </c>
      <c r="B2979" s="83" t="s">
        <v>4855</v>
      </c>
      <c r="C2979" s="81" t="s">
        <v>4621</v>
      </c>
      <c r="D2979" s="83" t="s">
        <v>4866</v>
      </c>
      <c r="E2979" s="81" t="s">
        <v>4018</v>
      </c>
      <c r="F2979" s="84">
        <v>802.0</v>
      </c>
      <c r="G2979" s="81" t="s">
        <v>17</v>
      </c>
      <c r="H2979" s="81" t="s">
        <v>224</v>
      </c>
      <c r="I2979" s="83" t="s">
        <v>4012</v>
      </c>
      <c r="J2979" s="81" t="s">
        <v>224</v>
      </c>
      <c r="K2979" s="81" t="str">
        <f>IFERROR(__xludf.DUMMYFUNCTION("IF(OR(D2979="""",G2979=""""),"""",IFERROR(LET(
campo,XLOOKUP(TRIM(G2979),ARRAYFORMULA(TRIM('indice columnas'!$A$2:$A$100)),'indice columnas'!$B$2:$B$100,""""),
col,IFERROR(MATCH(campo,Referencia!$A$1:$AZ$1,0),0),
fila,IFERROR(MATCH(TO_TEXT(D2979),ARRAYFOR"&amp;"MULA(TO_TEXT(Referencia!$A$2:$A6238)),0),0),
IF(OR(campo="""",campo=""-""),""NO APLICA"",
IF(col=0,""REVISAR EQUIVALENCIA"",
IF(fila=0,""SKU NO ENCONTRADO"",
LET(
valor,INDEX(Referencia!$A$2:$AZ6238,fila,col),
IF(TRIM(TO_TEXT(valor))=TRIM(TO_TEXT(I2979)),"&amp;"
""OK"",
""NO COINCIDE. Valor verdadero: ""&amp;IF(valor="""",""[VACÍO]"",TO_TEXT(valor))
)
))))
),""ERROR EN FÓRMULA""))"),"OK")</f>
        <v>OK</v>
      </c>
    </row>
    <row r="2980">
      <c r="A2980" s="83" t="s">
        <v>4854</v>
      </c>
      <c r="B2980" s="83" t="s">
        <v>4855</v>
      </c>
      <c r="C2980" s="81" t="s">
        <v>4621</v>
      </c>
      <c r="D2980" s="83" t="s">
        <v>4866</v>
      </c>
      <c r="E2980" s="81" t="s">
        <v>4018</v>
      </c>
      <c r="F2980" s="84">
        <v>802.0</v>
      </c>
      <c r="G2980" s="81" t="s">
        <v>18</v>
      </c>
      <c r="H2980" s="81" t="s">
        <v>224</v>
      </c>
      <c r="I2980" s="81" t="s">
        <v>49</v>
      </c>
      <c r="J2980" s="81" t="s">
        <v>224</v>
      </c>
      <c r="K2980" s="81" t="str">
        <f>IFERROR(__xludf.DUMMYFUNCTION("IF(OR(D2980="""",G2980=""""),"""",IFERROR(LET(
campo,XLOOKUP(TRIM(G2980),ARRAYFORMULA(TRIM('indice columnas'!$A$2:$A$100)),'indice columnas'!$B$2:$B$100,""""),
col,IFERROR(MATCH(campo,Referencia!$A$1:$AZ$1,0),0),
fila,IFERROR(MATCH(TO_TEXT(D2980),ARRAYFOR"&amp;"MULA(TO_TEXT(Referencia!$A$2:$A6238)),0),0),
IF(OR(campo="""",campo=""-""),""NO APLICA"",
IF(col=0,""REVISAR EQUIVALENCIA"",
IF(fila=0,""SKU NO ENCONTRADO"",
LET(
valor,INDEX(Referencia!$A$2:$AZ6238,fila,col),
IF(TRIM(TO_TEXT(valor))=TRIM(TO_TEXT(I2980)),"&amp;"
""OK"",
""NO COINCIDE. Valor verdadero: ""&amp;IF(valor="""",""[VACÍO]"",TO_TEXT(valor))
)
))))
),""ERROR EN FÓRMULA""))"),"OK")</f>
        <v>OK</v>
      </c>
    </row>
    <row r="2981">
      <c r="A2981" s="83" t="s">
        <v>4854</v>
      </c>
      <c r="B2981" s="83" t="s">
        <v>4855</v>
      </c>
      <c r="C2981" s="81" t="s">
        <v>4621</v>
      </c>
      <c r="D2981" s="83" t="s">
        <v>4866</v>
      </c>
      <c r="E2981" s="81" t="s">
        <v>4018</v>
      </c>
      <c r="F2981" s="84">
        <v>802.0</v>
      </c>
      <c r="G2981" s="81" t="s">
        <v>19</v>
      </c>
      <c r="H2981" s="81" t="s">
        <v>224</v>
      </c>
      <c r="I2981" s="81" t="s">
        <v>49</v>
      </c>
      <c r="J2981" s="81" t="s">
        <v>224</v>
      </c>
      <c r="K2981" s="81" t="str">
        <f>IFERROR(__xludf.DUMMYFUNCTION("IF(OR(D2981="""",G2981=""""),"""",IFERROR(LET(
campo,XLOOKUP(TRIM(G2981),ARRAYFORMULA(TRIM('indice columnas'!$A$2:$A$100)),'indice columnas'!$B$2:$B$100,""""),
col,IFERROR(MATCH(campo,Referencia!$A$1:$AZ$1,0),0),
fila,IFERROR(MATCH(TO_TEXT(D2981),ARRAYFOR"&amp;"MULA(TO_TEXT(Referencia!$A$2:$A6238)),0),0),
IF(OR(campo="""",campo=""-""),""NO APLICA"",
IF(col=0,""REVISAR EQUIVALENCIA"",
IF(fila=0,""SKU NO ENCONTRADO"",
LET(
valor,INDEX(Referencia!$A$2:$AZ6238,fila,col),
IF(TRIM(TO_TEXT(valor))=TRIM(TO_TEXT(I2981)),"&amp;"
""OK"",
""NO COINCIDE. Valor verdadero: ""&amp;IF(valor="""",""[VACÍO]"",TO_TEXT(valor))
)
))))
),""ERROR EN FÓRMULA""))"),"OK")</f>
        <v>OK</v>
      </c>
    </row>
    <row r="2982">
      <c r="A2982" s="83" t="s">
        <v>4854</v>
      </c>
      <c r="B2982" s="83" t="s">
        <v>4855</v>
      </c>
      <c r="C2982" s="81" t="s">
        <v>4621</v>
      </c>
      <c r="D2982" s="83" t="s">
        <v>4866</v>
      </c>
      <c r="E2982" s="81" t="s">
        <v>4018</v>
      </c>
      <c r="F2982" s="84">
        <v>802.0</v>
      </c>
      <c r="G2982" s="81" t="s">
        <v>20</v>
      </c>
      <c r="H2982" s="81" t="s">
        <v>224</v>
      </c>
      <c r="I2982" s="81" t="s">
        <v>1866</v>
      </c>
      <c r="J2982" s="81" t="s">
        <v>224</v>
      </c>
      <c r="K2982" s="81" t="str">
        <f>IFERROR(__xludf.DUMMYFUNCTION("IF(OR(D2982="""",G2982=""""),"""",IFERROR(LET(
campo,XLOOKUP(TRIM(G2982),ARRAYFORMULA(TRIM('indice columnas'!$A$2:$A$100)),'indice columnas'!$B$2:$B$100,""""),
col,IFERROR(MATCH(campo,Referencia!$A$1:$AZ$1,0),0),
fila,IFERROR(MATCH(TO_TEXT(D2982),ARRAYFOR"&amp;"MULA(TO_TEXT(Referencia!$A$2:$A6238)),0),0),
IF(OR(campo="""",campo=""-""),""NO APLICA"",
IF(col=0,""REVISAR EQUIVALENCIA"",
IF(fila=0,""SKU NO ENCONTRADO"",
LET(
valor,INDEX(Referencia!$A$2:$AZ6238,fila,col),
IF(TRIM(TO_TEXT(valor))=TRIM(TO_TEXT(I2982)),"&amp;"
""OK"",
""NO COINCIDE. Valor verdadero: ""&amp;IF(valor="""",""[VACÍO]"",TO_TEXT(valor))
)
))))
),""ERROR EN FÓRMULA""))"),"NO COINCIDE. Valor verdadero: 1075")</f>
        <v>NO COINCIDE. Valor verdadero: 1075</v>
      </c>
    </row>
    <row r="2983">
      <c r="A2983" s="83" t="s">
        <v>4854</v>
      </c>
      <c r="B2983" s="83" t="s">
        <v>4855</v>
      </c>
      <c r="C2983" s="81" t="s">
        <v>4621</v>
      </c>
      <c r="D2983" s="83" t="s">
        <v>4866</v>
      </c>
      <c r="E2983" s="81" t="s">
        <v>4018</v>
      </c>
      <c r="F2983" s="84">
        <v>802.0</v>
      </c>
      <c r="G2983" s="81" t="s">
        <v>21</v>
      </c>
      <c r="H2983" s="81" t="s">
        <v>224</v>
      </c>
      <c r="I2983" s="81" t="s">
        <v>1796</v>
      </c>
      <c r="J2983" s="81" t="s">
        <v>224</v>
      </c>
      <c r="K2983" s="81" t="str">
        <f>IFERROR(__xludf.DUMMYFUNCTION("IF(OR(D2983="""",G2983=""""),"""",IFERROR(LET(
campo,XLOOKUP(TRIM(G2983),ARRAYFORMULA(TRIM('indice columnas'!$A$2:$A$100)),'indice columnas'!$B$2:$B$100,""""),
col,IFERROR(MATCH(campo,Referencia!$A$1:$AZ$1,0),0),
fila,IFERROR(MATCH(TO_TEXT(D2983),ARRAYFOR"&amp;"MULA(TO_TEXT(Referencia!$A$2:$A6238)),0),0),
IF(OR(campo="""",campo=""-""),""NO APLICA"",
IF(col=0,""REVISAR EQUIVALENCIA"",
IF(fila=0,""SKU NO ENCONTRADO"",
LET(
valor,INDEX(Referencia!$A$2:$AZ6238,fila,col),
IF(TRIM(TO_TEXT(valor))=TRIM(TO_TEXT(I2983)),"&amp;"
""OK"",
""NO COINCIDE. Valor verdadero: ""&amp;IF(valor="""",""[VACÍO]"",TO_TEXT(valor))
)
))))
),""ERROR EN FÓRMULA""))"),"NO COINCIDE. Valor verdadero: 54")</f>
        <v>NO COINCIDE. Valor verdadero: 54</v>
      </c>
    </row>
    <row r="2984">
      <c r="A2984" s="83" t="s">
        <v>4854</v>
      </c>
      <c r="B2984" s="83" t="s">
        <v>4855</v>
      </c>
      <c r="C2984" s="81" t="s">
        <v>4621</v>
      </c>
      <c r="D2984" s="83" t="s">
        <v>4866</v>
      </c>
      <c r="E2984" s="81" t="s">
        <v>4018</v>
      </c>
      <c r="F2984" s="84">
        <v>802.0</v>
      </c>
      <c r="G2984" s="81" t="s">
        <v>22</v>
      </c>
      <c r="H2984" s="81" t="s">
        <v>224</v>
      </c>
      <c r="I2984" s="81" t="s">
        <v>4013</v>
      </c>
      <c r="J2984" s="81" t="s">
        <v>224</v>
      </c>
      <c r="K2984" s="81" t="str">
        <f>IFERROR(__xludf.DUMMYFUNCTION("IF(OR(D2984="""",G2984=""""),"""",IFERROR(LET(
campo,XLOOKUP(TRIM(G2984),ARRAYFORMULA(TRIM('indice columnas'!$A$2:$A$100)),'indice columnas'!$B$2:$B$100,""""),
col,IFERROR(MATCH(campo,Referencia!$A$1:$AZ$1,0),0),
fila,IFERROR(MATCH(TO_TEXT(D2984),ARRAYFOR"&amp;"MULA(TO_TEXT(Referencia!$A$2:$A6238)),0),0),
IF(OR(campo="""",campo=""-""),""NO APLICA"",
IF(col=0,""REVISAR EQUIVALENCIA"",
IF(fila=0,""SKU NO ENCONTRADO"",
LET(
valor,INDEX(Referencia!$A$2:$AZ6238,fila,col),
IF(TRIM(TO_TEXT(valor))=TRIM(TO_TEXT(I2984)),"&amp;"
""OK"",
""NO COINCIDE. Valor verdadero: ""&amp;IF(valor="""",""[VACÍO]"",TO_TEXT(valor))
)
))))
),""ERROR EN FÓRMULA""))"),"NO COINCIDE. Valor verdadero: 2200")</f>
        <v>NO COINCIDE. Valor verdadero: 2200</v>
      </c>
    </row>
    <row r="2985">
      <c r="A2985" s="83" t="s">
        <v>4854</v>
      </c>
      <c r="B2985" s="83" t="s">
        <v>4855</v>
      </c>
      <c r="C2985" s="81" t="s">
        <v>4621</v>
      </c>
      <c r="D2985" s="83" t="s">
        <v>4866</v>
      </c>
      <c r="E2985" s="81" t="s">
        <v>4018</v>
      </c>
      <c r="F2985" s="84">
        <v>802.0</v>
      </c>
      <c r="G2985" s="81" t="s">
        <v>23</v>
      </c>
      <c r="H2985" s="81" t="s">
        <v>224</v>
      </c>
      <c r="I2985" s="81" t="s">
        <v>108</v>
      </c>
      <c r="J2985" s="81" t="s">
        <v>224</v>
      </c>
      <c r="K2985" s="81" t="str">
        <f>IFERROR(__xludf.DUMMYFUNCTION("IF(OR(D2985="""",G2985=""""),"""",IFERROR(LET(
campo,XLOOKUP(TRIM(G2985),ARRAYFORMULA(TRIM('indice columnas'!$A$2:$A$100)),'indice columnas'!$B$2:$B$100,""""),
col,IFERROR(MATCH(campo,Referencia!$A$1:$AZ$1,0),0),
fila,IFERROR(MATCH(TO_TEXT(D2985),ARRAYFOR"&amp;"MULA(TO_TEXT(Referencia!$A$2:$A6238)),0),0),
IF(OR(campo="""",campo=""-""),""NO APLICA"",
IF(col=0,""REVISAR EQUIVALENCIA"",
IF(fila=0,""SKU NO ENCONTRADO"",
LET(
valor,INDEX(Referencia!$A$2:$AZ6238,fila,col),
IF(TRIM(TO_TEXT(valor))=TRIM(TO_TEXT(I2985)),"&amp;"
""OK"",
""NO COINCIDE. Valor verdadero: ""&amp;IF(valor="""",""[VACÍO]"",TO_TEXT(valor))
)
))))
),""ERROR EN FÓRMULA""))"),"OK")</f>
        <v>OK</v>
      </c>
    </row>
    <row r="2986">
      <c r="A2986" s="83" t="s">
        <v>4854</v>
      </c>
      <c r="B2986" s="83" t="s">
        <v>4855</v>
      </c>
      <c r="C2986" s="81" t="s">
        <v>4621</v>
      </c>
      <c r="D2986" s="83" t="s">
        <v>4866</v>
      </c>
      <c r="E2986" s="81" t="s">
        <v>4018</v>
      </c>
      <c r="F2986" s="84">
        <v>802.0</v>
      </c>
      <c r="G2986" s="81" t="s">
        <v>24</v>
      </c>
      <c r="H2986" s="81" t="s">
        <v>224</v>
      </c>
      <c r="I2986" s="81" t="s">
        <v>1830</v>
      </c>
      <c r="J2986" s="81" t="s">
        <v>224</v>
      </c>
      <c r="K2986" s="81" t="str">
        <f>IFERROR(__xludf.DUMMYFUNCTION("IF(OR(D2986="""",G2986=""""),"""",IFERROR(LET(
campo,XLOOKUP(TRIM(G2986),ARRAYFORMULA(TRIM('indice columnas'!$A$2:$A$100)),'indice columnas'!$B$2:$B$100,""""),
col,IFERROR(MATCH(campo,Referencia!$A$1:$AZ$1,0),0),
fila,IFERROR(MATCH(TO_TEXT(D2986),ARRAYFOR"&amp;"MULA(TO_TEXT(Referencia!$A$2:$A6238)),0),0),
IF(OR(campo="""",campo=""-""),""NO APLICA"",
IF(col=0,""REVISAR EQUIVALENCIA"",
IF(fila=0,""SKU NO ENCONTRADO"",
LET(
valor,INDEX(Referencia!$A$2:$AZ6238,fila,col),
IF(TRIM(TO_TEXT(valor))=TRIM(TO_TEXT(I2986)),"&amp;"
""OK"",
""NO COINCIDE. Valor verdadero: ""&amp;IF(valor="""",""[VACÍO]"",TO_TEXT(valor))
)
))))
),""ERROR EN FÓRMULA""))"),"NO COINCIDE. Valor verdadero: 15 / 24 / 36")</f>
        <v>NO COINCIDE. Valor verdadero: 15 / 24 / 36</v>
      </c>
    </row>
    <row r="2987">
      <c r="A2987" s="83" t="s">
        <v>4854</v>
      </c>
      <c r="B2987" s="83" t="s">
        <v>4855</v>
      </c>
      <c r="C2987" s="81" t="s">
        <v>4621</v>
      </c>
      <c r="D2987" s="83" t="s">
        <v>4866</v>
      </c>
      <c r="E2987" s="81" t="s">
        <v>4018</v>
      </c>
      <c r="F2987" s="84">
        <v>802.0</v>
      </c>
      <c r="G2987" s="81" t="s">
        <v>25</v>
      </c>
      <c r="H2987" s="81" t="s">
        <v>224</v>
      </c>
      <c r="I2987" s="81" t="s">
        <v>1852</v>
      </c>
      <c r="J2987" s="81" t="s">
        <v>224</v>
      </c>
      <c r="K2987" s="81" t="str">
        <f>IFERROR(__xludf.DUMMYFUNCTION("IF(OR(D2987="""",G2987=""""),"""",IFERROR(LET(
campo,XLOOKUP(TRIM(G2987),ARRAYFORMULA(TRIM('indice columnas'!$A$2:$A$100)),'indice columnas'!$B$2:$B$100,""""),
col,IFERROR(MATCH(campo,Referencia!$A$1:$AZ$1,0),0),
fila,IFERROR(MATCH(TO_TEXT(D2987),ARRAYFOR"&amp;"MULA(TO_TEXT(Referencia!$A$2:$A6238)),0),0),
IF(OR(campo="""",campo=""-""),""NO APLICA"",
IF(col=0,""REVISAR EQUIVALENCIA"",
IF(fila=0,""SKU NO ENCONTRADO"",
LET(
valor,INDEX(Referencia!$A$2:$AZ6238,fila,col),
IF(TRIM(TO_TEXT(valor))=TRIM(TO_TEXT(I2987)),"&amp;"
""OK"",
""NO COINCIDE. Valor verdadero: ""&amp;IF(valor="""",""[VACÍO]"",TO_TEXT(valor))
)
))))
),""ERROR EN FÓRMULA""))"),"OK")</f>
        <v>OK</v>
      </c>
    </row>
    <row r="2988">
      <c r="A2988" s="83" t="s">
        <v>4854</v>
      </c>
      <c r="B2988" s="83" t="s">
        <v>4855</v>
      </c>
      <c r="C2988" s="81" t="s">
        <v>4621</v>
      </c>
      <c r="D2988" s="83" t="s">
        <v>4866</v>
      </c>
      <c r="E2988" s="81" t="s">
        <v>4018</v>
      </c>
      <c r="F2988" s="84">
        <v>802.0</v>
      </c>
      <c r="G2988" s="81" t="s">
        <v>26</v>
      </c>
      <c r="H2988" s="81" t="s">
        <v>224</v>
      </c>
      <c r="I2988" s="81" t="s">
        <v>59</v>
      </c>
      <c r="J2988" s="81" t="s">
        <v>224</v>
      </c>
      <c r="K2988" s="81" t="str">
        <f>IFERROR(__xludf.DUMMYFUNCTION("IF(OR(D2988="""",G2988=""""),"""",IFERROR(LET(
campo,XLOOKUP(TRIM(G2988),ARRAYFORMULA(TRIM('indice columnas'!$A$2:$A$100)),'indice columnas'!$B$2:$B$100,""""),
col,IFERROR(MATCH(campo,Referencia!$A$1:$AZ$1,0),0),
fila,IFERROR(MATCH(TO_TEXT(D2988),ARRAYFOR"&amp;"MULA(TO_TEXT(Referencia!$A$2:$A6238)),0),0),
IF(OR(campo="""",campo=""-""),""NO APLICA"",
IF(col=0,""REVISAR EQUIVALENCIA"",
IF(fila=0,""SKU NO ENCONTRADO"",
LET(
valor,INDEX(Referencia!$A$2:$AZ6238,fila,col),
IF(TRIM(TO_TEXT(valor))=TRIM(TO_TEXT(I2988)),"&amp;"
""OK"",
""NO COINCIDE. Valor verdadero: ""&amp;IF(valor="""",""[VACÍO]"",TO_TEXT(valor))
)
))))
),""ERROR EN FÓRMULA""))"),"OK")</f>
        <v>OK</v>
      </c>
    </row>
    <row r="2989">
      <c r="A2989" s="83" t="s">
        <v>4854</v>
      </c>
      <c r="B2989" s="83" t="s">
        <v>4855</v>
      </c>
      <c r="C2989" s="81" t="s">
        <v>4621</v>
      </c>
      <c r="D2989" s="83" t="s">
        <v>4866</v>
      </c>
      <c r="E2989" s="81" t="s">
        <v>4018</v>
      </c>
      <c r="F2989" s="84">
        <v>802.0</v>
      </c>
      <c r="G2989" s="81" t="s">
        <v>27</v>
      </c>
      <c r="H2989" s="81" t="s">
        <v>224</v>
      </c>
      <c r="I2989" s="81" t="s">
        <v>60</v>
      </c>
      <c r="J2989" s="81" t="s">
        <v>224</v>
      </c>
      <c r="K2989" s="81" t="str">
        <f>IFERROR(__xludf.DUMMYFUNCTION("IF(OR(D2989="""",G2989=""""),"""",IFERROR(LET(
campo,XLOOKUP(TRIM(G2989),ARRAYFORMULA(TRIM('indice columnas'!$A$2:$A$100)),'indice columnas'!$B$2:$B$100,""""),
col,IFERROR(MATCH(campo,Referencia!$A$1:$AZ$1,0),0),
fila,IFERROR(MATCH(TO_TEXT(D2989),ARRAYFOR"&amp;"MULA(TO_TEXT(Referencia!$A$2:$A6238)),0),0),
IF(OR(campo="""",campo=""-""),""NO APLICA"",
IF(col=0,""REVISAR EQUIVALENCIA"",
IF(fila=0,""SKU NO ENCONTRADO"",
LET(
valor,INDEX(Referencia!$A$2:$AZ6238,fila,col),
IF(TRIM(TO_TEXT(valor))=TRIM(TO_TEXT(I2989)),"&amp;"
""OK"",
""NO COINCIDE. Valor verdadero: ""&amp;IF(valor="""",""[VACÍO]"",TO_TEXT(valor))
)
))))
),""ERROR EN FÓRMULA""))"),"OK")</f>
        <v>OK</v>
      </c>
    </row>
    <row r="2990">
      <c r="A2990" s="83" t="s">
        <v>4854</v>
      </c>
      <c r="B2990" s="83" t="s">
        <v>4855</v>
      </c>
      <c r="C2990" s="81" t="s">
        <v>4621</v>
      </c>
      <c r="D2990" s="83" t="s">
        <v>4866</v>
      </c>
      <c r="E2990" s="81" t="s">
        <v>4018</v>
      </c>
      <c r="F2990" s="84">
        <v>802.0</v>
      </c>
      <c r="G2990" s="81" t="s">
        <v>28</v>
      </c>
      <c r="H2990" s="81" t="s">
        <v>224</v>
      </c>
      <c r="I2990" s="81" t="s">
        <v>1599</v>
      </c>
      <c r="J2990" s="81" t="s">
        <v>224</v>
      </c>
      <c r="K2990" s="81" t="str">
        <f>IFERROR(__xludf.DUMMYFUNCTION("IF(OR(D2990="""",G2990=""""),"""",IFERROR(LET(
campo,XLOOKUP(TRIM(G2990),ARRAYFORMULA(TRIM('indice columnas'!$A$2:$A$100)),'indice columnas'!$B$2:$B$100,""""),
col,IFERROR(MATCH(campo,Referencia!$A$1:$AZ$1,0),0),
fila,IFERROR(MATCH(TO_TEXT(D2990),ARRAYFOR"&amp;"MULA(TO_TEXT(Referencia!$A$2:$A6238)),0),0),
IF(OR(campo="""",campo=""-""),""NO APLICA"",
IF(col=0,""REVISAR EQUIVALENCIA"",
IF(fila=0,""SKU NO ENCONTRADO"",
LET(
valor,INDEX(Referencia!$A$2:$AZ6238,fila,col),
IF(TRIM(TO_TEXT(valor))=TRIM(TO_TEXT(I2990)),"&amp;"
""OK"",
""NO COINCIDE. Valor verdadero: ""&amp;IF(valor="""",""[VACÍO]"",TO_TEXT(valor))
)
))))
),""ERROR EN FÓRMULA""))"),"OK")</f>
        <v>OK</v>
      </c>
    </row>
    <row r="2991">
      <c r="A2991" s="83" t="s">
        <v>4854</v>
      </c>
      <c r="B2991" s="83" t="s">
        <v>4855</v>
      </c>
      <c r="C2991" s="81" t="s">
        <v>4621</v>
      </c>
      <c r="D2991" s="83" t="s">
        <v>4866</v>
      </c>
      <c r="E2991" s="81" t="s">
        <v>4018</v>
      </c>
      <c r="F2991" s="84">
        <v>802.0</v>
      </c>
      <c r="G2991" s="81" t="s">
        <v>29</v>
      </c>
      <c r="H2991" s="81" t="s">
        <v>224</v>
      </c>
      <c r="I2991" s="81" t="s">
        <v>1867</v>
      </c>
      <c r="J2991" s="81" t="s">
        <v>224</v>
      </c>
      <c r="K2991" s="81" t="str">
        <f>IFERROR(__xludf.DUMMYFUNCTION("IF(OR(D2991="""",G2991=""""),"""",IFERROR(LET(
campo,XLOOKUP(TRIM(G2991),ARRAYFORMULA(TRIM('indice columnas'!$A$2:$A$100)),'indice columnas'!$B$2:$B$100,""""),
col,IFERROR(MATCH(campo,Referencia!$A$1:$AZ$1,0),0),
fila,IFERROR(MATCH(TO_TEXT(D2991),ARRAYFOR"&amp;"MULA(TO_TEXT(Referencia!$A$2:$A6238)),0),0),
IF(OR(campo="""",campo=""-""),""NO APLICA"",
IF(col=0,""REVISAR EQUIVALENCIA"",
IF(fila=0,""SKU NO ENCONTRADO"",
LET(
valor,INDEX(Referencia!$A$2:$AZ6238,fila,col),
IF(TRIM(TO_TEXT(valor))=TRIM(TO_TEXT(I2991)),"&amp;"
""OK"",
""NO COINCIDE. Valor verdadero: ""&amp;IF(valor="""",""[VACÍO]"",TO_TEXT(valor))
)
))))
),""ERROR EN FÓRMULA""))"),"NO COINCIDE. Valor verdadero: Ø75 x 165")</f>
        <v>NO COINCIDE. Valor verdadero: Ø75 x 165</v>
      </c>
    </row>
    <row r="2992">
      <c r="A2992" s="83" t="s">
        <v>4854</v>
      </c>
      <c r="B2992" s="83" t="s">
        <v>4855</v>
      </c>
      <c r="C2992" s="81" t="s">
        <v>4621</v>
      </c>
      <c r="D2992" s="83" t="s">
        <v>4866</v>
      </c>
      <c r="E2992" s="81" t="s">
        <v>4018</v>
      </c>
      <c r="F2992" s="84">
        <v>802.0</v>
      </c>
      <c r="G2992" s="81" t="s">
        <v>30</v>
      </c>
      <c r="H2992" s="81" t="s">
        <v>224</v>
      </c>
      <c r="I2992" s="81" t="s">
        <v>55</v>
      </c>
      <c r="J2992" s="81" t="s">
        <v>224</v>
      </c>
      <c r="K2992" s="81" t="str">
        <f>IFERROR(__xludf.DUMMYFUNCTION("IF(OR(D2992="""",G2992=""""),"""",IFERROR(LET(
campo,XLOOKUP(TRIM(G2992),ARRAYFORMULA(TRIM('indice columnas'!$A$2:$A$100)),'indice columnas'!$B$2:$B$100,""""),
col,IFERROR(MATCH(campo,Referencia!$A$1:$AZ$1,0),0),
fila,IFERROR(MATCH(TO_TEXT(D2992),ARRAYFOR"&amp;"MULA(TO_TEXT(Referencia!$A$2:$A6238)),0),0),
IF(OR(campo="""",campo=""-""),""NO APLICA"",
IF(col=0,""REVISAR EQUIVALENCIA"",
IF(fila=0,""SKU NO ENCONTRADO"",
LET(
valor,INDEX(Referencia!$A$2:$AZ6238,fila,col),
IF(TRIM(TO_TEXT(valor))=TRIM(TO_TEXT(I2992)),"&amp;"
""OK"",
""NO COINCIDE. Valor verdadero: ""&amp;IF(valor="""",""[VACÍO]"",TO_TEXT(valor))
)
))))
),""ERROR EN FÓRMULA""))"),"OK")</f>
        <v>OK</v>
      </c>
    </row>
    <row r="2993">
      <c r="A2993" s="83" t="s">
        <v>4854</v>
      </c>
      <c r="B2993" s="83" t="s">
        <v>4855</v>
      </c>
      <c r="C2993" s="81" t="s">
        <v>4621</v>
      </c>
      <c r="D2993" s="83" t="s">
        <v>4866</v>
      </c>
      <c r="E2993" s="81" t="s">
        <v>4018</v>
      </c>
      <c r="F2993" s="84">
        <v>802.0</v>
      </c>
      <c r="G2993" s="81" t="s">
        <v>31</v>
      </c>
      <c r="H2993" s="81" t="s">
        <v>224</v>
      </c>
      <c r="I2993" s="81" t="s">
        <v>55</v>
      </c>
      <c r="J2993" s="81" t="s">
        <v>224</v>
      </c>
      <c r="K2993" s="81" t="str">
        <f>IFERROR(__xludf.DUMMYFUNCTION("IF(OR(D2993="""",G2993=""""),"""",IFERROR(LET(
campo,XLOOKUP(TRIM(G2993),ARRAYFORMULA(TRIM('indice columnas'!$A$2:$A$100)),'indice columnas'!$B$2:$B$100,""""),
col,IFERROR(MATCH(campo,Referencia!$A$1:$AZ$1,0),0),
fila,IFERROR(MATCH(TO_TEXT(D2993),ARRAYFOR"&amp;"MULA(TO_TEXT(Referencia!$A$2:$A6238)),0),0),
IF(OR(campo="""",campo=""-""),""NO APLICA"",
IF(col=0,""REVISAR EQUIVALENCIA"",
IF(fila=0,""SKU NO ENCONTRADO"",
LET(
valor,INDEX(Referencia!$A$2:$AZ6238,fila,col),
IF(TRIM(TO_TEXT(valor))=TRIM(TO_TEXT(I2993)),"&amp;"
""OK"",
""NO COINCIDE. Valor verdadero: ""&amp;IF(valor="""",""[VACÍO]"",TO_TEXT(valor))
)
))))
),""ERROR EN FÓRMULA""))"),"OK")</f>
        <v>OK</v>
      </c>
    </row>
    <row r="2994">
      <c r="A2994" s="83" t="s">
        <v>4854</v>
      </c>
      <c r="B2994" s="83" t="s">
        <v>4855</v>
      </c>
      <c r="C2994" s="81" t="s">
        <v>4621</v>
      </c>
      <c r="D2994" s="83" t="s">
        <v>4866</v>
      </c>
      <c r="E2994" s="81" t="s">
        <v>4018</v>
      </c>
      <c r="F2994" s="84">
        <v>802.0</v>
      </c>
      <c r="G2994" s="81" t="s">
        <v>32</v>
      </c>
      <c r="H2994" s="81" t="s">
        <v>224</v>
      </c>
      <c r="I2994" s="81" t="s">
        <v>63</v>
      </c>
      <c r="J2994" s="81" t="s">
        <v>224</v>
      </c>
      <c r="K2994" s="81" t="str">
        <f>IFERROR(__xludf.DUMMYFUNCTION("IF(OR(D2994="""",G2994=""""),"""",IFERROR(LET(
campo,XLOOKUP(TRIM(G2994),ARRAYFORMULA(TRIM('indice columnas'!$A$2:$A$100)),'indice columnas'!$B$2:$B$100,""""),
col,IFERROR(MATCH(campo,Referencia!$A$1:$AZ$1,0),0),
fila,IFERROR(MATCH(TO_TEXT(D2994),ARRAYFOR"&amp;"MULA(TO_TEXT(Referencia!$A$2:$A6238)),0),0),
IF(OR(campo="""",campo=""-""),""NO APLICA"",
IF(col=0,""REVISAR EQUIVALENCIA"",
IF(fila=0,""SKU NO ENCONTRADO"",
LET(
valor,INDEX(Referencia!$A$2:$AZ6238,fila,col),
IF(TRIM(TO_TEXT(valor))=TRIM(TO_TEXT(I2994)),"&amp;"
""OK"",
""NO COINCIDE. Valor verdadero: ""&amp;IF(valor="""",""[VACÍO]"",TO_TEXT(valor))
)
))))
),""ERROR EN FÓRMULA""))"),"OK")</f>
        <v>OK</v>
      </c>
    </row>
    <row r="2995">
      <c r="A2995" s="83" t="s">
        <v>4854</v>
      </c>
      <c r="B2995" s="83" t="s">
        <v>4855</v>
      </c>
      <c r="C2995" s="81" t="s">
        <v>4621</v>
      </c>
      <c r="D2995" s="83" t="s">
        <v>4866</v>
      </c>
      <c r="E2995" s="81" t="s">
        <v>4018</v>
      </c>
      <c r="F2995" s="84">
        <v>802.0</v>
      </c>
      <c r="G2995" s="81" t="s">
        <v>33</v>
      </c>
      <c r="H2995" s="81" t="s">
        <v>224</v>
      </c>
      <c r="I2995" s="81" t="s">
        <v>1833</v>
      </c>
      <c r="J2995" s="81" t="s">
        <v>224</v>
      </c>
      <c r="K2995" s="81" t="str">
        <f>IFERROR(__xludf.DUMMYFUNCTION("IF(OR(D2995="""",G2995=""""),"""",IFERROR(LET(
campo,XLOOKUP(TRIM(G2995),ARRAYFORMULA(TRIM('indice columnas'!$A$2:$A$100)),'indice columnas'!$B$2:$B$100,""""),
col,IFERROR(MATCH(campo,Referencia!$A$1:$AZ$1,0),0),
fila,IFERROR(MATCH(TO_TEXT(D2995),ARRAYFOR"&amp;"MULA(TO_TEXT(Referencia!$A$2:$A6238)),0),0),
IF(OR(campo="""",campo=""-""),""NO APLICA"",
IF(col=0,""REVISAR EQUIVALENCIA"",
IF(fila=0,""SKU NO ENCONTRADO"",
LET(
valor,INDEX(Referencia!$A$2:$AZ6238,fila,col),
IF(TRIM(TO_TEXT(valor))=TRIM(TO_TEXT(I2995)),"&amp;"
""OK"",
""NO COINCIDE. Valor verdadero: ""&amp;IF(valor="""",""[VACÍO]"",TO_TEXT(valor))
)
))))
),""ERROR EN FÓRMULA""))"),"OK")</f>
        <v>OK</v>
      </c>
    </row>
    <row r="2996">
      <c r="A2996" s="83" t="s">
        <v>4854</v>
      </c>
      <c r="B2996" s="83" t="s">
        <v>4855</v>
      </c>
      <c r="C2996" s="81" t="s">
        <v>4621</v>
      </c>
      <c r="D2996" s="83" t="s">
        <v>4866</v>
      </c>
      <c r="E2996" s="81" t="s">
        <v>4018</v>
      </c>
      <c r="F2996" s="84">
        <v>802.0</v>
      </c>
      <c r="G2996" s="81" t="s">
        <v>34</v>
      </c>
      <c r="H2996" s="81" t="s">
        <v>224</v>
      </c>
      <c r="I2996" s="81" t="s">
        <v>94</v>
      </c>
      <c r="J2996" s="81" t="s">
        <v>224</v>
      </c>
      <c r="K2996" s="81" t="str">
        <f>IFERROR(__xludf.DUMMYFUNCTION("IF(OR(D2996="""",G2996=""""),"""",IFERROR(LET(
campo,XLOOKUP(TRIM(G2996),ARRAYFORMULA(TRIM('indice columnas'!$A$2:$A$100)),'indice columnas'!$B$2:$B$100,""""),
col,IFERROR(MATCH(campo,Referencia!$A$1:$AZ$1,0),0),
fila,IFERROR(MATCH(TO_TEXT(D2996),ARRAYFOR"&amp;"MULA(TO_TEXT(Referencia!$A$2:$A6238)),0),0),
IF(OR(campo="""",campo=""-""),""NO APLICA"",
IF(col=0,""REVISAR EQUIVALENCIA"",
IF(fila=0,""SKU NO ENCONTRADO"",
LET(
valor,INDEX(Referencia!$A$2:$AZ6238,fila,col),
IF(TRIM(TO_TEXT(valor))=TRIM(TO_TEXT(I2996)),"&amp;"
""OK"",
""NO COINCIDE. Valor verdadero: ""&amp;IF(valor="""",""[VACÍO]"",TO_TEXT(valor))
)
))))
),""ERROR EN FÓRMULA""))"),"OK")</f>
        <v>OK</v>
      </c>
    </row>
    <row r="2997">
      <c r="A2997" s="83" t="s">
        <v>4854</v>
      </c>
      <c r="B2997" s="83" t="s">
        <v>4855</v>
      </c>
      <c r="C2997" s="81" t="s">
        <v>4621</v>
      </c>
      <c r="D2997" s="83" t="s">
        <v>4866</v>
      </c>
      <c r="E2997" s="81" t="s">
        <v>4018</v>
      </c>
      <c r="F2997" s="84">
        <v>802.0</v>
      </c>
      <c r="G2997" s="81" t="s">
        <v>35</v>
      </c>
      <c r="H2997" s="81" t="s">
        <v>224</v>
      </c>
      <c r="I2997" s="81" t="s">
        <v>49</v>
      </c>
      <c r="J2997" s="81" t="s">
        <v>224</v>
      </c>
      <c r="K2997" s="81" t="str">
        <f>IFERROR(__xludf.DUMMYFUNCTION("IF(OR(D2997="""",G2997=""""),"""",IFERROR(LET(
campo,XLOOKUP(TRIM(G2997),ARRAYFORMULA(TRIM('indice columnas'!$A$2:$A$100)),'indice columnas'!$B$2:$B$100,""""),
col,IFERROR(MATCH(campo,Referencia!$A$1:$AZ$1,0),0),
fila,IFERROR(MATCH(TO_TEXT(D2997),ARRAYFOR"&amp;"MULA(TO_TEXT(Referencia!$A$2:$A6238)),0),0),
IF(OR(campo="""",campo=""-""),""NO APLICA"",
IF(col=0,""REVISAR EQUIVALENCIA"",
IF(fila=0,""SKU NO ENCONTRADO"",
LET(
valor,INDEX(Referencia!$A$2:$AZ6238,fila,col),
IF(TRIM(TO_TEXT(valor))=TRIM(TO_TEXT(I2997)),"&amp;"
""OK"",
""NO COINCIDE. Valor verdadero: ""&amp;IF(valor="""",""[VACÍO]"",TO_TEXT(valor))
)
))))
),""ERROR EN FÓRMULA""))"),"OK")</f>
        <v>OK</v>
      </c>
    </row>
    <row r="2998">
      <c r="A2998" s="83" t="s">
        <v>4854</v>
      </c>
      <c r="B2998" s="83" t="s">
        <v>4855</v>
      </c>
      <c r="C2998" s="81" t="s">
        <v>4621</v>
      </c>
      <c r="D2998" s="83" t="s">
        <v>4866</v>
      </c>
      <c r="E2998" s="81" t="s">
        <v>4018</v>
      </c>
      <c r="F2998" s="84">
        <v>802.0</v>
      </c>
      <c r="G2998" s="81" t="s">
        <v>36</v>
      </c>
      <c r="H2998" s="81" t="s">
        <v>224</v>
      </c>
      <c r="I2998" s="81" t="s">
        <v>95</v>
      </c>
      <c r="J2998" s="81" t="s">
        <v>224</v>
      </c>
      <c r="K2998" s="81" t="str">
        <f>IFERROR(__xludf.DUMMYFUNCTION("IF(OR(D2998="""",G2998=""""),"""",IFERROR(LET(
campo,XLOOKUP(TRIM(G2998),ARRAYFORMULA(TRIM('indice columnas'!$A$2:$A$100)),'indice columnas'!$B$2:$B$100,""""),
col,IFERROR(MATCH(campo,Referencia!$A$1:$AZ$1,0),0),
fila,IFERROR(MATCH(TO_TEXT(D2998),ARRAYFOR"&amp;"MULA(TO_TEXT(Referencia!$A$2:$A6238)),0),0),
IF(OR(campo="""",campo=""-""),""NO APLICA"",
IF(col=0,""REVISAR EQUIVALENCIA"",
IF(fila=0,""SKU NO ENCONTRADO"",
LET(
valor,INDEX(Referencia!$A$2:$AZ6238,fila,col),
IF(TRIM(TO_TEXT(valor))=TRIM(TO_TEXT(I2998)),"&amp;"
""OK"",
""NO COINCIDE. Valor verdadero: ""&amp;IF(valor="""",""[VACÍO]"",TO_TEXT(valor))
)
))))
),""ERROR EN FÓRMULA""))"),"REVISAR EQUIVALENCIA")</f>
        <v>REVISAR EQUIVALENCIA</v>
      </c>
    </row>
    <row r="2999">
      <c r="A2999" s="83" t="s">
        <v>4854</v>
      </c>
      <c r="B2999" s="83" t="s">
        <v>4855</v>
      </c>
      <c r="C2999" s="81" t="s">
        <v>4621</v>
      </c>
      <c r="D2999" s="83" t="s">
        <v>4866</v>
      </c>
      <c r="E2999" s="81" t="s">
        <v>4018</v>
      </c>
      <c r="F2999" s="84">
        <v>802.0</v>
      </c>
      <c r="G2999" s="81" t="s">
        <v>37</v>
      </c>
      <c r="H2999" s="81" t="s">
        <v>224</v>
      </c>
      <c r="I2999" s="81" t="s">
        <v>66</v>
      </c>
      <c r="J2999" s="81" t="s">
        <v>224</v>
      </c>
      <c r="K2999" s="81" t="str">
        <f>IFERROR(__xludf.DUMMYFUNCTION("IF(OR(D2999="""",G2999=""""),"""",IFERROR(LET(
campo,XLOOKUP(TRIM(G2999),ARRAYFORMULA(TRIM('indice columnas'!$A$2:$A$100)),'indice columnas'!$B$2:$B$100,""""),
col,IFERROR(MATCH(campo,Referencia!$A$1:$AZ$1,0),0),
fila,IFERROR(MATCH(TO_TEXT(D2999),ARRAYFOR"&amp;"MULA(TO_TEXT(Referencia!$A$2:$A6238)),0),0),
IF(OR(campo="""",campo=""-""),""NO APLICA"",
IF(col=0,""REVISAR EQUIVALENCIA"",
IF(fila=0,""SKU NO ENCONTRADO"",
LET(
valor,INDEX(Referencia!$A$2:$AZ6238,fila,col),
IF(TRIM(TO_TEXT(valor))=TRIM(TO_TEXT(I2999)),"&amp;"
""OK"",
""NO COINCIDE. Valor verdadero: ""&amp;IF(valor="""",""[VACÍO]"",TO_TEXT(valor))
)
))))
),""ERROR EN FÓRMULA""))"),"OK")</f>
        <v>OK</v>
      </c>
    </row>
    <row r="3000">
      <c r="A3000" s="83" t="s">
        <v>4854</v>
      </c>
      <c r="B3000" s="83" t="s">
        <v>4855</v>
      </c>
      <c r="C3000" s="81" t="s">
        <v>4621</v>
      </c>
      <c r="D3000" s="83" t="s">
        <v>4866</v>
      </c>
      <c r="E3000" s="81" t="s">
        <v>4018</v>
      </c>
      <c r="F3000" s="84">
        <v>802.0</v>
      </c>
      <c r="G3000" s="81" t="s">
        <v>41</v>
      </c>
      <c r="H3000" s="81" t="s">
        <v>224</v>
      </c>
      <c r="I3000" s="81" t="s">
        <v>1825</v>
      </c>
      <c r="J3000" s="81" t="s">
        <v>224</v>
      </c>
      <c r="K3000" s="81" t="str">
        <f>IFERROR(__xludf.DUMMYFUNCTION("IF(OR(D3000="""",G3000=""""),"""",IFERROR(LET(
campo,XLOOKUP(TRIM(G3000),ARRAYFORMULA(TRIM('indice columnas'!$A$2:$A$100)),'indice columnas'!$B$2:$B$100,""""),
col,IFERROR(MATCH(campo,Referencia!$A$1:$AZ$1,0),0),
fila,IFERROR(MATCH(TO_TEXT(D3000),ARRAYFOR"&amp;"MULA(TO_TEXT(Referencia!$A$2:$A6238)),0),0),
IF(OR(campo="""",campo=""-""),""NO APLICA"",
IF(col=0,""REVISAR EQUIVALENCIA"",
IF(fila=0,""SKU NO ENCONTRADO"",
LET(
valor,INDEX(Referencia!$A$2:$AZ6238,fila,col),
IF(TRIM(TO_TEXT(valor))=TRIM(TO_TEXT(I3000)),"&amp;"
""OK"",
""NO COINCIDE. Valor verdadero: ""&amp;IF(valor="""",""[VACÍO]"",TO_TEXT(valor))
)
))))
),""ERROR EN FÓRMULA""))"),"REVISAR EQUIVALENCIA")</f>
        <v>REVISAR EQUIVALENCIA</v>
      </c>
    </row>
    <row r="3001">
      <c r="A3001" s="83" t="s">
        <v>4854</v>
      </c>
      <c r="B3001" s="83" t="s">
        <v>4855</v>
      </c>
      <c r="C3001" s="81" t="s">
        <v>4621</v>
      </c>
      <c r="D3001" s="83" t="s">
        <v>4867</v>
      </c>
      <c r="E3001" s="81" t="s">
        <v>4019</v>
      </c>
      <c r="F3001" s="84">
        <v>803.0</v>
      </c>
      <c r="G3001" s="81" t="s">
        <v>10</v>
      </c>
      <c r="H3001" s="81" t="s">
        <v>224</v>
      </c>
      <c r="I3001" s="81" t="s">
        <v>84</v>
      </c>
      <c r="J3001" s="81" t="s">
        <v>224</v>
      </c>
      <c r="K3001" s="81" t="str">
        <f>IFERROR(__xludf.DUMMYFUNCTION("IF(OR(D3001="""",G3001=""""),"""",IFERROR(LET(
campo,XLOOKUP(TRIM(G3001),ARRAYFORMULA(TRIM('indice columnas'!$A$2:$A$100)),'indice columnas'!$B$2:$B$100,""""),
col,IFERROR(MATCH(campo,Referencia!$A$1:$AZ$1,0),0),
fila,IFERROR(MATCH(TO_TEXT(D3001),ARRAYFOR"&amp;"MULA(TO_TEXT(Referencia!$A$2:$A6238)),0),0),
IF(OR(campo="""",campo=""-""),""NO APLICA"",
IF(col=0,""REVISAR EQUIVALENCIA"",
IF(fila=0,""SKU NO ENCONTRADO"",
LET(
valor,INDEX(Referencia!$A$2:$AZ6238,fila,col),
IF(TRIM(TO_TEXT(valor))=TRIM(TO_TEXT(I3001)),"&amp;"
""OK"",
""NO COINCIDE. Valor verdadero: ""&amp;IF(valor="""",""[VACÍO]"",TO_TEXT(valor))
)
))))
),""ERROR EN FÓRMULA""))"),"OK")</f>
        <v>OK</v>
      </c>
    </row>
    <row r="3002">
      <c r="A3002" s="83" t="s">
        <v>4854</v>
      </c>
      <c r="B3002" s="83" t="s">
        <v>4855</v>
      </c>
      <c r="C3002" s="81" t="s">
        <v>4621</v>
      </c>
      <c r="D3002" s="83" t="s">
        <v>4867</v>
      </c>
      <c r="E3002" s="81" t="s">
        <v>4019</v>
      </c>
      <c r="F3002" s="84">
        <v>803.0</v>
      </c>
      <c r="G3002" s="81" t="s">
        <v>11</v>
      </c>
      <c r="H3002" s="81" t="s">
        <v>224</v>
      </c>
      <c r="I3002" s="81" t="s">
        <v>126</v>
      </c>
      <c r="J3002" s="81" t="s">
        <v>224</v>
      </c>
      <c r="K3002" s="81" t="str">
        <f>IFERROR(__xludf.DUMMYFUNCTION("IF(OR(D3002="""",G3002=""""),"""",IFERROR(LET(
campo,XLOOKUP(TRIM(G3002),ARRAYFORMULA(TRIM('indice columnas'!$A$2:$A$100)),'indice columnas'!$B$2:$B$100,""""),
col,IFERROR(MATCH(campo,Referencia!$A$1:$AZ$1,0),0),
fila,IFERROR(MATCH(TO_TEXT(D3002),ARRAYFOR"&amp;"MULA(TO_TEXT(Referencia!$A$2:$A6238)),0),0),
IF(OR(campo="""",campo=""-""),""NO APLICA"",
IF(col=0,""REVISAR EQUIVALENCIA"",
IF(fila=0,""SKU NO ENCONTRADO"",
LET(
valor,INDEX(Referencia!$A$2:$AZ6238,fila,col),
IF(TRIM(TO_TEXT(valor))=TRIM(TO_TEXT(I3002)),"&amp;"
""OK"",
""NO COINCIDE. Valor verdadero: ""&amp;IF(valor="""",""[VACÍO]"",TO_TEXT(valor))
)
))))
),""ERROR EN FÓRMULA""))"),"OK")</f>
        <v>OK</v>
      </c>
    </row>
    <row r="3003">
      <c r="A3003" s="83" t="s">
        <v>4854</v>
      </c>
      <c r="B3003" s="83" t="s">
        <v>4855</v>
      </c>
      <c r="C3003" s="81" t="s">
        <v>4621</v>
      </c>
      <c r="D3003" s="83" t="s">
        <v>4867</v>
      </c>
      <c r="E3003" s="81" t="s">
        <v>4019</v>
      </c>
      <c r="F3003" s="84">
        <v>803.0</v>
      </c>
      <c r="G3003" s="81" t="s">
        <v>12</v>
      </c>
      <c r="H3003" s="81" t="s">
        <v>224</v>
      </c>
      <c r="I3003" s="81" t="s">
        <v>55</v>
      </c>
      <c r="J3003" s="81" t="s">
        <v>224</v>
      </c>
      <c r="K3003" s="81" t="str">
        <f>IFERROR(__xludf.DUMMYFUNCTION("IF(OR(D3003="""",G3003=""""),"""",IFERROR(LET(
campo,XLOOKUP(TRIM(G3003),ARRAYFORMULA(TRIM('indice columnas'!$A$2:$A$100)),'indice columnas'!$B$2:$B$100,""""),
col,IFERROR(MATCH(campo,Referencia!$A$1:$AZ$1,0),0),
fila,IFERROR(MATCH(TO_TEXT(D3003),ARRAYFOR"&amp;"MULA(TO_TEXT(Referencia!$A$2:$A6238)),0),0),
IF(OR(campo="""",campo=""-""),""NO APLICA"",
IF(col=0,""REVISAR EQUIVALENCIA"",
IF(fila=0,""SKU NO ENCONTRADO"",
LET(
valor,INDEX(Referencia!$A$2:$AZ6238,fila,col),
IF(TRIM(TO_TEXT(valor))=TRIM(TO_TEXT(I3003)),"&amp;"
""OK"",
""NO COINCIDE. Valor verdadero: ""&amp;IF(valor="""",""[VACÍO]"",TO_TEXT(valor))
)
))))
),""ERROR EN FÓRMULA""))"),"OK")</f>
        <v>OK</v>
      </c>
    </row>
    <row r="3004">
      <c r="A3004" s="83" t="s">
        <v>4854</v>
      </c>
      <c r="B3004" s="83" t="s">
        <v>4855</v>
      </c>
      <c r="C3004" s="81" t="s">
        <v>4621</v>
      </c>
      <c r="D3004" s="83" t="s">
        <v>4867</v>
      </c>
      <c r="E3004" s="81" t="s">
        <v>4019</v>
      </c>
      <c r="F3004" s="84">
        <v>803.0</v>
      </c>
      <c r="G3004" s="81" t="s">
        <v>13</v>
      </c>
      <c r="H3004" s="81" t="s">
        <v>224</v>
      </c>
      <c r="I3004" s="81" t="s">
        <v>85</v>
      </c>
      <c r="J3004" s="81" t="s">
        <v>224</v>
      </c>
      <c r="K3004" s="81" t="str">
        <f>IFERROR(__xludf.DUMMYFUNCTION("IF(OR(D3004="""",G3004=""""),"""",IFERROR(LET(
campo,XLOOKUP(TRIM(G3004),ARRAYFORMULA(TRIM('indice columnas'!$A$2:$A$100)),'indice columnas'!$B$2:$B$100,""""),
col,IFERROR(MATCH(campo,Referencia!$A$1:$AZ$1,0),0),
fila,IFERROR(MATCH(TO_TEXT(D3004),ARRAYFOR"&amp;"MULA(TO_TEXT(Referencia!$A$2:$A6238)),0),0),
IF(OR(campo="""",campo=""-""),""NO APLICA"",
IF(col=0,""REVISAR EQUIVALENCIA"",
IF(fila=0,""SKU NO ENCONTRADO"",
LET(
valor,INDEX(Referencia!$A$2:$AZ6238,fila,col),
IF(TRIM(TO_TEXT(valor))=TRIM(TO_TEXT(I3004)),"&amp;"
""OK"",
""NO COINCIDE. Valor verdadero: ""&amp;IF(valor="""",""[VACÍO]"",TO_TEXT(valor))
)
))))
),""ERROR EN FÓRMULA""))"),"OK")</f>
        <v>OK</v>
      </c>
    </row>
    <row r="3005">
      <c r="A3005" s="83" t="s">
        <v>4854</v>
      </c>
      <c r="B3005" s="83" t="s">
        <v>4855</v>
      </c>
      <c r="C3005" s="81" t="s">
        <v>4621</v>
      </c>
      <c r="D3005" s="83" t="s">
        <v>4867</v>
      </c>
      <c r="E3005" s="81" t="s">
        <v>4019</v>
      </c>
      <c r="F3005" s="84">
        <v>803.0</v>
      </c>
      <c r="G3005" s="81" t="s">
        <v>14</v>
      </c>
      <c r="H3005" s="81" t="s">
        <v>224</v>
      </c>
      <c r="I3005" s="81" t="s">
        <v>1845</v>
      </c>
      <c r="J3005" s="81" t="s">
        <v>224</v>
      </c>
      <c r="K3005" s="81" t="str">
        <f>IFERROR(__xludf.DUMMYFUNCTION("IF(OR(D3005="""",G3005=""""),"""",IFERROR(LET(
campo,XLOOKUP(TRIM(G3005),ARRAYFORMULA(TRIM('indice columnas'!$A$2:$A$100)),'indice columnas'!$B$2:$B$100,""""),
col,IFERROR(MATCH(campo,Referencia!$A$1:$AZ$1,0),0),
fila,IFERROR(MATCH(TO_TEXT(D3005),ARRAYFOR"&amp;"MULA(TO_TEXT(Referencia!$A$2:$A6238)),0),0),
IF(OR(campo="""",campo=""-""),""NO APLICA"",
IF(col=0,""REVISAR EQUIVALENCIA"",
IF(fila=0,""SKU NO ENCONTRADO"",
LET(
valor,INDEX(Referencia!$A$2:$AZ6238,fila,col),
IF(TRIM(TO_TEXT(valor))=TRIM(TO_TEXT(I3005)),"&amp;"
""OK"",
""NO COINCIDE. Valor verdadero: ""&amp;IF(valor="""",""[VACÍO]"",TO_TEXT(valor))
)
))))
),""ERROR EN FÓRMULA""))"),"OK")</f>
        <v>OK</v>
      </c>
    </row>
    <row r="3006">
      <c r="A3006" s="83" t="s">
        <v>4854</v>
      </c>
      <c r="B3006" s="83" t="s">
        <v>4855</v>
      </c>
      <c r="C3006" s="81" t="s">
        <v>4621</v>
      </c>
      <c r="D3006" s="83" t="s">
        <v>4867</v>
      </c>
      <c r="E3006" s="81" t="s">
        <v>4019</v>
      </c>
      <c r="F3006" s="84">
        <v>803.0</v>
      </c>
      <c r="G3006" s="81" t="s">
        <v>15</v>
      </c>
      <c r="H3006" s="81" t="s">
        <v>224</v>
      </c>
      <c r="I3006" s="81" t="s">
        <v>55</v>
      </c>
      <c r="J3006" s="81" t="s">
        <v>224</v>
      </c>
      <c r="K3006" s="81" t="str">
        <f>IFERROR(__xludf.DUMMYFUNCTION("IF(OR(D3006="""",G3006=""""),"""",IFERROR(LET(
campo,XLOOKUP(TRIM(G3006),ARRAYFORMULA(TRIM('indice columnas'!$A$2:$A$100)),'indice columnas'!$B$2:$B$100,""""),
col,IFERROR(MATCH(campo,Referencia!$A$1:$AZ$1,0),0),
fila,IFERROR(MATCH(TO_TEXT(D3006),ARRAYFOR"&amp;"MULA(TO_TEXT(Referencia!$A$2:$A6238)),0),0),
IF(OR(campo="""",campo=""-""),""NO APLICA"",
IF(col=0,""REVISAR EQUIVALENCIA"",
IF(fila=0,""SKU NO ENCONTRADO"",
LET(
valor,INDEX(Referencia!$A$2:$AZ6238,fila,col),
IF(TRIM(TO_TEXT(valor))=TRIM(TO_TEXT(I3006)),"&amp;"
""OK"",
""NO COINCIDE. Valor verdadero: ""&amp;IF(valor="""",""[VACÍO]"",TO_TEXT(valor))
)
))))
),""ERROR EN FÓRMULA""))"),"OK")</f>
        <v>OK</v>
      </c>
    </row>
    <row r="3007">
      <c r="A3007" s="83" t="s">
        <v>4854</v>
      </c>
      <c r="B3007" s="83" t="s">
        <v>4855</v>
      </c>
      <c r="C3007" s="81" t="s">
        <v>4621</v>
      </c>
      <c r="D3007" s="83" t="s">
        <v>4867</v>
      </c>
      <c r="E3007" s="81" t="s">
        <v>4019</v>
      </c>
      <c r="F3007" s="84">
        <v>803.0</v>
      </c>
      <c r="G3007" s="81" t="s">
        <v>16</v>
      </c>
      <c r="H3007" s="81" t="s">
        <v>224</v>
      </c>
      <c r="I3007" s="81" t="s">
        <v>1865</v>
      </c>
      <c r="J3007" s="81" t="s">
        <v>224</v>
      </c>
      <c r="K3007" s="81" t="str">
        <f>IFERROR(__xludf.DUMMYFUNCTION("IF(OR(D3007="""",G3007=""""),"""",IFERROR(LET(
campo,XLOOKUP(TRIM(G3007),ARRAYFORMULA(TRIM('indice columnas'!$A$2:$A$100)),'indice columnas'!$B$2:$B$100,""""),
col,IFERROR(MATCH(campo,Referencia!$A$1:$AZ$1,0),0),
fila,IFERROR(MATCH(TO_TEXT(D3007),ARRAYFOR"&amp;"MULA(TO_TEXT(Referencia!$A$2:$A6238)),0),0),
IF(OR(campo="""",campo=""-""),""NO APLICA"",
IF(col=0,""REVISAR EQUIVALENCIA"",
IF(fila=0,""SKU NO ENCONTRADO"",
LET(
valor,INDEX(Referencia!$A$2:$AZ6238,fila,col),
IF(TRIM(TO_TEXT(valor))=TRIM(TO_TEXT(I3007)),"&amp;"
""OK"",
""NO COINCIDE. Valor verdadero: ""&amp;IF(valor="""",""[VACÍO]"",TO_TEXT(valor))
)
))))
),""ERROR EN FÓRMULA""))"),"NO COINCIDE. Valor verdadero: 20")</f>
        <v>NO COINCIDE. Valor verdadero: 20</v>
      </c>
    </row>
    <row r="3008">
      <c r="A3008" s="83" t="s">
        <v>4854</v>
      </c>
      <c r="B3008" s="83" t="s">
        <v>4855</v>
      </c>
      <c r="C3008" s="81" t="s">
        <v>4621</v>
      </c>
      <c r="D3008" s="83" t="s">
        <v>4867</v>
      </c>
      <c r="E3008" s="81" t="s">
        <v>4019</v>
      </c>
      <c r="F3008" s="84">
        <v>803.0</v>
      </c>
      <c r="G3008" s="81" t="s">
        <v>17</v>
      </c>
      <c r="H3008" s="81" t="s">
        <v>224</v>
      </c>
      <c r="I3008" s="81" t="s">
        <v>55</v>
      </c>
      <c r="J3008" s="81" t="s">
        <v>224</v>
      </c>
      <c r="K3008" s="81" t="str">
        <f>IFERROR(__xludf.DUMMYFUNCTION("IF(OR(D3008="""",G3008=""""),"""",IFERROR(LET(
campo,XLOOKUP(TRIM(G3008),ARRAYFORMULA(TRIM('indice columnas'!$A$2:$A$100)),'indice columnas'!$B$2:$B$100,""""),
col,IFERROR(MATCH(campo,Referencia!$A$1:$AZ$1,0),0),
fila,IFERROR(MATCH(TO_TEXT(D3008),ARRAYFOR"&amp;"MULA(TO_TEXT(Referencia!$A$2:$A6238)),0),0),
IF(OR(campo="""",campo=""-""),""NO APLICA"",
IF(col=0,""REVISAR EQUIVALENCIA"",
IF(fila=0,""SKU NO ENCONTRADO"",
LET(
valor,INDEX(Referencia!$A$2:$AZ6238,fila,col),
IF(TRIM(TO_TEXT(valor))=TRIM(TO_TEXT(I3008)),"&amp;"
""OK"",
""NO COINCIDE. Valor verdadero: ""&amp;IF(valor="""",""[VACÍO]"",TO_TEXT(valor))
)
))))
),""ERROR EN FÓRMULA""))"),"OK")</f>
        <v>OK</v>
      </c>
    </row>
    <row r="3009">
      <c r="A3009" s="83" t="s">
        <v>4854</v>
      </c>
      <c r="B3009" s="83" t="s">
        <v>4855</v>
      </c>
      <c r="C3009" s="81" t="s">
        <v>4621</v>
      </c>
      <c r="D3009" s="83" t="s">
        <v>4867</v>
      </c>
      <c r="E3009" s="81" t="s">
        <v>4019</v>
      </c>
      <c r="F3009" s="84">
        <v>803.0</v>
      </c>
      <c r="G3009" s="81" t="s">
        <v>18</v>
      </c>
      <c r="H3009" s="81" t="s">
        <v>224</v>
      </c>
      <c r="I3009" s="81" t="s">
        <v>49</v>
      </c>
      <c r="J3009" s="81" t="s">
        <v>224</v>
      </c>
      <c r="K3009" s="81" t="str">
        <f>IFERROR(__xludf.DUMMYFUNCTION("IF(OR(D3009="""",G3009=""""),"""",IFERROR(LET(
campo,XLOOKUP(TRIM(G3009),ARRAYFORMULA(TRIM('indice columnas'!$A$2:$A$100)),'indice columnas'!$B$2:$B$100,""""),
col,IFERROR(MATCH(campo,Referencia!$A$1:$AZ$1,0),0),
fila,IFERROR(MATCH(TO_TEXT(D3009),ARRAYFOR"&amp;"MULA(TO_TEXT(Referencia!$A$2:$A6238)),0),0),
IF(OR(campo="""",campo=""-""),""NO APLICA"",
IF(col=0,""REVISAR EQUIVALENCIA"",
IF(fila=0,""SKU NO ENCONTRADO"",
LET(
valor,INDEX(Referencia!$A$2:$AZ6238,fila,col),
IF(TRIM(TO_TEXT(valor))=TRIM(TO_TEXT(I3009)),"&amp;"
""OK"",
""NO COINCIDE. Valor verdadero: ""&amp;IF(valor="""",""[VACÍO]"",TO_TEXT(valor))
)
))))
),""ERROR EN FÓRMULA""))"),"OK")</f>
        <v>OK</v>
      </c>
    </row>
    <row r="3010">
      <c r="A3010" s="83" t="s">
        <v>4854</v>
      </c>
      <c r="B3010" s="83" t="s">
        <v>4855</v>
      </c>
      <c r="C3010" s="81" t="s">
        <v>4621</v>
      </c>
      <c r="D3010" s="83" t="s">
        <v>4867</v>
      </c>
      <c r="E3010" s="81" t="s">
        <v>4019</v>
      </c>
      <c r="F3010" s="84">
        <v>803.0</v>
      </c>
      <c r="G3010" s="81" t="s">
        <v>19</v>
      </c>
      <c r="H3010" s="81" t="s">
        <v>224</v>
      </c>
      <c r="I3010" s="81" t="s">
        <v>49</v>
      </c>
      <c r="J3010" s="81" t="s">
        <v>224</v>
      </c>
      <c r="K3010" s="81" t="str">
        <f>IFERROR(__xludf.DUMMYFUNCTION("IF(OR(D3010="""",G3010=""""),"""",IFERROR(LET(
campo,XLOOKUP(TRIM(G3010),ARRAYFORMULA(TRIM('indice columnas'!$A$2:$A$100)),'indice columnas'!$B$2:$B$100,""""),
col,IFERROR(MATCH(campo,Referencia!$A$1:$AZ$1,0),0),
fila,IFERROR(MATCH(TO_TEXT(D3010),ARRAYFOR"&amp;"MULA(TO_TEXT(Referencia!$A$2:$A6238)),0),0),
IF(OR(campo="""",campo=""-""),""NO APLICA"",
IF(col=0,""REVISAR EQUIVALENCIA"",
IF(fila=0,""SKU NO ENCONTRADO"",
LET(
valor,INDEX(Referencia!$A$2:$AZ6238,fila,col),
IF(TRIM(TO_TEXT(valor))=TRIM(TO_TEXT(I3010)),"&amp;"
""OK"",
""NO COINCIDE. Valor verdadero: ""&amp;IF(valor="""",""[VACÍO]"",TO_TEXT(valor))
)
))))
),""ERROR EN FÓRMULA""))"),"OK")</f>
        <v>OK</v>
      </c>
    </row>
    <row r="3011">
      <c r="A3011" s="83" t="s">
        <v>4854</v>
      </c>
      <c r="B3011" s="83" t="s">
        <v>4855</v>
      </c>
      <c r="C3011" s="81" t="s">
        <v>4621</v>
      </c>
      <c r="D3011" s="83" t="s">
        <v>4867</v>
      </c>
      <c r="E3011" s="81" t="s">
        <v>4019</v>
      </c>
      <c r="F3011" s="84">
        <v>803.0</v>
      </c>
      <c r="G3011" s="81" t="s">
        <v>20</v>
      </c>
      <c r="H3011" s="81" t="s">
        <v>224</v>
      </c>
      <c r="I3011" s="81" t="s">
        <v>1866</v>
      </c>
      <c r="J3011" s="81" t="s">
        <v>224</v>
      </c>
      <c r="K3011" s="81" t="str">
        <f>IFERROR(__xludf.DUMMYFUNCTION("IF(OR(D3011="""",G3011=""""),"""",IFERROR(LET(
campo,XLOOKUP(TRIM(G3011),ARRAYFORMULA(TRIM('indice columnas'!$A$2:$A$100)),'indice columnas'!$B$2:$B$100,""""),
col,IFERROR(MATCH(campo,Referencia!$A$1:$AZ$1,0),0),
fila,IFERROR(MATCH(TO_TEXT(D3011),ARRAYFOR"&amp;"MULA(TO_TEXT(Referencia!$A$2:$A6238)),0),0),
IF(OR(campo="""",campo=""-""),""NO APLICA"",
IF(col=0,""REVISAR EQUIVALENCIA"",
IF(fila=0,""SKU NO ENCONTRADO"",
LET(
valor,INDEX(Referencia!$A$2:$AZ6238,fila,col),
IF(TRIM(TO_TEXT(valor))=TRIM(TO_TEXT(I3011)),"&amp;"
""OK"",
""NO COINCIDE. Valor verdadero: ""&amp;IF(valor="""",""[VACÍO]"",TO_TEXT(valor))
)
))))
),""ERROR EN FÓRMULA""))"),"NO COINCIDE. Valor verdadero: 1075")</f>
        <v>NO COINCIDE. Valor verdadero: 1075</v>
      </c>
    </row>
    <row r="3012">
      <c r="A3012" s="83" t="s">
        <v>4854</v>
      </c>
      <c r="B3012" s="83" t="s">
        <v>4855</v>
      </c>
      <c r="C3012" s="81" t="s">
        <v>4621</v>
      </c>
      <c r="D3012" s="83" t="s">
        <v>4867</v>
      </c>
      <c r="E3012" s="81" t="s">
        <v>4019</v>
      </c>
      <c r="F3012" s="84">
        <v>803.0</v>
      </c>
      <c r="G3012" s="81" t="s">
        <v>21</v>
      </c>
      <c r="H3012" s="81" t="s">
        <v>224</v>
      </c>
      <c r="I3012" s="81" t="s">
        <v>1796</v>
      </c>
      <c r="J3012" s="81" t="s">
        <v>224</v>
      </c>
      <c r="K3012" s="81" t="str">
        <f>IFERROR(__xludf.DUMMYFUNCTION("IF(OR(D3012="""",G3012=""""),"""",IFERROR(LET(
campo,XLOOKUP(TRIM(G3012),ARRAYFORMULA(TRIM('indice columnas'!$A$2:$A$100)),'indice columnas'!$B$2:$B$100,""""),
col,IFERROR(MATCH(campo,Referencia!$A$1:$AZ$1,0),0),
fila,IFERROR(MATCH(TO_TEXT(D3012),ARRAYFOR"&amp;"MULA(TO_TEXT(Referencia!$A$2:$A6238)),0),0),
IF(OR(campo="""",campo=""-""),""NO APLICA"",
IF(col=0,""REVISAR EQUIVALENCIA"",
IF(fila=0,""SKU NO ENCONTRADO"",
LET(
valor,INDEX(Referencia!$A$2:$AZ6238,fila,col),
IF(TRIM(TO_TEXT(valor))=TRIM(TO_TEXT(I3012)),"&amp;"
""OK"",
""NO COINCIDE. Valor verdadero: ""&amp;IF(valor="""",""[VACÍO]"",TO_TEXT(valor))
)
))))
),""ERROR EN FÓRMULA""))"),"NO COINCIDE. Valor verdadero: 54")</f>
        <v>NO COINCIDE. Valor verdadero: 54</v>
      </c>
    </row>
    <row r="3013">
      <c r="A3013" s="83" t="s">
        <v>4854</v>
      </c>
      <c r="B3013" s="83" t="s">
        <v>4855</v>
      </c>
      <c r="C3013" s="81" t="s">
        <v>4621</v>
      </c>
      <c r="D3013" s="83" t="s">
        <v>4867</v>
      </c>
      <c r="E3013" s="81" t="s">
        <v>4019</v>
      </c>
      <c r="F3013" s="84">
        <v>803.0</v>
      </c>
      <c r="G3013" s="81" t="s">
        <v>22</v>
      </c>
      <c r="H3013" s="81" t="s">
        <v>224</v>
      </c>
      <c r="I3013" s="81" t="s">
        <v>4013</v>
      </c>
      <c r="J3013" s="81" t="s">
        <v>224</v>
      </c>
      <c r="K3013" s="81" t="str">
        <f>IFERROR(__xludf.DUMMYFUNCTION("IF(OR(D3013="""",G3013=""""),"""",IFERROR(LET(
campo,XLOOKUP(TRIM(G3013),ARRAYFORMULA(TRIM('indice columnas'!$A$2:$A$100)),'indice columnas'!$B$2:$B$100,""""),
col,IFERROR(MATCH(campo,Referencia!$A$1:$AZ$1,0),0),
fila,IFERROR(MATCH(TO_TEXT(D3013),ARRAYFOR"&amp;"MULA(TO_TEXT(Referencia!$A$2:$A6238)),0),0),
IF(OR(campo="""",campo=""-""),""NO APLICA"",
IF(col=0,""REVISAR EQUIVALENCIA"",
IF(fila=0,""SKU NO ENCONTRADO"",
LET(
valor,INDEX(Referencia!$A$2:$AZ6238,fila,col),
IF(TRIM(TO_TEXT(valor))=TRIM(TO_TEXT(I3013)),"&amp;"
""OK"",
""NO COINCIDE. Valor verdadero: ""&amp;IF(valor="""",""[VACÍO]"",TO_TEXT(valor))
)
))))
),""ERROR EN FÓRMULA""))"),"NO COINCIDE. Valor verdadero: 2200")</f>
        <v>NO COINCIDE. Valor verdadero: 2200</v>
      </c>
    </row>
    <row r="3014">
      <c r="A3014" s="83" t="s">
        <v>4854</v>
      </c>
      <c r="B3014" s="83" t="s">
        <v>4855</v>
      </c>
      <c r="C3014" s="81" t="s">
        <v>4621</v>
      </c>
      <c r="D3014" s="83" t="s">
        <v>4867</v>
      </c>
      <c r="E3014" s="81" t="s">
        <v>4019</v>
      </c>
      <c r="F3014" s="84">
        <v>803.0</v>
      </c>
      <c r="G3014" s="81" t="s">
        <v>23</v>
      </c>
      <c r="H3014" s="81" t="s">
        <v>224</v>
      </c>
      <c r="I3014" s="81" t="s">
        <v>108</v>
      </c>
      <c r="J3014" s="81" t="s">
        <v>224</v>
      </c>
      <c r="K3014" s="81" t="str">
        <f>IFERROR(__xludf.DUMMYFUNCTION("IF(OR(D3014="""",G3014=""""),"""",IFERROR(LET(
campo,XLOOKUP(TRIM(G3014),ARRAYFORMULA(TRIM('indice columnas'!$A$2:$A$100)),'indice columnas'!$B$2:$B$100,""""),
col,IFERROR(MATCH(campo,Referencia!$A$1:$AZ$1,0),0),
fila,IFERROR(MATCH(TO_TEXT(D3014),ARRAYFOR"&amp;"MULA(TO_TEXT(Referencia!$A$2:$A6238)),0),0),
IF(OR(campo="""",campo=""-""),""NO APLICA"",
IF(col=0,""REVISAR EQUIVALENCIA"",
IF(fila=0,""SKU NO ENCONTRADO"",
LET(
valor,INDEX(Referencia!$A$2:$AZ6238,fila,col),
IF(TRIM(TO_TEXT(valor))=TRIM(TO_TEXT(I3014)),"&amp;"
""OK"",
""NO COINCIDE. Valor verdadero: ""&amp;IF(valor="""",""[VACÍO]"",TO_TEXT(valor))
)
))))
),""ERROR EN FÓRMULA""))"),"OK")</f>
        <v>OK</v>
      </c>
    </row>
    <row r="3015">
      <c r="A3015" s="83" t="s">
        <v>4854</v>
      </c>
      <c r="B3015" s="83" t="s">
        <v>4855</v>
      </c>
      <c r="C3015" s="81" t="s">
        <v>4621</v>
      </c>
      <c r="D3015" s="83" t="s">
        <v>4867</v>
      </c>
      <c r="E3015" s="81" t="s">
        <v>4019</v>
      </c>
      <c r="F3015" s="84">
        <v>803.0</v>
      </c>
      <c r="G3015" s="81" t="s">
        <v>24</v>
      </c>
      <c r="H3015" s="81" t="s">
        <v>224</v>
      </c>
      <c r="I3015" s="81" t="s">
        <v>1830</v>
      </c>
      <c r="J3015" s="81" t="s">
        <v>224</v>
      </c>
      <c r="K3015" s="81" t="str">
        <f>IFERROR(__xludf.DUMMYFUNCTION("IF(OR(D3015="""",G3015=""""),"""",IFERROR(LET(
campo,XLOOKUP(TRIM(G3015),ARRAYFORMULA(TRIM('indice columnas'!$A$2:$A$100)),'indice columnas'!$B$2:$B$100,""""),
col,IFERROR(MATCH(campo,Referencia!$A$1:$AZ$1,0),0),
fila,IFERROR(MATCH(TO_TEXT(D3015),ARRAYFOR"&amp;"MULA(TO_TEXT(Referencia!$A$2:$A6238)),0),0),
IF(OR(campo="""",campo=""-""),""NO APLICA"",
IF(col=0,""REVISAR EQUIVALENCIA"",
IF(fila=0,""SKU NO ENCONTRADO"",
LET(
valor,INDEX(Referencia!$A$2:$AZ6238,fila,col),
IF(TRIM(TO_TEXT(valor))=TRIM(TO_TEXT(I3015)),"&amp;"
""OK"",
""NO COINCIDE. Valor verdadero: ""&amp;IF(valor="""",""[VACÍO]"",TO_TEXT(valor))
)
))))
),""ERROR EN FÓRMULA""))"),"NO COINCIDE. Valor verdadero: 15 / 24 / 36")</f>
        <v>NO COINCIDE. Valor verdadero: 15 / 24 / 36</v>
      </c>
    </row>
    <row r="3016">
      <c r="A3016" s="83" t="s">
        <v>4854</v>
      </c>
      <c r="B3016" s="83" t="s">
        <v>4855</v>
      </c>
      <c r="C3016" s="81" t="s">
        <v>4621</v>
      </c>
      <c r="D3016" s="83" t="s">
        <v>4867</v>
      </c>
      <c r="E3016" s="81" t="s">
        <v>4019</v>
      </c>
      <c r="F3016" s="84">
        <v>803.0</v>
      </c>
      <c r="G3016" s="81" t="s">
        <v>25</v>
      </c>
      <c r="H3016" s="81" t="s">
        <v>224</v>
      </c>
      <c r="I3016" s="81" t="s">
        <v>1852</v>
      </c>
      <c r="J3016" s="81" t="s">
        <v>224</v>
      </c>
      <c r="K3016" s="81" t="str">
        <f>IFERROR(__xludf.DUMMYFUNCTION("IF(OR(D3016="""",G3016=""""),"""",IFERROR(LET(
campo,XLOOKUP(TRIM(G3016),ARRAYFORMULA(TRIM('indice columnas'!$A$2:$A$100)),'indice columnas'!$B$2:$B$100,""""),
col,IFERROR(MATCH(campo,Referencia!$A$1:$AZ$1,0),0),
fila,IFERROR(MATCH(TO_TEXT(D3016),ARRAYFOR"&amp;"MULA(TO_TEXT(Referencia!$A$2:$A6238)),0),0),
IF(OR(campo="""",campo=""-""),""NO APLICA"",
IF(col=0,""REVISAR EQUIVALENCIA"",
IF(fila=0,""SKU NO ENCONTRADO"",
LET(
valor,INDEX(Referencia!$A$2:$AZ6238,fila,col),
IF(TRIM(TO_TEXT(valor))=TRIM(TO_TEXT(I3016)),"&amp;"
""OK"",
""NO COINCIDE. Valor verdadero: ""&amp;IF(valor="""",""[VACÍO]"",TO_TEXT(valor))
)
))))
),""ERROR EN FÓRMULA""))"),"OK")</f>
        <v>OK</v>
      </c>
    </row>
    <row r="3017">
      <c r="A3017" s="83" t="s">
        <v>4854</v>
      </c>
      <c r="B3017" s="83" t="s">
        <v>4855</v>
      </c>
      <c r="C3017" s="81" t="s">
        <v>4621</v>
      </c>
      <c r="D3017" s="83" t="s">
        <v>4867</v>
      </c>
      <c r="E3017" s="81" t="s">
        <v>4019</v>
      </c>
      <c r="F3017" s="84">
        <v>803.0</v>
      </c>
      <c r="G3017" s="81" t="s">
        <v>26</v>
      </c>
      <c r="H3017" s="81" t="s">
        <v>224</v>
      </c>
      <c r="I3017" s="81" t="s">
        <v>59</v>
      </c>
      <c r="J3017" s="81" t="s">
        <v>224</v>
      </c>
      <c r="K3017" s="81" t="str">
        <f>IFERROR(__xludf.DUMMYFUNCTION("IF(OR(D3017="""",G3017=""""),"""",IFERROR(LET(
campo,XLOOKUP(TRIM(G3017),ARRAYFORMULA(TRIM('indice columnas'!$A$2:$A$100)),'indice columnas'!$B$2:$B$100,""""),
col,IFERROR(MATCH(campo,Referencia!$A$1:$AZ$1,0),0),
fila,IFERROR(MATCH(TO_TEXT(D3017),ARRAYFOR"&amp;"MULA(TO_TEXT(Referencia!$A$2:$A6238)),0),0),
IF(OR(campo="""",campo=""-""),""NO APLICA"",
IF(col=0,""REVISAR EQUIVALENCIA"",
IF(fila=0,""SKU NO ENCONTRADO"",
LET(
valor,INDEX(Referencia!$A$2:$AZ6238,fila,col),
IF(TRIM(TO_TEXT(valor))=TRIM(TO_TEXT(I3017)),"&amp;"
""OK"",
""NO COINCIDE. Valor verdadero: ""&amp;IF(valor="""",""[VACÍO]"",TO_TEXT(valor))
)
))))
),""ERROR EN FÓRMULA""))"),"OK")</f>
        <v>OK</v>
      </c>
    </row>
    <row r="3018">
      <c r="A3018" s="83" t="s">
        <v>4854</v>
      </c>
      <c r="B3018" s="83" t="s">
        <v>4855</v>
      </c>
      <c r="C3018" s="81" t="s">
        <v>4621</v>
      </c>
      <c r="D3018" s="83" t="s">
        <v>4867</v>
      </c>
      <c r="E3018" s="81" t="s">
        <v>4019</v>
      </c>
      <c r="F3018" s="84">
        <v>803.0</v>
      </c>
      <c r="G3018" s="81" t="s">
        <v>27</v>
      </c>
      <c r="H3018" s="81" t="s">
        <v>224</v>
      </c>
      <c r="I3018" s="81" t="s">
        <v>1846</v>
      </c>
      <c r="J3018" s="81" t="s">
        <v>224</v>
      </c>
      <c r="K3018" s="81" t="str">
        <f>IFERROR(__xludf.DUMMYFUNCTION("IF(OR(D3018="""",G3018=""""),"""",IFERROR(LET(
campo,XLOOKUP(TRIM(G3018),ARRAYFORMULA(TRIM('indice columnas'!$A$2:$A$100)),'indice columnas'!$B$2:$B$100,""""),
col,IFERROR(MATCH(campo,Referencia!$A$1:$AZ$1,0),0),
fila,IFERROR(MATCH(TO_TEXT(D3018),ARRAYFOR"&amp;"MULA(TO_TEXT(Referencia!$A$2:$A6238)),0),0),
IF(OR(campo="""",campo=""-""),""NO APLICA"",
IF(col=0,""REVISAR EQUIVALENCIA"",
IF(fila=0,""SKU NO ENCONTRADO"",
LET(
valor,INDEX(Referencia!$A$2:$AZ6238,fila,col),
IF(TRIM(TO_TEXT(valor))=TRIM(TO_TEXT(I3018)),"&amp;"
""OK"",
""NO COINCIDE. Valor verdadero: ""&amp;IF(valor="""",""[VACÍO]"",TO_TEXT(valor))
)
))))
),""ERROR EN FÓRMULA""))"),"OK")</f>
        <v>OK</v>
      </c>
    </row>
    <row r="3019">
      <c r="A3019" s="83" t="s">
        <v>4854</v>
      </c>
      <c r="B3019" s="83" t="s">
        <v>4855</v>
      </c>
      <c r="C3019" s="81" t="s">
        <v>4621</v>
      </c>
      <c r="D3019" s="83" t="s">
        <v>4867</v>
      </c>
      <c r="E3019" s="81" t="s">
        <v>4019</v>
      </c>
      <c r="F3019" s="84">
        <v>803.0</v>
      </c>
      <c r="G3019" s="81" t="s">
        <v>28</v>
      </c>
      <c r="H3019" s="81" t="s">
        <v>224</v>
      </c>
      <c r="I3019" s="81" t="s">
        <v>1599</v>
      </c>
      <c r="J3019" s="81" t="s">
        <v>224</v>
      </c>
      <c r="K3019" s="81" t="str">
        <f>IFERROR(__xludf.DUMMYFUNCTION("IF(OR(D3019="""",G3019=""""),"""",IFERROR(LET(
campo,XLOOKUP(TRIM(G3019),ARRAYFORMULA(TRIM('indice columnas'!$A$2:$A$100)),'indice columnas'!$B$2:$B$100,""""),
col,IFERROR(MATCH(campo,Referencia!$A$1:$AZ$1,0),0),
fila,IFERROR(MATCH(TO_TEXT(D3019),ARRAYFOR"&amp;"MULA(TO_TEXT(Referencia!$A$2:$A6238)),0),0),
IF(OR(campo="""",campo=""-""),""NO APLICA"",
IF(col=0,""REVISAR EQUIVALENCIA"",
IF(fila=0,""SKU NO ENCONTRADO"",
LET(
valor,INDEX(Referencia!$A$2:$AZ6238,fila,col),
IF(TRIM(TO_TEXT(valor))=TRIM(TO_TEXT(I3019)),"&amp;"
""OK"",
""NO COINCIDE. Valor verdadero: ""&amp;IF(valor="""",""[VACÍO]"",TO_TEXT(valor))
)
))))
),""ERROR EN FÓRMULA""))"),"OK")</f>
        <v>OK</v>
      </c>
    </row>
    <row r="3020">
      <c r="A3020" s="83" t="s">
        <v>4854</v>
      </c>
      <c r="B3020" s="83" t="s">
        <v>4855</v>
      </c>
      <c r="C3020" s="81" t="s">
        <v>4621</v>
      </c>
      <c r="D3020" s="83" t="s">
        <v>4867</v>
      </c>
      <c r="E3020" s="81" t="s">
        <v>4019</v>
      </c>
      <c r="F3020" s="84">
        <v>803.0</v>
      </c>
      <c r="G3020" s="81" t="s">
        <v>29</v>
      </c>
      <c r="H3020" s="81" t="s">
        <v>224</v>
      </c>
      <c r="I3020" s="81" t="s">
        <v>1867</v>
      </c>
      <c r="J3020" s="81" t="s">
        <v>224</v>
      </c>
      <c r="K3020" s="81" t="str">
        <f>IFERROR(__xludf.DUMMYFUNCTION("IF(OR(D3020="""",G3020=""""),"""",IFERROR(LET(
campo,XLOOKUP(TRIM(G3020),ARRAYFORMULA(TRIM('indice columnas'!$A$2:$A$100)),'indice columnas'!$B$2:$B$100,""""),
col,IFERROR(MATCH(campo,Referencia!$A$1:$AZ$1,0),0),
fila,IFERROR(MATCH(TO_TEXT(D3020),ARRAYFOR"&amp;"MULA(TO_TEXT(Referencia!$A$2:$A6238)),0),0),
IF(OR(campo="""",campo=""-""),""NO APLICA"",
IF(col=0,""REVISAR EQUIVALENCIA"",
IF(fila=0,""SKU NO ENCONTRADO"",
LET(
valor,INDEX(Referencia!$A$2:$AZ6238,fila,col),
IF(TRIM(TO_TEXT(valor))=TRIM(TO_TEXT(I3020)),"&amp;"
""OK"",
""NO COINCIDE. Valor verdadero: ""&amp;IF(valor="""",""[VACÍO]"",TO_TEXT(valor))
)
))))
),""ERROR EN FÓRMULA""))"),"NO COINCIDE. Valor verdadero: Ø75 x 165")</f>
        <v>NO COINCIDE. Valor verdadero: Ø75 x 165</v>
      </c>
    </row>
    <row r="3021">
      <c r="A3021" s="83" t="s">
        <v>4854</v>
      </c>
      <c r="B3021" s="83" t="s">
        <v>4855</v>
      </c>
      <c r="C3021" s="81" t="s">
        <v>4621</v>
      </c>
      <c r="D3021" s="83" t="s">
        <v>4867</v>
      </c>
      <c r="E3021" s="81" t="s">
        <v>4019</v>
      </c>
      <c r="F3021" s="84">
        <v>803.0</v>
      </c>
      <c r="G3021" s="81" t="s">
        <v>30</v>
      </c>
      <c r="H3021" s="81" t="s">
        <v>224</v>
      </c>
      <c r="I3021" s="81" t="s">
        <v>55</v>
      </c>
      <c r="J3021" s="81" t="s">
        <v>224</v>
      </c>
      <c r="K3021" s="81" t="str">
        <f>IFERROR(__xludf.DUMMYFUNCTION("IF(OR(D3021="""",G3021=""""),"""",IFERROR(LET(
campo,XLOOKUP(TRIM(G3021),ARRAYFORMULA(TRIM('indice columnas'!$A$2:$A$100)),'indice columnas'!$B$2:$B$100,""""),
col,IFERROR(MATCH(campo,Referencia!$A$1:$AZ$1,0),0),
fila,IFERROR(MATCH(TO_TEXT(D3021),ARRAYFOR"&amp;"MULA(TO_TEXT(Referencia!$A$2:$A6238)),0),0),
IF(OR(campo="""",campo=""-""),""NO APLICA"",
IF(col=0,""REVISAR EQUIVALENCIA"",
IF(fila=0,""SKU NO ENCONTRADO"",
LET(
valor,INDEX(Referencia!$A$2:$AZ6238,fila,col),
IF(TRIM(TO_TEXT(valor))=TRIM(TO_TEXT(I3021)),"&amp;"
""OK"",
""NO COINCIDE. Valor verdadero: ""&amp;IF(valor="""",""[VACÍO]"",TO_TEXT(valor))
)
))))
),""ERROR EN FÓRMULA""))"),"OK")</f>
        <v>OK</v>
      </c>
    </row>
    <row r="3022">
      <c r="A3022" s="83" t="s">
        <v>4854</v>
      </c>
      <c r="B3022" s="83" t="s">
        <v>4855</v>
      </c>
      <c r="C3022" s="81" t="s">
        <v>4621</v>
      </c>
      <c r="D3022" s="83" t="s">
        <v>4867</v>
      </c>
      <c r="E3022" s="81" t="s">
        <v>4019</v>
      </c>
      <c r="F3022" s="84">
        <v>803.0</v>
      </c>
      <c r="G3022" s="81" t="s">
        <v>31</v>
      </c>
      <c r="H3022" s="81" t="s">
        <v>224</v>
      </c>
      <c r="I3022" s="81" t="s">
        <v>55</v>
      </c>
      <c r="J3022" s="81" t="s">
        <v>224</v>
      </c>
      <c r="K3022" s="81" t="str">
        <f>IFERROR(__xludf.DUMMYFUNCTION("IF(OR(D3022="""",G3022=""""),"""",IFERROR(LET(
campo,XLOOKUP(TRIM(G3022),ARRAYFORMULA(TRIM('indice columnas'!$A$2:$A$100)),'indice columnas'!$B$2:$B$100,""""),
col,IFERROR(MATCH(campo,Referencia!$A$1:$AZ$1,0),0),
fila,IFERROR(MATCH(TO_TEXT(D3022),ARRAYFOR"&amp;"MULA(TO_TEXT(Referencia!$A$2:$A6238)),0),0),
IF(OR(campo="""",campo=""-""),""NO APLICA"",
IF(col=0,""REVISAR EQUIVALENCIA"",
IF(fila=0,""SKU NO ENCONTRADO"",
LET(
valor,INDEX(Referencia!$A$2:$AZ6238,fila,col),
IF(TRIM(TO_TEXT(valor))=TRIM(TO_TEXT(I3022)),"&amp;"
""OK"",
""NO COINCIDE. Valor verdadero: ""&amp;IF(valor="""",""[VACÍO]"",TO_TEXT(valor))
)
))))
),""ERROR EN FÓRMULA""))"),"OK")</f>
        <v>OK</v>
      </c>
    </row>
    <row r="3023">
      <c r="A3023" s="83" t="s">
        <v>4854</v>
      </c>
      <c r="B3023" s="83" t="s">
        <v>4855</v>
      </c>
      <c r="C3023" s="81" t="s">
        <v>4621</v>
      </c>
      <c r="D3023" s="83" t="s">
        <v>4867</v>
      </c>
      <c r="E3023" s="81" t="s">
        <v>4019</v>
      </c>
      <c r="F3023" s="84">
        <v>803.0</v>
      </c>
      <c r="G3023" s="81" t="s">
        <v>32</v>
      </c>
      <c r="H3023" s="81" t="s">
        <v>224</v>
      </c>
      <c r="I3023" s="81" t="s">
        <v>63</v>
      </c>
      <c r="J3023" s="81" t="s">
        <v>224</v>
      </c>
      <c r="K3023" s="81" t="str">
        <f>IFERROR(__xludf.DUMMYFUNCTION("IF(OR(D3023="""",G3023=""""),"""",IFERROR(LET(
campo,XLOOKUP(TRIM(G3023),ARRAYFORMULA(TRIM('indice columnas'!$A$2:$A$100)),'indice columnas'!$B$2:$B$100,""""),
col,IFERROR(MATCH(campo,Referencia!$A$1:$AZ$1,0),0),
fila,IFERROR(MATCH(TO_TEXT(D3023),ARRAYFOR"&amp;"MULA(TO_TEXT(Referencia!$A$2:$A6238)),0),0),
IF(OR(campo="""",campo=""-""),""NO APLICA"",
IF(col=0,""REVISAR EQUIVALENCIA"",
IF(fila=0,""SKU NO ENCONTRADO"",
LET(
valor,INDEX(Referencia!$A$2:$AZ6238,fila,col),
IF(TRIM(TO_TEXT(valor))=TRIM(TO_TEXT(I3023)),"&amp;"
""OK"",
""NO COINCIDE. Valor verdadero: ""&amp;IF(valor="""",""[VACÍO]"",TO_TEXT(valor))
)
))))
),""ERROR EN FÓRMULA""))"),"OK")</f>
        <v>OK</v>
      </c>
    </row>
    <row r="3024">
      <c r="A3024" s="83" t="s">
        <v>4854</v>
      </c>
      <c r="B3024" s="83" t="s">
        <v>4855</v>
      </c>
      <c r="C3024" s="81" t="s">
        <v>4621</v>
      </c>
      <c r="D3024" s="83" t="s">
        <v>4867</v>
      </c>
      <c r="E3024" s="81" t="s">
        <v>4019</v>
      </c>
      <c r="F3024" s="84">
        <v>803.0</v>
      </c>
      <c r="G3024" s="81" t="s">
        <v>33</v>
      </c>
      <c r="H3024" s="81" t="s">
        <v>224</v>
      </c>
      <c r="I3024" s="81" t="s">
        <v>1833</v>
      </c>
      <c r="J3024" s="81" t="s">
        <v>224</v>
      </c>
      <c r="K3024" s="81" t="str">
        <f>IFERROR(__xludf.DUMMYFUNCTION("IF(OR(D3024="""",G3024=""""),"""",IFERROR(LET(
campo,XLOOKUP(TRIM(G3024),ARRAYFORMULA(TRIM('indice columnas'!$A$2:$A$100)),'indice columnas'!$B$2:$B$100,""""),
col,IFERROR(MATCH(campo,Referencia!$A$1:$AZ$1,0),0),
fila,IFERROR(MATCH(TO_TEXT(D3024),ARRAYFOR"&amp;"MULA(TO_TEXT(Referencia!$A$2:$A6238)),0),0),
IF(OR(campo="""",campo=""-""),""NO APLICA"",
IF(col=0,""REVISAR EQUIVALENCIA"",
IF(fila=0,""SKU NO ENCONTRADO"",
LET(
valor,INDEX(Referencia!$A$2:$AZ6238,fila,col),
IF(TRIM(TO_TEXT(valor))=TRIM(TO_TEXT(I3024)),"&amp;"
""OK"",
""NO COINCIDE. Valor verdadero: ""&amp;IF(valor="""",""[VACÍO]"",TO_TEXT(valor))
)
))))
),""ERROR EN FÓRMULA""))"),"OK")</f>
        <v>OK</v>
      </c>
    </row>
    <row r="3025">
      <c r="A3025" s="83" t="s">
        <v>4854</v>
      </c>
      <c r="B3025" s="83" t="s">
        <v>4855</v>
      </c>
      <c r="C3025" s="81" t="s">
        <v>4621</v>
      </c>
      <c r="D3025" s="83" t="s">
        <v>4867</v>
      </c>
      <c r="E3025" s="81" t="s">
        <v>4019</v>
      </c>
      <c r="F3025" s="84">
        <v>803.0</v>
      </c>
      <c r="G3025" s="81" t="s">
        <v>34</v>
      </c>
      <c r="H3025" s="81" t="s">
        <v>224</v>
      </c>
      <c r="I3025" s="81" t="s">
        <v>94</v>
      </c>
      <c r="J3025" s="81" t="s">
        <v>224</v>
      </c>
      <c r="K3025" s="81" t="str">
        <f>IFERROR(__xludf.DUMMYFUNCTION("IF(OR(D3025="""",G3025=""""),"""",IFERROR(LET(
campo,XLOOKUP(TRIM(G3025),ARRAYFORMULA(TRIM('indice columnas'!$A$2:$A$100)),'indice columnas'!$B$2:$B$100,""""),
col,IFERROR(MATCH(campo,Referencia!$A$1:$AZ$1,0),0),
fila,IFERROR(MATCH(TO_TEXT(D3025),ARRAYFOR"&amp;"MULA(TO_TEXT(Referencia!$A$2:$A6238)),0),0),
IF(OR(campo="""",campo=""-""),""NO APLICA"",
IF(col=0,""REVISAR EQUIVALENCIA"",
IF(fila=0,""SKU NO ENCONTRADO"",
LET(
valor,INDEX(Referencia!$A$2:$AZ6238,fila,col),
IF(TRIM(TO_TEXT(valor))=TRIM(TO_TEXT(I3025)),"&amp;"
""OK"",
""NO COINCIDE. Valor verdadero: ""&amp;IF(valor="""",""[VACÍO]"",TO_TEXT(valor))
)
))))
),""ERROR EN FÓRMULA""))"),"OK")</f>
        <v>OK</v>
      </c>
    </row>
    <row r="3026">
      <c r="A3026" s="83" t="s">
        <v>4854</v>
      </c>
      <c r="B3026" s="83" t="s">
        <v>4855</v>
      </c>
      <c r="C3026" s="81" t="s">
        <v>4621</v>
      </c>
      <c r="D3026" s="83" t="s">
        <v>4867</v>
      </c>
      <c r="E3026" s="81" t="s">
        <v>4019</v>
      </c>
      <c r="F3026" s="84">
        <v>803.0</v>
      </c>
      <c r="G3026" s="81" t="s">
        <v>35</v>
      </c>
      <c r="H3026" s="81" t="s">
        <v>224</v>
      </c>
      <c r="I3026" s="81" t="s">
        <v>49</v>
      </c>
      <c r="J3026" s="81" t="s">
        <v>224</v>
      </c>
      <c r="K3026" s="81" t="str">
        <f>IFERROR(__xludf.DUMMYFUNCTION("IF(OR(D3026="""",G3026=""""),"""",IFERROR(LET(
campo,XLOOKUP(TRIM(G3026),ARRAYFORMULA(TRIM('indice columnas'!$A$2:$A$100)),'indice columnas'!$B$2:$B$100,""""),
col,IFERROR(MATCH(campo,Referencia!$A$1:$AZ$1,0),0),
fila,IFERROR(MATCH(TO_TEXT(D3026),ARRAYFOR"&amp;"MULA(TO_TEXT(Referencia!$A$2:$A6238)),0),0),
IF(OR(campo="""",campo=""-""),""NO APLICA"",
IF(col=0,""REVISAR EQUIVALENCIA"",
IF(fila=0,""SKU NO ENCONTRADO"",
LET(
valor,INDEX(Referencia!$A$2:$AZ6238,fila,col),
IF(TRIM(TO_TEXT(valor))=TRIM(TO_TEXT(I3026)),"&amp;"
""OK"",
""NO COINCIDE. Valor verdadero: ""&amp;IF(valor="""",""[VACÍO]"",TO_TEXT(valor))
)
))))
),""ERROR EN FÓRMULA""))"),"OK")</f>
        <v>OK</v>
      </c>
    </row>
    <row r="3027">
      <c r="A3027" s="83" t="s">
        <v>4854</v>
      </c>
      <c r="B3027" s="83" t="s">
        <v>4855</v>
      </c>
      <c r="C3027" s="81" t="s">
        <v>4621</v>
      </c>
      <c r="D3027" s="83" t="s">
        <v>4867</v>
      </c>
      <c r="E3027" s="81" t="s">
        <v>4019</v>
      </c>
      <c r="F3027" s="84">
        <v>803.0</v>
      </c>
      <c r="G3027" s="81" t="s">
        <v>36</v>
      </c>
      <c r="H3027" s="81" t="s">
        <v>224</v>
      </c>
      <c r="I3027" s="81" t="s">
        <v>95</v>
      </c>
      <c r="J3027" s="81" t="s">
        <v>224</v>
      </c>
      <c r="K3027" s="81" t="str">
        <f>IFERROR(__xludf.DUMMYFUNCTION("IF(OR(D3027="""",G3027=""""),"""",IFERROR(LET(
campo,XLOOKUP(TRIM(G3027),ARRAYFORMULA(TRIM('indice columnas'!$A$2:$A$100)),'indice columnas'!$B$2:$B$100,""""),
col,IFERROR(MATCH(campo,Referencia!$A$1:$AZ$1,0),0),
fila,IFERROR(MATCH(TO_TEXT(D3027),ARRAYFOR"&amp;"MULA(TO_TEXT(Referencia!$A$2:$A6238)),0),0),
IF(OR(campo="""",campo=""-""),""NO APLICA"",
IF(col=0,""REVISAR EQUIVALENCIA"",
IF(fila=0,""SKU NO ENCONTRADO"",
LET(
valor,INDEX(Referencia!$A$2:$AZ6238,fila,col),
IF(TRIM(TO_TEXT(valor))=TRIM(TO_TEXT(I3027)),"&amp;"
""OK"",
""NO COINCIDE. Valor verdadero: ""&amp;IF(valor="""",""[VACÍO]"",TO_TEXT(valor))
)
))))
),""ERROR EN FÓRMULA""))"),"REVISAR EQUIVALENCIA")</f>
        <v>REVISAR EQUIVALENCIA</v>
      </c>
    </row>
    <row r="3028">
      <c r="A3028" s="83" t="s">
        <v>4854</v>
      </c>
      <c r="B3028" s="83" t="s">
        <v>4855</v>
      </c>
      <c r="C3028" s="81" t="s">
        <v>4621</v>
      </c>
      <c r="D3028" s="83" t="s">
        <v>4867</v>
      </c>
      <c r="E3028" s="81" t="s">
        <v>4019</v>
      </c>
      <c r="F3028" s="84">
        <v>803.0</v>
      </c>
      <c r="G3028" s="81" t="s">
        <v>37</v>
      </c>
      <c r="H3028" s="81" t="s">
        <v>224</v>
      </c>
      <c r="I3028" s="81" t="s">
        <v>66</v>
      </c>
      <c r="J3028" s="81" t="s">
        <v>224</v>
      </c>
      <c r="K3028" s="81" t="str">
        <f>IFERROR(__xludf.DUMMYFUNCTION("IF(OR(D3028="""",G3028=""""),"""",IFERROR(LET(
campo,XLOOKUP(TRIM(G3028),ARRAYFORMULA(TRIM('indice columnas'!$A$2:$A$100)),'indice columnas'!$B$2:$B$100,""""),
col,IFERROR(MATCH(campo,Referencia!$A$1:$AZ$1,0),0),
fila,IFERROR(MATCH(TO_TEXT(D3028),ARRAYFOR"&amp;"MULA(TO_TEXT(Referencia!$A$2:$A6238)),0),0),
IF(OR(campo="""",campo=""-""),""NO APLICA"",
IF(col=0,""REVISAR EQUIVALENCIA"",
IF(fila=0,""SKU NO ENCONTRADO"",
LET(
valor,INDEX(Referencia!$A$2:$AZ6238,fila,col),
IF(TRIM(TO_TEXT(valor))=TRIM(TO_TEXT(I3028)),"&amp;"
""OK"",
""NO COINCIDE. Valor verdadero: ""&amp;IF(valor="""",""[VACÍO]"",TO_TEXT(valor))
)
))))
),""ERROR EN FÓRMULA""))"),"OK")</f>
        <v>OK</v>
      </c>
    </row>
    <row r="3029">
      <c r="A3029" s="83" t="s">
        <v>4854</v>
      </c>
      <c r="B3029" s="83" t="s">
        <v>4855</v>
      </c>
      <c r="C3029" s="81" t="s">
        <v>4621</v>
      </c>
      <c r="D3029" s="83" t="s">
        <v>4867</v>
      </c>
      <c r="E3029" s="81" t="s">
        <v>4019</v>
      </c>
      <c r="F3029" s="84">
        <v>803.0</v>
      </c>
      <c r="G3029" s="81" t="s">
        <v>41</v>
      </c>
      <c r="H3029" s="81" t="s">
        <v>224</v>
      </c>
      <c r="I3029" s="81" t="s">
        <v>1825</v>
      </c>
      <c r="J3029" s="81" t="s">
        <v>224</v>
      </c>
      <c r="K3029" s="81" t="str">
        <f>IFERROR(__xludf.DUMMYFUNCTION("IF(OR(D3029="""",G3029=""""),"""",IFERROR(LET(
campo,XLOOKUP(TRIM(G3029),ARRAYFORMULA(TRIM('indice columnas'!$A$2:$A$100)),'indice columnas'!$B$2:$B$100,""""),
col,IFERROR(MATCH(campo,Referencia!$A$1:$AZ$1,0),0),
fila,IFERROR(MATCH(TO_TEXT(D3029),ARRAYFOR"&amp;"MULA(TO_TEXT(Referencia!$A$2:$A6238)),0),0),
IF(OR(campo="""",campo=""-""),""NO APLICA"",
IF(col=0,""REVISAR EQUIVALENCIA"",
IF(fila=0,""SKU NO ENCONTRADO"",
LET(
valor,INDEX(Referencia!$A$2:$AZ6238,fila,col),
IF(TRIM(TO_TEXT(valor))=TRIM(TO_TEXT(I3029)),"&amp;"
""OK"",
""NO COINCIDE. Valor verdadero: ""&amp;IF(valor="""",""[VACÍO]"",TO_TEXT(valor))
)
))))
),""ERROR EN FÓRMULA""))"),"REVISAR EQUIVALENCIA")</f>
        <v>REVISAR EQUIVALENCIA</v>
      </c>
    </row>
    <row r="3030">
      <c r="A3030" s="83" t="s">
        <v>4854</v>
      </c>
      <c r="B3030" s="83" t="s">
        <v>4855</v>
      </c>
      <c r="C3030" s="81" t="s">
        <v>4621</v>
      </c>
      <c r="D3030" s="83" t="s">
        <v>4868</v>
      </c>
      <c r="E3030" s="81" t="s">
        <v>4020</v>
      </c>
      <c r="F3030" s="84">
        <v>804.0</v>
      </c>
      <c r="G3030" s="81" t="s">
        <v>10</v>
      </c>
      <c r="H3030" s="81" t="s">
        <v>224</v>
      </c>
      <c r="I3030" s="81" t="s">
        <v>2008</v>
      </c>
      <c r="J3030" s="81" t="s">
        <v>224</v>
      </c>
      <c r="K3030" s="81" t="str">
        <f>IFERROR(__xludf.DUMMYFUNCTION("IF(OR(D3030="""",G3030=""""),"""",IFERROR(LET(
campo,XLOOKUP(TRIM(G3030),ARRAYFORMULA(TRIM('indice columnas'!$A$2:$A$100)),'indice columnas'!$B$2:$B$100,""""),
col,IFERROR(MATCH(campo,Referencia!$A$1:$AZ$1,0),0),
fila,IFERROR(MATCH(TO_TEXT(D3030),ARRAYFOR"&amp;"MULA(TO_TEXT(Referencia!$A$2:$A6238)),0),0),
IF(OR(campo="""",campo=""-""),""NO APLICA"",
IF(col=0,""REVISAR EQUIVALENCIA"",
IF(fila=0,""SKU NO ENCONTRADO"",
LET(
valor,INDEX(Referencia!$A$2:$AZ6238,fila,col),
IF(TRIM(TO_TEXT(valor))=TRIM(TO_TEXT(I3030)),"&amp;"
""OK"",
""NO COINCIDE. Valor verdadero: ""&amp;IF(valor="""",""[VACÍO]"",TO_TEXT(valor))
)
))))
),""ERROR EN FÓRMULA""))"),"OK")</f>
        <v>OK</v>
      </c>
    </row>
    <row r="3031">
      <c r="A3031" s="83" t="s">
        <v>4854</v>
      </c>
      <c r="B3031" s="83" t="s">
        <v>4855</v>
      </c>
      <c r="C3031" s="81" t="s">
        <v>4621</v>
      </c>
      <c r="D3031" s="83" t="s">
        <v>4868</v>
      </c>
      <c r="E3031" s="81" t="s">
        <v>4020</v>
      </c>
      <c r="F3031" s="84">
        <v>804.0</v>
      </c>
      <c r="G3031" s="81" t="s">
        <v>11</v>
      </c>
      <c r="H3031" s="81" t="s">
        <v>224</v>
      </c>
      <c r="I3031" s="81" t="s">
        <v>3096</v>
      </c>
      <c r="J3031" s="81" t="s">
        <v>224</v>
      </c>
      <c r="K3031" s="81" t="str">
        <f>IFERROR(__xludf.DUMMYFUNCTION("IF(OR(D3031="""",G3031=""""),"""",IFERROR(LET(
campo,XLOOKUP(TRIM(G3031),ARRAYFORMULA(TRIM('indice columnas'!$A$2:$A$100)),'indice columnas'!$B$2:$B$100,""""),
col,IFERROR(MATCH(campo,Referencia!$A$1:$AZ$1,0),0),
fila,IFERROR(MATCH(TO_TEXT(D3031),ARRAYFOR"&amp;"MULA(TO_TEXT(Referencia!$A$2:$A6238)),0),0),
IF(OR(campo="""",campo=""-""),""NO APLICA"",
IF(col=0,""REVISAR EQUIVALENCIA"",
IF(fila=0,""SKU NO ENCONTRADO"",
LET(
valor,INDEX(Referencia!$A$2:$AZ6238,fila,col),
IF(TRIM(TO_TEXT(valor))=TRIM(TO_TEXT(I3031)),"&amp;"
""OK"",
""NO COINCIDE. Valor verdadero: ""&amp;IF(valor="""",""[VACÍO]"",TO_TEXT(valor))
)
))))
),""ERROR EN FÓRMULA""))"),"OK")</f>
        <v>OK</v>
      </c>
    </row>
    <row r="3032">
      <c r="A3032" s="83" t="s">
        <v>4854</v>
      </c>
      <c r="B3032" s="83" t="s">
        <v>4855</v>
      </c>
      <c r="C3032" s="81" t="s">
        <v>4621</v>
      </c>
      <c r="D3032" s="83" t="s">
        <v>4868</v>
      </c>
      <c r="E3032" s="81" t="s">
        <v>4020</v>
      </c>
      <c r="F3032" s="84">
        <v>804.0</v>
      </c>
      <c r="G3032" s="81" t="s">
        <v>12</v>
      </c>
      <c r="H3032" s="81" t="s">
        <v>224</v>
      </c>
      <c r="I3032" s="81" t="s">
        <v>1549</v>
      </c>
      <c r="J3032" s="81" t="s">
        <v>224</v>
      </c>
      <c r="K3032" s="81" t="str">
        <f>IFERROR(__xludf.DUMMYFUNCTION("IF(OR(D3032="""",G3032=""""),"""",IFERROR(LET(
campo,XLOOKUP(TRIM(G3032),ARRAYFORMULA(TRIM('indice columnas'!$A$2:$A$100)),'indice columnas'!$B$2:$B$100,""""),
col,IFERROR(MATCH(campo,Referencia!$A$1:$AZ$1,0),0),
fila,IFERROR(MATCH(TO_TEXT(D3032),ARRAYFOR"&amp;"MULA(TO_TEXT(Referencia!$A$2:$A6238)),0),0),
IF(OR(campo="""",campo=""-""),""NO APLICA"",
IF(col=0,""REVISAR EQUIVALENCIA"",
IF(fila=0,""SKU NO ENCONTRADO"",
LET(
valor,INDEX(Referencia!$A$2:$AZ6238,fila,col),
IF(TRIM(TO_TEXT(valor))=TRIM(TO_TEXT(I3032)),"&amp;"
""OK"",
""NO COINCIDE. Valor verdadero: ""&amp;IF(valor="""",""[VACÍO]"",TO_TEXT(valor))
)
))))
),""ERROR EN FÓRMULA""))"),"OK")</f>
        <v>OK</v>
      </c>
    </row>
    <row r="3033">
      <c r="A3033" s="83" t="s">
        <v>4854</v>
      </c>
      <c r="B3033" s="83" t="s">
        <v>4855</v>
      </c>
      <c r="C3033" s="81" t="s">
        <v>4621</v>
      </c>
      <c r="D3033" s="83" t="s">
        <v>4868</v>
      </c>
      <c r="E3033" s="81" t="s">
        <v>4020</v>
      </c>
      <c r="F3033" s="84">
        <v>804.0</v>
      </c>
      <c r="G3033" s="81" t="s">
        <v>13</v>
      </c>
      <c r="H3033" s="81" t="s">
        <v>224</v>
      </c>
      <c r="I3033" s="81" t="s">
        <v>1610</v>
      </c>
      <c r="J3033" s="81" t="s">
        <v>224</v>
      </c>
      <c r="K3033" s="81" t="str">
        <f>IFERROR(__xludf.DUMMYFUNCTION("IF(OR(D3033="""",G3033=""""),"""",IFERROR(LET(
campo,XLOOKUP(TRIM(G3033),ARRAYFORMULA(TRIM('indice columnas'!$A$2:$A$100)),'indice columnas'!$B$2:$B$100,""""),
col,IFERROR(MATCH(campo,Referencia!$A$1:$AZ$1,0),0),
fila,IFERROR(MATCH(TO_TEXT(D3033),ARRAYFOR"&amp;"MULA(TO_TEXT(Referencia!$A$2:$A6238)),0),0),
IF(OR(campo="""",campo=""-""),""NO APLICA"",
IF(col=0,""REVISAR EQUIVALENCIA"",
IF(fila=0,""SKU NO ENCONTRADO"",
LET(
valor,INDEX(Referencia!$A$2:$AZ6238,fila,col),
IF(TRIM(TO_TEXT(valor))=TRIM(TO_TEXT(I3033)),"&amp;"
""OK"",
""NO COINCIDE. Valor verdadero: ""&amp;IF(valor="""",""[VACÍO]"",TO_TEXT(valor))
)
))))
),""ERROR EN FÓRMULA""))"),"OK")</f>
        <v>OK</v>
      </c>
    </row>
    <row r="3034">
      <c r="A3034" s="83" t="s">
        <v>4854</v>
      </c>
      <c r="B3034" s="83" t="s">
        <v>4855</v>
      </c>
      <c r="C3034" s="81" t="s">
        <v>4621</v>
      </c>
      <c r="D3034" s="83" t="s">
        <v>4868</v>
      </c>
      <c r="E3034" s="81" t="s">
        <v>4020</v>
      </c>
      <c r="F3034" s="84">
        <v>804.0</v>
      </c>
      <c r="G3034" s="81" t="s">
        <v>14</v>
      </c>
      <c r="H3034" s="81" t="s">
        <v>224</v>
      </c>
      <c r="I3034" s="81" t="s">
        <v>56</v>
      </c>
      <c r="J3034" s="81" t="s">
        <v>224</v>
      </c>
      <c r="K3034" s="81" t="str">
        <f>IFERROR(__xludf.DUMMYFUNCTION("IF(OR(D3034="""",G3034=""""),"""",IFERROR(LET(
campo,XLOOKUP(TRIM(G3034),ARRAYFORMULA(TRIM('indice columnas'!$A$2:$A$100)),'indice columnas'!$B$2:$B$100,""""),
col,IFERROR(MATCH(campo,Referencia!$A$1:$AZ$1,0),0),
fila,IFERROR(MATCH(TO_TEXT(D3034),ARRAYFOR"&amp;"MULA(TO_TEXT(Referencia!$A$2:$A6238)),0),0),
IF(OR(campo="""",campo=""-""),""NO APLICA"",
IF(col=0,""REVISAR EQUIVALENCIA"",
IF(fila=0,""SKU NO ENCONTRADO"",
LET(
valor,INDEX(Referencia!$A$2:$AZ6238,fila,col),
IF(TRIM(TO_TEXT(valor))=TRIM(TO_TEXT(I3034)),"&amp;"
""OK"",
""NO COINCIDE. Valor verdadero: ""&amp;IF(valor="""",""[VACÍO]"",TO_TEXT(valor))
)
))))
),""ERROR EN FÓRMULA""))"),"NO COINCIDE. Valor verdadero: 220-240")</f>
        <v>NO COINCIDE. Valor verdadero: 220-240</v>
      </c>
    </row>
    <row r="3035">
      <c r="A3035" s="83" t="s">
        <v>4854</v>
      </c>
      <c r="B3035" s="83" t="s">
        <v>4855</v>
      </c>
      <c r="C3035" s="81" t="s">
        <v>4621</v>
      </c>
      <c r="D3035" s="83" t="s">
        <v>4868</v>
      </c>
      <c r="E3035" s="81" t="s">
        <v>4020</v>
      </c>
      <c r="F3035" s="84">
        <v>804.0</v>
      </c>
      <c r="G3035" s="81" t="s">
        <v>15</v>
      </c>
      <c r="H3035" s="81" t="s">
        <v>224</v>
      </c>
      <c r="I3035" s="81" t="s">
        <v>57</v>
      </c>
      <c r="J3035" s="81" t="s">
        <v>224</v>
      </c>
      <c r="K3035" s="81" t="str">
        <f>IFERROR(__xludf.DUMMYFUNCTION("IF(OR(D3035="""",G3035=""""),"""",IFERROR(LET(
campo,XLOOKUP(TRIM(G3035),ARRAYFORMULA(TRIM('indice columnas'!$A$2:$A$100)),'indice columnas'!$B$2:$B$100,""""),
col,IFERROR(MATCH(campo,Referencia!$A$1:$AZ$1,0),0),
fila,IFERROR(MATCH(TO_TEXT(D3035),ARRAYFOR"&amp;"MULA(TO_TEXT(Referencia!$A$2:$A6238)),0),0),
IF(OR(campo="""",campo=""-""),""NO APLICA"",
IF(col=0,""REVISAR EQUIVALENCIA"",
IF(fila=0,""SKU NO ENCONTRADO"",
LET(
valor,INDEX(Referencia!$A$2:$AZ6238,fila,col),
IF(TRIM(TO_TEXT(valor))=TRIM(TO_TEXT(I3035)),"&amp;"
""OK"",
""NO COINCIDE. Valor verdadero: ""&amp;IF(valor="""",""[VACÍO]"",TO_TEXT(valor))
)
))))
),""ERROR EN FÓRMULA""))"),"NO COINCIDE. Valor verdadero: 50/60")</f>
        <v>NO COINCIDE. Valor verdadero: 50/60</v>
      </c>
    </row>
    <row r="3036">
      <c r="A3036" s="83" t="s">
        <v>4854</v>
      </c>
      <c r="B3036" s="83" t="s">
        <v>4855</v>
      </c>
      <c r="C3036" s="81" t="s">
        <v>4621</v>
      </c>
      <c r="D3036" s="83" t="s">
        <v>4868</v>
      </c>
      <c r="E3036" s="81" t="s">
        <v>4020</v>
      </c>
      <c r="F3036" s="84">
        <v>804.0</v>
      </c>
      <c r="G3036" s="81" t="s">
        <v>16</v>
      </c>
      <c r="H3036" s="81" t="s">
        <v>224</v>
      </c>
      <c r="I3036" s="81" t="s">
        <v>1611</v>
      </c>
      <c r="J3036" s="81" t="s">
        <v>224</v>
      </c>
      <c r="K3036" s="81" t="str">
        <f>IFERROR(__xludf.DUMMYFUNCTION("IF(OR(D3036="""",G3036=""""),"""",IFERROR(LET(
campo,XLOOKUP(TRIM(G3036),ARRAYFORMULA(TRIM('indice columnas'!$A$2:$A$100)),'indice columnas'!$B$2:$B$100,""""),
col,IFERROR(MATCH(campo,Referencia!$A$1:$AZ$1,0),0),
fila,IFERROR(MATCH(TO_TEXT(D3036),ARRAYFOR"&amp;"MULA(TO_TEXT(Referencia!$A$2:$A6238)),0),0),
IF(OR(campo="""",campo=""-""),""NO APLICA"",
IF(col=0,""REVISAR EQUIVALENCIA"",
IF(fila=0,""SKU NO ENCONTRADO"",
LET(
valor,INDEX(Referencia!$A$2:$AZ6238,fila,col),
IF(TRIM(TO_TEXT(valor))=TRIM(TO_TEXT(I3036)),"&amp;"
""OK"",
""NO COINCIDE. Valor verdadero: ""&amp;IF(valor="""",""[VACÍO]"",TO_TEXT(valor))
)
))))
),""ERROR EN FÓRMULA""))"),"NO COINCIDE. Valor verdadero: 30")</f>
        <v>NO COINCIDE. Valor verdadero: 30</v>
      </c>
    </row>
    <row r="3037">
      <c r="A3037" s="83" t="s">
        <v>4854</v>
      </c>
      <c r="B3037" s="83" t="s">
        <v>4855</v>
      </c>
      <c r="C3037" s="81" t="s">
        <v>4621</v>
      </c>
      <c r="D3037" s="83" t="s">
        <v>4868</v>
      </c>
      <c r="E3037" s="81" t="s">
        <v>4020</v>
      </c>
      <c r="F3037" s="84">
        <v>804.0</v>
      </c>
      <c r="G3037" s="81" t="s">
        <v>17</v>
      </c>
      <c r="H3037" s="81" t="s">
        <v>224</v>
      </c>
      <c r="I3037" s="83" t="s">
        <v>2762</v>
      </c>
      <c r="J3037" s="81" t="s">
        <v>224</v>
      </c>
      <c r="K3037" s="81" t="str">
        <f>IFERROR(__xludf.DUMMYFUNCTION("IF(OR(D3037="""",G3037=""""),"""",IFERROR(LET(
campo,XLOOKUP(TRIM(G3037),ARRAYFORMULA(TRIM('indice columnas'!$A$2:$A$100)),'indice columnas'!$B$2:$B$100,""""),
col,IFERROR(MATCH(campo,Referencia!$A$1:$AZ$1,0),0),
fila,IFERROR(MATCH(TO_TEXT(D3037),ARRAYFOR"&amp;"MULA(TO_TEXT(Referencia!$A$2:$A6238)),0),0),
IF(OR(campo="""",campo=""-""),""NO APLICA"",
IF(col=0,""REVISAR EQUIVALENCIA"",
IF(fila=0,""SKU NO ENCONTRADO"",
LET(
valor,INDEX(Referencia!$A$2:$AZ6238,fila,col),
IF(TRIM(TO_TEXT(valor))=TRIM(TO_TEXT(I3037)),"&amp;"
""OK"",
""NO COINCIDE. Valor verdadero: ""&amp;IF(valor="""",""[VACÍO]"",TO_TEXT(valor))
)
))))
),""ERROR EN FÓRMULA""))"),"OK")</f>
        <v>OK</v>
      </c>
    </row>
    <row r="3038">
      <c r="A3038" s="83" t="s">
        <v>4854</v>
      </c>
      <c r="B3038" s="83" t="s">
        <v>4855</v>
      </c>
      <c r="C3038" s="81" t="s">
        <v>4621</v>
      </c>
      <c r="D3038" s="83" t="s">
        <v>4868</v>
      </c>
      <c r="E3038" s="81" t="s">
        <v>4020</v>
      </c>
      <c r="F3038" s="84">
        <v>804.0</v>
      </c>
      <c r="G3038" s="81" t="s">
        <v>18</v>
      </c>
      <c r="H3038" s="81" t="s">
        <v>224</v>
      </c>
      <c r="I3038" s="81" t="s">
        <v>49</v>
      </c>
      <c r="J3038" s="81" t="s">
        <v>224</v>
      </c>
      <c r="K3038" s="81" t="str">
        <f>IFERROR(__xludf.DUMMYFUNCTION("IF(OR(D3038="""",G3038=""""),"""",IFERROR(LET(
campo,XLOOKUP(TRIM(G3038),ARRAYFORMULA(TRIM('indice columnas'!$A$2:$A$100)),'indice columnas'!$B$2:$B$100,""""),
col,IFERROR(MATCH(campo,Referencia!$A$1:$AZ$1,0),0),
fila,IFERROR(MATCH(TO_TEXT(D3038),ARRAYFOR"&amp;"MULA(TO_TEXT(Referencia!$A$2:$A6238)),0),0),
IF(OR(campo="""",campo=""-""),""NO APLICA"",
IF(col=0,""REVISAR EQUIVALENCIA"",
IF(fila=0,""SKU NO ENCONTRADO"",
LET(
valor,INDEX(Referencia!$A$2:$AZ6238,fila,col),
IF(TRIM(TO_TEXT(valor))=TRIM(TO_TEXT(I3038)),"&amp;"
""OK"",
""NO COINCIDE. Valor verdadero: ""&amp;IF(valor="""",""[VACÍO]"",TO_TEXT(valor))
)
))))
),""ERROR EN FÓRMULA""))"),"OK")</f>
        <v>OK</v>
      </c>
    </row>
    <row r="3039">
      <c r="A3039" s="83" t="s">
        <v>4854</v>
      </c>
      <c r="B3039" s="83" t="s">
        <v>4855</v>
      </c>
      <c r="C3039" s="81" t="s">
        <v>4621</v>
      </c>
      <c r="D3039" s="83" t="s">
        <v>4868</v>
      </c>
      <c r="E3039" s="81" t="s">
        <v>4020</v>
      </c>
      <c r="F3039" s="84">
        <v>804.0</v>
      </c>
      <c r="G3039" s="81" t="s">
        <v>19</v>
      </c>
      <c r="H3039" s="81" t="s">
        <v>224</v>
      </c>
      <c r="I3039" s="81" t="s">
        <v>49</v>
      </c>
      <c r="J3039" s="81" t="s">
        <v>224</v>
      </c>
      <c r="K3039" s="81" t="str">
        <f>IFERROR(__xludf.DUMMYFUNCTION("IF(OR(D3039="""",G3039=""""),"""",IFERROR(LET(
campo,XLOOKUP(TRIM(G3039),ARRAYFORMULA(TRIM('indice columnas'!$A$2:$A$100)),'indice columnas'!$B$2:$B$100,""""),
col,IFERROR(MATCH(campo,Referencia!$A$1:$AZ$1,0),0),
fila,IFERROR(MATCH(TO_TEXT(D3039),ARRAYFOR"&amp;"MULA(TO_TEXT(Referencia!$A$2:$A6238)),0),0),
IF(OR(campo="""",campo=""-""),""NO APLICA"",
IF(col=0,""REVISAR EQUIVALENCIA"",
IF(fila=0,""SKU NO ENCONTRADO"",
LET(
valor,INDEX(Referencia!$A$2:$AZ6238,fila,col),
IF(TRIM(TO_TEXT(valor))=TRIM(TO_TEXT(I3039)),"&amp;"
""OK"",
""NO COINCIDE. Valor verdadero: ""&amp;IF(valor="""",""[VACÍO]"",TO_TEXT(valor))
)
))))
),""ERROR EN FÓRMULA""))"),"OK")</f>
        <v>OK</v>
      </c>
    </row>
    <row r="3040">
      <c r="A3040" s="83" t="s">
        <v>4854</v>
      </c>
      <c r="B3040" s="83" t="s">
        <v>4855</v>
      </c>
      <c r="C3040" s="81" t="s">
        <v>4621</v>
      </c>
      <c r="D3040" s="83" t="s">
        <v>4868</v>
      </c>
      <c r="E3040" s="81" t="s">
        <v>4020</v>
      </c>
      <c r="F3040" s="84">
        <v>804.0</v>
      </c>
      <c r="G3040" s="81" t="s">
        <v>20</v>
      </c>
      <c r="H3040" s="81" t="s">
        <v>224</v>
      </c>
      <c r="I3040" s="81" t="s">
        <v>4021</v>
      </c>
      <c r="J3040" s="81" t="s">
        <v>224</v>
      </c>
      <c r="K3040" s="81" t="str">
        <f>IFERROR(__xludf.DUMMYFUNCTION("IF(OR(D3040="""",G3040=""""),"""",IFERROR(LET(
campo,XLOOKUP(TRIM(G3040),ARRAYFORMULA(TRIM('indice columnas'!$A$2:$A$100)),'indice columnas'!$B$2:$B$100,""""),
col,IFERROR(MATCH(campo,Referencia!$A$1:$AZ$1,0),0),
fila,IFERROR(MATCH(TO_TEXT(D3040),ARRAYFOR"&amp;"MULA(TO_TEXT(Referencia!$A$2:$A6238)),0),0),
IF(OR(campo="""",campo=""-""),""NO APLICA"",
IF(col=0,""REVISAR EQUIVALENCIA"",
IF(fila=0,""SKU NO ENCONTRADO"",
LET(
valor,INDEX(Referencia!$A$2:$AZ6238,fila,col),
IF(TRIM(TO_TEXT(valor))=TRIM(TO_TEXT(I3040)),"&amp;"
""OK"",
""NO COINCIDE. Valor verdadero: ""&amp;IF(valor="""",""[VACÍO]"",TO_TEXT(valor))
)
))))
),""ERROR EN FÓRMULA""))"),"NO COINCIDE. Valor verdadero: 3400")</f>
        <v>NO COINCIDE. Valor verdadero: 3400</v>
      </c>
    </row>
    <row r="3041">
      <c r="A3041" s="83" t="s">
        <v>4854</v>
      </c>
      <c r="B3041" s="83" t="s">
        <v>4855</v>
      </c>
      <c r="C3041" s="81" t="s">
        <v>4621</v>
      </c>
      <c r="D3041" s="83" t="s">
        <v>4868</v>
      </c>
      <c r="E3041" s="81" t="s">
        <v>4020</v>
      </c>
      <c r="F3041" s="84">
        <v>804.0</v>
      </c>
      <c r="G3041" s="81" t="s">
        <v>21</v>
      </c>
      <c r="H3041" s="81" t="s">
        <v>224</v>
      </c>
      <c r="I3041" s="81" t="s">
        <v>4022</v>
      </c>
      <c r="J3041" s="81" t="s">
        <v>224</v>
      </c>
      <c r="K3041" s="81" t="str">
        <f>IFERROR(__xludf.DUMMYFUNCTION("IF(OR(D3041="""",G3041=""""),"""",IFERROR(LET(
campo,XLOOKUP(TRIM(G3041),ARRAYFORMULA(TRIM('indice columnas'!$A$2:$A$100)),'indice columnas'!$B$2:$B$100,""""),
col,IFERROR(MATCH(campo,Referencia!$A$1:$AZ$1,0),0),
fila,IFERROR(MATCH(TO_TEXT(D3041),ARRAYFOR"&amp;"MULA(TO_TEXT(Referencia!$A$2:$A6238)),0),0),
IF(OR(campo="""",campo=""-""),""NO APLICA"",
IF(col=0,""REVISAR EQUIVALENCIA"",
IF(fila=0,""SKU NO ENCONTRADO"",
LET(
valor,INDEX(Referencia!$A$2:$AZ6238,fila,col),
IF(TRIM(TO_TEXT(valor))=TRIM(TO_TEXT(I3041)),"&amp;"
""OK"",
""NO COINCIDE. Valor verdadero: ""&amp;IF(valor="""",""[VACÍO]"",TO_TEXT(valor))
)
))))
),""ERROR EN FÓRMULA""))"),"NO COINCIDE. Valor verdadero: 113")</f>
        <v>NO COINCIDE. Valor verdadero: 113</v>
      </c>
    </row>
    <row r="3042">
      <c r="A3042" s="83" t="s">
        <v>4854</v>
      </c>
      <c r="B3042" s="83" t="s">
        <v>4855</v>
      </c>
      <c r="C3042" s="81" t="s">
        <v>4621</v>
      </c>
      <c r="D3042" s="83" t="s">
        <v>4868</v>
      </c>
      <c r="E3042" s="81" t="s">
        <v>4020</v>
      </c>
      <c r="F3042" s="84">
        <v>804.0</v>
      </c>
      <c r="G3042" s="81" t="s">
        <v>22</v>
      </c>
      <c r="H3042" s="81" t="s">
        <v>224</v>
      </c>
      <c r="I3042" s="81" t="s">
        <v>89</v>
      </c>
      <c r="J3042" s="81" t="s">
        <v>224</v>
      </c>
      <c r="K3042" s="81" t="str">
        <f>IFERROR(__xludf.DUMMYFUNCTION("IF(OR(D3042="""",G3042=""""),"""",IFERROR(LET(
campo,XLOOKUP(TRIM(G3042),ARRAYFORMULA(TRIM('indice columnas'!$A$2:$A$100)),'indice columnas'!$B$2:$B$100,""""),
col,IFERROR(MATCH(campo,Referencia!$A$1:$AZ$1,0),0),
fila,IFERROR(MATCH(TO_TEXT(D3042),ARRAYFOR"&amp;"MULA(TO_TEXT(Referencia!$A$2:$A6238)),0),0),
IF(OR(campo="""",campo=""-""),""NO APLICA"",
IF(col=0,""REVISAR EQUIVALENCIA"",
IF(fila=0,""SKU NO ENCONTRADO"",
LET(
valor,INDEX(Referencia!$A$2:$AZ6238,fila,col),
IF(TRIM(TO_TEXT(valor))=TRIM(TO_TEXT(I3042)),"&amp;"
""OK"",
""NO COINCIDE. Valor verdadero: ""&amp;IF(valor="""",""[VACÍO]"",TO_TEXT(valor))
)
))))
),""ERROR EN FÓRMULA""))"),"NO COINCIDE. Valor verdadero: 3000")</f>
        <v>NO COINCIDE. Valor verdadero: 3000</v>
      </c>
    </row>
    <row r="3043">
      <c r="A3043" s="83" t="s">
        <v>4854</v>
      </c>
      <c r="B3043" s="83" t="s">
        <v>4855</v>
      </c>
      <c r="C3043" s="81" t="s">
        <v>4621</v>
      </c>
      <c r="D3043" s="83" t="s">
        <v>4868</v>
      </c>
      <c r="E3043" s="81" t="s">
        <v>4020</v>
      </c>
      <c r="F3043" s="84">
        <v>804.0</v>
      </c>
      <c r="G3043" s="81" t="s">
        <v>23</v>
      </c>
      <c r="H3043" s="81" t="s">
        <v>224</v>
      </c>
      <c r="I3043" s="81" t="s">
        <v>108</v>
      </c>
      <c r="J3043" s="81" t="s">
        <v>224</v>
      </c>
      <c r="K3043" s="81" t="str">
        <f>IFERROR(__xludf.DUMMYFUNCTION("IF(OR(D3043="""",G3043=""""),"""",IFERROR(LET(
campo,XLOOKUP(TRIM(G3043),ARRAYFORMULA(TRIM('indice columnas'!$A$2:$A$100)),'indice columnas'!$B$2:$B$100,""""),
col,IFERROR(MATCH(campo,Referencia!$A$1:$AZ$1,0),0),
fila,IFERROR(MATCH(TO_TEXT(D3043),ARRAYFOR"&amp;"MULA(TO_TEXT(Referencia!$A$2:$A6238)),0),0),
IF(OR(campo="""",campo=""-""),""NO APLICA"",
IF(col=0,""REVISAR EQUIVALENCIA"",
IF(fila=0,""SKU NO ENCONTRADO"",
LET(
valor,INDEX(Referencia!$A$2:$AZ6238,fila,col),
IF(TRIM(TO_TEXT(valor))=TRIM(TO_TEXT(I3043)),"&amp;"
""OK"",
""NO COINCIDE. Valor verdadero: ""&amp;IF(valor="""",""[VACÍO]"",TO_TEXT(valor))
)
))))
),""ERROR EN FÓRMULA""))"),"OK")</f>
        <v>OK</v>
      </c>
    </row>
    <row r="3044">
      <c r="A3044" s="83" t="s">
        <v>4854</v>
      </c>
      <c r="B3044" s="83" t="s">
        <v>4855</v>
      </c>
      <c r="C3044" s="81" t="s">
        <v>4621</v>
      </c>
      <c r="D3044" s="83" t="s">
        <v>4868</v>
      </c>
      <c r="E3044" s="81" t="s">
        <v>4020</v>
      </c>
      <c r="F3044" s="84">
        <v>804.0</v>
      </c>
      <c r="G3044" s="81" t="s">
        <v>24</v>
      </c>
      <c r="H3044" s="81" t="s">
        <v>224</v>
      </c>
      <c r="I3044" s="81" t="s">
        <v>4023</v>
      </c>
      <c r="J3044" s="81" t="s">
        <v>224</v>
      </c>
      <c r="K3044" s="81" t="str">
        <f>IFERROR(__xludf.DUMMYFUNCTION("IF(OR(D3044="""",G3044=""""),"""",IFERROR(LET(
campo,XLOOKUP(TRIM(G3044),ARRAYFORMULA(TRIM('indice columnas'!$A$2:$A$100)),'indice columnas'!$B$2:$B$100,""""),
col,IFERROR(MATCH(campo,Referencia!$A$1:$AZ$1,0),0),
fila,IFERROR(MATCH(TO_TEXT(D3044),ARRAYFOR"&amp;"MULA(TO_TEXT(Referencia!$A$2:$A6238)),0),0),
IF(OR(campo="""",campo=""-""),""NO APLICA"",
IF(col=0,""REVISAR EQUIVALENCIA"",
IF(fila=0,""SKU NO ENCONTRADO"",
LET(
valor,INDEX(Referencia!$A$2:$AZ6238,fila,col),
IF(TRIM(TO_TEXT(valor))=TRIM(TO_TEXT(I3044)),"&amp;"
""OK"",
""NO COINCIDE. Valor verdadero: ""&amp;IF(valor="""",""[VACÍO]"",TO_TEXT(valor))
)
))))
),""ERROR EN FÓRMULA""))"),"NO COINCIDE. Valor verdadero: 165")</f>
        <v>NO COINCIDE. Valor verdadero: 165</v>
      </c>
    </row>
    <row r="3045">
      <c r="A3045" s="83" t="s">
        <v>4854</v>
      </c>
      <c r="B3045" s="83" t="s">
        <v>4855</v>
      </c>
      <c r="C3045" s="81" t="s">
        <v>4621</v>
      </c>
      <c r="D3045" s="83" t="s">
        <v>4868</v>
      </c>
      <c r="E3045" s="81" t="s">
        <v>4020</v>
      </c>
      <c r="F3045" s="84">
        <v>804.0</v>
      </c>
      <c r="G3045" s="81" t="s">
        <v>25</v>
      </c>
      <c r="H3045" s="81" t="s">
        <v>224</v>
      </c>
      <c r="I3045" s="81" t="s">
        <v>55</v>
      </c>
      <c r="J3045" s="81" t="s">
        <v>224</v>
      </c>
      <c r="K3045" s="81" t="str">
        <f>IFERROR(__xludf.DUMMYFUNCTION("IF(OR(D3045="""",G3045=""""),"""",IFERROR(LET(
campo,XLOOKUP(TRIM(G3045),ARRAYFORMULA(TRIM('indice columnas'!$A$2:$A$100)),'indice columnas'!$B$2:$B$100,""""),
col,IFERROR(MATCH(campo,Referencia!$A$1:$AZ$1,0),0),
fila,IFERROR(MATCH(TO_TEXT(D3045),ARRAYFOR"&amp;"MULA(TO_TEXT(Referencia!$A$2:$A6238)),0),0),
IF(OR(campo="""",campo=""-""),""NO APLICA"",
IF(col=0,""REVISAR EQUIVALENCIA"",
IF(fila=0,""SKU NO ENCONTRADO"",
LET(
valor,INDEX(Referencia!$A$2:$AZ6238,fila,col),
IF(TRIM(TO_TEXT(valor))=TRIM(TO_TEXT(I3045)),"&amp;"
""OK"",
""NO COINCIDE. Valor verdadero: ""&amp;IF(valor="""",""[VACÍO]"",TO_TEXT(valor))
)
))))
),""ERROR EN FÓRMULA""))"),"OK")</f>
        <v>OK</v>
      </c>
    </row>
    <row r="3046">
      <c r="A3046" s="83" t="s">
        <v>4854</v>
      </c>
      <c r="B3046" s="83" t="s">
        <v>4855</v>
      </c>
      <c r="C3046" s="81" t="s">
        <v>4621</v>
      </c>
      <c r="D3046" s="83" t="s">
        <v>4868</v>
      </c>
      <c r="E3046" s="81" t="s">
        <v>4020</v>
      </c>
      <c r="F3046" s="84">
        <v>804.0</v>
      </c>
      <c r="G3046" s="81" t="s">
        <v>26</v>
      </c>
      <c r="H3046" s="81" t="s">
        <v>224</v>
      </c>
      <c r="I3046" s="81" t="s">
        <v>231</v>
      </c>
      <c r="J3046" s="81" t="s">
        <v>224</v>
      </c>
      <c r="K3046" s="81" t="str">
        <f>IFERROR(__xludf.DUMMYFUNCTION("IF(OR(D3046="""",G3046=""""),"""",IFERROR(LET(
campo,XLOOKUP(TRIM(G3046),ARRAYFORMULA(TRIM('indice columnas'!$A$2:$A$100)),'indice columnas'!$B$2:$B$100,""""),
col,IFERROR(MATCH(campo,Referencia!$A$1:$AZ$1,0),0),
fila,IFERROR(MATCH(TO_TEXT(D3046),ARRAYFOR"&amp;"MULA(TO_TEXT(Referencia!$A$2:$A6238)),0),0),
IF(OR(campo="""",campo=""-""),""NO APLICA"",
IF(col=0,""REVISAR EQUIVALENCIA"",
IF(fila=0,""SKU NO ENCONTRADO"",
LET(
valor,INDEX(Referencia!$A$2:$AZ6238,fila,col),
IF(TRIM(TO_TEXT(valor))=TRIM(TO_TEXT(I3046)),"&amp;"
""OK"",
""NO COINCIDE. Valor verdadero: ""&amp;IF(valor="""",""[VACÍO]"",TO_TEXT(valor))
)
))))
),""ERROR EN FÓRMULA""))"),"OK")</f>
        <v>OK</v>
      </c>
    </row>
    <row r="3047">
      <c r="A3047" s="83" t="s">
        <v>4854</v>
      </c>
      <c r="B3047" s="83" t="s">
        <v>4855</v>
      </c>
      <c r="C3047" s="81" t="s">
        <v>4621</v>
      </c>
      <c r="D3047" s="83" t="s">
        <v>4868</v>
      </c>
      <c r="E3047" s="81" t="s">
        <v>4020</v>
      </c>
      <c r="F3047" s="84">
        <v>804.0</v>
      </c>
      <c r="G3047" s="81" t="s">
        <v>27</v>
      </c>
      <c r="H3047" s="81" t="s">
        <v>224</v>
      </c>
      <c r="I3047" s="81" t="s">
        <v>60</v>
      </c>
      <c r="J3047" s="81" t="s">
        <v>224</v>
      </c>
      <c r="K3047" s="81" t="str">
        <f>IFERROR(__xludf.DUMMYFUNCTION("IF(OR(D3047="""",G3047=""""),"""",IFERROR(LET(
campo,XLOOKUP(TRIM(G3047),ARRAYFORMULA(TRIM('indice columnas'!$A$2:$A$100)),'indice columnas'!$B$2:$B$100,""""),
col,IFERROR(MATCH(campo,Referencia!$A$1:$AZ$1,0),0),
fila,IFERROR(MATCH(TO_TEXT(D3047),ARRAYFOR"&amp;"MULA(TO_TEXT(Referencia!$A$2:$A6238)),0),0),
IF(OR(campo="""",campo=""-""),""NO APLICA"",
IF(col=0,""REVISAR EQUIVALENCIA"",
IF(fila=0,""SKU NO ENCONTRADO"",
LET(
valor,INDEX(Referencia!$A$2:$AZ6238,fila,col),
IF(TRIM(TO_TEXT(valor))=TRIM(TO_TEXT(I3047)),"&amp;"
""OK"",
""NO COINCIDE. Valor verdadero: ""&amp;IF(valor="""",""[VACÍO]"",TO_TEXT(valor))
)
))))
),""ERROR EN FÓRMULA""))"),"OK")</f>
        <v>OK</v>
      </c>
    </row>
    <row r="3048">
      <c r="A3048" s="83" t="s">
        <v>4854</v>
      </c>
      <c r="B3048" s="83" t="s">
        <v>4855</v>
      </c>
      <c r="C3048" s="81" t="s">
        <v>4621</v>
      </c>
      <c r="D3048" s="83" t="s">
        <v>4868</v>
      </c>
      <c r="E3048" s="81" t="s">
        <v>4020</v>
      </c>
      <c r="F3048" s="84">
        <v>804.0</v>
      </c>
      <c r="G3048" s="81" t="s">
        <v>28</v>
      </c>
      <c r="H3048" s="81" t="s">
        <v>224</v>
      </c>
      <c r="I3048" s="81" t="s">
        <v>219</v>
      </c>
      <c r="J3048" s="81" t="s">
        <v>224</v>
      </c>
      <c r="K3048" s="81" t="str">
        <f>IFERROR(__xludf.DUMMYFUNCTION("IF(OR(D3048="""",G3048=""""),"""",IFERROR(LET(
campo,XLOOKUP(TRIM(G3048),ARRAYFORMULA(TRIM('indice columnas'!$A$2:$A$100)),'indice columnas'!$B$2:$B$100,""""),
col,IFERROR(MATCH(campo,Referencia!$A$1:$AZ$1,0),0),
fila,IFERROR(MATCH(TO_TEXT(D3048),ARRAYFOR"&amp;"MULA(TO_TEXT(Referencia!$A$2:$A6238)),0),0),
IF(OR(campo="""",campo=""-""),""NO APLICA"",
IF(col=0,""REVISAR EQUIVALENCIA"",
IF(fila=0,""SKU NO ENCONTRADO"",
LET(
valor,INDEX(Referencia!$A$2:$AZ6238,fila,col),
IF(TRIM(TO_TEXT(valor))=TRIM(TO_TEXT(I3048)),"&amp;"
""OK"",
""NO COINCIDE. Valor verdadero: ""&amp;IF(valor="""",""[VACÍO]"",TO_TEXT(valor))
)
))))
),""ERROR EN FÓRMULA""))"),"NO COINCIDE. Valor verdadero: Aplicar")</f>
        <v>NO COINCIDE. Valor verdadero: Aplicar</v>
      </c>
    </row>
    <row r="3049">
      <c r="A3049" s="83" t="s">
        <v>4854</v>
      </c>
      <c r="B3049" s="83" t="s">
        <v>4855</v>
      </c>
      <c r="C3049" s="81" t="s">
        <v>4621</v>
      </c>
      <c r="D3049" s="83" t="s">
        <v>4868</v>
      </c>
      <c r="E3049" s="81" t="s">
        <v>4020</v>
      </c>
      <c r="F3049" s="84">
        <v>804.0</v>
      </c>
      <c r="G3049" s="81" t="s">
        <v>29</v>
      </c>
      <c r="H3049" s="81" t="s">
        <v>224</v>
      </c>
      <c r="I3049" s="81" t="s">
        <v>4024</v>
      </c>
      <c r="J3049" s="81" t="s">
        <v>224</v>
      </c>
      <c r="K3049" s="81" t="str">
        <f>IFERROR(__xludf.DUMMYFUNCTION("IF(OR(D3049="""",G3049=""""),"""",IFERROR(LET(
campo,XLOOKUP(TRIM(G3049),ARRAYFORMULA(TRIM('indice columnas'!$A$2:$A$100)),'indice columnas'!$B$2:$B$100,""""),
col,IFERROR(MATCH(campo,Referencia!$A$1:$AZ$1,0),0),
fila,IFERROR(MATCH(TO_TEXT(D3049),ARRAYFOR"&amp;"MULA(TO_TEXT(Referencia!$A$2:$A6238)),0),0),
IF(OR(campo="""",campo=""-""),""NO APLICA"",
IF(col=0,""REVISAR EQUIVALENCIA"",
IF(fila=0,""SKU NO ENCONTRADO"",
LET(
valor,INDEX(Referencia!$A$2:$AZ6238,fila,col),
IF(TRIM(TO_TEXT(valor))=TRIM(TO_TEXT(I3049)),"&amp;"
""OK"",
""NO COINCIDE. Valor verdadero: ""&amp;IF(valor="""",""[VACÍO]"",TO_TEXT(valor))
)
))))
),""ERROR EN FÓRMULA""))"),"NO COINCIDE. Valor verdadero: Ø500 x 500")</f>
        <v>NO COINCIDE. Valor verdadero: Ø500 x 500</v>
      </c>
    </row>
    <row r="3050">
      <c r="A3050" s="83" t="s">
        <v>4854</v>
      </c>
      <c r="B3050" s="83" t="s">
        <v>4855</v>
      </c>
      <c r="C3050" s="81" t="s">
        <v>4621</v>
      </c>
      <c r="D3050" s="83" t="s">
        <v>4868</v>
      </c>
      <c r="E3050" s="81" t="s">
        <v>4020</v>
      </c>
      <c r="F3050" s="84">
        <v>804.0</v>
      </c>
      <c r="G3050" s="81" t="s">
        <v>30</v>
      </c>
      <c r="H3050" s="81" t="s">
        <v>224</v>
      </c>
      <c r="I3050" s="81" t="s">
        <v>55</v>
      </c>
      <c r="J3050" s="81" t="s">
        <v>224</v>
      </c>
      <c r="K3050" s="81" t="str">
        <f>IFERROR(__xludf.DUMMYFUNCTION("IF(OR(D3050="""",G3050=""""),"""",IFERROR(LET(
campo,XLOOKUP(TRIM(G3050),ARRAYFORMULA(TRIM('indice columnas'!$A$2:$A$100)),'indice columnas'!$B$2:$B$100,""""),
col,IFERROR(MATCH(campo,Referencia!$A$1:$AZ$1,0),0),
fila,IFERROR(MATCH(TO_TEXT(D3050),ARRAYFOR"&amp;"MULA(TO_TEXT(Referencia!$A$2:$A6238)),0),0),
IF(OR(campo="""",campo=""-""),""NO APLICA"",
IF(col=0,""REVISAR EQUIVALENCIA"",
IF(fila=0,""SKU NO ENCONTRADO"",
LET(
valor,INDEX(Referencia!$A$2:$AZ6238,fila,col),
IF(TRIM(TO_TEXT(valor))=TRIM(TO_TEXT(I3050)),"&amp;"
""OK"",
""NO COINCIDE. Valor verdadero: ""&amp;IF(valor="""",""[VACÍO]"",TO_TEXT(valor))
)
))))
),""ERROR EN FÓRMULA""))"),"OK")</f>
        <v>OK</v>
      </c>
    </row>
    <row r="3051">
      <c r="A3051" s="83" t="s">
        <v>4854</v>
      </c>
      <c r="B3051" s="83" t="s">
        <v>4855</v>
      </c>
      <c r="C3051" s="81" t="s">
        <v>4621</v>
      </c>
      <c r="D3051" s="83" t="s">
        <v>4868</v>
      </c>
      <c r="E3051" s="81" t="s">
        <v>4020</v>
      </c>
      <c r="F3051" s="84">
        <v>804.0</v>
      </c>
      <c r="G3051" s="81" t="s">
        <v>31</v>
      </c>
      <c r="H3051" s="81" t="s">
        <v>224</v>
      </c>
      <c r="I3051" s="81" t="s">
        <v>55</v>
      </c>
      <c r="J3051" s="81" t="s">
        <v>224</v>
      </c>
      <c r="K3051" s="81" t="str">
        <f>IFERROR(__xludf.DUMMYFUNCTION("IF(OR(D3051="""",G3051=""""),"""",IFERROR(LET(
campo,XLOOKUP(TRIM(G3051),ARRAYFORMULA(TRIM('indice columnas'!$A$2:$A$100)),'indice columnas'!$B$2:$B$100,""""),
col,IFERROR(MATCH(campo,Referencia!$A$1:$AZ$1,0),0),
fila,IFERROR(MATCH(TO_TEXT(D3051),ARRAYFOR"&amp;"MULA(TO_TEXT(Referencia!$A$2:$A6238)),0),0),
IF(OR(campo="""",campo=""-""),""NO APLICA"",
IF(col=0,""REVISAR EQUIVALENCIA"",
IF(fila=0,""SKU NO ENCONTRADO"",
LET(
valor,INDEX(Referencia!$A$2:$AZ6238,fila,col),
IF(TRIM(TO_TEXT(valor))=TRIM(TO_TEXT(I3051)),"&amp;"
""OK"",
""NO COINCIDE. Valor verdadero: ""&amp;IF(valor="""",""[VACÍO]"",TO_TEXT(valor))
)
))))
),""ERROR EN FÓRMULA""))"),"OK")</f>
        <v>OK</v>
      </c>
    </row>
    <row r="3052">
      <c r="A3052" s="83" t="s">
        <v>4854</v>
      </c>
      <c r="B3052" s="83" t="s">
        <v>4855</v>
      </c>
      <c r="C3052" s="81" t="s">
        <v>4621</v>
      </c>
      <c r="D3052" s="83" t="s">
        <v>4868</v>
      </c>
      <c r="E3052" s="81" t="s">
        <v>4020</v>
      </c>
      <c r="F3052" s="84">
        <v>804.0</v>
      </c>
      <c r="G3052" s="81" t="s">
        <v>32</v>
      </c>
      <c r="H3052" s="81" t="s">
        <v>224</v>
      </c>
      <c r="I3052" s="81" t="s">
        <v>63</v>
      </c>
      <c r="J3052" s="81" t="s">
        <v>224</v>
      </c>
      <c r="K3052" s="81" t="str">
        <f>IFERROR(__xludf.DUMMYFUNCTION("IF(OR(D3052="""",G3052=""""),"""",IFERROR(LET(
campo,XLOOKUP(TRIM(G3052),ARRAYFORMULA(TRIM('indice columnas'!$A$2:$A$100)),'indice columnas'!$B$2:$B$100,""""),
col,IFERROR(MATCH(campo,Referencia!$A$1:$AZ$1,0),0),
fila,IFERROR(MATCH(TO_TEXT(D3052),ARRAYFOR"&amp;"MULA(TO_TEXT(Referencia!$A$2:$A6238)),0),0),
IF(OR(campo="""",campo=""-""),""NO APLICA"",
IF(col=0,""REVISAR EQUIVALENCIA"",
IF(fila=0,""SKU NO ENCONTRADO"",
LET(
valor,INDEX(Referencia!$A$2:$AZ6238,fila,col),
IF(TRIM(TO_TEXT(valor))=TRIM(TO_TEXT(I3052)),"&amp;"
""OK"",
""NO COINCIDE. Valor verdadero: ""&amp;IF(valor="""",""[VACÍO]"",TO_TEXT(valor))
)
))))
),""ERROR EN FÓRMULA""))"),"OK")</f>
        <v>OK</v>
      </c>
    </row>
    <row r="3053">
      <c r="A3053" s="83" t="s">
        <v>4854</v>
      </c>
      <c r="B3053" s="83" t="s">
        <v>4855</v>
      </c>
      <c r="C3053" s="81" t="s">
        <v>4621</v>
      </c>
      <c r="D3053" s="83" t="s">
        <v>4868</v>
      </c>
      <c r="E3053" s="81" t="s">
        <v>4020</v>
      </c>
      <c r="F3053" s="84">
        <v>804.0</v>
      </c>
      <c r="G3053" s="81" t="s">
        <v>33</v>
      </c>
      <c r="H3053" s="81" t="s">
        <v>224</v>
      </c>
      <c r="I3053" s="81" t="s">
        <v>145</v>
      </c>
      <c r="J3053" s="81" t="s">
        <v>224</v>
      </c>
      <c r="K3053" s="81" t="str">
        <f>IFERROR(__xludf.DUMMYFUNCTION("IF(OR(D3053="""",G3053=""""),"""",IFERROR(LET(
campo,XLOOKUP(TRIM(G3053),ARRAYFORMULA(TRIM('indice columnas'!$A$2:$A$100)),'indice columnas'!$B$2:$B$100,""""),
col,IFERROR(MATCH(campo,Referencia!$A$1:$AZ$1,0),0),
fila,IFERROR(MATCH(TO_TEXT(D3053),ARRAYFOR"&amp;"MULA(TO_TEXT(Referencia!$A$2:$A6238)),0),0),
IF(OR(campo="""",campo=""-""),""NO APLICA"",
IF(col=0,""REVISAR EQUIVALENCIA"",
IF(fila=0,""SKU NO ENCONTRADO"",
LET(
valor,INDEX(Referencia!$A$2:$AZ6238,fila,col),
IF(TRIM(TO_TEXT(valor))=TRIM(TO_TEXT(I3053)),"&amp;"
""OK"",
""NO COINCIDE. Valor verdadero: ""&amp;IF(valor="""",""[VACÍO]"",TO_TEXT(valor))
)
))))
),""ERROR EN FÓRMULA""))"),"OK")</f>
        <v>OK</v>
      </c>
    </row>
    <row r="3054">
      <c r="A3054" s="83" t="s">
        <v>4854</v>
      </c>
      <c r="B3054" s="83" t="s">
        <v>4855</v>
      </c>
      <c r="C3054" s="81" t="s">
        <v>4621</v>
      </c>
      <c r="D3054" s="83" t="s">
        <v>4868</v>
      </c>
      <c r="E3054" s="81" t="s">
        <v>4020</v>
      </c>
      <c r="F3054" s="84">
        <v>804.0</v>
      </c>
      <c r="G3054" s="81" t="s">
        <v>34</v>
      </c>
      <c r="H3054" s="81" t="s">
        <v>224</v>
      </c>
      <c r="I3054" s="81" t="s">
        <v>94</v>
      </c>
      <c r="J3054" s="81" t="s">
        <v>224</v>
      </c>
      <c r="K3054" s="81" t="str">
        <f>IFERROR(__xludf.DUMMYFUNCTION("IF(OR(D3054="""",G3054=""""),"""",IFERROR(LET(
campo,XLOOKUP(TRIM(G3054),ARRAYFORMULA(TRIM('indice columnas'!$A$2:$A$100)),'indice columnas'!$B$2:$B$100,""""),
col,IFERROR(MATCH(campo,Referencia!$A$1:$AZ$1,0),0),
fila,IFERROR(MATCH(TO_TEXT(D3054),ARRAYFOR"&amp;"MULA(TO_TEXT(Referencia!$A$2:$A6238)),0),0),
IF(OR(campo="""",campo=""-""),""NO APLICA"",
IF(col=0,""REVISAR EQUIVALENCIA"",
IF(fila=0,""SKU NO ENCONTRADO"",
LET(
valor,INDEX(Referencia!$A$2:$AZ6238,fila,col),
IF(TRIM(TO_TEXT(valor))=TRIM(TO_TEXT(I3054)),"&amp;"
""OK"",
""NO COINCIDE. Valor verdadero: ""&amp;IF(valor="""",""[VACÍO]"",TO_TEXT(valor))
)
))))
),""ERROR EN FÓRMULA""))"),"OK")</f>
        <v>OK</v>
      </c>
    </row>
    <row r="3055">
      <c r="A3055" s="83" t="s">
        <v>4854</v>
      </c>
      <c r="B3055" s="83" t="s">
        <v>4855</v>
      </c>
      <c r="C3055" s="81" t="s">
        <v>4621</v>
      </c>
      <c r="D3055" s="83" t="s">
        <v>4868</v>
      </c>
      <c r="E3055" s="81" t="s">
        <v>4020</v>
      </c>
      <c r="F3055" s="84">
        <v>804.0</v>
      </c>
      <c r="G3055" s="81" t="s">
        <v>35</v>
      </c>
      <c r="H3055" s="81" t="s">
        <v>224</v>
      </c>
      <c r="I3055" s="81" t="s">
        <v>49</v>
      </c>
      <c r="J3055" s="81" t="s">
        <v>224</v>
      </c>
      <c r="K3055" s="81" t="str">
        <f>IFERROR(__xludf.DUMMYFUNCTION("IF(OR(D3055="""",G3055=""""),"""",IFERROR(LET(
campo,XLOOKUP(TRIM(G3055),ARRAYFORMULA(TRIM('indice columnas'!$A$2:$A$100)),'indice columnas'!$B$2:$B$100,""""),
col,IFERROR(MATCH(campo,Referencia!$A$1:$AZ$1,0),0),
fila,IFERROR(MATCH(TO_TEXT(D3055),ARRAYFOR"&amp;"MULA(TO_TEXT(Referencia!$A$2:$A6238)),0),0),
IF(OR(campo="""",campo=""-""),""NO APLICA"",
IF(col=0,""REVISAR EQUIVALENCIA"",
IF(fila=0,""SKU NO ENCONTRADO"",
LET(
valor,INDEX(Referencia!$A$2:$AZ6238,fila,col),
IF(TRIM(TO_TEXT(valor))=TRIM(TO_TEXT(I3055)),"&amp;"
""OK"",
""NO COINCIDE. Valor verdadero: ""&amp;IF(valor="""",""[VACÍO]"",TO_TEXT(valor))
)
))))
),""ERROR EN FÓRMULA""))"),"OK")</f>
        <v>OK</v>
      </c>
    </row>
    <row r="3056">
      <c r="A3056" s="83" t="s">
        <v>4854</v>
      </c>
      <c r="B3056" s="83" t="s">
        <v>4855</v>
      </c>
      <c r="C3056" s="81" t="s">
        <v>4621</v>
      </c>
      <c r="D3056" s="83" t="s">
        <v>4868</v>
      </c>
      <c r="E3056" s="81" t="s">
        <v>4020</v>
      </c>
      <c r="F3056" s="84">
        <v>804.0</v>
      </c>
      <c r="G3056" s="81" t="s">
        <v>36</v>
      </c>
      <c r="H3056" s="81" t="s">
        <v>224</v>
      </c>
      <c r="I3056" s="81" t="s">
        <v>2940</v>
      </c>
      <c r="J3056" s="81" t="s">
        <v>224</v>
      </c>
      <c r="K3056" s="81" t="str">
        <f>IFERROR(__xludf.DUMMYFUNCTION("IF(OR(D3056="""",G3056=""""),"""",IFERROR(LET(
campo,XLOOKUP(TRIM(G3056),ARRAYFORMULA(TRIM('indice columnas'!$A$2:$A$100)),'indice columnas'!$B$2:$B$100,""""),
col,IFERROR(MATCH(campo,Referencia!$A$1:$AZ$1,0),0),
fila,IFERROR(MATCH(TO_TEXT(D3056),ARRAYFOR"&amp;"MULA(TO_TEXT(Referencia!$A$2:$A6238)),0),0),
IF(OR(campo="""",campo=""-""),""NO APLICA"",
IF(col=0,""REVISAR EQUIVALENCIA"",
IF(fila=0,""SKU NO ENCONTRADO"",
LET(
valor,INDEX(Referencia!$A$2:$AZ6238,fila,col),
IF(TRIM(TO_TEXT(valor))=TRIM(TO_TEXT(I3056)),"&amp;"
""OK"",
""NO COINCIDE. Valor verdadero: ""&amp;IF(valor="""",""[VACÍO]"",TO_TEXT(valor))
)
))))
),""ERROR EN FÓRMULA""))"),"REVISAR EQUIVALENCIA")</f>
        <v>REVISAR EQUIVALENCIA</v>
      </c>
    </row>
    <row r="3057">
      <c r="A3057" s="83" t="s">
        <v>4854</v>
      </c>
      <c r="B3057" s="83" t="s">
        <v>4855</v>
      </c>
      <c r="C3057" s="81" t="s">
        <v>4621</v>
      </c>
      <c r="D3057" s="83" t="s">
        <v>4868</v>
      </c>
      <c r="E3057" s="81" t="s">
        <v>4020</v>
      </c>
      <c r="F3057" s="84">
        <v>804.0</v>
      </c>
      <c r="G3057" s="81" t="s">
        <v>37</v>
      </c>
      <c r="H3057" s="81" t="s">
        <v>224</v>
      </c>
      <c r="I3057" s="81" t="s">
        <v>720</v>
      </c>
      <c r="J3057" s="81" t="s">
        <v>224</v>
      </c>
      <c r="K3057" s="81" t="str">
        <f>IFERROR(__xludf.DUMMYFUNCTION("IF(OR(D3057="""",G3057=""""),"""",IFERROR(LET(
campo,XLOOKUP(TRIM(G3057),ARRAYFORMULA(TRIM('indice columnas'!$A$2:$A$100)),'indice columnas'!$B$2:$B$100,""""),
col,IFERROR(MATCH(campo,Referencia!$A$1:$AZ$1,0),0),
fila,IFERROR(MATCH(TO_TEXT(D3057),ARRAYFOR"&amp;"MULA(TO_TEXT(Referencia!$A$2:$A6238)),0),0),
IF(OR(campo="""",campo=""-""),""NO APLICA"",
IF(col=0,""REVISAR EQUIVALENCIA"",
IF(fila=0,""SKU NO ENCONTRADO"",
LET(
valor,INDEX(Referencia!$A$2:$AZ6238,fila,col),
IF(TRIM(TO_TEXT(valor))=TRIM(TO_TEXT(I3057)),"&amp;"
""OK"",
""NO COINCIDE. Valor verdadero: ""&amp;IF(valor="""",""[VACÍO]"",TO_TEXT(valor))
)
))))
),""ERROR EN FÓRMULA""))"),"OK")</f>
        <v>OK</v>
      </c>
    </row>
    <row r="3058">
      <c r="A3058" s="83" t="s">
        <v>4854</v>
      </c>
      <c r="B3058" s="83" t="s">
        <v>4855</v>
      </c>
      <c r="C3058" s="81" t="s">
        <v>4621</v>
      </c>
      <c r="D3058" s="83" t="s">
        <v>4868</v>
      </c>
      <c r="E3058" s="81" t="s">
        <v>4020</v>
      </c>
      <c r="F3058" s="84">
        <v>804.0</v>
      </c>
      <c r="G3058" s="81" t="s">
        <v>41</v>
      </c>
      <c r="H3058" s="81" t="s">
        <v>224</v>
      </c>
      <c r="I3058" s="81" t="s">
        <v>4027</v>
      </c>
      <c r="J3058" s="81" t="s">
        <v>224</v>
      </c>
      <c r="K3058" s="81" t="str">
        <f>IFERROR(__xludf.DUMMYFUNCTION("IF(OR(D3058="""",G3058=""""),"""",IFERROR(LET(
campo,XLOOKUP(TRIM(G3058),ARRAYFORMULA(TRIM('indice columnas'!$A$2:$A$100)),'indice columnas'!$B$2:$B$100,""""),
col,IFERROR(MATCH(campo,Referencia!$A$1:$AZ$1,0),0),
fila,IFERROR(MATCH(TO_TEXT(D3058),ARRAYFOR"&amp;"MULA(TO_TEXT(Referencia!$A$2:$A6238)),0),0),
IF(OR(campo="""",campo=""-""),""NO APLICA"",
IF(col=0,""REVISAR EQUIVALENCIA"",
IF(fila=0,""SKU NO ENCONTRADO"",
LET(
valor,INDEX(Referencia!$A$2:$AZ6238,fila,col),
IF(TRIM(TO_TEXT(valor))=TRIM(TO_TEXT(I3058)),"&amp;"
""OK"",
""NO COINCIDE. Valor verdadero: ""&amp;IF(valor="""",""[VACÍO]"",TO_TEXT(valor))
)
))))
),""ERROR EN FÓRMULA""))"),"REVISAR EQUIVALENCIA")</f>
        <v>REVISAR EQUIVALENCIA</v>
      </c>
    </row>
    <row r="3059">
      <c r="A3059" s="83" t="s">
        <v>4854</v>
      </c>
      <c r="B3059" s="83" t="s">
        <v>4855</v>
      </c>
      <c r="C3059" s="81" t="s">
        <v>4621</v>
      </c>
      <c r="D3059" s="83" t="s">
        <v>4869</v>
      </c>
      <c r="E3059" s="81" t="s">
        <v>4032</v>
      </c>
      <c r="F3059" s="84">
        <v>805.0</v>
      </c>
      <c r="G3059" s="81" t="s">
        <v>10</v>
      </c>
      <c r="H3059" s="81" t="s">
        <v>224</v>
      </c>
      <c r="I3059" s="81" t="s">
        <v>2534</v>
      </c>
      <c r="J3059" s="81" t="s">
        <v>224</v>
      </c>
      <c r="K3059" s="81" t="str">
        <f>IFERROR(__xludf.DUMMYFUNCTION("IF(OR(D3059="""",G3059=""""),"""",IFERROR(LET(
campo,XLOOKUP(TRIM(G3059),ARRAYFORMULA(TRIM('indice columnas'!$A$2:$A$100)),'indice columnas'!$B$2:$B$100,""""),
col,IFERROR(MATCH(campo,Referencia!$A$1:$AZ$1,0),0),
fila,IFERROR(MATCH(TO_TEXT(D3059),ARRAYFOR"&amp;"MULA(TO_TEXT(Referencia!$A$2:$A6238)),0),0),
IF(OR(campo="""",campo=""-""),""NO APLICA"",
IF(col=0,""REVISAR EQUIVALENCIA"",
IF(fila=0,""SKU NO ENCONTRADO"",
LET(
valor,INDEX(Referencia!$A$2:$AZ6238,fila,col),
IF(TRIM(TO_TEXT(valor))=TRIM(TO_TEXT(I3059)),"&amp;"
""OK"",
""NO COINCIDE. Valor verdadero: ""&amp;IF(valor="""",""[VACÍO]"",TO_TEXT(valor))
)
))))
),""ERROR EN FÓRMULA""))"),"OK")</f>
        <v>OK</v>
      </c>
    </row>
    <row r="3060">
      <c r="A3060" s="83" t="s">
        <v>4854</v>
      </c>
      <c r="B3060" s="83" t="s">
        <v>4855</v>
      </c>
      <c r="C3060" s="81" t="s">
        <v>4621</v>
      </c>
      <c r="D3060" s="83" t="s">
        <v>4869</v>
      </c>
      <c r="E3060" s="81" t="s">
        <v>4032</v>
      </c>
      <c r="F3060" s="84">
        <v>805.0</v>
      </c>
      <c r="G3060" s="81" t="s">
        <v>11</v>
      </c>
      <c r="H3060" s="81" t="s">
        <v>224</v>
      </c>
      <c r="I3060" s="81" t="s">
        <v>3096</v>
      </c>
      <c r="J3060" s="81" t="s">
        <v>224</v>
      </c>
      <c r="K3060" s="81" t="str">
        <f>IFERROR(__xludf.DUMMYFUNCTION("IF(OR(D3060="""",G3060=""""),"""",IFERROR(LET(
campo,XLOOKUP(TRIM(G3060),ARRAYFORMULA(TRIM('indice columnas'!$A$2:$A$100)),'indice columnas'!$B$2:$B$100,""""),
col,IFERROR(MATCH(campo,Referencia!$A$1:$AZ$1,0),0),
fila,IFERROR(MATCH(TO_TEXT(D3060),ARRAYFOR"&amp;"MULA(TO_TEXT(Referencia!$A$2:$A6238)),0),0),
IF(OR(campo="""",campo=""-""),""NO APLICA"",
IF(col=0,""REVISAR EQUIVALENCIA"",
IF(fila=0,""SKU NO ENCONTRADO"",
LET(
valor,INDEX(Referencia!$A$2:$AZ6238,fila,col),
IF(TRIM(TO_TEXT(valor))=TRIM(TO_TEXT(I3060)),"&amp;"
""OK"",
""NO COINCIDE. Valor verdadero: ""&amp;IF(valor="""",""[VACÍO]"",TO_TEXT(valor))
)
))))
),""ERROR EN FÓRMULA""))"),"OK")</f>
        <v>OK</v>
      </c>
    </row>
    <row r="3061">
      <c r="A3061" s="83" t="s">
        <v>4854</v>
      </c>
      <c r="B3061" s="83" t="s">
        <v>4855</v>
      </c>
      <c r="C3061" s="81" t="s">
        <v>4621</v>
      </c>
      <c r="D3061" s="83" t="s">
        <v>4869</v>
      </c>
      <c r="E3061" s="81" t="s">
        <v>4032</v>
      </c>
      <c r="F3061" s="84">
        <v>805.0</v>
      </c>
      <c r="G3061" s="81" t="s">
        <v>12</v>
      </c>
      <c r="H3061" s="81" t="s">
        <v>224</v>
      </c>
      <c r="I3061" s="81" t="s">
        <v>1549</v>
      </c>
      <c r="J3061" s="81" t="s">
        <v>224</v>
      </c>
      <c r="K3061" s="81" t="str">
        <f>IFERROR(__xludf.DUMMYFUNCTION("IF(OR(D3061="""",G3061=""""),"""",IFERROR(LET(
campo,XLOOKUP(TRIM(G3061),ARRAYFORMULA(TRIM('indice columnas'!$A$2:$A$100)),'indice columnas'!$B$2:$B$100,""""),
col,IFERROR(MATCH(campo,Referencia!$A$1:$AZ$1,0),0),
fila,IFERROR(MATCH(TO_TEXT(D3061),ARRAYFOR"&amp;"MULA(TO_TEXT(Referencia!$A$2:$A6238)),0),0),
IF(OR(campo="""",campo=""-""),""NO APLICA"",
IF(col=0,""REVISAR EQUIVALENCIA"",
IF(fila=0,""SKU NO ENCONTRADO"",
LET(
valor,INDEX(Referencia!$A$2:$AZ6238,fila,col),
IF(TRIM(TO_TEXT(valor))=TRIM(TO_TEXT(I3061)),"&amp;"
""OK"",
""NO COINCIDE. Valor verdadero: ""&amp;IF(valor="""",""[VACÍO]"",TO_TEXT(valor))
)
))))
),""ERROR EN FÓRMULA""))"),"OK")</f>
        <v>OK</v>
      </c>
    </row>
    <row r="3062">
      <c r="A3062" s="83" t="s">
        <v>4854</v>
      </c>
      <c r="B3062" s="83" t="s">
        <v>4855</v>
      </c>
      <c r="C3062" s="81" t="s">
        <v>4621</v>
      </c>
      <c r="D3062" s="83" t="s">
        <v>4869</v>
      </c>
      <c r="E3062" s="81" t="s">
        <v>4032</v>
      </c>
      <c r="F3062" s="84">
        <v>805.0</v>
      </c>
      <c r="G3062" s="81" t="s">
        <v>13</v>
      </c>
      <c r="H3062" s="81" t="s">
        <v>224</v>
      </c>
      <c r="I3062" s="81" t="s">
        <v>1610</v>
      </c>
      <c r="J3062" s="81" t="s">
        <v>224</v>
      </c>
      <c r="K3062" s="81" t="str">
        <f>IFERROR(__xludf.DUMMYFUNCTION("IF(OR(D3062="""",G3062=""""),"""",IFERROR(LET(
campo,XLOOKUP(TRIM(G3062),ARRAYFORMULA(TRIM('indice columnas'!$A$2:$A$100)),'indice columnas'!$B$2:$B$100,""""),
col,IFERROR(MATCH(campo,Referencia!$A$1:$AZ$1,0),0),
fila,IFERROR(MATCH(TO_TEXT(D3062),ARRAYFOR"&amp;"MULA(TO_TEXT(Referencia!$A$2:$A6238)),0),0),
IF(OR(campo="""",campo=""-""),""NO APLICA"",
IF(col=0,""REVISAR EQUIVALENCIA"",
IF(fila=0,""SKU NO ENCONTRADO"",
LET(
valor,INDEX(Referencia!$A$2:$AZ6238,fila,col),
IF(TRIM(TO_TEXT(valor))=TRIM(TO_TEXT(I3062)),"&amp;"
""OK"",
""NO COINCIDE. Valor verdadero: ""&amp;IF(valor="""",""[VACÍO]"",TO_TEXT(valor))
)
))))
),""ERROR EN FÓRMULA""))"),"OK")</f>
        <v>OK</v>
      </c>
    </row>
    <row r="3063">
      <c r="A3063" s="83" t="s">
        <v>4854</v>
      </c>
      <c r="B3063" s="83" t="s">
        <v>4855</v>
      </c>
      <c r="C3063" s="81" t="s">
        <v>4621</v>
      </c>
      <c r="D3063" s="83" t="s">
        <v>4869</v>
      </c>
      <c r="E3063" s="81" t="s">
        <v>4032</v>
      </c>
      <c r="F3063" s="84">
        <v>805.0</v>
      </c>
      <c r="G3063" s="81" t="s">
        <v>14</v>
      </c>
      <c r="H3063" s="81" t="s">
        <v>224</v>
      </c>
      <c r="I3063" s="81" t="s">
        <v>56</v>
      </c>
      <c r="J3063" s="81" t="s">
        <v>224</v>
      </c>
      <c r="K3063" s="81" t="str">
        <f>IFERROR(__xludf.DUMMYFUNCTION("IF(OR(D3063="""",G3063=""""),"""",IFERROR(LET(
campo,XLOOKUP(TRIM(G3063),ARRAYFORMULA(TRIM('indice columnas'!$A$2:$A$100)),'indice columnas'!$B$2:$B$100,""""),
col,IFERROR(MATCH(campo,Referencia!$A$1:$AZ$1,0),0),
fila,IFERROR(MATCH(TO_TEXT(D3063),ARRAYFOR"&amp;"MULA(TO_TEXT(Referencia!$A$2:$A6238)),0),0),
IF(OR(campo="""",campo=""-""),""NO APLICA"",
IF(col=0,""REVISAR EQUIVALENCIA"",
IF(fila=0,""SKU NO ENCONTRADO"",
LET(
valor,INDEX(Referencia!$A$2:$AZ6238,fila,col),
IF(TRIM(TO_TEXT(valor))=TRIM(TO_TEXT(I3063)),"&amp;"
""OK"",
""NO COINCIDE. Valor verdadero: ""&amp;IF(valor="""",""[VACÍO]"",TO_TEXT(valor))
)
))))
),""ERROR EN FÓRMULA""))"),"NO COINCIDE. Valor verdadero: 220-240")</f>
        <v>NO COINCIDE. Valor verdadero: 220-240</v>
      </c>
    </row>
    <row r="3064">
      <c r="A3064" s="83" t="s">
        <v>4854</v>
      </c>
      <c r="B3064" s="83" t="s">
        <v>4855</v>
      </c>
      <c r="C3064" s="81" t="s">
        <v>4621</v>
      </c>
      <c r="D3064" s="83" t="s">
        <v>4869</v>
      </c>
      <c r="E3064" s="81" t="s">
        <v>4032</v>
      </c>
      <c r="F3064" s="84">
        <v>805.0</v>
      </c>
      <c r="G3064" s="81" t="s">
        <v>15</v>
      </c>
      <c r="H3064" s="81" t="s">
        <v>224</v>
      </c>
      <c r="I3064" s="81" t="s">
        <v>57</v>
      </c>
      <c r="J3064" s="81" t="s">
        <v>224</v>
      </c>
      <c r="K3064" s="81" t="str">
        <f>IFERROR(__xludf.DUMMYFUNCTION("IF(OR(D3064="""",G3064=""""),"""",IFERROR(LET(
campo,XLOOKUP(TRIM(G3064),ARRAYFORMULA(TRIM('indice columnas'!$A$2:$A$100)),'indice columnas'!$B$2:$B$100,""""),
col,IFERROR(MATCH(campo,Referencia!$A$1:$AZ$1,0),0),
fila,IFERROR(MATCH(TO_TEXT(D3064),ARRAYFOR"&amp;"MULA(TO_TEXT(Referencia!$A$2:$A6238)),0),0),
IF(OR(campo="""",campo=""-""),""NO APLICA"",
IF(col=0,""REVISAR EQUIVALENCIA"",
IF(fila=0,""SKU NO ENCONTRADO"",
LET(
valor,INDEX(Referencia!$A$2:$AZ6238,fila,col),
IF(TRIM(TO_TEXT(valor))=TRIM(TO_TEXT(I3064)),"&amp;"
""OK"",
""NO COINCIDE. Valor verdadero: ""&amp;IF(valor="""",""[VACÍO]"",TO_TEXT(valor))
)
))))
),""ERROR EN FÓRMULA""))"),"NO COINCIDE. Valor verdadero: 50/60")</f>
        <v>NO COINCIDE. Valor verdadero: 50/60</v>
      </c>
    </row>
    <row r="3065">
      <c r="A3065" s="83" t="s">
        <v>4854</v>
      </c>
      <c r="B3065" s="83" t="s">
        <v>4855</v>
      </c>
      <c r="C3065" s="81" t="s">
        <v>4621</v>
      </c>
      <c r="D3065" s="83" t="s">
        <v>4869</v>
      </c>
      <c r="E3065" s="81" t="s">
        <v>4032</v>
      </c>
      <c r="F3065" s="84">
        <v>805.0</v>
      </c>
      <c r="G3065" s="81" t="s">
        <v>16</v>
      </c>
      <c r="H3065" s="81" t="s">
        <v>224</v>
      </c>
      <c r="I3065" s="81" t="s">
        <v>1611</v>
      </c>
      <c r="J3065" s="81" t="s">
        <v>224</v>
      </c>
      <c r="K3065" s="81" t="str">
        <f>IFERROR(__xludf.DUMMYFUNCTION("IF(OR(D3065="""",G3065=""""),"""",IFERROR(LET(
campo,XLOOKUP(TRIM(G3065),ARRAYFORMULA(TRIM('indice columnas'!$A$2:$A$100)),'indice columnas'!$B$2:$B$100,""""),
col,IFERROR(MATCH(campo,Referencia!$A$1:$AZ$1,0),0),
fila,IFERROR(MATCH(TO_TEXT(D3065),ARRAYFOR"&amp;"MULA(TO_TEXT(Referencia!$A$2:$A6238)),0),0),
IF(OR(campo="""",campo=""-""),""NO APLICA"",
IF(col=0,""REVISAR EQUIVALENCIA"",
IF(fila=0,""SKU NO ENCONTRADO"",
LET(
valor,INDEX(Referencia!$A$2:$AZ6238,fila,col),
IF(TRIM(TO_TEXT(valor))=TRIM(TO_TEXT(I3065)),"&amp;"
""OK"",
""NO COINCIDE. Valor verdadero: ""&amp;IF(valor="""",""[VACÍO]"",TO_TEXT(valor))
)
))))
),""ERROR EN FÓRMULA""))"),"NO COINCIDE. Valor verdadero: 30")</f>
        <v>NO COINCIDE. Valor verdadero: 30</v>
      </c>
    </row>
    <row r="3066">
      <c r="A3066" s="83" t="s">
        <v>4854</v>
      </c>
      <c r="B3066" s="83" t="s">
        <v>4855</v>
      </c>
      <c r="C3066" s="81" t="s">
        <v>4621</v>
      </c>
      <c r="D3066" s="83" t="s">
        <v>4869</v>
      </c>
      <c r="E3066" s="81" t="s">
        <v>4032</v>
      </c>
      <c r="F3066" s="84">
        <v>805.0</v>
      </c>
      <c r="G3066" s="81" t="s">
        <v>17</v>
      </c>
      <c r="H3066" s="81" t="s">
        <v>224</v>
      </c>
      <c r="I3066" s="83" t="s">
        <v>2762</v>
      </c>
      <c r="J3066" s="81" t="s">
        <v>224</v>
      </c>
      <c r="K3066" s="81" t="str">
        <f>IFERROR(__xludf.DUMMYFUNCTION("IF(OR(D3066="""",G3066=""""),"""",IFERROR(LET(
campo,XLOOKUP(TRIM(G3066),ARRAYFORMULA(TRIM('indice columnas'!$A$2:$A$100)),'indice columnas'!$B$2:$B$100,""""),
col,IFERROR(MATCH(campo,Referencia!$A$1:$AZ$1,0),0),
fila,IFERROR(MATCH(TO_TEXT(D3066),ARRAYFOR"&amp;"MULA(TO_TEXT(Referencia!$A$2:$A6238)),0),0),
IF(OR(campo="""",campo=""-""),""NO APLICA"",
IF(col=0,""REVISAR EQUIVALENCIA"",
IF(fila=0,""SKU NO ENCONTRADO"",
LET(
valor,INDEX(Referencia!$A$2:$AZ6238,fila,col),
IF(TRIM(TO_TEXT(valor))=TRIM(TO_TEXT(I3066)),"&amp;"
""OK"",
""NO COINCIDE. Valor verdadero: ""&amp;IF(valor="""",""[VACÍO]"",TO_TEXT(valor))
)
))))
),""ERROR EN FÓRMULA""))"),"OK")</f>
        <v>OK</v>
      </c>
    </row>
    <row r="3067">
      <c r="A3067" s="83" t="s">
        <v>4854</v>
      </c>
      <c r="B3067" s="83" t="s">
        <v>4855</v>
      </c>
      <c r="C3067" s="81" t="s">
        <v>4621</v>
      </c>
      <c r="D3067" s="83" t="s">
        <v>4869</v>
      </c>
      <c r="E3067" s="81" t="s">
        <v>4032</v>
      </c>
      <c r="F3067" s="84">
        <v>805.0</v>
      </c>
      <c r="G3067" s="81" t="s">
        <v>18</v>
      </c>
      <c r="H3067" s="81" t="s">
        <v>224</v>
      </c>
      <c r="I3067" s="81" t="s">
        <v>49</v>
      </c>
      <c r="J3067" s="81" t="s">
        <v>224</v>
      </c>
      <c r="K3067" s="81" t="str">
        <f>IFERROR(__xludf.DUMMYFUNCTION("IF(OR(D3067="""",G3067=""""),"""",IFERROR(LET(
campo,XLOOKUP(TRIM(G3067),ARRAYFORMULA(TRIM('indice columnas'!$A$2:$A$100)),'indice columnas'!$B$2:$B$100,""""),
col,IFERROR(MATCH(campo,Referencia!$A$1:$AZ$1,0),0),
fila,IFERROR(MATCH(TO_TEXT(D3067),ARRAYFOR"&amp;"MULA(TO_TEXT(Referencia!$A$2:$A6238)),0),0),
IF(OR(campo="""",campo=""-""),""NO APLICA"",
IF(col=0,""REVISAR EQUIVALENCIA"",
IF(fila=0,""SKU NO ENCONTRADO"",
LET(
valor,INDEX(Referencia!$A$2:$AZ6238,fila,col),
IF(TRIM(TO_TEXT(valor))=TRIM(TO_TEXT(I3067)),"&amp;"
""OK"",
""NO COINCIDE. Valor verdadero: ""&amp;IF(valor="""",""[VACÍO]"",TO_TEXT(valor))
)
))))
),""ERROR EN FÓRMULA""))"),"OK")</f>
        <v>OK</v>
      </c>
    </row>
    <row r="3068">
      <c r="A3068" s="83" t="s">
        <v>4854</v>
      </c>
      <c r="B3068" s="83" t="s">
        <v>4855</v>
      </c>
      <c r="C3068" s="81" t="s">
        <v>4621</v>
      </c>
      <c r="D3068" s="83" t="s">
        <v>4869</v>
      </c>
      <c r="E3068" s="81" t="s">
        <v>4032</v>
      </c>
      <c r="F3068" s="84">
        <v>805.0</v>
      </c>
      <c r="G3068" s="81" t="s">
        <v>19</v>
      </c>
      <c r="H3068" s="81" t="s">
        <v>224</v>
      </c>
      <c r="I3068" s="81" t="s">
        <v>49</v>
      </c>
      <c r="J3068" s="81" t="s">
        <v>224</v>
      </c>
      <c r="K3068" s="81" t="str">
        <f>IFERROR(__xludf.DUMMYFUNCTION("IF(OR(D3068="""",G3068=""""),"""",IFERROR(LET(
campo,XLOOKUP(TRIM(G3068),ARRAYFORMULA(TRIM('indice columnas'!$A$2:$A$100)),'indice columnas'!$B$2:$B$100,""""),
col,IFERROR(MATCH(campo,Referencia!$A$1:$AZ$1,0),0),
fila,IFERROR(MATCH(TO_TEXT(D3068),ARRAYFOR"&amp;"MULA(TO_TEXT(Referencia!$A$2:$A6238)),0),0),
IF(OR(campo="""",campo=""-""),""NO APLICA"",
IF(col=0,""REVISAR EQUIVALENCIA"",
IF(fila=0,""SKU NO ENCONTRADO"",
LET(
valor,INDEX(Referencia!$A$2:$AZ6238,fila,col),
IF(TRIM(TO_TEXT(valor))=TRIM(TO_TEXT(I3068)),"&amp;"
""OK"",
""NO COINCIDE. Valor verdadero: ""&amp;IF(valor="""",""[VACÍO]"",TO_TEXT(valor))
)
))))
),""ERROR EN FÓRMULA""))"),"OK")</f>
        <v>OK</v>
      </c>
    </row>
    <row r="3069">
      <c r="A3069" s="83" t="s">
        <v>4854</v>
      </c>
      <c r="B3069" s="83" t="s">
        <v>4855</v>
      </c>
      <c r="C3069" s="81" t="s">
        <v>4621</v>
      </c>
      <c r="D3069" s="83" t="s">
        <v>4869</v>
      </c>
      <c r="E3069" s="81" t="s">
        <v>4032</v>
      </c>
      <c r="F3069" s="84">
        <v>805.0</v>
      </c>
      <c r="G3069" s="81" t="s">
        <v>20</v>
      </c>
      <c r="H3069" s="81" t="s">
        <v>224</v>
      </c>
      <c r="I3069" s="81" t="s">
        <v>4021</v>
      </c>
      <c r="J3069" s="81" t="s">
        <v>224</v>
      </c>
      <c r="K3069" s="81" t="str">
        <f>IFERROR(__xludf.DUMMYFUNCTION("IF(OR(D3069="""",G3069=""""),"""",IFERROR(LET(
campo,XLOOKUP(TRIM(G3069),ARRAYFORMULA(TRIM('indice columnas'!$A$2:$A$100)),'indice columnas'!$B$2:$B$100,""""),
col,IFERROR(MATCH(campo,Referencia!$A$1:$AZ$1,0),0),
fila,IFERROR(MATCH(TO_TEXT(D3069),ARRAYFOR"&amp;"MULA(TO_TEXT(Referencia!$A$2:$A6238)),0),0),
IF(OR(campo="""",campo=""-""),""NO APLICA"",
IF(col=0,""REVISAR EQUIVALENCIA"",
IF(fila=0,""SKU NO ENCONTRADO"",
LET(
valor,INDEX(Referencia!$A$2:$AZ6238,fila,col),
IF(TRIM(TO_TEXT(valor))=TRIM(TO_TEXT(I3069)),"&amp;"
""OK"",
""NO COINCIDE. Valor verdadero: ""&amp;IF(valor="""",""[VACÍO]"",TO_TEXT(valor))
)
))))
),""ERROR EN FÓRMULA""))"),"NO COINCIDE. Valor verdadero: 3400")</f>
        <v>NO COINCIDE. Valor verdadero: 3400</v>
      </c>
    </row>
    <row r="3070">
      <c r="A3070" s="83" t="s">
        <v>4854</v>
      </c>
      <c r="B3070" s="83" t="s">
        <v>4855</v>
      </c>
      <c r="C3070" s="81" t="s">
        <v>4621</v>
      </c>
      <c r="D3070" s="83" t="s">
        <v>4869</v>
      </c>
      <c r="E3070" s="81" t="s">
        <v>4032</v>
      </c>
      <c r="F3070" s="84">
        <v>805.0</v>
      </c>
      <c r="G3070" s="81" t="s">
        <v>21</v>
      </c>
      <c r="H3070" s="81" t="s">
        <v>224</v>
      </c>
      <c r="I3070" s="81" t="s">
        <v>4022</v>
      </c>
      <c r="J3070" s="81" t="s">
        <v>224</v>
      </c>
      <c r="K3070" s="81" t="str">
        <f>IFERROR(__xludf.DUMMYFUNCTION("IF(OR(D3070="""",G3070=""""),"""",IFERROR(LET(
campo,XLOOKUP(TRIM(G3070),ARRAYFORMULA(TRIM('indice columnas'!$A$2:$A$100)),'indice columnas'!$B$2:$B$100,""""),
col,IFERROR(MATCH(campo,Referencia!$A$1:$AZ$1,0),0),
fila,IFERROR(MATCH(TO_TEXT(D3070),ARRAYFOR"&amp;"MULA(TO_TEXT(Referencia!$A$2:$A6238)),0),0),
IF(OR(campo="""",campo=""-""),""NO APLICA"",
IF(col=0,""REVISAR EQUIVALENCIA"",
IF(fila=0,""SKU NO ENCONTRADO"",
LET(
valor,INDEX(Referencia!$A$2:$AZ6238,fila,col),
IF(TRIM(TO_TEXT(valor))=TRIM(TO_TEXT(I3070)),"&amp;"
""OK"",
""NO COINCIDE. Valor verdadero: ""&amp;IF(valor="""",""[VACÍO]"",TO_TEXT(valor))
)
))))
),""ERROR EN FÓRMULA""))"),"NO COINCIDE. Valor verdadero: 113")</f>
        <v>NO COINCIDE. Valor verdadero: 113</v>
      </c>
    </row>
    <row r="3071">
      <c r="A3071" s="83" t="s">
        <v>4854</v>
      </c>
      <c r="B3071" s="83" t="s">
        <v>4855</v>
      </c>
      <c r="C3071" s="81" t="s">
        <v>4621</v>
      </c>
      <c r="D3071" s="83" t="s">
        <v>4869</v>
      </c>
      <c r="E3071" s="81" t="s">
        <v>4032</v>
      </c>
      <c r="F3071" s="84">
        <v>805.0</v>
      </c>
      <c r="G3071" s="81" t="s">
        <v>22</v>
      </c>
      <c r="H3071" s="81" t="s">
        <v>224</v>
      </c>
      <c r="I3071" s="81" t="s">
        <v>89</v>
      </c>
      <c r="J3071" s="81" t="s">
        <v>224</v>
      </c>
      <c r="K3071" s="81" t="str">
        <f>IFERROR(__xludf.DUMMYFUNCTION("IF(OR(D3071="""",G3071=""""),"""",IFERROR(LET(
campo,XLOOKUP(TRIM(G3071),ARRAYFORMULA(TRIM('indice columnas'!$A$2:$A$100)),'indice columnas'!$B$2:$B$100,""""),
col,IFERROR(MATCH(campo,Referencia!$A$1:$AZ$1,0),0),
fila,IFERROR(MATCH(TO_TEXT(D3071),ARRAYFOR"&amp;"MULA(TO_TEXT(Referencia!$A$2:$A6238)),0),0),
IF(OR(campo="""",campo=""-""),""NO APLICA"",
IF(col=0,""REVISAR EQUIVALENCIA"",
IF(fila=0,""SKU NO ENCONTRADO"",
LET(
valor,INDEX(Referencia!$A$2:$AZ6238,fila,col),
IF(TRIM(TO_TEXT(valor))=TRIM(TO_TEXT(I3071)),"&amp;"
""OK"",
""NO COINCIDE. Valor verdadero: ""&amp;IF(valor="""",""[VACÍO]"",TO_TEXT(valor))
)
))))
),""ERROR EN FÓRMULA""))"),"NO COINCIDE. Valor verdadero: 3000")</f>
        <v>NO COINCIDE. Valor verdadero: 3000</v>
      </c>
    </row>
    <row r="3072">
      <c r="A3072" s="83" t="s">
        <v>4854</v>
      </c>
      <c r="B3072" s="83" t="s">
        <v>4855</v>
      </c>
      <c r="C3072" s="81" t="s">
        <v>4621</v>
      </c>
      <c r="D3072" s="83" t="s">
        <v>4869</v>
      </c>
      <c r="E3072" s="81" t="s">
        <v>4032</v>
      </c>
      <c r="F3072" s="84">
        <v>805.0</v>
      </c>
      <c r="G3072" s="81" t="s">
        <v>23</v>
      </c>
      <c r="H3072" s="81" t="s">
        <v>224</v>
      </c>
      <c r="I3072" s="81" t="s">
        <v>108</v>
      </c>
      <c r="J3072" s="81" t="s">
        <v>224</v>
      </c>
      <c r="K3072" s="81" t="str">
        <f>IFERROR(__xludf.DUMMYFUNCTION("IF(OR(D3072="""",G3072=""""),"""",IFERROR(LET(
campo,XLOOKUP(TRIM(G3072),ARRAYFORMULA(TRIM('indice columnas'!$A$2:$A$100)),'indice columnas'!$B$2:$B$100,""""),
col,IFERROR(MATCH(campo,Referencia!$A$1:$AZ$1,0),0),
fila,IFERROR(MATCH(TO_TEXT(D3072),ARRAYFOR"&amp;"MULA(TO_TEXT(Referencia!$A$2:$A6238)),0),0),
IF(OR(campo="""",campo=""-""),""NO APLICA"",
IF(col=0,""REVISAR EQUIVALENCIA"",
IF(fila=0,""SKU NO ENCONTRADO"",
LET(
valor,INDEX(Referencia!$A$2:$AZ6238,fila,col),
IF(TRIM(TO_TEXT(valor))=TRIM(TO_TEXT(I3072)),"&amp;"
""OK"",
""NO COINCIDE. Valor verdadero: ""&amp;IF(valor="""",""[VACÍO]"",TO_TEXT(valor))
)
))))
),""ERROR EN FÓRMULA""))"),"OK")</f>
        <v>OK</v>
      </c>
    </row>
    <row r="3073">
      <c r="A3073" s="83" t="s">
        <v>4854</v>
      </c>
      <c r="B3073" s="83" t="s">
        <v>4855</v>
      </c>
      <c r="C3073" s="81" t="s">
        <v>4621</v>
      </c>
      <c r="D3073" s="83" t="s">
        <v>4869</v>
      </c>
      <c r="E3073" s="81" t="s">
        <v>4032</v>
      </c>
      <c r="F3073" s="84">
        <v>805.0</v>
      </c>
      <c r="G3073" s="81" t="s">
        <v>24</v>
      </c>
      <c r="H3073" s="81" t="s">
        <v>224</v>
      </c>
      <c r="I3073" s="81" t="s">
        <v>4023</v>
      </c>
      <c r="J3073" s="81" t="s">
        <v>224</v>
      </c>
      <c r="K3073" s="81" t="str">
        <f>IFERROR(__xludf.DUMMYFUNCTION("IF(OR(D3073="""",G3073=""""),"""",IFERROR(LET(
campo,XLOOKUP(TRIM(G3073),ARRAYFORMULA(TRIM('indice columnas'!$A$2:$A$100)),'indice columnas'!$B$2:$B$100,""""),
col,IFERROR(MATCH(campo,Referencia!$A$1:$AZ$1,0),0),
fila,IFERROR(MATCH(TO_TEXT(D3073),ARRAYFOR"&amp;"MULA(TO_TEXT(Referencia!$A$2:$A6238)),0),0),
IF(OR(campo="""",campo=""-""),""NO APLICA"",
IF(col=0,""REVISAR EQUIVALENCIA"",
IF(fila=0,""SKU NO ENCONTRADO"",
LET(
valor,INDEX(Referencia!$A$2:$AZ6238,fila,col),
IF(TRIM(TO_TEXT(valor))=TRIM(TO_TEXT(I3073)),"&amp;"
""OK"",
""NO COINCIDE. Valor verdadero: ""&amp;IF(valor="""",""[VACÍO]"",TO_TEXT(valor))
)
))))
),""ERROR EN FÓRMULA""))"),"NO COINCIDE. Valor verdadero: 165")</f>
        <v>NO COINCIDE. Valor verdadero: 165</v>
      </c>
    </row>
    <row r="3074">
      <c r="A3074" s="83" t="s">
        <v>4854</v>
      </c>
      <c r="B3074" s="83" t="s">
        <v>4855</v>
      </c>
      <c r="C3074" s="81" t="s">
        <v>4621</v>
      </c>
      <c r="D3074" s="83" t="s">
        <v>4869</v>
      </c>
      <c r="E3074" s="81" t="s">
        <v>4032</v>
      </c>
      <c r="F3074" s="84">
        <v>805.0</v>
      </c>
      <c r="G3074" s="81" t="s">
        <v>25</v>
      </c>
      <c r="H3074" s="81" t="s">
        <v>224</v>
      </c>
      <c r="I3074" s="81" t="s">
        <v>55</v>
      </c>
      <c r="J3074" s="81" t="s">
        <v>224</v>
      </c>
      <c r="K3074" s="81" t="str">
        <f>IFERROR(__xludf.DUMMYFUNCTION("IF(OR(D3074="""",G3074=""""),"""",IFERROR(LET(
campo,XLOOKUP(TRIM(G3074),ARRAYFORMULA(TRIM('indice columnas'!$A$2:$A$100)),'indice columnas'!$B$2:$B$100,""""),
col,IFERROR(MATCH(campo,Referencia!$A$1:$AZ$1,0),0),
fila,IFERROR(MATCH(TO_TEXT(D3074),ARRAYFOR"&amp;"MULA(TO_TEXT(Referencia!$A$2:$A6238)),0),0),
IF(OR(campo="""",campo=""-""),""NO APLICA"",
IF(col=0,""REVISAR EQUIVALENCIA"",
IF(fila=0,""SKU NO ENCONTRADO"",
LET(
valor,INDEX(Referencia!$A$2:$AZ6238,fila,col),
IF(TRIM(TO_TEXT(valor))=TRIM(TO_TEXT(I3074)),"&amp;"
""OK"",
""NO COINCIDE. Valor verdadero: ""&amp;IF(valor="""",""[VACÍO]"",TO_TEXT(valor))
)
))))
),""ERROR EN FÓRMULA""))"),"OK")</f>
        <v>OK</v>
      </c>
    </row>
    <row r="3075">
      <c r="A3075" s="83" t="s">
        <v>4854</v>
      </c>
      <c r="B3075" s="83" t="s">
        <v>4855</v>
      </c>
      <c r="C3075" s="81" t="s">
        <v>4621</v>
      </c>
      <c r="D3075" s="83" t="s">
        <v>4869</v>
      </c>
      <c r="E3075" s="81" t="s">
        <v>4032</v>
      </c>
      <c r="F3075" s="84">
        <v>805.0</v>
      </c>
      <c r="G3075" s="81" t="s">
        <v>26</v>
      </c>
      <c r="H3075" s="81" t="s">
        <v>224</v>
      </c>
      <c r="I3075" s="81" t="s">
        <v>231</v>
      </c>
      <c r="J3075" s="81" t="s">
        <v>224</v>
      </c>
      <c r="K3075" s="81" t="str">
        <f>IFERROR(__xludf.DUMMYFUNCTION("IF(OR(D3075="""",G3075=""""),"""",IFERROR(LET(
campo,XLOOKUP(TRIM(G3075),ARRAYFORMULA(TRIM('indice columnas'!$A$2:$A$100)),'indice columnas'!$B$2:$B$100,""""),
col,IFERROR(MATCH(campo,Referencia!$A$1:$AZ$1,0),0),
fila,IFERROR(MATCH(TO_TEXT(D3075),ARRAYFOR"&amp;"MULA(TO_TEXT(Referencia!$A$2:$A6238)),0),0),
IF(OR(campo="""",campo=""-""),""NO APLICA"",
IF(col=0,""REVISAR EQUIVALENCIA"",
IF(fila=0,""SKU NO ENCONTRADO"",
LET(
valor,INDEX(Referencia!$A$2:$AZ6238,fila,col),
IF(TRIM(TO_TEXT(valor))=TRIM(TO_TEXT(I3075)),"&amp;"
""OK"",
""NO COINCIDE. Valor verdadero: ""&amp;IF(valor="""",""[VACÍO]"",TO_TEXT(valor))
)
))))
),""ERROR EN FÓRMULA""))"),"OK")</f>
        <v>OK</v>
      </c>
    </row>
    <row r="3076">
      <c r="A3076" s="83" t="s">
        <v>4854</v>
      </c>
      <c r="B3076" s="83" t="s">
        <v>4855</v>
      </c>
      <c r="C3076" s="81" t="s">
        <v>4621</v>
      </c>
      <c r="D3076" s="83" t="s">
        <v>4869</v>
      </c>
      <c r="E3076" s="81" t="s">
        <v>4032</v>
      </c>
      <c r="F3076" s="84">
        <v>805.0</v>
      </c>
      <c r="G3076" s="81" t="s">
        <v>27</v>
      </c>
      <c r="H3076" s="81" t="s">
        <v>224</v>
      </c>
      <c r="I3076" s="81" t="s">
        <v>60</v>
      </c>
      <c r="J3076" s="81" t="s">
        <v>224</v>
      </c>
      <c r="K3076" s="81" t="str">
        <f>IFERROR(__xludf.DUMMYFUNCTION("IF(OR(D3076="""",G3076=""""),"""",IFERROR(LET(
campo,XLOOKUP(TRIM(G3076),ARRAYFORMULA(TRIM('indice columnas'!$A$2:$A$100)),'indice columnas'!$B$2:$B$100,""""),
col,IFERROR(MATCH(campo,Referencia!$A$1:$AZ$1,0),0),
fila,IFERROR(MATCH(TO_TEXT(D3076),ARRAYFOR"&amp;"MULA(TO_TEXT(Referencia!$A$2:$A6238)),0),0),
IF(OR(campo="""",campo=""-""),""NO APLICA"",
IF(col=0,""REVISAR EQUIVALENCIA"",
IF(fila=0,""SKU NO ENCONTRADO"",
LET(
valor,INDEX(Referencia!$A$2:$AZ6238,fila,col),
IF(TRIM(TO_TEXT(valor))=TRIM(TO_TEXT(I3076)),"&amp;"
""OK"",
""NO COINCIDE. Valor verdadero: ""&amp;IF(valor="""",""[VACÍO]"",TO_TEXT(valor))
)
))))
),""ERROR EN FÓRMULA""))"),"OK")</f>
        <v>OK</v>
      </c>
    </row>
    <row r="3077">
      <c r="A3077" s="83" t="s">
        <v>4854</v>
      </c>
      <c r="B3077" s="83" t="s">
        <v>4855</v>
      </c>
      <c r="C3077" s="81" t="s">
        <v>4621</v>
      </c>
      <c r="D3077" s="83" t="s">
        <v>4869</v>
      </c>
      <c r="E3077" s="81" t="s">
        <v>4032</v>
      </c>
      <c r="F3077" s="84">
        <v>805.0</v>
      </c>
      <c r="G3077" s="81" t="s">
        <v>28</v>
      </c>
      <c r="H3077" s="81" t="s">
        <v>224</v>
      </c>
      <c r="I3077" s="81" t="s">
        <v>219</v>
      </c>
      <c r="J3077" s="81" t="s">
        <v>224</v>
      </c>
      <c r="K3077" s="81" t="str">
        <f>IFERROR(__xludf.DUMMYFUNCTION("IF(OR(D3077="""",G3077=""""),"""",IFERROR(LET(
campo,XLOOKUP(TRIM(G3077),ARRAYFORMULA(TRIM('indice columnas'!$A$2:$A$100)),'indice columnas'!$B$2:$B$100,""""),
col,IFERROR(MATCH(campo,Referencia!$A$1:$AZ$1,0),0),
fila,IFERROR(MATCH(TO_TEXT(D3077),ARRAYFOR"&amp;"MULA(TO_TEXT(Referencia!$A$2:$A6238)),0),0),
IF(OR(campo="""",campo=""-""),""NO APLICA"",
IF(col=0,""REVISAR EQUIVALENCIA"",
IF(fila=0,""SKU NO ENCONTRADO"",
LET(
valor,INDEX(Referencia!$A$2:$AZ6238,fila,col),
IF(TRIM(TO_TEXT(valor))=TRIM(TO_TEXT(I3077)),"&amp;"
""OK"",
""NO COINCIDE. Valor verdadero: ""&amp;IF(valor="""",""[VACÍO]"",TO_TEXT(valor))
)
))))
),""ERROR EN FÓRMULA""))"),"NO COINCIDE. Valor verdadero: Aplicar")</f>
        <v>NO COINCIDE. Valor verdadero: Aplicar</v>
      </c>
    </row>
    <row r="3078">
      <c r="A3078" s="83" t="s">
        <v>4854</v>
      </c>
      <c r="B3078" s="83" t="s">
        <v>4855</v>
      </c>
      <c r="C3078" s="81" t="s">
        <v>4621</v>
      </c>
      <c r="D3078" s="83" t="s">
        <v>4869</v>
      </c>
      <c r="E3078" s="81" t="s">
        <v>4032</v>
      </c>
      <c r="F3078" s="84">
        <v>805.0</v>
      </c>
      <c r="G3078" s="81" t="s">
        <v>29</v>
      </c>
      <c r="H3078" s="81" t="s">
        <v>224</v>
      </c>
      <c r="I3078" s="81" t="s">
        <v>4024</v>
      </c>
      <c r="J3078" s="81" t="s">
        <v>224</v>
      </c>
      <c r="K3078" s="81" t="str">
        <f>IFERROR(__xludf.DUMMYFUNCTION("IF(OR(D3078="""",G3078=""""),"""",IFERROR(LET(
campo,XLOOKUP(TRIM(G3078),ARRAYFORMULA(TRIM('indice columnas'!$A$2:$A$100)),'indice columnas'!$B$2:$B$100,""""),
col,IFERROR(MATCH(campo,Referencia!$A$1:$AZ$1,0),0),
fila,IFERROR(MATCH(TO_TEXT(D3078),ARRAYFOR"&amp;"MULA(TO_TEXT(Referencia!$A$2:$A6238)),0),0),
IF(OR(campo="""",campo=""-""),""NO APLICA"",
IF(col=0,""REVISAR EQUIVALENCIA"",
IF(fila=0,""SKU NO ENCONTRADO"",
LET(
valor,INDEX(Referencia!$A$2:$AZ6238,fila,col),
IF(TRIM(TO_TEXT(valor))=TRIM(TO_TEXT(I3078)),"&amp;"
""OK"",
""NO COINCIDE. Valor verdadero: ""&amp;IF(valor="""",""[VACÍO]"",TO_TEXT(valor))
)
))))
),""ERROR EN FÓRMULA""))"),"NO COINCIDE. Valor verdadero: Ø500 x 500")</f>
        <v>NO COINCIDE. Valor verdadero: Ø500 x 500</v>
      </c>
    </row>
    <row r="3079">
      <c r="A3079" s="83" t="s">
        <v>4854</v>
      </c>
      <c r="B3079" s="83" t="s">
        <v>4855</v>
      </c>
      <c r="C3079" s="81" t="s">
        <v>4621</v>
      </c>
      <c r="D3079" s="83" t="s">
        <v>4869</v>
      </c>
      <c r="E3079" s="81" t="s">
        <v>4032</v>
      </c>
      <c r="F3079" s="84">
        <v>805.0</v>
      </c>
      <c r="G3079" s="81" t="s">
        <v>30</v>
      </c>
      <c r="H3079" s="81" t="s">
        <v>224</v>
      </c>
      <c r="I3079" s="81" t="s">
        <v>55</v>
      </c>
      <c r="J3079" s="81" t="s">
        <v>224</v>
      </c>
      <c r="K3079" s="81" t="str">
        <f>IFERROR(__xludf.DUMMYFUNCTION("IF(OR(D3079="""",G3079=""""),"""",IFERROR(LET(
campo,XLOOKUP(TRIM(G3079),ARRAYFORMULA(TRIM('indice columnas'!$A$2:$A$100)),'indice columnas'!$B$2:$B$100,""""),
col,IFERROR(MATCH(campo,Referencia!$A$1:$AZ$1,0),0),
fila,IFERROR(MATCH(TO_TEXT(D3079),ARRAYFOR"&amp;"MULA(TO_TEXT(Referencia!$A$2:$A6238)),0),0),
IF(OR(campo="""",campo=""-""),""NO APLICA"",
IF(col=0,""REVISAR EQUIVALENCIA"",
IF(fila=0,""SKU NO ENCONTRADO"",
LET(
valor,INDEX(Referencia!$A$2:$AZ6238,fila,col),
IF(TRIM(TO_TEXT(valor))=TRIM(TO_TEXT(I3079)),"&amp;"
""OK"",
""NO COINCIDE. Valor verdadero: ""&amp;IF(valor="""",""[VACÍO]"",TO_TEXT(valor))
)
))))
),""ERROR EN FÓRMULA""))"),"OK")</f>
        <v>OK</v>
      </c>
    </row>
    <row r="3080">
      <c r="A3080" s="83" t="s">
        <v>4854</v>
      </c>
      <c r="B3080" s="83" t="s">
        <v>4855</v>
      </c>
      <c r="C3080" s="81" t="s">
        <v>4621</v>
      </c>
      <c r="D3080" s="83" t="s">
        <v>4869</v>
      </c>
      <c r="E3080" s="81" t="s">
        <v>4032</v>
      </c>
      <c r="F3080" s="84">
        <v>805.0</v>
      </c>
      <c r="G3080" s="81" t="s">
        <v>31</v>
      </c>
      <c r="H3080" s="81" t="s">
        <v>224</v>
      </c>
      <c r="I3080" s="81" t="s">
        <v>55</v>
      </c>
      <c r="J3080" s="81" t="s">
        <v>224</v>
      </c>
      <c r="K3080" s="81" t="str">
        <f>IFERROR(__xludf.DUMMYFUNCTION("IF(OR(D3080="""",G3080=""""),"""",IFERROR(LET(
campo,XLOOKUP(TRIM(G3080),ARRAYFORMULA(TRIM('indice columnas'!$A$2:$A$100)),'indice columnas'!$B$2:$B$100,""""),
col,IFERROR(MATCH(campo,Referencia!$A$1:$AZ$1,0),0),
fila,IFERROR(MATCH(TO_TEXT(D3080),ARRAYFOR"&amp;"MULA(TO_TEXT(Referencia!$A$2:$A6238)),0),0),
IF(OR(campo="""",campo=""-""),""NO APLICA"",
IF(col=0,""REVISAR EQUIVALENCIA"",
IF(fila=0,""SKU NO ENCONTRADO"",
LET(
valor,INDEX(Referencia!$A$2:$AZ6238,fila,col),
IF(TRIM(TO_TEXT(valor))=TRIM(TO_TEXT(I3080)),"&amp;"
""OK"",
""NO COINCIDE. Valor verdadero: ""&amp;IF(valor="""",""[VACÍO]"",TO_TEXT(valor))
)
))))
),""ERROR EN FÓRMULA""))"),"OK")</f>
        <v>OK</v>
      </c>
    </row>
    <row r="3081">
      <c r="A3081" s="83" t="s">
        <v>4854</v>
      </c>
      <c r="B3081" s="83" t="s">
        <v>4855</v>
      </c>
      <c r="C3081" s="81" t="s">
        <v>4621</v>
      </c>
      <c r="D3081" s="83" t="s">
        <v>4869</v>
      </c>
      <c r="E3081" s="81" t="s">
        <v>4032</v>
      </c>
      <c r="F3081" s="84">
        <v>805.0</v>
      </c>
      <c r="G3081" s="81" t="s">
        <v>32</v>
      </c>
      <c r="H3081" s="81" t="s">
        <v>224</v>
      </c>
      <c r="I3081" s="81" t="s">
        <v>63</v>
      </c>
      <c r="J3081" s="81" t="s">
        <v>224</v>
      </c>
      <c r="K3081" s="81" t="str">
        <f>IFERROR(__xludf.DUMMYFUNCTION("IF(OR(D3081="""",G3081=""""),"""",IFERROR(LET(
campo,XLOOKUP(TRIM(G3081),ARRAYFORMULA(TRIM('indice columnas'!$A$2:$A$100)),'indice columnas'!$B$2:$B$100,""""),
col,IFERROR(MATCH(campo,Referencia!$A$1:$AZ$1,0),0),
fila,IFERROR(MATCH(TO_TEXT(D3081),ARRAYFOR"&amp;"MULA(TO_TEXT(Referencia!$A$2:$A6238)),0),0),
IF(OR(campo="""",campo=""-""),""NO APLICA"",
IF(col=0,""REVISAR EQUIVALENCIA"",
IF(fila=0,""SKU NO ENCONTRADO"",
LET(
valor,INDEX(Referencia!$A$2:$AZ6238,fila,col),
IF(TRIM(TO_TEXT(valor))=TRIM(TO_TEXT(I3081)),"&amp;"
""OK"",
""NO COINCIDE. Valor verdadero: ""&amp;IF(valor="""",""[VACÍO]"",TO_TEXT(valor))
)
))))
),""ERROR EN FÓRMULA""))"),"OK")</f>
        <v>OK</v>
      </c>
    </row>
    <row r="3082">
      <c r="A3082" s="83" t="s">
        <v>4854</v>
      </c>
      <c r="B3082" s="83" t="s">
        <v>4855</v>
      </c>
      <c r="C3082" s="81" t="s">
        <v>4621</v>
      </c>
      <c r="D3082" s="83" t="s">
        <v>4869</v>
      </c>
      <c r="E3082" s="81" t="s">
        <v>4032</v>
      </c>
      <c r="F3082" s="84">
        <v>805.0</v>
      </c>
      <c r="G3082" s="81" t="s">
        <v>33</v>
      </c>
      <c r="H3082" s="81" t="s">
        <v>224</v>
      </c>
      <c r="I3082" s="81" t="s">
        <v>145</v>
      </c>
      <c r="J3082" s="81" t="s">
        <v>224</v>
      </c>
      <c r="K3082" s="81" t="str">
        <f>IFERROR(__xludf.DUMMYFUNCTION("IF(OR(D3082="""",G3082=""""),"""",IFERROR(LET(
campo,XLOOKUP(TRIM(G3082),ARRAYFORMULA(TRIM('indice columnas'!$A$2:$A$100)),'indice columnas'!$B$2:$B$100,""""),
col,IFERROR(MATCH(campo,Referencia!$A$1:$AZ$1,0),0),
fila,IFERROR(MATCH(TO_TEXT(D3082),ARRAYFOR"&amp;"MULA(TO_TEXT(Referencia!$A$2:$A6238)),0),0),
IF(OR(campo="""",campo=""-""),""NO APLICA"",
IF(col=0,""REVISAR EQUIVALENCIA"",
IF(fila=0,""SKU NO ENCONTRADO"",
LET(
valor,INDEX(Referencia!$A$2:$AZ6238,fila,col),
IF(TRIM(TO_TEXT(valor))=TRIM(TO_TEXT(I3082)),"&amp;"
""OK"",
""NO COINCIDE. Valor verdadero: ""&amp;IF(valor="""",""[VACÍO]"",TO_TEXT(valor))
)
))))
),""ERROR EN FÓRMULA""))"),"OK")</f>
        <v>OK</v>
      </c>
    </row>
    <row r="3083">
      <c r="A3083" s="83" t="s">
        <v>4854</v>
      </c>
      <c r="B3083" s="83" t="s">
        <v>4855</v>
      </c>
      <c r="C3083" s="81" t="s">
        <v>4621</v>
      </c>
      <c r="D3083" s="83" t="s">
        <v>4869</v>
      </c>
      <c r="E3083" s="81" t="s">
        <v>4032</v>
      </c>
      <c r="F3083" s="84">
        <v>805.0</v>
      </c>
      <c r="G3083" s="81" t="s">
        <v>34</v>
      </c>
      <c r="H3083" s="81" t="s">
        <v>224</v>
      </c>
      <c r="I3083" s="81" t="s">
        <v>112</v>
      </c>
      <c r="J3083" s="81" t="s">
        <v>224</v>
      </c>
      <c r="K3083" s="81" t="str">
        <f>IFERROR(__xludf.DUMMYFUNCTION("IF(OR(D3083="""",G3083=""""),"""",IFERROR(LET(
campo,XLOOKUP(TRIM(G3083),ARRAYFORMULA(TRIM('indice columnas'!$A$2:$A$100)),'indice columnas'!$B$2:$B$100,""""),
col,IFERROR(MATCH(campo,Referencia!$A$1:$AZ$1,0),0),
fila,IFERROR(MATCH(TO_TEXT(D3083),ARRAYFOR"&amp;"MULA(TO_TEXT(Referencia!$A$2:$A6238)),0),0),
IF(OR(campo="""",campo=""-""),""NO APLICA"",
IF(col=0,""REVISAR EQUIVALENCIA"",
IF(fila=0,""SKU NO ENCONTRADO"",
LET(
valor,INDEX(Referencia!$A$2:$AZ6238,fila,col),
IF(TRIM(TO_TEXT(valor))=TRIM(TO_TEXT(I3083)),"&amp;"
""OK"",
""NO COINCIDE. Valor verdadero: ""&amp;IF(valor="""",""[VACÍO]"",TO_TEXT(valor))
)
))))
),""ERROR EN FÓRMULA""))"),"OK")</f>
        <v>OK</v>
      </c>
    </row>
    <row r="3084">
      <c r="A3084" s="83" t="s">
        <v>4854</v>
      </c>
      <c r="B3084" s="83" t="s">
        <v>4855</v>
      </c>
      <c r="C3084" s="81" t="s">
        <v>4621</v>
      </c>
      <c r="D3084" s="83" t="s">
        <v>4869</v>
      </c>
      <c r="E3084" s="81" t="s">
        <v>4032</v>
      </c>
      <c r="F3084" s="84">
        <v>805.0</v>
      </c>
      <c r="G3084" s="81" t="s">
        <v>35</v>
      </c>
      <c r="H3084" s="81" t="s">
        <v>224</v>
      </c>
      <c r="I3084" s="81" t="s">
        <v>49</v>
      </c>
      <c r="J3084" s="81" t="s">
        <v>224</v>
      </c>
      <c r="K3084" s="81" t="str">
        <f>IFERROR(__xludf.DUMMYFUNCTION("IF(OR(D3084="""",G3084=""""),"""",IFERROR(LET(
campo,XLOOKUP(TRIM(G3084),ARRAYFORMULA(TRIM('indice columnas'!$A$2:$A$100)),'indice columnas'!$B$2:$B$100,""""),
col,IFERROR(MATCH(campo,Referencia!$A$1:$AZ$1,0),0),
fila,IFERROR(MATCH(TO_TEXT(D3084),ARRAYFOR"&amp;"MULA(TO_TEXT(Referencia!$A$2:$A6238)),0),0),
IF(OR(campo="""",campo=""-""),""NO APLICA"",
IF(col=0,""REVISAR EQUIVALENCIA"",
IF(fila=0,""SKU NO ENCONTRADO"",
LET(
valor,INDEX(Referencia!$A$2:$AZ6238,fila,col),
IF(TRIM(TO_TEXT(valor))=TRIM(TO_TEXT(I3084)),"&amp;"
""OK"",
""NO COINCIDE. Valor verdadero: ""&amp;IF(valor="""",""[VACÍO]"",TO_TEXT(valor))
)
))))
),""ERROR EN FÓRMULA""))"),"OK")</f>
        <v>OK</v>
      </c>
    </row>
    <row r="3085">
      <c r="A3085" s="83" t="s">
        <v>4854</v>
      </c>
      <c r="B3085" s="83" t="s">
        <v>4855</v>
      </c>
      <c r="C3085" s="81" t="s">
        <v>4621</v>
      </c>
      <c r="D3085" s="83" t="s">
        <v>4869</v>
      </c>
      <c r="E3085" s="81" t="s">
        <v>4032</v>
      </c>
      <c r="F3085" s="84">
        <v>805.0</v>
      </c>
      <c r="G3085" s="81" t="s">
        <v>36</v>
      </c>
      <c r="H3085" s="81" t="s">
        <v>224</v>
      </c>
      <c r="I3085" s="81" t="s">
        <v>2940</v>
      </c>
      <c r="J3085" s="81" t="s">
        <v>224</v>
      </c>
      <c r="K3085" s="81" t="str">
        <f>IFERROR(__xludf.DUMMYFUNCTION("IF(OR(D3085="""",G3085=""""),"""",IFERROR(LET(
campo,XLOOKUP(TRIM(G3085),ARRAYFORMULA(TRIM('indice columnas'!$A$2:$A$100)),'indice columnas'!$B$2:$B$100,""""),
col,IFERROR(MATCH(campo,Referencia!$A$1:$AZ$1,0),0),
fila,IFERROR(MATCH(TO_TEXT(D3085),ARRAYFOR"&amp;"MULA(TO_TEXT(Referencia!$A$2:$A6238)),0),0),
IF(OR(campo="""",campo=""-""),""NO APLICA"",
IF(col=0,""REVISAR EQUIVALENCIA"",
IF(fila=0,""SKU NO ENCONTRADO"",
LET(
valor,INDEX(Referencia!$A$2:$AZ6238,fila,col),
IF(TRIM(TO_TEXT(valor))=TRIM(TO_TEXT(I3085)),"&amp;"
""OK"",
""NO COINCIDE. Valor verdadero: ""&amp;IF(valor="""",""[VACÍO]"",TO_TEXT(valor))
)
))))
),""ERROR EN FÓRMULA""))"),"REVISAR EQUIVALENCIA")</f>
        <v>REVISAR EQUIVALENCIA</v>
      </c>
    </row>
    <row r="3086">
      <c r="A3086" s="83" t="s">
        <v>4854</v>
      </c>
      <c r="B3086" s="83" t="s">
        <v>4855</v>
      </c>
      <c r="C3086" s="81" t="s">
        <v>4621</v>
      </c>
      <c r="D3086" s="83" t="s">
        <v>4869</v>
      </c>
      <c r="E3086" s="81" t="s">
        <v>4032</v>
      </c>
      <c r="F3086" s="84">
        <v>805.0</v>
      </c>
      <c r="G3086" s="81" t="s">
        <v>37</v>
      </c>
      <c r="H3086" s="81" t="s">
        <v>224</v>
      </c>
      <c r="I3086" s="81" t="s">
        <v>720</v>
      </c>
      <c r="J3086" s="81" t="s">
        <v>224</v>
      </c>
      <c r="K3086" s="81" t="str">
        <f>IFERROR(__xludf.DUMMYFUNCTION("IF(OR(D3086="""",G3086=""""),"""",IFERROR(LET(
campo,XLOOKUP(TRIM(G3086),ARRAYFORMULA(TRIM('indice columnas'!$A$2:$A$100)),'indice columnas'!$B$2:$B$100,""""),
col,IFERROR(MATCH(campo,Referencia!$A$1:$AZ$1,0),0),
fila,IFERROR(MATCH(TO_TEXT(D3086),ARRAYFOR"&amp;"MULA(TO_TEXT(Referencia!$A$2:$A6238)),0),0),
IF(OR(campo="""",campo=""-""),""NO APLICA"",
IF(col=0,""REVISAR EQUIVALENCIA"",
IF(fila=0,""SKU NO ENCONTRADO"",
LET(
valor,INDEX(Referencia!$A$2:$AZ6238,fila,col),
IF(TRIM(TO_TEXT(valor))=TRIM(TO_TEXT(I3086)),"&amp;"
""OK"",
""NO COINCIDE. Valor verdadero: ""&amp;IF(valor="""",""[VACÍO]"",TO_TEXT(valor))
)
))))
),""ERROR EN FÓRMULA""))"),"OK")</f>
        <v>OK</v>
      </c>
    </row>
    <row r="3087">
      <c r="A3087" s="83" t="s">
        <v>4854</v>
      </c>
      <c r="B3087" s="83" t="s">
        <v>4855</v>
      </c>
      <c r="C3087" s="81" t="s">
        <v>4621</v>
      </c>
      <c r="D3087" s="83" t="s">
        <v>4869</v>
      </c>
      <c r="E3087" s="81" t="s">
        <v>4032</v>
      </c>
      <c r="F3087" s="84">
        <v>805.0</v>
      </c>
      <c r="G3087" s="81" t="s">
        <v>41</v>
      </c>
      <c r="H3087" s="81" t="s">
        <v>224</v>
      </c>
      <c r="I3087" s="81" t="s">
        <v>4027</v>
      </c>
      <c r="J3087" s="81" t="s">
        <v>224</v>
      </c>
      <c r="K3087" s="81" t="str">
        <f>IFERROR(__xludf.DUMMYFUNCTION("IF(OR(D3087="""",G3087=""""),"""",IFERROR(LET(
campo,XLOOKUP(TRIM(G3087),ARRAYFORMULA(TRIM('indice columnas'!$A$2:$A$100)),'indice columnas'!$B$2:$B$100,""""),
col,IFERROR(MATCH(campo,Referencia!$A$1:$AZ$1,0),0),
fila,IFERROR(MATCH(TO_TEXT(D3087),ARRAYFOR"&amp;"MULA(TO_TEXT(Referencia!$A$2:$A6238)),0),0),
IF(OR(campo="""",campo=""-""),""NO APLICA"",
IF(col=0,""REVISAR EQUIVALENCIA"",
IF(fila=0,""SKU NO ENCONTRADO"",
LET(
valor,INDEX(Referencia!$A$2:$AZ6238,fila,col),
IF(TRIM(TO_TEXT(valor))=TRIM(TO_TEXT(I3087)),"&amp;"
""OK"",
""NO COINCIDE. Valor verdadero: ""&amp;IF(valor="""",""[VACÍO]"",TO_TEXT(valor))
)
))))
),""ERROR EN FÓRMULA""))"),"REVISAR EQUIVALENCIA")</f>
        <v>REVISAR EQUIVALENCIA</v>
      </c>
    </row>
    <row r="3088">
      <c r="A3088" s="83" t="s">
        <v>4854</v>
      </c>
      <c r="B3088" s="83" t="s">
        <v>4855</v>
      </c>
      <c r="C3088" s="81" t="s">
        <v>4621</v>
      </c>
      <c r="D3088" s="83" t="s">
        <v>4870</v>
      </c>
      <c r="E3088" s="81" t="s">
        <v>4037</v>
      </c>
      <c r="F3088" s="84">
        <v>806.0</v>
      </c>
      <c r="G3088" s="81" t="s">
        <v>10</v>
      </c>
      <c r="H3088" s="81" t="s">
        <v>224</v>
      </c>
      <c r="I3088" s="81" t="s">
        <v>1534</v>
      </c>
      <c r="J3088" s="81" t="s">
        <v>224</v>
      </c>
      <c r="K3088" s="81" t="str">
        <f>IFERROR(__xludf.DUMMYFUNCTION("IF(OR(D3088="""",G3088=""""),"""",IFERROR(LET(
campo,XLOOKUP(TRIM(G3088),ARRAYFORMULA(TRIM('indice columnas'!$A$2:$A$100)),'indice columnas'!$B$2:$B$100,""""),
col,IFERROR(MATCH(campo,Referencia!$A$1:$AZ$1,0),0),
fila,IFERROR(MATCH(TO_TEXT(D3088),ARRAYFOR"&amp;"MULA(TO_TEXT(Referencia!$A$2:$A6238)),0),0),
IF(OR(campo="""",campo=""-""),""NO APLICA"",
IF(col=0,""REVISAR EQUIVALENCIA"",
IF(fila=0,""SKU NO ENCONTRADO"",
LET(
valor,INDEX(Referencia!$A$2:$AZ6238,fila,col),
IF(TRIM(TO_TEXT(valor))=TRIM(TO_TEXT(I3088)),"&amp;"
""OK"",
""NO COINCIDE. Valor verdadero: ""&amp;IF(valor="""",""[VACÍO]"",TO_TEXT(valor))
)
))))
),""ERROR EN FÓRMULA""))"),"OK")</f>
        <v>OK</v>
      </c>
    </row>
    <row r="3089">
      <c r="A3089" s="83" t="s">
        <v>4854</v>
      </c>
      <c r="B3089" s="83" t="s">
        <v>4855</v>
      </c>
      <c r="C3089" s="81" t="s">
        <v>4621</v>
      </c>
      <c r="D3089" s="83" t="s">
        <v>4870</v>
      </c>
      <c r="E3089" s="81" t="s">
        <v>4037</v>
      </c>
      <c r="F3089" s="84">
        <v>806.0</v>
      </c>
      <c r="G3089" s="81" t="s">
        <v>11</v>
      </c>
      <c r="H3089" s="81" t="s">
        <v>224</v>
      </c>
      <c r="I3089" s="81" t="s">
        <v>1403</v>
      </c>
      <c r="J3089" s="81" t="s">
        <v>224</v>
      </c>
      <c r="K3089" s="81" t="str">
        <f>IFERROR(__xludf.DUMMYFUNCTION("IF(OR(D3089="""",G3089=""""),"""",IFERROR(LET(
campo,XLOOKUP(TRIM(G3089),ARRAYFORMULA(TRIM('indice columnas'!$A$2:$A$100)),'indice columnas'!$B$2:$B$100,""""),
col,IFERROR(MATCH(campo,Referencia!$A$1:$AZ$1,0),0),
fila,IFERROR(MATCH(TO_TEXT(D3089),ARRAYFOR"&amp;"MULA(TO_TEXT(Referencia!$A$2:$A6238)),0),0),
IF(OR(campo="""",campo=""-""),""NO APLICA"",
IF(col=0,""REVISAR EQUIVALENCIA"",
IF(fila=0,""SKU NO ENCONTRADO"",
LET(
valor,INDEX(Referencia!$A$2:$AZ6238,fila,col),
IF(TRIM(TO_TEXT(valor))=TRIM(TO_TEXT(I3089)),"&amp;"
""OK"",
""NO COINCIDE. Valor verdadero: ""&amp;IF(valor="""",""[VACÍO]"",TO_TEXT(valor))
)
))))
),""ERROR EN FÓRMULA""))"),"OK")</f>
        <v>OK</v>
      </c>
    </row>
    <row r="3090">
      <c r="A3090" s="83" t="s">
        <v>4854</v>
      </c>
      <c r="B3090" s="83" t="s">
        <v>4855</v>
      </c>
      <c r="C3090" s="81" t="s">
        <v>4621</v>
      </c>
      <c r="D3090" s="83" t="s">
        <v>4870</v>
      </c>
      <c r="E3090" s="81" t="s">
        <v>4037</v>
      </c>
      <c r="F3090" s="84">
        <v>806.0</v>
      </c>
      <c r="G3090" s="81" t="s">
        <v>12</v>
      </c>
      <c r="H3090" s="81" t="s">
        <v>224</v>
      </c>
      <c r="I3090" s="81" t="s">
        <v>1549</v>
      </c>
      <c r="J3090" s="81" t="s">
        <v>224</v>
      </c>
      <c r="K3090" s="81" t="str">
        <f>IFERROR(__xludf.DUMMYFUNCTION("IF(OR(D3090="""",G3090=""""),"""",IFERROR(LET(
campo,XLOOKUP(TRIM(G3090),ARRAYFORMULA(TRIM('indice columnas'!$A$2:$A$100)),'indice columnas'!$B$2:$B$100,""""),
col,IFERROR(MATCH(campo,Referencia!$A$1:$AZ$1,0),0),
fila,IFERROR(MATCH(TO_TEXT(D3090),ARRAYFOR"&amp;"MULA(TO_TEXT(Referencia!$A$2:$A6238)),0),0),
IF(OR(campo="""",campo=""-""),""NO APLICA"",
IF(col=0,""REVISAR EQUIVALENCIA"",
IF(fila=0,""SKU NO ENCONTRADO"",
LET(
valor,INDEX(Referencia!$A$2:$AZ6238,fila,col),
IF(TRIM(TO_TEXT(valor))=TRIM(TO_TEXT(I3090)),"&amp;"
""OK"",
""NO COINCIDE. Valor verdadero: ""&amp;IF(valor="""",""[VACÍO]"",TO_TEXT(valor))
)
))))
),""ERROR EN FÓRMULA""))"),"OK")</f>
        <v>OK</v>
      </c>
    </row>
    <row r="3091">
      <c r="A3091" s="83" t="s">
        <v>4854</v>
      </c>
      <c r="B3091" s="83" t="s">
        <v>4855</v>
      </c>
      <c r="C3091" s="81" t="s">
        <v>4621</v>
      </c>
      <c r="D3091" s="83" t="s">
        <v>4870</v>
      </c>
      <c r="E3091" s="81" t="s">
        <v>4037</v>
      </c>
      <c r="F3091" s="84">
        <v>806.0</v>
      </c>
      <c r="G3091" s="81" t="s">
        <v>13</v>
      </c>
      <c r="H3091" s="81" t="s">
        <v>224</v>
      </c>
      <c r="I3091" s="81" t="s">
        <v>85</v>
      </c>
      <c r="J3091" s="81" t="s">
        <v>224</v>
      </c>
      <c r="K3091" s="81" t="str">
        <f>IFERROR(__xludf.DUMMYFUNCTION("IF(OR(D3091="""",G3091=""""),"""",IFERROR(LET(
campo,XLOOKUP(TRIM(G3091),ARRAYFORMULA(TRIM('indice columnas'!$A$2:$A$100)),'indice columnas'!$B$2:$B$100,""""),
col,IFERROR(MATCH(campo,Referencia!$A$1:$AZ$1,0),0),
fila,IFERROR(MATCH(TO_TEXT(D3091),ARRAYFOR"&amp;"MULA(TO_TEXT(Referencia!$A$2:$A6238)),0),0),
IF(OR(campo="""",campo=""-""),""NO APLICA"",
IF(col=0,""REVISAR EQUIVALENCIA"",
IF(fila=0,""SKU NO ENCONTRADO"",
LET(
valor,INDEX(Referencia!$A$2:$AZ6238,fila,col),
IF(TRIM(TO_TEXT(valor))=TRIM(TO_TEXT(I3091)),"&amp;"
""OK"",
""NO COINCIDE. Valor verdadero: ""&amp;IF(valor="""",""[VACÍO]"",TO_TEXT(valor))
)
))))
),""ERROR EN FÓRMULA""))"),"OK")</f>
        <v>OK</v>
      </c>
    </row>
    <row r="3092">
      <c r="A3092" s="83" t="s">
        <v>4854</v>
      </c>
      <c r="B3092" s="83" t="s">
        <v>4855</v>
      </c>
      <c r="C3092" s="81" t="s">
        <v>4621</v>
      </c>
      <c r="D3092" s="83" t="s">
        <v>4870</v>
      </c>
      <c r="E3092" s="81" t="s">
        <v>4037</v>
      </c>
      <c r="F3092" s="84">
        <v>806.0</v>
      </c>
      <c r="G3092" s="81" t="s">
        <v>14</v>
      </c>
      <c r="H3092" s="81" t="s">
        <v>224</v>
      </c>
      <c r="I3092" s="81" t="s">
        <v>56</v>
      </c>
      <c r="J3092" s="81" t="s">
        <v>224</v>
      </c>
      <c r="K3092" s="81" t="str">
        <f>IFERROR(__xludf.DUMMYFUNCTION("IF(OR(D3092="""",G3092=""""),"""",IFERROR(LET(
campo,XLOOKUP(TRIM(G3092),ARRAYFORMULA(TRIM('indice columnas'!$A$2:$A$100)),'indice columnas'!$B$2:$B$100,""""),
col,IFERROR(MATCH(campo,Referencia!$A$1:$AZ$1,0),0),
fila,IFERROR(MATCH(TO_TEXT(D3092),ARRAYFOR"&amp;"MULA(TO_TEXT(Referencia!$A$2:$A6238)),0),0),
IF(OR(campo="""",campo=""-""),""NO APLICA"",
IF(col=0,""REVISAR EQUIVALENCIA"",
IF(fila=0,""SKU NO ENCONTRADO"",
LET(
valor,INDEX(Referencia!$A$2:$AZ6238,fila,col),
IF(TRIM(TO_TEXT(valor))=TRIM(TO_TEXT(I3092)),"&amp;"
""OK"",
""NO COINCIDE. Valor verdadero: ""&amp;IF(valor="""",""[VACÍO]"",TO_TEXT(valor))
)
))))
),""ERROR EN FÓRMULA""))"),"NO COINCIDE. Valor verdadero: 220-240")</f>
        <v>NO COINCIDE. Valor verdadero: 220-240</v>
      </c>
    </row>
    <row r="3093">
      <c r="A3093" s="83" t="s">
        <v>4854</v>
      </c>
      <c r="B3093" s="83" t="s">
        <v>4855</v>
      </c>
      <c r="C3093" s="81" t="s">
        <v>4621</v>
      </c>
      <c r="D3093" s="83" t="s">
        <v>4870</v>
      </c>
      <c r="E3093" s="81" t="s">
        <v>4037</v>
      </c>
      <c r="F3093" s="84">
        <v>806.0</v>
      </c>
      <c r="G3093" s="81" t="s">
        <v>15</v>
      </c>
      <c r="H3093" s="81" t="s">
        <v>224</v>
      </c>
      <c r="I3093" s="81" t="s">
        <v>57</v>
      </c>
      <c r="J3093" s="81" t="s">
        <v>224</v>
      </c>
      <c r="K3093" s="81" t="str">
        <f>IFERROR(__xludf.DUMMYFUNCTION("IF(OR(D3093="""",G3093=""""),"""",IFERROR(LET(
campo,XLOOKUP(TRIM(G3093),ARRAYFORMULA(TRIM('indice columnas'!$A$2:$A$100)),'indice columnas'!$B$2:$B$100,""""),
col,IFERROR(MATCH(campo,Referencia!$A$1:$AZ$1,0),0),
fila,IFERROR(MATCH(TO_TEXT(D3093),ARRAYFOR"&amp;"MULA(TO_TEXT(Referencia!$A$2:$A6238)),0),0),
IF(OR(campo="""",campo=""-""),""NO APLICA"",
IF(col=0,""REVISAR EQUIVALENCIA"",
IF(fila=0,""SKU NO ENCONTRADO"",
LET(
valor,INDEX(Referencia!$A$2:$AZ6238,fila,col),
IF(TRIM(TO_TEXT(valor))=TRIM(TO_TEXT(I3093)),"&amp;"
""OK"",
""NO COINCIDE. Valor verdadero: ""&amp;IF(valor="""",""[VACÍO]"",TO_TEXT(valor))
)
))))
),""ERROR EN FÓRMULA""))"),"NO COINCIDE. Valor verdadero: 50/60")</f>
        <v>NO COINCIDE. Valor verdadero: 50/60</v>
      </c>
    </row>
    <row r="3094">
      <c r="A3094" s="83" t="s">
        <v>4854</v>
      </c>
      <c r="B3094" s="83" t="s">
        <v>4855</v>
      </c>
      <c r="C3094" s="81" t="s">
        <v>4621</v>
      </c>
      <c r="D3094" s="83" t="s">
        <v>4870</v>
      </c>
      <c r="E3094" s="81" t="s">
        <v>4037</v>
      </c>
      <c r="F3094" s="84">
        <v>806.0</v>
      </c>
      <c r="G3094" s="81" t="s">
        <v>16</v>
      </c>
      <c r="H3094" s="81" t="s">
        <v>224</v>
      </c>
      <c r="I3094" s="81" t="s">
        <v>334</v>
      </c>
      <c r="J3094" s="81" t="s">
        <v>224</v>
      </c>
      <c r="K3094" s="81" t="str">
        <f>IFERROR(__xludf.DUMMYFUNCTION("IF(OR(D3094="""",G3094=""""),"""",IFERROR(LET(
campo,XLOOKUP(TRIM(G3094),ARRAYFORMULA(TRIM('indice columnas'!$A$2:$A$100)),'indice columnas'!$B$2:$B$100,""""),
col,IFERROR(MATCH(campo,Referencia!$A$1:$AZ$1,0),0),
fila,IFERROR(MATCH(TO_TEXT(D3094),ARRAYFOR"&amp;"MULA(TO_TEXT(Referencia!$A$2:$A6238)),0),0),
IF(OR(campo="""",campo=""-""),""NO APLICA"",
IF(col=0,""REVISAR EQUIVALENCIA"",
IF(fila=0,""SKU NO ENCONTRADO"",
LET(
valor,INDEX(Referencia!$A$2:$AZ6238,fila,col),
IF(TRIM(TO_TEXT(valor))=TRIM(TO_TEXT(I3094)),"&amp;"
""OK"",
""NO COINCIDE. Valor verdadero: ""&amp;IF(valor="""",""[VACÍO]"",TO_TEXT(valor))
)
))))
),""ERROR EN FÓRMULA""))"),"NO COINCIDE. Valor verdadero: 5")</f>
        <v>NO COINCIDE. Valor verdadero: 5</v>
      </c>
    </row>
    <row r="3095">
      <c r="A3095" s="83" t="s">
        <v>4854</v>
      </c>
      <c r="B3095" s="83" t="s">
        <v>4855</v>
      </c>
      <c r="C3095" s="81" t="s">
        <v>4621</v>
      </c>
      <c r="D3095" s="83" t="s">
        <v>4870</v>
      </c>
      <c r="E3095" s="81" t="s">
        <v>4037</v>
      </c>
      <c r="F3095" s="84">
        <v>806.0</v>
      </c>
      <c r="G3095" s="81" t="s">
        <v>17</v>
      </c>
      <c r="H3095" s="81" t="s">
        <v>224</v>
      </c>
      <c r="I3095" s="83" t="s">
        <v>4038</v>
      </c>
      <c r="J3095" s="81" t="s">
        <v>224</v>
      </c>
      <c r="K3095" s="81" t="str">
        <f>IFERROR(__xludf.DUMMYFUNCTION("IF(OR(D3095="""",G3095=""""),"""",IFERROR(LET(
campo,XLOOKUP(TRIM(G3095),ARRAYFORMULA(TRIM('indice columnas'!$A$2:$A$100)),'indice columnas'!$B$2:$B$100,""""),
col,IFERROR(MATCH(campo,Referencia!$A$1:$AZ$1,0),0),
fila,IFERROR(MATCH(TO_TEXT(D3095),ARRAYFOR"&amp;"MULA(TO_TEXT(Referencia!$A$2:$A6238)),0),0),
IF(OR(campo="""",campo=""-""),""NO APLICA"",
IF(col=0,""REVISAR EQUIVALENCIA"",
IF(fila=0,""SKU NO ENCONTRADO"",
LET(
valor,INDEX(Referencia!$A$2:$AZ6238,fila,col),
IF(TRIM(TO_TEXT(valor))=TRIM(TO_TEXT(I3095)),"&amp;"
""OK"",
""NO COINCIDE. Valor verdadero: ""&amp;IF(valor="""",""[VACÍO]"",TO_TEXT(valor))
)
))))
),""ERROR EN FÓRMULA""))"),"OK")</f>
        <v>OK</v>
      </c>
    </row>
    <row r="3096">
      <c r="A3096" s="83" t="s">
        <v>4854</v>
      </c>
      <c r="B3096" s="83" t="s">
        <v>4855</v>
      </c>
      <c r="C3096" s="81" t="s">
        <v>4621</v>
      </c>
      <c r="D3096" s="83" t="s">
        <v>4870</v>
      </c>
      <c r="E3096" s="81" t="s">
        <v>4037</v>
      </c>
      <c r="F3096" s="84">
        <v>806.0</v>
      </c>
      <c r="G3096" s="81" t="s">
        <v>18</v>
      </c>
      <c r="H3096" s="81" t="s">
        <v>224</v>
      </c>
      <c r="I3096" s="81" t="s">
        <v>49</v>
      </c>
      <c r="J3096" s="81" t="s">
        <v>224</v>
      </c>
      <c r="K3096" s="81" t="str">
        <f>IFERROR(__xludf.DUMMYFUNCTION("IF(OR(D3096="""",G3096=""""),"""",IFERROR(LET(
campo,XLOOKUP(TRIM(G3096),ARRAYFORMULA(TRIM('indice columnas'!$A$2:$A$100)),'indice columnas'!$B$2:$B$100,""""),
col,IFERROR(MATCH(campo,Referencia!$A$1:$AZ$1,0),0),
fila,IFERROR(MATCH(TO_TEXT(D3096),ARRAYFOR"&amp;"MULA(TO_TEXT(Referencia!$A$2:$A6238)),0),0),
IF(OR(campo="""",campo=""-""),""NO APLICA"",
IF(col=0,""REVISAR EQUIVALENCIA"",
IF(fila=0,""SKU NO ENCONTRADO"",
LET(
valor,INDEX(Referencia!$A$2:$AZ6238,fila,col),
IF(TRIM(TO_TEXT(valor))=TRIM(TO_TEXT(I3096)),"&amp;"
""OK"",
""NO COINCIDE. Valor verdadero: ""&amp;IF(valor="""",""[VACÍO]"",TO_TEXT(valor))
)
))))
),""ERROR EN FÓRMULA""))"),"OK")</f>
        <v>OK</v>
      </c>
    </row>
    <row r="3097">
      <c r="A3097" s="83" t="s">
        <v>4854</v>
      </c>
      <c r="B3097" s="83" t="s">
        <v>4855</v>
      </c>
      <c r="C3097" s="81" t="s">
        <v>4621</v>
      </c>
      <c r="D3097" s="83" t="s">
        <v>4870</v>
      </c>
      <c r="E3097" s="81" t="s">
        <v>4037</v>
      </c>
      <c r="F3097" s="84">
        <v>806.0</v>
      </c>
      <c r="G3097" s="81" t="s">
        <v>19</v>
      </c>
      <c r="H3097" s="81" t="s">
        <v>224</v>
      </c>
      <c r="I3097" s="81" t="s">
        <v>49</v>
      </c>
      <c r="J3097" s="81" t="s">
        <v>224</v>
      </c>
      <c r="K3097" s="81" t="str">
        <f>IFERROR(__xludf.DUMMYFUNCTION("IF(OR(D3097="""",G3097=""""),"""",IFERROR(LET(
campo,XLOOKUP(TRIM(G3097),ARRAYFORMULA(TRIM('indice columnas'!$A$2:$A$100)),'indice columnas'!$B$2:$B$100,""""),
col,IFERROR(MATCH(campo,Referencia!$A$1:$AZ$1,0),0),
fila,IFERROR(MATCH(TO_TEXT(D3097),ARRAYFOR"&amp;"MULA(TO_TEXT(Referencia!$A$2:$A6238)),0),0),
IF(OR(campo="""",campo=""-""),""NO APLICA"",
IF(col=0,""REVISAR EQUIVALENCIA"",
IF(fila=0,""SKU NO ENCONTRADO"",
LET(
valor,INDEX(Referencia!$A$2:$AZ6238,fila,col),
IF(TRIM(TO_TEXT(valor))=TRIM(TO_TEXT(I3097)),"&amp;"
""OK"",
""NO COINCIDE. Valor verdadero: ""&amp;IF(valor="""",""[VACÍO]"",TO_TEXT(valor))
)
))))
),""ERROR EN FÓRMULA""))"),"OK")</f>
        <v>OK</v>
      </c>
    </row>
    <row r="3098">
      <c r="A3098" s="83" t="s">
        <v>4854</v>
      </c>
      <c r="B3098" s="83" t="s">
        <v>4855</v>
      </c>
      <c r="C3098" s="81" t="s">
        <v>4621</v>
      </c>
      <c r="D3098" s="83" t="s">
        <v>4870</v>
      </c>
      <c r="E3098" s="81" t="s">
        <v>4037</v>
      </c>
      <c r="F3098" s="84">
        <v>806.0</v>
      </c>
      <c r="G3098" s="81" t="s">
        <v>20</v>
      </c>
      <c r="H3098" s="81" t="s">
        <v>224</v>
      </c>
      <c r="I3098" s="81" t="s">
        <v>4039</v>
      </c>
      <c r="J3098" s="81" t="s">
        <v>224</v>
      </c>
      <c r="K3098" s="81" t="str">
        <f>IFERROR(__xludf.DUMMYFUNCTION("IF(OR(D3098="""",G3098=""""),"""",IFERROR(LET(
campo,XLOOKUP(TRIM(G3098),ARRAYFORMULA(TRIM('indice columnas'!$A$2:$A$100)),'indice columnas'!$B$2:$B$100,""""),
col,IFERROR(MATCH(campo,Referencia!$A$1:$AZ$1,0),0),
fila,IFERROR(MATCH(TO_TEXT(D3098),ARRAYFOR"&amp;"MULA(TO_TEXT(Referencia!$A$2:$A6238)),0),0),
IF(OR(campo="""",campo=""-""),""NO APLICA"",
IF(col=0,""REVISAR EQUIVALENCIA"",
IF(fila=0,""SKU NO ENCONTRADO"",
LET(
valor,INDEX(Referencia!$A$2:$AZ6238,fila,col),
IF(TRIM(TO_TEXT(valor))=TRIM(TO_TEXT(I3098)),"&amp;"
""OK"",
""NO COINCIDE. Valor verdadero: ""&amp;IF(valor="""",""[VACÍO]"",TO_TEXT(valor))
)
))))
),""ERROR EN FÓRMULA""))"),"NO COINCIDE. Valor verdadero: 85")</f>
        <v>NO COINCIDE. Valor verdadero: 85</v>
      </c>
    </row>
    <row r="3099">
      <c r="A3099" s="83" t="s">
        <v>4854</v>
      </c>
      <c r="B3099" s="83" t="s">
        <v>4855</v>
      </c>
      <c r="C3099" s="81" t="s">
        <v>4621</v>
      </c>
      <c r="D3099" s="83" t="s">
        <v>4870</v>
      </c>
      <c r="E3099" s="81" t="s">
        <v>4037</v>
      </c>
      <c r="F3099" s="84">
        <v>806.0</v>
      </c>
      <c r="G3099" s="81" t="s">
        <v>21</v>
      </c>
      <c r="H3099" s="81" t="s">
        <v>224</v>
      </c>
      <c r="I3099" s="81" t="s">
        <v>4040</v>
      </c>
      <c r="J3099" s="81" t="s">
        <v>224</v>
      </c>
      <c r="K3099" s="81" t="str">
        <f>IFERROR(__xludf.DUMMYFUNCTION("IF(OR(D3099="""",G3099=""""),"""",IFERROR(LET(
campo,XLOOKUP(TRIM(G3099),ARRAYFORMULA(TRIM('indice columnas'!$A$2:$A$100)),'indice columnas'!$B$2:$B$100,""""),
col,IFERROR(MATCH(campo,Referencia!$A$1:$AZ$1,0),0),
fila,IFERROR(MATCH(TO_TEXT(D3099),ARRAYFOR"&amp;"MULA(TO_TEXT(Referencia!$A$2:$A6238)),0),0),
IF(OR(campo="""",campo=""-""),""NO APLICA"",
IF(col=0,""REVISAR EQUIVALENCIA"",
IF(fila=0,""SKU NO ENCONTRADO"",
LET(
valor,INDEX(Referencia!$A$2:$AZ6238,fila,col),
IF(TRIM(TO_TEXT(valor))=TRIM(TO_TEXT(I3099)),"&amp;"
""OK"",
""NO COINCIDE. Valor verdadero: ""&amp;IF(valor="""",""[VACÍO]"",TO_TEXT(valor))
)
))))
),""ERROR EN FÓRMULA""))"),"NO COINCIDE. Valor verdadero: 17")</f>
        <v>NO COINCIDE. Valor verdadero: 17</v>
      </c>
    </row>
    <row r="3100">
      <c r="A3100" s="83" t="s">
        <v>4854</v>
      </c>
      <c r="B3100" s="83" t="s">
        <v>4855</v>
      </c>
      <c r="C3100" s="81" t="s">
        <v>4621</v>
      </c>
      <c r="D3100" s="83" t="s">
        <v>4870</v>
      </c>
      <c r="E3100" s="81" t="s">
        <v>4037</v>
      </c>
      <c r="F3100" s="84">
        <v>806.0</v>
      </c>
      <c r="G3100" s="81" t="s">
        <v>22</v>
      </c>
      <c r="H3100" s="81" t="s">
        <v>224</v>
      </c>
      <c r="I3100" s="81" t="s">
        <v>89</v>
      </c>
      <c r="J3100" s="81" t="s">
        <v>224</v>
      </c>
      <c r="K3100" s="81" t="str">
        <f>IFERROR(__xludf.DUMMYFUNCTION("IF(OR(D3100="""",G3100=""""),"""",IFERROR(LET(
campo,XLOOKUP(TRIM(G3100),ARRAYFORMULA(TRIM('indice columnas'!$A$2:$A$100)),'indice columnas'!$B$2:$B$100,""""),
col,IFERROR(MATCH(campo,Referencia!$A$1:$AZ$1,0),0),
fila,IFERROR(MATCH(TO_TEXT(D3100),ARRAYFOR"&amp;"MULA(TO_TEXT(Referencia!$A$2:$A6238)),0),0),
IF(OR(campo="""",campo=""-""),""NO APLICA"",
IF(col=0,""REVISAR EQUIVALENCIA"",
IF(fila=0,""SKU NO ENCONTRADO"",
LET(
valor,INDEX(Referencia!$A$2:$AZ6238,fila,col),
IF(TRIM(TO_TEXT(valor))=TRIM(TO_TEXT(I3100)),"&amp;"
""OK"",
""NO COINCIDE. Valor verdadero: ""&amp;IF(valor="""",""[VACÍO]"",TO_TEXT(valor))
)
))))
),""ERROR EN FÓRMULA""))"),"NO COINCIDE. Valor verdadero: 3000")</f>
        <v>NO COINCIDE. Valor verdadero: 3000</v>
      </c>
    </row>
    <row r="3101">
      <c r="A3101" s="83" t="s">
        <v>4854</v>
      </c>
      <c r="B3101" s="83" t="s">
        <v>4855</v>
      </c>
      <c r="C3101" s="81" t="s">
        <v>4621</v>
      </c>
      <c r="D3101" s="83" t="s">
        <v>4870</v>
      </c>
      <c r="E3101" s="81" t="s">
        <v>4037</v>
      </c>
      <c r="F3101" s="84">
        <v>806.0</v>
      </c>
      <c r="G3101" s="81" t="s">
        <v>23</v>
      </c>
      <c r="H3101" s="81" t="s">
        <v>224</v>
      </c>
      <c r="I3101" s="81" t="s">
        <v>1797</v>
      </c>
      <c r="J3101" s="81" t="s">
        <v>224</v>
      </c>
      <c r="K3101" s="81" t="str">
        <f>IFERROR(__xludf.DUMMYFUNCTION("IF(OR(D3101="""",G3101=""""),"""",IFERROR(LET(
campo,XLOOKUP(TRIM(G3101),ARRAYFORMULA(TRIM('indice columnas'!$A$2:$A$100)),'indice columnas'!$B$2:$B$100,""""),
col,IFERROR(MATCH(campo,Referencia!$A$1:$AZ$1,0),0),
fila,IFERROR(MATCH(TO_TEXT(D3101),ARRAYFOR"&amp;"MULA(TO_TEXT(Referencia!$A$2:$A6238)),0),0),
IF(OR(campo="""",campo=""-""),""NO APLICA"",
IF(col=0,""REVISAR EQUIVALENCIA"",
IF(fila=0,""SKU NO ENCONTRADO"",
LET(
valor,INDEX(Referencia!$A$2:$AZ6238,fila,col),
IF(TRIM(TO_TEXT(valor))=TRIM(TO_TEXT(I3101)),"&amp;"
""OK"",
""NO COINCIDE. Valor verdadero: ""&amp;IF(valor="""",""[VACÍO]"",TO_TEXT(valor))
)
))))
),""ERROR EN FÓRMULA""))"),"OK")</f>
        <v>OK</v>
      </c>
    </row>
    <row r="3102">
      <c r="A3102" s="83" t="s">
        <v>4854</v>
      </c>
      <c r="B3102" s="83" t="s">
        <v>4855</v>
      </c>
      <c r="C3102" s="81" t="s">
        <v>4621</v>
      </c>
      <c r="D3102" s="83" t="s">
        <v>4870</v>
      </c>
      <c r="E3102" s="81" t="s">
        <v>4037</v>
      </c>
      <c r="F3102" s="84">
        <v>806.0</v>
      </c>
      <c r="G3102" s="81" t="s">
        <v>24</v>
      </c>
      <c r="H3102" s="81" t="s">
        <v>224</v>
      </c>
      <c r="I3102" s="81" t="s">
        <v>4041</v>
      </c>
      <c r="J3102" s="81" t="s">
        <v>224</v>
      </c>
      <c r="K3102" s="81" t="str">
        <f>IFERROR(__xludf.DUMMYFUNCTION("IF(OR(D3102="""",G3102=""""),"""",IFERROR(LET(
campo,XLOOKUP(TRIM(G3102),ARRAYFORMULA(TRIM('indice columnas'!$A$2:$A$100)),'indice columnas'!$B$2:$B$100,""""),
col,IFERROR(MATCH(campo,Referencia!$A$1:$AZ$1,0),0),
fila,IFERROR(MATCH(TO_TEXT(D3102),ARRAYFOR"&amp;"MULA(TO_TEXT(Referencia!$A$2:$A6238)),0),0),
IF(OR(campo="""",campo=""-""),""NO APLICA"",
IF(col=0,""REVISAR EQUIVALENCIA"",
IF(fila=0,""SKU NO ENCONTRADO"",
LET(
valor,INDEX(Referencia!$A$2:$AZ6238,fila,col),
IF(TRIM(TO_TEXT(valor))=TRIM(TO_TEXT(I3102)),"&amp;"
""OK"",
""NO COINCIDE. Valor verdadero: ""&amp;IF(valor="""",""[VACÍO]"",TO_TEXT(valor))
)
))))
),""ERROR EN FÓRMULA""))"),"NO COINCIDE. Valor verdadero: 175")</f>
        <v>NO COINCIDE. Valor verdadero: 175</v>
      </c>
    </row>
    <row r="3103">
      <c r="A3103" s="83" t="s">
        <v>4854</v>
      </c>
      <c r="B3103" s="83" t="s">
        <v>4855</v>
      </c>
      <c r="C3103" s="81" t="s">
        <v>4621</v>
      </c>
      <c r="D3103" s="83" t="s">
        <v>4870</v>
      </c>
      <c r="E3103" s="81" t="s">
        <v>4037</v>
      </c>
      <c r="F3103" s="84">
        <v>806.0</v>
      </c>
      <c r="G3103" s="81" t="s">
        <v>25</v>
      </c>
      <c r="H3103" s="81" t="s">
        <v>224</v>
      </c>
      <c r="I3103" s="81" t="s">
        <v>55</v>
      </c>
      <c r="J3103" s="81" t="s">
        <v>224</v>
      </c>
      <c r="K3103" s="81" t="str">
        <f>IFERROR(__xludf.DUMMYFUNCTION("IF(OR(D3103="""",G3103=""""),"""",IFERROR(LET(
campo,XLOOKUP(TRIM(G3103),ARRAYFORMULA(TRIM('indice columnas'!$A$2:$A$100)),'indice columnas'!$B$2:$B$100,""""),
col,IFERROR(MATCH(campo,Referencia!$A$1:$AZ$1,0),0),
fila,IFERROR(MATCH(TO_TEXT(D3103),ARRAYFOR"&amp;"MULA(TO_TEXT(Referencia!$A$2:$A6238)),0),0),
IF(OR(campo="""",campo=""-""),""NO APLICA"",
IF(col=0,""REVISAR EQUIVALENCIA"",
IF(fila=0,""SKU NO ENCONTRADO"",
LET(
valor,INDEX(Referencia!$A$2:$AZ6238,fila,col),
IF(TRIM(TO_TEXT(valor))=TRIM(TO_TEXT(I3103)),"&amp;"
""OK"",
""NO COINCIDE. Valor verdadero: ""&amp;IF(valor="""",""[VACÍO]"",TO_TEXT(valor))
)
))))
),""ERROR EN FÓRMULA""))"),"OK")</f>
        <v>OK</v>
      </c>
    </row>
    <row r="3104">
      <c r="A3104" s="83" t="s">
        <v>4854</v>
      </c>
      <c r="B3104" s="83" t="s">
        <v>4855</v>
      </c>
      <c r="C3104" s="81" t="s">
        <v>4621</v>
      </c>
      <c r="D3104" s="83" t="s">
        <v>4870</v>
      </c>
      <c r="E3104" s="81" t="s">
        <v>4037</v>
      </c>
      <c r="F3104" s="84">
        <v>806.0</v>
      </c>
      <c r="G3104" s="81" t="s">
        <v>26</v>
      </c>
      <c r="H3104" s="81" t="s">
        <v>224</v>
      </c>
      <c r="I3104" s="81" t="s">
        <v>231</v>
      </c>
      <c r="J3104" s="81" t="s">
        <v>224</v>
      </c>
      <c r="K3104" s="81" t="str">
        <f>IFERROR(__xludf.DUMMYFUNCTION("IF(OR(D3104="""",G3104=""""),"""",IFERROR(LET(
campo,XLOOKUP(TRIM(G3104),ARRAYFORMULA(TRIM('indice columnas'!$A$2:$A$100)),'indice columnas'!$B$2:$B$100,""""),
col,IFERROR(MATCH(campo,Referencia!$A$1:$AZ$1,0),0),
fila,IFERROR(MATCH(TO_TEXT(D3104),ARRAYFOR"&amp;"MULA(TO_TEXT(Referencia!$A$2:$A6238)),0),0),
IF(OR(campo="""",campo=""-""),""NO APLICA"",
IF(col=0,""REVISAR EQUIVALENCIA"",
IF(fila=0,""SKU NO ENCONTRADO"",
LET(
valor,INDEX(Referencia!$A$2:$AZ6238,fila,col),
IF(TRIM(TO_TEXT(valor))=TRIM(TO_TEXT(I3104)),"&amp;"
""OK"",
""NO COINCIDE. Valor verdadero: ""&amp;IF(valor="""",""[VACÍO]"",TO_TEXT(valor))
)
))))
),""ERROR EN FÓRMULA""))"),"OK")</f>
        <v>OK</v>
      </c>
    </row>
    <row r="3105">
      <c r="A3105" s="83" t="s">
        <v>4854</v>
      </c>
      <c r="B3105" s="83" t="s">
        <v>4855</v>
      </c>
      <c r="C3105" s="81" t="s">
        <v>4621</v>
      </c>
      <c r="D3105" s="83" t="s">
        <v>4870</v>
      </c>
      <c r="E3105" s="81" t="s">
        <v>4037</v>
      </c>
      <c r="F3105" s="84">
        <v>806.0</v>
      </c>
      <c r="G3105" s="81" t="s">
        <v>27</v>
      </c>
      <c r="H3105" s="81" t="s">
        <v>224</v>
      </c>
      <c r="I3105" s="81" t="s">
        <v>60</v>
      </c>
      <c r="J3105" s="81" t="s">
        <v>224</v>
      </c>
      <c r="K3105" s="81" t="str">
        <f>IFERROR(__xludf.DUMMYFUNCTION("IF(OR(D3105="""",G3105=""""),"""",IFERROR(LET(
campo,XLOOKUP(TRIM(G3105),ARRAYFORMULA(TRIM('indice columnas'!$A$2:$A$100)),'indice columnas'!$B$2:$B$100,""""),
col,IFERROR(MATCH(campo,Referencia!$A$1:$AZ$1,0),0),
fila,IFERROR(MATCH(TO_TEXT(D3105),ARRAYFOR"&amp;"MULA(TO_TEXT(Referencia!$A$2:$A6238)),0),0),
IF(OR(campo="""",campo=""-""),""NO APLICA"",
IF(col=0,""REVISAR EQUIVALENCIA"",
IF(fila=0,""SKU NO ENCONTRADO"",
LET(
valor,INDEX(Referencia!$A$2:$AZ6238,fila,col),
IF(TRIM(TO_TEXT(valor))=TRIM(TO_TEXT(I3105)),"&amp;"
""OK"",
""NO COINCIDE. Valor verdadero: ""&amp;IF(valor="""",""[VACÍO]"",TO_TEXT(valor))
)
))))
),""ERROR EN FÓRMULA""))"),"OK")</f>
        <v>OK</v>
      </c>
    </row>
    <row r="3106">
      <c r="A3106" s="83" t="s">
        <v>4854</v>
      </c>
      <c r="B3106" s="83" t="s">
        <v>4855</v>
      </c>
      <c r="C3106" s="81" t="s">
        <v>4621</v>
      </c>
      <c r="D3106" s="83" t="s">
        <v>4870</v>
      </c>
      <c r="E3106" s="81" t="s">
        <v>4037</v>
      </c>
      <c r="F3106" s="84">
        <v>806.0</v>
      </c>
      <c r="G3106" s="81" t="s">
        <v>28</v>
      </c>
      <c r="H3106" s="81" t="s">
        <v>224</v>
      </c>
      <c r="I3106" s="81" t="s">
        <v>61</v>
      </c>
      <c r="J3106" s="81" t="s">
        <v>224</v>
      </c>
      <c r="K3106" s="81" t="str">
        <f>IFERROR(__xludf.DUMMYFUNCTION("IF(OR(D3106="""",G3106=""""),"""",IFERROR(LET(
campo,XLOOKUP(TRIM(G3106),ARRAYFORMULA(TRIM('indice columnas'!$A$2:$A$100)),'indice columnas'!$B$2:$B$100,""""),
col,IFERROR(MATCH(campo,Referencia!$A$1:$AZ$1,0),0),
fila,IFERROR(MATCH(TO_TEXT(D3106),ARRAYFOR"&amp;"MULA(TO_TEXT(Referencia!$A$2:$A6238)),0),0),
IF(OR(campo="""",campo=""-""),""NO APLICA"",
IF(col=0,""REVISAR EQUIVALENCIA"",
IF(fila=0,""SKU NO ENCONTRADO"",
LET(
valor,INDEX(Referencia!$A$2:$AZ6238,fila,col),
IF(TRIM(TO_TEXT(valor))=TRIM(TO_TEXT(I3106)),"&amp;"
""OK"",
""NO COINCIDE. Valor verdadero: ""&amp;IF(valor="""",""[VACÍO]"",TO_TEXT(valor))
)
))))
),""ERROR EN FÓRMULA""))"),"OK")</f>
        <v>OK</v>
      </c>
    </row>
    <row r="3107">
      <c r="A3107" s="83" t="s">
        <v>4854</v>
      </c>
      <c r="B3107" s="83" t="s">
        <v>4855</v>
      </c>
      <c r="C3107" s="81" t="s">
        <v>4621</v>
      </c>
      <c r="D3107" s="83" t="s">
        <v>4870</v>
      </c>
      <c r="E3107" s="81" t="s">
        <v>4037</v>
      </c>
      <c r="F3107" s="84">
        <v>806.0</v>
      </c>
      <c r="G3107" s="81" t="s">
        <v>29</v>
      </c>
      <c r="H3107" s="81" t="s">
        <v>224</v>
      </c>
      <c r="I3107" s="81" t="s">
        <v>4042</v>
      </c>
      <c r="J3107" s="81" t="s">
        <v>224</v>
      </c>
      <c r="K3107" s="81" t="str">
        <f>IFERROR(__xludf.DUMMYFUNCTION("IF(OR(D3107="""",G3107=""""),"""",IFERROR(LET(
campo,XLOOKUP(TRIM(G3107),ARRAYFORMULA(TRIM('indice columnas'!$A$2:$A$100)),'indice columnas'!$B$2:$B$100,""""),
col,IFERROR(MATCH(campo,Referencia!$A$1:$AZ$1,0),0),
fila,IFERROR(MATCH(TO_TEXT(D3107),ARRAYFOR"&amp;"MULA(TO_TEXT(Referencia!$A$2:$A6238)),0),0),
IF(OR(campo="""",campo=""-""),""NO APLICA"",
IF(col=0,""REVISAR EQUIVALENCIA"",
IF(fila=0,""SKU NO ENCONTRADO"",
LET(
valor,INDEX(Referencia!$A$2:$AZ6238,fila,col),
IF(TRIM(TO_TEXT(valor))=TRIM(TO_TEXT(I3107)),"&amp;"
""OK"",
""NO COINCIDE. Valor verdadero: ""&amp;IF(valor="""",""[VACÍO]"",TO_TEXT(valor))
)
))))
),""ERROR EN FÓRMULA""))"),"NO COINCIDE. Valor verdadero: Ø450 x 100")</f>
        <v>NO COINCIDE. Valor verdadero: Ø450 x 100</v>
      </c>
    </row>
    <row r="3108">
      <c r="A3108" s="83" t="s">
        <v>4854</v>
      </c>
      <c r="B3108" s="83" t="s">
        <v>4855</v>
      </c>
      <c r="C3108" s="81" t="s">
        <v>4621</v>
      </c>
      <c r="D3108" s="83" t="s">
        <v>4870</v>
      </c>
      <c r="E3108" s="81" t="s">
        <v>4037</v>
      </c>
      <c r="F3108" s="84">
        <v>806.0</v>
      </c>
      <c r="G3108" s="81" t="s">
        <v>30</v>
      </c>
      <c r="H3108" s="81" t="s">
        <v>224</v>
      </c>
      <c r="I3108" s="81" t="s">
        <v>55</v>
      </c>
      <c r="J3108" s="81" t="s">
        <v>224</v>
      </c>
      <c r="K3108" s="81" t="str">
        <f>IFERROR(__xludf.DUMMYFUNCTION("IF(OR(D3108="""",G3108=""""),"""",IFERROR(LET(
campo,XLOOKUP(TRIM(G3108),ARRAYFORMULA(TRIM('indice columnas'!$A$2:$A$100)),'indice columnas'!$B$2:$B$100,""""),
col,IFERROR(MATCH(campo,Referencia!$A$1:$AZ$1,0),0),
fila,IFERROR(MATCH(TO_TEXT(D3108),ARRAYFOR"&amp;"MULA(TO_TEXT(Referencia!$A$2:$A6238)),0),0),
IF(OR(campo="""",campo=""-""),""NO APLICA"",
IF(col=0,""REVISAR EQUIVALENCIA"",
IF(fila=0,""SKU NO ENCONTRADO"",
LET(
valor,INDEX(Referencia!$A$2:$AZ6238,fila,col),
IF(TRIM(TO_TEXT(valor))=TRIM(TO_TEXT(I3108)),"&amp;"
""OK"",
""NO COINCIDE. Valor verdadero: ""&amp;IF(valor="""",""[VACÍO]"",TO_TEXT(valor))
)
))))
),""ERROR EN FÓRMULA""))"),"OK")</f>
        <v>OK</v>
      </c>
    </row>
    <row r="3109">
      <c r="A3109" s="83" t="s">
        <v>4854</v>
      </c>
      <c r="B3109" s="83" t="s">
        <v>4855</v>
      </c>
      <c r="C3109" s="81" t="s">
        <v>4621</v>
      </c>
      <c r="D3109" s="83" t="s">
        <v>4870</v>
      </c>
      <c r="E3109" s="81" t="s">
        <v>4037</v>
      </c>
      <c r="F3109" s="84">
        <v>806.0</v>
      </c>
      <c r="G3109" s="81" t="s">
        <v>31</v>
      </c>
      <c r="H3109" s="81" t="s">
        <v>224</v>
      </c>
      <c r="I3109" s="81" t="s">
        <v>55</v>
      </c>
      <c r="J3109" s="81" t="s">
        <v>224</v>
      </c>
      <c r="K3109" s="81" t="str">
        <f>IFERROR(__xludf.DUMMYFUNCTION("IF(OR(D3109="""",G3109=""""),"""",IFERROR(LET(
campo,XLOOKUP(TRIM(G3109),ARRAYFORMULA(TRIM('indice columnas'!$A$2:$A$100)),'indice columnas'!$B$2:$B$100,""""),
col,IFERROR(MATCH(campo,Referencia!$A$1:$AZ$1,0),0),
fila,IFERROR(MATCH(TO_TEXT(D3109),ARRAYFOR"&amp;"MULA(TO_TEXT(Referencia!$A$2:$A6238)),0),0),
IF(OR(campo="""",campo=""-""),""NO APLICA"",
IF(col=0,""REVISAR EQUIVALENCIA"",
IF(fila=0,""SKU NO ENCONTRADO"",
LET(
valor,INDEX(Referencia!$A$2:$AZ6238,fila,col),
IF(TRIM(TO_TEXT(valor))=TRIM(TO_TEXT(I3109)),"&amp;"
""OK"",
""NO COINCIDE. Valor verdadero: ""&amp;IF(valor="""",""[VACÍO]"",TO_TEXT(valor))
)
))))
),""ERROR EN FÓRMULA""))"),"OK")</f>
        <v>OK</v>
      </c>
    </row>
    <row r="3110">
      <c r="A3110" s="83" t="s">
        <v>4854</v>
      </c>
      <c r="B3110" s="83" t="s">
        <v>4855</v>
      </c>
      <c r="C3110" s="81" t="s">
        <v>4621</v>
      </c>
      <c r="D3110" s="83" t="s">
        <v>4870</v>
      </c>
      <c r="E3110" s="81" t="s">
        <v>4037</v>
      </c>
      <c r="F3110" s="84">
        <v>806.0</v>
      </c>
      <c r="G3110" s="81" t="s">
        <v>32</v>
      </c>
      <c r="H3110" s="81" t="s">
        <v>224</v>
      </c>
      <c r="I3110" s="81" t="s">
        <v>2818</v>
      </c>
      <c r="J3110" s="81" t="s">
        <v>224</v>
      </c>
      <c r="K3110" s="81" t="str">
        <f>IFERROR(__xludf.DUMMYFUNCTION("IF(OR(D3110="""",G3110=""""),"""",IFERROR(LET(
campo,XLOOKUP(TRIM(G3110),ARRAYFORMULA(TRIM('indice columnas'!$A$2:$A$100)),'indice columnas'!$B$2:$B$100,""""),
col,IFERROR(MATCH(campo,Referencia!$A$1:$AZ$1,0),0),
fila,IFERROR(MATCH(TO_TEXT(D3110),ARRAYFOR"&amp;"MULA(TO_TEXT(Referencia!$A$2:$A6238)),0),0),
IF(OR(campo="""",campo=""-""),""NO APLICA"",
IF(col=0,""REVISAR EQUIVALENCIA"",
IF(fila=0,""SKU NO ENCONTRADO"",
LET(
valor,INDEX(Referencia!$A$2:$AZ6238,fila,col),
IF(TRIM(TO_TEXT(valor))=TRIM(TO_TEXT(I3110)),"&amp;"
""OK"",
""NO COINCIDE. Valor verdadero: ""&amp;IF(valor="""",""[VACÍO]"",TO_TEXT(valor))
)
))))
),""ERROR EN FÓRMULA""))"),"OK")</f>
        <v>OK</v>
      </c>
    </row>
    <row r="3111">
      <c r="A3111" s="83" t="s">
        <v>4854</v>
      </c>
      <c r="B3111" s="83" t="s">
        <v>4855</v>
      </c>
      <c r="C3111" s="81" t="s">
        <v>4621</v>
      </c>
      <c r="D3111" s="83" t="s">
        <v>4870</v>
      </c>
      <c r="E3111" s="81" t="s">
        <v>4037</v>
      </c>
      <c r="F3111" s="84">
        <v>806.0</v>
      </c>
      <c r="G3111" s="81" t="s">
        <v>33</v>
      </c>
      <c r="H3111" s="81" t="s">
        <v>224</v>
      </c>
      <c r="I3111" s="81" t="s">
        <v>145</v>
      </c>
      <c r="J3111" s="81" t="s">
        <v>224</v>
      </c>
      <c r="K3111" s="81" t="str">
        <f>IFERROR(__xludf.DUMMYFUNCTION("IF(OR(D3111="""",G3111=""""),"""",IFERROR(LET(
campo,XLOOKUP(TRIM(G3111),ARRAYFORMULA(TRIM('indice columnas'!$A$2:$A$100)),'indice columnas'!$B$2:$B$100,""""),
col,IFERROR(MATCH(campo,Referencia!$A$1:$AZ$1,0),0),
fila,IFERROR(MATCH(TO_TEXT(D3111),ARRAYFOR"&amp;"MULA(TO_TEXT(Referencia!$A$2:$A6238)),0),0),
IF(OR(campo="""",campo=""-""),""NO APLICA"",
IF(col=0,""REVISAR EQUIVALENCIA"",
IF(fila=0,""SKU NO ENCONTRADO"",
LET(
valor,INDEX(Referencia!$A$2:$AZ6238,fila,col),
IF(TRIM(TO_TEXT(valor))=TRIM(TO_TEXT(I3111)),"&amp;"
""OK"",
""NO COINCIDE. Valor verdadero: ""&amp;IF(valor="""",""[VACÍO]"",TO_TEXT(valor))
)
))))
),""ERROR EN FÓRMULA""))"),"OK")</f>
        <v>OK</v>
      </c>
    </row>
    <row r="3112">
      <c r="A3112" s="83" t="s">
        <v>4854</v>
      </c>
      <c r="B3112" s="83" t="s">
        <v>4855</v>
      </c>
      <c r="C3112" s="81" t="s">
        <v>4621</v>
      </c>
      <c r="D3112" s="83" t="s">
        <v>4870</v>
      </c>
      <c r="E3112" s="81" t="s">
        <v>4037</v>
      </c>
      <c r="F3112" s="84">
        <v>806.0</v>
      </c>
      <c r="G3112" s="81" t="s">
        <v>34</v>
      </c>
      <c r="H3112" s="81" t="s">
        <v>224</v>
      </c>
      <c r="I3112" s="81" t="s">
        <v>4043</v>
      </c>
      <c r="J3112" s="81" t="s">
        <v>224</v>
      </c>
      <c r="K3112" s="81" t="str">
        <f>IFERROR(__xludf.DUMMYFUNCTION("IF(OR(D3112="""",G3112=""""),"""",IFERROR(LET(
campo,XLOOKUP(TRIM(G3112),ARRAYFORMULA(TRIM('indice columnas'!$A$2:$A$100)),'indice columnas'!$B$2:$B$100,""""),
col,IFERROR(MATCH(campo,Referencia!$A$1:$AZ$1,0),0),
fila,IFERROR(MATCH(TO_TEXT(D3112),ARRAYFOR"&amp;"MULA(TO_TEXT(Referencia!$A$2:$A6238)),0),0),
IF(OR(campo="""",campo=""-""),""NO APLICA"",
IF(col=0,""REVISAR EQUIVALENCIA"",
IF(fila=0,""SKU NO ENCONTRADO"",
LET(
valor,INDEX(Referencia!$A$2:$AZ6238,fila,col),
IF(TRIM(TO_TEXT(valor))=TRIM(TO_TEXT(I3112)),"&amp;"
""OK"",
""NO COINCIDE. Valor verdadero: ""&amp;IF(valor="""",""[VACÍO]"",TO_TEXT(valor))
)
))))
),""ERROR EN FÓRMULA""))"),"OK")</f>
        <v>OK</v>
      </c>
    </row>
    <row r="3113">
      <c r="A3113" s="83" t="s">
        <v>4854</v>
      </c>
      <c r="B3113" s="83" t="s">
        <v>4855</v>
      </c>
      <c r="C3113" s="81" t="s">
        <v>4621</v>
      </c>
      <c r="D3113" s="83" t="s">
        <v>4870</v>
      </c>
      <c r="E3113" s="81" t="s">
        <v>4037</v>
      </c>
      <c r="F3113" s="84">
        <v>806.0</v>
      </c>
      <c r="G3113" s="81" t="s">
        <v>35</v>
      </c>
      <c r="H3113" s="81" t="s">
        <v>224</v>
      </c>
      <c r="I3113" s="81" t="s">
        <v>49</v>
      </c>
      <c r="J3113" s="81" t="s">
        <v>224</v>
      </c>
      <c r="K3113" s="81" t="str">
        <f>IFERROR(__xludf.DUMMYFUNCTION("IF(OR(D3113="""",G3113=""""),"""",IFERROR(LET(
campo,XLOOKUP(TRIM(G3113),ARRAYFORMULA(TRIM('indice columnas'!$A$2:$A$100)),'indice columnas'!$B$2:$B$100,""""),
col,IFERROR(MATCH(campo,Referencia!$A$1:$AZ$1,0),0),
fila,IFERROR(MATCH(TO_TEXT(D3113),ARRAYFOR"&amp;"MULA(TO_TEXT(Referencia!$A$2:$A6238)),0),0),
IF(OR(campo="""",campo=""-""),""NO APLICA"",
IF(col=0,""REVISAR EQUIVALENCIA"",
IF(fila=0,""SKU NO ENCONTRADO"",
LET(
valor,INDEX(Referencia!$A$2:$AZ6238,fila,col),
IF(TRIM(TO_TEXT(valor))=TRIM(TO_TEXT(I3113)),"&amp;"
""OK"",
""NO COINCIDE. Valor verdadero: ""&amp;IF(valor="""",""[VACÍO]"",TO_TEXT(valor))
)
))))
),""ERROR EN FÓRMULA""))"),"OK")</f>
        <v>OK</v>
      </c>
    </row>
    <row r="3114">
      <c r="A3114" s="83" t="s">
        <v>4854</v>
      </c>
      <c r="B3114" s="83" t="s">
        <v>4855</v>
      </c>
      <c r="C3114" s="81" t="s">
        <v>4621</v>
      </c>
      <c r="D3114" s="83" t="s">
        <v>4870</v>
      </c>
      <c r="E3114" s="81" t="s">
        <v>4037</v>
      </c>
      <c r="F3114" s="84">
        <v>806.0</v>
      </c>
      <c r="G3114" s="81" t="s">
        <v>36</v>
      </c>
      <c r="H3114" s="81" t="s">
        <v>224</v>
      </c>
      <c r="I3114" s="81" t="s">
        <v>2940</v>
      </c>
      <c r="J3114" s="81" t="s">
        <v>224</v>
      </c>
      <c r="K3114" s="81" t="str">
        <f>IFERROR(__xludf.DUMMYFUNCTION("IF(OR(D3114="""",G3114=""""),"""",IFERROR(LET(
campo,XLOOKUP(TRIM(G3114),ARRAYFORMULA(TRIM('indice columnas'!$A$2:$A$100)),'indice columnas'!$B$2:$B$100,""""),
col,IFERROR(MATCH(campo,Referencia!$A$1:$AZ$1,0),0),
fila,IFERROR(MATCH(TO_TEXT(D3114),ARRAYFOR"&amp;"MULA(TO_TEXT(Referencia!$A$2:$A6238)),0),0),
IF(OR(campo="""",campo=""-""),""NO APLICA"",
IF(col=0,""REVISAR EQUIVALENCIA"",
IF(fila=0,""SKU NO ENCONTRADO"",
LET(
valor,INDEX(Referencia!$A$2:$AZ6238,fila,col),
IF(TRIM(TO_TEXT(valor))=TRIM(TO_TEXT(I3114)),"&amp;"
""OK"",
""NO COINCIDE. Valor verdadero: ""&amp;IF(valor="""",""[VACÍO]"",TO_TEXT(valor))
)
))))
),""ERROR EN FÓRMULA""))"),"REVISAR EQUIVALENCIA")</f>
        <v>REVISAR EQUIVALENCIA</v>
      </c>
    </row>
    <row r="3115">
      <c r="A3115" s="83" t="s">
        <v>4854</v>
      </c>
      <c r="B3115" s="83" t="s">
        <v>4855</v>
      </c>
      <c r="C3115" s="81" t="s">
        <v>4621</v>
      </c>
      <c r="D3115" s="83" t="s">
        <v>4870</v>
      </c>
      <c r="E3115" s="81" t="s">
        <v>4037</v>
      </c>
      <c r="F3115" s="84">
        <v>806.0</v>
      </c>
      <c r="G3115" s="81" t="s">
        <v>37</v>
      </c>
      <c r="H3115" s="81" t="s">
        <v>224</v>
      </c>
      <c r="I3115" s="81" t="s">
        <v>720</v>
      </c>
      <c r="J3115" s="81" t="s">
        <v>224</v>
      </c>
      <c r="K3115" s="81" t="str">
        <f>IFERROR(__xludf.DUMMYFUNCTION("IF(OR(D3115="""",G3115=""""),"""",IFERROR(LET(
campo,XLOOKUP(TRIM(G3115),ARRAYFORMULA(TRIM('indice columnas'!$A$2:$A$100)),'indice columnas'!$B$2:$B$100,""""),
col,IFERROR(MATCH(campo,Referencia!$A$1:$AZ$1,0),0),
fila,IFERROR(MATCH(TO_TEXT(D3115),ARRAYFOR"&amp;"MULA(TO_TEXT(Referencia!$A$2:$A6238)),0),0),
IF(OR(campo="""",campo=""-""),""NO APLICA"",
IF(col=0,""REVISAR EQUIVALENCIA"",
IF(fila=0,""SKU NO ENCONTRADO"",
LET(
valor,INDEX(Referencia!$A$2:$AZ6238,fila,col),
IF(TRIM(TO_TEXT(valor))=TRIM(TO_TEXT(I3115)),"&amp;"
""OK"",
""NO COINCIDE. Valor verdadero: ""&amp;IF(valor="""",""[VACÍO]"",TO_TEXT(valor))
)
))))
),""ERROR EN FÓRMULA""))"),"OK")</f>
        <v>OK</v>
      </c>
    </row>
    <row r="3116">
      <c r="A3116" s="83" t="s">
        <v>4854</v>
      </c>
      <c r="B3116" s="83" t="s">
        <v>4855</v>
      </c>
      <c r="C3116" s="81" t="s">
        <v>4621</v>
      </c>
      <c r="D3116" s="83" t="s">
        <v>4870</v>
      </c>
      <c r="E3116" s="81" t="s">
        <v>4037</v>
      </c>
      <c r="F3116" s="84">
        <v>806.0</v>
      </c>
      <c r="G3116" s="81" t="s">
        <v>41</v>
      </c>
      <c r="H3116" s="81" t="s">
        <v>224</v>
      </c>
      <c r="I3116" s="81" t="s">
        <v>4045</v>
      </c>
      <c r="J3116" s="81" t="s">
        <v>224</v>
      </c>
      <c r="K3116" s="81" t="str">
        <f>IFERROR(__xludf.DUMMYFUNCTION("IF(OR(D3116="""",G3116=""""),"""",IFERROR(LET(
campo,XLOOKUP(TRIM(G3116),ARRAYFORMULA(TRIM('indice columnas'!$A$2:$A$100)),'indice columnas'!$B$2:$B$100,""""),
col,IFERROR(MATCH(campo,Referencia!$A$1:$AZ$1,0),0),
fila,IFERROR(MATCH(TO_TEXT(D3116),ARRAYFOR"&amp;"MULA(TO_TEXT(Referencia!$A$2:$A6238)),0),0),
IF(OR(campo="""",campo=""-""),""NO APLICA"",
IF(col=0,""REVISAR EQUIVALENCIA"",
IF(fila=0,""SKU NO ENCONTRADO"",
LET(
valor,INDEX(Referencia!$A$2:$AZ6238,fila,col),
IF(TRIM(TO_TEXT(valor))=TRIM(TO_TEXT(I3116)),"&amp;"
""OK"",
""NO COINCIDE. Valor verdadero: ""&amp;IF(valor="""",""[VACÍO]"",TO_TEXT(valor))
)
))))
),""ERROR EN FÓRMULA""))"),"REVISAR EQUIVALENCIA")</f>
        <v>REVISAR EQUIVALENCIA</v>
      </c>
    </row>
    <row r="3117">
      <c r="A3117" s="83" t="s">
        <v>4854</v>
      </c>
      <c r="B3117" s="83" t="s">
        <v>4855</v>
      </c>
      <c r="C3117" s="81" t="s">
        <v>4621</v>
      </c>
      <c r="D3117" s="83" t="s">
        <v>4871</v>
      </c>
      <c r="E3117" s="81" t="s">
        <v>4049</v>
      </c>
      <c r="F3117" s="84">
        <v>807.0</v>
      </c>
      <c r="G3117" s="81" t="s">
        <v>10</v>
      </c>
      <c r="H3117" s="81" t="s">
        <v>224</v>
      </c>
      <c r="I3117" s="81" t="s">
        <v>1534</v>
      </c>
      <c r="J3117" s="81" t="s">
        <v>224</v>
      </c>
      <c r="K3117" s="81" t="str">
        <f>IFERROR(__xludf.DUMMYFUNCTION("IF(OR(D3117="""",G3117=""""),"""",IFERROR(LET(
campo,XLOOKUP(TRIM(G3117),ARRAYFORMULA(TRIM('indice columnas'!$A$2:$A$100)),'indice columnas'!$B$2:$B$100,""""),
col,IFERROR(MATCH(campo,Referencia!$A$1:$AZ$1,0),0),
fila,IFERROR(MATCH(TO_TEXT(D3117),ARRAYFOR"&amp;"MULA(TO_TEXT(Referencia!$A$2:$A6238)),0),0),
IF(OR(campo="""",campo=""-""),""NO APLICA"",
IF(col=0,""REVISAR EQUIVALENCIA"",
IF(fila=0,""SKU NO ENCONTRADO"",
LET(
valor,INDEX(Referencia!$A$2:$AZ6238,fila,col),
IF(TRIM(TO_TEXT(valor))=TRIM(TO_TEXT(I3117)),"&amp;"
""OK"",
""NO COINCIDE. Valor verdadero: ""&amp;IF(valor="""",""[VACÍO]"",TO_TEXT(valor))
)
))))
),""ERROR EN FÓRMULA""))"),"OK")</f>
        <v>OK</v>
      </c>
    </row>
    <row r="3118">
      <c r="A3118" s="83" t="s">
        <v>4854</v>
      </c>
      <c r="B3118" s="83" t="s">
        <v>4855</v>
      </c>
      <c r="C3118" s="81" t="s">
        <v>4621</v>
      </c>
      <c r="D3118" s="83" t="s">
        <v>4871</v>
      </c>
      <c r="E3118" s="81" t="s">
        <v>4049</v>
      </c>
      <c r="F3118" s="84">
        <v>807.0</v>
      </c>
      <c r="G3118" s="81" t="s">
        <v>11</v>
      </c>
      <c r="H3118" s="81" t="s">
        <v>224</v>
      </c>
      <c r="I3118" s="81" t="s">
        <v>1403</v>
      </c>
      <c r="J3118" s="81" t="s">
        <v>224</v>
      </c>
      <c r="K3118" s="81" t="str">
        <f>IFERROR(__xludf.DUMMYFUNCTION("IF(OR(D3118="""",G3118=""""),"""",IFERROR(LET(
campo,XLOOKUP(TRIM(G3118),ARRAYFORMULA(TRIM('indice columnas'!$A$2:$A$100)),'indice columnas'!$B$2:$B$100,""""),
col,IFERROR(MATCH(campo,Referencia!$A$1:$AZ$1,0),0),
fila,IFERROR(MATCH(TO_TEXT(D3118),ARRAYFOR"&amp;"MULA(TO_TEXT(Referencia!$A$2:$A6238)),0),0),
IF(OR(campo="""",campo=""-""),""NO APLICA"",
IF(col=0,""REVISAR EQUIVALENCIA"",
IF(fila=0,""SKU NO ENCONTRADO"",
LET(
valor,INDEX(Referencia!$A$2:$AZ6238,fila,col),
IF(TRIM(TO_TEXT(valor))=TRIM(TO_TEXT(I3118)),"&amp;"
""OK"",
""NO COINCIDE. Valor verdadero: ""&amp;IF(valor="""",""[VACÍO]"",TO_TEXT(valor))
)
))))
),""ERROR EN FÓRMULA""))"),"OK")</f>
        <v>OK</v>
      </c>
    </row>
    <row r="3119">
      <c r="A3119" s="83" t="s">
        <v>4854</v>
      </c>
      <c r="B3119" s="83" t="s">
        <v>4855</v>
      </c>
      <c r="C3119" s="81" t="s">
        <v>4621</v>
      </c>
      <c r="D3119" s="83" t="s">
        <v>4871</v>
      </c>
      <c r="E3119" s="81" t="s">
        <v>4049</v>
      </c>
      <c r="F3119" s="84">
        <v>807.0</v>
      </c>
      <c r="G3119" s="81" t="s">
        <v>12</v>
      </c>
      <c r="H3119" s="81" t="s">
        <v>224</v>
      </c>
      <c r="I3119" s="81" t="s">
        <v>1549</v>
      </c>
      <c r="J3119" s="81" t="s">
        <v>224</v>
      </c>
      <c r="K3119" s="81" t="str">
        <f>IFERROR(__xludf.DUMMYFUNCTION("IF(OR(D3119="""",G3119=""""),"""",IFERROR(LET(
campo,XLOOKUP(TRIM(G3119),ARRAYFORMULA(TRIM('indice columnas'!$A$2:$A$100)),'indice columnas'!$B$2:$B$100,""""),
col,IFERROR(MATCH(campo,Referencia!$A$1:$AZ$1,0),0),
fila,IFERROR(MATCH(TO_TEXT(D3119),ARRAYFOR"&amp;"MULA(TO_TEXT(Referencia!$A$2:$A6238)),0),0),
IF(OR(campo="""",campo=""-""),""NO APLICA"",
IF(col=0,""REVISAR EQUIVALENCIA"",
IF(fila=0,""SKU NO ENCONTRADO"",
LET(
valor,INDEX(Referencia!$A$2:$AZ6238,fila,col),
IF(TRIM(TO_TEXT(valor))=TRIM(TO_TEXT(I3119)),"&amp;"
""OK"",
""NO COINCIDE. Valor verdadero: ""&amp;IF(valor="""",""[VACÍO]"",TO_TEXT(valor))
)
))))
),""ERROR EN FÓRMULA""))"),"OK")</f>
        <v>OK</v>
      </c>
    </row>
    <row r="3120">
      <c r="A3120" s="83" t="s">
        <v>4854</v>
      </c>
      <c r="B3120" s="83" t="s">
        <v>4855</v>
      </c>
      <c r="C3120" s="81" t="s">
        <v>4621</v>
      </c>
      <c r="D3120" s="83" t="s">
        <v>4871</v>
      </c>
      <c r="E3120" s="81" t="s">
        <v>4049</v>
      </c>
      <c r="F3120" s="84">
        <v>807.0</v>
      </c>
      <c r="G3120" s="81" t="s">
        <v>13</v>
      </c>
      <c r="H3120" s="81" t="s">
        <v>224</v>
      </c>
      <c r="I3120" s="81" t="s">
        <v>1610</v>
      </c>
      <c r="J3120" s="81" t="s">
        <v>224</v>
      </c>
      <c r="K3120" s="81" t="str">
        <f>IFERROR(__xludf.DUMMYFUNCTION("IF(OR(D3120="""",G3120=""""),"""",IFERROR(LET(
campo,XLOOKUP(TRIM(G3120),ARRAYFORMULA(TRIM('indice columnas'!$A$2:$A$100)),'indice columnas'!$B$2:$B$100,""""),
col,IFERROR(MATCH(campo,Referencia!$A$1:$AZ$1,0),0),
fila,IFERROR(MATCH(TO_TEXT(D3120),ARRAYFOR"&amp;"MULA(TO_TEXT(Referencia!$A$2:$A6238)),0),0),
IF(OR(campo="""",campo=""-""),""NO APLICA"",
IF(col=0,""REVISAR EQUIVALENCIA"",
IF(fila=0,""SKU NO ENCONTRADO"",
LET(
valor,INDEX(Referencia!$A$2:$AZ6238,fila,col),
IF(TRIM(TO_TEXT(valor))=TRIM(TO_TEXT(I3120)),"&amp;"
""OK"",
""NO COINCIDE. Valor verdadero: ""&amp;IF(valor="""",""[VACÍO]"",TO_TEXT(valor))
)
))))
),""ERROR EN FÓRMULA""))"),"OK")</f>
        <v>OK</v>
      </c>
    </row>
    <row r="3121">
      <c r="A3121" s="83" t="s">
        <v>4854</v>
      </c>
      <c r="B3121" s="83" t="s">
        <v>4855</v>
      </c>
      <c r="C3121" s="81" t="s">
        <v>4621</v>
      </c>
      <c r="D3121" s="83" t="s">
        <v>4871</v>
      </c>
      <c r="E3121" s="81" t="s">
        <v>4049</v>
      </c>
      <c r="F3121" s="84">
        <v>807.0</v>
      </c>
      <c r="G3121" s="81" t="s">
        <v>14</v>
      </c>
      <c r="H3121" s="81" t="s">
        <v>224</v>
      </c>
      <c r="I3121" s="81" t="s">
        <v>56</v>
      </c>
      <c r="J3121" s="81" t="s">
        <v>224</v>
      </c>
      <c r="K3121" s="81" t="str">
        <f>IFERROR(__xludf.DUMMYFUNCTION("IF(OR(D3121="""",G3121=""""),"""",IFERROR(LET(
campo,XLOOKUP(TRIM(G3121),ARRAYFORMULA(TRIM('indice columnas'!$A$2:$A$100)),'indice columnas'!$B$2:$B$100,""""),
col,IFERROR(MATCH(campo,Referencia!$A$1:$AZ$1,0),0),
fila,IFERROR(MATCH(TO_TEXT(D3121),ARRAYFOR"&amp;"MULA(TO_TEXT(Referencia!$A$2:$A6238)),0),0),
IF(OR(campo="""",campo=""-""),""NO APLICA"",
IF(col=0,""REVISAR EQUIVALENCIA"",
IF(fila=0,""SKU NO ENCONTRADO"",
LET(
valor,INDEX(Referencia!$A$2:$AZ6238,fila,col),
IF(TRIM(TO_TEXT(valor))=TRIM(TO_TEXT(I3121)),"&amp;"
""OK"",
""NO COINCIDE. Valor verdadero: ""&amp;IF(valor="""",""[VACÍO]"",TO_TEXT(valor))
)
))))
),""ERROR EN FÓRMULA""))"),"NO COINCIDE. Valor verdadero: 220-240")</f>
        <v>NO COINCIDE. Valor verdadero: 220-240</v>
      </c>
    </row>
    <row r="3122">
      <c r="A3122" s="83" t="s">
        <v>4854</v>
      </c>
      <c r="B3122" s="83" t="s">
        <v>4855</v>
      </c>
      <c r="C3122" s="81" t="s">
        <v>4621</v>
      </c>
      <c r="D3122" s="83" t="s">
        <v>4871</v>
      </c>
      <c r="E3122" s="81" t="s">
        <v>4049</v>
      </c>
      <c r="F3122" s="84">
        <v>807.0</v>
      </c>
      <c r="G3122" s="81" t="s">
        <v>15</v>
      </c>
      <c r="H3122" s="81" t="s">
        <v>224</v>
      </c>
      <c r="I3122" s="81" t="s">
        <v>57</v>
      </c>
      <c r="J3122" s="81" t="s">
        <v>224</v>
      </c>
      <c r="K3122" s="81" t="str">
        <f>IFERROR(__xludf.DUMMYFUNCTION("IF(OR(D3122="""",G3122=""""),"""",IFERROR(LET(
campo,XLOOKUP(TRIM(G3122),ARRAYFORMULA(TRIM('indice columnas'!$A$2:$A$100)),'indice columnas'!$B$2:$B$100,""""),
col,IFERROR(MATCH(campo,Referencia!$A$1:$AZ$1,0),0),
fila,IFERROR(MATCH(TO_TEXT(D3122),ARRAYFOR"&amp;"MULA(TO_TEXT(Referencia!$A$2:$A6238)),0),0),
IF(OR(campo="""",campo=""-""),""NO APLICA"",
IF(col=0,""REVISAR EQUIVALENCIA"",
IF(fila=0,""SKU NO ENCONTRADO"",
LET(
valor,INDEX(Referencia!$A$2:$AZ6238,fila,col),
IF(TRIM(TO_TEXT(valor))=TRIM(TO_TEXT(I3122)),"&amp;"
""OK"",
""NO COINCIDE. Valor verdadero: ""&amp;IF(valor="""",""[VACÍO]"",TO_TEXT(valor))
)
))))
),""ERROR EN FÓRMULA""))"),"NO COINCIDE. Valor verdadero: 50/60")</f>
        <v>NO COINCIDE. Valor verdadero: 50/60</v>
      </c>
    </row>
    <row r="3123">
      <c r="A3123" s="83" t="s">
        <v>4854</v>
      </c>
      <c r="B3123" s="83" t="s">
        <v>4855</v>
      </c>
      <c r="C3123" s="81" t="s">
        <v>4621</v>
      </c>
      <c r="D3123" s="83" t="s">
        <v>4871</v>
      </c>
      <c r="E3123" s="81" t="s">
        <v>4049</v>
      </c>
      <c r="F3123" s="84">
        <v>807.0</v>
      </c>
      <c r="G3123" s="81" t="s">
        <v>16</v>
      </c>
      <c r="H3123" s="81" t="s">
        <v>224</v>
      </c>
      <c r="I3123" s="81" t="s">
        <v>1299</v>
      </c>
      <c r="J3123" s="81" t="s">
        <v>224</v>
      </c>
      <c r="K3123" s="81" t="str">
        <f>IFERROR(__xludf.DUMMYFUNCTION("IF(OR(D3123="""",G3123=""""),"""",IFERROR(LET(
campo,XLOOKUP(TRIM(G3123),ARRAYFORMULA(TRIM('indice columnas'!$A$2:$A$100)),'indice columnas'!$B$2:$B$100,""""),
col,IFERROR(MATCH(campo,Referencia!$A$1:$AZ$1,0),0),
fila,IFERROR(MATCH(TO_TEXT(D3123),ARRAYFOR"&amp;"MULA(TO_TEXT(Referencia!$A$2:$A6238)),0),0),
IF(OR(campo="""",campo=""-""),""NO APLICA"",
IF(col=0,""REVISAR EQUIVALENCIA"",
IF(fila=0,""SKU NO ENCONTRADO"",
LET(
valor,INDEX(Referencia!$A$2:$AZ6238,fila,col),
IF(TRIM(TO_TEXT(valor))=TRIM(TO_TEXT(I3123)),"&amp;"
""OK"",
""NO COINCIDE. Valor verdadero: ""&amp;IF(valor="""",""[VACÍO]"",TO_TEXT(valor))
)
))))
),""ERROR EN FÓRMULA""))"),"NO COINCIDE. Valor verdadero: 10")</f>
        <v>NO COINCIDE. Valor verdadero: 10</v>
      </c>
    </row>
    <row r="3124">
      <c r="A3124" s="83" t="s">
        <v>4854</v>
      </c>
      <c r="B3124" s="83" t="s">
        <v>4855</v>
      </c>
      <c r="C3124" s="81" t="s">
        <v>4621</v>
      </c>
      <c r="D3124" s="83" t="s">
        <v>4871</v>
      </c>
      <c r="E3124" s="81" t="s">
        <v>4049</v>
      </c>
      <c r="F3124" s="84">
        <v>807.0</v>
      </c>
      <c r="G3124" s="81" t="s">
        <v>17</v>
      </c>
      <c r="H3124" s="81" t="s">
        <v>224</v>
      </c>
      <c r="I3124" s="83" t="s">
        <v>2762</v>
      </c>
      <c r="J3124" s="81" t="s">
        <v>224</v>
      </c>
      <c r="K3124" s="81" t="str">
        <f>IFERROR(__xludf.DUMMYFUNCTION("IF(OR(D3124="""",G3124=""""),"""",IFERROR(LET(
campo,XLOOKUP(TRIM(G3124),ARRAYFORMULA(TRIM('indice columnas'!$A$2:$A$100)),'indice columnas'!$B$2:$B$100,""""),
col,IFERROR(MATCH(campo,Referencia!$A$1:$AZ$1,0),0),
fila,IFERROR(MATCH(TO_TEXT(D3124),ARRAYFOR"&amp;"MULA(TO_TEXT(Referencia!$A$2:$A6238)),0),0),
IF(OR(campo="""",campo=""-""),""NO APLICA"",
IF(col=0,""REVISAR EQUIVALENCIA"",
IF(fila=0,""SKU NO ENCONTRADO"",
LET(
valor,INDEX(Referencia!$A$2:$AZ6238,fila,col),
IF(TRIM(TO_TEXT(valor))=TRIM(TO_TEXT(I3124)),"&amp;"
""OK"",
""NO COINCIDE. Valor verdadero: ""&amp;IF(valor="""",""[VACÍO]"",TO_TEXT(valor))
)
))))
),""ERROR EN FÓRMULA""))"),"OK")</f>
        <v>OK</v>
      </c>
    </row>
    <row r="3125">
      <c r="A3125" s="83" t="s">
        <v>4854</v>
      </c>
      <c r="B3125" s="83" t="s">
        <v>4855</v>
      </c>
      <c r="C3125" s="81" t="s">
        <v>4621</v>
      </c>
      <c r="D3125" s="83" t="s">
        <v>4871</v>
      </c>
      <c r="E3125" s="81" t="s">
        <v>4049</v>
      </c>
      <c r="F3125" s="84">
        <v>807.0</v>
      </c>
      <c r="G3125" s="81" t="s">
        <v>18</v>
      </c>
      <c r="H3125" s="81" t="s">
        <v>224</v>
      </c>
      <c r="I3125" s="81" t="s">
        <v>49</v>
      </c>
      <c r="J3125" s="81" t="s">
        <v>224</v>
      </c>
      <c r="K3125" s="81" t="str">
        <f>IFERROR(__xludf.DUMMYFUNCTION("IF(OR(D3125="""",G3125=""""),"""",IFERROR(LET(
campo,XLOOKUP(TRIM(G3125),ARRAYFORMULA(TRIM('indice columnas'!$A$2:$A$100)),'indice columnas'!$B$2:$B$100,""""),
col,IFERROR(MATCH(campo,Referencia!$A$1:$AZ$1,0),0),
fila,IFERROR(MATCH(TO_TEXT(D3125),ARRAYFOR"&amp;"MULA(TO_TEXT(Referencia!$A$2:$A6238)),0),0),
IF(OR(campo="""",campo=""-""),""NO APLICA"",
IF(col=0,""REVISAR EQUIVALENCIA"",
IF(fila=0,""SKU NO ENCONTRADO"",
LET(
valor,INDEX(Referencia!$A$2:$AZ6238,fila,col),
IF(TRIM(TO_TEXT(valor))=TRIM(TO_TEXT(I3125)),"&amp;"
""OK"",
""NO COINCIDE. Valor verdadero: ""&amp;IF(valor="""",""[VACÍO]"",TO_TEXT(valor))
)
))))
),""ERROR EN FÓRMULA""))"),"OK")</f>
        <v>OK</v>
      </c>
    </row>
    <row r="3126">
      <c r="A3126" s="83" t="s">
        <v>4854</v>
      </c>
      <c r="B3126" s="83" t="s">
        <v>4855</v>
      </c>
      <c r="C3126" s="81" t="s">
        <v>4621</v>
      </c>
      <c r="D3126" s="83" t="s">
        <v>4871</v>
      </c>
      <c r="E3126" s="81" t="s">
        <v>4049</v>
      </c>
      <c r="F3126" s="84">
        <v>807.0</v>
      </c>
      <c r="G3126" s="81" t="s">
        <v>19</v>
      </c>
      <c r="H3126" s="81" t="s">
        <v>224</v>
      </c>
      <c r="I3126" s="81" t="s">
        <v>49</v>
      </c>
      <c r="J3126" s="81" t="s">
        <v>224</v>
      </c>
      <c r="K3126" s="81" t="str">
        <f>IFERROR(__xludf.DUMMYFUNCTION("IF(OR(D3126="""",G3126=""""),"""",IFERROR(LET(
campo,XLOOKUP(TRIM(G3126),ARRAYFORMULA(TRIM('indice columnas'!$A$2:$A$100)),'indice columnas'!$B$2:$B$100,""""),
col,IFERROR(MATCH(campo,Referencia!$A$1:$AZ$1,0),0),
fila,IFERROR(MATCH(TO_TEXT(D3126),ARRAYFOR"&amp;"MULA(TO_TEXT(Referencia!$A$2:$A6238)),0),0),
IF(OR(campo="""",campo=""-""),""NO APLICA"",
IF(col=0,""REVISAR EQUIVALENCIA"",
IF(fila=0,""SKU NO ENCONTRADO"",
LET(
valor,INDEX(Referencia!$A$2:$AZ6238,fila,col),
IF(TRIM(TO_TEXT(valor))=TRIM(TO_TEXT(I3126)),"&amp;"
""OK"",
""NO COINCIDE. Valor verdadero: ""&amp;IF(valor="""",""[VACÍO]"",TO_TEXT(valor))
)
))))
),""ERROR EN FÓRMULA""))"),"OK")</f>
        <v>OK</v>
      </c>
    </row>
    <row r="3127">
      <c r="A3127" s="83" t="s">
        <v>4854</v>
      </c>
      <c r="B3127" s="83" t="s">
        <v>4855</v>
      </c>
      <c r="C3127" s="81" t="s">
        <v>4621</v>
      </c>
      <c r="D3127" s="83" t="s">
        <v>4871</v>
      </c>
      <c r="E3127" s="81" t="s">
        <v>4049</v>
      </c>
      <c r="F3127" s="84">
        <v>807.0</v>
      </c>
      <c r="G3127" s="81" t="s">
        <v>20</v>
      </c>
      <c r="H3127" s="81" t="s">
        <v>224</v>
      </c>
      <c r="I3127" s="81" t="s">
        <v>4050</v>
      </c>
      <c r="J3127" s="81" t="s">
        <v>224</v>
      </c>
      <c r="K3127" s="81" t="str">
        <f>IFERROR(__xludf.DUMMYFUNCTION("IF(OR(D3127="""",G3127=""""),"""",IFERROR(LET(
campo,XLOOKUP(TRIM(G3127),ARRAYFORMULA(TRIM('indice columnas'!$A$2:$A$100)),'indice columnas'!$B$2:$B$100,""""),
col,IFERROR(MATCH(campo,Referencia!$A$1:$AZ$1,0),0),
fila,IFERROR(MATCH(TO_TEXT(D3127),ARRAYFOR"&amp;"MULA(TO_TEXT(Referencia!$A$2:$A6238)),0),0),
IF(OR(campo="""",campo=""-""),""NO APLICA"",
IF(col=0,""REVISAR EQUIVALENCIA"",
IF(fila=0,""SKU NO ENCONTRADO"",
LET(
valor,INDEX(Referencia!$A$2:$AZ6238,fila,col),
IF(TRIM(TO_TEXT(valor))=TRIM(TO_TEXT(I3127)),"&amp;"
""OK"",
""NO COINCIDE. Valor verdadero: ""&amp;IF(valor="""",""[VACÍO]"",TO_TEXT(valor))
)
))))
),""ERROR EN FÓRMULA""))"),"NO COINCIDE. Valor verdadero: 735")</f>
        <v>NO COINCIDE. Valor verdadero: 735</v>
      </c>
    </row>
    <row r="3128">
      <c r="A3128" s="83" t="s">
        <v>4854</v>
      </c>
      <c r="B3128" s="83" t="s">
        <v>4855</v>
      </c>
      <c r="C3128" s="81" t="s">
        <v>4621</v>
      </c>
      <c r="D3128" s="83" t="s">
        <v>4871</v>
      </c>
      <c r="E3128" s="81" t="s">
        <v>4049</v>
      </c>
      <c r="F3128" s="84">
        <v>807.0</v>
      </c>
      <c r="G3128" s="81" t="s">
        <v>21</v>
      </c>
      <c r="H3128" s="81" t="s">
        <v>224</v>
      </c>
      <c r="I3128" s="81" t="s">
        <v>2396</v>
      </c>
      <c r="J3128" s="81" t="s">
        <v>224</v>
      </c>
      <c r="K3128" s="81" t="str">
        <f>IFERROR(__xludf.DUMMYFUNCTION("IF(OR(D3128="""",G3128=""""),"""",IFERROR(LET(
campo,XLOOKUP(TRIM(G3128),ARRAYFORMULA(TRIM('indice columnas'!$A$2:$A$100)),'indice columnas'!$B$2:$B$100,""""),
col,IFERROR(MATCH(campo,Referencia!$A$1:$AZ$1,0),0),
fila,IFERROR(MATCH(TO_TEXT(D3128),ARRAYFOR"&amp;"MULA(TO_TEXT(Referencia!$A$2:$A6238)),0),0),
IF(OR(campo="""",campo=""-""),""NO APLICA"",
IF(col=0,""REVISAR EQUIVALENCIA"",
IF(fila=0,""SKU NO ENCONTRADO"",
LET(
valor,INDEX(Referencia!$A$2:$AZ6238,fila,col),
IF(TRIM(TO_TEXT(valor))=TRIM(TO_TEXT(I3128)),"&amp;"
""OK"",
""NO COINCIDE. Valor verdadero: ""&amp;IF(valor="""",""[VACÍO]"",TO_TEXT(valor))
)
))))
),""ERROR EN FÓRMULA""))"),"NO COINCIDE. Valor verdadero: 74")</f>
        <v>NO COINCIDE. Valor verdadero: 74</v>
      </c>
    </row>
    <row r="3129">
      <c r="A3129" s="83" t="s">
        <v>4854</v>
      </c>
      <c r="B3129" s="83" t="s">
        <v>4855</v>
      </c>
      <c r="C3129" s="81" t="s">
        <v>4621</v>
      </c>
      <c r="D3129" s="83" t="s">
        <v>4871</v>
      </c>
      <c r="E3129" s="81" t="s">
        <v>4049</v>
      </c>
      <c r="F3129" s="84">
        <v>807.0</v>
      </c>
      <c r="G3129" s="81" t="s">
        <v>22</v>
      </c>
      <c r="H3129" s="81" t="s">
        <v>224</v>
      </c>
      <c r="I3129" s="81" t="s">
        <v>89</v>
      </c>
      <c r="J3129" s="81" t="s">
        <v>224</v>
      </c>
      <c r="K3129" s="81" t="str">
        <f>IFERROR(__xludf.DUMMYFUNCTION("IF(OR(D3129="""",G3129=""""),"""",IFERROR(LET(
campo,XLOOKUP(TRIM(G3129),ARRAYFORMULA(TRIM('indice columnas'!$A$2:$A$100)),'indice columnas'!$B$2:$B$100,""""),
col,IFERROR(MATCH(campo,Referencia!$A$1:$AZ$1,0),0),
fila,IFERROR(MATCH(TO_TEXT(D3129),ARRAYFOR"&amp;"MULA(TO_TEXT(Referencia!$A$2:$A6238)),0),0),
IF(OR(campo="""",campo=""-""),""NO APLICA"",
IF(col=0,""REVISAR EQUIVALENCIA"",
IF(fila=0,""SKU NO ENCONTRADO"",
LET(
valor,INDEX(Referencia!$A$2:$AZ6238,fila,col),
IF(TRIM(TO_TEXT(valor))=TRIM(TO_TEXT(I3129)),"&amp;"
""OK"",
""NO COINCIDE. Valor verdadero: ""&amp;IF(valor="""",""[VACÍO]"",TO_TEXT(valor))
)
))))
),""ERROR EN FÓRMULA""))"),"NO COINCIDE. Valor verdadero: 3000")</f>
        <v>NO COINCIDE. Valor verdadero: 3000</v>
      </c>
    </row>
    <row r="3130">
      <c r="A3130" s="83" t="s">
        <v>4854</v>
      </c>
      <c r="B3130" s="83" t="s">
        <v>4855</v>
      </c>
      <c r="C3130" s="81" t="s">
        <v>4621</v>
      </c>
      <c r="D3130" s="83" t="s">
        <v>4871</v>
      </c>
      <c r="E3130" s="81" t="s">
        <v>4049</v>
      </c>
      <c r="F3130" s="84">
        <v>807.0</v>
      </c>
      <c r="G3130" s="81" t="s">
        <v>23</v>
      </c>
      <c r="H3130" s="81" t="s">
        <v>224</v>
      </c>
      <c r="I3130" s="81" t="s">
        <v>1797</v>
      </c>
      <c r="J3130" s="81" t="s">
        <v>224</v>
      </c>
      <c r="K3130" s="81" t="str">
        <f>IFERROR(__xludf.DUMMYFUNCTION("IF(OR(D3130="""",G3130=""""),"""",IFERROR(LET(
campo,XLOOKUP(TRIM(G3130),ARRAYFORMULA(TRIM('indice columnas'!$A$2:$A$100)),'indice columnas'!$B$2:$B$100,""""),
col,IFERROR(MATCH(campo,Referencia!$A$1:$AZ$1,0),0),
fila,IFERROR(MATCH(TO_TEXT(D3130),ARRAYFOR"&amp;"MULA(TO_TEXT(Referencia!$A$2:$A6238)),0),0),
IF(OR(campo="""",campo=""-""),""NO APLICA"",
IF(col=0,""REVISAR EQUIVALENCIA"",
IF(fila=0,""SKU NO ENCONTRADO"",
LET(
valor,INDEX(Referencia!$A$2:$AZ6238,fila,col),
IF(TRIM(TO_TEXT(valor))=TRIM(TO_TEXT(I3130)),"&amp;"
""OK"",
""NO COINCIDE. Valor verdadero: ""&amp;IF(valor="""",""[VACÍO]"",TO_TEXT(valor))
)
))))
),""ERROR EN FÓRMULA""))"),"OK")</f>
        <v>OK</v>
      </c>
    </row>
    <row r="3131">
      <c r="A3131" s="83" t="s">
        <v>4854</v>
      </c>
      <c r="B3131" s="83" t="s">
        <v>4855</v>
      </c>
      <c r="C3131" s="81" t="s">
        <v>4621</v>
      </c>
      <c r="D3131" s="83" t="s">
        <v>4871</v>
      </c>
      <c r="E3131" s="81" t="s">
        <v>4049</v>
      </c>
      <c r="F3131" s="84">
        <v>807.0</v>
      </c>
      <c r="G3131" s="81" t="s">
        <v>24</v>
      </c>
      <c r="H3131" s="81" t="s">
        <v>224</v>
      </c>
      <c r="I3131" s="81" t="s">
        <v>2938</v>
      </c>
      <c r="J3131" s="81" t="s">
        <v>224</v>
      </c>
      <c r="K3131" s="81" t="str">
        <f>IFERROR(__xludf.DUMMYFUNCTION("IF(OR(D3131="""",G3131=""""),"""",IFERROR(LET(
campo,XLOOKUP(TRIM(G3131),ARRAYFORMULA(TRIM('indice columnas'!$A$2:$A$100)),'indice columnas'!$B$2:$B$100,""""),
col,IFERROR(MATCH(campo,Referencia!$A$1:$AZ$1,0),0),
fila,IFERROR(MATCH(TO_TEXT(D3131),ARRAYFOR"&amp;"MULA(TO_TEXT(Referencia!$A$2:$A6238)),0),0),
IF(OR(campo="""",campo=""-""),""NO APLICA"",
IF(col=0,""REVISAR EQUIVALENCIA"",
IF(fila=0,""SKU NO ENCONTRADO"",
LET(
valor,INDEX(Referencia!$A$2:$AZ6238,fila,col),
IF(TRIM(TO_TEXT(valor))=TRIM(TO_TEXT(I3131)),"&amp;"
""OK"",
""NO COINCIDE. Valor verdadero: ""&amp;IF(valor="""",""[VACÍO]"",TO_TEXT(valor))
)
))))
),""ERROR EN FÓRMULA""))"),"NO COINCIDE. Valor verdadero: 38")</f>
        <v>NO COINCIDE. Valor verdadero: 38</v>
      </c>
    </row>
    <row r="3132">
      <c r="A3132" s="83" t="s">
        <v>4854</v>
      </c>
      <c r="B3132" s="83" t="s">
        <v>4855</v>
      </c>
      <c r="C3132" s="81" t="s">
        <v>4621</v>
      </c>
      <c r="D3132" s="83" t="s">
        <v>4871</v>
      </c>
      <c r="E3132" s="81" t="s">
        <v>4049</v>
      </c>
      <c r="F3132" s="84">
        <v>807.0</v>
      </c>
      <c r="G3132" s="81" t="s">
        <v>25</v>
      </c>
      <c r="H3132" s="81" t="s">
        <v>224</v>
      </c>
      <c r="I3132" s="81" t="s">
        <v>1852</v>
      </c>
      <c r="J3132" s="81" t="s">
        <v>224</v>
      </c>
      <c r="K3132" s="81" t="str">
        <f>IFERROR(__xludf.DUMMYFUNCTION("IF(OR(D3132="""",G3132=""""),"""",IFERROR(LET(
campo,XLOOKUP(TRIM(G3132),ARRAYFORMULA(TRIM('indice columnas'!$A$2:$A$100)),'indice columnas'!$B$2:$B$100,""""),
col,IFERROR(MATCH(campo,Referencia!$A$1:$AZ$1,0),0),
fila,IFERROR(MATCH(TO_TEXT(D3132),ARRAYFOR"&amp;"MULA(TO_TEXT(Referencia!$A$2:$A6238)),0),0),
IF(OR(campo="""",campo=""-""),""NO APLICA"",
IF(col=0,""REVISAR EQUIVALENCIA"",
IF(fila=0,""SKU NO ENCONTRADO"",
LET(
valor,INDEX(Referencia!$A$2:$AZ6238,fila,col),
IF(TRIM(TO_TEXT(valor))=TRIM(TO_TEXT(I3132)),"&amp;"
""OK"",
""NO COINCIDE. Valor verdadero: ""&amp;IF(valor="""",""[VACÍO]"",TO_TEXT(valor))
)
))))
),""ERROR EN FÓRMULA""))"),"OK")</f>
        <v>OK</v>
      </c>
    </row>
    <row r="3133">
      <c r="A3133" s="83" t="s">
        <v>4854</v>
      </c>
      <c r="B3133" s="83" t="s">
        <v>4855</v>
      </c>
      <c r="C3133" s="81" t="s">
        <v>4621</v>
      </c>
      <c r="D3133" s="83" t="s">
        <v>4871</v>
      </c>
      <c r="E3133" s="81" t="s">
        <v>4049</v>
      </c>
      <c r="F3133" s="84">
        <v>807.0</v>
      </c>
      <c r="G3133" s="81" t="s">
        <v>26</v>
      </c>
      <c r="H3133" s="81" t="s">
        <v>224</v>
      </c>
      <c r="I3133" s="81" t="s">
        <v>231</v>
      </c>
      <c r="J3133" s="81" t="s">
        <v>224</v>
      </c>
      <c r="K3133" s="81" t="str">
        <f>IFERROR(__xludf.DUMMYFUNCTION("IF(OR(D3133="""",G3133=""""),"""",IFERROR(LET(
campo,XLOOKUP(TRIM(G3133),ARRAYFORMULA(TRIM('indice columnas'!$A$2:$A$100)),'indice columnas'!$B$2:$B$100,""""),
col,IFERROR(MATCH(campo,Referencia!$A$1:$AZ$1,0),0),
fila,IFERROR(MATCH(TO_TEXT(D3133),ARRAYFOR"&amp;"MULA(TO_TEXT(Referencia!$A$2:$A6238)),0),0),
IF(OR(campo="""",campo=""-""),""NO APLICA"",
IF(col=0,""REVISAR EQUIVALENCIA"",
IF(fila=0,""SKU NO ENCONTRADO"",
LET(
valor,INDEX(Referencia!$A$2:$AZ6238,fila,col),
IF(TRIM(TO_TEXT(valor))=TRIM(TO_TEXT(I3133)),"&amp;"
""OK"",
""NO COINCIDE. Valor verdadero: ""&amp;IF(valor="""",""[VACÍO]"",TO_TEXT(valor))
)
))))
),""ERROR EN FÓRMULA""))"),"OK")</f>
        <v>OK</v>
      </c>
    </row>
    <row r="3134">
      <c r="A3134" s="83" t="s">
        <v>4854</v>
      </c>
      <c r="B3134" s="83" t="s">
        <v>4855</v>
      </c>
      <c r="C3134" s="81" t="s">
        <v>4621</v>
      </c>
      <c r="D3134" s="83" t="s">
        <v>4871</v>
      </c>
      <c r="E3134" s="81" t="s">
        <v>4049</v>
      </c>
      <c r="F3134" s="84">
        <v>807.0</v>
      </c>
      <c r="G3134" s="81" t="s">
        <v>27</v>
      </c>
      <c r="H3134" s="81" t="s">
        <v>224</v>
      </c>
      <c r="I3134" s="81" t="s">
        <v>60</v>
      </c>
      <c r="J3134" s="81" t="s">
        <v>224</v>
      </c>
      <c r="K3134" s="81" t="str">
        <f>IFERROR(__xludf.DUMMYFUNCTION("IF(OR(D3134="""",G3134=""""),"""",IFERROR(LET(
campo,XLOOKUP(TRIM(G3134),ARRAYFORMULA(TRIM('indice columnas'!$A$2:$A$100)),'indice columnas'!$B$2:$B$100,""""),
col,IFERROR(MATCH(campo,Referencia!$A$1:$AZ$1,0),0),
fila,IFERROR(MATCH(TO_TEXT(D3134),ARRAYFOR"&amp;"MULA(TO_TEXT(Referencia!$A$2:$A6238)),0),0),
IF(OR(campo="""",campo=""-""),""NO APLICA"",
IF(col=0,""REVISAR EQUIVALENCIA"",
IF(fila=0,""SKU NO ENCONTRADO"",
LET(
valor,INDEX(Referencia!$A$2:$AZ6238,fila,col),
IF(TRIM(TO_TEXT(valor))=TRIM(TO_TEXT(I3134)),"&amp;"
""OK"",
""NO COINCIDE. Valor verdadero: ""&amp;IF(valor="""",""[VACÍO]"",TO_TEXT(valor))
)
))))
),""ERROR EN FÓRMULA""))"),"OK")</f>
        <v>OK</v>
      </c>
    </row>
    <row r="3135">
      <c r="A3135" s="83" t="s">
        <v>4854</v>
      </c>
      <c r="B3135" s="83" t="s">
        <v>4855</v>
      </c>
      <c r="C3135" s="81" t="s">
        <v>4621</v>
      </c>
      <c r="D3135" s="83" t="s">
        <v>4871</v>
      </c>
      <c r="E3135" s="81" t="s">
        <v>4049</v>
      </c>
      <c r="F3135" s="84">
        <v>807.0</v>
      </c>
      <c r="G3135" s="81" t="s">
        <v>28</v>
      </c>
      <c r="H3135" s="81" t="s">
        <v>224</v>
      </c>
      <c r="I3135" s="81" t="s">
        <v>219</v>
      </c>
      <c r="J3135" s="81" t="s">
        <v>224</v>
      </c>
      <c r="K3135" s="81" t="str">
        <f>IFERROR(__xludf.DUMMYFUNCTION("IF(OR(D3135="""",G3135=""""),"""",IFERROR(LET(
campo,XLOOKUP(TRIM(G3135),ARRAYFORMULA(TRIM('indice columnas'!$A$2:$A$100)),'indice columnas'!$B$2:$B$100,""""),
col,IFERROR(MATCH(campo,Referencia!$A$1:$AZ$1,0),0),
fila,IFERROR(MATCH(TO_TEXT(D3135),ARRAYFOR"&amp;"MULA(TO_TEXT(Referencia!$A$2:$A6238)),0),0),
IF(OR(campo="""",campo=""-""),""NO APLICA"",
IF(col=0,""REVISAR EQUIVALENCIA"",
IF(fila=0,""SKU NO ENCONTRADO"",
LET(
valor,INDEX(Referencia!$A$2:$AZ6238,fila,col),
IF(TRIM(TO_TEXT(valor))=TRIM(TO_TEXT(I3135)),"&amp;"
""OK"",
""NO COINCIDE. Valor verdadero: ""&amp;IF(valor="""",""[VACÍO]"",TO_TEXT(valor))
)
))))
),""ERROR EN FÓRMULA""))"),"OK")</f>
        <v>OK</v>
      </c>
    </row>
    <row r="3136">
      <c r="A3136" s="83" t="s">
        <v>4854</v>
      </c>
      <c r="B3136" s="83" t="s">
        <v>4855</v>
      </c>
      <c r="C3136" s="81" t="s">
        <v>4621</v>
      </c>
      <c r="D3136" s="83" t="s">
        <v>4871</v>
      </c>
      <c r="E3136" s="81" t="s">
        <v>4049</v>
      </c>
      <c r="F3136" s="84">
        <v>807.0</v>
      </c>
      <c r="G3136" s="81" t="s">
        <v>29</v>
      </c>
      <c r="H3136" s="81" t="s">
        <v>224</v>
      </c>
      <c r="I3136" s="81" t="s">
        <v>4051</v>
      </c>
      <c r="J3136" s="81" t="s">
        <v>224</v>
      </c>
      <c r="K3136" s="81" t="str">
        <f>IFERROR(__xludf.DUMMYFUNCTION("IF(OR(D3136="""",G3136=""""),"""",IFERROR(LET(
campo,XLOOKUP(TRIM(G3136),ARRAYFORMULA(TRIM('indice columnas'!$A$2:$A$100)),'indice columnas'!$B$2:$B$100,""""),
col,IFERROR(MATCH(campo,Referencia!$A$1:$AZ$1,0),0),
fila,IFERROR(MATCH(TO_TEXT(D3136),ARRAYFOR"&amp;"MULA(TO_TEXT(Referencia!$A$2:$A6238)),0),0),
IF(OR(campo="""",campo=""-""),""NO APLICA"",
IF(col=0,""REVISAR EQUIVALENCIA"",
IF(fila=0,""SKU NO ENCONTRADO"",
LET(
valor,INDEX(Referencia!$A$2:$AZ6238,fila,col),
IF(TRIM(TO_TEXT(valor))=TRIM(TO_TEXT(I3136)),"&amp;"
""OK"",
""NO COINCIDE. Valor verdadero: ""&amp;IF(valor="""",""[VACÍO]"",TO_TEXT(valor))
)
))))
),""ERROR EN FÓRMULA""))"),"NO COINCIDE. Valor verdadero: Ø57 x 400")</f>
        <v>NO COINCIDE. Valor verdadero: Ø57 x 400</v>
      </c>
    </row>
    <row r="3137">
      <c r="A3137" s="83" t="s">
        <v>4854</v>
      </c>
      <c r="B3137" s="83" t="s">
        <v>4855</v>
      </c>
      <c r="C3137" s="81" t="s">
        <v>4621</v>
      </c>
      <c r="D3137" s="83" t="s">
        <v>4871</v>
      </c>
      <c r="E3137" s="81" t="s">
        <v>4049</v>
      </c>
      <c r="F3137" s="84">
        <v>807.0</v>
      </c>
      <c r="G3137" s="81" t="s">
        <v>30</v>
      </c>
      <c r="H3137" s="81" t="s">
        <v>224</v>
      </c>
      <c r="I3137" s="81" t="s">
        <v>55</v>
      </c>
      <c r="J3137" s="81" t="s">
        <v>224</v>
      </c>
      <c r="K3137" s="81" t="str">
        <f>IFERROR(__xludf.DUMMYFUNCTION("IF(OR(D3137="""",G3137=""""),"""",IFERROR(LET(
campo,XLOOKUP(TRIM(G3137),ARRAYFORMULA(TRIM('indice columnas'!$A$2:$A$100)),'indice columnas'!$B$2:$B$100,""""),
col,IFERROR(MATCH(campo,Referencia!$A$1:$AZ$1,0),0),
fila,IFERROR(MATCH(TO_TEXT(D3137),ARRAYFOR"&amp;"MULA(TO_TEXT(Referencia!$A$2:$A6238)),0),0),
IF(OR(campo="""",campo=""-""),""NO APLICA"",
IF(col=0,""REVISAR EQUIVALENCIA"",
IF(fila=0,""SKU NO ENCONTRADO"",
LET(
valor,INDEX(Referencia!$A$2:$AZ6238,fila,col),
IF(TRIM(TO_TEXT(valor))=TRIM(TO_TEXT(I3137)),"&amp;"
""OK"",
""NO COINCIDE. Valor verdadero: ""&amp;IF(valor="""",""[VACÍO]"",TO_TEXT(valor))
)
))))
),""ERROR EN FÓRMULA""))"),"OK")</f>
        <v>OK</v>
      </c>
    </row>
    <row r="3138">
      <c r="A3138" s="83" t="s">
        <v>4854</v>
      </c>
      <c r="B3138" s="83" t="s">
        <v>4855</v>
      </c>
      <c r="C3138" s="81" t="s">
        <v>4621</v>
      </c>
      <c r="D3138" s="83" t="s">
        <v>4871</v>
      </c>
      <c r="E3138" s="81" t="s">
        <v>4049</v>
      </c>
      <c r="F3138" s="84">
        <v>807.0</v>
      </c>
      <c r="G3138" s="81" t="s">
        <v>31</v>
      </c>
      <c r="H3138" s="81" t="s">
        <v>224</v>
      </c>
      <c r="I3138" s="81" t="s">
        <v>55</v>
      </c>
      <c r="J3138" s="81" t="s">
        <v>224</v>
      </c>
      <c r="K3138" s="81" t="str">
        <f>IFERROR(__xludf.DUMMYFUNCTION("IF(OR(D3138="""",G3138=""""),"""",IFERROR(LET(
campo,XLOOKUP(TRIM(G3138),ARRAYFORMULA(TRIM('indice columnas'!$A$2:$A$100)),'indice columnas'!$B$2:$B$100,""""),
col,IFERROR(MATCH(campo,Referencia!$A$1:$AZ$1,0),0),
fila,IFERROR(MATCH(TO_TEXT(D3138),ARRAYFOR"&amp;"MULA(TO_TEXT(Referencia!$A$2:$A6238)),0),0),
IF(OR(campo="""",campo=""-""),""NO APLICA"",
IF(col=0,""REVISAR EQUIVALENCIA"",
IF(fila=0,""SKU NO ENCONTRADO"",
LET(
valor,INDEX(Referencia!$A$2:$AZ6238,fila,col),
IF(TRIM(TO_TEXT(valor))=TRIM(TO_TEXT(I3138)),"&amp;"
""OK"",
""NO COINCIDE. Valor verdadero: ""&amp;IF(valor="""",""[VACÍO]"",TO_TEXT(valor))
)
))))
),""ERROR EN FÓRMULA""))"),"OK")</f>
        <v>OK</v>
      </c>
    </row>
    <row r="3139">
      <c r="A3139" s="83" t="s">
        <v>4854</v>
      </c>
      <c r="B3139" s="83" t="s">
        <v>4855</v>
      </c>
      <c r="C3139" s="81" t="s">
        <v>4621</v>
      </c>
      <c r="D3139" s="83" t="s">
        <v>4871</v>
      </c>
      <c r="E3139" s="81" t="s">
        <v>4049</v>
      </c>
      <c r="F3139" s="84">
        <v>807.0</v>
      </c>
      <c r="G3139" s="81" t="s">
        <v>32</v>
      </c>
      <c r="H3139" s="81" t="s">
        <v>224</v>
      </c>
      <c r="I3139" s="81" t="s">
        <v>63</v>
      </c>
      <c r="J3139" s="81" t="s">
        <v>224</v>
      </c>
      <c r="K3139" s="81" t="str">
        <f>IFERROR(__xludf.DUMMYFUNCTION("IF(OR(D3139="""",G3139=""""),"""",IFERROR(LET(
campo,XLOOKUP(TRIM(G3139),ARRAYFORMULA(TRIM('indice columnas'!$A$2:$A$100)),'indice columnas'!$B$2:$B$100,""""),
col,IFERROR(MATCH(campo,Referencia!$A$1:$AZ$1,0),0),
fila,IFERROR(MATCH(TO_TEXT(D3139),ARRAYFOR"&amp;"MULA(TO_TEXT(Referencia!$A$2:$A6238)),0),0),
IF(OR(campo="""",campo=""-""),""NO APLICA"",
IF(col=0,""REVISAR EQUIVALENCIA"",
IF(fila=0,""SKU NO ENCONTRADO"",
LET(
valor,INDEX(Referencia!$A$2:$AZ6238,fila,col),
IF(TRIM(TO_TEXT(valor))=TRIM(TO_TEXT(I3139)),"&amp;"
""OK"",
""NO COINCIDE. Valor verdadero: ""&amp;IF(valor="""",""[VACÍO]"",TO_TEXT(valor))
)
))))
),""ERROR EN FÓRMULA""))"),"OK")</f>
        <v>OK</v>
      </c>
    </row>
    <row r="3140">
      <c r="A3140" s="83" t="s">
        <v>4854</v>
      </c>
      <c r="B3140" s="83" t="s">
        <v>4855</v>
      </c>
      <c r="C3140" s="81" t="s">
        <v>4621</v>
      </c>
      <c r="D3140" s="83" t="s">
        <v>4871</v>
      </c>
      <c r="E3140" s="81" t="s">
        <v>4049</v>
      </c>
      <c r="F3140" s="84">
        <v>807.0</v>
      </c>
      <c r="G3140" s="81" t="s">
        <v>33</v>
      </c>
      <c r="H3140" s="81" t="s">
        <v>224</v>
      </c>
      <c r="I3140" s="81" t="s">
        <v>111</v>
      </c>
      <c r="J3140" s="81" t="s">
        <v>224</v>
      </c>
      <c r="K3140" s="81" t="str">
        <f>IFERROR(__xludf.DUMMYFUNCTION("IF(OR(D3140="""",G3140=""""),"""",IFERROR(LET(
campo,XLOOKUP(TRIM(G3140),ARRAYFORMULA(TRIM('indice columnas'!$A$2:$A$100)),'indice columnas'!$B$2:$B$100,""""),
col,IFERROR(MATCH(campo,Referencia!$A$1:$AZ$1,0),0),
fila,IFERROR(MATCH(TO_TEXT(D3140),ARRAYFOR"&amp;"MULA(TO_TEXT(Referencia!$A$2:$A6238)),0),0),
IF(OR(campo="""",campo=""-""),""NO APLICA"",
IF(col=0,""REVISAR EQUIVALENCIA"",
IF(fila=0,""SKU NO ENCONTRADO"",
LET(
valor,INDEX(Referencia!$A$2:$AZ6238,fila,col),
IF(TRIM(TO_TEXT(valor))=TRIM(TO_TEXT(I3140)),"&amp;"
""OK"",
""NO COINCIDE. Valor verdadero: ""&amp;IF(valor="""",""[VACÍO]"",TO_TEXT(valor))
)
))))
),""ERROR EN FÓRMULA""))"),"OK")</f>
        <v>OK</v>
      </c>
    </row>
    <row r="3141">
      <c r="A3141" s="83" t="s">
        <v>4854</v>
      </c>
      <c r="B3141" s="83" t="s">
        <v>4855</v>
      </c>
      <c r="C3141" s="81" t="s">
        <v>4621</v>
      </c>
      <c r="D3141" s="83" t="s">
        <v>4871</v>
      </c>
      <c r="E3141" s="81" t="s">
        <v>4049</v>
      </c>
      <c r="F3141" s="84">
        <v>807.0</v>
      </c>
      <c r="G3141" s="81" t="s">
        <v>34</v>
      </c>
      <c r="H3141" s="81" t="s">
        <v>224</v>
      </c>
      <c r="I3141" s="81" t="s">
        <v>463</v>
      </c>
      <c r="J3141" s="81" t="s">
        <v>224</v>
      </c>
      <c r="K3141" s="81" t="str">
        <f>IFERROR(__xludf.DUMMYFUNCTION("IF(OR(D3141="""",G3141=""""),"""",IFERROR(LET(
campo,XLOOKUP(TRIM(G3141),ARRAYFORMULA(TRIM('indice columnas'!$A$2:$A$100)),'indice columnas'!$B$2:$B$100,""""),
col,IFERROR(MATCH(campo,Referencia!$A$1:$AZ$1,0),0),
fila,IFERROR(MATCH(TO_TEXT(D3141),ARRAYFOR"&amp;"MULA(TO_TEXT(Referencia!$A$2:$A6238)),0),0),
IF(OR(campo="""",campo=""-""),""NO APLICA"",
IF(col=0,""REVISAR EQUIVALENCIA"",
IF(fila=0,""SKU NO ENCONTRADO"",
LET(
valor,INDEX(Referencia!$A$2:$AZ6238,fila,col),
IF(TRIM(TO_TEXT(valor))=TRIM(TO_TEXT(I3141)),"&amp;"
""OK"",
""NO COINCIDE. Valor verdadero: ""&amp;IF(valor="""",""[VACÍO]"",TO_TEXT(valor))
)
))))
),""ERROR EN FÓRMULA""))"),"OK")</f>
        <v>OK</v>
      </c>
    </row>
    <row r="3142">
      <c r="A3142" s="83" t="s">
        <v>4854</v>
      </c>
      <c r="B3142" s="83" t="s">
        <v>4855</v>
      </c>
      <c r="C3142" s="81" t="s">
        <v>4621</v>
      </c>
      <c r="D3142" s="83" t="s">
        <v>4871</v>
      </c>
      <c r="E3142" s="81" t="s">
        <v>4049</v>
      </c>
      <c r="F3142" s="84">
        <v>807.0</v>
      </c>
      <c r="G3142" s="81" t="s">
        <v>35</v>
      </c>
      <c r="H3142" s="81" t="s">
        <v>224</v>
      </c>
      <c r="I3142" s="81" t="s">
        <v>49</v>
      </c>
      <c r="J3142" s="81" t="s">
        <v>224</v>
      </c>
      <c r="K3142" s="81" t="str">
        <f>IFERROR(__xludf.DUMMYFUNCTION("IF(OR(D3142="""",G3142=""""),"""",IFERROR(LET(
campo,XLOOKUP(TRIM(G3142),ARRAYFORMULA(TRIM('indice columnas'!$A$2:$A$100)),'indice columnas'!$B$2:$B$100,""""),
col,IFERROR(MATCH(campo,Referencia!$A$1:$AZ$1,0),0),
fila,IFERROR(MATCH(TO_TEXT(D3142),ARRAYFOR"&amp;"MULA(TO_TEXT(Referencia!$A$2:$A6238)),0),0),
IF(OR(campo="""",campo=""-""),""NO APLICA"",
IF(col=0,""REVISAR EQUIVALENCIA"",
IF(fila=0,""SKU NO ENCONTRADO"",
LET(
valor,INDEX(Referencia!$A$2:$AZ6238,fila,col),
IF(TRIM(TO_TEXT(valor))=TRIM(TO_TEXT(I3142)),"&amp;"
""OK"",
""NO COINCIDE. Valor verdadero: ""&amp;IF(valor="""",""[VACÍO]"",TO_TEXT(valor))
)
))))
),""ERROR EN FÓRMULA""))"),"OK")</f>
        <v>OK</v>
      </c>
    </row>
    <row r="3143">
      <c r="A3143" s="83" t="s">
        <v>4854</v>
      </c>
      <c r="B3143" s="83" t="s">
        <v>4855</v>
      </c>
      <c r="C3143" s="81" t="s">
        <v>4621</v>
      </c>
      <c r="D3143" s="83" t="s">
        <v>4871</v>
      </c>
      <c r="E3143" s="81" t="s">
        <v>4049</v>
      </c>
      <c r="F3143" s="84">
        <v>807.0</v>
      </c>
      <c r="G3143" s="81" t="s">
        <v>36</v>
      </c>
      <c r="H3143" s="81" t="s">
        <v>224</v>
      </c>
      <c r="I3143" s="81" t="s">
        <v>2940</v>
      </c>
      <c r="J3143" s="81" t="s">
        <v>224</v>
      </c>
      <c r="K3143" s="81" t="str">
        <f>IFERROR(__xludf.DUMMYFUNCTION("IF(OR(D3143="""",G3143=""""),"""",IFERROR(LET(
campo,XLOOKUP(TRIM(G3143),ARRAYFORMULA(TRIM('indice columnas'!$A$2:$A$100)),'indice columnas'!$B$2:$B$100,""""),
col,IFERROR(MATCH(campo,Referencia!$A$1:$AZ$1,0),0),
fila,IFERROR(MATCH(TO_TEXT(D3143),ARRAYFOR"&amp;"MULA(TO_TEXT(Referencia!$A$2:$A6238)),0),0),
IF(OR(campo="""",campo=""-""),""NO APLICA"",
IF(col=0,""REVISAR EQUIVALENCIA"",
IF(fila=0,""SKU NO ENCONTRADO"",
LET(
valor,INDEX(Referencia!$A$2:$AZ6238,fila,col),
IF(TRIM(TO_TEXT(valor))=TRIM(TO_TEXT(I3143)),"&amp;"
""OK"",
""NO COINCIDE. Valor verdadero: ""&amp;IF(valor="""",""[VACÍO]"",TO_TEXT(valor))
)
))))
),""ERROR EN FÓRMULA""))"),"REVISAR EQUIVALENCIA")</f>
        <v>REVISAR EQUIVALENCIA</v>
      </c>
    </row>
    <row r="3144">
      <c r="A3144" s="83" t="s">
        <v>4854</v>
      </c>
      <c r="B3144" s="83" t="s">
        <v>4855</v>
      </c>
      <c r="C3144" s="81" t="s">
        <v>4621</v>
      </c>
      <c r="D3144" s="83" t="s">
        <v>4871</v>
      </c>
      <c r="E3144" s="81" t="s">
        <v>4049</v>
      </c>
      <c r="F3144" s="84">
        <v>807.0</v>
      </c>
      <c r="G3144" s="81" t="s">
        <v>37</v>
      </c>
      <c r="H3144" s="81" t="s">
        <v>224</v>
      </c>
      <c r="I3144" s="81" t="s">
        <v>720</v>
      </c>
      <c r="J3144" s="81" t="s">
        <v>224</v>
      </c>
      <c r="K3144" s="81" t="str">
        <f>IFERROR(__xludf.DUMMYFUNCTION("IF(OR(D3144="""",G3144=""""),"""",IFERROR(LET(
campo,XLOOKUP(TRIM(G3144),ARRAYFORMULA(TRIM('indice columnas'!$A$2:$A$100)),'indice columnas'!$B$2:$B$100,""""),
col,IFERROR(MATCH(campo,Referencia!$A$1:$AZ$1,0),0),
fila,IFERROR(MATCH(TO_TEXT(D3144),ARRAYFOR"&amp;"MULA(TO_TEXT(Referencia!$A$2:$A6238)),0),0),
IF(OR(campo="""",campo=""-""),""NO APLICA"",
IF(col=0,""REVISAR EQUIVALENCIA"",
IF(fila=0,""SKU NO ENCONTRADO"",
LET(
valor,INDEX(Referencia!$A$2:$AZ6238,fila,col),
IF(TRIM(TO_TEXT(valor))=TRIM(TO_TEXT(I3144)),"&amp;"
""OK"",
""NO COINCIDE. Valor verdadero: ""&amp;IF(valor="""",""[VACÍO]"",TO_TEXT(valor))
)
))))
),""ERROR EN FÓRMULA""))"),"OK")</f>
        <v>OK</v>
      </c>
    </row>
    <row r="3145">
      <c r="A3145" s="83" t="s">
        <v>4854</v>
      </c>
      <c r="B3145" s="83" t="s">
        <v>4855</v>
      </c>
      <c r="C3145" s="81" t="s">
        <v>4621</v>
      </c>
      <c r="D3145" s="83" t="s">
        <v>4871</v>
      </c>
      <c r="E3145" s="81" t="s">
        <v>4049</v>
      </c>
      <c r="F3145" s="84">
        <v>807.0</v>
      </c>
      <c r="G3145" s="81" t="s">
        <v>41</v>
      </c>
      <c r="H3145" s="81" t="s">
        <v>224</v>
      </c>
      <c r="I3145" s="81" t="s">
        <v>4054</v>
      </c>
      <c r="J3145" s="81" t="s">
        <v>224</v>
      </c>
      <c r="K3145" s="81" t="str">
        <f>IFERROR(__xludf.DUMMYFUNCTION("IF(OR(D3145="""",G3145=""""),"""",IFERROR(LET(
campo,XLOOKUP(TRIM(G3145),ARRAYFORMULA(TRIM('indice columnas'!$A$2:$A$100)),'indice columnas'!$B$2:$B$100,""""),
col,IFERROR(MATCH(campo,Referencia!$A$1:$AZ$1,0),0),
fila,IFERROR(MATCH(TO_TEXT(D3145),ARRAYFOR"&amp;"MULA(TO_TEXT(Referencia!$A$2:$A6238)),0),0),
IF(OR(campo="""",campo=""-""),""NO APLICA"",
IF(col=0,""REVISAR EQUIVALENCIA"",
IF(fila=0,""SKU NO ENCONTRADO"",
LET(
valor,INDEX(Referencia!$A$2:$AZ6238,fila,col),
IF(TRIM(TO_TEXT(valor))=TRIM(TO_TEXT(I3145)),"&amp;"
""OK"",
""NO COINCIDE. Valor verdadero: ""&amp;IF(valor="""",""[VACÍO]"",TO_TEXT(valor))
)
))))
),""ERROR EN FÓRMULA""))"),"REVISAR EQUIVALENCIA")</f>
        <v>REVISAR EQUIVALENCIA</v>
      </c>
    </row>
    <row r="3146">
      <c r="A3146" s="83" t="s">
        <v>4854</v>
      </c>
      <c r="B3146" s="83" t="s">
        <v>4855</v>
      </c>
      <c r="C3146" s="81" t="s">
        <v>4621</v>
      </c>
      <c r="D3146" s="83" t="s">
        <v>4872</v>
      </c>
      <c r="E3146" s="81" t="s">
        <v>4059</v>
      </c>
      <c r="F3146" s="84">
        <v>808.0</v>
      </c>
      <c r="G3146" s="81" t="s">
        <v>10</v>
      </c>
      <c r="H3146" s="81" t="s">
        <v>224</v>
      </c>
      <c r="I3146" s="81" t="s">
        <v>1534</v>
      </c>
      <c r="J3146" s="81" t="s">
        <v>224</v>
      </c>
      <c r="K3146" s="81" t="str">
        <f>IFERROR(__xludf.DUMMYFUNCTION("IF(OR(D3146="""",G3146=""""),"""",IFERROR(LET(
campo,XLOOKUP(TRIM(G3146),ARRAYFORMULA(TRIM('indice columnas'!$A$2:$A$100)),'indice columnas'!$B$2:$B$100,""""),
col,IFERROR(MATCH(campo,Referencia!$A$1:$AZ$1,0),0),
fila,IFERROR(MATCH(TO_TEXT(D3146),ARRAYFOR"&amp;"MULA(TO_TEXT(Referencia!$A$2:$A6238)),0),0),
IF(OR(campo="""",campo=""-""),""NO APLICA"",
IF(col=0,""REVISAR EQUIVALENCIA"",
IF(fila=0,""SKU NO ENCONTRADO"",
LET(
valor,INDEX(Referencia!$A$2:$AZ6238,fila,col),
IF(TRIM(TO_TEXT(valor))=TRIM(TO_TEXT(I3146)),"&amp;"
""OK"",
""NO COINCIDE. Valor verdadero: ""&amp;IF(valor="""",""[VACÍO]"",TO_TEXT(valor))
)
))))
),""ERROR EN FÓRMULA""))"),"OK")</f>
        <v>OK</v>
      </c>
    </row>
    <row r="3147">
      <c r="A3147" s="83" t="s">
        <v>4854</v>
      </c>
      <c r="B3147" s="83" t="s">
        <v>4855</v>
      </c>
      <c r="C3147" s="81" t="s">
        <v>4621</v>
      </c>
      <c r="D3147" s="83" t="s">
        <v>4872</v>
      </c>
      <c r="E3147" s="81" t="s">
        <v>4059</v>
      </c>
      <c r="F3147" s="84">
        <v>808.0</v>
      </c>
      <c r="G3147" s="81" t="s">
        <v>11</v>
      </c>
      <c r="H3147" s="81" t="s">
        <v>224</v>
      </c>
      <c r="I3147" s="81" t="s">
        <v>1403</v>
      </c>
      <c r="J3147" s="81" t="s">
        <v>224</v>
      </c>
      <c r="K3147" s="81" t="str">
        <f>IFERROR(__xludf.DUMMYFUNCTION("IF(OR(D3147="""",G3147=""""),"""",IFERROR(LET(
campo,XLOOKUP(TRIM(G3147),ARRAYFORMULA(TRIM('indice columnas'!$A$2:$A$100)),'indice columnas'!$B$2:$B$100,""""),
col,IFERROR(MATCH(campo,Referencia!$A$1:$AZ$1,0),0),
fila,IFERROR(MATCH(TO_TEXT(D3147),ARRAYFOR"&amp;"MULA(TO_TEXT(Referencia!$A$2:$A6238)),0),0),
IF(OR(campo="""",campo=""-""),""NO APLICA"",
IF(col=0,""REVISAR EQUIVALENCIA"",
IF(fila=0,""SKU NO ENCONTRADO"",
LET(
valor,INDEX(Referencia!$A$2:$AZ6238,fila,col),
IF(TRIM(TO_TEXT(valor))=TRIM(TO_TEXT(I3147)),"&amp;"
""OK"",
""NO COINCIDE. Valor verdadero: ""&amp;IF(valor="""",""[VACÍO]"",TO_TEXT(valor))
)
))))
),""ERROR EN FÓRMULA""))"),"OK")</f>
        <v>OK</v>
      </c>
    </row>
    <row r="3148">
      <c r="A3148" s="83" t="s">
        <v>4854</v>
      </c>
      <c r="B3148" s="83" t="s">
        <v>4855</v>
      </c>
      <c r="C3148" s="81" t="s">
        <v>4621</v>
      </c>
      <c r="D3148" s="83" t="s">
        <v>4872</v>
      </c>
      <c r="E3148" s="81" t="s">
        <v>4059</v>
      </c>
      <c r="F3148" s="84">
        <v>808.0</v>
      </c>
      <c r="G3148" s="81" t="s">
        <v>12</v>
      </c>
      <c r="H3148" s="81" t="s">
        <v>224</v>
      </c>
      <c r="I3148" s="81" t="s">
        <v>1549</v>
      </c>
      <c r="J3148" s="81" t="s">
        <v>224</v>
      </c>
      <c r="K3148" s="81" t="str">
        <f>IFERROR(__xludf.DUMMYFUNCTION("IF(OR(D3148="""",G3148=""""),"""",IFERROR(LET(
campo,XLOOKUP(TRIM(G3148),ARRAYFORMULA(TRIM('indice columnas'!$A$2:$A$100)),'indice columnas'!$B$2:$B$100,""""),
col,IFERROR(MATCH(campo,Referencia!$A$1:$AZ$1,0),0),
fila,IFERROR(MATCH(TO_TEXT(D3148),ARRAYFOR"&amp;"MULA(TO_TEXT(Referencia!$A$2:$A6238)),0),0),
IF(OR(campo="""",campo=""-""),""NO APLICA"",
IF(col=0,""REVISAR EQUIVALENCIA"",
IF(fila=0,""SKU NO ENCONTRADO"",
LET(
valor,INDEX(Referencia!$A$2:$AZ6238,fila,col),
IF(TRIM(TO_TEXT(valor))=TRIM(TO_TEXT(I3148)),"&amp;"
""OK"",
""NO COINCIDE. Valor verdadero: ""&amp;IF(valor="""",""[VACÍO]"",TO_TEXT(valor))
)
))))
),""ERROR EN FÓRMULA""))"),"OK")</f>
        <v>OK</v>
      </c>
    </row>
    <row r="3149">
      <c r="A3149" s="83" t="s">
        <v>4854</v>
      </c>
      <c r="B3149" s="83" t="s">
        <v>4855</v>
      </c>
      <c r="C3149" s="81" t="s">
        <v>4621</v>
      </c>
      <c r="D3149" s="83" t="s">
        <v>4872</v>
      </c>
      <c r="E3149" s="81" t="s">
        <v>4059</v>
      </c>
      <c r="F3149" s="84">
        <v>808.0</v>
      </c>
      <c r="G3149" s="81" t="s">
        <v>13</v>
      </c>
      <c r="H3149" s="81" t="s">
        <v>224</v>
      </c>
      <c r="I3149" s="81" t="s">
        <v>1610</v>
      </c>
      <c r="J3149" s="81" t="s">
        <v>224</v>
      </c>
      <c r="K3149" s="81" t="str">
        <f>IFERROR(__xludf.DUMMYFUNCTION("IF(OR(D3149="""",G3149=""""),"""",IFERROR(LET(
campo,XLOOKUP(TRIM(G3149),ARRAYFORMULA(TRIM('indice columnas'!$A$2:$A$100)),'indice columnas'!$B$2:$B$100,""""),
col,IFERROR(MATCH(campo,Referencia!$A$1:$AZ$1,0),0),
fila,IFERROR(MATCH(TO_TEXT(D3149),ARRAYFOR"&amp;"MULA(TO_TEXT(Referencia!$A$2:$A6238)),0),0),
IF(OR(campo="""",campo=""-""),""NO APLICA"",
IF(col=0,""REVISAR EQUIVALENCIA"",
IF(fila=0,""SKU NO ENCONTRADO"",
LET(
valor,INDEX(Referencia!$A$2:$AZ6238,fila,col),
IF(TRIM(TO_TEXT(valor))=TRIM(TO_TEXT(I3149)),"&amp;"
""OK"",
""NO COINCIDE. Valor verdadero: ""&amp;IF(valor="""",""[VACÍO]"",TO_TEXT(valor))
)
))))
),""ERROR EN FÓRMULA""))"),"OK")</f>
        <v>OK</v>
      </c>
    </row>
    <row r="3150">
      <c r="A3150" s="83" t="s">
        <v>4854</v>
      </c>
      <c r="B3150" s="83" t="s">
        <v>4855</v>
      </c>
      <c r="C3150" s="81" t="s">
        <v>4621</v>
      </c>
      <c r="D3150" s="83" t="s">
        <v>4872</v>
      </c>
      <c r="E3150" s="81" t="s">
        <v>4059</v>
      </c>
      <c r="F3150" s="84">
        <v>808.0</v>
      </c>
      <c r="G3150" s="81" t="s">
        <v>14</v>
      </c>
      <c r="H3150" s="81" t="s">
        <v>224</v>
      </c>
      <c r="I3150" s="81" t="s">
        <v>56</v>
      </c>
      <c r="J3150" s="81" t="s">
        <v>224</v>
      </c>
      <c r="K3150" s="81" t="str">
        <f>IFERROR(__xludf.DUMMYFUNCTION("IF(OR(D3150="""",G3150=""""),"""",IFERROR(LET(
campo,XLOOKUP(TRIM(G3150),ARRAYFORMULA(TRIM('indice columnas'!$A$2:$A$100)),'indice columnas'!$B$2:$B$100,""""),
col,IFERROR(MATCH(campo,Referencia!$A$1:$AZ$1,0),0),
fila,IFERROR(MATCH(TO_TEXT(D3150),ARRAYFOR"&amp;"MULA(TO_TEXT(Referencia!$A$2:$A6238)),0),0),
IF(OR(campo="""",campo=""-""),""NO APLICA"",
IF(col=0,""REVISAR EQUIVALENCIA"",
IF(fila=0,""SKU NO ENCONTRADO"",
LET(
valor,INDEX(Referencia!$A$2:$AZ6238,fila,col),
IF(TRIM(TO_TEXT(valor))=TRIM(TO_TEXT(I3150)),"&amp;"
""OK"",
""NO COINCIDE. Valor verdadero: ""&amp;IF(valor="""",""[VACÍO]"",TO_TEXT(valor))
)
))))
),""ERROR EN FÓRMULA""))"),"NO COINCIDE. Valor verdadero: 220-240")</f>
        <v>NO COINCIDE. Valor verdadero: 220-240</v>
      </c>
    </row>
    <row r="3151">
      <c r="A3151" s="83" t="s">
        <v>4854</v>
      </c>
      <c r="B3151" s="83" t="s">
        <v>4855</v>
      </c>
      <c r="C3151" s="81" t="s">
        <v>4621</v>
      </c>
      <c r="D3151" s="83" t="s">
        <v>4872</v>
      </c>
      <c r="E3151" s="81" t="s">
        <v>4059</v>
      </c>
      <c r="F3151" s="84">
        <v>808.0</v>
      </c>
      <c r="G3151" s="81" t="s">
        <v>15</v>
      </c>
      <c r="H3151" s="81" t="s">
        <v>224</v>
      </c>
      <c r="I3151" s="81" t="s">
        <v>57</v>
      </c>
      <c r="J3151" s="81" t="s">
        <v>224</v>
      </c>
      <c r="K3151" s="81" t="str">
        <f>IFERROR(__xludf.DUMMYFUNCTION("IF(OR(D3151="""",G3151=""""),"""",IFERROR(LET(
campo,XLOOKUP(TRIM(G3151),ARRAYFORMULA(TRIM('indice columnas'!$A$2:$A$100)),'indice columnas'!$B$2:$B$100,""""),
col,IFERROR(MATCH(campo,Referencia!$A$1:$AZ$1,0),0),
fila,IFERROR(MATCH(TO_TEXT(D3151),ARRAYFOR"&amp;"MULA(TO_TEXT(Referencia!$A$2:$A6238)),0),0),
IF(OR(campo="""",campo=""-""),""NO APLICA"",
IF(col=0,""REVISAR EQUIVALENCIA"",
IF(fila=0,""SKU NO ENCONTRADO"",
LET(
valor,INDEX(Referencia!$A$2:$AZ6238,fila,col),
IF(TRIM(TO_TEXT(valor))=TRIM(TO_TEXT(I3151)),"&amp;"
""OK"",
""NO COINCIDE. Valor verdadero: ""&amp;IF(valor="""",""[VACÍO]"",TO_TEXT(valor))
)
))))
),""ERROR EN FÓRMULA""))"),"NO COINCIDE. Valor verdadero: 50/60")</f>
        <v>NO COINCIDE. Valor verdadero: 50/60</v>
      </c>
    </row>
    <row r="3152">
      <c r="A3152" s="83" t="s">
        <v>4854</v>
      </c>
      <c r="B3152" s="83" t="s">
        <v>4855</v>
      </c>
      <c r="C3152" s="81" t="s">
        <v>4621</v>
      </c>
      <c r="D3152" s="83" t="s">
        <v>4872</v>
      </c>
      <c r="E3152" s="81" t="s">
        <v>4059</v>
      </c>
      <c r="F3152" s="84">
        <v>808.0</v>
      </c>
      <c r="G3152" s="81" t="s">
        <v>16</v>
      </c>
      <c r="H3152" s="81" t="s">
        <v>224</v>
      </c>
      <c r="I3152" s="81" t="s">
        <v>1299</v>
      </c>
      <c r="J3152" s="81" t="s">
        <v>224</v>
      </c>
      <c r="K3152" s="81" t="str">
        <f>IFERROR(__xludf.DUMMYFUNCTION("IF(OR(D3152="""",G3152=""""),"""",IFERROR(LET(
campo,XLOOKUP(TRIM(G3152),ARRAYFORMULA(TRIM('indice columnas'!$A$2:$A$100)),'indice columnas'!$B$2:$B$100,""""),
col,IFERROR(MATCH(campo,Referencia!$A$1:$AZ$1,0),0),
fila,IFERROR(MATCH(TO_TEXT(D3152),ARRAYFOR"&amp;"MULA(TO_TEXT(Referencia!$A$2:$A6238)),0),0),
IF(OR(campo="""",campo=""-""),""NO APLICA"",
IF(col=0,""REVISAR EQUIVALENCIA"",
IF(fila=0,""SKU NO ENCONTRADO"",
LET(
valor,INDEX(Referencia!$A$2:$AZ6238,fila,col),
IF(TRIM(TO_TEXT(valor))=TRIM(TO_TEXT(I3152)),"&amp;"
""OK"",
""NO COINCIDE. Valor verdadero: ""&amp;IF(valor="""",""[VACÍO]"",TO_TEXT(valor))
)
))))
),""ERROR EN FÓRMULA""))"),"NO COINCIDE. Valor verdadero: 10")</f>
        <v>NO COINCIDE. Valor verdadero: 10</v>
      </c>
    </row>
    <row r="3153">
      <c r="A3153" s="83" t="s">
        <v>4854</v>
      </c>
      <c r="B3153" s="83" t="s">
        <v>4855</v>
      </c>
      <c r="C3153" s="81" t="s">
        <v>4621</v>
      </c>
      <c r="D3153" s="83" t="s">
        <v>4872</v>
      </c>
      <c r="E3153" s="81" t="s">
        <v>4059</v>
      </c>
      <c r="F3153" s="84">
        <v>808.0</v>
      </c>
      <c r="G3153" s="81" t="s">
        <v>17</v>
      </c>
      <c r="H3153" s="81" t="s">
        <v>224</v>
      </c>
      <c r="I3153" s="83" t="s">
        <v>2762</v>
      </c>
      <c r="J3153" s="81" t="s">
        <v>224</v>
      </c>
      <c r="K3153" s="81" t="str">
        <f>IFERROR(__xludf.DUMMYFUNCTION("IF(OR(D3153="""",G3153=""""),"""",IFERROR(LET(
campo,XLOOKUP(TRIM(G3153),ARRAYFORMULA(TRIM('indice columnas'!$A$2:$A$100)),'indice columnas'!$B$2:$B$100,""""),
col,IFERROR(MATCH(campo,Referencia!$A$1:$AZ$1,0),0),
fila,IFERROR(MATCH(TO_TEXT(D3153),ARRAYFOR"&amp;"MULA(TO_TEXT(Referencia!$A$2:$A6238)),0),0),
IF(OR(campo="""",campo=""-""),""NO APLICA"",
IF(col=0,""REVISAR EQUIVALENCIA"",
IF(fila=0,""SKU NO ENCONTRADO"",
LET(
valor,INDEX(Referencia!$A$2:$AZ6238,fila,col),
IF(TRIM(TO_TEXT(valor))=TRIM(TO_TEXT(I3153)),"&amp;"
""OK"",
""NO COINCIDE. Valor verdadero: ""&amp;IF(valor="""",""[VACÍO]"",TO_TEXT(valor))
)
))))
),""ERROR EN FÓRMULA""))"),"OK")</f>
        <v>OK</v>
      </c>
    </row>
    <row r="3154">
      <c r="A3154" s="83" t="s">
        <v>4854</v>
      </c>
      <c r="B3154" s="83" t="s">
        <v>4855</v>
      </c>
      <c r="C3154" s="81" t="s">
        <v>4621</v>
      </c>
      <c r="D3154" s="83" t="s">
        <v>4872</v>
      </c>
      <c r="E3154" s="81" t="s">
        <v>4059</v>
      </c>
      <c r="F3154" s="84">
        <v>808.0</v>
      </c>
      <c r="G3154" s="81" t="s">
        <v>18</v>
      </c>
      <c r="H3154" s="81" t="s">
        <v>224</v>
      </c>
      <c r="I3154" s="81" t="s">
        <v>49</v>
      </c>
      <c r="J3154" s="81" t="s">
        <v>224</v>
      </c>
      <c r="K3154" s="81" t="str">
        <f>IFERROR(__xludf.DUMMYFUNCTION("IF(OR(D3154="""",G3154=""""),"""",IFERROR(LET(
campo,XLOOKUP(TRIM(G3154),ARRAYFORMULA(TRIM('indice columnas'!$A$2:$A$100)),'indice columnas'!$B$2:$B$100,""""),
col,IFERROR(MATCH(campo,Referencia!$A$1:$AZ$1,0),0),
fila,IFERROR(MATCH(TO_TEXT(D3154),ARRAYFOR"&amp;"MULA(TO_TEXT(Referencia!$A$2:$A6238)),0),0),
IF(OR(campo="""",campo=""-""),""NO APLICA"",
IF(col=0,""REVISAR EQUIVALENCIA"",
IF(fila=0,""SKU NO ENCONTRADO"",
LET(
valor,INDEX(Referencia!$A$2:$AZ6238,fila,col),
IF(TRIM(TO_TEXT(valor))=TRIM(TO_TEXT(I3154)),"&amp;"
""OK"",
""NO COINCIDE. Valor verdadero: ""&amp;IF(valor="""",""[VACÍO]"",TO_TEXT(valor))
)
))))
),""ERROR EN FÓRMULA""))"),"OK")</f>
        <v>OK</v>
      </c>
    </row>
    <row r="3155">
      <c r="A3155" s="83" t="s">
        <v>4854</v>
      </c>
      <c r="B3155" s="83" t="s">
        <v>4855</v>
      </c>
      <c r="C3155" s="81" t="s">
        <v>4621</v>
      </c>
      <c r="D3155" s="83" t="s">
        <v>4872</v>
      </c>
      <c r="E3155" s="81" t="s">
        <v>4059</v>
      </c>
      <c r="F3155" s="84">
        <v>808.0</v>
      </c>
      <c r="G3155" s="81" t="s">
        <v>19</v>
      </c>
      <c r="H3155" s="81" t="s">
        <v>224</v>
      </c>
      <c r="I3155" s="81" t="s">
        <v>49</v>
      </c>
      <c r="J3155" s="81" t="s">
        <v>224</v>
      </c>
      <c r="K3155" s="81" t="str">
        <f>IFERROR(__xludf.DUMMYFUNCTION("IF(OR(D3155="""",G3155=""""),"""",IFERROR(LET(
campo,XLOOKUP(TRIM(G3155),ARRAYFORMULA(TRIM('indice columnas'!$A$2:$A$100)),'indice columnas'!$B$2:$B$100,""""),
col,IFERROR(MATCH(campo,Referencia!$A$1:$AZ$1,0),0),
fila,IFERROR(MATCH(TO_TEXT(D3155),ARRAYFOR"&amp;"MULA(TO_TEXT(Referencia!$A$2:$A6238)),0),0),
IF(OR(campo="""",campo=""-""),""NO APLICA"",
IF(col=0,""REVISAR EQUIVALENCIA"",
IF(fila=0,""SKU NO ENCONTRADO"",
LET(
valor,INDEX(Referencia!$A$2:$AZ6238,fila,col),
IF(TRIM(TO_TEXT(valor))=TRIM(TO_TEXT(I3155)),"&amp;"
""OK"",
""NO COINCIDE. Valor verdadero: ""&amp;IF(valor="""",""[VACÍO]"",TO_TEXT(valor))
)
))))
),""ERROR EN FÓRMULA""))"),"OK")</f>
        <v>OK</v>
      </c>
    </row>
    <row r="3156">
      <c r="A3156" s="83" t="s">
        <v>4854</v>
      </c>
      <c r="B3156" s="83" t="s">
        <v>4855</v>
      </c>
      <c r="C3156" s="81" t="s">
        <v>4621</v>
      </c>
      <c r="D3156" s="83" t="s">
        <v>4872</v>
      </c>
      <c r="E3156" s="81" t="s">
        <v>4059</v>
      </c>
      <c r="F3156" s="84">
        <v>808.0</v>
      </c>
      <c r="G3156" s="81" t="s">
        <v>20</v>
      </c>
      <c r="H3156" s="81" t="s">
        <v>224</v>
      </c>
      <c r="I3156" s="81" t="s">
        <v>4060</v>
      </c>
      <c r="J3156" s="81" t="s">
        <v>224</v>
      </c>
      <c r="K3156" s="81" t="str">
        <f>IFERROR(__xludf.DUMMYFUNCTION("IF(OR(D3156="""",G3156=""""),"""",IFERROR(LET(
campo,XLOOKUP(TRIM(G3156),ARRAYFORMULA(TRIM('indice columnas'!$A$2:$A$100)),'indice columnas'!$B$2:$B$100,""""),
col,IFERROR(MATCH(campo,Referencia!$A$1:$AZ$1,0),0),
fila,IFERROR(MATCH(TO_TEXT(D3156),ARRAYFOR"&amp;"MULA(TO_TEXT(Referencia!$A$2:$A6238)),0),0),
IF(OR(campo="""",campo=""-""),""NO APLICA"",
IF(col=0,""REVISAR EQUIVALENCIA"",
IF(fila=0,""SKU NO ENCONTRADO"",
LET(
valor,INDEX(Referencia!$A$2:$AZ6238,fila,col),
IF(TRIM(TO_TEXT(valor))=TRIM(TO_TEXT(I3156)),"&amp;"
""OK"",
""NO COINCIDE. Valor verdadero: ""&amp;IF(valor="""",""[VACÍO]"",TO_TEXT(valor))
)
))))
),""ERROR EN FÓRMULA""))"),"NO COINCIDE. Valor verdadero: 785")</f>
        <v>NO COINCIDE. Valor verdadero: 785</v>
      </c>
    </row>
    <row r="3157">
      <c r="A3157" s="83" t="s">
        <v>4854</v>
      </c>
      <c r="B3157" s="83" t="s">
        <v>4855</v>
      </c>
      <c r="C3157" s="81" t="s">
        <v>4621</v>
      </c>
      <c r="D3157" s="83" t="s">
        <v>4872</v>
      </c>
      <c r="E3157" s="81" t="s">
        <v>4059</v>
      </c>
      <c r="F3157" s="84">
        <v>808.0</v>
      </c>
      <c r="G3157" s="81" t="s">
        <v>21</v>
      </c>
      <c r="H3157" s="81" t="s">
        <v>224</v>
      </c>
      <c r="I3157" s="81" t="s">
        <v>4061</v>
      </c>
      <c r="J3157" s="81" t="s">
        <v>224</v>
      </c>
      <c r="K3157" s="81" t="str">
        <f>IFERROR(__xludf.DUMMYFUNCTION("IF(OR(D3157="""",G3157=""""),"""",IFERROR(LET(
campo,XLOOKUP(TRIM(G3157),ARRAYFORMULA(TRIM('indice columnas'!$A$2:$A$100)),'indice columnas'!$B$2:$B$100,""""),
col,IFERROR(MATCH(campo,Referencia!$A$1:$AZ$1,0),0),
fila,IFERROR(MATCH(TO_TEXT(D3157),ARRAYFOR"&amp;"MULA(TO_TEXT(Referencia!$A$2:$A6238)),0),0),
IF(OR(campo="""",campo=""-""),""NO APLICA"",
IF(col=0,""REVISAR EQUIVALENCIA"",
IF(fila=0,""SKU NO ENCONTRADO"",
LET(
valor,INDEX(Referencia!$A$2:$AZ6238,fila,col),
IF(TRIM(TO_TEXT(valor))=TRIM(TO_TEXT(I3157)),"&amp;"
""OK"",
""NO COINCIDE. Valor verdadero: ""&amp;IF(valor="""",""[VACÍO]"",TO_TEXT(valor))
)
))))
),""ERROR EN FÓRMULA""))"),"NO COINCIDE. Valor verdadero: 79")</f>
        <v>NO COINCIDE. Valor verdadero: 79</v>
      </c>
    </row>
    <row r="3158">
      <c r="A3158" s="83" t="s">
        <v>4854</v>
      </c>
      <c r="B3158" s="83" t="s">
        <v>4855</v>
      </c>
      <c r="C3158" s="81" t="s">
        <v>4621</v>
      </c>
      <c r="D3158" s="83" t="s">
        <v>4872</v>
      </c>
      <c r="E3158" s="81" t="s">
        <v>4059</v>
      </c>
      <c r="F3158" s="84">
        <v>808.0</v>
      </c>
      <c r="G3158" s="81" t="s">
        <v>22</v>
      </c>
      <c r="H3158" s="81" t="s">
        <v>224</v>
      </c>
      <c r="I3158" s="81" t="s">
        <v>89</v>
      </c>
      <c r="J3158" s="81" t="s">
        <v>224</v>
      </c>
      <c r="K3158" s="81" t="str">
        <f>IFERROR(__xludf.DUMMYFUNCTION("IF(OR(D3158="""",G3158=""""),"""",IFERROR(LET(
campo,XLOOKUP(TRIM(G3158),ARRAYFORMULA(TRIM('indice columnas'!$A$2:$A$100)),'indice columnas'!$B$2:$B$100,""""),
col,IFERROR(MATCH(campo,Referencia!$A$1:$AZ$1,0),0),
fila,IFERROR(MATCH(TO_TEXT(D3158),ARRAYFOR"&amp;"MULA(TO_TEXT(Referencia!$A$2:$A6238)),0),0),
IF(OR(campo="""",campo=""-""),""NO APLICA"",
IF(col=0,""REVISAR EQUIVALENCIA"",
IF(fila=0,""SKU NO ENCONTRADO"",
LET(
valor,INDEX(Referencia!$A$2:$AZ6238,fila,col),
IF(TRIM(TO_TEXT(valor))=TRIM(TO_TEXT(I3158)),"&amp;"
""OK"",
""NO COINCIDE. Valor verdadero: ""&amp;IF(valor="""",""[VACÍO]"",TO_TEXT(valor))
)
))))
),""ERROR EN FÓRMULA""))"),"NO COINCIDE. Valor verdadero: 3000")</f>
        <v>NO COINCIDE. Valor verdadero: 3000</v>
      </c>
    </row>
    <row r="3159">
      <c r="A3159" s="83" t="s">
        <v>4854</v>
      </c>
      <c r="B3159" s="83" t="s">
        <v>4855</v>
      </c>
      <c r="C3159" s="81" t="s">
        <v>4621</v>
      </c>
      <c r="D3159" s="83" t="s">
        <v>4872</v>
      </c>
      <c r="E3159" s="81" t="s">
        <v>4059</v>
      </c>
      <c r="F3159" s="84">
        <v>808.0</v>
      </c>
      <c r="G3159" s="81" t="s">
        <v>23</v>
      </c>
      <c r="H3159" s="81" t="s">
        <v>224</v>
      </c>
      <c r="I3159" s="81" t="s">
        <v>1797</v>
      </c>
      <c r="J3159" s="81" t="s">
        <v>224</v>
      </c>
      <c r="K3159" s="81" t="str">
        <f>IFERROR(__xludf.DUMMYFUNCTION("IF(OR(D3159="""",G3159=""""),"""",IFERROR(LET(
campo,XLOOKUP(TRIM(G3159),ARRAYFORMULA(TRIM('indice columnas'!$A$2:$A$100)),'indice columnas'!$B$2:$B$100,""""),
col,IFERROR(MATCH(campo,Referencia!$A$1:$AZ$1,0),0),
fila,IFERROR(MATCH(TO_TEXT(D3159),ARRAYFOR"&amp;"MULA(TO_TEXT(Referencia!$A$2:$A6238)),0),0),
IF(OR(campo="""",campo=""-""),""NO APLICA"",
IF(col=0,""REVISAR EQUIVALENCIA"",
IF(fila=0,""SKU NO ENCONTRADO"",
LET(
valor,INDEX(Referencia!$A$2:$AZ6238,fila,col),
IF(TRIM(TO_TEXT(valor))=TRIM(TO_TEXT(I3159)),"&amp;"
""OK"",
""NO COINCIDE. Valor verdadero: ""&amp;IF(valor="""",""[VACÍO]"",TO_TEXT(valor))
)
))))
),""ERROR EN FÓRMULA""))"),"OK")</f>
        <v>OK</v>
      </c>
    </row>
    <row r="3160">
      <c r="A3160" s="83" t="s">
        <v>4854</v>
      </c>
      <c r="B3160" s="83" t="s">
        <v>4855</v>
      </c>
      <c r="C3160" s="81" t="s">
        <v>4621</v>
      </c>
      <c r="D3160" s="83" t="s">
        <v>4872</v>
      </c>
      <c r="E3160" s="81" t="s">
        <v>4059</v>
      </c>
      <c r="F3160" s="84">
        <v>808.0</v>
      </c>
      <c r="G3160" s="81" t="s">
        <v>24</v>
      </c>
      <c r="H3160" s="81" t="s">
        <v>224</v>
      </c>
      <c r="I3160" s="81" t="s">
        <v>2938</v>
      </c>
      <c r="J3160" s="81" t="s">
        <v>224</v>
      </c>
      <c r="K3160" s="81" t="str">
        <f>IFERROR(__xludf.DUMMYFUNCTION("IF(OR(D3160="""",G3160=""""),"""",IFERROR(LET(
campo,XLOOKUP(TRIM(G3160),ARRAYFORMULA(TRIM('indice columnas'!$A$2:$A$100)),'indice columnas'!$B$2:$B$100,""""),
col,IFERROR(MATCH(campo,Referencia!$A$1:$AZ$1,0),0),
fila,IFERROR(MATCH(TO_TEXT(D3160),ARRAYFOR"&amp;"MULA(TO_TEXT(Referencia!$A$2:$A6238)),0),0),
IF(OR(campo="""",campo=""-""),""NO APLICA"",
IF(col=0,""REVISAR EQUIVALENCIA"",
IF(fila=0,""SKU NO ENCONTRADO"",
LET(
valor,INDEX(Referencia!$A$2:$AZ6238,fila,col),
IF(TRIM(TO_TEXT(valor))=TRIM(TO_TEXT(I3160)),"&amp;"
""OK"",
""NO COINCIDE. Valor verdadero: ""&amp;IF(valor="""",""[VACÍO]"",TO_TEXT(valor))
)
))))
),""ERROR EN FÓRMULA""))"),"NO COINCIDE. Valor verdadero: 38")</f>
        <v>NO COINCIDE. Valor verdadero: 38</v>
      </c>
    </row>
    <row r="3161">
      <c r="A3161" s="83" t="s">
        <v>4854</v>
      </c>
      <c r="B3161" s="83" t="s">
        <v>4855</v>
      </c>
      <c r="C3161" s="81" t="s">
        <v>4621</v>
      </c>
      <c r="D3161" s="83" t="s">
        <v>4872</v>
      </c>
      <c r="E3161" s="81" t="s">
        <v>4059</v>
      </c>
      <c r="F3161" s="84">
        <v>808.0</v>
      </c>
      <c r="G3161" s="81" t="s">
        <v>25</v>
      </c>
      <c r="H3161" s="81" t="s">
        <v>224</v>
      </c>
      <c r="I3161" s="81" t="s">
        <v>1852</v>
      </c>
      <c r="J3161" s="81" t="s">
        <v>224</v>
      </c>
      <c r="K3161" s="81" t="str">
        <f>IFERROR(__xludf.DUMMYFUNCTION("IF(OR(D3161="""",G3161=""""),"""",IFERROR(LET(
campo,XLOOKUP(TRIM(G3161),ARRAYFORMULA(TRIM('indice columnas'!$A$2:$A$100)),'indice columnas'!$B$2:$B$100,""""),
col,IFERROR(MATCH(campo,Referencia!$A$1:$AZ$1,0),0),
fila,IFERROR(MATCH(TO_TEXT(D3161),ARRAYFOR"&amp;"MULA(TO_TEXT(Referencia!$A$2:$A6238)),0),0),
IF(OR(campo="""",campo=""-""),""NO APLICA"",
IF(col=0,""REVISAR EQUIVALENCIA"",
IF(fila=0,""SKU NO ENCONTRADO"",
LET(
valor,INDEX(Referencia!$A$2:$AZ6238,fila,col),
IF(TRIM(TO_TEXT(valor))=TRIM(TO_TEXT(I3161)),"&amp;"
""OK"",
""NO COINCIDE. Valor verdadero: ""&amp;IF(valor="""",""[VACÍO]"",TO_TEXT(valor))
)
))))
),""ERROR EN FÓRMULA""))"),"OK")</f>
        <v>OK</v>
      </c>
    </row>
    <row r="3162">
      <c r="A3162" s="83" t="s">
        <v>4854</v>
      </c>
      <c r="B3162" s="83" t="s">
        <v>4855</v>
      </c>
      <c r="C3162" s="81" t="s">
        <v>4621</v>
      </c>
      <c r="D3162" s="83" t="s">
        <v>4872</v>
      </c>
      <c r="E3162" s="81" t="s">
        <v>4059</v>
      </c>
      <c r="F3162" s="84">
        <v>808.0</v>
      </c>
      <c r="G3162" s="81" t="s">
        <v>26</v>
      </c>
      <c r="H3162" s="81" t="s">
        <v>224</v>
      </c>
      <c r="I3162" s="81" t="s">
        <v>231</v>
      </c>
      <c r="J3162" s="81" t="s">
        <v>224</v>
      </c>
      <c r="K3162" s="81" t="str">
        <f>IFERROR(__xludf.DUMMYFUNCTION("IF(OR(D3162="""",G3162=""""),"""",IFERROR(LET(
campo,XLOOKUP(TRIM(G3162),ARRAYFORMULA(TRIM('indice columnas'!$A$2:$A$100)),'indice columnas'!$B$2:$B$100,""""),
col,IFERROR(MATCH(campo,Referencia!$A$1:$AZ$1,0),0),
fila,IFERROR(MATCH(TO_TEXT(D3162),ARRAYFOR"&amp;"MULA(TO_TEXT(Referencia!$A$2:$A6238)),0),0),
IF(OR(campo="""",campo=""-""),""NO APLICA"",
IF(col=0,""REVISAR EQUIVALENCIA"",
IF(fila=0,""SKU NO ENCONTRADO"",
LET(
valor,INDEX(Referencia!$A$2:$AZ6238,fila,col),
IF(TRIM(TO_TEXT(valor))=TRIM(TO_TEXT(I3162)),"&amp;"
""OK"",
""NO COINCIDE. Valor verdadero: ""&amp;IF(valor="""",""[VACÍO]"",TO_TEXT(valor))
)
))))
),""ERROR EN FÓRMULA""))"),"OK")</f>
        <v>OK</v>
      </c>
    </row>
    <row r="3163">
      <c r="A3163" s="83" t="s">
        <v>4854</v>
      </c>
      <c r="B3163" s="83" t="s">
        <v>4855</v>
      </c>
      <c r="C3163" s="81" t="s">
        <v>4621</v>
      </c>
      <c r="D3163" s="83" t="s">
        <v>4872</v>
      </c>
      <c r="E3163" s="81" t="s">
        <v>4059</v>
      </c>
      <c r="F3163" s="84">
        <v>808.0</v>
      </c>
      <c r="G3163" s="81" t="s">
        <v>27</v>
      </c>
      <c r="H3163" s="81" t="s">
        <v>224</v>
      </c>
      <c r="I3163" s="81" t="s">
        <v>60</v>
      </c>
      <c r="J3163" s="81" t="s">
        <v>224</v>
      </c>
      <c r="K3163" s="81" t="str">
        <f>IFERROR(__xludf.DUMMYFUNCTION("IF(OR(D3163="""",G3163=""""),"""",IFERROR(LET(
campo,XLOOKUP(TRIM(G3163),ARRAYFORMULA(TRIM('indice columnas'!$A$2:$A$100)),'indice columnas'!$B$2:$B$100,""""),
col,IFERROR(MATCH(campo,Referencia!$A$1:$AZ$1,0),0),
fila,IFERROR(MATCH(TO_TEXT(D3163),ARRAYFOR"&amp;"MULA(TO_TEXT(Referencia!$A$2:$A6238)),0),0),
IF(OR(campo="""",campo=""-""),""NO APLICA"",
IF(col=0,""REVISAR EQUIVALENCIA"",
IF(fila=0,""SKU NO ENCONTRADO"",
LET(
valor,INDEX(Referencia!$A$2:$AZ6238,fila,col),
IF(TRIM(TO_TEXT(valor))=TRIM(TO_TEXT(I3163)),"&amp;"
""OK"",
""NO COINCIDE. Valor verdadero: ""&amp;IF(valor="""",""[VACÍO]"",TO_TEXT(valor))
)
))))
),""ERROR EN FÓRMULA""))"),"OK")</f>
        <v>OK</v>
      </c>
    </row>
    <row r="3164">
      <c r="A3164" s="83" t="s">
        <v>4854</v>
      </c>
      <c r="B3164" s="83" t="s">
        <v>4855</v>
      </c>
      <c r="C3164" s="81" t="s">
        <v>4621</v>
      </c>
      <c r="D3164" s="83" t="s">
        <v>4872</v>
      </c>
      <c r="E3164" s="81" t="s">
        <v>4059</v>
      </c>
      <c r="F3164" s="84">
        <v>808.0</v>
      </c>
      <c r="G3164" s="81" t="s">
        <v>28</v>
      </c>
      <c r="H3164" s="81" t="s">
        <v>224</v>
      </c>
      <c r="I3164" s="81" t="s">
        <v>219</v>
      </c>
      <c r="J3164" s="81" t="s">
        <v>224</v>
      </c>
      <c r="K3164" s="81" t="str">
        <f>IFERROR(__xludf.DUMMYFUNCTION("IF(OR(D3164="""",G3164=""""),"""",IFERROR(LET(
campo,XLOOKUP(TRIM(G3164),ARRAYFORMULA(TRIM('indice columnas'!$A$2:$A$100)),'indice columnas'!$B$2:$B$100,""""),
col,IFERROR(MATCH(campo,Referencia!$A$1:$AZ$1,0),0),
fila,IFERROR(MATCH(TO_TEXT(D3164),ARRAYFOR"&amp;"MULA(TO_TEXT(Referencia!$A$2:$A6238)),0),0),
IF(OR(campo="""",campo=""-""),""NO APLICA"",
IF(col=0,""REVISAR EQUIVALENCIA"",
IF(fila=0,""SKU NO ENCONTRADO"",
LET(
valor,INDEX(Referencia!$A$2:$AZ6238,fila,col),
IF(TRIM(TO_TEXT(valor))=TRIM(TO_TEXT(I3164)),"&amp;"
""OK"",
""NO COINCIDE. Valor verdadero: ""&amp;IF(valor="""",""[VACÍO]"",TO_TEXT(valor))
)
))))
),""ERROR EN FÓRMULA""))"),"OK")</f>
        <v>OK</v>
      </c>
    </row>
    <row r="3165">
      <c r="A3165" s="83" t="s">
        <v>4854</v>
      </c>
      <c r="B3165" s="83" t="s">
        <v>4855</v>
      </c>
      <c r="C3165" s="81" t="s">
        <v>4621</v>
      </c>
      <c r="D3165" s="83" t="s">
        <v>4872</v>
      </c>
      <c r="E3165" s="81" t="s">
        <v>4059</v>
      </c>
      <c r="F3165" s="84">
        <v>808.0</v>
      </c>
      <c r="G3165" s="81" t="s">
        <v>29</v>
      </c>
      <c r="H3165" s="81" t="s">
        <v>224</v>
      </c>
      <c r="I3165" s="81" t="s">
        <v>4062</v>
      </c>
      <c r="J3165" s="81" t="s">
        <v>224</v>
      </c>
      <c r="K3165" s="81" t="str">
        <f>IFERROR(__xludf.DUMMYFUNCTION("IF(OR(D3165="""",G3165=""""),"""",IFERROR(LET(
campo,XLOOKUP(TRIM(G3165),ARRAYFORMULA(TRIM('indice columnas'!$A$2:$A$100)),'indice columnas'!$B$2:$B$100,""""),
col,IFERROR(MATCH(campo,Referencia!$A$1:$AZ$1,0),0),
fila,IFERROR(MATCH(TO_TEXT(D3165),ARRAYFOR"&amp;"MULA(TO_TEXT(Referencia!$A$2:$A6238)),0),0),
IF(OR(campo="""",campo=""-""),""NO APLICA"",
IF(col=0,""REVISAR EQUIVALENCIA"",
IF(fila=0,""SKU NO ENCONTRADO"",
LET(
valor,INDEX(Referencia!$A$2:$AZ6238,fila,col),
IF(TRIM(TO_TEXT(valor))=TRIM(TO_TEXT(I3165)),"&amp;"
""OK"",
""NO COINCIDE. Valor verdadero: ""&amp;IF(valor="""",""[VACÍO]"",TO_TEXT(valor))
)
))))
),""ERROR EN FÓRMULA""))"),"NO COINCIDE. Valor verdadero: Ø76 x 600")</f>
        <v>NO COINCIDE. Valor verdadero: Ø76 x 600</v>
      </c>
    </row>
    <row r="3166">
      <c r="A3166" s="83" t="s">
        <v>4854</v>
      </c>
      <c r="B3166" s="83" t="s">
        <v>4855</v>
      </c>
      <c r="C3166" s="81" t="s">
        <v>4621</v>
      </c>
      <c r="D3166" s="83" t="s">
        <v>4872</v>
      </c>
      <c r="E3166" s="81" t="s">
        <v>4059</v>
      </c>
      <c r="F3166" s="84">
        <v>808.0</v>
      </c>
      <c r="G3166" s="81" t="s">
        <v>30</v>
      </c>
      <c r="H3166" s="81" t="s">
        <v>224</v>
      </c>
      <c r="I3166" s="81" t="s">
        <v>55</v>
      </c>
      <c r="J3166" s="81" t="s">
        <v>224</v>
      </c>
      <c r="K3166" s="81" t="str">
        <f>IFERROR(__xludf.DUMMYFUNCTION("IF(OR(D3166="""",G3166=""""),"""",IFERROR(LET(
campo,XLOOKUP(TRIM(G3166),ARRAYFORMULA(TRIM('indice columnas'!$A$2:$A$100)),'indice columnas'!$B$2:$B$100,""""),
col,IFERROR(MATCH(campo,Referencia!$A$1:$AZ$1,0),0),
fila,IFERROR(MATCH(TO_TEXT(D3166),ARRAYFOR"&amp;"MULA(TO_TEXT(Referencia!$A$2:$A6238)),0),0),
IF(OR(campo="""",campo=""-""),""NO APLICA"",
IF(col=0,""REVISAR EQUIVALENCIA"",
IF(fila=0,""SKU NO ENCONTRADO"",
LET(
valor,INDEX(Referencia!$A$2:$AZ6238,fila,col),
IF(TRIM(TO_TEXT(valor))=TRIM(TO_TEXT(I3166)),"&amp;"
""OK"",
""NO COINCIDE. Valor verdadero: ""&amp;IF(valor="""",""[VACÍO]"",TO_TEXT(valor))
)
))))
),""ERROR EN FÓRMULA""))"),"OK")</f>
        <v>OK</v>
      </c>
    </row>
    <row r="3167">
      <c r="A3167" s="83" t="s">
        <v>4854</v>
      </c>
      <c r="B3167" s="83" t="s">
        <v>4855</v>
      </c>
      <c r="C3167" s="81" t="s">
        <v>4621</v>
      </c>
      <c r="D3167" s="83" t="s">
        <v>4872</v>
      </c>
      <c r="E3167" s="81" t="s">
        <v>4059</v>
      </c>
      <c r="F3167" s="84">
        <v>808.0</v>
      </c>
      <c r="G3167" s="81" t="s">
        <v>31</v>
      </c>
      <c r="H3167" s="81" t="s">
        <v>224</v>
      </c>
      <c r="I3167" s="81" t="s">
        <v>55</v>
      </c>
      <c r="J3167" s="81" t="s">
        <v>224</v>
      </c>
      <c r="K3167" s="81" t="str">
        <f>IFERROR(__xludf.DUMMYFUNCTION("IF(OR(D3167="""",G3167=""""),"""",IFERROR(LET(
campo,XLOOKUP(TRIM(G3167),ARRAYFORMULA(TRIM('indice columnas'!$A$2:$A$100)),'indice columnas'!$B$2:$B$100,""""),
col,IFERROR(MATCH(campo,Referencia!$A$1:$AZ$1,0),0),
fila,IFERROR(MATCH(TO_TEXT(D3167),ARRAYFOR"&amp;"MULA(TO_TEXT(Referencia!$A$2:$A6238)),0),0),
IF(OR(campo="""",campo=""-""),""NO APLICA"",
IF(col=0,""REVISAR EQUIVALENCIA"",
IF(fila=0,""SKU NO ENCONTRADO"",
LET(
valor,INDEX(Referencia!$A$2:$AZ6238,fila,col),
IF(TRIM(TO_TEXT(valor))=TRIM(TO_TEXT(I3167)),"&amp;"
""OK"",
""NO COINCIDE. Valor verdadero: ""&amp;IF(valor="""",""[VACÍO]"",TO_TEXT(valor))
)
))))
),""ERROR EN FÓRMULA""))"),"OK")</f>
        <v>OK</v>
      </c>
    </row>
    <row r="3168">
      <c r="A3168" s="83" t="s">
        <v>4854</v>
      </c>
      <c r="B3168" s="83" t="s">
        <v>4855</v>
      </c>
      <c r="C3168" s="81" t="s">
        <v>4621</v>
      </c>
      <c r="D3168" s="83" t="s">
        <v>4872</v>
      </c>
      <c r="E3168" s="81" t="s">
        <v>4059</v>
      </c>
      <c r="F3168" s="84">
        <v>808.0</v>
      </c>
      <c r="G3168" s="81" t="s">
        <v>32</v>
      </c>
      <c r="H3168" s="81" t="s">
        <v>224</v>
      </c>
      <c r="I3168" s="81" t="s">
        <v>63</v>
      </c>
      <c r="J3168" s="81" t="s">
        <v>224</v>
      </c>
      <c r="K3168" s="81" t="str">
        <f>IFERROR(__xludf.DUMMYFUNCTION("IF(OR(D3168="""",G3168=""""),"""",IFERROR(LET(
campo,XLOOKUP(TRIM(G3168),ARRAYFORMULA(TRIM('indice columnas'!$A$2:$A$100)),'indice columnas'!$B$2:$B$100,""""),
col,IFERROR(MATCH(campo,Referencia!$A$1:$AZ$1,0),0),
fila,IFERROR(MATCH(TO_TEXT(D3168),ARRAYFOR"&amp;"MULA(TO_TEXT(Referencia!$A$2:$A6238)),0),0),
IF(OR(campo="""",campo=""-""),""NO APLICA"",
IF(col=0,""REVISAR EQUIVALENCIA"",
IF(fila=0,""SKU NO ENCONTRADO"",
LET(
valor,INDEX(Referencia!$A$2:$AZ6238,fila,col),
IF(TRIM(TO_TEXT(valor))=TRIM(TO_TEXT(I3168)),"&amp;"
""OK"",
""NO COINCIDE. Valor verdadero: ""&amp;IF(valor="""",""[VACÍO]"",TO_TEXT(valor))
)
))))
),""ERROR EN FÓRMULA""))"),"OK")</f>
        <v>OK</v>
      </c>
    </row>
    <row r="3169">
      <c r="A3169" s="83" t="s">
        <v>4854</v>
      </c>
      <c r="B3169" s="83" t="s">
        <v>4855</v>
      </c>
      <c r="C3169" s="81" t="s">
        <v>4621</v>
      </c>
      <c r="D3169" s="83" t="s">
        <v>4872</v>
      </c>
      <c r="E3169" s="81" t="s">
        <v>4059</v>
      </c>
      <c r="F3169" s="84">
        <v>808.0</v>
      </c>
      <c r="G3169" s="81" t="s">
        <v>33</v>
      </c>
      <c r="H3169" s="81" t="s">
        <v>224</v>
      </c>
      <c r="I3169" s="81" t="s">
        <v>111</v>
      </c>
      <c r="J3169" s="81" t="s">
        <v>224</v>
      </c>
      <c r="K3169" s="81" t="str">
        <f>IFERROR(__xludf.DUMMYFUNCTION("IF(OR(D3169="""",G3169=""""),"""",IFERROR(LET(
campo,XLOOKUP(TRIM(G3169),ARRAYFORMULA(TRIM('indice columnas'!$A$2:$A$100)),'indice columnas'!$B$2:$B$100,""""),
col,IFERROR(MATCH(campo,Referencia!$A$1:$AZ$1,0),0),
fila,IFERROR(MATCH(TO_TEXT(D3169),ARRAYFOR"&amp;"MULA(TO_TEXT(Referencia!$A$2:$A6238)),0),0),
IF(OR(campo="""",campo=""-""),""NO APLICA"",
IF(col=0,""REVISAR EQUIVALENCIA"",
IF(fila=0,""SKU NO ENCONTRADO"",
LET(
valor,INDEX(Referencia!$A$2:$AZ6238,fila,col),
IF(TRIM(TO_TEXT(valor))=TRIM(TO_TEXT(I3169)),"&amp;"
""OK"",
""NO COINCIDE. Valor verdadero: ""&amp;IF(valor="""",""[VACÍO]"",TO_TEXT(valor))
)
))))
),""ERROR EN FÓRMULA""))"),"OK")</f>
        <v>OK</v>
      </c>
    </row>
    <row r="3170">
      <c r="A3170" s="83" t="s">
        <v>4854</v>
      </c>
      <c r="B3170" s="83" t="s">
        <v>4855</v>
      </c>
      <c r="C3170" s="81" t="s">
        <v>4621</v>
      </c>
      <c r="D3170" s="83" t="s">
        <v>4872</v>
      </c>
      <c r="E3170" s="81" t="s">
        <v>4059</v>
      </c>
      <c r="F3170" s="84">
        <v>808.0</v>
      </c>
      <c r="G3170" s="81" t="s">
        <v>34</v>
      </c>
      <c r="H3170" s="81" t="s">
        <v>224</v>
      </c>
      <c r="I3170" s="81" t="s">
        <v>463</v>
      </c>
      <c r="J3170" s="81" t="s">
        <v>224</v>
      </c>
      <c r="K3170" s="81" t="str">
        <f>IFERROR(__xludf.DUMMYFUNCTION("IF(OR(D3170="""",G3170=""""),"""",IFERROR(LET(
campo,XLOOKUP(TRIM(G3170),ARRAYFORMULA(TRIM('indice columnas'!$A$2:$A$100)),'indice columnas'!$B$2:$B$100,""""),
col,IFERROR(MATCH(campo,Referencia!$A$1:$AZ$1,0),0),
fila,IFERROR(MATCH(TO_TEXT(D3170),ARRAYFOR"&amp;"MULA(TO_TEXT(Referencia!$A$2:$A6238)),0),0),
IF(OR(campo="""",campo=""-""),""NO APLICA"",
IF(col=0,""REVISAR EQUIVALENCIA"",
IF(fila=0,""SKU NO ENCONTRADO"",
LET(
valor,INDEX(Referencia!$A$2:$AZ6238,fila,col),
IF(TRIM(TO_TEXT(valor))=TRIM(TO_TEXT(I3170)),"&amp;"
""OK"",
""NO COINCIDE. Valor verdadero: ""&amp;IF(valor="""",""[VACÍO]"",TO_TEXT(valor))
)
))))
),""ERROR EN FÓRMULA""))"),"OK")</f>
        <v>OK</v>
      </c>
    </row>
    <row r="3171">
      <c r="A3171" s="83" t="s">
        <v>4854</v>
      </c>
      <c r="B3171" s="83" t="s">
        <v>4855</v>
      </c>
      <c r="C3171" s="81" t="s">
        <v>4621</v>
      </c>
      <c r="D3171" s="83" t="s">
        <v>4872</v>
      </c>
      <c r="E3171" s="81" t="s">
        <v>4059</v>
      </c>
      <c r="F3171" s="84">
        <v>808.0</v>
      </c>
      <c r="G3171" s="81" t="s">
        <v>35</v>
      </c>
      <c r="H3171" s="81" t="s">
        <v>224</v>
      </c>
      <c r="I3171" s="81" t="s">
        <v>49</v>
      </c>
      <c r="J3171" s="81" t="s">
        <v>224</v>
      </c>
      <c r="K3171" s="81" t="str">
        <f>IFERROR(__xludf.DUMMYFUNCTION("IF(OR(D3171="""",G3171=""""),"""",IFERROR(LET(
campo,XLOOKUP(TRIM(G3171),ARRAYFORMULA(TRIM('indice columnas'!$A$2:$A$100)),'indice columnas'!$B$2:$B$100,""""),
col,IFERROR(MATCH(campo,Referencia!$A$1:$AZ$1,0),0),
fila,IFERROR(MATCH(TO_TEXT(D3171),ARRAYFOR"&amp;"MULA(TO_TEXT(Referencia!$A$2:$A6238)),0),0),
IF(OR(campo="""",campo=""-""),""NO APLICA"",
IF(col=0,""REVISAR EQUIVALENCIA"",
IF(fila=0,""SKU NO ENCONTRADO"",
LET(
valor,INDEX(Referencia!$A$2:$AZ6238,fila,col),
IF(TRIM(TO_TEXT(valor))=TRIM(TO_TEXT(I3171)),"&amp;"
""OK"",
""NO COINCIDE. Valor verdadero: ""&amp;IF(valor="""",""[VACÍO]"",TO_TEXT(valor))
)
))))
),""ERROR EN FÓRMULA""))"),"OK")</f>
        <v>OK</v>
      </c>
    </row>
    <row r="3172">
      <c r="A3172" s="83" t="s">
        <v>4854</v>
      </c>
      <c r="B3172" s="83" t="s">
        <v>4855</v>
      </c>
      <c r="C3172" s="81" t="s">
        <v>4621</v>
      </c>
      <c r="D3172" s="83" t="s">
        <v>4872</v>
      </c>
      <c r="E3172" s="81" t="s">
        <v>4059</v>
      </c>
      <c r="F3172" s="84">
        <v>808.0</v>
      </c>
      <c r="G3172" s="81" t="s">
        <v>36</v>
      </c>
      <c r="H3172" s="81" t="s">
        <v>224</v>
      </c>
      <c r="I3172" s="81" t="s">
        <v>2940</v>
      </c>
      <c r="J3172" s="81" t="s">
        <v>224</v>
      </c>
      <c r="K3172" s="81" t="str">
        <f>IFERROR(__xludf.DUMMYFUNCTION("IF(OR(D3172="""",G3172=""""),"""",IFERROR(LET(
campo,XLOOKUP(TRIM(G3172),ARRAYFORMULA(TRIM('indice columnas'!$A$2:$A$100)),'indice columnas'!$B$2:$B$100,""""),
col,IFERROR(MATCH(campo,Referencia!$A$1:$AZ$1,0),0),
fila,IFERROR(MATCH(TO_TEXT(D3172),ARRAYFOR"&amp;"MULA(TO_TEXT(Referencia!$A$2:$A6238)),0),0),
IF(OR(campo="""",campo=""-""),""NO APLICA"",
IF(col=0,""REVISAR EQUIVALENCIA"",
IF(fila=0,""SKU NO ENCONTRADO"",
LET(
valor,INDEX(Referencia!$A$2:$AZ6238,fila,col),
IF(TRIM(TO_TEXT(valor))=TRIM(TO_TEXT(I3172)),"&amp;"
""OK"",
""NO COINCIDE. Valor verdadero: ""&amp;IF(valor="""",""[VACÍO]"",TO_TEXT(valor))
)
))))
),""ERROR EN FÓRMULA""))"),"REVISAR EQUIVALENCIA")</f>
        <v>REVISAR EQUIVALENCIA</v>
      </c>
    </row>
    <row r="3173">
      <c r="A3173" s="83" t="s">
        <v>4854</v>
      </c>
      <c r="B3173" s="83" t="s">
        <v>4855</v>
      </c>
      <c r="C3173" s="81" t="s">
        <v>4621</v>
      </c>
      <c r="D3173" s="83" t="s">
        <v>4872</v>
      </c>
      <c r="E3173" s="81" t="s">
        <v>4059</v>
      </c>
      <c r="F3173" s="84">
        <v>808.0</v>
      </c>
      <c r="G3173" s="81" t="s">
        <v>37</v>
      </c>
      <c r="H3173" s="81" t="s">
        <v>224</v>
      </c>
      <c r="I3173" s="81" t="s">
        <v>720</v>
      </c>
      <c r="J3173" s="81" t="s">
        <v>224</v>
      </c>
      <c r="K3173" s="81" t="str">
        <f>IFERROR(__xludf.DUMMYFUNCTION("IF(OR(D3173="""",G3173=""""),"""",IFERROR(LET(
campo,XLOOKUP(TRIM(G3173),ARRAYFORMULA(TRIM('indice columnas'!$A$2:$A$100)),'indice columnas'!$B$2:$B$100,""""),
col,IFERROR(MATCH(campo,Referencia!$A$1:$AZ$1,0),0),
fila,IFERROR(MATCH(TO_TEXT(D3173),ARRAYFOR"&amp;"MULA(TO_TEXT(Referencia!$A$2:$A6238)),0),0),
IF(OR(campo="""",campo=""-""),""NO APLICA"",
IF(col=0,""REVISAR EQUIVALENCIA"",
IF(fila=0,""SKU NO ENCONTRADO"",
LET(
valor,INDEX(Referencia!$A$2:$AZ6238,fila,col),
IF(TRIM(TO_TEXT(valor))=TRIM(TO_TEXT(I3173)),"&amp;"
""OK"",
""NO COINCIDE. Valor verdadero: ""&amp;IF(valor="""",""[VACÍO]"",TO_TEXT(valor))
)
))))
),""ERROR EN FÓRMULA""))"),"OK")</f>
        <v>OK</v>
      </c>
    </row>
    <row r="3174">
      <c r="A3174" s="83" t="s">
        <v>4854</v>
      </c>
      <c r="B3174" s="83" t="s">
        <v>4855</v>
      </c>
      <c r="C3174" s="81" t="s">
        <v>4621</v>
      </c>
      <c r="D3174" s="83" t="s">
        <v>4872</v>
      </c>
      <c r="E3174" s="81" t="s">
        <v>4059</v>
      </c>
      <c r="F3174" s="84">
        <v>808.0</v>
      </c>
      <c r="G3174" s="81" t="s">
        <v>41</v>
      </c>
      <c r="H3174" s="81" t="s">
        <v>224</v>
      </c>
      <c r="I3174" s="81" t="s">
        <v>4054</v>
      </c>
      <c r="J3174" s="81" t="s">
        <v>224</v>
      </c>
      <c r="K3174" s="81" t="str">
        <f>IFERROR(__xludf.DUMMYFUNCTION("IF(OR(D3174="""",G3174=""""),"""",IFERROR(LET(
campo,XLOOKUP(TRIM(G3174),ARRAYFORMULA(TRIM('indice columnas'!$A$2:$A$100)),'indice columnas'!$B$2:$B$100,""""),
col,IFERROR(MATCH(campo,Referencia!$A$1:$AZ$1,0),0),
fila,IFERROR(MATCH(TO_TEXT(D3174),ARRAYFOR"&amp;"MULA(TO_TEXT(Referencia!$A$2:$A6238)),0),0),
IF(OR(campo="""",campo=""-""),""NO APLICA"",
IF(col=0,""REVISAR EQUIVALENCIA"",
IF(fila=0,""SKU NO ENCONTRADO"",
LET(
valor,INDEX(Referencia!$A$2:$AZ6238,fila,col),
IF(TRIM(TO_TEXT(valor))=TRIM(TO_TEXT(I3174)),"&amp;"
""OK"",
""NO COINCIDE. Valor verdadero: ""&amp;IF(valor="""",""[VACÍO]"",TO_TEXT(valor))
)
))))
),""ERROR EN FÓRMULA""))"),"REVISAR EQUIVALENCIA")</f>
        <v>REVISAR EQUIVALENCIA</v>
      </c>
    </row>
    <row r="3175">
      <c r="A3175" s="83" t="s">
        <v>4854</v>
      </c>
      <c r="B3175" s="83" t="s">
        <v>4855</v>
      </c>
      <c r="C3175" s="81" t="s">
        <v>4621</v>
      </c>
      <c r="D3175" s="83" t="s">
        <v>4873</v>
      </c>
      <c r="E3175" s="81" t="s">
        <v>4874</v>
      </c>
      <c r="F3175" s="84">
        <v>809.0</v>
      </c>
      <c r="G3175" s="81" t="s">
        <v>10</v>
      </c>
      <c r="H3175" s="81" t="s">
        <v>224</v>
      </c>
      <c r="I3175" s="81" t="s">
        <v>55</v>
      </c>
      <c r="J3175" s="81" t="s">
        <v>224</v>
      </c>
      <c r="K3175" s="81" t="str">
        <f>IFERROR(__xludf.DUMMYFUNCTION("IF(OR(D3175="""",G3175=""""),"""",IFERROR(LET(
campo,XLOOKUP(TRIM(G3175),ARRAYFORMULA(TRIM('indice columnas'!$A$2:$A$100)),'indice columnas'!$B$2:$B$100,""""),
col,IFERROR(MATCH(campo,Referencia!$A$1:$AZ$1,0),0),
fila,IFERROR(MATCH(TO_TEXT(D3175),ARRAYFOR"&amp;"MULA(TO_TEXT(Referencia!$A$2:$A6238)),0),0),
IF(OR(campo="""",campo=""-""),""NO APLICA"",
IF(col=0,""REVISAR EQUIVALENCIA"",
IF(fila=0,""SKU NO ENCONTRADO"",
LET(
valor,INDEX(Referencia!$A$2:$AZ6238,fila,col),
IF(TRIM(TO_TEXT(valor))=TRIM(TO_TEXT(I3175)),"&amp;"
""OK"",
""NO COINCIDE. Valor verdadero: ""&amp;IF(valor="""",""[VACÍO]"",TO_TEXT(valor))
)
))))
),""ERROR EN FÓRMULA""))"),"OK")</f>
        <v>OK</v>
      </c>
    </row>
    <row r="3176">
      <c r="A3176" s="83" t="s">
        <v>4854</v>
      </c>
      <c r="B3176" s="83" t="s">
        <v>4855</v>
      </c>
      <c r="C3176" s="81" t="s">
        <v>4621</v>
      </c>
      <c r="D3176" s="83" t="s">
        <v>4873</v>
      </c>
      <c r="E3176" s="81" t="s">
        <v>4874</v>
      </c>
      <c r="F3176" s="84">
        <v>809.0</v>
      </c>
      <c r="G3176" s="81" t="s">
        <v>11</v>
      </c>
      <c r="H3176" s="81" t="s">
        <v>224</v>
      </c>
      <c r="I3176" s="81" t="s">
        <v>55</v>
      </c>
      <c r="J3176" s="81" t="s">
        <v>224</v>
      </c>
      <c r="K3176" s="81" t="str">
        <f>IFERROR(__xludf.DUMMYFUNCTION("IF(OR(D3176="""",G3176=""""),"""",IFERROR(LET(
campo,XLOOKUP(TRIM(G3176),ARRAYFORMULA(TRIM('indice columnas'!$A$2:$A$100)),'indice columnas'!$B$2:$B$100,""""),
col,IFERROR(MATCH(campo,Referencia!$A$1:$AZ$1,0),0),
fila,IFERROR(MATCH(TO_TEXT(D3176),ARRAYFOR"&amp;"MULA(TO_TEXT(Referencia!$A$2:$A6238)),0),0),
IF(OR(campo="""",campo=""-""),""NO APLICA"",
IF(col=0,""REVISAR EQUIVALENCIA"",
IF(fila=0,""SKU NO ENCONTRADO"",
LET(
valor,INDEX(Referencia!$A$2:$AZ6238,fila,col),
IF(TRIM(TO_TEXT(valor))=TRIM(TO_TEXT(I3176)),"&amp;"
""OK"",
""NO COINCIDE. Valor verdadero: ""&amp;IF(valor="""",""[VACÍO]"",TO_TEXT(valor))
)
))))
),""ERROR EN FÓRMULA""))"),"OK")</f>
        <v>OK</v>
      </c>
    </row>
    <row r="3177">
      <c r="A3177" s="83" t="s">
        <v>4854</v>
      </c>
      <c r="B3177" s="83" t="s">
        <v>4855</v>
      </c>
      <c r="C3177" s="81" t="s">
        <v>4621</v>
      </c>
      <c r="D3177" s="83" t="s">
        <v>4873</v>
      </c>
      <c r="E3177" s="81" t="s">
        <v>4874</v>
      </c>
      <c r="F3177" s="84">
        <v>809.0</v>
      </c>
      <c r="G3177" s="81" t="s">
        <v>12</v>
      </c>
      <c r="H3177" s="81" t="s">
        <v>224</v>
      </c>
      <c r="I3177" s="81" t="s">
        <v>55</v>
      </c>
      <c r="J3177" s="81" t="s">
        <v>224</v>
      </c>
      <c r="K3177" s="81" t="str">
        <f>IFERROR(__xludf.DUMMYFUNCTION("IF(OR(D3177="""",G3177=""""),"""",IFERROR(LET(
campo,XLOOKUP(TRIM(G3177),ARRAYFORMULA(TRIM('indice columnas'!$A$2:$A$100)),'indice columnas'!$B$2:$B$100,""""),
col,IFERROR(MATCH(campo,Referencia!$A$1:$AZ$1,0),0),
fila,IFERROR(MATCH(TO_TEXT(D3177),ARRAYFOR"&amp;"MULA(TO_TEXT(Referencia!$A$2:$A6238)),0),0),
IF(OR(campo="""",campo=""-""),""NO APLICA"",
IF(col=0,""REVISAR EQUIVALENCIA"",
IF(fila=0,""SKU NO ENCONTRADO"",
LET(
valor,INDEX(Referencia!$A$2:$AZ6238,fila,col),
IF(TRIM(TO_TEXT(valor))=TRIM(TO_TEXT(I3177)),"&amp;"
""OK"",
""NO COINCIDE. Valor verdadero: ""&amp;IF(valor="""",""[VACÍO]"",TO_TEXT(valor))
)
))))
),""ERROR EN FÓRMULA""))"),"OK")</f>
        <v>OK</v>
      </c>
    </row>
    <row r="3178">
      <c r="A3178" s="83" t="s">
        <v>4854</v>
      </c>
      <c r="B3178" s="83" t="s">
        <v>4855</v>
      </c>
      <c r="C3178" s="81" t="s">
        <v>4621</v>
      </c>
      <c r="D3178" s="83" t="s">
        <v>4873</v>
      </c>
      <c r="E3178" s="81" t="s">
        <v>4874</v>
      </c>
      <c r="F3178" s="84">
        <v>809.0</v>
      </c>
      <c r="G3178" s="81" t="s">
        <v>13</v>
      </c>
      <c r="H3178" s="81" t="s">
        <v>224</v>
      </c>
      <c r="I3178" s="81" t="s">
        <v>55</v>
      </c>
      <c r="J3178" s="81" t="s">
        <v>224</v>
      </c>
      <c r="K3178" s="81" t="str">
        <f>IFERROR(__xludf.DUMMYFUNCTION("IF(OR(D3178="""",G3178=""""),"""",IFERROR(LET(
campo,XLOOKUP(TRIM(G3178),ARRAYFORMULA(TRIM('indice columnas'!$A$2:$A$100)),'indice columnas'!$B$2:$B$100,""""),
col,IFERROR(MATCH(campo,Referencia!$A$1:$AZ$1,0),0),
fila,IFERROR(MATCH(TO_TEXT(D3178),ARRAYFOR"&amp;"MULA(TO_TEXT(Referencia!$A$2:$A6238)),0),0),
IF(OR(campo="""",campo=""-""),""NO APLICA"",
IF(col=0,""REVISAR EQUIVALENCIA"",
IF(fila=0,""SKU NO ENCONTRADO"",
LET(
valor,INDEX(Referencia!$A$2:$AZ6238,fila,col),
IF(TRIM(TO_TEXT(valor))=TRIM(TO_TEXT(I3178)),"&amp;"
""OK"",
""NO COINCIDE. Valor verdadero: ""&amp;IF(valor="""",""[VACÍO]"",TO_TEXT(valor))
)
))))
),""ERROR EN FÓRMULA""))"),"OK")</f>
        <v>OK</v>
      </c>
    </row>
    <row r="3179">
      <c r="A3179" s="83" t="s">
        <v>4854</v>
      </c>
      <c r="B3179" s="83" t="s">
        <v>4855</v>
      </c>
      <c r="C3179" s="81" t="s">
        <v>4621</v>
      </c>
      <c r="D3179" s="83" t="s">
        <v>4873</v>
      </c>
      <c r="E3179" s="81" t="s">
        <v>4874</v>
      </c>
      <c r="F3179" s="84">
        <v>809.0</v>
      </c>
      <c r="G3179" s="81" t="s">
        <v>14</v>
      </c>
      <c r="H3179" s="81" t="s">
        <v>224</v>
      </c>
      <c r="I3179" s="81" t="s">
        <v>55</v>
      </c>
      <c r="J3179" s="81" t="s">
        <v>224</v>
      </c>
      <c r="K3179" s="81" t="str">
        <f>IFERROR(__xludf.DUMMYFUNCTION("IF(OR(D3179="""",G3179=""""),"""",IFERROR(LET(
campo,XLOOKUP(TRIM(G3179),ARRAYFORMULA(TRIM('indice columnas'!$A$2:$A$100)),'indice columnas'!$B$2:$B$100,""""),
col,IFERROR(MATCH(campo,Referencia!$A$1:$AZ$1,0),0),
fila,IFERROR(MATCH(TO_TEXT(D3179),ARRAYFOR"&amp;"MULA(TO_TEXT(Referencia!$A$2:$A6238)),0),0),
IF(OR(campo="""",campo=""-""),""NO APLICA"",
IF(col=0,""REVISAR EQUIVALENCIA"",
IF(fila=0,""SKU NO ENCONTRADO"",
LET(
valor,INDEX(Referencia!$A$2:$AZ6238,fila,col),
IF(TRIM(TO_TEXT(valor))=TRIM(TO_TEXT(I3179)),"&amp;"
""OK"",
""NO COINCIDE. Valor verdadero: ""&amp;IF(valor="""",""[VACÍO]"",TO_TEXT(valor))
)
))))
),""ERROR EN FÓRMULA""))"),"OK")</f>
        <v>OK</v>
      </c>
    </row>
    <row r="3180">
      <c r="A3180" s="83" t="s">
        <v>4854</v>
      </c>
      <c r="B3180" s="83" t="s">
        <v>4855</v>
      </c>
      <c r="C3180" s="81" t="s">
        <v>4621</v>
      </c>
      <c r="D3180" s="83" t="s">
        <v>4873</v>
      </c>
      <c r="E3180" s="81" t="s">
        <v>4874</v>
      </c>
      <c r="F3180" s="84">
        <v>809.0</v>
      </c>
      <c r="G3180" s="81" t="s">
        <v>15</v>
      </c>
      <c r="H3180" s="81" t="s">
        <v>224</v>
      </c>
      <c r="I3180" s="81" t="s">
        <v>55</v>
      </c>
      <c r="J3180" s="81" t="s">
        <v>224</v>
      </c>
      <c r="K3180" s="81" t="str">
        <f>IFERROR(__xludf.DUMMYFUNCTION("IF(OR(D3180="""",G3180=""""),"""",IFERROR(LET(
campo,XLOOKUP(TRIM(G3180),ARRAYFORMULA(TRIM('indice columnas'!$A$2:$A$100)),'indice columnas'!$B$2:$B$100,""""),
col,IFERROR(MATCH(campo,Referencia!$A$1:$AZ$1,0),0),
fila,IFERROR(MATCH(TO_TEXT(D3180),ARRAYFOR"&amp;"MULA(TO_TEXT(Referencia!$A$2:$A6238)),0),0),
IF(OR(campo="""",campo=""-""),""NO APLICA"",
IF(col=0,""REVISAR EQUIVALENCIA"",
IF(fila=0,""SKU NO ENCONTRADO"",
LET(
valor,INDEX(Referencia!$A$2:$AZ6238,fila,col),
IF(TRIM(TO_TEXT(valor))=TRIM(TO_TEXT(I3180)),"&amp;"
""OK"",
""NO COINCIDE. Valor verdadero: ""&amp;IF(valor="""",""[VACÍO]"",TO_TEXT(valor))
)
))))
),""ERROR EN FÓRMULA""))"),"OK")</f>
        <v>OK</v>
      </c>
    </row>
    <row r="3181">
      <c r="A3181" s="83" t="s">
        <v>4854</v>
      </c>
      <c r="B3181" s="83" t="s">
        <v>4855</v>
      </c>
      <c r="C3181" s="81" t="s">
        <v>4621</v>
      </c>
      <c r="D3181" s="83" t="s">
        <v>4873</v>
      </c>
      <c r="E3181" s="81" t="s">
        <v>4874</v>
      </c>
      <c r="F3181" s="84">
        <v>809.0</v>
      </c>
      <c r="G3181" s="81" t="s">
        <v>16</v>
      </c>
      <c r="H3181" s="81" t="s">
        <v>224</v>
      </c>
      <c r="I3181" s="81" t="s">
        <v>55</v>
      </c>
      <c r="J3181" s="81" t="s">
        <v>224</v>
      </c>
      <c r="K3181" s="81" t="str">
        <f>IFERROR(__xludf.DUMMYFUNCTION("IF(OR(D3181="""",G3181=""""),"""",IFERROR(LET(
campo,XLOOKUP(TRIM(G3181),ARRAYFORMULA(TRIM('indice columnas'!$A$2:$A$100)),'indice columnas'!$B$2:$B$100,""""),
col,IFERROR(MATCH(campo,Referencia!$A$1:$AZ$1,0),0),
fila,IFERROR(MATCH(TO_TEXT(D3181),ARRAYFOR"&amp;"MULA(TO_TEXT(Referencia!$A$2:$A6238)),0),0),
IF(OR(campo="""",campo=""-""),""NO APLICA"",
IF(col=0,""REVISAR EQUIVALENCIA"",
IF(fila=0,""SKU NO ENCONTRADO"",
LET(
valor,INDEX(Referencia!$A$2:$AZ6238,fila,col),
IF(TRIM(TO_TEXT(valor))=TRIM(TO_TEXT(I3181)),"&amp;"
""OK"",
""NO COINCIDE. Valor verdadero: ""&amp;IF(valor="""",""[VACÍO]"",TO_TEXT(valor))
)
))))
),""ERROR EN FÓRMULA""))"),"OK")</f>
        <v>OK</v>
      </c>
    </row>
    <row r="3182">
      <c r="A3182" s="83" t="s">
        <v>4854</v>
      </c>
      <c r="B3182" s="83" t="s">
        <v>4855</v>
      </c>
      <c r="C3182" s="81" t="s">
        <v>4621</v>
      </c>
      <c r="D3182" s="83" t="s">
        <v>4873</v>
      </c>
      <c r="E3182" s="81" t="s">
        <v>4874</v>
      </c>
      <c r="F3182" s="84">
        <v>809.0</v>
      </c>
      <c r="G3182" s="81" t="s">
        <v>17</v>
      </c>
      <c r="H3182" s="81" t="s">
        <v>224</v>
      </c>
      <c r="I3182" s="81" t="s">
        <v>55</v>
      </c>
      <c r="J3182" s="81" t="s">
        <v>224</v>
      </c>
      <c r="K3182" s="81" t="str">
        <f>IFERROR(__xludf.DUMMYFUNCTION("IF(OR(D3182="""",G3182=""""),"""",IFERROR(LET(
campo,XLOOKUP(TRIM(G3182),ARRAYFORMULA(TRIM('indice columnas'!$A$2:$A$100)),'indice columnas'!$B$2:$B$100,""""),
col,IFERROR(MATCH(campo,Referencia!$A$1:$AZ$1,0),0),
fila,IFERROR(MATCH(TO_TEXT(D3182),ARRAYFOR"&amp;"MULA(TO_TEXT(Referencia!$A$2:$A6238)),0),0),
IF(OR(campo="""",campo=""-""),""NO APLICA"",
IF(col=0,""REVISAR EQUIVALENCIA"",
IF(fila=0,""SKU NO ENCONTRADO"",
LET(
valor,INDEX(Referencia!$A$2:$AZ6238,fila,col),
IF(TRIM(TO_TEXT(valor))=TRIM(TO_TEXT(I3182)),"&amp;"
""OK"",
""NO COINCIDE. Valor verdadero: ""&amp;IF(valor="""",""[VACÍO]"",TO_TEXT(valor))
)
))))
),""ERROR EN FÓRMULA""))"),"OK")</f>
        <v>OK</v>
      </c>
    </row>
    <row r="3183">
      <c r="A3183" s="83" t="s">
        <v>4854</v>
      </c>
      <c r="B3183" s="83" t="s">
        <v>4855</v>
      </c>
      <c r="C3183" s="81" t="s">
        <v>4621</v>
      </c>
      <c r="D3183" s="83" t="s">
        <v>4873</v>
      </c>
      <c r="E3183" s="81" t="s">
        <v>4874</v>
      </c>
      <c r="F3183" s="84">
        <v>809.0</v>
      </c>
      <c r="G3183" s="81" t="s">
        <v>18</v>
      </c>
      <c r="H3183" s="81" t="s">
        <v>224</v>
      </c>
      <c r="I3183" s="81" t="s">
        <v>55</v>
      </c>
      <c r="J3183" s="81" t="s">
        <v>224</v>
      </c>
      <c r="K3183" s="81" t="str">
        <f>IFERROR(__xludf.DUMMYFUNCTION("IF(OR(D3183="""",G3183=""""),"""",IFERROR(LET(
campo,XLOOKUP(TRIM(G3183),ARRAYFORMULA(TRIM('indice columnas'!$A$2:$A$100)),'indice columnas'!$B$2:$B$100,""""),
col,IFERROR(MATCH(campo,Referencia!$A$1:$AZ$1,0),0),
fila,IFERROR(MATCH(TO_TEXT(D3183),ARRAYFOR"&amp;"MULA(TO_TEXT(Referencia!$A$2:$A6238)),0),0),
IF(OR(campo="""",campo=""-""),""NO APLICA"",
IF(col=0,""REVISAR EQUIVALENCIA"",
IF(fila=0,""SKU NO ENCONTRADO"",
LET(
valor,INDEX(Referencia!$A$2:$AZ6238,fila,col),
IF(TRIM(TO_TEXT(valor))=TRIM(TO_TEXT(I3183)),"&amp;"
""OK"",
""NO COINCIDE. Valor verdadero: ""&amp;IF(valor="""",""[VACÍO]"",TO_TEXT(valor))
)
))))
),""ERROR EN FÓRMULA""))"),"OK")</f>
        <v>OK</v>
      </c>
    </row>
    <row r="3184">
      <c r="A3184" s="83" t="s">
        <v>4854</v>
      </c>
      <c r="B3184" s="83" t="s">
        <v>4855</v>
      </c>
      <c r="C3184" s="81" t="s">
        <v>4621</v>
      </c>
      <c r="D3184" s="83" t="s">
        <v>4873</v>
      </c>
      <c r="E3184" s="81" t="s">
        <v>4874</v>
      </c>
      <c r="F3184" s="84">
        <v>809.0</v>
      </c>
      <c r="G3184" s="81" t="s">
        <v>19</v>
      </c>
      <c r="H3184" s="81" t="s">
        <v>224</v>
      </c>
      <c r="I3184" s="81" t="s">
        <v>55</v>
      </c>
      <c r="J3184" s="81" t="s">
        <v>224</v>
      </c>
      <c r="K3184" s="81" t="str">
        <f>IFERROR(__xludf.DUMMYFUNCTION("IF(OR(D3184="""",G3184=""""),"""",IFERROR(LET(
campo,XLOOKUP(TRIM(G3184),ARRAYFORMULA(TRIM('indice columnas'!$A$2:$A$100)),'indice columnas'!$B$2:$B$100,""""),
col,IFERROR(MATCH(campo,Referencia!$A$1:$AZ$1,0),0),
fila,IFERROR(MATCH(TO_TEXT(D3184),ARRAYFOR"&amp;"MULA(TO_TEXT(Referencia!$A$2:$A6238)),0),0),
IF(OR(campo="""",campo=""-""),""NO APLICA"",
IF(col=0,""REVISAR EQUIVALENCIA"",
IF(fila=0,""SKU NO ENCONTRADO"",
LET(
valor,INDEX(Referencia!$A$2:$AZ6238,fila,col),
IF(TRIM(TO_TEXT(valor))=TRIM(TO_TEXT(I3184)),"&amp;"
""OK"",
""NO COINCIDE. Valor verdadero: ""&amp;IF(valor="""",""[VACÍO]"",TO_TEXT(valor))
)
))))
),""ERROR EN FÓRMULA""))"),"OK")</f>
        <v>OK</v>
      </c>
    </row>
    <row r="3185">
      <c r="A3185" s="83" t="s">
        <v>4854</v>
      </c>
      <c r="B3185" s="83" t="s">
        <v>4855</v>
      </c>
      <c r="C3185" s="81" t="s">
        <v>4621</v>
      </c>
      <c r="D3185" s="83" t="s">
        <v>4873</v>
      </c>
      <c r="E3185" s="81" t="s">
        <v>4874</v>
      </c>
      <c r="F3185" s="84">
        <v>809.0</v>
      </c>
      <c r="G3185" s="81" t="s">
        <v>20</v>
      </c>
      <c r="H3185" s="81" t="s">
        <v>224</v>
      </c>
      <c r="I3185" s="81" t="s">
        <v>55</v>
      </c>
      <c r="J3185" s="81" t="s">
        <v>224</v>
      </c>
      <c r="K3185" s="81" t="str">
        <f>IFERROR(__xludf.DUMMYFUNCTION("IF(OR(D3185="""",G3185=""""),"""",IFERROR(LET(
campo,XLOOKUP(TRIM(G3185),ARRAYFORMULA(TRIM('indice columnas'!$A$2:$A$100)),'indice columnas'!$B$2:$B$100,""""),
col,IFERROR(MATCH(campo,Referencia!$A$1:$AZ$1,0),0),
fila,IFERROR(MATCH(TO_TEXT(D3185),ARRAYFOR"&amp;"MULA(TO_TEXT(Referencia!$A$2:$A6238)),0),0),
IF(OR(campo="""",campo=""-""),""NO APLICA"",
IF(col=0,""REVISAR EQUIVALENCIA"",
IF(fila=0,""SKU NO ENCONTRADO"",
LET(
valor,INDEX(Referencia!$A$2:$AZ6238,fila,col),
IF(TRIM(TO_TEXT(valor))=TRIM(TO_TEXT(I3185)),"&amp;"
""OK"",
""NO COINCIDE. Valor verdadero: ""&amp;IF(valor="""",""[VACÍO]"",TO_TEXT(valor))
)
))))
),""ERROR EN FÓRMULA""))"),"OK")</f>
        <v>OK</v>
      </c>
    </row>
    <row r="3186">
      <c r="A3186" s="83" t="s">
        <v>4854</v>
      </c>
      <c r="B3186" s="83" t="s">
        <v>4855</v>
      </c>
      <c r="C3186" s="81" t="s">
        <v>4621</v>
      </c>
      <c r="D3186" s="83" t="s">
        <v>4873</v>
      </c>
      <c r="E3186" s="81" t="s">
        <v>4874</v>
      </c>
      <c r="F3186" s="84">
        <v>809.0</v>
      </c>
      <c r="G3186" s="81" t="s">
        <v>21</v>
      </c>
      <c r="H3186" s="81" t="s">
        <v>224</v>
      </c>
      <c r="I3186" s="81" t="s">
        <v>55</v>
      </c>
      <c r="J3186" s="81" t="s">
        <v>224</v>
      </c>
      <c r="K3186" s="81" t="str">
        <f>IFERROR(__xludf.DUMMYFUNCTION("IF(OR(D3186="""",G3186=""""),"""",IFERROR(LET(
campo,XLOOKUP(TRIM(G3186),ARRAYFORMULA(TRIM('indice columnas'!$A$2:$A$100)),'indice columnas'!$B$2:$B$100,""""),
col,IFERROR(MATCH(campo,Referencia!$A$1:$AZ$1,0),0),
fila,IFERROR(MATCH(TO_TEXT(D3186),ARRAYFOR"&amp;"MULA(TO_TEXT(Referencia!$A$2:$A6238)),0),0),
IF(OR(campo="""",campo=""-""),""NO APLICA"",
IF(col=0,""REVISAR EQUIVALENCIA"",
IF(fila=0,""SKU NO ENCONTRADO"",
LET(
valor,INDEX(Referencia!$A$2:$AZ6238,fila,col),
IF(TRIM(TO_TEXT(valor))=TRIM(TO_TEXT(I3186)),"&amp;"
""OK"",
""NO COINCIDE. Valor verdadero: ""&amp;IF(valor="""",""[VACÍO]"",TO_TEXT(valor))
)
))))
),""ERROR EN FÓRMULA""))"),"OK")</f>
        <v>OK</v>
      </c>
    </row>
    <row r="3187">
      <c r="A3187" s="83" t="s">
        <v>4854</v>
      </c>
      <c r="B3187" s="83" t="s">
        <v>4855</v>
      </c>
      <c r="C3187" s="81" t="s">
        <v>4621</v>
      </c>
      <c r="D3187" s="83" t="s">
        <v>4873</v>
      </c>
      <c r="E3187" s="81" t="s">
        <v>4874</v>
      </c>
      <c r="F3187" s="84">
        <v>809.0</v>
      </c>
      <c r="G3187" s="81" t="s">
        <v>22</v>
      </c>
      <c r="H3187" s="81" t="s">
        <v>224</v>
      </c>
      <c r="I3187" s="81" t="s">
        <v>55</v>
      </c>
      <c r="J3187" s="81" t="s">
        <v>224</v>
      </c>
      <c r="K3187" s="81" t="str">
        <f>IFERROR(__xludf.DUMMYFUNCTION("IF(OR(D3187="""",G3187=""""),"""",IFERROR(LET(
campo,XLOOKUP(TRIM(G3187),ARRAYFORMULA(TRIM('indice columnas'!$A$2:$A$100)),'indice columnas'!$B$2:$B$100,""""),
col,IFERROR(MATCH(campo,Referencia!$A$1:$AZ$1,0),0),
fila,IFERROR(MATCH(TO_TEXT(D3187),ARRAYFOR"&amp;"MULA(TO_TEXT(Referencia!$A$2:$A6238)),0),0),
IF(OR(campo="""",campo=""-""),""NO APLICA"",
IF(col=0,""REVISAR EQUIVALENCIA"",
IF(fila=0,""SKU NO ENCONTRADO"",
LET(
valor,INDEX(Referencia!$A$2:$AZ6238,fila,col),
IF(TRIM(TO_TEXT(valor))=TRIM(TO_TEXT(I3187)),"&amp;"
""OK"",
""NO COINCIDE. Valor verdadero: ""&amp;IF(valor="""",""[VACÍO]"",TO_TEXT(valor))
)
))))
),""ERROR EN FÓRMULA""))"),"OK")</f>
        <v>OK</v>
      </c>
    </row>
    <row r="3188">
      <c r="A3188" s="83" t="s">
        <v>4854</v>
      </c>
      <c r="B3188" s="83" t="s">
        <v>4855</v>
      </c>
      <c r="C3188" s="81" t="s">
        <v>4621</v>
      </c>
      <c r="D3188" s="83" t="s">
        <v>4873</v>
      </c>
      <c r="E3188" s="81" t="s">
        <v>4874</v>
      </c>
      <c r="F3188" s="84">
        <v>809.0</v>
      </c>
      <c r="G3188" s="81" t="s">
        <v>23</v>
      </c>
      <c r="H3188" s="81" t="s">
        <v>224</v>
      </c>
      <c r="I3188" s="81" t="s">
        <v>55</v>
      </c>
      <c r="J3188" s="81" t="s">
        <v>224</v>
      </c>
      <c r="K3188" s="81" t="str">
        <f>IFERROR(__xludf.DUMMYFUNCTION("IF(OR(D3188="""",G3188=""""),"""",IFERROR(LET(
campo,XLOOKUP(TRIM(G3188),ARRAYFORMULA(TRIM('indice columnas'!$A$2:$A$100)),'indice columnas'!$B$2:$B$100,""""),
col,IFERROR(MATCH(campo,Referencia!$A$1:$AZ$1,0),0),
fila,IFERROR(MATCH(TO_TEXT(D3188),ARRAYFOR"&amp;"MULA(TO_TEXT(Referencia!$A$2:$A6238)),0),0),
IF(OR(campo="""",campo=""-""),""NO APLICA"",
IF(col=0,""REVISAR EQUIVALENCIA"",
IF(fila=0,""SKU NO ENCONTRADO"",
LET(
valor,INDEX(Referencia!$A$2:$AZ6238,fila,col),
IF(TRIM(TO_TEXT(valor))=TRIM(TO_TEXT(I3188)),"&amp;"
""OK"",
""NO COINCIDE. Valor verdadero: ""&amp;IF(valor="""",""[VACÍO]"",TO_TEXT(valor))
)
))))
),""ERROR EN FÓRMULA""))"),"OK")</f>
        <v>OK</v>
      </c>
    </row>
    <row r="3189">
      <c r="A3189" s="83" t="s">
        <v>4854</v>
      </c>
      <c r="B3189" s="83" t="s">
        <v>4855</v>
      </c>
      <c r="C3189" s="81" t="s">
        <v>4621</v>
      </c>
      <c r="D3189" s="83" t="s">
        <v>4873</v>
      </c>
      <c r="E3189" s="81" t="s">
        <v>4874</v>
      </c>
      <c r="F3189" s="84">
        <v>809.0</v>
      </c>
      <c r="G3189" s="81" t="s">
        <v>24</v>
      </c>
      <c r="H3189" s="81" t="s">
        <v>224</v>
      </c>
      <c r="I3189" s="81" t="s">
        <v>55</v>
      </c>
      <c r="J3189" s="81" t="s">
        <v>224</v>
      </c>
      <c r="K3189" s="81" t="str">
        <f>IFERROR(__xludf.DUMMYFUNCTION("IF(OR(D3189="""",G3189=""""),"""",IFERROR(LET(
campo,XLOOKUP(TRIM(G3189),ARRAYFORMULA(TRIM('indice columnas'!$A$2:$A$100)),'indice columnas'!$B$2:$B$100,""""),
col,IFERROR(MATCH(campo,Referencia!$A$1:$AZ$1,0),0),
fila,IFERROR(MATCH(TO_TEXT(D3189),ARRAYFOR"&amp;"MULA(TO_TEXT(Referencia!$A$2:$A6238)),0),0),
IF(OR(campo="""",campo=""-""),""NO APLICA"",
IF(col=0,""REVISAR EQUIVALENCIA"",
IF(fila=0,""SKU NO ENCONTRADO"",
LET(
valor,INDEX(Referencia!$A$2:$AZ6238,fila,col),
IF(TRIM(TO_TEXT(valor))=TRIM(TO_TEXT(I3189)),"&amp;"
""OK"",
""NO COINCIDE. Valor verdadero: ""&amp;IF(valor="""",""[VACÍO]"",TO_TEXT(valor))
)
))))
),""ERROR EN FÓRMULA""))"),"OK")</f>
        <v>OK</v>
      </c>
    </row>
    <row r="3190">
      <c r="A3190" s="83" t="s">
        <v>4854</v>
      </c>
      <c r="B3190" s="83" t="s">
        <v>4855</v>
      </c>
      <c r="C3190" s="81" t="s">
        <v>4621</v>
      </c>
      <c r="D3190" s="83" t="s">
        <v>4873</v>
      </c>
      <c r="E3190" s="81" t="s">
        <v>4874</v>
      </c>
      <c r="F3190" s="84">
        <v>809.0</v>
      </c>
      <c r="G3190" s="81" t="s">
        <v>25</v>
      </c>
      <c r="H3190" s="81" t="s">
        <v>224</v>
      </c>
      <c r="I3190" s="81" t="s">
        <v>55</v>
      </c>
      <c r="J3190" s="81" t="s">
        <v>224</v>
      </c>
      <c r="K3190" s="81" t="str">
        <f>IFERROR(__xludf.DUMMYFUNCTION("IF(OR(D3190="""",G3190=""""),"""",IFERROR(LET(
campo,XLOOKUP(TRIM(G3190),ARRAYFORMULA(TRIM('indice columnas'!$A$2:$A$100)),'indice columnas'!$B$2:$B$100,""""),
col,IFERROR(MATCH(campo,Referencia!$A$1:$AZ$1,0),0),
fila,IFERROR(MATCH(TO_TEXT(D3190),ARRAYFOR"&amp;"MULA(TO_TEXT(Referencia!$A$2:$A6238)),0),0),
IF(OR(campo="""",campo=""-""),""NO APLICA"",
IF(col=0,""REVISAR EQUIVALENCIA"",
IF(fila=0,""SKU NO ENCONTRADO"",
LET(
valor,INDEX(Referencia!$A$2:$AZ6238,fila,col),
IF(TRIM(TO_TEXT(valor))=TRIM(TO_TEXT(I3190)),"&amp;"
""OK"",
""NO COINCIDE. Valor verdadero: ""&amp;IF(valor="""",""[VACÍO]"",TO_TEXT(valor))
)
))))
),""ERROR EN FÓRMULA""))"),"OK")</f>
        <v>OK</v>
      </c>
    </row>
    <row r="3191">
      <c r="A3191" s="83" t="s">
        <v>4854</v>
      </c>
      <c r="B3191" s="83" t="s">
        <v>4855</v>
      </c>
      <c r="C3191" s="81" t="s">
        <v>4621</v>
      </c>
      <c r="D3191" s="83" t="s">
        <v>4873</v>
      </c>
      <c r="E3191" s="81" t="s">
        <v>4874</v>
      </c>
      <c r="F3191" s="84">
        <v>809.0</v>
      </c>
      <c r="G3191" s="81" t="s">
        <v>26</v>
      </c>
      <c r="H3191" s="81" t="s">
        <v>224</v>
      </c>
      <c r="I3191" s="81" t="s">
        <v>231</v>
      </c>
      <c r="J3191" s="81" t="s">
        <v>224</v>
      </c>
      <c r="K3191" s="81" t="str">
        <f>IFERROR(__xludf.DUMMYFUNCTION("IF(OR(D3191="""",G3191=""""),"""",IFERROR(LET(
campo,XLOOKUP(TRIM(G3191),ARRAYFORMULA(TRIM('indice columnas'!$A$2:$A$100)),'indice columnas'!$B$2:$B$100,""""),
col,IFERROR(MATCH(campo,Referencia!$A$1:$AZ$1,0),0),
fila,IFERROR(MATCH(TO_TEXT(D3191),ARRAYFOR"&amp;"MULA(TO_TEXT(Referencia!$A$2:$A6238)),0),0),
IF(OR(campo="""",campo=""-""),""NO APLICA"",
IF(col=0,""REVISAR EQUIVALENCIA"",
IF(fila=0,""SKU NO ENCONTRADO"",
LET(
valor,INDEX(Referencia!$A$2:$AZ6238,fila,col),
IF(TRIM(TO_TEXT(valor))=TRIM(TO_TEXT(I3191)),"&amp;"
""OK"",
""NO COINCIDE. Valor verdadero: ""&amp;IF(valor="""",""[VACÍO]"",TO_TEXT(valor))
)
))))
),""ERROR EN FÓRMULA""))"),"OK")</f>
        <v>OK</v>
      </c>
    </row>
    <row r="3192">
      <c r="A3192" s="83" t="s">
        <v>4854</v>
      </c>
      <c r="B3192" s="83" t="s">
        <v>4855</v>
      </c>
      <c r="C3192" s="81" t="s">
        <v>4621</v>
      </c>
      <c r="D3192" s="83" t="s">
        <v>4873</v>
      </c>
      <c r="E3192" s="81" t="s">
        <v>4874</v>
      </c>
      <c r="F3192" s="84">
        <v>809.0</v>
      </c>
      <c r="G3192" s="81" t="s">
        <v>27</v>
      </c>
      <c r="H3192" s="81" t="s">
        <v>224</v>
      </c>
      <c r="I3192" s="81" t="s">
        <v>55</v>
      </c>
      <c r="J3192" s="81" t="s">
        <v>224</v>
      </c>
      <c r="K3192" s="81" t="str">
        <f>IFERROR(__xludf.DUMMYFUNCTION("IF(OR(D3192="""",G3192=""""),"""",IFERROR(LET(
campo,XLOOKUP(TRIM(G3192),ARRAYFORMULA(TRIM('indice columnas'!$A$2:$A$100)),'indice columnas'!$B$2:$B$100,""""),
col,IFERROR(MATCH(campo,Referencia!$A$1:$AZ$1,0),0),
fila,IFERROR(MATCH(TO_TEXT(D3192),ARRAYFOR"&amp;"MULA(TO_TEXT(Referencia!$A$2:$A6238)),0),0),
IF(OR(campo="""",campo=""-""),""NO APLICA"",
IF(col=0,""REVISAR EQUIVALENCIA"",
IF(fila=0,""SKU NO ENCONTRADO"",
LET(
valor,INDEX(Referencia!$A$2:$AZ6238,fila,col),
IF(TRIM(TO_TEXT(valor))=TRIM(TO_TEXT(I3192)),"&amp;"
""OK"",
""NO COINCIDE. Valor verdadero: ""&amp;IF(valor="""",""[VACÍO]"",TO_TEXT(valor))
)
))))
),""ERROR EN FÓRMULA""))"),"OK")</f>
        <v>OK</v>
      </c>
    </row>
    <row r="3193">
      <c r="A3193" s="83" t="s">
        <v>4854</v>
      </c>
      <c r="B3193" s="83" t="s">
        <v>4855</v>
      </c>
      <c r="C3193" s="81" t="s">
        <v>4621</v>
      </c>
      <c r="D3193" s="83" t="s">
        <v>4873</v>
      </c>
      <c r="E3193" s="81" t="s">
        <v>4874</v>
      </c>
      <c r="F3193" s="84">
        <v>809.0</v>
      </c>
      <c r="G3193" s="81" t="s">
        <v>28</v>
      </c>
      <c r="H3193" s="81" t="s">
        <v>224</v>
      </c>
      <c r="I3193" s="81" t="s">
        <v>61</v>
      </c>
      <c r="J3193" s="81" t="s">
        <v>224</v>
      </c>
      <c r="K3193" s="81" t="str">
        <f>IFERROR(__xludf.DUMMYFUNCTION("IF(OR(D3193="""",G3193=""""),"""",IFERROR(LET(
campo,XLOOKUP(TRIM(G3193),ARRAYFORMULA(TRIM('indice columnas'!$A$2:$A$100)),'indice columnas'!$B$2:$B$100,""""),
col,IFERROR(MATCH(campo,Referencia!$A$1:$AZ$1,0),0),
fila,IFERROR(MATCH(TO_TEXT(D3193),ARRAYFOR"&amp;"MULA(TO_TEXT(Referencia!$A$2:$A6238)),0),0),
IF(OR(campo="""",campo=""-""),""NO APLICA"",
IF(col=0,""REVISAR EQUIVALENCIA"",
IF(fila=0,""SKU NO ENCONTRADO"",
LET(
valor,INDEX(Referencia!$A$2:$AZ6238,fila,col),
IF(TRIM(TO_TEXT(valor))=TRIM(TO_TEXT(I3193)),"&amp;"
""OK"",
""NO COINCIDE. Valor verdadero: ""&amp;IF(valor="""",""[VACÍO]"",TO_TEXT(valor))
)
))))
),""ERROR EN FÓRMULA""))"),"OK")</f>
        <v>OK</v>
      </c>
    </row>
    <row r="3194">
      <c r="A3194" s="83" t="s">
        <v>4854</v>
      </c>
      <c r="B3194" s="83" t="s">
        <v>4855</v>
      </c>
      <c r="C3194" s="81" t="s">
        <v>4621</v>
      </c>
      <c r="D3194" s="83" t="s">
        <v>4873</v>
      </c>
      <c r="E3194" s="81" t="s">
        <v>4874</v>
      </c>
      <c r="F3194" s="84">
        <v>809.0</v>
      </c>
      <c r="G3194" s="81" t="s">
        <v>29</v>
      </c>
      <c r="H3194" s="81" t="s">
        <v>224</v>
      </c>
      <c r="I3194" s="81" t="s">
        <v>4875</v>
      </c>
      <c r="J3194" s="81" t="s">
        <v>224</v>
      </c>
      <c r="K3194" s="81" t="str">
        <f>IFERROR(__xludf.DUMMYFUNCTION("IF(OR(D3194="""",G3194=""""),"""",IFERROR(LET(
campo,XLOOKUP(TRIM(G3194),ARRAYFORMULA(TRIM('indice columnas'!$A$2:$A$100)),'indice columnas'!$B$2:$B$100,""""),
col,IFERROR(MATCH(campo,Referencia!$A$1:$AZ$1,0),0),
fila,IFERROR(MATCH(TO_TEXT(D3194),ARRAYFOR"&amp;"MULA(TO_TEXT(Referencia!$A$2:$A6238)),0),0),
IF(OR(campo="""",campo=""-""),""NO APLICA"",
IF(col=0,""REVISAR EQUIVALENCIA"",
IF(fila=0,""SKU NO ENCONTRADO"",
LET(
valor,INDEX(Referencia!$A$2:$AZ6238,fila,col),
IF(TRIM(TO_TEXT(valor))=TRIM(TO_TEXT(I3194)),"&amp;"
""OK"",
""NO COINCIDE. Valor verdadero: ""&amp;IF(valor="""",""[VACÍO]"",TO_TEXT(valor))
)
))))
),""ERROR EN FÓRMULA""))"),"NO COINCIDE. Valor verdadero: 605 x 605 x 50")</f>
        <v>NO COINCIDE. Valor verdadero: 605 x 605 x 50</v>
      </c>
    </row>
    <row r="3195">
      <c r="A3195" s="83" t="s">
        <v>4854</v>
      </c>
      <c r="B3195" s="83" t="s">
        <v>4855</v>
      </c>
      <c r="C3195" s="81" t="s">
        <v>4621</v>
      </c>
      <c r="D3195" s="83" t="s">
        <v>4873</v>
      </c>
      <c r="E3195" s="81" t="s">
        <v>4874</v>
      </c>
      <c r="F3195" s="84">
        <v>809.0</v>
      </c>
      <c r="G3195" s="81" t="s">
        <v>30</v>
      </c>
      <c r="H3195" s="81" t="s">
        <v>224</v>
      </c>
      <c r="I3195" s="81" t="s">
        <v>55</v>
      </c>
      <c r="J3195" s="81" t="s">
        <v>224</v>
      </c>
      <c r="K3195" s="81" t="str">
        <f>IFERROR(__xludf.DUMMYFUNCTION("IF(OR(D3195="""",G3195=""""),"""",IFERROR(LET(
campo,XLOOKUP(TRIM(G3195),ARRAYFORMULA(TRIM('indice columnas'!$A$2:$A$100)),'indice columnas'!$B$2:$B$100,""""),
col,IFERROR(MATCH(campo,Referencia!$A$1:$AZ$1,0),0),
fila,IFERROR(MATCH(TO_TEXT(D3195),ARRAYFOR"&amp;"MULA(TO_TEXT(Referencia!$A$2:$A6238)),0),0),
IF(OR(campo="""",campo=""-""),""NO APLICA"",
IF(col=0,""REVISAR EQUIVALENCIA"",
IF(fila=0,""SKU NO ENCONTRADO"",
LET(
valor,INDEX(Referencia!$A$2:$AZ6238,fila,col),
IF(TRIM(TO_TEXT(valor))=TRIM(TO_TEXT(I3195)),"&amp;"
""OK"",
""NO COINCIDE. Valor verdadero: ""&amp;IF(valor="""",""[VACÍO]"",TO_TEXT(valor))
)
))))
),""ERROR EN FÓRMULA""))"),"OK")</f>
        <v>OK</v>
      </c>
    </row>
    <row r="3196">
      <c r="A3196" s="83" t="s">
        <v>4854</v>
      </c>
      <c r="B3196" s="83" t="s">
        <v>4855</v>
      </c>
      <c r="C3196" s="81" t="s">
        <v>4621</v>
      </c>
      <c r="D3196" s="83" t="s">
        <v>4873</v>
      </c>
      <c r="E3196" s="81" t="s">
        <v>4874</v>
      </c>
      <c r="F3196" s="84">
        <v>809.0</v>
      </c>
      <c r="G3196" s="81" t="s">
        <v>31</v>
      </c>
      <c r="H3196" s="81" t="s">
        <v>224</v>
      </c>
      <c r="I3196" s="81" t="s">
        <v>55</v>
      </c>
      <c r="J3196" s="81" t="s">
        <v>224</v>
      </c>
      <c r="K3196" s="81" t="str">
        <f>IFERROR(__xludf.DUMMYFUNCTION("IF(OR(D3196="""",G3196=""""),"""",IFERROR(LET(
campo,XLOOKUP(TRIM(G3196),ARRAYFORMULA(TRIM('indice columnas'!$A$2:$A$100)),'indice columnas'!$B$2:$B$100,""""),
col,IFERROR(MATCH(campo,Referencia!$A$1:$AZ$1,0),0),
fila,IFERROR(MATCH(TO_TEXT(D3196),ARRAYFOR"&amp;"MULA(TO_TEXT(Referencia!$A$2:$A6238)),0),0),
IF(OR(campo="""",campo=""-""),""NO APLICA"",
IF(col=0,""REVISAR EQUIVALENCIA"",
IF(fila=0,""SKU NO ENCONTRADO"",
LET(
valor,INDEX(Referencia!$A$2:$AZ6238,fila,col),
IF(TRIM(TO_TEXT(valor))=TRIM(TO_TEXT(I3196)),"&amp;"
""OK"",
""NO COINCIDE. Valor verdadero: ""&amp;IF(valor="""",""[VACÍO]"",TO_TEXT(valor))
)
))))
),""ERROR EN FÓRMULA""))"),"OK")</f>
        <v>OK</v>
      </c>
    </row>
    <row r="3197">
      <c r="A3197" s="83" t="s">
        <v>4854</v>
      </c>
      <c r="B3197" s="83" t="s">
        <v>4855</v>
      </c>
      <c r="C3197" s="81" t="s">
        <v>4621</v>
      </c>
      <c r="D3197" s="83" t="s">
        <v>4873</v>
      </c>
      <c r="E3197" s="81" t="s">
        <v>4874</v>
      </c>
      <c r="F3197" s="84">
        <v>809.0</v>
      </c>
      <c r="G3197" s="81" t="s">
        <v>32</v>
      </c>
      <c r="H3197" s="81" t="s">
        <v>224</v>
      </c>
      <c r="I3197" s="81" t="s">
        <v>2815</v>
      </c>
      <c r="J3197" s="81" t="s">
        <v>224</v>
      </c>
      <c r="K3197" s="81" t="str">
        <f>IFERROR(__xludf.DUMMYFUNCTION("IF(OR(D3197="""",G3197=""""),"""",IFERROR(LET(
campo,XLOOKUP(TRIM(G3197),ARRAYFORMULA(TRIM('indice columnas'!$A$2:$A$100)),'indice columnas'!$B$2:$B$100,""""),
col,IFERROR(MATCH(campo,Referencia!$A$1:$AZ$1,0),0),
fila,IFERROR(MATCH(TO_TEXT(D3197),ARRAYFOR"&amp;"MULA(TO_TEXT(Referencia!$A$2:$A6238)),0),0),
IF(OR(campo="""",campo=""-""),""NO APLICA"",
IF(col=0,""REVISAR EQUIVALENCIA"",
IF(fila=0,""SKU NO ENCONTRADO"",
LET(
valor,INDEX(Referencia!$A$2:$AZ6238,fila,col),
IF(TRIM(TO_TEXT(valor))=TRIM(TO_TEXT(I3197)),"&amp;"
""OK"",
""NO COINCIDE. Valor verdadero: ""&amp;IF(valor="""",""[VACÍO]"",TO_TEXT(valor))
)
))))
),""ERROR EN FÓRMULA""))"),"OK")</f>
        <v>OK</v>
      </c>
    </row>
    <row r="3198">
      <c r="A3198" s="83" t="s">
        <v>4854</v>
      </c>
      <c r="B3198" s="83" t="s">
        <v>4855</v>
      </c>
      <c r="C3198" s="81" t="s">
        <v>4621</v>
      </c>
      <c r="D3198" s="83" t="s">
        <v>4873</v>
      </c>
      <c r="E3198" s="81" t="s">
        <v>4874</v>
      </c>
      <c r="F3198" s="84">
        <v>809.0</v>
      </c>
      <c r="G3198" s="81" t="s">
        <v>33</v>
      </c>
      <c r="H3198" s="81" t="s">
        <v>224</v>
      </c>
      <c r="I3198" s="81" t="s">
        <v>55</v>
      </c>
      <c r="J3198" s="81" t="s">
        <v>224</v>
      </c>
      <c r="K3198" s="81" t="str">
        <f>IFERROR(__xludf.DUMMYFUNCTION("IF(OR(D3198="""",G3198=""""),"""",IFERROR(LET(
campo,XLOOKUP(TRIM(G3198),ARRAYFORMULA(TRIM('indice columnas'!$A$2:$A$100)),'indice columnas'!$B$2:$B$100,""""),
col,IFERROR(MATCH(campo,Referencia!$A$1:$AZ$1,0),0),
fila,IFERROR(MATCH(TO_TEXT(D3198),ARRAYFOR"&amp;"MULA(TO_TEXT(Referencia!$A$2:$A6238)),0),0),
IF(OR(campo="""",campo=""-""),""NO APLICA"",
IF(col=0,""REVISAR EQUIVALENCIA"",
IF(fila=0,""SKU NO ENCONTRADO"",
LET(
valor,INDEX(Referencia!$A$2:$AZ6238,fila,col),
IF(TRIM(TO_TEXT(valor))=TRIM(TO_TEXT(I3198)),"&amp;"
""OK"",
""NO COINCIDE. Valor verdadero: ""&amp;IF(valor="""",""[VACÍO]"",TO_TEXT(valor))
)
))))
),""ERROR EN FÓRMULA""))"),"OK")</f>
        <v>OK</v>
      </c>
    </row>
    <row r="3199">
      <c r="A3199" s="83" t="s">
        <v>4854</v>
      </c>
      <c r="B3199" s="83" t="s">
        <v>4855</v>
      </c>
      <c r="C3199" s="81" t="s">
        <v>4621</v>
      </c>
      <c r="D3199" s="83" t="s">
        <v>4873</v>
      </c>
      <c r="E3199" s="81" t="s">
        <v>4874</v>
      </c>
      <c r="F3199" s="84">
        <v>809.0</v>
      </c>
      <c r="G3199" s="81" t="s">
        <v>34</v>
      </c>
      <c r="H3199" s="81" t="s">
        <v>224</v>
      </c>
      <c r="I3199" s="81" t="s">
        <v>65</v>
      </c>
      <c r="J3199" s="81" t="s">
        <v>224</v>
      </c>
      <c r="K3199" s="81" t="str">
        <f>IFERROR(__xludf.DUMMYFUNCTION("IF(OR(D3199="""",G3199=""""),"""",IFERROR(LET(
campo,XLOOKUP(TRIM(G3199),ARRAYFORMULA(TRIM('indice columnas'!$A$2:$A$100)),'indice columnas'!$B$2:$B$100,""""),
col,IFERROR(MATCH(campo,Referencia!$A$1:$AZ$1,0),0),
fila,IFERROR(MATCH(TO_TEXT(D3199),ARRAYFOR"&amp;"MULA(TO_TEXT(Referencia!$A$2:$A6238)),0),0),
IF(OR(campo="""",campo=""-""),""NO APLICA"",
IF(col=0,""REVISAR EQUIVALENCIA"",
IF(fila=0,""SKU NO ENCONTRADO"",
LET(
valor,INDEX(Referencia!$A$2:$AZ6238,fila,col),
IF(TRIM(TO_TEXT(valor))=TRIM(TO_TEXT(I3199)),"&amp;"
""OK"",
""NO COINCIDE. Valor verdadero: ""&amp;IF(valor="""",""[VACÍO]"",TO_TEXT(valor))
)
))))
),""ERROR EN FÓRMULA""))"),"OK")</f>
        <v>OK</v>
      </c>
    </row>
    <row r="3200">
      <c r="A3200" s="83" t="s">
        <v>4854</v>
      </c>
      <c r="B3200" s="83" t="s">
        <v>4855</v>
      </c>
      <c r="C3200" s="81" t="s">
        <v>4621</v>
      </c>
      <c r="D3200" s="83" t="s">
        <v>4873</v>
      </c>
      <c r="E3200" s="81" t="s">
        <v>4874</v>
      </c>
      <c r="F3200" s="84">
        <v>809.0</v>
      </c>
      <c r="G3200" s="81" t="s">
        <v>35</v>
      </c>
      <c r="H3200" s="81" t="s">
        <v>224</v>
      </c>
      <c r="I3200" s="81" t="s">
        <v>55</v>
      </c>
      <c r="J3200" s="81" t="s">
        <v>224</v>
      </c>
      <c r="K3200" s="81" t="str">
        <f>IFERROR(__xludf.DUMMYFUNCTION("IF(OR(D3200="""",G3200=""""),"""",IFERROR(LET(
campo,XLOOKUP(TRIM(G3200),ARRAYFORMULA(TRIM('indice columnas'!$A$2:$A$100)),'indice columnas'!$B$2:$B$100,""""),
col,IFERROR(MATCH(campo,Referencia!$A$1:$AZ$1,0),0),
fila,IFERROR(MATCH(TO_TEXT(D3200),ARRAYFOR"&amp;"MULA(TO_TEXT(Referencia!$A$2:$A6238)),0),0),
IF(OR(campo="""",campo=""-""),""NO APLICA"",
IF(col=0,""REVISAR EQUIVALENCIA"",
IF(fila=0,""SKU NO ENCONTRADO"",
LET(
valor,INDEX(Referencia!$A$2:$AZ6238,fila,col),
IF(TRIM(TO_TEXT(valor))=TRIM(TO_TEXT(I3200)),"&amp;"
""OK"",
""NO COINCIDE. Valor verdadero: ""&amp;IF(valor="""",""[VACÍO]"",TO_TEXT(valor))
)
))))
),""ERROR EN FÓRMULA""))"),"OK")</f>
        <v>OK</v>
      </c>
    </row>
    <row r="3201">
      <c r="A3201" s="83" t="s">
        <v>4854</v>
      </c>
      <c r="B3201" s="83" t="s">
        <v>4855</v>
      </c>
      <c r="C3201" s="81" t="s">
        <v>4621</v>
      </c>
      <c r="D3201" s="83" t="s">
        <v>4873</v>
      </c>
      <c r="E3201" s="81" t="s">
        <v>4874</v>
      </c>
      <c r="F3201" s="84">
        <v>809.0</v>
      </c>
      <c r="G3201" s="81" t="s">
        <v>36</v>
      </c>
      <c r="H3201" s="81" t="s">
        <v>224</v>
      </c>
      <c r="I3201" s="81" t="s">
        <v>55</v>
      </c>
      <c r="J3201" s="81" t="s">
        <v>224</v>
      </c>
      <c r="K3201" s="81" t="str">
        <f>IFERROR(__xludf.DUMMYFUNCTION("IF(OR(D3201="""",G3201=""""),"""",IFERROR(LET(
campo,XLOOKUP(TRIM(G3201),ARRAYFORMULA(TRIM('indice columnas'!$A$2:$A$100)),'indice columnas'!$B$2:$B$100,""""),
col,IFERROR(MATCH(campo,Referencia!$A$1:$AZ$1,0),0),
fila,IFERROR(MATCH(TO_TEXT(D3201),ARRAYFOR"&amp;"MULA(TO_TEXT(Referencia!$A$2:$A6238)),0),0),
IF(OR(campo="""",campo=""-""),""NO APLICA"",
IF(col=0,""REVISAR EQUIVALENCIA"",
IF(fila=0,""SKU NO ENCONTRADO"",
LET(
valor,INDEX(Referencia!$A$2:$AZ6238,fila,col),
IF(TRIM(TO_TEXT(valor))=TRIM(TO_TEXT(I3201)),"&amp;"
""OK"",
""NO COINCIDE. Valor verdadero: ""&amp;IF(valor="""",""[VACÍO]"",TO_TEXT(valor))
)
))))
),""ERROR EN FÓRMULA""))"),"REVISAR EQUIVALENCIA")</f>
        <v>REVISAR EQUIVALENCIA</v>
      </c>
    </row>
    <row r="3202">
      <c r="A3202" s="83" t="s">
        <v>4854</v>
      </c>
      <c r="B3202" s="83" t="s">
        <v>4855</v>
      </c>
      <c r="C3202" s="81" t="s">
        <v>4621</v>
      </c>
      <c r="D3202" s="83" t="s">
        <v>4873</v>
      </c>
      <c r="E3202" s="81" t="s">
        <v>4874</v>
      </c>
      <c r="F3202" s="84">
        <v>809.0</v>
      </c>
      <c r="G3202" s="81" t="s">
        <v>37</v>
      </c>
      <c r="H3202" s="81" t="s">
        <v>224</v>
      </c>
      <c r="I3202" s="81" t="s">
        <v>720</v>
      </c>
      <c r="J3202" s="81" t="s">
        <v>224</v>
      </c>
      <c r="K3202" s="81" t="str">
        <f>IFERROR(__xludf.DUMMYFUNCTION("IF(OR(D3202="""",G3202=""""),"""",IFERROR(LET(
campo,XLOOKUP(TRIM(G3202),ARRAYFORMULA(TRIM('indice columnas'!$A$2:$A$100)),'indice columnas'!$B$2:$B$100,""""),
col,IFERROR(MATCH(campo,Referencia!$A$1:$AZ$1,0),0),
fila,IFERROR(MATCH(TO_TEXT(D3202),ARRAYFOR"&amp;"MULA(TO_TEXT(Referencia!$A$2:$A6238)),0),0),
IF(OR(campo="""",campo=""-""),""NO APLICA"",
IF(col=0,""REVISAR EQUIVALENCIA"",
IF(fila=0,""SKU NO ENCONTRADO"",
LET(
valor,INDEX(Referencia!$A$2:$AZ6238,fila,col),
IF(TRIM(TO_TEXT(valor))=TRIM(TO_TEXT(I3202)),"&amp;"
""OK"",
""NO COINCIDE. Valor verdadero: ""&amp;IF(valor="""",""[VACÍO]"",TO_TEXT(valor))
)
))))
),""ERROR EN FÓRMULA""))"),"OK")</f>
        <v>OK</v>
      </c>
    </row>
    <row r="3203">
      <c r="A3203" s="83" t="s">
        <v>4854</v>
      </c>
      <c r="B3203" s="83" t="s">
        <v>4855</v>
      </c>
      <c r="C3203" s="81" t="s">
        <v>4621</v>
      </c>
      <c r="D3203" s="83" t="s">
        <v>4873</v>
      </c>
      <c r="E3203" s="81" t="s">
        <v>4874</v>
      </c>
      <c r="F3203" s="84">
        <v>809.0</v>
      </c>
      <c r="G3203" s="81" t="s">
        <v>41</v>
      </c>
      <c r="H3203" s="81" t="s">
        <v>224</v>
      </c>
      <c r="I3203" s="81" t="s">
        <v>4876</v>
      </c>
      <c r="J3203" s="81" t="s">
        <v>224</v>
      </c>
      <c r="K3203" s="81" t="str">
        <f>IFERROR(__xludf.DUMMYFUNCTION("IF(OR(D3203="""",G3203=""""),"""",IFERROR(LET(
campo,XLOOKUP(TRIM(G3203),ARRAYFORMULA(TRIM('indice columnas'!$A$2:$A$100)),'indice columnas'!$B$2:$B$100,""""),
col,IFERROR(MATCH(campo,Referencia!$A$1:$AZ$1,0),0),
fila,IFERROR(MATCH(TO_TEXT(D3203),ARRAYFOR"&amp;"MULA(TO_TEXT(Referencia!$A$2:$A6238)),0),0),
IF(OR(campo="""",campo=""-""),""NO APLICA"",
IF(col=0,""REVISAR EQUIVALENCIA"",
IF(fila=0,""SKU NO ENCONTRADO"",
LET(
valor,INDEX(Referencia!$A$2:$AZ6238,fila,col),
IF(TRIM(TO_TEXT(valor))=TRIM(TO_TEXT(I3203)),"&amp;"
""OK"",
""NO COINCIDE. Valor verdadero: ""&amp;IF(valor="""",""[VACÍO]"",TO_TEXT(valor))
)
))))
),""ERROR EN FÓRMULA""))"),"REVISAR EQUIVALENCIA")</f>
        <v>REVISAR EQUIVALENCIA</v>
      </c>
    </row>
    <row r="3204">
      <c r="A3204" s="83" t="s">
        <v>4854</v>
      </c>
      <c r="B3204" s="83" t="s">
        <v>4855</v>
      </c>
      <c r="C3204" s="81" t="s">
        <v>4621</v>
      </c>
      <c r="D3204" s="83" t="s">
        <v>4877</v>
      </c>
      <c r="E3204" s="81" t="s">
        <v>4878</v>
      </c>
      <c r="F3204" s="84">
        <v>810.0</v>
      </c>
      <c r="G3204" s="81" t="s">
        <v>10</v>
      </c>
      <c r="H3204" s="81" t="s">
        <v>224</v>
      </c>
      <c r="I3204" s="81" t="s">
        <v>55</v>
      </c>
      <c r="J3204" s="81" t="s">
        <v>224</v>
      </c>
      <c r="K3204" s="81" t="str">
        <f>IFERROR(__xludf.DUMMYFUNCTION("IF(OR(D3204="""",G3204=""""),"""",IFERROR(LET(
campo,XLOOKUP(TRIM(G3204),ARRAYFORMULA(TRIM('indice columnas'!$A$2:$A$100)),'indice columnas'!$B$2:$B$100,""""),
col,IFERROR(MATCH(campo,Referencia!$A$1:$AZ$1,0),0),
fila,IFERROR(MATCH(TO_TEXT(D3204),ARRAYFOR"&amp;"MULA(TO_TEXT(Referencia!$A$2:$A6238)),0),0),
IF(OR(campo="""",campo=""-""),""NO APLICA"",
IF(col=0,""REVISAR EQUIVALENCIA"",
IF(fila=0,""SKU NO ENCONTRADO"",
LET(
valor,INDEX(Referencia!$A$2:$AZ6238,fila,col),
IF(TRIM(TO_TEXT(valor))=TRIM(TO_TEXT(I3204)),"&amp;"
""OK"",
""NO COINCIDE. Valor verdadero: ""&amp;IF(valor="""",""[VACÍO]"",TO_TEXT(valor))
)
))))
),""ERROR EN FÓRMULA""))"),"OK")</f>
        <v>OK</v>
      </c>
    </row>
    <row r="3205">
      <c r="A3205" s="83" t="s">
        <v>4854</v>
      </c>
      <c r="B3205" s="83" t="s">
        <v>4855</v>
      </c>
      <c r="C3205" s="81" t="s">
        <v>4621</v>
      </c>
      <c r="D3205" s="83" t="s">
        <v>4877</v>
      </c>
      <c r="E3205" s="81" t="s">
        <v>4878</v>
      </c>
      <c r="F3205" s="84">
        <v>810.0</v>
      </c>
      <c r="G3205" s="81" t="s">
        <v>11</v>
      </c>
      <c r="H3205" s="81" t="s">
        <v>224</v>
      </c>
      <c r="I3205" s="81" t="s">
        <v>55</v>
      </c>
      <c r="J3205" s="81" t="s">
        <v>224</v>
      </c>
      <c r="K3205" s="81" t="str">
        <f>IFERROR(__xludf.DUMMYFUNCTION("IF(OR(D3205="""",G3205=""""),"""",IFERROR(LET(
campo,XLOOKUP(TRIM(G3205),ARRAYFORMULA(TRIM('indice columnas'!$A$2:$A$100)),'indice columnas'!$B$2:$B$100,""""),
col,IFERROR(MATCH(campo,Referencia!$A$1:$AZ$1,0),0),
fila,IFERROR(MATCH(TO_TEXT(D3205),ARRAYFOR"&amp;"MULA(TO_TEXT(Referencia!$A$2:$A6238)),0),0),
IF(OR(campo="""",campo=""-""),""NO APLICA"",
IF(col=0,""REVISAR EQUIVALENCIA"",
IF(fila=0,""SKU NO ENCONTRADO"",
LET(
valor,INDEX(Referencia!$A$2:$AZ6238,fila,col),
IF(TRIM(TO_TEXT(valor))=TRIM(TO_TEXT(I3205)),"&amp;"
""OK"",
""NO COINCIDE. Valor verdadero: ""&amp;IF(valor="""",""[VACÍO]"",TO_TEXT(valor))
)
))))
),""ERROR EN FÓRMULA""))"),"OK")</f>
        <v>OK</v>
      </c>
    </row>
    <row r="3206">
      <c r="A3206" s="83" t="s">
        <v>4854</v>
      </c>
      <c r="B3206" s="83" t="s">
        <v>4855</v>
      </c>
      <c r="C3206" s="81" t="s">
        <v>4621</v>
      </c>
      <c r="D3206" s="83" t="s">
        <v>4877</v>
      </c>
      <c r="E3206" s="81" t="s">
        <v>4878</v>
      </c>
      <c r="F3206" s="84">
        <v>810.0</v>
      </c>
      <c r="G3206" s="81" t="s">
        <v>12</v>
      </c>
      <c r="H3206" s="81" t="s">
        <v>224</v>
      </c>
      <c r="I3206" s="81" t="s">
        <v>55</v>
      </c>
      <c r="J3206" s="81" t="s">
        <v>224</v>
      </c>
      <c r="K3206" s="81" t="str">
        <f>IFERROR(__xludf.DUMMYFUNCTION("IF(OR(D3206="""",G3206=""""),"""",IFERROR(LET(
campo,XLOOKUP(TRIM(G3206),ARRAYFORMULA(TRIM('indice columnas'!$A$2:$A$100)),'indice columnas'!$B$2:$B$100,""""),
col,IFERROR(MATCH(campo,Referencia!$A$1:$AZ$1,0),0),
fila,IFERROR(MATCH(TO_TEXT(D3206),ARRAYFOR"&amp;"MULA(TO_TEXT(Referencia!$A$2:$A6238)),0),0),
IF(OR(campo="""",campo=""-""),""NO APLICA"",
IF(col=0,""REVISAR EQUIVALENCIA"",
IF(fila=0,""SKU NO ENCONTRADO"",
LET(
valor,INDEX(Referencia!$A$2:$AZ6238,fila,col),
IF(TRIM(TO_TEXT(valor))=TRIM(TO_TEXT(I3206)),"&amp;"
""OK"",
""NO COINCIDE. Valor verdadero: ""&amp;IF(valor="""",""[VACÍO]"",TO_TEXT(valor))
)
))))
),""ERROR EN FÓRMULA""))"),"OK")</f>
        <v>OK</v>
      </c>
    </row>
    <row r="3207">
      <c r="A3207" s="83" t="s">
        <v>4854</v>
      </c>
      <c r="B3207" s="83" t="s">
        <v>4855</v>
      </c>
      <c r="C3207" s="81" t="s">
        <v>4621</v>
      </c>
      <c r="D3207" s="83" t="s">
        <v>4877</v>
      </c>
      <c r="E3207" s="81" t="s">
        <v>4878</v>
      </c>
      <c r="F3207" s="84">
        <v>810.0</v>
      </c>
      <c r="G3207" s="81" t="s">
        <v>13</v>
      </c>
      <c r="H3207" s="81" t="s">
        <v>224</v>
      </c>
      <c r="I3207" s="81" t="s">
        <v>55</v>
      </c>
      <c r="J3207" s="81" t="s">
        <v>224</v>
      </c>
      <c r="K3207" s="81" t="str">
        <f>IFERROR(__xludf.DUMMYFUNCTION("IF(OR(D3207="""",G3207=""""),"""",IFERROR(LET(
campo,XLOOKUP(TRIM(G3207),ARRAYFORMULA(TRIM('indice columnas'!$A$2:$A$100)),'indice columnas'!$B$2:$B$100,""""),
col,IFERROR(MATCH(campo,Referencia!$A$1:$AZ$1,0),0),
fila,IFERROR(MATCH(TO_TEXT(D3207),ARRAYFOR"&amp;"MULA(TO_TEXT(Referencia!$A$2:$A6238)),0),0),
IF(OR(campo="""",campo=""-""),""NO APLICA"",
IF(col=0,""REVISAR EQUIVALENCIA"",
IF(fila=0,""SKU NO ENCONTRADO"",
LET(
valor,INDEX(Referencia!$A$2:$AZ6238,fila,col),
IF(TRIM(TO_TEXT(valor))=TRIM(TO_TEXT(I3207)),"&amp;"
""OK"",
""NO COINCIDE. Valor verdadero: ""&amp;IF(valor="""",""[VACÍO]"",TO_TEXT(valor))
)
))))
),""ERROR EN FÓRMULA""))"),"OK")</f>
        <v>OK</v>
      </c>
    </row>
    <row r="3208">
      <c r="A3208" s="83" t="s">
        <v>4854</v>
      </c>
      <c r="B3208" s="83" t="s">
        <v>4855</v>
      </c>
      <c r="C3208" s="81" t="s">
        <v>4621</v>
      </c>
      <c r="D3208" s="83" t="s">
        <v>4877</v>
      </c>
      <c r="E3208" s="81" t="s">
        <v>4878</v>
      </c>
      <c r="F3208" s="84">
        <v>810.0</v>
      </c>
      <c r="G3208" s="81" t="s">
        <v>14</v>
      </c>
      <c r="H3208" s="81" t="s">
        <v>224</v>
      </c>
      <c r="I3208" s="81" t="s">
        <v>55</v>
      </c>
      <c r="J3208" s="81" t="s">
        <v>224</v>
      </c>
      <c r="K3208" s="81" t="str">
        <f>IFERROR(__xludf.DUMMYFUNCTION("IF(OR(D3208="""",G3208=""""),"""",IFERROR(LET(
campo,XLOOKUP(TRIM(G3208),ARRAYFORMULA(TRIM('indice columnas'!$A$2:$A$100)),'indice columnas'!$B$2:$B$100,""""),
col,IFERROR(MATCH(campo,Referencia!$A$1:$AZ$1,0),0),
fila,IFERROR(MATCH(TO_TEXT(D3208),ARRAYFOR"&amp;"MULA(TO_TEXT(Referencia!$A$2:$A6238)),0),0),
IF(OR(campo="""",campo=""-""),""NO APLICA"",
IF(col=0,""REVISAR EQUIVALENCIA"",
IF(fila=0,""SKU NO ENCONTRADO"",
LET(
valor,INDEX(Referencia!$A$2:$AZ6238,fila,col),
IF(TRIM(TO_TEXT(valor))=TRIM(TO_TEXT(I3208)),"&amp;"
""OK"",
""NO COINCIDE. Valor verdadero: ""&amp;IF(valor="""",""[VACÍO]"",TO_TEXT(valor))
)
))))
),""ERROR EN FÓRMULA""))"),"OK")</f>
        <v>OK</v>
      </c>
    </row>
    <row r="3209">
      <c r="A3209" s="83" t="s">
        <v>4854</v>
      </c>
      <c r="B3209" s="83" t="s">
        <v>4855</v>
      </c>
      <c r="C3209" s="81" t="s">
        <v>4621</v>
      </c>
      <c r="D3209" s="83" t="s">
        <v>4877</v>
      </c>
      <c r="E3209" s="81" t="s">
        <v>4878</v>
      </c>
      <c r="F3209" s="84">
        <v>810.0</v>
      </c>
      <c r="G3209" s="81" t="s">
        <v>15</v>
      </c>
      <c r="H3209" s="81" t="s">
        <v>224</v>
      </c>
      <c r="I3209" s="81" t="s">
        <v>55</v>
      </c>
      <c r="J3209" s="81" t="s">
        <v>224</v>
      </c>
      <c r="K3209" s="81" t="str">
        <f>IFERROR(__xludf.DUMMYFUNCTION("IF(OR(D3209="""",G3209=""""),"""",IFERROR(LET(
campo,XLOOKUP(TRIM(G3209),ARRAYFORMULA(TRIM('indice columnas'!$A$2:$A$100)),'indice columnas'!$B$2:$B$100,""""),
col,IFERROR(MATCH(campo,Referencia!$A$1:$AZ$1,0),0),
fila,IFERROR(MATCH(TO_TEXT(D3209),ARRAYFOR"&amp;"MULA(TO_TEXT(Referencia!$A$2:$A6238)),0),0),
IF(OR(campo="""",campo=""-""),""NO APLICA"",
IF(col=0,""REVISAR EQUIVALENCIA"",
IF(fila=0,""SKU NO ENCONTRADO"",
LET(
valor,INDEX(Referencia!$A$2:$AZ6238,fila,col),
IF(TRIM(TO_TEXT(valor))=TRIM(TO_TEXT(I3209)),"&amp;"
""OK"",
""NO COINCIDE. Valor verdadero: ""&amp;IF(valor="""",""[VACÍO]"",TO_TEXT(valor))
)
))))
),""ERROR EN FÓRMULA""))"),"OK")</f>
        <v>OK</v>
      </c>
    </row>
    <row r="3210">
      <c r="A3210" s="83" t="s">
        <v>4854</v>
      </c>
      <c r="B3210" s="83" t="s">
        <v>4855</v>
      </c>
      <c r="C3210" s="81" t="s">
        <v>4621</v>
      </c>
      <c r="D3210" s="83" t="s">
        <v>4877</v>
      </c>
      <c r="E3210" s="81" t="s">
        <v>4878</v>
      </c>
      <c r="F3210" s="84">
        <v>810.0</v>
      </c>
      <c r="G3210" s="81" t="s">
        <v>16</v>
      </c>
      <c r="H3210" s="81" t="s">
        <v>224</v>
      </c>
      <c r="I3210" s="81" t="s">
        <v>55</v>
      </c>
      <c r="J3210" s="81" t="s">
        <v>224</v>
      </c>
      <c r="K3210" s="81" t="str">
        <f>IFERROR(__xludf.DUMMYFUNCTION("IF(OR(D3210="""",G3210=""""),"""",IFERROR(LET(
campo,XLOOKUP(TRIM(G3210),ARRAYFORMULA(TRIM('indice columnas'!$A$2:$A$100)),'indice columnas'!$B$2:$B$100,""""),
col,IFERROR(MATCH(campo,Referencia!$A$1:$AZ$1,0),0),
fila,IFERROR(MATCH(TO_TEXT(D3210),ARRAYFOR"&amp;"MULA(TO_TEXT(Referencia!$A$2:$A6238)),0),0),
IF(OR(campo="""",campo=""-""),""NO APLICA"",
IF(col=0,""REVISAR EQUIVALENCIA"",
IF(fila=0,""SKU NO ENCONTRADO"",
LET(
valor,INDEX(Referencia!$A$2:$AZ6238,fila,col),
IF(TRIM(TO_TEXT(valor))=TRIM(TO_TEXT(I3210)),"&amp;"
""OK"",
""NO COINCIDE. Valor verdadero: ""&amp;IF(valor="""",""[VACÍO]"",TO_TEXT(valor))
)
))))
),""ERROR EN FÓRMULA""))"),"OK")</f>
        <v>OK</v>
      </c>
    </row>
    <row r="3211">
      <c r="A3211" s="83" t="s">
        <v>4854</v>
      </c>
      <c r="B3211" s="83" t="s">
        <v>4855</v>
      </c>
      <c r="C3211" s="81" t="s">
        <v>4621</v>
      </c>
      <c r="D3211" s="83" t="s">
        <v>4877</v>
      </c>
      <c r="E3211" s="81" t="s">
        <v>4878</v>
      </c>
      <c r="F3211" s="84">
        <v>810.0</v>
      </c>
      <c r="G3211" s="81" t="s">
        <v>17</v>
      </c>
      <c r="H3211" s="81" t="s">
        <v>224</v>
      </c>
      <c r="I3211" s="81" t="s">
        <v>55</v>
      </c>
      <c r="J3211" s="81" t="s">
        <v>224</v>
      </c>
      <c r="K3211" s="81" t="str">
        <f>IFERROR(__xludf.DUMMYFUNCTION("IF(OR(D3211="""",G3211=""""),"""",IFERROR(LET(
campo,XLOOKUP(TRIM(G3211),ARRAYFORMULA(TRIM('indice columnas'!$A$2:$A$100)),'indice columnas'!$B$2:$B$100,""""),
col,IFERROR(MATCH(campo,Referencia!$A$1:$AZ$1,0),0),
fila,IFERROR(MATCH(TO_TEXT(D3211),ARRAYFOR"&amp;"MULA(TO_TEXT(Referencia!$A$2:$A6238)),0),0),
IF(OR(campo="""",campo=""-""),""NO APLICA"",
IF(col=0,""REVISAR EQUIVALENCIA"",
IF(fila=0,""SKU NO ENCONTRADO"",
LET(
valor,INDEX(Referencia!$A$2:$AZ6238,fila,col),
IF(TRIM(TO_TEXT(valor))=TRIM(TO_TEXT(I3211)),"&amp;"
""OK"",
""NO COINCIDE. Valor verdadero: ""&amp;IF(valor="""",""[VACÍO]"",TO_TEXT(valor))
)
))))
),""ERROR EN FÓRMULA""))"),"OK")</f>
        <v>OK</v>
      </c>
    </row>
    <row r="3212">
      <c r="A3212" s="83" t="s">
        <v>4854</v>
      </c>
      <c r="B3212" s="83" t="s">
        <v>4855</v>
      </c>
      <c r="C3212" s="81" t="s">
        <v>4621</v>
      </c>
      <c r="D3212" s="83" t="s">
        <v>4877</v>
      </c>
      <c r="E3212" s="81" t="s">
        <v>4878</v>
      </c>
      <c r="F3212" s="84">
        <v>810.0</v>
      </c>
      <c r="G3212" s="81" t="s">
        <v>18</v>
      </c>
      <c r="H3212" s="81" t="s">
        <v>224</v>
      </c>
      <c r="I3212" s="81" t="s">
        <v>55</v>
      </c>
      <c r="J3212" s="81" t="s">
        <v>224</v>
      </c>
      <c r="K3212" s="81" t="str">
        <f>IFERROR(__xludf.DUMMYFUNCTION("IF(OR(D3212="""",G3212=""""),"""",IFERROR(LET(
campo,XLOOKUP(TRIM(G3212),ARRAYFORMULA(TRIM('indice columnas'!$A$2:$A$100)),'indice columnas'!$B$2:$B$100,""""),
col,IFERROR(MATCH(campo,Referencia!$A$1:$AZ$1,0),0),
fila,IFERROR(MATCH(TO_TEXT(D3212),ARRAYFOR"&amp;"MULA(TO_TEXT(Referencia!$A$2:$A6238)),0),0),
IF(OR(campo="""",campo=""-""),""NO APLICA"",
IF(col=0,""REVISAR EQUIVALENCIA"",
IF(fila=0,""SKU NO ENCONTRADO"",
LET(
valor,INDEX(Referencia!$A$2:$AZ6238,fila,col),
IF(TRIM(TO_TEXT(valor))=TRIM(TO_TEXT(I3212)),"&amp;"
""OK"",
""NO COINCIDE. Valor verdadero: ""&amp;IF(valor="""",""[VACÍO]"",TO_TEXT(valor))
)
))))
),""ERROR EN FÓRMULA""))"),"OK")</f>
        <v>OK</v>
      </c>
    </row>
    <row r="3213">
      <c r="A3213" s="83" t="s">
        <v>4854</v>
      </c>
      <c r="B3213" s="83" t="s">
        <v>4855</v>
      </c>
      <c r="C3213" s="81" t="s">
        <v>4621</v>
      </c>
      <c r="D3213" s="83" t="s">
        <v>4877</v>
      </c>
      <c r="E3213" s="81" t="s">
        <v>4878</v>
      </c>
      <c r="F3213" s="84">
        <v>810.0</v>
      </c>
      <c r="G3213" s="81" t="s">
        <v>19</v>
      </c>
      <c r="H3213" s="81" t="s">
        <v>224</v>
      </c>
      <c r="I3213" s="81" t="s">
        <v>55</v>
      </c>
      <c r="J3213" s="81" t="s">
        <v>224</v>
      </c>
      <c r="K3213" s="81" t="str">
        <f>IFERROR(__xludf.DUMMYFUNCTION("IF(OR(D3213="""",G3213=""""),"""",IFERROR(LET(
campo,XLOOKUP(TRIM(G3213),ARRAYFORMULA(TRIM('indice columnas'!$A$2:$A$100)),'indice columnas'!$B$2:$B$100,""""),
col,IFERROR(MATCH(campo,Referencia!$A$1:$AZ$1,0),0),
fila,IFERROR(MATCH(TO_TEXT(D3213),ARRAYFOR"&amp;"MULA(TO_TEXT(Referencia!$A$2:$A6238)),0),0),
IF(OR(campo="""",campo=""-""),""NO APLICA"",
IF(col=0,""REVISAR EQUIVALENCIA"",
IF(fila=0,""SKU NO ENCONTRADO"",
LET(
valor,INDEX(Referencia!$A$2:$AZ6238,fila,col),
IF(TRIM(TO_TEXT(valor))=TRIM(TO_TEXT(I3213)),"&amp;"
""OK"",
""NO COINCIDE. Valor verdadero: ""&amp;IF(valor="""",""[VACÍO]"",TO_TEXT(valor))
)
))))
),""ERROR EN FÓRMULA""))"),"OK")</f>
        <v>OK</v>
      </c>
    </row>
    <row r="3214">
      <c r="A3214" s="83" t="s">
        <v>4854</v>
      </c>
      <c r="B3214" s="83" t="s">
        <v>4855</v>
      </c>
      <c r="C3214" s="81" t="s">
        <v>4621</v>
      </c>
      <c r="D3214" s="83" t="s">
        <v>4877</v>
      </c>
      <c r="E3214" s="81" t="s">
        <v>4878</v>
      </c>
      <c r="F3214" s="84">
        <v>810.0</v>
      </c>
      <c r="G3214" s="81" t="s">
        <v>20</v>
      </c>
      <c r="H3214" s="81" t="s">
        <v>224</v>
      </c>
      <c r="I3214" s="81" t="s">
        <v>55</v>
      </c>
      <c r="J3214" s="81" t="s">
        <v>224</v>
      </c>
      <c r="K3214" s="81" t="str">
        <f>IFERROR(__xludf.DUMMYFUNCTION("IF(OR(D3214="""",G3214=""""),"""",IFERROR(LET(
campo,XLOOKUP(TRIM(G3214),ARRAYFORMULA(TRIM('indice columnas'!$A$2:$A$100)),'indice columnas'!$B$2:$B$100,""""),
col,IFERROR(MATCH(campo,Referencia!$A$1:$AZ$1,0),0),
fila,IFERROR(MATCH(TO_TEXT(D3214),ARRAYFOR"&amp;"MULA(TO_TEXT(Referencia!$A$2:$A6238)),0),0),
IF(OR(campo="""",campo=""-""),""NO APLICA"",
IF(col=0,""REVISAR EQUIVALENCIA"",
IF(fila=0,""SKU NO ENCONTRADO"",
LET(
valor,INDEX(Referencia!$A$2:$AZ6238,fila,col),
IF(TRIM(TO_TEXT(valor))=TRIM(TO_TEXT(I3214)),"&amp;"
""OK"",
""NO COINCIDE. Valor verdadero: ""&amp;IF(valor="""",""[VACÍO]"",TO_TEXT(valor))
)
))))
),""ERROR EN FÓRMULA""))"),"OK")</f>
        <v>OK</v>
      </c>
    </row>
    <row r="3215">
      <c r="A3215" s="83" t="s">
        <v>4854</v>
      </c>
      <c r="B3215" s="83" t="s">
        <v>4855</v>
      </c>
      <c r="C3215" s="81" t="s">
        <v>4621</v>
      </c>
      <c r="D3215" s="83" t="s">
        <v>4877</v>
      </c>
      <c r="E3215" s="81" t="s">
        <v>4878</v>
      </c>
      <c r="F3215" s="84">
        <v>810.0</v>
      </c>
      <c r="G3215" s="81" t="s">
        <v>21</v>
      </c>
      <c r="H3215" s="81" t="s">
        <v>224</v>
      </c>
      <c r="I3215" s="81" t="s">
        <v>55</v>
      </c>
      <c r="J3215" s="81" t="s">
        <v>224</v>
      </c>
      <c r="K3215" s="81" t="str">
        <f>IFERROR(__xludf.DUMMYFUNCTION("IF(OR(D3215="""",G3215=""""),"""",IFERROR(LET(
campo,XLOOKUP(TRIM(G3215),ARRAYFORMULA(TRIM('indice columnas'!$A$2:$A$100)),'indice columnas'!$B$2:$B$100,""""),
col,IFERROR(MATCH(campo,Referencia!$A$1:$AZ$1,0),0),
fila,IFERROR(MATCH(TO_TEXT(D3215),ARRAYFOR"&amp;"MULA(TO_TEXT(Referencia!$A$2:$A6238)),0),0),
IF(OR(campo="""",campo=""-""),""NO APLICA"",
IF(col=0,""REVISAR EQUIVALENCIA"",
IF(fila=0,""SKU NO ENCONTRADO"",
LET(
valor,INDEX(Referencia!$A$2:$AZ6238,fila,col),
IF(TRIM(TO_TEXT(valor))=TRIM(TO_TEXT(I3215)),"&amp;"
""OK"",
""NO COINCIDE. Valor verdadero: ""&amp;IF(valor="""",""[VACÍO]"",TO_TEXT(valor))
)
))))
),""ERROR EN FÓRMULA""))"),"OK")</f>
        <v>OK</v>
      </c>
    </row>
    <row r="3216">
      <c r="A3216" s="83" t="s">
        <v>4854</v>
      </c>
      <c r="B3216" s="83" t="s">
        <v>4855</v>
      </c>
      <c r="C3216" s="81" t="s">
        <v>4621</v>
      </c>
      <c r="D3216" s="83" t="s">
        <v>4877</v>
      </c>
      <c r="E3216" s="81" t="s">
        <v>4878</v>
      </c>
      <c r="F3216" s="84">
        <v>810.0</v>
      </c>
      <c r="G3216" s="81" t="s">
        <v>22</v>
      </c>
      <c r="H3216" s="81" t="s">
        <v>224</v>
      </c>
      <c r="I3216" s="81" t="s">
        <v>55</v>
      </c>
      <c r="J3216" s="81" t="s">
        <v>224</v>
      </c>
      <c r="K3216" s="81" t="str">
        <f>IFERROR(__xludf.DUMMYFUNCTION("IF(OR(D3216="""",G3216=""""),"""",IFERROR(LET(
campo,XLOOKUP(TRIM(G3216),ARRAYFORMULA(TRIM('indice columnas'!$A$2:$A$100)),'indice columnas'!$B$2:$B$100,""""),
col,IFERROR(MATCH(campo,Referencia!$A$1:$AZ$1,0),0),
fila,IFERROR(MATCH(TO_TEXT(D3216),ARRAYFOR"&amp;"MULA(TO_TEXT(Referencia!$A$2:$A6238)),0),0),
IF(OR(campo="""",campo=""-""),""NO APLICA"",
IF(col=0,""REVISAR EQUIVALENCIA"",
IF(fila=0,""SKU NO ENCONTRADO"",
LET(
valor,INDEX(Referencia!$A$2:$AZ6238,fila,col),
IF(TRIM(TO_TEXT(valor))=TRIM(TO_TEXT(I3216)),"&amp;"
""OK"",
""NO COINCIDE. Valor verdadero: ""&amp;IF(valor="""",""[VACÍO]"",TO_TEXT(valor))
)
))))
),""ERROR EN FÓRMULA""))"),"OK")</f>
        <v>OK</v>
      </c>
    </row>
    <row r="3217">
      <c r="A3217" s="83" t="s">
        <v>4854</v>
      </c>
      <c r="B3217" s="83" t="s">
        <v>4855</v>
      </c>
      <c r="C3217" s="81" t="s">
        <v>4621</v>
      </c>
      <c r="D3217" s="83" t="s">
        <v>4877</v>
      </c>
      <c r="E3217" s="81" t="s">
        <v>4878</v>
      </c>
      <c r="F3217" s="84">
        <v>810.0</v>
      </c>
      <c r="G3217" s="81" t="s">
        <v>23</v>
      </c>
      <c r="H3217" s="81" t="s">
        <v>224</v>
      </c>
      <c r="I3217" s="81" t="s">
        <v>55</v>
      </c>
      <c r="J3217" s="81" t="s">
        <v>224</v>
      </c>
      <c r="K3217" s="81" t="str">
        <f>IFERROR(__xludf.DUMMYFUNCTION("IF(OR(D3217="""",G3217=""""),"""",IFERROR(LET(
campo,XLOOKUP(TRIM(G3217),ARRAYFORMULA(TRIM('indice columnas'!$A$2:$A$100)),'indice columnas'!$B$2:$B$100,""""),
col,IFERROR(MATCH(campo,Referencia!$A$1:$AZ$1,0),0),
fila,IFERROR(MATCH(TO_TEXT(D3217),ARRAYFOR"&amp;"MULA(TO_TEXT(Referencia!$A$2:$A6238)),0),0),
IF(OR(campo="""",campo=""-""),""NO APLICA"",
IF(col=0,""REVISAR EQUIVALENCIA"",
IF(fila=0,""SKU NO ENCONTRADO"",
LET(
valor,INDEX(Referencia!$A$2:$AZ6238,fila,col),
IF(TRIM(TO_TEXT(valor))=TRIM(TO_TEXT(I3217)),"&amp;"
""OK"",
""NO COINCIDE. Valor verdadero: ""&amp;IF(valor="""",""[VACÍO]"",TO_TEXT(valor))
)
))))
),""ERROR EN FÓRMULA""))"),"OK")</f>
        <v>OK</v>
      </c>
    </row>
    <row r="3218">
      <c r="A3218" s="83" t="s">
        <v>4854</v>
      </c>
      <c r="B3218" s="83" t="s">
        <v>4855</v>
      </c>
      <c r="C3218" s="81" t="s">
        <v>4621</v>
      </c>
      <c r="D3218" s="83" t="s">
        <v>4877</v>
      </c>
      <c r="E3218" s="81" t="s">
        <v>4878</v>
      </c>
      <c r="F3218" s="84">
        <v>810.0</v>
      </c>
      <c r="G3218" s="81" t="s">
        <v>24</v>
      </c>
      <c r="H3218" s="81" t="s">
        <v>224</v>
      </c>
      <c r="I3218" s="81" t="s">
        <v>55</v>
      </c>
      <c r="J3218" s="81" t="s">
        <v>224</v>
      </c>
      <c r="K3218" s="81" t="str">
        <f>IFERROR(__xludf.DUMMYFUNCTION("IF(OR(D3218="""",G3218=""""),"""",IFERROR(LET(
campo,XLOOKUP(TRIM(G3218),ARRAYFORMULA(TRIM('indice columnas'!$A$2:$A$100)),'indice columnas'!$B$2:$B$100,""""),
col,IFERROR(MATCH(campo,Referencia!$A$1:$AZ$1,0),0),
fila,IFERROR(MATCH(TO_TEXT(D3218),ARRAYFOR"&amp;"MULA(TO_TEXT(Referencia!$A$2:$A6238)),0),0),
IF(OR(campo="""",campo=""-""),""NO APLICA"",
IF(col=0,""REVISAR EQUIVALENCIA"",
IF(fila=0,""SKU NO ENCONTRADO"",
LET(
valor,INDEX(Referencia!$A$2:$AZ6238,fila,col),
IF(TRIM(TO_TEXT(valor))=TRIM(TO_TEXT(I3218)),"&amp;"
""OK"",
""NO COINCIDE. Valor verdadero: ""&amp;IF(valor="""",""[VACÍO]"",TO_TEXT(valor))
)
))))
),""ERROR EN FÓRMULA""))"),"OK")</f>
        <v>OK</v>
      </c>
    </row>
    <row r="3219">
      <c r="A3219" s="83" t="s">
        <v>4854</v>
      </c>
      <c r="B3219" s="83" t="s">
        <v>4855</v>
      </c>
      <c r="C3219" s="81" t="s">
        <v>4621</v>
      </c>
      <c r="D3219" s="83" t="s">
        <v>4877</v>
      </c>
      <c r="E3219" s="81" t="s">
        <v>4878</v>
      </c>
      <c r="F3219" s="84">
        <v>810.0</v>
      </c>
      <c r="G3219" s="81" t="s">
        <v>25</v>
      </c>
      <c r="H3219" s="81" t="s">
        <v>224</v>
      </c>
      <c r="I3219" s="81" t="s">
        <v>55</v>
      </c>
      <c r="J3219" s="81" t="s">
        <v>224</v>
      </c>
      <c r="K3219" s="81" t="str">
        <f>IFERROR(__xludf.DUMMYFUNCTION("IF(OR(D3219="""",G3219=""""),"""",IFERROR(LET(
campo,XLOOKUP(TRIM(G3219),ARRAYFORMULA(TRIM('indice columnas'!$A$2:$A$100)),'indice columnas'!$B$2:$B$100,""""),
col,IFERROR(MATCH(campo,Referencia!$A$1:$AZ$1,0),0),
fila,IFERROR(MATCH(TO_TEXT(D3219),ARRAYFOR"&amp;"MULA(TO_TEXT(Referencia!$A$2:$A6238)),0),0),
IF(OR(campo="""",campo=""-""),""NO APLICA"",
IF(col=0,""REVISAR EQUIVALENCIA"",
IF(fila=0,""SKU NO ENCONTRADO"",
LET(
valor,INDEX(Referencia!$A$2:$AZ6238,fila,col),
IF(TRIM(TO_TEXT(valor))=TRIM(TO_TEXT(I3219)),"&amp;"
""OK"",
""NO COINCIDE. Valor verdadero: ""&amp;IF(valor="""",""[VACÍO]"",TO_TEXT(valor))
)
))))
),""ERROR EN FÓRMULA""))"),"OK")</f>
        <v>OK</v>
      </c>
    </row>
    <row r="3220">
      <c r="A3220" s="83" t="s">
        <v>4854</v>
      </c>
      <c r="B3220" s="83" t="s">
        <v>4855</v>
      </c>
      <c r="C3220" s="81" t="s">
        <v>4621</v>
      </c>
      <c r="D3220" s="83" t="s">
        <v>4877</v>
      </c>
      <c r="E3220" s="81" t="s">
        <v>4878</v>
      </c>
      <c r="F3220" s="84">
        <v>810.0</v>
      </c>
      <c r="G3220" s="81" t="s">
        <v>26</v>
      </c>
      <c r="H3220" s="81" t="s">
        <v>224</v>
      </c>
      <c r="I3220" s="81" t="s">
        <v>231</v>
      </c>
      <c r="J3220" s="81" t="s">
        <v>224</v>
      </c>
      <c r="K3220" s="81" t="str">
        <f>IFERROR(__xludf.DUMMYFUNCTION("IF(OR(D3220="""",G3220=""""),"""",IFERROR(LET(
campo,XLOOKUP(TRIM(G3220),ARRAYFORMULA(TRIM('indice columnas'!$A$2:$A$100)),'indice columnas'!$B$2:$B$100,""""),
col,IFERROR(MATCH(campo,Referencia!$A$1:$AZ$1,0),0),
fila,IFERROR(MATCH(TO_TEXT(D3220),ARRAYFOR"&amp;"MULA(TO_TEXT(Referencia!$A$2:$A6238)),0),0),
IF(OR(campo="""",campo=""-""),""NO APLICA"",
IF(col=0,""REVISAR EQUIVALENCIA"",
IF(fila=0,""SKU NO ENCONTRADO"",
LET(
valor,INDEX(Referencia!$A$2:$AZ6238,fila,col),
IF(TRIM(TO_TEXT(valor))=TRIM(TO_TEXT(I3220)),"&amp;"
""OK"",
""NO COINCIDE. Valor verdadero: ""&amp;IF(valor="""",""[VACÍO]"",TO_TEXT(valor))
)
))))
),""ERROR EN FÓRMULA""))"),"OK")</f>
        <v>OK</v>
      </c>
    </row>
    <row r="3221">
      <c r="A3221" s="83" t="s">
        <v>4854</v>
      </c>
      <c r="B3221" s="83" t="s">
        <v>4855</v>
      </c>
      <c r="C3221" s="81" t="s">
        <v>4621</v>
      </c>
      <c r="D3221" s="83" t="s">
        <v>4877</v>
      </c>
      <c r="E3221" s="81" t="s">
        <v>4878</v>
      </c>
      <c r="F3221" s="84">
        <v>810.0</v>
      </c>
      <c r="G3221" s="81" t="s">
        <v>27</v>
      </c>
      <c r="H3221" s="81" t="s">
        <v>224</v>
      </c>
      <c r="I3221" s="81" t="s">
        <v>55</v>
      </c>
      <c r="J3221" s="81" t="s">
        <v>224</v>
      </c>
      <c r="K3221" s="81" t="str">
        <f>IFERROR(__xludf.DUMMYFUNCTION("IF(OR(D3221="""",G3221=""""),"""",IFERROR(LET(
campo,XLOOKUP(TRIM(G3221),ARRAYFORMULA(TRIM('indice columnas'!$A$2:$A$100)),'indice columnas'!$B$2:$B$100,""""),
col,IFERROR(MATCH(campo,Referencia!$A$1:$AZ$1,0),0),
fila,IFERROR(MATCH(TO_TEXT(D3221),ARRAYFOR"&amp;"MULA(TO_TEXT(Referencia!$A$2:$A6238)),0),0),
IF(OR(campo="""",campo=""-""),""NO APLICA"",
IF(col=0,""REVISAR EQUIVALENCIA"",
IF(fila=0,""SKU NO ENCONTRADO"",
LET(
valor,INDEX(Referencia!$A$2:$AZ6238,fila,col),
IF(TRIM(TO_TEXT(valor))=TRIM(TO_TEXT(I3221)),"&amp;"
""OK"",
""NO COINCIDE. Valor verdadero: ""&amp;IF(valor="""",""[VACÍO]"",TO_TEXT(valor))
)
))))
),""ERROR EN FÓRMULA""))"),"OK")</f>
        <v>OK</v>
      </c>
    </row>
    <row r="3222">
      <c r="A3222" s="83" t="s">
        <v>4854</v>
      </c>
      <c r="B3222" s="83" t="s">
        <v>4855</v>
      </c>
      <c r="C3222" s="81" t="s">
        <v>4621</v>
      </c>
      <c r="D3222" s="83" t="s">
        <v>4877</v>
      </c>
      <c r="E3222" s="81" t="s">
        <v>4878</v>
      </c>
      <c r="F3222" s="84">
        <v>810.0</v>
      </c>
      <c r="G3222" s="81" t="s">
        <v>28</v>
      </c>
      <c r="H3222" s="81" t="s">
        <v>224</v>
      </c>
      <c r="I3222" s="81" t="s">
        <v>61</v>
      </c>
      <c r="J3222" s="81" t="s">
        <v>224</v>
      </c>
      <c r="K3222" s="81" t="str">
        <f>IFERROR(__xludf.DUMMYFUNCTION("IF(OR(D3222="""",G3222=""""),"""",IFERROR(LET(
campo,XLOOKUP(TRIM(G3222),ARRAYFORMULA(TRIM('indice columnas'!$A$2:$A$100)),'indice columnas'!$B$2:$B$100,""""),
col,IFERROR(MATCH(campo,Referencia!$A$1:$AZ$1,0),0),
fila,IFERROR(MATCH(TO_TEXT(D3222),ARRAYFOR"&amp;"MULA(TO_TEXT(Referencia!$A$2:$A6238)),0),0),
IF(OR(campo="""",campo=""-""),""NO APLICA"",
IF(col=0,""REVISAR EQUIVALENCIA"",
IF(fila=0,""SKU NO ENCONTRADO"",
LET(
valor,INDEX(Referencia!$A$2:$AZ6238,fila,col),
IF(TRIM(TO_TEXT(valor))=TRIM(TO_TEXT(I3222)),"&amp;"
""OK"",
""NO COINCIDE. Valor verdadero: ""&amp;IF(valor="""",""[VACÍO]"",TO_TEXT(valor))
)
))))
),""ERROR EN FÓRMULA""))"),"OK")</f>
        <v>OK</v>
      </c>
    </row>
    <row r="3223">
      <c r="A3223" s="83" t="s">
        <v>4854</v>
      </c>
      <c r="B3223" s="83" t="s">
        <v>4855</v>
      </c>
      <c r="C3223" s="81" t="s">
        <v>4621</v>
      </c>
      <c r="D3223" s="83" t="s">
        <v>4877</v>
      </c>
      <c r="E3223" s="81" t="s">
        <v>4878</v>
      </c>
      <c r="F3223" s="84">
        <v>810.0</v>
      </c>
      <c r="G3223" s="81" t="s">
        <v>29</v>
      </c>
      <c r="H3223" s="81" t="s">
        <v>224</v>
      </c>
      <c r="I3223" s="81" t="s">
        <v>4879</v>
      </c>
      <c r="J3223" s="81" t="s">
        <v>224</v>
      </c>
      <c r="K3223" s="81" t="str">
        <f>IFERROR(__xludf.DUMMYFUNCTION("IF(OR(D3223="""",G3223=""""),"""",IFERROR(LET(
campo,XLOOKUP(TRIM(G3223),ARRAYFORMULA(TRIM('indice columnas'!$A$2:$A$100)),'indice columnas'!$B$2:$B$100,""""),
col,IFERROR(MATCH(campo,Referencia!$A$1:$AZ$1,0),0),
fila,IFERROR(MATCH(TO_TEXT(D3223),ARRAYFOR"&amp;"MULA(TO_TEXT(Referencia!$A$2:$A6238)),0),0),
IF(OR(campo="""",campo=""-""),""NO APLICA"",
IF(col=0,""REVISAR EQUIVALENCIA"",
IF(fila=0,""SKU NO ENCONTRADO"",
LET(
valor,INDEX(Referencia!$A$2:$AZ6238,fila,col),
IF(TRIM(TO_TEXT(valor))=TRIM(TO_TEXT(I3223)),"&amp;"
""OK"",
""NO COINCIDE. Valor verdadero: ""&amp;IF(valor="""",""[VACÍO]"",TO_TEXT(valor))
)
))))
),""ERROR EN FÓRMULA""))"),"NO COINCIDE. Valor verdadero: 605 x 605 x 138")</f>
        <v>NO COINCIDE. Valor verdadero: 605 x 605 x 138</v>
      </c>
    </row>
    <row r="3224">
      <c r="A3224" s="83" t="s">
        <v>4854</v>
      </c>
      <c r="B3224" s="83" t="s">
        <v>4855</v>
      </c>
      <c r="C3224" s="81" t="s">
        <v>4621</v>
      </c>
      <c r="D3224" s="83" t="s">
        <v>4877</v>
      </c>
      <c r="E3224" s="81" t="s">
        <v>4878</v>
      </c>
      <c r="F3224" s="84">
        <v>810.0</v>
      </c>
      <c r="G3224" s="81" t="s">
        <v>30</v>
      </c>
      <c r="H3224" s="81" t="s">
        <v>224</v>
      </c>
      <c r="I3224" s="81" t="s">
        <v>55</v>
      </c>
      <c r="J3224" s="81" t="s">
        <v>224</v>
      </c>
      <c r="K3224" s="81" t="str">
        <f>IFERROR(__xludf.DUMMYFUNCTION("IF(OR(D3224="""",G3224=""""),"""",IFERROR(LET(
campo,XLOOKUP(TRIM(G3224),ARRAYFORMULA(TRIM('indice columnas'!$A$2:$A$100)),'indice columnas'!$B$2:$B$100,""""),
col,IFERROR(MATCH(campo,Referencia!$A$1:$AZ$1,0),0),
fila,IFERROR(MATCH(TO_TEXT(D3224),ARRAYFOR"&amp;"MULA(TO_TEXT(Referencia!$A$2:$A6238)),0),0),
IF(OR(campo="""",campo=""-""),""NO APLICA"",
IF(col=0,""REVISAR EQUIVALENCIA"",
IF(fila=0,""SKU NO ENCONTRADO"",
LET(
valor,INDEX(Referencia!$A$2:$AZ6238,fila,col),
IF(TRIM(TO_TEXT(valor))=TRIM(TO_TEXT(I3224)),"&amp;"
""OK"",
""NO COINCIDE. Valor verdadero: ""&amp;IF(valor="""",""[VACÍO]"",TO_TEXT(valor))
)
))))
),""ERROR EN FÓRMULA""))"),"OK")</f>
        <v>OK</v>
      </c>
    </row>
    <row r="3225">
      <c r="A3225" s="83" t="s">
        <v>4854</v>
      </c>
      <c r="B3225" s="83" t="s">
        <v>4855</v>
      </c>
      <c r="C3225" s="81" t="s">
        <v>4621</v>
      </c>
      <c r="D3225" s="83" t="s">
        <v>4877</v>
      </c>
      <c r="E3225" s="81" t="s">
        <v>4878</v>
      </c>
      <c r="F3225" s="84">
        <v>810.0</v>
      </c>
      <c r="G3225" s="81" t="s">
        <v>31</v>
      </c>
      <c r="H3225" s="81" t="s">
        <v>224</v>
      </c>
      <c r="I3225" s="81" t="s">
        <v>55</v>
      </c>
      <c r="J3225" s="81" t="s">
        <v>224</v>
      </c>
      <c r="K3225" s="81" t="str">
        <f>IFERROR(__xludf.DUMMYFUNCTION("IF(OR(D3225="""",G3225=""""),"""",IFERROR(LET(
campo,XLOOKUP(TRIM(G3225),ARRAYFORMULA(TRIM('indice columnas'!$A$2:$A$100)),'indice columnas'!$B$2:$B$100,""""),
col,IFERROR(MATCH(campo,Referencia!$A$1:$AZ$1,0),0),
fila,IFERROR(MATCH(TO_TEXT(D3225),ARRAYFOR"&amp;"MULA(TO_TEXT(Referencia!$A$2:$A6238)),0),0),
IF(OR(campo="""",campo=""-""),""NO APLICA"",
IF(col=0,""REVISAR EQUIVALENCIA"",
IF(fila=0,""SKU NO ENCONTRADO"",
LET(
valor,INDEX(Referencia!$A$2:$AZ6238,fila,col),
IF(TRIM(TO_TEXT(valor))=TRIM(TO_TEXT(I3225)),"&amp;"
""OK"",
""NO COINCIDE. Valor verdadero: ""&amp;IF(valor="""",""[VACÍO]"",TO_TEXT(valor))
)
))))
),""ERROR EN FÓRMULA""))"),"OK")</f>
        <v>OK</v>
      </c>
    </row>
    <row r="3226">
      <c r="A3226" s="83" t="s">
        <v>4854</v>
      </c>
      <c r="B3226" s="83" t="s">
        <v>4855</v>
      </c>
      <c r="C3226" s="81" t="s">
        <v>4621</v>
      </c>
      <c r="D3226" s="83" t="s">
        <v>4877</v>
      </c>
      <c r="E3226" s="81" t="s">
        <v>4878</v>
      </c>
      <c r="F3226" s="84">
        <v>810.0</v>
      </c>
      <c r="G3226" s="81" t="s">
        <v>32</v>
      </c>
      <c r="H3226" s="81" t="s">
        <v>224</v>
      </c>
      <c r="I3226" s="81" t="s">
        <v>2815</v>
      </c>
      <c r="J3226" s="81" t="s">
        <v>224</v>
      </c>
      <c r="K3226" s="81" t="str">
        <f>IFERROR(__xludf.DUMMYFUNCTION("IF(OR(D3226="""",G3226=""""),"""",IFERROR(LET(
campo,XLOOKUP(TRIM(G3226),ARRAYFORMULA(TRIM('indice columnas'!$A$2:$A$100)),'indice columnas'!$B$2:$B$100,""""),
col,IFERROR(MATCH(campo,Referencia!$A$1:$AZ$1,0),0),
fila,IFERROR(MATCH(TO_TEXT(D3226),ARRAYFOR"&amp;"MULA(TO_TEXT(Referencia!$A$2:$A6238)),0),0),
IF(OR(campo="""",campo=""-""),""NO APLICA"",
IF(col=0,""REVISAR EQUIVALENCIA"",
IF(fila=0,""SKU NO ENCONTRADO"",
LET(
valor,INDEX(Referencia!$A$2:$AZ6238,fila,col),
IF(TRIM(TO_TEXT(valor))=TRIM(TO_TEXT(I3226)),"&amp;"
""OK"",
""NO COINCIDE. Valor verdadero: ""&amp;IF(valor="""",""[VACÍO]"",TO_TEXT(valor))
)
))))
),""ERROR EN FÓRMULA""))"),"OK")</f>
        <v>OK</v>
      </c>
    </row>
    <row r="3227">
      <c r="A3227" s="83" t="s">
        <v>4854</v>
      </c>
      <c r="B3227" s="83" t="s">
        <v>4855</v>
      </c>
      <c r="C3227" s="81" t="s">
        <v>4621</v>
      </c>
      <c r="D3227" s="83" t="s">
        <v>4877</v>
      </c>
      <c r="E3227" s="81" t="s">
        <v>4878</v>
      </c>
      <c r="F3227" s="84">
        <v>810.0</v>
      </c>
      <c r="G3227" s="81" t="s">
        <v>33</v>
      </c>
      <c r="H3227" s="81" t="s">
        <v>224</v>
      </c>
      <c r="I3227" s="81" t="s">
        <v>55</v>
      </c>
      <c r="J3227" s="81" t="s">
        <v>224</v>
      </c>
      <c r="K3227" s="81" t="str">
        <f>IFERROR(__xludf.DUMMYFUNCTION("IF(OR(D3227="""",G3227=""""),"""",IFERROR(LET(
campo,XLOOKUP(TRIM(G3227),ARRAYFORMULA(TRIM('indice columnas'!$A$2:$A$100)),'indice columnas'!$B$2:$B$100,""""),
col,IFERROR(MATCH(campo,Referencia!$A$1:$AZ$1,0),0),
fila,IFERROR(MATCH(TO_TEXT(D3227),ARRAYFOR"&amp;"MULA(TO_TEXT(Referencia!$A$2:$A6238)),0),0),
IF(OR(campo="""",campo=""-""),""NO APLICA"",
IF(col=0,""REVISAR EQUIVALENCIA"",
IF(fila=0,""SKU NO ENCONTRADO"",
LET(
valor,INDEX(Referencia!$A$2:$AZ6238,fila,col),
IF(TRIM(TO_TEXT(valor))=TRIM(TO_TEXT(I3227)),"&amp;"
""OK"",
""NO COINCIDE. Valor verdadero: ""&amp;IF(valor="""",""[VACÍO]"",TO_TEXT(valor))
)
))))
),""ERROR EN FÓRMULA""))"),"OK")</f>
        <v>OK</v>
      </c>
    </row>
    <row r="3228">
      <c r="A3228" s="83" t="s">
        <v>4854</v>
      </c>
      <c r="B3228" s="83" t="s">
        <v>4855</v>
      </c>
      <c r="C3228" s="81" t="s">
        <v>4621</v>
      </c>
      <c r="D3228" s="83" t="s">
        <v>4877</v>
      </c>
      <c r="E3228" s="81" t="s">
        <v>4878</v>
      </c>
      <c r="F3228" s="84">
        <v>810.0</v>
      </c>
      <c r="G3228" s="81" t="s">
        <v>34</v>
      </c>
      <c r="H3228" s="81" t="s">
        <v>224</v>
      </c>
      <c r="I3228" s="81" t="s">
        <v>65</v>
      </c>
      <c r="J3228" s="81" t="s">
        <v>224</v>
      </c>
      <c r="K3228" s="81" t="str">
        <f>IFERROR(__xludf.DUMMYFUNCTION("IF(OR(D3228="""",G3228=""""),"""",IFERROR(LET(
campo,XLOOKUP(TRIM(G3228),ARRAYFORMULA(TRIM('indice columnas'!$A$2:$A$100)),'indice columnas'!$B$2:$B$100,""""),
col,IFERROR(MATCH(campo,Referencia!$A$1:$AZ$1,0),0),
fila,IFERROR(MATCH(TO_TEXT(D3228),ARRAYFOR"&amp;"MULA(TO_TEXT(Referencia!$A$2:$A6238)),0),0),
IF(OR(campo="""",campo=""-""),""NO APLICA"",
IF(col=0,""REVISAR EQUIVALENCIA"",
IF(fila=0,""SKU NO ENCONTRADO"",
LET(
valor,INDEX(Referencia!$A$2:$AZ6238,fila,col),
IF(TRIM(TO_TEXT(valor))=TRIM(TO_TEXT(I3228)),"&amp;"
""OK"",
""NO COINCIDE. Valor verdadero: ""&amp;IF(valor="""",""[VACÍO]"",TO_TEXT(valor))
)
))))
),""ERROR EN FÓRMULA""))"),"OK")</f>
        <v>OK</v>
      </c>
    </row>
    <row r="3229">
      <c r="A3229" s="83" t="s">
        <v>4854</v>
      </c>
      <c r="B3229" s="83" t="s">
        <v>4855</v>
      </c>
      <c r="C3229" s="81" t="s">
        <v>4621</v>
      </c>
      <c r="D3229" s="83" t="s">
        <v>4877</v>
      </c>
      <c r="E3229" s="81" t="s">
        <v>4878</v>
      </c>
      <c r="F3229" s="84">
        <v>810.0</v>
      </c>
      <c r="G3229" s="81" t="s">
        <v>35</v>
      </c>
      <c r="H3229" s="81" t="s">
        <v>224</v>
      </c>
      <c r="I3229" s="81" t="s">
        <v>55</v>
      </c>
      <c r="J3229" s="81" t="s">
        <v>224</v>
      </c>
      <c r="K3229" s="81" t="str">
        <f>IFERROR(__xludf.DUMMYFUNCTION("IF(OR(D3229="""",G3229=""""),"""",IFERROR(LET(
campo,XLOOKUP(TRIM(G3229),ARRAYFORMULA(TRIM('indice columnas'!$A$2:$A$100)),'indice columnas'!$B$2:$B$100,""""),
col,IFERROR(MATCH(campo,Referencia!$A$1:$AZ$1,0),0),
fila,IFERROR(MATCH(TO_TEXT(D3229),ARRAYFOR"&amp;"MULA(TO_TEXT(Referencia!$A$2:$A6238)),0),0),
IF(OR(campo="""",campo=""-""),""NO APLICA"",
IF(col=0,""REVISAR EQUIVALENCIA"",
IF(fila=0,""SKU NO ENCONTRADO"",
LET(
valor,INDEX(Referencia!$A$2:$AZ6238,fila,col),
IF(TRIM(TO_TEXT(valor))=TRIM(TO_TEXT(I3229)),"&amp;"
""OK"",
""NO COINCIDE. Valor verdadero: ""&amp;IF(valor="""",""[VACÍO]"",TO_TEXT(valor))
)
))))
),""ERROR EN FÓRMULA""))"),"OK")</f>
        <v>OK</v>
      </c>
    </row>
    <row r="3230">
      <c r="A3230" s="83" t="s">
        <v>4854</v>
      </c>
      <c r="B3230" s="83" t="s">
        <v>4855</v>
      </c>
      <c r="C3230" s="81" t="s">
        <v>4621</v>
      </c>
      <c r="D3230" s="83" t="s">
        <v>4877</v>
      </c>
      <c r="E3230" s="81" t="s">
        <v>4878</v>
      </c>
      <c r="F3230" s="84">
        <v>810.0</v>
      </c>
      <c r="G3230" s="81" t="s">
        <v>36</v>
      </c>
      <c r="H3230" s="81" t="s">
        <v>224</v>
      </c>
      <c r="I3230" s="81" t="s">
        <v>55</v>
      </c>
      <c r="J3230" s="81" t="s">
        <v>224</v>
      </c>
      <c r="K3230" s="81" t="str">
        <f>IFERROR(__xludf.DUMMYFUNCTION("IF(OR(D3230="""",G3230=""""),"""",IFERROR(LET(
campo,XLOOKUP(TRIM(G3230),ARRAYFORMULA(TRIM('indice columnas'!$A$2:$A$100)),'indice columnas'!$B$2:$B$100,""""),
col,IFERROR(MATCH(campo,Referencia!$A$1:$AZ$1,0),0),
fila,IFERROR(MATCH(TO_TEXT(D3230),ARRAYFOR"&amp;"MULA(TO_TEXT(Referencia!$A$2:$A6238)),0),0),
IF(OR(campo="""",campo=""-""),""NO APLICA"",
IF(col=0,""REVISAR EQUIVALENCIA"",
IF(fila=0,""SKU NO ENCONTRADO"",
LET(
valor,INDEX(Referencia!$A$2:$AZ6238,fila,col),
IF(TRIM(TO_TEXT(valor))=TRIM(TO_TEXT(I3230)),"&amp;"
""OK"",
""NO COINCIDE. Valor verdadero: ""&amp;IF(valor="""",""[VACÍO]"",TO_TEXT(valor))
)
))))
),""ERROR EN FÓRMULA""))"),"REVISAR EQUIVALENCIA")</f>
        <v>REVISAR EQUIVALENCIA</v>
      </c>
    </row>
    <row r="3231">
      <c r="A3231" s="83" t="s">
        <v>4854</v>
      </c>
      <c r="B3231" s="83" t="s">
        <v>4855</v>
      </c>
      <c r="C3231" s="81" t="s">
        <v>4621</v>
      </c>
      <c r="D3231" s="83" t="s">
        <v>4877</v>
      </c>
      <c r="E3231" s="81" t="s">
        <v>4878</v>
      </c>
      <c r="F3231" s="84">
        <v>810.0</v>
      </c>
      <c r="G3231" s="81" t="s">
        <v>37</v>
      </c>
      <c r="H3231" s="81" t="s">
        <v>224</v>
      </c>
      <c r="I3231" s="81" t="s">
        <v>720</v>
      </c>
      <c r="J3231" s="81" t="s">
        <v>224</v>
      </c>
      <c r="K3231" s="81" t="str">
        <f>IFERROR(__xludf.DUMMYFUNCTION("IF(OR(D3231="""",G3231=""""),"""",IFERROR(LET(
campo,XLOOKUP(TRIM(G3231),ARRAYFORMULA(TRIM('indice columnas'!$A$2:$A$100)),'indice columnas'!$B$2:$B$100,""""),
col,IFERROR(MATCH(campo,Referencia!$A$1:$AZ$1,0),0),
fila,IFERROR(MATCH(TO_TEXT(D3231),ARRAYFOR"&amp;"MULA(TO_TEXT(Referencia!$A$2:$A6238)),0),0),
IF(OR(campo="""",campo=""-""),""NO APLICA"",
IF(col=0,""REVISAR EQUIVALENCIA"",
IF(fila=0,""SKU NO ENCONTRADO"",
LET(
valor,INDEX(Referencia!$A$2:$AZ6238,fila,col),
IF(TRIM(TO_TEXT(valor))=TRIM(TO_TEXT(I3231)),"&amp;"
""OK"",
""NO COINCIDE. Valor verdadero: ""&amp;IF(valor="""",""[VACÍO]"",TO_TEXT(valor))
)
))))
),""ERROR EN FÓRMULA""))"),"OK")</f>
        <v>OK</v>
      </c>
    </row>
    <row r="3232">
      <c r="A3232" s="83" t="s">
        <v>4854</v>
      </c>
      <c r="B3232" s="83" t="s">
        <v>4855</v>
      </c>
      <c r="C3232" s="81" t="s">
        <v>4621</v>
      </c>
      <c r="D3232" s="83" t="s">
        <v>4877</v>
      </c>
      <c r="E3232" s="81" t="s">
        <v>4878</v>
      </c>
      <c r="F3232" s="84">
        <v>810.0</v>
      </c>
      <c r="G3232" s="81" t="s">
        <v>41</v>
      </c>
      <c r="H3232" s="81" t="s">
        <v>224</v>
      </c>
      <c r="I3232" s="81" t="s">
        <v>4876</v>
      </c>
      <c r="J3232" s="81" t="s">
        <v>224</v>
      </c>
      <c r="K3232" s="81" t="str">
        <f>IFERROR(__xludf.DUMMYFUNCTION("IF(OR(D3232="""",G3232=""""),"""",IFERROR(LET(
campo,XLOOKUP(TRIM(G3232),ARRAYFORMULA(TRIM('indice columnas'!$A$2:$A$100)),'indice columnas'!$B$2:$B$100,""""),
col,IFERROR(MATCH(campo,Referencia!$A$1:$AZ$1,0),0),
fila,IFERROR(MATCH(TO_TEXT(D3232),ARRAYFOR"&amp;"MULA(TO_TEXT(Referencia!$A$2:$A6238)),0),0),
IF(OR(campo="""",campo=""-""),""NO APLICA"",
IF(col=0,""REVISAR EQUIVALENCIA"",
IF(fila=0,""SKU NO ENCONTRADO"",
LET(
valor,INDEX(Referencia!$A$2:$AZ6238,fila,col),
IF(TRIM(TO_TEXT(valor))=TRIM(TO_TEXT(I3232)),"&amp;"
""OK"",
""NO COINCIDE. Valor verdadero: ""&amp;IF(valor="""",""[VACÍO]"",TO_TEXT(valor))
)
))))
),""ERROR EN FÓRMULA""))"),"REVISAR EQUIVALENCIA")</f>
        <v>REVISAR EQUIVALENCIA</v>
      </c>
    </row>
    <row r="3233">
      <c r="A3233" s="83" t="s">
        <v>4880</v>
      </c>
      <c r="B3233" s="83" t="s">
        <v>4881</v>
      </c>
      <c r="C3233" s="81" t="s">
        <v>4080</v>
      </c>
      <c r="D3233" s="81" t="s">
        <v>224</v>
      </c>
      <c r="E3233" s="81" t="s">
        <v>224</v>
      </c>
      <c r="F3233" s="81" t="s">
        <v>224</v>
      </c>
      <c r="G3233" s="81" t="s">
        <v>224</v>
      </c>
      <c r="H3233" s="81" t="s">
        <v>224</v>
      </c>
      <c r="I3233" s="81" t="s">
        <v>224</v>
      </c>
      <c r="J3233" s="81" t="s">
        <v>4882</v>
      </c>
      <c r="K3233" s="81" t="str">
        <f>IFERROR(__xludf.DUMMYFUNCTION("IF(OR(D3233="""",G3233=""""),"""",IFERROR(LET(
campo,XLOOKUP(TRIM(G3233),ARRAYFORMULA(TRIM('indice columnas'!$A$2:$A$100)),'indice columnas'!$B$2:$B$100,""""),
col,IFERROR(MATCH(campo,Referencia!$A$1:$AZ$1,0),0),
fila,IFERROR(MATCH(TO_TEXT(D3233),ARRAYFOR"&amp;"MULA(TO_TEXT(Referencia!$A$2:$A6238)),0),0),
IF(OR(campo="""",campo=""-""),""NO APLICA"",
IF(col=0,""REVISAR EQUIVALENCIA"",
IF(fila=0,""SKU NO ENCONTRADO"",
LET(
valor,INDEX(Referencia!$A$2:$AZ6238,fila,col),
IF(TRIM(TO_TEXT(valor))=TRIM(TO_TEXT(I3233)),"&amp;"
""OK"",
""NO COINCIDE. Valor verdadero: ""&amp;IF(valor="""",""[VACÍO]"",TO_TEXT(valor))
)
))))
),""ERROR EN FÓRMULA""))"),"")</f>
        <v/>
      </c>
    </row>
    <row r="3234">
      <c r="A3234" s="83" t="s">
        <v>4880</v>
      </c>
      <c r="B3234" s="83" t="s">
        <v>4881</v>
      </c>
      <c r="C3234" s="81" t="s">
        <v>4082</v>
      </c>
      <c r="D3234" s="81" t="s">
        <v>224</v>
      </c>
      <c r="E3234" s="81" t="s">
        <v>224</v>
      </c>
      <c r="F3234" s="81" t="s">
        <v>224</v>
      </c>
      <c r="G3234" s="81" t="s">
        <v>8</v>
      </c>
      <c r="H3234" s="81" t="s">
        <v>224</v>
      </c>
      <c r="I3234" s="81" t="s">
        <v>224</v>
      </c>
      <c r="J3234" s="81" t="s">
        <v>4083</v>
      </c>
      <c r="K3234" s="81" t="str">
        <f>IFERROR(__xludf.DUMMYFUNCTION("IF(OR(D3234="""",G3234=""""),"""",IFERROR(LET(
campo,XLOOKUP(TRIM(G3234),ARRAYFORMULA(TRIM('indice columnas'!$A$2:$A$100)),'indice columnas'!$B$2:$B$100,""""),
col,IFERROR(MATCH(campo,Referencia!$A$1:$AZ$1,0),0),
fila,IFERROR(MATCH(TO_TEXT(D3234),ARRAYFOR"&amp;"MULA(TO_TEXT(Referencia!$A$2:$A6238)),0),0),
IF(OR(campo="""",campo=""-""),""NO APLICA"",
IF(col=0,""REVISAR EQUIVALENCIA"",
IF(fila=0,""SKU NO ENCONTRADO"",
LET(
valor,INDEX(Referencia!$A$2:$AZ6238,fila,col),
IF(TRIM(TO_TEXT(valor))=TRIM(TO_TEXT(I3234)),"&amp;"
""OK"",
""NO COINCIDE. Valor verdadero: ""&amp;IF(valor="""",""[VACÍO]"",TO_TEXT(valor))
)
))))
),""ERROR EN FÓRMULA""))"),"")</f>
        <v/>
      </c>
    </row>
    <row r="3235">
      <c r="A3235" s="83" t="s">
        <v>4880</v>
      </c>
      <c r="B3235" s="83" t="s">
        <v>4881</v>
      </c>
      <c r="C3235" s="81" t="s">
        <v>4084</v>
      </c>
      <c r="D3235" s="81" t="s">
        <v>224</v>
      </c>
      <c r="E3235" s="81" t="s">
        <v>224</v>
      </c>
      <c r="F3235" s="81" t="s">
        <v>224</v>
      </c>
      <c r="G3235" s="81" t="s">
        <v>9</v>
      </c>
      <c r="H3235" s="81" t="s">
        <v>224</v>
      </c>
      <c r="I3235" s="81" t="s">
        <v>224</v>
      </c>
      <c r="J3235" s="81" t="s">
        <v>4085</v>
      </c>
      <c r="K3235" s="81" t="str">
        <f>IFERROR(__xludf.DUMMYFUNCTION("IF(OR(D3235="""",G3235=""""),"""",IFERROR(LET(
campo,XLOOKUP(TRIM(G3235),ARRAYFORMULA(TRIM('indice columnas'!$A$2:$A$100)),'indice columnas'!$B$2:$B$100,""""),
col,IFERROR(MATCH(campo,Referencia!$A$1:$AZ$1,0),0),
fila,IFERROR(MATCH(TO_TEXT(D3235),ARRAYFOR"&amp;"MULA(TO_TEXT(Referencia!$A$2:$A6238)),0),0),
IF(OR(campo="""",campo=""-""),""NO APLICA"",
IF(col=0,""REVISAR EQUIVALENCIA"",
IF(fila=0,""SKU NO ENCONTRADO"",
LET(
valor,INDEX(Referencia!$A$2:$AZ6238,fila,col),
IF(TRIM(TO_TEXT(valor))=TRIM(TO_TEXT(I3235)),"&amp;"
""OK"",
""NO COINCIDE. Valor verdadero: ""&amp;IF(valor="""",""[VACÍO]"",TO_TEXT(valor))
)
))))
),""ERROR EN FÓRMULA""))"),"")</f>
        <v/>
      </c>
    </row>
    <row r="3236">
      <c r="A3236" s="83" t="s">
        <v>4883</v>
      </c>
      <c r="B3236" s="83" t="s">
        <v>4884</v>
      </c>
      <c r="C3236" s="81" t="s">
        <v>4080</v>
      </c>
      <c r="D3236" s="81" t="s">
        <v>224</v>
      </c>
      <c r="E3236" s="81" t="s">
        <v>224</v>
      </c>
      <c r="F3236" s="81" t="s">
        <v>224</v>
      </c>
      <c r="G3236" s="81" t="s">
        <v>224</v>
      </c>
      <c r="H3236" s="81" t="s">
        <v>224</v>
      </c>
      <c r="I3236" s="81" t="s">
        <v>224</v>
      </c>
      <c r="J3236" s="81" t="s">
        <v>4882</v>
      </c>
      <c r="K3236" s="81" t="str">
        <f>IFERROR(__xludf.DUMMYFUNCTION("IF(OR(D3236="""",G3236=""""),"""",IFERROR(LET(
campo,XLOOKUP(TRIM(G3236),ARRAYFORMULA(TRIM('indice columnas'!$A$2:$A$100)),'indice columnas'!$B$2:$B$100,""""),
col,IFERROR(MATCH(campo,Referencia!$A$1:$AZ$1,0),0),
fila,IFERROR(MATCH(TO_TEXT(D3236),ARRAYFOR"&amp;"MULA(TO_TEXT(Referencia!$A$2:$A6238)),0),0),
IF(OR(campo="""",campo=""-""),""NO APLICA"",
IF(col=0,""REVISAR EQUIVALENCIA"",
IF(fila=0,""SKU NO ENCONTRADO"",
LET(
valor,INDEX(Referencia!$A$2:$AZ6238,fila,col),
IF(TRIM(TO_TEXT(valor))=TRIM(TO_TEXT(I3236)),"&amp;"
""OK"",
""NO COINCIDE. Valor verdadero: ""&amp;IF(valor="""",""[VACÍO]"",TO_TEXT(valor))
)
))))
),""ERROR EN FÓRMULA""))"),"")</f>
        <v/>
      </c>
    </row>
    <row r="3237">
      <c r="A3237" s="83" t="s">
        <v>4883</v>
      </c>
      <c r="B3237" s="83" t="s">
        <v>4884</v>
      </c>
      <c r="C3237" s="81" t="s">
        <v>4082</v>
      </c>
      <c r="D3237" s="81" t="s">
        <v>224</v>
      </c>
      <c r="E3237" s="81" t="s">
        <v>224</v>
      </c>
      <c r="F3237" s="81" t="s">
        <v>224</v>
      </c>
      <c r="G3237" s="81" t="s">
        <v>8</v>
      </c>
      <c r="H3237" s="81" t="s">
        <v>224</v>
      </c>
      <c r="I3237" s="81" t="s">
        <v>224</v>
      </c>
      <c r="J3237" s="81" t="s">
        <v>4083</v>
      </c>
      <c r="K3237" s="81" t="str">
        <f>IFERROR(__xludf.DUMMYFUNCTION("IF(OR(D3237="""",G3237=""""),"""",IFERROR(LET(
campo,XLOOKUP(TRIM(G3237),ARRAYFORMULA(TRIM('indice columnas'!$A$2:$A$100)),'indice columnas'!$B$2:$B$100,""""),
col,IFERROR(MATCH(campo,Referencia!$A$1:$AZ$1,0),0),
fila,IFERROR(MATCH(TO_TEXT(D3237),ARRAYFOR"&amp;"MULA(TO_TEXT(Referencia!$A$2:$A6238)),0),0),
IF(OR(campo="""",campo=""-""),""NO APLICA"",
IF(col=0,""REVISAR EQUIVALENCIA"",
IF(fila=0,""SKU NO ENCONTRADO"",
LET(
valor,INDEX(Referencia!$A$2:$AZ6238,fila,col),
IF(TRIM(TO_TEXT(valor))=TRIM(TO_TEXT(I3237)),"&amp;"
""OK"",
""NO COINCIDE. Valor verdadero: ""&amp;IF(valor="""",""[VACÍO]"",TO_TEXT(valor))
)
))))
),""ERROR EN FÓRMULA""))"),"")</f>
        <v/>
      </c>
    </row>
    <row r="3238">
      <c r="A3238" s="83" t="s">
        <v>4883</v>
      </c>
      <c r="B3238" s="83" t="s">
        <v>4884</v>
      </c>
      <c r="C3238" s="81" t="s">
        <v>4084</v>
      </c>
      <c r="D3238" s="81" t="s">
        <v>224</v>
      </c>
      <c r="E3238" s="81" t="s">
        <v>224</v>
      </c>
      <c r="F3238" s="81" t="s">
        <v>224</v>
      </c>
      <c r="G3238" s="81" t="s">
        <v>9</v>
      </c>
      <c r="H3238" s="81" t="s">
        <v>224</v>
      </c>
      <c r="I3238" s="81" t="s">
        <v>224</v>
      </c>
      <c r="J3238" s="81" t="s">
        <v>4085</v>
      </c>
      <c r="K3238" s="81" t="str">
        <f>IFERROR(__xludf.DUMMYFUNCTION("IF(OR(D3238="""",G3238=""""),"""",IFERROR(LET(
campo,XLOOKUP(TRIM(G3238),ARRAYFORMULA(TRIM('indice columnas'!$A$2:$A$100)),'indice columnas'!$B$2:$B$100,""""),
col,IFERROR(MATCH(campo,Referencia!$A$1:$AZ$1,0),0),
fila,IFERROR(MATCH(TO_TEXT(D3238),ARRAYFOR"&amp;"MULA(TO_TEXT(Referencia!$A$2:$A6238)),0),0),
IF(OR(campo="""",campo=""-""),""NO APLICA"",
IF(col=0,""REVISAR EQUIVALENCIA"",
IF(fila=0,""SKU NO ENCONTRADO"",
LET(
valor,INDEX(Referencia!$A$2:$AZ6238,fila,col),
IF(TRIM(TO_TEXT(valor))=TRIM(TO_TEXT(I3238)),"&amp;"
""OK"",
""NO COINCIDE. Valor verdadero: ""&amp;IF(valor="""",""[VACÍO]"",TO_TEXT(valor))
)
))))
),""ERROR EN FÓRMULA""))"),"")</f>
        <v/>
      </c>
    </row>
    <row r="3239">
      <c r="A3239" s="83" t="s">
        <v>4885</v>
      </c>
      <c r="B3239" s="83" t="s">
        <v>4886</v>
      </c>
      <c r="C3239" s="81" t="s">
        <v>4080</v>
      </c>
      <c r="D3239" s="81" t="s">
        <v>224</v>
      </c>
      <c r="E3239" s="81" t="s">
        <v>224</v>
      </c>
      <c r="F3239" s="81" t="s">
        <v>224</v>
      </c>
      <c r="G3239" s="81" t="s">
        <v>224</v>
      </c>
      <c r="H3239" s="81" t="s">
        <v>224</v>
      </c>
      <c r="I3239" s="81" t="s">
        <v>224</v>
      </c>
      <c r="J3239" s="81" t="s">
        <v>4882</v>
      </c>
      <c r="K3239" s="81" t="str">
        <f>IFERROR(__xludf.DUMMYFUNCTION("IF(OR(D3239="""",G3239=""""),"""",IFERROR(LET(
campo,XLOOKUP(TRIM(G3239),ARRAYFORMULA(TRIM('indice columnas'!$A$2:$A$100)),'indice columnas'!$B$2:$B$100,""""),
col,IFERROR(MATCH(campo,Referencia!$A$1:$AZ$1,0),0),
fila,IFERROR(MATCH(TO_TEXT(D3239),ARRAYFOR"&amp;"MULA(TO_TEXT(Referencia!$A$2:$A6238)),0),0),
IF(OR(campo="""",campo=""-""),""NO APLICA"",
IF(col=0,""REVISAR EQUIVALENCIA"",
IF(fila=0,""SKU NO ENCONTRADO"",
LET(
valor,INDEX(Referencia!$A$2:$AZ6238,fila,col),
IF(TRIM(TO_TEXT(valor))=TRIM(TO_TEXT(I3239)),"&amp;"
""OK"",
""NO COINCIDE. Valor verdadero: ""&amp;IF(valor="""",""[VACÍO]"",TO_TEXT(valor))
)
))))
),""ERROR EN FÓRMULA""))"),"")</f>
        <v/>
      </c>
    </row>
    <row r="3240">
      <c r="A3240" s="83" t="s">
        <v>4885</v>
      </c>
      <c r="B3240" s="83" t="s">
        <v>4886</v>
      </c>
      <c r="C3240" s="81" t="s">
        <v>4082</v>
      </c>
      <c r="D3240" s="81" t="s">
        <v>224</v>
      </c>
      <c r="E3240" s="81" t="s">
        <v>224</v>
      </c>
      <c r="F3240" s="81" t="s">
        <v>224</v>
      </c>
      <c r="G3240" s="81" t="s">
        <v>8</v>
      </c>
      <c r="H3240" s="81" t="s">
        <v>224</v>
      </c>
      <c r="I3240" s="81" t="s">
        <v>224</v>
      </c>
      <c r="J3240" s="81" t="s">
        <v>4083</v>
      </c>
      <c r="K3240" s="81" t="str">
        <f>IFERROR(__xludf.DUMMYFUNCTION("IF(OR(D3240="""",G3240=""""),"""",IFERROR(LET(
campo,XLOOKUP(TRIM(G3240),ARRAYFORMULA(TRIM('indice columnas'!$A$2:$A$100)),'indice columnas'!$B$2:$B$100,""""),
col,IFERROR(MATCH(campo,Referencia!$A$1:$AZ$1,0),0),
fila,IFERROR(MATCH(TO_TEXT(D3240),ARRAYFOR"&amp;"MULA(TO_TEXT(Referencia!$A$2:$A6238)),0),0),
IF(OR(campo="""",campo=""-""),""NO APLICA"",
IF(col=0,""REVISAR EQUIVALENCIA"",
IF(fila=0,""SKU NO ENCONTRADO"",
LET(
valor,INDEX(Referencia!$A$2:$AZ6238,fila,col),
IF(TRIM(TO_TEXT(valor))=TRIM(TO_TEXT(I3240)),"&amp;"
""OK"",
""NO COINCIDE. Valor verdadero: ""&amp;IF(valor="""",""[VACÍO]"",TO_TEXT(valor))
)
))))
),""ERROR EN FÓRMULA""))"),"")</f>
        <v/>
      </c>
    </row>
    <row r="3241">
      <c r="A3241" s="83" t="s">
        <v>4885</v>
      </c>
      <c r="B3241" s="83" t="s">
        <v>4886</v>
      </c>
      <c r="C3241" s="81" t="s">
        <v>4084</v>
      </c>
      <c r="D3241" s="81" t="s">
        <v>224</v>
      </c>
      <c r="E3241" s="81" t="s">
        <v>224</v>
      </c>
      <c r="F3241" s="81" t="s">
        <v>224</v>
      </c>
      <c r="G3241" s="81" t="s">
        <v>9</v>
      </c>
      <c r="H3241" s="81" t="s">
        <v>224</v>
      </c>
      <c r="I3241" s="81" t="s">
        <v>224</v>
      </c>
      <c r="J3241" s="81" t="s">
        <v>4085</v>
      </c>
      <c r="K3241" s="81" t="str">
        <f>IFERROR(__xludf.DUMMYFUNCTION("IF(OR(D3241="""",G3241=""""),"""",IFERROR(LET(
campo,XLOOKUP(TRIM(G3241),ARRAYFORMULA(TRIM('indice columnas'!$A$2:$A$100)),'indice columnas'!$B$2:$B$100,""""),
col,IFERROR(MATCH(campo,Referencia!$A$1:$AZ$1,0),0),
fila,IFERROR(MATCH(TO_TEXT(D3241),ARRAYFOR"&amp;"MULA(TO_TEXT(Referencia!$A$2:$A6238)),0),0),
IF(OR(campo="""",campo=""-""),""NO APLICA"",
IF(col=0,""REVISAR EQUIVALENCIA"",
IF(fila=0,""SKU NO ENCONTRADO"",
LET(
valor,INDEX(Referencia!$A$2:$AZ6238,fila,col),
IF(TRIM(TO_TEXT(valor))=TRIM(TO_TEXT(I3241)),"&amp;"
""OK"",
""NO COINCIDE. Valor verdadero: ""&amp;IF(valor="""",""[VACÍO]"",TO_TEXT(valor))
)
))))
),""ERROR EN FÓRMULA""))"),"")</f>
        <v/>
      </c>
    </row>
    <row r="3242">
      <c r="A3242" s="83" t="s">
        <v>4887</v>
      </c>
      <c r="B3242" s="83" t="s">
        <v>4888</v>
      </c>
      <c r="C3242" s="81" t="s">
        <v>4080</v>
      </c>
      <c r="D3242" s="81" t="s">
        <v>224</v>
      </c>
      <c r="E3242" s="81" t="s">
        <v>224</v>
      </c>
      <c r="F3242" s="81" t="s">
        <v>224</v>
      </c>
      <c r="G3242" s="81" t="s">
        <v>224</v>
      </c>
      <c r="H3242" s="81" t="s">
        <v>224</v>
      </c>
      <c r="I3242" s="81" t="s">
        <v>224</v>
      </c>
      <c r="J3242" s="81" t="s">
        <v>4882</v>
      </c>
      <c r="K3242" s="81" t="str">
        <f>IFERROR(__xludf.DUMMYFUNCTION("IF(OR(D3242="""",G3242=""""),"""",IFERROR(LET(
campo,XLOOKUP(TRIM(G3242),ARRAYFORMULA(TRIM('indice columnas'!$A$2:$A$100)),'indice columnas'!$B$2:$B$100,""""),
col,IFERROR(MATCH(campo,Referencia!$A$1:$AZ$1,0),0),
fila,IFERROR(MATCH(TO_TEXT(D3242),ARRAYFOR"&amp;"MULA(TO_TEXT(Referencia!$A$2:$A6238)),0),0),
IF(OR(campo="""",campo=""-""),""NO APLICA"",
IF(col=0,""REVISAR EQUIVALENCIA"",
IF(fila=0,""SKU NO ENCONTRADO"",
LET(
valor,INDEX(Referencia!$A$2:$AZ6238,fila,col),
IF(TRIM(TO_TEXT(valor))=TRIM(TO_TEXT(I3242)),"&amp;"
""OK"",
""NO COINCIDE. Valor verdadero: ""&amp;IF(valor="""",""[VACÍO]"",TO_TEXT(valor))
)
))))
),""ERROR EN FÓRMULA""))"),"")</f>
        <v/>
      </c>
    </row>
    <row r="3243">
      <c r="A3243" s="83" t="s">
        <v>4887</v>
      </c>
      <c r="B3243" s="83" t="s">
        <v>4888</v>
      </c>
      <c r="C3243" s="81" t="s">
        <v>4082</v>
      </c>
      <c r="D3243" s="81" t="s">
        <v>224</v>
      </c>
      <c r="E3243" s="81" t="s">
        <v>224</v>
      </c>
      <c r="F3243" s="81" t="s">
        <v>224</v>
      </c>
      <c r="G3243" s="81" t="s">
        <v>8</v>
      </c>
      <c r="H3243" s="81" t="s">
        <v>224</v>
      </c>
      <c r="I3243" s="81" t="s">
        <v>224</v>
      </c>
      <c r="J3243" s="81" t="s">
        <v>4083</v>
      </c>
      <c r="K3243" s="81" t="str">
        <f>IFERROR(__xludf.DUMMYFUNCTION("IF(OR(D3243="""",G3243=""""),"""",IFERROR(LET(
campo,XLOOKUP(TRIM(G3243),ARRAYFORMULA(TRIM('indice columnas'!$A$2:$A$100)),'indice columnas'!$B$2:$B$100,""""),
col,IFERROR(MATCH(campo,Referencia!$A$1:$AZ$1,0),0),
fila,IFERROR(MATCH(TO_TEXT(D3243),ARRAYFOR"&amp;"MULA(TO_TEXT(Referencia!$A$2:$A6238)),0),0),
IF(OR(campo="""",campo=""-""),""NO APLICA"",
IF(col=0,""REVISAR EQUIVALENCIA"",
IF(fila=0,""SKU NO ENCONTRADO"",
LET(
valor,INDEX(Referencia!$A$2:$AZ6238,fila,col),
IF(TRIM(TO_TEXT(valor))=TRIM(TO_TEXT(I3243)),"&amp;"
""OK"",
""NO COINCIDE. Valor verdadero: ""&amp;IF(valor="""",""[VACÍO]"",TO_TEXT(valor))
)
))))
),""ERROR EN FÓRMULA""))"),"")</f>
        <v/>
      </c>
    </row>
    <row r="3244">
      <c r="A3244" s="83" t="s">
        <v>4887</v>
      </c>
      <c r="B3244" s="83" t="s">
        <v>4888</v>
      </c>
      <c r="C3244" s="81" t="s">
        <v>4084</v>
      </c>
      <c r="D3244" s="81" t="s">
        <v>224</v>
      </c>
      <c r="E3244" s="81" t="s">
        <v>224</v>
      </c>
      <c r="F3244" s="81" t="s">
        <v>224</v>
      </c>
      <c r="G3244" s="81" t="s">
        <v>9</v>
      </c>
      <c r="H3244" s="81" t="s">
        <v>224</v>
      </c>
      <c r="I3244" s="81" t="s">
        <v>224</v>
      </c>
      <c r="J3244" s="81" t="s">
        <v>4085</v>
      </c>
      <c r="K3244" s="81" t="str">
        <f>IFERROR(__xludf.DUMMYFUNCTION("IF(OR(D3244="""",G3244=""""),"""",IFERROR(LET(
campo,XLOOKUP(TRIM(G3244),ARRAYFORMULA(TRIM('indice columnas'!$A$2:$A$100)),'indice columnas'!$B$2:$B$100,""""),
col,IFERROR(MATCH(campo,Referencia!$A$1:$AZ$1,0),0),
fila,IFERROR(MATCH(TO_TEXT(D3244),ARRAYFOR"&amp;"MULA(TO_TEXT(Referencia!$A$2:$A6238)),0),0),
IF(OR(campo="""",campo=""-""),""NO APLICA"",
IF(col=0,""REVISAR EQUIVALENCIA"",
IF(fila=0,""SKU NO ENCONTRADO"",
LET(
valor,INDEX(Referencia!$A$2:$AZ6238,fila,col),
IF(TRIM(TO_TEXT(valor))=TRIM(TO_TEXT(I3244)),"&amp;"
""OK"",
""NO COINCIDE. Valor verdadero: ""&amp;IF(valor="""",""[VACÍO]"",TO_TEXT(valor))
)
))))
),""ERROR EN FÓRMULA""))"),"")</f>
        <v/>
      </c>
    </row>
    <row r="3245">
      <c r="A3245" s="83" t="s">
        <v>4889</v>
      </c>
      <c r="B3245" s="83" t="s">
        <v>4890</v>
      </c>
      <c r="C3245" s="81" t="s">
        <v>4080</v>
      </c>
      <c r="D3245" s="81" t="s">
        <v>224</v>
      </c>
      <c r="E3245" s="81" t="s">
        <v>224</v>
      </c>
      <c r="F3245" s="81" t="s">
        <v>224</v>
      </c>
      <c r="G3245" s="81" t="s">
        <v>224</v>
      </c>
      <c r="H3245" s="81" t="s">
        <v>224</v>
      </c>
      <c r="I3245" s="81" t="s">
        <v>224</v>
      </c>
      <c r="J3245" s="81" t="s">
        <v>4882</v>
      </c>
      <c r="K3245" s="81" t="str">
        <f>IFERROR(__xludf.DUMMYFUNCTION("IF(OR(D3245="""",G3245=""""),"""",IFERROR(LET(
campo,XLOOKUP(TRIM(G3245),ARRAYFORMULA(TRIM('indice columnas'!$A$2:$A$100)),'indice columnas'!$B$2:$B$100,""""),
col,IFERROR(MATCH(campo,Referencia!$A$1:$AZ$1,0),0),
fila,IFERROR(MATCH(TO_TEXT(D3245),ARRAYFOR"&amp;"MULA(TO_TEXT(Referencia!$A$2:$A6238)),0),0),
IF(OR(campo="""",campo=""-""),""NO APLICA"",
IF(col=0,""REVISAR EQUIVALENCIA"",
IF(fila=0,""SKU NO ENCONTRADO"",
LET(
valor,INDEX(Referencia!$A$2:$AZ6238,fila,col),
IF(TRIM(TO_TEXT(valor))=TRIM(TO_TEXT(I3245)),"&amp;"
""OK"",
""NO COINCIDE. Valor verdadero: ""&amp;IF(valor="""",""[VACÍO]"",TO_TEXT(valor))
)
))))
),""ERROR EN FÓRMULA""))"),"")</f>
        <v/>
      </c>
    </row>
    <row r="3246">
      <c r="A3246" s="83" t="s">
        <v>4889</v>
      </c>
      <c r="B3246" s="83" t="s">
        <v>4890</v>
      </c>
      <c r="C3246" s="81" t="s">
        <v>4082</v>
      </c>
      <c r="D3246" s="81" t="s">
        <v>224</v>
      </c>
      <c r="E3246" s="81" t="s">
        <v>224</v>
      </c>
      <c r="F3246" s="81" t="s">
        <v>224</v>
      </c>
      <c r="G3246" s="81" t="s">
        <v>8</v>
      </c>
      <c r="H3246" s="81" t="s">
        <v>224</v>
      </c>
      <c r="I3246" s="81" t="s">
        <v>224</v>
      </c>
      <c r="J3246" s="81" t="s">
        <v>4083</v>
      </c>
      <c r="K3246" s="81" t="str">
        <f>IFERROR(__xludf.DUMMYFUNCTION("IF(OR(D3246="""",G3246=""""),"""",IFERROR(LET(
campo,XLOOKUP(TRIM(G3246),ARRAYFORMULA(TRIM('indice columnas'!$A$2:$A$100)),'indice columnas'!$B$2:$B$100,""""),
col,IFERROR(MATCH(campo,Referencia!$A$1:$AZ$1,0),0),
fila,IFERROR(MATCH(TO_TEXT(D3246),ARRAYFOR"&amp;"MULA(TO_TEXT(Referencia!$A$2:$A6238)),0),0),
IF(OR(campo="""",campo=""-""),""NO APLICA"",
IF(col=0,""REVISAR EQUIVALENCIA"",
IF(fila=0,""SKU NO ENCONTRADO"",
LET(
valor,INDEX(Referencia!$A$2:$AZ6238,fila,col),
IF(TRIM(TO_TEXT(valor))=TRIM(TO_TEXT(I3246)),"&amp;"
""OK"",
""NO COINCIDE. Valor verdadero: ""&amp;IF(valor="""",""[VACÍO]"",TO_TEXT(valor))
)
))))
),""ERROR EN FÓRMULA""))"),"")</f>
        <v/>
      </c>
    </row>
    <row r="3247">
      <c r="A3247" s="83" t="s">
        <v>4889</v>
      </c>
      <c r="B3247" s="83" t="s">
        <v>4890</v>
      </c>
      <c r="C3247" s="81" t="s">
        <v>4084</v>
      </c>
      <c r="D3247" s="81" t="s">
        <v>224</v>
      </c>
      <c r="E3247" s="81" t="s">
        <v>224</v>
      </c>
      <c r="F3247" s="81" t="s">
        <v>224</v>
      </c>
      <c r="G3247" s="81" t="s">
        <v>9</v>
      </c>
      <c r="H3247" s="81" t="s">
        <v>224</v>
      </c>
      <c r="I3247" s="81" t="s">
        <v>224</v>
      </c>
      <c r="J3247" s="81" t="s">
        <v>4085</v>
      </c>
      <c r="K3247" s="81" t="str">
        <f>IFERROR(__xludf.DUMMYFUNCTION("IF(OR(D3247="""",G3247=""""),"""",IFERROR(LET(
campo,XLOOKUP(TRIM(G3247),ARRAYFORMULA(TRIM('indice columnas'!$A$2:$A$100)),'indice columnas'!$B$2:$B$100,""""),
col,IFERROR(MATCH(campo,Referencia!$A$1:$AZ$1,0),0),
fila,IFERROR(MATCH(TO_TEXT(D3247),ARRAYFOR"&amp;"MULA(TO_TEXT(Referencia!$A$2:$A6238)),0),0),
IF(OR(campo="""",campo=""-""),""NO APLICA"",
IF(col=0,""REVISAR EQUIVALENCIA"",
IF(fila=0,""SKU NO ENCONTRADO"",
LET(
valor,INDEX(Referencia!$A$2:$AZ6238,fila,col),
IF(TRIM(TO_TEXT(valor))=TRIM(TO_TEXT(I3247)),"&amp;"
""OK"",
""NO COINCIDE. Valor verdadero: ""&amp;IF(valor="""",""[VACÍO]"",TO_TEXT(valor))
)
))))
),""ERROR EN FÓRMULA""))"),"")</f>
        <v/>
      </c>
    </row>
    <row r="3248">
      <c r="A3248" s="83" t="s">
        <v>4891</v>
      </c>
      <c r="B3248" s="83" t="s">
        <v>4892</v>
      </c>
      <c r="C3248" s="81" t="s">
        <v>4080</v>
      </c>
      <c r="D3248" s="81" t="s">
        <v>224</v>
      </c>
      <c r="E3248" s="81" t="s">
        <v>224</v>
      </c>
      <c r="F3248" s="81" t="s">
        <v>224</v>
      </c>
      <c r="G3248" s="81" t="s">
        <v>224</v>
      </c>
      <c r="H3248" s="81" t="s">
        <v>224</v>
      </c>
      <c r="I3248" s="81" t="s">
        <v>224</v>
      </c>
      <c r="J3248" s="81" t="s">
        <v>4882</v>
      </c>
      <c r="K3248" s="81" t="str">
        <f>IFERROR(__xludf.DUMMYFUNCTION("IF(OR(D3248="""",G3248=""""),"""",IFERROR(LET(
campo,XLOOKUP(TRIM(G3248),ARRAYFORMULA(TRIM('indice columnas'!$A$2:$A$100)),'indice columnas'!$B$2:$B$100,""""),
col,IFERROR(MATCH(campo,Referencia!$A$1:$AZ$1,0),0),
fila,IFERROR(MATCH(TO_TEXT(D3248),ARRAYFOR"&amp;"MULA(TO_TEXT(Referencia!$A$2:$A6238)),0),0),
IF(OR(campo="""",campo=""-""),""NO APLICA"",
IF(col=0,""REVISAR EQUIVALENCIA"",
IF(fila=0,""SKU NO ENCONTRADO"",
LET(
valor,INDEX(Referencia!$A$2:$AZ6238,fila,col),
IF(TRIM(TO_TEXT(valor))=TRIM(TO_TEXT(I3248)),"&amp;"
""OK"",
""NO COINCIDE. Valor verdadero: ""&amp;IF(valor="""",""[VACÍO]"",TO_TEXT(valor))
)
))))
),""ERROR EN FÓRMULA""))"),"")</f>
        <v/>
      </c>
    </row>
    <row r="3249">
      <c r="A3249" s="83" t="s">
        <v>4891</v>
      </c>
      <c r="B3249" s="83" t="s">
        <v>4892</v>
      </c>
      <c r="C3249" s="81" t="s">
        <v>4082</v>
      </c>
      <c r="D3249" s="81" t="s">
        <v>224</v>
      </c>
      <c r="E3249" s="81" t="s">
        <v>224</v>
      </c>
      <c r="F3249" s="81" t="s">
        <v>224</v>
      </c>
      <c r="G3249" s="81" t="s">
        <v>8</v>
      </c>
      <c r="H3249" s="81" t="s">
        <v>224</v>
      </c>
      <c r="I3249" s="81" t="s">
        <v>224</v>
      </c>
      <c r="J3249" s="81" t="s">
        <v>4083</v>
      </c>
      <c r="K3249" s="81" t="str">
        <f>IFERROR(__xludf.DUMMYFUNCTION("IF(OR(D3249="""",G3249=""""),"""",IFERROR(LET(
campo,XLOOKUP(TRIM(G3249),ARRAYFORMULA(TRIM('indice columnas'!$A$2:$A$100)),'indice columnas'!$B$2:$B$100,""""),
col,IFERROR(MATCH(campo,Referencia!$A$1:$AZ$1,0),0),
fila,IFERROR(MATCH(TO_TEXT(D3249),ARRAYFOR"&amp;"MULA(TO_TEXT(Referencia!$A$2:$A6238)),0),0),
IF(OR(campo="""",campo=""-""),""NO APLICA"",
IF(col=0,""REVISAR EQUIVALENCIA"",
IF(fila=0,""SKU NO ENCONTRADO"",
LET(
valor,INDEX(Referencia!$A$2:$AZ6238,fila,col),
IF(TRIM(TO_TEXT(valor))=TRIM(TO_TEXT(I3249)),"&amp;"
""OK"",
""NO COINCIDE. Valor verdadero: ""&amp;IF(valor="""",""[VACÍO]"",TO_TEXT(valor))
)
))))
),""ERROR EN FÓRMULA""))"),"")</f>
        <v/>
      </c>
    </row>
    <row r="3250">
      <c r="A3250" s="83" t="s">
        <v>4891</v>
      </c>
      <c r="B3250" s="83" t="s">
        <v>4892</v>
      </c>
      <c r="C3250" s="81" t="s">
        <v>4084</v>
      </c>
      <c r="D3250" s="81" t="s">
        <v>224</v>
      </c>
      <c r="E3250" s="81" t="s">
        <v>224</v>
      </c>
      <c r="F3250" s="81" t="s">
        <v>224</v>
      </c>
      <c r="G3250" s="81" t="s">
        <v>9</v>
      </c>
      <c r="H3250" s="81" t="s">
        <v>224</v>
      </c>
      <c r="I3250" s="81" t="s">
        <v>224</v>
      </c>
      <c r="J3250" s="81" t="s">
        <v>4085</v>
      </c>
      <c r="K3250" s="81" t="str">
        <f>IFERROR(__xludf.DUMMYFUNCTION("IF(OR(D3250="""",G3250=""""),"""",IFERROR(LET(
campo,XLOOKUP(TRIM(G3250),ARRAYFORMULA(TRIM('indice columnas'!$A$2:$A$100)),'indice columnas'!$B$2:$B$100,""""),
col,IFERROR(MATCH(campo,Referencia!$A$1:$AZ$1,0),0),
fila,IFERROR(MATCH(TO_TEXT(D3250),ARRAYFOR"&amp;"MULA(TO_TEXT(Referencia!$A$2:$A6238)),0),0),
IF(OR(campo="""",campo=""-""),""NO APLICA"",
IF(col=0,""REVISAR EQUIVALENCIA"",
IF(fila=0,""SKU NO ENCONTRADO"",
LET(
valor,INDEX(Referencia!$A$2:$AZ6238,fila,col),
IF(TRIM(TO_TEXT(valor))=TRIM(TO_TEXT(I3250)),"&amp;"
""OK"",
""NO COINCIDE. Valor verdadero: ""&amp;IF(valor="""",""[VACÍO]"",TO_TEXT(valor))
)
))))
),""ERROR EN FÓRMULA""))"),"")</f>
        <v/>
      </c>
    </row>
    <row r="3251">
      <c r="A3251" s="83" t="s">
        <v>4893</v>
      </c>
      <c r="B3251" s="83" t="s">
        <v>4894</v>
      </c>
      <c r="C3251" s="81" t="s">
        <v>4080</v>
      </c>
      <c r="D3251" s="81" t="s">
        <v>224</v>
      </c>
      <c r="E3251" s="81" t="s">
        <v>224</v>
      </c>
      <c r="F3251" s="81" t="s">
        <v>224</v>
      </c>
      <c r="G3251" s="81" t="s">
        <v>224</v>
      </c>
      <c r="H3251" s="81" t="s">
        <v>224</v>
      </c>
      <c r="I3251" s="81" t="s">
        <v>224</v>
      </c>
      <c r="J3251" s="81" t="s">
        <v>4895</v>
      </c>
      <c r="K3251" s="81" t="str">
        <f>IFERROR(__xludf.DUMMYFUNCTION("IF(OR(D3251="""",G3251=""""),"""",IFERROR(LET(
campo,XLOOKUP(TRIM(G3251),ARRAYFORMULA(TRIM('indice columnas'!$A$2:$A$100)),'indice columnas'!$B$2:$B$100,""""),
col,IFERROR(MATCH(campo,Referencia!$A$1:$AZ$1,0),0),
fila,IFERROR(MATCH(TO_TEXT(D3251),ARRAYFOR"&amp;"MULA(TO_TEXT(Referencia!$A$2:$A6238)),0),0),
IF(OR(campo="""",campo=""-""),""NO APLICA"",
IF(col=0,""REVISAR EQUIVALENCIA"",
IF(fila=0,""SKU NO ENCONTRADO"",
LET(
valor,INDEX(Referencia!$A$2:$AZ6238,fila,col),
IF(TRIM(TO_TEXT(valor))=TRIM(TO_TEXT(I3251)),"&amp;"
""OK"",
""NO COINCIDE. Valor verdadero: ""&amp;IF(valor="""",""[VACÍO]"",TO_TEXT(valor))
)
))))
),""ERROR EN FÓRMULA""))"),"")</f>
        <v/>
      </c>
    </row>
    <row r="3252">
      <c r="A3252" s="83" t="s">
        <v>4893</v>
      </c>
      <c r="B3252" s="83" t="s">
        <v>4894</v>
      </c>
      <c r="C3252" s="81" t="s">
        <v>4082</v>
      </c>
      <c r="D3252" s="81" t="s">
        <v>224</v>
      </c>
      <c r="E3252" s="81" t="s">
        <v>224</v>
      </c>
      <c r="F3252" s="81" t="s">
        <v>224</v>
      </c>
      <c r="G3252" s="81" t="s">
        <v>8</v>
      </c>
      <c r="H3252" s="81" t="s">
        <v>224</v>
      </c>
      <c r="I3252" s="81" t="s">
        <v>224</v>
      </c>
      <c r="J3252" s="81" t="s">
        <v>4083</v>
      </c>
      <c r="K3252" s="81" t="str">
        <f>IFERROR(__xludf.DUMMYFUNCTION("IF(OR(D3252="""",G3252=""""),"""",IFERROR(LET(
campo,XLOOKUP(TRIM(G3252),ARRAYFORMULA(TRIM('indice columnas'!$A$2:$A$100)),'indice columnas'!$B$2:$B$100,""""),
col,IFERROR(MATCH(campo,Referencia!$A$1:$AZ$1,0),0),
fila,IFERROR(MATCH(TO_TEXT(D3252),ARRAYFOR"&amp;"MULA(TO_TEXT(Referencia!$A$2:$A6238)),0),0),
IF(OR(campo="""",campo=""-""),""NO APLICA"",
IF(col=0,""REVISAR EQUIVALENCIA"",
IF(fila=0,""SKU NO ENCONTRADO"",
LET(
valor,INDEX(Referencia!$A$2:$AZ6238,fila,col),
IF(TRIM(TO_TEXT(valor))=TRIM(TO_TEXT(I3252)),"&amp;"
""OK"",
""NO COINCIDE. Valor verdadero: ""&amp;IF(valor="""",""[VACÍO]"",TO_TEXT(valor))
)
))))
),""ERROR EN FÓRMULA""))"),"")</f>
        <v/>
      </c>
    </row>
    <row r="3253">
      <c r="A3253" s="83" t="s">
        <v>4893</v>
      </c>
      <c r="B3253" s="83" t="s">
        <v>4894</v>
      </c>
      <c r="C3253" s="81" t="s">
        <v>4084</v>
      </c>
      <c r="D3253" s="81" t="s">
        <v>224</v>
      </c>
      <c r="E3253" s="81" t="s">
        <v>224</v>
      </c>
      <c r="F3253" s="81" t="s">
        <v>224</v>
      </c>
      <c r="G3253" s="81" t="s">
        <v>9</v>
      </c>
      <c r="H3253" s="81" t="s">
        <v>224</v>
      </c>
      <c r="I3253" s="81" t="s">
        <v>224</v>
      </c>
      <c r="J3253" s="81" t="s">
        <v>4085</v>
      </c>
      <c r="K3253" s="81" t="str">
        <f>IFERROR(__xludf.DUMMYFUNCTION("IF(OR(D3253="""",G3253=""""),"""",IFERROR(LET(
campo,XLOOKUP(TRIM(G3253),ARRAYFORMULA(TRIM('indice columnas'!$A$2:$A$100)),'indice columnas'!$B$2:$B$100,""""),
col,IFERROR(MATCH(campo,Referencia!$A$1:$AZ$1,0),0),
fila,IFERROR(MATCH(TO_TEXT(D3253),ARRAYFOR"&amp;"MULA(TO_TEXT(Referencia!$A$2:$A6238)),0),0),
IF(OR(campo="""",campo=""-""),""NO APLICA"",
IF(col=0,""REVISAR EQUIVALENCIA"",
IF(fila=0,""SKU NO ENCONTRADO"",
LET(
valor,INDEX(Referencia!$A$2:$AZ6238,fila,col),
IF(TRIM(TO_TEXT(valor))=TRIM(TO_TEXT(I3253)),"&amp;"
""OK"",
""NO COINCIDE. Valor verdadero: ""&amp;IF(valor="""",""[VACÍO]"",TO_TEXT(valor))
)
))))
),""ERROR EN FÓRMULA""))"),"")</f>
        <v/>
      </c>
    </row>
    <row r="3254">
      <c r="A3254" s="83" t="s">
        <v>4893</v>
      </c>
      <c r="B3254" s="83" t="s">
        <v>4894</v>
      </c>
      <c r="C3254" s="81" t="s">
        <v>4621</v>
      </c>
      <c r="D3254" s="83" t="s">
        <v>4811</v>
      </c>
      <c r="E3254" s="81" t="s">
        <v>3874</v>
      </c>
      <c r="F3254" s="81">
        <v>752.0</v>
      </c>
      <c r="G3254" s="81" t="s">
        <v>7</v>
      </c>
      <c r="H3254" s="81" t="s">
        <v>53</v>
      </c>
      <c r="I3254" s="81" t="s">
        <v>4008</v>
      </c>
      <c r="J3254" s="81" t="s">
        <v>224</v>
      </c>
      <c r="K3254" s="81" t="str">
        <f>IFERROR(__xludf.DUMMYFUNCTION("IF(OR(D3254="""",G3254=""""),"""",IFERROR(LET(
campo,XLOOKUP(TRIM(G3254),ARRAYFORMULA(TRIM('indice columnas'!$A$2:$A$100)),'indice columnas'!$B$2:$B$100,""""),
col,IFERROR(MATCH(campo,Referencia!$A$1:$AZ$1,0),0),
fila,IFERROR(MATCH(TO_TEXT(D3254),ARRAYFOR"&amp;"MULA(TO_TEXT(Referencia!$A$2:$A6238)),0),0),
IF(OR(campo="""",campo=""-""),""NO APLICA"",
IF(col=0,""REVISAR EQUIVALENCIA"",
IF(fila=0,""SKU NO ENCONTRADO"",
LET(
valor,INDEX(Referencia!$A$2:$AZ6238,fila,col),
IF(TRIM(TO_TEXT(valor))=TRIM(TO_TEXT(I3254)),"&amp;"
""OK"",
""NO COINCIDE. Valor verdadero: ""&amp;IF(valor="""",""[VACÍO]"",TO_TEXT(valor))
)
))))
),""ERROR EN FÓRMULA""))"),"REVISAR EQUIVALENCIA")</f>
        <v>REVISAR EQUIVALENCIA</v>
      </c>
    </row>
    <row r="3255">
      <c r="A3255" s="83" t="s">
        <v>4893</v>
      </c>
      <c r="B3255" s="83" t="s">
        <v>4894</v>
      </c>
      <c r="C3255" s="81" t="s">
        <v>4621</v>
      </c>
      <c r="D3255" s="83" t="s">
        <v>4813</v>
      </c>
      <c r="E3255" s="81" t="s">
        <v>3877</v>
      </c>
      <c r="F3255" s="81">
        <v>753.0</v>
      </c>
      <c r="G3255" s="81" t="s">
        <v>7</v>
      </c>
      <c r="H3255" s="81" t="s">
        <v>53</v>
      </c>
      <c r="I3255" s="81" t="s">
        <v>4008</v>
      </c>
      <c r="J3255" s="81" t="s">
        <v>224</v>
      </c>
      <c r="K3255" s="81" t="str">
        <f>IFERROR(__xludf.DUMMYFUNCTION("IF(OR(D3255="""",G3255=""""),"""",IFERROR(LET(
campo,XLOOKUP(TRIM(G3255),ARRAYFORMULA(TRIM('indice columnas'!$A$2:$A$100)),'indice columnas'!$B$2:$B$100,""""),
col,IFERROR(MATCH(campo,Referencia!$A$1:$AZ$1,0),0),
fila,IFERROR(MATCH(TO_TEXT(D3255),ARRAYFOR"&amp;"MULA(TO_TEXT(Referencia!$A$2:$A6238)),0),0),
IF(OR(campo="""",campo=""-""),""NO APLICA"",
IF(col=0,""REVISAR EQUIVALENCIA"",
IF(fila=0,""SKU NO ENCONTRADO"",
LET(
valor,INDEX(Referencia!$A$2:$AZ6238,fila,col),
IF(TRIM(TO_TEXT(valor))=TRIM(TO_TEXT(I3255)),"&amp;"
""OK"",
""NO COINCIDE. Valor verdadero: ""&amp;IF(valor="""",""[VACÍO]"",TO_TEXT(valor))
)
))))
),""ERROR EN FÓRMULA""))"),"REVISAR EQUIVALENCIA")</f>
        <v>REVISAR EQUIVALENCIA</v>
      </c>
    </row>
    <row r="3256">
      <c r="A3256" s="83" t="s">
        <v>4893</v>
      </c>
      <c r="B3256" s="83" t="s">
        <v>4894</v>
      </c>
      <c r="C3256" s="81" t="s">
        <v>4621</v>
      </c>
      <c r="D3256" s="83" t="s">
        <v>4815</v>
      </c>
      <c r="E3256" s="81" t="s">
        <v>3882</v>
      </c>
      <c r="F3256" s="81">
        <v>755.0</v>
      </c>
      <c r="G3256" s="81" t="s">
        <v>7</v>
      </c>
      <c r="H3256" s="81" t="s">
        <v>53</v>
      </c>
      <c r="I3256" s="81" t="s">
        <v>4008</v>
      </c>
      <c r="J3256" s="81" t="s">
        <v>224</v>
      </c>
      <c r="K3256" s="81" t="str">
        <f>IFERROR(__xludf.DUMMYFUNCTION("IF(OR(D3256="""",G3256=""""),"""",IFERROR(LET(
campo,XLOOKUP(TRIM(G3256),ARRAYFORMULA(TRIM('indice columnas'!$A$2:$A$100)),'indice columnas'!$B$2:$B$100,""""),
col,IFERROR(MATCH(campo,Referencia!$A$1:$AZ$1,0),0),
fila,IFERROR(MATCH(TO_TEXT(D3256),ARRAYFOR"&amp;"MULA(TO_TEXT(Referencia!$A$2:$A6238)),0),0),
IF(OR(campo="""",campo=""-""),""NO APLICA"",
IF(col=0,""REVISAR EQUIVALENCIA"",
IF(fila=0,""SKU NO ENCONTRADO"",
LET(
valor,INDEX(Referencia!$A$2:$AZ6238,fila,col),
IF(TRIM(TO_TEXT(valor))=TRIM(TO_TEXT(I3256)),"&amp;"
""OK"",
""NO COINCIDE. Valor verdadero: ""&amp;IF(valor="""",""[VACÍO]"",TO_TEXT(valor))
)
))))
),""ERROR EN FÓRMULA""))"),"REVISAR EQUIVALENCIA")</f>
        <v>REVISAR EQUIVALENCIA</v>
      </c>
    </row>
    <row r="3257">
      <c r="A3257" s="83" t="s">
        <v>4893</v>
      </c>
      <c r="B3257" s="83" t="s">
        <v>4894</v>
      </c>
      <c r="C3257" s="81" t="s">
        <v>4621</v>
      </c>
      <c r="D3257" s="83" t="s">
        <v>4816</v>
      </c>
      <c r="E3257" s="81" t="s">
        <v>3895</v>
      </c>
      <c r="F3257" s="81">
        <v>757.0</v>
      </c>
      <c r="G3257" s="81" t="s">
        <v>7</v>
      </c>
      <c r="H3257" s="81" t="s">
        <v>53</v>
      </c>
      <c r="I3257" s="81" t="s">
        <v>4008</v>
      </c>
      <c r="J3257" s="81" t="s">
        <v>224</v>
      </c>
      <c r="K3257" s="81" t="str">
        <f>IFERROR(__xludf.DUMMYFUNCTION("IF(OR(D3257="""",G3257=""""),"""",IFERROR(LET(
campo,XLOOKUP(TRIM(G3257),ARRAYFORMULA(TRIM('indice columnas'!$A$2:$A$100)),'indice columnas'!$B$2:$B$100,""""),
col,IFERROR(MATCH(campo,Referencia!$A$1:$AZ$1,0),0),
fila,IFERROR(MATCH(TO_TEXT(D3257),ARRAYFOR"&amp;"MULA(TO_TEXT(Referencia!$A$2:$A6238)),0),0),
IF(OR(campo="""",campo=""-""),""NO APLICA"",
IF(col=0,""REVISAR EQUIVALENCIA"",
IF(fila=0,""SKU NO ENCONTRADO"",
LET(
valor,INDEX(Referencia!$A$2:$AZ6238,fila,col),
IF(TRIM(TO_TEXT(valor))=TRIM(TO_TEXT(I3257)),"&amp;"
""OK"",
""NO COINCIDE. Valor verdadero: ""&amp;IF(valor="""",""[VACÍO]"",TO_TEXT(valor))
)
))))
),""ERROR EN FÓRMULA""))"),"REVISAR EQUIVALENCIA")</f>
        <v>REVISAR EQUIVALENCIA</v>
      </c>
    </row>
    <row r="3258">
      <c r="A3258" s="83" t="s">
        <v>4893</v>
      </c>
      <c r="B3258" s="83" t="s">
        <v>4894</v>
      </c>
      <c r="C3258" s="81" t="s">
        <v>4621</v>
      </c>
      <c r="D3258" s="83" t="s">
        <v>4818</v>
      </c>
      <c r="E3258" s="81" t="s">
        <v>3896</v>
      </c>
      <c r="F3258" s="81">
        <v>758.0</v>
      </c>
      <c r="G3258" s="81" t="s">
        <v>7</v>
      </c>
      <c r="H3258" s="81" t="s">
        <v>53</v>
      </c>
      <c r="I3258" s="81" t="s">
        <v>4008</v>
      </c>
      <c r="J3258" s="81" t="s">
        <v>224</v>
      </c>
      <c r="K3258" s="81" t="str">
        <f>IFERROR(__xludf.DUMMYFUNCTION("IF(OR(D3258="""",G3258=""""),"""",IFERROR(LET(
campo,XLOOKUP(TRIM(G3258),ARRAYFORMULA(TRIM('indice columnas'!$A$2:$A$100)),'indice columnas'!$B$2:$B$100,""""),
col,IFERROR(MATCH(campo,Referencia!$A$1:$AZ$1,0),0),
fila,IFERROR(MATCH(TO_TEXT(D3258),ARRAYFOR"&amp;"MULA(TO_TEXT(Referencia!$A$2:$A6238)),0),0),
IF(OR(campo="""",campo=""-""),""NO APLICA"",
IF(col=0,""REVISAR EQUIVALENCIA"",
IF(fila=0,""SKU NO ENCONTRADO"",
LET(
valor,INDEX(Referencia!$A$2:$AZ6238,fila,col),
IF(TRIM(TO_TEXT(valor))=TRIM(TO_TEXT(I3258)),"&amp;"
""OK"",
""NO COINCIDE. Valor verdadero: ""&amp;IF(valor="""",""[VACÍO]"",TO_TEXT(valor))
)
))))
),""ERROR EN FÓRMULA""))"),"REVISAR EQUIVALENCIA")</f>
        <v>REVISAR EQUIVALENCIA</v>
      </c>
    </row>
    <row r="3259">
      <c r="A3259" s="83" t="s">
        <v>4893</v>
      </c>
      <c r="B3259" s="83" t="s">
        <v>4894</v>
      </c>
      <c r="C3259" s="81" t="s">
        <v>4621</v>
      </c>
      <c r="D3259" s="83" t="s">
        <v>4835</v>
      </c>
      <c r="E3259" s="81" t="s">
        <v>3962</v>
      </c>
      <c r="F3259" s="81">
        <v>779.0</v>
      </c>
      <c r="G3259" s="81" t="s">
        <v>7</v>
      </c>
      <c r="H3259" s="81" t="s">
        <v>53</v>
      </c>
      <c r="I3259" s="81" t="s">
        <v>4008</v>
      </c>
      <c r="J3259" s="81" t="s">
        <v>224</v>
      </c>
      <c r="K3259" s="81" t="str">
        <f>IFERROR(__xludf.DUMMYFUNCTION("IF(OR(D3259="""",G3259=""""),"""",IFERROR(LET(
campo,XLOOKUP(TRIM(G3259),ARRAYFORMULA(TRIM('indice columnas'!$A$2:$A$100)),'indice columnas'!$B$2:$B$100,""""),
col,IFERROR(MATCH(campo,Referencia!$A$1:$AZ$1,0),0),
fila,IFERROR(MATCH(TO_TEXT(D3259),ARRAYFOR"&amp;"MULA(TO_TEXT(Referencia!$A$2:$A6238)),0),0),
IF(OR(campo="""",campo=""-""),""NO APLICA"",
IF(col=0,""REVISAR EQUIVALENCIA"",
IF(fila=0,""SKU NO ENCONTRADO"",
LET(
valor,INDEX(Referencia!$A$2:$AZ6238,fila,col),
IF(TRIM(TO_TEXT(valor))=TRIM(TO_TEXT(I3259)),"&amp;"
""OK"",
""NO COINCIDE. Valor verdadero: ""&amp;IF(valor="""",""[VACÍO]"",TO_TEXT(valor))
)
))))
),""ERROR EN FÓRMULA""))"),"REVISAR EQUIVALENCIA")</f>
        <v>REVISAR EQUIVALENCIA</v>
      </c>
    </row>
    <row r="3260">
      <c r="A3260" s="83" t="s">
        <v>4893</v>
      </c>
      <c r="B3260" s="83" t="s">
        <v>4894</v>
      </c>
      <c r="C3260" s="81" t="s">
        <v>4621</v>
      </c>
      <c r="D3260" s="83" t="s">
        <v>4836</v>
      </c>
      <c r="E3260" s="81" t="s">
        <v>3965</v>
      </c>
      <c r="F3260" s="81">
        <v>780.0</v>
      </c>
      <c r="G3260" s="81" t="s">
        <v>7</v>
      </c>
      <c r="H3260" s="81" t="s">
        <v>53</v>
      </c>
      <c r="I3260" s="81" t="s">
        <v>4008</v>
      </c>
      <c r="J3260" s="81" t="s">
        <v>224</v>
      </c>
      <c r="K3260" s="81" t="str">
        <f>IFERROR(__xludf.DUMMYFUNCTION("IF(OR(D3260="""",G3260=""""),"""",IFERROR(LET(
campo,XLOOKUP(TRIM(G3260),ARRAYFORMULA(TRIM('indice columnas'!$A$2:$A$100)),'indice columnas'!$B$2:$B$100,""""),
col,IFERROR(MATCH(campo,Referencia!$A$1:$AZ$1,0),0),
fila,IFERROR(MATCH(TO_TEXT(D3260),ARRAYFOR"&amp;"MULA(TO_TEXT(Referencia!$A$2:$A6238)),0),0),
IF(OR(campo="""",campo=""-""),""NO APLICA"",
IF(col=0,""REVISAR EQUIVALENCIA"",
IF(fila=0,""SKU NO ENCONTRADO"",
LET(
valor,INDEX(Referencia!$A$2:$AZ6238,fila,col),
IF(TRIM(TO_TEXT(valor))=TRIM(TO_TEXT(I3260)),"&amp;"
""OK"",
""NO COINCIDE. Valor verdadero: ""&amp;IF(valor="""",""[VACÍO]"",TO_TEXT(valor))
)
))))
),""ERROR EN FÓRMULA""))"),"REVISAR EQUIVALENCIA")</f>
        <v>REVISAR EQUIVALENCIA</v>
      </c>
    </row>
    <row r="3261">
      <c r="A3261" s="83" t="s">
        <v>4893</v>
      </c>
      <c r="B3261" s="83" t="s">
        <v>4894</v>
      </c>
      <c r="C3261" s="81" t="s">
        <v>4621</v>
      </c>
      <c r="D3261" s="83" t="s">
        <v>4837</v>
      </c>
      <c r="E3261" s="81" t="s">
        <v>3968</v>
      </c>
      <c r="F3261" s="81">
        <v>781.0</v>
      </c>
      <c r="G3261" s="81" t="s">
        <v>7</v>
      </c>
      <c r="H3261" s="81" t="s">
        <v>53</v>
      </c>
      <c r="I3261" s="81" t="s">
        <v>4008</v>
      </c>
      <c r="J3261" s="81" t="s">
        <v>224</v>
      </c>
      <c r="K3261" s="81" t="str">
        <f>IFERROR(__xludf.DUMMYFUNCTION("IF(OR(D3261="""",G3261=""""),"""",IFERROR(LET(
campo,XLOOKUP(TRIM(G3261),ARRAYFORMULA(TRIM('indice columnas'!$A$2:$A$100)),'indice columnas'!$B$2:$B$100,""""),
col,IFERROR(MATCH(campo,Referencia!$A$1:$AZ$1,0),0),
fila,IFERROR(MATCH(TO_TEXT(D3261),ARRAYFOR"&amp;"MULA(TO_TEXT(Referencia!$A$2:$A6238)),0),0),
IF(OR(campo="""",campo=""-""),""NO APLICA"",
IF(col=0,""REVISAR EQUIVALENCIA"",
IF(fila=0,""SKU NO ENCONTRADO"",
LET(
valor,INDEX(Referencia!$A$2:$AZ6238,fila,col),
IF(TRIM(TO_TEXT(valor))=TRIM(TO_TEXT(I3261)),"&amp;"
""OK"",
""NO COINCIDE. Valor verdadero: ""&amp;IF(valor="""",""[VACÍO]"",TO_TEXT(valor))
)
))))
),""ERROR EN FÓRMULA""))"),"REVISAR EQUIVALENCIA")</f>
        <v>REVISAR EQUIVALENCIA</v>
      </c>
    </row>
    <row r="3262">
      <c r="A3262" s="83" t="s">
        <v>4893</v>
      </c>
      <c r="B3262" s="83" t="s">
        <v>4894</v>
      </c>
      <c r="C3262" s="81" t="s">
        <v>4621</v>
      </c>
      <c r="D3262" s="83" t="s">
        <v>4841</v>
      </c>
      <c r="E3262" s="81" t="s">
        <v>3988</v>
      </c>
      <c r="F3262" s="81">
        <v>786.0</v>
      </c>
      <c r="G3262" s="81" t="s">
        <v>7</v>
      </c>
      <c r="H3262" s="81" t="s">
        <v>53</v>
      </c>
      <c r="I3262" s="81" t="s">
        <v>4008</v>
      </c>
      <c r="J3262" s="81" t="s">
        <v>224</v>
      </c>
      <c r="K3262" s="81" t="str">
        <f>IFERROR(__xludf.DUMMYFUNCTION("IF(OR(D3262="""",G3262=""""),"""",IFERROR(LET(
campo,XLOOKUP(TRIM(G3262),ARRAYFORMULA(TRIM('indice columnas'!$A$2:$A$100)),'indice columnas'!$B$2:$B$100,""""),
col,IFERROR(MATCH(campo,Referencia!$A$1:$AZ$1,0),0),
fila,IFERROR(MATCH(TO_TEXT(D3262),ARRAYFOR"&amp;"MULA(TO_TEXT(Referencia!$A$2:$A6238)),0),0),
IF(OR(campo="""",campo=""-""),""NO APLICA"",
IF(col=0,""REVISAR EQUIVALENCIA"",
IF(fila=0,""SKU NO ENCONTRADO"",
LET(
valor,INDEX(Referencia!$A$2:$AZ6238,fila,col),
IF(TRIM(TO_TEXT(valor))=TRIM(TO_TEXT(I3262)),"&amp;"
""OK"",
""NO COINCIDE. Valor verdadero: ""&amp;IF(valor="""",""[VACÍO]"",TO_TEXT(valor))
)
))))
),""ERROR EN FÓRMULA""))"),"REVISAR EQUIVALENCIA")</f>
        <v>REVISAR EQUIVALENCIA</v>
      </c>
    </row>
    <row r="3263">
      <c r="A3263" s="83" t="s">
        <v>4893</v>
      </c>
      <c r="B3263" s="83" t="s">
        <v>4894</v>
      </c>
      <c r="C3263" s="81" t="s">
        <v>4621</v>
      </c>
      <c r="D3263" s="83" t="s">
        <v>4842</v>
      </c>
      <c r="E3263" s="81" t="s">
        <v>3991</v>
      </c>
      <c r="F3263" s="81">
        <v>787.0</v>
      </c>
      <c r="G3263" s="81" t="s">
        <v>7</v>
      </c>
      <c r="H3263" s="81" t="s">
        <v>53</v>
      </c>
      <c r="I3263" s="81" t="s">
        <v>4008</v>
      </c>
      <c r="J3263" s="81" t="s">
        <v>224</v>
      </c>
      <c r="K3263" s="81" t="str">
        <f>IFERROR(__xludf.DUMMYFUNCTION("IF(OR(D3263="""",G3263=""""),"""",IFERROR(LET(
campo,XLOOKUP(TRIM(G3263),ARRAYFORMULA(TRIM('indice columnas'!$A$2:$A$100)),'indice columnas'!$B$2:$B$100,""""),
col,IFERROR(MATCH(campo,Referencia!$A$1:$AZ$1,0),0),
fila,IFERROR(MATCH(TO_TEXT(D3263),ARRAYFOR"&amp;"MULA(TO_TEXT(Referencia!$A$2:$A6238)),0),0),
IF(OR(campo="""",campo=""-""),""NO APLICA"",
IF(col=0,""REVISAR EQUIVALENCIA"",
IF(fila=0,""SKU NO ENCONTRADO"",
LET(
valor,INDEX(Referencia!$A$2:$AZ6238,fila,col),
IF(TRIM(TO_TEXT(valor))=TRIM(TO_TEXT(I3263)),"&amp;"
""OK"",
""NO COINCIDE. Valor verdadero: ""&amp;IF(valor="""",""[VACÍO]"",TO_TEXT(valor))
)
))))
),""ERROR EN FÓRMULA""))"),"REVISAR EQUIVALENCIA")</f>
        <v>REVISAR EQUIVALENCIA</v>
      </c>
    </row>
    <row r="3264">
      <c r="A3264" s="83" t="s">
        <v>4893</v>
      </c>
      <c r="B3264" s="83" t="s">
        <v>4894</v>
      </c>
      <c r="C3264" s="81" t="s">
        <v>4621</v>
      </c>
      <c r="D3264" s="83" t="s">
        <v>4843</v>
      </c>
      <c r="E3264" s="81" t="s">
        <v>3994</v>
      </c>
      <c r="F3264" s="81">
        <v>788.0</v>
      </c>
      <c r="G3264" s="81" t="s">
        <v>7</v>
      </c>
      <c r="H3264" s="81" t="s">
        <v>53</v>
      </c>
      <c r="I3264" s="81" t="s">
        <v>4008</v>
      </c>
      <c r="J3264" s="81" t="s">
        <v>224</v>
      </c>
      <c r="K3264" s="81" t="str">
        <f>IFERROR(__xludf.DUMMYFUNCTION("IF(OR(D3264="""",G3264=""""),"""",IFERROR(LET(
campo,XLOOKUP(TRIM(G3264),ARRAYFORMULA(TRIM('indice columnas'!$A$2:$A$100)),'indice columnas'!$B$2:$B$100,""""),
col,IFERROR(MATCH(campo,Referencia!$A$1:$AZ$1,0),0),
fila,IFERROR(MATCH(TO_TEXT(D3264),ARRAYFOR"&amp;"MULA(TO_TEXT(Referencia!$A$2:$A6238)),0),0),
IF(OR(campo="""",campo=""-""),""NO APLICA"",
IF(col=0,""REVISAR EQUIVALENCIA"",
IF(fila=0,""SKU NO ENCONTRADO"",
LET(
valor,INDEX(Referencia!$A$2:$AZ6238,fila,col),
IF(TRIM(TO_TEXT(valor))=TRIM(TO_TEXT(I3264)),"&amp;"
""OK"",
""NO COINCIDE. Valor verdadero: ""&amp;IF(valor="""",""[VACÍO]"",TO_TEXT(valor))
)
))))
),""ERROR EN FÓRMULA""))"),"REVISAR EQUIVALENCIA")</f>
        <v>REVISAR EQUIVALENCIA</v>
      </c>
    </row>
    <row r="3265">
      <c r="A3265" s="83" t="s">
        <v>4893</v>
      </c>
      <c r="B3265" s="83" t="s">
        <v>4894</v>
      </c>
      <c r="C3265" s="81" t="s">
        <v>4621</v>
      </c>
      <c r="D3265" s="83" t="s">
        <v>4868</v>
      </c>
      <c r="E3265" s="81" t="s">
        <v>4020</v>
      </c>
      <c r="F3265" s="81">
        <v>806.0</v>
      </c>
      <c r="G3265" s="81" t="s">
        <v>28</v>
      </c>
      <c r="H3265" s="81" t="s">
        <v>219</v>
      </c>
      <c r="I3265" s="81" t="s">
        <v>61</v>
      </c>
      <c r="J3265" s="81" t="s">
        <v>224</v>
      </c>
      <c r="K3265" s="81" t="str">
        <f>IFERROR(__xludf.DUMMYFUNCTION("IF(OR(D3265="""",G3265=""""),"""",IFERROR(LET(
campo,XLOOKUP(TRIM(G3265),ARRAYFORMULA(TRIM('indice columnas'!$A$2:$A$100)),'indice columnas'!$B$2:$B$100,""""),
col,IFERROR(MATCH(campo,Referencia!$A$1:$AZ$1,0),0),
fila,IFERROR(MATCH(TO_TEXT(D3265),ARRAYFOR"&amp;"MULA(TO_TEXT(Referencia!$A$2:$A6238)),0),0),
IF(OR(campo="""",campo=""-""),""NO APLICA"",
IF(col=0,""REVISAR EQUIVALENCIA"",
IF(fila=0,""SKU NO ENCONTRADO"",
LET(
valor,INDEX(Referencia!$A$2:$AZ6238,fila,col),
IF(TRIM(TO_TEXT(valor))=TRIM(TO_TEXT(I3265)),"&amp;"
""OK"",
""NO COINCIDE. Valor verdadero: ""&amp;IF(valor="""",""[VACÍO]"",TO_TEXT(valor))
)
))))
),""ERROR EN FÓRMULA""))"),"OK")</f>
        <v>OK</v>
      </c>
    </row>
    <row r="3266">
      <c r="A3266" s="83" t="s">
        <v>4893</v>
      </c>
      <c r="B3266" s="83" t="s">
        <v>4894</v>
      </c>
      <c r="C3266" s="81" t="s">
        <v>4621</v>
      </c>
      <c r="D3266" s="83" t="s">
        <v>4869</v>
      </c>
      <c r="E3266" s="81" t="s">
        <v>4032</v>
      </c>
      <c r="F3266" s="81">
        <v>807.0</v>
      </c>
      <c r="G3266" s="81" t="s">
        <v>28</v>
      </c>
      <c r="H3266" s="81" t="s">
        <v>219</v>
      </c>
      <c r="I3266" s="81" t="s">
        <v>61</v>
      </c>
      <c r="J3266" s="81" t="s">
        <v>224</v>
      </c>
      <c r="K3266" s="81" t="str">
        <f>IFERROR(__xludf.DUMMYFUNCTION("IF(OR(D3266="""",G3266=""""),"""",IFERROR(LET(
campo,XLOOKUP(TRIM(G3266),ARRAYFORMULA(TRIM('indice columnas'!$A$2:$A$100)),'indice columnas'!$B$2:$B$100,""""),
col,IFERROR(MATCH(campo,Referencia!$A$1:$AZ$1,0),0),
fila,IFERROR(MATCH(TO_TEXT(D3266),ARRAYFOR"&amp;"MULA(TO_TEXT(Referencia!$A$2:$A6238)),0),0),
IF(OR(campo="""",campo=""-""),""NO APLICA"",
IF(col=0,""REVISAR EQUIVALENCIA"",
IF(fila=0,""SKU NO ENCONTRADO"",
LET(
valor,INDEX(Referencia!$A$2:$AZ6238,fila,col),
IF(TRIM(TO_TEXT(valor))=TRIM(TO_TEXT(I3266)),"&amp;"
""OK"",
""NO COINCIDE. Valor verdadero: ""&amp;IF(valor="""",""[VACÍO]"",TO_TEXT(valor))
)
))))
),""ERROR EN FÓRMULA""))"),"OK")</f>
        <v>OK</v>
      </c>
    </row>
    <row r="3267">
      <c r="A3267" s="83" t="s">
        <v>4896</v>
      </c>
      <c r="B3267" s="83" t="s">
        <v>4897</v>
      </c>
      <c r="C3267" s="81" t="s">
        <v>4080</v>
      </c>
      <c r="D3267" s="81" t="s">
        <v>224</v>
      </c>
      <c r="E3267" s="81" t="s">
        <v>224</v>
      </c>
      <c r="F3267" s="81" t="s">
        <v>224</v>
      </c>
      <c r="G3267" s="81" t="s">
        <v>224</v>
      </c>
      <c r="H3267" s="81" t="s">
        <v>224</v>
      </c>
      <c r="I3267" s="81" t="s">
        <v>224</v>
      </c>
      <c r="J3267" s="81" t="s">
        <v>4898</v>
      </c>
      <c r="K3267" s="81" t="str">
        <f>IFERROR(__xludf.DUMMYFUNCTION("IF(OR(D3267="""",G3267=""""),"""",IFERROR(LET(
campo,XLOOKUP(TRIM(G3267),ARRAYFORMULA(TRIM('indice columnas'!$A$2:$A$100)),'indice columnas'!$B$2:$B$100,""""),
col,IFERROR(MATCH(campo,Referencia!$A$1:$AZ$1,0),0),
fila,IFERROR(MATCH(TO_TEXT(D3267),ARRAYFOR"&amp;"MULA(TO_TEXT(Referencia!$A$2:$A6238)),0),0),
IF(OR(campo="""",campo=""-""),""NO APLICA"",
IF(col=0,""REVISAR EQUIVALENCIA"",
IF(fila=0,""SKU NO ENCONTRADO"",
LET(
valor,INDEX(Referencia!$A$2:$AZ6238,fila,col),
IF(TRIM(TO_TEXT(valor))=TRIM(TO_TEXT(I3267)),"&amp;"
""OK"",
""NO COINCIDE. Valor verdadero: ""&amp;IF(valor="""",""[VACÍO]"",TO_TEXT(valor))
)
))))
),""ERROR EN FÓRMULA""))"),"")</f>
        <v/>
      </c>
    </row>
    <row r="3268">
      <c r="A3268" s="83" t="s">
        <v>4896</v>
      </c>
      <c r="B3268" s="83" t="s">
        <v>4897</v>
      </c>
      <c r="C3268" s="81" t="s">
        <v>4082</v>
      </c>
      <c r="D3268" s="81" t="s">
        <v>224</v>
      </c>
      <c r="E3268" s="81" t="s">
        <v>224</v>
      </c>
      <c r="F3268" s="81" t="s">
        <v>224</v>
      </c>
      <c r="G3268" s="81" t="s">
        <v>8</v>
      </c>
      <c r="H3268" s="81" t="s">
        <v>224</v>
      </c>
      <c r="I3268" s="81" t="s">
        <v>224</v>
      </c>
      <c r="J3268" s="81" t="s">
        <v>4083</v>
      </c>
      <c r="K3268" s="81" t="str">
        <f>IFERROR(__xludf.DUMMYFUNCTION("IF(OR(D3268="""",G3268=""""),"""",IFERROR(LET(
campo,XLOOKUP(TRIM(G3268),ARRAYFORMULA(TRIM('indice columnas'!$A$2:$A$100)),'indice columnas'!$B$2:$B$100,""""),
col,IFERROR(MATCH(campo,Referencia!$A$1:$AZ$1,0),0),
fila,IFERROR(MATCH(TO_TEXT(D3268),ARRAYFOR"&amp;"MULA(TO_TEXT(Referencia!$A$2:$A6238)),0),0),
IF(OR(campo="""",campo=""-""),""NO APLICA"",
IF(col=0,""REVISAR EQUIVALENCIA"",
IF(fila=0,""SKU NO ENCONTRADO"",
LET(
valor,INDEX(Referencia!$A$2:$AZ6238,fila,col),
IF(TRIM(TO_TEXT(valor))=TRIM(TO_TEXT(I3268)),"&amp;"
""OK"",
""NO COINCIDE. Valor verdadero: ""&amp;IF(valor="""",""[VACÍO]"",TO_TEXT(valor))
)
))))
),""ERROR EN FÓRMULA""))"),"")</f>
        <v/>
      </c>
    </row>
    <row r="3269">
      <c r="A3269" s="83" t="s">
        <v>4896</v>
      </c>
      <c r="B3269" s="83" t="s">
        <v>4897</v>
      </c>
      <c r="C3269" s="81" t="s">
        <v>4084</v>
      </c>
      <c r="D3269" s="81" t="s">
        <v>224</v>
      </c>
      <c r="E3269" s="81" t="s">
        <v>224</v>
      </c>
      <c r="F3269" s="81" t="s">
        <v>224</v>
      </c>
      <c r="G3269" s="81" t="s">
        <v>9</v>
      </c>
      <c r="H3269" s="81" t="s">
        <v>224</v>
      </c>
      <c r="I3269" s="81" t="s">
        <v>224</v>
      </c>
      <c r="J3269" s="81" t="s">
        <v>4085</v>
      </c>
      <c r="K3269" s="81" t="str">
        <f>IFERROR(__xludf.DUMMYFUNCTION("IF(OR(D3269="""",G3269=""""),"""",IFERROR(LET(
campo,XLOOKUP(TRIM(G3269),ARRAYFORMULA(TRIM('indice columnas'!$A$2:$A$100)),'indice columnas'!$B$2:$B$100,""""),
col,IFERROR(MATCH(campo,Referencia!$A$1:$AZ$1,0),0),
fila,IFERROR(MATCH(TO_TEXT(D3269),ARRAYFOR"&amp;"MULA(TO_TEXT(Referencia!$A$2:$A6238)),0),0),
IF(OR(campo="""",campo=""-""),""NO APLICA"",
IF(col=0,""REVISAR EQUIVALENCIA"",
IF(fila=0,""SKU NO ENCONTRADO"",
LET(
valor,INDEX(Referencia!$A$2:$AZ6238,fila,col),
IF(TRIM(TO_TEXT(valor))=TRIM(TO_TEXT(I3269)),"&amp;"
""OK"",
""NO COINCIDE. Valor verdadero: ""&amp;IF(valor="""",""[VACÍO]"",TO_TEXT(valor))
)
))))
),""ERROR EN FÓRMULA""))"),"")</f>
        <v/>
      </c>
    </row>
    <row r="3270">
      <c r="A3270" s="83" t="s">
        <v>4896</v>
      </c>
      <c r="B3270" s="83" t="s">
        <v>4897</v>
      </c>
      <c r="C3270" s="81" t="s">
        <v>4086</v>
      </c>
      <c r="D3270" s="83" t="s">
        <v>4087</v>
      </c>
      <c r="E3270" s="81" t="s">
        <v>73</v>
      </c>
      <c r="F3270" s="81">
        <v>3.0</v>
      </c>
      <c r="G3270" s="81" t="s">
        <v>3</v>
      </c>
      <c r="H3270" s="81" t="s">
        <v>224</v>
      </c>
      <c r="I3270" s="81" t="s">
        <v>51</v>
      </c>
      <c r="J3270" s="81" t="s">
        <v>224</v>
      </c>
      <c r="K3270" s="81" t="str">
        <f>IFERROR(__xludf.DUMMYFUNCTION("IF(OR(D3270="""",G3270=""""),"""",IFERROR(LET(
campo,XLOOKUP(TRIM(G3270),ARRAYFORMULA(TRIM('indice columnas'!$A$2:$A$100)),'indice columnas'!$B$2:$B$100,""""),
col,IFERROR(MATCH(campo,Referencia!$A$1:$AZ$1,0),0),
fila,IFERROR(MATCH(TO_TEXT(D3270),ARRAYFOR"&amp;"MULA(TO_TEXT(Referencia!$A$2:$A6238)),0),0),
IF(OR(campo="""",campo=""-""),""NO APLICA"",
IF(col=0,""REVISAR EQUIVALENCIA"",
IF(fila=0,""SKU NO ENCONTRADO"",
LET(
valor,INDEX(Referencia!$A$2:$AZ6238,fila,col),
IF(TRIM(TO_TEXT(valor))=TRIM(TO_TEXT(I3270)),"&amp;"
""OK"",
""NO COINCIDE. Valor verdadero: ""&amp;IF(valor="""",""[VACÍO]"",TO_TEXT(valor))
)
))))
),""ERROR EN FÓRMULA""))"),"OK")</f>
        <v>OK</v>
      </c>
    </row>
    <row r="3271">
      <c r="A3271" s="83" t="s">
        <v>4896</v>
      </c>
      <c r="B3271" s="83" t="s">
        <v>4897</v>
      </c>
      <c r="C3271" s="81" t="s">
        <v>4086</v>
      </c>
      <c r="D3271" s="83" t="s">
        <v>4087</v>
      </c>
      <c r="E3271" s="81" t="s">
        <v>73</v>
      </c>
      <c r="F3271" s="81">
        <v>3.0</v>
      </c>
      <c r="G3271" s="81" t="s">
        <v>2</v>
      </c>
      <c r="H3271" s="81" t="s">
        <v>224</v>
      </c>
      <c r="I3271" s="81" t="s">
        <v>50</v>
      </c>
      <c r="J3271" s="81" t="s">
        <v>224</v>
      </c>
      <c r="K3271" s="81" t="str">
        <f>IFERROR(__xludf.DUMMYFUNCTION("IF(OR(D3271="""",G3271=""""),"""",IFERROR(LET(
campo,XLOOKUP(TRIM(G3271),ARRAYFORMULA(TRIM('indice columnas'!$A$2:$A$100)),'indice columnas'!$B$2:$B$100,""""),
col,IFERROR(MATCH(campo,Referencia!$A$1:$AZ$1,0),0),
fila,IFERROR(MATCH(TO_TEXT(D3271),ARRAYFOR"&amp;"MULA(TO_TEXT(Referencia!$A$2:$A6238)),0),0),
IF(OR(campo="""",campo=""-""),""NO APLICA"",
IF(col=0,""REVISAR EQUIVALENCIA"",
IF(fila=0,""SKU NO ENCONTRADO"",
LET(
valor,INDEX(Referencia!$A$2:$AZ6238,fila,col),
IF(TRIM(TO_TEXT(valor))=TRIM(TO_TEXT(I3271)),"&amp;"
""OK"",
""NO COINCIDE. Valor verdadero: ""&amp;IF(valor="""",""[VACÍO]"",TO_TEXT(valor))
)
))))
),""ERROR EN FÓRMULA""))"),"OK")</f>
        <v>OK</v>
      </c>
    </row>
    <row r="3272">
      <c r="A3272" s="83" t="s">
        <v>4896</v>
      </c>
      <c r="B3272" s="83" t="s">
        <v>4897</v>
      </c>
      <c r="C3272" s="81" t="s">
        <v>4086</v>
      </c>
      <c r="D3272" s="83" t="s">
        <v>4087</v>
      </c>
      <c r="E3272" s="81" t="s">
        <v>73</v>
      </c>
      <c r="F3272" s="81">
        <v>3.0</v>
      </c>
      <c r="G3272" s="81" t="s">
        <v>1</v>
      </c>
      <c r="H3272" s="81" t="s">
        <v>224</v>
      </c>
      <c r="I3272" s="81" t="s">
        <v>49</v>
      </c>
      <c r="J3272" s="81" t="s">
        <v>224</v>
      </c>
      <c r="K3272" s="81" t="str">
        <f>IFERROR(__xludf.DUMMYFUNCTION("IF(OR(D3272="""",G3272=""""),"""",IFERROR(LET(
campo,XLOOKUP(TRIM(G3272),ARRAYFORMULA(TRIM('indice columnas'!$A$2:$A$100)),'indice columnas'!$B$2:$B$100,""""),
col,IFERROR(MATCH(campo,Referencia!$A$1:$AZ$1,0),0),
fila,IFERROR(MATCH(TO_TEXT(D3272),ARRAYFOR"&amp;"MULA(TO_TEXT(Referencia!$A$2:$A6238)),0),0),
IF(OR(campo="""",campo=""-""),""NO APLICA"",
IF(col=0,""REVISAR EQUIVALENCIA"",
IF(fila=0,""SKU NO ENCONTRADO"",
LET(
valor,INDEX(Referencia!$A$2:$AZ6238,fila,col),
IF(TRIM(TO_TEXT(valor))=TRIM(TO_TEXT(I3272)),"&amp;"
""OK"",
""NO COINCIDE. Valor verdadero: ""&amp;IF(valor="""",""[VACÍO]"",TO_TEXT(valor))
)
))))
),""ERROR EN FÓRMULA""))"),"OK")</f>
        <v>OK</v>
      </c>
    </row>
    <row r="3273">
      <c r="A3273" s="83" t="s">
        <v>4896</v>
      </c>
      <c r="B3273" s="83" t="s">
        <v>4897</v>
      </c>
      <c r="C3273" s="81" t="s">
        <v>4086</v>
      </c>
      <c r="D3273" s="83" t="s">
        <v>4089</v>
      </c>
      <c r="E3273" s="81" t="s">
        <v>75</v>
      </c>
      <c r="F3273" s="81">
        <v>4.0</v>
      </c>
      <c r="G3273" s="81" t="s">
        <v>3</v>
      </c>
      <c r="H3273" s="81" t="s">
        <v>224</v>
      </c>
      <c r="I3273" s="81" t="s">
        <v>51</v>
      </c>
      <c r="J3273" s="81" t="s">
        <v>224</v>
      </c>
      <c r="K3273" s="81" t="str">
        <f>IFERROR(__xludf.DUMMYFUNCTION("IF(OR(D3273="""",G3273=""""),"""",IFERROR(LET(
campo,XLOOKUP(TRIM(G3273),ARRAYFORMULA(TRIM('indice columnas'!$A$2:$A$100)),'indice columnas'!$B$2:$B$100,""""),
col,IFERROR(MATCH(campo,Referencia!$A$1:$AZ$1,0),0),
fila,IFERROR(MATCH(TO_TEXT(D3273),ARRAYFOR"&amp;"MULA(TO_TEXT(Referencia!$A$2:$A6238)),0),0),
IF(OR(campo="""",campo=""-""),""NO APLICA"",
IF(col=0,""REVISAR EQUIVALENCIA"",
IF(fila=0,""SKU NO ENCONTRADO"",
LET(
valor,INDEX(Referencia!$A$2:$AZ6238,fila,col),
IF(TRIM(TO_TEXT(valor))=TRIM(TO_TEXT(I3273)),"&amp;"
""OK"",
""NO COINCIDE. Valor verdadero: ""&amp;IF(valor="""",""[VACÍO]"",TO_TEXT(valor))
)
))))
),""ERROR EN FÓRMULA""))"),"OK")</f>
        <v>OK</v>
      </c>
    </row>
    <row r="3274">
      <c r="A3274" s="83" t="s">
        <v>4896</v>
      </c>
      <c r="B3274" s="83" t="s">
        <v>4897</v>
      </c>
      <c r="C3274" s="81" t="s">
        <v>4086</v>
      </c>
      <c r="D3274" s="83" t="s">
        <v>4089</v>
      </c>
      <c r="E3274" s="81" t="s">
        <v>75</v>
      </c>
      <c r="F3274" s="81">
        <v>4.0</v>
      </c>
      <c r="G3274" s="81" t="s">
        <v>2</v>
      </c>
      <c r="H3274" s="81" t="s">
        <v>224</v>
      </c>
      <c r="I3274" s="81" t="s">
        <v>50</v>
      </c>
      <c r="J3274" s="81" t="s">
        <v>224</v>
      </c>
      <c r="K3274" s="81" t="str">
        <f>IFERROR(__xludf.DUMMYFUNCTION("IF(OR(D3274="""",G3274=""""),"""",IFERROR(LET(
campo,XLOOKUP(TRIM(G3274),ARRAYFORMULA(TRIM('indice columnas'!$A$2:$A$100)),'indice columnas'!$B$2:$B$100,""""),
col,IFERROR(MATCH(campo,Referencia!$A$1:$AZ$1,0),0),
fila,IFERROR(MATCH(TO_TEXT(D3274),ARRAYFOR"&amp;"MULA(TO_TEXT(Referencia!$A$2:$A6238)),0),0),
IF(OR(campo="""",campo=""-""),""NO APLICA"",
IF(col=0,""REVISAR EQUIVALENCIA"",
IF(fila=0,""SKU NO ENCONTRADO"",
LET(
valor,INDEX(Referencia!$A$2:$AZ6238,fila,col),
IF(TRIM(TO_TEXT(valor))=TRIM(TO_TEXT(I3274)),"&amp;"
""OK"",
""NO COINCIDE. Valor verdadero: ""&amp;IF(valor="""",""[VACÍO]"",TO_TEXT(valor))
)
))))
),""ERROR EN FÓRMULA""))"),"OK")</f>
        <v>OK</v>
      </c>
    </row>
    <row r="3275">
      <c r="A3275" s="83" t="s">
        <v>4896</v>
      </c>
      <c r="B3275" s="83" t="s">
        <v>4897</v>
      </c>
      <c r="C3275" s="81" t="s">
        <v>4086</v>
      </c>
      <c r="D3275" s="83" t="s">
        <v>4089</v>
      </c>
      <c r="E3275" s="81" t="s">
        <v>75</v>
      </c>
      <c r="F3275" s="81">
        <v>4.0</v>
      </c>
      <c r="G3275" s="81" t="s">
        <v>1</v>
      </c>
      <c r="H3275" s="81" t="s">
        <v>224</v>
      </c>
      <c r="I3275" s="81" t="s">
        <v>49</v>
      </c>
      <c r="J3275" s="81" t="s">
        <v>224</v>
      </c>
      <c r="K3275" s="81" t="str">
        <f>IFERROR(__xludf.DUMMYFUNCTION("IF(OR(D3275="""",G3275=""""),"""",IFERROR(LET(
campo,XLOOKUP(TRIM(G3275),ARRAYFORMULA(TRIM('indice columnas'!$A$2:$A$100)),'indice columnas'!$B$2:$B$100,""""),
col,IFERROR(MATCH(campo,Referencia!$A$1:$AZ$1,0),0),
fila,IFERROR(MATCH(TO_TEXT(D3275),ARRAYFOR"&amp;"MULA(TO_TEXT(Referencia!$A$2:$A6238)),0),0),
IF(OR(campo="""",campo=""-""),""NO APLICA"",
IF(col=0,""REVISAR EQUIVALENCIA"",
IF(fila=0,""SKU NO ENCONTRADO"",
LET(
valor,INDEX(Referencia!$A$2:$AZ6238,fila,col),
IF(TRIM(TO_TEXT(valor))=TRIM(TO_TEXT(I3275)),"&amp;"
""OK"",
""NO COINCIDE. Valor verdadero: ""&amp;IF(valor="""",""[VACÍO]"",TO_TEXT(valor))
)
))))
),""ERROR EN FÓRMULA""))"),"OK")</f>
        <v>OK</v>
      </c>
    </row>
    <row r="3276">
      <c r="A3276" s="83" t="s">
        <v>4896</v>
      </c>
      <c r="B3276" s="83" t="s">
        <v>4897</v>
      </c>
      <c r="C3276" s="81" t="s">
        <v>4086</v>
      </c>
      <c r="D3276" s="83" t="s">
        <v>4091</v>
      </c>
      <c r="E3276" s="81" t="s">
        <v>121</v>
      </c>
      <c r="F3276" s="81">
        <v>7.0</v>
      </c>
      <c r="G3276" s="81" t="s">
        <v>3</v>
      </c>
      <c r="H3276" s="81" t="s">
        <v>224</v>
      </c>
      <c r="I3276" s="81" t="s">
        <v>51</v>
      </c>
      <c r="J3276" s="81" t="s">
        <v>224</v>
      </c>
      <c r="K3276" s="81" t="str">
        <f>IFERROR(__xludf.DUMMYFUNCTION("IF(OR(D3276="""",G3276=""""),"""",IFERROR(LET(
campo,XLOOKUP(TRIM(G3276),ARRAYFORMULA(TRIM('indice columnas'!$A$2:$A$100)),'indice columnas'!$B$2:$B$100,""""),
col,IFERROR(MATCH(campo,Referencia!$A$1:$AZ$1,0),0),
fila,IFERROR(MATCH(TO_TEXT(D3276),ARRAYFOR"&amp;"MULA(TO_TEXT(Referencia!$A$2:$A6238)),0),0),
IF(OR(campo="""",campo=""-""),""NO APLICA"",
IF(col=0,""REVISAR EQUIVALENCIA"",
IF(fila=0,""SKU NO ENCONTRADO"",
LET(
valor,INDEX(Referencia!$A$2:$AZ6238,fila,col),
IF(TRIM(TO_TEXT(valor))=TRIM(TO_TEXT(I3276)),"&amp;"
""OK"",
""NO COINCIDE. Valor verdadero: ""&amp;IF(valor="""",""[VACÍO]"",TO_TEXT(valor))
)
))))
),""ERROR EN FÓRMULA""))"),"OK")</f>
        <v>OK</v>
      </c>
    </row>
    <row r="3277">
      <c r="A3277" s="83" t="s">
        <v>4896</v>
      </c>
      <c r="B3277" s="83" t="s">
        <v>4897</v>
      </c>
      <c r="C3277" s="81" t="s">
        <v>4086</v>
      </c>
      <c r="D3277" s="83" t="s">
        <v>4091</v>
      </c>
      <c r="E3277" s="81" t="s">
        <v>121</v>
      </c>
      <c r="F3277" s="81">
        <v>7.0</v>
      </c>
      <c r="G3277" s="81" t="s">
        <v>2</v>
      </c>
      <c r="H3277" s="81" t="s">
        <v>224</v>
      </c>
      <c r="I3277" s="81" t="s">
        <v>50</v>
      </c>
      <c r="J3277" s="81" t="s">
        <v>224</v>
      </c>
      <c r="K3277" s="81" t="str">
        <f>IFERROR(__xludf.DUMMYFUNCTION("IF(OR(D3277="""",G3277=""""),"""",IFERROR(LET(
campo,XLOOKUP(TRIM(G3277),ARRAYFORMULA(TRIM('indice columnas'!$A$2:$A$100)),'indice columnas'!$B$2:$B$100,""""),
col,IFERROR(MATCH(campo,Referencia!$A$1:$AZ$1,0),0),
fila,IFERROR(MATCH(TO_TEXT(D3277),ARRAYFOR"&amp;"MULA(TO_TEXT(Referencia!$A$2:$A6238)),0),0),
IF(OR(campo="""",campo=""-""),""NO APLICA"",
IF(col=0,""REVISAR EQUIVALENCIA"",
IF(fila=0,""SKU NO ENCONTRADO"",
LET(
valor,INDEX(Referencia!$A$2:$AZ6238,fila,col),
IF(TRIM(TO_TEXT(valor))=TRIM(TO_TEXT(I3277)),"&amp;"
""OK"",
""NO COINCIDE. Valor verdadero: ""&amp;IF(valor="""",""[VACÍO]"",TO_TEXT(valor))
)
))))
),""ERROR EN FÓRMULA""))"),"OK")</f>
        <v>OK</v>
      </c>
    </row>
    <row r="3278">
      <c r="A3278" s="83" t="s">
        <v>4896</v>
      </c>
      <c r="B3278" s="83" t="s">
        <v>4897</v>
      </c>
      <c r="C3278" s="81" t="s">
        <v>4086</v>
      </c>
      <c r="D3278" s="83" t="s">
        <v>4091</v>
      </c>
      <c r="E3278" s="81" t="s">
        <v>121</v>
      </c>
      <c r="F3278" s="81">
        <v>7.0</v>
      </c>
      <c r="G3278" s="81" t="s">
        <v>1</v>
      </c>
      <c r="H3278" s="81" t="s">
        <v>224</v>
      </c>
      <c r="I3278" s="81" t="s">
        <v>49</v>
      </c>
      <c r="J3278" s="81" t="s">
        <v>224</v>
      </c>
      <c r="K3278" s="81" t="str">
        <f>IFERROR(__xludf.DUMMYFUNCTION("IF(OR(D3278="""",G3278=""""),"""",IFERROR(LET(
campo,XLOOKUP(TRIM(G3278),ARRAYFORMULA(TRIM('indice columnas'!$A$2:$A$100)),'indice columnas'!$B$2:$B$100,""""),
col,IFERROR(MATCH(campo,Referencia!$A$1:$AZ$1,0),0),
fila,IFERROR(MATCH(TO_TEXT(D3278),ARRAYFOR"&amp;"MULA(TO_TEXT(Referencia!$A$2:$A6238)),0),0),
IF(OR(campo="""",campo=""-""),""NO APLICA"",
IF(col=0,""REVISAR EQUIVALENCIA"",
IF(fila=0,""SKU NO ENCONTRADO"",
LET(
valor,INDEX(Referencia!$A$2:$AZ6238,fila,col),
IF(TRIM(TO_TEXT(valor))=TRIM(TO_TEXT(I3278)),"&amp;"
""OK"",
""NO COINCIDE. Valor verdadero: ""&amp;IF(valor="""",""[VACÍO]"",TO_TEXT(valor))
)
))))
),""ERROR EN FÓRMULA""))"),"OK")</f>
        <v>OK</v>
      </c>
    </row>
    <row r="3279">
      <c r="A3279" s="83" t="s">
        <v>4896</v>
      </c>
      <c r="B3279" s="83" t="s">
        <v>4897</v>
      </c>
      <c r="C3279" s="81" t="s">
        <v>4086</v>
      </c>
      <c r="D3279" s="83" t="s">
        <v>4092</v>
      </c>
      <c r="E3279" s="81" t="s">
        <v>122</v>
      </c>
      <c r="F3279" s="81">
        <v>8.0</v>
      </c>
      <c r="G3279" s="81" t="s">
        <v>3</v>
      </c>
      <c r="H3279" s="81" t="s">
        <v>224</v>
      </c>
      <c r="I3279" s="81" t="s">
        <v>51</v>
      </c>
      <c r="J3279" s="81" t="s">
        <v>224</v>
      </c>
      <c r="K3279" s="81" t="str">
        <f>IFERROR(__xludf.DUMMYFUNCTION("IF(OR(D3279="""",G3279=""""),"""",IFERROR(LET(
campo,XLOOKUP(TRIM(G3279),ARRAYFORMULA(TRIM('indice columnas'!$A$2:$A$100)),'indice columnas'!$B$2:$B$100,""""),
col,IFERROR(MATCH(campo,Referencia!$A$1:$AZ$1,0),0),
fila,IFERROR(MATCH(TO_TEXT(D3279),ARRAYFOR"&amp;"MULA(TO_TEXT(Referencia!$A$2:$A6238)),0),0),
IF(OR(campo="""",campo=""-""),""NO APLICA"",
IF(col=0,""REVISAR EQUIVALENCIA"",
IF(fila=0,""SKU NO ENCONTRADO"",
LET(
valor,INDEX(Referencia!$A$2:$AZ6238,fila,col),
IF(TRIM(TO_TEXT(valor))=TRIM(TO_TEXT(I3279)),"&amp;"
""OK"",
""NO COINCIDE. Valor verdadero: ""&amp;IF(valor="""",""[VACÍO]"",TO_TEXT(valor))
)
))))
),""ERROR EN FÓRMULA""))"),"OK")</f>
        <v>OK</v>
      </c>
    </row>
    <row r="3280">
      <c r="A3280" s="83" t="s">
        <v>4896</v>
      </c>
      <c r="B3280" s="83" t="s">
        <v>4897</v>
      </c>
      <c r="C3280" s="81" t="s">
        <v>4086</v>
      </c>
      <c r="D3280" s="83" t="s">
        <v>4092</v>
      </c>
      <c r="E3280" s="81" t="s">
        <v>122</v>
      </c>
      <c r="F3280" s="81">
        <v>8.0</v>
      </c>
      <c r="G3280" s="81" t="s">
        <v>2</v>
      </c>
      <c r="H3280" s="81" t="s">
        <v>224</v>
      </c>
      <c r="I3280" s="81" t="s">
        <v>50</v>
      </c>
      <c r="J3280" s="81" t="s">
        <v>224</v>
      </c>
      <c r="K3280" s="81" t="str">
        <f>IFERROR(__xludf.DUMMYFUNCTION("IF(OR(D3280="""",G3280=""""),"""",IFERROR(LET(
campo,XLOOKUP(TRIM(G3280),ARRAYFORMULA(TRIM('indice columnas'!$A$2:$A$100)),'indice columnas'!$B$2:$B$100,""""),
col,IFERROR(MATCH(campo,Referencia!$A$1:$AZ$1,0),0),
fila,IFERROR(MATCH(TO_TEXT(D3280),ARRAYFOR"&amp;"MULA(TO_TEXT(Referencia!$A$2:$A6238)),0),0),
IF(OR(campo="""",campo=""-""),""NO APLICA"",
IF(col=0,""REVISAR EQUIVALENCIA"",
IF(fila=0,""SKU NO ENCONTRADO"",
LET(
valor,INDEX(Referencia!$A$2:$AZ6238,fila,col),
IF(TRIM(TO_TEXT(valor))=TRIM(TO_TEXT(I3280)),"&amp;"
""OK"",
""NO COINCIDE. Valor verdadero: ""&amp;IF(valor="""",""[VACÍO]"",TO_TEXT(valor))
)
))))
),""ERROR EN FÓRMULA""))"),"OK")</f>
        <v>OK</v>
      </c>
    </row>
    <row r="3281">
      <c r="A3281" s="83" t="s">
        <v>4896</v>
      </c>
      <c r="B3281" s="83" t="s">
        <v>4897</v>
      </c>
      <c r="C3281" s="81" t="s">
        <v>4086</v>
      </c>
      <c r="D3281" s="83" t="s">
        <v>4092</v>
      </c>
      <c r="E3281" s="81" t="s">
        <v>122</v>
      </c>
      <c r="F3281" s="81">
        <v>8.0</v>
      </c>
      <c r="G3281" s="81" t="s">
        <v>1</v>
      </c>
      <c r="H3281" s="81" t="s">
        <v>224</v>
      </c>
      <c r="I3281" s="81" t="s">
        <v>49</v>
      </c>
      <c r="J3281" s="81" t="s">
        <v>224</v>
      </c>
      <c r="K3281" s="81" t="str">
        <f>IFERROR(__xludf.DUMMYFUNCTION("IF(OR(D3281="""",G3281=""""),"""",IFERROR(LET(
campo,XLOOKUP(TRIM(G3281),ARRAYFORMULA(TRIM('indice columnas'!$A$2:$A$100)),'indice columnas'!$B$2:$B$100,""""),
col,IFERROR(MATCH(campo,Referencia!$A$1:$AZ$1,0),0),
fila,IFERROR(MATCH(TO_TEXT(D3281),ARRAYFOR"&amp;"MULA(TO_TEXT(Referencia!$A$2:$A6238)),0),0),
IF(OR(campo="""",campo=""-""),""NO APLICA"",
IF(col=0,""REVISAR EQUIVALENCIA"",
IF(fila=0,""SKU NO ENCONTRADO"",
LET(
valor,INDEX(Referencia!$A$2:$AZ6238,fila,col),
IF(TRIM(TO_TEXT(valor))=TRIM(TO_TEXT(I3281)),"&amp;"
""OK"",
""NO COINCIDE. Valor verdadero: ""&amp;IF(valor="""",""[VACÍO]"",TO_TEXT(valor))
)
))))
),""ERROR EN FÓRMULA""))"),"OK")</f>
        <v>OK</v>
      </c>
    </row>
    <row r="3282">
      <c r="A3282" s="83" t="s">
        <v>4896</v>
      </c>
      <c r="B3282" s="83" t="s">
        <v>4897</v>
      </c>
      <c r="C3282" s="81" t="s">
        <v>4086</v>
      </c>
      <c r="D3282" s="83" t="s">
        <v>4093</v>
      </c>
      <c r="E3282" s="81" t="s">
        <v>125</v>
      </c>
      <c r="F3282" s="81">
        <v>9.0</v>
      </c>
      <c r="G3282" s="81" t="s">
        <v>2</v>
      </c>
      <c r="H3282" s="81" t="s">
        <v>49</v>
      </c>
      <c r="I3282" s="81" t="s">
        <v>50</v>
      </c>
      <c r="J3282" s="81" t="s">
        <v>224</v>
      </c>
      <c r="K3282" s="81" t="str">
        <f>IFERROR(__xludf.DUMMYFUNCTION("IF(OR(D3282="""",G3282=""""),"""",IFERROR(LET(
campo,XLOOKUP(TRIM(G3282),ARRAYFORMULA(TRIM('indice columnas'!$A$2:$A$100)),'indice columnas'!$B$2:$B$100,""""),
col,IFERROR(MATCH(campo,Referencia!$A$1:$AZ$1,0),0),
fila,IFERROR(MATCH(TO_TEXT(D3282),ARRAYFOR"&amp;"MULA(TO_TEXT(Referencia!$A$2:$A6238)),0),0),
IF(OR(campo="""",campo=""-""),""NO APLICA"",
IF(col=0,""REVISAR EQUIVALENCIA"",
IF(fila=0,""SKU NO ENCONTRADO"",
LET(
valor,INDEX(Referencia!$A$2:$AZ6238,fila,col),
IF(TRIM(TO_TEXT(valor))=TRIM(TO_TEXT(I3282)),"&amp;"
""OK"",
""NO COINCIDE. Valor verdadero: ""&amp;IF(valor="""",""[VACÍO]"",TO_TEXT(valor))
)
))))
),""ERROR EN FÓRMULA""))"),"OK")</f>
        <v>OK</v>
      </c>
    </row>
    <row r="3283">
      <c r="A3283" s="83" t="s">
        <v>4896</v>
      </c>
      <c r="B3283" s="83" t="s">
        <v>4897</v>
      </c>
      <c r="C3283" s="81" t="s">
        <v>4086</v>
      </c>
      <c r="D3283" s="83" t="s">
        <v>4094</v>
      </c>
      <c r="E3283" s="81" t="s">
        <v>154</v>
      </c>
      <c r="F3283" s="81">
        <v>11.0</v>
      </c>
      <c r="G3283" s="81" t="s">
        <v>3</v>
      </c>
      <c r="H3283" s="81" t="s">
        <v>224</v>
      </c>
      <c r="I3283" s="81" t="s">
        <v>51</v>
      </c>
      <c r="J3283" s="81" t="s">
        <v>224</v>
      </c>
      <c r="K3283" s="81" t="str">
        <f>IFERROR(__xludf.DUMMYFUNCTION("IF(OR(D3283="""",G3283=""""),"""",IFERROR(LET(
campo,XLOOKUP(TRIM(G3283),ARRAYFORMULA(TRIM('indice columnas'!$A$2:$A$100)),'indice columnas'!$B$2:$B$100,""""),
col,IFERROR(MATCH(campo,Referencia!$A$1:$AZ$1,0),0),
fila,IFERROR(MATCH(TO_TEXT(D3283),ARRAYFOR"&amp;"MULA(TO_TEXT(Referencia!$A$2:$A6238)),0),0),
IF(OR(campo="""",campo=""-""),""NO APLICA"",
IF(col=0,""REVISAR EQUIVALENCIA"",
IF(fila=0,""SKU NO ENCONTRADO"",
LET(
valor,INDEX(Referencia!$A$2:$AZ6238,fila,col),
IF(TRIM(TO_TEXT(valor))=TRIM(TO_TEXT(I3283)),"&amp;"
""OK"",
""NO COINCIDE. Valor verdadero: ""&amp;IF(valor="""",""[VACÍO]"",TO_TEXT(valor))
)
))))
),""ERROR EN FÓRMULA""))"),"OK")</f>
        <v>OK</v>
      </c>
    </row>
    <row r="3284">
      <c r="A3284" s="83" t="s">
        <v>4896</v>
      </c>
      <c r="B3284" s="83" t="s">
        <v>4897</v>
      </c>
      <c r="C3284" s="81" t="s">
        <v>4086</v>
      </c>
      <c r="D3284" s="83" t="s">
        <v>4094</v>
      </c>
      <c r="E3284" s="81" t="s">
        <v>154</v>
      </c>
      <c r="F3284" s="81">
        <v>11.0</v>
      </c>
      <c r="G3284" s="81" t="s">
        <v>2</v>
      </c>
      <c r="H3284" s="81" t="s">
        <v>224</v>
      </c>
      <c r="I3284" s="81" t="s">
        <v>50</v>
      </c>
      <c r="J3284" s="81" t="s">
        <v>224</v>
      </c>
      <c r="K3284" s="81" t="str">
        <f>IFERROR(__xludf.DUMMYFUNCTION("IF(OR(D3284="""",G3284=""""),"""",IFERROR(LET(
campo,XLOOKUP(TRIM(G3284),ARRAYFORMULA(TRIM('indice columnas'!$A$2:$A$100)),'indice columnas'!$B$2:$B$100,""""),
col,IFERROR(MATCH(campo,Referencia!$A$1:$AZ$1,0),0),
fila,IFERROR(MATCH(TO_TEXT(D3284),ARRAYFOR"&amp;"MULA(TO_TEXT(Referencia!$A$2:$A6238)),0),0),
IF(OR(campo="""",campo=""-""),""NO APLICA"",
IF(col=0,""REVISAR EQUIVALENCIA"",
IF(fila=0,""SKU NO ENCONTRADO"",
LET(
valor,INDEX(Referencia!$A$2:$AZ6238,fila,col),
IF(TRIM(TO_TEXT(valor))=TRIM(TO_TEXT(I3284)),"&amp;"
""OK"",
""NO COINCIDE. Valor verdadero: ""&amp;IF(valor="""",""[VACÍO]"",TO_TEXT(valor))
)
))))
),""ERROR EN FÓRMULA""))"),"OK")</f>
        <v>OK</v>
      </c>
    </row>
    <row r="3285">
      <c r="A3285" s="83" t="s">
        <v>4896</v>
      </c>
      <c r="B3285" s="83" t="s">
        <v>4897</v>
      </c>
      <c r="C3285" s="81" t="s">
        <v>4086</v>
      </c>
      <c r="D3285" s="83" t="s">
        <v>4094</v>
      </c>
      <c r="E3285" s="81" t="s">
        <v>154</v>
      </c>
      <c r="F3285" s="81">
        <v>11.0</v>
      </c>
      <c r="G3285" s="81" t="s">
        <v>1</v>
      </c>
      <c r="H3285" s="81" t="s">
        <v>224</v>
      </c>
      <c r="I3285" s="81" t="s">
        <v>49</v>
      </c>
      <c r="J3285" s="81" t="s">
        <v>224</v>
      </c>
      <c r="K3285" s="81" t="str">
        <f>IFERROR(__xludf.DUMMYFUNCTION("IF(OR(D3285="""",G3285=""""),"""",IFERROR(LET(
campo,XLOOKUP(TRIM(G3285),ARRAYFORMULA(TRIM('indice columnas'!$A$2:$A$100)),'indice columnas'!$B$2:$B$100,""""),
col,IFERROR(MATCH(campo,Referencia!$A$1:$AZ$1,0),0),
fila,IFERROR(MATCH(TO_TEXT(D3285),ARRAYFOR"&amp;"MULA(TO_TEXT(Referencia!$A$2:$A6238)),0),0),
IF(OR(campo="""",campo=""-""),""NO APLICA"",
IF(col=0,""REVISAR EQUIVALENCIA"",
IF(fila=0,""SKU NO ENCONTRADO"",
LET(
valor,INDEX(Referencia!$A$2:$AZ6238,fila,col),
IF(TRIM(TO_TEXT(valor))=TRIM(TO_TEXT(I3285)),"&amp;"
""OK"",
""NO COINCIDE. Valor verdadero: ""&amp;IF(valor="""",""[VACÍO]"",TO_TEXT(valor))
)
))))
),""ERROR EN FÓRMULA""))"),"OK")</f>
        <v>OK</v>
      </c>
    </row>
    <row r="3286">
      <c r="A3286" s="83" t="s">
        <v>4896</v>
      </c>
      <c r="B3286" s="83" t="s">
        <v>4897</v>
      </c>
      <c r="C3286" s="81" t="s">
        <v>4086</v>
      </c>
      <c r="D3286" s="83" t="s">
        <v>4095</v>
      </c>
      <c r="E3286" s="81" t="s">
        <v>155</v>
      </c>
      <c r="F3286" s="81">
        <v>12.0</v>
      </c>
      <c r="G3286" s="81" t="s">
        <v>3</v>
      </c>
      <c r="H3286" s="81" t="s">
        <v>224</v>
      </c>
      <c r="I3286" s="81" t="s">
        <v>51</v>
      </c>
      <c r="J3286" s="81" t="s">
        <v>224</v>
      </c>
      <c r="K3286" s="81" t="str">
        <f>IFERROR(__xludf.DUMMYFUNCTION("IF(OR(D3286="""",G3286=""""),"""",IFERROR(LET(
campo,XLOOKUP(TRIM(G3286),ARRAYFORMULA(TRIM('indice columnas'!$A$2:$A$100)),'indice columnas'!$B$2:$B$100,""""),
col,IFERROR(MATCH(campo,Referencia!$A$1:$AZ$1,0),0),
fila,IFERROR(MATCH(TO_TEXT(D3286),ARRAYFOR"&amp;"MULA(TO_TEXT(Referencia!$A$2:$A6238)),0),0),
IF(OR(campo="""",campo=""-""),""NO APLICA"",
IF(col=0,""REVISAR EQUIVALENCIA"",
IF(fila=0,""SKU NO ENCONTRADO"",
LET(
valor,INDEX(Referencia!$A$2:$AZ6238,fila,col),
IF(TRIM(TO_TEXT(valor))=TRIM(TO_TEXT(I3286)),"&amp;"
""OK"",
""NO COINCIDE. Valor verdadero: ""&amp;IF(valor="""",""[VACÍO]"",TO_TEXT(valor))
)
))))
),""ERROR EN FÓRMULA""))"),"OK")</f>
        <v>OK</v>
      </c>
    </row>
    <row r="3287">
      <c r="A3287" s="83" t="s">
        <v>4896</v>
      </c>
      <c r="B3287" s="83" t="s">
        <v>4897</v>
      </c>
      <c r="C3287" s="81" t="s">
        <v>4086</v>
      </c>
      <c r="D3287" s="83" t="s">
        <v>4095</v>
      </c>
      <c r="E3287" s="81" t="s">
        <v>155</v>
      </c>
      <c r="F3287" s="81">
        <v>12.0</v>
      </c>
      <c r="G3287" s="81" t="s">
        <v>2</v>
      </c>
      <c r="H3287" s="81" t="s">
        <v>224</v>
      </c>
      <c r="I3287" s="81" t="s">
        <v>50</v>
      </c>
      <c r="J3287" s="81" t="s">
        <v>224</v>
      </c>
      <c r="K3287" s="81" t="str">
        <f>IFERROR(__xludf.DUMMYFUNCTION("IF(OR(D3287="""",G3287=""""),"""",IFERROR(LET(
campo,XLOOKUP(TRIM(G3287),ARRAYFORMULA(TRIM('indice columnas'!$A$2:$A$100)),'indice columnas'!$B$2:$B$100,""""),
col,IFERROR(MATCH(campo,Referencia!$A$1:$AZ$1,0),0),
fila,IFERROR(MATCH(TO_TEXT(D3287),ARRAYFOR"&amp;"MULA(TO_TEXT(Referencia!$A$2:$A6238)),0),0),
IF(OR(campo="""",campo=""-""),""NO APLICA"",
IF(col=0,""REVISAR EQUIVALENCIA"",
IF(fila=0,""SKU NO ENCONTRADO"",
LET(
valor,INDEX(Referencia!$A$2:$AZ6238,fila,col),
IF(TRIM(TO_TEXT(valor))=TRIM(TO_TEXT(I3287)),"&amp;"
""OK"",
""NO COINCIDE. Valor verdadero: ""&amp;IF(valor="""",""[VACÍO]"",TO_TEXT(valor))
)
))))
),""ERROR EN FÓRMULA""))"),"OK")</f>
        <v>OK</v>
      </c>
    </row>
    <row r="3288">
      <c r="A3288" s="83" t="s">
        <v>4896</v>
      </c>
      <c r="B3288" s="83" t="s">
        <v>4897</v>
      </c>
      <c r="C3288" s="81" t="s">
        <v>4086</v>
      </c>
      <c r="D3288" s="83" t="s">
        <v>4095</v>
      </c>
      <c r="E3288" s="81" t="s">
        <v>155</v>
      </c>
      <c r="F3288" s="81">
        <v>12.0</v>
      </c>
      <c r="G3288" s="81" t="s">
        <v>1</v>
      </c>
      <c r="H3288" s="81" t="s">
        <v>224</v>
      </c>
      <c r="I3288" s="81" t="s">
        <v>49</v>
      </c>
      <c r="J3288" s="81" t="s">
        <v>224</v>
      </c>
      <c r="K3288" s="81" t="str">
        <f>IFERROR(__xludf.DUMMYFUNCTION("IF(OR(D3288="""",G3288=""""),"""",IFERROR(LET(
campo,XLOOKUP(TRIM(G3288),ARRAYFORMULA(TRIM('indice columnas'!$A$2:$A$100)),'indice columnas'!$B$2:$B$100,""""),
col,IFERROR(MATCH(campo,Referencia!$A$1:$AZ$1,0),0),
fila,IFERROR(MATCH(TO_TEXT(D3288),ARRAYFOR"&amp;"MULA(TO_TEXT(Referencia!$A$2:$A6238)),0),0),
IF(OR(campo="""",campo=""-""),""NO APLICA"",
IF(col=0,""REVISAR EQUIVALENCIA"",
IF(fila=0,""SKU NO ENCONTRADO"",
LET(
valor,INDEX(Referencia!$A$2:$AZ6238,fila,col),
IF(TRIM(TO_TEXT(valor))=TRIM(TO_TEXT(I3288)),"&amp;"
""OK"",
""NO COINCIDE. Valor verdadero: ""&amp;IF(valor="""",""[VACÍO]"",TO_TEXT(valor))
)
))))
),""ERROR EN FÓRMULA""))"),"OK")</f>
        <v>OK</v>
      </c>
    </row>
    <row r="3289">
      <c r="A3289" s="83" t="s">
        <v>4896</v>
      </c>
      <c r="B3289" s="83" t="s">
        <v>4897</v>
      </c>
      <c r="C3289" s="81" t="s">
        <v>4086</v>
      </c>
      <c r="D3289" s="83" t="s">
        <v>4096</v>
      </c>
      <c r="E3289" s="81" t="s">
        <v>170</v>
      </c>
      <c r="F3289" s="81">
        <v>14.0</v>
      </c>
      <c r="G3289" s="81" t="s">
        <v>3</v>
      </c>
      <c r="H3289" s="81" t="s">
        <v>224</v>
      </c>
      <c r="I3289" s="81" t="s">
        <v>51</v>
      </c>
      <c r="J3289" s="81" t="s">
        <v>224</v>
      </c>
      <c r="K3289" s="81" t="str">
        <f>IFERROR(__xludf.DUMMYFUNCTION("IF(OR(D3289="""",G3289=""""),"""",IFERROR(LET(
campo,XLOOKUP(TRIM(G3289),ARRAYFORMULA(TRIM('indice columnas'!$A$2:$A$100)),'indice columnas'!$B$2:$B$100,""""),
col,IFERROR(MATCH(campo,Referencia!$A$1:$AZ$1,0),0),
fila,IFERROR(MATCH(TO_TEXT(D3289),ARRAYFOR"&amp;"MULA(TO_TEXT(Referencia!$A$2:$A6238)),0),0),
IF(OR(campo="""",campo=""-""),""NO APLICA"",
IF(col=0,""REVISAR EQUIVALENCIA"",
IF(fila=0,""SKU NO ENCONTRADO"",
LET(
valor,INDEX(Referencia!$A$2:$AZ6238,fila,col),
IF(TRIM(TO_TEXT(valor))=TRIM(TO_TEXT(I3289)),"&amp;"
""OK"",
""NO COINCIDE. Valor verdadero: ""&amp;IF(valor="""",""[VACÍO]"",TO_TEXT(valor))
)
))))
),""ERROR EN FÓRMULA""))"),"OK")</f>
        <v>OK</v>
      </c>
    </row>
    <row r="3290">
      <c r="A3290" s="83" t="s">
        <v>4896</v>
      </c>
      <c r="B3290" s="83" t="s">
        <v>4897</v>
      </c>
      <c r="C3290" s="81" t="s">
        <v>4086</v>
      </c>
      <c r="D3290" s="83" t="s">
        <v>4096</v>
      </c>
      <c r="E3290" s="81" t="s">
        <v>170</v>
      </c>
      <c r="F3290" s="81">
        <v>14.0</v>
      </c>
      <c r="G3290" s="81" t="s">
        <v>2</v>
      </c>
      <c r="H3290" s="81" t="s">
        <v>224</v>
      </c>
      <c r="I3290" s="81" t="s">
        <v>50</v>
      </c>
      <c r="J3290" s="81" t="s">
        <v>224</v>
      </c>
      <c r="K3290" s="81" t="str">
        <f>IFERROR(__xludf.DUMMYFUNCTION("IF(OR(D3290="""",G3290=""""),"""",IFERROR(LET(
campo,XLOOKUP(TRIM(G3290),ARRAYFORMULA(TRIM('indice columnas'!$A$2:$A$100)),'indice columnas'!$B$2:$B$100,""""),
col,IFERROR(MATCH(campo,Referencia!$A$1:$AZ$1,0),0),
fila,IFERROR(MATCH(TO_TEXT(D3290),ARRAYFOR"&amp;"MULA(TO_TEXT(Referencia!$A$2:$A6238)),0),0),
IF(OR(campo="""",campo=""-""),""NO APLICA"",
IF(col=0,""REVISAR EQUIVALENCIA"",
IF(fila=0,""SKU NO ENCONTRADO"",
LET(
valor,INDEX(Referencia!$A$2:$AZ6238,fila,col),
IF(TRIM(TO_TEXT(valor))=TRIM(TO_TEXT(I3290)),"&amp;"
""OK"",
""NO COINCIDE. Valor verdadero: ""&amp;IF(valor="""",""[VACÍO]"",TO_TEXT(valor))
)
))))
),""ERROR EN FÓRMULA""))"),"OK")</f>
        <v>OK</v>
      </c>
    </row>
    <row r="3291">
      <c r="A3291" s="83" t="s">
        <v>4896</v>
      </c>
      <c r="B3291" s="83" t="s">
        <v>4897</v>
      </c>
      <c r="C3291" s="81" t="s">
        <v>4086</v>
      </c>
      <c r="D3291" s="83" t="s">
        <v>4096</v>
      </c>
      <c r="E3291" s="81" t="s">
        <v>170</v>
      </c>
      <c r="F3291" s="81">
        <v>14.0</v>
      </c>
      <c r="G3291" s="81" t="s">
        <v>1</v>
      </c>
      <c r="H3291" s="81" t="s">
        <v>224</v>
      </c>
      <c r="I3291" s="81" t="s">
        <v>49</v>
      </c>
      <c r="J3291" s="81" t="s">
        <v>224</v>
      </c>
      <c r="K3291" s="81" t="str">
        <f>IFERROR(__xludf.DUMMYFUNCTION("IF(OR(D3291="""",G3291=""""),"""",IFERROR(LET(
campo,XLOOKUP(TRIM(G3291),ARRAYFORMULA(TRIM('indice columnas'!$A$2:$A$100)),'indice columnas'!$B$2:$B$100,""""),
col,IFERROR(MATCH(campo,Referencia!$A$1:$AZ$1,0),0),
fila,IFERROR(MATCH(TO_TEXT(D3291),ARRAYFOR"&amp;"MULA(TO_TEXT(Referencia!$A$2:$A6238)),0),0),
IF(OR(campo="""",campo=""-""),""NO APLICA"",
IF(col=0,""REVISAR EQUIVALENCIA"",
IF(fila=0,""SKU NO ENCONTRADO"",
LET(
valor,INDEX(Referencia!$A$2:$AZ6238,fila,col),
IF(TRIM(TO_TEXT(valor))=TRIM(TO_TEXT(I3291)),"&amp;"
""OK"",
""NO COINCIDE. Valor verdadero: ""&amp;IF(valor="""",""[VACÍO]"",TO_TEXT(valor))
)
))))
),""ERROR EN FÓRMULA""))"),"OK")</f>
        <v>OK</v>
      </c>
    </row>
    <row r="3292">
      <c r="A3292" s="83" t="s">
        <v>4896</v>
      </c>
      <c r="B3292" s="83" t="s">
        <v>4897</v>
      </c>
      <c r="C3292" s="81" t="s">
        <v>4086</v>
      </c>
      <c r="D3292" s="83" t="s">
        <v>4097</v>
      </c>
      <c r="E3292" s="81" t="s">
        <v>172</v>
      </c>
      <c r="F3292" s="81">
        <v>15.0</v>
      </c>
      <c r="G3292" s="81" t="s">
        <v>3</v>
      </c>
      <c r="H3292" s="81" t="s">
        <v>224</v>
      </c>
      <c r="I3292" s="81" t="s">
        <v>51</v>
      </c>
      <c r="J3292" s="81" t="s">
        <v>224</v>
      </c>
      <c r="K3292" s="81" t="str">
        <f>IFERROR(__xludf.DUMMYFUNCTION("IF(OR(D3292="""",G3292=""""),"""",IFERROR(LET(
campo,XLOOKUP(TRIM(G3292),ARRAYFORMULA(TRIM('indice columnas'!$A$2:$A$100)),'indice columnas'!$B$2:$B$100,""""),
col,IFERROR(MATCH(campo,Referencia!$A$1:$AZ$1,0),0),
fila,IFERROR(MATCH(TO_TEXT(D3292),ARRAYFOR"&amp;"MULA(TO_TEXT(Referencia!$A$2:$A6238)),0),0),
IF(OR(campo="""",campo=""-""),""NO APLICA"",
IF(col=0,""REVISAR EQUIVALENCIA"",
IF(fila=0,""SKU NO ENCONTRADO"",
LET(
valor,INDEX(Referencia!$A$2:$AZ6238,fila,col),
IF(TRIM(TO_TEXT(valor))=TRIM(TO_TEXT(I3292)),"&amp;"
""OK"",
""NO COINCIDE. Valor verdadero: ""&amp;IF(valor="""",""[VACÍO]"",TO_TEXT(valor))
)
))))
),""ERROR EN FÓRMULA""))"),"OK")</f>
        <v>OK</v>
      </c>
    </row>
    <row r="3293">
      <c r="A3293" s="83" t="s">
        <v>4896</v>
      </c>
      <c r="B3293" s="83" t="s">
        <v>4897</v>
      </c>
      <c r="C3293" s="81" t="s">
        <v>4086</v>
      </c>
      <c r="D3293" s="83" t="s">
        <v>4097</v>
      </c>
      <c r="E3293" s="81" t="s">
        <v>172</v>
      </c>
      <c r="F3293" s="81">
        <v>15.0</v>
      </c>
      <c r="G3293" s="81" t="s">
        <v>2</v>
      </c>
      <c r="H3293" s="81" t="s">
        <v>224</v>
      </c>
      <c r="I3293" s="81" t="s">
        <v>50</v>
      </c>
      <c r="J3293" s="81" t="s">
        <v>224</v>
      </c>
      <c r="K3293" s="81" t="str">
        <f>IFERROR(__xludf.DUMMYFUNCTION("IF(OR(D3293="""",G3293=""""),"""",IFERROR(LET(
campo,XLOOKUP(TRIM(G3293),ARRAYFORMULA(TRIM('indice columnas'!$A$2:$A$100)),'indice columnas'!$B$2:$B$100,""""),
col,IFERROR(MATCH(campo,Referencia!$A$1:$AZ$1,0),0),
fila,IFERROR(MATCH(TO_TEXT(D3293),ARRAYFOR"&amp;"MULA(TO_TEXT(Referencia!$A$2:$A6238)),0),0),
IF(OR(campo="""",campo=""-""),""NO APLICA"",
IF(col=0,""REVISAR EQUIVALENCIA"",
IF(fila=0,""SKU NO ENCONTRADO"",
LET(
valor,INDEX(Referencia!$A$2:$AZ6238,fila,col),
IF(TRIM(TO_TEXT(valor))=TRIM(TO_TEXT(I3293)),"&amp;"
""OK"",
""NO COINCIDE. Valor verdadero: ""&amp;IF(valor="""",""[VACÍO]"",TO_TEXT(valor))
)
))))
),""ERROR EN FÓRMULA""))"),"OK")</f>
        <v>OK</v>
      </c>
    </row>
    <row r="3294">
      <c r="A3294" s="83" t="s">
        <v>4896</v>
      </c>
      <c r="B3294" s="83" t="s">
        <v>4897</v>
      </c>
      <c r="C3294" s="81" t="s">
        <v>4086</v>
      </c>
      <c r="D3294" s="83" t="s">
        <v>4097</v>
      </c>
      <c r="E3294" s="81" t="s">
        <v>172</v>
      </c>
      <c r="F3294" s="81">
        <v>15.0</v>
      </c>
      <c r="G3294" s="81" t="s">
        <v>1</v>
      </c>
      <c r="H3294" s="81" t="s">
        <v>224</v>
      </c>
      <c r="I3294" s="81" t="s">
        <v>49</v>
      </c>
      <c r="J3294" s="81" t="s">
        <v>224</v>
      </c>
      <c r="K3294" s="81" t="str">
        <f>IFERROR(__xludf.DUMMYFUNCTION("IF(OR(D3294="""",G3294=""""),"""",IFERROR(LET(
campo,XLOOKUP(TRIM(G3294),ARRAYFORMULA(TRIM('indice columnas'!$A$2:$A$100)),'indice columnas'!$B$2:$B$100,""""),
col,IFERROR(MATCH(campo,Referencia!$A$1:$AZ$1,0),0),
fila,IFERROR(MATCH(TO_TEXT(D3294),ARRAYFOR"&amp;"MULA(TO_TEXT(Referencia!$A$2:$A6238)),0),0),
IF(OR(campo="""",campo=""-""),""NO APLICA"",
IF(col=0,""REVISAR EQUIVALENCIA"",
IF(fila=0,""SKU NO ENCONTRADO"",
LET(
valor,INDEX(Referencia!$A$2:$AZ6238,fila,col),
IF(TRIM(TO_TEXT(valor))=TRIM(TO_TEXT(I3294)),"&amp;"
""OK"",
""NO COINCIDE. Valor verdadero: ""&amp;IF(valor="""",""[VACÍO]"",TO_TEXT(valor))
)
))))
),""ERROR EN FÓRMULA""))"),"OK")</f>
        <v>OK</v>
      </c>
    </row>
    <row r="3295">
      <c r="A3295" s="83" t="s">
        <v>4896</v>
      </c>
      <c r="B3295" s="83" t="s">
        <v>4897</v>
      </c>
      <c r="C3295" s="81" t="s">
        <v>4086</v>
      </c>
      <c r="D3295" s="83" t="s">
        <v>4104</v>
      </c>
      <c r="E3295" s="81" t="s">
        <v>241</v>
      </c>
      <c r="F3295" s="81">
        <v>22.0</v>
      </c>
      <c r="G3295" s="81" t="s">
        <v>3</v>
      </c>
      <c r="H3295" s="81" t="s">
        <v>224</v>
      </c>
      <c r="I3295" s="81" t="s">
        <v>51</v>
      </c>
      <c r="J3295" s="81" t="s">
        <v>224</v>
      </c>
      <c r="K3295" s="81" t="str">
        <f>IFERROR(__xludf.DUMMYFUNCTION("IF(OR(D3295="""",G3295=""""),"""",IFERROR(LET(
campo,XLOOKUP(TRIM(G3295),ARRAYFORMULA(TRIM('indice columnas'!$A$2:$A$100)),'indice columnas'!$B$2:$B$100,""""),
col,IFERROR(MATCH(campo,Referencia!$A$1:$AZ$1,0),0),
fila,IFERROR(MATCH(TO_TEXT(D3295),ARRAYFOR"&amp;"MULA(TO_TEXT(Referencia!$A$2:$A6238)),0),0),
IF(OR(campo="""",campo=""-""),""NO APLICA"",
IF(col=0,""REVISAR EQUIVALENCIA"",
IF(fila=0,""SKU NO ENCONTRADO"",
LET(
valor,INDEX(Referencia!$A$2:$AZ6238,fila,col),
IF(TRIM(TO_TEXT(valor))=TRIM(TO_TEXT(I3295)),"&amp;"
""OK"",
""NO COINCIDE. Valor verdadero: ""&amp;IF(valor="""",""[VACÍO]"",TO_TEXT(valor))
)
))))
),""ERROR EN FÓRMULA""))"),"OK")</f>
        <v>OK</v>
      </c>
    </row>
    <row r="3296">
      <c r="A3296" s="83" t="s">
        <v>4896</v>
      </c>
      <c r="B3296" s="83" t="s">
        <v>4897</v>
      </c>
      <c r="C3296" s="81" t="s">
        <v>4086</v>
      </c>
      <c r="D3296" s="83" t="s">
        <v>4104</v>
      </c>
      <c r="E3296" s="81" t="s">
        <v>241</v>
      </c>
      <c r="F3296" s="81">
        <v>22.0</v>
      </c>
      <c r="G3296" s="81" t="s">
        <v>2</v>
      </c>
      <c r="H3296" s="81" t="s">
        <v>224</v>
      </c>
      <c r="I3296" s="81" t="s">
        <v>213</v>
      </c>
      <c r="J3296" s="81" t="s">
        <v>224</v>
      </c>
      <c r="K3296" s="81" t="str">
        <f>IFERROR(__xludf.DUMMYFUNCTION("IF(OR(D3296="""",G3296=""""),"""",IFERROR(LET(
campo,XLOOKUP(TRIM(G3296),ARRAYFORMULA(TRIM('indice columnas'!$A$2:$A$100)),'indice columnas'!$B$2:$B$100,""""),
col,IFERROR(MATCH(campo,Referencia!$A$1:$AZ$1,0),0),
fila,IFERROR(MATCH(TO_TEXT(D3296),ARRAYFOR"&amp;"MULA(TO_TEXT(Referencia!$A$2:$A6238)),0),0),
IF(OR(campo="""",campo=""-""),""NO APLICA"",
IF(col=0,""REVISAR EQUIVALENCIA"",
IF(fila=0,""SKU NO ENCONTRADO"",
LET(
valor,INDEX(Referencia!$A$2:$AZ6238,fila,col),
IF(TRIM(TO_TEXT(valor))=TRIM(TO_TEXT(I3296)),"&amp;"
""OK"",
""NO COINCIDE. Valor verdadero: ""&amp;IF(valor="""",""[VACÍO]"",TO_TEXT(valor))
)
))))
),""ERROR EN FÓRMULA""))"),"OK")</f>
        <v>OK</v>
      </c>
    </row>
    <row r="3297">
      <c r="A3297" s="83" t="s">
        <v>4896</v>
      </c>
      <c r="B3297" s="83" t="s">
        <v>4897</v>
      </c>
      <c r="C3297" s="81" t="s">
        <v>4086</v>
      </c>
      <c r="D3297" s="83" t="s">
        <v>4104</v>
      </c>
      <c r="E3297" s="81" t="s">
        <v>241</v>
      </c>
      <c r="F3297" s="81">
        <v>22.0</v>
      </c>
      <c r="G3297" s="81" t="s">
        <v>1</v>
      </c>
      <c r="H3297" s="81" t="s">
        <v>224</v>
      </c>
      <c r="I3297" s="81" t="s">
        <v>49</v>
      </c>
      <c r="J3297" s="81" t="s">
        <v>224</v>
      </c>
      <c r="K3297" s="81" t="str">
        <f>IFERROR(__xludf.DUMMYFUNCTION("IF(OR(D3297="""",G3297=""""),"""",IFERROR(LET(
campo,XLOOKUP(TRIM(G3297),ARRAYFORMULA(TRIM('indice columnas'!$A$2:$A$100)),'indice columnas'!$B$2:$B$100,""""),
col,IFERROR(MATCH(campo,Referencia!$A$1:$AZ$1,0),0),
fila,IFERROR(MATCH(TO_TEXT(D3297),ARRAYFOR"&amp;"MULA(TO_TEXT(Referencia!$A$2:$A6238)),0),0),
IF(OR(campo="""",campo=""-""),""NO APLICA"",
IF(col=0,""REVISAR EQUIVALENCIA"",
IF(fila=0,""SKU NO ENCONTRADO"",
LET(
valor,INDEX(Referencia!$A$2:$AZ6238,fila,col),
IF(TRIM(TO_TEXT(valor))=TRIM(TO_TEXT(I3297)),"&amp;"
""OK"",
""NO COINCIDE. Valor verdadero: ""&amp;IF(valor="""",""[VACÍO]"",TO_TEXT(valor))
)
))))
),""ERROR EN FÓRMULA""))"),"OK")</f>
        <v>OK</v>
      </c>
    </row>
    <row r="3298">
      <c r="A3298" s="83" t="s">
        <v>4896</v>
      </c>
      <c r="B3298" s="83" t="s">
        <v>4897</v>
      </c>
      <c r="C3298" s="81" t="s">
        <v>4086</v>
      </c>
      <c r="D3298" s="83" t="s">
        <v>4105</v>
      </c>
      <c r="E3298" s="81" t="s">
        <v>244</v>
      </c>
      <c r="F3298" s="81">
        <v>23.0</v>
      </c>
      <c r="G3298" s="81" t="s">
        <v>3</v>
      </c>
      <c r="H3298" s="81" t="s">
        <v>224</v>
      </c>
      <c r="I3298" s="81" t="s">
        <v>51</v>
      </c>
      <c r="J3298" s="81" t="s">
        <v>224</v>
      </c>
      <c r="K3298" s="81" t="str">
        <f>IFERROR(__xludf.DUMMYFUNCTION("IF(OR(D3298="""",G3298=""""),"""",IFERROR(LET(
campo,XLOOKUP(TRIM(G3298),ARRAYFORMULA(TRIM('indice columnas'!$A$2:$A$100)),'indice columnas'!$B$2:$B$100,""""),
col,IFERROR(MATCH(campo,Referencia!$A$1:$AZ$1,0),0),
fila,IFERROR(MATCH(TO_TEXT(D3298),ARRAYFOR"&amp;"MULA(TO_TEXT(Referencia!$A$2:$A6238)),0),0),
IF(OR(campo="""",campo=""-""),""NO APLICA"",
IF(col=0,""REVISAR EQUIVALENCIA"",
IF(fila=0,""SKU NO ENCONTRADO"",
LET(
valor,INDEX(Referencia!$A$2:$AZ6238,fila,col),
IF(TRIM(TO_TEXT(valor))=TRIM(TO_TEXT(I3298)),"&amp;"
""OK"",
""NO COINCIDE. Valor verdadero: ""&amp;IF(valor="""",""[VACÍO]"",TO_TEXT(valor))
)
))))
),""ERROR EN FÓRMULA""))"),"OK")</f>
        <v>OK</v>
      </c>
    </row>
    <row r="3299">
      <c r="A3299" s="83" t="s">
        <v>4896</v>
      </c>
      <c r="B3299" s="83" t="s">
        <v>4897</v>
      </c>
      <c r="C3299" s="81" t="s">
        <v>4086</v>
      </c>
      <c r="D3299" s="83" t="s">
        <v>4105</v>
      </c>
      <c r="E3299" s="81" t="s">
        <v>244</v>
      </c>
      <c r="F3299" s="81">
        <v>23.0</v>
      </c>
      <c r="G3299" s="81" t="s">
        <v>2</v>
      </c>
      <c r="H3299" s="81" t="s">
        <v>224</v>
      </c>
      <c r="I3299" s="81" t="s">
        <v>213</v>
      </c>
      <c r="J3299" s="81" t="s">
        <v>224</v>
      </c>
      <c r="K3299" s="81" t="str">
        <f>IFERROR(__xludf.DUMMYFUNCTION("IF(OR(D3299="""",G3299=""""),"""",IFERROR(LET(
campo,XLOOKUP(TRIM(G3299),ARRAYFORMULA(TRIM('indice columnas'!$A$2:$A$100)),'indice columnas'!$B$2:$B$100,""""),
col,IFERROR(MATCH(campo,Referencia!$A$1:$AZ$1,0),0),
fila,IFERROR(MATCH(TO_TEXT(D3299),ARRAYFOR"&amp;"MULA(TO_TEXT(Referencia!$A$2:$A6238)),0),0),
IF(OR(campo="""",campo=""-""),""NO APLICA"",
IF(col=0,""REVISAR EQUIVALENCIA"",
IF(fila=0,""SKU NO ENCONTRADO"",
LET(
valor,INDEX(Referencia!$A$2:$AZ6238,fila,col),
IF(TRIM(TO_TEXT(valor))=TRIM(TO_TEXT(I3299)),"&amp;"
""OK"",
""NO COINCIDE. Valor verdadero: ""&amp;IF(valor="""",""[VACÍO]"",TO_TEXT(valor))
)
))))
),""ERROR EN FÓRMULA""))"),"OK")</f>
        <v>OK</v>
      </c>
    </row>
    <row r="3300">
      <c r="A3300" s="83" t="s">
        <v>4896</v>
      </c>
      <c r="B3300" s="83" t="s">
        <v>4897</v>
      </c>
      <c r="C3300" s="81" t="s">
        <v>4086</v>
      </c>
      <c r="D3300" s="83" t="s">
        <v>4105</v>
      </c>
      <c r="E3300" s="81" t="s">
        <v>244</v>
      </c>
      <c r="F3300" s="81">
        <v>23.0</v>
      </c>
      <c r="G3300" s="81" t="s">
        <v>1</v>
      </c>
      <c r="H3300" s="81" t="s">
        <v>224</v>
      </c>
      <c r="I3300" s="81" t="s">
        <v>49</v>
      </c>
      <c r="J3300" s="81" t="s">
        <v>224</v>
      </c>
      <c r="K3300" s="81" t="str">
        <f>IFERROR(__xludf.DUMMYFUNCTION("IF(OR(D3300="""",G3300=""""),"""",IFERROR(LET(
campo,XLOOKUP(TRIM(G3300),ARRAYFORMULA(TRIM('indice columnas'!$A$2:$A$100)),'indice columnas'!$B$2:$B$100,""""),
col,IFERROR(MATCH(campo,Referencia!$A$1:$AZ$1,0),0),
fila,IFERROR(MATCH(TO_TEXT(D3300),ARRAYFOR"&amp;"MULA(TO_TEXT(Referencia!$A$2:$A6238)),0),0),
IF(OR(campo="""",campo=""-""),""NO APLICA"",
IF(col=0,""REVISAR EQUIVALENCIA"",
IF(fila=0,""SKU NO ENCONTRADO"",
LET(
valor,INDEX(Referencia!$A$2:$AZ6238,fila,col),
IF(TRIM(TO_TEXT(valor))=TRIM(TO_TEXT(I3300)),"&amp;"
""OK"",
""NO COINCIDE. Valor verdadero: ""&amp;IF(valor="""",""[VACÍO]"",TO_TEXT(valor))
)
))))
),""ERROR EN FÓRMULA""))"),"OK")</f>
        <v>OK</v>
      </c>
    </row>
    <row r="3301">
      <c r="A3301" s="83" t="s">
        <v>4896</v>
      </c>
      <c r="B3301" s="83" t="s">
        <v>4897</v>
      </c>
      <c r="C3301" s="81" t="s">
        <v>4086</v>
      </c>
      <c r="D3301" s="83" t="s">
        <v>4106</v>
      </c>
      <c r="E3301" s="81" t="s">
        <v>251</v>
      </c>
      <c r="F3301" s="81">
        <v>24.0</v>
      </c>
      <c r="G3301" s="81" t="s">
        <v>3</v>
      </c>
      <c r="H3301" s="81" t="s">
        <v>224</v>
      </c>
      <c r="I3301" s="81" t="s">
        <v>51</v>
      </c>
      <c r="J3301" s="81" t="s">
        <v>224</v>
      </c>
      <c r="K3301" s="81" t="str">
        <f>IFERROR(__xludf.DUMMYFUNCTION("IF(OR(D3301="""",G3301=""""),"""",IFERROR(LET(
campo,XLOOKUP(TRIM(G3301),ARRAYFORMULA(TRIM('indice columnas'!$A$2:$A$100)),'indice columnas'!$B$2:$B$100,""""),
col,IFERROR(MATCH(campo,Referencia!$A$1:$AZ$1,0),0),
fila,IFERROR(MATCH(TO_TEXT(D3301),ARRAYFOR"&amp;"MULA(TO_TEXT(Referencia!$A$2:$A6238)),0),0),
IF(OR(campo="""",campo=""-""),""NO APLICA"",
IF(col=0,""REVISAR EQUIVALENCIA"",
IF(fila=0,""SKU NO ENCONTRADO"",
LET(
valor,INDEX(Referencia!$A$2:$AZ6238,fila,col),
IF(TRIM(TO_TEXT(valor))=TRIM(TO_TEXT(I3301)),"&amp;"
""OK"",
""NO COINCIDE. Valor verdadero: ""&amp;IF(valor="""",""[VACÍO]"",TO_TEXT(valor))
)
))))
),""ERROR EN FÓRMULA""))"),"OK")</f>
        <v>OK</v>
      </c>
    </row>
    <row r="3302">
      <c r="A3302" s="83" t="s">
        <v>4896</v>
      </c>
      <c r="B3302" s="83" t="s">
        <v>4897</v>
      </c>
      <c r="C3302" s="81" t="s">
        <v>4086</v>
      </c>
      <c r="D3302" s="83" t="s">
        <v>4106</v>
      </c>
      <c r="E3302" s="81" t="s">
        <v>251</v>
      </c>
      <c r="F3302" s="81">
        <v>24.0</v>
      </c>
      <c r="G3302" s="81" t="s">
        <v>2</v>
      </c>
      <c r="H3302" s="81" t="s">
        <v>224</v>
      </c>
      <c r="I3302" s="81" t="s">
        <v>213</v>
      </c>
      <c r="J3302" s="81" t="s">
        <v>224</v>
      </c>
      <c r="K3302" s="81" t="str">
        <f>IFERROR(__xludf.DUMMYFUNCTION("IF(OR(D3302="""",G3302=""""),"""",IFERROR(LET(
campo,XLOOKUP(TRIM(G3302),ARRAYFORMULA(TRIM('indice columnas'!$A$2:$A$100)),'indice columnas'!$B$2:$B$100,""""),
col,IFERROR(MATCH(campo,Referencia!$A$1:$AZ$1,0),0),
fila,IFERROR(MATCH(TO_TEXT(D3302),ARRAYFOR"&amp;"MULA(TO_TEXT(Referencia!$A$2:$A6238)),0),0),
IF(OR(campo="""",campo=""-""),""NO APLICA"",
IF(col=0,""REVISAR EQUIVALENCIA"",
IF(fila=0,""SKU NO ENCONTRADO"",
LET(
valor,INDEX(Referencia!$A$2:$AZ6238,fila,col),
IF(TRIM(TO_TEXT(valor))=TRIM(TO_TEXT(I3302)),"&amp;"
""OK"",
""NO COINCIDE. Valor verdadero: ""&amp;IF(valor="""",""[VACÍO]"",TO_TEXT(valor))
)
))))
),""ERROR EN FÓRMULA""))"),"OK")</f>
        <v>OK</v>
      </c>
    </row>
    <row r="3303">
      <c r="A3303" s="83" t="s">
        <v>4896</v>
      </c>
      <c r="B3303" s="83" t="s">
        <v>4897</v>
      </c>
      <c r="C3303" s="81" t="s">
        <v>4086</v>
      </c>
      <c r="D3303" s="83" t="s">
        <v>4106</v>
      </c>
      <c r="E3303" s="81" t="s">
        <v>251</v>
      </c>
      <c r="F3303" s="81">
        <v>24.0</v>
      </c>
      <c r="G3303" s="81" t="s">
        <v>1</v>
      </c>
      <c r="H3303" s="81" t="s">
        <v>224</v>
      </c>
      <c r="I3303" s="81" t="s">
        <v>49</v>
      </c>
      <c r="J3303" s="81" t="s">
        <v>224</v>
      </c>
      <c r="K3303" s="81" t="str">
        <f>IFERROR(__xludf.DUMMYFUNCTION("IF(OR(D3303="""",G3303=""""),"""",IFERROR(LET(
campo,XLOOKUP(TRIM(G3303),ARRAYFORMULA(TRIM('indice columnas'!$A$2:$A$100)),'indice columnas'!$B$2:$B$100,""""),
col,IFERROR(MATCH(campo,Referencia!$A$1:$AZ$1,0),0),
fila,IFERROR(MATCH(TO_TEXT(D3303),ARRAYFOR"&amp;"MULA(TO_TEXT(Referencia!$A$2:$A6238)),0),0),
IF(OR(campo="""",campo=""-""),""NO APLICA"",
IF(col=0,""REVISAR EQUIVALENCIA"",
IF(fila=0,""SKU NO ENCONTRADO"",
LET(
valor,INDEX(Referencia!$A$2:$AZ6238,fila,col),
IF(TRIM(TO_TEXT(valor))=TRIM(TO_TEXT(I3303)),"&amp;"
""OK"",
""NO COINCIDE. Valor verdadero: ""&amp;IF(valor="""",""[VACÍO]"",TO_TEXT(valor))
)
))))
),""ERROR EN FÓRMULA""))"),"OK")</f>
        <v>OK</v>
      </c>
    </row>
    <row r="3304">
      <c r="A3304" s="83" t="s">
        <v>4896</v>
      </c>
      <c r="B3304" s="83" t="s">
        <v>4897</v>
      </c>
      <c r="C3304" s="81" t="s">
        <v>4086</v>
      </c>
      <c r="D3304" s="83" t="s">
        <v>4107</v>
      </c>
      <c r="E3304" s="81" t="s">
        <v>254</v>
      </c>
      <c r="F3304" s="81">
        <v>25.0</v>
      </c>
      <c r="G3304" s="81" t="s">
        <v>3</v>
      </c>
      <c r="H3304" s="81" t="s">
        <v>224</v>
      </c>
      <c r="I3304" s="81" t="s">
        <v>51</v>
      </c>
      <c r="J3304" s="81" t="s">
        <v>224</v>
      </c>
      <c r="K3304" s="81" t="str">
        <f>IFERROR(__xludf.DUMMYFUNCTION("IF(OR(D3304="""",G3304=""""),"""",IFERROR(LET(
campo,XLOOKUP(TRIM(G3304),ARRAYFORMULA(TRIM('indice columnas'!$A$2:$A$100)),'indice columnas'!$B$2:$B$100,""""),
col,IFERROR(MATCH(campo,Referencia!$A$1:$AZ$1,0),0),
fila,IFERROR(MATCH(TO_TEXT(D3304),ARRAYFOR"&amp;"MULA(TO_TEXT(Referencia!$A$2:$A6238)),0),0),
IF(OR(campo="""",campo=""-""),""NO APLICA"",
IF(col=0,""REVISAR EQUIVALENCIA"",
IF(fila=0,""SKU NO ENCONTRADO"",
LET(
valor,INDEX(Referencia!$A$2:$AZ6238,fila,col),
IF(TRIM(TO_TEXT(valor))=TRIM(TO_TEXT(I3304)),"&amp;"
""OK"",
""NO COINCIDE. Valor verdadero: ""&amp;IF(valor="""",""[VACÍO]"",TO_TEXT(valor))
)
))))
),""ERROR EN FÓRMULA""))"),"OK")</f>
        <v>OK</v>
      </c>
    </row>
    <row r="3305">
      <c r="A3305" s="83" t="s">
        <v>4896</v>
      </c>
      <c r="B3305" s="83" t="s">
        <v>4897</v>
      </c>
      <c r="C3305" s="81" t="s">
        <v>4086</v>
      </c>
      <c r="D3305" s="83" t="s">
        <v>4107</v>
      </c>
      <c r="E3305" s="81" t="s">
        <v>254</v>
      </c>
      <c r="F3305" s="81">
        <v>25.0</v>
      </c>
      <c r="G3305" s="81" t="s">
        <v>2</v>
      </c>
      <c r="H3305" s="81" t="s">
        <v>224</v>
      </c>
      <c r="I3305" s="81" t="s">
        <v>213</v>
      </c>
      <c r="J3305" s="81" t="s">
        <v>224</v>
      </c>
      <c r="K3305" s="81" t="str">
        <f>IFERROR(__xludf.DUMMYFUNCTION("IF(OR(D3305="""",G3305=""""),"""",IFERROR(LET(
campo,XLOOKUP(TRIM(G3305),ARRAYFORMULA(TRIM('indice columnas'!$A$2:$A$100)),'indice columnas'!$B$2:$B$100,""""),
col,IFERROR(MATCH(campo,Referencia!$A$1:$AZ$1,0),0),
fila,IFERROR(MATCH(TO_TEXT(D3305),ARRAYFOR"&amp;"MULA(TO_TEXT(Referencia!$A$2:$A6238)),0),0),
IF(OR(campo="""",campo=""-""),""NO APLICA"",
IF(col=0,""REVISAR EQUIVALENCIA"",
IF(fila=0,""SKU NO ENCONTRADO"",
LET(
valor,INDEX(Referencia!$A$2:$AZ6238,fila,col),
IF(TRIM(TO_TEXT(valor))=TRIM(TO_TEXT(I3305)),"&amp;"
""OK"",
""NO COINCIDE. Valor verdadero: ""&amp;IF(valor="""",""[VACÍO]"",TO_TEXT(valor))
)
))))
),""ERROR EN FÓRMULA""))"),"OK")</f>
        <v>OK</v>
      </c>
    </row>
    <row r="3306">
      <c r="A3306" s="83" t="s">
        <v>4896</v>
      </c>
      <c r="B3306" s="83" t="s">
        <v>4897</v>
      </c>
      <c r="C3306" s="81" t="s">
        <v>4086</v>
      </c>
      <c r="D3306" s="83" t="s">
        <v>4107</v>
      </c>
      <c r="E3306" s="81" t="s">
        <v>254</v>
      </c>
      <c r="F3306" s="81">
        <v>25.0</v>
      </c>
      <c r="G3306" s="81" t="s">
        <v>1</v>
      </c>
      <c r="H3306" s="81" t="s">
        <v>224</v>
      </c>
      <c r="I3306" s="81" t="s">
        <v>49</v>
      </c>
      <c r="J3306" s="81" t="s">
        <v>224</v>
      </c>
      <c r="K3306" s="81" t="str">
        <f>IFERROR(__xludf.DUMMYFUNCTION("IF(OR(D3306="""",G3306=""""),"""",IFERROR(LET(
campo,XLOOKUP(TRIM(G3306),ARRAYFORMULA(TRIM('indice columnas'!$A$2:$A$100)),'indice columnas'!$B$2:$B$100,""""),
col,IFERROR(MATCH(campo,Referencia!$A$1:$AZ$1,0),0),
fila,IFERROR(MATCH(TO_TEXT(D3306),ARRAYFOR"&amp;"MULA(TO_TEXT(Referencia!$A$2:$A6238)),0),0),
IF(OR(campo="""",campo=""-""),""NO APLICA"",
IF(col=0,""REVISAR EQUIVALENCIA"",
IF(fila=0,""SKU NO ENCONTRADO"",
LET(
valor,INDEX(Referencia!$A$2:$AZ6238,fila,col),
IF(TRIM(TO_TEXT(valor))=TRIM(TO_TEXT(I3306)),"&amp;"
""OK"",
""NO COINCIDE. Valor verdadero: ""&amp;IF(valor="""",""[VACÍO]"",TO_TEXT(valor))
)
))))
),""ERROR EN FÓRMULA""))"),"OK")</f>
        <v>OK</v>
      </c>
    </row>
    <row r="3307">
      <c r="A3307" s="83" t="s">
        <v>4896</v>
      </c>
      <c r="B3307" s="83" t="s">
        <v>4897</v>
      </c>
      <c r="C3307" s="81" t="s">
        <v>4086</v>
      </c>
      <c r="D3307" s="83" t="s">
        <v>4108</v>
      </c>
      <c r="E3307" s="81" t="s">
        <v>262</v>
      </c>
      <c r="F3307" s="81">
        <v>26.0</v>
      </c>
      <c r="G3307" s="81" t="s">
        <v>3</v>
      </c>
      <c r="H3307" s="81" t="s">
        <v>224</v>
      </c>
      <c r="I3307" s="81" t="s">
        <v>51</v>
      </c>
      <c r="J3307" s="81" t="s">
        <v>224</v>
      </c>
      <c r="K3307" s="81" t="str">
        <f>IFERROR(__xludf.DUMMYFUNCTION("IF(OR(D3307="""",G3307=""""),"""",IFERROR(LET(
campo,XLOOKUP(TRIM(G3307),ARRAYFORMULA(TRIM('indice columnas'!$A$2:$A$100)),'indice columnas'!$B$2:$B$100,""""),
col,IFERROR(MATCH(campo,Referencia!$A$1:$AZ$1,0),0),
fila,IFERROR(MATCH(TO_TEXT(D3307),ARRAYFOR"&amp;"MULA(TO_TEXT(Referencia!$A$2:$A6238)),0),0),
IF(OR(campo="""",campo=""-""),""NO APLICA"",
IF(col=0,""REVISAR EQUIVALENCIA"",
IF(fila=0,""SKU NO ENCONTRADO"",
LET(
valor,INDEX(Referencia!$A$2:$AZ6238,fila,col),
IF(TRIM(TO_TEXT(valor))=TRIM(TO_TEXT(I3307)),"&amp;"
""OK"",
""NO COINCIDE. Valor verdadero: ""&amp;IF(valor="""",""[VACÍO]"",TO_TEXT(valor))
)
))))
),""ERROR EN FÓRMULA""))"),"OK")</f>
        <v>OK</v>
      </c>
    </row>
    <row r="3308">
      <c r="A3308" s="83" t="s">
        <v>4896</v>
      </c>
      <c r="B3308" s="83" t="s">
        <v>4897</v>
      </c>
      <c r="C3308" s="81" t="s">
        <v>4086</v>
      </c>
      <c r="D3308" s="83" t="s">
        <v>4108</v>
      </c>
      <c r="E3308" s="81" t="s">
        <v>262</v>
      </c>
      <c r="F3308" s="81">
        <v>26.0</v>
      </c>
      <c r="G3308" s="81" t="s">
        <v>2</v>
      </c>
      <c r="H3308" s="81" t="s">
        <v>224</v>
      </c>
      <c r="I3308" s="81" t="s">
        <v>213</v>
      </c>
      <c r="J3308" s="81" t="s">
        <v>224</v>
      </c>
      <c r="K3308" s="81" t="str">
        <f>IFERROR(__xludf.DUMMYFUNCTION("IF(OR(D3308="""",G3308=""""),"""",IFERROR(LET(
campo,XLOOKUP(TRIM(G3308),ARRAYFORMULA(TRIM('indice columnas'!$A$2:$A$100)),'indice columnas'!$B$2:$B$100,""""),
col,IFERROR(MATCH(campo,Referencia!$A$1:$AZ$1,0),0),
fila,IFERROR(MATCH(TO_TEXT(D3308),ARRAYFOR"&amp;"MULA(TO_TEXT(Referencia!$A$2:$A6238)),0),0),
IF(OR(campo="""",campo=""-""),""NO APLICA"",
IF(col=0,""REVISAR EQUIVALENCIA"",
IF(fila=0,""SKU NO ENCONTRADO"",
LET(
valor,INDEX(Referencia!$A$2:$AZ6238,fila,col),
IF(TRIM(TO_TEXT(valor))=TRIM(TO_TEXT(I3308)),"&amp;"
""OK"",
""NO COINCIDE. Valor verdadero: ""&amp;IF(valor="""",""[VACÍO]"",TO_TEXT(valor))
)
))))
),""ERROR EN FÓRMULA""))"),"OK")</f>
        <v>OK</v>
      </c>
    </row>
    <row r="3309">
      <c r="A3309" s="83" t="s">
        <v>4896</v>
      </c>
      <c r="B3309" s="83" t="s">
        <v>4897</v>
      </c>
      <c r="C3309" s="81" t="s">
        <v>4086</v>
      </c>
      <c r="D3309" s="83" t="s">
        <v>4108</v>
      </c>
      <c r="E3309" s="81" t="s">
        <v>262</v>
      </c>
      <c r="F3309" s="81">
        <v>26.0</v>
      </c>
      <c r="G3309" s="81" t="s">
        <v>1</v>
      </c>
      <c r="H3309" s="81" t="s">
        <v>224</v>
      </c>
      <c r="I3309" s="81" t="s">
        <v>49</v>
      </c>
      <c r="J3309" s="81" t="s">
        <v>224</v>
      </c>
      <c r="K3309" s="81" t="str">
        <f>IFERROR(__xludf.DUMMYFUNCTION("IF(OR(D3309="""",G3309=""""),"""",IFERROR(LET(
campo,XLOOKUP(TRIM(G3309),ARRAYFORMULA(TRIM('indice columnas'!$A$2:$A$100)),'indice columnas'!$B$2:$B$100,""""),
col,IFERROR(MATCH(campo,Referencia!$A$1:$AZ$1,0),0),
fila,IFERROR(MATCH(TO_TEXT(D3309),ARRAYFOR"&amp;"MULA(TO_TEXT(Referencia!$A$2:$A6238)),0),0),
IF(OR(campo="""",campo=""-""),""NO APLICA"",
IF(col=0,""REVISAR EQUIVALENCIA"",
IF(fila=0,""SKU NO ENCONTRADO"",
LET(
valor,INDEX(Referencia!$A$2:$AZ6238,fila,col),
IF(TRIM(TO_TEXT(valor))=TRIM(TO_TEXT(I3309)),"&amp;"
""OK"",
""NO COINCIDE. Valor verdadero: ""&amp;IF(valor="""",""[VACÍO]"",TO_TEXT(valor))
)
))))
),""ERROR EN FÓRMULA""))"),"OK")</f>
        <v>OK</v>
      </c>
    </row>
    <row r="3310">
      <c r="A3310" s="83" t="s">
        <v>4896</v>
      </c>
      <c r="B3310" s="83" t="s">
        <v>4897</v>
      </c>
      <c r="C3310" s="81" t="s">
        <v>4086</v>
      </c>
      <c r="D3310" s="83" t="s">
        <v>4109</v>
      </c>
      <c r="E3310" s="81" t="s">
        <v>265</v>
      </c>
      <c r="F3310" s="81">
        <v>27.0</v>
      </c>
      <c r="G3310" s="81" t="s">
        <v>3</v>
      </c>
      <c r="H3310" s="81" t="s">
        <v>224</v>
      </c>
      <c r="I3310" s="81" t="s">
        <v>51</v>
      </c>
      <c r="J3310" s="81" t="s">
        <v>224</v>
      </c>
      <c r="K3310" s="81" t="str">
        <f>IFERROR(__xludf.DUMMYFUNCTION("IF(OR(D3310="""",G3310=""""),"""",IFERROR(LET(
campo,XLOOKUP(TRIM(G3310),ARRAYFORMULA(TRIM('indice columnas'!$A$2:$A$100)),'indice columnas'!$B$2:$B$100,""""),
col,IFERROR(MATCH(campo,Referencia!$A$1:$AZ$1,0),0),
fila,IFERROR(MATCH(TO_TEXT(D3310),ARRAYFOR"&amp;"MULA(TO_TEXT(Referencia!$A$2:$A6238)),0),0),
IF(OR(campo="""",campo=""-""),""NO APLICA"",
IF(col=0,""REVISAR EQUIVALENCIA"",
IF(fila=0,""SKU NO ENCONTRADO"",
LET(
valor,INDEX(Referencia!$A$2:$AZ6238,fila,col),
IF(TRIM(TO_TEXT(valor))=TRIM(TO_TEXT(I3310)),"&amp;"
""OK"",
""NO COINCIDE. Valor verdadero: ""&amp;IF(valor="""",""[VACÍO]"",TO_TEXT(valor))
)
))))
),""ERROR EN FÓRMULA""))"),"OK")</f>
        <v>OK</v>
      </c>
    </row>
    <row r="3311">
      <c r="A3311" s="83" t="s">
        <v>4896</v>
      </c>
      <c r="B3311" s="83" t="s">
        <v>4897</v>
      </c>
      <c r="C3311" s="81" t="s">
        <v>4086</v>
      </c>
      <c r="D3311" s="83" t="s">
        <v>4109</v>
      </c>
      <c r="E3311" s="81" t="s">
        <v>265</v>
      </c>
      <c r="F3311" s="81">
        <v>27.0</v>
      </c>
      <c r="G3311" s="81" t="s">
        <v>2</v>
      </c>
      <c r="H3311" s="81" t="s">
        <v>224</v>
      </c>
      <c r="I3311" s="81" t="s">
        <v>213</v>
      </c>
      <c r="J3311" s="81" t="s">
        <v>224</v>
      </c>
      <c r="K3311" s="81" t="str">
        <f>IFERROR(__xludf.DUMMYFUNCTION("IF(OR(D3311="""",G3311=""""),"""",IFERROR(LET(
campo,XLOOKUP(TRIM(G3311),ARRAYFORMULA(TRIM('indice columnas'!$A$2:$A$100)),'indice columnas'!$B$2:$B$100,""""),
col,IFERROR(MATCH(campo,Referencia!$A$1:$AZ$1,0),0),
fila,IFERROR(MATCH(TO_TEXT(D3311),ARRAYFOR"&amp;"MULA(TO_TEXT(Referencia!$A$2:$A6238)),0),0),
IF(OR(campo="""",campo=""-""),""NO APLICA"",
IF(col=0,""REVISAR EQUIVALENCIA"",
IF(fila=0,""SKU NO ENCONTRADO"",
LET(
valor,INDEX(Referencia!$A$2:$AZ6238,fila,col),
IF(TRIM(TO_TEXT(valor))=TRIM(TO_TEXT(I3311)),"&amp;"
""OK"",
""NO COINCIDE. Valor verdadero: ""&amp;IF(valor="""",""[VACÍO]"",TO_TEXT(valor))
)
))))
),""ERROR EN FÓRMULA""))"),"OK")</f>
        <v>OK</v>
      </c>
    </row>
    <row r="3312">
      <c r="A3312" s="83" t="s">
        <v>4896</v>
      </c>
      <c r="B3312" s="83" t="s">
        <v>4897</v>
      </c>
      <c r="C3312" s="81" t="s">
        <v>4086</v>
      </c>
      <c r="D3312" s="83" t="s">
        <v>4109</v>
      </c>
      <c r="E3312" s="81" t="s">
        <v>265</v>
      </c>
      <c r="F3312" s="81">
        <v>27.0</v>
      </c>
      <c r="G3312" s="81" t="s">
        <v>1</v>
      </c>
      <c r="H3312" s="81" t="s">
        <v>224</v>
      </c>
      <c r="I3312" s="81" t="s">
        <v>49</v>
      </c>
      <c r="J3312" s="81" t="s">
        <v>224</v>
      </c>
      <c r="K3312" s="81" t="str">
        <f>IFERROR(__xludf.DUMMYFUNCTION("IF(OR(D3312="""",G3312=""""),"""",IFERROR(LET(
campo,XLOOKUP(TRIM(G3312),ARRAYFORMULA(TRIM('indice columnas'!$A$2:$A$100)),'indice columnas'!$B$2:$B$100,""""),
col,IFERROR(MATCH(campo,Referencia!$A$1:$AZ$1,0),0),
fila,IFERROR(MATCH(TO_TEXT(D3312),ARRAYFOR"&amp;"MULA(TO_TEXT(Referencia!$A$2:$A6238)),0),0),
IF(OR(campo="""",campo=""-""),""NO APLICA"",
IF(col=0,""REVISAR EQUIVALENCIA"",
IF(fila=0,""SKU NO ENCONTRADO"",
LET(
valor,INDEX(Referencia!$A$2:$AZ6238,fila,col),
IF(TRIM(TO_TEXT(valor))=TRIM(TO_TEXT(I3312)),"&amp;"
""OK"",
""NO COINCIDE. Valor verdadero: ""&amp;IF(valor="""",""[VACÍO]"",TO_TEXT(valor))
)
))))
),""ERROR EN FÓRMULA""))"),"OK")</f>
        <v>OK</v>
      </c>
    </row>
    <row r="3313">
      <c r="A3313" s="83" t="s">
        <v>4896</v>
      </c>
      <c r="B3313" s="83" t="s">
        <v>4897</v>
      </c>
      <c r="C3313" s="81" t="s">
        <v>4086</v>
      </c>
      <c r="D3313" s="83" t="s">
        <v>4110</v>
      </c>
      <c r="E3313" s="81" t="s">
        <v>273</v>
      </c>
      <c r="F3313" s="81">
        <v>28.0</v>
      </c>
      <c r="G3313" s="81" t="s">
        <v>3</v>
      </c>
      <c r="H3313" s="81" t="s">
        <v>224</v>
      </c>
      <c r="I3313" s="81" t="s">
        <v>51</v>
      </c>
      <c r="J3313" s="81" t="s">
        <v>224</v>
      </c>
      <c r="K3313" s="81" t="str">
        <f>IFERROR(__xludf.DUMMYFUNCTION("IF(OR(D3313="""",G3313=""""),"""",IFERROR(LET(
campo,XLOOKUP(TRIM(G3313),ARRAYFORMULA(TRIM('indice columnas'!$A$2:$A$100)),'indice columnas'!$B$2:$B$100,""""),
col,IFERROR(MATCH(campo,Referencia!$A$1:$AZ$1,0),0),
fila,IFERROR(MATCH(TO_TEXT(D3313),ARRAYFOR"&amp;"MULA(TO_TEXT(Referencia!$A$2:$A6238)),0),0),
IF(OR(campo="""",campo=""-""),""NO APLICA"",
IF(col=0,""REVISAR EQUIVALENCIA"",
IF(fila=0,""SKU NO ENCONTRADO"",
LET(
valor,INDEX(Referencia!$A$2:$AZ6238,fila,col),
IF(TRIM(TO_TEXT(valor))=TRIM(TO_TEXT(I3313)),"&amp;"
""OK"",
""NO COINCIDE. Valor verdadero: ""&amp;IF(valor="""",""[VACÍO]"",TO_TEXT(valor))
)
))))
),""ERROR EN FÓRMULA""))"),"OK")</f>
        <v>OK</v>
      </c>
    </row>
    <row r="3314">
      <c r="A3314" s="83" t="s">
        <v>4896</v>
      </c>
      <c r="B3314" s="83" t="s">
        <v>4897</v>
      </c>
      <c r="C3314" s="81" t="s">
        <v>4086</v>
      </c>
      <c r="D3314" s="83" t="s">
        <v>4110</v>
      </c>
      <c r="E3314" s="81" t="s">
        <v>273</v>
      </c>
      <c r="F3314" s="81">
        <v>28.0</v>
      </c>
      <c r="G3314" s="81" t="s">
        <v>2</v>
      </c>
      <c r="H3314" s="81" t="s">
        <v>224</v>
      </c>
      <c r="I3314" s="81" t="s">
        <v>213</v>
      </c>
      <c r="J3314" s="81" t="s">
        <v>224</v>
      </c>
      <c r="K3314" s="81" t="str">
        <f>IFERROR(__xludf.DUMMYFUNCTION("IF(OR(D3314="""",G3314=""""),"""",IFERROR(LET(
campo,XLOOKUP(TRIM(G3314),ARRAYFORMULA(TRIM('indice columnas'!$A$2:$A$100)),'indice columnas'!$B$2:$B$100,""""),
col,IFERROR(MATCH(campo,Referencia!$A$1:$AZ$1,0),0),
fila,IFERROR(MATCH(TO_TEXT(D3314),ARRAYFOR"&amp;"MULA(TO_TEXT(Referencia!$A$2:$A6238)),0),0),
IF(OR(campo="""",campo=""-""),""NO APLICA"",
IF(col=0,""REVISAR EQUIVALENCIA"",
IF(fila=0,""SKU NO ENCONTRADO"",
LET(
valor,INDEX(Referencia!$A$2:$AZ6238,fila,col),
IF(TRIM(TO_TEXT(valor))=TRIM(TO_TEXT(I3314)),"&amp;"
""OK"",
""NO COINCIDE. Valor verdadero: ""&amp;IF(valor="""",""[VACÍO]"",TO_TEXT(valor))
)
))))
),""ERROR EN FÓRMULA""))"),"OK")</f>
        <v>OK</v>
      </c>
    </row>
    <row r="3315">
      <c r="A3315" s="83" t="s">
        <v>4896</v>
      </c>
      <c r="B3315" s="83" t="s">
        <v>4897</v>
      </c>
      <c r="C3315" s="81" t="s">
        <v>4086</v>
      </c>
      <c r="D3315" s="83" t="s">
        <v>4110</v>
      </c>
      <c r="E3315" s="81" t="s">
        <v>273</v>
      </c>
      <c r="F3315" s="81">
        <v>28.0</v>
      </c>
      <c r="G3315" s="81" t="s">
        <v>1</v>
      </c>
      <c r="H3315" s="81" t="s">
        <v>224</v>
      </c>
      <c r="I3315" s="81" t="s">
        <v>49</v>
      </c>
      <c r="J3315" s="81" t="s">
        <v>224</v>
      </c>
      <c r="K3315" s="81" t="str">
        <f>IFERROR(__xludf.DUMMYFUNCTION("IF(OR(D3315="""",G3315=""""),"""",IFERROR(LET(
campo,XLOOKUP(TRIM(G3315),ARRAYFORMULA(TRIM('indice columnas'!$A$2:$A$100)),'indice columnas'!$B$2:$B$100,""""),
col,IFERROR(MATCH(campo,Referencia!$A$1:$AZ$1,0),0),
fila,IFERROR(MATCH(TO_TEXT(D3315),ARRAYFOR"&amp;"MULA(TO_TEXT(Referencia!$A$2:$A6238)),0),0),
IF(OR(campo="""",campo=""-""),""NO APLICA"",
IF(col=0,""REVISAR EQUIVALENCIA"",
IF(fila=0,""SKU NO ENCONTRADO"",
LET(
valor,INDEX(Referencia!$A$2:$AZ6238,fila,col),
IF(TRIM(TO_TEXT(valor))=TRIM(TO_TEXT(I3315)),"&amp;"
""OK"",
""NO COINCIDE. Valor verdadero: ""&amp;IF(valor="""",""[VACÍO]"",TO_TEXT(valor))
)
))))
),""ERROR EN FÓRMULA""))"),"OK")</f>
        <v>OK</v>
      </c>
    </row>
    <row r="3316">
      <c r="A3316" s="83" t="s">
        <v>4896</v>
      </c>
      <c r="B3316" s="83" t="s">
        <v>4897</v>
      </c>
      <c r="C3316" s="81" t="s">
        <v>4086</v>
      </c>
      <c r="D3316" s="83" t="s">
        <v>4113</v>
      </c>
      <c r="E3316" s="81" t="s">
        <v>284</v>
      </c>
      <c r="F3316" s="81">
        <v>31.0</v>
      </c>
      <c r="G3316" s="81" t="s">
        <v>3</v>
      </c>
      <c r="H3316" s="81" t="s">
        <v>224</v>
      </c>
      <c r="I3316" s="81" t="s">
        <v>51</v>
      </c>
      <c r="J3316" s="81" t="s">
        <v>224</v>
      </c>
      <c r="K3316" s="81" t="str">
        <f>IFERROR(__xludf.DUMMYFUNCTION("IF(OR(D3316="""",G3316=""""),"""",IFERROR(LET(
campo,XLOOKUP(TRIM(G3316),ARRAYFORMULA(TRIM('indice columnas'!$A$2:$A$100)),'indice columnas'!$B$2:$B$100,""""),
col,IFERROR(MATCH(campo,Referencia!$A$1:$AZ$1,0),0),
fila,IFERROR(MATCH(TO_TEXT(D3316),ARRAYFOR"&amp;"MULA(TO_TEXT(Referencia!$A$2:$A6238)),0),0),
IF(OR(campo="""",campo=""-""),""NO APLICA"",
IF(col=0,""REVISAR EQUIVALENCIA"",
IF(fila=0,""SKU NO ENCONTRADO"",
LET(
valor,INDEX(Referencia!$A$2:$AZ6238,fila,col),
IF(TRIM(TO_TEXT(valor))=TRIM(TO_TEXT(I3316)),"&amp;"
""OK"",
""NO COINCIDE. Valor verdadero: ""&amp;IF(valor="""",""[VACÍO]"",TO_TEXT(valor))
)
))))
),""ERROR EN FÓRMULA""))"),"OK")</f>
        <v>OK</v>
      </c>
    </row>
    <row r="3317">
      <c r="A3317" s="83" t="s">
        <v>4896</v>
      </c>
      <c r="B3317" s="83" t="s">
        <v>4897</v>
      </c>
      <c r="C3317" s="81" t="s">
        <v>4086</v>
      </c>
      <c r="D3317" s="83" t="s">
        <v>4113</v>
      </c>
      <c r="E3317" s="81" t="s">
        <v>284</v>
      </c>
      <c r="F3317" s="81">
        <v>31.0</v>
      </c>
      <c r="G3317" s="81" t="s">
        <v>2</v>
      </c>
      <c r="H3317" s="81" t="s">
        <v>224</v>
      </c>
      <c r="I3317" s="81" t="s">
        <v>50</v>
      </c>
      <c r="J3317" s="81" t="s">
        <v>224</v>
      </c>
      <c r="K3317" s="81" t="str">
        <f>IFERROR(__xludf.DUMMYFUNCTION("IF(OR(D3317="""",G3317=""""),"""",IFERROR(LET(
campo,XLOOKUP(TRIM(G3317),ARRAYFORMULA(TRIM('indice columnas'!$A$2:$A$100)),'indice columnas'!$B$2:$B$100,""""),
col,IFERROR(MATCH(campo,Referencia!$A$1:$AZ$1,0),0),
fila,IFERROR(MATCH(TO_TEXT(D3317),ARRAYFOR"&amp;"MULA(TO_TEXT(Referencia!$A$2:$A6238)),0),0),
IF(OR(campo="""",campo=""-""),""NO APLICA"",
IF(col=0,""REVISAR EQUIVALENCIA"",
IF(fila=0,""SKU NO ENCONTRADO"",
LET(
valor,INDEX(Referencia!$A$2:$AZ6238,fila,col),
IF(TRIM(TO_TEXT(valor))=TRIM(TO_TEXT(I3317)),"&amp;"
""OK"",
""NO COINCIDE. Valor verdadero: ""&amp;IF(valor="""",""[VACÍO]"",TO_TEXT(valor))
)
))))
),""ERROR EN FÓRMULA""))"),"OK")</f>
        <v>OK</v>
      </c>
    </row>
    <row r="3318">
      <c r="A3318" s="83" t="s">
        <v>4896</v>
      </c>
      <c r="B3318" s="83" t="s">
        <v>4897</v>
      </c>
      <c r="C3318" s="81" t="s">
        <v>4086</v>
      </c>
      <c r="D3318" s="83" t="s">
        <v>4113</v>
      </c>
      <c r="E3318" s="81" t="s">
        <v>284</v>
      </c>
      <c r="F3318" s="81">
        <v>31.0</v>
      </c>
      <c r="G3318" s="81" t="s">
        <v>1</v>
      </c>
      <c r="H3318" s="81" t="s">
        <v>224</v>
      </c>
      <c r="I3318" s="81" t="s">
        <v>49</v>
      </c>
      <c r="J3318" s="81" t="s">
        <v>224</v>
      </c>
      <c r="K3318" s="81" t="str">
        <f>IFERROR(__xludf.DUMMYFUNCTION("IF(OR(D3318="""",G3318=""""),"""",IFERROR(LET(
campo,XLOOKUP(TRIM(G3318),ARRAYFORMULA(TRIM('indice columnas'!$A$2:$A$100)),'indice columnas'!$B$2:$B$100,""""),
col,IFERROR(MATCH(campo,Referencia!$A$1:$AZ$1,0),0),
fila,IFERROR(MATCH(TO_TEXT(D3318),ARRAYFOR"&amp;"MULA(TO_TEXT(Referencia!$A$2:$A6238)),0),0),
IF(OR(campo="""",campo=""-""),""NO APLICA"",
IF(col=0,""REVISAR EQUIVALENCIA"",
IF(fila=0,""SKU NO ENCONTRADO"",
LET(
valor,INDEX(Referencia!$A$2:$AZ6238,fila,col),
IF(TRIM(TO_TEXT(valor))=TRIM(TO_TEXT(I3318)),"&amp;"
""OK"",
""NO COINCIDE. Valor verdadero: ""&amp;IF(valor="""",""[VACÍO]"",TO_TEXT(valor))
)
))))
),""ERROR EN FÓRMULA""))"),"OK")</f>
        <v>OK</v>
      </c>
    </row>
    <row r="3319">
      <c r="A3319" s="83" t="s">
        <v>4896</v>
      </c>
      <c r="B3319" s="83" t="s">
        <v>4897</v>
      </c>
      <c r="C3319" s="81" t="s">
        <v>4086</v>
      </c>
      <c r="D3319" s="83" t="s">
        <v>4114</v>
      </c>
      <c r="E3319" s="81" t="s">
        <v>287</v>
      </c>
      <c r="F3319" s="81">
        <v>32.0</v>
      </c>
      <c r="G3319" s="81" t="s">
        <v>3</v>
      </c>
      <c r="H3319" s="81" t="s">
        <v>224</v>
      </c>
      <c r="I3319" s="81" t="s">
        <v>51</v>
      </c>
      <c r="J3319" s="81" t="s">
        <v>224</v>
      </c>
      <c r="K3319" s="81" t="str">
        <f>IFERROR(__xludf.DUMMYFUNCTION("IF(OR(D3319="""",G3319=""""),"""",IFERROR(LET(
campo,XLOOKUP(TRIM(G3319),ARRAYFORMULA(TRIM('indice columnas'!$A$2:$A$100)),'indice columnas'!$B$2:$B$100,""""),
col,IFERROR(MATCH(campo,Referencia!$A$1:$AZ$1,0),0),
fila,IFERROR(MATCH(TO_TEXT(D3319),ARRAYFOR"&amp;"MULA(TO_TEXT(Referencia!$A$2:$A6238)),0),0),
IF(OR(campo="""",campo=""-""),""NO APLICA"",
IF(col=0,""REVISAR EQUIVALENCIA"",
IF(fila=0,""SKU NO ENCONTRADO"",
LET(
valor,INDEX(Referencia!$A$2:$AZ6238,fila,col),
IF(TRIM(TO_TEXT(valor))=TRIM(TO_TEXT(I3319)),"&amp;"
""OK"",
""NO COINCIDE. Valor verdadero: ""&amp;IF(valor="""",""[VACÍO]"",TO_TEXT(valor))
)
))))
),""ERROR EN FÓRMULA""))"),"OK")</f>
        <v>OK</v>
      </c>
    </row>
    <row r="3320">
      <c r="A3320" s="83" t="s">
        <v>4896</v>
      </c>
      <c r="B3320" s="83" t="s">
        <v>4897</v>
      </c>
      <c r="C3320" s="81" t="s">
        <v>4086</v>
      </c>
      <c r="D3320" s="83" t="s">
        <v>4114</v>
      </c>
      <c r="E3320" s="81" t="s">
        <v>287</v>
      </c>
      <c r="F3320" s="81">
        <v>32.0</v>
      </c>
      <c r="G3320" s="81" t="s">
        <v>2</v>
      </c>
      <c r="H3320" s="81" t="s">
        <v>224</v>
      </c>
      <c r="I3320" s="81" t="s">
        <v>50</v>
      </c>
      <c r="J3320" s="81" t="s">
        <v>224</v>
      </c>
      <c r="K3320" s="81" t="str">
        <f>IFERROR(__xludf.DUMMYFUNCTION("IF(OR(D3320="""",G3320=""""),"""",IFERROR(LET(
campo,XLOOKUP(TRIM(G3320),ARRAYFORMULA(TRIM('indice columnas'!$A$2:$A$100)),'indice columnas'!$B$2:$B$100,""""),
col,IFERROR(MATCH(campo,Referencia!$A$1:$AZ$1,0),0),
fila,IFERROR(MATCH(TO_TEXT(D3320),ARRAYFOR"&amp;"MULA(TO_TEXT(Referencia!$A$2:$A6238)),0),0),
IF(OR(campo="""",campo=""-""),""NO APLICA"",
IF(col=0,""REVISAR EQUIVALENCIA"",
IF(fila=0,""SKU NO ENCONTRADO"",
LET(
valor,INDEX(Referencia!$A$2:$AZ6238,fila,col),
IF(TRIM(TO_TEXT(valor))=TRIM(TO_TEXT(I3320)),"&amp;"
""OK"",
""NO COINCIDE. Valor verdadero: ""&amp;IF(valor="""",""[VACÍO]"",TO_TEXT(valor))
)
))))
),""ERROR EN FÓRMULA""))"),"OK")</f>
        <v>OK</v>
      </c>
    </row>
    <row r="3321">
      <c r="A3321" s="83" t="s">
        <v>4896</v>
      </c>
      <c r="B3321" s="83" t="s">
        <v>4897</v>
      </c>
      <c r="C3321" s="81" t="s">
        <v>4086</v>
      </c>
      <c r="D3321" s="83" t="s">
        <v>4114</v>
      </c>
      <c r="E3321" s="81" t="s">
        <v>287</v>
      </c>
      <c r="F3321" s="81">
        <v>32.0</v>
      </c>
      <c r="G3321" s="81" t="s">
        <v>1</v>
      </c>
      <c r="H3321" s="81" t="s">
        <v>224</v>
      </c>
      <c r="I3321" s="81" t="s">
        <v>49</v>
      </c>
      <c r="J3321" s="81" t="s">
        <v>224</v>
      </c>
      <c r="K3321" s="81" t="str">
        <f>IFERROR(__xludf.DUMMYFUNCTION("IF(OR(D3321="""",G3321=""""),"""",IFERROR(LET(
campo,XLOOKUP(TRIM(G3321),ARRAYFORMULA(TRIM('indice columnas'!$A$2:$A$100)),'indice columnas'!$B$2:$B$100,""""),
col,IFERROR(MATCH(campo,Referencia!$A$1:$AZ$1,0),0),
fila,IFERROR(MATCH(TO_TEXT(D3321),ARRAYFOR"&amp;"MULA(TO_TEXT(Referencia!$A$2:$A6238)),0),0),
IF(OR(campo="""",campo=""-""),""NO APLICA"",
IF(col=0,""REVISAR EQUIVALENCIA"",
IF(fila=0,""SKU NO ENCONTRADO"",
LET(
valor,INDEX(Referencia!$A$2:$AZ6238,fila,col),
IF(TRIM(TO_TEXT(valor))=TRIM(TO_TEXT(I3321)),"&amp;"
""OK"",
""NO COINCIDE. Valor verdadero: ""&amp;IF(valor="""",""[VACÍO]"",TO_TEXT(valor))
)
))))
),""ERROR EN FÓRMULA""))"),"OK")</f>
        <v>OK</v>
      </c>
    </row>
    <row r="3322">
      <c r="A3322" s="83" t="s">
        <v>4896</v>
      </c>
      <c r="B3322" s="83" t="s">
        <v>4897</v>
      </c>
      <c r="C3322" s="81" t="s">
        <v>4086</v>
      </c>
      <c r="D3322" s="83" t="s">
        <v>4115</v>
      </c>
      <c r="E3322" s="81" t="s">
        <v>304</v>
      </c>
      <c r="F3322" s="81">
        <v>34.0</v>
      </c>
      <c r="G3322" s="81" t="s">
        <v>3</v>
      </c>
      <c r="H3322" s="81" t="s">
        <v>224</v>
      </c>
      <c r="I3322" s="81" t="s">
        <v>51</v>
      </c>
      <c r="J3322" s="81" t="s">
        <v>224</v>
      </c>
      <c r="K3322" s="81" t="str">
        <f>IFERROR(__xludf.DUMMYFUNCTION("IF(OR(D3322="""",G3322=""""),"""",IFERROR(LET(
campo,XLOOKUP(TRIM(G3322),ARRAYFORMULA(TRIM('indice columnas'!$A$2:$A$100)),'indice columnas'!$B$2:$B$100,""""),
col,IFERROR(MATCH(campo,Referencia!$A$1:$AZ$1,0),0),
fila,IFERROR(MATCH(TO_TEXT(D3322),ARRAYFOR"&amp;"MULA(TO_TEXT(Referencia!$A$2:$A6238)),0),0),
IF(OR(campo="""",campo=""-""),""NO APLICA"",
IF(col=0,""REVISAR EQUIVALENCIA"",
IF(fila=0,""SKU NO ENCONTRADO"",
LET(
valor,INDEX(Referencia!$A$2:$AZ6238,fila,col),
IF(TRIM(TO_TEXT(valor))=TRIM(TO_TEXT(I3322)),"&amp;"
""OK"",
""NO COINCIDE. Valor verdadero: ""&amp;IF(valor="""",""[VACÍO]"",TO_TEXT(valor))
)
))))
),""ERROR EN FÓRMULA""))"),"OK")</f>
        <v>OK</v>
      </c>
    </row>
    <row r="3323">
      <c r="A3323" s="83" t="s">
        <v>4896</v>
      </c>
      <c r="B3323" s="83" t="s">
        <v>4897</v>
      </c>
      <c r="C3323" s="81" t="s">
        <v>4086</v>
      </c>
      <c r="D3323" s="83" t="s">
        <v>4115</v>
      </c>
      <c r="E3323" s="81" t="s">
        <v>304</v>
      </c>
      <c r="F3323" s="81">
        <v>34.0</v>
      </c>
      <c r="G3323" s="81" t="s">
        <v>2</v>
      </c>
      <c r="H3323" s="81" t="s">
        <v>224</v>
      </c>
      <c r="I3323" s="81" t="s">
        <v>213</v>
      </c>
      <c r="J3323" s="81" t="s">
        <v>224</v>
      </c>
      <c r="K3323" s="81" t="str">
        <f>IFERROR(__xludf.DUMMYFUNCTION("IF(OR(D3323="""",G3323=""""),"""",IFERROR(LET(
campo,XLOOKUP(TRIM(G3323),ARRAYFORMULA(TRIM('indice columnas'!$A$2:$A$100)),'indice columnas'!$B$2:$B$100,""""),
col,IFERROR(MATCH(campo,Referencia!$A$1:$AZ$1,0),0),
fila,IFERROR(MATCH(TO_TEXT(D3323),ARRAYFOR"&amp;"MULA(TO_TEXT(Referencia!$A$2:$A6238)),0),0),
IF(OR(campo="""",campo=""-""),""NO APLICA"",
IF(col=0,""REVISAR EQUIVALENCIA"",
IF(fila=0,""SKU NO ENCONTRADO"",
LET(
valor,INDEX(Referencia!$A$2:$AZ6238,fila,col),
IF(TRIM(TO_TEXT(valor))=TRIM(TO_TEXT(I3323)),"&amp;"
""OK"",
""NO COINCIDE. Valor verdadero: ""&amp;IF(valor="""",""[VACÍO]"",TO_TEXT(valor))
)
))))
),""ERROR EN FÓRMULA""))"),"OK")</f>
        <v>OK</v>
      </c>
    </row>
    <row r="3324">
      <c r="A3324" s="83" t="s">
        <v>4896</v>
      </c>
      <c r="B3324" s="83" t="s">
        <v>4897</v>
      </c>
      <c r="C3324" s="81" t="s">
        <v>4086</v>
      </c>
      <c r="D3324" s="83" t="s">
        <v>4115</v>
      </c>
      <c r="E3324" s="81" t="s">
        <v>304</v>
      </c>
      <c r="F3324" s="81">
        <v>34.0</v>
      </c>
      <c r="G3324" s="81" t="s">
        <v>1</v>
      </c>
      <c r="H3324" s="81" t="s">
        <v>224</v>
      </c>
      <c r="I3324" s="81" t="s">
        <v>49</v>
      </c>
      <c r="J3324" s="81" t="s">
        <v>224</v>
      </c>
      <c r="K3324" s="81" t="str">
        <f>IFERROR(__xludf.DUMMYFUNCTION("IF(OR(D3324="""",G3324=""""),"""",IFERROR(LET(
campo,XLOOKUP(TRIM(G3324),ARRAYFORMULA(TRIM('indice columnas'!$A$2:$A$100)),'indice columnas'!$B$2:$B$100,""""),
col,IFERROR(MATCH(campo,Referencia!$A$1:$AZ$1,0),0),
fila,IFERROR(MATCH(TO_TEXT(D3324),ARRAYFOR"&amp;"MULA(TO_TEXT(Referencia!$A$2:$A6238)),0),0),
IF(OR(campo="""",campo=""-""),""NO APLICA"",
IF(col=0,""REVISAR EQUIVALENCIA"",
IF(fila=0,""SKU NO ENCONTRADO"",
LET(
valor,INDEX(Referencia!$A$2:$AZ6238,fila,col),
IF(TRIM(TO_TEXT(valor))=TRIM(TO_TEXT(I3324)),"&amp;"
""OK"",
""NO COINCIDE. Valor verdadero: ""&amp;IF(valor="""",""[VACÍO]"",TO_TEXT(valor))
)
))))
),""ERROR EN FÓRMULA""))"),"OK")</f>
        <v>OK</v>
      </c>
    </row>
    <row r="3325">
      <c r="A3325" s="83" t="s">
        <v>4896</v>
      </c>
      <c r="B3325" s="83" t="s">
        <v>4897</v>
      </c>
      <c r="C3325" s="81" t="s">
        <v>4086</v>
      </c>
      <c r="D3325" s="83" t="s">
        <v>4117</v>
      </c>
      <c r="E3325" s="81" t="s">
        <v>305</v>
      </c>
      <c r="F3325" s="81">
        <v>35.0</v>
      </c>
      <c r="G3325" s="81" t="s">
        <v>3</v>
      </c>
      <c r="H3325" s="81" t="s">
        <v>224</v>
      </c>
      <c r="I3325" s="81" t="s">
        <v>51</v>
      </c>
      <c r="J3325" s="81" t="s">
        <v>224</v>
      </c>
      <c r="K3325" s="81" t="str">
        <f>IFERROR(__xludf.DUMMYFUNCTION("IF(OR(D3325="""",G3325=""""),"""",IFERROR(LET(
campo,XLOOKUP(TRIM(G3325),ARRAYFORMULA(TRIM('indice columnas'!$A$2:$A$100)),'indice columnas'!$B$2:$B$100,""""),
col,IFERROR(MATCH(campo,Referencia!$A$1:$AZ$1,0),0),
fila,IFERROR(MATCH(TO_TEXT(D3325),ARRAYFOR"&amp;"MULA(TO_TEXT(Referencia!$A$2:$A6238)),0),0),
IF(OR(campo="""",campo=""-""),""NO APLICA"",
IF(col=0,""REVISAR EQUIVALENCIA"",
IF(fila=0,""SKU NO ENCONTRADO"",
LET(
valor,INDEX(Referencia!$A$2:$AZ6238,fila,col),
IF(TRIM(TO_TEXT(valor))=TRIM(TO_TEXT(I3325)),"&amp;"
""OK"",
""NO COINCIDE. Valor verdadero: ""&amp;IF(valor="""",""[VACÍO]"",TO_TEXT(valor))
)
))))
),""ERROR EN FÓRMULA""))"),"OK")</f>
        <v>OK</v>
      </c>
    </row>
    <row r="3326">
      <c r="A3326" s="83" t="s">
        <v>4896</v>
      </c>
      <c r="B3326" s="83" t="s">
        <v>4897</v>
      </c>
      <c r="C3326" s="81" t="s">
        <v>4086</v>
      </c>
      <c r="D3326" s="83" t="s">
        <v>4117</v>
      </c>
      <c r="E3326" s="81" t="s">
        <v>305</v>
      </c>
      <c r="F3326" s="81">
        <v>35.0</v>
      </c>
      <c r="G3326" s="81" t="s">
        <v>2</v>
      </c>
      <c r="H3326" s="81" t="s">
        <v>224</v>
      </c>
      <c r="I3326" s="81" t="s">
        <v>213</v>
      </c>
      <c r="J3326" s="81" t="s">
        <v>224</v>
      </c>
      <c r="K3326" s="81" t="str">
        <f>IFERROR(__xludf.DUMMYFUNCTION("IF(OR(D3326="""",G3326=""""),"""",IFERROR(LET(
campo,XLOOKUP(TRIM(G3326),ARRAYFORMULA(TRIM('indice columnas'!$A$2:$A$100)),'indice columnas'!$B$2:$B$100,""""),
col,IFERROR(MATCH(campo,Referencia!$A$1:$AZ$1,0),0),
fila,IFERROR(MATCH(TO_TEXT(D3326),ARRAYFOR"&amp;"MULA(TO_TEXT(Referencia!$A$2:$A6238)),0),0),
IF(OR(campo="""",campo=""-""),""NO APLICA"",
IF(col=0,""REVISAR EQUIVALENCIA"",
IF(fila=0,""SKU NO ENCONTRADO"",
LET(
valor,INDEX(Referencia!$A$2:$AZ6238,fila,col),
IF(TRIM(TO_TEXT(valor))=TRIM(TO_TEXT(I3326)),"&amp;"
""OK"",
""NO COINCIDE. Valor verdadero: ""&amp;IF(valor="""",""[VACÍO]"",TO_TEXT(valor))
)
))))
),""ERROR EN FÓRMULA""))"),"OK")</f>
        <v>OK</v>
      </c>
    </row>
    <row r="3327">
      <c r="A3327" s="83" t="s">
        <v>4896</v>
      </c>
      <c r="B3327" s="83" t="s">
        <v>4897</v>
      </c>
      <c r="C3327" s="81" t="s">
        <v>4086</v>
      </c>
      <c r="D3327" s="83" t="s">
        <v>4117</v>
      </c>
      <c r="E3327" s="81" t="s">
        <v>305</v>
      </c>
      <c r="F3327" s="81">
        <v>35.0</v>
      </c>
      <c r="G3327" s="81" t="s">
        <v>1</v>
      </c>
      <c r="H3327" s="81" t="s">
        <v>224</v>
      </c>
      <c r="I3327" s="81" t="s">
        <v>49</v>
      </c>
      <c r="J3327" s="81" t="s">
        <v>224</v>
      </c>
      <c r="K3327" s="81" t="str">
        <f>IFERROR(__xludf.DUMMYFUNCTION("IF(OR(D3327="""",G3327=""""),"""",IFERROR(LET(
campo,XLOOKUP(TRIM(G3327),ARRAYFORMULA(TRIM('indice columnas'!$A$2:$A$100)),'indice columnas'!$B$2:$B$100,""""),
col,IFERROR(MATCH(campo,Referencia!$A$1:$AZ$1,0),0),
fila,IFERROR(MATCH(TO_TEXT(D3327),ARRAYFOR"&amp;"MULA(TO_TEXT(Referencia!$A$2:$A6238)),0),0),
IF(OR(campo="""",campo=""-""),""NO APLICA"",
IF(col=0,""REVISAR EQUIVALENCIA"",
IF(fila=0,""SKU NO ENCONTRADO"",
LET(
valor,INDEX(Referencia!$A$2:$AZ6238,fila,col),
IF(TRIM(TO_TEXT(valor))=TRIM(TO_TEXT(I3327)),"&amp;"
""OK"",
""NO COINCIDE. Valor verdadero: ""&amp;IF(valor="""",""[VACÍO]"",TO_TEXT(valor))
)
))))
),""ERROR EN FÓRMULA""))"),"OK")</f>
        <v>OK</v>
      </c>
    </row>
    <row r="3328">
      <c r="A3328" s="83" t="s">
        <v>4896</v>
      </c>
      <c r="B3328" s="83" t="s">
        <v>4897</v>
      </c>
      <c r="C3328" s="81" t="s">
        <v>4086</v>
      </c>
      <c r="D3328" s="83" t="s">
        <v>4120</v>
      </c>
      <c r="E3328" s="81" t="s">
        <v>331</v>
      </c>
      <c r="F3328" s="81">
        <v>38.0</v>
      </c>
      <c r="G3328" s="81" t="s">
        <v>2</v>
      </c>
      <c r="H3328" s="81" t="s">
        <v>1827</v>
      </c>
      <c r="I3328" s="81" t="s">
        <v>332</v>
      </c>
      <c r="J3328" s="81" t="s">
        <v>224</v>
      </c>
      <c r="K3328" s="81" t="str">
        <f>IFERROR(__xludf.DUMMYFUNCTION("IF(OR(D3328="""",G3328=""""),"""",IFERROR(LET(
campo,XLOOKUP(TRIM(G3328),ARRAYFORMULA(TRIM('indice columnas'!$A$2:$A$100)),'indice columnas'!$B$2:$B$100,""""),
col,IFERROR(MATCH(campo,Referencia!$A$1:$AZ$1,0),0),
fila,IFERROR(MATCH(TO_TEXT(D3328),ARRAYFOR"&amp;"MULA(TO_TEXT(Referencia!$A$2:$A6238)),0),0),
IF(OR(campo="""",campo=""-""),""NO APLICA"",
IF(col=0,""REVISAR EQUIVALENCIA"",
IF(fila=0,""SKU NO ENCONTRADO"",
LET(
valor,INDEX(Referencia!$A$2:$AZ6238,fila,col),
IF(TRIM(TO_TEXT(valor))=TRIM(TO_TEXT(I3328)),"&amp;"
""OK"",
""NO COINCIDE. Valor verdadero: ""&amp;IF(valor="""",""[VACÍO]"",TO_TEXT(valor))
)
))))
),""ERROR EN FÓRMULA""))"),"OK")</f>
        <v>OK</v>
      </c>
    </row>
    <row r="3329">
      <c r="A3329" s="83" t="s">
        <v>4896</v>
      </c>
      <c r="B3329" s="83" t="s">
        <v>4897</v>
      </c>
      <c r="C3329" s="81" t="s">
        <v>4086</v>
      </c>
      <c r="D3329" s="83" t="s">
        <v>4121</v>
      </c>
      <c r="E3329" s="81" t="s">
        <v>343</v>
      </c>
      <c r="F3329" s="81">
        <v>39.0</v>
      </c>
      <c r="G3329" s="81" t="s">
        <v>3</v>
      </c>
      <c r="H3329" s="81" t="s">
        <v>376</v>
      </c>
      <c r="I3329" s="81" t="s">
        <v>344</v>
      </c>
      <c r="J3329" s="81" t="s">
        <v>224</v>
      </c>
      <c r="K3329" s="81" t="str">
        <f>IFERROR(__xludf.DUMMYFUNCTION("IF(OR(D3329="""",G3329=""""),"""",IFERROR(LET(
campo,XLOOKUP(TRIM(G3329),ARRAYFORMULA(TRIM('indice columnas'!$A$2:$A$100)),'indice columnas'!$B$2:$B$100,""""),
col,IFERROR(MATCH(campo,Referencia!$A$1:$AZ$1,0),0),
fila,IFERROR(MATCH(TO_TEXT(D3329),ARRAYFOR"&amp;"MULA(TO_TEXT(Referencia!$A$2:$A6238)),0),0),
IF(OR(campo="""",campo=""-""),""NO APLICA"",
IF(col=0,""REVISAR EQUIVALENCIA"",
IF(fila=0,""SKU NO ENCONTRADO"",
LET(
valor,INDEX(Referencia!$A$2:$AZ6238,fila,col),
IF(TRIM(TO_TEXT(valor))=TRIM(TO_TEXT(I3329)),"&amp;"
""OK"",
""NO COINCIDE. Valor verdadero: ""&amp;IF(valor="""",""[VACÍO]"",TO_TEXT(valor))
)
))))
),""ERROR EN FÓRMULA""))"),"OK")</f>
        <v>OK</v>
      </c>
    </row>
    <row r="3330">
      <c r="A3330" s="83" t="s">
        <v>4896</v>
      </c>
      <c r="B3330" s="83" t="s">
        <v>4897</v>
      </c>
      <c r="C3330" s="81" t="s">
        <v>4086</v>
      </c>
      <c r="D3330" s="83" t="s">
        <v>4122</v>
      </c>
      <c r="E3330" s="81" t="s">
        <v>362</v>
      </c>
      <c r="F3330" s="81">
        <v>40.0</v>
      </c>
      <c r="G3330" s="81" t="s">
        <v>3</v>
      </c>
      <c r="H3330" s="81" t="s">
        <v>376</v>
      </c>
      <c r="I3330" s="81" t="s">
        <v>344</v>
      </c>
      <c r="J3330" s="81" t="s">
        <v>224</v>
      </c>
      <c r="K3330" s="81" t="str">
        <f>IFERROR(__xludf.DUMMYFUNCTION("IF(OR(D3330="""",G3330=""""),"""",IFERROR(LET(
campo,XLOOKUP(TRIM(G3330),ARRAYFORMULA(TRIM('indice columnas'!$A$2:$A$100)),'indice columnas'!$B$2:$B$100,""""),
col,IFERROR(MATCH(campo,Referencia!$A$1:$AZ$1,0),0),
fila,IFERROR(MATCH(TO_TEXT(D3330),ARRAYFOR"&amp;"MULA(TO_TEXT(Referencia!$A$2:$A6238)),0),0),
IF(OR(campo="""",campo=""-""),""NO APLICA"",
IF(col=0,""REVISAR EQUIVALENCIA"",
IF(fila=0,""SKU NO ENCONTRADO"",
LET(
valor,INDEX(Referencia!$A$2:$AZ6238,fila,col),
IF(TRIM(TO_TEXT(valor))=TRIM(TO_TEXT(I3330)),"&amp;"
""OK"",
""NO COINCIDE. Valor verdadero: ""&amp;IF(valor="""",""[VACÍO]"",TO_TEXT(valor))
)
))))
),""ERROR EN FÓRMULA""))"),"OK")</f>
        <v>OK</v>
      </c>
    </row>
    <row r="3331">
      <c r="A3331" s="83" t="s">
        <v>4896</v>
      </c>
      <c r="B3331" s="83" t="s">
        <v>4897</v>
      </c>
      <c r="C3331" s="81" t="s">
        <v>4086</v>
      </c>
      <c r="D3331" s="83" t="s">
        <v>4124</v>
      </c>
      <c r="E3331" s="81" t="s">
        <v>392</v>
      </c>
      <c r="F3331" s="81">
        <v>42.0</v>
      </c>
      <c r="G3331" s="81" t="s">
        <v>3</v>
      </c>
      <c r="H3331" s="81" t="s">
        <v>376</v>
      </c>
      <c r="I3331" s="81" t="s">
        <v>344</v>
      </c>
      <c r="J3331" s="81" t="s">
        <v>224</v>
      </c>
      <c r="K3331" s="81" t="str">
        <f>IFERROR(__xludf.DUMMYFUNCTION("IF(OR(D3331="""",G3331=""""),"""",IFERROR(LET(
campo,XLOOKUP(TRIM(G3331),ARRAYFORMULA(TRIM('indice columnas'!$A$2:$A$100)),'indice columnas'!$B$2:$B$100,""""),
col,IFERROR(MATCH(campo,Referencia!$A$1:$AZ$1,0),0),
fila,IFERROR(MATCH(TO_TEXT(D3331),ARRAYFOR"&amp;"MULA(TO_TEXT(Referencia!$A$2:$A6238)),0),0),
IF(OR(campo="""",campo=""-""),""NO APLICA"",
IF(col=0,""REVISAR EQUIVALENCIA"",
IF(fila=0,""SKU NO ENCONTRADO"",
LET(
valor,INDEX(Referencia!$A$2:$AZ6238,fila,col),
IF(TRIM(TO_TEXT(valor))=TRIM(TO_TEXT(I3331)),"&amp;"
""OK"",
""NO COINCIDE. Valor verdadero: ""&amp;IF(valor="""",""[VACÍO]"",TO_TEXT(valor))
)
))))
),""ERROR EN FÓRMULA""))"),"OK")</f>
        <v>OK</v>
      </c>
    </row>
    <row r="3332">
      <c r="A3332" s="83" t="s">
        <v>4896</v>
      </c>
      <c r="B3332" s="83" t="s">
        <v>4897</v>
      </c>
      <c r="C3332" s="81" t="s">
        <v>4086</v>
      </c>
      <c r="D3332" s="83" t="s">
        <v>4125</v>
      </c>
      <c r="E3332" s="81" t="s">
        <v>393</v>
      </c>
      <c r="F3332" s="81">
        <v>43.0</v>
      </c>
      <c r="G3332" s="81" t="s">
        <v>3</v>
      </c>
      <c r="H3332" s="81" t="s">
        <v>224</v>
      </c>
      <c r="I3332" s="81" t="s">
        <v>344</v>
      </c>
      <c r="J3332" s="81" t="s">
        <v>224</v>
      </c>
      <c r="K3332" s="81" t="str">
        <f>IFERROR(__xludf.DUMMYFUNCTION("IF(OR(D3332="""",G3332=""""),"""",IFERROR(LET(
campo,XLOOKUP(TRIM(G3332),ARRAYFORMULA(TRIM('indice columnas'!$A$2:$A$100)),'indice columnas'!$B$2:$B$100,""""),
col,IFERROR(MATCH(campo,Referencia!$A$1:$AZ$1,0),0),
fila,IFERROR(MATCH(TO_TEXT(D3332),ARRAYFOR"&amp;"MULA(TO_TEXT(Referencia!$A$2:$A6238)),0),0),
IF(OR(campo="""",campo=""-""),""NO APLICA"",
IF(col=0,""REVISAR EQUIVALENCIA"",
IF(fila=0,""SKU NO ENCONTRADO"",
LET(
valor,INDEX(Referencia!$A$2:$AZ6238,fila,col),
IF(TRIM(TO_TEXT(valor))=TRIM(TO_TEXT(I3332)),"&amp;"
""OK"",
""NO COINCIDE. Valor verdadero: ""&amp;IF(valor="""",""[VACÍO]"",TO_TEXT(valor))
)
))))
),""ERROR EN FÓRMULA""))"),"OK")</f>
        <v>OK</v>
      </c>
    </row>
    <row r="3333">
      <c r="A3333" s="83" t="s">
        <v>4896</v>
      </c>
      <c r="B3333" s="83" t="s">
        <v>4897</v>
      </c>
      <c r="C3333" s="81" t="s">
        <v>4086</v>
      </c>
      <c r="D3333" s="83" t="s">
        <v>4125</v>
      </c>
      <c r="E3333" s="81" t="s">
        <v>393</v>
      </c>
      <c r="F3333" s="81">
        <v>43.0</v>
      </c>
      <c r="G3333" s="81" t="s">
        <v>2</v>
      </c>
      <c r="H3333" s="81" t="s">
        <v>224</v>
      </c>
      <c r="I3333" s="81" t="s">
        <v>50</v>
      </c>
      <c r="J3333" s="81" t="s">
        <v>224</v>
      </c>
      <c r="K3333" s="81" t="str">
        <f>IFERROR(__xludf.DUMMYFUNCTION("IF(OR(D3333="""",G3333=""""),"""",IFERROR(LET(
campo,XLOOKUP(TRIM(G3333),ARRAYFORMULA(TRIM('indice columnas'!$A$2:$A$100)),'indice columnas'!$B$2:$B$100,""""),
col,IFERROR(MATCH(campo,Referencia!$A$1:$AZ$1,0),0),
fila,IFERROR(MATCH(TO_TEXT(D3333),ARRAYFOR"&amp;"MULA(TO_TEXT(Referencia!$A$2:$A6238)),0),0),
IF(OR(campo="""",campo=""-""),""NO APLICA"",
IF(col=0,""REVISAR EQUIVALENCIA"",
IF(fila=0,""SKU NO ENCONTRADO"",
LET(
valor,INDEX(Referencia!$A$2:$AZ6238,fila,col),
IF(TRIM(TO_TEXT(valor))=TRIM(TO_TEXT(I3333)),"&amp;"
""OK"",
""NO COINCIDE. Valor verdadero: ""&amp;IF(valor="""",""[VACÍO]"",TO_TEXT(valor))
)
))))
),""ERROR EN FÓRMULA""))"),"OK")</f>
        <v>OK</v>
      </c>
    </row>
    <row r="3334">
      <c r="A3334" s="83" t="s">
        <v>4896</v>
      </c>
      <c r="B3334" s="83" t="s">
        <v>4897</v>
      </c>
      <c r="C3334" s="81" t="s">
        <v>4086</v>
      </c>
      <c r="D3334" s="83" t="s">
        <v>4125</v>
      </c>
      <c r="E3334" s="81" t="s">
        <v>393</v>
      </c>
      <c r="F3334" s="81">
        <v>43.0</v>
      </c>
      <c r="G3334" s="81" t="s">
        <v>1</v>
      </c>
      <c r="H3334" s="81" t="s">
        <v>224</v>
      </c>
      <c r="I3334" s="81" t="s">
        <v>49</v>
      </c>
      <c r="J3334" s="81" t="s">
        <v>224</v>
      </c>
      <c r="K3334" s="81" t="str">
        <f>IFERROR(__xludf.DUMMYFUNCTION("IF(OR(D3334="""",G3334=""""),"""",IFERROR(LET(
campo,XLOOKUP(TRIM(G3334),ARRAYFORMULA(TRIM('indice columnas'!$A$2:$A$100)),'indice columnas'!$B$2:$B$100,""""),
col,IFERROR(MATCH(campo,Referencia!$A$1:$AZ$1,0),0),
fila,IFERROR(MATCH(TO_TEXT(D3334),ARRAYFOR"&amp;"MULA(TO_TEXT(Referencia!$A$2:$A6238)),0),0),
IF(OR(campo="""",campo=""-""),""NO APLICA"",
IF(col=0,""REVISAR EQUIVALENCIA"",
IF(fila=0,""SKU NO ENCONTRADO"",
LET(
valor,INDEX(Referencia!$A$2:$AZ6238,fila,col),
IF(TRIM(TO_TEXT(valor))=TRIM(TO_TEXT(I3334)),"&amp;"
""OK"",
""NO COINCIDE. Valor verdadero: ""&amp;IF(valor="""",""[VACÍO]"",TO_TEXT(valor))
)
))))
),""ERROR EN FÓRMULA""))"),"OK")</f>
        <v>OK</v>
      </c>
    </row>
    <row r="3335">
      <c r="A3335" s="83" t="s">
        <v>4896</v>
      </c>
      <c r="B3335" s="83" t="s">
        <v>4897</v>
      </c>
      <c r="C3335" s="81" t="s">
        <v>4086</v>
      </c>
      <c r="D3335" s="83" t="s">
        <v>4126</v>
      </c>
      <c r="E3335" s="81" t="s">
        <v>396</v>
      </c>
      <c r="F3335" s="81">
        <v>44.0</v>
      </c>
      <c r="G3335" s="81" t="s">
        <v>3</v>
      </c>
      <c r="H3335" s="81" t="s">
        <v>376</v>
      </c>
      <c r="I3335" s="81" t="s">
        <v>344</v>
      </c>
      <c r="J3335" s="81" t="s">
        <v>224</v>
      </c>
      <c r="K3335" s="81" t="str">
        <f>IFERROR(__xludf.DUMMYFUNCTION("IF(OR(D3335="""",G3335=""""),"""",IFERROR(LET(
campo,XLOOKUP(TRIM(G3335),ARRAYFORMULA(TRIM('indice columnas'!$A$2:$A$100)),'indice columnas'!$B$2:$B$100,""""),
col,IFERROR(MATCH(campo,Referencia!$A$1:$AZ$1,0),0),
fila,IFERROR(MATCH(TO_TEXT(D3335),ARRAYFOR"&amp;"MULA(TO_TEXT(Referencia!$A$2:$A6238)),0),0),
IF(OR(campo="""",campo=""-""),""NO APLICA"",
IF(col=0,""REVISAR EQUIVALENCIA"",
IF(fila=0,""SKU NO ENCONTRADO"",
LET(
valor,INDEX(Referencia!$A$2:$AZ6238,fila,col),
IF(TRIM(TO_TEXT(valor))=TRIM(TO_TEXT(I3335)),"&amp;"
""OK"",
""NO COINCIDE. Valor verdadero: ""&amp;IF(valor="""",""[VACÍO]"",TO_TEXT(valor))
)
))))
),""ERROR EN FÓRMULA""))"),"OK")</f>
        <v>OK</v>
      </c>
    </row>
    <row r="3336">
      <c r="A3336" s="83" t="s">
        <v>4896</v>
      </c>
      <c r="B3336" s="83" t="s">
        <v>4897</v>
      </c>
      <c r="C3336" s="81" t="s">
        <v>4086</v>
      </c>
      <c r="D3336" s="83" t="s">
        <v>4128</v>
      </c>
      <c r="E3336" s="81" t="s">
        <v>412</v>
      </c>
      <c r="F3336" s="81">
        <v>46.0</v>
      </c>
      <c r="G3336" s="81" t="s">
        <v>3</v>
      </c>
      <c r="H3336" s="81" t="s">
        <v>376</v>
      </c>
      <c r="I3336" s="81" t="s">
        <v>344</v>
      </c>
      <c r="J3336" s="81" t="s">
        <v>224</v>
      </c>
      <c r="K3336" s="81" t="str">
        <f>IFERROR(__xludf.DUMMYFUNCTION("IF(OR(D3336="""",G3336=""""),"""",IFERROR(LET(
campo,XLOOKUP(TRIM(G3336),ARRAYFORMULA(TRIM('indice columnas'!$A$2:$A$100)),'indice columnas'!$B$2:$B$100,""""),
col,IFERROR(MATCH(campo,Referencia!$A$1:$AZ$1,0),0),
fila,IFERROR(MATCH(TO_TEXT(D3336),ARRAYFOR"&amp;"MULA(TO_TEXT(Referencia!$A$2:$A6238)),0),0),
IF(OR(campo="""",campo=""-""),""NO APLICA"",
IF(col=0,""REVISAR EQUIVALENCIA"",
IF(fila=0,""SKU NO ENCONTRADO"",
LET(
valor,INDEX(Referencia!$A$2:$AZ6238,fila,col),
IF(TRIM(TO_TEXT(valor))=TRIM(TO_TEXT(I3336)),"&amp;"
""OK"",
""NO COINCIDE. Valor verdadero: ""&amp;IF(valor="""",""[VACÍO]"",TO_TEXT(valor))
)
))))
),""ERROR EN FÓRMULA""))"),"OK")</f>
        <v>OK</v>
      </c>
    </row>
    <row r="3337">
      <c r="A3337" s="83" t="s">
        <v>4896</v>
      </c>
      <c r="B3337" s="83" t="s">
        <v>4897</v>
      </c>
      <c r="C3337" s="81" t="s">
        <v>4086</v>
      </c>
      <c r="D3337" s="83" t="s">
        <v>4129</v>
      </c>
      <c r="E3337" s="81" t="s">
        <v>428</v>
      </c>
      <c r="F3337" s="81">
        <v>47.0</v>
      </c>
      <c r="G3337" s="81" t="s">
        <v>3</v>
      </c>
      <c r="H3337" s="81" t="s">
        <v>376</v>
      </c>
      <c r="I3337" s="81" t="s">
        <v>344</v>
      </c>
      <c r="J3337" s="81" t="s">
        <v>224</v>
      </c>
      <c r="K3337" s="81" t="str">
        <f>IFERROR(__xludf.DUMMYFUNCTION("IF(OR(D3337="""",G3337=""""),"""",IFERROR(LET(
campo,XLOOKUP(TRIM(G3337),ARRAYFORMULA(TRIM('indice columnas'!$A$2:$A$100)),'indice columnas'!$B$2:$B$100,""""),
col,IFERROR(MATCH(campo,Referencia!$A$1:$AZ$1,0),0),
fila,IFERROR(MATCH(TO_TEXT(D3337),ARRAYFOR"&amp;"MULA(TO_TEXT(Referencia!$A$2:$A6238)),0),0),
IF(OR(campo="""",campo=""-""),""NO APLICA"",
IF(col=0,""REVISAR EQUIVALENCIA"",
IF(fila=0,""SKU NO ENCONTRADO"",
LET(
valor,INDEX(Referencia!$A$2:$AZ6238,fila,col),
IF(TRIM(TO_TEXT(valor))=TRIM(TO_TEXT(I3337)),"&amp;"
""OK"",
""NO COINCIDE. Valor verdadero: ""&amp;IF(valor="""",""[VACÍO]"",TO_TEXT(valor))
)
))))
),""ERROR EN FÓRMULA""))"),"OK")</f>
        <v>OK</v>
      </c>
    </row>
    <row r="3338">
      <c r="A3338" s="83" t="s">
        <v>4896</v>
      </c>
      <c r="B3338" s="83" t="s">
        <v>4897</v>
      </c>
      <c r="C3338" s="81" t="s">
        <v>4086</v>
      </c>
      <c r="D3338" s="83" t="s">
        <v>4132</v>
      </c>
      <c r="E3338" s="81" t="s">
        <v>456</v>
      </c>
      <c r="F3338" s="81">
        <v>50.0</v>
      </c>
      <c r="G3338" s="81" t="s">
        <v>3</v>
      </c>
      <c r="H3338" s="81" t="s">
        <v>224</v>
      </c>
      <c r="I3338" s="81" t="s">
        <v>51</v>
      </c>
      <c r="J3338" s="81" t="s">
        <v>224</v>
      </c>
      <c r="K3338" s="81" t="str">
        <f>IFERROR(__xludf.DUMMYFUNCTION("IF(OR(D3338="""",G3338=""""),"""",IFERROR(LET(
campo,XLOOKUP(TRIM(G3338),ARRAYFORMULA(TRIM('indice columnas'!$A$2:$A$100)),'indice columnas'!$B$2:$B$100,""""),
col,IFERROR(MATCH(campo,Referencia!$A$1:$AZ$1,0),0),
fila,IFERROR(MATCH(TO_TEXT(D3338),ARRAYFOR"&amp;"MULA(TO_TEXT(Referencia!$A$2:$A6238)),0),0),
IF(OR(campo="""",campo=""-""),""NO APLICA"",
IF(col=0,""REVISAR EQUIVALENCIA"",
IF(fila=0,""SKU NO ENCONTRADO"",
LET(
valor,INDEX(Referencia!$A$2:$AZ6238,fila,col),
IF(TRIM(TO_TEXT(valor))=TRIM(TO_TEXT(I3338)),"&amp;"
""OK"",
""NO COINCIDE. Valor verdadero: ""&amp;IF(valor="""",""[VACÍO]"",TO_TEXT(valor))
)
))))
),""ERROR EN FÓRMULA""))"),"OK")</f>
        <v>OK</v>
      </c>
    </row>
    <row r="3339">
      <c r="A3339" s="83" t="s">
        <v>4896</v>
      </c>
      <c r="B3339" s="83" t="s">
        <v>4897</v>
      </c>
      <c r="C3339" s="81" t="s">
        <v>4086</v>
      </c>
      <c r="D3339" s="83" t="s">
        <v>4132</v>
      </c>
      <c r="E3339" s="81" t="s">
        <v>456</v>
      </c>
      <c r="F3339" s="81">
        <v>50.0</v>
      </c>
      <c r="G3339" s="81" t="s">
        <v>2</v>
      </c>
      <c r="H3339" s="81" t="s">
        <v>224</v>
      </c>
      <c r="I3339" s="81" t="s">
        <v>213</v>
      </c>
      <c r="J3339" s="81" t="s">
        <v>224</v>
      </c>
      <c r="K3339" s="81" t="str">
        <f>IFERROR(__xludf.DUMMYFUNCTION("IF(OR(D3339="""",G3339=""""),"""",IFERROR(LET(
campo,XLOOKUP(TRIM(G3339),ARRAYFORMULA(TRIM('indice columnas'!$A$2:$A$100)),'indice columnas'!$B$2:$B$100,""""),
col,IFERROR(MATCH(campo,Referencia!$A$1:$AZ$1,0),0),
fila,IFERROR(MATCH(TO_TEXT(D3339),ARRAYFOR"&amp;"MULA(TO_TEXT(Referencia!$A$2:$A6238)),0),0),
IF(OR(campo="""",campo=""-""),""NO APLICA"",
IF(col=0,""REVISAR EQUIVALENCIA"",
IF(fila=0,""SKU NO ENCONTRADO"",
LET(
valor,INDEX(Referencia!$A$2:$AZ6238,fila,col),
IF(TRIM(TO_TEXT(valor))=TRIM(TO_TEXT(I3339)),"&amp;"
""OK"",
""NO COINCIDE. Valor verdadero: ""&amp;IF(valor="""",""[VACÍO]"",TO_TEXT(valor))
)
))))
),""ERROR EN FÓRMULA""))"),"OK")</f>
        <v>OK</v>
      </c>
    </row>
    <row r="3340">
      <c r="A3340" s="83" t="s">
        <v>4896</v>
      </c>
      <c r="B3340" s="83" t="s">
        <v>4897</v>
      </c>
      <c r="C3340" s="81" t="s">
        <v>4086</v>
      </c>
      <c r="D3340" s="83" t="s">
        <v>4132</v>
      </c>
      <c r="E3340" s="81" t="s">
        <v>456</v>
      </c>
      <c r="F3340" s="81">
        <v>50.0</v>
      </c>
      <c r="G3340" s="81" t="s">
        <v>1</v>
      </c>
      <c r="H3340" s="81" t="s">
        <v>224</v>
      </c>
      <c r="I3340" s="81" t="s">
        <v>49</v>
      </c>
      <c r="J3340" s="81" t="s">
        <v>224</v>
      </c>
      <c r="K3340" s="81" t="str">
        <f>IFERROR(__xludf.DUMMYFUNCTION("IF(OR(D3340="""",G3340=""""),"""",IFERROR(LET(
campo,XLOOKUP(TRIM(G3340),ARRAYFORMULA(TRIM('indice columnas'!$A$2:$A$100)),'indice columnas'!$B$2:$B$100,""""),
col,IFERROR(MATCH(campo,Referencia!$A$1:$AZ$1,0),0),
fila,IFERROR(MATCH(TO_TEXT(D3340),ARRAYFOR"&amp;"MULA(TO_TEXT(Referencia!$A$2:$A6238)),0),0),
IF(OR(campo="""",campo=""-""),""NO APLICA"",
IF(col=0,""REVISAR EQUIVALENCIA"",
IF(fila=0,""SKU NO ENCONTRADO"",
LET(
valor,INDEX(Referencia!$A$2:$AZ6238,fila,col),
IF(TRIM(TO_TEXT(valor))=TRIM(TO_TEXT(I3340)),"&amp;"
""OK"",
""NO COINCIDE. Valor verdadero: ""&amp;IF(valor="""",""[VACÍO]"",TO_TEXT(valor))
)
))))
),""ERROR EN FÓRMULA""))"),"OK")</f>
        <v>OK</v>
      </c>
    </row>
    <row r="3341">
      <c r="A3341" s="83" t="s">
        <v>4896</v>
      </c>
      <c r="B3341" s="83" t="s">
        <v>4897</v>
      </c>
      <c r="C3341" s="81" t="s">
        <v>4086</v>
      </c>
      <c r="D3341" s="83" t="s">
        <v>4133</v>
      </c>
      <c r="E3341" s="81" t="s">
        <v>468</v>
      </c>
      <c r="F3341" s="81">
        <v>52.0</v>
      </c>
      <c r="G3341" s="81" t="s">
        <v>3</v>
      </c>
      <c r="H3341" s="81" t="s">
        <v>376</v>
      </c>
      <c r="I3341" s="81" t="s">
        <v>344</v>
      </c>
      <c r="J3341" s="81" t="s">
        <v>224</v>
      </c>
      <c r="K3341" s="81" t="str">
        <f>IFERROR(__xludf.DUMMYFUNCTION("IF(OR(D3341="""",G3341=""""),"""",IFERROR(LET(
campo,XLOOKUP(TRIM(G3341),ARRAYFORMULA(TRIM('indice columnas'!$A$2:$A$100)),'indice columnas'!$B$2:$B$100,""""),
col,IFERROR(MATCH(campo,Referencia!$A$1:$AZ$1,0),0),
fila,IFERROR(MATCH(TO_TEXT(D3341),ARRAYFOR"&amp;"MULA(TO_TEXT(Referencia!$A$2:$A6238)),0),0),
IF(OR(campo="""",campo=""-""),""NO APLICA"",
IF(col=0,""REVISAR EQUIVALENCIA"",
IF(fila=0,""SKU NO ENCONTRADO"",
LET(
valor,INDEX(Referencia!$A$2:$AZ6238,fila,col),
IF(TRIM(TO_TEXT(valor))=TRIM(TO_TEXT(I3341)),"&amp;"
""OK"",
""NO COINCIDE. Valor verdadero: ""&amp;IF(valor="""",""[VACÍO]"",TO_TEXT(valor))
)
))))
),""ERROR EN FÓRMULA""))"),"OK")</f>
        <v>OK</v>
      </c>
    </row>
    <row r="3342">
      <c r="A3342" s="83" t="s">
        <v>4896</v>
      </c>
      <c r="B3342" s="83" t="s">
        <v>4897</v>
      </c>
      <c r="C3342" s="81" t="s">
        <v>4086</v>
      </c>
      <c r="D3342" s="83" t="s">
        <v>4134</v>
      </c>
      <c r="E3342" s="81" t="s">
        <v>475</v>
      </c>
      <c r="F3342" s="81">
        <v>54.0</v>
      </c>
      <c r="G3342" s="81" t="s">
        <v>3</v>
      </c>
      <c r="H3342" s="81" t="s">
        <v>224</v>
      </c>
      <c r="I3342" s="81" t="s">
        <v>344</v>
      </c>
      <c r="J3342" s="81" t="s">
        <v>224</v>
      </c>
      <c r="K3342" s="81" t="str">
        <f>IFERROR(__xludf.DUMMYFUNCTION("IF(OR(D3342="""",G3342=""""),"""",IFERROR(LET(
campo,XLOOKUP(TRIM(G3342),ARRAYFORMULA(TRIM('indice columnas'!$A$2:$A$100)),'indice columnas'!$B$2:$B$100,""""),
col,IFERROR(MATCH(campo,Referencia!$A$1:$AZ$1,0),0),
fila,IFERROR(MATCH(TO_TEXT(D3342),ARRAYFOR"&amp;"MULA(TO_TEXT(Referencia!$A$2:$A6238)),0),0),
IF(OR(campo="""",campo=""-""),""NO APLICA"",
IF(col=0,""REVISAR EQUIVALENCIA"",
IF(fila=0,""SKU NO ENCONTRADO"",
LET(
valor,INDEX(Referencia!$A$2:$AZ6238,fila,col),
IF(TRIM(TO_TEXT(valor))=TRIM(TO_TEXT(I3342)),"&amp;"
""OK"",
""NO COINCIDE. Valor verdadero: ""&amp;IF(valor="""",""[VACÍO]"",TO_TEXT(valor))
)
))))
),""ERROR EN FÓRMULA""))"),"OK")</f>
        <v>OK</v>
      </c>
    </row>
    <row r="3343">
      <c r="A3343" s="83" t="s">
        <v>4896</v>
      </c>
      <c r="B3343" s="83" t="s">
        <v>4897</v>
      </c>
      <c r="C3343" s="81" t="s">
        <v>4086</v>
      </c>
      <c r="D3343" s="83" t="s">
        <v>4134</v>
      </c>
      <c r="E3343" s="81" t="s">
        <v>475</v>
      </c>
      <c r="F3343" s="81">
        <v>54.0</v>
      </c>
      <c r="G3343" s="81" t="s">
        <v>2</v>
      </c>
      <c r="H3343" s="81" t="s">
        <v>224</v>
      </c>
      <c r="I3343" s="81" t="s">
        <v>213</v>
      </c>
      <c r="J3343" s="81" t="s">
        <v>224</v>
      </c>
      <c r="K3343" s="81" t="str">
        <f>IFERROR(__xludf.DUMMYFUNCTION("IF(OR(D3343="""",G3343=""""),"""",IFERROR(LET(
campo,XLOOKUP(TRIM(G3343),ARRAYFORMULA(TRIM('indice columnas'!$A$2:$A$100)),'indice columnas'!$B$2:$B$100,""""),
col,IFERROR(MATCH(campo,Referencia!$A$1:$AZ$1,0),0),
fila,IFERROR(MATCH(TO_TEXT(D3343),ARRAYFOR"&amp;"MULA(TO_TEXT(Referencia!$A$2:$A6238)),0),0),
IF(OR(campo="""",campo=""-""),""NO APLICA"",
IF(col=0,""REVISAR EQUIVALENCIA"",
IF(fila=0,""SKU NO ENCONTRADO"",
LET(
valor,INDEX(Referencia!$A$2:$AZ6238,fila,col),
IF(TRIM(TO_TEXT(valor))=TRIM(TO_TEXT(I3343)),"&amp;"
""OK"",
""NO COINCIDE. Valor verdadero: ""&amp;IF(valor="""",""[VACÍO]"",TO_TEXT(valor))
)
))))
),""ERROR EN FÓRMULA""))"),"OK")</f>
        <v>OK</v>
      </c>
    </row>
    <row r="3344">
      <c r="A3344" s="83" t="s">
        <v>4896</v>
      </c>
      <c r="B3344" s="83" t="s">
        <v>4897</v>
      </c>
      <c r="C3344" s="81" t="s">
        <v>4086</v>
      </c>
      <c r="D3344" s="83" t="s">
        <v>4135</v>
      </c>
      <c r="E3344" s="81" t="s">
        <v>476</v>
      </c>
      <c r="F3344" s="81">
        <v>55.0</v>
      </c>
      <c r="G3344" s="81" t="s">
        <v>3</v>
      </c>
      <c r="H3344" s="81" t="s">
        <v>224</v>
      </c>
      <c r="I3344" s="81" t="s">
        <v>344</v>
      </c>
      <c r="J3344" s="81" t="s">
        <v>224</v>
      </c>
      <c r="K3344" s="81" t="str">
        <f>IFERROR(__xludf.DUMMYFUNCTION("IF(OR(D3344="""",G3344=""""),"""",IFERROR(LET(
campo,XLOOKUP(TRIM(G3344),ARRAYFORMULA(TRIM('indice columnas'!$A$2:$A$100)),'indice columnas'!$B$2:$B$100,""""),
col,IFERROR(MATCH(campo,Referencia!$A$1:$AZ$1,0),0),
fila,IFERROR(MATCH(TO_TEXT(D3344),ARRAYFOR"&amp;"MULA(TO_TEXT(Referencia!$A$2:$A6238)),0),0),
IF(OR(campo="""",campo=""-""),""NO APLICA"",
IF(col=0,""REVISAR EQUIVALENCIA"",
IF(fila=0,""SKU NO ENCONTRADO"",
LET(
valor,INDEX(Referencia!$A$2:$AZ6238,fila,col),
IF(TRIM(TO_TEXT(valor))=TRIM(TO_TEXT(I3344)),"&amp;"
""OK"",
""NO COINCIDE. Valor verdadero: ""&amp;IF(valor="""",""[VACÍO]"",TO_TEXT(valor))
)
))))
),""ERROR EN FÓRMULA""))"),"OK")</f>
        <v>OK</v>
      </c>
    </row>
    <row r="3345">
      <c r="A3345" s="83" t="s">
        <v>4896</v>
      </c>
      <c r="B3345" s="83" t="s">
        <v>4897</v>
      </c>
      <c r="C3345" s="81" t="s">
        <v>4086</v>
      </c>
      <c r="D3345" s="83" t="s">
        <v>4135</v>
      </c>
      <c r="E3345" s="81" t="s">
        <v>476</v>
      </c>
      <c r="F3345" s="81">
        <v>55.0</v>
      </c>
      <c r="G3345" s="81" t="s">
        <v>2</v>
      </c>
      <c r="H3345" s="81" t="s">
        <v>224</v>
      </c>
      <c r="I3345" s="81" t="s">
        <v>213</v>
      </c>
      <c r="J3345" s="81" t="s">
        <v>224</v>
      </c>
      <c r="K3345" s="81" t="str">
        <f>IFERROR(__xludf.DUMMYFUNCTION("IF(OR(D3345="""",G3345=""""),"""",IFERROR(LET(
campo,XLOOKUP(TRIM(G3345),ARRAYFORMULA(TRIM('indice columnas'!$A$2:$A$100)),'indice columnas'!$B$2:$B$100,""""),
col,IFERROR(MATCH(campo,Referencia!$A$1:$AZ$1,0),0),
fila,IFERROR(MATCH(TO_TEXT(D3345),ARRAYFOR"&amp;"MULA(TO_TEXT(Referencia!$A$2:$A6238)),0),0),
IF(OR(campo="""",campo=""-""),""NO APLICA"",
IF(col=0,""REVISAR EQUIVALENCIA"",
IF(fila=0,""SKU NO ENCONTRADO"",
LET(
valor,INDEX(Referencia!$A$2:$AZ6238,fila,col),
IF(TRIM(TO_TEXT(valor))=TRIM(TO_TEXT(I3345)),"&amp;"
""OK"",
""NO COINCIDE. Valor verdadero: ""&amp;IF(valor="""",""[VACÍO]"",TO_TEXT(valor))
)
))))
),""ERROR EN FÓRMULA""))"),"OK")</f>
        <v>OK</v>
      </c>
    </row>
    <row r="3346">
      <c r="A3346" s="83" t="s">
        <v>4896</v>
      </c>
      <c r="B3346" s="83" t="s">
        <v>4897</v>
      </c>
      <c r="C3346" s="81" t="s">
        <v>4086</v>
      </c>
      <c r="D3346" s="83" t="s">
        <v>4136</v>
      </c>
      <c r="E3346" s="81" t="s">
        <v>487</v>
      </c>
      <c r="F3346" s="81">
        <v>57.0</v>
      </c>
      <c r="G3346" s="81" t="s">
        <v>3</v>
      </c>
      <c r="H3346" s="81" t="s">
        <v>224</v>
      </c>
      <c r="I3346" s="81" t="s">
        <v>344</v>
      </c>
      <c r="J3346" s="81" t="s">
        <v>224</v>
      </c>
      <c r="K3346" s="81" t="str">
        <f>IFERROR(__xludf.DUMMYFUNCTION("IF(OR(D3346="""",G3346=""""),"""",IFERROR(LET(
campo,XLOOKUP(TRIM(G3346),ARRAYFORMULA(TRIM('indice columnas'!$A$2:$A$100)),'indice columnas'!$B$2:$B$100,""""),
col,IFERROR(MATCH(campo,Referencia!$A$1:$AZ$1,0),0),
fila,IFERROR(MATCH(TO_TEXT(D3346),ARRAYFOR"&amp;"MULA(TO_TEXT(Referencia!$A$2:$A6238)),0),0),
IF(OR(campo="""",campo=""-""),""NO APLICA"",
IF(col=0,""REVISAR EQUIVALENCIA"",
IF(fila=0,""SKU NO ENCONTRADO"",
LET(
valor,INDEX(Referencia!$A$2:$AZ6238,fila,col),
IF(TRIM(TO_TEXT(valor))=TRIM(TO_TEXT(I3346)),"&amp;"
""OK"",
""NO COINCIDE. Valor verdadero: ""&amp;IF(valor="""",""[VACÍO]"",TO_TEXT(valor))
)
))))
),""ERROR EN FÓRMULA""))"),"OK")</f>
        <v>OK</v>
      </c>
    </row>
    <row r="3347">
      <c r="A3347" s="83" t="s">
        <v>4896</v>
      </c>
      <c r="B3347" s="83" t="s">
        <v>4897</v>
      </c>
      <c r="C3347" s="81" t="s">
        <v>4086</v>
      </c>
      <c r="D3347" s="83" t="s">
        <v>4136</v>
      </c>
      <c r="E3347" s="81" t="s">
        <v>487</v>
      </c>
      <c r="F3347" s="81">
        <v>57.0</v>
      </c>
      <c r="G3347" s="81" t="s">
        <v>2</v>
      </c>
      <c r="H3347" s="81" t="s">
        <v>224</v>
      </c>
      <c r="I3347" s="81" t="s">
        <v>213</v>
      </c>
      <c r="J3347" s="81" t="s">
        <v>224</v>
      </c>
      <c r="K3347" s="81" t="str">
        <f>IFERROR(__xludf.DUMMYFUNCTION("IF(OR(D3347="""",G3347=""""),"""",IFERROR(LET(
campo,XLOOKUP(TRIM(G3347),ARRAYFORMULA(TRIM('indice columnas'!$A$2:$A$100)),'indice columnas'!$B$2:$B$100,""""),
col,IFERROR(MATCH(campo,Referencia!$A$1:$AZ$1,0),0),
fila,IFERROR(MATCH(TO_TEXT(D3347),ARRAYFOR"&amp;"MULA(TO_TEXT(Referencia!$A$2:$A6238)),0),0),
IF(OR(campo="""",campo=""-""),""NO APLICA"",
IF(col=0,""REVISAR EQUIVALENCIA"",
IF(fila=0,""SKU NO ENCONTRADO"",
LET(
valor,INDEX(Referencia!$A$2:$AZ6238,fila,col),
IF(TRIM(TO_TEXT(valor))=TRIM(TO_TEXT(I3347)),"&amp;"
""OK"",
""NO COINCIDE. Valor verdadero: ""&amp;IF(valor="""",""[VACÍO]"",TO_TEXT(valor))
)
))))
),""ERROR EN FÓRMULA""))"),"OK")</f>
        <v>OK</v>
      </c>
    </row>
    <row r="3348">
      <c r="A3348" s="83" t="s">
        <v>4896</v>
      </c>
      <c r="B3348" s="83" t="s">
        <v>4897</v>
      </c>
      <c r="C3348" s="81" t="s">
        <v>4086</v>
      </c>
      <c r="D3348" s="83" t="s">
        <v>4136</v>
      </c>
      <c r="E3348" s="81" t="s">
        <v>487</v>
      </c>
      <c r="F3348" s="81">
        <v>57.0</v>
      </c>
      <c r="G3348" s="81" t="s">
        <v>1</v>
      </c>
      <c r="H3348" s="81" t="s">
        <v>224</v>
      </c>
      <c r="I3348" s="81" t="s">
        <v>49</v>
      </c>
      <c r="J3348" s="81" t="s">
        <v>224</v>
      </c>
      <c r="K3348" s="81" t="str">
        <f>IFERROR(__xludf.DUMMYFUNCTION("IF(OR(D3348="""",G3348=""""),"""",IFERROR(LET(
campo,XLOOKUP(TRIM(G3348),ARRAYFORMULA(TRIM('indice columnas'!$A$2:$A$100)),'indice columnas'!$B$2:$B$100,""""),
col,IFERROR(MATCH(campo,Referencia!$A$1:$AZ$1,0),0),
fila,IFERROR(MATCH(TO_TEXT(D3348),ARRAYFOR"&amp;"MULA(TO_TEXT(Referencia!$A$2:$A6238)),0),0),
IF(OR(campo="""",campo=""-""),""NO APLICA"",
IF(col=0,""REVISAR EQUIVALENCIA"",
IF(fila=0,""SKU NO ENCONTRADO"",
LET(
valor,INDEX(Referencia!$A$2:$AZ6238,fila,col),
IF(TRIM(TO_TEXT(valor))=TRIM(TO_TEXT(I3348)),"&amp;"
""OK"",
""NO COINCIDE. Valor verdadero: ""&amp;IF(valor="""",""[VACÍO]"",TO_TEXT(valor))
)
))))
),""ERROR EN FÓRMULA""))"),"OK")</f>
        <v>OK</v>
      </c>
    </row>
    <row r="3349">
      <c r="A3349" s="83" t="s">
        <v>4896</v>
      </c>
      <c r="B3349" s="83" t="s">
        <v>4897</v>
      </c>
      <c r="C3349" s="81" t="s">
        <v>4086</v>
      </c>
      <c r="D3349" s="83" t="s">
        <v>4137</v>
      </c>
      <c r="E3349" s="81" t="s">
        <v>489</v>
      </c>
      <c r="F3349" s="81">
        <v>58.0</v>
      </c>
      <c r="G3349" s="81" t="s">
        <v>3</v>
      </c>
      <c r="H3349" s="81" t="s">
        <v>224</v>
      </c>
      <c r="I3349" s="81" t="s">
        <v>344</v>
      </c>
      <c r="J3349" s="81" t="s">
        <v>224</v>
      </c>
      <c r="K3349" s="81" t="str">
        <f>IFERROR(__xludf.DUMMYFUNCTION("IF(OR(D3349="""",G3349=""""),"""",IFERROR(LET(
campo,XLOOKUP(TRIM(G3349),ARRAYFORMULA(TRIM('indice columnas'!$A$2:$A$100)),'indice columnas'!$B$2:$B$100,""""),
col,IFERROR(MATCH(campo,Referencia!$A$1:$AZ$1,0),0),
fila,IFERROR(MATCH(TO_TEXT(D3349),ARRAYFOR"&amp;"MULA(TO_TEXT(Referencia!$A$2:$A6238)),0),0),
IF(OR(campo="""",campo=""-""),""NO APLICA"",
IF(col=0,""REVISAR EQUIVALENCIA"",
IF(fila=0,""SKU NO ENCONTRADO"",
LET(
valor,INDEX(Referencia!$A$2:$AZ6238,fila,col),
IF(TRIM(TO_TEXT(valor))=TRIM(TO_TEXT(I3349)),"&amp;"
""OK"",
""NO COINCIDE. Valor verdadero: ""&amp;IF(valor="""",""[VACÍO]"",TO_TEXT(valor))
)
))))
),""ERROR EN FÓRMULA""))"),"OK")</f>
        <v>OK</v>
      </c>
    </row>
    <row r="3350">
      <c r="A3350" s="83" t="s">
        <v>4896</v>
      </c>
      <c r="B3350" s="83" t="s">
        <v>4897</v>
      </c>
      <c r="C3350" s="81" t="s">
        <v>4086</v>
      </c>
      <c r="D3350" s="83" t="s">
        <v>4137</v>
      </c>
      <c r="E3350" s="81" t="s">
        <v>489</v>
      </c>
      <c r="F3350" s="81">
        <v>58.0</v>
      </c>
      <c r="G3350" s="81" t="s">
        <v>2</v>
      </c>
      <c r="H3350" s="81" t="s">
        <v>224</v>
      </c>
      <c r="I3350" s="81" t="s">
        <v>213</v>
      </c>
      <c r="J3350" s="81" t="s">
        <v>224</v>
      </c>
      <c r="K3350" s="81" t="str">
        <f>IFERROR(__xludf.DUMMYFUNCTION("IF(OR(D3350="""",G3350=""""),"""",IFERROR(LET(
campo,XLOOKUP(TRIM(G3350),ARRAYFORMULA(TRIM('indice columnas'!$A$2:$A$100)),'indice columnas'!$B$2:$B$100,""""),
col,IFERROR(MATCH(campo,Referencia!$A$1:$AZ$1,0),0),
fila,IFERROR(MATCH(TO_TEXT(D3350),ARRAYFOR"&amp;"MULA(TO_TEXT(Referencia!$A$2:$A6238)),0),0),
IF(OR(campo="""",campo=""-""),""NO APLICA"",
IF(col=0,""REVISAR EQUIVALENCIA"",
IF(fila=0,""SKU NO ENCONTRADO"",
LET(
valor,INDEX(Referencia!$A$2:$AZ6238,fila,col),
IF(TRIM(TO_TEXT(valor))=TRIM(TO_TEXT(I3350)),"&amp;"
""OK"",
""NO COINCIDE. Valor verdadero: ""&amp;IF(valor="""",""[VACÍO]"",TO_TEXT(valor))
)
))))
),""ERROR EN FÓRMULA""))"),"OK")</f>
        <v>OK</v>
      </c>
    </row>
    <row r="3351">
      <c r="A3351" s="83" t="s">
        <v>4896</v>
      </c>
      <c r="B3351" s="83" t="s">
        <v>4897</v>
      </c>
      <c r="C3351" s="81" t="s">
        <v>4086</v>
      </c>
      <c r="D3351" s="83" t="s">
        <v>4137</v>
      </c>
      <c r="E3351" s="81" t="s">
        <v>489</v>
      </c>
      <c r="F3351" s="81">
        <v>58.0</v>
      </c>
      <c r="G3351" s="81" t="s">
        <v>1</v>
      </c>
      <c r="H3351" s="81" t="s">
        <v>224</v>
      </c>
      <c r="I3351" s="81" t="s">
        <v>49</v>
      </c>
      <c r="J3351" s="81" t="s">
        <v>224</v>
      </c>
      <c r="K3351" s="81" t="str">
        <f>IFERROR(__xludf.DUMMYFUNCTION("IF(OR(D3351="""",G3351=""""),"""",IFERROR(LET(
campo,XLOOKUP(TRIM(G3351),ARRAYFORMULA(TRIM('indice columnas'!$A$2:$A$100)),'indice columnas'!$B$2:$B$100,""""),
col,IFERROR(MATCH(campo,Referencia!$A$1:$AZ$1,0),0),
fila,IFERROR(MATCH(TO_TEXT(D3351),ARRAYFOR"&amp;"MULA(TO_TEXT(Referencia!$A$2:$A6238)),0),0),
IF(OR(campo="""",campo=""-""),""NO APLICA"",
IF(col=0,""REVISAR EQUIVALENCIA"",
IF(fila=0,""SKU NO ENCONTRADO"",
LET(
valor,INDEX(Referencia!$A$2:$AZ6238,fila,col),
IF(TRIM(TO_TEXT(valor))=TRIM(TO_TEXT(I3351)),"&amp;"
""OK"",
""NO COINCIDE. Valor verdadero: ""&amp;IF(valor="""",""[VACÍO]"",TO_TEXT(valor))
)
))))
),""ERROR EN FÓRMULA""))"),"OK")</f>
        <v>OK</v>
      </c>
    </row>
    <row r="3352">
      <c r="A3352" s="83" t="s">
        <v>4896</v>
      </c>
      <c r="B3352" s="83" t="s">
        <v>4897</v>
      </c>
      <c r="C3352" s="81" t="s">
        <v>4086</v>
      </c>
      <c r="D3352" s="83" t="s">
        <v>4138</v>
      </c>
      <c r="E3352" s="81" t="s">
        <v>492</v>
      </c>
      <c r="F3352" s="81">
        <v>59.0</v>
      </c>
      <c r="G3352" s="81" t="s">
        <v>3</v>
      </c>
      <c r="H3352" s="81" t="s">
        <v>224</v>
      </c>
      <c r="I3352" s="81" t="s">
        <v>344</v>
      </c>
      <c r="J3352" s="81" t="s">
        <v>224</v>
      </c>
      <c r="K3352" s="81" t="str">
        <f>IFERROR(__xludf.DUMMYFUNCTION("IF(OR(D3352="""",G3352=""""),"""",IFERROR(LET(
campo,XLOOKUP(TRIM(G3352),ARRAYFORMULA(TRIM('indice columnas'!$A$2:$A$100)),'indice columnas'!$B$2:$B$100,""""),
col,IFERROR(MATCH(campo,Referencia!$A$1:$AZ$1,0),0),
fila,IFERROR(MATCH(TO_TEXT(D3352),ARRAYFOR"&amp;"MULA(TO_TEXT(Referencia!$A$2:$A6238)),0),0),
IF(OR(campo="""",campo=""-""),""NO APLICA"",
IF(col=0,""REVISAR EQUIVALENCIA"",
IF(fila=0,""SKU NO ENCONTRADO"",
LET(
valor,INDEX(Referencia!$A$2:$AZ6238,fila,col),
IF(TRIM(TO_TEXT(valor))=TRIM(TO_TEXT(I3352)),"&amp;"
""OK"",
""NO COINCIDE. Valor verdadero: ""&amp;IF(valor="""",""[VACÍO]"",TO_TEXT(valor))
)
))))
),""ERROR EN FÓRMULA""))"),"OK")</f>
        <v>OK</v>
      </c>
    </row>
    <row r="3353">
      <c r="A3353" s="83" t="s">
        <v>4896</v>
      </c>
      <c r="B3353" s="83" t="s">
        <v>4897</v>
      </c>
      <c r="C3353" s="81" t="s">
        <v>4086</v>
      </c>
      <c r="D3353" s="83" t="s">
        <v>4138</v>
      </c>
      <c r="E3353" s="81" t="s">
        <v>492</v>
      </c>
      <c r="F3353" s="81">
        <v>59.0</v>
      </c>
      <c r="G3353" s="81" t="s">
        <v>2</v>
      </c>
      <c r="H3353" s="81" t="s">
        <v>224</v>
      </c>
      <c r="I3353" s="81" t="s">
        <v>213</v>
      </c>
      <c r="J3353" s="81" t="s">
        <v>224</v>
      </c>
      <c r="K3353" s="81" t="str">
        <f>IFERROR(__xludf.DUMMYFUNCTION("IF(OR(D3353="""",G3353=""""),"""",IFERROR(LET(
campo,XLOOKUP(TRIM(G3353),ARRAYFORMULA(TRIM('indice columnas'!$A$2:$A$100)),'indice columnas'!$B$2:$B$100,""""),
col,IFERROR(MATCH(campo,Referencia!$A$1:$AZ$1,0),0),
fila,IFERROR(MATCH(TO_TEXT(D3353),ARRAYFOR"&amp;"MULA(TO_TEXT(Referencia!$A$2:$A6238)),0),0),
IF(OR(campo="""",campo=""-""),""NO APLICA"",
IF(col=0,""REVISAR EQUIVALENCIA"",
IF(fila=0,""SKU NO ENCONTRADO"",
LET(
valor,INDEX(Referencia!$A$2:$AZ6238,fila,col),
IF(TRIM(TO_TEXT(valor))=TRIM(TO_TEXT(I3353)),"&amp;"
""OK"",
""NO COINCIDE. Valor verdadero: ""&amp;IF(valor="""",""[VACÍO]"",TO_TEXT(valor))
)
))))
),""ERROR EN FÓRMULA""))"),"OK")</f>
        <v>OK</v>
      </c>
    </row>
    <row r="3354">
      <c r="A3354" s="83" t="s">
        <v>4896</v>
      </c>
      <c r="B3354" s="83" t="s">
        <v>4897</v>
      </c>
      <c r="C3354" s="81" t="s">
        <v>4086</v>
      </c>
      <c r="D3354" s="83" t="s">
        <v>4138</v>
      </c>
      <c r="E3354" s="81" t="s">
        <v>492</v>
      </c>
      <c r="F3354" s="81">
        <v>59.0</v>
      </c>
      <c r="G3354" s="81" t="s">
        <v>1</v>
      </c>
      <c r="H3354" s="81" t="s">
        <v>224</v>
      </c>
      <c r="I3354" s="81" t="s">
        <v>49</v>
      </c>
      <c r="J3354" s="81" t="s">
        <v>224</v>
      </c>
      <c r="K3354" s="81" t="str">
        <f>IFERROR(__xludf.DUMMYFUNCTION("IF(OR(D3354="""",G3354=""""),"""",IFERROR(LET(
campo,XLOOKUP(TRIM(G3354),ARRAYFORMULA(TRIM('indice columnas'!$A$2:$A$100)),'indice columnas'!$B$2:$B$100,""""),
col,IFERROR(MATCH(campo,Referencia!$A$1:$AZ$1,0),0),
fila,IFERROR(MATCH(TO_TEXT(D3354),ARRAYFOR"&amp;"MULA(TO_TEXT(Referencia!$A$2:$A6238)),0),0),
IF(OR(campo="""",campo=""-""),""NO APLICA"",
IF(col=0,""REVISAR EQUIVALENCIA"",
IF(fila=0,""SKU NO ENCONTRADO"",
LET(
valor,INDEX(Referencia!$A$2:$AZ6238,fila,col),
IF(TRIM(TO_TEXT(valor))=TRIM(TO_TEXT(I3354)),"&amp;"
""OK"",
""NO COINCIDE. Valor verdadero: ""&amp;IF(valor="""",""[VACÍO]"",TO_TEXT(valor))
)
))))
),""ERROR EN FÓRMULA""))"),"OK")</f>
        <v>OK</v>
      </c>
    </row>
    <row r="3355">
      <c r="A3355" s="83" t="s">
        <v>4896</v>
      </c>
      <c r="B3355" s="83" t="s">
        <v>4897</v>
      </c>
      <c r="C3355" s="81" t="s">
        <v>4086</v>
      </c>
      <c r="D3355" s="83" t="s">
        <v>4139</v>
      </c>
      <c r="E3355" s="81" t="s">
        <v>503</v>
      </c>
      <c r="F3355" s="81">
        <v>61.0</v>
      </c>
      <c r="G3355" s="81" t="s">
        <v>3</v>
      </c>
      <c r="H3355" s="81" t="s">
        <v>224</v>
      </c>
      <c r="I3355" s="81" t="s">
        <v>344</v>
      </c>
      <c r="J3355" s="81" t="s">
        <v>224</v>
      </c>
      <c r="K3355" s="81" t="str">
        <f>IFERROR(__xludf.DUMMYFUNCTION("IF(OR(D3355="""",G3355=""""),"""",IFERROR(LET(
campo,XLOOKUP(TRIM(G3355),ARRAYFORMULA(TRIM('indice columnas'!$A$2:$A$100)),'indice columnas'!$B$2:$B$100,""""),
col,IFERROR(MATCH(campo,Referencia!$A$1:$AZ$1,0),0),
fila,IFERROR(MATCH(TO_TEXT(D3355),ARRAYFOR"&amp;"MULA(TO_TEXT(Referencia!$A$2:$A6238)),0),0),
IF(OR(campo="""",campo=""-""),""NO APLICA"",
IF(col=0,""REVISAR EQUIVALENCIA"",
IF(fila=0,""SKU NO ENCONTRADO"",
LET(
valor,INDEX(Referencia!$A$2:$AZ6238,fila,col),
IF(TRIM(TO_TEXT(valor))=TRIM(TO_TEXT(I3355)),"&amp;"
""OK"",
""NO COINCIDE. Valor verdadero: ""&amp;IF(valor="""",""[VACÍO]"",TO_TEXT(valor))
)
))))
),""ERROR EN FÓRMULA""))"),"OK")</f>
        <v>OK</v>
      </c>
    </row>
    <row r="3356">
      <c r="A3356" s="83" t="s">
        <v>4896</v>
      </c>
      <c r="B3356" s="83" t="s">
        <v>4897</v>
      </c>
      <c r="C3356" s="81" t="s">
        <v>4086</v>
      </c>
      <c r="D3356" s="83" t="s">
        <v>4139</v>
      </c>
      <c r="E3356" s="81" t="s">
        <v>503</v>
      </c>
      <c r="F3356" s="81">
        <v>61.0</v>
      </c>
      <c r="G3356" s="81" t="s">
        <v>2</v>
      </c>
      <c r="H3356" s="81" t="s">
        <v>224</v>
      </c>
      <c r="I3356" s="81" t="s">
        <v>213</v>
      </c>
      <c r="J3356" s="81" t="s">
        <v>224</v>
      </c>
      <c r="K3356" s="81" t="str">
        <f>IFERROR(__xludf.DUMMYFUNCTION("IF(OR(D3356="""",G3356=""""),"""",IFERROR(LET(
campo,XLOOKUP(TRIM(G3356),ARRAYFORMULA(TRIM('indice columnas'!$A$2:$A$100)),'indice columnas'!$B$2:$B$100,""""),
col,IFERROR(MATCH(campo,Referencia!$A$1:$AZ$1,0),0),
fila,IFERROR(MATCH(TO_TEXT(D3356),ARRAYFOR"&amp;"MULA(TO_TEXT(Referencia!$A$2:$A6238)),0),0),
IF(OR(campo="""",campo=""-""),""NO APLICA"",
IF(col=0,""REVISAR EQUIVALENCIA"",
IF(fila=0,""SKU NO ENCONTRADO"",
LET(
valor,INDEX(Referencia!$A$2:$AZ6238,fila,col),
IF(TRIM(TO_TEXT(valor))=TRIM(TO_TEXT(I3356)),"&amp;"
""OK"",
""NO COINCIDE. Valor verdadero: ""&amp;IF(valor="""",""[VACÍO]"",TO_TEXT(valor))
)
))))
),""ERROR EN FÓRMULA""))"),"OK")</f>
        <v>OK</v>
      </c>
    </row>
    <row r="3357">
      <c r="A3357" s="83" t="s">
        <v>4896</v>
      </c>
      <c r="B3357" s="83" t="s">
        <v>4897</v>
      </c>
      <c r="C3357" s="81" t="s">
        <v>4086</v>
      </c>
      <c r="D3357" s="83" t="s">
        <v>4139</v>
      </c>
      <c r="E3357" s="81" t="s">
        <v>503</v>
      </c>
      <c r="F3357" s="81">
        <v>61.0</v>
      </c>
      <c r="G3357" s="81" t="s">
        <v>1</v>
      </c>
      <c r="H3357" s="81" t="s">
        <v>224</v>
      </c>
      <c r="I3357" s="81" t="s">
        <v>49</v>
      </c>
      <c r="J3357" s="81" t="s">
        <v>224</v>
      </c>
      <c r="K3357" s="81" t="str">
        <f>IFERROR(__xludf.DUMMYFUNCTION("IF(OR(D3357="""",G3357=""""),"""",IFERROR(LET(
campo,XLOOKUP(TRIM(G3357),ARRAYFORMULA(TRIM('indice columnas'!$A$2:$A$100)),'indice columnas'!$B$2:$B$100,""""),
col,IFERROR(MATCH(campo,Referencia!$A$1:$AZ$1,0),0),
fila,IFERROR(MATCH(TO_TEXT(D3357),ARRAYFOR"&amp;"MULA(TO_TEXT(Referencia!$A$2:$A6238)),0),0),
IF(OR(campo="""",campo=""-""),""NO APLICA"",
IF(col=0,""REVISAR EQUIVALENCIA"",
IF(fila=0,""SKU NO ENCONTRADO"",
LET(
valor,INDEX(Referencia!$A$2:$AZ6238,fila,col),
IF(TRIM(TO_TEXT(valor))=TRIM(TO_TEXT(I3357)),"&amp;"
""OK"",
""NO COINCIDE. Valor verdadero: ""&amp;IF(valor="""",""[VACÍO]"",TO_TEXT(valor))
)
))))
),""ERROR EN FÓRMULA""))"),"OK")</f>
        <v>OK</v>
      </c>
    </row>
    <row r="3358">
      <c r="A3358" s="83" t="s">
        <v>4896</v>
      </c>
      <c r="B3358" s="83" t="s">
        <v>4897</v>
      </c>
      <c r="C3358" s="81" t="s">
        <v>4086</v>
      </c>
      <c r="D3358" s="83" t="s">
        <v>4140</v>
      </c>
      <c r="E3358" s="81" t="s">
        <v>505</v>
      </c>
      <c r="F3358" s="81">
        <v>62.0</v>
      </c>
      <c r="G3358" s="81" t="s">
        <v>3</v>
      </c>
      <c r="H3358" s="81" t="s">
        <v>224</v>
      </c>
      <c r="I3358" s="81" t="s">
        <v>344</v>
      </c>
      <c r="J3358" s="81" t="s">
        <v>224</v>
      </c>
      <c r="K3358" s="81" t="str">
        <f>IFERROR(__xludf.DUMMYFUNCTION("IF(OR(D3358="""",G3358=""""),"""",IFERROR(LET(
campo,XLOOKUP(TRIM(G3358),ARRAYFORMULA(TRIM('indice columnas'!$A$2:$A$100)),'indice columnas'!$B$2:$B$100,""""),
col,IFERROR(MATCH(campo,Referencia!$A$1:$AZ$1,0),0),
fila,IFERROR(MATCH(TO_TEXT(D3358),ARRAYFOR"&amp;"MULA(TO_TEXT(Referencia!$A$2:$A6238)),0),0),
IF(OR(campo="""",campo=""-""),""NO APLICA"",
IF(col=0,""REVISAR EQUIVALENCIA"",
IF(fila=0,""SKU NO ENCONTRADO"",
LET(
valor,INDEX(Referencia!$A$2:$AZ6238,fila,col),
IF(TRIM(TO_TEXT(valor))=TRIM(TO_TEXT(I3358)),"&amp;"
""OK"",
""NO COINCIDE. Valor verdadero: ""&amp;IF(valor="""",""[VACÍO]"",TO_TEXT(valor))
)
))))
),""ERROR EN FÓRMULA""))"),"OK")</f>
        <v>OK</v>
      </c>
    </row>
    <row r="3359">
      <c r="A3359" s="83" t="s">
        <v>4896</v>
      </c>
      <c r="B3359" s="83" t="s">
        <v>4897</v>
      </c>
      <c r="C3359" s="81" t="s">
        <v>4086</v>
      </c>
      <c r="D3359" s="83" t="s">
        <v>4140</v>
      </c>
      <c r="E3359" s="81" t="s">
        <v>505</v>
      </c>
      <c r="F3359" s="81">
        <v>62.0</v>
      </c>
      <c r="G3359" s="81" t="s">
        <v>2</v>
      </c>
      <c r="H3359" s="81" t="s">
        <v>224</v>
      </c>
      <c r="I3359" s="81" t="s">
        <v>213</v>
      </c>
      <c r="J3359" s="81" t="s">
        <v>224</v>
      </c>
      <c r="K3359" s="81" t="str">
        <f>IFERROR(__xludf.DUMMYFUNCTION("IF(OR(D3359="""",G3359=""""),"""",IFERROR(LET(
campo,XLOOKUP(TRIM(G3359),ARRAYFORMULA(TRIM('indice columnas'!$A$2:$A$100)),'indice columnas'!$B$2:$B$100,""""),
col,IFERROR(MATCH(campo,Referencia!$A$1:$AZ$1,0),0),
fila,IFERROR(MATCH(TO_TEXT(D3359),ARRAYFOR"&amp;"MULA(TO_TEXT(Referencia!$A$2:$A6238)),0),0),
IF(OR(campo="""",campo=""-""),""NO APLICA"",
IF(col=0,""REVISAR EQUIVALENCIA"",
IF(fila=0,""SKU NO ENCONTRADO"",
LET(
valor,INDEX(Referencia!$A$2:$AZ6238,fila,col),
IF(TRIM(TO_TEXT(valor))=TRIM(TO_TEXT(I3359)),"&amp;"
""OK"",
""NO COINCIDE. Valor verdadero: ""&amp;IF(valor="""",""[VACÍO]"",TO_TEXT(valor))
)
))))
),""ERROR EN FÓRMULA""))"),"OK")</f>
        <v>OK</v>
      </c>
    </row>
    <row r="3360">
      <c r="A3360" s="83" t="s">
        <v>4896</v>
      </c>
      <c r="B3360" s="83" t="s">
        <v>4897</v>
      </c>
      <c r="C3360" s="81" t="s">
        <v>4086</v>
      </c>
      <c r="D3360" s="83" t="s">
        <v>4140</v>
      </c>
      <c r="E3360" s="81" t="s">
        <v>505</v>
      </c>
      <c r="F3360" s="81">
        <v>62.0</v>
      </c>
      <c r="G3360" s="81" t="s">
        <v>1</v>
      </c>
      <c r="H3360" s="81" t="s">
        <v>224</v>
      </c>
      <c r="I3360" s="81" t="s">
        <v>49</v>
      </c>
      <c r="J3360" s="81" t="s">
        <v>224</v>
      </c>
      <c r="K3360" s="81" t="str">
        <f>IFERROR(__xludf.DUMMYFUNCTION("IF(OR(D3360="""",G3360=""""),"""",IFERROR(LET(
campo,XLOOKUP(TRIM(G3360),ARRAYFORMULA(TRIM('indice columnas'!$A$2:$A$100)),'indice columnas'!$B$2:$B$100,""""),
col,IFERROR(MATCH(campo,Referencia!$A$1:$AZ$1,0),0),
fila,IFERROR(MATCH(TO_TEXT(D3360),ARRAYFOR"&amp;"MULA(TO_TEXT(Referencia!$A$2:$A6238)),0),0),
IF(OR(campo="""",campo=""-""),""NO APLICA"",
IF(col=0,""REVISAR EQUIVALENCIA"",
IF(fila=0,""SKU NO ENCONTRADO"",
LET(
valor,INDEX(Referencia!$A$2:$AZ6238,fila,col),
IF(TRIM(TO_TEXT(valor))=TRIM(TO_TEXT(I3360)),"&amp;"
""OK"",
""NO COINCIDE. Valor verdadero: ""&amp;IF(valor="""",""[VACÍO]"",TO_TEXT(valor))
)
))))
),""ERROR EN FÓRMULA""))"),"OK")</f>
        <v>OK</v>
      </c>
    </row>
    <row r="3361">
      <c r="A3361" s="83" t="s">
        <v>4896</v>
      </c>
      <c r="B3361" s="83" t="s">
        <v>4897</v>
      </c>
      <c r="C3361" s="81" t="s">
        <v>4086</v>
      </c>
      <c r="D3361" s="83" t="s">
        <v>4141</v>
      </c>
      <c r="E3361" s="81" t="s">
        <v>516</v>
      </c>
      <c r="F3361" s="81">
        <v>64.0</v>
      </c>
      <c r="G3361" s="81" t="s">
        <v>3</v>
      </c>
      <c r="H3361" s="81" t="s">
        <v>224</v>
      </c>
      <c r="I3361" s="81" t="s">
        <v>344</v>
      </c>
      <c r="J3361" s="81" t="s">
        <v>224</v>
      </c>
      <c r="K3361" s="81" t="str">
        <f>IFERROR(__xludf.DUMMYFUNCTION("IF(OR(D3361="""",G3361=""""),"""",IFERROR(LET(
campo,XLOOKUP(TRIM(G3361),ARRAYFORMULA(TRIM('indice columnas'!$A$2:$A$100)),'indice columnas'!$B$2:$B$100,""""),
col,IFERROR(MATCH(campo,Referencia!$A$1:$AZ$1,0),0),
fila,IFERROR(MATCH(TO_TEXT(D3361),ARRAYFOR"&amp;"MULA(TO_TEXT(Referencia!$A$2:$A6238)),0),0),
IF(OR(campo="""",campo=""-""),""NO APLICA"",
IF(col=0,""REVISAR EQUIVALENCIA"",
IF(fila=0,""SKU NO ENCONTRADO"",
LET(
valor,INDEX(Referencia!$A$2:$AZ6238,fila,col),
IF(TRIM(TO_TEXT(valor))=TRIM(TO_TEXT(I3361)),"&amp;"
""OK"",
""NO COINCIDE. Valor verdadero: ""&amp;IF(valor="""",""[VACÍO]"",TO_TEXT(valor))
)
))))
),""ERROR EN FÓRMULA""))"),"OK")</f>
        <v>OK</v>
      </c>
    </row>
    <row r="3362">
      <c r="A3362" s="83" t="s">
        <v>4896</v>
      </c>
      <c r="B3362" s="83" t="s">
        <v>4897</v>
      </c>
      <c r="C3362" s="81" t="s">
        <v>4086</v>
      </c>
      <c r="D3362" s="83" t="s">
        <v>4141</v>
      </c>
      <c r="E3362" s="81" t="s">
        <v>516</v>
      </c>
      <c r="F3362" s="81">
        <v>64.0</v>
      </c>
      <c r="G3362" s="81" t="s">
        <v>2</v>
      </c>
      <c r="H3362" s="81" t="s">
        <v>224</v>
      </c>
      <c r="I3362" s="81" t="s">
        <v>213</v>
      </c>
      <c r="J3362" s="81" t="s">
        <v>224</v>
      </c>
      <c r="K3362" s="81" t="str">
        <f>IFERROR(__xludf.DUMMYFUNCTION("IF(OR(D3362="""",G3362=""""),"""",IFERROR(LET(
campo,XLOOKUP(TRIM(G3362),ARRAYFORMULA(TRIM('indice columnas'!$A$2:$A$100)),'indice columnas'!$B$2:$B$100,""""),
col,IFERROR(MATCH(campo,Referencia!$A$1:$AZ$1,0),0),
fila,IFERROR(MATCH(TO_TEXT(D3362),ARRAYFOR"&amp;"MULA(TO_TEXT(Referencia!$A$2:$A6238)),0),0),
IF(OR(campo="""",campo=""-""),""NO APLICA"",
IF(col=0,""REVISAR EQUIVALENCIA"",
IF(fila=0,""SKU NO ENCONTRADO"",
LET(
valor,INDEX(Referencia!$A$2:$AZ6238,fila,col),
IF(TRIM(TO_TEXT(valor))=TRIM(TO_TEXT(I3362)),"&amp;"
""OK"",
""NO COINCIDE. Valor verdadero: ""&amp;IF(valor="""",""[VACÍO]"",TO_TEXT(valor))
)
))))
),""ERROR EN FÓRMULA""))"),"OK")</f>
        <v>OK</v>
      </c>
    </row>
    <row r="3363">
      <c r="A3363" s="83" t="s">
        <v>4896</v>
      </c>
      <c r="B3363" s="83" t="s">
        <v>4897</v>
      </c>
      <c r="C3363" s="81" t="s">
        <v>4086</v>
      </c>
      <c r="D3363" s="83" t="s">
        <v>4141</v>
      </c>
      <c r="E3363" s="81" t="s">
        <v>516</v>
      </c>
      <c r="F3363" s="81">
        <v>64.0</v>
      </c>
      <c r="G3363" s="81" t="s">
        <v>1</v>
      </c>
      <c r="H3363" s="81" t="s">
        <v>224</v>
      </c>
      <c r="I3363" s="81" t="s">
        <v>49</v>
      </c>
      <c r="J3363" s="81" t="s">
        <v>224</v>
      </c>
      <c r="K3363" s="81" t="str">
        <f>IFERROR(__xludf.DUMMYFUNCTION("IF(OR(D3363="""",G3363=""""),"""",IFERROR(LET(
campo,XLOOKUP(TRIM(G3363),ARRAYFORMULA(TRIM('indice columnas'!$A$2:$A$100)),'indice columnas'!$B$2:$B$100,""""),
col,IFERROR(MATCH(campo,Referencia!$A$1:$AZ$1,0),0),
fila,IFERROR(MATCH(TO_TEXT(D3363),ARRAYFOR"&amp;"MULA(TO_TEXT(Referencia!$A$2:$A6238)),0),0),
IF(OR(campo="""",campo=""-""),""NO APLICA"",
IF(col=0,""REVISAR EQUIVALENCIA"",
IF(fila=0,""SKU NO ENCONTRADO"",
LET(
valor,INDEX(Referencia!$A$2:$AZ6238,fila,col),
IF(TRIM(TO_TEXT(valor))=TRIM(TO_TEXT(I3363)),"&amp;"
""OK"",
""NO COINCIDE. Valor verdadero: ""&amp;IF(valor="""",""[VACÍO]"",TO_TEXT(valor))
)
))))
),""ERROR EN FÓRMULA""))"),"OK")</f>
        <v>OK</v>
      </c>
    </row>
    <row r="3364">
      <c r="A3364" s="83" t="s">
        <v>4896</v>
      </c>
      <c r="B3364" s="83" t="s">
        <v>4897</v>
      </c>
      <c r="C3364" s="81" t="s">
        <v>4086</v>
      </c>
      <c r="D3364" s="83" t="s">
        <v>4142</v>
      </c>
      <c r="E3364" s="81" t="s">
        <v>518</v>
      </c>
      <c r="F3364" s="81">
        <v>65.0</v>
      </c>
      <c r="G3364" s="81" t="s">
        <v>3</v>
      </c>
      <c r="H3364" s="81" t="s">
        <v>376</v>
      </c>
      <c r="I3364" s="81" t="s">
        <v>344</v>
      </c>
      <c r="J3364" s="81" t="s">
        <v>224</v>
      </c>
      <c r="K3364" s="81" t="str">
        <f>IFERROR(__xludf.DUMMYFUNCTION("IF(OR(D3364="""",G3364=""""),"""",IFERROR(LET(
campo,XLOOKUP(TRIM(G3364),ARRAYFORMULA(TRIM('indice columnas'!$A$2:$A$100)),'indice columnas'!$B$2:$B$100,""""),
col,IFERROR(MATCH(campo,Referencia!$A$1:$AZ$1,0),0),
fila,IFERROR(MATCH(TO_TEXT(D3364),ARRAYFOR"&amp;"MULA(TO_TEXT(Referencia!$A$2:$A6238)),0),0),
IF(OR(campo="""",campo=""-""),""NO APLICA"",
IF(col=0,""REVISAR EQUIVALENCIA"",
IF(fila=0,""SKU NO ENCONTRADO"",
LET(
valor,INDEX(Referencia!$A$2:$AZ6238,fila,col),
IF(TRIM(TO_TEXT(valor))=TRIM(TO_TEXT(I3364)),"&amp;"
""OK"",
""NO COINCIDE. Valor verdadero: ""&amp;IF(valor="""",""[VACÍO]"",TO_TEXT(valor))
)
))))
),""ERROR EN FÓRMULA""))"),"OK")</f>
        <v>OK</v>
      </c>
    </row>
    <row r="3365">
      <c r="A3365" s="83" t="s">
        <v>4896</v>
      </c>
      <c r="B3365" s="83" t="s">
        <v>4897</v>
      </c>
      <c r="C3365" s="81" t="s">
        <v>4086</v>
      </c>
      <c r="D3365" s="83" t="s">
        <v>4144</v>
      </c>
      <c r="E3365" s="81" t="s">
        <v>530</v>
      </c>
      <c r="F3365" s="81">
        <v>67.0</v>
      </c>
      <c r="G3365" s="81" t="s">
        <v>3</v>
      </c>
      <c r="H3365" s="81" t="s">
        <v>224</v>
      </c>
      <c r="I3365" s="81" t="s">
        <v>51</v>
      </c>
      <c r="J3365" s="81" t="s">
        <v>224</v>
      </c>
      <c r="K3365" s="81" t="str">
        <f>IFERROR(__xludf.DUMMYFUNCTION("IF(OR(D3365="""",G3365=""""),"""",IFERROR(LET(
campo,XLOOKUP(TRIM(G3365),ARRAYFORMULA(TRIM('indice columnas'!$A$2:$A$100)),'indice columnas'!$B$2:$B$100,""""),
col,IFERROR(MATCH(campo,Referencia!$A$1:$AZ$1,0),0),
fila,IFERROR(MATCH(TO_TEXT(D3365),ARRAYFOR"&amp;"MULA(TO_TEXT(Referencia!$A$2:$A6238)),0),0),
IF(OR(campo="""",campo=""-""),""NO APLICA"",
IF(col=0,""REVISAR EQUIVALENCIA"",
IF(fila=0,""SKU NO ENCONTRADO"",
LET(
valor,INDEX(Referencia!$A$2:$AZ6238,fila,col),
IF(TRIM(TO_TEXT(valor))=TRIM(TO_TEXT(I3365)),"&amp;"
""OK"",
""NO COINCIDE. Valor verdadero: ""&amp;IF(valor="""",""[VACÍO]"",TO_TEXT(valor))
)
))))
),""ERROR EN FÓRMULA""))"),"OK")</f>
        <v>OK</v>
      </c>
    </row>
    <row r="3366">
      <c r="A3366" s="83" t="s">
        <v>4896</v>
      </c>
      <c r="B3366" s="83" t="s">
        <v>4897</v>
      </c>
      <c r="C3366" s="81" t="s">
        <v>4086</v>
      </c>
      <c r="D3366" s="83" t="s">
        <v>4144</v>
      </c>
      <c r="E3366" s="81" t="s">
        <v>530</v>
      </c>
      <c r="F3366" s="81">
        <v>67.0</v>
      </c>
      <c r="G3366" s="81" t="s">
        <v>2</v>
      </c>
      <c r="H3366" s="81" t="s">
        <v>224</v>
      </c>
      <c r="I3366" s="81" t="s">
        <v>213</v>
      </c>
      <c r="J3366" s="81" t="s">
        <v>224</v>
      </c>
      <c r="K3366" s="81" t="str">
        <f>IFERROR(__xludf.DUMMYFUNCTION("IF(OR(D3366="""",G3366=""""),"""",IFERROR(LET(
campo,XLOOKUP(TRIM(G3366),ARRAYFORMULA(TRIM('indice columnas'!$A$2:$A$100)),'indice columnas'!$B$2:$B$100,""""),
col,IFERROR(MATCH(campo,Referencia!$A$1:$AZ$1,0),0),
fila,IFERROR(MATCH(TO_TEXT(D3366),ARRAYFOR"&amp;"MULA(TO_TEXT(Referencia!$A$2:$A6238)),0),0),
IF(OR(campo="""",campo=""-""),""NO APLICA"",
IF(col=0,""REVISAR EQUIVALENCIA"",
IF(fila=0,""SKU NO ENCONTRADO"",
LET(
valor,INDEX(Referencia!$A$2:$AZ6238,fila,col),
IF(TRIM(TO_TEXT(valor))=TRIM(TO_TEXT(I3366)),"&amp;"
""OK"",
""NO COINCIDE. Valor verdadero: ""&amp;IF(valor="""",""[VACÍO]"",TO_TEXT(valor))
)
))))
),""ERROR EN FÓRMULA""))"),"OK")</f>
        <v>OK</v>
      </c>
    </row>
    <row r="3367">
      <c r="A3367" s="83" t="s">
        <v>4896</v>
      </c>
      <c r="B3367" s="83" t="s">
        <v>4897</v>
      </c>
      <c r="C3367" s="81" t="s">
        <v>4086</v>
      </c>
      <c r="D3367" s="83" t="s">
        <v>4144</v>
      </c>
      <c r="E3367" s="81" t="s">
        <v>530</v>
      </c>
      <c r="F3367" s="81">
        <v>67.0</v>
      </c>
      <c r="G3367" s="81" t="s">
        <v>1</v>
      </c>
      <c r="H3367" s="81" t="s">
        <v>224</v>
      </c>
      <c r="I3367" s="81" t="s">
        <v>49</v>
      </c>
      <c r="J3367" s="81" t="s">
        <v>224</v>
      </c>
      <c r="K3367" s="81" t="str">
        <f>IFERROR(__xludf.DUMMYFUNCTION("IF(OR(D3367="""",G3367=""""),"""",IFERROR(LET(
campo,XLOOKUP(TRIM(G3367),ARRAYFORMULA(TRIM('indice columnas'!$A$2:$A$100)),'indice columnas'!$B$2:$B$100,""""),
col,IFERROR(MATCH(campo,Referencia!$A$1:$AZ$1,0),0),
fila,IFERROR(MATCH(TO_TEXT(D3367),ARRAYFOR"&amp;"MULA(TO_TEXT(Referencia!$A$2:$A6238)),0),0),
IF(OR(campo="""",campo=""-""),""NO APLICA"",
IF(col=0,""REVISAR EQUIVALENCIA"",
IF(fila=0,""SKU NO ENCONTRADO"",
LET(
valor,INDEX(Referencia!$A$2:$AZ6238,fila,col),
IF(TRIM(TO_TEXT(valor))=TRIM(TO_TEXT(I3367)),"&amp;"
""OK"",
""NO COINCIDE. Valor verdadero: ""&amp;IF(valor="""",""[VACÍO]"",TO_TEXT(valor))
)
))))
),""ERROR EN FÓRMULA""))"),"OK")</f>
        <v>OK</v>
      </c>
    </row>
    <row r="3368">
      <c r="A3368" s="83" t="s">
        <v>4896</v>
      </c>
      <c r="B3368" s="83" t="s">
        <v>4897</v>
      </c>
      <c r="C3368" s="81" t="s">
        <v>4086</v>
      </c>
      <c r="D3368" s="83" t="s">
        <v>4145</v>
      </c>
      <c r="E3368" s="81" t="s">
        <v>531</v>
      </c>
      <c r="F3368" s="81">
        <v>68.0</v>
      </c>
      <c r="G3368" s="81" t="s">
        <v>3</v>
      </c>
      <c r="H3368" s="81" t="s">
        <v>224</v>
      </c>
      <c r="I3368" s="81" t="s">
        <v>51</v>
      </c>
      <c r="J3368" s="81" t="s">
        <v>224</v>
      </c>
      <c r="K3368" s="81" t="str">
        <f>IFERROR(__xludf.DUMMYFUNCTION("IF(OR(D3368="""",G3368=""""),"""",IFERROR(LET(
campo,XLOOKUP(TRIM(G3368),ARRAYFORMULA(TRIM('indice columnas'!$A$2:$A$100)),'indice columnas'!$B$2:$B$100,""""),
col,IFERROR(MATCH(campo,Referencia!$A$1:$AZ$1,0),0),
fila,IFERROR(MATCH(TO_TEXT(D3368),ARRAYFOR"&amp;"MULA(TO_TEXT(Referencia!$A$2:$A6238)),0),0),
IF(OR(campo="""",campo=""-""),""NO APLICA"",
IF(col=0,""REVISAR EQUIVALENCIA"",
IF(fila=0,""SKU NO ENCONTRADO"",
LET(
valor,INDEX(Referencia!$A$2:$AZ6238,fila,col),
IF(TRIM(TO_TEXT(valor))=TRIM(TO_TEXT(I3368)),"&amp;"
""OK"",
""NO COINCIDE. Valor verdadero: ""&amp;IF(valor="""",""[VACÍO]"",TO_TEXT(valor))
)
))))
),""ERROR EN FÓRMULA""))"),"OK")</f>
        <v>OK</v>
      </c>
    </row>
    <row r="3369">
      <c r="A3369" s="83" t="s">
        <v>4896</v>
      </c>
      <c r="B3369" s="83" t="s">
        <v>4897</v>
      </c>
      <c r="C3369" s="81" t="s">
        <v>4086</v>
      </c>
      <c r="D3369" s="83" t="s">
        <v>4145</v>
      </c>
      <c r="E3369" s="81" t="s">
        <v>531</v>
      </c>
      <c r="F3369" s="81">
        <v>68.0</v>
      </c>
      <c r="G3369" s="81" t="s">
        <v>2</v>
      </c>
      <c r="H3369" s="81" t="s">
        <v>224</v>
      </c>
      <c r="I3369" s="81" t="s">
        <v>213</v>
      </c>
      <c r="J3369" s="81" t="s">
        <v>224</v>
      </c>
      <c r="K3369" s="81" t="str">
        <f>IFERROR(__xludf.DUMMYFUNCTION("IF(OR(D3369="""",G3369=""""),"""",IFERROR(LET(
campo,XLOOKUP(TRIM(G3369),ARRAYFORMULA(TRIM('indice columnas'!$A$2:$A$100)),'indice columnas'!$B$2:$B$100,""""),
col,IFERROR(MATCH(campo,Referencia!$A$1:$AZ$1,0),0),
fila,IFERROR(MATCH(TO_TEXT(D3369),ARRAYFOR"&amp;"MULA(TO_TEXT(Referencia!$A$2:$A6238)),0),0),
IF(OR(campo="""",campo=""-""),""NO APLICA"",
IF(col=0,""REVISAR EQUIVALENCIA"",
IF(fila=0,""SKU NO ENCONTRADO"",
LET(
valor,INDEX(Referencia!$A$2:$AZ6238,fila,col),
IF(TRIM(TO_TEXT(valor))=TRIM(TO_TEXT(I3369)),"&amp;"
""OK"",
""NO COINCIDE. Valor verdadero: ""&amp;IF(valor="""",""[VACÍO]"",TO_TEXT(valor))
)
))))
),""ERROR EN FÓRMULA""))"),"OK")</f>
        <v>OK</v>
      </c>
    </row>
    <row r="3370">
      <c r="A3370" s="83" t="s">
        <v>4896</v>
      </c>
      <c r="B3370" s="83" t="s">
        <v>4897</v>
      </c>
      <c r="C3370" s="81" t="s">
        <v>4086</v>
      </c>
      <c r="D3370" s="83" t="s">
        <v>4145</v>
      </c>
      <c r="E3370" s="81" t="s">
        <v>531</v>
      </c>
      <c r="F3370" s="81">
        <v>68.0</v>
      </c>
      <c r="G3370" s="81" t="s">
        <v>1</v>
      </c>
      <c r="H3370" s="81" t="s">
        <v>224</v>
      </c>
      <c r="I3370" s="81" t="s">
        <v>49</v>
      </c>
      <c r="J3370" s="81" t="s">
        <v>224</v>
      </c>
      <c r="K3370" s="81" t="str">
        <f>IFERROR(__xludf.DUMMYFUNCTION("IF(OR(D3370="""",G3370=""""),"""",IFERROR(LET(
campo,XLOOKUP(TRIM(G3370),ARRAYFORMULA(TRIM('indice columnas'!$A$2:$A$100)),'indice columnas'!$B$2:$B$100,""""),
col,IFERROR(MATCH(campo,Referencia!$A$1:$AZ$1,0),0),
fila,IFERROR(MATCH(TO_TEXT(D3370),ARRAYFOR"&amp;"MULA(TO_TEXT(Referencia!$A$2:$A6238)),0),0),
IF(OR(campo="""",campo=""-""),""NO APLICA"",
IF(col=0,""REVISAR EQUIVALENCIA"",
IF(fila=0,""SKU NO ENCONTRADO"",
LET(
valor,INDEX(Referencia!$A$2:$AZ6238,fila,col),
IF(TRIM(TO_TEXT(valor))=TRIM(TO_TEXT(I3370)),"&amp;"
""OK"",
""NO COINCIDE. Valor verdadero: ""&amp;IF(valor="""",""[VACÍO]"",TO_TEXT(valor))
)
))))
),""ERROR EN FÓRMULA""))"),"OK")</f>
        <v>OK</v>
      </c>
    </row>
    <row r="3371">
      <c r="A3371" s="83" t="s">
        <v>4896</v>
      </c>
      <c r="B3371" s="83" t="s">
        <v>4897</v>
      </c>
      <c r="C3371" s="81" t="s">
        <v>4086</v>
      </c>
      <c r="D3371" s="83" t="s">
        <v>4147</v>
      </c>
      <c r="E3371" s="81" t="s">
        <v>542</v>
      </c>
      <c r="F3371" s="81">
        <v>70.0</v>
      </c>
      <c r="G3371" s="81" t="s">
        <v>3</v>
      </c>
      <c r="H3371" s="81" t="s">
        <v>224</v>
      </c>
      <c r="I3371" s="81" t="s">
        <v>344</v>
      </c>
      <c r="J3371" s="81" t="s">
        <v>224</v>
      </c>
      <c r="K3371" s="81" t="str">
        <f>IFERROR(__xludf.DUMMYFUNCTION("IF(OR(D3371="""",G3371=""""),"""",IFERROR(LET(
campo,XLOOKUP(TRIM(G3371),ARRAYFORMULA(TRIM('indice columnas'!$A$2:$A$100)),'indice columnas'!$B$2:$B$100,""""),
col,IFERROR(MATCH(campo,Referencia!$A$1:$AZ$1,0),0),
fila,IFERROR(MATCH(TO_TEXT(D3371),ARRAYFOR"&amp;"MULA(TO_TEXT(Referencia!$A$2:$A6238)),0),0),
IF(OR(campo="""",campo=""-""),""NO APLICA"",
IF(col=0,""REVISAR EQUIVALENCIA"",
IF(fila=0,""SKU NO ENCONTRADO"",
LET(
valor,INDEX(Referencia!$A$2:$AZ6238,fila,col),
IF(TRIM(TO_TEXT(valor))=TRIM(TO_TEXT(I3371)),"&amp;"
""OK"",
""NO COINCIDE. Valor verdadero: ""&amp;IF(valor="""",""[VACÍO]"",TO_TEXT(valor))
)
))))
),""ERROR EN FÓRMULA""))"),"OK")</f>
        <v>OK</v>
      </c>
    </row>
    <row r="3372">
      <c r="A3372" s="83" t="s">
        <v>4896</v>
      </c>
      <c r="B3372" s="83" t="s">
        <v>4897</v>
      </c>
      <c r="C3372" s="81" t="s">
        <v>4086</v>
      </c>
      <c r="D3372" s="83" t="s">
        <v>4147</v>
      </c>
      <c r="E3372" s="81" t="s">
        <v>542</v>
      </c>
      <c r="F3372" s="81">
        <v>70.0</v>
      </c>
      <c r="G3372" s="81" t="s">
        <v>2</v>
      </c>
      <c r="H3372" s="81" t="s">
        <v>224</v>
      </c>
      <c r="I3372" s="81" t="s">
        <v>213</v>
      </c>
      <c r="J3372" s="81" t="s">
        <v>224</v>
      </c>
      <c r="K3372" s="81" t="str">
        <f>IFERROR(__xludf.DUMMYFUNCTION("IF(OR(D3372="""",G3372=""""),"""",IFERROR(LET(
campo,XLOOKUP(TRIM(G3372),ARRAYFORMULA(TRIM('indice columnas'!$A$2:$A$100)),'indice columnas'!$B$2:$B$100,""""),
col,IFERROR(MATCH(campo,Referencia!$A$1:$AZ$1,0),0),
fila,IFERROR(MATCH(TO_TEXT(D3372),ARRAYFOR"&amp;"MULA(TO_TEXT(Referencia!$A$2:$A6238)),0),0),
IF(OR(campo="""",campo=""-""),""NO APLICA"",
IF(col=0,""REVISAR EQUIVALENCIA"",
IF(fila=0,""SKU NO ENCONTRADO"",
LET(
valor,INDEX(Referencia!$A$2:$AZ6238,fila,col),
IF(TRIM(TO_TEXT(valor))=TRIM(TO_TEXT(I3372)),"&amp;"
""OK"",
""NO COINCIDE. Valor verdadero: ""&amp;IF(valor="""",""[VACÍO]"",TO_TEXT(valor))
)
))))
),""ERROR EN FÓRMULA""))"),"OK")</f>
        <v>OK</v>
      </c>
    </row>
    <row r="3373">
      <c r="A3373" s="83" t="s">
        <v>4896</v>
      </c>
      <c r="B3373" s="83" t="s">
        <v>4897</v>
      </c>
      <c r="C3373" s="81" t="s">
        <v>4086</v>
      </c>
      <c r="D3373" s="83" t="s">
        <v>4147</v>
      </c>
      <c r="E3373" s="81" t="s">
        <v>542</v>
      </c>
      <c r="F3373" s="81">
        <v>70.0</v>
      </c>
      <c r="G3373" s="81" t="s">
        <v>1</v>
      </c>
      <c r="H3373" s="81" t="s">
        <v>224</v>
      </c>
      <c r="I3373" s="81" t="s">
        <v>49</v>
      </c>
      <c r="J3373" s="81" t="s">
        <v>224</v>
      </c>
      <c r="K3373" s="81" t="str">
        <f>IFERROR(__xludf.DUMMYFUNCTION("IF(OR(D3373="""",G3373=""""),"""",IFERROR(LET(
campo,XLOOKUP(TRIM(G3373),ARRAYFORMULA(TRIM('indice columnas'!$A$2:$A$100)),'indice columnas'!$B$2:$B$100,""""),
col,IFERROR(MATCH(campo,Referencia!$A$1:$AZ$1,0),0),
fila,IFERROR(MATCH(TO_TEXT(D3373),ARRAYFOR"&amp;"MULA(TO_TEXT(Referencia!$A$2:$A6238)),0),0),
IF(OR(campo="""",campo=""-""),""NO APLICA"",
IF(col=0,""REVISAR EQUIVALENCIA"",
IF(fila=0,""SKU NO ENCONTRADO"",
LET(
valor,INDEX(Referencia!$A$2:$AZ6238,fila,col),
IF(TRIM(TO_TEXT(valor))=TRIM(TO_TEXT(I3373)),"&amp;"
""OK"",
""NO COINCIDE. Valor verdadero: ""&amp;IF(valor="""",""[VACÍO]"",TO_TEXT(valor))
)
))))
),""ERROR EN FÓRMULA""))"),"OK")</f>
        <v>OK</v>
      </c>
    </row>
    <row r="3374">
      <c r="A3374" s="83" t="s">
        <v>4896</v>
      </c>
      <c r="B3374" s="83" t="s">
        <v>4897</v>
      </c>
      <c r="C3374" s="81" t="s">
        <v>4086</v>
      </c>
      <c r="D3374" s="83" t="s">
        <v>4148</v>
      </c>
      <c r="E3374" s="81" t="s">
        <v>552</v>
      </c>
      <c r="F3374" s="81">
        <v>72.0</v>
      </c>
      <c r="G3374" s="81" t="s">
        <v>3</v>
      </c>
      <c r="H3374" s="81" t="s">
        <v>224</v>
      </c>
      <c r="I3374" s="81" t="s">
        <v>344</v>
      </c>
      <c r="J3374" s="81" t="s">
        <v>224</v>
      </c>
      <c r="K3374" s="81" t="str">
        <f>IFERROR(__xludf.DUMMYFUNCTION("IF(OR(D3374="""",G3374=""""),"""",IFERROR(LET(
campo,XLOOKUP(TRIM(G3374),ARRAYFORMULA(TRIM('indice columnas'!$A$2:$A$100)),'indice columnas'!$B$2:$B$100,""""),
col,IFERROR(MATCH(campo,Referencia!$A$1:$AZ$1,0),0),
fila,IFERROR(MATCH(TO_TEXT(D3374),ARRAYFOR"&amp;"MULA(TO_TEXT(Referencia!$A$2:$A6238)),0),0),
IF(OR(campo="""",campo=""-""),""NO APLICA"",
IF(col=0,""REVISAR EQUIVALENCIA"",
IF(fila=0,""SKU NO ENCONTRADO"",
LET(
valor,INDEX(Referencia!$A$2:$AZ6238,fila,col),
IF(TRIM(TO_TEXT(valor))=TRIM(TO_TEXT(I3374)),"&amp;"
""OK"",
""NO COINCIDE. Valor verdadero: ""&amp;IF(valor="""",""[VACÍO]"",TO_TEXT(valor))
)
))))
),""ERROR EN FÓRMULA""))"),"OK")</f>
        <v>OK</v>
      </c>
    </row>
    <row r="3375">
      <c r="A3375" s="83" t="s">
        <v>4896</v>
      </c>
      <c r="B3375" s="83" t="s">
        <v>4897</v>
      </c>
      <c r="C3375" s="81" t="s">
        <v>4086</v>
      </c>
      <c r="D3375" s="83" t="s">
        <v>4148</v>
      </c>
      <c r="E3375" s="81" t="s">
        <v>552</v>
      </c>
      <c r="F3375" s="81">
        <v>72.0</v>
      </c>
      <c r="G3375" s="81" t="s">
        <v>2</v>
      </c>
      <c r="H3375" s="81" t="s">
        <v>224</v>
      </c>
      <c r="I3375" s="81" t="s">
        <v>213</v>
      </c>
      <c r="J3375" s="81" t="s">
        <v>224</v>
      </c>
      <c r="K3375" s="81" t="str">
        <f>IFERROR(__xludf.DUMMYFUNCTION("IF(OR(D3375="""",G3375=""""),"""",IFERROR(LET(
campo,XLOOKUP(TRIM(G3375),ARRAYFORMULA(TRIM('indice columnas'!$A$2:$A$100)),'indice columnas'!$B$2:$B$100,""""),
col,IFERROR(MATCH(campo,Referencia!$A$1:$AZ$1,0),0),
fila,IFERROR(MATCH(TO_TEXT(D3375),ARRAYFOR"&amp;"MULA(TO_TEXT(Referencia!$A$2:$A6238)),0),0),
IF(OR(campo="""",campo=""-""),""NO APLICA"",
IF(col=0,""REVISAR EQUIVALENCIA"",
IF(fila=0,""SKU NO ENCONTRADO"",
LET(
valor,INDEX(Referencia!$A$2:$AZ6238,fila,col),
IF(TRIM(TO_TEXT(valor))=TRIM(TO_TEXT(I3375)),"&amp;"
""OK"",
""NO COINCIDE. Valor verdadero: ""&amp;IF(valor="""",""[VACÍO]"",TO_TEXT(valor))
)
))))
),""ERROR EN FÓRMULA""))"),"OK")</f>
        <v>OK</v>
      </c>
    </row>
    <row r="3376">
      <c r="A3376" s="83" t="s">
        <v>4896</v>
      </c>
      <c r="B3376" s="83" t="s">
        <v>4897</v>
      </c>
      <c r="C3376" s="81" t="s">
        <v>4086</v>
      </c>
      <c r="D3376" s="83" t="s">
        <v>4149</v>
      </c>
      <c r="E3376" s="81" t="s">
        <v>554</v>
      </c>
      <c r="F3376" s="81">
        <v>73.0</v>
      </c>
      <c r="G3376" s="81" t="s">
        <v>3</v>
      </c>
      <c r="H3376" s="81" t="s">
        <v>224</v>
      </c>
      <c r="I3376" s="81" t="s">
        <v>344</v>
      </c>
      <c r="J3376" s="81" t="s">
        <v>224</v>
      </c>
      <c r="K3376" s="81" t="str">
        <f>IFERROR(__xludf.DUMMYFUNCTION("IF(OR(D3376="""",G3376=""""),"""",IFERROR(LET(
campo,XLOOKUP(TRIM(G3376),ARRAYFORMULA(TRIM('indice columnas'!$A$2:$A$100)),'indice columnas'!$B$2:$B$100,""""),
col,IFERROR(MATCH(campo,Referencia!$A$1:$AZ$1,0),0),
fila,IFERROR(MATCH(TO_TEXT(D3376),ARRAYFOR"&amp;"MULA(TO_TEXT(Referencia!$A$2:$A6238)),0),0),
IF(OR(campo="""",campo=""-""),""NO APLICA"",
IF(col=0,""REVISAR EQUIVALENCIA"",
IF(fila=0,""SKU NO ENCONTRADO"",
LET(
valor,INDEX(Referencia!$A$2:$AZ6238,fila,col),
IF(TRIM(TO_TEXT(valor))=TRIM(TO_TEXT(I3376)),"&amp;"
""OK"",
""NO COINCIDE. Valor verdadero: ""&amp;IF(valor="""",""[VACÍO]"",TO_TEXT(valor))
)
))))
),""ERROR EN FÓRMULA""))"),"OK")</f>
        <v>OK</v>
      </c>
    </row>
    <row r="3377">
      <c r="A3377" s="83" t="s">
        <v>4896</v>
      </c>
      <c r="B3377" s="83" t="s">
        <v>4897</v>
      </c>
      <c r="C3377" s="81" t="s">
        <v>4086</v>
      </c>
      <c r="D3377" s="83" t="s">
        <v>4149</v>
      </c>
      <c r="E3377" s="81" t="s">
        <v>554</v>
      </c>
      <c r="F3377" s="81">
        <v>73.0</v>
      </c>
      <c r="G3377" s="81" t="s">
        <v>2</v>
      </c>
      <c r="H3377" s="81" t="s">
        <v>224</v>
      </c>
      <c r="I3377" s="81" t="s">
        <v>213</v>
      </c>
      <c r="J3377" s="81" t="s">
        <v>224</v>
      </c>
      <c r="K3377" s="81" t="str">
        <f>IFERROR(__xludf.DUMMYFUNCTION("IF(OR(D3377="""",G3377=""""),"""",IFERROR(LET(
campo,XLOOKUP(TRIM(G3377),ARRAYFORMULA(TRIM('indice columnas'!$A$2:$A$100)),'indice columnas'!$B$2:$B$100,""""),
col,IFERROR(MATCH(campo,Referencia!$A$1:$AZ$1,0),0),
fila,IFERROR(MATCH(TO_TEXT(D3377),ARRAYFOR"&amp;"MULA(TO_TEXT(Referencia!$A$2:$A6238)),0),0),
IF(OR(campo="""",campo=""-""),""NO APLICA"",
IF(col=0,""REVISAR EQUIVALENCIA"",
IF(fila=0,""SKU NO ENCONTRADO"",
LET(
valor,INDEX(Referencia!$A$2:$AZ6238,fila,col),
IF(TRIM(TO_TEXT(valor))=TRIM(TO_TEXT(I3377)),"&amp;"
""OK"",
""NO COINCIDE. Valor verdadero: ""&amp;IF(valor="""",""[VACÍO]"",TO_TEXT(valor))
)
))))
),""ERROR EN FÓRMULA""))"),"OK")</f>
        <v>OK</v>
      </c>
    </row>
    <row r="3378">
      <c r="A3378" s="83" t="s">
        <v>4896</v>
      </c>
      <c r="B3378" s="83" t="s">
        <v>4897</v>
      </c>
      <c r="C3378" s="81" t="s">
        <v>4086</v>
      </c>
      <c r="D3378" s="83" t="s">
        <v>4150</v>
      </c>
      <c r="E3378" s="81" t="s">
        <v>565</v>
      </c>
      <c r="F3378" s="81">
        <v>75.0</v>
      </c>
      <c r="G3378" s="81" t="s">
        <v>3</v>
      </c>
      <c r="H3378" s="81" t="s">
        <v>224</v>
      </c>
      <c r="I3378" s="81" t="s">
        <v>344</v>
      </c>
      <c r="J3378" s="81" t="s">
        <v>224</v>
      </c>
      <c r="K3378" s="81" t="str">
        <f>IFERROR(__xludf.DUMMYFUNCTION("IF(OR(D3378="""",G3378=""""),"""",IFERROR(LET(
campo,XLOOKUP(TRIM(G3378),ARRAYFORMULA(TRIM('indice columnas'!$A$2:$A$100)),'indice columnas'!$B$2:$B$100,""""),
col,IFERROR(MATCH(campo,Referencia!$A$1:$AZ$1,0),0),
fila,IFERROR(MATCH(TO_TEXT(D3378),ARRAYFOR"&amp;"MULA(TO_TEXT(Referencia!$A$2:$A6238)),0),0),
IF(OR(campo="""",campo=""-""),""NO APLICA"",
IF(col=0,""REVISAR EQUIVALENCIA"",
IF(fila=0,""SKU NO ENCONTRADO"",
LET(
valor,INDEX(Referencia!$A$2:$AZ6238,fila,col),
IF(TRIM(TO_TEXT(valor))=TRIM(TO_TEXT(I3378)),"&amp;"
""OK"",
""NO COINCIDE. Valor verdadero: ""&amp;IF(valor="""",""[VACÍO]"",TO_TEXT(valor))
)
))))
),""ERROR EN FÓRMULA""))"),"OK")</f>
        <v>OK</v>
      </c>
    </row>
    <row r="3379">
      <c r="A3379" s="83" t="s">
        <v>4896</v>
      </c>
      <c r="B3379" s="83" t="s">
        <v>4897</v>
      </c>
      <c r="C3379" s="81" t="s">
        <v>4086</v>
      </c>
      <c r="D3379" s="83" t="s">
        <v>4150</v>
      </c>
      <c r="E3379" s="81" t="s">
        <v>565</v>
      </c>
      <c r="F3379" s="81">
        <v>75.0</v>
      </c>
      <c r="G3379" s="81" t="s">
        <v>2</v>
      </c>
      <c r="H3379" s="81" t="s">
        <v>224</v>
      </c>
      <c r="I3379" s="81" t="s">
        <v>213</v>
      </c>
      <c r="J3379" s="81" t="s">
        <v>224</v>
      </c>
      <c r="K3379" s="81" t="str">
        <f>IFERROR(__xludf.DUMMYFUNCTION("IF(OR(D3379="""",G3379=""""),"""",IFERROR(LET(
campo,XLOOKUP(TRIM(G3379),ARRAYFORMULA(TRIM('indice columnas'!$A$2:$A$100)),'indice columnas'!$B$2:$B$100,""""),
col,IFERROR(MATCH(campo,Referencia!$A$1:$AZ$1,0),0),
fila,IFERROR(MATCH(TO_TEXT(D3379),ARRAYFOR"&amp;"MULA(TO_TEXT(Referencia!$A$2:$A6238)),0),0),
IF(OR(campo="""",campo=""-""),""NO APLICA"",
IF(col=0,""REVISAR EQUIVALENCIA"",
IF(fila=0,""SKU NO ENCONTRADO"",
LET(
valor,INDEX(Referencia!$A$2:$AZ6238,fila,col),
IF(TRIM(TO_TEXT(valor))=TRIM(TO_TEXT(I3379)),"&amp;"
""OK"",
""NO COINCIDE. Valor verdadero: ""&amp;IF(valor="""",""[VACÍO]"",TO_TEXT(valor))
)
))))
),""ERROR EN FÓRMULA""))"),"OK")</f>
        <v>OK</v>
      </c>
    </row>
    <row r="3380">
      <c r="A3380" s="83" t="s">
        <v>4896</v>
      </c>
      <c r="B3380" s="83" t="s">
        <v>4897</v>
      </c>
      <c r="C3380" s="81" t="s">
        <v>4086</v>
      </c>
      <c r="D3380" s="83" t="s">
        <v>4150</v>
      </c>
      <c r="E3380" s="81" t="s">
        <v>565</v>
      </c>
      <c r="F3380" s="81">
        <v>75.0</v>
      </c>
      <c r="G3380" s="81" t="s">
        <v>1</v>
      </c>
      <c r="H3380" s="81" t="s">
        <v>224</v>
      </c>
      <c r="I3380" s="81" t="s">
        <v>49</v>
      </c>
      <c r="J3380" s="81" t="s">
        <v>224</v>
      </c>
      <c r="K3380" s="81" t="str">
        <f>IFERROR(__xludf.DUMMYFUNCTION("IF(OR(D3380="""",G3380=""""),"""",IFERROR(LET(
campo,XLOOKUP(TRIM(G3380),ARRAYFORMULA(TRIM('indice columnas'!$A$2:$A$100)),'indice columnas'!$B$2:$B$100,""""),
col,IFERROR(MATCH(campo,Referencia!$A$1:$AZ$1,0),0),
fila,IFERROR(MATCH(TO_TEXT(D3380),ARRAYFOR"&amp;"MULA(TO_TEXT(Referencia!$A$2:$A6238)),0),0),
IF(OR(campo="""",campo=""-""),""NO APLICA"",
IF(col=0,""REVISAR EQUIVALENCIA"",
IF(fila=0,""SKU NO ENCONTRADO"",
LET(
valor,INDEX(Referencia!$A$2:$AZ6238,fila,col),
IF(TRIM(TO_TEXT(valor))=TRIM(TO_TEXT(I3380)),"&amp;"
""OK"",
""NO COINCIDE. Valor verdadero: ""&amp;IF(valor="""",""[VACÍO]"",TO_TEXT(valor))
)
))))
),""ERROR EN FÓRMULA""))"),"OK")</f>
        <v>OK</v>
      </c>
    </row>
    <row r="3381">
      <c r="A3381" s="83" t="s">
        <v>4896</v>
      </c>
      <c r="B3381" s="83" t="s">
        <v>4897</v>
      </c>
      <c r="C3381" s="81" t="s">
        <v>4086</v>
      </c>
      <c r="D3381" s="83" t="s">
        <v>4151</v>
      </c>
      <c r="E3381" s="81" t="s">
        <v>567</v>
      </c>
      <c r="F3381" s="81">
        <v>76.0</v>
      </c>
      <c r="G3381" s="81" t="s">
        <v>3</v>
      </c>
      <c r="H3381" s="81" t="s">
        <v>224</v>
      </c>
      <c r="I3381" s="81" t="s">
        <v>344</v>
      </c>
      <c r="J3381" s="81" t="s">
        <v>224</v>
      </c>
      <c r="K3381" s="81" t="str">
        <f>IFERROR(__xludf.DUMMYFUNCTION("IF(OR(D3381="""",G3381=""""),"""",IFERROR(LET(
campo,XLOOKUP(TRIM(G3381),ARRAYFORMULA(TRIM('indice columnas'!$A$2:$A$100)),'indice columnas'!$B$2:$B$100,""""),
col,IFERROR(MATCH(campo,Referencia!$A$1:$AZ$1,0),0),
fila,IFERROR(MATCH(TO_TEXT(D3381),ARRAYFOR"&amp;"MULA(TO_TEXT(Referencia!$A$2:$A6238)),0),0),
IF(OR(campo="""",campo=""-""),""NO APLICA"",
IF(col=0,""REVISAR EQUIVALENCIA"",
IF(fila=0,""SKU NO ENCONTRADO"",
LET(
valor,INDEX(Referencia!$A$2:$AZ6238,fila,col),
IF(TRIM(TO_TEXT(valor))=TRIM(TO_TEXT(I3381)),"&amp;"
""OK"",
""NO COINCIDE. Valor verdadero: ""&amp;IF(valor="""",""[VACÍO]"",TO_TEXT(valor))
)
))))
),""ERROR EN FÓRMULA""))"),"OK")</f>
        <v>OK</v>
      </c>
    </row>
    <row r="3382">
      <c r="A3382" s="83" t="s">
        <v>4896</v>
      </c>
      <c r="B3382" s="83" t="s">
        <v>4897</v>
      </c>
      <c r="C3382" s="81" t="s">
        <v>4086</v>
      </c>
      <c r="D3382" s="83" t="s">
        <v>4151</v>
      </c>
      <c r="E3382" s="81" t="s">
        <v>567</v>
      </c>
      <c r="F3382" s="81">
        <v>76.0</v>
      </c>
      <c r="G3382" s="81" t="s">
        <v>2</v>
      </c>
      <c r="H3382" s="81" t="s">
        <v>224</v>
      </c>
      <c r="I3382" s="81" t="s">
        <v>213</v>
      </c>
      <c r="J3382" s="81" t="s">
        <v>224</v>
      </c>
      <c r="K3382" s="81" t="str">
        <f>IFERROR(__xludf.DUMMYFUNCTION("IF(OR(D3382="""",G3382=""""),"""",IFERROR(LET(
campo,XLOOKUP(TRIM(G3382),ARRAYFORMULA(TRIM('indice columnas'!$A$2:$A$100)),'indice columnas'!$B$2:$B$100,""""),
col,IFERROR(MATCH(campo,Referencia!$A$1:$AZ$1,0),0),
fila,IFERROR(MATCH(TO_TEXT(D3382),ARRAYFOR"&amp;"MULA(TO_TEXT(Referencia!$A$2:$A6238)),0),0),
IF(OR(campo="""",campo=""-""),""NO APLICA"",
IF(col=0,""REVISAR EQUIVALENCIA"",
IF(fila=0,""SKU NO ENCONTRADO"",
LET(
valor,INDEX(Referencia!$A$2:$AZ6238,fila,col),
IF(TRIM(TO_TEXT(valor))=TRIM(TO_TEXT(I3382)),"&amp;"
""OK"",
""NO COINCIDE. Valor verdadero: ""&amp;IF(valor="""",""[VACÍO]"",TO_TEXT(valor))
)
))))
),""ERROR EN FÓRMULA""))"),"OK")</f>
        <v>OK</v>
      </c>
    </row>
    <row r="3383">
      <c r="A3383" s="83" t="s">
        <v>4896</v>
      </c>
      <c r="B3383" s="83" t="s">
        <v>4897</v>
      </c>
      <c r="C3383" s="81" t="s">
        <v>4086</v>
      </c>
      <c r="D3383" s="83" t="s">
        <v>4151</v>
      </c>
      <c r="E3383" s="81" t="s">
        <v>567</v>
      </c>
      <c r="F3383" s="81">
        <v>76.0</v>
      </c>
      <c r="G3383" s="81" t="s">
        <v>1</v>
      </c>
      <c r="H3383" s="81" t="s">
        <v>224</v>
      </c>
      <c r="I3383" s="81" t="s">
        <v>49</v>
      </c>
      <c r="J3383" s="81" t="s">
        <v>224</v>
      </c>
      <c r="K3383" s="81" t="str">
        <f>IFERROR(__xludf.DUMMYFUNCTION("IF(OR(D3383="""",G3383=""""),"""",IFERROR(LET(
campo,XLOOKUP(TRIM(G3383),ARRAYFORMULA(TRIM('indice columnas'!$A$2:$A$100)),'indice columnas'!$B$2:$B$100,""""),
col,IFERROR(MATCH(campo,Referencia!$A$1:$AZ$1,0),0),
fila,IFERROR(MATCH(TO_TEXT(D3383),ARRAYFOR"&amp;"MULA(TO_TEXT(Referencia!$A$2:$A6238)),0),0),
IF(OR(campo="""",campo=""-""),""NO APLICA"",
IF(col=0,""REVISAR EQUIVALENCIA"",
IF(fila=0,""SKU NO ENCONTRADO"",
LET(
valor,INDEX(Referencia!$A$2:$AZ6238,fila,col),
IF(TRIM(TO_TEXT(valor))=TRIM(TO_TEXT(I3383)),"&amp;"
""OK"",
""NO COINCIDE. Valor verdadero: ""&amp;IF(valor="""",""[VACÍO]"",TO_TEXT(valor))
)
))))
),""ERROR EN FÓRMULA""))"),"OK")</f>
        <v>OK</v>
      </c>
    </row>
    <row r="3384">
      <c r="A3384" s="83" t="s">
        <v>4896</v>
      </c>
      <c r="B3384" s="83" t="s">
        <v>4897</v>
      </c>
      <c r="C3384" s="81" t="s">
        <v>4086</v>
      </c>
      <c r="D3384" s="83" t="s">
        <v>4152</v>
      </c>
      <c r="E3384" s="81" t="s">
        <v>569</v>
      </c>
      <c r="F3384" s="81">
        <v>77.0</v>
      </c>
      <c r="G3384" s="81" t="s">
        <v>3</v>
      </c>
      <c r="H3384" s="81" t="s">
        <v>224</v>
      </c>
      <c r="I3384" s="81" t="s">
        <v>344</v>
      </c>
      <c r="J3384" s="81" t="s">
        <v>224</v>
      </c>
      <c r="K3384" s="81" t="str">
        <f>IFERROR(__xludf.DUMMYFUNCTION("IF(OR(D3384="""",G3384=""""),"""",IFERROR(LET(
campo,XLOOKUP(TRIM(G3384),ARRAYFORMULA(TRIM('indice columnas'!$A$2:$A$100)),'indice columnas'!$B$2:$B$100,""""),
col,IFERROR(MATCH(campo,Referencia!$A$1:$AZ$1,0),0),
fila,IFERROR(MATCH(TO_TEXT(D3384),ARRAYFOR"&amp;"MULA(TO_TEXT(Referencia!$A$2:$A6238)),0),0),
IF(OR(campo="""",campo=""-""),""NO APLICA"",
IF(col=0,""REVISAR EQUIVALENCIA"",
IF(fila=0,""SKU NO ENCONTRADO"",
LET(
valor,INDEX(Referencia!$A$2:$AZ6238,fila,col),
IF(TRIM(TO_TEXT(valor))=TRIM(TO_TEXT(I3384)),"&amp;"
""OK"",
""NO COINCIDE. Valor verdadero: ""&amp;IF(valor="""",""[VACÍO]"",TO_TEXT(valor))
)
))))
),""ERROR EN FÓRMULA""))"),"OK")</f>
        <v>OK</v>
      </c>
    </row>
    <row r="3385">
      <c r="A3385" s="83" t="s">
        <v>4896</v>
      </c>
      <c r="B3385" s="83" t="s">
        <v>4897</v>
      </c>
      <c r="C3385" s="81" t="s">
        <v>4086</v>
      </c>
      <c r="D3385" s="83" t="s">
        <v>4152</v>
      </c>
      <c r="E3385" s="81" t="s">
        <v>569</v>
      </c>
      <c r="F3385" s="81">
        <v>77.0</v>
      </c>
      <c r="G3385" s="81" t="s">
        <v>2</v>
      </c>
      <c r="H3385" s="81" t="s">
        <v>224</v>
      </c>
      <c r="I3385" s="81" t="s">
        <v>213</v>
      </c>
      <c r="J3385" s="81" t="s">
        <v>224</v>
      </c>
      <c r="K3385" s="81" t="str">
        <f>IFERROR(__xludf.DUMMYFUNCTION("IF(OR(D3385="""",G3385=""""),"""",IFERROR(LET(
campo,XLOOKUP(TRIM(G3385),ARRAYFORMULA(TRIM('indice columnas'!$A$2:$A$100)),'indice columnas'!$B$2:$B$100,""""),
col,IFERROR(MATCH(campo,Referencia!$A$1:$AZ$1,0),0),
fila,IFERROR(MATCH(TO_TEXT(D3385),ARRAYFOR"&amp;"MULA(TO_TEXT(Referencia!$A$2:$A6238)),0),0),
IF(OR(campo="""",campo=""-""),""NO APLICA"",
IF(col=0,""REVISAR EQUIVALENCIA"",
IF(fila=0,""SKU NO ENCONTRADO"",
LET(
valor,INDEX(Referencia!$A$2:$AZ6238,fila,col),
IF(TRIM(TO_TEXT(valor))=TRIM(TO_TEXT(I3385)),"&amp;"
""OK"",
""NO COINCIDE. Valor verdadero: ""&amp;IF(valor="""",""[VACÍO]"",TO_TEXT(valor))
)
))))
),""ERROR EN FÓRMULA""))"),"OK")</f>
        <v>OK</v>
      </c>
    </row>
    <row r="3386">
      <c r="A3386" s="83" t="s">
        <v>4896</v>
      </c>
      <c r="B3386" s="83" t="s">
        <v>4897</v>
      </c>
      <c r="C3386" s="81" t="s">
        <v>4086</v>
      </c>
      <c r="D3386" s="83" t="s">
        <v>4152</v>
      </c>
      <c r="E3386" s="81" t="s">
        <v>569</v>
      </c>
      <c r="F3386" s="81">
        <v>77.0</v>
      </c>
      <c r="G3386" s="81" t="s">
        <v>1</v>
      </c>
      <c r="H3386" s="81" t="s">
        <v>224</v>
      </c>
      <c r="I3386" s="81" t="s">
        <v>49</v>
      </c>
      <c r="J3386" s="81" t="s">
        <v>224</v>
      </c>
      <c r="K3386" s="81" t="str">
        <f>IFERROR(__xludf.DUMMYFUNCTION("IF(OR(D3386="""",G3386=""""),"""",IFERROR(LET(
campo,XLOOKUP(TRIM(G3386),ARRAYFORMULA(TRIM('indice columnas'!$A$2:$A$100)),'indice columnas'!$B$2:$B$100,""""),
col,IFERROR(MATCH(campo,Referencia!$A$1:$AZ$1,0),0),
fila,IFERROR(MATCH(TO_TEXT(D3386),ARRAYFOR"&amp;"MULA(TO_TEXT(Referencia!$A$2:$A6238)),0),0),
IF(OR(campo="""",campo=""-""),""NO APLICA"",
IF(col=0,""REVISAR EQUIVALENCIA"",
IF(fila=0,""SKU NO ENCONTRADO"",
LET(
valor,INDEX(Referencia!$A$2:$AZ6238,fila,col),
IF(TRIM(TO_TEXT(valor))=TRIM(TO_TEXT(I3386)),"&amp;"
""OK"",
""NO COINCIDE. Valor verdadero: ""&amp;IF(valor="""",""[VACÍO]"",TO_TEXT(valor))
)
))))
),""ERROR EN FÓRMULA""))"),"OK")</f>
        <v>OK</v>
      </c>
    </row>
    <row r="3387">
      <c r="A3387" s="83" t="s">
        <v>4896</v>
      </c>
      <c r="B3387" s="83" t="s">
        <v>4897</v>
      </c>
      <c r="C3387" s="81" t="s">
        <v>4086</v>
      </c>
      <c r="D3387" s="83" t="s">
        <v>4153</v>
      </c>
      <c r="E3387" s="81" t="s">
        <v>571</v>
      </c>
      <c r="F3387" s="81">
        <v>78.0</v>
      </c>
      <c r="G3387" s="81" t="s">
        <v>3</v>
      </c>
      <c r="H3387" s="81" t="s">
        <v>224</v>
      </c>
      <c r="I3387" s="81" t="s">
        <v>344</v>
      </c>
      <c r="J3387" s="81" t="s">
        <v>224</v>
      </c>
      <c r="K3387" s="81" t="str">
        <f>IFERROR(__xludf.DUMMYFUNCTION("IF(OR(D3387="""",G3387=""""),"""",IFERROR(LET(
campo,XLOOKUP(TRIM(G3387),ARRAYFORMULA(TRIM('indice columnas'!$A$2:$A$100)),'indice columnas'!$B$2:$B$100,""""),
col,IFERROR(MATCH(campo,Referencia!$A$1:$AZ$1,0),0),
fila,IFERROR(MATCH(TO_TEXT(D3387),ARRAYFOR"&amp;"MULA(TO_TEXT(Referencia!$A$2:$A6238)),0),0),
IF(OR(campo="""",campo=""-""),""NO APLICA"",
IF(col=0,""REVISAR EQUIVALENCIA"",
IF(fila=0,""SKU NO ENCONTRADO"",
LET(
valor,INDEX(Referencia!$A$2:$AZ6238,fila,col),
IF(TRIM(TO_TEXT(valor))=TRIM(TO_TEXT(I3387)),"&amp;"
""OK"",
""NO COINCIDE. Valor verdadero: ""&amp;IF(valor="""",""[VACÍO]"",TO_TEXT(valor))
)
))))
),""ERROR EN FÓRMULA""))"),"OK")</f>
        <v>OK</v>
      </c>
    </row>
    <row r="3388">
      <c r="A3388" s="83" t="s">
        <v>4896</v>
      </c>
      <c r="B3388" s="83" t="s">
        <v>4897</v>
      </c>
      <c r="C3388" s="81" t="s">
        <v>4086</v>
      </c>
      <c r="D3388" s="83" t="s">
        <v>4153</v>
      </c>
      <c r="E3388" s="81" t="s">
        <v>571</v>
      </c>
      <c r="F3388" s="81">
        <v>78.0</v>
      </c>
      <c r="G3388" s="81" t="s">
        <v>2</v>
      </c>
      <c r="H3388" s="81" t="s">
        <v>224</v>
      </c>
      <c r="I3388" s="81" t="s">
        <v>213</v>
      </c>
      <c r="J3388" s="81" t="s">
        <v>224</v>
      </c>
      <c r="K3388" s="81" t="str">
        <f>IFERROR(__xludf.DUMMYFUNCTION("IF(OR(D3388="""",G3388=""""),"""",IFERROR(LET(
campo,XLOOKUP(TRIM(G3388),ARRAYFORMULA(TRIM('indice columnas'!$A$2:$A$100)),'indice columnas'!$B$2:$B$100,""""),
col,IFERROR(MATCH(campo,Referencia!$A$1:$AZ$1,0),0),
fila,IFERROR(MATCH(TO_TEXT(D3388),ARRAYFOR"&amp;"MULA(TO_TEXT(Referencia!$A$2:$A6238)),0),0),
IF(OR(campo="""",campo=""-""),""NO APLICA"",
IF(col=0,""REVISAR EQUIVALENCIA"",
IF(fila=0,""SKU NO ENCONTRADO"",
LET(
valor,INDEX(Referencia!$A$2:$AZ6238,fila,col),
IF(TRIM(TO_TEXT(valor))=TRIM(TO_TEXT(I3388)),"&amp;"
""OK"",
""NO COINCIDE. Valor verdadero: ""&amp;IF(valor="""",""[VACÍO]"",TO_TEXT(valor))
)
))))
),""ERROR EN FÓRMULA""))"),"OK")</f>
        <v>OK</v>
      </c>
    </row>
    <row r="3389">
      <c r="A3389" s="83" t="s">
        <v>4896</v>
      </c>
      <c r="B3389" s="83" t="s">
        <v>4897</v>
      </c>
      <c r="C3389" s="81" t="s">
        <v>4086</v>
      </c>
      <c r="D3389" s="83" t="s">
        <v>4155</v>
      </c>
      <c r="E3389" s="81" t="s">
        <v>581</v>
      </c>
      <c r="F3389" s="81">
        <v>80.0</v>
      </c>
      <c r="G3389" s="81" t="s">
        <v>3</v>
      </c>
      <c r="H3389" s="81" t="s">
        <v>224</v>
      </c>
      <c r="I3389" s="81" t="s">
        <v>344</v>
      </c>
      <c r="J3389" s="81" t="s">
        <v>224</v>
      </c>
      <c r="K3389" s="81" t="str">
        <f>IFERROR(__xludf.DUMMYFUNCTION("IF(OR(D3389="""",G3389=""""),"""",IFERROR(LET(
campo,XLOOKUP(TRIM(G3389),ARRAYFORMULA(TRIM('indice columnas'!$A$2:$A$100)),'indice columnas'!$B$2:$B$100,""""),
col,IFERROR(MATCH(campo,Referencia!$A$1:$AZ$1,0),0),
fila,IFERROR(MATCH(TO_TEXT(D3389),ARRAYFOR"&amp;"MULA(TO_TEXT(Referencia!$A$2:$A6238)),0),0),
IF(OR(campo="""",campo=""-""),""NO APLICA"",
IF(col=0,""REVISAR EQUIVALENCIA"",
IF(fila=0,""SKU NO ENCONTRADO"",
LET(
valor,INDEX(Referencia!$A$2:$AZ6238,fila,col),
IF(TRIM(TO_TEXT(valor))=TRIM(TO_TEXT(I3389)),"&amp;"
""OK"",
""NO COINCIDE. Valor verdadero: ""&amp;IF(valor="""",""[VACÍO]"",TO_TEXT(valor))
)
))))
),""ERROR EN FÓRMULA""))"),"OK")</f>
        <v>OK</v>
      </c>
    </row>
    <row r="3390">
      <c r="A3390" s="83" t="s">
        <v>4896</v>
      </c>
      <c r="B3390" s="83" t="s">
        <v>4897</v>
      </c>
      <c r="C3390" s="81" t="s">
        <v>4086</v>
      </c>
      <c r="D3390" s="83" t="s">
        <v>4155</v>
      </c>
      <c r="E3390" s="81" t="s">
        <v>581</v>
      </c>
      <c r="F3390" s="81">
        <v>80.0</v>
      </c>
      <c r="G3390" s="81" t="s">
        <v>2</v>
      </c>
      <c r="H3390" s="81" t="s">
        <v>224</v>
      </c>
      <c r="I3390" s="81" t="s">
        <v>213</v>
      </c>
      <c r="J3390" s="81" t="s">
        <v>224</v>
      </c>
      <c r="K3390" s="81" t="str">
        <f>IFERROR(__xludf.DUMMYFUNCTION("IF(OR(D3390="""",G3390=""""),"""",IFERROR(LET(
campo,XLOOKUP(TRIM(G3390),ARRAYFORMULA(TRIM('indice columnas'!$A$2:$A$100)),'indice columnas'!$B$2:$B$100,""""),
col,IFERROR(MATCH(campo,Referencia!$A$1:$AZ$1,0),0),
fila,IFERROR(MATCH(TO_TEXT(D3390),ARRAYFOR"&amp;"MULA(TO_TEXT(Referencia!$A$2:$A6238)),0),0),
IF(OR(campo="""",campo=""-""),""NO APLICA"",
IF(col=0,""REVISAR EQUIVALENCIA"",
IF(fila=0,""SKU NO ENCONTRADO"",
LET(
valor,INDEX(Referencia!$A$2:$AZ6238,fila,col),
IF(TRIM(TO_TEXT(valor))=TRIM(TO_TEXT(I3390)),"&amp;"
""OK"",
""NO COINCIDE. Valor verdadero: ""&amp;IF(valor="""",""[VACÍO]"",TO_TEXT(valor))
)
))))
),""ERROR EN FÓRMULA""))"),"OK")</f>
        <v>OK</v>
      </c>
    </row>
    <row r="3391">
      <c r="A3391" s="83" t="s">
        <v>4896</v>
      </c>
      <c r="B3391" s="83" t="s">
        <v>4897</v>
      </c>
      <c r="C3391" s="81" t="s">
        <v>4086</v>
      </c>
      <c r="D3391" s="83" t="s">
        <v>4156</v>
      </c>
      <c r="E3391" s="81" t="s">
        <v>583</v>
      </c>
      <c r="F3391" s="81">
        <v>81.0</v>
      </c>
      <c r="G3391" s="81" t="s">
        <v>3</v>
      </c>
      <c r="H3391" s="81" t="s">
        <v>224</v>
      </c>
      <c r="I3391" s="81" t="s">
        <v>344</v>
      </c>
      <c r="J3391" s="81" t="s">
        <v>224</v>
      </c>
      <c r="K3391" s="81" t="str">
        <f>IFERROR(__xludf.DUMMYFUNCTION("IF(OR(D3391="""",G3391=""""),"""",IFERROR(LET(
campo,XLOOKUP(TRIM(G3391),ARRAYFORMULA(TRIM('indice columnas'!$A$2:$A$100)),'indice columnas'!$B$2:$B$100,""""),
col,IFERROR(MATCH(campo,Referencia!$A$1:$AZ$1,0),0),
fila,IFERROR(MATCH(TO_TEXT(D3391),ARRAYFOR"&amp;"MULA(TO_TEXT(Referencia!$A$2:$A6238)),0),0),
IF(OR(campo="""",campo=""-""),""NO APLICA"",
IF(col=0,""REVISAR EQUIVALENCIA"",
IF(fila=0,""SKU NO ENCONTRADO"",
LET(
valor,INDEX(Referencia!$A$2:$AZ6238,fila,col),
IF(TRIM(TO_TEXT(valor))=TRIM(TO_TEXT(I3391)),"&amp;"
""OK"",
""NO COINCIDE. Valor verdadero: ""&amp;IF(valor="""",""[VACÍO]"",TO_TEXT(valor))
)
))))
),""ERROR EN FÓRMULA""))"),"OK")</f>
        <v>OK</v>
      </c>
    </row>
    <row r="3392">
      <c r="A3392" s="83" t="s">
        <v>4896</v>
      </c>
      <c r="B3392" s="83" t="s">
        <v>4897</v>
      </c>
      <c r="C3392" s="81" t="s">
        <v>4086</v>
      </c>
      <c r="D3392" s="83" t="s">
        <v>4156</v>
      </c>
      <c r="E3392" s="81" t="s">
        <v>583</v>
      </c>
      <c r="F3392" s="81">
        <v>81.0</v>
      </c>
      <c r="G3392" s="81" t="s">
        <v>2</v>
      </c>
      <c r="H3392" s="81" t="s">
        <v>224</v>
      </c>
      <c r="I3392" s="81" t="s">
        <v>213</v>
      </c>
      <c r="J3392" s="81" t="s">
        <v>224</v>
      </c>
      <c r="K3392" s="81" t="str">
        <f>IFERROR(__xludf.DUMMYFUNCTION("IF(OR(D3392="""",G3392=""""),"""",IFERROR(LET(
campo,XLOOKUP(TRIM(G3392),ARRAYFORMULA(TRIM('indice columnas'!$A$2:$A$100)),'indice columnas'!$B$2:$B$100,""""),
col,IFERROR(MATCH(campo,Referencia!$A$1:$AZ$1,0),0),
fila,IFERROR(MATCH(TO_TEXT(D3392),ARRAYFOR"&amp;"MULA(TO_TEXT(Referencia!$A$2:$A6238)),0),0),
IF(OR(campo="""",campo=""-""),""NO APLICA"",
IF(col=0,""REVISAR EQUIVALENCIA"",
IF(fila=0,""SKU NO ENCONTRADO"",
LET(
valor,INDEX(Referencia!$A$2:$AZ6238,fila,col),
IF(TRIM(TO_TEXT(valor))=TRIM(TO_TEXT(I3392)),"&amp;"
""OK"",
""NO COINCIDE. Valor verdadero: ""&amp;IF(valor="""",""[VACÍO]"",TO_TEXT(valor))
)
))))
),""ERROR EN FÓRMULA""))"),"OK")</f>
        <v>OK</v>
      </c>
    </row>
    <row r="3393">
      <c r="A3393" s="83" t="s">
        <v>4896</v>
      </c>
      <c r="B3393" s="83" t="s">
        <v>4897</v>
      </c>
      <c r="C3393" s="81" t="s">
        <v>4086</v>
      </c>
      <c r="D3393" s="83" t="s">
        <v>4157</v>
      </c>
      <c r="E3393" s="81" t="s">
        <v>585</v>
      </c>
      <c r="F3393" s="81">
        <v>82.0</v>
      </c>
      <c r="G3393" s="81" t="s">
        <v>3</v>
      </c>
      <c r="H3393" s="81" t="s">
        <v>224</v>
      </c>
      <c r="I3393" s="81" t="s">
        <v>344</v>
      </c>
      <c r="J3393" s="81" t="s">
        <v>224</v>
      </c>
      <c r="K3393" s="81" t="str">
        <f>IFERROR(__xludf.DUMMYFUNCTION("IF(OR(D3393="""",G3393=""""),"""",IFERROR(LET(
campo,XLOOKUP(TRIM(G3393),ARRAYFORMULA(TRIM('indice columnas'!$A$2:$A$100)),'indice columnas'!$B$2:$B$100,""""),
col,IFERROR(MATCH(campo,Referencia!$A$1:$AZ$1,0),0),
fila,IFERROR(MATCH(TO_TEXT(D3393),ARRAYFOR"&amp;"MULA(TO_TEXT(Referencia!$A$2:$A6238)),0),0),
IF(OR(campo="""",campo=""-""),""NO APLICA"",
IF(col=0,""REVISAR EQUIVALENCIA"",
IF(fila=0,""SKU NO ENCONTRADO"",
LET(
valor,INDEX(Referencia!$A$2:$AZ6238,fila,col),
IF(TRIM(TO_TEXT(valor))=TRIM(TO_TEXT(I3393)),"&amp;"
""OK"",
""NO COINCIDE. Valor verdadero: ""&amp;IF(valor="""",""[VACÍO]"",TO_TEXT(valor))
)
))))
),""ERROR EN FÓRMULA""))"),"OK")</f>
        <v>OK</v>
      </c>
    </row>
    <row r="3394">
      <c r="A3394" s="83" t="s">
        <v>4896</v>
      </c>
      <c r="B3394" s="83" t="s">
        <v>4897</v>
      </c>
      <c r="C3394" s="81" t="s">
        <v>4086</v>
      </c>
      <c r="D3394" s="83" t="s">
        <v>4157</v>
      </c>
      <c r="E3394" s="81" t="s">
        <v>585</v>
      </c>
      <c r="F3394" s="81">
        <v>82.0</v>
      </c>
      <c r="G3394" s="81" t="s">
        <v>2</v>
      </c>
      <c r="H3394" s="81" t="s">
        <v>224</v>
      </c>
      <c r="I3394" s="81" t="s">
        <v>213</v>
      </c>
      <c r="J3394" s="81" t="s">
        <v>224</v>
      </c>
      <c r="K3394" s="81" t="str">
        <f>IFERROR(__xludf.DUMMYFUNCTION("IF(OR(D3394="""",G3394=""""),"""",IFERROR(LET(
campo,XLOOKUP(TRIM(G3394),ARRAYFORMULA(TRIM('indice columnas'!$A$2:$A$100)),'indice columnas'!$B$2:$B$100,""""),
col,IFERROR(MATCH(campo,Referencia!$A$1:$AZ$1,0),0),
fila,IFERROR(MATCH(TO_TEXT(D3394),ARRAYFOR"&amp;"MULA(TO_TEXT(Referencia!$A$2:$A6238)),0),0),
IF(OR(campo="""",campo=""-""),""NO APLICA"",
IF(col=0,""REVISAR EQUIVALENCIA"",
IF(fila=0,""SKU NO ENCONTRADO"",
LET(
valor,INDEX(Referencia!$A$2:$AZ6238,fila,col),
IF(TRIM(TO_TEXT(valor))=TRIM(TO_TEXT(I3394)),"&amp;"
""OK"",
""NO COINCIDE. Valor verdadero: ""&amp;IF(valor="""",""[VACÍO]"",TO_TEXT(valor))
)
))))
),""ERROR EN FÓRMULA""))"),"OK")</f>
        <v>OK</v>
      </c>
    </row>
    <row r="3395">
      <c r="A3395" s="83" t="s">
        <v>4896</v>
      </c>
      <c r="B3395" s="83" t="s">
        <v>4897</v>
      </c>
      <c r="C3395" s="81" t="s">
        <v>4086</v>
      </c>
      <c r="D3395" s="83" t="s">
        <v>4158</v>
      </c>
      <c r="E3395" s="81" t="s">
        <v>589</v>
      </c>
      <c r="F3395" s="81">
        <v>83.0</v>
      </c>
      <c r="G3395" s="81" t="s">
        <v>3</v>
      </c>
      <c r="H3395" s="81" t="s">
        <v>224</v>
      </c>
      <c r="I3395" s="81" t="s">
        <v>344</v>
      </c>
      <c r="J3395" s="81" t="s">
        <v>224</v>
      </c>
      <c r="K3395" s="81" t="str">
        <f>IFERROR(__xludf.DUMMYFUNCTION("IF(OR(D3395="""",G3395=""""),"""",IFERROR(LET(
campo,XLOOKUP(TRIM(G3395),ARRAYFORMULA(TRIM('indice columnas'!$A$2:$A$100)),'indice columnas'!$B$2:$B$100,""""),
col,IFERROR(MATCH(campo,Referencia!$A$1:$AZ$1,0),0),
fila,IFERROR(MATCH(TO_TEXT(D3395),ARRAYFOR"&amp;"MULA(TO_TEXT(Referencia!$A$2:$A6238)),0),0),
IF(OR(campo="""",campo=""-""),""NO APLICA"",
IF(col=0,""REVISAR EQUIVALENCIA"",
IF(fila=0,""SKU NO ENCONTRADO"",
LET(
valor,INDEX(Referencia!$A$2:$AZ6238,fila,col),
IF(TRIM(TO_TEXT(valor))=TRIM(TO_TEXT(I3395)),"&amp;"
""OK"",
""NO COINCIDE. Valor verdadero: ""&amp;IF(valor="""",""[VACÍO]"",TO_TEXT(valor))
)
))))
),""ERROR EN FÓRMULA""))"),"OK")</f>
        <v>OK</v>
      </c>
    </row>
    <row r="3396">
      <c r="A3396" s="83" t="s">
        <v>4896</v>
      </c>
      <c r="B3396" s="83" t="s">
        <v>4897</v>
      </c>
      <c r="C3396" s="81" t="s">
        <v>4086</v>
      </c>
      <c r="D3396" s="83" t="s">
        <v>4158</v>
      </c>
      <c r="E3396" s="81" t="s">
        <v>589</v>
      </c>
      <c r="F3396" s="81">
        <v>83.0</v>
      </c>
      <c r="G3396" s="81" t="s">
        <v>2</v>
      </c>
      <c r="H3396" s="81" t="s">
        <v>224</v>
      </c>
      <c r="I3396" s="81" t="s">
        <v>213</v>
      </c>
      <c r="J3396" s="81" t="s">
        <v>224</v>
      </c>
      <c r="K3396" s="81" t="str">
        <f>IFERROR(__xludf.DUMMYFUNCTION("IF(OR(D3396="""",G3396=""""),"""",IFERROR(LET(
campo,XLOOKUP(TRIM(G3396),ARRAYFORMULA(TRIM('indice columnas'!$A$2:$A$100)),'indice columnas'!$B$2:$B$100,""""),
col,IFERROR(MATCH(campo,Referencia!$A$1:$AZ$1,0),0),
fila,IFERROR(MATCH(TO_TEXT(D3396),ARRAYFOR"&amp;"MULA(TO_TEXT(Referencia!$A$2:$A6238)),0),0),
IF(OR(campo="""",campo=""-""),""NO APLICA"",
IF(col=0,""REVISAR EQUIVALENCIA"",
IF(fila=0,""SKU NO ENCONTRADO"",
LET(
valor,INDEX(Referencia!$A$2:$AZ6238,fila,col),
IF(TRIM(TO_TEXT(valor))=TRIM(TO_TEXT(I3396)),"&amp;"
""OK"",
""NO COINCIDE. Valor verdadero: ""&amp;IF(valor="""",""[VACÍO]"",TO_TEXT(valor))
)
))))
),""ERROR EN FÓRMULA""))"),"OK")</f>
        <v>OK</v>
      </c>
    </row>
    <row r="3397">
      <c r="A3397" s="83" t="s">
        <v>4896</v>
      </c>
      <c r="B3397" s="83" t="s">
        <v>4897</v>
      </c>
      <c r="C3397" s="81" t="s">
        <v>4086</v>
      </c>
      <c r="D3397" s="83" t="s">
        <v>4159</v>
      </c>
      <c r="E3397" s="81" t="s">
        <v>591</v>
      </c>
      <c r="F3397" s="81">
        <v>84.0</v>
      </c>
      <c r="G3397" s="81" t="s">
        <v>3</v>
      </c>
      <c r="H3397" s="81" t="s">
        <v>224</v>
      </c>
      <c r="I3397" s="81" t="s">
        <v>344</v>
      </c>
      <c r="J3397" s="81" t="s">
        <v>224</v>
      </c>
      <c r="K3397" s="81" t="str">
        <f>IFERROR(__xludf.DUMMYFUNCTION("IF(OR(D3397="""",G3397=""""),"""",IFERROR(LET(
campo,XLOOKUP(TRIM(G3397),ARRAYFORMULA(TRIM('indice columnas'!$A$2:$A$100)),'indice columnas'!$B$2:$B$100,""""),
col,IFERROR(MATCH(campo,Referencia!$A$1:$AZ$1,0),0),
fila,IFERROR(MATCH(TO_TEXT(D3397),ARRAYFOR"&amp;"MULA(TO_TEXT(Referencia!$A$2:$A6238)),0),0),
IF(OR(campo="""",campo=""-""),""NO APLICA"",
IF(col=0,""REVISAR EQUIVALENCIA"",
IF(fila=0,""SKU NO ENCONTRADO"",
LET(
valor,INDEX(Referencia!$A$2:$AZ6238,fila,col),
IF(TRIM(TO_TEXT(valor))=TRIM(TO_TEXT(I3397)),"&amp;"
""OK"",
""NO COINCIDE. Valor verdadero: ""&amp;IF(valor="""",""[VACÍO]"",TO_TEXT(valor))
)
))))
),""ERROR EN FÓRMULA""))"),"OK")</f>
        <v>OK</v>
      </c>
    </row>
    <row r="3398">
      <c r="A3398" s="83" t="s">
        <v>4896</v>
      </c>
      <c r="B3398" s="83" t="s">
        <v>4897</v>
      </c>
      <c r="C3398" s="81" t="s">
        <v>4086</v>
      </c>
      <c r="D3398" s="83" t="s">
        <v>4159</v>
      </c>
      <c r="E3398" s="81" t="s">
        <v>591</v>
      </c>
      <c r="F3398" s="81">
        <v>84.0</v>
      </c>
      <c r="G3398" s="81" t="s">
        <v>2</v>
      </c>
      <c r="H3398" s="81" t="s">
        <v>224</v>
      </c>
      <c r="I3398" s="81" t="s">
        <v>213</v>
      </c>
      <c r="J3398" s="81" t="s">
        <v>224</v>
      </c>
      <c r="K3398" s="81" t="str">
        <f>IFERROR(__xludf.DUMMYFUNCTION("IF(OR(D3398="""",G3398=""""),"""",IFERROR(LET(
campo,XLOOKUP(TRIM(G3398),ARRAYFORMULA(TRIM('indice columnas'!$A$2:$A$100)),'indice columnas'!$B$2:$B$100,""""),
col,IFERROR(MATCH(campo,Referencia!$A$1:$AZ$1,0),0),
fila,IFERROR(MATCH(TO_TEXT(D3398),ARRAYFOR"&amp;"MULA(TO_TEXT(Referencia!$A$2:$A6238)),0),0),
IF(OR(campo="""",campo=""-""),""NO APLICA"",
IF(col=0,""REVISAR EQUIVALENCIA"",
IF(fila=0,""SKU NO ENCONTRADO"",
LET(
valor,INDEX(Referencia!$A$2:$AZ6238,fila,col),
IF(TRIM(TO_TEXT(valor))=TRIM(TO_TEXT(I3398)),"&amp;"
""OK"",
""NO COINCIDE. Valor verdadero: ""&amp;IF(valor="""",""[VACÍO]"",TO_TEXT(valor))
)
))))
),""ERROR EN FÓRMULA""))"),"OK")</f>
        <v>OK</v>
      </c>
    </row>
    <row r="3399">
      <c r="A3399" s="83" t="s">
        <v>4896</v>
      </c>
      <c r="B3399" s="83" t="s">
        <v>4897</v>
      </c>
      <c r="C3399" s="81" t="s">
        <v>4086</v>
      </c>
      <c r="D3399" s="83" t="s">
        <v>4160</v>
      </c>
      <c r="E3399" s="81" t="s">
        <v>593</v>
      </c>
      <c r="F3399" s="81">
        <v>85.0</v>
      </c>
      <c r="G3399" s="81" t="s">
        <v>3</v>
      </c>
      <c r="H3399" s="81" t="s">
        <v>376</v>
      </c>
      <c r="I3399" s="81" t="s">
        <v>344</v>
      </c>
      <c r="J3399" s="81" t="s">
        <v>224</v>
      </c>
      <c r="K3399" s="81" t="str">
        <f>IFERROR(__xludf.DUMMYFUNCTION("IF(OR(D3399="""",G3399=""""),"""",IFERROR(LET(
campo,XLOOKUP(TRIM(G3399),ARRAYFORMULA(TRIM('indice columnas'!$A$2:$A$100)),'indice columnas'!$B$2:$B$100,""""),
col,IFERROR(MATCH(campo,Referencia!$A$1:$AZ$1,0),0),
fila,IFERROR(MATCH(TO_TEXT(D3399),ARRAYFOR"&amp;"MULA(TO_TEXT(Referencia!$A$2:$A6238)),0),0),
IF(OR(campo="""",campo=""-""),""NO APLICA"",
IF(col=0,""REVISAR EQUIVALENCIA"",
IF(fila=0,""SKU NO ENCONTRADO"",
LET(
valor,INDEX(Referencia!$A$2:$AZ6238,fila,col),
IF(TRIM(TO_TEXT(valor))=TRIM(TO_TEXT(I3399)),"&amp;"
""OK"",
""NO COINCIDE. Valor verdadero: ""&amp;IF(valor="""",""[VACÍO]"",TO_TEXT(valor))
)
))))
),""ERROR EN FÓRMULA""))"),"OK")</f>
        <v>OK</v>
      </c>
    </row>
    <row r="3400">
      <c r="A3400" s="83" t="s">
        <v>4896</v>
      </c>
      <c r="B3400" s="83" t="s">
        <v>4897</v>
      </c>
      <c r="C3400" s="81" t="s">
        <v>4086</v>
      </c>
      <c r="D3400" s="83" t="s">
        <v>4162</v>
      </c>
      <c r="E3400" s="81" t="s">
        <v>604</v>
      </c>
      <c r="F3400" s="81">
        <v>87.0</v>
      </c>
      <c r="G3400" s="81" t="s">
        <v>3</v>
      </c>
      <c r="H3400" s="81" t="s">
        <v>224</v>
      </c>
      <c r="I3400" s="81" t="s">
        <v>344</v>
      </c>
      <c r="J3400" s="81" t="s">
        <v>224</v>
      </c>
      <c r="K3400" s="81" t="str">
        <f>IFERROR(__xludf.DUMMYFUNCTION("IF(OR(D3400="""",G3400=""""),"""",IFERROR(LET(
campo,XLOOKUP(TRIM(G3400),ARRAYFORMULA(TRIM('indice columnas'!$A$2:$A$100)),'indice columnas'!$B$2:$B$100,""""),
col,IFERROR(MATCH(campo,Referencia!$A$1:$AZ$1,0),0),
fila,IFERROR(MATCH(TO_TEXT(D3400),ARRAYFOR"&amp;"MULA(TO_TEXT(Referencia!$A$2:$A6238)),0),0),
IF(OR(campo="""",campo=""-""),""NO APLICA"",
IF(col=0,""REVISAR EQUIVALENCIA"",
IF(fila=0,""SKU NO ENCONTRADO"",
LET(
valor,INDEX(Referencia!$A$2:$AZ6238,fila,col),
IF(TRIM(TO_TEXT(valor))=TRIM(TO_TEXT(I3400)),"&amp;"
""OK"",
""NO COINCIDE. Valor verdadero: ""&amp;IF(valor="""",""[VACÍO]"",TO_TEXT(valor))
)
))))
),""ERROR EN FÓRMULA""))"),"OK")</f>
        <v>OK</v>
      </c>
    </row>
    <row r="3401">
      <c r="A3401" s="83" t="s">
        <v>4896</v>
      </c>
      <c r="B3401" s="83" t="s">
        <v>4897</v>
      </c>
      <c r="C3401" s="81" t="s">
        <v>4086</v>
      </c>
      <c r="D3401" s="83" t="s">
        <v>4162</v>
      </c>
      <c r="E3401" s="81" t="s">
        <v>604</v>
      </c>
      <c r="F3401" s="81">
        <v>87.0</v>
      </c>
      <c r="G3401" s="81" t="s">
        <v>2</v>
      </c>
      <c r="H3401" s="81" t="s">
        <v>224</v>
      </c>
      <c r="I3401" s="81" t="s">
        <v>213</v>
      </c>
      <c r="J3401" s="81" t="s">
        <v>224</v>
      </c>
      <c r="K3401" s="81" t="str">
        <f>IFERROR(__xludf.DUMMYFUNCTION("IF(OR(D3401="""",G3401=""""),"""",IFERROR(LET(
campo,XLOOKUP(TRIM(G3401),ARRAYFORMULA(TRIM('indice columnas'!$A$2:$A$100)),'indice columnas'!$B$2:$B$100,""""),
col,IFERROR(MATCH(campo,Referencia!$A$1:$AZ$1,0),0),
fila,IFERROR(MATCH(TO_TEXT(D3401),ARRAYFOR"&amp;"MULA(TO_TEXT(Referencia!$A$2:$A6238)),0),0),
IF(OR(campo="""",campo=""-""),""NO APLICA"",
IF(col=0,""REVISAR EQUIVALENCIA"",
IF(fila=0,""SKU NO ENCONTRADO"",
LET(
valor,INDEX(Referencia!$A$2:$AZ6238,fila,col),
IF(TRIM(TO_TEXT(valor))=TRIM(TO_TEXT(I3401)),"&amp;"
""OK"",
""NO COINCIDE. Valor verdadero: ""&amp;IF(valor="""",""[VACÍO]"",TO_TEXT(valor))
)
))))
),""ERROR EN FÓRMULA""))"),"OK")</f>
        <v>OK</v>
      </c>
    </row>
    <row r="3402">
      <c r="A3402" s="83" t="s">
        <v>4896</v>
      </c>
      <c r="B3402" s="83" t="s">
        <v>4897</v>
      </c>
      <c r="C3402" s="81" t="s">
        <v>4086</v>
      </c>
      <c r="D3402" s="83" t="s">
        <v>4163</v>
      </c>
      <c r="E3402" s="81" t="s">
        <v>605</v>
      </c>
      <c r="F3402" s="81">
        <v>88.0</v>
      </c>
      <c r="G3402" s="81" t="s">
        <v>3</v>
      </c>
      <c r="H3402" s="81" t="s">
        <v>224</v>
      </c>
      <c r="I3402" s="81" t="s">
        <v>344</v>
      </c>
      <c r="J3402" s="81" t="s">
        <v>224</v>
      </c>
      <c r="K3402" s="81" t="str">
        <f>IFERROR(__xludf.DUMMYFUNCTION("IF(OR(D3402="""",G3402=""""),"""",IFERROR(LET(
campo,XLOOKUP(TRIM(G3402),ARRAYFORMULA(TRIM('indice columnas'!$A$2:$A$100)),'indice columnas'!$B$2:$B$100,""""),
col,IFERROR(MATCH(campo,Referencia!$A$1:$AZ$1,0),0),
fila,IFERROR(MATCH(TO_TEXT(D3402),ARRAYFOR"&amp;"MULA(TO_TEXT(Referencia!$A$2:$A6238)),0),0),
IF(OR(campo="""",campo=""-""),""NO APLICA"",
IF(col=0,""REVISAR EQUIVALENCIA"",
IF(fila=0,""SKU NO ENCONTRADO"",
LET(
valor,INDEX(Referencia!$A$2:$AZ6238,fila,col),
IF(TRIM(TO_TEXT(valor))=TRIM(TO_TEXT(I3402)),"&amp;"
""OK"",
""NO COINCIDE. Valor verdadero: ""&amp;IF(valor="""",""[VACÍO]"",TO_TEXT(valor))
)
))))
),""ERROR EN FÓRMULA""))"),"OK")</f>
        <v>OK</v>
      </c>
    </row>
    <row r="3403">
      <c r="A3403" s="83" t="s">
        <v>4896</v>
      </c>
      <c r="B3403" s="83" t="s">
        <v>4897</v>
      </c>
      <c r="C3403" s="81" t="s">
        <v>4086</v>
      </c>
      <c r="D3403" s="83" t="s">
        <v>4163</v>
      </c>
      <c r="E3403" s="81" t="s">
        <v>605</v>
      </c>
      <c r="F3403" s="81">
        <v>88.0</v>
      </c>
      <c r="G3403" s="81" t="s">
        <v>2</v>
      </c>
      <c r="H3403" s="81" t="s">
        <v>224</v>
      </c>
      <c r="I3403" s="81" t="s">
        <v>213</v>
      </c>
      <c r="J3403" s="81" t="s">
        <v>224</v>
      </c>
      <c r="K3403" s="81" t="str">
        <f>IFERROR(__xludf.DUMMYFUNCTION("IF(OR(D3403="""",G3403=""""),"""",IFERROR(LET(
campo,XLOOKUP(TRIM(G3403),ARRAYFORMULA(TRIM('indice columnas'!$A$2:$A$100)),'indice columnas'!$B$2:$B$100,""""),
col,IFERROR(MATCH(campo,Referencia!$A$1:$AZ$1,0),0),
fila,IFERROR(MATCH(TO_TEXT(D3403),ARRAYFOR"&amp;"MULA(TO_TEXT(Referencia!$A$2:$A6238)),0),0),
IF(OR(campo="""",campo=""-""),""NO APLICA"",
IF(col=0,""REVISAR EQUIVALENCIA"",
IF(fila=0,""SKU NO ENCONTRADO"",
LET(
valor,INDEX(Referencia!$A$2:$AZ6238,fila,col),
IF(TRIM(TO_TEXT(valor))=TRIM(TO_TEXT(I3403)),"&amp;"
""OK"",
""NO COINCIDE. Valor verdadero: ""&amp;IF(valor="""",""[VACÍO]"",TO_TEXT(valor))
)
))))
),""ERROR EN FÓRMULA""))"),"OK")</f>
        <v>OK</v>
      </c>
    </row>
    <row r="3404">
      <c r="A3404" s="83" t="s">
        <v>4896</v>
      </c>
      <c r="B3404" s="83" t="s">
        <v>4897</v>
      </c>
      <c r="C3404" s="81" t="s">
        <v>4086</v>
      </c>
      <c r="D3404" s="83" t="s">
        <v>4165</v>
      </c>
      <c r="E3404" s="81" t="s">
        <v>615</v>
      </c>
      <c r="F3404" s="81">
        <v>90.0</v>
      </c>
      <c r="G3404" s="81" t="s">
        <v>3</v>
      </c>
      <c r="H3404" s="81" t="s">
        <v>224</v>
      </c>
      <c r="I3404" s="81" t="s">
        <v>344</v>
      </c>
      <c r="J3404" s="81" t="s">
        <v>224</v>
      </c>
      <c r="K3404" s="81" t="str">
        <f>IFERROR(__xludf.DUMMYFUNCTION("IF(OR(D3404="""",G3404=""""),"""",IFERROR(LET(
campo,XLOOKUP(TRIM(G3404),ARRAYFORMULA(TRIM('indice columnas'!$A$2:$A$100)),'indice columnas'!$B$2:$B$100,""""),
col,IFERROR(MATCH(campo,Referencia!$A$1:$AZ$1,0),0),
fila,IFERROR(MATCH(TO_TEXT(D3404),ARRAYFOR"&amp;"MULA(TO_TEXT(Referencia!$A$2:$A6238)),0),0),
IF(OR(campo="""",campo=""-""),""NO APLICA"",
IF(col=0,""REVISAR EQUIVALENCIA"",
IF(fila=0,""SKU NO ENCONTRADO"",
LET(
valor,INDEX(Referencia!$A$2:$AZ6238,fila,col),
IF(TRIM(TO_TEXT(valor))=TRIM(TO_TEXT(I3404)),"&amp;"
""OK"",
""NO COINCIDE. Valor verdadero: ""&amp;IF(valor="""",""[VACÍO]"",TO_TEXT(valor))
)
))))
),""ERROR EN FÓRMULA""))"),"OK")</f>
        <v>OK</v>
      </c>
    </row>
    <row r="3405">
      <c r="A3405" s="83" t="s">
        <v>4896</v>
      </c>
      <c r="B3405" s="83" t="s">
        <v>4897</v>
      </c>
      <c r="C3405" s="81" t="s">
        <v>4086</v>
      </c>
      <c r="D3405" s="83" t="s">
        <v>4165</v>
      </c>
      <c r="E3405" s="81" t="s">
        <v>615</v>
      </c>
      <c r="F3405" s="81">
        <v>90.0</v>
      </c>
      <c r="G3405" s="81" t="s">
        <v>2</v>
      </c>
      <c r="H3405" s="81" t="s">
        <v>224</v>
      </c>
      <c r="I3405" s="81" t="s">
        <v>213</v>
      </c>
      <c r="J3405" s="81" t="s">
        <v>224</v>
      </c>
      <c r="K3405" s="81" t="str">
        <f>IFERROR(__xludf.DUMMYFUNCTION("IF(OR(D3405="""",G3405=""""),"""",IFERROR(LET(
campo,XLOOKUP(TRIM(G3405),ARRAYFORMULA(TRIM('indice columnas'!$A$2:$A$100)),'indice columnas'!$B$2:$B$100,""""),
col,IFERROR(MATCH(campo,Referencia!$A$1:$AZ$1,0),0),
fila,IFERROR(MATCH(TO_TEXT(D3405),ARRAYFOR"&amp;"MULA(TO_TEXT(Referencia!$A$2:$A6238)),0),0),
IF(OR(campo="""",campo=""-""),""NO APLICA"",
IF(col=0,""REVISAR EQUIVALENCIA"",
IF(fila=0,""SKU NO ENCONTRADO"",
LET(
valor,INDEX(Referencia!$A$2:$AZ6238,fila,col),
IF(TRIM(TO_TEXT(valor))=TRIM(TO_TEXT(I3405)),"&amp;"
""OK"",
""NO COINCIDE. Valor verdadero: ""&amp;IF(valor="""",""[VACÍO]"",TO_TEXT(valor))
)
))))
),""ERROR EN FÓRMULA""))"),"OK")</f>
        <v>OK</v>
      </c>
    </row>
    <row r="3406">
      <c r="A3406" s="83" t="s">
        <v>4896</v>
      </c>
      <c r="B3406" s="83" t="s">
        <v>4897</v>
      </c>
      <c r="C3406" s="81" t="s">
        <v>4086</v>
      </c>
      <c r="D3406" s="83" t="s">
        <v>4165</v>
      </c>
      <c r="E3406" s="81" t="s">
        <v>615</v>
      </c>
      <c r="F3406" s="81">
        <v>90.0</v>
      </c>
      <c r="G3406" s="81" t="s">
        <v>1</v>
      </c>
      <c r="H3406" s="81" t="s">
        <v>224</v>
      </c>
      <c r="I3406" s="81" t="s">
        <v>49</v>
      </c>
      <c r="J3406" s="81" t="s">
        <v>224</v>
      </c>
      <c r="K3406" s="81" t="str">
        <f>IFERROR(__xludf.DUMMYFUNCTION("IF(OR(D3406="""",G3406=""""),"""",IFERROR(LET(
campo,XLOOKUP(TRIM(G3406),ARRAYFORMULA(TRIM('indice columnas'!$A$2:$A$100)),'indice columnas'!$B$2:$B$100,""""),
col,IFERROR(MATCH(campo,Referencia!$A$1:$AZ$1,0),0),
fila,IFERROR(MATCH(TO_TEXT(D3406),ARRAYFOR"&amp;"MULA(TO_TEXT(Referencia!$A$2:$A6238)),0),0),
IF(OR(campo="""",campo=""-""),""NO APLICA"",
IF(col=0,""REVISAR EQUIVALENCIA"",
IF(fila=0,""SKU NO ENCONTRADO"",
LET(
valor,INDEX(Referencia!$A$2:$AZ6238,fila,col),
IF(TRIM(TO_TEXT(valor))=TRIM(TO_TEXT(I3406)),"&amp;"
""OK"",
""NO COINCIDE. Valor verdadero: ""&amp;IF(valor="""",""[VACÍO]"",TO_TEXT(valor))
)
))))
),""ERROR EN FÓRMULA""))"),"OK")</f>
        <v>OK</v>
      </c>
    </row>
    <row r="3407">
      <c r="A3407" s="83" t="s">
        <v>4896</v>
      </c>
      <c r="B3407" s="83" t="s">
        <v>4897</v>
      </c>
      <c r="C3407" s="81" t="s">
        <v>4086</v>
      </c>
      <c r="D3407" s="83" t="s">
        <v>4166</v>
      </c>
      <c r="E3407" s="81" t="s">
        <v>617</v>
      </c>
      <c r="F3407" s="81">
        <v>91.0</v>
      </c>
      <c r="G3407" s="81" t="s">
        <v>3</v>
      </c>
      <c r="H3407" s="81" t="s">
        <v>224</v>
      </c>
      <c r="I3407" s="81" t="s">
        <v>344</v>
      </c>
      <c r="J3407" s="81" t="s">
        <v>224</v>
      </c>
      <c r="K3407" s="81" t="str">
        <f>IFERROR(__xludf.DUMMYFUNCTION("IF(OR(D3407="""",G3407=""""),"""",IFERROR(LET(
campo,XLOOKUP(TRIM(G3407),ARRAYFORMULA(TRIM('indice columnas'!$A$2:$A$100)),'indice columnas'!$B$2:$B$100,""""),
col,IFERROR(MATCH(campo,Referencia!$A$1:$AZ$1,0),0),
fila,IFERROR(MATCH(TO_TEXT(D3407),ARRAYFOR"&amp;"MULA(TO_TEXT(Referencia!$A$2:$A6238)),0),0),
IF(OR(campo="""",campo=""-""),""NO APLICA"",
IF(col=0,""REVISAR EQUIVALENCIA"",
IF(fila=0,""SKU NO ENCONTRADO"",
LET(
valor,INDEX(Referencia!$A$2:$AZ6238,fila,col),
IF(TRIM(TO_TEXT(valor))=TRIM(TO_TEXT(I3407)),"&amp;"
""OK"",
""NO COINCIDE. Valor verdadero: ""&amp;IF(valor="""",""[VACÍO]"",TO_TEXT(valor))
)
))))
),""ERROR EN FÓRMULA""))"),"OK")</f>
        <v>OK</v>
      </c>
    </row>
    <row r="3408">
      <c r="A3408" s="83" t="s">
        <v>4896</v>
      </c>
      <c r="B3408" s="83" t="s">
        <v>4897</v>
      </c>
      <c r="C3408" s="81" t="s">
        <v>4086</v>
      </c>
      <c r="D3408" s="83" t="s">
        <v>4166</v>
      </c>
      <c r="E3408" s="81" t="s">
        <v>617</v>
      </c>
      <c r="F3408" s="81">
        <v>91.0</v>
      </c>
      <c r="G3408" s="81" t="s">
        <v>2</v>
      </c>
      <c r="H3408" s="81" t="s">
        <v>224</v>
      </c>
      <c r="I3408" s="81" t="s">
        <v>213</v>
      </c>
      <c r="J3408" s="81" t="s">
        <v>224</v>
      </c>
      <c r="K3408" s="81" t="str">
        <f>IFERROR(__xludf.DUMMYFUNCTION("IF(OR(D3408="""",G3408=""""),"""",IFERROR(LET(
campo,XLOOKUP(TRIM(G3408),ARRAYFORMULA(TRIM('indice columnas'!$A$2:$A$100)),'indice columnas'!$B$2:$B$100,""""),
col,IFERROR(MATCH(campo,Referencia!$A$1:$AZ$1,0),0),
fila,IFERROR(MATCH(TO_TEXT(D3408),ARRAYFOR"&amp;"MULA(TO_TEXT(Referencia!$A$2:$A6238)),0),0),
IF(OR(campo="""",campo=""-""),""NO APLICA"",
IF(col=0,""REVISAR EQUIVALENCIA"",
IF(fila=0,""SKU NO ENCONTRADO"",
LET(
valor,INDEX(Referencia!$A$2:$AZ6238,fila,col),
IF(TRIM(TO_TEXT(valor))=TRIM(TO_TEXT(I3408)),"&amp;"
""OK"",
""NO COINCIDE. Valor verdadero: ""&amp;IF(valor="""",""[VACÍO]"",TO_TEXT(valor))
)
))))
),""ERROR EN FÓRMULA""))"),"OK")</f>
        <v>OK</v>
      </c>
    </row>
    <row r="3409">
      <c r="A3409" s="83" t="s">
        <v>4896</v>
      </c>
      <c r="B3409" s="83" t="s">
        <v>4897</v>
      </c>
      <c r="C3409" s="81" t="s">
        <v>4086</v>
      </c>
      <c r="D3409" s="83" t="s">
        <v>4166</v>
      </c>
      <c r="E3409" s="81" t="s">
        <v>617</v>
      </c>
      <c r="F3409" s="81">
        <v>91.0</v>
      </c>
      <c r="G3409" s="81" t="s">
        <v>1</v>
      </c>
      <c r="H3409" s="81" t="s">
        <v>224</v>
      </c>
      <c r="I3409" s="81" t="s">
        <v>49</v>
      </c>
      <c r="J3409" s="81" t="s">
        <v>224</v>
      </c>
      <c r="K3409" s="81" t="str">
        <f>IFERROR(__xludf.DUMMYFUNCTION("IF(OR(D3409="""",G3409=""""),"""",IFERROR(LET(
campo,XLOOKUP(TRIM(G3409),ARRAYFORMULA(TRIM('indice columnas'!$A$2:$A$100)),'indice columnas'!$B$2:$B$100,""""),
col,IFERROR(MATCH(campo,Referencia!$A$1:$AZ$1,0),0),
fila,IFERROR(MATCH(TO_TEXT(D3409),ARRAYFOR"&amp;"MULA(TO_TEXT(Referencia!$A$2:$A6238)),0),0),
IF(OR(campo="""",campo=""-""),""NO APLICA"",
IF(col=0,""REVISAR EQUIVALENCIA"",
IF(fila=0,""SKU NO ENCONTRADO"",
LET(
valor,INDEX(Referencia!$A$2:$AZ6238,fila,col),
IF(TRIM(TO_TEXT(valor))=TRIM(TO_TEXT(I3409)),"&amp;"
""OK"",
""NO COINCIDE. Valor verdadero: ""&amp;IF(valor="""",""[VACÍO]"",TO_TEXT(valor))
)
))))
),""ERROR EN FÓRMULA""))"),"OK")</f>
        <v>OK</v>
      </c>
    </row>
    <row r="3410">
      <c r="A3410" s="83" t="s">
        <v>4896</v>
      </c>
      <c r="B3410" s="83" t="s">
        <v>4897</v>
      </c>
      <c r="C3410" s="81" t="s">
        <v>4086</v>
      </c>
      <c r="D3410" s="83" t="s">
        <v>4167</v>
      </c>
      <c r="E3410" s="81" t="s">
        <v>619</v>
      </c>
      <c r="F3410" s="81">
        <v>92.0</v>
      </c>
      <c r="G3410" s="81" t="s">
        <v>3</v>
      </c>
      <c r="H3410" s="81" t="s">
        <v>376</v>
      </c>
      <c r="I3410" s="81" t="s">
        <v>344</v>
      </c>
      <c r="J3410" s="81" t="s">
        <v>224</v>
      </c>
      <c r="K3410" s="81" t="str">
        <f>IFERROR(__xludf.DUMMYFUNCTION("IF(OR(D3410="""",G3410=""""),"""",IFERROR(LET(
campo,XLOOKUP(TRIM(G3410),ARRAYFORMULA(TRIM('indice columnas'!$A$2:$A$100)),'indice columnas'!$B$2:$B$100,""""),
col,IFERROR(MATCH(campo,Referencia!$A$1:$AZ$1,0),0),
fila,IFERROR(MATCH(TO_TEXT(D3410),ARRAYFOR"&amp;"MULA(TO_TEXT(Referencia!$A$2:$A6238)),0),0),
IF(OR(campo="""",campo=""-""),""NO APLICA"",
IF(col=0,""REVISAR EQUIVALENCIA"",
IF(fila=0,""SKU NO ENCONTRADO"",
LET(
valor,INDEX(Referencia!$A$2:$AZ6238,fila,col),
IF(TRIM(TO_TEXT(valor))=TRIM(TO_TEXT(I3410)),"&amp;"
""OK"",
""NO COINCIDE. Valor verdadero: ""&amp;IF(valor="""",""[VACÍO]"",TO_TEXT(valor))
)
))))
),""ERROR EN FÓRMULA""))"),"OK")</f>
        <v>OK</v>
      </c>
    </row>
    <row r="3411">
      <c r="A3411" s="83" t="s">
        <v>4896</v>
      </c>
      <c r="B3411" s="83" t="s">
        <v>4897</v>
      </c>
      <c r="C3411" s="81" t="s">
        <v>4086</v>
      </c>
      <c r="D3411" s="83" t="s">
        <v>4169</v>
      </c>
      <c r="E3411" s="81" t="s">
        <v>624</v>
      </c>
      <c r="F3411" s="81">
        <v>93.0</v>
      </c>
      <c r="G3411" s="81" t="s">
        <v>3</v>
      </c>
      <c r="H3411" s="81" t="s">
        <v>224</v>
      </c>
      <c r="I3411" s="81" t="s">
        <v>344</v>
      </c>
      <c r="J3411" s="81" t="s">
        <v>224</v>
      </c>
      <c r="K3411" s="81" t="str">
        <f>IFERROR(__xludf.DUMMYFUNCTION("IF(OR(D3411="""",G3411=""""),"""",IFERROR(LET(
campo,XLOOKUP(TRIM(G3411),ARRAYFORMULA(TRIM('indice columnas'!$A$2:$A$100)),'indice columnas'!$B$2:$B$100,""""),
col,IFERROR(MATCH(campo,Referencia!$A$1:$AZ$1,0),0),
fila,IFERROR(MATCH(TO_TEXT(D3411),ARRAYFOR"&amp;"MULA(TO_TEXT(Referencia!$A$2:$A6238)),0),0),
IF(OR(campo="""",campo=""-""),""NO APLICA"",
IF(col=0,""REVISAR EQUIVALENCIA"",
IF(fila=0,""SKU NO ENCONTRADO"",
LET(
valor,INDEX(Referencia!$A$2:$AZ6238,fila,col),
IF(TRIM(TO_TEXT(valor))=TRIM(TO_TEXT(I3411)),"&amp;"
""OK"",
""NO COINCIDE. Valor verdadero: ""&amp;IF(valor="""",""[VACÍO]"",TO_TEXT(valor))
)
))))
),""ERROR EN FÓRMULA""))"),"OK")</f>
        <v>OK</v>
      </c>
    </row>
    <row r="3412">
      <c r="A3412" s="83" t="s">
        <v>4896</v>
      </c>
      <c r="B3412" s="83" t="s">
        <v>4897</v>
      </c>
      <c r="C3412" s="81" t="s">
        <v>4086</v>
      </c>
      <c r="D3412" s="83" t="s">
        <v>4169</v>
      </c>
      <c r="E3412" s="81" t="s">
        <v>624</v>
      </c>
      <c r="F3412" s="81">
        <v>93.0</v>
      </c>
      <c r="G3412" s="81" t="s">
        <v>2</v>
      </c>
      <c r="H3412" s="81" t="s">
        <v>224</v>
      </c>
      <c r="I3412" s="81" t="s">
        <v>213</v>
      </c>
      <c r="J3412" s="81" t="s">
        <v>224</v>
      </c>
      <c r="K3412" s="81" t="str">
        <f>IFERROR(__xludf.DUMMYFUNCTION("IF(OR(D3412="""",G3412=""""),"""",IFERROR(LET(
campo,XLOOKUP(TRIM(G3412),ARRAYFORMULA(TRIM('indice columnas'!$A$2:$A$100)),'indice columnas'!$B$2:$B$100,""""),
col,IFERROR(MATCH(campo,Referencia!$A$1:$AZ$1,0),0),
fila,IFERROR(MATCH(TO_TEXT(D3412),ARRAYFOR"&amp;"MULA(TO_TEXT(Referencia!$A$2:$A6238)),0),0),
IF(OR(campo="""",campo=""-""),""NO APLICA"",
IF(col=0,""REVISAR EQUIVALENCIA"",
IF(fila=0,""SKU NO ENCONTRADO"",
LET(
valor,INDEX(Referencia!$A$2:$AZ6238,fila,col),
IF(TRIM(TO_TEXT(valor))=TRIM(TO_TEXT(I3412)),"&amp;"
""OK"",
""NO COINCIDE. Valor verdadero: ""&amp;IF(valor="""",""[VACÍO]"",TO_TEXT(valor))
)
))))
),""ERROR EN FÓRMULA""))"),"OK")</f>
        <v>OK</v>
      </c>
    </row>
    <row r="3413">
      <c r="A3413" s="83" t="s">
        <v>4896</v>
      </c>
      <c r="B3413" s="83" t="s">
        <v>4897</v>
      </c>
      <c r="C3413" s="81" t="s">
        <v>4086</v>
      </c>
      <c r="D3413" s="83" t="s">
        <v>4170</v>
      </c>
      <c r="E3413" s="81" t="s">
        <v>627</v>
      </c>
      <c r="F3413" s="81">
        <v>94.0</v>
      </c>
      <c r="G3413" s="81" t="s">
        <v>3</v>
      </c>
      <c r="H3413" s="81" t="s">
        <v>224</v>
      </c>
      <c r="I3413" s="81" t="s">
        <v>344</v>
      </c>
      <c r="J3413" s="81" t="s">
        <v>224</v>
      </c>
      <c r="K3413" s="81" t="str">
        <f>IFERROR(__xludf.DUMMYFUNCTION("IF(OR(D3413="""",G3413=""""),"""",IFERROR(LET(
campo,XLOOKUP(TRIM(G3413),ARRAYFORMULA(TRIM('indice columnas'!$A$2:$A$100)),'indice columnas'!$B$2:$B$100,""""),
col,IFERROR(MATCH(campo,Referencia!$A$1:$AZ$1,0),0),
fila,IFERROR(MATCH(TO_TEXT(D3413),ARRAYFOR"&amp;"MULA(TO_TEXT(Referencia!$A$2:$A6238)),0),0),
IF(OR(campo="""",campo=""-""),""NO APLICA"",
IF(col=0,""REVISAR EQUIVALENCIA"",
IF(fila=0,""SKU NO ENCONTRADO"",
LET(
valor,INDEX(Referencia!$A$2:$AZ6238,fila,col),
IF(TRIM(TO_TEXT(valor))=TRIM(TO_TEXT(I3413)),"&amp;"
""OK"",
""NO COINCIDE. Valor verdadero: ""&amp;IF(valor="""",""[VACÍO]"",TO_TEXT(valor))
)
))))
),""ERROR EN FÓRMULA""))"),"OK")</f>
        <v>OK</v>
      </c>
    </row>
    <row r="3414">
      <c r="A3414" s="83" t="s">
        <v>4896</v>
      </c>
      <c r="B3414" s="83" t="s">
        <v>4897</v>
      </c>
      <c r="C3414" s="81" t="s">
        <v>4086</v>
      </c>
      <c r="D3414" s="83" t="s">
        <v>4170</v>
      </c>
      <c r="E3414" s="81" t="s">
        <v>627</v>
      </c>
      <c r="F3414" s="81">
        <v>94.0</v>
      </c>
      <c r="G3414" s="81" t="s">
        <v>2</v>
      </c>
      <c r="H3414" s="81" t="s">
        <v>224</v>
      </c>
      <c r="I3414" s="81" t="s">
        <v>213</v>
      </c>
      <c r="J3414" s="81" t="s">
        <v>224</v>
      </c>
      <c r="K3414" s="81" t="str">
        <f>IFERROR(__xludf.DUMMYFUNCTION("IF(OR(D3414="""",G3414=""""),"""",IFERROR(LET(
campo,XLOOKUP(TRIM(G3414),ARRAYFORMULA(TRIM('indice columnas'!$A$2:$A$100)),'indice columnas'!$B$2:$B$100,""""),
col,IFERROR(MATCH(campo,Referencia!$A$1:$AZ$1,0),0),
fila,IFERROR(MATCH(TO_TEXT(D3414),ARRAYFOR"&amp;"MULA(TO_TEXT(Referencia!$A$2:$A6238)),0),0),
IF(OR(campo="""",campo=""-""),""NO APLICA"",
IF(col=0,""REVISAR EQUIVALENCIA"",
IF(fila=0,""SKU NO ENCONTRADO"",
LET(
valor,INDEX(Referencia!$A$2:$AZ6238,fila,col),
IF(TRIM(TO_TEXT(valor))=TRIM(TO_TEXT(I3414)),"&amp;"
""OK"",
""NO COINCIDE. Valor verdadero: ""&amp;IF(valor="""",""[VACÍO]"",TO_TEXT(valor))
)
))))
),""ERROR EN FÓRMULA""))"),"OK")</f>
        <v>OK</v>
      </c>
    </row>
    <row r="3415">
      <c r="A3415" s="83" t="s">
        <v>4896</v>
      </c>
      <c r="B3415" s="83" t="s">
        <v>4897</v>
      </c>
      <c r="C3415" s="81" t="s">
        <v>4086</v>
      </c>
      <c r="D3415" s="83" t="s">
        <v>4171</v>
      </c>
      <c r="E3415" s="81" t="s">
        <v>629</v>
      </c>
      <c r="F3415" s="81">
        <v>95.0</v>
      </c>
      <c r="G3415" s="81" t="s">
        <v>3</v>
      </c>
      <c r="H3415" s="81" t="s">
        <v>224</v>
      </c>
      <c r="I3415" s="81" t="s">
        <v>344</v>
      </c>
      <c r="J3415" s="81" t="s">
        <v>224</v>
      </c>
      <c r="K3415" s="81" t="str">
        <f>IFERROR(__xludf.DUMMYFUNCTION("IF(OR(D3415="""",G3415=""""),"""",IFERROR(LET(
campo,XLOOKUP(TRIM(G3415),ARRAYFORMULA(TRIM('indice columnas'!$A$2:$A$100)),'indice columnas'!$B$2:$B$100,""""),
col,IFERROR(MATCH(campo,Referencia!$A$1:$AZ$1,0),0),
fila,IFERROR(MATCH(TO_TEXT(D3415),ARRAYFOR"&amp;"MULA(TO_TEXT(Referencia!$A$2:$A6238)),0),0),
IF(OR(campo="""",campo=""-""),""NO APLICA"",
IF(col=0,""REVISAR EQUIVALENCIA"",
IF(fila=0,""SKU NO ENCONTRADO"",
LET(
valor,INDEX(Referencia!$A$2:$AZ6238,fila,col),
IF(TRIM(TO_TEXT(valor))=TRIM(TO_TEXT(I3415)),"&amp;"
""OK"",
""NO COINCIDE. Valor verdadero: ""&amp;IF(valor="""",""[VACÍO]"",TO_TEXT(valor))
)
))))
),""ERROR EN FÓRMULA""))"),"OK")</f>
        <v>OK</v>
      </c>
    </row>
    <row r="3416">
      <c r="A3416" s="83" t="s">
        <v>4896</v>
      </c>
      <c r="B3416" s="83" t="s">
        <v>4897</v>
      </c>
      <c r="C3416" s="81" t="s">
        <v>4086</v>
      </c>
      <c r="D3416" s="83" t="s">
        <v>4171</v>
      </c>
      <c r="E3416" s="81" t="s">
        <v>629</v>
      </c>
      <c r="F3416" s="81">
        <v>95.0</v>
      </c>
      <c r="G3416" s="81" t="s">
        <v>2</v>
      </c>
      <c r="H3416" s="81" t="s">
        <v>224</v>
      </c>
      <c r="I3416" s="81" t="s">
        <v>213</v>
      </c>
      <c r="J3416" s="81" t="s">
        <v>224</v>
      </c>
      <c r="K3416" s="81" t="str">
        <f>IFERROR(__xludf.DUMMYFUNCTION("IF(OR(D3416="""",G3416=""""),"""",IFERROR(LET(
campo,XLOOKUP(TRIM(G3416),ARRAYFORMULA(TRIM('indice columnas'!$A$2:$A$100)),'indice columnas'!$B$2:$B$100,""""),
col,IFERROR(MATCH(campo,Referencia!$A$1:$AZ$1,0),0),
fila,IFERROR(MATCH(TO_TEXT(D3416),ARRAYFOR"&amp;"MULA(TO_TEXT(Referencia!$A$2:$A6238)),0),0),
IF(OR(campo="""",campo=""-""),""NO APLICA"",
IF(col=0,""REVISAR EQUIVALENCIA"",
IF(fila=0,""SKU NO ENCONTRADO"",
LET(
valor,INDEX(Referencia!$A$2:$AZ6238,fila,col),
IF(TRIM(TO_TEXT(valor))=TRIM(TO_TEXT(I3416)),"&amp;"
""OK"",
""NO COINCIDE. Valor verdadero: ""&amp;IF(valor="""",""[VACÍO]"",TO_TEXT(valor))
)
))))
),""ERROR EN FÓRMULA""))"),"OK")</f>
        <v>OK</v>
      </c>
    </row>
    <row r="3417">
      <c r="A3417" s="83" t="s">
        <v>4896</v>
      </c>
      <c r="B3417" s="83" t="s">
        <v>4897</v>
      </c>
      <c r="C3417" s="81" t="s">
        <v>4086</v>
      </c>
      <c r="D3417" s="83" t="s">
        <v>4172</v>
      </c>
      <c r="E3417" s="81" t="s">
        <v>642</v>
      </c>
      <c r="F3417" s="81">
        <v>97.0</v>
      </c>
      <c r="G3417" s="81" t="s">
        <v>3</v>
      </c>
      <c r="H3417" s="81" t="s">
        <v>376</v>
      </c>
      <c r="I3417" s="81" t="s">
        <v>344</v>
      </c>
      <c r="J3417" s="81" t="s">
        <v>224</v>
      </c>
      <c r="K3417" s="81" t="str">
        <f>IFERROR(__xludf.DUMMYFUNCTION("IF(OR(D3417="""",G3417=""""),"""",IFERROR(LET(
campo,XLOOKUP(TRIM(G3417),ARRAYFORMULA(TRIM('indice columnas'!$A$2:$A$100)),'indice columnas'!$B$2:$B$100,""""),
col,IFERROR(MATCH(campo,Referencia!$A$1:$AZ$1,0),0),
fila,IFERROR(MATCH(TO_TEXT(D3417),ARRAYFOR"&amp;"MULA(TO_TEXT(Referencia!$A$2:$A6238)),0),0),
IF(OR(campo="""",campo=""-""),""NO APLICA"",
IF(col=0,""REVISAR EQUIVALENCIA"",
IF(fila=0,""SKU NO ENCONTRADO"",
LET(
valor,INDEX(Referencia!$A$2:$AZ6238,fila,col),
IF(TRIM(TO_TEXT(valor))=TRIM(TO_TEXT(I3417)),"&amp;"
""OK"",
""NO COINCIDE. Valor verdadero: ""&amp;IF(valor="""",""[VACÍO]"",TO_TEXT(valor))
)
))))
),""ERROR EN FÓRMULA""))"),"OK")</f>
        <v>OK</v>
      </c>
    </row>
    <row r="3418">
      <c r="A3418" s="83" t="s">
        <v>4896</v>
      </c>
      <c r="B3418" s="83" t="s">
        <v>4897</v>
      </c>
      <c r="C3418" s="81" t="s">
        <v>4086</v>
      </c>
      <c r="D3418" s="83" t="s">
        <v>4173</v>
      </c>
      <c r="E3418" s="81" t="s">
        <v>644</v>
      </c>
      <c r="F3418" s="81">
        <v>98.0</v>
      </c>
      <c r="G3418" s="81" t="s">
        <v>3</v>
      </c>
      <c r="H3418" s="81" t="s">
        <v>224</v>
      </c>
      <c r="I3418" s="81" t="s">
        <v>344</v>
      </c>
      <c r="J3418" s="81" t="s">
        <v>224</v>
      </c>
      <c r="K3418" s="81" t="str">
        <f>IFERROR(__xludf.DUMMYFUNCTION("IF(OR(D3418="""",G3418=""""),"""",IFERROR(LET(
campo,XLOOKUP(TRIM(G3418),ARRAYFORMULA(TRIM('indice columnas'!$A$2:$A$100)),'indice columnas'!$B$2:$B$100,""""),
col,IFERROR(MATCH(campo,Referencia!$A$1:$AZ$1,0),0),
fila,IFERROR(MATCH(TO_TEXT(D3418),ARRAYFOR"&amp;"MULA(TO_TEXT(Referencia!$A$2:$A6238)),0),0),
IF(OR(campo="""",campo=""-""),""NO APLICA"",
IF(col=0,""REVISAR EQUIVALENCIA"",
IF(fila=0,""SKU NO ENCONTRADO"",
LET(
valor,INDEX(Referencia!$A$2:$AZ6238,fila,col),
IF(TRIM(TO_TEXT(valor))=TRIM(TO_TEXT(I3418)),"&amp;"
""OK"",
""NO COINCIDE. Valor verdadero: ""&amp;IF(valor="""",""[VACÍO]"",TO_TEXT(valor))
)
))))
),""ERROR EN FÓRMULA""))"),"OK")</f>
        <v>OK</v>
      </c>
    </row>
    <row r="3419">
      <c r="A3419" s="83" t="s">
        <v>4896</v>
      </c>
      <c r="B3419" s="83" t="s">
        <v>4897</v>
      </c>
      <c r="C3419" s="81" t="s">
        <v>4086</v>
      </c>
      <c r="D3419" s="83" t="s">
        <v>4173</v>
      </c>
      <c r="E3419" s="81" t="s">
        <v>644</v>
      </c>
      <c r="F3419" s="81">
        <v>98.0</v>
      </c>
      <c r="G3419" s="81" t="s">
        <v>2</v>
      </c>
      <c r="H3419" s="81" t="s">
        <v>224</v>
      </c>
      <c r="I3419" s="81" t="s">
        <v>213</v>
      </c>
      <c r="J3419" s="81" t="s">
        <v>224</v>
      </c>
      <c r="K3419" s="81" t="str">
        <f>IFERROR(__xludf.DUMMYFUNCTION("IF(OR(D3419="""",G3419=""""),"""",IFERROR(LET(
campo,XLOOKUP(TRIM(G3419),ARRAYFORMULA(TRIM('indice columnas'!$A$2:$A$100)),'indice columnas'!$B$2:$B$100,""""),
col,IFERROR(MATCH(campo,Referencia!$A$1:$AZ$1,0),0),
fila,IFERROR(MATCH(TO_TEXT(D3419),ARRAYFOR"&amp;"MULA(TO_TEXT(Referencia!$A$2:$A6238)),0),0),
IF(OR(campo="""",campo=""-""),""NO APLICA"",
IF(col=0,""REVISAR EQUIVALENCIA"",
IF(fila=0,""SKU NO ENCONTRADO"",
LET(
valor,INDEX(Referencia!$A$2:$AZ6238,fila,col),
IF(TRIM(TO_TEXT(valor))=TRIM(TO_TEXT(I3419)),"&amp;"
""OK"",
""NO COINCIDE. Valor verdadero: ""&amp;IF(valor="""",""[VACÍO]"",TO_TEXT(valor))
)
))))
),""ERROR EN FÓRMULA""))"),"OK")</f>
        <v>OK</v>
      </c>
    </row>
    <row r="3420">
      <c r="A3420" s="83" t="s">
        <v>4896</v>
      </c>
      <c r="B3420" s="83" t="s">
        <v>4897</v>
      </c>
      <c r="C3420" s="81" t="s">
        <v>4086</v>
      </c>
      <c r="D3420" s="83" t="s">
        <v>4173</v>
      </c>
      <c r="E3420" s="81" t="s">
        <v>644</v>
      </c>
      <c r="F3420" s="81">
        <v>98.0</v>
      </c>
      <c r="G3420" s="81" t="s">
        <v>1</v>
      </c>
      <c r="H3420" s="81" t="s">
        <v>224</v>
      </c>
      <c r="I3420" s="81" t="s">
        <v>49</v>
      </c>
      <c r="J3420" s="81" t="s">
        <v>224</v>
      </c>
      <c r="K3420" s="81" t="str">
        <f>IFERROR(__xludf.DUMMYFUNCTION("IF(OR(D3420="""",G3420=""""),"""",IFERROR(LET(
campo,XLOOKUP(TRIM(G3420),ARRAYFORMULA(TRIM('indice columnas'!$A$2:$A$100)),'indice columnas'!$B$2:$B$100,""""),
col,IFERROR(MATCH(campo,Referencia!$A$1:$AZ$1,0),0),
fila,IFERROR(MATCH(TO_TEXT(D3420),ARRAYFOR"&amp;"MULA(TO_TEXT(Referencia!$A$2:$A6238)),0),0),
IF(OR(campo="""",campo=""-""),""NO APLICA"",
IF(col=0,""REVISAR EQUIVALENCIA"",
IF(fila=0,""SKU NO ENCONTRADO"",
LET(
valor,INDEX(Referencia!$A$2:$AZ6238,fila,col),
IF(TRIM(TO_TEXT(valor))=TRIM(TO_TEXT(I3420)),"&amp;"
""OK"",
""NO COINCIDE. Valor verdadero: ""&amp;IF(valor="""",""[VACÍO]"",TO_TEXT(valor))
)
))))
),""ERROR EN FÓRMULA""))"),"OK")</f>
        <v>OK</v>
      </c>
    </row>
    <row r="3421">
      <c r="A3421" s="83" t="s">
        <v>4896</v>
      </c>
      <c r="B3421" s="83" t="s">
        <v>4897</v>
      </c>
      <c r="C3421" s="81" t="s">
        <v>4086</v>
      </c>
      <c r="D3421" s="83" t="s">
        <v>4174</v>
      </c>
      <c r="E3421" s="81" t="s">
        <v>646</v>
      </c>
      <c r="F3421" s="81">
        <v>99.0</v>
      </c>
      <c r="G3421" s="81" t="s">
        <v>3</v>
      </c>
      <c r="H3421" s="81" t="s">
        <v>376</v>
      </c>
      <c r="I3421" s="81" t="s">
        <v>344</v>
      </c>
      <c r="J3421" s="81" t="s">
        <v>224</v>
      </c>
      <c r="K3421" s="81" t="str">
        <f>IFERROR(__xludf.DUMMYFUNCTION("IF(OR(D3421="""",G3421=""""),"""",IFERROR(LET(
campo,XLOOKUP(TRIM(G3421),ARRAYFORMULA(TRIM('indice columnas'!$A$2:$A$100)),'indice columnas'!$B$2:$B$100,""""),
col,IFERROR(MATCH(campo,Referencia!$A$1:$AZ$1,0),0),
fila,IFERROR(MATCH(TO_TEXT(D3421),ARRAYFOR"&amp;"MULA(TO_TEXT(Referencia!$A$2:$A6238)),0),0),
IF(OR(campo="""",campo=""-""),""NO APLICA"",
IF(col=0,""REVISAR EQUIVALENCIA"",
IF(fila=0,""SKU NO ENCONTRADO"",
LET(
valor,INDEX(Referencia!$A$2:$AZ6238,fila,col),
IF(TRIM(TO_TEXT(valor))=TRIM(TO_TEXT(I3421)),"&amp;"
""OK"",
""NO COINCIDE. Valor verdadero: ""&amp;IF(valor="""",""[VACÍO]"",TO_TEXT(valor))
)
))))
),""ERROR EN FÓRMULA""))"),"OK")</f>
        <v>OK</v>
      </c>
    </row>
    <row r="3422">
      <c r="A3422" s="83" t="s">
        <v>4896</v>
      </c>
      <c r="B3422" s="83" t="s">
        <v>4897</v>
      </c>
      <c r="C3422" s="81" t="s">
        <v>4086</v>
      </c>
      <c r="D3422" s="83" t="s">
        <v>4176</v>
      </c>
      <c r="E3422" s="81" t="s">
        <v>653</v>
      </c>
      <c r="F3422" s="81">
        <v>100.0</v>
      </c>
      <c r="G3422" s="81" t="s">
        <v>3</v>
      </c>
      <c r="H3422" s="81" t="s">
        <v>224</v>
      </c>
      <c r="I3422" s="81" t="s">
        <v>344</v>
      </c>
      <c r="J3422" s="81" t="s">
        <v>224</v>
      </c>
      <c r="K3422" s="81" t="str">
        <f>IFERROR(__xludf.DUMMYFUNCTION("IF(OR(D3422="""",G3422=""""),"""",IFERROR(LET(
campo,XLOOKUP(TRIM(G3422),ARRAYFORMULA(TRIM('indice columnas'!$A$2:$A$100)),'indice columnas'!$B$2:$B$100,""""),
col,IFERROR(MATCH(campo,Referencia!$A$1:$AZ$1,0),0),
fila,IFERROR(MATCH(TO_TEXT(D3422),ARRAYFOR"&amp;"MULA(TO_TEXT(Referencia!$A$2:$A6238)),0),0),
IF(OR(campo="""",campo=""-""),""NO APLICA"",
IF(col=0,""REVISAR EQUIVALENCIA"",
IF(fila=0,""SKU NO ENCONTRADO"",
LET(
valor,INDEX(Referencia!$A$2:$AZ6238,fila,col),
IF(TRIM(TO_TEXT(valor))=TRIM(TO_TEXT(I3422)),"&amp;"
""OK"",
""NO COINCIDE. Valor verdadero: ""&amp;IF(valor="""",""[VACÍO]"",TO_TEXT(valor))
)
))))
),""ERROR EN FÓRMULA""))"),"OK")</f>
        <v>OK</v>
      </c>
    </row>
    <row r="3423">
      <c r="A3423" s="83" t="s">
        <v>4896</v>
      </c>
      <c r="B3423" s="83" t="s">
        <v>4897</v>
      </c>
      <c r="C3423" s="81" t="s">
        <v>4086</v>
      </c>
      <c r="D3423" s="83" t="s">
        <v>4176</v>
      </c>
      <c r="E3423" s="81" t="s">
        <v>653</v>
      </c>
      <c r="F3423" s="81">
        <v>100.0</v>
      </c>
      <c r="G3423" s="81" t="s">
        <v>2</v>
      </c>
      <c r="H3423" s="81" t="s">
        <v>224</v>
      </c>
      <c r="I3423" s="81" t="s">
        <v>213</v>
      </c>
      <c r="J3423" s="81" t="s">
        <v>224</v>
      </c>
      <c r="K3423" s="81" t="str">
        <f>IFERROR(__xludf.DUMMYFUNCTION("IF(OR(D3423="""",G3423=""""),"""",IFERROR(LET(
campo,XLOOKUP(TRIM(G3423),ARRAYFORMULA(TRIM('indice columnas'!$A$2:$A$100)),'indice columnas'!$B$2:$B$100,""""),
col,IFERROR(MATCH(campo,Referencia!$A$1:$AZ$1,0),0),
fila,IFERROR(MATCH(TO_TEXT(D3423),ARRAYFOR"&amp;"MULA(TO_TEXT(Referencia!$A$2:$A6238)),0),0),
IF(OR(campo="""",campo=""-""),""NO APLICA"",
IF(col=0,""REVISAR EQUIVALENCIA"",
IF(fila=0,""SKU NO ENCONTRADO"",
LET(
valor,INDEX(Referencia!$A$2:$AZ6238,fila,col),
IF(TRIM(TO_TEXT(valor))=TRIM(TO_TEXT(I3423)),"&amp;"
""OK"",
""NO COINCIDE. Valor verdadero: ""&amp;IF(valor="""",""[VACÍO]"",TO_TEXT(valor))
)
))))
),""ERROR EN FÓRMULA""))"),"OK")</f>
        <v>OK</v>
      </c>
    </row>
    <row r="3424">
      <c r="A3424" s="83" t="s">
        <v>4896</v>
      </c>
      <c r="B3424" s="83" t="s">
        <v>4897</v>
      </c>
      <c r="C3424" s="81" t="s">
        <v>4086</v>
      </c>
      <c r="D3424" s="83" t="s">
        <v>4177</v>
      </c>
      <c r="E3424" s="81" t="s">
        <v>660</v>
      </c>
      <c r="F3424" s="81">
        <v>102.0</v>
      </c>
      <c r="G3424" s="81" t="s">
        <v>3</v>
      </c>
      <c r="H3424" s="81" t="s">
        <v>376</v>
      </c>
      <c r="I3424" s="81" t="s">
        <v>344</v>
      </c>
      <c r="J3424" s="81" t="s">
        <v>224</v>
      </c>
      <c r="K3424" s="81" t="str">
        <f>IFERROR(__xludf.DUMMYFUNCTION("IF(OR(D3424="""",G3424=""""),"""",IFERROR(LET(
campo,XLOOKUP(TRIM(G3424),ARRAYFORMULA(TRIM('indice columnas'!$A$2:$A$100)),'indice columnas'!$B$2:$B$100,""""),
col,IFERROR(MATCH(campo,Referencia!$A$1:$AZ$1,0),0),
fila,IFERROR(MATCH(TO_TEXT(D3424),ARRAYFOR"&amp;"MULA(TO_TEXT(Referencia!$A$2:$A6238)),0),0),
IF(OR(campo="""",campo=""-""),""NO APLICA"",
IF(col=0,""REVISAR EQUIVALENCIA"",
IF(fila=0,""SKU NO ENCONTRADO"",
LET(
valor,INDEX(Referencia!$A$2:$AZ6238,fila,col),
IF(TRIM(TO_TEXT(valor))=TRIM(TO_TEXT(I3424)),"&amp;"
""OK"",
""NO COINCIDE. Valor verdadero: ""&amp;IF(valor="""",""[VACÍO]"",TO_TEXT(valor))
)
))))
),""ERROR EN FÓRMULA""))"),"OK")</f>
        <v>OK</v>
      </c>
    </row>
    <row r="3425">
      <c r="A3425" s="83" t="s">
        <v>4896</v>
      </c>
      <c r="B3425" s="83" t="s">
        <v>4897</v>
      </c>
      <c r="C3425" s="81" t="s">
        <v>4086</v>
      </c>
      <c r="D3425" s="83" t="s">
        <v>4178</v>
      </c>
      <c r="E3425" s="81" t="s">
        <v>661</v>
      </c>
      <c r="F3425" s="81">
        <v>103.0</v>
      </c>
      <c r="G3425" s="81" t="s">
        <v>3</v>
      </c>
      <c r="H3425" s="81" t="s">
        <v>224</v>
      </c>
      <c r="I3425" s="81" t="s">
        <v>344</v>
      </c>
      <c r="J3425" s="81" t="s">
        <v>224</v>
      </c>
      <c r="K3425" s="81" t="str">
        <f>IFERROR(__xludf.DUMMYFUNCTION("IF(OR(D3425="""",G3425=""""),"""",IFERROR(LET(
campo,XLOOKUP(TRIM(G3425),ARRAYFORMULA(TRIM('indice columnas'!$A$2:$A$100)),'indice columnas'!$B$2:$B$100,""""),
col,IFERROR(MATCH(campo,Referencia!$A$1:$AZ$1,0),0),
fila,IFERROR(MATCH(TO_TEXT(D3425),ARRAYFOR"&amp;"MULA(TO_TEXT(Referencia!$A$2:$A6238)),0),0),
IF(OR(campo="""",campo=""-""),""NO APLICA"",
IF(col=0,""REVISAR EQUIVALENCIA"",
IF(fila=0,""SKU NO ENCONTRADO"",
LET(
valor,INDEX(Referencia!$A$2:$AZ6238,fila,col),
IF(TRIM(TO_TEXT(valor))=TRIM(TO_TEXT(I3425)),"&amp;"
""OK"",
""NO COINCIDE. Valor verdadero: ""&amp;IF(valor="""",""[VACÍO]"",TO_TEXT(valor))
)
))))
),""ERROR EN FÓRMULA""))"),"OK")</f>
        <v>OK</v>
      </c>
    </row>
    <row r="3426">
      <c r="A3426" s="83" t="s">
        <v>4896</v>
      </c>
      <c r="B3426" s="83" t="s">
        <v>4897</v>
      </c>
      <c r="C3426" s="81" t="s">
        <v>4086</v>
      </c>
      <c r="D3426" s="83" t="s">
        <v>4178</v>
      </c>
      <c r="E3426" s="81" t="s">
        <v>661</v>
      </c>
      <c r="F3426" s="81">
        <v>103.0</v>
      </c>
      <c r="G3426" s="81" t="s">
        <v>2</v>
      </c>
      <c r="H3426" s="81" t="s">
        <v>224</v>
      </c>
      <c r="I3426" s="81" t="s">
        <v>213</v>
      </c>
      <c r="J3426" s="81" t="s">
        <v>224</v>
      </c>
      <c r="K3426" s="81" t="str">
        <f>IFERROR(__xludf.DUMMYFUNCTION("IF(OR(D3426="""",G3426=""""),"""",IFERROR(LET(
campo,XLOOKUP(TRIM(G3426),ARRAYFORMULA(TRIM('indice columnas'!$A$2:$A$100)),'indice columnas'!$B$2:$B$100,""""),
col,IFERROR(MATCH(campo,Referencia!$A$1:$AZ$1,0),0),
fila,IFERROR(MATCH(TO_TEXT(D3426),ARRAYFOR"&amp;"MULA(TO_TEXT(Referencia!$A$2:$A6238)),0),0),
IF(OR(campo="""",campo=""-""),""NO APLICA"",
IF(col=0,""REVISAR EQUIVALENCIA"",
IF(fila=0,""SKU NO ENCONTRADO"",
LET(
valor,INDEX(Referencia!$A$2:$AZ6238,fila,col),
IF(TRIM(TO_TEXT(valor))=TRIM(TO_TEXT(I3426)),"&amp;"
""OK"",
""NO COINCIDE. Valor verdadero: ""&amp;IF(valor="""",""[VACÍO]"",TO_TEXT(valor))
)
))))
),""ERROR EN FÓRMULA""))"),"OK")</f>
        <v>OK</v>
      </c>
    </row>
    <row r="3427">
      <c r="A3427" s="83" t="s">
        <v>4896</v>
      </c>
      <c r="B3427" s="83" t="s">
        <v>4897</v>
      </c>
      <c r="C3427" s="81" t="s">
        <v>4086</v>
      </c>
      <c r="D3427" s="83" t="s">
        <v>4179</v>
      </c>
      <c r="E3427" s="81" t="s">
        <v>663</v>
      </c>
      <c r="F3427" s="81">
        <v>104.0</v>
      </c>
      <c r="G3427" s="81" t="s">
        <v>3</v>
      </c>
      <c r="H3427" s="81" t="s">
        <v>224</v>
      </c>
      <c r="I3427" s="81" t="s">
        <v>51</v>
      </c>
      <c r="J3427" s="81" t="s">
        <v>224</v>
      </c>
      <c r="K3427" s="81" t="str">
        <f>IFERROR(__xludf.DUMMYFUNCTION("IF(OR(D3427="""",G3427=""""),"""",IFERROR(LET(
campo,XLOOKUP(TRIM(G3427),ARRAYFORMULA(TRIM('indice columnas'!$A$2:$A$100)),'indice columnas'!$B$2:$B$100,""""),
col,IFERROR(MATCH(campo,Referencia!$A$1:$AZ$1,0),0),
fila,IFERROR(MATCH(TO_TEXT(D3427),ARRAYFOR"&amp;"MULA(TO_TEXT(Referencia!$A$2:$A6238)),0),0),
IF(OR(campo="""",campo=""-""),""NO APLICA"",
IF(col=0,""REVISAR EQUIVALENCIA"",
IF(fila=0,""SKU NO ENCONTRADO"",
LET(
valor,INDEX(Referencia!$A$2:$AZ6238,fila,col),
IF(TRIM(TO_TEXT(valor))=TRIM(TO_TEXT(I3427)),"&amp;"
""OK"",
""NO COINCIDE. Valor verdadero: ""&amp;IF(valor="""",""[VACÍO]"",TO_TEXT(valor))
)
))))
),""ERROR EN FÓRMULA""))"),"OK")</f>
        <v>OK</v>
      </c>
    </row>
    <row r="3428">
      <c r="A3428" s="83" t="s">
        <v>4896</v>
      </c>
      <c r="B3428" s="83" t="s">
        <v>4897</v>
      </c>
      <c r="C3428" s="81" t="s">
        <v>4086</v>
      </c>
      <c r="D3428" s="83" t="s">
        <v>4179</v>
      </c>
      <c r="E3428" s="81" t="s">
        <v>663</v>
      </c>
      <c r="F3428" s="81">
        <v>104.0</v>
      </c>
      <c r="G3428" s="81" t="s">
        <v>2</v>
      </c>
      <c r="H3428" s="81" t="s">
        <v>224</v>
      </c>
      <c r="I3428" s="81" t="s">
        <v>50</v>
      </c>
      <c r="J3428" s="81" t="s">
        <v>224</v>
      </c>
      <c r="K3428" s="81" t="str">
        <f>IFERROR(__xludf.DUMMYFUNCTION("IF(OR(D3428="""",G3428=""""),"""",IFERROR(LET(
campo,XLOOKUP(TRIM(G3428),ARRAYFORMULA(TRIM('indice columnas'!$A$2:$A$100)),'indice columnas'!$B$2:$B$100,""""),
col,IFERROR(MATCH(campo,Referencia!$A$1:$AZ$1,0),0),
fila,IFERROR(MATCH(TO_TEXT(D3428),ARRAYFOR"&amp;"MULA(TO_TEXT(Referencia!$A$2:$A6238)),0),0),
IF(OR(campo="""",campo=""-""),""NO APLICA"",
IF(col=0,""REVISAR EQUIVALENCIA"",
IF(fila=0,""SKU NO ENCONTRADO"",
LET(
valor,INDEX(Referencia!$A$2:$AZ6238,fila,col),
IF(TRIM(TO_TEXT(valor))=TRIM(TO_TEXT(I3428)),"&amp;"
""OK"",
""NO COINCIDE. Valor verdadero: ""&amp;IF(valor="""",""[VACÍO]"",TO_TEXT(valor))
)
))))
),""ERROR EN FÓRMULA""))"),"OK")</f>
        <v>OK</v>
      </c>
    </row>
    <row r="3429">
      <c r="A3429" s="83" t="s">
        <v>4896</v>
      </c>
      <c r="B3429" s="83" t="s">
        <v>4897</v>
      </c>
      <c r="C3429" s="81" t="s">
        <v>4086</v>
      </c>
      <c r="D3429" s="83" t="s">
        <v>4179</v>
      </c>
      <c r="E3429" s="81" t="s">
        <v>663</v>
      </c>
      <c r="F3429" s="81">
        <v>104.0</v>
      </c>
      <c r="G3429" s="81" t="s">
        <v>1</v>
      </c>
      <c r="H3429" s="81" t="s">
        <v>224</v>
      </c>
      <c r="I3429" s="81" t="s">
        <v>49</v>
      </c>
      <c r="J3429" s="81" t="s">
        <v>224</v>
      </c>
      <c r="K3429" s="81" t="str">
        <f>IFERROR(__xludf.DUMMYFUNCTION("IF(OR(D3429="""",G3429=""""),"""",IFERROR(LET(
campo,XLOOKUP(TRIM(G3429),ARRAYFORMULA(TRIM('indice columnas'!$A$2:$A$100)),'indice columnas'!$B$2:$B$100,""""),
col,IFERROR(MATCH(campo,Referencia!$A$1:$AZ$1,0),0),
fila,IFERROR(MATCH(TO_TEXT(D3429),ARRAYFOR"&amp;"MULA(TO_TEXT(Referencia!$A$2:$A6238)),0),0),
IF(OR(campo="""",campo=""-""),""NO APLICA"",
IF(col=0,""REVISAR EQUIVALENCIA"",
IF(fila=0,""SKU NO ENCONTRADO"",
LET(
valor,INDEX(Referencia!$A$2:$AZ6238,fila,col),
IF(TRIM(TO_TEXT(valor))=TRIM(TO_TEXT(I3429)),"&amp;"
""OK"",
""NO COINCIDE. Valor verdadero: ""&amp;IF(valor="""",""[VACÍO]"",TO_TEXT(valor))
)
))))
),""ERROR EN FÓRMULA""))"),"OK")</f>
        <v>OK</v>
      </c>
    </row>
    <row r="3430">
      <c r="A3430" s="83" t="s">
        <v>4896</v>
      </c>
      <c r="B3430" s="83" t="s">
        <v>4897</v>
      </c>
      <c r="C3430" s="81" t="s">
        <v>4086</v>
      </c>
      <c r="D3430" s="83" t="s">
        <v>4180</v>
      </c>
      <c r="E3430" s="81" t="s">
        <v>666</v>
      </c>
      <c r="F3430" s="81">
        <v>105.0</v>
      </c>
      <c r="G3430" s="81" t="s">
        <v>3</v>
      </c>
      <c r="H3430" s="81" t="s">
        <v>224</v>
      </c>
      <c r="I3430" s="81" t="s">
        <v>344</v>
      </c>
      <c r="J3430" s="81" t="s">
        <v>224</v>
      </c>
      <c r="K3430" s="81" t="str">
        <f>IFERROR(__xludf.DUMMYFUNCTION("IF(OR(D3430="""",G3430=""""),"""",IFERROR(LET(
campo,XLOOKUP(TRIM(G3430),ARRAYFORMULA(TRIM('indice columnas'!$A$2:$A$100)),'indice columnas'!$B$2:$B$100,""""),
col,IFERROR(MATCH(campo,Referencia!$A$1:$AZ$1,0),0),
fila,IFERROR(MATCH(TO_TEXT(D3430),ARRAYFOR"&amp;"MULA(TO_TEXT(Referencia!$A$2:$A6238)),0),0),
IF(OR(campo="""",campo=""-""),""NO APLICA"",
IF(col=0,""REVISAR EQUIVALENCIA"",
IF(fila=0,""SKU NO ENCONTRADO"",
LET(
valor,INDEX(Referencia!$A$2:$AZ6238,fila,col),
IF(TRIM(TO_TEXT(valor))=TRIM(TO_TEXT(I3430)),"&amp;"
""OK"",
""NO COINCIDE. Valor verdadero: ""&amp;IF(valor="""",""[VACÍO]"",TO_TEXT(valor))
)
))))
),""ERROR EN FÓRMULA""))"),"OK")</f>
        <v>OK</v>
      </c>
    </row>
    <row r="3431">
      <c r="A3431" s="83" t="s">
        <v>4896</v>
      </c>
      <c r="B3431" s="83" t="s">
        <v>4897</v>
      </c>
      <c r="C3431" s="81" t="s">
        <v>4086</v>
      </c>
      <c r="D3431" s="83" t="s">
        <v>4180</v>
      </c>
      <c r="E3431" s="81" t="s">
        <v>666</v>
      </c>
      <c r="F3431" s="81">
        <v>105.0</v>
      </c>
      <c r="G3431" s="81" t="s">
        <v>2</v>
      </c>
      <c r="H3431" s="81" t="s">
        <v>224</v>
      </c>
      <c r="I3431" s="81" t="s">
        <v>213</v>
      </c>
      <c r="J3431" s="81" t="s">
        <v>224</v>
      </c>
      <c r="K3431" s="81" t="str">
        <f>IFERROR(__xludf.DUMMYFUNCTION("IF(OR(D3431="""",G3431=""""),"""",IFERROR(LET(
campo,XLOOKUP(TRIM(G3431),ARRAYFORMULA(TRIM('indice columnas'!$A$2:$A$100)),'indice columnas'!$B$2:$B$100,""""),
col,IFERROR(MATCH(campo,Referencia!$A$1:$AZ$1,0),0),
fila,IFERROR(MATCH(TO_TEXT(D3431),ARRAYFOR"&amp;"MULA(TO_TEXT(Referencia!$A$2:$A6238)),0),0),
IF(OR(campo="""",campo=""-""),""NO APLICA"",
IF(col=0,""REVISAR EQUIVALENCIA"",
IF(fila=0,""SKU NO ENCONTRADO"",
LET(
valor,INDEX(Referencia!$A$2:$AZ6238,fila,col),
IF(TRIM(TO_TEXT(valor))=TRIM(TO_TEXT(I3431)),"&amp;"
""OK"",
""NO COINCIDE. Valor verdadero: ""&amp;IF(valor="""",""[VACÍO]"",TO_TEXT(valor))
)
))))
),""ERROR EN FÓRMULA""))"),"OK")</f>
        <v>OK</v>
      </c>
    </row>
    <row r="3432">
      <c r="A3432" s="83" t="s">
        <v>4896</v>
      </c>
      <c r="B3432" s="83" t="s">
        <v>4897</v>
      </c>
      <c r="C3432" s="81" t="s">
        <v>4086</v>
      </c>
      <c r="D3432" s="83" t="s">
        <v>4181</v>
      </c>
      <c r="E3432" s="81" t="s">
        <v>671</v>
      </c>
      <c r="F3432" s="81">
        <v>106.0</v>
      </c>
      <c r="G3432" s="81" t="s">
        <v>3</v>
      </c>
      <c r="H3432" s="81" t="s">
        <v>224</v>
      </c>
      <c r="I3432" s="81" t="s">
        <v>344</v>
      </c>
      <c r="J3432" s="81" t="s">
        <v>224</v>
      </c>
      <c r="K3432" s="81" t="str">
        <f>IFERROR(__xludf.DUMMYFUNCTION("IF(OR(D3432="""",G3432=""""),"""",IFERROR(LET(
campo,XLOOKUP(TRIM(G3432),ARRAYFORMULA(TRIM('indice columnas'!$A$2:$A$100)),'indice columnas'!$B$2:$B$100,""""),
col,IFERROR(MATCH(campo,Referencia!$A$1:$AZ$1,0),0),
fila,IFERROR(MATCH(TO_TEXT(D3432),ARRAYFOR"&amp;"MULA(TO_TEXT(Referencia!$A$2:$A6238)),0),0),
IF(OR(campo="""",campo=""-""),""NO APLICA"",
IF(col=0,""REVISAR EQUIVALENCIA"",
IF(fila=0,""SKU NO ENCONTRADO"",
LET(
valor,INDEX(Referencia!$A$2:$AZ6238,fila,col),
IF(TRIM(TO_TEXT(valor))=TRIM(TO_TEXT(I3432)),"&amp;"
""OK"",
""NO COINCIDE. Valor verdadero: ""&amp;IF(valor="""",""[VACÍO]"",TO_TEXT(valor))
)
))))
),""ERROR EN FÓRMULA""))"),"OK")</f>
        <v>OK</v>
      </c>
    </row>
    <row r="3433">
      <c r="A3433" s="83" t="s">
        <v>4896</v>
      </c>
      <c r="B3433" s="83" t="s">
        <v>4897</v>
      </c>
      <c r="C3433" s="81" t="s">
        <v>4086</v>
      </c>
      <c r="D3433" s="83" t="s">
        <v>4181</v>
      </c>
      <c r="E3433" s="81" t="s">
        <v>671</v>
      </c>
      <c r="F3433" s="81">
        <v>106.0</v>
      </c>
      <c r="G3433" s="81" t="s">
        <v>2</v>
      </c>
      <c r="H3433" s="81" t="s">
        <v>224</v>
      </c>
      <c r="I3433" s="81" t="s">
        <v>213</v>
      </c>
      <c r="J3433" s="81" t="s">
        <v>224</v>
      </c>
      <c r="K3433" s="81" t="str">
        <f>IFERROR(__xludf.DUMMYFUNCTION("IF(OR(D3433="""",G3433=""""),"""",IFERROR(LET(
campo,XLOOKUP(TRIM(G3433),ARRAYFORMULA(TRIM('indice columnas'!$A$2:$A$100)),'indice columnas'!$B$2:$B$100,""""),
col,IFERROR(MATCH(campo,Referencia!$A$1:$AZ$1,0),0),
fila,IFERROR(MATCH(TO_TEXT(D3433),ARRAYFOR"&amp;"MULA(TO_TEXT(Referencia!$A$2:$A6238)),0),0),
IF(OR(campo="""",campo=""-""),""NO APLICA"",
IF(col=0,""REVISAR EQUIVALENCIA"",
IF(fila=0,""SKU NO ENCONTRADO"",
LET(
valor,INDEX(Referencia!$A$2:$AZ6238,fila,col),
IF(TRIM(TO_TEXT(valor))=TRIM(TO_TEXT(I3433)),"&amp;"
""OK"",
""NO COINCIDE. Valor verdadero: ""&amp;IF(valor="""",""[VACÍO]"",TO_TEXT(valor))
)
))))
),""ERROR EN FÓRMULA""))"),"OK")</f>
        <v>OK</v>
      </c>
    </row>
    <row r="3434">
      <c r="A3434" s="83" t="s">
        <v>4896</v>
      </c>
      <c r="B3434" s="83" t="s">
        <v>4897</v>
      </c>
      <c r="C3434" s="81" t="s">
        <v>4086</v>
      </c>
      <c r="D3434" s="83" t="s">
        <v>4182</v>
      </c>
      <c r="E3434" s="81" t="s">
        <v>673</v>
      </c>
      <c r="F3434" s="81">
        <v>107.0</v>
      </c>
      <c r="G3434" s="81" t="s">
        <v>3</v>
      </c>
      <c r="H3434" s="81" t="s">
        <v>224</v>
      </c>
      <c r="I3434" s="81" t="s">
        <v>344</v>
      </c>
      <c r="J3434" s="81" t="s">
        <v>224</v>
      </c>
      <c r="K3434" s="81" t="str">
        <f>IFERROR(__xludf.DUMMYFUNCTION("IF(OR(D3434="""",G3434=""""),"""",IFERROR(LET(
campo,XLOOKUP(TRIM(G3434),ARRAYFORMULA(TRIM('indice columnas'!$A$2:$A$100)),'indice columnas'!$B$2:$B$100,""""),
col,IFERROR(MATCH(campo,Referencia!$A$1:$AZ$1,0),0),
fila,IFERROR(MATCH(TO_TEXT(D3434),ARRAYFOR"&amp;"MULA(TO_TEXT(Referencia!$A$2:$A6238)),0),0),
IF(OR(campo="""",campo=""-""),""NO APLICA"",
IF(col=0,""REVISAR EQUIVALENCIA"",
IF(fila=0,""SKU NO ENCONTRADO"",
LET(
valor,INDEX(Referencia!$A$2:$AZ6238,fila,col),
IF(TRIM(TO_TEXT(valor))=TRIM(TO_TEXT(I3434)),"&amp;"
""OK"",
""NO COINCIDE. Valor verdadero: ""&amp;IF(valor="""",""[VACÍO]"",TO_TEXT(valor))
)
))))
),""ERROR EN FÓRMULA""))"),"OK")</f>
        <v>OK</v>
      </c>
    </row>
    <row r="3435">
      <c r="A3435" s="83" t="s">
        <v>4896</v>
      </c>
      <c r="B3435" s="83" t="s">
        <v>4897</v>
      </c>
      <c r="C3435" s="81" t="s">
        <v>4086</v>
      </c>
      <c r="D3435" s="83" t="s">
        <v>4182</v>
      </c>
      <c r="E3435" s="81" t="s">
        <v>673</v>
      </c>
      <c r="F3435" s="81">
        <v>107.0</v>
      </c>
      <c r="G3435" s="81" t="s">
        <v>2</v>
      </c>
      <c r="H3435" s="81" t="s">
        <v>224</v>
      </c>
      <c r="I3435" s="81" t="s">
        <v>213</v>
      </c>
      <c r="J3435" s="81" t="s">
        <v>224</v>
      </c>
      <c r="K3435" s="81" t="str">
        <f>IFERROR(__xludf.DUMMYFUNCTION("IF(OR(D3435="""",G3435=""""),"""",IFERROR(LET(
campo,XLOOKUP(TRIM(G3435),ARRAYFORMULA(TRIM('indice columnas'!$A$2:$A$100)),'indice columnas'!$B$2:$B$100,""""),
col,IFERROR(MATCH(campo,Referencia!$A$1:$AZ$1,0),0),
fila,IFERROR(MATCH(TO_TEXT(D3435),ARRAYFOR"&amp;"MULA(TO_TEXT(Referencia!$A$2:$A6238)),0),0),
IF(OR(campo="""",campo=""-""),""NO APLICA"",
IF(col=0,""REVISAR EQUIVALENCIA"",
IF(fila=0,""SKU NO ENCONTRADO"",
LET(
valor,INDEX(Referencia!$A$2:$AZ6238,fila,col),
IF(TRIM(TO_TEXT(valor))=TRIM(TO_TEXT(I3435)),"&amp;"
""OK"",
""NO COINCIDE. Valor verdadero: ""&amp;IF(valor="""",""[VACÍO]"",TO_TEXT(valor))
)
))))
),""ERROR EN FÓRMULA""))"),"OK")</f>
        <v>OK</v>
      </c>
    </row>
    <row r="3436">
      <c r="A3436" s="83" t="s">
        <v>4896</v>
      </c>
      <c r="B3436" s="83" t="s">
        <v>4897</v>
      </c>
      <c r="C3436" s="81" t="s">
        <v>4086</v>
      </c>
      <c r="D3436" s="83" t="s">
        <v>4182</v>
      </c>
      <c r="E3436" s="81" t="s">
        <v>673</v>
      </c>
      <c r="F3436" s="81">
        <v>107.0</v>
      </c>
      <c r="G3436" s="81" t="s">
        <v>1</v>
      </c>
      <c r="H3436" s="81" t="s">
        <v>224</v>
      </c>
      <c r="I3436" s="81" t="s">
        <v>49</v>
      </c>
      <c r="J3436" s="81" t="s">
        <v>224</v>
      </c>
      <c r="K3436" s="81" t="str">
        <f>IFERROR(__xludf.DUMMYFUNCTION("IF(OR(D3436="""",G3436=""""),"""",IFERROR(LET(
campo,XLOOKUP(TRIM(G3436),ARRAYFORMULA(TRIM('indice columnas'!$A$2:$A$100)),'indice columnas'!$B$2:$B$100,""""),
col,IFERROR(MATCH(campo,Referencia!$A$1:$AZ$1,0),0),
fila,IFERROR(MATCH(TO_TEXT(D3436),ARRAYFOR"&amp;"MULA(TO_TEXT(Referencia!$A$2:$A6238)),0),0),
IF(OR(campo="""",campo=""-""),""NO APLICA"",
IF(col=0,""REVISAR EQUIVALENCIA"",
IF(fila=0,""SKU NO ENCONTRADO"",
LET(
valor,INDEX(Referencia!$A$2:$AZ6238,fila,col),
IF(TRIM(TO_TEXT(valor))=TRIM(TO_TEXT(I3436)),"&amp;"
""OK"",
""NO COINCIDE. Valor verdadero: ""&amp;IF(valor="""",""[VACÍO]"",TO_TEXT(valor))
)
))))
),""ERROR EN FÓRMULA""))"),"OK")</f>
        <v>OK</v>
      </c>
    </row>
    <row r="3437">
      <c r="A3437" s="83" t="s">
        <v>4896</v>
      </c>
      <c r="B3437" s="83" t="s">
        <v>4897</v>
      </c>
      <c r="C3437" s="81" t="s">
        <v>4086</v>
      </c>
      <c r="D3437" s="83" t="s">
        <v>4183</v>
      </c>
      <c r="E3437" s="81" t="s">
        <v>681</v>
      </c>
      <c r="F3437" s="81">
        <v>109.0</v>
      </c>
      <c r="G3437" s="81" t="s">
        <v>3</v>
      </c>
      <c r="H3437" s="81" t="s">
        <v>376</v>
      </c>
      <c r="I3437" s="81" t="s">
        <v>344</v>
      </c>
      <c r="J3437" s="81" t="s">
        <v>224</v>
      </c>
      <c r="K3437" s="81" t="str">
        <f>IFERROR(__xludf.DUMMYFUNCTION("IF(OR(D3437="""",G3437=""""),"""",IFERROR(LET(
campo,XLOOKUP(TRIM(G3437),ARRAYFORMULA(TRIM('indice columnas'!$A$2:$A$100)),'indice columnas'!$B$2:$B$100,""""),
col,IFERROR(MATCH(campo,Referencia!$A$1:$AZ$1,0),0),
fila,IFERROR(MATCH(TO_TEXT(D3437),ARRAYFOR"&amp;"MULA(TO_TEXT(Referencia!$A$2:$A6238)),0),0),
IF(OR(campo="""",campo=""-""),""NO APLICA"",
IF(col=0,""REVISAR EQUIVALENCIA"",
IF(fila=0,""SKU NO ENCONTRADO"",
LET(
valor,INDEX(Referencia!$A$2:$AZ6238,fila,col),
IF(TRIM(TO_TEXT(valor))=TRIM(TO_TEXT(I3437)),"&amp;"
""OK"",
""NO COINCIDE. Valor verdadero: ""&amp;IF(valor="""",""[VACÍO]"",TO_TEXT(valor))
)
))))
),""ERROR EN FÓRMULA""))"),"OK")</f>
        <v>OK</v>
      </c>
    </row>
    <row r="3438">
      <c r="A3438" s="83" t="s">
        <v>4896</v>
      </c>
      <c r="B3438" s="83" t="s">
        <v>4897</v>
      </c>
      <c r="C3438" s="81" t="s">
        <v>4086</v>
      </c>
      <c r="D3438" s="83" t="s">
        <v>4184</v>
      </c>
      <c r="E3438" s="81" t="s">
        <v>683</v>
      </c>
      <c r="F3438" s="81">
        <v>110.0</v>
      </c>
      <c r="G3438" s="81" t="s">
        <v>3</v>
      </c>
      <c r="H3438" s="81" t="s">
        <v>224</v>
      </c>
      <c r="I3438" s="81" t="s">
        <v>344</v>
      </c>
      <c r="J3438" s="81" t="s">
        <v>224</v>
      </c>
      <c r="K3438" s="81" t="str">
        <f>IFERROR(__xludf.DUMMYFUNCTION("IF(OR(D3438="""",G3438=""""),"""",IFERROR(LET(
campo,XLOOKUP(TRIM(G3438),ARRAYFORMULA(TRIM('indice columnas'!$A$2:$A$100)),'indice columnas'!$B$2:$B$100,""""),
col,IFERROR(MATCH(campo,Referencia!$A$1:$AZ$1,0),0),
fila,IFERROR(MATCH(TO_TEXT(D3438),ARRAYFOR"&amp;"MULA(TO_TEXT(Referencia!$A$2:$A6238)),0),0),
IF(OR(campo="""",campo=""-""),""NO APLICA"",
IF(col=0,""REVISAR EQUIVALENCIA"",
IF(fila=0,""SKU NO ENCONTRADO"",
LET(
valor,INDEX(Referencia!$A$2:$AZ6238,fila,col),
IF(TRIM(TO_TEXT(valor))=TRIM(TO_TEXT(I3438)),"&amp;"
""OK"",
""NO COINCIDE. Valor verdadero: ""&amp;IF(valor="""",""[VACÍO]"",TO_TEXT(valor))
)
))))
),""ERROR EN FÓRMULA""))"),"OK")</f>
        <v>OK</v>
      </c>
    </row>
    <row r="3439">
      <c r="A3439" s="83" t="s">
        <v>4896</v>
      </c>
      <c r="B3439" s="83" t="s">
        <v>4897</v>
      </c>
      <c r="C3439" s="81" t="s">
        <v>4086</v>
      </c>
      <c r="D3439" s="83" t="s">
        <v>4184</v>
      </c>
      <c r="E3439" s="81" t="s">
        <v>683</v>
      </c>
      <c r="F3439" s="81">
        <v>110.0</v>
      </c>
      <c r="G3439" s="81" t="s">
        <v>2</v>
      </c>
      <c r="H3439" s="81" t="s">
        <v>224</v>
      </c>
      <c r="I3439" s="81" t="s">
        <v>213</v>
      </c>
      <c r="J3439" s="81" t="s">
        <v>224</v>
      </c>
      <c r="K3439" s="81" t="str">
        <f>IFERROR(__xludf.DUMMYFUNCTION("IF(OR(D3439="""",G3439=""""),"""",IFERROR(LET(
campo,XLOOKUP(TRIM(G3439),ARRAYFORMULA(TRIM('indice columnas'!$A$2:$A$100)),'indice columnas'!$B$2:$B$100,""""),
col,IFERROR(MATCH(campo,Referencia!$A$1:$AZ$1,0),0),
fila,IFERROR(MATCH(TO_TEXT(D3439),ARRAYFOR"&amp;"MULA(TO_TEXT(Referencia!$A$2:$A6238)),0),0),
IF(OR(campo="""",campo=""-""),""NO APLICA"",
IF(col=0,""REVISAR EQUIVALENCIA"",
IF(fila=0,""SKU NO ENCONTRADO"",
LET(
valor,INDEX(Referencia!$A$2:$AZ6238,fila,col),
IF(TRIM(TO_TEXT(valor))=TRIM(TO_TEXT(I3439)),"&amp;"
""OK"",
""NO COINCIDE. Valor verdadero: ""&amp;IF(valor="""",""[VACÍO]"",TO_TEXT(valor))
)
))))
),""ERROR EN FÓRMULA""))"),"OK")</f>
        <v>OK</v>
      </c>
    </row>
    <row r="3440">
      <c r="A3440" s="83" t="s">
        <v>4896</v>
      </c>
      <c r="B3440" s="83" t="s">
        <v>4897</v>
      </c>
      <c r="C3440" s="81" t="s">
        <v>4086</v>
      </c>
      <c r="D3440" s="83" t="s">
        <v>4185</v>
      </c>
      <c r="E3440" s="81" t="s">
        <v>690</v>
      </c>
      <c r="F3440" s="81">
        <v>112.0</v>
      </c>
      <c r="G3440" s="81" t="s">
        <v>3</v>
      </c>
      <c r="H3440" s="81" t="s">
        <v>376</v>
      </c>
      <c r="I3440" s="81" t="s">
        <v>344</v>
      </c>
      <c r="J3440" s="81" t="s">
        <v>224</v>
      </c>
      <c r="K3440" s="81" t="str">
        <f>IFERROR(__xludf.DUMMYFUNCTION("IF(OR(D3440="""",G3440=""""),"""",IFERROR(LET(
campo,XLOOKUP(TRIM(G3440),ARRAYFORMULA(TRIM('indice columnas'!$A$2:$A$100)),'indice columnas'!$B$2:$B$100,""""),
col,IFERROR(MATCH(campo,Referencia!$A$1:$AZ$1,0),0),
fila,IFERROR(MATCH(TO_TEXT(D3440),ARRAYFOR"&amp;"MULA(TO_TEXT(Referencia!$A$2:$A6238)),0),0),
IF(OR(campo="""",campo=""-""),""NO APLICA"",
IF(col=0,""REVISAR EQUIVALENCIA"",
IF(fila=0,""SKU NO ENCONTRADO"",
LET(
valor,INDEX(Referencia!$A$2:$AZ6238,fila,col),
IF(TRIM(TO_TEXT(valor))=TRIM(TO_TEXT(I3440)),"&amp;"
""OK"",
""NO COINCIDE. Valor verdadero: ""&amp;IF(valor="""",""[VACÍO]"",TO_TEXT(valor))
)
))))
),""ERROR EN FÓRMULA""))"),"OK")</f>
        <v>OK</v>
      </c>
    </row>
    <row r="3441">
      <c r="A3441" s="83" t="s">
        <v>4896</v>
      </c>
      <c r="B3441" s="83" t="s">
        <v>4897</v>
      </c>
      <c r="C3441" s="81" t="s">
        <v>4086</v>
      </c>
      <c r="D3441" s="83" t="s">
        <v>4186</v>
      </c>
      <c r="E3441" s="81" t="s">
        <v>691</v>
      </c>
      <c r="F3441" s="81">
        <v>113.0</v>
      </c>
      <c r="G3441" s="81" t="s">
        <v>3</v>
      </c>
      <c r="H3441" s="81" t="s">
        <v>224</v>
      </c>
      <c r="I3441" s="81" t="s">
        <v>344</v>
      </c>
      <c r="J3441" s="81" t="s">
        <v>224</v>
      </c>
      <c r="K3441" s="81" t="str">
        <f>IFERROR(__xludf.DUMMYFUNCTION("IF(OR(D3441="""",G3441=""""),"""",IFERROR(LET(
campo,XLOOKUP(TRIM(G3441),ARRAYFORMULA(TRIM('indice columnas'!$A$2:$A$100)),'indice columnas'!$B$2:$B$100,""""),
col,IFERROR(MATCH(campo,Referencia!$A$1:$AZ$1,0),0),
fila,IFERROR(MATCH(TO_TEXT(D3441),ARRAYFOR"&amp;"MULA(TO_TEXT(Referencia!$A$2:$A6238)),0),0),
IF(OR(campo="""",campo=""-""),""NO APLICA"",
IF(col=0,""REVISAR EQUIVALENCIA"",
IF(fila=0,""SKU NO ENCONTRADO"",
LET(
valor,INDEX(Referencia!$A$2:$AZ6238,fila,col),
IF(TRIM(TO_TEXT(valor))=TRIM(TO_TEXT(I3441)),"&amp;"
""OK"",
""NO COINCIDE. Valor verdadero: ""&amp;IF(valor="""",""[VACÍO]"",TO_TEXT(valor))
)
))))
),""ERROR EN FÓRMULA""))"),"OK")</f>
        <v>OK</v>
      </c>
    </row>
    <row r="3442">
      <c r="A3442" s="83" t="s">
        <v>4896</v>
      </c>
      <c r="B3442" s="83" t="s">
        <v>4897</v>
      </c>
      <c r="C3442" s="81" t="s">
        <v>4086</v>
      </c>
      <c r="D3442" s="83" t="s">
        <v>4186</v>
      </c>
      <c r="E3442" s="81" t="s">
        <v>691</v>
      </c>
      <c r="F3442" s="81">
        <v>113.0</v>
      </c>
      <c r="G3442" s="81" t="s">
        <v>2</v>
      </c>
      <c r="H3442" s="81" t="s">
        <v>224</v>
      </c>
      <c r="I3442" s="81" t="s">
        <v>213</v>
      </c>
      <c r="J3442" s="81" t="s">
        <v>224</v>
      </c>
      <c r="K3442" s="81" t="str">
        <f>IFERROR(__xludf.DUMMYFUNCTION("IF(OR(D3442="""",G3442=""""),"""",IFERROR(LET(
campo,XLOOKUP(TRIM(G3442),ARRAYFORMULA(TRIM('indice columnas'!$A$2:$A$100)),'indice columnas'!$B$2:$B$100,""""),
col,IFERROR(MATCH(campo,Referencia!$A$1:$AZ$1,0),0),
fila,IFERROR(MATCH(TO_TEXT(D3442),ARRAYFOR"&amp;"MULA(TO_TEXT(Referencia!$A$2:$A6238)),0),0),
IF(OR(campo="""",campo=""-""),""NO APLICA"",
IF(col=0,""REVISAR EQUIVALENCIA"",
IF(fila=0,""SKU NO ENCONTRADO"",
LET(
valor,INDEX(Referencia!$A$2:$AZ6238,fila,col),
IF(TRIM(TO_TEXT(valor))=TRIM(TO_TEXT(I3442)),"&amp;"
""OK"",
""NO COINCIDE. Valor verdadero: ""&amp;IF(valor="""",""[VACÍO]"",TO_TEXT(valor))
)
))))
),""ERROR EN FÓRMULA""))"),"OK")</f>
        <v>OK</v>
      </c>
    </row>
    <row r="3443">
      <c r="A3443" s="83" t="s">
        <v>4896</v>
      </c>
      <c r="B3443" s="83" t="s">
        <v>4897</v>
      </c>
      <c r="C3443" s="81" t="s">
        <v>4086</v>
      </c>
      <c r="D3443" s="83" t="s">
        <v>4188</v>
      </c>
      <c r="E3443" s="81" t="s">
        <v>701</v>
      </c>
      <c r="F3443" s="81">
        <v>116.0</v>
      </c>
      <c r="G3443" s="81" t="s">
        <v>3</v>
      </c>
      <c r="H3443" s="81" t="s">
        <v>224</v>
      </c>
      <c r="I3443" s="81" t="s">
        <v>51</v>
      </c>
      <c r="J3443" s="81" t="s">
        <v>224</v>
      </c>
      <c r="K3443" s="81" t="str">
        <f>IFERROR(__xludf.DUMMYFUNCTION("IF(OR(D3443="""",G3443=""""),"""",IFERROR(LET(
campo,XLOOKUP(TRIM(G3443),ARRAYFORMULA(TRIM('indice columnas'!$A$2:$A$100)),'indice columnas'!$B$2:$B$100,""""),
col,IFERROR(MATCH(campo,Referencia!$A$1:$AZ$1,0),0),
fila,IFERROR(MATCH(TO_TEXT(D3443),ARRAYFOR"&amp;"MULA(TO_TEXT(Referencia!$A$2:$A6238)),0),0),
IF(OR(campo="""",campo=""-""),""NO APLICA"",
IF(col=0,""REVISAR EQUIVALENCIA"",
IF(fila=0,""SKU NO ENCONTRADO"",
LET(
valor,INDEX(Referencia!$A$2:$AZ6238,fila,col),
IF(TRIM(TO_TEXT(valor))=TRIM(TO_TEXT(I3443)),"&amp;"
""OK"",
""NO COINCIDE. Valor verdadero: ""&amp;IF(valor="""",""[VACÍO]"",TO_TEXT(valor))
)
))))
),""ERROR EN FÓRMULA""))"),"OK")</f>
        <v>OK</v>
      </c>
    </row>
    <row r="3444">
      <c r="A3444" s="83" t="s">
        <v>4896</v>
      </c>
      <c r="B3444" s="83" t="s">
        <v>4897</v>
      </c>
      <c r="C3444" s="81" t="s">
        <v>4086</v>
      </c>
      <c r="D3444" s="83" t="s">
        <v>4188</v>
      </c>
      <c r="E3444" s="81" t="s">
        <v>701</v>
      </c>
      <c r="F3444" s="81">
        <v>116.0</v>
      </c>
      <c r="G3444" s="81" t="s">
        <v>2</v>
      </c>
      <c r="H3444" s="81" t="s">
        <v>224</v>
      </c>
      <c r="I3444" s="81" t="s">
        <v>213</v>
      </c>
      <c r="J3444" s="81" t="s">
        <v>224</v>
      </c>
      <c r="K3444" s="81" t="str">
        <f>IFERROR(__xludf.DUMMYFUNCTION("IF(OR(D3444="""",G3444=""""),"""",IFERROR(LET(
campo,XLOOKUP(TRIM(G3444),ARRAYFORMULA(TRIM('indice columnas'!$A$2:$A$100)),'indice columnas'!$B$2:$B$100,""""),
col,IFERROR(MATCH(campo,Referencia!$A$1:$AZ$1,0),0),
fila,IFERROR(MATCH(TO_TEXT(D3444),ARRAYFOR"&amp;"MULA(TO_TEXT(Referencia!$A$2:$A6238)),0),0),
IF(OR(campo="""",campo=""-""),""NO APLICA"",
IF(col=0,""REVISAR EQUIVALENCIA"",
IF(fila=0,""SKU NO ENCONTRADO"",
LET(
valor,INDEX(Referencia!$A$2:$AZ6238,fila,col),
IF(TRIM(TO_TEXT(valor))=TRIM(TO_TEXT(I3444)),"&amp;"
""OK"",
""NO COINCIDE. Valor verdadero: ""&amp;IF(valor="""",""[VACÍO]"",TO_TEXT(valor))
)
))))
),""ERROR EN FÓRMULA""))"),"OK")</f>
        <v>OK</v>
      </c>
    </row>
    <row r="3445">
      <c r="A3445" s="83" t="s">
        <v>4896</v>
      </c>
      <c r="B3445" s="83" t="s">
        <v>4897</v>
      </c>
      <c r="C3445" s="81" t="s">
        <v>4086</v>
      </c>
      <c r="D3445" s="83" t="s">
        <v>4188</v>
      </c>
      <c r="E3445" s="81" t="s">
        <v>701</v>
      </c>
      <c r="F3445" s="81">
        <v>116.0</v>
      </c>
      <c r="G3445" s="81" t="s">
        <v>1</v>
      </c>
      <c r="H3445" s="81" t="s">
        <v>224</v>
      </c>
      <c r="I3445" s="81" t="s">
        <v>49</v>
      </c>
      <c r="J3445" s="81" t="s">
        <v>224</v>
      </c>
      <c r="K3445" s="81" t="str">
        <f>IFERROR(__xludf.DUMMYFUNCTION("IF(OR(D3445="""",G3445=""""),"""",IFERROR(LET(
campo,XLOOKUP(TRIM(G3445),ARRAYFORMULA(TRIM('indice columnas'!$A$2:$A$100)),'indice columnas'!$B$2:$B$100,""""),
col,IFERROR(MATCH(campo,Referencia!$A$1:$AZ$1,0),0),
fila,IFERROR(MATCH(TO_TEXT(D3445),ARRAYFOR"&amp;"MULA(TO_TEXT(Referencia!$A$2:$A6238)),0),0),
IF(OR(campo="""",campo=""-""),""NO APLICA"",
IF(col=0,""REVISAR EQUIVALENCIA"",
IF(fila=0,""SKU NO ENCONTRADO"",
LET(
valor,INDEX(Referencia!$A$2:$AZ6238,fila,col),
IF(TRIM(TO_TEXT(valor))=TRIM(TO_TEXT(I3445)),"&amp;"
""OK"",
""NO COINCIDE. Valor verdadero: ""&amp;IF(valor="""",""[VACÍO]"",TO_TEXT(valor))
)
))))
),""ERROR EN FÓRMULA""))"),"OK")</f>
        <v>OK</v>
      </c>
    </row>
    <row r="3446">
      <c r="A3446" s="83" t="s">
        <v>4896</v>
      </c>
      <c r="B3446" s="83" t="s">
        <v>4897</v>
      </c>
      <c r="C3446" s="81" t="s">
        <v>4086</v>
      </c>
      <c r="D3446" s="83" t="s">
        <v>4189</v>
      </c>
      <c r="E3446" s="81" t="s">
        <v>703</v>
      </c>
      <c r="F3446" s="81">
        <v>117.0</v>
      </c>
      <c r="G3446" s="81" t="s">
        <v>3</v>
      </c>
      <c r="H3446" s="81" t="s">
        <v>376</v>
      </c>
      <c r="I3446" s="81" t="s">
        <v>344</v>
      </c>
      <c r="J3446" s="81" t="s">
        <v>224</v>
      </c>
      <c r="K3446" s="81" t="str">
        <f>IFERROR(__xludf.DUMMYFUNCTION("IF(OR(D3446="""",G3446=""""),"""",IFERROR(LET(
campo,XLOOKUP(TRIM(G3446),ARRAYFORMULA(TRIM('indice columnas'!$A$2:$A$100)),'indice columnas'!$B$2:$B$100,""""),
col,IFERROR(MATCH(campo,Referencia!$A$1:$AZ$1,0),0),
fila,IFERROR(MATCH(TO_TEXT(D3446),ARRAYFOR"&amp;"MULA(TO_TEXT(Referencia!$A$2:$A6238)),0),0),
IF(OR(campo="""",campo=""-""),""NO APLICA"",
IF(col=0,""REVISAR EQUIVALENCIA"",
IF(fila=0,""SKU NO ENCONTRADO"",
LET(
valor,INDEX(Referencia!$A$2:$AZ6238,fila,col),
IF(TRIM(TO_TEXT(valor))=TRIM(TO_TEXT(I3446)),"&amp;"
""OK"",
""NO COINCIDE. Valor verdadero: ""&amp;IF(valor="""",""[VACÍO]"",TO_TEXT(valor))
)
))))
),""ERROR EN FÓRMULA""))"),"OK")</f>
        <v>OK</v>
      </c>
    </row>
    <row r="3447">
      <c r="A3447" s="83" t="s">
        <v>4896</v>
      </c>
      <c r="B3447" s="83" t="s">
        <v>4897</v>
      </c>
      <c r="C3447" s="81" t="s">
        <v>4086</v>
      </c>
      <c r="D3447" s="83" t="s">
        <v>4191</v>
      </c>
      <c r="E3447" s="81" t="s">
        <v>710</v>
      </c>
      <c r="F3447" s="81">
        <v>118.0</v>
      </c>
      <c r="G3447" s="81" t="s">
        <v>3</v>
      </c>
      <c r="H3447" s="81" t="s">
        <v>376</v>
      </c>
      <c r="I3447" s="81" t="s">
        <v>344</v>
      </c>
      <c r="J3447" s="81" t="s">
        <v>224</v>
      </c>
      <c r="K3447" s="81" t="str">
        <f>IFERROR(__xludf.DUMMYFUNCTION("IF(OR(D3447="""",G3447=""""),"""",IFERROR(LET(
campo,XLOOKUP(TRIM(G3447),ARRAYFORMULA(TRIM('indice columnas'!$A$2:$A$100)),'indice columnas'!$B$2:$B$100,""""),
col,IFERROR(MATCH(campo,Referencia!$A$1:$AZ$1,0),0),
fila,IFERROR(MATCH(TO_TEXT(D3447),ARRAYFOR"&amp;"MULA(TO_TEXT(Referencia!$A$2:$A6238)),0),0),
IF(OR(campo="""",campo=""-""),""NO APLICA"",
IF(col=0,""REVISAR EQUIVALENCIA"",
IF(fila=0,""SKU NO ENCONTRADO"",
LET(
valor,INDEX(Referencia!$A$2:$AZ6238,fila,col),
IF(TRIM(TO_TEXT(valor))=TRIM(TO_TEXT(I3447)),"&amp;"
""OK"",
""NO COINCIDE. Valor verdadero: ""&amp;IF(valor="""",""[VACÍO]"",TO_TEXT(valor))
)
))))
),""ERROR EN FÓRMULA""))"),"OK")</f>
        <v>OK</v>
      </c>
    </row>
    <row r="3448">
      <c r="A3448" s="83" t="s">
        <v>4896</v>
      </c>
      <c r="B3448" s="83" t="s">
        <v>4897</v>
      </c>
      <c r="C3448" s="81" t="s">
        <v>4086</v>
      </c>
      <c r="D3448" s="83" t="s">
        <v>4195</v>
      </c>
      <c r="E3448" s="81" t="s">
        <v>728</v>
      </c>
      <c r="F3448" s="81">
        <v>121.0</v>
      </c>
      <c r="G3448" s="81" t="s">
        <v>3</v>
      </c>
      <c r="H3448" s="81" t="s">
        <v>224</v>
      </c>
      <c r="I3448" s="81" t="s">
        <v>51</v>
      </c>
      <c r="J3448" s="81" t="s">
        <v>224</v>
      </c>
      <c r="K3448" s="81" t="str">
        <f>IFERROR(__xludf.DUMMYFUNCTION("IF(OR(D3448="""",G3448=""""),"""",IFERROR(LET(
campo,XLOOKUP(TRIM(G3448),ARRAYFORMULA(TRIM('indice columnas'!$A$2:$A$100)),'indice columnas'!$B$2:$B$100,""""),
col,IFERROR(MATCH(campo,Referencia!$A$1:$AZ$1,0),0),
fila,IFERROR(MATCH(TO_TEXT(D3448),ARRAYFOR"&amp;"MULA(TO_TEXT(Referencia!$A$2:$A6238)),0),0),
IF(OR(campo="""",campo=""-""),""NO APLICA"",
IF(col=0,""REVISAR EQUIVALENCIA"",
IF(fila=0,""SKU NO ENCONTRADO"",
LET(
valor,INDEX(Referencia!$A$2:$AZ6238,fila,col),
IF(TRIM(TO_TEXT(valor))=TRIM(TO_TEXT(I3448)),"&amp;"
""OK"",
""NO COINCIDE. Valor verdadero: ""&amp;IF(valor="""",""[VACÍO]"",TO_TEXT(valor))
)
))))
),""ERROR EN FÓRMULA""))"),"OK")</f>
        <v>OK</v>
      </c>
    </row>
    <row r="3449">
      <c r="A3449" s="83" t="s">
        <v>4896</v>
      </c>
      <c r="B3449" s="83" t="s">
        <v>4897</v>
      </c>
      <c r="C3449" s="81" t="s">
        <v>4086</v>
      </c>
      <c r="D3449" s="83" t="s">
        <v>4195</v>
      </c>
      <c r="E3449" s="81" t="s">
        <v>728</v>
      </c>
      <c r="F3449" s="81">
        <v>121.0</v>
      </c>
      <c r="G3449" s="81" t="s">
        <v>2</v>
      </c>
      <c r="H3449" s="81" t="s">
        <v>224</v>
      </c>
      <c r="I3449" s="81" t="s">
        <v>213</v>
      </c>
      <c r="J3449" s="81" t="s">
        <v>224</v>
      </c>
      <c r="K3449" s="81" t="str">
        <f>IFERROR(__xludf.DUMMYFUNCTION("IF(OR(D3449="""",G3449=""""),"""",IFERROR(LET(
campo,XLOOKUP(TRIM(G3449),ARRAYFORMULA(TRIM('indice columnas'!$A$2:$A$100)),'indice columnas'!$B$2:$B$100,""""),
col,IFERROR(MATCH(campo,Referencia!$A$1:$AZ$1,0),0),
fila,IFERROR(MATCH(TO_TEXT(D3449),ARRAYFOR"&amp;"MULA(TO_TEXT(Referencia!$A$2:$A6238)),0),0),
IF(OR(campo="""",campo=""-""),""NO APLICA"",
IF(col=0,""REVISAR EQUIVALENCIA"",
IF(fila=0,""SKU NO ENCONTRADO"",
LET(
valor,INDEX(Referencia!$A$2:$AZ6238,fila,col),
IF(TRIM(TO_TEXT(valor))=TRIM(TO_TEXT(I3449)),"&amp;"
""OK"",
""NO COINCIDE. Valor verdadero: ""&amp;IF(valor="""",""[VACÍO]"",TO_TEXT(valor))
)
))))
),""ERROR EN FÓRMULA""))"),"OK")</f>
        <v>OK</v>
      </c>
    </row>
    <row r="3450">
      <c r="A3450" s="83" t="s">
        <v>4896</v>
      </c>
      <c r="B3450" s="83" t="s">
        <v>4897</v>
      </c>
      <c r="C3450" s="81" t="s">
        <v>4086</v>
      </c>
      <c r="D3450" s="83" t="s">
        <v>4196</v>
      </c>
      <c r="E3450" s="81" t="s">
        <v>741</v>
      </c>
      <c r="F3450" s="81">
        <v>123.0</v>
      </c>
      <c r="G3450" s="81" t="s">
        <v>3</v>
      </c>
      <c r="H3450" s="81" t="s">
        <v>376</v>
      </c>
      <c r="I3450" s="81" t="s">
        <v>344</v>
      </c>
      <c r="J3450" s="81" t="s">
        <v>224</v>
      </c>
      <c r="K3450" s="81" t="str">
        <f>IFERROR(__xludf.DUMMYFUNCTION("IF(OR(D3450="""",G3450=""""),"""",IFERROR(LET(
campo,XLOOKUP(TRIM(G3450),ARRAYFORMULA(TRIM('indice columnas'!$A$2:$A$100)),'indice columnas'!$B$2:$B$100,""""),
col,IFERROR(MATCH(campo,Referencia!$A$1:$AZ$1,0),0),
fila,IFERROR(MATCH(TO_TEXT(D3450),ARRAYFOR"&amp;"MULA(TO_TEXT(Referencia!$A$2:$A6238)),0),0),
IF(OR(campo="""",campo=""-""),""NO APLICA"",
IF(col=0,""REVISAR EQUIVALENCIA"",
IF(fila=0,""SKU NO ENCONTRADO"",
LET(
valor,INDEX(Referencia!$A$2:$AZ6238,fila,col),
IF(TRIM(TO_TEXT(valor))=TRIM(TO_TEXT(I3450)),"&amp;"
""OK"",
""NO COINCIDE. Valor verdadero: ""&amp;IF(valor="""",""[VACÍO]"",TO_TEXT(valor))
)
))))
),""ERROR EN FÓRMULA""))"),"OK")</f>
        <v>OK</v>
      </c>
    </row>
    <row r="3451">
      <c r="A3451" s="83" t="s">
        <v>4896</v>
      </c>
      <c r="B3451" s="83" t="s">
        <v>4897</v>
      </c>
      <c r="C3451" s="81" t="s">
        <v>4086</v>
      </c>
      <c r="D3451" s="83" t="s">
        <v>4198</v>
      </c>
      <c r="E3451" s="81" t="s">
        <v>742</v>
      </c>
      <c r="F3451" s="81">
        <v>124.0</v>
      </c>
      <c r="G3451" s="81" t="s">
        <v>3</v>
      </c>
      <c r="H3451" s="81" t="s">
        <v>224</v>
      </c>
      <c r="I3451" s="81" t="s">
        <v>344</v>
      </c>
      <c r="J3451" s="81" t="s">
        <v>224</v>
      </c>
      <c r="K3451" s="81" t="str">
        <f>IFERROR(__xludf.DUMMYFUNCTION("IF(OR(D3451="""",G3451=""""),"""",IFERROR(LET(
campo,XLOOKUP(TRIM(G3451),ARRAYFORMULA(TRIM('indice columnas'!$A$2:$A$100)),'indice columnas'!$B$2:$B$100,""""),
col,IFERROR(MATCH(campo,Referencia!$A$1:$AZ$1,0),0),
fila,IFERROR(MATCH(TO_TEXT(D3451),ARRAYFOR"&amp;"MULA(TO_TEXT(Referencia!$A$2:$A6238)),0),0),
IF(OR(campo="""",campo=""-""),""NO APLICA"",
IF(col=0,""REVISAR EQUIVALENCIA"",
IF(fila=0,""SKU NO ENCONTRADO"",
LET(
valor,INDEX(Referencia!$A$2:$AZ6238,fila,col),
IF(TRIM(TO_TEXT(valor))=TRIM(TO_TEXT(I3451)),"&amp;"
""OK"",
""NO COINCIDE. Valor verdadero: ""&amp;IF(valor="""",""[VACÍO]"",TO_TEXT(valor))
)
))))
),""ERROR EN FÓRMULA""))"),"OK")</f>
        <v>OK</v>
      </c>
    </row>
    <row r="3452">
      <c r="A3452" s="83" t="s">
        <v>4896</v>
      </c>
      <c r="B3452" s="83" t="s">
        <v>4897</v>
      </c>
      <c r="C3452" s="81" t="s">
        <v>4086</v>
      </c>
      <c r="D3452" s="83" t="s">
        <v>4198</v>
      </c>
      <c r="E3452" s="81" t="s">
        <v>742</v>
      </c>
      <c r="F3452" s="81">
        <v>124.0</v>
      </c>
      <c r="G3452" s="81" t="s">
        <v>2</v>
      </c>
      <c r="H3452" s="81" t="s">
        <v>224</v>
      </c>
      <c r="I3452" s="81" t="s">
        <v>213</v>
      </c>
      <c r="J3452" s="81" t="s">
        <v>224</v>
      </c>
      <c r="K3452" s="81" t="str">
        <f>IFERROR(__xludf.DUMMYFUNCTION("IF(OR(D3452="""",G3452=""""),"""",IFERROR(LET(
campo,XLOOKUP(TRIM(G3452),ARRAYFORMULA(TRIM('indice columnas'!$A$2:$A$100)),'indice columnas'!$B$2:$B$100,""""),
col,IFERROR(MATCH(campo,Referencia!$A$1:$AZ$1,0),0),
fila,IFERROR(MATCH(TO_TEXT(D3452),ARRAYFOR"&amp;"MULA(TO_TEXT(Referencia!$A$2:$A6238)),0),0),
IF(OR(campo="""",campo=""-""),""NO APLICA"",
IF(col=0,""REVISAR EQUIVALENCIA"",
IF(fila=0,""SKU NO ENCONTRADO"",
LET(
valor,INDEX(Referencia!$A$2:$AZ6238,fila,col),
IF(TRIM(TO_TEXT(valor))=TRIM(TO_TEXT(I3452)),"&amp;"
""OK"",
""NO COINCIDE. Valor verdadero: ""&amp;IF(valor="""",""[VACÍO]"",TO_TEXT(valor))
)
))))
),""ERROR EN FÓRMULA""))"),"OK")</f>
        <v>OK</v>
      </c>
    </row>
    <row r="3453">
      <c r="A3453" s="83" t="s">
        <v>4896</v>
      </c>
      <c r="B3453" s="83" t="s">
        <v>4897</v>
      </c>
      <c r="C3453" s="81" t="s">
        <v>4086</v>
      </c>
      <c r="D3453" s="83" t="s">
        <v>4198</v>
      </c>
      <c r="E3453" s="81" t="s">
        <v>742</v>
      </c>
      <c r="F3453" s="81">
        <v>124.0</v>
      </c>
      <c r="G3453" s="81" t="s">
        <v>1</v>
      </c>
      <c r="H3453" s="81" t="s">
        <v>224</v>
      </c>
      <c r="I3453" s="81" t="s">
        <v>717</v>
      </c>
      <c r="J3453" s="81" t="s">
        <v>224</v>
      </c>
      <c r="K3453" s="81" t="str">
        <f>IFERROR(__xludf.DUMMYFUNCTION("IF(OR(D3453="""",G3453=""""),"""",IFERROR(LET(
campo,XLOOKUP(TRIM(G3453),ARRAYFORMULA(TRIM('indice columnas'!$A$2:$A$100)),'indice columnas'!$B$2:$B$100,""""),
col,IFERROR(MATCH(campo,Referencia!$A$1:$AZ$1,0),0),
fila,IFERROR(MATCH(TO_TEXT(D3453),ARRAYFOR"&amp;"MULA(TO_TEXT(Referencia!$A$2:$A6238)),0),0),
IF(OR(campo="""",campo=""-""),""NO APLICA"",
IF(col=0,""REVISAR EQUIVALENCIA"",
IF(fila=0,""SKU NO ENCONTRADO"",
LET(
valor,INDEX(Referencia!$A$2:$AZ6238,fila,col),
IF(TRIM(TO_TEXT(valor))=TRIM(TO_TEXT(I3453)),"&amp;"
""OK"",
""NO COINCIDE. Valor verdadero: ""&amp;IF(valor="""",""[VACÍO]"",TO_TEXT(valor))
)
))))
),""ERROR EN FÓRMULA""))"),"OK")</f>
        <v>OK</v>
      </c>
    </row>
    <row r="3454">
      <c r="A3454" s="83" t="s">
        <v>4896</v>
      </c>
      <c r="B3454" s="83" t="s">
        <v>4897</v>
      </c>
      <c r="C3454" s="81" t="s">
        <v>4086</v>
      </c>
      <c r="D3454" s="83" t="s">
        <v>4201</v>
      </c>
      <c r="E3454" s="81" t="s">
        <v>754</v>
      </c>
      <c r="F3454" s="81">
        <v>127.0</v>
      </c>
      <c r="G3454" s="81" t="s">
        <v>3</v>
      </c>
      <c r="H3454" s="81" t="s">
        <v>224</v>
      </c>
      <c r="I3454" s="81" t="s">
        <v>51</v>
      </c>
      <c r="J3454" s="81" t="s">
        <v>224</v>
      </c>
      <c r="K3454" s="81" t="str">
        <f>IFERROR(__xludf.DUMMYFUNCTION("IF(OR(D3454="""",G3454=""""),"""",IFERROR(LET(
campo,XLOOKUP(TRIM(G3454),ARRAYFORMULA(TRIM('indice columnas'!$A$2:$A$100)),'indice columnas'!$B$2:$B$100,""""),
col,IFERROR(MATCH(campo,Referencia!$A$1:$AZ$1,0),0),
fila,IFERROR(MATCH(TO_TEXT(D3454),ARRAYFOR"&amp;"MULA(TO_TEXT(Referencia!$A$2:$A6238)),0),0),
IF(OR(campo="""",campo=""-""),""NO APLICA"",
IF(col=0,""REVISAR EQUIVALENCIA"",
IF(fila=0,""SKU NO ENCONTRADO"",
LET(
valor,INDEX(Referencia!$A$2:$AZ6238,fila,col),
IF(TRIM(TO_TEXT(valor))=TRIM(TO_TEXT(I3454)),"&amp;"
""OK"",
""NO COINCIDE. Valor verdadero: ""&amp;IF(valor="""",""[VACÍO]"",TO_TEXT(valor))
)
))))
),""ERROR EN FÓRMULA""))"),"OK")</f>
        <v>OK</v>
      </c>
    </row>
    <row r="3455">
      <c r="A3455" s="83" t="s">
        <v>4896</v>
      </c>
      <c r="B3455" s="83" t="s">
        <v>4897</v>
      </c>
      <c r="C3455" s="81" t="s">
        <v>4086</v>
      </c>
      <c r="D3455" s="83" t="s">
        <v>4201</v>
      </c>
      <c r="E3455" s="81" t="s">
        <v>754</v>
      </c>
      <c r="F3455" s="81">
        <v>127.0</v>
      </c>
      <c r="G3455" s="81" t="s">
        <v>2</v>
      </c>
      <c r="H3455" s="81" t="s">
        <v>224</v>
      </c>
      <c r="I3455" s="81" t="s">
        <v>213</v>
      </c>
      <c r="J3455" s="81" t="s">
        <v>224</v>
      </c>
      <c r="K3455" s="81" t="str">
        <f>IFERROR(__xludf.DUMMYFUNCTION("IF(OR(D3455="""",G3455=""""),"""",IFERROR(LET(
campo,XLOOKUP(TRIM(G3455),ARRAYFORMULA(TRIM('indice columnas'!$A$2:$A$100)),'indice columnas'!$B$2:$B$100,""""),
col,IFERROR(MATCH(campo,Referencia!$A$1:$AZ$1,0),0),
fila,IFERROR(MATCH(TO_TEXT(D3455),ARRAYFOR"&amp;"MULA(TO_TEXT(Referencia!$A$2:$A6238)),0),0),
IF(OR(campo="""",campo=""-""),""NO APLICA"",
IF(col=0,""REVISAR EQUIVALENCIA"",
IF(fila=0,""SKU NO ENCONTRADO"",
LET(
valor,INDEX(Referencia!$A$2:$AZ6238,fila,col),
IF(TRIM(TO_TEXT(valor))=TRIM(TO_TEXT(I3455)),"&amp;"
""OK"",
""NO COINCIDE. Valor verdadero: ""&amp;IF(valor="""",""[VACÍO]"",TO_TEXT(valor))
)
))))
),""ERROR EN FÓRMULA""))"),"OK")</f>
        <v>OK</v>
      </c>
    </row>
    <row r="3456">
      <c r="A3456" s="83" t="s">
        <v>4896</v>
      </c>
      <c r="B3456" s="83" t="s">
        <v>4897</v>
      </c>
      <c r="C3456" s="81" t="s">
        <v>4086</v>
      </c>
      <c r="D3456" s="83" t="s">
        <v>4202</v>
      </c>
      <c r="E3456" s="81" t="s">
        <v>766</v>
      </c>
      <c r="F3456" s="81">
        <v>129.0</v>
      </c>
      <c r="G3456" s="81" t="s">
        <v>3</v>
      </c>
      <c r="H3456" s="81" t="s">
        <v>376</v>
      </c>
      <c r="I3456" s="81" t="s">
        <v>344</v>
      </c>
      <c r="J3456" s="81" t="s">
        <v>224</v>
      </c>
      <c r="K3456" s="81" t="str">
        <f>IFERROR(__xludf.DUMMYFUNCTION("IF(OR(D3456="""",G3456=""""),"""",IFERROR(LET(
campo,XLOOKUP(TRIM(G3456),ARRAYFORMULA(TRIM('indice columnas'!$A$2:$A$100)),'indice columnas'!$B$2:$B$100,""""),
col,IFERROR(MATCH(campo,Referencia!$A$1:$AZ$1,0),0),
fila,IFERROR(MATCH(TO_TEXT(D3456),ARRAYFOR"&amp;"MULA(TO_TEXT(Referencia!$A$2:$A6238)),0),0),
IF(OR(campo="""",campo=""-""),""NO APLICA"",
IF(col=0,""REVISAR EQUIVALENCIA"",
IF(fila=0,""SKU NO ENCONTRADO"",
LET(
valor,INDEX(Referencia!$A$2:$AZ6238,fila,col),
IF(TRIM(TO_TEXT(valor))=TRIM(TO_TEXT(I3456)),"&amp;"
""OK"",
""NO COINCIDE. Valor verdadero: ""&amp;IF(valor="""",""[VACÍO]"",TO_TEXT(valor))
)
))))
),""ERROR EN FÓRMULA""))"),"OK")</f>
        <v>OK</v>
      </c>
    </row>
    <row r="3457">
      <c r="A3457" s="83" t="s">
        <v>4896</v>
      </c>
      <c r="B3457" s="83" t="s">
        <v>4897</v>
      </c>
      <c r="C3457" s="81" t="s">
        <v>4086</v>
      </c>
      <c r="D3457" s="83" t="s">
        <v>4204</v>
      </c>
      <c r="E3457" s="81" t="s">
        <v>767</v>
      </c>
      <c r="F3457" s="81">
        <v>130.0</v>
      </c>
      <c r="G3457" s="81" t="s">
        <v>3</v>
      </c>
      <c r="H3457" s="81" t="s">
        <v>224</v>
      </c>
      <c r="I3457" s="81" t="s">
        <v>344</v>
      </c>
      <c r="J3457" s="81" t="s">
        <v>224</v>
      </c>
      <c r="K3457" s="81" t="str">
        <f>IFERROR(__xludf.DUMMYFUNCTION("IF(OR(D3457="""",G3457=""""),"""",IFERROR(LET(
campo,XLOOKUP(TRIM(G3457),ARRAYFORMULA(TRIM('indice columnas'!$A$2:$A$100)),'indice columnas'!$B$2:$B$100,""""),
col,IFERROR(MATCH(campo,Referencia!$A$1:$AZ$1,0),0),
fila,IFERROR(MATCH(TO_TEXT(D3457),ARRAYFOR"&amp;"MULA(TO_TEXT(Referencia!$A$2:$A6238)),0),0),
IF(OR(campo="""",campo=""-""),""NO APLICA"",
IF(col=0,""REVISAR EQUIVALENCIA"",
IF(fila=0,""SKU NO ENCONTRADO"",
LET(
valor,INDEX(Referencia!$A$2:$AZ6238,fila,col),
IF(TRIM(TO_TEXT(valor))=TRIM(TO_TEXT(I3457)),"&amp;"
""OK"",
""NO COINCIDE. Valor verdadero: ""&amp;IF(valor="""",""[VACÍO]"",TO_TEXT(valor))
)
))))
),""ERROR EN FÓRMULA""))"),"OK")</f>
        <v>OK</v>
      </c>
    </row>
    <row r="3458">
      <c r="A3458" s="83" t="s">
        <v>4896</v>
      </c>
      <c r="B3458" s="83" t="s">
        <v>4897</v>
      </c>
      <c r="C3458" s="81" t="s">
        <v>4086</v>
      </c>
      <c r="D3458" s="83" t="s">
        <v>4204</v>
      </c>
      <c r="E3458" s="81" t="s">
        <v>767</v>
      </c>
      <c r="F3458" s="81">
        <v>130.0</v>
      </c>
      <c r="G3458" s="81" t="s">
        <v>2</v>
      </c>
      <c r="H3458" s="81" t="s">
        <v>224</v>
      </c>
      <c r="I3458" s="81" t="s">
        <v>213</v>
      </c>
      <c r="J3458" s="81" t="s">
        <v>224</v>
      </c>
      <c r="K3458" s="81" t="str">
        <f>IFERROR(__xludf.DUMMYFUNCTION("IF(OR(D3458="""",G3458=""""),"""",IFERROR(LET(
campo,XLOOKUP(TRIM(G3458),ARRAYFORMULA(TRIM('indice columnas'!$A$2:$A$100)),'indice columnas'!$B$2:$B$100,""""),
col,IFERROR(MATCH(campo,Referencia!$A$1:$AZ$1,0),0),
fila,IFERROR(MATCH(TO_TEXT(D3458),ARRAYFOR"&amp;"MULA(TO_TEXT(Referencia!$A$2:$A6238)),0),0),
IF(OR(campo="""",campo=""-""),""NO APLICA"",
IF(col=0,""REVISAR EQUIVALENCIA"",
IF(fila=0,""SKU NO ENCONTRADO"",
LET(
valor,INDEX(Referencia!$A$2:$AZ6238,fila,col),
IF(TRIM(TO_TEXT(valor))=TRIM(TO_TEXT(I3458)),"&amp;"
""OK"",
""NO COINCIDE. Valor verdadero: ""&amp;IF(valor="""",""[VACÍO]"",TO_TEXT(valor))
)
))))
),""ERROR EN FÓRMULA""))"),"OK")</f>
        <v>OK</v>
      </c>
    </row>
    <row r="3459">
      <c r="A3459" s="83" t="s">
        <v>4896</v>
      </c>
      <c r="B3459" s="83" t="s">
        <v>4897</v>
      </c>
      <c r="C3459" s="81" t="s">
        <v>4086</v>
      </c>
      <c r="D3459" s="83" t="s">
        <v>4205</v>
      </c>
      <c r="E3459" s="81" t="s">
        <v>770</v>
      </c>
      <c r="F3459" s="81">
        <v>131.0</v>
      </c>
      <c r="G3459" s="81" t="s">
        <v>3</v>
      </c>
      <c r="H3459" s="81" t="s">
        <v>224</v>
      </c>
      <c r="I3459" s="81" t="s">
        <v>51</v>
      </c>
      <c r="J3459" s="81" t="s">
        <v>224</v>
      </c>
      <c r="K3459" s="81" t="str">
        <f>IFERROR(__xludf.DUMMYFUNCTION("IF(OR(D3459="""",G3459=""""),"""",IFERROR(LET(
campo,XLOOKUP(TRIM(G3459),ARRAYFORMULA(TRIM('indice columnas'!$A$2:$A$100)),'indice columnas'!$B$2:$B$100,""""),
col,IFERROR(MATCH(campo,Referencia!$A$1:$AZ$1,0),0),
fila,IFERROR(MATCH(TO_TEXT(D3459),ARRAYFOR"&amp;"MULA(TO_TEXT(Referencia!$A$2:$A6238)),0),0),
IF(OR(campo="""",campo=""-""),""NO APLICA"",
IF(col=0,""REVISAR EQUIVALENCIA"",
IF(fila=0,""SKU NO ENCONTRADO"",
LET(
valor,INDEX(Referencia!$A$2:$AZ6238,fila,col),
IF(TRIM(TO_TEXT(valor))=TRIM(TO_TEXT(I3459)),"&amp;"
""OK"",
""NO COINCIDE. Valor verdadero: ""&amp;IF(valor="""",""[VACÍO]"",TO_TEXT(valor))
)
))))
),""ERROR EN FÓRMULA""))"),"OK")</f>
        <v>OK</v>
      </c>
    </row>
    <row r="3460">
      <c r="A3460" s="83" t="s">
        <v>4896</v>
      </c>
      <c r="B3460" s="83" t="s">
        <v>4897</v>
      </c>
      <c r="C3460" s="81" t="s">
        <v>4086</v>
      </c>
      <c r="D3460" s="83" t="s">
        <v>4205</v>
      </c>
      <c r="E3460" s="81" t="s">
        <v>770</v>
      </c>
      <c r="F3460" s="81">
        <v>131.0</v>
      </c>
      <c r="G3460" s="81" t="s">
        <v>2</v>
      </c>
      <c r="H3460" s="81" t="s">
        <v>224</v>
      </c>
      <c r="I3460" s="81" t="s">
        <v>213</v>
      </c>
      <c r="J3460" s="81" t="s">
        <v>224</v>
      </c>
      <c r="K3460" s="81" t="str">
        <f>IFERROR(__xludf.DUMMYFUNCTION("IF(OR(D3460="""",G3460=""""),"""",IFERROR(LET(
campo,XLOOKUP(TRIM(G3460),ARRAYFORMULA(TRIM('indice columnas'!$A$2:$A$100)),'indice columnas'!$B$2:$B$100,""""),
col,IFERROR(MATCH(campo,Referencia!$A$1:$AZ$1,0),0),
fila,IFERROR(MATCH(TO_TEXT(D3460),ARRAYFOR"&amp;"MULA(TO_TEXT(Referencia!$A$2:$A6238)),0),0),
IF(OR(campo="""",campo=""-""),""NO APLICA"",
IF(col=0,""REVISAR EQUIVALENCIA"",
IF(fila=0,""SKU NO ENCONTRADO"",
LET(
valor,INDEX(Referencia!$A$2:$AZ6238,fila,col),
IF(TRIM(TO_TEXT(valor))=TRIM(TO_TEXT(I3460)),"&amp;"
""OK"",
""NO COINCIDE. Valor verdadero: ""&amp;IF(valor="""",""[VACÍO]"",TO_TEXT(valor))
)
))))
),""ERROR EN FÓRMULA""))"),"OK")</f>
        <v>OK</v>
      </c>
    </row>
    <row r="3461">
      <c r="A3461" s="83" t="s">
        <v>4896</v>
      </c>
      <c r="B3461" s="83" t="s">
        <v>4897</v>
      </c>
      <c r="C3461" s="81" t="s">
        <v>4086</v>
      </c>
      <c r="D3461" s="83" t="s">
        <v>4206</v>
      </c>
      <c r="E3461" s="81" t="s">
        <v>776</v>
      </c>
      <c r="F3461" s="81">
        <v>132.0</v>
      </c>
      <c r="G3461" s="81" t="s">
        <v>3</v>
      </c>
      <c r="H3461" s="81" t="s">
        <v>224</v>
      </c>
      <c r="I3461" s="81" t="s">
        <v>51</v>
      </c>
      <c r="J3461" s="81" t="s">
        <v>224</v>
      </c>
      <c r="K3461" s="81" t="str">
        <f>IFERROR(__xludf.DUMMYFUNCTION("IF(OR(D3461="""",G3461=""""),"""",IFERROR(LET(
campo,XLOOKUP(TRIM(G3461),ARRAYFORMULA(TRIM('indice columnas'!$A$2:$A$100)),'indice columnas'!$B$2:$B$100,""""),
col,IFERROR(MATCH(campo,Referencia!$A$1:$AZ$1,0),0),
fila,IFERROR(MATCH(TO_TEXT(D3461),ARRAYFOR"&amp;"MULA(TO_TEXT(Referencia!$A$2:$A6238)),0),0),
IF(OR(campo="""",campo=""-""),""NO APLICA"",
IF(col=0,""REVISAR EQUIVALENCIA"",
IF(fila=0,""SKU NO ENCONTRADO"",
LET(
valor,INDEX(Referencia!$A$2:$AZ6238,fila,col),
IF(TRIM(TO_TEXT(valor))=TRIM(TO_TEXT(I3461)),"&amp;"
""OK"",
""NO COINCIDE. Valor verdadero: ""&amp;IF(valor="""",""[VACÍO]"",TO_TEXT(valor))
)
))))
),""ERROR EN FÓRMULA""))"),"OK")</f>
        <v>OK</v>
      </c>
    </row>
    <row r="3462">
      <c r="A3462" s="83" t="s">
        <v>4896</v>
      </c>
      <c r="B3462" s="83" t="s">
        <v>4897</v>
      </c>
      <c r="C3462" s="81" t="s">
        <v>4086</v>
      </c>
      <c r="D3462" s="83" t="s">
        <v>4206</v>
      </c>
      <c r="E3462" s="81" t="s">
        <v>776</v>
      </c>
      <c r="F3462" s="81">
        <v>132.0</v>
      </c>
      <c r="G3462" s="81" t="s">
        <v>2</v>
      </c>
      <c r="H3462" s="81" t="s">
        <v>224</v>
      </c>
      <c r="I3462" s="81" t="s">
        <v>213</v>
      </c>
      <c r="J3462" s="81" t="s">
        <v>224</v>
      </c>
      <c r="K3462" s="81" t="str">
        <f>IFERROR(__xludf.DUMMYFUNCTION("IF(OR(D3462="""",G3462=""""),"""",IFERROR(LET(
campo,XLOOKUP(TRIM(G3462),ARRAYFORMULA(TRIM('indice columnas'!$A$2:$A$100)),'indice columnas'!$B$2:$B$100,""""),
col,IFERROR(MATCH(campo,Referencia!$A$1:$AZ$1,0),0),
fila,IFERROR(MATCH(TO_TEXT(D3462),ARRAYFOR"&amp;"MULA(TO_TEXT(Referencia!$A$2:$A6238)),0),0),
IF(OR(campo="""",campo=""-""),""NO APLICA"",
IF(col=0,""REVISAR EQUIVALENCIA"",
IF(fila=0,""SKU NO ENCONTRADO"",
LET(
valor,INDEX(Referencia!$A$2:$AZ6238,fila,col),
IF(TRIM(TO_TEXT(valor))=TRIM(TO_TEXT(I3462)),"&amp;"
""OK"",
""NO COINCIDE. Valor verdadero: ""&amp;IF(valor="""",""[VACÍO]"",TO_TEXT(valor))
)
))))
),""ERROR EN FÓRMULA""))"),"OK")</f>
        <v>OK</v>
      </c>
    </row>
    <row r="3463">
      <c r="A3463" s="83" t="s">
        <v>4896</v>
      </c>
      <c r="B3463" s="83" t="s">
        <v>4897</v>
      </c>
      <c r="C3463" s="81" t="s">
        <v>4086</v>
      </c>
      <c r="D3463" s="83" t="s">
        <v>4207</v>
      </c>
      <c r="E3463" s="81" t="s">
        <v>779</v>
      </c>
      <c r="F3463" s="81">
        <v>133.0</v>
      </c>
      <c r="G3463" s="81" t="s">
        <v>3</v>
      </c>
      <c r="H3463" s="81" t="s">
        <v>224</v>
      </c>
      <c r="I3463" s="81" t="s">
        <v>344</v>
      </c>
      <c r="J3463" s="81" t="s">
        <v>224</v>
      </c>
      <c r="K3463" s="81" t="str">
        <f>IFERROR(__xludf.DUMMYFUNCTION("IF(OR(D3463="""",G3463=""""),"""",IFERROR(LET(
campo,XLOOKUP(TRIM(G3463),ARRAYFORMULA(TRIM('indice columnas'!$A$2:$A$100)),'indice columnas'!$B$2:$B$100,""""),
col,IFERROR(MATCH(campo,Referencia!$A$1:$AZ$1,0),0),
fila,IFERROR(MATCH(TO_TEXT(D3463),ARRAYFOR"&amp;"MULA(TO_TEXT(Referencia!$A$2:$A6238)),0),0),
IF(OR(campo="""",campo=""-""),""NO APLICA"",
IF(col=0,""REVISAR EQUIVALENCIA"",
IF(fila=0,""SKU NO ENCONTRADO"",
LET(
valor,INDEX(Referencia!$A$2:$AZ6238,fila,col),
IF(TRIM(TO_TEXT(valor))=TRIM(TO_TEXT(I3463)),"&amp;"
""OK"",
""NO COINCIDE. Valor verdadero: ""&amp;IF(valor="""",""[VACÍO]"",TO_TEXT(valor))
)
))))
),""ERROR EN FÓRMULA""))"),"OK")</f>
        <v>OK</v>
      </c>
    </row>
    <row r="3464">
      <c r="A3464" s="83" t="s">
        <v>4896</v>
      </c>
      <c r="B3464" s="83" t="s">
        <v>4897</v>
      </c>
      <c r="C3464" s="81" t="s">
        <v>4086</v>
      </c>
      <c r="D3464" s="83" t="s">
        <v>4207</v>
      </c>
      <c r="E3464" s="81" t="s">
        <v>779</v>
      </c>
      <c r="F3464" s="81">
        <v>133.0</v>
      </c>
      <c r="G3464" s="81" t="s">
        <v>2</v>
      </c>
      <c r="H3464" s="81" t="s">
        <v>224</v>
      </c>
      <c r="I3464" s="81" t="s">
        <v>213</v>
      </c>
      <c r="J3464" s="81" t="s">
        <v>224</v>
      </c>
      <c r="K3464" s="81" t="str">
        <f>IFERROR(__xludf.DUMMYFUNCTION("IF(OR(D3464="""",G3464=""""),"""",IFERROR(LET(
campo,XLOOKUP(TRIM(G3464),ARRAYFORMULA(TRIM('indice columnas'!$A$2:$A$100)),'indice columnas'!$B$2:$B$100,""""),
col,IFERROR(MATCH(campo,Referencia!$A$1:$AZ$1,0),0),
fila,IFERROR(MATCH(TO_TEXT(D3464),ARRAYFOR"&amp;"MULA(TO_TEXT(Referencia!$A$2:$A6238)),0),0),
IF(OR(campo="""",campo=""-""),""NO APLICA"",
IF(col=0,""REVISAR EQUIVALENCIA"",
IF(fila=0,""SKU NO ENCONTRADO"",
LET(
valor,INDEX(Referencia!$A$2:$AZ6238,fila,col),
IF(TRIM(TO_TEXT(valor))=TRIM(TO_TEXT(I3464)),"&amp;"
""OK"",
""NO COINCIDE. Valor verdadero: ""&amp;IF(valor="""",""[VACÍO]"",TO_TEXT(valor))
)
))))
),""ERROR EN FÓRMULA""))"),"OK")</f>
        <v>OK</v>
      </c>
    </row>
    <row r="3465">
      <c r="A3465" s="83" t="s">
        <v>4896</v>
      </c>
      <c r="B3465" s="83" t="s">
        <v>4897</v>
      </c>
      <c r="C3465" s="81" t="s">
        <v>4086</v>
      </c>
      <c r="D3465" s="83" t="s">
        <v>4207</v>
      </c>
      <c r="E3465" s="81" t="s">
        <v>779</v>
      </c>
      <c r="F3465" s="81">
        <v>133.0</v>
      </c>
      <c r="G3465" s="81" t="s">
        <v>1</v>
      </c>
      <c r="H3465" s="81" t="s">
        <v>224</v>
      </c>
      <c r="I3465" s="81" t="s">
        <v>717</v>
      </c>
      <c r="J3465" s="81" t="s">
        <v>224</v>
      </c>
      <c r="K3465" s="81" t="str">
        <f>IFERROR(__xludf.DUMMYFUNCTION("IF(OR(D3465="""",G3465=""""),"""",IFERROR(LET(
campo,XLOOKUP(TRIM(G3465),ARRAYFORMULA(TRIM('indice columnas'!$A$2:$A$100)),'indice columnas'!$B$2:$B$100,""""),
col,IFERROR(MATCH(campo,Referencia!$A$1:$AZ$1,0),0),
fila,IFERROR(MATCH(TO_TEXT(D3465),ARRAYFOR"&amp;"MULA(TO_TEXT(Referencia!$A$2:$A6238)),0),0),
IF(OR(campo="""",campo=""-""),""NO APLICA"",
IF(col=0,""REVISAR EQUIVALENCIA"",
IF(fila=0,""SKU NO ENCONTRADO"",
LET(
valor,INDEX(Referencia!$A$2:$AZ6238,fila,col),
IF(TRIM(TO_TEXT(valor))=TRIM(TO_TEXT(I3465)),"&amp;"
""OK"",
""NO COINCIDE. Valor verdadero: ""&amp;IF(valor="""",""[VACÍO]"",TO_TEXT(valor))
)
))))
),""ERROR EN FÓRMULA""))"),"OK")</f>
        <v>OK</v>
      </c>
    </row>
    <row r="3466">
      <c r="A3466" s="83" t="s">
        <v>4896</v>
      </c>
      <c r="B3466" s="83" t="s">
        <v>4897</v>
      </c>
      <c r="C3466" s="81" t="s">
        <v>4086</v>
      </c>
      <c r="D3466" s="83" t="s">
        <v>4208</v>
      </c>
      <c r="E3466" s="81" t="s">
        <v>786</v>
      </c>
      <c r="F3466" s="81">
        <v>134.0</v>
      </c>
      <c r="G3466" s="81" t="s">
        <v>3</v>
      </c>
      <c r="H3466" s="81" t="s">
        <v>224</v>
      </c>
      <c r="I3466" s="81" t="s">
        <v>344</v>
      </c>
      <c r="J3466" s="81" t="s">
        <v>224</v>
      </c>
      <c r="K3466" s="81" t="str">
        <f>IFERROR(__xludf.DUMMYFUNCTION("IF(OR(D3466="""",G3466=""""),"""",IFERROR(LET(
campo,XLOOKUP(TRIM(G3466),ARRAYFORMULA(TRIM('indice columnas'!$A$2:$A$100)),'indice columnas'!$B$2:$B$100,""""),
col,IFERROR(MATCH(campo,Referencia!$A$1:$AZ$1,0),0),
fila,IFERROR(MATCH(TO_TEXT(D3466),ARRAYFOR"&amp;"MULA(TO_TEXT(Referencia!$A$2:$A6238)),0),0),
IF(OR(campo="""",campo=""-""),""NO APLICA"",
IF(col=0,""REVISAR EQUIVALENCIA"",
IF(fila=0,""SKU NO ENCONTRADO"",
LET(
valor,INDEX(Referencia!$A$2:$AZ6238,fila,col),
IF(TRIM(TO_TEXT(valor))=TRIM(TO_TEXT(I3466)),"&amp;"
""OK"",
""NO COINCIDE. Valor verdadero: ""&amp;IF(valor="""",""[VACÍO]"",TO_TEXT(valor))
)
))))
),""ERROR EN FÓRMULA""))"),"OK")</f>
        <v>OK</v>
      </c>
    </row>
    <row r="3467">
      <c r="A3467" s="83" t="s">
        <v>4896</v>
      </c>
      <c r="B3467" s="83" t="s">
        <v>4897</v>
      </c>
      <c r="C3467" s="81" t="s">
        <v>4086</v>
      </c>
      <c r="D3467" s="83" t="s">
        <v>4208</v>
      </c>
      <c r="E3467" s="81" t="s">
        <v>786</v>
      </c>
      <c r="F3467" s="81">
        <v>134.0</v>
      </c>
      <c r="G3467" s="81" t="s">
        <v>2</v>
      </c>
      <c r="H3467" s="81" t="s">
        <v>224</v>
      </c>
      <c r="I3467" s="81" t="s">
        <v>213</v>
      </c>
      <c r="J3467" s="81" t="s">
        <v>224</v>
      </c>
      <c r="K3467" s="81" t="str">
        <f>IFERROR(__xludf.DUMMYFUNCTION("IF(OR(D3467="""",G3467=""""),"""",IFERROR(LET(
campo,XLOOKUP(TRIM(G3467),ARRAYFORMULA(TRIM('indice columnas'!$A$2:$A$100)),'indice columnas'!$B$2:$B$100,""""),
col,IFERROR(MATCH(campo,Referencia!$A$1:$AZ$1,0),0),
fila,IFERROR(MATCH(TO_TEXT(D3467),ARRAYFOR"&amp;"MULA(TO_TEXT(Referencia!$A$2:$A6238)),0),0),
IF(OR(campo="""",campo=""-""),""NO APLICA"",
IF(col=0,""REVISAR EQUIVALENCIA"",
IF(fila=0,""SKU NO ENCONTRADO"",
LET(
valor,INDEX(Referencia!$A$2:$AZ6238,fila,col),
IF(TRIM(TO_TEXT(valor))=TRIM(TO_TEXT(I3467)),"&amp;"
""OK"",
""NO COINCIDE. Valor verdadero: ""&amp;IF(valor="""",""[VACÍO]"",TO_TEXT(valor))
)
))))
),""ERROR EN FÓRMULA""))"),"OK")</f>
        <v>OK</v>
      </c>
    </row>
    <row r="3468">
      <c r="A3468" s="83" t="s">
        <v>4896</v>
      </c>
      <c r="B3468" s="83" t="s">
        <v>4897</v>
      </c>
      <c r="C3468" s="81" t="s">
        <v>4086</v>
      </c>
      <c r="D3468" s="83" t="s">
        <v>4208</v>
      </c>
      <c r="E3468" s="81" t="s">
        <v>786</v>
      </c>
      <c r="F3468" s="81">
        <v>134.0</v>
      </c>
      <c r="G3468" s="81" t="s">
        <v>1</v>
      </c>
      <c r="H3468" s="81" t="s">
        <v>224</v>
      </c>
      <c r="I3468" s="81" t="s">
        <v>717</v>
      </c>
      <c r="J3468" s="81" t="s">
        <v>224</v>
      </c>
      <c r="K3468" s="81" t="str">
        <f>IFERROR(__xludf.DUMMYFUNCTION("IF(OR(D3468="""",G3468=""""),"""",IFERROR(LET(
campo,XLOOKUP(TRIM(G3468),ARRAYFORMULA(TRIM('indice columnas'!$A$2:$A$100)),'indice columnas'!$B$2:$B$100,""""),
col,IFERROR(MATCH(campo,Referencia!$A$1:$AZ$1,0),0),
fila,IFERROR(MATCH(TO_TEXT(D3468),ARRAYFOR"&amp;"MULA(TO_TEXT(Referencia!$A$2:$A6238)),0),0),
IF(OR(campo="""",campo=""-""),""NO APLICA"",
IF(col=0,""REVISAR EQUIVALENCIA"",
IF(fila=0,""SKU NO ENCONTRADO"",
LET(
valor,INDEX(Referencia!$A$2:$AZ6238,fila,col),
IF(TRIM(TO_TEXT(valor))=TRIM(TO_TEXT(I3468)),"&amp;"
""OK"",
""NO COINCIDE. Valor verdadero: ""&amp;IF(valor="""",""[VACÍO]"",TO_TEXT(valor))
)
))))
),""ERROR EN FÓRMULA""))"),"OK")</f>
        <v>OK</v>
      </c>
    </row>
    <row r="3469">
      <c r="A3469" s="83" t="s">
        <v>4896</v>
      </c>
      <c r="B3469" s="83" t="s">
        <v>4897</v>
      </c>
      <c r="C3469" s="81" t="s">
        <v>4086</v>
      </c>
      <c r="D3469" s="83" t="s">
        <v>4209</v>
      </c>
      <c r="E3469" s="81" t="s">
        <v>788</v>
      </c>
      <c r="F3469" s="81">
        <v>135.0</v>
      </c>
      <c r="G3469" s="81" t="s">
        <v>3</v>
      </c>
      <c r="H3469" s="81" t="s">
        <v>224</v>
      </c>
      <c r="I3469" s="81" t="s">
        <v>51</v>
      </c>
      <c r="J3469" s="81" t="s">
        <v>224</v>
      </c>
      <c r="K3469" s="81" t="str">
        <f>IFERROR(__xludf.DUMMYFUNCTION("IF(OR(D3469="""",G3469=""""),"""",IFERROR(LET(
campo,XLOOKUP(TRIM(G3469),ARRAYFORMULA(TRIM('indice columnas'!$A$2:$A$100)),'indice columnas'!$B$2:$B$100,""""),
col,IFERROR(MATCH(campo,Referencia!$A$1:$AZ$1,0),0),
fila,IFERROR(MATCH(TO_TEXT(D3469),ARRAYFOR"&amp;"MULA(TO_TEXT(Referencia!$A$2:$A6238)),0),0),
IF(OR(campo="""",campo=""-""),""NO APLICA"",
IF(col=0,""REVISAR EQUIVALENCIA"",
IF(fila=0,""SKU NO ENCONTRADO"",
LET(
valor,INDEX(Referencia!$A$2:$AZ6238,fila,col),
IF(TRIM(TO_TEXT(valor))=TRIM(TO_TEXT(I3469)),"&amp;"
""OK"",
""NO COINCIDE. Valor verdadero: ""&amp;IF(valor="""",""[VACÍO]"",TO_TEXT(valor))
)
))))
),""ERROR EN FÓRMULA""))"),"OK")</f>
        <v>OK</v>
      </c>
    </row>
    <row r="3470">
      <c r="A3470" s="83" t="s">
        <v>4896</v>
      </c>
      <c r="B3470" s="83" t="s">
        <v>4897</v>
      </c>
      <c r="C3470" s="81" t="s">
        <v>4086</v>
      </c>
      <c r="D3470" s="83" t="s">
        <v>4209</v>
      </c>
      <c r="E3470" s="81" t="s">
        <v>788</v>
      </c>
      <c r="F3470" s="81">
        <v>135.0</v>
      </c>
      <c r="G3470" s="81" t="s">
        <v>2</v>
      </c>
      <c r="H3470" s="81" t="s">
        <v>224</v>
      </c>
      <c r="I3470" s="81" t="s">
        <v>213</v>
      </c>
      <c r="J3470" s="81" t="s">
        <v>224</v>
      </c>
      <c r="K3470" s="81" t="str">
        <f>IFERROR(__xludf.DUMMYFUNCTION("IF(OR(D3470="""",G3470=""""),"""",IFERROR(LET(
campo,XLOOKUP(TRIM(G3470),ARRAYFORMULA(TRIM('indice columnas'!$A$2:$A$100)),'indice columnas'!$B$2:$B$100,""""),
col,IFERROR(MATCH(campo,Referencia!$A$1:$AZ$1,0),0),
fila,IFERROR(MATCH(TO_TEXT(D3470),ARRAYFOR"&amp;"MULA(TO_TEXT(Referencia!$A$2:$A6238)),0),0),
IF(OR(campo="""",campo=""-""),""NO APLICA"",
IF(col=0,""REVISAR EQUIVALENCIA"",
IF(fila=0,""SKU NO ENCONTRADO"",
LET(
valor,INDEX(Referencia!$A$2:$AZ6238,fila,col),
IF(TRIM(TO_TEXT(valor))=TRIM(TO_TEXT(I3470)),"&amp;"
""OK"",
""NO COINCIDE. Valor verdadero: ""&amp;IF(valor="""",""[VACÍO]"",TO_TEXT(valor))
)
))))
),""ERROR EN FÓRMULA""))"),"OK")</f>
        <v>OK</v>
      </c>
    </row>
    <row r="3471">
      <c r="A3471" s="83" t="s">
        <v>4896</v>
      </c>
      <c r="B3471" s="83" t="s">
        <v>4897</v>
      </c>
      <c r="C3471" s="81" t="s">
        <v>4086</v>
      </c>
      <c r="D3471" s="83" t="s">
        <v>4210</v>
      </c>
      <c r="E3471" s="81" t="s">
        <v>795</v>
      </c>
      <c r="F3471" s="81">
        <v>136.0</v>
      </c>
      <c r="G3471" s="81" t="s">
        <v>3</v>
      </c>
      <c r="H3471" s="81" t="s">
        <v>224</v>
      </c>
      <c r="I3471" s="81" t="s">
        <v>51</v>
      </c>
      <c r="J3471" s="81" t="s">
        <v>224</v>
      </c>
      <c r="K3471" s="81" t="str">
        <f>IFERROR(__xludf.DUMMYFUNCTION("IF(OR(D3471="""",G3471=""""),"""",IFERROR(LET(
campo,XLOOKUP(TRIM(G3471),ARRAYFORMULA(TRIM('indice columnas'!$A$2:$A$100)),'indice columnas'!$B$2:$B$100,""""),
col,IFERROR(MATCH(campo,Referencia!$A$1:$AZ$1,0),0),
fila,IFERROR(MATCH(TO_TEXT(D3471),ARRAYFOR"&amp;"MULA(TO_TEXT(Referencia!$A$2:$A6238)),0),0),
IF(OR(campo="""",campo=""-""),""NO APLICA"",
IF(col=0,""REVISAR EQUIVALENCIA"",
IF(fila=0,""SKU NO ENCONTRADO"",
LET(
valor,INDEX(Referencia!$A$2:$AZ6238,fila,col),
IF(TRIM(TO_TEXT(valor))=TRIM(TO_TEXT(I3471)),"&amp;"
""OK"",
""NO COINCIDE. Valor verdadero: ""&amp;IF(valor="""",""[VACÍO]"",TO_TEXT(valor))
)
))))
),""ERROR EN FÓRMULA""))"),"OK")</f>
        <v>OK</v>
      </c>
    </row>
    <row r="3472">
      <c r="A3472" s="83" t="s">
        <v>4896</v>
      </c>
      <c r="B3472" s="83" t="s">
        <v>4897</v>
      </c>
      <c r="C3472" s="81" t="s">
        <v>4086</v>
      </c>
      <c r="D3472" s="83" t="s">
        <v>4210</v>
      </c>
      <c r="E3472" s="81" t="s">
        <v>795</v>
      </c>
      <c r="F3472" s="81">
        <v>136.0</v>
      </c>
      <c r="G3472" s="81" t="s">
        <v>2</v>
      </c>
      <c r="H3472" s="81" t="s">
        <v>224</v>
      </c>
      <c r="I3472" s="81" t="s">
        <v>213</v>
      </c>
      <c r="J3472" s="81" t="s">
        <v>224</v>
      </c>
      <c r="K3472" s="81" t="str">
        <f>IFERROR(__xludf.DUMMYFUNCTION("IF(OR(D3472="""",G3472=""""),"""",IFERROR(LET(
campo,XLOOKUP(TRIM(G3472),ARRAYFORMULA(TRIM('indice columnas'!$A$2:$A$100)),'indice columnas'!$B$2:$B$100,""""),
col,IFERROR(MATCH(campo,Referencia!$A$1:$AZ$1,0),0),
fila,IFERROR(MATCH(TO_TEXT(D3472),ARRAYFOR"&amp;"MULA(TO_TEXT(Referencia!$A$2:$A6238)),0),0),
IF(OR(campo="""",campo=""-""),""NO APLICA"",
IF(col=0,""REVISAR EQUIVALENCIA"",
IF(fila=0,""SKU NO ENCONTRADO"",
LET(
valor,INDEX(Referencia!$A$2:$AZ6238,fila,col),
IF(TRIM(TO_TEXT(valor))=TRIM(TO_TEXT(I3472)),"&amp;"
""OK"",
""NO COINCIDE. Valor verdadero: ""&amp;IF(valor="""",""[VACÍO]"",TO_TEXT(valor))
)
))))
),""ERROR EN FÓRMULA""))"),"OK")</f>
        <v>OK</v>
      </c>
    </row>
    <row r="3473">
      <c r="A3473" s="83" t="s">
        <v>4896</v>
      </c>
      <c r="B3473" s="83" t="s">
        <v>4897</v>
      </c>
      <c r="C3473" s="81" t="s">
        <v>4086</v>
      </c>
      <c r="D3473" s="83" t="s">
        <v>4211</v>
      </c>
      <c r="E3473" s="81" t="s">
        <v>798</v>
      </c>
      <c r="F3473" s="81">
        <v>137.0</v>
      </c>
      <c r="G3473" s="81" t="s">
        <v>3</v>
      </c>
      <c r="H3473" s="81" t="s">
        <v>224</v>
      </c>
      <c r="I3473" s="81" t="s">
        <v>344</v>
      </c>
      <c r="J3473" s="81" t="s">
        <v>224</v>
      </c>
      <c r="K3473" s="81" t="str">
        <f>IFERROR(__xludf.DUMMYFUNCTION("IF(OR(D3473="""",G3473=""""),"""",IFERROR(LET(
campo,XLOOKUP(TRIM(G3473),ARRAYFORMULA(TRIM('indice columnas'!$A$2:$A$100)),'indice columnas'!$B$2:$B$100,""""),
col,IFERROR(MATCH(campo,Referencia!$A$1:$AZ$1,0),0),
fila,IFERROR(MATCH(TO_TEXT(D3473),ARRAYFOR"&amp;"MULA(TO_TEXT(Referencia!$A$2:$A6238)),0),0),
IF(OR(campo="""",campo=""-""),""NO APLICA"",
IF(col=0,""REVISAR EQUIVALENCIA"",
IF(fila=0,""SKU NO ENCONTRADO"",
LET(
valor,INDEX(Referencia!$A$2:$AZ6238,fila,col),
IF(TRIM(TO_TEXT(valor))=TRIM(TO_TEXT(I3473)),"&amp;"
""OK"",
""NO COINCIDE. Valor verdadero: ""&amp;IF(valor="""",""[VACÍO]"",TO_TEXT(valor))
)
))))
),""ERROR EN FÓRMULA""))"),"OK")</f>
        <v>OK</v>
      </c>
    </row>
    <row r="3474">
      <c r="A3474" s="83" t="s">
        <v>4896</v>
      </c>
      <c r="B3474" s="83" t="s">
        <v>4897</v>
      </c>
      <c r="C3474" s="81" t="s">
        <v>4086</v>
      </c>
      <c r="D3474" s="83" t="s">
        <v>4211</v>
      </c>
      <c r="E3474" s="81" t="s">
        <v>798</v>
      </c>
      <c r="F3474" s="81">
        <v>137.0</v>
      </c>
      <c r="G3474" s="81" t="s">
        <v>2</v>
      </c>
      <c r="H3474" s="81" t="s">
        <v>224</v>
      </c>
      <c r="I3474" s="81" t="s">
        <v>213</v>
      </c>
      <c r="J3474" s="81" t="s">
        <v>224</v>
      </c>
      <c r="K3474" s="81" t="str">
        <f>IFERROR(__xludf.DUMMYFUNCTION("IF(OR(D3474="""",G3474=""""),"""",IFERROR(LET(
campo,XLOOKUP(TRIM(G3474),ARRAYFORMULA(TRIM('indice columnas'!$A$2:$A$100)),'indice columnas'!$B$2:$B$100,""""),
col,IFERROR(MATCH(campo,Referencia!$A$1:$AZ$1,0),0),
fila,IFERROR(MATCH(TO_TEXT(D3474),ARRAYFOR"&amp;"MULA(TO_TEXT(Referencia!$A$2:$A6238)),0),0),
IF(OR(campo="""",campo=""-""),""NO APLICA"",
IF(col=0,""REVISAR EQUIVALENCIA"",
IF(fila=0,""SKU NO ENCONTRADO"",
LET(
valor,INDEX(Referencia!$A$2:$AZ6238,fila,col),
IF(TRIM(TO_TEXT(valor))=TRIM(TO_TEXT(I3474)),"&amp;"
""OK"",
""NO COINCIDE. Valor verdadero: ""&amp;IF(valor="""",""[VACÍO]"",TO_TEXT(valor))
)
))))
),""ERROR EN FÓRMULA""))"),"OK")</f>
        <v>OK</v>
      </c>
    </row>
    <row r="3475">
      <c r="A3475" s="83" t="s">
        <v>4896</v>
      </c>
      <c r="B3475" s="83" t="s">
        <v>4897</v>
      </c>
      <c r="C3475" s="81" t="s">
        <v>4086</v>
      </c>
      <c r="D3475" s="83" t="s">
        <v>4212</v>
      </c>
      <c r="E3475" s="81" t="s">
        <v>804</v>
      </c>
      <c r="F3475" s="81">
        <v>138.0</v>
      </c>
      <c r="G3475" s="81" t="s">
        <v>3</v>
      </c>
      <c r="H3475" s="81" t="s">
        <v>224</v>
      </c>
      <c r="I3475" s="81" t="s">
        <v>344</v>
      </c>
      <c r="J3475" s="81" t="s">
        <v>224</v>
      </c>
      <c r="K3475" s="81" t="str">
        <f>IFERROR(__xludf.DUMMYFUNCTION("IF(OR(D3475="""",G3475=""""),"""",IFERROR(LET(
campo,XLOOKUP(TRIM(G3475),ARRAYFORMULA(TRIM('indice columnas'!$A$2:$A$100)),'indice columnas'!$B$2:$B$100,""""),
col,IFERROR(MATCH(campo,Referencia!$A$1:$AZ$1,0),0),
fila,IFERROR(MATCH(TO_TEXT(D3475),ARRAYFOR"&amp;"MULA(TO_TEXT(Referencia!$A$2:$A6238)),0),0),
IF(OR(campo="""",campo=""-""),""NO APLICA"",
IF(col=0,""REVISAR EQUIVALENCIA"",
IF(fila=0,""SKU NO ENCONTRADO"",
LET(
valor,INDEX(Referencia!$A$2:$AZ6238,fila,col),
IF(TRIM(TO_TEXT(valor))=TRIM(TO_TEXT(I3475)),"&amp;"
""OK"",
""NO COINCIDE. Valor verdadero: ""&amp;IF(valor="""",""[VACÍO]"",TO_TEXT(valor))
)
))))
),""ERROR EN FÓRMULA""))"),"OK")</f>
        <v>OK</v>
      </c>
    </row>
    <row r="3476">
      <c r="A3476" s="83" t="s">
        <v>4896</v>
      </c>
      <c r="B3476" s="83" t="s">
        <v>4897</v>
      </c>
      <c r="C3476" s="81" t="s">
        <v>4086</v>
      </c>
      <c r="D3476" s="83" t="s">
        <v>4212</v>
      </c>
      <c r="E3476" s="81" t="s">
        <v>804</v>
      </c>
      <c r="F3476" s="81">
        <v>138.0</v>
      </c>
      <c r="G3476" s="81" t="s">
        <v>2</v>
      </c>
      <c r="H3476" s="81" t="s">
        <v>224</v>
      </c>
      <c r="I3476" s="81" t="s">
        <v>213</v>
      </c>
      <c r="J3476" s="81" t="s">
        <v>224</v>
      </c>
      <c r="K3476" s="81" t="str">
        <f>IFERROR(__xludf.DUMMYFUNCTION("IF(OR(D3476="""",G3476=""""),"""",IFERROR(LET(
campo,XLOOKUP(TRIM(G3476),ARRAYFORMULA(TRIM('indice columnas'!$A$2:$A$100)),'indice columnas'!$B$2:$B$100,""""),
col,IFERROR(MATCH(campo,Referencia!$A$1:$AZ$1,0),0),
fila,IFERROR(MATCH(TO_TEXT(D3476),ARRAYFOR"&amp;"MULA(TO_TEXT(Referencia!$A$2:$A6238)),0),0),
IF(OR(campo="""",campo=""-""),""NO APLICA"",
IF(col=0,""REVISAR EQUIVALENCIA"",
IF(fila=0,""SKU NO ENCONTRADO"",
LET(
valor,INDEX(Referencia!$A$2:$AZ6238,fila,col),
IF(TRIM(TO_TEXT(valor))=TRIM(TO_TEXT(I3476)),"&amp;"
""OK"",
""NO COINCIDE. Valor verdadero: ""&amp;IF(valor="""",""[VACÍO]"",TO_TEXT(valor))
)
))))
),""ERROR EN FÓRMULA""))"),"OK")</f>
        <v>OK</v>
      </c>
    </row>
    <row r="3477">
      <c r="A3477" s="83" t="s">
        <v>4896</v>
      </c>
      <c r="B3477" s="83" t="s">
        <v>4897</v>
      </c>
      <c r="C3477" s="81" t="s">
        <v>4086</v>
      </c>
      <c r="D3477" s="83" t="s">
        <v>4213</v>
      </c>
      <c r="E3477" s="81" t="s">
        <v>806</v>
      </c>
      <c r="F3477" s="81">
        <v>139.0</v>
      </c>
      <c r="G3477" s="81" t="s">
        <v>3</v>
      </c>
      <c r="H3477" s="81" t="s">
        <v>224</v>
      </c>
      <c r="I3477" s="81" t="s">
        <v>51</v>
      </c>
      <c r="J3477" s="81" t="s">
        <v>224</v>
      </c>
      <c r="K3477" s="81" t="str">
        <f>IFERROR(__xludf.DUMMYFUNCTION("IF(OR(D3477="""",G3477=""""),"""",IFERROR(LET(
campo,XLOOKUP(TRIM(G3477),ARRAYFORMULA(TRIM('indice columnas'!$A$2:$A$100)),'indice columnas'!$B$2:$B$100,""""),
col,IFERROR(MATCH(campo,Referencia!$A$1:$AZ$1,0),0),
fila,IFERROR(MATCH(TO_TEXT(D3477),ARRAYFOR"&amp;"MULA(TO_TEXT(Referencia!$A$2:$A6238)),0),0),
IF(OR(campo="""",campo=""-""),""NO APLICA"",
IF(col=0,""REVISAR EQUIVALENCIA"",
IF(fila=0,""SKU NO ENCONTRADO"",
LET(
valor,INDEX(Referencia!$A$2:$AZ6238,fila,col),
IF(TRIM(TO_TEXT(valor))=TRIM(TO_TEXT(I3477)),"&amp;"
""OK"",
""NO COINCIDE. Valor verdadero: ""&amp;IF(valor="""",""[VACÍO]"",TO_TEXT(valor))
)
))))
),""ERROR EN FÓRMULA""))"),"OK")</f>
        <v>OK</v>
      </c>
    </row>
    <row r="3478">
      <c r="A3478" s="83" t="s">
        <v>4896</v>
      </c>
      <c r="B3478" s="83" t="s">
        <v>4897</v>
      </c>
      <c r="C3478" s="81" t="s">
        <v>4086</v>
      </c>
      <c r="D3478" s="83" t="s">
        <v>4213</v>
      </c>
      <c r="E3478" s="81" t="s">
        <v>806</v>
      </c>
      <c r="F3478" s="81">
        <v>139.0</v>
      </c>
      <c r="G3478" s="81" t="s">
        <v>2</v>
      </c>
      <c r="H3478" s="81" t="s">
        <v>224</v>
      </c>
      <c r="I3478" s="81" t="s">
        <v>213</v>
      </c>
      <c r="J3478" s="81" t="s">
        <v>224</v>
      </c>
      <c r="K3478" s="81" t="str">
        <f>IFERROR(__xludf.DUMMYFUNCTION("IF(OR(D3478="""",G3478=""""),"""",IFERROR(LET(
campo,XLOOKUP(TRIM(G3478),ARRAYFORMULA(TRIM('indice columnas'!$A$2:$A$100)),'indice columnas'!$B$2:$B$100,""""),
col,IFERROR(MATCH(campo,Referencia!$A$1:$AZ$1,0),0),
fila,IFERROR(MATCH(TO_TEXT(D3478),ARRAYFOR"&amp;"MULA(TO_TEXT(Referencia!$A$2:$A6238)),0),0),
IF(OR(campo="""",campo=""-""),""NO APLICA"",
IF(col=0,""REVISAR EQUIVALENCIA"",
IF(fila=0,""SKU NO ENCONTRADO"",
LET(
valor,INDEX(Referencia!$A$2:$AZ6238,fila,col),
IF(TRIM(TO_TEXT(valor))=TRIM(TO_TEXT(I3478)),"&amp;"
""OK"",
""NO COINCIDE. Valor verdadero: ""&amp;IF(valor="""",""[VACÍO]"",TO_TEXT(valor))
)
))))
),""ERROR EN FÓRMULA""))"),"OK")</f>
        <v>OK</v>
      </c>
    </row>
    <row r="3479">
      <c r="A3479" s="83" t="s">
        <v>4896</v>
      </c>
      <c r="B3479" s="83" t="s">
        <v>4897</v>
      </c>
      <c r="C3479" s="81" t="s">
        <v>4086</v>
      </c>
      <c r="D3479" s="83" t="s">
        <v>4214</v>
      </c>
      <c r="E3479" s="81" t="s">
        <v>812</v>
      </c>
      <c r="F3479" s="81">
        <v>140.0</v>
      </c>
      <c r="G3479" s="81" t="s">
        <v>3</v>
      </c>
      <c r="H3479" s="81" t="s">
        <v>224</v>
      </c>
      <c r="I3479" s="81" t="s">
        <v>51</v>
      </c>
      <c r="J3479" s="81" t="s">
        <v>224</v>
      </c>
      <c r="K3479" s="81" t="str">
        <f>IFERROR(__xludf.DUMMYFUNCTION("IF(OR(D3479="""",G3479=""""),"""",IFERROR(LET(
campo,XLOOKUP(TRIM(G3479),ARRAYFORMULA(TRIM('indice columnas'!$A$2:$A$100)),'indice columnas'!$B$2:$B$100,""""),
col,IFERROR(MATCH(campo,Referencia!$A$1:$AZ$1,0),0),
fila,IFERROR(MATCH(TO_TEXT(D3479),ARRAYFOR"&amp;"MULA(TO_TEXT(Referencia!$A$2:$A6238)),0),0),
IF(OR(campo="""",campo=""-""),""NO APLICA"",
IF(col=0,""REVISAR EQUIVALENCIA"",
IF(fila=0,""SKU NO ENCONTRADO"",
LET(
valor,INDEX(Referencia!$A$2:$AZ6238,fila,col),
IF(TRIM(TO_TEXT(valor))=TRIM(TO_TEXT(I3479)),"&amp;"
""OK"",
""NO COINCIDE. Valor verdadero: ""&amp;IF(valor="""",""[VACÍO]"",TO_TEXT(valor))
)
))))
),""ERROR EN FÓRMULA""))"),"OK")</f>
        <v>OK</v>
      </c>
    </row>
    <row r="3480">
      <c r="A3480" s="83" t="s">
        <v>4896</v>
      </c>
      <c r="B3480" s="83" t="s">
        <v>4897</v>
      </c>
      <c r="C3480" s="81" t="s">
        <v>4086</v>
      </c>
      <c r="D3480" s="83" t="s">
        <v>4214</v>
      </c>
      <c r="E3480" s="81" t="s">
        <v>812</v>
      </c>
      <c r="F3480" s="81">
        <v>140.0</v>
      </c>
      <c r="G3480" s="81" t="s">
        <v>2</v>
      </c>
      <c r="H3480" s="81" t="s">
        <v>224</v>
      </c>
      <c r="I3480" s="81" t="s">
        <v>213</v>
      </c>
      <c r="J3480" s="81" t="s">
        <v>224</v>
      </c>
      <c r="K3480" s="81" t="str">
        <f>IFERROR(__xludf.DUMMYFUNCTION("IF(OR(D3480="""",G3480=""""),"""",IFERROR(LET(
campo,XLOOKUP(TRIM(G3480),ARRAYFORMULA(TRIM('indice columnas'!$A$2:$A$100)),'indice columnas'!$B$2:$B$100,""""),
col,IFERROR(MATCH(campo,Referencia!$A$1:$AZ$1,0),0),
fila,IFERROR(MATCH(TO_TEXT(D3480),ARRAYFOR"&amp;"MULA(TO_TEXT(Referencia!$A$2:$A6238)),0),0),
IF(OR(campo="""",campo=""-""),""NO APLICA"",
IF(col=0,""REVISAR EQUIVALENCIA"",
IF(fila=0,""SKU NO ENCONTRADO"",
LET(
valor,INDEX(Referencia!$A$2:$AZ6238,fila,col),
IF(TRIM(TO_TEXT(valor))=TRIM(TO_TEXT(I3480)),"&amp;"
""OK"",
""NO COINCIDE. Valor verdadero: ""&amp;IF(valor="""",""[VACÍO]"",TO_TEXT(valor))
)
))))
),""ERROR EN FÓRMULA""))"),"OK")</f>
        <v>OK</v>
      </c>
    </row>
    <row r="3481">
      <c r="A3481" s="83" t="s">
        <v>4896</v>
      </c>
      <c r="B3481" s="83" t="s">
        <v>4897</v>
      </c>
      <c r="C3481" s="81" t="s">
        <v>4086</v>
      </c>
      <c r="D3481" s="83" t="s">
        <v>4215</v>
      </c>
      <c r="E3481" s="81" t="s">
        <v>815</v>
      </c>
      <c r="F3481" s="81">
        <v>141.0</v>
      </c>
      <c r="G3481" s="81" t="s">
        <v>3</v>
      </c>
      <c r="H3481" s="81" t="s">
        <v>224</v>
      </c>
      <c r="I3481" s="81" t="s">
        <v>344</v>
      </c>
      <c r="J3481" s="81" t="s">
        <v>224</v>
      </c>
      <c r="K3481" s="81" t="str">
        <f>IFERROR(__xludf.DUMMYFUNCTION("IF(OR(D3481="""",G3481=""""),"""",IFERROR(LET(
campo,XLOOKUP(TRIM(G3481),ARRAYFORMULA(TRIM('indice columnas'!$A$2:$A$100)),'indice columnas'!$B$2:$B$100,""""),
col,IFERROR(MATCH(campo,Referencia!$A$1:$AZ$1,0),0),
fila,IFERROR(MATCH(TO_TEXT(D3481),ARRAYFOR"&amp;"MULA(TO_TEXT(Referencia!$A$2:$A6238)),0),0),
IF(OR(campo="""",campo=""-""),""NO APLICA"",
IF(col=0,""REVISAR EQUIVALENCIA"",
IF(fila=0,""SKU NO ENCONTRADO"",
LET(
valor,INDEX(Referencia!$A$2:$AZ6238,fila,col),
IF(TRIM(TO_TEXT(valor))=TRIM(TO_TEXT(I3481)),"&amp;"
""OK"",
""NO COINCIDE. Valor verdadero: ""&amp;IF(valor="""",""[VACÍO]"",TO_TEXT(valor))
)
))))
),""ERROR EN FÓRMULA""))"),"OK")</f>
        <v>OK</v>
      </c>
    </row>
    <row r="3482">
      <c r="A3482" s="83" t="s">
        <v>4896</v>
      </c>
      <c r="B3482" s="83" t="s">
        <v>4897</v>
      </c>
      <c r="C3482" s="81" t="s">
        <v>4086</v>
      </c>
      <c r="D3482" s="83" t="s">
        <v>4215</v>
      </c>
      <c r="E3482" s="81" t="s">
        <v>815</v>
      </c>
      <c r="F3482" s="81">
        <v>141.0</v>
      </c>
      <c r="G3482" s="81" t="s">
        <v>2</v>
      </c>
      <c r="H3482" s="81" t="s">
        <v>224</v>
      </c>
      <c r="I3482" s="81" t="s">
        <v>213</v>
      </c>
      <c r="J3482" s="81" t="s">
        <v>224</v>
      </c>
      <c r="K3482" s="81" t="str">
        <f>IFERROR(__xludf.DUMMYFUNCTION("IF(OR(D3482="""",G3482=""""),"""",IFERROR(LET(
campo,XLOOKUP(TRIM(G3482),ARRAYFORMULA(TRIM('indice columnas'!$A$2:$A$100)),'indice columnas'!$B$2:$B$100,""""),
col,IFERROR(MATCH(campo,Referencia!$A$1:$AZ$1,0),0),
fila,IFERROR(MATCH(TO_TEXT(D3482),ARRAYFOR"&amp;"MULA(TO_TEXT(Referencia!$A$2:$A6238)),0),0),
IF(OR(campo="""",campo=""-""),""NO APLICA"",
IF(col=0,""REVISAR EQUIVALENCIA"",
IF(fila=0,""SKU NO ENCONTRADO"",
LET(
valor,INDEX(Referencia!$A$2:$AZ6238,fila,col),
IF(TRIM(TO_TEXT(valor))=TRIM(TO_TEXT(I3482)),"&amp;"
""OK"",
""NO COINCIDE. Valor verdadero: ""&amp;IF(valor="""",""[VACÍO]"",TO_TEXT(valor))
)
))))
),""ERROR EN FÓRMULA""))"),"OK")</f>
        <v>OK</v>
      </c>
    </row>
    <row r="3483">
      <c r="A3483" s="83" t="s">
        <v>4896</v>
      </c>
      <c r="B3483" s="83" t="s">
        <v>4897</v>
      </c>
      <c r="C3483" s="81" t="s">
        <v>4086</v>
      </c>
      <c r="D3483" s="83" t="s">
        <v>4215</v>
      </c>
      <c r="E3483" s="81" t="s">
        <v>815</v>
      </c>
      <c r="F3483" s="81">
        <v>141.0</v>
      </c>
      <c r="G3483" s="81" t="s">
        <v>1</v>
      </c>
      <c r="H3483" s="81" t="s">
        <v>224</v>
      </c>
      <c r="I3483" s="81" t="s">
        <v>717</v>
      </c>
      <c r="J3483" s="81" t="s">
        <v>224</v>
      </c>
      <c r="K3483" s="81" t="str">
        <f>IFERROR(__xludf.DUMMYFUNCTION("IF(OR(D3483="""",G3483=""""),"""",IFERROR(LET(
campo,XLOOKUP(TRIM(G3483),ARRAYFORMULA(TRIM('indice columnas'!$A$2:$A$100)),'indice columnas'!$B$2:$B$100,""""),
col,IFERROR(MATCH(campo,Referencia!$A$1:$AZ$1,0),0),
fila,IFERROR(MATCH(TO_TEXT(D3483),ARRAYFOR"&amp;"MULA(TO_TEXT(Referencia!$A$2:$A6238)),0),0),
IF(OR(campo="""",campo=""-""),""NO APLICA"",
IF(col=0,""REVISAR EQUIVALENCIA"",
IF(fila=0,""SKU NO ENCONTRADO"",
LET(
valor,INDEX(Referencia!$A$2:$AZ6238,fila,col),
IF(TRIM(TO_TEXT(valor))=TRIM(TO_TEXT(I3483)),"&amp;"
""OK"",
""NO COINCIDE. Valor verdadero: ""&amp;IF(valor="""",""[VACÍO]"",TO_TEXT(valor))
)
))))
),""ERROR EN FÓRMULA""))"),"OK")</f>
        <v>OK</v>
      </c>
    </row>
    <row r="3484">
      <c r="A3484" s="83" t="s">
        <v>4896</v>
      </c>
      <c r="B3484" s="83" t="s">
        <v>4897</v>
      </c>
      <c r="C3484" s="81" t="s">
        <v>4086</v>
      </c>
      <c r="D3484" s="83" t="s">
        <v>4216</v>
      </c>
      <c r="E3484" s="81" t="s">
        <v>822</v>
      </c>
      <c r="F3484" s="81">
        <v>142.0</v>
      </c>
      <c r="G3484" s="81" t="s">
        <v>3</v>
      </c>
      <c r="H3484" s="81" t="s">
        <v>224</v>
      </c>
      <c r="I3484" s="81" t="s">
        <v>344</v>
      </c>
      <c r="J3484" s="81" t="s">
        <v>224</v>
      </c>
      <c r="K3484" s="81" t="str">
        <f>IFERROR(__xludf.DUMMYFUNCTION("IF(OR(D3484="""",G3484=""""),"""",IFERROR(LET(
campo,XLOOKUP(TRIM(G3484),ARRAYFORMULA(TRIM('indice columnas'!$A$2:$A$100)),'indice columnas'!$B$2:$B$100,""""),
col,IFERROR(MATCH(campo,Referencia!$A$1:$AZ$1,0),0),
fila,IFERROR(MATCH(TO_TEXT(D3484),ARRAYFOR"&amp;"MULA(TO_TEXT(Referencia!$A$2:$A6238)),0),0),
IF(OR(campo="""",campo=""-""),""NO APLICA"",
IF(col=0,""REVISAR EQUIVALENCIA"",
IF(fila=0,""SKU NO ENCONTRADO"",
LET(
valor,INDEX(Referencia!$A$2:$AZ6238,fila,col),
IF(TRIM(TO_TEXT(valor))=TRIM(TO_TEXT(I3484)),"&amp;"
""OK"",
""NO COINCIDE. Valor verdadero: ""&amp;IF(valor="""",""[VACÍO]"",TO_TEXT(valor))
)
))))
),""ERROR EN FÓRMULA""))"),"OK")</f>
        <v>OK</v>
      </c>
    </row>
    <row r="3485">
      <c r="A3485" s="83" t="s">
        <v>4896</v>
      </c>
      <c r="B3485" s="83" t="s">
        <v>4897</v>
      </c>
      <c r="C3485" s="81" t="s">
        <v>4086</v>
      </c>
      <c r="D3485" s="83" t="s">
        <v>4216</v>
      </c>
      <c r="E3485" s="81" t="s">
        <v>822</v>
      </c>
      <c r="F3485" s="81">
        <v>142.0</v>
      </c>
      <c r="G3485" s="81" t="s">
        <v>2</v>
      </c>
      <c r="H3485" s="81" t="s">
        <v>224</v>
      </c>
      <c r="I3485" s="81" t="s">
        <v>213</v>
      </c>
      <c r="J3485" s="81" t="s">
        <v>224</v>
      </c>
      <c r="K3485" s="81" t="str">
        <f>IFERROR(__xludf.DUMMYFUNCTION("IF(OR(D3485="""",G3485=""""),"""",IFERROR(LET(
campo,XLOOKUP(TRIM(G3485),ARRAYFORMULA(TRIM('indice columnas'!$A$2:$A$100)),'indice columnas'!$B$2:$B$100,""""),
col,IFERROR(MATCH(campo,Referencia!$A$1:$AZ$1,0),0),
fila,IFERROR(MATCH(TO_TEXT(D3485),ARRAYFOR"&amp;"MULA(TO_TEXT(Referencia!$A$2:$A6238)),0),0),
IF(OR(campo="""",campo=""-""),""NO APLICA"",
IF(col=0,""REVISAR EQUIVALENCIA"",
IF(fila=0,""SKU NO ENCONTRADO"",
LET(
valor,INDEX(Referencia!$A$2:$AZ6238,fila,col),
IF(TRIM(TO_TEXT(valor))=TRIM(TO_TEXT(I3485)),"&amp;"
""OK"",
""NO COINCIDE. Valor verdadero: ""&amp;IF(valor="""",""[VACÍO]"",TO_TEXT(valor))
)
))))
),""ERROR EN FÓRMULA""))"),"OK")</f>
        <v>OK</v>
      </c>
    </row>
    <row r="3486">
      <c r="A3486" s="83" t="s">
        <v>4896</v>
      </c>
      <c r="B3486" s="83" t="s">
        <v>4897</v>
      </c>
      <c r="C3486" s="81" t="s">
        <v>4086</v>
      </c>
      <c r="D3486" s="83" t="s">
        <v>4216</v>
      </c>
      <c r="E3486" s="81" t="s">
        <v>822</v>
      </c>
      <c r="F3486" s="81">
        <v>142.0</v>
      </c>
      <c r="G3486" s="81" t="s">
        <v>1</v>
      </c>
      <c r="H3486" s="81" t="s">
        <v>224</v>
      </c>
      <c r="I3486" s="81" t="s">
        <v>717</v>
      </c>
      <c r="J3486" s="81" t="s">
        <v>224</v>
      </c>
      <c r="K3486" s="81" t="str">
        <f>IFERROR(__xludf.DUMMYFUNCTION("IF(OR(D3486="""",G3486=""""),"""",IFERROR(LET(
campo,XLOOKUP(TRIM(G3486),ARRAYFORMULA(TRIM('indice columnas'!$A$2:$A$100)),'indice columnas'!$B$2:$B$100,""""),
col,IFERROR(MATCH(campo,Referencia!$A$1:$AZ$1,0),0),
fila,IFERROR(MATCH(TO_TEXT(D3486),ARRAYFOR"&amp;"MULA(TO_TEXT(Referencia!$A$2:$A6238)),0),0),
IF(OR(campo="""",campo=""-""),""NO APLICA"",
IF(col=0,""REVISAR EQUIVALENCIA"",
IF(fila=0,""SKU NO ENCONTRADO"",
LET(
valor,INDEX(Referencia!$A$2:$AZ6238,fila,col),
IF(TRIM(TO_TEXT(valor))=TRIM(TO_TEXT(I3486)),"&amp;"
""OK"",
""NO COINCIDE. Valor verdadero: ""&amp;IF(valor="""",""[VACÍO]"",TO_TEXT(valor))
)
))))
),""ERROR EN FÓRMULA""))"),"OK")</f>
        <v>OK</v>
      </c>
    </row>
    <row r="3487">
      <c r="A3487" s="83" t="s">
        <v>4896</v>
      </c>
      <c r="B3487" s="83" t="s">
        <v>4897</v>
      </c>
      <c r="C3487" s="81" t="s">
        <v>4086</v>
      </c>
      <c r="D3487" s="83" t="s">
        <v>4217</v>
      </c>
      <c r="E3487" s="81" t="s">
        <v>825</v>
      </c>
      <c r="F3487" s="81">
        <v>143.0</v>
      </c>
      <c r="G3487" s="81" t="s">
        <v>3</v>
      </c>
      <c r="H3487" s="81" t="s">
        <v>224</v>
      </c>
      <c r="I3487" s="81" t="s">
        <v>51</v>
      </c>
      <c r="J3487" s="81" t="s">
        <v>224</v>
      </c>
      <c r="K3487" s="81" t="str">
        <f>IFERROR(__xludf.DUMMYFUNCTION("IF(OR(D3487="""",G3487=""""),"""",IFERROR(LET(
campo,XLOOKUP(TRIM(G3487),ARRAYFORMULA(TRIM('indice columnas'!$A$2:$A$100)),'indice columnas'!$B$2:$B$100,""""),
col,IFERROR(MATCH(campo,Referencia!$A$1:$AZ$1,0),0),
fila,IFERROR(MATCH(TO_TEXT(D3487),ARRAYFOR"&amp;"MULA(TO_TEXT(Referencia!$A$2:$A6238)),0),0),
IF(OR(campo="""",campo=""-""),""NO APLICA"",
IF(col=0,""REVISAR EQUIVALENCIA"",
IF(fila=0,""SKU NO ENCONTRADO"",
LET(
valor,INDEX(Referencia!$A$2:$AZ6238,fila,col),
IF(TRIM(TO_TEXT(valor))=TRIM(TO_TEXT(I3487)),"&amp;"
""OK"",
""NO COINCIDE. Valor verdadero: ""&amp;IF(valor="""",""[VACÍO]"",TO_TEXT(valor))
)
))))
),""ERROR EN FÓRMULA""))"),"OK")</f>
        <v>OK</v>
      </c>
    </row>
    <row r="3488">
      <c r="A3488" s="83" t="s">
        <v>4896</v>
      </c>
      <c r="B3488" s="83" t="s">
        <v>4897</v>
      </c>
      <c r="C3488" s="81" t="s">
        <v>4086</v>
      </c>
      <c r="D3488" s="83" t="s">
        <v>4217</v>
      </c>
      <c r="E3488" s="81" t="s">
        <v>825</v>
      </c>
      <c r="F3488" s="81">
        <v>143.0</v>
      </c>
      <c r="G3488" s="81" t="s">
        <v>2</v>
      </c>
      <c r="H3488" s="81" t="s">
        <v>224</v>
      </c>
      <c r="I3488" s="81" t="s">
        <v>213</v>
      </c>
      <c r="J3488" s="81" t="s">
        <v>224</v>
      </c>
      <c r="K3488" s="81" t="str">
        <f>IFERROR(__xludf.DUMMYFUNCTION("IF(OR(D3488="""",G3488=""""),"""",IFERROR(LET(
campo,XLOOKUP(TRIM(G3488),ARRAYFORMULA(TRIM('indice columnas'!$A$2:$A$100)),'indice columnas'!$B$2:$B$100,""""),
col,IFERROR(MATCH(campo,Referencia!$A$1:$AZ$1,0),0),
fila,IFERROR(MATCH(TO_TEXT(D3488),ARRAYFOR"&amp;"MULA(TO_TEXT(Referencia!$A$2:$A6238)),0),0),
IF(OR(campo="""",campo=""-""),""NO APLICA"",
IF(col=0,""REVISAR EQUIVALENCIA"",
IF(fila=0,""SKU NO ENCONTRADO"",
LET(
valor,INDEX(Referencia!$A$2:$AZ6238,fila,col),
IF(TRIM(TO_TEXT(valor))=TRIM(TO_TEXT(I3488)),"&amp;"
""OK"",
""NO COINCIDE. Valor verdadero: ""&amp;IF(valor="""",""[VACÍO]"",TO_TEXT(valor))
)
))))
),""ERROR EN FÓRMULA""))"),"OK")</f>
        <v>OK</v>
      </c>
    </row>
    <row r="3489">
      <c r="A3489" s="83" t="s">
        <v>4896</v>
      </c>
      <c r="B3489" s="83" t="s">
        <v>4897</v>
      </c>
      <c r="C3489" s="81" t="s">
        <v>4086</v>
      </c>
      <c r="D3489" s="83" t="s">
        <v>4218</v>
      </c>
      <c r="E3489" s="81" t="s">
        <v>832</v>
      </c>
      <c r="F3489" s="81">
        <v>144.0</v>
      </c>
      <c r="G3489" s="81" t="s">
        <v>3</v>
      </c>
      <c r="H3489" s="81" t="s">
        <v>224</v>
      </c>
      <c r="I3489" s="81" t="s">
        <v>51</v>
      </c>
      <c r="J3489" s="81" t="s">
        <v>224</v>
      </c>
      <c r="K3489" s="81" t="str">
        <f>IFERROR(__xludf.DUMMYFUNCTION("IF(OR(D3489="""",G3489=""""),"""",IFERROR(LET(
campo,XLOOKUP(TRIM(G3489),ARRAYFORMULA(TRIM('indice columnas'!$A$2:$A$100)),'indice columnas'!$B$2:$B$100,""""),
col,IFERROR(MATCH(campo,Referencia!$A$1:$AZ$1,0),0),
fila,IFERROR(MATCH(TO_TEXT(D3489),ARRAYFOR"&amp;"MULA(TO_TEXT(Referencia!$A$2:$A6238)),0),0),
IF(OR(campo="""",campo=""-""),""NO APLICA"",
IF(col=0,""REVISAR EQUIVALENCIA"",
IF(fila=0,""SKU NO ENCONTRADO"",
LET(
valor,INDEX(Referencia!$A$2:$AZ6238,fila,col),
IF(TRIM(TO_TEXT(valor))=TRIM(TO_TEXT(I3489)),"&amp;"
""OK"",
""NO COINCIDE. Valor verdadero: ""&amp;IF(valor="""",""[VACÍO]"",TO_TEXT(valor))
)
))))
),""ERROR EN FÓRMULA""))"),"OK")</f>
        <v>OK</v>
      </c>
    </row>
    <row r="3490">
      <c r="A3490" s="83" t="s">
        <v>4896</v>
      </c>
      <c r="B3490" s="83" t="s">
        <v>4897</v>
      </c>
      <c r="C3490" s="81" t="s">
        <v>4086</v>
      </c>
      <c r="D3490" s="83" t="s">
        <v>4218</v>
      </c>
      <c r="E3490" s="81" t="s">
        <v>832</v>
      </c>
      <c r="F3490" s="81">
        <v>144.0</v>
      </c>
      <c r="G3490" s="81" t="s">
        <v>2</v>
      </c>
      <c r="H3490" s="81" t="s">
        <v>224</v>
      </c>
      <c r="I3490" s="81" t="s">
        <v>213</v>
      </c>
      <c r="J3490" s="81" t="s">
        <v>224</v>
      </c>
      <c r="K3490" s="81" t="str">
        <f>IFERROR(__xludf.DUMMYFUNCTION("IF(OR(D3490="""",G3490=""""),"""",IFERROR(LET(
campo,XLOOKUP(TRIM(G3490),ARRAYFORMULA(TRIM('indice columnas'!$A$2:$A$100)),'indice columnas'!$B$2:$B$100,""""),
col,IFERROR(MATCH(campo,Referencia!$A$1:$AZ$1,0),0),
fila,IFERROR(MATCH(TO_TEXT(D3490),ARRAYFOR"&amp;"MULA(TO_TEXT(Referencia!$A$2:$A6238)),0),0),
IF(OR(campo="""",campo=""-""),""NO APLICA"",
IF(col=0,""REVISAR EQUIVALENCIA"",
IF(fila=0,""SKU NO ENCONTRADO"",
LET(
valor,INDEX(Referencia!$A$2:$AZ6238,fila,col),
IF(TRIM(TO_TEXT(valor))=TRIM(TO_TEXT(I3490)),"&amp;"
""OK"",
""NO COINCIDE. Valor verdadero: ""&amp;IF(valor="""",""[VACÍO]"",TO_TEXT(valor))
)
))))
),""ERROR EN FÓRMULA""))"),"OK")</f>
        <v>OK</v>
      </c>
    </row>
    <row r="3491">
      <c r="A3491" s="83" t="s">
        <v>4896</v>
      </c>
      <c r="B3491" s="83" t="s">
        <v>4897</v>
      </c>
      <c r="C3491" s="81" t="s">
        <v>4086</v>
      </c>
      <c r="D3491" s="83" t="s">
        <v>4219</v>
      </c>
      <c r="E3491" s="81" t="s">
        <v>835</v>
      </c>
      <c r="F3491" s="81">
        <v>145.0</v>
      </c>
      <c r="G3491" s="81" t="s">
        <v>3</v>
      </c>
      <c r="H3491" s="81" t="s">
        <v>224</v>
      </c>
      <c r="I3491" s="81" t="s">
        <v>344</v>
      </c>
      <c r="J3491" s="81" t="s">
        <v>224</v>
      </c>
      <c r="K3491" s="81" t="str">
        <f>IFERROR(__xludf.DUMMYFUNCTION("IF(OR(D3491="""",G3491=""""),"""",IFERROR(LET(
campo,XLOOKUP(TRIM(G3491),ARRAYFORMULA(TRIM('indice columnas'!$A$2:$A$100)),'indice columnas'!$B$2:$B$100,""""),
col,IFERROR(MATCH(campo,Referencia!$A$1:$AZ$1,0),0),
fila,IFERROR(MATCH(TO_TEXT(D3491),ARRAYFOR"&amp;"MULA(TO_TEXT(Referencia!$A$2:$A6238)),0),0),
IF(OR(campo="""",campo=""-""),""NO APLICA"",
IF(col=0,""REVISAR EQUIVALENCIA"",
IF(fila=0,""SKU NO ENCONTRADO"",
LET(
valor,INDEX(Referencia!$A$2:$AZ6238,fila,col),
IF(TRIM(TO_TEXT(valor))=TRIM(TO_TEXT(I3491)),"&amp;"
""OK"",
""NO COINCIDE. Valor verdadero: ""&amp;IF(valor="""",""[VACÍO]"",TO_TEXT(valor))
)
))))
),""ERROR EN FÓRMULA""))"),"OK")</f>
        <v>OK</v>
      </c>
    </row>
    <row r="3492">
      <c r="A3492" s="83" t="s">
        <v>4896</v>
      </c>
      <c r="B3492" s="83" t="s">
        <v>4897</v>
      </c>
      <c r="C3492" s="81" t="s">
        <v>4086</v>
      </c>
      <c r="D3492" s="83" t="s">
        <v>4219</v>
      </c>
      <c r="E3492" s="81" t="s">
        <v>835</v>
      </c>
      <c r="F3492" s="81">
        <v>145.0</v>
      </c>
      <c r="G3492" s="81" t="s">
        <v>2</v>
      </c>
      <c r="H3492" s="81" t="s">
        <v>224</v>
      </c>
      <c r="I3492" s="81" t="s">
        <v>213</v>
      </c>
      <c r="J3492" s="81" t="s">
        <v>224</v>
      </c>
      <c r="K3492" s="81" t="str">
        <f>IFERROR(__xludf.DUMMYFUNCTION("IF(OR(D3492="""",G3492=""""),"""",IFERROR(LET(
campo,XLOOKUP(TRIM(G3492),ARRAYFORMULA(TRIM('indice columnas'!$A$2:$A$100)),'indice columnas'!$B$2:$B$100,""""),
col,IFERROR(MATCH(campo,Referencia!$A$1:$AZ$1,0),0),
fila,IFERROR(MATCH(TO_TEXT(D3492),ARRAYFOR"&amp;"MULA(TO_TEXT(Referencia!$A$2:$A6238)),0),0),
IF(OR(campo="""",campo=""-""),""NO APLICA"",
IF(col=0,""REVISAR EQUIVALENCIA"",
IF(fila=0,""SKU NO ENCONTRADO"",
LET(
valor,INDEX(Referencia!$A$2:$AZ6238,fila,col),
IF(TRIM(TO_TEXT(valor))=TRIM(TO_TEXT(I3492)),"&amp;"
""OK"",
""NO COINCIDE. Valor verdadero: ""&amp;IF(valor="""",""[VACÍO]"",TO_TEXT(valor))
)
))))
),""ERROR EN FÓRMULA""))"),"OK")</f>
        <v>OK</v>
      </c>
    </row>
    <row r="3493">
      <c r="A3493" s="83" t="s">
        <v>4896</v>
      </c>
      <c r="B3493" s="83" t="s">
        <v>4897</v>
      </c>
      <c r="C3493" s="81" t="s">
        <v>4086</v>
      </c>
      <c r="D3493" s="83" t="s">
        <v>4220</v>
      </c>
      <c r="E3493" s="81" t="s">
        <v>842</v>
      </c>
      <c r="F3493" s="81">
        <v>146.0</v>
      </c>
      <c r="G3493" s="81" t="s">
        <v>3</v>
      </c>
      <c r="H3493" s="81" t="s">
        <v>224</v>
      </c>
      <c r="I3493" s="81" t="s">
        <v>344</v>
      </c>
      <c r="J3493" s="81" t="s">
        <v>224</v>
      </c>
      <c r="K3493" s="81" t="str">
        <f>IFERROR(__xludf.DUMMYFUNCTION("IF(OR(D3493="""",G3493=""""),"""",IFERROR(LET(
campo,XLOOKUP(TRIM(G3493),ARRAYFORMULA(TRIM('indice columnas'!$A$2:$A$100)),'indice columnas'!$B$2:$B$100,""""),
col,IFERROR(MATCH(campo,Referencia!$A$1:$AZ$1,0),0),
fila,IFERROR(MATCH(TO_TEXT(D3493),ARRAYFOR"&amp;"MULA(TO_TEXT(Referencia!$A$2:$A6238)),0),0),
IF(OR(campo="""",campo=""-""),""NO APLICA"",
IF(col=0,""REVISAR EQUIVALENCIA"",
IF(fila=0,""SKU NO ENCONTRADO"",
LET(
valor,INDEX(Referencia!$A$2:$AZ6238,fila,col),
IF(TRIM(TO_TEXT(valor))=TRIM(TO_TEXT(I3493)),"&amp;"
""OK"",
""NO COINCIDE. Valor verdadero: ""&amp;IF(valor="""",""[VACÍO]"",TO_TEXT(valor))
)
))))
),""ERROR EN FÓRMULA""))"),"OK")</f>
        <v>OK</v>
      </c>
    </row>
    <row r="3494">
      <c r="A3494" s="83" t="s">
        <v>4896</v>
      </c>
      <c r="B3494" s="83" t="s">
        <v>4897</v>
      </c>
      <c r="C3494" s="81" t="s">
        <v>4086</v>
      </c>
      <c r="D3494" s="83" t="s">
        <v>4220</v>
      </c>
      <c r="E3494" s="81" t="s">
        <v>842</v>
      </c>
      <c r="F3494" s="81">
        <v>146.0</v>
      </c>
      <c r="G3494" s="81" t="s">
        <v>2</v>
      </c>
      <c r="H3494" s="81" t="s">
        <v>224</v>
      </c>
      <c r="I3494" s="81" t="s">
        <v>213</v>
      </c>
      <c r="J3494" s="81" t="s">
        <v>224</v>
      </c>
      <c r="K3494" s="81" t="str">
        <f>IFERROR(__xludf.DUMMYFUNCTION("IF(OR(D3494="""",G3494=""""),"""",IFERROR(LET(
campo,XLOOKUP(TRIM(G3494),ARRAYFORMULA(TRIM('indice columnas'!$A$2:$A$100)),'indice columnas'!$B$2:$B$100,""""),
col,IFERROR(MATCH(campo,Referencia!$A$1:$AZ$1,0),0),
fila,IFERROR(MATCH(TO_TEXT(D3494),ARRAYFOR"&amp;"MULA(TO_TEXT(Referencia!$A$2:$A6238)),0),0),
IF(OR(campo="""",campo=""-""),""NO APLICA"",
IF(col=0,""REVISAR EQUIVALENCIA"",
IF(fila=0,""SKU NO ENCONTRADO"",
LET(
valor,INDEX(Referencia!$A$2:$AZ6238,fila,col),
IF(TRIM(TO_TEXT(valor))=TRIM(TO_TEXT(I3494)),"&amp;"
""OK"",
""NO COINCIDE. Valor verdadero: ""&amp;IF(valor="""",""[VACÍO]"",TO_TEXT(valor))
)
))))
),""ERROR EN FÓRMULA""))"),"OK")</f>
        <v>OK</v>
      </c>
    </row>
    <row r="3495">
      <c r="A3495" s="83" t="s">
        <v>4896</v>
      </c>
      <c r="B3495" s="83" t="s">
        <v>4897</v>
      </c>
      <c r="C3495" s="81" t="s">
        <v>4086</v>
      </c>
      <c r="D3495" s="83" t="s">
        <v>4221</v>
      </c>
      <c r="E3495" s="81" t="s">
        <v>845</v>
      </c>
      <c r="F3495" s="81">
        <v>147.0</v>
      </c>
      <c r="G3495" s="81" t="s">
        <v>3</v>
      </c>
      <c r="H3495" s="81" t="s">
        <v>224</v>
      </c>
      <c r="I3495" s="81" t="s">
        <v>51</v>
      </c>
      <c r="J3495" s="81" t="s">
        <v>224</v>
      </c>
      <c r="K3495" s="81" t="str">
        <f>IFERROR(__xludf.DUMMYFUNCTION("IF(OR(D3495="""",G3495=""""),"""",IFERROR(LET(
campo,XLOOKUP(TRIM(G3495),ARRAYFORMULA(TRIM('indice columnas'!$A$2:$A$100)),'indice columnas'!$B$2:$B$100,""""),
col,IFERROR(MATCH(campo,Referencia!$A$1:$AZ$1,0),0),
fila,IFERROR(MATCH(TO_TEXT(D3495),ARRAYFOR"&amp;"MULA(TO_TEXT(Referencia!$A$2:$A6238)),0),0),
IF(OR(campo="""",campo=""-""),""NO APLICA"",
IF(col=0,""REVISAR EQUIVALENCIA"",
IF(fila=0,""SKU NO ENCONTRADO"",
LET(
valor,INDEX(Referencia!$A$2:$AZ6238,fila,col),
IF(TRIM(TO_TEXT(valor))=TRIM(TO_TEXT(I3495)),"&amp;"
""OK"",
""NO COINCIDE. Valor verdadero: ""&amp;IF(valor="""",""[VACÍO]"",TO_TEXT(valor))
)
))))
),""ERROR EN FÓRMULA""))"),"OK")</f>
        <v>OK</v>
      </c>
    </row>
    <row r="3496">
      <c r="A3496" s="83" t="s">
        <v>4896</v>
      </c>
      <c r="B3496" s="83" t="s">
        <v>4897</v>
      </c>
      <c r="C3496" s="81" t="s">
        <v>4086</v>
      </c>
      <c r="D3496" s="83" t="s">
        <v>4221</v>
      </c>
      <c r="E3496" s="81" t="s">
        <v>845</v>
      </c>
      <c r="F3496" s="81">
        <v>147.0</v>
      </c>
      <c r="G3496" s="81" t="s">
        <v>2</v>
      </c>
      <c r="H3496" s="81" t="s">
        <v>224</v>
      </c>
      <c r="I3496" s="81" t="s">
        <v>213</v>
      </c>
      <c r="J3496" s="81" t="s">
        <v>224</v>
      </c>
      <c r="K3496" s="81" t="str">
        <f>IFERROR(__xludf.DUMMYFUNCTION("IF(OR(D3496="""",G3496=""""),"""",IFERROR(LET(
campo,XLOOKUP(TRIM(G3496),ARRAYFORMULA(TRIM('indice columnas'!$A$2:$A$100)),'indice columnas'!$B$2:$B$100,""""),
col,IFERROR(MATCH(campo,Referencia!$A$1:$AZ$1,0),0),
fila,IFERROR(MATCH(TO_TEXT(D3496),ARRAYFOR"&amp;"MULA(TO_TEXT(Referencia!$A$2:$A6238)),0),0),
IF(OR(campo="""",campo=""-""),""NO APLICA"",
IF(col=0,""REVISAR EQUIVALENCIA"",
IF(fila=0,""SKU NO ENCONTRADO"",
LET(
valor,INDEX(Referencia!$A$2:$AZ6238,fila,col),
IF(TRIM(TO_TEXT(valor))=TRIM(TO_TEXT(I3496)),"&amp;"
""OK"",
""NO COINCIDE. Valor verdadero: ""&amp;IF(valor="""",""[VACÍO]"",TO_TEXT(valor))
)
))))
),""ERROR EN FÓRMULA""))"),"OK")</f>
        <v>OK</v>
      </c>
    </row>
    <row r="3497">
      <c r="A3497" s="83" t="s">
        <v>4896</v>
      </c>
      <c r="B3497" s="83" t="s">
        <v>4897</v>
      </c>
      <c r="C3497" s="81" t="s">
        <v>4086</v>
      </c>
      <c r="D3497" s="83" t="s">
        <v>4222</v>
      </c>
      <c r="E3497" s="81" t="s">
        <v>851</v>
      </c>
      <c r="F3497" s="81">
        <v>148.0</v>
      </c>
      <c r="G3497" s="81" t="s">
        <v>3</v>
      </c>
      <c r="H3497" s="81" t="s">
        <v>224</v>
      </c>
      <c r="I3497" s="81" t="s">
        <v>51</v>
      </c>
      <c r="J3497" s="81" t="s">
        <v>224</v>
      </c>
      <c r="K3497" s="81" t="str">
        <f>IFERROR(__xludf.DUMMYFUNCTION("IF(OR(D3497="""",G3497=""""),"""",IFERROR(LET(
campo,XLOOKUP(TRIM(G3497),ARRAYFORMULA(TRIM('indice columnas'!$A$2:$A$100)),'indice columnas'!$B$2:$B$100,""""),
col,IFERROR(MATCH(campo,Referencia!$A$1:$AZ$1,0),0),
fila,IFERROR(MATCH(TO_TEXT(D3497),ARRAYFOR"&amp;"MULA(TO_TEXT(Referencia!$A$2:$A6238)),0),0),
IF(OR(campo="""",campo=""-""),""NO APLICA"",
IF(col=0,""REVISAR EQUIVALENCIA"",
IF(fila=0,""SKU NO ENCONTRADO"",
LET(
valor,INDEX(Referencia!$A$2:$AZ6238,fila,col),
IF(TRIM(TO_TEXT(valor))=TRIM(TO_TEXT(I3497)),"&amp;"
""OK"",
""NO COINCIDE. Valor verdadero: ""&amp;IF(valor="""",""[VACÍO]"",TO_TEXT(valor))
)
))))
),""ERROR EN FÓRMULA""))"),"OK")</f>
        <v>OK</v>
      </c>
    </row>
    <row r="3498">
      <c r="A3498" s="83" t="s">
        <v>4896</v>
      </c>
      <c r="B3498" s="83" t="s">
        <v>4897</v>
      </c>
      <c r="C3498" s="81" t="s">
        <v>4086</v>
      </c>
      <c r="D3498" s="83" t="s">
        <v>4222</v>
      </c>
      <c r="E3498" s="81" t="s">
        <v>851</v>
      </c>
      <c r="F3498" s="81">
        <v>148.0</v>
      </c>
      <c r="G3498" s="81" t="s">
        <v>2</v>
      </c>
      <c r="H3498" s="81" t="s">
        <v>224</v>
      </c>
      <c r="I3498" s="81" t="s">
        <v>213</v>
      </c>
      <c r="J3498" s="81" t="s">
        <v>224</v>
      </c>
      <c r="K3498" s="81" t="str">
        <f>IFERROR(__xludf.DUMMYFUNCTION("IF(OR(D3498="""",G3498=""""),"""",IFERROR(LET(
campo,XLOOKUP(TRIM(G3498),ARRAYFORMULA(TRIM('indice columnas'!$A$2:$A$100)),'indice columnas'!$B$2:$B$100,""""),
col,IFERROR(MATCH(campo,Referencia!$A$1:$AZ$1,0),0),
fila,IFERROR(MATCH(TO_TEXT(D3498),ARRAYFOR"&amp;"MULA(TO_TEXT(Referencia!$A$2:$A6238)),0),0),
IF(OR(campo="""",campo=""-""),""NO APLICA"",
IF(col=0,""REVISAR EQUIVALENCIA"",
IF(fila=0,""SKU NO ENCONTRADO"",
LET(
valor,INDEX(Referencia!$A$2:$AZ6238,fila,col),
IF(TRIM(TO_TEXT(valor))=TRIM(TO_TEXT(I3498)),"&amp;"
""OK"",
""NO COINCIDE. Valor verdadero: ""&amp;IF(valor="""",""[VACÍO]"",TO_TEXT(valor))
)
))))
),""ERROR EN FÓRMULA""))"),"OK")</f>
        <v>OK</v>
      </c>
    </row>
    <row r="3499">
      <c r="A3499" s="83" t="s">
        <v>4896</v>
      </c>
      <c r="B3499" s="83" t="s">
        <v>4897</v>
      </c>
      <c r="C3499" s="81" t="s">
        <v>4086</v>
      </c>
      <c r="D3499" s="83" t="s">
        <v>4223</v>
      </c>
      <c r="E3499" s="81" t="s">
        <v>854</v>
      </c>
      <c r="F3499" s="81">
        <v>149.0</v>
      </c>
      <c r="G3499" s="81" t="s">
        <v>3</v>
      </c>
      <c r="H3499" s="81" t="s">
        <v>224</v>
      </c>
      <c r="I3499" s="81" t="s">
        <v>344</v>
      </c>
      <c r="J3499" s="81" t="s">
        <v>224</v>
      </c>
      <c r="K3499" s="81" t="str">
        <f>IFERROR(__xludf.DUMMYFUNCTION("IF(OR(D3499="""",G3499=""""),"""",IFERROR(LET(
campo,XLOOKUP(TRIM(G3499),ARRAYFORMULA(TRIM('indice columnas'!$A$2:$A$100)),'indice columnas'!$B$2:$B$100,""""),
col,IFERROR(MATCH(campo,Referencia!$A$1:$AZ$1,0),0),
fila,IFERROR(MATCH(TO_TEXT(D3499),ARRAYFOR"&amp;"MULA(TO_TEXT(Referencia!$A$2:$A6238)),0),0),
IF(OR(campo="""",campo=""-""),""NO APLICA"",
IF(col=0,""REVISAR EQUIVALENCIA"",
IF(fila=0,""SKU NO ENCONTRADO"",
LET(
valor,INDEX(Referencia!$A$2:$AZ6238,fila,col),
IF(TRIM(TO_TEXT(valor))=TRIM(TO_TEXT(I3499)),"&amp;"
""OK"",
""NO COINCIDE. Valor verdadero: ""&amp;IF(valor="""",""[VACÍO]"",TO_TEXT(valor))
)
))))
),""ERROR EN FÓRMULA""))"),"OK")</f>
        <v>OK</v>
      </c>
    </row>
    <row r="3500">
      <c r="A3500" s="83" t="s">
        <v>4896</v>
      </c>
      <c r="B3500" s="83" t="s">
        <v>4897</v>
      </c>
      <c r="C3500" s="81" t="s">
        <v>4086</v>
      </c>
      <c r="D3500" s="83" t="s">
        <v>4223</v>
      </c>
      <c r="E3500" s="81" t="s">
        <v>854</v>
      </c>
      <c r="F3500" s="81">
        <v>149.0</v>
      </c>
      <c r="G3500" s="81" t="s">
        <v>2</v>
      </c>
      <c r="H3500" s="81" t="s">
        <v>224</v>
      </c>
      <c r="I3500" s="81" t="s">
        <v>213</v>
      </c>
      <c r="J3500" s="81" t="s">
        <v>224</v>
      </c>
      <c r="K3500" s="81" t="str">
        <f>IFERROR(__xludf.DUMMYFUNCTION("IF(OR(D3500="""",G3500=""""),"""",IFERROR(LET(
campo,XLOOKUP(TRIM(G3500),ARRAYFORMULA(TRIM('indice columnas'!$A$2:$A$100)),'indice columnas'!$B$2:$B$100,""""),
col,IFERROR(MATCH(campo,Referencia!$A$1:$AZ$1,0),0),
fila,IFERROR(MATCH(TO_TEXT(D3500),ARRAYFOR"&amp;"MULA(TO_TEXT(Referencia!$A$2:$A6238)),0),0),
IF(OR(campo="""",campo=""-""),""NO APLICA"",
IF(col=0,""REVISAR EQUIVALENCIA"",
IF(fila=0,""SKU NO ENCONTRADO"",
LET(
valor,INDEX(Referencia!$A$2:$AZ6238,fila,col),
IF(TRIM(TO_TEXT(valor))=TRIM(TO_TEXT(I3500)),"&amp;"
""OK"",
""NO COINCIDE. Valor verdadero: ""&amp;IF(valor="""",""[VACÍO]"",TO_TEXT(valor))
)
))))
),""ERROR EN FÓRMULA""))"),"OK")</f>
        <v>OK</v>
      </c>
    </row>
    <row r="3501">
      <c r="A3501" s="83" t="s">
        <v>4896</v>
      </c>
      <c r="B3501" s="83" t="s">
        <v>4897</v>
      </c>
      <c r="C3501" s="81" t="s">
        <v>4086</v>
      </c>
      <c r="D3501" s="83" t="s">
        <v>4223</v>
      </c>
      <c r="E3501" s="81" t="s">
        <v>854</v>
      </c>
      <c r="F3501" s="81">
        <v>149.0</v>
      </c>
      <c r="G3501" s="81" t="s">
        <v>1</v>
      </c>
      <c r="H3501" s="81" t="s">
        <v>224</v>
      </c>
      <c r="I3501" s="81" t="s">
        <v>717</v>
      </c>
      <c r="J3501" s="81" t="s">
        <v>224</v>
      </c>
      <c r="K3501" s="81" t="str">
        <f>IFERROR(__xludf.DUMMYFUNCTION("IF(OR(D3501="""",G3501=""""),"""",IFERROR(LET(
campo,XLOOKUP(TRIM(G3501),ARRAYFORMULA(TRIM('indice columnas'!$A$2:$A$100)),'indice columnas'!$B$2:$B$100,""""),
col,IFERROR(MATCH(campo,Referencia!$A$1:$AZ$1,0),0),
fila,IFERROR(MATCH(TO_TEXT(D3501),ARRAYFOR"&amp;"MULA(TO_TEXT(Referencia!$A$2:$A6238)),0),0),
IF(OR(campo="""",campo=""-""),""NO APLICA"",
IF(col=0,""REVISAR EQUIVALENCIA"",
IF(fila=0,""SKU NO ENCONTRADO"",
LET(
valor,INDEX(Referencia!$A$2:$AZ6238,fila,col),
IF(TRIM(TO_TEXT(valor))=TRIM(TO_TEXT(I3501)),"&amp;"
""OK"",
""NO COINCIDE. Valor verdadero: ""&amp;IF(valor="""",""[VACÍO]"",TO_TEXT(valor))
)
))))
),""ERROR EN FÓRMULA""))"),"OK")</f>
        <v>OK</v>
      </c>
    </row>
    <row r="3502">
      <c r="A3502" s="83" t="s">
        <v>4896</v>
      </c>
      <c r="B3502" s="83" t="s">
        <v>4897</v>
      </c>
      <c r="C3502" s="81" t="s">
        <v>4086</v>
      </c>
      <c r="D3502" s="83" t="s">
        <v>4224</v>
      </c>
      <c r="E3502" s="81" t="s">
        <v>861</v>
      </c>
      <c r="F3502" s="81">
        <v>150.0</v>
      </c>
      <c r="G3502" s="81" t="s">
        <v>3</v>
      </c>
      <c r="H3502" s="81" t="s">
        <v>224</v>
      </c>
      <c r="I3502" s="81" t="s">
        <v>344</v>
      </c>
      <c r="J3502" s="81" t="s">
        <v>224</v>
      </c>
      <c r="K3502" s="81" t="str">
        <f>IFERROR(__xludf.DUMMYFUNCTION("IF(OR(D3502="""",G3502=""""),"""",IFERROR(LET(
campo,XLOOKUP(TRIM(G3502),ARRAYFORMULA(TRIM('indice columnas'!$A$2:$A$100)),'indice columnas'!$B$2:$B$100,""""),
col,IFERROR(MATCH(campo,Referencia!$A$1:$AZ$1,0),0),
fila,IFERROR(MATCH(TO_TEXT(D3502),ARRAYFOR"&amp;"MULA(TO_TEXT(Referencia!$A$2:$A6238)),0),0),
IF(OR(campo="""",campo=""-""),""NO APLICA"",
IF(col=0,""REVISAR EQUIVALENCIA"",
IF(fila=0,""SKU NO ENCONTRADO"",
LET(
valor,INDEX(Referencia!$A$2:$AZ6238,fila,col),
IF(TRIM(TO_TEXT(valor))=TRIM(TO_TEXT(I3502)),"&amp;"
""OK"",
""NO COINCIDE. Valor verdadero: ""&amp;IF(valor="""",""[VACÍO]"",TO_TEXT(valor))
)
))))
),""ERROR EN FÓRMULA""))"),"OK")</f>
        <v>OK</v>
      </c>
    </row>
    <row r="3503">
      <c r="A3503" s="83" t="s">
        <v>4896</v>
      </c>
      <c r="B3503" s="83" t="s">
        <v>4897</v>
      </c>
      <c r="C3503" s="81" t="s">
        <v>4086</v>
      </c>
      <c r="D3503" s="83" t="s">
        <v>4224</v>
      </c>
      <c r="E3503" s="81" t="s">
        <v>861</v>
      </c>
      <c r="F3503" s="81">
        <v>150.0</v>
      </c>
      <c r="G3503" s="81" t="s">
        <v>2</v>
      </c>
      <c r="H3503" s="81" t="s">
        <v>224</v>
      </c>
      <c r="I3503" s="81" t="s">
        <v>213</v>
      </c>
      <c r="J3503" s="81" t="s">
        <v>224</v>
      </c>
      <c r="K3503" s="81" t="str">
        <f>IFERROR(__xludf.DUMMYFUNCTION("IF(OR(D3503="""",G3503=""""),"""",IFERROR(LET(
campo,XLOOKUP(TRIM(G3503),ARRAYFORMULA(TRIM('indice columnas'!$A$2:$A$100)),'indice columnas'!$B$2:$B$100,""""),
col,IFERROR(MATCH(campo,Referencia!$A$1:$AZ$1,0),0),
fila,IFERROR(MATCH(TO_TEXT(D3503),ARRAYFOR"&amp;"MULA(TO_TEXT(Referencia!$A$2:$A6238)),0),0),
IF(OR(campo="""",campo=""-""),""NO APLICA"",
IF(col=0,""REVISAR EQUIVALENCIA"",
IF(fila=0,""SKU NO ENCONTRADO"",
LET(
valor,INDEX(Referencia!$A$2:$AZ6238,fila,col),
IF(TRIM(TO_TEXT(valor))=TRIM(TO_TEXT(I3503)),"&amp;"
""OK"",
""NO COINCIDE. Valor verdadero: ""&amp;IF(valor="""",""[VACÍO]"",TO_TEXT(valor))
)
))))
),""ERROR EN FÓRMULA""))"),"OK")</f>
        <v>OK</v>
      </c>
    </row>
    <row r="3504">
      <c r="A3504" s="83" t="s">
        <v>4896</v>
      </c>
      <c r="B3504" s="83" t="s">
        <v>4897</v>
      </c>
      <c r="C3504" s="81" t="s">
        <v>4086</v>
      </c>
      <c r="D3504" s="83" t="s">
        <v>4224</v>
      </c>
      <c r="E3504" s="81" t="s">
        <v>861</v>
      </c>
      <c r="F3504" s="81">
        <v>150.0</v>
      </c>
      <c r="G3504" s="81" t="s">
        <v>1</v>
      </c>
      <c r="H3504" s="81" t="s">
        <v>224</v>
      </c>
      <c r="I3504" s="81" t="s">
        <v>717</v>
      </c>
      <c r="J3504" s="81" t="s">
        <v>224</v>
      </c>
      <c r="K3504" s="81" t="str">
        <f>IFERROR(__xludf.DUMMYFUNCTION("IF(OR(D3504="""",G3504=""""),"""",IFERROR(LET(
campo,XLOOKUP(TRIM(G3504),ARRAYFORMULA(TRIM('indice columnas'!$A$2:$A$100)),'indice columnas'!$B$2:$B$100,""""),
col,IFERROR(MATCH(campo,Referencia!$A$1:$AZ$1,0),0),
fila,IFERROR(MATCH(TO_TEXT(D3504),ARRAYFOR"&amp;"MULA(TO_TEXT(Referencia!$A$2:$A6238)),0),0),
IF(OR(campo="""",campo=""-""),""NO APLICA"",
IF(col=0,""REVISAR EQUIVALENCIA"",
IF(fila=0,""SKU NO ENCONTRADO"",
LET(
valor,INDEX(Referencia!$A$2:$AZ6238,fila,col),
IF(TRIM(TO_TEXT(valor))=TRIM(TO_TEXT(I3504)),"&amp;"
""OK"",
""NO COINCIDE. Valor verdadero: ""&amp;IF(valor="""",""[VACÍO]"",TO_TEXT(valor))
)
))))
),""ERROR EN FÓRMULA""))"),"OK")</f>
        <v>OK</v>
      </c>
    </row>
    <row r="3505">
      <c r="A3505" s="83" t="s">
        <v>4896</v>
      </c>
      <c r="B3505" s="83" t="s">
        <v>4897</v>
      </c>
      <c r="C3505" s="81" t="s">
        <v>4086</v>
      </c>
      <c r="D3505" s="83" t="s">
        <v>4225</v>
      </c>
      <c r="E3505" s="81" t="s">
        <v>864</v>
      </c>
      <c r="F3505" s="81">
        <v>151.0</v>
      </c>
      <c r="G3505" s="81" t="s">
        <v>3</v>
      </c>
      <c r="H3505" s="81" t="s">
        <v>224</v>
      </c>
      <c r="I3505" s="81" t="s">
        <v>51</v>
      </c>
      <c r="J3505" s="81" t="s">
        <v>224</v>
      </c>
      <c r="K3505" s="81" t="str">
        <f>IFERROR(__xludf.DUMMYFUNCTION("IF(OR(D3505="""",G3505=""""),"""",IFERROR(LET(
campo,XLOOKUP(TRIM(G3505),ARRAYFORMULA(TRIM('indice columnas'!$A$2:$A$100)),'indice columnas'!$B$2:$B$100,""""),
col,IFERROR(MATCH(campo,Referencia!$A$1:$AZ$1,0),0),
fila,IFERROR(MATCH(TO_TEXT(D3505),ARRAYFOR"&amp;"MULA(TO_TEXT(Referencia!$A$2:$A6238)),0),0),
IF(OR(campo="""",campo=""-""),""NO APLICA"",
IF(col=0,""REVISAR EQUIVALENCIA"",
IF(fila=0,""SKU NO ENCONTRADO"",
LET(
valor,INDEX(Referencia!$A$2:$AZ6238,fila,col),
IF(TRIM(TO_TEXT(valor))=TRIM(TO_TEXT(I3505)),"&amp;"
""OK"",
""NO COINCIDE. Valor verdadero: ""&amp;IF(valor="""",""[VACÍO]"",TO_TEXT(valor))
)
))))
),""ERROR EN FÓRMULA""))"),"OK")</f>
        <v>OK</v>
      </c>
    </row>
    <row r="3506">
      <c r="A3506" s="83" t="s">
        <v>4896</v>
      </c>
      <c r="B3506" s="83" t="s">
        <v>4897</v>
      </c>
      <c r="C3506" s="81" t="s">
        <v>4086</v>
      </c>
      <c r="D3506" s="83" t="s">
        <v>4225</v>
      </c>
      <c r="E3506" s="81" t="s">
        <v>864</v>
      </c>
      <c r="F3506" s="81">
        <v>151.0</v>
      </c>
      <c r="G3506" s="81" t="s">
        <v>2</v>
      </c>
      <c r="H3506" s="81" t="s">
        <v>224</v>
      </c>
      <c r="I3506" s="81" t="s">
        <v>213</v>
      </c>
      <c r="J3506" s="81" t="s">
        <v>224</v>
      </c>
      <c r="K3506" s="81" t="str">
        <f>IFERROR(__xludf.DUMMYFUNCTION("IF(OR(D3506="""",G3506=""""),"""",IFERROR(LET(
campo,XLOOKUP(TRIM(G3506),ARRAYFORMULA(TRIM('indice columnas'!$A$2:$A$100)),'indice columnas'!$B$2:$B$100,""""),
col,IFERROR(MATCH(campo,Referencia!$A$1:$AZ$1,0),0),
fila,IFERROR(MATCH(TO_TEXT(D3506),ARRAYFOR"&amp;"MULA(TO_TEXT(Referencia!$A$2:$A6238)),0),0),
IF(OR(campo="""",campo=""-""),""NO APLICA"",
IF(col=0,""REVISAR EQUIVALENCIA"",
IF(fila=0,""SKU NO ENCONTRADO"",
LET(
valor,INDEX(Referencia!$A$2:$AZ6238,fila,col),
IF(TRIM(TO_TEXT(valor))=TRIM(TO_TEXT(I3506)),"&amp;"
""OK"",
""NO COINCIDE. Valor verdadero: ""&amp;IF(valor="""",""[VACÍO]"",TO_TEXT(valor))
)
))))
),""ERROR EN FÓRMULA""))"),"OK")</f>
        <v>OK</v>
      </c>
    </row>
    <row r="3507">
      <c r="A3507" s="83" t="s">
        <v>4896</v>
      </c>
      <c r="B3507" s="83" t="s">
        <v>4897</v>
      </c>
      <c r="C3507" s="81" t="s">
        <v>4086</v>
      </c>
      <c r="D3507" s="83" t="s">
        <v>4226</v>
      </c>
      <c r="E3507" s="81" t="s">
        <v>871</v>
      </c>
      <c r="F3507" s="81">
        <v>152.0</v>
      </c>
      <c r="G3507" s="81" t="s">
        <v>3</v>
      </c>
      <c r="H3507" s="81" t="s">
        <v>224</v>
      </c>
      <c r="I3507" s="81" t="s">
        <v>51</v>
      </c>
      <c r="J3507" s="81" t="s">
        <v>224</v>
      </c>
      <c r="K3507" s="81" t="str">
        <f>IFERROR(__xludf.DUMMYFUNCTION("IF(OR(D3507="""",G3507=""""),"""",IFERROR(LET(
campo,XLOOKUP(TRIM(G3507),ARRAYFORMULA(TRIM('indice columnas'!$A$2:$A$100)),'indice columnas'!$B$2:$B$100,""""),
col,IFERROR(MATCH(campo,Referencia!$A$1:$AZ$1,0),0),
fila,IFERROR(MATCH(TO_TEXT(D3507),ARRAYFOR"&amp;"MULA(TO_TEXT(Referencia!$A$2:$A6238)),0),0),
IF(OR(campo="""",campo=""-""),""NO APLICA"",
IF(col=0,""REVISAR EQUIVALENCIA"",
IF(fila=0,""SKU NO ENCONTRADO"",
LET(
valor,INDEX(Referencia!$A$2:$AZ6238,fila,col),
IF(TRIM(TO_TEXT(valor))=TRIM(TO_TEXT(I3507)),"&amp;"
""OK"",
""NO COINCIDE. Valor verdadero: ""&amp;IF(valor="""",""[VACÍO]"",TO_TEXT(valor))
)
))))
),""ERROR EN FÓRMULA""))"),"OK")</f>
        <v>OK</v>
      </c>
    </row>
    <row r="3508">
      <c r="A3508" s="83" t="s">
        <v>4896</v>
      </c>
      <c r="B3508" s="83" t="s">
        <v>4897</v>
      </c>
      <c r="C3508" s="81" t="s">
        <v>4086</v>
      </c>
      <c r="D3508" s="83" t="s">
        <v>4226</v>
      </c>
      <c r="E3508" s="81" t="s">
        <v>871</v>
      </c>
      <c r="F3508" s="81">
        <v>152.0</v>
      </c>
      <c r="G3508" s="81" t="s">
        <v>2</v>
      </c>
      <c r="H3508" s="81" t="s">
        <v>224</v>
      </c>
      <c r="I3508" s="81" t="s">
        <v>213</v>
      </c>
      <c r="J3508" s="81" t="s">
        <v>224</v>
      </c>
      <c r="K3508" s="81" t="str">
        <f>IFERROR(__xludf.DUMMYFUNCTION("IF(OR(D3508="""",G3508=""""),"""",IFERROR(LET(
campo,XLOOKUP(TRIM(G3508),ARRAYFORMULA(TRIM('indice columnas'!$A$2:$A$100)),'indice columnas'!$B$2:$B$100,""""),
col,IFERROR(MATCH(campo,Referencia!$A$1:$AZ$1,0),0),
fila,IFERROR(MATCH(TO_TEXT(D3508),ARRAYFOR"&amp;"MULA(TO_TEXT(Referencia!$A$2:$A6238)),0),0),
IF(OR(campo="""",campo=""-""),""NO APLICA"",
IF(col=0,""REVISAR EQUIVALENCIA"",
IF(fila=0,""SKU NO ENCONTRADO"",
LET(
valor,INDEX(Referencia!$A$2:$AZ6238,fila,col),
IF(TRIM(TO_TEXT(valor))=TRIM(TO_TEXT(I3508)),"&amp;"
""OK"",
""NO COINCIDE. Valor verdadero: ""&amp;IF(valor="""",""[VACÍO]"",TO_TEXT(valor))
)
))))
),""ERROR EN FÓRMULA""))"),"OK")</f>
        <v>OK</v>
      </c>
    </row>
    <row r="3509">
      <c r="A3509" s="83" t="s">
        <v>4896</v>
      </c>
      <c r="B3509" s="83" t="s">
        <v>4897</v>
      </c>
      <c r="C3509" s="81" t="s">
        <v>4086</v>
      </c>
      <c r="D3509" s="83" t="s">
        <v>4227</v>
      </c>
      <c r="E3509" s="81" t="s">
        <v>874</v>
      </c>
      <c r="F3509" s="81">
        <v>153.0</v>
      </c>
      <c r="G3509" s="81" t="s">
        <v>3</v>
      </c>
      <c r="H3509" s="81" t="s">
        <v>224</v>
      </c>
      <c r="I3509" s="81" t="s">
        <v>344</v>
      </c>
      <c r="J3509" s="81" t="s">
        <v>224</v>
      </c>
      <c r="K3509" s="81" t="str">
        <f>IFERROR(__xludf.DUMMYFUNCTION("IF(OR(D3509="""",G3509=""""),"""",IFERROR(LET(
campo,XLOOKUP(TRIM(G3509),ARRAYFORMULA(TRIM('indice columnas'!$A$2:$A$100)),'indice columnas'!$B$2:$B$100,""""),
col,IFERROR(MATCH(campo,Referencia!$A$1:$AZ$1,0),0),
fila,IFERROR(MATCH(TO_TEXT(D3509),ARRAYFOR"&amp;"MULA(TO_TEXT(Referencia!$A$2:$A6238)),0),0),
IF(OR(campo="""",campo=""-""),""NO APLICA"",
IF(col=0,""REVISAR EQUIVALENCIA"",
IF(fila=0,""SKU NO ENCONTRADO"",
LET(
valor,INDEX(Referencia!$A$2:$AZ6238,fila,col),
IF(TRIM(TO_TEXT(valor))=TRIM(TO_TEXT(I3509)),"&amp;"
""OK"",
""NO COINCIDE. Valor verdadero: ""&amp;IF(valor="""",""[VACÍO]"",TO_TEXT(valor))
)
))))
),""ERROR EN FÓRMULA""))"),"OK")</f>
        <v>OK</v>
      </c>
    </row>
    <row r="3510">
      <c r="A3510" s="83" t="s">
        <v>4896</v>
      </c>
      <c r="B3510" s="83" t="s">
        <v>4897</v>
      </c>
      <c r="C3510" s="81" t="s">
        <v>4086</v>
      </c>
      <c r="D3510" s="83" t="s">
        <v>4227</v>
      </c>
      <c r="E3510" s="81" t="s">
        <v>874</v>
      </c>
      <c r="F3510" s="81">
        <v>153.0</v>
      </c>
      <c r="G3510" s="81" t="s">
        <v>2</v>
      </c>
      <c r="H3510" s="81" t="s">
        <v>224</v>
      </c>
      <c r="I3510" s="81" t="s">
        <v>213</v>
      </c>
      <c r="J3510" s="81" t="s">
        <v>224</v>
      </c>
      <c r="K3510" s="81" t="str">
        <f>IFERROR(__xludf.DUMMYFUNCTION("IF(OR(D3510="""",G3510=""""),"""",IFERROR(LET(
campo,XLOOKUP(TRIM(G3510),ARRAYFORMULA(TRIM('indice columnas'!$A$2:$A$100)),'indice columnas'!$B$2:$B$100,""""),
col,IFERROR(MATCH(campo,Referencia!$A$1:$AZ$1,0),0),
fila,IFERROR(MATCH(TO_TEXT(D3510),ARRAYFOR"&amp;"MULA(TO_TEXT(Referencia!$A$2:$A6238)),0),0),
IF(OR(campo="""",campo=""-""),""NO APLICA"",
IF(col=0,""REVISAR EQUIVALENCIA"",
IF(fila=0,""SKU NO ENCONTRADO"",
LET(
valor,INDEX(Referencia!$A$2:$AZ6238,fila,col),
IF(TRIM(TO_TEXT(valor))=TRIM(TO_TEXT(I3510)),"&amp;"
""OK"",
""NO COINCIDE. Valor verdadero: ""&amp;IF(valor="""",""[VACÍO]"",TO_TEXT(valor))
)
))))
),""ERROR EN FÓRMULA""))"),"OK")</f>
        <v>OK</v>
      </c>
    </row>
    <row r="3511">
      <c r="A3511" s="83" t="s">
        <v>4896</v>
      </c>
      <c r="B3511" s="83" t="s">
        <v>4897</v>
      </c>
      <c r="C3511" s="81" t="s">
        <v>4086</v>
      </c>
      <c r="D3511" s="83" t="s">
        <v>4228</v>
      </c>
      <c r="E3511" s="81" t="s">
        <v>881</v>
      </c>
      <c r="F3511" s="81">
        <v>154.0</v>
      </c>
      <c r="G3511" s="81" t="s">
        <v>3</v>
      </c>
      <c r="H3511" s="81" t="s">
        <v>224</v>
      </c>
      <c r="I3511" s="81" t="s">
        <v>344</v>
      </c>
      <c r="J3511" s="81" t="s">
        <v>224</v>
      </c>
      <c r="K3511" s="81" t="str">
        <f>IFERROR(__xludf.DUMMYFUNCTION("IF(OR(D3511="""",G3511=""""),"""",IFERROR(LET(
campo,XLOOKUP(TRIM(G3511),ARRAYFORMULA(TRIM('indice columnas'!$A$2:$A$100)),'indice columnas'!$B$2:$B$100,""""),
col,IFERROR(MATCH(campo,Referencia!$A$1:$AZ$1,0),0),
fila,IFERROR(MATCH(TO_TEXT(D3511),ARRAYFOR"&amp;"MULA(TO_TEXT(Referencia!$A$2:$A6238)),0),0),
IF(OR(campo="""",campo=""-""),""NO APLICA"",
IF(col=0,""REVISAR EQUIVALENCIA"",
IF(fila=0,""SKU NO ENCONTRADO"",
LET(
valor,INDEX(Referencia!$A$2:$AZ6238,fila,col),
IF(TRIM(TO_TEXT(valor))=TRIM(TO_TEXT(I3511)),"&amp;"
""OK"",
""NO COINCIDE. Valor verdadero: ""&amp;IF(valor="""",""[VACÍO]"",TO_TEXT(valor))
)
))))
),""ERROR EN FÓRMULA""))"),"OK")</f>
        <v>OK</v>
      </c>
    </row>
    <row r="3512">
      <c r="A3512" s="83" t="s">
        <v>4896</v>
      </c>
      <c r="B3512" s="83" t="s">
        <v>4897</v>
      </c>
      <c r="C3512" s="81" t="s">
        <v>4086</v>
      </c>
      <c r="D3512" s="83" t="s">
        <v>4228</v>
      </c>
      <c r="E3512" s="81" t="s">
        <v>881</v>
      </c>
      <c r="F3512" s="81">
        <v>154.0</v>
      </c>
      <c r="G3512" s="81" t="s">
        <v>2</v>
      </c>
      <c r="H3512" s="81" t="s">
        <v>224</v>
      </c>
      <c r="I3512" s="81" t="s">
        <v>213</v>
      </c>
      <c r="J3512" s="81" t="s">
        <v>224</v>
      </c>
      <c r="K3512" s="81" t="str">
        <f>IFERROR(__xludf.DUMMYFUNCTION("IF(OR(D3512="""",G3512=""""),"""",IFERROR(LET(
campo,XLOOKUP(TRIM(G3512),ARRAYFORMULA(TRIM('indice columnas'!$A$2:$A$100)),'indice columnas'!$B$2:$B$100,""""),
col,IFERROR(MATCH(campo,Referencia!$A$1:$AZ$1,0),0),
fila,IFERROR(MATCH(TO_TEXT(D3512),ARRAYFOR"&amp;"MULA(TO_TEXT(Referencia!$A$2:$A6238)),0),0),
IF(OR(campo="""",campo=""-""),""NO APLICA"",
IF(col=0,""REVISAR EQUIVALENCIA"",
IF(fila=0,""SKU NO ENCONTRADO"",
LET(
valor,INDEX(Referencia!$A$2:$AZ6238,fila,col),
IF(TRIM(TO_TEXT(valor))=TRIM(TO_TEXT(I3512)),"&amp;"
""OK"",
""NO COINCIDE. Valor verdadero: ""&amp;IF(valor="""",""[VACÍO]"",TO_TEXT(valor))
)
))))
),""ERROR EN FÓRMULA""))"),"OK")</f>
        <v>OK</v>
      </c>
    </row>
    <row r="3513">
      <c r="A3513" s="83" t="s">
        <v>4896</v>
      </c>
      <c r="B3513" s="83" t="s">
        <v>4897</v>
      </c>
      <c r="C3513" s="81" t="s">
        <v>4086</v>
      </c>
      <c r="D3513" s="83" t="s">
        <v>4229</v>
      </c>
      <c r="E3513" s="81" t="s">
        <v>895</v>
      </c>
      <c r="F3513" s="81">
        <v>156.0</v>
      </c>
      <c r="G3513" s="81" t="s">
        <v>3</v>
      </c>
      <c r="H3513" s="81" t="s">
        <v>224</v>
      </c>
      <c r="I3513" s="81" t="s">
        <v>886</v>
      </c>
      <c r="J3513" s="81" t="s">
        <v>224</v>
      </c>
      <c r="K3513" s="81" t="str">
        <f>IFERROR(__xludf.DUMMYFUNCTION("IF(OR(D3513="""",G3513=""""),"""",IFERROR(LET(
campo,XLOOKUP(TRIM(G3513),ARRAYFORMULA(TRIM('indice columnas'!$A$2:$A$100)),'indice columnas'!$B$2:$B$100,""""),
col,IFERROR(MATCH(campo,Referencia!$A$1:$AZ$1,0),0),
fila,IFERROR(MATCH(TO_TEXT(D3513),ARRAYFOR"&amp;"MULA(TO_TEXT(Referencia!$A$2:$A6238)),0),0),
IF(OR(campo="""",campo=""-""),""NO APLICA"",
IF(col=0,""REVISAR EQUIVALENCIA"",
IF(fila=0,""SKU NO ENCONTRADO"",
LET(
valor,INDEX(Referencia!$A$2:$AZ6238,fila,col),
IF(TRIM(TO_TEXT(valor))=TRIM(TO_TEXT(I3513)),"&amp;"
""OK"",
""NO COINCIDE. Valor verdadero: ""&amp;IF(valor="""",""[VACÍO]"",TO_TEXT(valor))
)
))))
),""ERROR EN FÓRMULA""))"),"OK")</f>
        <v>OK</v>
      </c>
    </row>
    <row r="3514">
      <c r="A3514" s="83" t="s">
        <v>4896</v>
      </c>
      <c r="B3514" s="83" t="s">
        <v>4897</v>
      </c>
      <c r="C3514" s="81" t="s">
        <v>4086</v>
      </c>
      <c r="D3514" s="83" t="s">
        <v>4229</v>
      </c>
      <c r="E3514" s="81" t="s">
        <v>895</v>
      </c>
      <c r="F3514" s="81">
        <v>156.0</v>
      </c>
      <c r="G3514" s="81" t="s">
        <v>2</v>
      </c>
      <c r="H3514" s="81" t="s">
        <v>224</v>
      </c>
      <c r="I3514" s="81" t="s">
        <v>885</v>
      </c>
      <c r="J3514" s="81" t="s">
        <v>224</v>
      </c>
      <c r="K3514" s="81" t="str">
        <f>IFERROR(__xludf.DUMMYFUNCTION("IF(OR(D3514="""",G3514=""""),"""",IFERROR(LET(
campo,XLOOKUP(TRIM(G3514),ARRAYFORMULA(TRIM('indice columnas'!$A$2:$A$100)),'indice columnas'!$B$2:$B$100,""""),
col,IFERROR(MATCH(campo,Referencia!$A$1:$AZ$1,0),0),
fila,IFERROR(MATCH(TO_TEXT(D3514),ARRAYFOR"&amp;"MULA(TO_TEXT(Referencia!$A$2:$A6238)),0),0),
IF(OR(campo="""",campo=""-""),""NO APLICA"",
IF(col=0,""REVISAR EQUIVALENCIA"",
IF(fila=0,""SKU NO ENCONTRADO"",
LET(
valor,INDEX(Referencia!$A$2:$AZ6238,fila,col),
IF(TRIM(TO_TEXT(valor))=TRIM(TO_TEXT(I3514)),"&amp;"
""OK"",
""NO COINCIDE. Valor verdadero: ""&amp;IF(valor="""",""[VACÍO]"",TO_TEXT(valor))
)
))))
),""ERROR EN FÓRMULA""))"),"OK")</f>
        <v>OK</v>
      </c>
    </row>
    <row r="3515">
      <c r="A3515" s="83" t="s">
        <v>4896</v>
      </c>
      <c r="B3515" s="83" t="s">
        <v>4897</v>
      </c>
      <c r="C3515" s="81" t="s">
        <v>4086</v>
      </c>
      <c r="D3515" s="83" t="s">
        <v>4229</v>
      </c>
      <c r="E3515" s="81" t="s">
        <v>895</v>
      </c>
      <c r="F3515" s="81">
        <v>156.0</v>
      </c>
      <c r="G3515" s="81" t="s">
        <v>1</v>
      </c>
      <c r="H3515" s="81" t="s">
        <v>224</v>
      </c>
      <c r="I3515" s="81" t="s">
        <v>49</v>
      </c>
      <c r="J3515" s="81" t="s">
        <v>224</v>
      </c>
      <c r="K3515" s="81" t="str">
        <f>IFERROR(__xludf.DUMMYFUNCTION("IF(OR(D3515="""",G3515=""""),"""",IFERROR(LET(
campo,XLOOKUP(TRIM(G3515),ARRAYFORMULA(TRIM('indice columnas'!$A$2:$A$100)),'indice columnas'!$B$2:$B$100,""""),
col,IFERROR(MATCH(campo,Referencia!$A$1:$AZ$1,0),0),
fila,IFERROR(MATCH(TO_TEXT(D3515),ARRAYFOR"&amp;"MULA(TO_TEXT(Referencia!$A$2:$A6238)),0),0),
IF(OR(campo="""",campo=""-""),""NO APLICA"",
IF(col=0,""REVISAR EQUIVALENCIA"",
IF(fila=0,""SKU NO ENCONTRADO"",
LET(
valor,INDEX(Referencia!$A$2:$AZ6238,fila,col),
IF(TRIM(TO_TEXT(valor))=TRIM(TO_TEXT(I3515)),"&amp;"
""OK"",
""NO COINCIDE. Valor verdadero: ""&amp;IF(valor="""",""[VACÍO]"",TO_TEXT(valor))
)
))))
),""ERROR EN FÓRMULA""))"),"OK")</f>
        <v>OK</v>
      </c>
    </row>
    <row r="3516">
      <c r="A3516" s="83" t="s">
        <v>4896</v>
      </c>
      <c r="B3516" s="83" t="s">
        <v>4897</v>
      </c>
      <c r="C3516" s="81" t="s">
        <v>4086</v>
      </c>
      <c r="D3516" s="83" t="s">
        <v>4231</v>
      </c>
      <c r="E3516" s="81" t="s">
        <v>897</v>
      </c>
      <c r="F3516" s="81">
        <v>157.0</v>
      </c>
      <c r="G3516" s="81" t="s">
        <v>3</v>
      </c>
      <c r="H3516" s="81" t="s">
        <v>224</v>
      </c>
      <c r="I3516" s="81" t="s">
        <v>886</v>
      </c>
      <c r="J3516" s="81" t="s">
        <v>224</v>
      </c>
      <c r="K3516" s="81" t="str">
        <f>IFERROR(__xludf.DUMMYFUNCTION("IF(OR(D3516="""",G3516=""""),"""",IFERROR(LET(
campo,XLOOKUP(TRIM(G3516),ARRAYFORMULA(TRIM('indice columnas'!$A$2:$A$100)),'indice columnas'!$B$2:$B$100,""""),
col,IFERROR(MATCH(campo,Referencia!$A$1:$AZ$1,0),0),
fila,IFERROR(MATCH(TO_TEXT(D3516),ARRAYFOR"&amp;"MULA(TO_TEXT(Referencia!$A$2:$A6238)),0),0),
IF(OR(campo="""",campo=""-""),""NO APLICA"",
IF(col=0,""REVISAR EQUIVALENCIA"",
IF(fila=0,""SKU NO ENCONTRADO"",
LET(
valor,INDEX(Referencia!$A$2:$AZ6238,fila,col),
IF(TRIM(TO_TEXT(valor))=TRIM(TO_TEXT(I3516)),"&amp;"
""OK"",
""NO COINCIDE. Valor verdadero: ""&amp;IF(valor="""",""[VACÍO]"",TO_TEXT(valor))
)
))))
),""ERROR EN FÓRMULA""))"),"OK")</f>
        <v>OK</v>
      </c>
    </row>
    <row r="3517">
      <c r="A3517" s="83" t="s">
        <v>4896</v>
      </c>
      <c r="B3517" s="83" t="s">
        <v>4897</v>
      </c>
      <c r="C3517" s="81" t="s">
        <v>4086</v>
      </c>
      <c r="D3517" s="83" t="s">
        <v>4231</v>
      </c>
      <c r="E3517" s="81" t="s">
        <v>897</v>
      </c>
      <c r="F3517" s="81">
        <v>157.0</v>
      </c>
      <c r="G3517" s="81" t="s">
        <v>2</v>
      </c>
      <c r="H3517" s="81" t="s">
        <v>224</v>
      </c>
      <c r="I3517" s="81" t="s">
        <v>885</v>
      </c>
      <c r="J3517" s="81" t="s">
        <v>224</v>
      </c>
      <c r="K3517" s="81" t="str">
        <f>IFERROR(__xludf.DUMMYFUNCTION("IF(OR(D3517="""",G3517=""""),"""",IFERROR(LET(
campo,XLOOKUP(TRIM(G3517),ARRAYFORMULA(TRIM('indice columnas'!$A$2:$A$100)),'indice columnas'!$B$2:$B$100,""""),
col,IFERROR(MATCH(campo,Referencia!$A$1:$AZ$1,0),0),
fila,IFERROR(MATCH(TO_TEXT(D3517),ARRAYFOR"&amp;"MULA(TO_TEXT(Referencia!$A$2:$A6238)),0),0),
IF(OR(campo="""",campo=""-""),""NO APLICA"",
IF(col=0,""REVISAR EQUIVALENCIA"",
IF(fila=0,""SKU NO ENCONTRADO"",
LET(
valor,INDEX(Referencia!$A$2:$AZ6238,fila,col),
IF(TRIM(TO_TEXT(valor))=TRIM(TO_TEXT(I3517)),"&amp;"
""OK"",
""NO COINCIDE. Valor verdadero: ""&amp;IF(valor="""",""[VACÍO]"",TO_TEXT(valor))
)
))))
),""ERROR EN FÓRMULA""))"),"OK")</f>
        <v>OK</v>
      </c>
    </row>
    <row r="3518">
      <c r="A3518" s="83" t="s">
        <v>4896</v>
      </c>
      <c r="B3518" s="83" t="s">
        <v>4897</v>
      </c>
      <c r="C3518" s="81" t="s">
        <v>4086</v>
      </c>
      <c r="D3518" s="83" t="s">
        <v>4231</v>
      </c>
      <c r="E3518" s="81" t="s">
        <v>897</v>
      </c>
      <c r="F3518" s="81">
        <v>157.0</v>
      </c>
      <c r="G3518" s="81" t="s">
        <v>1</v>
      </c>
      <c r="H3518" s="81" t="s">
        <v>224</v>
      </c>
      <c r="I3518" s="81" t="s">
        <v>49</v>
      </c>
      <c r="J3518" s="81" t="s">
        <v>224</v>
      </c>
      <c r="K3518" s="81" t="str">
        <f>IFERROR(__xludf.DUMMYFUNCTION("IF(OR(D3518="""",G3518=""""),"""",IFERROR(LET(
campo,XLOOKUP(TRIM(G3518),ARRAYFORMULA(TRIM('indice columnas'!$A$2:$A$100)),'indice columnas'!$B$2:$B$100,""""),
col,IFERROR(MATCH(campo,Referencia!$A$1:$AZ$1,0),0),
fila,IFERROR(MATCH(TO_TEXT(D3518),ARRAYFOR"&amp;"MULA(TO_TEXT(Referencia!$A$2:$A6238)),0),0),
IF(OR(campo="""",campo=""-""),""NO APLICA"",
IF(col=0,""REVISAR EQUIVALENCIA"",
IF(fila=0,""SKU NO ENCONTRADO"",
LET(
valor,INDEX(Referencia!$A$2:$AZ6238,fila,col),
IF(TRIM(TO_TEXT(valor))=TRIM(TO_TEXT(I3518)),"&amp;"
""OK"",
""NO COINCIDE. Valor verdadero: ""&amp;IF(valor="""",""[VACÍO]"",TO_TEXT(valor))
)
))))
),""ERROR EN FÓRMULA""))"),"OK")</f>
        <v>OK</v>
      </c>
    </row>
    <row r="3519">
      <c r="A3519" s="83" t="s">
        <v>4896</v>
      </c>
      <c r="B3519" s="83" t="s">
        <v>4897</v>
      </c>
      <c r="C3519" s="81" t="s">
        <v>4086</v>
      </c>
      <c r="D3519" s="83" t="s">
        <v>4232</v>
      </c>
      <c r="E3519" s="81" t="s">
        <v>899</v>
      </c>
      <c r="F3519" s="81">
        <v>158.0</v>
      </c>
      <c r="G3519" s="81" t="s">
        <v>3</v>
      </c>
      <c r="H3519" s="81" t="s">
        <v>224</v>
      </c>
      <c r="I3519" s="81" t="s">
        <v>886</v>
      </c>
      <c r="J3519" s="81" t="s">
        <v>224</v>
      </c>
      <c r="K3519" s="81" t="str">
        <f>IFERROR(__xludf.DUMMYFUNCTION("IF(OR(D3519="""",G3519=""""),"""",IFERROR(LET(
campo,XLOOKUP(TRIM(G3519),ARRAYFORMULA(TRIM('indice columnas'!$A$2:$A$100)),'indice columnas'!$B$2:$B$100,""""),
col,IFERROR(MATCH(campo,Referencia!$A$1:$AZ$1,0),0),
fila,IFERROR(MATCH(TO_TEXT(D3519),ARRAYFOR"&amp;"MULA(TO_TEXT(Referencia!$A$2:$A6238)),0),0),
IF(OR(campo="""",campo=""-""),""NO APLICA"",
IF(col=0,""REVISAR EQUIVALENCIA"",
IF(fila=0,""SKU NO ENCONTRADO"",
LET(
valor,INDEX(Referencia!$A$2:$AZ6238,fila,col),
IF(TRIM(TO_TEXT(valor))=TRIM(TO_TEXT(I3519)),"&amp;"
""OK"",
""NO COINCIDE. Valor verdadero: ""&amp;IF(valor="""",""[VACÍO]"",TO_TEXT(valor))
)
))))
),""ERROR EN FÓRMULA""))"),"OK")</f>
        <v>OK</v>
      </c>
    </row>
    <row r="3520">
      <c r="A3520" s="83" t="s">
        <v>4896</v>
      </c>
      <c r="B3520" s="83" t="s">
        <v>4897</v>
      </c>
      <c r="C3520" s="81" t="s">
        <v>4086</v>
      </c>
      <c r="D3520" s="83" t="s">
        <v>4232</v>
      </c>
      <c r="E3520" s="81" t="s">
        <v>899</v>
      </c>
      <c r="F3520" s="81">
        <v>158.0</v>
      </c>
      <c r="G3520" s="81" t="s">
        <v>2</v>
      </c>
      <c r="H3520" s="81" t="s">
        <v>224</v>
      </c>
      <c r="I3520" s="81" t="s">
        <v>885</v>
      </c>
      <c r="J3520" s="81" t="s">
        <v>224</v>
      </c>
      <c r="K3520" s="81" t="str">
        <f>IFERROR(__xludf.DUMMYFUNCTION("IF(OR(D3520="""",G3520=""""),"""",IFERROR(LET(
campo,XLOOKUP(TRIM(G3520),ARRAYFORMULA(TRIM('indice columnas'!$A$2:$A$100)),'indice columnas'!$B$2:$B$100,""""),
col,IFERROR(MATCH(campo,Referencia!$A$1:$AZ$1,0),0),
fila,IFERROR(MATCH(TO_TEXT(D3520),ARRAYFOR"&amp;"MULA(TO_TEXT(Referencia!$A$2:$A6238)),0),0),
IF(OR(campo="""",campo=""-""),""NO APLICA"",
IF(col=0,""REVISAR EQUIVALENCIA"",
IF(fila=0,""SKU NO ENCONTRADO"",
LET(
valor,INDEX(Referencia!$A$2:$AZ6238,fila,col),
IF(TRIM(TO_TEXT(valor))=TRIM(TO_TEXT(I3520)),"&amp;"
""OK"",
""NO COINCIDE. Valor verdadero: ""&amp;IF(valor="""",""[VACÍO]"",TO_TEXT(valor))
)
))))
),""ERROR EN FÓRMULA""))"),"OK")</f>
        <v>OK</v>
      </c>
    </row>
    <row r="3521">
      <c r="A3521" s="83" t="s">
        <v>4896</v>
      </c>
      <c r="B3521" s="83" t="s">
        <v>4897</v>
      </c>
      <c r="C3521" s="81" t="s">
        <v>4086</v>
      </c>
      <c r="D3521" s="83" t="s">
        <v>4232</v>
      </c>
      <c r="E3521" s="81" t="s">
        <v>899</v>
      </c>
      <c r="F3521" s="81">
        <v>158.0</v>
      </c>
      <c r="G3521" s="81" t="s">
        <v>1</v>
      </c>
      <c r="H3521" s="81" t="s">
        <v>224</v>
      </c>
      <c r="I3521" s="81" t="s">
        <v>49</v>
      </c>
      <c r="J3521" s="81" t="s">
        <v>224</v>
      </c>
      <c r="K3521" s="81" t="str">
        <f>IFERROR(__xludf.DUMMYFUNCTION("IF(OR(D3521="""",G3521=""""),"""",IFERROR(LET(
campo,XLOOKUP(TRIM(G3521),ARRAYFORMULA(TRIM('indice columnas'!$A$2:$A$100)),'indice columnas'!$B$2:$B$100,""""),
col,IFERROR(MATCH(campo,Referencia!$A$1:$AZ$1,0),0),
fila,IFERROR(MATCH(TO_TEXT(D3521),ARRAYFOR"&amp;"MULA(TO_TEXT(Referencia!$A$2:$A6238)),0),0),
IF(OR(campo="""",campo=""-""),""NO APLICA"",
IF(col=0,""REVISAR EQUIVALENCIA"",
IF(fila=0,""SKU NO ENCONTRADO"",
LET(
valor,INDEX(Referencia!$A$2:$AZ6238,fila,col),
IF(TRIM(TO_TEXT(valor))=TRIM(TO_TEXT(I3521)),"&amp;"
""OK"",
""NO COINCIDE. Valor verdadero: ""&amp;IF(valor="""",""[VACÍO]"",TO_TEXT(valor))
)
))))
),""ERROR EN FÓRMULA""))"),"OK")</f>
        <v>OK</v>
      </c>
    </row>
    <row r="3522">
      <c r="A3522" s="83" t="s">
        <v>4896</v>
      </c>
      <c r="B3522" s="83" t="s">
        <v>4897</v>
      </c>
      <c r="C3522" s="81" t="s">
        <v>4086</v>
      </c>
      <c r="D3522" s="83" t="s">
        <v>4233</v>
      </c>
      <c r="E3522" s="81" t="s">
        <v>902</v>
      </c>
      <c r="F3522" s="81">
        <v>159.0</v>
      </c>
      <c r="G3522" s="81" t="s">
        <v>3</v>
      </c>
      <c r="H3522" s="81" t="s">
        <v>224</v>
      </c>
      <c r="I3522" s="81" t="s">
        <v>886</v>
      </c>
      <c r="J3522" s="81" t="s">
        <v>224</v>
      </c>
      <c r="K3522" s="81" t="str">
        <f>IFERROR(__xludf.DUMMYFUNCTION("IF(OR(D3522="""",G3522=""""),"""",IFERROR(LET(
campo,XLOOKUP(TRIM(G3522),ARRAYFORMULA(TRIM('indice columnas'!$A$2:$A$100)),'indice columnas'!$B$2:$B$100,""""),
col,IFERROR(MATCH(campo,Referencia!$A$1:$AZ$1,0),0),
fila,IFERROR(MATCH(TO_TEXT(D3522),ARRAYFOR"&amp;"MULA(TO_TEXT(Referencia!$A$2:$A6238)),0),0),
IF(OR(campo="""",campo=""-""),""NO APLICA"",
IF(col=0,""REVISAR EQUIVALENCIA"",
IF(fila=0,""SKU NO ENCONTRADO"",
LET(
valor,INDEX(Referencia!$A$2:$AZ6238,fila,col),
IF(TRIM(TO_TEXT(valor))=TRIM(TO_TEXT(I3522)),"&amp;"
""OK"",
""NO COINCIDE. Valor verdadero: ""&amp;IF(valor="""",""[VACÍO]"",TO_TEXT(valor))
)
))))
),""ERROR EN FÓRMULA""))"),"OK")</f>
        <v>OK</v>
      </c>
    </row>
    <row r="3523">
      <c r="A3523" s="83" t="s">
        <v>4896</v>
      </c>
      <c r="B3523" s="83" t="s">
        <v>4897</v>
      </c>
      <c r="C3523" s="81" t="s">
        <v>4086</v>
      </c>
      <c r="D3523" s="83" t="s">
        <v>4233</v>
      </c>
      <c r="E3523" s="81" t="s">
        <v>902</v>
      </c>
      <c r="F3523" s="81">
        <v>159.0</v>
      </c>
      <c r="G3523" s="81" t="s">
        <v>2</v>
      </c>
      <c r="H3523" s="81" t="s">
        <v>224</v>
      </c>
      <c r="I3523" s="81" t="s">
        <v>885</v>
      </c>
      <c r="J3523" s="81" t="s">
        <v>224</v>
      </c>
      <c r="K3523" s="81" t="str">
        <f>IFERROR(__xludf.DUMMYFUNCTION("IF(OR(D3523="""",G3523=""""),"""",IFERROR(LET(
campo,XLOOKUP(TRIM(G3523),ARRAYFORMULA(TRIM('indice columnas'!$A$2:$A$100)),'indice columnas'!$B$2:$B$100,""""),
col,IFERROR(MATCH(campo,Referencia!$A$1:$AZ$1,0),0),
fila,IFERROR(MATCH(TO_TEXT(D3523),ARRAYFOR"&amp;"MULA(TO_TEXT(Referencia!$A$2:$A6238)),0),0),
IF(OR(campo="""",campo=""-""),""NO APLICA"",
IF(col=0,""REVISAR EQUIVALENCIA"",
IF(fila=0,""SKU NO ENCONTRADO"",
LET(
valor,INDEX(Referencia!$A$2:$AZ6238,fila,col),
IF(TRIM(TO_TEXT(valor))=TRIM(TO_TEXT(I3523)),"&amp;"
""OK"",
""NO COINCIDE. Valor verdadero: ""&amp;IF(valor="""",""[VACÍO]"",TO_TEXT(valor))
)
))))
),""ERROR EN FÓRMULA""))"),"OK")</f>
        <v>OK</v>
      </c>
    </row>
    <row r="3524">
      <c r="A3524" s="83" t="s">
        <v>4896</v>
      </c>
      <c r="B3524" s="83" t="s">
        <v>4897</v>
      </c>
      <c r="C3524" s="81" t="s">
        <v>4086</v>
      </c>
      <c r="D3524" s="83" t="s">
        <v>4233</v>
      </c>
      <c r="E3524" s="81" t="s">
        <v>902</v>
      </c>
      <c r="F3524" s="81">
        <v>159.0</v>
      </c>
      <c r="G3524" s="81" t="s">
        <v>1</v>
      </c>
      <c r="H3524" s="81" t="s">
        <v>224</v>
      </c>
      <c r="I3524" s="81" t="s">
        <v>49</v>
      </c>
      <c r="J3524" s="81" t="s">
        <v>224</v>
      </c>
      <c r="K3524" s="81" t="str">
        <f>IFERROR(__xludf.DUMMYFUNCTION("IF(OR(D3524="""",G3524=""""),"""",IFERROR(LET(
campo,XLOOKUP(TRIM(G3524),ARRAYFORMULA(TRIM('indice columnas'!$A$2:$A$100)),'indice columnas'!$B$2:$B$100,""""),
col,IFERROR(MATCH(campo,Referencia!$A$1:$AZ$1,0),0),
fila,IFERROR(MATCH(TO_TEXT(D3524),ARRAYFOR"&amp;"MULA(TO_TEXT(Referencia!$A$2:$A6238)),0),0),
IF(OR(campo="""",campo=""-""),""NO APLICA"",
IF(col=0,""REVISAR EQUIVALENCIA"",
IF(fila=0,""SKU NO ENCONTRADO"",
LET(
valor,INDEX(Referencia!$A$2:$AZ6238,fila,col),
IF(TRIM(TO_TEXT(valor))=TRIM(TO_TEXT(I3524)),"&amp;"
""OK"",
""NO COINCIDE. Valor verdadero: ""&amp;IF(valor="""",""[VACÍO]"",TO_TEXT(valor))
)
))))
),""ERROR EN FÓRMULA""))"),"OK")</f>
        <v>OK</v>
      </c>
    </row>
    <row r="3525">
      <c r="A3525" s="83" t="s">
        <v>4896</v>
      </c>
      <c r="B3525" s="83" t="s">
        <v>4897</v>
      </c>
      <c r="C3525" s="81" t="s">
        <v>4086</v>
      </c>
      <c r="D3525" s="83" t="s">
        <v>4234</v>
      </c>
      <c r="E3525" s="81" t="s">
        <v>905</v>
      </c>
      <c r="F3525" s="81">
        <v>160.0</v>
      </c>
      <c r="G3525" s="81" t="s">
        <v>3</v>
      </c>
      <c r="H3525" s="81" t="s">
        <v>224</v>
      </c>
      <c r="I3525" s="81" t="s">
        <v>886</v>
      </c>
      <c r="J3525" s="81" t="s">
        <v>224</v>
      </c>
      <c r="K3525" s="81" t="str">
        <f>IFERROR(__xludf.DUMMYFUNCTION("IF(OR(D3525="""",G3525=""""),"""",IFERROR(LET(
campo,XLOOKUP(TRIM(G3525),ARRAYFORMULA(TRIM('indice columnas'!$A$2:$A$100)),'indice columnas'!$B$2:$B$100,""""),
col,IFERROR(MATCH(campo,Referencia!$A$1:$AZ$1,0),0),
fila,IFERROR(MATCH(TO_TEXT(D3525),ARRAYFOR"&amp;"MULA(TO_TEXT(Referencia!$A$2:$A6238)),0),0),
IF(OR(campo="""",campo=""-""),""NO APLICA"",
IF(col=0,""REVISAR EQUIVALENCIA"",
IF(fila=0,""SKU NO ENCONTRADO"",
LET(
valor,INDEX(Referencia!$A$2:$AZ6238,fila,col),
IF(TRIM(TO_TEXT(valor))=TRIM(TO_TEXT(I3525)),"&amp;"
""OK"",
""NO COINCIDE. Valor verdadero: ""&amp;IF(valor="""",""[VACÍO]"",TO_TEXT(valor))
)
))))
),""ERROR EN FÓRMULA""))"),"OK")</f>
        <v>OK</v>
      </c>
    </row>
    <row r="3526">
      <c r="A3526" s="83" t="s">
        <v>4896</v>
      </c>
      <c r="B3526" s="83" t="s">
        <v>4897</v>
      </c>
      <c r="C3526" s="81" t="s">
        <v>4086</v>
      </c>
      <c r="D3526" s="83" t="s">
        <v>4234</v>
      </c>
      <c r="E3526" s="81" t="s">
        <v>905</v>
      </c>
      <c r="F3526" s="81">
        <v>160.0</v>
      </c>
      <c r="G3526" s="81" t="s">
        <v>2</v>
      </c>
      <c r="H3526" s="81" t="s">
        <v>224</v>
      </c>
      <c r="I3526" s="81" t="s">
        <v>885</v>
      </c>
      <c r="J3526" s="81" t="s">
        <v>224</v>
      </c>
      <c r="K3526" s="81" t="str">
        <f>IFERROR(__xludf.DUMMYFUNCTION("IF(OR(D3526="""",G3526=""""),"""",IFERROR(LET(
campo,XLOOKUP(TRIM(G3526),ARRAYFORMULA(TRIM('indice columnas'!$A$2:$A$100)),'indice columnas'!$B$2:$B$100,""""),
col,IFERROR(MATCH(campo,Referencia!$A$1:$AZ$1,0),0),
fila,IFERROR(MATCH(TO_TEXT(D3526),ARRAYFOR"&amp;"MULA(TO_TEXT(Referencia!$A$2:$A6238)),0),0),
IF(OR(campo="""",campo=""-""),""NO APLICA"",
IF(col=0,""REVISAR EQUIVALENCIA"",
IF(fila=0,""SKU NO ENCONTRADO"",
LET(
valor,INDEX(Referencia!$A$2:$AZ6238,fila,col),
IF(TRIM(TO_TEXT(valor))=TRIM(TO_TEXT(I3526)),"&amp;"
""OK"",
""NO COINCIDE. Valor verdadero: ""&amp;IF(valor="""",""[VACÍO]"",TO_TEXT(valor))
)
))))
),""ERROR EN FÓRMULA""))"),"OK")</f>
        <v>OK</v>
      </c>
    </row>
    <row r="3527">
      <c r="A3527" s="83" t="s">
        <v>4896</v>
      </c>
      <c r="B3527" s="83" t="s">
        <v>4897</v>
      </c>
      <c r="C3527" s="81" t="s">
        <v>4086</v>
      </c>
      <c r="D3527" s="83" t="s">
        <v>4234</v>
      </c>
      <c r="E3527" s="81" t="s">
        <v>905</v>
      </c>
      <c r="F3527" s="81">
        <v>160.0</v>
      </c>
      <c r="G3527" s="81" t="s">
        <v>1</v>
      </c>
      <c r="H3527" s="81" t="s">
        <v>224</v>
      </c>
      <c r="I3527" s="81" t="s">
        <v>49</v>
      </c>
      <c r="J3527" s="81" t="s">
        <v>224</v>
      </c>
      <c r="K3527" s="81" t="str">
        <f>IFERROR(__xludf.DUMMYFUNCTION("IF(OR(D3527="""",G3527=""""),"""",IFERROR(LET(
campo,XLOOKUP(TRIM(G3527),ARRAYFORMULA(TRIM('indice columnas'!$A$2:$A$100)),'indice columnas'!$B$2:$B$100,""""),
col,IFERROR(MATCH(campo,Referencia!$A$1:$AZ$1,0),0),
fila,IFERROR(MATCH(TO_TEXT(D3527),ARRAYFOR"&amp;"MULA(TO_TEXT(Referencia!$A$2:$A6238)),0),0),
IF(OR(campo="""",campo=""-""),""NO APLICA"",
IF(col=0,""REVISAR EQUIVALENCIA"",
IF(fila=0,""SKU NO ENCONTRADO"",
LET(
valor,INDEX(Referencia!$A$2:$AZ6238,fila,col),
IF(TRIM(TO_TEXT(valor))=TRIM(TO_TEXT(I3527)),"&amp;"
""OK"",
""NO COINCIDE. Valor verdadero: ""&amp;IF(valor="""",""[VACÍO]"",TO_TEXT(valor))
)
))))
),""ERROR EN FÓRMULA""))"),"OK")</f>
        <v>OK</v>
      </c>
    </row>
    <row r="3528">
      <c r="A3528" s="83" t="s">
        <v>4896</v>
      </c>
      <c r="B3528" s="83" t="s">
        <v>4897</v>
      </c>
      <c r="C3528" s="81" t="s">
        <v>4086</v>
      </c>
      <c r="D3528" s="83" t="s">
        <v>4235</v>
      </c>
      <c r="E3528" s="81" t="s">
        <v>908</v>
      </c>
      <c r="F3528" s="81">
        <v>161.0</v>
      </c>
      <c r="G3528" s="81" t="s">
        <v>3</v>
      </c>
      <c r="H3528" s="81" t="s">
        <v>224</v>
      </c>
      <c r="I3528" s="81" t="s">
        <v>909</v>
      </c>
      <c r="J3528" s="81" t="s">
        <v>224</v>
      </c>
      <c r="K3528" s="81" t="str">
        <f>IFERROR(__xludf.DUMMYFUNCTION("IF(OR(D3528="""",G3528=""""),"""",IFERROR(LET(
campo,XLOOKUP(TRIM(G3528),ARRAYFORMULA(TRIM('indice columnas'!$A$2:$A$100)),'indice columnas'!$B$2:$B$100,""""),
col,IFERROR(MATCH(campo,Referencia!$A$1:$AZ$1,0),0),
fila,IFERROR(MATCH(TO_TEXT(D3528),ARRAYFOR"&amp;"MULA(TO_TEXT(Referencia!$A$2:$A6238)),0),0),
IF(OR(campo="""",campo=""-""),""NO APLICA"",
IF(col=0,""REVISAR EQUIVALENCIA"",
IF(fila=0,""SKU NO ENCONTRADO"",
LET(
valor,INDEX(Referencia!$A$2:$AZ6238,fila,col),
IF(TRIM(TO_TEXT(valor))=TRIM(TO_TEXT(I3528)),"&amp;"
""OK"",
""NO COINCIDE. Valor verdadero: ""&amp;IF(valor="""",""[VACÍO]"",TO_TEXT(valor))
)
))))
),""ERROR EN FÓRMULA""))"),"OK")</f>
        <v>OK</v>
      </c>
    </row>
    <row r="3529">
      <c r="A3529" s="83" t="s">
        <v>4896</v>
      </c>
      <c r="B3529" s="83" t="s">
        <v>4897</v>
      </c>
      <c r="C3529" s="81" t="s">
        <v>4086</v>
      </c>
      <c r="D3529" s="83" t="s">
        <v>4235</v>
      </c>
      <c r="E3529" s="81" t="s">
        <v>908</v>
      </c>
      <c r="F3529" s="81">
        <v>161.0</v>
      </c>
      <c r="G3529" s="81" t="s">
        <v>2</v>
      </c>
      <c r="H3529" s="81" t="s">
        <v>224</v>
      </c>
      <c r="I3529" s="81" t="s">
        <v>885</v>
      </c>
      <c r="J3529" s="81" t="s">
        <v>224</v>
      </c>
      <c r="K3529" s="81" t="str">
        <f>IFERROR(__xludf.DUMMYFUNCTION("IF(OR(D3529="""",G3529=""""),"""",IFERROR(LET(
campo,XLOOKUP(TRIM(G3529),ARRAYFORMULA(TRIM('indice columnas'!$A$2:$A$100)),'indice columnas'!$B$2:$B$100,""""),
col,IFERROR(MATCH(campo,Referencia!$A$1:$AZ$1,0),0),
fila,IFERROR(MATCH(TO_TEXT(D3529),ARRAYFOR"&amp;"MULA(TO_TEXT(Referencia!$A$2:$A6238)),0),0),
IF(OR(campo="""",campo=""-""),""NO APLICA"",
IF(col=0,""REVISAR EQUIVALENCIA"",
IF(fila=0,""SKU NO ENCONTRADO"",
LET(
valor,INDEX(Referencia!$A$2:$AZ6238,fila,col),
IF(TRIM(TO_TEXT(valor))=TRIM(TO_TEXT(I3529)),"&amp;"
""OK"",
""NO COINCIDE. Valor verdadero: ""&amp;IF(valor="""",""[VACÍO]"",TO_TEXT(valor))
)
))))
),""ERROR EN FÓRMULA""))"),"OK")</f>
        <v>OK</v>
      </c>
    </row>
    <row r="3530">
      <c r="A3530" s="83" t="s">
        <v>4896</v>
      </c>
      <c r="B3530" s="83" t="s">
        <v>4897</v>
      </c>
      <c r="C3530" s="81" t="s">
        <v>4086</v>
      </c>
      <c r="D3530" s="83" t="s">
        <v>4235</v>
      </c>
      <c r="E3530" s="81" t="s">
        <v>908</v>
      </c>
      <c r="F3530" s="81">
        <v>161.0</v>
      </c>
      <c r="G3530" s="81" t="s">
        <v>1</v>
      </c>
      <c r="H3530" s="81" t="s">
        <v>224</v>
      </c>
      <c r="I3530" s="81" t="s">
        <v>49</v>
      </c>
      <c r="J3530" s="81" t="s">
        <v>224</v>
      </c>
      <c r="K3530" s="81" t="str">
        <f>IFERROR(__xludf.DUMMYFUNCTION("IF(OR(D3530="""",G3530=""""),"""",IFERROR(LET(
campo,XLOOKUP(TRIM(G3530),ARRAYFORMULA(TRIM('indice columnas'!$A$2:$A$100)),'indice columnas'!$B$2:$B$100,""""),
col,IFERROR(MATCH(campo,Referencia!$A$1:$AZ$1,0),0),
fila,IFERROR(MATCH(TO_TEXT(D3530),ARRAYFOR"&amp;"MULA(TO_TEXT(Referencia!$A$2:$A6238)),0),0),
IF(OR(campo="""",campo=""-""),""NO APLICA"",
IF(col=0,""REVISAR EQUIVALENCIA"",
IF(fila=0,""SKU NO ENCONTRADO"",
LET(
valor,INDEX(Referencia!$A$2:$AZ6238,fila,col),
IF(TRIM(TO_TEXT(valor))=TRIM(TO_TEXT(I3530)),"&amp;"
""OK"",
""NO COINCIDE. Valor verdadero: ""&amp;IF(valor="""",""[VACÍO]"",TO_TEXT(valor))
)
))))
),""ERROR EN FÓRMULA""))"),"OK")</f>
        <v>OK</v>
      </c>
    </row>
    <row r="3531">
      <c r="A3531" s="83" t="s">
        <v>4896</v>
      </c>
      <c r="B3531" s="83" t="s">
        <v>4897</v>
      </c>
      <c r="C3531" s="81" t="s">
        <v>4086</v>
      </c>
      <c r="D3531" s="83" t="s">
        <v>4237</v>
      </c>
      <c r="E3531" s="81" t="s">
        <v>916</v>
      </c>
      <c r="F3531" s="81">
        <v>162.0</v>
      </c>
      <c r="G3531" s="81" t="s">
        <v>3</v>
      </c>
      <c r="H3531" s="81" t="s">
        <v>224</v>
      </c>
      <c r="I3531" s="81" t="s">
        <v>909</v>
      </c>
      <c r="J3531" s="81" t="s">
        <v>224</v>
      </c>
      <c r="K3531" s="81" t="str">
        <f>IFERROR(__xludf.DUMMYFUNCTION("IF(OR(D3531="""",G3531=""""),"""",IFERROR(LET(
campo,XLOOKUP(TRIM(G3531),ARRAYFORMULA(TRIM('indice columnas'!$A$2:$A$100)),'indice columnas'!$B$2:$B$100,""""),
col,IFERROR(MATCH(campo,Referencia!$A$1:$AZ$1,0),0),
fila,IFERROR(MATCH(TO_TEXT(D3531),ARRAYFOR"&amp;"MULA(TO_TEXT(Referencia!$A$2:$A6238)),0),0),
IF(OR(campo="""",campo=""-""),""NO APLICA"",
IF(col=0,""REVISAR EQUIVALENCIA"",
IF(fila=0,""SKU NO ENCONTRADO"",
LET(
valor,INDEX(Referencia!$A$2:$AZ6238,fila,col),
IF(TRIM(TO_TEXT(valor))=TRIM(TO_TEXT(I3531)),"&amp;"
""OK"",
""NO COINCIDE. Valor verdadero: ""&amp;IF(valor="""",""[VACÍO]"",TO_TEXT(valor))
)
))))
),""ERROR EN FÓRMULA""))"),"OK")</f>
        <v>OK</v>
      </c>
    </row>
    <row r="3532">
      <c r="A3532" s="83" t="s">
        <v>4896</v>
      </c>
      <c r="B3532" s="83" t="s">
        <v>4897</v>
      </c>
      <c r="C3532" s="81" t="s">
        <v>4086</v>
      </c>
      <c r="D3532" s="83" t="s">
        <v>4237</v>
      </c>
      <c r="E3532" s="81" t="s">
        <v>916</v>
      </c>
      <c r="F3532" s="81">
        <v>162.0</v>
      </c>
      <c r="G3532" s="81" t="s">
        <v>2</v>
      </c>
      <c r="H3532" s="81" t="s">
        <v>224</v>
      </c>
      <c r="I3532" s="81" t="s">
        <v>885</v>
      </c>
      <c r="J3532" s="81" t="s">
        <v>224</v>
      </c>
      <c r="K3532" s="81" t="str">
        <f>IFERROR(__xludf.DUMMYFUNCTION("IF(OR(D3532="""",G3532=""""),"""",IFERROR(LET(
campo,XLOOKUP(TRIM(G3532),ARRAYFORMULA(TRIM('indice columnas'!$A$2:$A$100)),'indice columnas'!$B$2:$B$100,""""),
col,IFERROR(MATCH(campo,Referencia!$A$1:$AZ$1,0),0),
fila,IFERROR(MATCH(TO_TEXT(D3532),ARRAYFOR"&amp;"MULA(TO_TEXT(Referencia!$A$2:$A6238)),0),0),
IF(OR(campo="""",campo=""-""),""NO APLICA"",
IF(col=0,""REVISAR EQUIVALENCIA"",
IF(fila=0,""SKU NO ENCONTRADO"",
LET(
valor,INDEX(Referencia!$A$2:$AZ6238,fila,col),
IF(TRIM(TO_TEXT(valor))=TRIM(TO_TEXT(I3532)),"&amp;"
""OK"",
""NO COINCIDE. Valor verdadero: ""&amp;IF(valor="""",""[VACÍO]"",TO_TEXT(valor))
)
))))
),""ERROR EN FÓRMULA""))"),"OK")</f>
        <v>OK</v>
      </c>
    </row>
    <row r="3533">
      <c r="A3533" s="83" t="s">
        <v>4896</v>
      </c>
      <c r="B3533" s="83" t="s">
        <v>4897</v>
      </c>
      <c r="C3533" s="81" t="s">
        <v>4086</v>
      </c>
      <c r="D3533" s="83" t="s">
        <v>4237</v>
      </c>
      <c r="E3533" s="81" t="s">
        <v>916</v>
      </c>
      <c r="F3533" s="81">
        <v>162.0</v>
      </c>
      <c r="G3533" s="81" t="s">
        <v>1</v>
      </c>
      <c r="H3533" s="81" t="s">
        <v>224</v>
      </c>
      <c r="I3533" s="81" t="s">
        <v>49</v>
      </c>
      <c r="J3533" s="81" t="s">
        <v>224</v>
      </c>
      <c r="K3533" s="81" t="str">
        <f>IFERROR(__xludf.DUMMYFUNCTION("IF(OR(D3533="""",G3533=""""),"""",IFERROR(LET(
campo,XLOOKUP(TRIM(G3533),ARRAYFORMULA(TRIM('indice columnas'!$A$2:$A$100)),'indice columnas'!$B$2:$B$100,""""),
col,IFERROR(MATCH(campo,Referencia!$A$1:$AZ$1,0),0),
fila,IFERROR(MATCH(TO_TEXT(D3533),ARRAYFOR"&amp;"MULA(TO_TEXT(Referencia!$A$2:$A6238)),0),0),
IF(OR(campo="""",campo=""-""),""NO APLICA"",
IF(col=0,""REVISAR EQUIVALENCIA"",
IF(fila=0,""SKU NO ENCONTRADO"",
LET(
valor,INDEX(Referencia!$A$2:$AZ6238,fila,col),
IF(TRIM(TO_TEXT(valor))=TRIM(TO_TEXT(I3533)),"&amp;"
""OK"",
""NO COINCIDE. Valor verdadero: ""&amp;IF(valor="""",""[VACÍO]"",TO_TEXT(valor))
)
))))
),""ERROR EN FÓRMULA""))"),"OK")</f>
        <v>OK</v>
      </c>
    </row>
    <row r="3534">
      <c r="A3534" s="83" t="s">
        <v>4896</v>
      </c>
      <c r="B3534" s="83" t="s">
        <v>4897</v>
      </c>
      <c r="C3534" s="81" t="s">
        <v>4086</v>
      </c>
      <c r="D3534" s="83" t="s">
        <v>4240</v>
      </c>
      <c r="E3534" s="81" t="s">
        <v>935</v>
      </c>
      <c r="F3534" s="81">
        <v>166.0</v>
      </c>
      <c r="G3534" s="81" t="s">
        <v>3</v>
      </c>
      <c r="H3534" s="81" t="s">
        <v>224</v>
      </c>
      <c r="I3534" s="81" t="s">
        <v>926</v>
      </c>
      <c r="J3534" s="81" t="s">
        <v>224</v>
      </c>
      <c r="K3534" s="81" t="str">
        <f>IFERROR(__xludf.DUMMYFUNCTION("IF(OR(D3534="""",G3534=""""),"""",IFERROR(LET(
campo,XLOOKUP(TRIM(G3534),ARRAYFORMULA(TRIM('indice columnas'!$A$2:$A$100)),'indice columnas'!$B$2:$B$100,""""),
col,IFERROR(MATCH(campo,Referencia!$A$1:$AZ$1,0),0),
fila,IFERROR(MATCH(TO_TEXT(D3534),ARRAYFOR"&amp;"MULA(TO_TEXT(Referencia!$A$2:$A6238)),0),0),
IF(OR(campo="""",campo=""-""),""NO APLICA"",
IF(col=0,""REVISAR EQUIVALENCIA"",
IF(fila=0,""SKU NO ENCONTRADO"",
LET(
valor,INDEX(Referencia!$A$2:$AZ6238,fila,col),
IF(TRIM(TO_TEXT(valor))=TRIM(TO_TEXT(I3534)),"&amp;"
""OK"",
""NO COINCIDE. Valor verdadero: ""&amp;IF(valor="""",""[VACÍO]"",TO_TEXT(valor))
)
))))
),""ERROR EN FÓRMULA""))"),"OK")</f>
        <v>OK</v>
      </c>
    </row>
    <row r="3535">
      <c r="A3535" s="83" t="s">
        <v>4896</v>
      </c>
      <c r="B3535" s="83" t="s">
        <v>4897</v>
      </c>
      <c r="C3535" s="81" t="s">
        <v>4086</v>
      </c>
      <c r="D3535" s="83" t="s">
        <v>4240</v>
      </c>
      <c r="E3535" s="81" t="s">
        <v>935</v>
      </c>
      <c r="F3535" s="81">
        <v>166.0</v>
      </c>
      <c r="G3535" s="81" t="s">
        <v>1</v>
      </c>
      <c r="H3535" s="81" t="s">
        <v>224</v>
      </c>
      <c r="I3535" s="81" t="s">
        <v>49</v>
      </c>
      <c r="J3535" s="81" t="s">
        <v>224</v>
      </c>
      <c r="K3535" s="81" t="str">
        <f>IFERROR(__xludf.DUMMYFUNCTION("IF(OR(D3535="""",G3535=""""),"""",IFERROR(LET(
campo,XLOOKUP(TRIM(G3535),ARRAYFORMULA(TRIM('indice columnas'!$A$2:$A$100)),'indice columnas'!$B$2:$B$100,""""),
col,IFERROR(MATCH(campo,Referencia!$A$1:$AZ$1,0),0),
fila,IFERROR(MATCH(TO_TEXT(D3535),ARRAYFOR"&amp;"MULA(TO_TEXT(Referencia!$A$2:$A6238)),0),0),
IF(OR(campo="""",campo=""-""),""NO APLICA"",
IF(col=0,""REVISAR EQUIVALENCIA"",
IF(fila=0,""SKU NO ENCONTRADO"",
LET(
valor,INDEX(Referencia!$A$2:$AZ6238,fila,col),
IF(TRIM(TO_TEXT(valor))=TRIM(TO_TEXT(I3535)),"&amp;"
""OK"",
""NO COINCIDE. Valor verdadero: ""&amp;IF(valor="""",""[VACÍO]"",TO_TEXT(valor))
)
))))
),""ERROR EN FÓRMULA""))"),"OK")</f>
        <v>OK</v>
      </c>
    </row>
    <row r="3536">
      <c r="A3536" s="83" t="s">
        <v>4896</v>
      </c>
      <c r="B3536" s="83" t="s">
        <v>4897</v>
      </c>
      <c r="C3536" s="81" t="s">
        <v>4086</v>
      </c>
      <c r="D3536" s="83" t="s">
        <v>4242</v>
      </c>
      <c r="E3536" s="81" t="s">
        <v>944</v>
      </c>
      <c r="F3536" s="81">
        <v>169.0</v>
      </c>
      <c r="G3536" s="81" t="s">
        <v>3</v>
      </c>
      <c r="H3536" s="81" t="s">
        <v>224</v>
      </c>
      <c r="I3536" s="81" t="s">
        <v>920</v>
      </c>
      <c r="J3536" s="81" t="s">
        <v>224</v>
      </c>
      <c r="K3536" s="81" t="str">
        <f>IFERROR(__xludf.DUMMYFUNCTION("IF(OR(D3536="""",G3536=""""),"""",IFERROR(LET(
campo,XLOOKUP(TRIM(G3536),ARRAYFORMULA(TRIM('indice columnas'!$A$2:$A$100)),'indice columnas'!$B$2:$B$100,""""),
col,IFERROR(MATCH(campo,Referencia!$A$1:$AZ$1,0),0),
fila,IFERROR(MATCH(TO_TEXT(D3536),ARRAYFOR"&amp;"MULA(TO_TEXT(Referencia!$A$2:$A6238)),0),0),
IF(OR(campo="""",campo=""-""),""NO APLICA"",
IF(col=0,""REVISAR EQUIVALENCIA"",
IF(fila=0,""SKU NO ENCONTRADO"",
LET(
valor,INDEX(Referencia!$A$2:$AZ6238,fila,col),
IF(TRIM(TO_TEXT(valor))=TRIM(TO_TEXT(I3536)),"&amp;"
""OK"",
""NO COINCIDE. Valor verdadero: ""&amp;IF(valor="""",""[VACÍO]"",TO_TEXT(valor))
)
))))
),""ERROR EN FÓRMULA""))"),"OK")</f>
        <v>OK</v>
      </c>
    </row>
    <row r="3537">
      <c r="A3537" s="83" t="s">
        <v>4896</v>
      </c>
      <c r="B3537" s="83" t="s">
        <v>4897</v>
      </c>
      <c r="C3537" s="81" t="s">
        <v>4086</v>
      </c>
      <c r="D3537" s="83" t="s">
        <v>4242</v>
      </c>
      <c r="E3537" s="81" t="s">
        <v>944</v>
      </c>
      <c r="F3537" s="81">
        <v>169.0</v>
      </c>
      <c r="G3537" s="81" t="s">
        <v>2</v>
      </c>
      <c r="H3537" s="81" t="s">
        <v>224</v>
      </c>
      <c r="I3537" s="81" t="s">
        <v>919</v>
      </c>
      <c r="J3537" s="81" t="s">
        <v>224</v>
      </c>
      <c r="K3537" s="81" t="str">
        <f>IFERROR(__xludf.DUMMYFUNCTION("IF(OR(D3537="""",G3537=""""),"""",IFERROR(LET(
campo,XLOOKUP(TRIM(G3537),ARRAYFORMULA(TRIM('indice columnas'!$A$2:$A$100)),'indice columnas'!$B$2:$B$100,""""),
col,IFERROR(MATCH(campo,Referencia!$A$1:$AZ$1,0),0),
fila,IFERROR(MATCH(TO_TEXT(D3537),ARRAYFOR"&amp;"MULA(TO_TEXT(Referencia!$A$2:$A6238)),0),0),
IF(OR(campo="""",campo=""-""),""NO APLICA"",
IF(col=0,""REVISAR EQUIVALENCIA"",
IF(fila=0,""SKU NO ENCONTRADO"",
LET(
valor,INDEX(Referencia!$A$2:$AZ6238,fila,col),
IF(TRIM(TO_TEXT(valor))=TRIM(TO_TEXT(I3537)),"&amp;"
""OK"",
""NO COINCIDE. Valor verdadero: ""&amp;IF(valor="""",""[VACÍO]"",TO_TEXT(valor))
)
))))
),""ERROR EN FÓRMULA""))"),"OK")</f>
        <v>OK</v>
      </c>
    </row>
    <row r="3538">
      <c r="A3538" s="83" t="s">
        <v>4896</v>
      </c>
      <c r="B3538" s="83" t="s">
        <v>4897</v>
      </c>
      <c r="C3538" s="81" t="s">
        <v>4086</v>
      </c>
      <c r="D3538" s="83" t="s">
        <v>4242</v>
      </c>
      <c r="E3538" s="81" t="s">
        <v>944</v>
      </c>
      <c r="F3538" s="81">
        <v>169.0</v>
      </c>
      <c r="G3538" s="81" t="s">
        <v>1</v>
      </c>
      <c r="H3538" s="81" t="s">
        <v>224</v>
      </c>
      <c r="I3538" s="81" t="s">
        <v>49</v>
      </c>
      <c r="J3538" s="81" t="s">
        <v>224</v>
      </c>
      <c r="K3538" s="81" t="str">
        <f>IFERROR(__xludf.DUMMYFUNCTION("IF(OR(D3538="""",G3538=""""),"""",IFERROR(LET(
campo,XLOOKUP(TRIM(G3538),ARRAYFORMULA(TRIM('indice columnas'!$A$2:$A$100)),'indice columnas'!$B$2:$B$100,""""),
col,IFERROR(MATCH(campo,Referencia!$A$1:$AZ$1,0),0),
fila,IFERROR(MATCH(TO_TEXT(D3538),ARRAYFOR"&amp;"MULA(TO_TEXT(Referencia!$A$2:$A6238)),0),0),
IF(OR(campo="""",campo=""-""),""NO APLICA"",
IF(col=0,""REVISAR EQUIVALENCIA"",
IF(fila=0,""SKU NO ENCONTRADO"",
LET(
valor,INDEX(Referencia!$A$2:$AZ6238,fila,col),
IF(TRIM(TO_TEXT(valor))=TRIM(TO_TEXT(I3538)),"&amp;"
""OK"",
""NO COINCIDE. Valor verdadero: ""&amp;IF(valor="""",""[VACÍO]"",TO_TEXT(valor))
)
))))
),""ERROR EN FÓRMULA""))"),"OK")</f>
        <v>OK</v>
      </c>
    </row>
    <row r="3539">
      <c r="A3539" s="83" t="s">
        <v>4896</v>
      </c>
      <c r="B3539" s="83" t="s">
        <v>4897</v>
      </c>
      <c r="C3539" s="81" t="s">
        <v>4086</v>
      </c>
      <c r="D3539" s="83" t="s">
        <v>4243</v>
      </c>
      <c r="E3539" s="81" t="s">
        <v>951</v>
      </c>
      <c r="F3539" s="81">
        <v>171.0</v>
      </c>
      <c r="G3539" s="81" t="s">
        <v>3</v>
      </c>
      <c r="H3539" s="81" t="s">
        <v>224</v>
      </c>
      <c r="I3539" s="81" t="s">
        <v>920</v>
      </c>
      <c r="J3539" s="81" t="s">
        <v>224</v>
      </c>
      <c r="K3539" s="81" t="str">
        <f>IFERROR(__xludf.DUMMYFUNCTION("IF(OR(D3539="""",G3539=""""),"""",IFERROR(LET(
campo,XLOOKUP(TRIM(G3539),ARRAYFORMULA(TRIM('indice columnas'!$A$2:$A$100)),'indice columnas'!$B$2:$B$100,""""),
col,IFERROR(MATCH(campo,Referencia!$A$1:$AZ$1,0),0),
fila,IFERROR(MATCH(TO_TEXT(D3539),ARRAYFOR"&amp;"MULA(TO_TEXT(Referencia!$A$2:$A6238)),0),0),
IF(OR(campo="""",campo=""-""),""NO APLICA"",
IF(col=0,""REVISAR EQUIVALENCIA"",
IF(fila=0,""SKU NO ENCONTRADO"",
LET(
valor,INDEX(Referencia!$A$2:$AZ6238,fila,col),
IF(TRIM(TO_TEXT(valor))=TRIM(TO_TEXT(I3539)),"&amp;"
""OK"",
""NO COINCIDE. Valor verdadero: ""&amp;IF(valor="""",""[VACÍO]"",TO_TEXT(valor))
)
))))
),""ERROR EN FÓRMULA""))"),"OK")</f>
        <v>OK</v>
      </c>
    </row>
    <row r="3540">
      <c r="A3540" s="83" t="s">
        <v>4896</v>
      </c>
      <c r="B3540" s="83" t="s">
        <v>4897</v>
      </c>
      <c r="C3540" s="81" t="s">
        <v>4086</v>
      </c>
      <c r="D3540" s="83" t="s">
        <v>4243</v>
      </c>
      <c r="E3540" s="81" t="s">
        <v>951</v>
      </c>
      <c r="F3540" s="81">
        <v>171.0</v>
      </c>
      <c r="G3540" s="81" t="s">
        <v>2</v>
      </c>
      <c r="H3540" s="81" t="s">
        <v>224</v>
      </c>
      <c r="I3540" s="81" t="s">
        <v>919</v>
      </c>
      <c r="J3540" s="81" t="s">
        <v>224</v>
      </c>
      <c r="K3540" s="81" t="str">
        <f>IFERROR(__xludf.DUMMYFUNCTION("IF(OR(D3540="""",G3540=""""),"""",IFERROR(LET(
campo,XLOOKUP(TRIM(G3540),ARRAYFORMULA(TRIM('indice columnas'!$A$2:$A$100)),'indice columnas'!$B$2:$B$100,""""),
col,IFERROR(MATCH(campo,Referencia!$A$1:$AZ$1,0),0),
fila,IFERROR(MATCH(TO_TEXT(D3540),ARRAYFOR"&amp;"MULA(TO_TEXT(Referencia!$A$2:$A6238)),0),0),
IF(OR(campo="""",campo=""-""),""NO APLICA"",
IF(col=0,""REVISAR EQUIVALENCIA"",
IF(fila=0,""SKU NO ENCONTRADO"",
LET(
valor,INDEX(Referencia!$A$2:$AZ6238,fila,col),
IF(TRIM(TO_TEXT(valor))=TRIM(TO_TEXT(I3540)),"&amp;"
""OK"",
""NO COINCIDE. Valor verdadero: ""&amp;IF(valor="""",""[VACÍO]"",TO_TEXT(valor))
)
))))
),""ERROR EN FÓRMULA""))"),"OK")</f>
        <v>OK</v>
      </c>
    </row>
    <row r="3541">
      <c r="A3541" s="83" t="s">
        <v>4896</v>
      </c>
      <c r="B3541" s="83" t="s">
        <v>4897</v>
      </c>
      <c r="C3541" s="81" t="s">
        <v>4086</v>
      </c>
      <c r="D3541" s="83" t="s">
        <v>4243</v>
      </c>
      <c r="E3541" s="81" t="s">
        <v>951</v>
      </c>
      <c r="F3541" s="81">
        <v>171.0</v>
      </c>
      <c r="G3541" s="81" t="s">
        <v>1</v>
      </c>
      <c r="H3541" s="81" t="s">
        <v>224</v>
      </c>
      <c r="I3541" s="81" t="s">
        <v>49</v>
      </c>
      <c r="J3541" s="81" t="s">
        <v>224</v>
      </c>
      <c r="K3541" s="81" t="str">
        <f>IFERROR(__xludf.DUMMYFUNCTION("IF(OR(D3541="""",G3541=""""),"""",IFERROR(LET(
campo,XLOOKUP(TRIM(G3541),ARRAYFORMULA(TRIM('indice columnas'!$A$2:$A$100)),'indice columnas'!$B$2:$B$100,""""),
col,IFERROR(MATCH(campo,Referencia!$A$1:$AZ$1,0),0),
fila,IFERROR(MATCH(TO_TEXT(D3541),ARRAYFOR"&amp;"MULA(TO_TEXT(Referencia!$A$2:$A6238)),0),0),
IF(OR(campo="""",campo=""-""),""NO APLICA"",
IF(col=0,""REVISAR EQUIVALENCIA"",
IF(fila=0,""SKU NO ENCONTRADO"",
LET(
valor,INDEX(Referencia!$A$2:$AZ6238,fila,col),
IF(TRIM(TO_TEXT(valor))=TRIM(TO_TEXT(I3541)),"&amp;"
""OK"",
""NO COINCIDE. Valor verdadero: ""&amp;IF(valor="""",""[VACÍO]"",TO_TEXT(valor))
)
))))
),""ERROR EN FÓRMULA""))"),"OK")</f>
        <v>OK</v>
      </c>
    </row>
    <row r="3542">
      <c r="A3542" s="83" t="s">
        <v>4896</v>
      </c>
      <c r="B3542" s="83" t="s">
        <v>4897</v>
      </c>
      <c r="C3542" s="81" t="s">
        <v>4086</v>
      </c>
      <c r="D3542" s="83" t="s">
        <v>4244</v>
      </c>
      <c r="E3542" s="81" t="s">
        <v>952</v>
      </c>
      <c r="F3542" s="81">
        <v>172.0</v>
      </c>
      <c r="G3542" s="81" t="s">
        <v>3</v>
      </c>
      <c r="H3542" s="81" t="s">
        <v>224</v>
      </c>
      <c r="I3542" s="81" t="s">
        <v>920</v>
      </c>
      <c r="J3542" s="81" t="s">
        <v>224</v>
      </c>
      <c r="K3542" s="81" t="str">
        <f>IFERROR(__xludf.DUMMYFUNCTION("IF(OR(D3542="""",G3542=""""),"""",IFERROR(LET(
campo,XLOOKUP(TRIM(G3542),ARRAYFORMULA(TRIM('indice columnas'!$A$2:$A$100)),'indice columnas'!$B$2:$B$100,""""),
col,IFERROR(MATCH(campo,Referencia!$A$1:$AZ$1,0),0),
fila,IFERROR(MATCH(TO_TEXT(D3542),ARRAYFOR"&amp;"MULA(TO_TEXT(Referencia!$A$2:$A6238)),0),0),
IF(OR(campo="""",campo=""-""),""NO APLICA"",
IF(col=0,""REVISAR EQUIVALENCIA"",
IF(fila=0,""SKU NO ENCONTRADO"",
LET(
valor,INDEX(Referencia!$A$2:$AZ6238,fila,col),
IF(TRIM(TO_TEXT(valor))=TRIM(TO_TEXT(I3542)),"&amp;"
""OK"",
""NO COINCIDE. Valor verdadero: ""&amp;IF(valor="""",""[VACÍO]"",TO_TEXT(valor))
)
))))
),""ERROR EN FÓRMULA""))"),"OK")</f>
        <v>OK</v>
      </c>
    </row>
    <row r="3543">
      <c r="A3543" s="83" t="s">
        <v>4896</v>
      </c>
      <c r="B3543" s="83" t="s">
        <v>4897</v>
      </c>
      <c r="C3543" s="81" t="s">
        <v>4086</v>
      </c>
      <c r="D3543" s="83" t="s">
        <v>4244</v>
      </c>
      <c r="E3543" s="81" t="s">
        <v>952</v>
      </c>
      <c r="F3543" s="81">
        <v>172.0</v>
      </c>
      <c r="G3543" s="81" t="s">
        <v>2</v>
      </c>
      <c r="H3543" s="81" t="s">
        <v>224</v>
      </c>
      <c r="I3543" s="81" t="s">
        <v>919</v>
      </c>
      <c r="J3543" s="81" t="s">
        <v>224</v>
      </c>
      <c r="K3543" s="81" t="str">
        <f>IFERROR(__xludf.DUMMYFUNCTION("IF(OR(D3543="""",G3543=""""),"""",IFERROR(LET(
campo,XLOOKUP(TRIM(G3543),ARRAYFORMULA(TRIM('indice columnas'!$A$2:$A$100)),'indice columnas'!$B$2:$B$100,""""),
col,IFERROR(MATCH(campo,Referencia!$A$1:$AZ$1,0),0),
fila,IFERROR(MATCH(TO_TEXT(D3543),ARRAYFOR"&amp;"MULA(TO_TEXT(Referencia!$A$2:$A6238)),0),0),
IF(OR(campo="""",campo=""-""),""NO APLICA"",
IF(col=0,""REVISAR EQUIVALENCIA"",
IF(fila=0,""SKU NO ENCONTRADO"",
LET(
valor,INDEX(Referencia!$A$2:$AZ6238,fila,col),
IF(TRIM(TO_TEXT(valor))=TRIM(TO_TEXT(I3543)),"&amp;"
""OK"",
""NO COINCIDE. Valor verdadero: ""&amp;IF(valor="""",""[VACÍO]"",TO_TEXT(valor))
)
))))
),""ERROR EN FÓRMULA""))"),"OK")</f>
        <v>OK</v>
      </c>
    </row>
    <row r="3544">
      <c r="A3544" s="83" t="s">
        <v>4896</v>
      </c>
      <c r="B3544" s="83" t="s">
        <v>4897</v>
      </c>
      <c r="C3544" s="81" t="s">
        <v>4086</v>
      </c>
      <c r="D3544" s="83" t="s">
        <v>4244</v>
      </c>
      <c r="E3544" s="81" t="s">
        <v>952</v>
      </c>
      <c r="F3544" s="81">
        <v>172.0</v>
      </c>
      <c r="G3544" s="81" t="s">
        <v>1</v>
      </c>
      <c r="H3544" s="81" t="s">
        <v>224</v>
      </c>
      <c r="I3544" s="81" t="s">
        <v>49</v>
      </c>
      <c r="J3544" s="81" t="s">
        <v>224</v>
      </c>
      <c r="K3544" s="81" t="str">
        <f>IFERROR(__xludf.DUMMYFUNCTION("IF(OR(D3544="""",G3544=""""),"""",IFERROR(LET(
campo,XLOOKUP(TRIM(G3544),ARRAYFORMULA(TRIM('indice columnas'!$A$2:$A$100)),'indice columnas'!$B$2:$B$100,""""),
col,IFERROR(MATCH(campo,Referencia!$A$1:$AZ$1,0),0),
fila,IFERROR(MATCH(TO_TEXT(D3544),ARRAYFOR"&amp;"MULA(TO_TEXT(Referencia!$A$2:$A6238)),0),0),
IF(OR(campo="""",campo=""-""),""NO APLICA"",
IF(col=0,""REVISAR EQUIVALENCIA"",
IF(fila=0,""SKU NO ENCONTRADO"",
LET(
valor,INDEX(Referencia!$A$2:$AZ6238,fila,col),
IF(TRIM(TO_TEXT(valor))=TRIM(TO_TEXT(I3544)),"&amp;"
""OK"",
""NO COINCIDE. Valor verdadero: ""&amp;IF(valor="""",""[VACÍO]"",TO_TEXT(valor))
)
))))
),""ERROR EN FÓRMULA""))"),"OK")</f>
        <v>OK</v>
      </c>
    </row>
    <row r="3545">
      <c r="A3545" s="83" t="s">
        <v>4896</v>
      </c>
      <c r="B3545" s="83" t="s">
        <v>4897</v>
      </c>
      <c r="C3545" s="81" t="s">
        <v>4086</v>
      </c>
      <c r="D3545" s="83" t="s">
        <v>4245</v>
      </c>
      <c r="E3545" s="81" t="s">
        <v>961</v>
      </c>
      <c r="F3545" s="81">
        <v>174.0</v>
      </c>
      <c r="G3545" s="81" t="s">
        <v>3</v>
      </c>
      <c r="H3545" s="81" t="s">
        <v>224</v>
      </c>
      <c r="I3545" s="81" t="s">
        <v>926</v>
      </c>
      <c r="J3545" s="81" t="s">
        <v>224</v>
      </c>
      <c r="K3545" s="81" t="str">
        <f>IFERROR(__xludf.DUMMYFUNCTION("IF(OR(D3545="""",G3545=""""),"""",IFERROR(LET(
campo,XLOOKUP(TRIM(G3545),ARRAYFORMULA(TRIM('indice columnas'!$A$2:$A$100)),'indice columnas'!$B$2:$B$100,""""),
col,IFERROR(MATCH(campo,Referencia!$A$1:$AZ$1,0),0),
fila,IFERROR(MATCH(TO_TEXT(D3545),ARRAYFOR"&amp;"MULA(TO_TEXT(Referencia!$A$2:$A6238)),0),0),
IF(OR(campo="""",campo=""-""),""NO APLICA"",
IF(col=0,""REVISAR EQUIVALENCIA"",
IF(fila=0,""SKU NO ENCONTRADO"",
LET(
valor,INDEX(Referencia!$A$2:$AZ6238,fila,col),
IF(TRIM(TO_TEXT(valor))=TRIM(TO_TEXT(I3545)),"&amp;"
""OK"",
""NO COINCIDE. Valor verdadero: ""&amp;IF(valor="""",""[VACÍO]"",TO_TEXT(valor))
)
))))
),""ERROR EN FÓRMULA""))"),"OK")</f>
        <v>OK</v>
      </c>
    </row>
    <row r="3546">
      <c r="A3546" s="83" t="s">
        <v>4896</v>
      </c>
      <c r="B3546" s="83" t="s">
        <v>4897</v>
      </c>
      <c r="C3546" s="81" t="s">
        <v>4086</v>
      </c>
      <c r="D3546" s="83" t="s">
        <v>4245</v>
      </c>
      <c r="E3546" s="81" t="s">
        <v>961</v>
      </c>
      <c r="F3546" s="81">
        <v>174.0</v>
      </c>
      <c r="G3546" s="81" t="s">
        <v>2</v>
      </c>
      <c r="H3546" s="81" t="s">
        <v>224</v>
      </c>
      <c r="I3546" s="81" t="s">
        <v>919</v>
      </c>
      <c r="J3546" s="81" t="s">
        <v>224</v>
      </c>
      <c r="K3546" s="81" t="str">
        <f>IFERROR(__xludf.DUMMYFUNCTION("IF(OR(D3546="""",G3546=""""),"""",IFERROR(LET(
campo,XLOOKUP(TRIM(G3546),ARRAYFORMULA(TRIM('indice columnas'!$A$2:$A$100)),'indice columnas'!$B$2:$B$100,""""),
col,IFERROR(MATCH(campo,Referencia!$A$1:$AZ$1,0),0),
fila,IFERROR(MATCH(TO_TEXT(D3546),ARRAYFOR"&amp;"MULA(TO_TEXT(Referencia!$A$2:$A6238)),0),0),
IF(OR(campo="""",campo=""-""),""NO APLICA"",
IF(col=0,""REVISAR EQUIVALENCIA"",
IF(fila=0,""SKU NO ENCONTRADO"",
LET(
valor,INDEX(Referencia!$A$2:$AZ6238,fila,col),
IF(TRIM(TO_TEXT(valor))=TRIM(TO_TEXT(I3546)),"&amp;"
""OK"",
""NO COINCIDE. Valor verdadero: ""&amp;IF(valor="""",""[VACÍO]"",TO_TEXT(valor))
)
))))
),""ERROR EN FÓRMULA""))"),"OK")</f>
        <v>OK</v>
      </c>
    </row>
    <row r="3547">
      <c r="A3547" s="83" t="s">
        <v>4896</v>
      </c>
      <c r="B3547" s="83" t="s">
        <v>4897</v>
      </c>
      <c r="C3547" s="81" t="s">
        <v>4086</v>
      </c>
      <c r="D3547" s="83" t="s">
        <v>4245</v>
      </c>
      <c r="E3547" s="81" t="s">
        <v>961</v>
      </c>
      <c r="F3547" s="81">
        <v>174.0</v>
      </c>
      <c r="G3547" s="81" t="s">
        <v>1</v>
      </c>
      <c r="H3547" s="81" t="s">
        <v>224</v>
      </c>
      <c r="I3547" s="81" t="s">
        <v>49</v>
      </c>
      <c r="J3547" s="81" t="s">
        <v>224</v>
      </c>
      <c r="K3547" s="81" t="str">
        <f>IFERROR(__xludf.DUMMYFUNCTION("IF(OR(D3547="""",G3547=""""),"""",IFERROR(LET(
campo,XLOOKUP(TRIM(G3547),ARRAYFORMULA(TRIM('indice columnas'!$A$2:$A$100)),'indice columnas'!$B$2:$B$100,""""),
col,IFERROR(MATCH(campo,Referencia!$A$1:$AZ$1,0),0),
fila,IFERROR(MATCH(TO_TEXT(D3547),ARRAYFOR"&amp;"MULA(TO_TEXT(Referencia!$A$2:$A6238)),0),0),
IF(OR(campo="""",campo=""-""),""NO APLICA"",
IF(col=0,""REVISAR EQUIVALENCIA"",
IF(fila=0,""SKU NO ENCONTRADO"",
LET(
valor,INDEX(Referencia!$A$2:$AZ6238,fila,col),
IF(TRIM(TO_TEXT(valor))=TRIM(TO_TEXT(I3547)),"&amp;"
""OK"",
""NO COINCIDE. Valor verdadero: ""&amp;IF(valor="""",""[VACÍO]"",TO_TEXT(valor))
)
))))
),""ERROR EN FÓRMULA""))"),"OK")</f>
        <v>OK</v>
      </c>
    </row>
    <row r="3548">
      <c r="A3548" s="83" t="s">
        <v>4896</v>
      </c>
      <c r="B3548" s="83" t="s">
        <v>4897</v>
      </c>
      <c r="C3548" s="81" t="s">
        <v>4086</v>
      </c>
      <c r="D3548" s="83" t="s">
        <v>4246</v>
      </c>
      <c r="E3548" s="81" t="s">
        <v>962</v>
      </c>
      <c r="F3548" s="81">
        <v>175.0</v>
      </c>
      <c r="G3548" s="81" t="s">
        <v>3</v>
      </c>
      <c r="H3548" s="81" t="s">
        <v>224</v>
      </c>
      <c r="I3548" s="81" t="s">
        <v>926</v>
      </c>
      <c r="J3548" s="81" t="s">
        <v>224</v>
      </c>
      <c r="K3548" s="81" t="str">
        <f>IFERROR(__xludf.DUMMYFUNCTION("IF(OR(D3548="""",G3548=""""),"""",IFERROR(LET(
campo,XLOOKUP(TRIM(G3548),ARRAYFORMULA(TRIM('indice columnas'!$A$2:$A$100)),'indice columnas'!$B$2:$B$100,""""),
col,IFERROR(MATCH(campo,Referencia!$A$1:$AZ$1,0),0),
fila,IFERROR(MATCH(TO_TEXT(D3548),ARRAYFOR"&amp;"MULA(TO_TEXT(Referencia!$A$2:$A6238)),0),0),
IF(OR(campo="""",campo=""-""),""NO APLICA"",
IF(col=0,""REVISAR EQUIVALENCIA"",
IF(fila=0,""SKU NO ENCONTRADO"",
LET(
valor,INDEX(Referencia!$A$2:$AZ6238,fila,col),
IF(TRIM(TO_TEXT(valor))=TRIM(TO_TEXT(I3548)),"&amp;"
""OK"",
""NO COINCIDE. Valor verdadero: ""&amp;IF(valor="""",""[VACÍO]"",TO_TEXT(valor))
)
))))
),""ERROR EN FÓRMULA""))"),"OK")</f>
        <v>OK</v>
      </c>
    </row>
    <row r="3549">
      <c r="A3549" s="83" t="s">
        <v>4896</v>
      </c>
      <c r="B3549" s="83" t="s">
        <v>4897</v>
      </c>
      <c r="C3549" s="81" t="s">
        <v>4086</v>
      </c>
      <c r="D3549" s="83" t="s">
        <v>4246</v>
      </c>
      <c r="E3549" s="81" t="s">
        <v>962</v>
      </c>
      <c r="F3549" s="81">
        <v>175.0</v>
      </c>
      <c r="G3549" s="81" t="s">
        <v>2</v>
      </c>
      <c r="H3549" s="81" t="s">
        <v>224</v>
      </c>
      <c r="I3549" s="81" t="s">
        <v>919</v>
      </c>
      <c r="J3549" s="81" t="s">
        <v>224</v>
      </c>
      <c r="K3549" s="81" t="str">
        <f>IFERROR(__xludf.DUMMYFUNCTION("IF(OR(D3549="""",G3549=""""),"""",IFERROR(LET(
campo,XLOOKUP(TRIM(G3549),ARRAYFORMULA(TRIM('indice columnas'!$A$2:$A$100)),'indice columnas'!$B$2:$B$100,""""),
col,IFERROR(MATCH(campo,Referencia!$A$1:$AZ$1,0),0),
fila,IFERROR(MATCH(TO_TEXT(D3549),ARRAYFOR"&amp;"MULA(TO_TEXT(Referencia!$A$2:$A6238)),0),0),
IF(OR(campo="""",campo=""-""),""NO APLICA"",
IF(col=0,""REVISAR EQUIVALENCIA"",
IF(fila=0,""SKU NO ENCONTRADO"",
LET(
valor,INDEX(Referencia!$A$2:$AZ6238,fila,col),
IF(TRIM(TO_TEXT(valor))=TRIM(TO_TEXT(I3549)),"&amp;"
""OK"",
""NO COINCIDE. Valor verdadero: ""&amp;IF(valor="""",""[VACÍO]"",TO_TEXT(valor))
)
))))
),""ERROR EN FÓRMULA""))"),"OK")</f>
        <v>OK</v>
      </c>
    </row>
    <row r="3550">
      <c r="A3550" s="83" t="s">
        <v>4896</v>
      </c>
      <c r="B3550" s="83" t="s">
        <v>4897</v>
      </c>
      <c r="C3550" s="81" t="s">
        <v>4086</v>
      </c>
      <c r="D3550" s="83" t="s">
        <v>4246</v>
      </c>
      <c r="E3550" s="81" t="s">
        <v>962</v>
      </c>
      <c r="F3550" s="81">
        <v>175.0</v>
      </c>
      <c r="G3550" s="81" t="s">
        <v>1</v>
      </c>
      <c r="H3550" s="81" t="s">
        <v>224</v>
      </c>
      <c r="I3550" s="81" t="s">
        <v>49</v>
      </c>
      <c r="J3550" s="81" t="s">
        <v>224</v>
      </c>
      <c r="K3550" s="81" t="str">
        <f>IFERROR(__xludf.DUMMYFUNCTION("IF(OR(D3550="""",G3550=""""),"""",IFERROR(LET(
campo,XLOOKUP(TRIM(G3550),ARRAYFORMULA(TRIM('indice columnas'!$A$2:$A$100)),'indice columnas'!$B$2:$B$100,""""),
col,IFERROR(MATCH(campo,Referencia!$A$1:$AZ$1,0),0),
fila,IFERROR(MATCH(TO_TEXT(D3550),ARRAYFOR"&amp;"MULA(TO_TEXT(Referencia!$A$2:$A6238)),0),0),
IF(OR(campo="""",campo=""-""),""NO APLICA"",
IF(col=0,""REVISAR EQUIVALENCIA"",
IF(fila=0,""SKU NO ENCONTRADO"",
LET(
valor,INDEX(Referencia!$A$2:$AZ6238,fila,col),
IF(TRIM(TO_TEXT(valor))=TRIM(TO_TEXT(I3550)),"&amp;"
""OK"",
""NO COINCIDE. Valor verdadero: ""&amp;IF(valor="""",""[VACÍO]"",TO_TEXT(valor))
)
))))
),""ERROR EN FÓRMULA""))"),"OK")</f>
        <v>OK</v>
      </c>
    </row>
    <row r="3551">
      <c r="A3551" s="83" t="s">
        <v>4896</v>
      </c>
      <c r="B3551" s="83" t="s">
        <v>4897</v>
      </c>
      <c r="C3551" s="81" t="s">
        <v>4086</v>
      </c>
      <c r="D3551" s="83" t="s">
        <v>4248</v>
      </c>
      <c r="E3551" s="81" t="s">
        <v>972</v>
      </c>
      <c r="F3551" s="81">
        <v>178.0</v>
      </c>
      <c r="G3551" s="81" t="s">
        <v>3</v>
      </c>
      <c r="H3551" s="81" t="s">
        <v>224</v>
      </c>
      <c r="I3551" s="81" t="s">
        <v>926</v>
      </c>
      <c r="J3551" s="81" t="s">
        <v>224</v>
      </c>
      <c r="K3551" s="81" t="str">
        <f>IFERROR(__xludf.DUMMYFUNCTION("IF(OR(D3551="""",G3551=""""),"""",IFERROR(LET(
campo,XLOOKUP(TRIM(G3551),ARRAYFORMULA(TRIM('indice columnas'!$A$2:$A$100)),'indice columnas'!$B$2:$B$100,""""),
col,IFERROR(MATCH(campo,Referencia!$A$1:$AZ$1,0),0),
fila,IFERROR(MATCH(TO_TEXT(D3551),ARRAYFOR"&amp;"MULA(TO_TEXT(Referencia!$A$2:$A6238)),0),0),
IF(OR(campo="""",campo=""-""),""NO APLICA"",
IF(col=0,""REVISAR EQUIVALENCIA"",
IF(fila=0,""SKU NO ENCONTRADO"",
LET(
valor,INDEX(Referencia!$A$2:$AZ6238,fila,col),
IF(TRIM(TO_TEXT(valor))=TRIM(TO_TEXT(I3551)),"&amp;"
""OK"",
""NO COINCIDE. Valor verdadero: ""&amp;IF(valor="""",""[VACÍO]"",TO_TEXT(valor))
)
))))
),""ERROR EN FÓRMULA""))"),"OK")</f>
        <v>OK</v>
      </c>
    </row>
    <row r="3552">
      <c r="A3552" s="83" t="s">
        <v>4896</v>
      </c>
      <c r="B3552" s="83" t="s">
        <v>4897</v>
      </c>
      <c r="C3552" s="81" t="s">
        <v>4086</v>
      </c>
      <c r="D3552" s="83" t="s">
        <v>4248</v>
      </c>
      <c r="E3552" s="81" t="s">
        <v>972</v>
      </c>
      <c r="F3552" s="81">
        <v>178.0</v>
      </c>
      <c r="G3552" s="81" t="s">
        <v>2</v>
      </c>
      <c r="H3552" s="81" t="s">
        <v>224</v>
      </c>
      <c r="I3552" s="81" t="s">
        <v>919</v>
      </c>
      <c r="J3552" s="81" t="s">
        <v>224</v>
      </c>
      <c r="K3552" s="81" t="str">
        <f>IFERROR(__xludf.DUMMYFUNCTION("IF(OR(D3552="""",G3552=""""),"""",IFERROR(LET(
campo,XLOOKUP(TRIM(G3552),ARRAYFORMULA(TRIM('indice columnas'!$A$2:$A$100)),'indice columnas'!$B$2:$B$100,""""),
col,IFERROR(MATCH(campo,Referencia!$A$1:$AZ$1,0),0),
fila,IFERROR(MATCH(TO_TEXT(D3552),ARRAYFOR"&amp;"MULA(TO_TEXT(Referencia!$A$2:$A6238)),0),0),
IF(OR(campo="""",campo=""-""),""NO APLICA"",
IF(col=0,""REVISAR EQUIVALENCIA"",
IF(fila=0,""SKU NO ENCONTRADO"",
LET(
valor,INDEX(Referencia!$A$2:$AZ6238,fila,col),
IF(TRIM(TO_TEXT(valor))=TRIM(TO_TEXT(I3552)),"&amp;"
""OK"",
""NO COINCIDE. Valor verdadero: ""&amp;IF(valor="""",""[VACÍO]"",TO_TEXT(valor))
)
))))
),""ERROR EN FÓRMULA""))"),"OK")</f>
        <v>OK</v>
      </c>
    </row>
    <row r="3553">
      <c r="A3553" s="83" t="s">
        <v>4896</v>
      </c>
      <c r="B3553" s="83" t="s">
        <v>4897</v>
      </c>
      <c r="C3553" s="81" t="s">
        <v>4086</v>
      </c>
      <c r="D3553" s="83" t="s">
        <v>4248</v>
      </c>
      <c r="E3553" s="81" t="s">
        <v>972</v>
      </c>
      <c r="F3553" s="81">
        <v>178.0</v>
      </c>
      <c r="G3553" s="81" t="s">
        <v>1</v>
      </c>
      <c r="H3553" s="81" t="s">
        <v>224</v>
      </c>
      <c r="I3553" s="81" t="s">
        <v>49</v>
      </c>
      <c r="J3553" s="81" t="s">
        <v>224</v>
      </c>
      <c r="K3553" s="81" t="str">
        <f>IFERROR(__xludf.DUMMYFUNCTION("IF(OR(D3553="""",G3553=""""),"""",IFERROR(LET(
campo,XLOOKUP(TRIM(G3553),ARRAYFORMULA(TRIM('indice columnas'!$A$2:$A$100)),'indice columnas'!$B$2:$B$100,""""),
col,IFERROR(MATCH(campo,Referencia!$A$1:$AZ$1,0),0),
fila,IFERROR(MATCH(TO_TEXT(D3553),ARRAYFOR"&amp;"MULA(TO_TEXT(Referencia!$A$2:$A6238)),0),0),
IF(OR(campo="""",campo=""-""),""NO APLICA"",
IF(col=0,""REVISAR EQUIVALENCIA"",
IF(fila=0,""SKU NO ENCONTRADO"",
LET(
valor,INDEX(Referencia!$A$2:$AZ6238,fila,col),
IF(TRIM(TO_TEXT(valor))=TRIM(TO_TEXT(I3553)),"&amp;"
""OK"",
""NO COINCIDE. Valor verdadero: ""&amp;IF(valor="""",""[VACÍO]"",TO_TEXT(valor))
)
))))
),""ERROR EN FÓRMULA""))"),"OK")</f>
        <v>OK</v>
      </c>
    </row>
    <row r="3554">
      <c r="A3554" s="83" t="s">
        <v>4896</v>
      </c>
      <c r="B3554" s="83" t="s">
        <v>4897</v>
      </c>
      <c r="C3554" s="81" t="s">
        <v>4086</v>
      </c>
      <c r="D3554" s="83" t="s">
        <v>4250</v>
      </c>
      <c r="E3554" s="81" t="s">
        <v>982</v>
      </c>
      <c r="F3554" s="81">
        <v>181.0</v>
      </c>
      <c r="G3554" s="81" t="s">
        <v>3</v>
      </c>
      <c r="H3554" s="81" t="s">
        <v>224</v>
      </c>
      <c r="I3554" s="81" t="s">
        <v>926</v>
      </c>
      <c r="J3554" s="81" t="s">
        <v>224</v>
      </c>
      <c r="K3554" s="81" t="str">
        <f>IFERROR(__xludf.DUMMYFUNCTION("IF(OR(D3554="""",G3554=""""),"""",IFERROR(LET(
campo,XLOOKUP(TRIM(G3554),ARRAYFORMULA(TRIM('indice columnas'!$A$2:$A$100)),'indice columnas'!$B$2:$B$100,""""),
col,IFERROR(MATCH(campo,Referencia!$A$1:$AZ$1,0),0),
fila,IFERROR(MATCH(TO_TEXT(D3554),ARRAYFOR"&amp;"MULA(TO_TEXT(Referencia!$A$2:$A6238)),0),0),
IF(OR(campo="""",campo=""-""),""NO APLICA"",
IF(col=0,""REVISAR EQUIVALENCIA"",
IF(fila=0,""SKU NO ENCONTRADO"",
LET(
valor,INDEX(Referencia!$A$2:$AZ6238,fila,col),
IF(TRIM(TO_TEXT(valor))=TRIM(TO_TEXT(I3554)),"&amp;"
""OK"",
""NO COINCIDE. Valor verdadero: ""&amp;IF(valor="""",""[VACÍO]"",TO_TEXT(valor))
)
))))
),""ERROR EN FÓRMULA""))"),"OK")</f>
        <v>OK</v>
      </c>
    </row>
    <row r="3555">
      <c r="A3555" s="83" t="s">
        <v>4896</v>
      </c>
      <c r="B3555" s="83" t="s">
        <v>4897</v>
      </c>
      <c r="C3555" s="81" t="s">
        <v>4086</v>
      </c>
      <c r="D3555" s="83" t="s">
        <v>4250</v>
      </c>
      <c r="E3555" s="81" t="s">
        <v>982</v>
      </c>
      <c r="F3555" s="81">
        <v>181.0</v>
      </c>
      <c r="G3555" s="81" t="s">
        <v>2</v>
      </c>
      <c r="H3555" s="81" t="s">
        <v>224</v>
      </c>
      <c r="I3555" s="81" t="s">
        <v>919</v>
      </c>
      <c r="J3555" s="81" t="s">
        <v>224</v>
      </c>
      <c r="K3555" s="81" t="str">
        <f>IFERROR(__xludf.DUMMYFUNCTION("IF(OR(D3555="""",G3555=""""),"""",IFERROR(LET(
campo,XLOOKUP(TRIM(G3555),ARRAYFORMULA(TRIM('indice columnas'!$A$2:$A$100)),'indice columnas'!$B$2:$B$100,""""),
col,IFERROR(MATCH(campo,Referencia!$A$1:$AZ$1,0),0),
fila,IFERROR(MATCH(TO_TEXT(D3555),ARRAYFOR"&amp;"MULA(TO_TEXT(Referencia!$A$2:$A6238)),0),0),
IF(OR(campo="""",campo=""-""),""NO APLICA"",
IF(col=0,""REVISAR EQUIVALENCIA"",
IF(fila=0,""SKU NO ENCONTRADO"",
LET(
valor,INDEX(Referencia!$A$2:$AZ6238,fila,col),
IF(TRIM(TO_TEXT(valor))=TRIM(TO_TEXT(I3555)),"&amp;"
""OK"",
""NO COINCIDE. Valor verdadero: ""&amp;IF(valor="""",""[VACÍO]"",TO_TEXT(valor))
)
))))
),""ERROR EN FÓRMULA""))"),"OK")</f>
        <v>OK</v>
      </c>
    </row>
    <row r="3556">
      <c r="A3556" s="83" t="s">
        <v>4896</v>
      </c>
      <c r="B3556" s="83" t="s">
        <v>4897</v>
      </c>
      <c r="C3556" s="81" t="s">
        <v>4086</v>
      </c>
      <c r="D3556" s="83" t="s">
        <v>4250</v>
      </c>
      <c r="E3556" s="81" t="s">
        <v>982</v>
      </c>
      <c r="F3556" s="81">
        <v>181.0</v>
      </c>
      <c r="G3556" s="81" t="s">
        <v>1</v>
      </c>
      <c r="H3556" s="81" t="s">
        <v>224</v>
      </c>
      <c r="I3556" s="81" t="s">
        <v>49</v>
      </c>
      <c r="J3556" s="81" t="s">
        <v>224</v>
      </c>
      <c r="K3556" s="81" t="str">
        <f>IFERROR(__xludf.DUMMYFUNCTION("IF(OR(D3556="""",G3556=""""),"""",IFERROR(LET(
campo,XLOOKUP(TRIM(G3556),ARRAYFORMULA(TRIM('indice columnas'!$A$2:$A$100)),'indice columnas'!$B$2:$B$100,""""),
col,IFERROR(MATCH(campo,Referencia!$A$1:$AZ$1,0),0),
fila,IFERROR(MATCH(TO_TEXT(D3556),ARRAYFOR"&amp;"MULA(TO_TEXT(Referencia!$A$2:$A6238)),0),0),
IF(OR(campo="""",campo=""-""),""NO APLICA"",
IF(col=0,""REVISAR EQUIVALENCIA"",
IF(fila=0,""SKU NO ENCONTRADO"",
LET(
valor,INDEX(Referencia!$A$2:$AZ6238,fila,col),
IF(TRIM(TO_TEXT(valor))=TRIM(TO_TEXT(I3556)),"&amp;"
""OK"",
""NO COINCIDE. Valor verdadero: ""&amp;IF(valor="""",""[VACÍO]"",TO_TEXT(valor))
)
))))
),""ERROR EN FÓRMULA""))"),"OK")</f>
        <v>OK</v>
      </c>
    </row>
    <row r="3557">
      <c r="A3557" s="83" t="s">
        <v>4896</v>
      </c>
      <c r="B3557" s="83" t="s">
        <v>4897</v>
      </c>
      <c r="C3557" s="81" t="s">
        <v>4086</v>
      </c>
      <c r="D3557" s="83" t="s">
        <v>4252</v>
      </c>
      <c r="E3557" s="81" t="s">
        <v>992</v>
      </c>
      <c r="F3557" s="81">
        <v>184.0</v>
      </c>
      <c r="G3557" s="81" t="s">
        <v>3</v>
      </c>
      <c r="H3557" s="81" t="s">
        <v>224</v>
      </c>
      <c r="I3557" s="81" t="s">
        <v>926</v>
      </c>
      <c r="J3557" s="81" t="s">
        <v>224</v>
      </c>
      <c r="K3557" s="81" t="str">
        <f>IFERROR(__xludf.DUMMYFUNCTION("IF(OR(D3557="""",G3557=""""),"""",IFERROR(LET(
campo,XLOOKUP(TRIM(G3557),ARRAYFORMULA(TRIM('indice columnas'!$A$2:$A$100)),'indice columnas'!$B$2:$B$100,""""),
col,IFERROR(MATCH(campo,Referencia!$A$1:$AZ$1,0),0),
fila,IFERROR(MATCH(TO_TEXT(D3557),ARRAYFOR"&amp;"MULA(TO_TEXT(Referencia!$A$2:$A6238)),0),0),
IF(OR(campo="""",campo=""-""),""NO APLICA"",
IF(col=0,""REVISAR EQUIVALENCIA"",
IF(fila=0,""SKU NO ENCONTRADO"",
LET(
valor,INDEX(Referencia!$A$2:$AZ6238,fila,col),
IF(TRIM(TO_TEXT(valor))=TRIM(TO_TEXT(I3557)),"&amp;"
""OK"",
""NO COINCIDE. Valor verdadero: ""&amp;IF(valor="""",""[VACÍO]"",TO_TEXT(valor))
)
))))
),""ERROR EN FÓRMULA""))"),"OK")</f>
        <v>OK</v>
      </c>
    </row>
    <row r="3558">
      <c r="A3558" s="83" t="s">
        <v>4896</v>
      </c>
      <c r="B3558" s="83" t="s">
        <v>4897</v>
      </c>
      <c r="C3558" s="81" t="s">
        <v>4086</v>
      </c>
      <c r="D3558" s="83" t="s">
        <v>4252</v>
      </c>
      <c r="E3558" s="81" t="s">
        <v>992</v>
      </c>
      <c r="F3558" s="81">
        <v>184.0</v>
      </c>
      <c r="G3558" s="81" t="s">
        <v>2</v>
      </c>
      <c r="H3558" s="81" t="s">
        <v>224</v>
      </c>
      <c r="I3558" s="81" t="s">
        <v>919</v>
      </c>
      <c r="J3558" s="81" t="s">
        <v>224</v>
      </c>
      <c r="K3558" s="81" t="str">
        <f>IFERROR(__xludf.DUMMYFUNCTION("IF(OR(D3558="""",G3558=""""),"""",IFERROR(LET(
campo,XLOOKUP(TRIM(G3558),ARRAYFORMULA(TRIM('indice columnas'!$A$2:$A$100)),'indice columnas'!$B$2:$B$100,""""),
col,IFERROR(MATCH(campo,Referencia!$A$1:$AZ$1,0),0),
fila,IFERROR(MATCH(TO_TEXT(D3558),ARRAYFOR"&amp;"MULA(TO_TEXT(Referencia!$A$2:$A6238)),0),0),
IF(OR(campo="""",campo=""-""),""NO APLICA"",
IF(col=0,""REVISAR EQUIVALENCIA"",
IF(fila=0,""SKU NO ENCONTRADO"",
LET(
valor,INDEX(Referencia!$A$2:$AZ6238,fila,col),
IF(TRIM(TO_TEXT(valor))=TRIM(TO_TEXT(I3558)),"&amp;"
""OK"",
""NO COINCIDE. Valor verdadero: ""&amp;IF(valor="""",""[VACÍO]"",TO_TEXT(valor))
)
))))
),""ERROR EN FÓRMULA""))"),"OK")</f>
        <v>OK</v>
      </c>
    </row>
    <row r="3559">
      <c r="A3559" s="83" t="s">
        <v>4896</v>
      </c>
      <c r="B3559" s="83" t="s">
        <v>4897</v>
      </c>
      <c r="C3559" s="81" t="s">
        <v>4086</v>
      </c>
      <c r="D3559" s="83" t="s">
        <v>4252</v>
      </c>
      <c r="E3559" s="81" t="s">
        <v>992</v>
      </c>
      <c r="F3559" s="81">
        <v>184.0</v>
      </c>
      <c r="G3559" s="81" t="s">
        <v>1</v>
      </c>
      <c r="H3559" s="81" t="s">
        <v>224</v>
      </c>
      <c r="I3559" s="81" t="s">
        <v>49</v>
      </c>
      <c r="J3559" s="81" t="s">
        <v>224</v>
      </c>
      <c r="K3559" s="81" t="str">
        <f>IFERROR(__xludf.DUMMYFUNCTION("IF(OR(D3559="""",G3559=""""),"""",IFERROR(LET(
campo,XLOOKUP(TRIM(G3559),ARRAYFORMULA(TRIM('indice columnas'!$A$2:$A$100)),'indice columnas'!$B$2:$B$100,""""),
col,IFERROR(MATCH(campo,Referencia!$A$1:$AZ$1,0),0),
fila,IFERROR(MATCH(TO_TEXT(D3559),ARRAYFOR"&amp;"MULA(TO_TEXT(Referencia!$A$2:$A6238)),0),0),
IF(OR(campo="""",campo=""-""),""NO APLICA"",
IF(col=0,""REVISAR EQUIVALENCIA"",
IF(fila=0,""SKU NO ENCONTRADO"",
LET(
valor,INDEX(Referencia!$A$2:$AZ6238,fila,col),
IF(TRIM(TO_TEXT(valor))=TRIM(TO_TEXT(I3559)),"&amp;"
""OK"",
""NO COINCIDE. Valor verdadero: ""&amp;IF(valor="""",""[VACÍO]"",TO_TEXT(valor))
)
))))
),""ERROR EN FÓRMULA""))"),"OK")</f>
        <v>OK</v>
      </c>
    </row>
    <row r="3560">
      <c r="A3560" s="83" t="s">
        <v>4896</v>
      </c>
      <c r="B3560" s="83" t="s">
        <v>4897</v>
      </c>
      <c r="C3560" s="81" t="s">
        <v>4086</v>
      </c>
      <c r="D3560" s="83" t="s">
        <v>4254</v>
      </c>
      <c r="E3560" s="81" t="s">
        <v>1002</v>
      </c>
      <c r="F3560" s="81">
        <v>187.0</v>
      </c>
      <c r="G3560" s="81" t="s">
        <v>3</v>
      </c>
      <c r="H3560" s="81" t="s">
        <v>224</v>
      </c>
      <c r="I3560" s="81" t="s">
        <v>926</v>
      </c>
      <c r="J3560" s="81" t="s">
        <v>224</v>
      </c>
      <c r="K3560" s="81" t="str">
        <f>IFERROR(__xludf.DUMMYFUNCTION("IF(OR(D3560="""",G3560=""""),"""",IFERROR(LET(
campo,XLOOKUP(TRIM(G3560),ARRAYFORMULA(TRIM('indice columnas'!$A$2:$A$100)),'indice columnas'!$B$2:$B$100,""""),
col,IFERROR(MATCH(campo,Referencia!$A$1:$AZ$1,0),0),
fila,IFERROR(MATCH(TO_TEXT(D3560),ARRAYFOR"&amp;"MULA(TO_TEXT(Referencia!$A$2:$A6238)),0),0),
IF(OR(campo="""",campo=""-""),""NO APLICA"",
IF(col=0,""REVISAR EQUIVALENCIA"",
IF(fila=0,""SKU NO ENCONTRADO"",
LET(
valor,INDEX(Referencia!$A$2:$AZ6238,fila,col),
IF(TRIM(TO_TEXT(valor))=TRIM(TO_TEXT(I3560)),"&amp;"
""OK"",
""NO COINCIDE. Valor verdadero: ""&amp;IF(valor="""",""[VACÍO]"",TO_TEXT(valor))
)
))))
),""ERROR EN FÓRMULA""))"),"OK")</f>
        <v>OK</v>
      </c>
    </row>
    <row r="3561">
      <c r="A3561" s="83" t="s">
        <v>4896</v>
      </c>
      <c r="B3561" s="83" t="s">
        <v>4897</v>
      </c>
      <c r="C3561" s="81" t="s">
        <v>4086</v>
      </c>
      <c r="D3561" s="83" t="s">
        <v>4254</v>
      </c>
      <c r="E3561" s="81" t="s">
        <v>1002</v>
      </c>
      <c r="F3561" s="81">
        <v>187.0</v>
      </c>
      <c r="G3561" s="81" t="s">
        <v>2</v>
      </c>
      <c r="H3561" s="81" t="s">
        <v>224</v>
      </c>
      <c r="I3561" s="81" t="s">
        <v>919</v>
      </c>
      <c r="J3561" s="81" t="s">
        <v>224</v>
      </c>
      <c r="K3561" s="81" t="str">
        <f>IFERROR(__xludf.DUMMYFUNCTION("IF(OR(D3561="""",G3561=""""),"""",IFERROR(LET(
campo,XLOOKUP(TRIM(G3561),ARRAYFORMULA(TRIM('indice columnas'!$A$2:$A$100)),'indice columnas'!$B$2:$B$100,""""),
col,IFERROR(MATCH(campo,Referencia!$A$1:$AZ$1,0),0),
fila,IFERROR(MATCH(TO_TEXT(D3561),ARRAYFOR"&amp;"MULA(TO_TEXT(Referencia!$A$2:$A6238)),0),0),
IF(OR(campo="""",campo=""-""),""NO APLICA"",
IF(col=0,""REVISAR EQUIVALENCIA"",
IF(fila=0,""SKU NO ENCONTRADO"",
LET(
valor,INDEX(Referencia!$A$2:$AZ6238,fila,col),
IF(TRIM(TO_TEXT(valor))=TRIM(TO_TEXT(I3561)),"&amp;"
""OK"",
""NO COINCIDE. Valor verdadero: ""&amp;IF(valor="""",""[VACÍO]"",TO_TEXT(valor))
)
))))
),""ERROR EN FÓRMULA""))"),"OK")</f>
        <v>OK</v>
      </c>
    </row>
    <row r="3562">
      <c r="A3562" s="83" t="s">
        <v>4896</v>
      </c>
      <c r="B3562" s="83" t="s">
        <v>4897</v>
      </c>
      <c r="C3562" s="81" t="s">
        <v>4086</v>
      </c>
      <c r="D3562" s="83" t="s">
        <v>4254</v>
      </c>
      <c r="E3562" s="81" t="s">
        <v>1002</v>
      </c>
      <c r="F3562" s="81">
        <v>187.0</v>
      </c>
      <c r="G3562" s="81" t="s">
        <v>1</v>
      </c>
      <c r="H3562" s="81" t="s">
        <v>224</v>
      </c>
      <c r="I3562" s="81" t="s">
        <v>49</v>
      </c>
      <c r="J3562" s="81" t="s">
        <v>224</v>
      </c>
      <c r="K3562" s="81" t="str">
        <f>IFERROR(__xludf.DUMMYFUNCTION("IF(OR(D3562="""",G3562=""""),"""",IFERROR(LET(
campo,XLOOKUP(TRIM(G3562),ARRAYFORMULA(TRIM('indice columnas'!$A$2:$A$100)),'indice columnas'!$B$2:$B$100,""""),
col,IFERROR(MATCH(campo,Referencia!$A$1:$AZ$1,0),0),
fila,IFERROR(MATCH(TO_TEXT(D3562),ARRAYFOR"&amp;"MULA(TO_TEXT(Referencia!$A$2:$A6238)),0),0),
IF(OR(campo="""",campo=""-""),""NO APLICA"",
IF(col=0,""REVISAR EQUIVALENCIA"",
IF(fila=0,""SKU NO ENCONTRADO"",
LET(
valor,INDEX(Referencia!$A$2:$AZ6238,fila,col),
IF(TRIM(TO_TEXT(valor))=TRIM(TO_TEXT(I3562)),"&amp;"
""OK"",
""NO COINCIDE. Valor verdadero: ""&amp;IF(valor="""",""[VACÍO]"",TO_TEXT(valor))
)
))))
),""ERROR EN FÓRMULA""))"),"OK")</f>
        <v>OK</v>
      </c>
    </row>
    <row r="3563">
      <c r="A3563" s="83" t="s">
        <v>4896</v>
      </c>
      <c r="B3563" s="83" t="s">
        <v>4897</v>
      </c>
      <c r="C3563" s="81" t="s">
        <v>4086</v>
      </c>
      <c r="D3563" s="83" t="s">
        <v>4256</v>
      </c>
      <c r="E3563" s="81" t="s">
        <v>1012</v>
      </c>
      <c r="F3563" s="81">
        <v>190.0</v>
      </c>
      <c r="G3563" s="81" t="s">
        <v>3</v>
      </c>
      <c r="H3563" s="81" t="s">
        <v>224</v>
      </c>
      <c r="I3563" s="81" t="s">
        <v>926</v>
      </c>
      <c r="J3563" s="81" t="s">
        <v>224</v>
      </c>
      <c r="K3563" s="81" t="str">
        <f>IFERROR(__xludf.DUMMYFUNCTION("IF(OR(D3563="""",G3563=""""),"""",IFERROR(LET(
campo,XLOOKUP(TRIM(G3563),ARRAYFORMULA(TRIM('indice columnas'!$A$2:$A$100)),'indice columnas'!$B$2:$B$100,""""),
col,IFERROR(MATCH(campo,Referencia!$A$1:$AZ$1,0),0),
fila,IFERROR(MATCH(TO_TEXT(D3563),ARRAYFOR"&amp;"MULA(TO_TEXT(Referencia!$A$2:$A6238)),0),0),
IF(OR(campo="""",campo=""-""),""NO APLICA"",
IF(col=0,""REVISAR EQUIVALENCIA"",
IF(fila=0,""SKU NO ENCONTRADO"",
LET(
valor,INDEX(Referencia!$A$2:$AZ6238,fila,col),
IF(TRIM(TO_TEXT(valor))=TRIM(TO_TEXT(I3563)),"&amp;"
""OK"",
""NO COINCIDE. Valor verdadero: ""&amp;IF(valor="""",""[VACÍO]"",TO_TEXT(valor))
)
))))
),""ERROR EN FÓRMULA""))"),"OK")</f>
        <v>OK</v>
      </c>
    </row>
    <row r="3564">
      <c r="A3564" s="83" t="s">
        <v>4896</v>
      </c>
      <c r="B3564" s="83" t="s">
        <v>4897</v>
      </c>
      <c r="C3564" s="81" t="s">
        <v>4086</v>
      </c>
      <c r="D3564" s="83" t="s">
        <v>4256</v>
      </c>
      <c r="E3564" s="81" t="s">
        <v>1012</v>
      </c>
      <c r="F3564" s="81">
        <v>190.0</v>
      </c>
      <c r="G3564" s="81" t="s">
        <v>2</v>
      </c>
      <c r="H3564" s="81" t="s">
        <v>224</v>
      </c>
      <c r="I3564" s="81" t="s">
        <v>919</v>
      </c>
      <c r="J3564" s="81" t="s">
        <v>224</v>
      </c>
      <c r="K3564" s="81" t="str">
        <f>IFERROR(__xludf.DUMMYFUNCTION("IF(OR(D3564="""",G3564=""""),"""",IFERROR(LET(
campo,XLOOKUP(TRIM(G3564),ARRAYFORMULA(TRIM('indice columnas'!$A$2:$A$100)),'indice columnas'!$B$2:$B$100,""""),
col,IFERROR(MATCH(campo,Referencia!$A$1:$AZ$1,0),0),
fila,IFERROR(MATCH(TO_TEXT(D3564),ARRAYFOR"&amp;"MULA(TO_TEXT(Referencia!$A$2:$A6238)),0),0),
IF(OR(campo="""",campo=""-""),""NO APLICA"",
IF(col=0,""REVISAR EQUIVALENCIA"",
IF(fila=0,""SKU NO ENCONTRADO"",
LET(
valor,INDEX(Referencia!$A$2:$AZ6238,fila,col),
IF(TRIM(TO_TEXT(valor))=TRIM(TO_TEXT(I3564)),"&amp;"
""OK"",
""NO COINCIDE. Valor verdadero: ""&amp;IF(valor="""",""[VACÍO]"",TO_TEXT(valor))
)
))))
),""ERROR EN FÓRMULA""))"),"OK")</f>
        <v>OK</v>
      </c>
    </row>
    <row r="3565">
      <c r="A3565" s="83" t="s">
        <v>4896</v>
      </c>
      <c r="B3565" s="83" t="s">
        <v>4897</v>
      </c>
      <c r="C3565" s="81" t="s">
        <v>4086</v>
      </c>
      <c r="D3565" s="83" t="s">
        <v>4256</v>
      </c>
      <c r="E3565" s="81" t="s">
        <v>1012</v>
      </c>
      <c r="F3565" s="81">
        <v>190.0</v>
      </c>
      <c r="G3565" s="81" t="s">
        <v>1</v>
      </c>
      <c r="H3565" s="81" t="s">
        <v>224</v>
      </c>
      <c r="I3565" s="81" t="s">
        <v>49</v>
      </c>
      <c r="J3565" s="81" t="s">
        <v>224</v>
      </c>
      <c r="K3565" s="81" t="str">
        <f>IFERROR(__xludf.DUMMYFUNCTION("IF(OR(D3565="""",G3565=""""),"""",IFERROR(LET(
campo,XLOOKUP(TRIM(G3565),ARRAYFORMULA(TRIM('indice columnas'!$A$2:$A$100)),'indice columnas'!$B$2:$B$100,""""),
col,IFERROR(MATCH(campo,Referencia!$A$1:$AZ$1,0),0),
fila,IFERROR(MATCH(TO_TEXT(D3565),ARRAYFOR"&amp;"MULA(TO_TEXT(Referencia!$A$2:$A6238)),0),0),
IF(OR(campo="""",campo=""-""),""NO APLICA"",
IF(col=0,""REVISAR EQUIVALENCIA"",
IF(fila=0,""SKU NO ENCONTRADO"",
LET(
valor,INDEX(Referencia!$A$2:$AZ6238,fila,col),
IF(TRIM(TO_TEXT(valor))=TRIM(TO_TEXT(I3565)),"&amp;"
""OK"",
""NO COINCIDE. Valor verdadero: ""&amp;IF(valor="""",""[VACÍO]"",TO_TEXT(valor))
)
))))
),""ERROR EN FÓRMULA""))"),"OK")</f>
        <v>OK</v>
      </c>
    </row>
    <row r="3566">
      <c r="A3566" s="83" t="s">
        <v>4896</v>
      </c>
      <c r="B3566" s="83" t="s">
        <v>4897</v>
      </c>
      <c r="C3566" s="81" t="s">
        <v>4086</v>
      </c>
      <c r="D3566" s="83" t="s">
        <v>4260</v>
      </c>
      <c r="E3566" s="81" t="s">
        <v>1028</v>
      </c>
      <c r="F3566" s="81">
        <v>193.0</v>
      </c>
      <c r="G3566" s="81" t="s">
        <v>3</v>
      </c>
      <c r="H3566" s="81" t="s">
        <v>224</v>
      </c>
      <c r="I3566" s="81" t="s">
        <v>1016</v>
      </c>
      <c r="J3566" s="81" t="s">
        <v>224</v>
      </c>
      <c r="K3566" s="81" t="str">
        <f>IFERROR(__xludf.DUMMYFUNCTION("IF(OR(D3566="""",G3566=""""),"""",IFERROR(LET(
campo,XLOOKUP(TRIM(G3566),ARRAYFORMULA(TRIM('indice columnas'!$A$2:$A$100)),'indice columnas'!$B$2:$B$100,""""),
col,IFERROR(MATCH(campo,Referencia!$A$1:$AZ$1,0),0),
fila,IFERROR(MATCH(TO_TEXT(D3566),ARRAYFOR"&amp;"MULA(TO_TEXT(Referencia!$A$2:$A6238)),0),0),
IF(OR(campo="""",campo=""-""),""NO APLICA"",
IF(col=0,""REVISAR EQUIVALENCIA"",
IF(fila=0,""SKU NO ENCONTRADO"",
LET(
valor,INDEX(Referencia!$A$2:$AZ6238,fila,col),
IF(TRIM(TO_TEXT(valor))=TRIM(TO_TEXT(I3566)),"&amp;"
""OK"",
""NO COINCIDE. Valor verdadero: ""&amp;IF(valor="""",""[VACÍO]"",TO_TEXT(valor))
)
))))
),""ERROR EN FÓRMULA""))"),"OK")</f>
        <v>OK</v>
      </c>
    </row>
    <row r="3567">
      <c r="A3567" s="83" t="s">
        <v>4896</v>
      </c>
      <c r="B3567" s="83" t="s">
        <v>4897</v>
      </c>
      <c r="C3567" s="81" t="s">
        <v>4086</v>
      </c>
      <c r="D3567" s="83" t="s">
        <v>4260</v>
      </c>
      <c r="E3567" s="81" t="s">
        <v>1028</v>
      </c>
      <c r="F3567" s="81">
        <v>193.0</v>
      </c>
      <c r="G3567" s="81" t="s">
        <v>2</v>
      </c>
      <c r="H3567" s="81" t="s">
        <v>224</v>
      </c>
      <c r="I3567" s="81" t="s">
        <v>919</v>
      </c>
      <c r="J3567" s="81" t="s">
        <v>224</v>
      </c>
      <c r="K3567" s="81" t="str">
        <f>IFERROR(__xludf.DUMMYFUNCTION("IF(OR(D3567="""",G3567=""""),"""",IFERROR(LET(
campo,XLOOKUP(TRIM(G3567),ARRAYFORMULA(TRIM('indice columnas'!$A$2:$A$100)),'indice columnas'!$B$2:$B$100,""""),
col,IFERROR(MATCH(campo,Referencia!$A$1:$AZ$1,0),0),
fila,IFERROR(MATCH(TO_TEXT(D3567),ARRAYFOR"&amp;"MULA(TO_TEXT(Referencia!$A$2:$A6238)),0),0),
IF(OR(campo="""",campo=""-""),""NO APLICA"",
IF(col=0,""REVISAR EQUIVALENCIA"",
IF(fila=0,""SKU NO ENCONTRADO"",
LET(
valor,INDEX(Referencia!$A$2:$AZ6238,fila,col),
IF(TRIM(TO_TEXT(valor))=TRIM(TO_TEXT(I3567)),"&amp;"
""OK"",
""NO COINCIDE. Valor verdadero: ""&amp;IF(valor="""",""[VACÍO]"",TO_TEXT(valor))
)
))))
),""ERROR EN FÓRMULA""))"),"OK")</f>
        <v>OK</v>
      </c>
    </row>
    <row r="3568">
      <c r="A3568" s="83" t="s">
        <v>4896</v>
      </c>
      <c r="B3568" s="83" t="s">
        <v>4897</v>
      </c>
      <c r="C3568" s="81" t="s">
        <v>4086</v>
      </c>
      <c r="D3568" s="83" t="s">
        <v>4260</v>
      </c>
      <c r="E3568" s="81" t="s">
        <v>1028</v>
      </c>
      <c r="F3568" s="81">
        <v>193.0</v>
      </c>
      <c r="G3568" s="81" t="s">
        <v>1</v>
      </c>
      <c r="H3568" s="81" t="s">
        <v>224</v>
      </c>
      <c r="I3568" s="81" t="s">
        <v>49</v>
      </c>
      <c r="J3568" s="81" t="s">
        <v>224</v>
      </c>
      <c r="K3568" s="81" t="str">
        <f>IFERROR(__xludf.DUMMYFUNCTION("IF(OR(D3568="""",G3568=""""),"""",IFERROR(LET(
campo,XLOOKUP(TRIM(G3568),ARRAYFORMULA(TRIM('indice columnas'!$A$2:$A$100)),'indice columnas'!$B$2:$B$100,""""),
col,IFERROR(MATCH(campo,Referencia!$A$1:$AZ$1,0),0),
fila,IFERROR(MATCH(TO_TEXT(D3568),ARRAYFOR"&amp;"MULA(TO_TEXT(Referencia!$A$2:$A6238)),0),0),
IF(OR(campo="""",campo=""-""),""NO APLICA"",
IF(col=0,""REVISAR EQUIVALENCIA"",
IF(fila=0,""SKU NO ENCONTRADO"",
LET(
valor,INDEX(Referencia!$A$2:$AZ6238,fila,col),
IF(TRIM(TO_TEXT(valor))=TRIM(TO_TEXT(I3568)),"&amp;"
""OK"",
""NO COINCIDE. Valor verdadero: ""&amp;IF(valor="""",""[VACÍO]"",TO_TEXT(valor))
)
))))
),""ERROR EN FÓRMULA""))"),"OK")</f>
        <v>OK</v>
      </c>
    </row>
    <row r="3569">
      <c r="A3569" s="83" t="s">
        <v>4896</v>
      </c>
      <c r="B3569" s="83" t="s">
        <v>4897</v>
      </c>
      <c r="C3569" s="81" t="s">
        <v>4086</v>
      </c>
      <c r="D3569" s="83" t="s">
        <v>4261</v>
      </c>
      <c r="E3569" s="81" t="s">
        <v>1032</v>
      </c>
      <c r="F3569" s="81">
        <v>194.0</v>
      </c>
      <c r="G3569" s="81" t="s">
        <v>3</v>
      </c>
      <c r="H3569" s="81" t="s">
        <v>224</v>
      </c>
      <c r="I3569" s="81" t="s">
        <v>1016</v>
      </c>
      <c r="J3569" s="81" t="s">
        <v>224</v>
      </c>
      <c r="K3569" s="81" t="str">
        <f>IFERROR(__xludf.DUMMYFUNCTION("IF(OR(D3569="""",G3569=""""),"""",IFERROR(LET(
campo,XLOOKUP(TRIM(G3569),ARRAYFORMULA(TRIM('indice columnas'!$A$2:$A$100)),'indice columnas'!$B$2:$B$100,""""),
col,IFERROR(MATCH(campo,Referencia!$A$1:$AZ$1,0),0),
fila,IFERROR(MATCH(TO_TEXT(D3569),ARRAYFOR"&amp;"MULA(TO_TEXT(Referencia!$A$2:$A6238)),0),0),
IF(OR(campo="""",campo=""-""),""NO APLICA"",
IF(col=0,""REVISAR EQUIVALENCIA"",
IF(fila=0,""SKU NO ENCONTRADO"",
LET(
valor,INDEX(Referencia!$A$2:$AZ6238,fila,col),
IF(TRIM(TO_TEXT(valor))=TRIM(TO_TEXT(I3569)),"&amp;"
""OK"",
""NO COINCIDE. Valor verdadero: ""&amp;IF(valor="""",""[VACÍO]"",TO_TEXT(valor))
)
))))
),""ERROR EN FÓRMULA""))"),"OK")</f>
        <v>OK</v>
      </c>
    </row>
    <row r="3570">
      <c r="A3570" s="83" t="s">
        <v>4896</v>
      </c>
      <c r="B3570" s="83" t="s">
        <v>4897</v>
      </c>
      <c r="C3570" s="81" t="s">
        <v>4086</v>
      </c>
      <c r="D3570" s="83" t="s">
        <v>4261</v>
      </c>
      <c r="E3570" s="81" t="s">
        <v>1032</v>
      </c>
      <c r="F3570" s="81">
        <v>194.0</v>
      </c>
      <c r="G3570" s="81" t="s">
        <v>2</v>
      </c>
      <c r="H3570" s="81" t="s">
        <v>224</v>
      </c>
      <c r="I3570" s="81" t="s">
        <v>919</v>
      </c>
      <c r="J3570" s="81" t="s">
        <v>224</v>
      </c>
      <c r="K3570" s="81" t="str">
        <f>IFERROR(__xludf.DUMMYFUNCTION("IF(OR(D3570="""",G3570=""""),"""",IFERROR(LET(
campo,XLOOKUP(TRIM(G3570),ARRAYFORMULA(TRIM('indice columnas'!$A$2:$A$100)),'indice columnas'!$B$2:$B$100,""""),
col,IFERROR(MATCH(campo,Referencia!$A$1:$AZ$1,0),0),
fila,IFERROR(MATCH(TO_TEXT(D3570),ARRAYFOR"&amp;"MULA(TO_TEXT(Referencia!$A$2:$A6238)),0),0),
IF(OR(campo="""",campo=""-""),""NO APLICA"",
IF(col=0,""REVISAR EQUIVALENCIA"",
IF(fila=0,""SKU NO ENCONTRADO"",
LET(
valor,INDEX(Referencia!$A$2:$AZ6238,fila,col),
IF(TRIM(TO_TEXT(valor))=TRIM(TO_TEXT(I3570)),"&amp;"
""OK"",
""NO COINCIDE. Valor verdadero: ""&amp;IF(valor="""",""[VACÍO]"",TO_TEXT(valor))
)
))))
),""ERROR EN FÓRMULA""))"),"OK")</f>
        <v>OK</v>
      </c>
    </row>
    <row r="3571">
      <c r="A3571" s="83" t="s">
        <v>4896</v>
      </c>
      <c r="B3571" s="83" t="s">
        <v>4897</v>
      </c>
      <c r="C3571" s="81" t="s">
        <v>4086</v>
      </c>
      <c r="D3571" s="83" t="s">
        <v>4261</v>
      </c>
      <c r="E3571" s="81" t="s">
        <v>1032</v>
      </c>
      <c r="F3571" s="81">
        <v>194.0</v>
      </c>
      <c r="G3571" s="81" t="s">
        <v>1</v>
      </c>
      <c r="H3571" s="81" t="s">
        <v>224</v>
      </c>
      <c r="I3571" s="81" t="s">
        <v>49</v>
      </c>
      <c r="J3571" s="81" t="s">
        <v>224</v>
      </c>
      <c r="K3571" s="81" t="str">
        <f>IFERROR(__xludf.DUMMYFUNCTION("IF(OR(D3571="""",G3571=""""),"""",IFERROR(LET(
campo,XLOOKUP(TRIM(G3571),ARRAYFORMULA(TRIM('indice columnas'!$A$2:$A$100)),'indice columnas'!$B$2:$B$100,""""),
col,IFERROR(MATCH(campo,Referencia!$A$1:$AZ$1,0),0),
fila,IFERROR(MATCH(TO_TEXT(D3571),ARRAYFOR"&amp;"MULA(TO_TEXT(Referencia!$A$2:$A6238)),0),0),
IF(OR(campo="""",campo=""-""),""NO APLICA"",
IF(col=0,""REVISAR EQUIVALENCIA"",
IF(fila=0,""SKU NO ENCONTRADO"",
LET(
valor,INDEX(Referencia!$A$2:$AZ6238,fila,col),
IF(TRIM(TO_TEXT(valor))=TRIM(TO_TEXT(I3571)),"&amp;"
""OK"",
""NO COINCIDE. Valor verdadero: ""&amp;IF(valor="""",""[VACÍO]"",TO_TEXT(valor))
)
))))
),""ERROR EN FÓRMULA""))"),"OK")</f>
        <v>OK</v>
      </c>
    </row>
    <row r="3572">
      <c r="A3572" s="83" t="s">
        <v>4896</v>
      </c>
      <c r="B3572" s="83" t="s">
        <v>4897</v>
      </c>
      <c r="C3572" s="81" t="s">
        <v>4086</v>
      </c>
      <c r="D3572" s="83" t="s">
        <v>4263</v>
      </c>
      <c r="E3572" s="81" t="s">
        <v>1036</v>
      </c>
      <c r="F3572" s="81">
        <v>195.0</v>
      </c>
      <c r="G3572" s="81" t="s">
        <v>3</v>
      </c>
      <c r="H3572" s="81" t="s">
        <v>224</v>
      </c>
      <c r="I3572" s="81" t="s">
        <v>1016</v>
      </c>
      <c r="J3572" s="81" t="s">
        <v>224</v>
      </c>
      <c r="K3572" s="81" t="str">
        <f>IFERROR(__xludf.DUMMYFUNCTION("IF(OR(D3572="""",G3572=""""),"""",IFERROR(LET(
campo,XLOOKUP(TRIM(G3572),ARRAYFORMULA(TRIM('indice columnas'!$A$2:$A$100)),'indice columnas'!$B$2:$B$100,""""),
col,IFERROR(MATCH(campo,Referencia!$A$1:$AZ$1,0),0),
fila,IFERROR(MATCH(TO_TEXT(D3572),ARRAYFOR"&amp;"MULA(TO_TEXT(Referencia!$A$2:$A6238)),0),0),
IF(OR(campo="""",campo=""-""),""NO APLICA"",
IF(col=0,""REVISAR EQUIVALENCIA"",
IF(fila=0,""SKU NO ENCONTRADO"",
LET(
valor,INDEX(Referencia!$A$2:$AZ6238,fila,col),
IF(TRIM(TO_TEXT(valor))=TRIM(TO_TEXT(I3572)),"&amp;"
""OK"",
""NO COINCIDE. Valor verdadero: ""&amp;IF(valor="""",""[VACÍO]"",TO_TEXT(valor))
)
))))
),""ERROR EN FÓRMULA""))"),"OK")</f>
        <v>OK</v>
      </c>
    </row>
    <row r="3573">
      <c r="A3573" s="83" t="s">
        <v>4896</v>
      </c>
      <c r="B3573" s="83" t="s">
        <v>4897</v>
      </c>
      <c r="C3573" s="81" t="s">
        <v>4086</v>
      </c>
      <c r="D3573" s="83" t="s">
        <v>4263</v>
      </c>
      <c r="E3573" s="81" t="s">
        <v>1036</v>
      </c>
      <c r="F3573" s="81">
        <v>195.0</v>
      </c>
      <c r="G3573" s="81" t="s">
        <v>2</v>
      </c>
      <c r="H3573" s="81" t="s">
        <v>224</v>
      </c>
      <c r="I3573" s="81" t="s">
        <v>919</v>
      </c>
      <c r="J3573" s="81" t="s">
        <v>224</v>
      </c>
      <c r="K3573" s="81" t="str">
        <f>IFERROR(__xludf.DUMMYFUNCTION("IF(OR(D3573="""",G3573=""""),"""",IFERROR(LET(
campo,XLOOKUP(TRIM(G3573),ARRAYFORMULA(TRIM('indice columnas'!$A$2:$A$100)),'indice columnas'!$B$2:$B$100,""""),
col,IFERROR(MATCH(campo,Referencia!$A$1:$AZ$1,0),0),
fila,IFERROR(MATCH(TO_TEXT(D3573),ARRAYFOR"&amp;"MULA(TO_TEXT(Referencia!$A$2:$A6238)),0),0),
IF(OR(campo="""",campo=""-""),""NO APLICA"",
IF(col=0,""REVISAR EQUIVALENCIA"",
IF(fila=0,""SKU NO ENCONTRADO"",
LET(
valor,INDEX(Referencia!$A$2:$AZ6238,fila,col),
IF(TRIM(TO_TEXT(valor))=TRIM(TO_TEXT(I3573)),"&amp;"
""OK"",
""NO COINCIDE. Valor verdadero: ""&amp;IF(valor="""",""[VACÍO]"",TO_TEXT(valor))
)
))))
),""ERROR EN FÓRMULA""))"),"OK")</f>
        <v>OK</v>
      </c>
    </row>
    <row r="3574">
      <c r="A3574" s="83" t="s">
        <v>4896</v>
      </c>
      <c r="B3574" s="83" t="s">
        <v>4897</v>
      </c>
      <c r="C3574" s="81" t="s">
        <v>4086</v>
      </c>
      <c r="D3574" s="83" t="s">
        <v>4263</v>
      </c>
      <c r="E3574" s="81" t="s">
        <v>1036</v>
      </c>
      <c r="F3574" s="81">
        <v>195.0</v>
      </c>
      <c r="G3574" s="81" t="s">
        <v>1</v>
      </c>
      <c r="H3574" s="81" t="s">
        <v>224</v>
      </c>
      <c r="I3574" s="81" t="s">
        <v>49</v>
      </c>
      <c r="J3574" s="81" t="s">
        <v>224</v>
      </c>
      <c r="K3574" s="81" t="str">
        <f>IFERROR(__xludf.DUMMYFUNCTION("IF(OR(D3574="""",G3574=""""),"""",IFERROR(LET(
campo,XLOOKUP(TRIM(G3574),ARRAYFORMULA(TRIM('indice columnas'!$A$2:$A$100)),'indice columnas'!$B$2:$B$100,""""),
col,IFERROR(MATCH(campo,Referencia!$A$1:$AZ$1,0),0),
fila,IFERROR(MATCH(TO_TEXT(D3574),ARRAYFOR"&amp;"MULA(TO_TEXT(Referencia!$A$2:$A6238)),0),0),
IF(OR(campo="""",campo=""-""),""NO APLICA"",
IF(col=0,""REVISAR EQUIVALENCIA"",
IF(fila=0,""SKU NO ENCONTRADO"",
LET(
valor,INDEX(Referencia!$A$2:$AZ6238,fila,col),
IF(TRIM(TO_TEXT(valor))=TRIM(TO_TEXT(I3574)),"&amp;"
""OK"",
""NO COINCIDE. Valor verdadero: ""&amp;IF(valor="""",""[VACÍO]"",TO_TEXT(valor))
)
))))
),""ERROR EN FÓRMULA""))"),"OK")</f>
        <v>OK</v>
      </c>
    </row>
    <row r="3575">
      <c r="A3575" s="83" t="s">
        <v>4896</v>
      </c>
      <c r="B3575" s="83" t="s">
        <v>4897</v>
      </c>
      <c r="C3575" s="81" t="s">
        <v>4086</v>
      </c>
      <c r="D3575" s="83" t="s">
        <v>4264</v>
      </c>
      <c r="E3575" s="81" t="s">
        <v>1037</v>
      </c>
      <c r="F3575" s="81">
        <v>196.0</v>
      </c>
      <c r="G3575" s="81" t="s">
        <v>3</v>
      </c>
      <c r="H3575" s="81" t="s">
        <v>224</v>
      </c>
      <c r="I3575" s="81" t="s">
        <v>1016</v>
      </c>
      <c r="J3575" s="81" t="s">
        <v>224</v>
      </c>
      <c r="K3575" s="81" t="str">
        <f>IFERROR(__xludf.DUMMYFUNCTION("IF(OR(D3575="""",G3575=""""),"""",IFERROR(LET(
campo,XLOOKUP(TRIM(G3575),ARRAYFORMULA(TRIM('indice columnas'!$A$2:$A$100)),'indice columnas'!$B$2:$B$100,""""),
col,IFERROR(MATCH(campo,Referencia!$A$1:$AZ$1,0),0),
fila,IFERROR(MATCH(TO_TEXT(D3575),ARRAYFOR"&amp;"MULA(TO_TEXT(Referencia!$A$2:$A6238)),0),0),
IF(OR(campo="""",campo=""-""),""NO APLICA"",
IF(col=0,""REVISAR EQUIVALENCIA"",
IF(fila=0,""SKU NO ENCONTRADO"",
LET(
valor,INDEX(Referencia!$A$2:$AZ6238,fila,col),
IF(TRIM(TO_TEXT(valor))=TRIM(TO_TEXT(I3575)),"&amp;"
""OK"",
""NO COINCIDE. Valor verdadero: ""&amp;IF(valor="""",""[VACÍO]"",TO_TEXT(valor))
)
))))
),""ERROR EN FÓRMULA""))"),"OK")</f>
        <v>OK</v>
      </c>
    </row>
    <row r="3576">
      <c r="A3576" s="83" t="s">
        <v>4896</v>
      </c>
      <c r="B3576" s="83" t="s">
        <v>4897</v>
      </c>
      <c r="C3576" s="81" t="s">
        <v>4086</v>
      </c>
      <c r="D3576" s="83" t="s">
        <v>4264</v>
      </c>
      <c r="E3576" s="81" t="s">
        <v>1037</v>
      </c>
      <c r="F3576" s="81">
        <v>196.0</v>
      </c>
      <c r="G3576" s="81" t="s">
        <v>2</v>
      </c>
      <c r="H3576" s="81" t="s">
        <v>224</v>
      </c>
      <c r="I3576" s="81" t="s">
        <v>919</v>
      </c>
      <c r="J3576" s="81" t="s">
        <v>224</v>
      </c>
      <c r="K3576" s="81" t="str">
        <f>IFERROR(__xludf.DUMMYFUNCTION("IF(OR(D3576="""",G3576=""""),"""",IFERROR(LET(
campo,XLOOKUP(TRIM(G3576),ARRAYFORMULA(TRIM('indice columnas'!$A$2:$A$100)),'indice columnas'!$B$2:$B$100,""""),
col,IFERROR(MATCH(campo,Referencia!$A$1:$AZ$1,0),0),
fila,IFERROR(MATCH(TO_TEXT(D3576),ARRAYFOR"&amp;"MULA(TO_TEXT(Referencia!$A$2:$A6238)),0),0),
IF(OR(campo="""",campo=""-""),""NO APLICA"",
IF(col=0,""REVISAR EQUIVALENCIA"",
IF(fila=0,""SKU NO ENCONTRADO"",
LET(
valor,INDEX(Referencia!$A$2:$AZ6238,fila,col),
IF(TRIM(TO_TEXT(valor))=TRIM(TO_TEXT(I3576)),"&amp;"
""OK"",
""NO COINCIDE. Valor verdadero: ""&amp;IF(valor="""",""[VACÍO]"",TO_TEXT(valor))
)
))))
),""ERROR EN FÓRMULA""))"),"OK")</f>
        <v>OK</v>
      </c>
    </row>
    <row r="3577">
      <c r="A3577" s="83" t="s">
        <v>4896</v>
      </c>
      <c r="B3577" s="83" t="s">
        <v>4897</v>
      </c>
      <c r="C3577" s="81" t="s">
        <v>4086</v>
      </c>
      <c r="D3577" s="83" t="s">
        <v>4264</v>
      </c>
      <c r="E3577" s="81" t="s">
        <v>1037</v>
      </c>
      <c r="F3577" s="81">
        <v>196.0</v>
      </c>
      <c r="G3577" s="81" t="s">
        <v>1</v>
      </c>
      <c r="H3577" s="81" t="s">
        <v>224</v>
      </c>
      <c r="I3577" s="81" t="s">
        <v>49</v>
      </c>
      <c r="J3577" s="81" t="s">
        <v>224</v>
      </c>
      <c r="K3577" s="81" t="str">
        <f>IFERROR(__xludf.DUMMYFUNCTION("IF(OR(D3577="""",G3577=""""),"""",IFERROR(LET(
campo,XLOOKUP(TRIM(G3577),ARRAYFORMULA(TRIM('indice columnas'!$A$2:$A$100)),'indice columnas'!$B$2:$B$100,""""),
col,IFERROR(MATCH(campo,Referencia!$A$1:$AZ$1,0),0),
fila,IFERROR(MATCH(TO_TEXT(D3577),ARRAYFOR"&amp;"MULA(TO_TEXT(Referencia!$A$2:$A6238)),0),0),
IF(OR(campo="""",campo=""-""),""NO APLICA"",
IF(col=0,""REVISAR EQUIVALENCIA"",
IF(fila=0,""SKU NO ENCONTRADO"",
LET(
valor,INDEX(Referencia!$A$2:$AZ6238,fila,col),
IF(TRIM(TO_TEXT(valor))=TRIM(TO_TEXT(I3577)),"&amp;"
""OK"",
""NO COINCIDE. Valor verdadero: ""&amp;IF(valor="""",""[VACÍO]"",TO_TEXT(valor))
)
))))
),""ERROR EN FÓRMULA""))"),"OK")</f>
        <v>OK</v>
      </c>
    </row>
    <row r="3578">
      <c r="A3578" s="83" t="s">
        <v>4896</v>
      </c>
      <c r="B3578" s="83" t="s">
        <v>4897</v>
      </c>
      <c r="C3578" s="81" t="s">
        <v>4086</v>
      </c>
      <c r="D3578" s="83" t="s">
        <v>4266</v>
      </c>
      <c r="E3578" s="81" t="s">
        <v>1041</v>
      </c>
      <c r="F3578" s="81">
        <v>197.0</v>
      </c>
      <c r="G3578" s="81" t="s">
        <v>3</v>
      </c>
      <c r="H3578" s="81" t="s">
        <v>224</v>
      </c>
      <c r="I3578" s="81" t="s">
        <v>1016</v>
      </c>
      <c r="J3578" s="81" t="s">
        <v>224</v>
      </c>
      <c r="K3578" s="81" t="str">
        <f>IFERROR(__xludf.DUMMYFUNCTION("IF(OR(D3578="""",G3578=""""),"""",IFERROR(LET(
campo,XLOOKUP(TRIM(G3578),ARRAYFORMULA(TRIM('indice columnas'!$A$2:$A$100)),'indice columnas'!$B$2:$B$100,""""),
col,IFERROR(MATCH(campo,Referencia!$A$1:$AZ$1,0),0),
fila,IFERROR(MATCH(TO_TEXT(D3578),ARRAYFOR"&amp;"MULA(TO_TEXT(Referencia!$A$2:$A6238)),0),0),
IF(OR(campo="""",campo=""-""),""NO APLICA"",
IF(col=0,""REVISAR EQUIVALENCIA"",
IF(fila=0,""SKU NO ENCONTRADO"",
LET(
valor,INDEX(Referencia!$A$2:$AZ6238,fila,col),
IF(TRIM(TO_TEXT(valor))=TRIM(TO_TEXT(I3578)),"&amp;"
""OK"",
""NO COINCIDE. Valor verdadero: ""&amp;IF(valor="""",""[VACÍO]"",TO_TEXT(valor))
)
))))
),""ERROR EN FÓRMULA""))"),"OK")</f>
        <v>OK</v>
      </c>
    </row>
    <row r="3579">
      <c r="A3579" s="83" t="s">
        <v>4896</v>
      </c>
      <c r="B3579" s="83" t="s">
        <v>4897</v>
      </c>
      <c r="C3579" s="81" t="s">
        <v>4086</v>
      </c>
      <c r="D3579" s="83" t="s">
        <v>4266</v>
      </c>
      <c r="E3579" s="81" t="s">
        <v>1041</v>
      </c>
      <c r="F3579" s="81">
        <v>197.0</v>
      </c>
      <c r="G3579" s="81" t="s">
        <v>2</v>
      </c>
      <c r="H3579" s="81" t="s">
        <v>224</v>
      </c>
      <c r="I3579" s="81" t="s">
        <v>919</v>
      </c>
      <c r="J3579" s="81" t="s">
        <v>224</v>
      </c>
      <c r="K3579" s="81" t="str">
        <f>IFERROR(__xludf.DUMMYFUNCTION("IF(OR(D3579="""",G3579=""""),"""",IFERROR(LET(
campo,XLOOKUP(TRIM(G3579),ARRAYFORMULA(TRIM('indice columnas'!$A$2:$A$100)),'indice columnas'!$B$2:$B$100,""""),
col,IFERROR(MATCH(campo,Referencia!$A$1:$AZ$1,0),0),
fila,IFERROR(MATCH(TO_TEXT(D3579),ARRAYFOR"&amp;"MULA(TO_TEXT(Referencia!$A$2:$A6238)),0),0),
IF(OR(campo="""",campo=""-""),""NO APLICA"",
IF(col=0,""REVISAR EQUIVALENCIA"",
IF(fila=0,""SKU NO ENCONTRADO"",
LET(
valor,INDEX(Referencia!$A$2:$AZ6238,fila,col),
IF(TRIM(TO_TEXT(valor))=TRIM(TO_TEXT(I3579)),"&amp;"
""OK"",
""NO COINCIDE. Valor verdadero: ""&amp;IF(valor="""",""[VACÍO]"",TO_TEXT(valor))
)
))))
),""ERROR EN FÓRMULA""))"),"OK")</f>
        <v>OK</v>
      </c>
    </row>
    <row r="3580">
      <c r="A3580" s="83" t="s">
        <v>4896</v>
      </c>
      <c r="B3580" s="83" t="s">
        <v>4897</v>
      </c>
      <c r="C3580" s="81" t="s">
        <v>4086</v>
      </c>
      <c r="D3580" s="83" t="s">
        <v>4266</v>
      </c>
      <c r="E3580" s="81" t="s">
        <v>1041</v>
      </c>
      <c r="F3580" s="81">
        <v>197.0</v>
      </c>
      <c r="G3580" s="81" t="s">
        <v>1</v>
      </c>
      <c r="H3580" s="81" t="s">
        <v>224</v>
      </c>
      <c r="I3580" s="81" t="s">
        <v>49</v>
      </c>
      <c r="J3580" s="81" t="s">
        <v>224</v>
      </c>
      <c r="K3580" s="81" t="str">
        <f>IFERROR(__xludf.DUMMYFUNCTION("IF(OR(D3580="""",G3580=""""),"""",IFERROR(LET(
campo,XLOOKUP(TRIM(G3580),ARRAYFORMULA(TRIM('indice columnas'!$A$2:$A$100)),'indice columnas'!$B$2:$B$100,""""),
col,IFERROR(MATCH(campo,Referencia!$A$1:$AZ$1,0),0),
fila,IFERROR(MATCH(TO_TEXT(D3580),ARRAYFOR"&amp;"MULA(TO_TEXT(Referencia!$A$2:$A6238)),0),0),
IF(OR(campo="""",campo=""-""),""NO APLICA"",
IF(col=0,""REVISAR EQUIVALENCIA"",
IF(fila=0,""SKU NO ENCONTRADO"",
LET(
valor,INDEX(Referencia!$A$2:$AZ6238,fila,col),
IF(TRIM(TO_TEXT(valor))=TRIM(TO_TEXT(I3580)),"&amp;"
""OK"",
""NO COINCIDE. Valor verdadero: ""&amp;IF(valor="""",""[VACÍO]"",TO_TEXT(valor))
)
))))
),""ERROR EN FÓRMULA""))"),"OK")</f>
        <v>OK</v>
      </c>
    </row>
    <row r="3581">
      <c r="A3581" s="83" t="s">
        <v>4896</v>
      </c>
      <c r="B3581" s="83" t="s">
        <v>4897</v>
      </c>
      <c r="C3581" s="81" t="s">
        <v>4086</v>
      </c>
      <c r="D3581" s="83" t="s">
        <v>4268</v>
      </c>
      <c r="E3581" s="81" t="s">
        <v>1052</v>
      </c>
      <c r="F3581" s="81">
        <v>200.0</v>
      </c>
      <c r="G3581" s="81" t="s">
        <v>3</v>
      </c>
      <c r="H3581" s="81" t="s">
        <v>224</v>
      </c>
      <c r="I3581" s="81" t="s">
        <v>926</v>
      </c>
      <c r="J3581" s="81" t="s">
        <v>224</v>
      </c>
      <c r="K3581" s="81" t="str">
        <f>IFERROR(__xludf.DUMMYFUNCTION("IF(OR(D3581="""",G3581=""""),"""",IFERROR(LET(
campo,XLOOKUP(TRIM(G3581),ARRAYFORMULA(TRIM('indice columnas'!$A$2:$A$100)),'indice columnas'!$B$2:$B$100,""""),
col,IFERROR(MATCH(campo,Referencia!$A$1:$AZ$1,0),0),
fila,IFERROR(MATCH(TO_TEXT(D3581),ARRAYFOR"&amp;"MULA(TO_TEXT(Referencia!$A$2:$A6238)),0),0),
IF(OR(campo="""",campo=""-""),""NO APLICA"",
IF(col=0,""REVISAR EQUIVALENCIA"",
IF(fila=0,""SKU NO ENCONTRADO"",
LET(
valor,INDEX(Referencia!$A$2:$AZ6238,fila,col),
IF(TRIM(TO_TEXT(valor))=TRIM(TO_TEXT(I3581)),"&amp;"
""OK"",
""NO COINCIDE. Valor verdadero: ""&amp;IF(valor="""",""[VACÍO]"",TO_TEXT(valor))
)
))))
),""ERROR EN FÓRMULA""))"),"OK")</f>
        <v>OK</v>
      </c>
    </row>
    <row r="3582">
      <c r="A3582" s="83" t="s">
        <v>4896</v>
      </c>
      <c r="B3582" s="83" t="s">
        <v>4897</v>
      </c>
      <c r="C3582" s="81" t="s">
        <v>4086</v>
      </c>
      <c r="D3582" s="83" t="s">
        <v>4268</v>
      </c>
      <c r="E3582" s="81" t="s">
        <v>1052</v>
      </c>
      <c r="F3582" s="81">
        <v>200.0</v>
      </c>
      <c r="G3582" s="81" t="s">
        <v>2</v>
      </c>
      <c r="H3582" s="81" t="s">
        <v>224</v>
      </c>
      <c r="I3582" s="81" t="s">
        <v>919</v>
      </c>
      <c r="J3582" s="81" t="s">
        <v>224</v>
      </c>
      <c r="K3582" s="81" t="str">
        <f>IFERROR(__xludf.DUMMYFUNCTION("IF(OR(D3582="""",G3582=""""),"""",IFERROR(LET(
campo,XLOOKUP(TRIM(G3582),ARRAYFORMULA(TRIM('indice columnas'!$A$2:$A$100)),'indice columnas'!$B$2:$B$100,""""),
col,IFERROR(MATCH(campo,Referencia!$A$1:$AZ$1,0),0),
fila,IFERROR(MATCH(TO_TEXT(D3582),ARRAYFOR"&amp;"MULA(TO_TEXT(Referencia!$A$2:$A6238)),0),0),
IF(OR(campo="""",campo=""-""),""NO APLICA"",
IF(col=0,""REVISAR EQUIVALENCIA"",
IF(fila=0,""SKU NO ENCONTRADO"",
LET(
valor,INDEX(Referencia!$A$2:$AZ6238,fila,col),
IF(TRIM(TO_TEXT(valor))=TRIM(TO_TEXT(I3582)),"&amp;"
""OK"",
""NO COINCIDE. Valor verdadero: ""&amp;IF(valor="""",""[VACÍO]"",TO_TEXT(valor))
)
))))
),""ERROR EN FÓRMULA""))"),"OK")</f>
        <v>OK</v>
      </c>
    </row>
    <row r="3583">
      <c r="A3583" s="83" t="s">
        <v>4896</v>
      </c>
      <c r="B3583" s="83" t="s">
        <v>4897</v>
      </c>
      <c r="C3583" s="81" t="s">
        <v>4086</v>
      </c>
      <c r="D3583" s="83" t="s">
        <v>4268</v>
      </c>
      <c r="E3583" s="81" t="s">
        <v>1052</v>
      </c>
      <c r="F3583" s="81">
        <v>200.0</v>
      </c>
      <c r="G3583" s="81" t="s">
        <v>1</v>
      </c>
      <c r="H3583" s="81" t="s">
        <v>224</v>
      </c>
      <c r="I3583" s="81" t="s">
        <v>49</v>
      </c>
      <c r="J3583" s="81" t="s">
        <v>224</v>
      </c>
      <c r="K3583" s="81" t="str">
        <f>IFERROR(__xludf.DUMMYFUNCTION("IF(OR(D3583="""",G3583=""""),"""",IFERROR(LET(
campo,XLOOKUP(TRIM(G3583),ARRAYFORMULA(TRIM('indice columnas'!$A$2:$A$100)),'indice columnas'!$B$2:$B$100,""""),
col,IFERROR(MATCH(campo,Referencia!$A$1:$AZ$1,0),0),
fila,IFERROR(MATCH(TO_TEXT(D3583),ARRAYFOR"&amp;"MULA(TO_TEXT(Referencia!$A$2:$A6238)),0),0),
IF(OR(campo="""",campo=""-""),""NO APLICA"",
IF(col=0,""REVISAR EQUIVALENCIA"",
IF(fila=0,""SKU NO ENCONTRADO"",
LET(
valor,INDEX(Referencia!$A$2:$AZ6238,fila,col),
IF(TRIM(TO_TEXT(valor))=TRIM(TO_TEXT(I3583)),"&amp;"
""OK"",
""NO COINCIDE. Valor verdadero: ""&amp;IF(valor="""",""[VACÍO]"",TO_TEXT(valor))
)
))))
),""ERROR EN FÓRMULA""))"),"OK")</f>
        <v>OK</v>
      </c>
    </row>
    <row r="3584">
      <c r="A3584" s="83" t="s">
        <v>4896</v>
      </c>
      <c r="B3584" s="83" t="s">
        <v>4897</v>
      </c>
      <c r="C3584" s="81" t="s">
        <v>4086</v>
      </c>
      <c r="D3584" s="83" t="s">
        <v>4270</v>
      </c>
      <c r="E3584" s="81" t="s">
        <v>1062</v>
      </c>
      <c r="F3584" s="81">
        <v>203.0</v>
      </c>
      <c r="G3584" s="81" t="s">
        <v>3</v>
      </c>
      <c r="H3584" s="81" t="s">
        <v>224</v>
      </c>
      <c r="I3584" s="81" t="s">
        <v>920</v>
      </c>
      <c r="J3584" s="81" t="s">
        <v>224</v>
      </c>
      <c r="K3584" s="81" t="str">
        <f>IFERROR(__xludf.DUMMYFUNCTION("IF(OR(D3584="""",G3584=""""),"""",IFERROR(LET(
campo,XLOOKUP(TRIM(G3584),ARRAYFORMULA(TRIM('indice columnas'!$A$2:$A$100)),'indice columnas'!$B$2:$B$100,""""),
col,IFERROR(MATCH(campo,Referencia!$A$1:$AZ$1,0),0),
fila,IFERROR(MATCH(TO_TEXT(D3584),ARRAYFOR"&amp;"MULA(TO_TEXT(Referencia!$A$2:$A6238)),0),0),
IF(OR(campo="""",campo=""-""),""NO APLICA"",
IF(col=0,""REVISAR EQUIVALENCIA"",
IF(fila=0,""SKU NO ENCONTRADO"",
LET(
valor,INDEX(Referencia!$A$2:$AZ6238,fila,col),
IF(TRIM(TO_TEXT(valor))=TRIM(TO_TEXT(I3584)),"&amp;"
""OK"",
""NO COINCIDE. Valor verdadero: ""&amp;IF(valor="""",""[VACÍO]"",TO_TEXT(valor))
)
))))
),""ERROR EN FÓRMULA""))"),"OK")</f>
        <v>OK</v>
      </c>
    </row>
    <row r="3585">
      <c r="A3585" s="83" t="s">
        <v>4896</v>
      </c>
      <c r="B3585" s="83" t="s">
        <v>4897</v>
      </c>
      <c r="C3585" s="81" t="s">
        <v>4086</v>
      </c>
      <c r="D3585" s="83" t="s">
        <v>4270</v>
      </c>
      <c r="E3585" s="81" t="s">
        <v>1062</v>
      </c>
      <c r="F3585" s="81">
        <v>203.0</v>
      </c>
      <c r="G3585" s="81" t="s">
        <v>2</v>
      </c>
      <c r="H3585" s="81" t="s">
        <v>224</v>
      </c>
      <c r="I3585" s="81" t="s">
        <v>919</v>
      </c>
      <c r="J3585" s="81" t="s">
        <v>224</v>
      </c>
      <c r="K3585" s="81" t="str">
        <f>IFERROR(__xludf.DUMMYFUNCTION("IF(OR(D3585="""",G3585=""""),"""",IFERROR(LET(
campo,XLOOKUP(TRIM(G3585),ARRAYFORMULA(TRIM('indice columnas'!$A$2:$A$100)),'indice columnas'!$B$2:$B$100,""""),
col,IFERROR(MATCH(campo,Referencia!$A$1:$AZ$1,0),0),
fila,IFERROR(MATCH(TO_TEXT(D3585),ARRAYFOR"&amp;"MULA(TO_TEXT(Referencia!$A$2:$A6238)),0),0),
IF(OR(campo="""",campo=""-""),""NO APLICA"",
IF(col=0,""REVISAR EQUIVALENCIA"",
IF(fila=0,""SKU NO ENCONTRADO"",
LET(
valor,INDEX(Referencia!$A$2:$AZ6238,fila,col),
IF(TRIM(TO_TEXT(valor))=TRIM(TO_TEXT(I3585)),"&amp;"
""OK"",
""NO COINCIDE. Valor verdadero: ""&amp;IF(valor="""",""[VACÍO]"",TO_TEXT(valor))
)
))))
),""ERROR EN FÓRMULA""))"),"OK")</f>
        <v>OK</v>
      </c>
    </row>
    <row r="3586">
      <c r="A3586" s="83" t="s">
        <v>4896</v>
      </c>
      <c r="B3586" s="83" t="s">
        <v>4897</v>
      </c>
      <c r="C3586" s="81" t="s">
        <v>4086</v>
      </c>
      <c r="D3586" s="83" t="s">
        <v>4270</v>
      </c>
      <c r="E3586" s="81" t="s">
        <v>1062</v>
      </c>
      <c r="F3586" s="81">
        <v>203.0</v>
      </c>
      <c r="G3586" s="81" t="s">
        <v>1</v>
      </c>
      <c r="H3586" s="81" t="s">
        <v>224</v>
      </c>
      <c r="I3586" s="81" t="s">
        <v>49</v>
      </c>
      <c r="J3586" s="81" t="s">
        <v>224</v>
      </c>
      <c r="K3586" s="81" t="str">
        <f>IFERROR(__xludf.DUMMYFUNCTION("IF(OR(D3586="""",G3586=""""),"""",IFERROR(LET(
campo,XLOOKUP(TRIM(G3586),ARRAYFORMULA(TRIM('indice columnas'!$A$2:$A$100)),'indice columnas'!$B$2:$B$100,""""),
col,IFERROR(MATCH(campo,Referencia!$A$1:$AZ$1,0),0),
fila,IFERROR(MATCH(TO_TEXT(D3586),ARRAYFOR"&amp;"MULA(TO_TEXT(Referencia!$A$2:$A6238)),0),0),
IF(OR(campo="""",campo=""-""),""NO APLICA"",
IF(col=0,""REVISAR EQUIVALENCIA"",
IF(fila=0,""SKU NO ENCONTRADO"",
LET(
valor,INDEX(Referencia!$A$2:$AZ6238,fila,col),
IF(TRIM(TO_TEXT(valor))=TRIM(TO_TEXT(I3586)),"&amp;"
""OK"",
""NO COINCIDE. Valor verdadero: ""&amp;IF(valor="""",""[VACÍO]"",TO_TEXT(valor))
)
))))
),""ERROR EN FÓRMULA""))"),"OK")</f>
        <v>OK</v>
      </c>
    </row>
    <row r="3587">
      <c r="A3587" s="83" t="s">
        <v>4896</v>
      </c>
      <c r="B3587" s="83" t="s">
        <v>4897</v>
      </c>
      <c r="C3587" s="81" t="s">
        <v>4086</v>
      </c>
      <c r="D3587" s="83" t="s">
        <v>4272</v>
      </c>
      <c r="E3587" s="81" t="s">
        <v>1070</v>
      </c>
      <c r="F3587" s="81">
        <v>206.0</v>
      </c>
      <c r="G3587" s="81" t="s">
        <v>3</v>
      </c>
      <c r="H3587" s="81" t="s">
        <v>224</v>
      </c>
      <c r="I3587" s="81" t="s">
        <v>920</v>
      </c>
      <c r="J3587" s="81" t="s">
        <v>224</v>
      </c>
      <c r="K3587" s="81" t="str">
        <f>IFERROR(__xludf.DUMMYFUNCTION("IF(OR(D3587="""",G3587=""""),"""",IFERROR(LET(
campo,XLOOKUP(TRIM(G3587),ARRAYFORMULA(TRIM('indice columnas'!$A$2:$A$100)),'indice columnas'!$B$2:$B$100,""""),
col,IFERROR(MATCH(campo,Referencia!$A$1:$AZ$1,0),0),
fila,IFERROR(MATCH(TO_TEXT(D3587),ARRAYFOR"&amp;"MULA(TO_TEXT(Referencia!$A$2:$A6238)),0),0),
IF(OR(campo="""",campo=""-""),""NO APLICA"",
IF(col=0,""REVISAR EQUIVALENCIA"",
IF(fila=0,""SKU NO ENCONTRADO"",
LET(
valor,INDEX(Referencia!$A$2:$AZ6238,fila,col),
IF(TRIM(TO_TEXT(valor))=TRIM(TO_TEXT(I3587)),"&amp;"
""OK"",
""NO COINCIDE. Valor verdadero: ""&amp;IF(valor="""",""[VACÍO]"",TO_TEXT(valor))
)
))))
),""ERROR EN FÓRMULA""))"),"OK")</f>
        <v>OK</v>
      </c>
    </row>
    <row r="3588">
      <c r="A3588" s="83" t="s">
        <v>4896</v>
      </c>
      <c r="B3588" s="83" t="s">
        <v>4897</v>
      </c>
      <c r="C3588" s="81" t="s">
        <v>4086</v>
      </c>
      <c r="D3588" s="83" t="s">
        <v>4272</v>
      </c>
      <c r="E3588" s="81" t="s">
        <v>1070</v>
      </c>
      <c r="F3588" s="81">
        <v>206.0</v>
      </c>
      <c r="G3588" s="81" t="s">
        <v>2</v>
      </c>
      <c r="H3588" s="81" t="s">
        <v>224</v>
      </c>
      <c r="I3588" s="81" t="s">
        <v>919</v>
      </c>
      <c r="J3588" s="81" t="s">
        <v>224</v>
      </c>
      <c r="K3588" s="81" t="str">
        <f>IFERROR(__xludf.DUMMYFUNCTION("IF(OR(D3588="""",G3588=""""),"""",IFERROR(LET(
campo,XLOOKUP(TRIM(G3588),ARRAYFORMULA(TRIM('indice columnas'!$A$2:$A$100)),'indice columnas'!$B$2:$B$100,""""),
col,IFERROR(MATCH(campo,Referencia!$A$1:$AZ$1,0),0),
fila,IFERROR(MATCH(TO_TEXT(D3588),ARRAYFOR"&amp;"MULA(TO_TEXT(Referencia!$A$2:$A6238)),0),0),
IF(OR(campo="""",campo=""-""),""NO APLICA"",
IF(col=0,""REVISAR EQUIVALENCIA"",
IF(fila=0,""SKU NO ENCONTRADO"",
LET(
valor,INDEX(Referencia!$A$2:$AZ6238,fila,col),
IF(TRIM(TO_TEXT(valor))=TRIM(TO_TEXT(I3588)),"&amp;"
""OK"",
""NO COINCIDE. Valor verdadero: ""&amp;IF(valor="""",""[VACÍO]"",TO_TEXT(valor))
)
))))
),""ERROR EN FÓRMULA""))"),"OK")</f>
        <v>OK</v>
      </c>
    </row>
    <row r="3589">
      <c r="A3589" s="83" t="s">
        <v>4896</v>
      </c>
      <c r="B3589" s="83" t="s">
        <v>4897</v>
      </c>
      <c r="C3589" s="81" t="s">
        <v>4086</v>
      </c>
      <c r="D3589" s="83" t="s">
        <v>4272</v>
      </c>
      <c r="E3589" s="81" t="s">
        <v>1070</v>
      </c>
      <c r="F3589" s="81">
        <v>206.0</v>
      </c>
      <c r="G3589" s="81" t="s">
        <v>1</v>
      </c>
      <c r="H3589" s="81" t="s">
        <v>224</v>
      </c>
      <c r="I3589" s="81" t="s">
        <v>49</v>
      </c>
      <c r="J3589" s="81" t="s">
        <v>224</v>
      </c>
      <c r="K3589" s="81" t="str">
        <f>IFERROR(__xludf.DUMMYFUNCTION("IF(OR(D3589="""",G3589=""""),"""",IFERROR(LET(
campo,XLOOKUP(TRIM(G3589),ARRAYFORMULA(TRIM('indice columnas'!$A$2:$A$100)),'indice columnas'!$B$2:$B$100,""""),
col,IFERROR(MATCH(campo,Referencia!$A$1:$AZ$1,0),0),
fila,IFERROR(MATCH(TO_TEXT(D3589),ARRAYFOR"&amp;"MULA(TO_TEXT(Referencia!$A$2:$A6238)),0),0),
IF(OR(campo="""",campo=""-""),""NO APLICA"",
IF(col=0,""REVISAR EQUIVALENCIA"",
IF(fila=0,""SKU NO ENCONTRADO"",
LET(
valor,INDEX(Referencia!$A$2:$AZ6238,fila,col),
IF(TRIM(TO_TEXT(valor))=TRIM(TO_TEXT(I3589)),"&amp;"
""OK"",
""NO COINCIDE. Valor verdadero: ""&amp;IF(valor="""",""[VACÍO]"",TO_TEXT(valor))
)
))))
),""ERROR EN FÓRMULA""))"),"OK")</f>
        <v>OK</v>
      </c>
    </row>
    <row r="3590">
      <c r="A3590" s="83" t="s">
        <v>4896</v>
      </c>
      <c r="B3590" s="83" t="s">
        <v>4897</v>
      </c>
      <c r="C3590" s="81" t="s">
        <v>4086</v>
      </c>
      <c r="D3590" s="83" t="s">
        <v>4274</v>
      </c>
      <c r="E3590" s="81" t="s">
        <v>1080</v>
      </c>
      <c r="F3590" s="81">
        <v>209.0</v>
      </c>
      <c r="G3590" s="81" t="s">
        <v>3</v>
      </c>
      <c r="H3590" s="81" t="s">
        <v>224</v>
      </c>
      <c r="I3590" s="81" t="s">
        <v>926</v>
      </c>
      <c r="J3590" s="81" t="s">
        <v>224</v>
      </c>
      <c r="K3590" s="81" t="str">
        <f>IFERROR(__xludf.DUMMYFUNCTION("IF(OR(D3590="""",G3590=""""),"""",IFERROR(LET(
campo,XLOOKUP(TRIM(G3590),ARRAYFORMULA(TRIM('indice columnas'!$A$2:$A$100)),'indice columnas'!$B$2:$B$100,""""),
col,IFERROR(MATCH(campo,Referencia!$A$1:$AZ$1,0),0),
fila,IFERROR(MATCH(TO_TEXT(D3590),ARRAYFOR"&amp;"MULA(TO_TEXT(Referencia!$A$2:$A6238)),0),0),
IF(OR(campo="""",campo=""-""),""NO APLICA"",
IF(col=0,""REVISAR EQUIVALENCIA"",
IF(fila=0,""SKU NO ENCONTRADO"",
LET(
valor,INDEX(Referencia!$A$2:$AZ6238,fila,col),
IF(TRIM(TO_TEXT(valor))=TRIM(TO_TEXT(I3590)),"&amp;"
""OK"",
""NO COINCIDE. Valor verdadero: ""&amp;IF(valor="""",""[VACÍO]"",TO_TEXT(valor))
)
))))
),""ERROR EN FÓRMULA""))"),"OK")</f>
        <v>OK</v>
      </c>
    </row>
    <row r="3591">
      <c r="A3591" s="83" t="s">
        <v>4896</v>
      </c>
      <c r="B3591" s="83" t="s">
        <v>4897</v>
      </c>
      <c r="C3591" s="81" t="s">
        <v>4086</v>
      </c>
      <c r="D3591" s="83" t="s">
        <v>4274</v>
      </c>
      <c r="E3591" s="81" t="s">
        <v>1080</v>
      </c>
      <c r="F3591" s="81">
        <v>209.0</v>
      </c>
      <c r="G3591" s="81" t="s">
        <v>2</v>
      </c>
      <c r="H3591" s="81" t="s">
        <v>224</v>
      </c>
      <c r="I3591" s="81" t="s">
        <v>919</v>
      </c>
      <c r="J3591" s="81" t="s">
        <v>224</v>
      </c>
      <c r="K3591" s="81" t="str">
        <f>IFERROR(__xludf.DUMMYFUNCTION("IF(OR(D3591="""",G3591=""""),"""",IFERROR(LET(
campo,XLOOKUP(TRIM(G3591),ARRAYFORMULA(TRIM('indice columnas'!$A$2:$A$100)),'indice columnas'!$B$2:$B$100,""""),
col,IFERROR(MATCH(campo,Referencia!$A$1:$AZ$1,0),0),
fila,IFERROR(MATCH(TO_TEXT(D3591),ARRAYFOR"&amp;"MULA(TO_TEXT(Referencia!$A$2:$A6238)),0),0),
IF(OR(campo="""",campo=""-""),""NO APLICA"",
IF(col=0,""REVISAR EQUIVALENCIA"",
IF(fila=0,""SKU NO ENCONTRADO"",
LET(
valor,INDEX(Referencia!$A$2:$AZ6238,fila,col),
IF(TRIM(TO_TEXT(valor))=TRIM(TO_TEXT(I3591)),"&amp;"
""OK"",
""NO COINCIDE. Valor verdadero: ""&amp;IF(valor="""",""[VACÍO]"",TO_TEXT(valor))
)
))))
),""ERROR EN FÓRMULA""))"),"OK")</f>
        <v>OK</v>
      </c>
    </row>
    <row r="3592">
      <c r="A3592" s="83" t="s">
        <v>4896</v>
      </c>
      <c r="B3592" s="83" t="s">
        <v>4897</v>
      </c>
      <c r="C3592" s="81" t="s">
        <v>4086</v>
      </c>
      <c r="D3592" s="83" t="s">
        <v>4274</v>
      </c>
      <c r="E3592" s="81" t="s">
        <v>1080</v>
      </c>
      <c r="F3592" s="81">
        <v>209.0</v>
      </c>
      <c r="G3592" s="81" t="s">
        <v>1</v>
      </c>
      <c r="H3592" s="81" t="s">
        <v>224</v>
      </c>
      <c r="I3592" s="81" t="s">
        <v>49</v>
      </c>
      <c r="J3592" s="81" t="s">
        <v>224</v>
      </c>
      <c r="K3592" s="81" t="str">
        <f>IFERROR(__xludf.DUMMYFUNCTION("IF(OR(D3592="""",G3592=""""),"""",IFERROR(LET(
campo,XLOOKUP(TRIM(G3592),ARRAYFORMULA(TRIM('indice columnas'!$A$2:$A$100)),'indice columnas'!$B$2:$B$100,""""),
col,IFERROR(MATCH(campo,Referencia!$A$1:$AZ$1,0),0),
fila,IFERROR(MATCH(TO_TEXT(D3592),ARRAYFOR"&amp;"MULA(TO_TEXT(Referencia!$A$2:$A6238)),0),0),
IF(OR(campo="""",campo=""-""),""NO APLICA"",
IF(col=0,""REVISAR EQUIVALENCIA"",
IF(fila=0,""SKU NO ENCONTRADO"",
LET(
valor,INDEX(Referencia!$A$2:$AZ6238,fila,col),
IF(TRIM(TO_TEXT(valor))=TRIM(TO_TEXT(I3592)),"&amp;"
""OK"",
""NO COINCIDE. Valor verdadero: ""&amp;IF(valor="""",""[VACÍO]"",TO_TEXT(valor))
)
))))
),""ERROR EN FÓRMULA""))"),"OK")</f>
        <v>OK</v>
      </c>
    </row>
    <row r="3593">
      <c r="A3593" s="83" t="s">
        <v>4896</v>
      </c>
      <c r="B3593" s="83" t="s">
        <v>4897</v>
      </c>
      <c r="C3593" s="81" t="s">
        <v>4086</v>
      </c>
      <c r="D3593" s="83" t="s">
        <v>4276</v>
      </c>
      <c r="E3593" s="81" t="s">
        <v>1090</v>
      </c>
      <c r="F3593" s="81">
        <v>212.0</v>
      </c>
      <c r="G3593" s="81" t="s">
        <v>3</v>
      </c>
      <c r="H3593" s="81" t="s">
        <v>224</v>
      </c>
      <c r="I3593" s="81" t="s">
        <v>926</v>
      </c>
      <c r="J3593" s="81" t="s">
        <v>224</v>
      </c>
      <c r="K3593" s="81" t="str">
        <f>IFERROR(__xludf.DUMMYFUNCTION("IF(OR(D3593="""",G3593=""""),"""",IFERROR(LET(
campo,XLOOKUP(TRIM(G3593),ARRAYFORMULA(TRIM('indice columnas'!$A$2:$A$100)),'indice columnas'!$B$2:$B$100,""""),
col,IFERROR(MATCH(campo,Referencia!$A$1:$AZ$1,0),0),
fila,IFERROR(MATCH(TO_TEXT(D3593),ARRAYFOR"&amp;"MULA(TO_TEXT(Referencia!$A$2:$A6238)),0),0),
IF(OR(campo="""",campo=""-""),""NO APLICA"",
IF(col=0,""REVISAR EQUIVALENCIA"",
IF(fila=0,""SKU NO ENCONTRADO"",
LET(
valor,INDEX(Referencia!$A$2:$AZ6238,fila,col),
IF(TRIM(TO_TEXT(valor))=TRIM(TO_TEXT(I3593)),"&amp;"
""OK"",
""NO COINCIDE. Valor verdadero: ""&amp;IF(valor="""",""[VACÍO]"",TO_TEXT(valor))
)
))))
),""ERROR EN FÓRMULA""))"),"OK")</f>
        <v>OK</v>
      </c>
    </row>
    <row r="3594">
      <c r="A3594" s="83" t="s">
        <v>4896</v>
      </c>
      <c r="B3594" s="83" t="s">
        <v>4897</v>
      </c>
      <c r="C3594" s="81" t="s">
        <v>4086</v>
      </c>
      <c r="D3594" s="83" t="s">
        <v>4276</v>
      </c>
      <c r="E3594" s="81" t="s">
        <v>1090</v>
      </c>
      <c r="F3594" s="81">
        <v>212.0</v>
      </c>
      <c r="G3594" s="81" t="s">
        <v>2</v>
      </c>
      <c r="H3594" s="81" t="s">
        <v>224</v>
      </c>
      <c r="I3594" s="81" t="s">
        <v>919</v>
      </c>
      <c r="J3594" s="81" t="s">
        <v>224</v>
      </c>
      <c r="K3594" s="81" t="str">
        <f>IFERROR(__xludf.DUMMYFUNCTION("IF(OR(D3594="""",G3594=""""),"""",IFERROR(LET(
campo,XLOOKUP(TRIM(G3594),ARRAYFORMULA(TRIM('indice columnas'!$A$2:$A$100)),'indice columnas'!$B$2:$B$100,""""),
col,IFERROR(MATCH(campo,Referencia!$A$1:$AZ$1,0),0),
fila,IFERROR(MATCH(TO_TEXT(D3594),ARRAYFOR"&amp;"MULA(TO_TEXT(Referencia!$A$2:$A6238)),0),0),
IF(OR(campo="""",campo=""-""),""NO APLICA"",
IF(col=0,""REVISAR EQUIVALENCIA"",
IF(fila=0,""SKU NO ENCONTRADO"",
LET(
valor,INDEX(Referencia!$A$2:$AZ6238,fila,col),
IF(TRIM(TO_TEXT(valor))=TRIM(TO_TEXT(I3594)),"&amp;"
""OK"",
""NO COINCIDE. Valor verdadero: ""&amp;IF(valor="""",""[VACÍO]"",TO_TEXT(valor))
)
))))
),""ERROR EN FÓRMULA""))"),"OK")</f>
        <v>OK</v>
      </c>
    </row>
    <row r="3595">
      <c r="A3595" s="83" t="s">
        <v>4896</v>
      </c>
      <c r="B3595" s="83" t="s">
        <v>4897</v>
      </c>
      <c r="C3595" s="81" t="s">
        <v>4086</v>
      </c>
      <c r="D3595" s="83" t="s">
        <v>4276</v>
      </c>
      <c r="E3595" s="81" t="s">
        <v>1090</v>
      </c>
      <c r="F3595" s="81">
        <v>212.0</v>
      </c>
      <c r="G3595" s="81" t="s">
        <v>1</v>
      </c>
      <c r="H3595" s="81" t="s">
        <v>224</v>
      </c>
      <c r="I3595" s="81" t="s">
        <v>49</v>
      </c>
      <c r="J3595" s="81" t="s">
        <v>224</v>
      </c>
      <c r="K3595" s="81" t="str">
        <f>IFERROR(__xludf.DUMMYFUNCTION("IF(OR(D3595="""",G3595=""""),"""",IFERROR(LET(
campo,XLOOKUP(TRIM(G3595),ARRAYFORMULA(TRIM('indice columnas'!$A$2:$A$100)),'indice columnas'!$B$2:$B$100,""""),
col,IFERROR(MATCH(campo,Referencia!$A$1:$AZ$1,0),0),
fila,IFERROR(MATCH(TO_TEXT(D3595),ARRAYFOR"&amp;"MULA(TO_TEXT(Referencia!$A$2:$A6238)),0),0),
IF(OR(campo="""",campo=""-""),""NO APLICA"",
IF(col=0,""REVISAR EQUIVALENCIA"",
IF(fila=0,""SKU NO ENCONTRADO"",
LET(
valor,INDEX(Referencia!$A$2:$AZ6238,fila,col),
IF(TRIM(TO_TEXT(valor))=TRIM(TO_TEXT(I3595)),"&amp;"
""OK"",
""NO COINCIDE. Valor verdadero: ""&amp;IF(valor="""",""[VACÍO]"",TO_TEXT(valor))
)
))))
),""ERROR EN FÓRMULA""))"),"OK")</f>
        <v>OK</v>
      </c>
    </row>
    <row r="3596">
      <c r="A3596" s="83" t="s">
        <v>4896</v>
      </c>
      <c r="B3596" s="83" t="s">
        <v>4897</v>
      </c>
      <c r="C3596" s="81" t="s">
        <v>4086</v>
      </c>
      <c r="D3596" s="83" t="s">
        <v>4278</v>
      </c>
      <c r="E3596" s="81" t="s">
        <v>1100</v>
      </c>
      <c r="F3596" s="81">
        <v>215.0</v>
      </c>
      <c r="G3596" s="81" t="s">
        <v>3</v>
      </c>
      <c r="H3596" s="81" t="s">
        <v>224</v>
      </c>
      <c r="I3596" s="81" t="s">
        <v>926</v>
      </c>
      <c r="J3596" s="81" t="s">
        <v>224</v>
      </c>
      <c r="K3596" s="81" t="str">
        <f>IFERROR(__xludf.DUMMYFUNCTION("IF(OR(D3596="""",G3596=""""),"""",IFERROR(LET(
campo,XLOOKUP(TRIM(G3596),ARRAYFORMULA(TRIM('indice columnas'!$A$2:$A$100)),'indice columnas'!$B$2:$B$100,""""),
col,IFERROR(MATCH(campo,Referencia!$A$1:$AZ$1,0),0),
fila,IFERROR(MATCH(TO_TEXT(D3596),ARRAYFOR"&amp;"MULA(TO_TEXT(Referencia!$A$2:$A6238)),0),0),
IF(OR(campo="""",campo=""-""),""NO APLICA"",
IF(col=0,""REVISAR EQUIVALENCIA"",
IF(fila=0,""SKU NO ENCONTRADO"",
LET(
valor,INDEX(Referencia!$A$2:$AZ6238,fila,col),
IF(TRIM(TO_TEXT(valor))=TRIM(TO_TEXT(I3596)),"&amp;"
""OK"",
""NO COINCIDE. Valor verdadero: ""&amp;IF(valor="""",""[VACÍO]"",TO_TEXT(valor))
)
))))
),""ERROR EN FÓRMULA""))"),"OK")</f>
        <v>OK</v>
      </c>
    </row>
    <row r="3597">
      <c r="A3597" s="83" t="s">
        <v>4896</v>
      </c>
      <c r="B3597" s="83" t="s">
        <v>4897</v>
      </c>
      <c r="C3597" s="81" t="s">
        <v>4086</v>
      </c>
      <c r="D3597" s="83" t="s">
        <v>4278</v>
      </c>
      <c r="E3597" s="81" t="s">
        <v>1100</v>
      </c>
      <c r="F3597" s="81">
        <v>215.0</v>
      </c>
      <c r="G3597" s="81" t="s">
        <v>2</v>
      </c>
      <c r="H3597" s="81" t="s">
        <v>224</v>
      </c>
      <c r="I3597" s="81" t="s">
        <v>919</v>
      </c>
      <c r="J3597" s="81" t="s">
        <v>224</v>
      </c>
      <c r="K3597" s="81" t="str">
        <f>IFERROR(__xludf.DUMMYFUNCTION("IF(OR(D3597="""",G3597=""""),"""",IFERROR(LET(
campo,XLOOKUP(TRIM(G3597),ARRAYFORMULA(TRIM('indice columnas'!$A$2:$A$100)),'indice columnas'!$B$2:$B$100,""""),
col,IFERROR(MATCH(campo,Referencia!$A$1:$AZ$1,0),0),
fila,IFERROR(MATCH(TO_TEXT(D3597),ARRAYFOR"&amp;"MULA(TO_TEXT(Referencia!$A$2:$A6238)),0),0),
IF(OR(campo="""",campo=""-""),""NO APLICA"",
IF(col=0,""REVISAR EQUIVALENCIA"",
IF(fila=0,""SKU NO ENCONTRADO"",
LET(
valor,INDEX(Referencia!$A$2:$AZ6238,fila,col),
IF(TRIM(TO_TEXT(valor))=TRIM(TO_TEXT(I3597)),"&amp;"
""OK"",
""NO COINCIDE. Valor verdadero: ""&amp;IF(valor="""",""[VACÍO]"",TO_TEXT(valor))
)
))))
),""ERROR EN FÓRMULA""))"),"OK")</f>
        <v>OK</v>
      </c>
    </row>
    <row r="3598">
      <c r="A3598" s="83" t="s">
        <v>4896</v>
      </c>
      <c r="B3598" s="83" t="s">
        <v>4897</v>
      </c>
      <c r="C3598" s="81" t="s">
        <v>4086</v>
      </c>
      <c r="D3598" s="83" t="s">
        <v>4278</v>
      </c>
      <c r="E3598" s="81" t="s">
        <v>1100</v>
      </c>
      <c r="F3598" s="81">
        <v>215.0</v>
      </c>
      <c r="G3598" s="81" t="s">
        <v>1</v>
      </c>
      <c r="H3598" s="81" t="s">
        <v>224</v>
      </c>
      <c r="I3598" s="81" t="s">
        <v>49</v>
      </c>
      <c r="J3598" s="81" t="s">
        <v>224</v>
      </c>
      <c r="K3598" s="81" t="str">
        <f>IFERROR(__xludf.DUMMYFUNCTION("IF(OR(D3598="""",G3598=""""),"""",IFERROR(LET(
campo,XLOOKUP(TRIM(G3598),ARRAYFORMULA(TRIM('indice columnas'!$A$2:$A$100)),'indice columnas'!$B$2:$B$100,""""),
col,IFERROR(MATCH(campo,Referencia!$A$1:$AZ$1,0),0),
fila,IFERROR(MATCH(TO_TEXT(D3598),ARRAYFOR"&amp;"MULA(TO_TEXT(Referencia!$A$2:$A6238)),0),0),
IF(OR(campo="""",campo=""-""),""NO APLICA"",
IF(col=0,""REVISAR EQUIVALENCIA"",
IF(fila=0,""SKU NO ENCONTRADO"",
LET(
valor,INDEX(Referencia!$A$2:$AZ6238,fila,col),
IF(TRIM(TO_TEXT(valor))=TRIM(TO_TEXT(I3598)),"&amp;"
""OK"",
""NO COINCIDE. Valor verdadero: ""&amp;IF(valor="""",""[VACÍO]"",TO_TEXT(valor))
)
))))
),""ERROR EN FÓRMULA""))"),"OK")</f>
        <v>OK</v>
      </c>
    </row>
    <row r="3599">
      <c r="A3599" s="83" t="s">
        <v>4896</v>
      </c>
      <c r="B3599" s="83" t="s">
        <v>4897</v>
      </c>
      <c r="C3599" s="81" t="s">
        <v>4086</v>
      </c>
      <c r="D3599" s="83" t="s">
        <v>4280</v>
      </c>
      <c r="E3599" s="81" t="s">
        <v>1110</v>
      </c>
      <c r="F3599" s="81">
        <v>218.0</v>
      </c>
      <c r="G3599" s="81" t="s">
        <v>3</v>
      </c>
      <c r="H3599" s="81" t="s">
        <v>224</v>
      </c>
      <c r="I3599" s="81" t="s">
        <v>926</v>
      </c>
      <c r="J3599" s="81" t="s">
        <v>224</v>
      </c>
      <c r="K3599" s="81" t="str">
        <f>IFERROR(__xludf.DUMMYFUNCTION("IF(OR(D3599="""",G3599=""""),"""",IFERROR(LET(
campo,XLOOKUP(TRIM(G3599),ARRAYFORMULA(TRIM('indice columnas'!$A$2:$A$100)),'indice columnas'!$B$2:$B$100,""""),
col,IFERROR(MATCH(campo,Referencia!$A$1:$AZ$1,0),0),
fila,IFERROR(MATCH(TO_TEXT(D3599),ARRAYFOR"&amp;"MULA(TO_TEXT(Referencia!$A$2:$A6238)),0),0),
IF(OR(campo="""",campo=""-""),""NO APLICA"",
IF(col=0,""REVISAR EQUIVALENCIA"",
IF(fila=0,""SKU NO ENCONTRADO"",
LET(
valor,INDEX(Referencia!$A$2:$AZ6238,fila,col),
IF(TRIM(TO_TEXT(valor))=TRIM(TO_TEXT(I3599)),"&amp;"
""OK"",
""NO COINCIDE. Valor verdadero: ""&amp;IF(valor="""",""[VACÍO]"",TO_TEXT(valor))
)
))))
),""ERROR EN FÓRMULA""))"),"OK")</f>
        <v>OK</v>
      </c>
    </row>
    <row r="3600">
      <c r="A3600" s="83" t="s">
        <v>4896</v>
      </c>
      <c r="B3600" s="83" t="s">
        <v>4897</v>
      </c>
      <c r="C3600" s="81" t="s">
        <v>4086</v>
      </c>
      <c r="D3600" s="83" t="s">
        <v>4280</v>
      </c>
      <c r="E3600" s="81" t="s">
        <v>1110</v>
      </c>
      <c r="F3600" s="81">
        <v>218.0</v>
      </c>
      <c r="G3600" s="81" t="s">
        <v>2</v>
      </c>
      <c r="H3600" s="81" t="s">
        <v>224</v>
      </c>
      <c r="I3600" s="81" t="s">
        <v>919</v>
      </c>
      <c r="J3600" s="81" t="s">
        <v>224</v>
      </c>
      <c r="K3600" s="81" t="str">
        <f>IFERROR(__xludf.DUMMYFUNCTION("IF(OR(D3600="""",G3600=""""),"""",IFERROR(LET(
campo,XLOOKUP(TRIM(G3600),ARRAYFORMULA(TRIM('indice columnas'!$A$2:$A$100)),'indice columnas'!$B$2:$B$100,""""),
col,IFERROR(MATCH(campo,Referencia!$A$1:$AZ$1,0),0),
fila,IFERROR(MATCH(TO_TEXT(D3600),ARRAYFOR"&amp;"MULA(TO_TEXT(Referencia!$A$2:$A6238)),0),0),
IF(OR(campo="""",campo=""-""),""NO APLICA"",
IF(col=0,""REVISAR EQUIVALENCIA"",
IF(fila=0,""SKU NO ENCONTRADO"",
LET(
valor,INDEX(Referencia!$A$2:$AZ6238,fila,col),
IF(TRIM(TO_TEXT(valor))=TRIM(TO_TEXT(I3600)),"&amp;"
""OK"",
""NO COINCIDE. Valor verdadero: ""&amp;IF(valor="""",""[VACÍO]"",TO_TEXT(valor))
)
))))
),""ERROR EN FÓRMULA""))"),"OK")</f>
        <v>OK</v>
      </c>
    </row>
    <row r="3601">
      <c r="A3601" s="83" t="s">
        <v>4896</v>
      </c>
      <c r="B3601" s="83" t="s">
        <v>4897</v>
      </c>
      <c r="C3601" s="81" t="s">
        <v>4086</v>
      </c>
      <c r="D3601" s="83" t="s">
        <v>4280</v>
      </c>
      <c r="E3601" s="81" t="s">
        <v>1110</v>
      </c>
      <c r="F3601" s="81">
        <v>218.0</v>
      </c>
      <c r="G3601" s="81" t="s">
        <v>1</v>
      </c>
      <c r="H3601" s="81" t="s">
        <v>224</v>
      </c>
      <c r="I3601" s="81" t="s">
        <v>49</v>
      </c>
      <c r="J3601" s="81" t="s">
        <v>224</v>
      </c>
      <c r="K3601" s="81" t="str">
        <f>IFERROR(__xludf.DUMMYFUNCTION("IF(OR(D3601="""",G3601=""""),"""",IFERROR(LET(
campo,XLOOKUP(TRIM(G3601),ARRAYFORMULA(TRIM('indice columnas'!$A$2:$A$100)),'indice columnas'!$B$2:$B$100,""""),
col,IFERROR(MATCH(campo,Referencia!$A$1:$AZ$1,0),0),
fila,IFERROR(MATCH(TO_TEXT(D3601),ARRAYFOR"&amp;"MULA(TO_TEXT(Referencia!$A$2:$A6238)),0),0),
IF(OR(campo="""",campo=""-""),""NO APLICA"",
IF(col=0,""REVISAR EQUIVALENCIA"",
IF(fila=0,""SKU NO ENCONTRADO"",
LET(
valor,INDEX(Referencia!$A$2:$AZ6238,fila,col),
IF(TRIM(TO_TEXT(valor))=TRIM(TO_TEXT(I3601)),"&amp;"
""OK"",
""NO COINCIDE. Valor verdadero: ""&amp;IF(valor="""",""[VACÍO]"",TO_TEXT(valor))
)
))))
),""ERROR EN FÓRMULA""))"),"OK")</f>
        <v>OK</v>
      </c>
    </row>
    <row r="3602">
      <c r="A3602" s="83" t="s">
        <v>4896</v>
      </c>
      <c r="B3602" s="83" t="s">
        <v>4897</v>
      </c>
      <c r="C3602" s="81" t="s">
        <v>4086</v>
      </c>
      <c r="D3602" s="83" t="s">
        <v>4282</v>
      </c>
      <c r="E3602" s="81" t="s">
        <v>1120</v>
      </c>
      <c r="F3602" s="81">
        <v>221.0</v>
      </c>
      <c r="G3602" s="81" t="s">
        <v>3</v>
      </c>
      <c r="H3602" s="81" t="s">
        <v>224</v>
      </c>
      <c r="I3602" s="81" t="s">
        <v>926</v>
      </c>
      <c r="J3602" s="81" t="s">
        <v>224</v>
      </c>
      <c r="K3602" s="81" t="str">
        <f>IFERROR(__xludf.DUMMYFUNCTION("IF(OR(D3602="""",G3602=""""),"""",IFERROR(LET(
campo,XLOOKUP(TRIM(G3602),ARRAYFORMULA(TRIM('indice columnas'!$A$2:$A$100)),'indice columnas'!$B$2:$B$100,""""),
col,IFERROR(MATCH(campo,Referencia!$A$1:$AZ$1,0),0),
fila,IFERROR(MATCH(TO_TEXT(D3602),ARRAYFOR"&amp;"MULA(TO_TEXT(Referencia!$A$2:$A6238)),0),0),
IF(OR(campo="""",campo=""-""),""NO APLICA"",
IF(col=0,""REVISAR EQUIVALENCIA"",
IF(fila=0,""SKU NO ENCONTRADO"",
LET(
valor,INDEX(Referencia!$A$2:$AZ6238,fila,col),
IF(TRIM(TO_TEXT(valor))=TRIM(TO_TEXT(I3602)),"&amp;"
""OK"",
""NO COINCIDE. Valor verdadero: ""&amp;IF(valor="""",""[VACÍO]"",TO_TEXT(valor))
)
))))
),""ERROR EN FÓRMULA""))"),"OK")</f>
        <v>OK</v>
      </c>
    </row>
    <row r="3603">
      <c r="A3603" s="83" t="s">
        <v>4896</v>
      </c>
      <c r="B3603" s="83" t="s">
        <v>4897</v>
      </c>
      <c r="C3603" s="81" t="s">
        <v>4086</v>
      </c>
      <c r="D3603" s="83" t="s">
        <v>4282</v>
      </c>
      <c r="E3603" s="81" t="s">
        <v>1120</v>
      </c>
      <c r="F3603" s="81">
        <v>221.0</v>
      </c>
      <c r="G3603" s="81" t="s">
        <v>2</v>
      </c>
      <c r="H3603" s="81" t="s">
        <v>224</v>
      </c>
      <c r="I3603" s="81" t="s">
        <v>919</v>
      </c>
      <c r="J3603" s="81" t="s">
        <v>224</v>
      </c>
      <c r="K3603" s="81" t="str">
        <f>IFERROR(__xludf.DUMMYFUNCTION("IF(OR(D3603="""",G3603=""""),"""",IFERROR(LET(
campo,XLOOKUP(TRIM(G3603),ARRAYFORMULA(TRIM('indice columnas'!$A$2:$A$100)),'indice columnas'!$B$2:$B$100,""""),
col,IFERROR(MATCH(campo,Referencia!$A$1:$AZ$1,0),0),
fila,IFERROR(MATCH(TO_TEXT(D3603),ARRAYFOR"&amp;"MULA(TO_TEXT(Referencia!$A$2:$A6238)),0),0),
IF(OR(campo="""",campo=""-""),""NO APLICA"",
IF(col=0,""REVISAR EQUIVALENCIA"",
IF(fila=0,""SKU NO ENCONTRADO"",
LET(
valor,INDEX(Referencia!$A$2:$AZ6238,fila,col),
IF(TRIM(TO_TEXT(valor))=TRIM(TO_TEXT(I3603)),"&amp;"
""OK"",
""NO COINCIDE. Valor verdadero: ""&amp;IF(valor="""",""[VACÍO]"",TO_TEXT(valor))
)
))))
),""ERROR EN FÓRMULA""))"),"OK")</f>
        <v>OK</v>
      </c>
    </row>
    <row r="3604">
      <c r="A3604" s="83" t="s">
        <v>4896</v>
      </c>
      <c r="B3604" s="83" t="s">
        <v>4897</v>
      </c>
      <c r="C3604" s="81" t="s">
        <v>4086</v>
      </c>
      <c r="D3604" s="83" t="s">
        <v>4282</v>
      </c>
      <c r="E3604" s="81" t="s">
        <v>1120</v>
      </c>
      <c r="F3604" s="81">
        <v>221.0</v>
      </c>
      <c r="G3604" s="81" t="s">
        <v>1</v>
      </c>
      <c r="H3604" s="81" t="s">
        <v>224</v>
      </c>
      <c r="I3604" s="81" t="s">
        <v>49</v>
      </c>
      <c r="J3604" s="81" t="s">
        <v>224</v>
      </c>
      <c r="K3604" s="81" t="str">
        <f>IFERROR(__xludf.DUMMYFUNCTION("IF(OR(D3604="""",G3604=""""),"""",IFERROR(LET(
campo,XLOOKUP(TRIM(G3604),ARRAYFORMULA(TRIM('indice columnas'!$A$2:$A$100)),'indice columnas'!$B$2:$B$100,""""),
col,IFERROR(MATCH(campo,Referencia!$A$1:$AZ$1,0),0),
fila,IFERROR(MATCH(TO_TEXT(D3604),ARRAYFOR"&amp;"MULA(TO_TEXT(Referencia!$A$2:$A6238)),0),0),
IF(OR(campo="""",campo=""-""),""NO APLICA"",
IF(col=0,""REVISAR EQUIVALENCIA"",
IF(fila=0,""SKU NO ENCONTRADO"",
LET(
valor,INDEX(Referencia!$A$2:$AZ6238,fila,col),
IF(TRIM(TO_TEXT(valor))=TRIM(TO_TEXT(I3604)),"&amp;"
""OK"",
""NO COINCIDE. Valor verdadero: ""&amp;IF(valor="""",""[VACÍO]"",TO_TEXT(valor))
)
))))
),""ERROR EN FÓRMULA""))"),"OK")</f>
        <v>OK</v>
      </c>
    </row>
    <row r="3605">
      <c r="A3605" s="83" t="s">
        <v>4896</v>
      </c>
      <c r="B3605" s="83" t="s">
        <v>4897</v>
      </c>
      <c r="C3605" s="81" t="s">
        <v>4086</v>
      </c>
      <c r="D3605" s="83" t="s">
        <v>4284</v>
      </c>
      <c r="E3605" s="81" t="s">
        <v>1130</v>
      </c>
      <c r="F3605" s="81">
        <v>224.0</v>
      </c>
      <c r="G3605" s="81" t="s">
        <v>3</v>
      </c>
      <c r="H3605" s="81" t="s">
        <v>224</v>
      </c>
      <c r="I3605" s="81" t="s">
        <v>926</v>
      </c>
      <c r="J3605" s="81" t="s">
        <v>224</v>
      </c>
      <c r="K3605" s="81" t="str">
        <f>IFERROR(__xludf.DUMMYFUNCTION("IF(OR(D3605="""",G3605=""""),"""",IFERROR(LET(
campo,XLOOKUP(TRIM(G3605),ARRAYFORMULA(TRIM('indice columnas'!$A$2:$A$100)),'indice columnas'!$B$2:$B$100,""""),
col,IFERROR(MATCH(campo,Referencia!$A$1:$AZ$1,0),0),
fila,IFERROR(MATCH(TO_TEXT(D3605),ARRAYFOR"&amp;"MULA(TO_TEXT(Referencia!$A$2:$A6238)),0),0),
IF(OR(campo="""",campo=""-""),""NO APLICA"",
IF(col=0,""REVISAR EQUIVALENCIA"",
IF(fila=0,""SKU NO ENCONTRADO"",
LET(
valor,INDEX(Referencia!$A$2:$AZ6238,fila,col),
IF(TRIM(TO_TEXT(valor))=TRIM(TO_TEXT(I3605)),"&amp;"
""OK"",
""NO COINCIDE. Valor verdadero: ""&amp;IF(valor="""",""[VACÍO]"",TO_TEXT(valor))
)
))))
),""ERROR EN FÓRMULA""))"),"OK")</f>
        <v>OK</v>
      </c>
    </row>
    <row r="3606">
      <c r="A3606" s="83" t="s">
        <v>4896</v>
      </c>
      <c r="B3606" s="83" t="s">
        <v>4897</v>
      </c>
      <c r="C3606" s="81" t="s">
        <v>4086</v>
      </c>
      <c r="D3606" s="83" t="s">
        <v>4284</v>
      </c>
      <c r="E3606" s="81" t="s">
        <v>1130</v>
      </c>
      <c r="F3606" s="81">
        <v>224.0</v>
      </c>
      <c r="G3606" s="81" t="s">
        <v>2</v>
      </c>
      <c r="H3606" s="81" t="s">
        <v>224</v>
      </c>
      <c r="I3606" s="81" t="s">
        <v>919</v>
      </c>
      <c r="J3606" s="81" t="s">
        <v>224</v>
      </c>
      <c r="K3606" s="81" t="str">
        <f>IFERROR(__xludf.DUMMYFUNCTION("IF(OR(D3606="""",G3606=""""),"""",IFERROR(LET(
campo,XLOOKUP(TRIM(G3606),ARRAYFORMULA(TRIM('indice columnas'!$A$2:$A$100)),'indice columnas'!$B$2:$B$100,""""),
col,IFERROR(MATCH(campo,Referencia!$A$1:$AZ$1,0),0),
fila,IFERROR(MATCH(TO_TEXT(D3606),ARRAYFOR"&amp;"MULA(TO_TEXT(Referencia!$A$2:$A6238)),0),0),
IF(OR(campo="""",campo=""-""),""NO APLICA"",
IF(col=0,""REVISAR EQUIVALENCIA"",
IF(fila=0,""SKU NO ENCONTRADO"",
LET(
valor,INDEX(Referencia!$A$2:$AZ6238,fila,col),
IF(TRIM(TO_TEXT(valor))=TRIM(TO_TEXT(I3606)),"&amp;"
""OK"",
""NO COINCIDE. Valor verdadero: ""&amp;IF(valor="""",""[VACÍO]"",TO_TEXT(valor))
)
))))
),""ERROR EN FÓRMULA""))"),"OK")</f>
        <v>OK</v>
      </c>
    </row>
    <row r="3607">
      <c r="A3607" s="83" t="s">
        <v>4896</v>
      </c>
      <c r="B3607" s="83" t="s">
        <v>4897</v>
      </c>
      <c r="C3607" s="81" t="s">
        <v>4086</v>
      </c>
      <c r="D3607" s="83" t="s">
        <v>4284</v>
      </c>
      <c r="E3607" s="81" t="s">
        <v>1130</v>
      </c>
      <c r="F3607" s="81">
        <v>224.0</v>
      </c>
      <c r="G3607" s="81" t="s">
        <v>1</v>
      </c>
      <c r="H3607" s="81" t="s">
        <v>224</v>
      </c>
      <c r="I3607" s="81" t="s">
        <v>49</v>
      </c>
      <c r="J3607" s="81" t="s">
        <v>224</v>
      </c>
      <c r="K3607" s="81" t="str">
        <f>IFERROR(__xludf.DUMMYFUNCTION("IF(OR(D3607="""",G3607=""""),"""",IFERROR(LET(
campo,XLOOKUP(TRIM(G3607),ARRAYFORMULA(TRIM('indice columnas'!$A$2:$A$100)),'indice columnas'!$B$2:$B$100,""""),
col,IFERROR(MATCH(campo,Referencia!$A$1:$AZ$1,0),0),
fila,IFERROR(MATCH(TO_TEXT(D3607),ARRAYFOR"&amp;"MULA(TO_TEXT(Referencia!$A$2:$A6238)),0),0),
IF(OR(campo="""",campo=""-""),""NO APLICA"",
IF(col=0,""REVISAR EQUIVALENCIA"",
IF(fila=0,""SKU NO ENCONTRADO"",
LET(
valor,INDEX(Referencia!$A$2:$AZ6238,fila,col),
IF(TRIM(TO_TEXT(valor))=TRIM(TO_TEXT(I3607)),"&amp;"
""OK"",
""NO COINCIDE. Valor verdadero: ""&amp;IF(valor="""",""[VACÍO]"",TO_TEXT(valor))
)
))))
),""ERROR EN FÓRMULA""))"),"OK")</f>
        <v>OK</v>
      </c>
    </row>
    <row r="3608">
      <c r="A3608" s="83" t="s">
        <v>4896</v>
      </c>
      <c r="B3608" s="83" t="s">
        <v>4897</v>
      </c>
      <c r="C3608" s="81" t="s">
        <v>4086</v>
      </c>
      <c r="D3608" s="83" t="s">
        <v>4285</v>
      </c>
      <c r="E3608" s="81" t="s">
        <v>1133</v>
      </c>
      <c r="F3608" s="81">
        <v>225.0</v>
      </c>
      <c r="G3608" s="81" t="s">
        <v>3</v>
      </c>
      <c r="H3608" s="81" t="s">
        <v>224</v>
      </c>
      <c r="I3608" s="81" t="s">
        <v>1016</v>
      </c>
      <c r="J3608" s="81" t="s">
        <v>224</v>
      </c>
      <c r="K3608" s="81" t="str">
        <f>IFERROR(__xludf.DUMMYFUNCTION("IF(OR(D3608="""",G3608=""""),"""",IFERROR(LET(
campo,XLOOKUP(TRIM(G3608),ARRAYFORMULA(TRIM('indice columnas'!$A$2:$A$100)),'indice columnas'!$B$2:$B$100,""""),
col,IFERROR(MATCH(campo,Referencia!$A$1:$AZ$1,0),0),
fila,IFERROR(MATCH(TO_TEXT(D3608),ARRAYFOR"&amp;"MULA(TO_TEXT(Referencia!$A$2:$A6238)),0),0),
IF(OR(campo="""",campo=""-""),""NO APLICA"",
IF(col=0,""REVISAR EQUIVALENCIA"",
IF(fila=0,""SKU NO ENCONTRADO"",
LET(
valor,INDEX(Referencia!$A$2:$AZ6238,fila,col),
IF(TRIM(TO_TEXT(valor))=TRIM(TO_TEXT(I3608)),"&amp;"
""OK"",
""NO COINCIDE. Valor verdadero: ""&amp;IF(valor="""",""[VACÍO]"",TO_TEXT(valor))
)
))))
),""ERROR EN FÓRMULA""))"),"OK")</f>
        <v>OK</v>
      </c>
    </row>
    <row r="3609">
      <c r="A3609" s="83" t="s">
        <v>4896</v>
      </c>
      <c r="B3609" s="83" t="s">
        <v>4897</v>
      </c>
      <c r="C3609" s="81" t="s">
        <v>4086</v>
      </c>
      <c r="D3609" s="83" t="s">
        <v>4285</v>
      </c>
      <c r="E3609" s="81" t="s">
        <v>1133</v>
      </c>
      <c r="F3609" s="81">
        <v>225.0</v>
      </c>
      <c r="G3609" s="81" t="s">
        <v>2</v>
      </c>
      <c r="H3609" s="81" t="s">
        <v>224</v>
      </c>
      <c r="I3609" s="81" t="s">
        <v>919</v>
      </c>
      <c r="J3609" s="81" t="s">
        <v>224</v>
      </c>
      <c r="K3609" s="81" t="str">
        <f>IFERROR(__xludf.DUMMYFUNCTION("IF(OR(D3609="""",G3609=""""),"""",IFERROR(LET(
campo,XLOOKUP(TRIM(G3609),ARRAYFORMULA(TRIM('indice columnas'!$A$2:$A$100)),'indice columnas'!$B$2:$B$100,""""),
col,IFERROR(MATCH(campo,Referencia!$A$1:$AZ$1,0),0),
fila,IFERROR(MATCH(TO_TEXT(D3609),ARRAYFOR"&amp;"MULA(TO_TEXT(Referencia!$A$2:$A6238)),0),0),
IF(OR(campo="""",campo=""-""),""NO APLICA"",
IF(col=0,""REVISAR EQUIVALENCIA"",
IF(fila=0,""SKU NO ENCONTRADO"",
LET(
valor,INDEX(Referencia!$A$2:$AZ6238,fila,col),
IF(TRIM(TO_TEXT(valor))=TRIM(TO_TEXT(I3609)),"&amp;"
""OK"",
""NO COINCIDE. Valor verdadero: ""&amp;IF(valor="""",""[VACÍO]"",TO_TEXT(valor))
)
))))
),""ERROR EN FÓRMULA""))"),"OK")</f>
        <v>OK</v>
      </c>
    </row>
    <row r="3610">
      <c r="A3610" s="83" t="s">
        <v>4896</v>
      </c>
      <c r="B3610" s="83" t="s">
        <v>4897</v>
      </c>
      <c r="C3610" s="81" t="s">
        <v>4086</v>
      </c>
      <c r="D3610" s="83" t="s">
        <v>4285</v>
      </c>
      <c r="E3610" s="81" t="s">
        <v>1133</v>
      </c>
      <c r="F3610" s="81">
        <v>225.0</v>
      </c>
      <c r="G3610" s="81" t="s">
        <v>1</v>
      </c>
      <c r="H3610" s="81" t="s">
        <v>224</v>
      </c>
      <c r="I3610" s="81" t="s">
        <v>49</v>
      </c>
      <c r="J3610" s="81" t="s">
        <v>224</v>
      </c>
      <c r="K3610" s="81" t="str">
        <f>IFERROR(__xludf.DUMMYFUNCTION("IF(OR(D3610="""",G3610=""""),"""",IFERROR(LET(
campo,XLOOKUP(TRIM(G3610),ARRAYFORMULA(TRIM('indice columnas'!$A$2:$A$100)),'indice columnas'!$B$2:$B$100,""""),
col,IFERROR(MATCH(campo,Referencia!$A$1:$AZ$1,0),0),
fila,IFERROR(MATCH(TO_TEXT(D3610),ARRAYFOR"&amp;"MULA(TO_TEXT(Referencia!$A$2:$A6238)),0),0),
IF(OR(campo="""",campo=""-""),""NO APLICA"",
IF(col=0,""REVISAR EQUIVALENCIA"",
IF(fila=0,""SKU NO ENCONTRADO"",
LET(
valor,INDEX(Referencia!$A$2:$AZ6238,fila,col),
IF(TRIM(TO_TEXT(valor))=TRIM(TO_TEXT(I3610)),"&amp;"
""OK"",
""NO COINCIDE. Valor verdadero: ""&amp;IF(valor="""",""[VACÍO]"",TO_TEXT(valor))
)
))))
),""ERROR EN FÓRMULA""))"),"OK")</f>
        <v>OK</v>
      </c>
    </row>
    <row r="3611">
      <c r="A3611" s="83" t="s">
        <v>4896</v>
      </c>
      <c r="B3611" s="83" t="s">
        <v>4897</v>
      </c>
      <c r="C3611" s="81" t="s">
        <v>4086</v>
      </c>
      <c r="D3611" s="83" t="s">
        <v>4287</v>
      </c>
      <c r="E3611" s="81" t="s">
        <v>1138</v>
      </c>
      <c r="F3611" s="81">
        <v>226.0</v>
      </c>
      <c r="G3611" s="81" t="s">
        <v>3</v>
      </c>
      <c r="H3611" s="81" t="s">
        <v>224</v>
      </c>
      <c r="I3611" s="81" t="s">
        <v>1016</v>
      </c>
      <c r="J3611" s="81" t="s">
        <v>224</v>
      </c>
      <c r="K3611" s="81" t="str">
        <f>IFERROR(__xludf.DUMMYFUNCTION("IF(OR(D3611="""",G3611=""""),"""",IFERROR(LET(
campo,XLOOKUP(TRIM(G3611),ARRAYFORMULA(TRIM('indice columnas'!$A$2:$A$100)),'indice columnas'!$B$2:$B$100,""""),
col,IFERROR(MATCH(campo,Referencia!$A$1:$AZ$1,0),0),
fila,IFERROR(MATCH(TO_TEXT(D3611),ARRAYFOR"&amp;"MULA(TO_TEXT(Referencia!$A$2:$A6238)),0),0),
IF(OR(campo="""",campo=""-""),""NO APLICA"",
IF(col=0,""REVISAR EQUIVALENCIA"",
IF(fila=0,""SKU NO ENCONTRADO"",
LET(
valor,INDEX(Referencia!$A$2:$AZ6238,fila,col),
IF(TRIM(TO_TEXT(valor))=TRIM(TO_TEXT(I3611)),"&amp;"
""OK"",
""NO COINCIDE. Valor verdadero: ""&amp;IF(valor="""",""[VACÍO]"",TO_TEXT(valor))
)
))))
),""ERROR EN FÓRMULA""))"),"OK")</f>
        <v>OK</v>
      </c>
    </row>
    <row r="3612">
      <c r="A3612" s="83" t="s">
        <v>4896</v>
      </c>
      <c r="B3612" s="83" t="s">
        <v>4897</v>
      </c>
      <c r="C3612" s="81" t="s">
        <v>4086</v>
      </c>
      <c r="D3612" s="83" t="s">
        <v>4287</v>
      </c>
      <c r="E3612" s="81" t="s">
        <v>1138</v>
      </c>
      <c r="F3612" s="81">
        <v>226.0</v>
      </c>
      <c r="G3612" s="81" t="s">
        <v>2</v>
      </c>
      <c r="H3612" s="81" t="s">
        <v>224</v>
      </c>
      <c r="I3612" s="81" t="s">
        <v>919</v>
      </c>
      <c r="J3612" s="81" t="s">
        <v>224</v>
      </c>
      <c r="K3612" s="81" t="str">
        <f>IFERROR(__xludf.DUMMYFUNCTION("IF(OR(D3612="""",G3612=""""),"""",IFERROR(LET(
campo,XLOOKUP(TRIM(G3612),ARRAYFORMULA(TRIM('indice columnas'!$A$2:$A$100)),'indice columnas'!$B$2:$B$100,""""),
col,IFERROR(MATCH(campo,Referencia!$A$1:$AZ$1,0),0),
fila,IFERROR(MATCH(TO_TEXT(D3612),ARRAYFOR"&amp;"MULA(TO_TEXT(Referencia!$A$2:$A6238)),0),0),
IF(OR(campo="""",campo=""-""),""NO APLICA"",
IF(col=0,""REVISAR EQUIVALENCIA"",
IF(fila=0,""SKU NO ENCONTRADO"",
LET(
valor,INDEX(Referencia!$A$2:$AZ6238,fila,col),
IF(TRIM(TO_TEXT(valor))=TRIM(TO_TEXT(I3612)),"&amp;"
""OK"",
""NO COINCIDE. Valor verdadero: ""&amp;IF(valor="""",""[VACÍO]"",TO_TEXT(valor))
)
))))
),""ERROR EN FÓRMULA""))"),"OK")</f>
        <v>OK</v>
      </c>
    </row>
    <row r="3613">
      <c r="A3613" s="83" t="s">
        <v>4896</v>
      </c>
      <c r="B3613" s="83" t="s">
        <v>4897</v>
      </c>
      <c r="C3613" s="81" t="s">
        <v>4086</v>
      </c>
      <c r="D3613" s="83" t="s">
        <v>4287</v>
      </c>
      <c r="E3613" s="81" t="s">
        <v>1138</v>
      </c>
      <c r="F3613" s="81">
        <v>226.0</v>
      </c>
      <c r="G3613" s="81" t="s">
        <v>1</v>
      </c>
      <c r="H3613" s="81" t="s">
        <v>224</v>
      </c>
      <c r="I3613" s="81" t="s">
        <v>49</v>
      </c>
      <c r="J3613" s="81" t="s">
        <v>224</v>
      </c>
      <c r="K3613" s="81" t="str">
        <f>IFERROR(__xludf.DUMMYFUNCTION("IF(OR(D3613="""",G3613=""""),"""",IFERROR(LET(
campo,XLOOKUP(TRIM(G3613),ARRAYFORMULA(TRIM('indice columnas'!$A$2:$A$100)),'indice columnas'!$B$2:$B$100,""""),
col,IFERROR(MATCH(campo,Referencia!$A$1:$AZ$1,0),0),
fila,IFERROR(MATCH(TO_TEXT(D3613),ARRAYFOR"&amp;"MULA(TO_TEXT(Referencia!$A$2:$A6238)),0),0),
IF(OR(campo="""",campo=""-""),""NO APLICA"",
IF(col=0,""REVISAR EQUIVALENCIA"",
IF(fila=0,""SKU NO ENCONTRADO"",
LET(
valor,INDEX(Referencia!$A$2:$AZ6238,fila,col),
IF(TRIM(TO_TEXT(valor))=TRIM(TO_TEXT(I3613)),"&amp;"
""OK"",
""NO COINCIDE. Valor verdadero: ""&amp;IF(valor="""",""[VACÍO]"",TO_TEXT(valor))
)
))))
),""ERROR EN FÓRMULA""))"),"OK")</f>
        <v>OK</v>
      </c>
    </row>
    <row r="3614">
      <c r="A3614" s="83" t="s">
        <v>4896</v>
      </c>
      <c r="B3614" s="83" t="s">
        <v>4897</v>
      </c>
      <c r="C3614" s="81" t="s">
        <v>4086</v>
      </c>
      <c r="D3614" s="83" t="s">
        <v>4289</v>
      </c>
      <c r="E3614" s="81" t="s">
        <v>1142</v>
      </c>
      <c r="F3614" s="81">
        <v>227.0</v>
      </c>
      <c r="G3614" s="81" t="s">
        <v>3</v>
      </c>
      <c r="H3614" s="81" t="s">
        <v>224</v>
      </c>
      <c r="I3614" s="81" t="s">
        <v>1016</v>
      </c>
      <c r="J3614" s="81" t="s">
        <v>224</v>
      </c>
      <c r="K3614" s="81" t="str">
        <f>IFERROR(__xludf.DUMMYFUNCTION("IF(OR(D3614="""",G3614=""""),"""",IFERROR(LET(
campo,XLOOKUP(TRIM(G3614),ARRAYFORMULA(TRIM('indice columnas'!$A$2:$A$100)),'indice columnas'!$B$2:$B$100,""""),
col,IFERROR(MATCH(campo,Referencia!$A$1:$AZ$1,0),0),
fila,IFERROR(MATCH(TO_TEXT(D3614),ARRAYFOR"&amp;"MULA(TO_TEXT(Referencia!$A$2:$A6238)),0),0),
IF(OR(campo="""",campo=""-""),""NO APLICA"",
IF(col=0,""REVISAR EQUIVALENCIA"",
IF(fila=0,""SKU NO ENCONTRADO"",
LET(
valor,INDEX(Referencia!$A$2:$AZ6238,fila,col),
IF(TRIM(TO_TEXT(valor))=TRIM(TO_TEXT(I3614)),"&amp;"
""OK"",
""NO COINCIDE. Valor verdadero: ""&amp;IF(valor="""",""[VACÍO]"",TO_TEXT(valor))
)
))))
),""ERROR EN FÓRMULA""))"),"OK")</f>
        <v>OK</v>
      </c>
    </row>
    <row r="3615">
      <c r="A3615" s="83" t="s">
        <v>4896</v>
      </c>
      <c r="B3615" s="83" t="s">
        <v>4897</v>
      </c>
      <c r="C3615" s="81" t="s">
        <v>4086</v>
      </c>
      <c r="D3615" s="83" t="s">
        <v>4289</v>
      </c>
      <c r="E3615" s="81" t="s">
        <v>1142</v>
      </c>
      <c r="F3615" s="81">
        <v>227.0</v>
      </c>
      <c r="G3615" s="81" t="s">
        <v>2</v>
      </c>
      <c r="H3615" s="81" t="s">
        <v>224</v>
      </c>
      <c r="I3615" s="81" t="s">
        <v>919</v>
      </c>
      <c r="J3615" s="81" t="s">
        <v>224</v>
      </c>
      <c r="K3615" s="81" t="str">
        <f>IFERROR(__xludf.DUMMYFUNCTION("IF(OR(D3615="""",G3615=""""),"""",IFERROR(LET(
campo,XLOOKUP(TRIM(G3615),ARRAYFORMULA(TRIM('indice columnas'!$A$2:$A$100)),'indice columnas'!$B$2:$B$100,""""),
col,IFERROR(MATCH(campo,Referencia!$A$1:$AZ$1,0),0),
fila,IFERROR(MATCH(TO_TEXT(D3615),ARRAYFOR"&amp;"MULA(TO_TEXT(Referencia!$A$2:$A6238)),0),0),
IF(OR(campo="""",campo=""-""),""NO APLICA"",
IF(col=0,""REVISAR EQUIVALENCIA"",
IF(fila=0,""SKU NO ENCONTRADO"",
LET(
valor,INDEX(Referencia!$A$2:$AZ6238,fila,col),
IF(TRIM(TO_TEXT(valor))=TRIM(TO_TEXT(I3615)),"&amp;"
""OK"",
""NO COINCIDE. Valor verdadero: ""&amp;IF(valor="""",""[VACÍO]"",TO_TEXT(valor))
)
))))
),""ERROR EN FÓRMULA""))"),"OK")</f>
        <v>OK</v>
      </c>
    </row>
    <row r="3616">
      <c r="A3616" s="83" t="s">
        <v>4896</v>
      </c>
      <c r="B3616" s="83" t="s">
        <v>4897</v>
      </c>
      <c r="C3616" s="81" t="s">
        <v>4086</v>
      </c>
      <c r="D3616" s="83" t="s">
        <v>4289</v>
      </c>
      <c r="E3616" s="81" t="s">
        <v>1142</v>
      </c>
      <c r="F3616" s="81">
        <v>227.0</v>
      </c>
      <c r="G3616" s="81" t="s">
        <v>1</v>
      </c>
      <c r="H3616" s="81" t="s">
        <v>224</v>
      </c>
      <c r="I3616" s="81" t="s">
        <v>49</v>
      </c>
      <c r="J3616" s="81" t="s">
        <v>224</v>
      </c>
      <c r="K3616" s="81" t="str">
        <f>IFERROR(__xludf.DUMMYFUNCTION("IF(OR(D3616="""",G3616=""""),"""",IFERROR(LET(
campo,XLOOKUP(TRIM(G3616),ARRAYFORMULA(TRIM('indice columnas'!$A$2:$A$100)),'indice columnas'!$B$2:$B$100,""""),
col,IFERROR(MATCH(campo,Referencia!$A$1:$AZ$1,0),0),
fila,IFERROR(MATCH(TO_TEXT(D3616),ARRAYFOR"&amp;"MULA(TO_TEXT(Referencia!$A$2:$A6238)),0),0),
IF(OR(campo="""",campo=""-""),""NO APLICA"",
IF(col=0,""REVISAR EQUIVALENCIA"",
IF(fila=0,""SKU NO ENCONTRADO"",
LET(
valor,INDEX(Referencia!$A$2:$AZ6238,fila,col),
IF(TRIM(TO_TEXT(valor))=TRIM(TO_TEXT(I3616)),"&amp;"
""OK"",
""NO COINCIDE. Valor verdadero: ""&amp;IF(valor="""",""[VACÍO]"",TO_TEXT(valor))
)
))))
),""ERROR EN FÓRMULA""))"),"OK")</f>
        <v>OK</v>
      </c>
    </row>
    <row r="3617">
      <c r="A3617" s="83" t="s">
        <v>4896</v>
      </c>
      <c r="B3617" s="83" t="s">
        <v>4897</v>
      </c>
      <c r="C3617" s="81" t="s">
        <v>4086</v>
      </c>
      <c r="D3617" s="83" t="s">
        <v>4291</v>
      </c>
      <c r="E3617" s="81" t="s">
        <v>1155</v>
      </c>
      <c r="F3617" s="81">
        <v>230.0</v>
      </c>
      <c r="G3617" s="81" t="s">
        <v>3</v>
      </c>
      <c r="H3617" s="81" t="s">
        <v>224</v>
      </c>
      <c r="I3617" s="81" t="s">
        <v>1144</v>
      </c>
      <c r="J3617" s="81" t="s">
        <v>224</v>
      </c>
      <c r="K3617" s="81" t="str">
        <f>IFERROR(__xludf.DUMMYFUNCTION("IF(OR(D3617="""",G3617=""""),"""",IFERROR(LET(
campo,XLOOKUP(TRIM(G3617),ARRAYFORMULA(TRIM('indice columnas'!$A$2:$A$100)),'indice columnas'!$B$2:$B$100,""""),
col,IFERROR(MATCH(campo,Referencia!$A$1:$AZ$1,0),0),
fila,IFERROR(MATCH(TO_TEXT(D3617),ARRAYFOR"&amp;"MULA(TO_TEXT(Referencia!$A$2:$A6238)),0),0),
IF(OR(campo="""",campo=""-""),""NO APLICA"",
IF(col=0,""REVISAR EQUIVALENCIA"",
IF(fila=0,""SKU NO ENCONTRADO"",
LET(
valor,INDEX(Referencia!$A$2:$AZ6238,fila,col),
IF(TRIM(TO_TEXT(valor))=TRIM(TO_TEXT(I3617)),"&amp;"
""OK"",
""NO COINCIDE. Valor verdadero: ""&amp;IF(valor="""",""[VACÍO]"",TO_TEXT(valor))
)
))))
),""ERROR EN FÓRMULA""))"),"OK")</f>
        <v>OK</v>
      </c>
    </row>
    <row r="3618">
      <c r="A3618" s="83" t="s">
        <v>4896</v>
      </c>
      <c r="B3618" s="83" t="s">
        <v>4897</v>
      </c>
      <c r="C3618" s="81" t="s">
        <v>4086</v>
      </c>
      <c r="D3618" s="83" t="s">
        <v>4291</v>
      </c>
      <c r="E3618" s="81" t="s">
        <v>1155</v>
      </c>
      <c r="F3618" s="81">
        <v>230.0</v>
      </c>
      <c r="G3618" s="81" t="s">
        <v>2</v>
      </c>
      <c r="H3618" s="81" t="s">
        <v>224</v>
      </c>
      <c r="I3618" s="81" t="s">
        <v>213</v>
      </c>
      <c r="J3618" s="81" t="s">
        <v>224</v>
      </c>
      <c r="K3618" s="81" t="str">
        <f>IFERROR(__xludf.DUMMYFUNCTION("IF(OR(D3618="""",G3618=""""),"""",IFERROR(LET(
campo,XLOOKUP(TRIM(G3618),ARRAYFORMULA(TRIM('indice columnas'!$A$2:$A$100)),'indice columnas'!$B$2:$B$100,""""),
col,IFERROR(MATCH(campo,Referencia!$A$1:$AZ$1,0),0),
fila,IFERROR(MATCH(TO_TEXT(D3618),ARRAYFOR"&amp;"MULA(TO_TEXT(Referencia!$A$2:$A6238)),0),0),
IF(OR(campo="""",campo=""-""),""NO APLICA"",
IF(col=0,""REVISAR EQUIVALENCIA"",
IF(fila=0,""SKU NO ENCONTRADO"",
LET(
valor,INDEX(Referencia!$A$2:$AZ6238,fila,col),
IF(TRIM(TO_TEXT(valor))=TRIM(TO_TEXT(I3618)),"&amp;"
""OK"",
""NO COINCIDE. Valor verdadero: ""&amp;IF(valor="""",""[VACÍO]"",TO_TEXT(valor))
)
))))
),""ERROR EN FÓRMULA""))"),"OK")</f>
        <v>OK</v>
      </c>
    </row>
    <row r="3619">
      <c r="A3619" s="83" t="s">
        <v>4896</v>
      </c>
      <c r="B3619" s="83" t="s">
        <v>4897</v>
      </c>
      <c r="C3619" s="81" t="s">
        <v>4086</v>
      </c>
      <c r="D3619" s="83" t="s">
        <v>4291</v>
      </c>
      <c r="E3619" s="81" t="s">
        <v>1155</v>
      </c>
      <c r="F3619" s="81">
        <v>230.0</v>
      </c>
      <c r="G3619" s="81" t="s">
        <v>1</v>
      </c>
      <c r="H3619" s="81" t="s">
        <v>224</v>
      </c>
      <c r="I3619" s="81" t="s">
        <v>49</v>
      </c>
      <c r="J3619" s="81" t="s">
        <v>224</v>
      </c>
      <c r="K3619" s="81" t="str">
        <f>IFERROR(__xludf.DUMMYFUNCTION("IF(OR(D3619="""",G3619=""""),"""",IFERROR(LET(
campo,XLOOKUP(TRIM(G3619),ARRAYFORMULA(TRIM('indice columnas'!$A$2:$A$100)),'indice columnas'!$B$2:$B$100,""""),
col,IFERROR(MATCH(campo,Referencia!$A$1:$AZ$1,0),0),
fila,IFERROR(MATCH(TO_TEXT(D3619),ARRAYFOR"&amp;"MULA(TO_TEXT(Referencia!$A$2:$A6238)),0),0),
IF(OR(campo="""",campo=""-""),""NO APLICA"",
IF(col=0,""REVISAR EQUIVALENCIA"",
IF(fila=0,""SKU NO ENCONTRADO"",
LET(
valor,INDEX(Referencia!$A$2:$AZ6238,fila,col),
IF(TRIM(TO_TEXT(valor))=TRIM(TO_TEXT(I3619)),"&amp;"
""OK"",
""NO COINCIDE. Valor verdadero: ""&amp;IF(valor="""",""[VACÍO]"",TO_TEXT(valor))
)
))))
),""ERROR EN FÓRMULA""))"),"OK")</f>
        <v>OK</v>
      </c>
    </row>
    <row r="3620">
      <c r="A3620" s="83" t="s">
        <v>4896</v>
      </c>
      <c r="B3620" s="83" t="s">
        <v>4897</v>
      </c>
      <c r="C3620" s="81" t="s">
        <v>4086</v>
      </c>
      <c r="D3620" s="83" t="s">
        <v>4294</v>
      </c>
      <c r="E3620" s="81" t="s">
        <v>1176</v>
      </c>
      <c r="F3620" s="81">
        <v>233.0</v>
      </c>
      <c r="G3620" s="81" t="s">
        <v>3</v>
      </c>
      <c r="H3620" s="81" t="s">
        <v>224</v>
      </c>
      <c r="I3620" s="81" t="s">
        <v>51</v>
      </c>
      <c r="J3620" s="81" t="s">
        <v>224</v>
      </c>
      <c r="K3620" s="81" t="str">
        <f>IFERROR(__xludf.DUMMYFUNCTION("IF(OR(D3620="""",G3620=""""),"""",IFERROR(LET(
campo,XLOOKUP(TRIM(G3620),ARRAYFORMULA(TRIM('indice columnas'!$A$2:$A$100)),'indice columnas'!$B$2:$B$100,""""),
col,IFERROR(MATCH(campo,Referencia!$A$1:$AZ$1,0),0),
fila,IFERROR(MATCH(TO_TEXT(D3620),ARRAYFOR"&amp;"MULA(TO_TEXT(Referencia!$A$2:$A6238)),0),0),
IF(OR(campo="""",campo=""-""),""NO APLICA"",
IF(col=0,""REVISAR EQUIVALENCIA"",
IF(fila=0,""SKU NO ENCONTRADO"",
LET(
valor,INDEX(Referencia!$A$2:$AZ6238,fila,col),
IF(TRIM(TO_TEXT(valor))=TRIM(TO_TEXT(I3620)),"&amp;"
""OK"",
""NO COINCIDE. Valor verdadero: ""&amp;IF(valor="""",""[VACÍO]"",TO_TEXT(valor))
)
))))
),""ERROR EN FÓRMULA""))"),"OK")</f>
        <v>OK</v>
      </c>
    </row>
    <row r="3621">
      <c r="A3621" s="83" t="s">
        <v>4896</v>
      </c>
      <c r="B3621" s="83" t="s">
        <v>4897</v>
      </c>
      <c r="C3621" s="81" t="s">
        <v>4086</v>
      </c>
      <c r="D3621" s="83" t="s">
        <v>4294</v>
      </c>
      <c r="E3621" s="81" t="s">
        <v>1176</v>
      </c>
      <c r="F3621" s="81">
        <v>233.0</v>
      </c>
      <c r="G3621" s="81" t="s">
        <v>2</v>
      </c>
      <c r="H3621" s="81" t="s">
        <v>224</v>
      </c>
      <c r="I3621" s="81" t="s">
        <v>213</v>
      </c>
      <c r="J3621" s="81" t="s">
        <v>224</v>
      </c>
      <c r="K3621" s="81" t="str">
        <f>IFERROR(__xludf.DUMMYFUNCTION("IF(OR(D3621="""",G3621=""""),"""",IFERROR(LET(
campo,XLOOKUP(TRIM(G3621),ARRAYFORMULA(TRIM('indice columnas'!$A$2:$A$100)),'indice columnas'!$B$2:$B$100,""""),
col,IFERROR(MATCH(campo,Referencia!$A$1:$AZ$1,0),0),
fila,IFERROR(MATCH(TO_TEXT(D3621),ARRAYFOR"&amp;"MULA(TO_TEXT(Referencia!$A$2:$A6238)),0),0),
IF(OR(campo="""",campo=""-""),""NO APLICA"",
IF(col=0,""REVISAR EQUIVALENCIA"",
IF(fila=0,""SKU NO ENCONTRADO"",
LET(
valor,INDEX(Referencia!$A$2:$AZ6238,fila,col),
IF(TRIM(TO_TEXT(valor))=TRIM(TO_TEXT(I3621)),"&amp;"
""OK"",
""NO COINCIDE. Valor verdadero: ""&amp;IF(valor="""",""[VACÍO]"",TO_TEXT(valor))
)
))))
),""ERROR EN FÓRMULA""))"),"OK")</f>
        <v>OK</v>
      </c>
    </row>
    <row r="3622">
      <c r="A3622" s="83" t="s">
        <v>4896</v>
      </c>
      <c r="B3622" s="83" t="s">
        <v>4897</v>
      </c>
      <c r="C3622" s="81" t="s">
        <v>4086</v>
      </c>
      <c r="D3622" s="83" t="s">
        <v>4294</v>
      </c>
      <c r="E3622" s="81" t="s">
        <v>1176</v>
      </c>
      <c r="F3622" s="81">
        <v>233.0</v>
      </c>
      <c r="G3622" s="81" t="s">
        <v>1</v>
      </c>
      <c r="H3622" s="81" t="s">
        <v>224</v>
      </c>
      <c r="I3622" s="81" t="s">
        <v>49</v>
      </c>
      <c r="J3622" s="81" t="s">
        <v>224</v>
      </c>
      <c r="K3622" s="81" t="str">
        <f>IFERROR(__xludf.DUMMYFUNCTION("IF(OR(D3622="""",G3622=""""),"""",IFERROR(LET(
campo,XLOOKUP(TRIM(G3622),ARRAYFORMULA(TRIM('indice columnas'!$A$2:$A$100)),'indice columnas'!$B$2:$B$100,""""),
col,IFERROR(MATCH(campo,Referencia!$A$1:$AZ$1,0),0),
fila,IFERROR(MATCH(TO_TEXT(D3622),ARRAYFOR"&amp;"MULA(TO_TEXT(Referencia!$A$2:$A6238)),0),0),
IF(OR(campo="""",campo=""-""),""NO APLICA"",
IF(col=0,""REVISAR EQUIVALENCIA"",
IF(fila=0,""SKU NO ENCONTRADO"",
LET(
valor,INDEX(Referencia!$A$2:$AZ6238,fila,col),
IF(TRIM(TO_TEXT(valor))=TRIM(TO_TEXT(I3622)),"&amp;"
""OK"",
""NO COINCIDE. Valor verdadero: ""&amp;IF(valor="""",""[VACÍO]"",TO_TEXT(valor))
)
))))
),""ERROR EN FÓRMULA""))"),"OK")</f>
        <v>OK</v>
      </c>
    </row>
    <row r="3623">
      <c r="A3623" s="83" t="s">
        <v>4896</v>
      </c>
      <c r="B3623" s="83" t="s">
        <v>4897</v>
      </c>
      <c r="C3623" s="81" t="s">
        <v>4086</v>
      </c>
      <c r="D3623" s="83" t="s">
        <v>4300</v>
      </c>
      <c r="E3623" s="81" t="s">
        <v>1211</v>
      </c>
      <c r="F3623" s="81">
        <v>239.0</v>
      </c>
      <c r="G3623" s="81" t="s">
        <v>3</v>
      </c>
      <c r="H3623" s="81" t="s">
        <v>224</v>
      </c>
      <c r="I3623" s="81" t="s">
        <v>1144</v>
      </c>
      <c r="J3623" s="81" t="s">
        <v>224</v>
      </c>
      <c r="K3623" s="81" t="str">
        <f>IFERROR(__xludf.DUMMYFUNCTION("IF(OR(D3623="""",G3623=""""),"""",IFERROR(LET(
campo,XLOOKUP(TRIM(G3623),ARRAYFORMULA(TRIM('indice columnas'!$A$2:$A$100)),'indice columnas'!$B$2:$B$100,""""),
col,IFERROR(MATCH(campo,Referencia!$A$1:$AZ$1,0),0),
fila,IFERROR(MATCH(TO_TEXT(D3623),ARRAYFOR"&amp;"MULA(TO_TEXT(Referencia!$A$2:$A6238)),0),0),
IF(OR(campo="""",campo=""-""),""NO APLICA"",
IF(col=0,""REVISAR EQUIVALENCIA"",
IF(fila=0,""SKU NO ENCONTRADO"",
LET(
valor,INDEX(Referencia!$A$2:$AZ6238,fila,col),
IF(TRIM(TO_TEXT(valor))=TRIM(TO_TEXT(I3623)),"&amp;"
""OK"",
""NO COINCIDE. Valor verdadero: ""&amp;IF(valor="""",""[VACÍO]"",TO_TEXT(valor))
)
))))
),""ERROR EN FÓRMULA""))"),"OK")</f>
        <v>OK</v>
      </c>
    </row>
    <row r="3624">
      <c r="A3624" s="83" t="s">
        <v>4896</v>
      </c>
      <c r="B3624" s="83" t="s">
        <v>4897</v>
      </c>
      <c r="C3624" s="81" t="s">
        <v>4086</v>
      </c>
      <c r="D3624" s="83" t="s">
        <v>4300</v>
      </c>
      <c r="E3624" s="81" t="s">
        <v>1211</v>
      </c>
      <c r="F3624" s="81">
        <v>239.0</v>
      </c>
      <c r="G3624" s="81" t="s">
        <v>2</v>
      </c>
      <c r="H3624" s="81" t="s">
        <v>224</v>
      </c>
      <c r="I3624" s="81" t="s">
        <v>919</v>
      </c>
      <c r="J3624" s="81" t="s">
        <v>224</v>
      </c>
      <c r="K3624" s="81" t="str">
        <f>IFERROR(__xludf.DUMMYFUNCTION("IF(OR(D3624="""",G3624=""""),"""",IFERROR(LET(
campo,XLOOKUP(TRIM(G3624),ARRAYFORMULA(TRIM('indice columnas'!$A$2:$A$100)),'indice columnas'!$B$2:$B$100,""""),
col,IFERROR(MATCH(campo,Referencia!$A$1:$AZ$1,0),0),
fila,IFERROR(MATCH(TO_TEXT(D3624),ARRAYFOR"&amp;"MULA(TO_TEXT(Referencia!$A$2:$A6238)),0),0),
IF(OR(campo="""",campo=""-""),""NO APLICA"",
IF(col=0,""REVISAR EQUIVALENCIA"",
IF(fila=0,""SKU NO ENCONTRADO"",
LET(
valor,INDEX(Referencia!$A$2:$AZ6238,fila,col),
IF(TRIM(TO_TEXT(valor))=TRIM(TO_TEXT(I3624)),"&amp;"
""OK"",
""NO COINCIDE. Valor verdadero: ""&amp;IF(valor="""",""[VACÍO]"",TO_TEXT(valor))
)
))))
),""ERROR EN FÓRMULA""))"),"OK")</f>
        <v>OK</v>
      </c>
    </row>
    <row r="3625">
      <c r="A3625" s="83" t="s">
        <v>4896</v>
      </c>
      <c r="B3625" s="83" t="s">
        <v>4897</v>
      </c>
      <c r="C3625" s="81" t="s">
        <v>4086</v>
      </c>
      <c r="D3625" s="83" t="s">
        <v>4300</v>
      </c>
      <c r="E3625" s="81" t="s">
        <v>1211</v>
      </c>
      <c r="F3625" s="81">
        <v>239.0</v>
      </c>
      <c r="G3625" s="81" t="s">
        <v>1</v>
      </c>
      <c r="H3625" s="81" t="s">
        <v>224</v>
      </c>
      <c r="I3625" s="81" t="s">
        <v>49</v>
      </c>
      <c r="J3625" s="81" t="s">
        <v>224</v>
      </c>
      <c r="K3625" s="81" t="str">
        <f>IFERROR(__xludf.DUMMYFUNCTION("IF(OR(D3625="""",G3625=""""),"""",IFERROR(LET(
campo,XLOOKUP(TRIM(G3625),ARRAYFORMULA(TRIM('indice columnas'!$A$2:$A$100)),'indice columnas'!$B$2:$B$100,""""),
col,IFERROR(MATCH(campo,Referencia!$A$1:$AZ$1,0),0),
fila,IFERROR(MATCH(TO_TEXT(D3625),ARRAYFOR"&amp;"MULA(TO_TEXT(Referencia!$A$2:$A6238)),0),0),
IF(OR(campo="""",campo=""-""),""NO APLICA"",
IF(col=0,""REVISAR EQUIVALENCIA"",
IF(fila=0,""SKU NO ENCONTRADO"",
LET(
valor,INDEX(Referencia!$A$2:$AZ6238,fila,col),
IF(TRIM(TO_TEXT(valor))=TRIM(TO_TEXT(I3625)),"&amp;"
""OK"",
""NO COINCIDE. Valor verdadero: ""&amp;IF(valor="""",""[VACÍO]"",TO_TEXT(valor))
)
))))
),""ERROR EN FÓRMULA""))"),"OK")</f>
        <v>OK</v>
      </c>
    </row>
    <row r="3626">
      <c r="A3626" s="83" t="s">
        <v>4896</v>
      </c>
      <c r="B3626" s="83" t="s">
        <v>4897</v>
      </c>
      <c r="C3626" s="81" t="s">
        <v>4086</v>
      </c>
      <c r="D3626" s="83" t="s">
        <v>4303</v>
      </c>
      <c r="E3626" s="81" t="s">
        <v>1222</v>
      </c>
      <c r="F3626" s="81">
        <v>242.0</v>
      </c>
      <c r="G3626" s="81" t="s">
        <v>3</v>
      </c>
      <c r="H3626" s="81" t="s">
        <v>224</v>
      </c>
      <c r="I3626" s="81" t="s">
        <v>1144</v>
      </c>
      <c r="J3626" s="81" t="s">
        <v>224</v>
      </c>
      <c r="K3626" s="81" t="str">
        <f>IFERROR(__xludf.DUMMYFUNCTION("IF(OR(D3626="""",G3626=""""),"""",IFERROR(LET(
campo,XLOOKUP(TRIM(G3626),ARRAYFORMULA(TRIM('indice columnas'!$A$2:$A$100)),'indice columnas'!$B$2:$B$100,""""),
col,IFERROR(MATCH(campo,Referencia!$A$1:$AZ$1,0),0),
fila,IFERROR(MATCH(TO_TEXT(D3626),ARRAYFOR"&amp;"MULA(TO_TEXT(Referencia!$A$2:$A6238)),0),0),
IF(OR(campo="""",campo=""-""),""NO APLICA"",
IF(col=0,""REVISAR EQUIVALENCIA"",
IF(fila=0,""SKU NO ENCONTRADO"",
LET(
valor,INDEX(Referencia!$A$2:$AZ6238,fila,col),
IF(TRIM(TO_TEXT(valor))=TRIM(TO_TEXT(I3626)),"&amp;"
""OK"",
""NO COINCIDE. Valor verdadero: ""&amp;IF(valor="""",""[VACÍO]"",TO_TEXT(valor))
)
))))
),""ERROR EN FÓRMULA""))"),"OK")</f>
        <v>OK</v>
      </c>
    </row>
    <row r="3627">
      <c r="A3627" s="83" t="s">
        <v>4896</v>
      </c>
      <c r="B3627" s="83" t="s">
        <v>4897</v>
      </c>
      <c r="C3627" s="81" t="s">
        <v>4086</v>
      </c>
      <c r="D3627" s="83" t="s">
        <v>4303</v>
      </c>
      <c r="E3627" s="81" t="s">
        <v>1222</v>
      </c>
      <c r="F3627" s="81">
        <v>242.0</v>
      </c>
      <c r="G3627" s="81" t="s">
        <v>2</v>
      </c>
      <c r="H3627" s="81" t="s">
        <v>224</v>
      </c>
      <c r="I3627" s="81" t="s">
        <v>919</v>
      </c>
      <c r="J3627" s="81" t="s">
        <v>224</v>
      </c>
      <c r="K3627" s="81" t="str">
        <f>IFERROR(__xludf.DUMMYFUNCTION("IF(OR(D3627="""",G3627=""""),"""",IFERROR(LET(
campo,XLOOKUP(TRIM(G3627),ARRAYFORMULA(TRIM('indice columnas'!$A$2:$A$100)),'indice columnas'!$B$2:$B$100,""""),
col,IFERROR(MATCH(campo,Referencia!$A$1:$AZ$1,0),0),
fila,IFERROR(MATCH(TO_TEXT(D3627),ARRAYFOR"&amp;"MULA(TO_TEXT(Referencia!$A$2:$A6238)),0),0),
IF(OR(campo="""",campo=""-""),""NO APLICA"",
IF(col=0,""REVISAR EQUIVALENCIA"",
IF(fila=0,""SKU NO ENCONTRADO"",
LET(
valor,INDEX(Referencia!$A$2:$AZ6238,fila,col),
IF(TRIM(TO_TEXT(valor))=TRIM(TO_TEXT(I3627)),"&amp;"
""OK"",
""NO COINCIDE. Valor verdadero: ""&amp;IF(valor="""",""[VACÍO]"",TO_TEXT(valor))
)
))))
),""ERROR EN FÓRMULA""))"),"OK")</f>
        <v>OK</v>
      </c>
    </row>
    <row r="3628">
      <c r="A3628" s="83" t="s">
        <v>4896</v>
      </c>
      <c r="B3628" s="83" t="s">
        <v>4897</v>
      </c>
      <c r="C3628" s="81" t="s">
        <v>4086</v>
      </c>
      <c r="D3628" s="83" t="s">
        <v>4303</v>
      </c>
      <c r="E3628" s="81" t="s">
        <v>1222</v>
      </c>
      <c r="F3628" s="81">
        <v>242.0</v>
      </c>
      <c r="G3628" s="81" t="s">
        <v>1</v>
      </c>
      <c r="H3628" s="81" t="s">
        <v>224</v>
      </c>
      <c r="I3628" s="81" t="s">
        <v>49</v>
      </c>
      <c r="J3628" s="81" t="s">
        <v>224</v>
      </c>
      <c r="K3628" s="81" t="str">
        <f>IFERROR(__xludf.DUMMYFUNCTION("IF(OR(D3628="""",G3628=""""),"""",IFERROR(LET(
campo,XLOOKUP(TRIM(G3628),ARRAYFORMULA(TRIM('indice columnas'!$A$2:$A$100)),'indice columnas'!$B$2:$B$100,""""),
col,IFERROR(MATCH(campo,Referencia!$A$1:$AZ$1,0),0),
fila,IFERROR(MATCH(TO_TEXT(D3628),ARRAYFOR"&amp;"MULA(TO_TEXT(Referencia!$A$2:$A6238)),0),0),
IF(OR(campo="""",campo=""-""),""NO APLICA"",
IF(col=0,""REVISAR EQUIVALENCIA"",
IF(fila=0,""SKU NO ENCONTRADO"",
LET(
valor,INDEX(Referencia!$A$2:$AZ6238,fila,col),
IF(TRIM(TO_TEXT(valor))=TRIM(TO_TEXT(I3628)),"&amp;"
""OK"",
""NO COINCIDE. Valor verdadero: ""&amp;IF(valor="""",""[VACÍO]"",TO_TEXT(valor))
)
))))
),""ERROR EN FÓRMULA""))"),"OK")</f>
        <v>OK</v>
      </c>
    </row>
    <row r="3629">
      <c r="A3629" s="83" t="s">
        <v>4896</v>
      </c>
      <c r="B3629" s="83" t="s">
        <v>4897</v>
      </c>
      <c r="C3629" s="81" t="s">
        <v>4086</v>
      </c>
      <c r="D3629" s="83" t="s">
        <v>4305</v>
      </c>
      <c r="E3629" s="81" t="s">
        <v>1234</v>
      </c>
      <c r="F3629" s="81">
        <v>245.0</v>
      </c>
      <c r="G3629" s="81" t="s">
        <v>3</v>
      </c>
      <c r="H3629" s="81" t="s">
        <v>224</v>
      </c>
      <c r="I3629" s="81" t="s">
        <v>1144</v>
      </c>
      <c r="J3629" s="81" t="s">
        <v>224</v>
      </c>
      <c r="K3629" s="81" t="str">
        <f>IFERROR(__xludf.DUMMYFUNCTION("IF(OR(D3629="""",G3629=""""),"""",IFERROR(LET(
campo,XLOOKUP(TRIM(G3629),ARRAYFORMULA(TRIM('indice columnas'!$A$2:$A$100)),'indice columnas'!$B$2:$B$100,""""),
col,IFERROR(MATCH(campo,Referencia!$A$1:$AZ$1,0),0),
fila,IFERROR(MATCH(TO_TEXT(D3629),ARRAYFOR"&amp;"MULA(TO_TEXT(Referencia!$A$2:$A6238)),0),0),
IF(OR(campo="""",campo=""-""),""NO APLICA"",
IF(col=0,""REVISAR EQUIVALENCIA"",
IF(fila=0,""SKU NO ENCONTRADO"",
LET(
valor,INDEX(Referencia!$A$2:$AZ6238,fila,col),
IF(TRIM(TO_TEXT(valor))=TRIM(TO_TEXT(I3629)),"&amp;"
""OK"",
""NO COINCIDE. Valor verdadero: ""&amp;IF(valor="""",""[VACÍO]"",TO_TEXT(valor))
)
))))
),""ERROR EN FÓRMULA""))"),"OK")</f>
        <v>OK</v>
      </c>
    </row>
    <row r="3630">
      <c r="A3630" s="83" t="s">
        <v>4896</v>
      </c>
      <c r="B3630" s="83" t="s">
        <v>4897</v>
      </c>
      <c r="C3630" s="81" t="s">
        <v>4086</v>
      </c>
      <c r="D3630" s="83" t="s">
        <v>4305</v>
      </c>
      <c r="E3630" s="81" t="s">
        <v>1234</v>
      </c>
      <c r="F3630" s="81">
        <v>245.0</v>
      </c>
      <c r="G3630" s="81" t="s">
        <v>2</v>
      </c>
      <c r="H3630" s="81" t="s">
        <v>224</v>
      </c>
      <c r="I3630" s="81" t="s">
        <v>213</v>
      </c>
      <c r="J3630" s="81" t="s">
        <v>224</v>
      </c>
      <c r="K3630" s="81" t="str">
        <f>IFERROR(__xludf.DUMMYFUNCTION("IF(OR(D3630="""",G3630=""""),"""",IFERROR(LET(
campo,XLOOKUP(TRIM(G3630),ARRAYFORMULA(TRIM('indice columnas'!$A$2:$A$100)),'indice columnas'!$B$2:$B$100,""""),
col,IFERROR(MATCH(campo,Referencia!$A$1:$AZ$1,0),0),
fila,IFERROR(MATCH(TO_TEXT(D3630),ARRAYFOR"&amp;"MULA(TO_TEXT(Referencia!$A$2:$A6238)),0),0),
IF(OR(campo="""",campo=""-""),""NO APLICA"",
IF(col=0,""REVISAR EQUIVALENCIA"",
IF(fila=0,""SKU NO ENCONTRADO"",
LET(
valor,INDEX(Referencia!$A$2:$AZ6238,fila,col),
IF(TRIM(TO_TEXT(valor))=TRIM(TO_TEXT(I3630)),"&amp;"
""OK"",
""NO COINCIDE. Valor verdadero: ""&amp;IF(valor="""",""[VACÍO]"",TO_TEXT(valor))
)
))))
),""ERROR EN FÓRMULA""))"),"OK")</f>
        <v>OK</v>
      </c>
    </row>
    <row r="3631">
      <c r="A3631" s="83" t="s">
        <v>4896</v>
      </c>
      <c r="B3631" s="83" t="s">
        <v>4897</v>
      </c>
      <c r="C3631" s="81" t="s">
        <v>4086</v>
      </c>
      <c r="D3631" s="83" t="s">
        <v>4305</v>
      </c>
      <c r="E3631" s="81" t="s">
        <v>1234</v>
      </c>
      <c r="F3631" s="81">
        <v>245.0</v>
      </c>
      <c r="G3631" s="81" t="s">
        <v>1</v>
      </c>
      <c r="H3631" s="81" t="s">
        <v>224</v>
      </c>
      <c r="I3631" s="81" t="s">
        <v>49</v>
      </c>
      <c r="J3631" s="81" t="s">
        <v>224</v>
      </c>
      <c r="K3631" s="81" t="str">
        <f>IFERROR(__xludf.DUMMYFUNCTION("IF(OR(D3631="""",G3631=""""),"""",IFERROR(LET(
campo,XLOOKUP(TRIM(G3631),ARRAYFORMULA(TRIM('indice columnas'!$A$2:$A$100)),'indice columnas'!$B$2:$B$100,""""),
col,IFERROR(MATCH(campo,Referencia!$A$1:$AZ$1,0),0),
fila,IFERROR(MATCH(TO_TEXT(D3631),ARRAYFOR"&amp;"MULA(TO_TEXT(Referencia!$A$2:$A6238)),0),0),
IF(OR(campo="""",campo=""-""),""NO APLICA"",
IF(col=0,""REVISAR EQUIVALENCIA"",
IF(fila=0,""SKU NO ENCONTRADO"",
LET(
valor,INDEX(Referencia!$A$2:$AZ6238,fila,col),
IF(TRIM(TO_TEXT(valor))=TRIM(TO_TEXT(I3631)),"&amp;"
""OK"",
""NO COINCIDE. Valor verdadero: ""&amp;IF(valor="""",""[VACÍO]"",TO_TEXT(valor))
)
))))
),""ERROR EN FÓRMULA""))"),"OK")</f>
        <v>OK</v>
      </c>
    </row>
    <row r="3632">
      <c r="A3632" s="83" t="s">
        <v>4896</v>
      </c>
      <c r="B3632" s="83" t="s">
        <v>4897</v>
      </c>
      <c r="C3632" s="81" t="s">
        <v>4086</v>
      </c>
      <c r="D3632" s="83" t="s">
        <v>4309</v>
      </c>
      <c r="E3632" s="81" t="s">
        <v>1267</v>
      </c>
      <c r="F3632" s="81">
        <v>249.0</v>
      </c>
      <c r="G3632" s="81" t="s">
        <v>3</v>
      </c>
      <c r="H3632" s="81" t="s">
        <v>376</v>
      </c>
      <c r="I3632" s="81" t="s">
        <v>344</v>
      </c>
      <c r="J3632" s="81" t="s">
        <v>224</v>
      </c>
      <c r="K3632" s="81" t="str">
        <f>IFERROR(__xludf.DUMMYFUNCTION("IF(OR(D3632="""",G3632=""""),"""",IFERROR(LET(
campo,XLOOKUP(TRIM(G3632),ARRAYFORMULA(TRIM('indice columnas'!$A$2:$A$100)),'indice columnas'!$B$2:$B$100,""""),
col,IFERROR(MATCH(campo,Referencia!$A$1:$AZ$1,0),0),
fila,IFERROR(MATCH(TO_TEXT(D3632),ARRAYFOR"&amp;"MULA(TO_TEXT(Referencia!$A$2:$A6238)),0),0),
IF(OR(campo="""",campo=""-""),""NO APLICA"",
IF(col=0,""REVISAR EQUIVALENCIA"",
IF(fila=0,""SKU NO ENCONTRADO"",
LET(
valor,INDEX(Referencia!$A$2:$AZ6238,fila,col),
IF(TRIM(TO_TEXT(valor))=TRIM(TO_TEXT(I3632)),"&amp;"
""OK"",
""NO COINCIDE. Valor verdadero: ""&amp;IF(valor="""",""[VACÍO]"",TO_TEXT(valor))
)
))))
),""ERROR EN FÓRMULA""))"),"OK")</f>
        <v>OK</v>
      </c>
    </row>
    <row r="3633">
      <c r="A3633" s="83" t="s">
        <v>4896</v>
      </c>
      <c r="B3633" s="83" t="s">
        <v>4897</v>
      </c>
      <c r="C3633" s="81" t="s">
        <v>4086</v>
      </c>
      <c r="D3633" s="83" t="s">
        <v>4310</v>
      </c>
      <c r="E3633" s="81" t="s">
        <v>1268</v>
      </c>
      <c r="F3633" s="81">
        <v>250.0</v>
      </c>
      <c r="G3633" s="81" t="s">
        <v>3</v>
      </c>
      <c r="H3633" s="81" t="s">
        <v>224</v>
      </c>
      <c r="I3633" s="81" t="s">
        <v>344</v>
      </c>
      <c r="J3633" s="81" t="s">
        <v>224</v>
      </c>
      <c r="K3633" s="81" t="str">
        <f>IFERROR(__xludf.DUMMYFUNCTION("IF(OR(D3633="""",G3633=""""),"""",IFERROR(LET(
campo,XLOOKUP(TRIM(G3633),ARRAYFORMULA(TRIM('indice columnas'!$A$2:$A$100)),'indice columnas'!$B$2:$B$100,""""),
col,IFERROR(MATCH(campo,Referencia!$A$1:$AZ$1,0),0),
fila,IFERROR(MATCH(TO_TEXT(D3633),ARRAYFOR"&amp;"MULA(TO_TEXT(Referencia!$A$2:$A6238)),0),0),
IF(OR(campo="""",campo=""-""),""NO APLICA"",
IF(col=0,""REVISAR EQUIVALENCIA"",
IF(fila=0,""SKU NO ENCONTRADO"",
LET(
valor,INDEX(Referencia!$A$2:$AZ6238,fila,col),
IF(TRIM(TO_TEXT(valor))=TRIM(TO_TEXT(I3633)),"&amp;"
""OK"",
""NO COINCIDE. Valor verdadero: ""&amp;IF(valor="""",""[VACÍO]"",TO_TEXT(valor))
)
))))
),""ERROR EN FÓRMULA""))"),"OK")</f>
        <v>OK</v>
      </c>
    </row>
    <row r="3634">
      <c r="A3634" s="83" t="s">
        <v>4896</v>
      </c>
      <c r="B3634" s="83" t="s">
        <v>4897</v>
      </c>
      <c r="C3634" s="81" t="s">
        <v>4086</v>
      </c>
      <c r="D3634" s="83" t="s">
        <v>4310</v>
      </c>
      <c r="E3634" s="81" t="s">
        <v>1268</v>
      </c>
      <c r="F3634" s="81">
        <v>250.0</v>
      </c>
      <c r="G3634" s="81" t="s">
        <v>2</v>
      </c>
      <c r="H3634" s="81" t="s">
        <v>224</v>
      </c>
      <c r="I3634" s="81" t="s">
        <v>50</v>
      </c>
      <c r="J3634" s="81" t="s">
        <v>224</v>
      </c>
      <c r="K3634" s="81" t="str">
        <f>IFERROR(__xludf.DUMMYFUNCTION("IF(OR(D3634="""",G3634=""""),"""",IFERROR(LET(
campo,XLOOKUP(TRIM(G3634),ARRAYFORMULA(TRIM('indice columnas'!$A$2:$A$100)),'indice columnas'!$B$2:$B$100,""""),
col,IFERROR(MATCH(campo,Referencia!$A$1:$AZ$1,0),0),
fila,IFERROR(MATCH(TO_TEXT(D3634),ARRAYFOR"&amp;"MULA(TO_TEXT(Referencia!$A$2:$A6238)),0),0),
IF(OR(campo="""",campo=""-""),""NO APLICA"",
IF(col=0,""REVISAR EQUIVALENCIA"",
IF(fila=0,""SKU NO ENCONTRADO"",
LET(
valor,INDEX(Referencia!$A$2:$AZ6238,fila,col),
IF(TRIM(TO_TEXT(valor))=TRIM(TO_TEXT(I3634)),"&amp;"
""OK"",
""NO COINCIDE. Valor verdadero: ""&amp;IF(valor="""",""[VACÍO]"",TO_TEXT(valor))
)
))))
),""ERROR EN FÓRMULA""))"),"OK")</f>
        <v>OK</v>
      </c>
    </row>
    <row r="3635">
      <c r="A3635" s="83" t="s">
        <v>4896</v>
      </c>
      <c r="B3635" s="83" t="s">
        <v>4897</v>
      </c>
      <c r="C3635" s="81" t="s">
        <v>4086</v>
      </c>
      <c r="D3635" s="83" t="s">
        <v>4310</v>
      </c>
      <c r="E3635" s="81" t="s">
        <v>1268</v>
      </c>
      <c r="F3635" s="81">
        <v>250.0</v>
      </c>
      <c r="G3635" s="81" t="s">
        <v>1</v>
      </c>
      <c r="H3635" s="81" t="s">
        <v>224</v>
      </c>
      <c r="I3635" s="81" t="s">
        <v>49</v>
      </c>
      <c r="J3635" s="81" t="s">
        <v>224</v>
      </c>
      <c r="K3635" s="81" t="str">
        <f>IFERROR(__xludf.DUMMYFUNCTION("IF(OR(D3635="""",G3635=""""),"""",IFERROR(LET(
campo,XLOOKUP(TRIM(G3635),ARRAYFORMULA(TRIM('indice columnas'!$A$2:$A$100)),'indice columnas'!$B$2:$B$100,""""),
col,IFERROR(MATCH(campo,Referencia!$A$1:$AZ$1,0),0),
fila,IFERROR(MATCH(TO_TEXT(D3635),ARRAYFOR"&amp;"MULA(TO_TEXT(Referencia!$A$2:$A6238)),0),0),
IF(OR(campo="""",campo=""-""),""NO APLICA"",
IF(col=0,""REVISAR EQUIVALENCIA"",
IF(fila=0,""SKU NO ENCONTRADO"",
LET(
valor,INDEX(Referencia!$A$2:$AZ6238,fila,col),
IF(TRIM(TO_TEXT(valor))=TRIM(TO_TEXT(I3635)),"&amp;"
""OK"",
""NO COINCIDE. Valor verdadero: ""&amp;IF(valor="""",""[VACÍO]"",TO_TEXT(valor))
)
))))
),""ERROR EN FÓRMULA""))"),"OK")</f>
        <v>OK</v>
      </c>
    </row>
    <row r="3636">
      <c r="A3636" s="83" t="s">
        <v>4896</v>
      </c>
      <c r="B3636" s="83" t="s">
        <v>4897</v>
      </c>
      <c r="C3636" s="81" t="s">
        <v>4086</v>
      </c>
      <c r="D3636" s="83" t="s">
        <v>4313</v>
      </c>
      <c r="E3636" s="81" t="s">
        <v>1286</v>
      </c>
      <c r="F3636" s="81">
        <v>253.0</v>
      </c>
      <c r="G3636" s="81" t="s">
        <v>3</v>
      </c>
      <c r="H3636" s="81" t="s">
        <v>224</v>
      </c>
      <c r="I3636" s="81" t="s">
        <v>51</v>
      </c>
      <c r="J3636" s="81" t="s">
        <v>224</v>
      </c>
      <c r="K3636" s="81" t="str">
        <f>IFERROR(__xludf.DUMMYFUNCTION("IF(OR(D3636="""",G3636=""""),"""",IFERROR(LET(
campo,XLOOKUP(TRIM(G3636),ARRAYFORMULA(TRIM('indice columnas'!$A$2:$A$100)),'indice columnas'!$B$2:$B$100,""""),
col,IFERROR(MATCH(campo,Referencia!$A$1:$AZ$1,0),0),
fila,IFERROR(MATCH(TO_TEXT(D3636),ARRAYFOR"&amp;"MULA(TO_TEXT(Referencia!$A$2:$A6238)),0),0),
IF(OR(campo="""",campo=""-""),""NO APLICA"",
IF(col=0,""REVISAR EQUIVALENCIA"",
IF(fila=0,""SKU NO ENCONTRADO"",
LET(
valor,INDEX(Referencia!$A$2:$AZ6238,fila,col),
IF(TRIM(TO_TEXT(valor))=TRIM(TO_TEXT(I3636)),"&amp;"
""OK"",
""NO COINCIDE. Valor verdadero: ""&amp;IF(valor="""",""[VACÍO]"",TO_TEXT(valor))
)
))))
),""ERROR EN FÓRMULA""))"),"OK")</f>
        <v>OK</v>
      </c>
    </row>
    <row r="3637">
      <c r="A3637" s="83" t="s">
        <v>4896</v>
      </c>
      <c r="B3637" s="83" t="s">
        <v>4897</v>
      </c>
      <c r="C3637" s="81" t="s">
        <v>4086</v>
      </c>
      <c r="D3637" s="83" t="s">
        <v>4313</v>
      </c>
      <c r="E3637" s="81" t="s">
        <v>1286</v>
      </c>
      <c r="F3637" s="81">
        <v>253.0</v>
      </c>
      <c r="G3637" s="81" t="s">
        <v>2</v>
      </c>
      <c r="H3637" s="81" t="s">
        <v>224</v>
      </c>
      <c r="I3637" s="81" t="s">
        <v>50</v>
      </c>
      <c r="J3637" s="81" t="s">
        <v>224</v>
      </c>
      <c r="K3637" s="81" t="str">
        <f>IFERROR(__xludf.DUMMYFUNCTION("IF(OR(D3637="""",G3637=""""),"""",IFERROR(LET(
campo,XLOOKUP(TRIM(G3637),ARRAYFORMULA(TRIM('indice columnas'!$A$2:$A$100)),'indice columnas'!$B$2:$B$100,""""),
col,IFERROR(MATCH(campo,Referencia!$A$1:$AZ$1,0),0),
fila,IFERROR(MATCH(TO_TEXT(D3637),ARRAYFOR"&amp;"MULA(TO_TEXT(Referencia!$A$2:$A6238)),0),0),
IF(OR(campo="""",campo=""-""),""NO APLICA"",
IF(col=0,""REVISAR EQUIVALENCIA"",
IF(fila=0,""SKU NO ENCONTRADO"",
LET(
valor,INDEX(Referencia!$A$2:$AZ6238,fila,col),
IF(TRIM(TO_TEXT(valor))=TRIM(TO_TEXT(I3637)),"&amp;"
""OK"",
""NO COINCIDE. Valor verdadero: ""&amp;IF(valor="""",""[VACÍO]"",TO_TEXT(valor))
)
))))
),""ERROR EN FÓRMULA""))"),"OK")</f>
        <v>OK</v>
      </c>
    </row>
    <row r="3638">
      <c r="A3638" s="83" t="s">
        <v>4896</v>
      </c>
      <c r="B3638" s="83" t="s">
        <v>4897</v>
      </c>
      <c r="C3638" s="81" t="s">
        <v>4086</v>
      </c>
      <c r="D3638" s="83" t="s">
        <v>4313</v>
      </c>
      <c r="E3638" s="81" t="s">
        <v>1286</v>
      </c>
      <c r="F3638" s="81">
        <v>253.0</v>
      </c>
      <c r="G3638" s="81" t="s">
        <v>1</v>
      </c>
      <c r="H3638" s="81" t="s">
        <v>224</v>
      </c>
      <c r="I3638" s="81" t="s">
        <v>49</v>
      </c>
      <c r="J3638" s="81" t="s">
        <v>224</v>
      </c>
      <c r="K3638" s="81" t="str">
        <f>IFERROR(__xludf.DUMMYFUNCTION("IF(OR(D3638="""",G3638=""""),"""",IFERROR(LET(
campo,XLOOKUP(TRIM(G3638),ARRAYFORMULA(TRIM('indice columnas'!$A$2:$A$100)),'indice columnas'!$B$2:$B$100,""""),
col,IFERROR(MATCH(campo,Referencia!$A$1:$AZ$1,0),0),
fila,IFERROR(MATCH(TO_TEXT(D3638),ARRAYFOR"&amp;"MULA(TO_TEXT(Referencia!$A$2:$A6238)),0),0),
IF(OR(campo="""",campo=""-""),""NO APLICA"",
IF(col=0,""REVISAR EQUIVALENCIA"",
IF(fila=0,""SKU NO ENCONTRADO"",
LET(
valor,INDEX(Referencia!$A$2:$AZ6238,fila,col),
IF(TRIM(TO_TEXT(valor))=TRIM(TO_TEXT(I3638)),"&amp;"
""OK"",
""NO COINCIDE. Valor verdadero: ""&amp;IF(valor="""",""[VACÍO]"",TO_TEXT(valor))
)
))))
),""ERROR EN FÓRMULA""))"),"OK")</f>
        <v>OK</v>
      </c>
    </row>
    <row r="3639">
      <c r="A3639" s="83" t="s">
        <v>4896</v>
      </c>
      <c r="B3639" s="83" t="s">
        <v>4897</v>
      </c>
      <c r="C3639" s="81" t="s">
        <v>4086</v>
      </c>
      <c r="D3639" s="83" t="s">
        <v>4318</v>
      </c>
      <c r="E3639" s="81" t="s">
        <v>1336</v>
      </c>
      <c r="F3639" s="81">
        <v>258.0</v>
      </c>
      <c r="G3639" s="81" t="s">
        <v>3</v>
      </c>
      <c r="H3639" s="81" t="s">
        <v>376</v>
      </c>
      <c r="I3639" s="81" t="s">
        <v>344</v>
      </c>
      <c r="J3639" s="81" t="s">
        <v>224</v>
      </c>
      <c r="K3639" s="81" t="str">
        <f>IFERROR(__xludf.DUMMYFUNCTION("IF(OR(D3639="""",G3639=""""),"""",IFERROR(LET(
campo,XLOOKUP(TRIM(G3639),ARRAYFORMULA(TRIM('indice columnas'!$A$2:$A$100)),'indice columnas'!$B$2:$B$100,""""),
col,IFERROR(MATCH(campo,Referencia!$A$1:$AZ$1,0),0),
fila,IFERROR(MATCH(TO_TEXT(D3639),ARRAYFOR"&amp;"MULA(TO_TEXT(Referencia!$A$2:$A6238)),0),0),
IF(OR(campo="""",campo=""-""),""NO APLICA"",
IF(col=0,""REVISAR EQUIVALENCIA"",
IF(fila=0,""SKU NO ENCONTRADO"",
LET(
valor,INDEX(Referencia!$A$2:$AZ6238,fila,col),
IF(TRIM(TO_TEXT(valor))=TRIM(TO_TEXT(I3639)),"&amp;"
""OK"",
""NO COINCIDE. Valor verdadero: ""&amp;IF(valor="""",""[VACÍO]"",TO_TEXT(valor))
)
))))
),""ERROR EN FÓRMULA""))"),"OK")</f>
        <v>OK</v>
      </c>
    </row>
    <row r="3640">
      <c r="A3640" s="83" t="s">
        <v>4896</v>
      </c>
      <c r="B3640" s="83" t="s">
        <v>4897</v>
      </c>
      <c r="C3640" s="81" t="s">
        <v>4086</v>
      </c>
      <c r="D3640" s="83" t="s">
        <v>4319</v>
      </c>
      <c r="E3640" s="81" t="s">
        <v>1350</v>
      </c>
      <c r="F3640" s="81">
        <v>259.0</v>
      </c>
      <c r="G3640" s="81" t="s">
        <v>2</v>
      </c>
      <c r="H3640" s="81" t="s">
        <v>1827</v>
      </c>
      <c r="I3640" s="81" t="s">
        <v>332</v>
      </c>
      <c r="J3640" s="81" t="s">
        <v>224</v>
      </c>
      <c r="K3640" s="81" t="str">
        <f>IFERROR(__xludf.DUMMYFUNCTION("IF(OR(D3640="""",G3640=""""),"""",IFERROR(LET(
campo,XLOOKUP(TRIM(G3640),ARRAYFORMULA(TRIM('indice columnas'!$A$2:$A$100)),'indice columnas'!$B$2:$B$100,""""),
col,IFERROR(MATCH(campo,Referencia!$A$1:$AZ$1,0),0),
fila,IFERROR(MATCH(TO_TEXT(D3640),ARRAYFOR"&amp;"MULA(TO_TEXT(Referencia!$A$2:$A6238)),0),0),
IF(OR(campo="""",campo=""-""),""NO APLICA"",
IF(col=0,""REVISAR EQUIVALENCIA"",
IF(fila=0,""SKU NO ENCONTRADO"",
LET(
valor,INDEX(Referencia!$A$2:$AZ6238,fila,col),
IF(TRIM(TO_TEXT(valor))=TRIM(TO_TEXT(I3640)),"&amp;"
""OK"",
""NO COINCIDE. Valor verdadero: ""&amp;IF(valor="""",""[VACÍO]"",TO_TEXT(valor))
)
))))
),""ERROR EN FÓRMULA""))"),"OK")</f>
        <v>OK</v>
      </c>
    </row>
    <row r="3641">
      <c r="A3641" s="83" t="s">
        <v>4896</v>
      </c>
      <c r="B3641" s="83" t="s">
        <v>4897</v>
      </c>
      <c r="C3641" s="81" t="s">
        <v>4086</v>
      </c>
      <c r="D3641" s="83" t="s">
        <v>4322</v>
      </c>
      <c r="E3641" s="81" t="s">
        <v>1367</v>
      </c>
      <c r="F3641" s="81">
        <v>262.0</v>
      </c>
      <c r="G3641" s="81" t="s">
        <v>3</v>
      </c>
      <c r="H3641" s="81" t="s">
        <v>224</v>
      </c>
      <c r="I3641" s="81" t="s">
        <v>920</v>
      </c>
      <c r="J3641" s="81" t="s">
        <v>224</v>
      </c>
      <c r="K3641" s="81" t="str">
        <f>IFERROR(__xludf.DUMMYFUNCTION("IF(OR(D3641="""",G3641=""""),"""",IFERROR(LET(
campo,XLOOKUP(TRIM(G3641),ARRAYFORMULA(TRIM('indice columnas'!$A$2:$A$100)),'indice columnas'!$B$2:$B$100,""""),
col,IFERROR(MATCH(campo,Referencia!$A$1:$AZ$1,0),0),
fila,IFERROR(MATCH(TO_TEXT(D3641),ARRAYFOR"&amp;"MULA(TO_TEXT(Referencia!$A$2:$A6238)),0),0),
IF(OR(campo="""",campo=""-""),""NO APLICA"",
IF(col=0,""REVISAR EQUIVALENCIA"",
IF(fila=0,""SKU NO ENCONTRADO"",
LET(
valor,INDEX(Referencia!$A$2:$AZ6238,fila,col),
IF(TRIM(TO_TEXT(valor))=TRIM(TO_TEXT(I3641)),"&amp;"
""OK"",
""NO COINCIDE. Valor verdadero: ""&amp;IF(valor="""",""[VACÍO]"",TO_TEXT(valor))
)
))))
),""ERROR EN FÓRMULA""))"),"OK")</f>
        <v>OK</v>
      </c>
    </row>
    <row r="3642">
      <c r="A3642" s="83" t="s">
        <v>4896</v>
      </c>
      <c r="B3642" s="83" t="s">
        <v>4897</v>
      </c>
      <c r="C3642" s="81" t="s">
        <v>4086</v>
      </c>
      <c r="D3642" s="83" t="s">
        <v>4322</v>
      </c>
      <c r="E3642" s="81" t="s">
        <v>1367</v>
      </c>
      <c r="F3642" s="81">
        <v>262.0</v>
      </c>
      <c r="G3642" s="81" t="s">
        <v>2</v>
      </c>
      <c r="H3642" s="81" t="s">
        <v>224</v>
      </c>
      <c r="I3642" s="81" t="s">
        <v>919</v>
      </c>
      <c r="J3642" s="81" t="s">
        <v>224</v>
      </c>
      <c r="K3642" s="81" t="str">
        <f>IFERROR(__xludf.DUMMYFUNCTION("IF(OR(D3642="""",G3642=""""),"""",IFERROR(LET(
campo,XLOOKUP(TRIM(G3642),ARRAYFORMULA(TRIM('indice columnas'!$A$2:$A$100)),'indice columnas'!$B$2:$B$100,""""),
col,IFERROR(MATCH(campo,Referencia!$A$1:$AZ$1,0),0),
fila,IFERROR(MATCH(TO_TEXT(D3642),ARRAYFOR"&amp;"MULA(TO_TEXT(Referencia!$A$2:$A6238)),0),0),
IF(OR(campo="""",campo=""-""),""NO APLICA"",
IF(col=0,""REVISAR EQUIVALENCIA"",
IF(fila=0,""SKU NO ENCONTRADO"",
LET(
valor,INDEX(Referencia!$A$2:$AZ6238,fila,col),
IF(TRIM(TO_TEXT(valor))=TRIM(TO_TEXT(I3642)),"&amp;"
""OK"",
""NO COINCIDE. Valor verdadero: ""&amp;IF(valor="""",""[VACÍO]"",TO_TEXT(valor))
)
))))
),""ERROR EN FÓRMULA""))"),"OK")</f>
        <v>OK</v>
      </c>
    </row>
    <row r="3643">
      <c r="A3643" s="83" t="s">
        <v>4896</v>
      </c>
      <c r="B3643" s="83" t="s">
        <v>4897</v>
      </c>
      <c r="C3643" s="81" t="s">
        <v>4086</v>
      </c>
      <c r="D3643" s="83" t="s">
        <v>4322</v>
      </c>
      <c r="E3643" s="81" t="s">
        <v>1367</v>
      </c>
      <c r="F3643" s="81">
        <v>262.0</v>
      </c>
      <c r="G3643" s="81" t="s">
        <v>1</v>
      </c>
      <c r="H3643" s="81" t="s">
        <v>224</v>
      </c>
      <c r="I3643" s="81" t="s">
        <v>49</v>
      </c>
      <c r="J3643" s="81" t="s">
        <v>224</v>
      </c>
      <c r="K3643" s="81" t="str">
        <f>IFERROR(__xludf.DUMMYFUNCTION("IF(OR(D3643="""",G3643=""""),"""",IFERROR(LET(
campo,XLOOKUP(TRIM(G3643),ARRAYFORMULA(TRIM('indice columnas'!$A$2:$A$100)),'indice columnas'!$B$2:$B$100,""""),
col,IFERROR(MATCH(campo,Referencia!$A$1:$AZ$1,0),0),
fila,IFERROR(MATCH(TO_TEXT(D3643),ARRAYFOR"&amp;"MULA(TO_TEXT(Referencia!$A$2:$A6238)),0),0),
IF(OR(campo="""",campo=""-""),""NO APLICA"",
IF(col=0,""REVISAR EQUIVALENCIA"",
IF(fila=0,""SKU NO ENCONTRADO"",
LET(
valor,INDEX(Referencia!$A$2:$AZ6238,fila,col),
IF(TRIM(TO_TEXT(valor))=TRIM(TO_TEXT(I3643)),"&amp;"
""OK"",
""NO COINCIDE. Valor verdadero: ""&amp;IF(valor="""",""[VACÍO]"",TO_TEXT(valor))
)
))))
),""ERROR EN FÓRMULA""))"),"OK")</f>
        <v>OK</v>
      </c>
    </row>
    <row r="3644">
      <c r="A3644" s="83" t="s">
        <v>4896</v>
      </c>
      <c r="B3644" s="83" t="s">
        <v>4897</v>
      </c>
      <c r="C3644" s="81" t="s">
        <v>4086</v>
      </c>
      <c r="D3644" s="83" t="s">
        <v>4323</v>
      </c>
      <c r="E3644" s="81" t="s">
        <v>1370</v>
      </c>
      <c r="F3644" s="81">
        <v>263.0</v>
      </c>
      <c r="G3644" s="81" t="s">
        <v>3</v>
      </c>
      <c r="H3644" s="81" t="s">
        <v>224</v>
      </c>
      <c r="I3644" s="81" t="s">
        <v>920</v>
      </c>
      <c r="J3644" s="81" t="s">
        <v>224</v>
      </c>
      <c r="K3644" s="81" t="str">
        <f>IFERROR(__xludf.DUMMYFUNCTION("IF(OR(D3644="""",G3644=""""),"""",IFERROR(LET(
campo,XLOOKUP(TRIM(G3644),ARRAYFORMULA(TRIM('indice columnas'!$A$2:$A$100)),'indice columnas'!$B$2:$B$100,""""),
col,IFERROR(MATCH(campo,Referencia!$A$1:$AZ$1,0),0),
fila,IFERROR(MATCH(TO_TEXT(D3644),ARRAYFOR"&amp;"MULA(TO_TEXT(Referencia!$A$2:$A6238)),0),0),
IF(OR(campo="""",campo=""-""),""NO APLICA"",
IF(col=0,""REVISAR EQUIVALENCIA"",
IF(fila=0,""SKU NO ENCONTRADO"",
LET(
valor,INDEX(Referencia!$A$2:$AZ6238,fila,col),
IF(TRIM(TO_TEXT(valor))=TRIM(TO_TEXT(I3644)),"&amp;"
""OK"",
""NO COINCIDE. Valor verdadero: ""&amp;IF(valor="""",""[VACÍO]"",TO_TEXT(valor))
)
))))
),""ERROR EN FÓRMULA""))"),"OK")</f>
        <v>OK</v>
      </c>
    </row>
    <row r="3645">
      <c r="A3645" s="83" t="s">
        <v>4896</v>
      </c>
      <c r="B3645" s="83" t="s">
        <v>4897</v>
      </c>
      <c r="C3645" s="81" t="s">
        <v>4086</v>
      </c>
      <c r="D3645" s="83" t="s">
        <v>4323</v>
      </c>
      <c r="E3645" s="81" t="s">
        <v>1370</v>
      </c>
      <c r="F3645" s="81">
        <v>263.0</v>
      </c>
      <c r="G3645" s="81" t="s">
        <v>2</v>
      </c>
      <c r="H3645" s="81" t="s">
        <v>224</v>
      </c>
      <c r="I3645" s="81" t="s">
        <v>919</v>
      </c>
      <c r="J3645" s="81" t="s">
        <v>224</v>
      </c>
      <c r="K3645" s="81" t="str">
        <f>IFERROR(__xludf.DUMMYFUNCTION("IF(OR(D3645="""",G3645=""""),"""",IFERROR(LET(
campo,XLOOKUP(TRIM(G3645),ARRAYFORMULA(TRIM('indice columnas'!$A$2:$A$100)),'indice columnas'!$B$2:$B$100,""""),
col,IFERROR(MATCH(campo,Referencia!$A$1:$AZ$1,0),0),
fila,IFERROR(MATCH(TO_TEXT(D3645),ARRAYFOR"&amp;"MULA(TO_TEXT(Referencia!$A$2:$A6238)),0),0),
IF(OR(campo="""",campo=""-""),""NO APLICA"",
IF(col=0,""REVISAR EQUIVALENCIA"",
IF(fila=0,""SKU NO ENCONTRADO"",
LET(
valor,INDEX(Referencia!$A$2:$AZ6238,fila,col),
IF(TRIM(TO_TEXT(valor))=TRIM(TO_TEXT(I3645)),"&amp;"
""OK"",
""NO COINCIDE. Valor verdadero: ""&amp;IF(valor="""",""[VACÍO]"",TO_TEXT(valor))
)
))))
),""ERROR EN FÓRMULA""))"),"OK")</f>
        <v>OK</v>
      </c>
    </row>
    <row r="3646">
      <c r="A3646" s="83" t="s">
        <v>4896</v>
      </c>
      <c r="B3646" s="83" t="s">
        <v>4897</v>
      </c>
      <c r="C3646" s="81" t="s">
        <v>4086</v>
      </c>
      <c r="D3646" s="83" t="s">
        <v>4323</v>
      </c>
      <c r="E3646" s="81" t="s">
        <v>1370</v>
      </c>
      <c r="F3646" s="81">
        <v>263.0</v>
      </c>
      <c r="G3646" s="81" t="s">
        <v>1</v>
      </c>
      <c r="H3646" s="81" t="s">
        <v>224</v>
      </c>
      <c r="I3646" s="81" t="s">
        <v>49</v>
      </c>
      <c r="J3646" s="81" t="s">
        <v>224</v>
      </c>
      <c r="K3646" s="81" t="str">
        <f>IFERROR(__xludf.DUMMYFUNCTION("IF(OR(D3646="""",G3646=""""),"""",IFERROR(LET(
campo,XLOOKUP(TRIM(G3646),ARRAYFORMULA(TRIM('indice columnas'!$A$2:$A$100)),'indice columnas'!$B$2:$B$100,""""),
col,IFERROR(MATCH(campo,Referencia!$A$1:$AZ$1,0),0),
fila,IFERROR(MATCH(TO_TEXT(D3646),ARRAYFOR"&amp;"MULA(TO_TEXT(Referencia!$A$2:$A6238)),0),0),
IF(OR(campo="""",campo=""-""),""NO APLICA"",
IF(col=0,""REVISAR EQUIVALENCIA"",
IF(fila=0,""SKU NO ENCONTRADO"",
LET(
valor,INDEX(Referencia!$A$2:$AZ6238,fila,col),
IF(TRIM(TO_TEXT(valor))=TRIM(TO_TEXT(I3646)),"&amp;"
""OK"",
""NO COINCIDE. Valor verdadero: ""&amp;IF(valor="""",""[VACÍO]"",TO_TEXT(valor))
)
))))
),""ERROR EN FÓRMULA""))"),"OK")</f>
        <v>OK</v>
      </c>
    </row>
    <row r="3647">
      <c r="A3647" s="83" t="s">
        <v>4896</v>
      </c>
      <c r="B3647" s="83" t="s">
        <v>4897</v>
      </c>
      <c r="C3647" s="81" t="s">
        <v>4086</v>
      </c>
      <c r="D3647" s="83" t="s">
        <v>4325</v>
      </c>
      <c r="E3647" s="81" t="s">
        <v>1374</v>
      </c>
      <c r="F3647" s="81">
        <v>264.0</v>
      </c>
      <c r="G3647" s="81" t="s">
        <v>3</v>
      </c>
      <c r="H3647" s="81" t="s">
        <v>224</v>
      </c>
      <c r="I3647" s="81" t="s">
        <v>920</v>
      </c>
      <c r="J3647" s="81" t="s">
        <v>224</v>
      </c>
      <c r="K3647" s="81" t="str">
        <f>IFERROR(__xludf.DUMMYFUNCTION("IF(OR(D3647="""",G3647=""""),"""",IFERROR(LET(
campo,XLOOKUP(TRIM(G3647),ARRAYFORMULA(TRIM('indice columnas'!$A$2:$A$100)),'indice columnas'!$B$2:$B$100,""""),
col,IFERROR(MATCH(campo,Referencia!$A$1:$AZ$1,0),0),
fila,IFERROR(MATCH(TO_TEXT(D3647),ARRAYFOR"&amp;"MULA(TO_TEXT(Referencia!$A$2:$A6238)),0),0),
IF(OR(campo="""",campo=""-""),""NO APLICA"",
IF(col=0,""REVISAR EQUIVALENCIA"",
IF(fila=0,""SKU NO ENCONTRADO"",
LET(
valor,INDEX(Referencia!$A$2:$AZ6238,fila,col),
IF(TRIM(TO_TEXT(valor))=TRIM(TO_TEXT(I3647)),"&amp;"
""OK"",
""NO COINCIDE. Valor verdadero: ""&amp;IF(valor="""",""[VACÍO]"",TO_TEXT(valor))
)
))))
),""ERROR EN FÓRMULA""))"),"OK")</f>
        <v>OK</v>
      </c>
    </row>
    <row r="3648">
      <c r="A3648" s="83" t="s">
        <v>4896</v>
      </c>
      <c r="B3648" s="83" t="s">
        <v>4897</v>
      </c>
      <c r="C3648" s="81" t="s">
        <v>4086</v>
      </c>
      <c r="D3648" s="83" t="s">
        <v>4325</v>
      </c>
      <c r="E3648" s="81" t="s">
        <v>1374</v>
      </c>
      <c r="F3648" s="81">
        <v>264.0</v>
      </c>
      <c r="G3648" s="81" t="s">
        <v>2</v>
      </c>
      <c r="H3648" s="81" t="s">
        <v>224</v>
      </c>
      <c r="I3648" s="81" t="s">
        <v>919</v>
      </c>
      <c r="J3648" s="81" t="s">
        <v>224</v>
      </c>
      <c r="K3648" s="81" t="str">
        <f>IFERROR(__xludf.DUMMYFUNCTION("IF(OR(D3648="""",G3648=""""),"""",IFERROR(LET(
campo,XLOOKUP(TRIM(G3648),ARRAYFORMULA(TRIM('indice columnas'!$A$2:$A$100)),'indice columnas'!$B$2:$B$100,""""),
col,IFERROR(MATCH(campo,Referencia!$A$1:$AZ$1,0),0),
fila,IFERROR(MATCH(TO_TEXT(D3648),ARRAYFOR"&amp;"MULA(TO_TEXT(Referencia!$A$2:$A6238)),0),0),
IF(OR(campo="""",campo=""-""),""NO APLICA"",
IF(col=0,""REVISAR EQUIVALENCIA"",
IF(fila=0,""SKU NO ENCONTRADO"",
LET(
valor,INDEX(Referencia!$A$2:$AZ6238,fila,col),
IF(TRIM(TO_TEXT(valor))=TRIM(TO_TEXT(I3648)),"&amp;"
""OK"",
""NO COINCIDE. Valor verdadero: ""&amp;IF(valor="""",""[VACÍO]"",TO_TEXT(valor))
)
))))
),""ERROR EN FÓRMULA""))"),"OK")</f>
        <v>OK</v>
      </c>
    </row>
    <row r="3649">
      <c r="A3649" s="83" t="s">
        <v>4896</v>
      </c>
      <c r="B3649" s="83" t="s">
        <v>4897</v>
      </c>
      <c r="C3649" s="81" t="s">
        <v>4086</v>
      </c>
      <c r="D3649" s="83" t="s">
        <v>4325</v>
      </c>
      <c r="E3649" s="81" t="s">
        <v>1374</v>
      </c>
      <c r="F3649" s="81">
        <v>264.0</v>
      </c>
      <c r="G3649" s="81" t="s">
        <v>1</v>
      </c>
      <c r="H3649" s="81" t="s">
        <v>224</v>
      </c>
      <c r="I3649" s="81" t="s">
        <v>49</v>
      </c>
      <c r="J3649" s="81" t="s">
        <v>224</v>
      </c>
      <c r="K3649" s="81" t="str">
        <f>IFERROR(__xludf.DUMMYFUNCTION("IF(OR(D3649="""",G3649=""""),"""",IFERROR(LET(
campo,XLOOKUP(TRIM(G3649),ARRAYFORMULA(TRIM('indice columnas'!$A$2:$A$100)),'indice columnas'!$B$2:$B$100,""""),
col,IFERROR(MATCH(campo,Referencia!$A$1:$AZ$1,0),0),
fila,IFERROR(MATCH(TO_TEXT(D3649),ARRAYFOR"&amp;"MULA(TO_TEXT(Referencia!$A$2:$A6238)),0),0),
IF(OR(campo="""",campo=""-""),""NO APLICA"",
IF(col=0,""REVISAR EQUIVALENCIA"",
IF(fila=0,""SKU NO ENCONTRADO"",
LET(
valor,INDEX(Referencia!$A$2:$AZ6238,fila,col),
IF(TRIM(TO_TEXT(valor))=TRIM(TO_TEXT(I3649)),"&amp;"
""OK"",
""NO COINCIDE. Valor verdadero: ""&amp;IF(valor="""",""[VACÍO]"",TO_TEXT(valor))
)
))))
),""ERROR EN FÓRMULA""))"),"OK")</f>
        <v>OK</v>
      </c>
    </row>
    <row r="3650">
      <c r="A3650" s="83" t="s">
        <v>4896</v>
      </c>
      <c r="B3650" s="83" t="s">
        <v>4897</v>
      </c>
      <c r="C3650" s="81" t="s">
        <v>4086</v>
      </c>
      <c r="D3650" s="83" t="s">
        <v>4326</v>
      </c>
      <c r="E3650" s="81" t="s">
        <v>1375</v>
      </c>
      <c r="F3650" s="81">
        <v>265.0</v>
      </c>
      <c r="G3650" s="81" t="s">
        <v>3</v>
      </c>
      <c r="H3650" s="81" t="s">
        <v>224</v>
      </c>
      <c r="I3650" s="81" t="s">
        <v>920</v>
      </c>
      <c r="J3650" s="81" t="s">
        <v>224</v>
      </c>
      <c r="K3650" s="81" t="str">
        <f>IFERROR(__xludf.DUMMYFUNCTION("IF(OR(D3650="""",G3650=""""),"""",IFERROR(LET(
campo,XLOOKUP(TRIM(G3650),ARRAYFORMULA(TRIM('indice columnas'!$A$2:$A$100)),'indice columnas'!$B$2:$B$100,""""),
col,IFERROR(MATCH(campo,Referencia!$A$1:$AZ$1,0),0),
fila,IFERROR(MATCH(TO_TEXT(D3650),ARRAYFOR"&amp;"MULA(TO_TEXT(Referencia!$A$2:$A6238)),0),0),
IF(OR(campo="""",campo=""-""),""NO APLICA"",
IF(col=0,""REVISAR EQUIVALENCIA"",
IF(fila=0,""SKU NO ENCONTRADO"",
LET(
valor,INDEX(Referencia!$A$2:$AZ6238,fila,col),
IF(TRIM(TO_TEXT(valor))=TRIM(TO_TEXT(I3650)),"&amp;"
""OK"",
""NO COINCIDE. Valor verdadero: ""&amp;IF(valor="""",""[VACÍO]"",TO_TEXT(valor))
)
))))
),""ERROR EN FÓRMULA""))"),"OK")</f>
        <v>OK</v>
      </c>
    </row>
    <row r="3651">
      <c r="A3651" s="83" t="s">
        <v>4896</v>
      </c>
      <c r="B3651" s="83" t="s">
        <v>4897</v>
      </c>
      <c r="C3651" s="81" t="s">
        <v>4086</v>
      </c>
      <c r="D3651" s="83" t="s">
        <v>4326</v>
      </c>
      <c r="E3651" s="81" t="s">
        <v>1375</v>
      </c>
      <c r="F3651" s="81">
        <v>265.0</v>
      </c>
      <c r="G3651" s="81" t="s">
        <v>2</v>
      </c>
      <c r="H3651" s="81" t="s">
        <v>224</v>
      </c>
      <c r="I3651" s="81" t="s">
        <v>919</v>
      </c>
      <c r="J3651" s="81" t="s">
        <v>224</v>
      </c>
      <c r="K3651" s="81" t="str">
        <f>IFERROR(__xludf.DUMMYFUNCTION("IF(OR(D3651="""",G3651=""""),"""",IFERROR(LET(
campo,XLOOKUP(TRIM(G3651),ARRAYFORMULA(TRIM('indice columnas'!$A$2:$A$100)),'indice columnas'!$B$2:$B$100,""""),
col,IFERROR(MATCH(campo,Referencia!$A$1:$AZ$1,0),0),
fila,IFERROR(MATCH(TO_TEXT(D3651),ARRAYFOR"&amp;"MULA(TO_TEXT(Referencia!$A$2:$A6238)),0),0),
IF(OR(campo="""",campo=""-""),""NO APLICA"",
IF(col=0,""REVISAR EQUIVALENCIA"",
IF(fila=0,""SKU NO ENCONTRADO"",
LET(
valor,INDEX(Referencia!$A$2:$AZ6238,fila,col),
IF(TRIM(TO_TEXT(valor))=TRIM(TO_TEXT(I3651)),"&amp;"
""OK"",
""NO COINCIDE. Valor verdadero: ""&amp;IF(valor="""",""[VACÍO]"",TO_TEXT(valor))
)
))))
),""ERROR EN FÓRMULA""))"),"OK")</f>
        <v>OK</v>
      </c>
    </row>
    <row r="3652">
      <c r="A3652" s="83" t="s">
        <v>4896</v>
      </c>
      <c r="B3652" s="83" t="s">
        <v>4897</v>
      </c>
      <c r="C3652" s="81" t="s">
        <v>4086</v>
      </c>
      <c r="D3652" s="83" t="s">
        <v>4326</v>
      </c>
      <c r="E3652" s="81" t="s">
        <v>1375</v>
      </c>
      <c r="F3652" s="81">
        <v>265.0</v>
      </c>
      <c r="G3652" s="81" t="s">
        <v>1</v>
      </c>
      <c r="H3652" s="81" t="s">
        <v>224</v>
      </c>
      <c r="I3652" s="81" t="s">
        <v>49</v>
      </c>
      <c r="J3652" s="81" t="s">
        <v>224</v>
      </c>
      <c r="K3652" s="81" t="str">
        <f>IFERROR(__xludf.DUMMYFUNCTION("IF(OR(D3652="""",G3652=""""),"""",IFERROR(LET(
campo,XLOOKUP(TRIM(G3652),ARRAYFORMULA(TRIM('indice columnas'!$A$2:$A$100)),'indice columnas'!$B$2:$B$100,""""),
col,IFERROR(MATCH(campo,Referencia!$A$1:$AZ$1,0),0),
fila,IFERROR(MATCH(TO_TEXT(D3652),ARRAYFOR"&amp;"MULA(TO_TEXT(Referencia!$A$2:$A6238)),0),0),
IF(OR(campo="""",campo=""-""),""NO APLICA"",
IF(col=0,""REVISAR EQUIVALENCIA"",
IF(fila=0,""SKU NO ENCONTRADO"",
LET(
valor,INDEX(Referencia!$A$2:$AZ6238,fila,col),
IF(TRIM(TO_TEXT(valor))=TRIM(TO_TEXT(I3652)),"&amp;"
""OK"",
""NO COINCIDE. Valor verdadero: ""&amp;IF(valor="""",""[VACÍO]"",TO_TEXT(valor))
)
))))
),""ERROR EN FÓRMULA""))"),"OK")</f>
        <v>OK</v>
      </c>
    </row>
    <row r="3653">
      <c r="A3653" s="83" t="s">
        <v>4896</v>
      </c>
      <c r="B3653" s="83" t="s">
        <v>4897</v>
      </c>
      <c r="C3653" s="81" t="s">
        <v>4086</v>
      </c>
      <c r="D3653" s="83" t="s">
        <v>4328</v>
      </c>
      <c r="E3653" s="81" t="s">
        <v>1379</v>
      </c>
      <c r="F3653" s="81">
        <v>266.0</v>
      </c>
      <c r="G3653" s="81" t="s">
        <v>3</v>
      </c>
      <c r="H3653" s="81" t="s">
        <v>224</v>
      </c>
      <c r="I3653" s="81" t="s">
        <v>920</v>
      </c>
      <c r="J3653" s="81" t="s">
        <v>224</v>
      </c>
      <c r="K3653" s="81" t="str">
        <f>IFERROR(__xludf.DUMMYFUNCTION("IF(OR(D3653="""",G3653=""""),"""",IFERROR(LET(
campo,XLOOKUP(TRIM(G3653),ARRAYFORMULA(TRIM('indice columnas'!$A$2:$A$100)),'indice columnas'!$B$2:$B$100,""""),
col,IFERROR(MATCH(campo,Referencia!$A$1:$AZ$1,0),0),
fila,IFERROR(MATCH(TO_TEXT(D3653),ARRAYFOR"&amp;"MULA(TO_TEXT(Referencia!$A$2:$A6238)),0),0),
IF(OR(campo="""",campo=""-""),""NO APLICA"",
IF(col=0,""REVISAR EQUIVALENCIA"",
IF(fila=0,""SKU NO ENCONTRADO"",
LET(
valor,INDEX(Referencia!$A$2:$AZ6238,fila,col),
IF(TRIM(TO_TEXT(valor))=TRIM(TO_TEXT(I3653)),"&amp;"
""OK"",
""NO COINCIDE. Valor verdadero: ""&amp;IF(valor="""",""[VACÍO]"",TO_TEXT(valor))
)
))))
),""ERROR EN FÓRMULA""))"),"OK")</f>
        <v>OK</v>
      </c>
    </row>
    <row r="3654">
      <c r="A3654" s="83" t="s">
        <v>4896</v>
      </c>
      <c r="B3654" s="83" t="s">
        <v>4897</v>
      </c>
      <c r="C3654" s="81" t="s">
        <v>4086</v>
      </c>
      <c r="D3654" s="83" t="s">
        <v>4328</v>
      </c>
      <c r="E3654" s="81" t="s">
        <v>1379</v>
      </c>
      <c r="F3654" s="81">
        <v>266.0</v>
      </c>
      <c r="G3654" s="81" t="s">
        <v>2</v>
      </c>
      <c r="H3654" s="81" t="s">
        <v>224</v>
      </c>
      <c r="I3654" s="81" t="s">
        <v>919</v>
      </c>
      <c r="J3654" s="81" t="s">
        <v>224</v>
      </c>
      <c r="K3654" s="81" t="str">
        <f>IFERROR(__xludf.DUMMYFUNCTION("IF(OR(D3654="""",G3654=""""),"""",IFERROR(LET(
campo,XLOOKUP(TRIM(G3654),ARRAYFORMULA(TRIM('indice columnas'!$A$2:$A$100)),'indice columnas'!$B$2:$B$100,""""),
col,IFERROR(MATCH(campo,Referencia!$A$1:$AZ$1,0),0),
fila,IFERROR(MATCH(TO_TEXT(D3654),ARRAYFOR"&amp;"MULA(TO_TEXT(Referencia!$A$2:$A6238)),0),0),
IF(OR(campo="""",campo=""-""),""NO APLICA"",
IF(col=0,""REVISAR EQUIVALENCIA"",
IF(fila=0,""SKU NO ENCONTRADO"",
LET(
valor,INDEX(Referencia!$A$2:$AZ6238,fila,col),
IF(TRIM(TO_TEXT(valor))=TRIM(TO_TEXT(I3654)),"&amp;"
""OK"",
""NO COINCIDE. Valor verdadero: ""&amp;IF(valor="""",""[VACÍO]"",TO_TEXT(valor))
)
))))
),""ERROR EN FÓRMULA""))"),"OK")</f>
        <v>OK</v>
      </c>
    </row>
    <row r="3655">
      <c r="A3655" s="83" t="s">
        <v>4896</v>
      </c>
      <c r="B3655" s="83" t="s">
        <v>4897</v>
      </c>
      <c r="C3655" s="81" t="s">
        <v>4086</v>
      </c>
      <c r="D3655" s="83" t="s">
        <v>4328</v>
      </c>
      <c r="E3655" s="81" t="s">
        <v>1379</v>
      </c>
      <c r="F3655" s="81">
        <v>266.0</v>
      </c>
      <c r="G3655" s="81" t="s">
        <v>1</v>
      </c>
      <c r="H3655" s="81" t="s">
        <v>224</v>
      </c>
      <c r="I3655" s="81" t="s">
        <v>49</v>
      </c>
      <c r="J3655" s="81" t="s">
        <v>224</v>
      </c>
      <c r="K3655" s="81" t="str">
        <f>IFERROR(__xludf.DUMMYFUNCTION("IF(OR(D3655="""",G3655=""""),"""",IFERROR(LET(
campo,XLOOKUP(TRIM(G3655),ARRAYFORMULA(TRIM('indice columnas'!$A$2:$A$100)),'indice columnas'!$B$2:$B$100,""""),
col,IFERROR(MATCH(campo,Referencia!$A$1:$AZ$1,0),0),
fila,IFERROR(MATCH(TO_TEXT(D3655),ARRAYFOR"&amp;"MULA(TO_TEXT(Referencia!$A$2:$A6238)),0),0),
IF(OR(campo="""",campo=""-""),""NO APLICA"",
IF(col=0,""REVISAR EQUIVALENCIA"",
IF(fila=0,""SKU NO ENCONTRADO"",
LET(
valor,INDEX(Referencia!$A$2:$AZ6238,fila,col),
IF(TRIM(TO_TEXT(valor))=TRIM(TO_TEXT(I3655)),"&amp;"
""OK"",
""NO COINCIDE. Valor verdadero: ""&amp;IF(valor="""",""[VACÍO]"",TO_TEXT(valor))
)
))))
),""ERROR EN FÓRMULA""))"),"OK")</f>
        <v>OK</v>
      </c>
    </row>
    <row r="3656">
      <c r="A3656" s="83" t="s">
        <v>4896</v>
      </c>
      <c r="B3656" s="83" t="s">
        <v>4897</v>
      </c>
      <c r="C3656" s="81" t="s">
        <v>4086</v>
      </c>
      <c r="D3656" s="83" t="s">
        <v>4331</v>
      </c>
      <c r="E3656" s="81" t="s">
        <v>1388</v>
      </c>
      <c r="F3656" s="81">
        <v>269.0</v>
      </c>
      <c r="G3656" s="81" t="s">
        <v>3</v>
      </c>
      <c r="H3656" s="81" t="s">
        <v>224</v>
      </c>
      <c r="I3656" s="81" t="s">
        <v>920</v>
      </c>
      <c r="J3656" s="81" t="s">
        <v>224</v>
      </c>
      <c r="K3656" s="81" t="str">
        <f>IFERROR(__xludf.DUMMYFUNCTION("IF(OR(D3656="""",G3656=""""),"""",IFERROR(LET(
campo,XLOOKUP(TRIM(G3656),ARRAYFORMULA(TRIM('indice columnas'!$A$2:$A$100)),'indice columnas'!$B$2:$B$100,""""),
col,IFERROR(MATCH(campo,Referencia!$A$1:$AZ$1,0),0),
fila,IFERROR(MATCH(TO_TEXT(D3656),ARRAYFOR"&amp;"MULA(TO_TEXT(Referencia!$A$2:$A6238)),0),0),
IF(OR(campo="""",campo=""-""),""NO APLICA"",
IF(col=0,""REVISAR EQUIVALENCIA"",
IF(fila=0,""SKU NO ENCONTRADO"",
LET(
valor,INDEX(Referencia!$A$2:$AZ6238,fila,col),
IF(TRIM(TO_TEXT(valor))=TRIM(TO_TEXT(I3656)),"&amp;"
""OK"",
""NO COINCIDE. Valor verdadero: ""&amp;IF(valor="""",""[VACÍO]"",TO_TEXT(valor))
)
))))
),""ERROR EN FÓRMULA""))"),"OK")</f>
        <v>OK</v>
      </c>
    </row>
    <row r="3657">
      <c r="A3657" s="83" t="s">
        <v>4896</v>
      </c>
      <c r="B3657" s="83" t="s">
        <v>4897</v>
      </c>
      <c r="C3657" s="81" t="s">
        <v>4086</v>
      </c>
      <c r="D3657" s="83" t="s">
        <v>4331</v>
      </c>
      <c r="E3657" s="81" t="s">
        <v>1388</v>
      </c>
      <c r="F3657" s="81">
        <v>269.0</v>
      </c>
      <c r="G3657" s="81" t="s">
        <v>2</v>
      </c>
      <c r="H3657" s="81" t="s">
        <v>224</v>
      </c>
      <c r="I3657" s="81" t="s">
        <v>919</v>
      </c>
      <c r="J3657" s="81" t="s">
        <v>224</v>
      </c>
      <c r="K3657" s="81" t="str">
        <f>IFERROR(__xludf.DUMMYFUNCTION("IF(OR(D3657="""",G3657=""""),"""",IFERROR(LET(
campo,XLOOKUP(TRIM(G3657),ARRAYFORMULA(TRIM('indice columnas'!$A$2:$A$100)),'indice columnas'!$B$2:$B$100,""""),
col,IFERROR(MATCH(campo,Referencia!$A$1:$AZ$1,0),0),
fila,IFERROR(MATCH(TO_TEXT(D3657),ARRAYFOR"&amp;"MULA(TO_TEXT(Referencia!$A$2:$A6238)),0),0),
IF(OR(campo="""",campo=""-""),""NO APLICA"",
IF(col=0,""REVISAR EQUIVALENCIA"",
IF(fila=0,""SKU NO ENCONTRADO"",
LET(
valor,INDEX(Referencia!$A$2:$AZ6238,fila,col),
IF(TRIM(TO_TEXT(valor))=TRIM(TO_TEXT(I3657)),"&amp;"
""OK"",
""NO COINCIDE. Valor verdadero: ""&amp;IF(valor="""",""[VACÍO]"",TO_TEXT(valor))
)
))))
),""ERROR EN FÓRMULA""))"),"OK")</f>
        <v>OK</v>
      </c>
    </row>
    <row r="3658">
      <c r="A3658" s="83" t="s">
        <v>4896</v>
      </c>
      <c r="B3658" s="83" t="s">
        <v>4897</v>
      </c>
      <c r="C3658" s="81" t="s">
        <v>4086</v>
      </c>
      <c r="D3658" s="83" t="s">
        <v>4331</v>
      </c>
      <c r="E3658" s="81" t="s">
        <v>1388</v>
      </c>
      <c r="F3658" s="81">
        <v>269.0</v>
      </c>
      <c r="G3658" s="81" t="s">
        <v>1</v>
      </c>
      <c r="H3658" s="81" t="s">
        <v>224</v>
      </c>
      <c r="I3658" s="81" t="s">
        <v>49</v>
      </c>
      <c r="J3658" s="81" t="s">
        <v>224</v>
      </c>
      <c r="K3658" s="81" t="str">
        <f>IFERROR(__xludf.DUMMYFUNCTION("IF(OR(D3658="""",G3658=""""),"""",IFERROR(LET(
campo,XLOOKUP(TRIM(G3658),ARRAYFORMULA(TRIM('indice columnas'!$A$2:$A$100)),'indice columnas'!$B$2:$B$100,""""),
col,IFERROR(MATCH(campo,Referencia!$A$1:$AZ$1,0),0),
fila,IFERROR(MATCH(TO_TEXT(D3658),ARRAYFOR"&amp;"MULA(TO_TEXT(Referencia!$A$2:$A6238)),0),0),
IF(OR(campo="""",campo=""-""),""NO APLICA"",
IF(col=0,""REVISAR EQUIVALENCIA"",
IF(fila=0,""SKU NO ENCONTRADO"",
LET(
valor,INDEX(Referencia!$A$2:$AZ6238,fila,col),
IF(TRIM(TO_TEXT(valor))=TRIM(TO_TEXT(I3658)),"&amp;"
""OK"",
""NO COINCIDE. Valor verdadero: ""&amp;IF(valor="""",""[VACÍO]"",TO_TEXT(valor))
)
))))
),""ERROR EN FÓRMULA""))"),"OK")</f>
        <v>OK</v>
      </c>
    </row>
    <row r="3659">
      <c r="A3659" s="83" t="s">
        <v>4896</v>
      </c>
      <c r="B3659" s="83" t="s">
        <v>4897</v>
      </c>
      <c r="C3659" s="81" t="s">
        <v>4086</v>
      </c>
      <c r="D3659" s="83" t="s">
        <v>4332</v>
      </c>
      <c r="E3659" s="81" t="s">
        <v>1391</v>
      </c>
      <c r="F3659" s="81">
        <v>270.0</v>
      </c>
      <c r="G3659" s="81" t="s">
        <v>3</v>
      </c>
      <c r="H3659" s="81" t="s">
        <v>224</v>
      </c>
      <c r="I3659" s="81" t="s">
        <v>920</v>
      </c>
      <c r="J3659" s="81" t="s">
        <v>224</v>
      </c>
      <c r="K3659" s="81" t="str">
        <f>IFERROR(__xludf.DUMMYFUNCTION("IF(OR(D3659="""",G3659=""""),"""",IFERROR(LET(
campo,XLOOKUP(TRIM(G3659),ARRAYFORMULA(TRIM('indice columnas'!$A$2:$A$100)),'indice columnas'!$B$2:$B$100,""""),
col,IFERROR(MATCH(campo,Referencia!$A$1:$AZ$1,0),0),
fila,IFERROR(MATCH(TO_TEXT(D3659),ARRAYFOR"&amp;"MULA(TO_TEXT(Referencia!$A$2:$A6238)),0),0),
IF(OR(campo="""",campo=""-""),""NO APLICA"",
IF(col=0,""REVISAR EQUIVALENCIA"",
IF(fila=0,""SKU NO ENCONTRADO"",
LET(
valor,INDEX(Referencia!$A$2:$AZ6238,fila,col),
IF(TRIM(TO_TEXT(valor))=TRIM(TO_TEXT(I3659)),"&amp;"
""OK"",
""NO COINCIDE. Valor verdadero: ""&amp;IF(valor="""",""[VACÍO]"",TO_TEXT(valor))
)
))))
),""ERROR EN FÓRMULA""))"),"OK")</f>
        <v>OK</v>
      </c>
    </row>
    <row r="3660">
      <c r="A3660" s="83" t="s">
        <v>4896</v>
      </c>
      <c r="B3660" s="83" t="s">
        <v>4897</v>
      </c>
      <c r="C3660" s="81" t="s">
        <v>4086</v>
      </c>
      <c r="D3660" s="83" t="s">
        <v>4332</v>
      </c>
      <c r="E3660" s="81" t="s">
        <v>1391</v>
      </c>
      <c r="F3660" s="81">
        <v>270.0</v>
      </c>
      <c r="G3660" s="81" t="s">
        <v>2</v>
      </c>
      <c r="H3660" s="81" t="s">
        <v>224</v>
      </c>
      <c r="I3660" s="81" t="s">
        <v>919</v>
      </c>
      <c r="J3660" s="81" t="s">
        <v>224</v>
      </c>
      <c r="K3660" s="81" t="str">
        <f>IFERROR(__xludf.DUMMYFUNCTION("IF(OR(D3660="""",G3660=""""),"""",IFERROR(LET(
campo,XLOOKUP(TRIM(G3660),ARRAYFORMULA(TRIM('indice columnas'!$A$2:$A$100)),'indice columnas'!$B$2:$B$100,""""),
col,IFERROR(MATCH(campo,Referencia!$A$1:$AZ$1,0),0),
fila,IFERROR(MATCH(TO_TEXT(D3660),ARRAYFOR"&amp;"MULA(TO_TEXT(Referencia!$A$2:$A6238)),0),0),
IF(OR(campo="""",campo=""-""),""NO APLICA"",
IF(col=0,""REVISAR EQUIVALENCIA"",
IF(fila=0,""SKU NO ENCONTRADO"",
LET(
valor,INDEX(Referencia!$A$2:$AZ6238,fila,col),
IF(TRIM(TO_TEXT(valor))=TRIM(TO_TEXT(I3660)),"&amp;"
""OK"",
""NO COINCIDE. Valor verdadero: ""&amp;IF(valor="""",""[VACÍO]"",TO_TEXT(valor))
)
))))
),""ERROR EN FÓRMULA""))"),"OK")</f>
        <v>OK</v>
      </c>
    </row>
    <row r="3661">
      <c r="A3661" s="83" t="s">
        <v>4896</v>
      </c>
      <c r="B3661" s="83" t="s">
        <v>4897</v>
      </c>
      <c r="C3661" s="81" t="s">
        <v>4086</v>
      </c>
      <c r="D3661" s="83" t="s">
        <v>4332</v>
      </c>
      <c r="E3661" s="81" t="s">
        <v>1391</v>
      </c>
      <c r="F3661" s="81">
        <v>270.0</v>
      </c>
      <c r="G3661" s="81" t="s">
        <v>1</v>
      </c>
      <c r="H3661" s="81" t="s">
        <v>224</v>
      </c>
      <c r="I3661" s="81" t="s">
        <v>49</v>
      </c>
      <c r="J3661" s="81" t="s">
        <v>224</v>
      </c>
      <c r="K3661" s="81" t="str">
        <f>IFERROR(__xludf.DUMMYFUNCTION("IF(OR(D3661="""",G3661=""""),"""",IFERROR(LET(
campo,XLOOKUP(TRIM(G3661),ARRAYFORMULA(TRIM('indice columnas'!$A$2:$A$100)),'indice columnas'!$B$2:$B$100,""""),
col,IFERROR(MATCH(campo,Referencia!$A$1:$AZ$1,0),0),
fila,IFERROR(MATCH(TO_TEXT(D3661),ARRAYFOR"&amp;"MULA(TO_TEXT(Referencia!$A$2:$A6238)),0),0),
IF(OR(campo="""",campo=""-""),""NO APLICA"",
IF(col=0,""REVISAR EQUIVALENCIA"",
IF(fila=0,""SKU NO ENCONTRADO"",
LET(
valor,INDEX(Referencia!$A$2:$AZ6238,fila,col),
IF(TRIM(TO_TEXT(valor))=TRIM(TO_TEXT(I3661)),"&amp;"
""OK"",
""NO COINCIDE. Valor verdadero: ""&amp;IF(valor="""",""[VACÍO]"",TO_TEXT(valor))
)
))))
),""ERROR EN FÓRMULA""))"),"OK")</f>
        <v>OK</v>
      </c>
    </row>
    <row r="3662">
      <c r="A3662" s="83" t="s">
        <v>4896</v>
      </c>
      <c r="B3662" s="83" t="s">
        <v>4897</v>
      </c>
      <c r="C3662" s="81" t="s">
        <v>4086</v>
      </c>
      <c r="D3662" s="83" t="s">
        <v>4334</v>
      </c>
      <c r="E3662" s="81" t="s">
        <v>1395</v>
      </c>
      <c r="F3662" s="81">
        <v>271.0</v>
      </c>
      <c r="G3662" s="81" t="s">
        <v>3</v>
      </c>
      <c r="H3662" s="81" t="s">
        <v>224</v>
      </c>
      <c r="I3662" s="81" t="s">
        <v>920</v>
      </c>
      <c r="J3662" s="81" t="s">
        <v>224</v>
      </c>
      <c r="K3662" s="81" t="str">
        <f>IFERROR(__xludf.DUMMYFUNCTION("IF(OR(D3662="""",G3662=""""),"""",IFERROR(LET(
campo,XLOOKUP(TRIM(G3662),ARRAYFORMULA(TRIM('indice columnas'!$A$2:$A$100)),'indice columnas'!$B$2:$B$100,""""),
col,IFERROR(MATCH(campo,Referencia!$A$1:$AZ$1,0),0),
fila,IFERROR(MATCH(TO_TEXT(D3662),ARRAYFOR"&amp;"MULA(TO_TEXT(Referencia!$A$2:$A6238)),0),0),
IF(OR(campo="""",campo=""-""),""NO APLICA"",
IF(col=0,""REVISAR EQUIVALENCIA"",
IF(fila=0,""SKU NO ENCONTRADO"",
LET(
valor,INDEX(Referencia!$A$2:$AZ6238,fila,col),
IF(TRIM(TO_TEXT(valor))=TRIM(TO_TEXT(I3662)),"&amp;"
""OK"",
""NO COINCIDE. Valor verdadero: ""&amp;IF(valor="""",""[VACÍO]"",TO_TEXT(valor))
)
))))
),""ERROR EN FÓRMULA""))"),"OK")</f>
        <v>OK</v>
      </c>
    </row>
    <row r="3663">
      <c r="A3663" s="83" t="s">
        <v>4896</v>
      </c>
      <c r="B3663" s="83" t="s">
        <v>4897</v>
      </c>
      <c r="C3663" s="81" t="s">
        <v>4086</v>
      </c>
      <c r="D3663" s="83" t="s">
        <v>4334</v>
      </c>
      <c r="E3663" s="81" t="s">
        <v>1395</v>
      </c>
      <c r="F3663" s="81">
        <v>271.0</v>
      </c>
      <c r="G3663" s="81" t="s">
        <v>2</v>
      </c>
      <c r="H3663" s="81" t="s">
        <v>224</v>
      </c>
      <c r="I3663" s="81" t="s">
        <v>919</v>
      </c>
      <c r="J3663" s="81" t="s">
        <v>224</v>
      </c>
      <c r="K3663" s="81" t="str">
        <f>IFERROR(__xludf.DUMMYFUNCTION("IF(OR(D3663="""",G3663=""""),"""",IFERROR(LET(
campo,XLOOKUP(TRIM(G3663),ARRAYFORMULA(TRIM('indice columnas'!$A$2:$A$100)),'indice columnas'!$B$2:$B$100,""""),
col,IFERROR(MATCH(campo,Referencia!$A$1:$AZ$1,0),0),
fila,IFERROR(MATCH(TO_TEXT(D3663),ARRAYFOR"&amp;"MULA(TO_TEXT(Referencia!$A$2:$A6238)),0),0),
IF(OR(campo="""",campo=""-""),""NO APLICA"",
IF(col=0,""REVISAR EQUIVALENCIA"",
IF(fila=0,""SKU NO ENCONTRADO"",
LET(
valor,INDEX(Referencia!$A$2:$AZ6238,fila,col),
IF(TRIM(TO_TEXT(valor))=TRIM(TO_TEXT(I3663)),"&amp;"
""OK"",
""NO COINCIDE. Valor verdadero: ""&amp;IF(valor="""",""[VACÍO]"",TO_TEXT(valor))
)
))))
),""ERROR EN FÓRMULA""))"),"OK")</f>
        <v>OK</v>
      </c>
    </row>
    <row r="3664">
      <c r="A3664" s="83" t="s">
        <v>4896</v>
      </c>
      <c r="B3664" s="83" t="s">
        <v>4897</v>
      </c>
      <c r="C3664" s="81" t="s">
        <v>4086</v>
      </c>
      <c r="D3664" s="83" t="s">
        <v>4334</v>
      </c>
      <c r="E3664" s="81" t="s">
        <v>1395</v>
      </c>
      <c r="F3664" s="81">
        <v>271.0</v>
      </c>
      <c r="G3664" s="81" t="s">
        <v>1</v>
      </c>
      <c r="H3664" s="81" t="s">
        <v>224</v>
      </c>
      <c r="I3664" s="81" t="s">
        <v>49</v>
      </c>
      <c r="J3664" s="81" t="s">
        <v>224</v>
      </c>
      <c r="K3664" s="81" t="str">
        <f>IFERROR(__xludf.DUMMYFUNCTION("IF(OR(D3664="""",G3664=""""),"""",IFERROR(LET(
campo,XLOOKUP(TRIM(G3664),ARRAYFORMULA(TRIM('indice columnas'!$A$2:$A$100)),'indice columnas'!$B$2:$B$100,""""),
col,IFERROR(MATCH(campo,Referencia!$A$1:$AZ$1,0),0),
fila,IFERROR(MATCH(TO_TEXT(D3664),ARRAYFOR"&amp;"MULA(TO_TEXT(Referencia!$A$2:$A6238)),0),0),
IF(OR(campo="""",campo=""-""),""NO APLICA"",
IF(col=0,""REVISAR EQUIVALENCIA"",
IF(fila=0,""SKU NO ENCONTRADO"",
LET(
valor,INDEX(Referencia!$A$2:$AZ6238,fila,col),
IF(TRIM(TO_TEXT(valor))=TRIM(TO_TEXT(I3664)),"&amp;"
""OK"",
""NO COINCIDE. Valor verdadero: ""&amp;IF(valor="""",""[VACÍO]"",TO_TEXT(valor))
)
))))
),""ERROR EN FÓRMULA""))"),"OK")</f>
        <v>OK</v>
      </c>
    </row>
    <row r="3665">
      <c r="A3665" s="83" t="s">
        <v>4896</v>
      </c>
      <c r="B3665" s="83" t="s">
        <v>4897</v>
      </c>
      <c r="C3665" s="81" t="s">
        <v>4086</v>
      </c>
      <c r="D3665" s="83" t="s">
        <v>4335</v>
      </c>
      <c r="E3665" s="81" t="s">
        <v>1396</v>
      </c>
      <c r="F3665" s="81">
        <v>272.0</v>
      </c>
      <c r="G3665" s="81" t="s">
        <v>3</v>
      </c>
      <c r="H3665" s="81" t="s">
        <v>224</v>
      </c>
      <c r="I3665" s="81" t="s">
        <v>920</v>
      </c>
      <c r="J3665" s="81" t="s">
        <v>224</v>
      </c>
      <c r="K3665" s="81" t="str">
        <f>IFERROR(__xludf.DUMMYFUNCTION("IF(OR(D3665="""",G3665=""""),"""",IFERROR(LET(
campo,XLOOKUP(TRIM(G3665),ARRAYFORMULA(TRIM('indice columnas'!$A$2:$A$100)),'indice columnas'!$B$2:$B$100,""""),
col,IFERROR(MATCH(campo,Referencia!$A$1:$AZ$1,0),0),
fila,IFERROR(MATCH(TO_TEXT(D3665),ARRAYFOR"&amp;"MULA(TO_TEXT(Referencia!$A$2:$A6238)),0),0),
IF(OR(campo="""",campo=""-""),""NO APLICA"",
IF(col=0,""REVISAR EQUIVALENCIA"",
IF(fila=0,""SKU NO ENCONTRADO"",
LET(
valor,INDEX(Referencia!$A$2:$AZ6238,fila,col),
IF(TRIM(TO_TEXT(valor))=TRIM(TO_TEXT(I3665)),"&amp;"
""OK"",
""NO COINCIDE. Valor verdadero: ""&amp;IF(valor="""",""[VACÍO]"",TO_TEXT(valor))
)
))))
),""ERROR EN FÓRMULA""))"),"OK")</f>
        <v>OK</v>
      </c>
    </row>
    <row r="3666">
      <c r="A3666" s="83" t="s">
        <v>4896</v>
      </c>
      <c r="B3666" s="83" t="s">
        <v>4897</v>
      </c>
      <c r="C3666" s="81" t="s">
        <v>4086</v>
      </c>
      <c r="D3666" s="83" t="s">
        <v>4335</v>
      </c>
      <c r="E3666" s="81" t="s">
        <v>1396</v>
      </c>
      <c r="F3666" s="81">
        <v>272.0</v>
      </c>
      <c r="G3666" s="81" t="s">
        <v>2</v>
      </c>
      <c r="H3666" s="81" t="s">
        <v>224</v>
      </c>
      <c r="I3666" s="81" t="s">
        <v>919</v>
      </c>
      <c r="J3666" s="81" t="s">
        <v>224</v>
      </c>
      <c r="K3666" s="81" t="str">
        <f>IFERROR(__xludf.DUMMYFUNCTION("IF(OR(D3666="""",G3666=""""),"""",IFERROR(LET(
campo,XLOOKUP(TRIM(G3666),ARRAYFORMULA(TRIM('indice columnas'!$A$2:$A$100)),'indice columnas'!$B$2:$B$100,""""),
col,IFERROR(MATCH(campo,Referencia!$A$1:$AZ$1,0),0),
fila,IFERROR(MATCH(TO_TEXT(D3666),ARRAYFOR"&amp;"MULA(TO_TEXT(Referencia!$A$2:$A6238)),0),0),
IF(OR(campo="""",campo=""-""),""NO APLICA"",
IF(col=0,""REVISAR EQUIVALENCIA"",
IF(fila=0,""SKU NO ENCONTRADO"",
LET(
valor,INDEX(Referencia!$A$2:$AZ6238,fila,col),
IF(TRIM(TO_TEXT(valor))=TRIM(TO_TEXT(I3666)),"&amp;"
""OK"",
""NO COINCIDE. Valor verdadero: ""&amp;IF(valor="""",""[VACÍO]"",TO_TEXT(valor))
)
))))
),""ERROR EN FÓRMULA""))"),"OK")</f>
        <v>OK</v>
      </c>
    </row>
    <row r="3667">
      <c r="A3667" s="83" t="s">
        <v>4896</v>
      </c>
      <c r="B3667" s="83" t="s">
        <v>4897</v>
      </c>
      <c r="C3667" s="81" t="s">
        <v>4086</v>
      </c>
      <c r="D3667" s="83" t="s">
        <v>4335</v>
      </c>
      <c r="E3667" s="81" t="s">
        <v>1396</v>
      </c>
      <c r="F3667" s="81">
        <v>272.0</v>
      </c>
      <c r="G3667" s="81" t="s">
        <v>1</v>
      </c>
      <c r="H3667" s="81" t="s">
        <v>224</v>
      </c>
      <c r="I3667" s="81" t="s">
        <v>49</v>
      </c>
      <c r="J3667" s="81" t="s">
        <v>224</v>
      </c>
      <c r="K3667" s="81" t="str">
        <f>IFERROR(__xludf.DUMMYFUNCTION("IF(OR(D3667="""",G3667=""""),"""",IFERROR(LET(
campo,XLOOKUP(TRIM(G3667),ARRAYFORMULA(TRIM('indice columnas'!$A$2:$A$100)),'indice columnas'!$B$2:$B$100,""""),
col,IFERROR(MATCH(campo,Referencia!$A$1:$AZ$1,0),0),
fila,IFERROR(MATCH(TO_TEXT(D3667),ARRAYFOR"&amp;"MULA(TO_TEXT(Referencia!$A$2:$A6238)),0),0),
IF(OR(campo="""",campo=""-""),""NO APLICA"",
IF(col=0,""REVISAR EQUIVALENCIA"",
IF(fila=0,""SKU NO ENCONTRADO"",
LET(
valor,INDEX(Referencia!$A$2:$AZ6238,fila,col),
IF(TRIM(TO_TEXT(valor))=TRIM(TO_TEXT(I3667)),"&amp;"
""OK"",
""NO COINCIDE. Valor verdadero: ""&amp;IF(valor="""",""[VACÍO]"",TO_TEXT(valor))
)
))))
),""ERROR EN FÓRMULA""))"),"OK")</f>
        <v>OK</v>
      </c>
    </row>
    <row r="3668">
      <c r="A3668" s="83" t="s">
        <v>4896</v>
      </c>
      <c r="B3668" s="83" t="s">
        <v>4897</v>
      </c>
      <c r="C3668" s="81" t="s">
        <v>4086</v>
      </c>
      <c r="D3668" s="83" t="s">
        <v>4337</v>
      </c>
      <c r="E3668" s="81" t="s">
        <v>1400</v>
      </c>
      <c r="F3668" s="81">
        <v>273.0</v>
      </c>
      <c r="G3668" s="81" t="s">
        <v>3</v>
      </c>
      <c r="H3668" s="81" t="s">
        <v>224</v>
      </c>
      <c r="I3668" s="81" t="s">
        <v>920</v>
      </c>
      <c r="J3668" s="81" t="s">
        <v>224</v>
      </c>
      <c r="K3668" s="81" t="str">
        <f>IFERROR(__xludf.DUMMYFUNCTION("IF(OR(D3668="""",G3668=""""),"""",IFERROR(LET(
campo,XLOOKUP(TRIM(G3668),ARRAYFORMULA(TRIM('indice columnas'!$A$2:$A$100)),'indice columnas'!$B$2:$B$100,""""),
col,IFERROR(MATCH(campo,Referencia!$A$1:$AZ$1,0),0),
fila,IFERROR(MATCH(TO_TEXT(D3668),ARRAYFOR"&amp;"MULA(TO_TEXT(Referencia!$A$2:$A6238)),0),0),
IF(OR(campo="""",campo=""-""),""NO APLICA"",
IF(col=0,""REVISAR EQUIVALENCIA"",
IF(fila=0,""SKU NO ENCONTRADO"",
LET(
valor,INDEX(Referencia!$A$2:$AZ6238,fila,col),
IF(TRIM(TO_TEXT(valor))=TRIM(TO_TEXT(I3668)),"&amp;"
""OK"",
""NO COINCIDE. Valor verdadero: ""&amp;IF(valor="""",""[VACÍO]"",TO_TEXT(valor))
)
))))
),""ERROR EN FÓRMULA""))"),"OK")</f>
        <v>OK</v>
      </c>
    </row>
    <row r="3669">
      <c r="A3669" s="83" t="s">
        <v>4896</v>
      </c>
      <c r="B3669" s="83" t="s">
        <v>4897</v>
      </c>
      <c r="C3669" s="81" t="s">
        <v>4086</v>
      </c>
      <c r="D3669" s="83" t="s">
        <v>4337</v>
      </c>
      <c r="E3669" s="81" t="s">
        <v>1400</v>
      </c>
      <c r="F3669" s="81">
        <v>273.0</v>
      </c>
      <c r="G3669" s="81" t="s">
        <v>2</v>
      </c>
      <c r="H3669" s="81" t="s">
        <v>224</v>
      </c>
      <c r="I3669" s="81" t="s">
        <v>919</v>
      </c>
      <c r="J3669" s="81" t="s">
        <v>224</v>
      </c>
      <c r="K3669" s="81" t="str">
        <f>IFERROR(__xludf.DUMMYFUNCTION("IF(OR(D3669="""",G3669=""""),"""",IFERROR(LET(
campo,XLOOKUP(TRIM(G3669),ARRAYFORMULA(TRIM('indice columnas'!$A$2:$A$100)),'indice columnas'!$B$2:$B$100,""""),
col,IFERROR(MATCH(campo,Referencia!$A$1:$AZ$1,0),0),
fila,IFERROR(MATCH(TO_TEXT(D3669),ARRAYFOR"&amp;"MULA(TO_TEXT(Referencia!$A$2:$A6238)),0),0),
IF(OR(campo="""",campo=""-""),""NO APLICA"",
IF(col=0,""REVISAR EQUIVALENCIA"",
IF(fila=0,""SKU NO ENCONTRADO"",
LET(
valor,INDEX(Referencia!$A$2:$AZ6238,fila,col),
IF(TRIM(TO_TEXT(valor))=TRIM(TO_TEXT(I3669)),"&amp;"
""OK"",
""NO COINCIDE. Valor verdadero: ""&amp;IF(valor="""",""[VACÍO]"",TO_TEXT(valor))
)
))))
),""ERROR EN FÓRMULA""))"),"OK")</f>
        <v>OK</v>
      </c>
    </row>
    <row r="3670">
      <c r="A3670" s="83" t="s">
        <v>4896</v>
      </c>
      <c r="B3670" s="83" t="s">
        <v>4897</v>
      </c>
      <c r="C3670" s="81" t="s">
        <v>4086</v>
      </c>
      <c r="D3670" s="83" t="s">
        <v>4337</v>
      </c>
      <c r="E3670" s="81" t="s">
        <v>1400</v>
      </c>
      <c r="F3670" s="81">
        <v>273.0</v>
      </c>
      <c r="G3670" s="81" t="s">
        <v>1</v>
      </c>
      <c r="H3670" s="81" t="s">
        <v>224</v>
      </c>
      <c r="I3670" s="81" t="s">
        <v>49</v>
      </c>
      <c r="J3670" s="81" t="s">
        <v>224</v>
      </c>
      <c r="K3670" s="81" t="str">
        <f>IFERROR(__xludf.DUMMYFUNCTION("IF(OR(D3670="""",G3670=""""),"""",IFERROR(LET(
campo,XLOOKUP(TRIM(G3670),ARRAYFORMULA(TRIM('indice columnas'!$A$2:$A$100)),'indice columnas'!$B$2:$B$100,""""),
col,IFERROR(MATCH(campo,Referencia!$A$1:$AZ$1,0),0),
fila,IFERROR(MATCH(TO_TEXT(D3670),ARRAYFOR"&amp;"MULA(TO_TEXT(Referencia!$A$2:$A6238)),0),0),
IF(OR(campo="""",campo=""-""),""NO APLICA"",
IF(col=0,""REVISAR EQUIVALENCIA"",
IF(fila=0,""SKU NO ENCONTRADO"",
LET(
valor,INDEX(Referencia!$A$2:$AZ6238,fila,col),
IF(TRIM(TO_TEXT(valor))=TRIM(TO_TEXT(I3670)),"&amp;"
""OK"",
""NO COINCIDE. Valor verdadero: ""&amp;IF(valor="""",""[VACÍO]"",TO_TEXT(valor))
)
))))
),""ERROR EN FÓRMULA""))"),"OK")</f>
        <v>OK</v>
      </c>
    </row>
    <row r="3671">
      <c r="A3671" s="83" t="s">
        <v>4896</v>
      </c>
      <c r="B3671" s="83" t="s">
        <v>4897</v>
      </c>
      <c r="C3671" s="81" t="s">
        <v>4086</v>
      </c>
      <c r="D3671" s="83" t="s">
        <v>4341</v>
      </c>
      <c r="E3671" s="81" t="s">
        <v>1423</v>
      </c>
      <c r="F3671" s="81">
        <v>276.0</v>
      </c>
      <c r="G3671" s="81" t="s">
        <v>3</v>
      </c>
      <c r="H3671" s="81" t="s">
        <v>224</v>
      </c>
      <c r="I3671" s="81" t="s">
        <v>1402</v>
      </c>
      <c r="J3671" s="81" t="s">
        <v>224</v>
      </c>
      <c r="K3671" s="81" t="str">
        <f>IFERROR(__xludf.DUMMYFUNCTION("IF(OR(D3671="""",G3671=""""),"""",IFERROR(LET(
campo,XLOOKUP(TRIM(G3671),ARRAYFORMULA(TRIM('indice columnas'!$A$2:$A$100)),'indice columnas'!$B$2:$B$100,""""),
col,IFERROR(MATCH(campo,Referencia!$A$1:$AZ$1,0),0),
fila,IFERROR(MATCH(TO_TEXT(D3671),ARRAYFOR"&amp;"MULA(TO_TEXT(Referencia!$A$2:$A6238)),0),0),
IF(OR(campo="""",campo=""-""),""NO APLICA"",
IF(col=0,""REVISAR EQUIVALENCIA"",
IF(fila=0,""SKU NO ENCONTRADO"",
LET(
valor,INDEX(Referencia!$A$2:$AZ6238,fila,col),
IF(TRIM(TO_TEXT(valor))=TRIM(TO_TEXT(I3671)),"&amp;"
""OK"",
""NO COINCIDE. Valor verdadero: ""&amp;IF(valor="""",""[VACÍO]"",TO_TEXT(valor))
)
))))
),""ERROR EN FÓRMULA""))"),"OK")</f>
        <v>OK</v>
      </c>
    </row>
    <row r="3672">
      <c r="A3672" s="83" t="s">
        <v>4896</v>
      </c>
      <c r="B3672" s="83" t="s">
        <v>4897</v>
      </c>
      <c r="C3672" s="81" t="s">
        <v>4086</v>
      </c>
      <c r="D3672" s="83" t="s">
        <v>4341</v>
      </c>
      <c r="E3672" s="81" t="s">
        <v>1423</v>
      </c>
      <c r="F3672" s="81">
        <v>276.0</v>
      </c>
      <c r="G3672" s="81" t="s">
        <v>2</v>
      </c>
      <c r="H3672" s="81" t="s">
        <v>224</v>
      </c>
      <c r="I3672" s="81" t="s">
        <v>1291</v>
      </c>
      <c r="J3672" s="81" t="s">
        <v>224</v>
      </c>
      <c r="K3672" s="81" t="str">
        <f>IFERROR(__xludf.DUMMYFUNCTION("IF(OR(D3672="""",G3672=""""),"""",IFERROR(LET(
campo,XLOOKUP(TRIM(G3672),ARRAYFORMULA(TRIM('indice columnas'!$A$2:$A$100)),'indice columnas'!$B$2:$B$100,""""),
col,IFERROR(MATCH(campo,Referencia!$A$1:$AZ$1,0),0),
fila,IFERROR(MATCH(TO_TEXT(D3672),ARRAYFOR"&amp;"MULA(TO_TEXT(Referencia!$A$2:$A6238)),0),0),
IF(OR(campo="""",campo=""-""),""NO APLICA"",
IF(col=0,""REVISAR EQUIVALENCIA"",
IF(fila=0,""SKU NO ENCONTRADO"",
LET(
valor,INDEX(Referencia!$A$2:$AZ6238,fila,col),
IF(TRIM(TO_TEXT(valor))=TRIM(TO_TEXT(I3672)),"&amp;"
""OK"",
""NO COINCIDE. Valor verdadero: ""&amp;IF(valor="""",""[VACÍO]"",TO_TEXT(valor))
)
))))
),""ERROR EN FÓRMULA""))"),"OK")</f>
        <v>OK</v>
      </c>
    </row>
    <row r="3673">
      <c r="A3673" s="83" t="s">
        <v>4896</v>
      </c>
      <c r="B3673" s="83" t="s">
        <v>4897</v>
      </c>
      <c r="C3673" s="81" t="s">
        <v>4086</v>
      </c>
      <c r="D3673" s="83" t="s">
        <v>4344</v>
      </c>
      <c r="E3673" s="81" t="s">
        <v>1438</v>
      </c>
      <c r="F3673" s="81">
        <v>278.0</v>
      </c>
      <c r="G3673" s="81" t="s">
        <v>3</v>
      </c>
      <c r="H3673" s="81" t="s">
        <v>224</v>
      </c>
      <c r="I3673" s="81" t="s">
        <v>1402</v>
      </c>
      <c r="J3673" s="81" t="s">
        <v>224</v>
      </c>
      <c r="K3673" s="81" t="str">
        <f>IFERROR(__xludf.DUMMYFUNCTION("IF(OR(D3673="""",G3673=""""),"""",IFERROR(LET(
campo,XLOOKUP(TRIM(G3673),ARRAYFORMULA(TRIM('indice columnas'!$A$2:$A$100)),'indice columnas'!$B$2:$B$100,""""),
col,IFERROR(MATCH(campo,Referencia!$A$1:$AZ$1,0),0),
fila,IFERROR(MATCH(TO_TEXT(D3673),ARRAYFOR"&amp;"MULA(TO_TEXT(Referencia!$A$2:$A6238)),0),0),
IF(OR(campo="""",campo=""-""),""NO APLICA"",
IF(col=0,""REVISAR EQUIVALENCIA"",
IF(fila=0,""SKU NO ENCONTRADO"",
LET(
valor,INDEX(Referencia!$A$2:$AZ6238,fila,col),
IF(TRIM(TO_TEXT(valor))=TRIM(TO_TEXT(I3673)),"&amp;"
""OK"",
""NO COINCIDE. Valor verdadero: ""&amp;IF(valor="""",""[VACÍO]"",TO_TEXT(valor))
)
))))
),""ERROR EN FÓRMULA""))"),"OK")</f>
        <v>OK</v>
      </c>
    </row>
    <row r="3674">
      <c r="A3674" s="83" t="s">
        <v>4896</v>
      </c>
      <c r="B3674" s="83" t="s">
        <v>4897</v>
      </c>
      <c r="C3674" s="81" t="s">
        <v>4086</v>
      </c>
      <c r="D3674" s="83" t="s">
        <v>4344</v>
      </c>
      <c r="E3674" s="81" t="s">
        <v>1438</v>
      </c>
      <c r="F3674" s="81">
        <v>278.0</v>
      </c>
      <c r="G3674" s="81" t="s">
        <v>2</v>
      </c>
      <c r="H3674" s="81" t="s">
        <v>224</v>
      </c>
      <c r="I3674" s="81" t="s">
        <v>1291</v>
      </c>
      <c r="J3674" s="81" t="s">
        <v>224</v>
      </c>
      <c r="K3674" s="81" t="str">
        <f>IFERROR(__xludf.DUMMYFUNCTION("IF(OR(D3674="""",G3674=""""),"""",IFERROR(LET(
campo,XLOOKUP(TRIM(G3674),ARRAYFORMULA(TRIM('indice columnas'!$A$2:$A$100)),'indice columnas'!$B$2:$B$100,""""),
col,IFERROR(MATCH(campo,Referencia!$A$1:$AZ$1,0),0),
fila,IFERROR(MATCH(TO_TEXT(D3674),ARRAYFOR"&amp;"MULA(TO_TEXT(Referencia!$A$2:$A6238)),0),0),
IF(OR(campo="""",campo=""-""),""NO APLICA"",
IF(col=0,""REVISAR EQUIVALENCIA"",
IF(fila=0,""SKU NO ENCONTRADO"",
LET(
valor,INDEX(Referencia!$A$2:$AZ6238,fila,col),
IF(TRIM(TO_TEXT(valor))=TRIM(TO_TEXT(I3674)),"&amp;"
""OK"",
""NO COINCIDE. Valor verdadero: ""&amp;IF(valor="""",""[VACÍO]"",TO_TEXT(valor))
)
))))
),""ERROR EN FÓRMULA""))"),"OK")</f>
        <v>OK</v>
      </c>
    </row>
    <row r="3675">
      <c r="A3675" s="83" t="s">
        <v>4896</v>
      </c>
      <c r="B3675" s="83" t="s">
        <v>4897</v>
      </c>
      <c r="C3675" s="81" t="s">
        <v>4086</v>
      </c>
      <c r="D3675" s="83" t="s">
        <v>4347</v>
      </c>
      <c r="E3675" s="81" t="s">
        <v>1453</v>
      </c>
      <c r="F3675" s="81">
        <v>280.0</v>
      </c>
      <c r="G3675" s="81" t="s">
        <v>3</v>
      </c>
      <c r="H3675" s="81" t="s">
        <v>224</v>
      </c>
      <c r="I3675" s="81" t="s">
        <v>1402</v>
      </c>
      <c r="J3675" s="81" t="s">
        <v>224</v>
      </c>
      <c r="K3675" s="81" t="str">
        <f>IFERROR(__xludf.DUMMYFUNCTION("IF(OR(D3675="""",G3675=""""),"""",IFERROR(LET(
campo,XLOOKUP(TRIM(G3675),ARRAYFORMULA(TRIM('indice columnas'!$A$2:$A$100)),'indice columnas'!$B$2:$B$100,""""),
col,IFERROR(MATCH(campo,Referencia!$A$1:$AZ$1,0),0),
fila,IFERROR(MATCH(TO_TEXT(D3675),ARRAYFOR"&amp;"MULA(TO_TEXT(Referencia!$A$2:$A6238)),0),0),
IF(OR(campo="""",campo=""-""),""NO APLICA"",
IF(col=0,""REVISAR EQUIVALENCIA"",
IF(fila=0,""SKU NO ENCONTRADO"",
LET(
valor,INDEX(Referencia!$A$2:$AZ6238,fila,col),
IF(TRIM(TO_TEXT(valor))=TRIM(TO_TEXT(I3675)),"&amp;"
""OK"",
""NO COINCIDE. Valor verdadero: ""&amp;IF(valor="""",""[VACÍO]"",TO_TEXT(valor))
)
))))
),""ERROR EN FÓRMULA""))"),"OK")</f>
        <v>OK</v>
      </c>
    </row>
    <row r="3676">
      <c r="A3676" s="83" t="s">
        <v>4896</v>
      </c>
      <c r="B3676" s="83" t="s">
        <v>4897</v>
      </c>
      <c r="C3676" s="81" t="s">
        <v>4086</v>
      </c>
      <c r="D3676" s="83" t="s">
        <v>4347</v>
      </c>
      <c r="E3676" s="81" t="s">
        <v>1453</v>
      </c>
      <c r="F3676" s="81">
        <v>280.0</v>
      </c>
      <c r="G3676" s="81" t="s">
        <v>2</v>
      </c>
      <c r="H3676" s="81" t="s">
        <v>224</v>
      </c>
      <c r="I3676" s="81" t="s">
        <v>1291</v>
      </c>
      <c r="J3676" s="81" t="s">
        <v>224</v>
      </c>
      <c r="K3676" s="81" t="str">
        <f>IFERROR(__xludf.DUMMYFUNCTION("IF(OR(D3676="""",G3676=""""),"""",IFERROR(LET(
campo,XLOOKUP(TRIM(G3676),ARRAYFORMULA(TRIM('indice columnas'!$A$2:$A$100)),'indice columnas'!$B$2:$B$100,""""),
col,IFERROR(MATCH(campo,Referencia!$A$1:$AZ$1,0),0),
fila,IFERROR(MATCH(TO_TEXT(D3676),ARRAYFOR"&amp;"MULA(TO_TEXT(Referencia!$A$2:$A6238)),0),0),
IF(OR(campo="""",campo=""-""),""NO APLICA"",
IF(col=0,""REVISAR EQUIVALENCIA"",
IF(fila=0,""SKU NO ENCONTRADO"",
LET(
valor,INDEX(Referencia!$A$2:$AZ6238,fila,col),
IF(TRIM(TO_TEXT(valor))=TRIM(TO_TEXT(I3676)),"&amp;"
""OK"",
""NO COINCIDE. Valor verdadero: ""&amp;IF(valor="""",""[VACÍO]"",TO_TEXT(valor))
)
))))
),""ERROR EN FÓRMULA""))"),"OK")</f>
        <v>OK</v>
      </c>
    </row>
    <row r="3677">
      <c r="A3677" s="83" t="s">
        <v>4896</v>
      </c>
      <c r="B3677" s="83" t="s">
        <v>4897</v>
      </c>
      <c r="C3677" s="81" t="s">
        <v>4086</v>
      </c>
      <c r="D3677" s="83" t="s">
        <v>4350</v>
      </c>
      <c r="E3677" s="81" t="s">
        <v>1467</v>
      </c>
      <c r="F3677" s="81">
        <v>282.0</v>
      </c>
      <c r="G3677" s="81" t="s">
        <v>3</v>
      </c>
      <c r="H3677" s="81" t="s">
        <v>224</v>
      </c>
      <c r="I3677" s="81" t="s">
        <v>1402</v>
      </c>
      <c r="J3677" s="81" t="s">
        <v>224</v>
      </c>
      <c r="K3677" s="81" t="str">
        <f>IFERROR(__xludf.DUMMYFUNCTION("IF(OR(D3677="""",G3677=""""),"""",IFERROR(LET(
campo,XLOOKUP(TRIM(G3677),ARRAYFORMULA(TRIM('indice columnas'!$A$2:$A$100)),'indice columnas'!$B$2:$B$100,""""),
col,IFERROR(MATCH(campo,Referencia!$A$1:$AZ$1,0),0),
fila,IFERROR(MATCH(TO_TEXT(D3677),ARRAYFOR"&amp;"MULA(TO_TEXT(Referencia!$A$2:$A6238)),0),0),
IF(OR(campo="""",campo=""-""),""NO APLICA"",
IF(col=0,""REVISAR EQUIVALENCIA"",
IF(fila=0,""SKU NO ENCONTRADO"",
LET(
valor,INDEX(Referencia!$A$2:$AZ6238,fila,col),
IF(TRIM(TO_TEXT(valor))=TRIM(TO_TEXT(I3677)),"&amp;"
""OK"",
""NO COINCIDE. Valor verdadero: ""&amp;IF(valor="""",""[VACÍO]"",TO_TEXT(valor))
)
))))
),""ERROR EN FÓRMULA""))"),"OK")</f>
        <v>OK</v>
      </c>
    </row>
    <row r="3678">
      <c r="A3678" s="83" t="s">
        <v>4896</v>
      </c>
      <c r="B3678" s="83" t="s">
        <v>4897</v>
      </c>
      <c r="C3678" s="81" t="s">
        <v>4086</v>
      </c>
      <c r="D3678" s="83" t="s">
        <v>4350</v>
      </c>
      <c r="E3678" s="81" t="s">
        <v>1467</v>
      </c>
      <c r="F3678" s="81">
        <v>282.0</v>
      </c>
      <c r="G3678" s="81" t="s">
        <v>2</v>
      </c>
      <c r="H3678" s="81" t="s">
        <v>224</v>
      </c>
      <c r="I3678" s="81" t="s">
        <v>1291</v>
      </c>
      <c r="J3678" s="81" t="s">
        <v>224</v>
      </c>
      <c r="K3678" s="81" t="str">
        <f>IFERROR(__xludf.DUMMYFUNCTION("IF(OR(D3678="""",G3678=""""),"""",IFERROR(LET(
campo,XLOOKUP(TRIM(G3678),ARRAYFORMULA(TRIM('indice columnas'!$A$2:$A$100)),'indice columnas'!$B$2:$B$100,""""),
col,IFERROR(MATCH(campo,Referencia!$A$1:$AZ$1,0),0),
fila,IFERROR(MATCH(TO_TEXT(D3678),ARRAYFOR"&amp;"MULA(TO_TEXT(Referencia!$A$2:$A6238)),0),0),
IF(OR(campo="""",campo=""-""),""NO APLICA"",
IF(col=0,""REVISAR EQUIVALENCIA"",
IF(fila=0,""SKU NO ENCONTRADO"",
LET(
valor,INDEX(Referencia!$A$2:$AZ6238,fila,col),
IF(TRIM(TO_TEXT(valor))=TRIM(TO_TEXT(I3678)),"&amp;"
""OK"",
""NO COINCIDE. Valor verdadero: ""&amp;IF(valor="""",""[VACÍO]"",TO_TEXT(valor))
)
))))
),""ERROR EN FÓRMULA""))"),"OK")</f>
        <v>OK</v>
      </c>
    </row>
    <row r="3679">
      <c r="A3679" s="83" t="s">
        <v>4896</v>
      </c>
      <c r="B3679" s="83" t="s">
        <v>4897</v>
      </c>
      <c r="C3679" s="81" t="s">
        <v>4086</v>
      </c>
      <c r="D3679" s="83" t="s">
        <v>4353</v>
      </c>
      <c r="E3679" s="81" t="s">
        <v>1477</v>
      </c>
      <c r="F3679" s="81">
        <v>285.0</v>
      </c>
      <c r="G3679" s="81" t="s">
        <v>3</v>
      </c>
      <c r="H3679" s="81" t="s">
        <v>224</v>
      </c>
      <c r="I3679" s="81" t="s">
        <v>1239</v>
      </c>
      <c r="J3679" s="81" t="s">
        <v>224</v>
      </c>
      <c r="K3679" s="81" t="str">
        <f>IFERROR(__xludf.DUMMYFUNCTION("IF(OR(D3679="""",G3679=""""),"""",IFERROR(LET(
campo,XLOOKUP(TRIM(G3679),ARRAYFORMULA(TRIM('indice columnas'!$A$2:$A$100)),'indice columnas'!$B$2:$B$100,""""),
col,IFERROR(MATCH(campo,Referencia!$A$1:$AZ$1,0),0),
fila,IFERROR(MATCH(TO_TEXT(D3679),ARRAYFOR"&amp;"MULA(TO_TEXT(Referencia!$A$2:$A6238)),0),0),
IF(OR(campo="""",campo=""-""),""NO APLICA"",
IF(col=0,""REVISAR EQUIVALENCIA"",
IF(fila=0,""SKU NO ENCONTRADO"",
LET(
valor,INDEX(Referencia!$A$2:$AZ6238,fila,col),
IF(TRIM(TO_TEXT(valor))=TRIM(TO_TEXT(I3679)),"&amp;"
""OK"",
""NO COINCIDE. Valor verdadero: ""&amp;IF(valor="""",""[VACÍO]"",TO_TEXT(valor))
)
))))
),""ERROR EN FÓRMULA""))"),"OK")</f>
        <v>OK</v>
      </c>
    </row>
    <row r="3680">
      <c r="A3680" s="83" t="s">
        <v>4896</v>
      </c>
      <c r="B3680" s="83" t="s">
        <v>4897</v>
      </c>
      <c r="C3680" s="81" t="s">
        <v>4086</v>
      </c>
      <c r="D3680" s="83" t="s">
        <v>4353</v>
      </c>
      <c r="E3680" s="81" t="s">
        <v>1477</v>
      </c>
      <c r="F3680" s="81">
        <v>285.0</v>
      </c>
      <c r="G3680" s="81" t="s">
        <v>2</v>
      </c>
      <c r="H3680" s="81" t="s">
        <v>224</v>
      </c>
      <c r="I3680" s="81" t="s">
        <v>1238</v>
      </c>
      <c r="J3680" s="81" t="s">
        <v>224</v>
      </c>
      <c r="K3680" s="81" t="str">
        <f>IFERROR(__xludf.DUMMYFUNCTION("IF(OR(D3680="""",G3680=""""),"""",IFERROR(LET(
campo,XLOOKUP(TRIM(G3680),ARRAYFORMULA(TRIM('indice columnas'!$A$2:$A$100)),'indice columnas'!$B$2:$B$100,""""),
col,IFERROR(MATCH(campo,Referencia!$A$1:$AZ$1,0),0),
fila,IFERROR(MATCH(TO_TEXT(D3680),ARRAYFOR"&amp;"MULA(TO_TEXT(Referencia!$A$2:$A6238)),0),0),
IF(OR(campo="""",campo=""-""),""NO APLICA"",
IF(col=0,""REVISAR EQUIVALENCIA"",
IF(fila=0,""SKU NO ENCONTRADO"",
LET(
valor,INDEX(Referencia!$A$2:$AZ6238,fila,col),
IF(TRIM(TO_TEXT(valor))=TRIM(TO_TEXT(I3680)),"&amp;"
""OK"",
""NO COINCIDE. Valor verdadero: ""&amp;IF(valor="""",""[VACÍO]"",TO_TEXT(valor))
)
))))
),""ERROR EN FÓRMULA""))"),"OK")</f>
        <v>OK</v>
      </c>
    </row>
    <row r="3681">
      <c r="A3681" s="83" t="s">
        <v>4896</v>
      </c>
      <c r="B3681" s="83" t="s">
        <v>4897</v>
      </c>
      <c r="C3681" s="81" t="s">
        <v>4086</v>
      </c>
      <c r="D3681" s="83" t="s">
        <v>4358</v>
      </c>
      <c r="E3681" s="81" t="s">
        <v>1502</v>
      </c>
      <c r="F3681" s="81">
        <v>291.0</v>
      </c>
      <c r="G3681" s="81" t="s">
        <v>3</v>
      </c>
      <c r="H3681" s="81" t="s">
        <v>224</v>
      </c>
      <c r="I3681" s="81" t="s">
        <v>926</v>
      </c>
      <c r="J3681" s="81" t="s">
        <v>224</v>
      </c>
      <c r="K3681" s="81" t="str">
        <f>IFERROR(__xludf.DUMMYFUNCTION("IF(OR(D3681="""",G3681=""""),"""",IFERROR(LET(
campo,XLOOKUP(TRIM(G3681),ARRAYFORMULA(TRIM('indice columnas'!$A$2:$A$100)),'indice columnas'!$B$2:$B$100,""""),
col,IFERROR(MATCH(campo,Referencia!$A$1:$AZ$1,0),0),
fila,IFERROR(MATCH(TO_TEXT(D3681),ARRAYFOR"&amp;"MULA(TO_TEXT(Referencia!$A$2:$A6238)),0),0),
IF(OR(campo="""",campo=""-""),""NO APLICA"",
IF(col=0,""REVISAR EQUIVALENCIA"",
IF(fila=0,""SKU NO ENCONTRADO"",
LET(
valor,INDEX(Referencia!$A$2:$AZ6238,fila,col),
IF(TRIM(TO_TEXT(valor))=TRIM(TO_TEXT(I3681)),"&amp;"
""OK"",
""NO COINCIDE. Valor verdadero: ""&amp;IF(valor="""",""[VACÍO]"",TO_TEXT(valor))
)
))))
),""ERROR EN FÓRMULA""))"),"OK")</f>
        <v>OK</v>
      </c>
    </row>
    <row r="3682">
      <c r="A3682" s="83" t="s">
        <v>4896</v>
      </c>
      <c r="B3682" s="83" t="s">
        <v>4897</v>
      </c>
      <c r="C3682" s="81" t="s">
        <v>4086</v>
      </c>
      <c r="D3682" s="83" t="s">
        <v>4358</v>
      </c>
      <c r="E3682" s="81" t="s">
        <v>1502</v>
      </c>
      <c r="F3682" s="81">
        <v>291.0</v>
      </c>
      <c r="G3682" s="81" t="s">
        <v>2</v>
      </c>
      <c r="H3682" s="81" t="s">
        <v>224</v>
      </c>
      <c r="I3682" s="81" t="s">
        <v>1291</v>
      </c>
      <c r="J3682" s="81" t="s">
        <v>224</v>
      </c>
      <c r="K3682" s="81" t="str">
        <f>IFERROR(__xludf.DUMMYFUNCTION("IF(OR(D3682="""",G3682=""""),"""",IFERROR(LET(
campo,XLOOKUP(TRIM(G3682),ARRAYFORMULA(TRIM('indice columnas'!$A$2:$A$100)),'indice columnas'!$B$2:$B$100,""""),
col,IFERROR(MATCH(campo,Referencia!$A$1:$AZ$1,0),0),
fila,IFERROR(MATCH(TO_TEXT(D3682),ARRAYFOR"&amp;"MULA(TO_TEXT(Referencia!$A$2:$A6238)),0),0),
IF(OR(campo="""",campo=""-""),""NO APLICA"",
IF(col=0,""REVISAR EQUIVALENCIA"",
IF(fila=0,""SKU NO ENCONTRADO"",
LET(
valor,INDEX(Referencia!$A$2:$AZ6238,fila,col),
IF(TRIM(TO_TEXT(valor))=TRIM(TO_TEXT(I3682)),"&amp;"
""OK"",
""NO COINCIDE. Valor verdadero: ""&amp;IF(valor="""",""[VACÍO]"",TO_TEXT(valor))
)
))))
),""ERROR EN FÓRMULA""))"),"OK")</f>
        <v>OK</v>
      </c>
    </row>
    <row r="3683">
      <c r="A3683" s="83" t="s">
        <v>4896</v>
      </c>
      <c r="B3683" s="83" t="s">
        <v>4897</v>
      </c>
      <c r="C3683" s="81" t="s">
        <v>4086</v>
      </c>
      <c r="D3683" s="83" t="s">
        <v>4360</v>
      </c>
      <c r="E3683" s="81" t="s">
        <v>1516</v>
      </c>
      <c r="F3683" s="81">
        <v>294.0</v>
      </c>
      <c r="G3683" s="81" t="s">
        <v>3</v>
      </c>
      <c r="H3683" s="81" t="s">
        <v>224</v>
      </c>
      <c r="I3683" s="81" t="s">
        <v>926</v>
      </c>
      <c r="J3683" s="81" t="s">
        <v>224</v>
      </c>
      <c r="K3683" s="81" t="str">
        <f>IFERROR(__xludf.DUMMYFUNCTION("IF(OR(D3683="""",G3683=""""),"""",IFERROR(LET(
campo,XLOOKUP(TRIM(G3683),ARRAYFORMULA(TRIM('indice columnas'!$A$2:$A$100)),'indice columnas'!$B$2:$B$100,""""),
col,IFERROR(MATCH(campo,Referencia!$A$1:$AZ$1,0),0),
fila,IFERROR(MATCH(TO_TEXT(D3683),ARRAYFOR"&amp;"MULA(TO_TEXT(Referencia!$A$2:$A6238)),0),0),
IF(OR(campo="""",campo=""-""),""NO APLICA"",
IF(col=0,""REVISAR EQUIVALENCIA"",
IF(fila=0,""SKU NO ENCONTRADO"",
LET(
valor,INDEX(Referencia!$A$2:$AZ6238,fila,col),
IF(TRIM(TO_TEXT(valor))=TRIM(TO_TEXT(I3683)),"&amp;"
""OK"",
""NO COINCIDE. Valor verdadero: ""&amp;IF(valor="""",""[VACÍO]"",TO_TEXT(valor))
)
))))
),""ERROR EN FÓRMULA""))"),"OK")</f>
        <v>OK</v>
      </c>
    </row>
    <row r="3684">
      <c r="A3684" s="83" t="s">
        <v>4896</v>
      </c>
      <c r="B3684" s="83" t="s">
        <v>4897</v>
      </c>
      <c r="C3684" s="81" t="s">
        <v>4086</v>
      </c>
      <c r="D3684" s="83" t="s">
        <v>4360</v>
      </c>
      <c r="E3684" s="81" t="s">
        <v>1516</v>
      </c>
      <c r="F3684" s="81">
        <v>294.0</v>
      </c>
      <c r="G3684" s="81" t="s">
        <v>2</v>
      </c>
      <c r="H3684" s="81" t="s">
        <v>224</v>
      </c>
      <c r="I3684" s="81" t="s">
        <v>1291</v>
      </c>
      <c r="J3684" s="81" t="s">
        <v>224</v>
      </c>
      <c r="K3684" s="81" t="str">
        <f>IFERROR(__xludf.DUMMYFUNCTION("IF(OR(D3684="""",G3684=""""),"""",IFERROR(LET(
campo,XLOOKUP(TRIM(G3684),ARRAYFORMULA(TRIM('indice columnas'!$A$2:$A$100)),'indice columnas'!$B$2:$B$100,""""),
col,IFERROR(MATCH(campo,Referencia!$A$1:$AZ$1,0),0),
fila,IFERROR(MATCH(TO_TEXT(D3684),ARRAYFOR"&amp;"MULA(TO_TEXT(Referencia!$A$2:$A6238)),0),0),
IF(OR(campo="""",campo=""-""),""NO APLICA"",
IF(col=0,""REVISAR EQUIVALENCIA"",
IF(fila=0,""SKU NO ENCONTRADO"",
LET(
valor,INDEX(Referencia!$A$2:$AZ6238,fila,col),
IF(TRIM(TO_TEXT(valor))=TRIM(TO_TEXT(I3684)),"&amp;"
""OK"",
""NO COINCIDE. Valor verdadero: ""&amp;IF(valor="""",""[VACÍO]"",TO_TEXT(valor))
)
))))
),""ERROR EN FÓRMULA""))"),"OK")</f>
        <v>OK</v>
      </c>
    </row>
    <row r="3685">
      <c r="A3685" s="83" t="s">
        <v>4896</v>
      </c>
      <c r="B3685" s="83" t="s">
        <v>4897</v>
      </c>
      <c r="C3685" s="81" t="s">
        <v>4086</v>
      </c>
      <c r="D3685" s="83" t="s">
        <v>4361</v>
      </c>
      <c r="E3685" s="81" t="s">
        <v>1529</v>
      </c>
      <c r="F3685" s="81">
        <v>296.0</v>
      </c>
      <c r="G3685" s="81" t="s">
        <v>3</v>
      </c>
      <c r="H3685" s="81" t="s">
        <v>224</v>
      </c>
      <c r="I3685" s="81" t="s">
        <v>926</v>
      </c>
      <c r="J3685" s="81" t="s">
        <v>224</v>
      </c>
      <c r="K3685" s="81" t="str">
        <f>IFERROR(__xludf.DUMMYFUNCTION("IF(OR(D3685="""",G3685=""""),"""",IFERROR(LET(
campo,XLOOKUP(TRIM(G3685),ARRAYFORMULA(TRIM('indice columnas'!$A$2:$A$100)),'indice columnas'!$B$2:$B$100,""""),
col,IFERROR(MATCH(campo,Referencia!$A$1:$AZ$1,0),0),
fila,IFERROR(MATCH(TO_TEXT(D3685),ARRAYFOR"&amp;"MULA(TO_TEXT(Referencia!$A$2:$A6238)),0),0),
IF(OR(campo="""",campo=""-""),""NO APLICA"",
IF(col=0,""REVISAR EQUIVALENCIA"",
IF(fila=0,""SKU NO ENCONTRADO"",
LET(
valor,INDEX(Referencia!$A$2:$AZ6238,fila,col),
IF(TRIM(TO_TEXT(valor))=TRIM(TO_TEXT(I3685)),"&amp;"
""OK"",
""NO COINCIDE. Valor verdadero: ""&amp;IF(valor="""",""[VACÍO]"",TO_TEXT(valor))
)
))))
),""ERROR EN FÓRMULA""))"),"OK")</f>
        <v>OK</v>
      </c>
    </row>
    <row r="3686">
      <c r="A3686" s="83" t="s">
        <v>4896</v>
      </c>
      <c r="B3686" s="83" t="s">
        <v>4897</v>
      </c>
      <c r="C3686" s="81" t="s">
        <v>4086</v>
      </c>
      <c r="D3686" s="83" t="s">
        <v>4361</v>
      </c>
      <c r="E3686" s="81" t="s">
        <v>1529</v>
      </c>
      <c r="F3686" s="81">
        <v>296.0</v>
      </c>
      <c r="G3686" s="81" t="s">
        <v>2</v>
      </c>
      <c r="H3686" s="81" t="s">
        <v>224</v>
      </c>
      <c r="I3686" s="81" t="s">
        <v>1291</v>
      </c>
      <c r="J3686" s="81" t="s">
        <v>224</v>
      </c>
      <c r="K3686" s="81" t="str">
        <f>IFERROR(__xludf.DUMMYFUNCTION("IF(OR(D3686="""",G3686=""""),"""",IFERROR(LET(
campo,XLOOKUP(TRIM(G3686),ARRAYFORMULA(TRIM('indice columnas'!$A$2:$A$100)),'indice columnas'!$B$2:$B$100,""""),
col,IFERROR(MATCH(campo,Referencia!$A$1:$AZ$1,0),0),
fila,IFERROR(MATCH(TO_TEXT(D3686),ARRAYFOR"&amp;"MULA(TO_TEXT(Referencia!$A$2:$A6238)),0),0),
IF(OR(campo="""",campo=""-""),""NO APLICA"",
IF(col=0,""REVISAR EQUIVALENCIA"",
IF(fila=0,""SKU NO ENCONTRADO"",
LET(
valor,INDEX(Referencia!$A$2:$AZ6238,fila,col),
IF(TRIM(TO_TEXT(valor))=TRIM(TO_TEXT(I3686)),"&amp;"
""OK"",
""NO COINCIDE. Valor verdadero: ""&amp;IF(valor="""",""[VACÍO]"",TO_TEXT(valor))
)
))))
),""ERROR EN FÓRMULA""))"),"OK")</f>
        <v>OK</v>
      </c>
    </row>
    <row r="3687">
      <c r="A3687" s="83" t="s">
        <v>4896</v>
      </c>
      <c r="B3687" s="83" t="s">
        <v>4897</v>
      </c>
      <c r="C3687" s="81" t="s">
        <v>4086</v>
      </c>
      <c r="D3687" s="83" t="s">
        <v>4362</v>
      </c>
      <c r="E3687" s="81" t="s">
        <v>1530</v>
      </c>
      <c r="F3687" s="81">
        <v>297.0</v>
      </c>
      <c r="G3687" s="81" t="s">
        <v>3</v>
      </c>
      <c r="H3687" s="81" t="s">
        <v>224</v>
      </c>
      <c r="I3687" s="81" t="s">
        <v>926</v>
      </c>
      <c r="J3687" s="81" t="s">
        <v>224</v>
      </c>
      <c r="K3687" s="81" t="str">
        <f>IFERROR(__xludf.DUMMYFUNCTION("IF(OR(D3687="""",G3687=""""),"""",IFERROR(LET(
campo,XLOOKUP(TRIM(G3687),ARRAYFORMULA(TRIM('indice columnas'!$A$2:$A$100)),'indice columnas'!$B$2:$B$100,""""),
col,IFERROR(MATCH(campo,Referencia!$A$1:$AZ$1,0),0),
fila,IFERROR(MATCH(TO_TEXT(D3687),ARRAYFOR"&amp;"MULA(TO_TEXT(Referencia!$A$2:$A6238)),0),0),
IF(OR(campo="""",campo=""-""),""NO APLICA"",
IF(col=0,""REVISAR EQUIVALENCIA"",
IF(fila=0,""SKU NO ENCONTRADO"",
LET(
valor,INDEX(Referencia!$A$2:$AZ6238,fila,col),
IF(TRIM(TO_TEXT(valor))=TRIM(TO_TEXT(I3687)),"&amp;"
""OK"",
""NO COINCIDE. Valor verdadero: ""&amp;IF(valor="""",""[VACÍO]"",TO_TEXT(valor))
)
))))
),""ERROR EN FÓRMULA""))"),"OK")</f>
        <v>OK</v>
      </c>
    </row>
    <row r="3688">
      <c r="A3688" s="83" t="s">
        <v>4896</v>
      </c>
      <c r="B3688" s="83" t="s">
        <v>4897</v>
      </c>
      <c r="C3688" s="81" t="s">
        <v>4086</v>
      </c>
      <c r="D3688" s="83" t="s">
        <v>4362</v>
      </c>
      <c r="E3688" s="81" t="s">
        <v>1530</v>
      </c>
      <c r="F3688" s="81">
        <v>297.0</v>
      </c>
      <c r="G3688" s="81" t="s">
        <v>2</v>
      </c>
      <c r="H3688" s="81" t="s">
        <v>224</v>
      </c>
      <c r="I3688" s="81" t="s">
        <v>1291</v>
      </c>
      <c r="J3688" s="81" t="s">
        <v>224</v>
      </c>
      <c r="K3688" s="81" t="str">
        <f>IFERROR(__xludf.DUMMYFUNCTION("IF(OR(D3688="""",G3688=""""),"""",IFERROR(LET(
campo,XLOOKUP(TRIM(G3688),ARRAYFORMULA(TRIM('indice columnas'!$A$2:$A$100)),'indice columnas'!$B$2:$B$100,""""),
col,IFERROR(MATCH(campo,Referencia!$A$1:$AZ$1,0),0),
fila,IFERROR(MATCH(TO_TEXT(D3688),ARRAYFOR"&amp;"MULA(TO_TEXT(Referencia!$A$2:$A6238)),0),0),
IF(OR(campo="""",campo=""-""),""NO APLICA"",
IF(col=0,""REVISAR EQUIVALENCIA"",
IF(fila=0,""SKU NO ENCONTRADO"",
LET(
valor,INDEX(Referencia!$A$2:$AZ6238,fila,col),
IF(TRIM(TO_TEXT(valor))=TRIM(TO_TEXT(I3688)),"&amp;"
""OK"",
""NO COINCIDE. Valor verdadero: ""&amp;IF(valor="""",""[VACÍO]"",TO_TEXT(valor))
)
))))
),""ERROR EN FÓRMULA""))"),"OK")</f>
        <v>OK</v>
      </c>
    </row>
    <row r="3689">
      <c r="A3689" s="83" t="s">
        <v>4896</v>
      </c>
      <c r="B3689" s="83" t="s">
        <v>4897</v>
      </c>
      <c r="C3689" s="81" t="s">
        <v>4086</v>
      </c>
      <c r="D3689" s="83" t="s">
        <v>4363</v>
      </c>
      <c r="E3689" s="81" t="s">
        <v>1548</v>
      </c>
      <c r="F3689" s="81">
        <v>299.0</v>
      </c>
      <c r="G3689" s="81" t="s">
        <v>3</v>
      </c>
      <c r="H3689" s="81" t="s">
        <v>376</v>
      </c>
      <c r="I3689" s="81" t="s">
        <v>344</v>
      </c>
      <c r="J3689" s="81" t="s">
        <v>224</v>
      </c>
      <c r="K3689" s="81" t="str">
        <f>IFERROR(__xludf.DUMMYFUNCTION("IF(OR(D3689="""",G3689=""""),"""",IFERROR(LET(
campo,XLOOKUP(TRIM(G3689),ARRAYFORMULA(TRIM('indice columnas'!$A$2:$A$100)),'indice columnas'!$B$2:$B$100,""""),
col,IFERROR(MATCH(campo,Referencia!$A$1:$AZ$1,0),0),
fila,IFERROR(MATCH(TO_TEXT(D3689),ARRAYFOR"&amp;"MULA(TO_TEXT(Referencia!$A$2:$A6238)),0),0),
IF(OR(campo="""",campo=""-""),""NO APLICA"",
IF(col=0,""REVISAR EQUIVALENCIA"",
IF(fila=0,""SKU NO ENCONTRADO"",
LET(
valor,INDEX(Referencia!$A$2:$AZ6238,fila,col),
IF(TRIM(TO_TEXT(valor))=TRIM(TO_TEXT(I3689)),"&amp;"
""OK"",
""NO COINCIDE. Valor verdadero: ""&amp;IF(valor="""",""[VACÍO]"",TO_TEXT(valor))
)
))))
),""ERROR EN FÓRMULA""))"),"OK")</f>
        <v>OK</v>
      </c>
    </row>
    <row r="3690">
      <c r="A3690" s="83" t="s">
        <v>4896</v>
      </c>
      <c r="B3690" s="83" t="s">
        <v>4897</v>
      </c>
      <c r="C3690" s="81" t="s">
        <v>4086</v>
      </c>
      <c r="D3690" s="83" t="s">
        <v>4364</v>
      </c>
      <c r="E3690" s="81" t="s">
        <v>1551</v>
      </c>
      <c r="F3690" s="81">
        <v>300.0</v>
      </c>
      <c r="G3690" s="81" t="s">
        <v>3</v>
      </c>
      <c r="H3690" s="81" t="s">
        <v>224</v>
      </c>
      <c r="I3690" s="81" t="s">
        <v>344</v>
      </c>
      <c r="J3690" s="81" t="s">
        <v>224</v>
      </c>
      <c r="K3690" s="81" t="str">
        <f>IFERROR(__xludf.DUMMYFUNCTION("IF(OR(D3690="""",G3690=""""),"""",IFERROR(LET(
campo,XLOOKUP(TRIM(G3690),ARRAYFORMULA(TRIM('indice columnas'!$A$2:$A$100)),'indice columnas'!$B$2:$B$100,""""),
col,IFERROR(MATCH(campo,Referencia!$A$1:$AZ$1,0),0),
fila,IFERROR(MATCH(TO_TEXT(D3690),ARRAYFOR"&amp;"MULA(TO_TEXT(Referencia!$A$2:$A6238)),0),0),
IF(OR(campo="""",campo=""-""),""NO APLICA"",
IF(col=0,""REVISAR EQUIVALENCIA"",
IF(fila=0,""SKU NO ENCONTRADO"",
LET(
valor,INDEX(Referencia!$A$2:$AZ6238,fila,col),
IF(TRIM(TO_TEXT(valor))=TRIM(TO_TEXT(I3690)),"&amp;"
""OK"",
""NO COINCIDE. Valor verdadero: ""&amp;IF(valor="""",""[VACÍO]"",TO_TEXT(valor))
)
))))
),""ERROR EN FÓRMULA""))"),"OK")</f>
        <v>OK</v>
      </c>
    </row>
    <row r="3691">
      <c r="A3691" s="83" t="s">
        <v>4896</v>
      </c>
      <c r="B3691" s="83" t="s">
        <v>4897</v>
      </c>
      <c r="C3691" s="81" t="s">
        <v>4086</v>
      </c>
      <c r="D3691" s="83" t="s">
        <v>4364</v>
      </c>
      <c r="E3691" s="81" t="s">
        <v>1551</v>
      </c>
      <c r="F3691" s="81">
        <v>300.0</v>
      </c>
      <c r="G3691" s="81" t="s">
        <v>2</v>
      </c>
      <c r="H3691" s="81" t="s">
        <v>224</v>
      </c>
      <c r="I3691" s="81" t="s">
        <v>213</v>
      </c>
      <c r="J3691" s="81" t="s">
        <v>224</v>
      </c>
      <c r="K3691" s="81" t="str">
        <f>IFERROR(__xludf.DUMMYFUNCTION("IF(OR(D3691="""",G3691=""""),"""",IFERROR(LET(
campo,XLOOKUP(TRIM(G3691),ARRAYFORMULA(TRIM('indice columnas'!$A$2:$A$100)),'indice columnas'!$B$2:$B$100,""""),
col,IFERROR(MATCH(campo,Referencia!$A$1:$AZ$1,0),0),
fila,IFERROR(MATCH(TO_TEXT(D3691),ARRAYFOR"&amp;"MULA(TO_TEXT(Referencia!$A$2:$A6238)),0),0),
IF(OR(campo="""",campo=""-""),""NO APLICA"",
IF(col=0,""REVISAR EQUIVALENCIA"",
IF(fila=0,""SKU NO ENCONTRADO"",
LET(
valor,INDEX(Referencia!$A$2:$AZ6238,fila,col),
IF(TRIM(TO_TEXT(valor))=TRIM(TO_TEXT(I3691)),"&amp;"
""OK"",
""NO COINCIDE. Valor verdadero: ""&amp;IF(valor="""",""[VACÍO]"",TO_TEXT(valor))
)
))))
),""ERROR EN FÓRMULA""))"),"OK")</f>
        <v>OK</v>
      </c>
    </row>
    <row r="3692">
      <c r="A3692" s="83" t="s">
        <v>4896</v>
      </c>
      <c r="B3692" s="83" t="s">
        <v>4897</v>
      </c>
      <c r="C3692" s="81" t="s">
        <v>4086</v>
      </c>
      <c r="D3692" s="83" t="s">
        <v>4364</v>
      </c>
      <c r="E3692" s="81" t="s">
        <v>1551</v>
      </c>
      <c r="F3692" s="81">
        <v>300.0</v>
      </c>
      <c r="G3692" s="81" t="s">
        <v>1</v>
      </c>
      <c r="H3692" s="81" t="s">
        <v>224</v>
      </c>
      <c r="I3692" s="81" t="s">
        <v>49</v>
      </c>
      <c r="J3692" s="81" t="s">
        <v>224</v>
      </c>
      <c r="K3692" s="81" t="str">
        <f>IFERROR(__xludf.DUMMYFUNCTION("IF(OR(D3692="""",G3692=""""),"""",IFERROR(LET(
campo,XLOOKUP(TRIM(G3692),ARRAYFORMULA(TRIM('indice columnas'!$A$2:$A$100)),'indice columnas'!$B$2:$B$100,""""),
col,IFERROR(MATCH(campo,Referencia!$A$1:$AZ$1,0),0),
fila,IFERROR(MATCH(TO_TEXT(D3692),ARRAYFOR"&amp;"MULA(TO_TEXT(Referencia!$A$2:$A6238)),0),0),
IF(OR(campo="""",campo=""-""),""NO APLICA"",
IF(col=0,""REVISAR EQUIVALENCIA"",
IF(fila=0,""SKU NO ENCONTRADO"",
LET(
valor,INDEX(Referencia!$A$2:$AZ6238,fila,col),
IF(TRIM(TO_TEXT(valor))=TRIM(TO_TEXT(I3692)),"&amp;"
""OK"",
""NO COINCIDE. Valor verdadero: ""&amp;IF(valor="""",""[VACÍO]"",TO_TEXT(valor))
)
))))
),""ERROR EN FÓRMULA""))"),"OK")</f>
        <v>OK</v>
      </c>
    </row>
    <row r="3693">
      <c r="A3693" s="83" t="s">
        <v>4896</v>
      </c>
      <c r="B3693" s="83" t="s">
        <v>4897</v>
      </c>
      <c r="C3693" s="81" t="s">
        <v>4086</v>
      </c>
      <c r="D3693" s="83" t="s">
        <v>4365</v>
      </c>
      <c r="E3693" s="81" t="s">
        <v>1560</v>
      </c>
      <c r="F3693" s="81">
        <v>302.0</v>
      </c>
      <c r="G3693" s="81" t="s">
        <v>3</v>
      </c>
      <c r="H3693" s="81" t="s">
        <v>376</v>
      </c>
      <c r="I3693" s="81" t="s">
        <v>344</v>
      </c>
      <c r="J3693" s="81" t="s">
        <v>224</v>
      </c>
      <c r="K3693" s="81" t="str">
        <f>IFERROR(__xludf.DUMMYFUNCTION("IF(OR(D3693="""",G3693=""""),"""",IFERROR(LET(
campo,XLOOKUP(TRIM(G3693),ARRAYFORMULA(TRIM('indice columnas'!$A$2:$A$100)),'indice columnas'!$B$2:$B$100,""""),
col,IFERROR(MATCH(campo,Referencia!$A$1:$AZ$1,0),0),
fila,IFERROR(MATCH(TO_TEXT(D3693),ARRAYFOR"&amp;"MULA(TO_TEXT(Referencia!$A$2:$A6238)),0),0),
IF(OR(campo="""",campo=""-""),""NO APLICA"",
IF(col=0,""REVISAR EQUIVALENCIA"",
IF(fila=0,""SKU NO ENCONTRADO"",
LET(
valor,INDEX(Referencia!$A$2:$AZ6238,fila,col),
IF(TRIM(TO_TEXT(valor))=TRIM(TO_TEXT(I3693)),"&amp;"
""OK"",
""NO COINCIDE. Valor verdadero: ""&amp;IF(valor="""",""[VACÍO]"",TO_TEXT(valor))
)
))))
),""ERROR EN FÓRMULA""))"),"OK")</f>
        <v>OK</v>
      </c>
    </row>
    <row r="3694">
      <c r="A3694" s="83" t="s">
        <v>4896</v>
      </c>
      <c r="B3694" s="83" t="s">
        <v>4897</v>
      </c>
      <c r="C3694" s="81" t="s">
        <v>4086</v>
      </c>
      <c r="D3694" s="83" t="s">
        <v>4366</v>
      </c>
      <c r="E3694" s="81" t="s">
        <v>1562</v>
      </c>
      <c r="F3694" s="81">
        <v>303.0</v>
      </c>
      <c r="G3694" s="81" t="s">
        <v>3</v>
      </c>
      <c r="H3694" s="81" t="s">
        <v>224</v>
      </c>
      <c r="I3694" s="81" t="s">
        <v>344</v>
      </c>
      <c r="J3694" s="81" t="s">
        <v>224</v>
      </c>
      <c r="K3694" s="81" t="str">
        <f>IFERROR(__xludf.DUMMYFUNCTION("IF(OR(D3694="""",G3694=""""),"""",IFERROR(LET(
campo,XLOOKUP(TRIM(G3694),ARRAYFORMULA(TRIM('indice columnas'!$A$2:$A$100)),'indice columnas'!$B$2:$B$100,""""),
col,IFERROR(MATCH(campo,Referencia!$A$1:$AZ$1,0),0),
fila,IFERROR(MATCH(TO_TEXT(D3694),ARRAYFOR"&amp;"MULA(TO_TEXT(Referencia!$A$2:$A6238)),0),0),
IF(OR(campo="""",campo=""-""),""NO APLICA"",
IF(col=0,""REVISAR EQUIVALENCIA"",
IF(fila=0,""SKU NO ENCONTRADO"",
LET(
valor,INDEX(Referencia!$A$2:$AZ6238,fila,col),
IF(TRIM(TO_TEXT(valor))=TRIM(TO_TEXT(I3694)),"&amp;"
""OK"",
""NO COINCIDE. Valor verdadero: ""&amp;IF(valor="""",""[VACÍO]"",TO_TEXT(valor))
)
))))
),""ERROR EN FÓRMULA""))"),"OK")</f>
        <v>OK</v>
      </c>
    </row>
    <row r="3695">
      <c r="A3695" s="83" t="s">
        <v>4896</v>
      </c>
      <c r="B3695" s="83" t="s">
        <v>4897</v>
      </c>
      <c r="C3695" s="81" t="s">
        <v>4086</v>
      </c>
      <c r="D3695" s="83" t="s">
        <v>4366</v>
      </c>
      <c r="E3695" s="81" t="s">
        <v>1562</v>
      </c>
      <c r="F3695" s="81">
        <v>303.0</v>
      </c>
      <c r="G3695" s="81" t="s">
        <v>2</v>
      </c>
      <c r="H3695" s="81" t="s">
        <v>224</v>
      </c>
      <c r="I3695" s="81" t="s">
        <v>213</v>
      </c>
      <c r="J3695" s="81" t="s">
        <v>224</v>
      </c>
      <c r="K3695" s="81" t="str">
        <f>IFERROR(__xludf.DUMMYFUNCTION("IF(OR(D3695="""",G3695=""""),"""",IFERROR(LET(
campo,XLOOKUP(TRIM(G3695),ARRAYFORMULA(TRIM('indice columnas'!$A$2:$A$100)),'indice columnas'!$B$2:$B$100,""""),
col,IFERROR(MATCH(campo,Referencia!$A$1:$AZ$1,0),0),
fila,IFERROR(MATCH(TO_TEXT(D3695),ARRAYFOR"&amp;"MULA(TO_TEXT(Referencia!$A$2:$A6238)),0),0),
IF(OR(campo="""",campo=""-""),""NO APLICA"",
IF(col=0,""REVISAR EQUIVALENCIA"",
IF(fila=0,""SKU NO ENCONTRADO"",
LET(
valor,INDEX(Referencia!$A$2:$AZ6238,fila,col),
IF(TRIM(TO_TEXT(valor))=TRIM(TO_TEXT(I3695)),"&amp;"
""OK"",
""NO COINCIDE. Valor verdadero: ""&amp;IF(valor="""",""[VACÍO]"",TO_TEXT(valor))
)
))))
),""ERROR EN FÓRMULA""))"),"OK")</f>
        <v>OK</v>
      </c>
    </row>
    <row r="3696">
      <c r="A3696" s="83" t="s">
        <v>4896</v>
      </c>
      <c r="B3696" s="83" t="s">
        <v>4897</v>
      </c>
      <c r="C3696" s="81" t="s">
        <v>4086</v>
      </c>
      <c r="D3696" s="83" t="s">
        <v>4367</v>
      </c>
      <c r="E3696" s="81" t="s">
        <v>1564</v>
      </c>
      <c r="F3696" s="81">
        <v>304.0</v>
      </c>
      <c r="G3696" s="81" t="s">
        <v>3</v>
      </c>
      <c r="H3696" s="81" t="s">
        <v>224</v>
      </c>
      <c r="I3696" s="81" t="s">
        <v>344</v>
      </c>
      <c r="J3696" s="81" t="s">
        <v>224</v>
      </c>
      <c r="K3696" s="81" t="str">
        <f>IFERROR(__xludf.DUMMYFUNCTION("IF(OR(D3696="""",G3696=""""),"""",IFERROR(LET(
campo,XLOOKUP(TRIM(G3696),ARRAYFORMULA(TRIM('indice columnas'!$A$2:$A$100)),'indice columnas'!$B$2:$B$100,""""),
col,IFERROR(MATCH(campo,Referencia!$A$1:$AZ$1,0),0),
fila,IFERROR(MATCH(TO_TEXT(D3696),ARRAYFOR"&amp;"MULA(TO_TEXT(Referencia!$A$2:$A6238)),0),0),
IF(OR(campo="""",campo=""-""),""NO APLICA"",
IF(col=0,""REVISAR EQUIVALENCIA"",
IF(fila=0,""SKU NO ENCONTRADO"",
LET(
valor,INDEX(Referencia!$A$2:$AZ6238,fila,col),
IF(TRIM(TO_TEXT(valor))=TRIM(TO_TEXT(I3696)),"&amp;"
""OK"",
""NO COINCIDE. Valor verdadero: ""&amp;IF(valor="""",""[VACÍO]"",TO_TEXT(valor))
)
))))
),""ERROR EN FÓRMULA""))"),"OK")</f>
        <v>OK</v>
      </c>
    </row>
    <row r="3697">
      <c r="A3697" s="83" t="s">
        <v>4896</v>
      </c>
      <c r="B3697" s="83" t="s">
        <v>4897</v>
      </c>
      <c r="C3697" s="81" t="s">
        <v>4086</v>
      </c>
      <c r="D3697" s="83" t="s">
        <v>4367</v>
      </c>
      <c r="E3697" s="81" t="s">
        <v>1564</v>
      </c>
      <c r="F3697" s="81">
        <v>304.0</v>
      </c>
      <c r="G3697" s="81" t="s">
        <v>2</v>
      </c>
      <c r="H3697" s="81" t="s">
        <v>224</v>
      </c>
      <c r="I3697" s="81" t="s">
        <v>213</v>
      </c>
      <c r="J3697" s="81" t="s">
        <v>224</v>
      </c>
      <c r="K3697" s="81" t="str">
        <f>IFERROR(__xludf.DUMMYFUNCTION("IF(OR(D3697="""",G3697=""""),"""",IFERROR(LET(
campo,XLOOKUP(TRIM(G3697),ARRAYFORMULA(TRIM('indice columnas'!$A$2:$A$100)),'indice columnas'!$B$2:$B$100,""""),
col,IFERROR(MATCH(campo,Referencia!$A$1:$AZ$1,0),0),
fila,IFERROR(MATCH(TO_TEXT(D3697),ARRAYFOR"&amp;"MULA(TO_TEXT(Referencia!$A$2:$A6238)),0),0),
IF(OR(campo="""",campo=""-""),""NO APLICA"",
IF(col=0,""REVISAR EQUIVALENCIA"",
IF(fila=0,""SKU NO ENCONTRADO"",
LET(
valor,INDEX(Referencia!$A$2:$AZ6238,fila,col),
IF(TRIM(TO_TEXT(valor))=TRIM(TO_TEXT(I3697)),"&amp;"
""OK"",
""NO COINCIDE. Valor verdadero: ""&amp;IF(valor="""",""[VACÍO]"",TO_TEXT(valor))
)
))))
),""ERROR EN FÓRMULA""))"),"OK")</f>
        <v>OK</v>
      </c>
    </row>
    <row r="3698">
      <c r="A3698" s="83" t="s">
        <v>4896</v>
      </c>
      <c r="B3698" s="83" t="s">
        <v>4897</v>
      </c>
      <c r="C3698" s="81" t="s">
        <v>4086</v>
      </c>
      <c r="D3698" s="83" t="s">
        <v>4368</v>
      </c>
      <c r="E3698" s="81" t="s">
        <v>1570</v>
      </c>
      <c r="F3698" s="81">
        <v>306.0</v>
      </c>
      <c r="G3698" s="81" t="s">
        <v>3</v>
      </c>
      <c r="H3698" s="81" t="s">
        <v>376</v>
      </c>
      <c r="I3698" s="81" t="s">
        <v>344</v>
      </c>
      <c r="J3698" s="81" t="s">
        <v>224</v>
      </c>
      <c r="K3698" s="81" t="str">
        <f>IFERROR(__xludf.DUMMYFUNCTION("IF(OR(D3698="""",G3698=""""),"""",IFERROR(LET(
campo,XLOOKUP(TRIM(G3698),ARRAYFORMULA(TRIM('indice columnas'!$A$2:$A$100)),'indice columnas'!$B$2:$B$100,""""),
col,IFERROR(MATCH(campo,Referencia!$A$1:$AZ$1,0),0),
fila,IFERROR(MATCH(TO_TEXT(D3698),ARRAYFOR"&amp;"MULA(TO_TEXT(Referencia!$A$2:$A6238)),0),0),
IF(OR(campo="""",campo=""-""),""NO APLICA"",
IF(col=0,""REVISAR EQUIVALENCIA"",
IF(fila=0,""SKU NO ENCONTRADO"",
LET(
valor,INDEX(Referencia!$A$2:$AZ6238,fila,col),
IF(TRIM(TO_TEXT(valor))=TRIM(TO_TEXT(I3698)),"&amp;"
""OK"",
""NO COINCIDE. Valor verdadero: ""&amp;IF(valor="""",""[VACÍO]"",TO_TEXT(valor))
)
))))
),""ERROR EN FÓRMULA""))"),"OK")</f>
        <v>OK</v>
      </c>
    </row>
    <row r="3699">
      <c r="A3699" s="83" t="s">
        <v>4896</v>
      </c>
      <c r="B3699" s="83" t="s">
        <v>4897</v>
      </c>
      <c r="C3699" s="81" t="s">
        <v>4086</v>
      </c>
      <c r="D3699" s="83" t="s">
        <v>4369</v>
      </c>
      <c r="E3699" s="81" t="s">
        <v>1571</v>
      </c>
      <c r="F3699" s="81">
        <v>307.0</v>
      </c>
      <c r="G3699" s="81" t="s">
        <v>3</v>
      </c>
      <c r="H3699" s="81" t="s">
        <v>224</v>
      </c>
      <c r="I3699" s="81" t="s">
        <v>344</v>
      </c>
      <c r="J3699" s="81" t="s">
        <v>224</v>
      </c>
      <c r="K3699" s="81" t="str">
        <f>IFERROR(__xludf.DUMMYFUNCTION("IF(OR(D3699="""",G3699=""""),"""",IFERROR(LET(
campo,XLOOKUP(TRIM(G3699),ARRAYFORMULA(TRIM('indice columnas'!$A$2:$A$100)),'indice columnas'!$B$2:$B$100,""""),
col,IFERROR(MATCH(campo,Referencia!$A$1:$AZ$1,0),0),
fila,IFERROR(MATCH(TO_TEXT(D3699),ARRAYFOR"&amp;"MULA(TO_TEXT(Referencia!$A$2:$A6238)),0),0),
IF(OR(campo="""",campo=""-""),""NO APLICA"",
IF(col=0,""REVISAR EQUIVALENCIA"",
IF(fila=0,""SKU NO ENCONTRADO"",
LET(
valor,INDEX(Referencia!$A$2:$AZ6238,fila,col),
IF(TRIM(TO_TEXT(valor))=TRIM(TO_TEXT(I3699)),"&amp;"
""OK"",
""NO COINCIDE. Valor verdadero: ""&amp;IF(valor="""",""[VACÍO]"",TO_TEXT(valor))
)
))))
),""ERROR EN FÓRMULA""))"),"OK")</f>
        <v>OK</v>
      </c>
    </row>
    <row r="3700">
      <c r="A3700" s="83" t="s">
        <v>4896</v>
      </c>
      <c r="B3700" s="83" t="s">
        <v>4897</v>
      </c>
      <c r="C3700" s="81" t="s">
        <v>4086</v>
      </c>
      <c r="D3700" s="83" t="s">
        <v>4369</v>
      </c>
      <c r="E3700" s="81" t="s">
        <v>1571</v>
      </c>
      <c r="F3700" s="81">
        <v>307.0</v>
      </c>
      <c r="G3700" s="81" t="s">
        <v>2</v>
      </c>
      <c r="H3700" s="81" t="s">
        <v>224</v>
      </c>
      <c r="I3700" s="81" t="s">
        <v>213</v>
      </c>
      <c r="J3700" s="81" t="s">
        <v>224</v>
      </c>
      <c r="K3700" s="81" t="str">
        <f>IFERROR(__xludf.DUMMYFUNCTION("IF(OR(D3700="""",G3700=""""),"""",IFERROR(LET(
campo,XLOOKUP(TRIM(G3700),ARRAYFORMULA(TRIM('indice columnas'!$A$2:$A$100)),'indice columnas'!$B$2:$B$100,""""),
col,IFERROR(MATCH(campo,Referencia!$A$1:$AZ$1,0),0),
fila,IFERROR(MATCH(TO_TEXT(D3700),ARRAYFOR"&amp;"MULA(TO_TEXT(Referencia!$A$2:$A6238)),0),0),
IF(OR(campo="""",campo=""-""),""NO APLICA"",
IF(col=0,""REVISAR EQUIVALENCIA"",
IF(fila=0,""SKU NO ENCONTRADO"",
LET(
valor,INDEX(Referencia!$A$2:$AZ6238,fila,col),
IF(TRIM(TO_TEXT(valor))=TRIM(TO_TEXT(I3700)),"&amp;"
""OK"",
""NO COINCIDE. Valor verdadero: ""&amp;IF(valor="""",""[VACÍO]"",TO_TEXT(valor))
)
))))
),""ERROR EN FÓRMULA""))"),"OK")</f>
        <v>OK</v>
      </c>
    </row>
    <row r="3701">
      <c r="A3701" s="83" t="s">
        <v>4896</v>
      </c>
      <c r="B3701" s="83" t="s">
        <v>4897</v>
      </c>
      <c r="C3701" s="81" t="s">
        <v>4086</v>
      </c>
      <c r="D3701" s="83" t="s">
        <v>4370</v>
      </c>
      <c r="E3701" s="81" t="s">
        <v>1573</v>
      </c>
      <c r="F3701" s="81">
        <v>308.0</v>
      </c>
      <c r="G3701" s="81" t="s">
        <v>3</v>
      </c>
      <c r="H3701" s="81" t="s">
        <v>224</v>
      </c>
      <c r="I3701" s="81" t="s">
        <v>344</v>
      </c>
      <c r="J3701" s="81" t="s">
        <v>224</v>
      </c>
      <c r="K3701" s="81" t="str">
        <f>IFERROR(__xludf.DUMMYFUNCTION("IF(OR(D3701="""",G3701=""""),"""",IFERROR(LET(
campo,XLOOKUP(TRIM(G3701),ARRAYFORMULA(TRIM('indice columnas'!$A$2:$A$100)),'indice columnas'!$B$2:$B$100,""""),
col,IFERROR(MATCH(campo,Referencia!$A$1:$AZ$1,0),0),
fila,IFERROR(MATCH(TO_TEXT(D3701),ARRAYFOR"&amp;"MULA(TO_TEXT(Referencia!$A$2:$A6238)),0),0),
IF(OR(campo="""",campo=""-""),""NO APLICA"",
IF(col=0,""REVISAR EQUIVALENCIA"",
IF(fila=0,""SKU NO ENCONTRADO"",
LET(
valor,INDEX(Referencia!$A$2:$AZ6238,fila,col),
IF(TRIM(TO_TEXT(valor))=TRIM(TO_TEXT(I3701)),"&amp;"
""OK"",
""NO COINCIDE. Valor verdadero: ""&amp;IF(valor="""",""[VACÍO]"",TO_TEXT(valor))
)
))))
),""ERROR EN FÓRMULA""))"),"OK")</f>
        <v>OK</v>
      </c>
    </row>
    <row r="3702">
      <c r="A3702" s="83" t="s">
        <v>4896</v>
      </c>
      <c r="B3702" s="83" t="s">
        <v>4897</v>
      </c>
      <c r="C3702" s="81" t="s">
        <v>4086</v>
      </c>
      <c r="D3702" s="83" t="s">
        <v>4370</v>
      </c>
      <c r="E3702" s="81" t="s">
        <v>1573</v>
      </c>
      <c r="F3702" s="81">
        <v>308.0</v>
      </c>
      <c r="G3702" s="81" t="s">
        <v>2</v>
      </c>
      <c r="H3702" s="81" t="s">
        <v>224</v>
      </c>
      <c r="I3702" s="81" t="s">
        <v>213</v>
      </c>
      <c r="J3702" s="81" t="s">
        <v>224</v>
      </c>
      <c r="K3702" s="81" t="str">
        <f>IFERROR(__xludf.DUMMYFUNCTION("IF(OR(D3702="""",G3702=""""),"""",IFERROR(LET(
campo,XLOOKUP(TRIM(G3702),ARRAYFORMULA(TRIM('indice columnas'!$A$2:$A$100)),'indice columnas'!$B$2:$B$100,""""),
col,IFERROR(MATCH(campo,Referencia!$A$1:$AZ$1,0),0),
fila,IFERROR(MATCH(TO_TEXT(D3702),ARRAYFOR"&amp;"MULA(TO_TEXT(Referencia!$A$2:$A6238)),0),0),
IF(OR(campo="""",campo=""-""),""NO APLICA"",
IF(col=0,""REVISAR EQUIVALENCIA"",
IF(fila=0,""SKU NO ENCONTRADO"",
LET(
valor,INDEX(Referencia!$A$2:$AZ6238,fila,col),
IF(TRIM(TO_TEXT(valor))=TRIM(TO_TEXT(I3702)),"&amp;"
""OK"",
""NO COINCIDE. Valor verdadero: ""&amp;IF(valor="""",""[VACÍO]"",TO_TEXT(valor))
)
))))
),""ERROR EN FÓRMULA""))"),"OK")</f>
        <v>OK</v>
      </c>
    </row>
    <row r="3703">
      <c r="A3703" s="83" t="s">
        <v>4896</v>
      </c>
      <c r="B3703" s="83" t="s">
        <v>4897</v>
      </c>
      <c r="C3703" s="81" t="s">
        <v>4086</v>
      </c>
      <c r="D3703" s="83" t="s">
        <v>4371</v>
      </c>
      <c r="E3703" s="81" t="s">
        <v>1575</v>
      </c>
      <c r="F3703" s="81">
        <v>309.0</v>
      </c>
      <c r="G3703" s="81" t="s">
        <v>3</v>
      </c>
      <c r="H3703" s="81" t="s">
        <v>224</v>
      </c>
      <c r="I3703" s="81" t="s">
        <v>344</v>
      </c>
      <c r="J3703" s="81" t="s">
        <v>224</v>
      </c>
      <c r="K3703" s="81" t="str">
        <f>IFERROR(__xludf.DUMMYFUNCTION("IF(OR(D3703="""",G3703=""""),"""",IFERROR(LET(
campo,XLOOKUP(TRIM(G3703),ARRAYFORMULA(TRIM('indice columnas'!$A$2:$A$100)),'indice columnas'!$B$2:$B$100,""""),
col,IFERROR(MATCH(campo,Referencia!$A$1:$AZ$1,0),0),
fila,IFERROR(MATCH(TO_TEXT(D3703),ARRAYFOR"&amp;"MULA(TO_TEXT(Referencia!$A$2:$A6238)),0),0),
IF(OR(campo="""",campo=""-""),""NO APLICA"",
IF(col=0,""REVISAR EQUIVALENCIA"",
IF(fila=0,""SKU NO ENCONTRADO"",
LET(
valor,INDEX(Referencia!$A$2:$AZ6238,fila,col),
IF(TRIM(TO_TEXT(valor))=TRIM(TO_TEXT(I3703)),"&amp;"
""OK"",
""NO COINCIDE. Valor verdadero: ""&amp;IF(valor="""",""[VACÍO]"",TO_TEXT(valor))
)
))))
),""ERROR EN FÓRMULA""))"),"OK")</f>
        <v>OK</v>
      </c>
    </row>
    <row r="3704">
      <c r="A3704" s="83" t="s">
        <v>4896</v>
      </c>
      <c r="B3704" s="83" t="s">
        <v>4897</v>
      </c>
      <c r="C3704" s="81" t="s">
        <v>4086</v>
      </c>
      <c r="D3704" s="83" t="s">
        <v>4371</v>
      </c>
      <c r="E3704" s="81" t="s">
        <v>1575</v>
      </c>
      <c r="F3704" s="81">
        <v>309.0</v>
      </c>
      <c r="G3704" s="81" t="s">
        <v>2</v>
      </c>
      <c r="H3704" s="81" t="s">
        <v>224</v>
      </c>
      <c r="I3704" s="81" t="s">
        <v>213</v>
      </c>
      <c r="J3704" s="81" t="s">
        <v>224</v>
      </c>
      <c r="K3704" s="81" t="str">
        <f>IFERROR(__xludf.DUMMYFUNCTION("IF(OR(D3704="""",G3704=""""),"""",IFERROR(LET(
campo,XLOOKUP(TRIM(G3704),ARRAYFORMULA(TRIM('indice columnas'!$A$2:$A$100)),'indice columnas'!$B$2:$B$100,""""),
col,IFERROR(MATCH(campo,Referencia!$A$1:$AZ$1,0),0),
fila,IFERROR(MATCH(TO_TEXT(D3704),ARRAYFOR"&amp;"MULA(TO_TEXT(Referencia!$A$2:$A6238)),0),0),
IF(OR(campo="""",campo=""-""),""NO APLICA"",
IF(col=0,""REVISAR EQUIVALENCIA"",
IF(fila=0,""SKU NO ENCONTRADO"",
LET(
valor,INDEX(Referencia!$A$2:$AZ6238,fila,col),
IF(TRIM(TO_TEXT(valor))=TRIM(TO_TEXT(I3704)),"&amp;"
""OK"",
""NO COINCIDE. Valor verdadero: ""&amp;IF(valor="""",""[VACÍO]"",TO_TEXT(valor))
)
))))
),""ERROR EN FÓRMULA""))"),"OK")</f>
        <v>OK</v>
      </c>
    </row>
    <row r="3705">
      <c r="A3705" s="83" t="s">
        <v>4896</v>
      </c>
      <c r="B3705" s="83" t="s">
        <v>4897</v>
      </c>
      <c r="C3705" s="81" t="s">
        <v>4086</v>
      </c>
      <c r="D3705" s="83" t="s">
        <v>4374</v>
      </c>
      <c r="E3705" s="81" t="s">
        <v>1583</v>
      </c>
      <c r="F3705" s="81">
        <v>312.0</v>
      </c>
      <c r="G3705" s="81" t="s">
        <v>3</v>
      </c>
      <c r="H3705" s="81" t="s">
        <v>224</v>
      </c>
      <c r="I3705" s="81" t="s">
        <v>920</v>
      </c>
      <c r="J3705" s="81" t="s">
        <v>224</v>
      </c>
      <c r="K3705" s="81" t="str">
        <f>IFERROR(__xludf.DUMMYFUNCTION("IF(OR(D3705="""",G3705=""""),"""",IFERROR(LET(
campo,XLOOKUP(TRIM(G3705),ARRAYFORMULA(TRIM('indice columnas'!$A$2:$A$100)),'indice columnas'!$B$2:$B$100,""""),
col,IFERROR(MATCH(campo,Referencia!$A$1:$AZ$1,0),0),
fila,IFERROR(MATCH(TO_TEXT(D3705),ARRAYFOR"&amp;"MULA(TO_TEXT(Referencia!$A$2:$A6238)),0),0),
IF(OR(campo="""",campo=""-""),""NO APLICA"",
IF(col=0,""REVISAR EQUIVALENCIA"",
IF(fila=0,""SKU NO ENCONTRADO"",
LET(
valor,INDEX(Referencia!$A$2:$AZ6238,fila,col),
IF(TRIM(TO_TEXT(valor))=TRIM(TO_TEXT(I3705)),"&amp;"
""OK"",
""NO COINCIDE. Valor verdadero: ""&amp;IF(valor="""",""[VACÍO]"",TO_TEXT(valor))
)
))))
),""ERROR EN FÓRMULA""))"),"OK")</f>
        <v>OK</v>
      </c>
    </row>
    <row r="3706">
      <c r="A3706" s="83" t="s">
        <v>4896</v>
      </c>
      <c r="B3706" s="83" t="s">
        <v>4897</v>
      </c>
      <c r="C3706" s="81" t="s">
        <v>4086</v>
      </c>
      <c r="D3706" s="83" t="s">
        <v>4374</v>
      </c>
      <c r="E3706" s="81" t="s">
        <v>1583</v>
      </c>
      <c r="F3706" s="81">
        <v>312.0</v>
      </c>
      <c r="G3706" s="81" t="s">
        <v>2</v>
      </c>
      <c r="H3706" s="81" t="s">
        <v>224</v>
      </c>
      <c r="I3706" s="81" t="s">
        <v>1291</v>
      </c>
      <c r="J3706" s="81" t="s">
        <v>224</v>
      </c>
      <c r="K3706" s="81" t="str">
        <f>IFERROR(__xludf.DUMMYFUNCTION("IF(OR(D3706="""",G3706=""""),"""",IFERROR(LET(
campo,XLOOKUP(TRIM(G3706),ARRAYFORMULA(TRIM('indice columnas'!$A$2:$A$100)),'indice columnas'!$B$2:$B$100,""""),
col,IFERROR(MATCH(campo,Referencia!$A$1:$AZ$1,0),0),
fila,IFERROR(MATCH(TO_TEXT(D3706),ARRAYFOR"&amp;"MULA(TO_TEXT(Referencia!$A$2:$A6238)),0),0),
IF(OR(campo="""",campo=""-""),""NO APLICA"",
IF(col=0,""REVISAR EQUIVALENCIA"",
IF(fila=0,""SKU NO ENCONTRADO"",
LET(
valor,INDEX(Referencia!$A$2:$AZ6238,fila,col),
IF(TRIM(TO_TEXT(valor))=TRIM(TO_TEXT(I3706)),"&amp;"
""OK"",
""NO COINCIDE. Valor verdadero: ""&amp;IF(valor="""",""[VACÍO]"",TO_TEXT(valor))
)
))))
),""ERROR EN FÓRMULA""))"),"OK")</f>
        <v>OK</v>
      </c>
    </row>
    <row r="3707">
      <c r="A3707" s="83" t="s">
        <v>4896</v>
      </c>
      <c r="B3707" s="83" t="s">
        <v>4897</v>
      </c>
      <c r="C3707" s="81" t="s">
        <v>4086</v>
      </c>
      <c r="D3707" s="83" t="s">
        <v>4376</v>
      </c>
      <c r="E3707" s="81" t="s">
        <v>1591</v>
      </c>
      <c r="F3707" s="81">
        <v>315.0</v>
      </c>
      <c r="G3707" s="81" t="s">
        <v>3</v>
      </c>
      <c r="H3707" s="81" t="s">
        <v>224</v>
      </c>
      <c r="I3707" s="81" t="s">
        <v>920</v>
      </c>
      <c r="J3707" s="81" t="s">
        <v>224</v>
      </c>
      <c r="K3707" s="81" t="str">
        <f>IFERROR(__xludf.DUMMYFUNCTION("IF(OR(D3707="""",G3707=""""),"""",IFERROR(LET(
campo,XLOOKUP(TRIM(G3707),ARRAYFORMULA(TRIM('indice columnas'!$A$2:$A$100)),'indice columnas'!$B$2:$B$100,""""),
col,IFERROR(MATCH(campo,Referencia!$A$1:$AZ$1,0),0),
fila,IFERROR(MATCH(TO_TEXT(D3707),ARRAYFOR"&amp;"MULA(TO_TEXT(Referencia!$A$2:$A6238)),0),0),
IF(OR(campo="""",campo=""-""),""NO APLICA"",
IF(col=0,""REVISAR EQUIVALENCIA"",
IF(fila=0,""SKU NO ENCONTRADO"",
LET(
valor,INDEX(Referencia!$A$2:$AZ6238,fila,col),
IF(TRIM(TO_TEXT(valor))=TRIM(TO_TEXT(I3707)),"&amp;"
""OK"",
""NO COINCIDE. Valor verdadero: ""&amp;IF(valor="""",""[VACÍO]"",TO_TEXT(valor))
)
))))
),""ERROR EN FÓRMULA""))"),"OK")</f>
        <v>OK</v>
      </c>
    </row>
    <row r="3708">
      <c r="A3708" s="83" t="s">
        <v>4896</v>
      </c>
      <c r="B3708" s="83" t="s">
        <v>4897</v>
      </c>
      <c r="C3708" s="81" t="s">
        <v>4086</v>
      </c>
      <c r="D3708" s="83" t="s">
        <v>4376</v>
      </c>
      <c r="E3708" s="81" t="s">
        <v>1591</v>
      </c>
      <c r="F3708" s="81">
        <v>315.0</v>
      </c>
      <c r="G3708" s="81" t="s">
        <v>2</v>
      </c>
      <c r="H3708" s="81" t="s">
        <v>224</v>
      </c>
      <c r="I3708" s="81" t="s">
        <v>919</v>
      </c>
      <c r="J3708" s="81" t="s">
        <v>224</v>
      </c>
      <c r="K3708" s="81" t="str">
        <f>IFERROR(__xludf.DUMMYFUNCTION("IF(OR(D3708="""",G3708=""""),"""",IFERROR(LET(
campo,XLOOKUP(TRIM(G3708),ARRAYFORMULA(TRIM('indice columnas'!$A$2:$A$100)),'indice columnas'!$B$2:$B$100,""""),
col,IFERROR(MATCH(campo,Referencia!$A$1:$AZ$1,0),0),
fila,IFERROR(MATCH(TO_TEXT(D3708),ARRAYFOR"&amp;"MULA(TO_TEXT(Referencia!$A$2:$A6238)),0),0),
IF(OR(campo="""",campo=""-""),""NO APLICA"",
IF(col=0,""REVISAR EQUIVALENCIA"",
IF(fila=0,""SKU NO ENCONTRADO"",
LET(
valor,INDEX(Referencia!$A$2:$AZ6238,fila,col),
IF(TRIM(TO_TEXT(valor))=TRIM(TO_TEXT(I3708)),"&amp;"
""OK"",
""NO COINCIDE. Valor verdadero: ""&amp;IF(valor="""",""[VACÍO]"",TO_TEXT(valor))
)
))))
),""ERROR EN FÓRMULA""))"),"OK")</f>
        <v>OK</v>
      </c>
    </row>
    <row r="3709">
      <c r="A3709" s="83" t="s">
        <v>4896</v>
      </c>
      <c r="B3709" s="83" t="s">
        <v>4897</v>
      </c>
      <c r="C3709" s="81" t="s">
        <v>4086</v>
      </c>
      <c r="D3709" s="83" t="s">
        <v>4376</v>
      </c>
      <c r="E3709" s="81" t="s">
        <v>1591</v>
      </c>
      <c r="F3709" s="81">
        <v>315.0</v>
      </c>
      <c r="G3709" s="81" t="s">
        <v>1</v>
      </c>
      <c r="H3709" s="81" t="s">
        <v>224</v>
      </c>
      <c r="I3709" s="81" t="s">
        <v>49</v>
      </c>
      <c r="J3709" s="81" t="s">
        <v>224</v>
      </c>
      <c r="K3709" s="81" t="str">
        <f>IFERROR(__xludf.DUMMYFUNCTION("IF(OR(D3709="""",G3709=""""),"""",IFERROR(LET(
campo,XLOOKUP(TRIM(G3709),ARRAYFORMULA(TRIM('indice columnas'!$A$2:$A$100)),'indice columnas'!$B$2:$B$100,""""),
col,IFERROR(MATCH(campo,Referencia!$A$1:$AZ$1,0),0),
fila,IFERROR(MATCH(TO_TEXT(D3709),ARRAYFOR"&amp;"MULA(TO_TEXT(Referencia!$A$2:$A6238)),0),0),
IF(OR(campo="""",campo=""-""),""NO APLICA"",
IF(col=0,""REVISAR EQUIVALENCIA"",
IF(fila=0,""SKU NO ENCONTRADO"",
LET(
valor,INDEX(Referencia!$A$2:$AZ6238,fila,col),
IF(TRIM(TO_TEXT(valor))=TRIM(TO_TEXT(I3709)),"&amp;"
""OK"",
""NO COINCIDE. Valor verdadero: ""&amp;IF(valor="""",""[VACÍO]"",TO_TEXT(valor))
)
))))
),""ERROR EN FÓRMULA""))"),"OK")</f>
        <v>OK</v>
      </c>
    </row>
    <row r="3710">
      <c r="A3710" s="83" t="s">
        <v>4896</v>
      </c>
      <c r="B3710" s="83" t="s">
        <v>4897</v>
      </c>
      <c r="C3710" s="81" t="s">
        <v>4086</v>
      </c>
      <c r="D3710" s="83" t="s">
        <v>4377</v>
      </c>
      <c r="E3710" s="81" t="s">
        <v>1594</v>
      </c>
      <c r="F3710" s="81">
        <v>316.0</v>
      </c>
      <c r="G3710" s="81" t="s">
        <v>2</v>
      </c>
      <c r="H3710" s="81" t="s">
        <v>1827</v>
      </c>
      <c r="I3710" s="81" t="s">
        <v>332</v>
      </c>
      <c r="J3710" s="81" t="s">
        <v>224</v>
      </c>
      <c r="K3710" s="81" t="str">
        <f>IFERROR(__xludf.DUMMYFUNCTION("IF(OR(D3710="""",G3710=""""),"""",IFERROR(LET(
campo,XLOOKUP(TRIM(G3710),ARRAYFORMULA(TRIM('indice columnas'!$A$2:$A$100)),'indice columnas'!$B$2:$B$100,""""),
col,IFERROR(MATCH(campo,Referencia!$A$1:$AZ$1,0),0),
fila,IFERROR(MATCH(TO_TEXT(D3710),ARRAYFOR"&amp;"MULA(TO_TEXT(Referencia!$A$2:$A6238)),0),0),
IF(OR(campo="""",campo=""-""),""NO APLICA"",
IF(col=0,""REVISAR EQUIVALENCIA"",
IF(fila=0,""SKU NO ENCONTRADO"",
LET(
valor,INDEX(Referencia!$A$2:$AZ6238,fila,col),
IF(TRIM(TO_TEXT(valor))=TRIM(TO_TEXT(I3710)),"&amp;"
""OK"",
""NO COINCIDE. Valor verdadero: ""&amp;IF(valor="""",""[VACÍO]"",TO_TEXT(valor))
)
))))
),""ERROR EN FÓRMULA""))"),"OK")</f>
        <v>OK</v>
      </c>
    </row>
    <row r="3711">
      <c r="A3711" s="83" t="s">
        <v>4896</v>
      </c>
      <c r="B3711" s="83" t="s">
        <v>4897</v>
      </c>
      <c r="C3711" s="81" t="s">
        <v>4086</v>
      </c>
      <c r="D3711" s="83" t="s">
        <v>4378</v>
      </c>
      <c r="E3711" s="81" t="s">
        <v>1616</v>
      </c>
      <c r="F3711" s="81">
        <v>318.0</v>
      </c>
      <c r="G3711" s="81" t="s">
        <v>3</v>
      </c>
      <c r="H3711" s="81" t="s">
        <v>224</v>
      </c>
      <c r="I3711" s="81" t="s">
        <v>920</v>
      </c>
      <c r="J3711" s="81" t="s">
        <v>224</v>
      </c>
      <c r="K3711" s="81" t="str">
        <f>IFERROR(__xludf.DUMMYFUNCTION("IF(OR(D3711="""",G3711=""""),"""",IFERROR(LET(
campo,XLOOKUP(TRIM(G3711),ARRAYFORMULA(TRIM('indice columnas'!$A$2:$A$100)),'indice columnas'!$B$2:$B$100,""""),
col,IFERROR(MATCH(campo,Referencia!$A$1:$AZ$1,0),0),
fila,IFERROR(MATCH(TO_TEXT(D3711),ARRAYFOR"&amp;"MULA(TO_TEXT(Referencia!$A$2:$A6238)),0),0),
IF(OR(campo="""",campo=""-""),""NO APLICA"",
IF(col=0,""REVISAR EQUIVALENCIA"",
IF(fila=0,""SKU NO ENCONTRADO"",
LET(
valor,INDEX(Referencia!$A$2:$AZ6238,fila,col),
IF(TRIM(TO_TEXT(valor))=TRIM(TO_TEXT(I3711)),"&amp;"
""OK"",
""NO COINCIDE. Valor verdadero: ""&amp;IF(valor="""",""[VACÍO]"",TO_TEXT(valor))
)
))))
),""ERROR EN FÓRMULA""))"),"OK")</f>
        <v>OK</v>
      </c>
    </row>
    <row r="3712">
      <c r="A3712" s="83" t="s">
        <v>4896</v>
      </c>
      <c r="B3712" s="83" t="s">
        <v>4897</v>
      </c>
      <c r="C3712" s="81" t="s">
        <v>4086</v>
      </c>
      <c r="D3712" s="83" t="s">
        <v>4378</v>
      </c>
      <c r="E3712" s="81" t="s">
        <v>1616</v>
      </c>
      <c r="F3712" s="81">
        <v>318.0</v>
      </c>
      <c r="G3712" s="81" t="s">
        <v>2</v>
      </c>
      <c r="H3712" s="81" t="s">
        <v>224</v>
      </c>
      <c r="I3712" s="81" t="s">
        <v>1291</v>
      </c>
      <c r="J3712" s="81" t="s">
        <v>224</v>
      </c>
      <c r="K3712" s="81" t="str">
        <f>IFERROR(__xludf.DUMMYFUNCTION("IF(OR(D3712="""",G3712=""""),"""",IFERROR(LET(
campo,XLOOKUP(TRIM(G3712),ARRAYFORMULA(TRIM('indice columnas'!$A$2:$A$100)),'indice columnas'!$B$2:$B$100,""""),
col,IFERROR(MATCH(campo,Referencia!$A$1:$AZ$1,0),0),
fila,IFERROR(MATCH(TO_TEXT(D3712),ARRAYFOR"&amp;"MULA(TO_TEXT(Referencia!$A$2:$A6238)),0),0),
IF(OR(campo="""",campo=""-""),""NO APLICA"",
IF(col=0,""REVISAR EQUIVALENCIA"",
IF(fila=0,""SKU NO ENCONTRADO"",
LET(
valor,INDEX(Referencia!$A$2:$AZ6238,fila,col),
IF(TRIM(TO_TEXT(valor))=TRIM(TO_TEXT(I3712)),"&amp;"
""OK"",
""NO COINCIDE. Valor verdadero: ""&amp;IF(valor="""",""[VACÍO]"",TO_TEXT(valor))
)
))))
),""ERROR EN FÓRMULA""))"),"OK")</f>
        <v>OK</v>
      </c>
    </row>
    <row r="3713">
      <c r="A3713" s="83" t="s">
        <v>4896</v>
      </c>
      <c r="B3713" s="83" t="s">
        <v>4897</v>
      </c>
      <c r="C3713" s="81" t="s">
        <v>4086</v>
      </c>
      <c r="D3713" s="83" t="s">
        <v>4380</v>
      </c>
      <c r="E3713" s="81" t="s">
        <v>1617</v>
      </c>
      <c r="F3713" s="81">
        <v>319.0</v>
      </c>
      <c r="G3713" s="81" t="s">
        <v>3</v>
      </c>
      <c r="H3713" s="81" t="s">
        <v>224</v>
      </c>
      <c r="I3713" s="81" t="s">
        <v>920</v>
      </c>
      <c r="J3713" s="81" t="s">
        <v>224</v>
      </c>
      <c r="K3713" s="81" t="str">
        <f>IFERROR(__xludf.DUMMYFUNCTION("IF(OR(D3713="""",G3713=""""),"""",IFERROR(LET(
campo,XLOOKUP(TRIM(G3713),ARRAYFORMULA(TRIM('indice columnas'!$A$2:$A$100)),'indice columnas'!$B$2:$B$100,""""),
col,IFERROR(MATCH(campo,Referencia!$A$1:$AZ$1,0),0),
fila,IFERROR(MATCH(TO_TEXT(D3713),ARRAYFOR"&amp;"MULA(TO_TEXT(Referencia!$A$2:$A6238)),0),0),
IF(OR(campo="""",campo=""-""),""NO APLICA"",
IF(col=0,""REVISAR EQUIVALENCIA"",
IF(fila=0,""SKU NO ENCONTRADO"",
LET(
valor,INDEX(Referencia!$A$2:$AZ6238,fila,col),
IF(TRIM(TO_TEXT(valor))=TRIM(TO_TEXT(I3713)),"&amp;"
""OK"",
""NO COINCIDE. Valor verdadero: ""&amp;IF(valor="""",""[VACÍO]"",TO_TEXT(valor))
)
))))
),""ERROR EN FÓRMULA""))"),"OK")</f>
        <v>OK</v>
      </c>
    </row>
    <row r="3714">
      <c r="A3714" s="83" t="s">
        <v>4896</v>
      </c>
      <c r="B3714" s="83" t="s">
        <v>4897</v>
      </c>
      <c r="C3714" s="81" t="s">
        <v>4086</v>
      </c>
      <c r="D3714" s="83" t="s">
        <v>4380</v>
      </c>
      <c r="E3714" s="81" t="s">
        <v>1617</v>
      </c>
      <c r="F3714" s="81">
        <v>319.0</v>
      </c>
      <c r="G3714" s="81" t="s">
        <v>2</v>
      </c>
      <c r="H3714" s="81" t="s">
        <v>224</v>
      </c>
      <c r="I3714" s="81" t="s">
        <v>1291</v>
      </c>
      <c r="J3714" s="81" t="s">
        <v>224</v>
      </c>
      <c r="K3714" s="81" t="str">
        <f>IFERROR(__xludf.DUMMYFUNCTION("IF(OR(D3714="""",G3714=""""),"""",IFERROR(LET(
campo,XLOOKUP(TRIM(G3714),ARRAYFORMULA(TRIM('indice columnas'!$A$2:$A$100)),'indice columnas'!$B$2:$B$100,""""),
col,IFERROR(MATCH(campo,Referencia!$A$1:$AZ$1,0),0),
fila,IFERROR(MATCH(TO_TEXT(D3714),ARRAYFOR"&amp;"MULA(TO_TEXT(Referencia!$A$2:$A6238)),0),0),
IF(OR(campo="""",campo=""-""),""NO APLICA"",
IF(col=0,""REVISAR EQUIVALENCIA"",
IF(fila=0,""SKU NO ENCONTRADO"",
LET(
valor,INDEX(Referencia!$A$2:$AZ6238,fila,col),
IF(TRIM(TO_TEXT(valor))=TRIM(TO_TEXT(I3714)),"&amp;"
""OK"",
""NO COINCIDE. Valor verdadero: ""&amp;IF(valor="""",""[VACÍO]"",TO_TEXT(valor))
)
))))
),""ERROR EN FÓRMULA""))"),"OK")</f>
        <v>OK</v>
      </c>
    </row>
    <row r="3715">
      <c r="A3715" s="83" t="s">
        <v>4896</v>
      </c>
      <c r="B3715" s="83" t="s">
        <v>4897</v>
      </c>
      <c r="C3715" s="81" t="s">
        <v>4086</v>
      </c>
      <c r="D3715" s="83" t="s">
        <v>4383</v>
      </c>
      <c r="E3715" s="81" t="s">
        <v>1645</v>
      </c>
      <c r="F3715" s="81">
        <v>323.0</v>
      </c>
      <c r="G3715" s="81" t="s">
        <v>3</v>
      </c>
      <c r="H3715" s="81" t="s">
        <v>376</v>
      </c>
      <c r="I3715" s="81" t="s">
        <v>344</v>
      </c>
      <c r="J3715" s="81" t="s">
        <v>224</v>
      </c>
      <c r="K3715" s="81" t="str">
        <f>IFERROR(__xludf.DUMMYFUNCTION("IF(OR(D3715="""",G3715=""""),"""",IFERROR(LET(
campo,XLOOKUP(TRIM(G3715),ARRAYFORMULA(TRIM('indice columnas'!$A$2:$A$100)),'indice columnas'!$B$2:$B$100,""""),
col,IFERROR(MATCH(campo,Referencia!$A$1:$AZ$1,0),0),
fila,IFERROR(MATCH(TO_TEXT(D3715),ARRAYFOR"&amp;"MULA(TO_TEXT(Referencia!$A$2:$A6238)),0),0),
IF(OR(campo="""",campo=""-""),""NO APLICA"",
IF(col=0,""REVISAR EQUIVALENCIA"",
IF(fila=0,""SKU NO ENCONTRADO"",
LET(
valor,INDEX(Referencia!$A$2:$AZ6238,fila,col),
IF(TRIM(TO_TEXT(valor))=TRIM(TO_TEXT(I3715)),"&amp;"
""OK"",
""NO COINCIDE. Valor verdadero: ""&amp;IF(valor="""",""[VACÍO]"",TO_TEXT(valor))
)
))))
),""ERROR EN FÓRMULA""))"),"OK")</f>
        <v>OK</v>
      </c>
    </row>
    <row r="3716">
      <c r="A3716" s="83" t="s">
        <v>4896</v>
      </c>
      <c r="B3716" s="83" t="s">
        <v>4897</v>
      </c>
      <c r="C3716" s="81" t="s">
        <v>4086</v>
      </c>
      <c r="D3716" s="83" t="s">
        <v>4384</v>
      </c>
      <c r="E3716" s="81" t="s">
        <v>1646</v>
      </c>
      <c r="F3716" s="81">
        <v>324.0</v>
      </c>
      <c r="G3716" s="81" t="s">
        <v>3</v>
      </c>
      <c r="H3716" s="81" t="s">
        <v>224</v>
      </c>
      <c r="I3716" s="81" t="s">
        <v>344</v>
      </c>
      <c r="J3716" s="81" t="s">
        <v>224</v>
      </c>
      <c r="K3716" s="81" t="str">
        <f>IFERROR(__xludf.DUMMYFUNCTION("IF(OR(D3716="""",G3716=""""),"""",IFERROR(LET(
campo,XLOOKUP(TRIM(G3716),ARRAYFORMULA(TRIM('indice columnas'!$A$2:$A$100)),'indice columnas'!$B$2:$B$100,""""),
col,IFERROR(MATCH(campo,Referencia!$A$1:$AZ$1,0),0),
fila,IFERROR(MATCH(TO_TEXT(D3716),ARRAYFOR"&amp;"MULA(TO_TEXT(Referencia!$A$2:$A6238)),0),0),
IF(OR(campo="""",campo=""-""),""NO APLICA"",
IF(col=0,""REVISAR EQUIVALENCIA"",
IF(fila=0,""SKU NO ENCONTRADO"",
LET(
valor,INDEX(Referencia!$A$2:$AZ6238,fila,col),
IF(TRIM(TO_TEXT(valor))=TRIM(TO_TEXT(I3716)),"&amp;"
""OK"",
""NO COINCIDE. Valor verdadero: ""&amp;IF(valor="""",""[VACÍO]"",TO_TEXT(valor))
)
))))
),""ERROR EN FÓRMULA""))"),"OK")</f>
        <v>OK</v>
      </c>
    </row>
    <row r="3717">
      <c r="A3717" s="83" t="s">
        <v>4896</v>
      </c>
      <c r="B3717" s="83" t="s">
        <v>4897</v>
      </c>
      <c r="C3717" s="81" t="s">
        <v>4086</v>
      </c>
      <c r="D3717" s="83" t="s">
        <v>4384</v>
      </c>
      <c r="E3717" s="81" t="s">
        <v>1646</v>
      </c>
      <c r="F3717" s="81">
        <v>324.0</v>
      </c>
      <c r="G3717" s="81" t="s">
        <v>2</v>
      </c>
      <c r="H3717" s="81" t="s">
        <v>224</v>
      </c>
      <c r="I3717" s="81" t="s">
        <v>50</v>
      </c>
      <c r="J3717" s="81" t="s">
        <v>224</v>
      </c>
      <c r="K3717" s="81" t="str">
        <f>IFERROR(__xludf.DUMMYFUNCTION("IF(OR(D3717="""",G3717=""""),"""",IFERROR(LET(
campo,XLOOKUP(TRIM(G3717),ARRAYFORMULA(TRIM('indice columnas'!$A$2:$A$100)),'indice columnas'!$B$2:$B$100,""""),
col,IFERROR(MATCH(campo,Referencia!$A$1:$AZ$1,0),0),
fila,IFERROR(MATCH(TO_TEXT(D3717),ARRAYFOR"&amp;"MULA(TO_TEXT(Referencia!$A$2:$A6238)),0),0),
IF(OR(campo="""",campo=""-""),""NO APLICA"",
IF(col=0,""REVISAR EQUIVALENCIA"",
IF(fila=0,""SKU NO ENCONTRADO"",
LET(
valor,INDEX(Referencia!$A$2:$AZ6238,fila,col),
IF(TRIM(TO_TEXT(valor))=TRIM(TO_TEXT(I3717)),"&amp;"
""OK"",
""NO COINCIDE. Valor verdadero: ""&amp;IF(valor="""",""[VACÍO]"",TO_TEXT(valor))
)
))))
),""ERROR EN FÓRMULA""))"),"OK")</f>
        <v>OK</v>
      </c>
    </row>
    <row r="3718">
      <c r="A3718" s="83" t="s">
        <v>4896</v>
      </c>
      <c r="B3718" s="83" t="s">
        <v>4897</v>
      </c>
      <c r="C3718" s="81" t="s">
        <v>4086</v>
      </c>
      <c r="D3718" s="83" t="s">
        <v>4384</v>
      </c>
      <c r="E3718" s="81" t="s">
        <v>1646</v>
      </c>
      <c r="F3718" s="81">
        <v>324.0</v>
      </c>
      <c r="G3718" s="81" t="s">
        <v>1</v>
      </c>
      <c r="H3718" s="81" t="s">
        <v>224</v>
      </c>
      <c r="I3718" s="81" t="s">
        <v>49</v>
      </c>
      <c r="J3718" s="81" t="s">
        <v>224</v>
      </c>
      <c r="K3718" s="81" t="str">
        <f>IFERROR(__xludf.DUMMYFUNCTION("IF(OR(D3718="""",G3718=""""),"""",IFERROR(LET(
campo,XLOOKUP(TRIM(G3718),ARRAYFORMULA(TRIM('indice columnas'!$A$2:$A$100)),'indice columnas'!$B$2:$B$100,""""),
col,IFERROR(MATCH(campo,Referencia!$A$1:$AZ$1,0),0),
fila,IFERROR(MATCH(TO_TEXT(D3718),ARRAYFOR"&amp;"MULA(TO_TEXT(Referencia!$A$2:$A6238)),0),0),
IF(OR(campo="""",campo=""-""),""NO APLICA"",
IF(col=0,""REVISAR EQUIVALENCIA"",
IF(fila=0,""SKU NO ENCONTRADO"",
LET(
valor,INDEX(Referencia!$A$2:$AZ6238,fila,col),
IF(TRIM(TO_TEXT(valor))=TRIM(TO_TEXT(I3718)),"&amp;"
""OK"",
""NO COINCIDE. Valor verdadero: ""&amp;IF(valor="""",""[VACÍO]"",TO_TEXT(valor))
)
))))
),""ERROR EN FÓRMULA""))"),"OK")</f>
        <v>OK</v>
      </c>
    </row>
    <row r="3719">
      <c r="A3719" s="83" t="s">
        <v>4896</v>
      </c>
      <c r="B3719" s="83" t="s">
        <v>4897</v>
      </c>
      <c r="C3719" s="81" t="s">
        <v>4086</v>
      </c>
      <c r="D3719" s="83" t="s">
        <v>4386</v>
      </c>
      <c r="E3719" s="81" t="s">
        <v>1653</v>
      </c>
      <c r="F3719" s="81">
        <v>327.0</v>
      </c>
      <c r="G3719" s="81" t="s">
        <v>3</v>
      </c>
      <c r="H3719" s="81" t="s">
        <v>224</v>
      </c>
      <c r="I3719" s="81" t="s">
        <v>920</v>
      </c>
      <c r="J3719" s="81" t="s">
        <v>224</v>
      </c>
      <c r="K3719" s="81" t="str">
        <f>IFERROR(__xludf.DUMMYFUNCTION("IF(OR(D3719="""",G3719=""""),"""",IFERROR(LET(
campo,XLOOKUP(TRIM(G3719),ARRAYFORMULA(TRIM('indice columnas'!$A$2:$A$100)),'indice columnas'!$B$2:$B$100,""""),
col,IFERROR(MATCH(campo,Referencia!$A$1:$AZ$1,0),0),
fila,IFERROR(MATCH(TO_TEXT(D3719),ARRAYFOR"&amp;"MULA(TO_TEXT(Referencia!$A$2:$A6238)),0),0),
IF(OR(campo="""",campo=""-""),""NO APLICA"",
IF(col=0,""REVISAR EQUIVALENCIA"",
IF(fila=0,""SKU NO ENCONTRADO"",
LET(
valor,INDEX(Referencia!$A$2:$AZ6238,fila,col),
IF(TRIM(TO_TEXT(valor))=TRIM(TO_TEXT(I3719)),"&amp;"
""OK"",
""NO COINCIDE. Valor verdadero: ""&amp;IF(valor="""",""[VACÍO]"",TO_TEXT(valor))
)
))))
),""ERROR EN FÓRMULA""))"),"OK")</f>
        <v>OK</v>
      </c>
    </row>
    <row r="3720">
      <c r="A3720" s="83" t="s">
        <v>4896</v>
      </c>
      <c r="B3720" s="83" t="s">
        <v>4897</v>
      </c>
      <c r="C3720" s="81" t="s">
        <v>4086</v>
      </c>
      <c r="D3720" s="83" t="s">
        <v>4386</v>
      </c>
      <c r="E3720" s="81" t="s">
        <v>1653</v>
      </c>
      <c r="F3720" s="81">
        <v>327.0</v>
      </c>
      <c r="G3720" s="81" t="s">
        <v>2</v>
      </c>
      <c r="H3720" s="81" t="s">
        <v>224</v>
      </c>
      <c r="I3720" s="81" t="s">
        <v>1291</v>
      </c>
      <c r="J3720" s="81" t="s">
        <v>224</v>
      </c>
      <c r="K3720" s="81" t="str">
        <f>IFERROR(__xludf.DUMMYFUNCTION("IF(OR(D3720="""",G3720=""""),"""",IFERROR(LET(
campo,XLOOKUP(TRIM(G3720),ARRAYFORMULA(TRIM('indice columnas'!$A$2:$A$100)),'indice columnas'!$B$2:$B$100,""""),
col,IFERROR(MATCH(campo,Referencia!$A$1:$AZ$1,0),0),
fila,IFERROR(MATCH(TO_TEXT(D3720),ARRAYFOR"&amp;"MULA(TO_TEXT(Referencia!$A$2:$A6238)),0),0),
IF(OR(campo="""",campo=""-""),""NO APLICA"",
IF(col=0,""REVISAR EQUIVALENCIA"",
IF(fila=0,""SKU NO ENCONTRADO"",
LET(
valor,INDEX(Referencia!$A$2:$AZ6238,fila,col),
IF(TRIM(TO_TEXT(valor))=TRIM(TO_TEXT(I3720)),"&amp;"
""OK"",
""NO COINCIDE. Valor verdadero: ""&amp;IF(valor="""",""[VACÍO]"",TO_TEXT(valor))
)
))))
),""ERROR EN FÓRMULA""))"),"OK")</f>
        <v>OK</v>
      </c>
    </row>
    <row r="3721">
      <c r="A3721" s="83" t="s">
        <v>4896</v>
      </c>
      <c r="B3721" s="83" t="s">
        <v>4897</v>
      </c>
      <c r="C3721" s="81" t="s">
        <v>4086</v>
      </c>
      <c r="D3721" s="83" t="s">
        <v>4388</v>
      </c>
      <c r="E3721" s="81" t="s">
        <v>1666</v>
      </c>
      <c r="F3721" s="81">
        <v>330.0</v>
      </c>
      <c r="G3721" s="81" t="s">
        <v>3</v>
      </c>
      <c r="H3721" s="81" t="s">
        <v>224</v>
      </c>
      <c r="I3721" s="81" t="s">
        <v>926</v>
      </c>
      <c r="J3721" s="81" t="s">
        <v>224</v>
      </c>
      <c r="K3721" s="81" t="str">
        <f>IFERROR(__xludf.DUMMYFUNCTION("IF(OR(D3721="""",G3721=""""),"""",IFERROR(LET(
campo,XLOOKUP(TRIM(G3721),ARRAYFORMULA(TRIM('indice columnas'!$A$2:$A$100)),'indice columnas'!$B$2:$B$100,""""),
col,IFERROR(MATCH(campo,Referencia!$A$1:$AZ$1,0),0),
fila,IFERROR(MATCH(TO_TEXT(D3721),ARRAYFOR"&amp;"MULA(TO_TEXT(Referencia!$A$2:$A6238)),0),0),
IF(OR(campo="""",campo=""-""),""NO APLICA"",
IF(col=0,""REVISAR EQUIVALENCIA"",
IF(fila=0,""SKU NO ENCONTRADO"",
LET(
valor,INDEX(Referencia!$A$2:$AZ6238,fila,col),
IF(TRIM(TO_TEXT(valor))=TRIM(TO_TEXT(I3721)),"&amp;"
""OK"",
""NO COINCIDE. Valor verdadero: ""&amp;IF(valor="""",""[VACÍO]"",TO_TEXT(valor))
)
))))
),""ERROR EN FÓRMULA""))"),"OK")</f>
        <v>OK</v>
      </c>
    </row>
    <row r="3722">
      <c r="A3722" s="83" t="s">
        <v>4896</v>
      </c>
      <c r="B3722" s="83" t="s">
        <v>4897</v>
      </c>
      <c r="C3722" s="81" t="s">
        <v>4086</v>
      </c>
      <c r="D3722" s="83" t="s">
        <v>4388</v>
      </c>
      <c r="E3722" s="81" t="s">
        <v>1666</v>
      </c>
      <c r="F3722" s="81">
        <v>330.0</v>
      </c>
      <c r="G3722" s="81" t="s">
        <v>2</v>
      </c>
      <c r="H3722" s="81" t="s">
        <v>224</v>
      </c>
      <c r="I3722" s="81" t="s">
        <v>1291</v>
      </c>
      <c r="J3722" s="81" t="s">
        <v>224</v>
      </c>
      <c r="K3722" s="81" t="str">
        <f>IFERROR(__xludf.DUMMYFUNCTION("IF(OR(D3722="""",G3722=""""),"""",IFERROR(LET(
campo,XLOOKUP(TRIM(G3722),ARRAYFORMULA(TRIM('indice columnas'!$A$2:$A$100)),'indice columnas'!$B$2:$B$100,""""),
col,IFERROR(MATCH(campo,Referencia!$A$1:$AZ$1,0),0),
fila,IFERROR(MATCH(TO_TEXT(D3722),ARRAYFOR"&amp;"MULA(TO_TEXT(Referencia!$A$2:$A6238)),0),0),
IF(OR(campo="""",campo=""-""),""NO APLICA"",
IF(col=0,""REVISAR EQUIVALENCIA"",
IF(fila=0,""SKU NO ENCONTRADO"",
LET(
valor,INDEX(Referencia!$A$2:$AZ6238,fila,col),
IF(TRIM(TO_TEXT(valor))=TRIM(TO_TEXT(I3722)),"&amp;"
""OK"",
""NO COINCIDE. Valor verdadero: ""&amp;IF(valor="""",""[VACÍO]"",TO_TEXT(valor))
)
))))
),""ERROR EN FÓRMULA""))"),"OK")</f>
        <v>OK</v>
      </c>
    </row>
    <row r="3723">
      <c r="A3723" s="83" t="s">
        <v>4896</v>
      </c>
      <c r="B3723" s="83" t="s">
        <v>4897</v>
      </c>
      <c r="C3723" s="81" t="s">
        <v>4086</v>
      </c>
      <c r="D3723" s="83" t="s">
        <v>4390</v>
      </c>
      <c r="E3723" s="81" t="s">
        <v>1679</v>
      </c>
      <c r="F3723" s="81">
        <v>333.0</v>
      </c>
      <c r="G3723" s="81" t="s">
        <v>3</v>
      </c>
      <c r="H3723" s="81" t="s">
        <v>224</v>
      </c>
      <c r="I3723" s="81" t="s">
        <v>1144</v>
      </c>
      <c r="J3723" s="81" t="s">
        <v>224</v>
      </c>
      <c r="K3723" s="81" t="str">
        <f>IFERROR(__xludf.DUMMYFUNCTION("IF(OR(D3723="""",G3723=""""),"""",IFERROR(LET(
campo,XLOOKUP(TRIM(G3723),ARRAYFORMULA(TRIM('indice columnas'!$A$2:$A$100)),'indice columnas'!$B$2:$B$100,""""),
col,IFERROR(MATCH(campo,Referencia!$A$1:$AZ$1,0),0),
fila,IFERROR(MATCH(TO_TEXT(D3723),ARRAYFOR"&amp;"MULA(TO_TEXT(Referencia!$A$2:$A6238)),0),0),
IF(OR(campo="""",campo=""-""),""NO APLICA"",
IF(col=0,""REVISAR EQUIVALENCIA"",
IF(fila=0,""SKU NO ENCONTRADO"",
LET(
valor,INDEX(Referencia!$A$2:$AZ6238,fila,col),
IF(TRIM(TO_TEXT(valor))=TRIM(TO_TEXT(I3723)),"&amp;"
""OK"",
""NO COINCIDE. Valor verdadero: ""&amp;IF(valor="""",""[VACÍO]"",TO_TEXT(valor))
)
))))
),""ERROR EN FÓRMULA""))"),"OK")</f>
        <v>OK</v>
      </c>
    </row>
    <row r="3724">
      <c r="A3724" s="83" t="s">
        <v>4896</v>
      </c>
      <c r="B3724" s="83" t="s">
        <v>4897</v>
      </c>
      <c r="C3724" s="81" t="s">
        <v>4086</v>
      </c>
      <c r="D3724" s="83" t="s">
        <v>4390</v>
      </c>
      <c r="E3724" s="81" t="s">
        <v>1679</v>
      </c>
      <c r="F3724" s="81">
        <v>333.0</v>
      </c>
      <c r="G3724" s="81" t="s">
        <v>2</v>
      </c>
      <c r="H3724" s="81" t="s">
        <v>224</v>
      </c>
      <c r="I3724" s="81" t="s">
        <v>213</v>
      </c>
      <c r="J3724" s="81" t="s">
        <v>224</v>
      </c>
      <c r="K3724" s="81" t="str">
        <f>IFERROR(__xludf.DUMMYFUNCTION("IF(OR(D3724="""",G3724=""""),"""",IFERROR(LET(
campo,XLOOKUP(TRIM(G3724),ARRAYFORMULA(TRIM('indice columnas'!$A$2:$A$100)),'indice columnas'!$B$2:$B$100,""""),
col,IFERROR(MATCH(campo,Referencia!$A$1:$AZ$1,0),0),
fila,IFERROR(MATCH(TO_TEXT(D3724),ARRAYFOR"&amp;"MULA(TO_TEXT(Referencia!$A$2:$A6238)),0),0),
IF(OR(campo="""",campo=""-""),""NO APLICA"",
IF(col=0,""REVISAR EQUIVALENCIA"",
IF(fila=0,""SKU NO ENCONTRADO"",
LET(
valor,INDEX(Referencia!$A$2:$AZ6238,fila,col),
IF(TRIM(TO_TEXT(valor))=TRIM(TO_TEXT(I3724)),"&amp;"
""OK"",
""NO COINCIDE. Valor verdadero: ""&amp;IF(valor="""",""[VACÍO]"",TO_TEXT(valor))
)
))))
),""ERROR EN FÓRMULA""))"),"OK")</f>
        <v>OK</v>
      </c>
    </row>
    <row r="3725">
      <c r="A3725" s="83" t="s">
        <v>4896</v>
      </c>
      <c r="B3725" s="83" t="s">
        <v>4897</v>
      </c>
      <c r="C3725" s="81" t="s">
        <v>4086</v>
      </c>
      <c r="D3725" s="83" t="s">
        <v>4390</v>
      </c>
      <c r="E3725" s="81" t="s">
        <v>1679</v>
      </c>
      <c r="F3725" s="81">
        <v>333.0</v>
      </c>
      <c r="G3725" s="81" t="s">
        <v>1</v>
      </c>
      <c r="H3725" s="81" t="s">
        <v>224</v>
      </c>
      <c r="I3725" s="81" t="s">
        <v>49</v>
      </c>
      <c r="J3725" s="81" t="s">
        <v>224</v>
      </c>
      <c r="K3725" s="81" t="str">
        <f>IFERROR(__xludf.DUMMYFUNCTION("IF(OR(D3725="""",G3725=""""),"""",IFERROR(LET(
campo,XLOOKUP(TRIM(G3725),ARRAYFORMULA(TRIM('indice columnas'!$A$2:$A$100)),'indice columnas'!$B$2:$B$100,""""),
col,IFERROR(MATCH(campo,Referencia!$A$1:$AZ$1,0),0),
fila,IFERROR(MATCH(TO_TEXT(D3725),ARRAYFOR"&amp;"MULA(TO_TEXT(Referencia!$A$2:$A6238)),0),0),
IF(OR(campo="""",campo=""-""),""NO APLICA"",
IF(col=0,""REVISAR EQUIVALENCIA"",
IF(fila=0,""SKU NO ENCONTRADO"",
LET(
valor,INDEX(Referencia!$A$2:$AZ6238,fila,col),
IF(TRIM(TO_TEXT(valor))=TRIM(TO_TEXT(I3725)),"&amp;"
""OK"",
""NO COINCIDE. Valor verdadero: ""&amp;IF(valor="""",""[VACÍO]"",TO_TEXT(valor))
)
))))
),""ERROR EN FÓRMULA""))"),"OK")</f>
        <v>OK</v>
      </c>
    </row>
    <row r="3726">
      <c r="A3726" s="83" t="s">
        <v>4896</v>
      </c>
      <c r="B3726" s="83" t="s">
        <v>4897</v>
      </c>
      <c r="C3726" s="81" t="s">
        <v>4086</v>
      </c>
      <c r="D3726" s="83" t="s">
        <v>4391</v>
      </c>
      <c r="E3726" s="81" t="s">
        <v>1682</v>
      </c>
      <c r="F3726" s="81">
        <v>334.0</v>
      </c>
      <c r="G3726" s="81" t="s">
        <v>3</v>
      </c>
      <c r="H3726" s="81" t="s">
        <v>224</v>
      </c>
      <c r="I3726" s="81" t="s">
        <v>51</v>
      </c>
      <c r="J3726" s="81" t="s">
        <v>224</v>
      </c>
      <c r="K3726" s="81" t="str">
        <f>IFERROR(__xludf.DUMMYFUNCTION("IF(OR(D3726="""",G3726=""""),"""",IFERROR(LET(
campo,XLOOKUP(TRIM(G3726),ARRAYFORMULA(TRIM('indice columnas'!$A$2:$A$100)),'indice columnas'!$B$2:$B$100,""""),
col,IFERROR(MATCH(campo,Referencia!$A$1:$AZ$1,0),0),
fila,IFERROR(MATCH(TO_TEXT(D3726),ARRAYFOR"&amp;"MULA(TO_TEXT(Referencia!$A$2:$A6238)),0),0),
IF(OR(campo="""",campo=""-""),""NO APLICA"",
IF(col=0,""REVISAR EQUIVALENCIA"",
IF(fila=0,""SKU NO ENCONTRADO"",
LET(
valor,INDEX(Referencia!$A$2:$AZ6238,fila,col),
IF(TRIM(TO_TEXT(valor))=TRIM(TO_TEXT(I3726)),"&amp;"
""OK"",
""NO COINCIDE. Valor verdadero: ""&amp;IF(valor="""",""[VACÍO]"",TO_TEXT(valor))
)
))))
),""ERROR EN FÓRMULA""))"),"OK")</f>
        <v>OK</v>
      </c>
    </row>
    <row r="3727">
      <c r="A3727" s="83" t="s">
        <v>4896</v>
      </c>
      <c r="B3727" s="83" t="s">
        <v>4897</v>
      </c>
      <c r="C3727" s="81" t="s">
        <v>4086</v>
      </c>
      <c r="D3727" s="83" t="s">
        <v>4391</v>
      </c>
      <c r="E3727" s="81" t="s">
        <v>1682</v>
      </c>
      <c r="F3727" s="81">
        <v>334.0</v>
      </c>
      <c r="G3727" s="81" t="s">
        <v>2</v>
      </c>
      <c r="H3727" s="81" t="s">
        <v>224</v>
      </c>
      <c r="I3727" s="81" t="s">
        <v>213</v>
      </c>
      <c r="J3727" s="81" t="s">
        <v>224</v>
      </c>
      <c r="K3727" s="81" t="str">
        <f>IFERROR(__xludf.DUMMYFUNCTION("IF(OR(D3727="""",G3727=""""),"""",IFERROR(LET(
campo,XLOOKUP(TRIM(G3727),ARRAYFORMULA(TRIM('indice columnas'!$A$2:$A$100)),'indice columnas'!$B$2:$B$100,""""),
col,IFERROR(MATCH(campo,Referencia!$A$1:$AZ$1,0),0),
fila,IFERROR(MATCH(TO_TEXT(D3727),ARRAYFOR"&amp;"MULA(TO_TEXT(Referencia!$A$2:$A6238)),0),0),
IF(OR(campo="""",campo=""-""),""NO APLICA"",
IF(col=0,""REVISAR EQUIVALENCIA"",
IF(fila=0,""SKU NO ENCONTRADO"",
LET(
valor,INDEX(Referencia!$A$2:$AZ6238,fila,col),
IF(TRIM(TO_TEXT(valor))=TRIM(TO_TEXT(I3727)),"&amp;"
""OK"",
""NO COINCIDE. Valor verdadero: ""&amp;IF(valor="""",""[VACÍO]"",TO_TEXT(valor))
)
))))
),""ERROR EN FÓRMULA""))"),"OK")</f>
        <v>OK</v>
      </c>
    </row>
    <row r="3728">
      <c r="A3728" s="83" t="s">
        <v>4896</v>
      </c>
      <c r="B3728" s="83" t="s">
        <v>4897</v>
      </c>
      <c r="C3728" s="81" t="s">
        <v>4086</v>
      </c>
      <c r="D3728" s="83" t="s">
        <v>4391</v>
      </c>
      <c r="E3728" s="81" t="s">
        <v>1682</v>
      </c>
      <c r="F3728" s="81">
        <v>334.0</v>
      </c>
      <c r="G3728" s="81" t="s">
        <v>1</v>
      </c>
      <c r="H3728" s="81" t="s">
        <v>224</v>
      </c>
      <c r="I3728" s="81" t="s">
        <v>49</v>
      </c>
      <c r="J3728" s="81" t="s">
        <v>224</v>
      </c>
      <c r="K3728" s="81" t="str">
        <f>IFERROR(__xludf.DUMMYFUNCTION("IF(OR(D3728="""",G3728=""""),"""",IFERROR(LET(
campo,XLOOKUP(TRIM(G3728),ARRAYFORMULA(TRIM('indice columnas'!$A$2:$A$100)),'indice columnas'!$B$2:$B$100,""""),
col,IFERROR(MATCH(campo,Referencia!$A$1:$AZ$1,0),0),
fila,IFERROR(MATCH(TO_TEXT(D3728),ARRAYFOR"&amp;"MULA(TO_TEXT(Referencia!$A$2:$A6238)),0),0),
IF(OR(campo="""",campo=""-""),""NO APLICA"",
IF(col=0,""REVISAR EQUIVALENCIA"",
IF(fila=0,""SKU NO ENCONTRADO"",
LET(
valor,INDEX(Referencia!$A$2:$AZ6238,fila,col),
IF(TRIM(TO_TEXT(valor))=TRIM(TO_TEXT(I3728)),"&amp;"
""OK"",
""NO COINCIDE. Valor verdadero: ""&amp;IF(valor="""",""[VACÍO]"",TO_TEXT(valor))
)
))))
),""ERROR EN FÓRMULA""))"),"OK")</f>
        <v>OK</v>
      </c>
    </row>
    <row r="3729">
      <c r="A3729" s="83" t="s">
        <v>4896</v>
      </c>
      <c r="B3729" s="83" t="s">
        <v>4897</v>
      </c>
      <c r="C3729" s="81" t="s">
        <v>4086</v>
      </c>
      <c r="D3729" s="83" t="s">
        <v>4393</v>
      </c>
      <c r="E3729" s="81" t="s">
        <v>1690</v>
      </c>
      <c r="F3729" s="81">
        <v>335.0</v>
      </c>
      <c r="G3729" s="81" t="s">
        <v>3</v>
      </c>
      <c r="H3729" s="81" t="s">
        <v>224</v>
      </c>
      <c r="I3729" s="81" t="s">
        <v>51</v>
      </c>
      <c r="J3729" s="81" t="s">
        <v>224</v>
      </c>
      <c r="K3729" s="81" t="str">
        <f>IFERROR(__xludf.DUMMYFUNCTION("IF(OR(D3729="""",G3729=""""),"""",IFERROR(LET(
campo,XLOOKUP(TRIM(G3729),ARRAYFORMULA(TRIM('indice columnas'!$A$2:$A$100)),'indice columnas'!$B$2:$B$100,""""),
col,IFERROR(MATCH(campo,Referencia!$A$1:$AZ$1,0),0),
fila,IFERROR(MATCH(TO_TEXT(D3729),ARRAYFOR"&amp;"MULA(TO_TEXT(Referencia!$A$2:$A6238)),0),0),
IF(OR(campo="""",campo=""-""),""NO APLICA"",
IF(col=0,""REVISAR EQUIVALENCIA"",
IF(fila=0,""SKU NO ENCONTRADO"",
LET(
valor,INDEX(Referencia!$A$2:$AZ6238,fila,col),
IF(TRIM(TO_TEXT(valor))=TRIM(TO_TEXT(I3729)),"&amp;"
""OK"",
""NO COINCIDE. Valor verdadero: ""&amp;IF(valor="""",""[VACÍO]"",TO_TEXT(valor))
)
))))
),""ERROR EN FÓRMULA""))"),"OK")</f>
        <v>OK</v>
      </c>
    </row>
    <row r="3730">
      <c r="A3730" s="83" t="s">
        <v>4896</v>
      </c>
      <c r="B3730" s="83" t="s">
        <v>4897</v>
      </c>
      <c r="C3730" s="81" t="s">
        <v>4086</v>
      </c>
      <c r="D3730" s="83" t="s">
        <v>4393</v>
      </c>
      <c r="E3730" s="81" t="s">
        <v>1690</v>
      </c>
      <c r="F3730" s="81">
        <v>335.0</v>
      </c>
      <c r="G3730" s="81" t="s">
        <v>2</v>
      </c>
      <c r="H3730" s="81" t="s">
        <v>224</v>
      </c>
      <c r="I3730" s="81" t="s">
        <v>213</v>
      </c>
      <c r="J3730" s="81" t="s">
        <v>224</v>
      </c>
      <c r="K3730" s="81" t="str">
        <f>IFERROR(__xludf.DUMMYFUNCTION("IF(OR(D3730="""",G3730=""""),"""",IFERROR(LET(
campo,XLOOKUP(TRIM(G3730),ARRAYFORMULA(TRIM('indice columnas'!$A$2:$A$100)),'indice columnas'!$B$2:$B$100,""""),
col,IFERROR(MATCH(campo,Referencia!$A$1:$AZ$1,0),0),
fila,IFERROR(MATCH(TO_TEXT(D3730),ARRAYFOR"&amp;"MULA(TO_TEXT(Referencia!$A$2:$A6238)),0),0),
IF(OR(campo="""",campo=""-""),""NO APLICA"",
IF(col=0,""REVISAR EQUIVALENCIA"",
IF(fila=0,""SKU NO ENCONTRADO"",
LET(
valor,INDEX(Referencia!$A$2:$AZ6238,fila,col),
IF(TRIM(TO_TEXT(valor))=TRIM(TO_TEXT(I3730)),"&amp;"
""OK"",
""NO COINCIDE. Valor verdadero: ""&amp;IF(valor="""",""[VACÍO]"",TO_TEXT(valor))
)
))))
),""ERROR EN FÓRMULA""))"),"OK")</f>
        <v>OK</v>
      </c>
    </row>
    <row r="3731">
      <c r="A3731" s="83" t="s">
        <v>4896</v>
      </c>
      <c r="B3731" s="83" t="s">
        <v>4897</v>
      </c>
      <c r="C3731" s="81" t="s">
        <v>4086</v>
      </c>
      <c r="D3731" s="83" t="s">
        <v>4393</v>
      </c>
      <c r="E3731" s="81" t="s">
        <v>1690</v>
      </c>
      <c r="F3731" s="81">
        <v>335.0</v>
      </c>
      <c r="G3731" s="81" t="s">
        <v>1</v>
      </c>
      <c r="H3731" s="81" t="s">
        <v>224</v>
      </c>
      <c r="I3731" s="81" t="s">
        <v>49</v>
      </c>
      <c r="J3731" s="81" t="s">
        <v>224</v>
      </c>
      <c r="K3731" s="81" t="str">
        <f>IFERROR(__xludf.DUMMYFUNCTION("IF(OR(D3731="""",G3731=""""),"""",IFERROR(LET(
campo,XLOOKUP(TRIM(G3731),ARRAYFORMULA(TRIM('indice columnas'!$A$2:$A$100)),'indice columnas'!$B$2:$B$100,""""),
col,IFERROR(MATCH(campo,Referencia!$A$1:$AZ$1,0),0),
fila,IFERROR(MATCH(TO_TEXT(D3731),ARRAYFOR"&amp;"MULA(TO_TEXT(Referencia!$A$2:$A6238)),0),0),
IF(OR(campo="""",campo=""-""),""NO APLICA"",
IF(col=0,""REVISAR EQUIVALENCIA"",
IF(fila=0,""SKU NO ENCONTRADO"",
LET(
valor,INDEX(Referencia!$A$2:$AZ6238,fila,col),
IF(TRIM(TO_TEXT(valor))=TRIM(TO_TEXT(I3731)),"&amp;"
""OK"",
""NO COINCIDE. Valor verdadero: ""&amp;IF(valor="""",""[VACÍO]"",TO_TEXT(valor))
)
))))
),""ERROR EN FÓRMULA""))"),"OK")</f>
        <v>OK</v>
      </c>
    </row>
    <row r="3732">
      <c r="A3732" s="83" t="s">
        <v>4896</v>
      </c>
      <c r="B3732" s="83" t="s">
        <v>4897</v>
      </c>
      <c r="C3732" s="81" t="s">
        <v>4086</v>
      </c>
      <c r="D3732" s="83" t="s">
        <v>4394</v>
      </c>
      <c r="E3732" s="81" t="s">
        <v>1698</v>
      </c>
      <c r="F3732" s="81">
        <v>336.0</v>
      </c>
      <c r="G3732" s="81" t="s">
        <v>3</v>
      </c>
      <c r="H3732" s="81" t="s">
        <v>224</v>
      </c>
      <c r="I3732" s="81" t="s">
        <v>51</v>
      </c>
      <c r="J3732" s="81" t="s">
        <v>224</v>
      </c>
      <c r="K3732" s="81" t="str">
        <f>IFERROR(__xludf.DUMMYFUNCTION("IF(OR(D3732="""",G3732=""""),"""",IFERROR(LET(
campo,XLOOKUP(TRIM(G3732),ARRAYFORMULA(TRIM('indice columnas'!$A$2:$A$100)),'indice columnas'!$B$2:$B$100,""""),
col,IFERROR(MATCH(campo,Referencia!$A$1:$AZ$1,0),0),
fila,IFERROR(MATCH(TO_TEXT(D3732),ARRAYFOR"&amp;"MULA(TO_TEXT(Referencia!$A$2:$A6238)),0),0),
IF(OR(campo="""",campo=""-""),""NO APLICA"",
IF(col=0,""REVISAR EQUIVALENCIA"",
IF(fila=0,""SKU NO ENCONTRADO"",
LET(
valor,INDEX(Referencia!$A$2:$AZ6238,fila,col),
IF(TRIM(TO_TEXT(valor))=TRIM(TO_TEXT(I3732)),"&amp;"
""OK"",
""NO COINCIDE. Valor verdadero: ""&amp;IF(valor="""",""[VACÍO]"",TO_TEXT(valor))
)
))))
),""ERROR EN FÓRMULA""))"),"OK")</f>
        <v>OK</v>
      </c>
    </row>
    <row r="3733">
      <c r="A3733" s="83" t="s">
        <v>4896</v>
      </c>
      <c r="B3733" s="83" t="s">
        <v>4897</v>
      </c>
      <c r="C3733" s="81" t="s">
        <v>4086</v>
      </c>
      <c r="D3733" s="83" t="s">
        <v>4394</v>
      </c>
      <c r="E3733" s="81" t="s">
        <v>1698</v>
      </c>
      <c r="F3733" s="81">
        <v>336.0</v>
      </c>
      <c r="G3733" s="81" t="s">
        <v>2</v>
      </c>
      <c r="H3733" s="81" t="s">
        <v>224</v>
      </c>
      <c r="I3733" s="81" t="s">
        <v>213</v>
      </c>
      <c r="J3733" s="81" t="s">
        <v>224</v>
      </c>
      <c r="K3733" s="81" t="str">
        <f>IFERROR(__xludf.DUMMYFUNCTION("IF(OR(D3733="""",G3733=""""),"""",IFERROR(LET(
campo,XLOOKUP(TRIM(G3733),ARRAYFORMULA(TRIM('indice columnas'!$A$2:$A$100)),'indice columnas'!$B$2:$B$100,""""),
col,IFERROR(MATCH(campo,Referencia!$A$1:$AZ$1,0),0),
fila,IFERROR(MATCH(TO_TEXT(D3733),ARRAYFOR"&amp;"MULA(TO_TEXT(Referencia!$A$2:$A6238)),0),0),
IF(OR(campo="""",campo=""-""),""NO APLICA"",
IF(col=0,""REVISAR EQUIVALENCIA"",
IF(fila=0,""SKU NO ENCONTRADO"",
LET(
valor,INDEX(Referencia!$A$2:$AZ6238,fila,col),
IF(TRIM(TO_TEXT(valor))=TRIM(TO_TEXT(I3733)),"&amp;"
""OK"",
""NO COINCIDE. Valor verdadero: ""&amp;IF(valor="""",""[VACÍO]"",TO_TEXT(valor))
)
))))
),""ERROR EN FÓRMULA""))"),"OK")</f>
        <v>OK</v>
      </c>
    </row>
    <row r="3734">
      <c r="A3734" s="83" t="s">
        <v>4896</v>
      </c>
      <c r="B3734" s="83" t="s">
        <v>4897</v>
      </c>
      <c r="C3734" s="81" t="s">
        <v>4086</v>
      </c>
      <c r="D3734" s="83" t="s">
        <v>4394</v>
      </c>
      <c r="E3734" s="81" t="s">
        <v>1698</v>
      </c>
      <c r="F3734" s="81">
        <v>336.0</v>
      </c>
      <c r="G3734" s="81" t="s">
        <v>1</v>
      </c>
      <c r="H3734" s="81" t="s">
        <v>224</v>
      </c>
      <c r="I3734" s="81" t="s">
        <v>49</v>
      </c>
      <c r="J3734" s="81" t="s">
        <v>224</v>
      </c>
      <c r="K3734" s="81" t="str">
        <f>IFERROR(__xludf.DUMMYFUNCTION("IF(OR(D3734="""",G3734=""""),"""",IFERROR(LET(
campo,XLOOKUP(TRIM(G3734),ARRAYFORMULA(TRIM('indice columnas'!$A$2:$A$100)),'indice columnas'!$B$2:$B$100,""""),
col,IFERROR(MATCH(campo,Referencia!$A$1:$AZ$1,0),0),
fila,IFERROR(MATCH(TO_TEXT(D3734),ARRAYFOR"&amp;"MULA(TO_TEXT(Referencia!$A$2:$A6238)),0),0),
IF(OR(campo="""",campo=""-""),""NO APLICA"",
IF(col=0,""REVISAR EQUIVALENCIA"",
IF(fila=0,""SKU NO ENCONTRADO"",
LET(
valor,INDEX(Referencia!$A$2:$AZ6238,fila,col),
IF(TRIM(TO_TEXT(valor))=TRIM(TO_TEXT(I3734)),"&amp;"
""OK"",
""NO COINCIDE. Valor verdadero: ""&amp;IF(valor="""",""[VACÍO]"",TO_TEXT(valor))
)
))))
),""ERROR EN FÓRMULA""))"),"OK")</f>
        <v>OK</v>
      </c>
    </row>
    <row r="3735">
      <c r="A3735" s="83" t="s">
        <v>4896</v>
      </c>
      <c r="B3735" s="83" t="s">
        <v>4897</v>
      </c>
      <c r="C3735" s="81" t="s">
        <v>4086</v>
      </c>
      <c r="D3735" s="83" t="s">
        <v>4399</v>
      </c>
      <c r="E3735" s="81" t="s">
        <v>1723</v>
      </c>
      <c r="F3735" s="81">
        <v>341.0</v>
      </c>
      <c r="G3735" s="81" t="s">
        <v>3</v>
      </c>
      <c r="H3735" s="81" t="s">
        <v>224</v>
      </c>
      <c r="I3735" s="81" t="s">
        <v>51</v>
      </c>
      <c r="J3735" s="81" t="s">
        <v>224</v>
      </c>
      <c r="K3735" s="81" t="str">
        <f>IFERROR(__xludf.DUMMYFUNCTION("IF(OR(D3735="""",G3735=""""),"""",IFERROR(LET(
campo,XLOOKUP(TRIM(G3735),ARRAYFORMULA(TRIM('indice columnas'!$A$2:$A$100)),'indice columnas'!$B$2:$B$100,""""),
col,IFERROR(MATCH(campo,Referencia!$A$1:$AZ$1,0),0),
fila,IFERROR(MATCH(TO_TEXT(D3735),ARRAYFOR"&amp;"MULA(TO_TEXT(Referencia!$A$2:$A6238)),0),0),
IF(OR(campo="""",campo=""-""),""NO APLICA"",
IF(col=0,""REVISAR EQUIVALENCIA"",
IF(fila=0,""SKU NO ENCONTRADO"",
LET(
valor,INDEX(Referencia!$A$2:$AZ6238,fila,col),
IF(TRIM(TO_TEXT(valor))=TRIM(TO_TEXT(I3735)),"&amp;"
""OK"",
""NO COINCIDE. Valor verdadero: ""&amp;IF(valor="""",""[VACÍO]"",TO_TEXT(valor))
)
))))
),""ERROR EN FÓRMULA""))"),"OK")</f>
        <v>OK</v>
      </c>
    </row>
    <row r="3736">
      <c r="A3736" s="83" t="s">
        <v>4896</v>
      </c>
      <c r="B3736" s="83" t="s">
        <v>4897</v>
      </c>
      <c r="C3736" s="81" t="s">
        <v>4086</v>
      </c>
      <c r="D3736" s="83" t="s">
        <v>4399</v>
      </c>
      <c r="E3736" s="81" t="s">
        <v>1723</v>
      </c>
      <c r="F3736" s="81">
        <v>341.0</v>
      </c>
      <c r="G3736" s="81" t="s">
        <v>2</v>
      </c>
      <c r="H3736" s="81" t="s">
        <v>224</v>
      </c>
      <c r="I3736" s="81" t="s">
        <v>50</v>
      </c>
      <c r="J3736" s="81" t="s">
        <v>224</v>
      </c>
      <c r="K3736" s="81" t="str">
        <f>IFERROR(__xludf.DUMMYFUNCTION("IF(OR(D3736="""",G3736=""""),"""",IFERROR(LET(
campo,XLOOKUP(TRIM(G3736),ARRAYFORMULA(TRIM('indice columnas'!$A$2:$A$100)),'indice columnas'!$B$2:$B$100,""""),
col,IFERROR(MATCH(campo,Referencia!$A$1:$AZ$1,0),0),
fila,IFERROR(MATCH(TO_TEXT(D3736),ARRAYFOR"&amp;"MULA(TO_TEXT(Referencia!$A$2:$A6238)),0),0),
IF(OR(campo="""",campo=""-""),""NO APLICA"",
IF(col=0,""REVISAR EQUIVALENCIA"",
IF(fila=0,""SKU NO ENCONTRADO"",
LET(
valor,INDEX(Referencia!$A$2:$AZ6238,fila,col),
IF(TRIM(TO_TEXT(valor))=TRIM(TO_TEXT(I3736)),"&amp;"
""OK"",
""NO COINCIDE. Valor verdadero: ""&amp;IF(valor="""",""[VACÍO]"",TO_TEXT(valor))
)
))))
),""ERROR EN FÓRMULA""))"),"OK")</f>
        <v>OK</v>
      </c>
    </row>
    <row r="3737">
      <c r="A3737" s="83" t="s">
        <v>4896</v>
      </c>
      <c r="B3737" s="83" t="s">
        <v>4897</v>
      </c>
      <c r="C3737" s="81" t="s">
        <v>4086</v>
      </c>
      <c r="D3737" s="83" t="s">
        <v>4399</v>
      </c>
      <c r="E3737" s="81" t="s">
        <v>1723</v>
      </c>
      <c r="F3737" s="81">
        <v>341.0</v>
      </c>
      <c r="G3737" s="81" t="s">
        <v>1</v>
      </c>
      <c r="H3737" s="81" t="s">
        <v>224</v>
      </c>
      <c r="I3737" s="81" t="s">
        <v>49</v>
      </c>
      <c r="J3737" s="81" t="s">
        <v>224</v>
      </c>
      <c r="K3737" s="81" t="str">
        <f>IFERROR(__xludf.DUMMYFUNCTION("IF(OR(D3737="""",G3737=""""),"""",IFERROR(LET(
campo,XLOOKUP(TRIM(G3737),ARRAYFORMULA(TRIM('indice columnas'!$A$2:$A$100)),'indice columnas'!$B$2:$B$100,""""),
col,IFERROR(MATCH(campo,Referencia!$A$1:$AZ$1,0),0),
fila,IFERROR(MATCH(TO_TEXT(D3737),ARRAYFOR"&amp;"MULA(TO_TEXT(Referencia!$A$2:$A6238)),0),0),
IF(OR(campo="""",campo=""-""),""NO APLICA"",
IF(col=0,""REVISAR EQUIVALENCIA"",
IF(fila=0,""SKU NO ENCONTRADO"",
LET(
valor,INDEX(Referencia!$A$2:$AZ6238,fila,col),
IF(TRIM(TO_TEXT(valor))=TRIM(TO_TEXT(I3737)),"&amp;"
""OK"",
""NO COINCIDE. Valor verdadero: ""&amp;IF(valor="""",""[VACÍO]"",TO_TEXT(valor))
)
))))
),""ERROR EN FÓRMULA""))"),"OK")</f>
        <v>OK</v>
      </c>
    </row>
    <row r="3738">
      <c r="A3738" s="83" t="s">
        <v>4896</v>
      </c>
      <c r="B3738" s="83" t="s">
        <v>4897</v>
      </c>
      <c r="C3738" s="81" t="s">
        <v>4086</v>
      </c>
      <c r="D3738" s="83" t="s">
        <v>4400</v>
      </c>
      <c r="E3738" s="81" t="s">
        <v>1726</v>
      </c>
      <c r="F3738" s="81">
        <v>342.0</v>
      </c>
      <c r="G3738" s="81" t="s">
        <v>3</v>
      </c>
      <c r="H3738" s="81" t="s">
        <v>224</v>
      </c>
      <c r="I3738" s="81" t="s">
        <v>51</v>
      </c>
      <c r="J3738" s="81" t="s">
        <v>224</v>
      </c>
      <c r="K3738" s="81" t="str">
        <f>IFERROR(__xludf.DUMMYFUNCTION("IF(OR(D3738="""",G3738=""""),"""",IFERROR(LET(
campo,XLOOKUP(TRIM(G3738),ARRAYFORMULA(TRIM('indice columnas'!$A$2:$A$100)),'indice columnas'!$B$2:$B$100,""""),
col,IFERROR(MATCH(campo,Referencia!$A$1:$AZ$1,0),0),
fila,IFERROR(MATCH(TO_TEXT(D3738),ARRAYFOR"&amp;"MULA(TO_TEXT(Referencia!$A$2:$A6238)),0),0),
IF(OR(campo="""",campo=""-""),""NO APLICA"",
IF(col=0,""REVISAR EQUIVALENCIA"",
IF(fila=0,""SKU NO ENCONTRADO"",
LET(
valor,INDEX(Referencia!$A$2:$AZ6238,fila,col),
IF(TRIM(TO_TEXT(valor))=TRIM(TO_TEXT(I3738)),"&amp;"
""OK"",
""NO COINCIDE. Valor verdadero: ""&amp;IF(valor="""",""[VACÍO]"",TO_TEXT(valor))
)
))))
),""ERROR EN FÓRMULA""))"),"OK")</f>
        <v>OK</v>
      </c>
    </row>
    <row r="3739">
      <c r="A3739" s="83" t="s">
        <v>4896</v>
      </c>
      <c r="B3739" s="83" t="s">
        <v>4897</v>
      </c>
      <c r="C3739" s="81" t="s">
        <v>4086</v>
      </c>
      <c r="D3739" s="83" t="s">
        <v>4400</v>
      </c>
      <c r="E3739" s="81" t="s">
        <v>1726</v>
      </c>
      <c r="F3739" s="81">
        <v>342.0</v>
      </c>
      <c r="G3739" s="81" t="s">
        <v>2</v>
      </c>
      <c r="H3739" s="81" t="s">
        <v>224</v>
      </c>
      <c r="I3739" s="81" t="s">
        <v>50</v>
      </c>
      <c r="J3739" s="81" t="s">
        <v>224</v>
      </c>
      <c r="K3739" s="81" t="str">
        <f>IFERROR(__xludf.DUMMYFUNCTION("IF(OR(D3739="""",G3739=""""),"""",IFERROR(LET(
campo,XLOOKUP(TRIM(G3739),ARRAYFORMULA(TRIM('indice columnas'!$A$2:$A$100)),'indice columnas'!$B$2:$B$100,""""),
col,IFERROR(MATCH(campo,Referencia!$A$1:$AZ$1,0),0),
fila,IFERROR(MATCH(TO_TEXT(D3739),ARRAYFOR"&amp;"MULA(TO_TEXT(Referencia!$A$2:$A6238)),0),0),
IF(OR(campo="""",campo=""-""),""NO APLICA"",
IF(col=0,""REVISAR EQUIVALENCIA"",
IF(fila=0,""SKU NO ENCONTRADO"",
LET(
valor,INDEX(Referencia!$A$2:$AZ6238,fila,col),
IF(TRIM(TO_TEXT(valor))=TRIM(TO_TEXT(I3739)),"&amp;"
""OK"",
""NO COINCIDE. Valor verdadero: ""&amp;IF(valor="""",""[VACÍO]"",TO_TEXT(valor))
)
))))
),""ERROR EN FÓRMULA""))"),"OK")</f>
        <v>OK</v>
      </c>
    </row>
    <row r="3740">
      <c r="A3740" s="83" t="s">
        <v>4896</v>
      </c>
      <c r="B3740" s="83" t="s">
        <v>4897</v>
      </c>
      <c r="C3740" s="81" t="s">
        <v>4086</v>
      </c>
      <c r="D3740" s="83" t="s">
        <v>4400</v>
      </c>
      <c r="E3740" s="81" t="s">
        <v>1726</v>
      </c>
      <c r="F3740" s="81">
        <v>342.0</v>
      </c>
      <c r="G3740" s="81" t="s">
        <v>1</v>
      </c>
      <c r="H3740" s="81" t="s">
        <v>224</v>
      </c>
      <c r="I3740" s="81" t="s">
        <v>49</v>
      </c>
      <c r="J3740" s="81" t="s">
        <v>224</v>
      </c>
      <c r="K3740" s="81" t="str">
        <f>IFERROR(__xludf.DUMMYFUNCTION("IF(OR(D3740="""",G3740=""""),"""",IFERROR(LET(
campo,XLOOKUP(TRIM(G3740),ARRAYFORMULA(TRIM('indice columnas'!$A$2:$A$100)),'indice columnas'!$B$2:$B$100,""""),
col,IFERROR(MATCH(campo,Referencia!$A$1:$AZ$1,0),0),
fila,IFERROR(MATCH(TO_TEXT(D3740),ARRAYFOR"&amp;"MULA(TO_TEXT(Referencia!$A$2:$A6238)),0),0),
IF(OR(campo="""",campo=""-""),""NO APLICA"",
IF(col=0,""REVISAR EQUIVALENCIA"",
IF(fila=0,""SKU NO ENCONTRADO"",
LET(
valor,INDEX(Referencia!$A$2:$AZ6238,fila,col),
IF(TRIM(TO_TEXT(valor))=TRIM(TO_TEXT(I3740)),"&amp;"
""OK"",
""NO COINCIDE. Valor verdadero: ""&amp;IF(valor="""",""[VACÍO]"",TO_TEXT(valor))
)
))))
),""ERROR EN FÓRMULA""))"),"OK")</f>
        <v>OK</v>
      </c>
    </row>
    <row r="3741">
      <c r="A3741" s="83" t="s">
        <v>4896</v>
      </c>
      <c r="B3741" s="83" t="s">
        <v>4897</v>
      </c>
      <c r="C3741" s="81" t="s">
        <v>4086</v>
      </c>
      <c r="D3741" s="83" t="s">
        <v>4401</v>
      </c>
      <c r="E3741" s="81" t="s">
        <v>1736</v>
      </c>
      <c r="F3741" s="81">
        <v>343.0</v>
      </c>
      <c r="G3741" s="81" t="s">
        <v>3</v>
      </c>
      <c r="H3741" s="81" t="s">
        <v>224</v>
      </c>
      <c r="I3741" s="81" t="s">
        <v>51</v>
      </c>
      <c r="J3741" s="81" t="s">
        <v>224</v>
      </c>
      <c r="K3741" s="81" t="str">
        <f>IFERROR(__xludf.DUMMYFUNCTION("IF(OR(D3741="""",G3741=""""),"""",IFERROR(LET(
campo,XLOOKUP(TRIM(G3741),ARRAYFORMULA(TRIM('indice columnas'!$A$2:$A$100)),'indice columnas'!$B$2:$B$100,""""),
col,IFERROR(MATCH(campo,Referencia!$A$1:$AZ$1,0),0),
fila,IFERROR(MATCH(TO_TEXT(D3741),ARRAYFOR"&amp;"MULA(TO_TEXT(Referencia!$A$2:$A6238)),0),0),
IF(OR(campo="""",campo=""-""),""NO APLICA"",
IF(col=0,""REVISAR EQUIVALENCIA"",
IF(fila=0,""SKU NO ENCONTRADO"",
LET(
valor,INDEX(Referencia!$A$2:$AZ6238,fila,col),
IF(TRIM(TO_TEXT(valor))=TRIM(TO_TEXT(I3741)),"&amp;"
""OK"",
""NO COINCIDE. Valor verdadero: ""&amp;IF(valor="""",""[VACÍO]"",TO_TEXT(valor))
)
))))
),""ERROR EN FÓRMULA""))"),"OK")</f>
        <v>OK</v>
      </c>
    </row>
    <row r="3742">
      <c r="A3742" s="83" t="s">
        <v>4896</v>
      </c>
      <c r="B3742" s="83" t="s">
        <v>4897</v>
      </c>
      <c r="C3742" s="81" t="s">
        <v>4086</v>
      </c>
      <c r="D3742" s="83" t="s">
        <v>4401</v>
      </c>
      <c r="E3742" s="81" t="s">
        <v>1736</v>
      </c>
      <c r="F3742" s="81">
        <v>343.0</v>
      </c>
      <c r="G3742" s="81" t="s">
        <v>2</v>
      </c>
      <c r="H3742" s="81" t="s">
        <v>224</v>
      </c>
      <c r="I3742" s="81" t="s">
        <v>50</v>
      </c>
      <c r="J3742" s="81" t="s">
        <v>224</v>
      </c>
      <c r="K3742" s="81" t="str">
        <f>IFERROR(__xludf.DUMMYFUNCTION("IF(OR(D3742="""",G3742=""""),"""",IFERROR(LET(
campo,XLOOKUP(TRIM(G3742),ARRAYFORMULA(TRIM('indice columnas'!$A$2:$A$100)),'indice columnas'!$B$2:$B$100,""""),
col,IFERROR(MATCH(campo,Referencia!$A$1:$AZ$1,0),0),
fila,IFERROR(MATCH(TO_TEXT(D3742),ARRAYFOR"&amp;"MULA(TO_TEXT(Referencia!$A$2:$A6238)),0),0),
IF(OR(campo="""",campo=""-""),""NO APLICA"",
IF(col=0,""REVISAR EQUIVALENCIA"",
IF(fila=0,""SKU NO ENCONTRADO"",
LET(
valor,INDEX(Referencia!$A$2:$AZ6238,fila,col),
IF(TRIM(TO_TEXT(valor))=TRIM(TO_TEXT(I3742)),"&amp;"
""OK"",
""NO COINCIDE. Valor verdadero: ""&amp;IF(valor="""",""[VACÍO]"",TO_TEXT(valor))
)
))))
),""ERROR EN FÓRMULA""))"),"OK")</f>
        <v>OK</v>
      </c>
    </row>
    <row r="3743">
      <c r="A3743" s="83" t="s">
        <v>4896</v>
      </c>
      <c r="B3743" s="83" t="s">
        <v>4897</v>
      </c>
      <c r="C3743" s="81" t="s">
        <v>4086</v>
      </c>
      <c r="D3743" s="83" t="s">
        <v>4401</v>
      </c>
      <c r="E3743" s="81" t="s">
        <v>1736</v>
      </c>
      <c r="F3743" s="81">
        <v>343.0</v>
      </c>
      <c r="G3743" s="81" t="s">
        <v>1</v>
      </c>
      <c r="H3743" s="81" t="s">
        <v>224</v>
      </c>
      <c r="I3743" s="81" t="s">
        <v>49</v>
      </c>
      <c r="J3743" s="81" t="s">
        <v>224</v>
      </c>
      <c r="K3743" s="81" t="str">
        <f>IFERROR(__xludf.DUMMYFUNCTION("IF(OR(D3743="""",G3743=""""),"""",IFERROR(LET(
campo,XLOOKUP(TRIM(G3743),ARRAYFORMULA(TRIM('indice columnas'!$A$2:$A$100)),'indice columnas'!$B$2:$B$100,""""),
col,IFERROR(MATCH(campo,Referencia!$A$1:$AZ$1,0),0),
fila,IFERROR(MATCH(TO_TEXT(D3743),ARRAYFOR"&amp;"MULA(TO_TEXT(Referencia!$A$2:$A6238)),0),0),
IF(OR(campo="""",campo=""-""),""NO APLICA"",
IF(col=0,""REVISAR EQUIVALENCIA"",
IF(fila=0,""SKU NO ENCONTRADO"",
LET(
valor,INDEX(Referencia!$A$2:$AZ6238,fila,col),
IF(TRIM(TO_TEXT(valor))=TRIM(TO_TEXT(I3743)),"&amp;"
""OK"",
""NO COINCIDE. Valor verdadero: ""&amp;IF(valor="""",""[VACÍO]"",TO_TEXT(valor))
)
))))
),""ERROR EN FÓRMULA""))"),"OK")</f>
        <v>OK</v>
      </c>
    </row>
    <row r="3744">
      <c r="A3744" s="83" t="s">
        <v>4896</v>
      </c>
      <c r="B3744" s="83" t="s">
        <v>4897</v>
      </c>
      <c r="C3744" s="81" t="s">
        <v>4086</v>
      </c>
      <c r="D3744" s="83" t="s">
        <v>4403</v>
      </c>
      <c r="E3744" s="81" t="s">
        <v>1742</v>
      </c>
      <c r="F3744" s="81">
        <v>346.0</v>
      </c>
      <c r="G3744" s="81" t="s">
        <v>3</v>
      </c>
      <c r="H3744" s="81" t="s">
        <v>224</v>
      </c>
      <c r="I3744" s="81" t="s">
        <v>920</v>
      </c>
      <c r="J3744" s="81" t="s">
        <v>224</v>
      </c>
      <c r="K3744" s="81" t="str">
        <f>IFERROR(__xludf.DUMMYFUNCTION("IF(OR(D3744="""",G3744=""""),"""",IFERROR(LET(
campo,XLOOKUP(TRIM(G3744),ARRAYFORMULA(TRIM('indice columnas'!$A$2:$A$100)),'indice columnas'!$B$2:$B$100,""""),
col,IFERROR(MATCH(campo,Referencia!$A$1:$AZ$1,0),0),
fila,IFERROR(MATCH(TO_TEXT(D3744),ARRAYFOR"&amp;"MULA(TO_TEXT(Referencia!$A$2:$A6238)),0),0),
IF(OR(campo="""",campo=""-""),""NO APLICA"",
IF(col=0,""REVISAR EQUIVALENCIA"",
IF(fila=0,""SKU NO ENCONTRADO"",
LET(
valor,INDEX(Referencia!$A$2:$AZ6238,fila,col),
IF(TRIM(TO_TEXT(valor))=TRIM(TO_TEXT(I3744)),"&amp;"
""OK"",
""NO COINCIDE. Valor verdadero: ""&amp;IF(valor="""",""[VACÍO]"",TO_TEXT(valor))
)
))))
),""ERROR EN FÓRMULA""))"),"OK")</f>
        <v>OK</v>
      </c>
    </row>
    <row r="3745">
      <c r="A3745" s="83" t="s">
        <v>4896</v>
      </c>
      <c r="B3745" s="83" t="s">
        <v>4897</v>
      </c>
      <c r="C3745" s="81" t="s">
        <v>4086</v>
      </c>
      <c r="D3745" s="83" t="s">
        <v>4403</v>
      </c>
      <c r="E3745" s="81" t="s">
        <v>1742</v>
      </c>
      <c r="F3745" s="81">
        <v>346.0</v>
      </c>
      <c r="G3745" s="81" t="s">
        <v>2</v>
      </c>
      <c r="H3745" s="81" t="s">
        <v>224</v>
      </c>
      <c r="I3745" s="81" t="s">
        <v>919</v>
      </c>
      <c r="J3745" s="81" t="s">
        <v>224</v>
      </c>
      <c r="K3745" s="81" t="str">
        <f>IFERROR(__xludf.DUMMYFUNCTION("IF(OR(D3745="""",G3745=""""),"""",IFERROR(LET(
campo,XLOOKUP(TRIM(G3745),ARRAYFORMULA(TRIM('indice columnas'!$A$2:$A$100)),'indice columnas'!$B$2:$B$100,""""),
col,IFERROR(MATCH(campo,Referencia!$A$1:$AZ$1,0),0),
fila,IFERROR(MATCH(TO_TEXT(D3745),ARRAYFOR"&amp;"MULA(TO_TEXT(Referencia!$A$2:$A6238)),0),0),
IF(OR(campo="""",campo=""-""),""NO APLICA"",
IF(col=0,""REVISAR EQUIVALENCIA"",
IF(fila=0,""SKU NO ENCONTRADO"",
LET(
valor,INDEX(Referencia!$A$2:$AZ6238,fila,col),
IF(TRIM(TO_TEXT(valor))=TRIM(TO_TEXT(I3745)),"&amp;"
""OK"",
""NO COINCIDE. Valor verdadero: ""&amp;IF(valor="""",""[VACÍO]"",TO_TEXT(valor))
)
))))
),""ERROR EN FÓRMULA""))"),"OK")</f>
        <v>OK</v>
      </c>
    </row>
    <row r="3746">
      <c r="A3746" s="83" t="s">
        <v>4896</v>
      </c>
      <c r="B3746" s="83" t="s">
        <v>4897</v>
      </c>
      <c r="C3746" s="81" t="s">
        <v>4086</v>
      </c>
      <c r="D3746" s="83" t="s">
        <v>4403</v>
      </c>
      <c r="E3746" s="81" t="s">
        <v>1742</v>
      </c>
      <c r="F3746" s="81">
        <v>346.0</v>
      </c>
      <c r="G3746" s="81" t="s">
        <v>1</v>
      </c>
      <c r="H3746" s="81" t="s">
        <v>224</v>
      </c>
      <c r="I3746" s="81" t="s">
        <v>49</v>
      </c>
      <c r="J3746" s="81" t="s">
        <v>224</v>
      </c>
      <c r="K3746" s="81" t="str">
        <f>IFERROR(__xludf.DUMMYFUNCTION("IF(OR(D3746="""",G3746=""""),"""",IFERROR(LET(
campo,XLOOKUP(TRIM(G3746),ARRAYFORMULA(TRIM('indice columnas'!$A$2:$A$100)),'indice columnas'!$B$2:$B$100,""""),
col,IFERROR(MATCH(campo,Referencia!$A$1:$AZ$1,0),0),
fila,IFERROR(MATCH(TO_TEXT(D3746),ARRAYFOR"&amp;"MULA(TO_TEXT(Referencia!$A$2:$A6238)),0),0),
IF(OR(campo="""",campo=""-""),""NO APLICA"",
IF(col=0,""REVISAR EQUIVALENCIA"",
IF(fila=0,""SKU NO ENCONTRADO"",
LET(
valor,INDEX(Referencia!$A$2:$AZ6238,fila,col),
IF(TRIM(TO_TEXT(valor))=TRIM(TO_TEXT(I3746)),"&amp;"
""OK"",
""NO COINCIDE. Valor verdadero: ""&amp;IF(valor="""",""[VACÍO]"",TO_TEXT(valor))
)
))))
),""ERROR EN FÓRMULA""))"),"OK")</f>
        <v>OK</v>
      </c>
    </row>
    <row r="3747">
      <c r="A3747" s="83" t="s">
        <v>4896</v>
      </c>
      <c r="B3747" s="83" t="s">
        <v>4897</v>
      </c>
      <c r="C3747" s="81" t="s">
        <v>4086</v>
      </c>
      <c r="D3747" s="83" t="s">
        <v>4404</v>
      </c>
      <c r="E3747" s="81" t="s">
        <v>1744</v>
      </c>
      <c r="F3747" s="81">
        <v>347.0</v>
      </c>
      <c r="G3747" s="81" t="s">
        <v>3</v>
      </c>
      <c r="H3747" s="81" t="s">
        <v>224</v>
      </c>
      <c r="I3747" s="81" t="s">
        <v>51</v>
      </c>
      <c r="J3747" s="81" t="s">
        <v>224</v>
      </c>
      <c r="K3747" s="81" t="str">
        <f>IFERROR(__xludf.DUMMYFUNCTION("IF(OR(D3747="""",G3747=""""),"""",IFERROR(LET(
campo,XLOOKUP(TRIM(G3747),ARRAYFORMULA(TRIM('indice columnas'!$A$2:$A$100)),'indice columnas'!$B$2:$B$100,""""),
col,IFERROR(MATCH(campo,Referencia!$A$1:$AZ$1,0),0),
fila,IFERROR(MATCH(TO_TEXT(D3747),ARRAYFOR"&amp;"MULA(TO_TEXT(Referencia!$A$2:$A6238)),0),0),
IF(OR(campo="""",campo=""-""),""NO APLICA"",
IF(col=0,""REVISAR EQUIVALENCIA"",
IF(fila=0,""SKU NO ENCONTRADO"",
LET(
valor,INDEX(Referencia!$A$2:$AZ6238,fila,col),
IF(TRIM(TO_TEXT(valor))=TRIM(TO_TEXT(I3747)),"&amp;"
""OK"",
""NO COINCIDE. Valor verdadero: ""&amp;IF(valor="""",""[VACÍO]"",TO_TEXT(valor))
)
))))
),""ERROR EN FÓRMULA""))"),"OK")</f>
        <v>OK</v>
      </c>
    </row>
    <row r="3748">
      <c r="A3748" s="83" t="s">
        <v>4896</v>
      </c>
      <c r="B3748" s="83" t="s">
        <v>4897</v>
      </c>
      <c r="C3748" s="81" t="s">
        <v>4086</v>
      </c>
      <c r="D3748" s="83" t="s">
        <v>4404</v>
      </c>
      <c r="E3748" s="81" t="s">
        <v>1744</v>
      </c>
      <c r="F3748" s="81">
        <v>347.0</v>
      </c>
      <c r="G3748" s="81" t="s">
        <v>2</v>
      </c>
      <c r="H3748" s="81" t="s">
        <v>224</v>
      </c>
      <c r="I3748" s="81" t="s">
        <v>50</v>
      </c>
      <c r="J3748" s="81" t="s">
        <v>224</v>
      </c>
      <c r="K3748" s="81" t="str">
        <f>IFERROR(__xludf.DUMMYFUNCTION("IF(OR(D3748="""",G3748=""""),"""",IFERROR(LET(
campo,XLOOKUP(TRIM(G3748),ARRAYFORMULA(TRIM('indice columnas'!$A$2:$A$100)),'indice columnas'!$B$2:$B$100,""""),
col,IFERROR(MATCH(campo,Referencia!$A$1:$AZ$1,0),0),
fila,IFERROR(MATCH(TO_TEXT(D3748),ARRAYFOR"&amp;"MULA(TO_TEXT(Referencia!$A$2:$A6238)),0),0),
IF(OR(campo="""",campo=""-""),""NO APLICA"",
IF(col=0,""REVISAR EQUIVALENCIA"",
IF(fila=0,""SKU NO ENCONTRADO"",
LET(
valor,INDEX(Referencia!$A$2:$AZ6238,fila,col),
IF(TRIM(TO_TEXT(valor))=TRIM(TO_TEXT(I3748)),"&amp;"
""OK"",
""NO COINCIDE. Valor verdadero: ""&amp;IF(valor="""",""[VACÍO]"",TO_TEXT(valor))
)
))))
),""ERROR EN FÓRMULA""))"),"OK")</f>
        <v>OK</v>
      </c>
    </row>
    <row r="3749">
      <c r="A3749" s="83" t="s">
        <v>4896</v>
      </c>
      <c r="B3749" s="83" t="s">
        <v>4897</v>
      </c>
      <c r="C3749" s="81" t="s">
        <v>4086</v>
      </c>
      <c r="D3749" s="83" t="s">
        <v>4404</v>
      </c>
      <c r="E3749" s="81" t="s">
        <v>1744</v>
      </c>
      <c r="F3749" s="81">
        <v>347.0</v>
      </c>
      <c r="G3749" s="81" t="s">
        <v>1</v>
      </c>
      <c r="H3749" s="81" t="s">
        <v>224</v>
      </c>
      <c r="I3749" s="81" t="s">
        <v>49</v>
      </c>
      <c r="J3749" s="81" t="s">
        <v>224</v>
      </c>
      <c r="K3749" s="81" t="str">
        <f>IFERROR(__xludf.DUMMYFUNCTION("IF(OR(D3749="""",G3749=""""),"""",IFERROR(LET(
campo,XLOOKUP(TRIM(G3749),ARRAYFORMULA(TRIM('indice columnas'!$A$2:$A$100)),'indice columnas'!$B$2:$B$100,""""),
col,IFERROR(MATCH(campo,Referencia!$A$1:$AZ$1,0),0),
fila,IFERROR(MATCH(TO_TEXT(D3749),ARRAYFOR"&amp;"MULA(TO_TEXT(Referencia!$A$2:$A6238)),0),0),
IF(OR(campo="""",campo=""-""),""NO APLICA"",
IF(col=0,""REVISAR EQUIVALENCIA"",
IF(fila=0,""SKU NO ENCONTRADO"",
LET(
valor,INDEX(Referencia!$A$2:$AZ6238,fila,col),
IF(TRIM(TO_TEXT(valor))=TRIM(TO_TEXT(I3749)),"&amp;"
""OK"",
""NO COINCIDE. Valor verdadero: ""&amp;IF(valor="""",""[VACÍO]"",TO_TEXT(valor))
)
))))
),""ERROR EN FÓRMULA""))"),"OK")</f>
        <v>OK</v>
      </c>
    </row>
    <row r="3750">
      <c r="A3750" s="83" t="s">
        <v>4896</v>
      </c>
      <c r="B3750" s="83" t="s">
        <v>4897</v>
      </c>
      <c r="C3750" s="81" t="s">
        <v>4086</v>
      </c>
      <c r="D3750" s="83" t="s">
        <v>4405</v>
      </c>
      <c r="E3750" s="81" t="s">
        <v>1753</v>
      </c>
      <c r="F3750" s="81">
        <v>348.0</v>
      </c>
      <c r="G3750" s="81" t="s">
        <v>3</v>
      </c>
      <c r="H3750" s="81" t="s">
        <v>224</v>
      </c>
      <c r="I3750" s="81" t="s">
        <v>51</v>
      </c>
      <c r="J3750" s="81" t="s">
        <v>224</v>
      </c>
      <c r="K3750" s="81" t="str">
        <f>IFERROR(__xludf.DUMMYFUNCTION("IF(OR(D3750="""",G3750=""""),"""",IFERROR(LET(
campo,XLOOKUP(TRIM(G3750),ARRAYFORMULA(TRIM('indice columnas'!$A$2:$A$100)),'indice columnas'!$B$2:$B$100,""""),
col,IFERROR(MATCH(campo,Referencia!$A$1:$AZ$1,0),0),
fila,IFERROR(MATCH(TO_TEXT(D3750),ARRAYFOR"&amp;"MULA(TO_TEXT(Referencia!$A$2:$A6238)),0),0),
IF(OR(campo="""",campo=""-""),""NO APLICA"",
IF(col=0,""REVISAR EQUIVALENCIA"",
IF(fila=0,""SKU NO ENCONTRADO"",
LET(
valor,INDEX(Referencia!$A$2:$AZ6238,fila,col),
IF(TRIM(TO_TEXT(valor))=TRIM(TO_TEXT(I3750)),"&amp;"
""OK"",
""NO COINCIDE. Valor verdadero: ""&amp;IF(valor="""",""[VACÍO]"",TO_TEXT(valor))
)
))))
),""ERROR EN FÓRMULA""))"),"OK")</f>
        <v>OK</v>
      </c>
    </row>
    <row r="3751">
      <c r="A3751" s="83" t="s">
        <v>4896</v>
      </c>
      <c r="B3751" s="83" t="s">
        <v>4897</v>
      </c>
      <c r="C3751" s="81" t="s">
        <v>4086</v>
      </c>
      <c r="D3751" s="83" t="s">
        <v>4405</v>
      </c>
      <c r="E3751" s="81" t="s">
        <v>1753</v>
      </c>
      <c r="F3751" s="81">
        <v>348.0</v>
      </c>
      <c r="G3751" s="81" t="s">
        <v>2</v>
      </c>
      <c r="H3751" s="81" t="s">
        <v>224</v>
      </c>
      <c r="I3751" s="81" t="s">
        <v>50</v>
      </c>
      <c r="J3751" s="81" t="s">
        <v>224</v>
      </c>
      <c r="K3751" s="81" t="str">
        <f>IFERROR(__xludf.DUMMYFUNCTION("IF(OR(D3751="""",G3751=""""),"""",IFERROR(LET(
campo,XLOOKUP(TRIM(G3751),ARRAYFORMULA(TRIM('indice columnas'!$A$2:$A$100)),'indice columnas'!$B$2:$B$100,""""),
col,IFERROR(MATCH(campo,Referencia!$A$1:$AZ$1,0),0),
fila,IFERROR(MATCH(TO_TEXT(D3751),ARRAYFOR"&amp;"MULA(TO_TEXT(Referencia!$A$2:$A6238)),0),0),
IF(OR(campo="""",campo=""-""),""NO APLICA"",
IF(col=0,""REVISAR EQUIVALENCIA"",
IF(fila=0,""SKU NO ENCONTRADO"",
LET(
valor,INDEX(Referencia!$A$2:$AZ6238,fila,col),
IF(TRIM(TO_TEXT(valor))=TRIM(TO_TEXT(I3751)),"&amp;"
""OK"",
""NO COINCIDE. Valor verdadero: ""&amp;IF(valor="""",""[VACÍO]"",TO_TEXT(valor))
)
))))
),""ERROR EN FÓRMULA""))"),"OK")</f>
        <v>OK</v>
      </c>
    </row>
    <row r="3752">
      <c r="A3752" s="83" t="s">
        <v>4896</v>
      </c>
      <c r="B3752" s="83" t="s">
        <v>4897</v>
      </c>
      <c r="C3752" s="81" t="s">
        <v>4086</v>
      </c>
      <c r="D3752" s="83" t="s">
        <v>4405</v>
      </c>
      <c r="E3752" s="81" t="s">
        <v>1753</v>
      </c>
      <c r="F3752" s="81">
        <v>348.0</v>
      </c>
      <c r="G3752" s="81" t="s">
        <v>1</v>
      </c>
      <c r="H3752" s="81" t="s">
        <v>224</v>
      </c>
      <c r="I3752" s="81" t="s">
        <v>49</v>
      </c>
      <c r="J3752" s="81" t="s">
        <v>224</v>
      </c>
      <c r="K3752" s="81" t="str">
        <f>IFERROR(__xludf.DUMMYFUNCTION("IF(OR(D3752="""",G3752=""""),"""",IFERROR(LET(
campo,XLOOKUP(TRIM(G3752),ARRAYFORMULA(TRIM('indice columnas'!$A$2:$A$100)),'indice columnas'!$B$2:$B$100,""""),
col,IFERROR(MATCH(campo,Referencia!$A$1:$AZ$1,0),0),
fila,IFERROR(MATCH(TO_TEXT(D3752),ARRAYFOR"&amp;"MULA(TO_TEXT(Referencia!$A$2:$A6238)),0),0),
IF(OR(campo="""",campo=""-""),""NO APLICA"",
IF(col=0,""REVISAR EQUIVALENCIA"",
IF(fila=0,""SKU NO ENCONTRADO"",
LET(
valor,INDEX(Referencia!$A$2:$AZ6238,fila,col),
IF(TRIM(TO_TEXT(valor))=TRIM(TO_TEXT(I3752)),"&amp;"
""OK"",
""NO COINCIDE. Valor verdadero: ""&amp;IF(valor="""",""[VACÍO]"",TO_TEXT(valor))
)
))))
),""ERROR EN FÓRMULA""))"),"OK")</f>
        <v>OK</v>
      </c>
    </row>
    <row r="3753">
      <c r="A3753" s="83" t="s">
        <v>4896</v>
      </c>
      <c r="B3753" s="83" t="s">
        <v>4897</v>
      </c>
      <c r="C3753" s="81" t="s">
        <v>4086</v>
      </c>
      <c r="D3753" s="83" t="s">
        <v>4407</v>
      </c>
      <c r="E3753" s="81" t="s">
        <v>1762</v>
      </c>
      <c r="F3753" s="81">
        <v>351.0</v>
      </c>
      <c r="G3753" s="81" t="s">
        <v>3</v>
      </c>
      <c r="H3753" s="81" t="s">
        <v>224</v>
      </c>
      <c r="I3753" s="81" t="s">
        <v>920</v>
      </c>
      <c r="J3753" s="81" t="s">
        <v>224</v>
      </c>
      <c r="K3753" s="81" t="str">
        <f>IFERROR(__xludf.DUMMYFUNCTION("IF(OR(D3753="""",G3753=""""),"""",IFERROR(LET(
campo,XLOOKUP(TRIM(G3753),ARRAYFORMULA(TRIM('indice columnas'!$A$2:$A$100)),'indice columnas'!$B$2:$B$100,""""),
col,IFERROR(MATCH(campo,Referencia!$A$1:$AZ$1,0),0),
fila,IFERROR(MATCH(TO_TEXT(D3753),ARRAYFOR"&amp;"MULA(TO_TEXT(Referencia!$A$2:$A6238)),0),0),
IF(OR(campo="""",campo=""-""),""NO APLICA"",
IF(col=0,""REVISAR EQUIVALENCIA"",
IF(fila=0,""SKU NO ENCONTRADO"",
LET(
valor,INDEX(Referencia!$A$2:$AZ6238,fila,col),
IF(TRIM(TO_TEXT(valor))=TRIM(TO_TEXT(I3753)),"&amp;"
""OK"",
""NO COINCIDE. Valor verdadero: ""&amp;IF(valor="""",""[VACÍO]"",TO_TEXT(valor))
)
))))
),""ERROR EN FÓRMULA""))"),"OK")</f>
        <v>OK</v>
      </c>
    </row>
    <row r="3754">
      <c r="A3754" s="83" t="s">
        <v>4896</v>
      </c>
      <c r="B3754" s="83" t="s">
        <v>4897</v>
      </c>
      <c r="C3754" s="81" t="s">
        <v>4086</v>
      </c>
      <c r="D3754" s="83" t="s">
        <v>4407</v>
      </c>
      <c r="E3754" s="81" t="s">
        <v>1762</v>
      </c>
      <c r="F3754" s="81">
        <v>351.0</v>
      </c>
      <c r="G3754" s="81" t="s">
        <v>2</v>
      </c>
      <c r="H3754" s="81" t="s">
        <v>224</v>
      </c>
      <c r="I3754" s="81" t="s">
        <v>919</v>
      </c>
      <c r="J3754" s="81" t="s">
        <v>224</v>
      </c>
      <c r="K3754" s="81" t="str">
        <f>IFERROR(__xludf.DUMMYFUNCTION("IF(OR(D3754="""",G3754=""""),"""",IFERROR(LET(
campo,XLOOKUP(TRIM(G3754),ARRAYFORMULA(TRIM('indice columnas'!$A$2:$A$100)),'indice columnas'!$B$2:$B$100,""""),
col,IFERROR(MATCH(campo,Referencia!$A$1:$AZ$1,0),0),
fila,IFERROR(MATCH(TO_TEXT(D3754),ARRAYFOR"&amp;"MULA(TO_TEXT(Referencia!$A$2:$A6238)),0),0),
IF(OR(campo="""",campo=""-""),""NO APLICA"",
IF(col=0,""REVISAR EQUIVALENCIA"",
IF(fila=0,""SKU NO ENCONTRADO"",
LET(
valor,INDEX(Referencia!$A$2:$AZ6238,fila,col),
IF(TRIM(TO_TEXT(valor))=TRIM(TO_TEXT(I3754)),"&amp;"
""OK"",
""NO COINCIDE. Valor verdadero: ""&amp;IF(valor="""",""[VACÍO]"",TO_TEXT(valor))
)
))))
),""ERROR EN FÓRMULA""))"),"OK")</f>
        <v>OK</v>
      </c>
    </row>
    <row r="3755">
      <c r="A3755" s="83" t="s">
        <v>4896</v>
      </c>
      <c r="B3755" s="83" t="s">
        <v>4897</v>
      </c>
      <c r="C3755" s="81" t="s">
        <v>4086</v>
      </c>
      <c r="D3755" s="83" t="s">
        <v>4407</v>
      </c>
      <c r="E3755" s="81" t="s">
        <v>1762</v>
      </c>
      <c r="F3755" s="81">
        <v>351.0</v>
      </c>
      <c r="G3755" s="81" t="s">
        <v>1</v>
      </c>
      <c r="H3755" s="81" t="s">
        <v>224</v>
      </c>
      <c r="I3755" s="81" t="s">
        <v>49</v>
      </c>
      <c r="J3755" s="81" t="s">
        <v>224</v>
      </c>
      <c r="K3755" s="81" t="str">
        <f>IFERROR(__xludf.DUMMYFUNCTION("IF(OR(D3755="""",G3755=""""),"""",IFERROR(LET(
campo,XLOOKUP(TRIM(G3755),ARRAYFORMULA(TRIM('indice columnas'!$A$2:$A$100)),'indice columnas'!$B$2:$B$100,""""),
col,IFERROR(MATCH(campo,Referencia!$A$1:$AZ$1,0),0),
fila,IFERROR(MATCH(TO_TEXT(D3755),ARRAYFOR"&amp;"MULA(TO_TEXT(Referencia!$A$2:$A6238)),0),0),
IF(OR(campo="""",campo=""-""),""NO APLICA"",
IF(col=0,""REVISAR EQUIVALENCIA"",
IF(fila=0,""SKU NO ENCONTRADO"",
LET(
valor,INDEX(Referencia!$A$2:$AZ6238,fila,col),
IF(TRIM(TO_TEXT(valor))=TRIM(TO_TEXT(I3755)),"&amp;"
""OK"",
""NO COINCIDE. Valor verdadero: ""&amp;IF(valor="""",""[VACÍO]"",TO_TEXT(valor))
)
))))
),""ERROR EN FÓRMULA""))"),"OK")</f>
        <v>OK</v>
      </c>
    </row>
    <row r="3756">
      <c r="A3756" s="83" t="s">
        <v>4896</v>
      </c>
      <c r="B3756" s="83" t="s">
        <v>4897</v>
      </c>
      <c r="C3756" s="81" t="s">
        <v>4086</v>
      </c>
      <c r="D3756" s="83" t="s">
        <v>4410</v>
      </c>
      <c r="E3756" s="81" t="s">
        <v>1772</v>
      </c>
      <c r="F3756" s="81">
        <v>354.0</v>
      </c>
      <c r="G3756" s="81" t="s">
        <v>3</v>
      </c>
      <c r="H3756" s="81" t="s">
        <v>224</v>
      </c>
      <c r="I3756" s="81" t="s">
        <v>926</v>
      </c>
      <c r="J3756" s="81" t="s">
        <v>224</v>
      </c>
      <c r="K3756" s="81" t="str">
        <f>IFERROR(__xludf.DUMMYFUNCTION("IF(OR(D3756="""",G3756=""""),"""",IFERROR(LET(
campo,XLOOKUP(TRIM(G3756),ARRAYFORMULA(TRIM('indice columnas'!$A$2:$A$100)),'indice columnas'!$B$2:$B$100,""""),
col,IFERROR(MATCH(campo,Referencia!$A$1:$AZ$1,0),0),
fila,IFERROR(MATCH(TO_TEXT(D3756),ARRAYFOR"&amp;"MULA(TO_TEXT(Referencia!$A$2:$A6238)),0),0),
IF(OR(campo="""",campo=""-""),""NO APLICA"",
IF(col=0,""REVISAR EQUIVALENCIA"",
IF(fila=0,""SKU NO ENCONTRADO"",
LET(
valor,INDEX(Referencia!$A$2:$AZ6238,fila,col),
IF(TRIM(TO_TEXT(valor))=TRIM(TO_TEXT(I3756)),"&amp;"
""OK"",
""NO COINCIDE. Valor verdadero: ""&amp;IF(valor="""",""[VACÍO]"",TO_TEXT(valor))
)
))))
),""ERROR EN FÓRMULA""))"),"OK")</f>
        <v>OK</v>
      </c>
    </row>
    <row r="3757">
      <c r="A3757" s="83" t="s">
        <v>4896</v>
      </c>
      <c r="B3757" s="83" t="s">
        <v>4897</v>
      </c>
      <c r="C3757" s="81" t="s">
        <v>4086</v>
      </c>
      <c r="D3757" s="83" t="s">
        <v>4410</v>
      </c>
      <c r="E3757" s="81" t="s">
        <v>1772</v>
      </c>
      <c r="F3757" s="81">
        <v>354.0</v>
      </c>
      <c r="G3757" s="81" t="s">
        <v>2</v>
      </c>
      <c r="H3757" s="81" t="s">
        <v>224</v>
      </c>
      <c r="I3757" s="81" t="s">
        <v>1291</v>
      </c>
      <c r="J3757" s="81" t="s">
        <v>224</v>
      </c>
      <c r="K3757" s="81" t="str">
        <f>IFERROR(__xludf.DUMMYFUNCTION("IF(OR(D3757="""",G3757=""""),"""",IFERROR(LET(
campo,XLOOKUP(TRIM(G3757),ARRAYFORMULA(TRIM('indice columnas'!$A$2:$A$100)),'indice columnas'!$B$2:$B$100,""""),
col,IFERROR(MATCH(campo,Referencia!$A$1:$AZ$1,0),0),
fila,IFERROR(MATCH(TO_TEXT(D3757),ARRAYFOR"&amp;"MULA(TO_TEXT(Referencia!$A$2:$A6238)),0),0),
IF(OR(campo="""",campo=""-""),""NO APLICA"",
IF(col=0,""REVISAR EQUIVALENCIA"",
IF(fila=0,""SKU NO ENCONTRADO"",
LET(
valor,INDEX(Referencia!$A$2:$AZ6238,fila,col),
IF(TRIM(TO_TEXT(valor))=TRIM(TO_TEXT(I3757)),"&amp;"
""OK"",
""NO COINCIDE. Valor verdadero: ""&amp;IF(valor="""",""[VACÍO]"",TO_TEXT(valor))
)
))))
),""ERROR EN FÓRMULA""))"),"OK")</f>
        <v>OK</v>
      </c>
    </row>
    <row r="3758">
      <c r="A3758" s="83" t="s">
        <v>4896</v>
      </c>
      <c r="B3758" s="83" t="s">
        <v>4897</v>
      </c>
      <c r="C3758" s="81" t="s">
        <v>4086</v>
      </c>
      <c r="D3758" s="83" t="s">
        <v>4412</v>
      </c>
      <c r="E3758" s="81" t="s">
        <v>1790</v>
      </c>
      <c r="F3758" s="81">
        <v>357.0</v>
      </c>
      <c r="G3758" s="81" t="s">
        <v>3</v>
      </c>
      <c r="H3758" s="81" t="s">
        <v>224</v>
      </c>
      <c r="I3758" s="81" t="s">
        <v>51</v>
      </c>
      <c r="J3758" s="81" t="s">
        <v>224</v>
      </c>
      <c r="K3758" s="81" t="str">
        <f>IFERROR(__xludf.DUMMYFUNCTION("IF(OR(D3758="""",G3758=""""),"""",IFERROR(LET(
campo,XLOOKUP(TRIM(G3758),ARRAYFORMULA(TRIM('indice columnas'!$A$2:$A$100)),'indice columnas'!$B$2:$B$100,""""),
col,IFERROR(MATCH(campo,Referencia!$A$1:$AZ$1,0),0),
fila,IFERROR(MATCH(TO_TEXT(D3758),ARRAYFOR"&amp;"MULA(TO_TEXT(Referencia!$A$2:$A6238)),0),0),
IF(OR(campo="""",campo=""-""),""NO APLICA"",
IF(col=0,""REVISAR EQUIVALENCIA"",
IF(fila=0,""SKU NO ENCONTRADO"",
LET(
valor,INDEX(Referencia!$A$2:$AZ6238,fila,col),
IF(TRIM(TO_TEXT(valor))=TRIM(TO_TEXT(I3758)),"&amp;"
""OK"",
""NO COINCIDE. Valor verdadero: ""&amp;IF(valor="""",""[VACÍO]"",TO_TEXT(valor))
)
))))
),""ERROR EN FÓRMULA""))"),"OK")</f>
        <v>OK</v>
      </c>
    </row>
    <row r="3759">
      <c r="A3759" s="83" t="s">
        <v>4896</v>
      </c>
      <c r="B3759" s="83" t="s">
        <v>4897</v>
      </c>
      <c r="C3759" s="81" t="s">
        <v>4086</v>
      </c>
      <c r="D3759" s="83" t="s">
        <v>4412</v>
      </c>
      <c r="E3759" s="81" t="s">
        <v>1790</v>
      </c>
      <c r="F3759" s="81">
        <v>357.0</v>
      </c>
      <c r="G3759" s="81" t="s">
        <v>2</v>
      </c>
      <c r="H3759" s="81" t="s">
        <v>224</v>
      </c>
      <c r="I3759" s="81" t="s">
        <v>213</v>
      </c>
      <c r="J3759" s="81" t="s">
        <v>224</v>
      </c>
      <c r="K3759" s="81" t="str">
        <f>IFERROR(__xludf.DUMMYFUNCTION("IF(OR(D3759="""",G3759=""""),"""",IFERROR(LET(
campo,XLOOKUP(TRIM(G3759),ARRAYFORMULA(TRIM('indice columnas'!$A$2:$A$100)),'indice columnas'!$B$2:$B$100,""""),
col,IFERROR(MATCH(campo,Referencia!$A$1:$AZ$1,0),0),
fila,IFERROR(MATCH(TO_TEXT(D3759),ARRAYFOR"&amp;"MULA(TO_TEXT(Referencia!$A$2:$A6238)),0),0),
IF(OR(campo="""",campo=""-""),""NO APLICA"",
IF(col=0,""REVISAR EQUIVALENCIA"",
IF(fila=0,""SKU NO ENCONTRADO"",
LET(
valor,INDEX(Referencia!$A$2:$AZ6238,fila,col),
IF(TRIM(TO_TEXT(valor))=TRIM(TO_TEXT(I3759)),"&amp;"
""OK"",
""NO COINCIDE. Valor verdadero: ""&amp;IF(valor="""",""[VACÍO]"",TO_TEXT(valor))
)
))))
),""ERROR EN FÓRMULA""))"),"OK")</f>
        <v>OK</v>
      </c>
    </row>
    <row r="3760">
      <c r="A3760" s="83" t="s">
        <v>4896</v>
      </c>
      <c r="B3760" s="83" t="s">
        <v>4897</v>
      </c>
      <c r="C3760" s="81" t="s">
        <v>4086</v>
      </c>
      <c r="D3760" s="83" t="s">
        <v>4412</v>
      </c>
      <c r="E3760" s="81" t="s">
        <v>1790</v>
      </c>
      <c r="F3760" s="81">
        <v>357.0</v>
      </c>
      <c r="G3760" s="81" t="s">
        <v>1</v>
      </c>
      <c r="H3760" s="81" t="s">
        <v>224</v>
      </c>
      <c r="I3760" s="81" t="s">
        <v>49</v>
      </c>
      <c r="J3760" s="81" t="s">
        <v>224</v>
      </c>
      <c r="K3760" s="81" t="str">
        <f>IFERROR(__xludf.DUMMYFUNCTION("IF(OR(D3760="""",G3760=""""),"""",IFERROR(LET(
campo,XLOOKUP(TRIM(G3760),ARRAYFORMULA(TRIM('indice columnas'!$A$2:$A$100)),'indice columnas'!$B$2:$B$100,""""),
col,IFERROR(MATCH(campo,Referencia!$A$1:$AZ$1,0),0),
fila,IFERROR(MATCH(TO_TEXT(D3760),ARRAYFOR"&amp;"MULA(TO_TEXT(Referencia!$A$2:$A6238)),0),0),
IF(OR(campo="""",campo=""-""),""NO APLICA"",
IF(col=0,""REVISAR EQUIVALENCIA"",
IF(fila=0,""SKU NO ENCONTRADO"",
LET(
valor,INDEX(Referencia!$A$2:$AZ6238,fila,col),
IF(TRIM(TO_TEXT(valor))=TRIM(TO_TEXT(I3760)),"&amp;"
""OK"",
""NO COINCIDE. Valor verdadero: ""&amp;IF(valor="""",""[VACÍO]"",TO_TEXT(valor))
)
))))
),""ERROR EN FÓRMULA""))"),"OK")</f>
        <v>OK</v>
      </c>
    </row>
    <row r="3761">
      <c r="A3761" s="83" t="s">
        <v>4896</v>
      </c>
      <c r="B3761" s="83" t="s">
        <v>4897</v>
      </c>
      <c r="C3761" s="81" t="s">
        <v>4086</v>
      </c>
      <c r="D3761" s="83" t="s">
        <v>4414</v>
      </c>
      <c r="E3761" s="81" t="s">
        <v>1810</v>
      </c>
      <c r="F3761" s="81">
        <v>360.0</v>
      </c>
      <c r="G3761" s="81" t="s">
        <v>3</v>
      </c>
      <c r="H3761" s="81" t="s">
        <v>224</v>
      </c>
      <c r="I3761" s="81" t="s">
        <v>51</v>
      </c>
      <c r="J3761" s="81" t="s">
        <v>224</v>
      </c>
      <c r="K3761" s="81" t="str">
        <f>IFERROR(__xludf.DUMMYFUNCTION("IF(OR(D3761="""",G3761=""""),"""",IFERROR(LET(
campo,XLOOKUP(TRIM(G3761),ARRAYFORMULA(TRIM('indice columnas'!$A$2:$A$100)),'indice columnas'!$B$2:$B$100,""""),
col,IFERROR(MATCH(campo,Referencia!$A$1:$AZ$1,0),0),
fila,IFERROR(MATCH(TO_TEXT(D3761),ARRAYFOR"&amp;"MULA(TO_TEXT(Referencia!$A$2:$A6238)),0),0),
IF(OR(campo="""",campo=""-""),""NO APLICA"",
IF(col=0,""REVISAR EQUIVALENCIA"",
IF(fila=0,""SKU NO ENCONTRADO"",
LET(
valor,INDEX(Referencia!$A$2:$AZ6238,fila,col),
IF(TRIM(TO_TEXT(valor))=TRIM(TO_TEXT(I3761)),"&amp;"
""OK"",
""NO COINCIDE. Valor verdadero: ""&amp;IF(valor="""",""[VACÍO]"",TO_TEXT(valor))
)
))))
),""ERROR EN FÓRMULA""))"),"OK")</f>
        <v>OK</v>
      </c>
    </row>
    <row r="3762">
      <c r="A3762" s="83" t="s">
        <v>4896</v>
      </c>
      <c r="B3762" s="83" t="s">
        <v>4897</v>
      </c>
      <c r="C3762" s="81" t="s">
        <v>4086</v>
      </c>
      <c r="D3762" s="83" t="s">
        <v>4414</v>
      </c>
      <c r="E3762" s="81" t="s">
        <v>1810</v>
      </c>
      <c r="F3762" s="81">
        <v>360.0</v>
      </c>
      <c r="G3762" s="81" t="s">
        <v>2</v>
      </c>
      <c r="H3762" s="81" t="s">
        <v>224</v>
      </c>
      <c r="I3762" s="81" t="s">
        <v>213</v>
      </c>
      <c r="J3762" s="81" t="s">
        <v>224</v>
      </c>
      <c r="K3762" s="81" t="str">
        <f>IFERROR(__xludf.DUMMYFUNCTION("IF(OR(D3762="""",G3762=""""),"""",IFERROR(LET(
campo,XLOOKUP(TRIM(G3762),ARRAYFORMULA(TRIM('indice columnas'!$A$2:$A$100)),'indice columnas'!$B$2:$B$100,""""),
col,IFERROR(MATCH(campo,Referencia!$A$1:$AZ$1,0),0),
fila,IFERROR(MATCH(TO_TEXT(D3762),ARRAYFOR"&amp;"MULA(TO_TEXT(Referencia!$A$2:$A6238)),0),0),
IF(OR(campo="""",campo=""-""),""NO APLICA"",
IF(col=0,""REVISAR EQUIVALENCIA"",
IF(fila=0,""SKU NO ENCONTRADO"",
LET(
valor,INDEX(Referencia!$A$2:$AZ6238,fila,col),
IF(TRIM(TO_TEXT(valor))=TRIM(TO_TEXT(I3762)),"&amp;"
""OK"",
""NO COINCIDE. Valor verdadero: ""&amp;IF(valor="""",""[VACÍO]"",TO_TEXT(valor))
)
))))
),""ERROR EN FÓRMULA""))"),"OK")</f>
        <v>OK</v>
      </c>
    </row>
    <row r="3763">
      <c r="A3763" s="83" t="s">
        <v>4896</v>
      </c>
      <c r="B3763" s="83" t="s">
        <v>4897</v>
      </c>
      <c r="C3763" s="81" t="s">
        <v>4086</v>
      </c>
      <c r="D3763" s="83" t="s">
        <v>4414</v>
      </c>
      <c r="E3763" s="81" t="s">
        <v>1810</v>
      </c>
      <c r="F3763" s="81">
        <v>360.0</v>
      </c>
      <c r="G3763" s="81" t="s">
        <v>1</v>
      </c>
      <c r="H3763" s="81" t="s">
        <v>224</v>
      </c>
      <c r="I3763" s="81" t="s">
        <v>49</v>
      </c>
      <c r="J3763" s="81" t="s">
        <v>224</v>
      </c>
      <c r="K3763" s="81" t="str">
        <f>IFERROR(__xludf.DUMMYFUNCTION("IF(OR(D3763="""",G3763=""""),"""",IFERROR(LET(
campo,XLOOKUP(TRIM(G3763),ARRAYFORMULA(TRIM('indice columnas'!$A$2:$A$100)),'indice columnas'!$B$2:$B$100,""""),
col,IFERROR(MATCH(campo,Referencia!$A$1:$AZ$1,0),0),
fila,IFERROR(MATCH(TO_TEXT(D3763),ARRAYFOR"&amp;"MULA(TO_TEXT(Referencia!$A$2:$A6238)),0),0),
IF(OR(campo="""",campo=""-""),""NO APLICA"",
IF(col=0,""REVISAR EQUIVALENCIA"",
IF(fila=0,""SKU NO ENCONTRADO"",
LET(
valor,INDEX(Referencia!$A$2:$AZ6238,fila,col),
IF(TRIM(TO_TEXT(valor))=TRIM(TO_TEXT(I3763)),"&amp;"
""OK"",
""NO COINCIDE. Valor verdadero: ""&amp;IF(valor="""",""[VACÍO]"",TO_TEXT(valor))
)
))))
),""ERROR EN FÓRMULA""))"),"OK")</f>
        <v>OK</v>
      </c>
    </row>
    <row r="3764">
      <c r="A3764" s="83" t="s">
        <v>4896</v>
      </c>
      <c r="B3764" s="83" t="s">
        <v>4897</v>
      </c>
      <c r="C3764" s="81" t="s">
        <v>4086</v>
      </c>
      <c r="D3764" s="83" t="s">
        <v>4415</v>
      </c>
      <c r="E3764" s="81" t="s">
        <v>1813</v>
      </c>
      <c r="F3764" s="81">
        <v>361.0</v>
      </c>
      <c r="G3764" s="81" t="s">
        <v>3</v>
      </c>
      <c r="H3764" s="81" t="s">
        <v>224</v>
      </c>
      <c r="I3764" s="81" t="s">
        <v>51</v>
      </c>
      <c r="J3764" s="81" t="s">
        <v>224</v>
      </c>
      <c r="K3764" s="81" t="str">
        <f>IFERROR(__xludf.DUMMYFUNCTION("IF(OR(D3764="""",G3764=""""),"""",IFERROR(LET(
campo,XLOOKUP(TRIM(G3764),ARRAYFORMULA(TRIM('indice columnas'!$A$2:$A$100)),'indice columnas'!$B$2:$B$100,""""),
col,IFERROR(MATCH(campo,Referencia!$A$1:$AZ$1,0),0),
fila,IFERROR(MATCH(TO_TEXT(D3764),ARRAYFOR"&amp;"MULA(TO_TEXT(Referencia!$A$2:$A6238)),0),0),
IF(OR(campo="""",campo=""-""),""NO APLICA"",
IF(col=0,""REVISAR EQUIVALENCIA"",
IF(fila=0,""SKU NO ENCONTRADO"",
LET(
valor,INDEX(Referencia!$A$2:$AZ6238,fila,col),
IF(TRIM(TO_TEXT(valor))=TRIM(TO_TEXT(I3764)),"&amp;"
""OK"",
""NO COINCIDE. Valor verdadero: ""&amp;IF(valor="""",""[VACÍO]"",TO_TEXT(valor))
)
))))
),""ERROR EN FÓRMULA""))"),"OK")</f>
        <v>OK</v>
      </c>
    </row>
    <row r="3765">
      <c r="A3765" s="83" t="s">
        <v>4896</v>
      </c>
      <c r="B3765" s="83" t="s">
        <v>4897</v>
      </c>
      <c r="C3765" s="81" t="s">
        <v>4086</v>
      </c>
      <c r="D3765" s="83" t="s">
        <v>4415</v>
      </c>
      <c r="E3765" s="81" t="s">
        <v>1813</v>
      </c>
      <c r="F3765" s="81">
        <v>361.0</v>
      </c>
      <c r="G3765" s="81" t="s">
        <v>2</v>
      </c>
      <c r="H3765" s="81" t="s">
        <v>224</v>
      </c>
      <c r="I3765" s="81" t="s">
        <v>213</v>
      </c>
      <c r="J3765" s="81" t="s">
        <v>224</v>
      </c>
      <c r="K3765" s="81" t="str">
        <f>IFERROR(__xludf.DUMMYFUNCTION("IF(OR(D3765="""",G3765=""""),"""",IFERROR(LET(
campo,XLOOKUP(TRIM(G3765),ARRAYFORMULA(TRIM('indice columnas'!$A$2:$A$100)),'indice columnas'!$B$2:$B$100,""""),
col,IFERROR(MATCH(campo,Referencia!$A$1:$AZ$1,0),0),
fila,IFERROR(MATCH(TO_TEXT(D3765),ARRAYFOR"&amp;"MULA(TO_TEXT(Referencia!$A$2:$A6238)),0),0),
IF(OR(campo="""",campo=""-""),""NO APLICA"",
IF(col=0,""REVISAR EQUIVALENCIA"",
IF(fila=0,""SKU NO ENCONTRADO"",
LET(
valor,INDEX(Referencia!$A$2:$AZ6238,fila,col),
IF(TRIM(TO_TEXT(valor))=TRIM(TO_TEXT(I3765)),"&amp;"
""OK"",
""NO COINCIDE. Valor verdadero: ""&amp;IF(valor="""",""[VACÍO]"",TO_TEXT(valor))
)
))))
),""ERROR EN FÓRMULA""))"),"OK")</f>
        <v>OK</v>
      </c>
    </row>
    <row r="3766">
      <c r="A3766" s="83" t="s">
        <v>4896</v>
      </c>
      <c r="B3766" s="83" t="s">
        <v>4897</v>
      </c>
      <c r="C3766" s="81" t="s">
        <v>4086</v>
      </c>
      <c r="D3766" s="83" t="s">
        <v>4415</v>
      </c>
      <c r="E3766" s="81" t="s">
        <v>1813</v>
      </c>
      <c r="F3766" s="81">
        <v>361.0</v>
      </c>
      <c r="G3766" s="81" t="s">
        <v>1</v>
      </c>
      <c r="H3766" s="81" t="s">
        <v>224</v>
      </c>
      <c r="I3766" s="81" t="s">
        <v>49</v>
      </c>
      <c r="J3766" s="81" t="s">
        <v>224</v>
      </c>
      <c r="K3766" s="81" t="str">
        <f>IFERROR(__xludf.DUMMYFUNCTION("IF(OR(D3766="""",G3766=""""),"""",IFERROR(LET(
campo,XLOOKUP(TRIM(G3766),ARRAYFORMULA(TRIM('indice columnas'!$A$2:$A$100)),'indice columnas'!$B$2:$B$100,""""),
col,IFERROR(MATCH(campo,Referencia!$A$1:$AZ$1,0),0),
fila,IFERROR(MATCH(TO_TEXT(D3766),ARRAYFOR"&amp;"MULA(TO_TEXT(Referencia!$A$2:$A6238)),0),0),
IF(OR(campo="""",campo=""-""),""NO APLICA"",
IF(col=0,""REVISAR EQUIVALENCIA"",
IF(fila=0,""SKU NO ENCONTRADO"",
LET(
valor,INDEX(Referencia!$A$2:$AZ6238,fila,col),
IF(TRIM(TO_TEXT(valor))=TRIM(TO_TEXT(I3766)),"&amp;"
""OK"",
""NO COINCIDE. Valor verdadero: ""&amp;IF(valor="""",""[VACÍO]"",TO_TEXT(valor))
)
))))
),""ERROR EN FÓRMULA""))"),"OK")</f>
        <v>OK</v>
      </c>
    </row>
    <row r="3767">
      <c r="A3767" s="83" t="s">
        <v>4896</v>
      </c>
      <c r="B3767" s="83" t="s">
        <v>4897</v>
      </c>
      <c r="C3767" s="81" t="s">
        <v>4086</v>
      </c>
      <c r="D3767" s="83" t="s">
        <v>4416</v>
      </c>
      <c r="E3767" s="81" t="s">
        <v>1822</v>
      </c>
      <c r="F3767" s="81">
        <v>362.0</v>
      </c>
      <c r="G3767" s="81" t="s">
        <v>3</v>
      </c>
      <c r="H3767" s="81" t="s">
        <v>224</v>
      </c>
      <c r="I3767" s="81" t="s">
        <v>51</v>
      </c>
      <c r="J3767" s="81" t="s">
        <v>224</v>
      </c>
      <c r="K3767" s="81" t="str">
        <f>IFERROR(__xludf.DUMMYFUNCTION("IF(OR(D3767="""",G3767=""""),"""",IFERROR(LET(
campo,XLOOKUP(TRIM(G3767),ARRAYFORMULA(TRIM('indice columnas'!$A$2:$A$100)),'indice columnas'!$B$2:$B$100,""""),
col,IFERROR(MATCH(campo,Referencia!$A$1:$AZ$1,0),0),
fila,IFERROR(MATCH(TO_TEXT(D3767),ARRAYFOR"&amp;"MULA(TO_TEXT(Referencia!$A$2:$A6238)),0),0),
IF(OR(campo="""",campo=""-""),""NO APLICA"",
IF(col=0,""REVISAR EQUIVALENCIA"",
IF(fila=0,""SKU NO ENCONTRADO"",
LET(
valor,INDEX(Referencia!$A$2:$AZ6238,fila,col),
IF(TRIM(TO_TEXT(valor))=TRIM(TO_TEXT(I3767)),"&amp;"
""OK"",
""NO COINCIDE. Valor verdadero: ""&amp;IF(valor="""",""[VACÍO]"",TO_TEXT(valor))
)
))))
),""ERROR EN FÓRMULA""))"),"OK")</f>
        <v>OK</v>
      </c>
    </row>
    <row r="3768">
      <c r="A3768" s="83" t="s">
        <v>4896</v>
      </c>
      <c r="B3768" s="83" t="s">
        <v>4897</v>
      </c>
      <c r="C3768" s="81" t="s">
        <v>4086</v>
      </c>
      <c r="D3768" s="83" t="s">
        <v>4416</v>
      </c>
      <c r="E3768" s="81" t="s">
        <v>1822</v>
      </c>
      <c r="F3768" s="81">
        <v>362.0</v>
      </c>
      <c r="G3768" s="81" t="s">
        <v>2</v>
      </c>
      <c r="H3768" s="81" t="s">
        <v>224</v>
      </c>
      <c r="I3768" s="81" t="s">
        <v>213</v>
      </c>
      <c r="J3768" s="81" t="s">
        <v>224</v>
      </c>
      <c r="K3768" s="81" t="str">
        <f>IFERROR(__xludf.DUMMYFUNCTION("IF(OR(D3768="""",G3768=""""),"""",IFERROR(LET(
campo,XLOOKUP(TRIM(G3768),ARRAYFORMULA(TRIM('indice columnas'!$A$2:$A$100)),'indice columnas'!$B$2:$B$100,""""),
col,IFERROR(MATCH(campo,Referencia!$A$1:$AZ$1,0),0),
fila,IFERROR(MATCH(TO_TEXT(D3768),ARRAYFOR"&amp;"MULA(TO_TEXT(Referencia!$A$2:$A6238)),0),0),
IF(OR(campo="""",campo=""-""),""NO APLICA"",
IF(col=0,""REVISAR EQUIVALENCIA"",
IF(fila=0,""SKU NO ENCONTRADO"",
LET(
valor,INDEX(Referencia!$A$2:$AZ6238,fila,col),
IF(TRIM(TO_TEXT(valor))=TRIM(TO_TEXT(I3768)),"&amp;"
""OK"",
""NO COINCIDE. Valor verdadero: ""&amp;IF(valor="""",""[VACÍO]"",TO_TEXT(valor))
)
))))
),""ERROR EN FÓRMULA""))"),"OK")</f>
        <v>OK</v>
      </c>
    </row>
    <row r="3769">
      <c r="A3769" s="83" t="s">
        <v>4896</v>
      </c>
      <c r="B3769" s="83" t="s">
        <v>4897</v>
      </c>
      <c r="C3769" s="81" t="s">
        <v>4086</v>
      </c>
      <c r="D3769" s="83" t="s">
        <v>4416</v>
      </c>
      <c r="E3769" s="81" t="s">
        <v>1822</v>
      </c>
      <c r="F3769" s="81">
        <v>362.0</v>
      </c>
      <c r="G3769" s="81" t="s">
        <v>1</v>
      </c>
      <c r="H3769" s="81" t="s">
        <v>224</v>
      </c>
      <c r="I3769" s="81" t="s">
        <v>49</v>
      </c>
      <c r="J3769" s="81" t="s">
        <v>224</v>
      </c>
      <c r="K3769" s="81" t="str">
        <f>IFERROR(__xludf.DUMMYFUNCTION("IF(OR(D3769="""",G3769=""""),"""",IFERROR(LET(
campo,XLOOKUP(TRIM(G3769),ARRAYFORMULA(TRIM('indice columnas'!$A$2:$A$100)),'indice columnas'!$B$2:$B$100,""""),
col,IFERROR(MATCH(campo,Referencia!$A$1:$AZ$1,0),0),
fila,IFERROR(MATCH(TO_TEXT(D3769),ARRAYFOR"&amp;"MULA(TO_TEXT(Referencia!$A$2:$A6238)),0),0),
IF(OR(campo="""",campo=""-""),""NO APLICA"",
IF(col=0,""REVISAR EQUIVALENCIA"",
IF(fila=0,""SKU NO ENCONTRADO"",
LET(
valor,INDEX(Referencia!$A$2:$AZ6238,fila,col),
IF(TRIM(TO_TEXT(valor))=TRIM(TO_TEXT(I3769)),"&amp;"
""OK"",
""NO COINCIDE. Valor verdadero: ""&amp;IF(valor="""",""[VACÍO]"",TO_TEXT(valor))
)
))))
),""ERROR EN FÓRMULA""))"),"OK")</f>
        <v>OK</v>
      </c>
    </row>
    <row r="3770">
      <c r="A3770" s="83" t="s">
        <v>4896</v>
      </c>
      <c r="B3770" s="83" t="s">
        <v>4897</v>
      </c>
      <c r="C3770" s="81" t="s">
        <v>4086</v>
      </c>
      <c r="D3770" s="83" t="s">
        <v>4417</v>
      </c>
      <c r="E3770" s="81" t="s">
        <v>1842</v>
      </c>
      <c r="F3770" s="81">
        <v>364.0</v>
      </c>
      <c r="G3770" s="81" t="s">
        <v>2</v>
      </c>
      <c r="H3770" s="81" t="s">
        <v>1827</v>
      </c>
      <c r="I3770" s="81" t="s">
        <v>332</v>
      </c>
      <c r="J3770" s="81" t="s">
        <v>224</v>
      </c>
      <c r="K3770" s="81" t="str">
        <f>IFERROR(__xludf.DUMMYFUNCTION("IF(OR(D3770="""",G3770=""""),"""",IFERROR(LET(
campo,XLOOKUP(TRIM(G3770),ARRAYFORMULA(TRIM('indice columnas'!$A$2:$A$100)),'indice columnas'!$B$2:$B$100,""""),
col,IFERROR(MATCH(campo,Referencia!$A$1:$AZ$1,0),0),
fila,IFERROR(MATCH(TO_TEXT(D3770),ARRAYFOR"&amp;"MULA(TO_TEXT(Referencia!$A$2:$A6238)),0),0),
IF(OR(campo="""",campo=""-""),""NO APLICA"",
IF(col=0,""REVISAR EQUIVALENCIA"",
IF(fila=0,""SKU NO ENCONTRADO"",
LET(
valor,INDEX(Referencia!$A$2:$AZ6238,fila,col),
IF(TRIM(TO_TEXT(valor))=TRIM(TO_TEXT(I3770)),"&amp;"
""OK"",
""NO COINCIDE. Valor verdadero: ""&amp;IF(valor="""",""[VACÍO]"",TO_TEXT(valor))
)
))))
),""ERROR EN FÓRMULA""))"),"OK")</f>
        <v>OK</v>
      </c>
    </row>
    <row r="3771">
      <c r="A3771" s="83" t="s">
        <v>4896</v>
      </c>
      <c r="B3771" s="83" t="s">
        <v>4897</v>
      </c>
      <c r="C3771" s="81" t="s">
        <v>4086</v>
      </c>
      <c r="D3771" s="83" t="s">
        <v>4419</v>
      </c>
      <c r="E3771" s="81" t="s">
        <v>1843</v>
      </c>
      <c r="F3771" s="81">
        <v>365.0</v>
      </c>
      <c r="G3771" s="81" t="s">
        <v>3</v>
      </c>
      <c r="H3771" s="81" t="s">
        <v>224</v>
      </c>
      <c r="I3771" s="81" t="s">
        <v>1595</v>
      </c>
      <c r="J3771" s="81" t="s">
        <v>224</v>
      </c>
      <c r="K3771" s="81" t="str">
        <f>IFERROR(__xludf.DUMMYFUNCTION("IF(OR(D3771="""",G3771=""""),"""",IFERROR(LET(
campo,XLOOKUP(TRIM(G3771),ARRAYFORMULA(TRIM('indice columnas'!$A$2:$A$100)),'indice columnas'!$B$2:$B$100,""""),
col,IFERROR(MATCH(campo,Referencia!$A$1:$AZ$1,0),0),
fila,IFERROR(MATCH(TO_TEXT(D3771),ARRAYFOR"&amp;"MULA(TO_TEXT(Referencia!$A$2:$A6238)),0),0),
IF(OR(campo="""",campo=""-""),""NO APLICA"",
IF(col=0,""REVISAR EQUIVALENCIA"",
IF(fila=0,""SKU NO ENCONTRADO"",
LET(
valor,INDEX(Referencia!$A$2:$AZ6238,fila,col),
IF(TRIM(TO_TEXT(valor))=TRIM(TO_TEXT(I3771)),"&amp;"
""OK"",
""NO COINCIDE. Valor verdadero: ""&amp;IF(valor="""",""[VACÍO]"",TO_TEXT(valor))
)
))))
),""ERROR EN FÓRMULA""))"),"OK")</f>
        <v>OK</v>
      </c>
    </row>
    <row r="3772">
      <c r="A3772" s="83" t="s">
        <v>4896</v>
      </c>
      <c r="B3772" s="83" t="s">
        <v>4897</v>
      </c>
      <c r="C3772" s="81" t="s">
        <v>4086</v>
      </c>
      <c r="D3772" s="83" t="s">
        <v>4419</v>
      </c>
      <c r="E3772" s="81" t="s">
        <v>1843</v>
      </c>
      <c r="F3772" s="81">
        <v>365.0</v>
      </c>
      <c r="G3772" s="81" t="s">
        <v>2</v>
      </c>
      <c r="H3772" s="81" t="s">
        <v>224</v>
      </c>
      <c r="I3772" s="81" t="s">
        <v>332</v>
      </c>
      <c r="J3772" s="81" t="s">
        <v>224</v>
      </c>
      <c r="K3772" s="81" t="str">
        <f>IFERROR(__xludf.DUMMYFUNCTION("IF(OR(D3772="""",G3772=""""),"""",IFERROR(LET(
campo,XLOOKUP(TRIM(G3772),ARRAYFORMULA(TRIM('indice columnas'!$A$2:$A$100)),'indice columnas'!$B$2:$B$100,""""),
col,IFERROR(MATCH(campo,Referencia!$A$1:$AZ$1,0),0),
fila,IFERROR(MATCH(TO_TEXT(D3772),ARRAYFOR"&amp;"MULA(TO_TEXT(Referencia!$A$2:$A6238)),0),0),
IF(OR(campo="""",campo=""-""),""NO APLICA"",
IF(col=0,""REVISAR EQUIVALENCIA"",
IF(fila=0,""SKU NO ENCONTRADO"",
LET(
valor,INDEX(Referencia!$A$2:$AZ6238,fila,col),
IF(TRIM(TO_TEXT(valor))=TRIM(TO_TEXT(I3772)),"&amp;"
""OK"",
""NO COINCIDE. Valor verdadero: ""&amp;IF(valor="""",""[VACÍO]"",TO_TEXT(valor))
)
))))
),""ERROR EN FÓRMULA""))"),"OK")</f>
        <v>OK</v>
      </c>
    </row>
    <row r="3773">
      <c r="A3773" s="83" t="s">
        <v>4896</v>
      </c>
      <c r="B3773" s="83" t="s">
        <v>4897</v>
      </c>
      <c r="C3773" s="81" t="s">
        <v>4086</v>
      </c>
      <c r="D3773" s="83" t="s">
        <v>4420</v>
      </c>
      <c r="E3773" s="81" t="s">
        <v>1844</v>
      </c>
      <c r="F3773" s="81">
        <v>366.0</v>
      </c>
      <c r="G3773" s="81" t="s">
        <v>3</v>
      </c>
      <c r="H3773" s="81" t="s">
        <v>224</v>
      </c>
      <c r="I3773" s="81" t="s">
        <v>1595</v>
      </c>
      <c r="J3773" s="81" t="s">
        <v>224</v>
      </c>
      <c r="K3773" s="81" t="str">
        <f>IFERROR(__xludf.DUMMYFUNCTION("IF(OR(D3773="""",G3773=""""),"""",IFERROR(LET(
campo,XLOOKUP(TRIM(G3773),ARRAYFORMULA(TRIM('indice columnas'!$A$2:$A$100)),'indice columnas'!$B$2:$B$100,""""),
col,IFERROR(MATCH(campo,Referencia!$A$1:$AZ$1,0),0),
fila,IFERROR(MATCH(TO_TEXT(D3773),ARRAYFOR"&amp;"MULA(TO_TEXT(Referencia!$A$2:$A6238)),0),0),
IF(OR(campo="""",campo=""-""),""NO APLICA"",
IF(col=0,""REVISAR EQUIVALENCIA"",
IF(fila=0,""SKU NO ENCONTRADO"",
LET(
valor,INDEX(Referencia!$A$2:$AZ6238,fila,col),
IF(TRIM(TO_TEXT(valor))=TRIM(TO_TEXT(I3773)),"&amp;"
""OK"",
""NO COINCIDE. Valor verdadero: ""&amp;IF(valor="""",""[VACÍO]"",TO_TEXT(valor))
)
))))
),""ERROR EN FÓRMULA""))"),"OK")</f>
        <v>OK</v>
      </c>
    </row>
    <row r="3774">
      <c r="A3774" s="83" t="s">
        <v>4896</v>
      </c>
      <c r="B3774" s="83" t="s">
        <v>4897</v>
      </c>
      <c r="C3774" s="81" t="s">
        <v>4086</v>
      </c>
      <c r="D3774" s="83" t="s">
        <v>4420</v>
      </c>
      <c r="E3774" s="81" t="s">
        <v>1844</v>
      </c>
      <c r="F3774" s="81">
        <v>366.0</v>
      </c>
      <c r="G3774" s="81" t="s">
        <v>2</v>
      </c>
      <c r="H3774" s="81" t="s">
        <v>224</v>
      </c>
      <c r="I3774" s="81" t="s">
        <v>332</v>
      </c>
      <c r="J3774" s="81" t="s">
        <v>224</v>
      </c>
      <c r="K3774" s="81" t="str">
        <f>IFERROR(__xludf.DUMMYFUNCTION("IF(OR(D3774="""",G3774=""""),"""",IFERROR(LET(
campo,XLOOKUP(TRIM(G3774),ARRAYFORMULA(TRIM('indice columnas'!$A$2:$A$100)),'indice columnas'!$B$2:$B$100,""""),
col,IFERROR(MATCH(campo,Referencia!$A$1:$AZ$1,0),0),
fila,IFERROR(MATCH(TO_TEXT(D3774),ARRAYFOR"&amp;"MULA(TO_TEXT(Referencia!$A$2:$A6238)),0),0),
IF(OR(campo="""",campo=""-""),""NO APLICA"",
IF(col=0,""REVISAR EQUIVALENCIA"",
IF(fila=0,""SKU NO ENCONTRADO"",
LET(
valor,INDEX(Referencia!$A$2:$AZ6238,fila,col),
IF(TRIM(TO_TEXT(valor))=TRIM(TO_TEXT(I3774)),"&amp;"
""OK"",
""NO COINCIDE. Valor verdadero: ""&amp;IF(valor="""",""[VACÍO]"",TO_TEXT(valor))
)
))))
),""ERROR EN FÓRMULA""))"),"OK")</f>
        <v>OK</v>
      </c>
    </row>
    <row r="3775">
      <c r="A3775" s="83" t="s">
        <v>4896</v>
      </c>
      <c r="B3775" s="83" t="s">
        <v>4897</v>
      </c>
      <c r="C3775" s="81" t="s">
        <v>4086</v>
      </c>
      <c r="D3775" s="83" t="s">
        <v>4421</v>
      </c>
      <c r="E3775" s="81" t="s">
        <v>1848</v>
      </c>
      <c r="F3775" s="81">
        <v>367.0</v>
      </c>
      <c r="G3775" s="81" t="s">
        <v>3</v>
      </c>
      <c r="H3775" s="81" t="s">
        <v>224</v>
      </c>
      <c r="I3775" s="81" t="s">
        <v>1595</v>
      </c>
      <c r="J3775" s="81" t="s">
        <v>224</v>
      </c>
      <c r="K3775" s="81" t="str">
        <f>IFERROR(__xludf.DUMMYFUNCTION("IF(OR(D3775="""",G3775=""""),"""",IFERROR(LET(
campo,XLOOKUP(TRIM(G3775),ARRAYFORMULA(TRIM('indice columnas'!$A$2:$A$100)),'indice columnas'!$B$2:$B$100,""""),
col,IFERROR(MATCH(campo,Referencia!$A$1:$AZ$1,0),0),
fila,IFERROR(MATCH(TO_TEXT(D3775),ARRAYFOR"&amp;"MULA(TO_TEXT(Referencia!$A$2:$A6238)),0),0),
IF(OR(campo="""",campo=""-""),""NO APLICA"",
IF(col=0,""REVISAR EQUIVALENCIA"",
IF(fila=0,""SKU NO ENCONTRADO"",
LET(
valor,INDEX(Referencia!$A$2:$AZ6238,fila,col),
IF(TRIM(TO_TEXT(valor))=TRIM(TO_TEXT(I3775)),"&amp;"
""OK"",
""NO COINCIDE. Valor verdadero: ""&amp;IF(valor="""",""[VACÍO]"",TO_TEXT(valor))
)
))))
),""ERROR EN FÓRMULA""))"),"OK")</f>
        <v>OK</v>
      </c>
    </row>
    <row r="3776">
      <c r="A3776" s="83" t="s">
        <v>4896</v>
      </c>
      <c r="B3776" s="83" t="s">
        <v>4897</v>
      </c>
      <c r="C3776" s="81" t="s">
        <v>4086</v>
      </c>
      <c r="D3776" s="83" t="s">
        <v>4421</v>
      </c>
      <c r="E3776" s="81" t="s">
        <v>1848</v>
      </c>
      <c r="F3776" s="81">
        <v>367.0</v>
      </c>
      <c r="G3776" s="81" t="s">
        <v>2</v>
      </c>
      <c r="H3776" s="81" t="s">
        <v>224</v>
      </c>
      <c r="I3776" s="81" t="s">
        <v>332</v>
      </c>
      <c r="J3776" s="81" t="s">
        <v>224</v>
      </c>
      <c r="K3776" s="81" t="str">
        <f>IFERROR(__xludf.DUMMYFUNCTION("IF(OR(D3776="""",G3776=""""),"""",IFERROR(LET(
campo,XLOOKUP(TRIM(G3776),ARRAYFORMULA(TRIM('indice columnas'!$A$2:$A$100)),'indice columnas'!$B$2:$B$100,""""),
col,IFERROR(MATCH(campo,Referencia!$A$1:$AZ$1,0),0),
fila,IFERROR(MATCH(TO_TEXT(D3776),ARRAYFOR"&amp;"MULA(TO_TEXT(Referencia!$A$2:$A6238)),0),0),
IF(OR(campo="""",campo=""-""),""NO APLICA"",
IF(col=0,""REVISAR EQUIVALENCIA"",
IF(fila=0,""SKU NO ENCONTRADO"",
LET(
valor,INDEX(Referencia!$A$2:$AZ6238,fila,col),
IF(TRIM(TO_TEXT(valor))=TRIM(TO_TEXT(I3776)),"&amp;"
""OK"",
""NO COINCIDE. Valor verdadero: ""&amp;IF(valor="""",""[VACÍO]"",TO_TEXT(valor))
)
))))
),""ERROR EN FÓRMULA""))"),"OK")</f>
        <v>OK</v>
      </c>
    </row>
    <row r="3777">
      <c r="A3777" s="83" t="s">
        <v>4896</v>
      </c>
      <c r="B3777" s="83" t="s">
        <v>4897</v>
      </c>
      <c r="C3777" s="81" t="s">
        <v>4086</v>
      </c>
      <c r="D3777" s="83" t="s">
        <v>4422</v>
      </c>
      <c r="E3777" s="81" t="s">
        <v>1849</v>
      </c>
      <c r="F3777" s="81">
        <v>368.0</v>
      </c>
      <c r="G3777" s="81" t="s">
        <v>3</v>
      </c>
      <c r="H3777" s="81" t="s">
        <v>224</v>
      </c>
      <c r="I3777" s="81" t="s">
        <v>1595</v>
      </c>
      <c r="J3777" s="81" t="s">
        <v>224</v>
      </c>
      <c r="K3777" s="81" t="str">
        <f>IFERROR(__xludf.DUMMYFUNCTION("IF(OR(D3777="""",G3777=""""),"""",IFERROR(LET(
campo,XLOOKUP(TRIM(G3777),ARRAYFORMULA(TRIM('indice columnas'!$A$2:$A$100)),'indice columnas'!$B$2:$B$100,""""),
col,IFERROR(MATCH(campo,Referencia!$A$1:$AZ$1,0),0),
fila,IFERROR(MATCH(TO_TEXT(D3777),ARRAYFOR"&amp;"MULA(TO_TEXT(Referencia!$A$2:$A6238)),0),0),
IF(OR(campo="""",campo=""-""),""NO APLICA"",
IF(col=0,""REVISAR EQUIVALENCIA"",
IF(fila=0,""SKU NO ENCONTRADO"",
LET(
valor,INDEX(Referencia!$A$2:$AZ6238,fila,col),
IF(TRIM(TO_TEXT(valor))=TRIM(TO_TEXT(I3777)),"&amp;"
""OK"",
""NO COINCIDE. Valor verdadero: ""&amp;IF(valor="""",""[VACÍO]"",TO_TEXT(valor))
)
))))
),""ERROR EN FÓRMULA""))"),"OK")</f>
        <v>OK</v>
      </c>
    </row>
    <row r="3778">
      <c r="A3778" s="83" t="s">
        <v>4896</v>
      </c>
      <c r="B3778" s="83" t="s">
        <v>4897</v>
      </c>
      <c r="C3778" s="81" t="s">
        <v>4086</v>
      </c>
      <c r="D3778" s="83" t="s">
        <v>4422</v>
      </c>
      <c r="E3778" s="81" t="s">
        <v>1849</v>
      </c>
      <c r="F3778" s="81">
        <v>368.0</v>
      </c>
      <c r="G3778" s="81" t="s">
        <v>2</v>
      </c>
      <c r="H3778" s="81" t="s">
        <v>224</v>
      </c>
      <c r="I3778" s="81" t="s">
        <v>332</v>
      </c>
      <c r="J3778" s="81" t="s">
        <v>224</v>
      </c>
      <c r="K3778" s="81" t="str">
        <f>IFERROR(__xludf.DUMMYFUNCTION("IF(OR(D3778="""",G3778=""""),"""",IFERROR(LET(
campo,XLOOKUP(TRIM(G3778),ARRAYFORMULA(TRIM('indice columnas'!$A$2:$A$100)),'indice columnas'!$B$2:$B$100,""""),
col,IFERROR(MATCH(campo,Referencia!$A$1:$AZ$1,0),0),
fila,IFERROR(MATCH(TO_TEXT(D3778),ARRAYFOR"&amp;"MULA(TO_TEXT(Referencia!$A$2:$A6238)),0),0),
IF(OR(campo="""",campo=""-""),""NO APLICA"",
IF(col=0,""REVISAR EQUIVALENCIA"",
IF(fila=0,""SKU NO ENCONTRADO"",
LET(
valor,INDEX(Referencia!$A$2:$AZ6238,fila,col),
IF(TRIM(TO_TEXT(valor))=TRIM(TO_TEXT(I3778)),"&amp;"
""OK"",
""NO COINCIDE. Valor verdadero: ""&amp;IF(valor="""",""[VACÍO]"",TO_TEXT(valor))
)
))))
),""ERROR EN FÓRMULA""))"),"OK")</f>
        <v>OK</v>
      </c>
    </row>
    <row r="3779">
      <c r="A3779" s="83" t="s">
        <v>4896</v>
      </c>
      <c r="B3779" s="83" t="s">
        <v>4897</v>
      </c>
      <c r="C3779" s="81" t="s">
        <v>4086</v>
      </c>
      <c r="D3779" s="83" t="s">
        <v>4423</v>
      </c>
      <c r="E3779" s="81" t="s">
        <v>1860</v>
      </c>
      <c r="F3779" s="81">
        <v>369.0</v>
      </c>
      <c r="G3779" s="81" t="s">
        <v>3</v>
      </c>
      <c r="H3779" s="81" t="s">
        <v>224</v>
      </c>
      <c r="I3779" s="81" t="s">
        <v>1595</v>
      </c>
      <c r="J3779" s="81" t="s">
        <v>224</v>
      </c>
      <c r="K3779" s="81" t="str">
        <f>IFERROR(__xludf.DUMMYFUNCTION("IF(OR(D3779="""",G3779=""""),"""",IFERROR(LET(
campo,XLOOKUP(TRIM(G3779),ARRAYFORMULA(TRIM('indice columnas'!$A$2:$A$100)),'indice columnas'!$B$2:$B$100,""""),
col,IFERROR(MATCH(campo,Referencia!$A$1:$AZ$1,0),0),
fila,IFERROR(MATCH(TO_TEXT(D3779),ARRAYFOR"&amp;"MULA(TO_TEXT(Referencia!$A$2:$A6238)),0),0),
IF(OR(campo="""",campo=""-""),""NO APLICA"",
IF(col=0,""REVISAR EQUIVALENCIA"",
IF(fila=0,""SKU NO ENCONTRADO"",
LET(
valor,INDEX(Referencia!$A$2:$AZ6238,fila,col),
IF(TRIM(TO_TEXT(valor))=TRIM(TO_TEXT(I3779)),"&amp;"
""OK"",
""NO COINCIDE. Valor verdadero: ""&amp;IF(valor="""",""[VACÍO]"",TO_TEXT(valor))
)
))))
),""ERROR EN FÓRMULA""))"),"OK")</f>
        <v>OK</v>
      </c>
    </row>
    <row r="3780">
      <c r="A3780" s="83" t="s">
        <v>4896</v>
      </c>
      <c r="B3780" s="83" t="s">
        <v>4897</v>
      </c>
      <c r="C3780" s="81" t="s">
        <v>4086</v>
      </c>
      <c r="D3780" s="83" t="s">
        <v>4423</v>
      </c>
      <c r="E3780" s="81" t="s">
        <v>1860</v>
      </c>
      <c r="F3780" s="81">
        <v>369.0</v>
      </c>
      <c r="G3780" s="81" t="s">
        <v>2</v>
      </c>
      <c r="H3780" s="81" t="s">
        <v>224</v>
      </c>
      <c r="I3780" s="81" t="s">
        <v>332</v>
      </c>
      <c r="J3780" s="81" t="s">
        <v>224</v>
      </c>
      <c r="K3780" s="81" t="str">
        <f>IFERROR(__xludf.DUMMYFUNCTION("IF(OR(D3780="""",G3780=""""),"""",IFERROR(LET(
campo,XLOOKUP(TRIM(G3780),ARRAYFORMULA(TRIM('indice columnas'!$A$2:$A$100)),'indice columnas'!$B$2:$B$100,""""),
col,IFERROR(MATCH(campo,Referencia!$A$1:$AZ$1,0),0),
fila,IFERROR(MATCH(TO_TEXT(D3780),ARRAYFOR"&amp;"MULA(TO_TEXT(Referencia!$A$2:$A6238)),0),0),
IF(OR(campo="""",campo=""-""),""NO APLICA"",
IF(col=0,""REVISAR EQUIVALENCIA"",
IF(fila=0,""SKU NO ENCONTRADO"",
LET(
valor,INDEX(Referencia!$A$2:$AZ6238,fila,col),
IF(TRIM(TO_TEXT(valor))=TRIM(TO_TEXT(I3780)),"&amp;"
""OK"",
""NO COINCIDE. Valor verdadero: ""&amp;IF(valor="""",""[VACÍO]"",TO_TEXT(valor))
)
))))
),""ERROR EN FÓRMULA""))"),"OK")</f>
        <v>OK</v>
      </c>
    </row>
    <row r="3781">
      <c r="A3781" s="83" t="s">
        <v>4896</v>
      </c>
      <c r="B3781" s="83" t="s">
        <v>4897</v>
      </c>
      <c r="C3781" s="81" t="s">
        <v>4086</v>
      </c>
      <c r="D3781" s="83" t="s">
        <v>4424</v>
      </c>
      <c r="E3781" s="81" t="s">
        <v>1861</v>
      </c>
      <c r="F3781" s="81">
        <v>370.0</v>
      </c>
      <c r="G3781" s="81" t="s">
        <v>3</v>
      </c>
      <c r="H3781" s="81" t="s">
        <v>224</v>
      </c>
      <c r="I3781" s="81" t="s">
        <v>1595</v>
      </c>
      <c r="J3781" s="81" t="s">
        <v>224</v>
      </c>
      <c r="K3781" s="81" t="str">
        <f>IFERROR(__xludf.DUMMYFUNCTION("IF(OR(D3781="""",G3781=""""),"""",IFERROR(LET(
campo,XLOOKUP(TRIM(G3781),ARRAYFORMULA(TRIM('indice columnas'!$A$2:$A$100)),'indice columnas'!$B$2:$B$100,""""),
col,IFERROR(MATCH(campo,Referencia!$A$1:$AZ$1,0),0),
fila,IFERROR(MATCH(TO_TEXT(D3781),ARRAYFOR"&amp;"MULA(TO_TEXT(Referencia!$A$2:$A6238)),0),0),
IF(OR(campo="""",campo=""-""),""NO APLICA"",
IF(col=0,""REVISAR EQUIVALENCIA"",
IF(fila=0,""SKU NO ENCONTRADO"",
LET(
valor,INDEX(Referencia!$A$2:$AZ6238,fila,col),
IF(TRIM(TO_TEXT(valor))=TRIM(TO_TEXT(I3781)),"&amp;"
""OK"",
""NO COINCIDE. Valor verdadero: ""&amp;IF(valor="""",""[VACÍO]"",TO_TEXT(valor))
)
))))
),""ERROR EN FÓRMULA""))"),"OK")</f>
        <v>OK</v>
      </c>
    </row>
    <row r="3782">
      <c r="A3782" s="83" t="s">
        <v>4896</v>
      </c>
      <c r="B3782" s="83" t="s">
        <v>4897</v>
      </c>
      <c r="C3782" s="81" t="s">
        <v>4086</v>
      </c>
      <c r="D3782" s="83" t="s">
        <v>4424</v>
      </c>
      <c r="E3782" s="81" t="s">
        <v>1861</v>
      </c>
      <c r="F3782" s="81">
        <v>370.0</v>
      </c>
      <c r="G3782" s="81" t="s">
        <v>2</v>
      </c>
      <c r="H3782" s="81" t="s">
        <v>224</v>
      </c>
      <c r="I3782" s="81" t="s">
        <v>332</v>
      </c>
      <c r="J3782" s="81" t="s">
        <v>224</v>
      </c>
      <c r="K3782" s="81" t="str">
        <f>IFERROR(__xludf.DUMMYFUNCTION("IF(OR(D3782="""",G3782=""""),"""",IFERROR(LET(
campo,XLOOKUP(TRIM(G3782),ARRAYFORMULA(TRIM('indice columnas'!$A$2:$A$100)),'indice columnas'!$B$2:$B$100,""""),
col,IFERROR(MATCH(campo,Referencia!$A$1:$AZ$1,0),0),
fila,IFERROR(MATCH(TO_TEXT(D3782),ARRAYFOR"&amp;"MULA(TO_TEXT(Referencia!$A$2:$A6238)),0),0),
IF(OR(campo="""",campo=""-""),""NO APLICA"",
IF(col=0,""REVISAR EQUIVALENCIA"",
IF(fila=0,""SKU NO ENCONTRADO"",
LET(
valor,INDEX(Referencia!$A$2:$AZ6238,fila,col),
IF(TRIM(TO_TEXT(valor))=TRIM(TO_TEXT(I3782)),"&amp;"
""OK"",
""NO COINCIDE. Valor verdadero: ""&amp;IF(valor="""",""[VACÍO]"",TO_TEXT(valor))
)
))))
),""ERROR EN FÓRMULA""))"),"OK")</f>
        <v>OK</v>
      </c>
    </row>
    <row r="3783">
      <c r="A3783" s="83" t="s">
        <v>4896</v>
      </c>
      <c r="B3783" s="83" t="s">
        <v>4897</v>
      </c>
      <c r="C3783" s="81" t="s">
        <v>4086</v>
      </c>
      <c r="D3783" s="83" t="s">
        <v>4425</v>
      </c>
      <c r="E3783" s="81" t="s">
        <v>1863</v>
      </c>
      <c r="F3783" s="81">
        <v>371.0</v>
      </c>
      <c r="G3783" s="81" t="s">
        <v>3</v>
      </c>
      <c r="H3783" s="81" t="s">
        <v>224</v>
      </c>
      <c r="I3783" s="81" t="s">
        <v>1595</v>
      </c>
      <c r="J3783" s="81" t="s">
        <v>224</v>
      </c>
      <c r="K3783" s="81" t="str">
        <f>IFERROR(__xludf.DUMMYFUNCTION("IF(OR(D3783="""",G3783=""""),"""",IFERROR(LET(
campo,XLOOKUP(TRIM(G3783),ARRAYFORMULA(TRIM('indice columnas'!$A$2:$A$100)),'indice columnas'!$B$2:$B$100,""""),
col,IFERROR(MATCH(campo,Referencia!$A$1:$AZ$1,0),0),
fila,IFERROR(MATCH(TO_TEXT(D3783),ARRAYFOR"&amp;"MULA(TO_TEXT(Referencia!$A$2:$A6238)),0),0),
IF(OR(campo="""",campo=""-""),""NO APLICA"",
IF(col=0,""REVISAR EQUIVALENCIA"",
IF(fila=0,""SKU NO ENCONTRADO"",
LET(
valor,INDEX(Referencia!$A$2:$AZ6238,fila,col),
IF(TRIM(TO_TEXT(valor))=TRIM(TO_TEXT(I3783)),"&amp;"
""OK"",
""NO COINCIDE. Valor verdadero: ""&amp;IF(valor="""",""[VACÍO]"",TO_TEXT(valor))
)
))))
),""ERROR EN FÓRMULA""))"),"OK")</f>
        <v>OK</v>
      </c>
    </row>
    <row r="3784">
      <c r="A3784" s="83" t="s">
        <v>4896</v>
      </c>
      <c r="B3784" s="83" t="s">
        <v>4897</v>
      </c>
      <c r="C3784" s="81" t="s">
        <v>4086</v>
      </c>
      <c r="D3784" s="83" t="s">
        <v>4425</v>
      </c>
      <c r="E3784" s="81" t="s">
        <v>1863</v>
      </c>
      <c r="F3784" s="81">
        <v>371.0</v>
      </c>
      <c r="G3784" s="81" t="s">
        <v>2</v>
      </c>
      <c r="H3784" s="81" t="s">
        <v>224</v>
      </c>
      <c r="I3784" s="81" t="s">
        <v>332</v>
      </c>
      <c r="J3784" s="81" t="s">
        <v>224</v>
      </c>
      <c r="K3784" s="81" t="str">
        <f>IFERROR(__xludf.DUMMYFUNCTION("IF(OR(D3784="""",G3784=""""),"""",IFERROR(LET(
campo,XLOOKUP(TRIM(G3784),ARRAYFORMULA(TRIM('indice columnas'!$A$2:$A$100)),'indice columnas'!$B$2:$B$100,""""),
col,IFERROR(MATCH(campo,Referencia!$A$1:$AZ$1,0),0),
fila,IFERROR(MATCH(TO_TEXT(D3784),ARRAYFOR"&amp;"MULA(TO_TEXT(Referencia!$A$2:$A6238)),0),0),
IF(OR(campo="""",campo=""-""),""NO APLICA"",
IF(col=0,""REVISAR EQUIVALENCIA"",
IF(fila=0,""SKU NO ENCONTRADO"",
LET(
valor,INDEX(Referencia!$A$2:$AZ6238,fila,col),
IF(TRIM(TO_TEXT(valor))=TRIM(TO_TEXT(I3784)),"&amp;"
""OK"",
""NO COINCIDE. Valor verdadero: ""&amp;IF(valor="""",""[VACÍO]"",TO_TEXT(valor))
)
))))
),""ERROR EN FÓRMULA""))"),"OK")</f>
        <v>OK</v>
      </c>
    </row>
    <row r="3785">
      <c r="A3785" s="83" t="s">
        <v>4896</v>
      </c>
      <c r="B3785" s="83" t="s">
        <v>4897</v>
      </c>
      <c r="C3785" s="81" t="s">
        <v>4086</v>
      </c>
      <c r="D3785" s="83" t="s">
        <v>4426</v>
      </c>
      <c r="E3785" s="81" t="s">
        <v>1864</v>
      </c>
      <c r="F3785" s="81">
        <v>372.0</v>
      </c>
      <c r="G3785" s="81" t="s">
        <v>3</v>
      </c>
      <c r="H3785" s="81" t="s">
        <v>224</v>
      </c>
      <c r="I3785" s="81" t="s">
        <v>1595</v>
      </c>
      <c r="J3785" s="81" t="s">
        <v>224</v>
      </c>
      <c r="K3785" s="81" t="str">
        <f>IFERROR(__xludf.DUMMYFUNCTION("IF(OR(D3785="""",G3785=""""),"""",IFERROR(LET(
campo,XLOOKUP(TRIM(G3785),ARRAYFORMULA(TRIM('indice columnas'!$A$2:$A$100)),'indice columnas'!$B$2:$B$100,""""),
col,IFERROR(MATCH(campo,Referencia!$A$1:$AZ$1,0),0),
fila,IFERROR(MATCH(TO_TEXT(D3785),ARRAYFOR"&amp;"MULA(TO_TEXT(Referencia!$A$2:$A6238)),0),0),
IF(OR(campo="""",campo=""-""),""NO APLICA"",
IF(col=0,""REVISAR EQUIVALENCIA"",
IF(fila=0,""SKU NO ENCONTRADO"",
LET(
valor,INDEX(Referencia!$A$2:$AZ6238,fila,col),
IF(TRIM(TO_TEXT(valor))=TRIM(TO_TEXT(I3785)),"&amp;"
""OK"",
""NO COINCIDE. Valor verdadero: ""&amp;IF(valor="""",""[VACÍO]"",TO_TEXT(valor))
)
))))
),""ERROR EN FÓRMULA""))"),"OK")</f>
        <v>OK</v>
      </c>
    </row>
    <row r="3786">
      <c r="A3786" s="83" t="s">
        <v>4896</v>
      </c>
      <c r="B3786" s="83" t="s">
        <v>4897</v>
      </c>
      <c r="C3786" s="81" t="s">
        <v>4086</v>
      </c>
      <c r="D3786" s="83" t="s">
        <v>4426</v>
      </c>
      <c r="E3786" s="81" t="s">
        <v>1864</v>
      </c>
      <c r="F3786" s="81">
        <v>372.0</v>
      </c>
      <c r="G3786" s="81" t="s">
        <v>2</v>
      </c>
      <c r="H3786" s="81" t="s">
        <v>224</v>
      </c>
      <c r="I3786" s="81" t="s">
        <v>332</v>
      </c>
      <c r="J3786" s="81" t="s">
        <v>224</v>
      </c>
      <c r="K3786" s="81" t="str">
        <f>IFERROR(__xludf.DUMMYFUNCTION("IF(OR(D3786="""",G3786=""""),"""",IFERROR(LET(
campo,XLOOKUP(TRIM(G3786),ARRAYFORMULA(TRIM('indice columnas'!$A$2:$A$100)),'indice columnas'!$B$2:$B$100,""""),
col,IFERROR(MATCH(campo,Referencia!$A$1:$AZ$1,0),0),
fila,IFERROR(MATCH(TO_TEXT(D3786),ARRAYFOR"&amp;"MULA(TO_TEXT(Referencia!$A$2:$A6238)),0),0),
IF(OR(campo="""",campo=""-""),""NO APLICA"",
IF(col=0,""REVISAR EQUIVALENCIA"",
IF(fila=0,""SKU NO ENCONTRADO"",
LET(
valor,INDEX(Referencia!$A$2:$AZ6238,fila,col),
IF(TRIM(TO_TEXT(valor))=TRIM(TO_TEXT(I3786)),"&amp;"
""OK"",
""NO COINCIDE. Valor verdadero: ""&amp;IF(valor="""",""[VACÍO]"",TO_TEXT(valor))
)
))))
),""ERROR EN FÓRMULA""))"),"OK")</f>
        <v>OK</v>
      </c>
    </row>
    <row r="3787">
      <c r="A3787" s="83" t="s">
        <v>4896</v>
      </c>
      <c r="B3787" s="83" t="s">
        <v>4897</v>
      </c>
      <c r="C3787" s="81" t="s">
        <v>4086</v>
      </c>
      <c r="D3787" s="83" t="s">
        <v>4428</v>
      </c>
      <c r="E3787" s="81" t="s">
        <v>1886</v>
      </c>
      <c r="F3787" s="81">
        <v>374.0</v>
      </c>
      <c r="G3787" s="81" t="s">
        <v>2</v>
      </c>
      <c r="H3787" s="81" t="s">
        <v>1827</v>
      </c>
      <c r="I3787" s="81" t="s">
        <v>332</v>
      </c>
      <c r="J3787" s="81" t="s">
        <v>224</v>
      </c>
      <c r="K3787" s="81" t="str">
        <f>IFERROR(__xludf.DUMMYFUNCTION("IF(OR(D3787="""",G3787=""""),"""",IFERROR(LET(
campo,XLOOKUP(TRIM(G3787),ARRAYFORMULA(TRIM('indice columnas'!$A$2:$A$100)),'indice columnas'!$B$2:$B$100,""""),
col,IFERROR(MATCH(campo,Referencia!$A$1:$AZ$1,0),0),
fila,IFERROR(MATCH(TO_TEXT(D3787),ARRAYFOR"&amp;"MULA(TO_TEXT(Referencia!$A$2:$A6238)),0),0),
IF(OR(campo="""",campo=""-""),""NO APLICA"",
IF(col=0,""REVISAR EQUIVALENCIA"",
IF(fila=0,""SKU NO ENCONTRADO"",
LET(
valor,INDEX(Referencia!$A$2:$AZ6238,fila,col),
IF(TRIM(TO_TEXT(valor))=TRIM(TO_TEXT(I3787)),"&amp;"
""OK"",
""NO COINCIDE. Valor verdadero: ""&amp;IF(valor="""",""[VACÍO]"",TO_TEXT(valor))
)
))))
),""ERROR EN FÓRMULA""))"),"OK")</f>
        <v>OK</v>
      </c>
    </row>
    <row r="3788">
      <c r="A3788" s="83" t="s">
        <v>4896</v>
      </c>
      <c r="B3788" s="83" t="s">
        <v>4897</v>
      </c>
      <c r="C3788" s="81" t="s">
        <v>4086</v>
      </c>
      <c r="D3788" s="83" t="s">
        <v>4432</v>
      </c>
      <c r="E3788" s="81" t="s">
        <v>1935</v>
      </c>
      <c r="F3788" s="81">
        <v>380.0</v>
      </c>
      <c r="G3788" s="81" t="s">
        <v>3</v>
      </c>
      <c r="H3788" s="81" t="s">
        <v>376</v>
      </c>
      <c r="I3788" s="81" t="s">
        <v>344</v>
      </c>
      <c r="J3788" s="81" t="s">
        <v>224</v>
      </c>
      <c r="K3788" s="81" t="str">
        <f>IFERROR(__xludf.DUMMYFUNCTION("IF(OR(D3788="""",G3788=""""),"""",IFERROR(LET(
campo,XLOOKUP(TRIM(G3788),ARRAYFORMULA(TRIM('indice columnas'!$A$2:$A$100)),'indice columnas'!$B$2:$B$100,""""),
col,IFERROR(MATCH(campo,Referencia!$A$1:$AZ$1,0),0),
fila,IFERROR(MATCH(TO_TEXT(D3788),ARRAYFOR"&amp;"MULA(TO_TEXT(Referencia!$A$2:$A6238)),0),0),
IF(OR(campo="""",campo=""-""),""NO APLICA"",
IF(col=0,""REVISAR EQUIVALENCIA"",
IF(fila=0,""SKU NO ENCONTRADO"",
LET(
valor,INDEX(Referencia!$A$2:$AZ6238,fila,col),
IF(TRIM(TO_TEXT(valor))=TRIM(TO_TEXT(I3788)),"&amp;"
""OK"",
""NO COINCIDE. Valor verdadero: ""&amp;IF(valor="""",""[VACÍO]"",TO_TEXT(valor))
)
))))
),""ERROR EN FÓRMULA""))"),"OK")</f>
        <v>OK</v>
      </c>
    </row>
    <row r="3789">
      <c r="A3789" s="83" t="s">
        <v>4896</v>
      </c>
      <c r="B3789" s="83" t="s">
        <v>4897</v>
      </c>
      <c r="C3789" s="81" t="s">
        <v>4086</v>
      </c>
      <c r="D3789" s="83" t="s">
        <v>4433</v>
      </c>
      <c r="E3789" s="81" t="s">
        <v>1963</v>
      </c>
      <c r="F3789" s="81">
        <v>382.0</v>
      </c>
      <c r="G3789" s="81" t="s">
        <v>3</v>
      </c>
      <c r="H3789" s="81" t="s">
        <v>376</v>
      </c>
      <c r="I3789" s="81" t="s">
        <v>344</v>
      </c>
      <c r="J3789" s="81" t="s">
        <v>224</v>
      </c>
      <c r="K3789" s="81" t="str">
        <f>IFERROR(__xludf.DUMMYFUNCTION("IF(OR(D3789="""",G3789=""""),"""",IFERROR(LET(
campo,XLOOKUP(TRIM(G3789),ARRAYFORMULA(TRIM('indice columnas'!$A$2:$A$100)),'indice columnas'!$B$2:$B$100,""""),
col,IFERROR(MATCH(campo,Referencia!$A$1:$AZ$1,0),0),
fila,IFERROR(MATCH(TO_TEXT(D3789),ARRAYFOR"&amp;"MULA(TO_TEXT(Referencia!$A$2:$A6238)),0),0),
IF(OR(campo="""",campo=""-""),""NO APLICA"",
IF(col=0,""REVISAR EQUIVALENCIA"",
IF(fila=0,""SKU NO ENCONTRADO"",
LET(
valor,INDEX(Referencia!$A$2:$AZ6238,fila,col),
IF(TRIM(TO_TEXT(valor))=TRIM(TO_TEXT(I3789)),"&amp;"
""OK"",
""NO COINCIDE. Valor verdadero: ""&amp;IF(valor="""",""[VACÍO]"",TO_TEXT(valor))
)
))))
),""ERROR EN FÓRMULA""))"),"OK")</f>
        <v>OK</v>
      </c>
    </row>
    <row r="3790">
      <c r="A3790" s="83" t="s">
        <v>4896</v>
      </c>
      <c r="B3790" s="83" t="s">
        <v>4897</v>
      </c>
      <c r="C3790" s="81" t="s">
        <v>4086</v>
      </c>
      <c r="D3790" s="83" t="s">
        <v>4434</v>
      </c>
      <c r="E3790" s="81" t="s">
        <v>1964</v>
      </c>
      <c r="F3790" s="81">
        <v>384.0</v>
      </c>
      <c r="G3790" s="81" t="s">
        <v>3</v>
      </c>
      <c r="H3790" s="81" t="s">
        <v>376</v>
      </c>
      <c r="I3790" s="81" t="s">
        <v>344</v>
      </c>
      <c r="J3790" s="81" t="s">
        <v>224</v>
      </c>
      <c r="K3790" s="81" t="str">
        <f>IFERROR(__xludf.DUMMYFUNCTION("IF(OR(D3790="""",G3790=""""),"""",IFERROR(LET(
campo,XLOOKUP(TRIM(G3790),ARRAYFORMULA(TRIM('indice columnas'!$A$2:$A$100)),'indice columnas'!$B$2:$B$100,""""),
col,IFERROR(MATCH(campo,Referencia!$A$1:$AZ$1,0),0),
fila,IFERROR(MATCH(TO_TEXT(D3790),ARRAYFOR"&amp;"MULA(TO_TEXT(Referencia!$A$2:$A6238)),0),0),
IF(OR(campo="""",campo=""-""),""NO APLICA"",
IF(col=0,""REVISAR EQUIVALENCIA"",
IF(fila=0,""SKU NO ENCONTRADO"",
LET(
valor,INDEX(Referencia!$A$2:$AZ6238,fila,col),
IF(TRIM(TO_TEXT(valor))=TRIM(TO_TEXT(I3790)),"&amp;"
""OK"",
""NO COINCIDE. Valor verdadero: ""&amp;IF(valor="""",""[VACÍO]"",TO_TEXT(valor))
)
))))
),""ERROR EN FÓRMULA""))"),"OK")</f>
        <v>OK</v>
      </c>
    </row>
    <row r="3791">
      <c r="A3791" s="83" t="s">
        <v>4896</v>
      </c>
      <c r="B3791" s="83" t="s">
        <v>4897</v>
      </c>
      <c r="C3791" s="81" t="s">
        <v>4086</v>
      </c>
      <c r="D3791" s="83" t="s">
        <v>4434</v>
      </c>
      <c r="E3791" s="81" t="s">
        <v>1964</v>
      </c>
      <c r="F3791" s="81">
        <v>384.0</v>
      </c>
      <c r="G3791" s="81" t="s">
        <v>1</v>
      </c>
      <c r="H3791" s="81" t="s">
        <v>224</v>
      </c>
      <c r="I3791" s="81" t="s">
        <v>49</v>
      </c>
      <c r="J3791" s="81" t="s">
        <v>224</v>
      </c>
      <c r="K3791" s="81" t="str">
        <f>IFERROR(__xludf.DUMMYFUNCTION("IF(OR(D3791="""",G3791=""""),"""",IFERROR(LET(
campo,XLOOKUP(TRIM(G3791),ARRAYFORMULA(TRIM('indice columnas'!$A$2:$A$100)),'indice columnas'!$B$2:$B$100,""""),
col,IFERROR(MATCH(campo,Referencia!$A$1:$AZ$1,0),0),
fila,IFERROR(MATCH(TO_TEXT(D3791),ARRAYFOR"&amp;"MULA(TO_TEXT(Referencia!$A$2:$A6238)),0),0),
IF(OR(campo="""",campo=""-""),""NO APLICA"",
IF(col=0,""REVISAR EQUIVALENCIA"",
IF(fila=0,""SKU NO ENCONTRADO"",
LET(
valor,INDEX(Referencia!$A$2:$AZ6238,fila,col),
IF(TRIM(TO_TEXT(valor))=TRIM(TO_TEXT(I3791)),"&amp;"
""OK"",
""NO COINCIDE. Valor verdadero: ""&amp;IF(valor="""",""[VACÍO]"",TO_TEXT(valor))
)
))))
),""ERROR EN FÓRMULA""))"),"OK")</f>
        <v>OK</v>
      </c>
    </row>
    <row r="3792">
      <c r="A3792" s="83" t="s">
        <v>4896</v>
      </c>
      <c r="B3792" s="83" t="s">
        <v>4897</v>
      </c>
      <c r="C3792" s="81" t="s">
        <v>4086</v>
      </c>
      <c r="D3792" s="83" t="s">
        <v>4437</v>
      </c>
      <c r="E3792" s="81" t="s">
        <v>2001</v>
      </c>
      <c r="F3792" s="81">
        <v>389.0</v>
      </c>
      <c r="G3792" s="81" t="s">
        <v>2</v>
      </c>
      <c r="H3792" s="81" t="s">
        <v>1827</v>
      </c>
      <c r="I3792" s="81" t="s">
        <v>332</v>
      </c>
      <c r="J3792" s="81" t="s">
        <v>224</v>
      </c>
      <c r="K3792" s="81" t="str">
        <f>IFERROR(__xludf.DUMMYFUNCTION("IF(OR(D3792="""",G3792=""""),"""",IFERROR(LET(
campo,XLOOKUP(TRIM(G3792),ARRAYFORMULA(TRIM('indice columnas'!$A$2:$A$100)),'indice columnas'!$B$2:$B$100,""""),
col,IFERROR(MATCH(campo,Referencia!$A$1:$AZ$1,0),0),
fila,IFERROR(MATCH(TO_TEXT(D3792),ARRAYFOR"&amp;"MULA(TO_TEXT(Referencia!$A$2:$A6238)),0),0),
IF(OR(campo="""",campo=""-""),""NO APLICA"",
IF(col=0,""REVISAR EQUIVALENCIA"",
IF(fila=0,""SKU NO ENCONTRADO"",
LET(
valor,INDEX(Referencia!$A$2:$AZ6238,fila,col),
IF(TRIM(TO_TEXT(valor))=TRIM(TO_TEXT(I3792)),"&amp;"
""OK"",
""NO COINCIDE. Valor verdadero: ""&amp;IF(valor="""",""[VACÍO]"",TO_TEXT(valor))
)
))))
),""ERROR EN FÓRMULA""))"),"OK")</f>
        <v>OK</v>
      </c>
    </row>
    <row r="3793">
      <c r="A3793" s="83" t="s">
        <v>4896</v>
      </c>
      <c r="B3793" s="83" t="s">
        <v>4897</v>
      </c>
      <c r="C3793" s="81" t="s">
        <v>4086</v>
      </c>
      <c r="D3793" s="83" t="s">
        <v>4438</v>
      </c>
      <c r="E3793" s="81" t="s">
        <v>2002</v>
      </c>
      <c r="F3793" s="81">
        <v>390.0</v>
      </c>
      <c r="G3793" s="81" t="s">
        <v>2</v>
      </c>
      <c r="H3793" s="81" t="s">
        <v>1827</v>
      </c>
      <c r="I3793" s="81" t="s">
        <v>332</v>
      </c>
      <c r="J3793" s="81" t="s">
        <v>224</v>
      </c>
      <c r="K3793" s="81" t="str">
        <f>IFERROR(__xludf.DUMMYFUNCTION("IF(OR(D3793="""",G3793=""""),"""",IFERROR(LET(
campo,XLOOKUP(TRIM(G3793),ARRAYFORMULA(TRIM('indice columnas'!$A$2:$A$100)),'indice columnas'!$B$2:$B$100,""""),
col,IFERROR(MATCH(campo,Referencia!$A$1:$AZ$1,0),0),
fila,IFERROR(MATCH(TO_TEXT(D3793),ARRAYFOR"&amp;"MULA(TO_TEXT(Referencia!$A$2:$A6238)),0),0),
IF(OR(campo="""",campo=""-""),""NO APLICA"",
IF(col=0,""REVISAR EQUIVALENCIA"",
IF(fila=0,""SKU NO ENCONTRADO"",
LET(
valor,INDEX(Referencia!$A$2:$AZ6238,fila,col),
IF(TRIM(TO_TEXT(valor))=TRIM(TO_TEXT(I3793)),"&amp;"
""OK"",
""NO COINCIDE. Valor verdadero: ""&amp;IF(valor="""",""[VACÍO]"",TO_TEXT(valor))
)
))))
),""ERROR EN FÓRMULA""))"),"OK")</f>
        <v>OK</v>
      </c>
    </row>
    <row r="3794">
      <c r="A3794" s="83" t="s">
        <v>4896</v>
      </c>
      <c r="B3794" s="83" t="s">
        <v>4897</v>
      </c>
      <c r="C3794" s="81" t="s">
        <v>4086</v>
      </c>
      <c r="D3794" s="83" t="s">
        <v>4442</v>
      </c>
      <c r="E3794" s="81" t="s">
        <v>2022</v>
      </c>
      <c r="F3794" s="81">
        <v>393.0</v>
      </c>
      <c r="G3794" s="81" t="s">
        <v>3</v>
      </c>
      <c r="H3794" s="81" t="s">
        <v>224</v>
      </c>
      <c r="I3794" s="81" t="s">
        <v>214</v>
      </c>
      <c r="J3794" s="81" t="s">
        <v>224</v>
      </c>
      <c r="K3794" s="81" t="str">
        <f>IFERROR(__xludf.DUMMYFUNCTION("IF(OR(D3794="""",G3794=""""),"""",IFERROR(LET(
campo,XLOOKUP(TRIM(G3794),ARRAYFORMULA(TRIM('indice columnas'!$A$2:$A$100)),'indice columnas'!$B$2:$B$100,""""),
col,IFERROR(MATCH(campo,Referencia!$A$1:$AZ$1,0),0),
fila,IFERROR(MATCH(TO_TEXT(D3794),ARRAYFOR"&amp;"MULA(TO_TEXT(Referencia!$A$2:$A6238)),0),0),
IF(OR(campo="""",campo=""-""),""NO APLICA"",
IF(col=0,""REVISAR EQUIVALENCIA"",
IF(fila=0,""SKU NO ENCONTRADO"",
LET(
valor,INDEX(Referencia!$A$2:$AZ6238,fila,col),
IF(TRIM(TO_TEXT(valor))=TRIM(TO_TEXT(I3794)),"&amp;"
""OK"",
""NO COINCIDE. Valor verdadero: ""&amp;IF(valor="""",""[VACÍO]"",TO_TEXT(valor))
)
))))
),""ERROR EN FÓRMULA""))"),"OK")</f>
        <v>OK</v>
      </c>
    </row>
    <row r="3795">
      <c r="A3795" s="83" t="s">
        <v>4896</v>
      </c>
      <c r="B3795" s="83" t="s">
        <v>4897</v>
      </c>
      <c r="C3795" s="81" t="s">
        <v>4086</v>
      </c>
      <c r="D3795" s="83" t="s">
        <v>4442</v>
      </c>
      <c r="E3795" s="81" t="s">
        <v>2022</v>
      </c>
      <c r="F3795" s="81">
        <v>393.0</v>
      </c>
      <c r="G3795" s="81" t="s">
        <v>2</v>
      </c>
      <c r="H3795" s="81" t="s">
        <v>224</v>
      </c>
      <c r="I3795" s="81" t="s">
        <v>213</v>
      </c>
      <c r="J3795" s="81" t="s">
        <v>224</v>
      </c>
      <c r="K3795" s="81" t="str">
        <f>IFERROR(__xludf.DUMMYFUNCTION("IF(OR(D3795="""",G3795=""""),"""",IFERROR(LET(
campo,XLOOKUP(TRIM(G3795),ARRAYFORMULA(TRIM('indice columnas'!$A$2:$A$100)),'indice columnas'!$B$2:$B$100,""""),
col,IFERROR(MATCH(campo,Referencia!$A$1:$AZ$1,0),0),
fila,IFERROR(MATCH(TO_TEXT(D3795),ARRAYFOR"&amp;"MULA(TO_TEXT(Referencia!$A$2:$A6238)),0),0),
IF(OR(campo="""",campo=""-""),""NO APLICA"",
IF(col=0,""REVISAR EQUIVALENCIA"",
IF(fila=0,""SKU NO ENCONTRADO"",
LET(
valor,INDEX(Referencia!$A$2:$AZ6238,fila,col),
IF(TRIM(TO_TEXT(valor))=TRIM(TO_TEXT(I3795)),"&amp;"
""OK"",
""NO COINCIDE. Valor verdadero: ""&amp;IF(valor="""",""[VACÍO]"",TO_TEXT(valor))
)
))))
),""ERROR EN FÓRMULA""))"),"OK")</f>
        <v>OK</v>
      </c>
    </row>
    <row r="3796">
      <c r="A3796" s="83" t="s">
        <v>4896</v>
      </c>
      <c r="B3796" s="83" t="s">
        <v>4897</v>
      </c>
      <c r="C3796" s="81" t="s">
        <v>4086</v>
      </c>
      <c r="D3796" s="83" t="s">
        <v>4449</v>
      </c>
      <c r="E3796" s="81" t="s">
        <v>2059</v>
      </c>
      <c r="F3796" s="81">
        <v>398.0</v>
      </c>
      <c r="G3796" s="81" t="s">
        <v>3</v>
      </c>
      <c r="H3796" s="81" t="s">
        <v>224</v>
      </c>
      <c r="I3796" s="81" t="s">
        <v>51</v>
      </c>
      <c r="J3796" s="81" t="s">
        <v>224</v>
      </c>
      <c r="K3796" s="81" t="str">
        <f>IFERROR(__xludf.DUMMYFUNCTION("IF(OR(D3796="""",G3796=""""),"""",IFERROR(LET(
campo,XLOOKUP(TRIM(G3796),ARRAYFORMULA(TRIM('indice columnas'!$A$2:$A$100)),'indice columnas'!$B$2:$B$100,""""),
col,IFERROR(MATCH(campo,Referencia!$A$1:$AZ$1,0),0),
fila,IFERROR(MATCH(TO_TEXT(D3796),ARRAYFOR"&amp;"MULA(TO_TEXT(Referencia!$A$2:$A6238)),0),0),
IF(OR(campo="""",campo=""-""),""NO APLICA"",
IF(col=0,""REVISAR EQUIVALENCIA"",
IF(fila=0,""SKU NO ENCONTRADO"",
LET(
valor,INDEX(Referencia!$A$2:$AZ6238,fila,col),
IF(TRIM(TO_TEXT(valor))=TRIM(TO_TEXT(I3796)),"&amp;"
""OK"",
""NO COINCIDE. Valor verdadero: ""&amp;IF(valor="""",""[VACÍO]"",TO_TEXT(valor))
)
))))
),""ERROR EN FÓRMULA""))"),"OK")</f>
        <v>OK</v>
      </c>
    </row>
    <row r="3797">
      <c r="A3797" s="83" t="s">
        <v>4896</v>
      </c>
      <c r="B3797" s="83" t="s">
        <v>4897</v>
      </c>
      <c r="C3797" s="81" t="s">
        <v>4086</v>
      </c>
      <c r="D3797" s="83" t="s">
        <v>4449</v>
      </c>
      <c r="E3797" s="81" t="s">
        <v>2059</v>
      </c>
      <c r="F3797" s="81">
        <v>398.0</v>
      </c>
      <c r="G3797" s="81" t="s">
        <v>2</v>
      </c>
      <c r="H3797" s="81" t="s">
        <v>224</v>
      </c>
      <c r="I3797" s="81" t="s">
        <v>213</v>
      </c>
      <c r="J3797" s="81" t="s">
        <v>224</v>
      </c>
      <c r="K3797" s="81" t="str">
        <f>IFERROR(__xludf.DUMMYFUNCTION("IF(OR(D3797="""",G3797=""""),"""",IFERROR(LET(
campo,XLOOKUP(TRIM(G3797),ARRAYFORMULA(TRIM('indice columnas'!$A$2:$A$100)),'indice columnas'!$B$2:$B$100,""""),
col,IFERROR(MATCH(campo,Referencia!$A$1:$AZ$1,0),0),
fila,IFERROR(MATCH(TO_TEXT(D3797),ARRAYFOR"&amp;"MULA(TO_TEXT(Referencia!$A$2:$A6238)),0),0),
IF(OR(campo="""",campo=""-""),""NO APLICA"",
IF(col=0,""REVISAR EQUIVALENCIA"",
IF(fila=0,""SKU NO ENCONTRADO"",
LET(
valor,INDEX(Referencia!$A$2:$AZ6238,fila,col),
IF(TRIM(TO_TEXT(valor))=TRIM(TO_TEXT(I3797)),"&amp;"
""OK"",
""NO COINCIDE. Valor verdadero: ""&amp;IF(valor="""",""[VACÍO]"",TO_TEXT(valor))
)
))))
),""ERROR EN FÓRMULA""))"),"OK")</f>
        <v>OK</v>
      </c>
    </row>
    <row r="3798">
      <c r="A3798" s="83" t="s">
        <v>4896</v>
      </c>
      <c r="B3798" s="83" t="s">
        <v>4897</v>
      </c>
      <c r="C3798" s="81" t="s">
        <v>4086</v>
      </c>
      <c r="D3798" s="83" t="s">
        <v>4449</v>
      </c>
      <c r="E3798" s="81" t="s">
        <v>2059</v>
      </c>
      <c r="F3798" s="81">
        <v>398.0</v>
      </c>
      <c r="G3798" s="81" t="s">
        <v>1</v>
      </c>
      <c r="H3798" s="81" t="s">
        <v>224</v>
      </c>
      <c r="I3798" s="81" t="s">
        <v>49</v>
      </c>
      <c r="J3798" s="81" t="s">
        <v>224</v>
      </c>
      <c r="K3798" s="81" t="str">
        <f>IFERROR(__xludf.DUMMYFUNCTION("IF(OR(D3798="""",G3798=""""),"""",IFERROR(LET(
campo,XLOOKUP(TRIM(G3798),ARRAYFORMULA(TRIM('indice columnas'!$A$2:$A$100)),'indice columnas'!$B$2:$B$100,""""),
col,IFERROR(MATCH(campo,Referencia!$A$1:$AZ$1,0),0),
fila,IFERROR(MATCH(TO_TEXT(D3798),ARRAYFOR"&amp;"MULA(TO_TEXT(Referencia!$A$2:$A6238)),0),0),
IF(OR(campo="""",campo=""-""),""NO APLICA"",
IF(col=0,""REVISAR EQUIVALENCIA"",
IF(fila=0,""SKU NO ENCONTRADO"",
LET(
valor,INDEX(Referencia!$A$2:$AZ6238,fila,col),
IF(TRIM(TO_TEXT(valor))=TRIM(TO_TEXT(I3798)),"&amp;"
""OK"",
""NO COINCIDE. Valor verdadero: ""&amp;IF(valor="""",""[VACÍO]"",TO_TEXT(valor))
)
))))
),""ERROR EN FÓRMULA""))"),"OK")</f>
        <v>OK</v>
      </c>
    </row>
    <row r="3799">
      <c r="A3799" s="83" t="s">
        <v>4896</v>
      </c>
      <c r="B3799" s="83" t="s">
        <v>4897</v>
      </c>
      <c r="C3799" s="81" t="s">
        <v>4086</v>
      </c>
      <c r="D3799" s="83" t="s">
        <v>4454</v>
      </c>
      <c r="E3799" s="81" t="s">
        <v>2099</v>
      </c>
      <c r="F3799" s="81">
        <v>403.0</v>
      </c>
      <c r="G3799" s="81" t="s">
        <v>3</v>
      </c>
      <c r="H3799" s="81" t="s">
        <v>224</v>
      </c>
      <c r="I3799" s="81" t="s">
        <v>51</v>
      </c>
      <c r="J3799" s="81" t="s">
        <v>224</v>
      </c>
      <c r="K3799" s="81" t="str">
        <f>IFERROR(__xludf.DUMMYFUNCTION("IF(OR(D3799="""",G3799=""""),"""",IFERROR(LET(
campo,XLOOKUP(TRIM(G3799),ARRAYFORMULA(TRIM('indice columnas'!$A$2:$A$100)),'indice columnas'!$B$2:$B$100,""""),
col,IFERROR(MATCH(campo,Referencia!$A$1:$AZ$1,0),0),
fila,IFERROR(MATCH(TO_TEXT(D3799),ARRAYFOR"&amp;"MULA(TO_TEXT(Referencia!$A$2:$A6238)),0),0),
IF(OR(campo="""",campo=""-""),""NO APLICA"",
IF(col=0,""REVISAR EQUIVALENCIA"",
IF(fila=0,""SKU NO ENCONTRADO"",
LET(
valor,INDEX(Referencia!$A$2:$AZ6238,fila,col),
IF(TRIM(TO_TEXT(valor))=TRIM(TO_TEXT(I3799)),"&amp;"
""OK"",
""NO COINCIDE. Valor verdadero: ""&amp;IF(valor="""",""[VACÍO]"",TO_TEXT(valor))
)
))))
),""ERROR EN FÓRMULA""))"),"OK")</f>
        <v>OK</v>
      </c>
    </row>
    <row r="3800">
      <c r="A3800" s="83" t="s">
        <v>4896</v>
      </c>
      <c r="B3800" s="83" t="s">
        <v>4897</v>
      </c>
      <c r="C3800" s="81" t="s">
        <v>4086</v>
      </c>
      <c r="D3800" s="83" t="s">
        <v>4454</v>
      </c>
      <c r="E3800" s="81" t="s">
        <v>2099</v>
      </c>
      <c r="F3800" s="81">
        <v>403.0</v>
      </c>
      <c r="G3800" s="81" t="s">
        <v>2</v>
      </c>
      <c r="H3800" s="81" t="s">
        <v>224</v>
      </c>
      <c r="I3800" s="81" t="s">
        <v>213</v>
      </c>
      <c r="J3800" s="81" t="s">
        <v>224</v>
      </c>
      <c r="K3800" s="81" t="str">
        <f>IFERROR(__xludf.DUMMYFUNCTION("IF(OR(D3800="""",G3800=""""),"""",IFERROR(LET(
campo,XLOOKUP(TRIM(G3800),ARRAYFORMULA(TRIM('indice columnas'!$A$2:$A$100)),'indice columnas'!$B$2:$B$100,""""),
col,IFERROR(MATCH(campo,Referencia!$A$1:$AZ$1,0),0),
fila,IFERROR(MATCH(TO_TEXT(D3800),ARRAYFOR"&amp;"MULA(TO_TEXT(Referencia!$A$2:$A6238)),0),0),
IF(OR(campo="""",campo=""-""),""NO APLICA"",
IF(col=0,""REVISAR EQUIVALENCIA"",
IF(fila=0,""SKU NO ENCONTRADO"",
LET(
valor,INDEX(Referencia!$A$2:$AZ6238,fila,col),
IF(TRIM(TO_TEXT(valor))=TRIM(TO_TEXT(I3800)),"&amp;"
""OK"",
""NO COINCIDE. Valor verdadero: ""&amp;IF(valor="""",""[VACÍO]"",TO_TEXT(valor))
)
))))
),""ERROR EN FÓRMULA""))"),"OK")</f>
        <v>OK</v>
      </c>
    </row>
    <row r="3801">
      <c r="A3801" s="83" t="s">
        <v>4896</v>
      </c>
      <c r="B3801" s="83" t="s">
        <v>4897</v>
      </c>
      <c r="C3801" s="81" t="s">
        <v>4086</v>
      </c>
      <c r="D3801" s="83" t="s">
        <v>4454</v>
      </c>
      <c r="E3801" s="81" t="s">
        <v>2099</v>
      </c>
      <c r="F3801" s="81">
        <v>403.0</v>
      </c>
      <c r="G3801" s="81" t="s">
        <v>1</v>
      </c>
      <c r="H3801" s="81" t="s">
        <v>224</v>
      </c>
      <c r="I3801" s="81" t="s">
        <v>49</v>
      </c>
      <c r="J3801" s="81" t="s">
        <v>224</v>
      </c>
      <c r="K3801" s="81" t="str">
        <f>IFERROR(__xludf.DUMMYFUNCTION("IF(OR(D3801="""",G3801=""""),"""",IFERROR(LET(
campo,XLOOKUP(TRIM(G3801),ARRAYFORMULA(TRIM('indice columnas'!$A$2:$A$100)),'indice columnas'!$B$2:$B$100,""""),
col,IFERROR(MATCH(campo,Referencia!$A$1:$AZ$1,0),0),
fila,IFERROR(MATCH(TO_TEXT(D3801),ARRAYFOR"&amp;"MULA(TO_TEXT(Referencia!$A$2:$A6238)),0),0),
IF(OR(campo="""",campo=""-""),""NO APLICA"",
IF(col=0,""REVISAR EQUIVALENCIA"",
IF(fila=0,""SKU NO ENCONTRADO"",
LET(
valor,INDEX(Referencia!$A$2:$AZ6238,fila,col),
IF(TRIM(TO_TEXT(valor))=TRIM(TO_TEXT(I3801)),"&amp;"
""OK"",
""NO COINCIDE. Valor verdadero: ""&amp;IF(valor="""",""[VACÍO]"",TO_TEXT(valor))
)
))))
),""ERROR EN FÓRMULA""))"),"OK")</f>
        <v>OK</v>
      </c>
    </row>
    <row r="3802">
      <c r="A3802" s="83" t="s">
        <v>4896</v>
      </c>
      <c r="B3802" s="83" t="s">
        <v>4897</v>
      </c>
      <c r="C3802" s="81" t="s">
        <v>4086</v>
      </c>
      <c r="D3802" s="83" t="s">
        <v>4455</v>
      </c>
      <c r="E3802" s="81" t="s">
        <v>2102</v>
      </c>
      <c r="F3802" s="81">
        <v>404.0</v>
      </c>
      <c r="G3802" s="81" t="s">
        <v>3</v>
      </c>
      <c r="H3802" s="81" t="s">
        <v>224</v>
      </c>
      <c r="I3802" s="81" t="s">
        <v>51</v>
      </c>
      <c r="J3802" s="81" t="s">
        <v>224</v>
      </c>
      <c r="K3802" s="81" t="str">
        <f>IFERROR(__xludf.DUMMYFUNCTION("IF(OR(D3802="""",G3802=""""),"""",IFERROR(LET(
campo,XLOOKUP(TRIM(G3802),ARRAYFORMULA(TRIM('indice columnas'!$A$2:$A$100)),'indice columnas'!$B$2:$B$100,""""),
col,IFERROR(MATCH(campo,Referencia!$A$1:$AZ$1,0),0),
fila,IFERROR(MATCH(TO_TEXT(D3802),ARRAYFOR"&amp;"MULA(TO_TEXT(Referencia!$A$2:$A6238)),0),0),
IF(OR(campo="""",campo=""-""),""NO APLICA"",
IF(col=0,""REVISAR EQUIVALENCIA"",
IF(fila=0,""SKU NO ENCONTRADO"",
LET(
valor,INDEX(Referencia!$A$2:$AZ6238,fila,col),
IF(TRIM(TO_TEXT(valor))=TRIM(TO_TEXT(I3802)),"&amp;"
""OK"",
""NO COINCIDE. Valor verdadero: ""&amp;IF(valor="""",""[VACÍO]"",TO_TEXT(valor))
)
))))
),""ERROR EN FÓRMULA""))"),"OK")</f>
        <v>OK</v>
      </c>
    </row>
    <row r="3803">
      <c r="A3803" s="83" t="s">
        <v>4896</v>
      </c>
      <c r="B3803" s="83" t="s">
        <v>4897</v>
      </c>
      <c r="C3803" s="81" t="s">
        <v>4086</v>
      </c>
      <c r="D3803" s="83" t="s">
        <v>4455</v>
      </c>
      <c r="E3803" s="81" t="s">
        <v>2102</v>
      </c>
      <c r="F3803" s="81">
        <v>404.0</v>
      </c>
      <c r="G3803" s="81" t="s">
        <v>2</v>
      </c>
      <c r="H3803" s="81" t="s">
        <v>224</v>
      </c>
      <c r="I3803" s="81" t="s">
        <v>213</v>
      </c>
      <c r="J3803" s="81" t="s">
        <v>224</v>
      </c>
      <c r="K3803" s="81" t="str">
        <f>IFERROR(__xludf.DUMMYFUNCTION("IF(OR(D3803="""",G3803=""""),"""",IFERROR(LET(
campo,XLOOKUP(TRIM(G3803),ARRAYFORMULA(TRIM('indice columnas'!$A$2:$A$100)),'indice columnas'!$B$2:$B$100,""""),
col,IFERROR(MATCH(campo,Referencia!$A$1:$AZ$1,0),0),
fila,IFERROR(MATCH(TO_TEXT(D3803),ARRAYFOR"&amp;"MULA(TO_TEXT(Referencia!$A$2:$A6238)),0),0),
IF(OR(campo="""",campo=""-""),""NO APLICA"",
IF(col=0,""REVISAR EQUIVALENCIA"",
IF(fila=0,""SKU NO ENCONTRADO"",
LET(
valor,INDEX(Referencia!$A$2:$AZ6238,fila,col),
IF(TRIM(TO_TEXT(valor))=TRIM(TO_TEXT(I3803)),"&amp;"
""OK"",
""NO COINCIDE. Valor verdadero: ""&amp;IF(valor="""",""[VACÍO]"",TO_TEXT(valor))
)
))))
),""ERROR EN FÓRMULA""))"),"OK")</f>
        <v>OK</v>
      </c>
    </row>
    <row r="3804">
      <c r="A3804" s="83" t="s">
        <v>4896</v>
      </c>
      <c r="B3804" s="83" t="s">
        <v>4897</v>
      </c>
      <c r="C3804" s="81" t="s">
        <v>4086</v>
      </c>
      <c r="D3804" s="83" t="s">
        <v>4455</v>
      </c>
      <c r="E3804" s="81" t="s">
        <v>2102</v>
      </c>
      <c r="F3804" s="81">
        <v>404.0</v>
      </c>
      <c r="G3804" s="81" t="s">
        <v>1</v>
      </c>
      <c r="H3804" s="81" t="s">
        <v>224</v>
      </c>
      <c r="I3804" s="81" t="s">
        <v>49</v>
      </c>
      <c r="J3804" s="81" t="s">
        <v>224</v>
      </c>
      <c r="K3804" s="81" t="str">
        <f>IFERROR(__xludf.DUMMYFUNCTION("IF(OR(D3804="""",G3804=""""),"""",IFERROR(LET(
campo,XLOOKUP(TRIM(G3804),ARRAYFORMULA(TRIM('indice columnas'!$A$2:$A$100)),'indice columnas'!$B$2:$B$100,""""),
col,IFERROR(MATCH(campo,Referencia!$A$1:$AZ$1,0),0),
fila,IFERROR(MATCH(TO_TEXT(D3804),ARRAYFOR"&amp;"MULA(TO_TEXT(Referencia!$A$2:$A6238)),0),0),
IF(OR(campo="""",campo=""-""),""NO APLICA"",
IF(col=0,""REVISAR EQUIVALENCIA"",
IF(fila=0,""SKU NO ENCONTRADO"",
LET(
valor,INDEX(Referencia!$A$2:$AZ6238,fila,col),
IF(TRIM(TO_TEXT(valor))=TRIM(TO_TEXT(I3804)),"&amp;"
""OK"",
""NO COINCIDE. Valor verdadero: ""&amp;IF(valor="""",""[VACÍO]"",TO_TEXT(valor))
)
))))
),""ERROR EN FÓRMULA""))"),"OK")</f>
        <v>OK</v>
      </c>
    </row>
    <row r="3805">
      <c r="A3805" s="83" t="s">
        <v>4896</v>
      </c>
      <c r="B3805" s="83" t="s">
        <v>4897</v>
      </c>
      <c r="C3805" s="81" t="s">
        <v>4086</v>
      </c>
      <c r="D3805" s="83" t="s">
        <v>4456</v>
      </c>
      <c r="E3805" s="81" t="s">
        <v>2111</v>
      </c>
      <c r="F3805" s="81">
        <v>405.0</v>
      </c>
      <c r="G3805" s="81" t="s">
        <v>3</v>
      </c>
      <c r="H3805" s="81" t="s">
        <v>224</v>
      </c>
      <c r="I3805" s="81" t="s">
        <v>51</v>
      </c>
      <c r="J3805" s="81" t="s">
        <v>224</v>
      </c>
      <c r="K3805" s="81" t="str">
        <f>IFERROR(__xludf.DUMMYFUNCTION("IF(OR(D3805="""",G3805=""""),"""",IFERROR(LET(
campo,XLOOKUP(TRIM(G3805),ARRAYFORMULA(TRIM('indice columnas'!$A$2:$A$100)),'indice columnas'!$B$2:$B$100,""""),
col,IFERROR(MATCH(campo,Referencia!$A$1:$AZ$1,0),0),
fila,IFERROR(MATCH(TO_TEXT(D3805),ARRAYFOR"&amp;"MULA(TO_TEXT(Referencia!$A$2:$A6238)),0),0),
IF(OR(campo="""",campo=""-""),""NO APLICA"",
IF(col=0,""REVISAR EQUIVALENCIA"",
IF(fila=0,""SKU NO ENCONTRADO"",
LET(
valor,INDEX(Referencia!$A$2:$AZ6238,fila,col),
IF(TRIM(TO_TEXT(valor))=TRIM(TO_TEXT(I3805)),"&amp;"
""OK"",
""NO COINCIDE. Valor verdadero: ""&amp;IF(valor="""",""[VACÍO]"",TO_TEXT(valor))
)
))))
),""ERROR EN FÓRMULA""))"),"OK")</f>
        <v>OK</v>
      </c>
    </row>
    <row r="3806">
      <c r="A3806" s="83" t="s">
        <v>4896</v>
      </c>
      <c r="B3806" s="83" t="s">
        <v>4897</v>
      </c>
      <c r="C3806" s="81" t="s">
        <v>4086</v>
      </c>
      <c r="D3806" s="83" t="s">
        <v>4456</v>
      </c>
      <c r="E3806" s="81" t="s">
        <v>2111</v>
      </c>
      <c r="F3806" s="81">
        <v>405.0</v>
      </c>
      <c r="G3806" s="81" t="s">
        <v>2</v>
      </c>
      <c r="H3806" s="81" t="s">
        <v>224</v>
      </c>
      <c r="I3806" s="81" t="s">
        <v>213</v>
      </c>
      <c r="J3806" s="81" t="s">
        <v>224</v>
      </c>
      <c r="K3806" s="81" t="str">
        <f>IFERROR(__xludf.DUMMYFUNCTION("IF(OR(D3806="""",G3806=""""),"""",IFERROR(LET(
campo,XLOOKUP(TRIM(G3806),ARRAYFORMULA(TRIM('indice columnas'!$A$2:$A$100)),'indice columnas'!$B$2:$B$100,""""),
col,IFERROR(MATCH(campo,Referencia!$A$1:$AZ$1,0),0),
fila,IFERROR(MATCH(TO_TEXT(D3806),ARRAYFOR"&amp;"MULA(TO_TEXT(Referencia!$A$2:$A6238)),0),0),
IF(OR(campo="""",campo=""-""),""NO APLICA"",
IF(col=0,""REVISAR EQUIVALENCIA"",
IF(fila=0,""SKU NO ENCONTRADO"",
LET(
valor,INDEX(Referencia!$A$2:$AZ6238,fila,col),
IF(TRIM(TO_TEXT(valor))=TRIM(TO_TEXT(I3806)),"&amp;"
""OK"",
""NO COINCIDE. Valor verdadero: ""&amp;IF(valor="""",""[VACÍO]"",TO_TEXT(valor))
)
))))
),""ERROR EN FÓRMULA""))"),"OK")</f>
        <v>OK</v>
      </c>
    </row>
    <row r="3807">
      <c r="A3807" s="83" t="s">
        <v>4896</v>
      </c>
      <c r="B3807" s="83" t="s">
        <v>4897</v>
      </c>
      <c r="C3807" s="81" t="s">
        <v>4086</v>
      </c>
      <c r="D3807" s="83" t="s">
        <v>4456</v>
      </c>
      <c r="E3807" s="81" t="s">
        <v>2111</v>
      </c>
      <c r="F3807" s="81">
        <v>405.0</v>
      </c>
      <c r="G3807" s="81" t="s">
        <v>1</v>
      </c>
      <c r="H3807" s="81" t="s">
        <v>224</v>
      </c>
      <c r="I3807" s="81" t="s">
        <v>49</v>
      </c>
      <c r="J3807" s="81" t="s">
        <v>224</v>
      </c>
      <c r="K3807" s="81" t="str">
        <f>IFERROR(__xludf.DUMMYFUNCTION("IF(OR(D3807="""",G3807=""""),"""",IFERROR(LET(
campo,XLOOKUP(TRIM(G3807),ARRAYFORMULA(TRIM('indice columnas'!$A$2:$A$100)),'indice columnas'!$B$2:$B$100,""""),
col,IFERROR(MATCH(campo,Referencia!$A$1:$AZ$1,0),0),
fila,IFERROR(MATCH(TO_TEXT(D3807),ARRAYFOR"&amp;"MULA(TO_TEXT(Referencia!$A$2:$A6238)),0),0),
IF(OR(campo="""",campo=""-""),""NO APLICA"",
IF(col=0,""REVISAR EQUIVALENCIA"",
IF(fila=0,""SKU NO ENCONTRADO"",
LET(
valor,INDEX(Referencia!$A$2:$AZ6238,fila,col),
IF(TRIM(TO_TEXT(valor))=TRIM(TO_TEXT(I3807)),"&amp;"
""OK"",
""NO COINCIDE. Valor verdadero: ""&amp;IF(valor="""",""[VACÍO]"",TO_TEXT(valor))
)
))))
),""ERROR EN FÓRMULA""))"),"OK")</f>
        <v>OK</v>
      </c>
    </row>
    <row r="3808">
      <c r="A3808" s="83" t="s">
        <v>4896</v>
      </c>
      <c r="B3808" s="83" t="s">
        <v>4897</v>
      </c>
      <c r="C3808" s="81" t="s">
        <v>4086</v>
      </c>
      <c r="D3808" s="83" t="s">
        <v>4457</v>
      </c>
      <c r="E3808" s="81" t="s">
        <v>2114</v>
      </c>
      <c r="F3808" s="81">
        <v>406.0</v>
      </c>
      <c r="G3808" s="81" t="s">
        <v>3</v>
      </c>
      <c r="H3808" s="81" t="s">
        <v>224</v>
      </c>
      <c r="I3808" s="81" t="s">
        <v>51</v>
      </c>
      <c r="J3808" s="81" t="s">
        <v>224</v>
      </c>
      <c r="K3808" s="81" t="str">
        <f>IFERROR(__xludf.DUMMYFUNCTION("IF(OR(D3808="""",G3808=""""),"""",IFERROR(LET(
campo,XLOOKUP(TRIM(G3808),ARRAYFORMULA(TRIM('indice columnas'!$A$2:$A$100)),'indice columnas'!$B$2:$B$100,""""),
col,IFERROR(MATCH(campo,Referencia!$A$1:$AZ$1,0),0),
fila,IFERROR(MATCH(TO_TEXT(D3808),ARRAYFOR"&amp;"MULA(TO_TEXT(Referencia!$A$2:$A6238)),0),0),
IF(OR(campo="""",campo=""-""),""NO APLICA"",
IF(col=0,""REVISAR EQUIVALENCIA"",
IF(fila=0,""SKU NO ENCONTRADO"",
LET(
valor,INDEX(Referencia!$A$2:$AZ6238,fila,col),
IF(TRIM(TO_TEXT(valor))=TRIM(TO_TEXT(I3808)),"&amp;"
""OK"",
""NO COINCIDE. Valor verdadero: ""&amp;IF(valor="""",""[VACÍO]"",TO_TEXT(valor))
)
))))
),""ERROR EN FÓRMULA""))"),"OK")</f>
        <v>OK</v>
      </c>
    </row>
    <row r="3809">
      <c r="A3809" s="83" t="s">
        <v>4896</v>
      </c>
      <c r="B3809" s="83" t="s">
        <v>4897</v>
      </c>
      <c r="C3809" s="81" t="s">
        <v>4086</v>
      </c>
      <c r="D3809" s="83" t="s">
        <v>4457</v>
      </c>
      <c r="E3809" s="81" t="s">
        <v>2114</v>
      </c>
      <c r="F3809" s="81">
        <v>406.0</v>
      </c>
      <c r="G3809" s="81" t="s">
        <v>2</v>
      </c>
      <c r="H3809" s="81" t="s">
        <v>224</v>
      </c>
      <c r="I3809" s="81" t="s">
        <v>213</v>
      </c>
      <c r="J3809" s="81" t="s">
        <v>224</v>
      </c>
      <c r="K3809" s="81" t="str">
        <f>IFERROR(__xludf.DUMMYFUNCTION("IF(OR(D3809="""",G3809=""""),"""",IFERROR(LET(
campo,XLOOKUP(TRIM(G3809),ARRAYFORMULA(TRIM('indice columnas'!$A$2:$A$100)),'indice columnas'!$B$2:$B$100,""""),
col,IFERROR(MATCH(campo,Referencia!$A$1:$AZ$1,0),0),
fila,IFERROR(MATCH(TO_TEXT(D3809),ARRAYFOR"&amp;"MULA(TO_TEXT(Referencia!$A$2:$A6238)),0),0),
IF(OR(campo="""",campo=""-""),""NO APLICA"",
IF(col=0,""REVISAR EQUIVALENCIA"",
IF(fila=0,""SKU NO ENCONTRADO"",
LET(
valor,INDEX(Referencia!$A$2:$AZ6238,fila,col),
IF(TRIM(TO_TEXT(valor))=TRIM(TO_TEXT(I3809)),"&amp;"
""OK"",
""NO COINCIDE. Valor verdadero: ""&amp;IF(valor="""",""[VACÍO]"",TO_TEXT(valor))
)
))))
),""ERROR EN FÓRMULA""))"),"OK")</f>
        <v>OK</v>
      </c>
    </row>
    <row r="3810">
      <c r="A3810" s="83" t="s">
        <v>4896</v>
      </c>
      <c r="B3810" s="83" t="s">
        <v>4897</v>
      </c>
      <c r="C3810" s="81" t="s">
        <v>4086</v>
      </c>
      <c r="D3810" s="83" t="s">
        <v>4457</v>
      </c>
      <c r="E3810" s="81" t="s">
        <v>2114</v>
      </c>
      <c r="F3810" s="81">
        <v>406.0</v>
      </c>
      <c r="G3810" s="81" t="s">
        <v>1</v>
      </c>
      <c r="H3810" s="81" t="s">
        <v>224</v>
      </c>
      <c r="I3810" s="81" t="s">
        <v>49</v>
      </c>
      <c r="J3810" s="81" t="s">
        <v>224</v>
      </c>
      <c r="K3810" s="81" t="str">
        <f>IFERROR(__xludf.DUMMYFUNCTION("IF(OR(D3810="""",G3810=""""),"""",IFERROR(LET(
campo,XLOOKUP(TRIM(G3810),ARRAYFORMULA(TRIM('indice columnas'!$A$2:$A$100)),'indice columnas'!$B$2:$B$100,""""),
col,IFERROR(MATCH(campo,Referencia!$A$1:$AZ$1,0),0),
fila,IFERROR(MATCH(TO_TEXT(D3810),ARRAYFOR"&amp;"MULA(TO_TEXT(Referencia!$A$2:$A6238)),0),0),
IF(OR(campo="""",campo=""-""),""NO APLICA"",
IF(col=0,""REVISAR EQUIVALENCIA"",
IF(fila=0,""SKU NO ENCONTRADO"",
LET(
valor,INDEX(Referencia!$A$2:$AZ6238,fila,col),
IF(TRIM(TO_TEXT(valor))=TRIM(TO_TEXT(I3810)),"&amp;"
""OK"",
""NO COINCIDE. Valor verdadero: ""&amp;IF(valor="""",""[VACÍO]"",TO_TEXT(valor))
)
))))
),""ERROR EN FÓRMULA""))"),"OK")</f>
        <v>OK</v>
      </c>
    </row>
    <row r="3811">
      <c r="A3811" s="83" t="s">
        <v>4896</v>
      </c>
      <c r="B3811" s="83" t="s">
        <v>4897</v>
      </c>
      <c r="C3811" s="81" t="s">
        <v>4086</v>
      </c>
      <c r="D3811" s="83" t="s">
        <v>4458</v>
      </c>
      <c r="E3811" s="81" t="s">
        <v>2124</v>
      </c>
      <c r="F3811" s="81">
        <v>407.0</v>
      </c>
      <c r="G3811" s="81" t="s">
        <v>3</v>
      </c>
      <c r="H3811" s="81" t="s">
        <v>224</v>
      </c>
      <c r="I3811" s="81" t="s">
        <v>51</v>
      </c>
      <c r="J3811" s="81" t="s">
        <v>224</v>
      </c>
      <c r="K3811" s="81" t="str">
        <f>IFERROR(__xludf.DUMMYFUNCTION("IF(OR(D3811="""",G3811=""""),"""",IFERROR(LET(
campo,XLOOKUP(TRIM(G3811),ARRAYFORMULA(TRIM('indice columnas'!$A$2:$A$100)),'indice columnas'!$B$2:$B$100,""""),
col,IFERROR(MATCH(campo,Referencia!$A$1:$AZ$1,0),0),
fila,IFERROR(MATCH(TO_TEXT(D3811),ARRAYFOR"&amp;"MULA(TO_TEXT(Referencia!$A$2:$A6238)),0),0),
IF(OR(campo="""",campo=""-""),""NO APLICA"",
IF(col=0,""REVISAR EQUIVALENCIA"",
IF(fila=0,""SKU NO ENCONTRADO"",
LET(
valor,INDEX(Referencia!$A$2:$AZ6238,fila,col),
IF(TRIM(TO_TEXT(valor))=TRIM(TO_TEXT(I3811)),"&amp;"
""OK"",
""NO COINCIDE. Valor verdadero: ""&amp;IF(valor="""",""[VACÍO]"",TO_TEXT(valor))
)
))))
),""ERROR EN FÓRMULA""))"),"OK")</f>
        <v>OK</v>
      </c>
    </row>
    <row r="3812">
      <c r="A3812" s="83" t="s">
        <v>4896</v>
      </c>
      <c r="B3812" s="83" t="s">
        <v>4897</v>
      </c>
      <c r="C3812" s="81" t="s">
        <v>4086</v>
      </c>
      <c r="D3812" s="83" t="s">
        <v>4458</v>
      </c>
      <c r="E3812" s="81" t="s">
        <v>2124</v>
      </c>
      <c r="F3812" s="81">
        <v>407.0</v>
      </c>
      <c r="G3812" s="81" t="s">
        <v>2</v>
      </c>
      <c r="H3812" s="81" t="s">
        <v>224</v>
      </c>
      <c r="I3812" s="81" t="s">
        <v>213</v>
      </c>
      <c r="J3812" s="81" t="s">
        <v>224</v>
      </c>
      <c r="K3812" s="81" t="str">
        <f>IFERROR(__xludf.DUMMYFUNCTION("IF(OR(D3812="""",G3812=""""),"""",IFERROR(LET(
campo,XLOOKUP(TRIM(G3812),ARRAYFORMULA(TRIM('indice columnas'!$A$2:$A$100)),'indice columnas'!$B$2:$B$100,""""),
col,IFERROR(MATCH(campo,Referencia!$A$1:$AZ$1,0),0),
fila,IFERROR(MATCH(TO_TEXT(D3812),ARRAYFOR"&amp;"MULA(TO_TEXT(Referencia!$A$2:$A6238)),0),0),
IF(OR(campo="""",campo=""-""),""NO APLICA"",
IF(col=0,""REVISAR EQUIVALENCIA"",
IF(fila=0,""SKU NO ENCONTRADO"",
LET(
valor,INDEX(Referencia!$A$2:$AZ6238,fila,col),
IF(TRIM(TO_TEXT(valor))=TRIM(TO_TEXT(I3812)),"&amp;"
""OK"",
""NO COINCIDE. Valor verdadero: ""&amp;IF(valor="""",""[VACÍO]"",TO_TEXT(valor))
)
))))
),""ERROR EN FÓRMULA""))"),"OK")</f>
        <v>OK</v>
      </c>
    </row>
    <row r="3813">
      <c r="A3813" s="83" t="s">
        <v>4896</v>
      </c>
      <c r="B3813" s="83" t="s">
        <v>4897</v>
      </c>
      <c r="C3813" s="81" t="s">
        <v>4086</v>
      </c>
      <c r="D3813" s="83" t="s">
        <v>4458</v>
      </c>
      <c r="E3813" s="81" t="s">
        <v>2124</v>
      </c>
      <c r="F3813" s="81">
        <v>407.0</v>
      </c>
      <c r="G3813" s="81" t="s">
        <v>1</v>
      </c>
      <c r="H3813" s="81" t="s">
        <v>224</v>
      </c>
      <c r="I3813" s="81" t="s">
        <v>49</v>
      </c>
      <c r="J3813" s="81" t="s">
        <v>224</v>
      </c>
      <c r="K3813" s="81" t="str">
        <f>IFERROR(__xludf.DUMMYFUNCTION("IF(OR(D3813="""",G3813=""""),"""",IFERROR(LET(
campo,XLOOKUP(TRIM(G3813),ARRAYFORMULA(TRIM('indice columnas'!$A$2:$A$100)),'indice columnas'!$B$2:$B$100,""""),
col,IFERROR(MATCH(campo,Referencia!$A$1:$AZ$1,0),0),
fila,IFERROR(MATCH(TO_TEXT(D3813),ARRAYFOR"&amp;"MULA(TO_TEXT(Referencia!$A$2:$A6238)),0),0),
IF(OR(campo="""",campo=""-""),""NO APLICA"",
IF(col=0,""REVISAR EQUIVALENCIA"",
IF(fila=0,""SKU NO ENCONTRADO"",
LET(
valor,INDEX(Referencia!$A$2:$AZ6238,fila,col),
IF(TRIM(TO_TEXT(valor))=TRIM(TO_TEXT(I3813)),"&amp;"
""OK"",
""NO COINCIDE. Valor verdadero: ""&amp;IF(valor="""",""[VACÍO]"",TO_TEXT(valor))
)
))))
),""ERROR EN FÓRMULA""))"),"OK")</f>
        <v>OK</v>
      </c>
    </row>
    <row r="3814">
      <c r="A3814" s="83" t="s">
        <v>4896</v>
      </c>
      <c r="B3814" s="83" t="s">
        <v>4897</v>
      </c>
      <c r="C3814" s="81" t="s">
        <v>4086</v>
      </c>
      <c r="D3814" s="83" t="s">
        <v>4460</v>
      </c>
      <c r="E3814" s="81" t="s">
        <v>2139</v>
      </c>
      <c r="F3814" s="81">
        <v>410.0</v>
      </c>
      <c r="G3814" s="81" t="s">
        <v>3</v>
      </c>
      <c r="H3814" s="81" t="s">
        <v>224</v>
      </c>
      <c r="I3814" s="81" t="s">
        <v>51</v>
      </c>
      <c r="J3814" s="81" t="s">
        <v>224</v>
      </c>
      <c r="K3814" s="81" t="str">
        <f>IFERROR(__xludf.DUMMYFUNCTION("IF(OR(D3814="""",G3814=""""),"""",IFERROR(LET(
campo,XLOOKUP(TRIM(G3814),ARRAYFORMULA(TRIM('indice columnas'!$A$2:$A$100)),'indice columnas'!$B$2:$B$100,""""),
col,IFERROR(MATCH(campo,Referencia!$A$1:$AZ$1,0),0),
fila,IFERROR(MATCH(TO_TEXT(D3814),ARRAYFOR"&amp;"MULA(TO_TEXT(Referencia!$A$2:$A6238)),0),0),
IF(OR(campo="""",campo=""-""),""NO APLICA"",
IF(col=0,""REVISAR EQUIVALENCIA"",
IF(fila=0,""SKU NO ENCONTRADO"",
LET(
valor,INDEX(Referencia!$A$2:$AZ6238,fila,col),
IF(TRIM(TO_TEXT(valor))=TRIM(TO_TEXT(I3814)),"&amp;"
""OK"",
""NO COINCIDE. Valor verdadero: ""&amp;IF(valor="""",""[VACÍO]"",TO_TEXT(valor))
)
))))
),""ERROR EN FÓRMULA""))"),"OK")</f>
        <v>OK</v>
      </c>
    </row>
    <row r="3815">
      <c r="A3815" s="83" t="s">
        <v>4896</v>
      </c>
      <c r="B3815" s="83" t="s">
        <v>4897</v>
      </c>
      <c r="C3815" s="81" t="s">
        <v>4086</v>
      </c>
      <c r="D3815" s="83" t="s">
        <v>4460</v>
      </c>
      <c r="E3815" s="81" t="s">
        <v>2139</v>
      </c>
      <c r="F3815" s="81">
        <v>410.0</v>
      </c>
      <c r="G3815" s="81" t="s">
        <v>2</v>
      </c>
      <c r="H3815" s="81" t="s">
        <v>224</v>
      </c>
      <c r="I3815" s="81" t="s">
        <v>213</v>
      </c>
      <c r="J3815" s="81" t="s">
        <v>224</v>
      </c>
      <c r="K3815" s="81" t="str">
        <f>IFERROR(__xludf.DUMMYFUNCTION("IF(OR(D3815="""",G3815=""""),"""",IFERROR(LET(
campo,XLOOKUP(TRIM(G3815),ARRAYFORMULA(TRIM('indice columnas'!$A$2:$A$100)),'indice columnas'!$B$2:$B$100,""""),
col,IFERROR(MATCH(campo,Referencia!$A$1:$AZ$1,0),0),
fila,IFERROR(MATCH(TO_TEXT(D3815),ARRAYFOR"&amp;"MULA(TO_TEXT(Referencia!$A$2:$A6238)),0),0),
IF(OR(campo="""",campo=""-""),""NO APLICA"",
IF(col=0,""REVISAR EQUIVALENCIA"",
IF(fila=0,""SKU NO ENCONTRADO"",
LET(
valor,INDEX(Referencia!$A$2:$AZ6238,fila,col),
IF(TRIM(TO_TEXT(valor))=TRIM(TO_TEXT(I3815)),"&amp;"
""OK"",
""NO COINCIDE. Valor verdadero: ""&amp;IF(valor="""",""[VACÍO]"",TO_TEXT(valor))
)
))))
),""ERROR EN FÓRMULA""))"),"OK")</f>
        <v>OK</v>
      </c>
    </row>
    <row r="3816">
      <c r="A3816" s="83" t="s">
        <v>4896</v>
      </c>
      <c r="B3816" s="83" t="s">
        <v>4897</v>
      </c>
      <c r="C3816" s="81" t="s">
        <v>4086</v>
      </c>
      <c r="D3816" s="83" t="s">
        <v>4460</v>
      </c>
      <c r="E3816" s="81" t="s">
        <v>2139</v>
      </c>
      <c r="F3816" s="81">
        <v>410.0</v>
      </c>
      <c r="G3816" s="81" t="s">
        <v>1</v>
      </c>
      <c r="H3816" s="81" t="s">
        <v>224</v>
      </c>
      <c r="I3816" s="81" t="s">
        <v>49</v>
      </c>
      <c r="J3816" s="81" t="s">
        <v>224</v>
      </c>
      <c r="K3816" s="81" t="str">
        <f>IFERROR(__xludf.DUMMYFUNCTION("IF(OR(D3816="""",G3816=""""),"""",IFERROR(LET(
campo,XLOOKUP(TRIM(G3816),ARRAYFORMULA(TRIM('indice columnas'!$A$2:$A$100)),'indice columnas'!$B$2:$B$100,""""),
col,IFERROR(MATCH(campo,Referencia!$A$1:$AZ$1,0),0),
fila,IFERROR(MATCH(TO_TEXT(D3816),ARRAYFOR"&amp;"MULA(TO_TEXT(Referencia!$A$2:$A6238)),0),0),
IF(OR(campo="""",campo=""-""),""NO APLICA"",
IF(col=0,""REVISAR EQUIVALENCIA"",
IF(fila=0,""SKU NO ENCONTRADO"",
LET(
valor,INDEX(Referencia!$A$2:$AZ6238,fila,col),
IF(TRIM(TO_TEXT(valor))=TRIM(TO_TEXT(I3816)),"&amp;"
""OK"",
""NO COINCIDE. Valor verdadero: ""&amp;IF(valor="""",""[VACÍO]"",TO_TEXT(valor))
)
))))
),""ERROR EN FÓRMULA""))"),"OK")</f>
        <v>OK</v>
      </c>
    </row>
    <row r="3817">
      <c r="A3817" s="83" t="s">
        <v>4896</v>
      </c>
      <c r="B3817" s="83" t="s">
        <v>4897</v>
      </c>
      <c r="C3817" s="81" t="s">
        <v>4086</v>
      </c>
      <c r="D3817" s="83" t="s">
        <v>4461</v>
      </c>
      <c r="E3817" s="81" t="s">
        <v>2142</v>
      </c>
      <c r="F3817" s="81">
        <v>411.0</v>
      </c>
      <c r="G3817" s="81" t="s">
        <v>3</v>
      </c>
      <c r="H3817" s="81" t="s">
        <v>224</v>
      </c>
      <c r="I3817" s="81" t="s">
        <v>51</v>
      </c>
      <c r="J3817" s="81" t="s">
        <v>224</v>
      </c>
      <c r="K3817" s="81" t="str">
        <f>IFERROR(__xludf.DUMMYFUNCTION("IF(OR(D3817="""",G3817=""""),"""",IFERROR(LET(
campo,XLOOKUP(TRIM(G3817),ARRAYFORMULA(TRIM('indice columnas'!$A$2:$A$100)),'indice columnas'!$B$2:$B$100,""""),
col,IFERROR(MATCH(campo,Referencia!$A$1:$AZ$1,0),0),
fila,IFERROR(MATCH(TO_TEXT(D3817),ARRAYFOR"&amp;"MULA(TO_TEXT(Referencia!$A$2:$A6238)),0),0),
IF(OR(campo="""",campo=""-""),""NO APLICA"",
IF(col=0,""REVISAR EQUIVALENCIA"",
IF(fila=0,""SKU NO ENCONTRADO"",
LET(
valor,INDEX(Referencia!$A$2:$AZ6238,fila,col),
IF(TRIM(TO_TEXT(valor))=TRIM(TO_TEXT(I3817)),"&amp;"
""OK"",
""NO COINCIDE. Valor verdadero: ""&amp;IF(valor="""",""[VACÍO]"",TO_TEXT(valor))
)
))))
),""ERROR EN FÓRMULA""))"),"OK")</f>
        <v>OK</v>
      </c>
    </row>
    <row r="3818">
      <c r="A3818" s="83" t="s">
        <v>4896</v>
      </c>
      <c r="B3818" s="83" t="s">
        <v>4897</v>
      </c>
      <c r="C3818" s="81" t="s">
        <v>4086</v>
      </c>
      <c r="D3818" s="83" t="s">
        <v>4461</v>
      </c>
      <c r="E3818" s="81" t="s">
        <v>2142</v>
      </c>
      <c r="F3818" s="81">
        <v>411.0</v>
      </c>
      <c r="G3818" s="81" t="s">
        <v>2</v>
      </c>
      <c r="H3818" s="81" t="s">
        <v>224</v>
      </c>
      <c r="I3818" s="81" t="s">
        <v>213</v>
      </c>
      <c r="J3818" s="81" t="s">
        <v>224</v>
      </c>
      <c r="K3818" s="81" t="str">
        <f>IFERROR(__xludf.DUMMYFUNCTION("IF(OR(D3818="""",G3818=""""),"""",IFERROR(LET(
campo,XLOOKUP(TRIM(G3818),ARRAYFORMULA(TRIM('indice columnas'!$A$2:$A$100)),'indice columnas'!$B$2:$B$100,""""),
col,IFERROR(MATCH(campo,Referencia!$A$1:$AZ$1,0),0),
fila,IFERROR(MATCH(TO_TEXT(D3818),ARRAYFOR"&amp;"MULA(TO_TEXT(Referencia!$A$2:$A6238)),0),0),
IF(OR(campo="""",campo=""-""),""NO APLICA"",
IF(col=0,""REVISAR EQUIVALENCIA"",
IF(fila=0,""SKU NO ENCONTRADO"",
LET(
valor,INDEX(Referencia!$A$2:$AZ6238,fila,col),
IF(TRIM(TO_TEXT(valor))=TRIM(TO_TEXT(I3818)),"&amp;"
""OK"",
""NO COINCIDE. Valor verdadero: ""&amp;IF(valor="""",""[VACÍO]"",TO_TEXT(valor))
)
))))
),""ERROR EN FÓRMULA""))"),"OK")</f>
        <v>OK</v>
      </c>
    </row>
    <row r="3819">
      <c r="A3819" s="83" t="s">
        <v>4896</v>
      </c>
      <c r="B3819" s="83" t="s">
        <v>4897</v>
      </c>
      <c r="C3819" s="81" t="s">
        <v>4086</v>
      </c>
      <c r="D3819" s="83" t="s">
        <v>4461</v>
      </c>
      <c r="E3819" s="81" t="s">
        <v>2142</v>
      </c>
      <c r="F3819" s="81">
        <v>411.0</v>
      </c>
      <c r="G3819" s="81" t="s">
        <v>1</v>
      </c>
      <c r="H3819" s="81" t="s">
        <v>224</v>
      </c>
      <c r="I3819" s="81" t="s">
        <v>49</v>
      </c>
      <c r="J3819" s="81" t="s">
        <v>224</v>
      </c>
      <c r="K3819" s="81" t="str">
        <f>IFERROR(__xludf.DUMMYFUNCTION("IF(OR(D3819="""",G3819=""""),"""",IFERROR(LET(
campo,XLOOKUP(TRIM(G3819),ARRAYFORMULA(TRIM('indice columnas'!$A$2:$A$100)),'indice columnas'!$B$2:$B$100,""""),
col,IFERROR(MATCH(campo,Referencia!$A$1:$AZ$1,0),0),
fila,IFERROR(MATCH(TO_TEXT(D3819),ARRAYFOR"&amp;"MULA(TO_TEXT(Referencia!$A$2:$A6238)),0),0),
IF(OR(campo="""",campo=""-""),""NO APLICA"",
IF(col=0,""REVISAR EQUIVALENCIA"",
IF(fila=0,""SKU NO ENCONTRADO"",
LET(
valor,INDEX(Referencia!$A$2:$AZ6238,fila,col),
IF(TRIM(TO_TEXT(valor))=TRIM(TO_TEXT(I3819)),"&amp;"
""OK"",
""NO COINCIDE. Valor verdadero: ""&amp;IF(valor="""",""[VACÍO]"",TO_TEXT(valor))
)
))))
),""ERROR EN FÓRMULA""))"),"OK")</f>
        <v>OK</v>
      </c>
    </row>
    <row r="3820">
      <c r="A3820" s="83" t="s">
        <v>4896</v>
      </c>
      <c r="B3820" s="83" t="s">
        <v>4897</v>
      </c>
      <c r="C3820" s="81" t="s">
        <v>4086</v>
      </c>
      <c r="D3820" s="83" t="s">
        <v>4462</v>
      </c>
      <c r="E3820" s="81" t="s">
        <v>2145</v>
      </c>
      <c r="F3820" s="81">
        <v>412.0</v>
      </c>
      <c r="G3820" s="81" t="s">
        <v>3</v>
      </c>
      <c r="H3820" s="81" t="s">
        <v>224</v>
      </c>
      <c r="I3820" s="81" t="s">
        <v>51</v>
      </c>
      <c r="J3820" s="81" t="s">
        <v>224</v>
      </c>
      <c r="K3820" s="81" t="str">
        <f>IFERROR(__xludf.DUMMYFUNCTION("IF(OR(D3820="""",G3820=""""),"""",IFERROR(LET(
campo,XLOOKUP(TRIM(G3820),ARRAYFORMULA(TRIM('indice columnas'!$A$2:$A$100)),'indice columnas'!$B$2:$B$100,""""),
col,IFERROR(MATCH(campo,Referencia!$A$1:$AZ$1,0),0),
fila,IFERROR(MATCH(TO_TEXT(D3820),ARRAYFOR"&amp;"MULA(TO_TEXT(Referencia!$A$2:$A6238)),0),0),
IF(OR(campo="""",campo=""-""),""NO APLICA"",
IF(col=0,""REVISAR EQUIVALENCIA"",
IF(fila=0,""SKU NO ENCONTRADO"",
LET(
valor,INDEX(Referencia!$A$2:$AZ6238,fila,col),
IF(TRIM(TO_TEXT(valor))=TRIM(TO_TEXT(I3820)),"&amp;"
""OK"",
""NO COINCIDE. Valor verdadero: ""&amp;IF(valor="""",""[VACÍO]"",TO_TEXT(valor))
)
))))
),""ERROR EN FÓRMULA""))"),"OK")</f>
        <v>OK</v>
      </c>
    </row>
    <row r="3821">
      <c r="A3821" s="83" t="s">
        <v>4896</v>
      </c>
      <c r="B3821" s="83" t="s">
        <v>4897</v>
      </c>
      <c r="C3821" s="81" t="s">
        <v>4086</v>
      </c>
      <c r="D3821" s="83" t="s">
        <v>4462</v>
      </c>
      <c r="E3821" s="81" t="s">
        <v>2145</v>
      </c>
      <c r="F3821" s="81">
        <v>412.0</v>
      </c>
      <c r="G3821" s="81" t="s">
        <v>2</v>
      </c>
      <c r="H3821" s="81" t="s">
        <v>224</v>
      </c>
      <c r="I3821" s="81" t="s">
        <v>213</v>
      </c>
      <c r="J3821" s="81" t="s">
        <v>224</v>
      </c>
      <c r="K3821" s="81" t="str">
        <f>IFERROR(__xludf.DUMMYFUNCTION("IF(OR(D3821="""",G3821=""""),"""",IFERROR(LET(
campo,XLOOKUP(TRIM(G3821),ARRAYFORMULA(TRIM('indice columnas'!$A$2:$A$100)),'indice columnas'!$B$2:$B$100,""""),
col,IFERROR(MATCH(campo,Referencia!$A$1:$AZ$1,0),0),
fila,IFERROR(MATCH(TO_TEXT(D3821),ARRAYFOR"&amp;"MULA(TO_TEXT(Referencia!$A$2:$A6238)),0),0),
IF(OR(campo="""",campo=""-""),""NO APLICA"",
IF(col=0,""REVISAR EQUIVALENCIA"",
IF(fila=0,""SKU NO ENCONTRADO"",
LET(
valor,INDEX(Referencia!$A$2:$AZ6238,fila,col),
IF(TRIM(TO_TEXT(valor))=TRIM(TO_TEXT(I3821)),"&amp;"
""OK"",
""NO COINCIDE. Valor verdadero: ""&amp;IF(valor="""",""[VACÍO]"",TO_TEXT(valor))
)
))))
),""ERROR EN FÓRMULA""))"),"OK")</f>
        <v>OK</v>
      </c>
    </row>
    <row r="3822">
      <c r="A3822" s="83" t="s">
        <v>4896</v>
      </c>
      <c r="B3822" s="83" t="s">
        <v>4897</v>
      </c>
      <c r="C3822" s="81" t="s">
        <v>4086</v>
      </c>
      <c r="D3822" s="83" t="s">
        <v>4462</v>
      </c>
      <c r="E3822" s="81" t="s">
        <v>2145</v>
      </c>
      <c r="F3822" s="81">
        <v>412.0</v>
      </c>
      <c r="G3822" s="81" t="s">
        <v>1</v>
      </c>
      <c r="H3822" s="81" t="s">
        <v>224</v>
      </c>
      <c r="I3822" s="81" t="s">
        <v>49</v>
      </c>
      <c r="J3822" s="81" t="s">
        <v>224</v>
      </c>
      <c r="K3822" s="81" t="str">
        <f>IFERROR(__xludf.DUMMYFUNCTION("IF(OR(D3822="""",G3822=""""),"""",IFERROR(LET(
campo,XLOOKUP(TRIM(G3822),ARRAYFORMULA(TRIM('indice columnas'!$A$2:$A$100)),'indice columnas'!$B$2:$B$100,""""),
col,IFERROR(MATCH(campo,Referencia!$A$1:$AZ$1,0),0),
fila,IFERROR(MATCH(TO_TEXT(D3822),ARRAYFOR"&amp;"MULA(TO_TEXT(Referencia!$A$2:$A6238)),0),0),
IF(OR(campo="""",campo=""-""),""NO APLICA"",
IF(col=0,""REVISAR EQUIVALENCIA"",
IF(fila=0,""SKU NO ENCONTRADO"",
LET(
valor,INDEX(Referencia!$A$2:$AZ6238,fila,col),
IF(TRIM(TO_TEXT(valor))=TRIM(TO_TEXT(I3822)),"&amp;"
""OK"",
""NO COINCIDE. Valor verdadero: ""&amp;IF(valor="""",""[VACÍO]"",TO_TEXT(valor))
)
))))
),""ERROR EN FÓRMULA""))"),"OK")</f>
        <v>OK</v>
      </c>
    </row>
    <row r="3823">
      <c r="A3823" s="83" t="s">
        <v>4896</v>
      </c>
      <c r="B3823" s="83" t="s">
        <v>4897</v>
      </c>
      <c r="C3823" s="81" t="s">
        <v>4086</v>
      </c>
      <c r="D3823" s="83" t="s">
        <v>4465</v>
      </c>
      <c r="E3823" s="81" t="s">
        <v>2161</v>
      </c>
      <c r="F3823" s="81">
        <v>415.0</v>
      </c>
      <c r="G3823" s="81" t="s">
        <v>3</v>
      </c>
      <c r="H3823" s="81" t="s">
        <v>224</v>
      </c>
      <c r="I3823" s="81" t="s">
        <v>51</v>
      </c>
      <c r="J3823" s="81" t="s">
        <v>224</v>
      </c>
      <c r="K3823" s="81" t="str">
        <f>IFERROR(__xludf.DUMMYFUNCTION("IF(OR(D3823="""",G3823=""""),"""",IFERROR(LET(
campo,XLOOKUP(TRIM(G3823),ARRAYFORMULA(TRIM('indice columnas'!$A$2:$A$100)),'indice columnas'!$B$2:$B$100,""""),
col,IFERROR(MATCH(campo,Referencia!$A$1:$AZ$1,0),0),
fila,IFERROR(MATCH(TO_TEXT(D3823),ARRAYFOR"&amp;"MULA(TO_TEXT(Referencia!$A$2:$A6238)),0),0),
IF(OR(campo="""",campo=""-""),""NO APLICA"",
IF(col=0,""REVISAR EQUIVALENCIA"",
IF(fila=0,""SKU NO ENCONTRADO"",
LET(
valor,INDEX(Referencia!$A$2:$AZ6238,fila,col),
IF(TRIM(TO_TEXT(valor))=TRIM(TO_TEXT(I3823)),"&amp;"
""OK"",
""NO COINCIDE. Valor verdadero: ""&amp;IF(valor="""",""[VACÍO]"",TO_TEXT(valor))
)
))))
),""ERROR EN FÓRMULA""))"),"OK")</f>
        <v>OK</v>
      </c>
    </row>
    <row r="3824">
      <c r="A3824" s="83" t="s">
        <v>4896</v>
      </c>
      <c r="B3824" s="83" t="s">
        <v>4897</v>
      </c>
      <c r="C3824" s="81" t="s">
        <v>4086</v>
      </c>
      <c r="D3824" s="83" t="s">
        <v>4465</v>
      </c>
      <c r="E3824" s="81" t="s">
        <v>2161</v>
      </c>
      <c r="F3824" s="81">
        <v>415.0</v>
      </c>
      <c r="G3824" s="81" t="s">
        <v>2</v>
      </c>
      <c r="H3824" s="81" t="s">
        <v>224</v>
      </c>
      <c r="I3824" s="81" t="s">
        <v>213</v>
      </c>
      <c r="J3824" s="81" t="s">
        <v>224</v>
      </c>
      <c r="K3824" s="81" t="str">
        <f>IFERROR(__xludf.DUMMYFUNCTION("IF(OR(D3824="""",G3824=""""),"""",IFERROR(LET(
campo,XLOOKUP(TRIM(G3824),ARRAYFORMULA(TRIM('indice columnas'!$A$2:$A$100)),'indice columnas'!$B$2:$B$100,""""),
col,IFERROR(MATCH(campo,Referencia!$A$1:$AZ$1,0),0),
fila,IFERROR(MATCH(TO_TEXT(D3824),ARRAYFOR"&amp;"MULA(TO_TEXT(Referencia!$A$2:$A6238)),0),0),
IF(OR(campo="""",campo=""-""),""NO APLICA"",
IF(col=0,""REVISAR EQUIVALENCIA"",
IF(fila=0,""SKU NO ENCONTRADO"",
LET(
valor,INDEX(Referencia!$A$2:$AZ6238,fila,col),
IF(TRIM(TO_TEXT(valor))=TRIM(TO_TEXT(I3824)),"&amp;"
""OK"",
""NO COINCIDE. Valor verdadero: ""&amp;IF(valor="""",""[VACÍO]"",TO_TEXT(valor))
)
))))
),""ERROR EN FÓRMULA""))"),"OK")</f>
        <v>OK</v>
      </c>
    </row>
    <row r="3825">
      <c r="A3825" s="83" t="s">
        <v>4896</v>
      </c>
      <c r="B3825" s="83" t="s">
        <v>4897</v>
      </c>
      <c r="C3825" s="81" t="s">
        <v>4086</v>
      </c>
      <c r="D3825" s="83" t="s">
        <v>4465</v>
      </c>
      <c r="E3825" s="81" t="s">
        <v>2161</v>
      </c>
      <c r="F3825" s="81">
        <v>415.0</v>
      </c>
      <c r="G3825" s="81" t="s">
        <v>1</v>
      </c>
      <c r="H3825" s="81" t="s">
        <v>224</v>
      </c>
      <c r="I3825" s="81" t="s">
        <v>49</v>
      </c>
      <c r="J3825" s="81" t="s">
        <v>224</v>
      </c>
      <c r="K3825" s="81" t="str">
        <f>IFERROR(__xludf.DUMMYFUNCTION("IF(OR(D3825="""",G3825=""""),"""",IFERROR(LET(
campo,XLOOKUP(TRIM(G3825),ARRAYFORMULA(TRIM('indice columnas'!$A$2:$A$100)),'indice columnas'!$B$2:$B$100,""""),
col,IFERROR(MATCH(campo,Referencia!$A$1:$AZ$1,0),0),
fila,IFERROR(MATCH(TO_TEXT(D3825),ARRAYFOR"&amp;"MULA(TO_TEXT(Referencia!$A$2:$A6238)),0),0),
IF(OR(campo="""",campo=""-""),""NO APLICA"",
IF(col=0,""REVISAR EQUIVALENCIA"",
IF(fila=0,""SKU NO ENCONTRADO"",
LET(
valor,INDEX(Referencia!$A$2:$AZ6238,fila,col),
IF(TRIM(TO_TEXT(valor))=TRIM(TO_TEXT(I3825)),"&amp;"
""OK"",
""NO COINCIDE. Valor verdadero: ""&amp;IF(valor="""",""[VACÍO]"",TO_TEXT(valor))
)
))))
),""ERROR EN FÓRMULA""))"),"OK")</f>
        <v>OK</v>
      </c>
    </row>
    <row r="3826">
      <c r="A3826" s="83" t="s">
        <v>4896</v>
      </c>
      <c r="B3826" s="83" t="s">
        <v>4897</v>
      </c>
      <c r="C3826" s="81" t="s">
        <v>4086</v>
      </c>
      <c r="D3826" s="83" t="s">
        <v>4468</v>
      </c>
      <c r="E3826" s="81" t="s">
        <v>2179</v>
      </c>
      <c r="F3826" s="81">
        <v>418.0</v>
      </c>
      <c r="G3826" s="81" t="s">
        <v>3</v>
      </c>
      <c r="H3826" s="81" t="s">
        <v>224</v>
      </c>
      <c r="I3826" s="81" t="s">
        <v>51</v>
      </c>
      <c r="J3826" s="81" t="s">
        <v>224</v>
      </c>
      <c r="K3826" s="81" t="str">
        <f>IFERROR(__xludf.DUMMYFUNCTION("IF(OR(D3826="""",G3826=""""),"""",IFERROR(LET(
campo,XLOOKUP(TRIM(G3826),ARRAYFORMULA(TRIM('indice columnas'!$A$2:$A$100)),'indice columnas'!$B$2:$B$100,""""),
col,IFERROR(MATCH(campo,Referencia!$A$1:$AZ$1,0),0),
fila,IFERROR(MATCH(TO_TEXT(D3826),ARRAYFOR"&amp;"MULA(TO_TEXT(Referencia!$A$2:$A6238)),0),0),
IF(OR(campo="""",campo=""-""),""NO APLICA"",
IF(col=0,""REVISAR EQUIVALENCIA"",
IF(fila=0,""SKU NO ENCONTRADO"",
LET(
valor,INDEX(Referencia!$A$2:$AZ6238,fila,col),
IF(TRIM(TO_TEXT(valor))=TRIM(TO_TEXT(I3826)),"&amp;"
""OK"",
""NO COINCIDE. Valor verdadero: ""&amp;IF(valor="""",""[VACÍO]"",TO_TEXT(valor))
)
))))
),""ERROR EN FÓRMULA""))"),"OK")</f>
        <v>OK</v>
      </c>
    </row>
    <row r="3827">
      <c r="A3827" s="83" t="s">
        <v>4896</v>
      </c>
      <c r="B3827" s="83" t="s">
        <v>4897</v>
      </c>
      <c r="C3827" s="81" t="s">
        <v>4086</v>
      </c>
      <c r="D3827" s="83" t="s">
        <v>4468</v>
      </c>
      <c r="E3827" s="81" t="s">
        <v>2179</v>
      </c>
      <c r="F3827" s="81">
        <v>418.0</v>
      </c>
      <c r="G3827" s="81" t="s">
        <v>2</v>
      </c>
      <c r="H3827" s="81" t="s">
        <v>224</v>
      </c>
      <c r="I3827" s="81" t="s">
        <v>213</v>
      </c>
      <c r="J3827" s="81" t="s">
        <v>224</v>
      </c>
      <c r="K3827" s="81" t="str">
        <f>IFERROR(__xludf.DUMMYFUNCTION("IF(OR(D3827="""",G3827=""""),"""",IFERROR(LET(
campo,XLOOKUP(TRIM(G3827),ARRAYFORMULA(TRIM('indice columnas'!$A$2:$A$100)),'indice columnas'!$B$2:$B$100,""""),
col,IFERROR(MATCH(campo,Referencia!$A$1:$AZ$1,0),0),
fila,IFERROR(MATCH(TO_TEXT(D3827),ARRAYFOR"&amp;"MULA(TO_TEXT(Referencia!$A$2:$A6238)),0),0),
IF(OR(campo="""",campo=""-""),""NO APLICA"",
IF(col=0,""REVISAR EQUIVALENCIA"",
IF(fila=0,""SKU NO ENCONTRADO"",
LET(
valor,INDEX(Referencia!$A$2:$AZ6238,fila,col),
IF(TRIM(TO_TEXT(valor))=TRIM(TO_TEXT(I3827)),"&amp;"
""OK"",
""NO COINCIDE. Valor verdadero: ""&amp;IF(valor="""",""[VACÍO]"",TO_TEXT(valor))
)
))))
),""ERROR EN FÓRMULA""))"),"OK")</f>
        <v>OK</v>
      </c>
    </row>
    <row r="3828">
      <c r="A3828" s="83" t="s">
        <v>4896</v>
      </c>
      <c r="B3828" s="83" t="s">
        <v>4897</v>
      </c>
      <c r="C3828" s="81" t="s">
        <v>4086</v>
      </c>
      <c r="D3828" s="83" t="s">
        <v>4468</v>
      </c>
      <c r="E3828" s="81" t="s">
        <v>2179</v>
      </c>
      <c r="F3828" s="81">
        <v>418.0</v>
      </c>
      <c r="G3828" s="81" t="s">
        <v>1</v>
      </c>
      <c r="H3828" s="81" t="s">
        <v>224</v>
      </c>
      <c r="I3828" s="81" t="s">
        <v>49</v>
      </c>
      <c r="J3828" s="81" t="s">
        <v>224</v>
      </c>
      <c r="K3828" s="81" t="str">
        <f>IFERROR(__xludf.DUMMYFUNCTION("IF(OR(D3828="""",G3828=""""),"""",IFERROR(LET(
campo,XLOOKUP(TRIM(G3828),ARRAYFORMULA(TRIM('indice columnas'!$A$2:$A$100)),'indice columnas'!$B$2:$B$100,""""),
col,IFERROR(MATCH(campo,Referencia!$A$1:$AZ$1,0),0),
fila,IFERROR(MATCH(TO_TEXT(D3828),ARRAYFOR"&amp;"MULA(TO_TEXT(Referencia!$A$2:$A6238)),0),0),
IF(OR(campo="""",campo=""-""),""NO APLICA"",
IF(col=0,""REVISAR EQUIVALENCIA"",
IF(fila=0,""SKU NO ENCONTRADO"",
LET(
valor,INDEX(Referencia!$A$2:$AZ6238,fila,col),
IF(TRIM(TO_TEXT(valor))=TRIM(TO_TEXT(I3828)),"&amp;"
""OK"",
""NO COINCIDE. Valor verdadero: ""&amp;IF(valor="""",""[VACÍO]"",TO_TEXT(valor))
)
))))
),""ERROR EN FÓRMULA""))"),"OK")</f>
        <v>OK</v>
      </c>
    </row>
    <row r="3829">
      <c r="A3829" s="83" t="s">
        <v>4896</v>
      </c>
      <c r="B3829" s="83" t="s">
        <v>4897</v>
      </c>
      <c r="C3829" s="81" t="s">
        <v>4086</v>
      </c>
      <c r="D3829" s="83" t="s">
        <v>4471</v>
      </c>
      <c r="E3829" s="81" t="s">
        <v>2196</v>
      </c>
      <c r="F3829" s="81">
        <v>421.0</v>
      </c>
      <c r="G3829" s="81" t="s">
        <v>3</v>
      </c>
      <c r="H3829" s="81" t="s">
        <v>224</v>
      </c>
      <c r="I3829" s="81" t="s">
        <v>51</v>
      </c>
      <c r="J3829" s="81" t="s">
        <v>224</v>
      </c>
      <c r="K3829" s="81" t="str">
        <f>IFERROR(__xludf.DUMMYFUNCTION("IF(OR(D3829="""",G3829=""""),"""",IFERROR(LET(
campo,XLOOKUP(TRIM(G3829),ARRAYFORMULA(TRIM('indice columnas'!$A$2:$A$100)),'indice columnas'!$B$2:$B$100,""""),
col,IFERROR(MATCH(campo,Referencia!$A$1:$AZ$1,0),0),
fila,IFERROR(MATCH(TO_TEXT(D3829),ARRAYFOR"&amp;"MULA(TO_TEXT(Referencia!$A$2:$A6238)),0),0),
IF(OR(campo="""",campo=""-""),""NO APLICA"",
IF(col=0,""REVISAR EQUIVALENCIA"",
IF(fila=0,""SKU NO ENCONTRADO"",
LET(
valor,INDEX(Referencia!$A$2:$AZ6238,fila,col),
IF(TRIM(TO_TEXT(valor))=TRIM(TO_TEXT(I3829)),"&amp;"
""OK"",
""NO COINCIDE. Valor verdadero: ""&amp;IF(valor="""",""[VACÍO]"",TO_TEXT(valor))
)
))))
),""ERROR EN FÓRMULA""))"),"OK")</f>
        <v>OK</v>
      </c>
    </row>
    <row r="3830">
      <c r="A3830" s="83" t="s">
        <v>4896</v>
      </c>
      <c r="B3830" s="83" t="s">
        <v>4897</v>
      </c>
      <c r="C3830" s="81" t="s">
        <v>4086</v>
      </c>
      <c r="D3830" s="83" t="s">
        <v>4471</v>
      </c>
      <c r="E3830" s="81" t="s">
        <v>2196</v>
      </c>
      <c r="F3830" s="81">
        <v>421.0</v>
      </c>
      <c r="G3830" s="81" t="s">
        <v>2</v>
      </c>
      <c r="H3830" s="81" t="s">
        <v>224</v>
      </c>
      <c r="I3830" s="81" t="s">
        <v>213</v>
      </c>
      <c r="J3830" s="81" t="s">
        <v>224</v>
      </c>
      <c r="K3830" s="81" t="str">
        <f>IFERROR(__xludf.DUMMYFUNCTION("IF(OR(D3830="""",G3830=""""),"""",IFERROR(LET(
campo,XLOOKUP(TRIM(G3830),ARRAYFORMULA(TRIM('indice columnas'!$A$2:$A$100)),'indice columnas'!$B$2:$B$100,""""),
col,IFERROR(MATCH(campo,Referencia!$A$1:$AZ$1,0),0),
fila,IFERROR(MATCH(TO_TEXT(D3830),ARRAYFOR"&amp;"MULA(TO_TEXT(Referencia!$A$2:$A6238)),0),0),
IF(OR(campo="""",campo=""-""),""NO APLICA"",
IF(col=0,""REVISAR EQUIVALENCIA"",
IF(fila=0,""SKU NO ENCONTRADO"",
LET(
valor,INDEX(Referencia!$A$2:$AZ6238,fila,col),
IF(TRIM(TO_TEXT(valor))=TRIM(TO_TEXT(I3830)),"&amp;"
""OK"",
""NO COINCIDE. Valor verdadero: ""&amp;IF(valor="""",""[VACÍO]"",TO_TEXT(valor))
)
))))
),""ERROR EN FÓRMULA""))"),"OK")</f>
        <v>OK</v>
      </c>
    </row>
    <row r="3831">
      <c r="A3831" s="83" t="s">
        <v>4896</v>
      </c>
      <c r="B3831" s="83" t="s">
        <v>4897</v>
      </c>
      <c r="C3831" s="81" t="s">
        <v>4086</v>
      </c>
      <c r="D3831" s="83" t="s">
        <v>4471</v>
      </c>
      <c r="E3831" s="81" t="s">
        <v>2196</v>
      </c>
      <c r="F3831" s="81">
        <v>421.0</v>
      </c>
      <c r="G3831" s="81" t="s">
        <v>1</v>
      </c>
      <c r="H3831" s="81" t="s">
        <v>224</v>
      </c>
      <c r="I3831" s="81" t="s">
        <v>49</v>
      </c>
      <c r="J3831" s="81" t="s">
        <v>224</v>
      </c>
      <c r="K3831" s="81" t="str">
        <f>IFERROR(__xludf.DUMMYFUNCTION("IF(OR(D3831="""",G3831=""""),"""",IFERROR(LET(
campo,XLOOKUP(TRIM(G3831),ARRAYFORMULA(TRIM('indice columnas'!$A$2:$A$100)),'indice columnas'!$B$2:$B$100,""""),
col,IFERROR(MATCH(campo,Referencia!$A$1:$AZ$1,0),0),
fila,IFERROR(MATCH(TO_TEXT(D3831),ARRAYFOR"&amp;"MULA(TO_TEXT(Referencia!$A$2:$A6238)),0),0),
IF(OR(campo="""",campo=""-""),""NO APLICA"",
IF(col=0,""REVISAR EQUIVALENCIA"",
IF(fila=0,""SKU NO ENCONTRADO"",
LET(
valor,INDEX(Referencia!$A$2:$AZ6238,fila,col),
IF(TRIM(TO_TEXT(valor))=TRIM(TO_TEXT(I3831)),"&amp;"
""OK"",
""NO COINCIDE. Valor verdadero: ""&amp;IF(valor="""",""[VACÍO]"",TO_TEXT(valor))
)
))))
),""ERROR EN FÓRMULA""))"),"OK")</f>
        <v>OK</v>
      </c>
    </row>
    <row r="3832">
      <c r="A3832" s="83" t="s">
        <v>4896</v>
      </c>
      <c r="B3832" s="83" t="s">
        <v>4897</v>
      </c>
      <c r="C3832" s="81" t="s">
        <v>4086</v>
      </c>
      <c r="D3832" s="83" t="s">
        <v>4474</v>
      </c>
      <c r="E3832" s="81" t="s">
        <v>2209</v>
      </c>
      <c r="F3832" s="81">
        <v>424.0</v>
      </c>
      <c r="G3832" s="81" t="s">
        <v>3</v>
      </c>
      <c r="H3832" s="81" t="s">
        <v>224</v>
      </c>
      <c r="I3832" s="81" t="s">
        <v>51</v>
      </c>
      <c r="J3832" s="81" t="s">
        <v>224</v>
      </c>
      <c r="K3832" s="81" t="str">
        <f>IFERROR(__xludf.DUMMYFUNCTION("IF(OR(D3832="""",G3832=""""),"""",IFERROR(LET(
campo,XLOOKUP(TRIM(G3832),ARRAYFORMULA(TRIM('indice columnas'!$A$2:$A$100)),'indice columnas'!$B$2:$B$100,""""),
col,IFERROR(MATCH(campo,Referencia!$A$1:$AZ$1,0),0),
fila,IFERROR(MATCH(TO_TEXT(D3832),ARRAYFOR"&amp;"MULA(TO_TEXT(Referencia!$A$2:$A6238)),0),0),
IF(OR(campo="""",campo=""-""),""NO APLICA"",
IF(col=0,""REVISAR EQUIVALENCIA"",
IF(fila=0,""SKU NO ENCONTRADO"",
LET(
valor,INDEX(Referencia!$A$2:$AZ6238,fila,col),
IF(TRIM(TO_TEXT(valor))=TRIM(TO_TEXT(I3832)),"&amp;"
""OK"",
""NO COINCIDE. Valor verdadero: ""&amp;IF(valor="""",""[VACÍO]"",TO_TEXT(valor))
)
))))
),""ERROR EN FÓRMULA""))"),"OK")</f>
        <v>OK</v>
      </c>
    </row>
    <row r="3833">
      <c r="A3833" s="83" t="s">
        <v>4896</v>
      </c>
      <c r="B3833" s="83" t="s">
        <v>4897</v>
      </c>
      <c r="C3833" s="81" t="s">
        <v>4086</v>
      </c>
      <c r="D3833" s="83" t="s">
        <v>4474</v>
      </c>
      <c r="E3833" s="81" t="s">
        <v>2209</v>
      </c>
      <c r="F3833" s="81">
        <v>424.0</v>
      </c>
      <c r="G3833" s="81" t="s">
        <v>2</v>
      </c>
      <c r="H3833" s="81" t="s">
        <v>224</v>
      </c>
      <c r="I3833" s="81" t="s">
        <v>213</v>
      </c>
      <c r="J3833" s="81" t="s">
        <v>224</v>
      </c>
      <c r="K3833" s="81" t="str">
        <f>IFERROR(__xludf.DUMMYFUNCTION("IF(OR(D3833="""",G3833=""""),"""",IFERROR(LET(
campo,XLOOKUP(TRIM(G3833),ARRAYFORMULA(TRIM('indice columnas'!$A$2:$A$100)),'indice columnas'!$B$2:$B$100,""""),
col,IFERROR(MATCH(campo,Referencia!$A$1:$AZ$1,0),0),
fila,IFERROR(MATCH(TO_TEXT(D3833),ARRAYFOR"&amp;"MULA(TO_TEXT(Referencia!$A$2:$A6238)),0),0),
IF(OR(campo="""",campo=""-""),""NO APLICA"",
IF(col=0,""REVISAR EQUIVALENCIA"",
IF(fila=0,""SKU NO ENCONTRADO"",
LET(
valor,INDEX(Referencia!$A$2:$AZ6238,fila,col),
IF(TRIM(TO_TEXT(valor))=TRIM(TO_TEXT(I3833)),"&amp;"
""OK"",
""NO COINCIDE. Valor verdadero: ""&amp;IF(valor="""",""[VACÍO]"",TO_TEXT(valor))
)
))))
),""ERROR EN FÓRMULA""))"),"OK")</f>
        <v>OK</v>
      </c>
    </row>
    <row r="3834">
      <c r="A3834" s="83" t="s">
        <v>4896</v>
      </c>
      <c r="B3834" s="83" t="s">
        <v>4897</v>
      </c>
      <c r="C3834" s="81" t="s">
        <v>4086</v>
      </c>
      <c r="D3834" s="83" t="s">
        <v>4474</v>
      </c>
      <c r="E3834" s="81" t="s">
        <v>2209</v>
      </c>
      <c r="F3834" s="81">
        <v>424.0</v>
      </c>
      <c r="G3834" s="81" t="s">
        <v>1</v>
      </c>
      <c r="H3834" s="81" t="s">
        <v>224</v>
      </c>
      <c r="I3834" s="81" t="s">
        <v>49</v>
      </c>
      <c r="J3834" s="81" t="s">
        <v>224</v>
      </c>
      <c r="K3834" s="81" t="str">
        <f>IFERROR(__xludf.DUMMYFUNCTION("IF(OR(D3834="""",G3834=""""),"""",IFERROR(LET(
campo,XLOOKUP(TRIM(G3834),ARRAYFORMULA(TRIM('indice columnas'!$A$2:$A$100)),'indice columnas'!$B$2:$B$100,""""),
col,IFERROR(MATCH(campo,Referencia!$A$1:$AZ$1,0),0),
fila,IFERROR(MATCH(TO_TEXT(D3834),ARRAYFOR"&amp;"MULA(TO_TEXT(Referencia!$A$2:$A6238)),0),0),
IF(OR(campo="""",campo=""-""),""NO APLICA"",
IF(col=0,""REVISAR EQUIVALENCIA"",
IF(fila=0,""SKU NO ENCONTRADO"",
LET(
valor,INDEX(Referencia!$A$2:$AZ6238,fila,col),
IF(TRIM(TO_TEXT(valor))=TRIM(TO_TEXT(I3834)),"&amp;"
""OK"",
""NO COINCIDE. Valor verdadero: ""&amp;IF(valor="""",""[VACÍO]"",TO_TEXT(valor))
)
))))
),""ERROR EN FÓRMULA""))"),"OK")</f>
        <v>OK</v>
      </c>
    </row>
    <row r="3835">
      <c r="A3835" s="83" t="s">
        <v>4896</v>
      </c>
      <c r="B3835" s="83" t="s">
        <v>4897</v>
      </c>
      <c r="C3835" s="81" t="s">
        <v>4086</v>
      </c>
      <c r="D3835" s="83" t="s">
        <v>4477</v>
      </c>
      <c r="E3835" s="81" t="s">
        <v>2227</v>
      </c>
      <c r="F3835" s="81">
        <v>427.0</v>
      </c>
      <c r="G3835" s="81" t="s">
        <v>3</v>
      </c>
      <c r="H3835" s="81" t="s">
        <v>224</v>
      </c>
      <c r="I3835" s="81" t="s">
        <v>214</v>
      </c>
      <c r="J3835" s="81" t="s">
        <v>224</v>
      </c>
      <c r="K3835" s="81" t="str">
        <f>IFERROR(__xludf.DUMMYFUNCTION("IF(OR(D3835="""",G3835=""""),"""",IFERROR(LET(
campo,XLOOKUP(TRIM(G3835),ARRAYFORMULA(TRIM('indice columnas'!$A$2:$A$100)),'indice columnas'!$B$2:$B$100,""""),
col,IFERROR(MATCH(campo,Referencia!$A$1:$AZ$1,0),0),
fila,IFERROR(MATCH(TO_TEXT(D3835),ARRAYFOR"&amp;"MULA(TO_TEXT(Referencia!$A$2:$A6238)),0),0),
IF(OR(campo="""",campo=""-""),""NO APLICA"",
IF(col=0,""REVISAR EQUIVALENCIA"",
IF(fila=0,""SKU NO ENCONTRADO"",
LET(
valor,INDEX(Referencia!$A$2:$AZ6238,fila,col),
IF(TRIM(TO_TEXT(valor))=TRIM(TO_TEXT(I3835)),"&amp;"
""OK"",
""NO COINCIDE. Valor verdadero: ""&amp;IF(valor="""",""[VACÍO]"",TO_TEXT(valor))
)
))))
),""ERROR EN FÓRMULA""))"),"OK")</f>
        <v>OK</v>
      </c>
    </row>
    <row r="3836">
      <c r="A3836" s="83" t="s">
        <v>4896</v>
      </c>
      <c r="B3836" s="83" t="s">
        <v>4897</v>
      </c>
      <c r="C3836" s="81" t="s">
        <v>4086</v>
      </c>
      <c r="D3836" s="83" t="s">
        <v>4477</v>
      </c>
      <c r="E3836" s="81" t="s">
        <v>2227</v>
      </c>
      <c r="F3836" s="81">
        <v>427.0</v>
      </c>
      <c r="G3836" s="81" t="s">
        <v>2</v>
      </c>
      <c r="H3836" s="81" t="s">
        <v>224</v>
      </c>
      <c r="I3836" s="81" t="s">
        <v>213</v>
      </c>
      <c r="J3836" s="81" t="s">
        <v>224</v>
      </c>
      <c r="K3836" s="81" t="str">
        <f>IFERROR(__xludf.DUMMYFUNCTION("IF(OR(D3836="""",G3836=""""),"""",IFERROR(LET(
campo,XLOOKUP(TRIM(G3836),ARRAYFORMULA(TRIM('indice columnas'!$A$2:$A$100)),'indice columnas'!$B$2:$B$100,""""),
col,IFERROR(MATCH(campo,Referencia!$A$1:$AZ$1,0),0),
fila,IFERROR(MATCH(TO_TEXT(D3836),ARRAYFOR"&amp;"MULA(TO_TEXT(Referencia!$A$2:$A6238)),0),0),
IF(OR(campo="""",campo=""-""),""NO APLICA"",
IF(col=0,""REVISAR EQUIVALENCIA"",
IF(fila=0,""SKU NO ENCONTRADO"",
LET(
valor,INDEX(Referencia!$A$2:$AZ6238,fila,col),
IF(TRIM(TO_TEXT(valor))=TRIM(TO_TEXT(I3836)),"&amp;"
""OK"",
""NO COINCIDE. Valor verdadero: ""&amp;IF(valor="""",""[VACÍO]"",TO_TEXT(valor))
)
))))
),""ERROR EN FÓRMULA""))"),"OK")</f>
        <v>OK</v>
      </c>
    </row>
    <row r="3837">
      <c r="A3837" s="83" t="s">
        <v>4896</v>
      </c>
      <c r="B3837" s="83" t="s">
        <v>4897</v>
      </c>
      <c r="C3837" s="81" t="s">
        <v>4086</v>
      </c>
      <c r="D3837" s="83" t="s">
        <v>4477</v>
      </c>
      <c r="E3837" s="81" t="s">
        <v>2227</v>
      </c>
      <c r="F3837" s="81">
        <v>427.0</v>
      </c>
      <c r="G3837" s="81" t="s">
        <v>1</v>
      </c>
      <c r="H3837" s="81" t="s">
        <v>224</v>
      </c>
      <c r="I3837" s="81" t="s">
        <v>49</v>
      </c>
      <c r="J3837" s="81" t="s">
        <v>224</v>
      </c>
      <c r="K3837" s="81" t="str">
        <f>IFERROR(__xludf.DUMMYFUNCTION("IF(OR(D3837="""",G3837=""""),"""",IFERROR(LET(
campo,XLOOKUP(TRIM(G3837),ARRAYFORMULA(TRIM('indice columnas'!$A$2:$A$100)),'indice columnas'!$B$2:$B$100,""""),
col,IFERROR(MATCH(campo,Referencia!$A$1:$AZ$1,0),0),
fila,IFERROR(MATCH(TO_TEXT(D3837),ARRAYFOR"&amp;"MULA(TO_TEXT(Referencia!$A$2:$A6238)),0),0),
IF(OR(campo="""",campo=""-""),""NO APLICA"",
IF(col=0,""REVISAR EQUIVALENCIA"",
IF(fila=0,""SKU NO ENCONTRADO"",
LET(
valor,INDEX(Referencia!$A$2:$AZ6238,fila,col),
IF(TRIM(TO_TEXT(valor))=TRIM(TO_TEXT(I3837)),"&amp;"
""OK"",
""NO COINCIDE. Valor verdadero: ""&amp;IF(valor="""",""[VACÍO]"",TO_TEXT(valor))
)
))))
),""ERROR EN FÓRMULA""))"),"OK")</f>
        <v>OK</v>
      </c>
    </row>
    <row r="3838">
      <c r="A3838" s="83" t="s">
        <v>4896</v>
      </c>
      <c r="B3838" s="83" t="s">
        <v>4897</v>
      </c>
      <c r="C3838" s="81" t="s">
        <v>4086</v>
      </c>
      <c r="D3838" s="83" t="s">
        <v>4481</v>
      </c>
      <c r="E3838" s="81" t="s">
        <v>2242</v>
      </c>
      <c r="F3838" s="81">
        <v>430.0</v>
      </c>
      <c r="G3838" s="81" t="s">
        <v>3</v>
      </c>
      <c r="H3838" s="81" t="s">
        <v>224</v>
      </c>
      <c r="I3838" s="81" t="s">
        <v>214</v>
      </c>
      <c r="J3838" s="81" t="s">
        <v>224</v>
      </c>
      <c r="K3838" s="81" t="str">
        <f>IFERROR(__xludf.DUMMYFUNCTION("IF(OR(D3838="""",G3838=""""),"""",IFERROR(LET(
campo,XLOOKUP(TRIM(G3838),ARRAYFORMULA(TRIM('indice columnas'!$A$2:$A$100)),'indice columnas'!$B$2:$B$100,""""),
col,IFERROR(MATCH(campo,Referencia!$A$1:$AZ$1,0),0),
fila,IFERROR(MATCH(TO_TEXT(D3838),ARRAYFOR"&amp;"MULA(TO_TEXT(Referencia!$A$2:$A6238)),0),0),
IF(OR(campo="""",campo=""-""),""NO APLICA"",
IF(col=0,""REVISAR EQUIVALENCIA"",
IF(fila=0,""SKU NO ENCONTRADO"",
LET(
valor,INDEX(Referencia!$A$2:$AZ6238,fila,col),
IF(TRIM(TO_TEXT(valor))=TRIM(TO_TEXT(I3838)),"&amp;"
""OK"",
""NO COINCIDE. Valor verdadero: ""&amp;IF(valor="""",""[VACÍO]"",TO_TEXT(valor))
)
))))
),""ERROR EN FÓRMULA""))"),"OK")</f>
        <v>OK</v>
      </c>
    </row>
    <row r="3839">
      <c r="A3839" s="83" t="s">
        <v>4896</v>
      </c>
      <c r="B3839" s="83" t="s">
        <v>4897</v>
      </c>
      <c r="C3839" s="81" t="s">
        <v>4086</v>
      </c>
      <c r="D3839" s="83" t="s">
        <v>4481</v>
      </c>
      <c r="E3839" s="81" t="s">
        <v>2242</v>
      </c>
      <c r="F3839" s="81">
        <v>430.0</v>
      </c>
      <c r="G3839" s="81" t="s">
        <v>2</v>
      </c>
      <c r="H3839" s="81" t="s">
        <v>224</v>
      </c>
      <c r="I3839" s="81" t="s">
        <v>213</v>
      </c>
      <c r="J3839" s="81" t="s">
        <v>224</v>
      </c>
      <c r="K3839" s="81" t="str">
        <f>IFERROR(__xludf.DUMMYFUNCTION("IF(OR(D3839="""",G3839=""""),"""",IFERROR(LET(
campo,XLOOKUP(TRIM(G3839),ARRAYFORMULA(TRIM('indice columnas'!$A$2:$A$100)),'indice columnas'!$B$2:$B$100,""""),
col,IFERROR(MATCH(campo,Referencia!$A$1:$AZ$1,0),0),
fila,IFERROR(MATCH(TO_TEXT(D3839),ARRAYFOR"&amp;"MULA(TO_TEXT(Referencia!$A$2:$A6238)),0),0),
IF(OR(campo="""",campo=""-""),""NO APLICA"",
IF(col=0,""REVISAR EQUIVALENCIA"",
IF(fila=0,""SKU NO ENCONTRADO"",
LET(
valor,INDEX(Referencia!$A$2:$AZ6238,fila,col),
IF(TRIM(TO_TEXT(valor))=TRIM(TO_TEXT(I3839)),"&amp;"
""OK"",
""NO COINCIDE. Valor verdadero: ""&amp;IF(valor="""",""[VACÍO]"",TO_TEXT(valor))
)
))))
),""ERROR EN FÓRMULA""))"),"OK")</f>
        <v>OK</v>
      </c>
    </row>
    <row r="3840">
      <c r="A3840" s="83" t="s">
        <v>4896</v>
      </c>
      <c r="B3840" s="83" t="s">
        <v>4897</v>
      </c>
      <c r="C3840" s="81" t="s">
        <v>4086</v>
      </c>
      <c r="D3840" s="83" t="s">
        <v>4481</v>
      </c>
      <c r="E3840" s="81" t="s">
        <v>2242</v>
      </c>
      <c r="F3840" s="81">
        <v>430.0</v>
      </c>
      <c r="G3840" s="81" t="s">
        <v>1</v>
      </c>
      <c r="H3840" s="81" t="s">
        <v>224</v>
      </c>
      <c r="I3840" s="81" t="s">
        <v>49</v>
      </c>
      <c r="J3840" s="81" t="s">
        <v>224</v>
      </c>
      <c r="K3840" s="81" t="str">
        <f>IFERROR(__xludf.DUMMYFUNCTION("IF(OR(D3840="""",G3840=""""),"""",IFERROR(LET(
campo,XLOOKUP(TRIM(G3840),ARRAYFORMULA(TRIM('indice columnas'!$A$2:$A$100)),'indice columnas'!$B$2:$B$100,""""),
col,IFERROR(MATCH(campo,Referencia!$A$1:$AZ$1,0),0),
fila,IFERROR(MATCH(TO_TEXT(D3840),ARRAYFOR"&amp;"MULA(TO_TEXT(Referencia!$A$2:$A6238)),0),0),
IF(OR(campo="""",campo=""-""),""NO APLICA"",
IF(col=0,""REVISAR EQUIVALENCIA"",
IF(fila=0,""SKU NO ENCONTRADO"",
LET(
valor,INDEX(Referencia!$A$2:$AZ6238,fila,col),
IF(TRIM(TO_TEXT(valor))=TRIM(TO_TEXT(I3840)),"&amp;"
""OK"",
""NO COINCIDE. Valor verdadero: ""&amp;IF(valor="""",""[VACÍO]"",TO_TEXT(valor))
)
))))
),""ERROR EN FÓRMULA""))"),"OK")</f>
        <v>OK</v>
      </c>
    </row>
    <row r="3841">
      <c r="A3841" s="83" t="s">
        <v>4896</v>
      </c>
      <c r="B3841" s="83" t="s">
        <v>4897</v>
      </c>
      <c r="C3841" s="81" t="s">
        <v>4086</v>
      </c>
      <c r="D3841" s="83" t="s">
        <v>4482</v>
      </c>
      <c r="E3841" s="81" t="s">
        <v>2245</v>
      </c>
      <c r="F3841" s="81">
        <v>431.0</v>
      </c>
      <c r="G3841" s="81" t="s">
        <v>3</v>
      </c>
      <c r="H3841" s="81" t="s">
        <v>224</v>
      </c>
      <c r="I3841" s="81" t="s">
        <v>214</v>
      </c>
      <c r="J3841" s="81" t="s">
        <v>224</v>
      </c>
      <c r="K3841" s="81" t="str">
        <f>IFERROR(__xludf.DUMMYFUNCTION("IF(OR(D3841="""",G3841=""""),"""",IFERROR(LET(
campo,XLOOKUP(TRIM(G3841),ARRAYFORMULA(TRIM('indice columnas'!$A$2:$A$100)),'indice columnas'!$B$2:$B$100,""""),
col,IFERROR(MATCH(campo,Referencia!$A$1:$AZ$1,0),0),
fila,IFERROR(MATCH(TO_TEXT(D3841),ARRAYFOR"&amp;"MULA(TO_TEXT(Referencia!$A$2:$A6238)),0),0),
IF(OR(campo="""",campo=""-""),""NO APLICA"",
IF(col=0,""REVISAR EQUIVALENCIA"",
IF(fila=0,""SKU NO ENCONTRADO"",
LET(
valor,INDEX(Referencia!$A$2:$AZ6238,fila,col),
IF(TRIM(TO_TEXT(valor))=TRIM(TO_TEXT(I3841)),"&amp;"
""OK"",
""NO COINCIDE. Valor verdadero: ""&amp;IF(valor="""",""[VACÍO]"",TO_TEXT(valor))
)
))))
),""ERROR EN FÓRMULA""))"),"OK")</f>
        <v>OK</v>
      </c>
    </row>
    <row r="3842">
      <c r="A3842" s="83" t="s">
        <v>4896</v>
      </c>
      <c r="B3842" s="83" t="s">
        <v>4897</v>
      </c>
      <c r="C3842" s="81" t="s">
        <v>4086</v>
      </c>
      <c r="D3842" s="83" t="s">
        <v>4482</v>
      </c>
      <c r="E3842" s="81" t="s">
        <v>2245</v>
      </c>
      <c r="F3842" s="81">
        <v>431.0</v>
      </c>
      <c r="G3842" s="81" t="s">
        <v>2</v>
      </c>
      <c r="H3842" s="81" t="s">
        <v>224</v>
      </c>
      <c r="I3842" s="81" t="s">
        <v>213</v>
      </c>
      <c r="J3842" s="81" t="s">
        <v>224</v>
      </c>
      <c r="K3842" s="81" t="str">
        <f>IFERROR(__xludf.DUMMYFUNCTION("IF(OR(D3842="""",G3842=""""),"""",IFERROR(LET(
campo,XLOOKUP(TRIM(G3842),ARRAYFORMULA(TRIM('indice columnas'!$A$2:$A$100)),'indice columnas'!$B$2:$B$100,""""),
col,IFERROR(MATCH(campo,Referencia!$A$1:$AZ$1,0),0),
fila,IFERROR(MATCH(TO_TEXT(D3842),ARRAYFOR"&amp;"MULA(TO_TEXT(Referencia!$A$2:$A6238)),0),0),
IF(OR(campo="""",campo=""-""),""NO APLICA"",
IF(col=0,""REVISAR EQUIVALENCIA"",
IF(fila=0,""SKU NO ENCONTRADO"",
LET(
valor,INDEX(Referencia!$A$2:$AZ6238,fila,col),
IF(TRIM(TO_TEXT(valor))=TRIM(TO_TEXT(I3842)),"&amp;"
""OK"",
""NO COINCIDE. Valor verdadero: ""&amp;IF(valor="""",""[VACÍO]"",TO_TEXT(valor))
)
))))
),""ERROR EN FÓRMULA""))"),"OK")</f>
        <v>OK</v>
      </c>
    </row>
    <row r="3843">
      <c r="A3843" s="83" t="s">
        <v>4896</v>
      </c>
      <c r="B3843" s="83" t="s">
        <v>4897</v>
      </c>
      <c r="C3843" s="81" t="s">
        <v>4086</v>
      </c>
      <c r="D3843" s="83" t="s">
        <v>4482</v>
      </c>
      <c r="E3843" s="81" t="s">
        <v>2245</v>
      </c>
      <c r="F3843" s="81">
        <v>431.0</v>
      </c>
      <c r="G3843" s="81" t="s">
        <v>1</v>
      </c>
      <c r="H3843" s="81" t="s">
        <v>224</v>
      </c>
      <c r="I3843" s="81" t="s">
        <v>49</v>
      </c>
      <c r="J3843" s="81" t="s">
        <v>224</v>
      </c>
      <c r="K3843" s="81" t="str">
        <f>IFERROR(__xludf.DUMMYFUNCTION("IF(OR(D3843="""",G3843=""""),"""",IFERROR(LET(
campo,XLOOKUP(TRIM(G3843),ARRAYFORMULA(TRIM('indice columnas'!$A$2:$A$100)),'indice columnas'!$B$2:$B$100,""""),
col,IFERROR(MATCH(campo,Referencia!$A$1:$AZ$1,0),0),
fila,IFERROR(MATCH(TO_TEXT(D3843),ARRAYFOR"&amp;"MULA(TO_TEXT(Referencia!$A$2:$A6238)),0),0),
IF(OR(campo="""",campo=""-""),""NO APLICA"",
IF(col=0,""REVISAR EQUIVALENCIA"",
IF(fila=0,""SKU NO ENCONTRADO"",
LET(
valor,INDEX(Referencia!$A$2:$AZ6238,fila,col),
IF(TRIM(TO_TEXT(valor))=TRIM(TO_TEXT(I3843)),"&amp;"
""OK"",
""NO COINCIDE. Valor verdadero: ""&amp;IF(valor="""",""[VACÍO]"",TO_TEXT(valor))
)
))))
),""ERROR EN FÓRMULA""))"),"OK")</f>
        <v>OK</v>
      </c>
    </row>
    <row r="3844">
      <c r="A3844" s="83" t="s">
        <v>4896</v>
      </c>
      <c r="B3844" s="83" t="s">
        <v>4897</v>
      </c>
      <c r="C3844" s="81" t="s">
        <v>4086</v>
      </c>
      <c r="D3844" s="83" t="s">
        <v>4483</v>
      </c>
      <c r="E3844" s="81" t="s">
        <v>2254</v>
      </c>
      <c r="F3844" s="81">
        <v>432.0</v>
      </c>
      <c r="G3844" s="81" t="s">
        <v>3</v>
      </c>
      <c r="H3844" s="81" t="s">
        <v>224</v>
      </c>
      <c r="I3844" s="81" t="s">
        <v>214</v>
      </c>
      <c r="J3844" s="81" t="s">
        <v>224</v>
      </c>
      <c r="K3844" s="81" t="str">
        <f>IFERROR(__xludf.DUMMYFUNCTION("IF(OR(D3844="""",G3844=""""),"""",IFERROR(LET(
campo,XLOOKUP(TRIM(G3844),ARRAYFORMULA(TRIM('indice columnas'!$A$2:$A$100)),'indice columnas'!$B$2:$B$100,""""),
col,IFERROR(MATCH(campo,Referencia!$A$1:$AZ$1,0),0),
fila,IFERROR(MATCH(TO_TEXT(D3844),ARRAYFOR"&amp;"MULA(TO_TEXT(Referencia!$A$2:$A6238)),0),0),
IF(OR(campo="""",campo=""-""),""NO APLICA"",
IF(col=0,""REVISAR EQUIVALENCIA"",
IF(fila=0,""SKU NO ENCONTRADO"",
LET(
valor,INDEX(Referencia!$A$2:$AZ6238,fila,col),
IF(TRIM(TO_TEXT(valor))=TRIM(TO_TEXT(I3844)),"&amp;"
""OK"",
""NO COINCIDE. Valor verdadero: ""&amp;IF(valor="""",""[VACÍO]"",TO_TEXT(valor))
)
))))
),""ERROR EN FÓRMULA""))"),"OK")</f>
        <v>OK</v>
      </c>
    </row>
    <row r="3845">
      <c r="A3845" s="83" t="s">
        <v>4896</v>
      </c>
      <c r="B3845" s="83" t="s">
        <v>4897</v>
      </c>
      <c r="C3845" s="81" t="s">
        <v>4086</v>
      </c>
      <c r="D3845" s="83" t="s">
        <v>4483</v>
      </c>
      <c r="E3845" s="81" t="s">
        <v>2254</v>
      </c>
      <c r="F3845" s="81">
        <v>432.0</v>
      </c>
      <c r="G3845" s="81" t="s">
        <v>2</v>
      </c>
      <c r="H3845" s="81" t="s">
        <v>224</v>
      </c>
      <c r="I3845" s="81" t="s">
        <v>213</v>
      </c>
      <c r="J3845" s="81" t="s">
        <v>224</v>
      </c>
      <c r="K3845" s="81" t="str">
        <f>IFERROR(__xludf.DUMMYFUNCTION("IF(OR(D3845="""",G3845=""""),"""",IFERROR(LET(
campo,XLOOKUP(TRIM(G3845),ARRAYFORMULA(TRIM('indice columnas'!$A$2:$A$100)),'indice columnas'!$B$2:$B$100,""""),
col,IFERROR(MATCH(campo,Referencia!$A$1:$AZ$1,0),0),
fila,IFERROR(MATCH(TO_TEXT(D3845),ARRAYFOR"&amp;"MULA(TO_TEXT(Referencia!$A$2:$A6238)),0),0),
IF(OR(campo="""",campo=""-""),""NO APLICA"",
IF(col=0,""REVISAR EQUIVALENCIA"",
IF(fila=0,""SKU NO ENCONTRADO"",
LET(
valor,INDEX(Referencia!$A$2:$AZ6238,fila,col),
IF(TRIM(TO_TEXT(valor))=TRIM(TO_TEXT(I3845)),"&amp;"
""OK"",
""NO COINCIDE. Valor verdadero: ""&amp;IF(valor="""",""[VACÍO]"",TO_TEXT(valor))
)
))))
),""ERROR EN FÓRMULA""))"),"OK")</f>
        <v>OK</v>
      </c>
    </row>
    <row r="3846">
      <c r="A3846" s="83" t="s">
        <v>4896</v>
      </c>
      <c r="B3846" s="83" t="s">
        <v>4897</v>
      </c>
      <c r="C3846" s="81" t="s">
        <v>4086</v>
      </c>
      <c r="D3846" s="83" t="s">
        <v>4483</v>
      </c>
      <c r="E3846" s="81" t="s">
        <v>2254</v>
      </c>
      <c r="F3846" s="81">
        <v>432.0</v>
      </c>
      <c r="G3846" s="81" t="s">
        <v>1</v>
      </c>
      <c r="H3846" s="81" t="s">
        <v>224</v>
      </c>
      <c r="I3846" s="81" t="s">
        <v>49</v>
      </c>
      <c r="J3846" s="81" t="s">
        <v>224</v>
      </c>
      <c r="K3846" s="81" t="str">
        <f>IFERROR(__xludf.DUMMYFUNCTION("IF(OR(D3846="""",G3846=""""),"""",IFERROR(LET(
campo,XLOOKUP(TRIM(G3846),ARRAYFORMULA(TRIM('indice columnas'!$A$2:$A$100)),'indice columnas'!$B$2:$B$100,""""),
col,IFERROR(MATCH(campo,Referencia!$A$1:$AZ$1,0),0),
fila,IFERROR(MATCH(TO_TEXT(D3846),ARRAYFOR"&amp;"MULA(TO_TEXT(Referencia!$A$2:$A6238)),0),0),
IF(OR(campo="""",campo=""-""),""NO APLICA"",
IF(col=0,""REVISAR EQUIVALENCIA"",
IF(fila=0,""SKU NO ENCONTRADO"",
LET(
valor,INDEX(Referencia!$A$2:$AZ6238,fila,col),
IF(TRIM(TO_TEXT(valor))=TRIM(TO_TEXT(I3846)),"&amp;"
""OK"",
""NO COINCIDE. Valor verdadero: ""&amp;IF(valor="""",""[VACÍO]"",TO_TEXT(valor))
)
))))
),""ERROR EN FÓRMULA""))"),"OK")</f>
        <v>OK</v>
      </c>
    </row>
    <row r="3847">
      <c r="A3847" s="83" t="s">
        <v>4896</v>
      </c>
      <c r="B3847" s="83" t="s">
        <v>4897</v>
      </c>
      <c r="C3847" s="81" t="s">
        <v>4086</v>
      </c>
      <c r="D3847" s="83" t="s">
        <v>4486</v>
      </c>
      <c r="E3847" s="81" t="s">
        <v>2268</v>
      </c>
      <c r="F3847" s="81">
        <v>435.0</v>
      </c>
      <c r="G3847" s="81" t="s">
        <v>3</v>
      </c>
      <c r="H3847" s="81" t="s">
        <v>224</v>
      </c>
      <c r="I3847" s="81" t="s">
        <v>51</v>
      </c>
      <c r="J3847" s="81" t="s">
        <v>224</v>
      </c>
      <c r="K3847" s="81" t="str">
        <f>IFERROR(__xludf.DUMMYFUNCTION("IF(OR(D3847="""",G3847=""""),"""",IFERROR(LET(
campo,XLOOKUP(TRIM(G3847),ARRAYFORMULA(TRIM('indice columnas'!$A$2:$A$100)),'indice columnas'!$B$2:$B$100,""""),
col,IFERROR(MATCH(campo,Referencia!$A$1:$AZ$1,0),0),
fila,IFERROR(MATCH(TO_TEXT(D3847),ARRAYFOR"&amp;"MULA(TO_TEXT(Referencia!$A$2:$A6238)),0),0),
IF(OR(campo="""",campo=""-""),""NO APLICA"",
IF(col=0,""REVISAR EQUIVALENCIA"",
IF(fila=0,""SKU NO ENCONTRADO"",
LET(
valor,INDEX(Referencia!$A$2:$AZ6238,fila,col),
IF(TRIM(TO_TEXT(valor))=TRIM(TO_TEXT(I3847)),"&amp;"
""OK"",
""NO COINCIDE. Valor verdadero: ""&amp;IF(valor="""",""[VACÍO]"",TO_TEXT(valor))
)
))))
),""ERROR EN FÓRMULA""))"),"OK")</f>
        <v>OK</v>
      </c>
    </row>
    <row r="3848">
      <c r="A3848" s="83" t="s">
        <v>4896</v>
      </c>
      <c r="B3848" s="83" t="s">
        <v>4897</v>
      </c>
      <c r="C3848" s="81" t="s">
        <v>4086</v>
      </c>
      <c r="D3848" s="83" t="s">
        <v>4486</v>
      </c>
      <c r="E3848" s="81" t="s">
        <v>2268</v>
      </c>
      <c r="F3848" s="81">
        <v>435.0</v>
      </c>
      <c r="G3848" s="81" t="s">
        <v>2</v>
      </c>
      <c r="H3848" s="81" t="s">
        <v>224</v>
      </c>
      <c r="I3848" s="81" t="s">
        <v>213</v>
      </c>
      <c r="J3848" s="81" t="s">
        <v>224</v>
      </c>
      <c r="K3848" s="81" t="str">
        <f>IFERROR(__xludf.DUMMYFUNCTION("IF(OR(D3848="""",G3848=""""),"""",IFERROR(LET(
campo,XLOOKUP(TRIM(G3848),ARRAYFORMULA(TRIM('indice columnas'!$A$2:$A$100)),'indice columnas'!$B$2:$B$100,""""),
col,IFERROR(MATCH(campo,Referencia!$A$1:$AZ$1,0),0),
fila,IFERROR(MATCH(TO_TEXT(D3848),ARRAYFOR"&amp;"MULA(TO_TEXT(Referencia!$A$2:$A6238)),0),0),
IF(OR(campo="""",campo=""-""),""NO APLICA"",
IF(col=0,""REVISAR EQUIVALENCIA"",
IF(fila=0,""SKU NO ENCONTRADO"",
LET(
valor,INDEX(Referencia!$A$2:$AZ6238,fila,col),
IF(TRIM(TO_TEXT(valor))=TRIM(TO_TEXT(I3848)),"&amp;"
""OK"",
""NO COINCIDE. Valor verdadero: ""&amp;IF(valor="""",""[VACÍO]"",TO_TEXT(valor))
)
))))
),""ERROR EN FÓRMULA""))"),"OK")</f>
        <v>OK</v>
      </c>
    </row>
    <row r="3849">
      <c r="A3849" s="83" t="s">
        <v>4896</v>
      </c>
      <c r="B3849" s="83" t="s">
        <v>4897</v>
      </c>
      <c r="C3849" s="81" t="s">
        <v>4086</v>
      </c>
      <c r="D3849" s="83" t="s">
        <v>4486</v>
      </c>
      <c r="E3849" s="81" t="s">
        <v>2268</v>
      </c>
      <c r="F3849" s="81">
        <v>435.0</v>
      </c>
      <c r="G3849" s="81" t="s">
        <v>1</v>
      </c>
      <c r="H3849" s="81" t="s">
        <v>224</v>
      </c>
      <c r="I3849" s="81" t="s">
        <v>49</v>
      </c>
      <c r="J3849" s="81" t="s">
        <v>224</v>
      </c>
      <c r="K3849" s="81" t="str">
        <f>IFERROR(__xludf.DUMMYFUNCTION("IF(OR(D3849="""",G3849=""""),"""",IFERROR(LET(
campo,XLOOKUP(TRIM(G3849),ARRAYFORMULA(TRIM('indice columnas'!$A$2:$A$100)),'indice columnas'!$B$2:$B$100,""""),
col,IFERROR(MATCH(campo,Referencia!$A$1:$AZ$1,0),0),
fila,IFERROR(MATCH(TO_TEXT(D3849),ARRAYFOR"&amp;"MULA(TO_TEXT(Referencia!$A$2:$A6238)),0),0),
IF(OR(campo="""",campo=""-""),""NO APLICA"",
IF(col=0,""REVISAR EQUIVALENCIA"",
IF(fila=0,""SKU NO ENCONTRADO"",
LET(
valor,INDEX(Referencia!$A$2:$AZ6238,fila,col),
IF(TRIM(TO_TEXT(valor))=TRIM(TO_TEXT(I3849)),"&amp;"
""OK"",
""NO COINCIDE. Valor verdadero: ""&amp;IF(valor="""",""[VACÍO]"",TO_TEXT(valor))
)
))))
),""ERROR EN FÓRMULA""))"),"OK")</f>
        <v>OK</v>
      </c>
    </row>
    <row r="3850">
      <c r="A3850" s="83" t="s">
        <v>4896</v>
      </c>
      <c r="B3850" s="83" t="s">
        <v>4897</v>
      </c>
      <c r="C3850" s="81" t="s">
        <v>4086</v>
      </c>
      <c r="D3850" s="83" t="s">
        <v>4489</v>
      </c>
      <c r="E3850" s="81" t="s">
        <v>2282</v>
      </c>
      <c r="F3850" s="81">
        <v>438.0</v>
      </c>
      <c r="G3850" s="81" t="s">
        <v>3</v>
      </c>
      <c r="H3850" s="81" t="s">
        <v>224</v>
      </c>
      <c r="I3850" s="81" t="s">
        <v>214</v>
      </c>
      <c r="J3850" s="81" t="s">
        <v>224</v>
      </c>
      <c r="K3850" s="81" t="str">
        <f>IFERROR(__xludf.DUMMYFUNCTION("IF(OR(D3850="""",G3850=""""),"""",IFERROR(LET(
campo,XLOOKUP(TRIM(G3850),ARRAYFORMULA(TRIM('indice columnas'!$A$2:$A$100)),'indice columnas'!$B$2:$B$100,""""),
col,IFERROR(MATCH(campo,Referencia!$A$1:$AZ$1,0),0),
fila,IFERROR(MATCH(TO_TEXT(D3850),ARRAYFOR"&amp;"MULA(TO_TEXT(Referencia!$A$2:$A6238)),0),0),
IF(OR(campo="""",campo=""-""),""NO APLICA"",
IF(col=0,""REVISAR EQUIVALENCIA"",
IF(fila=0,""SKU NO ENCONTRADO"",
LET(
valor,INDEX(Referencia!$A$2:$AZ6238,fila,col),
IF(TRIM(TO_TEXT(valor))=TRIM(TO_TEXT(I3850)),"&amp;"
""OK"",
""NO COINCIDE. Valor verdadero: ""&amp;IF(valor="""",""[VACÍO]"",TO_TEXT(valor))
)
))))
),""ERROR EN FÓRMULA""))"),"OK")</f>
        <v>OK</v>
      </c>
    </row>
    <row r="3851">
      <c r="A3851" s="83" t="s">
        <v>4896</v>
      </c>
      <c r="B3851" s="83" t="s">
        <v>4897</v>
      </c>
      <c r="C3851" s="81" t="s">
        <v>4086</v>
      </c>
      <c r="D3851" s="83" t="s">
        <v>4489</v>
      </c>
      <c r="E3851" s="81" t="s">
        <v>2282</v>
      </c>
      <c r="F3851" s="81">
        <v>438.0</v>
      </c>
      <c r="G3851" s="81" t="s">
        <v>2</v>
      </c>
      <c r="H3851" s="81" t="s">
        <v>224</v>
      </c>
      <c r="I3851" s="81" t="s">
        <v>213</v>
      </c>
      <c r="J3851" s="81" t="s">
        <v>224</v>
      </c>
      <c r="K3851" s="81" t="str">
        <f>IFERROR(__xludf.DUMMYFUNCTION("IF(OR(D3851="""",G3851=""""),"""",IFERROR(LET(
campo,XLOOKUP(TRIM(G3851),ARRAYFORMULA(TRIM('indice columnas'!$A$2:$A$100)),'indice columnas'!$B$2:$B$100,""""),
col,IFERROR(MATCH(campo,Referencia!$A$1:$AZ$1,0),0),
fila,IFERROR(MATCH(TO_TEXT(D3851),ARRAYFOR"&amp;"MULA(TO_TEXT(Referencia!$A$2:$A6238)),0),0),
IF(OR(campo="""",campo=""-""),""NO APLICA"",
IF(col=0,""REVISAR EQUIVALENCIA"",
IF(fila=0,""SKU NO ENCONTRADO"",
LET(
valor,INDEX(Referencia!$A$2:$AZ6238,fila,col),
IF(TRIM(TO_TEXT(valor))=TRIM(TO_TEXT(I3851)),"&amp;"
""OK"",
""NO COINCIDE. Valor verdadero: ""&amp;IF(valor="""",""[VACÍO]"",TO_TEXT(valor))
)
))))
),""ERROR EN FÓRMULA""))"),"OK")</f>
        <v>OK</v>
      </c>
    </row>
    <row r="3852">
      <c r="A3852" s="83" t="s">
        <v>4896</v>
      </c>
      <c r="B3852" s="83" t="s">
        <v>4897</v>
      </c>
      <c r="C3852" s="81" t="s">
        <v>4086</v>
      </c>
      <c r="D3852" s="83" t="s">
        <v>4489</v>
      </c>
      <c r="E3852" s="81" t="s">
        <v>2282</v>
      </c>
      <c r="F3852" s="81">
        <v>438.0</v>
      </c>
      <c r="G3852" s="81" t="s">
        <v>1</v>
      </c>
      <c r="H3852" s="81" t="s">
        <v>224</v>
      </c>
      <c r="I3852" s="81" t="s">
        <v>49</v>
      </c>
      <c r="J3852" s="81" t="s">
        <v>224</v>
      </c>
      <c r="K3852" s="81" t="str">
        <f>IFERROR(__xludf.DUMMYFUNCTION("IF(OR(D3852="""",G3852=""""),"""",IFERROR(LET(
campo,XLOOKUP(TRIM(G3852),ARRAYFORMULA(TRIM('indice columnas'!$A$2:$A$100)),'indice columnas'!$B$2:$B$100,""""),
col,IFERROR(MATCH(campo,Referencia!$A$1:$AZ$1,0),0),
fila,IFERROR(MATCH(TO_TEXT(D3852),ARRAYFOR"&amp;"MULA(TO_TEXT(Referencia!$A$2:$A6238)),0),0),
IF(OR(campo="""",campo=""-""),""NO APLICA"",
IF(col=0,""REVISAR EQUIVALENCIA"",
IF(fila=0,""SKU NO ENCONTRADO"",
LET(
valor,INDEX(Referencia!$A$2:$AZ6238,fila,col),
IF(TRIM(TO_TEXT(valor))=TRIM(TO_TEXT(I3852)),"&amp;"
""OK"",
""NO COINCIDE. Valor verdadero: ""&amp;IF(valor="""",""[VACÍO]"",TO_TEXT(valor))
)
))))
),""ERROR EN FÓRMULA""))"),"OK")</f>
        <v>OK</v>
      </c>
    </row>
    <row r="3853">
      <c r="A3853" s="83" t="s">
        <v>4896</v>
      </c>
      <c r="B3853" s="83" t="s">
        <v>4897</v>
      </c>
      <c r="C3853" s="81" t="s">
        <v>4086</v>
      </c>
      <c r="D3853" s="83" t="s">
        <v>4493</v>
      </c>
      <c r="E3853" s="81" t="s">
        <v>2297</v>
      </c>
      <c r="F3853" s="81">
        <v>441.0</v>
      </c>
      <c r="G3853" s="81" t="s">
        <v>3</v>
      </c>
      <c r="H3853" s="81" t="s">
        <v>224</v>
      </c>
      <c r="I3853" s="81" t="s">
        <v>214</v>
      </c>
      <c r="J3853" s="81" t="s">
        <v>224</v>
      </c>
      <c r="K3853" s="81" t="str">
        <f>IFERROR(__xludf.DUMMYFUNCTION("IF(OR(D3853="""",G3853=""""),"""",IFERROR(LET(
campo,XLOOKUP(TRIM(G3853),ARRAYFORMULA(TRIM('indice columnas'!$A$2:$A$100)),'indice columnas'!$B$2:$B$100,""""),
col,IFERROR(MATCH(campo,Referencia!$A$1:$AZ$1,0),0),
fila,IFERROR(MATCH(TO_TEXT(D3853),ARRAYFOR"&amp;"MULA(TO_TEXT(Referencia!$A$2:$A6238)),0),0),
IF(OR(campo="""",campo=""-""),""NO APLICA"",
IF(col=0,""REVISAR EQUIVALENCIA"",
IF(fila=0,""SKU NO ENCONTRADO"",
LET(
valor,INDEX(Referencia!$A$2:$AZ6238,fila,col),
IF(TRIM(TO_TEXT(valor))=TRIM(TO_TEXT(I3853)),"&amp;"
""OK"",
""NO COINCIDE. Valor verdadero: ""&amp;IF(valor="""",""[VACÍO]"",TO_TEXT(valor))
)
))))
),""ERROR EN FÓRMULA""))"),"OK")</f>
        <v>OK</v>
      </c>
    </row>
    <row r="3854">
      <c r="A3854" s="83" t="s">
        <v>4896</v>
      </c>
      <c r="B3854" s="83" t="s">
        <v>4897</v>
      </c>
      <c r="C3854" s="81" t="s">
        <v>4086</v>
      </c>
      <c r="D3854" s="83" t="s">
        <v>4493</v>
      </c>
      <c r="E3854" s="81" t="s">
        <v>2297</v>
      </c>
      <c r="F3854" s="81">
        <v>441.0</v>
      </c>
      <c r="G3854" s="81" t="s">
        <v>2</v>
      </c>
      <c r="H3854" s="81" t="s">
        <v>224</v>
      </c>
      <c r="I3854" s="81" t="s">
        <v>213</v>
      </c>
      <c r="J3854" s="81" t="s">
        <v>224</v>
      </c>
      <c r="K3854" s="81" t="str">
        <f>IFERROR(__xludf.DUMMYFUNCTION("IF(OR(D3854="""",G3854=""""),"""",IFERROR(LET(
campo,XLOOKUP(TRIM(G3854),ARRAYFORMULA(TRIM('indice columnas'!$A$2:$A$100)),'indice columnas'!$B$2:$B$100,""""),
col,IFERROR(MATCH(campo,Referencia!$A$1:$AZ$1,0),0),
fila,IFERROR(MATCH(TO_TEXT(D3854),ARRAYFOR"&amp;"MULA(TO_TEXT(Referencia!$A$2:$A6238)),0),0),
IF(OR(campo="""",campo=""-""),""NO APLICA"",
IF(col=0,""REVISAR EQUIVALENCIA"",
IF(fila=0,""SKU NO ENCONTRADO"",
LET(
valor,INDEX(Referencia!$A$2:$AZ6238,fila,col),
IF(TRIM(TO_TEXT(valor))=TRIM(TO_TEXT(I3854)),"&amp;"
""OK"",
""NO COINCIDE. Valor verdadero: ""&amp;IF(valor="""",""[VACÍO]"",TO_TEXT(valor))
)
))))
),""ERROR EN FÓRMULA""))"),"OK")</f>
        <v>OK</v>
      </c>
    </row>
    <row r="3855">
      <c r="A3855" s="83" t="s">
        <v>4896</v>
      </c>
      <c r="B3855" s="83" t="s">
        <v>4897</v>
      </c>
      <c r="C3855" s="81" t="s">
        <v>4086</v>
      </c>
      <c r="D3855" s="83" t="s">
        <v>4493</v>
      </c>
      <c r="E3855" s="81" t="s">
        <v>2297</v>
      </c>
      <c r="F3855" s="81">
        <v>441.0</v>
      </c>
      <c r="G3855" s="81" t="s">
        <v>1</v>
      </c>
      <c r="H3855" s="81" t="s">
        <v>224</v>
      </c>
      <c r="I3855" s="81" t="s">
        <v>49</v>
      </c>
      <c r="J3855" s="81" t="s">
        <v>224</v>
      </c>
      <c r="K3855" s="81" t="str">
        <f>IFERROR(__xludf.DUMMYFUNCTION("IF(OR(D3855="""",G3855=""""),"""",IFERROR(LET(
campo,XLOOKUP(TRIM(G3855),ARRAYFORMULA(TRIM('indice columnas'!$A$2:$A$100)),'indice columnas'!$B$2:$B$100,""""),
col,IFERROR(MATCH(campo,Referencia!$A$1:$AZ$1,0),0),
fila,IFERROR(MATCH(TO_TEXT(D3855),ARRAYFOR"&amp;"MULA(TO_TEXT(Referencia!$A$2:$A6238)),0),0),
IF(OR(campo="""",campo=""-""),""NO APLICA"",
IF(col=0,""REVISAR EQUIVALENCIA"",
IF(fila=0,""SKU NO ENCONTRADO"",
LET(
valor,INDEX(Referencia!$A$2:$AZ6238,fila,col),
IF(TRIM(TO_TEXT(valor))=TRIM(TO_TEXT(I3855)),"&amp;"
""OK"",
""NO COINCIDE. Valor verdadero: ""&amp;IF(valor="""",""[VACÍO]"",TO_TEXT(valor))
)
))))
),""ERROR EN FÓRMULA""))"),"OK")</f>
        <v>OK</v>
      </c>
    </row>
    <row r="3856">
      <c r="A3856" s="83" t="s">
        <v>4896</v>
      </c>
      <c r="B3856" s="83" t="s">
        <v>4897</v>
      </c>
      <c r="C3856" s="81" t="s">
        <v>4086</v>
      </c>
      <c r="D3856" s="83" t="s">
        <v>4494</v>
      </c>
      <c r="E3856" s="81" t="s">
        <v>2307</v>
      </c>
      <c r="F3856" s="81">
        <v>443.0</v>
      </c>
      <c r="G3856" s="81" t="s">
        <v>3</v>
      </c>
      <c r="H3856" s="81" t="s">
        <v>376</v>
      </c>
      <c r="I3856" s="81" t="s">
        <v>344</v>
      </c>
      <c r="J3856" s="81" t="s">
        <v>224</v>
      </c>
      <c r="K3856" s="81" t="str">
        <f>IFERROR(__xludf.DUMMYFUNCTION("IF(OR(D3856="""",G3856=""""),"""",IFERROR(LET(
campo,XLOOKUP(TRIM(G3856),ARRAYFORMULA(TRIM('indice columnas'!$A$2:$A$100)),'indice columnas'!$B$2:$B$100,""""),
col,IFERROR(MATCH(campo,Referencia!$A$1:$AZ$1,0),0),
fila,IFERROR(MATCH(TO_TEXT(D3856),ARRAYFOR"&amp;"MULA(TO_TEXT(Referencia!$A$2:$A6238)),0),0),
IF(OR(campo="""",campo=""-""),""NO APLICA"",
IF(col=0,""REVISAR EQUIVALENCIA"",
IF(fila=0,""SKU NO ENCONTRADO"",
LET(
valor,INDEX(Referencia!$A$2:$AZ6238,fila,col),
IF(TRIM(TO_TEXT(valor))=TRIM(TO_TEXT(I3856)),"&amp;"
""OK"",
""NO COINCIDE. Valor verdadero: ""&amp;IF(valor="""",""[VACÍO]"",TO_TEXT(valor))
)
))))
),""ERROR EN FÓRMULA""))"),"OK")</f>
        <v>OK</v>
      </c>
    </row>
    <row r="3857">
      <c r="A3857" s="83" t="s">
        <v>4896</v>
      </c>
      <c r="B3857" s="83" t="s">
        <v>4897</v>
      </c>
      <c r="C3857" s="81" t="s">
        <v>4086</v>
      </c>
      <c r="D3857" s="83" t="s">
        <v>4495</v>
      </c>
      <c r="E3857" s="81" t="s">
        <v>2308</v>
      </c>
      <c r="F3857" s="81">
        <v>444.0</v>
      </c>
      <c r="G3857" s="81" t="s">
        <v>3</v>
      </c>
      <c r="H3857" s="81" t="s">
        <v>224</v>
      </c>
      <c r="I3857" s="81" t="s">
        <v>344</v>
      </c>
      <c r="J3857" s="81" t="s">
        <v>224</v>
      </c>
      <c r="K3857" s="81" t="str">
        <f>IFERROR(__xludf.DUMMYFUNCTION("IF(OR(D3857="""",G3857=""""),"""",IFERROR(LET(
campo,XLOOKUP(TRIM(G3857),ARRAYFORMULA(TRIM('indice columnas'!$A$2:$A$100)),'indice columnas'!$B$2:$B$100,""""),
col,IFERROR(MATCH(campo,Referencia!$A$1:$AZ$1,0),0),
fila,IFERROR(MATCH(TO_TEXT(D3857),ARRAYFOR"&amp;"MULA(TO_TEXT(Referencia!$A$2:$A6238)),0),0),
IF(OR(campo="""",campo=""-""),""NO APLICA"",
IF(col=0,""REVISAR EQUIVALENCIA"",
IF(fila=0,""SKU NO ENCONTRADO"",
LET(
valor,INDEX(Referencia!$A$2:$AZ6238,fila,col),
IF(TRIM(TO_TEXT(valor))=TRIM(TO_TEXT(I3857)),"&amp;"
""OK"",
""NO COINCIDE. Valor verdadero: ""&amp;IF(valor="""",""[VACÍO]"",TO_TEXT(valor))
)
))))
),""ERROR EN FÓRMULA""))"),"OK")</f>
        <v>OK</v>
      </c>
    </row>
    <row r="3858">
      <c r="A3858" s="83" t="s">
        <v>4896</v>
      </c>
      <c r="B3858" s="83" t="s">
        <v>4897</v>
      </c>
      <c r="C3858" s="81" t="s">
        <v>4086</v>
      </c>
      <c r="D3858" s="83" t="s">
        <v>4495</v>
      </c>
      <c r="E3858" s="81" t="s">
        <v>2308</v>
      </c>
      <c r="F3858" s="81">
        <v>444.0</v>
      </c>
      <c r="G3858" s="81" t="s">
        <v>2</v>
      </c>
      <c r="H3858" s="81" t="s">
        <v>224</v>
      </c>
      <c r="I3858" s="81" t="s">
        <v>213</v>
      </c>
      <c r="J3858" s="81" t="s">
        <v>224</v>
      </c>
      <c r="K3858" s="81" t="str">
        <f>IFERROR(__xludf.DUMMYFUNCTION("IF(OR(D3858="""",G3858=""""),"""",IFERROR(LET(
campo,XLOOKUP(TRIM(G3858),ARRAYFORMULA(TRIM('indice columnas'!$A$2:$A$100)),'indice columnas'!$B$2:$B$100,""""),
col,IFERROR(MATCH(campo,Referencia!$A$1:$AZ$1,0),0),
fila,IFERROR(MATCH(TO_TEXT(D3858),ARRAYFOR"&amp;"MULA(TO_TEXT(Referencia!$A$2:$A6238)),0),0),
IF(OR(campo="""",campo=""-""),""NO APLICA"",
IF(col=0,""REVISAR EQUIVALENCIA"",
IF(fila=0,""SKU NO ENCONTRADO"",
LET(
valor,INDEX(Referencia!$A$2:$AZ6238,fila,col),
IF(TRIM(TO_TEXT(valor))=TRIM(TO_TEXT(I3858)),"&amp;"
""OK"",
""NO COINCIDE. Valor verdadero: ""&amp;IF(valor="""",""[VACÍO]"",TO_TEXT(valor))
)
))))
),""ERROR EN FÓRMULA""))"),"OK")</f>
        <v>OK</v>
      </c>
    </row>
    <row r="3859">
      <c r="A3859" s="83" t="s">
        <v>4896</v>
      </c>
      <c r="B3859" s="83" t="s">
        <v>4897</v>
      </c>
      <c r="C3859" s="81" t="s">
        <v>4086</v>
      </c>
      <c r="D3859" s="83" t="s">
        <v>4495</v>
      </c>
      <c r="E3859" s="81" t="s">
        <v>2308</v>
      </c>
      <c r="F3859" s="81">
        <v>444.0</v>
      </c>
      <c r="G3859" s="81" t="s">
        <v>1</v>
      </c>
      <c r="H3859" s="81" t="s">
        <v>224</v>
      </c>
      <c r="I3859" s="81" t="s">
        <v>49</v>
      </c>
      <c r="J3859" s="81" t="s">
        <v>224</v>
      </c>
      <c r="K3859" s="81" t="str">
        <f>IFERROR(__xludf.DUMMYFUNCTION("IF(OR(D3859="""",G3859=""""),"""",IFERROR(LET(
campo,XLOOKUP(TRIM(G3859),ARRAYFORMULA(TRIM('indice columnas'!$A$2:$A$100)),'indice columnas'!$B$2:$B$100,""""),
col,IFERROR(MATCH(campo,Referencia!$A$1:$AZ$1,0),0),
fila,IFERROR(MATCH(TO_TEXT(D3859),ARRAYFOR"&amp;"MULA(TO_TEXT(Referencia!$A$2:$A6238)),0),0),
IF(OR(campo="""",campo=""-""),""NO APLICA"",
IF(col=0,""REVISAR EQUIVALENCIA"",
IF(fila=0,""SKU NO ENCONTRADO"",
LET(
valor,INDEX(Referencia!$A$2:$AZ6238,fila,col),
IF(TRIM(TO_TEXT(valor))=TRIM(TO_TEXT(I3859)),"&amp;"
""OK"",
""NO COINCIDE. Valor verdadero: ""&amp;IF(valor="""",""[VACÍO]"",TO_TEXT(valor))
)
))))
),""ERROR EN FÓRMULA""))"),"OK")</f>
        <v>OK</v>
      </c>
    </row>
    <row r="3860">
      <c r="A3860" s="83" t="s">
        <v>4896</v>
      </c>
      <c r="B3860" s="83" t="s">
        <v>4897</v>
      </c>
      <c r="C3860" s="81" t="s">
        <v>4086</v>
      </c>
      <c r="D3860" s="83" t="s">
        <v>4496</v>
      </c>
      <c r="E3860" s="81" t="s">
        <v>2317</v>
      </c>
      <c r="F3860" s="81">
        <v>446.0</v>
      </c>
      <c r="G3860" s="81" t="s">
        <v>3</v>
      </c>
      <c r="H3860" s="81" t="s">
        <v>376</v>
      </c>
      <c r="I3860" s="81" t="s">
        <v>344</v>
      </c>
      <c r="J3860" s="81" t="s">
        <v>224</v>
      </c>
      <c r="K3860" s="81" t="str">
        <f>IFERROR(__xludf.DUMMYFUNCTION("IF(OR(D3860="""",G3860=""""),"""",IFERROR(LET(
campo,XLOOKUP(TRIM(G3860),ARRAYFORMULA(TRIM('indice columnas'!$A$2:$A$100)),'indice columnas'!$B$2:$B$100,""""),
col,IFERROR(MATCH(campo,Referencia!$A$1:$AZ$1,0),0),
fila,IFERROR(MATCH(TO_TEXT(D3860),ARRAYFOR"&amp;"MULA(TO_TEXT(Referencia!$A$2:$A6238)),0),0),
IF(OR(campo="""",campo=""-""),""NO APLICA"",
IF(col=0,""REVISAR EQUIVALENCIA"",
IF(fila=0,""SKU NO ENCONTRADO"",
LET(
valor,INDEX(Referencia!$A$2:$AZ6238,fila,col),
IF(TRIM(TO_TEXT(valor))=TRIM(TO_TEXT(I3860)),"&amp;"
""OK"",
""NO COINCIDE. Valor verdadero: ""&amp;IF(valor="""",""[VACÍO]"",TO_TEXT(valor))
)
))))
),""ERROR EN FÓRMULA""))"),"OK")</f>
        <v>OK</v>
      </c>
    </row>
    <row r="3861">
      <c r="A3861" s="83" t="s">
        <v>4896</v>
      </c>
      <c r="B3861" s="83" t="s">
        <v>4897</v>
      </c>
      <c r="C3861" s="81" t="s">
        <v>4086</v>
      </c>
      <c r="D3861" s="83" t="s">
        <v>4497</v>
      </c>
      <c r="E3861" s="81" t="s">
        <v>2318</v>
      </c>
      <c r="F3861" s="81">
        <v>447.0</v>
      </c>
      <c r="G3861" s="81" t="s">
        <v>3</v>
      </c>
      <c r="H3861" s="81" t="s">
        <v>224</v>
      </c>
      <c r="I3861" s="81" t="s">
        <v>344</v>
      </c>
      <c r="J3861" s="81" t="s">
        <v>224</v>
      </c>
      <c r="K3861" s="81" t="str">
        <f>IFERROR(__xludf.DUMMYFUNCTION("IF(OR(D3861="""",G3861=""""),"""",IFERROR(LET(
campo,XLOOKUP(TRIM(G3861),ARRAYFORMULA(TRIM('indice columnas'!$A$2:$A$100)),'indice columnas'!$B$2:$B$100,""""),
col,IFERROR(MATCH(campo,Referencia!$A$1:$AZ$1,0),0),
fila,IFERROR(MATCH(TO_TEXT(D3861),ARRAYFOR"&amp;"MULA(TO_TEXT(Referencia!$A$2:$A6238)),0),0),
IF(OR(campo="""",campo=""-""),""NO APLICA"",
IF(col=0,""REVISAR EQUIVALENCIA"",
IF(fila=0,""SKU NO ENCONTRADO"",
LET(
valor,INDEX(Referencia!$A$2:$AZ6238,fila,col),
IF(TRIM(TO_TEXT(valor))=TRIM(TO_TEXT(I3861)),"&amp;"
""OK"",
""NO COINCIDE. Valor verdadero: ""&amp;IF(valor="""",""[VACÍO]"",TO_TEXT(valor))
)
))))
),""ERROR EN FÓRMULA""))"),"OK")</f>
        <v>OK</v>
      </c>
    </row>
    <row r="3862">
      <c r="A3862" s="83" t="s">
        <v>4896</v>
      </c>
      <c r="B3862" s="83" t="s">
        <v>4897</v>
      </c>
      <c r="C3862" s="81" t="s">
        <v>4086</v>
      </c>
      <c r="D3862" s="83" t="s">
        <v>4497</v>
      </c>
      <c r="E3862" s="81" t="s">
        <v>2318</v>
      </c>
      <c r="F3862" s="81">
        <v>447.0</v>
      </c>
      <c r="G3862" s="81" t="s">
        <v>2</v>
      </c>
      <c r="H3862" s="81" t="s">
        <v>224</v>
      </c>
      <c r="I3862" s="81" t="s">
        <v>213</v>
      </c>
      <c r="J3862" s="81" t="s">
        <v>224</v>
      </c>
      <c r="K3862" s="81" t="str">
        <f>IFERROR(__xludf.DUMMYFUNCTION("IF(OR(D3862="""",G3862=""""),"""",IFERROR(LET(
campo,XLOOKUP(TRIM(G3862),ARRAYFORMULA(TRIM('indice columnas'!$A$2:$A$100)),'indice columnas'!$B$2:$B$100,""""),
col,IFERROR(MATCH(campo,Referencia!$A$1:$AZ$1,0),0),
fila,IFERROR(MATCH(TO_TEXT(D3862),ARRAYFOR"&amp;"MULA(TO_TEXT(Referencia!$A$2:$A6238)),0),0),
IF(OR(campo="""",campo=""-""),""NO APLICA"",
IF(col=0,""REVISAR EQUIVALENCIA"",
IF(fila=0,""SKU NO ENCONTRADO"",
LET(
valor,INDEX(Referencia!$A$2:$AZ6238,fila,col),
IF(TRIM(TO_TEXT(valor))=TRIM(TO_TEXT(I3862)),"&amp;"
""OK"",
""NO COINCIDE. Valor verdadero: ""&amp;IF(valor="""",""[VACÍO]"",TO_TEXT(valor))
)
))))
),""ERROR EN FÓRMULA""))"),"OK")</f>
        <v>OK</v>
      </c>
    </row>
    <row r="3863">
      <c r="A3863" s="83" t="s">
        <v>4896</v>
      </c>
      <c r="B3863" s="83" t="s">
        <v>4897</v>
      </c>
      <c r="C3863" s="81" t="s">
        <v>4086</v>
      </c>
      <c r="D3863" s="83" t="s">
        <v>4497</v>
      </c>
      <c r="E3863" s="81" t="s">
        <v>2318</v>
      </c>
      <c r="F3863" s="81">
        <v>447.0</v>
      </c>
      <c r="G3863" s="81" t="s">
        <v>1</v>
      </c>
      <c r="H3863" s="81" t="s">
        <v>224</v>
      </c>
      <c r="I3863" s="81" t="s">
        <v>49</v>
      </c>
      <c r="J3863" s="81" t="s">
        <v>224</v>
      </c>
      <c r="K3863" s="81" t="str">
        <f>IFERROR(__xludf.DUMMYFUNCTION("IF(OR(D3863="""",G3863=""""),"""",IFERROR(LET(
campo,XLOOKUP(TRIM(G3863),ARRAYFORMULA(TRIM('indice columnas'!$A$2:$A$100)),'indice columnas'!$B$2:$B$100,""""),
col,IFERROR(MATCH(campo,Referencia!$A$1:$AZ$1,0),0),
fila,IFERROR(MATCH(TO_TEXT(D3863),ARRAYFOR"&amp;"MULA(TO_TEXT(Referencia!$A$2:$A6238)),0),0),
IF(OR(campo="""",campo=""-""),""NO APLICA"",
IF(col=0,""REVISAR EQUIVALENCIA"",
IF(fila=0,""SKU NO ENCONTRADO"",
LET(
valor,INDEX(Referencia!$A$2:$AZ6238,fila,col),
IF(TRIM(TO_TEXT(valor))=TRIM(TO_TEXT(I3863)),"&amp;"
""OK"",
""NO COINCIDE. Valor verdadero: ""&amp;IF(valor="""",""[VACÍO]"",TO_TEXT(valor))
)
))))
),""ERROR EN FÓRMULA""))"),"OK")</f>
        <v>OK</v>
      </c>
    </row>
    <row r="3864">
      <c r="A3864" s="83" t="s">
        <v>4896</v>
      </c>
      <c r="B3864" s="83" t="s">
        <v>4897</v>
      </c>
      <c r="C3864" s="81" t="s">
        <v>4086</v>
      </c>
      <c r="D3864" s="83" t="s">
        <v>4500</v>
      </c>
      <c r="E3864" s="81" t="s">
        <v>2326</v>
      </c>
      <c r="F3864" s="81">
        <v>450.0</v>
      </c>
      <c r="G3864" s="81" t="s">
        <v>3</v>
      </c>
      <c r="H3864" s="81" t="s">
        <v>224</v>
      </c>
      <c r="I3864" s="81" t="s">
        <v>920</v>
      </c>
      <c r="J3864" s="81" t="s">
        <v>224</v>
      </c>
      <c r="K3864" s="81" t="str">
        <f>IFERROR(__xludf.DUMMYFUNCTION("IF(OR(D3864="""",G3864=""""),"""",IFERROR(LET(
campo,XLOOKUP(TRIM(G3864),ARRAYFORMULA(TRIM('indice columnas'!$A$2:$A$100)),'indice columnas'!$B$2:$B$100,""""),
col,IFERROR(MATCH(campo,Referencia!$A$1:$AZ$1,0),0),
fila,IFERROR(MATCH(TO_TEXT(D3864),ARRAYFOR"&amp;"MULA(TO_TEXT(Referencia!$A$2:$A6238)),0),0),
IF(OR(campo="""",campo=""-""),""NO APLICA"",
IF(col=0,""REVISAR EQUIVALENCIA"",
IF(fila=0,""SKU NO ENCONTRADO"",
LET(
valor,INDEX(Referencia!$A$2:$AZ6238,fila,col),
IF(TRIM(TO_TEXT(valor))=TRIM(TO_TEXT(I3864)),"&amp;"
""OK"",
""NO COINCIDE. Valor verdadero: ""&amp;IF(valor="""",""[VACÍO]"",TO_TEXT(valor))
)
))))
),""ERROR EN FÓRMULA""))"),"OK")</f>
        <v>OK</v>
      </c>
    </row>
    <row r="3865">
      <c r="A3865" s="83" t="s">
        <v>4896</v>
      </c>
      <c r="B3865" s="83" t="s">
        <v>4897</v>
      </c>
      <c r="C3865" s="81" t="s">
        <v>4086</v>
      </c>
      <c r="D3865" s="83" t="s">
        <v>4500</v>
      </c>
      <c r="E3865" s="81" t="s">
        <v>2326</v>
      </c>
      <c r="F3865" s="81">
        <v>450.0</v>
      </c>
      <c r="G3865" s="81" t="s">
        <v>2</v>
      </c>
      <c r="H3865" s="81" t="s">
        <v>224</v>
      </c>
      <c r="I3865" s="81" t="s">
        <v>919</v>
      </c>
      <c r="J3865" s="81" t="s">
        <v>224</v>
      </c>
      <c r="K3865" s="81" t="str">
        <f>IFERROR(__xludf.DUMMYFUNCTION("IF(OR(D3865="""",G3865=""""),"""",IFERROR(LET(
campo,XLOOKUP(TRIM(G3865),ARRAYFORMULA(TRIM('indice columnas'!$A$2:$A$100)),'indice columnas'!$B$2:$B$100,""""),
col,IFERROR(MATCH(campo,Referencia!$A$1:$AZ$1,0),0),
fila,IFERROR(MATCH(TO_TEXT(D3865),ARRAYFOR"&amp;"MULA(TO_TEXT(Referencia!$A$2:$A6238)),0),0),
IF(OR(campo="""",campo=""-""),""NO APLICA"",
IF(col=0,""REVISAR EQUIVALENCIA"",
IF(fila=0,""SKU NO ENCONTRADO"",
LET(
valor,INDEX(Referencia!$A$2:$AZ6238,fila,col),
IF(TRIM(TO_TEXT(valor))=TRIM(TO_TEXT(I3865)),"&amp;"
""OK"",
""NO COINCIDE. Valor verdadero: ""&amp;IF(valor="""",""[VACÍO]"",TO_TEXT(valor))
)
))))
),""ERROR EN FÓRMULA""))"),"OK")</f>
        <v>OK</v>
      </c>
    </row>
    <row r="3866">
      <c r="A3866" s="83" t="s">
        <v>4896</v>
      </c>
      <c r="B3866" s="83" t="s">
        <v>4897</v>
      </c>
      <c r="C3866" s="81" t="s">
        <v>4086</v>
      </c>
      <c r="D3866" s="83" t="s">
        <v>4500</v>
      </c>
      <c r="E3866" s="81" t="s">
        <v>2326</v>
      </c>
      <c r="F3866" s="81">
        <v>450.0</v>
      </c>
      <c r="G3866" s="81" t="s">
        <v>1</v>
      </c>
      <c r="H3866" s="81" t="s">
        <v>224</v>
      </c>
      <c r="I3866" s="81" t="s">
        <v>49</v>
      </c>
      <c r="J3866" s="81" t="s">
        <v>224</v>
      </c>
      <c r="K3866" s="81" t="str">
        <f>IFERROR(__xludf.DUMMYFUNCTION("IF(OR(D3866="""",G3866=""""),"""",IFERROR(LET(
campo,XLOOKUP(TRIM(G3866),ARRAYFORMULA(TRIM('indice columnas'!$A$2:$A$100)),'indice columnas'!$B$2:$B$100,""""),
col,IFERROR(MATCH(campo,Referencia!$A$1:$AZ$1,0),0),
fila,IFERROR(MATCH(TO_TEXT(D3866),ARRAYFOR"&amp;"MULA(TO_TEXT(Referencia!$A$2:$A6238)),0),0),
IF(OR(campo="""",campo=""-""),""NO APLICA"",
IF(col=0,""REVISAR EQUIVALENCIA"",
IF(fila=0,""SKU NO ENCONTRADO"",
LET(
valor,INDEX(Referencia!$A$2:$AZ6238,fila,col),
IF(TRIM(TO_TEXT(valor))=TRIM(TO_TEXT(I3866)),"&amp;"
""OK"",
""NO COINCIDE. Valor verdadero: ""&amp;IF(valor="""",""[VACÍO]"",TO_TEXT(valor))
)
))))
),""ERROR EN FÓRMULA""))"),"OK")</f>
        <v>OK</v>
      </c>
    </row>
    <row r="3867">
      <c r="A3867" s="83" t="s">
        <v>4896</v>
      </c>
      <c r="B3867" s="83" t="s">
        <v>4897</v>
      </c>
      <c r="C3867" s="81" t="s">
        <v>4086</v>
      </c>
      <c r="D3867" s="83" t="s">
        <v>4503</v>
      </c>
      <c r="E3867" s="81" t="s">
        <v>2334</v>
      </c>
      <c r="F3867" s="81">
        <v>452.0</v>
      </c>
      <c r="G3867" s="81" t="s">
        <v>3</v>
      </c>
      <c r="H3867" s="81" t="s">
        <v>224</v>
      </c>
      <c r="I3867" s="81" t="s">
        <v>1595</v>
      </c>
      <c r="J3867" s="81" t="s">
        <v>224</v>
      </c>
      <c r="K3867" s="81" t="str">
        <f>IFERROR(__xludf.DUMMYFUNCTION("IF(OR(D3867="""",G3867=""""),"""",IFERROR(LET(
campo,XLOOKUP(TRIM(G3867),ARRAYFORMULA(TRIM('indice columnas'!$A$2:$A$100)),'indice columnas'!$B$2:$B$100,""""),
col,IFERROR(MATCH(campo,Referencia!$A$1:$AZ$1,0),0),
fila,IFERROR(MATCH(TO_TEXT(D3867),ARRAYFOR"&amp;"MULA(TO_TEXT(Referencia!$A$2:$A6238)),0),0),
IF(OR(campo="""",campo=""-""),""NO APLICA"",
IF(col=0,""REVISAR EQUIVALENCIA"",
IF(fila=0,""SKU NO ENCONTRADO"",
LET(
valor,INDEX(Referencia!$A$2:$AZ6238,fila,col),
IF(TRIM(TO_TEXT(valor))=TRIM(TO_TEXT(I3867)),"&amp;"
""OK"",
""NO COINCIDE. Valor verdadero: ""&amp;IF(valor="""",""[VACÍO]"",TO_TEXT(valor))
)
))))
),""ERROR EN FÓRMULA""))"),"OK")</f>
        <v>OK</v>
      </c>
    </row>
    <row r="3868">
      <c r="A3868" s="83" t="s">
        <v>4896</v>
      </c>
      <c r="B3868" s="83" t="s">
        <v>4897</v>
      </c>
      <c r="C3868" s="81" t="s">
        <v>4086</v>
      </c>
      <c r="D3868" s="83" t="s">
        <v>4503</v>
      </c>
      <c r="E3868" s="81" t="s">
        <v>2334</v>
      </c>
      <c r="F3868" s="81">
        <v>452.0</v>
      </c>
      <c r="G3868" s="81" t="s">
        <v>2</v>
      </c>
      <c r="H3868" s="81" t="s">
        <v>224</v>
      </c>
      <c r="I3868" s="81" t="s">
        <v>332</v>
      </c>
      <c r="J3868" s="81" t="s">
        <v>224</v>
      </c>
      <c r="K3868" s="81" t="str">
        <f>IFERROR(__xludf.DUMMYFUNCTION("IF(OR(D3868="""",G3868=""""),"""",IFERROR(LET(
campo,XLOOKUP(TRIM(G3868),ARRAYFORMULA(TRIM('indice columnas'!$A$2:$A$100)),'indice columnas'!$B$2:$B$100,""""),
col,IFERROR(MATCH(campo,Referencia!$A$1:$AZ$1,0),0),
fila,IFERROR(MATCH(TO_TEXT(D3868),ARRAYFOR"&amp;"MULA(TO_TEXT(Referencia!$A$2:$A6238)),0),0),
IF(OR(campo="""",campo=""-""),""NO APLICA"",
IF(col=0,""REVISAR EQUIVALENCIA"",
IF(fila=0,""SKU NO ENCONTRADO"",
LET(
valor,INDEX(Referencia!$A$2:$AZ6238,fila,col),
IF(TRIM(TO_TEXT(valor))=TRIM(TO_TEXT(I3868)),"&amp;"
""OK"",
""NO COINCIDE. Valor verdadero: ""&amp;IF(valor="""",""[VACÍO]"",TO_TEXT(valor))
)
))))
),""ERROR EN FÓRMULA""))"),"OK")</f>
        <v>OK</v>
      </c>
    </row>
    <row r="3869">
      <c r="A3869" s="83" t="s">
        <v>4896</v>
      </c>
      <c r="B3869" s="83" t="s">
        <v>4897</v>
      </c>
      <c r="C3869" s="81" t="s">
        <v>4086</v>
      </c>
      <c r="D3869" s="83" t="s">
        <v>4504</v>
      </c>
      <c r="E3869" s="81" t="s">
        <v>2335</v>
      </c>
      <c r="F3869" s="81">
        <v>453.0</v>
      </c>
      <c r="G3869" s="81" t="s">
        <v>3</v>
      </c>
      <c r="H3869" s="81" t="s">
        <v>224</v>
      </c>
      <c r="I3869" s="81" t="s">
        <v>1595</v>
      </c>
      <c r="J3869" s="81" t="s">
        <v>224</v>
      </c>
      <c r="K3869" s="81" t="str">
        <f>IFERROR(__xludf.DUMMYFUNCTION("IF(OR(D3869="""",G3869=""""),"""",IFERROR(LET(
campo,XLOOKUP(TRIM(G3869),ARRAYFORMULA(TRIM('indice columnas'!$A$2:$A$100)),'indice columnas'!$B$2:$B$100,""""),
col,IFERROR(MATCH(campo,Referencia!$A$1:$AZ$1,0),0),
fila,IFERROR(MATCH(TO_TEXT(D3869),ARRAYFOR"&amp;"MULA(TO_TEXT(Referencia!$A$2:$A6238)),0),0),
IF(OR(campo="""",campo=""-""),""NO APLICA"",
IF(col=0,""REVISAR EQUIVALENCIA"",
IF(fila=0,""SKU NO ENCONTRADO"",
LET(
valor,INDEX(Referencia!$A$2:$AZ6238,fila,col),
IF(TRIM(TO_TEXT(valor))=TRIM(TO_TEXT(I3869)),"&amp;"
""OK"",
""NO COINCIDE. Valor verdadero: ""&amp;IF(valor="""",""[VACÍO]"",TO_TEXT(valor))
)
))))
),""ERROR EN FÓRMULA""))"),"OK")</f>
        <v>OK</v>
      </c>
    </row>
    <row r="3870">
      <c r="A3870" s="83" t="s">
        <v>4896</v>
      </c>
      <c r="B3870" s="83" t="s">
        <v>4897</v>
      </c>
      <c r="C3870" s="81" t="s">
        <v>4086</v>
      </c>
      <c r="D3870" s="83" t="s">
        <v>4504</v>
      </c>
      <c r="E3870" s="81" t="s">
        <v>2335</v>
      </c>
      <c r="F3870" s="81">
        <v>453.0</v>
      </c>
      <c r="G3870" s="81" t="s">
        <v>2</v>
      </c>
      <c r="H3870" s="81" t="s">
        <v>224</v>
      </c>
      <c r="I3870" s="81" t="s">
        <v>332</v>
      </c>
      <c r="J3870" s="81" t="s">
        <v>224</v>
      </c>
      <c r="K3870" s="81" t="str">
        <f>IFERROR(__xludf.DUMMYFUNCTION("IF(OR(D3870="""",G3870=""""),"""",IFERROR(LET(
campo,XLOOKUP(TRIM(G3870),ARRAYFORMULA(TRIM('indice columnas'!$A$2:$A$100)),'indice columnas'!$B$2:$B$100,""""),
col,IFERROR(MATCH(campo,Referencia!$A$1:$AZ$1,0),0),
fila,IFERROR(MATCH(TO_TEXT(D3870),ARRAYFOR"&amp;"MULA(TO_TEXT(Referencia!$A$2:$A6238)),0),0),
IF(OR(campo="""",campo=""-""),""NO APLICA"",
IF(col=0,""REVISAR EQUIVALENCIA"",
IF(fila=0,""SKU NO ENCONTRADO"",
LET(
valor,INDEX(Referencia!$A$2:$AZ6238,fila,col),
IF(TRIM(TO_TEXT(valor))=TRIM(TO_TEXT(I3870)),"&amp;"
""OK"",
""NO COINCIDE. Valor verdadero: ""&amp;IF(valor="""",""[VACÍO]"",TO_TEXT(valor))
)
))))
),""ERROR EN FÓRMULA""))"),"OK")</f>
        <v>OK</v>
      </c>
    </row>
    <row r="3871">
      <c r="A3871" s="83" t="s">
        <v>4896</v>
      </c>
      <c r="B3871" s="83" t="s">
        <v>4897</v>
      </c>
      <c r="C3871" s="81" t="s">
        <v>4086</v>
      </c>
      <c r="D3871" s="83" t="s">
        <v>4505</v>
      </c>
      <c r="E3871" s="81" t="s">
        <v>2337</v>
      </c>
      <c r="F3871" s="81">
        <v>454.0</v>
      </c>
      <c r="G3871" s="81" t="s">
        <v>3</v>
      </c>
      <c r="H3871" s="81" t="s">
        <v>224</v>
      </c>
      <c r="I3871" s="81" t="s">
        <v>1595</v>
      </c>
      <c r="J3871" s="81" t="s">
        <v>224</v>
      </c>
      <c r="K3871" s="81" t="str">
        <f>IFERROR(__xludf.DUMMYFUNCTION("IF(OR(D3871="""",G3871=""""),"""",IFERROR(LET(
campo,XLOOKUP(TRIM(G3871),ARRAYFORMULA(TRIM('indice columnas'!$A$2:$A$100)),'indice columnas'!$B$2:$B$100,""""),
col,IFERROR(MATCH(campo,Referencia!$A$1:$AZ$1,0),0),
fila,IFERROR(MATCH(TO_TEXT(D3871),ARRAYFOR"&amp;"MULA(TO_TEXT(Referencia!$A$2:$A6238)),0),0),
IF(OR(campo="""",campo=""-""),""NO APLICA"",
IF(col=0,""REVISAR EQUIVALENCIA"",
IF(fila=0,""SKU NO ENCONTRADO"",
LET(
valor,INDEX(Referencia!$A$2:$AZ6238,fila,col),
IF(TRIM(TO_TEXT(valor))=TRIM(TO_TEXT(I3871)),"&amp;"
""OK"",
""NO COINCIDE. Valor verdadero: ""&amp;IF(valor="""",""[VACÍO]"",TO_TEXT(valor))
)
))))
),""ERROR EN FÓRMULA""))"),"OK")</f>
        <v>OK</v>
      </c>
    </row>
    <row r="3872">
      <c r="A3872" s="83" t="s">
        <v>4896</v>
      </c>
      <c r="B3872" s="83" t="s">
        <v>4897</v>
      </c>
      <c r="C3872" s="81" t="s">
        <v>4086</v>
      </c>
      <c r="D3872" s="83" t="s">
        <v>4505</v>
      </c>
      <c r="E3872" s="81" t="s">
        <v>2337</v>
      </c>
      <c r="F3872" s="81">
        <v>454.0</v>
      </c>
      <c r="G3872" s="81" t="s">
        <v>2</v>
      </c>
      <c r="H3872" s="81" t="s">
        <v>224</v>
      </c>
      <c r="I3872" s="81" t="s">
        <v>332</v>
      </c>
      <c r="J3872" s="81" t="s">
        <v>224</v>
      </c>
      <c r="K3872" s="81" t="str">
        <f>IFERROR(__xludf.DUMMYFUNCTION("IF(OR(D3872="""",G3872=""""),"""",IFERROR(LET(
campo,XLOOKUP(TRIM(G3872),ARRAYFORMULA(TRIM('indice columnas'!$A$2:$A$100)),'indice columnas'!$B$2:$B$100,""""),
col,IFERROR(MATCH(campo,Referencia!$A$1:$AZ$1,0),0),
fila,IFERROR(MATCH(TO_TEXT(D3872),ARRAYFOR"&amp;"MULA(TO_TEXT(Referencia!$A$2:$A6238)),0),0),
IF(OR(campo="""",campo=""-""),""NO APLICA"",
IF(col=0,""REVISAR EQUIVALENCIA"",
IF(fila=0,""SKU NO ENCONTRADO"",
LET(
valor,INDEX(Referencia!$A$2:$AZ6238,fila,col),
IF(TRIM(TO_TEXT(valor))=TRIM(TO_TEXT(I3872)),"&amp;"
""OK"",
""NO COINCIDE. Valor verdadero: ""&amp;IF(valor="""",""[VACÍO]"",TO_TEXT(valor))
)
))))
),""ERROR EN FÓRMULA""))"),"OK")</f>
        <v>OK</v>
      </c>
    </row>
    <row r="3873">
      <c r="A3873" s="83" t="s">
        <v>4896</v>
      </c>
      <c r="B3873" s="83" t="s">
        <v>4897</v>
      </c>
      <c r="C3873" s="81" t="s">
        <v>4086</v>
      </c>
      <c r="D3873" s="83" t="s">
        <v>4507</v>
      </c>
      <c r="E3873" s="81" t="s">
        <v>2349</v>
      </c>
      <c r="F3873" s="81">
        <v>456.0</v>
      </c>
      <c r="G3873" s="81" t="s">
        <v>3</v>
      </c>
      <c r="H3873" s="81" t="s">
        <v>224</v>
      </c>
      <c r="I3873" s="81" t="s">
        <v>51</v>
      </c>
      <c r="J3873" s="81" t="s">
        <v>224</v>
      </c>
      <c r="K3873" s="81" t="str">
        <f>IFERROR(__xludf.DUMMYFUNCTION("IF(OR(D3873="""",G3873=""""),"""",IFERROR(LET(
campo,XLOOKUP(TRIM(G3873),ARRAYFORMULA(TRIM('indice columnas'!$A$2:$A$100)),'indice columnas'!$B$2:$B$100,""""),
col,IFERROR(MATCH(campo,Referencia!$A$1:$AZ$1,0),0),
fila,IFERROR(MATCH(TO_TEXT(D3873),ARRAYFOR"&amp;"MULA(TO_TEXT(Referencia!$A$2:$A6238)),0),0),
IF(OR(campo="""",campo=""-""),""NO APLICA"",
IF(col=0,""REVISAR EQUIVALENCIA"",
IF(fila=0,""SKU NO ENCONTRADO"",
LET(
valor,INDEX(Referencia!$A$2:$AZ6238,fila,col),
IF(TRIM(TO_TEXT(valor))=TRIM(TO_TEXT(I3873)),"&amp;"
""OK"",
""NO COINCIDE. Valor verdadero: ""&amp;IF(valor="""",""[VACÍO]"",TO_TEXT(valor))
)
))))
),""ERROR EN FÓRMULA""))"),"OK")</f>
        <v>OK</v>
      </c>
    </row>
    <row r="3874">
      <c r="A3874" s="83" t="s">
        <v>4896</v>
      </c>
      <c r="B3874" s="83" t="s">
        <v>4897</v>
      </c>
      <c r="C3874" s="81" t="s">
        <v>4086</v>
      </c>
      <c r="D3874" s="83" t="s">
        <v>4507</v>
      </c>
      <c r="E3874" s="81" t="s">
        <v>2349</v>
      </c>
      <c r="F3874" s="81">
        <v>456.0</v>
      </c>
      <c r="G3874" s="81" t="s">
        <v>2</v>
      </c>
      <c r="H3874" s="81" t="s">
        <v>224</v>
      </c>
      <c r="I3874" s="81" t="s">
        <v>332</v>
      </c>
      <c r="J3874" s="81" t="s">
        <v>224</v>
      </c>
      <c r="K3874" s="81" t="str">
        <f>IFERROR(__xludf.DUMMYFUNCTION("IF(OR(D3874="""",G3874=""""),"""",IFERROR(LET(
campo,XLOOKUP(TRIM(G3874),ARRAYFORMULA(TRIM('indice columnas'!$A$2:$A$100)),'indice columnas'!$B$2:$B$100,""""),
col,IFERROR(MATCH(campo,Referencia!$A$1:$AZ$1,0),0),
fila,IFERROR(MATCH(TO_TEXT(D3874),ARRAYFOR"&amp;"MULA(TO_TEXT(Referencia!$A$2:$A6238)),0),0),
IF(OR(campo="""",campo=""-""),""NO APLICA"",
IF(col=0,""REVISAR EQUIVALENCIA"",
IF(fila=0,""SKU NO ENCONTRADO"",
LET(
valor,INDEX(Referencia!$A$2:$AZ6238,fila,col),
IF(TRIM(TO_TEXT(valor))=TRIM(TO_TEXT(I3874)),"&amp;"
""OK"",
""NO COINCIDE. Valor verdadero: ""&amp;IF(valor="""",""[VACÍO]"",TO_TEXT(valor))
)
))))
),""ERROR EN FÓRMULA""))"),"OK")</f>
        <v>OK</v>
      </c>
    </row>
    <row r="3875">
      <c r="A3875" s="83" t="s">
        <v>4896</v>
      </c>
      <c r="B3875" s="83" t="s">
        <v>4897</v>
      </c>
      <c r="C3875" s="81" t="s">
        <v>4086</v>
      </c>
      <c r="D3875" s="83" t="s">
        <v>4507</v>
      </c>
      <c r="E3875" s="81" t="s">
        <v>2349</v>
      </c>
      <c r="F3875" s="81">
        <v>456.0</v>
      </c>
      <c r="G3875" s="81" t="s">
        <v>1</v>
      </c>
      <c r="H3875" s="81" t="s">
        <v>224</v>
      </c>
      <c r="I3875" s="81" t="s">
        <v>49</v>
      </c>
      <c r="J3875" s="81" t="s">
        <v>224</v>
      </c>
      <c r="K3875" s="81" t="str">
        <f>IFERROR(__xludf.DUMMYFUNCTION("IF(OR(D3875="""",G3875=""""),"""",IFERROR(LET(
campo,XLOOKUP(TRIM(G3875),ARRAYFORMULA(TRIM('indice columnas'!$A$2:$A$100)),'indice columnas'!$B$2:$B$100,""""),
col,IFERROR(MATCH(campo,Referencia!$A$1:$AZ$1,0),0),
fila,IFERROR(MATCH(TO_TEXT(D3875),ARRAYFOR"&amp;"MULA(TO_TEXT(Referencia!$A$2:$A6238)),0),0),
IF(OR(campo="""",campo=""-""),""NO APLICA"",
IF(col=0,""REVISAR EQUIVALENCIA"",
IF(fila=0,""SKU NO ENCONTRADO"",
LET(
valor,INDEX(Referencia!$A$2:$AZ6238,fila,col),
IF(TRIM(TO_TEXT(valor))=TRIM(TO_TEXT(I3875)),"&amp;"
""OK"",
""NO COINCIDE. Valor verdadero: ""&amp;IF(valor="""",""[VACÍO]"",TO_TEXT(valor))
)
))))
),""ERROR EN FÓRMULA""))"),"OK")</f>
        <v>OK</v>
      </c>
    </row>
    <row r="3876">
      <c r="A3876" s="83" t="s">
        <v>4896</v>
      </c>
      <c r="B3876" s="83" t="s">
        <v>4897</v>
      </c>
      <c r="C3876" s="81" t="s">
        <v>4086</v>
      </c>
      <c r="D3876" s="83" t="s">
        <v>4508</v>
      </c>
      <c r="E3876" s="81" t="s">
        <v>2352</v>
      </c>
      <c r="F3876" s="81">
        <v>457.0</v>
      </c>
      <c r="G3876" s="81" t="s">
        <v>3</v>
      </c>
      <c r="H3876" s="81" t="s">
        <v>224</v>
      </c>
      <c r="I3876" s="81" t="s">
        <v>344</v>
      </c>
      <c r="J3876" s="81" t="s">
        <v>224</v>
      </c>
      <c r="K3876" s="81" t="str">
        <f>IFERROR(__xludf.DUMMYFUNCTION("IF(OR(D3876="""",G3876=""""),"""",IFERROR(LET(
campo,XLOOKUP(TRIM(G3876),ARRAYFORMULA(TRIM('indice columnas'!$A$2:$A$100)),'indice columnas'!$B$2:$B$100,""""),
col,IFERROR(MATCH(campo,Referencia!$A$1:$AZ$1,0),0),
fila,IFERROR(MATCH(TO_TEXT(D3876),ARRAYFOR"&amp;"MULA(TO_TEXT(Referencia!$A$2:$A6238)),0),0),
IF(OR(campo="""",campo=""-""),""NO APLICA"",
IF(col=0,""REVISAR EQUIVALENCIA"",
IF(fila=0,""SKU NO ENCONTRADO"",
LET(
valor,INDEX(Referencia!$A$2:$AZ6238,fila,col),
IF(TRIM(TO_TEXT(valor))=TRIM(TO_TEXT(I3876)),"&amp;"
""OK"",
""NO COINCIDE. Valor verdadero: ""&amp;IF(valor="""",""[VACÍO]"",TO_TEXT(valor))
)
))))
),""ERROR EN FÓRMULA""))"),"OK")</f>
        <v>OK</v>
      </c>
    </row>
    <row r="3877">
      <c r="A3877" s="83" t="s">
        <v>4896</v>
      </c>
      <c r="B3877" s="83" t="s">
        <v>4897</v>
      </c>
      <c r="C3877" s="81" t="s">
        <v>4086</v>
      </c>
      <c r="D3877" s="83" t="s">
        <v>4508</v>
      </c>
      <c r="E3877" s="81" t="s">
        <v>2352</v>
      </c>
      <c r="F3877" s="81">
        <v>457.0</v>
      </c>
      <c r="G3877" s="81" t="s">
        <v>2</v>
      </c>
      <c r="H3877" s="81" t="s">
        <v>224</v>
      </c>
      <c r="I3877" s="81" t="s">
        <v>332</v>
      </c>
      <c r="J3877" s="81" t="s">
        <v>224</v>
      </c>
      <c r="K3877" s="81" t="str">
        <f>IFERROR(__xludf.DUMMYFUNCTION("IF(OR(D3877="""",G3877=""""),"""",IFERROR(LET(
campo,XLOOKUP(TRIM(G3877),ARRAYFORMULA(TRIM('indice columnas'!$A$2:$A$100)),'indice columnas'!$B$2:$B$100,""""),
col,IFERROR(MATCH(campo,Referencia!$A$1:$AZ$1,0),0),
fila,IFERROR(MATCH(TO_TEXT(D3877),ARRAYFOR"&amp;"MULA(TO_TEXT(Referencia!$A$2:$A6238)),0),0),
IF(OR(campo="""",campo=""-""),""NO APLICA"",
IF(col=0,""REVISAR EQUIVALENCIA"",
IF(fila=0,""SKU NO ENCONTRADO"",
LET(
valor,INDEX(Referencia!$A$2:$AZ6238,fila,col),
IF(TRIM(TO_TEXT(valor))=TRIM(TO_TEXT(I3877)),"&amp;"
""OK"",
""NO COINCIDE. Valor verdadero: ""&amp;IF(valor="""",""[VACÍO]"",TO_TEXT(valor))
)
))))
),""ERROR EN FÓRMULA""))"),"OK")</f>
        <v>OK</v>
      </c>
    </row>
    <row r="3878">
      <c r="A3878" s="83" t="s">
        <v>4896</v>
      </c>
      <c r="B3878" s="83" t="s">
        <v>4897</v>
      </c>
      <c r="C3878" s="81" t="s">
        <v>4086</v>
      </c>
      <c r="D3878" s="83" t="s">
        <v>4508</v>
      </c>
      <c r="E3878" s="81" t="s">
        <v>2352</v>
      </c>
      <c r="F3878" s="81">
        <v>457.0</v>
      </c>
      <c r="G3878" s="81" t="s">
        <v>1</v>
      </c>
      <c r="H3878" s="81" t="s">
        <v>224</v>
      </c>
      <c r="I3878" s="81" t="s">
        <v>49</v>
      </c>
      <c r="J3878" s="81" t="s">
        <v>224</v>
      </c>
      <c r="K3878" s="81" t="str">
        <f>IFERROR(__xludf.DUMMYFUNCTION("IF(OR(D3878="""",G3878=""""),"""",IFERROR(LET(
campo,XLOOKUP(TRIM(G3878),ARRAYFORMULA(TRIM('indice columnas'!$A$2:$A$100)),'indice columnas'!$B$2:$B$100,""""),
col,IFERROR(MATCH(campo,Referencia!$A$1:$AZ$1,0),0),
fila,IFERROR(MATCH(TO_TEXT(D3878),ARRAYFOR"&amp;"MULA(TO_TEXT(Referencia!$A$2:$A6238)),0),0),
IF(OR(campo="""",campo=""-""),""NO APLICA"",
IF(col=0,""REVISAR EQUIVALENCIA"",
IF(fila=0,""SKU NO ENCONTRADO"",
LET(
valor,INDEX(Referencia!$A$2:$AZ6238,fila,col),
IF(TRIM(TO_TEXT(valor))=TRIM(TO_TEXT(I3878)),"&amp;"
""OK"",
""NO COINCIDE. Valor verdadero: ""&amp;IF(valor="""",""[VACÍO]"",TO_TEXT(valor))
)
))))
),""ERROR EN FÓRMULA""))"),"OK")</f>
        <v>OK</v>
      </c>
    </row>
    <row r="3879">
      <c r="A3879" s="83" t="s">
        <v>4896</v>
      </c>
      <c r="B3879" s="83" t="s">
        <v>4897</v>
      </c>
      <c r="C3879" s="81" t="s">
        <v>4086</v>
      </c>
      <c r="D3879" s="83" t="s">
        <v>4509</v>
      </c>
      <c r="E3879" s="81" t="s">
        <v>2355</v>
      </c>
      <c r="F3879" s="81">
        <v>458.0</v>
      </c>
      <c r="G3879" s="81" t="s">
        <v>3</v>
      </c>
      <c r="H3879" s="81" t="s">
        <v>224</v>
      </c>
      <c r="I3879" s="81" t="s">
        <v>344</v>
      </c>
      <c r="J3879" s="81" t="s">
        <v>224</v>
      </c>
      <c r="K3879" s="81" t="str">
        <f>IFERROR(__xludf.DUMMYFUNCTION("IF(OR(D3879="""",G3879=""""),"""",IFERROR(LET(
campo,XLOOKUP(TRIM(G3879),ARRAYFORMULA(TRIM('indice columnas'!$A$2:$A$100)),'indice columnas'!$B$2:$B$100,""""),
col,IFERROR(MATCH(campo,Referencia!$A$1:$AZ$1,0),0),
fila,IFERROR(MATCH(TO_TEXT(D3879),ARRAYFOR"&amp;"MULA(TO_TEXT(Referencia!$A$2:$A6238)),0),0),
IF(OR(campo="""",campo=""-""),""NO APLICA"",
IF(col=0,""REVISAR EQUIVALENCIA"",
IF(fila=0,""SKU NO ENCONTRADO"",
LET(
valor,INDEX(Referencia!$A$2:$AZ6238,fila,col),
IF(TRIM(TO_TEXT(valor))=TRIM(TO_TEXT(I3879)),"&amp;"
""OK"",
""NO COINCIDE. Valor verdadero: ""&amp;IF(valor="""",""[VACÍO]"",TO_TEXT(valor))
)
))))
),""ERROR EN FÓRMULA""))"),"OK")</f>
        <v>OK</v>
      </c>
    </row>
    <row r="3880">
      <c r="A3880" s="83" t="s">
        <v>4896</v>
      </c>
      <c r="B3880" s="83" t="s">
        <v>4897</v>
      </c>
      <c r="C3880" s="81" t="s">
        <v>4086</v>
      </c>
      <c r="D3880" s="83" t="s">
        <v>4509</v>
      </c>
      <c r="E3880" s="81" t="s">
        <v>2355</v>
      </c>
      <c r="F3880" s="81">
        <v>458.0</v>
      </c>
      <c r="G3880" s="81" t="s">
        <v>2</v>
      </c>
      <c r="H3880" s="81" t="s">
        <v>224</v>
      </c>
      <c r="I3880" s="81" t="s">
        <v>332</v>
      </c>
      <c r="J3880" s="81" t="s">
        <v>224</v>
      </c>
      <c r="K3880" s="81" t="str">
        <f>IFERROR(__xludf.DUMMYFUNCTION("IF(OR(D3880="""",G3880=""""),"""",IFERROR(LET(
campo,XLOOKUP(TRIM(G3880),ARRAYFORMULA(TRIM('indice columnas'!$A$2:$A$100)),'indice columnas'!$B$2:$B$100,""""),
col,IFERROR(MATCH(campo,Referencia!$A$1:$AZ$1,0),0),
fila,IFERROR(MATCH(TO_TEXT(D3880),ARRAYFOR"&amp;"MULA(TO_TEXT(Referencia!$A$2:$A6238)),0),0),
IF(OR(campo="""",campo=""-""),""NO APLICA"",
IF(col=0,""REVISAR EQUIVALENCIA"",
IF(fila=0,""SKU NO ENCONTRADO"",
LET(
valor,INDEX(Referencia!$A$2:$AZ6238,fila,col),
IF(TRIM(TO_TEXT(valor))=TRIM(TO_TEXT(I3880)),"&amp;"
""OK"",
""NO COINCIDE. Valor verdadero: ""&amp;IF(valor="""",""[VACÍO]"",TO_TEXT(valor))
)
))))
),""ERROR EN FÓRMULA""))"),"OK")</f>
        <v>OK</v>
      </c>
    </row>
    <row r="3881">
      <c r="A3881" s="83" t="s">
        <v>4896</v>
      </c>
      <c r="B3881" s="83" t="s">
        <v>4897</v>
      </c>
      <c r="C3881" s="81" t="s">
        <v>4086</v>
      </c>
      <c r="D3881" s="83" t="s">
        <v>4509</v>
      </c>
      <c r="E3881" s="81" t="s">
        <v>2355</v>
      </c>
      <c r="F3881" s="81">
        <v>458.0</v>
      </c>
      <c r="G3881" s="81" t="s">
        <v>1</v>
      </c>
      <c r="H3881" s="81" t="s">
        <v>224</v>
      </c>
      <c r="I3881" s="81" t="s">
        <v>49</v>
      </c>
      <c r="J3881" s="81" t="s">
        <v>224</v>
      </c>
      <c r="K3881" s="81" t="str">
        <f>IFERROR(__xludf.DUMMYFUNCTION("IF(OR(D3881="""",G3881=""""),"""",IFERROR(LET(
campo,XLOOKUP(TRIM(G3881),ARRAYFORMULA(TRIM('indice columnas'!$A$2:$A$100)),'indice columnas'!$B$2:$B$100,""""),
col,IFERROR(MATCH(campo,Referencia!$A$1:$AZ$1,0),0),
fila,IFERROR(MATCH(TO_TEXT(D3881),ARRAYFOR"&amp;"MULA(TO_TEXT(Referencia!$A$2:$A6238)),0),0),
IF(OR(campo="""",campo=""-""),""NO APLICA"",
IF(col=0,""REVISAR EQUIVALENCIA"",
IF(fila=0,""SKU NO ENCONTRADO"",
LET(
valor,INDEX(Referencia!$A$2:$AZ6238,fila,col),
IF(TRIM(TO_TEXT(valor))=TRIM(TO_TEXT(I3881)),"&amp;"
""OK"",
""NO COINCIDE. Valor verdadero: ""&amp;IF(valor="""",""[VACÍO]"",TO_TEXT(valor))
)
))))
),""ERROR EN FÓRMULA""))"),"OK")</f>
        <v>OK</v>
      </c>
    </row>
    <row r="3882">
      <c r="A3882" s="83" t="s">
        <v>4896</v>
      </c>
      <c r="B3882" s="83" t="s">
        <v>4897</v>
      </c>
      <c r="C3882" s="81" t="s">
        <v>4086</v>
      </c>
      <c r="D3882" s="83" t="s">
        <v>4510</v>
      </c>
      <c r="E3882" s="81" t="s">
        <v>2357</v>
      </c>
      <c r="F3882" s="81">
        <v>459.0</v>
      </c>
      <c r="G3882" s="81" t="s">
        <v>3</v>
      </c>
      <c r="H3882" s="81" t="s">
        <v>224</v>
      </c>
      <c r="I3882" s="81" t="s">
        <v>344</v>
      </c>
      <c r="J3882" s="81" t="s">
        <v>224</v>
      </c>
      <c r="K3882" s="81" t="str">
        <f>IFERROR(__xludf.DUMMYFUNCTION("IF(OR(D3882="""",G3882=""""),"""",IFERROR(LET(
campo,XLOOKUP(TRIM(G3882),ARRAYFORMULA(TRIM('indice columnas'!$A$2:$A$100)),'indice columnas'!$B$2:$B$100,""""),
col,IFERROR(MATCH(campo,Referencia!$A$1:$AZ$1,0),0),
fila,IFERROR(MATCH(TO_TEXT(D3882),ARRAYFOR"&amp;"MULA(TO_TEXT(Referencia!$A$2:$A6238)),0),0),
IF(OR(campo="""",campo=""-""),""NO APLICA"",
IF(col=0,""REVISAR EQUIVALENCIA"",
IF(fila=0,""SKU NO ENCONTRADO"",
LET(
valor,INDEX(Referencia!$A$2:$AZ6238,fila,col),
IF(TRIM(TO_TEXT(valor))=TRIM(TO_TEXT(I3882)),"&amp;"
""OK"",
""NO COINCIDE. Valor verdadero: ""&amp;IF(valor="""",""[VACÍO]"",TO_TEXT(valor))
)
))))
),""ERROR EN FÓRMULA""))"),"OK")</f>
        <v>OK</v>
      </c>
    </row>
    <row r="3883">
      <c r="A3883" s="83" t="s">
        <v>4896</v>
      </c>
      <c r="B3883" s="83" t="s">
        <v>4897</v>
      </c>
      <c r="C3883" s="81" t="s">
        <v>4086</v>
      </c>
      <c r="D3883" s="83" t="s">
        <v>4510</v>
      </c>
      <c r="E3883" s="81" t="s">
        <v>2357</v>
      </c>
      <c r="F3883" s="81">
        <v>459.0</v>
      </c>
      <c r="G3883" s="81" t="s">
        <v>2</v>
      </c>
      <c r="H3883" s="81" t="s">
        <v>224</v>
      </c>
      <c r="I3883" s="81" t="s">
        <v>332</v>
      </c>
      <c r="J3883" s="81" t="s">
        <v>224</v>
      </c>
      <c r="K3883" s="81" t="str">
        <f>IFERROR(__xludf.DUMMYFUNCTION("IF(OR(D3883="""",G3883=""""),"""",IFERROR(LET(
campo,XLOOKUP(TRIM(G3883),ARRAYFORMULA(TRIM('indice columnas'!$A$2:$A$100)),'indice columnas'!$B$2:$B$100,""""),
col,IFERROR(MATCH(campo,Referencia!$A$1:$AZ$1,0),0),
fila,IFERROR(MATCH(TO_TEXT(D3883),ARRAYFOR"&amp;"MULA(TO_TEXT(Referencia!$A$2:$A6238)),0),0),
IF(OR(campo="""",campo=""-""),""NO APLICA"",
IF(col=0,""REVISAR EQUIVALENCIA"",
IF(fila=0,""SKU NO ENCONTRADO"",
LET(
valor,INDEX(Referencia!$A$2:$AZ6238,fila,col),
IF(TRIM(TO_TEXT(valor))=TRIM(TO_TEXT(I3883)),"&amp;"
""OK"",
""NO COINCIDE. Valor verdadero: ""&amp;IF(valor="""",""[VACÍO]"",TO_TEXT(valor))
)
))))
),""ERROR EN FÓRMULA""))"),"OK")</f>
        <v>OK</v>
      </c>
    </row>
    <row r="3884">
      <c r="A3884" s="83" t="s">
        <v>4896</v>
      </c>
      <c r="B3884" s="83" t="s">
        <v>4897</v>
      </c>
      <c r="C3884" s="81" t="s">
        <v>4086</v>
      </c>
      <c r="D3884" s="83" t="s">
        <v>4510</v>
      </c>
      <c r="E3884" s="81" t="s">
        <v>2357</v>
      </c>
      <c r="F3884" s="81">
        <v>459.0</v>
      </c>
      <c r="G3884" s="81" t="s">
        <v>1</v>
      </c>
      <c r="H3884" s="81" t="s">
        <v>224</v>
      </c>
      <c r="I3884" s="81" t="s">
        <v>49</v>
      </c>
      <c r="J3884" s="81" t="s">
        <v>224</v>
      </c>
      <c r="K3884" s="81" t="str">
        <f>IFERROR(__xludf.DUMMYFUNCTION("IF(OR(D3884="""",G3884=""""),"""",IFERROR(LET(
campo,XLOOKUP(TRIM(G3884),ARRAYFORMULA(TRIM('indice columnas'!$A$2:$A$100)),'indice columnas'!$B$2:$B$100,""""),
col,IFERROR(MATCH(campo,Referencia!$A$1:$AZ$1,0),0),
fila,IFERROR(MATCH(TO_TEXT(D3884),ARRAYFOR"&amp;"MULA(TO_TEXT(Referencia!$A$2:$A6238)),0),0),
IF(OR(campo="""",campo=""-""),""NO APLICA"",
IF(col=0,""REVISAR EQUIVALENCIA"",
IF(fila=0,""SKU NO ENCONTRADO"",
LET(
valor,INDEX(Referencia!$A$2:$AZ6238,fila,col),
IF(TRIM(TO_TEXT(valor))=TRIM(TO_TEXT(I3884)),"&amp;"
""OK"",
""NO COINCIDE. Valor verdadero: ""&amp;IF(valor="""",""[VACÍO]"",TO_TEXT(valor))
)
))))
),""ERROR EN FÓRMULA""))"),"OK")</f>
        <v>OK</v>
      </c>
    </row>
    <row r="3885">
      <c r="A3885" s="83" t="s">
        <v>4896</v>
      </c>
      <c r="B3885" s="83" t="s">
        <v>4897</v>
      </c>
      <c r="C3885" s="81" t="s">
        <v>4086</v>
      </c>
      <c r="D3885" s="83" t="s">
        <v>4511</v>
      </c>
      <c r="E3885" s="81" t="s">
        <v>2359</v>
      </c>
      <c r="F3885" s="81">
        <v>460.0</v>
      </c>
      <c r="G3885" s="81" t="s">
        <v>2</v>
      </c>
      <c r="H3885" s="81" t="s">
        <v>1827</v>
      </c>
      <c r="I3885" s="81" t="s">
        <v>332</v>
      </c>
      <c r="J3885" s="81" t="s">
        <v>224</v>
      </c>
      <c r="K3885" s="81" t="str">
        <f>IFERROR(__xludf.DUMMYFUNCTION("IF(OR(D3885="""",G3885=""""),"""",IFERROR(LET(
campo,XLOOKUP(TRIM(G3885),ARRAYFORMULA(TRIM('indice columnas'!$A$2:$A$100)),'indice columnas'!$B$2:$B$100,""""),
col,IFERROR(MATCH(campo,Referencia!$A$1:$AZ$1,0),0),
fila,IFERROR(MATCH(TO_TEXT(D3885),ARRAYFOR"&amp;"MULA(TO_TEXT(Referencia!$A$2:$A6238)),0),0),
IF(OR(campo="""",campo=""-""),""NO APLICA"",
IF(col=0,""REVISAR EQUIVALENCIA"",
IF(fila=0,""SKU NO ENCONTRADO"",
LET(
valor,INDEX(Referencia!$A$2:$AZ6238,fila,col),
IF(TRIM(TO_TEXT(valor))=TRIM(TO_TEXT(I3885)),"&amp;"
""OK"",
""NO COINCIDE. Valor verdadero: ""&amp;IF(valor="""",""[VACÍO]"",TO_TEXT(valor))
)
))))
),""ERROR EN FÓRMULA""))"),"OK")</f>
        <v>OK</v>
      </c>
    </row>
    <row r="3886">
      <c r="A3886" s="83" t="s">
        <v>4896</v>
      </c>
      <c r="B3886" s="83" t="s">
        <v>4897</v>
      </c>
      <c r="C3886" s="81" t="s">
        <v>4086</v>
      </c>
      <c r="D3886" s="83" t="s">
        <v>4512</v>
      </c>
      <c r="E3886" s="81" t="s">
        <v>2363</v>
      </c>
      <c r="F3886" s="81">
        <v>461.0</v>
      </c>
      <c r="G3886" s="81" t="s">
        <v>2</v>
      </c>
      <c r="H3886" s="81" t="s">
        <v>1827</v>
      </c>
      <c r="I3886" s="81" t="s">
        <v>332</v>
      </c>
      <c r="J3886" s="81" t="s">
        <v>224</v>
      </c>
      <c r="K3886" s="81" t="str">
        <f>IFERROR(__xludf.DUMMYFUNCTION("IF(OR(D3886="""",G3886=""""),"""",IFERROR(LET(
campo,XLOOKUP(TRIM(G3886),ARRAYFORMULA(TRIM('indice columnas'!$A$2:$A$100)),'indice columnas'!$B$2:$B$100,""""),
col,IFERROR(MATCH(campo,Referencia!$A$1:$AZ$1,0),0),
fila,IFERROR(MATCH(TO_TEXT(D3886),ARRAYFOR"&amp;"MULA(TO_TEXT(Referencia!$A$2:$A6238)),0),0),
IF(OR(campo="""",campo=""-""),""NO APLICA"",
IF(col=0,""REVISAR EQUIVALENCIA"",
IF(fila=0,""SKU NO ENCONTRADO"",
LET(
valor,INDEX(Referencia!$A$2:$AZ6238,fila,col),
IF(TRIM(TO_TEXT(valor))=TRIM(TO_TEXT(I3886)),"&amp;"
""OK"",
""NO COINCIDE. Valor verdadero: ""&amp;IF(valor="""",""[VACÍO]"",TO_TEXT(valor))
)
))))
),""ERROR EN FÓRMULA""))"),"OK")</f>
        <v>OK</v>
      </c>
    </row>
    <row r="3887">
      <c r="A3887" s="83" t="s">
        <v>4896</v>
      </c>
      <c r="B3887" s="83" t="s">
        <v>4897</v>
      </c>
      <c r="C3887" s="81" t="s">
        <v>4086</v>
      </c>
      <c r="D3887" s="83" t="s">
        <v>4513</v>
      </c>
      <c r="E3887" s="81" t="s">
        <v>2366</v>
      </c>
      <c r="F3887" s="81">
        <v>462.0</v>
      </c>
      <c r="G3887" s="81" t="s">
        <v>2</v>
      </c>
      <c r="H3887" s="81" t="s">
        <v>1827</v>
      </c>
      <c r="I3887" s="81" t="s">
        <v>332</v>
      </c>
      <c r="J3887" s="81" t="s">
        <v>224</v>
      </c>
      <c r="K3887" s="81" t="str">
        <f>IFERROR(__xludf.DUMMYFUNCTION("IF(OR(D3887="""",G3887=""""),"""",IFERROR(LET(
campo,XLOOKUP(TRIM(G3887),ARRAYFORMULA(TRIM('indice columnas'!$A$2:$A$100)),'indice columnas'!$B$2:$B$100,""""),
col,IFERROR(MATCH(campo,Referencia!$A$1:$AZ$1,0),0),
fila,IFERROR(MATCH(TO_TEXT(D3887),ARRAYFOR"&amp;"MULA(TO_TEXT(Referencia!$A$2:$A6238)),0),0),
IF(OR(campo="""",campo=""-""),""NO APLICA"",
IF(col=0,""REVISAR EQUIVALENCIA"",
IF(fila=0,""SKU NO ENCONTRADO"",
LET(
valor,INDEX(Referencia!$A$2:$AZ6238,fila,col),
IF(TRIM(TO_TEXT(valor))=TRIM(TO_TEXT(I3887)),"&amp;"
""OK"",
""NO COINCIDE. Valor verdadero: ""&amp;IF(valor="""",""[VACÍO]"",TO_TEXT(valor))
)
))))
),""ERROR EN FÓRMULA""))"),"OK")</f>
        <v>OK</v>
      </c>
    </row>
    <row r="3888">
      <c r="A3888" s="83" t="s">
        <v>4896</v>
      </c>
      <c r="B3888" s="83" t="s">
        <v>4897</v>
      </c>
      <c r="C3888" s="81" t="s">
        <v>4086</v>
      </c>
      <c r="D3888" s="83" t="s">
        <v>4515</v>
      </c>
      <c r="E3888" s="81" t="s">
        <v>2373</v>
      </c>
      <c r="F3888" s="81">
        <v>463.0</v>
      </c>
      <c r="G3888" s="81" t="s">
        <v>2</v>
      </c>
      <c r="H3888" s="81" t="s">
        <v>1827</v>
      </c>
      <c r="I3888" s="81" t="s">
        <v>332</v>
      </c>
      <c r="J3888" s="81" t="s">
        <v>224</v>
      </c>
      <c r="K3888" s="81" t="str">
        <f>IFERROR(__xludf.DUMMYFUNCTION("IF(OR(D3888="""",G3888=""""),"""",IFERROR(LET(
campo,XLOOKUP(TRIM(G3888),ARRAYFORMULA(TRIM('indice columnas'!$A$2:$A$100)),'indice columnas'!$B$2:$B$100,""""),
col,IFERROR(MATCH(campo,Referencia!$A$1:$AZ$1,0),0),
fila,IFERROR(MATCH(TO_TEXT(D3888),ARRAYFOR"&amp;"MULA(TO_TEXT(Referencia!$A$2:$A6238)),0),0),
IF(OR(campo="""",campo=""-""),""NO APLICA"",
IF(col=0,""REVISAR EQUIVALENCIA"",
IF(fila=0,""SKU NO ENCONTRADO"",
LET(
valor,INDEX(Referencia!$A$2:$AZ6238,fila,col),
IF(TRIM(TO_TEXT(valor))=TRIM(TO_TEXT(I3888)),"&amp;"
""OK"",
""NO COINCIDE. Valor verdadero: ""&amp;IF(valor="""",""[VACÍO]"",TO_TEXT(valor))
)
))))
),""ERROR EN FÓRMULA""))"),"OK")</f>
        <v>OK</v>
      </c>
    </row>
    <row r="3889">
      <c r="A3889" s="83" t="s">
        <v>4896</v>
      </c>
      <c r="B3889" s="83" t="s">
        <v>4897</v>
      </c>
      <c r="C3889" s="81" t="s">
        <v>4086</v>
      </c>
      <c r="D3889" s="83" t="s">
        <v>4516</v>
      </c>
      <c r="E3889" s="81" t="s">
        <v>2377</v>
      </c>
      <c r="F3889" s="81">
        <v>464.0</v>
      </c>
      <c r="G3889" s="81" t="s">
        <v>2</v>
      </c>
      <c r="H3889" s="81" t="s">
        <v>1827</v>
      </c>
      <c r="I3889" s="81" t="s">
        <v>332</v>
      </c>
      <c r="J3889" s="81" t="s">
        <v>224</v>
      </c>
      <c r="K3889" s="81" t="str">
        <f>IFERROR(__xludf.DUMMYFUNCTION("IF(OR(D3889="""",G3889=""""),"""",IFERROR(LET(
campo,XLOOKUP(TRIM(G3889),ARRAYFORMULA(TRIM('indice columnas'!$A$2:$A$100)),'indice columnas'!$B$2:$B$100,""""),
col,IFERROR(MATCH(campo,Referencia!$A$1:$AZ$1,0),0),
fila,IFERROR(MATCH(TO_TEXT(D3889),ARRAYFOR"&amp;"MULA(TO_TEXT(Referencia!$A$2:$A6238)),0),0),
IF(OR(campo="""",campo=""-""),""NO APLICA"",
IF(col=0,""REVISAR EQUIVALENCIA"",
IF(fila=0,""SKU NO ENCONTRADO"",
LET(
valor,INDEX(Referencia!$A$2:$AZ6238,fila,col),
IF(TRIM(TO_TEXT(valor))=TRIM(TO_TEXT(I3889)),"&amp;"
""OK"",
""NO COINCIDE. Valor verdadero: ""&amp;IF(valor="""",""[VACÍO]"",TO_TEXT(valor))
)
))))
),""ERROR EN FÓRMULA""))"),"OK")</f>
        <v>OK</v>
      </c>
    </row>
    <row r="3890">
      <c r="A3890" s="83" t="s">
        <v>4896</v>
      </c>
      <c r="B3890" s="83" t="s">
        <v>4897</v>
      </c>
      <c r="C3890" s="81" t="s">
        <v>4086</v>
      </c>
      <c r="D3890" s="83" t="s">
        <v>4518</v>
      </c>
      <c r="E3890" s="81" t="s">
        <v>2393</v>
      </c>
      <c r="F3890" s="81">
        <v>467.0</v>
      </c>
      <c r="G3890" s="81" t="s">
        <v>3</v>
      </c>
      <c r="H3890" s="81" t="s">
        <v>224</v>
      </c>
      <c r="I3890" s="81" t="s">
        <v>1144</v>
      </c>
      <c r="J3890" s="81" t="s">
        <v>224</v>
      </c>
      <c r="K3890" s="81" t="str">
        <f>IFERROR(__xludf.DUMMYFUNCTION("IF(OR(D3890="""",G3890=""""),"""",IFERROR(LET(
campo,XLOOKUP(TRIM(G3890),ARRAYFORMULA(TRIM('indice columnas'!$A$2:$A$100)),'indice columnas'!$B$2:$B$100,""""),
col,IFERROR(MATCH(campo,Referencia!$A$1:$AZ$1,0),0),
fila,IFERROR(MATCH(TO_TEXT(D3890),ARRAYFOR"&amp;"MULA(TO_TEXT(Referencia!$A$2:$A6238)),0),0),
IF(OR(campo="""",campo=""-""),""NO APLICA"",
IF(col=0,""REVISAR EQUIVALENCIA"",
IF(fila=0,""SKU NO ENCONTRADO"",
LET(
valor,INDEX(Referencia!$A$2:$AZ6238,fila,col),
IF(TRIM(TO_TEXT(valor))=TRIM(TO_TEXT(I3890)),"&amp;"
""OK"",
""NO COINCIDE. Valor verdadero: ""&amp;IF(valor="""",""[VACÍO]"",TO_TEXT(valor))
)
))))
),""ERROR EN FÓRMULA""))"),"OK")</f>
        <v>OK</v>
      </c>
    </row>
    <row r="3891">
      <c r="A3891" s="83" t="s">
        <v>4896</v>
      </c>
      <c r="B3891" s="83" t="s">
        <v>4897</v>
      </c>
      <c r="C3891" s="81" t="s">
        <v>4086</v>
      </c>
      <c r="D3891" s="83" t="s">
        <v>4518</v>
      </c>
      <c r="E3891" s="81" t="s">
        <v>2393</v>
      </c>
      <c r="F3891" s="81">
        <v>467.0</v>
      </c>
      <c r="G3891" s="81" t="s">
        <v>2</v>
      </c>
      <c r="H3891" s="81" t="s">
        <v>224</v>
      </c>
      <c r="I3891" s="81" t="s">
        <v>213</v>
      </c>
      <c r="J3891" s="81" t="s">
        <v>224</v>
      </c>
      <c r="K3891" s="81" t="str">
        <f>IFERROR(__xludf.DUMMYFUNCTION("IF(OR(D3891="""",G3891=""""),"""",IFERROR(LET(
campo,XLOOKUP(TRIM(G3891),ARRAYFORMULA(TRIM('indice columnas'!$A$2:$A$100)),'indice columnas'!$B$2:$B$100,""""),
col,IFERROR(MATCH(campo,Referencia!$A$1:$AZ$1,0),0),
fila,IFERROR(MATCH(TO_TEXT(D3891),ARRAYFOR"&amp;"MULA(TO_TEXT(Referencia!$A$2:$A6238)),0),0),
IF(OR(campo="""",campo=""-""),""NO APLICA"",
IF(col=0,""REVISAR EQUIVALENCIA"",
IF(fila=0,""SKU NO ENCONTRADO"",
LET(
valor,INDEX(Referencia!$A$2:$AZ6238,fila,col),
IF(TRIM(TO_TEXT(valor))=TRIM(TO_TEXT(I3891)),"&amp;"
""OK"",
""NO COINCIDE. Valor verdadero: ""&amp;IF(valor="""",""[VACÍO]"",TO_TEXT(valor))
)
))))
),""ERROR EN FÓRMULA""))"),"OK")</f>
        <v>OK</v>
      </c>
    </row>
    <row r="3892">
      <c r="A3892" s="83" t="s">
        <v>4896</v>
      </c>
      <c r="B3892" s="83" t="s">
        <v>4897</v>
      </c>
      <c r="C3892" s="81" t="s">
        <v>4086</v>
      </c>
      <c r="D3892" s="83" t="s">
        <v>4518</v>
      </c>
      <c r="E3892" s="81" t="s">
        <v>2393</v>
      </c>
      <c r="F3892" s="81">
        <v>467.0</v>
      </c>
      <c r="G3892" s="81" t="s">
        <v>1</v>
      </c>
      <c r="H3892" s="81" t="s">
        <v>224</v>
      </c>
      <c r="I3892" s="81" t="s">
        <v>49</v>
      </c>
      <c r="J3892" s="81" t="s">
        <v>224</v>
      </c>
      <c r="K3892" s="81" t="str">
        <f>IFERROR(__xludf.DUMMYFUNCTION("IF(OR(D3892="""",G3892=""""),"""",IFERROR(LET(
campo,XLOOKUP(TRIM(G3892),ARRAYFORMULA(TRIM('indice columnas'!$A$2:$A$100)),'indice columnas'!$B$2:$B$100,""""),
col,IFERROR(MATCH(campo,Referencia!$A$1:$AZ$1,0),0),
fila,IFERROR(MATCH(TO_TEXT(D3892),ARRAYFOR"&amp;"MULA(TO_TEXT(Referencia!$A$2:$A6238)),0),0),
IF(OR(campo="""",campo=""-""),""NO APLICA"",
IF(col=0,""REVISAR EQUIVALENCIA"",
IF(fila=0,""SKU NO ENCONTRADO"",
LET(
valor,INDEX(Referencia!$A$2:$AZ6238,fila,col),
IF(TRIM(TO_TEXT(valor))=TRIM(TO_TEXT(I3892)),"&amp;"
""OK"",
""NO COINCIDE. Valor verdadero: ""&amp;IF(valor="""",""[VACÍO]"",TO_TEXT(valor))
)
))))
),""ERROR EN FÓRMULA""))"),"OK")</f>
        <v>OK</v>
      </c>
    </row>
    <row r="3893">
      <c r="A3893" s="83" t="s">
        <v>4896</v>
      </c>
      <c r="B3893" s="83" t="s">
        <v>4897</v>
      </c>
      <c r="C3893" s="81" t="s">
        <v>4086</v>
      </c>
      <c r="D3893" s="83" t="s">
        <v>4519</v>
      </c>
      <c r="E3893" s="81" t="s">
        <v>2402</v>
      </c>
      <c r="F3893" s="81">
        <v>468.0</v>
      </c>
      <c r="G3893" s="81" t="s">
        <v>3</v>
      </c>
      <c r="H3893" s="81" t="s">
        <v>224</v>
      </c>
      <c r="I3893" s="81" t="s">
        <v>1144</v>
      </c>
      <c r="J3893" s="81" t="s">
        <v>224</v>
      </c>
      <c r="K3893" s="81" t="str">
        <f>IFERROR(__xludf.DUMMYFUNCTION("IF(OR(D3893="""",G3893=""""),"""",IFERROR(LET(
campo,XLOOKUP(TRIM(G3893),ARRAYFORMULA(TRIM('indice columnas'!$A$2:$A$100)),'indice columnas'!$B$2:$B$100,""""),
col,IFERROR(MATCH(campo,Referencia!$A$1:$AZ$1,0),0),
fila,IFERROR(MATCH(TO_TEXT(D3893),ARRAYFOR"&amp;"MULA(TO_TEXT(Referencia!$A$2:$A6238)),0),0),
IF(OR(campo="""",campo=""-""),""NO APLICA"",
IF(col=0,""REVISAR EQUIVALENCIA"",
IF(fila=0,""SKU NO ENCONTRADO"",
LET(
valor,INDEX(Referencia!$A$2:$AZ6238,fila,col),
IF(TRIM(TO_TEXT(valor))=TRIM(TO_TEXT(I3893)),"&amp;"
""OK"",
""NO COINCIDE. Valor verdadero: ""&amp;IF(valor="""",""[VACÍO]"",TO_TEXT(valor))
)
))))
),""ERROR EN FÓRMULA""))"),"OK")</f>
        <v>OK</v>
      </c>
    </row>
    <row r="3894">
      <c r="A3894" s="83" t="s">
        <v>4896</v>
      </c>
      <c r="B3894" s="83" t="s">
        <v>4897</v>
      </c>
      <c r="C3894" s="81" t="s">
        <v>4086</v>
      </c>
      <c r="D3894" s="83" t="s">
        <v>4519</v>
      </c>
      <c r="E3894" s="81" t="s">
        <v>2402</v>
      </c>
      <c r="F3894" s="81">
        <v>468.0</v>
      </c>
      <c r="G3894" s="81" t="s">
        <v>2</v>
      </c>
      <c r="H3894" s="81" t="s">
        <v>224</v>
      </c>
      <c r="I3894" s="81" t="s">
        <v>213</v>
      </c>
      <c r="J3894" s="81" t="s">
        <v>224</v>
      </c>
      <c r="K3894" s="81" t="str">
        <f>IFERROR(__xludf.DUMMYFUNCTION("IF(OR(D3894="""",G3894=""""),"""",IFERROR(LET(
campo,XLOOKUP(TRIM(G3894),ARRAYFORMULA(TRIM('indice columnas'!$A$2:$A$100)),'indice columnas'!$B$2:$B$100,""""),
col,IFERROR(MATCH(campo,Referencia!$A$1:$AZ$1,0),0),
fila,IFERROR(MATCH(TO_TEXT(D3894),ARRAYFOR"&amp;"MULA(TO_TEXT(Referencia!$A$2:$A6238)),0),0),
IF(OR(campo="""",campo=""-""),""NO APLICA"",
IF(col=0,""REVISAR EQUIVALENCIA"",
IF(fila=0,""SKU NO ENCONTRADO"",
LET(
valor,INDEX(Referencia!$A$2:$AZ6238,fila,col),
IF(TRIM(TO_TEXT(valor))=TRIM(TO_TEXT(I3894)),"&amp;"
""OK"",
""NO COINCIDE. Valor verdadero: ""&amp;IF(valor="""",""[VACÍO]"",TO_TEXT(valor))
)
))))
),""ERROR EN FÓRMULA""))"),"OK")</f>
        <v>OK</v>
      </c>
    </row>
    <row r="3895">
      <c r="A3895" s="83" t="s">
        <v>4896</v>
      </c>
      <c r="B3895" s="83" t="s">
        <v>4897</v>
      </c>
      <c r="C3895" s="81" t="s">
        <v>4086</v>
      </c>
      <c r="D3895" s="83" t="s">
        <v>4519</v>
      </c>
      <c r="E3895" s="81" t="s">
        <v>2402</v>
      </c>
      <c r="F3895" s="81">
        <v>468.0</v>
      </c>
      <c r="G3895" s="81" t="s">
        <v>1</v>
      </c>
      <c r="H3895" s="81" t="s">
        <v>224</v>
      </c>
      <c r="I3895" s="81" t="s">
        <v>49</v>
      </c>
      <c r="J3895" s="81" t="s">
        <v>224</v>
      </c>
      <c r="K3895" s="81" t="str">
        <f>IFERROR(__xludf.DUMMYFUNCTION("IF(OR(D3895="""",G3895=""""),"""",IFERROR(LET(
campo,XLOOKUP(TRIM(G3895),ARRAYFORMULA(TRIM('indice columnas'!$A$2:$A$100)),'indice columnas'!$B$2:$B$100,""""),
col,IFERROR(MATCH(campo,Referencia!$A$1:$AZ$1,0),0),
fila,IFERROR(MATCH(TO_TEXT(D3895),ARRAYFOR"&amp;"MULA(TO_TEXT(Referencia!$A$2:$A6238)),0),0),
IF(OR(campo="""",campo=""-""),""NO APLICA"",
IF(col=0,""REVISAR EQUIVALENCIA"",
IF(fila=0,""SKU NO ENCONTRADO"",
LET(
valor,INDEX(Referencia!$A$2:$AZ6238,fila,col),
IF(TRIM(TO_TEXT(valor))=TRIM(TO_TEXT(I3895)),"&amp;"
""OK"",
""NO COINCIDE. Valor verdadero: ""&amp;IF(valor="""",""[VACÍO]"",TO_TEXT(valor))
)
))))
),""ERROR EN FÓRMULA""))"),"OK")</f>
        <v>OK</v>
      </c>
    </row>
    <row r="3896">
      <c r="A3896" s="83" t="s">
        <v>4896</v>
      </c>
      <c r="B3896" s="83" t="s">
        <v>4897</v>
      </c>
      <c r="C3896" s="81" t="s">
        <v>4086</v>
      </c>
      <c r="D3896" s="83" t="s">
        <v>4523</v>
      </c>
      <c r="E3896" s="81" t="s">
        <v>2416</v>
      </c>
      <c r="F3896" s="81">
        <v>471.0</v>
      </c>
      <c r="G3896" s="81" t="s">
        <v>3</v>
      </c>
      <c r="H3896" s="81" t="s">
        <v>224</v>
      </c>
      <c r="I3896" s="81" t="s">
        <v>920</v>
      </c>
      <c r="J3896" s="81" t="s">
        <v>224</v>
      </c>
      <c r="K3896" s="81" t="str">
        <f>IFERROR(__xludf.DUMMYFUNCTION("IF(OR(D3896="""",G3896=""""),"""",IFERROR(LET(
campo,XLOOKUP(TRIM(G3896),ARRAYFORMULA(TRIM('indice columnas'!$A$2:$A$100)),'indice columnas'!$B$2:$B$100,""""),
col,IFERROR(MATCH(campo,Referencia!$A$1:$AZ$1,0),0),
fila,IFERROR(MATCH(TO_TEXT(D3896),ARRAYFOR"&amp;"MULA(TO_TEXT(Referencia!$A$2:$A6238)),0),0),
IF(OR(campo="""",campo=""-""),""NO APLICA"",
IF(col=0,""REVISAR EQUIVALENCIA"",
IF(fila=0,""SKU NO ENCONTRADO"",
LET(
valor,INDEX(Referencia!$A$2:$AZ6238,fila,col),
IF(TRIM(TO_TEXT(valor))=TRIM(TO_TEXT(I3896)),"&amp;"
""OK"",
""NO COINCIDE. Valor verdadero: ""&amp;IF(valor="""",""[VACÍO]"",TO_TEXT(valor))
)
))))
),""ERROR EN FÓRMULA""))"),"OK")</f>
        <v>OK</v>
      </c>
    </row>
    <row r="3897">
      <c r="A3897" s="83" t="s">
        <v>4896</v>
      </c>
      <c r="B3897" s="83" t="s">
        <v>4897</v>
      </c>
      <c r="C3897" s="81" t="s">
        <v>4086</v>
      </c>
      <c r="D3897" s="83" t="s">
        <v>4523</v>
      </c>
      <c r="E3897" s="81" t="s">
        <v>2416</v>
      </c>
      <c r="F3897" s="81">
        <v>471.0</v>
      </c>
      <c r="G3897" s="81" t="s">
        <v>2</v>
      </c>
      <c r="H3897" s="81" t="s">
        <v>224</v>
      </c>
      <c r="I3897" s="81" t="s">
        <v>213</v>
      </c>
      <c r="J3897" s="81" t="s">
        <v>224</v>
      </c>
      <c r="K3897" s="81" t="str">
        <f>IFERROR(__xludf.DUMMYFUNCTION("IF(OR(D3897="""",G3897=""""),"""",IFERROR(LET(
campo,XLOOKUP(TRIM(G3897),ARRAYFORMULA(TRIM('indice columnas'!$A$2:$A$100)),'indice columnas'!$B$2:$B$100,""""),
col,IFERROR(MATCH(campo,Referencia!$A$1:$AZ$1,0),0),
fila,IFERROR(MATCH(TO_TEXT(D3897),ARRAYFOR"&amp;"MULA(TO_TEXT(Referencia!$A$2:$A6238)),0),0),
IF(OR(campo="""",campo=""-""),""NO APLICA"",
IF(col=0,""REVISAR EQUIVALENCIA"",
IF(fila=0,""SKU NO ENCONTRADO"",
LET(
valor,INDEX(Referencia!$A$2:$AZ6238,fila,col),
IF(TRIM(TO_TEXT(valor))=TRIM(TO_TEXT(I3897)),"&amp;"
""OK"",
""NO COINCIDE. Valor verdadero: ""&amp;IF(valor="""",""[VACÍO]"",TO_TEXT(valor))
)
))))
),""ERROR EN FÓRMULA""))"),"OK")</f>
        <v>OK</v>
      </c>
    </row>
    <row r="3898">
      <c r="A3898" s="83" t="s">
        <v>4896</v>
      </c>
      <c r="B3898" s="83" t="s">
        <v>4897</v>
      </c>
      <c r="C3898" s="81" t="s">
        <v>4086</v>
      </c>
      <c r="D3898" s="83" t="s">
        <v>4523</v>
      </c>
      <c r="E3898" s="81" t="s">
        <v>2416</v>
      </c>
      <c r="F3898" s="81">
        <v>471.0</v>
      </c>
      <c r="G3898" s="81" t="s">
        <v>1</v>
      </c>
      <c r="H3898" s="81" t="s">
        <v>224</v>
      </c>
      <c r="I3898" s="81" t="s">
        <v>49</v>
      </c>
      <c r="J3898" s="81" t="s">
        <v>224</v>
      </c>
      <c r="K3898" s="81" t="str">
        <f>IFERROR(__xludf.DUMMYFUNCTION("IF(OR(D3898="""",G3898=""""),"""",IFERROR(LET(
campo,XLOOKUP(TRIM(G3898),ARRAYFORMULA(TRIM('indice columnas'!$A$2:$A$100)),'indice columnas'!$B$2:$B$100,""""),
col,IFERROR(MATCH(campo,Referencia!$A$1:$AZ$1,0),0),
fila,IFERROR(MATCH(TO_TEXT(D3898),ARRAYFOR"&amp;"MULA(TO_TEXT(Referencia!$A$2:$A6238)),0),0),
IF(OR(campo="""",campo=""-""),""NO APLICA"",
IF(col=0,""REVISAR EQUIVALENCIA"",
IF(fila=0,""SKU NO ENCONTRADO"",
LET(
valor,INDEX(Referencia!$A$2:$AZ6238,fila,col),
IF(TRIM(TO_TEXT(valor))=TRIM(TO_TEXT(I3898)),"&amp;"
""OK"",
""NO COINCIDE. Valor verdadero: ""&amp;IF(valor="""",""[VACÍO]"",TO_TEXT(valor))
)
))))
),""ERROR EN FÓRMULA""))"),"OK")</f>
        <v>OK</v>
      </c>
    </row>
    <row r="3899">
      <c r="A3899" s="83" t="s">
        <v>4896</v>
      </c>
      <c r="B3899" s="83" t="s">
        <v>4897</v>
      </c>
      <c r="C3899" s="81" t="s">
        <v>4086</v>
      </c>
      <c r="D3899" s="83" t="s">
        <v>4524</v>
      </c>
      <c r="E3899" s="81" t="s">
        <v>2440</v>
      </c>
      <c r="F3899" s="81">
        <v>473.0</v>
      </c>
      <c r="G3899" s="81" t="s">
        <v>3</v>
      </c>
      <c r="H3899" s="81" t="s">
        <v>376</v>
      </c>
      <c r="I3899" s="81" t="s">
        <v>344</v>
      </c>
      <c r="J3899" s="81" t="s">
        <v>224</v>
      </c>
      <c r="K3899" s="81" t="str">
        <f>IFERROR(__xludf.DUMMYFUNCTION("IF(OR(D3899="""",G3899=""""),"""",IFERROR(LET(
campo,XLOOKUP(TRIM(G3899),ARRAYFORMULA(TRIM('indice columnas'!$A$2:$A$100)),'indice columnas'!$B$2:$B$100,""""),
col,IFERROR(MATCH(campo,Referencia!$A$1:$AZ$1,0),0),
fila,IFERROR(MATCH(TO_TEXT(D3899),ARRAYFOR"&amp;"MULA(TO_TEXT(Referencia!$A$2:$A6238)),0),0),
IF(OR(campo="""",campo=""-""),""NO APLICA"",
IF(col=0,""REVISAR EQUIVALENCIA"",
IF(fila=0,""SKU NO ENCONTRADO"",
LET(
valor,INDEX(Referencia!$A$2:$AZ6238,fila,col),
IF(TRIM(TO_TEXT(valor))=TRIM(TO_TEXT(I3899)),"&amp;"
""OK"",
""NO COINCIDE. Valor verdadero: ""&amp;IF(valor="""",""[VACÍO]"",TO_TEXT(valor))
)
))))
),""ERROR EN FÓRMULA""))"),"OK")</f>
        <v>OK</v>
      </c>
    </row>
    <row r="3900">
      <c r="A3900" s="83" t="s">
        <v>4896</v>
      </c>
      <c r="B3900" s="83" t="s">
        <v>4897</v>
      </c>
      <c r="C3900" s="81" t="s">
        <v>4086</v>
      </c>
      <c r="D3900" s="83" t="s">
        <v>4527</v>
      </c>
      <c r="E3900" s="81" t="s">
        <v>2444</v>
      </c>
      <c r="F3900" s="81">
        <v>474.0</v>
      </c>
      <c r="G3900" s="81" t="s">
        <v>3</v>
      </c>
      <c r="H3900" s="81" t="s">
        <v>376</v>
      </c>
      <c r="I3900" s="81" t="s">
        <v>344</v>
      </c>
      <c r="J3900" s="81" t="s">
        <v>224</v>
      </c>
      <c r="K3900" s="81" t="str">
        <f>IFERROR(__xludf.DUMMYFUNCTION("IF(OR(D3900="""",G3900=""""),"""",IFERROR(LET(
campo,XLOOKUP(TRIM(G3900),ARRAYFORMULA(TRIM('indice columnas'!$A$2:$A$100)),'indice columnas'!$B$2:$B$100,""""),
col,IFERROR(MATCH(campo,Referencia!$A$1:$AZ$1,0),0),
fila,IFERROR(MATCH(TO_TEXT(D3900),ARRAYFOR"&amp;"MULA(TO_TEXT(Referencia!$A$2:$A6238)),0),0),
IF(OR(campo="""",campo=""-""),""NO APLICA"",
IF(col=0,""REVISAR EQUIVALENCIA"",
IF(fila=0,""SKU NO ENCONTRADO"",
LET(
valor,INDEX(Referencia!$A$2:$AZ6238,fila,col),
IF(TRIM(TO_TEXT(valor))=TRIM(TO_TEXT(I3900)),"&amp;"
""OK"",
""NO COINCIDE. Valor verdadero: ""&amp;IF(valor="""",""[VACÍO]"",TO_TEXT(valor))
)
))))
),""ERROR EN FÓRMULA""))"),"OK")</f>
        <v>OK</v>
      </c>
    </row>
    <row r="3901">
      <c r="A3901" s="83" t="s">
        <v>4896</v>
      </c>
      <c r="B3901" s="83" t="s">
        <v>4897</v>
      </c>
      <c r="C3901" s="81" t="s">
        <v>4086</v>
      </c>
      <c r="D3901" s="83" t="s">
        <v>4529</v>
      </c>
      <c r="E3901" s="81" t="s">
        <v>2474</v>
      </c>
      <c r="F3901" s="81">
        <v>476.0</v>
      </c>
      <c r="G3901" s="81" t="s">
        <v>3</v>
      </c>
      <c r="H3901" s="81" t="s">
        <v>376</v>
      </c>
      <c r="I3901" s="81" t="s">
        <v>344</v>
      </c>
      <c r="J3901" s="81" t="s">
        <v>224</v>
      </c>
      <c r="K3901" s="81" t="str">
        <f>IFERROR(__xludf.DUMMYFUNCTION("IF(OR(D3901="""",G3901=""""),"""",IFERROR(LET(
campo,XLOOKUP(TRIM(G3901),ARRAYFORMULA(TRIM('indice columnas'!$A$2:$A$100)),'indice columnas'!$B$2:$B$100,""""),
col,IFERROR(MATCH(campo,Referencia!$A$1:$AZ$1,0),0),
fila,IFERROR(MATCH(TO_TEXT(D3901),ARRAYFOR"&amp;"MULA(TO_TEXT(Referencia!$A$2:$A6238)),0),0),
IF(OR(campo="""",campo=""-""),""NO APLICA"",
IF(col=0,""REVISAR EQUIVALENCIA"",
IF(fila=0,""SKU NO ENCONTRADO"",
LET(
valor,INDEX(Referencia!$A$2:$AZ6238,fila,col),
IF(TRIM(TO_TEXT(valor))=TRIM(TO_TEXT(I3901)),"&amp;"
""OK"",
""NO COINCIDE. Valor verdadero: ""&amp;IF(valor="""",""[VACÍO]"",TO_TEXT(valor))
)
))))
),""ERROR EN FÓRMULA""))"),"OK")</f>
        <v>OK</v>
      </c>
    </row>
    <row r="3902">
      <c r="A3902" s="83" t="s">
        <v>4896</v>
      </c>
      <c r="B3902" s="83" t="s">
        <v>4897</v>
      </c>
      <c r="C3902" s="81" t="s">
        <v>4086</v>
      </c>
      <c r="D3902" s="83" t="s">
        <v>4530</v>
      </c>
      <c r="E3902" s="81" t="s">
        <v>2475</v>
      </c>
      <c r="F3902" s="81">
        <v>477.0</v>
      </c>
      <c r="G3902" s="81" t="s">
        <v>3</v>
      </c>
      <c r="H3902" s="81" t="s">
        <v>376</v>
      </c>
      <c r="I3902" s="81" t="s">
        <v>344</v>
      </c>
      <c r="J3902" s="81" t="s">
        <v>224</v>
      </c>
      <c r="K3902" s="81" t="str">
        <f>IFERROR(__xludf.DUMMYFUNCTION("IF(OR(D3902="""",G3902=""""),"""",IFERROR(LET(
campo,XLOOKUP(TRIM(G3902),ARRAYFORMULA(TRIM('indice columnas'!$A$2:$A$100)),'indice columnas'!$B$2:$B$100,""""),
col,IFERROR(MATCH(campo,Referencia!$A$1:$AZ$1,0),0),
fila,IFERROR(MATCH(TO_TEXT(D3902),ARRAYFOR"&amp;"MULA(TO_TEXT(Referencia!$A$2:$A6238)),0),0),
IF(OR(campo="""",campo=""-""),""NO APLICA"",
IF(col=0,""REVISAR EQUIVALENCIA"",
IF(fila=0,""SKU NO ENCONTRADO"",
LET(
valor,INDEX(Referencia!$A$2:$AZ6238,fila,col),
IF(TRIM(TO_TEXT(valor))=TRIM(TO_TEXT(I3902)),"&amp;"
""OK"",
""NO COINCIDE. Valor verdadero: ""&amp;IF(valor="""",""[VACÍO]"",TO_TEXT(valor))
)
))))
),""ERROR EN FÓRMULA""))"),"OK")</f>
        <v>OK</v>
      </c>
    </row>
    <row r="3903">
      <c r="A3903" s="83" t="s">
        <v>4896</v>
      </c>
      <c r="B3903" s="83" t="s">
        <v>4897</v>
      </c>
      <c r="C3903" s="81" t="s">
        <v>4086</v>
      </c>
      <c r="D3903" s="83" t="s">
        <v>4531</v>
      </c>
      <c r="E3903" s="81" t="s">
        <v>2489</v>
      </c>
      <c r="F3903" s="81">
        <v>478.0</v>
      </c>
      <c r="G3903" s="81" t="s">
        <v>3</v>
      </c>
      <c r="H3903" s="81" t="s">
        <v>376</v>
      </c>
      <c r="I3903" s="81" t="s">
        <v>344</v>
      </c>
      <c r="J3903" s="81" t="s">
        <v>224</v>
      </c>
      <c r="K3903" s="81" t="str">
        <f>IFERROR(__xludf.DUMMYFUNCTION("IF(OR(D3903="""",G3903=""""),"""",IFERROR(LET(
campo,XLOOKUP(TRIM(G3903),ARRAYFORMULA(TRIM('indice columnas'!$A$2:$A$100)),'indice columnas'!$B$2:$B$100,""""),
col,IFERROR(MATCH(campo,Referencia!$A$1:$AZ$1,0),0),
fila,IFERROR(MATCH(TO_TEXT(D3903),ARRAYFOR"&amp;"MULA(TO_TEXT(Referencia!$A$2:$A6238)),0),0),
IF(OR(campo="""",campo=""-""),""NO APLICA"",
IF(col=0,""REVISAR EQUIVALENCIA"",
IF(fila=0,""SKU NO ENCONTRADO"",
LET(
valor,INDEX(Referencia!$A$2:$AZ6238,fila,col),
IF(TRIM(TO_TEXT(valor))=TRIM(TO_TEXT(I3903)),"&amp;"
""OK"",
""NO COINCIDE. Valor verdadero: ""&amp;IF(valor="""",""[VACÍO]"",TO_TEXT(valor))
)
))))
),""ERROR EN FÓRMULA""))"),"OK")</f>
        <v>OK</v>
      </c>
    </row>
    <row r="3904">
      <c r="A3904" s="83" t="s">
        <v>4896</v>
      </c>
      <c r="B3904" s="83" t="s">
        <v>4897</v>
      </c>
      <c r="C3904" s="81" t="s">
        <v>4086</v>
      </c>
      <c r="D3904" s="83" t="s">
        <v>4534</v>
      </c>
      <c r="E3904" s="81" t="s">
        <v>2516</v>
      </c>
      <c r="F3904" s="81">
        <v>481.0</v>
      </c>
      <c r="G3904" s="81" t="s">
        <v>3</v>
      </c>
      <c r="H3904" s="81" t="s">
        <v>224</v>
      </c>
      <c r="I3904" s="81" t="s">
        <v>51</v>
      </c>
      <c r="J3904" s="81" t="s">
        <v>224</v>
      </c>
      <c r="K3904" s="81" t="str">
        <f>IFERROR(__xludf.DUMMYFUNCTION("IF(OR(D3904="""",G3904=""""),"""",IFERROR(LET(
campo,XLOOKUP(TRIM(G3904),ARRAYFORMULA(TRIM('indice columnas'!$A$2:$A$100)),'indice columnas'!$B$2:$B$100,""""),
col,IFERROR(MATCH(campo,Referencia!$A$1:$AZ$1,0),0),
fila,IFERROR(MATCH(TO_TEXT(D3904),ARRAYFOR"&amp;"MULA(TO_TEXT(Referencia!$A$2:$A6238)),0),0),
IF(OR(campo="""",campo=""-""),""NO APLICA"",
IF(col=0,""REVISAR EQUIVALENCIA"",
IF(fila=0,""SKU NO ENCONTRADO"",
LET(
valor,INDEX(Referencia!$A$2:$AZ6238,fila,col),
IF(TRIM(TO_TEXT(valor))=TRIM(TO_TEXT(I3904)),"&amp;"
""OK"",
""NO COINCIDE. Valor verdadero: ""&amp;IF(valor="""",""[VACÍO]"",TO_TEXT(valor))
)
))))
),""ERROR EN FÓRMULA""))"),"OK")</f>
        <v>OK</v>
      </c>
    </row>
    <row r="3905">
      <c r="A3905" s="83" t="s">
        <v>4896</v>
      </c>
      <c r="B3905" s="83" t="s">
        <v>4897</v>
      </c>
      <c r="C3905" s="81" t="s">
        <v>4086</v>
      </c>
      <c r="D3905" s="83" t="s">
        <v>4534</v>
      </c>
      <c r="E3905" s="81" t="s">
        <v>2516</v>
      </c>
      <c r="F3905" s="81">
        <v>481.0</v>
      </c>
      <c r="G3905" s="81" t="s">
        <v>2</v>
      </c>
      <c r="H3905" s="81" t="s">
        <v>224</v>
      </c>
      <c r="I3905" s="81" t="s">
        <v>213</v>
      </c>
      <c r="J3905" s="81" t="s">
        <v>224</v>
      </c>
      <c r="K3905" s="81" t="str">
        <f>IFERROR(__xludf.DUMMYFUNCTION("IF(OR(D3905="""",G3905=""""),"""",IFERROR(LET(
campo,XLOOKUP(TRIM(G3905),ARRAYFORMULA(TRIM('indice columnas'!$A$2:$A$100)),'indice columnas'!$B$2:$B$100,""""),
col,IFERROR(MATCH(campo,Referencia!$A$1:$AZ$1,0),0),
fila,IFERROR(MATCH(TO_TEXT(D3905),ARRAYFOR"&amp;"MULA(TO_TEXT(Referencia!$A$2:$A6238)),0),0),
IF(OR(campo="""",campo=""-""),""NO APLICA"",
IF(col=0,""REVISAR EQUIVALENCIA"",
IF(fila=0,""SKU NO ENCONTRADO"",
LET(
valor,INDEX(Referencia!$A$2:$AZ6238,fila,col),
IF(TRIM(TO_TEXT(valor))=TRIM(TO_TEXT(I3905)),"&amp;"
""OK"",
""NO COINCIDE. Valor verdadero: ""&amp;IF(valor="""",""[VACÍO]"",TO_TEXT(valor))
)
))))
),""ERROR EN FÓRMULA""))"),"OK")</f>
        <v>OK</v>
      </c>
    </row>
    <row r="3906">
      <c r="A3906" s="83" t="s">
        <v>4896</v>
      </c>
      <c r="B3906" s="83" t="s">
        <v>4897</v>
      </c>
      <c r="C3906" s="81" t="s">
        <v>4086</v>
      </c>
      <c r="D3906" s="83" t="s">
        <v>4534</v>
      </c>
      <c r="E3906" s="81" t="s">
        <v>2516</v>
      </c>
      <c r="F3906" s="81">
        <v>481.0</v>
      </c>
      <c r="G3906" s="81" t="s">
        <v>1</v>
      </c>
      <c r="H3906" s="81" t="s">
        <v>224</v>
      </c>
      <c r="I3906" s="81" t="s">
        <v>49</v>
      </c>
      <c r="J3906" s="81" t="s">
        <v>224</v>
      </c>
      <c r="K3906" s="81" t="str">
        <f>IFERROR(__xludf.DUMMYFUNCTION("IF(OR(D3906="""",G3906=""""),"""",IFERROR(LET(
campo,XLOOKUP(TRIM(G3906),ARRAYFORMULA(TRIM('indice columnas'!$A$2:$A$100)),'indice columnas'!$B$2:$B$100,""""),
col,IFERROR(MATCH(campo,Referencia!$A$1:$AZ$1,0),0),
fila,IFERROR(MATCH(TO_TEXT(D3906),ARRAYFOR"&amp;"MULA(TO_TEXT(Referencia!$A$2:$A6238)),0),0),
IF(OR(campo="""",campo=""-""),""NO APLICA"",
IF(col=0,""REVISAR EQUIVALENCIA"",
IF(fila=0,""SKU NO ENCONTRADO"",
LET(
valor,INDEX(Referencia!$A$2:$AZ6238,fila,col),
IF(TRIM(TO_TEXT(valor))=TRIM(TO_TEXT(I3906)),"&amp;"
""OK"",
""NO COINCIDE. Valor verdadero: ""&amp;IF(valor="""",""[VACÍO]"",TO_TEXT(valor))
)
))))
),""ERROR EN FÓRMULA""))"),"OK")</f>
        <v>OK</v>
      </c>
    </row>
    <row r="3907">
      <c r="A3907" s="83" t="s">
        <v>4896</v>
      </c>
      <c r="B3907" s="83" t="s">
        <v>4897</v>
      </c>
      <c r="C3907" s="81" t="s">
        <v>4086</v>
      </c>
      <c r="D3907" s="83" t="s">
        <v>4537</v>
      </c>
      <c r="E3907" s="81" t="s">
        <v>2530</v>
      </c>
      <c r="F3907" s="81">
        <v>484.0</v>
      </c>
      <c r="G3907" s="81" t="s">
        <v>3</v>
      </c>
      <c r="H3907" s="81" t="s">
        <v>224</v>
      </c>
      <c r="I3907" s="81" t="s">
        <v>51</v>
      </c>
      <c r="J3907" s="81" t="s">
        <v>224</v>
      </c>
      <c r="K3907" s="81" t="str">
        <f>IFERROR(__xludf.DUMMYFUNCTION("IF(OR(D3907="""",G3907=""""),"""",IFERROR(LET(
campo,XLOOKUP(TRIM(G3907),ARRAYFORMULA(TRIM('indice columnas'!$A$2:$A$100)),'indice columnas'!$B$2:$B$100,""""),
col,IFERROR(MATCH(campo,Referencia!$A$1:$AZ$1,0),0),
fila,IFERROR(MATCH(TO_TEXT(D3907),ARRAYFOR"&amp;"MULA(TO_TEXT(Referencia!$A$2:$A6238)),0),0),
IF(OR(campo="""",campo=""-""),""NO APLICA"",
IF(col=0,""REVISAR EQUIVALENCIA"",
IF(fila=0,""SKU NO ENCONTRADO"",
LET(
valor,INDEX(Referencia!$A$2:$AZ6238,fila,col),
IF(TRIM(TO_TEXT(valor))=TRIM(TO_TEXT(I3907)),"&amp;"
""OK"",
""NO COINCIDE. Valor verdadero: ""&amp;IF(valor="""",""[VACÍO]"",TO_TEXT(valor))
)
))))
),""ERROR EN FÓRMULA""))"),"OK")</f>
        <v>OK</v>
      </c>
    </row>
    <row r="3908">
      <c r="A3908" s="83" t="s">
        <v>4896</v>
      </c>
      <c r="B3908" s="83" t="s">
        <v>4897</v>
      </c>
      <c r="C3908" s="81" t="s">
        <v>4086</v>
      </c>
      <c r="D3908" s="83" t="s">
        <v>4537</v>
      </c>
      <c r="E3908" s="81" t="s">
        <v>2530</v>
      </c>
      <c r="F3908" s="81">
        <v>484.0</v>
      </c>
      <c r="G3908" s="81" t="s">
        <v>2</v>
      </c>
      <c r="H3908" s="81" t="s">
        <v>224</v>
      </c>
      <c r="I3908" s="81" t="s">
        <v>213</v>
      </c>
      <c r="J3908" s="81" t="s">
        <v>224</v>
      </c>
      <c r="K3908" s="81" t="str">
        <f>IFERROR(__xludf.DUMMYFUNCTION("IF(OR(D3908="""",G3908=""""),"""",IFERROR(LET(
campo,XLOOKUP(TRIM(G3908),ARRAYFORMULA(TRIM('indice columnas'!$A$2:$A$100)),'indice columnas'!$B$2:$B$100,""""),
col,IFERROR(MATCH(campo,Referencia!$A$1:$AZ$1,0),0),
fila,IFERROR(MATCH(TO_TEXT(D3908),ARRAYFOR"&amp;"MULA(TO_TEXT(Referencia!$A$2:$A6238)),0),0),
IF(OR(campo="""",campo=""-""),""NO APLICA"",
IF(col=0,""REVISAR EQUIVALENCIA"",
IF(fila=0,""SKU NO ENCONTRADO"",
LET(
valor,INDEX(Referencia!$A$2:$AZ6238,fila,col),
IF(TRIM(TO_TEXT(valor))=TRIM(TO_TEXT(I3908)),"&amp;"
""OK"",
""NO COINCIDE. Valor verdadero: ""&amp;IF(valor="""",""[VACÍO]"",TO_TEXT(valor))
)
))))
),""ERROR EN FÓRMULA""))"),"OK")</f>
        <v>OK</v>
      </c>
    </row>
    <row r="3909">
      <c r="A3909" s="83" t="s">
        <v>4896</v>
      </c>
      <c r="B3909" s="83" t="s">
        <v>4897</v>
      </c>
      <c r="C3909" s="81" t="s">
        <v>4086</v>
      </c>
      <c r="D3909" s="83" t="s">
        <v>4537</v>
      </c>
      <c r="E3909" s="81" t="s">
        <v>2530</v>
      </c>
      <c r="F3909" s="81">
        <v>484.0</v>
      </c>
      <c r="G3909" s="81" t="s">
        <v>1</v>
      </c>
      <c r="H3909" s="81" t="s">
        <v>224</v>
      </c>
      <c r="I3909" s="81" t="s">
        <v>49</v>
      </c>
      <c r="J3909" s="81" t="s">
        <v>224</v>
      </c>
      <c r="K3909" s="81" t="str">
        <f>IFERROR(__xludf.DUMMYFUNCTION("IF(OR(D3909="""",G3909=""""),"""",IFERROR(LET(
campo,XLOOKUP(TRIM(G3909),ARRAYFORMULA(TRIM('indice columnas'!$A$2:$A$100)),'indice columnas'!$B$2:$B$100,""""),
col,IFERROR(MATCH(campo,Referencia!$A$1:$AZ$1,0),0),
fila,IFERROR(MATCH(TO_TEXT(D3909),ARRAYFOR"&amp;"MULA(TO_TEXT(Referencia!$A$2:$A6238)),0),0),
IF(OR(campo="""",campo=""-""),""NO APLICA"",
IF(col=0,""REVISAR EQUIVALENCIA"",
IF(fila=0,""SKU NO ENCONTRADO"",
LET(
valor,INDEX(Referencia!$A$2:$AZ6238,fila,col),
IF(TRIM(TO_TEXT(valor))=TRIM(TO_TEXT(I3909)),"&amp;"
""OK"",
""NO COINCIDE. Valor verdadero: ""&amp;IF(valor="""",""[VACÍO]"",TO_TEXT(valor))
)
))))
),""ERROR EN FÓRMULA""))"),"OK")</f>
        <v>OK</v>
      </c>
    </row>
    <row r="3910">
      <c r="A3910" s="83" t="s">
        <v>4896</v>
      </c>
      <c r="B3910" s="83" t="s">
        <v>4897</v>
      </c>
      <c r="C3910" s="81" t="s">
        <v>4086</v>
      </c>
      <c r="D3910" s="83" t="s">
        <v>4543</v>
      </c>
      <c r="E3910" s="81" t="s">
        <v>2563</v>
      </c>
      <c r="F3910" s="81">
        <v>489.0</v>
      </c>
      <c r="G3910" s="81" t="s">
        <v>3</v>
      </c>
      <c r="H3910" s="81" t="s">
        <v>224</v>
      </c>
      <c r="I3910" s="81" t="s">
        <v>51</v>
      </c>
      <c r="J3910" s="81" t="s">
        <v>224</v>
      </c>
      <c r="K3910" s="81" t="str">
        <f>IFERROR(__xludf.DUMMYFUNCTION("IF(OR(D3910="""",G3910=""""),"""",IFERROR(LET(
campo,XLOOKUP(TRIM(G3910),ARRAYFORMULA(TRIM('indice columnas'!$A$2:$A$100)),'indice columnas'!$B$2:$B$100,""""),
col,IFERROR(MATCH(campo,Referencia!$A$1:$AZ$1,0),0),
fila,IFERROR(MATCH(TO_TEXT(D3910),ARRAYFOR"&amp;"MULA(TO_TEXT(Referencia!$A$2:$A6238)),0),0),
IF(OR(campo="""",campo=""-""),""NO APLICA"",
IF(col=0,""REVISAR EQUIVALENCIA"",
IF(fila=0,""SKU NO ENCONTRADO"",
LET(
valor,INDEX(Referencia!$A$2:$AZ6238,fila,col),
IF(TRIM(TO_TEXT(valor))=TRIM(TO_TEXT(I3910)),"&amp;"
""OK"",
""NO COINCIDE. Valor verdadero: ""&amp;IF(valor="""",""[VACÍO]"",TO_TEXT(valor))
)
))))
),""ERROR EN FÓRMULA""))"),"OK")</f>
        <v>OK</v>
      </c>
    </row>
    <row r="3911">
      <c r="A3911" s="83" t="s">
        <v>4896</v>
      </c>
      <c r="B3911" s="83" t="s">
        <v>4897</v>
      </c>
      <c r="C3911" s="81" t="s">
        <v>4086</v>
      </c>
      <c r="D3911" s="83" t="s">
        <v>4543</v>
      </c>
      <c r="E3911" s="81" t="s">
        <v>2563</v>
      </c>
      <c r="F3911" s="81">
        <v>489.0</v>
      </c>
      <c r="G3911" s="81" t="s">
        <v>2</v>
      </c>
      <c r="H3911" s="81" t="s">
        <v>224</v>
      </c>
      <c r="I3911" s="81" t="s">
        <v>50</v>
      </c>
      <c r="J3911" s="81" t="s">
        <v>224</v>
      </c>
      <c r="K3911" s="81" t="str">
        <f>IFERROR(__xludf.DUMMYFUNCTION("IF(OR(D3911="""",G3911=""""),"""",IFERROR(LET(
campo,XLOOKUP(TRIM(G3911),ARRAYFORMULA(TRIM('indice columnas'!$A$2:$A$100)),'indice columnas'!$B$2:$B$100,""""),
col,IFERROR(MATCH(campo,Referencia!$A$1:$AZ$1,0),0),
fila,IFERROR(MATCH(TO_TEXT(D3911),ARRAYFOR"&amp;"MULA(TO_TEXT(Referencia!$A$2:$A6238)),0),0),
IF(OR(campo="""",campo=""-""),""NO APLICA"",
IF(col=0,""REVISAR EQUIVALENCIA"",
IF(fila=0,""SKU NO ENCONTRADO"",
LET(
valor,INDEX(Referencia!$A$2:$AZ6238,fila,col),
IF(TRIM(TO_TEXT(valor))=TRIM(TO_TEXT(I3911)),"&amp;"
""OK"",
""NO COINCIDE. Valor verdadero: ""&amp;IF(valor="""",""[VACÍO]"",TO_TEXT(valor))
)
))))
),""ERROR EN FÓRMULA""))"),"OK")</f>
        <v>OK</v>
      </c>
    </row>
    <row r="3912">
      <c r="A3912" s="83" t="s">
        <v>4896</v>
      </c>
      <c r="B3912" s="83" t="s">
        <v>4897</v>
      </c>
      <c r="C3912" s="81" t="s">
        <v>4086</v>
      </c>
      <c r="D3912" s="83" t="s">
        <v>4543</v>
      </c>
      <c r="E3912" s="81" t="s">
        <v>2563</v>
      </c>
      <c r="F3912" s="81">
        <v>489.0</v>
      </c>
      <c r="G3912" s="81" t="s">
        <v>1</v>
      </c>
      <c r="H3912" s="81" t="s">
        <v>224</v>
      </c>
      <c r="I3912" s="81" t="s">
        <v>49</v>
      </c>
      <c r="J3912" s="81" t="s">
        <v>224</v>
      </c>
      <c r="K3912" s="81" t="str">
        <f>IFERROR(__xludf.DUMMYFUNCTION("IF(OR(D3912="""",G3912=""""),"""",IFERROR(LET(
campo,XLOOKUP(TRIM(G3912),ARRAYFORMULA(TRIM('indice columnas'!$A$2:$A$100)),'indice columnas'!$B$2:$B$100,""""),
col,IFERROR(MATCH(campo,Referencia!$A$1:$AZ$1,0),0),
fila,IFERROR(MATCH(TO_TEXT(D3912),ARRAYFOR"&amp;"MULA(TO_TEXT(Referencia!$A$2:$A6238)),0),0),
IF(OR(campo="""",campo=""-""),""NO APLICA"",
IF(col=0,""REVISAR EQUIVALENCIA"",
IF(fila=0,""SKU NO ENCONTRADO"",
LET(
valor,INDEX(Referencia!$A$2:$AZ6238,fila,col),
IF(TRIM(TO_TEXT(valor))=TRIM(TO_TEXT(I3912)),"&amp;"
""OK"",
""NO COINCIDE. Valor verdadero: ""&amp;IF(valor="""",""[VACÍO]"",TO_TEXT(valor))
)
))))
),""ERROR EN FÓRMULA""))"),"OK")</f>
        <v>OK</v>
      </c>
    </row>
    <row r="3913">
      <c r="A3913" s="83" t="s">
        <v>4896</v>
      </c>
      <c r="B3913" s="83" t="s">
        <v>4897</v>
      </c>
      <c r="C3913" s="81" t="s">
        <v>4086</v>
      </c>
      <c r="D3913" s="83" t="s">
        <v>4546</v>
      </c>
      <c r="E3913" s="81" t="s">
        <v>2574</v>
      </c>
      <c r="F3913" s="81">
        <v>492.0</v>
      </c>
      <c r="G3913" s="81" t="s">
        <v>3</v>
      </c>
      <c r="H3913" s="81" t="s">
        <v>224</v>
      </c>
      <c r="I3913" s="81" t="s">
        <v>51</v>
      </c>
      <c r="J3913" s="81" t="s">
        <v>224</v>
      </c>
      <c r="K3913" s="81" t="str">
        <f>IFERROR(__xludf.DUMMYFUNCTION("IF(OR(D3913="""",G3913=""""),"""",IFERROR(LET(
campo,XLOOKUP(TRIM(G3913),ARRAYFORMULA(TRIM('indice columnas'!$A$2:$A$100)),'indice columnas'!$B$2:$B$100,""""),
col,IFERROR(MATCH(campo,Referencia!$A$1:$AZ$1,0),0),
fila,IFERROR(MATCH(TO_TEXT(D3913),ARRAYFOR"&amp;"MULA(TO_TEXT(Referencia!$A$2:$A6238)),0),0),
IF(OR(campo="""",campo=""-""),""NO APLICA"",
IF(col=0,""REVISAR EQUIVALENCIA"",
IF(fila=0,""SKU NO ENCONTRADO"",
LET(
valor,INDEX(Referencia!$A$2:$AZ6238,fila,col),
IF(TRIM(TO_TEXT(valor))=TRIM(TO_TEXT(I3913)),"&amp;"
""OK"",
""NO COINCIDE. Valor verdadero: ""&amp;IF(valor="""",""[VACÍO]"",TO_TEXT(valor))
)
))))
),""ERROR EN FÓRMULA""))"),"OK")</f>
        <v>OK</v>
      </c>
    </row>
    <row r="3914">
      <c r="A3914" s="83" t="s">
        <v>4896</v>
      </c>
      <c r="B3914" s="83" t="s">
        <v>4897</v>
      </c>
      <c r="C3914" s="81" t="s">
        <v>4086</v>
      </c>
      <c r="D3914" s="83" t="s">
        <v>4546</v>
      </c>
      <c r="E3914" s="81" t="s">
        <v>2574</v>
      </c>
      <c r="F3914" s="81">
        <v>492.0</v>
      </c>
      <c r="G3914" s="81" t="s">
        <v>2</v>
      </c>
      <c r="H3914" s="81" t="s">
        <v>224</v>
      </c>
      <c r="I3914" s="81" t="s">
        <v>50</v>
      </c>
      <c r="J3914" s="81" t="s">
        <v>224</v>
      </c>
      <c r="K3914" s="81" t="str">
        <f>IFERROR(__xludf.DUMMYFUNCTION("IF(OR(D3914="""",G3914=""""),"""",IFERROR(LET(
campo,XLOOKUP(TRIM(G3914),ARRAYFORMULA(TRIM('indice columnas'!$A$2:$A$100)),'indice columnas'!$B$2:$B$100,""""),
col,IFERROR(MATCH(campo,Referencia!$A$1:$AZ$1,0),0),
fila,IFERROR(MATCH(TO_TEXT(D3914),ARRAYFOR"&amp;"MULA(TO_TEXT(Referencia!$A$2:$A6238)),0),0),
IF(OR(campo="""",campo=""-""),""NO APLICA"",
IF(col=0,""REVISAR EQUIVALENCIA"",
IF(fila=0,""SKU NO ENCONTRADO"",
LET(
valor,INDEX(Referencia!$A$2:$AZ6238,fila,col),
IF(TRIM(TO_TEXT(valor))=TRIM(TO_TEXT(I3914)),"&amp;"
""OK"",
""NO COINCIDE. Valor verdadero: ""&amp;IF(valor="""",""[VACÍO]"",TO_TEXT(valor))
)
))))
),""ERROR EN FÓRMULA""))"),"OK")</f>
        <v>OK</v>
      </c>
    </row>
    <row r="3915">
      <c r="A3915" s="83" t="s">
        <v>4896</v>
      </c>
      <c r="B3915" s="83" t="s">
        <v>4897</v>
      </c>
      <c r="C3915" s="81" t="s">
        <v>4086</v>
      </c>
      <c r="D3915" s="83" t="s">
        <v>4546</v>
      </c>
      <c r="E3915" s="81" t="s">
        <v>2574</v>
      </c>
      <c r="F3915" s="81">
        <v>492.0</v>
      </c>
      <c r="G3915" s="81" t="s">
        <v>1</v>
      </c>
      <c r="H3915" s="81" t="s">
        <v>224</v>
      </c>
      <c r="I3915" s="81" t="s">
        <v>49</v>
      </c>
      <c r="J3915" s="81" t="s">
        <v>224</v>
      </c>
      <c r="K3915" s="81" t="str">
        <f>IFERROR(__xludf.DUMMYFUNCTION("IF(OR(D3915="""",G3915=""""),"""",IFERROR(LET(
campo,XLOOKUP(TRIM(G3915),ARRAYFORMULA(TRIM('indice columnas'!$A$2:$A$100)),'indice columnas'!$B$2:$B$100,""""),
col,IFERROR(MATCH(campo,Referencia!$A$1:$AZ$1,0),0),
fila,IFERROR(MATCH(TO_TEXT(D3915),ARRAYFOR"&amp;"MULA(TO_TEXT(Referencia!$A$2:$A6238)),0),0),
IF(OR(campo="""",campo=""-""),""NO APLICA"",
IF(col=0,""REVISAR EQUIVALENCIA"",
IF(fila=0,""SKU NO ENCONTRADO"",
LET(
valor,INDEX(Referencia!$A$2:$AZ6238,fila,col),
IF(TRIM(TO_TEXT(valor))=TRIM(TO_TEXT(I3915)),"&amp;"
""OK"",
""NO COINCIDE. Valor verdadero: ""&amp;IF(valor="""",""[VACÍO]"",TO_TEXT(valor))
)
))))
),""ERROR EN FÓRMULA""))"),"OK")</f>
        <v>OK</v>
      </c>
    </row>
    <row r="3916">
      <c r="A3916" s="83" t="s">
        <v>4896</v>
      </c>
      <c r="B3916" s="83" t="s">
        <v>4897</v>
      </c>
      <c r="C3916" s="81" t="s">
        <v>4086</v>
      </c>
      <c r="D3916" s="83" t="s">
        <v>4547</v>
      </c>
      <c r="E3916" s="81" t="s">
        <v>2577</v>
      </c>
      <c r="F3916" s="81">
        <v>493.0</v>
      </c>
      <c r="G3916" s="81" t="s">
        <v>3</v>
      </c>
      <c r="H3916" s="81" t="s">
        <v>224</v>
      </c>
      <c r="I3916" s="81" t="s">
        <v>51</v>
      </c>
      <c r="J3916" s="81" t="s">
        <v>224</v>
      </c>
      <c r="K3916" s="81" t="str">
        <f>IFERROR(__xludf.DUMMYFUNCTION("IF(OR(D3916="""",G3916=""""),"""",IFERROR(LET(
campo,XLOOKUP(TRIM(G3916),ARRAYFORMULA(TRIM('indice columnas'!$A$2:$A$100)),'indice columnas'!$B$2:$B$100,""""),
col,IFERROR(MATCH(campo,Referencia!$A$1:$AZ$1,0),0),
fila,IFERROR(MATCH(TO_TEXT(D3916),ARRAYFOR"&amp;"MULA(TO_TEXT(Referencia!$A$2:$A6238)),0),0),
IF(OR(campo="""",campo=""-""),""NO APLICA"",
IF(col=0,""REVISAR EQUIVALENCIA"",
IF(fila=0,""SKU NO ENCONTRADO"",
LET(
valor,INDEX(Referencia!$A$2:$AZ6238,fila,col),
IF(TRIM(TO_TEXT(valor))=TRIM(TO_TEXT(I3916)),"&amp;"
""OK"",
""NO COINCIDE. Valor verdadero: ""&amp;IF(valor="""",""[VACÍO]"",TO_TEXT(valor))
)
))))
),""ERROR EN FÓRMULA""))"),"OK")</f>
        <v>OK</v>
      </c>
    </row>
    <row r="3917">
      <c r="A3917" s="83" t="s">
        <v>4896</v>
      </c>
      <c r="B3917" s="83" t="s">
        <v>4897</v>
      </c>
      <c r="C3917" s="81" t="s">
        <v>4086</v>
      </c>
      <c r="D3917" s="83" t="s">
        <v>4547</v>
      </c>
      <c r="E3917" s="81" t="s">
        <v>2577</v>
      </c>
      <c r="F3917" s="81">
        <v>493.0</v>
      </c>
      <c r="G3917" s="81" t="s">
        <v>2</v>
      </c>
      <c r="H3917" s="81" t="s">
        <v>224</v>
      </c>
      <c r="I3917" s="81" t="s">
        <v>213</v>
      </c>
      <c r="J3917" s="81" t="s">
        <v>224</v>
      </c>
      <c r="K3917" s="81" t="str">
        <f>IFERROR(__xludf.DUMMYFUNCTION("IF(OR(D3917="""",G3917=""""),"""",IFERROR(LET(
campo,XLOOKUP(TRIM(G3917),ARRAYFORMULA(TRIM('indice columnas'!$A$2:$A$100)),'indice columnas'!$B$2:$B$100,""""),
col,IFERROR(MATCH(campo,Referencia!$A$1:$AZ$1,0),0),
fila,IFERROR(MATCH(TO_TEXT(D3917),ARRAYFOR"&amp;"MULA(TO_TEXT(Referencia!$A$2:$A6238)),0),0),
IF(OR(campo="""",campo=""-""),""NO APLICA"",
IF(col=0,""REVISAR EQUIVALENCIA"",
IF(fila=0,""SKU NO ENCONTRADO"",
LET(
valor,INDEX(Referencia!$A$2:$AZ6238,fila,col),
IF(TRIM(TO_TEXT(valor))=TRIM(TO_TEXT(I3917)),"&amp;"
""OK"",
""NO COINCIDE. Valor verdadero: ""&amp;IF(valor="""",""[VACÍO]"",TO_TEXT(valor))
)
))))
),""ERROR EN FÓRMULA""))"),"OK")</f>
        <v>OK</v>
      </c>
    </row>
    <row r="3918">
      <c r="A3918" s="83" t="s">
        <v>4896</v>
      </c>
      <c r="B3918" s="83" t="s">
        <v>4897</v>
      </c>
      <c r="C3918" s="81" t="s">
        <v>4086</v>
      </c>
      <c r="D3918" s="83" t="s">
        <v>4547</v>
      </c>
      <c r="E3918" s="81" t="s">
        <v>2577</v>
      </c>
      <c r="F3918" s="81">
        <v>493.0</v>
      </c>
      <c r="G3918" s="81" t="s">
        <v>1</v>
      </c>
      <c r="H3918" s="81" t="s">
        <v>224</v>
      </c>
      <c r="I3918" s="81" t="s">
        <v>49</v>
      </c>
      <c r="J3918" s="81" t="s">
        <v>224</v>
      </c>
      <c r="K3918" s="81" t="str">
        <f>IFERROR(__xludf.DUMMYFUNCTION("IF(OR(D3918="""",G3918=""""),"""",IFERROR(LET(
campo,XLOOKUP(TRIM(G3918),ARRAYFORMULA(TRIM('indice columnas'!$A$2:$A$100)),'indice columnas'!$B$2:$B$100,""""),
col,IFERROR(MATCH(campo,Referencia!$A$1:$AZ$1,0),0),
fila,IFERROR(MATCH(TO_TEXT(D3918),ARRAYFOR"&amp;"MULA(TO_TEXT(Referencia!$A$2:$A6238)),0),0),
IF(OR(campo="""",campo=""-""),""NO APLICA"",
IF(col=0,""REVISAR EQUIVALENCIA"",
IF(fila=0,""SKU NO ENCONTRADO"",
LET(
valor,INDEX(Referencia!$A$2:$AZ6238,fila,col),
IF(TRIM(TO_TEXT(valor))=TRIM(TO_TEXT(I3918)),"&amp;"
""OK"",
""NO COINCIDE. Valor verdadero: ""&amp;IF(valor="""",""[VACÍO]"",TO_TEXT(valor))
)
))))
),""ERROR EN FÓRMULA""))"),"OK")</f>
        <v>OK</v>
      </c>
    </row>
    <row r="3919">
      <c r="A3919" s="83" t="s">
        <v>4896</v>
      </c>
      <c r="B3919" s="83" t="s">
        <v>4897</v>
      </c>
      <c r="C3919" s="81" t="s">
        <v>4086</v>
      </c>
      <c r="D3919" s="83" t="s">
        <v>4548</v>
      </c>
      <c r="E3919" s="81" t="s">
        <v>2585</v>
      </c>
      <c r="F3919" s="81">
        <v>494.0</v>
      </c>
      <c r="G3919" s="81" t="s">
        <v>3</v>
      </c>
      <c r="H3919" s="81" t="s">
        <v>224</v>
      </c>
      <c r="I3919" s="81" t="s">
        <v>51</v>
      </c>
      <c r="J3919" s="81" t="s">
        <v>224</v>
      </c>
      <c r="K3919" s="81" t="str">
        <f>IFERROR(__xludf.DUMMYFUNCTION("IF(OR(D3919="""",G3919=""""),"""",IFERROR(LET(
campo,XLOOKUP(TRIM(G3919),ARRAYFORMULA(TRIM('indice columnas'!$A$2:$A$100)),'indice columnas'!$B$2:$B$100,""""),
col,IFERROR(MATCH(campo,Referencia!$A$1:$AZ$1,0),0),
fila,IFERROR(MATCH(TO_TEXT(D3919),ARRAYFOR"&amp;"MULA(TO_TEXT(Referencia!$A$2:$A6238)),0),0),
IF(OR(campo="""",campo=""-""),""NO APLICA"",
IF(col=0,""REVISAR EQUIVALENCIA"",
IF(fila=0,""SKU NO ENCONTRADO"",
LET(
valor,INDEX(Referencia!$A$2:$AZ6238,fila,col),
IF(TRIM(TO_TEXT(valor))=TRIM(TO_TEXT(I3919)),"&amp;"
""OK"",
""NO COINCIDE. Valor verdadero: ""&amp;IF(valor="""",""[VACÍO]"",TO_TEXT(valor))
)
))))
),""ERROR EN FÓRMULA""))"),"OK")</f>
        <v>OK</v>
      </c>
    </row>
    <row r="3920">
      <c r="A3920" s="83" t="s">
        <v>4896</v>
      </c>
      <c r="B3920" s="83" t="s">
        <v>4897</v>
      </c>
      <c r="C3920" s="81" t="s">
        <v>4086</v>
      </c>
      <c r="D3920" s="83" t="s">
        <v>4548</v>
      </c>
      <c r="E3920" s="81" t="s">
        <v>2585</v>
      </c>
      <c r="F3920" s="81">
        <v>494.0</v>
      </c>
      <c r="G3920" s="81" t="s">
        <v>2</v>
      </c>
      <c r="H3920" s="81" t="s">
        <v>224</v>
      </c>
      <c r="I3920" s="81" t="s">
        <v>213</v>
      </c>
      <c r="J3920" s="81" t="s">
        <v>224</v>
      </c>
      <c r="K3920" s="81" t="str">
        <f>IFERROR(__xludf.DUMMYFUNCTION("IF(OR(D3920="""",G3920=""""),"""",IFERROR(LET(
campo,XLOOKUP(TRIM(G3920),ARRAYFORMULA(TRIM('indice columnas'!$A$2:$A$100)),'indice columnas'!$B$2:$B$100,""""),
col,IFERROR(MATCH(campo,Referencia!$A$1:$AZ$1,0),0),
fila,IFERROR(MATCH(TO_TEXT(D3920),ARRAYFOR"&amp;"MULA(TO_TEXT(Referencia!$A$2:$A6238)),0),0),
IF(OR(campo="""",campo=""-""),""NO APLICA"",
IF(col=0,""REVISAR EQUIVALENCIA"",
IF(fila=0,""SKU NO ENCONTRADO"",
LET(
valor,INDEX(Referencia!$A$2:$AZ6238,fila,col),
IF(TRIM(TO_TEXT(valor))=TRIM(TO_TEXT(I3920)),"&amp;"
""OK"",
""NO COINCIDE. Valor verdadero: ""&amp;IF(valor="""",""[VACÍO]"",TO_TEXT(valor))
)
))))
),""ERROR EN FÓRMULA""))"),"OK")</f>
        <v>OK</v>
      </c>
    </row>
    <row r="3921">
      <c r="A3921" s="83" t="s">
        <v>4896</v>
      </c>
      <c r="B3921" s="83" t="s">
        <v>4897</v>
      </c>
      <c r="C3921" s="81" t="s">
        <v>4086</v>
      </c>
      <c r="D3921" s="83" t="s">
        <v>4548</v>
      </c>
      <c r="E3921" s="81" t="s">
        <v>2585</v>
      </c>
      <c r="F3921" s="81">
        <v>494.0</v>
      </c>
      <c r="G3921" s="81" t="s">
        <v>1</v>
      </c>
      <c r="H3921" s="81" t="s">
        <v>224</v>
      </c>
      <c r="I3921" s="81" t="s">
        <v>49</v>
      </c>
      <c r="J3921" s="81" t="s">
        <v>224</v>
      </c>
      <c r="K3921" s="81" t="str">
        <f>IFERROR(__xludf.DUMMYFUNCTION("IF(OR(D3921="""",G3921=""""),"""",IFERROR(LET(
campo,XLOOKUP(TRIM(G3921),ARRAYFORMULA(TRIM('indice columnas'!$A$2:$A$100)),'indice columnas'!$B$2:$B$100,""""),
col,IFERROR(MATCH(campo,Referencia!$A$1:$AZ$1,0),0),
fila,IFERROR(MATCH(TO_TEXT(D3921),ARRAYFOR"&amp;"MULA(TO_TEXT(Referencia!$A$2:$A6238)),0),0),
IF(OR(campo="""",campo=""-""),""NO APLICA"",
IF(col=0,""REVISAR EQUIVALENCIA"",
IF(fila=0,""SKU NO ENCONTRADO"",
LET(
valor,INDEX(Referencia!$A$2:$AZ6238,fila,col),
IF(TRIM(TO_TEXT(valor))=TRIM(TO_TEXT(I3921)),"&amp;"
""OK"",
""NO COINCIDE. Valor verdadero: ""&amp;IF(valor="""",""[VACÍO]"",TO_TEXT(valor))
)
))))
),""ERROR EN FÓRMULA""))"),"OK")</f>
        <v>OK</v>
      </c>
    </row>
    <row r="3922">
      <c r="A3922" s="83" t="s">
        <v>4896</v>
      </c>
      <c r="B3922" s="83" t="s">
        <v>4897</v>
      </c>
      <c r="C3922" s="81" t="s">
        <v>4086</v>
      </c>
      <c r="D3922" s="83" t="s">
        <v>4549</v>
      </c>
      <c r="E3922" s="81" t="s">
        <v>2588</v>
      </c>
      <c r="F3922" s="81">
        <v>495.0</v>
      </c>
      <c r="G3922" s="81" t="s">
        <v>3</v>
      </c>
      <c r="H3922" s="81" t="s">
        <v>224</v>
      </c>
      <c r="I3922" s="81" t="s">
        <v>51</v>
      </c>
      <c r="J3922" s="81" t="s">
        <v>224</v>
      </c>
      <c r="K3922" s="81" t="str">
        <f>IFERROR(__xludf.DUMMYFUNCTION("IF(OR(D3922="""",G3922=""""),"""",IFERROR(LET(
campo,XLOOKUP(TRIM(G3922),ARRAYFORMULA(TRIM('indice columnas'!$A$2:$A$100)),'indice columnas'!$B$2:$B$100,""""),
col,IFERROR(MATCH(campo,Referencia!$A$1:$AZ$1,0),0),
fila,IFERROR(MATCH(TO_TEXT(D3922),ARRAYFOR"&amp;"MULA(TO_TEXT(Referencia!$A$2:$A6238)),0),0),
IF(OR(campo="""",campo=""-""),""NO APLICA"",
IF(col=0,""REVISAR EQUIVALENCIA"",
IF(fila=0,""SKU NO ENCONTRADO"",
LET(
valor,INDEX(Referencia!$A$2:$AZ6238,fila,col),
IF(TRIM(TO_TEXT(valor))=TRIM(TO_TEXT(I3922)),"&amp;"
""OK"",
""NO COINCIDE. Valor verdadero: ""&amp;IF(valor="""",""[VACÍO]"",TO_TEXT(valor))
)
))))
),""ERROR EN FÓRMULA""))"),"OK")</f>
        <v>OK</v>
      </c>
    </row>
    <row r="3923">
      <c r="A3923" s="83" t="s">
        <v>4896</v>
      </c>
      <c r="B3923" s="83" t="s">
        <v>4897</v>
      </c>
      <c r="C3923" s="81" t="s">
        <v>4086</v>
      </c>
      <c r="D3923" s="83" t="s">
        <v>4549</v>
      </c>
      <c r="E3923" s="81" t="s">
        <v>2588</v>
      </c>
      <c r="F3923" s="81">
        <v>495.0</v>
      </c>
      <c r="G3923" s="81" t="s">
        <v>2</v>
      </c>
      <c r="H3923" s="81" t="s">
        <v>224</v>
      </c>
      <c r="I3923" s="81" t="s">
        <v>213</v>
      </c>
      <c r="J3923" s="81" t="s">
        <v>224</v>
      </c>
      <c r="K3923" s="81" t="str">
        <f>IFERROR(__xludf.DUMMYFUNCTION("IF(OR(D3923="""",G3923=""""),"""",IFERROR(LET(
campo,XLOOKUP(TRIM(G3923),ARRAYFORMULA(TRIM('indice columnas'!$A$2:$A$100)),'indice columnas'!$B$2:$B$100,""""),
col,IFERROR(MATCH(campo,Referencia!$A$1:$AZ$1,0),0),
fila,IFERROR(MATCH(TO_TEXT(D3923),ARRAYFOR"&amp;"MULA(TO_TEXT(Referencia!$A$2:$A6238)),0),0),
IF(OR(campo="""",campo=""-""),""NO APLICA"",
IF(col=0,""REVISAR EQUIVALENCIA"",
IF(fila=0,""SKU NO ENCONTRADO"",
LET(
valor,INDEX(Referencia!$A$2:$AZ6238,fila,col),
IF(TRIM(TO_TEXT(valor))=TRIM(TO_TEXT(I3923)),"&amp;"
""OK"",
""NO COINCIDE. Valor verdadero: ""&amp;IF(valor="""",""[VACÍO]"",TO_TEXT(valor))
)
))))
),""ERROR EN FÓRMULA""))"),"OK")</f>
        <v>OK</v>
      </c>
    </row>
    <row r="3924">
      <c r="A3924" s="83" t="s">
        <v>4896</v>
      </c>
      <c r="B3924" s="83" t="s">
        <v>4897</v>
      </c>
      <c r="C3924" s="81" t="s">
        <v>4086</v>
      </c>
      <c r="D3924" s="83" t="s">
        <v>4549</v>
      </c>
      <c r="E3924" s="81" t="s">
        <v>2588</v>
      </c>
      <c r="F3924" s="81">
        <v>495.0</v>
      </c>
      <c r="G3924" s="81" t="s">
        <v>1</v>
      </c>
      <c r="H3924" s="81" t="s">
        <v>224</v>
      </c>
      <c r="I3924" s="81" t="s">
        <v>49</v>
      </c>
      <c r="J3924" s="81" t="s">
        <v>224</v>
      </c>
      <c r="K3924" s="81" t="str">
        <f>IFERROR(__xludf.DUMMYFUNCTION("IF(OR(D3924="""",G3924=""""),"""",IFERROR(LET(
campo,XLOOKUP(TRIM(G3924),ARRAYFORMULA(TRIM('indice columnas'!$A$2:$A$100)),'indice columnas'!$B$2:$B$100,""""),
col,IFERROR(MATCH(campo,Referencia!$A$1:$AZ$1,0),0),
fila,IFERROR(MATCH(TO_TEXT(D3924),ARRAYFOR"&amp;"MULA(TO_TEXT(Referencia!$A$2:$A6238)),0),0),
IF(OR(campo="""",campo=""-""),""NO APLICA"",
IF(col=0,""REVISAR EQUIVALENCIA"",
IF(fila=0,""SKU NO ENCONTRADO"",
LET(
valor,INDEX(Referencia!$A$2:$AZ6238,fila,col),
IF(TRIM(TO_TEXT(valor))=TRIM(TO_TEXT(I3924)),"&amp;"
""OK"",
""NO COINCIDE. Valor verdadero: ""&amp;IF(valor="""",""[VACÍO]"",TO_TEXT(valor))
)
))))
),""ERROR EN FÓRMULA""))"),"OK")</f>
        <v>OK</v>
      </c>
    </row>
    <row r="3925">
      <c r="A3925" s="83" t="s">
        <v>4896</v>
      </c>
      <c r="B3925" s="83" t="s">
        <v>4897</v>
      </c>
      <c r="C3925" s="81" t="s">
        <v>4086</v>
      </c>
      <c r="D3925" s="83" t="s">
        <v>4550</v>
      </c>
      <c r="E3925" s="81" t="s">
        <v>2591</v>
      </c>
      <c r="F3925" s="81">
        <v>496.0</v>
      </c>
      <c r="G3925" s="81" t="s">
        <v>3</v>
      </c>
      <c r="H3925" s="81" t="s">
        <v>224</v>
      </c>
      <c r="I3925" s="81" t="s">
        <v>1144</v>
      </c>
      <c r="J3925" s="81" t="s">
        <v>224</v>
      </c>
      <c r="K3925" s="81" t="str">
        <f>IFERROR(__xludf.DUMMYFUNCTION("IF(OR(D3925="""",G3925=""""),"""",IFERROR(LET(
campo,XLOOKUP(TRIM(G3925),ARRAYFORMULA(TRIM('indice columnas'!$A$2:$A$100)),'indice columnas'!$B$2:$B$100,""""),
col,IFERROR(MATCH(campo,Referencia!$A$1:$AZ$1,0),0),
fila,IFERROR(MATCH(TO_TEXT(D3925),ARRAYFOR"&amp;"MULA(TO_TEXT(Referencia!$A$2:$A6238)),0),0),
IF(OR(campo="""",campo=""-""),""NO APLICA"",
IF(col=0,""REVISAR EQUIVALENCIA"",
IF(fila=0,""SKU NO ENCONTRADO"",
LET(
valor,INDEX(Referencia!$A$2:$AZ6238,fila,col),
IF(TRIM(TO_TEXT(valor))=TRIM(TO_TEXT(I3925)),"&amp;"
""OK"",
""NO COINCIDE. Valor verdadero: ""&amp;IF(valor="""",""[VACÍO]"",TO_TEXT(valor))
)
))))
),""ERROR EN FÓRMULA""))"),"OK")</f>
        <v>OK</v>
      </c>
    </row>
    <row r="3926">
      <c r="A3926" s="83" t="s">
        <v>4896</v>
      </c>
      <c r="B3926" s="83" t="s">
        <v>4897</v>
      </c>
      <c r="C3926" s="81" t="s">
        <v>4086</v>
      </c>
      <c r="D3926" s="83" t="s">
        <v>4550</v>
      </c>
      <c r="E3926" s="81" t="s">
        <v>2591</v>
      </c>
      <c r="F3926" s="81">
        <v>496.0</v>
      </c>
      <c r="G3926" s="81" t="s">
        <v>2</v>
      </c>
      <c r="H3926" s="81" t="s">
        <v>224</v>
      </c>
      <c r="I3926" s="81" t="s">
        <v>213</v>
      </c>
      <c r="J3926" s="81" t="s">
        <v>224</v>
      </c>
      <c r="K3926" s="81" t="str">
        <f>IFERROR(__xludf.DUMMYFUNCTION("IF(OR(D3926="""",G3926=""""),"""",IFERROR(LET(
campo,XLOOKUP(TRIM(G3926),ARRAYFORMULA(TRIM('indice columnas'!$A$2:$A$100)),'indice columnas'!$B$2:$B$100,""""),
col,IFERROR(MATCH(campo,Referencia!$A$1:$AZ$1,0),0),
fila,IFERROR(MATCH(TO_TEXT(D3926),ARRAYFOR"&amp;"MULA(TO_TEXT(Referencia!$A$2:$A6238)),0),0),
IF(OR(campo="""",campo=""-""),""NO APLICA"",
IF(col=0,""REVISAR EQUIVALENCIA"",
IF(fila=0,""SKU NO ENCONTRADO"",
LET(
valor,INDEX(Referencia!$A$2:$AZ6238,fila,col),
IF(TRIM(TO_TEXT(valor))=TRIM(TO_TEXT(I3926)),"&amp;"
""OK"",
""NO COINCIDE. Valor verdadero: ""&amp;IF(valor="""",""[VACÍO]"",TO_TEXT(valor))
)
))))
),""ERROR EN FÓRMULA""))"),"OK")</f>
        <v>OK</v>
      </c>
    </row>
    <row r="3927">
      <c r="A3927" s="83" t="s">
        <v>4896</v>
      </c>
      <c r="B3927" s="83" t="s">
        <v>4897</v>
      </c>
      <c r="C3927" s="81" t="s">
        <v>4086</v>
      </c>
      <c r="D3927" s="83" t="s">
        <v>4550</v>
      </c>
      <c r="E3927" s="81" t="s">
        <v>2591</v>
      </c>
      <c r="F3927" s="81">
        <v>496.0</v>
      </c>
      <c r="G3927" s="81" t="s">
        <v>1</v>
      </c>
      <c r="H3927" s="81" t="s">
        <v>224</v>
      </c>
      <c r="I3927" s="81" t="s">
        <v>49</v>
      </c>
      <c r="J3927" s="81" t="s">
        <v>224</v>
      </c>
      <c r="K3927" s="81" t="str">
        <f>IFERROR(__xludf.DUMMYFUNCTION("IF(OR(D3927="""",G3927=""""),"""",IFERROR(LET(
campo,XLOOKUP(TRIM(G3927),ARRAYFORMULA(TRIM('indice columnas'!$A$2:$A$100)),'indice columnas'!$B$2:$B$100,""""),
col,IFERROR(MATCH(campo,Referencia!$A$1:$AZ$1,0),0),
fila,IFERROR(MATCH(TO_TEXT(D3927),ARRAYFOR"&amp;"MULA(TO_TEXT(Referencia!$A$2:$A6238)),0),0),
IF(OR(campo="""",campo=""-""),""NO APLICA"",
IF(col=0,""REVISAR EQUIVALENCIA"",
IF(fila=0,""SKU NO ENCONTRADO"",
LET(
valor,INDEX(Referencia!$A$2:$AZ6238,fila,col),
IF(TRIM(TO_TEXT(valor))=TRIM(TO_TEXT(I3927)),"&amp;"
""OK"",
""NO COINCIDE. Valor verdadero: ""&amp;IF(valor="""",""[VACÍO]"",TO_TEXT(valor))
)
))))
),""ERROR EN FÓRMULA""))"),"OK")</f>
        <v>OK</v>
      </c>
    </row>
    <row r="3928">
      <c r="A3928" s="83" t="s">
        <v>4896</v>
      </c>
      <c r="B3928" s="83" t="s">
        <v>4897</v>
      </c>
      <c r="C3928" s="81" t="s">
        <v>4086</v>
      </c>
      <c r="D3928" s="83" t="s">
        <v>4551</v>
      </c>
      <c r="E3928" s="81" t="s">
        <v>2594</v>
      </c>
      <c r="F3928" s="81">
        <v>497.0</v>
      </c>
      <c r="G3928" s="81" t="s">
        <v>3</v>
      </c>
      <c r="H3928" s="81" t="s">
        <v>224</v>
      </c>
      <c r="I3928" s="81" t="s">
        <v>1144</v>
      </c>
      <c r="J3928" s="81" t="s">
        <v>224</v>
      </c>
      <c r="K3928" s="81" t="str">
        <f>IFERROR(__xludf.DUMMYFUNCTION("IF(OR(D3928="""",G3928=""""),"""",IFERROR(LET(
campo,XLOOKUP(TRIM(G3928),ARRAYFORMULA(TRIM('indice columnas'!$A$2:$A$100)),'indice columnas'!$B$2:$B$100,""""),
col,IFERROR(MATCH(campo,Referencia!$A$1:$AZ$1,0),0),
fila,IFERROR(MATCH(TO_TEXT(D3928),ARRAYFOR"&amp;"MULA(TO_TEXT(Referencia!$A$2:$A6238)),0),0),
IF(OR(campo="""",campo=""-""),""NO APLICA"",
IF(col=0,""REVISAR EQUIVALENCIA"",
IF(fila=0,""SKU NO ENCONTRADO"",
LET(
valor,INDEX(Referencia!$A$2:$AZ6238,fila,col),
IF(TRIM(TO_TEXT(valor))=TRIM(TO_TEXT(I3928)),"&amp;"
""OK"",
""NO COINCIDE. Valor verdadero: ""&amp;IF(valor="""",""[VACÍO]"",TO_TEXT(valor))
)
))))
),""ERROR EN FÓRMULA""))"),"OK")</f>
        <v>OK</v>
      </c>
    </row>
    <row r="3929">
      <c r="A3929" s="83" t="s">
        <v>4896</v>
      </c>
      <c r="B3929" s="83" t="s">
        <v>4897</v>
      </c>
      <c r="C3929" s="81" t="s">
        <v>4086</v>
      </c>
      <c r="D3929" s="83" t="s">
        <v>4551</v>
      </c>
      <c r="E3929" s="81" t="s">
        <v>2594</v>
      </c>
      <c r="F3929" s="81">
        <v>497.0</v>
      </c>
      <c r="G3929" s="81" t="s">
        <v>2</v>
      </c>
      <c r="H3929" s="81" t="s">
        <v>224</v>
      </c>
      <c r="I3929" s="81" t="s">
        <v>213</v>
      </c>
      <c r="J3929" s="81" t="s">
        <v>224</v>
      </c>
      <c r="K3929" s="81" t="str">
        <f>IFERROR(__xludf.DUMMYFUNCTION("IF(OR(D3929="""",G3929=""""),"""",IFERROR(LET(
campo,XLOOKUP(TRIM(G3929),ARRAYFORMULA(TRIM('indice columnas'!$A$2:$A$100)),'indice columnas'!$B$2:$B$100,""""),
col,IFERROR(MATCH(campo,Referencia!$A$1:$AZ$1,0),0),
fila,IFERROR(MATCH(TO_TEXT(D3929),ARRAYFOR"&amp;"MULA(TO_TEXT(Referencia!$A$2:$A6238)),0),0),
IF(OR(campo="""",campo=""-""),""NO APLICA"",
IF(col=0,""REVISAR EQUIVALENCIA"",
IF(fila=0,""SKU NO ENCONTRADO"",
LET(
valor,INDEX(Referencia!$A$2:$AZ6238,fila,col),
IF(TRIM(TO_TEXT(valor))=TRIM(TO_TEXT(I3929)),"&amp;"
""OK"",
""NO COINCIDE. Valor verdadero: ""&amp;IF(valor="""",""[VACÍO]"",TO_TEXT(valor))
)
))))
),""ERROR EN FÓRMULA""))"),"OK")</f>
        <v>OK</v>
      </c>
    </row>
    <row r="3930">
      <c r="A3930" s="83" t="s">
        <v>4896</v>
      </c>
      <c r="B3930" s="83" t="s">
        <v>4897</v>
      </c>
      <c r="C3930" s="81" t="s">
        <v>4086</v>
      </c>
      <c r="D3930" s="83" t="s">
        <v>4551</v>
      </c>
      <c r="E3930" s="81" t="s">
        <v>2594</v>
      </c>
      <c r="F3930" s="81">
        <v>497.0</v>
      </c>
      <c r="G3930" s="81" t="s">
        <v>1</v>
      </c>
      <c r="H3930" s="81" t="s">
        <v>224</v>
      </c>
      <c r="I3930" s="81" t="s">
        <v>49</v>
      </c>
      <c r="J3930" s="81" t="s">
        <v>224</v>
      </c>
      <c r="K3930" s="81" t="str">
        <f>IFERROR(__xludf.DUMMYFUNCTION("IF(OR(D3930="""",G3930=""""),"""",IFERROR(LET(
campo,XLOOKUP(TRIM(G3930),ARRAYFORMULA(TRIM('indice columnas'!$A$2:$A$100)),'indice columnas'!$B$2:$B$100,""""),
col,IFERROR(MATCH(campo,Referencia!$A$1:$AZ$1,0),0),
fila,IFERROR(MATCH(TO_TEXT(D3930),ARRAYFOR"&amp;"MULA(TO_TEXT(Referencia!$A$2:$A6238)),0),0),
IF(OR(campo="""",campo=""-""),""NO APLICA"",
IF(col=0,""REVISAR EQUIVALENCIA"",
IF(fila=0,""SKU NO ENCONTRADO"",
LET(
valor,INDEX(Referencia!$A$2:$AZ6238,fila,col),
IF(TRIM(TO_TEXT(valor))=TRIM(TO_TEXT(I3930)),"&amp;"
""OK"",
""NO COINCIDE. Valor verdadero: ""&amp;IF(valor="""",""[VACÍO]"",TO_TEXT(valor))
)
))))
),""ERROR EN FÓRMULA""))"),"OK")</f>
        <v>OK</v>
      </c>
    </row>
    <row r="3931">
      <c r="A3931" s="83" t="s">
        <v>4896</v>
      </c>
      <c r="B3931" s="83" t="s">
        <v>4897</v>
      </c>
      <c r="C3931" s="81" t="s">
        <v>4086</v>
      </c>
      <c r="D3931" s="83" t="s">
        <v>4552</v>
      </c>
      <c r="E3931" s="81" t="s">
        <v>2596</v>
      </c>
      <c r="F3931" s="81">
        <v>498.0</v>
      </c>
      <c r="G3931" s="81" t="s">
        <v>3</v>
      </c>
      <c r="H3931" s="81" t="s">
        <v>224</v>
      </c>
      <c r="I3931" s="81" t="s">
        <v>1144</v>
      </c>
      <c r="J3931" s="81" t="s">
        <v>224</v>
      </c>
      <c r="K3931" s="81" t="str">
        <f>IFERROR(__xludf.DUMMYFUNCTION("IF(OR(D3931="""",G3931=""""),"""",IFERROR(LET(
campo,XLOOKUP(TRIM(G3931),ARRAYFORMULA(TRIM('indice columnas'!$A$2:$A$100)),'indice columnas'!$B$2:$B$100,""""),
col,IFERROR(MATCH(campo,Referencia!$A$1:$AZ$1,0),0),
fila,IFERROR(MATCH(TO_TEXT(D3931),ARRAYFOR"&amp;"MULA(TO_TEXT(Referencia!$A$2:$A6238)),0),0),
IF(OR(campo="""",campo=""-""),""NO APLICA"",
IF(col=0,""REVISAR EQUIVALENCIA"",
IF(fila=0,""SKU NO ENCONTRADO"",
LET(
valor,INDEX(Referencia!$A$2:$AZ6238,fila,col),
IF(TRIM(TO_TEXT(valor))=TRIM(TO_TEXT(I3931)),"&amp;"
""OK"",
""NO COINCIDE. Valor verdadero: ""&amp;IF(valor="""",""[VACÍO]"",TO_TEXT(valor))
)
))))
),""ERROR EN FÓRMULA""))"),"OK")</f>
        <v>OK</v>
      </c>
    </row>
    <row r="3932">
      <c r="A3932" s="83" t="s">
        <v>4896</v>
      </c>
      <c r="B3932" s="83" t="s">
        <v>4897</v>
      </c>
      <c r="C3932" s="81" t="s">
        <v>4086</v>
      </c>
      <c r="D3932" s="83" t="s">
        <v>4552</v>
      </c>
      <c r="E3932" s="81" t="s">
        <v>2596</v>
      </c>
      <c r="F3932" s="81">
        <v>498.0</v>
      </c>
      <c r="G3932" s="81" t="s">
        <v>2</v>
      </c>
      <c r="H3932" s="81" t="s">
        <v>224</v>
      </c>
      <c r="I3932" s="81" t="s">
        <v>213</v>
      </c>
      <c r="J3932" s="81" t="s">
        <v>224</v>
      </c>
      <c r="K3932" s="81" t="str">
        <f>IFERROR(__xludf.DUMMYFUNCTION("IF(OR(D3932="""",G3932=""""),"""",IFERROR(LET(
campo,XLOOKUP(TRIM(G3932),ARRAYFORMULA(TRIM('indice columnas'!$A$2:$A$100)),'indice columnas'!$B$2:$B$100,""""),
col,IFERROR(MATCH(campo,Referencia!$A$1:$AZ$1,0),0),
fila,IFERROR(MATCH(TO_TEXT(D3932),ARRAYFOR"&amp;"MULA(TO_TEXT(Referencia!$A$2:$A6238)),0),0),
IF(OR(campo="""",campo=""-""),""NO APLICA"",
IF(col=0,""REVISAR EQUIVALENCIA"",
IF(fila=0,""SKU NO ENCONTRADO"",
LET(
valor,INDEX(Referencia!$A$2:$AZ6238,fila,col),
IF(TRIM(TO_TEXT(valor))=TRIM(TO_TEXT(I3932)),"&amp;"
""OK"",
""NO COINCIDE. Valor verdadero: ""&amp;IF(valor="""",""[VACÍO]"",TO_TEXT(valor))
)
))))
),""ERROR EN FÓRMULA""))"),"OK")</f>
        <v>OK</v>
      </c>
    </row>
    <row r="3933">
      <c r="A3933" s="83" t="s">
        <v>4896</v>
      </c>
      <c r="B3933" s="83" t="s">
        <v>4897</v>
      </c>
      <c r="C3933" s="81" t="s">
        <v>4086</v>
      </c>
      <c r="D3933" s="83" t="s">
        <v>4552</v>
      </c>
      <c r="E3933" s="81" t="s">
        <v>2596</v>
      </c>
      <c r="F3933" s="81">
        <v>498.0</v>
      </c>
      <c r="G3933" s="81" t="s">
        <v>1</v>
      </c>
      <c r="H3933" s="81" t="s">
        <v>224</v>
      </c>
      <c r="I3933" s="81" t="s">
        <v>49</v>
      </c>
      <c r="J3933" s="81" t="s">
        <v>224</v>
      </c>
      <c r="K3933" s="81" t="str">
        <f>IFERROR(__xludf.DUMMYFUNCTION("IF(OR(D3933="""",G3933=""""),"""",IFERROR(LET(
campo,XLOOKUP(TRIM(G3933),ARRAYFORMULA(TRIM('indice columnas'!$A$2:$A$100)),'indice columnas'!$B$2:$B$100,""""),
col,IFERROR(MATCH(campo,Referencia!$A$1:$AZ$1,0),0),
fila,IFERROR(MATCH(TO_TEXT(D3933),ARRAYFOR"&amp;"MULA(TO_TEXT(Referencia!$A$2:$A6238)),0),0),
IF(OR(campo="""",campo=""-""),""NO APLICA"",
IF(col=0,""REVISAR EQUIVALENCIA"",
IF(fila=0,""SKU NO ENCONTRADO"",
LET(
valor,INDEX(Referencia!$A$2:$AZ6238,fila,col),
IF(TRIM(TO_TEXT(valor))=TRIM(TO_TEXT(I3933)),"&amp;"
""OK"",
""NO COINCIDE. Valor verdadero: ""&amp;IF(valor="""",""[VACÍO]"",TO_TEXT(valor))
)
))))
),""ERROR EN FÓRMULA""))"),"OK")</f>
        <v>OK</v>
      </c>
    </row>
    <row r="3934">
      <c r="A3934" s="83" t="s">
        <v>4896</v>
      </c>
      <c r="B3934" s="83" t="s">
        <v>4897</v>
      </c>
      <c r="C3934" s="81" t="s">
        <v>4086</v>
      </c>
      <c r="D3934" s="83" t="s">
        <v>4555</v>
      </c>
      <c r="E3934" s="81" t="s">
        <v>2610</v>
      </c>
      <c r="F3934" s="81">
        <v>501.0</v>
      </c>
      <c r="G3934" s="81" t="s">
        <v>3</v>
      </c>
      <c r="H3934" s="81" t="s">
        <v>224</v>
      </c>
      <c r="I3934" s="81" t="s">
        <v>926</v>
      </c>
      <c r="J3934" s="81" t="s">
        <v>224</v>
      </c>
      <c r="K3934" s="81" t="str">
        <f>IFERROR(__xludf.DUMMYFUNCTION("IF(OR(D3934="""",G3934=""""),"""",IFERROR(LET(
campo,XLOOKUP(TRIM(G3934),ARRAYFORMULA(TRIM('indice columnas'!$A$2:$A$100)),'indice columnas'!$B$2:$B$100,""""),
col,IFERROR(MATCH(campo,Referencia!$A$1:$AZ$1,0),0),
fila,IFERROR(MATCH(TO_TEXT(D3934),ARRAYFOR"&amp;"MULA(TO_TEXT(Referencia!$A$2:$A6238)),0),0),
IF(OR(campo="""",campo=""-""),""NO APLICA"",
IF(col=0,""REVISAR EQUIVALENCIA"",
IF(fila=0,""SKU NO ENCONTRADO"",
LET(
valor,INDEX(Referencia!$A$2:$AZ6238,fila,col),
IF(TRIM(TO_TEXT(valor))=TRIM(TO_TEXT(I3934)),"&amp;"
""OK"",
""NO COINCIDE. Valor verdadero: ""&amp;IF(valor="""",""[VACÍO]"",TO_TEXT(valor))
)
))))
),""ERROR EN FÓRMULA""))"),"OK")</f>
        <v>OK</v>
      </c>
    </row>
    <row r="3935">
      <c r="A3935" s="83" t="s">
        <v>4896</v>
      </c>
      <c r="B3935" s="83" t="s">
        <v>4897</v>
      </c>
      <c r="C3935" s="81" t="s">
        <v>4086</v>
      </c>
      <c r="D3935" s="83" t="s">
        <v>4555</v>
      </c>
      <c r="E3935" s="81" t="s">
        <v>2610</v>
      </c>
      <c r="F3935" s="81">
        <v>501.0</v>
      </c>
      <c r="G3935" s="81" t="s">
        <v>2</v>
      </c>
      <c r="H3935" s="81" t="s">
        <v>224</v>
      </c>
      <c r="I3935" s="81" t="s">
        <v>1291</v>
      </c>
      <c r="J3935" s="81" t="s">
        <v>224</v>
      </c>
      <c r="K3935" s="81" t="str">
        <f>IFERROR(__xludf.DUMMYFUNCTION("IF(OR(D3935="""",G3935=""""),"""",IFERROR(LET(
campo,XLOOKUP(TRIM(G3935),ARRAYFORMULA(TRIM('indice columnas'!$A$2:$A$100)),'indice columnas'!$B$2:$B$100,""""),
col,IFERROR(MATCH(campo,Referencia!$A$1:$AZ$1,0),0),
fila,IFERROR(MATCH(TO_TEXT(D3935),ARRAYFOR"&amp;"MULA(TO_TEXT(Referencia!$A$2:$A6238)),0),0),
IF(OR(campo="""",campo=""-""),""NO APLICA"",
IF(col=0,""REVISAR EQUIVALENCIA"",
IF(fila=0,""SKU NO ENCONTRADO"",
LET(
valor,INDEX(Referencia!$A$2:$AZ6238,fila,col),
IF(TRIM(TO_TEXT(valor))=TRIM(TO_TEXT(I3935)),"&amp;"
""OK"",
""NO COINCIDE. Valor verdadero: ""&amp;IF(valor="""",""[VACÍO]"",TO_TEXT(valor))
)
))))
),""ERROR EN FÓRMULA""))"),"OK")</f>
        <v>OK</v>
      </c>
    </row>
    <row r="3936">
      <c r="A3936" s="83" t="s">
        <v>4896</v>
      </c>
      <c r="B3936" s="83" t="s">
        <v>4897</v>
      </c>
      <c r="C3936" s="81" t="s">
        <v>4086</v>
      </c>
      <c r="D3936" s="83" t="s">
        <v>4556</v>
      </c>
      <c r="E3936" s="81" t="s">
        <v>2613</v>
      </c>
      <c r="F3936" s="81">
        <v>502.0</v>
      </c>
      <c r="G3936" s="81" t="s">
        <v>3</v>
      </c>
      <c r="H3936" s="81" t="s">
        <v>224</v>
      </c>
      <c r="I3936" s="81" t="s">
        <v>51</v>
      </c>
      <c r="J3936" s="81" t="s">
        <v>224</v>
      </c>
      <c r="K3936" s="81" t="str">
        <f>IFERROR(__xludf.DUMMYFUNCTION("IF(OR(D3936="""",G3936=""""),"""",IFERROR(LET(
campo,XLOOKUP(TRIM(G3936),ARRAYFORMULA(TRIM('indice columnas'!$A$2:$A$100)),'indice columnas'!$B$2:$B$100,""""),
col,IFERROR(MATCH(campo,Referencia!$A$1:$AZ$1,0),0),
fila,IFERROR(MATCH(TO_TEXT(D3936),ARRAYFOR"&amp;"MULA(TO_TEXT(Referencia!$A$2:$A6238)),0),0),
IF(OR(campo="""",campo=""-""),""NO APLICA"",
IF(col=0,""REVISAR EQUIVALENCIA"",
IF(fila=0,""SKU NO ENCONTRADO"",
LET(
valor,INDEX(Referencia!$A$2:$AZ6238,fila,col),
IF(TRIM(TO_TEXT(valor))=TRIM(TO_TEXT(I3936)),"&amp;"
""OK"",
""NO COINCIDE. Valor verdadero: ""&amp;IF(valor="""",""[VACÍO]"",TO_TEXT(valor))
)
))))
),""ERROR EN FÓRMULA""))"),"OK")</f>
        <v>OK</v>
      </c>
    </row>
    <row r="3937">
      <c r="A3937" s="83" t="s">
        <v>4896</v>
      </c>
      <c r="B3937" s="83" t="s">
        <v>4897</v>
      </c>
      <c r="C3937" s="81" t="s">
        <v>4086</v>
      </c>
      <c r="D3937" s="83" t="s">
        <v>4556</v>
      </c>
      <c r="E3937" s="81" t="s">
        <v>2613</v>
      </c>
      <c r="F3937" s="81">
        <v>502.0</v>
      </c>
      <c r="G3937" s="81" t="s">
        <v>2</v>
      </c>
      <c r="H3937" s="81" t="s">
        <v>224</v>
      </c>
      <c r="I3937" s="81" t="s">
        <v>50</v>
      </c>
      <c r="J3937" s="81" t="s">
        <v>224</v>
      </c>
      <c r="K3937" s="81" t="str">
        <f>IFERROR(__xludf.DUMMYFUNCTION("IF(OR(D3937="""",G3937=""""),"""",IFERROR(LET(
campo,XLOOKUP(TRIM(G3937),ARRAYFORMULA(TRIM('indice columnas'!$A$2:$A$100)),'indice columnas'!$B$2:$B$100,""""),
col,IFERROR(MATCH(campo,Referencia!$A$1:$AZ$1,0),0),
fila,IFERROR(MATCH(TO_TEXT(D3937),ARRAYFOR"&amp;"MULA(TO_TEXT(Referencia!$A$2:$A6238)),0),0),
IF(OR(campo="""",campo=""-""),""NO APLICA"",
IF(col=0,""REVISAR EQUIVALENCIA"",
IF(fila=0,""SKU NO ENCONTRADO"",
LET(
valor,INDEX(Referencia!$A$2:$AZ6238,fila,col),
IF(TRIM(TO_TEXT(valor))=TRIM(TO_TEXT(I3937)),"&amp;"
""OK"",
""NO COINCIDE. Valor verdadero: ""&amp;IF(valor="""",""[VACÍO]"",TO_TEXT(valor))
)
))))
),""ERROR EN FÓRMULA""))"),"OK")</f>
        <v>OK</v>
      </c>
    </row>
    <row r="3938">
      <c r="A3938" s="83" t="s">
        <v>4896</v>
      </c>
      <c r="B3938" s="83" t="s">
        <v>4897</v>
      </c>
      <c r="C3938" s="81" t="s">
        <v>4086</v>
      </c>
      <c r="D3938" s="83" t="s">
        <v>4556</v>
      </c>
      <c r="E3938" s="81" t="s">
        <v>2613</v>
      </c>
      <c r="F3938" s="81">
        <v>502.0</v>
      </c>
      <c r="G3938" s="81" t="s">
        <v>1</v>
      </c>
      <c r="H3938" s="81" t="s">
        <v>224</v>
      </c>
      <c r="I3938" s="81" t="s">
        <v>49</v>
      </c>
      <c r="J3938" s="81" t="s">
        <v>224</v>
      </c>
      <c r="K3938" s="81" t="str">
        <f>IFERROR(__xludf.DUMMYFUNCTION("IF(OR(D3938="""",G3938=""""),"""",IFERROR(LET(
campo,XLOOKUP(TRIM(G3938),ARRAYFORMULA(TRIM('indice columnas'!$A$2:$A$100)),'indice columnas'!$B$2:$B$100,""""),
col,IFERROR(MATCH(campo,Referencia!$A$1:$AZ$1,0),0),
fila,IFERROR(MATCH(TO_TEXT(D3938),ARRAYFOR"&amp;"MULA(TO_TEXT(Referencia!$A$2:$A6238)),0),0),
IF(OR(campo="""",campo=""-""),""NO APLICA"",
IF(col=0,""REVISAR EQUIVALENCIA"",
IF(fila=0,""SKU NO ENCONTRADO"",
LET(
valor,INDEX(Referencia!$A$2:$AZ6238,fila,col),
IF(TRIM(TO_TEXT(valor))=TRIM(TO_TEXT(I3938)),"&amp;"
""OK"",
""NO COINCIDE. Valor verdadero: ""&amp;IF(valor="""",""[VACÍO]"",TO_TEXT(valor))
)
))))
),""ERROR EN FÓRMULA""))"),"OK")</f>
        <v>OK</v>
      </c>
    </row>
    <row r="3939">
      <c r="A3939" s="83" t="s">
        <v>4896</v>
      </c>
      <c r="B3939" s="83" t="s">
        <v>4897</v>
      </c>
      <c r="C3939" s="81" t="s">
        <v>4086</v>
      </c>
      <c r="D3939" s="83" t="s">
        <v>4557</v>
      </c>
      <c r="E3939" s="81" t="s">
        <v>2616</v>
      </c>
      <c r="F3939" s="81">
        <v>503.0</v>
      </c>
      <c r="G3939" s="81" t="s">
        <v>3</v>
      </c>
      <c r="H3939" s="81" t="s">
        <v>224</v>
      </c>
      <c r="I3939" s="81" t="s">
        <v>51</v>
      </c>
      <c r="J3939" s="81" t="s">
        <v>224</v>
      </c>
      <c r="K3939" s="81" t="str">
        <f>IFERROR(__xludf.DUMMYFUNCTION("IF(OR(D3939="""",G3939=""""),"""",IFERROR(LET(
campo,XLOOKUP(TRIM(G3939),ARRAYFORMULA(TRIM('indice columnas'!$A$2:$A$100)),'indice columnas'!$B$2:$B$100,""""),
col,IFERROR(MATCH(campo,Referencia!$A$1:$AZ$1,0),0),
fila,IFERROR(MATCH(TO_TEXT(D3939),ARRAYFOR"&amp;"MULA(TO_TEXT(Referencia!$A$2:$A6238)),0),0),
IF(OR(campo="""",campo=""-""),""NO APLICA"",
IF(col=0,""REVISAR EQUIVALENCIA"",
IF(fila=0,""SKU NO ENCONTRADO"",
LET(
valor,INDEX(Referencia!$A$2:$AZ6238,fila,col),
IF(TRIM(TO_TEXT(valor))=TRIM(TO_TEXT(I3939)),"&amp;"
""OK"",
""NO COINCIDE. Valor verdadero: ""&amp;IF(valor="""",""[VACÍO]"",TO_TEXT(valor))
)
))))
),""ERROR EN FÓRMULA""))"),"OK")</f>
        <v>OK</v>
      </c>
    </row>
    <row r="3940">
      <c r="A3940" s="83" t="s">
        <v>4896</v>
      </c>
      <c r="B3940" s="83" t="s">
        <v>4897</v>
      </c>
      <c r="C3940" s="81" t="s">
        <v>4086</v>
      </c>
      <c r="D3940" s="83" t="s">
        <v>4557</v>
      </c>
      <c r="E3940" s="81" t="s">
        <v>2616</v>
      </c>
      <c r="F3940" s="81">
        <v>503.0</v>
      </c>
      <c r="G3940" s="81" t="s">
        <v>2</v>
      </c>
      <c r="H3940" s="81" t="s">
        <v>224</v>
      </c>
      <c r="I3940" s="81" t="s">
        <v>50</v>
      </c>
      <c r="J3940" s="81" t="s">
        <v>224</v>
      </c>
      <c r="K3940" s="81" t="str">
        <f>IFERROR(__xludf.DUMMYFUNCTION("IF(OR(D3940="""",G3940=""""),"""",IFERROR(LET(
campo,XLOOKUP(TRIM(G3940),ARRAYFORMULA(TRIM('indice columnas'!$A$2:$A$100)),'indice columnas'!$B$2:$B$100,""""),
col,IFERROR(MATCH(campo,Referencia!$A$1:$AZ$1,0),0),
fila,IFERROR(MATCH(TO_TEXT(D3940),ARRAYFOR"&amp;"MULA(TO_TEXT(Referencia!$A$2:$A6238)),0),0),
IF(OR(campo="""",campo=""-""),""NO APLICA"",
IF(col=0,""REVISAR EQUIVALENCIA"",
IF(fila=0,""SKU NO ENCONTRADO"",
LET(
valor,INDEX(Referencia!$A$2:$AZ6238,fila,col),
IF(TRIM(TO_TEXT(valor))=TRIM(TO_TEXT(I3940)),"&amp;"
""OK"",
""NO COINCIDE. Valor verdadero: ""&amp;IF(valor="""",""[VACÍO]"",TO_TEXT(valor))
)
))))
),""ERROR EN FÓRMULA""))"),"OK")</f>
        <v>OK</v>
      </c>
    </row>
    <row r="3941">
      <c r="A3941" s="83" t="s">
        <v>4896</v>
      </c>
      <c r="B3941" s="83" t="s">
        <v>4897</v>
      </c>
      <c r="C3941" s="81" t="s">
        <v>4086</v>
      </c>
      <c r="D3941" s="83" t="s">
        <v>4557</v>
      </c>
      <c r="E3941" s="81" t="s">
        <v>2616</v>
      </c>
      <c r="F3941" s="81">
        <v>503.0</v>
      </c>
      <c r="G3941" s="81" t="s">
        <v>1</v>
      </c>
      <c r="H3941" s="81" t="s">
        <v>224</v>
      </c>
      <c r="I3941" s="81" t="s">
        <v>49</v>
      </c>
      <c r="J3941" s="81" t="s">
        <v>224</v>
      </c>
      <c r="K3941" s="81" t="str">
        <f>IFERROR(__xludf.DUMMYFUNCTION("IF(OR(D3941="""",G3941=""""),"""",IFERROR(LET(
campo,XLOOKUP(TRIM(G3941),ARRAYFORMULA(TRIM('indice columnas'!$A$2:$A$100)),'indice columnas'!$B$2:$B$100,""""),
col,IFERROR(MATCH(campo,Referencia!$A$1:$AZ$1,0),0),
fila,IFERROR(MATCH(TO_TEXT(D3941),ARRAYFOR"&amp;"MULA(TO_TEXT(Referencia!$A$2:$A6238)),0),0),
IF(OR(campo="""",campo=""-""),""NO APLICA"",
IF(col=0,""REVISAR EQUIVALENCIA"",
IF(fila=0,""SKU NO ENCONTRADO"",
LET(
valor,INDEX(Referencia!$A$2:$AZ6238,fila,col),
IF(TRIM(TO_TEXT(valor))=TRIM(TO_TEXT(I3941)),"&amp;"
""OK"",
""NO COINCIDE. Valor verdadero: ""&amp;IF(valor="""",""[VACÍO]"",TO_TEXT(valor))
)
))))
),""ERROR EN FÓRMULA""))"),"OK")</f>
        <v>OK</v>
      </c>
    </row>
    <row r="3942">
      <c r="A3942" s="83" t="s">
        <v>4896</v>
      </c>
      <c r="B3942" s="83" t="s">
        <v>4897</v>
      </c>
      <c r="C3942" s="81" t="s">
        <v>4086</v>
      </c>
      <c r="D3942" s="83" t="s">
        <v>4560</v>
      </c>
      <c r="E3942" s="81" t="s">
        <v>2635</v>
      </c>
      <c r="F3942" s="81">
        <v>506.0</v>
      </c>
      <c r="G3942" s="81" t="s">
        <v>3</v>
      </c>
      <c r="H3942" s="81" t="s">
        <v>224</v>
      </c>
      <c r="I3942" s="81" t="s">
        <v>2620</v>
      </c>
      <c r="J3942" s="81" t="s">
        <v>224</v>
      </c>
      <c r="K3942" s="81" t="str">
        <f>IFERROR(__xludf.DUMMYFUNCTION("IF(OR(D3942="""",G3942=""""),"""",IFERROR(LET(
campo,XLOOKUP(TRIM(G3942),ARRAYFORMULA(TRIM('indice columnas'!$A$2:$A$100)),'indice columnas'!$B$2:$B$100,""""),
col,IFERROR(MATCH(campo,Referencia!$A$1:$AZ$1,0),0),
fila,IFERROR(MATCH(TO_TEXT(D3942),ARRAYFOR"&amp;"MULA(TO_TEXT(Referencia!$A$2:$A6238)),0),0),
IF(OR(campo="""",campo=""-""),""NO APLICA"",
IF(col=0,""REVISAR EQUIVALENCIA"",
IF(fila=0,""SKU NO ENCONTRADO"",
LET(
valor,INDEX(Referencia!$A$2:$AZ6238,fila,col),
IF(TRIM(TO_TEXT(valor))=TRIM(TO_TEXT(I3942)),"&amp;"
""OK"",
""NO COINCIDE. Valor verdadero: ""&amp;IF(valor="""",""[VACÍO]"",TO_TEXT(valor))
)
))))
),""ERROR EN FÓRMULA""))"),"OK")</f>
        <v>OK</v>
      </c>
    </row>
    <row r="3943">
      <c r="A3943" s="83" t="s">
        <v>4896</v>
      </c>
      <c r="B3943" s="83" t="s">
        <v>4897</v>
      </c>
      <c r="C3943" s="81" t="s">
        <v>4086</v>
      </c>
      <c r="D3943" s="83" t="s">
        <v>4560</v>
      </c>
      <c r="E3943" s="81" t="s">
        <v>2635</v>
      </c>
      <c r="F3943" s="81">
        <v>506.0</v>
      </c>
      <c r="G3943" s="81" t="s">
        <v>2</v>
      </c>
      <c r="H3943" s="81" t="s">
        <v>224</v>
      </c>
      <c r="I3943" s="81" t="s">
        <v>919</v>
      </c>
      <c r="J3943" s="81" t="s">
        <v>224</v>
      </c>
      <c r="K3943" s="81" t="str">
        <f>IFERROR(__xludf.DUMMYFUNCTION("IF(OR(D3943="""",G3943=""""),"""",IFERROR(LET(
campo,XLOOKUP(TRIM(G3943),ARRAYFORMULA(TRIM('indice columnas'!$A$2:$A$100)),'indice columnas'!$B$2:$B$100,""""),
col,IFERROR(MATCH(campo,Referencia!$A$1:$AZ$1,0),0),
fila,IFERROR(MATCH(TO_TEXT(D3943),ARRAYFOR"&amp;"MULA(TO_TEXT(Referencia!$A$2:$A6238)),0),0),
IF(OR(campo="""",campo=""-""),""NO APLICA"",
IF(col=0,""REVISAR EQUIVALENCIA"",
IF(fila=0,""SKU NO ENCONTRADO"",
LET(
valor,INDEX(Referencia!$A$2:$AZ6238,fila,col),
IF(TRIM(TO_TEXT(valor))=TRIM(TO_TEXT(I3943)),"&amp;"
""OK"",
""NO COINCIDE. Valor verdadero: ""&amp;IF(valor="""",""[VACÍO]"",TO_TEXT(valor))
)
))))
),""ERROR EN FÓRMULA""))"),"OK")</f>
        <v>OK</v>
      </c>
    </row>
    <row r="3944">
      <c r="A3944" s="83" t="s">
        <v>4896</v>
      </c>
      <c r="B3944" s="83" t="s">
        <v>4897</v>
      </c>
      <c r="C3944" s="81" t="s">
        <v>4086</v>
      </c>
      <c r="D3944" s="83" t="s">
        <v>4560</v>
      </c>
      <c r="E3944" s="81" t="s">
        <v>2635</v>
      </c>
      <c r="F3944" s="81">
        <v>506.0</v>
      </c>
      <c r="G3944" s="81" t="s">
        <v>1</v>
      </c>
      <c r="H3944" s="81" t="s">
        <v>224</v>
      </c>
      <c r="I3944" s="81" t="s">
        <v>49</v>
      </c>
      <c r="J3944" s="81" t="s">
        <v>224</v>
      </c>
      <c r="K3944" s="81" t="str">
        <f>IFERROR(__xludf.DUMMYFUNCTION("IF(OR(D3944="""",G3944=""""),"""",IFERROR(LET(
campo,XLOOKUP(TRIM(G3944),ARRAYFORMULA(TRIM('indice columnas'!$A$2:$A$100)),'indice columnas'!$B$2:$B$100,""""),
col,IFERROR(MATCH(campo,Referencia!$A$1:$AZ$1,0),0),
fila,IFERROR(MATCH(TO_TEXT(D3944),ARRAYFOR"&amp;"MULA(TO_TEXT(Referencia!$A$2:$A6238)),0),0),
IF(OR(campo="""",campo=""-""),""NO APLICA"",
IF(col=0,""REVISAR EQUIVALENCIA"",
IF(fila=0,""SKU NO ENCONTRADO"",
LET(
valor,INDEX(Referencia!$A$2:$AZ6238,fila,col),
IF(TRIM(TO_TEXT(valor))=TRIM(TO_TEXT(I3944)),"&amp;"
""OK"",
""NO COINCIDE. Valor verdadero: ""&amp;IF(valor="""",""[VACÍO]"",TO_TEXT(valor))
)
))))
),""ERROR EN FÓRMULA""))"),"OK")</f>
        <v>OK</v>
      </c>
    </row>
    <row r="3945">
      <c r="A3945" s="83" t="s">
        <v>4896</v>
      </c>
      <c r="B3945" s="83" t="s">
        <v>4897</v>
      </c>
      <c r="C3945" s="81" t="s">
        <v>4086</v>
      </c>
      <c r="D3945" s="83" t="s">
        <v>4562</v>
      </c>
      <c r="E3945" s="81" t="s">
        <v>2648</v>
      </c>
      <c r="F3945" s="81">
        <v>508.0</v>
      </c>
      <c r="G3945" s="81" t="s">
        <v>3</v>
      </c>
      <c r="H3945" s="81" t="s">
        <v>224</v>
      </c>
      <c r="I3945" s="81" t="s">
        <v>2620</v>
      </c>
      <c r="J3945" s="81" t="s">
        <v>224</v>
      </c>
      <c r="K3945" s="81" t="str">
        <f>IFERROR(__xludf.DUMMYFUNCTION("IF(OR(D3945="""",G3945=""""),"""",IFERROR(LET(
campo,XLOOKUP(TRIM(G3945),ARRAYFORMULA(TRIM('indice columnas'!$A$2:$A$100)),'indice columnas'!$B$2:$B$100,""""),
col,IFERROR(MATCH(campo,Referencia!$A$1:$AZ$1,0),0),
fila,IFERROR(MATCH(TO_TEXT(D3945),ARRAYFOR"&amp;"MULA(TO_TEXT(Referencia!$A$2:$A6238)),0),0),
IF(OR(campo="""",campo=""-""),""NO APLICA"",
IF(col=0,""REVISAR EQUIVALENCIA"",
IF(fila=0,""SKU NO ENCONTRADO"",
LET(
valor,INDEX(Referencia!$A$2:$AZ6238,fila,col),
IF(TRIM(TO_TEXT(valor))=TRIM(TO_TEXT(I3945)),"&amp;"
""OK"",
""NO COINCIDE. Valor verdadero: ""&amp;IF(valor="""",""[VACÍO]"",TO_TEXT(valor))
)
))))
),""ERROR EN FÓRMULA""))"),"OK")</f>
        <v>OK</v>
      </c>
    </row>
    <row r="3946">
      <c r="A3946" s="83" t="s">
        <v>4896</v>
      </c>
      <c r="B3946" s="83" t="s">
        <v>4897</v>
      </c>
      <c r="C3946" s="81" t="s">
        <v>4086</v>
      </c>
      <c r="D3946" s="83" t="s">
        <v>4562</v>
      </c>
      <c r="E3946" s="81" t="s">
        <v>2648</v>
      </c>
      <c r="F3946" s="81">
        <v>508.0</v>
      </c>
      <c r="G3946" s="81" t="s">
        <v>2</v>
      </c>
      <c r="H3946" s="81" t="s">
        <v>224</v>
      </c>
      <c r="I3946" s="81" t="s">
        <v>919</v>
      </c>
      <c r="J3946" s="81" t="s">
        <v>224</v>
      </c>
      <c r="K3946" s="81" t="str">
        <f>IFERROR(__xludf.DUMMYFUNCTION("IF(OR(D3946="""",G3946=""""),"""",IFERROR(LET(
campo,XLOOKUP(TRIM(G3946),ARRAYFORMULA(TRIM('indice columnas'!$A$2:$A$100)),'indice columnas'!$B$2:$B$100,""""),
col,IFERROR(MATCH(campo,Referencia!$A$1:$AZ$1,0),0),
fila,IFERROR(MATCH(TO_TEXT(D3946),ARRAYFOR"&amp;"MULA(TO_TEXT(Referencia!$A$2:$A6238)),0),0),
IF(OR(campo="""",campo=""-""),""NO APLICA"",
IF(col=0,""REVISAR EQUIVALENCIA"",
IF(fila=0,""SKU NO ENCONTRADO"",
LET(
valor,INDEX(Referencia!$A$2:$AZ6238,fila,col),
IF(TRIM(TO_TEXT(valor))=TRIM(TO_TEXT(I3946)),"&amp;"
""OK"",
""NO COINCIDE. Valor verdadero: ""&amp;IF(valor="""",""[VACÍO]"",TO_TEXT(valor))
)
))))
),""ERROR EN FÓRMULA""))"),"OK")</f>
        <v>OK</v>
      </c>
    </row>
    <row r="3947">
      <c r="A3947" s="83" t="s">
        <v>4896</v>
      </c>
      <c r="B3947" s="83" t="s">
        <v>4897</v>
      </c>
      <c r="C3947" s="81" t="s">
        <v>4086</v>
      </c>
      <c r="D3947" s="83" t="s">
        <v>4562</v>
      </c>
      <c r="E3947" s="81" t="s">
        <v>2648</v>
      </c>
      <c r="F3947" s="81">
        <v>508.0</v>
      </c>
      <c r="G3947" s="81" t="s">
        <v>1</v>
      </c>
      <c r="H3947" s="81" t="s">
        <v>224</v>
      </c>
      <c r="I3947" s="81" t="s">
        <v>49</v>
      </c>
      <c r="J3947" s="81" t="s">
        <v>224</v>
      </c>
      <c r="K3947" s="81" t="str">
        <f>IFERROR(__xludf.DUMMYFUNCTION("IF(OR(D3947="""",G3947=""""),"""",IFERROR(LET(
campo,XLOOKUP(TRIM(G3947),ARRAYFORMULA(TRIM('indice columnas'!$A$2:$A$100)),'indice columnas'!$B$2:$B$100,""""),
col,IFERROR(MATCH(campo,Referencia!$A$1:$AZ$1,0),0),
fila,IFERROR(MATCH(TO_TEXT(D3947),ARRAYFOR"&amp;"MULA(TO_TEXT(Referencia!$A$2:$A6238)),0),0),
IF(OR(campo="""",campo=""-""),""NO APLICA"",
IF(col=0,""REVISAR EQUIVALENCIA"",
IF(fila=0,""SKU NO ENCONTRADO"",
LET(
valor,INDEX(Referencia!$A$2:$AZ6238,fila,col),
IF(TRIM(TO_TEXT(valor))=TRIM(TO_TEXT(I3947)),"&amp;"
""OK"",
""NO COINCIDE. Valor verdadero: ""&amp;IF(valor="""",""[VACÍO]"",TO_TEXT(valor))
)
))))
),""ERROR EN FÓRMULA""))"),"OK")</f>
        <v>OK</v>
      </c>
    </row>
    <row r="3948">
      <c r="A3948" s="83" t="s">
        <v>4896</v>
      </c>
      <c r="B3948" s="83" t="s">
        <v>4897</v>
      </c>
      <c r="C3948" s="81" t="s">
        <v>4086</v>
      </c>
      <c r="D3948" s="83" t="s">
        <v>4563</v>
      </c>
      <c r="E3948" s="81" t="s">
        <v>2651</v>
      </c>
      <c r="F3948" s="81">
        <v>509.0</v>
      </c>
      <c r="G3948" s="81" t="s">
        <v>3</v>
      </c>
      <c r="H3948" s="81" t="s">
        <v>224</v>
      </c>
      <c r="I3948" s="81" t="s">
        <v>51</v>
      </c>
      <c r="J3948" s="81" t="s">
        <v>224</v>
      </c>
      <c r="K3948" s="81" t="str">
        <f>IFERROR(__xludf.DUMMYFUNCTION("IF(OR(D3948="""",G3948=""""),"""",IFERROR(LET(
campo,XLOOKUP(TRIM(G3948),ARRAYFORMULA(TRIM('indice columnas'!$A$2:$A$100)),'indice columnas'!$B$2:$B$100,""""),
col,IFERROR(MATCH(campo,Referencia!$A$1:$AZ$1,0),0),
fila,IFERROR(MATCH(TO_TEXT(D3948),ARRAYFOR"&amp;"MULA(TO_TEXT(Referencia!$A$2:$A6238)),0),0),
IF(OR(campo="""",campo=""-""),""NO APLICA"",
IF(col=0,""REVISAR EQUIVALENCIA"",
IF(fila=0,""SKU NO ENCONTRADO"",
LET(
valor,INDEX(Referencia!$A$2:$AZ6238,fila,col),
IF(TRIM(TO_TEXT(valor))=TRIM(TO_TEXT(I3948)),"&amp;"
""OK"",
""NO COINCIDE. Valor verdadero: ""&amp;IF(valor="""",""[VACÍO]"",TO_TEXT(valor))
)
))))
),""ERROR EN FÓRMULA""))"),"OK")</f>
        <v>OK</v>
      </c>
    </row>
    <row r="3949">
      <c r="A3949" s="83" t="s">
        <v>4896</v>
      </c>
      <c r="B3949" s="83" t="s">
        <v>4897</v>
      </c>
      <c r="C3949" s="81" t="s">
        <v>4086</v>
      </c>
      <c r="D3949" s="83" t="s">
        <v>4563</v>
      </c>
      <c r="E3949" s="81" t="s">
        <v>2651</v>
      </c>
      <c r="F3949" s="81">
        <v>509.0</v>
      </c>
      <c r="G3949" s="81" t="s">
        <v>2</v>
      </c>
      <c r="H3949" s="81" t="s">
        <v>224</v>
      </c>
      <c r="I3949" s="81" t="s">
        <v>50</v>
      </c>
      <c r="J3949" s="81" t="s">
        <v>224</v>
      </c>
      <c r="K3949" s="81" t="str">
        <f>IFERROR(__xludf.DUMMYFUNCTION("IF(OR(D3949="""",G3949=""""),"""",IFERROR(LET(
campo,XLOOKUP(TRIM(G3949),ARRAYFORMULA(TRIM('indice columnas'!$A$2:$A$100)),'indice columnas'!$B$2:$B$100,""""),
col,IFERROR(MATCH(campo,Referencia!$A$1:$AZ$1,0),0),
fila,IFERROR(MATCH(TO_TEXT(D3949),ARRAYFOR"&amp;"MULA(TO_TEXT(Referencia!$A$2:$A6238)),0),0),
IF(OR(campo="""",campo=""-""),""NO APLICA"",
IF(col=0,""REVISAR EQUIVALENCIA"",
IF(fila=0,""SKU NO ENCONTRADO"",
LET(
valor,INDEX(Referencia!$A$2:$AZ6238,fila,col),
IF(TRIM(TO_TEXT(valor))=TRIM(TO_TEXT(I3949)),"&amp;"
""OK"",
""NO COINCIDE. Valor verdadero: ""&amp;IF(valor="""",""[VACÍO]"",TO_TEXT(valor))
)
))))
),""ERROR EN FÓRMULA""))"),"OK")</f>
        <v>OK</v>
      </c>
    </row>
    <row r="3950">
      <c r="A3950" s="83" t="s">
        <v>4896</v>
      </c>
      <c r="B3950" s="83" t="s">
        <v>4897</v>
      </c>
      <c r="C3950" s="81" t="s">
        <v>4086</v>
      </c>
      <c r="D3950" s="83" t="s">
        <v>4563</v>
      </c>
      <c r="E3950" s="81" t="s">
        <v>2651</v>
      </c>
      <c r="F3950" s="81">
        <v>509.0</v>
      </c>
      <c r="G3950" s="81" t="s">
        <v>1</v>
      </c>
      <c r="H3950" s="81" t="s">
        <v>224</v>
      </c>
      <c r="I3950" s="81" t="s">
        <v>49</v>
      </c>
      <c r="J3950" s="81" t="s">
        <v>224</v>
      </c>
      <c r="K3950" s="81" t="str">
        <f>IFERROR(__xludf.DUMMYFUNCTION("IF(OR(D3950="""",G3950=""""),"""",IFERROR(LET(
campo,XLOOKUP(TRIM(G3950),ARRAYFORMULA(TRIM('indice columnas'!$A$2:$A$100)),'indice columnas'!$B$2:$B$100,""""),
col,IFERROR(MATCH(campo,Referencia!$A$1:$AZ$1,0),0),
fila,IFERROR(MATCH(TO_TEXT(D3950),ARRAYFOR"&amp;"MULA(TO_TEXT(Referencia!$A$2:$A6238)),0),0),
IF(OR(campo="""",campo=""-""),""NO APLICA"",
IF(col=0,""REVISAR EQUIVALENCIA"",
IF(fila=0,""SKU NO ENCONTRADO"",
LET(
valor,INDEX(Referencia!$A$2:$AZ6238,fila,col),
IF(TRIM(TO_TEXT(valor))=TRIM(TO_TEXT(I3950)),"&amp;"
""OK"",
""NO COINCIDE. Valor verdadero: ""&amp;IF(valor="""",""[VACÍO]"",TO_TEXT(valor))
)
))))
),""ERROR EN FÓRMULA""))"),"OK")</f>
        <v>OK</v>
      </c>
    </row>
    <row r="3951">
      <c r="A3951" s="83" t="s">
        <v>4896</v>
      </c>
      <c r="B3951" s="83" t="s">
        <v>4897</v>
      </c>
      <c r="C3951" s="81" t="s">
        <v>4086</v>
      </c>
      <c r="D3951" s="83" t="s">
        <v>4564</v>
      </c>
      <c r="E3951" s="81" t="s">
        <v>2659</v>
      </c>
      <c r="F3951" s="81">
        <v>510.0</v>
      </c>
      <c r="G3951" s="81" t="s">
        <v>3</v>
      </c>
      <c r="H3951" s="81" t="s">
        <v>224</v>
      </c>
      <c r="I3951" s="81" t="s">
        <v>51</v>
      </c>
      <c r="J3951" s="81" t="s">
        <v>224</v>
      </c>
      <c r="K3951" s="81" t="str">
        <f>IFERROR(__xludf.DUMMYFUNCTION("IF(OR(D3951="""",G3951=""""),"""",IFERROR(LET(
campo,XLOOKUP(TRIM(G3951),ARRAYFORMULA(TRIM('indice columnas'!$A$2:$A$100)),'indice columnas'!$B$2:$B$100,""""),
col,IFERROR(MATCH(campo,Referencia!$A$1:$AZ$1,0),0),
fila,IFERROR(MATCH(TO_TEXT(D3951),ARRAYFOR"&amp;"MULA(TO_TEXT(Referencia!$A$2:$A6238)),0),0),
IF(OR(campo="""",campo=""-""),""NO APLICA"",
IF(col=0,""REVISAR EQUIVALENCIA"",
IF(fila=0,""SKU NO ENCONTRADO"",
LET(
valor,INDEX(Referencia!$A$2:$AZ6238,fila,col),
IF(TRIM(TO_TEXT(valor))=TRIM(TO_TEXT(I3951)),"&amp;"
""OK"",
""NO COINCIDE. Valor verdadero: ""&amp;IF(valor="""",""[VACÍO]"",TO_TEXT(valor))
)
))))
),""ERROR EN FÓRMULA""))"),"OK")</f>
        <v>OK</v>
      </c>
    </row>
    <row r="3952">
      <c r="A3952" s="83" t="s">
        <v>4896</v>
      </c>
      <c r="B3952" s="83" t="s">
        <v>4897</v>
      </c>
      <c r="C3952" s="81" t="s">
        <v>4086</v>
      </c>
      <c r="D3952" s="83" t="s">
        <v>4564</v>
      </c>
      <c r="E3952" s="81" t="s">
        <v>2659</v>
      </c>
      <c r="F3952" s="81">
        <v>510.0</v>
      </c>
      <c r="G3952" s="81" t="s">
        <v>2</v>
      </c>
      <c r="H3952" s="81" t="s">
        <v>224</v>
      </c>
      <c r="I3952" s="81" t="s">
        <v>50</v>
      </c>
      <c r="J3952" s="81" t="s">
        <v>224</v>
      </c>
      <c r="K3952" s="81" t="str">
        <f>IFERROR(__xludf.DUMMYFUNCTION("IF(OR(D3952="""",G3952=""""),"""",IFERROR(LET(
campo,XLOOKUP(TRIM(G3952),ARRAYFORMULA(TRIM('indice columnas'!$A$2:$A$100)),'indice columnas'!$B$2:$B$100,""""),
col,IFERROR(MATCH(campo,Referencia!$A$1:$AZ$1,0),0),
fila,IFERROR(MATCH(TO_TEXT(D3952),ARRAYFOR"&amp;"MULA(TO_TEXT(Referencia!$A$2:$A6238)),0),0),
IF(OR(campo="""",campo=""-""),""NO APLICA"",
IF(col=0,""REVISAR EQUIVALENCIA"",
IF(fila=0,""SKU NO ENCONTRADO"",
LET(
valor,INDEX(Referencia!$A$2:$AZ6238,fila,col),
IF(TRIM(TO_TEXT(valor))=TRIM(TO_TEXT(I3952)),"&amp;"
""OK"",
""NO COINCIDE. Valor verdadero: ""&amp;IF(valor="""",""[VACÍO]"",TO_TEXT(valor))
)
))))
),""ERROR EN FÓRMULA""))"),"OK")</f>
        <v>OK</v>
      </c>
    </row>
    <row r="3953">
      <c r="A3953" s="83" t="s">
        <v>4896</v>
      </c>
      <c r="B3953" s="83" t="s">
        <v>4897</v>
      </c>
      <c r="C3953" s="81" t="s">
        <v>4086</v>
      </c>
      <c r="D3953" s="83" t="s">
        <v>4564</v>
      </c>
      <c r="E3953" s="81" t="s">
        <v>2659</v>
      </c>
      <c r="F3953" s="81">
        <v>510.0</v>
      </c>
      <c r="G3953" s="81" t="s">
        <v>1</v>
      </c>
      <c r="H3953" s="81" t="s">
        <v>224</v>
      </c>
      <c r="I3953" s="81" t="s">
        <v>49</v>
      </c>
      <c r="J3953" s="81" t="s">
        <v>224</v>
      </c>
      <c r="K3953" s="81" t="str">
        <f>IFERROR(__xludf.DUMMYFUNCTION("IF(OR(D3953="""",G3953=""""),"""",IFERROR(LET(
campo,XLOOKUP(TRIM(G3953),ARRAYFORMULA(TRIM('indice columnas'!$A$2:$A$100)),'indice columnas'!$B$2:$B$100,""""),
col,IFERROR(MATCH(campo,Referencia!$A$1:$AZ$1,0),0),
fila,IFERROR(MATCH(TO_TEXT(D3953),ARRAYFOR"&amp;"MULA(TO_TEXT(Referencia!$A$2:$A6238)),0),0),
IF(OR(campo="""",campo=""-""),""NO APLICA"",
IF(col=0,""REVISAR EQUIVALENCIA"",
IF(fila=0,""SKU NO ENCONTRADO"",
LET(
valor,INDEX(Referencia!$A$2:$AZ6238,fila,col),
IF(TRIM(TO_TEXT(valor))=TRIM(TO_TEXT(I3953)),"&amp;"
""OK"",
""NO COINCIDE. Valor verdadero: ""&amp;IF(valor="""",""[VACÍO]"",TO_TEXT(valor))
)
))))
),""ERROR EN FÓRMULA""))"),"OK")</f>
        <v>OK</v>
      </c>
    </row>
    <row r="3954">
      <c r="A3954" s="83" t="s">
        <v>4896</v>
      </c>
      <c r="B3954" s="83" t="s">
        <v>4897</v>
      </c>
      <c r="C3954" s="81" t="s">
        <v>4086</v>
      </c>
      <c r="D3954" s="83" t="s">
        <v>4565</v>
      </c>
      <c r="E3954" s="81" t="s">
        <v>2661</v>
      </c>
      <c r="F3954" s="81">
        <v>511.0</v>
      </c>
      <c r="G3954" s="81" t="s">
        <v>3</v>
      </c>
      <c r="H3954" s="81" t="s">
        <v>224</v>
      </c>
      <c r="I3954" s="81" t="s">
        <v>51</v>
      </c>
      <c r="J3954" s="81" t="s">
        <v>224</v>
      </c>
      <c r="K3954" s="81" t="str">
        <f>IFERROR(__xludf.DUMMYFUNCTION("IF(OR(D3954="""",G3954=""""),"""",IFERROR(LET(
campo,XLOOKUP(TRIM(G3954),ARRAYFORMULA(TRIM('indice columnas'!$A$2:$A$100)),'indice columnas'!$B$2:$B$100,""""),
col,IFERROR(MATCH(campo,Referencia!$A$1:$AZ$1,0),0),
fila,IFERROR(MATCH(TO_TEXT(D3954),ARRAYFOR"&amp;"MULA(TO_TEXT(Referencia!$A$2:$A6238)),0),0),
IF(OR(campo="""",campo=""-""),""NO APLICA"",
IF(col=0,""REVISAR EQUIVALENCIA"",
IF(fila=0,""SKU NO ENCONTRADO"",
LET(
valor,INDEX(Referencia!$A$2:$AZ6238,fila,col),
IF(TRIM(TO_TEXT(valor))=TRIM(TO_TEXT(I3954)),"&amp;"
""OK"",
""NO COINCIDE. Valor verdadero: ""&amp;IF(valor="""",""[VACÍO]"",TO_TEXT(valor))
)
))))
),""ERROR EN FÓRMULA""))"),"OK")</f>
        <v>OK</v>
      </c>
    </row>
    <row r="3955">
      <c r="A3955" s="83" t="s">
        <v>4896</v>
      </c>
      <c r="B3955" s="83" t="s">
        <v>4897</v>
      </c>
      <c r="C3955" s="81" t="s">
        <v>4086</v>
      </c>
      <c r="D3955" s="83" t="s">
        <v>4565</v>
      </c>
      <c r="E3955" s="81" t="s">
        <v>2661</v>
      </c>
      <c r="F3955" s="81">
        <v>511.0</v>
      </c>
      <c r="G3955" s="81" t="s">
        <v>2</v>
      </c>
      <c r="H3955" s="81" t="s">
        <v>224</v>
      </c>
      <c r="I3955" s="81" t="s">
        <v>50</v>
      </c>
      <c r="J3955" s="81" t="s">
        <v>224</v>
      </c>
      <c r="K3955" s="81" t="str">
        <f>IFERROR(__xludf.DUMMYFUNCTION("IF(OR(D3955="""",G3955=""""),"""",IFERROR(LET(
campo,XLOOKUP(TRIM(G3955),ARRAYFORMULA(TRIM('indice columnas'!$A$2:$A$100)),'indice columnas'!$B$2:$B$100,""""),
col,IFERROR(MATCH(campo,Referencia!$A$1:$AZ$1,0),0),
fila,IFERROR(MATCH(TO_TEXT(D3955),ARRAYFOR"&amp;"MULA(TO_TEXT(Referencia!$A$2:$A6238)),0),0),
IF(OR(campo="""",campo=""-""),""NO APLICA"",
IF(col=0,""REVISAR EQUIVALENCIA"",
IF(fila=0,""SKU NO ENCONTRADO"",
LET(
valor,INDEX(Referencia!$A$2:$AZ6238,fila,col),
IF(TRIM(TO_TEXT(valor))=TRIM(TO_TEXT(I3955)),"&amp;"
""OK"",
""NO COINCIDE. Valor verdadero: ""&amp;IF(valor="""",""[VACÍO]"",TO_TEXT(valor))
)
))))
),""ERROR EN FÓRMULA""))"),"OK")</f>
        <v>OK</v>
      </c>
    </row>
    <row r="3956">
      <c r="A3956" s="83" t="s">
        <v>4896</v>
      </c>
      <c r="B3956" s="83" t="s">
        <v>4897</v>
      </c>
      <c r="C3956" s="81" t="s">
        <v>4086</v>
      </c>
      <c r="D3956" s="83" t="s">
        <v>4565</v>
      </c>
      <c r="E3956" s="81" t="s">
        <v>2661</v>
      </c>
      <c r="F3956" s="81">
        <v>511.0</v>
      </c>
      <c r="G3956" s="81" t="s">
        <v>1</v>
      </c>
      <c r="H3956" s="81" t="s">
        <v>224</v>
      </c>
      <c r="I3956" s="81" t="s">
        <v>49</v>
      </c>
      <c r="J3956" s="81" t="s">
        <v>224</v>
      </c>
      <c r="K3956" s="81" t="str">
        <f>IFERROR(__xludf.DUMMYFUNCTION("IF(OR(D3956="""",G3956=""""),"""",IFERROR(LET(
campo,XLOOKUP(TRIM(G3956),ARRAYFORMULA(TRIM('indice columnas'!$A$2:$A$100)),'indice columnas'!$B$2:$B$100,""""),
col,IFERROR(MATCH(campo,Referencia!$A$1:$AZ$1,0),0),
fila,IFERROR(MATCH(TO_TEXT(D3956),ARRAYFOR"&amp;"MULA(TO_TEXT(Referencia!$A$2:$A6238)),0),0),
IF(OR(campo="""",campo=""-""),""NO APLICA"",
IF(col=0,""REVISAR EQUIVALENCIA"",
IF(fila=0,""SKU NO ENCONTRADO"",
LET(
valor,INDEX(Referencia!$A$2:$AZ6238,fila,col),
IF(TRIM(TO_TEXT(valor))=TRIM(TO_TEXT(I3956)),"&amp;"
""OK"",
""NO COINCIDE. Valor verdadero: ""&amp;IF(valor="""",""[VACÍO]"",TO_TEXT(valor))
)
))))
),""ERROR EN FÓRMULA""))"),"OK")</f>
        <v>OK</v>
      </c>
    </row>
    <row r="3957">
      <c r="A3957" s="83" t="s">
        <v>4896</v>
      </c>
      <c r="B3957" s="83" t="s">
        <v>4897</v>
      </c>
      <c r="C3957" s="81" t="s">
        <v>4086</v>
      </c>
      <c r="D3957" s="83" t="s">
        <v>4566</v>
      </c>
      <c r="E3957" s="81" t="s">
        <v>2667</v>
      </c>
      <c r="F3957" s="81">
        <v>512.0</v>
      </c>
      <c r="G3957" s="81" t="s">
        <v>3</v>
      </c>
      <c r="H3957" s="81" t="s">
        <v>224</v>
      </c>
      <c r="I3957" s="81" t="s">
        <v>51</v>
      </c>
      <c r="J3957" s="81" t="s">
        <v>224</v>
      </c>
      <c r="K3957" s="81" t="str">
        <f>IFERROR(__xludf.DUMMYFUNCTION("IF(OR(D3957="""",G3957=""""),"""",IFERROR(LET(
campo,XLOOKUP(TRIM(G3957),ARRAYFORMULA(TRIM('indice columnas'!$A$2:$A$100)),'indice columnas'!$B$2:$B$100,""""),
col,IFERROR(MATCH(campo,Referencia!$A$1:$AZ$1,0),0),
fila,IFERROR(MATCH(TO_TEXT(D3957),ARRAYFOR"&amp;"MULA(TO_TEXT(Referencia!$A$2:$A6238)),0),0),
IF(OR(campo="""",campo=""-""),""NO APLICA"",
IF(col=0,""REVISAR EQUIVALENCIA"",
IF(fila=0,""SKU NO ENCONTRADO"",
LET(
valor,INDEX(Referencia!$A$2:$AZ6238,fila,col),
IF(TRIM(TO_TEXT(valor))=TRIM(TO_TEXT(I3957)),"&amp;"
""OK"",
""NO COINCIDE. Valor verdadero: ""&amp;IF(valor="""",""[VACÍO]"",TO_TEXT(valor))
)
))))
),""ERROR EN FÓRMULA""))"),"OK")</f>
        <v>OK</v>
      </c>
    </row>
    <row r="3958">
      <c r="A3958" s="83" t="s">
        <v>4896</v>
      </c>
      <c r="B3958" s="83" t="s">
        <v>4897</v>
      </c>
      <c r="C3958" s="81" t="s">
        <v>4086</v>
      </c>
      <c r="D3958" s="83" t="s">
        <v>4566</v>
      </c>
      <c r="E3958" s="81" t="s">
        <v>2667</v>
      </c>
      <c r="F3958" s="81">
        <v>512.0</v>
      </c>
      <c r="G3958" s="81" t="s">
        <v>2</v>
      </c>
      <c r="H3958" s="81" t="s">
        <v>224</v>
      </c>
      <c r="I3958" s="81" t="s">
        <v>50</v>
      </c>
      <c r="J3958" s="81" t="s">
        <v>224</v>
      </c>
      <c r="K3958" s="81" t="str">
        <f>IFERROR(__xludf.DUMMYFUNCTION("IF(OR(D3958="""",G3958=""""),"""",IFERROR(LET(
campo,XLOOKUP(TRIM(G3958),ARRAYFORMULA(TRIM('indice columnas'!$A$2:$A$100)),'indice columnas'!$B$2:$B$100,""""),
col,IFERROR(MATCH(campo,Referencia!$A$1:$AZ$1,0),0),
fila,IFERROR(MATCH(TO_TEXT(D3958),ARRAYFOR"&amp;"MULA(TO_TEXT(Referencia!$A$2:$A6238)),0),0),
IF(OR(campo="""",campo=""-""),""NO APLICA"",
IF(col=0,""REVISAR EQUIVALENCIA"",
IF(fila=0,""SKU NO ENCONTRADO"",
LET(
valor,INDEX(Referencia!$A$2:$AZ6238,fila,col),
IF(TRIM(TO_TEXT(valor))=TRIM(TO_TEXT(I3958)),"&amp;"
""OK"",
""NO COINCIDE. Valor verdadero: ""&amp;IF(valor="""",""[VACÍO]"",TO_TEXT(valor))
)
))))
),""ERROR EN FÓRMULA""))"),"OK")</f>
        <v>OK</v>
      </c>
    </row>
    <row r="3959">
      <c r="A3959" s="83" t="s">
        <v>4896</v>
      </c>
      <c r="B3959" s="83" t="s">
        <v>4897</v>
      </c>
      <c r="C3959" s="81" t="s">
        <v>4086</v>
      </c>
      <c r="D3959" s="83" t="s">
        <v>4566</v>
      </c>
      <c r="E3959" s="81" t="s">
        <v>2667</v>
      </c>
      <c r="F3959" s="81">
        <v>512.0</v>
      </c>
      <c r="G3959" s="81" t="s">
        <v>1</v>
      </c>
      <c r="H3959" s="81" t="s">
        <v>224</v>
      </c>
      <c r="I3959" s="81" t="s">
        <v>49</v>
      </c>
      <c r="J3959" s="81" t="s">
        <v>224</v>
      </c>
      <c r="K3959" s="81" t="str">
        <f>IFERROR(__xludf.DUMMYFUNCTION("IF(OR(D3959="""",G3959=""""),"""",IFERROR(LET(
campo,XLOOKUP(TRIM(G3959),ARRAYFORMULA(TRIM('indice columnas'!$A$2:$A$100)),'indice columnas'!$B$2:$B$100,""""),
col,IFERROR(MATCH(campo,Referencia!$A$1:$AZ$1,0),0),
fila,IFERROR(MATCH(TO_TEXT(D3959),ARRAYFOR"&amp;"MULA(TO_TEXT(Referencia!$A$2:$A6238)),0),0),
IF(OR(campo="""",campo=""-""),""NO APLICA"",
IF(col=0,""REVISAR EQUIVALENCIA"",
IF(fila=0,""SKU NO ENCONTRADO"",
LET(
valor,INDEX(Referencia!$A$2:$AZ6238,fila,col),
IF(TRIM(TO_TEXT(valor))=TRIM(TO_TEXT(I3959)),"&amp;"
""OK"",
""NO COINCIDE. Valor verdadero: ""&amp;IF(valor="""",""[VACÍO]"",TO_TEXT(valor))
)
))))
),""ERROR EN FÓRMULA""))"),"OK")</f>
        <v>OK</v>
      </c>
    </row>
    <row r="3960">
      <c r="A3960" s="83" t="s">
        <v>4896</v>
      </c>
      <c r="B3960" s="83" t="s">
        <v>4897</v>
      </c>
      <c r="C3960" s="81" t="s">
        <v>4086</v>
      </c>
      <c r="D3960" s="83" t="s">
        <v>4568</v>
      </c>
      <c r="E3960" s="81" t="s">
        <v>2672</v>
      </c>
      <c r="F3960" s="81">
        <v>515.0</v>
      </c>
      <c r="G3960" s="81" t="s">
        <v>3</v>
      </c>
      <c r="H3960" s="81" t="s">
        <v>224</v>
      </c>
      <c r="I3960" s="81" t="s">
        <v>920</v>
      </c>
      <c r="J3960" s="81" t="s">
        <v>224</v>
      </c>
      <c r="K3960" s="81" t="str">
        <f>IFERROR(__xludf.DUMMYFUNCTION("IF(OR(D3960="""",G3960=""""),"""",IFERROR(LET(
campo,XLOOKUP(TRIM(G3960),ARRAYFORMULA(TRIM('indice columnas'!$A$2:$A$100)),'indice columnas'!$B$2:$B$100,""""),
col,IFERROR(MATCH(campo,Referencia!$A$1:$AZ$1,0),0),
fila,IFERROR(MATCH(TO_TEXT(D3960),ARRAYFOR"&amp;"MULA(TO_TEXT(Referencia!$A$2:$A6238)),0),0),
IF(OR(campo="""",campo=""-""),""NO APLICA"",
IF(col=0,""REVISAR EQUIVALENCIA"",
IF(fila=0,""SKU NO ENCONTRADO"",
LET(
valor,INDEX(Referencia!$A$2:$AZ6238,fila,col),
IF(TRIM(TO_TEXT(valor))=TRIM(TO_TEXT(I3960)),"&amp;"
""OK"",
""NO COINCIDE. Valor verdadero: ""&amp;IF(valor="""",""[VACÍO]"",TO_TEXT(valor))
)
))))
),""ERROR EN FÓRMULA""))"),"OK")</f>
        <v>OK</v>
      </c>
    </row>
    <row r="3961">
      <c r="A3961" s="83" t="s">
        <v>4896</v>
      </c>
      <c r="B3961" s="83" t="s">
        <v>4897</v>
      </c>
      <c r="C3961" s="81" t="s">
        <v>4086</v>
      </c>
      <c r="D3961" s="83" t="s">
        <v>4568</v>
      </c>
      <c r="E3961" s="81" t="s">
        <v>2672</v>
      </c>
      <c r="F3961" s="81">
        <v>515.0</v>
      </c>
      <c r="G3961" s="81" t="s">
        <v>2</v>
      </c>
      <c r="H3961" s="81" t="s">
        <v>224</v>
      </c>
      <c r="I3961" s="81" t="s">
        <v>919</v>
      </c>
      <c r="J3961" s="81" t="s">
        <v>224</v>
      </c>
      <c r="K3961" s="81" t="str">
        <f>IFERROR(__xludf.DUMMYFUNCTION("IF(OR(D3961="""",G3961=""""),"""",IFERROR(LET(
campo,XLOOKUP(TRIM(G3961),ARRAYFORMULA(TRIM('indice columnas'!$A$2:$A$100)),'indice columnas'!$B$2:$B$100,""""),
col,IFERROR(MATCH(campo,Referencia!$A$1:$AZ$1,0),0),
fila,IFERROR(MATCH(TO_TEXT(D3961),ARRAYFOR"&amp;"MULA(TO_TEXT(Referencia!$A$2:$A6238)),0),0),
IF(OR(campo="""",campo=""-""),""NO APLICA"",
IF(col=0,""REVISAR EQUIVALENCIA"",
IF(fila=0,""SKU NO ENCONTRADO"",
LET(
valor,INDEX(Referencia!$A$2:$AZ6238,fila,col),
IF(TRIM(TO_TEXT(valor))=TRIM(TO_TEXT(I3961)),"&amp;"
""OK"",
""NO COINCIDE. Valor verdadero: ""&amp;IF(valor="""",""[VACÍO]"",TO_TEXT(valor))
)
))))
),""ERROR EN FÓRMULA""))"),"OK")</f>
        <v>OK</v>
      </c>
    </row>
    <row r="3962">
      <c r="A3962" s="83" t="s">
        <v>4896</v>
      </c>
      <c r="B3962" s="83" t="s">
        <v>4897</v>
      </c>
      <c r="C3962" s="81" t="s">
        <v>4086</v>
      </c>
      <c r="D3962" s="83" t="s">
        <v>4568</v>
      </c>
      <c r="E3962" s="81" t="s">
        <v>2672</v>
      </c>
      <c r="F3962" s="81">
        <v>515.0</v>
      </c>
      <c r="G3962" s="81" t="s">
        <v>1</v>
      </c>
      <c r="H3962" s="81" t="s">
        <v>224</v>
      </c>
      <c r="I3962" s="81" t="s">
        <v>49</v>
      </c>
      <c r="J3962" s="81" t="s">
        <v>224</v>
      </c>
      <c r="K3962" s="81" t="str">
        <f>IFERROR(__xludf.DUMMYFUNCTION("IF(OR(D3962="""",G3962=""""),"""",IFERROR(LET(
campo,XLOOKUP(TRIM(G3962),ARRAYFORMULA(TRIM('indice columnas'!$A$2:$A$100)),'indice columnas'!$B$2:$B$100,""""),
col,IFERROR(MATCH(campo,Referencia!$A$1:$AZ$1,0),0),
fila,IFERROR(MATCH(TO_TEXT(D3962),ARRAYFOR"&amp;"MULA(TO_TEXT(Referencia!$A$2:$A6238)),0),0),
IF(OR(campo="""",campo=""-""),""NO APLICA"",
IF(col=0,""REVISAR EQUIVALENCIA"",
IF(fila=0,""SKU NO ENCONTRADO"",
LET(
valor,INDEX(Referencia!$A$2:$AZ6238,fila,col),
IF(TRIM(TO_TEXT(valor))=TRIM(TO_TEXT(I3962)),"&amp;"
""OK"",
""NO COINCIDE. Valor verdadero: ""&amp;IF(valor="""",""[VACÍO]"",TO_TEXT(valor))
)
))))
),""ERROR EN FÓRMULA""))"),"OK")</f>
        <v>OK</v>
      </c>
    </row>
    <row r="3963">
      <c r="A3963" s="83" t="s">
        <v>4896</v>
      </c>
      <c r="B3963" s="83" t="s">
        <v>4897</v>
      </c>
      <c r="C3963" s="81" t="s">
        <v>4086</v>
      </c>
      <c r="D3963" s="83" t="s">
        <v>4572</v>
      </c>
      <c r="E3963" s="81" t="s">
        <v>2687</v>
      </c>
      <c r="F3963" s="81">
        <v>519.0</v>
      </c>
      <c r="G3963" s="81" t="s">
        <v>3</v>
      </c>
      <c r="H3963" s="81" t="s">
        <v>224</v>
      </c>
      <c r="I3963" s="81" t="s">
        <v>1402</v>
      </c>
      <c r="J3963" s="81" t="s">
        <v>224</v>
      </c>
      <c r="K3963" s="81" t="str">
        <f>IFERROR(__xludf.DUMMYFUNCTION("IF(OR(D3963="""",G3963=""""),"""",IFERROR(LET(
campo,XLOOKUP(TRIM(G3963),ARRAYFORMULA(TRIM('indice columnas'!$A$2:$A$100)),'indice columnas'!$B$2:$B$100,""""),
col,IFERROR(MATCH(campo,Referencia!$A$1:$AZ$1,0),0),
fila,IFERROR(MATCH(TO_TEXT(D3963),ARRAYFOR"&amp;"MULA(TO_TEXT(Referencia!$A$2:$A6238)),0),0),
IF(OR(campo="""",campo=""-""),""NO APLICA"",
IF(col=0,""REVISAR EQUIVALENCIA"",
IF(fila=0,""SKU NO ENCONTRADO"",
LET(
valor,INDEX(Referencia!$A$2:$AZ6238,fila,col),
IF(TRIM(TO_TEXT(valor))=TRIM(TO_TEXT(I3963)),"&amp;"
""OK"",
""NO COINCIDE. Valor verdadero: ""&amp;IF(valor="""",""[VACÍO]"",TO_TEXT(valor))
)
))))
),""ERROR EN FÓRMULA""))"),"OK")</f>
        <v>OK</v>
      </c>
    </row>
    <row r="3964">
      <c r="A3964" s="83" t="s">
        <v>4896</v>
      </c>
      <c r="B3964" s="83" t="s">
        <v>4897</v>
      </c>
      <c r="C3964" s="81" t="s">
        <v>4086</v>
      </c>
      <c r="D3964" s="83" t="s">
        <v>4572</v>
      </c>
      <c r="E3964" s="81" t="s">
        <v>2687</v>
      </c>
      <c r="F3964" s="81">
        <v>519.0</v>
      </c>
      <c r="G3964" s="81" t="s">
        <v>2</v>
      </c>
      <c r="H3964" s="81" t="s">
        <v>224</v>
      </c>
      <c r="I3964" s="81" t="s">
        <v>1291</v>
      </c>
      <c r="J3964" s="81" t="s">
        <v>224</v>
      </c>
      <c r="K3964" s="81" t="str">
        <f>IFERROR(__xludf.DUMMYFUNCTION("IF(OR(D3964="""",G3964=""""),"""",IFERROR(LET(
campo,XLOOKUP(TRIM(G3964),ARRAYFORMULA(TRIM('indice columnas'!$A$2:$A$100)),'indice columnas'!$B$2:$B$100,""""),
col,IFERROR(MATCH(campo,Referencia!$A$1:$AZ$1,0),0),
fila,IFERROR(MATCH(TO_TEXT(D3964),ARRAYFOR"&amp;"MULA(TO_TEXT(Referencia!$A$2:$A6238)),0),0),
IF(OR(campo="""",campo=""-""),""NO APLICA"",
IF(col=0,""REVISAR EQUIVALENCIA"",
IF(fila=0,""SKU NO ENCONTRADO"",
LET(
valor,INDEX(Referencia!$A$2:$AZ6238,fila,col),
IF(TRIM(TO_TEXT(valor))=TRIM(TO_TEXT(I3964)),"&amp;"
""OK"",
""NO COINCIDE. Valor verdadero: ""&amp;IF(valor="""",""[VACÍO]"",TO_TEXT(valor))
)
))))
),""ERROR EN FÓRMULA""))"),"OK")</f>
        <v>OK</v>
      </c>
    </row>
    <row r="3965">
      <c r="A3965" s="83" t="s">
        <v>4896</v>
      </c>
      <c r="B3965" s="83" t="s">
        <v>4897</v>
      </c>
      <c r="C3965" s="81" t="s">
        <v>4086</v>
      </c>
      <c r="D3965" s="83" t="s">
        <v>4574</v>
      </c>
      <c r="E3965" s="81" t="s">
        <v>2700</v>
      </c>
      <c r="F3965" s="81">
        <v>522.0</v>
      </c>
      <c r="G3965" s="81" t="s">
        <v>3</v>
      </c>
      <c r="H3965" s="81" t="s">
        <v>224</v>
      </c>
      <c r="I3965" s="81" t="s">
        <v>1402</v>
      </c>
      <c r="J3965" s="81" t="s">
        <v>224</v>
      </c>
      <c r="K3965" s="81" t="str">
        <f>IFERROR(__xludf.DUMMYFUNCTION("IF(OR(D3965="""",G3965=""""),"""",IFERROR(LET(
campo,XLOOKUP(TRIM(G3965),ARRAYFORMULA(TRIM('indice columnas'!$A$2:$A$100)),'indice columnas'!$B$2:$B$100,""""),
col,IFERROR(MATCH(campo,Referencia!$A$1:$AZ$1,0),0),
fila,IFERROR(MATCH(TO_TEXT(D3965),ARRAYFOR"&amp;"MULA(TO_TEXT(Referencia!$A$2:$A6238)),0),0),
IF(OR(campo="""",campo=""-""),""NO APLICA"",
IF(col=0,""REVISAR EQUIVALENCIA"",
IF(fila=0,""SKU NO ENCONTRADO"",
LET(
valor,INDEX(Referencia!$A$2:$AZ6238,fila,col),
IF(TRIM(TO_TEXT(valor))=TRIM(TO_TEXT(I3965)),"&amp;"
""OK"",
""NO COINCIDE. Valor verdadero: ""&amp;IF(valor="""",""[VACÍO]"",TO_TEXT(valor))
)
))))
),""ERROR EN FÓRMULA""))"),"OK")</f>
        <v>OK</v>
      </c>
    </row>
    <row r="3966">
      <c r="A3966" s="83" t="s">
        <v>4896</v>
      </c>
      <c r="B3966" s="83" t="s">
        <v>4897</v>
      </c>
      <c r="C3966" s="81" t="s">
        <v>4086</v>
      </c>
      <c r="D3966" s="83" t="s">
        <v>4574</v>
      </c>
      <c r="E3966" s="81" t="s">
        <v>2700</v>
      </c>
      <c r="F3966" s="81">
        <v>522.0</v>
      </c>
      <c r="G3966" s="81" t="s">
        <v>2</v>
      </c>
      <c r="H3966" s="81" t="s">
        <v>224</v>
      </c>
      <c r="I3966" s="81" t="s">
        <v>1291</v>
      </c>
      <c r="J3966" s="81" t="s">
        <v>224</v>
      </c>
      <c r="K3966" s="81" t="str">
        <f>IFERROR(__xludf.DUMMYFUNCTION("IF(OR(D3966="""",G3966=""""),"""",IFERROR(LET(
campo,XLOOKUP(TRIM(G3966),ARRAYFORMULA(TRIM('indice columnas'!$A$2:$A$100)),'indice columnas'!$B$2:$B$100,""""),
col,IFERROR(MATCH(campo,Referencia!$A$1:$AZ$1,0),0),
fila,IFERROR(MATCH(TO_TEXT(D3966),ARRAYFOR"&amp;"MULA(TO_TEXT(Referencia!$A$2:$A6238)),0),0),
IF(OR(campo="""",campo=""-""),""NO APLICA"",
IF(col=0,""REVISAR EQUIVALENCIA"",
IF(fila=0,""SKU NO ENCONTRADO"",
LET(
valor,INDEX(Referencia!$A$2:$AZ6238,fila,col),
IF(TRIM(TO_TEXT(valor))=TRIM(TO_TEXT(I3966)),"&amp;"
""OK"",
""NO COINCIDE. Valor verdadero: ""&amp;IF(valor="""",""[VACÍO]"",TO_TEXT(valor))
)
))))
),""ERROR EN FÓRMULA""))"),"OK")</f>
        <v>OK</v>
      </c>
    </row>
    <row r="3967">
      <c r="A3967" s="83" t="s">
        <v>4896</v>
      </c>
      <c r="B3967" s="83" t="s">
        <v>4897</v>
      </c>
      <c r="C3967" s="81" t="s">
        <v>4086</v>
      </c>
      <c r="D3967" s="83" t="s">
        <v>4576</v>
      </c>
      <c r="E3967" s="81" t="s">
        <v>2713</v>
      </c>
      <c r="F3967" s="81">
        <v>525.0</v>
      </c>
      <c r="G3967" s="81" t="s">
        <v>3</v>
      </c>
      <c r="H3967" s="81" t="s">
        <v>224</v>
      </c>
      <c r="I3967" s="81" t="s">
        <v>1402</v>
      </c>
      <c r="J3967" s="81" t="s">
        <v>224</v>
      </c>
      <c r="K3967" s="81" t="str">
        <f>IFERROR(__xludf.DUMMYFUNCTION("IF(OR(D3967="""",G3967=""""),"""",IFERROR(LET(
campo,XLOOKUP(TRIM(G3967),ARRAYFORMULA(TRIM('indice columnas'!$A$2:$A$100)),'indice columnas'!$B$2:$B$100,""""),
col,IFERROR(MATCH(campo,Referencia!$A$1:$AZ$1,0),0),
fila,IFERROR(MATCH(TO_TEXT(D3967),ARRAYFOR"&amp;"MULA(TO_TEXT(Referencia!$A$2:$A6238)),0),0),
IF(OR(campo="""",campo=""-""),""NO APLICA"",
IF(col=0,""REVISAR EQUIVALENCIA"",
IF(fila=0,""SKU NO ENCONTRADO"",
LET(
valor,INDEX(Referencia!$A$2:$AZ6238,fila,col),
IF(TRIM(TO_TEXT(valor))=TRIM(TO_TEXT(I3967)),"&amp;"
""OK"",
""NO COINCIDE. Valor verdadero: ""&amp;IF(valor="""",""[VACÍO]"",TO_TEXT(valor))
)
))))
),""ERROR EN FÓRMULA""))"),"OK")</f>
        <v>OK</v>
      </c>
    </row>
    <row r="3968">
      <c r="A3968" s="83" t="s">
        <v>4896</v>
      </c>
      <c r="B3968" s="83" t="s">
        <v>4897</v>
      </c>
      <c r="C3968" s="81" t="s">
        <v>4086</v>
      </c>
      <c r="D3968" s="83" t="s">
        <v>4576</v>
      </c>
      <c r="E3968" s="81" t="s">
        <v>2713</v>
      </c>
      <c r="F3968" s="81">
        <v>525.0</v>
      </c>
      <c r="G3968" s="81" t="s">
        <v>2</v>
      </c>
      <c r="H3968" s="81" t="s">
        <v>224</v>
      </c>
      <c r="I3968" s="81" t="s">
        <v>1291</v>
      </c>
      <c r="J3968" s="81" t="s">
        <v>224</v>
      </c>
      <c r="K3968" s="81" t="str">
        <f>IFERROR(__xludf.DUMMYFUNCTION("IF(OR(D3968="""",G3968=""""),"""",IFERROR(LET(
campo,XLOOKUP(TRIM(G3968),ARRAYFORMULA(TRIM('indice columnas'!$A$2:$A$100)),'indice columnas'!$B$2:$B$100,""""),
col,IFERROR(MATCH(campo,Referencia!$A$1:$AZ$1,0),0),
fila,IFERROR(MATCH(TO_TEXT(D3968),ARRAYFOR"&amp;"MULA(TO_TEXT(Referencia!$A$2:$A6238)),0),0),
IF(OR(campo="""",campo=""-""),""NO APLICA"",
IF(col=0,""REVISAR EQUIVALENCIA"",
IF(fila=0,""SKU NO ENCONTRADO"",
LET(
valor,INDEX(Referencia!$A$2:$AZ6238,fila,col),
IF(TRIM(TO_TEXT(valor))=TRIM(TO_TEXT(I3968)),"&amp;"
""OK"",
""NO COINCIDE. Valor verdadero: ""&amp;IF(valor="""",""[VACÍO]"",TO_TEXT(valor))
)
))))
),""ERROR EN FÓRMULA""))"),"OK")</f>
        <v>OK</v>
      </c>
    </row>
    <row r="3969">
      <c r="A3969" s="83" t="s">
        <v>4896</v>
      </c>
      <c r="B3969" s="83" t="s">
        <v>4897</v>
      </c>
      <c r="C3969" s="81" t="s">
        <v>4086</v>
      </c>
      <c r="D3969" s="83" t="s">
        <v>4581</v>
      </c>
      <c r="E3969" s="81" t="s">
        <v>2737</v>
      </c>
      <c r="F3969" s="81">
        <v>530.0</v>
      </c>
      <c r="G3969" s="81" t="s">
        <v>3</v>
      </c>
      <c r="H3969" s="81" t="s">
        <v>224</v>
      </c>
      <c r="I3969" s="81" t="s">
        <v>926</v>
      </c>
      <c r="J3969" s="81" t="s">
        <v>224</v>
      </c>
      <c r="K3969" s="81" t="str">
        <f>IFERROR(__xludf.DUMMYFUNCTION("IF(OR(D3969="""",G3969=""""),"""",IFERROR(LET(
campo,XLOOKUP(TRIM(G3969),ARRAYFORMULA(TRIM('indice columnas'!$A$2:$A$100)),'indice columnas'!$B$2:$B$100,""""),
col,IFERROR(MATCH(campo,Referencia!$A$1:$AZ$1,0),0),
fila,IFERROR(MATCH(TO_TEXT(D3969),ARRAYFOR"&amp;"MULA(TO_TEXT(Referencia!$A$2:$A6238)),0),0),
IF(OR(campo="""",campo=""-""),""NO APLICA"",
IF(col=0,""REVISAR EQUIVALENCIA"",
IF(fila=0,""SKU NO ENCONTRADO"",
LET(
valor,INDEX(Referencia!$A$2:$AZ6238,fila,col),
IF(TRIM(TO_TEXT(valor))=TRIM(TO_TEXT(I3969)),"&amp;"
""OK"",
""NO COINCIDE. Valor verdadero: ""&amp;IF(valor="""",""[VACÍO]"",TO_TEXT(valor))
)
))))
),""ERROR EN FÓRMULA""))"),"OK")</f>
        <v>OK</v>
      </c>
    </row>
    <row r="3970">
      <c r="A3970" s="83" t="s">
        <v>4896</v>
      </c>
      <c r="B3970" s="83" t="s">
        <v>4897</v>
      </c>
      <c r="C3970" s="81" t="s">
        <v>4086</v>
      </c>
      <c r="D3970" s="83" t="s">
        <v>4581</v>
      </c>
      <c r="E3970" s="81" t="s">
        <v>2737</v>
      </c>
      <c r="F3970" s="81">
        <v>530.0</v>
      </c>
      <c r="G3970" s="81" t="s">
        <v>2</v>
      </c>
      <c r="H3970" s="81" t="s">
        <v>224</v>
      </c>
      <c r="I3970" s="81" t="s">
        <v>1291</v>
      </c>
      <c r="J3970" s="81" t="s">
        <v>224</v>
      </c>
      <c r="K3970" s="81" t="str">
        <f>IFERROR(__xludf.DUMMYFUNCTION("IF(OR(D3970="""",G3970=""""),"""",IFERROR(LET(
campo,XLOOKUP(TRIM(G3970),ARRAYFORMULA(TRIM('indice columnas'!$A$2:$A$100)),'indice columnas'!$B$2:$B$100,""""),
col,IFERROR(MATCH(campo,Referencia!$A$1:$AZ$1,0),0),
fila,IFERROR(MATCH(TO_TEXT(D3970),ARRAYFOR"&amp;"MULA(TO_TEXT(Referencia!$A$2:$A6238)),0),0),
IF(OR(campo="""",campo=""-""),""NO APLICA"",
IF(col=0,""REVISAR EQUIVALENCIA"",
IF(fila=0,""SKU NO ENCONTRADO"",
LET(
valor,INDEX(Referencia!$A$2:$AZ6238,fila,col),
IF(TRIM(TO_TEXT(valor))=TRIM(TO_TEXT(I3970)),"&amp;"
""OK"",
""NO COINCIDE. Valor verdadero: ""&amp;IF(valor="""",""[VACÍO]"",TO_TEXT(valor))
)
))))
),""ERROR EN FÓRMULA""))"),"OK")</f>
        <v>OK</v>
      </c>
    </row>
    <row r="3971">
      <c r="A3971" s="83" t="s">
        <v>4896</v>
      </c>
      <c r="B3971" s="83" t="s">
        <v>4897</v>
      </c>
      <c r="C3971" s="81" t="s">
        <v>4086</v>
      </c>
      <c r="D3971" s="83" t="s">
        <v>4584</v>
      </c>
      <c r="E3971" s="81" t="s">
        <v>2749</v>
      </c>
      <c r="F3971" s="81">
        <v>533.0</v>
      </c>
      <c r="G3971" s="81" t="s">
        <v>3</v>
      </c>
      <c r="H3971" s="81" t="s">
        <v>224</v>
      </c>
      <c r="I3971" s="81" t="s">
        <v>926</v>
      </c>
      <c r="J3971" s="81" t="s">
        <v>224</v>
      </c>
      <c r="K3971" s="81" t="str">
        <f>IFERROR(__xludf.DUMMYFUNCTION("IF(OR(D3971="""",G3971=""""),"""",IFERROR(LET(
campo,XLOOKUP(TRIM(G3971),ARRAYFORMULA(TRIM('indice columnas'!$A$2:$A$100)),'indice columnas'!$B$2:$B$100,""""),
col,IFERROR(MATCH(campo,Referencia!$A$1:$AZ$1,0),0),
fila,IFERROR(MATCH(TO_TEXT(D3971),ARRAYFOR"&amp;"MULA(TO_TEXT(Referencia!$A$2:$A6238)),0),0),
IF(OR(campo="""",campo=""-""),""NO APLICA"",
IF(col=0,""REVISAR EQUIVALENCIA"",
IF(fila=0,""SKU NO ENCONTRADO"",
LET(
valor,INDEX(Referencia!$A$2:$AZ6238,fila,col),
IF(TRIM(TO_TEXT(valor))=TRIM(TO_TEXT(I3971)),"&amp;"
""OK"",
""NO COINCIDE. Valor verdadero: ""&amp;IF(valor="""",""[VACÍO]"",TO_TEXT(valor))
)
))))
),""ERROR EN FÓRMULA""))"),"OK")</f>
        <v>OK</v>
      </c>
    </row>
    <row r="3972">
      <c r="A3972" s="83" t="s">
        <v>4896</v>
      </c>
      <c r="B3972" s="83" t="s">
        <v>4897</v>
      </c>
      <c r="C3972" s="81" t="s">
        <v>4086</v>
      </c>
      <c r="D3972" s="83" t="s">
        <v>4584</v>
      </c>
      <c r="E3972" s="81" t="s">
        <v>2749</v>
      </c>
      <c r="F3972" s="81">
        <v>533.0</v>
      </c>
      <c r="G3972" s="81" t="s">
        <v>2</v>
      </c>
      <c r="H3972" s="81" t="s">
        <v>224</v>
      </c>
      <c r="I3972" s="81" t="s">
        <v>1291</v>
      </c>
      <c r="J3972" s="81" t="s">
        <v>224</v>
      </c>
      <c r="K3972" s="81" t="str">
        <f>IFERROR(__xludf.DUMMYFUNCTION("IF(OR(D3972="""",G3972=""""),"""",IFERROR(LET(
campo,XLOOKUP(TRIM(G3972),ARRAYFORMULA(TRIM('indice columnas'!$A$2:$A$100)),'indice columnas'!$B$2:$B$100,""""),
col,IFERROR(MATCH(campo,Referencia!$A$1:$AZ$1,0),0),
fila,IFERROR(MATCH(TO_TEXT(D3972),ARRAYFOR"&amp;"MULA(TO_TEXT(Referencia!$A$2:$A6238)),0),0),
IF(OR(campo="""",campo=""-""),""NO APLICA"",
IF(col=0,""REVISAR EQUIVALENCIA"",
IF(fila=0,""SKU NO ENCONTRADO"",
LET(
valor,INDEX(Referencia!$A$2:$AZ6238,fila,col),
IF(TRIM(TO_TEXT(valor))=TRIM(TO_TEXT(I3972)),"&amp;"
""OK"",
""NO COINCIDE. Valor verdadero: ""&amp;IF(valor="""",""[VACÍO]"",TO_TEXT(valor))
)
))))
),""ERROR EN FÓRMULA""))"),"OK")</f>
        <v>OK</v>
      </c>
    </row>
    <row r="3973">
      <c r="A3973" s="83" t="s">
        <v>4896</v>
      </c>
      <c r="B3973" s="83" t="s">
        <v>4897</v>
      </c>
      <c r="C3973" s="81" t="s">
        <v>4086</v>
      </c>
      <c r="D3973" s="83" t="s">
        <v>4586</v>
      </c>
      <c r="E3973" s="81" t="s">
        <v>2763</v>
      </c>
      <c r="F3973" s="81">
        <v>536.0</v>
      </c>
      <c r="G3973" s="81" t="s">
        <v>3</v>
      </c>
      <c r="H3973" s="81" t="s">
        <v>224</v>
      </c>
      <c r="I3973" s="81" t="s">
        <v>926</v>
      </c>
      <c r="J3973" s="81" t="s">
        <v>224</v>
      </c>
      <c r="K3973" s="81" t="str">
        <f>IFERROR(__xludf.DUMMYFUNCTION("IF(OR(D3973="""",G3973=""""),"""",IFERROR(LET(
campo,XLOOKUP(TRIM(G3973),ARRAYFORMULA(TRIM('indice columnas'!$A$2:$A$100)),'indice columnas'!$B$2:$B$100,""""),
col,IFERROR(MATCH(campo,Referencia!$A$1:$AZ$1,0),0),
fila,IFERROR(MATCH(TO_TEXT(D3973),ARRAYFOR"&amp;"MULA(TO_TEXT(Referencia!$A$2:$A6238)),0),0),
IF(OR(campo="""",campo=""-""),""NO APLICA"",
IF(col=0,""REVISAR EQUIVALENCIA"",
IF(fila=0,""SKU NO ENCONTRADO"",
LET(
valor,INDEX(Referencia!$A$2:$AZ6238,fila,col),
IF(TRIM(TO_TEXT(valor))=TRIM(TO_TEXT(I3973)),"&amp;"
""OK"",
""NO COINCIDE. Valor verdadero: ""&amp;IF(valor="""",""[VACÍO]"",TO_TEXT(valor))
)
))))
),""ERROR EN FÓRMULA""))"),"OK")</f>
        <v>OK</v>
      </c>
    </row>
    <row r="3974">
      <c r="A3974" s="83" t="s">
        <v>4896</v>
      </c>
      <c r="B3974" s="83" t="s">
        <v>4897</v>
      </c>
      <c r="C3974" s="81" t="s">
        <v>4086</v>
      </c>
      <c r="D3974" s="83" t="s">
        <v>4586</v>
      </c>
      <c r="E3974" s="81" t="s">
        <v>2763</v>
      </c>
      <c r="F3974" s="81">
        <v>536.0</v>
      </c>
      <c r="G3974" s="81" t="s">
        <v>2</v>
      </c>
      <c r="H3974" s="81" t="s">
        <v>224</v>
      </c>
      <c r="I3974" s="81" t="s">
        <v>1291</v>
      </c>
      <c r="J3974" s="81" t="s">
        <v>224</v>
      </c>
      <c r="K3974" s="81" t="str">
        <f>IFERROR(__xludf.DUMMYFUNCTION("IF(OR(D3974="""",G3974=""""),"""",IFERROR(LET(
campo,XLOOKUP(TRIM(G3974),ARRAYFORMULA(TRIM('indice columnas'!$A$2:$A$100)),'indice columnas'!$B$2:$B$100,""""),
col,IFERROR(MATCH(campo,Referencia!$A$1:$AZ$1,0),0),
fila,IFERROR(MATCH(TO_TEXT(D3974),ARRAYFOR"&amp;"MULA(TO_TEXT(Referencia!$A$2:$A6238)),0),0),
IF(OR(campo="""",campo=""-""),""NO APLICA"",
IF(col=0,""REVISAR EQUIVALENCIA"",
IF(fila=0,""SKU NO ENCONTRADO"",
LET(
valor,INDEX(Referencia!$A$2:$AZ6238,fila,col),
IF(TRIM(TO_TEXT(valor))=TRIM(TO_TEXT(I3974)),"&amp;"
""OK"",
""NO COINCIDE. Valor verdadero: ""&amp;IF(valor="""",""[VACÍO]"",TO_TEXT(valor))
)
))))
),""ERROR EN FÓRMULA""))"),"OK")</f>
        <v>OK</v>
      </c>
    </row>
    <row r="3975">
      <c r="A3975" s="83" t="s">
        <v>4896</v>
      </c>
      <c r="B3975" s="83" t="s">
        <v>4897</v>
      </c>
      <c r="C3975" s="81" t="s">
        <v>4086</v>
      </c>
      <c r="D3975" s="83" t="s">
        <v>4588</v>
      </c>
      <c r="E3975" s="81" t="s">
        <v>2779</v>
      </c>
      <c r="F3975" s="81">
        <v>539.0</v>
      </c>
      <c r="G3975" s="81" t="s">
        <v>3</v>
      </c>
      <c r="H3975" s="81" t="s">
        <v>224</v>
      </c>
      <c r="I3975" s="81" t="s">
        <v>51</v>
      </c>
      <c r="J3975" s="81" t="s">
        <v>224</v>
      </c>
      <c r="K3975" s="81" t="str">
        <f>IFERROR(__xludf.DUMMYFUNCTION("IF(OR(D3975="""",G3975=""""),"""",IFERROR(LET(
campo,XLOOKUP(TRIM(G3975),ARRAYFORMULA(TRIM('indice columnas'!$A$2:$A$100)),'indice columnas'!$B$2:$B$100,""""),
col,IFERROR(MATCH(campo,Referencia!$A$1:$AZ$1,0),0),
fila,IFERROR(MATCH(TO_TEXT(D3975),ARRAYFOR"&amp;"MULA(TO_TEXT(Referencia!$A$2:$A6238)),0),0),
IF(OR(campo="""",campo=""-""),""NO APLICA"",
IF(col=0,""REVISAR EQUIVALENCIA"",
IF(fila=0,""SKU NO ENCONTRADO"",
LET(
valor,INDEX(Referencia!$A$2:$AZ6238,fila,col),
IF(TRIM(TO_TEXT(valor))=TRIM(TO_TEXT(I3975)),"&amp;"
""OK"",
""NO COINCIDE. Valor verdadero: ""&amp;IF(valor="""",""[VACÍO]"",TO_TEXT(valor))
)
))))
),""ERROR EN FÓRMULA""))"),"OK")</f>
        <v>OK</v>
      </c>
    </row>
    <row r="3976">
      <c r="A3976" s="83" t="s">
        <v>4896</v>
      </c>
      <c r="B3976" s="83" t="s">
        <v>4897</v>
      </c>
      <c r="C3976" s="81" t="s">
        <v>4086</v>
      </c>
      <c r="D3976" s="83" t="s">
        <v>4588</v>
      </c>
      <c r="E3976" s="81" t="s">
        <v>2779</v>
      </c>
      <c r="F3976" s="81">
        <v>539.0</v>
      </c>
      <c r="G3976" s="81" t="s">
        <v>2</v>
      </c>
      <c r="H3976" s="81" t="s">
        <v>224</v>
      </c>
      <c r="I3976" s="81" t="s">
        <v>213</v>
      </c>
      <c r="J3976" s="81" t="s">
        <v>224</v>
      </c>
      <c r="K3976" s="81" t="str">
        <f>IFERROR(__xludf.DUMMYFUNCTION("IF(OR(D3976="""",G3976=""""),"""",IFERROR(LET(
campo,XLOOKUP(TRIM(G3976),ARRAYFORMULA(TRIM('indice columnas'!$A$2:$A$100)),'indice columnas'!$B$2:$B$100,""""),
col,IFERROR(MATCH(campo,Referencia!$A$1:$AZ$1,0),0),
fila,IFERROR(MATCH(TO_TEXT(D3976),ARRAYFOR"&amp;"MULA(TO_TEXT(Referencia!$A$2:$A6238)),0),0),
IF(OR(campo="""",campo=""-""),""NO APLICA"",
IF(col=0,""REVISAR EQUIVALENCIA"",
IF(fila=0,""SKU NO ENCONTRADO"",
LET(
valor,INDEX(Referencia!$A$2:$AZ6238,fila,col),
IF(TRIM(TO_TEXT(valor))=TRIM(TO_TEXT(I3976)),"&amp;"
""OK"",
""NO COINCIDE. Valor verdadero: ""&amp;IF(valor="""",""[VACÍO]"",TO_TEXT(valor))
)
))))
),""ERROR EN FÓRMULA""))"),"OK")</f>
        <v>OK</v>
      </c>
    </row>
    <row r="3977">
      <c r="A3977" s="83" t="s">
        <v>4896</v>
      </c>
      <c r="B3977" s="83" t="s">
        <v>4897</v>
      </c>
      <c r="C3977" s="81" t="s">
        <v>4086</v>
      </c>
      <c r="D3977" s="83" t="s">
        <v>4588</v>
      </c>
      <c r="E3977" s="81" t="s">
        <v>2779</v>
      </c>
      <c r="F3977" s="81">
        <v>539.0</v>
      </c>
      <c r="G3977" s="81" t="s">
        <v>1</v>
      </c>
      <c r="H3977" s="81" t="s">
        <v>224</v>
      </c>
      <c r="I3977" s="81" t="s">
        <v>49</v>
      </c>
      <c r="J3977" s="81" t="s">
        <v>224</v>
      </c>
      <c r="K3977" s="81" t="str">
        <f>IFERROR(__xludf.DUMMYFUNCTION("IF(OR(D3977="""",G3977=""""),"""",IFERROR(LET(
campo,XLOOKUP(TRIM(G3977),ARRAYFORMULA(TRIM('indice columnas'!$A$2:$A$100)),'indice columnas'!$B$2:$B$100,""""),
col,IFERROR(MATCH(campo,Referencia!$A$1:$AZ$1,0),0),
fila,IFERROR(MATCH(TO_TEXT(D3977),ARRAYFOR"&amp;"MULA(TO_TEXT(Referencia!$A$2:$A6238)),0),0),
IF(OR(campo="""",campo=""-""),""NO APLICA"",
IF(col=0,""REVISAR EQUIVALENCIA"",
IF(fila=0,""SKU NO ENCONTRADO"",
LET(
valor,INDEX(Referencia!$A$2:$AZ6238,fila,col),
IF(TRIM(TO_TEXT(valor))=TRIM(TO_TEXT(I3977)),"&amp;"
""OK"",
""NO COINCIDE. Valor verdadero: ""&amp;IF(valor="""",""[VACÍO]"",TO_TEXT(valor))
)
))))
),""ERROR EN FÓRMULA""))"),"OK")</f>
        <v>OK</v>
      </c>
    </row>
    <row r="3978">
      <c r="A3978" s="83" t="s">
        <v>4896</v>
      </c>
      <c r="B3978" s="83" t="s">
        <v>4897</v>
      </c>
      <c r="C3978" s="81" t="s">
        <v>4086</v>
      </c>
      <c r="D3978" s="83" t="s">
        <v>4589</v>
      </c>
      <c r="E3978" s="81" t="s">
        <v>2782</v>
      </c>
      <c r="F3978" s="81">
        <v>540.0</v>
      </c>
      <c r="G3978" s="81" t="s">
        <v>3</v>
      </c>
      <c r="H3978" s="81" t="s">
        <v>224</v>
      </c>
      <c r="I3978" s="81" t="s">
        <v>51</v>
      </c>
      <c r="J3978" s="81" t="s">
        <v>224</v>
      </c>
      <c r="K3978" s="81" t="str">
        <f>IFERROR(__xludf.DUMMYFUNCTION("IF(OR(D3978="""",G3978=""""),"""",IFERROR(LET(
campo,XLOOKUP(TRIM(G3978),ARRAYFORMULA(TRIM('indice columnas'!$A$2:$A$100)),'indice columnas'!$B$2:$B$100,""""),
col,IFERROR(MATCH(campo,Referencia!$A$1:$AZ$1,0),0),
fila,IFERROR(MATCH(TO_TEXT(D3978),ARRAYFOR"&amp;"MULA(TO_TEXT(Referencia!$A$2:$A6238)),0),0),
IF(OR(campo="""",campo=""-""),""NO APLICA"",
IF(col=0,""REVISAR EQUIVALENCIA"",
IF(fila=0,""SKU NO ENCONTRADO"",
LET(
valor,INDEX(Referencia!$A$2:$AZ6238,fila,col),
IF(TRIM(TO_TEXT(valor))=TRIM(TO_TEXT(I3978)),"&amp;"
""OK"",
""NO COINCIDE. Valor verdadero: ""&amp;IF(valor="""",""[VACÍO]"",TO_TEXT(valor))
)
))))
),""ERROR EN FÓRMULA""))"),"OK")</f>
        <v>OK</v>
      </c>
    </row>
    <row r="3979">
      <c r="A3979" s="83" t="s">
        <v>4896</v>
      </c>
      <c r="B3979" s="83" t="s">
        <v>4897</v>
      </c>
      <c r="C3979" s="81" t="s">
        <v>4086</v>
      </c>
      <c r="D3979" s="83" t="s">
        <v>4589</v>
      </c>
      <c r="E3979" s="81" t="s">
        <v>2782</v>
      </c>
      <c r="F3979" s="81">
        <v>540.0</v>
      </c>
      <c r="G3979" s="81" t="s">
        <v>2</v>
      </c>
      <c r="H3979" s="81" t="s">
        <v>224</v>
      </c>
      <c r="I3979" s="81" t="s">
        <v>213</v>
      </c>
      <c r="J3979" s="81" t="s">
        <v>224</v>
      </c>
      <c r="K3979" s="81" t="str">
        <f>IFERROR(__xludf.DUMMYFUNCTION("IF(OR(D3979="""",G3979=""""),"""",IFERROR(LET(
campo,XLOOKUP(TRIM(G3979),ARRAYFORMULA(TRIM('indice columnas'!$A$2:$A$100)),'indice columnas'!$B$2:$B$100,""""),
col,IFERROR(MATCH(campo,Referencia!$A$1:$AZ$1,0),0),
fila,IFERROR(MATCH(TO_TEXT(D3979),ARRAYFOR"&amp;"MULA(TO_TEXT(Referencia!$A$2:$A6238)),0),0),
IF(OR(campo="""",campo=""-""),""NO APLICA"",
IF(col=0,""REVISAR EQUIVALENCIA"",
IF(fila=0,""SKU NO ENCONTRADO"",
LET(
valor,INDEX(Referencia!$A$2:$AZ6238,fila,col),
IF(TRIM(TO_TEXT(valor))=TRIM(TO_TEXT(I3979)),"&amp;"
""OK"",
""NO COINCIDE. Valor verdadero: ""&amp;IF(valor="""",""[VACÍO]"",TO_TEXT(valor))
)
))))
),""ERROR EN FÓRMULA""))"),"OK")</f>
        <v>OK</v>
      </c>
    </row>
    <row r="3980">
      <c r="A3980" s="83" t="s">
        <v>4896</v>
      </c>
      <c r="B3980" s="83" t="s">
        <v>4897</v>
      </c>
      <c r="C3980" s="81" t="s">
        <v>4086</v>
      </c>
      <c r="D3980" s="83" t="s">
        <v>4589</v>
      </c>
      <c r="E3980" s="81" t="s">
        <v>2782</v>
      </c>
      <c r="F3980" s="81">
        <v>540.0</v>
      </c>
      <c r="G3980" s="81" t="s">
        <v>1</v>
      </c>
      <c r="H3980" s="81" t="s">
        <v>224</v>
      </c>
      <c r="I3980" s="81" t="s">
        <v>49</v>
      </c>
      <c r="J3980" s="81" t="s">
        <v>224</v>
      </c>
      <c r="K3980" s="81" t="str">
        <f>IFERROR(__xludf.DUMMYFUNCTION("IF(OR(D3980="""",G3980=""""),"""",IFERROR(LET(
campo,XLOOKUP(TRIM(G3980),ARRAYFORMULA(TRIM('indice columnas'!$A$2:$A$100)),'indice columnas'!$B$2:$B$100,""""),
col,IFERROR(MATCH(campo,Referencia!$A$1:$AZ$1,0),0),
fila,IFERROR(MATCH(TO_TEXT(D3980),ARRAYFOR"&amp;"MULA(TO_TEXT(Referencia!$A$2:$A6238)),0),0),
IF(OR(campo="""",campo=""-""),""NO APLICA"",
IF(col=0,""REVISAR EQUIVALENCIA"",
IF(fila=0,""SKU NO ENCONTRADO"",
LET(
valor,INDEX(Referencia!$A$2:$AZ6238,fila,col),
IF(TRIM(TO_TEXT(valor))=TRIM(TO_TEXT(I3980)),"&amp;"
""OK"",
""NO COINCIDE. Valor verdadero: ""&amp;IF(valor="""",""[VACÍO]"",TO_TEXT(valor))
)
))))
),""ERROR EN FÓRMULA""))"),"OK")</f>
        <v>OK</v>
      </c>
    </row>
    <row r="3981">
      <c r="A3981" s="83" t="s">
        <v>4896</v>
      </c>
      <c r="B3981" s="83" t="s">
        <v>4897</v>
      </c>
      <c r="C3981" s="81" t="s">
        <v>4086</v>
      </c>
      <c r="D3981" s="83" t="s">
        <v>4590</v>
      </c>
      <c r="E3981" s="81" t="s">
        <v>2792</v>
      </c>
      <c r="F3981" s="81">
        <v>541.0</v>
      </c>
      <c r="G3981" s="81" t="s">
        <v>3</v>
      </c>
      <c r="H3981" s="81" t="s">
        <v>224</v>
      </c>
      <c r="I3981" s="81" t="s">
        <v>51</v>
      </c>
      <c r="J3981" s="81" t="s">
        <v>224</v>
      </c>
      <c r="K3981" s="81" t="str">
        <f>IFERROR(__xludf.DUMMYFUNCTION("IF(OR(D3981="""",G3981=""""),"""",IFERROR(LET(
campo,XLOOKUP(TRIM(G3981),ARRAYFORMULA(TRIM('indice columnas'!$A$2:$A$100)),'indice columnas'!$B$2:$B$100,""""),
col,IFERROR(MATCH(campo,Referencia!$A$1:$AZ$1,0),0),
fila,IFERROR(MATCH(TO_TEXT(D3981),ARRAYFOR"&amp;"MULA(TO_TEXT(Referencia!$A$2:$A6238)),0),0),
IF(OR(campo="""",campo=""-""),""NO APLICA"",
IF(col=0,""REVISAR EQUIVALENCIA"",
IF(fila=0,""SKU NO ENCONTRADO"",
LET(
valor,INDEX(Referencia!$A$2:$AZ6238,fila,col),
IF(TRIM(TO_TEXT(valor))=TRIM(TO_TEXT(I3981)),"&amp;"
""OK"",
""NO COINCIDE. Valor verdadero: ""&amp;IF(valor="""",""[VACÍO]"",TO_TEXT(valor))
)
))))
),""ERROR EN FÓRMULA""))"),"OK")</f>
        <v>OK</v>
      </c>
    </row>
    <row r="3982">
      <c r="A3982" s="83" t="s">
        <v>4896</v>
      </c>
      <c r="B3982" s="83" t="s">
        <v>4897</v>
      </c>
      <c r="C3982" s="81" t="s">
        <v>4086</v>
      </c>
      <c r="D3982" s="83" t="s">
        <v>4590</v>
      </c>
      <c r="E3982" s="81" t="s">
        <v>2792</v>
      </c>
      <c r="F3982" s="81">
        <v>541.0</v>
      </c>
      <c r="G3982" s="81" t="s">
        <v>2</v>
      </c>
      <c r="H3982" s="81" t="s">
        <v>224</v>
      </c>
      <c r="I3982" s="81" t="s">
        <v>213</v>
      </c>
      <c r="J3982" s="81" t="s">
        <v>224</v>
      </c>
      <c r="K3982" s="81" t="str">
        <f>IFERROR(__xludf.DUMMYFUNCTION("IF(OR(D3982="""",G3982=""""),"""",IFERROR(LET(
campo,XLOOKUP(TRIM(G3982),ARRAYFORMULA(TRIM('indice columnas'!$A$2:$A$100)),'indice columnas'!$B$2:$B$100,""""),
col,IFERROR(MATCH(campo,Referencia!$A$1:$AZ$1,0),0),
fila,IFERROR(MATCH(TO_TEXT(D3982),ARRAYFOR"&amp;"MULA(TO_TEXT(Referencia!$A$2:$A6238)),0),0),
IF(OR(campo="""",campo=""-""),""NO APLICA"",
IF(col=0,""REVISAR EQUIVALENCIA"",
IF(fila=0,""SKU NO ENCONTRADO"",
LET(
valor,INDEX(Referencia!$A$2:$AZ6238,fila,col),
IF(TRIM(TO_TEXT(valor))=TRIM(TO_TEXT(I3982)),"&amp;"
""OK"",
""NO COINCIDE. Valor verdadero: ""&amp;IF(valor="""",""[VACÍO]"",TO_TEXT(valor))
)
))))
),""ERROR EN FÓRMULA""))"),"OK")</f>
        <v>OK</v>
      </c>
    </row>
    <row r="3983">
      <c r="A3983" s="83" t="s">
        <v>4896</v>
      </c>
      <c r="B3983" s="83" t="s">
        <v>4897</v>
      </c>
      <c r="C3983" s="81" t="s">
        <v>4086</v>
      </c>
      <c r="D3983" s="83" t="s">
        <v>4590</v>
      </c>
      <c r="E3983" s="81" t="s">
        <v>2792</v>
      </c>
      <c r="F3983" s="81">
        <v>541.0</v>
      </c>
      <c r="G3983" s="81" t="s">
        <v>1</v>
      </c>
      <c r="H3983" s="81" t="s">
        <v>224</v>
      </c>
      <c r="I3983" s="81" t="s">
        <v>49</v>
      </c>
      <c r="J3983" s="81" t="s">
        <v>224</v>
      </c>
      <c r="K3983" s="81" t="str">
        <f>IFERROR(__xludf.DUMMYFUNCTION("IF(OR(D3983="""",G3983=""""),"""",IFERROR(LET(
campo,XLOOKUP(TRIM(G3983),ARRAYFORMULA(TRIM('indice columnas'!$A$2:$A$100)),'indice columnas'!$B$2:$B$100,""""),
col,IFERROR(MATCH(campo,Referencia!$A$1:$AZ$1,0),0),
fila,IFERROR(MATCH(TO_TEXT(D3983),ARRAYFOR"&amp;"MULA(TO_TEXT(Referencia!$A$2:$A6238)),0),0),
IF(OR(campo="""",campo=""-""),""NO APLICA"",
IF(col=0,""REVISAR EQUIVALENCIA"",
IF(fila=0,""SKU NO ENCONTRADO"",
LET(
valor,INDEX(Referencia!$A$2:$AZ6238,fila,col),
IF(TRIM(TO_TEXT(valor))=TRIM(TO_TEXT(I3983)),"&amp;"
""OK"",
""NO COINCIDE. Valor verdadero: ""&amp;IF(valor="""",""[VACÍO]"",TO_TEXT(valor))
)
))))
),""ERROR EN FÓRMULA""))"),"OK")</f>
        <v>OK</v>
      </c>
    </row>
    <row r="3984">
      <c r="A3984" s="83" t="s">
        <v>4896</v>
      </c>
      <c r="B3984" s="83" t="s">
        <v>4897</v>
      </c>
      <c r="C3984" s="81" t="s">
        <v>4086</v>
      </c>
      <c r="D3984" s="83" t="s">
        <v>4591</v>
      </c>
      <c r="E3984" s="81" t="s">
        <v>2795</v>
      </c>
      <c r="F3984" s="81">
        <v>542.0</v>
      </c>
      <c r="G3984" s="81" t="s">
        <v>3</v>
      </c>
      <c r="H3984" s="81" t="s">
        <v>224</v>
      </c>
      <c r="I3984" s="81" t="s">
        <v>51</v>
      </c>
      <c r="J3984" s="81" t="s">
        <v>224</v>
      </c>
      <c r="K3984" s="81" t="str">
        <f>IFERROR(__xludf.DUMMYFUNCTION("IF(OR(D3984="""",G3984=""""),"""",IFERROR(LET(
campo,XLOOKUP(TRIM(G3984),ARRAYFORMULA(TRIM('indice columnas'!$A$2:$A$100)),'indice columnas'!$B$2:$B$100,""""),
col,IFERROR(MATCH(campo,Referencia!$A$1:$AZ$1,0),0),
fila,IFERROR(MATCH(TO_TEXT(D3984),ARRAYFOR"&amp;"MULA(TO_TEXT(Referencia!$A$2:$A6238)),0),0),
IF(OR(campo="""",campo=""-""),""NO APLICA"",
IF(col=0,""REVISAR EQUIVALENCIA"",
IF(fila=0,""SKU NO ENCONTRADO"",
LET(
valor,INDEX(Referencia!$A$2:$AZ6238,fila,col),
IF(TRIM(TO_TEXT(valor))=TRIM(TO_TEXT(I3984)),"&amp;"
""OK"",
""NO COINCIDE. Valor verdadero: ""&amp;IF(valor="""",""[VACÍO]"",TO_TEXT(valor))
)
))))
),""ERROR EN FÓRMULA""))"),"OK")</f>
        <v>OK</v>
      </c>
    </row>
    <row r="3985">
      <c r="A3985" s="83" t="s">
        <v>4896</v>
      </c>
      <c r="B3985" s="83" t="s">
        <v>4897</v>
      </c>
      <c r="C3985" s="81" t="s">
        <v>4086</v>
      </c>
      <c r="D3985" s="83" t="s">
        <v>4591</v>
      </c>
      <c r="E3985" s="81" t="s">
        <v>2795</v>
      </c>
      <c r="F3985" s="81">
        <v>542.0</v>
      </c>
      <c r="G3985" s="81" t="s">
        <v>2</v>
      </c>
      <c r="H3985" s="81" t="s">
        <v>224</v>
      </c>
      <c r="I3985" s="81" t="s">
        <v>213</v>
      </c>
      <c r="J3985" s="81" t="s">
        <v>224</v>
      </c>
      <c r="K3985" s="81" t="str">
        <f>IFERROR(__xludf.DUMMYFUNCTION("IF(OR(D3985="""",G3985=""""),"""",IFERROR(LET(
campo,XLOOKUP(TRIM(G3985),ARRAYFORMULA(TRIM('indice columnas'!$A$2:$A$100)),'indice columnas'!$B$2:$B$100,""""),
col,IFERROR(MATCH(campo,Referencia!$A$1:$AZ$1,0),0),
fila,IFERROR(MATCH(TO_TEXT(D3985),ARRAYFOR"&amp;"MULA(TO_TEXT(Referencia!$A$2:$A6238)),0),0),
IF(OR(campo="""",campo=""-""),""NO APLICA"",
IF(col=0,""REVISAR EQUIVALENCIA"",
IF(fila=0,""SKU NO ENCONTRADO"",
LET(
valor,INDEX(Referencia!$A$2:$AZ6238,fila,col),
IF(TRIM(TO_TEXT(valor))=TRIM(TO_TEXT(I3985)),"&amp;"
""OK"",
""NO COINCIDE. Valor verdadero: ""&amp;IF(valor="""",""[VACÍO]"",TO_TEXT(valor))
)
))))
),""ERROR EN FÓRMULA""))"),"OK")</f>
        <v>OK</v>
      </c>
    </row>
    <row r="3986">
      <c r="A3986" s="83" t="s">
        <v>4896</v>
      </c>
      <c r="B3986" s="83" t="s">
        <v>4897</v>
      </c>
      <c r="C3986" s="81" t="s">
        <v>4086</v>
      </c>
      <c r="D3986" s="83" t="s">
        <v>4591</v>
      </c>
      <c r="E3986" s="81" t="s">
        <v>2795</v>
      </c>
      <c r="F3986" s="81">
        <v>542.0</v>
      </c>
      <c r="G3986" s="81" t="s">
        <v>1</v>
      </c>
      <c r="H3986" s="81" t="s">
        <v>224</v>
      </c>
      <c r="I3986" s="81" t="s">
        <v>49</v>
      </c>
      <c r="J3986" s="81" t="s">
        <v>224</v>
      </c>
      <c r="K3986" s="81" t="str">
        <f>IFERROR(__xludf.DUMMYFUNCTION("IF(OR(D3986="""",G3986=""""),"""",IFERROR(LET(
campo,XLOOKUP(TRIM(G3986),ARRAYFORMULA(TRIM('indice columnas'!$A$2:$A$100)),'indice columnas'!$B$2:$B$100,""""),
col,IFERROR(MATCH(campo,Referencia!$A$1:$AZ$1,0),0),
fila,IFERROR(MATCH(TO_TEXT(D3986),ARRAYFOR"&amp;"MULA(TO_TEXT(Referencia!$A$2:$A6238)),0),0),
IF(OR(campo="""",campo=""-""),""NO APLICA"",
IF(col=0,""REVISAR EQUIVALENCIA"",
IF(fila=0,""SKU NO ENCONTRADO"",
LET(
valor,INDEX(Referencia!$A$2:$AZ6238,fila,col),
IF(TRIM(TO_TEXT(valor))=TRIM(TO_TEXT(I3986)),"&amp;"
""OK"",
""NO COINCIDE. Valor verdadero: ""&amp;IF(valor="""",""[VACÍO]"",TO_TEXT(valor))
)
))))
),""ERROR EN FÓRMULA""))"),"OK")</f>
        <v>OK</v>
      </c>
    </row>
    <row r="3987">
      <c r="A3987" s="83" t="s">
        <v>4896</v>
      </c>
      <c r="B3987" s="83" t="s">
        <v>4897</v>
      </c>
      <c r="C3987" s="81" t="s">
        <v>4086</v>
      </c>
      <c r="D3987" s="83" t="s">
        <v>4593</v>
      </c>
      <c r="E3987" s="81" t="s">
        <v>2805</v>
      </c>
      <c r="F3987" s="81">
        <v>543.0</v>
      </c>
      <c r="G3987" s="81" t="s">
        <v>3</v>
      </c>
      <c r="H3987" s="81" t="s">
        <v>224</v>
      </c>
      <c r="I3987" s="81" t="s">
        <v>51</v>
      </c>
      <c r="J3987" s="81" t="s">
        <v>224</v>
      </c>
      <c r="K3987" s="81" t="str">
        <f>IFERROR(__xludf.DUMMYFUNCTION("IF(OR(D3987="""",G3987=""""),"""",IFERROR(LET(
campo,XLOOKUP(TRIM(G3987),ARRAYFORMULA(TRIM('indice columnas'!$A$2:$A$100)),'indice columnas'!$B$2:$B$100,""""),
col,IFERROR(MATCH(campo,Referencia!$A$1:$AZ$1,0),0),
fila,IFERROR(MATCH(TO_TEXT(D3987),ARRAYFOR"&amp;"MULA(TO_TEXT(Referencia!$A$2:$A6238)),0),0),
IF(OR(campo="""",campo=""-""),""NO APLICA"",
IF(col=0,""REVISAR EQUIVALENCIA"",
IF(fila=0,""SKU NO ENCONTRADO"",
LET(
valor,INDEX(Referencia!$A$2:$AZ6238,fila,col),
IF(TRIM(TO_TEXT(valor))=TRIM(TO_TEXT(I3987)),"&amp;"
""OK"",
""NO COINCIDE. Valor verdadero: ""&amp;IF(valor="""",""[VACÍO]"",TO_TEXT(valor))
)
))))
),""ERROR EN FÓRMULA""))"),"OK")</f>
        <v>OK</v>
      </c>
    </row>
    <row r="3988">
      <c r="A3988" s="83" t="s">
        <v>4896</v>
      </c>
      <c r="B3988" s="83" t="s">
        <v>4897</v>
      </c>
      <c r="C3988" s="81" t="s">
        <v>4086</v>
      </c>
      <c r="D3988" s="83" t="s">
        <v>4593</v>
      </c>
      <c r="E3988" s="81" t="s">
        <v>2805</v>
      </c>
      <c r="F3988" s="81">
        <v>543.0</v>
      </c>
      <c r="G3988" s="81" t="s">
        <v>2</v>
      </c>
      <c r="H3988" s="81" t="s">
        <v>224</v>
      </c>
      <c r="I3988" s="81" t="s">
        <v>213</v>
      </c>
      <c r="J3988" s="81" t="s">
        <v>224</v>
      </c>
      <c r="K3988" s="81" t="str">
        <f>IFERROR(__xludf.DUMMYFUNCTION("IF(OR(D3988="""",G3988=""""),"""",IFERROR(LET(
campo,XLOOKUP(TRIM(G3988),ARRAYFORMULA(TRIM('indice columnas'!$A$2:$A$100)),'indice columnas'!$B$2:$B$100,""""),
col,IFERROR(MATCH(campo,Referencia!$A$1:$AZ$1,0),0),
fila,IFERROR(MATCH(TO_TEXT(D3988),ARRAYFOR"&amp;"MULA(TO_TEXT(Referencia!$A$2:$A6238)),0),0),
IF(OR(campo="""",campo=""-""),""NO APLICA"",
IF(col=0,""REVISAR EQUIVALENCIA"",
IF(fila=0,""SKU NO ENCONTRADO"",
LET(
valor,INDEX(Referencia!$A$2:$AZ6238,fila,col),
IF(TRIM(TO_TEXT(valor))=TRIM(TO_TEXT(I3988)),"&amp;"
""OK"",
""NO COINCIDE. Valor verdadero: ""&amp;IF(valor="""",""[VACÍO]"",TO_TEXT(valor))
)
))))
),""ERROR EN FÓRMULA""))"),"OK")</f>
        <v>OK</v>
      </c>
    </row>
    <row r="3989">
      <c r="A3989" s="83" t="s">
        <v>4896</v>
      </c>
      <c r="B3989" s="83" t="s">
        <v>4897</v>
      </c>
      <c r="C3989" s="81" t="s">
        <v>4086</v>
      </c>
      <c r="D3989" s="83" t="s">
        <v>4593</v>
      </c>
      <c r="E3989" s="81" t="s">
        <v>2805</v>
      </c>
      <c r="F3989" s="81">
        <v>543.0</v>
      </c>
      <c r="G3989" s="81" t="s">
        <v>1</v>
      </c>
      <c r="H3989" s="81" t="s">
        <v>224</v>
      </c>
      <c r="I3989" s="81" t="s">
        <v>49</v>
      </c>
      <c r="J3989" s="81" t="s">
        <v>224</v>
      </c>
      <c r="K3989" s="81" t="str">
        <f>IFERROR(__xludf.DUMMYFUNCTION("IF(OR(D3989="""",G3989=""""),"""",IFERROR(LET(
campo,XLOOKUP(TRIM(G3989),ARRAYFORMULA(TRIM('indice columnas'!$A$2:$A$100)),'indice columnas'!$B$2:$B$100,""""),
col,IFERROR(MATCH(campo,Referencia!$A$1:$AZ$1,0),0),
fila,IFERROR(MATCH(TO_TEXT(D3989),ARRAYFOR"&amp;"MULA(TO_TEXT(Referencia!$A$2:$A6238)),0),0),
IF(OR(campo="""",campo=""-""),""NO APLICA"",
IF(col=0,""REVISAR EQUIVALENCIA"",
IF(fila=0,""SKU NO ENCONTRADO"",
LET(
valor,INDEX(Referencia!$A$2:$AZ6238,fila,col),
IF(TRIM(TO_TEXT(valor))=TRIM(TO_TEXT(I3989)),"&amp;"
""OK"",
""NO COINCIDE. Valor verdadero: ""&amp;IF(valor="""",""[VACÍO]"",TO_TEXT(valor))
)
))))
),""ERROR EN FÓRMULA""))"),"OK")</f>
        <v>OK</v>
      </c>
    </row>
    <row r="3990">
      <c r="A3990" s="83" t="s">
        <v>4896</v>
      </c>
      <c r="B3990" s="83" t="s">
        <v>4897</v>
      </c>
      <c r="C3990" s="81" t="s">
        <v>4086</v>
      </c>
      <c r="D3990" s="83" t="s">
        <v>4596</v>
      </c>
      <c r="E3990" s="81" t="s">
        <v>2828</v>
      </c>
      <c r="F3990" s="81">
        <v>546.0</v>
      </c>
      <c r="G3990" s="81" t="s">
        <v>3</v>
      </c>
      <c r="H3990" s="81" t="s">
        <v>224</v>
      </c>
      <c r="I3990" s="81" t="s">
        <v>51</v>
      </c>
      <c r="J3990" s="81" t="s">
        <v>224</v>
      </c>
      <c r="K3990" s="81" t="str">
        <f>IFERROR(__xludf.DUMMYFUNCTION("IF(OR(D3990="""",G3990=""""),"""",IFERROR(LET(
campo,XLOOKUP(TRIM(G3990),ARRAYFORMULA(TRIM('indice columnas'!$A$2:$A$100)),'indice columnas'!$B$2:$B$100,""""),
col,IFERROR(MATCH(campo,Referencia!$A$1:$AZ$1,0),0),
fila,IFERROR(MATCH(TO_TEXT(D3990),ARRAYFOR"&amp;"MULA(TO_TEXT(Referencia!$A$2:$A6238)),0),0),
IF(OR(campo="""",campo=""-""),""NO APLICA"",
IF(col=0,""REVISAR EQUIVALENCIA"",
IF(fila=0,""SKU NO ENCONTRADO"",
LET(
valor,INDEX(Referencia!$A$2:$AZ6238,fila,col),
IF(TRIM(TO_TEXT(valor))=TRIM(TO_TEXT(I3990)),"&amp;"
""OK"",
""NO COINCIDE. Valor verdadero: ""&amp;IF(valor="""",""[VACÍO]"",TO_TEXT(valor))
)
))))
),""ERROR EN FÓRMULA""))"),"OK")</f>
        <v>OK</v>
      </c>
    </row>
    <row r="3991">
      <c r="A3991" s="83" t="s">
        <v>4896</v>
      </c>
      <c r="B3991" s="83" t="s">
        <v>4897</v>
      </c>
      <c r="C3991" s="81" t="s">
        <v>4086</v>
      </c>
      <c r="D3991" s="83" t="s">
        <v>4596</v>
      </c>
      <c r="E3991" s="81" t="s">
        <v>2828</v>
      </c>
      <c r="F3991" s="81">
        <v>546.0</v>
      </c>
      <c r="G3991" s="81" t="s">
        <v>2</v>
      </c>
      <c r="H3991" s="81" t="s">
        <v>224</v>
      </c>
      <c r="I3991" s="81" t="s">
        <v>213</v>
      </c>
      <c r="J3991" s="81" t="s">
        <v>224</v>
      </c>
      <c r="K3991" s="81" t="str">
        <f>IFERROR(__xludf.DUMMYFUNCTION("IF(OR(D3991="""",G3991=""""),"""",IFERROR(LET(
campo,XLOOKUP(TRIM(G3991),ARRAYFORMULA(TRIM('indice columnas'!$A$2:$A$100)),'indice columnas'!$B$2:$B$100,""""),
col,IFERROR(MATCH(campo,Referencia!$A$1:$AZ$1,0),0),
fila,IFERROR(MATCH(TO_TEXT(D3991),ARRAYFOR"&amp;"MULA(TO_TEXT(Referencia!$A$2:$A6238)),0),0),
IF(OR(campo="""",campo=""-""),""NO APLICA"",
IF(col=0,""REVISAR EQUIVALENCIA"",
IF(fila=0,""SKU NO ENCONTRADO"",
LET(
valor,INDEX(Referencia!$A$2:$AZ6238,fila,col),
IF(TRIM(TO_TEXT(valor))=TRIM(TO_TEXT(I3991)),"&amp;"
""OK"",
""NO COINCIDE. Valor verdadero: ""&amp;IF(valor="""",""[VACÍO]"",TO_TEXT(valor))
)
))))
),""ERROR EN FÓRMULA""))"),"OK")</f>
        <v>OK</v>
      </c>
    </row>
    <row r="3992">
      <c r="A3992" s="83" t="s">
        <v>4896</v>
      </c>
      <c r="B3992" s="83" t="s">
        <v>4897</v>
      </c>
      <c r="C3992" s="81" t="s">
        <v>4086</v>
      </c>
      <c r="D3992" s="83" t="s">
        <v>4598</v>
      </c>
      <c r="E3992" s="81" t="s">
        <v>2848</v>
      </c>
      <c r="F3992" s="81">
        <v>549.0</v>
      </c>
      <c r="G3992" s="81" t="s">
        <v>3</v>
      </c>
      <c r="H3992" s="81" t="s">
        <v>224</v>
      </c>
      <c r="I3992" s="81" t="s">
        <v>51</v>
      </c>
      <c r="J3992" s="81" t="s">
        <v>224</v>
      </c>
      <c r="K3992" s="81" t="str">
        <f>IFERROR(__xludf.DUMMYFUNCTION("IF(OR(D3992="""",G3992=""""),"""",IFERROR(LET(
campo,XLOOKUP(TRIM(G3992),ARRAYFORMULA(TRIM('indice columnas'!$A$2:$A$100)),'indice columnas'!$B$2:$B$100,""""),
col,IFERROR(MATCH(campo,Referencia!$A$1:$AZ$1,0),0),
fila,IFERROR(MATCH(TO_TEXT(D3992),ARRAYFOR"&amp;"MULA(TO_TEXT(Referencia!$A$2:$A6238)),0),0),
IF(OR(campo="""",campo=""-""),""NO APLICA"",
IF(col=0,""REVISAR EQUIVALENCIA"",
IF(fila=0,""SKU NO ENCONTRADO"",
LET(
valor,INDEX(Referencia!$A$2:$AZ6238,fila,col),
IF(TRIM(TO_TEXT(valor))=TRIM(TO_TEXT(I3992)),"&amp;"
""OK"",
""NO COINCIDE. Valor verdadero: ""&amp;IF(valor="""",""[VACÍO]"",TO_TEXT(valor))
)
))))
),""ERROR EN FÓRMULA""))"),"OK")</f>
        <v>OK</v>
      </c>
    </row>
    <row r="3993">
      <c r="A3993" s="83" t="s">
        <v>4896</v>
      </c>
      <c r="B3993" s="83" t="s">
        <v>4897</v>
      </c>
      <c r="C3993" s="81" t="s">
        <v>4086</v>
      </c>
      <c r="D3993" s="83" t="s">
        <v>4598</v>
      </c>
      <c r="E3993" s="81" t="s">
        <v>2848</v>
      </c>
      <c r="F3993" s="81">
        <v>549.0</v>
      </c>
      <c r="G3993" s="81" t="s">
        <v>2</v>
      </c>
      <c r="H3993" s="81" t="s">
        <v>224</v>
      </c>
      <c r="I3993" s="81" t="s">
        <v>213</v>
      </c>
      <c r="J3993" s="81" t="s">
        <v>224</v>
      </c>
      <c r="K3993" s="81" t="str">
        <f>IFERROR(__xludf.DUMMYFUNCTION("IF(OR(D3993="""",G3993=""""),"""",IFERROR(LET(
campo,XLOOKUP(TRIM(G3993),ARRAYFORMULA(TRIM('indice columnas'!$A$2:$A$100)),'indice columnas'!$B$2:$B$100,""""),
col,IFERROR(MATCH(campo,Referencia!$A$1:$AZ$1,0),0),
fila,IFERROR(MATCH(TO_TEXT(D3993),ARRAYFOR"&amp;"MULA(TO_TEXT(Referencia!$A$2:$A6238)),0),0),
IF(OR(campo="""",campo=""-""),""NO APLICA"",
IF(col=0,""REVISAR EQUIVALENCIA"",
IF(fila=0,""SKU NO ENCONTRADO"",
LET(
valor,INDEX(Referencia!$A$2:$AZ6238,fila,col),
IF(TRIM(TO_TEXT(valor))=TRIM(TO_TEXT(I3993)),"&amp;"
""OK"",
""NO COINCIDE. Valor verdadero: ""&amp;IF(valor="""",""[VACÍO]"",TO_TEXT(valor))
)
))))
),""ERROR EN FÓRMULA""))"),"OK")</f>
        <v>OK</v>
      </c>
    </row>
    <row r="3994">
      <c r="A3994" s="83" t="s">
        <v>4896</v>
      </c>
      <c r="B3994" s="83" t="s">
        <v>4897</v>
      </c>
      <c r="C3994" s="81" t="s">
        <v>4086</v>
      </c>
      <c r="D3994" s="83" t="s">
        <v>4600</v>
      </c>
      <c r="E3994" s="81" t="s">
        <v>2870</v>
      </c>
      <c r="F3994" s="81">
        <v>552.0</v>
      </c>
      <c r="G3994" s="81" t="s">
        <v>3</v>
      </c>
      <c r="H3994" s="81" t="s">
        <v>224</v>
      </c>
      <c r="I3994" s="81" t="s">
        <v>51</v>
      </c>
      <c r="J3994" s="81" t="s">
        <v>224</v>
      </c>
      <c r="K3994" s="81" t="str">
        <f>IFERROR(__xludf.DUMMYFUNCTION("IF(OR(D3994="""",G3994=""""),"""",IFERROR(LET(
campo,XLOOKUP(TRIM(G3994),ARRAYFORMULA(TRIM('indice columnas'!$A$2:$A$100)),'indice columnas'!$B$2:$B$100,""""),
col,IFERROR(MATCH(campo,Referencia!$A$1:$AZ$1,0),0),
fila,IFERROR(MATCH(TO_TEXT(D3994),ARRAYFOR"&amp;"MULA(TO_TEXT(Referencia!$A$2:$A6238)),0),0),
IF(OR(campo="""",campo=""-""),""NO APLICA"",
IF(col=0,""REVISAR EQUIVALENCIA"",
IF(fila=0,""SKU NO ENCONTRADO"",
LET(
valor,INDEX(Referencia!$A$2:$AZ6238,fila,col),
IF(TRIM(TO_TEXT(valor))=TRIM(TO_TEXT(I3994)),"&amp;"
""OK"",
""NO COINCIDE. Valor verdadero: ""&amp;IF(valor="""",""[VACÍO]"",TO_TEXT(valor))
)
))))
),""ERROR EN FÓRMULA""))"),"OK")</f>
        <v>OK</v>
      </c>
    </row>
    <row r="3995">
      <c r="A3995" s="83" t="s">
        <v>4896</v>
      </c>
      <c r="B3995" s="83" t="s">
        <v>4897</v>
      </c>
      <c r="C3995" s="81" t="s">
        <v>4086</v>
      </c>
      <c r="D3995" s="83" t="s">
        <v>4600</v>
      </c>
      <c r="E3995" s="81" t="s">
        <v>2870</v>
      </c>
      <c r="F3995" s="81">
        <v>552.0</v>
      </c>
      <c r="G3995" s="81" t="s">
        <v>2</v>
      </c>
      <c r="H3995" s="81" t="s">
        <v>224</v>
      </c>
      <c r="I3995" s="81" t="s">
        <v>213</v>
      </c>
      <c r="J3995" s="81" t="s">
        <v>224</v>
      </c>
      <c r="K3995" s="81" t="str">
        <f>IFERROR(__xludf.DUMMYFUNCTION("IF(OR(D3995="""",G3995=""""),"""",IFERROR(LET(
campo,XLOOKUP(TRIM(G3995),ARRAYFORMULA(TRIM('indice columnas'!$A$2:$A$100)),'indice columnas'!$B$2:$B$100,""""),
col,IFERROR(MATCH(campo,Referencia!$A$1:$AZ$1,0),0),
fila,IFERROR(MATCH(TO_TEXT(D3995),ARRAYFOR"&amp;"MULA(TO_TEXT(Referencia!$A$2:$A6238)),0),0),
IF(OR(campo="""",campo=""-""),""NO APLICA"",
IF(col=0,""REVISAR EQUIVALENCIA"",
IF(fila=0,""SKU NO ENCONTRADO"",
LET(
valor,INDEX(Referencia!$A$2:$AZ6238,fila,col),
IF(TRIM(TO_TEXT(valor))=TRIM(TO_TEXT(I3995)),"&amp;"
""OK"",
""NO COINCIDE. Valor verdadero: ""&amp;IF(valor="""",""[VACÍO]"",TO_TEXT(valor))
)
))))
),""ERROR EN FÓRMULA""))"),"OK")</f>
        <v>OK</v>
      </c>
    </row>
    <row r="3996">
      <c r="A3996" s="83" t="s">
        <v>4896</v>
      </c>
      <c r="B3996" s="83" t="s">
        <v>4897</v>
      </c>
      <c r="C3996" s="81" t="s">
        <v>4086</v>
      </c>
      <c r="D3996" s="83" t="s">
        <v>4600</v>
      </c>
      <c r="E3996" s="81" t="s">
        <v>2870</v>
      </c>
      <c r="F3996" s="81">
        <v>552.0</v>
      </c>
      <c r="G3996" s="81" t="s">
        <v>1</v>
      </c>
      <c r="H3996" s="81" t="s">
        <v>224</v>
      </c>
      <c r="I3996" s="81" t="s">
        <v>49</v>
      </c>
      <c r="J3996" s="81" t="s">
        <v>224</v>
      </c>
      <c r="K3996" s="81" t="str">
        <f>IFERROR(__xludf.DUMMYFUNCTION("IF(OR(D3996="""",G3996=""""),"""",IFERROR(LET(
campo,XLOOKUP(TRIM(G3996),ARRAYFORMULA(TRIM('indice columnas'!$A$2:$A$100)),'indice columnas'!$B$2:$B$100,""""),
col,IFERROR(MATCH(campo,Referencia!$A$1:$AZ$1,0),0),
fila,IFERROR(MATCH(TO_TEXT(D3996),ARRAYFOR"&amp;"MULA(TO_TEXT(Referencia!$A$2:$A6238)),0),0),
IF(OR(campo="""",campo=""-""),""NO APLICA"",
IF(col=0,""REVISAR EQUIVALENCIA"",
IF(fila=0,""SKU NO ENCONTRADO"",
LET(
valor,INDEX(Referencia!$A$2:$AZ6238,fila,col),
IF(TRIM(TO_TEXT(valor))=TRIM(TO_TEXT(I3996)),"&amp;"
""OK"",
""NO COINCIDE. Valor verdadero: ""&amp;IF(valor="""",""[VACÍO]"",TO_TEXT(valor))
)
))))
),""ERROR EN FÓRMULA""))"),"OK")</f>
        <v>OK</v>
      </c>
    </row>
    <row r="3997">
      <c r="A3997" s="83" t="s">
        <v>4896</v>
      </c>
      <c r="B3997" s="83" t="s">
        <v>4897</v>
      </c>
      <c r="C3997" s="81" t="s">
        <v>4086</v>
      </c>
      <c r="D3997" s="83" t="s">
        <v>4601</v>
      </c>
      <c r="E3997" s="81" t="s">
        <v>2874</v>
      </c>
      <c r="F3997" s="81">
        <v>553.0</v>
      </c>
      <c r="G3997" s="81" t="s">
        <v>3</v>
      </c>
      <c r="H3997" s="81" t="s">
        <v>224</v>
      </c>
      <c r="I3997" s="81" t="s">
        <v>1144</v>
      </c>
      <c r="J3997" s="81" t="s">
        <v>224</v>
      </c>
      <c r="K3997" s="81" t="str">
        <f>IFERROR(__xludf.DUMMYFUNCTION("IF(OR(D3997="""",G3997=""""),"""",IFERROR(LET(
campo,XLOOKUP(TRIM(G3997),ARRAYFORMULA(TRIM('indice columnas'!$A$2:$A$100)),'indice columnas'!$B$2:$B$100,""""),
col,IFERROR(MATCH(campo,Referencia!$A$1:$AZ$1,0),0),
fila,IFERROR(MATCH(TO_TEXT(D3997),ARRAYFOR"&amp;"MULA(TO_TEXT(Referencia!$A$2:$A6238)),0),0),
IF(OR(campo="""",campo=""-""),""NO APLICA"",
IF(col=0,""REVISAR EQUIVALENCIA"",
IF(fila=0,""SKU NO ENCONTRADO"",
LET(
valor,INDEX(Referencia!$A$2:$AZ6238,fila,col),
IF(TRIM(TO_TEXT(valor))=TRIM(TO_TEXT(I3997)),"&amp;"
""OK"",
""NO COINCIDE. Valor verdadero: ""&amp;IF(valor="""",""[VACÍO]"",TO_TEXT(valor))
)
))))
),""ERROR EN FÓRMULA""))"),"OK")</f>
        <v>OK</v>
      </c>
    </row>
    <row r="3998">
      <c r="A3998" s="83" t="s">
        <v>4896</v>
      </c>
      <c r="B3998" s="83" t="s">
        <v>4897</v>
      </c>
      <c r="C3998" s="81" t="s">
        <v>4086</v>
      </c>
      <c r="D3998" s="83" t="s">
        <v>4601</v>
      </c>
      <c r="E3998" s="81" t="s">
        <v>2874</v>
      </c>
      <c r="F3998" s="81">
        <v>553.0</v>
      </c>
      <c r="G3998" s="81" t="s">
        <v>2</v>
      </c>
      <c r="H3998" s="81" t="s">
        <v>224</v>
      </c>
      <c r="I3998" s="81" t="s">
        <v>213</v>
      </c>
      <c r="J3998" s="81" t="s">
        <v>224</v>
      </c>
      <c r="K3998" s="81" t="str">
        <f>IFERROR(__xludf.DUMMYFUNCTION("IF(OR(D3998="""",G3998=""""),"""",IFERROR(LET(
campo,XLOOKUP(TRIM(G3998),ARRAYFORMULA(TRIM('indice columnas'!$A$2:$A$100)),'indice columnas'!$B$2:$B$100,""""),
col,IFERROR(MATCH(campo,Referencia!$A$1:$AZ$1,0),0),
fila,IFERROR(MATCH(TO_TEXT(D3998),ARRAYFOR"&amp;"MULA(TO_TEXT(Referencia!$A$2:$A6238)),0),0),
IF(OR(campo="""",campo=""-""),""NO APLICA"",
IF(col=0,""REVISAR EQUIVALENCIA"",
IF(fila=0,""SKU NO ENCONTRADO"",
LET(
valor,INDEX(Referencia!$A$2:$AZ6238,fila,col),
IF(TRIM(TO_TEXT(valor))=TRIM(TO_TEXT(I3998)),"&amp;"
""OK"",
""NO COINCIDE. Valor verdadero: ""&amp;IF(valor="""",""[VACÍO]"",TO_TEXT(valor))
)
))))
),""ERROR EN FÓRMULA""))"),"OK")</f>
        <v>OK</v>
      </c>
    </row>
    <row r="3999">
      <c r="A3999" s="83" t="s">
        <v>4896</v>
      </c>
      <c r="B3999" s="83" t="s">
        <v>4897</v>
      </c>
      <c r="C3999" s="81" t="s">
        <v>4086</v>
      </c>
      <c r="D3999" s="83" t="s">
        <v>4601</v>
      </c>
      <c r="E3999" s="81" t="s">
        <v>2874</v>
      </c>
      <c r="F3999" s="81">
        <v>553.0</v>
      </c>
      <c r="G3999" s="81" t="s">
        <v>1</v>
      </c>
      <c r="H3999" s="81" t="s">
        <v>224</v>
      </c>
      <c r="I3999" s="81" t="s">
        <v>49</v>
      </c>
      <c r="J3999" s="81" t="s">
        <v>224</v>
      </c>
      <c r="K3999" s="81" t="str">
        <f>IFERROR(__xludf.DUMMYFUNCTION("IF(OR(D3999="""",G3999=""""),"""",IFERROR(LET(
campo,XLOOKUP(TRIM(G3999),ARRAYFORMULA(TRIM('indice columnas'!$A$2:$A$100)),'indice columnas'!$B$2:$B$100,""""),
col,IFERROR(MATCH(campo,Referencia!$A$1:$AZ$1,0),0),
fila,IFERROR(MATCH(TO_TEXT(D3999),ARRAYFOR"&amp;"MULA(TO_TEXT(Referencia!$A$2:$A6238)),0),0),
IF(OR(campo="""",campo=""-""),""NO APLICA"",
IF(col=0,""REVISAR EQUIVALENCIA"",
IF(fila=0,""SKU NO ENCONTRADO"",
LET(
valor,INDEX(Referencia!$A$2:$AZ6238,fila,col),
IF(TRIM(TO_TEXT(valor))=TRIM(TO_TEXT(I3999)),"&amp;"
""OK"",
""NO COINCIDE. Valor verdadero: ""&amp;IF(valor="""",""[VACÍO]"",TO_TEXT(valor))
)
))))
),""ERROR EN FÓRMULA""))"),"OK")</f>
        <v>OK</v>
      </c>
    </row>
    <row r="4000">
      <c r="A4000" s="83" t="s">
        <v>4896</v>
      </c>
      <c r="B4000" s="83" t="s">
        <v>4897</v>
      </c>
      <c r="C4000" s="81" t="s">
        <v>4086</v>
      </c>
      <c r="D4000" s="83" t="s">
        <v>4603</v>
      </c>
      <c r="E4000" s="81" t="s">
        <v>2881</v>
      </c>
      <c r="F4000" s="81">
        <v>554.0</v>
      </c>
      <c r="G4000" s="81" t="s">
        <v>3</v>
      </c>
      <c r="H4000" s="81" t="s">
        <v>224</v>
      </c>
      <c r="I4000" s="81" t="s">
        <v>1144</v>
      </c>
      <c r="J4000" s="81" t="s">
        <v>224</v>
      </c>
      <c r="K4000" s="81" t="str">
        <f>IFERROR(__xludf.DUMMYFUNCTION("IF(OR(D4000="""",G4000=""""),"""",IFERROR(LET(
campo,XLOOKUP(TRIM(G4000),ARRAYFORMULA(TRIM('indice columnas'!$A$2:$A$100)),'indice columnas'!$B$2:$B$100,""""),
col,IFERROR(MATCH(campo,Referencia!$A$1:$AZ$1,0),0),
fila,IFERROR(MATCH(TO_TEXT(D4000),ARRAYFOR"&amp;"MULA(TO_TEXT(Referencia!$A$2:$A6238)),0),0),
IF(OR(campo="""",campo=""-""),""NO APLICA"",
IF(col=0,""REVISAR EQUIVALENCIA"",
IF(fila=0,""SKU NO ENCONTRADO"",
LET(
valor,INDEX(Referencia!$A$2:$AZ6238,fila,col),
IF(TRIM(TO_TEXT(valor))=TRIM(TO_TEXT(I4000)),"&amp;"
""OK"",
""NO COINCIDE. Valor verdadero: ""&amp;IF(valor="""",""[VACÍO]"",TO_TEXT(valor))
)
))))
),""ERROR EN FÓRMULA""))"),"OK")</f>
        <v>OK</v>
      </c>
    </row>
    <row r="4001">
      <c r="A4001" s="83" t="s">
        <v>4896</v>
      </c>
      <c r="B4001" s="83" t="s">
        <v>4897</v>
      </c>
      <c r="C4001" s="81" t="s">
        <v>4086</v>
      </c>
      <c r="D4001" s="83" t="s">
        <v>4603</v>
      </c>
      <c r="E4001" s="81" t="s">
        <v>2881</v>
      </c>
      <c r="F4001" s="81">
        <v>554.0</v>
      </c>
      <c r="G4001" s="81" t="s">
        <v>2</v>
      </c>
      <c r="H4001" s="81" t="s">
        <v>224</v>
      </c>
      <c r="I4001" s="81" t="s">
        <v>213</v>
      </c>
      <c r="J4001" s="81" t="s">
        <v>224</v>
      </c>
      <c r="K4001" s="81" t="str">
        <f>IFERROR(__xludf.DUMMYFUNCTION("IF(OR(D4001="""",G4001=""""),"""",IFERROR(LET(
campo,XLOOKUP(TRIM(G4001),ARRAYFORMULA(TRIM('indice columnas'!$A$2:$A$100)),'indice columnas'!$B$2:$B$100,""""),
col,IFERROR(MATCH(campo,Referencia!$A$1:$AZ$1,0),0),
fila,IFERROR(MATCH(TO_TEXT(D4001),ARRAYFOR"&amp;"MULA(TO_TEXT(Referencia!$A$2:$A6238)),0),0),
IF(OR(campo="""",campo=""-""),""NO APLICA"",
IF(col=0,""REVISAR EQUIVALENCIA"",
IF(fila=0,""SKU NO ENCONTRADO"",
LET(
valor,INDEX(Referencia!$A$2:$AZ6238,fila,col),
IF(TRIM(TO_TEXT(valor))=TRIM(TO_TEXT(I4001)),"&amp;"
""OK"",
""NO COINCIDE. Valor verdadero: ""&amp;IF(valor="""",""[VACÍO]"",TO_TEXT(valor))
)
))))
),""ERROR EN FÓRMULA""))"),"OK")</f>
        <v>OK</v>
      </c>
    </row>
    <row r="4002">
      <c r="A4002" s="83" t="s">
        <v>4896</v>
      </c>
      <c r="B4002" s="83" t="s">
        <v>4897</v>
      </c>
      <c r="C4002" s="81" t="s">
        <v>4086</v>
      </c>
      <c r="D4002" s="83" t="s">
        <v>4603</v>
      </c>
      <c r="E4002" s="81" t="s">
        <v>2881</v>
      </c>
      <c r="F4002" s="81">
        <v>554.0</v>
      </c>
      <c r="G4002" s="81" t="s">
        <v>1</v>
      </c>
      <c r="H4002" s="81" t="s">
        <v>224</v>
      </c>
      <c r="I4002" s="81" t="s">
        <v>49</v>
      </c>
      <c r="J4002" s="81" t="s">
        <v>224</v>
      </c>
      <c r="K4002" s="81" t="str">
        <f>IFERROR(__xludf.DUMMYFUNCTION("IF(OR(D4002="""",G4002=""""),"""",IFERROR(LET(
campo,XLOOKUP(TRIM(G4002),ARRAYFORMULA(TRIM('indice columnas'!$A$2:$A$100)),'indice columnas'!$B$2:$B$100,""""),
col,IFERROR(MATCH(campo,Referencia!$A$1:$AZ$1,0),0),
fila,IFERROR(MATCH(TO_TEXT(D4002),ARRAYFOR"&amp;"MULA(TO_TEXT(Referencia!$A$2:$A6238)),0),0),
IF(OR(campo="""",campo=""-""),""NO APLICA"",
IF(col=0,""REVISAR EQUIVALENCIA"",
IF(fila=0,""SKU NO ENCONTRADO"",
LET(
valor,INDEX(Referencia!$A$2:$AZ6238,fila,col),
IF(TRIM(TO_TEXT(valor))=TRIM(TO_TEXT(I4002)),"&amp;"
""OK"",
""NO COINCIDE. Valor verdadero: ""&amp;IF(valor="""",""[VACÍO]"",TO_TEXT(valor))
)
))))
),""ERROR EN FÓRMULA""))"),"OK")</f>
        <v>OK</v>
      </c>
    </row>
    <row r="4003">
      <c r="A4003" s="83" t="s">
        <v>4896</v>
      </c>
      <c r="B4003" s="83" t="s">
        <v>4897</v>
      </c>
      <c r="C4003" s="81" t="s">
        <v>4086</v>
      </c>
      <c r="D4003" s="83" t="s">
        <v>4604</v>
      </c>
      <c r="E4003" s="81" t="s">
        <v>2885</v>
      </c>
      <c r="F4003" s="81">
        <v>555.0</v>
      </c>
      <c r="G4003" s="81" t="s">
        <v>3</v>
      </c>
      <c r="H4003" s="81" t="s">
        <v>224</v>
      </c>
      <c r="I4003" s="81" t="s">
        <v>1144</v>
      </c>
      <c r="J4003" s="81" t="s">
        <v>224</v>
      </c>
      <c r="K4003" s="81" t="str">
        <f>IFERROR(__xludf.DUMMYFUNCTION("IF(OR(D4003="""",G4003=""""),"""",IFERROR(LET(
campo,XLOOKUP(TRIM(G4003),ARRAYFORMULA(TRIM('indice columnas'!$A$2:$A$100)),'indice columnas'!$B$2:$B$100,""""),
col,IFERROR(MATCH(campo,Referencia!$A$1:$AZ$1,0),0),
fila,IFERROR(MATCH(TO_TEXT(D4003),ARRAYFOR"&amp;"MULA(TO_TEXT(Referencia!$A$2:$A6238)),0),0),
IF(OR(campo="""",campo=""-""),""NO APLICA"",
IF(col=0,""REVISAR EQUIVALENCIA"",
IF(fila=0,""SKU NO ENCONTRADO"",
LET(
valor,INDEX(Referencia!$A$2:$AZ6238,fila,col),
IF(TRIM(TO_TEXT(valor))=TRIM(TO_TEXT(I4003)),"&amp;"
""OK"",
""NO COINCIDE. Valor verdadero: ""&amp;IF(valor="""",""[VACÍO]"",TO_TEXT(valor))
)
))))
),""ERROR EN FÓRMULA""))"),"OK")</f>
        <v>OK</v>
      </c>
    </row>
    <row r="4004">
      <c r="A4004" s="83" t="s">
        <v>4896</v>
      </c>
      <c r="B4004" s="83" t="s">
        <v>4897</v>
      </c>
      <c r="C4004" s="81" t="s">
        <v>4086</v>
      </c>
      <c r="D4004" s="83" t="s">
        <v>4604</v>
      </c>
      <c r="E4004" s="81" t="s">
        <v>2885</v>
      </c>
      <c r="F4004" s="81">
        <v>555.0</v>
      </c>
      <c r="G4004" s="81" t="s">
        <v>2</v>
      </c>
      <c r="H4004" s="81" t="s">
        <v>224</v>
      </c>
      <c r="I4004" s="81" t="s">
        <v>213</v>
      </c>
      <c r="J4004" s="81" t="s">
        <v>224</v>
      </c>
      <c r="K4004" s="81" t="str">
        <f>IFERROR(__xludf.DUMMYFUNCTION("IF(OR(D4004="""",G4004=""""),"""",IFERROR(LET(
campo,XLOOKUP(TRIM(G4004),ARRAYFORMULA(TRIM('indice columnas'!$A$2:$A$100)),'indice columnas'!$B$2:$B$100,""""),
col,IFERROR(MATCH(campo,Referencia!$A$1:$AZ$1,0),0),
fila,IFERROR(MATCH(TO_TEXT(D4004),ARRAYFOR"&amp;"MULA(TO_TEXT(Referencia!$A$2:$A6238)),0),0),
IF(OR(campo="""",campo=""-""),""NO APLICA"",
IF(col=0,""REVISAR EQUIVALENCIA"",
IF(fila=0,""SKU NO ENCONTRADO"",
LET(
valor,INDEX(Referencia!$A$2:$AZ6238,fila,col),
IF(TRIM(TO_TEXT(valor))=TRIM(TO_TEXT(I4004)),"&amp;"
""OK"",
""NO COINCIDE. Valor verdadero: ""&amp;IF(valor="""",""[VACÍO]"",TO_TEXT(valor))
)
))))
),""ERROR EN FÓRMULA""))"),"OK")</f>
        <v>OK</v>
      </c>
    </row>
    <row r="4005">
      <c r="A4005" s="83" t="s">
        <v>4896</v>
      </c>
      <c r="B4005" s="83" t="s">
        <v>4897</v>
      </c>
      <c r="C4005" s="81" t="s">
        <v>4086</v>
      </c>
      <c r="D4005" s="83" t="s">
        <v>4604</v>
      </c>
      <c r="E4005" s="81" t="s">
        <v>2885</v>
      </c>
      <c r="F4005" s="81">
        <v>555.0</v>
      </c>
      <c r="G4005" s="81" t="s">
        <v>1</v>
      </c>
      <c r="H4005" s="81" t="s">
        <v>224</v>
      </c>
      <c r="I4005" s="81" t="s">
        <v>49</v>
      </c>
      <c r="J4005" s="81" t="s">
        <v>224</v>
      </c>
      <c r="K4005" s="81" t="str">
        <f>IFERROR(__xludf.DUMMYFUNCTION("IF(OR(D4005="""",G4005=""""),"""",IFERROR(LET(
campo,XLOOKUP(TRIM(G4005),ARRAYFORMULA(TRIM('indice columnas'!$A$2:$A$100)),'indice columnas'!$B$2:$B$100,""""),
col,IFERROR(MATCH(campo,Referencia!$A$1:$AZ$1,0),0),
fila,IFERROR(MATCH(TO_TEXT(D4005),ARRAYFOR"&amp;"MULA(TO_TEXT(Referencia!$A$2:$A6238)),0),0),
IF(OR(campo="""",campo=""-""),""NO APLICA"",
IF(col=0,""REVISAR EQUIVALENCIA"",
IF(fila=0,""SKU NO ENCONTRADO"",
LET(
valor,INDEX(Referencia!$A$2:$AZ6238,fila,col),
IF(TRIM(TO_TEXT(valor))=TRIM(TO_TEXT(I4005)),"&amp;"
""OK"",
""NO COINCIDE. Valor verdadero: ""&amp;IF(valor="""",""[VACÍO]"",TO_TEXT(valor))
)
))))
),""ERROR EN FÓRMULA""))"),"OK")</f>
        <v>OK</v>
      </c>
    </row>
    <row r="4006">
      <c r="A4006" s="83" t="s">
        <v>4896</v>
      </c>
      <c r="B4006" s="83" t="s">
        <v>4897</v>
      </c>
      <c r="C4006" s="81" t="s">
        <v>4086</v>
      </c>
      <c r="D4006" s="83" t="s">
        <v>4605</v>
      </c>
      <c r="E4006" s="81" t="s">
        <v>2889</v>
      </c>
      <c r="F4006" s="81">
        <v>556.0</v>
      </c>
      <c r="G4006" s="81" t="s">
        <v>3</v>
      </c>
      <c r="H4006" s="81" t="s">
        <v>224</v>
      </c>
      <c r="I4006" s="81" t="s">
        <v>1144</v>
      </c>
      <c r="J4006" s="81" t="s">
        <v>224</v>
      </c>
      <c r="K4006" s="81" t="str">
        <f>IFERROR(__xludf.DUMMYFUNCTION("IF(OR(D4006="""",G4006=""""),"""",IFERROR(LET(
campo,XLOOKUP(TRIM(G4006),ARRAYFORMULA(TRIM('indice columnas'!$A$2:$A$100)),'indice columnas'!$B$2:$B$100,""""),
col,IFERROR(MATCH(campo,Referencia!$A$1:$AZ$1,0),0),
fila,IFERROR(MATCH(TO_TEXT(D4006),ARRAYFOR"&amp;"MULA(TO_TEXT(Referencia!$A$2:$A6238)),0),0),
IF(OR(campo="""",campo=""-""),""NO APLICA"",
IF(col=0,""REVISAR EQUIVALENCIA"",
IF(fila=0,""SKU NO ENCONTRADO"",
LET(
valor,INDEX(Referencia!$A$2:$AZ6238,fila,col),
IF(TRIM(TO_TEXT(valor))=TRIM(TO_TEXT(I4006)),"&amp;"
""OK"",
""NO COINCIDE. Valor verdadero: ""&amp;IF(valor="""",""[VACÍO]"",TO_TEXT(valor))
)
))))
),""ERROR EN FÓRMULA""))"),"OK")</f>
        <v>OK</v>
      </c>
    </row>
    <row r="4007">
      <c r="A4007" s="83" t="s">
        <v>4896</v>
      </c>
      <c r="B4007" s="83" t="s">
        <v>4897</v>
      </c>
      <c r="C4007" s="81" t="s">
        <v>4086</v>
      </c>
      <c r="D4007" s="83" t="s">
        <v>4605</v>
      </c>
      <c r="E4007" s="81" t="s">
        <v>2889</v>
      </c>
      <c r="F4007" s="81">
        <v>556.0</v>
      </c>
      <c r="G4007" s="81" t="s">
        <v>2</v>
      </c>
      <c r="H4007" s="81" t="s">
        <v>224</v>
      </c>
      <c r="I4007" s="81" t="s">
        <v>213</v>
      </c>
      <c r="J4007" s="81" t="s">
        <v>224</v>
      </c>
      <c r="K4007" s="81" t="str">
        <f>IFERROR(__xludf.DUMMYFUNCTION("IF(OR(D4007="""",G4007=""""),"""",IFERROR(LET(
campo,XLOOKUP(TRIM(G4007),ARRAYFORMULA(TRIM('indice columnas'!$A$2:$A$100)),'indice columnas'!$B$2:$B$100,""""),
col,IFERROR(MATCH(campo,Referencia!$A$1:$AZ$1,0),0),
fila,IFERROR(MATCH(TO_TEXT(D4007),ARRAYFOR"&amp;"MULA(TO_TEXT(Referencia!$A$2:$A6238)),0),0),
IF(OR(campo="""",campo=""-""),""NO APLICA"",
IF(col=0,""REVISAR EQUIVALENCIA"",
IF(fila=0,""SKU NO ENCONTRADO"",
LET(
valor,INDEX(Referencia!$A$2:$AZ6238,fila,col),
IF(TRIM(TO_TEXT(valor))=TRIM(TO_TEXT(I4007)),"&amp;"
""OK"",
""NO COINCIDE. Valor verdadero: ""&amp;IF(valor="""",""[VACÍO]"",TO_TEXT(valor))
)
))))
),""ERROR EN FÓRMULA""))"),"OK")</f>
        <v>OK</v>
      </c>
    </row>
    <row r="4008">
      <c r="A4008" s="83" t="s">
        <v>4896</v>
      </c>
      <c r="B4008" s="83" t="s">
        <v>4897</v>
      </c>
      <c r="C4008" s="81" t="s">
        <v>4086</v>
      </c>
      <c r="D4008" s="83" t="s">
        <v>4605</v>
      </c>
      <c r="E4008" s="81" t="s">
        <v>2889</v>
      </c>
      <c r="F4008" s="81">
        <v>556.0</v>
      </c>
      <c r="G4008" s="81" t="s">
        <v>1</v>
      </c>
      <c r="H4008" s="81" t="s">
        <v>224</v>
      </c>
      <c r="I4008" s="81" t="s">
        <v>49</v>
      </c>
      <c r="J4008" s="81" t="s">
        <v>224</v>
      </c>
      <c r="K4008" s="81" t="str">
        <f>IFERROR(__xludf.DUMMYFUNCTION("IF(OR(D4008="""",G4008=""""),"""",IFERROR(LET(
campo,XLOOKUP(TRIM(G4008),ARRAYFORMULA(TRIM('indice columnas'!$A$2:$A$100)),'indice columnas'!$B$2:$B$100,""""),
col,IFERROR(MATCH(campo,Referencia!$A$1:$AZ$1,0),0),
fila,IFERROR(MATCH(TO_TEXT(D4008),ARRAYFOR"&amp;"MULA(TO_TEXT(Referencia!$A$2:$A6238)),0),0),
IF(OR(campo="""",campo=""-""),""NO APLICA"",
IF(col=0,""REVISAR EQUIVALENCIA"",
IF(fila=0,""SKU NO ENCONTRADO"",
LET(
valor,INDEX(Referencia!$A$2:$AZ6238,fila,col),
IF(TRIM(TO_TEXT(valor))=TRIM(TO_TEXT(I4008)),"&amp;"
""OK"",
""NO COINCIDE. Valor verdadero: ""&amp;IF(valor="""",""[VACÍO]"",TO_TEXT(valor))
)
))))
),""ERROR EN FÓRMULA""))"),"OK")</f>
        <v>OK</v>
      </c>
    </row>
    <row r="4009">
      <c r="A4009" s="83" t="s">
        <v>4896</v>
      </c>
      <c r="B4009" s="83" t="s">
        <v>4897</v>
      </c>
      <c r="C4009" s="81" t="s">
        <v>4086</v>
      </c>
      <c r="D4009" s="83" t="s">
        <v>4606</v>
      </c>
      <c r="E4009" s="81" t="s">
        <v>2891</v>
      </c>
      <c r="F4009" s="81">
        <v>557.0</v>
      </c>
      <c r="G4009" s="81" t="s">
        <v>3</v>
      </c>
      <c r="H4009" s="81" t="s">
        <v>224</v>
      </c>
      <c r="I4009" s="81" t="s">
        <v>1144</v>
      </c>
      <c r="J4009" s="81" t="s">
        <v>224</v>
      </c>
      <c r="K4009" s="81" t="str">
        <f>IFERROR(__xludf.DUMMYFUNCTION("IF(OR(D4009="""",G4009=""""),"""",IFERROR(LET(
campo,XLOOKUP(TRIM(G4009),ARRAYFORMULA(TRIM('indice columnas'!$A$2:$A$100)),'indice columnas'!$B$2:$B$100,""""),
col,IFERROR(MATCH(campo,Referencia!$A$1:$AZ$1,0),0),
fila,IFERROR(MATCH(TO_TEXT(D4009),ARRAYFOR"&amp;"MULA(TO_TEXT(Referencia!$A$2:$A6238)),0),0),
IF(OR(campo="""",campo=""-""),""NO APLICA"",
IF(col=0,""REVISAR EQUIVALENCIA"",
IF(fila=0,""SKU NO ENCONTRADO"",
LET(
valor,INDEX(Referencia!$A$2:$AZ6238,fila,col),
IF(TRIM(TO_TEXT(valor))=TRIM(TO_TEXT(I4009)),"&amp;"
""OK"",
""NO COINCIDE. Valor verdadero: ""&amp;IF(valor="""",""[VACÍO]"",TO_TEXT(valor))
)
))))
),""ERROR EN FÓRMULA""))"),"OK")</f>
        <v>OK</v>
      </c>
    </row>
    <row r="4010">
      <c r="A4010" s="83" t="s">
        <v>4896</v>
      </c>
      <c r="B4010" s="83" t="s">
        <v>4897</v>
      </c>
      <c r="C4010" s="81" t="s">
        <v>4086</v>
      </c>
      <c r="D4010" s="83" t="s">
        <v>4606</v>
      </c>
      <c r="E4010" s="81" t="s">
        <v>2891</v>
      </c>
      <c r="F4010" s="81">
        <v>557.0</v>
      </c>
      <c r="G4010" s="81" t="s">
        <v>2</v>
      </c>
      <c r="H4010" s="81" t="s">
        <v>224</v>
      </c>
      <c r="I4010" s="81" t="s">
        <v>213</v>
      </c>
      <c r="J4010" s="81" t="s">
        <v>224</v>
      </c>
      <c r="K4010" s="81" t="str">
        <f>IFERROR(__xludf.DUMMYFUNCTION("IF(OR(D4010="""",G4010=""""),"""",IFERROR(LET(
campo,XLOOKUP(TRIM(G4010),ARRAYFORMULA(TRIM('indice columnas'!$A$2:$A$100)),'indice columnas'!$B$2:$B$100,""""),
col,IFERROR(MATCH(campo,Referencia!$A$1:$AZ$1,0),0),
fila,IFERROR(MATCH(TO_TEXT(D4010),ARRAYFOR"&amp;"MULA(TO_TEXT(Referencia!$A$2:$A6238)),0),0),
IF(OR(campo="""",campo=""-""),""NO APLICA"",
IF(col=0,""REVISAR EQUIVALENCIA"",
IF(fila=0,""SKU NO ENCONTRADO"",
LET(
valor,INDEX(Referencia!$A$2:$AZ6238,fila,col),
IF(TRIM(TO_TEXT(valor))=TRIM(TO_TEXT(I4010)),"&amp;"
""OK"",
""NO COINCIDE. Valor verdadero: ""&amp;IF(valor="""",""[VACÍO]"",TO_TEXT(valor))
)
))))
),""ERROR EN FÓRMULA""))"),"OK")</f>
        <v>OK</v>
      </c>
    </row>
    <row r="4011">
      <c r="A4011" s="83" t="s">
        <v>4896</v>
      </c>
      <c r="B4011" s="83" t="s">
        <v>4897</v>
      </c>
      <c r="C4011" s="81" t="s">
        <v>4086</v>
      </c>
      <c r="D4011" s="83" t="s">
        <v>4606</v>
      </c>
      <c r="E4011" s="81" t="s">
        <v>2891</v>
      </c>
      <c r="F4011" s="81">
        <v>557.0</v>
      </c>
      <c r="G4011" s="81" t="s">
        <v>1</v>
      </c>
      <c r="H4011" s="81" t="s">
        <v>224</v>
      </c>
      <c r="I4011" s="81" t="s">
        <v>49</v>
      </c>
      <c r="J4011" s="81" t="s">
        <v>224</v>
      </c>
      <c r="K4011" s="81" t="str">
        <f>IFERROR(__xludf.DUMMYFUNCTION("IF(OR(D4011="""",G4011=""""),"""",IFERROR(LET(
campo,XLOOKUP(TRIM(G4011),ARRAYFORMULA(TRIM('indice columnas'!$A$2:$A$100)),'indice columnas'!$B$2:$B$100,""""),
col,IFERROR(MATCH(campo,Referencia!$A$1:$AZ$1,0),0),
fila,IFERROR(MATCH(TO_TEXT(D4011),ARRAYFOR"&amp;"MULA(TO_TEXT(Referencia!$A$2:$A6238)),0),0),
IF(OR(campo="""",campo=""-""),""NO APLICA"",
IF(col=0,""REVISAR EQUIVALENCIA"",
IF(fila=0,""SKU NO ENCONTRADO"",
LET(
valor,INDEX(Referencia!$A$2:$AZ6238,fila,col),
IF(TRIM(TO_TEXT(valor))=TRIM(TO_TEXT(I4011)),"&amp;"
""OK"",
""NO COINCIDE. Valor verdadero: ""&amp;IF(valor="""",""[VACÍO]"",TO_TEXT(valor))
)
))))
),""ERROR EN FÓRMULA""))"),"OK")</f>
        <v>OK</v>
      </c>
    </row>
    <row r="4012">
      <c r="A4012" s="83" t="s">
        <v>4896</v>
      </c>
      <c r="B4012" s="83" t="s">
        <v>4897</v>
      </c>
      <c r="C4012" s="81" t="s">
        <v>4086</v>
      </c>
      <c r="D4012" s="83" t="s">
        <v>4607</v>
      </c>
      <c r="E4012" s="81" t="s">
        <v>2893</v>
      </c>
      <c r="F4012" s="81">
        <v>558.0</v>
      </c>
      <c r="G4012" s="81" t="s">
        <v>3</v>
      </c>
      <c r="H4012" s="81" t="s">
        <v>224</v>
      </c>
      <c r="I4012" s="81" t="s">
        <v>1144</v>
      </c>
      <c r="J4012" s="81" t="s">
        <v>224</v>
      </c>
      <c r="K4012" s="81" t="str">
        <f>IFERROR(__xludf.DUMMYFUNCTION("IF(OR(D4012="""",G4012=""""),"""",IFERROR(LET(
campo,XLOOKUP(TRIM(G4012),ARRAYFORMULA(TRIM('indice columnas'!$A$2:$A$100)),'indice columnas'!$B$2:$B$100,""""),
col,IFERROR(MATCH(campo,Referencia!$A$1:$AZ$1,0),0),
fila,IFERROR(MATCH(TO_TEXT(D4012),ARRAYFOR"&amp;"MULA(TO_TEXT(Referencia!$A$2:$A6238)),0),0),
IF(OR(campo="""",campo=""-""),""NO APLICA"",
IF(col=0,""REVISAR EQUIVALENCIA"",
IF(fila=0,""SKU NO ENCONTRADO"",
LET(
valor,INDEX(Referencia!$A$2:$AZ6238,fila,col),
IF(TRIM(TO_TEXT(valor))=TRIM(TO_TEXT(I4012)),"&amp;"
""OK"",
""NO COINCIDE. Valor verdadero: ""&amp;IF(valor="""",""[VACÍO]"",TO_TEXT(valor))
)
))))
),""ERROR EN FÓRMULA""))"),"OK")</f>
        <v>OK</v>
      </c>
    </row>
    <row r="4013">
      <c r="A4013" s="83" t="s">
        <v>4896</v>
      </c>
      <c r="B4013" s="83" t="s">
        <v>4897</v>
      </c>
      <c r="C4013" s="81" t="s">
        <v>4086</v>
      </c>
      <c r="D4013" s="83" t="s">
        <v>4607</v>
      </c>
      <c r="E4013" s="81" t="s">
        <v>2893</v>
      </c>
      <c r="F4013" s="81">
        <v>558.0</v>
      </c>
      <c r="G4013" s="81" t="s">
        <v>2</v>
      </c>
      <c r="H4013" s="81" t="s">
        <v>224</v>
      </c>
      <c r="I4013" s="81" t="s">
        <v>213</v>
      </c>
      <c r="J4013" s="81" t="s">
        <v>224</v>
      </c>
      <c r="K4013" s="81" t="str">
        <f>IFERROR(__xludf.DUMMYFUNCTION("IF(OR(D4013="""",G4013=""""),"""",IFERROR(LET(
campo,XLOOKUP(TRIM(G4013),ARRAYFORMULA(TRIM('indice columnas'!$A$2:$A$100)),'indice columnas'!$B$2:$B$100,""""),
col,IFERROR(MATCH(campo,Referencia!$A$1:$AZ$1,0),0),
fila,IFERROR(MATCH(TO_TEXT(D4013),ARRAYFOR"&amp;"MULA(TO_TEXT(Referencia!$A$2:$A6238)),0),0),
IF(OR(campo="""",campo=""-""),""NO APLICA"",
IF(col=0,""REVISAR EQUIVALENCIA"",
IF(fila=0,""SKU NO ENCONTRADO"",
LET(
valor,INDEX(Referencia!$A$2:$AZ6238,fila,col),
IF(TRIM(TO_TEXT(valor))=TRIM(TO_TEXT(I4013)),"&amp;"
""OK"",
""NO COINCIDE. Valor verdadero: ""&amp;IF(valor="""",""[VACÍO]"",TO_TEXT(valor))
)
))))
),""ERROR EN FÓRMULA""))"),"OK")</f>
        <v>OK</v>
      </c>
    </row>
    <row r="4014">
      <c r="A4014" s="83" t="s">
        <v>4896</v>
      </c>
      <c r="B4014" s="83" t="s">
        <v>4897</v>
      </c>
      <c r="C4014" s="81" t="s">
        <v>4086</v>
      </c>
      <c r="D4014" s="83" t="s">
        <v>4607</v>
      </c>
      <c r="E4014" s="81" t="s">
        <v>2893</v>
      </c>
      <c r="F4014" s="81">
        <v>558.0</v>
      </c>
      <c r="G4014" s="81" t="s">
        <v>1</v>
      </c>
      <c r="H4014" s="81" t="s">
        <v>224</v>
      </c>
      <c r="I4014" s="81" t="s">
        <v>49</v>
      </c>
      <c r="J4014" s="81" t="s">
        <v>224</v>
      </c>
      <c r="K4014" s="81" t="str">
        <f>IFERROR(__xludf.DUMMYFUNCTION("IF(OR(D4014="""",G4014=""""),"""",IFERROR(LET(
campo,XLOOKUP(TRIM(G4014),ARRAYFORMULA(TRIM('indice columnas'!$A$2:$A$100)),'indice columnas'!$B$2:$B$100,""""),
col,IFERROR(MATCH(campo,Referencia!$A$1:$AZ$1,0),0),
fila,IFERROR(MATCH(TO_TEXT(D4014),ARRAYFOR"&amp;"MULA(TO_TEXT(Referencia!$A$2:$A6238)),0),0),
IF(OR(campo="""",campo=""-""),""NO APLICA"",
IF(col=0,""REVISAR EQUIVALENCIA"",
IF(fila=0,""SKU NO ENCONTRADO"",
LET(
valor,INDEX(Referencia!$A$2:$AZ6238,fila,col),
IF(TRIM(TO_TEXT(valor))=TRIM(TO_TEXT(I4014)),"&amp;"
""OK"",
""NO COINCIDE. Valor verdadero: ""&amp;IF(valor="""",""[VACÍO]"",TO_TEXT(valor))
)
))))
),""ERROR EN FÓRMULA""))"),"OK")</f>
        <v>OK</v>
      </c>
    </row>
    <row r="4015">
      <c r="A4015" s="83" t="s">
        <v>4896</v>
      </c>
      <c r="B4015" s="83" t="s">
        <v>4897</v>
      </c>
      <c r="C4015" s="81" t="s">
        <v>4086</v>
      </c>
      <c r="D4015" s="83" t="s">
        <v>4608</v>
      </c>
      <c r="E4015" s="81" t="s">
        <v>2906</v>
      </c>
      <c r="F4015" s="81">
        <v>560.0</v>
      </c>
      <c r="G4015" s="81" t="s">
        <v>3</v>
      </c>
      <c r="H4015" s="81" t="s">
        <v>224</v>
      </c>
      <c r="I4015" s="81" t="s">
        <v>214</v>
      </c>
      <c r="J4015" s="81" t="s">
        <v>224</v>
      </c>
      <c r="K4015" s="81" t="str">
        <f>IFERROR(__xludf.DUMMYFUNCTION("IF(OR(D4015="""",G4015=""""),"""",IFERROR(LET(
campo,XLOOKUP(TRIM(G4015),ARRAYFORMULA(TRIM('indice columnas'!$A$2:$A$100)),'indice columnas'!$B$2:$B$100,""""),
col,IFERROR(MATCH(campo,Referencia!$A$1:$AZ$1,0),0),
fila,IFERROR(MATCH(TO_TEXT(D4015),ARRAYFOR"&amp;"MULA(TO_TEXT(Referencia!$A$2:$A6238)),0),0),
IF(OR(campo="""",campo=""-""),""NO APLICA"",
IF(col=0,""REVISAR EQUIVALENCIA"",
IF(fila=0,""SKU NO ENCONTRADO"",
LET(
valor,INDEX(Referencia!$A$2:$AZ6238,fila,col),
IF(TRIM(TO_TEXT(valor))=TRIM(TO_TEXT(I4015)),"&amp;"
""OK"",
""NO COINCIDE. Valor verdadero: ""&amp;IF(valor="""",""[VACÍO]"",TO_TEXT(valor))
)
))))
),""ERROR EN FÓRMULA""))"),"OK")</f>
        <v>OK</v>
      </c>
    </row>
    <row r="4016">
      <c r="A4016" s="83" t="s">
        <v>4896</v>
      </c>
      <c r="B4016" s="83" t="s">
        <v>4897</v>
      </c>
      <c r="C4016" s="81" t="s">
        <v>4086</v>
      </c>
      <c r="D4016" s="83" t="s">
        <v>4608</v>
      </c>
      <c r="E4016" s="81" t="s">
        <v>2906</v>
      </c>
      <c r="F4016" s="81">
        <v>560.0</v>
      </c>
      <c r="G4016" s="81" t="s">
        <v>2</v>
      </c>
      <c r="H4016" s="81" t="s">
        <v>224</v>
      </c>
      <c r="I4016" s="81" t="s">
        <v>213</v>
      </c>
      <c r="J4016" s="81" t="s">
        <v>224</v>
      </c>
      <c r="K4016" s="81" t="str">
        <f>IFERROR(__xludf.DUMMYFUNCTION("IF(OR(D4016="""",G4016=""""),"""",IFERROR(LET(
campo,XLOOKUP(TRIM(G4016),ARRAYFORMULA(TRIM('indice columnas'!$A$2:$A$100)),'indice columnas'!$B$2:$B$100,""""),
col,IFERROR(MATCH(campo,Referencia!$A$1:$AZ$1,0),0),
fila,IFERROR(MATCH(TO_TEXT(D4016),ARRAYFOR"&amp;"MULA(TO_TEXT(Referencia!$A$2:$A6238)),0),0),
IF(OR(campo="""",campo=""-""),""NO APLICA"",
IF(col=0,""REVISAR EQUIVALENCIA"",
IF(fila=0,""SKU NO ENCONTRADO"",
LET(
valor,INDEX(Referencia!$A$2:$AZ6238,fila,col),
IF(TRIM(TO_TEXT(valor))=TRIM(TO_TEXT(I4016)),"&amp;"
""OK"",
""NO COINCIDE. Valor verdadero: ""&amp;IF(valor="""",""[VACÍO]"",TO_TEXT(valor))
)
))))
),""ERROR EN FÓRMULA""))"),"OK")</f>
        <v>OK</v>
      </c>
    </row>
    <row r="4017">
      <c r="A4017" s="83" t="s">
        <v>4896</v>
      </c>
      <c r="B4017" s="83" t="s">
        <v>4897</v>
      </c>
      <c r="C4017" s="81" t="s">
        <v>4086</v>
      </c>
      <c r="D4017" s="83" t="s">
        <v>4611</v>
      </c>
      <c r="E4017" s="81" t="s">
        <v>2908</v>
      </c>
      <c r="F4017" s="81">
        <v>561.0</v>
      </c>
      <c r="G4017" s="81" t="s">
        <v>3</v>
      </c>
      <c r="H4017" s="81" t="s">
        <v>224</v>
      </c>
      <c r="I4017" s="81" t="s">
        <v>214</v>
      </c>
      <c r="J4017" s="81" t="s">
        <v>224</v>
      </c>
      <c r="K4017" s="81" t="str">
        <f>IFERROR(__xludf.DUMMYFUNCTION("IF(OR(D4017="""",G4017=""""),"""",IFERROR(LET(
campo,XLOOKUP(TRIM(G4017),ARRAYFORMULA(TRIM('indice columnas'!$A$2:$A$100)),'indice columnas'!$B$2:$B$100,""""),
col,IFERROR(MATCH(campo,Referencia!$A$1:$AZ$1,0),0),
fila,IFERROR(MATCH(TO_TEXT(D4017),ARRAYFOR"&amp;"MULA(TO_TEXT(Referencia!$A$2:$A6238)),0),0),
IF(OR(campo="""",campo=""-""),""NO APLICA"",
IF(col=0,""REVISAR EQUIVALENCIA"",
IF(fila=0,""SKU NO ENCONTRADO"",
LET(
valor,INDEX(Referencia!$A$2:$AZ6238,fila,col),
IF(TRIM(TO_TEXT(valor))=TRIM(TO_TEXT(I4017)),"&amp;"
""OK"",
""NO COINCIDE. Valor verdadero: ""&amp;IF(valor="""",""[VACÍO]"",TO_TEXT(valor))
)
))))
),""ERROR EN FÓRMULA""))"),"OK")</f>
        <v>OK</v>
      </c>
    </row>
    <row r="4018">
      <c r="A4018" s="83" t="s">
        <v>4896</v>
      </c>
      <c r="B4018" s="83" t="s">
        <v>4897</v>
      </c>
      <c r="C4018" s="81" t="s">
        <v>4086</v>
      </c>
      <c r="D4018" s="83" t="s">
        <v>4611</v>
      </c>
      <c r="E4018" s="81" t="s">
        <v>2908</v>
      </c>
      <c r="F4018" s="81">
        <v>561.0</v>
      </c>
      <c r="G4018" s="81" t="s">
        <v>2</v>
      </c>
      <c r="H4018" s="81" t="s">
        <v>224</v>
      </c>
      <c r="I4018" s="81" t="s">
        <v>213</v>
      </c>
      <c r="J4018" s="81" t="s">
        <v>224</v>
      </c>
      <c r="K4018" s="81" t="str">
        <f>IFERROR(__xludf.DUMMYFUNCTION("IF(OR(D4018="""",G4018=""""),"""",IFERROR(LET(
campo,XLOOKUP(TRIM(G4018),ARRAYFORMULA(TRIM('indice columnas'!$A$2:$A$100)),'indice columnas'!$B$2:$B$100,""""),
col,IFERROR(MATCH(campo,Referencia!$A$1:$AZ$1,0),0),
fila,IFERROR(MATCH(TO_TEXT(D4018),ARRAYFOR"&amp;"MULA(TO_TEXT(Referencia!$A$2:$A6238)),0),0),
IF(OR(campo="""",campo=""-""),""NO APLICA"",
IF(col=0,""REVISAR EQUIVALENCIA"",
IF(fila=0,""SKU NO ENCONTRADO"",
LET(
valor,INDEX(Referencia!$A$2:$AZ6238,fila,col),
IF(TRIM(TO_TEXT(valor))=TRIM(TO_TEXT(I4018)),"&amp;"
""OK"",
""NO COINCIDE. Valor verdadero: ""&amp;IF(valor="""",""[VACÍO]"",TO_TEXT(valor))
)
))))
),""ERROR EN FÓRMULA""))"),"OK")</f>
        <v>OK</v>
      </c>
    </row>
    <row r="4019">
      <c r="A4019" s="83" t="s">
        <v>4896</v>
      </c>
      <c r="B4019" s="83" t="s">
        <v>4897</v>
      </c>
      <c r="C4019" s="81" t="s">
        <v>4086</v>
      </c>
      <c r="D4019" s="83" t="s">
        <v>4614</v>
      </c>
      <c r="E4019" s="81" t="s">
        <v>2922</v>
      </c>
      <c r="F4019" s="81">
        <v>564.0</v>
      </c>
      <c r="G4019" s="81" t="s">
        <v>3</v>
      </c>
      <c r="H4019" s="81" t="s">
        <v>224</v>
      </c>
      <c r="I4019" s="81" t="s">
        <v>214</v>
      </c>
      <c r="J4019" s="81" t="s">
        <v>224</v>
      </c>
      <c r="K4019" s="81" t="str">
        <f>IFERROR(__xludf.DUMMYFUNCTION("IF(OR(D4019="""",G4019=""""),"""",IFERROR(LET(
campo,XLOOKUP(TRIM(G4019),ARRAYFORMULA(TRIM('indice columnas'!$A$2:$A$100)),'indice columnas'!$B$2:$B$100,""""),
col,IFERROR(MATCH(campo,Referencia!$A$1:$AZ$1,0),0),
fila,IFERROR(MATCH(TO_TEXT(D4019),ARRAYFOR"&amp;"MULA(TO_TEXT(Referencia!$A$2:$A6238)),0),0),
IF(OR(campo="""",campo=""-""),""NO APLICA"",
IF(col=0,""REVISAR EQUIVALENCIA"",
IF(fila=0,""SKU NO ENCONTRADO"",
LET(
valor,INDEX(Referencia!$A$2:$AZ6238,fila,col),
IF(TRIM(TO_TEXT(valor))=TRIM(TO_TEXT(I4019)),"&amp;"
""OK"",
""NO COINCIDE. Valor verdadero: ""&amp;IF(valor="""",""[VACÍO]"",TO_TEXT(valor))
)
))))
),""ERROR EN FÓRMULA""))"),"OK")</f>
        <v>OK</v>
      </c>
    </row>
    <row r="4020">
      <c r="A4020" s="83" t="s">
        <v>4896</v>
      </c>
      <c r="B4020" s="83" t="s">
        <v>4897</v>
      </c>
      <c r="C4020" s="81" t="s">
        <v>4086</v>
      </c>
      <c r="D4020" s="83" t="s">
        <v>4614</v>
      </c>
      <c r="E4020" s="81" t="s">
        <v>2922</v>
      </c>
      <c r="F4020" s="81">
        <v>564.0</v>
      </c>
      <c r="G4020" s="81" t="s">
        <v>2</v>
      </c>
      <c r="H4020" s="81" t="s">
        <v>224</v>
      </c>
      <c r="I4020" s="81" t="s">
        <v>213</v>
      </c>
      <c r="J4020" s="81" t="s">
        <v>224</v>
      </c>
      <c r="K4020" s="81" t="str">
        <f>IFERROR(__xludf.DUMMYFUNCTION("IF(OR(D4020="""",G4020=""""),"""",IFERROR(LET(
campo,XLOOKUP(TRIM(G4020),ARRAYFORMULA(TRIM('indice columnas'!$A$2:$A$100)),'indice columnas'!$B$2:$B$100,""""),
col,IFERROR(MATCH(campo,Referencia!$A$1:$AZ$1,0),0),
fila,IFERROR(MATCH(TO_TEXT(D4020),ARRAYFOR"&amp;"MULA(TO_TEXT(Referencia!$A$2:$A6238)),0),0),
IF(OR(campo="""",campo=""-""),""NO APLICA"",
IF(col=0,""REVISAR EQUIVALENCIA"",
IF(fila=0,""SKU NO ENCONTRADO"",
LET(
valor,INDEX(Referencia!$A$2:$AZ6238,fila,col),
IF(TRIM(TO_TEXT(valor))=TRIM(TO_TEXT(I4020)),"&amp;"
""OK"",
""NO COINCIDE. Valor verdadero: ""&amp;IF(valor="""",""[VACÍO]"",TO_TEXT(valor))
)
))))
),""ERROR EN FÓRMULA""))"),"OK")</f>
        <v>OK</v>
      </c>
    </row>
    <row r="4021">
      <c r="A4021" s="83" t="s">
        <v>4896</v>
      </c>
      <c r="B4021" s="83" t="s">
        <v>4897</v>
      </c>
      <c r="C4021" s="81" t="s">
        <v>4086</v>
      </c>
      <c r="D4021" s="83" t="s">
        <v>4616</v>
      </c>
      <c r="E4021" s="81" t="s">
        <v>2930</v>
      </c>
      <c r="F4021" s="81">
        <v>565.0</v>
      </c>
      <c r="G4021" s="81" t="s">
        <v>3</v>
      </c>
      <c r="H4021" s="81" t="s">
        <v>224</v>
      </c>
      <c r="I4021" s="81" t="s">
        <v>214</v>
      </c>
      <c r="J4021" s="81" t="s">
        <v>224</v>
      </c>
      <c r="K4021" s="81" t="str">
        <f>IFERROR(__xludf.DUMMYFUNCTION("IF(OR(D4021="""",G4021=""""),"""",IFERROR(LET(
campo,XLOOKUP(TRIM(G4021),ARRAYFORMULA(TRIM('indice columnas'!$A$2:$A$100)),'indice columnas'!$B$2:$B$100,""""),
col,IFERROR(MATCH(campo,Referencia!$A$1:$AZ$1,0),0),
fila,IFERROR(MATCH(TO_TEXT(D4021),ARRAYFOR"&amp;"MULA(TO_TEXT(Referencia!$A$2:$A6238)),0),0),
IF(OR(campo="""",campo=""-""),""NO APLICA"",
IF(col=0,""REVISAR EQUIVALENCIA"",
IF(fila=0,""SKU NO ENCONTRADO"",
LET(
valor,INDEX(Referencia!$A$2:$AZ6238,fila,col),
IF(TRIM(TO_TEXT(valor))=TRIM(TO_TEXT(I4021)),"&amp;"
""OK"",
""NO COINCIDE. Valor verdadero: ""&amp;IF(valor="""",""[VACÍO]"",TO_TEXT(valor))
)
))))
),""ERROR EN FÓRMULA""))"),"OK")</f>
        <v>OK</v>
      </c>
    </row>
    <row r="4022">
      <c r="A4022" s="83" t="s">
        <v>4896</v>
      </c>
      <c r="B4022" s="83" t="s">
        <v>4897</v>
      </c>
      <c r="C4022" s="81" t="s">
        <v>4086</v>
      </c>
      <c r="D4022" s="83" t="s">
        <v>4616</v>
      </c>
      <c r="E4022" s="81" t="s">
        <v>2930</v>
      </c>
      <c r="F4022" s="81">
        <v>565.0</v>
      </c>
      <c r="G4022" s="81" t="s">
        <v>2</v>
      </c>
      <c r="H4022" s="81" t="s">
        <v>224</v>
      </c>
      <c r="I4022" s="81" t="s">
        <v>213</v>
      </c>
      <c r="J4022" s="81" t="s">
        <v>224</v>
      </c>
      <c r="K4022" s="81" t="str">
        <f>IFERROR(__xludf.DUMMYFUNCTION("IF(OR(D4022="""",G4022=""""),"""",IFERROR(LET(
campo,XLOOKUP(TRIM(G4022),ARRAYFORMULA(TRIM('indice columnas'!$A$2:$A$100)),'indice columnas'!$B$2:$B$100,""""),
col,IFERROR(MATCH(campo,Referencia!$A$1:$AZ$1,0),0),
fila,IFERROR(MATCH(TO_TEXT(D4022),ARRAYFOR"&amp;"MULA(TO_TEXT(Referencia!$A$2:$A6238)),0),0),
IF(OR(campo="""",campo=""-""),""NO APLICA"",
IF(col=0,""REVISAR EQUIVALENCIA"",
IF(fila=0,""SKU NO ENCONTRADO"",
LET(
valor,INDEX(Referencia!$A$2:$AZ6238,fila,col),
IF(TRIM(TO_TEXT(valor))=TRIM(TO_TEXT(I4022)),"&amp;"
""OK"",
""NO COINCIDE. Valor verdadero: ""&amp;IF(valor="""",""[VACÍO]"",TO_TEXT(valor))
)
))))
),""ERROR EN FÓRMULA""))"),"OK")</f>
        <v>OK</v>
      </c>
    </row>
    <row r="4023">
      <c r="A4023" s="83" t="s">
        <v>4896</v>
      </c>
      <c r="B4023" s="83" t="s">
        <v>4897</v>
      </c>
      <c r="C4023" s="81" t="s">
        <v>4086</v>
      </c>
      <c r="D4023" s="83" t="s">
        <v>4617</v>
      </c>
      <c r="E4023" s="81" t="s">
        <v>2933</v>
      </c>
      <c r="F4023" s="81">
        <v>566.0</v>
      </c>
      <c r="G4023" s="81" t="s">
        <v>3</v>
      </c>
      <c r="H4023" s="81" t="s">
        <v>224</v>
      </c>
      <c r="I4023" s="81" t="s">
        <v>214</v>
      </c>
      <c r="J4023" s="81" t="s">
        <v>224</v>
      </c>
      <c r="K4023" s="81" t="str">
        <f>IFERROR(__xludf.DUMMYFUNCTION("IF(OR(D4023="""",G4023=""""),"""",IFERROR(LET(
campo,XLOOKUP(TRIM(G4023),ARRAYFORMULA(TRIM('indice columnas'!$A$2:$A$100)),'indice columnas'!$B$2:$B$100,""""),
col,IFERROR(MATCH(campo,Referencia!$A$1:$AZ$1,0),0),
fila,IFERROR(MATCH(TO_TEXT(D4023),ARRAYFOR"&amp;"MULA(TO_TEXT(Referencia!$A$2:$A6238)),0),0),
IF(OR(campo="""",campo=""-""),""NO APLICA"",
IF(col=0,""REVISAR EQUIVALENCIA"",
IF(fila=0,""SKU NO ENCONTRADO"",
LET(
valor,INDEX(Referencia!$A$2:$AZ6238,fila,col),
IF(TRIM(TO_TEXT(valor))=TRIM(TO_TEXT(I4023)),"&amp;"
""OK"",
""NO COINCIDE. Valor verdadero: ""&amp;IF(valor="""",""[VACÍO]"",TO_TEXT(valor))
)
))))
),""ERROR EN FÓRMULA""))"),"OK")</f>
        <v>OK</v>
      </c>
    </row>
    <row r="4024">
      <c r="A4024" s="83" t="s">
        <v>4896</v>
      </c>
      <c r="B4024" s="83" t="s">
        <v>4897</v>
      </c>
      <c r="C4024" s="81" t="s">
        <v>4086</v>
      </c>
      <c r="D4024" s="83" t="s">
        <v>4617</v>
      </c>
      <c r="E4024" s="81" t="s">
        <v>2933</v>
      </c>
      <c r="F4024" s="81">
        <v>566.0</v>
      </c>
      <c r="G4024" s="81" t="s">
        <v>2</v>
      </c>
      <c r="H4024" s="81" t="s">
        <v>224</v>
      </c>
      <c r="I4024" s="81" t="s">
        <v>213</v>
      </c>
      <c r="J4024" s="81" t="s">
        <v>224</v>
      </c>
      <c r="K4024" s="81" t="str">
        <f>IFERROR(__xludf.DUMMYFUNCTION("IF(OR(D4024="""",G4024=""""),"""",IFERROR(LET(
campo,XLOOKUP(TRIM(G4024),ARRAYFORMULA(TRIM('indice columnas'!$A$2:$A$100)),'indice columnas'!$B$2:$B$100,""""),
col,IFERROR(MATCH(campo,Referencia!$A$1:$AZ$1,0),0),
fila,IFERROR(MATCH(TO_TEXT(D4024),ARRAYFOR"&amp;"MULA(TO_TEXT(Referencia!$A$2:$A6238)),0),0),
IF(OR(campo="""",campo=""-""),""NO APLICA"",
IF(col=0,""REVISAR EQUIVALENCIA"",
IF(fila=0,""SKU NO ENCONTRADO"",
LET(
valor,INDEX(Referencia!$A$2:$AZ6238,fila,col),
IF(TRIM(TO_TEXT(valor))=TRIM(TO_TEXT(I4024)),"&amp;"
""OK"",
""NO COINCIDE. Valor verdadero: ""&amp;IF(valor="""",""[VACÍO]"",TO_TEXT(valor))
)
))))
),""ERROR EN FÓRMULA""))"),"OK")</f>
        <v>OK</v>
      </c>
    </row>
    <row r="4025">
      <c r="A4025" s="83" t="s">
        <v>4896</v>
      </c>
      <c r="B4025" s="83" t="s">
        <v>4897</v>
      </c>
      <c r="C4025" s="81" t="s">
        <v>4086</v>
      </c>
      <c r="D4025" s="83" t="s">
        <v>4627</v>
      </c>
      <c r="E4025" s="81" t="s">
        <v>2962</v>
      </c>
      <c r="F4025" s="81">
        <v>570.0</v>
      </c>
      <c r="G4025" s="81" t="s">
        <v>3</v>
      </c>
      <c r="H4025" s="81" t="s">
        <v>224</v>
      </c>
      <c r="I4025" s="81" t="s">
        <v>214</v>
      </c>
      <c r="J4025" s="81" t="s">
        <v>224</v>
      </c>
      <c r="K4025" s="81" t="str">
        <f>IFERROR(__xludf.DUMMYFUNCTION("IF(OR(D4025="""",G4025=""""),"""",IFERROR(LET(
campo,XLOOKUP(TRIM(G4025),ARRAYFORMULA(TRIM('indice columnas'!$A$2:$A$100)),'indice columnas'!$B$2:$B$100,""""),
col,IFERROR(MATCH(campo,Referencia!$A$1:$AZ$1,0),0),
fila,IFERROR(MATCH(TO_TEXT(D4025),ARRAYFOR"&amp;"MULA(TO_TEXT(Referencia!$A$2:$A6238)),0),0),
IF(OR(campo="""",campo=""-""),""NO APLICA"",
IF(col=0,""REVISAR EQUIVALENCIA"",
IF(fila=0,""SKU NO ENCONTRADO"",
LET(
valor,INDEX(Referencia!$A$2:$AZ6238,fila,col),
IF(TRIM(TO_TEXT(valor))=TRIM(TO_TEXT(I4025)),"&amp;"
""OK"",
""NO COINCIDE. Valor verdadero: ""&amp;IF(valor="""",""[VACÍO]"",TO_TEXT(valor))
)
))))
),""ERROR EN FÓRMULA""))"),"OK")</f>
        <v>OK</v>
      </c>
    </row>
    <row r="4026">
      <c r="A4026" s="83" t="s">
        <v>4896</v>
      </c>
      <c r="B4026" s="83" t="s">
        <v>4897</v>
      </c>
      <c r="C4026" s="81" t="s">
        <v>4086</v>
      </c>
      <c r="D4026" s="83" t="s">
        <v>4627</v>
      </c>
      <c r="E4026" s="81" t="s">
        <v>2962</v>
      </c>
      <c r="F4026" s="81">
        <v>570.0</v>
      </c>
      <c r="G4026" s="81" t="s">
        <v>2</v>
      </c>
      <c r="H4026" s="81" t="s">
        <v>224</v>
      </c>
      <c r="I4026" s="81" t="s">
        <v>213</v>
      </c>
      <c r="J4026" s="81" t="s">
        <v>224</v>
      </c>
      <c r="K4026" s="81" t="str">
        <f>IFERROR(__xludf.DUMMYFUNCTION("IF(OR(D4026="""",G4026=""""),"""",IFERROR(LET(
campo,XLOOKUP(TRIM(G4026),ARRAYFORMULA(TRIM('indice columnas'!$A$2:$A$100)),'indice columnas'!$B$2:$B$100,""""),
col,IFERROR(MATCH(campo,Referencia!$A$1:$AZ$1,0),0),
fila,IFERROR(MATCH(TO_TEXT(D4026),ARRAYFOR"&amp;"MULA(TO_TEXT(Referencia!$A$2:$A6238)),0),0),
IF(OR(campo="""",campo=""-""),""NO APLICA"",
IF(col=0,""REVISAR EQUIVALENCIA"",
IF(fila=0,""SKU NO ENCONTRADO"",
LET(
valor,INDEX(Referencia!$A$2:$AZ6238,fila,col),
IF(TRIM(TO_TEXT(valor))=TRIM(TO_TEXT(I4026)),"&amp;"
""OK"",
""NO COINCIDE. Valor verdadero: ""&amp;IF(valor="""",""[VACÍO]"",TO_TEXT(valor))
)
))))
),""ERROR EN FÓRMULA""))"),"OK")</f>
        <v>OK</v>
      </c>
    </row>
    <row r="4027">
      <c r="A4027" s="83" t="s">
        <v>4896</v>
      </c>
      <c r="B4027" s="83" t="s">
        <v>4897</v>
      </c>
      <c r="C4027" s="81" t="s">
        <v>4086</v>
      </c>
      <c r="D4027" s="83" t="s">
        <v>4627</v>
      </c>
      <c r="E4027" s="81" t="s">
        <v>2962</v>
      </c>
      <c r="F4027" s="81">
        <v>570.0</v>
      </c>
      <c r="G4027" s="81" t="s">
        <v>1</v>
      </c>
      <c r="H4027" s="81" t="s">
        <v>224</v>
      </c>
      <c r="I4027" s="81" t="s">
        <v>49</v>
      </c>
      <c r="J4027" s="81" t="s">
        <v>224</v>
      </c>
      <c r="K4027" s="81" t="str">
        <f>IFERROR(__xludf.DUMMYFUNCTION("IF(OR(D4027="""",G4027=""""),"""",IFERROR(LET(
campo,XLOOKUP(TRIM(G4027),ARRAYFORMULA(TRIM('indice columnas'!$A$2:$A$100)),'indice columnas'!$B$2:$B$100,""""),
col,IFERROR(MATCH(campo,Referencia!$A$1:$AZ$1,0),0),
fila,IFERROR(MATCH(TO_TEXT(D4027),ARRAYFOR"&amp;"MULA(TO_TEXT(Referencia!$A$2:$A6238)),0),0),
IF(OR(campo="""",campo=""-""),""NO APLICA"",
IF(col=0,""REVISAR EQUIVALENCIA"",
IF(fila=0,""SKU NO ENCONTRADO"",
LET(
valor,INDEX(Referencia!$A$2:$AZ6238,fila,col),
IF(TRIM(TO_TEXT(valor))=TRIM(TO_TEXT(I4027)),"&amp;"
""OK"",
""NO COINCIDE. Valor verdadero: ""&amp;IF(valor="""",""[VACÍO]"",TO_TEXT(valor))
)
))))
),""ERROR EN FÓRMULA""))"),"OK")</f>
        <v>OK</v>
      </c>
    </row>
    <row r="4028">
      <c r="A4028" s="83" t="s">
        <v>4896</v>
      </c>
      <c r="B4028" s="83" t="s">
        <v>4897</v>
      </c>
      <c r="C4028" s="81" t="s">
        <v>4086</v>
      </c>
      <c r="D4028" s="83" t="s">
        <v>4630</v>
      </c>
      <c r="E4028" s="81" t="s">
        <v>2979</v>
      </c>
      <c r="F4028" s="81">
        <v>573.0</v>
      </c>
      <c r="G4028" s="81" t="s">
        <v>3</v>
      </c>
      <c r="H4028" s="81" t="s">
        <v>224</v>
      </c>
      <c r="I4028" s="81" t="s">
        <v>214</v>
      </c>
      <c r="J4028" s="81" t="s">
        <v>224</v>
      </c>
      <c r="K4028" s="81" t="str">
        <f>IFERROR(__xludf.DUMMYFUNCTION("IF(OR(D4028="""",G4028=""""),"""",IFERROR(LET(
campo,XLOOKUP(TRIM(G4028),ARRAYFORMULA(TRIM('indice columnas'!$A$2:$A$100)),'indice columnas'!$B$2:$B$100,""""),
col,IFERROR(MATCH(campo,Referencia!$A$1:$AZ$1,0),0),
fila,IFERROR(MATCH(TO_TEXT(D4028),ARRAYFOR"&amp;"MULA(TO_TEXT(Referencia!$A$2:$A6238)),0),0),
IF(OR(campo="""",campo=""-""),""NO APLICA"",
IF(col=0,""REVISAR EQUIVALENCIA"",
IF(fila=0,""SKU NO ENCONTRADO"",
LET(
valor,INDEX(Referencia!$A$2:$AZ6238,fila,col),
IF(TRIM(TO_TEXT(valor))=TRIM(TO_TEXT(I4028)),"&amp;"
""OK"",
""NO COINCIDE. Valor verdadero: ""&amp;IF(valor="""",""[VACÍO]"",TO_TEXT(valor))
)
))))
),""ERROR EN FÓRMULA""))"),"OK")</f>
        <v>OK</v>
      </c>
    </row>
    <row r="4029">
      <c r="A4029" s="83" t="s">
        <v>4896</v>
      </c>
      <c r="B4029" s="83" t="s">
        <v>4897</v>
      </c>
      <c r="C4029" s="81" t="s">
        <v>4086</v>
      </c>
      <c r="D4029" s="83" t="s">
        <v>4630</v>
      </c>
      <c r="E4029" s="81" t="s">
        <v>2979</v>
      </c>
      <c r="F4029" s="81">
        <v>573.0</v>
      </c>
      <c r="G4029" s="81" t="s">
        <v>2</v>
      </c>
      <c r="H4029" s="81" t="s">
        <v>224</v>
      </c>
      <c r="I4029" s="81" t="s">
        <v>213</v>
      </c>
      <c r="J4029" s="81" t="s">
        <v>224</v>
      </c>
      <c r="K4029" s="81" t="str">
        <f>IFERROR(__xludf.DUMMYFUNCTION("IF(OR(D4029="""",G4029=""""),"""",IFERROR(LET(
campo,XLOOKUP(TRIM(G4029),ARRAYFORMULA(TRIM('indice columnas'!$A$2:$A$100)),'indice columnas'!$B$2:$B$100,""""),
col,IFERROR(MATCH(campo,Referencia!$A$1:$AZ$1,0),0),
fila,IFERROR(MATCH(TO_TEXT(D4029),ARRAYFOR"&amp;"MULA(TO_TEXT(Referencia!$A$2:$A6238)),0),0),
IF(OR(campo="""",campo=""-""),""NO APLICA"",
IF(col=0,""REVISAR EQUIVALENCIA"",
IF(fila=0,""SKU NO ENCONTRADO"",
LET(
valor,INDEX(Referencia!$A$2:$AZ6238,fila,col),
IF(TRIM(TO_TEXT(valor))=TRIM(TO_TEXT(I4029)),"&amp;"
""OK"",
""NO COINCIDE. Valor verdadero: ""&amp;IF(valor="""",""[VACÍO]"",TO_TEXT(valor))
)
))))
),""ERROR EN FÓRMULA""))"),"OK")</f>
        <v>OK</v>
      </c>
    </row>
    <row r="4030">
      <c r="A4030" s="83" t="s">
        <v>4896</v>
      </c>
      <c r="B4030" s="83" t="s">
        <v>4897</v>
      </c>
      <c r="C4030" s="81" t="s">
        <v>4086</v>
      </c>
      <c r="D4030" s="83" t="s">
        <v>4630</v>
      </c>
      <c r="E4030" s="81" t="s">
        <v>2979</v>
      </c>
      <c r="F4030" s="81">
        <v>573.0</v>
      </c>
      <c r="G4030" s="81" t="s">
        <v>1</v>
      </c>
      <c r="H4030" s="81" t="s">
        <v>224</v>
      </c>
      <c r="I4030" s="81" t="s">
        <v>49</v>
      </c>
      <c r="J4030" s="81" t="s">
        <v>224</v>
      </c>
      <c r="K4030" s="81" t="str">
        <f>IFERROR(__xludf.DUMMYFUNCTION("IF(OR(D4030="""",G4030=""""),"""",IFERROR(LET(
campo,XLOOKUP(TRIM(G4030),ARRAYFORMULA(TRIM('indice columnas'!$A$2:$A$100)),'indice columnas'!$B$2:$B$100,""""),
col,IFERROR(MATCH(campo,Referencia!$A$1:$AZ$1,0),0),
fila,IFERROR(MATCH(TO_TEXT(D4030),ARRAYFOR"&amp;"MULA(TO_TEXT(Referencia!$A$2:$A6238)),0),0),
IF(OR(campo="""",campo=""-""),""NO APLICA"",
IF(col=0,""REVISAR EQUIVALENCIA"",
IF(fila=0,""SKU NO ENCONTRADO"",
LET(
valor,INDEX(Referencia!$A$2:$AZ6238,fila,col),
IF(TRIM(TO_TEXT(valor))=TRIM(TO_TEXT(I4030)),"&amp;"
""OK"",
""NO COINCIDE. Valor verdadero: ""&amp;IF(valor="""",""[VACÍO]"",TO_TEXT(valor))
)
))))
),""ERROR EN FÓRMULA""))"),"OK")</f>
        <v>OK</v>
      </c>
    </row>
    <row r="4031">
      <c r="A4031" s="83" t="s">
        <v>4896</v>
      </c>
      <c r="B4031" s="83" t="s">
        <v>4897</v>
      </c>
      <c r="C4031" s="81" t="s">
        <v>4086</v>
      </c>
      <c r="D4031" s="83" t="s">
        <v>4633</v>
      </c>
      <c r="E4031" s="81" t="s">
        <v>2996</v>
      </c>
      <c r="F4031" s="81">
        <v>576.0</v>
      </c>
      <c r="G4031" s="81" t="s">
        <v>3</v>
      </c>
      <c r="H4031" s="81" t="s">
        <v>224</v>
      </c>
      <c r="I4031" s="81" t="s">
        <v>214</v>
      </c>
      <c r="J4031" s="81" t="s">
        <v>224</v>
      </c>
      <c r="K4031" s="81" t="str">
        <f>IFERROR(__xludf.DUMMYFUNCTION("IF(OR(D4031="""",G4031=""""),"""",IFERROR(LET(
campo,XLOOKUP(TRIM(G4031),ARRAYFORMULA(TRIM('indice columnas'!$A$2:$A$100)),'indice columnas'!$B$2:$B$100,""""),
col,IFERROR(MATCH(campo,Referencia!$A$1:$AZ$1,0),0),
fila,IFERROR(MATCH(TO_TEXT(D4031),ARRAYFOR"&amp;"MULA(TO_TEXT(Referencia!$A$2:$A6238)),0),0),
IF(OR(campo="""",campo=""-""),""NO APLICA"",
IF(col=0,""REVISAR EQUIVALENCIA"",
IF(fila=0,""SKU NO ENCONTRADO"",
LET(
valor,INDEX(Referencia!$A$2:$AZ6238,fila,col),
IF(TRIM(TO_TEXT(valor))=TRIM(TO_TEXT(I4031)),"&amp;"
""OK"",
""NO COINCIDE. Valor verdadero: ""&amp;IF(valor="""",""[VACÍO]"",TO_TEXT(valor))
)
))))
),""ERROR EN FÓRMULA""))"),"OK")</f>
        <v>OK</v>
      </c>
    </row>
    <row r="4032">
      <c r="A4032" s="83" t="s">
        <v>4896</v>
      </c>
      <c r="B4032" s="83" t="s">
        <v>4897</v>
      </c>
      <c r="C4032" s="81" t="s">
        <v>4086</v>
      </c>
      <c r="D4032" s="83" t="s">
        <v>4633</v>
      </c>
      <c r="E4032" s="81" t="s">
        <v>2996</v>
      </c>
      <c r="F4032" s="81">
        <v>576.0</v>
      </c>
      <c r="G4032" s="81" t="s">
        <v>2</v>
      </c>
      <c r="H4032" s="81" t="s">
        <v>224</v>
      </c>
      <c r="I4032" s="81" t="s">
        <v>213</v>
      </c>
      <c r="J4032" s="81" t="s">
        <v>224</v>
      </c>
      <c r="K4032" s="81" t="str">
        <f>IFERROR(__xludf.DUMMYFUNCTION("IF(OR(D4032="""",G4032=""""),"""",IFERROR(LET(
campo,XLOOKUP(TRIM(G4032),ARRAYFORMULA(TRIM('indice columnas'!$A$2:$A$100)),'indice columnas'!$B$2:$B$100,""""),
col,IFERROR(MATCH(campo,Referencia!$A$1:$AZ$1,0),0),
fila,IFERROR(MATCH(TO_TEXT(D4032),ARRAYFOR"&amp;"MULA(TO_TEXT(Referencia!$A$2:$A6238)),0),0),
IF(OR(campo="""",campo=""-""),""NO APLICA"",
IF(col=0,""REVISAR EQUIVALENCIA"",
IF(fila=0,""SKU NO ENCONTRADO"",
LET(
valor,INDEX(Referencia!$A$2:$AZ6238,fila,col),
IF(TRIM(TO_TEXT(valor))=TRIM(TO_TEXT(I4032)),"&amp;"
""OK"",
""NO COINCIDE. Valor verdadero: ""&amp;IF(valor="""",""[VACÍO]"",TO_TEXT(valor))
)
))))
),""ERROR EN FÓRMULA""))"),"OK")</f>
        <v>OK</v>
      </c>
    </row>
    <row r="4033">
      <c r="A4033" s="83" t="s">
        <v>4896</v>
      </c>
      <c r="B4033" s="83" t="s">
        <v>4897</v>
      </c>
      <c r="C4033" s="81" t="s">
        <v>4086</v>
      </c>
      <c r="D4033" s="83" t="s">
        <v>4633</v>
      </c>
      <c r="E4033" s="81" t="s">
        <v>2996</v>
      </c>
      <c r="F4033" s="81">
        <v>576.0</v>
      </c>
      <c r="G4033" s="81" t="s">
        <v>1</v>
      </c>
      <c r="H4033" s="81" t="s">
        <v>224</v>
      </c>
      <c r="I4033" s="81" t="s">
        <v>49</v>
      </c>
      <c r="J4033" s="81" t="s">
        <v>224</v>
      </c>
      <c r="K4033" s="81" t="str">
        <f>IFERROR(__xludf.DUMMYFUNCTION("IF(OR(D4033="""",G4033=""""),"""",IFERROR(LET(
campo,XLOOKUP(TRIM(G4033),ARRAYFORMULA(TRIM('indice columnas'!$A$2:$A$100)),'indice columnas'!$B$2:$B$100,""""),
col,IFERROR(MATCH(campo,Referencia!$A$1:$AZ$1,0),0),
fila,IFERROR(MATCH(TO_TEXT(D4033),ARRAYFOR"&amp;"MULA(TO_TEXT(Referencia!$A$2:$A6238)),0),0),
IF(OR(campo="""",campo=""-""),""NO APLICA"",
IF(col=0,""REVISAR EQUIVALENCIA"",
IF(fila=0,""SKU NO ENCONTRADO"",
LET(
valor,INDEX(Referencia!$A$2:$AZ6238,fila,col),
IF(TRIM(TO_TEXT(valor))=TRIM(TO_TEXT(I4033)),"&amp;"
""OK"",
""NO COINCIDE. Valor verdadero: ""&amp;IF(valor="""",""[VACÍO]"",TO_TEXT(valor))
)
))))
),""ERROR EN FÓRMULA""))"),"OK")</f>
        <v>OK</v>
      </c>
    </row>
    <row r="4034">
      <c r="A4034" s="83" t="s">
        <v>4896</v>
      </c>
      <c r="B4034" s="83" t="s">
        <v>4897</v>
      </c>
      <c r="C4034" s="81" t="s">
        <v>4086</v>
      </c>
      <c r="D4034" s="83" t="s">
        <v>4636</v>
      </c>
      <c r="E4034" s="81" t="s">
        <v>3010</v>
      </c>
      <c r="F4034" s="81">
        <v>579.0</v>
      </c>
      <c r="G4034" s="81" t="s">
        <v>3</v>
      </c>
      <c r="H4034" s="81" t="s">
        <v>224</v>
      </c>
      <c r="I4034" s="81" t="s">
        <v>214</v>
      </c>
      <c r="J4034" s="81" t="s">
        <v>224</v>
      </c>
      <c r="K4034" s="81" t="str">
        <f>IFERROR(__xludf.DUMMYFUNCTION("IF(OR(D4034="""",G4034=""""),"""",IFERROR(LET(
campo,XLOOKUP(TRIM(G4034),ARRAYFORMULA(TRIM('indice columnas'!$A$2:$A$100)),'indice columnas'!$B$2:$B$100,""""),
col,IFERROR(MATCH(campo,Referencia!$A$1:$AZ$1,0),0),
fila,IFERROR(MATCH(TO_TEXT(D4034),ARRAYFOR"&amp;"MULA(TO_TEXT(Referencia!$A$2:$A6238)),0),0),
IF(OR(campo="""",campo=""-""),""NO APLICA"",
IF(col=0,""REVISAR EQUIVALENCIA"",
IF(fila=0,""SKU NO ENCONTRADO"",
LET(
valor,INDEX(Referencia!$A$2:$AZ6238,fila,col),
IF(TRIM(TO_TEXT(valor))=TRIM(TO_TEXT(I4034)),"&amp;"
""OK"",
""NO COINCIDE. Valor verdadero: ""&amp;IF(valor="""",""[VACÍO]"",TO_TEXT(valor))
)
))))
),""ERROR EN FÓRMULA""))"),"OK")</f>
        <v>OK</v>
      </c>
    </row>
    <row r="4035">
      <c r="A4035" s="83" t="s">
        <v>4896</v>
      </c>
      <c r="B4035" s="83" t="s">
        <v>4897</v>
      </c>
      <c r="C4035" s="81" t="s">
        <v>4086</v>
      </c>
      <c r="D4035" s="83" t="s">
        <v>4636</v>
      </c>
      <c r="E4035" s="81" t="s">
        <v>3010</v>
      </c>
      <c r="F4035" s="81">
        <v>579.0</v>
      </c>
      <c r="G4035" s="81" t="s">
        <v>2</v>
      </c>
      <c r="H4035" s="81" t="s">
        <v>224</v>
      </c>
      <c r="I4035" s="81" t="s">
        <v>213</v>
      </c>
      <c r="J4035" s="81" t="s">
        <v>224</v>
      </c>
      <c r="K4035" s="81" t="str">
        <f>IFERROR(__xludf.DUMMYFUNCTION("IF(OR(D4035="""",G4035=""""),"""",IFERROR(LET(
campo,XLOOKUP(TRIM(G4035),ARRAYFORMULA(TRIM('indice columnas'!$A$2:$A$100)),'indice columnas'!$B$2:$B$100,""""),
col,IFERROR(MATCH(campo,Referencia!$A$1:$AZ$1,0),0),
fila,IFERROR(MATCH(TO_TEXT(D4035),ARRAYFOR"&amp;"MULA(TO_TEXT(Referencia!$A$2:$A6238)),0),0),
IF(OR(campo="""",campo=""-""),""NO APLICA"",
IF(col=0,""REVISAR EQUIVALENCIA"",
IF(fila=0,""SKU NO ENCONTRADO"",
LET(
valor,INDEX(Referencia!$A$2:$AZ6238,fila,col),
IF(TRIM(TO_TEXT(valor))=TRIM(TO_TEXT(I4035)),"&amp;"
""OK"",
""NO COINCIDE. Valor verdadero: ""&amp;IF(valor="""",""[VACÍO]"",TO_TEXT(valor))
)
))))
),""ERROR EN FÓRMULA""))"),"OK")</f>
        <v>OK</v>
      </c>
    </row>
    <row r="4036">
      <c r="A4036" s="83" t="s">
        <v>4896</v>
      </c>
      <c r="B4036" s="83" t="s">
        <v>4897</v>
      </c>
      <c r="C4036" s="81" t="s">
        <v>4086</v>
      </c>
      <c r="D4036" s="83" t="s">
        <v>4636</v>
      </c>
      <c r="E4036" s="81" t="s">
        <v>3010</v>
      </c>
      <c r="F4036" s="81">
        <v>579.0</v>
      </c>
      <c r="G4036" s="81" t="s">
        <v>1</v>
      </c>
      <c r="H4036" s="81" t="s">
        <v>224</v>
      </c>
      <c r="I4036" s="81" t="s">
        <v>49</v>
      </c>
      <c r="J4036" s="81" t="s">
        <v>224</v>
      </c>
      <c r="K4036" s="81" t="str">
        <f>IFERROR(__xludf.DUMMYFUNCTION("IF(OR(D4036="""",G4036=""""),"""",IFERROR(LET(
campo,XLOOKUP(TRIM(G4036),ARRAYFORMULA(TRIM('indice columnas'!$A$2:$A$100)),'indice columnas'!$B$2:$B$100,""""),
col,IFERROR(MATCH(campo,Referencia!$A$1:$AZ$1,0),0),
fila,IFERROR(MATCH(TO_TEXT(D4036),ARRAYFOR"&amp;"MULA(TO_TEXT(Referencia!$A$2:$A6238)),0),0),
IF(OR(campo="""",campo=""-""),""NO APLICA"",
IF(col=0,""REVISAR EQUIVALENCIA"",
IF(fila=0,""SKU NO ENCONTRADO"",
LET(
valor,INDEX(Referencia!$A$2:$AZ6238,fila,col),
IF(TRIM(TO_TEXT(valor))=TRIM(TO_TEXT(I4036)),"&amp;"
""OK"",
""NO COINCIDE. Valor verdadero: ""&amp;IF(valor="""",""[VACÍO]"",TO_TEXT(valor))
)
))))
),""ERROR EN FÓRMULA""))"),"OK")</f>
        <v>OK</v>
      </c>
    </row>
    <row r="4037">
      <c r="A4037" s="83" t="s">
        <v>4896</v>
      </c>
      <c r="B4037" s="83" t="s">
        <v>4897</v>
      </c>
      <c r="C4037" s="81" t="s">
        <v>4086</v>
      </c>
      <c r="D4037" s="83" t="s">
        <v>4639</v>
      </c>
      <c r="E4037" s="81" t="s">
        <v>3027</v>
      </c>
      <c r="F4037" s="81">
        <v>582.0</v>
      </c>
      <c r="G4037" s="81" t="s">
        <v>3</v>
      </c>
      <c r="H4037" s="81" t="s">
        <v>224</v>
      </c>
      <c r="I4037" s="81" t="s">
        <v>214</v>
      </c>
      <c r="J4037" s="81" t="s">
        <v>224</v>
      </c>
      <c r="K4037" s="81" t="str">
        <f>IFERROR(__xludf.DUMMYFUNCTION("IF(OR(D4037="""",G4037=""""),"""",IFERROR(LET(
campo,XLOOKUP(TRIM(G4037),ARRAYFORMULA(TRIM('indice columnas'!$A$2:$A$100)),'indice columnas'!$B$2:$B$100,""""),
col,IFERROR(MATCH(campo,Referencia!$A$1:$AZ$1,0),0),
fila,IFERROR(MATCH(TO_TEXT(D4037),ARRAYFOR"&amp;"MULA(TO_TEXT(Referencia!$A$2:$A6238)),0),0),
IF(OR(campo="""",campo=""-""),""NO APLICA"",
IF(col=0,""REVISAR EQUIVALENCIA"",
IF(fila=0,""SKU NO ENCONTRADO"",
LET(
valor,INDEX(Referencia!$A$2:$AZ6238,fila,col),
IF(TRIM(TO_TEXT(valor))=TRIM(TO_TEXT(I4037)),"&amp;"
""OK"",
""NO COINCIDE. Valor verdadero: ""&amp;IF(valor="""",""[VACÍO]"",TO_TEXT(valor))
)
))))
),""ERROR EN FÓRMULA""))"),"OK")</f>
        <v>OK</v>
      </c>
    </row>
    <row r="4038">
      <c r="A4038" s="83" t="s">
        <v>4896</v>
      </c>
      <c r="B4038" s="83" t="s">
        <v>4897</v>
      </c>
      <c r="C4038" s="81" t="s">
        <v>4086</v>
      </c>
      <c r="D4038" s="83" t="s">
        <v>4639</v>
      </c>
      <c r="E4038" s="81" t="s">
        <v>3027</v>
      </c>
      <c r="F4038" s="81">
        <v>582.0</v>
      </c>
      <c r="G4038" s="81" t="s">
        <v>2</v>
      </c>
      <c r="H4038" s="81" t="s">
        <v>224</v>
      </c>
      <c r="I4038" s="81" t="s">
        <v>213</v>
      </c>
      <c r="J4038" s="81" t="s">
        <v>224</v>
      </c>
      <c r="K4038" s="81" t="str">
        <f>IFERROR(__xludf.DUMMYFUNCTION("IF(OR(D4038="""",G4038=""""),"""",IFERROR(LET(
campo,XLOOKUP(TRIM(G4038),ARRAYFORMULA(TRIM('indice columnas'!$A$2:$A$100)),'indice columnas'!$B$2:$B$100,""""),
col,IFERROR(MATCH(campo,Referencia!$A$1:$AZ$1,0),0),
fila,IFERROR(MATCH(TO_TEXT(D4038),ARRAYFOR"&amp;"MULA(TO_TEXT(Referencia!$A$2:$A6238)),0),0),
IF(OR(campo="""",campo=""-""),""NO APLICA"",
IF(col=0,""REVISAR EQUIVALENCIA"",
IF(fila=0,""SKU NO ENCONTRADO"",
LET(
valor,INDEX(Referencia!$A$2:$AZ6238,fila,col),
IF(TRIM(TO_TEXT(valor))=TRIM(TO_TEXT(I4038)),"&amp;"
""OK"",
""NO COINCIDE. Valor verdadero: ""&amp;IF(valor="""",""[VACÍO]"",TO_TEXT(valor))
)
))))
),""ERROR EN FÓRMULA""))"),"OK")</f>
        <v>OK</v>
      </c>
    </row>
    <row r="4039">
      <c r="A4039" s="83" t="s">
        <v>4896</v>
      </c>
      <c r="B4039" s="83" t="s">
        <v>4897</v>
      </c>
      <c r="C4039" s="81" t="s">
        <v>4086</v>
      </c>
      <c r="D4039" s="83" t="s">
        <v>4639</v>
      </c>
      <c r="E4039" s="81" t="s">
        <v>3027</v>
      </c>
      <c r="F4039" s="81">
        <v>582.0</v>
      </c>
      <c r="G4039" s="81" t="s">
        <v>1</v>
      </c>
      <c r="H4039" s="81" t="s">
        <v>224</v>
      </c>
      <c r="I4039" s="81" t="s">
        <v>49</v>
      </c>
      <c r="J4039" s="81" t="s">
        <v>224</v>
      </c>
      <c r="K4039" s="81" t="str">
        <f>IFERROR(__xludf.DUMMYFUNCTION("IF(OR(D4039="""",G4039=""""),"""",IFERROR(LET(
campo,XLOOKUP(TRIM(G4039),ARRAYFORMULA(TRIM('indice columnas'!$A$2:$A$100)),'indice columnas'!$B$2:$B$100,""""),
col,IFERROR(MATCH(campo,Referencia!$A$1:$AZ$1,0),0),
fila,IFERROR(MATCH(TO_TEXT(D4039),ARRAYFOR"&amp;"MULA(TO_TEXT(Referencia!$A$2:$A6238)),0),0),
IF(OR(campo="""",campo=""-""),""NO APLICA"",
IF(col=0,""REVISAR EQUIVALENCIA"",
IF(fila=0,""SKU NO ENCONTRADO"",
LET(
valor,INDEX(Referencia!$A$2:$AZ6238,fila,col),
IF(TRIM(TO_TEXT(valor))=TRIM(TO_TEXT(I4039)),"&amp;"
""OK"",
""NO COINCIDE. Valor verdadero: ""&amp;IF(valor="""",""[VACÍO]"",TO_TEXT(valor))
)
))))
),""ERROR EN FÓRMULA""))"),"OK")</f>
        <v>OK</v>
      </c>
    </row>
    <row r="4040">
      <c r="A4040" s="83" t="s">
        <v>4896</v>
      </c>
      <c r="B4040" s="83" t="s">
        <v>4897</v>
      </c>
      <c r="C4040" s="81" t="s">
        <v>4086</v>
      </c>
      <c r="D4040" s="83" t="s">
        <v>4644</v>
      </c>
      <c r="E4040" s="81" t="s">
        <v>3059</v>
      </c>
      <c r="F4040" s="81">
        <v>588.0</v>
      </c>
      <c r="G4040" s="81" t="s">
        <v>3</v>
      </c>
      <c r="H4040" s="81" t="s">
        <v>224</v>
      </c>
      <c r="I4040" s="81" t="s">
        <v>214</v>
      </c>
      <c r="J4040" s="81" t="s">
        <v>224</v>
      </c>
      <c r="K4040" s="81" t="str">
        <f>IFERROR(__xludf.DUMMYFUNCTION("IF(OR(D4040="""",G4040=""""),"""",IFERROR(LET(
campo,XLOOKUP(TRIM(G4040),ARRAYFORMULA(TRIM('indice columnas'!$A$2:$A$100)),'indice columnas'!$B$2:$B$100,""""),
col,IFERROR(MATCH(campo,Referencia!$A$1:$AZ$1,0),0),
fila,IFERROR(MATCH(TO_TEXT(D4040),ARRAYFOR"&amp;"MULA(TO_TEXT(Referencia!$A$2:$A6238)),0),0),
IF(OR(campo="""",campo=""-""),""NO APLICA"",
IF(col=0,""REVISAR EQUIVALENCIA"",
IF(fila=0,""SKU NO ENCONTRADO"",
LET(
valor,INDEX(Referencia!$A$2:$AZ6238,fila,col),
IF(TRIM(TO_TEXT(valor))=TRIM(TO_TEXT(I4040)),"&amp;"
""OK"",
""NO COINCIDE. Valor verdadero: ""&amp;IF(valor="""",""[VACÍO]"",TO_TEXT(valor))
)
))))
),""ERROR EN FÓRMULA""))"),"OK")</f>
        <v>OK</v>
      </c>
    </row>
    <row r="4041">
      <c r="A4041" s="83" t="s">
        <v>4896</v>
      </c>
      <c r="B4041" s="83" t="s">
        <v>4897</v>
      </c>
      <c r="C4041" s="81" t="s">
        <v>4086</v>
      </c>
      <c r="D4041" s="83" t="s">
        <v>4644</v>
      </c>
      <c r="E4041" s="81" t="s">
        <v>3059</v>
      </c>
      <c r="F4041" s="81">
        <v>588.0</v>
      </c>
      <c r="G4041" s="81" t="s">
        <v>2</v>
      </c>
      <c r="H4041" s="81" t="s">
        <v>224</v>
      </c>
      <c r="I4041" s="81" t="s">
        <v>213</v>
      </c>
      <c r="J4041" s="81" t="s">
        <v>224</v>
      </c>
      <c r="K4041" s="81" t="str">
        <f>IFERROR(__xludf.DUMMYFUNCTION("IF(OR(D4041="""",G4041=""""),"""",IFERROR(LET(
campo,XLOOKUP(TRIM(G4041),ARRAYFORMULA(TRIM('indice columnas'!$A$2:$A$100)),'indice columnas'!$B$2:$B$100,""""),
col,IFERROR(MATCH(campo,Referencia!$A$1:$AZ$1,0),0),
fila,IFERROR(MATCH(TO_TEXT(D4041),ARRAYFOR"&amp;"MULA(TO_TEXT(Referencia!$A$2:$A6238)),0),0),
IF(OR(campo="""",campo=""-""),""NO APLICA"",
IF(col=0,""REVISAR EQUIVALENCIA"",
IF(fila=0,""SKU NO ENCONTRADO"",
LET(
valor,INDEX(Referencia!$A$2:$AZ6238,fila,col),
IF(TRIM(TO_TEXT(valor))=TRIM(TO_TEXT(I4041)),"&amp;"
""OK"",
""NO COINCIDE. Valor verdadero: ""&amp;IF(valor="""",""[VACÍO]"",TO_TEXT(valor))
)
))))
),""ERROR EN FÓRMULA""))"),"OK")</f>
        <v>OK</v>
      </c>
    </row>
    <row r="4042">
      <c r="A4042" s="83" t="s">
        <v>4896</v>
      </c>
      <c r="B4042" s="83" t="s">
        <v>4897</v>
      </c>
      <c r="C4042" s="81" t="s">
        <v>4086</v>
      </c>
      <c r="D4042" s="83" t="s">
        <v>4644</v>
      </c>
      <c r="E4042" s="81" t="s">
        <v>3059</v>
      </c>
      <c r="F4042" s="81">
        <v>588.0</v>
      </c>
      <c r="G4042" s="81" t="s">
        <v>1</v>
      </c>
      <c r="H4042" s="81" t="s">
        <v>224</v>
      </c>
      <c r="I4042" s="81" t="s">
        <v>49</v>
      </c>
      <c r="J4042" s="81" t="s">
        <v>224</v>
      </c>
      <c r="K4042" s="81" t="str">
        <f>IFERROR(__xludf.DUMMYFUNCTION("IF(OR(D4042="""",G4042=""""),"""",IFERROR(LET(
campo,XLOOKUP(TRIM(G4042),ARRAYFORMULA(TRIM('indice columnas'!$A$2:$A$100)),'indice columnas'!$B$2:$B$100,""""),
col,IFERROR(MATCH(campo,Referencia!$A$1:$AZ$1,0),0),
fila,IFERROR(MATCH(TO_TEXT(D4042),ARRAYFOR"&amp;"MULA(TO_TEXT(Referencia!$A$2:$A6238)),0),0),
IF(OR(campo="""",campo=""-""),""NO APLICA"",
IF(col=0,""REVISAR EQUIVALENCIA"",
IF(fila=0,""SKU NO ENCONTRADO"",
LET(
valor,INDEX(Referencia!$A$2:$AZ6238,fila,col),
IF(TRIM(TO_TEXT(valor))=TRIM(TO_TEXT(I4042)),"&amp;"
""OK"",
""NO COINCIDE. Valor verdadero: ""&amp;IF(valor="""",""[VACÍO]"",TO_TEXT(valor))
)
))))
),""ERROR EN FÓRMULA""))"),"OK")</f>
        <v>OK</v>
      </c>
    </row>
    <row r="4043">
      <c r="A4043" s="83" t="s">
        <v>4896</v>
      </c>
      <c r="B4043" s="83" t="s">
        <v>4897</v>
      </c>
      <c r="C4043" s="81" t="s">
        <v>4086</v>
      </c>
      <c r="D4043" s="83" t="s">
        <v>4647</v>
      </c>
      <c r="E4043" s="81" t="s">
        <v>3074</v>
      </c>
      <c r="F4043" s="81">
        <v>591.0</v>
      </c>
      <c r="G4043" s="81" t="s">
        <v>3</v>
      </c>
      <c r="H4043" s="81" t="s">
        <v>224</v>
      </c>
      <c r="I4043" s="81" t="s">
        <v>214</v>
      </c>
      <c r="J4043" s="81" t="s">
        <v>224</v>
      </c>
      <c r="K4043" s="81" t="str">
        <f>IFERROR(__xludf.DUMMYFUNCTION("IF(OR(D4043="""",G4043=""""),"""",IFERROR(LET(
campo,XLOOKUP(TRIM(G4043),ARRAYFORMULA(TRIM('indice columnas'!$A$2:$A$100)),'indice columnas'!$B$2:$B$100,""""),
col,IFERROR(MATCH(campo,Referencia!$A$1:$AZ$1,0),0),
fila,IFERROR(MATCH(TO_TEXT(D4043),ARRAYFOR"&amp;"MULA(TO_TEXT(Referencia!$A$2:$A6238)),0),0),
IF(OR(campo="""",campo=""-""),""NO APLICA"",
IF(col=0,""REVISAR EQUIVALENCIA"",
IF(fila=0,""SKU NO ENCONTRADO"",
LET(
valor,INDEX(Referencia!$A$2:$AZ6238,fila,col),
IF(TRIM(TO_TEXT(valor))=TRIM(TO_TEXT(I4043)),"&amp;"
""OK"",
""NO COINCIDE. Valor verdadero: ""&amp;IF(valor="""",""[VACÍO]"",TO_TEXT(valor))
)
))))
),""ERROR EN FÓRMULA""))"),"OK")</f>
        <v>OK</v>
      </c>
    </row>
    <row r="4044">
      <c r="A4044" s="83" t="s">
        <v>4896</v>
      </c>
      <c r="B4044" s="83" t="s">
        <v>4897</v>
      </c>
      <c r="C4044" s="81" t="s">
        <v>4086</v>
      </c>
      <c r="D4044" s="83" t="s">
        <v>4647</v>
      </c>
      <c r="E4044" s="81" t="s">
        <v>3074</v>
      </c>
      <c r="F4044" s="81">
        <v>591.0</v>
      </c>
      <c r="G4044" s="81" t="s">
        <v>2</v>
      </c>
      <c r="H4044" s="81" t="s">
        <v>224</v>
      </c>
      <c r="I4044" s="81" t="s">
        <v>213</v>
      </c>
      <c r="J4044" s="81" t="s">
        <v>224</v>
      </c>
      <c r="K4044" s="81" t="str">
        <f>IFERROR(__xludf.DUMMYFUNCTION("IF(OR(D4044="""",G4044=""""),"""",IFERROR(LET(
campo,XLOOKUP(TRIM(G4044),ARRAYFORMULA(TRIM('indice columnas'!$A$2:$A$100)),'indice columnas'!$B$2:$B$100,""""),
col,IFERROR(MATCH(campo,Referencia!$A$1:$AZ$1,0),0),
fila,IFERROR(MATCH(TO_TEXT(D4044),ARRAYFOR"&amp;"MULA(TO_TEXT(Referencia!$A$2:$A6238)),0),0),
IF(OR(campo="""",campo=""-""),""NO APLICA"",
IF(col=0,""REVISAR EQUIVALENCIA"",
IF(fila=0,""SKU NO ENCONTRADO"",
LET(
valor,INDEX(Referencia!$A$2:$AZ6238,fila,col),
IF(TRIM(TO_TEXT(valor))=TRIM(TO_TEXT(I4044)),"&amp;"
""OK"",
""NO COINCIDE. Valor verdadero: ""&amp;IF(valor="""",""[VACÍO]"",TO_TEXT(valor))
)
))))
),""ERROR EN FÓRMULA""))"),"OK")</f>
        <v>OK</v>
      </c>
    </row>
    <row r="4045">
      <c r="A4045" s="83" t="s">
        <v>4896</v>
      </c>
      <c r="B4045" s="83" t="s">
        <v>4897</v>
      </c>
      <c r="C4045" s="81" t="s">
        <v>4086</v>
      </c>
      <c r="D4045" s="83" t="s">
        <v>4647</v>
      </c>
      <c r="E4045" s="81" t="s">
        <v>3074</v>
      </c>
      <c r="F4045" s="81">
        <v>591.0</v>
      </c>
      <c r="G4045" s="81" t="s">
        <v>1</v>
      </c>
      <c r="H4045" s="81" t="s">
        <v>224</v>
      </c>
      <c r="I4045" s="81" t="s">
        <v>49</v>
      </c>
      <c r="J4045" s="81" t="s">
        <v>224</v>
      </c>
      <c r="K4045" s="81" t="str">
        <f>IFERROR(__xludf.DUMMYFUNCTION("IF(OR(D4045="""",G4045=""""),"""",IFERROR(LET(
campo,XLOOKUP(TRIM(G4045),ARRAYFORMULA(TRIM('indice columnas'!$A$2:$A$100)),'indice columnas'!$B$2:$B$100,""""),
col,IFERROR(MATCH(campo,Referencia!$A$1:$AZ$1,0),0),
fila,IFERROR(MATCH(TO_TEXT(D4045),ARRAYFOR"&amp;"MULA(TO_TEXT(Referencia!$A$2:$A6238)),0),0),
IF(OR(campo="""",campo=""-""),""NO APLICA"",
IF(col=0,""REVISAR EQUIVALENCIA"",
IF(fila=0,""SKU NO ENCONTRADO"",
LET(
valor,INDEX(Referencia!$A$2:$AZ6238,fila,col),
IF(TRIM(TO_TEXT(valor))=TRIM(TO_TEXT(I4045)),"&amp;"
""OK"",
""NO COINCIDE. Valor verdadero: ""&amp;IF(valor="""",""[VACÍO]"",TO_TEXT(valor))
)
))))
),""ERROR EN FÓRMULA""))"),"OK")</f>
        <v>OK</v>
      </c>
    </row>
    <row r="4046">
      <c r="A4046" s="83" t="s">
        <v>4896</v>
      </c>
      <c r="B4046" s="83" t="s">
        <v>4897</v>
      </c>
      <c r="C4046" s="81" t="s">
        <v>4086</v>
      </c>
      <c r="D4046" s="83" t="s">
        <v>4674</v>
      </c>
      <c r="E4046" s="81" t="s">
        <v>3183</v>
      </c>
      <c r="F4046" s="81">
        <v>604.0</v>
      </c>
      <c r="G4046" s="81" t="s">
        <v>3</v>
      </c>
      <c r="H4046" s="81" t="s">
        <v>224</v>
      </c>
      <c r="I4046" s="81" t="s">
        <v>214</v>
      </c>
      <c r="J4046" s="81" t="s">
        <v>224</v>
      </c>
      <c r="K4046" s="81" t="str">
        <f>IFERROR(__xludf.DUMMYFUNCTION("IF(OR(D4046="""",G4046=""""),"""",IFERROR(LET(
campo,XLOOKUP(TRIM(G4046),ARRAYFORMULA(TRIM('indice columnas'!$A$2:$A$100)),'indice columnas'!$B$2:$B$100,""""),
col,IFERROR(MATCH(campo,Referencia!$A$1:$AZ$1,0),0),
fila,IFERROR(MATCH(TO_TEXT(D4046),ARRAYFOR"&amp;"MULA(TO_TEXT(Referencia!$A$2:$A6238)),0),0),
IF(OR(campo="""",campo=""-""),""NO APLICA"",
IF(col=0,""REVISAR EQUIVALENCIA"",
IF(fila=0,""SKU NO ENCONTRADO"",
LET(
valor,INDEX(Referencia!$A$2:$AZ6238,fila,col),
IF(TRIM(TO_TEXT(valor))=TRIM(TO_TEXT(I4046)),"&amp;"
""OK"",
""NO COINCIDE. Valor verdadero: ""&amp;IF(valor="""",""[VACÍO]"",TO_TEXT(valor))
)
))))
),""ERROR EN FÓRMULA""))"),"OK")</f>
        <v>OK</v>
      </c>
    </row>
    <row r="4047">
      <c r="A4047" s="83" t="s">
        <v>4896</v>
      </c>
      <c r="B4047" s="83" t="s">
        <v>4897</v>
      </c>
      <c r="C4047" s="81" t="s">
        <v>4086</v>
      </c>
      <c r="D4047" s="83" t="s">
        <v>4674</v>
      </c>
      <c r="E4047" s="81" t="s">
        <v>3183</v>
      </c>
      <c r="F4047" s="81">
        <v>604.0</v>
      </c>
      <c r="G4047" s="81" t="s">
        <v>2</v>
      </c>
      <c r="H4047" s="81" t="s">
        <v>224</v>
      </c>
      <c r="I4047" s="81" t="s">
        <v>213</v>
      </c>
      <c r="J4047" s="81" t="s">
        <v>224</v>
      </c>
      <c r="K4047" s="81" t="str">
        <f>IFERROR(__xludf.DUMMYFUNCTION("IF(OR(D4047="""",G4047=""""),"""",IFERROR(LET(
campo,XLOOKUP(TRIM(G4047),ARRAYFORMULA(TRIM('indice columnas'!$A$2:$A$100)),'indice columnas'!$B$2:$B$100,""""),
col,IFERROR(MATCH(campo,Referencia!$A$1:$AZ$1,0),0),
fila,IFERROR(MATCH(TO_TEXT(D4047),ARRAYFOR"&amp;"MULA(TO_TEXT(Referencia!$A$2:$A6238)),0),0),
IF(OR(campo="""",campo=""-""),""NO APLICA"",
IF(col=0,""REVISAR EQUIVALENCIA"",
IF(fila=0,""SKU NO ENCONTRADO"",
LET(
valor,INDEX(Referencia!$A$2:$AZ6238,fila,col),
IF(TRIM(TO_TEXT(valor))=TRIM(TO_TEXT(I4047)),"&amp;"
""OK"",
""NO COINCIDE. Valor verdadero: ""&amp;IF(valor="""",""[VACÍO]"",TO_TEXT(valor))
)
))))
),""ERROR EN FÓRMULA""))"),"OK")</f>
        <v>OK</v>
      </c>
    </row>
    <row r="4048">
      <c r="A4048" s="83" t="s">
        <v>4896</v>
      </c>
      <c r="B4048" s="83" t="s">
        <v>4897</v>
      </c>
      <c r="C4048" s="81" t="s">
        <v>4086</v>
      </c>
      <c r="D4048" s="83" t="s">
        <v>4674</v>
      </c>
      <c r="E4048" s="81" t="s">
        <v>3183</v>
      </c>
      <c r="F4048" s="81">
        <v>604.0</v>
      </c>
      <c r="G4048" s="81" t="s">
        <v>1</v>
      </c>
      <c r="H4048" s="81" t="s">
        <v>224</v>
      </c>
      <c r="I4048" s="81" t="s">
        <v>49</v>
      </c>
      <c r="J4048" s="81" t="s">
        <v>224</v>
      </c>
      <c r="K4048" s="81" t="str">
        <f>IFERROR(__xludf.DUMMYFUNCTION("IF(OR(D4048="""",G4048=""""),"""",IFERROR(LET(
campo,XLOOKUP(TRIM(G4048),ARRAYFORMULA(TRIM('indice columnas'!$A$2:$A$100)),'indice columnas'!$B$2:$B$100,""""),
col,IFERROR(MATCH(campo,Referencia!$A$1:$AZ$1,0),0),
fila,IFERROR(MATCH(TO_TEXT(D4048),ARRAYFOR"&amp;"MULA(TO_TEXT(Referencia!$A$2:$A6238)),0),0),
IF(OR(campo="""",campo=""-""),""NO APLICA"",
IF(col=0,""REVISAR EQUIVALENCIA"",
IF(fila=0,""SKU NO ENCONTRADO"",
LET(
valor,INDEX(Referencia!$A$2:$AZ6238,fila,col),
IF(TRIM(TO_TEXT(valor))=TRIM(TO_TEXT(I4048)),"&amp;"
""OK"",
""NO COINCIDE. Valor verdadero: ""&amp;IF(valor="""",""[VACÍO]"",TO_TEXT(valor))
)
))))
),""ERROR EN FÓRMULA""))"),"OK")</f>
        <v>OK</v>
      </c>
    </row>
    <row r="4049">
      <c r="A4049" s="83" t="s">
        <v>4896</v>
      </c>
      <c r="B4049" s="83" t="s">
        <v>4897</v>
      </c>
      <c r="C4049" s="81" t="s">
        <v>4086</v>
      </c>
      <c r="D4049" s="83" t="s">
        <v>4675</v>
      </c>
      <c r="E4049" s="81" t="s">
        <v>3186</v>
      </c>
      <c r="F4049" s="81">
        <v>605.0</v>
      </c>
      <c r="G4049" s="81" t="s">
        <v>3</v>
      </c>
      <c r="H4049" s="81" t="s">
        <v>224</v>
      </c>
      <c r="I4049" s="81" t="s">
        <v>214</v>
      </c>
      <c r="J4049" s="81" t="s">
        <v>224</v>
      </c>
      <c r="K4049" s="81" t="str">
        <f>IFERROR(__xludf.DUMMYFUNCTION("IF(OR(D4049="""",G4049=""""),"""",IFERROR(LET(
campo,XLOOKUP(TRIM(G4049),ARRAYFORMULA(TRIM('indice columnas'!$A$2:$A$100)),'indice columnas'!$B$2:$B$100,""""),
col,IFERROR(MATCH(campo,Referencia!$A$1:$AZ$1,0),0),
fila,IFERROR(MATCH(TO_TEXT(D4049),ARRAYFOR"&amp;"MULA(TO_TEXT(Referencia!$A$2:$A6238)),0),0),
IF(OR(campo="""",campo=""-""),""NO APLICA"",
IF(col=0,""REVISAR EQUIVALENCIA"",
IF(fila=0,""SKU NO ENCONTRADO"",
LET(
valor,INDEX(Referencia!$A$2:$AZ6238,fila,col),
IF(TRIM(TO_TEXT(valor))=TRIM(TO_TEXT(I4049)),"&amp;"
""OK"",
""NO COINCIDE. Valor verdadero: ""&amp;IF(valor="""",""[VACÍO]"",TO_TEXT(valor))
)
))))
),""ERROR EN FÓRMULA""))"),"OK")</f>
        <v>OK</v>
      </c>
    </row>
    <row r="4050">
      <c r="A4050" s="83" t="s">
        <v>4896</v>
      </c>
      <c r="B4050" s="83" t="s">
        <v>4897</v>
      </c>
      <c r="C4050" s="81" t="s">
        <v>4086</v>
      </c>
      <c r="D4050" s="83" t="s">
        <v>4675</v>
      </c>
      <c r="E4050" s="81" t="s">
        <v>3186</v>
      </c>
      <c r="F4050" s="81">
        <v>605.0</v>
      </c>
      <c r="G4050" s="81" t="s">
        <v>2</v>
      </c>
      <c r="H4050" s="81" t="s">
        <v>224</v>
      </c>
      <c r="I4050" s="81" t="s">
        <v>213</v>
      </c>
      <c r="J4050" s="81" t="s">
        <v>224</v>
      </c>
      <c r="K4050" s="81" t="str">
        <f>IFERROR(__xludf.DUMMYFUNCTION("IF(OR(D4050="""",G4050=""""),"""",IFERROR(LET(
campo,XLOOKUP(TRIM(G4050),ARRAYFORMULA(TRIM('indice columnas'!$A$2:$A$100)),'indice columnas'!$B$2:$B$100,""""),
col,IFERROR(MATCH(campo,Referencia!$A$1:$AZ$1,0),0),
fila,IFERROR(MATCH(TO_TEXT(D4050),ARRAYFOR"&amp;"MULA(TO_TEXT(Referencia!$A$2:$A6238)),0),0),
IF(OR(campo="""",campo=""-""),""NO APLICA"",
IF(col=0,""REVISAR EQUIVALENCIA"",
IF(fila=0,""SKU NO ENCONTRADO"",
LET(
valor,INDEX(Referencia!$A$2:$AZ6238,fila,col),
IF(TRIM(TO_TEXT(valor))=TRIM(TO_TEXT(I4050)),"&amp;"
""OK"",
""NO COINCIDE. Valor verdadero: ""&amp;IF(valor="""",""[VACÍO]"",TO_TEXT(valor))
)
))))
),""ERROR EN FÓRMULA""))"),"OK")</f>
        <v>OK</v>
      </c>
    </row>
    <row r="4051">
      <c r="A4051" s="83" t="s">
        <v>4896</v>
      </c>
      <c r="B4051" s="83" t="s">
        <v>4897</v>
      </c>
      <c r="C4051" s="81" t="s">
        <v>4086</v>
      </c>
      <c r="D4051" s="83" t="s">
        <v>4675</v>
      </c>
      <c r="E4051" s="81" t="s">
        <v>3186</v>
      </c>
      <c r="F4051" s="81">
        <v>605.0</v>
      </c>
      <c r="G4051" s="81" t="s">
        <v>1</v>
      </c>
      <c r="H4051" s="81" t="s">
        <v>224</v>
      </c>
      <c r="I4051" s="81" t="s">
        <v>49</v>
      </c>
      <c r="J4051" s="81" t="s">
        <v>224</v>
      </c>
      <c r="K4051" s="81" t="str">
        <f>IFERROR(__xludf.DUMMYFUNCTION("IF(OR(D4051="""",G4051=""""),"""",IFERROR(LET(
campo,XLOOKUP(TRIM(G4051),ARRAYFORMULA(TRIM('indice columnas'!$A$2:$A$100)),'indice columnas'!$B$2:$B$100,""""),
col,IFERROR(MATCH(campo,Referencia!$A$1:$AZ$1,0),0),
fila,IFERROR(MATCH(TO_TEXT(D4051),ARRAYFOR"&amp;"MULA(TO_TEXT(Referencia!$A$2:$A6238)),0),0),
IF(OR(campo="""",campo=""-""),""NO APLICA"",
IF(col=0,""REVISAR EQUIVALENCIA"",
IF(fila=0,""SKU NO ENCONTRADO"",
LET(
valor,INDEX(Referencia!$A$2:$AZ6238,fila,col),
IF(TRIM(TO_TEXT(valor))=TRIM(TO_TEXT(I4051)),"&amp;"
""OK"",
""NO COINCIDE. Valor verdadero: ""&amp;IF(valor="""",""[VACÍO]"",TO_TEXT(valor))
)
))))
),""ERROR EN FÓRMULA""))"),"OK")</f>
        <v>OK</v>
      </c>
    </row>
    <row r="4052">
      <c r="A4052" s="83" t="s">
        <v>4896</v>
      </c>
      <c r="B4052" s="83" t="s">
        <v>4897</v>
      </c>
      <c r="C4052" s="81" t="s">
        <v>4086</v>
      </c>
      <c r="D4052" s="83" t="s">
        <v>4678</v>
      </c>
      <c r="E4052" s="81" t="s">
        <v>3209</v>
      </c>
      <c r="F4052" s="81">
        <v>608.0</v>
      </c>
      <c r="G4052" s="81" t="s">
        <v>3</v>
      </c>
      <c r="H4052" s="81" t="s">
        <v>224</v>
      </c>
      <c r="I4052" s="81" t="s">
        <v>214</v>
      </c>
      <c r="J4052" s="81" t="s">
        <v>224</v>
      </c>
      <c r="K4052" s="81" t="str">
        <f>IFERROR(__xludf.DUMMYFUNCTION("IF(OR(D4052="""",G4052=""""),"""",IFERROR(LET(
campo,XLOOKUP(TRIM(G4052),ARRAYFORMULA(TRIM('indice columnas'!$A$2:$A$100)),'indice columnas'!$B$2:$B$100,""""),
col,IFERROR(MATCH(campo,Referencia!$A$1:$AZ$1,0),0),
fila,IFERROR(MATCH(TO_TEXT(D4052),ARRAYFOR"&amp;"MULA(TO_TEXT(Referencia!$A$2:$A6238)),0),0),
IF(OR(campo="""",campo=""-""),""NO APLICA"",
IF(col=0,""REVISAR EQUIVALENCIA"",
IF(fila=0,""SKU NO ENCONTRADO"",
LET(
valor,INDEX(Referencia!$A$2:$AZ6238,fila,col),
IF(TRIM(TO_TEXT(valor))=TRIM(TO_TEXT(I4052)),"&amp;"
""OK"",
""NO COINCIDE. Valor verdadero: ""&amp;IF(valor="""",""[VACÍO]"",TO_TEXT(valor))
)
))))
),""ERROR EN FÓRMULA""))"),"OK")</f>
        <v>OK</v>
      </c>
    </row>
    <row r="4053">
      <c r="A4053" s="83" t="s">
        <v>4896</v>
      </c>
      <c r="B4053" s="83" t="s">
        <v>4897</v>
      </c>
      <c r="C4053" s="81" t="s">
        <v>4086</v>
      </c>
      <c r="D4053" s="83" t="s">
        <v>4678</v>
      </c>
      <c r="E4053" s="81" t="s">
        <v>3209</v>
      </c>
      <c r="F4053" s="81">
        <v>608.0</v>
      </c>
      <c r="G4053" s="81" t="s">
        <v>2</v>
      </c>
      <c r="H4053" s="81" t="s">
        <v>224</v>
      </c>
      <c r="I4053" s="81" t="s">
        <v>213</v>
      </c>
      <c r="J4053" s="81" t="s">
        <v>224</v>
      </c>
      <c r="K4053" s="81" t="str">
        <f>IFERROR(__xludf.DUMMYFUNCTION("IF(OR(D4053="""",G4053=""""),"""",IFERROR(LET(
campo,XLOOKUP(TRIM(G4053),ARRAYFORMULA(TRIM('indice columnas'!$A$2:$A$100)),'indice columnas'!$B$2:$B$100,""""),
col,IFERROR(MATCH(campo,Referencia!$A$1:$AZ$1,0),0),
fila,IFERROR(MATCH(TO_TEXT(D4053),ARRAYFOR"&amp;"MULA(TO_TEXT(Referencia!$A$2:$A6238)),0),0),
IF(OR(campo="""",campo=""-""),""NO APLICA"",
IF(col=0,""REVISAR EQUIVALENCIA"",
IF(fila=0,""SKU NO ENCONTRADO"",
LET(
valor,INDEX(Referencia!$A$2:$AZ6238,fila,col),
IF(TRIM(TO_TEXT(valor))=TRIM(TO_TEXT(I4053)),"&amp;"
""OK"",
""NO COINCIDE. Valor verdadero: ""&amp;IF(valor="""",""[VACÍO]"",TO_TEXT(valor))
)
))))
),""ERROR EN FÓRMULA""))"),"OK")</f>
        <v>OK</v>
      </c>
    </row>
    <row r="4054">
      <c r="A4054" s="83" t="s">
        <v>4896</v>
      </c>
      <c r="B4054" s="83" t="s">
        <v>4897</v>
      </c>
      <c r="C4054" s="81" t="s">
        <v>4086</v>
      </c>
      <c r="D4054" s="83" t="s">
        <v>4680</v>
      </c>
      <c r="E4054" s="81" t="s">
        <v>3220</v>
      </c>
      <c r="F4054" s="81">
        <v>611.0</v>
      </c>
      <c r="G4054" s="81" t="s">
        <v>3</v>
      </c>
      <c r="H4054" s="81" t="s">
        <v>224</v>
      </c>
      <c r="I4054" s="81" t="s">
        <v>214</v>
      </c>
      <c r="J4054" s="81" t="s">
        <v>224</v>
      </c>
      <c r="K4054" s="81" t="str">
        <f>IFERROR(__xludf.DUMMYFUNCTION("IF(OR(D4054="""",G4054=""""),"""",IFERROR(LET(
campo,XLOOKUP(TRIM(G4054),ARRAYFORMULA(TRIM('indice columnas'!$A$2:$A$100)),'indice columnas'!$B$2:$B$100,""""),
col,IFERROR(MATCH(campo,Referencia!$A$1:$AZ$1,0),0),
fila,IFERROR(MATCH(TO_TEXT(D4054),ARRAYFOR"&amp;"MULA(TO_TEXT(Referencia!$A$2:$A6238)),0),0),
IF(OR(campo="""",campo=""-""),""NO APLICA"",
IF(col=0,""REVISAR EQUIVALENCIA"",
IF(fila=0,""SKU NO ENCONTRADO"",
LET(
valor,INDEX(Referencia!$A$2:$AZ6238,fila,col),
IF(TRIM(TO_TEXT(valor))=TRIM(TO_TEXT(I4054)),"&amp;"
""OK"",
""NO COINCIDE. Valor verdadero: ""&amp;IF(valor="""",""[VACÍO]"",TO_TEXT(valor))
)
))))
),""ERROR EN FÓRMULA""))"),"OK")</f>
        <v>OK</v>
      </c>
    </row>
    <row r="4055">
      <c r="A4055" s="83" t="s">
        <v>4896</v>
      </c>
      <c r="B4055" s="83" t="s">
        <v>4897</v>
      </c>
      <c r="C4055" s="81" t="s">
        <v>4086</v>
      </c>
      <c r="D4055" s="83" t="s">
        <v>4680</v>
      </c>
      <c r="E4055" s="81" t="s">
        <v>3220</v>
      </c>
      <c r="F4055" s="81">
        <v>611.0</v>
      </c>
      <c r="G4055" s="81" t="s">
        <v>2</v>
      </c>
      <c r="H4055" s="81" t="s">
        <v>224</v>
      </c>
      <c r="I4055" s="81" t="s">
        <v>213</v>
      </c>
      <c r="J4055" s="81" t="s">
        <v>224</v>
      </c>
      <c r="K4055" s="81" t="str">
        <f>IFERROR(__xludf.DUMMYFUNCTION("IF(OR(D4055="""",G4055=""""),"""",IFERROR(LET(
campo,XLOOKUP(TRIM(G4055),ARRAYFORMULA(TRIM('indice columnas'!$A$2:$A$100)),'indice columnas'!$B$2:$B$100,""""),
col,IFERROR(MATCH(campo,Referencia!$A$1:$AZ$1,0),0),
fila,IFERROR(MATCH(TO_TEXT(D4055),ARRAYFOR"&amp;"MULA(TO_TEXT(Referencia!$A$2:$A6238)),0),0),
IF(OR(campo="""",campo=""-""),""NO APLICA"",
IF(col=0,""REVISAR EQUIVALENCIA"",
IF(fila=0,""SKU NO ENCONTRADO"",
LET(
valor,INDEX(Referencia!$A$2:$AZ6238,fila,col),
IF(TRIM(TO_TEXT(valor))=TRIM(TO_TEXT(I4055)),"&amp;"
""OK"",
""NO COINCIDE. Valor verdadero: ""&amp;IF(valor="""",""[VACÍO]"",TO_TEXT(valor))
)
))))
),""ERROR EN FÓRMULA""))"),"OK")</f>
        <v>OK</v>
      </c>
    </row>
    <row r="4056">
      <c r="A4056" s="83" t="s">
        <v>4896</v>
      </c>
      <c r="B4056" s="83" t="s">
        <v>4897</v>
      </c>
      <c r="C4056" s="81" t="s">
        <v>4086</v>
      </c>
      <c r="D4056" s="83" t="s">
        <v>4681</v>
      </c>
      <c r="E4056" s="81" t="s">
        <v>3223</v>
      </c>
      <c r="F4056" s="81">
        <v>612.0</v>
      </c>
      <c r="G4056" s="81" t="s">
        <v>3</v>
      </c>
      <c r="H4056" s="81" t="s">
        <v>224</v>
      </c>
      <c r="I4056" s="81" t="s">
        <v>214</v>
      </c>
      <c r="J4056" s="81" t="s">
        <v>224</v>
      </c>
      <c r="K4056" s="81" t="str">
        <f>IFERROR(__xludf.DUMMYFUNCTION("IF(OR(D4056="""",G4056=""""),"""",IFERROR(LET(
campo,XLOOKUP(TRIM(G4056),ARRAYFORMULA(TRIM('indice columnas'!$A$2:$A$100)),'indice columnas'!$B$2:$B$100,""""),
col,IFERROR(MATCH(campo,Referencia!$A$1:$AZ$1,0),0),
fila,IFERROR(MATCH(TO_TEXT(D4056),ARRAYFOR"&amp;"MULA(TO_TEXT(Referencia!$A$2:$A6238)),0),0),
IF(OR(campo="""",campo=""-""),""NO APLICA"",
IF(col=0,""REVISAR EQUIVALENCIA"",
IF(fila=0,""SKU NO ENCONTRADO"",
LET(
valor,INDEX(Referencia!$A$2:$AZ6238,fila,col),
IF(TRIM(TO_TEXT(valor))=TRIM(TO_TEXT(I4056)),"&amp;"
""OK"",
""NO COINCIDE. Valor verdadero: ""&amp;IF(valor="""",""[VACÍO]"",TO_TEXT(valor))
)
))))
),""ERROR EN FÓRMULA""))"),"OK")</f>
        <v>OK</v>
      </c>
    </row>
    <row r="4057">
      <c r="A4057" s="83" t="s">
        <v>4896</v>
      </c>
      <c r="B4057" s="83" t="s">
        <v>4897</v>
      </c>
      <c r="C4057" s="81" t="s">
        <v>4086</v>
      </c>
      <c r="D4057" s="83" t="s">
        <v>4681</v>
      </c>
      <c r="E4057" s="81" t="s">
        <v>3223</v>
      </c>
      <c r="F4057" s="81">
        <v>612.0</v>
      </c>
      <c r="G4057" s="81" t="s">
        <v>2</v>
      </c>
      <c r="H4057" s="81" t="s">
        <v>224</v>
      </c>
      <c r="I4057" s="81" t="s">
        <v>213</v>
      </c>
      <c r="J4057" s="81" t="s">
        <v>224</v>
      </c>
      <c r="K4057" s="81" t="str">
        <f>IFERROR(__xludf.DUMMYFUNCTION("IF(OR(D4057="""",G4057=""""),"""",IFERROR(LET(
campo,XLOOKUP(TRIM(G4057),ARRAYFORMULA(TRIM('indice columnas'!$A$2:$A$100)),'indice columnas'!$B$2:$B$100,""""),
col,IFERROR(MATCH(campo,Referencia!$A$1:$AZ$1,0),0),
fila,IFERROR(MATCH(TO_TEXT(D4057),ARRAYFOR"&amp;"MULA(TO_TEXT(Referencia!$A$2:$A6238)),0),0),
IF(OR(campo="""",campo=""-""),""NO APLICA"",
IF(col=0,""REVISAR EQUIVALENCIA"",
IF(fila=0,""SKU NO ENCONTRADO"",
LET(
valor,INDEX(Referencia!$A$2:$AZ6238,fila,col),
IF(TRIM(TO_TEXT(valor))=TRIM(TO_TEXT(I4057)),"&amp;"
""OK"",
""NO COINCIDE. Valor verdadero: ""&amp;IF(valor="""",""[VACÍO]"",TO_TEXT(valor))
)
))))
),""ERROR EN FÓRMULA""))"),"OK")</f>
        <v>OK</v>
      </c>
    </row>
    <row r="4058">
      <c r="A4058" s="83" t="s">
        <v>4896</v>
      </c>
      <c r="B4058" s="83" t="s">
        <v>4897</v>
      </c>
      <c r="C4058" s="81" t="s">
        <v>4086</v>
      </c>
      <c r="D4058" s="83" t="s">
        <v>4682</v>
      </c>
      <c r="E4058" s="81" t="s">
        <v>3226</v>
      </c>
      <c r="F4058" s="81">
        <v>613.0</v>
      </c>
      <c r="G4058" s="81" t="s">
        <v>3</v>
      </c>
      <c r="H4058" s="81" t="s">
        <v>224</v>
      </c>
      <c r="I4058" s="81" t="s">
        <v>214</v>
      </c>
      <c r="J4058" s="81" t="s">
        <v>224</v>
      </c>
      <c r="K4058" s="81" t="str">
        <f>IFERROR(__xludf.DUMMYFUNCTION("IF(OR(D4058="""",G4058=""""),"""",IFERROR(LET(
campo,XLOOKUP(TRIM(G4058),ARRAYFORMULA(TRIM('indice columnas'!$A$2:$A$100)),'indice columnas'!$B$2:$B$100,""""),
col,IFERROR(MATCH(campo,Referencia!$A$1:$AZ$1,0),0),
fila,IFERROR(MATCH(TO_TEXT(D4058),ARRAYFOR"&amp;"MULA(TO_TEXT(Referencia!$A$2:$A6238)),0),0),
IF(OR(campo="""",campo=""-""),""NO APLICA"",
IF(col=0,""REVISAR EQUIVALENCIA"",
IF(fila=0,""SKU NO ENCONTRADO"",
LET(
valor,INDEX(Referencia!$A$2:$AZ6238,fila,col),
IF(TRIM(TO_TEXT(valor))=TRIM(TO_TEXT(I4058)),"&amp;"
""OK"",
""NO COINCIDE. Valor verdadero: ""&amp;IF(valor="""",""[VACÍO]"",TO_TEXT(valor))
)
))))
),""ERROR EN FÓRMULA""))"),"OK")</f>
        <v>OK</v>
      </c>
    </row>
    <row r="4059">
      <c r="A4059" s="83" t="s">
        <v>4896</v>
      </c>
      <c r="B4059" s="83" t="s">
        <v>4897</v>
      </c>
      <c r="C4059" s="81" t="s">
        <v>4086</v>
      </c>
      <c r="D4059" s="83" t="s">
        <v>4682</v>
      </c>
      <c r="E4059" s="81" t="s">
        <v>3226</v>
      </c>
      <c r="F4059" s="81">
        <v>613.0</v>
      </c>
      <c r="G4059" s="81" t="s">
        <v>2</v>
      </c>
      <c r="H4059" s="81" t="s">
        <v>224</v>
      </c>
      <c r="I4059" s="81" t="s">
        <v>213</v>
      </c>
      <c r="J4059" s="81" t="s">
        <v>224</v>
      </c>
      <c r="K4059" s="81" t="str">
        <f>IFERROR(__xludf.DUMMYFUNCTION("IF(OR(D4059="""",G4059=""""),"""",IFERROR(LET(
campo,XLOOKUP(TRIM(G4059),ARRAYFORMULA(TRIM('indice columnas'!$A$2:$A$100)),'indice columnas'!$B$2:$B$100,""""),
col,IFERROR(MATCH(campo,Referencia!$A$1:$AZ$1,0),0),
fila,IFERROR(MATCH(TO_TEXT(D4059),ARRAYFOR"&amp;"MULA(TO_TEXT(Referencia!$A$2:$A6238)),0),0),
IF(OR(campo="""",campo=""-""),""NO APLICA"",
IF(col=0,""REVISAR EQUIVALENCIA"",
IF(fila=0,""SKU NO ENCONTRADO"",
LET(
valor,INDEX(Referencia!$A$2:$AZ6238,fila,col),
IF(TRIM(TO_TEXT(valor))=TRIM(TO_TEXT(I4059)),"&amp;"
""OK"",
""NO COINCIDE. Valor verdadero: ""&amp;IF(valor="""",""[VACÍO]"",TO_TEXT(valor))
)
))))
),""ERROR EN FÓRMULA""))"),"OK")</f>
        <v>OK</v>
      </c>
    </row>
    <row r="4060">
      <c r="A4060" s="83" t="s">
        <v>4896</v>
      </c>
      <c r="B4060" s="83" t="s">
        <v>4897</v>
      </c>
      <c r="C4060" s="81" t="s">
        <v>4086</v>
      </c>
      <c r="D4060" s="83" t="s">
        <v>4683</v>
      </c>
      <c r="E4060" s="81" t="s">
        <v>3235</v>
      </c>
      <c r="F4060" s="81">
        <v>615.0</v>
      </c>
      <c r="G4060" s="81" t="s">
        <v>3</v>
      </c>
      <c r="H4060" s="81" t="s">
        <v>224</v>
      </c>
      <c r="I4060" s="81" t="s">
        <v>214</v>
      </c>
      <c r="J4060" s="81" t="s">
        <v>224</v>
      </c>
      <c r="K4060" s="81" t="str">
        <f>IFERROR(__xludf.DUMMYFUNCTION("IF(OR(D4060="""",G4060=""""),"""",IFERROR(LET(
campo,XLOOKUP(TRIM(G4060),ARRAYFORMULA(TRIM('indice columnas'!$A$2:$A$100)),'indice columnas'!$B$2:$B$100,""""),
col,IFERROR(MATCH(campo,Referencia!$A$1:$AZ$1,0),0),
fila,IFERROR(MATCH(TO_TEXT(D4060),ARRAYFOR"&amp;"MULA(TO_TEXT(Referencia!$A$2:$A6238)),0),0),
IF(OR(campo="""",campo=""-""),""NO APLICA"",
IF(col=0,""REVISAR EQUIVALENCIA"",
IF(fila=0,""SKU NO ENCONTRADO"",
LET(
valor,INDEX(Referencia!$A$2:$AZ6238,fila,col),
IF(TRIM(TO_TEXT(valor))=TRIM(TO_TEXT(I4060)),"&amp;"
""OK"",
""NO COINCIDE. Valor verdadero: ""&amp;IF(valor="""",""[VACÍO]"",TO_TEXT(valor))
)
))))
),""ERROR EN FÓRMULA""))"),"OK")</f>
        <v>OK</v>
      </c>
    </row>
    <row r="4061">
      <c r="A4061" s="83" t="s">
        <v>4896</v>
      </c>
      <c r="B4061" s="83" t="s">
        <v>4897</v>
      </c>
      <c r="C4061" s="81" t="s">
        <v>4086</v>
      </c>
      <c r="D4061" s="83" t="s">
        <v>4683</v>
      </c>
      <c r="E4061" s="81" t="s">
        <v>3235</v>
      </c>
      <c r="F4061" s="81">
        <v>615.0</v>
      </c>
      <c r="G4061" s="81" t="s">
        <v>2</v>
      </c>
      <c r="H4061" s="81" t="s">
        <v>224</v>
      </c>
      <c r="I4061" s="81" t="s">
        <v>213</v>
      </c>
      <c r="J4061" s="81" t="s">
        <v>224</v>
      </c>
      <c r="K4061" s="81" t="str">
        <f>IFERROR(__xludf.DUMMYFUNCTION("IF(OR(D4061="""",G4061=""""),"""",IFERROR(LET(
campo,XLOOKUP(TRIM(G4061),ARRAYFORMULA(TRIM('indice columnas'!$A$2:$A$100)),'indice columnas'!$B$2:$B$100,""""),
col,IFERROR(MATCH(campo,Referencia!$A$1:$AZ$1,0),0),
fila,IFERROR(MATCH(TO_TEXT(D4061),ARRAYFOR"&amp;"MULA(TO_TEXT(Referencia!$A$2:$A6238)),0),0),
IF(OR(campo="""",campo=""-""),""NO APLICA"",
IF(col=0,""REVISAR EQUIVALENCIA"",
IF(fila=0,""SKU NO ENCONTRADO"",
LET(
valor,INDEX(Referencia!$A$2:$AZ6238,fila,col),
IF(TRIM(TO_TEXT(valor))=TRIM(TO_TEXT(I4061)),"&amp;"
""OK"",
""NO COINCIDE. Valor verdadero: ""&amp;IF(valor="""",""[VACÍO]"",TO_TEXT(valor))
)
))))
),""ERROR EN FÓRMULA""))"),"OK")</f>
        <v>OK</v>
      </c>
    </row>
    <row r="4062">
      <c r="A4062" s="83" t="s">
        <v>4896</v>
      </c>
      <c r="B4062" s="83" t="s">
        <v>4897</v>
      </c>
      <c r="C4062" s="81" t="s">
        <v>4086</v>
      </c>
      <c r="D4062" s="83" t="s">
        <v>4684</v>
      </c>
      <c r="E4062" s="81" t="s">
        <v>3236</v>
      </c>
      <c r="F4062" s="81">
        <v>616.0</v>
      </c>
      <c r="G4062" s="81" t="s">
        <v>3</v>
      </c>
      <c r="H4062" s="81" t="s">
        <v>224</v>
      </c>
      <c r="I4062" s="81" t="s">
        <v>214</v>
      </c>
      <c r="J4062" s="81" t="s">
        <v>224</v>
      </c>
      <c r="K4062" s="81" t="str">
        <f>IFERROR(__xludf.DUMMYFUNCTION("IF(OR(D4062="""",G4062=""""),"""",IFERROR(LET(
campo,XLOOKUP(TRIM(G4062),ARRAYFORMULA(TRIM('indice columnas'!$A$2:$A$100)),'indice columnas'!$B$2:$B$100,""""),
col,IFERROR(MATCH(campo,Referencia!$A$1:$AZ$1,0),0),
fila,IFERROR(MATCH(TO_TEXT(D4062),ARRAYFOR"&amp;"MULA(TO_TEXT(Referencia!$A$2:$A6238)),0),0),
IF(OR(campo="""",campo=""-""),""NO APLICA"",
IF(col=0,""REVISAR EQUIVALENCIA"",
IF(fila=0,""SKU NO ENCONTRADO"",
LET(
valor,INDEX(Referencia!$A$2:$AZ6238,fila,col),
IF(TRIM(TO_TEXT(valor))=TRIM(TO_TEXT(I4062)),"&amp;"
""OK"",
""NO COINCIDE. Valor verdadero: ""&amp;IF(valor="""",""[VACÍO]"",TO_TEXT(valor))
)
))))
),""ERROR EN FÓRMULA""))"),"OK")</f>
        <v>OK</v>
      </c>
    </row>
    <row r="4063">
      <c r="A4063" s="83" t="s">
        <v>4896</v>
      </c>
      <c r="B4063" s="83" t="s">
        <v>4897</v>
      </c>
      <c r="C4063" s="81" t="s">
        <v>4086</v>
      </c>
      <c r="D4063" s="83" t="s">
        <v>4684</v>
      </c>
      <c r="E4063" s="81" t="s">
        <v>3236</v>
      </c>
      <c r="F4063" s="81">
        <v>616.0</v>
      </c>
      <c r="G4063" s="81" t="s">
        <v>2</v>
      </c>
      <c r="H4063" s="81" t="s">
        <v>224</v>
      </c>
      <c r="I4063" s="81" t="s">
        <v>213</v>
      </c>
      <c r="J4063" s="81" t="s">
        <v>224</v>
      </c>
      <c r="K4063" s="81" t="str">
        <f>IFERROR(__xludf.DUMMYFUNCTION("IF(OR(D4063="""",G4063=""""),"""",IFERROR(LET(
campo,XLOOKUP(TRIM(G4063),ARRAYFORMULA(TRIM('indice columnas'!$A$2:$A$100)),'indice columnas'!$B$2:$B$100,""""),
col,IFERROR(MATCH(campo,Referencia!$A$1:$AZ$1,0),0),
fila,IFERROR(MATCH(TO_TEXT(D4063),ARRAYFOR"&amp;"MULA(TO_TEXT(Referencia!$A$2:$A6238)),0),0),
IF(OR(campo="""",campo=""-""),""NO APLICA"",
IF(col=0,""REVISAR EQUIVALENCIA"",
IF(fila=0,""SKU NO ENCONTRADO"",
LET(
valor,INDEX(Referencia!$A$2:$AZ6238,fila,col),
IF(TRIM(TO_TEXT(valor))=TRIM(TO_TEXT(I4063)),"&amp;"
""OK"",
""NO COINCIDE. Valor verdadero: ""&amp;IF(valor="""",""[VACÍO]"",TO_TEXT(valor))
)
))))
),""ERROR EN FÓRMULA""))"),"OK")</f>
        <v>OK</v>
      </c>
    </row>
    <row r="4064">
      <c r="A4064" s="83" t="s">
        <v>4896</v>
      </c>
      <c r="B4064" s="83" t="s">
        <v>4897</v>
      </c>
      <c r="C4064" s="81" t="s">
        <v>4086</v>
      </c>
      <c r="D4064" s="83" t="s">
        <v>4685</v>
      </c>
      <c r="E4064" s="81" t="s">
        <v>3247</v>
      </c>
      <c r="F4064" s="81">
        <v>618.0</v>
      </c>
      <c r="G4064" s="81" t="s">
        <v>3</v>
      </c>
      <c r="H4064" s="81" t="s">
        <v>224</v>
      </c>
      <c r="I4064" s="81" t="s">
        <v>214</v>
      </c>
      <c r="J4064" s="81" t="s">
        <v>224</v>
      </c>
      <c r="K4064" s="81" t="str">
        <f>IFERROR(__xludf.DUMMYFUNCTION("IF(OR(D4064="""",G4064=""""),"""",IFERROR(LET(
campo,XLOOKUP(TRIM(G4064),ARRAYFORMULA(TRIM('indice columnas'!$A$2:$A$100)),'indice columnas'!$B$2:$B$100,""""),
col,IFERROR(MATCH(campo,Referencia!$A$1:$AZ$1,0),0),
fila,IFERROR(MATCH(TO_TEXT(D4064),ARRAYFOR"&amp;"MULA(TO_TEXT(Referencia!$A$2:$A6238)),0),0),
IF(OR(campo="""",campo=""-""),""NO APLICA"",
IF(col=0,""REVISAR EQUIVALENCIA"",
IF(fila=0,""SKU NO ENCONTRADO"",
LET(
valor,INDEX(Referencia!$A$2:$AZ6238,fila,col),
IF(TRIM(TO_TEXT(valor))=TRIM(TO_TEXT(I4064)),"&amp;"
""OK"",
""NO COINCIDE. Valor verdadero: ""&amp;IF(valor="""",""[VACÍO]"",TO_TEXT(valor))
)
))))
),""ERROR EN FÓRMULA""))"),"OK")</f>
        <v>OK</v>
      </c>
    </row>
    <row r="4065">
      <c r="A4065" s="83" t="s">
        <v>4896</v>
      </c>
      <c r="B4065" s="83" t="s">
        <v>4897</v>
      </c>
      <c r="C4065" s="81" t="s">
        <v>4086</v>
      </c>
      <c r="D4065" s="83" t="s">
        <v>4685</v>
      </c>
      <c r="E4065" s="81" t="s">
        <v>3247</v>
      </c>
      <c r="F4065" s="81">
        <v>618.0</v>
      </c>
      <c r="G4065" s="81" t="s">
        <v>2</v>
      </c>
      <c r="H4065" s="81" t="s">
        <v>224</v>
      </c>
      <c r="I4065" s="81" t="s">
        <v>213</v>
      </c>
      <c r="J4065" s="81" t="s">
        <v>224</v>
      </c>
      <c r="K4065" s="81" t="str">
        <f>IFERROR(__xludf.DUMMYFUNCTION("IF(OR(D4065="""",G4065=""""),"""",IFERROR(LET(
campo,XLOOKUP(TRIM(G4065),ARRAYFORMULA(TRIM('indice columnas'!$A$2:$A$100)),'indice columnas'!$B$2:$B$100,""""),
col,IFERROR(MATCH(campo,Referencia!$A$1:$AZ$1,0),0),
fila,IFERROR(MATCH(TO_TEXT(D4065),ARRAYFOR"&amp;"MULA(TO_TEXT(Referencia!$A$2:$A6238)),0),0),
IF(OR(campo="""",campo=""-""),""NO APLICA"",
IF(col=0,""REVISAR EQUIVALENCIA"",
IF(fila=0,""SKU NO ENCONTRADO"",
LET(
valor,INDEX(Referencia!$A$2:$AZ6238,fila,col),
IF(TRIM(TO_TEXT(valor))=TRIM(TO_TEXT(I4065)),"&amp;"
""OK"",
""NO COINCIDE. Valor verdadero: ""&amp;IF(valor="""",""[VACÍO]"",TO_TEXT(valor))
)
))))
),""ERROR EN FÓRMULA""))"),"OK")</f>
        <v>OK</v>
      </c>
    </row>
    <row r="4066">
      <c r="A4066" s="83" t="s">
        <v>4896</v>
      </c>
      <c r="B4066" s="83" t="s">
        <v>4897</v>
      </c>
      <c r="C4066" s="81" t="s">
        <v>4086</v>
      </c>
      <c r="D4066" s="83" t="s">
        <v>4686</v>
      </c>
      <c r="E4066" s="81" t="s">
        <v>3248</v>
      </c>
      <c r="F4066" s="81">
        <v>619.0</v>
      </c>
      <c r="G4066" s="81" t="s">
        <v>3</v>
      </c>
      <c r="H4066" s="81" t="s">
        <v>224</v>
      </c>
      <c r="I4066" s="81" t="s">
        <v>214</v>
      </c>
      <c r="J4066" s="81" t="s">
        <v>224</v>
      </c>
      <c r="K4066" s="81" t="str">
        <f>IFERROR(__xludf.DUMMYFUNCTION("IF(OR(D4066="""",G4066=""""),"""",IFERROR(LET(
campo,XLOOKUP(TRIM(G4066),ARRAYFORMULA(TRIM('indice columnas'!$A$2:$A$100)),'indice columnas'!$B$2:$B$100,""""),
col,IFERROR(MATCH(campo,Referencia!$A$1:$AZ$1,0),0),
fila,IFERROR(MATCH(TO_TEXT(D4066),ARRAYFOR"&amp;"MULA(TO_TEXT(Referencia!$A$2:$A6238)),0),0),
IF(OR(campo="""",campo=""-""),""NO APLICA"",
IF(col=0,""REVISAR EQUIVALENCIA"",
IF(fila=0,""SKU NO ENCONTRADO"",
LET(
valor,INDEX(Referencia!$A$2:$AZ6238,fila,col),
IF(TRIM(TO_TEXT(valor))=TRIM(TO_TEXT(I4066)),"&amp;"
""OK"",
""NO COINCIDE. Valor verdadero: ""&amp;IF(valor="""",""[VACÍO]"",TO_TEXT(valor))
)
))))
),""ERROR EN FÓRMULA""))"),"OK")</f>
        <v>OK</v>
      </c>
    </row>
    <row r="4067">
      <c r="A4067" s="83" t="s">
        <v>4896</v>
      </c>
      <c r="B4067" s="83" t="s">
        <v>4897</v>
      </c>
      <c r="C4067" s="81" t="s">
        <v>4086</v>
      </c>
      <c r="D4067" s="83" t="s">
        <v>4686</v>
      </c>
      <c r="E4067" s="81" t="s">
        <v>3248</v>
      </c>
      <c r="F4067" s="81">
        <v>619.0</v>
      </c>
      <c r="G4067" s="81" t="s">
        <v>2</v>
      </c>
      <c r="H4067" s="81" t="s">
        <v>224</v>
      </c>
      <c r="I4067" s="81" t="s">
        <v>213</v>
      </c>
      <c r="J4067" s="81" t="s">
        <v>224</v>
      </c>
      <c r="K4067" s="81" t="str">
        <f>IFERROR(__xludf.DUMMYFUNCTION("IF(OR(D4067="""",G4067=""""),"""",IFERROR(LET(
campo,XLOOKUP(TRIM(G4067),ARRAYFORMULA(TRIM('indice columnas'!$A$2:$A$100)),'indice columnas'!$B$2:$B$100,""""),
col,IFERROR(MATCH(campo,Referencia!$A$1:$AZ$1,0),0),
fila,IFERROR(MATCH(TO_TEXT(D4067),ARRAYFOR"&amp;"MULA(TO_TEXT(Referencia!$A$2:$A6238)),0),0),
IF(OR(campo="""",campo=""-""),""NO APLICA"",
IF(col=0,""REVISAR EQUIVALENCIA"",
IF(fila=0,""SKU NO ENCONTRADO"",
LET(
valor,INDEX(Referencia!$A$2:$AZ6238,fila,col),
IF(TRIM(TO_TEXT(valor))=TRIM(TO_TEXT(I4067)),"&amp;"
""OK"",
""NO COINCIDE. Valor verdadero: ""&amp;IF(valor="""",""[VACÍO]"",TO_TEXT(valor))
)
))))
),""ERROR EN FÓRMULA""))"),"OK")</f>
        <v>OK</v>
      </c>
    </row>
    <row r="4068">
      <c r="A4068" s="83" t="s">
        <v>4896</v>
      </c>
      <c r="B4068" s="83" t="s">
        <v>4897</v>
      </c>
      <c r="C4068" s="81" t="s">
        <v>4086</v>
      </c>
      <c r="D4068" s="83" t="s">
        <v>4687</v>
      </c>
      <c r="E4068" s="81" t="s">
        <v>3251</v>
      </c>
      <c r="F4068" s="81">
        <v>620.0</v>
      </c>
      <c r="G4068" s="81" t="s">
        <v>3</v>
      </c>
      <c r="H4068" s="81" t="s">
        <v>224</v>
      </c>
      <c r="I4068" s="81" t="s">
        <v>214</v>
      </c>
      <c r="J4068" s="81" t="s">
        <v>224</v>
      </c>
      <c r="K4068" s="81" t="str">
        <f>IFERROR(__xludf.DUMMYFUNCTION("IF(OR(D4068="""",G4068=""""),"""",IFERROR(LET(
campo,XLOOKUP(TRIM(G4068),ARRAYFORMULA(TRIM('indice columnas'!$A$2:$A$100)),'indice columnas'!$B$2:$B$100,""""),
col,IFERROR(MATCH(campo,Referencia!$A$1:$AZ$1,0),0),
fila,IFERROR(MATCH(TO_TEXT(D4068),ARRAYFOR"&amp;"MULA(TO_TEXT(Referencia!$A$2:$A6238)),0),0),
IF(OR(campo="""",campo=""-""),""NO APLICA"",
IF(col=0,""REVISAR EQUIVALENCIA"",
IF(fila=0,""SKU NO ENCONTRADO"",
LET(
valor,INDEX(Referencia!$A$2:$AZ6238,fila,col),
IF(TRIM(TO_TEXT(valor))=TRIM(TO_TEXT(I4068)),"&amp;"
""OK"",
""NO COINCIDE. Valor verdadero: ""&amp;IF(valor="""",""[VACÍO]"",TO_TEXT(valor))
)
))))
),""ERROR EN FÓRMULA""))"),"OK")</f>
        <v>OK</v>
      </c>
    </row>
    <row r="4069">
      <c r="A4069" s="83" t="s">
        <v>4896</v>
      </c>
      <c r="B4069" s="83" t="s">
        <v>4897</v>
      </c>
      <c r="C4069" s="81" t="s">
        <v>4086</v>
      </c>
      <c r="D4069" s="83" t="s">
        <v>4687</v>
      </c>
      <c r="E4069" s="81" t="s">
        <v>3251</v>
      </c>
      <c r="F4069" s="81">
        <v>620.0</v>
      </c>
      <c r="G4069" s="81" t="s">
        <v>2</v>
      </c>
      <c r="H4069" s="81" t="s">
        <v>224</v>
      </c>
      <c r="I4069" s="81" t="s">
        <v>213</v>
      </c>
      <c r="J4069" s="81" t="s">
        <v>224</v>
      </c>
      <c r="K4069" s="81" t="str">
        <f>IFERROR(__xludf.DUMMYFUNCTION("IF(OR(D4069="""",G4069=""""),"""",IFERROR(LET(
campo,XLOOKUP(TRIM(G4069),ARRAYFORMULA(TRIM('indice columnas'!$A$2:$A$100)),'indice columnas'!$B$2:$B$100,""""),
col,IFERROR(MATCH(campo,Referencia!$A$1:$AZ$1,0),0),
fila,IFERROR(MATCH(TO_TEXT(D4069),ARRAYFOR"&amp;"MULA(TO_TEXT(Referencia!$A$2:$A6238)),0),0),
IF(OR(campo="""",campo=""-""),""NO APLICA"",
IF(col=0,""REVISAR EQUIVALENCIA"",
IF(fila=0,""SKU NO ENCONTRADO"",
LET(
valor,INDEX(Referencia!$A$2:$AZ6238,fila,col),
IF(TRIM(TO_TEXT(valor))=TRIM(TO_TEXT(I4069)),"&amp;"
""OK"",
""NO COINCIDE. Valor verdadero: ""&amp;IF(valor="""",""[VACÍO]"",TO_TEXT(valor))
)
))))
),""ERROR EN FÓRMULA""))"),"OK")</f>
        <v>OK</v>
      </c>
    </row>
    <row r="4070">
      <c r="A4070" s="83" t="s">
        <v>4896</v>
      </c>
      <c r="B4070" s="83" t="s">
        <v>4897</v>
      </c>
      <c r="C4070" s="81" t="s">
        <v>4086</v>
      </c>
      <c r="D4070" s="83" t="s">
        <v>4688</v>
      </c>
      <c r="E4070" s="81" t="s">
        <v>3254</v>
      </c>
      <c r="F4070" s="81">
        <v>621.0</v>
      </c>
      <c r="G4070" s="81" t="s">
        <v>3</v>
      </c>
      <c r="H4070" s="81" t="s">
        <v>224</v>
      </c>
      <c r="I4070" s="81" t="s">
        <v>214</v>
      </c>
      <c r="J4070" s="81" t="s">
        <v>224</v>
      </c>
      <c r="K4070" s="81" t="str">
        <f>IFERROR(__xludf.DUMMYFUNCTION("IF(OR(D4070="""",G4070=""""),"""",IFERROR(LET(
campo,XLOOKUP(TRIM(G4070),ARRAYFORMULA(TRIM('indice columnas'!$A$2:$A$100)),'indice columnas'!$B$2:$B$100,""""),
col,IFERROR(MATCH(campo,Referencia!$A$1:$AZ$1,0),0),
fila,IFERROR(MATCH(TO_TEXT(D4070),ARRAYFOR"&amp;"MULA(TO_TEXT(Referencia!$A$2:$A6238)),0),0),
IF(OR(campo="""",campo=""-""),""NO APLICA"",
IF(col=0,""REVISAR EQUIVALENCIA"",
IF(fila=0,""SKU NO ENCONTRADO"",
LET(
valor,INDEX(Referencia!$A$2:$AZ6238,fila,col),
IF(TRIM(TO_TEXT(valor))=TRIM(TO_TEXT(I4070)),"&amp;"
""OK"",
""NO COINCIDE. Valor verdadero: ""&amp;IF(valor="""",""[VACÍO]"",TO_TEXT(valor))
)
))))
),""ERROR EN FÓRMULA""))"),"OK")</f>
        <v>OK</v>
      </c>
    </row>
    <row r="4071">
      <c r="A4071" s="83" t="s">
        <v>4896</v>
      </c>
      <c r="B4071" s="83" t="s">
        <v>4897</v>
      </c>
      <c r="C4071" s="81" t="s">
        <v>4086</v>
      </c>
      <c r="D4071" s="83" t="s">
        <v>4688</v>
      </c>
      <c r="E4071" s="81" t="s">
        <v>3254</v>
      </c>
      <c r="F4071" s="81">
        <v>621.0</v>
      </c>
      <c r="G4071" s="81" t="s">
        <v>2</v>
      </c>
      <c r="H4071" s="81" t="s">
        <v>224</v>
      </c>
      <c r="I4071" s="81" t="s">
        <v>213</v>
      </c>
      <c r="J4071" s="81" t="s">
        <v>224</v>
      </c>
      <c r="K4071" s="81" t="str">
        <f>IFERROR(__xludf.DUMMYFUNCTION("IF(OR(D4071="""",G4071=""""),"""",IFERROR(LET(
campo,XLOOKUP(TRIM(G4071),ARRAYFORMULA(TRIM('indice columnas'!$A$2:$A$100)),'indice columnas'!$B$2:$B$100,""""),
col,IFERROR(MATCH(campo,Referencia!$A$1:$AZ$1,0),0),
fila,IFERROR(MATCH(TO_TEXT(D4071),ARRAYFOR"&amp;"MULA(TO_TEXT(Referencia!$A$2:$A6238)),0),0),
IF(OR(campo="""",campo=""-""),""NO APLICA"",
IF(col=0,""REVISAR EQUIVALENCIA"",
IF(fila=0,""SKU NO ENCONTRADO"",
LET(
valor,INDEX(Referencia!$A$2:$AZ6238,fila,col),
IF(TRIM(TO_TEXT(valor))=TRIM(TO_TEXT(I4071)),"&amp;"
""OK"",
""NO COINCIDE. Valor verdadero: ""&amp;IF(valor="""",""[VACÍO]"",TO_TEXT(valor))
)
))))
),""ERROR EN FÓRMULA""))"),"OK")</f>
        <v>OK</v>
      </c>
    </row>
    <row r="4072">
      <c r="A4072" s="83" t="s">
        <v>4896</v>
      </c>
      <c r="B4072" s="83" t="s">
        <v>4897</v>
      </c>
      <c r="C4072" s="81" t="s">
        <v>4086</v>
      </c>
      <c r="D4072" s="83" t="s">
        <v>4690</v>
      </c>
      <c r="E4072" s="81" t="s">
        <v>3267</v>
      </c>
      <c r="F4072" s="81">
        <v>624.0</v>
      </c>
      <c r="G4072" s="81" t="s">
        <v>3</v>
      </c>
      <c r="H4072" s="81" t="s">
        <v>224</v>
      </c>
      <c r="I4072" s="81" t="s">
        <v>51</v>
      </c>
      <c r="J4072" s="81" t="s">
        <v>224</v>
      </c>
      <c r="K4072" s="81" t="str">
        <f>IFERROR(__xludf.DUMMYFUNCTION("IF(OR(D4072="""",G4072=""""),"""",IFERROR(LET(
campo,XLOOKUP(TRIM(G4072),ARRAYFORMULA(TRIM('indice columnas'!$A$2:$A$100)),'indice columnas'!$B$2:$B$100,""""),
col,IFERROR(MATCH(campo,Referencia!$A$1:$AZ$1,0),0),
fila,IFERROR(MATCH(TO_TEXT(D4072),ARRAYFOR"&amp;"MULA(TO_TEXT(Referencia!$A$2:$A6238)),0),0),
IF(OR(campo="""",campo=""-""),""NO APLICA"",
IF(col=0,""REVISAR EQUIVALENCIA"",
IF(fila=0,""SKU NO ENCONTRADO"",
LET(
valor,INDEX(Referencia!$A$2:$AZ6238,fila,col),
IF(TRIM(TO_TEXT(valor))=TRIM(TO_TEXT(I4072)),"&amp;"
""OK"",
""NO COINCIDE. Valor verdadero: ""&amp;IF(valor="""",""[VACÍO]"",TO_TEXT(valor))
)
))))
),""ERROR EN FÓRMULA""))"),"OK")</f>
        <v>OK</v>
      </c>
    </row>
    <row r="4073">
      <c r="A4073" s="83" t="s">
        <v>4896</v>
      </c>
      <c r="B4073" s="83" t="s">
        <v>4897</v>
      </c>
      <c r="C4073" s="81" t="s">
        <v>4086</v>
      </c>
      <c r="D4073" s="83" t="s">
        <v>4690</v>
      </c>
      <c r="E4073" s="81" t="s">
        <v>3267</v>
      </c>
      <c r="F4073" s="81">
        <v>624.0</v>
      </c>
      <c r="G4073" s="81" t="s">
        <v>2</v>
      </c>
      <c r="H4073" s="81" t="s">
        <v>224</v>
      </c>
      <c r="I4073" s="81" t="s">
        <v>50</v>
      </c>
      <c r="J4073" s="81" t="s">
        <v>224</v>
      </c>
      <c r="K4073" s="81" t="str">
        <f>IFERROR(__xludf.DUMMYFUNCTION("IF(OR(D4073="""",G4073=""""),"""",IFERROR(LET(
campo,XLOOKUP(TRIM(G4073),ARRAYFORMULA(TRIM('indice columnas'!$A$2:$A$100)),'indice columnas'!$B$2:$B$100,""""),
col,IFERROR(MATCH(campo,Referencia!$A$1:$AZ$1,0),0),
fila,IFERROR(MATCH(TO_TEXT(D4073),ARRAYFOR"&amp;"MULA(TO_TEXT(Referencia!$A$2:$A6238)),0),0),
IF(OR(campo="""",campo=""-""),""NO APLICA"",
IF(col=0,""REVISAR EQUIVALENCIA"",
IF(fila=0,""SKU NO ENCONTRADO"",
LET(
valor,INDEX(Referencia!$A$2:$AZ6238,fila,col),
IF(TRIM(TO_TEXT(valor))=TRIM(TO_TEXT(I4073)),"&amp;"
""OK"",
""NO COINCIDE. Valor verdadero: ""&amp;IF(valor="""",""[VACÍO]"",TO_TEXT(valor))
)
))))
),""ERROR EN FÓRMULA""))"),"OK")</f>
        <v>OK</v>
      </c>
    </row>
    <row r="4074">
      <c r="A4074" s="83" t="s">
        <v>4896</v>
      </c>
      <c r="B4074" s="83" t="s">
        <v>4897</v>
      </c>
      <c r="C4074" s="81" t="s">
        <v>4086</v>
      </c>
      <c r="D4074" s="83" t="s">
        <v>4693</v>
      </c>
      <c r="E4074" s="81" t="s">
        <v>3281</v>
      </c>
      <c r="F4074" s="81">
        <v>627.0</v>
      </c>
      <c r="G4074" s="81" t="s">
        <v>3</v>
      </c>
      <c r="H4074" s="81" t="s">
        <v>224</v>
      </c>
      <c r="I4074" s="81" t="s">
        <v>886</v>
      </c>
      <c r="J4074" s="81" t="s">
        <v>224</v>
      </c>
      <c r="K4074" s="81" t="str">
        <f>IFERROR(__xludf.DUMMYFUNCTION("IF(OR(D4074="""",G4074=""""),"""",IFERROR(LET(
campo,XLOOKUP(TRIM(G4074),ARRAYFORMULA(TRIM('indice columnas'!$A$2:$A$100)),'indice columnas'!$B$2:$B$100,""""),
col,IFERROR(MATCH(campo,Referencia!$A$1:$AZ$1,0),0),
fila,IFERROR(MATCH(TO_TEXT(D4074),ARRAYFOR"&amp;"MULA(TO_TEXT(Referencia!$A$2:$A6238)),0),0),
IF(OR(campo="""",campo=""-""),""NO APLICA"",
IF(col=0,""REVISAR EQUIVALENCIA"",
IF(fila=0,""SKU NO ENCONTRADO"",
LET(
valor,INDEX(Referencia!$A$2:$AZ6238,fila,col),
IF(TRIM(TO_TEXT(valor))=TRIM(TO_TEXT(I4074)),"&amp;"
""OK"",
""NO COINCIDE. Valor verdadero: ""&amp;IF(valor="""",""[VACÍO]"",TO_TEXT(valor))
)
))))
),""ERROR EN FÓRMULA""))"),"OK")</f>
        <v>OK</v>
      </c>
    </row>
    <row r="4075">
      <c r="A4075" s="83" t="s">
        <v>4896</v>
      </c>
      <c r="B4075" s="83" t="s">
        <v>4897</v>
      </c>
      <c r="C4075" s="81" t="s">
        <v>4086</v>
      </c>
      <c r="D4075" s="83" t="s">
        <v>4693</v>
      </c>
      <c r="E4075" s="81" t="s">
        <v>3281</v>
      </c>
      <c r="F4075" s="81">
        <v>627.0</v>
      </c>
      <c r="G4075" s="81" t="s">
        <v>2</v>
      </c>
      <c r="H4075" s="81" t="s">
        <v>224</v>
      </c>
      <c r="I4075" s="81" t="s">
        <v>885</v>
      </c>
      <c r="J4075" s="81" t="s">
        <v>224</v>
      </c>
      <c r="K4075" s="81" t="str">
        <f>IFERROR(__xludf.DUMMYFUNCTION("IF(OR(D4075="""",G4075=""""),"""",IFERROR(LET(
campo,XLOOKUP(TRIM(G4075),ARRAYFORMULA(TRIM('indice columnas'!$A$2:$A$100)),'indice columnas'!$B$2:$B$100,""""),
col,IFERROR(MATCH(campo,Referencia!$A$1:$AZ$1,0),0),
fila,IFERROR(MATCH(TO_TEXT(D4075),ARRAYFOR"&amp;"MULA(TO_TEXT(Referencia!$A$2:$A6238)),0),0),
IF(OR(campo="""",campo=""-""),""NO APLICA"",
IF(col=0,""REVISAR EQUIVALENCIA"",
IF(fila=0,""SKU NO ENCONTRADO"",
LET(
valor,INDEX(Referencia!$A$2:$AZ6238,fila,col),
IF(TRIM(TO_TEXT(valor))=TRIM(TO_TEXT(I4075)),"&amp;"
""OK"",
""NO COINCIDE. Valor verdadero: ""&amp;IF(valor="""",""[VACÍO]"",TO_TEXT(valor))
)
))))
),""ERROR EN FÓRMULA""))"),"OK")</f>
        <v>OK</v>
      </c>
    </row>
    <row r="4076">
      <c r="A4076" s="83" t="s">
        <v>4896</v>
      </c>
      <c r="B4076" s="83" t="s">
        <v>4897</v>
      </c>
      <c r="C4076" s="81" t="s">
        <v>4086</v>
      </c>
      <c r="D4076" s="83" t="s">
        <v>4696</v>
      </c>
      <c r="E4076" s="81" t="s">
        <v>3296</v>
      </c>
      <c r="F4076" s="81">
        <v>630.0</v>
      </c>
      <c r="G4076" s="81" t="s">
        <v>3</v>
      </c>
      <c r="H4076" s="81" t="s">
        <v>224</v>
      </c>
      <c r="I4076" s="81" t="s">
        <v>51</v>
      </c>
      <c r="J4076" s="81" t="s">
        <v>224</v>
      </c>
      <c r="K4076" s="81" t="str">
        <f>IFERROR(__xludf.DUMMYFUNCTION("IF(OR(D4076="""",G4076=""""),"""",IFERROR(LET(
campo,XLOOKUP(TRIM(G4076),ARRAYFORMULA(TRIM('indice columnas'!$A$2:$A$100)),'indice columnas'!$B$2:$B$100,""""),
col,IFERROR(MATCH(campo,Referencia!$A$1:$AZ$1,0),0),
fila,IFERROR(MATCH(TO_TEXT(D4076),ARRAYFOR"&amp;"MULA(TO_TEXT(Referencia!$A$2:$A6238)),0),0),
IF(OR(campo="""",campo=""-""),""NO APLICA"",
IF(col=0,""REVISAR EQUIVALENCIA"",
IF(fila=0,""SKU NO ENCONTRADO"",
LET(
valor,INDEX(Referencia!$A$2:$AZ6238,fila,col),
IF(TRIM(TO_TEXT(valor))=TRIM(TO_TEXT(I4076)),"&amp;"
""OK"",
""NO COINCIDE. Valor verdadero: ""&amp;IF(valor="""",""[VACÍO]"",TO_TEXT(valor))
)
))))
),""ERROR EN FÓRMULA""))"),"OK")</f>
        <v>OK</v>
      </c>
    </row>
    <row r="4077">
      <c r="A4077" s="83" t="s">
        <v>4896</v>
      </c>
      <c r="B4077" s="83" t="s">
        <v>4897</v>
      </c>
      <c r="C4077" s="81" t="s">
        <v>4086</v>
      </c>
      <c r="D4077" s="83" t="s">
        <v>4696</v>
      </c>
      <c r="E4077" s="81" t="s">
        <v>3296</v>
      </c>
      <c r="F4077" s="81">
        <v>630.0</v>
      </c>
      <c r="G4077" s="81" t="s">
        <v>2</v>
      </c>
      <c r="H4077" s="81" t="s">
        <v>224</v>
      </c>
      <c r="I4077" s="81" t="s">
        <v>50</v>
      </c>
      <c r="J4077" s="81" t="s">
        <v>224</v>
      </c>
      <c r="K4077" s="81" t="str">
        <f>IFERROR(__xludf.DUMMYFUNCTION("IF(OR(D4077="""",G4077=""""),"""",IFERROR(LET(
campo,XLOOKUP(TRIM(G4077),ARRAYFORMULA(TRIM('indice columnas'!$A$2:$A$100)),'indice columnas'!$B$2:$B$100,""""),
col,IFERROR(MATCH(campo,Referencia!$A$1:$AZ$1,0),0),
fila,IFERROR(MATCH(TO_TEXT(D4077),ARRAYFOR"&amp;"MULA(TO_TEXT(Referencia!$A$2:$A6238)),0),0),
IF(OR(campo="""",campo=""-""),""NO APLICA"",
IF(col=0,""REVISAR EQUIVALENCIA"",
IF(fila=0,""SKU NO ENCONTRADO"",
LET(
valor,INDEX(Referencia!$A$2:$AZ6238,fila,col),
IF(TRIM(TO_TEXT(valor))=TRIM(TO_TEXT(I4077)),"&amp;"
""OK"",
""NO COINCIDE. Valor verdadero: ""&amp;IF(valor="""",""[VACÍO]"",TO_TEXT(valor))
)
))))
),""ERROR EN FÓRMULA""))"),"OK")</f>
        <v>OK</v>
      </c>
    </row>
    <row r="4078">
      <c r="A4078" s="83" t="s">
        <v>4896</v>
      </c>
      <c r="B4078" s="83" t="s">
        <v>4897</v>
      </c>
      <c r="C4078" s="81" t="s">
        <v>4086</v>
      </c>
      <c r="D4078" s="83" t="s">
        <v>4696</v>
      </c>
      <c r="E4078" s="81" t="s">
        <v>3296</v>
      </c>
      <c r="F4078" s="81">
        <v>630.0</v>
      </c>
      <c r="G4078" s="81" t="s">
        <v>1</v>
      </c>
      <c r="H4078" s="81" t="s">
        <v>224</v>
      </c>
      <c r="I4078" s="81" t="s">
        <v>49</v>
      </c>
      <c r="J4078" s="81" t="s">
        <v>224</v>
      </c>
      <c r="K4078" s="81" t="str">
        <f>IFERROR(__xludf.DUMMYFUNCTION("IF(OR(D4078="""",G4078=""""),"""",IFERROR(LET(
campo,XLOOKUP(TRIM(G4078),ARRAYFORMULA(TRIM('indice columnas'!$A$2:$A$100)),'indice columnas'!$B$2:$B$100,""""),
col,IFERROR(MATCH(campo,Referencia!$A$1:$AZ$1,0),0),
fila,IFERROR(MATCH(TO_TEXT(D4078),ARRAYFOR"&amp;"MULA(TO_TEXT(Referencia!$A$2:$A6238)),0),0),
IF(OR(campo="""",campo=""-""),""NO APLICA"",
IF(col=0,""REVISAR EQUIVALENCIA"",
IF(fila=0,""SKU NO ENCONTRADO"",
LET(
valor,INDEX(Referencia!$A$2:$AZ6238,fila,col),
IF(TRIM(TO_TEXT(valor))=TRIM(TO_TEXT(I4078)),"&amp;"
""OK"",
""NO COINCIDE. Valor verdadero: ""&amp;IF(valor="""",""[VACÍO]"",TO_TEXT(valor))
)
))))
),""ERROR EN FÓRMULA""))"),"OK")</f>
        <v>OK</v>
      </c>
    </row>
    <row r="4079">
      <c r="A4079" s="83" t="s">
        <v>4896</v>
      </c>
      <c r="B4079" s="83" t="s">
        <v>4897</v>
      </c>
      <c r="C4079" s="81" t="s">
        <v>4086</v>
      </c>
      <c r="D4079" s="83" t="s">
        <v>4698</v>
      </c>
      <c r="E4079" s="81" t="s">
        <v>3312</v>
      </c>
      <c r="F4079" s="81">
        <v>633.0</v>
      </c>
      <c r="G4079" s="81" t="s">
        <v>3</v>
      </c>
      <c r="H4079" s="81" t="s">
        <v>224</v>
      </c>
      <c r="I4079" s="81" t="s">
        <v>909</v>
      </c>
      <c r="J4079" s="81" t="s">
        <v>224</v>
      </c>
      <c r="K4079" s="81" t="str">
        <f>IFERROR(__xludf.DUMMYFUNCTION("IF(OR(D4079="""",G4079=""""),"""",IFERROR(LET(
campo,XLOOKUP(TRIM(G4079),ARRAYFORMULA(TRIM('indice columnas'!$A$2:$A$100)),'indice columnas'!$B$2:$B$100,""""),
col,IFERROR(MATCH(campo,Referencia!$A$1:$AZ$1,0),0),
fila,IFERROR(MATCH(TO_TEXT(D4079),ARRAYFOR"&amp;"MULA(TO_TEXT(Referencia!$A$2:$A6238)),0),0),
IF(OR(campo="""",campo=""-""),""NO APLICA"",
IF(col=0,""REVISAR EQUIVALENCIA"",
IF(fila=0,""SKU NO ENCONTRADO"",
LET(
valor,INDEX(Referencia!$A$2:$AZ6238,fila,col),
IF(TRIM(TO_TEXT(valor))=TRIM(TO_TEXT(I4079)),"&amp;"
""OK"",
""NO COINCIDE. Valor verdadero: ""&amp;IF(valor="""",""[VACÍO]"",TO_TEXT(valor))
)
))))
),""ERROR EN FÓRMULA""))"),"OK")</f>
        <v>OK</v>
      </c>
    </row>
    <row r="4080">
      <c r="A4080" s="83" t="s">
        <v>4896</v>
      </c>
      <c r="B4080" s="83" t="s">
        <v>4897</v>
      </c>
      <c r="C4080" s="81" t="s">
        <v>4086</v>
      </c>
      <c r="D4080" s="83" t="s">
        <v>4698</v>
      </c>
      <c r="E4080" s="81" t="s">
        <v>3312</v>
      </c>
      <c r="F4080" s="81">
        <v>633.0</v>
      </c>
      <c r="G4080" s="81" t="s">
        <v>2</v>
      </c>
      <c r="H4080" s="81" t="s">
        <v>224</v>
      </c>
      <c r="I4080" s="81" t="s">
        <v>885</v>
      </c>
      <c r="J4080" s="81" t="s">
        <v>224</v>
      </c>
      <c r="K4080" s="81" t="str">
        <f>IFERROR(__xludf.DUMMYFUNCTION("IF(OR(D4080="""",G4080=""""),"""",IFERROR(LET(
campo,XLOOKUP(TRIM(G4080),ARRAYFORMULA(TRIM('indice columnas'!$A$2:$A$100)),'indice columnas'!$B$2:$B$100,""""),
col,IFERROR(MATCH(campo,Referencia!$A$1:$AZ$1,0),0),
fila,IFERROR(MATCH(TO_TEXT(D4080),ARRAYFOR"&amp;"MULA(TO_TEXT(Referencia!$A$2:$A6238)),0),0),
IF(OR(campo="""",campo=""-""),""NO APLICA"",
IF(col=0,""REVISAR EQUIVALENCIA"",
IF(fila=0,""SKU NO ENCONTRADO"",
LET(
valor,INDEX(Referencia!$A$2:$AZ6238,fila,col),
IF(TRIM(TO_TEXT(valor))=TRIM(TO_TEXT(I4080)),"&amp;"
""OK"",
""NO COINCIDE. Valor verdadero: ""&amp;IF(valor="""",""[VACÍO]"",TO_TEXT(valor))
)
))))
),""ERROR EN FÓRMULA""))"),"OK")</f>
        <v>OK</v>
      </c>
    </row>
    <row r="4081">
      <c r="A4081" s="83" t="s">
        <v>4896</v>
      </c>
      <c r="B4081" s="83" t="s">
        <v>4897</v>
      </c>
      <c r="C4081" s="81" t="s">
        <v>4086</v>
      </c>
      <c r="D4081" s="83" t="s">
        <v>4698</v>
      </c>
      <c r="E4081" s="81" t="s">
        <v>3312</v>
      </c>
      <c r="F4081" s="81">
        <v>633.0</v>
      </c>
      <c r="G4081" s="81" t="s">
        <v>1</v>
      </c>
      <c r="H4081" s="81" t="s">
        <v>224</v>
      </c>
      <c r="I4081" s="81" t="s">
        <v>49</v>
      </c>
      <c r="J4081" s="81" t="s">
        <v>224</v>
      </c>
      <c r="K4081" s="81" t="str">
        <f>IFERROR(__xludf.DUMMYFUNCTION("IF(OR(D4081="""",G4081=""""),"""",IFERROR(LET(
campo,XLOOKUP(TRIM(G4081),ARRAYFORMULA(TRIM('indice columnas'!$A$2:$A$100)),'indice columnas'!$B$2:$B$100,""""),
col,IFERROR(MATCH(campo,Referencia!$A$1:$AZ$1,0),0),
fila,IFERROR(MATCH(TO_TEXT(D4081),ARRAYFOR"&amp;"MULA(TO_TEXT(Referencia!$A$2:$A6238)),0),0),
IF(OR(campo="""",campo=""-""),""NO APLICA"",
IF(col=0,""REVISAR EQUIVALENCIA"",
IF(fila=0,""SKU NO ENCONTRADO"",
LET(
valor,INDEX(Referencia!$A$2:$AZ6238,fila,col),
IF(TRIM(TO_TEXT(valor))=TRIM(TO_TEXT(I4081)),"&amp;"
""OK"",
""NO COINCIDE. Valor verdadero: ""&amp;IF(valor="""",""[VACÍO]"",TO_TEXT(valor))
)
))))
),""ERROR EN FÓRMULA""))"),"OK")</f>
        <v>OK</v>
      </c>
    </row>
    <row r="4082">
      <c r="A4082" s="83" t="s">
        <v>4896</v>
      </c>
      <c r="B4082" s="83" t="s">
        <v>4897</v>
      </c>
      <c r="C4082" s="81" t="s">
        <v>4086</v>
      </c>
      <c r="D4082" s="83" t="s">
        <v>4705</v>
      </c>
      <c r="E4082" s="81" t="s">
        <v>3354</v>
      </c>
      <c r="F4082" s="81">
        <v>639.0</v>
      </c>
      <c r="G4082" s="81" t="s">
        <v>3</v>
      </c>
      <c r="H4082" s="81" t="s">
        <v>224</v>
      </c>
      <c r="I4082" s="81" t="s">
        <v>51</v>
      </c>
      <c r="J4082" s="81" t="s">
        <v>224</v>
      </c>
      <c r="K4082" s="81" t="str">
        <f>IFERROR(__xludf.DUMMYFUNCTION("IF(OR(D4082="""",G4082=""""),"""",IFERROR(LET(
campo,XLOOKUP(TRIM(G4082),ARRAYFORMULA(TRIM('indice columnas'!$A$2:$A$100)),'indice columnas'!$B$2:$B$100,""""),
col,IFERROR(MATCH(campo,Referencia!$A$1:$AZ$1,0),0),
fila,IFERROR(MATCH(TO_TEXT(D4082),ARRAYFOR"&amp;"MULA(TO_TEXT(Referencia!$A$2:$A6238)),0),0),
IF(OR(campo="""",campo=""-""),""NO APLICA"",
IF(col=0,""REVISAR EQUIVALENCIA"",
IF(fila=0,""SKU NO ENCONTRADO"",
LET(
valor,INDEX(Referencia!$A$2:$AZ6238,fila,col),
IF(TRIM(TO_TEXT(valor))=TRIM(TO_TEXT(I4082)),"&amp;"
""OK"",
""NO COINCIDE. Valor verdadero: ""&amp;IF(valor="""",""[VACÍO]"",TO_TEXT(valor))
)
))))
),""ERROR EN FÓRMULA""))"),"OK")</f>
        <v>OK</v>
      </c>
    </row>
    <row r="4083">
      <c r="A4083" s="83" t="s">
        <v>4896</v>
      </c>
      <c r="B4083" s="83" t="s">
        <v>4897</v>
      </c>
      <c r="C4083" s="81" t="s">
        <v>4086</v>
      </c>
      <c r="D4083" s="83" t="s">
        <v>4705</v>
      </c>
      <c r="E4083" s="81" t="s">
        <v>3354</v>
      </c>
      <c r="F4083" s="81">
        <v>639.0</v>
      </c>
      <c r="G4083" s="81" t="s">
        <v>2</v>
      </c>
      <c r="H4083" s="81" t="s">
        <v>224</v>
      </c>
      <c r="I4083" s="81" t="s">
        <v>50</v>
      </c>
      <c r="J4083" s="81" t="s">
        <v>224</v>
      </c>
      <c r="K4083" s="81" t="str">
        <f>IFERROR(__xludf.DUMMYFUNCTION("IF(OR(D4083="""",G4083=""""),"""",IFERROR(LET(
campo,XLOOKUP(TRIM(G4083),ARRAYFORMULA(TRIM('indice columnas'!$A$2:$A$100)),'indice columnas'!$B$2:$B$100,""""),
col,IFERROR(MATCH(campo,Referencia!$A$1:$AZ$1,0),0),
fila,IFERROR(MATCH(TO_TEXT(D4083),ARRAYFOR"&amp;"MULA(TO_TEXT(Referencia!$A$2:$A6238)),0),0),
IF(OR(campo="""",campo=""-""),""NO APLICA"",
IF(col=0,""REVISAR EQUIVALENCIA"",
IF(fila=0,""SKU NO ENCONTRADO"",
LET(
valor,INDEX(Referencia!$A$2:$AZ6238,fila,col),
IF(TRIM(TO_TEXT(valor))=TRIM(TO_TEXT(I4083)),"&amp;"
""OK"",
""NO COINCIDE. Valor verdadero: ""&amp;IF(valor="""",""[VACÍO]"",TO_TEXT(valor))
)
))))
),""ERROR EN FÓRMULA""))"),"OK")</f>
        <v>OK</v>
      </c>
    </row>
    <row r="4084">
      <c r="A4084" s="83" t="s">
        <v>4896</v>
      </c>
      <c r="B4084" s="83" t="s">
        <v>4897</v>
      </c>
      <c r="C4084" s="81" t="s">
        <v>4086</v>
      </c>
      <c r="D4084" s="83" t="s">
        <v>4705</v>
      </c>
      <c r="E4084" s="81" t="s">
        <v>3354</v>
      </c>
      <c r="F4084" s="81">
        <v>639.0</v>
      </c>
      <c r="G4084" s="81" t="s">
        <v>1</v>
      </c>
      <c r="H4084" s="81" t="s">
        <v>224</v>
      </c>
      <c r="I4084" s="81" t="s">
        <v>49</v>
      </c>
      <c r="J4084" s="81" t="s">
        <v>224</v>
      </c>
      <c r="K4084" s="81" t="str">
        <f>IFERROR(__xludf.DUMMYFUNCTION("IF(OR(D4084="""",G4084=""""),"""",IFERROR(LET(
campo,XLOOKUP(TRIM(G4084),ARRAYFORMULA(TRIM('indice columnas'!$A$2:$A$100)),'indice columnas'!$B$2:$B$100,""""),
col,IFERROR(MATCH(campo,Referencia!$A$1:$AZ$1,0),0),
fila,IFERROR(MATCH(TO_TEXT(D4084),ARRAYFOR"&amp;"MULA(TO_TEXT(Referencia!$A$2:$A6238)),0),0),
IF(OR(campo="""",campo=""-""),""NO APLICA"",
IF(col=0,""REVISAR EQUIVALENCIA"",
IF(fila=0,""SKU NO ENCONTRADO"",
LET(
valor,INDEX(Referencia!$A$2:$AZ6238,fila,col),
IF(TRIM(TO_TEXT(valor))=TRIM(TO_TEXT(I4084)),"&amp;"
""OK"",
""NO COINCIDE. Valor verdadero: ""&amp;IF(valor="""",""[VACÍO]"",TO_TEXT(valor))
)
))))
),""ERROR EN FÓRMULA""))"),"OK")</f>
        <v>OK</v>
      </c>
    </row>
    <row r="4085">
      <c r="A4085" s="83" t="s">
        <v>4896</v>
      </c>
      <c r="B4085" s="83" t="s">
        <v>4897</v>
      </c>
      <c r="C4085" s="81" t="s">
        <v>4086</v>
      </c>
      <c r="D4085" s="83" t="s">
        <v>4706</v>
      </c>
      <c r="E4085" s="81" t="s">
        <v>3359</v>
      </c>
      <c r="F4085" s="81">
        <v>640.0</v>
      </c>
      <c r="G4085" s="81" t="s">
        <v>3</v>
      </c>
      <c r="H4085" s="81" t="s">
        <v>224</v>
      </c>
      <c r="I4085" s="81" t="s">
        <v>51</v>
      </c>
      <c r="J4085" s="81" t="s">
        <v>224</v>
      </c>
      <c r="K4085" s="81" t="str">
        <f>IFERROR(__xludf.DUMMYFUNCTION("IF(OR(D4085="""",G4085=""""),"""",IFERROR(LET(
campo,XLOOKUP(TRIM(G4085),ARRAYFORMULA(TRIM('indice columnas'!$A$2:$A$100)),'indice columnas'!$B$2:$B$100,""""),
col,IFERROR(MATCH(campo,Referencia!$A$1:$AZ$1,0),0),
fila,IFERROR(MATCH(TO_TEXT(D4085),ARRAYFOR"&amp;"MULA(TO_TEXT(Referencia!$A$2:$A6238)),0),0),
IF(OR(campo="""",campo=""-""),""NO APLICA"",
IF(col=0,""REVISAR EQUIVALENCIA"",
IF(fila=0,""SKU NO ENCONTRADO"",
LET(
valor,INDEX(Referencia!$A$2:$AZ6238,fila,col),
IF(TRIM(TO_TEXT(valor))=TRIM(TO_TEXT(I4085)),"&amp;"
""OK"",
""NO COINCIDE. Valor verdadero: ""&amp;IF(valor="""",""[VACÍO]"",TO_TEXT(valor))
)
))))
),""ERROR EN FÓRMULA""))"),"OK")</f>
        <v>OK</v>
      </c>
    </row>
    <row r="4086">
      <c r="A4086" s="83" t="s">
        <v>4896</v>
      </c>
      <c r="B4086" s="83" t="s">
        <v>4897</v>
      </c>
      <c r="C4086" s="81" t="s">
        <v>4086</v>
      </c>
      <c r="D4086" s="83" t="s">
        <v>4706</v>
      </c>
      <c r="E4086" s="81" t="s">
        <v>3359</v>
      </c>
      <c r="F4086" s="81">
        <v>640.0</v>
      </c>
      <c r="G4086" s="81" t="s">
        <v>2</v>
      </c>
      <c r="H4086" s="81" t="s">
        <v>224</v>
      </c>
      <c r="I4086" s="81" t="s">
        <v>50</v>
      </c>
      <c r="J4086" s="81" t="s">
        <v>224</v>
      </c>
      <c r="K4086" s="81" t="str">
        <f>IFERROR(__xludf.DUMMYFUNCTION("IF(OR(D4086="""",G4086=""""),"""",IFERROR(LET(
campo,XLOOKUP(TRIM(G4086),ARRAYFORMULA(TRIM('indice columnas'!$A$2:$A$100)),'indice columnas'!$B$2:$B$100,""""),
col,IFERROR(MATCH(campo,Referencia!$A$1:$AZ$1,0),0),
fila,IFERROR(MATCH(TO_TEXT(D4086),ARRAYFOR"&amp;"MULA(TO_TEXT(Referencia!$A$2:$A6238)),0),0),
IF(OR(campo="""",campo=""-""),""NO APLICA"",
IF(col=0,""REVISAR EQUIVALENCIA"",
IF(fila=0,""SKU NO ENCONTRADO"",
LET(
valor,INDEX(Referencia!$A$2:$AZ6238,fila,col),
IF(TRIM(TO_TEXT(valor))=TRIM(TO_TEXT(I4086)),"&amp;"
""OK"",
""NO COINCIDE. Valor verdadero: ""&amp;IF(valor="""",""[VACÍO]"",TO_TEXT(valor))
)
))))
),""ERROR EN FÓRMULA""))"),"OK")</f>
        <v>OK</v>
      </c>
    </row>
    <row r="4087">
      <c r="A4087" s="83" t="s">
        <v>4896</v>
      </c>
      <c r="B4087" s="83" t="s">
        <v>4897</v>
      </c>
      <c r="C4087" s="81" t="s">
        <v>4086</v>
      </c>
      <c r="D4087" s="83" t="s">
        <v>4706</v>
      </c>
      <c r="E4087" s="81" t="s">
        <v>3359</v>
      </c>
      <c r="F4087" s="81">
        <v>640.0</v>
      </c>
      <c r="G4087" s="81" t="s">
        <v>1</v>
      </c>
      <c r="H4087" s="81" t="s">
        <v>224</v>
      </c>
      <c r="I4087" s="81" t="s">
        <v>49</v>
      </c>
      <c r="J4087" s="81" t="s">
        <v>224</v>
      </c>
      <c r="K4087" s="81" t="str">
        <f>IFERROR(__xludf.DUMMYFUNCTION("IF(OR(D4087="""",G4087=""""),"""",IFERROR(LET(
campo,XLOOKUP(TRIM(G4087),ARRAYFORMULA(TRIM('indice columnas'!$A$2:$A$100)),'indice columnas'!$B$2:$B$100,""""),
col,IFERROR(MATCH(campo,Referencia!$A$1:$AZ$1,0),0),
fila,IFERROR(MATCH(TO_TEXT(D4087),ARRAYFOR"&amp;"MULA(TO_TEXT(Referencia!$A$2:$A6238)),0),0),
IF(OR(campo="""",campo=""-""),""NO APLICA"",
IF(col=0,""REVISAR EQUIVALENCIA"",
IF(fila=0,""SKU NO ENCONTRADO"",
LET(
valor,INDEX(Referencia!$A$2:$AZ6238,fila,col),
IF(TRIM(TO_TEXT(valor))=TRIM(TO_TEXT(I4087)),"&amp;"
""OK"",
""NO COINCIDE. Valor verdadero: ""&amp;IF(valor="""",""[VACÍO]"",TO_TEXT(valor))
)
))))
),""ERROR EN FÓRMULA""))"),"OK")</f>
        <v>OK</v>
      </c>
    </row>
    <row r="4088">
      <c r="A4088" s="83" t="s">
        <v>4896</v>
      </c>
      <c r="B4088" s="83" t="s">
        <v>4897</v>
      </c>
      <c r="C4088" s="81" t="s">
        <v>4086</v>
      </c>
      <c r="D4088" s="83" t="s">
        <v>4709</v>
      </c>
      <c r="E4088" s="81" t="s">
        <v>3370</v>
      </c>
      <c r="F4088" s="81">
        <v>643.0</v>
      </c>
      <c r="G4088" s="81" t="s">
        <v>3</v>
      </c>
      <c r="H4088" s="81" t="s">
        <v>224</v>
      </c>
      <c r="I4088" s="81" t="s">
        <v>51</v>
      </c>
      <c r="J4088" s="81" t="s">
        <v>224</v>
      </c>
      <c r="K4088" s="81" t="str">
        <f>IFERROR(__xludf.DUMMYFUNCTION("IF(OR(D4088="""",G4088=""""),"""",IFERROR(LET(
campo,XLOOKUP(TRIM(G4088),ARRAYFORMULA(TRIM('indice columnas'!$A$2:$A$100)),'indice columnas'!$B$2:$B$100,""""),
col,IFERROR(MATCH(campo,Referencia!$A$1:$AZ$1,0),0),
fila,IFERROR(MATCH(TO_TEXT(D4088),ARRAYFOR"&amp;"MULA(TO_TEXT(Referencia!$A$2:$A6238)),0),0),
IF(OR(campo="""",campo=""-""),""NO APLICA"",
IF(col=0,""REVISAR EQUIVALENCIA"",
IF(fila=0,""SKU NO ENCONTRADO"",
LET(
valor,INDEX(Referencia!$A$2:$AZ6238,fila,col),
IF(TRIM(TO_TEXT(valor))=TRIM(TO_TEXT(I4088)),"&amp;"
""OK"",
""NO COINCIDE. Valor verdadero: ""&amp;IF(valor="""",""[VACÍO]"",TO_TEXT(valor))
)
))))
),""ERROR EN FÓRMULA""))"),"OK")</f>
        <v>OK</v>
      </c>
    </row>
    <row r="4089">
      <c r="A4089" s="83" t="s">
        <v>4896</v>
      </c>
      <c r="B4089" s="83" t="s">
        <v>4897</v>
      </c>
      <c r="C4089" s="81" t="s">
        <v>4086</v>
      </c>
      <c r="D4089" s="83" t="s">
        <v>4709</v>
      </c>
      <c r="E4089" s="81" t="s">
        <v>3370</v>
      </c>
      <c r="F4089" s="81">
        <v>643.0</v>
      </c>
      <c r="G4089" s="81" t="s">
        <v>2</v>
      </c>
      <c r="H4089" s="81" t="s">
        <v>224</v>
      </c>
      <c r="I4089" s="81" t="s">
        <v>50</v>
      </c>
      <c r="J4089" s="81" t="s">
        <v>224</v>
      </c>
      <c r="K4089" s="81" t="str">
        <f>IFERROR(__xludf.DUMMYFUNCTION("IF(OR(D4089="""",G4089=""""),"""",IFERROR(LET(
campo,XLOOKUP(TRIM(G4089),ARRAYFORMULA(TRIM('indice columnas'!$A$2:$A$100)),'indice columnas'!$B$2:$B$100,""""),
col,IFERROR(MATCH(campo,Referencia!$A$1:$AZ$1,0),0),
fila,IFERROR(MATCH(TO_TEXT(D4089),ARRAYFOR"&amp;"MULA(TO_TEXT(Referencia!$A$2:$A6238)),0),0),
IF(OR(campo="""",campo=""-""),""NO APLICA"",
IF(col=0,""REVISAR EQUIVALENCIA"",
IF(fila=0,""SKU NO ENCONTRADO"",
LET(
valor,INDEX(Referencia!$A$2:$AZ6238,fila,col),
IF(TRIM(TO_TEXT(valor))=TRIM(TO_TEXT(I4089)),"&amp;"
""OK"",
""NO COINCIDE. Valor verdadero: ""&amp;IF(valor="""",""[VACÍO]"",TO_TEXT(valor))
)
))))
),""ERROR EN FÓRMULA""))"),"OK")</f>
        <v>OK</v>
      </c>
    </row>
    <row r="4090">
      <c r="A4090" s="83" t="s">
        <v>4896</v>
      </c>
      <c r="B4090" s="83" t="s">
        <v>4897</v>
      </c>
      <c r="C4090" s="81" t="s">
        <v>4086</v>
      </c>
      <c r="D4090" s="83" t="s">
        <v>4709</v>
      </c>
      <c r="E4090" s="81" t="s">
        <v>3370</v>
      </c>
      <c r="F4090" s="81">
        <v>643.0</v>
      </c>
      <c r="G4090" s="81" t="s">
        <v>1</v>
      </c>
      <c r="H4090" s="81" t="s">
        <v>224</v>
      </c>
      <c r="I4090" s="81" t="s">
        <v>49</v>
      </c>
      <c r="J4090" s="81" t="s">
        <v>224</v>
      </c>
      <c r="K4090" s="81" t="str">
        <f>IFERROR(__xludf.DUMMYFUNCTION("IF(OR(D4090="""",G4090=""""),"""",IFERROR(LET(
campo,XLOOKUP(TRIM(G4090),ARRAYFORMULA(TRIM('indice columnas'!$A$2:$A$100)),'indice columnas'!$B$2:$B$100,""""),
col,IFERROR(MATCH(campo,Referencia!$A$1:$AZ$1,0),0),
fila,IFERROR(MATCH(TO_TEXT(D4090),ARRAYFOR"&amp;"MULA(TO_TEXT(Referencia!$A$2:$A6238)),0),0),
IF(OR(campo="""",campo=""-""),""NO APLICA"",
IF(col=0,""REVISAR EQUIVALENCIA"",
IF(fila=0,""SKU NO ENCONTRADO"",
LET(
valor,INDEX(Referencia!$A$2:$AZ6238,fila,col),
IF(TRIM(TO_TEXT(valor))=TRIM(TO_TEXT(I4090)),"&amp;"
""OK"",
""NO COINCIDE. Valor verdadero: ""&amp;IF(valor="""",""[VACÍO]"",TO_TEXT(valor))
)
))))
),""ERROR EN FÓRMULA""))"),"OK")</f>
        <v>OK</v>
      </c>
    </row>
    <row r="4091">
      <c r="A4091" s="83" t="s">
        <v>4896</v>
      </c>
      <c r="B4091" s="83" t="s">
        <v>4897</v>
      </c>
      <c r="C4091" s="81" t="s">
        <v>4086</v>
      </c>
      <c r="D4091" s="83" t="s">
        <v>4710</v>
      </c>
      <c r="E4091" s="81" t="s">
        <v>3372</v>
      </c>
      <c r="F4091" s="81">
        <v>644.0</v>
      </c>
      <c r="G4091" s="81" t="s">
        <v>3</v>
      </c>
      <c r="H4091" s="81" t="s">
        <v>224</v>
      </c>
      <c r="I4091" s="81" t="s">
        <v>51</v>
      </c>
      <c r="J4091" s="81" t="s">
        <v>224</v>
      </c>
      <c r="K4091" s="81" t="str">
        <f>IFERROR(__xludf.DUMMYFUNCTION("IF(OR(D4091="""",G4091=""""),"""",IFERROR(LET(
campo,XLOOKUP(TRIM(G4091),ARRAYFORMULA(TRIM('indice columnas'!$A$2:$A$100)),'indice columnas'!$B$2:$B$100,""""),
col,IFERROR(MATCH(campo,Referencia!$A$1:$AZ$1,0),0),
fila,IFERROR(MATCH(TO_TEXT(D4091),ARRAYFOR"&amp;"MULA(TO_TEXT(Referencia!$A$2:$A6238)),0),0),
IF(OR(campo="""",campo=""-""),""NO APLICA"",
IF(col=0,""REVISAR EQUIVALENCIA"",
IF(fila=0,""SKU NO ENCONTRADO"",
LET(
valor,INDEX(Referencia!$A$2:$AZ6238,fila,col),
IF(TRIM(TO_TEXT(valor))=TRIM(TO_TEXT(I4091)),"&amp;"
""OK"",
""NO COINCIDE. Valor verdadero: ""&amp;IF(valor="""",""[VACÍO]"",TO_TEXT(valor))
)
))))
),""ERROR EN FÓRMULA""))"),"OK")</f>
        <v>OK</v>
      </c>
    </row>
    <row r="4092">
      <c r="A4092" s="83" t="s">
        <v>4896</v>
      </c>
      <c r="B4092" s="83" t="s">
        <v>4897</v>
      </c>
      <c r="C4092" s="81" t="s">
        <v>4086</v>
      </c>
      <c r="D4092" s="83" t="s">
        <v>4710</v>
      </c>
      <c r="E4092" s="81" t="s">
        <v>3372</v>
      </c>
      <c r="F4092" s="81">
        <v>644.0</v>
      </c>
      <c r="G4092" s="81" t="s">
        <v>2</v>
      </c>
      <c r="H4092" s="81" t="s">
        <v>224</v>
      </c>
      <c r="I4092" s="81" t="s">
        <v>50</v>
      </c>
      <c r="J4092" s="81" t="s">
        <v>224</v>
      </c>
      <c r="K4092" s="81" t="str">
        <f>IFERROR(__xludf.DUMMYFUNCTION("IF(OR(D4092="""",G4092=""""),"""",IFERROR(LET(
campo,XLOOKUP(TRIM(G4092),ARRAYFORMULA(TRIM('indice columnas'!$A$2:$A$100)),'indice columnas'!$B$2:$B$100,""""),
col,IFERROR(MATCH(campo,Referencia!$A$1:$AZ$1,0),0),
fila,IFERROR(MATCH(TO_TEXT(D4092),ARRAYFOR"&amp;"MULA(TO_TEXT(Referencia!$A$2:$A6238)),0),0),
IF(OR(campo="""",campo=""-""),""NO APLICA"",
IF(col=0,""REVISAR EQUIVALENCIA"",
IF(fila=0,""SKU NO ENCONTRADO"",
LET(
valor,INDEX(Referencia!$A$2:$AZ6238,fila,col),
IF(TRIM(TO_TEXT(valor))=TRIM(TO_TEXT(I4092)),"&amp;"
""OK"",
""NO COINCIDE. Valor verdadero: ""&amp;IF(valor="""",""[VACÍO]"",TO_TEXT(valor))
)
))))
),""ERROR EN FÓRMULA""))"),"OK")</f>
        <v>OK</v>
      </c>
    </row>
    <row r="4093">
      <c r="A4093" s="83" t="s">
        <v>4896</v>
      </c>
      <c r="B4093" s="83" t="s">
        <v>4897</v>
      </c>
      <c r="C4093" s="81" t="s">
        <v>4086</v>
      </c>
      <c r="D4093" s="83" t="s">
        <v>4710</v>
      </c>
      <c r="E4093" s="81" t="s">
        <v>3372</v>
      </c>
      <c r="F4093" s="81">
        <v>644.0</v>
      </c>
      <c r="G4093" s="81" t="s">
        <v>1</v>
      </c>
      <c r="H4093" s="81" t="s">
        <v>224</v>
      </c>
      <c r="I4093" s="81" t="s">
        <v>49</v>
      </c>
      <c r="J4093" s="81" t="s">
        <v>224</v>
      </c>
      <c r="K4093" s="81" t="str">
        <f>IFERROR(__xludf.DUMMYFUNCTION("IF(OR(D4093="""",G4093=""""),"""",IFERROR(LET(
campo,XLOOKUP(TRIM(G4093),ARRAYFORMULA(TRIM('indice columnas'!$A$2:$A$100)),'indice columnas'!$B$2:$B$100,""""),
col,IFERROR(MATCH(campo,Referencia!$A$1:$AZ$1,0),0),
fila,IFERROR(MATCH(TO_TEXT(D4093),ARRAYFOR"&amp;"MULA(TO_TEXT(Referencia!$A$2:$A6238)),0),0),
IF(OR(campo="""",campo=""-""),""NO APLICA"",
IF(col=0,""REVISAR EQUIVALENCIA"",
IF(fila=0,""SKU NO ENCONTRADO"",
LET(
valor,INDEX(Referencia!$A$2:$AZ6238,fila,col),
IF(TRIM(TO_TEXT(valor))=TRIM(TO_TEXT(I4093)),"&amp;"
""OK"",
""NO COINCIDE. Valor verdadero: ""&amp;IF(valor="""",""[VACÍO]"",TO_TEXT(valor))
)
))))
),""ERROR EN FÓRMULA""))"),"OK")</f>
        <v>OK</v>
      </c>
    </row>
    <row r="4094">
      <c r="A4094" s="83" t="s">
        <v>4896</v>
      </c>
      <c r="B4094" s="83" t="s">
        <v>4897</v>
      </c>
      <c r="C4094" s="81" t="s">
        <v>4086</v>
      </c>
      <c r="D4094" s="83" t="s">
        <v>4713</v>
      </c>
      <c r="E4094" s="81" t="s">
        <v>3390</v>
      </c>
      <c r="F4094" s="81">
        <v>647.0</v>
      </c>
      <c r="G4094" s="81" t="s">
        <v>3</v>
      </c>
      <c r="H4094" s="81" t="s">
        <v>224</v>
      </c>
      <c r="I4094" s="81" t="s">
        <v>1298</v>
      </c>
      <c r="J4094" s="81" t="s">
        <v>224</v>
      </c>
      <c r="K4094" s="81" t="str">
        <f>IFERROR(__xludf.DUMMYFUNCTION("IF(OR(D4094="""",G4094=""""),"""",IFERROR(LET(
campo,XLOOKUP(TRIM(G4094),ARRAYFORMULA(TRIM('indice columnas'!$A$2:$A$100)),'indice columnas'!$B$2:$B$100,""""),
col,IFERROR(MATCH(campo,Referencia!$A$1:$AZ$1,0),0),
fila,IFERROR(MATCH(TO_TEXT(D4094),ARRAYFOR"&amp;"MULA(TO_TEXT(Referencia!$A$2:$A6238)),0),0),
IF(OR(campo="""",campo=""-""),""NO APLICA"",
IF(col=0,""REVISAR EQUIVALENCIA"",
IF(fila=0,""SKU NO ENCONTRADO"",
LET(
valor,INDEX(Referencia!$A$2:$AZ6238,fila,col),
IF(TRIM(TO_TEXT(valor))=TRIM(TO_TEXT(I4094)),"&amp;"
""OK"",
""NO COINCIDE. Valor verdadero: ""&amp;IF(valor="""",""[VACÍO]"",TO_TEXT(valor))
)
))))
),""ERROR EN FÓRMULA""))"),"OK")</f>
        <v>OK</v>
      </c>
    </row>
    <row r="4095">
      <c r="A4095" s="83" t="s">
        <v>4896</v>
      </c>
      <c r="B4095" s="83" t="s">
        <v>4897</v>
      </c>
      <c r="C4095" s="81" t="s">
        <v>4086</v>
      </c>
      <c r="D4095" s="83" t="s">
        <v>4713</v>
      </c>
      <c r="E4095" s="81" t="s">
        <v>3390</v>
      </c>
      <c r="F4095" s="81">
        <v>647.0</v>
      </c>
      <c r="G4095" s="81" t="s">
        <v>2</v>
      </c>
      <c r="H4095" s="81" t="s">
        <v>224</v>
      </c>
      <c r="I4095" s="81" t="s">
        <v>332</v>
      </c>
      <c r="J4095" s="81" t="s">
        <v>224</v>
      </c>
      <c r="K4095" s="81" t="str">
        <f>IFERROR(__xludf.DUMMYFUNCTION("IF(OR(D4095="""",G4095=""""),"""",IFERROR(LET(
campo,XLOOKUP(TRIM(G4095),ARRAYFORMULA(TRIM('indice columnas'!$A$2:$A$100)),'indice columnas'!$B$2:$B$100,""""),
col,IFERROR(MATCH(campo,Referencia!$A$1:$AZ$1,0),0),
fila,IFERROR(MATCH(TO_TEXT(D4095),ARRAYFOR"&amp;"MULA(TO_TEXT(Referencia!$A$2:$A6238)),0),0),
IF(OR(campo="""",campo=""-""),""NO APLICA"",
IF(col=0,""REVISAR EQUIVALENCIA"",
IF(fila=0,""SKU NO ENCONTRADO"",
LET(
valor,INDEX(Referencia!$A$2:$AZ6238,fila,col),
IF(TRIM(TO_TEXT(valor))=TRIM(TO_TEXT(I4095)),"&amp;"
""OK"",
""NO COINCIDE. Valor verdadero: ""&amp;IF(valor="""",""[VACÍO]"",TO_TEXT(valor))
)
))))
),""ERROR EN FÓRMULA""))"),"OK")</f>
        <v>OK</v>
      </c>
    </row>
    <row r="4096">
      <c r="A4096" s="83" t="s">
        <v>4896</v>
      </c>
      <c r="B4096" s="83" t="s">
        <v>4897</v>
      </c>
      <c r="C4096" s="81" t="s">
        <v>4086</v>
      </c>
      <c r="D4096" s="83" t="s">
        <v>4713</v>
      </c>
      <c r="E4096" s="81" t="s">
        <v>3390</v>
      </c>
      <c r="F4096" s="81">
        <v>647.0</v>
      </c>
      <c r="G4096" s="81" t="s">
        <v>1</v>
      </c>
      <c r="H4096" s="81" t="s">
        <v>224</v>
      </c>
      <c r="I4096" s="81" t="s">
        <v>49</v>
      </c>
      <c r="J4096" s="81" t="s">
        <v>224</v>
      </c>
      <c r="K4096" s="81" t="str">
        <f>IFERROR(__xludf.DUMMYFUNCTION("IF(OR(D4096="""",G4096=""""),"""",IFERROR(LET(
campo,XLOOKUP(TRIM(G4096),ARRAYFORMULA(TRIM('indice columnas'!$A$2:$A$100)),'indice columnas'!$B$2:$B$100,""""),
col,IFERROR(MATCH(campo,Referencia!$A$1:$AZ$1,0),0),
fila,IFERROR(MATCH(TO_TEXT(D4096),ARRAYFOR"&amp;"MULA(TO_TEXT(Referencia!$A$2:$A6238)),0),0),
IF(OR(campo="""",campo=""-""),""NO APLICA"",
IF(col=0,""REVISAR EQUIVALENCIA"",
IF(fila=0,""SKU NO ENCONTRADO"",
LET(
valor,INDEX(Referencia!$A$2:$AZ6238,fila,col),
IF(TRIM(TO_TEXT(valor))=TRIM(TO_TEXT(I4096)),"&amp;"
""OK"",
""NO COINCIDE. Valor verdadero: ""&amp;IF(valor="""",""[VACÍO]"",TO_TEXT(valor))
)
))))
),""ERROR EN FÓRMULA""))"),"OK")</f>
        <v>OK</v>
      </c>
    </row>
    <row r="4097">
      <c r="A4097" s="83" t="s">
        <v>4896</v>
      </c>
      <c r="B4097" s="83" t="s">
        <v>4897</v>
      </c>
      <c r="C4097" s="81" t="s">
        <v>4086</v>
      </c>
      <c r="D4097" s="83" t="s">
        <v>4723</v>
      </c>
      <c r="E4097" s="81" t="s">
        <v>3452</v>
      </c>
      <c r="F4097" s="81">
        <v>653.0</v>
      </c>
      <c r="G4097" s="81" t="s">
        <v>3</v>
      </c>
      <c r="H4097" s="81" t="s">
        <v>224</v>
      </c>
      <c r="I4097" s="81" t="s">
        <v>51</v>
      </c>
      <c r="J4097" s="81" t="s">
        <v>224</v>
      </c>
      <c r="K4097" s="81" t="str">
        <f>IFERROR(__xludf.DUMMYFUNCTION("IF(OR(D4097="""",G4097=""""),"""",IFERROR(LET(
campo,XLOOKUP(TRIM(G4097),ARRAYFORMULA(TRIM('indice columnas'!$A$2:$A$100)),'indice columnas'!$B$2:$B$100,""""),
col,IFERROR(MATCH(campo,Referencia!$A$1:$AZ$1,0),0),
fila,IFERROR(MATCH(TO_TEXT(D4097),ARRAYFOR"&amp;"MULA(TO_TEXT(Referencia!$A$2:$A6238)),0),0),
IF(OR(campo="""",campo=""-""),""NO APLICA"",
IF(col=0,""REVISAR EQUIVALENCIA"",
IF(fila=0,""SKU NO ENCONTRADO"",
LET(
valor,INDEX(Referencia!$A$2:$AZ6238,fila,col),
IF(TRIM(TO_TEXT(valor))=TRIM(TO_TEXT(I4097)),"&amp;"
""OK"",
""NO COINCIDE. Valor verdadero: ""&amp;IF(valor="""",""[VACÍO]"",TO_TEXT(valor))
)
))))
),""ERROR EN FÓRMULA""))"),"OK")</f>
        <v>OK</v>
      </c>
    </row>
    <row r="4098">
      <c r="A4098" s="83" t="s">
        <v>4896</v>
      </c>
      <c r="B4098" s="83" t="s">
        <v>4897</v>
      </c>
      <c r="C4098" s="81" t="s">
        <v>4086</v>
      </c>
      <c r="D4098" s="83" t="s">
        <v>4723</v>
      </c>
      <c r="E4098" s="81" t="s">
        <v>3452</v>
      </c>
      <c r="F4098" s="81">
        <v>653.0</v>
      </c>
      <c r="G4098" s="81" t="s">
        <v>2</v>
      </c>
      <c r="H4098" s="81" t="s">
        <v>224</v>
      </c>
      <c r="I4098" s="81" t="s">
        <v>50</v>
      </c>
      <c r="J4098" s="81" t="s">
        <v>224</v>
      </c>
      <c r="K4098" s="81" t="str">
        <f>IFERROR(__xludf.DUMMYFUNCTION("IF(OR(D4098="""",G4098=""""),"""",IFERROR(LET(
campo,XLOOKUP(TRIM(G4098),ARRAYFORMULA(TRIM('indice columnas'!$A$2:$A$100)),'indice columnas'!$B$2:$B$100,""""),
col,IFERROR(MATCH(campo,Referencia!$A$1:$AZ$1,0),0),
fila,IFERROR(MATCH(TO_TEXT(D4098),ARRAYFOR"&amp;"MULA(TO_TEXT(Referencia!$A$2:$A6238)),0),0),
IF(OR(campo="""",campo=""-""),""NO APLICA"",
IF(col=0,""REVISAR EQUIVALENCIA"",
IF(fila=0,""SKU NO ENCONTRADO"",
LET(
valor,INDEX(Referencia!$A$2:$AZ6238,fila,col),
IF(TRIM(TO_TEXT(valor))=TRIM(TO_TEXT(I4098)),"&amp;"
""OK"",
""NO COINCIDE. Valor verdadero: ""&amp;IF(valor="""",""[VACÍO]"",TO_TEXT(valor))
)
))))
),""ERROR EN FÓRMULA""))"),"OK")</f>
        <v>OK</v>
      </c>
    </row>
    <row r="4099">
      <c r="A4099" s="83" t="s">
        <v>4896</v>
      </c>
      <c r="B4099" s="83" t="s">
        <v>4897</v>
      </c>
      <c r="C4099" s="81" t="s">
        <v>4086</v>
      </c>
      <c r="D4099" s="83" t="s">
        <v>4723</v>
      </c>
      <c r="E4099" s="81" t="s">
        <v>3452</v>
      </c>
      <c r="F4099" s="81">
        <v>653.0</v>
      </c>
      <c r="G4099" s="81" t="s">
        <v>1</v>
      </c>
      <c r="H4099" s="81" t="s">
        <v>224</v>
      </c>
      <c r="I4099" s="81" t="s">
        <v>49</v>
      </c>
      <c r="J4099" s="81" t="s">
        <v>224</v>
      </c>
      <c r="K4099" s="81" t="str">
        <f>IFERROR(__xludf.DUMMYFUNCTION("IF(OR(D4099="""",G4099=""""),"""",IFERROR(LET(
campo,XLOOKUP(TRIM(G4099),ARRAYFORMULA(TRIM('indice columnas'!$A$2:$A$100)),'indice columnas'!$B$2:$B$100,""""),
col,IFERROR(MATCH(campo,Referencia!$A$1:$AZ$1,0),0),
fila,IFERROR(MATCH(TO_TEXT(D4099),ARRAYFOR"&amp;"MULA(TO_TEXT(Referencia!$A$2:$A6238)),0),0),
IF(OR(campo="""",campo=""-""),""NO APLICA"",
IF(col=0,""REVISAR EQUIVALENCIA"",
IF(fila=0,""SKU NO ENCONTRADO"",
LET(
valor,INDEX(Referencia!$A$2:$AZ6238,fila,col),
IF(TRIM(TO_TEXT(valor))=TRIM(TO_TEXT(I4099)),"&amp;"
""OK"",
""NO COINCIDE. Valor verdadero: ""&amp;IF(valor="""",""[VACÍO]"",TO_TEXT(valor))
)
))))
),""ERROR EN FÓRMULA""))"),"OK")</f>
        <v>OK</v>
      </c>
    </row>
    <row r="4100">
      <c r="A4100" s="83" t="s">
        <v>4896</v>
      </c>
      <c r="B4100" s="83" t="s">
        <v>4897</v>
      </c>
      <c r="C4100" s="81" t="s">
        <v>4086</v>
      </c>
      <c r="D4100" s="83" t="s">
        <v>4726</v>
      </c>
      <c r="E4100" s="81" t="s">
        <v>3474</v>
      </c>
      <c r="F4100" s="81">
        <v>656.0</v>
      </c>
      <c r="G4100" s="81" t="s">
        <v>3</v>
      </c>
      <c r="H4100" s="81" t="s">
        <v>224</v>
      </c>
      <c r="I4100" s="81" t="s">
        <v>1298</v>
      </c>
      <c r="J4100" s="81" t="s">
        <v>224</v>
      </c>
      <c r="K4100" s="81" t="str">
        <f>IFERROR(__xludf.DUMMYFUNCTION("IF(OR(D4100="""",G4100=""""),"""",IFERROR(LET(
campo,XLOOKUP(TRIM(G4100),ARRAYFORMULA(TRIM('indice columnas'!$A$2:$A$100)),'indice columnas'!$B$2:$B$100,""""),
col,IFERROR(MATCH(campo,Referencia!$A$1:$AZ$1,0),0),
fila,IFERROR(MATCH(TO_TEXT(D4100),ARRAYFOR"&amp;"MULA(TO_TEXT(Referencia!$A$2:$A6238)),0),0),
IF(OR(campo="""",campo=""-""),""NO APLICA"",
IF(col=0,""REVISAR EQUIVALENCIA"",
IF(fila=0,""SKU NO ENCONTRADO"",
LET(
valor,INDEX(Referencia!$A$2:$AZ6238,fila,col),
IF(TRIM(TO_TEXT(valor))=TRIM(TO_TEXT(I4100)),"&amp;"
""OK"",
""NO COINCIDE. Valor verdadero: ""&amp;IF(valor="""",""[VACÍO]"",TO_TEXT(valor))
)
))))
),""ERROR EN FÓRMULA""))"),"OK")</f>
        <v>OK</v>
      </c>
    </row>
    <row r="4101">
      <c r="A4101" s="83" t="s">
        <v>4896</v>
      </c>
      <c r="B4101" s="83" t="s">
        <v>4897</v>
      </c>
      <c r="C4101" s="81" t="s">
        <v>4086</v>
      </c>
      <c r="D4101" s="83" t="s">
        <v>4726</v>
      </c>
      <c r="E4101" s="81" t="s">
        <v>3474</v>
      </c>
      <c r="F4101" s="81">
        <v>656.0</v>
      </c>
      <c r="G4101" s="81" t="s">
        <v>2</v>
      </c>
      <c r="H4101" s="81" t="s">
        <v>224</v>
      </c>
      <c r="I4101" s="81" t="s">
        <v>332</v>
      </c>
      <c r="J4101" s="81" t="s">
        <v>224</v>
      </c>
      <c r="K4101" s="81" t="str">
        <f>IFERROR(__xludf.DUMMYFUNCTION("IF(OR(D4101="""",G4101=""""),"""",IFERROR(LET(
campo,XLOOKUP(TRIM(G4101),ARRAYFORMULA(TRIM('indice columnas'!$A$2:$A$100)),'indice columnas'!$B$2:$B$100,""""),
col,IFERROR(MATCH(campo,Referencia!$A$1:$AZ$1,0),0),
fila,IFERROR(MATCH(TO_TEXT(D4101),ARRAYFOR"&amp;"MULA(TO_TEXT(Referencia!$A$2:$A6238)),0),0),
IF(OR(campo="""",campo=""-""),""NO APLICA"",
IF(col=0,""REVISAR EQUIVALENCIA"",
IF(fila=0,""SKU NO ENCONTRADO"",
LET(
valor,INDEX(Referencia!$A$2:$AZ6238,fila,col),
IF(TRIM(TO_TEXT(valor))=TRIM(TO_TEXT(I4101)),"&amp;"
""OK"",
""NO COINCIDE. Valor verdadero: ""&amp;IF(valor="""",""[VACÍO]"",TO_TEXT(valor))
)
))))
),""ERROR EN FÓRMULA""))"),"OK")</f>
        <v>OK</v>
      </c>
    </row>
    <row r="4102">
      <c r="A4102" s="83" t="s">
        <v>4896</v>
      </c>
      <c r="B4102" s="83" t="s">
        <v>4897</v>
      </c>
      <c r="C4102" s="81" t="s">
        <v>4086</v>
      </c>
      <c r="D4102" s="83" t="s">
        <v>4726</v>
      </c>
      <c r="E4102" s="81" t="s">
        <v>3474</v>
      </c>
      <c r="F4102" s="81">
        <v>656.0</v>
      </c>
      <c r="G4102" s="81" t="s">
        <v>1</v>
      </c>
      <c r="H4102" s="81" t="s">
        <v>224</v>
      </c>
      <c r="I4102" s="81" t="s">
        <v>49</v>
      </c>
      <c r="J4102" s="81" t="s">
        <v>224</v>
      </c>
      <c r="K4102" s="81" t="str">
        <f>IFERROR(__xludf.DUMMYFUNCTION("IF(OR(D4102="""",G4102=""""),"""",IFERROR(LET(
campo,XLOOKUP(TRIM(G4102),ARRAYFORMULA(TRIM('indice columnas'!$A$2:$A$100)),'indice columnas'!$B$2:$B$100,""""),
col,IFERROR(MATCH(campo,Referencia!$A$1:$AZ$1,0),0),
fila,IFERROR(MATCH(TO_TEXT(D4102),ARRAYFOR"&amp;"MULA(TO_TEXT(Referencia!$A$2:$A6238)),0),0),
IF(OR(campo="""",campo=""-""),""NO APLICA"",
IF(col=0,""REVISAR EQUIVALENCIA"",
IF(fila=0,""SKU NO ENCONTRADO"",
LET(
valor,INDEX(Referencia!$A$2:$AZ6238,fila,col),
IF(TRIM(TO_TEXT(valor))=TRIM(TO_TEXT(I4102)),"&amp;"
""OK"",
""NO COINCIDE. Valor verdadero: ""&amp;IF(valor="""",""[VACÍO]"",TO_TEXT(valor))
)
))))
),""ERROR EN FÓRMULA""))"),"OK")</f>
        <v>OK</v>
      </c>
    </row>
    <row r="4103">
      <c r="A4103" s="83" t="s">
        <v>4896</v>
      </c>
      <c r="B4103" s="83" t="s">
        <v>4897</v>
      </c>
      <c r="C4103" s="81" t="s">
        <v>4086</v>
      </c>
      <c r="D4103" s="83" t="s">
        <v>4729</v>
      </c>
      <c r="E4103" s="81" t="s">
        <v>3497</v>
      </c>
      <c r="F4103" s="81">
        <v>659.0</v>
      </c>
      <c r="G4103" s="81" t="s">
        <v>3</v>
      </c>
      <c r="H4103" s="81" t="s">
        <v>224</v>
      </c>
      <c r="I4103" s="81" t="s">
        <v>51</v>
      </c>
      <c r="J4103" s="81" t="s">
        <v>224</v>
      </c>
      <c r="K4103" s="81" t="str">
        <f>IFERROR(__xludf.DUMMYFUNCTION("IF(OR(D4103="""",G4103=""""),"""",IFERROR(LET(
campo,XLOOKUP(TRIM(G4103),ARRAYFORMULA(TRIM('indice columnas'!$A$2:$A$100)),'indice columnas'!$B$2:$B$100,""""),
col,IFERROR(MATCH(campo,Referencia!$A$1:$AZ$1,0),0),
fila,IFERROR(MATCH(TO_TEXT(D4103),ARRAYFOR"&amp;"MULA(TO_TEXT(Referencia!$A$2:$A6238)),0),0),
IF(OR(campo="""",campo=""-""),""NO APLICA"",
IF(col=0,""REVISAR EQUIVALENCIA"",
IF(fila=0,""SKU NO ENCONTRADO"",
LET(
valor,INDEX(Referencia!$A$2:$AZ6238,fila,col),
IF(TRIM(TO_TEXT(valor))=TRIM(TO_TEXT(I4103)),"&amp;"
""OK"",
""NO COINCIDE. Valor verdadero: ""&amp;IF(valor="""",""[VACÍO]"",TO_TEXT(valor))
)
))))
),""ERROR EN FÓRMULA""))"),"OK")</f>
        <v>OK</v>
      </c>
    </row>
    <row r="4104">
      <c r="A4104" s="83" t="s">
        <v>4896</v>
      </c>
      <c r="B4104" s="83" t="s">
        <v>4897</v>
      </c>
      <c r="C4104" s="81" t="s">
        <v>4086</v>
      </c>
      <c r="D4104" s="83" t="s">
        <v>4729</v>
      </c>
      <c r="E4104" s="81" t="s">
        <v>3497</v>
      </c>
      <c r="F4104" s="81">
        <v>659.0</v>
      </c>
      <c r="G4104" s="81" t="s">
        <v>2</v>
      </c>
      <c r="H4104" s="81" t="s">
        <v>224</v>
      </c>
      <c r="I4104" s="81" t="s">
        <v>213</v>
      </c>
      <c r="J4104" s="81" t="s">
        <v>224</v>
      </c>
      <c r="K4104" s="81" t="str">
        <f>IFERROR(__xludf.DUMMYFUNCTION("IF(OR(D4104="""",G4104=""""),"""",IFERROR(LET(
campo,XLOOKUP(TRIM(G4104),ARRAYFORMULA(TRIM('indice columnas'!$A$2:$A$100)),'indice columnas'!$B$2:$B$100,""""),
col,IFERROR(MATCH(campo,Referencia!$A$1:$AZ$1,0),0),
fila,IFERROR(MATCH(TO_TEXT(D4104),ARRAYFOR"&amp;"MULA(TO_TEXT(Referencia!$A$2:$A6238)),0),0),
IF(OR(campo="""",campo=""-""),""NO APLICA"",
IF(col=0,""REVISAR EQUIVALENCIA"",
IF(fila=0,""SKU NO ENCONTRADO"",
LET(
valor,INDEX(Referencia!$A$2:$AZ6238,fila,col),
IF(TRIM(TO_TEXT(valor))=TRIM(TO_TEXT(I4104)),"&amp;"
""OK"",
""NO COINCIDE. Valor verdadero: ""&amp;IF(valor="""",""[VACÍO]"",TO_TEXT(valor))
)
))))
),""ERROR EN FÓRMULA""))"),"OK")</f>
        <v>OK</v>
      </c>
    </row>
    <row r="4105">
      <c r="A4105" s="83" t="s">
        <v>4896</v>
      </c>
      <c r="B4105" s="83" t="s">
        <v>4897</v>
      </c>
      <c r="C4105" s="81" t="s">
        <v>4086</v>
      </c>
      <c r="D4105" s="83" t="s">
        <v>4729</v>
      </c>
      <c r="E4105" s="81" t="s">
        <v>3497</v>
      </c>
      <c r="F4105" s="81">
        <v>659.0</v>
      </c>
      <c r="G4105" s="81" t="s">
        <v>1</v>
      </c>
      <c r="H4105" s="81" t="s">
        <v>224</v>
      </c>
      <c r="I4105" s="81" t="s">
        <v>49</v>
      </c>
      <c r="J4105" s="81" t="s">
        <v>224</v>
      </c>
      <c r="K4105" s="81" t="str">
        <f>IFERROR(__xludf.DUMMYFUNCTION("IF(OR(D4105="""",G4105=""""),"""",IFERROR(LET(
campo,XLOOKUP(TRIM(G4105),ARRAYFORMULA(TRIM('indice columnas'!$A$2:$A$100)),'indice columnas'!$B$2:$B$100,""""),
col,IFERROR(MATCH(campo,Referencia!$A$1:$AZ$1,0),0),
fila,IFERROR(MATCH(TO_TEXT(D4105),ARRAYFOR"&amp;"MULA(TO_TEXT(Referencia!$A$2:$A6238)),0),0),
IF(OR(campo="""",campo=""-""),""NO APLICA"",
IF(col=0,""REVISAR EQUIVALENCIA"",
IF(fila=0,""SKU NO ENCONTRADO"",
LET(
valor,INDEX(Referencia!$A$2:$AZ6238,fila,col),
IF(TRIM(TO_TEXT(valor))=TRIM(TO_TEXT(I4105)),"&amp;"
""OK"",
""NO COINCIDE. Valor verdadero: ""&amp;IF(valor="""",""[VACÍO]"",TO_TEXT(valor))
)
))))
),""ERROR EN FÓRMULA""))"),"OK")</f>
        <v>OK</v>
      </c>
    </row>
    <row r="4106">
      <c r="A4106" s="83" t="s">
        <v>4896</v>
      </c>
      <c r="B4106" s="83" t="s">
        <v>4897</v>
      </c>
      <c r="C4106" s="81" t="s">
        <v>4086</v>
      </c>
      <c r="D4106" s="83" t="s">
        <v>4730</v>
      </c>
      <c r="E4106" s="81" t="s">
        <v>3500</v>
      </c>
      <c r="F4106" s="81">
        <v>660.0</v>
      </c>
      <c r="G4106" s="81" t="s">
        <v>3</v>
      </c>
      <c r="H4106" s="81" t="s">
        <v>224</v>
      </c>
      <c r="I4106" s="81" t="s">
        <v>51</v>
      </c>
      <c r="J4106" s="81" t="s">
        <v>224</v>
      </c>
      <c r="K4106" s="81" t="str">
        <f>IFERROR(__xludf.DUMMYFUNCTION("IF(OR(D4106="""",G4106=""""),"""",IFERROR(LET(
campo,XLOOKUP(TRIM(G4106),ARRAYFORMULA(TRIM('indice columnas'!$A$2:$A$100)),'indice columnas'!$B$2:$B$100,""""),
col,IFERROR(MATCH(campo,Referencia!$A$1:$AZ$1,0),0),
fila,IFERROR(MATCH(TO_TEXT(D4106),ARRAYFOR"&amp;"MULA(TO_TEXT(Referencia!$A$2:$A6238)),0),0),
IF(OR(campo="""",campo=""-""),""NO APLICA"",
IF(col=0,""REVISAR EQUIVALENCIA"",
IF(fila=0,""SKU NO ENCONTRADO"",
LET(
valor,INDEX(Referencia!$A$2:$AZ6238,fila,col),
IF(TRIM(TO_TEXT(valor))=TRIM(TO_TEXT(I4106)),"&amp;"
""OK"",
""NO COINCIDE. Valor verdadero: ""&amp;IF(valor="""",""[VACÍO]"",TO_TEXT(valor))
)
))))
),""ERROR EN FÓRMULA""))"),"OK")</f>
        <v>OK</v>
      </c>
    </row>
    <row r="4107">
      <c r="A4107" s="83" t="s">
        <v>4896</v>
      </c>
      <c r="B4107" s="83" t="s">
        <v>4897</v>
      </c>
      <c r="C4107" s="81" t="s">
        <v>4086</v>
      </c>
      <c r="D4107" s="83" t="s">
        <v>4730</v>
      </c>
      <c r="E4107" s="81" t="s">
        <v>3500</v>
      </c>
      <c r="F4107" s="81">
        <v>660.0</v>
      </c>
      <c r="G4107" s="81" t="s">
        <v>2</v>
      </c>
      <c r="H4107" s="81" t="s">
        <v>224</v>
      </c>
      <c r="I4107" s="81" t="s">
        <v>213</v>
      </c>
      <c r="J4107" s="81" t="s">
        <v>224</v>
      </c>
      <c r="K4107" s="81" t="str">
        <f>IFERROR(__xludf.DUMMYFUNCTION("IF(OR(D4107="""",G4107=""""),"""",IFERROR(LET(
campo,XLOOKUP(TRIM(G4107),ARRAYFORMULA(TRIM('indice columnas'!$A$2:$A$100)),'indice columnas'!$B$2:$B$100,""""),
col,IFERROR(MATCH(campo,Referencia!$A$1:$AZ$1,0),0),
fila,IFERROR(MATCH(TO_TEXT(D4107),ARRAYFOR"&amp;"MULA(TO_TEXT(Referencia!$A$2:$A6238)),0),0),
IF(OR(campo="""",campo=""-""),""NO APLICA"",
IF(col=0,""REVISAR EQUIVALENCIA"",
IF(fila=0,""SKU NO ENCONTRADO"",
LET(
valor,INDEX(Referencia!$A$2:$AZ6238,fila,col),
IF(TRIM(TO_TEXT(valor))=TRIM(TO_TEXT(I4107)),"&amp;"
""OK"",
""NO COINCIDE. Valor verdadero: ""&amp;IF(valor="""",""[VACÍO]"",TO_TEXT(valor))
)
))))
),""ERROR EN FÓRMULA""))"),"OK")</f>
        <v>OK</v>
      </c>
    </row>
    <row r="4108">
      <c r="A4108" s="83" t="s">
        <v>4896</v>
      </c>
      <c r="B4108" s="83" t="s">
        <v>4897</v>
      </c>
      <c r="C4108" s="81" t="s">
        <v>4086</v>
      </c>
      <c r="D4108" s="83" t="s">
        <v>4730</v>
      </c>
      <c r="E4108" s="81" t="s">
        <v>3500</v>
      </c>
      <c r="F4108" s="81">
        <v>660.0</v>
      </c>
      <c r="G4108" s="81" t="s">
        <v>1</v>
      </c>
      <c r="H4108" s="81" t="s">
        <v>224</v>
      </c>
      <c r="I4108" s="81" t="s">
        <v>49</v>
      </c>
      <c r="J4108" s="81" t="s">
        <v>224</v>
      </c>
      <c r="K4108" s="81" t="str">
        <f>IFERROR(__xludf.DUMMYFUNCTION("IF(OR(D4108="""",G4108=""""),"""",IFERROR(LET(
campo,XLOOKUP(TRIM(G4108),ARRAYFORMULA(TRIM('indice columnas'!$A$2:$A$100)),'indice columnas'!$B$2:$B$100,""""),
col,IFERROR(MATCH(campo,Referencia!$A$1:$AZ$1,0),0),
fila,IFERROR(MATCH(TO_TEXT(D4108),ARRAYFOR"&amp;"MULA(TO_TEXT(Referencia!$A$2:$A6238)),0),0),
IF(OR(campo="""",campo=""-""),""NO APLICA"",
IF(col=0,""REVISAR EQUIVALENCIA"",
IF(fila=0,""SKU NO ENCONTRADO"",
LET(
valor,INDEX(Referencia!$A$2:$AZ6238,fila,col),
IF(TRIM(TO_TEXT(valor))=TRIM(TO_TEXT(I4108)),"&amp;"
""OK"",
""NO COINCIDE. Valor verdadero: ""&amp;IF(valor="""",""[VACÍO]"",TO_TEXT(valor))
)
))))
),""ERROR EN FÓRMULA""))"),"OK")</f>
        <v>OK</v>
      </c>
    </row>
    <row r="4109">
      <c r="A4109" s="83" t="s">
        <v>4896</v>
      </c>
      <c r="B4109" s="83" t="s">
        <v>4897</v>
      </c>
      <c r="C4109" s="81" t="s">
        <v>4086</v>
      </c>
      <c r="D4109" s="83" t="s">
        <v>4731</v>
      </c>
      <c r="E4109" s="81" t="s">
        <v>3510</v>
      </c>
      <c r="F4109" s="81">
        <v>661.0</v>
      </c>
      <c r="G4109" s="81" t="s">
        <v>3</v>
      </c>
      <c r="H4109" s="81" t="s">
        <v>224</v>
      </c>
      <c r="I4109" s="81" t="s">
        <v>51</v>
      </c>
      <c r="J4109" s="81" t="s">
        <v>224</v>
      </c>
      <c r="K4109" s="81" t="str">
        <f>IFERROR(__xludf.DUMMYFUNCTION("IF(OR(D4109="""",G4109=""""),"""",IFERROR(LET(
campo,XLOOKUP(TRIM(G4109),ARRAYFORMULA(TRIM('indice columnas'!$A$2:$A$100)),'indice columnas'!$B$2:$B$100,""""),
col,IFERROR(MATCH(campo,Referencia!$A$1:$AZ$1,0),0),
fila,IFERROR(MATCH(TO_TEXT(D4109),ARRAYFOR"&amp;"MULA(TO_TEXT(Referencia!$A$2:$A6238)),0),0),
IF(OR(campo="""",campo=""-""),""NO APLICA"",
IF(col=0,""REVISAR EQUIVALENCIA"",
IF(fila=0,""SKU NO ENCONTRADO"",
LET(
valor,INDEX(Referencia!$A$2:$AZ6238,fila,col),
IF(TRIM(TO_TEXT(valor))=TRIM(TO_TEXT(I4109)),"&amp;"
""OK"",
""NO COINCIDE. Valor verdadero: ""&amp;IF(valor="""",""[VACÍO]"",TO_TEXT(valor))
)
))))
),""ERROR EN FÓRMULA""))"),"OK")</f>
        <v>OK</v>
      </c>
    </row>
    <row r="4110">
      <c r="A4110" s="83" t="s">
        <v>4896</v>
      </c>
      <c r="B4110" s="83" t="s">
        <v>4897</v>
      </c>
      <c r="C4110" s="81" t="s">
        <v>4086</v>
      </c>
      <c r="D4110" s="83" t="s">
        <v>4731</v>
      </c>
      <c r="E4110" s="81" t="s">
        <v>3510</v>
      </c>
      <c r="F4110" s="81">
        <v>661.0</v>
      </c>
      <c r="G4110" s="81" t="s">
        <v>2</v>
      </c>
      <c r="H4110" s="81" t="s">
        <v>224</v>
      </c>
      <c r="I4110" s="81" t="s">
        <v>213</v>
      </c>
      <c r="J4110" s="81" t="s">
        <v>224</v>
      </c>
      <c r="K4110" s="81" t="str">
        <f>IFERROR(__xludf.DUMMYFUNCTION("IF(OR(D4110="""",G4110=""""),"""",IFERROR(LET(
campo,XLOOKUP(TRIM(G4110),ARRAYFORMULA(TRIM('indice columnas'!$A$2:$A$100)),'indice columnas'!$B$2:$B$100,""""),
col,IFERROR(MATCH(campo,Referencia!$A$1:$AZ$1,0),0),
fila,IFERROR(MATCH(TO_TEXT(D4110),ARRAYFOR"&amp;"MULA(TO_TEXT(Referencia!$A$2:$A6238)),0),0),
IF(OR(campo="""",campo=""-""),""NO APLICA"",
IF(col=0,""REVISAR EQUIVALENCIA"",
IF(fila=0,""SKU NO ENCONTRADO"",
LET(
valor,INDEX(Referencia!$A$2:$AZ6238,fila,col),
IF(TRIM(TO_TEXT(valor))=TRIM(TO_TEXT(I4110)),"&amp;"
""OK"",
""NO COINCIDE. Valor verdadero: ""&amp;IF(valor="""",""[VACÍO]"",TO_TEXT(valor))
)
))))
),""ERROR EN FÓRMULA""))"),"OK")</f>
        <v>OK</v>
      </c>
    </row>
    <row r="4111">
      <c r="A4111" s="83" t="s">
        <v>4896</v>
      </c>
      <c r="B4111" s="83" t="s">
        <v>4897</v>
      </c>
      <c r="C4111" s="81" t="s">
        <v>4086</v>
      </c>
      <c r="D4111" s="83" t="s">
        <v>4731</v>
      </c>
      <c r="E4111" s="81" t="s">
        <v>3510</v>
      </c>
      <c r="F4111" s="81">
        <v>661.0</v>
      </c>
      <c r="G4111" s="81" t="s">
        <v>1</v>
      </c>
      <c r="H4111" s="81" t="s">
        <v>224</v>
      </c>
      <c r="I4111" s="81" t="s">
        <v>49</v>
      </c>
      <c r="J4111" s="81" t="s">
        <v>224</v>
      </c>
      <c r="K4111" s="81" t="str">
        <f>IFERROR(__xludf.DUMMYFUNCTION("IF(OR(D4111="""",G4111=""""),"""",IFERROR(LET(
campo,XLOOKUP(TRIM(G4111),ARRAYFORMULA(TRIM('indice columnas'!$A$2:$A$100)),'indice columnas'!$B$2:$B$100,""""),
col,IFERROR(MATCH(campo,Referencia!$A$1:$AZ$1,0),0),
fila,IFERROR(MATCH(TO_TEXT(D4111),ARRAYFOR"&amp;"MULA(TO_TEXT(Referencia!$A$2:$A6238)),0),0),
IF(OR(campo="""",campo=""-""),""NO APLICA"",
IF(col=0,""REVISAR EQUIVALENCIA"",
IF(fila=0,""SKU NO ENCONTRADO"",
LET(
valor,INDEX(Referencia!$A$2:$AZ6238,fila,col),
IF(TRIM(TO_TEXT(valor))=TRIM(TO_TEXT(I4111)),"&amp;"
""OK"",
""NO COINCIDE. Valor verdadero: ""&amp;IF(valor="""",""[VACÍO]"",TO_TEXT(valor))
)
))))
),""ERROR EN FÓRMULA""))"),"OK")</f>
        <v>OK</v>
      </c>
    </row>
    <row r="4112">
      <c r="A4112" s="83" t="s">
        <v>4896</v>
      </c>
      <c r="B4112" s="83" t="s">
        <v>4897</v>
      </c>
      <c r="C4112" s="81" t="s">
        <v>4086</v>
      </c>
      <c r="D4112" s="83" t="s">
        <v>4732</v>
      </c>
      <c r="E4112" s="81" t="s">
        <v>3523</v>
      </c>
      <c r="F4112" s="81">
        <v>663.0</v>
      </c>
      <c r="G4112" s="81" t="s">
        <v>3</v>
      </c>
      <c r="H4112" s="81" t="s">
        <v>376</v>
      </c>
      <c r="I4112" s="81" t="s">
        <v>344</v>
      </c>
      <c r="J4112" s="81" t="s">
        <v>224</v>
      </c>
      <c r="K4112" s="81" t="str">
        <f>IFERROR(__xludf.DUMMYFUNCTION("IF(OR(D4112="""",G4112=""""),"""",IFERROR(LET(
campo,XLOOKUP(TRIM(G4112),ARRAYFORMULA(TRIM('indice columnas'!$A$2:$A$100)),'indice columnas'!$B$2:$B$100,""""),
col,IFERROR(MATCH(campo,Referencia!$A$1:$AZ$1,0),0),
fila,IFERROR(MATCH(TO_TEXT(D4112),ARRAYFOR"&amp;"MULA(TO_TEXT(Referencia!$A$2:$A6238)),0),0),
IF(OR(campo="""",campo=""-""),""NO APLICA"",
IF(col=0,""REVISAR EQUIVALENCIA"",
IF(fila=0,""SKU NO ENCONTRADO"",
LET(
valor,INDEX(Referencia!$A$2:$AZ6238,fila,col),
IF(TRIM(TO_TEXT(valor))=TRIM(TO_TEXT(I4112)),"&amp;"
""OK"",
""NO COINCIDE. Valor verdadero: ""&amp;IF(valor="""",""[VACÍO]"",TO_TEXT(valor))
)
))))
),""ERROR EN FÓRMULA""))"),"OK")</f>
        <v>OK</v>
      </c>
    </row>
    <row r="4113">
      <c r="A4113" s="83" t="s">
        <v>4896</v>
      </c>
      <c r="B4113" s="83" t="s">
        <v>4897</v>
      </c>
      <c r="C4113" s="81" t="s">
        <v>4086</v>
      </c>
      <c r="D4113" s="83" t="s">
        <v>4734</v>
      </c>
      <c r="E4113" s="81" t="s">
        <v>3526</v>
      </c>
      <c r="F4113" s="81">
        <v>664.0</v>
      </c>
      <c r="G4113" s="81" t="s">
        <v>3</v>
      </c>
      <c r="H4113" s="81" t="s">
        <v>224</v>
      </c>
      <c r="I4113" s="81" t="s">
        <v>344</v>
      </c>
      <c r="J4113" s="81" t="s">
        <v>224</v>
      </c>
      <c r="K4113" s="81" t="str">
        <f>IFERROR(__xludf.DUMMYFUNCTION("IF(OR(D4113="""",G4113=""""),"""",IFERROR(LET(
campo,XLOOKUP(TRIM(G4113),ARRAYFORMULA(TRIM('indice columnas'!$A$2:$A$100)),'indice columnas'!$B$2:$B$100,""""),
col,IFERROR(MATCH(campo,Referencia!$A$1:$AZ$1,0),0),
fila,IFERROR(MATCH(TO_TEXT(D4113),ARRAYFOR"&amp;"MULA(TO_TEXT(Referencia!$A$2:$A6238)),0),0),
IF(OR(campo="""",campo=""-""),""NO APLICA"",
IF(col=0,""REVISAR EQUIVALENCIA"",
IF(fila=0,""SKU NO ENCONTRADO"",
LET(
valor,INDEX(Referencia!$A$2:$AZ6238,fila,col),
IF(TRIM(TO_TEXT(valor))=TRIM(TO_TEXT(I4113)),"&amp;"
""OK"",
""NO COINCIDE. Valor verdadero: ""&amp;IF(valor="""",""[VACÍO]"",TO_TEXT(valor))
)
))))
),""ERROR EN FÓRMULA""))"),"OK")</f>
        <v>OK</v>
      </c>
    </row>
    <row r="4114">
      <c r="A4114" s="83" t="s">
        <v>4896</v>
      </c>
      <c r="B4114" s="83" t="s">
        <v>4897</v>
      </c>
      <c r="C4114" s="81" t="s">
        <v>4086</v>
      </c>
      <c r="D4114" s="83" t="s">
        <v>4734</v>
      </c>
      <c r="E4114" s="81" t="s">
        <v>3526</v>
      </c>
      <c r="F4114" s="81">
        <v>664.0</v>
      </c>
      <c r="G4114" s="81" t="s">
        <v>2</v>
      </c>
      <c r="H4114" s="81" t="s">
        <v>224</v>
      </c>
      <c r="I4114" s="81" t="s">
        <v>213</v>
      </c>
      <c r="J4114" s="81" t="s">
        <v>224</v>
      </c>
      <c r="K4114" s="81" t="str">
        <f>IFERROR(__xludf.DUMMYFUNCTION("IF(OR(D4114="""",G4114=""""),"""",IFERROR(LET(
campo,XLOOKUP(TRIM(G4114),ARRAYFORMULA(TRIM('indice columnas'!$A$2:$A$100)),'indice columnas'!$B$2:$B$100,""""),
col,IFERROR(MATCH(campo,Referencia!$A$1:$AZ$1,0),0),
fila,IFERROR(MATCH(TO_TEXT(D4114),ARRAYFOR"&amp;"MULA(TO_TEXT(Referencia!$A$2:$A6238)),0),0),
IF(OR(campo="""",campo=""-""),""NO APLICA"",
IF(col=0,""REVISAR EQUIVALENCIA"",
IF(fila=0,""SKU NO ENCONTRADO"",
LET(
valor,INDEX(Referencia!$A$2:$AZ6238,fila,col),
IF(TRIM(TO_TEXT(valor))=TRIM(TO_TEXT(I4114)),"&amp;"
""OK"",
""NO COINCIDE. Valor verdadero: ""&amp;IF(valor="""",""[VACÍO]"",TO_TEXT(valor))
)
))))
),""ERROR EN FÓRMULA""))"),"OK")</f>
        <v>OK</v>
      </c>
    </row>
    <row r="4115">
      <c r="A4115" s="83" t="s">
        <v>4896</v>
      </c>
      <c r="B4115" s="83" t="s">
        <v>4897</v>
      </c>
      <c r="C4115" s="81" t="s">
        <v>4086</v>
      </c>
      <c r="D4115" s="83" t="s">
        <v>4734</v>
      </c>
      <c r="E4115" s="81" t="s">
        <v>3526</v>
      </c>
      <c r="F4115" s="81">
        <v>664.0</v>
      </c>
      <c r="G4115" s="81" t="s">
        <v>1</v>
      </c>
      <c r="H4115" s="81" t="s">
        <v>224</v>
      </c>
      <c r="I4115" s="81" t="s">
        <v>49</v>
      </c>
      <c r="J4115" s="81" t="s">
        <v>224</v>
      </c>
      <c r="K4115" s="81" t="str">
        <f>IFERROR(__xludf.DUMMYFUNCTION("IF(OR(D4115="""",G4115=""""),"""",IFERROR(LET(
campo,XLOOKUP(TRIM(G4115),ARRAYFORMULA(TRIM('indice columnas'!$A$2:$A$100)),'indice columnas'!$B$2:$B$100,""""),
col,IFERROR(MATCH(campo,Referencia!$A$1:$AZ$1,0),0),
fila,IFERROR(MATCH(TO_TEXT(D4115),ARRAYFOR"&amp;"MULA(TO_TEXT(Referencia!$A$2:$A6238)),0),0),
IF(OR(campo="""",campo=""-""),""NO APLICA"",
IF(col=0,""REVISAR EQUIVALENCIA"",
IF(fila=0,""SKU NO ENCONTRADO"",
LET(
valor,INDEX(Referencia!$A$2:$AZ6238,fila,col),
IF(TRIM(TO_TEXT(valor))=TRIM(TO_TEXT(I4115)),"&amp;"
""OK"",
""NO COINCIDE. Valor verdadero: ""&amp;IF(valor="""",""[VACÍO]"",TO_TEXT(valor))
)
))))
),""ERROR EN FÓRMULA""))"),"OK")</f>
        <v>OK</v>
      </c>
    </row>
    <row r="4116">
      <c r="A4116" s="83" t="s">
        <v>4896</v>
      </c>
      <c r="B4116" s="83" t="s">
        <v>4897</v>
      </c>
      <c r="C4116" s="81" t="s">
        <v>4086</v>
      </c>
      <c r="D4116" s="83" t="s">
        <v>4735</v>
      </c>
      <c r="E4116" s="81" t="s">
        <v>3539</v>
      </c>
      <c r="F4116" s="81">
        <v>666.0</v>
      </c>
      <c r="G4116" s="81" t="s">
        <v>3</v>
      </c>
      <c r="H4116" s="81" t="s">
        <v>376</v>
      </c>
      <c r="I4116" s="81" t="s">
        <v>344</v>
      </c>
      <c r="J4116" s="81" t="s">
        <v>224</v>
      </c>
      <c r="K4116" s="81" t="str">
        <f>IFERROR(__xludf.DUMMYFUNCTION("IF(OR(D4116="""",G4116=""""),"""",IFERROR(LET(
campo,XLOOKUP(TRIM(G4116),ARRAYFORMULA(TRIM('indice columnas'!$A$2:$A$100)),'indice columnas'!$B$2:$B$100,""""),
col,IFERROR(MATCH(campo,Referencia!$A$1:$AZ$1,0),0),
fila,IFERROR(MATCH(TO_TEXT(D4116),ARRAYFOR"&amp;"MULA(TO_TEXT(Referencia!$A$2:$A6238)),0),0),
IF(OR(campo="""",campo=""-""),""NO APLICA"",
IF(col=0,""REVISAR EQUIVALENCIA"",
IF(fila=0,""SKU NO ENCONTRADO"",
LET(
valor,INDEX(Referencia!$A$2:$AZ6238,fila,col),
IF(TRIM(TO_TEXT(valor))=TRIM(TO_TEXT(I4116)),"&amp;"
""OK"",
""NO COINCIDE. Valor verdadero: ""&amp;IF(valor="""",""[VACÍO]"",TO_TEXT(valor))
)
))))
),""ERROR EN FÓRMULA""))"),"OK")</f>
        <v>OK</v>
      </c>
    </row>
    <row r="4117">
      <c r="A4117" s="83" t="s">
        <v>4896</v>
      </c>
      <c r="B4117" s="83" t="s">
        <v>4897</v>
      </c>
      <c r="C4117" s="81" t="s">
        <v>4086</v>
      </c>
      <c r="D4117" s="83" t="s">
        <v>4737</v>
      </c>
      <c r="E4117" s="81" t="s">
        <v>3540</v>
      </c>
      <c r="F4117" s="81">
        <v>667.0</v>
      </c>
      <c r="G4117" s="81" t="s">
        <v>3</v>
      </c>
      <c r="H4117" s="81" t="s">
        <v>224</v>
      </c>
      <c r="I4117" s="81" t="s">
        <v>344</v>
      </c>
      <c r="J4117" s="81" t="s">
        <v>224</v>
      </c>
      <c r="K4117" s="81" t="str">
        <f>IFERROR(__xludf.DUMMYFUNCTION("IF(OR(D4117="""",G4117=""""),"""",IFERROR(LET(
campo,XLOOKUP(TRIM(G4117),ARRAYFORMULA(TRIM('indice columnas'!$A$2:$A$100)),'indice columnas'!$B$2:$B$100,""""),
col,IFERROR(MATCH(campo,Referencia!$A$1:$AZ$1,0),0),
fila,IFERROR(MATCH(TO_TEXT(D4117),ARRAYFOR"&amp;"MULA(TO_TEXT(Referencia!$A$2:$A6238)),0),0),
IF(OR(campo="""",campo=""-""),""NO APLICA"",
IF(col=0,""REVISAR EQUIVALENCIA"",
IF(fila=0,""SKU NO ENCONTRADO"",
LET(
valor,INDEX(Referencia!$A$2:$AZ6238,fila,col),
IF(TRIM(TO_TEXT(valor))=TRIM(TO_TEXT(I4117)),"&amp;"
""OK"",
""NO COINCIDE. Valor verdadero: ""&amp;IF(valor="""",""[VACÍO]"",TO_TEXT(valor))
)
))))
),""ERROR EN FÓRMULA""))"),"OK")</f>
        <v>OK</v>
      </c>
    </row>
    <row r="4118">
      <c r="A4118" s="83" t="s">
        <v>4896</v>
      </c>
      <c r="B4118" s="83" t="s">
        <v>4897</v>
      </c>
      <c r="C4118" s="81" t="s">
        <v>4086</v>
      </c>
      <c r="D4118" s="83" t="s">
        <v>4737</v>
      </c>
      <c r="E4118" s="81" t="s">
        <v>3540</v>
      </c>
      <c r="F4118" s="81">
        <v>667.0</v>
      </c>
      <c r="G4118" s="81" t="s">
        <v>2</v>
      </c>
      <c r="H4118" s="81" t="s">
        <v>224</v>
      </c>
      <c r="I4118" s="81" t="s">
        <v>213</v>
      </c>
      <c r="J4118" s="81" t="s">
        <v>224</v>
      </c>
      <c r="K4118" s="81" t="str">
        <f>IFERROR(__xludf.DUMMYFUNCTION("IF(OR(D4118="""",G4118=""""),"""",IFERROR(LET(
campo,XLOOKUP(TRIM(G4118),ARRAYFORMULA(TRIM('indice columnas'!$A$2:$A$100)),'indice columnas'!$B$2:$B$100,""""),
col,IFERROR(MATCH(campo,Referencia!$A$1:$AZ$1,0),0),
fila,IFERROR(MATCH(TO_TEXT(D4118),ARRAYFOR"&amp;"MULA(TO_TEXT(Referencia!$A$2:$A6238)),0),0),
IF(OR(campo="""",campo=""-""),""NO APLICA"",
IF(col=0,""REVISAR EQUIVALENCIA"",
IF(fila=0,""SKU NO ENCONTRADO"",
LET(
valor,INDEX(Referencia!$A$2:$AZ6238,fila,col),
IF(TRIM(TO_TEXT(valor))=TRIM(TO_TEXT(I4118)),"&amp;"
""OK"",
""NO COINCIDE. Valor verdadero: ""&amp;IF(valor="""",""[VACÍO]"",TO_TEXT(valor))
)
))))
),""ERROR EN FÓRMULA""))"),"OK")</f>
        <v>OK</v>
      </c>
    </row>
    <row r="4119">
      <c r="A4119" s="83" t="s">
        <v>4896</v>
      </c>
      <c r="B4119" s="83" t="s">
        <v>4897</v>
      </c>
      <c r="C4119" s="81" t="s">
        <v>4086</v>
      </c>
      <c r="D4119" s="83" t="s">
        <v>4737</v>
      </c>
      <c r="E4119" s="81" t="s">
        <v>3540</v>
      </c>
      <c r="F4119" s="81">
        <v>667.0</v>
      </c>
      <c r="G4119" s="81" t="s">
        <v>1</v>
      </c>
      <c r="H4119" s="81" t="s">
        <v>224</v>
      </c>
      <c r="I4119" s="81" t="s">
        <v>49</v>
      </c>
      <c r="J4119" s="81" t="s">
        <v>224</v>
      </c>
      <c r="K4119" s="81" t="str">
        <f>IFERROR(__xludf.DUMMYFUNCTION("IF(OR(D4119="""",G4119=""""),"""",IFERROR(LET(
campo,XLOOKUP(TRIM(G4119),ARRAYFORMULA(TRIM('indice columnas'!$A$2:$A$100)),'indice columnas'!$B$2:$B$100,""""),
col,IFERROR(MATCH(campo,Referencia!$A$1:$AZ$1,0),0),
fila,IFERROR(MATCH(TO_TEXT(D4119),ARRAYFOR"&amp;"MULA(TO_TEXT(Referencia!$A$2:$A6238)),0),0),
IF(OR(campo="""",campo=""-""),""NO APLICA"",
IF(col=0,""REVISAR EQUIVALENCIA"",
IF(fila=0,""SKU NO ENCONTRADO"",
LET(
valor,INDEX(Referencia!$A$2:$AZ6238,fila,col),
IF(TRIM(TO_TEXT(valor))=TRIM(TO_TEXT(I4119)),"&amp;"
""OK"",
""NO COINCIDE. Valor verdadero: ""&amp;IF(valor="""",""[VACÍO]"",TO_TEXT(valor))
)
))))
),""ERROR EN FÓRMULA""))"),"OK")</f>
        <v>OK</v>
      </c>
    </row>
    <row r="4120">
      <c r="A4120" s="83" t="s">
        <v>4896</v>
      </c>
      <c r="B4120" s="83" t="s">
        <v>4897</v>
      </c>
      <c r="C4120" s="81" t="s">
        <v>4086</v>
      </c>
      <c r="D4120" s="83" t="s">
        <v>4738</v>
      </c>
      <c r="E4120" s="81" t="s">
        <v>3553</v>
      </c>
      <c r="F4120" s="81">
        <v>669.0</v>
      </c>
      <c r="G4120" s="81" t="s">
        <v>3</v>
      </c>
      <c r="H4120" s="81" t="s">
        <v>376</v>
      </c>
      <c r="I4120" s="81" t="s">
        <v>344</v>
      </c>
      <c r="J4120" s="81" t="s">
        <v>224</v>
      </c>
      <c r="K4120" s="81" t="str">
        <f>IFERROR(__xludf.DUMMYFUNCTION("IF(OR(D4120="""",G4120=""""),"""",IFERROR(LET(
campo,XLOOKUP(TRIM(G4120),ARRAYFORMULA(TRIM('indice columnas'!$A$2:$A$100)),'indice columnas'!$B$2:$B$100,""""),
col,IFERROR(MATCH(campo,Referencia!$A$1:$AZ$1,0),0),
fila,IFERROR(MATCH(TO_TEXT(D4120),ARRAYFOR"&amp;"MULA(TO_TEXT(Referencia!$A$2:$A6238)),0),0),
IF(OR(campo="""",campo=""-""),""NO APLICA"",
IF(col=0,""REVISAR EQUIVALENCIA"",
IF(fila=0,""SKU NO ENCONTRADO"",
LET(
valor,INDEX(Referencia!$A$2:$AZ6238,fila,col),
IF(TRIM(TO_TEXT(valor))=TRIM(TO_TEXT(I4120)),"&amp;"
""OK"",
""NO COINCIDE. Valor verdadero: ""&amp;IF(valor="""",""[VACÍO]"",TO_TEXT(valor))
)
))))
),""ERROR EN FÓRMULA""))"),"OK")</f>
        <v>OK</v>
      </c>
    </row>
    <row r="4121">
      <c r="A4121" s="83" t="s">
        <v>4896</v>
      </c>
      <c r="B4121" s="83" t="s">
        <v>4897</v>
      </c>
      <c r="C4121" s="81" t="s">
        <v>4086</v>
      </c>
      <c r="D4121" s="83" t="s">
        <v>4740</v>
      </c>
      <c r="E4121" s="81" t="s">
        <v>3555</v>
      </c>
      <c r="F4121" s="81">
        <v>670.0</v>
      </c>
      <c r="G4121" s="81" t="s">
        <v>3</v>
      </c>
      <c r="H4121" s="81" t="s">
        <v>224</v>
      </c>
      <c r="I4121" s="81" t="s">
        <v>344</v>
      </c>
      <c r="J4121" s="81" t="s">
        <v>224</v>
      </c>
      <c r="K4121" s="81" t="str">
        <f>IFERROR(__xludf.DUMMYFUNCTION("IF(OR(D4121="""",G4121=""""),"""",IFERROR(LET(
campo,XLOOKUP(TRIM(G4121),ARRAYFORMULA(TRIM('indice columnas'!$A$2:$A$100)),'indice columnas'!$B$2:$B$100,""""),
col,IFERROR(MATCH(campo,Referencia!$A$1:$AZ$1,0),0),
fila,IFERROR(MATCH(TO_TEXT(D4121),ARRAYFOR"&amp;"MULA(TO_TEXT(Referencia!$A$2:$A6238)),0),0),
IF(OR(campo="""",campo=""-""),""NO APLICA"",
IF(col=0,""REVISAR EQUIVALENCIA"",
IF(fila=0,""SKU NO ENCONTRADO"",
LET(
valor,INDEX(Referencia!$A$2:$AZ6238,fila,col),
IF(TRIM(TO_TEXT(valor))=TRIM(TO_TEXT(I4121)),"&amp;"
""OK"",
""NO COINCIDE. Valor verdadero: ""&amp;IF(valor="""",""[VACÍO]"",TO_TEXT(valor))
)
))))
),""ERROR EN FÓRMULA""))"),"OK")</f>
        <v>OK</v>
      </c>
    </row>
    <row r="4122">
      <c r="A4122" s="83" t="s">
        <v>4896</v>
      </c>
      <c r="B4122" s="83" t="s">
        <v>4897</v>
      </c>
      <c r="C4122" s="81" t="s">
        <v>4086</v>
      </c>
      <c r="D4122" s="83" t="s">
        <v>4740</v>
      </c>
      <c r="E4122" s="81" t="s">
        <v>3555</v>
      </c>
      <c r="F4122" s="81">
        <v>670.0</v>
      </c>
      <c r="G4122" s="81" t="s">
        <v>2</v>
      </c>
      <c r="H4122" s="81" t="s">
        <v>224</v>
      </c>
      <c r="I4122" s="81" t="s">
        <v>213</v>
      </c>
      <c r="J4122" s="81" t="s">
        <v>224</v>
      </c>
      <c r="K4122" s="81" t="str">
        <f>IFERROR(__xludf.DUMMYFUNCTION("IF(OR(D4122="""",G4122=""""),"""",IFERROR(LET(
campo,XLOOKUP(TRIM(G4122),ARRAYFORMULA(TRIM('indice columnas'!$A$2:$A$100)),'indice columnas'!$B$2:$B$100,""""),
col,IFERROR(MATCH(campo,Referencia!$A$1:$AZ$1,0),0),
fila,IFERROR(MATCH(TO_TEXT(D4122),ARRAYFOR"&amp;"MULA(TO_TEXT(Referencia!$A$2:$A6238)),0),0),
IF(OR(campo="""",campo=""-""),""NO APLICA"",
IF(col=0,""REVISAR EQUIVALENCIA"",
IF(fila=0,""SKU NO ENCONTRADO"",
LET(
valor,INDEX(Referencia!$A$2:$AZ6238,fila,col),
IF(TRIM(TO_TEXT(valor))=TRIM(TO_TEXT(I4122)),"&amp;"
""OK"",
""NO COINCIDE. Valor verdadero: ""&amp;IF(valor="""",""[VACÍO]"",TO_TEXT(valor))
)
))))
),""ERROR EN FÓRMULA""))"),"OK")</f>
        <v>OK</v>
      </c>
    </row>
    <row r="4123">
      <c r="A4123" s="83" t="s">
        <v>4896</v>
      </c>
      <c r="B4123" s="83" t="s">
        <v>4897</v>
      </c>
      <c r="C4123" s="81" t="s">
        <v>4086</v>
      </c>
      <c r="D4123" s="83" t="s">
        <v>4740</v>
      </c>
      <c r="E4123" s="81" t="s">
        <v>3555</v>
      </c>
      <c r="F4123" s="81">
        <v>670.0</v>
      </c>
      <c r="G4123" s="81" t="s">
        <v>1</v>
      </c>
      <c r="H4123" s="81" t="s">
        <v>224</v>
      </c>
      <c r="I4123" s="81" t="s">
        <v>49</v>
      </c>
      <c r="J4123" s="81" t="s">
        <v>224</v>
      </c>
      <c r="K4123" s="81" t="str">
        <f>IFERROR(__xludf.DUMMYFUNCTION("IF(OR(D4123="""",G4123=""""),"""",IFERROR(LET(
campo,XLOOKUP(TRIM(G4123),ARRAYFORMULA(TRIM('indice columnas'!$A$2:$A$100)),'indice columnas'!$B$2:$B$100,""""),
col,IFERROR(MATCH(campo,Referencia!$A$1:$AZ$1,0),0),
fila,IFERROR(MATCH(TO_TEXT(D4123),ARRAYFOR"&amp;"MULA(TO_TEXT(Referencia!$A$2:$A6238)),0),0),
IF(OR(campo="""",campo=""-""),""NO APLICA"",
IF(col=0,""REVISAR EQUIVALENCIA"",
IF(fila=0,""SKU NO ENCONTRADO"",
LET(
valor,INDEX(Referencia!$A$2:$AZ6238,fila,col),
IF(TRIM(TO_TEXT(valor))=TRIM(TO_TEXT(I4123)),"&amp;"
""OK"",
""NO COINCIDE. Valor verdadero: ""&amp;IF(valor="""",""[VACÍO]"",TO_TEXT(valor))
)
))))
),""ERROR EN FÓRMULA""))"),"OK")</f>
        <v>OK</v>
      </c>
    </row>
    <row r="4124">
      <c r="A4124" s="83" t="s">
        <v>4896</v>
      </c>
      <c r="B4124" s="83" t="s">
        <v>4897</v>
      </c>
      <c r="C4124" s="81" t="s">
        <v>4086</v>
      </c>
      <c r="D4124" s="83" t="s">
        <v>4741</v>
      </c>
      <c r="E4124" s="81" t="s">
        <v>3567</v>
      </c>
      <c r="F4124" s="81">
        <v>672.0</v>
      </c>
      <c r="G4124" s="81" t="s">
        <v>3</v>
      </c>
      <c r="H4124" s="81" t="s">
        <v>376</v>
      </c>
      <c r="I4124" s="81" t="s">
        <v>344</v>
      </c>
      <c r="J4124" s="81" t="s">
        <v>224</v>
      </c>
      <c r="K4124" s="81" t="str">
        <f>IFERROR(__xludf.DUMMYFUNCTION("IF(OR(D4124="""",G4124=""""),"""",IFERROR(LET(
campo,XLOOKUP(TRIM(G4124),ARRAYFORMULA(TRIM('indice columnas'!$A$2:$A$100)),'indice columnas'!$B$2:$B$100,""""),
col,IFERROR(MATCH(campo,Referencia!$A$1:$AZ$1,0),0),
fila,IFERROR(MATCH(TO_TEXT(D4124),ARRAYFOR"&amp;"MULA(TO_TEXT(Referencia!$A$2:$A6238)),0),0),
IF(OR(campo="""",campo=""-""),""NO APLICA"",
IF(col=0,""REVISAR EQUIVALENCIA"",
IF(fila=0,""SKU NO ENCONTRADO"",
LET(
valor,INDEX(Referencia!$A$2:$AZ6238,fila,col),
IF(TRIM(TO_TEXT(valor))=TRIM(TO_TEXT(I4124)),"&amp;"
""OK"",
""NO COINCIDE. Valor verdadero: ""&amp;IF(valor="""",""[VACÍO]"",TO_TEXT(valor))
)
))))
),""ERROR EN FÓRMULA""))"),"OK")</f>
        <v>OK</v>
      </c>
    </row>
    <row r="4125">
      <c r="A4125" s="83" t="s">
        <v>4896</v>
      </c>
      <c r="B4125" s="83" t="s">
        <v>4897</v>
      </c>
      <c r="C4125" s="81" t="s">
        <v>4086</v>
      </c>
      <c r="D4125" s="83" t="s">
        <v>4743</v>
      </c>
      <c r="E4125" s="81" t="s">
        <v>3568</v>
      </c>
      <c r="F4125" s="81">
        <v>673.0</v>
      </c>
      <c r="G4125" s="81" t="s">
        <v>3</v>
      </c>
      <c r="H4125" s="81" t="s">
        <v>224</v>
      </c>
      <c r="I4125" s="81" t="s">
        <v>344</v>
      </c>
      <c r="J4125" s="81" t="s">
        <v>224</v>
      </c>
      <c r="K4125" s="81" t="str">
        <f>IFERROR(__xludf.DUMMYFUNCTION("IF(OR(D4125="""",G4125=""""),"""",IFERROR(LET(
campo,XLOOKUP(TRIM(G4125),ARRAYFORMULA(TRIM('indice columnas'!$A$2:$A$100)),'indice columnas'!$B$2:$B$100,""""),
col,IFERROR(MATCH(campo,Referencia!$A$1:$AZ$1,0),0),
fila,IFERROR(MATCH(TO_TEXT(D4125),ARRAYFOR"&amp;"MULA(TO_TEXT(Referencia!$A$2:$A6238)),0),0),
IF(OR(campo="""",campo=""-""),""NO APLICA"",
IF(col=0,""REVISAR EQUIVALENCIA"",
IF(fila=0,""SKU NO ENCONTRADO"",
LET(
valor,INDEX(Referencia!$A$2:$AZ6238,fila,col),
IF(TRIM(TO_TEXT(valor))=TRIM(TO_TEXT(I4125)),"&amp;"
""OK"",
""NO COINCIDE. Valor verdadero: ""&amp;IF(valor="""",""[VACÍO]"",TO_TEXT(valor))
)
))))
),""ERROR EN FÓRMULA""))"),"OK")</f>
        <v>OK</v>
      </c>
    </row>
    <row r="4126">
      <c r="A4126" s="83" t="s">
        <v>4896</v>
      </c>
      <c r="B4126" s="83" t="s">
        <v>4897</v>
      </c>
      <c r="C4126" s="81" t="s">
        <v>4086</v>
      </c>
      <c r="D4126" s="83" t="s">
        <v>4743</v>
      </c>
      <c r="E4126" s="81" t="s">
        <v>3568</v>
      </c>
      <c r="F4126" s="81">
        <v>673.0</v>
      </c>
      <c r="G4126" s="81" t="s">
        <v>2</v>
      </c>
      <c r="H4126" s="81" t="s">
        <v>224</v>
      </c>
      <c r="I4126" s="81" t="s">
        <v>213</v>
      </c>
      <c r="J4126" s="81" t="s">
        <v>224</v>
      </c>
      <c r="K4126" s="81" t="str">
        <f>IFERROR(__xludf.DUMMYFUNCTION("IF(OR(D4126="""",G4126=""""),"""",IFERROR(LET(
campo,XLOOKUP(TRIM(G4126),ARRAYFORMULA(TRIM('indice columnas'!$A$2:$A$100)),'indice columnas'!$B$2:$B$100,""""),
col,IFERROR(MATCH(campo,Referencia!$A$1:$AZ$1,0),0),
fila,IFERROR(MATCH(TO_TEXT(D4126),ARRAYFOR"&amp;"MULA(TO_TEXT(Referencia!$A$2:$A6238)),0),0),
IF(OR(campo="""",campo=""-""),""NO APLICA"",
IF(col=0,""REVISAR EQUIVALENCIA"",
IF(fila=0,""SKU NO ENCONTRADO"",
LET(
valor,INDEX(Referencia!$A$2:$AZ6238,fila,col),
IF(TRIM(TO_TEXT(valor))=TRIM(TO_TEXT(I4126)),"&amp;"
""OK"",
""NO COINCIDE. Valor verdadero: ""&amp;IF(valor="""",""[VACÍO]"",TO_TEXT(valor))
)
))))
),""ERROR EN FÓRMULA""))"),"OK")</f>
        <v>OK</v>
      </c>
    </row>
    <row r="4127">
      <c r="A4127" s="83" t="s">
        <v>4896</v>
      </c>
      <c r="B4127" s="83" t="s">
        <v>4897</v>
      </c>
      <c r="C4127" s="81" t="s">
        <v>4086</v>
      </c>
      <c r="D4127" s="83" t="s">
        <v>4743</v>
      </c>
      <c r="E4127" s="81" t="s">
        <v>3568</v>
      </c>
      <c r="F4127" s="81">
        <v>673.0</v>
      </c>
      <c r="G4127" s="81" t="s">
        <v>1</v>
      </c>
      <c r="H4127" s="81" t="s">
        <v>224</v>
      </c>
      <c r="I4127" s="81" t="s">
        <v>49</v>
      </c>
      <c r="J4127" s="81" t="s">
        <v>224</v>
      </c>
      <c r="K4127" s="81" t="str">
        <f>IFERROR(__xludf.DUMMYFUNCTION("IF(OR(D4127="""",G4127=""""),"""",IFERROR(LET(
campo,XLOOKUP(TRIM(G4127),ARRAYFORMULA(TRIM('indice columnas'!$A$2:$A$100)),'indice columnas'!$B$2:$B$100,""""),
col,IFERROR(MATCH(campo,Referencia!$A$1:$AZ$1,0),0),
fila,IFERROR(MATCH(TO_TEXT(D4127),ARRAYFOR"&amp;"MULA(TO_TEXT(Referencia!$A$2:$A6238)),0),0),
IF(OR(campo="""",campo=""-""),""NO APLICA"",
IF(col=0,""REVISAR EQUIVALENCIA"",
IF(fila=0,""SKU NO ENCONTRADO"",
LET(
valor,INDEX(Referencia!$A$2:$AZ6238,fila,col),
IF(TRIM(TO_TEXT(valor))=TRIM(TO_TEXT(I4127)),"&amp;"
""OK"",
""NO COINCIDE. Valor verdadero: ""&amp;IF(valor="""",""[VACÍO]"",TO_TEXT(valor))
)
))))
),""ERROR EN FÓRMULA""))"),"OK")</f>
        <v>OK</v>
      </c>
    </row>
    <row r="4128">
      <c r="A4128" s="83" t="s">
        <v>4896</v>
      </c>
      <c r="B4128" s="83" t="s">
        <v>4897</v>
      </c>
      <c r="C4128" s="81" t="s">
        <v>4086</v>
      </c>
      <c r="D4128" s="83" t="s">
        <v>4744</v>
      </c>
      <c r="E4128" s="81" t="s">
        <v>3580</v>
      </c>
      <c r="F4128" s="81">
        <v>675.0</v>
      </c>
      <c r="G4128" s="81" t="s">
        <v>3</v>
      </c>
      <c r="H4128" s="81" t="s">
        <v>376</v>
      </c>
      <c r="I4128" s="81" t="s">
        <v>344</v>
      </c>
      <c r="J4128" s="81" t="s">
        <v>224</v>
      </c>
      <c r="K4128" s="81" t="str">
        <f>IFERROR(__xludf.DUMMYFUNCTION("IF(OR(D4128="""",G4128=""""),"""",IFERROR(LET(
campo,XLOOKUP(TRIM(G4128),ARRAYFORMULA(TRIM('indice columnas'!$A$2:$A$100)),'indice columnas'!$B$2:$B$100,""""),
col,IFERROR(MATCH(campo,Referencia!$A$1:$AZ$1,0),0),
fila,IFERROR(MATCH(TO_TEXT(D4128),ARRAYFOR"&amp;"MULA(TO_TEXT(Referencia!$A$2:$A6238)),0),0),
IF(OR(campo="""",campo=""-""),""NO APLICA"",
IF(col=0,""REVISAR EQUIVALENCIA"",
IF(fila=0,""SKU NO ENCONTRADO"",
LET(
valor,INDEX(Referencia!$A$2:$AZ6238,fila,col),
IF(TRIM(TO_TEXT(valor))=TRIM(TO_TEXT(I4128)),"&amp;"
""OK"",
""NO COINCIDE. Valor verdadero: ""&amp;IF(valor="""",""[VACÍO]"",TO_TEXT(valor))
)
))))
),""ERROR EN FÓRMULA""))"),"OK")</f>
        <v>OK</v>
      </c>
    </row>
    <row r="4129">
      <c r="A4129" s="83" t="s">
        <v>4896</v>
      </c>
      <c r="B4129" s="83" t="s">
        <v>4897</v>
      </c>
      <c r="C4129" s="81" t="s">
        <v>4086</v>
      </c>
      <c r="D4129" s="83" t="s">
        <v>4747</v>
      </c>
      <c r="E4129" s="81" t="s">
        <v>3581</v>
      </c>
      <c r="F4129" s="81">
        <v>676.0</v>
      </c>
      <c r="G4129" s="81" t="s">
        <v>3</v>
      </c>
      <c r="H4129" s="81" t="s">
        <v>224</v>
      </c>
      <c r="I4129" s="81" t="s">
        <v>344</v>
      </c>
      <c r="J4129" s="81" t="s">
        <v>224</v>
      </c>
      <c r="K4129" s="81" t="str">
        <f>IFERROR(__xludf.DUMMYFUNCTION("IF(OR(D4129="""",G4129=""""),"""",IFERROR(LET(
campo,XLOOKUP(TRIM(G4129),ARRAYFORMULA(TRIM('indice columnas'!$A$2:$A$100)),'indice columnas'!$B$2:$B$100,""""),
col,IFERROR(MATCH(campo,Referencia!$A$1:$AZ$1,0),0),
fila,IFERROR(MATCH(TO_TEXT(D4129),ARRAYFOR"&amp;"MULA(TO_TEXT(Referencia!$A$2:$A6238)),0),0),
IF(OR(campo="""",campo=""-""),""NO APLICA"",
IF(col=0,""REVISAR EQUIVALENCIA"",
IF(fila=0,""SKU NO ENCONTRADO"",
LET(
valor,INDEX(Referencia!$A$2:$AZ6238,fila,col),
IF(TRIM(TO_TEXT(valor))=TRIM(TO_TEXT(I4129)),"&amp;"
""OK"",
""NO COINCIDE. Valor verdadero: ""&amp;IF(valor="""",""[VACÍO]"",TO_TEXT(valor))
)
))))
),""ERROR EN FÓRMULA""))"),"OK")</f>
        <v>OK</v>
      </c>
    </row>
    <row r="4130">
      <c r="A4130" s="83" t="s">
        <v>4896</v>
      </c>
      <c r="B4130" s="83" t="s">
        <v>4897</v>
      </c>
      <c r="C4130" s="81" t="s">
        <v>4086</v>
      </c>
      <c r="D4130" s="83" t="s">
        <v>4747</v>
      </c>
      <c r="E4130" s="81" t="s">
        <v>3581</v>
      </c>
      <c r="F4130" s="81">
        <v>676.0</v>
      </c>
      <c r="G4130" s="81" t="s">
        <v>2</v>
      </c>
      <c r="H4130" s="81" t="s">
        <v>224</v>
      </c>
      <c r="I4130" s="81" t="s">
        <v>213</v>
      </c>
      <c r="J4130" s="81" t="s">
        <v>224</v>
      </c>
      <c r="K4130" s="81" t="str">
        <f>IFERROR(__xludf.DUMMYFUNCTION("IF(OR(D4130="""",G4130=""""),"""",IFERROR(LET(
campo,XLOOKUP(TRIM(G4130),ARRAYFORMULA(TRIM('indice columnas'!$A$2:$A$100)),'indice columnas'!$B$2:$B$100,""""),
col,IFERROR(MATCH(campo,Referencia!$A$1:$AZ$1,0),0),
fila,IFERROR(MATCH(TO_TEXT(D4130),ARRAYFOR"&amp;"MULA(TO_TEXT(Referencia!$A$2:$A6238)),0),0),
IF(OR(campo="""",campo=""-""),""NO APLICA"",
IF(col=0,""REVISAR EQUIVALENCIA"",
IF(fila=0,""SKU NO ENCONTRADO"",
LET(
valor,INDEX(Referencia!$A$2:$AZ6238,fila,col),
IF(TRIM(TO_TEXT(valor))=TRIM(TO_TEXT(I4130)),"&amp;"
""OK"",
""NO COINCIDE. Valor verdadero: ""&amp;IF(valor="""",""[VACÍO]"",TO_TEXT(valor))
)
))))
),""ERROR EN FÓRMULA""))"),"OK")</f>
        <v>OK</v>
      </c>
    </row>
    <row r="4131">
      <c r="A4131" s="83" t="s">
        <v>4896</v>
      </c>
      <c r="B4131" s="83" t="s">
        <v>4897</v>
      </c>
      <c r="C4131" s="81" t="s">
        <v>4086</v>
      </c>
      <c r="D4131" s="83" t="s">
        <v>4747</v>
      </c>
      <c r="E4131" s="81" t="s">
        <v>3581</v>
      </c>
      <c r="F4131" s="81">
        <v>676.0</v>
      </c>
      <c r="G4131" s="81" t="s">
        <v>1</v>
      </c>
      <c r="H4131" s="81" t="s">
        <v>224</v>
      </c>
      <c r="I4131" s="81" t="s">
        <v>49</v>
      </c>
      <c r="J4131" s="81" t="s">
        <v>224</v>
      </c>
      <c r="K4131" s="81" t="str">
        <f>IFERROR(__xludf.DUMMYFUNCTION("IF(OR(D4131="""",G4131=""""),"""",IFERROR(LET(
campo,XLOOKUP(TRIM(G4131),ARRAYFORMULA(TRIM('indice columnas'!$A$2:$A$100)),'indice columnas'!$B$2:$B$100,""""),
col,IFERROR(MATCH(campo,Referencia!$A$1:$AZ$1,0),0),
fila,IFERROR(MATCH(TO_TEXT(D4131),ARRAYFOR"&amp;"MULA(TO_TEXT(Referencia!$A$2:$A6238)),0),0),
IF(OR(campo="""",campo=""-""),""NO APLICA"",
IF(col=0,""REVISAR EQUIVALENCIA"",
IF(fila=0,""SKU NO ENCONTRADO"",
LET(
valor,INDEX(Referencia!$A$2:$AZ6238,fila,col),
IF(TRIM(TO_TEXT(valor))=TRIM(TO_TEXT(I4131)),"&amp;"
""OK"",
""NO COINCIDE. Valor verdadero: ""&amp;IF(valor="""",""[VACÍO]"",TO_TEXT(valor))
)
))))
),""ERROR EN FÓRMULA""))"),"OK")</f>
        <v>OK</v>
      </c>
    </row>
    <row r="4132">
      <c r="A4132" s="83" t="s">
        <v>4896</v>
      </c>
      <c r="B4132" s="83" t="s">
        <v>4897</v>
      </c>
      <c r="C4132" s="81" t="s">
        <v>4086</v>
      </c>
      <c r="D4132" s="83" t="s">
        <v>4748</v>
      </c>
      <c r="E4132" s="81" t="s">
        <v>3584</v>
      </c>
      <c r="F4132" s="81">
        <v>677.0</v>
      </c>
      <c r="G4132" s="81" t="s">
        <v>3</v>
      </c>
      <c r="H4132" s="81" t="s">
        <v>224</v>
      </c>
      <c r="I4132" s="81" t="s">
        <v>344</v>
      </c>
      <c r="J4132" s="81" t="s">
        <v>224</v>
      </c>
      <c r="K4132" s="81" t="str">
        <f>IFERROR(__xludf.DUMMYFUNCTION("IF(OR(D4132="""",G4132=""""),"""",IFERROR(LET(
campo,XLOOKUP(TRIM(G4132),ARRAYFORMULA(TRIM('indice columnas'!$A$2:$A$100)),'indice columnas'!$B$2:$B$100,""""),
col,IFERROR(MATCH(campo,Referencia!$A$1:$AZ$1,0),0),
fila,IFERROR(MATCH(TO_TEXT(D4132),ARRAYFOR"&amp;"MULA(TO_TEXT(Referencia!$A$2:$A6238)),0),0),
IF(OR(campo="""",campo=""-""),""NO APLICA"",
IF(col=0,""REVISAR EQUIVALENCIA"",
IF(fila=0,""SKU NO ENCONTRADO"",
LET(
valor,INDEX(Referencia!$A$2:$AZ6238,fila,col),
IF(TRIM(TO_TEXT(valor))=TRIM(TO_TEXT(I4132)),"&amp;"
""OK"",
""NO COINCIDE. Valor verdadero: ""&amp;IF(valor="""",""[VACÍO]"",TO_TEXT(valor))
)
))))
),""ERROR EN FÓRMULA""))"),"OK")</f>
        <v>OK</v>
      </c>
    </row>
    <row r="4133">
      <c r="A4133" s="83" t="s">
        <v>4896</v>
      </c>
      <c r="B4133" s="83" t="s">
        <v>4897</v>
      </c>
      <c r="C4133" s="81" t="s">
        <v>4086</v>
      </c>
      <c r="D4133" s="83" t="s">
        <v>4748</v>
      </c>
      <c r="E4133" s="81" t="s">
        <v>3584</v>
      </c>
      <c r="F4133" s="81">
        <v>677.0</v>
      </c>
      <c r="G4133" s="81" t="s">
        <v>2</v>
      </c>
      <c r="H4133" s="81" t="s">
        <v>224</v>
      </c>
      <c r="I4133" s="81" t="s">
        <v>213</v>
      </c>
      <c r="J4133" s="81" t="s">
        <v>224</v>
      </c>
      <c r="K4133" s="81" t="str">
        <f>IFERROR(__xludf.DUMMYFUNCTION("IF(OR(D4133="""",G4133=""""),"""",IFERROR(LET(
campo,XLOOKUP(TRIM(G4133),ARRAYFORMULA(TRIM('indice columnas'!$A$2:$A$100)),'indice columnas'!$B$2:$B$100,""""),
col,IFERROR(MATCH(campo,Referencia!$A$1:$AZ$1,0),0),
fila,IFERROR(MATCH(TO_TEXT(D4133),ARRAYFOR"&amp;"MULA(TO_TEXT(Referencia!$A$2:$A6238)),0),0),
IF(OR(campo="""",campo=""-""),""NO APLICA"",
IF(col=0,""REVISAR EQUIVALENCIA"",
IF(fila=0,""SKU NO ENCONTRADO"",
LET(
valor,INDEX(Referencia!$A$2:$AZ6238,fila,col),
IF(TRIM(TO_TEXT(valor))=TRIM(TO_TEXT(I4133)),"&amp;"
""OK"",
""NO COINCIDE. Valor verdadero: ""&amp;IF(valor="""",""[VACÍO]"",TO_TEXT(valor))
)
))))
),""ERROR EN FÓRMULA""))"),"OK")</f>
        <v>OK</v>
      </c>
    </row>
    <row r="4134">
      <c r="A4134" s="83" t="s">
        <v>4896</v>
      </c>
      <c r="B4134" s="83" t="s">
        <v>4897</v>
      </c>
      <c r="C4134" s="81" t="s">
        <v>4086</v>
      </c>
      <c r="D4134" s="83" t="s">
        <v>4748</v>
      </c>
      <c r="E4134" s="81" t="s">
        <v>3584</v>
      </c>
      <c r="F4134" s="81">
        <v>677.0</v>
      </c>
      <c r="G4134" s="81" t="s">
        <v>1</v>
      </c>
      <c r="H4134" s="81" t="s">
        <v>224</v>
      </c>
      <c r="I4134" s="81" t="s">
        <v>49</v>
      </c>
      <c r="J4134" s="81" t="s">
        <v>224</v>
      </c>
      <c r="K4134" s="81" t="str">
        <f>IFERROR(__xludf.DUMMYFUNCTION("IF(OR(D4134="""",G4134=""""),"""",IFERROR(LET(
campo,XLOOKUP(TRIM(G4134),ARRAYFORMULA(TRIM('indice columnas'!$A$2:$A$100)),'indice columnas'!$B$2:$B$100,""""),
col,IFERROR(MATCH(campo,Referencia!$A$1:$AZ$1,0),0),
fila,IFERROR(MATCH(TO_TEXT(D4134),ARRAYFOR"&amp;"MULA(TO_TEXT(Referencia!$A$2:$A6238)),0),0),
IF(OR(campo="""",campo=""-""),""NO APLICA"",
IF(col=0,""REVISAR EQUIVALENCIA"",
IF(fila=0,""SKU NO ENCONTRADO"",
LET(
valor,INDEX(Referencia!$A$2:$AZ6238,fila,col),
IF(TRIM(TO_TEXT(valor))=TRIM(TO_TEXT(I4134)),"&amp;"
""OK"",
""NO COINCIDE. Valor verdadero: ""&amp;IF(valor="""",""[VACÍO]"",TO_TEXT(valor))
)
))))
),""ERROR EN FÓRMULA""))"),"OK")</f>
        <v>OK</v>
      </c>
    </row>
    <row r="4135">
      <c r="A4135" s="83" t="s">
        <v>4896</v>
      </c>
      <c r="B4135" s="83" t="s">
        <v>4897</v>
      </c>
      <c r="C4135" s="81" t="s">
        <v>4086</v>
      </c>
      <c r="D4135" s="83" t="s">
        <v>4749</v>
      </c>
      <c r="E4135" s="81" t="s">
        <v>3596</v>
      </c>
      <c r="F4135" s="81">
        <v>679.0</v>
      </c>
      <c r="G4135" s="81" t="s">
        <v>3</v>
      </c>
      <c r="H4135" s="81" t="s">
        <v>224</v>
      </c>
      <c r="I4135" s="81" t="s">
        <v>51</v>
      </c>
      <c r="J4135" s="81" t="s">
        <v>224</v>
      </c>
      <c r="K4135" s="81" t="str">
        <f>IFERROR(__xludf.DUMMYFUNCTION("IF(OR(D4135="""",G4135=""""),"""",IFERROR(LET(
campo,XLOOKUP(TRIM(G4135),ARRAYFORMULA(TRIM('indice columnas'!$A$2:$A$100)),'indice columnas'!$B$2:$B$100,""""),
col,IFERROR(MATCH(campo,Referencia!$A$1:$AZ$1,0),0),
fila,IFERROR(MATCH(TO_TEXT(D4135),ARRAYFOR"&amp;"MULA(TO_TEXT(Referencia!$A$2:$A6238)),0),0),
IF(OR(campo="""",campo=""-""),""NO APLICA"",
IF(col=0,""REVISAR EQUIVALENCIA"",
IF(fila=0,""SKU NO ENCONTRADO"",
LET(
valor,INDEX(Referencia!$A$2:$AZ6238,fila,col),
IF(TRIM(TO_TEXT(valor))=TRIM(TO_TEXT(I4135)),"&amp;"
""OK"",
""NO COINCIDE. Valor verdadero: ""&amp;IF(valor="""",""[VACÍO]"",TO_TEXT(valor))
)
))))
),""ERROR EN FÓRMULA""))"),"OK")</f>
        <v>OK</v>
      </c>
    </row>
    <row r="4136">
      <c r="A4136" s="83" t="s">
        <v>4896</v>
      </c>
      <c r="B4136" s="83" t="s">
        <v>4897</v>
      </c>
      <c r="C4136" s="81" t="s">
        <v>4086</v>
      </c>
      <c r="D4136" s="83" t="s">
        <v>4749</v>
      </c>
      <c r="E4136" s="81" t="s">
        <v>3596</v>
      </c>
      <c r="F4136" s="81">
        <v>679.0</v>
      </c>
      <c r="G4136" s="81" t="s">
        <v>2</v>
      </c>
      <c r="H4136" s="81" t="s">
        <v>224</v>
      </c>
      <c r="I4136" s="81" t="s">
        <v>332</v>
      </c>
      <c r="J4136" s="81" t="s">
        <v>224</v>
      </c>
      <c r="K4136" s="81" t="str">
        <f>IFERROR(__xludf.DUMMYFUNCTION("IF(OR(D4136="""",G4136=""""),"""",IFERROR(LET(
campo,XLOOKUP(TRIM(G4136),ARRAYFORMULA(TRIM('indice columnas'!$A$2:$A$100)),'indice columnas'!$B$2:$B$100,""""),
col,IFERROR(MATCH(campo,Referencia!$A$1:$AZ$1,0),0),
fila,IFERROR(MATCH(TO_TEXT(D4136),ARRAYFOR"&amp;"MULA(TO_TEXT(Referencia!$A$2:$A6238)),0),0),
IF(OR(campo="""",campo=""-""),""NO APLICA"",
IF(col=0,""REVISAR EQUIVALENCIA"",
IF(fila=0,""SKU NO ENCONTRADO"",
LET(
valor,INDEX(Referencia!$A$2:$AZ6238,fila,col),
IF(TRIM(TO_TEXT(valor))=TRIM(TO_TEXT(I4136)),"&amp;"
""OK"",
""NO COINCIDE. Valor verdadero: ""&amp;IF(valor="""",""[VACÍO]"",TO_TEXT(valor))
)
))))
),""ERROR EN FÓRMULA""))"),"OK")</f>
        <v>OK</v>
      </c>
    </row>
    <row r="4137">
      <c r="A4137" s="83" t="s">
        <v>4896</v>
      </c>
      <c r="B4137" s="83" t="s">
        <v>4897</v>
      </c>
      <c r="C4137" s="81" t="s">
        <v>4086</v>
      </c>
      <c r="D4137" s="83" t="s">
        <v>4749</v>
      </c>
      <c r="E4137" s="81" t="s">
        <v>3596</v>
      </c>
      <c r="F4137" s="81">
        <v>679.0</v>
      </c>
      <c r="G4137" s="81" t="s">
        <v>1</v>
      </c>
      <c r="H4137" s="81" t="s">
        <v>224</v>
      </c>
      <c r="I4137" s="81" t="s">
        <v>49</v>
      </c>
      <c r="J4137" s="81" t="s">
        <v>224</v>
      </c>
      <c r="K4137" s="81" t="str">
        <f>IFERROR(__xludf.DUMMYFUNCTION("IF(OR(D4137="""",G4137=""""),"""",IFERROR(LET(
campo,XLOOKUP(TRIM(G4137),ARRAYFORMULA(TRIM('indice columnas'!$A$2:$A$100)),'indice columnas'!$B$2:$B$100,""""),
col,IFERROR(MATCH(campo,Referencia!$A$1:$AZ$1,0),0),
fila,IFERROR(MATCH(TO_TEXT(D4137),ARRAYFOR"&amp;"MULA(TO_TEXT(Referencia!$A$2:$A6238)),0),0),
IF(OR(campo="""",campo=""-""),""NO APLICA"",
IF(col=0,""REVISAR EQUIVALENCIA"",
IF(fila=0,""SKU NO ENCONTRADO"",
LET(
valor,INDEX(Referencia!$A$2:$AZ6238,fila,col),
IF(TRIM(TO_TEXT(valor))=TRIM(TO_TEXT(I4137)),"&amp;"
""OK"",
""NO COINCIDE. Valor verdadero: ""&amp;IF(valor="""",""[VACÍO]"",TO_TEXT(valor))
)
))))
),""ERROR EN FÓRMULA""))"),"OK")</f>
        <v>OK</v>
      </c>
    </row>
    <row r="4138">
      <c r="A4138" s="83" t="s">
        <v>4896</v>
      </c>
      <c r="B4138" s="83" t="s">
        <v>4897</v>
      </c>
      <c r="C4138" s="81" t="s">
        <v>4086</v>
      </c>
      <c r="D4138" s="83" t="s">
        <v>4750</v>
      </c>
      <c r="E4138" s="81" t="s">
        <v>3597</v>
      </c>
      <c r="F4138" s="81">
        <v>680.0</v>
      </c>
      <c r="G4138" s="81" t="s">
        <v>3</v>
      </c>
      <c r="H4138" s="81" t="s">
        <v>224</v>
      </c>
      <c r="I4138" s="81" t="s">
        <v>51</v>
      </c>
      <c r="J4138" s="81" t="s">
        <v>224</v>
      </c>
      <c r="K4138" s="81" t="str">
        <f>IFERROR(__xludf.DUMMYFUNCTION("IF(OR(D4138="""",G4138=""""),"""",IFERROR(LET(
campo,XLOOKUP(TRIM(G4138),ARRAYFORMULA(TRIM('indice columnas'!$A$2:$A$100)),'indice columnas'!$B$2:$B$100,""""),
col,IFERROR(MATCH(campo,Referencia!$A$1:$AZ$1,0),0),
fila,IFERROR(MATCH(TO_TEXT(D4138),ARRAYFOR"&amp;"MULA(TO_TEXT(Referencia!$A$2:$A6238)),0),0),
IF(OR(campo="""",campo=""-""),""NO APLICA"",
IF(col=0,""REVISAR EQUIVALENCIA"",
IF(fila=0,""SKU NO ENCONTRADO"",
LET(
valor,INDEX(Referencia!$A$2:$AZ6238,fila,col),
IF(TRIM(TO_TEXT(valor))=TRIM(TO_TEXT(I4138)),"&amp;"
""OK"",
""NO COINCIDE. Valor verdadero: ""&amp;IF(valor="""",""[VACÍO]"",TO_TEXT(valor))
)
))))
),""ERROR EN FÓRMULA""))"),"OK")</f>
        <v>OK</v>
      </c>
    </row>
    <row r="4139">
      <c r="A4139" s="83" t="s">
        <v>4896</v>
      </c>
      <c r="B4139" s="83" t="s">
        <v>4897</v>
      </c>
      <c r="C4139" s="81" t="s">
        <v>4086</v>
      </c>
      <c r="D4139" s="83" t="s">
        <v>4750</v>
      </c>
      <c r="E4139" s="81" t="s">
        <v>3597</v>
      </c>
      <c r="F4139" s="81">
        <v>680.0</v>
      </c>
      <c r="G4139" s="81" t="s">
        <v>2</v>
      </c>
      <c r="H4139" s="81" t="s">
        <v>224</v>
      </c>
      <c r="I4139" s="81" t="s">
        <v>332</v>
      </c>
      <c r="J4139" s="81" t="s">
        <v>224</v>
      </c>
      <c r="K4139" s="81" t="str">
        <f>IFERROR(__xludf.DUMMYFUNCTION("IF(OR(D4139="""",G4139=""""),"""",IFERROR(LET(
campo,XLOOKUP(TRIM(G4139),ARRAYFORMULA(TRIM('indice columnas'!$A$2:$A$100)),'indice columnas'!$B$2:$B$100,""""),
col,IFERROR(MATCH(campo,Referencia!$A$1:$AZ$1,0),0),
fila,IFERROR(MATCH(TO_TEXT(D4139),ARRAYFOR"&amp;"MULA(TO_TEXT(Referencia!$A$2:$A6238)),0),0),
IF(OR(campo="""",campo=""-""),""NO APLICA"",
IF(col=0,""REVISAR EQUIVALENCIA"",
IF(fila=0,""SKU NO ENCONTRADO"",
LET(
valor,INDEX(Referencia!$A$2:$AZ6238,fila,col),
IF(TRIM(TO_TEXT(valor))=TRIM(TO_TEXT(I4139)),"&amp;"
""OK"",
""NO COINCIDE. Valor verdadero: ""&amp;IF(valor="""",""[VACÍO]"",TO_TEXT(valor))
)
))))
),""ERROR EN FÓRMULA""))"),"OK")</f>
        <v>OK</v>
      </c>
    </row>
    <row r="4140">
      <c r="A4140" s="83" t="s">
        <v>4896</v>
      </c>
      <c r="B4140" s="83" t="s">
        <v>4897</v>
      </c>
      <c r="C4140" s="81" t="s">
        <v>4086</v>
      </c>
      <c r="D4140" s="83" t="s">
        <v>4750</v>
      </c>
      <c r="E4140" s="81" t="s">
        <v>3597</v>
      </c>
      <c r="F4140" s="81">
        <v>680.0</v>
      </c>
      <c r="G4140" s="81" t="s">
        <v>1</v>
      </c>
      <c r="H4140" s="81" t="s">
        <v>224</v>
      </c>
      <c r="I4140" s="81" t="s">
        <v>49</v>
      </c>
      <c r="J4140" s="81" t="s">
        <v>224</v>
      </c>
      <c r="K4140" s="81" t="str">
        <f>IFERROR(__xludf.DUMMYFUNCTION("IF(OR(D4140="""",G4140=""""),"""",IFERROR(LET(
campo,XLOOKUP(TRIM(G4140),ARRAYFORMULA(TRIM('indice columnas'!$A$2:$A$100)),'indice columnas'!$B$2:$B$100,""""),
col,IFERROR(MATCH(campo,Referencia!$A$1:$AZ$1,0),0),
fila,IFERROR(MATCH(TO_TEXT(D4140),ARRAYFOR"&amp;"MULA(TO_TEXT(Referencia!$A$2:$A6238)),0),0),
IF(OR(campo="""",campo=""-""),""NO APLICA"",
IF(col=0,""REVISAR EQUIVALENCIA"",
IF(fila=0,""SKU NO ENCONTRADO"",
LET(
valor,INDEX(Referencia!$A$2:$AZ6238,fila,col),
IF(TRIM(TO_TEXT(valor))=TRIM(TO_TEXT(I4140)),"&amp;"
""OK"",
""NO COINCIDE. Valor verdadero: ""&amp;IF(valor="""",""[VACÍO]"",TO_TEXT(valor))
)
))))
),""ERROR EN FÓRMULA""))"),"OK")</f>
        <v>OK</v>
      </c>
    </row>
    <row r="4141">
      <c r="A4141" s="83" t="s">
        <v>4896</v>
      </c>
      <c r="B4141" s="83" t="s">
        <v>4897</v>
      </c>
      <c r="C4141" s="81" t="s">
        <v>4086</v>
      </c>
      <c r="D4141" s="83" t="s">
        <v>4751</v>
      </c>
      <c r="E4141" s="81" t="s">
        <v>3600</v>
      </c>
      <c r="F4141" s="81">
        <v>681.0</v>
      </c>
      <c r="G4141" s="81" t="s">
        <v>3</v>
      </c>
      <c r="H4141" s="81" t="s">
        <v>224</v>
      </c>
      <c r="I4141" s="81" t="s">
        <v>920</v>
      </c>
      <c r="J4141" s="81" t="s">
        <v>224</v>
      </c>
      <c r="K4141" s="81" t="str">
        <f>IFERROR(__xludf.DUMMYFUNCTION("IF(OR(D4141="""",G4141=""""),"""",IFERROR(LET(
campo,XLOOKUP(TRIM(G4141),ARRAYFORMULA(TRIM('indice columnas'!$A$2:$A$100)),'indice columnas'!$B$2:$B$100,""""),
col,IFERROR(MATCH(campo,Referencia!$A$1:$AZ$1,0),0),
fila,IFERROR(MATCH(TO_TEXT(D4141),ARRAYFOR"&amp;"MULA(TO_TEXT(Referencia!$A$2:$A6238)),0),0),
IF(OR(campo="""",campo=""-""),""NO APLICA"",
IF(col=0,""REVISAR EQUIVALENCIA"",
IF(fila=0,""SKU NO ENCONTRADO"",
LET(
valor,INDEX(Referencia!$A$2:$AZ6238,fila,col),
IF(TRIM(TO_TEXT(valor))=TRIM(TO_TEXT(I4141)),"&amp;"
""OK"",
""NO COINCIDE. Valor verdadero: ""&amp;IF(valor="""",""[VACÍO]"",TO_TEXT(valor))
)
))))
),""ERROR EN FÓRMULA""))"),"OK")</f>
        <v>OK</v>
      </c>
    </row>
    <row r="4142">
      <c r="A4142" s="83" t="s">
        <v>4896</v>
      </c>
      <c r="B4142" s="83" t="s">
        <v>4897</v>
      </c>
      <c r="C4142" s="81" t="s">
        <v>4086</v>
      </c>
      <c r="D4142" s="83" t="s">
        <v>4751</v>
      </c>
      <c r="E4142" s="81" t="s">
        <v>3600</v>
      </c>
      <c r="F4142" s="81">
        <v>681.0</v>
      </c>
      <c r="G4142" s="81" t="s">
        <v>2</v>
      </c>
      <c r="H4142" s="81" t="s">
        <v>224</v>
      </c>
      <c r="I4142" s="81" t="s">
        <v>919</v>
      </c>
      <c r="J4142" s="81" t="s">
        <v>224</v>
      </c>
      <c r="K4142" s="81" t="str">
        <f>IFERROR(__xludf.DUMMYFUNCTION("IF(OR(D4142="""",G4142=""""),"""",IFERROR(LET(
campo,XLOOKUP(TRIM(G4142),ARRAYFORMULA(TRIM('indice columnas'!$A$2:$A$100)),'indice columnas'!$B$2:$B$100,""""),
col,IFERROR(MATCH(campo,Referencia!$A$1:$AZ$1,0),0),
fila,IFERROR(MATCH(TO_TEXT(D4142),ARRAYFOR"&amp;"MULA(TO_TEXT(Referencia!$A$2:$A6238)),0),0),
IF(OR(campo="""",campo=""-""),""NO APLICA"",
IF(col=0,""REVISAR EQUIVALENCIA"",
IF(fila=0,""SKU NO ENCONTRADO"",
LET(
valor,INDEX(Referencia!$A$2:$AZ6238,fila,col),
IF(TRIM(TO_TEXT(valor))=TRIM(TO_TEXT(I4142)),"&amp;"
""OK"",
""NO COINCIDE. Valor verdadero: ""&amp;IF(valor="""",""[VACÍO]"",TO_TEXT(valor))
)
))))
),""ERROR EN FÓRMULA""))"),"OK")</f>
        <v>OK</v>
      </c>
    </row>
    <row r="4143">
      <c r="A4143" s="83" t="s">
        <v>4896</v>
      </c>
      <c r="B4143" s="83" t="s">
        <v>4897</v>
      </c>
      <c r="C4143" s="81" t="s">
        <v>4086</v>
      </c>
      <c r="D4143" s="83" t="s">
        <v>4751</v>
      </c>
      <c r="E4143" s="81" t="s">
        <v>3600</v>
      </c>
      <c r="F4143" s="81">
        <v>681.0</v>
      </c>
      <c r="G4143" s="81" t="s">
        <v>1</v>
      </c>
      <c r="H4143" s="81" t="s">
        <v>224</v>
      </c>
      <c r="I4143" s="81" t="s">
        <v>49</v>
      </c>
      <c r="J4143" s="81" t="s">
        <v>224</v>
      </c>
      <c r="K4143" s="81" t="str">
        <f>IFERROR(__xludf.DUMMYFUNCTION("IF(OR(D4143="""",G4143=""""),"""",IFERROR(LET(
campo,XLOOKUP(TRIM(G4143),ARRAYFORMULA(TRIM('indice columnas'!$A$2:$A$100)),'indice columnas'!$B$2:$B$100,""""),
col,IFERROR(MATCH(campo,Referencia!$A$1:$AZ$1,0),0),
fila,IFERROR(MATCH(TO_TEXT(D4143),ARRAYFOR"&amp;"MULA(TO_TEXT(Referencia!$A$2:$A6238)),0),0),
IF(OR(campo="""",campo=""-""),""NO APLICA"",
IF(col=0,""REVISAR EQUIVALENCIA"",
IF(fila=0,""SKU NO ENCONTRADO"",
LET(
valor,INDEX(Referencia!$A$2:$AZ6238,fila,col),
IF(TRIM(TO_TEXT(valor))=TRIM(TO_TEXT(I4143)),"&amp;"
""OK"",
""NO COINCIDE. Valor verdadero: ""&amp;IF(valor="""",""[VACÍO]"",TO_TEXT(valor))
)
))))
),""ERROR EN FÓRMULA""))"),"OK")</f>
        <v>OK</v>
      </c>
    </row>
    <row r="4144">
      <c r="A4144" s="83" t="s">
        <v>4896</v>
      </c>
      <c r="B4144" s="83" t="s">
        <v>4897</v>
      </c>
      <c r="C4144" s="81" t="s">
        <v>4086</v>
      </c>
      <c r="D4144" s="83" t="s">
        <v>4752</v>
      </c>
      <c r="E4144" s="81" t="s">
        <v>3605</v>
      </c>
      <c r="F4144" s="81">
        <v>682.0</v>
      </c>
      <c r="G4144" s="81" t="s">
        <v>3</v>
      </c>
      <c r="H4144" s="81" t="s">
        <v>224</v>
      </c>
      <c r="I4144" s="81" t="s">
        <v>920</v>
      </c>
      <c r="J4144" s="81" t="s">
        <v>224</v>
      </c>
      <c r="K4144" s="81" t="str">
        <f>IFERROR(__xludf.DUMMYFUNCTION("IF(OR(D4144="""",G4144=""""),"""",IFERROR(LET(
campo,XLOOKUP(TRIM(G4144),ARRAYFORMULA(TRIM('indice columnas'!$A$2:$A$100)),'indice columnas'!$B$2:$B$100,""""),
col,IFERROR(MATCH(campo,Referencia!$A$1:$AZ$1,0),0),
fila,IFERROR(MATCH(TO_TEXT(D4144),ARRAYFOR"&amp;"MULA(TO_TEXT(Referencia!$A$2:$A6238)),0),0),
IF(OR(campo="""",campo=""-""),""NO APLICA"",
IF(col=0,""REVISAR EQUIVALENCIA"",
IF(fila=0,""SKU NO ENCONTRADO"",
LET(
valor,INDEX(Referencia!$A$2:$AZ6238,fila,col),
IF(TRIM(TO_TEXT(valor))=TRIM(TO_TEXT(I4144)),"&amp;"
""OK"",
""NO COINCIDE. Valor verdadero: ""&amp;IF(valor="""",""[VACÍO]"",TO_TEXT(valor))
)
))))
),""ERROR EN FÓRMULA""))"),"OK")</f>
        <v>OK</v>
      </c>
    </row>
    <row r="4145">
      <c r="A4145" s="83" t="s">
        <v>4896</v>
      </c>
      <c r="B4145" s="83" t="s">
        <v>4897</v>
      </c>
      <c r="C4145" s="81" t="s">
        <v>4086</v>
      </c>
      <c r="D4145" s="83" t="s">
        <v>4752</v>
      </c>
      <c r="E4145" s="81" t="s">
        <v>3605</v>
      </c>
      <c r="F4145" s="81">
        <v>682.0</v>
      </c>
      <c r="G4145" s="81" t="s">
        <v>2</v>
      </c>
      <c r="H4145" s="81" t="s">
        <v>224</v>
      </c>
      <c r="I4145" s="81" t="s">
        <v>919</v>
      </c>
      <c r="J4145" s="81" t="s">
        <v>224</v>
      </c>
      <c r="K4145" s="81" t="str">
        <f>IFERROR(__xludf.DUMMYFUNCTION("IF(OR(D4145="""",G4145=""""),"""",IFERROR(LET(
campo,XLOOKUP(TRIM(G4145),ARRAYFORMULA(TRIM('indice columnas'!$A$2:$A$100)),'indice columnas'!$B$2:$B$100,""""),
col,IFERROR(MATCH(campo,Referencia!$A$1:$AZ$1,0),0),
fila,IFERROR(MATCH(TO_TEXT(D4145),ARRAYFOR"&amp;"MULA(TO_TEXT(Referencia!$A$2:$A6238)),0),0),
IF(OR(campo="""",campo=""-""),""NO APLICA"",
IF(col=0,""REVISAR EQUIVALENCIA"",
IF(fila=0,""SKU NO ENCONTRADO"",
LET(
valor,INDEX(Referencia!$A$2:$AZ6238,fila,col),
IF(TRIM(TO_TEXT(valor))=TRIM(TO_TEXT(I4145)),"&amp;"
""OK"",
""NO COINCIDE. Valor verdadero: ""&amp;IF(valor="""",""[VACÍO]"",TO_TEXT(valor))
)
))))
),""ERROR EN FÓRMULA""))"),"OK")</f>
        <v>OK</v>
      </c>
    </row>
    <row r="4146">
      <c r="A4146" s="83" t="s">
        <v>4896</v>
      </c>
      <c r="B4146" s="83" t="s">
        <v>4897</v>
      </c>
      <c r="C4146" s="81" t="s">
        <v>4086</v>
      </c>
      <c r="D4146" s="83" t="s">
        <v>4752</v>
      </c>
      <c r="E4146" s="81" t="s">
        <v>3605</v>
      </c>
      <c r="F4146" s="81">
        <v>682.0</v>
      </c>
      <c r="G4146" s="81" t="s">
        <v>1</v>
      </c>
      <c r="H4146" s="81" t="s">
        <v>224</v>
      </c>
      <c r="I4146" s="81" t="s">
        <v>49</v>
      </c>
      <c r="J4146" s="81" t="s">
        <v>224</v>
      </c>
      <c r="K4146" s="81" t="str">
        <f>IFERROR(__xludf.DUMMYFUNCTION("IF(OR(D4146="""",G4146=""""),"""",IFERROR(LET(
campo,XLOOKUP(TRIM(G4146),ARRAYFORMULA(TRIM('indice columnas'!$A$2:$A$100)),'indice columnas'!$B$2:$B$100,""""),
col,IFERROR(MATCH(campo,Referencia!$A$1:$AZ$1,0),0),
fila,IFERROR(MATCH(TO_TEXT(D4146),ARRAYFOR"&amp;"MULA(TO_TEXT(Referencia!$A$2:$A6238)),0),0),
IF(OR(campo="""",campo=""-""),""NO APLICA"",
IF(col=0,""REVISAR EQUIVALENCIA"",
IF(fila=0,""SKU NO ENCONTRADO"",
LET(
valor,INDEX(Referencia!$A$2:$AZ6238,fila,col),
IF(TRIM(TO_TEXT(valor))=TRIM(TO_TEXT(I4146)),"&amp;"
""OK"",
""NO COINCIDE. Valor verdadero: ""&amp;IF(valor="""",""[VACÍO]"",TO_TEXT(valor))
)
))))
),""ERROR EN FÓRMULA""))"),"OK")</f>
        <v>OK</v>
      </c>
    </row>
    <row r="4147">
      <c r="A4147" s="83" t="s">
        <v>4896</v>
      </c>
      <c r="B4147" s="83" t="s">
        <v>4897</v>
      </c>
      <c r="C4147" s="81" t="s">
        <v>4086</v>
      </c>
      <c r="D4147" s="83" t="s">
        <v>4755</v>
      </c>
      <c r="E4147" s="81" t="s">
        <v>3633</v>
      </c>
      <c r="F4147" s="81">
        <v>685.0</v>
      </c>
      <c r="G4147" s="81" t="s">
        <v>3</v>
      </c>
      <c r="H4147" s="81" t="s">
        <v>376</v>
      </c>
      <c r="I4147" s="81" t="s">
        <v>344</v>
      </c>
      <c r="J4147" s="81" t="s">
        <v>224</v>
      </c>
      <c r="K4147" s="81" t="str">
        <f>IFERROR(__xludf.DUMMYFUNCTION("IF(OR(D4147="""",G4147=""""),"""",IFERROR(LET(
campo,XLOOKUP(TRIM(G4147),ARRAYFORMULA(TRIM('indice columnas'!$A$2:$A$100)),'indice columnas'!$B$2:$B$100,""""),
col,IFERROR(MATCH(campo,Referencia!$A$1:$AZ$1,0),0),
fila,IFERROR(MATCH(TO_TEXT(D4147),ARRAYFOR"&amp;"MULA(TO_TEXT(Referencia!$A$2:$A6238)),0),0),
IF(OR(campo="""",campo=""-""),""NO APLICA"",
IF(col=0,""REVISAR EQUIVALENCIA"",
IF(fila=0,""SKU NO ENCONTRADO"",
LET(
valor,INDEX(Referencia!$A$2:$AZ6238,fila,col),
IF(TRIM(TO_TEXT(valor))=TRIM(TO_TEXT(I4147)),"&amp;"
""OK"",
""NO COINCIDE. Valor verdadero: ""&amp;IF(valor="""",""[VACÍO]"",TO_TEXT(valor))
)
))))
),""ERROR EN FÓRMULA""))"),"OK")</f>
        <v>OK</v>
      </c>
    </row>
    <row r="4148">
      <c r="A4148" s="83" t="s">
        <v>4896</v>
      </c>
      <c r="B4148" s="83" t="s">
        <v>4897</v>
      </c>
      <c r="C4148" s="81" t="s">
        <v>4086</v>
      </c>
      <c r="D4148" s="83" t="s">
        <v>4754</v>
      </c>
      <c r="E4148" s="81" t="s">
        <v>3636</v>
      </c>
      <c r="F4148" s="81">
        <v>686.0</v>
      </c>
      <c r="G4148" s="81" t="s">
        <v>3</v>
      </c>
      <c r="H4148" s="81" t="s">
        <v>376</v>
      </c>
      <c r="I4148" s="81" t="s">
        <v>344</v>
      </c>
      <c r="J4148" s="81" t="s">
        <v>224</v>
      </c>
      <c r="K4148" s="81" t="str">
        <f>IFERROR(__xludf.DUMMYFUNCTION("IF(OR(D4148="""",G4148=""""),"""",IFERROR(LET(
campo,XLOOKUP(TRIM(G4148),ARRAYFORMULA(TRIM('indice columnas'!$A$2:$A$100)),'indice columnas'!$B$2:$B$100,""""),
col,IFERROR(MATCH(campo,Referencia!$A$1:$AZ$1,0),0),
fila,IFERROR(MATCH(TO_TEXT(D4148),ARRAYFOR"&amp;"MULA(TO_TEXT(Referencia!$A$2:$A6238)),0),0),
IF(OR(campo="""",campo=""-""),""NO APLICA"",
IF(col=0,""REVISAR EQUIVALENCIA"",
IF(fila=0,""SKU NO ENCONTRADO"",
LET(
valor,INDEX(Referencia!$A$2:$AZ6238,fila,col),
IF(TRIM(TO_TEXT(valor))=TRIM(TO_TEXT(I4148)),"&amp;"
""OK"",
""NO COINCIDE. Valor verdadero: ""&amp;IF(valor="""",""[VACÍO]"",TO_TEXT(valor))
)
))))
),""ERROR EN FÓRMULA""))"),"OK")</f>
        <v>OK</v>
      </c>
    </row>
    <row r="4149">
      <c r="A4149" s="83" t="s">
        <v>4896</v>
      </c>
      <c r="B4149" s="83" t="s">
        <v>4897</v>
      </c>
      <c r="C4149" s="81" t="s">
        <v>4086</v>
      </c>
      <c r="D4149" s="83" t="s">
        <v>4756</v>
      </c>
      <c r="E4149" s="81" t="s">
        <v>3637</v>
      </c>
      <c r="F4149" s="81">
        <v>687.0</v>
      </c>
      <c r="G4149" s="81" t="s">
        <v>3</v>
      </c>
      <c r="H4149" s="81" t="s">
        <v>376</v>
      </c>
      <c r="I4149" s="81" t="s">
        <v>344</v>
      </c>
      <c r="J4149" s="81" t="s">
        <v>224</v>
      </c>
      <c r="K4149" s="81" t="str">
        <f>IFERROR(__xludf.DUMMYFUNCTION("IF(OR(D4149="""",G4149=""""),"""",IFERROR(LET(
campo,XLOOKUP(TRIM(G4149),ARRAYFORMULA(TRIM('indice columnas'!$A$2:$A$100)),'indice columnas'!$B$2:$B$100,""""),
col,IFERROR(MATCH(campo,Referencia!$A$1:$AZ$1,0),0),
fila,IFERROR(MATCH(TO_TEXT(D4149),ARRAYFOR"&amp;"MULA(TO_TEXT(Referencia!$A$2:$A6238)),0),0),
IF(OR(campo="""",campo=""-""),""NO APLICA"",
IF(col=0,""REVISAR EQUIVALENCIA"",
IF(fila=0,""SKU NO ENCONTRADO"",
LET(
valor,INDEX(Referencia!$A$2:$AZ6238,fila,col),
IF(TRIM(TO_TEXT(valor))=TRIM(TO_TEXT(I4149)),"&amp;"
""OK"",
""NO COINCIDE. Valor verdadero: ""&amp;IF(valor="""",""[VACÍO]"",TO_TEXT(valor))
)
))))
),""ERROR EN FÓRMULA""))"),"OK")</f>
        <v>OK</v>
      </c>
    </row>
    <row r="4150">
      <c r="A4150" s="83" t="s">
        <v>4896</v>
      </c>
      <c r="B4150" s="83" t="s">
        <v>4897</v>
      </c>
      <c r="C4150" s="81" t="s">
        <v>4086</v>
      </c>
      <c r="D4150" s="83" t="s">
        <v>4757</v>
      </c>
      <c r="E4150" s="81" t="s">
        <v>3640</v>
      </c>
      <c r="F4150" s="81">
        <v>688.0</v>
      </c>
      <c r="G4150" s="81" t="s">
        <v>3</v>
      </c>
      <c r="H4150" s="81" t="s">
        <v>376</v>
      </c>
      <c r="I4150" s="81" t="s">
        <v>344</v>
      </c>
      <c r="J4150" s="81" t="s">
        <v>224</v>
      </c>
      <c r="K4150" s="81" t="str">
        <f>IFERROR(__xludf.DUMMYFUNCTION("IF(OR(D4150="""",G4150=""""),"""",IFERROR(LET(
campo,XLOOKUP(TRIM(G4150),ARRAYFORMULA(TRIM('indice columnas'!$A$2:$A$100)),'indice columnas'!$B$2:$B$100,""""),
col,IFERROR(MATCH(campo,Referencia!$A$1:$AZ$1,0),0),
fila,IFERROR(MATCH(TO_TEXT(D4150),ARRAYFOR"&amp;"MULA(TO_TEXT(Referencia!$A$2:$A6238)),0),0),
IF(OR(campo="""",campo=""-""),""NO APLICA"",
IF(col=0,""REVISAR EQUIVALENCIA"",
IF(fila=0,""SKU NO ENCONTRADO"",
LET(
valor,INDEX(Referencia!$A$2:$AZ6238,fila,col),
IF(TRIM(TO_TEXT(valor))=TRIM(TO_TEXT(I4150)),"&amp;"
""OK"",
""NO COINCIDE. Valor verdadero: ""&amp;IF(valor="""",""[VACÍO]"",TO_TEXT(valor))
)
))))
),""ERROR EN FÓRMULA""))"),"OK")</f>
        <v>OK</v>
      </c>
    </row>
    <row r="4151">
      <c r="A4151" s="83" t="s">
        <v>4896</v>
      </c>
      <c r="B4151" s="83" t="s">
        <v>4897</v>
      </c>
      <c r="C4151" s="81" t="s">
        <v>4086</v>
      </c>
      <c r="D4151" s="83" t="s">
        <v>4758</v>
      </c>
      <c r="E4151" s="81" t="s">
        <v>3643</v>
      </c>
      <c r="F4151" s="81">
        <v>689.0</v>
      </c>
      <c r="G4151" s="81" t="s">
        <v>3</v>
      </c>
      <c r="H4151" s="81" t="s">
        <v>376</v>
      </c>
      <c r="I4151" s="81" t="s">
        <v>344</v>
      </c>
      <c r="J4151" s="81" t="s">
        <v>224</v>
      </c>
      <c r="K4151" s="81" t="str">
        <f>IFERROR(__xludf.DUMMYFUNCTION("IF(OR(D4151="""",G4151=""""),"""",IFERROR(LET(
campo,XLOOKUP(TRIM(G4151),ARRAYFORMULA(TRIM('indice columnas'!$A$2:$A$100)),'indice columnas'!$B$2:$B$100,""""),
col,IFERROR(MATCH(campo,Referencia!$A$1:$AZ$1,0),0),
fila,IFERROR(MATCH(TO_TEXT(D4151),ARRAYFOR"&amp;"MULA(TO_TEXT(Referencia!$A$2:$A6238)),0),0),
IF(OR(campo="""",campo=""-""),""NO APLICA"",
IF(col=0,""REVISAR EQUIVALENCIA"",
IF(fila=0,""SKU NO ENCONTRADO"",
LET(
valor,INDEX(Referencia!$A$2:$AZ6238,fila,col),
IF(TRIM(TO_TEXT(valor))=TRIM(TO_TEXT(I4151)),"&amp;"
""OK"",
""NO COINCIDE. Valor verdadero: ""&amp;IF(valor="""",""[VACÍO]"",TO_TEXT(valor))
)
))))
),""ERROR EN FÓRMULA""))"),"OK")</f>
        <v>OK</v>
      </c>
    </row>
    <row r="4152">
      <c r="A4152" s="83" t="s">
        <v>4896</v>
      </c>
      <c r="B4152" s="83" t="s">
        <v>4897</v>
      </c>
      <c r="C4152" s="81" t="s">
        <v>4086</v>
      </c>
      <c r="D4152" s="83" t="s">
        <v>4759</v>
      </c>
      <c r="E4152" s="81" t="s">
        <v>3646</v>
      </c>
      <c r="F4152" s="81">
        <v>690.0</v>
      </c>
      <c r="G4152" s="81" t="s">
        <v>3</v>
      </c>
      <c r="H4152" s="81" t="s">
        <v>376</v>
      </c>
      <c r="I4152" s="81" t="s">
        <v>344</v>
      </c>
      <c r="J4152" s="81" t="s">
        <v>224</v>
      </c>
      <c r="K4152" s="81" t="str">
        <f>IFERROR(__xludf.DUMMYFUNCTION("IF(OR(D4152="""",G4152=""""),"""",IFERROR(LET(
campo,XLOOKUP(TRIM(G4152),ARRAYFORMULA(TRIM('indice columnas'!$A$2:$A$100)),'indice columnas'!$B$2:$B$100,""""),
col,IFERROR(MATCH(campo,Referencia!$A$1:$AZ$1,0),0),
fila,IFERROR(MATCH(TO_TEXT(D4152),ARRAYFOR"&amp;"MULA(TO_TEXT(Referencia!$A$2:$A6238)),0),0),
IF(OR(campo="""",campo=""-""),""NO APLICA"",
IF(col=0,""REVISAR EQUIVALENCIA"",
IF(fila=0,""SKU NO ENCONTRADO"",
LET(
valor,INDEX(Referencia!$A$2:$AZ6238,fila,col),
IF(TRIM(TO_TEXT(valor))=TRIM(TO_TEXT(I4152)),"&amp;"
""OK"",
""NO COINCIDE. Valor verdadero: ""&amp;IF(valor="""",""[VACÍO]"",TO_TEXT(valor))
)
))))
),""ERROR EN FÓRMULA""))"),"OK")</f>
        <v>OK</v>
      </c>
    </row>
    <row r="4153">
      <c r="A4153" s="83" t="s">
        <v>4896</v>
      </c>
      <c r="B4153" s="83" t="s">
        <v>4897</v>
      </c>
      <c r="C4153" s="81" t="s">
        <v>4086</v>
      </c>
      <c r="D4153" s="83" t="s">
        <v>4760</v>
      </c>
      <c r="E4153" s="81" t="s">
        <v>3652</v>
      </c>
      <c r="F4153" s="81">
        <v>692.0</v>
      </c>
      <c r="G4153" s="81" t="s">
        <v>3</v>
      </c>
      <c r="H4153" s="81" t="s">
        <v>376</v>
      </c>
      <c r="I4153" s="81" t="s">
        <v>344</v>
      </c>
      <c r="J4153" s="81" t="s">
        <v>224</v>
      </c>
      <c r="K4153" s="81" t="str">
        <f>IFERROR(__xludf.DUMMYFUNCTION("IF(OR(D4153="""",G4153=""""),"""",IFERROR(LET(
campo,XLOOKUP(TRIM(G4153),ARRAYFORMULA(TRIM('indice columnas'!$A$2:$A$100)),'indice columnas'!$B$2:$B$100,""""),
col,IFERROR(MATCH(campo,Referencia!$A$1:$AZ$1,0),0),
fila,IFERROR(MATCH(TO_TEXT(D4153),ARRAYFOR"&amp;"MULA(TO_TEXT(Referencia!$A$2:$A6238)),0),0),
IF(OR(campo="""",campo=""-""),""NO APLICA"",
IF(col=0,""REVISAR EQUIVALENCIA"",
IF(fila=0,""SKU NO ENCONTRADO"",
LET(
valor,INDEX(Referencia!$A$2:$AZ6238,fila,col),
IF(TRIM(TO_TEXT(valor))=TRIM(TO_TEXT(I4153)),"&amp;"
""OK"",
""NO COINCIDE. Valor verdadero: ""&amp;IF(valor="""",""[VACÍO]"",TO_TEXT(valor))
)
))))
),""ERROR EN FÓRMULA""))"),"OK")</f>
        <v>OK</v>
      </c>
    </row>
    <row r="4154">
      <c r="A4154" s="83" t="s">
        <v>4896</v>
      </c>
      <c r="B4154" s="83" t="s">
        <v>4897</v>
      </c>
      <c r="C4154" s="81" t="s">
        <v>4086</v>
      </c>
      <c r="D4154" s="83" t="s">
        <v>4761</v>
      </c>
      <c r="E4154" s="81" t="s">
        <v>3653</v>
      </c>
      <c r="F4154" s="81">
        <v>693.0</v>
      </c>
      <c r="G4154" s="81" t="s">
        <v>3</v>
      </c>
      <c r="H4154" s="81" t="s">
        <v>376</v>
      </c>
      <c r="I4154" s="81" t="s">
        <v>344</v>
      </c>
      <c r="J4154" s="81" t="s">
        <v>224</v>
      </c>
      <c r="K4154" s="81" t="str">
        <f>IFERROR(__xludf.DUMMYFUNCTION("IF(OR(D4154="""",G4154=""""),"""",IFERROR(LET(
campo,XLOOKUP(TRIM(G4154),ARRAYFORMULA(TRIM('indice columnas'!$A$2:$A$100)),'indice columnas'!$B$2:$B$100,""""),
col,IFERROR(MATCH(campo,Referencia!$A$1:$AZ$1,0),0),
fila,IFERROR(MATCH(TO_TEXT(D4154),ARRAYFOR"&amp;"MULA(TO_TEXT(Referencia!$A$2:$A6238)),0),0),
IF(OR(campo="""",campo=""-""),""NO APLICA"",
IF(col=0,""REVISAR EQUIVALENCIA"",
IF(fila=0,""SKU NO ENCONTRADO"",
LET(
valor,INDEX(Referencia!$A$2:$AZ6238,fila,col),
IF(TRIM(TO_TEXT(valor))=TRIM(TO_TEXT(I4154)),"&amp;"
""OK"",
""NO COINCIDE. Valor verdadero: ""&amp;IF(valor="""",""[VACÍO]"",TO_TEXT(valor))
)
))))
),""ERROR EN FÓRMULA""))"),"OK")</f>
        <v>OK</v>
      </c>
    </row>
    <row r="4155">
      <c r="A4155" s="83" t="s">
        <v>4896</v>
      </c>
      <c r="B4155" s="83" t="s">
        <v>4897</v>
      </c>
      <c r="C4155" s="81" t="s">
        <v>4086</v>
      </c>
      <c r="D4155" s="83" t="s">
        <v>4762</v>
      </c>
      <c r="E4155" s="81" t="s">
        <v>3656</v>
      </c>
      <c r="F4155" s="81">
        <v>694.0</v>
      </c>
      <c r="G4155" s="81" t="s">
        <v>3</v>
      </c>
      <c r="H4155" s="81" t="s">
        <v>376</v>
      </c>
      <c r="I4155" s="81" t="s">
        <v>344</v>
      </c>
      <c r="J4155" s="81" t="s">
        <v>224</v>
      </c>
      <c r="K4155" s="81" t="str">
        <f>IFERROR(__xludf.DUMMYFUNCTION("IF(OR(D4155="""",G4155=""""),"""",IFERROR(LET(
campo,XLOOKUP(TRIM(G4155),ARRAYFORMULA(TRIM('indice columnas'!$A$2:$A$100)),'indice columnas'!$B$2:$B$100,""""),
col,IFERROR(MATCH(campo,Referencia!$A$1:$AZ$1,0),0),
fila,IFERROR(MATCH(TO_TEXT(D4155),ARRAYFOR"&amp;"MULA(TO_TEXT(Referencia!$A$2:$A6238)),0),0),
IF(OR(campo="""",campo=""-""),""NO APLICA"",
IF(col=0,""REVISAR EQUIVALENCIA"",
IF(fila=0,""SKU NO ENCONTRADO"",
LET(
valor,INDEX(Referencia!$A$2:$AZ6238,fila,col),
IF(TRIM(TO_TEXT(valor))=TRIM(TO_TEXT(I4155)),"&amp;"
""OK"",
""NO COINCIDE. Valor verdadero: ""&amp;IF(valor="""",""[VACÍO]"",TO_TEXT(valor))
)
))))
),""ERROR EN FÓRMULA""))"),"OK")</f>
        <v>OK</v>
      </c>
    </row>
    <row r="4156">
      <c r="A4156" s="83" t="s">
        <v>4896</v>
      </c>
      <c r="B4156" s="83" t="s">
        <v>4897</v>
      </c>
      <c r="C4156" s="81" t="s">
        <v>4086</v>
      </c>
      <c r="D4156" s="83" t="s">
        <v>4763</v>
      </c>
      <c r="E4156" s="81" t="s">
        <v>3659</v>
      </c>
      <c r="F4156" s="81">
        <v>695.0</v>
      </c>
      <c r="G4156" s="81" t="s">
        <v>3</v>
      </c>
      <c r="H4156" s="81" t="s">
        <v>376</v>
      </c>
      <c r="I4156" s="81" t="s">
        <v>344</v>
      </c>
      <c r="J4156" s="81" t="s">
        <v>224</v>
      </c>
      <c r="K4156" s="81" t="str">
        <f>IFERROR(__xludf.DUMMYFUNCTION("IF(OR(D4156="""",G4156=""""),"""",IFERROR(LET(
campo,XLOOKUP(TRIM(G4156),ARRAYFORMULA(TRIM('indice columnas'!$A$2:$A$100)),'indice columnas'!$B$2:$B$100,""""),
col,IFERROR(MATCH(campo,Referencia!$A$1:$AZ$1,0),0),
fila,IFERROR(MATCH(TO_TEXT(D4156),ARRAYFOR"&amp;"MULA(TO_TEXT(Referencia!$A$2:$A6238)),0),0),
IF(OR(campo="""",campo=""-""),""NO APLICA"",
IF(col=0,""REVISAR EQUIVALENCIA"",
IF(fila=0,""SKU NO ENCONTRADO"",
LET(
valor,INDEX(Referencia!$A$2:$AZ6238,fila,col),
IF(TRIM(TO_TEXT(valor))=TRIM(TO_TEXT(I4156)),"&amp;"
""OK"",
""NO COINCIDE. Valor verdadero: ""&amp;IF(valor="""",""[VACÍO]"",TO_TEXT(valor))
)
))))
),""ERROR EN FÓRMULA""))"),"OK")</f>
        <v>OK</v>
      </c>
    </row>
    <row r="4157">
      <c r="A4157" s="83" t="s">
        <v>4896</v>
      </c>
      <c r="B4157" s="83" t="s">
        <v>4897</v>
      </c>
      <c r="C4157" s="81" t="s">
        <v>4086</v>
      </c>
      <c r="D4157" s="83" t="s">
        <v>4764</v>
      </c>
      <c r="E4157" s="81" t="s">
        <v>3672</v>
      </c>
      <c r="F4157" s="81">
        <v>697.0</v>
      </c>
      <c r="G4157" s="81" t="s">
        <v>3</v>
      </c>
      <c r="H4157" s="81" t="s">
        <v>376</v>
      </c>
      <c r="I4157" s="81" t="s">
        <v>344</v>
      </c>
      <c r="J4157" s="81" t="s">
        <v>224</v>
      </c>
      <c r="K4157" s="81" t="str">
        <f>IFERROR(__xludf.DUMMYFUNCTION("IF(OR(D4157="""",G4157=""""),"""",IFERROR(LET(
campo,XLOOKUP(TRIM(G4157),ARRAYFORMULA(TRIM('indice columnas'!$A$2:$A$100)),'indice columnas'!$B$2:$B$100,""""),
col,IFERROR(MATCH(campo,Referencia!$A$1:$AZ$1,0),0),
fila,IFERROR(MATCH(TO_TEXT(D4157),ARRAYFOR"&amp;"MULA(TO_TEXT(Referencia!$A$2:$A6238)),0),0),
IF(OR(campo="""",campo=""-""),""NO APLICA"",
IF(col=0,""REVISAR EQUIVALENCIA"",
IF(fila=0,""SKU NO ENCONTRADO"",
LET(
valor,INDEX(Referencia!$A$2:$AZ6238,fila,col),
IF(TRIM(TO_TEXT(valor))=TRIM(TO_TEXT(I4157)),"&amp;"
""OK"",
""NO COINCIDE. Valor verdadero: ""&amp;IF(valor="""",""[VACÍO]"",TO_TEXT(valor))
)
))))
),""ERROR EN FÓRMULA""))"),"OK")</f>
        <v>OK</v>
      </c>
    </row>
    <row r="4158">
      <c r="A4158" s="83" t="s">
        <v>4896</v>
      </c>
      <c r="B4158" s="83" t="s">
        <v>4897</v>
      </c>
      <c r="C4158" s="81" t="s">
        <v>4086</v>
      </c>
      <c r="D4158" s="83" t="s">
        <v>4765</v>
      </c>
      <c r="E4158" s="81" t="s">
        <v>3673</v>
      </c>
      <c r="F4158" s="81">
        <v>698.0</v>
      </c>
      <c r="G4158" s="81" t="s">
        <v>3</v>
      </c>
      <c r="H4158" s="81" t="s">
        <v>376</v>
      </c>
      <c r="I4158" s="81" t="s">
        <v>344</v>
      </c>
      <c r="J4158" s="81" t="s">
        <v>224</v>
      </c>
      <c r="K4158" s="81" t="str">
        <f>IFERROR(__xludf.DUMMYFUNCTION("IF(OR(D4158="""",G4158=""""),"""",IFERROR(LET(
campo,XLOOKUP(TRIM(G4158),ARRAYFORMULA(TRIM('indice columnas'!$A$2:$A$100)),'indice columnas'!$B$2:$B$100,""""),
col,IFERROR(MATCH(campo,Referencia!$A$1:$AZ$1,0),0),
fila,IFERROR(MATCH(TO_TEXT(D4158),ARRAYFOR"&amp;"MULA(TO_TEXT(Referencia!$A$2:$A6238)),0),0),
IF(OR(campo="""",campo=""-""),""NO APLICA"",
IF(col=0,""REVISAR EQUIVALENCIA"",
IF(fila=0,""SKU NO ENCONTRADO"",
LET(
valor,INDEX(Referencia!$A$2:$AZ6238,fila,col),
IF(TRIM(TO_TEXT(valor))=TRIM(TO_TEXT(I4158)),"&amp;"
""OK"",
""NO COINCIDE. Valor verdadero: ""&amp;IF(valor="""",""[VACÍO]"",TO_TEXT(valor))
)
))))
),""ERROR EN FÓRMULA""))"),"OK")</f>
        <v>OK</v>
      </c>
    </row>
    <row r="4159">
      <c r="A4159" s="83" t="s">
        <v>4896</v>
      </c>
      <c r="B4159" s="83" t="s">
        <v>4897</v>
      </c>
      <c r="C4159" s="81" t="s">
        <v>4086</v>
      </c>
      <c r="D4159" s="83" t="s">
        <v>4766</v>
      </c>
      <c r="E4159" s="81" t="s">
        <v>3676</v>
      </c>
      <c r="F4159" s="81">
        <v>699.0</v>
      </c>
      <c r="G4159" s="81" t="s">
        <v>3</v>
      </c>
      <c r="H4159" s="81" t="s">
        <v>376</v>
      </c>
      <c r="I4159" s="81" t="s">
        <v>344</v>
      </c>
      <c r="J4159" s="81" t="s">
        <v>224</v>
      </c>
      <c r="K4159" s="81" t="str">
        <f>IFERROR(__xludf.DUMMYFUNCTION("IF(OR(D4159="""",G4159=""""),"""",IFERROR(LET(
campo,XLOOKUP(TRIM(G4159),ARRAYFORMULA(TRIM('indice columnas'!$A$2:$A$100)),'indice columnas'!$B$2:$B$100,""""),
col,IFERROR(MATCH(campo,Referencia!$A$1:$AZ$1,0),0),
fila,IFERROR(MATCH(TO_TEXT(D4159),ARRAYFOR"&amp;"MULA(TO_TEXT(Referencia!$A$2:$A6238)),0),0),
IF(OR(campo="""",campo=""-""),""NO APLICA"",
IF(col=0,""REVISAR EQUIVALENCIA"",
IF(fila=0,""SKU NO ENCONTRADO"",
LET(
valor,INDEX(Referencia!$A$2:$AZ6238,fila,col),
IF(TRIM(TO_TEXT(valor))=TRIM(TO_TEXT(I4159)),"&amp;"
""OK"",
""NO COINCIDE. Valor verdadero: ""&amp;IF(valor="""",""[VACÍO]"",TO_TEXT(valor))
)
))))
),""ERROR EN FÓRMULA""))"),"OK")</f>
        <v>OK</v>
      </c>
    </row>
    <row r="4160">
      <c r="A4160" s="83" t="s">
        <v>4896</v>
      </c>
      <c r="B4160" s="83" t="s">
        <v>4897</v>
      </c>
      <c r="C4160" s="81" t="s">
        <v>4086</v>
      </c>
      <c r="D4160" s="83" t="s">
        <v>4767</v>
      </c>
      <c r="E4160" s="81" t="s">
        <v>3679</v>
      </c>
      <c r="F4160" s="81">
        <v>700.0</v>
      </c>
      <c r="G4160" s="81" t="s">
        <v>3</v>
      </c>
      <c r="H4160" s="81" t="s">
        <v>376</v>
      </c>
      <c r="I4160" s="81" t="s">
        <v>344</v>
      </c>
      <c r="J4160" s="81" t="s">
        <v>224</v>
      </c>
      <c r="K4160" s="81" t="str">
        <f>IFERROR(__xludf.DUMMYFUNCTION("IF(OR(D4160="""",G4160=""""),"""",IFERROR(LET(
campo,XLOOKUP(TRIM(G4160),ARRAYFORMULA(TRIM('indice columnas'!$A$2:$A$100)),'indice columnas'!$B$2:$B$100,""""),
col,IFERROR(MATCH(campo,Referencia!$A$1:$AZ$1,0),0),
fila,IFERROR(MATCH(TO_TEXT(D4160),ARRAYFOR"&amp;"MULA(TO_TEXT(Referencia!$A$2:$A6238)),0),0),
IF(OR(campo="""",campo=""-""),""NO APLICA"",
IF(col=0,""REVISAR EQUIVALENCIA"",
IF(fila=0,""SKU NO ENCONTRADO"",
LET(
valor,INDEX(Referencia!$A$2:$AZ6238,fila,col),
IF(TRIM(TO_TEXT(valor))=TRIM(TO_TEXT(I4160)),"&amp;"
""OK"",
""NO COINCIDE. Valor verdadero: ""&amp;IF(valor="""",""[VACÍO]"",TO_TEXT(valor))
)
))))
),""ERROR EN FÓRMULA""))"),"OK")</f>
        <v>OK</v>
      </c>
    </row>
    <row r="4161">
      <c r="A4161" s="83" t="s">
        <v>4896</v>
      </c>
      <c r="B4161" s="83" t="s">
        <v>4897</v>
      </c>
      <c r="C4161" s="81" t="s">
        <v>4086</v>
      </c>
      <c r="D4161" s="83" t="s">
        <v>4768</v>
      </c>
      <c r="E4161" s="81" t="s">
        <v>3682</v>
      </c>
      <c r="F4161" s="81">
        <v>701.0</v>
      </c>
      <c r="G4161" s="81" t="s">
        <v>3</v>
      </c>
      <c r="H4161" s="81" t="s">
        <v>376</v>
      </c>
      <c r="I4161" s="81" t="s">
        <v>344</v>
      </c>
      <c r="J4161" s="81" t="s">
        <v>224</v>
      </c>
      <c r="K4161" s="81" t="str">
        <f>IFERROR(__xludf.DUMMYFUNCTION("IF(OR(D4161="""",G4161=""""),"""",IFERROR(LET(
campo,XLOOKUP(TRIM(G4161),ARRAYFORMULA(TRIM('indice columnas'!$A$2:$A$100)),'indice columnas'!$B$2:$B$100,""""),
col,IFERROR(MATCH(campo,Referencia!$A$1:$AZ$1,0),0),
fila,IFERROR(MATCH(TO_TEXT(D4161),ARRAYFOR"&amp;"MULA(TO_TEXT(Referencia!$A$2:$A6238)),0),0),
IF(OR(campo="""",campo=""-""),""NO APLICA"",
IF(col=0,""REVISAR EQUIVALENCIA"",
IF(fila=0,""SKU NO ENCONTRADO"",
LET(
valor,INDEX(Referencia!$A$2:$AZ6238,fila,col),
IF(TRIM(TO_TEXT(valor))=TRIM(TO_TEXT(I4161)),"&amp;"
""OK"",
""NO COINCIDE. Valor verdadero: ""&amp;IF(valor="""",""[VACÍO]"",TO_TEXT(valor))
)
))))
),""ERROR EN FÓRMULA""))"),"OK")</f>
        <v>OK</v>
      </c>
    </row>
    <row r="4162">
      <c r="A4162" s="83" t="s">
        <v>4896</v>
      </c>
      <c r="B4162" s="83" t="s">
        <v>4897</v>
      </c>
      <c r="C4162" s="81" t="s">
        <v>4086</v>
      </c>
      <c r="D4162" s="83" t="s">
        <v>4769</v>
      </c>
      <c r="E4162" s="81" t="s">
        <v>3685</v>
      </c>
      <c r="F4162" s="81">
        <v>702.0</v>
      </c>
      <c r="G4162" s="81" t="s">
        <v>3</v>
      </c>
      <c r="H4162" s="81" t="s">
        <v>376</v>
      </c>
      <c r="I4162" s="81" t="s">
        <v>344</v>
      </c>
      <c r="J4162" s="81" t="s">
        <v>224</v>
      </c>
      <c r="K4162" s="81" t="str">
        <f>IFERROR(__xludf.DUMMYFUNCTION("IF(OR(D4162="""",G4162=""""),"""",IFERROR(LET(
campo,XLOOKUP(TRIM(G4162),ARRAYFORMULA(TRIM('indice columnas'!$A$2:$A$100)),'indice columnas'!$B$2:$B$100,""""),
col,IFERROR(MATCH(campo,Referencia!$A$1:$AZ$1,0),0),
fila,IFERROR(MATCH(TO_TEXT(D4162),ARRAYFOR"&amp;"MULA(TO_TEXT(Referencia!$A$2:$A6238)),0),0),
IF(OR(campo="""",campo=""-""),""NO APLICA"",
IF(col=0,""REVISAR EQUIVALENCIA"",
IF(fila=0,""SKU NO ENCONTRADO"",
LET(
valor,INDEX(Referencia!$A$2:$AZ6238,fila,col),
IF(TRIM(TO_TEXT(valor))=TRIM(TO_TEXT(I4162)),"&amp;"
""OK"",
""NO COINCIDE. Valor verdadero: ""&amp;IF(valor="""",""[VACÍO]"",TO_TEXT(valor))
)
))))
),""ERROR EN FÓRMULA""))"),"OK")</f>
        <v>OK</v>
      </c>
    </row>
    <row r="4163">
      <c r="A4163" s="83" t="s">
        <v>4896</v>
      </c>
      <c r="B4163" s="83" t="s">
        <v>4897</v>
      </c>
      <c r="C4163" s="81" t="s">
        <v>4086</v>
      </c>
      <c r="D4163" s="83" t="s">
        <v>4770</v>
      </c>
      <c r="E4163" s="81" t="s">
        <v>3697</v>
      </c>
      <c r="F4163" s="81">
        <v>704.0</v>
      </c>
      <c r="G4163" s="81" t="s">
        <v>3</v>
      </c>
      <c r="H4163" s="81" t="s">
        <v>376</v>
      </c>
      <c r="I4163" s="81" t="s">
        <v>344</v>
      </c>
      <c r="J4163" s="81" t="s">
        <v>224</v>
      </c>
      <c r="K4163" s="81" t="str">
        <f>IFERROR(__xludf.DUMMYFUNCTION("IF(OR(D4163="""",G4163=""""),"""",IFERROR(LET(
campo,XLOOKUP(TRIM(G4163),ARRAYFORMULA(TRIM('indice columnas'!$A$2:$A$100)),'indice columnas'!$B$2:$B$100,""""),
col,IFERROR(MATCH(campo,Referencia!$A$1:$AZ$1,0),0),
fila,IFERROR(MATCH(TO_TEXT(D4163),ARRAYFOR"&amp;"MULA(TO_TEXT(Referencia!$A$2:$A6238)),0),0),
IF(OR(campo="""",campo=""-""),""NO APLICA"",
IF(col=0,""REVISAR EQUIVALENCIA"",
IF(fila=0,""SKU NO ENCONTRADO"",
LET(
valor,INDEX(Referencia!$A$2:$AZ6238,fila,col),
IF(TRIM(TO_TEXT(valor))=TRIM(TO_TEXT(I4163)),"&amp;"
""OK"",
""NO COINCIDE. Valor verdadero: ""&amp;IF(valor="""",""[VACÍO]"",TO_TEXT(valor))
)
))))
),""ERROR EN FÓRMULA""))"),"OK")</f>
        <v>OK</v>
      </c>
    </row>
    <row r="4164">
      <c r="A4164" s="83" t="s">
        <v>4896</v>
      </c>
      <c r="B4164" s="83" t="s">
        <v>4897</v>
      </c>
      <c r="C4164" s="81" t="s">
        <v>4086</v>
      </c>
      <c r="D4164" s="83" t="s">
        <v>4771</v>
      </c>
      <c r="E4164" s="81" t="s">
        <v>3698</v>
      </c>
      <c r="F4164" s="81">
        <v>705.0</v>
      </c>
      <c r="G4164" s="81" t="s">
        <v>3</v>
      </c>
      <c r="H4164" s="81" t="s">
        <v>376</v>
      </c>
      <c r="I4164" s="81" t="s">
        <v>344</v>
      </c>
      <c r="J4164" s="81" t="s">
        <v>224</v>
      </c>
      <c r="K4164" s="81" t="str">
        <f>IFERROR(__xludf.DUMMYFUNCTION("IF(OR(D4164="""",G4164=""""),"""",IFERROR(LET(
campo,XLOOKUP(TRIM(G4164),ARRAYFORMULA(TRIM('indice columnas'!$A$2:$A$100)),'indice columnas'!$B$2:$B$100,""""),
col,IFERROR(MATCH(campo,Referencia!$A$1:$AZ$1,0),0),
fila,IFERROR(MATCH(TO_TEXT(D4164),ARRAYFOR"&amp;"MULA(TO_TEXT(Referencia!$A$2:$A6238)),0),0),
IF(OR(campo="""",campo=""-""),""NO APLICA"",
IF(col=0,""REVISAR EQUIVALENCIA"",
IF(fila=0,""SKU NO ENCONTRADO"",
LET(
valor,INDEX(Referencia!$A$2:$AZ6238,fila,col),
IF(TRIM(TO_TEXT(valor))=TRIM(TO_TEXT(I4164)),"&amp;"
""OK"",
""NO COINCIDE. Valor verdadero: ""&amp;IF(valor="""",""[VACÍO]"",TO_TEXT(valor))
)
))))
),""ERROR EN FÓRMULA""))"),"OK")</f>
        <v>OK</v>
      </c>
    </row>
    <row r="4165">
      <c r="A4165" s="83" t="s">
        <v>4896</v>
      </c>
      <c r="B4165" s="83" t="s">
        <v>4897</v>
      </c>
      <c r="C4165" s="81" t="s">
        <v>4086</v>
      </c>
      <c r="D4165" s="83" t="s">
        <v>4772</v>
      </c>
      <c r="E4165" s="81" t="s">
        <v>3701</v>
      </c>
      <c r="F4165" s="81">
        <v>706.0</v>
      </c>
      <c r="G4165" s="81" t="s">
        <v>3</v>
      </c>
      <c r="H4165" s="81" t="s">
        <v>376</v>
      </c>
      <c r="I4165" s="81" t="s">
        <v>344</v>
      </c>
      <c r="J4165" s="81" t="s">
        <v>224</v>
      </c>
      <c r="K4165" s="81" t="str">
        <f>IFERROR(__xludf.DUMMYFUNCTION("IF(OR(D4165="""",G4165=""""),"""",IFERROR(LET(
campo,XLOOKUP(TRIM(G4165),ARRAYFORMULA(TRIM('indice columnas'!$A$2:$A$100)),'indice columnas'!$B$2:$B$100,""""),
col,IFERROR(MATCH(campo,Referencia!$A$1:$AZ$1,0),0),
fila,IFERROR(MATCH(TO_TEXT(D4165),ARRAYFOR"&amp;"MULA(TO_TEXT(Referencia!$A$2:$A6238)),0),0),
IF(OR(campo="""",campo=""-""),""NO APLICA"",
IF(col=0,""REVISAR EQUIVALENCIA"",
IF(fila=0,""SKU NO ENCONTRADO"",
LET(
valor,INDEX(Referencia!$A$2:$AZ6238,fila,col),
IF(TRIM(TO_TEXT(valor))=TRIM(TO_TEXT(I4165)),"&amp;"
""OK"",
""NO COINCIDE. Valor verdadero: ""&amp;IF(valor="""",""[VACÍO]"",TO_TEXT(valor))
)
))))
),""ERROR EN FÓRMULA""))"),"OK")</f>
        <v>OK</v>
      </c>
    </row>
    <row r="4166">
      <c r="A4166" s="83" t="s">
        <v>4896</v>
      </c>
      <c r="B4166" s="83" t="s">
        <v>4897</v>
      </c>
      <c r="C4166" s="81" t="s">
        <v>4086</v>
      </c>
      <c r="D4166" s="83" t="s">
        <v>4773</v>
      </c>
      <c r="E4166" s="81" t="s">
        <v>3704</v>
      </c>
      <c r="F4166" s="81">
        <v>707.0</v>
      </c>
      <c r="G4166" s="81" t="s">
        <v>3</v>
      </c>
      <c r="H4166" s="81" t="s">
        <v>376</v>
      </c>
      <c r="I4166" s="81" t="s">
        <v>344</v>
      </c>
      <c r="J4166" s="81" t="s">
        <v>224</v>
      </c>
      <c r="K4166" s="81" t="str">
        <f>IFERROR(__xludf.DUMMYFUNCTION("IF(OR(D4166="""",G4166=""""),"""",IFERROR(LET(
campo,XLOOKUP(TRIM(G4166),ARRAYFORMULA(TRIM('indice columnas'!$A$2:$A$100)),'indice columnas'!$B$2:$B$100,""""),
col,IFERROR(MATCH(campo,Referencia!$A$1:$AZ$1,0),0),
fila,IFERROR(MATCH(TO_TEXT(D4166),ARRAYFOR"&amp;"MULA(TO_TEXT(Referencia!$A$2:$A6238)),0),0),
IF(OR(campo="""",campo=""-""),""NO APLICA"",
IF(col=0,""REVISAR EQUIVALENCIA"",
IF(fila=0,""SKU NO ENCONTRADO"",
LET(
valor,INDEX(Referencia!$A$2:$AZ6238,fila,col),
IF(TRIM(TO_TEXT(valor))=TRIM(TO_TEXT(I4166)),"&amp;"
""OK"",
""NO COINCIDE. Valor verdadero: ""&amp;IF(valor="""",""[VACÍO]"",TO_TEXT(valor))
)
))))
),""ERROR EN FÓRMULA""))"),"OK")</f>
        <v>OK</v>
      </c>
    </row>
    <row r="4167">
      <c r="A4167" s="83" t="s">
        <v>4896</v>
      </c>
      <c r="B4167" s="83" t="s">
        <v>4897</v>
      </c>
      <c r="C4167" s="81" t="s">
        <v>4086</v>
      </c>
      <c r="D4167" s="83" t="s">
        <v>4774</v>
      </c>
      <c r="E4167" s="81" t="s">
        <v>3707</v>
      </c>
      <c r="F4167" s="81">
        <v>708.0</v>
      </c>
      <c r="G4167" s="81" t="s">
        <v>3</v>
      </c>
      <c r="H4167" s="81" t="s">
        <v>376</v>
      </c>
      <c r="I4167" s="81" t="s">
        <v>344</v>
      </c>
      <c r="J4167" s="81" t="s">
        <v>224</v>
      </c>
      <c r="K4167" s="81" t="str">
        <f>IFERROR(__xludf.DUMMYFUNCTION("IF(OR(D4167="""",G4167=""""),"""",IFERROR(LET(
campo,XLOOKUP(TRIM(G4167),ARRAYFORMULA(TRIM('indice columnas'!$A$2:$A$100)),'indice columnas'!$B$2:$B$100,""""),
col,IFERROR(MATCH(campo,Referencia!$A$1:$AZ$1,0),0),
fila,IFERROR(MATCH(TO_TEXT(D4167),ARRAYFOR"&amp;"MULA(TO_TEXT(Referencia!$A$2:$A6238)),0),0),
IF(OR(campo="""",campo=""-""),""NO APLICA"",
IF(col=0,""REVISAR EQUIVALENCIA"",
IF(fila=0,""SKU NO ENCONTRADO"",
LET(
valor,INDEX(Referencia!$A$2:$AZ6238,fila,col),
IF(TRIM(TO_TEXT(valor))=TRIM(TO_TEXT(I4167)),"&amp;"
""OK"",
""NO COINCIDE. Valor verdadero: ""&amp;IF(valor="""",""[VACÍO]"",TO_TEXT(valor))
)
))))
),""ERROR EN FÓRMULA""))"),"OK")</f>
        <v>OK</v>
      </c>
    </row>
    <row r="4168">
      <c r="A4168" s="83" t="s">
        <v>4896</v>
      </c>
      <c r="B4168" s="83" t="s">
        <v>4897</v>
      </c>
      <c r="C4168" s="81" t="s">
        <v>4086</v>
      </c>
      <c r="D4168" s="83" t="s">
        <v>4775</v>
      </c>
      <c r="E4168" s="81" t="s">
        <v>3710</v>
      </c>
      <c r="F4168" s="81">
        <v>709.0</v>
      </c>
      <c r="G4168" s="81" t="s">
        <v>3</v>
      </c>
      <c r="H4168" s="81" t="s">
        <v>376</v>
      </c>
      <c r="I4168" s="81" t="s">
        <v>344</v>
      </c>
      <c r="J4168" s="81" t="s">
        <v>224</v>
      </c>
      <c r="K4168" s="81" t="str">
        <f>IFERROR(__xludf.DUMMYFUNCTION("IF(OR(D4168="""",G4168=""""),"""",IFERROR(LET(
campo,XLOOKUP(TRIM(G4168),ARRAYFORMULA(TRIM('indice columnas'!$A$2:$A$100)),'indice columnas'!$B$2:$B$100,""""),
col,IFERROR(MATCH(campo,Referencia!$A$1:$AZ$1,0),0),
fila,IFERROR(MATCH(TO_TEXT(D4168),ARRAYFOR"&amp;"MULA(TO_TEXT(Referencia!$A$2:$A6238)),0),0),
IF(OR(campo="""",campo=""-""),""NO APLICA"",
IF(col=0,""REVISAR EQUIVALENCIA"",
IF(fila=0,""SKU NO ENCONTRADO"",
LET(
valor,INDEX(Referencia!$A$2:$AZ6238,fila,col),
IF(TRIM(TO_TEXT(valor))=TRIM(TO_TEXT(I4168)),"&amp;"
""OK"",
""NO COINCIDE. Valor verdadero: ""&amp;IF(valor="""",""[VACÍO]"",TO_TEXT(valor))
)
))))
),""ERROR EN FÓRMULA""))"),"OK")</f>
        <v>OK</v>
      </c>
    </row>
    <row r="4169">
      <c r="A4169" s="83" t="s">
        <v>4896</v>
      </c>
      <c r="B4169" s="83" t="s">
        <v>4897</v>
      </c>
      <c r="C4169" s="81" t="s">
        <v>4086</v>
      </c>
      <c r="D4169" s="83" t="s">
        <v>4777</v>
      </c>
      <c r="E4169" s="81" t="s">
        <v>3730</v>
      </c>
      <c r="F4169" s="81">
        <v>712.0</v>
      </c>
      <c r="G4169" s="81" t="s">
        <v>3</v>
      </c>
      <c r="H4169" s="81" t="s">
        <v>376</v>
      </c>
      <c r="I4169" s="81" t="s">
        <v>344</v>
      </c>
      <c r="J4169" s="81" t="s">
        <v>224</v>
      </c>
      <c r="K4169" s="81" t="str">
        <f>IFERROR(__xludf.DUMMYFUNCTION("IF(OR(D4169="""",G4169=""""),"""",IFERROR(LET(
campo,XLOOKUP(TRIM(G4169),ARRAYFORMULA(TRIM('indice columnas'!$A$2:$A$100)),'indice columnas'!$B$2:$B$100,""""),
col,IFERROR(MATCH(campo,Referencia!$A$1:$AZ$1,0),0),
fila,IFERROR(MATCH(TO_TEXT(D4169),ARRAYFOR"&amp;"MULA(TO_TEXT(Referencia!$A$2:$A6238)),0),0),
IF(OR(campo="""",campo=""-""),""NO APLICA"",
IF(col=0,""REVISAR EQUIVALENCIA"",
IF(fila=0,""SKU NO ENCONTRADO"",
LET(
valor,INDEX(Referencia!$A$2:$AZ6238,fila,col),
IF(TRIM(TO_TEXT(valor))=TRIM(TO_TEXT(I4169)),"&amp;"
""OK"",
""NO COINCIDE. Valor verdadero: ""&amp;IF(valor="""",""[VACÍO]"",TO_TEXT(valor))
)
))))
),""ERROR EN FÓRMULA""))"),"OK")</f>
        <v>OK</v>
      </c>
    </row>
    <row r="4170">
      <c r="A4170" s="83" t="s">
        <v>4896</v>
      </c>
      <c r="B4170" s="83" t="s">
        <v>4897</v>
      </c>
      <c r="C4170" s="81" t="s">
        <v>4086</v>
      </c>
      <c r="D4170" s="83" t="s">
        <v>4778</v>
      </c>
      <c r="E4170" s="81" t="s">
        <v>3731</v>
      </c>
      <c r="F4170" s="81">
        <v>713.0</v>
      </c>
      <c r="G4170" s="81" t="s">
        <v>3</v>
      </c>
      <c r="H4170" s="81" t="s">
        <v>224</v>
      </c>
      <c r="I4170" s="81" t="s">
        <v>344</v>
      </c>
      <c r="J4170" s="81" t="s">
        <v>224</v>
      </c>
      <c r="K4170" s="81" t="str">
        <f>IFERROR(__xludf.DUMMYFUNCTION("IF(OR(D4170="""",G4170=""""),"""",IFERROR(LET(
campo,XLOOKUP(TRIM(G4170),ARRAYFORMULA(TRIM('indice columnas'!$A$2:$A$100)),'indice columnas'!$B$2:$B$100,""""),
col,IFERROR(MATCH(campo,Referencia!$A$1:$AZ$1,0),0),
fila,IFERROR(MATCH(TO_TEXT(D4170),ARRAYFOR"&amp;"MULA(TO_TEXT(Referencia!$A$2:$A6238)),0),0),
IF(OR(campo="""",campo=""-""),""NO APLICA"",
IF(col=0,""REVISAR EQUIVALENCIA"",
IF(fila=0,""SKU NO ENCONTRADO"",
LET(
valor,INDEX(Referencia!$A$2:$AZ6238,fila,col),
IF(TRIM(TO_TEXT(valor))=TRIM(TO_TEXT(I4170)),"&amp;"
""OK"",
""NO COINCIDE. Valor verdadero: ""&amp;IF(valor="""",""[VACÍO]"",TO_TEXT(valor))
)
))))
),""ERROR EN FÓRMULA""))"),"OK")</f>
        <v>OK</v>
      </c>
    </row>
    <row r="4171">
      <c r="A4171" s="83" t="s">
        <v>4896</v>
      </c>
      <c r="B4171" s="83" t="s">
        <v>4897</v>
      </c>
      <c r="C4171" s="81" t="s">
        <v>4086</v>
      </c>
      <c r="D4171" s="83" t="s">
        <v>4778</v>
      </c>
      <c r="E4171" s="81" t="s">
        <v>3731</v>
      </c>
      <c r="F4171" s="81">
        <v>713.0</v>
      </c>
      <c r="G4171" s="81" t="s">
        <v>2</v>
      </c>
      <c r="H4171" s="81" t="s">
        <v>224</v>
      </c>
      <c r="I4171" s="81" t="s">
        <v>213</v>
      </c>
      <c r="J4171" s="81" t="s">
        <v>224</v>
      </c>
      <c r="K4171" s="81" t="str">
        <f>IFERROR(__xludf.DUMMYFUNCTION("IF(OR(D4171="""",G4171=""""),"""",IFERROR(LET(
campo,XLOOKUP(TRIM(G4171),ARRAYFORMULA(TRIM('indice columnas'!$A$2:$A$100)),'indice columnas'!$B$2:$B$100,""""),
col,IFERROR(MATCH(campo,Referencia!$A$1:$AZ$1,0),0),
fila,IFERROR(MATCH(TO_TEXT(D4171),ARRAYFOR"&amp;"MULA(TO_TEXT(Referencia!$A$2:$A6238)),0),0),
IF(OR(campo="""",campo=""-""),""NO APLICA"",
IF(col=0,""REVISAR EQUIVALENCIA"",
IF(fila=0,""SKU NO ENCONTRADO"",
LET(
valor,INDEX(Referencia!$A$2:$AZ6238,fila,col),
IF(TRIM(TO_TEXT(valor))=TRIM(TO_TEXT(I4171)),"&amp;"
""OK"",
""NO COINCIDE. Valor verdadero: ""&amp;IF(valor="""",""[VACÍO]"",TO_TEXT(valor))
)
))))
),""ERROR EN FÓRMULA""))"),"OK")</f>
        <v>OK</v>
      </c>
    </row>
    <row r="4172">
      <c r="A4172" s="83" t="s">
        <v>4896</v>
      </c>
      <c r="B4172" s="83" t="s">
        <v>4897</v>
      </c>
      <c r="C4172" s="81" t="s">
        <v>4086</v>
      </c>
      <c r="D4172" s="83" t="s">
        <v>4778</v>
      </c>
      <c r="E4172" s="81" t="s">
        <v>3731</v>
      </c>
      <c r="F4172" s="81">
        <v>713.0</v>
      </c>
      <c r="G4172" s="81" t="s">
        <v>1</v>
      </c>
      <c r="H4172" s="81" t="s">
        <v>224</v>
      </c>
      <c r="I4172" s="81" t="s">
        <v>49</v>
      </c>
      <c r="J4172" s="81" t="s">
        <v>224</v>
      </c>
      <c r="K4172" s="81" t="str">
        <f>IFERROR(__xludf.DUMMYFUNCTION("IF(OR(D4172="""",G4172=""""),"""",IFERROR(LET(
campo,XLOOKUP(TRIM(G4172),ARRAYFORMULA(TRIM('indice columnas'!$A$2:$A$100)),'indice columnas'!$B$2:$B$100,""""),
col,IFERROR(MATCH(campo,Referencia!$A$1:$AZ$1,0),0),
fila,IFERROR(MATCH(TO_TEXT(D4172),ARRAYFOR"&amp;"MULA(TO_TEXT(Referencia!$A$2:$A6238)),0),0),
IF(OR(campo="""",campo=""-""),""NO APLICA"",
IF(col=0,""REVISAR EQUIVALENCIA"",
IF(fila=0,""SKU NO ENCONTRADO"",
LET(
valor,INDEX(Referencia!$A$2:$AZ6238,fila,col),
IF(TRIM(TO_TEXT(valor))=TRIM(TO_TEXT(I4172)),"&amp;"
""OK"",
""NO COINCIDE. Valor verdadero: ""&amp;IF(valor="""",""[VACÍO]"",TO_TEXT(valor))
)
))))
),""ERROR EN FÓRMULA""))"),"OK")</f>
        <v>OK</v>
      </c>
    </row>
    <row r="4173">
      <c r="A4173" s="83" t="s">
        <v>4896</v>
      </c>
      <c r="B4173" s="83" t="s">
        <v>4897</v>
      </c>
      <c r="C4173" s="81" t="s">
        <v>4086</v>
      </c>
      <c r="D4173" s="83" t="s">
        <v>4779</v>
      </c>
      <c r="E4173" s="81" t="s">
        <v>3746</v>
      </c>
      <c r="F4173" s="81">
        <v>715.0</v>
      </c>
      <c r="G4173" s="81" t="s">
        <v>3</v>
      </c>
      <c r="H4173" s="81" t="s">
        <v>376</v>
      </c>
      <c r="I4173" s="81" t="s">
        <v>344</v>
      </c>
      <c r="J4173" s="81" t="s">
        <v>224</v>
      </c>
      <c r="K4173" s="81" t="str">
        <f>IFERROR(__xludf.DUMMYFUNCTION("IF(OR(D4173="""",G4173=""""),"""",IFERROR(LET(
campo,XLOOKUP(TRIM(G4173),ARRAYFORMULA(TRIM('indice columnas'!$A$2:$A$100)),'indice columnas'!$B$2:$B$100,""""),
col,IFERROR(MATCH(campo,Referencia!$A$1:$AZ$1,0),0),
fila,IFERROR(MATCH(TO_TEXT(D4173),ARRAYFOR"&amp;"MULA(TO_TEXT(Referencia!$A$2:$A6238)),0),0),
IF(OR(campo="""",campo=""-""),""NO APLICA"",
IF(col=0,""REVISAR EQUIVALENCIA"",
IF(fila=0,""SKU NO ENCONTRADO"",
LET(
valor,INDEX(Referencia!$A$2:$AZ6238,fila,col),
IF(TRIM(TO_TEXT(valor))=TRIM(TO_TEXT(I4173)),"&amp;"
""OK"",
""NO COINCIDE. Valor verdadero: ""&amp;IF(valor="""",""[VACÍO]"",TO_TEXT(valor))
)
))))
),""ERROR EN FÓRMULA""))"),"OK")</f>
        <v>OK</v>
      </c>
    </row>
    <row r="4174">
      <c r="A4174" s="83" t="s">
        <v>4896</v>
      </c>
      <c r="B4174" s="83" t="s">
        <v>4897</v>
      </c>
      <c r="C4174" s="81" t="s">
        <v>4086</v>
      </c>
      <c r="D4174" s="83" t="s">
        <v>4780</v>
      </c>
      <c r="E4174" s="81" t="s">
        <v>3747</v>
      </c>
      <c r="F4174" s="81">
        <v>716.0</v>
      </c>
      <c r="G4174" s="81" t="s">
        <v>3</v>
      </c>
      <c r="H4174" s="81" t="s">
        <v>224</v>
      </c>
      <c r="I4174" s="81" t="s">
        <v>344</v>
      </c>
      <c r="J4174" s="81" t="s">
        <v>224</v>
      </c>
      <c r="K4174" s="81" t="str">
        <f>IFERROR(__xludf.DUMMYFUNCTION("IF(OR(D4174="""",G4174=""""),"""",IFERROR(LET(
campo,XLOOKUP(TRIM(G4174),ARRAYFORMULA(TRIM('indice columnas'!$A$2:$A$100)),'indice columnas'!$B$2:$B$100,""""),
col,IFERROR(MATCH(campo,Referencia!$A$1:$AZ$1,0),0),
fila,IFERROR(MATCH(TO_TEXT(D4174),ARRAYFOR"&amp;"MULA(TO_TEXT(Referencia!$A$2:$A6238)),0),0),
IF(OR(campo="""",campo=""-""),""NO APLICA"",
IF(col=0,""REVISAR EQUIVALENCIA"",
IF(fila=0,""SKU NO ENCONTRADO"",
LET(
valor,INDEX(Referencia!$A$2:$AZ6238,fila,col),
IF(TRIM(TO_TEXT(valor))=TRIM(TO_TEXT(I4174)),"&amp;"
""OK"",
""NO COINCIDE. Valor verdadero: ""&amp;IF(valor="""",""[VACÍO]"",TO_TEXT(valor))
)
))))
),""ERROR EN FÓRMULA""))"),"OK")</f>
        <v>OK</v>
      </c>
    </row>
    <row r="4175">
      <c r="A4175" s="83" t="s">
        <v>4896</v>
      </c>
      <c r="B4175" s="83" t="s">
        <v>4897</v>
      </c>
      <c r="C4175" s="81" t="s">
        <v>4086</v>
      </c>
      <c r="D4175" s="83" t="s">
        <v>4780</v>
      </c>
      <c r="E4175" s="81" t="s">
        <v>3747</v>
      </c>
      <c r="F4175" s="81">
        <v>716.0</v>
      </c>
      <c r="G4175" s="81" t="s">
        <v>2</v>
      </c>
      <c r="H4175" s="81" t="s">
        <v>224</v>
      </c>
      <c r="I4175" s="81" t="s">
        <v>213</v>
      </c>
      <c r="J4175" s="81" t="s">
        <v>224</v>
      </c>
      <c r="K4175" s="81" t="str">
        <f>IFERROR(__xludf.DUMMYFUNCTION("IF(OR(D4175="""",G4175=""""),"""",IFERROR(LET(
campo,XLOOKUP(TRIM(G4175),ARRAYFORMULA(TRIM('indice columnas'!$A$2:$A$100)),'indice columnas'!$B$2:$B$100,""""),
col,IFERROR(MATCH(campo,Referencia!$A$1:$AZ$1,0),0),
fila,IFERROR(MATCH(TO_TEXT(D4175),ARRAYFOR"&amp;"MULA(TO_TEXT(Referencia!$A$2:$A6238)),0),0),
IF(OR(campo="""",campo=""-""),""NO APLICA"",
IF(col=0,""REVISAR EQUIVALENCIA"",
IF(fila=0,""SKU NO ENCONTRADO"",
LET(
valor,INDEX(Referencia!$A$2:$AZ6238,fila,col),
IF(TRIM(TO_TEXT(valor))=TRIM(TO_TEXT(I4175)),"&amp;"
""OK"",
""NO COINCIDE. Valor verdadero: ""&amp;IF(valor="""",""[VACÍO]"",TO_TEXT(valor))
)
))))
),""ERROR EN FÓRMULA""))"),"OK")</f>
        <v>OK</v>
      </c>
    </row>
    <row r="4176">
      <c r="A4176" s="83" t="s">
        <v>4896</v>
      </c>
      <c r="B4176" s="83" t="s">
        <v>4897</v>
      </c>
      <c r="C4176" s="81" t="s">
        <v>4086</v>
      </c>
      <c r="D4176" s="83" t="s">
        <v>4780</v>
      </c>
      <c r="E4176" s="81" t="s">
        <v>3747</v>
      </c>
      <c r="F4176" s="81">
        <v>716.0</v>
      </c>
      <c r="G4176" s="81" t="s">
        <v>1</v>
      </c>
      <c r="H4176" s="81" t="s">
        <v>224</v>
      </c>
      <c r="I4176" s="81" t="s">
        <v>49</v>
      </c>
      <c r="J4176" s="81" t="s">
        <v>224</v>
      </c>
      <c r="K4176" s="81" t="str">
        <f>IFERROR(__xludf.DUMMYFUNCTION("IF(OR(D4176="""",G4176=""""),"""",IFERROR(LET(
campo,XLOOKUP(TRIM(G4176),ARRAYFORMULA(TRIM('indice columnas'!$A$2:$A$100)),'indice columnas'!$B$2:$B$100,""""),
col,IFERROR(MATCH(campo,Referencia!$A$1:$AZ$1,0),0),
fila,IFERROR(MATCH(TO_TEXT(D4176),ARRAYFOR"&amp;"MULA(TO_TEXT(Referencia!$A$2:$A6238)),0),0),
IF(OR(campo="""",campo=""-""),""NO APLICA"",
IF(col=0,""REVISAR EQUIVALENCIA"",
IF(fila=0,""SKU NO ENCONTRADO"",
LET(
valor,INDEX(Referencia!$A$2:$AZ6238,fila,col),
IF(TRIM(TO_TEXT(valor))=TRIM(TO_TEXT(I4176)),"&amp;"
""OK"",
""NO COINCIDE. Valor verdadero: ""&amp;IF(valor="""",""[VACÍO]"",TO_TEXT(valor))
)
))))
),""ERROR EN FÓRMULA""))"),"OK")</f>
        <v>OK</v>
      </c>
    </row>
    <row r="4177">
      <c r="A4177" s="83" t="s">
        <v>4896</v>
      </c>
      <c r="B4177" s="83" t="s">
        <v>4897</v>
      </c>
      <c r="C4177" s="81" t="s">
        <v>4086</v>
      </c>
      <c r="D4177" s="83" t="s">
        <v>4781</v>
      </c>
      <c r="E4177" s="81" t="s">
        <v>3761</v>
      </c>
      <c r="F4177" s="81">
        <v>718.0</v>
      </c>
      <c r="G4177" s="81" t="s">
        <v>3</v>
      </c>
      <c r="H4177" s="81" t="s">
        <v>376</v>
      </c>
      <c r="I4177" s="81" t="s">
        <v>344</v>
      </c>
      <c r="J4177" s="81" t="s">
        <v>224</v>
      </c>
      <c r="K4177" s="81" t="str">
        <f>IFERROR(__xludf.DUMMYFUNCTION("IF(OR(D4177="""",G4177=""""),"""",IFERROR(LET(
campo,XLOOKUP(TRIM(G4177),ARRAYFORMULA(TRIM('indice columnas'!$A$2:$A$100)),'indice columnas'!$B$2:$B$100,""""),
col,IFERROR(MATCH(campo,Referencia!$A$1:$AZ$1,0),0),
fila,IFERROR(MATCH(TO_TEXT(D4177),ARRAYFOR"&amp;"MULA(TO_TEXT(Referencia!$A$2:$A6238)),0),0),
IF(OR(campo="""",campo=""-""),""NO APLICA"",
IF(col=0,""REVISAR EQUIVALENCIA"",
IF(fila=0,""SKU NO ENCONTRADO"",
LET(
valor,INDEX(Referencia!$A$2:$AZ6238,fila,col),
IF(TRIM(TO_TEXT(valor))=TRIM(TO_TEXT(I4177)),"&amp;"
""OK"",
""NO COINCIDE. Valor verdadero: ""&amp;IF(valor="""",""[VACÍO]"",TO_TEXT(valor))
)
))))
),""ERROR EN FÓRMULA""))"),"OK")</f>
        <v>OK</v>
      </c>
    </row>
    <row r="4178">
      <c r="A4178" s="83" t="s">
        <v>4896</v>
      </c>
      <c r="B4178" s="83" t="s">
        <v>4897</v>
      </c>
      <c r="C4178" s="81" t="s">
        <v>4086</v>
      </c>
      <c r="D4178" s="83" t="s">
        <v>4782</v>
      </c>
      <c r="E4178" s="81" t="s">
        <v>3762</v>
      </c>
      <c r="F4178" s="81">
        <v>719.0</v>
      </c>
      <c r="G4178" s="81" t="s">
        <v>3</v>
      </c>
      <c r="H4178" s="81" t="s">
        <v>224</v>
      </c>
      <c r="I4178" s="81" t="s">
        <v>344</v>
      </c>
      <c r="J4178" s="81" t="s">
        <v>224</v>
      </c>
      <c r="K4178" s="81" t="str">
        <f>IFERROR(__xludf.DUMMYFUNCTION("IF(OR(D4178="""",G4178=""""),"""",IFERROR(LET(
campo,XLOOKUP(TRIM(G4178),ARRAYFORMULA(TRIM('indice columnas'!$A$2:$A$100)),'indice columnas'!$B$2:$B$100,""""),
col,IFERROR(MATCH(campo,Referencia!$A$1:$AZ$1,0),0),
fila,IFERROR(MATCH(TO_TEXT(D4178),ARRAYFOR"&amp;"MULA(TO_TEXT(Referencia!$A$2:$A6238)),0),0),
IF(OR(campo="""",campo=""-""),""NO APLICA"",
IF(col=0,""REVISAR EQUIVALENCIA"",
IF(fila=0,""SKU NO ENCONTRADO"",
LET(
valor,INDEX(Referencia!$A$2:$AZ6238,fila,col),
IF(TRIM(TO_TEXT(valor))=TRIM(TO_TEXT(I4178)),"&amp;"
""OK"",
""NO COINCIDE. Valor verdadero: ""&amp;IF(valor="""",""[VACÍO]"",TO_TEXT(valor))
)
))))
),""ERROR EN FÓRMULA""))"),"OK")</f>
        <v>OK</v>
      </c>
    </row>
    <row r="4179">
      <c r="A4179" s="83" t="s">
        <v>4896</v>
      </c>
      <c r="B4179" s="83" t="s">
        <v>4897</v>
      </c>
      <c r="C4179" s="81" t="s">
        <v>4086</v>
      </c>
      <c r="D4179" s="83" t="s">
        <v>4782</v>
      </c>
      <c r="E4179" s="81" t="s">
        <v>3762</v>
      </c>
      <c r="F4179" s="81">
        <v>719.0</v>
      </c>
      <c r="G4179" s="81" t="s">
        <v>2</v>
      </c>
      <c r="H4179" s="81" t="s">
        <v>224</v>
      </c>
      <c r="I4179" s="81" t="s">
        <v>213</v>
      </c>
      <c r="J4179" s="81" t="s">
        <v>224</v>
      </c>
      <c r="K4179" s="81" t="str">
        <f>IFERROR(__xludf.DUMMYFUNCTION("IF(OR(D4179="""",G4179=""""),"""",IFERROR(LET(
campo,XLOOKUP(TRIM(G4179),ARRAYFORMULA(TRIM('indice columnas'!$A$2:$A$100)),'indice columnas'!$B$2:$B$100,""""),
col,IFERROR(MATCH(campo,Referencia!$A$1:$AZ$1,0),0),
fila,IFERROR(MATCH(TO_TEXT(D4179),ARRAYFOR"&amp;"MULA(TO_TEXT(Referencia!$A$2:$A6238)),0),0),
IF(OR(campo="""",campo=""-""),""NO APLICA"",
IF(col=0,""REVISAR EQUIVALENCIA"",
IF(fila=0,""SKU NO ENCONTRADO"",
LET(
valor,INDEX(Referencia!$A$2:$AZ6238,fila,col),
IF(TRIM(TO_TEXT(valor))=TRIM(TO_TEXT(I4179)),"&amp;"
""OK"",
""NO COINCIDE. Valor verdadero: ""&amp;IF(valor="""",""[VACÍO]"",TO_TEXT(valor))
)
))))
),""ERROR EN FÓRMULA""))"),"OK")</f>
        <v>OK</v>
      </c>
    </row>
    <row r="4180">
      <c r="A4180" s="83" t="s">
        <v>4896</v>
      </c>
      <c r="B4180" s="83" t="s">
        <v>4897</v>
      </c>
      <c r="C4180" s="81" t="s">
        <v>4086</v>
      </c>
      <c r="D4180" s="83" t="s">
        <v>4782</v>
      </c>
      <c r="E4180" s="81" t="s">
        <v>3762</v>
      </c>
      <c r="F4180" s="81">
        <v>719.0</v>
      </c>
      <c r="G4180" s="81" t="s">
        <v>1</v>
      </c>
      <c r="H4180" s="81" t="s">
        <v>224</v>
      </c>
      <c r="I4180" s="81" t="s">
        <v>49</v>
      </c>
      <c r="J4180" s="81" t="s">
        <v>224</v>
      </c>
      <c r="K4180" s="81" t="str">
        <f>IFERROR(__xludf.DUMMYFUNCTION("IF(OR(D4180="""",G4180=""""),"""",IFERROR(LET(
campo,XLOOKUP(TRIM(G4180),ARRAYFORMULA(TRIM('indice columnas'!$A$2:$A$100)),'indice columnas'!$B$2:$B$100,""""),
col,IFERROR(MATCH(campo,Referencia!$A$1:$AZ$1,0),0),
fila,IFERROR(MATCH(TO_TEXT(D4180),ARRAYFOR"&amp;"MULA(TO_TEXT(Referencia!$A$2:$A6238)),0),0),
IF(OR(campo="""",campo=""-""),""NO APLICA"",
IF(col=0,""REVISAR EQUIVALENCIA"",
IF(fila=0,""SKU NO ENCONTRADO"",
LET(
valor,INDEX(Referencia!$A$2:$AZ6238,fila,col),
IF(TRIM(TO_TEXT(valor))=TRIM(TO_TEXT(I4180)),"&amp;"
""OK"",
""NO COINCIDE. Valor verdadero: ""&amp;IF(valor="""",""[VACÍO]"",TO_TEXT(valor))
)
))))
),""ERROR EN FÓRMULA""))"),"OK")</f>
        <v>OK</v>
      </c>
    </row>
    <row r="4181">
      <c r="A4181" s="83" t="s">
        <v>4896</v>
      </c>
      <c r="B4181" s="83" t="s">
        <v>4897</v>
      </c>
      <c r="C4181" s="81" t="s">
        <v>4086</v>
      </c>
      <c r="D4181" s="83" t="s">
        <v>4783</v>
      </c>
      <c r="E4181" s="81" t="s">
        <v>3777</v>
      </c>
      <c r="F4181" s="81">
        <v>721.0</v>
      </c>
      <c r="G4181" s="81" t="s">
        <v>3</v>
      </c>
      <c r="H4181" s="81" t="s">
        <v>224</v>
      </c>
      <c r="I4181" s="81" t="s">
        <v>214</v>
      </c>
      <c r="J4181" s="81" t="s">
        <v>224</v>
      </c>
      <c r="K4181" s="81" t="str">
        <f>IFERROR(__xludf.DUMMYFUNCTION("IF(OR(D4181="""",G4181=""""),"""",IFERROR(LET(
campo,XLOOKUP(TRIM(G4181),ARRAYFORMULA(TRIM('indice columnas'!$A$2:$A$100)),'indice columnas'!$B$2:$B$100,""""),
col,IFERROR(MATCH(campo,Referencia!$A$1:$AZ$1,0),0),
fila,IFERROR(MATCH(TO_TEXT(D4181),ARRAYFOR"&amp;"MULA(TO_TEXT(Referencia!$A$2:$A6238)),0),0),
IF(OR(campo="""",campo=""-""),""NO APLICA"",
IF(col=0,""REVISAR EQUIVALENCIA"",
IF(fila=0,""SKU NO ENCONTRADO"",
LET(
valor,INDEX(Referencia!$A$2:$AZ6238,fila,col),
IF(TRIM(TO_TEXT(valor))=TRIM(TO_TEXT(I4181)),"&amp;"
""OK"",
""NO COINCIDE. Valor verdadero: ""&amp;IF(valor="""",""[VACÍO]"",TO_TEXT(valor))
)
))))
),""ERROR EN FÓRMULA""))"),"OK")</f>
        <v>OK</v>
      </c>
    </row>
    <row r="4182">
      <c r="A4182" s="83" t="s">
        <v>4896</v>
      </c>
      <c r="B4182" s="83" t="s">
        <v>4897</v>
      </c>
      <c r="C4182" s="81" t="s">
        <v>4086</v>
      </c>
      <c r="D4182" s="83" t="s">
        <v>4783</v>
      </c>
      <c r="E4182" s="81" t="s">
        <v>3777</v>
      </c>
      <c r="F4182" s="81">
        <v>721.0</v>
      </c>
      <c r="G4182" s="81" t="s">
        <v>2</v>
      </c>
      <c r="H4182" s="81" t="s">
        <v>224</v>
      </c>
      <c r="I4182" s="81" t="s">
        <v>213</v>
      </c>
      <c r="J4182" s="81" t="s">
        <v>224</v>
      </c>
      <c r="K4182" s="81" t="str">
        <f>IFERROR(__xludf.DUMMYFUNCTION("IF(OR(D4182="""",G4182=""""),"""",IFERROR(LET(
campo,XLOOKUP(TRIM(G4182),ARRAYFORMULA(TRIM('indice columnas'!$A$2:$A$100)),'indice columnas'!$B$2:$B$100,""""),
col,IFERROR(MATCH(campo,Referencia!$A$1:$AZ$1,0),0),
fila,IFERROR(MATCH(TO_TEXT(D4182),ARRAYFOR"&amp;"MULA(TO_TEXT(Referencia!$A$2:$A6238)),0),0),
IF(OR(campo="""",campo=""-""),""NO APLICA"",
IF(col=0,""REVISAR EQUIVALENCIA"",
IF(fila=0,""SKU NO ENCONTRADO"",
LET(
valor,INDEX(Referencia!$A$2:$AZ6238,fila,col),
IF(TRIM(TO_TEXT(valor))=TRIM(TO_TEXT(I4182)),"&amp;"
""OK"",
""NO COINCIDE. Valor verdadero: ""&amp;IF(valor="""",""[VACÍO]"",TO_TEXT(valor))
)
))))
),""ERROR EN FÓRMULA""))"),"OK")</f>
        <v>OK</v>
      </c>
    </row>
    <row r="4183">
      <c r="A4183" s="83" t="s">
        <v>4896</v>
      </c>
      <c r="B4183" s="83" t="s">
        <v>4897</v>
      </c>
      <c r="C4183" s="81" t="s">
        <v>4086</v>
      </c>
      <c r="D4183" s="83" t="s">
        <v>4785</v>
      </c>
      <c r="E4183" s="81" t="s">
        <v>3778</v>
      </c>
      <c r="F4183" s="81">
        <v>722.0</v>
      </c>
      <c r="G4183" s="81" t="s">
        <v>3</v>
      </c>
      <c r="H4183" s="81" t="s">
        <v>224</v>
      </c>
      <c r="I4183" s="81" t="s">
        <v>214</v>
      </c>
      <c r="J4183" s="81" t="s">
        <v>224</v>
      </c>
      <c r="K4183" s="81" t="str">
        <f>IFERROR(__xludf.DUMMYFUNCTION("IF(OR(D4183="""",G4183=""""),"""",IFERROR(LET(
campo,XLOOKUP(TRIM(G4183),ARRAYFORMULA(TRIM('indice columnas'!$A$2:$A$100)),'indice columnas'!$B$2:$B$100,""""),
col,IFERROR(MATCH(campo,Referencia!$A$1:$AZ$1,0),0),
fila,IFERROR(MATCH(TO_TEXT(D4183),ARRAYFOR"&amp;"MULA(TO_TEXT(Referencia!$A$2:$A6238)),0),0),
IF(OR(campo="""",campo=""-""),""NO APLICA"",
IF(col=0,""REVISAR EQUIVALENCIA"",
IF(fila=0,""SKU NO ENCONTRADO"",
LET(
valor,INDEX(Referencia!$A$2:$AZ6238,fila,col),
IF(TRIM(TO_TEXT(valor))=TRIM(TO_TEXT(I4183)),"&amp;"
""OK"",
""NO COINCIDE. Valor verdadero: ""&amp;IF(valor="""",""[VACÍO]"",TO_TEXT(valor))
)
))))
),""ERROR EN FÓRMULA""))"),"OK")</f>
        <v>OK</v>
      </c>
    </row>
    <row r="4184">
      <c r="A4184" s="83" t="s">
        <v>4896</v>
      </c>
      <c r="B4184" s="83" t="s">
        <v>4897</v>
      </c>
      <c r="C4184" s="81" t="s">
        <v>4086</v>
      </c>
      <c r="D4184" s="83" t="s">
        <v>4785</v>
      </c>
      <c r="E4184" s="81" t="s">
        <v>3778</v>
      </c>
      <c r="F4184" s="81">
        <v>722.0</v>
      </c>
      <c r="G4184" s="81" t="s">
        <v>2</v>
      </c>
      <c r="H4184" s="81" t="s">
        <v>224</v>
      </c>
      <c r="I4184" s="81" t="s">
        <v>213</v>
      </c>
      <c r="J4184" s="81" t="s">
        <v>224</v>
      </c>
      <c r="K4184" s="81" t="str">
        <f>IFERROR(__xludf.DUMMYFUNCTION("IF(OR(D4184="""",G4184=""""),"""",IFERROR(LET(
campo,XLOOKUP(TRIM(G4184),ARRAYFORMULA(TRIM('indice columnas'!$A$2:$A$100)),'indice columnas'!$B$2:$B$100,""""),
col,IFERROR(MATCH(campo,Referencia!$A$1:$AZ$1,0),0),
fila,IFERROR(MATCH(TO_TEXT(D4184),ARRAYFOR"&amp;"MULA(TO_TEXT(Referencia!$A$2:$A6238)),0),0),
IF(OR(campo="""",campo=""-""),""NO APLICA"",
IF(col=0,""REVISAR EQUIVALENCIA"",
IF(fila=0,""SKU NO ENCONTRADO"",
LET(
valor,INDEX(Referencia!$A$2:$AZ6238,fila,col),
IF(TRIM(TO_TEXT(valor))=TRIM(TO_TEXT(I4184)),"&amp;"
""OK"",
""NO COINCIDE. Valor verdadero: ""&amp;IF(valor="""",""[VACÍO]"",TO_TEXT(valor))
)
))))
),""ERROR EN FÓRMULA""))"),"OK")</f>
        <v>OK</v>
      </c>
    </row>
    <row r="4185">
      <c r="A4185" s="83" t="s">
        <v>4896</v>
      </c>
      <c r="B4185" s="83" t="s">
        <v>4897</v>
      </c>
      <c r="C4185" s="81" t="s">
        <v>4086</v>
      </c>
      <c r="D4185" s="83" t="s">
        <v>4786</v>
      </c>
      <c r="E4185" s="81" t="s">
        <v>3781</v>
      </c>
      <c r="F4185" s="81">
        <v>723.0</v>
      </c>
      <c r="G4185" s="81" t="s">
        <v>3</v>
      </c>
      <c r="H4185" s="81" t="s">
        <v>224</v>
      </c>
      <c r="I4185" s="81" t="s">
        <v>214</v>
      </c>
      <c r="J4185" s="81" t="s">
        <v>224</v>
      </c>
      <c r="K4185" s="81" t="str">
        <f>IFERROR(__xludf.DUMMYFUNCTION("IF(OR(D4185="""",G4185=""""),"""",IFERROR(LET(
campo,XLOOKUP(TRIM(G4185),ARRAYFORMULA(TRIM('indice columnas'!$A$2:$A$100)),'indice columnas'!$B$2:$B$100,""""),
col,IFERROR(MATCH(campo,Referencia!$A$1:$AZ$1,0),0),
fila,IFERROR(MATCH(TO_TEXT(D4185),ARRAYFOR"&amp;"MULA(TO_TEXT(Referencia!$A$2:$A6238)),0),0),
IF(OR(campo="""",campo=""-""),""NO APLICA"",
IF(col=0,""REVISAR EQUIVALENCIA"",
IF(fila=0,""SKU NO ENCONTRADO"",
LET(
valor,INDEX(Referencia!$A$2:$AZ6238,fila,col),
IF(TRIM(TO_TEXT(valor))=TRIM(TO_TEXT(I4185)),"&amp;"
""OK"",
""NO COINCIDE. Valor verdadero: ""&amp;IF(valor="""",""[VACÍO]"",TO_TEXT(valor))
)
))))
),""ERROR EN FÓRMULA""))"),"OK")</f>
        <v>OK</v>
      </c>
    </row>
    <row r="4186">
      <c r="A4186" s="83" t="s">
        <v>4896</v>
      </c>
      <c r="B4186" s="83" t="s">
        <v>4897</v>
      </c>
      <c r="C4186" s="81" t="s">
        <v>4086</v>
      </c>
      <c r="D4186" s="83" t="s">
        <v>4786</v>
      </c>
      <c r="E4186" s="81" t="s">
        <v>3781</v>
      </c>
      <c r="F4186" s="81">
        <v>723.0</v>
      </c>
      <c r="G4186" s="81" t="s">
        <v>2</v>
      </c>
      <c r="H4186" s="81" t="s">
        <v>224</v>
      </c>
      <c r="I4186" s="81" t="s">
        <v>213</v>
      </c>
      <c r="J4186" s="81" t="s">
        <v>224</v>
      </c>
      <c r="K4186" s="81" t="str">
        <f>IFERROR(__xludf.DUMMYFUNCTION("IF(OR(D4186="""",G4186=""""),"""",IFERROR(LET(
campo,XLOOKUP(TRIM(G4186),ARRAYFORMULA(TRIM('indice columnas'!$A$2:$A$100)),'indice columnas'!$B$2:$B$100,""""),
col,IFERROR(MATCH(campo,Referencia!$A$1:$AZ$1,0),0),
fila,IFERROR(MATCH(TO_TEXT(D4186),ARRAYFOR"&amp;"MULA(TO_TEXT(Referencia!$A$2:$A6238)),0),0),
IF(OR(campo="""",campo=""-""),""NO APLICA"",
IF(col=0,""REVISAR EQUIVALENCIA"",
IF(fila=0,""SKU NO ENCONTRADO"",
LET(
valor,INDEX(Referencia!$A$2:$AZ6238,fila,col),
IF(TRIM(TO_TEXT(valor))=TRIM(TO_TEXT(I4186)),"&amp;"
""OK"",
""NO COINCIDE. Valor verdadero: ""&amp;IF(valor="""",""[VACÍO]"",TO_TEXT(valor))
)
))))
),""ERROR EN FÓRMULA""))"),"OK")</f>
        <v>OK</v>
      </c>
    </row>
    <row r="4187">
      <c r="A4187" s="83" t="s">
        <v>4896</v>
      </c>
      <c r="B4187" s="83" t="s">
        <v>4897</v>
      </c>
      <c r="C4187" s="81" t="s">
        <v>4086</v>
      </c>
      <c r="D4187" s="83" t="s">
        <v>4787</v>
      </c>
      <c r="E4187" s="81" t="s">
        <v>3791</v>
      </c>
      <c r="F4187" s="81">
        <v>724.0</v>
      </c>
      <c r="G4187" s="81" t="s">
        <v>3</v>
      </c>
      <c r="H4187" s="81" t="s">
        <v>224</v>
      </c>
      <c r="I4187" s="81" t="s">
        <v>214</v>
      </c>
      <c r="J4187" s="81" t="s">
        <v>224</v>
      </c>
      <c r="K4187" s="81" t="str">
        <f>IFERROR(__xludf.DUMMYFUNCTION("IF(OR(D4187="""",G4187=""""),"""",IFERROR(LET(
campo,XLOOKUP(TRIM(G4187),ARRAYFORMULA(TRIM('indice columnas'!$A$2:$A$100)),'indice columnas'!$B$2:$B$100,""""),
col,IFERROR(MATCH(campo,Referencia!$A$1:$AZ$1,0),0),
fila,IFERROR(MATCH(TO_TEXT(D4187),ARRAYFOR"&amp;"MULA(TO_TEXT(Referencia!$A$2:$A6238)),0),0),
IF(OR(campo="""",campo=""-""),""NO APLICA"",
IF(col=0,""REVISAR EQUIVALENCIA"",
IF(fila=0,""SKU NO ENCONTRADO"",
LET(
valor,INDEX(Referencia!$A$2:$AZ6238,fila,col),
IF(TRIM(TO_TEXT(valor))=TRIM(TO_TEXT(I4187)),"&amp;"
""OK"",
""NO COINCIDE. Valor verdadero: ""&amp;IF(valor="""",""[VACÍO]"",TO_TEXT(valor))
)
))))
),""ERROR EN FÓRMULA""))"),"OK")</f>
        <v>OK</v>
      </c>
    </row>
    <row r="4188">
      <c r="A4188" s="83" t="s">
        <v>4896</v>
      </c>
      <c r="B4188" s="83" t="s">
        <v>4897</v>
      </c>
      <c r="C4188" s="81" t="s">
        <v>4086</v>
      </c>
      <c r="D4188" s="83" t="s">
        <v>4787</v>
      </c>
      <c r="E4188" s="81" t="s">
        <v>3791</v>
      </c>
      <c r="F4188" s="81">
        <v>724.0</v>
      </c>
      <c r="G4188" s="81" t="s">
        <v>2</v>
      </c>
      <c r="H4188" s="81" t="s">
        <v>224</v>
      </c>
      <c r="I4188" s="81" t="s">
        <v>213</v>
      </c>
      <c r="J4188" s="81" t="s">
        <v>224</v>
      </c>
      <c r="K4188" s="81" t="str">
        <f>IFERROR(__xludf.DUMMYFUNCTION("IF(OR(D4188="""",G4188=""""),"""",IFERROR(LET(
campo,XLOOKUP(TRIM(G4188),ARRAYFORMULA(TRIM('indice columnas'!$A$2:$A$100)),'indice columnas'!$B$2:$B$100,""""),
col,IFERROR(MATCH(campo,Referencia!$A$1:$AZ$1,0),0),
fila,IFERROR(MATCH(TO_TEXT(D4188),ARRAYFOR"&amp;"MULA(TO_TEXT(Referencia!$A$2:$A6238)),0),0),
IF(OR(campo="""",campo=""-""),""NO APLICA"",
IF(col=0,""REVISAR EQUIVALENCIA"",
IF(fila=0,""SKU NO ENCONTRADO"",
LET(
valor,INDEX(Referencia!$A$2:$AZ6238,fila,col),
IF(TRIM(TO_TEXT(valor))=TRIM(TO_TEXT(I4188)),"&amp;"
""OK"",
""NO COINCIDE. Valor verdadero: ""&amp;IF(valor="""",""[VACÍO]"",TO_TEXT(valor))
)
))))
),""ERROR EN FÓRMULA""))"),"OK")</f>
        <v>OK</v>
      </c>
    </row>
    <row r="4189">
      <c r="A4189" s="83" t="s">
        <v>4896</v>
      </c>
      <c r="B4189" s="83" t="s">
        <v>4897</v>
      </c>
      <c r="C4189" s="81" t="s">
        <v>4086</v>
      </c>
      <c r="D4189" s="83" t="s">
        <v>4788</v>
      </c>
      <c r="E4189" s="81" t="s">
        <v>3794</v>
      </c>
      <c r="F4189" s="81">
        <v>725.0</v>
      </c>
      <c r="G4189" s="81" t="s">
        <v>3</v>
      </c>
      <c r="H4189" s="81" t="s">
        <v>376</v>
      </c>
      <c r="I4189" s="81" t="s">
        <v>344</v>
      </c>
      <c r="J4189" s="81" t="s">
        <v>224</v>
      </c>
      <c r="K4189" s="81" t="str">
        <f>IFERROR(__xludf.DUMMYFUNCTION("IF(OR(D4189="""",G4189=""""),"""",IFERROR(LET(
campo,XLOOKUP(TRIM(G4189),ARRAYFORMULA(TRIM('indice columnas'!$A$2:$A$100)),'indice columnas'!$B$2:$B$100,""""),
col,IFERROR(MATCH(campo,Referencia!$A$1:$AZ$1,0),0),
fila,IFERROR(MATCH(TO_TEXT(D4189),ARRAYFOR"&amp;"MULA(TO_TEXT(Referencia!$A$2:$A6238)),0),0),
IF(OR(campo="""",campo=""-""),""NO APLICA"",
IF(col=0,""REVISAR EQUIVALENCIA"",
IF(fila=0,""SKU NO ENCONTRADO"",
LET(
valor,INDEX(Referencia!$A$2:$AZ6238,fila,col),
IF(TRIM(TO_TEXT(valor))=TRIM(TO_TEXT(I4189)),"&amp;"
""OK"",
""NO COINCIDE. Valor verdadero: ""&amp;IF(valor="""",""[VACÍO]"",TO_TEXT(valor))
)
))))
),""ERROR EN FÓRMULA""))"),"OK")</f>
        <v>OK</v>
      </c>
    </row>
    <row r="4190">
      <c r="A4190" s="83" t="s">
        <v>4896</v>
      </c>
      <c r="B4190" s="83" t="s">
        <v>4897</v>
      </c>
      <c r="C4190" s="81" t="s">
        <v>4086</v>
      </c>
      <c r="D4190" s="83" t="s">
        <v>4790</v>
      </c>
      <c r="E4190" s="81" t="s">
        <v>3803</v>
      </c>
      <c r="F4190" s="81">
        <v>726.0</v>
      </c>
      <c r="G4190" s="81" t="s">
        <v>3</v>
      </c>
      <c r="H4190" s="81" t="s">
        <v>224</v>
      </c>
      <c r="I4190" s="81" t="s">
        <v>51</v>
      </c>
      <c r="J4190" s="81" t="s">
        <v>224</v>
      </c>
      <c r="K4190" s="81" t="str">
        <f>IFERROR(__xludf.DUMMYFUNCTION("IF(OR(D4190="""",G4190=""""),"""",IFERROR(LET(
campo,XLOOKUP(TRIM(G4190),ARRAYFORMULA(TRIM('indice columnas'!$A$2:$A$100)),'indice columnas'!$B$2:$B$100,""""),
col,IFERROR(MATCH(campo,Referencia!$A$1:$AZ$1,0),0),
fila,IFERROR(MATCH(TO_TEXT(D4190),ARRAYFOR"&amp;"MULA(TO_TEXT(Referencia!$A$2:$A6238)),0),0),
IF(OR(campo="""",campo=""-""),""NO APLICA"",
IF(col=0,""REVISAR EQUIVALENCIA"",
IF(fila=0,""SKU NO ENCONTRADO"",
LET(
valor,INDEX(Referencia!$A$2:$AZ6238,fila,col),
IF(TRIM(TO_TEXT(valor))=TRIM(TO_TEXT(I4190)),"&amp;"
""OK"",
""NO COINCIDE. Valor verdadero: ""&amp;IF(valor="""",""[VACÍO]"",TO_TEXT(valor))
)
))))
),""ERROR EN FÓRMULA""))"),"OK")</f>
        <v>OK</v>
      </c>
    </row>
    <row r="4191">
      <c r="A4191" s="83" t="s">
        <v>4896</v>
      </c>
      <c r="B4191" s="83" t="s">
        <v>4897</v>
      </c>
      <c r="C4191" s="81" t="s">
        <v>4086</v>
      </c>
      <c r="D4191" s="83" t="s">
        <v>4790</v>
      </c>
      <c r="E4191" s="81" t="s">
        <v>3803</v>
      </c>
      <c r="F4191" s="81">
        <v>726.0</v>
      </c>
      <c r="G4191" s="81" t="s">
        <v>2</v>
      </c>
      <c r="H4191" s="81" t="s">
        <v>224</v>
      </c>
      <c r="I4191" s="81" t="s">
        <v>213</v>
      </c>
      <c r="J4191" s="81" t="s">
        <v>224</v>
      </c>
      <c r="K4191" s="81" t="str">
        <f>IFERROR(__xludf.DUMMYFUNCTION("IF(OR(D4191="""",G4191=""""),"""",IFERROR(LET(
campo,XLOOKUP(TRIM(G4191),ARRAYFORMULA(TRIM('indice columnas'!$A$2:$A$100)),'indice columnas'!$B$2:$B$100,""""),
col,IFERROR(MATCH(campo,Referencia!$A$1:$AZ$1,0),0),
fila,IFERROR(MATCH(TO_TEXT(D4191),ARRAYFOR"&amp;"MULA(TO_TEXT(Referencia!$A$2:$A6238)),0),0),
IF(OR(campo="""",campo=""-""),""NO APLICA"",
IF(col=0,""REVISAR EQUIVALENCIA"",
IF(fila=0,""SKU NO ENCONTRADO"",
LET(
valor,INDEX(Referencia!$A$2:$AZ6238,fila,col),
IF(TRIM(TO_TEXT(valor))=TRIM(TO_TEXT(I4191)),"&amp;"
""OK"",
""NO COINCIDE. Valor verdadero: ""&amp;IF(valor="""",""[VACÍO]"",TO_TEXT(valor))
)
))))
),""ERROR EN FÓRMULA""))"),"OK")</f>
        <v>OK</v>
      </c>
    </row>
    <row r="4192">
      <c r="A4192" s="83" t="s">
        <v>4896</v>
      </c>
      <c r="B4192" s="83" t="s">
        <v>4897</v>
      </c>
      <c r="C4192" s="81" t="s">
        <v>4086</v>
      </c>
      <c r="D4192" s="83" t="s">
        <v>4790</v>
      </c>
      <c r="E4192" s="81" t="s">
        <v>3803</v>
      </c>
      <c r="F4192" s="81">
        <v>726.0</v>
      </c>
      <c r="G4192" s="81" t="s">
        <v>1</v>
      </c>
      <c r="H4192" s="81" t="s">
        <v>224</v>
      </c>
      <c r="I4192" s="81" t="s">
        <v>49</v>
      </c>
      <c r="J4192" s="81" t="s">
        <v>224</v>
      </c>
      <c r="K4192" s="81" t="str">
        <f>IFERROR(__xludf.DUMMYFUNCTION("IF(OR(D4192="""",G4192=""""),"""",IFERROR(LET(
campo,XLOOKUP(TRIM(G4192),ARRAYFORMULA(TRIM('indice columnas'!$A$2:$A$100)),'indice columnas'!$B$2:$B$100,""""),
col,IFERROR(MATCH(campo,Referencia!$A$1:$AZ$1,0),0),
fila,IFERROR(MATCH(TO_TEXT(D4192),ARRAYFOR"&amp;"MULA(TO_TEXT(Referencia!$A$2:$A6238)),0),0),
IF(OR(campo="""",campo=""-""),""NO APLICA"",
IF(col=0,""REVISAR EQUIVALENCIA"",
IF(fila=0,""SKU NO ENCONTRADO"",
LET(
valor,INDEX(Referencia!$A$2:$AZ6238,fila,col),
IF(TRIM(TO_TEXT(valor))=TRIM(TO_TEXT(I4192)),"&amp;"
""OK"",
""NO COINCIDE. Valor verdadero: ""&amp;IF(valor="""",""[VACÍO]"",TO_TEXT(valor))
)
))))
),""ERROR EN FÓRMULA""))"),"OK")</f>
        <v>OK</v>
      </c>
    </row>
    <row r="4193">
      <c r="A4193" s="83" t="s">
        <v>4896</v>
      </c>
      <c r="B4193" s="83" t="s">
        <v>4897</v>
      </c>
      <c r="C4193" s="81" t="s">
        <v>4086</v>
      </c>
      <c r="D4193" s="83" t="s">
        <v>4791</v>
      </c>
      <c r="E4193" s="81" t="s">
        <v>3812</v>
      </c>
      <c r="F4193" s="81">
        <v>727.0</v>
      </c>
      <c r="G4193" s="81" t="s">
        <v>3</v>
      </c>
      <c r="H4193" s="81" t="s">
        <v>224</v>
      </c>
      <c r="I4193" s="81" t="s">
        <v>51</v>
      </c>
      <c r="J4193" s="81" t="s">
        <v>224</v>
      </c>
      <c r="K4193" s="81" t="str">
        <f>IFERROR(__xludf.DUMMYFUNCTION("IF(OR(D4193="""",G4193=""""),"""",IFERROR(LET(
campo,XLOOKUP(TRIM(G4193),ARRAYFORMULA(TRIM('indice columnas'!$A$2:$A$100)),'indice columnas'!$B$2:$B$100,""""),
col,IFERROR(MATCH(campo,Referencia!$A$1:$AZ$1,0),0),
fila,IFERROR(MATCH(TO_TEXT(D4193),ARRAYFOR"&amp;"MULA(TO_TEXT(Referencia!$A$2:$A6238)),0),0),
IF(OR(campo="""",campo=""-""),""NO APLICA"",
IF(col=0,""REVISAR EQUIVALENCIA"",
IF(fila=0,""SKU NO ENCONTRADO"",
LET(
valor,INDEX(Referencia!$A$2:$AZ6238,fila,col),
IF(TRIM(TO_TEXT(valor))=TRIM(TO_TEXT(I4193)),"&amp;"
""OK"",
""NO COINCIDE. Valor verdadero: ""&amp;IF(valor="""",""[VACÍO]"",TO_TEXT(valor))
)
))))
),""ERROR EN FÓRMULA""))"),"OK")</f>
        <v>OK</v>
      </c>
    </row>
    <row r="4194">
      <c r="A4194" s="83" t="s">
        <v>4896</v>
      </c>
      <c r="B4194" s="83" t="s">
        <v>4897</v>
      </c>
      <c r="C4194" s="81" t="s">
        <v>4086</v>
      </c>
      <c r="D4194" s="83" t="s">
        <v>4791</v>
      </c>
      <c r="E4194" s="81" t="s">
        <v>3812</v>
      </c>
      <c r="F4194" s="81">
        <v>727.0</v>
      </c>
      <c r="G4194" s="81" t="s">
        <v>2</v>
      </c>
      <c r="H4194" s="81" t="s">
        <v>224</v>
      </c>
      <c r="I4194" s="81" t="s">
        <v>213</v>
      </c>
      <c r="J4194" s="81" t="s">
        <v>224</v>
      </c>
      <c r="K4194" s="81" t="str">
        <f>IFERROR(__xludf.DUMMYFUNCTION("IF(OR(D4194="""",G4194=""""),"""",IFERROR(LET(
campo,XLOOKUP(TRIM(G4194),ARRAYFORMULA(TRIM('indice columnas'!$A$2:$A$100)),'indice columnas'!$B$2:$B$100,""""),
col,IFERROR(MATCH(campo,Referencia!$A$1:$AZ$1,0),0),
fila,IFERROR(MATCH(TO_TEXT(D4194),ARRAYFOR"&amp;"MULA(TO_TEXT(Referencia!$A$2:$A6238)),0),0),
IF(OR(campo="""",campo=""-""),""NO APLICA"",
IF(col=0,""REVISAR EQUIVALENCIA"",
IF(fila=0,""SKU NO ENCONTRADO"",
LET(
valor,INDEX(Referencia!$A$2:$AZ6238,fila,col),
IF(TRIM(TO_TEXT(valor))=TRIM(TO_TEXT(I4194)),"&amp;"
""OK"",
""NO COINCIDE. Valor verdadero: ""&amp;IF(valor="""",""[VACÍO]"",TO_TEXT(valor))
)
))))
),""ERROR EN FÓRMULA""))"),"OK")</f>
        <v>OK</v>
      </c>
    </row>
    <row r="4195">
      <c r="A4195" s="83" t="s">
        <v>4896</v>
      </c>
      <c r="B4195" s="83" t="s">
        <v>4897</v>
      </c>
      <c r="C4195" s="81" t="s">
        <v>4086</v>
      </c>
      <c r="D4195" s="83" t="s">
        <v>4791</v>
      </c>
      <c r="E4195" s="81" t="s">
        <v>3812</v>
      </c>
      <c r="F4195" s="81">
        <v>727.0</v>
      </c>
      <c r="G4195" s="81" t="s">
        <v>1</v>
      </c>
      <c r="H4195" s="81" t="s">
        <v>224</v>
      </c>
      <c r="I4195" s="81" t="s">
        <v>49</v>
      </c>
      <c r="J4195" s="81" t="s">
        <v>224</v>
      </c>
      <c r="K4195" s="81" t="str">
        <f>IFERROR(__xludf.DUMMYFUNCTION("IF(OR(D4195="""",G4195=""""),"""",IFERROR(LET(
campo,XLOOKUP(TRIM(G4195),ARRAYFORMULA(TRIM('indice columnas'!$A$2:$A$100)),'indice columnas'!$B$2:$B$100,""""),
col,IFERROR(MATCH(campo,Referencia!$A$1:$AZ$1,0),0),
fila,IFERROR(MATCH(TO_TEXT(D4195),ARRAYFOR"&amp;"MULA(TO_TEXT(Referencia!$A$2:$A6238)),0),0),
IF(OR(campo="""",campo=""-""),""NO APLICA"",
IF(col=0,""REVISAR EQUIVALENCIA"",
IF(fila=0,""SKU NO ENCONTRADO"",
LET(
valor,INDEX(Referencia!$A$2:$AZ6238,fila,col),
IF(TRIM(TO_TEXT(valor))=TRIM(TO_TEXT(I4195)),"&amp;"
""OK"",
""NO COINCIDE. Valor verdadero: ""&amp;IF(valor="""",""[VACÍO]"",TO_TEXT(valor))
)
))))
),""ERROR EN FÓRMULA""))"),"OK")</f>
        <v>OK</v>
      </c>
    </row>
    <row r="4196">
      <c r="A4196" s="83" t="s">
        <v>4896</v>
      </c>
      <c r="B4196" s="83" t="s">
        <v>4897</v>
      </c>
      <c r="C4196" s="81" t="s">
        <v>4086</v>
      </c>
      <c r="D4196" s="83" t="s">
        <v>4792</v>
      </c>
      <c r="E4196" s="81" t="s">
        <v>3815</v>
      </c>
      <c r="F4196" s="81">
        <v>728.0</v>
      </c>
      <c r="G4196" s="81" t="s">
        <v>3</v>
      </c>
      <c r="H4196" s="81" t="s">
        <v>224</v>
      </c>
      <c r="I4196" s="81" t="s">
        <v>51</v>
      </c>
      <c r="J4196" s="81" t="s">
        <v>224</v>
      </c>
      <c r="K4196" s="81" t="str">
        <f>IFERROR(__xludf.DUMMYFUNCTION("IF(OR(D4196="""",G4196=""""),"""",IFERROR(LET(
campo,XLOOKUP(TRIM(G4196),ARRAYFORMULA(TRIM('indice columnas'!$A$2:$A$100)),'indice columnas'!$B$2:$B$100,""""),
col,IFERROR(MATCH(campo,Referencia!$A$1:$AZ$1,0),0),
fila,IFERROR(MATCH(TO_TEXT(D4196),ARRAYFOR"&amp;"MULA(TO_TEXT(Referencia!$A$2:$A6238)),0),0),
IF(OR(campo="""",campo=""-""),""NO APLICA"",
IF(col=0,""REVISAR EQUIVALENCIA"",
IF(fila=0,""SKU NO ENCONTRADO"",
LET(
valor,INDEX(Referencia!$A$2:$AZ6238,fila,col),
IF(TRIM(TO_TEXT(valor))=TRIM(TO_TEXT(I4196)),"&amp;"
""OK"",
""NO COINCIDE. Valor verdadero: ""&amp;IF(valor="""",""[VACÍO]"",TO_TEXT(valor))
)
))))
),""ERROR EN FÓRMULA""))"),"OK")</f>
        <v>OK</v>
      </c>
    </row>
    <row r="4197">
      <c r="A4197" s="83" t="s">
        <v>4896</v>
      </c>
      <c r="B4197" s="83" t="s">
        <v>4897</v>
      </c>
      <c r="C4197" s="81" t="s">
        <v>4086</v>
      </c>
      <c r="D4197" s="83" t="s">
        <v>4792</v>
      </c>
      <c r="E4197" s="81" t="s">
        <v>3815</v>
      </c>
      <c r="F4197" s="81">
        <v>728.0</v>
      </c>
      <c r="G4197" s="81" t="s">
        <v>2</v>
      </c>
      <c r="H4197" s="81" t="s">
        <v>224</v>
      </c>
      <c r="I4197" s="81" t="s">
        <v>213</v>
      </c>
      <c r="J4197" s="81" t="s">
        <v>224</v>
      </c>
      <c r="K4197" s="81" t="str">
        <f>IFERROR(__xludf.DUMMYFUNCTION("IF(OR(D4197="""",G4197=""""),"""",IFERROR(LET(
campo,XLOOKUP(TRIM(G4197),ARRAYFORMULA(TRIM('indice columnas'!$A$2:$A$100)),'indice columnas'!$B$2:$B$100,""""),
col,IFERROR(MATCH(campo,Referencia!$A$1:$AZ$1,0),0),
fila,IFERROR(MATCH(TO_TEXT(D4197),ARRAYFOR"&amp;"MULA(TO_TEXT(Referencia!$A$2:$A6238)),0),0),
IF(OR(campo="""",campo=""-""),""NO APLICA"",
IF(col=0,""REVISAR EQUIVALENCIA"",
IF(fila=0,""SKU NO ENCONTRADO"",
LET(
valor,INDEX(Referencia!$A$2:$AZ6238,fila,col),
IF(TRIM(TO_TEXT(valor))=TRIM(TO_TEXT(I4197)),"&amp;"
""OK"",
""NO COINCIDE. Valor verdadero: ""&amp;IF(valor="""",""[VACÍO]"",TO_TEXT(valor))
)
))))
),""ERROR EN FÓRMULA""))"),"OK")</f>
        <v>OK</v>
      </c>
    </row>
    <row r="4198">
      <c r="A4198" s="83" t="s">
        <v>4896</v>
      </c>
      <c r="B4198" s="83" t="s">
        <v>4897</v>
      </c>
      <c r="C4198" s="81" t="s">
        <v>4086</v>
      </c>
      <c r="D4198" s="83" t="s">
        <v>4792</v>
      </c>
      <c r="E4198" s="81" t="s">
        <v>3815</v>
      </c>
      <c r="F4198" s="81">
        <v>728.0</v>
      </c>
      <c r="G4198" s="81" t="s">
        <v>1</v>
      </c>
      <c r="H4198" s="81" t="s">
        <v>224</v>
      </c>
      <c r="I4198" s="81" t="s">
        <v>49</v>
      </c>
      <c r="J4198" s="81" t="s">
        <v>224</v>
      </c>
      <c r="K4198" s="81" t="str">
        <f>IFERROR(__xludf.DUMMYFUNCTION("IF(OR(D4198="""",G4198=""""),"""",IFERROR(LET(
campo,XLOOKUP(TRIM(G4198),ARRAYFORMULA(TRIM('indice columnas'!$A$2:$A$100)),'indice columnas'!$B$2:$B$100,""""),
col,IFERROR(MATCH(campo,Referencia!$A$1:$AZ$1,0),0),
fila,IFERROR(MATCH(TO_TEXT(D4198),ARRAYFOR"&amp;"MULA(TO_TEXT(Referencia!$A$2:$A6238)),0),0),
IF(OR(campo="""",campo=""-""),""NO APLICA"",
IF(col=0,""REVISAR EQUIVALENCIA"",
IF(fila=0,""SKU NO ENCONTRADO"",
LET(
valor,INDEX(Referencia!$A$2:$AZ6238,fila,col),
IF(TRIM(TO_TEXT(valor))=TRIM(TO_TEXT(I4198)),"&amp;"
""OK"",
""NO COINCIDE. Valor verdadero: ""&amp;IF(valor="""",""[VACÍO]"",TO_TEXT(valor))
)
))))
),""ERROR EN FÓRMULA""))"),"OK")</f>
        <v>OK</v>
      </c>
    </row>
    <row r="4199">
      <c r="A4199" s="83" t="s">
        <v>4896</v>
      </c>
      <c r="B4199" s="83" t="s">
        <v>4897</v>
      </c>
      <c r="C4199" s="81" t="s">
        <v>4086</v>
      </c>
      <c r="D4199" s="83" t="s">
        <v>4793</v>
      </c>
      <c r="E4199" s="81" t="s">
        <v>3821</v>
      </c>
      <c r="F4199" s="81">
        <v>729.0</v>
      </c>
      <c r="G4199" s="81" t="s">
        <v>3</v>
      </c>
      <c r="H4199" s="81" t="s">
        <v>224</v>
      </c>
      <c r="I4199" s="81" t="s">
        <v>51</v>
      </c>
      <c r="J4199" s="81" t="s">
        <v>224</v>
      </c>
      <c r="K4199" s="81" t="str">
        <f>IFERROR(__xludf.DUMMYFUNCTION("IF(OR(D4199="""",G4199=""""),"""",IFERROR(LET(
campo,XLOOKUP(TRIM(G4199),ARRAYFORMULA(TRIM('indice columnas'!$A$2:$A$100)),'indice columnas'!$B$2:$B$100,""""),
col,IFERROR(MATCH(campo,Referencia!$A$1:$AZ$1,0),0),
fila,IFERROR(MATCH(TO_TEXT(D4199),ARRAYFOR"&amp;"MULA(TO_TEXT(Referencia!$A$2:$A6238)),0),0),
IF(OR(campo="""",campo=""-""),""NO APLICA"",
IF(col=0,""REVISAR EQUIVALENCIA"",
IF(fila=0,""SKU NO ENCONTRADO"",
LET(
valor,INDEX(Referencia!$A$2:$AZ6238,fila,col),
IF(TRIM(TO_TEXT(valor))=TRIM(TO_TEXT(I4199)),"&amp;"
""OK"",
""NO COINCIDE. Valor verdadero: ""&amp;IF(valor="""",""[VACÍO]"",TO_TEXT(valor))
)
))))
),""ERROR EN FÓRMULA""))"),"OK")</f>
        <v>OK</v>
      </c>
    </row>
    <row r="4200">
      <c r="A4200" s="83" t="s">
        <v>4896</v>
      </c>
      <c r="B4200" s="83" t="s">
        <v>4897</v>
      </c>
      <c r="C4200" s="81" t="s">
        <v>4086</v>
      </c>
      <c r="D4200" s="83" t="s">
        <v>4793</v>
      </c>
      <c r="E4200" s="81" t="s">
        <v>3821</v>
      </c>
      <c r="F4200" s="81">
        <v>729.0</v>
      </c>
      <c r="G4200" s="81" t="s">
        <v>2</v>
      </c>
      <c r="H4200" s="81" t="s">
        <v>224</v>
      </c>
      <c r="I4200" s="81" t="s">
        <v>213</v>
      </c>
      <c r="J4200" s="81" t="s">
        <v>224</v>
      </c>
      <c r="K4200" s="81" t="str">
        <f>IFERROR(__xludf.DUMMYFUNCTION("IF(OR(D4200="""",G4200=""""),"""",IFERROR(LET(
campo,XLOOKUP(TRIM(G4200),ARRAYFORMULA(TRIM('indice columnas'!$A$2:$A$100)),'indice columnas'!$B$2:$B$100,""""),
col,IFERROR(MATCH(campo,Referencia!$A$1:$AZ$1,0),0),
fila,IFERROR(MATCH(TO_TEXT(D4200),ARRAYFOR"&amp;"MULA(TO_TEXT(Referencia!$A$2:$A6238)),0),0),
IF(OR(campo="""",campo=""-""),""NO APLICA"",
IF(col=0,""REVISAR EQUIVALENCIA"",
IF(fila=0,""SKU NO ENCONTRADO"",
LET(
valor,INDEX(Referencia!$A$2:$AZ6238,fila,col),
IF(TRIM(TO_TEXT(valor))=TRIM(TO_TEXT(I4200)),"&amp;"
""OK"",
""NO COINCIDE. Valor verdadero: ""&amp;IF(valor="""",""[VACÍO]"",TO_TEXT(valor))
)
))))
),""ERROR EN FÓRMULA""))"),"OK")</f>
        <v>OK</v>
      </c>
    </row>
    <row r="4201">
      <c r="A4201" s="83" t="s">
        <v>4896</v>
      </c>
      <c r="B4201" s="83" t="s">
        <v>4897</v>
      </c>
      <c r="C4201" s="81" t="s">
        <v>4086</v>
      </c>
      <c r="D4201" s="83" t="s">
        <v>4793</v>
      </c>
      <c r="E4201" s="81" t="s">
        <v>3821</v>
      </c>
      <c r="F4201" s="81">
        <v>729.0</v>
      </c>
      <c r="G4201" s="81" t="s">
        <v>1</v>
      </c>
      <c r="H4201" s="81" t="s">
        <v>224</v>
      </c>
      <c r="I4201" s="81" t="s">
        <v>49</v>
      </c>
      <c r="J4201" s="81" t="s">
        <v>224</v>
      </c>
      <c r="K4201" s="81" t="str">
        <f>IFERROR(__xludf.DUMMYFUNCTION("IF(OR(D4201="""",G4201=""""),"""",IFERROR(LET(
campo,XLOOKUP(TRIM(G4201),ARRAYFORMULA(TRIM('indice columnas'!$A$2:$A$100)),'indice columnas'!$B$2:$B$100,""""),
col,IFERROR(MATCH(campo,Referencia!$A$1:$AZ$1,0),0),
fila,IFERROR(MATCH(TO_TEXT(D4201),ARRAYFOR"&amp;"MULA(TO_TEXT(Referencia!$A$2:$A6238)),0),0),
IF(OR(campo="""",campo=""-""),""NO APLICA"",
IF(col=0,""REVISAR EQUIVALENCIA"",
IF(fila=0,""SKU NO ENCONTRADO"",
LET(
valor,INDEX(Referencia!$A$2:$AZ6238,fila,col),
IF(TRIM(TO_TEXT(valor))=TRIM(TO_TEXT(I4201)),"&amp;"
""OK"",
""NO COINCIDE. Valor verdadero: ""&amp;IF(valor="""",""[VACÍO]"",TO_TEXT(valor))
)
))))
),""ERROR EN FÓRMULA""))"),"OK")</f>
        <v>OK</v>
      </c>
    </row>
    <row r="4202">
      <c r="A4202" s="83" t="s">
        <v>4896</v>
      </c>
      <c r="B4202" s="83" t="s">
        <v>4897</v>
      </c>
      <c r="C4202" s="81" t="s">
        <v>4086</v>
      </c>
      <c r="D4202" s="83" t="s">
        <v>4795</v>
      </c>
      <c r="E4202" s="81" t="s">
        <v>3831</v>
      </c>
      <c r="F4202" s="81">
        <v>732.0</v>
      </c>
      <c r="G4202" s="81" t="s">
        <v>3</v>
      </c>
      <c r="H4202" s="81" t="s">
        <v>224</v>
      </c>
      <c r="I4202" s="81" t="s">
        <v>920</v>
      </c>
      <c r="J4202" s="81" t="s">
        <v>224</v>
      </c>
      <c r="K4202" s="81" t="str">
        <f>IFERROR(__xludf.DUMMYFUNCTION("IF(OR(D4202="""",G4202=""""),"""",IFERROR(LET(
campo,XLOOKUP(TRIM(G4202),ARRAYFORMULA(TRIM('indice columnas'!$A$2:$A$100)),'indice columnas'!$B$2:$B$100,""""),
col,IFERROR(MATCH(campo,Referencia!$A$1:$AZ$1,0),0),
fila,IFERROR(MATCH(TO_TEXT(D4202),ARRAYFOR"&amp;"MULA(TO_TEXT(Referencia!$A$2:$A6238)),0),0),
IF(OR(campo="""",campo=""-""),""NO APLICA"",
IF(col=0,""REVISAR EQUIVALENCIA"",
IF(fila=0,""SKU NO ENCONTRADO"",
LET(
valor,INDEX(Referencia!$A$2:$AZ6238,fila,col),
IF(TRIM(TO_TEXT(valor))=TRIM(TO_TEXT(I4202)),"&amp;"
""OK"",
""NO COINCIDE. Valor verdadero: ""&amp;IF(valor="""",""[VACÍO]"",TO_TEXT(valor))
)
))))
),""ERROR EN FÓRMULA""))"),"OK")</f>
        <v>OK</v>
      </c>
    </row>
    <row r="4203">
      <c r="A4203" s="83" t="s">
        <v>4896</v>
      </c>
      <c r="B4203" s="83" t="s">
        <v>4897</v>
      </c>
      <c r="C4203" s="81" t="s">
        <v>4086</v>
      </c>
      <c r="D4203" s="83" t="s">
        <v>4795</v>
      </c>
      <c r="E4203" s="81" t="s">
        <v>3831</v>
      </c>
      <c r="F4203" s="81">
        <v>732.0</v>
      </c>
      <c r="G4203" s="81" t="s">
        <v>2</v>
      </c>
      <c r="H4203" s="81" t="s">
        <v>224</v>
      </c>
      <c r="I4203" s="81" t="s">
        <v>213</v>
      </c>
      <c r="J4203" s="81" t="s">
        <v>224</v>
      </c>
      <c r="K4203" s="81" t="str">
        <f>IFERROR(__xludf.DUMMYFUNCTION("IF(OR(D4203="""",G4203=""""),"""",IFERROR(LET(
campo,XLOOKUP(TRIM(G4203),ARRAYFORMULA(TRIM('indice columnas'!$A$2:$A$100)),'indice columnas'!$B$2:$B$100,""""),
col,IFERROR(MATCH(campo,Referencia!$A$1:$AZ$1,0),0),
fila,IFERROR(MATCH(TO_TEXT(D4203),ARRAYFOR"&amp;"MULA(TO_TEXT(Referencia!$A$2:$A6238)),0),0),
IF(OR(campo="""",campo=""-""),""NO APLICA"",
IF(col=0,""REVISAR EQUIVALENCIA"",
IF(fila=0,""SKU NO ENCONTRADO"",
LET(
valor,INDEX(Referencia!$A$2:$AZ6238,fila,col),
IF(TRIM(TO_TEXT(valor))=TRIM(TO_TEXT(I4203)),"&amp;"
""OK"",
""NO COINCIDE. Valor verdadero: ""&amp;IF(valor="""",""[VACÍO]"",TO_TEXT(valor))
)
))))
),""ERROR EN FÓRMULA""))"),"OK")</f>
        <v>OK</v>
      </c>
    </row>
    <row r="4204">
      <c r="A4204" s="83" t="s">
        <v>4896</v>
      </c>
      <c r="B4204" s="83" t="s">
        <v>4897</v>
      </c>
      <c r="C4204" s="81" t="s">
        <v>4086</v>
      </c>
      <c r="D4204" s="83" t="s">
        <v>4795</v>
      </c>
      <c r="E4204" s="81" t="s">
        <v>3831</v>
      </c>
      <c r="F4204" s="81">
        <v>732.0</v>
      </c>
      <c r="G4204" s="81" t="s">
        <v>1</v>
      </c>
      <c r="H4204" s="81" t="s">
        <v>224</v>
      </c>
      <c r="I4204" s="81" t="s">
        <v>49</v>
      </c>
      <c r="J4204" s="81" t="s">
        <v>224</v>
      </c>
      <c r="K4204" s="81" t="str">
        <f>IFERROR(__xludf.DUMMYFUNCTION("IF(OR(D4204="""",G4204=""""),"""",IFERROR(LET(
campo,XLOOKUP(TRIM(G4204),ARRAYFORMULA(TRIM('indice columnas'!$A$2:$A$100)),'indice columnas'!$B$2:$B$100,""""),
col,IFERROR(MATCH(campo,Referencia!$A$1:$AZ$1,0),0),
fila,IFERROR(MATCH(TO_TEXT(D4204),ARRAYFOR"&amp;"MULA(TO_TEXT(Referencia!$A$2:$A6238)),0),0),
IF(OR(campo="""",campo=""-""),""NO APLICA"",
IF(col=0,""REVISAR EQUIVALENCIA"",
IF(fila=0,""SKU NO ENCONTRADO"",
LET(
valor,INDEX(Referencia!$A$2:$AZ6238,fila,col),
IF(TRIM(TO_TEXT(valor))=TRIM(TO_TEXT(I4204)),"&amp;"
""OK"",
""NO COINCIDE. Valor verdadero: ""&amp;IF(valor="""",""[VACÍO]"",TO_TEXT(valor))
)
))))
),""ERROR EN FÓRMULA""))"),"OK")</f>
        <v>OK</v>
      </c>
    </row>
    <row r="4205">
      <c r="A4205" s="83" t="s">
        <v>4896</v>
      </c>
      <c r="B4205" s="83" t="s">
        <v>4897</v>
      </c>
      <c r="C4205" s="81" t="s">
        <v>4086</v>
      </c>
      <c r="D4205" s="83" t="s">
        <v>4797</v>
      </c>
      <c r="E4205" s="81" t="s">
        <v>3839</v>
      </c>
      <c r="F4205" s="81">
        <v>735.0</v>
      </c>
      <c r="G4205" s="81" t="s">
        <v>3</v>
      </c>
      <c r="H4205" s="81" t="s">
        <v>224</v>
      </c>
      <c r="I4205" s="81" t="s">
        <v>920</v>
      </c>
      <c r="J4205" s="81" t="s">
        <v>224</v>
      </c>
      <c r="K4205" s="81" t="str">
        <f>IFERROR(__xludf.DUMMYFUNCTION("IF(OR(D4205="""",G4205=""""),"""",IFERROR(LET(
campo,XLOOKUP(TRIM(G4205),ARRAYFORMULA(TRIM('indice columnas'!$A$2:$A$100)),'indice columnas'!$B$2:$B$100,""""),
col,IFERROR(MATCH(campo,Referencia!$A$1:$AZ$1,0),0),
fila,IFERROR(MATCH(TO_TEXT(D4205),ARRAYFOR"&amp;"MULA(TO_TEXT(Referencia!$A$2:$A6238)),0),0),
IF(OR(campo="""",campo=""-""),""NO APLICA"",
IF(col=0,""REVISAR EQUIVALENCIA"",
IF(fila=0,""SKU NO ENCONTRADO"",
LET(
valor,INDEX(Referencia!$A$2:$AZ6238,fila,col),
IF(TRIM(TO_TEXT(valor))=TRIM(TO_TEXT(I4205)),"&amp;"
""OK"",
""NO COINCIDE. Valor verdadero: ""&amp;IF(valor="""",""[VACÍO]"",TO_TEXT(valor))
)
))))
),""ERROR EN FÓRMULA""))"),"OK")</f>
        <v>OK</v>
      </c>
    </row>
    <row r="4206">
      <c r="A4206" s="83" t="s">
        <v>4896</v>
      </c>
      <c r="B4206" s="83" t="s">
        <v>4897</v>
      </c>
      <c r="C4206" s="81" t="s">
        <v>4086</v>
      </c>
      <c r="D4206" s="83" t="s">
        <v>4797</v>
      </c>
      <c r="E4206" s="81" t="s">
        <v>3839</v>
      </c>
      <c r="F4206" s="81">
        <v>735.0</v>
      </c>
      <c r="G4206" s="81" t="s">
        <v>2</v>
      </c>
      <c r="H4206" s="81" t="s">
        <v>224</v>
      </c>
      <c r="I4206" s="81" t="s">
        <v>213</v>
      </c>
      <c r="J4206" s="81" t="s">
        <v>224</v>
      </c>
      <c r="K4206" s="81" t="str">
        <f>IFERROR(__xludf.DUMMYFUNCTION("IF(OR(D4206="""",G4206=""""),"""",IFERROR(LET(
campo,XLOOKUP(TRIM(G4206),ARRAYFORMULA(TRIM('indice columnas'!$A$2:$A$100)),'indice columnas'!$B$2:$B$100,""""),
col,IFERROR(MATCH(campo,Referencia!$A$1:$AZ$1,0),0),
fila,IFERROR(MATCH(TO_TEXT(D4206),ARRAYFOR"&amp;"MULA(TO_TEXT(Referencia!$A$2:$A6238)),0),0),
IF(OR(campo="""",campo=""-""),""NO APLICA"",
IF(col=0,""REVISAR EQUIVALENCIA"",
IF(fila=0,""SKU NO ENCONTRADO"",
LET(
valor,INDEX(Referencia!$A$2:$AZ6238,fila,col),
IF(TRIM(TO_TEXT(valor))=TRIM(TO_TEXT(I4206)),"&amp;"
""OK"",
""NO COINCIDE. Valor verdadero: ""&amp;IF(valor="""",""[VACÍO]"",TO_TEXT(valor))
)
))))
),""ERROR EN FÓRMULA""))"),"OK")</f>
        <v>OK</v>
      </c>
    </row>
    <row r="4207">
      <c r="A4207" s="83" t="s">
        <v>4896</v>
      </c>
      <c r="B4207" s="83" t="s">
        <v>4897</v>
      </c>
      <c r="C4207" s="81" t="s">
        <v>4086</v>
      </c>
      <c r="D4207" s="83" t="s">
        <v>4797</v>
      </c>
      <c r="E4207" s="81" t="s">
        <v>3839</v>
      </c>
      <c r="F4207" s="81">
        <v>735.0</v>
      </c>
      <c r="G4207" s="81" t="s">
        <v>1</v>
      </c>
      <c r="H4207" s="81" t="s">
        <v>224</v>
      </c>
      <c r="I4207" s="81" t="s">
        <v>49</v>
      </c>
      <c r="J4207" s="81" t="s">
        <v>224</v>
      </c>
      <c r="K4207" s="81" t="str">
        <f>IFERROR(__xludf.DUMMYFUNCTION("IF(OR(D4207="""",G4207=""""),"""",IFERROR(LET(
campo,XLOOKUP(TRIM(G4207),ARRAYFORMULA(TRIM('indice columnas'!$A$2:$A$100)),'indice columnas'!$B$2:$B$100,""""),
col,IFERROR(MATCH(campo,Referencia!$A$1:$AZ$1,0),0),
fila,IFERROR(MATCH(TO_TEXT(D4207),ARRAYFOR"&amp;"MULA(TO_TEXT(Referencia!$A$2:$A6238)),0),0),
IF(OR(campo="""",campo=""-""),""NO APLICA"",
IF(col=0,""REVISAR EQUIVALENCIA"",
IF(fila=0,""SKU NO ENCONTRADO"",
LET(
valor,INDEX(Referencia!$A$2:$AZ6238,fila,col),
IF(TRIM(TO_TEXT(valor))=TRIM(TO_TEXT(I4207)),"&amp;"
""OK"",
""NO COINCIDE. Valor verdadero: ""&amp;IF(valor="""",""[VACÍO]"",TO_TEXT(valor))
)
))))
),""ERROR EN FÓRMULA""))"),"OK")</f>
        <v>OK</v>
      </c>
    </row>
    <row r="4208">
      <c r="A4208" s="83" t="s">
        <v>4896</v>
      </c>
      <c r="B4208" s="83" t="s">
        <v>4897</v>
      </c>
      <c r="C4208" s="81" t="s">
        <v>4086</v>
      </c>
      <c r="D4208" s="83" t="s">
        <v>4798</v>
      </c>
      <c r="E4208" s="81" t="s">
        <v>3842</v>
      </c>
      <c r="F4208" s="81">
        <v>736.0</v>
      </c>
      <c r="G4208" s="81" t="s">
        <v>2</v>
      </c>
      <c r="H4208" s="81" t="s">
        <v>1827</v>
      </c>
      <c r="I4208" s="81" t="s">
        <v>332</v>
      </c>
      <c r="J4208" s="81" t="s">
        <v>224</v>
      </c>
      <c r="K4208" s="81" t="str">
        <f>IFERROR(__xludf.DUMMYFUNCTION("IF(OR(D4208="""",G4208=""""),"""",IFERROR(LET(
campo,XLOOKUP(TRIM(G4208),ARRAYFORMULA(TRIM('indice columnas'!$A$2:$A$100)),'indice columnas'!$B$2:$B$100,""""),
col,IFERROR(MATCH(campo,Referencia!$A$1:$AZ$1,0),0),
fila,IFERROR(MATCH(TO_TEXT(D4208),ARRAYFOR"&amp;"MULA(TO_TEXT(Referencia!$A$2:$A6238)),0),0),
IF(OR(campo="""",campo=""-""),""NO APLICA"",
IF(col=0,""REVISAR EQUIVALENCIA"",
IF(fila=0,""SKU NO ENCONTRADO"",
LET(
valor,INDEX(Referencia!$A$2:$AZ6238,fila,col),
IF(TRIM(TO_TEXT(valor))=TRIM(TO_TEXT(I4208)),"&amp;"
""OK"",
""NO COINCIDE. Valor verdadero: ""&amp;IF(valor="""",""[VACÍO]"",TO_TEXT(valor))
)
))))
),""ERROR EN FÓRMULA""))"),"OK")</f>
        <v>OK</v>
      </c>
    </row>
    <row r="4209">
      <c r="A4209" s="83" t="s">
        <v>4896</v>
      </c>
      <c r="B4209" s="83" t="s">
        <v>4897</v>
      </c>
      <c r="C4209" s="81" t="s">
        <v>4086</v>
      </c>
      <c r="D4209" s="83" t="s">
        <v>4799</v>
      </c>
      <c r="E4209" s="81" t="s">
        <v>3845</v>
      </c>
      <c r="F4209" s="81">
        <v>737.0</v>
      </c>
      <c r="G4209" s="81" t="s">
        <v>2</v>
      </c>
      <c r="H4209" s="81" t="s">
        <v>1827</v>
      </c>
      <c r="I4209" s="81" t="s">
        <v>332</v>
      </c>
      <c r="J4209" s="81" t="s">
        <v>224</v>
      </c>
      <c r="K4209" s="81" t="str">
        <f>IFERROR(__xludf.DUMMYFUNCTION("IF(OR(D4209="""",G4209=""""),"""",IFERROR(LET(
campo,XLOOKUP(TRIM(G4209),ARRAYFORMULA(TRIM('indice columnas'!$A$2:$A$100)),'indice columnas'!$B$2:$B$100,""""),
col,IFERROR(MATCH(campo,Referencia!$A$1:$AZ$1,0),0),
fila,IFERROR(MATCH(TO_TEXT(D4209),ARRAYFOR"&amp;"MULA(TO_TEXT(Referencia!$A$2:$A6238)),0),0),
IF(OR(campo="""",campo=""-""),""NO APLICA"",
IF(col=0,""REVISAR EQUIVALENCIA"",
IF(fila=0,""SKU NO ENCONTRADO"",
LET(
valor,INDEX(Referencia!$A$2:$AZ6238,fila,col),
IF(TRIM(TO_TEXT(valor))=TRIM(TO_TEXT(I4209)),"&amp;"
""OK"",
""NO COINCIDE. Valor verdadero: ""&amp;IF(valor="""",""[VACÍO]"",TO_TEXT(valor))
)
))))
),""ERROR EN FÓRMULA""))"),"OK")</f>
        <v>OK</v>
      </c>
    </row>
    <row r="4210">
      <c r="A4210" s="83" t="s">
        <v>4896</v>
      </c>
      <c r="B4210" s="83" t="s">
        <v>4897</v>
      </c>
      <c r="C4210" s="81" t="s">
        <v>4086</v>
      </c>
      <c r="D4210" s="83" t="s">
        <v>4800</v>
      </c>
      <c r="E4210" s="81" t="s">
        <v>3851</v>
      </c>
      <c r="F4210" s="81">
        <v>739.0</v>
      </c>
      <c r="G4210" s="81" t="s">
        <v>3</v>
      </c>
      <c r="H4210" s="81" t="s">
        <v>224</v>
      </c>
      <c r="I4210" s="81" t="s">
        <v>920</v>
      </c>
      <c r="J4210" s="81" t="s">
        <v>224</v>
      </c>
      <c r="K4210" s="81" t="str">
        <f>IFERROR(__xludf.DUMMYFUNCTION("IF(OR(D4210="""",G4210=""""),"""",IFERROR(LET(
campo,XLOOKUP(TRIM(G4210),ARRAYFORMULA(TRIM('indice columnas'!$A$2:$A$100)),'indice columnas'!$B$2:$B$100,""""),
col,IFERROR(MATCH(campo,Referencia!$A$1:$AZ$1,0),0),
fila,IFERROR(MATCH(TO_TEXT(D4210),ARRAYFOR"&amp;"MULA(TO_TEXT(Referencia!$A$2:$A6238)),0),0),
IF(OR(campo="""",campo=""-""),""NO APLICA"",
IF(col=0,""REVISAR EQUIVALENCIA"",
IF(fila=0,""SKU NO ENCONTRADO"",
LET(
valor,INDEX(Referencia!$A$2:$AZ6238,fila,col),
IF(TRIM(TO_TEXT(valor))=TRIM(TO_TEXT(I4210)),"&amp;"
""OK"",
""NO COINCIDE. Valor verdadero: ""&amp;IF(valor="""",""[VACÍO]"",TO_TEXT(valor))
)
))))
),""ERROR EN FÓRMULA""))"),"OK")</f>
        <v>OK</v>
      </c>
    </row>
    <row r="4211">
      <c r="A4211" s="83" t="s">
        <v>4896</v>
      </c>
      <c r="B4211" s="83" t="s">
        <v>4897</v>
      </c>
      <c r="C4211" s="81" t="s">
        <v>4086</v>
      </c>
      <c r="D4211" s="83" t="s">
        <v>4800</v>
      </c>
      <c r="E4211" s="81" t="s">
        <v>3851</v>
      </c>
      <c r="F4211" s="81">
        <v>739.0</v>
      </c>
      <c r="G4211" s="81" t="s">
        <v>2</v>
      </c>
      <c r="H4211" s="81" t="s">
        <v>224</v>
      </c>
      <c r="I4211" s="81" t="s">
        <v>919</v>
      </c>
      <c r="J4211" s="81" t="s">
        <v>224</v>
      </c>
      <c r="K4211" s="81" t="str">
        <f>IFERROR(__xludf.DUMMYFUNCTION("IF(OR(D4211="""",G4211=""""),"""",IFERROR(LET(
campo,XLOOKUP(TRIM(G4211),ARRAYFORMULA(TRIM('indice columnas'!$A$2:$A$100)),'indice columnas'!$B$2:$B$100,""""),
col,IFERROR(MATCH(campo,Referencia!$A$1:$AZ$1,0),0),
fila,IFERROR(MATCH(TO_TEXT(D4211),ARRAYFOR"&amp;"MULA(TO_TEXT(Referencia!$A$2:$A6238)),0),0),
IF(OR(campo="""",campo=""-""),""NO APLICA"",
IF(col=0,""REVISAR EQUIVALENCIA"",
IF(fila=0,""SKU NO ENCONTRADO"",
LET(
valor,INDEX(Referencia!$A$2:$AZ6238,fila,col),
IF(TRIM(TO_TEXT(valor))=TRIM(TO_TEXT(I4211)),"&amp;"
""OK"",
""NO COINCIDE. Valor verdadero: ""&amp;IF(valor="""",""[VACÍO]"",TO_TEXT(valor))
)
))))
),""ERROR EN FÓRMULA""))"),"OK")</f>
        <v>OK</v>
      </c>
    </row>
    <row r="4212">
      <c r="A4212" s="83" t="s">
        <v>4896</v>
      </c>
      <c r="B4212" s="83" t="s">
        <v>4897</v>
      </c>
      <c r="C4212" s="81" t="s">
        <v>4086</v>
      </c>
      <c r="D4212" s="83" t="s">
        <v>4800</v>
      </c>
      <c r="E4212" s="81" t="s">
        <v>3851</v>
      </c>
      <c r="F4212" s="81">
        <v>739.0</v>
      </c>
      <c r="G4212" s="81" t="s">
        <v>1</v>
      </c>
      <c r="H4212" s="81" t="s">
        <v>224</v>
      </c>
      <c r="I4212" s="81" t="s">
        <v>49</v>
      </c>
      <c r="J4212" s="81" t="s">
        <v>224</v>
      </c>
      <c r="K4212" s="81" t="str">
        <f>IFERROR(__xludf.DUMMYFUNCTION("IF(OR(D4212="""",G4212=""""),"""",IFERROR(LET(
campo,XLOOKUP(TRIM(G4212),ARRAYFORMULA(TRIM('indice columnas'!$A$2:$A$100)),'indice columnas'!$B$2:$B$100,""""),
col,IFERROR(MATCH(campo,Referencia!$A$1:$AZ$1,0),0),
fila,IFERROR(MATCH(TO_TEXT(D4212),ARRAYFOR"&amp;"MULA(TO_TEXT(Referencia!$A$2:$A6238)),0),0),
IF(OR(campo="""",campo=""-""),""NO APLICA"",
IF(col=0,""REVISAR EQUIVALENCIA"",
IF(fila=0,""SKU NO ENCONTRADO"",
LET(
valor,INDEX(Referencia!$A$2:$AZ6238,fila,col),
IF(TRIM(TO_TEXT(valor))=TRIM(TO_TEXT(I4212)),"&amp;"
""OK"",
""NO COINCIDE. Valor verdadero: ""&amp;IF(valor="""",""[VACÍO]"",TO_TEXT(valor))
)
))))
),""ERROR EN FÓRMULA""))"),"OK")</f>
        <v>OK</v>
      </c>
    </row>
    <row r="4213">
      <c r="A4213" s="83" t="s">
        <v>4896</v>
      </c>
      <c r="B4213" s="83" t="s">
        <v>4897</v>
      </c>
      <c r="C4213" s="81" t="s">
        <v>4086</v>
      </c>
      <c r="D4213" s="83" t="s">
        <v>4802</v>
      </c>
      <c r="E4213" s="81" t="s">
        <v>3852</v>
      </c>
      <c r="F4213" s="81">
        <v>740.0</v>
      </c>
      <c r="G4213" s="81" t="s">
        <v>3</v>
      </c>
      <c r="H4213" s="81" t="s">
        <v>224</v>
      </c>
      <c r="I4213" s="81" t="s">
        <v>920</v>
      </c>
      <c r="J4213" s="81" t="s">
        <v>224</v>
      </c>
      <c r="K4213" s="81" t="str">
        <f>IFERROR(__xludf.DUMMYFUNCTION("IF(OR(D4213="""",G4213=""""),"""",IFERROR(LET(
campo,XLOOKUP(TRIM(G4213),ARRAYFORMULA(TRIM('indice columnas'!$A$2:$A$100)),'indice columnas'!$B$2:$B$100,""""),
col,IFERROR(MATCH(campo,Referencia!$A$1:$AZ$1,0),0),
fila,IFERROR(MATCH(TO_TEXT(D4213),ARRAYFOR"&amp;"MULA(TO_TEXT(Referencia!$A$2:$A6238)),0),0),
IF(OR(campo="""",campo=""-""),""NO APLICA"",
IF(col=0,""REVISAR EQUIVALENCIA"",
IF(fila=0,""SKU NO ENCONTRADO"",
LET(
valor,INDEX(Referencia!$A$2:$AZ6238,fila,col),
IF(TRIM(TO_TEXT(valor))=TRIM(TO_TEXT(I4213)),"&amp;"
""OK"",
""NO COINCIDE. Valor verdadero: ""&amp;IF(valor="""",""[VACÍO]"",TO_TEXT(valor))
)
))))
),""ERROR EN FÓRMULA""))"),"OK")</f>
        <v>OK</v>
      </c>
    </row>
    <row r="4214">
      <c r="A4214" s="83" t="s">
        <v>4896</v>
      </c>
      <c r="B4214" s="83" t="s">
        <v>4897</v>
      </c>
      <c r="C4214" s="81" t="s">
        <v>4086</v>
      </c>
      <c r="D4214" s="83" t="s">
        <v>4802</v>
      </c>
      <c r="E4214" s="81" t="s">
        <v>3852</v>
      </c>
      <c r="F4214" s="81">
        <v>740.0</v>
      </c>
      <c r="G4214" s="81" t="s">
        <v>2</v>
      </c>
      <c r="H4214" s="81" t="s">
        <v>224</v>
      </c>
      <c r="I4214" s="81" t="s">
        <v>919</v>
      </c>
      <c r="J4214" s="81" t="s">
        <v>224</v>
      </c>
      <c r="K4214" s="81" t="str">
        <f>IFERROR(__xludf.DUMMYFUNCTION("IF(OR(D4214="""",G4214=""""),"""",IFERROR(LET(
campo,XLOOKUP(TRIM(G4214),ARRAYFORMULA(TRIM('indice columnas'!$A$2:$A$100)),'indice columnas'!$B$2:$B$100,""""),
col,IFERROR(MATCH(campo,Referencia!$A$1:$AZ$1,0),0),
fila,IFERROR(MATCH(TO_TEXT(D4214),ARRAYFOR"&amp;"MULA(TO_TEXT(Referencia!$A$2:$A6238)),0),0),
IF(OR(campo="""",campo=""-""),""NO APLICA"",
IF(col=0,""REVISAR EQUIVALENCIA"",
IF(fila=0,""SKU NO ENCONTRADO"",
LET(
valor,INDEX(Referencia!$A$2:$AZ6238,fila,col),
IF(TRIM(TO_TEXT(valor))=TRIM(TO_TEXT(I4214)),"&amp;"
""OK"",
""NO COINCIDE. Valor verdadero: ""&amp;IF(valor="""",""[VACÍO]"",TO_TEXT(valor))
)
))))
),""ERROR EN FÓRMULA""))"),"OK")</f>
        <v>OK</v>
      </c>
    </row>
    <row r="4215">
      <c r="A4215" s="83" t="s">
        <v>4896</v>
      </c>
      <c r="B4215" s="83" t="s">
        <v>4897</v>
      </c>
      <c r="C4215" s="81" t="s">
        <v>4086</v>
      </c>
      <c r="D4215" s="83" t="s">
        <v>4802</v>
      </c>
      <c r="E4215" s="81" t="s">
        <v>3852</v>
      </c>
      <c r="F4215" s="81">
        <v>740.0</v>
      </c>
      <c r="G4215" s="81" t="s">
        <v>1</v>
      </c>
      <c r="H4215" s="81" t="s">
        <v>224</v>
      </c>
      <c r="I4215" s="81" t="s">
        <v>49</v>
      </c>
      <c r="J4215" s="81" t="s">
        <v>224</v>
      </c>
      <c r="K4215" s="81" t="str">
        <f>IFERROR(__xludf.DUMMYFUNCTION("IF(OR(D4215="""",G4215=""""),"""",IFERROR(LET(
campo,XLOOKUP(TRIM(G4215),ARRAYFORMULA(TRIM('indice columnas'!$A$2:$A$100)),'indice columnas'!$B$2:$B$100,""""),
col,IFERROR(MATCH(campo,Referencia!$A$1:$AZ$1,0),0),
fila,IFERROR(MATCH(TO_TEXT(D4215),ARRAYFOR"&amp;"MULA(TO_TEXT(Referencia!$A$2:$A6238)),0),0),
IF(OR(campo="""",campo=""-""),""NO APLICA"",
IF(col=0,""REVISAR EQUIVALENCIA"",
IF(fila=0,""SKU NO ENCONTRADO"",
LET(
valor,INDEX(Referencia!$A$2:$AZ6238,fila,col),
IF(TRIM(TO_TEXT(valor))=TRIM(TO_TEXT(I4215)),"&amp;"
""OK"",
""NO COINCIDE. Valor verdadero: ""&amp;IF(valor="""",""[VACÍO]"",TO_TEXT(valor))
)
))))
),""ERROR EN FÓRMULA""))"),"OK")</f>
        <v>OK</v>
      </c>
    </row>
    <row r="4216">
      <c r="A4216" s="83" t="s">
        <v>4896</v>
      </c>
      <c r="B4216" s="83" t="s">
        <v>4897</v>
      </c>
      <c r="C4216" s="81" t="s">
        <v>4086</v>
      </c>
      <c r="D4216" s="83" t="s">
        <v>4805</v>
      </c>
      <c r="E4216" s="81" t="s">
        <v>3859</v>
      </c>
      <c r="F4216" s="81">
        <v>744.0</v>
      </c>
      <c r="G4216" s="81" t="s">
        <v>3</v>
      </c>
      <c r="H4216" s="81" t="s">
        <v>224</v>
      </c>
      <c r="I4216" s="81" t="s">
        <v>920</v>
      </c>
      <c r="J4216" s="81" t="s">
        <v>224</v>
      </c>
      <c r="K4216" s="81" t="str">
        <f>IFERROR(__xludf.DUMMYFUNCTION("IF(OR(D4216="""",G4216=""""),"""",IFERROR(LET(
campo,XLOOKUP(TRIM(G4216),ARRAYFORMULA(TRIM('indice columnas'!$A$2:$A$100)),'indice columnas'!$B$2:$B$100,""""),
col,IFERROR(MATCH(campo,Referencia!$A$1:$AZ$1,0),0),
fila,IFERROR(MATCH(TO_TEXT(D4216),ARRAYFOR"&amp;"MULA(TO_TEXT(Referencia!$A$2:$A6238)),0),0),
IF(OR(campo="""",campo=""-""),""NO APLICA"",
IF(col=0,""REVISAR EQUIVALENCIA"",
IF(fila=0,""SKU NO ENCONTRADO"",
LET(
valor,INDEX(Referencia!$A$2:$AZ6238,fila,col),
IF(TRIM(TO_TEXT(valor))=TRIM(TO_TEXT(I4216)),"&amp;"
""OK"",
""NO COINCIDE. Valor verdadero: ""&amp;IF(valor="""",""[VACÍO]"",TO_TEXT(valor))
)
))))
),""ERROR EN FÓRMULA""))"),"OK")</f>
        <v>OK</v>
      </c>
    </row>
    <row r="4217">
      <c r="A4217" s="83" t="s">
        <v>4896</v>
      </c>
      <c r="B4217" s="83" t="s">
        <v>4897</v>
      </c>
      <c r="C4217" s="81" t="s">
        <v>4086</v>
      </c>
      <c r="D4217" s="83" t="s">
        <v>4805</v>
      </c>
      <c r="E4217" s="81" t="s">
        <v>3859</v>
      </c>
      <c r="F4217" s="81">
        <v>744.0</v>
      </c>
      <c r="G4217" s="81" t="s">
        <v>2</v>
      </c>
      <c r="H4217" s="81" t="s">
        <v>224</v>
      </c>
      <c r="I4217" s="81" t="s">
        <v>919</v>
      </c>
      <c r="J4217" s="81" t="s">
        <v>224</v>
      </c>
      <c r="K4217" s="81" t="str">
        <f>IFERROR(__xludf.DUMMYFUNCTION("IF(OR(D4217="""",G4217=""""),"""",IFERROR(LET(
campo,XLOOKUP(TRIM(G4217),ARRAYFORMULA(TRIM('indice columnas'!$A$2:$A$100)),'indice columnas'!$B$2:$B$100,""""),
col,IFERROR(MATCH(campo,Referencia!$A$1:$AZ$1,0),0),
fila,IFERROR(MATCH(TO_TEXT(D4217),ARRAYFOR"&amp;"MULA(TO_TEXT(Referencia!$A$2:$A6238)),0),0),
IF(OR(campo="""",campo=""-""),""NO APLICA"",
IF(col=0,""REVISAR EQUIVALENCIA"",
IF(fila=0,""SKU NO ENCONTRADO"",
LET(
valor,INDEX(Referencia!$A$2:$AZ6238,fila,col),
IF(TRIM(TO_TEXT(valor))=TRIM(TO_TEXT(I4217)),"&amp;"
""OK"",
""NO COINCIDE. Valor verdadero: ""&amp;IF(valor="""",""[VACÍO]"",TO_TEXT(valor))
)
))))
),""ERROR EN FÓRMULA""))"),"OK")</f>
        <v>OK</v>
      </c>
    </row>
    <row r="4218">
      <c r="A4218" s="83" t="s">
        <v>4896</v>
      </c>
      <c r="B4218" s="83" t="s">
        <v>4897</v>
      </c>
      <c r="C4218" s="81" t="s">
        <v>4086</v>
      </c>
      <c r="D4218" s="83" t="s">
        <v>4805</v>
      </c>
      <c r="E4218" s="81" t="s">
        <v>3859</v>
      </c>
      <c r="F4218" s="81">
        <v>744.0</v>
      </c>
      <c r="G4218" s="81" t="s">
        <v>1</v>
      </c>
      <c r="H4218" s="81" t="s">
        <v>224</v>
      </c>
      <c r="I4218" s="81" t="s">
        <v>49</v>
      </c>
      <c r="J4218" s="81" t="s">
        <v>224</v>
      </c>
      <c r="K4218" s="81" t="str">
        <f>IFERROR(__xludf.DUMMYFUNCTION("IF(OR(D4218="""",G4218=""""),"""",IFERROR(LET(
campo,XLOOKUP(TRIM(G4218),ARRAYFORMULA(TRIM('indice columnas'!$A$2:$A$100)),'indice columnas'!$B$2:$B$100,""""),
col,IFERROR(MATCH(campo,Referencia!$A$1:$AZ$1,0),0),
fila,IFERROR(MATCH(TO_TEXT(D4218),ARRAYFOR"&amp;"MULA(TO_TEXT(Referencia!$A$2:$A6238)),0),0),
IF(OR(campo="""",campo=""-""),""NO APLICA"",
IF(col=0,""REVISAR EQUIVALENCIA"",
IF(fila=0,""SKU NO ENCONTRADO"",
LET(
valor,INDEX(Referencia!$A$2:$AZ6238,fila,col),
IF(TRIM(TO_TEXT(valor))=TRIM(TO_TEXT(I4218)),"&amp;"
""OK"",
""NO COINCIDE. Valor verdadero: ""&amp;IF(valor="""",""[VACÍO]"",TO_TEXT(valor))
)
))))
),""ERROR EN FÓRMULA""))"),"OK")</f>
        <v>OK</v>
      </c>
    </row>
    <row r="4219">
      <c r="A4219" s="83" t="s">
        <v>4896</v>
      </c>
      <c r="B4219" s="83" t="s">
        <v>4897</v>
      </c>
      <c r="C4219" s="81" t="s">
        <v>4086</v>
      </c>
      <c r="D4219" s="83" t="s">
        <v>4807</v>
      </c>
      <c r="E4219" s="81" t="s">
        <v>3862</v>
      </c>
      <c r="F4219" s="81">
        <v>747.0</v>
      </c>
      <c r="G4219" s="81" t="s">
        <v>3</v>
      </c>
      <c r="H4219" s="81" t="s">
        <v>224</v>
      </c>
      <c r="I4219" s="81" t="s">
        <v>926</v>
      </c>
      <c r="J4219" s="81" t="s">
        <v>224</v>
      </c>
      <c r="K4219" s="81" t="str">
        <f>IFERROR(__xludf.DUMMYFUNCTION("IF(OR(D4219="""",G4219=""""),"""",IFERROR(LET(
campo,XLOOKUP(TRIM(G4219),ARRAYFORMULA(TRIM('indice columnas'!$A$2:$A$100)),'indice columnas'!$B$2:$B$100,""""),
col,IFERROR(MATCH(campo,Referencia!$A$1:$AZ$1,0),0),
fila,IFERROR(MATCH(TO_TEXT(D4219),ARRAYFOR"&amp;"MULA(TO_TEXT(Referencia!$A$2:$A6238)),0),0),
IF(OR(campo="""",campo=""-""),""NO APLICA"",
IF(col=0,""REVISAR EQUIVALENCIA"",
IF(fila=0,""SKU NO ENCONTRADO"",
LET(
valor,INDEX(Referencia!$A$2:$AZ6238,fila,col),
IF(TRIM(TO_TEXT(valor))=TRIM(TO_TEXT(I4219)),"&amp;"
""OK"",
""NO COINCIDE. Valor verdadero: ""&amp;IF(valor="""",""[VACÍO]"",TO_TEXT(valor))
)
))))
),""ERROR EN FÓRMULA""))"),"OK")</f>
        <v>OK</v>
      </c>
    </row>
    <row r="4220">
      <c r="A4220" s="83" t="s">
        <v>4896</v>
      </c>
      <c r="B4220" s="83" t="s">
        <v>4897</v>
      </c>
      <c r="C4220" s="81" t="s">
        <v>4086</v>
      </c>
      <c r="D4220" s="83" t="s">
        <v>4807</v>
      </c>
      <c r="E4220" s="81" t="s">
        <v>3862</v>
      </c>
      <c r="F4220" s="81">
        <v>747.0</v>
      </c>
      <c r="G4220" s="81" t="s">
        <v>2</v>
      </c>
      <c r="H4220" s="81" t="s">
        <v>224</v>
      </c>
      <c r="I4220" s="81" t="s">
        <v>919</v>
      </c>
      <c r="J4220" s="81" t="s">
        <v>224</v>
      </c>
      <c r="K4220" s="81" t="str">
        <f>IFERROR(__xludf.DUMMYFUNCTION("IF(OR(D4220="""",G4220=""""),"""",IFERROR(LET(
campo,XLOOKUP(TRIM(G4220),ARRAYFORMULA(TRIM('indice columnas'!$A$2:$A$100)),'indice columnas'!$B$2:$B$100,""""),
col,IFERROR(MATCH(campo,Referencia!$A$1:$AZ$1,0),0),
fila,IFERROR(MATCH(TO_TEXT(D4220),ARRAYFOR"&amp;"MULA(TO_TEXT(Referencia!$A$2:$A6238)),0),0),
IF(OR(campo="""",campo=""-""),""NO APLICA"",
IF(col=0,""REVISAR EQUIVALENCIA"",
IF(fila=0,""SKU NO ENCONTRADO"",
LET(
valor,INDEX(Referencia!$A$2:$AZ6238,fila,col),
IF(TRIM(TO_TEXT(valor))=TRIM(TO_TEXT(I4220)),"&amp;"
""OK"",
""NO COINCIDE. Valor verdadero: ""&amp;IF(valor="""",""[VACÍO]"",TO_TEXT(valor))
)
))))
),""ERROR EN FÓRMULA""))"),"OK")</f>
        <v>OK</v>
      </c>
    </row>
    <row r="4221">
      <c r="A4221" s="83" t="s">
        <v>4896</v>
      </c>
      <c r="B4221" s="83" t="s">
        <v>4897</v>
      </c>
      <c r="C4221" s="81" t="s">
        <v>4086</v>
      </c>
      <c r="D4221" s="83" t="s">
        <v>4807</v>
      </c>
      <c r="E4221" s="81" t="s">
        <v>3862</v>
      </c>
      <c r="F4221" s="81">
        <v>747.0</v>
      </c>
      <c r="G4221" s="81" t="s">
        <v>1</v>
      </c>
      <c r="H4221" s="81" t="s">
        <v>224</v>
      </c>
      <c r="I4221" s="81" t="s">
        <v>49</v>
      </c>
      <c r="J4221" s="81" t="s">
        <v>224</v>
      </c>
      <c r="K4221" s="81" t="str">
        <f>IFERROR(__xludf.DUMMYFUNCTION("IF(OR(D4221="""",G4221=""""),"""",IFERROR(LET(
campo,XLOOKUP(TRIM(G4221),ARRAYFORMULA(TRIM('indice columnas'!$A$2:$A$100)),'indice columnas'!$B$2:$B$100,""""),
col,IFERROR(MATCH(campo,Referencia!$A$1:$AZ$1,0),0),
fila,IFERROR(MATCH(TO_TEXT(D4221),ARRAYFOR"&amp;"MULA(TO_TEXT(Referencia!$A$2:$A6238)),0),0),
IF(OR(campo="""",campo=""-""),""NO APLICA"",
IF(col=0,""REVISAR EQUIVALENCIA"",
IF(fila=0,""SKU NO ENCONTRADO"",
LET(
valor,INDEX(Referencia!$A$2:$AZ6238,fila,col),
IF(TRIM(TO_TEXT(valor))=TRIM(TO_TEXT(I4221)),"&amp;"
""OK"",
""NO COINCIDE. Valor verdadero: ""&amp;IF(valor="""",""[VACÍO]"",TO_TEXT(valor))
)
))))
),""ERROR EN FÓRMULA""))"),"OK")</f>
        <v>OK</v>
      </c>
    </row>
    <row r="4222">
      <c r="A4222" s="83" t="s">
        <v>4896</v>
      </c>
      <c r="B4222" s="83" t="s">
        <v>4897</v>
      </c>
      <c r="C4222" s="81" t="s">
        <v>4086</v>
      </c>
      <c r="D4222" s="83" t="s">
        <v>4808</v>
      </c>
      <c r="E4222" s="81" t="s">
        <v>3867</v>
      </c>
      <c r="F4222" s="81">
        <v>749.0</v>
      </c>
      <c r="G4222" s="81" t="s">
        <v>1</v>
      </c>
      <c r="H4222" s="81" t="s">
        <v>1290</v>
      </c>
      <c r="I4222" s="81" t="s">
        <v>49</v>
      </c>
      <c r="J4222" s="81" t="s">
        <v>224</v>
      </c>
      <c r="K4222" s="81" t="str">
        <f>IFERROR(__xludf.DUMMYFUNCTION("IF(OR(D4222="""",G4222=""""),"""",IFERROR(LET(
campo,XLOOKUP(TRIM(G4222),ARRAYFORMULA(TRIM('indice columnas'!$A$2:$A$100)),'indice columnas'!$B$2:$B$100,""""),
col,IFERROR(MATCH(campo,Referencia!$A$1:$AZ$1,0),0),
fila,IFERROR(MATCH(TO_TEXT(D4222),ARRAYFOR"&amp;"MULA(TO_TEXT(Referencia!$A$2:$A6238)),0),0),
IF(OR(campo="""",campo=""-""),""NO APLICA"",
IF(col=0,""REVISAR EQUIVALENCIA"",
IF(fila=0,""SKU NO ENCONTRADO"",
LET(
valor,INDEX(Referencia!$A$2:$AZ6238,fila,col),
IF(TRIM(TO_TEXT(valor))=TRIM(TO_TEXT(I4222)),"&amp;"
""OK"",
""NO COINCIDE. Valor verdadero: ""&amp;IF(valor="""",""[VACÍO]"",TO_TEXT(valor))
)
))))
),""ERROR EN FÓRMULA""))"),"OK")</f>
        <v>OK</v>
      </c>
    </row>
    <row r="4223">
      <c r="A4223" s="83" t="s">
        <v>4896</v>
      </c>
      <c r="B4223" s="83" t="s">
        <v>4897</v>
      </c>
      <c r="C4223" s="81" t="s">
        <v>4086</v>
      </c>
      <c r="D4223" s="83" t="s">
        <v>4809</v>
      </c>
      <c r="E4223" s="81" t="s">
        <v>3868</v>
      </c>
      <c r="F4223" s="81">
        <v>750.0</v>
      </c>
      <c r="G4223" s="81" t="s">
        <v>3</v>
      </c>
      <c r="H4223" s="81" t="s">
        <v>224</v>
      </c>
      <c r="I4223" s="81" t="s">
        <v>920</v>
      </c>
      <c r="J4223" s="81" t="s">
        <v>224</v>
      </c>
      <c r="K4223" s="81" t="str">
        <f>IFERROR(__xludf.DUMMYFUNCTION("IF(OR(D4223="""",G4223=""""),"""",IFERROR(LET(
campo,XLOOKUP(TRIM(G4223),ARRAYFORMULA(TRIM('indice columnas'!$A$2:$A$100)),'indice columnas'!$B$2:$B$100,""""),
col,IFERROR(MATCH(campo,Referencia!$A$1:$AZ$1,0),0),
fila,IFERROR(MATCH(TO_TEXT(D4223),ARRAYFOR"&amp;"MULA(TO_TEXT(Referencia!$A$2:$A6238)),0),0),
IF(OR(campo="""",campo=""-""),""NO APLICA"",
IF(col=0,""REVISAR EQUIVALENCIA"",
IF(fila=0,""SKU NO ENCONTRADO"",
LET(
valor,INDEX(Referencia!$A$2:$AZ6238,fila,col),
IF(TRIM(TO_TEXT(valor))=TRIM(TO_TEXT(I4223)),"&amp;"
""OK"",
""NO COINCIDE. Valor verdadero: ""&amp;IF(valor="""",""[VACÍO]"",TO_TEXT(valor))
)
))))
),""ERROR EN FÓRMULA""))"),"OK")</f>
        <v>OK</v>
      </c>
    </row>
    <row r="4224">
      <c r="A4224" s="83" t="s">
        <v>4896</v>
      </c>
      <c r="B4224" s="83" t="s">
        <v>4897</v>
      </c>
      <c r="C4224" s="81" t="s">
        <v>4086</v>
      </c>
      <c r="D4224" s="83" t="s">
        <v>4809</v>
      </c>
      <c r="E4224" s="81" t="s">
        <v>3868</v>
      </c>
      <c r="F4224" s="81">
        <v>750.0</v>
      </c>
      <c r="G4224" s="81" t="s">
        <v>2</v>
      </c>
      <c r="H4224" s="81" t="s">
        <v>224</v>
      </c>
      <c r="I4224" s="81" t="s">
        <v>1291</v>
      </c>
      <c r="J4224" s="81" t="s">
        <v>224</v>
      </c>
      <c r="K4224" s="81" t="str">
        <f>IFERROR(__xludf.DUMMYFUNCTION("IF(OR(D4224="""",G4224=""""),"""",IFERROR(LET(
campo,XLOOKUP(TRIM(G4224),ARRAYFORMULA(TRIM('indice columnas'!$A$2:$A$100)),'indice columnas'!$B$2:$B$100,""""),
col,IFERROR(MATCH(campo,Referencia!$A$1:$AZ$1,0),0),
fila,IFERROR(MATCH(TO_TEXT(D4224),ARRAYFOR"&amp;"MULA(TO_TEXT(Referencia!$A$2:$A6238)),0),0),
IF(OR(campo="""",campo=""-""),""NO APLICA"",
IF(col=0,""REVISAR EQUIVALENCIA"",
IF(fila=0,""SKU NO ENCONTRADO"",
LET(
valor,INDEX(Referencia!$A$2:$AZ6238,fila,col),
IF(TRIM(TO_TEXT(valor))=TRIM(TO_TEXT(I4224)),"&amp;"
""OK"",
""NO COINCIDE. Valor verdadero: ""&amp;IF(valor="""",""[VACÍO]"",TO_TEXT(valor))
)
))))
),""ERROR EN FÓRMULA""))"),"OK")</f>
        <v>OK</v>
      </c>
    </row>
    <row r="4225">
      <c r="A4225" s="83" t="s">
        <v>4896</v>
      </c>
      <c r="B4225" s="83" t="s">
        <v>4897</v>
      </c>
      <c r="C4225" s="81" t="s">
        <v>4086</v>
      </c>
      <c r="D4225" s="83" t="s">
        <v>4809</v>
      </c>
      <c r="E4225" s="81" t="s">
        <v>3868</v>
      </c>
      <c r="F4225" s="81">
        <v>750.0</v>
      </c>
      <c r="G4225" s="81" t="s">
        <v>1</v>
      </c>
      <c r="H4225" s="81" t="s">
        <v>1290</v>
      </c>
      <c r="I4225" s="81" t="s">
        <v>49</v>
      </c>
      <c r="J4225" s="81" t="s">
        <v>224</v>
      </c>
      <c r="K4225" s="81" t="str">
        <f>IFERROR(__xludf.DUMMYFUNCTION("IF(OR(D4225="""",G4225=""""),"""",IFERROR(LET(
campo,XLOOKUP(TRIM(G4225),ARRAYFORMULA(TRIM('indice columnas'!$A$2:$A$100)),'indice columnas'!$B$2:$B$100,""""),
col,IFERROR(MATCH(campo,Referencia!$A$1:$AZ$1,0),0),
fila,IFERROR(MATCH(TO_TEXT(D4225),ARRAYFOR"&amp;"MULA(TO_TEXT(Referencia!$A$2:$A6238)),0),0),
IF(OR(campo="""",campo=""-""),""NO APLICA"",
IF(col=0,""REVISAR EQUIVALENCIA"",
IF(fila=0,""SKU NO ENCONTRADO"",
LET(
valor,INDEX(Referencia!$A$2:$AZ6238,fila,col),
IF(TRIM(TO_TEXT(valor))=TRIM(TO_TEXT(I4225)),"&amp;"
""OK"",
""NO COINCIDE. Valor verdadero: ""&amp;IF(valor="""",""[VACÍO]"",TO_TEXT(valor))
)
))))
),""ERROR EN FÓRMULA""))"),"OK")</f>
        <v>OK</v>
      </c>
    </row>
    <row r="4226">
      <c r="A4226" s="83" t="s">
        <v>4896</v>
      </c>
      <c r="B4226" s="83" t="s">
        <v>4897</v>
      </c>
      <c r="C4226" s="81" t="s">
        <v>4086</v>
      </c>
      <c r="D4226" s="83" t="s">
        <v>4776</v>
      </c>
      <c r="E4226" s="81" t="s">
        <v>3899</v>
      </c>
      <c r="F4226" s="81">
        <v>759.0</v>
      </c>
      <c r="G4226" s="81" t="s">
        <v>3</v>
      </c>
      <c r="H4226" s="81" t="s">
        <v>376</v>
      </c>
      <c r="I4226" s="81" t="s">
        <v>344</v>
      </c>
      <c r="J4226" s="81" t="s">
        <v>224</v>
      </c>
      <c r="K4226" s="81" t="str">
        <f>IFERROR(__xludf.DUMMYFUNCTION("IF(OR(D4226="""",G4226=""""),"""",IFERROR(LET(
campo,XLOOKUP(TRIM(G4226),ARRAYFORMULA(TRIM('indice columnas'!$A$2:$A$100)),'indice columnas'!$B$2:$B$100,""""),
col,IFERROR(MATCH(campo,Referencia!$A$1:$AZ$1,0),0),
fila,IFERROR(MATCH(TO_TEXT(D4226),ARRAYFOR"&amp;"MULA(TO_TEXT(Referencia!$A$2:$A6238)),0),0),
IF(OR(campo="""",campo=""-""),""NO APLICA"",
IF(col=0,""REVISAR EQUIVALENCIA"",
IF(fila=0,""SKU NO ENCONTRADO"",
LET(
valor,INDEX(Referencia!$A$2:$AZ6238,fila,col),
IF(TRIM(TO_TEXT(valor))=TRIM(TO_TEXT(I4226)),"&amp;"
""OK"",
""NO COINCIDE. Valor verdadero: ""&amp;IF(valor="""",""[VACÍO]"",TO_TEXT(valor))
)
))))
),""ERROR EN FÓRMULA""))"),"OK")</f>
        <v>OK</v>
      </c>
    </row>
    <row r="4227">
      <c r="A4227" s="83" t="s">
        <v>4896</v>
      </c>
      <c r="B4227" s="83" t="s">
        <v>4897</v>
      </c>
      <c r="C4227" s="81" t="s">
        <v>4086</v>
      </c>
      <c r="D4227" s="83" t="s">
        <v>4819</v>
      </c>
      <c r="E4227" s="81" t="s">
        <v>3900</v>
      </c>
      <c r="F4227" s="81">
        <v>760.0</v>
      </c>
      <c r="G4227" s="81" t="s">
        <v>3</v>
      </c>
      <c r="H4227" s="81" t="s">
        <v>224</v>
      </c>
      <c r="I4227" s="81" t="s">
        <v>344</v>
      </c>
      <c r="J4227" s="81" t="s">
        <v>224</v>
      </c>
      <c r="K4227" s="81" t="str">
        <f>IFERROR(__xludf.DUMMYFUNCTION("IF(OR(D4227="""",G4227=""""),"""",IFERROR(LET(
campo,XLOOKUP(TRIM(G4227),ARRAYFORMULA(TRIM('indice columnas'!$A$2:$A$100)),'indice columnas'!$B$2:$B$100,""""),
col,IFERROR(MATCH(campo,Referencia!$A$1:$AZ$1,0),0),
fila,IFERROR(MATCH(TO_TEXT(D4227),ARRAYFOR"&amp;"MULA(TO_TEXT(Referencia!$A$2:$A6238)),0),0),
IF(OR(campo="""",campo=""-""),""NO APLICA"",
IF(col=0,""REVISAR EQUIVALENCIA"",
IF(fila=0,""SKU NO ENCONTRADO"",
LET(
valor,INDEX(Referencia!$A$2:$AZ6238,fila,col),
IF(TRIM(TO_TEXT(valor))=TRIM(TO_TEXT(I4227)),"&amp;"
""OK"",
""NO COINCIDE. Valor verdadero: ""&amp;IF(valor="""",""[VACÍO]"",TO_TEXT(valor))
)
))))
),""ERROR EN FÓRMULA""))"),"OK")</f>
        <v>OK</v>
      </c>
    </row>
    <row r="4228">
      <c r="A4228" s="83" t="s">
        <v>4896</v>
      </c>
      <c r="B4228" s="83" t="s">
        <v>4897</v>
      </c>
      <c r="C4228" s="81" t="s">
        <v>4086</v>
      </c>
      <c r="D4228" s="83" t="s">
        <v>4819</v>
      </c>
      <c r="E4228" s="81" t="s">
        <v>3900</v>
      </c>
      <c r="F4228" s="81">
        <v>760.0</v>
      </c>
      <c r="G4228" s="81" t="s">
        <v>2</v>
      </c>
      <c r="H4228" s="81" t="s">
        <v>224</v>
      </c>
      <c r="I4228" s="81" t="s">
        <v>213</v>
      </c>
      <c r="J4228" s="81" t="s">
        <v>224</v>
      </c>
      <c r="K4228" s="81" t="str">
        <f>IFERROR(__xludf.DUMMYFUNCTION("IF(OR(D4228="""",G4228=""""),"""",IFERROR(LET(
campo,XLOOKUP(TRIM(G4228),ARRAYFORMULA(TRIM('indice columnas'!$A$2:$A$100)),'indice columnas'!$B$2:$B$100,""""),
col,IFERROR(MATCH(campo,Referencia!$A$1:$AZ$1,0),0),
fila,IFERROR(MATCH(TO_TEXT(D4228),ARRAYFOR"&amp;"MULA(TO_TEXT(Referencia!$A$2:$A6238)),0),0),
IF(OR(campo="""",campo=""-""),""NO APLICA"",
IF(col=0,""REVISAR EQUIVALENCIA"",
IF(fila=0,""SKU NO ENCONTRADO"",
LET(
valor,INDEX(Referencia!$A$2:$AZ6238,fila,col),
IF(TRIM(TO_TEXT(valor))=TRIM(TO_TEXT(I4228)),"&amp;"
""OK"",
""NO COINCIDE. Valor verdadero: ""&amp;IF(valor="""",""[VACÍO]"",TO_TEXT(valor))
)
))))
),""ERROR EN FÓRMULA""))"),"OK")</f>
        <v>OK</v>
      </c>
    </row>
    <row r="4229">
      <c r="A4229" s="83" t="s">
        <v>4896</v>
      </c>
      <c r="B4229" s="83" t="s">
        <v>4897</v>
      </c>
      <c r="C4229" s="81" t="s">
        <v>4086</v>
      </c>
      <c r="D4229" s="83" t="s">
        <v>4820</v>
      </c>
      <c r="E4229" s="81" t="s">
        <v>3903</v>
      </c>
      <c r="F4229" s="81">
        <v>761.0</v>
      </c>
      <c r="G4229" s="81" t="s">
        <v>3</v>
      </c>
      <c r="H4229" s="81" t="s">
        <v>376</v>
      </c>
      <c r="I4229" s="81" t="s">
        <v>344</v>
      </c>
      <c r="J4229" s="81" t="s">
        <v>224</v>
      </c>
      <c r="K4229" s="81" t="str">
        <f>IFERROR(__xludf.DUMMYFUNCTION("IF(OR(D4229="""",G4229=""""),"""",IFERROR(LET(
campo,XLOOKUP(TRIM(G4229),ARRAYFORMULA(TRIM('indice columnas'!$A$2:$A$100)),'indice columnas'!$B$2:$B$100,""""),
col,IFERROR(MATCH(campo,Referencia!$A$1:$AZ$1,0),0),
fila,IFERROR(MATCH(TO_TEXT(D4229),ARRAYFOR"&amp;"MULA(TO_TEXT(Referencia!$A$2:$A6238)),0),0),
IF(OR(campo="""",campo=""-""),""NO APLICA"",
IF(col=0,""REVISAR EQUIVALENCIA"",
IF(fila=0,""SKU NO ENCONTRADO"",
LET(
valor,INDEX(Referencia!$A$2:$AZ6238,fila,col),
IF(TRIM(TO_TEXT(valor))=TRIM(TO_TEXT(I4229)),"&amp;"
""OK"",
""NO COINCIDE. Valor verdadero: ""&amp;IF(valor="""",""[VACÍO]"",TO_TEXT(valor))
)
))))
),""ERROR EN FÓRMULA""))"),"OK")</f>
        <v>OK</v>
      </c>
    </row>
    <row r="4230">
      <c r="A4230" s="83" t="s">
        <v>4896</v>
      </c>
      <c r="B4230" s="83" t="s">
        <v>4897</v>
      </c>
      <c r="C4230" s="81" t="s">
        <v>4086</v>
      </c>
      <c r="D4230" s="83" t="s">
        <v>4821</v>
      </c>
      <c r="E4230" s="81" t="s">
        <v>3906</v>
      </c>
      <c r="F4230" s="81">
        <v>762.0</v>
      </c>
      <c r="G4230" s="81" t="s">
        <v>3</v>
      </c>
      <c r="H4230" s="81" t="s">
        <v>376</v>
      </c>
      <c r="I4230" s="81" t="s">
        <v>344</v>
      </c>
      <c r="J4230" s="81" t="s">
        <v>224</v>
      </c>
      <c r="K4230" s="81" t="str">
        <f>IFERROR(__xludf.DUMMYFUNCTION("IF(OR(D4230="""",G4230=""""),"""",IFERROR(LET(
campo,XLOOKUP(TRIM(G4230),ARRAYFORMULA(TRIM('indice columnas'!$A$2:$A$100)),'indice columnas'!$B$2:$B$100,""""),
col,IFERROR(MATCH(campo,Referencia!$A$1:$AZ$1,0),0),
fila,IFERROR(MATCH(TO_TEXT(D4230),ARRAYFOR"&amp;"MULA(TO_TEXT(Referencia!$A$2:$A6238)),0),0),
IF(OR(campo="""",campo=""-""),""NO APLICA"",
IF(col=0,""REVISAR EQUIVALENCIA"",
IF(fila=0,""SKU NO ENCONTRADO"",
LET(
valor,INDEX(Referencia!$A$2:$AZ6238,fila,col),
IF(TRIM(TO_TEXT(valor))=TRIM(TO_TEXT(I4230)),"&amp;"
""OK"",
""NO COINCIDE. Valor verdadero: ""&amp;IF(valor="""",""[VACÍO]"",TO_TEXT(valor))
)
))))
),""ERROR EN FÓRMULA""))"),"OK")</f>
        <v>OK</v>
      </c>
    </row>
    <row r="4231">
      <c r="A4231" s="83" t="s">
        <v>4896</v>
      </c>
      <c r="B4231" s="83" t="s">
        <v>4897</v>
      </c>
      <c r="C4231" s="81" t="s">
        <v>4086</v>
      </c>
      <c r="D4231" s="83" t="s">
        <v>4822</v>
      </c>
      <c r="E4231" s="81" t="s">
        <v>3916</v>
      </c>
      <c r="F4231" s="81">
        <v>764.0</v>
      </c>
      <c r="G4231" s="81" t="s">
        <v>3</v>
      </c>
      <c r="H4231" s="81" t="s">
        <v>376</v>
      </c>
      <c r="I4231" s="81" t="s">
        <v>344</v>
      </c>
      <c r="J4231" s="81" t="s">
        <v>224</v>
      </c>
      <c r="K4231" s="81" t="str">
        <f>IFERROR(__xludf.DUMMYFUNCTION("IF(OR(D4231="""",G4231=""""),"""",IFERROR(LET(
campo,XLOOKUP(TRIM(G4231),ARRAYFORMULA(TRIM('indice columnas'!$A$2:$A$100)),'indice columnas'!$B$2:$B$100,""""),
col,IFERROR(MATCH(campo,Referencia!$A$1:$AZ$1,0),0),
fila,IFERROR(MATCH(TO_TEXT(D4231),ARRAYFOR"&amp;"MULA(TO_TEXT(Referencia!$A$2:$A6238)),0),0),
IF(OR(campo="""",campo=""-""),""NO APLICA"",
IF(col=0,""REVISAR EQUIVALENCIA"",
IF(fila=0,""SKU NO ENCONTRADO"",
LET(
valor,INDEX(Referencia!$A$2:$AZ6238,fila,col),
IF(TRIM(TO_TEXT(valor))=TRIM(TO_TEXT(I4231)),"&amp;"
""OK"",
""NO COINCIDE. Valor verdadero: ""&amp;IF(valor="""",""[VACÍO]"",TO_TEXT(valor))
)
))))
),""ERROR EN FÓRMULA""))"),"OK")</f>
        <v>OK</v>
      </c>
    </row>
    <row r="4232">
      <c r="A4232" s="83" t="s">
        <v>4896</v>
      </c>
      <c r="B4232" s="83" t="s">
        <v>4897</v>
      </c>
      <c r="C4232" s="81" t="s">
        <v>4086</v>
      </c>
      <c r="D4232" s="83" t="s">
        <v>4823</v>
      </c>
      <c r="E4232" s="81" t="s">
        <v>3917</v>
      </c>
      <c r="F4232" s="81">
        <v>765.0</v>
      </c>
      <c r="G4232" s="81" t="s">
        <v>3</v>
      </c>
      <c r="H4232" s="81" t="s">
        <v>376</v>
      </c>
      <c r="I4232" s="81" t="s">
        <v>344</v>
      </c>
      <c r="J4232" s="81" t="s">
        <v>224</v>
      </c>
      <c r="K4232" s="81" t="str">
        <f>IFERROR(__xludf.DUMMYFUNCTION("IF(OR(D4232="""",G4232=""""),"""",IFERROR(LET(
campo,XLOOKUP(TRIM(G4232),ARRAYFORMULA(TRIM('indice columnas'!$A$2:$A$100)),'indice columnas'!$B$2:$B$100,""""),
col,IFERROR(MATCH(campo,Referencia!$A$1:$AZ$1,0),0),
fila,IFERROR(MATCH(TO_TEXT(D4232),ARRAYFOR"&amp;"MULA(TO_TEXT(Referencia!$A$2:$A6238)),0),0),
IF(OR(campo="""",campo=""-""),""NO APLICA"",
IF(col=0,""REVISAR EQUIVALENCIA"",
IF(fila=0,""SKU NO ENCONTRADO"",
LET(
valor,INDEX(Referencia!$A$2:$AZ6238,fila,col),
IF(TRIM(TO_TEXT(valor))=TRIM(TO_TEXT(I4232)),"&amp;"
""OK"",
""NO COINCIDE. Valor verdadero: ""&amp;IF(valor="""",""[VACÍO]"",TO_TEXT(valor))
)
))))
),""ERROR EN FÓRMULA""))"),"OK")</f>
        <v>OK</v>
      </c>
    </row>
    <row r="4233">
      <c r="A4233" s="83" t="s">
        <v>4896</v>
      </c>
      <c r="B4233" s="83" t="s">
        <v>4897</v>
      </c>
      <c r="C4233" s="81" t="s">
        <v>4086</v>
      </c>
      <c r="D4233" s="83" t="s">
        <v>4824</v>
      </c>
      <c r="E4233" s="81" t="s">
        <v>3920</v>
      </c>
      <c r="F4233" s="81">
        <v>766.0</v>
      </c>
      <c r="G4233" s="81" t="s">
        <v>3</v>
      </c>
      <c r="H4233" s="81" t="s">
        <v>376</v>
      </c>
      <c r="I4233" s="81" t="s">
        <v>344</v>
      </c>
      <c r="J4233" s="81" t="s">
        <v>224</v>
      </c>
      <c r="K4233" s="81" t="str">
        <f>IFERROR(__xludf.DUMMYFUNCTION("IF(OR(D4233="""",G4233=""""),"""",IFERROR(LET(
campo,XLOOKUP(TRIM(G4233),ARRAYFORMULA(TRIM('indice columnas'!$A$2:$A$100)),'indice columnas'!$B$2:$B$100,""""),
col,IFERROR(MATCH(campo,Referencia!$A$1:$AZ$1,0),0),
fila,IFERROR(MATCH(TO_TEXT(D4233),ARRAYFOR"&amp;"MULA(TO_TEXT(Referencia!$A$2:$A6238)),0),0),
IF(OR(campo="""",campo=""-""),""NO APLICA"",
IF(col=0,""REVISAR EQUIVALENCIA"",
IF(fila=0,""SKU NO ENCONTRADO"",
LET(
valor,INDEX(Referencia!$A$2:$AZ6238,fila,col),
IF(TRIM(TO_TEXT(valor))=TRIM(TO_TEXT(I4233)),"&amp;"
""OK"",
""NO COINCIDE. Valor verdadero: ""&amp;IF(valor="""",""[VACÍO]"",TO_TEXT(valor))
)
))))
),""ERROR EN FÓRMULA""))"),"OK")</f>
        <v>OK</v>
      </c>
    </row>
    <row r="4234">
      <c r="A4234" s="83" t="s">
        <v>4896</v>
      </c>
      <c r="B4234" s="83" t="s">
        <v>4897</v>
      </c>
      <c r="C4234" s="81" t="s">
        <v>4086</v>
      </c>
      <c r="D4234" s="83" t="s">
        <v>4825</v>
      </c>
      <c r="E4234" s="81" t="s">
        <v>3923</v>
      </c>
      <c r="F4234" s="81">
        <v>767.0</v>
      </c>
      <c r="G4234" s="81" t="s">
        <v>3</v>
      </c>
      <c r="H4234" s="81" t="s">
        <v>376</v>
      </c>
      <c r="I4234" s="81" t="s">
        <v>344</v>
      </c>
      <c r="J4234" s="81" t="s">
        <v>224</v>
      </c>
      <c r="K4234" s="81" t="str">
        <f>IFERROR(__xludf.DUMMYFUNCTION("IF(OR(D4234="""",G4234=""""),"""",IFERROR(LET(
campo,XLOOKUP(TRIM(G4234),ARRAYFORMULA(TRIM('indice columnas'!$A$2:$A$100)),'indice columnas'!$B$2:$B$100,""""),
col,IFERROR(MATCH(campo,Referencia!$A$1:$AZ$1,0),0),
fila,IFERROR(MATCH(TO_TEXT(D4234),ARRAYFOR"&amp;"MULA(TO_TEXT(Referencia!$A$2:$A6238)),0),0),
IF(OR(campo="""",campo=""-""),""NO APLICA"",
IF(col=0,""REVISAR EQUIVALENCIA"",
IF(fila=0,""SKU NO ENCONTRADO"",
LET(
valor,INDEX(Referencia!$A$2:$AZ6238,fila,col),
IF(TRIM(TO_TEXT(valor))=TRIM(TO_TEXT(I4234)),"&amp;"
""OK"",
""NO COINCIDE. Valor verdadero: ""&amp;IF(valor="""",""[VACÍO]"",TO_TEXT(valor))
)
))))
),""ERROR EN FÓRMULA""))"),"OK")</f>
        <v>OK</v>
      </c>
    </row>
    <row r="4235">
      <c r="A4235" s="83" t="s">
        <v>4896</v>
      </c>
      <c r="B4235" s="83" t="s">
        <v>4897</v>
      </c>
      <c r="C4235" s="81" t="s">
        <v>4086</v>
      </c>
      <c r="D4235" s="83" t="s">
        <v>4826</v>
      </c>
      <c r="E4235" s="81" t="s">
        <v>3926</v>
      </c>
      <c r="F4235" s="81">
        <v>768.0</v>
      </c>
      <c r="G4235" s="81" t="s">
        <v>3</v>
      </c>
      <c r="H4235" s="81" t="s">
        <v>376</v>
      </c>
      <c r="I4235" s="81" t="s">
        <v>344</v>
      </c>
      <c r="J4235" s="81" t="s">
        <v>224</v>
      </c>
      <c r="K4235" s="81" t="str">
        <f>IFERROR(__xludf.DUMMYFUNCTION("IF(OR(D4235="""",G4235=""""),"""",IFERROR(LET(
campo,XLOOKUP(TRIM(G4235),ARRAYFORMULA(TRIM('indice columnas'!$A$2:$A$100)),'indice columnas'!$B$2:$B$100,""""),
col,IFERROR(MATCH(campo,Referencia!$A$1:$AZ$1,0),0),
fila,IFERROR(MATCH(TO_TEXT(D4235),ARRAYFOR"&amp;"MULA(TO_TEXT(Referencia!$A$2:$A6238)),0),0),
IF(OR(campo="""",campo=""-""),""NO APLICA"",
IF(col=0,""REVISAR EQUIVALENCIA"",
IF(fila=0,""SKU NO ENCONTRADO"",
LET(
valor,INDEX(Referencia!$A$2:$AZ6238,fila,col),
IF(TRIM(TO_TEXT(valor))=TRIM(TO_TEXT(I4235)),"&amp;"
""OK"",
""NO COINCIDE. Valor verdadero: ""&amp;IF(valor="""",""[VACÍO]"",TO_TEXT(valor))
)
))))
),""ERROR EN FÓRMULA""))"),"OK")</f>
        <v>OK</v>
      </c>
    </row>
    <row r="4236">
      <c r="A4236" s="83" t="s">
        <v>4896</v>
      </c>
      <c r="B4236" s="83" t="s">
        <v>4897</v>
      </c>
      <c r="C4236" s="81" t="s">
        <v>4086</v>
      </c>
      <c r="D4236" s="83" t="s">
        <v>4827</v>
      </c>
      <c r="E4236" s="81" t="s">
        <v>3929</v>
      </c>
      <c r="F4236" s="81">
        <v>769.0</v>
      </c>
      <c r="G4236" s="81" t="s">
        <v>3</v>
      </c>
      <c r="H4236" s="81" t="s">
        <v>376</v>
      </c>
      <c r="I4236" s="81" t="s">
        <v>344</v>
      </c>
      <c r="J4236" s="81" t="s">
        <v>224</v>
      </c>
      <c r="K4236" s="81" t="str">
        <f>IFERROR(__xludf.DUMMYFUNCTION("IF(OR(D4236="""",G4236=""""),"""",IFERROR(LET(
campo,XLOOKUP(TRIM(G4236),ARRAYFORMULA(TRIM('indice columnas'!$A$2:$A$100)),'indice columnas'!$B$2:$B$100,""""),
col,IFERROR(MATCH(campo,Referencia!$A$1:$AZ$1,0),0),
fila,IFERROR(MATCH(TO_TEXT(D4236),ARRAYFOR"&amp;"MULA(TO_TEXT(Referencia!$A$2:$A6238)),0),0),
IF(OR(campo="""",campo=""-""),""NO APLICA"",
IF(col=0,""REVISAR EQUIVALENCIA"",
IF(fila=0,""SKU NO ENCONTRADO"",
LET(
valor,INDEX(Referencia!$A$2:$AZ6238,fila,col),
IF(TRIM(TO_TEXT(valor))=TRIM(TO_TEXT(I4236)),"&amp;"
""OK"",
""NO COINCIDE. Valor verdadero: ""&amp;IF(valor="""",""[VACÍO]"",TO_TEXT(valor))
)
))))
),""ERROR EN FÓRMULA""))"),"OK")</f>
        <v>OK</v>
      </c>
    </row>
    <row r="4237">
      <c r="A4237" s="83" t="s">
        <v>4896</v>
      </c>
      <c r="B4237" s="83" t="s">
        <v>4897</v>
      </c>
      <c r="C4237" s="81" t="s">
        <v>4086</v>
      </c>
      <c r="D4237" s="83" t="s">
        <v>4828</v>
      </c>
      <c r="E4237" s="81" t="s">
        <v>3935</v>
      </c>
      <c r="F4237" s="81">
        <v>771.0</v>
      </c>
      <c r="G4237" s="81" t="s">
        <v>3</v>
      </c>
      <c r="H4237" s="81" t="s">
        <v>376</v>
      </c>
      <c r="I4237" s="81" t="s">
        <v>344</v>
      </c>
      <c r="J4237" s="81" t="s">
        <v>224</v>
      </c>
      <c r="K4237" s="81" t="str">
        <f>IFERROR(__xludf.DUMMYFUNCTION("IF(OR(D4237="""",G4237=""""),"""",IFERROR(LET(
campo,XLOOKUP(TRIM(G4237),ARRAYFORMULA(TRIM('indice columnas'!$A$2:$A$100)),'indice columnas'!$B$2:$B$100,""""),
col,IFERROR(MATCH(campo,Referencia!$A$1:$AZ$1,0),0),
fila,IFERROR(MATCH(TO_TEXT(D4237),ARRAYFOR"&amp;"MULA(TO_TEXT(Referencia!$A$2:$A6238)),0),0),
IF(OR(campo="""",campo=""-""),""NO APLICA"",
IF(col=0,""REVISAR EQUIVALENCIA"",
IF(fila=0,""SKU NO ENCONTRADO"",
LET(
valor,INDEX(Referencia!$A$2:$AZ6238,fila,col),
IF(TRIM(TO_TEXT(valor))=TRIM(TO_TEXT(I4237)),"&amp;"
""OK"",
""NO COINCIDE. Valor verdadero: ""&amp;IF(valor="""",""[VACÍO]"",TO_TEXT(valor))
)
))))
),""ERROR EN FÓRMULA""))"),"OK")</f>
        <v>OK</v>
      </c>
    </row>
    <row r="4238">
      <c r="A4238" s="83" t="s">
        <v>4896</v>
      </c>
      <c r="B4238" s="83" t="s">
        <v>4897</v>
      </c>
      <c r="C4238" s="81" t="s">
        <v>4086</v>
      </c>
      <c r="D4238" s="83" t="s">
        <v>4829</v>
      </c>
      <c r="E4238" s="81" t="s">
        <v>3936</v>
      </c>
      <c r="F4238" s="81">
        <v>772.0</v>
      </c>
      <c r="G4238" s="81" t="s">
        <v>3</v>
      </c>
      <c r="H4238" s="81" t="s">
        <v>376</v>
      </c>
      <c r="I4238" s="81" t="s">
        <v>344</v>
      </c>
      <c r="J4238" s="81" t="s">
        <v>224</v>
      </c>
      <c r="K4238" s="81" t="str">
        <f>IFERROR(__xludf.DUMMYFUNCTION("IF(OR(D4238="""",G4238=""""),"""",IFERROR(LET(
campo,XLOOKUP(TRIM(G4238),ARRAYFORMULA(TRIM('indice columnas'!$A$2:$A$100)),'indice columnas'!$B$2:$B$100,""""),
col,IFERROR(MATCH(campo,Referencia!$A$1:$AZ$1,0),0),
fila,IFERROR(MATCH(TO_TEXT(D4238),ARRAYFOR"&amp;"MULA(TO_TEXT(Referencia!$A$2:$A6238)),0),0),
IF(OR(campo="""",campo=""-""),""NO APLICA"",
IF(col=0,""REVISAR EQUIVALENCIA"",
IF(fila=0,""SKU NO ENCONTRADO"",
LET(
valor,INDEX(Referencia!$A$2:$AZ6238,fila,col),
IF(TRIM(TO_TEXT(valor))=TRIM(TO_TEXT(I4238)),"&amp;"
""OK"",
""NO COINCIDE. Valor verdadero: ""&amp;IF(valor="""",""[VACÍO]"",TO_TEXT(valor))
)
))))
),""ERROR EN FÓRMULA""))"),"OK")</f>
        <v>OK</v>
      </c>
    </row>
    <row r="4239">
      <c r="A4239" s="83" t="s">
        <v>4896</v>
      </c>
      <c r="B4239" s="83" t="s">
        <v>4897</v>
      </c>
      <c r="C4239" s="81" t="s">
        <v>4086</v>
      </c>
      <c r="D4239" s="83" t="s">
        <v>4830</v>
      </c>
      <c r="E4239" s="81" t="s">
        <v>3939</v>
      </c>
      <c r="F4239" s="81">
        <v>773.0</v>
      </c>
      <c r="G4239" s="81" t="s">
        <v>3</v>
      </c>
      <c r="H4239" s="81" t="s">
        <v>376</v>
      </c>
      <c r="I4239" s="81" t="s">
        <v>344</v>
      </c>
      <c r="J4239" s="81" t="s">
        <v>224</v>
      </c>
      <c r="K4239" s="81" t="str">
        <f>IFERROR(__xludf.DUMMYFUNCTION("IF(OR(D4239="""",G4239=""""),"""",IFERROR(LET(
campo,XLOOKUP(TRIM(G4239),ARRAYFORMULA(TRIM('indice columnas'!$A$2:$A$100)),'indice columnas'!$B$2:$B$100,""""),
col,IFERROR(MATCH(campo,Referencia!$A$1:$AZ$1,0),0),
fila,IFERROR(MATCH(TO_TEXT(D4239),ARRAYFOR"&amp;"MULA(TO_TEXT(Referencia!$A$2:$A6238)),0),0),
IF(OR(campo="""",campo=""-""),""NO APLICA"",
IF(col=0,""REVISAR EQUIVALENCIA"",
IF(fila=0,""SKU NO ENCONTRADO"",
LET(
valor,INDEX(Referencia!$A$2:$AZ6238,fila,col),
IF(TRIM(TO_TEXT(valor))=TRIM(TO_TEXT(I4239)),"&amp;"
""OK"",
""NO COINCIDE. Valor verdadero: ""&amp;IF(valor="""",""[VACÍO]"",TO_TEXT(valor))
)
))))
),""ERROR EN FÓRMULA""))"),"OK")</f>
        <v>OK</v>
      </c>
    </row>
    <row r="4240">
      <c r="A4240" s="83" t="s">
        <v>4896</v>
      </c>
      <c r="B4240" s="83" t="s">
        <v>4897</v>
      </c>
      <c r="C4240" s="81" t="s">
        <v>4086</v>
      </c>
      <c r="D4240" s="83" t="s">
        <v>4831</v>
      </c>
      <c r="E4240" s="81" t="s">
        <v>3942</v>
      </c>
      <c r="F4240" s="81">
        <v>774.0</v>
      </c>
      <c r="G4240" s="81" t="s">
        <v>3</v>
      </c>
      <c r="H4240" s="81" t="s">
        <v>376</v>
      </c>
      <c r="I4240" s="81" t="s">
        <v>344</v>
      </c>
      <c r="J4240" s="81" t="s">
        <v>224</v>
      </c>
      <c r="K4240" s="81" t="str">
        <f>IFERROR(__xludf.DUMMYFUNCTION("IF(OR(D4240="""",G4240=""""),"""",IFERROR(LET(
campo,XLOOKUP(TRIM(G4240),ARRAYFORMULA(TRIM('indice columnas'!$A$2:$A$100)),'indice columnas'!$B$2:$B$100,""""),
col,IFERROR(MATCH(campo,Referencia!$A$1:$AZ$1,0),0),
fila,IFERROR(MATCH(TO_TEXT(D4240),ARRAYFOR"&amp;"MULA(TO_TEXT(Referencia!$A$2:$A6238)),0),0),
IF(OR(campo="""",campo=""-""),""NO APLICA"",
IF(col=0,""REVISAR EQUIVALENCIA"",
IF(fila=0,""SKU NO ENCONTRADO"",
LET(
valor,INDEX(Referencia!$A$2:$AZ6238,fila,col),
IF(TRIM(TO_TEXT(valor))=TRIM(TO_TEXT(I4240)),"&amp;"
""OK"",
""NO COINCIDE. Valor verdadero: ""&amp;IF(valor="""",""[VACÍO]"",TO_TEXT(valor))
)
))))
),""ERROR EN FÓRMULA""))"),"OK")</f>
        <v>OK</v>
      </c>
    </row>
    <row r="4241">
      <c r="A4241" s="83" t="s">
        <v>4896</v>
      </c>
      <c r="B4241" s="83" t="s">
        <v>4897</v>
      </c>
      <c r="C4241" s="81" t="s">
        <v>4086</v>
      </c>
      <c r="D4241" s="83" t="s">
        <v>4844</v>
      </c>
      <c r="E4241" s="81" t="s">
        <v>3998</v>
      </c>
      <c r="F4241" s="81">
        <v>792.0</v>
      </c>
      <c r="G4241" s="81" t="s">
        <v>1</v>
      </c>
      <c r="H4241" s="81" t="s">
        <v>224</v>
      </c>
      <c r="I4241" s="81" t="s">
        <v>49</v>
      </c>
      <c r="J4241" s="81" t="s">
        <v>224</v>
      </c>
      <c r="K4241" s="81" t="str">
        <f>IFERROR(__xludf.DUMMYFUNCTION("IF(OR(D4241="""",G4241=""""),"""",IFERROR(LET(
campo,XLOOKUP(TRIM(G4241),ARRAYFORMULA(TRIM('indice columnas'!$A$2:$A$100)),'indice columnas'!$B$2:$B$100,""""),
col,IFERROR(MATCH(campo,Referencia!$A$1:$AZ$1,0),0),
fila,IFERROR(MATCH(TO_TEXT(D4241),ARRAYFOR"&amp;"MULA(TO_TEXT(Referencia!$A$2:$A6238)),0),0),
IF(OR(campo="""",campo=""-""),""NO APLICA"",
IF(col=0,""REVISAR EQUIVALENCIA"",
IF(fila=0,""SKU NO ENCONTRADO"",
LET(
valor,INDEX(Referencia!$A$2:$AZ6238,fila,col),
IF(TRIM(TO_TEXT(valor))=TRIM(TO_TEXT(I4241)),"&amp;"
""OK"",
""NO COINCIDE. Valor verdadero: ""&amp;IF(valor="""",""[VACÍO]"",TO_TEXT(valor))
)
))))
),""ERROR EN FÓRMULA""))"),"OK")</f>
        <v>OK</v>
      </c>
    </row>
    <row r="4242">
      <c r="A4242" s="83" t="s">
        <v>4896</v>
      </c>
      <c r="B4242" s="83" t="s">
        <v>4897</v>
      </c>
      <c r="C4242" s="81" t="s">
        <v>4086</v>
      </c>
      <c r="D4242" s="83" t="s">
        <v>4845</v>
      </c>
      <c r="E4242" s="81" t="s">
        <v>4002</v>
      </c>
      <c r="F4242" s="81">
        <v>793.0</v>
      </c>
      <c r="G4242" s="81" t="s">
        <v>1</v>
      </c>
      <c r="H4242" s="81" t="s">
        <v>224</v>
      </c>
      <c r="I4242" s="81" t="s">
        <v>49</v>
      </c>
      <c r="J4242" s="81" t="s">
        <v>224</v>
      </c>
      <c r="K4242" s="81" t="str">
        <f>IFERROR(__xludf.DUMMYFUNCTION("IF(OR(D4242="""",G4242=""""),"""",IFERROR(LET(
campo,XLOOKUP(TRIM(G4242),ARRAYFORMULA(TRIM('indice columnas'!$A$2:$A$100)),'indice columnas'!$B$2:$B$100,""""),
col,IFERROR(MATCH(campo,Referencia!$A$1:$AZ$1,0),0),
fila,IFERROR(MATCH(TO_TEXT(D4242),ARRAYFOR"&amp;"MULA(TO_TEXT(Referencia!$A$2:$A6238)),0),0),
IF(OR(campo="""",campo=""-""),""NO APLICA"",
IF(col=0,""REVISAR EQUIVALENCIA"",
IF(fila=0,""SKU NO ENCONTRADO"",
LET(
valor,INDEX(Referencia!$A$2:$AZ6238,fila,col),
IF(TRIM(TO_TEXT(valor))=TRIM(TO_TEXT(I4242)),"&amp;"
""OK"",
""NO COINCIDE. Valor verdadero: ""&amp;IF(valor="""",""[VACÍO]"",TO_TEXT(valor))
)
))))
),""ERROR EN FÓRMULA""))"),"OK")</f>
        <v>OK</v>
      </c>
    </row>
    <row r="4243">
      <c r="A4243" s="83" t="s">
        <v>4896</v>
      </c>
      <c r="B4243" s="83" t="s">
        <v>4897</v>
      </c>
      <c r="C4243" s="81" t="s">
        <v>4086</v>
      </c>
      <c r="D4243" s="83" t="s">
        <v>4846</v>
      </c>
      <c r="E4243" s="81" t="s">
        <v>1133</v>
      </c>
      <c r="F4243" s="81">
        <v>794.0</v>
      </c>
      <c r="G4243" s="81" t="s">
        <v>1</v>
      </c>
      <c r="H4243" s="81" t="s">
        <v>224</v>
      </c>
      <c r="I4243" s="81" t="s">
        <v>49</v>
      </c>
      <c r="J4243" s="81" t="s">
        <v>224</v>
      </c>
      <c r="K4243" s="81" t="str">
        <f>IFERROR(__xludf.DUMMYFUNCTION("IF(OR(D4243="""",G4243=""""),"""",IFERROR(LET(
campo,XLOOKUP(TRIM(G4243),ARRAYFORMULA(TRIM('indice columnas'!$A$2:$A$100)),'indice columnas'!$B$2:$B$100,""""),
col,IFERROR(MATCH(campo,Referencia!$A$1:$AZ$1,0),0),
fila,IFERROR(MATCH(TO_TEXT(D4243),ARRAYFOR"&amp;"MULA(TO_TEXT(Referencia!$A$2:$A6238)),0),0),
IF(OR(campo="""",campo=""-""),""NO APLICA"",
IF(col=0,""REVISAR EQUIVALENCIA"",
IF(fila=0,""SKU NO ENCONTRADO"",
LET(
valor,INDEX(Referencia!$A$2:$AZ6238,fila,col),
IF(TRIM(TO_TEXT(valor))=TRIM(TO_TEXT(I4243)),"&amp;"
""OK"",
""NO COINCIDE. Valor verdadero: ""&amp;IF(valor="""",""[VACÍO]"",TO_TEXT(valor))
)
))))
),""ERROR EN FÓRMULA""))"),"OK")</f>
        <v>OK</v>
      </c>
    </row>
    <row r="4244">
      <c r="A4244" s="83" t="s">
        <v>4896</v>
      </c>
      <c r="B4244" s="83" t="s">
        <v>4897</v>
      </c>
      <c r="C4244" s="81" t="s">
        <v>4086</v>
      </c>
      <c r="D4244" s="83" t="s">
        <v>4847</v>
      </c>
      <c r="E4244" s="81" t="s">
        <v>4005</v>
      </c>
      <c r="F4244" s="81">
        <v>795.0</v>
      </c>
      <c r="G4244" s="81" t="s">
        <v>1</v>
      </c>
      <c r="H4244" s="81" t="s">
        <v>224</v>
      </c>
      <c r="I4244" s="81" t="s">
        <v>49</v>
      </c>
      <c r="J4244" s="81" t="s">
        <v>224</v>
      </c>
      <c r="K4244" s="81" t="str">
        <f>IFERROR(__xludf.DUMMYFUNCTION("IF(OR(D4244="""",G4244=""""),"""",IFERROR(LET(
campo,XLOOKUP(TRIM(G4244),ARRAYFORMULA(TRIM('indice columnas'!$A$2:$A$100)),'indice columnas'!$B$2:$B$100,""""),
col,IFERROR(MATCH(campo,Referencia!$A$1:$AZ$1,0),0),
fila,IFERROR(MATCH(TO_TEXT(D4244),ARRAYFOR"&amp;"MULA(TO_TEXT(Referencia!$A$2:$A6238)),0),0),
IF(OR(campo="""",campo=""-""),""NO APLICA"",
IF(col=0,""REVISAR EQUIVALENCIA"",
IF(fila=0,""SKU NO ENCONTRADO"",
LET(
valor,INDEX(Referencia!$A$2:$AZ6238,fila,col),
IF(TRIM(TO_TEXT(valor))=TRIM(TO_TEXT(I4244)),"&amp;"
""OK"",
""NO COINCIDE. Valor verdadero: ""&amp;IF(valor="""",""[VACÍO]"",TO_TEXT(valor))
)
))))
),""ERROR EN FÓRMULA""))"),"OK")</f>
        <v>OK</v>
      </c>
    </row>
    <row r="4245">
      <c r="A4245" s="83" t="s">
        <v>4896</v>
      </c>
      <c r="B4245" s="83" t="s">
        <v>4897</v>
      </c>
      <c r="C4245" s="81" t="s">
        <v>4086</v>
      </c>
      <c r="D4245" s="83" t="s">
        <v>4848</v>
      </c>
      <c r="E4245" s="81" t="s">
        <v>1142</v>
      </c>
      <c r="F4245" s="81">
        <v>796.0</v>
      </c>
      <c r="G4245" s="81" t="s">
        <v>1</v>
      </c>
      <c r="H4245" s="81" t="s">
        <v>224</v>
      </c>
      <c r="I4245" s="81" t="s">
        <v>49</v>
      </c>
      <c r="J4245" s="81" t="s">
        <v>224</v>
      </c>
      <c r="K4245" s="81" t="str">
        <f>IFERROR(__xludf.DUMMYFUNCTION("IF(OR(D4245="""",G4245=""""),"""",IFERROR(LET(
campo,XLOOKUP(TRIM(G4245),ARRAYFORMULA(TRIM('indice columnas'!$A$2:$A$100)),'indice columnas'!$B$2:$B$100,""""),
col,IFERROR(MATCH(campo,Referencia!$A$1:$AZ$1,0),0),
fila,IFERROR(MATCH(TO_TEXT(D4245),ARRAYFOR"&amp;"MULA(TO_TEXT(Referencia!$A$2:$A6238)),0),0),
IF(OR(campo="""",campo=""-""),""NO APLICA"",
IF(col=0,""REVISAR EQUIVALENCIA"",
IF(fila=0,""SKU NO ENCONTRADO"",
LET(
valor,INDEX(Referencia!$A$2:$AZ6238,fila,col),
IF(TRIM(TO_TEXT(valor))=TRIM(TO_TEXT(I4245)),"&amp;"
""OK"",
""NO COINCIDE. Valor verdadero: ""&amp;IF(valor="""",""[VACÍO]"",TO_TEXT(valor))
)
))))
),""ERROR EN FÓRMULA""))"),"OK")</f>
        <v>OK</v>
      </c>
    </row>
    <row r="4246">
      <c r="A4246" s="83" t="s">
        <v>4896</v>
      </c>
      <c r="B4246" s="83" t="s">
        <v>4897</v>
      </c>
      <c r="C4246" s="81" t="s">
        <v>4086</v>
      </c>
      <c r="D4246" s="83" t="s">
        <v>4850</v>
      </c>
      <c r="E4246" s="81" t="s">
        <v>1138</v>
      </c>
      <c r="F4246" s="81">
        <v>797.0</v>
      </c>
      <c r="G4246" s="81" t="s">
        <v>1</v>
      </c>
      <c r="H4246" s="81" t="s">
        <v>224</v>
      </c>
      <c r="I4246" s="81" t="s">
        <v>49</v>
      </c>
      <c r="J4246" s="81" t="s">
        <v>224</v>
      </c>
      <c r="K4246" s="81" t="str">
        <f>IFERROR(__xludf.DUMMYFUNCTION("IF(OR(D4246="""",G4246=""""),"""",IFERROR(LET(
campo,XLOOKUP(TRIM(G4246),ARRAYFORMULA(TRIM('indice columnas'!$A$2:$A$100)),'indice columnas'!$B$2:$B$100,""""),
col,IFERROR(MATCH(campo,Referencia!$A$1:$AZ$1,0),0),
fila,IFERROR(MATCH(TO_TEXT(D4246),ARRAYFOR"&amp;"MULA(TO_TEXT(Referencia!$A$2:$A6238)),0),0),
IF(OR(campo="""",campo=""-""),""NO APLICA"",
IF(col=0,""REVISAR EQUIVALENCIA"",
IF(fila=0,""SKU NO ENCONTRADO"",
LET(
valor,INDEX(Referencia!$A$2:$AZ6238,fila,col),
IF(TRIM(TO_TEXT(valor))=TRIM(TO_TEXT(I4246)),"&amp;"
""OK"",
""NO COINCIDE. Valor verdadero: ""&amp;IF(valor="""",""[VACÍO]"",TO_TEXT(valor))
)
))))
),""ERROR EN FÓRMULA""))"),"OK")</f>
        <v>OK</v>
      </c>
    </row>
    <row r="4247">
      <c r="A4247" s="83" t="s">
        <v>4896</v>
      </c>
      <c r="B4247" s="83" t="s">
        <v>4897</v>
      </c>
      <c r="C4247" s="81" t="s">
        <v>4086</v>
      </c>
      <c r="D4247" s="83" t="s">
        <v>4861</v>
      </c>
      <c r="E4247" s="81" t="s">
        <v>4007</v>
      </c>
      <c r="F4247" s="81">
        <v>798.0</v>
      </c>
      <c r="G4247" s="81" t="s">
        <v>3</v>
      </c>
      <c r="H4247" s="81" t="s">
        <v>376</v>
      </c>
      <c r="I4247" s="81" t="s">
        <v>344</v>
      </c>
      <c r="J4247" s="81" t="s">
        <v>224</v>
      </c>
      <c r="K4247" s="81" t="str">
        <f>IFERROR(__xludf.DUMMYFUNCTION("IF(OR(D4247="""",G4247=""""),"""",IFERROR(LET(
campo,XLOOKUP(TRIM(G4247),ARRAYFORMULA(TRIM('indice columnas'!$A$2:$A$100)),'indice columnas'!$B$2:$B$100,""""),
col,IFERROR(MATCH(campo,Referencia!$A$1:$AZ$1,0),0),
fila,IFERROR(MATCH(TO_TEXT(D4247),ARRAYFOR"&amp;"MULA(TO_TEXT(Referencia!$A$2:$A6238)),0),0),
IF(OR(campo="""",campo=""-""),""NO APLICA"",
IF(col=0,""REVISAR EQUIVALENCIA"",
IF(fila=0,""SKU NO ENCONTRADO"",
LET(
valor,INDEX(Referencia!$A$2:$AZ6238,fila,col),
IF(TRIM(TO_TEXT(valor))=TRIM(TO_TEXT(I4247)),"&amp;"
""OK"",
""NO COINCIDE. Valor verdadero: ""&amp;IF(valor="""",""[VACÍO]"",TO_TEXT(valor))
)
))))
),""ERROR EN FÓRMULA""))"),"OK")</f>
        <v>OK</v>
      </c>
    </row>
    <row r="4248">
      <c r="A4248" s="83" t="s">
        <v>4896</v>
      </c>
      <c r="B4248" s="83" t="s">
        <v>4897</v>
      </c>
      <c r="C4248" s="81" t="s">
        <v>4086</v>
      </c>
      <c r="D4248" s="83" t="s">
        <v>4868</v>
      </c>
      <c r="E4248" s="81" t="s">
        <v>4020</v>
      </c>
      <c r="F4248" s="81">
        <v>806.0</v>
      </c>
      <c r="G4248" s="81" t="s">
        <v>3</v>
      </c>
      <c r="H4248" s="81" t="s">
        <v>214</v>
      </c>
      <c r="I4248" s="81" t="s">
        <v>51</v>
      </c>
      <c r="J4248" s="81" t="s">
        <v>224</v>
      </c>
      <c r="K4248" s="81" t="str">
        <f>IFERROR(__xludf.DUMMYFUNCTION("IF(OR(D4248="""",G4248=""""),"""",IFERROR(LET(
campo,XLOOKUP(TRIM(G4248),ARRAYFORMULA(TRIM('indice columnas'!$A$2:$A$100)),'indice columnas'!$B$2:$B$100,""""),
col,IFERROR(MATCH(campo,Referencia!$A$1:$AZ$1,0),0),
fila,IFERROR(MATCH(TO_TEXT(D4248),ARRAYFOR"&amp;"MULA(TO_TEXT(Referencia!$A$2:$A6238)),0),0),
IF(OR(campo="""",campo=""-""),""NO APLICA"",
IF(col=0,""REVISAR EQUIVALENCIA"",
IF(fila=0,""SKU NO ENCONTRADO"",
LET(
valor,INDEX(Referencia!$A$2:$AZ6238,fila,col),
IF(TRIM(TO_TEXT(valor))=TRIM(TO_TEXT(I4248)),"&amp;"
""OK"",
""NO COINCIDE. Valor verdadero: ""&amp;IF(valor="""",""[VACÍO]"",TO_TEXT(valor))
)
))))
),""ERROR EN FÓRMULA""))"),"OK")</f>
        <v>OK</v>
      </c>
    </row>
    <row r="4249">
      <c r="A4249" s="83" t="s">
        <v>4896</v>
      </c>
      <c r="B4249" s="83" t="s">
        <v>4897</v>
      </c>
      <c r="C4249" s="81" t="s">
        <v>4086</v>
      </c>
      <c r="D4249" s="83" t="s">
        <v>4869</v>
      </c>
      <c r="E4249" s="81" t="s">
        <v>4032</v>
      </c>
      <c r="F4249" s="81">
        <v>807.0</v>
      </c>
      <c r="G4249" s="81" t="s">
        <v>3</v>
      </c>
      <c r="H4249" s="81" t="s">
        <v>214</v>
      </c>
      <c r="I4249" s="81" t="s">
        <v>51</v>
      </c>
      <c r="J4249" s="81" t="s">
        <v>224</v>
      </c>
      <c r="K4249" s="81" t="str">
        <f>IFERROR(__xludf.DUMMYFUNCTION("IF(OR(D4249="""",G4249=""""),"""",IFERROR(LET(
campo,XLOOKUP(TRIM(G4249),ARRAYFORMULA(TRIM('indice columnas'!$A$2:$A$100)),'indice columnas'!$B$2:$B$100,""""),
col,IFERROR(MATCH(campo,Referencia!$A$1:$AZ$1,0),0),
fila,IFERROR(MATCH(TO_TEXT(D4249),ARRAYFOR"&amp;"MULA(TO_TEXT(Referencia!$A$2:$A6238)),0),0),
IF(OR(campo="""",campo=""-""),""NO APLICA"",
IF(col=0,""REVISAR EQUIVALENCIA"",
IF(fila=0,""SKU NO ENCONTRADO"",
LET(
valor,INDEX(Referencia!$A$2:$AZ6238,fila,col),
IF(TRIM(TO_TEXT(valor))=TRIM(TO_TEXT(I4249)),"&amp;"
""OK"",
""NO COINCIDE. Valor verdadero: ""&amp;IF(valor="""",""[VACÍO]"",TO_TEXT(valor))
)
))))
),""ERROR EN FÓRMULA""))"),"OK")</f>
        <v>OK</v>
      </c>
    </row>
    <row r="4250">
      <c r="A4250" s="83" t="s">
        <v>4899</v>
      </c>
      <c r="B4250" s="83" t="s">
        <v>4900</v>
      </c>
      <c r="C4250" s="81" t="s">
        <v>4080</v>
      </c>
      <c r="D4250" s="81" t="s">
        <v>224</v>
      </c>
      <c r="E4250" s="81" t="s">
        <v>224</v>
      </c>
      <c r="F4250" s="81" t="s">
        <v>224</v>
      </c>
      <c r="G4250" s="81" t="s">
        <v>224</v>
      </c>
      <c r="H4250" s="81" t="s">
        <v>224</v>
      </c>
      <c r="I4250" s="81" t="s">
        <v>224</v>
      </c>
      <c r="J4250" s="81" t="s">
        <v>4901</v>
      </c>
      <c r="K4250" s="81" t="str">
        <f>IFERROR(__xludf.DUMMYFUNCTION("IF(OR(D4250="""",G4250=""""),"""",IFERROR(LET(
campo,XLOOKUP(TRIM(G4250),ARRAYFORMULA(TRIM('indice columnas'!$A$2:$A$100)),'indice columnas'!$B$2:$B$100,""""),
col,IFERROR(MATCH(campo,Referencia!$A$1:$AZ$1,0),0),
fila,IFERROR(MATCH(TO_TEXT(D4250),ARRAYFOR"&amp;"MULA(TO_TEXT(Referencia!$A$2:$A6238)),0),0),
IF(OR(campo="""",campo=""-""),""NO APLICA"",
IF(col=0,""REVISAR EQUIVALENCIA"",
IF(fila=0,""SKU NO ENCONTRADO"",
LET(
valor,INDEX(Referencia!$A$2:$AZ6238,fila,col),
IF(TRIM(TO_TEXT(valor))=TRIM(TO_TEXT(I4250)),"&amp;"
""OK"",
""NO COINCIDE. Valor verdadero: ""&amp;IF(valor="""",""[VACÍO]"",TO_TEXT(valor))
)
))))
),""ERROR EN FÓRMULA""))"),"")</f>
        <v/>
      </c>
    </row>
    <row r="4251">
      <c r="A4251" s="83" t="s">
        <v>4899</v>
      </c>
      <c r="B4251" s="83" t="s">
        <v>4900</v>
      </c>
      <c r="C4251" s="81" t="s">
        <v>4082</v>
      </c>
      <c r="D4251" s="81" t="s">
        <v>224</v>
      </c>
      <c r="E4251" s="81" t="s">
        <v>224</v>
      </c>
      <c r="F4251" s="81" t="s">
        <v>224</v>
      </c>
      <c r="G4251" s="81" t="s">
        <v>8</v>
      </c>
      <c r="H4251" s="81" t="s">
        <v>224</v>
      </c>
      <c r="I4251" s="81" t="s">
        <v>224</v>
      </c>
      <c r="J4251" s="81" t="s">
        <v>4083</v>
      </c>
      <c r="K4251" s="81" t="str">
        <f>IFERROR(__xludf.DUMMYFUNCTION("IF(OR(D4251="""",G4251=""""),"""",IFERROR(LET(
campo,XLOOKUP(TRIM(G4251),ARRAYFORMULA(TRIM('indice columnas'!$A$2:$A$100)),'indice columnas'!$B$2:$B$100,""""),
col,IFERROR(MATCH(campo,Referencia!$A$1:$AZ$1,0),0),
fila,IFERROR(MATCH(TO_TEXT(D4251),ARRAYFOR"&amp;"MULA(TO_TEXT(Referencia!$A$2:$A6238)),0),0),
IF(OR(campo="""",campo=""-""),""NO APLICA"",
IF(col=0,""REVISAR EQUIVALENCIA"",
IF(fila=0,""SKU NO ENCONTRADO"",
LET(
valor,INDEX(Referencia!$A$2:$AZ6238,fila,col),
IF(TRIM(TO_TEXT(valor))=TRIM(TO_TEXT(I4251)),"&amp;"
""OK"",
""NO COINCIDE. Valor verdadero: ""&amp;IF(valor="""",""[VACÍO]"",TO_TEXT(valor))
)
))))
),""ERROR EN FÓRMULA""))"),"")</f>
        <v/>
      </c>
    </row>
    <row r="4252">
      <c r="A4252" s="83" t="s">
        <v>4899</v>
      </c>
      <c r="B4252" s="83" t="s">
        <v>4900</v>
      </c>
      <c r="C4252" s="81" t="s">
        <v>4084</v>
      </c>
      <c r="D4252" s="81" t="s">
        <v>224</v>
      </c>
      <c r="E4252" s="81" t="s">
        <v>224</v>
      </c>
      <c r="F4252" s="81" t="s">
        <v>224</v>
      </c>
      <c r="G4252" s="81" t="s">
        <v>9</v>
      </c>
      <c r="H4252" s="81" t="s">
        <v>224</v>
      </c>
      <c r="I4252" s="81" t="s">
        <v>224</v>
      </c>
      <c r="J4252" s="81" t="s">
        <v>4085</v>
      </c>
      <c r="K4252" s="81" t="str">
        <f>IFERROR(__xludf.DUMMYFUNCTION("IF(OR(D4252="""",G4252=""""),"""",IFERROR(LET(
campo,XLOOKUP(TRIM(G4252),ARRAYFORMULA(TRIM('indice columnas'!$A$2:$A$100)),'indice columnas'!$B$2:$B$100,""""),
col,IFERROR(MATCH(campo,Referencia!$A$1:$AZ$1,0),0),
fila,IFERROR(MATCH(TO_TEXT(D4252),ARRAYFOR"&amp;"MULA(TO_TEXT(Referencia!$A$2:$A6238)),0),0),
IF(OR(campo="""",campo=""-""),""NO APLICA"",
IF(col=0,""REVISAR EQUIVALENCIA"",
IF(fila=0,""SKU NO ENCONTRADO"",
LET(
valor,INDEX(Referencia!$A$2:$AZ6238,fila,col),
IF(TRIM(TO_TEXT(valor))=TRIM(TO_TEXT(I4252)),"&amp;"
""OK"",
""NO COINCIDE. Valor verdadero: ""&amp;IF(valor="""",""[VACÍO]"",TO_TEXT(valor))
)
))))
),""ERROR EN FÓRMULA""))"),"")</f>
        <v/>
      </c>
    </row>
    <row r="4253">
      <c r="A4253" s="83" t="s">
        <v>4899</v>
      </c>
      <c r="B4253" s="83" t="s">
        <v>4900</v>
      </c>
      <c r="C4253" s="81" t="s">
        <v>4621</v>
      </c>
      <c r="D4253" s="83" t="s">
        <v>4087</v>
      </c>
      <c r="E4253" s="81" t="s">
        <v>73</v>
      </c>
      <c r="F4253" s="81">
        <v>3.0</v>
      </c>
      <c r="G4253" s="81" t="s">
        <v>3</v>
      </c>
      <c r="H4253" s="81" t="s">
        <v>224</v>
      </c>
      <c r="I4253" s="81" t="s">
        <v>51</v>
      </c>
      <c r="J4253" s="81" t="s">
        <v>224</v>
      </c>
      <c r="K4253" s="81" t="str">
        <f>IFERROR(__xludf.DUMMYFUNCTION("IF(OR(D4253="""",G4253=""""),"""",IFERROR(LET(
campo,XLOOKUP(TRIM(G4253),ARRAYFORMULA(TRIM('indice columnas'!$A$2:$A$100)),'indice columnas'!$B$2:$B$100,""""),
col,IFERROR(MATCH(campo,Referencia!$A$1:$AZ$1,0),0),
fila,IFERROR(MATCH(TO_TEXT(D4253),ARRAYFOR"&amp;"MULA(TO_TEXT(Referencia!$A$2:$A6238)),0),0),
IF(OR(campo="""",campo=""-""),""NO APLICA"",
IF(col=0,""REVISAR EQUIVALENCIA"",
IF(fila=0,""SKU NO ENCONTRADO"",
LET(
valor,INDEX(Referencia!$A$2:$AZ6238,fila,col),
IF(TRIM(TO_TEXT(valor))=TRIM(TO_TEXT(I4253)),"&amp;"
""OK"",
""NO COINCIDE. Valor verdadero: ""&amp;IF(valor="""",""[VACÍO]"",TO_TEXT(valor))
)
))))
),""ERROR EN FÓRMULA""))"),"OK")</f>
        <v>OK</v>
      </c>
    </row>
    <row r="4254">
      <c r="A4254" s="83" t="s">
        <v>4899</v>
      </c>
      <c r="B4254" s="83" t="s">
        <v>4900</v>
      </c>
      <c r="C4254" s="81" t="s">
        <v>4621</v>
      </c>
      <c r="D4254" s="83" t="s">
        <v>4087</v>
      </c>
      <c r="E4254" s="81" t="s">
        <v>73</v>
      </c>
      <c r="F4254" s="81">
        <v>3.0</v>
      </c>
      <c r="G4254" s="81" t="s">
        <v>2</v>
      </c>
      <c r="H4254" s="81" t="s">
        <v>224</v>
      </c>
      <c r="I4254" s="81" t="s">
        <v>50</v>
      </c>
      <c r="J4254" s="81" t="s">
        <v>224</v>
      </c>
      <c r="K4254" s="81" t="str">
        <f>IFERROR(__xludf.DUMMYFUNCTION("IF(OR(D4254="""",G4254=""""),"""",IFERROR(LET(
campo,XLOOKUP(TRIM(G4254),ARRAYFORMULA(TRIM('indice columnas'!$A$2:$A$100)),'indice columnas'!$B$2:$B$100,""""),
col,IFERROR(MATCH(campo,Referencia!$A$1:$AZ$1,0),0),
fila,IFERROR(MATCH(TO_TEXT(D4254),ARRAYFOR"&amp;"MULA(TO_TEXT(Referencia!$A$2:$A6238)),0),0),
IF(OR(campo="""",campo=""-""),""NO APLICA"",
IF(col=0,""REVISAR EQUIVALENCIA"",
IF(fila=0,""SKU NO ENCONTRADO"",
LET(
valor,INDEX(Referencia!$A$2:$AZ6238,fila,col),
IF(TRIM(TO_TEXT(valor))=TRIM(TO_TEXT(I4254)),"&amp;"
""OK"",
""NO COINCIDE. Valor verdadero: ""&amp;IF(valor="""",""[VACÍO]"",TO_TEXT(valor))
)
))))
),""ERROR EN FÓRMULA""))"),"OK")</f>
        <v>OK</v>
      </c>
    </row>
    <row r="4255">
      <c r="A4255" s="83" t="s">
        <v>4899</v>
      </c>
      <c r="B4255" s="83" t="s">
        <v>4900</v>
      </c>
      <c r="C4255" s="81" t="s">
        <v>4621</v>
      </c>
      <c r="D4255" s="83" t="s">
        <v>4087</v>
      </c>
      <c r="E4255" s="81" t="s">
        <v>73</v>
      </c>
      <c r="F4255" s="81">
        <v>3.0</v>
      </c>
      <c r="G4255" s="81" t="s">
        <v>1</v>
      </c>
      <c r="H4255" s="81" t="s">
        <v>224</v>
      </c>
      <c r="I4255" s="81" t="s">
        <v>49</v>
      </c>
      <c r="J4255" s="81" t="s">
        <v>224</v>
      </c>
      <c r="K4255" s="81" t="str">
        <f>IFERROR(__xludf.DUMMYFUNCTION("IF(OR(D4255="""",G4255=""""),"""",IFERROR(LET(
campo,XLOOKUP(TRIM(G4255),ARRAYFORMULA(TRIM('indice columnas'!$A$2:$A$100)),'indice columnas'!$B$2:$B$100,""""),
col,IFERROR(MATCH(campo,Referencia!$A$1:$AZ$1,0),0),
fila,IFERROR(MATCH(TO_TEXT(D4255),ARRAYFOR"&amp;"MULA(TO_TEXT(Referencia!$A$2:$A6238)),0),0),
IF(OR(campo="""",campo=""-""),""NO APLICA"",
IF(col=0,""REVISAR EQUIVALENCIA"",
IF(fila=0,""SKU NO ENCONTRADO"",
LET(
valor,INDEX(Referencia!$A$2:$AZ6238,fila,col),
IF(TRIM(TO_TEXT(valor))=TRIM(TO_TEXT(I4255)),"&amp;"
""OK"",
""NO COINCIDE. Valor verdadero: ""&amp;IF(valor="""",""[VACÍO]"",TO_TEXT(valor))
)
))))
),""ERROR EN FÓRMULA""))"),"OK")</f>
        <v>OK</v>
      </c>
    </row>
    <row r="4256">
      <c r="A4256" s="83" t="s">
        <v>4899</v>
      </c>
      <c r="B4256" s="83" t="s">
        <v>4900</v>
      </c>
      <c r="C4256" s="81" t="s">
        <v>4621</v>
      </c>
      <c r="D4256" s="83" t="s">
        <v>4089</v>
      </c>
      <c r="E4256" s="81" t="s">
        <v>75</v>
      </c>
      <c r="F4256" s="81">
        <v>4.0</v>
      </c>
      <c r="G4256" s="81" t="s">
        <v>3</v>
      </c>
      <c r="H4256" s="81" t="s">
        <v>224</v>
      </c>
      <c r="I4256" s="81" t="s">
        <v>51</v>
      </c>
      <c r="J4256" s="81" t="s">
        <v>224</v>
      </c>
      <c r="K4256" s="81" t="str">
        <f>IFERROR(__xludf.DUMMYFUNCTION("IF(OR(D4256="""",G4256=""""),"""",IFERROR(LET(
campo,XLOOKUP(TRIM(G4256),ARRAYFORMULA(TRIM('indice columnas'!$A$2:$A$100)),'indice columnas'!$B$2:$B$100,""""),
col,IFERROR(MATCH(campo,Referencia!$A$1:$AZ$1,0),0),
fila,IFERROR(MATCH(TO_TEXT(D4256),ARRAYFOR"&amp;"MULA(TO_TEXT(Referencia!$A$2:$A6238)),0),0),
IF(OR(campo="""",campo=""-""),""NO APLICA"",
IF(col=0,""REVISAR EQUIVALENCIA"",
IF(fila=0,""SKU NO ENCONTRADO"",
LET(
valor,INDEX(Referencia!$A$2:$AZ6238,fila,col),
IF(TRIM(TO_TEXT(valor))=TRIM(TO_TEXT(I4256)),"&amp;"
""OK"",
""NO COINCIDE. Valor verdadero: ""&amp;IF(valor="""",""[VACÍO]"",TO_TEXT(valor))
)
))))
),""ERROR EN FÓRMULA""))"),"OK")</f>
        <v>OK</v>
      </c>
    </row>
    <row r="4257">
      <c r="A4257" s="83" t="s">
        <v>4899</v>
      </c>
      <c r="B4257" s="83" t="s">
        <v>4900</v>
      </c>
      <c r="C4257" s="81" t="s">
        <v>4621</v>
      </c>
      <c r="D4257" s="83" t="s">
        <v>4089</v>
      </c>
      <c r="E4257" s="81" t="s">
        <v>75</v>
      </c>
      <c r="F4257" s="81">
        <v>4.0</v>
      </c>
      <c r="G4257" s="81" t="s">
        <v>2</v>
      </c>
      <c r="H4257" s="81" t="s">
        <v>224</v>
      </c>
      <c r="I4257" s="81" t="s">
        <v>50</v>
      </c>
      <c r="J4257" s="81" t="s">
        <v>224</v>
      </c>
      <c r="K4257" s="81" t="str">
        <f>IFERROR(__xludf.DUMMYFUNCTION("IF(OR(D4257="""",G4257=""""),"""",IFERROR(LET(
campo,XLOOKUP(TRIM(G4257),ARRAYFORMULA(TRIM('indice columnas'!$A$2:$A$100)),'indice columnas'!$B$2:$B$100,""""),
col,IFERROR(MATCH(campo,Referencia!$A$1:$AZ$1,0),0),
fila,IFERROR(MATCH(TO_TEXT(D4257),ARRAYFOR"&amp;"MULA(TO_TEXT(Referencia!$A$2:$A6238)),0),0),
IF(OR(campo="""",campo=""-""),""NO APLICA"",
IF(col=0,""REVISAR EQUIVALENCIA"",
IF(fila=0,""SKU NO ENCONTRADO"",
LET(
valor,INDEX(Referencia!$A$2:$AZ6238,fila,col),
IF(TRIM(TO_TEXT(valor))=TRIM(TO_TEXT(I4257)),"&amp;"
""OK"",
""NO COINCIDE. Valor verdadero: ""&amp;IF(valor="""",""[VACÍO]"",TO_TEXT(valor))
)
))))
),""ERROR EN FÓRMULA""))"),"OK")</f>
        <v>OK</v>
      </c>
    </row>
    <row r="4258">
      <c r="A4258" s="83" t="s">
        <v>4899</v>
      </c>
      <c r="B4258" s="83" t="s">
        <v>4900</v>
      </c>
      <c r="C4258" s="81" t="s">
        <v>4621</v>
      </c>
      <c r="D4258" s="83" t="s">
        <v>4089</v>
      </c>
      <c r="E4258" s="81" t="s">
        <v>75</v>
      </c>
      <c r="F4258" s="81">
        <v>4.0</v>
      </c>
      <c r="G4258" s="81" t="s">
        <v>1</v>
      </c>
      <c r="H4258" s="81" t="s">
        <v>224</v>
      </c>
      <c r="I4258" s="81" t="s">
        <v>49</v>
      </c>
      <c r="J4258" s="81" t="s">
        <v>224</v>
      </c>
      <c r="K4258" s="81" t="str">
        <f>IFERROR(__xludf.DUMMYFUNCTION("IF(OR(D4258="""",G4258=""""),"""",IFERROR(LET(
campo,XLOOKUP(TRIM(G4258),ARRAYFORMULA(TRIM('indice columnas'!$A$2:$A$100)),'indice columnas'!$B$2:$B$100,""""),
col,IFERROR(MATCH(campo,Referencia!$A$1:$AZ$1,0),0),
fila,IFERROR(MATCH(TO_TEXT(D4258),ARRAYFOR"&amp;"MULA(TO_TEXT(Referencia!$A$2:$A6238)),0),0),
IF(OR(campo="""",campo=""-""),""NO APLICA"",
IF(col=0,""REVISAR EQUIVALENCIA"",
IF(fila=0,""SKU NO ENCONTRADO"",
LET(
valor,INDEX(Referencia!$A$2:$AZ6238,fila,col),
IF(TRIM(TO_TEXT(valor))=TRIM(TO_TEXT(I4258)),"&amp;"
""OK"",
""NO COINCIDE. Valor verdadero: ""&amp;IF(valor="""",""[VACÍO]"",TO_TEXT(valor))
)
))))
),""ERROR EN FÓRMULA""))"),"OK")</f>
        <v>OK</v>
      </c>
    </row>
    <row r="4259">
      <c r="A4259" s="83" t="s">
        <v>4899</v>
      </c>
      <c r="B4259" s="83" t="s">
        <v>4900</v>
      </c>
      <c r="C4259" s="81" t="s">
        <v>4621</v>
      </c>
      <c r="D4259" s="83" t="s">
        <v>4091</v>
      </c>
      <c r="E4259" s="81" t="s">
        <v>121</v>
      </c>
      <c r="F4259" s="81">
        <v>7.0</v>
      </c>
      <c r="G4259" s="81" t="s">
        <v>3</v>
      </c>
      <c r="H4259" s="81" t="s">
        <v>224</v>
      </c>
      <c r="I4259" s="81" t="s">
        <v>51</v>
      </c>
      <c r="J4259" s="81" t="s">
        <v>224</v>
      </c>
      <c r="K4259" s="81" t="str">
        <f>IFERROR(__xludf.DUMMYFUNCTION("IF(OR(D4259="""",G4259=""""),"""",IFERROR(LET(
campo,XLOOKUP(TRIM(G4259),ARRAYFORMULA(TRIM('indice columnas'!$A$2:$A$100)),'indice columnas'!$B$2:$B$100,""""),
col,IFERROR(MATCH(campo,Referencia!$A$1:$AZ$1,0),0),
fila,IFERROR(MATCH(TO_TEXT(D4259),ARRAYFOR"&amp;"MULA(TO_TEXT(Referencia!$A$2:$A6238)),0),0),
IF(OR(campo="""",campo=""-""),""NO APLICA"",
IF(col=0,""REVISAR EQUIVALENCIA"",
IF(fila=0,""SKU NO ENCONTRADO"",
LET(
valor,INDEX(Referencia!$A$2:$AZ6238,fila,col),
IF(TRIM(TO_TEXT(valor))=TRIM(TO_TEXT(I4259)),"&amp;"
""OK"",
""NO COINCIDE. Valor verdadero: ""&amp;IF(valor="""",""[VACÍO]"",TO_TEXT(valor))
)
))))
),""ERROR EN FÓRMULA""))"),"OK")</f>
        <v>OK</v>
      </c>
    </row>
    <row r="4260">
      <c r="A4260" s="83" t="s">
        <v>4899</v>
      </c>
      <c r="B4260" s="83" t="s">
        <v>4900</v>
      </c>
      <c r="C4260" s="81" t="s">
        <v>4621</v>
      </c>
      <c r="D4260" s="83" t="s">
        <v>4091</v>
      </c>
      <c r="E4260" s="81" t="s">
        <v>121</v>
      </c>
      <c r="F4260" s="81">
        <v>7.0</v>
      </c>
      <c r="G4260" s="81" t="s">
        <v>2</v>
      </c>
      <c r="H4260" s="81" t="s">
        <v>224</v>
      </c>
      <c r="I4260" s="81" t="s">
        <v>50</v>
      </c>
      <c r="J4260" s="81" t="s">
        <v>224</v>
      </c>
      <c r="K4260" s="81" t="str">
        <f>IFERROR(__xludf.DUMMYFUNCTION("IF(OR(D4260="""",G4260=""""),"""",IFERROR(LET(
campo,XLOOKUP(TRIM(G4260),ARRAYFORMULA(TRIM('indice columnas'!$A$2:$A$100)),'indice columnas'!$B$2:$B$100,""""),
col,IFERROR(MATCH(campo,Referencia!$A$1:$AZ$1,0),0),
fila,IFERROR(MATCH(TO_TEXT(D4260),ARRAYFOR"&amp;"MULA(TO_TEXT(Referencia!$A$2:$A6238)),0),0),
IF(OR(campo="""",campo=""-""),""NO APLICA"",
IF(col=0,""REVISAR EQUIVALENCIA"",
IF(fila=0,""SKU NO ENCONTRADO"",
LET(
valor,INDEX(Referencia!$A$2:$AZ6238,fila,col),
IF(TRIM(TO_TEXT(valor))=TRIM(TO_TEXT(I4260)),"&amp;"
""OK"",
""NO COINCIDE. Valor verdadero: ""&amp;IF(valor="""",""[VACÍO]"",TO_TEXT(valor))
)
))))
),""ERROR EN FÓRMULA""))"),"OK")</f>
        <v>OK</v>
      </c>
    </row>
    <row r="4261">
      <c r="A4261" s="83" t="s">
        <v>4899</v>
      </c>
      <c r="B4261" s="83" t="s">
        <v>4900</v>
      </c>
      <c r="C4261" s="81" t="s">
        <v>4621</v>
      </c>
      <c r="D4261" s="83" t="s">
        <v>4091</v>
      </c>
      <c r="E4261" s="81" t="s">
        <v>121</v>
      </c>
      <c r="F4261" s="81">
        <v>7.0</v>
      </c>
      <c r="G4261" s="81" t="s">
        <v>1</v>
      </c>
      <c r="H4261" s="81" t="s">
        <v>224</v>
      </c>
      <c r="I4261" s="81" t="s">
        <v>49</v>
      </c>
      <c r="J4261" s="81" t="s">
        <v>224</v>
      </c>
      <c r="K4261" s="81" t="str">
        <f>IFERROR(__xludf.DUMMYFUNCTION("IF(OR(D4261="""",G4261=""""),"""",IFERROR(LET(
campo,XLOOKUP(TRIM(G4261),ARRAYFORMULA(TRIM('indice columnas'!$A$2:$A$100)),'indice columnas'!$B$2:$B$100,""""),
col,IFERROR(MATCH(campo,Referencia!$A$1:$AZ$1,0),0),
fila,IFERROR(MATCH(TO_TEXT(D4261),ARRAYFOR"&amp;"MULA(TO_TEXT(Referencia!$A$2:$A6238)),0),0),
IF(OR(campo="""",campo=""-""),""NO APLICA"",
IF(col=0,""REVISAR EQUIVALENCIA"",
IF(fila=0,""SKU NO ENCONTRADO"",
LET(
valor,INDEX(Referencia!$A$2:$AZ6238,fila,col),
IF(TRIM(TO_TEXT(valor))=TRIM(TO_TEXT(I4261)),"&amp;"
""OK"",
""NO COINCIDE. Valor verdadero: ""&amp;IF(valor="""",""[VACÍO]"",TO_TEXT(valor))
)
))))
),""ERROR EN FÓRMULA""))"),"OK")</f>
        <v>OK</v>
      </c>
    </row>
    <row r="4262">
      <c r="A4262" s="83" t="s">
        <v>4899</v>
      </c>
      <c r="B4262" s="83" t="s">
        <v>4900</v>
      </c>
      <c r="C4262" s="81" t="s">
        <v>4621</v>
      </c>
      <c r="D4262" s="83" t="s">
        <v>4092</v>
      </c>
      <c r="E4262" s="81" t="s">
        <v>122</v>
      </c>
      <c r="F4262" s="81">
        <v>8.0</v>
      </c>
      <c r="G4262" s="81" t="s">
        <v>3</v>
      </c>
      <c r="H4262" s="81" t="s">
        <v>224</v>
      </c>
      <c r="I4262" s="81" t="s">
        <v>51</v>
      </c>
      <c r="J4262" s="81" t="s">
        <v>224</v>
      </c>
      <c r="K4262" s="81" t="str">
        <f>IFERROR(__xludf.DUMMYFUNCTION("IF(OR(D4262="""",G4262=""""),"""",IFERROR(LET(
campo,XLOOKUP(TRIM(G4262),ARRAYFORMULA(TRIM('indice columnas'!$A$2:$A$100)),'indice columnas'!$B$2:$B$100,""""),
col,IFERROR(MATCH(campo,Referencia!$A$1:$AZ$1,0),0),
fila,IFERROR(MATCH(TO_TEXT(D4262),ARRAYFOR"&amp;"MULA(TO_TEXT(Referencia!$A$2:$A6238)),0),0),
IF(OR(campo="""",campo=""-""),""NO APLICA"",
IF(col=0,""REVISAR EQUIVALENCIA"",
IF(fila=0,""SKU NO ENCONTRADO"",
LET(
valor,INDEX(Referencia!$A$2:$AZ6238,fila,col),
IF(TRIM(TO_TEXT(valor))=TRIM(TO_TEXT(I4262)),"&amp;"
""OK"",
""NO COINCIDE. Valor verdadero: ""&amp;IF(valor="""",""[VACÍO]"",TO_TEXT(valor))
)
))))
),""ERROR EN FÓRMULA""))"),"OK")</f>
        <v>OK</v>
      </c>
    </row>
    <row r="4263">
      <c r="A4263" s="83" t="s">
        <v>4899</v>
      </c>
      <c r="B4263" s="83" t="s">
        <v>4900</v>
      </c>
      <c r="C4263" s="81" t="s">
        <v>4621</v>
      </c>
      <c r="D4263" s="83" t="s">
        <v>4092</v>
      </c>
      <c r="E4263" s="81" t="s">
        <v>122</v>
      </c>
      <c r="F4263" s="81">
        <v>8.0</v>
      </c>
      <c r="G4263" s="81" t="s">
        <v>2</v>
      </c>
      <c r="H4263" s="81" t="s">
        <v>224</v>
      </c>
      <c r="I4263" s="81" t="s">
        <v>50</v>
      </c>
      <c r="J4263" s="81" t="s">
        <v>224</v>
      </c>
      <c r="K4263" s="81" t="str">
        <f>IFERROR(__xludf.DUMMYFUNCTION("IF(OR(D4263="""",G4263=""""),"""",IFERROR(LET(
campo,XLOOKUP(TRIM(G4263),ARRAYFORMULA(TRIM('indice columnas'!$A$2:$A$100)),'indice columnas'!$B$2:$B$100,""""),
col,IFERROR(MATCH(campo,Referencia!$A$1:$AZ$1,0),0),
fila,IFERROR(MATCH(TO_TEXT(D4263),ARRAYFOR"&amp;"MULA(TO_TEXT(Referencia!$A$2:$A6238)),0),0),
IF(OR(campo="""",campo=""-""),""NO APLICA"",
IF(col=0,""REVISAR EQUIVALENCIA"",
IF(fila=0,""SKU NO ENCONTRADO"",
LET(
valor,INDEX(Referencia!$A$2:$AZ6238,fila,col),
IF(TRIM(TO_TEXT(valor))=TRIM(TO_TEXT(I4263)),"&amp;"
""OK"",
""NO COINCIDE. Valor verdadero: ""&amp;IF(valor="""",""[VACÍO]"",TO_TEXT(valor))
)
))))
),""ERROR EN FÓRMULA""))"),"OK")</f>
        <v>OK</v>
      </c>
    </row>
    <row r="4264">
      <c r="A4264" s="83" t="s">
        <v>4899</v>
      </c>
      <c r="B4264" s="83" t="s">
        <v>4900</v>
      </c>
      <c r="C4264" s="81" t="s">
        <v>4621</v>
      </c>
      <c r="D4264" s="83" t="s">
        <v>4092</v>
      </c>
      <c r="E4264" s="81" t="s">
        <v>122</v>
      </c>
      <c r="F4264" s="81">
        <v>8.0</v>
      </c>
      <c r="G4264" s="81" t="s">
        <v>1</v>
      </c>
      <c r="H4264" s="81" t="s">
        <v>224</v>
      </c>
      <c r="I4264" s="81" t="s">
        <v>49</v>
      </c>
      <c r="J4264" s="81" t="s">
        <v>224</v>
      </c>
      <c r="K4264" s="81" t="str">
        <f>IFERROR(__xludf.DUMMYFUNCTION("IF(OR(D4264="""",G4264=""""),"""",IFERROR(LET(
campo,XLOOKUP(TRIM(G4264),ARRAYFORMULA(TRIM('indice columnas'!$A$2:$A$100)),'indice columnas'!$B$2:$B$100,""""),
col,IFERROR(MATCH(campo,Referencia!$A$1:$AZ$1,0),0),
fila,IFERROR(MATCH(TO_TEXT(D4264),ARRAYFOR"&amp;"MULA(TO_TEXT(Referencia!$A$2:$A6238)),0),0),
IF(OR(campo="""",campo=""-""),""NO APLICA"",
IF(col=0,""REVISAR EQUIVALENCIA"",
IF(fila=0,""SKU NO ENCONTRADO"",
LET(
valor,INDEX(Referencia!$A$2:$AZ6238,fila,col),
IF(TRIM(TO_TEXT(valor))=TRIM(TO_TEXT(I4264)),"&amp;"
""OK"",
""NO COINCIDE. Valor verdadero: ""&amp;IF(valor="""",""[VACÍO]"",TO_TEXT(valor))
)
))))
),""ERROR EN FÓRMULA""))"),"OK")</f>
        <v>OK</v>
      </c>
    </row>
    <row r="4265">
      <c r="A4265" s="83" t="s">
        <v>4899</v>
      </c>
      <c r="B4265" s="83" t="s">
        <v>4900</v>
      </c>
      <c r="C4265" s="81" t="s">
        <v>4621</v>
      </c>
      <c r="D4265" s="83" t="s">
        <v>4093</v>
      </c>
      <c r="E4265" s="81" t="s">
        <v>125</v>
      </c>
      <c r="F4265" s="81">
        <v>9.0</v>
      </c>
      <c r="G4265" s="81" t="s">
        <v>2</v>
      </c>
      <c r="H4265" s="81" t="s">
        <v>49</v>
      </c>
      <c r="I4265" s="81" t="s">
        <v>50</v>
      </c>
      <c r="J4265" s="81" t="s">
        <v>224</v>
      </c>
      <c r="K4265" s="81" t="str">
        <f>IFERROR(__xludf.DUMMYFUNCTION("IF(OR(D4265="""",G4265=""""),"""",IFERROR(LET(
campo,XLOOKUP(TRIM(G4265),ARRAYFORMULA(TRIM('indice columnas'!$A$2:$A$100)),'indice columnas'!$B$2:$B$100,""""),
col,IFERROR(MATCH(campo,Referencia!$A$1:$AZ$1,0),0),
fila,IFERROR(MATCH(TO_TEXT(D4265),ARRAYFOR"&amp;"MULA(TO_TEXT(Referencia!$A$2:$A6238)),0),0),
IF(OR(campo="""",campo=""-""),""NO APLICA"",
IF(col=0,""REVISAR EQUIVALENCIA"",
IF(fila=0,""SKU NO ENCONTRADO"",
LET(
valor,INDEX(Referencia!$A$2:$AZ6238,fila,col),
IF(TRIM(TO_TEXT(valor))=TRIM(TO_TEXT(I4265)),"&amp;"
""OK"",
""NO COINCIDE. Valor verdadero: ""&amp;IF(valor="""",""[VACÍO]"",TO_TEXT(valor))
)
))))
),""ERROR EN FÓRMULA""))"),"OK")</f>
        <v>OK</v>
      </c>
    </row>
    <row r="4266">
      <c r="A4266" s="83" t="s">
        <v>4899</v>
      </c>
      <c r="B4266" s="83" t="s">
        <v>4900</v>
      </c>
      <c r="C4266" s="81" t="s">
        <v>4621</v>
      </c>
      <c r="D4266" s="83" t="s">
        <v>4094</v>
      </c>
      <c r="E4266" s="81" t="s">
        <v>154</v>
      </c>
      <c r="F4266" s="81">
        <v>11.0</v>
      </c>
      <c r="G4266" s="81" t="s">
        <v>3</v>
      </c>
      <c r="H4266" s="81" t="s">
        <v>224</v>
      </c>
      <c r="I4266" s="81" t="s">
        <v>51</v>
      </c>
      <c r="J4266" s="81" t="s">
        <v>224</v>
      </c>
      <c r="K4266" s="81" t="str">
        <f>IFERROR(__xludf.DUMMYFUNCTION("IF(OR(D4266="""",G4266=""""),"""",IFERROR(LET(
campo,XLOOKUP(TRIM(G4266),ARRAYFORMULA(TRIM('indice columnas'!$A$2:$A$100)),'indice columnas'!$B$2:$B$100,""""),
col,IFERROR(MATCH(campo,Referencia!$A$1:$AZ$1,0),0),
fila,IFERROR(MATCH(TO_TEXT(D4266),ARRAYFOR"&amp;"MULA(TO_TEXT(Referencia!$A$2:$A6238)),0),0),
IF(OR(campo="""",campo=""-""),""NO APLICA"",
IF(col=0,""REVISAR EQUIVALENCIA"",
IF(fila=0,""SKU NO ENCONTRADO"",
LET(
valor,INDEX(Referencia!$A$2:$AZ6238,fila,col),
IF(TRIM(TO_TEXT(valor))=TRIM(TO_TEXT(I4266)),"&amp;"
""OK"",
""NO COINCIDE. Valor verdadero: ""&amp;IF(valor="""",""[VACÍO]"",TO_TEXT(valor))
)
))))
),""ERROR EN FÓRMULA""))"),"OK")</f>
        <v>OK</v>
      </c>
    </row>
    <row r="4267">
      <c r="A4267" s="83" t="s">
        <v>4899</v>
      </c>
      <c r="B4267" s="83" t="s">
        <v>4900</v>
      </c>
      <c r="C4267" s="81" t="s">
        <v>4621</v>
      </c>
      <c r="D4267" s="83" t="s">
        <v>4094</v>
      </c>
      <c r="E4267" s="81" t="s">
        <v>154</v>
      </c>
      <c r="F4267" s="81">
        <v>11.0</v>
      </c>
      <c r="G4267" s="81" t="s">
        <v>2</v>
      </c>
      <c r="H4267" s="81" t="s">
        <v>224</v>
      </c>
      <c r="I4267" s="81" t="s">
        <v>50</v>
      </c>
      <c r="J4267" s="81" t="s">
        <v>224</v>
      </c>
      <c r="K4267" s="81" t="str">
        <f>IFERROR(__xludf.DUMMYFUNCTION("IF(OR(D4267="""",G4267=""""),"""",IFERROR(LET(
campo,XLOOKUP(TRIM(G4267),ARRAYFORMULA(TRIM('indice columnas'!$A$2:$A$100)),'indice columnas'!$B$2:$B$100,""""),
col,IFERROR(MATCH(campo,Referencia!$A$1:$AZ$1,0),0),
fila,IFERROR(MATCH(TO_TEXT(D4267),ARRAYFOR"&amp;"MULA(TO_TEXT(Referencia!$A$2:$A6238)),0),0),
IF(OR(campo="""",campo=""-""),""NO APLICA"",
IF(col=0,""REVISAR EQUIVALENCIA"",
IF(fila=0,""SKU NO ENCONTRADO"",
LET(
valor,INDEX(Referencia!$A$2:$AZ6238,fila,col),
IF(TRIM(TO_TEXT(valor))=TRIM(TO_TEXT(I4267)),"&amp;"
""OK"",
""NO COINCIDE. Valor verdadero: ""&amp;IF(valor="""",""[VACÍO]"",TO_TEXT(valor))
)
))))
),""ERROR EN FÓRMULA""))"),"OK")</f>
        <v>OK</v>
      </c>
    </row>
    <row r="4268">
      <c r="A4268" s="83" t="s">
        <v>4899</v>
      </c>
      <c r="B4268" s="83" t="s">
        <v>4900</v>
      </c>
      <c r="C4268" s="81" t="s">
        <v>4621</v>
      </c>
      <c r="D4268" s="83" t="s">
        <v>4094</v>
      </c>
      <c r="E4268" s="81" t="s">
        <v>154</v>
      </c>
      <c r="F4268" s="81">
        <v>11.0</v>
      </c>
      <c r="G4268" s="81" t="s">
        <v>1</v>
      </c>
      <c r="H4268" s="81" t="s">
        <v>224</v>
      </c>
      <c r="I4268" s="81" t="s">
        <v>49</v>
      </c>
      <c r="J4268" s="81" t="s">
        <v>224</v>
      </c>
      <c r="K4268" s="81" t="str">
        <f>IFERROR(__xludf.DUMMYFUNCTION("IF(OR(D4268="""",G4268=""""),"""",IFERROR(LET(
campo,XLOOKUP(TRIM(G4268),ARRAYFORMULA(TRIM('indice columnas'!$A$2:$A$100)),'indice columnas'!$B$2:$B$100,""""),
col,IFERROR(MATCH(campo,Referencia!$A$1:$AZ$1,0),0),
fila,IFERROR(MATCH(TO_TEXT(D4268),ARRAYFOR"&amp;"MULA(TO_TEXT(Referencia!$A$2:$A6238)),0),0),
IF(OR(campo="""",campo=""-""),""NO APLICA"",
IF(col=0,""REVISAR EQUIVALENCIA"",
IF(fila=0,""SKU NO ENCONTRADO"",
LET(
valor,INDEX(Referencia!$A$2:$AZ6238,fila,col),
IF(TRIM(TO_TEXT(valor))=TRIM(TO_TEXT(I4268)),"&amp;"
""OK"",
""NO COINCIDE. Valor verdadero: ""&amp;IF(valor="""",""[VACÍO]"",TO_TEXT(valor))
)
))))
),""ERROR EN FÓRMULA""))"),"OK")</f>
        <v>OK</v>
      </c>
    </row>
    <row r="4269">
      <c r="A4269" s="83" t="s">
        <v>4899</v>
      </c>
      <c r="B4269" s="83" t="s">
        <v>4900</v>
      </c>
      <c r="C4269" s="81" t="s">
        <v>4621</v>
      </c>
      <c r="D4269" s="83" t="s">
        <v>4095</v>
      </c>
      <c r="E4269" s="81" t="s">
        <v>155</v>
      </c>
      <c r="F4269" s="81">
        <v>12.0</v>
      </c>
      <c r="G4269" s="81" t="s">
        <v>3</v>
      </c>
      <c r="H4269" s="81" t="s">
        <v>224</v>
      </c>
      <c r="I4269" s="81" t="s">
        <v>51</v>
      </c>
      <c r="J4269" s="81" t="s">
        <v>224</v>
      </c>
      <c r="K4269" s="81" t="str">
        <f>IFERROR(__xludf.DUMMYFUNCTION("IF(OR(D4269="""",G4269=""""),"""",IFERROR(LET(
campo,XLOOKUP(TRIM(G4269),ARRAYFORMULA(TRIM('indice columnas'!$A$2:$A$100)),'indice columnas'!$B$2:$B$100,""""),
col,IFERROR(MATCH(campo,Referencia!$A$1:$AZ$1,0),0),
fila,IFERROR(MATCH(TO_TEXT(D4269),ARRAYFOR"&amp;"MULA(TO_TEXT(Referencia!$A$2:$A6238)),0),0),
IF(OR(campo="""",campo=""-""),""NO APLICA"",
IF(col=0,""REVISAR EQUIVALENCIA"",
IF(fila=0,""SKU NO ENCONTRADO"",
LET(
valor,INDEX(Referencia!$A$2:$AZ6238,fila,col),
IF(TRIM(TO_TEXT(valor))=TRIM(TO_TEXT(I4269)),"&amp;"
""OK"",
""NO COINCIDE. Valor verdadero: ""&amp;IF(valor="""",""[VACÍO]"",TO_TEXT(valor))
)
))))
),""ERROR EN FÓRMULA""))"),"OK")</f>
        <v>OK</v>
      </c>
    </row>
    <row r="4270">
      <c r="A4270" s="83" t="s">
        <v>4899</v>
      </c>
      <c r="B4270" s="83" t="s">
        <v>4900</v>
      </c>
      <c r="C4270" s="81" t="s">
        <v>4621</v>
      </c>
      <c r="D4270" s="83" t="s">
        <v>4095</v>
      </c>
      <c r="E4270" s="81" t="s">
        <v>155</v>
      </c>
      <c r="F4270" s="81">
        <v>12.0</v>
      </c>
      <c r="G4270" s="81" t="s">
        <v>2</v>
      </c>
      <c r="H4270" s="81" t="s">
        <v>224</v>
      </c>
      <c r="I4270" s="81" t="s">
        <v>50</v>
      </c>
      <c r="J4270" s="81" t="s">
        <v>224</v>
      </c>
      <c r="K4270" s="81" t="str">
        <f>IFERROR(__xludf.DUMMYFUNCTION("IF(OR(D4270="""",G4270=""""),"""",IFERROR(LET(
campo,XLOOKUP(TRIM(G4270),ARRAYFORMULA(TRIM('indice columnas'!$A$2:$A$100)),'indice columnas'!$B$2:$B$100,""""),
col,IFERROR(MATCH(campo,Referencia!$A$1:$AZ$1,0),0),
fila,IFERROR(MATCH(TO_TEXT(D4270),ARRAYFOR"&amp;"MULA(TO_TEXT(Referencia!$A$2:$A6238)),0),0),
IF(OR(campo="""",campo=""-""),""NO APLICA"",
IF(col=0,""REVISAR EQUIVALENCIA"",
IF(fila=0,""SKU NO ENCONTRADO"",
LET(
valor,INDEX(Referencia!$A$2:$AZ6238,fila,col),
IF(TRIM(TO_TEXT(valor))=TRIM(TO_TEXT(I4270)),"&amp;"
""OK"",
""NO COINCIDE. Valor verdadero: ""&amp;IF(valor="""",""[VACÍO]"",TO_TEXT(valor))
)
))))
),""ERROR EN FÓRMULA""))"),"OK")</f>
        <v>OK</v>
      </c>
    </row>
    <row r="4271">
      <c r="A4271" s="83" t="s">
        <v>4899</v>
      </c>
      <c r="B4271" s="83" t="s">
        <v>4900</v>
      </c>
      <c r="C4271" s="81" t="s">
        <v>4621</v>
      </c>
      <c r="D4271" s="83" t="s">
        <v>4095</v>
      </c>
      <c r="E4271" s="81" t="s">
        <v>155</v>
      </c>
      <c r="F4271" s="81">
        <v>12.0</v>
      </c>
      <c r="G4271" s="81" t="s">
        <v>1</v>
      </c>
      <c r="H4271" s="81" t="s">
        <v>224</v>
      </c>
      <c r="I4271" s="81" t="s">
        <v>49</v>
      </c>
      <c r="J4271" s="81" t="s">
        <v>224</v>
      </c>
      <c r="K4271" s="81" t="str">
        <f>IFERROR(__xludf.DUMMYFUNCTION("IF(OR(D4271="""",G4271=""""),"""",IFERROR(LET(
campo,XLOOKUP(TRIM(G4271),ARRAYFORMULA(TRIM('indice columnas'!$A$2:$A$100)),'indice columnas'!$B$2:$B$100,""""),
col,IFERROR(MATCH(campo,Referencia!$A$1:$AZ$1,0),0),
fila,IFERROR(MATCH(TO_TEXT(D4271),ARRAYFOR"&amp;"MULA(TO_TEXT(Referencia!$A$2:$A6238)),0),0),
IF(OR(campo="""",campo=""-""),""NO APLICA"",
IF(col=0,""REVISAR EQUIVALENCIA"",
IF(fila=0,""SKU NO ENCONTRADO"",
LET(
valor,INDEX(Referencia!$A$2:$AZ6238,fila,col),
IF(TRIM(TO_TEXT(valor))=TRIM(TO_TEXT(I4271)),"&amp;"
""OK"",
""NO COINCIDE. Valor verdadero: ""&amp;IF(valor="""",""[VACÍO]"",TO_TEXT(valor))
)
))))
),""ERROR EN FÓRMULA""))"),"OK")</f>
        <v>OK</v>
      </c>
    </row>
    <row r="4272">
      <c r="A4272" s="83" t="s">
        <v>4899</v>
      </c>
      <c r="B4272" s="83" t="s">
        <v>4900</v>
      </c>
      <c r="C4272" s="81" t="s">
        <v>4621</v>
      </c>
      <c r="D4272" s="83" t="s">
        <v>4096</v>
      </c>
      <c r="E4272" s="81" t="s">
        <v>170</v>
      </c>
      <c r="F4272" s="81">
        <v>14.0</v>
      </c>
      <c r="G4272" s="81" t="s">
        <v>3</v>
      </c>
      <c r="H4272" s="81" t="s">
        <v>224</v>
      </c>
      <c r="I4272" s="81" t="s">
        <v>51</v>
      </c>
      <c r="J4272" s="81" t="s">
        <v>224</v>
      </c>
      <c r="K4272" s="81" t="str">
        <f>IFERROR(__xludf.DUMMYFUNCTION("IF(OR(D4272="""",G4272=""""),"""",IFERROR(LET(
campo,XLOOKUP(TRIM(G4272),ARRAYFORMULA(TRIM('indice columnas'!$A$2:$A$100)),'indice columnas'!$B$2:$B$100,""""),
col,IFERROR(MATCH(campo,Referencia!$A$1:$AZ$1,0),0),
fila,IFERROR(MATCH(TO_TEXT(D4272),ARRAYFOR"&amp;"MULA(TO_TEXT(Referencia!$A$2:$A6238)),0),0),
IF(OR(campo="""",campo=""-""),""NO APLICA"",
IF(col=0,""REVISAR EQUIVALENCIA"",
IF(fila=0,""SKU NO ENCONTRADO"",
LET(
valor,INDEX(Referencia!$A$2:$AZ6238,fila,col),
IF(TRIM(TO_TEXT(valor))=TRIM(TO_TEXT(I4272)),"&amp;"
""OK"",
""NO COINCIDE. Valor verdadero: ""&amp;IF(valor="""",""[VACÍO]"",TO_TEXT(valor))
)
))))
),""ERROR EN FÓRMULA""))"),"OK")</f>
        <v>OK</v>
      </c>
    </row>
    <row r="4273">
      <c r="A4273" s="83" t="s">
        <v>4899</v>
      </c>
      <c r="B4273" s="83" t="s">
        <v>4900</v>
      </c>
      <c r="C4273" s="81" t="s">
        <v>4621</v>
      </c>
      <c r="D4273" s="83" t="s">
        <v>4096</v>
      </c>
      <c r="E4273" s="81" t="s">
        <v>170</v>
      </c>
      <c r="F4273" s="81">
        <v>14.0</v>
      </c>
      <c r="G4273" s="81" t="s">
        <v>2</v>
      </c>
      <c r="H4273" s="81" t="s">
        <v>224</v>
      </c>
      <c r="I4273" s="81" t="s">
        <v>50</v>
      </c>
      <c r="J4273" s="81" t="s">
        <v>224</v>
      </c>
      <c r="K4273" s="81" t="str">
        <f>IFERROR(__xludf.DUMMYFUNCTION("IF(OR(D4273="""",G4273=""""),"""",IFERROR(LET(
campo,XLOOKUP(TRIM(G4273),ARRAYFORMULA(TRIM('indice columnas'!$A$2:$A$100)),'indice columnas'!$B$2:$B$100,""""),
col,IFERROR(MATCH(campo,Referencia!$A$1:$AZ$1,0),0),
fila,IFERROR(MATCH(TO_TEXT(D4273),ARRAYFOR"&amp;"MULA(TO_TEXT(Referencia!$A$2:$A6238)),0),0),
IF(OR(campo="""",campo=""-""),""NO APLICA"",
IF(col=0,""REVISAR EQUIVALENCIA"",
IF(fila=0,""SKU NO ENCONTRADO"",
LET(
valor,INDEX(Referencia!$A$2:$AZ6238,fila,col),
IF(TRIM(TO_TEXT(valor))=TRIM(TO_TEXT(I4273)),"&amp;"
""OK"",
""NO COINCIDE. Valor verdadero: ""&amp;IF(valor="""",""[VACÍO]"",TO_TEXT(valor))
)
))))
),""ERROR EN FÓRMULA""))"),"OK")</f>
        <v>OK</v>
      </c>
    </row>
    <row r="4274">
      <c r="A4274" s="83" t="s">
        <v>4899</v>
      </c>
      <c r="B4274" s="83" t="s">
        <v>4900</v>
      </c>
      <c r="C4274" s="81" t="s">
        <v>4621</v>
      </c>
      <c r="D4274" s="83" t="s">
        <v>4096</v>
      </c>
      <c r="E4274" s="81" t="s">
        <v>170</v>
      </c>
      <c r="F4274" s="81">
        <v>14.0</v>
      </c>
      <c r="G4274" s="81" t="s">
        <v>1</v>
      </c>
      <c r="H4274" s="81" t="s">
        <v>224</v>
      </c>
      <c r="I4274" s="81" t="s">
        <v>49</v>
      </c>
      <c r="J4274" s="81" t="s">
        <v>224</v>
      </c>
      <c r="K4274" s="81" t="str">
        <f>IFERROR(__xludf.DUMMYFUNCTION("IF(OR(D4274="""",G4274=""""),"""",IFERROR(LET(
campo,XLOOKUP(TRIM(G4274),ARRAYFORMULA(TRIM('indice columnas'!$A$2:$A$100)),'indice columnas'!$B$2:$B$100,""""),
col,IFERROR(MATCH(campo,Referencia!$A$1:$AZ$1,0),0),
fila,IFERROR(MATCH(TO_TEXT(D4274),ARRAYFOR"&amp;"MULA(TO_TEXT(Referencia!$A$2:$A6238)),0),0),
IF(OR(campo="""",campo=""-""),""NO APLICA"",
IF(col=0,""REVISAR EQUIVALENCIA"",
IF(fila=0,""SKU NO ENCONTRADO"",
LET(
valor,INDEX(Referencia!$A$2:$AZ6238,fila,col),
IF(TRIM(TO_TEXT(valor))=TRIM(TO_TEXT(I4274)),"&amp;"
""OK"",
""NO COINCIDE. Valor verdadero: ""&amp;IF(valor="""",""[VACÍO]"",TO_TEXT(valor))
)
))))
),""ERROR EN FÓRMULA""))"),"OK")</f>
        <v>OK</v>
      </c>
    </row>
    <row r="4275">
      <c r="A4275" s="83" t="s">
        <v>4899</v>
      </c>
      <c r="B4275" s="83" t="s">
        <v>4900</v>
      </c>
      <c r="C4275" s="81" t="s">
        <v>4621</v>
      </c>
      <c r="D4275" s="83" t="s">
        <v>4097</v>
      </c>
      <c r="E4275" s="81" t="s">
        <v>172</v>
      </c>
      <c r="F4275" s="81">
        <v>15.0</v>
      </c>
      <c r="G4275" s="81" t="s">
        <v>3</v>
      </c>
      <c r="H4275" s="81" t="s">
        <v>224</v>
      </c>
      <c r="I4275" s="81" t="s">
        <v>51</v>
      </c>
      <c r="J4275" s="81" t="s">
        <v>224</v>
      </c>
      <c r="K4275" s="81" t="str">
        <f>IFERROR(__xludf.DUMMYFUNCTION("IF(OR(D4275="""",G4275=""""),"""",IFERROR(LET(
campo,XLOOKUP(TRIM(G4275),ARRAYFORMULA(TRIM('indice columnas'!$A$2:$A$100)),'indice columnas'!$B$2:$B$100,""""),
col,IFERROR(MATCH(campo,Referencia!$A$1:$AZ$1,0),0),
fila,IFERROR(MATCH(TO_TEXT(D4275),ARRAYFOR"&amp;"MULA(TO_TEXT(Referencia!$A$2:$A6238)),0),0),
IF(OR(campo="""",campo=""-""),""NO APLICA"",
IF(col=0,""REVISAR EQUIVALENCIA"",
IF(fila=0,""SKU NO ENCONTRADO"",
LET(
valor,INDEX(Referencia!$A$2:$AZ6238,fila,col),
IF(TRIM(TO_TEXT(valor))=TRIM(TO_TEXT(I4275)),"&amp;"
""OK"",
""NO COINCIDE. Valor verdadero: ""&amp;IF(valor="""",""[VACÍO]"",TO_TEXT(valor))
)
))))
),""ERROR EN FÓRMULA""))"),"OK")</f>
        <v>OK</v>
      </c>
    </row>
    <row r="4276">
      <c r="A4276" s="83" t="s">
        <v>4899</v>
      </c>
      <c r="B4276" s="83" t="s">
        <v>4900</v>
      </c>
      <c r="C4276" s="81" t="s">
        <v>4621</v>
      </c>
      <c r="D4276" s="83" t="s">
        <v>4097</v>
      </c>
      <c r="E4276" s="81" t="s">
        <v>172</v>
      </c>
      <c r="F4276" s="81">
        <v>15.0</v>
      </c>
      <c r="G4276" s="81" t="s">
        <v>2</v>
      </c>
      <c r="H4276" s="81" t="s">
        <v>224</v>
      </c>
      <c r="I4276" s="81" t="s">
        <v>50</v>
      </c>
      <c r="J4276" s="81" t="s">
        <v>224</v>
      </c>
      <c r="K4276" s="81" t="str">
        <f>IFERROR(__xludf.DUMMYFUNCTION("IF(OR(D4276="""",G4276=""""),"""",IFERROR(LET(
campo,XLOOKUP(TRIM(G4276),ARRAYFORMULA(TRIM('indice columnas'!$A$2:$A$100)),'indice columnas'!$B$2:$B$100,""""),
col,IFERROR(MATCH(campo,Referencia!$A$1:$AZ$1,0),0),
fila,IFERROR(MATCH(TO_TEXT(D4276),ARRAYFOR"&amp;"MULA(TO_TEXT(Referencia!$A$2:$A6238)),0),0),
IF(OR(campo="""",campo=""-""),""NO APLICA"",
IF(col=0,""REVISAR EQUIVALENCIA"",
IF(fila=0,""SKU NO ENCONTRADO"",
LET(
valor,INDEX(Referencia!$A$2:$AZ6238,fila,col),
IF(TRIM(TO_TEXT(valor))=TRIM(TO_TEXT(I4276)),"&amp;"
""OK"",
""NO COINCIDE. Valor verdadero: ""&amp;IF(valor="""",""[VACÍO]"",TO_TEXT(valor))
)
))))
),""ERROR EN FÓRMULA""))"),"OK")</f>
        <v>OK</v>
      </c>
    </row>
    <row r="4277">
      <c r="A4277" s="83" t="s">
        <v>4899</v>
      </c>
      <c r="B4277" s="83" t="s">
        <v>4900</v>
      </c>
      <c r="C4277" s="81" t="s">
        <v>4621</v>
      </c>
      <c r="D4277" s="83" t="s">
        <v>4097</v>
      </c>
      <c r="E4277" s="81" t="s">
        <v>172</v>
      </c>
      <c r="F4277" s="81">
        <v>15.0</v>
      </c>
      <c r="G4277" s="81" t="s">
        <v>1</v>
      </c>
      <c r="H4277" s="81" t="s">
        <v>224</v>
      </c>
      <c r="I4277" s="81" t="s">
        <v>49</v>
      </c>
      <c r="J4277" s="81" t="s">
        <v>224</v>
      </c>
      <c r="K4277" s="81" t="str">
        <f>IFERROR(__xludf.DUMMYFUNCTION("IF(OR(D4277="""",G4277=""""),"""",IFERROR(LET(
campo,XLOOKUP(TRIM(G4277),ARRAYFORMULA(TRIM('indice columnas'!$A$2:$A$100)),'indice columnas'!$B$2:$B$100,""""),
col,IFERROR(MATCH(campo,Referencia!$A$1:$AZ$1,0),0),
fila,IFERROR(MATCH(TO_TEXT(D4277),ARRAYFOR"&amp;"MULA(TO_TEXT(Referencia!$A$2:$A6238)),0),0),
IF(OR(campo="""",campo=""-""),""NO APLICA"",
IF(col=0,""REVISAR EQUIVALENCIA"",
IF(fila=0,""SKU NO ENCONTRADO"",
LET(
valor,INDEX(Referencia!$A$2:$AZ6238,fila,col),
IF(TRIM(TO_TEXT(valor))=TRIM(TO_TEXT(I4277)),"&amp;"
""OK"",
""NO COINCIDE. Valor verdadero: ""&amp;IF(valor="""",""[VACÍO]"",TO_TEXT(valor))
)
))))
),""ERROR EN FÓRMULA""))"),"OK")</f>
        <v>OK</v>
      </c>
    </row>
    <row r="4278">
      <c r="A4278" s="83" t="s">
        <v>4899</v>
      </c>
      <c r="B4278" s="83" t="s">
        <v>4900</v>
      </c>
      <c r="C4278" s="81" t="s">
        <v>4621</v>
      </c>
      <c r="D4278" s="83" t="s">
        <v>4104</v>
      </c>
      <c r="E4278" s="81" t="s">
        <v>241</v>
      </c>
      <c r="F4278" s="81">
        <v>22.0</v>
      </c>
      <c r="G4278" s="81" t="s">
        <v>3</v>
      </c>
      <c r="H4278" s="81" t="s">
        <v>224</v>
      </c>
      <c r="I4278" s="81" t="s">
        <v>51</v>
      </c>
      <c r="J4278" s="81" t="s">
        <v>224</v>
      </c>
      <c r="K4278" s="81" t="str">
        <f>IFERROR(__xludf.DUMMYFUNCTION("IF(OR(D4278="""",G4278=""""),"""",IFERROR(LET(
campo,XLOOKUP(TRIM(G4278),ARRAYFORMULA(TRIM('indice columnas'!$A$2:$A$100)),'indice columnas'!$B$2:$B$100,""""),
col,IFERROR(MATCH(campo,Referencia!$A$1:$AZ$1,0),0),
fila,IFERROR(MATCH(TO_TEXT(D4278),ARRAYFOR"&amp;"MULA(TO_TEXT(Referencia!$A$2:$A6238)),0),0),
IF(OR(campo="""",campo=""-""),""NO APLICA"",
IF(col=0,""REVISAR EQUIVALENCIA"",
IF(fila=0,""SKU NO ENCONTRADO"",
LET(
valor,INDEX(Referencia!$A$2:$AZ6238,fila,col),
IF(TRIM(TO_TEXT(valor))=TRIM(TO_TEXT(I4278)),"&amp;"
""OK"",
""NO COINCIDE. Valor verdadero: ""&amp;IF(valor="""",""[VACÍO]"",TO_TEXT(valor))
)
))))
),""ERROR EN FÓRMULA""))"),"OK")</f>
        <v>OK</v>
      </c>
    </row>
    <row r="4279">
      <c r="A4279" s="83" t="s">
        <v>4899</v>
      </c>
      <c r="B4279" s="83" t="s">
        <v>4900</v>
      </c>
      <c r="C4279" s="81" t="s">
        <v>4621</v>
      </c>
      <c r="D4279" s="83" t="s">
        <v>4104</v>
      </c>
      <c r="E4279" s="81" t="s">
        <v>241</v>
      </c>
      <c r="F4279" s="81">
        <v>22.0</v>
      </c>
      <c r="G4279" s="81" t="s">
        <v>2</v>
      </c>
      <c r="H4279" s="81" t="s">
        <v>224</v>
      </c>
      <c r="I4279" s="81" t="s">
        <v>213</v>
      </c>
      <c r="J4279" s="81" t="s">
        <v>224</v>
      </c>
      <c r="K4279" s="81" t="str">
        <f>IFERROR(__xludf.DUMMYFUNCTION("IF(OR(D4279="""",G4279=""""),"""",IFERROR(LET(
campo,XLOOKUP(TRIM(G4279),ARRAYFORMULA(TRIM('indice columnas'!$A$2:$A$100)),'indice columnas'!$B$2:$B$100,""""),
col,IFERROR(MATCH(campo,Referencia!$A$1:$AZ$1,0),0),
fila,IFERROR(MATCH(TO_TEXT(D4279),ARRAYFOR"&amp;"MULA(TO_TEXT(Referencia!$A$2:$A6238)),0),0),
IF(OR(campo="""",campo=""-""),""NO APLICA"",
IF(col=0,""REVISAR EQUIVALENCIA"",
IF(fila=0,""SKU NO ENCONTRADO"",
LET(
valor,INDEX(Referencia!$A$2:$AZ6238,fila,col),
IF(TRIM(TO_TEXT(valor))=TRIM(TO_TEXT(I4279)),"&amp;"
""OK"",
""NO COINCIDE. Valor verdadero: ""&amp;IF(valor="""",""[VACÍO]"",TO_TEXT(valor))
)
))))
),""ERROR EN FÓRMULA""))"),"OK")</f>
        <v>OK</v>
      </c>
    </row>
    <row r="4280">
      <c r="A4280" s="83" t="s">
        <v>4899</v>
      </c>
      <c r="B4280" s="83" t="s">
        <v>4900</v>
      </c>
      <c r="C4280" s="81" t="s">
        <v>4621</v>
      </c>
      <c r="D4280" s="83" t="s">
        <v>4104</v>
      </c>
      <c r="E4280" s="81" t="s">
        <v>241</v>
      </c>
      <c r="F4280" s="81">
        <v>22.0</v>
      </c>
      <c r="G4280" s="81" t="s">
        <v>1</v>
      </c>
      <c r="H4280" s="81" t="s">
        <v>224</v>
      </c>
      <c r="I4280" s="81" t="s">
        <v>49</v>
      </c>
      <c r="J4280" s="81" t="s">
        <v>224</v>
      </c>
      <c r="K4280" s="81" t="str">
        <f>IFERROR(__xludf.DUMMYFUNCTION("IF(OR(D4280="""",G4280=""""),"""",IFERROR(LET(
campo,XLOOKUP(TRIM(G4280),ARRAYFORMULA(TRIM('indice columnas'!$A$2:$A$100)),'indice columnas'!$B$2:$B$100,""""),
col,IFERROR(MATCH(campo,Referencia!$A$1:$AZ$1,0),0),
fila,IFERROR(MATCH(TO_TEXT(D4280),ARRAYFOR"&amp;"MULA(TO_TEXT(Referencia!$A$2:$A6238)),0),0),
IF(OR(campo="""",campo=""-""),""NO APLICA"",
IF(col=0,""REVISAR EQUIVALENCIA"",
IF(fila=0,""SKU NO ENCONTRADO"",
LET(
valor,INDEX(Referencia!$A$2:$AZ6238,fila,col),
IF(TRIM(TO_TEXT(valor))=TRIM(TO_TEXT(I4280)),"&amp;"
""OK"",
""NO COINCIDE. Valor verdadero: ""&amp;IF(valor="""",""[VACÍO]"",TO_TEXT(valor))
)
))))
),""ERROR EN FÓRMULA""))"),"OK")</f>
        <v>OK</v>
      </c>
    </row>
    <row r="4281">
      <c r="A4281" s="83" t="s">
        <v>4899</v>
      </c>
      <c r="B4281" s="83" t="s">
        <v>4900</v>
      </c>
      <c r="C4281" s="81" t="s">
        <v>4621</v>
      </c>
      <c r="D4281" s="83" t="s">
        <v>4105</v>
      </c>
      <c r="E4281" s="81" t="s">
        <v>244</v>
      </c>
      <c r="F4281" s="81">
        <v>23.0</v>
      </c>
      <c r="G4281" s="81" t="s">
        <v>3</v>
      </c>
      <c r="H4281" s="81" t="s">
        <v>224</v>
      </c>
      <c r="I4281" s="81" t="s">
        <v>51</v>
      </c>
      <c r="J4281" s="81" t="s">
        <v>224</v>
      </c>
      <c r="K4281" s="81" t="str">
        <f>IFERROR(__xludf.DUMMYFUNCTION("IF(OR(D4281="""",G4281=""""),"""",IFERROR(LET(
campo,XLOOKUP(TRIM(G4281),ARRAYFORMULA(TRIM('indice columnas'!$A$2:$A$100)),'indice columnas'!$B$2:$B$100,""""),
col,IFERROR(MATCH(campo,Referencia!$A$1:$AZ$1,0),0),
fila,IFERROR(MATCH(TO_TEXT(D4281),ARRAYFOR"&amp;"MULA(TO_TEXT(Referencia!$A$2:$A6238)),0),0),
IF(OR(campo="""",campo=""-""),""NO APLICA"",
IF(col=0,""REVISAR EQUIVALENCIA"",
IF(fila=0,""SKU NO ENCONTRADO"",
LET(
valor,INDEX(Referencia!$A$2:$AZ6238,fila,col),
IF(TRIM(TO_TEXT(valor))=TRIM(TO_TEXT(I4281)),"&amp;"
""OK"",
""NO COINCIDE. Valor verdadero: ""&amp;IF(valor="""",""[VACÍO]"",TO_TEXT(valor))
)
))))
),""ERROR EN FÓRMULA""))"),"OK")</f>
        <v>OK</v>
      </c>
    </row>
    <row r="4282">
      <c r="A4282" s="83" t="s">
        <v>4899</v>
      </c>
      <c r="B4282" s="83" t="s">
        <v>4900</v>
      </c>
      <c r="C4282" s="81" t="s">
        <v>4621</v>
      </c>
      <c r="D4282" s="83" t="s">
        <v>4105</v>
      </c>
      <c r="E4282" s="81" t="s">
        <v>244</v>
      </c>
      <c r="F4282" s="81">
        <v>23.0</v>
      </c>
      <c r="G4282" s="81" t="s">
        <v>2</v>
      </c>
      <c r="H4282" s="81" t="s">
        <v>224</v>
      </c>
      <c r="I4282" s="81" t="s">
        <v>213</v>
      </c>
      <c r="J4282" s="81" t="s">
        <v>224</v>
      </c>
      <c r="K4282" s="81" t="str">
        <f>IFERROR(__xludf.DUMMYFUNCTION("IF(OR(D4282="""",G4282=""""),"""",IFERROR(LET(
campo,XLOOKUP(TRIM(G4282),ARRAYFORMULA(TRIM('indice columnas'!$A$2:$A$100)),'indice columnas'!$B$2:$B$100,""""),
col,IFERROR(MATCH(campo,Referencia!$A$1:$AZ$1,0),0),
fila,IFERROR(MATCH(TO_TEXT(D4282),ARRAYFOR"&amp;"MULA(TO_TEXT(Referencia!$A$2:$A6238)),0),0),
IF(OR(campo="""",campo=""-""),""NO APLICA"",
IF(col=0,""REVISAR EQUIVALENCIA"",
IF(fila=0,""SKU NO ENCONTRADO"",
LET(
valor,INDEX(Referencia!$A$2:$AZ6238,fila,col),
IF(TRIM(TO_TEXT(valor))=TRIM(TO_TEXT(I4282)),"&amp;"
""OK"",
""NO COINCIDE. Valor verdadero: ""&amp;IF(valor="""",""[VACÍO]"",TO_TEXT(valor))
)
))))
),""ERROR EN FÓRMULA""))"),"OK")</f>
        <v>OK</v>
      </c>
    </row>
    <row r="4283">
      <c r="A4283" s="83" t="s">
        <v>4899</v>
      </c>
      <c r="B4283" s="83" t="s">
        <v>4900</v>
      </c>
      <c r="C4283" s="81" t="s">
        <v>4621</v>
      </c>
      <c r="D4283" s="83" t="s">
        <v>4105</v>
      </c>
      <c r="E4283" s="81" t="s">
        <v>244</v>
      </c>
      <c r="F4283" s="81">
        <v>23.0</v>
      </c>
      <c r="G4283" s="81" t="s">
        <v>1</v>
      </c>
      <c r="H4283" s="81" t="s">
        <v>224</v>
      </c>
      <c r="I4283" s="81" t="s">
        <v>49</v>
      </c>
      <c r="J4283" s="81" t="s">
        <v>224</v>
      </c>
      <c r="K4283" s="81" t="str">
        <f>IFERROR(__xludf.DUMMYFUNCTION("IF(OR(D4283="""",G4283=""""),"""",IFERROR(LET(
campo,XLOOKUP(TRIM(G4283),ARRAYFORMULA(TRIM('indice columnas'!$A$2:$A$100)),'indice columnas'!$B$2:$B$100,""""),
col,IFERROR(MATCH(campo,Referencia!$A$1:$AZ$1,0),0),
fila,IFERROR(MATCH(TO_TEXT(D4283),ARRAYFOR"&amp;"MULA(TO_TEXT(Referencia!$A$2:$A6238)),0),0),
IF(OR(campo="""",campo=""-""),""NO APLICA"",
IF(col=0,""REVISAR EQUIVALENCIA"",
IF(fila=0,""SKU NO ENCONTRADO"",
LET(
valor,INDEX(Referencia!$A$2:$AZ6238,fila,col),
IF(TRIM(TO_TEXT(valor))=TRIM(TO_TEXT(I4283)),"&amp;"
""OK"",
""NO COINCIDE. Valor verdadero: ""&amp;IF(valor="""",""[VACÍO]"",TO_TEXT(valor))
)
))))
),""ERROR EN FÓRMULA""))"),"OK")</f>
        <v>OK</v>
      </c>
    </row>
    <row r="4284">
      <c r="A4284" s="83" t="s">
        <v>4899</v>
      </c>
      <c r="B4284" s="83" t="s">
        <v>4900</v>
      </c>
      <c r="C4284" s="81" t="s">
        <v>4621</v>
      </c>
      <c r="D4284" s="83" t="s">
        <v>4106</v>
      </c>
      <c r="E4284" s="81" t="s">
        <v>251</v>
      </c>
      <c r="F4284" s="81">
        <v>24.0</v>
      </c>
      <c r="G4284" s="81" t="s">
        <v>3</v>
      </c>
      <c r="H4284" s="81" t="s">
        <v>224</v>
      </c>
      <c r="I4284" s="81" t="s">
        <v>51</v>
      </c>
      <c r="J4284" s="81" t="s">
        <v>224</v>
      </c>
      <c r="K4284" s="81" t="str">
        <f>IFERROR(__xludf.DUMMYFUNCTION("IF(OR(D4284="""",G4284=""""),"""",IFERROR(LET(
campo,XLOOKUP(TRIM(G4284),ARRAYFORMULA(TRIM('indice columnas'!$A$2:$A$100)),'indice columnas'!$B$2:$B$100,""""),
col,IFERROR(MATCH(campo,Referencia!$A$1:$AZ$1,0),0),
fila,IFERROR(MATCH(TO_TEXT(D4284),ARRAYFOR"&amp;"MULA(TO_TEXT(Referencia!$A$2:$A6238)),0),0),
IF(OR(campo="""",campo=""-""),""NO APLICA"",
IF(col=0,""REVISAR EQUIVALENCIA"",
IF(fila=0,""SKU NO ENCONTRADO"",
LET(
valor,INDEX(Referencia!$A$2:$AZ6238,fila,col),
IF(TRIM(TO_TEXT(valor))=TRIM(TO_TEXT(I4284)),"&amp;"
""OK"",
""NO COINCIDE. Valor verdadero: ""&amp;IF(valor="""",""[VACÍO]"",TO_TEXT(valor))
)
))))
),""ERROR EN FÓRMULA""))"),"OK")</f>
        <v>OK</v>
      </c>
    </row>
    <row r="4285">
      <c r="A4285" s="83" t="s">
        <v>4899</v>
      </c>
      <c r="B4285" s="83" t="s">
        <v>4900</v>
      </c>
      <c r="C4285" s="81" t="s">
        <v>4621</v>
      </c>
      <c r="D4285" s="83" t="s">
        <v>4106</v>
      </c>
      <c r="E4285" s="81" t="s">
        <v>251</v>
      </c>
      <c r="F4285" s="81">
        <v>24.0</v>
      </c>
      <c r="G4285" s="81" t="s">
        <v>2</v>
      </c>
      <c r="H4285" s="81" t="s">
        <v>224</v>
      </c>
      <c r="I4285" s="81" t="s">
        <v>213</v>
      </c>
      <c r="J4285" s="81" t="s">
        <v>224</v>
      </c>
      <c r="K4285" s="81" t="str">
        <f>IFERROR(__xludf.DUMMYFUNCTION("IF(OR(D4285="""",G4285=""""),"""",IFERROR(LET(
campo,XLOOKUP(TRIM(G4285),ARRAYFORMULA(TRIM('indice columnas'!$A$2:$A$100)),'indice columnas'!$B$2:$B$100,""""),
col,IFERROR(MATCH(campo,Referencia!$A$1:$AZ$1,0),0),
fila,IFERROR(MATCH(TO_TEXT(D4285),ARRAYFOR"&amp;"MULA(TO_TEXT(Referencia!$A$2:$A6238)),0),0),
IF(OR(campo="""",campo=""-""),""NO APLICA"",
IF(col=0,""REVISAR EQUIVALENCIA"",
IF(fila=0,""SKU NO ENCONTRADO"",
LET(
valor,INDEX(Referencia!$A$2:$AZ6238,fila,col),
IF(TRIM(TO_TEXT(valor))=TRIM(TO_TEXT(I4285)),"&amp;"
""OK"",
""NO COINCIDE. Valor verdadero: ""&amp;IF(valor="""",""[VACÍO]"",TO_TEXT(valor))
)
))))
),""ERROR EN FÓRMULA""))"),"OK")</f>
        <v>OK</v>
      </c>
    </row>
    <row r="4286">
      <c r="A4286" s="83" t="s">
        <v>4899</v>
      </c>
      <c r="B4286" s="83" t="s">
        <v>4900</v>
      </c>
      <c r="C4286" s="81" t="s">
        <v>4621</v>
      </c>
      <c r="D4286" s="83" t="s">
        <v>4106</v>
      </c>
      <c r="E4286" s="81" t="s">
        <v>251</v>
      </c>
      <c r="F4286" s="81">
        <v>24.0</v>
      </c>
      <c r="G4286" s="81" t="s">
        <v>1</v>
      </c>
      <c r="H4286" s="81" t="s">
        <v>224</v>
      </c>
      <c r="I4286" s="81" t="s">
        <v>49</v>
      </c>
      <c r="J4286" s="81" t="s">
        <v>224</v>
      </c>
      <c r="K4286" s="81" t="str">
        <f>IFERROR(__xludf.DUMMYFUNCTION("IF(OR(D4286="""",G4286=""""),"""",IFERROR(LET(
campo,XLOOKUP(TRIM(G4286),ARRAYFORMULA(TRIM('indice columnas'!$A$2:$A$100)),'indice columnas'!$B$2:$B$100,""""),
col,IFERROR(MATCH(campo,Referencia!$A$1:$AZ$1,0),0),
fila,IFERROR(MATCH(TO_TEXT(D4286),ARRAYFOR"&amp;"MULA(TO_TEXT(Referencia!$A$2:$A6238)),0),0),
IF(OR(campo="""",campo=""-""),""NO APLICA"",
IF(col=0,""REVISAR EQUIVALENCIA"",
IF(fila=0,""SKU NO ENCONTRADO"",
LET(
valor,INDEX(Referencia!$A$2:$AZ6238,fila,col),
IF(TRIM(TO_TEXT(valor))=TRIM(TO_TEXT(I4286)),"&amp;"
""OK"",
""NO COINCIDE. Valor verdadero: ""&amp;IF(valor="""",""[VACÍO]"",TO_TEXT(valor))
)
))))
),""ERROR EN FÓRMULA""))"),"OK")</f>
        <v>OK</v>
      </c>
    </row>
    <row r="4287">
      <c r="A4287" s="83" t="s">
        <v>4899</v>
      </c>
      <c r="B4287" s="83" t="s">
        <v>4900</v>
      </c>
      <c r="C4287" s="81" t="s">
        <v>4621</v>
      </c>
      <c r="D4287" s="83" t="s">
        <v>4107</v>
      </c>
      <c r="E4287" s="81" t="s">
        <v>254</v>
      </c>
      <c r="F4287" s="81">
        <v>25.0</v>
      </c>
      <c r="G4287" s="81" t="s">
        <v>3</v>
      </c>
      <c r="H4287" s="81" t="s">
        <v>224</v>
      </c>
      <c r="I4287" s="81" t="s">
        <v>51</v>
      </c>
      <c r="J4287" s="81" t="s">
        <v>224</v>
      </c>
      <c r="K4287" s="81" t="str">
        <f>IFERROR(__xludf.DUMMYFUNCTION("IF(OR(D4287="""",G4287=""""),"""",IFERROR(LET(
campo,XLOOKUP(TRIM(G4287),ARRAYFORMULA(TRIM('indice columnas'!$A$2:$A$100)),'indice columnas'!$B$2:$B$100,""""),
col,IFERROR(MATCH(campo,Referencia!$A$1:$AZ$1,0),0),
fila,IFERROR(MATCH(TO_TEXT(D4287),ARRAYFOR"&amp;"MULA(TO_TEXT(Referencia!$A$2:$A6238)),0),0),
IF(OR(campo="""",campo=""-""),""NO APLICA"",
IF(col=0,""REVISAR EQUIVALENCIA"",
IF(fila=0,""SKU NO ENCONTRADO"",
LET(
valor,INDEX(Referencia!$A$2:$AZ6238,fila,col),
IF(TRIM(TO_TEXT(valor))=TRIM(TO_TEXT(I4287)),"&amp;"
""OK"",
""NO COINCIDE. Valor verdadero: ""&amp;IF(valor="""",""[VACÍO]"",TO_TEXT(valor))
)
))))
),""ERROR EN FÓRMULA""))"),"OK")</f>
        <v>OK</v>
      </c>
    </row>
    <row r="4288">
      <c r="A4288" s="83" t="s">
        <v>4899</v>
      </c>
      <c r="B4288" s="83" t="s">
        <v>4900</v>
      </c>
      <c r="C4288" s="81" t="s">
        <v>4621</v>
      </c>
      <c r="D4288" s="83" t="s">
        <v>4107</v>
      </c>
      <c r="E4288" s="81" t="s">
        <v>254</v>
      </c>
      <c r="F4288" s="81">
        <v>25.0</v>
      </c>
      <c r="G4288" s="81" t="s">
        <v>2</v>
      </c>
      <c r="H4288" s="81" t="s">
        <v>224</v>
      </c>
      <c r="I4288" s="81" t="s">
        <v>213</v>
      </c>
      <c r="J4288" s="81" t="s">
        <v>224</v>
      </c>
      <c r="K4288" s="81" t="str">
        <f>IFERROR(__xludf.DUMMYFUNCTION("IF(OR(D4288="""",G4288=""""),"""",IFERROR(LET(
campo,XLOOKUP(TRIM(G4288),ARRAYFORMULA(TRIM('indice columnas'!$A$2:$A$100)),'indice columnas'!$B$2:$B$100,""""),
col,IFERROR(MATCH(campo,Referencia!$A$1:$AZ$1,0),0),
fila,IFERROR(MATCH(TO_TEXT(D4288),ARRAYFOR"&amp;"MULA(TO_TEXT(Referencia!$A$2:$A6238)),0),0),
IF(OR(campo="""",campo=""-""),""NO APLICA"",
IF(col=0,""REVISAR EQUIVALENCIA"",
IF(fila=0,""SKU NO ENCONTRADO"",
LET(
valor,INDEX(Referencia!$A$2:$AZ6238,fila,col),
IF(TRIM(TO_TEXT(valor))=TRIM(TO_TEXT(I4288)),"&amp;"
""OK"",
""NO COINCIDE. Valor verdadero: ""&amp;IF(valor="""",""[VACÍO]"",TO_TEXT(valor))
)
))))
),""ERROR EN FÓRMULA""))"),"OK")</f>
        <v>OK</v>
      </c>
    </row>
    <row r="4289">
      <c r="A4289" s="83" t="s">
        <v>4899</v>
      </c>
      <c r="B4289" s="83" t="s">
        <v>4900</v>
      </c>
      <c r="C4289" s="81" t="s">
        <v>4621</v>
      </c>
      <c r="D4289" s="83" t="s">
        <v>4107</v>
      </c>
      <c r="E4289" s="81" t="s">
        <v>254</v>
      </c>
      <c r="F4289" s="81">
        <v>25.0</v>
      </c>
      <c r="G4289" s="81" t="s">
        <v>1</v>
      </c>
      <c r="H4289" s="81" t="s">
        <v>224</v>
      </c>
      <c r="I4289" s="81" t="s">
        <v>49</v>
      </c>
      <c r="J4289" s="81" t="s">
        <v>224</v>
      </c>
      <c r="K4289" s="81" t="str">
        <f>IFERROR(__xludf.DUMMYFUNCTION("IF(OR(D4289="""",G4289=""""),"""",IFERROR(LET(
campo,XLOOKUP(TRIM(G4289),ARRAYFORMULA(TRIM('indice columnas'!$A$2:$A$100)),'indice columnas'!$B$2:$B$100,""""),
col,IFERROR(MATCH(campo,Referencia!$A$1:$AZ$1,0),0),
fila,IFERROR(MATCH(TO_TEXT(D4289),ARRAYFOR"&amp;"MULA(TO_TEXT(Referencia!$A$2:$A6238)),0),0),
IF(OR(campo="""",campo=""-""),""NO APLICA"",
IF(col=0,""REVISAR EQUIVALENCIA"",
IF(fila=0,""SKU NO ENCONTRADO"",
LET(
valor,INDEX(Referencia!$A$2:$AZ6238,fila,col),
IF(TRIM(TO_TEXT(valor))=TRIM(TO_TEXT(I4289)),"&amp;"
""OK"",
""NO COINCIDE. Valor verdadero: ""&amp;IF(valor="""",""[VACÍO]"",TO_TEXT(valor))
)
))))
),""ERROR EN FÓRMULA""))"),"OK")</f>
        <v>OK</v>
      </c>
    </row>
    <row r="4290">
      <c r="A4290" s="83" t="s">
        <v>4899</v>
      </c>
      <c r="B4290" s="83" t="s">
        <v>4900</v>
      </c>
      <c r="C4290" s="81" t="s">
        <v>4621</v>
      </c>
      <c r="D4290" s="83" t="s">
        <v>4108</v>
      </c>
      <c r="E4290" s="81" t="s">
        <v>262</v>
      </c>
      <c r="F4290" s="81">
        <v>26.0</v>
      </c>
      <c r="G4290" s="81" t="s">
        <v>3</v>
      </c>
      <c r="H4290" s="81" t="s">
        <v>224</v>
      </c>
      <c r="I4290" s="81" t="s">
        <v>51</v>
      </c>
      <c r="J4290" s="81" t="s">
        <v>224</v>
      </c>
      <c r="K4290" s="81" t="str">
        <f>IFERROR(__xludf.DUMMYFUNCTION("IF(OR(D4290="""",G4290=""""),"""",IFERROR(LET(
campo,XLOOKUP(TRIM(G4290),ARRAYFORMULA(TRIM('indice columnas'!$A$2:$A$100)),'indice columnas'!$B$2:$B$100,""""),
col,IFERROR(MATCH(campo,Referencia!$A$1:$AZ$1,0),0),
fila,IFERROR(MATCH(TO_TEXT(D4290),ARRAYFOR"&amp;"MULA(TO_TEXT(Referencia!$A$2:$A6238)),0),0),
IF(OR(campo="""",campo=""-""),""NO APLICA"",
IF(col=0,""REVISAR EQUIVALENCIA"",
IF(fila=0,""SKU NO ENCONTRADO"",
LET(
valor,INDEX(Referencia!$A$2:$AZ6238,fila,col),
IF(TRIM(TO_TEXT(valor))=TRIM(TO_TEXT(I4290)),"&amp;"
""OK"",
""NO COINCIDE. Valor verdadero: ""&amp;IF(valor="""",""[VACÍO]"",TO_TEXT(valor))
)
))))
),""ERROR EN FÓRMULA""))"),"OK")</f>
        <v>OK</v>
      </c>
    </row>
    <row r="4291">
      <c r="A4291" s="83" t="s">
        <v>4899</v>
      </c>
      <c r="B4291" s="83" t="s">
        <v>4900</v>
      </c>
      <c r="C4291" s="81" t="s">
        <v>4621</v>
      </c>
      <c r="D4291" s="83" t="s">
        <v>4108</v>
      </c>
      <c r="E4291" s="81" t="s">
        <v>262</v>
      </c>
      <c r="F4291" s="81">
        <v>26.0</v>
      </c>
      <c r="G4291" s="81" t="s">
        <v>2</v>
      </c>
      <c r="H4291" s="81" t="s">
        <v>224</v>
      </c>
      <c r="I4291" s="81" t="s">
        <v>213</v>
      </c>
      <c r="J4291" s="81" t="s">
        <v>224</v>
      </c>
      <c r="K4291" s="81" t="str">
        <f>IFERROR(__xludf.DUMMYFUNCTION("IF(OR(D4291="""",G4291=""""),"""",IFERROR(LET(
campo,XLOOKUP(TRIM(G4291),ARRAYFORMULA(TRIM('indice columnas'!$A$2:$A$100)),'indice columnas'!$B$2:$B$100,""""),
col,IFERROR(MATCH(campo,Referencia!$A$1:$AZ$1,0),0),
fila,IFERROR(MATCH(TO_TEXT(D4291),ARRAYFOR"&amp;"MULA(TO_TEXT(Referencia!$A$2:$A6238)),0),0),
IF(OR(campo="""",campo=""-""),""NO APLICA"",
IF(col=0,""REVISAR EQUIVALENCIA"",
IF(fila=0,""SKU NO ENCONTRADO"",
LET(
valor,INDEX(Referencia!$A$2:$AZ6238,fila,col),
IF(TRIM(TO_TEXT(valor))=TRIM(TO_TEXT(I4291)),"&amp;"
""OK"",
""NO COINCIDE. Valor verdadero: ""&amp;IF(valor="""",""[VACÍO]"",TO_TEXT(valor))
)
))))
),""ERROR EN FÓRMULA""))"),"OK")</f>
        <v>OK</v>
      </c>
    </row>
    <row r="4292">
      <c r="A4292" s="83" t="s">
        <v>4899</v>
      </c>
      <c r="B4292" s="83" t="s">
        <v>4900</v>
      </c>
      <c r="C4292" s="81" t="s">
        <v>4621</v>
      </c>
      <c r="D4292" s="83" t="s">
        <v>4108</v>
      </c>
      <c r="E4292" s="81" t="s">
        <v>262</v>
      </c>
      <c r="F4292" s="81">
        <v>26.0</v>
      </c>
      <c r="G4292" s="81" t="s">
        <v>1</v>
      </c>
      <c r="H4292" s="81" t="s">
        <v>224</v>
      </c>
      <c r="I4292" s="81" t="s">
        <v>49</v>
      </c>
      <c r="J4292" s="81" t="s">
        <v>224</v>
      </c>
      <c r="K4292" s="81" t="str">
        <f>IFERROR(__xludf.DUMMYFUNCTION("IF(OR(D4292="""",G4292=""""),"""",IFERROR(LET(
campo,XLOOKUP(TRIM(G4292),ARRAYFORMULA(TRIM('indice columnas'!$A$2:$A$100)),'indice columnas'!$B$2:$B$100,""""),
col,IFERROR(MATCH(campo,Referencia!$A$1:$AZ$1,0),0),
fila,IFERROR(MATCH(TO_TEXT(D4292),ARRAYFOR"&amp;"MULA(TO_TEXT(Referencia!$A$2:$A6238)),0),0),
IF(OR(campo="""",campo=""-""),""NO APLICA"",
IF(col=0,""REVISAR EQUIVALENCIA"",
IF(fila=0,""SKU NO ENCONTRADO"",
LET(
valor,INDEX(Referencia!$A$2:$AZ6238,fila,col),
IF(TRIM(TO_TEXT(valor))=TRIM(TO_TEXT(I4292)),"&amp;"
""OK"",
""NO COINCIDE. Valor verdadero: ""&amp;IF(valor="""",""[VACÍO]"",TO_TEXT(valor))
)
))))
),""ERROR EN FÓRMULA""))"),"OK")</f>
        <v>OK</v>
      </c>
    </row>
    <row r="4293">
      <c r="A4293" s="83" t="s">
        <v>4899</v>
      </c>
      <c r="B4293" s="83" t="s">
        <v>4900</v>
      </c>
      <c r="C4293" s="81" t="s">
        <v>4621</v>
      </c>
      <c r="D4293" s="83" t="s">
        <v>4109</v>
      </c>
      <c r="E4293" s="81" t="s">
        <v>265</v>
      </c>
      <c r="F4293" s="81">
        <v>27.0</v>
      </c>
      <c r="G4293" s="81" t="s">
        <v>3</v>
      </c>
      <c r="H4293" s="81" t="s">
        <v>224</v>
      </c>
      <c r="I4293" s="81" t="s">
        <v>51</v>
      </c>
      <c r="J4293" s="81" t="s">
        <v>224</v>
      </c>
      <c r="K4293" s="81" t="str">
        <f>IFERROR(__xludf.DUMMYFUNCTION("IF(OR(D4293="""",G4293=""""),"""",IFERROR(LET(
campo,XLOOKUP(TRIM(G4293),ARRAYFORMULA(TRIM('indice columnas'!$A$2:$A$100)),'indice columnas'!$B$2:$B$100,""""),
col,IFERROR(MATCH(campo,Referencia!$A$1:$AZ$1,0),0),
fila,IFERROR(MATCH(TO_TEXT(D4293),ARRAYFOR"&amp;"MULA(TO_TEXT(Referencia!$A$2:$A6238)),0),0),
IF(OR(campo="""",campo=""-""),""NO APLICA"",
IF(col=0,""REVISAR EQUIVALENCIA"",
IF(fila=0,""SKU NO ENCONTRADO"",
LET(
valor,INDEX(Referencia!$A$2:$AZ6238,fila,col),
IF(TRIM(TO_TEXT(valor))=TRIM(TO_TEXT(I4293)),"&amp;"
""OK"",
""NO COINCIDE. Valor verdadero: ""&amp;IF(valor="""",""[VACÍO]"",TO_TEXT(valor))
)
))))
),""ERROR EN FÓRMULA""))"),"OK")</f>
        <v>OK</v>
      </c>
    </row>
    <row r="4294">
      <c r="A4294" s="83" t="s">
        <v>4899</v>
      </c>
      <c r="B4294" s="83" t="s">
        <v>4900</v>
      </c>
      <c r="C4294" s="81" t="s">
        <v>4621</v>
      </c>
      <c r="D4294" s="83" t="s">
        <v>4109</v>
      </c>
      <c r="E4294" s="81" t="s">
        <v>265</v>
      </c>
      <c r="F4294" s="81">
        <v>27.0</v>
      </c>
      <c r="G4294" s="81" t="s">
        <v>2</v>
      </c>
      <c r="H4294" s="81" t="s">
        <v>224</v>
      </c>
      <c r="I4294" s="81" t="s">
        <v>213</v>
      </c>
      <c r="J4294" s="81" t="s">
        <v>224</v>
      </c>
      <c r="K4294" s="81" t="str">
        <f>IFERROR(__xludf.DUMMYFUNCTION("IF(OR(D4294="""",G4294=""""),"""",IFERROR(LET(
campo,XLOOKUP(TRIM(G4294),ARRAYFORMULA(TRIM('indice columnas'!$A$2:$A$100)),'indice columnas'!$B$2:$B$100,""""),
col,IFERROR(MATCH(campo,Referencia!$A$1:$AZ$1,0),0),
fila,IFERROR(MATCH(TO_TEXT(D4294),ARRAYFOR"&amp;"MULA(TO_TEXT(Referencia!$A$2:$A6238)),0),0),
IF(OR(campo="""",campo=""-""),""NO APLICA"",
IF(col=0,""REVISAR EQUIVALENCIA"",
IF(fila=0,""SKU NO ENCONTRADO"",
LET(
valor,INDEX(Referencia!$A$2:$AZ6238,fila,col),
IF(TRIM(TO_TEXT(valor))=TRIM(TO_TEXT(I4294)),"&amp;"
""OK"",
""NO COINCIDE. Valor verdadero: ""&amp;IF(valor="""",""[VACÍO]"",TO_TEXT(valor))
)
))))
),""ERROR EN FÓRMULA""))"),"OK")</f>
        <v>OK</v>
      </c>
    </row>
    <row r="4295">
      <c r="A4295" s="83" t="s">
        <v>4899</v>
      </c>
      <c r="B4295" s="83" t="s">
        <v>4900</v>
      </c>
      <c r="C4295" s="81" t="s">
        <v>4621</v>
      </c>
      <c r="D4295" s="83" t="s">
        <v>4109</v>
      </c>
      <c r="E4295" s="81" t="s">
        <v>265</v>
      </c>
      <c r="F4295" s="81">
        <v>27.0</v>
      </c>
      <c r="G4295" s="81" t="s">
        <v>1</v>
      </c>
      <c r="H4295" s="81" t="s">
        <v>224</v>
      </c>
      <c r="I4295" s="81" t="s">
        <v>49</v>
      </c>
      <c r="J4295" s="81" t="s">
        <v>224</v>
      </c>
      <c r="K4295" s="81" t="str">
        <f>IFERROR(__xludf.DUMMYFUNCTION("IF(OR(D4295="""",G4295=""""),"""",IFERROR(LET(
campo,XLOOKUP(TRIM(G4295),ARRAYFORMULA(TRIM('indice columnas'!$A$2:$A$100)),'indice columnas'!$B$2:$B$100,""""),
col,IFERROR(MATCH(campo,Referencia!$A$1:$AZ$1,0),0),
fila,IFERROR(MATCH(TO_TEXT(D4295),ARRAYFOR"&amp;"MULA(TO_TEXT(Referencia!$A$2:$A6238)),0),0),
IF(OR(campo="""",campo=""-""),""NO APLICA"",
IF(col=0,""REVISAR EQUIVALENCIA"",
IF(fila=0,""SKU NO ENCONTRADO"",
LET(
valor,INDEX(Referencia!$A$2:$AZ6238,fila,col),
IF(TRIM(TO_TEXT(valor))=TRIM(TO_TEXT(I4295)),"&amp;"
""OK"",
""NO COINCIDE. Valor verdadero: ""&amp;IF(valor="""",""[VACÍO]"",TO_TEXT(valor))
)
))))
),""ERROR EN FÓRMULA""))"),"OK")</f>
        <v>OK</v>
      </c>
    </row>
    <row r="4296">
      <c r="A4296" s="83" t="s">
        <v>4899</v>
      </c>
      <c r="B4296" s="83" t="s">
        <v>4900</v>
      </c>
      <c r="C4296" s="81" t="s">
        <v>4621</v>
      </c>
      <c r="D4296" s="83" t="s">
        <v>4110</v>
      </c>
      <c r="E4296" s="81" t="s">
        <v>273</v>
      </c>
      <c r="F4296" s="81">
        <v>28.0</v>
      </c>
      <c r="G4296" s="81" t="s">
        <v>3</v>
      </c>
      <c r="H4296" s="81" t="s">
        <v>224</v>
      </c>
      <c r="I4296" s="81" t="s">
        <v>51</v>
      </c>
      <c r="J4296" s="81" t="s">
        <v>224</v>
      </c>
      <c r="K4296" s="81" t="str">
        <f>IFERROR(__xludf.DUMMYFUNCTION("IF(OR(D4296="""",G4296=""""),"""",IFERROR(LET(
campo,XLOOKUP(TRIM(G4296),ARRAYFORMULA(TRIM('indice columnas'!$A$2:$A$100)),'indice columnas'!$B$2:$B$100,""""),
col,IFERROR(MATCH(campo,Referencia!$A$1:$AZ$1,0),0),
fila,IFERROR(MATCH(TO_TEXT(D4296),ARRAYFOR"&amp;"MULA(TO_TEXT(Referencia!$A$2:$A6238)),0),0),
IF(OR(campo="""",campo=""-""),""NO APLICA"",
IF(col=0,""REVISAR EQUIVALENCIA"",
IF(fila=0,""SKU NO ENCONTRADO"",
LET(
valor,INDEX(Referencia!$A$2:$AZ6238,fila,col),
IF(TRIM(TO_TEXT(valor))=TRIM(TO_TEXT(I4296)),"&amp;"
""OK"",
""NO COINCIDE. Valor verdadero: ""&amp;IF(valor="""",""[VACÍO]"",TO_TEXT(valor))
)
))))
),""ERROR EN FÓRMULA""))"),"OK")</f>
        <v>OK</v>
      </c>
    </row>
    <row r="4297">
      <c r="A4297" s="83" t="s">
        <v>4899</v>
      </c>
      <c r="B4297" s="83" t="s">
        <v>4900</v>
      </c>
      <c r="C4297" s="81" t="s">
        <v>4621</v>
      </c>
      <c r="D4297" s="83" t="s">
        <v>4110</v>
      </c>
      <c r="E4297" s="81" t="s">
        <v>273</v>
      </c>
      <c r="F4297" s="81">
        <v>28.0</v>
      </c>
      <c r="G4297" s="81" t="s">
        <v>2</v>
      </c>
      <c r="H4297" s="81" t="s">
        <v>224</v>
      </c>
      <c r="I4297" s="81" t="s">
        <v>213</v>
      </c>
      <c r="J4297" s="81" t="s">
        <v>224</v>
      </c>
      <c r="K4297" s="81" t="str">
        <f>IFERROR(__xludf.DUMMYFUNCTION("IF(OR(D4297="""",G4297=""""),"""",IFERROR(LET(
campo,XLOOKUP(TRIM(G4297),ARRAYFORMULA(TRIM('indice columnas'!$A$2:$A$100)),'indice columnas'!$B$2:$B$100,""""),
col,IFERROR(MATCH(campo,Referencia!$A$1:$AZ$1,0),0),
fila,IFERROR(MATCH(TO_TEXT(D4297),ARRAYFOR"&amp;"MULA(TO_TEXT(Referencia!$A$2:$A6238)),0),0),
IF(OR(campo="""",campo=""-""),""NO APLICA"",
IF(col=0,""REVISAR EQUIVALENCIA"",
IF(fila=0,""SKU NO ENCONTRADO"",
LET(
valor,INDEX(Referencia!$A$2:$AZ6238,fila,col),
IF(TRIM(TO_TEXT(valor))=TRIM(TO_TEXT(I4297)),"&amp;"
""OK"",
""NO COINCIDE. Valor verdadero: ""&amp;IF(valor="""",""[VACÍO]"",TO_TEXT(valor))
)
))))
),""ERROR EN FÓRMULA""))"),"OK")</f>
        <v>OK</v>
      </c>
    </row>
    <row r="4298">
      <c r="A4298" s="83" t="s">
        <v>4899</v>
      </c>
      <c r="B4298" s="83" t="s">
        <v>4900</v>
      </c>
      <c r="C4298" s="81" t="s">
        <v>4621</v>
      </c>
      <c r="D4298" s="83" t="s">
        <v>4110</v>
      </c>
      <c r="E4298" s="81" t="s">
        <v>273</v>
      </c>
      <c r="F4298" s="81">
        <v>28.0</v>
      </c>
      <c r="G4298" s="81" t="s">
        <v>1</v>
      </c>
      <c r="H4298" s="81" t="s">
        <v>224</v>
      </c>
      <c r="I4298" s="81" t="s">
        <v>49</v>
      </c>
      <c r="J4298" s="81" t="s">
        <v>224</v>
      </c>
      <c r="K4298" s="81" t="str">
        <f>IFERROR(__xludf.DUMMYFUNCTION("IF(OR(D4298="""",G4298=""""),"""",IFERROR(LET(
campo,XLOOKUP(TRIM(G4298),ARRAYFORMULA(TRIM('indice columnas'!$A$2:$A$100)),'indice columnas'!$B$2:$B$100,""""),
col,IFERROR(MATCH(campo,Referencia!$A$1:$AZ$1,0),0),
fila,IFERROR(MATCH(TO_TEXT(D4298),ARRAYFOR"&amp;"MULA(TO_TEXT(Referencia!$A$2:$A6238)),0),0),
IF(OR(campo="""",campo=""-""),""NO APLICA"",
IF(col=0,""REVISAR EQUIVALENCIA"",
IF(fila=0,""SKU NO ENCONTRADO"",
LET(
valor,INDEX(Referencia!$A$2:$AZ6238,fila,col),
IF(TRIM(TO_TEXT(valor))=TRIM(TO_TEXT(I4298)),"&amp;"
""OK"",
""NO COINCIDE. Valor verdadero: ""&amp;IF(valor="""",""[VACÍO]"",TO_TEXT(valor))
)
))))
),""ERROR EN FÓRMULA""))"),"OK")</f>
        <v>OK</v>
      </c>
    </row>
    <row r="4299">
      <c r="A4299" s="83" t="s">
        <v>4899</v>
      </c>
      <c r="B4299" s="83" t="s">
        <v>4900</v>
      </c>
      <c r="C4299" s="81" t="s">
        <v>4621</v>
      </c>
      <c r="D4299" s="83" t="s">
        <v>4113</v>
      </c>
      <c r="E4299" s="81" t="s">
        <v>284</v>
      </c>
      <c r="F4299" s="81">
        <v>31.0</v>
      </c>
      <c r="G4299" s="81" t="s">
        <v>3</v>
      </c>
      <c r="H4299" s="81" t="s">
        <v>224</v>
      </c>
      <c r="I4299" s="81" t="s">
        <v>51</v>
      </c>
      <c r="J4299" s="81" t="s">
        <v>224</v>
      </c>
      <c r="K4299" s="81" t="str">
        <f>IFERROR(__xludf.DUMMYFUNCTION("IF(OR(D4299="""",G4299=""""),"""",IFERROR(LET(
campo,XLOOKUP(TRIM(G4299),ARRAYFORMULA(TRIM('indice columnas'!$A$2:$A$100)),'indice columnas'!$B$2:$B$100,""""),
col,IFERROR(MATCH(campo,Referencia!$A$1:$AZ$1,0),0),
fila,IFERROR(MATCH(TO_TEXT(D4299),ARRAYFOR"&amp;"MULA(TO_TEXT(Referencia!$A$2:$A6238)),0),0),
IF(OR(campo="""",campo=""-""),""NO APLICA"",
IF(col=0,""REVISAR EQUIVALENCIA"",
IF(fila=0,""SKU NO ENCONTRADO"",
LET(
valor,INDEX(Referencia!$A$2:$AZ6238,fila,col),
IF(TRIM(TO_TEXT(valor))=TRIM(TO_TEXT(I4299)),"&amp;"
""OK"",
""NO COINCIDE. Valor verdadero: ""&amp;IF(valor="""",""[VACÍO]"",TO_TEXT(valor))
)
))))
),""ERROR EN FÓRMULA""))"),"OK")</f>
        <v>OK</v>
      </c>
    </row>
    <row r="4300">
      <c r="A4300" s="83" t="s">
        <v>4899</v>
      </c>
      <c r="B4300" s="83" t="s">
        <v>4900</v>
      </c>
      <c r="C4300" s="81" t="s">
        <v>4621</v>
      </c>
      <c r="D4300" s="83" t="s">
        <v>4113</v>
      </c>
      <c r="E4300" s="81" t="s">
        <v>284</v>
      </c>
      <c r="F4300" s="81">
        <v>31.0</v>
      </c>
      <c r="G4300" s="81" t="s">
        <v>2</v>
      </c>
      <c r="H4300" s="81" t="s">
        <v>224</v>
      </c>
      <c r="I4300" s="81" t="s">
        <v>50</v>
      </c>
      <c r="J4300" s="81" t="s">
        <v>224</v>
      </c>
      <c r="K4300" s="81" t="str">
        <f>IFERROR(__xludf.DUMMYFUNCTION("IF(OR(D4300="""",G4300=""""),"""",IFERROR(LET(
campo,XLOOKUP(TRIM(G4300),ARRAYFORMULA(TRIM('indice columnas'!$A$2:$A$100)),'indice columnas'!$B$2:$B$100,""""),
col,IFERROR(MATCH(campo,Referencia!$A$1:$AZ$1,0),0),
fila,IFERROR(MATCH(TO_TEXT(D4300),ARRAYFOR"&amp;"MULA(TO_TEXT(Referencia!$A$2:$A6238)),0),0),
IF(OR(campo="""",campo=""-""),""NO APLICA"",
IF(col=0,""REVISAR EQUIVALENCIA"",
IF(fila=0,""SKU NO ENCONTRADO"",
LET(
valor,INDEX(Referencia!$A$2:$AZ6238,fila,col),
IF(TRIM(TO_TEXT(valor))=TRIM(TO_TEXT(I4300)),"&amp;"
""OK"",
""NO COINCIDE. Valor verdadero: ""&amp;IF(valor="""",""[VACÍO]"",TO_TEXT(valor))
)
))))
),""ERROR EN FÓRMULA""))"),"OK")</f>
        <v>OK</v>
      </c>
    </row>
    <row r="4301">
      <c r="A4301" s="83" t="s">
        <v>4899</v>
      </c>
      <c r="B4301" s="83" t="s">
        <v>4900</v>
      </c>
      <c r="C4301" s="81" t="s">
        <v>4621</v>
      </c>
      <c r="D4301" s="83" t="s">
        <v>4113</v>
      </c>
      <c r="E4301" s="81" t="s">
        <v>284</v>
      </c>
      <c r="F4301" s="81">
        <v>31.0</v>
      </c>
      <c r="G4301" s="81" t="s">
        <v>1</v>
      </c>
      <c r="H4301" s="81" t="s">
        <v>224</v>
      </c>
      <c r="I4301" s="81" t="s">
        <v>49</v>
      </c>
      <c r="J4301" s="81" t="s">
        <v>224</v>
      </c>
      <c r="K4301" s="81" t="str">
        <f>IFERROR(__xludf.DUMMYFUNCTION("IF(OR(D4301="""",G4301=""""),"""",IFERROR(LET(
campo,XLOOKUP(TRIM(G4301),ARRAYFORMULA(TRIM('indice columnas'!$A$2:$A$100)),'indice columnas'!$B$2:$B$100,""""),
col,IFERROR(MATCH(campo,Referencia!$A$1:$AZ$1,0),0),
fila,IFERROR(MATCH(TO_TEXT(D4301),ARRAYFOR"&amp;"MULA(TO_TEXT(Referencia!$A$2:$A6238)),0),0),
IF(OR(campo="""",campo=""-""),""NO APLICA"",
IF(col=0,""REVISAR EQUIVALENCIA"",
IF(fila=0,""SKU NO ENCONTRADO"",
LET(
valor,INDEX(Referencia!$A$2:$AZ6238,fila,col),
IF(TRIM(TO_TEXT(valor))=TRIM(TO_TEXT(I4301)),"&amp;"
""OK"",
""NO COINCIDE. Valor verdadero: ""&amp;IF(valor="""",""[VACÍO]"",TO_TEXT(valor))
)
))))
),""ERROR EN FÓRMULA""))"),"OK")</f>
        <v>OK</v>
      </c>
    </row>
    <row r="4302">
      <c r="A4302" s="83" t="s">
        <v>4899</v>
      </c>
      <c r="B4302" s="83" t="s">
        <v>4900</v>
      </c>
      <c r="C4302" s="81" t="s">
        <v>4621</v>
      </c>
      <c r="D4302" s="83" t="s">
        <v>4114</v>
      </c>
      <c r="E4302" s="81" t="s">
        <v>287</v>
      </c>
      <c r="F4302" s="81">
        <v>32.0</v>
      </c>
      <c r="G4302" s="81" t="s">
        <v>3</v>
      </c>
      <c r="H4302" s="81" t="s">
        <v>224</v>
      </c>
      <c r="I4302" s="81" t="s">
        <v>51</v>
      </c>
      <c r="J4302" s="81" t="s">
        <v>224</v>
      </c>
      <c r="K4302" s="81" t="str">
        <f>IFERROR(__xludf.DUMMYFUNCTION("IF(OR(D4302="""",G4302=""""),"""",IFERROR(LET(
campo,XLOOKUP(TRIM(G4302),ARRAYFORMULA(TRIM('indice columnas'!$A$2:$A$100)),'indice columnas'!$B$2:$B$100,""""),
col,IFERROR(MATCH(campo,Referencia!$A$1:$AZ$1,0),0),
fila,IFERROR(MATCH(TO_TEXT(D4302),ARRAYFOR"&amp;"MULA(TO_TEXT(Referencia!$A$2:$A6238)),0),0),
IF(OR(campo="""",campo=""-""),""NO APLICA"",
IF(col=0,""REVISAR EQUIVALENCIA"",
IF(fila=0,""SKU NO ENCONTRADO"",
LET(
valor,INDEX(Referencia!$A$2:$AZ6238,fila,col),
IF(TRIM(TO_TEXT(valor))=TRIM(TO_TEXT(I4302)),"&amp;"
""OK"",
""NO COINCIDE. Valor verdadero: ""&amp;IF(valor="""",""[VACÍO]"",TO_TEXT(valor))
)
))))
),""ERROR EN FÓRMULA""))"),"OK")</f>
        <v>OK</v>
      </c>
    </row>
    <row r="4303">
      <c r="A4303" s="83" t="s">
        <v>4899</v>
      </c>
      <c r="B4303" s="83" t="s">
        <v>4900</v>
      </c>
      <c r="C4303" s="81" t="s">
        <v>4621</v>
      </c>
      <c r="D4303" s="83" t="s">
        <v>4114</v>
      </c>
      <c r="E4303" s="81" t="s">
        <v>287</v>
      </c>
      <c r="F4303" s="81">
        <v>32.0</v>
      </c>
      <c r="G4303" s="81" t="s">
        <v>2</v>
      </c>
      <c r="H4303" s="81" t="s">
        <v>224</v>
      </c>
      <c r="I4303" s="81" t="s">
        <v>50</v>
      </c>
      <c r="J4303" s="81" t="s">
        <v>224</v>
      </c>
      <c r="K4303" s="81" t="str">
        <f>IFERROR(__xludf.DUMMYFUNCTION("IF(OR(D4303="""",G4303=""""),"""",IFERROR(LET(
campo,XLOOKUP(TRIM(G4303),ARRAYFORMULA(TRIM('indice columnas'!$A$2:$A$100)),'indice columnas'!$B$2:$B$100,""""),
col,IFERROR(MATCH(campo,Referencia!$A$1:$AZ$1,0),0),
fila,IFERROR(MATCH(TO_TEXT(D4303),ARRAYFOR"&amp;"MULA(TO_TEXT(Referencia!$A$2:$A6238)),0),0),
IF(OR(campo="""",campo=""-""),""NO APLICA"",
IF(col=0,""REVISAR EQUIVALENCIA"",
IF(fila=0,""SKU NO ENCONTRADO"",
LET(
valor,INDEX(Referencia!$A$2:$AZ6238,fila,col),
IF(TRIM(TO_TEXT(valor))=TRIM(TO_TEXT(I4303)),"&amp;"
""OK"",
""NO COINCIDE. Valor verdadero: ""&amp;IF(valor="""",""[VACÍO]"",TO_TEXT(valor))
)
))))
),""ERROR EN FÓRMULA""))"),"OK")</f>
        <v>OK</v>
      </c>
    </row>
    <row r="4304">
      <c r="A4304" s="83" t="s">
        <v>4899</v>
      </c>
      <c r="B4304" s="83" t="s">
        <v>4900</v>
      </c>
      <c r="C4304" s="81" t="s">
        <v>4621</v>
      </c>
      <c r="D4304" s="83" t="s">
        <v>4114</v>
      </c>
      <c r="E4304" s="81" t="s">
        <v>287</v>
      </c>
      <c r="F4304" s="81">
        <v>32.0</v>
      </c>
      <c r="G4304" s="81" t="s">
        <v>1</v>
      </c>
      <c r="H4304" s="81" t="s">
        <v>224</v>
      </c>
      <c r="I4304" s="81" t="s">
        <v>49</v>
      </c>
      <c r="J4304" s="81" t="s">
        <v>224</v>
      </c>
      <c r="K4304" s="81" t="str">
        <f>IFERROR(__xludf.DUMMYFUNCTION("IF(OR(D4304="""",G4304=""""),"""",IFERROR(LET(
campo,XLOOKUP(TRIM(G4304),ARRAYFORMULA(TRIM('indice columnas'!$A$2:$A$100)),'indice columnas'!$B$2:$B$100,""""),
col,IFERROR(MATCH(campo,Referencia!$A$1:$AZ$1,0),0),
fila,IFERROR(MATCH(TO_TEXT(D4304),ARRAYFOR"&amp;"MULA(TO_TEXT(Referencia!$A$2:$A6238)),0),0),
IF(OR(campo="""",campo=""-""),""NO APLICA"",
IF(col=0,""REVISAR EQUIVALENCIA"",
IF(fila=0,""SKU NO ENCONTRADO"",
LET(
valor,INDEX(Referencia!$A$2:$AZ6238,fila,col),
IF(TRIM(TO_TEXT(valor))=TRIM(TO_TEXT(I4304)),"&amp;"
""OK"",
""NO COINCIDE. Valor verdadero: ""&amp;IF(valor="""",""[VACÍO]"",TO_TEXT(valor))
)
))))
),""ERROR EN FÓRMULA""))"),"OK")</f>
        <v>OK</v>
      </c>
    </row>
    <row r="4305">
      <c r="A4305" s="83" t="s">
        <v>4899</v>
      </c>
      <c r="B4305" s="83" t="s">
        <v>4900</v>
      </c>
      <c r="C4305" s="81" t="s">
        <v>4621</v>
      </c>
      <c r="D4305" s="83" t="s">
        <v>4115</v>
      </c>
      <c r="E4305" s="81" t="s">
        <v>304</v>
      </c>
      <c r="F4305" s="81">
        <v>34.0</v>
      </c>
      <c r="G4305" s="81" t="s">
        <v>3</v>
      </c>
      <c r="H4305" s="81" t="s">
        <v>224</v>
      </c>
      <c r="I4305" s="81" t="s">
        <v>51</v>
      </c>
      <c r="J4305" s="81" t="s">
        <v>224</v>
      </c>
      <c r="K4305" s="81" t="str">
        <f>IFERROR(__xludf.DUMMYFUNCTION("IF(OR(D4305="""",G4305=""""),"""",IFERROR(LET(
campo,XLOOKUP(TRIM(G4305),ARRAYFORMULA(TRIM('indice columnas'!$A$2:$A$100)),'indice columnas'!$B$2:$B$100,""""),
col,IFERROR(MATCH(campo,Referencia!$A$1:$AZ$1,0),0),
fila,IFERROR(MATCH(TO_TEXT(D4305),ARRAYFOR"&amp;"MULA(TO_TEXT(Referencia!$A$2:$A6238)),0),0),
IF(OR(campo="""",campo=""-""),""NO APLICA"",
IF(col=0,""REVISAR EQUIVALENCIA"",
IF(fila=0,""SKU NO ENCONTRADO"",
LET(
valor,INDEX(Referencia!$A$2:$AZ6238,fila,col),
IF(TRIM(TO_TEXT(valor))=TRIM(TO_TEXT(I4305)),"&amp;"
""OK"",
""NO COINCIDE. Valor verdadero: ""&amp;IF(valor="""",""[VACÍO]"",TO_TEXT(valor))
)
))))
),""ERROR EN FÓRMULA""))"),"OK")</f>
        <v>OK</v>
      </c>
    </row>
    <row r="4306">
      <c r="A4306" s="83" t="s">
        <v>4899</v>
      </c>
      <c r="B4306" s="83" t="s">
        <v>4900</v>
      </c>
      <c r="C4306" s="81" t="s">
        <v>4621</v>
      </c>
      <c r="D4306" s="83" t="s">
        <v>4115</v>
      </c>
      <c r="E4306" s="81" t="s">
        <v>304</v>
      </c>
      <c r="F4306" s="81">
        <v>34.0</v>
      </c>
      <c r="G4306" s="81" t="s">
        <v>2</v>
      </c>
      <c r="H4306" s="81" t="s">
        <v>224</v>
      </c>
      <c r="I4306" s="81" t="s">
        <v>213</v>
      </c>
      <c r="J4306" s="81" t="s">
        <v>224</v>
      </c>
      <c r="K4306" s="81" t="str">
        <f>IFERROR(__xludf.DUMMYFUNCTION("IF(OR(D4306="""",G4306=""""),"""",IFERROR(LET(
campo,XLOOKUP(TRIM(G4306),ARRAYFORMULA(TRIM('indice columnas'!$A$2:$A$100)),'indice columnas'!$B$2:$B$100,""""),
col,IFERROR(MATCH(campo,Referencia!$A$1:$AZ$1,0),0),
fila,IFERROR(MATCH(TO_TEXT(D4306),ARRAYFOR"&amp;"MULA(TO_TEXT(Referencia!$A$2:$A6238)),0),0),
IF(OR(campo="""",campo=""-""),""NO APLICA"",
IF(col=0,""REVISAR EQUIVALENCIA"",
IF(fila=0,""SKU NO ENCONTRADO"",
LET(
valor,INDEX(Referencia!$A$2:$AZ6238,fila,col),
IF(TRIM(TO_TEXT(valor))=TRIM(TO_TEXT(I4306)),"&amp;"
""OK"",
""NO COINCIDE. Valor verdadero: ""&amp;IF(valor="""",""[VACÍO]"",TO_TEXT(valor))
)
))))
),""ERROR EN FÓRMULA""))"),"OK")</f>
        <v>OK</v>
      </c>
    </row>
    <row r="4307">
      <c r="A4307" s="83" t="s">
        <v>4899</v>
      </c>
      <c r="B4307" s="83" t="s">
        <v>4900</v>
      </c>
      <c r="C4307" s="81" t="s">
        <v>4621</v>
      </c>
      <c r="D4307" s="83" t="s">
        <v>4115</v>
      </c>
      <c r="E4307" s="81" t="s">
        <v>304</v>
      </c>
      <c r="F4307" s="81">
        <v>34.0</v>
      </c>
      <c r="G4307" s="81" t="s">
        <v>1</v>
      </c>
      <c r="H4307" s="81" t="s">
        <v>224</v>
      </c>
      <c r="I4307" s="81" t="s">
        <v>49</v>
      </c>
      <c r="J4307" s="81" t="s">
        <v>224</v>
      </c>
      <c r="K4307" s="81" t="str">
        <f>IFERROR(__xludf.DUMMYFUNCTION("IF(OR(D4307="""",G4307=""""),"""",IFERROR(LET(
campo,XLOOKUP(TRIM(G4307),ARRAYFORMULA(TRIM('indice columnas'!$A$2:$A$100)),'indice columnas'!$B$2:$B$100,""""),
col,IFERROR(MATCH(campo,Referencia!$A$1:$AZ$1,0),0),
fila,IFERROR(MATCH(TO_TEXT(D4307),ARRAYFOR"&amp;"MULA(TO_TEXT(Referencia!$A$2:$A6238)),0),0),
IF(OR(campo="""",campo=""-""),""NO APLICA"",
IF(col=0,""REVISAR EQUIVALENCIA"",
IF(fila=0,""SKU NO ENCONTRADO"",
LET(
valor,INDEX(Referencia!$A$2:$AZ6238,fila,col),
IF(TRIM(TO_TEXT(valor))=TRIM(TO_TEXT(I4307)),"&amp;"
""OK"",
""NO COINCIDE. Valor verdadero: ""&amp;IF(valor="""",""[VACÍO]"",TO_TEXT(valor))
)
))))
),""ERROR EN FÓRMULA""))"),"OK")</f>
        <v>OK</v>
      </c>
    </row>
    <row r="4308">
      <c r="A4308" s="83" t="s">
        <v>4899</v>
      </c>
      <c r="B4308" s="83" t="s">
        <v>4900</v>
      </c>
      <c r="C4308" s="81" t="s">
        <v>4621</v>
      </c>
      <c r="D4308" s="83" t="s">
        <v>4117</v>
      </c>
      <c r="E4308" s="81" t="s">
        <v>305</v>
      </c>
      <c r="F4308" s="81">
        <v>35.0</v>
      </c>
      <c r="G4308" s="81" t="s">
        <v>3</v>
      </c>
      <c r="H4308" s="81" t="s">
        <v>224</v>
      </c>
      <c r="I4308" s="81" t="s">
        <v>51</v>
      </c>
      <c r="J4308" s="81" t="s">
        <v>224</v>
      </c>
      <c r="K4308" s="81" t="str">
        <f>IFERROR(__xludf.DUMMYFUNCTION("IF(OR(D4308="""",G4308=""""),"""",IFERROR(LET(
campo,XLOOKUP(TRIM(G4308),ARRAYFORMULA(TRIM('indice columnas'!$A$2:$A$100)),'indice columnas'!$B$2:$B$100,""""),
col,IFERROR(MATCH(campo,Referencia!$A$1:$AZ$1,0),0),
fila,IFERROR(MATCH(TO_TEXT(D4308),ARRAYFOR"&amp;"MULA(TO_TEXT(Referencia!$A$2:$A6238)),0),0),
IF(OR(campo="""",campo=""-""),""NO APLICA"",
IF(col=0,""REVISAR EQUIVALENCIA"",
IF(fila=0,""SKU NO ENCONTRADO"",
LET(
valor,INDEX(Referencia!$A$2:$AZ6238,fila,col),
IF(TRIM(TO_TEXT(valor))=TRIM(TO_TEXT(I4308)),"&amp;"
""OK"",
""NO COINCIDE. Valor verdadero: ""&amp;IF(valor="""",""[VACÍO]"",TO_TEXT(valor))
)
))))
),""ERROR EN FÓRMULA""))"),"OK")</f>
        <v>OK</v>
      </c>
    </row>
    <row r="4309">
      <c r="A4309" s="83" t="s">
        <v>4899</v>
      </c>
      <c r="B4309" s="83" t="s">
        <v>4900</v>
      </c>
      <c r="C4309" s="81" t="s">
        <v>4621</v>
      </c>
      <c r="D4309" s="83" t="s">
        <v>4117</v>
      </c>
      <c r="E4309" s="81" t="s">
        <v>305</v>
      </c>
      <c r="F4309" s="81">
        <v>35.0</v>
      </c>
      <c r="G4309" s="81" t="s">
        <v>2</v>
      </c>
      <c r="H4309" s="81" t="s">
        <v>224</v>
      </c>
      <c r="I4309" s="81" t="s">
        <v>213</v>
      </c>
      <c r="J4309" s="81" t="s">
        <v>224</v>
      </c>
      <c r="K4309" s="81" t="str">
        <f>IFERROR(__xludf.DUMMYFUNCTION("IF(OR(D4309="""",G4309=""""),"""",IFERROR(LET(
campo,XLOOKUP(TRIM(G4309),ARRAYFORMULA(TRIM('indice columnas'!$A$2:$A$100)),'indice columnas'!$B$2:$B$100,""""),
col,IFERROR(MATCH(campo,Referencia!$A$1:$AZ$1,0),0),
fila,IFERROR(MATCH(TO_TEXT(D4309),ARRAYFOR"&amp;"MULA(TO_TEXT(Referencia!$A$2:$A6238)),0),0),
IF(OR(campo="""",campo=""-""),""NO APLICA"",
IF(col=0,""REVISAR EQUIVALENCIA"",
IF(fila=0,""SKU NO ENCONTRADO"",
LET(
valor,INDEX(Referencia!$A$2:$AZ6238,fila,col),
IF(TRIM(TO_TEXT(valor))=TRIM(TO_TEXT(I4309)),"&amp;"
""OK"",
""NO COINCIDE. Valor verdadero: ""&amp;IF(valor="""",""[VACÍO]"",TO_TEXT(valor))
)
))))
),""ERROR EN FÓRMULA""))"),"OK")</f>
        <v>OK</v>
      </c>
    </row>
    <row r="4310">
      <c r="A4310" s="83" t="s">
        <v>4899</v>
      </c>
      <c r="B4310" s="83" t="s">
        <v>4900</v>
      </c>
      <c r="C4310" s="81" t="s">
        <v>4621</v>
      </c>
      <c r="D4310" s="83" t="s">
        <v>4117</v>
      </c>
      <c r="E4310" s="81" t="s">
        <v>305</v>
      </c>
      <c r="F4310" s="81">
        <v>35.0</v>
      </c>
      <c r="G4310" s="81" t="s">
        <v>1</v>
      </c>
      <c r="H4310" s="81" t="s">
        <v>224</v>
      </c>
      <c r="I4310" s="81" t="s">
        <v>49</v>
      </c>
      <c r="J4310" s="81" t="s">
        <v>224</v>
      </c>
      <c r="K4310" s="81" t="str">
        <f>IFERROR(__xludf.DUMMYFUNCTION("IF(OR(D4310="""",G4310=""""),"""",IFERROR(LET(
campo,XLOOKUP(TRIM(G4310),ARRAYFORMULA(TRIM('indice columnas'!$A$2:$A$100)),'indice columnas'!$B$2:$B$100,""""),
col,IFERROR(MATCH(campo,Referencia!$A$1:$AZ$1,0),0),
fila,IFERROR(MATCH(TO_TEXT(D4310),ARRAYFOR"&amp;"MULA(TO_TEXT(Referencia!$A$2:$A6238)),0),0),
IF(OR(campo="""",campo=""-""),""NO APLICA"",
IF(col=0,""REVISAR EQUIVALENCIA"",
IF(fila=0,""SKU NO ENCONTRADO"",
LET(
valor,INDEX(Referencia!$A$2:$AZ6238,fila,col),
IF(TRIM(TO_TEXT(valor))=TRIM(TO_TEXT(I4310)),"&amp;"
""OK"",
""NO COINCIDE. Valor verdadero: ""&amp;IF(valor="""",""[VACÍO]"",TO_TEXT(valor))
)
))))
),""ERROR EN FÓRMULA""))"),"OK")</f>
        <v>OK</v>
      </c>
    </row>
    <row r="4311">
      <c r="A4311" s="83" t="s">
        <v>4899</v>
      </c>
      <c r="B4311" s="83" t="s">
        <v>4900</v>
      </c>
      <c r="C4311" s="81" t="s">
        <v>4621</v>
      </c>
      <c r="D4311" s="83" t="s">
        <v>4120</v>
      </c>
      <c r="E4311" s="81" t="s">
        <v>331</v>
      </c>
      <c r="F4311" s="81">
        <v>38.0</v>
      </c>
      <c r="G4311" s="81" t="s">
        <v>2</v>
      </c>
      <c r="H4311" s="81" t="s">
        <v>1827</v>
      </c>
      <c r="I4311" s="81" t="s">
        <v>332</v>
      </c>
      <c r="J4311" s="81" t="s">
        <v>224</v>
      </c>
      <c r="K4311" s="81" t="str">
        <f>IFERROR(__xludf.DUMMYFUNCTION("IF(OR(D4311="""",G4311=""""),"""",IFERROR(LET(
campo,XLOOKUP(TRIM(G4311),ARRAYFORMULA(TRIM('indice columnas'!$A$2:$A$100)),'indice columnas'!$B$2:$B$100,""""),
col,IFERROR(MATCH(campo,Referencia!$A$1:$AZ$1,0),0),
fila,IFERROR(MATCH(TO_TEXT(D4311),ARRAYFOR"&amp;"MULA(TO_TEXT(Referencia!$A$2:$A6238)),0),0),
IF(OR(campo="""",campo=""-""),""NO APLICA"",
IF(col=0,""REVISAR EQUIVALENCIA"",
IF(fila=0,""SKU NO ENCONTRADO"",
LET(
valor,INDEX(Referencia!$A$2:$AZ6238,fila,col),
IF(TRIM(TO_TEXT(valor))=TRIM(TO_TEXT(I4311)),"&amp;"
""OK"",
""NO COINCIDE. Valor verdadero: ""&amp;IF(valor="""",""[VACÍO]"",TO_TEXT(valor))
)
))))
),""ERROR EN FÓRMULA""))"),"OK")</f>
        <v>OK</v>
      </c>
    </row>
    <row r="4312">
      <c r="A4312" s="83" t="s">
        <v>4899</v>
      </c>
      <c r="B4312" s="83" t="s">
        <v>4900</v>
      </c>
      <c r="C4312" s="81" t="s">
        <v>4621</v>
      </c>
      <c r="D4312" s="83" t="s">
        <v>4121</v>
      </c>
      <c r="E4312" s="81" t="s">
        <v>343</v>
      </c>
      <c r="F4312" s="81">
        <v>39.0</v>
      </c>
      <c r="G4312" s="81" t="s">
        <v>3</v>
      </c>
      <c r="H4312" s="81" t="s">
        <v>376</v>
      </c>
      <c r="I4312" s="81" t="s">
        <v>344</v>
      </c>
      <c r="J4312" s="81" t="s">
        <v>224</v>
      </c>
      <c r="K4312" s="81" t="str">
        <f>IFERROR(__xludf.DUMMYFUNCTION("IF(OR(D4312="""",G4312=""""),"""",IFERROR(LET(
campo,XLOOKUP(TRIM(G4312),ARRAYFORMULA(TRIM('indice columnas'!$A$2:$A$100)),'indice columnas'!$B$2:$B$100,""""),
col,IFERROR(MATCH(campo,Referencia!$A$1:$AZ$1,0),0),
fila,IFERROR(MATCH(TO_TEXT(D4312),ARRAYFOR"&amp;"MULA(TO_TEXT(Referencia!$A$2:$A6238)),0),0),
IF(OR(campo="""",campo=""-""),""NO APLICA"",
IF(col=0,""REVISAR EQUIVALENCIA"",
IF(fila=0,""SKU NO ENCONTRADO"",
LET(
valor,INDEX(Referencia!$A$2:$AZ6238,fila,col),
IF(TRIM(TO_TEXT(valor))=TRIM(TO_TEXT(I4312)),"&amp;"
""OK"",
""NO COINCIDE. Valor verdadero: ""&amp;IF(valor="""",""[VACÍO]"",TO_TEXT(valor))
)
))))
),""ERROR EN FÓRMULA""))"),"OK")</f>
        <v>OK</v>
      </c>
    </row>
    <row r="4313">
      <c r="A4313" s="83" t="s">
        <v>4899</v>
      </c>
      <c r="B4313" s="83" t="s">
        <v>4900</v>
      </c>
      <c r="C4313" s="81" t="s">
        <v>4621</v>
      </c>
      <c r="D4313" s="83" t="s">
        <v>4122</v>
      </c>
      <c r="E4313" s="81" t="s">
        <v>362</v>
      </c>
      <c r="F4313" s="81">
        <v>40.0</v>
      </c>
      <c r="G4313" s="81" t="s">
        <v>3</v>
      </c>
      <c r="H4313" s="81" t="s">
        <v>376</v>
      </c>
      <c r="I4313" s="81" t="s">
        <v>344</v>
      </c>
      <c r="J4313" s="81" t="s">
        <v>224</v>
      </c>
      <c r="K4313" s="81" t="str">
        <f>IFERROR(__xludf.DUMMYFUNCTION("IF(OR(D4313="""",G4313=""""),"""",IFERROR(LET(
campo,XLOOKUP(TRIM(G4313),ARRAYFORMULA(TRIM('indice columnas'!$A$2:$A$100)),'indice columnas'!$B$2:$B$100,""""),
col,IFERROR(MATCH(campo,Referencia!$A$1:$AZ$1,0),0),
fila,IFERROR(MATCH(TO_TEXT(D4313),ARRAYFOR"&amp;"MULA(TO_TEXT(Referencia!$A$2:$A6238)),0),0),
IF(OR(campo="""",campo=""-""),""NO APLICA"",
IF(col=0,""REVISAR EQUIVALENCIA"",
IF(fila=0,""SKU NO ENCONTRADO"",
LET(
valor,INDEX(Referencia!$A$2:$AZ6238,fila,col),
IF(TRIM(TO_TEXT(valor))=TRIM(TO_TEXT(I4313)),"&amp;"
""OK"",
""NO COINCIDE. Valor verdadero: ""&amp;IF(valor="""",""[VACÍO]"",TO_TEXT(valor))
)
))))
),""ERROR EN FÓRMULA""))"),"OK")</f>
        <v>OK</v>
      </c>
    </row>
    <row r="4314">
      <c r="A4314" s="83" t="s">
        <v>4899</v>
      </c>
      <c r="B4314" s="83" t="s">
        <v>4900</v>
      </c>
      <c r="C4314" s="81" t="s">
        <v>4621</v>
      </c>
      <c r="D4314" s="83" t="s">
        <v>4124</v>
      </c>
      <c r="E4314" s="81" t="s">
        <v>392</v>
      </c>
      <c r="F4314" s="81">
        <v>42.0</v>
      </c>
      <c r="G4314" s="81" t="s">
        <v>3</v>
      </c>
      <c r="H4314" s="81" t="s">
        <v>376</v>
      </c>
      <c r="I4314" s="81" t="s">
        <v>344</v>
      </c>
      <c r="J4314" s="81" t="s">
        <v>224</v>
      </c>
      <c r="K4314" s="81" t="str">
        <f>IFERROR(__xludf.DUMMYFUNCTION("IF(OR(D4314="""",G4314=""""),"""",IFERROR(LET(
campo,XLOOKUP(TRIM(G4314),ARRAYFORMULA(TRIM('indice columnas'!$A$2:$A$100)),'indice columnas'!$B$2:$B$100,""""),
col,IFERROR(MATCH(campo,Referencia!$A$1:$AZ$1,0),0),
fila,IFERROR(MATCH(TO_TEXT(D4314),ARRAYFOR"&amp;"MULA(TO_TEXT(Referencia!$A$2:$A6238)),0),0),
IF(OR(campo="""",campo=""-""),""NO APLICA"",
IF(col=0,""REVISAR EQUIVALENCIA"",
IF(fila=0,""SKU NO ENCONTRADO"",
LET(
valor,INDEX(Referencia!$A$2:$AZ6238,fila,col),
IF(TRIM(TO_TEXT(valor))=TRIM(TO_TEXT(I4314)),"&amp;"
""OK"",
""NO COINCIDE. Valor verdadero: ""&amp;IF(valor="""",""[VACÍO]"",TO_TEXT(valor))
)
))))
),""ERROR EN FÓRMULA""))"),"OK")</f>
        <v>OK</v>
      </c>
    </row>
    <row r="4315">
      <c r="A4315" s="83" t="s">
        <v>4899</v>
      </c>
      <c r="B4315" s="83" t="s">
        <v>4900</v>
      </c>
      <c r="C4315" s="81" t="s">
        <v>4621</v>
      </c>
      <c r="D4315" s="83" t="s">
        <v>4125</v>
      </c>
      <c r="E4315" s="81" t="s">
        <v>393</v>
      </c>
      <c r="F4315" s="81">
        <v>43.0</v>
      </c>
      <c r="G4315" s="81" t="s">
        <v>3</v>
      </c>
      <c r="H4315" s="81" t="s">
        <v>224</v>
      </c>
      <c r="I4315" s="81" t="s">
        <v>344</v>
      </c>
      <c r="J4315" s="81" t="s">
        <v>224</v>
      </c>
      <c r="K4315" s="81" t="str">
        <f>IFERROR(__xludf.DUMMYFUNCTION("IF(OR(D4315="""",G4315=""""),"""",IFERROR(LET(
campo,XLOOKUP(TRIM(G4315),ARRAYFORMULA(TRIM('indice columnas'!$A$2:$A$100)),'indice columnas'!$B$2:$B$100,""""),
col,IFERROR(MATCH(campo,Referencia!$A$1:$AZ$1,0),0),
fila,IFERROR(MATCH(TO_TEXT(D4315),ARRAYFOR"&amp;"MULA(TO_TEXT(Referencia!$A$2:$A6238)),0),0),
IF(OR(campo="""",campo=""-""),""NO APLICA"",
IF(col=0,""REVISAR EQUIVALENCIA"",
IF(fila=0,""SKU NO ENCONTRADO"",
LET(
valor,INDEX(Referencia!$A$2:$AZ6238,fila,col),
IF(TRIM(TO_TEXT(valor))=TRIM(TO_TEXT(I4315)),"&amp;"
""OK"",
""NO COINCIDE. Valor verdadero: ""&amp;IF(valor="""",""[VACÍO]"",TO_TEXT(valor))
)
))))
),""ERROR EN FÓRMULA""))"),"OK")</f>
        <v>OK</v>
      </c>
    </row>
    <row r="4316">
      <c r="A4316" s="83" t="s">
        <v>4899</v>
      </c>
      <c r="B4316" s="83" t="s">
        <v>4900</v>
      </c>
      <c r="C4316" s="81" t="s">
        <v>4621</v>
      </c>
      <c r="D4316" s="83" t="s">
        <v>4125</v>
      </c>
      <c r="E4316" s="81" t="s">
        <v>393</v>
      </c>
      <c r="F4316" s="81">
        <v>43.0</v>
      </c>
      <c r="G4316" s="81" t="s">
        <v>2</v>
      </c>
      <c r="H4316" s="81" t="s">
        <v>224</v>
      </c>
      <c r="I4316" s="81" t="s">
        <v>50</v>
      </c>
      <c r="J4316" s="81" t="s">
        <v>224</v>
      </c>
      <c r="K4316" s="81" t="str">
        <f>IFERROR(__xludf.DUMMYFUNCTION("IF(OR(D4316="""",G4316=""""),"""",IFERROR(LET(
campo,XLOOKUP(TRIM(G4316),ARRAYFORMULA(TRIM('indice columnas'!$A$2:$A$100)),'indice columnas'!$B$2:$B$100,""""),
col,IFERROR(MATCH(campo,Referencia!$A$1:$AZ$1,0),0),
fila,IFERROR(MATCH(TO_TEXT(D4316),ARRAYFOR"&amp;"MULA(TO_TEXT(Referencia!$A$2:$A6238)),0),0),
IF(OR(campo="""",campo=""-""),""NO APLICA"",
IF(col=0,""REVISAR EQUIVALENCIA"",
IF(fila=0,""SKU NO ENCONTRADO"",
LET(
valor,INDEX(Referencia!$A$2:$AZ6238,fila,col),
IF(TRIM(TO_TEXT(valor))=TRIM(TO_TEXT(I4316)),"&amp;"
""OK"",
""NO COINCIDE. Valor verdadero: ""&amp;IF(valor="""",""[VACÍO]"",TO_TEXT(valor))
)
))))
),""ERROR EN FÓRMULA""))"),"OK")</f>
        <v>OK</v>
      </c>
    </row>
    <row r="4317">
      <c r="A4317" s="83" t="s">
        <v>4899</v>
      </c>
      <c r="B4317" s="83" t="s">
        <v>4900</v>
      </c>
      <c r="C4317" s="81" t="s">
        <v>4621</v>
      </c>
      <c r="D4317" s="83" t="s">
        <v>4125</v>
      </c>
      <c r="E4317" s="81" t="s">
        <v>393</v>
      </c>
      <c r="F4317" s="81">
        <v>43.0</v>
      </c>
      <c r="G4317" s="81" t="s">
        <v>1</v>
      </c>
      <c r="H4317" s="81" t="s">
        <v>224</v>
      </c>
      <c r="I4317" s="81" t="s">
        <v>49</v>
      </c>
      <c r="J4317" s="81" t="s">
        <v>224</v>
      </c>
      <c r="K4317" s="81" t="str">
        <f>IFERROR(__xludf.DUMMYFUNCTION("IF(OR(D4317="""",G4317=""""),"""",IFERROR(LET(
campo,XLOOKUP(TRIM(G4317),ARRAYFORMULA(TRIM('indice columnas'!$A$2:$A$100)),'indice columnas'!$B$2:$B$100,""""),
col,IFERROR(MATCH(campo,Referencia!$A$1:$AZ$1,0),0),
fila,IFERROR(MATCH(TO_TEXT(D4317),ARRAYFOR"&amp;"MULA(TO_TEXT(Referencia!$A$2:$A6238)),0),0),
IF(OR(campo="""",campo=""-""),""NO APLICA"",
IF(col=0,""REVISAR EQUIVALENCIA"",
IF(fila=0,""SKU NO ENCONTRADO"",
LET(
valor,INDEX(Referencia!$A$2:$AZ6238,fila,col),
IF(TRIM(TO_TEXT(valor))=TRIM(TO_TEXT(I4317)),"&amp;"
""OK"",
""NO COINCIDE. Valor verdadero: ""&amp;IF(valor="""",""[VACÍO]"",TO_TEXT(valor))
)
))))
),""ERROR EN FÓRMULA""))"),"OK")</f>
        <v>OK</v>
      </c>
    </row>
    <row r="4318">
      <c r="A4318" s="83" t="s">
        <v>4899</v>
      </c>
      <c r="B4318" s="83" t="s">
        <v>4900</v>
      </c>
      <c r="C4318" s="81" t="s">
        <v>4621</v>
      </c>
      <c r="D4318" s="83" t="s">
        <v>4126</v>
      </c>
      <c r="E4318" s="81" t="s">
        <v>396</v>
      </c>
      <c r="F4318" s="81">
        <v>44.0</v>
      </c>
      <c r="G4318" s="81" t="s">
        <v>3</v>
      </c>
      <c r="H4318" s="81" t="s">
        <v>376</v>
      </c>
      <c r="I4318" s="81" t="s">
        <v>344</v>
      </c>
      <c r="J4318" s="81" t="s">
        <v>224</v>
      </c>
      <c r="K4318" s="81" t="str">
        <f>IFERROR(__xludf.DUMMYFUNCTION("IF(OR(D4318="""",G4318=""""),"""",IFERROR(LET(
campo,XLOOKUP(TRIM(G4318),ARRAYFORMULA(TRIM('indice columnas'!$A$2:$A$100)),'indice columnas'!$B$2:$B$100,""""),
col,IFERROR(MATCH(campo,Referencia!$A$1:$AZ$1,0),0),
fila,IFERROR(MATCH(TO_TEXT(D4318),ARRAYFOR"&amp;"MULA(TO_TEXT(Referencia!$A$2:$A6238)),0),0),
IF(OR(campo="""",campo=""-""),""NO APLICA"",
IF(col=0,""REVISAR EQUIVALENCIA"",
IF(fila=0,""SKU NO ENCONTRADO"",
LET(
valor,INDEX(Referencia!$A$2:$AZ6238,fila,col),
IF(TRIM(TO_TEXT(valor))=TRIM(TO_TEXT(I4318)),"&amp;"
""OK"",
""NO COINCIDE. Valor verdadero: ""&amp;IF(valor="""",""[VACÍO]"",TO_TEXT(valor))
)
))))
),""ERROR EN FÓRMULA""))"),"OK")</f>
        <v>OK</v>
      </c>
    </row>
    <row r="4319">
      <c r="A4319" s="83" t="s">
        <v>4899</v>
      </c>
      <c r="B4319" s="83" t="s">
        <v>4900</v>
      </c>
      <c r="C4319" s="81" t="s">
        <v>4621</v>
      </c>
      <c r="D4319" s="83" t="s">
        <v>4128</v>
      </c>
      <c r="E4319" s="81" t="s">
        <v>412</v>
      </c>
      <c r="F4319" s="81">
        <v>46.0</v>
      </c>
      <c r="G4319" s="81" t="s">
        <v>3</v>
      </c>
      <c r="H4319" s="81" t="s">
        <v>376</v>
      </c>
      <c r="I4319" s="81" t="s">
        <v>344</v>
      </c>
      <c r="J4319" s="81" t="s">
        <v>224</v>
      </c>
      <c r="K4319" s="81" t="str">
        <f>IFERROR(__xludf.DUMMYFUNCTION("IF(OR(D4319="""",G4319=""""),"""",IFERROR(LET(
campo,XLOOKUP(TRIM(G4319),ARRAYFORMULA(TRIM('indice columnas'!$A$2:$A$100)),'indice columnas'!$B$2:$B$100,""""),
col,IFERROR(MATCH(campo,Referencia!$A$1:$AZ$1,0),0),
fila,IFERROR(MATCH(TO_TEXT(D4319),ARRAYFOR"&amp;"MULA(TO_TEXT(Referencia!$A$2:$A6238)),0),0),
IF(OR(campo="""",campo=""-""),""NO APLICA"",
IF(col=0,""REVISAR EQUIVALENCIA"",
IF(fila=0,""SKU NO ENCONTRADO"",
LET(
valor,INDEX(Referencia!$A$2:$AZ6238,fila,col),
IF(TRIM(TO_TEXT(valor))=TRIM(TO_TEXT(I4319)),"&amp;"
""OK"",
""NO COINCIDE. Valor verdadero: ""&amp;IF(valor="""",""[VACÍO]"",TO_TEXT(valor))
)
))))
),""ERROR EN FÓRMULA""))"),"OK")</f>
        <v>OK</v>
      </c>
    </row>
    <row r="4320">
      <c r="A4320" s="83" t="s">
        <v>4899</v>
      </c>
      <c r="B4320" s="83" t="s">
        <v>4900</v>
      </c>
      <c r="C4320" s="81" t="s">
        <v>4621</v>
      </c>
      <c r="D4320" s="83" t="s">
        <v>4129</v>
      </c>
      <c r="E4320" s="81" t="s">
        <v>428</v>
      </c>
      <c r="F4320" s="81">
        <v>47.0</v>
      </c>
      <c r="G4320" s="81" t="s">
        <v>3</v>
      </c>
      <c r="H4320" s="81" t="s">
        <v>376</v>
      </c>
      <c r="I4320" s="81" t="s">
        <v>344</v>
      </c>
      <c r="J4320" s="81" t="s">
        <v>224</v>
      </c>
      <c r="K4320" s="81" t="str">
        <f>IFERROR(__xludf.DUMMYFUNCTION("IF(OR(D4320="""",G4320=""""),"""",IFERROR(LET(
campo,XLOOKUP(TRIM(G4320),ARRAYFORMULA(TRIM('indice columnas'!$A$2:$A$100)),'indice columnas'!$B$2:$B$100,""""),
col,IFERROR(MATCH(campo,Referencia!$A$1:$AZ$1,0),0),
fila,IFERROR(MATCH(TO_TEXT(D4320),ARRAYFOR"&amp;"MULA(TO_TEXT(Referencia!$A$2:$A6238)),0),0),
IF(OR(campo="""",campo=""-""),""NO APLICA"",
IF(col=0,""REVISAR EQUIVALENCIA"",
IF(fila=0,""SKU NO ENCONTRADO"",
LET(
valor,INDEX(Referencia!$A$2:$AZ6238,fila,col),
IF(TRIM(TO_TEXT(valor))=TRIM(TO_TEXT(I4320)),"&amp;"
""OK"",
""NO COINCIDE. Valor verdadero: ""&amp;IF(valor="""",""[VACÍO]"",TO_TEXT(valor))
)
))))
),""ERROR EN FÓRMULA""))"),"OK")</f>
        <v>OK</v>
      </c>
    </row>
    <row r="4321">
      <c r="A4321" s="83" t="s">
        <v>4899</v>
      </c>
      <c r="B4321" s="83" t="s">
        <v>4900</v>
      </c>
      <c r="C4321" s="81" t="s">
        <v>4621</v>
      </c>
      <c r="D4321" s="83" t="s">
        <v>4132</v>
      </c>
      <c r="E4321" s="81" t="s">
        <v>456</v>
      </c>
      <c r="F4321" s="81">
        <v>50.0</v>
      </c>
      <c r="G4321" s="81" t="s">
        <v>3</v>
      </c>
      <c r="H4321" s="81" t="s">
        <v>224</v>
      </c>
      <c r="I4321" s="81" t="s">
        <v>51</v>
      </c>
      <c r="J4321" s="81" t="s">
        <v>224</v>
      </c>
      <c r="K4321" s="81" t="str">
        <f>IFERROR(__xludf.DUMMYFUNCTION("IF(OR(D4321="""",G4321=""""),"""",IFERROR(LET(
campo,XLOOKUP(TRIM(G4321),ARRAYFORMULA(TRIM('indice columnas'!$A$2:$A$100)),'indice columnas'!$B$2:$B$100,""""),
col,IFERROR(MATCH(campo,Referencia!$A$1:$AZ$1,0),0),
fila,IFERROR(MATCH(TO_TEXT(D4321),ARRAYFOR"&amp;"MULA(TO_TEXT(Referencia!$A$2:$A6238)),0),0),
IF(OR(campo="""",campo=""-""),""NO APLICA"",
IF(col=0,""REVISAR EQUIVALENCIA"",
IF(fila=0,""SKU NO ENCONTRADO"",
LET(
valor,INDEX(Referencia!$A$2:$AZ6238,fila,col),
IF(TRIM(TO_TEXT(valor))=TRIM(TO_TEXT(I4321)),"&amp;"
""OK"",
""NO COINCIDE. Valor verdadero: ""&amp;IF(valor="""",""[VACÍO]"",TO_TEXT(valor))
)
))))
),""ERROR EN FÓRMULA""))"),"OK")</f>
        <v>OK</v>
      </c>
    </row>
    <row r="4322">
      <c r="A4322" s="83" t="s">
        <v>4899</v>
      </c>
      <c r="B4322" s="83" t="s">
        <v>4900</v>
      </c>
      <c r="C4322" s="81" t="s">
        <v>4621</v>
      </c>
      <c r="D4322" s="83" t="s">
        <v>4132</v>
      </c>
      <c r="E4322" s="81" t="s">
        <v>456</v>
      </c>
      <c r="F4322" s="81">
        <v>50.0</v>
      </c>
      <c r="G4322" s="81" t="s">
        <v>2</v>
      </c>
      <c r="H4322" s="81" t="s">
        <v>224</v>
      </c>
      <c r="I4322" s="81" t="s">
        <v>213</v>
      </c>
      <c r="J4322" s="81" t="s">
        <v>224</v>
      </c>
      <c r="K4322" s="81" t="str">
        <f>IFERROR(__xludf.DUMMYFUNCTION("IF(OR(D4322="""",G4322=""""),"""",IFERROR(LET(
campo,XLOOKUP(TRIM(G4322),ARRAYFORMULA(TRIM('indice columnas'!$A$2:$A$100)),'indice columnas'!$B$2:$B$100,""""),
col,IFERROR(MATCH(campo,Referencia!$A$1:$AZ$1,0),0),
fila,IFERROR(MATCH(TO_TEXT(D4322),ARRAYFOR"&amp;"MULA(TO_TEXT(Referencia!$A$2:$A6238)),0),0),
IF(OR(campo="""",campo=""-""),""NO APLICA"",
IF(col=0,""REVISAR EQUIVALENCIA"",
IF(fila=0,""SKU NO ENCONTRADO"",
LET(
valor,INDEX(Referencia!$A$2:$AZ6238,fila,col),
IF(TRIM(TO_TEXT(valor))=TRIM(TO_TEXT(I4322)),"&amp;"
""OK"",
""NO COINCIDE. Valor verdadero: ""&amp;IF(valor="""",""[VACÍO]"",TO_TEXT(valor))
)
))))
),""ERROR EN FÓRMULA""))"),"OK")</f>
        <v>OK</v>
      </c>
    </row>
    <row r="4323">
      <c r="A4323" s="83" t="s">
        <v>4899</v>
      </c>
      <c r="B4323" s="83" t="s">
        <v>4900</v>
      </c>
      <c r="C4323" s="81" t="s">
        <v>4621</v>
      </c>
      <c r="D4323" s="83" t="s">
        <v>4132</v>
      </c>
      <c r="E4323" s="81" t="s">
        <v>456</v>
      </c>
      <c r="F4323" s="81">
        <v>50.0</v>
      </c>
      <c r="G4323" s="81" t="s">
        <v>1</v>
      </c>
      <c r="H4323" s="81" t="s">
        <v>224</v>
      </c>
      <c r="I4323" s="81" t="s">
        <v>49</v>
      </c>
      <c r="J4323" s="81" t="s">
        <v>224</v>
      </c>
      <c r="K4323" s="81" t="str">
        <f>IFERROR(__xludf.DUMMYFUNCTION("IF(OR(D4323="""",G4323=""""),"""",IFERROR(LET(
campo,XLOOKUP(TRIM(G4323),ARRAYFORMULA(TRIM('indice columnas'!$A$2:$A$100)),'indice columnas'!$B$2:$B$100,""""),
col,IFERROR(MATCH(campo,Referencia!$A$1:$AZ$1,0),0),
fila,IFERROR(MATCH(TO_TEXT(D4323),ARRAYFOR"&amp;"MULA(TO_TEXT(Referencia!$A$2:$A6238)),0),0),
IF(OR(campo="""",campo=""-""),""NO APLICA"",
IF(col=0,""REVISAR EQUIVALENCIA"",
IF(fila=0,""SKU NO ENCONTRADO"",
LET(
valor,INDEX(Referencia!$A$2:$AZ6238,fila,col),
IF(TRIM(TO_TEXT(valor))=TRIM(TO_TEXT(I4323)),"&amp;"
""OK"",
""NO COINCIDE. Valor verdadero: ""&amp;IF(valor="""",""[VACÍO]"",TO_TEXT(valor))
)
))))
),""ERROR EN FÓRMULA""))"),"OK")</f>
        <v>OK</v>
      </c>
    </row>
    <row r="4324">
      <c r="A4324" s="83" t="s">
        <v>4899</v>
      </c>
      <c r="B4324" s="83" t="s">
        <v>4900</v>
      </c>
      <c r="C4324" s="81" t="s">
        <v>4621</v>
      </c>
      <c r="D4324" s="83" t="s">
        <v>4133</v>
      </c>
      <c r="E4324" s="81" t="s">
        <v>468</v>
      </c>
      <c r="F4324" s="81">
        <v>52.0</v>
      </c>
      <c r="G4324" s="81" t="s">
        <v>3</v>
      </c>
      <c r="H4324" s="81" t="s">
        <v>376</v>
      </c>
      <c r="I4324" s="81" t="s">
        <v>344</v>
      </c>
      <c r="J4324" s="81" t="s">
        <v>224</v>
      </c>
      <c r="K4324" s="81" t="str">
        <f>IFERROR(__xludf.DUMMYFUNCTION("IF(OR(D4324="""",G4324=""""),"""",IFERROR(LET(
campo,XLOOKUP(TRIM(G4324),ARRAYFORMULA(TRIM('indice columnas'!$A$2:$A$100)),'indice columnas'!$B$2:$B$100,""""),
col,IFERROR(MATCH(campo,Referencia!$A$1:$AZ$1,0),0),
fila,IFERROR(MATCH(TO_TEXT(D4324),ARRAYFOR"&amp;"MULA(TO_TEXT(Referencia!$A$2:$A6238)),0),0),
IF(OR(campo="""",campo=""-""),""NO APLICA"",
IF(col=0,""REVISAR EQUIVALENCIA"",
IF(fila=0,""SKU NO ENCONTRADO"",
LET(
valor,INDEX(Referencia!$A$2:$AZ6238,fila,col),
IF(TRIM(TO_TEXT(valor))=TRIM(TO_TEXT(I4324)),"&amp;"
""OK"",
""NO COINCIDE. Valor verdadero: ""&amp;IF(valor="""",""[VACÍO]"",TO_TEXT(valor))
)
))))
),""ERROR EN FÓRMULA""))"),"OK")</f>
        <v>OK</v>
      </c>
    </row>
    <row r="4325">
      <c r="A4325" s="83" t="s">
        <v>4899</v>
      </c>
      <c r="B4325" s="83" t="s">
        <v>4900</v>
      </c>
      <c r="C4325" s="81" t="s">
        <v>4621</v>
      </c>
      <c r="D4325" s="83" t="s">
        <v>4134</v>
      </c>
      <c r="E4325" s="81" t="s">
        <v>475</v>
      </c>
      <c r="F4325" s="81">
        <v>54.0</v>
      </c>
      <c r="G4325" s="81" t="s">
        <v>3</v>
      </c>
      <c r="H4325" s="81" t="s">
        <v>224</v>
      </c>
      <c r="I4325" s="81" t="s">
        <v>344</v>
      </c>
      <c r="J4325" s="81" t="s">
        <v>224</v>
      </c>
      <c r="K4325" s="81" t="str">
        <f>IFERROR(__xludf.DUMMYFUNCTION("IF(OR(D4325="""",G4325=""""),"""",IFERROR(LET(
campo,XLOOKUP(TRIM(G4325),ARRAYFORMULA(TRIM('indice columnas'!$A$2:$A$100)),'indice columnas'!$B$2:$B$100,""""),
col,IFERROR(MATCH(campo,Referencia!$A$1:$AZ$1,0),0),
fila,IFERROR(MATCH(TO_TEXT(D4325),ARRAYFOR"&amp;"MULA(TO_TEXT(Referencia!$A$2:$A6238)),0),0),
IF(OR(campo="""",campo=""-""),""NO APLICA"",
IF(col=0,""REVISAR EQUIVALENCIA"",
IF(fila=0,""SKU NO ENCONTRADO"",
LET(
valor,INDEX(Referencia!$A$2:$AZ6238,fila,col),
IF(TRIM(TO_TEXT(valor))=TRIM(TO_TEXT(I4325)),"&amp;"
""OK"",
""NO COINCIDE. Valor verdadero: ""&amp;IF(valor="""",""[VACÍO]"",TO_TEXT(valor))
)
))))
),""ERROR EN FÓRMULA""))"),"OK")</f>
        <v>OK</v>
      </c>
    </row>
    <row r="4326">
      <c r="A4326" s="83" t="s">
        <v>4899</v>
      </c>
      <c r="B4326" s="83" t="s">
        <v>4900</v>
      </c>
      <c r="C4326" s="81" t="s">
        <v>4621</v>
      </c>
      <c r="D4326" s="83" t="s">
        <v>4134</v>
      </c>
      <c r="E4326" s="81" t="s">
        <v>475</v>
      </c>
      <c r="F4326" s="81">
        <v>54.0</v>
      </c>
      <c r="G4326" s="81" t="s">
        <v>2</v>
      </c>
      <c r="H4326" s="81" t="s">
        <v>224</v>
      </c>
      <c r="I4326" s="81" t="s">
        <v>213</v>
      </c>
      <c r="J4326" s="81" t="s">
        <v>224</v>
      </c>
      <c r="K4326" s="81" t="str">
        <f>IFERROR(__xludf.DUMMYFUNCTION("IF(OR(D4326="""",G4326=""""),"""",IFERROR(LET(
campo,XLOOKUP(TRIM(G4326),ARRAYFORMULA(TRIM('indice columnas'!$A$2:$A$100)),'indice columnas'!$B$2:$B$100,""""),
col,IFERROR(MATCH(campo,Referencia!$A$1:$AZ$1,0),0),
fila,IFERROR(MATCH(TO_TEXT(D4326),ARRAYFOR"&amp;"MULA(TO_TEXT(Referencia!$A$2:$A6238)),0),0),
IF(OR(campo="""",campo=""-""),""NO APLICA"",
IF(col=0,""REVISAR EQUIVALENCIA"",
IF(fila=0,""SKU NO ENCONTRADO"",
LET(
valor,INDEX(Referencia!$A$2:$AZ6238,fila,col),
IF(TRIM(TO_TEXT(valor))=TRIM(TO_TEXT(I4326)),"&amp;"
""OK"",
""NO COINCIDE. Valor verdadero: ""&amp;IF(valor="""",""[VACÍO]"",TO_TEXT(valor))
)
))))
),""ERROR EN FÓRMULA""))"),"OK")</f>
        <v>OK</v>
      </c>
    </row>
    <row r="4327">
      <c r="A4327" s="83" t="s">
        <v>4899</v>
      </c>
      <c r="B4327" s="83" t="s">
        <v>4900</v>
      </c>
      <c r="C4327" s="81" t="s">
        <v>4621</v>
      </c>
      <c r="D4327" s="83" t="s">
        <v>4135</v>
      </c>
      <c r="E4327" s="81" t="s">
        <v>476</v>
      </c>
      <c r="F4327" s="81">
        <v>55.0</v>
      </c>
      <c r="G4327" s="81" t="s">
        <v>3</v>
      </c>
      <c r="H4327" s="81" t="s">
        <v>224</v>
      </c>
      <c r="I4327" s="81" t="s">
        <v>344</v>
      </c>
      <c r="J4327" s="81" t="s">
        <v>224</v>
      </c>
      <c r="K4327" s="81" t="str">
        <f>IFERROR(__xludf.DUMMYFUNCTION("IF(OR(D4327="""",G4327=""""),"""",IFERROR(LET(
campo,XLOOKUP(TRIM(G4327),ARRAYFORMULA(TRIM('indice columnas'!$A$2:$A$100)),'indice columnas'!$B$2:$B$100,""""),
col,IFERROR(MATCH(campo,Referencia!$A$1:$AZ$1,0),0),
fila,IFERROR(MATCH(TO_TEXT(D4327),ARRAYFOR"&amp;"MULA(TO_TEXT(Referencia!$A$2:$A6238)),0),0),
IF(OR(campo="""",campo=""-""),""NO APLICA"",
IF(col=0,""REVISAR EQUIVALENCIA"",
IF(fila=0,""SKU NO ENCONTRADO"",
LET(
valor,INDEX(Referencia!$A$2:$AZ6238,fila,col),
IF(TRIM(TO_TEXT(valor))=TRIM(TO_TEXT(I4327)),"&amp;"
""OK"",
""NO COINCIDE. Valor verdadero: ""&amp;IF(valor="""",""[VACÍO]"",TO_TEXT(valor))
)
))))
),""ERROR EN FÓRMULA""))"),"OK")</f>
        <v>OK</v>
      </c>
    </row>
    <row r="4328">
      <c r="A4328" s="83" t="s">
        <v>4899</v>
      </c>
      <c r="B4328" s="83" t="s">
        <v>4900</v>
      </c>
      <c r="C4328" s="81" t="s">
        <v>4621</v>
      </c>
      <c r="D4328" s="83" t="s">
        <v>4135</v>
      </c>
      <c r="E4328" s="81" t="s">
        <v>476</v>
      </c>
      <c r="F4328" s="81">
        <v>55.0</v>
      </c>
      <c r="G4328" s="81" t="s">
        <v>2</v>
      </c>
      <c r="H4328" s="81" t="s">
        <v>224</v>
      </c>
      <c r="I4328" s="81" t="s">
        <v>213</v>
      </c>
      <c r="J4328" s="81" t="s">
        <v>224</v>
      </c>
      <c r="K4328" s="81" t="str">
        <f>IFERROR(__xludf.DUMMYFUNCTION("IF(OR(D4328="""",G4328=""""),"""",IFERROR(LET(
campo,XLOOKUP(TRIM(G4328),ARRAYFORMULA(TRIM('indice columnas'!$A$2:$A$100)),'indice columnas'!$B$2:$B$100,""""),
col,IFERROR(MATCH(campo,Referencia!$A$1:$AZ$1,0),0),
fila,IFERROR(MATCH(TO_TEXT(D4328),ARRAYFOR"&amp;"MULA(TO_TEXT(Referencia!$A$2:$A6238)),0),0),
IF(OR(campo="""",campo=""-""),""NO APLICA"",
IF(col=0,""REVISAR EQUIVALENCIA"",
IF(fila=0,""SKU NO ENCONTRADO"",
LET(
valor,INDEX(Referencia!$A$2:$AZ6238,fila,col),
IF(TRIM(TO_TEXT(valor))=TRIM(TO_TEXT(I4328)),"&amp;"
""OK"",
""NO COINCIDE. Valor verdadero: ""&amp;IF(valor="""",""[VACÍO]"",TO_TEXT(valor))
)
))))
),""ERROR EN FÓRMULA""))"),"OK")</f>
        <v>OK</v>
      </c>
    </row>
    <row r="4329">
      <c r="A4329" s="83" t="s">
        <v>4899</v>
      </c>
      <c r="B4329" s="83" t="s">
        <v>4900</v>
      </c>
      <c r="C4329" s="81" t="s">
        <v>4621</v>
      </c>
      <c r="D4329" s="83" t="s">
        <v>4136</v>
      </c>
      <c r="E4329" s="81" t="s">
        <v>487</v>
      </c>
      <c r="F4329" s="81">
        <v>57.0</v>
      </c>
      <c r="G4329" s="81" t="s">
        <v>3</v>
      </c>
      <c r="H4329" s="81" t="s">
        <v>224</v>
      </c>
      <c r="I4329" s="81" t="s">
        <v>344</v>
      </c>
      <c r="J4329" s="81" t="s">
        <v>224</v>
      </c>
      <c r="K4329" s="81" t="str">
        <f>IFERROR(__xludf.DUMMYFUNCTION("IF(OR(D4329="""",G4329=""""),"""",IFERROR(LET(
campo,XLOOKUP(TRIM(G4329),ARRAYFORMULA(TRIM('indice columnas'!$A$2:$A$100)),'indice columnas'!$B$2:$B$100,""""),
col,IFERROR(MATCH(campo,Referencia!$A$1:$AZ$1,0),0),
fila,IFERROR(MATCH(TO_TEXT(D4329),ARRAYFOR"&amp;"MULA(TO_TEXT(Referencia!$A$2:$A6238)),0),0),
IF(OR(campo="""",campo=""-""),""NO APLICA"",
IF(col=0,""REVISAR EQUIVALENCIA"",
IF(fila=0,""SKU NO ENCONTRADO"",
LET(
valor,INDEX(Referencia!$A$2:$AZ6238,fila,col),
IF(TRIM(TO_TEXT(valor))=TRIM(TO_TEXT(I4329)),"&amp;"
""OK"",
""NO COINCIDE. Valor verdadero: ""&amp;IF(valor="""",""[VACÍO]"",TO_TEXT(valor))
)
))))
),""ERROR EN FÓRMULA""))"),"OK")</f>
        <v>OK</v>
      </c>
    </row>
    <row r="4330">
      <c r="A4330" s="83" t="s">
        <v>4899</v>
      </c>
      <c r="B4330" s="83" t="s">
        <v>4900</v>
      </c>
      <c r="C4330" s="81" t="s">
        <v>4621</v>
      </c>
      <c r="D4330" s="83" t="s">
        <v>4136</v>
      </c>
      <c r="E4330" s="81" t="s">
        <v>487</v>
      </c>
      <c r="F4330" s="81">
        <v>57.0</v>
      </c>
      <c r="G4330" s="81" t="s">
        <v>2</v>
      </c>
      <c r="H4330" s="81" t="s">
        <v>224</v>
      </c>
      <c r="I4330" s="81" t="s">
        <v>213</v>
      </c>
      <c r="J4330" s="81" t="s">
        <v>224</v>
      </c>
      <c r="K4330" s="81" t="str">
        <f>IFERROR(__xludf.DUMMYFUNCTION("IF(OR(D4330="""",G4330=""""),"""",IFERROR(LET(
campo,XLOOKUP(TRIM(G4330),ARRAYFORMULA(TRIM('indice columnas'!$A$2:$A$100)),'indice columnas'!$B$2:$B$100,""""),
col,IFERROR(MATCH(campo,Referencia!$A$1:$AZ$1,0),0),
fila,IFERROR(MATCH(TO_TEXT(D4330),ARRAYFOR"&amp;"MULA(TO_TEXT(Referencia!$A$2:$A6238)),0),0),
IF(OR(campo="""",campo=""-""),""NO APLICA"",
IF(col=0,""REVISAR EQUIVALENCIA"",
IF(fila=0,""SKU NO ENCONTRADO"",
LET(
valor,INDEX(Referencia!$A$2:$AZ6238,fila,col),
IF(TRIM(TO_TEXT(valor))=TRIM(TO_TEXT(I4330)),"&amp;"
""OK"",
""NO COINCIDE. Valor verdadero: ""&amp;IF(valor="""",""[VACÍO]"",TO_TEXT(valor))
)
))))
),""ERROR EN FÓRMULA""))"),"OK")</f>
        <v>OK</v>
      </c>
    </row>
    <row r="4331">
      <c r="A4331" s="83" t="s">
        <v>4899</v>
      </c>
      <c r="B4331" s="83" t="s">
        <v>4900</v>
      </c>
      <c r="C4331" s="81" t="s">
        <v>4621</v>
      </c>
      <c r="D4331" s="83" t="s">
        <v>4136</v>
      </c>
      <c r="E4331" s="81" t="s">
        <v>487</v>
      </c>
      <c r="F4331" s="81">
        <v>57.0</v>
      </c>
      <c r="G4331" s="81" t="s">
        <v>1</v>
      </c>
      <c r="H4331" s="81" t="s">
        <v>224</v>
      </c>
      <c r="I4331" s="81" t="s">
        <v>49</v>
      </c>
      <c r="J4331" s="81" t="s">
        <v>224</v>
      </c>
      <c r="K4331" s="81" t="str">
        <f>IFERROR(__xludf.DUMMYFUNCTION("IF(OR(D4331="""",G4331=""""),"""",IFERROR(LET(
campo,XLOOKUP(TRIM(G4331),ARRAYFORMULA(TRIM('indice columnas'!$A$2:$A$100)),'indice columnas'!$B$2:$B$100,""""),
col,IFERROR(MATCH(campo,Referencia!$A$1:$AZ$1,0),0),
fila,IFERROR(MATCH(TO_TEXT(D4331),ARRAYFOR"&amp;"MULA(TO_TEXT(Referencia!$A$2:$A6238)),0),0),
IF(OR(campo="""",campo=""-""),""NO APLICA"",
IF(col=0,""REVISAR EQUIVALENCIA"",
IF(fila=0,""SKU NO ENCONTRADO"",
LET(
valor,INDEX(Referencia!$A$2:$AZ6238,fila,col),
IF(TRIM(TO_TEXT(valor))=TRIM(TO_TEXT(I4331)),"&amp;"
""OK"",
""NO COINCIDE. Valor verdadero: ""&amp;IF(valor="""",""[VACÍO]"",TO_TEXT(valor))
)
))))
),""ERROR EN FÓRMULA""))"),"OK")</f>
        <v>OK</v>
      </c>
    </row>
    <row r="4332">
      <c r="A4332" s="83" t="s">
        <v>4899</v>
      </c>
      <c r="B4332" s="83" t="s">
        <v>4900</v>
      </c>
      <c r="C4332" s="81" t="s">
        <v>4621</v>
      </c>
      <c r="D4332" s="83" t="s">
        <v>4137</v>
      </c>
      <c r="E4332" s="81" t="s">
        <v>489</v>
      </c>
      <c r="F4332" s="81">
        <v>58.0</v>
      </c>
      <c r="G4332" s="81" t="s">
        <v>3</v>
      </c>
      <c r="H4332" s="81" t="s">
        <v>224</v>
      </c>
      <c r="I4332" s="81" t="s">
        <v>344</v>
      </c>
      <c r="J4332" s="81" t="s">
        <v>224</v>
      </c>
      <c r="K4332" s="81" t="str">
        <f>IFERROR(__xludf.DUMMYFUNCTION("IF(OR(D4332="""",G4332=""""),"""",IFERROR(LET(
campo,XLOOKUP(TRIM(G4332),ARRAYFORMULA(TRIM('indice columnas'!$A$2:$A$100)),'indice columnas'!$B$2:$B$100,""""),
col,IFERROR(MATCH(campo,Referencia!$A$1:$AZ$1,0),0),
fila,IFERROR(MATCH(TO_TEXT(D4332),ARRAYFOR"&amp;"MULA(TO_TEXT(Referencia!$A$2:$A6238)),0),0),
IF(OR(campo="""",campo=""-""),""NO APLICA"",
IF(col=0,""REVISAR EQUIVALENCIA"",
IF(fila=0,""SKU NO ENCONTRADO"",
LET(
valor,INDEX(Referencia!$A$2:$AZ6238,fila,col),
IF(TRIM(TO_TEXT(valor))=TRIM(TO_TEXT(I4332)),"&amp;"
""OK"",
""NO COINCIDE. Valor verdadero: ""&amp;IF(valor="""",""[VACÍO]"",TO_TEXT(valor))
)
))))
),""ERROR EN FÓRMULA""))"),"OK")</f>
        <v>OK</v>
      </c>
    </row>
    <row r="4333">
      <c r="A4333" s="83" t="s">
        <v>4899</v>
      </c>
      <c r="B4333" s="83" t="s">
        <v>4900</v>
      </c>
      <c r="C4333" s="81" t="s">
        <v>4621</v>
      </c>
      <c r="D4333" s="83" t="s">
        <v>4137</v>
      </c>
      <c r="E4333" s="81" t="s">
        <v>489</v>
      </c>
      <c r="F4333" s="81">
        <v>58.0</v>
      </c>
      <c r="G4333" s="81" t="s">
        <v>2</v>
      </c>
      <c r="H4333" s="81" t="s">
        <v>224</v>
      </c>
      <c r="I4333" s="81" t="s">
        <v>213</v>
      </c>
      <c r="J4333" s="81" t="s">
        <v>224</v>
      </c>
      <c r="K4333" s="81" t="str">
        <f>IFERROR(__xludf.DUMMYFUNCTION("IF(OR(D4333="""",G4333=""""),"""",IFERROR(LET(
campo,XLOOKUP(TRIM(G4333),ARRAYFORMULA(TRIM('indice columnas'!$A$2:$A$100)),'indice columnas'!$B$2:$B$100,""""),
col,IFERROR(MATCH(campo,Referencia!$A$1:$AZ$1,0),0),
fila,IFERROR(MATCH(TO_TEXT(D4333),ARRAYFOR"&amp;"MULA(TO_TEXT(Referencia!$A$2:$A6238)),0),0),
IF(OR(campo="""",campo=""-""),""NO APLICA"",
IF(col=0,""REVISAR EQUIVALENCIA"",
IF(fila=0,""SKU NO ENCONTRADO"",
LET(
valor,INDEX(Referencia!$A$2:$AZ6238,fila,col),
IF(TRIM(TO_TEXT(valor))=TRIM(TO_TEXT(I4333)),"&amp;"
""OK"",
""NO COINCIDE. Valor verdadero: ""&amp;IF(valor="""",""[VACÍO]"",TO_TEXT(valor))
)
))))
),""ERROR EN FÓRMULA""))"),"OK")</f>
        <v>OK</v>
      </c>
    </row>
    <row r="4334">
      <c r="A4334" s="83" t="s">
        <v>4899</v>
      </c>
      <c r="B4334" s="83" t="s">
        <v>4900</v>
      </c>
      <c r="C4334" s="81" t="s">
        <v>4621</v>
      </c>
      <c r="D4334" s="83" t="s">
        <v>4137</v>
      </c>
      <c r="E4334" s="81" t="s">
        <v>489</v>
      </c>
      <c r="F4334" s="81">
        <v>58.0</v>
      </c>
      <c r="G4334" s="81" t="s">
        <v>1</v>
      </c>
      <c r="H4334" s="81" t="s">
        <v>224</v>
      </c>
      <c r="I4334" s="81" t="s">
        <v>49</v>
      </c>
      <c r="J4334" s="81" t="s">
        <v>224</v>
      </c>
      <c r="K4334" s="81" t="str">
        <f>IFERROR(__xludf.DUMMYFUNCTION("IF(OR(D4334="""",G4334=""""),"""",IFERROR(LET(
campo,XLOOKUP(TRIM(G4334),ARRAYFORMULA(TRIM('indice columnas'!$A$2:$A$100)),'indice columnas'!$B$2:$B$100,""""),
col,IFERROR(MATCH(campo,Referencia!$A$1:$AZ$1,0),0),
fila,IFERROR(MATCH(TO_TEXT(D4334),ARRAYFOR"&amp;"MULA(TO_TEXT(Referencia!$A$2:$A6238)),0),0),
IF(OR(campo="""",campo=""-""),""NO APLICA"",
IF(col=0,""REVISAR EQUIVALENCIA"",
IF(fila=0,""SKU NO ENCONTRADO"",
LET(
valor,INDEX(Referencia!$A$2:$AZ6238,fila,col),
IF(TRIM(TO_TEXT(valor))=TRIM(TO_TEXT(I4334)),"&amp;"
""OK"",
""NO COINCIDE. Valor verdadero: ""&amp;IF(valor="""",""[VACÍO]"",TO_TEXT(valor))
)
))))
),""ERROR EN FÓRMULA""))"),"OK")</f>
        <v>OK</v>
      </c>
    </row>
    <row r="4335">
      <c r="A4335" s="83" t="s">
        <v>4899</v>
      </c>
      <c r="B4335" s="83" t="s">
        <v>4900</v>
      </c>
      <c r="C4335" s="81" t="s">
        <v>4621</v>
      </c>
      <c r="D4335" s="83" t="s">
        <v>4138</v>
      </c>
      <c r="E4335" s="81" t="s">
        <v>492</v>
      </c>
      <c r="F4335" s="81">
        <v>59.0</v>
      </c>
      <c r="G4335" s="81" t="s">
        <v>3</v>
      </c>
      <c r="H4335" s="81" t="s">
        <v>224</v>
      </c>
      <c r="I4335" s="81" t="s">
        <v>344</v>
      </c>
      <c r="J4335" s="81" t="s">
        <v>224</v>
      </c>
      <c r="K4335" s="81" t="str">
        <f>IFERROR(__xludf.DUMMYFUNCTION("IF(OR(D4335="""",G4335=""""),"""",IFERROR(LET(
campo,XLOOKUP(TRIM(G4335),ARRAYFORMULA(TRIM('indice columnas'!$A$2:$A$100)),'indice columnas'!$B$2:$B$100,""""),
col,IFERROR(MATCH(campo,Referencia!$A$1:$AZ$1,0),0),
fila,IFERROR(MATCH(TO_TEXT(D4335),ARRAYFOR"&amp;"MULA(TO_TEXT(Referencia!$A$2:$A6238)),0),0),
IF(OR(campo="""",campo=""-""),""NO APLICA"",
IF(col=0,""REVISAR EQUIVALENCIA"",
IF(fila=0,""SKU NO ENCONTRADO"",
LET(
valor,INDEX(Referencia!$A$2:$AZ6238,fila,col),
IF(TRIM(TO_TEXT(valor))=TRIM(TO_TEXT(I4335)),"&amp;"
""OK"",
""NO COINCIDE. Valor verdadero: ""&amp;IF(valor="""",""[VACÍO]"",TO_TEXT(valor))
)
))))
),""ERROR EN FÓRMULA""))"),"OK")</f>
        <v>OK</v>
      </c>
    </row>
    <row r="4336">
      <c r="A4336" s="83" t="s">
        <v>4899</v>
      </c>
      <c r="B4336" s="83" t="s">
        <v>4900</v>
      </c>
      <c r="C4336" s="81" t="s">
        <v>4621</v>
      </c>
      <c r="D4336" s="83" t="s">
        <v>4138</v>
      </c>
      <c r="E4336" s="81" t="s">
        <v>492</v>
      </c>
      <c r="F4336" s="81">
        <v>59.0</v>
      </c>
      <c r="G4336" s="81" t="s">
        <v>2</v>
      </c>
      <c r="H4336" s="81" t="s">
        <v>224</v>
      </c>
      <c r="I4336" s="81" t="s">
        <v>213</v>
      </c>
      <c r="J4336" s="81" t="s">
        <v>224</v>
      </c>
      <c r="K4336" s="81" t="str">
        <f>IFERROR(__xludf.DUMMYFUNCTION("IF(OR(D4336="""",G4336=""""),"""",IFERROR(LET(
campo,XLOOKUP(TRIM(G4336),ARRAYFORMULA(TRIM('indice columnas'!$A$2:$A$100)),'indice columnas'!$B$2:$B$100,""""),
col,IFERROR(MATCH(campo,Referencia!$A$1:$AZ$1,0),0),
fila,IFERROR(MATCH(TO_TEXT(D4336),ARRAYFOR"&amp;"MULA(TO_TEXT(Referencia!$A$2:$A6238)),0),0),
IF(OR(campo="""",campo=""-""),""NO APLICA"",
IF(col=0,""REVISAR EQUIVALENCIA"",
IF(fila=0,""SKU NO ENCONTRADO"",
LET(
valor,INDEX(Referencia!$A$2:$AZ6238,fila,col),
IF(TRIM(TO_TEXT(valor))=TRIM(TO_TEXT(I4336)),"&amp;"
""OK"",
""NO COINCIDE. Valor verdadero: ""&amp;IF(valor="""",""[VACÍO]"",TO_TEXT(valor))
)
))))
),""ERROR EN FÓRMULA""))"),"OK")</f>
        <v>OK</v>
      </c>
    </row>
    <row r="4337">
      <c r="A4337" s="83" t="s">
        <v>4899</v>
      </c>
      <c r="B4337" s="83" t="s">
        <v>4900</v>
      </c>
      <c r="C4337" s="81" t="s">
        <v>4621</v>
      </c>
      <c r="D4337" s="83" t="s">
        <v>4138</v>
      </c>
      <c r="E4337" s="81" t="s">
        <v>492</v>
      </c>
      <c r="F4337" s="81">
        <v>59.0</v>
      </c>
      <c r="G4337" s="81" t="s">
        <v>1</v>
      </c>
      <c r="H4337" s="81" t="s">
        <v>224</v>
      </c>
      <c r="I4337" s="81" t="s">
        <v>49</v>
      </c>
      <c r="J4337" s="81" t="s">
        <v>224</v>
      </c>
      <c r="K4337" s="81" t="str">
        <f>IFERROR(__xludf.DUMMYFUNCTION("IF(OR(D4337="""",G4337=""""),"""",IFERROR(LET(
campo,XLOOKUP(TRIM(G4337),ARRAYFORMULA(TRIM('indice columnas'!$A$2:$A$100)),'indice columnas'!$B$2:$B$100,""""),
col,IFERROR(MATCH(campo,Referencia!$A$1:$AZ$1,0),0),
fila,IFERROR(MATCH(TO_TEXT(D4337),ARRAYFOR"&amp;"MULA(TO_TEXT(Referencia!$A$2:$A6238)),0),0),
IF(OR(campo="""",campo=""-""),""NO APLICA"",
IF(col=0,""REVISAR EQUIVALENCIA"",
IF(fila=0,""SKU NO ENCONTRADO"",
LET(
valor,INDEX(Referencia!$A$2:$AZ6238,fila,col),
IF(TRIM(TO_TEXT(valor))=TRIM(TO_TEXT(I4337)),"&amp;"
""OK"",
""NO COINCIDE. Valor verdadero: ""&amp;IF(valor="""",""[VACÍO]"",TO_TEXT(valor))
)
))))
),""ERROR EN FÓRMULA""))"),"OK")</f>
        <v>OK</v>
      </c>
    </row>
    <row r="4338">
      <c r="A4338" s="83" t="s">
        <v>4899</v>
      </c>
      <c r="B4338" s="83" t="s">
        <v>4900</v>
      </c>
      <c r="C4338" s="81" t="s">
        <v>4621</v>
      </c>
      <c r="D4338" s="83" t="s">
        <v>4139</v>
      </c>
      <c r="E4338" s="81" t="s">
        <v>503</v>
      </c>
      <c r="F4338" s="81">
        <v>61.0</v>
      </c>
      <c r="G4338" s="81" t="s">
        <v>3</v>
      </c>
      <c r="H4338" s="81" t="s">
        <v>224</v>
      </c>
      <c r="I4338" s="81" t="s">
        <v>344</v>
      </c>
      <c r="J4338" s="81" t="s">
        <v>224</v>
      </c>
      <c r="K4338" s="81" t="str">
        <f>IFERROR(__xludf.DUMMYFUNCTION("IF(OR(D4338="""",G4338=""""),"""",IFERROR(LET(
campo,XLOOKUP(TRIM(G4338),ARRAYFORMULA(TRIM('indice columnas'!$A$2:$A$100)),'indice columnas'!$B$2:$B$100,""""),
col,IFERROR(MATCH(campo,Referencia!$A$1:$AZ$1,0),0),
fila,IFERROR(MATCH(TO_TEXT(D4338),ARRAYFOR"&amp;"MULA(TO_TEXT(Referencia!$A$2:$A6238)),0),0),
IF(OR(campo="""",campo=""-""),""NO APLICA"",
IF(col=0,""REVISAR EQUIVALENCIA"",
IF(fila=0,""SKU NO ENCONTRADO"",
LET(
valor,INDEX(Referencia!$A$2:$AZ6238,fila,col),
IF(TRIM(TO_TEXT(valor))=TRIM(TO_TEXT(I4338)),"&amp;"
""OK"",
""NO COINCIDE. Valor verdadero: ""&amp;IF(valor="""",""[VACÍO]"",TO_TEXT(valor))
)
))))
),""ERROR EN FÓRMULA""))"),"OK")</f>
        <v>OK</v>
      </c>
    </row>
    <row r="4339">
      <c r="A4339" s="83" t="s">
        <v>4899</v>
      </c>
      <c r="B4339" s="83" t="s">
        <v>4900</v>
      </c>
      <c r="C4339" s="81" t="s">
        <v>4621</v>
      </c>
      <c r="D4339" s="83" t="s">
        <v>4139</v>
      </c>
      <c r="E4339" s="81" t="s">
        <v>503</v>
      </c>
      <c r="F4339" s="81">
        <v>61.0</v>
      </c>
      <c r="G4339" s="81" t="s">
        <v>2</v>
      </c>
      <c r="H4339" s="81" t="s">
        <v>224</v>
      </c>
      <c r="I4339" s="81" t="s">
        <v>213</v>
      </c>
      <c r="J4339" s="81" t="s">
        <v>224</v>
      </c>
      <c r="K4339" s="81" t="str">
        <f>IFERROR(__xludf.DUMMYFUNCTION("IF(OR(D4339="""",G4339=""""),"""",IFERROR(LET(
campo,XLOOKUP(TRIM(G4339),ARRAYFORMULA(TRIM('indice columnas'!$A$2:$A$100)),'indice columnas'!$B$2:$B$100,""""),
col,IFERROR(MATCH(campo,Referencia!$A$1:$AZ$1,0),0),
fila,IFERROR(MATCH(TO_TEXT(D4339),ARRAYFOR"&amp;"MULA(TO_TEXT(Referencia!$A$2:$A6238)),0),0),
IF(OR(campo="""",campo=""-""),""NO APLICA"",
IF(col=0,""REVISAR EQUIVALENCIA"",
IF(fila=0,""SKU NO ENCONTRADO"",
LET(
valor,INDEX(Referencia!$A$2:$AZ6238,fila,col),
IF(TRIM(TO_TEXT(valor))=TRIM(TO_TEXT(I4339)),"&amp;"
""OK"",
""NO COINCIDE. Valor verdadero: ""&amp;IF(valor="""",""[VACÍO]"",TO_TEXT(valor))
)
))))
),""ERROR EN FÓRMULA""))"),"OK")</f>
        <v>OK</v>
      </c>
    </row>
    <row r="4340">
      <c r="A4340" s="83" t="s">
        <v>4899</v>
      </c>
      <c r="B4340" s="83" t="s">
        <v>4900</v>
      </c>
      <c r="C4340" s="81" t="s">
        <v>4621</v>
      </c>
      <c r="D4340" s="83" t="s">
        <v>4139</v>
      </c>
      <c r="E4340" s="81" t="s">
        <v>503</v>
      </c>
      <c r="F4340" s="81">
        <v>61.0</v>
      </c>
      <c r="G4340" s="81" t="s">
        <v>1</v>
      </c>
      <c r="H4340" s="81" t="s">
        <v>224</v>
      </c>
      <c r="I4340" s="81" t="s">
        <v>49</v>
      </c>
      <c r="J4340" s="81" t="s">
        <v>224</v>
      </c>
      <c r="K4340" s="81" t="str">
        <f>IFERROR(__xludf.DUMMYFUNCTION("IF(OR(D4340="""",G4340=""""),"""",IFERROR(LET(
campo,XLOOKUP(TRIM(G4340),ARRAYFORMULA(TRIM('indice columnas'!$A$2:$A$100)),'indice columnas'!$B$2:$B$100,""""),
col,IFERROR(MATCH(campo,Referencia!$A$1:$AZ$1,0),0),
fila,IFERROR(MATCH(TO_TEXT(D4340),ARRAYFOR"&amp;"MULA(TO_TEXT(Referencia!$A$2:$A6238)),0),0),
IF(OR(campo="""",campo=""-""),""NO APLICA"",
IF(col=0,""REVISAR EQUIVALENCIA"",
IF(fila=0,""SKU NO ENCONTRADO"",
LET(
valor,INDEX(Referencia!$A$2:$AZ6238,fila,col),
IF(TRIM(TO_TEXT(valor))=TRIM(TO_TEXT(I4340)),"&amp;"
""OK"",
""NO COINCIDE. Valor verdadero: ""&amp;IF(valor="""",""[VACÍO]"",TO_TEXT(valor))
)
))))
),""ERROR EN FÓRMULA""))"),"OK")</f>
        <v>OK</v>
      </c>
    </row>
    <row r="4341">
      <c r="A4341" s="83" t="s">
        <v>4899</v>
      </c>
      <c r="B4341" s="83" t="s">
        <v>4900</v>
      </c>
      <c r="C4341" s="81" t="s">
        <v>4621</v>
      </c>
      <c r="D4341" s="83" t="s">
        <v>4140</v>
      </c>
      <c r="E4341" s="81" t="s">
        <v>505</v>
      </c>
      <c r="F4341" s="81">
        <v>62.0</v>
      </c>
      <c r="G4341" s="81" t="s">
        <v>3</v>
      </c>
      <c r="H4341" s="81" t="s">
        <v>224</v>
      </c>
      <c r="I4341" s="81" t="s">
        <v>344</v>
      </c>
      <c r="J4341" s="81" t="s">
        <v>224</v>
      </c>
      <c r="K4341" s="81" t="str">
        <f>IFERROR(__xludf.DUMMYFUNCTION("IF(OR(D4341="""",G4341=""""),"""",IFERROR(LET(
campo,XLOOKUP(TRIM(G4341),ARRAYFORMULA(TRIM('indice columnas'!$A$2:$A$100)),'indice columnas'!$B$2:$B$100,""""),
col,IFERROR(MATCH(campo,Referencia!$A$1:$AZ$1,0),0),
fila,IFERROR(MATCH(TO_TEXT(D4341),ARRAYFOR"&amp;"MULA(TO_TEXT(Referencia!$A$2:$A6238)),0),0),
IF(OR(campo="""",campo=""-""),""NO APLICA"",
IF(col=0,""REVISAR EQUIVALENCIA"",
IF(fila=0,""SKU NO ENCONTRADO"",
LET(
valor,INDEX(Referencia!$A$2:$AZ6238,fila,col),
IF(TRIM(TO_TEXT(valor))=TRIM(TO_TEXT(I4341)),"&amp;"
""OK"",
""NO COINCIDE. Valor verdadero: ""&amp;IF(valor="""",""[VACÍO]"",TO_TEXT(valor))
)
))))
),""ERROR EN FÓRMULA""))"),"OK")</f>
        <v>OK</v>
      </c>
    </row>
    <row r="4342">
      <c r="A4342" s="83" t="s">
        <v>4899</v>
      </c>
      <c r="B4342" s="83" t="s">
        <v>4900</v>
      </c>
      <c r="C4342" s="81" t="s">
        <v>4621</v>
      </c>
      <c r="D4342" s="83" t="s">
        <v>4140</v>
      </c>
      <c r="E4342" s="81" t="s">
        <v>505</v>
      </c>
      <c r="F4342" s="81">
        <v>62.0</v>
      </c>
      <c r="G4342" s="81" t="s">
        <v>2</v>
      </c>
      <c r="H4342" s="81" t="s">
        <v>224</v>
      </c>
      <c r="I4342" s="81" t="s">
        <v>213</v>
      </c>
      <c r="J4342" s="81" t="s">
        <v>224</v>
      </c>
      <c r="K4342" s="81" t="str">
        <f>IFERROR(__xludf.DUMMYFUNCTION("IF(OR(D4342="""",G4342=""""),"""",IFERROR(LET(
campo,XLOOKUP(TRIM(G4342),ARRAYFORMULA(TRIM('indice columnas'!$A$2:$A$100)),'indice columnas'!$B$2:$B$100,""""),
col,IFERROR(MATCH(campo,Referencia!$A$1:$AZ$1,0),0),
fila,IFERROR(MATCH(TO_TEXT(D4342),ARRAYFOR"&amp;"MULA(TO_TEXT(Referencia!$A$2:$A6238)),0),0),
IF(OR(campo="""",campo=""-""),""NO APLICA"",
IF(col=0,""REVISAR EQUIVALENCIA"",
IF(fila=0,""SKU NO ENCONTRADO"",
LET(
valor,INDEX(Referencia!$A$2:$AZ6238,fila,col),
IF(TRIM(TO_TEXT(valor))=TRIM(TO_TEXT(I4342)),"&amp;"
""OK"",
""NO COINCIDE. Valor verdadero: ""&amp;IF(valor="""",""[VACÍO]"",TO_TEXT(valor))
)
))))
),""ERROR EN FÓRMULA""))"),"OK")</f>
        <v>OK</v>
      </c>
    </row>
    <row r="4343">
      <c r="A4343" s="83" t="s">
        <v>4899</v>
      </c>
      <c r="B4343" s="83" t="s">
        <v>4900</v>
      </c>
      <c r="C4343" s="81" t="s">
        <v>4621</v>
      </c>
      <c r="D4343" s="83" t="s">
        <v>4140</v>
      </c>
      <c r="E4343" s="81" t="s">
        <v>505</v>
      </c>
      <c r="F4343" s="81">
        <v>62.0</v>
      </c>
      <c r="G4343" s="81" t="s">
        <v>1</v>
      </c>
      <c r="H4343" s="81" t="s">
        <v>224</v>
      </c>
      <c r="I4343" s="81" t="s">
        <v>49</v>
      </c>
      <c r="J4343" s="81" t="s">
        <v>224</v>
      </c>
      <c r="K4343" s="81" t="str">
        <f>IFERROR(__xludf.DUMMYFUNCTION("IF(OR(D4343="""",G4343=""""),"""",IFERROR(LET(
campo,XLOOKUP(TRIM(G4343),ARRAYFORMULA(TRIM('indice columnas'!$A$2:$A$100)),'indice columnas'!$B$2:$B$100,""""),
col,IFERROR(MATCH(campo,Referencia!$A$1:$AZ$1,0),0),
fila,IFERROR(MATCH(TO_TEXT(D4343),ARRAYFOR"&amp;"MULA(TO_TEXT(Referencia!$A$2:$A6238)),0),0),
IF(OR(campo="""",campo=""-""),""NO APLICA"",
IF(col=0,""REVISAR EQUIVALENCIA"",
IF(fila=0,""SKU NO ENCONTRADO"",
LET(
valor,INDEX(Referencia!$A$2:$AZ6238,fila,col),
IF(TRIM(TO_TEXT(valor))=TRIM(TO_TEXT(I4343)),"&amp;"
""OK"",
""NO COINCIDE. Valor verdadero: ""&amp;IF(valor="""",""[VACÍO]"",TO_TEXT(valor))
)
))))
),""ERROR EN FÓRMULA""))"),"OK")</f>
        <v>OK</v>
      </c>
    </row>
    <row r="4344">
      <c r="A4344" s="83" t="s">
        <v>4899</v>
      </c>
      <c r="B4344" s="83" t="s">
        <v>4900</v>
      </c>
      <c r="C4344" s="81" t="s">
        <v>4621</v>
      </c>
      <c r="D4344" s="83" t="s">
        <v>4141</v>
      </c>
      <c r="E4344" s="81" t="s">
        <v>516</v>
      </c>
      <c r="F4344" s="81">
        <v>64.0</v>
      </c>
      <c r="G4344" s="81" t="s">
        <v>3</v>
      </c>
      <c r="H4344" s="81" t="s">
        <v>224</v>
      </c>
      <c r="I4344" s="81" t="s">
        <v>344</v>
      </c>
      <c r="J4344" s="81" t="s">
        <v>224</v>
      </c>
      <c r="K4344" s="81" t="str">
        <f>IFERROR(__xludf.DUMMYFUNCTION("IF(OR(D4344="""",G4344=""""),"""",IFERROR(LET(
campo,XLOOKUP(TRIM(G4344),ARRAYFORMULA(TRIM('indice columnas'!$A$2:$A$100)),'indice columnas'!$B$2:$B$100,""""),
col,IFERROR(MATCH(campo,Referencia!$A$1:$AZ$1,0),0),
fila,IFERROR(MATCH(TO_TEXT(D4344),ARRAYFOR"&amp;"MULA(TO_TEXT(Referencia!$A$2:$A6238)),0),0),
IF(OR(campo="""",campo=""-""),""NO APLICA"",
IF(col=0,""REVISAR EQUIVALENCIA"",
IF(fila=0,""SKU NO ENCONTRADO"",
LET(
valor,INDEX(Referencia!$A$2:$AZ6238,fila,col),
IF(TRIM(TO_TEXT(valor))=TRIM(TO_TEXT(I4344)),"&amp;"
""OK"",
""NO COINCIDE. Valor verdadero: ""&amp;IF(valor="""",""[VACÍO]"",TO_TEXT(valor))
)
))))
),""ERROR EN FÓRMULA""))"),"OK")</f>
        <v>OK</v>
      </c>
    </row>
    <row r="4345">
      <c r="A4345" s="83" t="s">
        <v>4899</v>
      </c>
      <c r="B4345" s="83" t="s">
        <v>4900</v>
      </c>
      <c r="C4345" s="81" t="s">
        <v>4621</v>
      </c>
      <c r="D4345" s="83" t="s">
        <v>4141</v>
      </c>
      <c r="E4345" s="81" t="s">
        <v>516</v>
      </c>
      <c r="F4345" s="81">
        <v>64.0</v>
      </c>
      <c r="G4345" s="81" t="s">
        <v>2</v>
      </c>
      <c r="H4345" s="81" t="s">
        <v>224</v>
      </c>
      <c r="I4345" s="81" t="s">
        <v>213</v>
      </c>
      <c r="J4345" s="81" t="s">
        <v>224</v>
      </c>
      <c r="K4345" s="81" t="str">
        <f>IFERROR(__xludf.DUMMYFUNCTION("IF(OR(D4345="""",G4345=""""),"""",IFERROR(LET(
campo,XLOOKUP(TRIM(G4345),ARRAYFORMULA(TRIM('indice columnas'!$A$2:$A$100)),'indice columnas'!$B$2:$B$100,""""),
col,IFERROR(MATCH(campo,Referencia!$A$1:$AZ$1,0),0),
fila,IFERROR(MATCH(TO_TEXT(D4345),ARRAYFOR"&amp;"MULA(TO_TEXT(Referencia!$A$2:$A6238)),0),0),
IF(OR(campo="""",campo=""-""),""NO APLICA"",
IF(col=0,""REVISAR EQUIVALENCIA"",
IF(fila=0,""SKU NO ENCONTRADO"",
LET(
valor,INDEX(Referencia!$A$2:$AZ6238,fila,col),
IF(TRIM(TO_TEXT(valor))=TRIM(TO_TEXT(I4345)),"&amp;"
""OK"",
""NO COINCIDE. Valor verdadero: ""&amp;IF(valor="""",""[VACÍO]"",TO_TEXT(valor))
)
))))
),""ERROR EN FÓRMULA""))"),"OK")</f>
        <v>OK</v>
      </c>
    </row>
    <row r="4346">
      <c r="A4346" s="83" t="s">
        <v>4899</v>
      </c>
      <c r="B4346" s="83" t="s">
        <v>4900</v>
      </c>
      <c r="C4346" s="81" t="s">
        <v>4621</v>
      </c>
      <c r="D4346" s="83" t="s">
        <v>4141</v>
      </c>
      <c r="E4346" s="81" t="s">
        <v>516</v>
      </c>
      <c r="F4346" s="81">
        <v>64.0</v>
      </c>
      <c r="G4346" s="81" t="s">
        <v>1</v>
      </c>
      <c r="H4346" s="81" t="s">
        <v>224</v>
      </c>
      <c r="I4346" s="81" t="s">
        <v>49</v>
      </c>
      <c r="J4346" s="81" t="s">
        <v>224</v>
      </c>
      <c r="K4346" s="81" t="str">
        <f>IFERROR(__xludf.DUMMYFUNCTION("IF(OR(D4346="""",G4346=""""),"""",IFERROR(LET(
campo,XLOOKUP(TRIM(G4346),ARRAYFORMULA(TRIM('indice columnas'!$A$2:$A$100)),'indice columnas'!$B$2:$B$100,""""),
col,IFERROR(MATCH(campo,Referencia!$A$1:$AZ$1,0),0),
fila,IFERROR(MATCH(TO_TEXT(D4346),ARRAYFOR"&amp;"MULA(TO_TEXT(Referencia!$A$2:$A6238)),0),0),
IF(OR(campo="""",campo=""-""),""NO APLICA"",
IF(col=0,""REVISAR EQUIVALENCIA"",
IF(fila=0,""SKU NO ENCONTRADO"",
LET(
valor,INDEX(Referencia!$A$2:$AZ6238,fila,col),
IF(TRIM(TO_TEXT(valor))=TRIM(TO_TEXT(I4346)),"&amp;"
""OK"",
""NO COINCIDE. Valor verdadero: ""&amp;IF(valor="""",""[VACÍO]"",TO_TEXT(valor))
)
))))
),""ERROR EN FÓRMULA""))"),"OK")</f>
        <v>OK</v>
      </c>
    </row>
    <row r="4347">
      <c r="A4347" s="83" t="s">
        <v>4899</v>
      </c>
      <c r="B4347" s="83" t="s">
        <v>4900</v>
      </c>
      <c r="C4347" s="81" t="s">
        <v>4621</v>
      </c>
      <c r="D4347" s="83" t="s">
        <v>4142</v>
      </c>
      <c r="E4347" s="81" t="s">
        <v>518</v>
      </c>
      <c r="F4347" s="81">
        <v>65.0</v>
      </c>
      <c r="G4347" s="81" t="s">
        <v>3</v>
      </c>
      <c r="H4347" s="81" t="s">
        <v>376</v>
      </c>
      <c r="I4347" s="81" t="s">
        <v>344</v>
      </c>
      <c r="J4347" s="81" t="s">
        <v>224</v>
      </c>
      <c r="K4347" s="81" t="str">
        <f>IFERROR(__xludf.DUMMYFUNCTION("IF(OR(D4347="""",G4347=""""),"""",IFERROR(LET(
campo,XLOOKUP(TRIM(G4347),ARRAYFORMULA(TRIM('indice columnas'!$A$2:$A$100)),'indice columnas'!$B$2:$B$100,""""),
col,IFERROR(MATCH(campo,Referencia!$A$1:$AZ$1,0),0),
fila,IFERROR(MATCH(TO_TEXT(D4347),ARRAYFOR"&amp;"MULA(TO_TEXT(Referencia!$A$2:$A6238)),0),0),
IF(OR(campo="""",campo=""-""),""NO APLICA"",
IF(col=0,""REVISAR EQUIVALENCIA"",
IF(fila=0,""SKU NO ENCONTRADO"",
LET(
valor,INDEX(Referencia!$A$2:$AZ6238,fila,col),
IF(TRIM(TO_TEXT(valor))=TRIM(TO_TEXT(I4347)),"&amp;"
""OK"",
""NO COINCIDE. Valor verdadero: ""&amp;IF(valor="""",""[VACÍO]"",TO_TEXT(valor))
)
))))
),""ERROR EN FÓRMULA""))"),"OK")</f>
        <v>OK</v>
      </c>
    </row>
    <row r="4348">
      <c r="A4348" s="83" t="s">
        <v>4899</v>
      </c>
      <c r="B4348" s="83" t="s">
        <v>4900</v>
      </c>
      <c r="C4348" s="81" t="s">
        <v>4621</v>
      </c>
      <c r="D4348" s="83" t="s">
        <v>4144</v>
      </c>
      <c r="E4348" s="81" t="s">
        <v>530</v>
      </c>
      <c r="F4348" s="81">
        <v>67.0</v>
      </c>
      <c r="G4348" s="81" t="s">
        <v>3</v>
      </c>
      <c r="H4348" s="81" t="s">
        <v>224</v>
      </c>
      <c r="I4348" s="81" t="s">
        <v>51</v>
      </c>
      <c r="J4348" s="81" t="s">
        <v>224</v>
      </c>
      <c r="K4348" s="81" t="str">
        <f>IFERROR(__xludf.DUMMYFUNCTION("IF(OR(D4348="""",G4348=""""),"""",IFERROR(LET(
campo,XLOOKUP(TRIM(G4348),ARRAYFORMULA(TRIM('indice columnas'!$A$2:$A$100)),'indice columnas'!$B$2:$B$100,""""),
col,IFERROR(MATCH(campo,Referencia!$A$1:$AZ$1,0),0),
fila,IFERROR(MATCH(TO_TEXT(D4348),ARRAYFOR"&amp;"MULA(TO_TEXT(Referencia!$A$2:$A6238)),0),0),
IF(OR(campo="""",campo=""-""),""NO APLICA"",
IF(col=0,""REVISAR EQUIVALENCIA"",
IF(fila=0,""SKU NO ENCONTRADO"",
LET(
valor,INDEX(Referencia!$A$2:$AZ6238,fila,col),
IF(TRIM(TO_TEXT(valor))=TRIM(TO_TEXT(I4348)),"&amp;"
""OK"",
""NO COINCIDE. Valor verdadero: ""&amp;IF(valor="""",""[VACÍO]"",TO_TEXT(valor))
)
))))
),""ERROR EN FÓRMULA""))"),"OK")</f>
        <v>OK</v>
      </c>
    </row>
    <row r="4349">
      <c r="A4349" s="83" t="s">
        <v>4899</v>
      </c>
      <c r="B4349" s="83" t="s">
        <v>4900</v>
      </c>
      <c r="C4349" s="81" t="s">
        <v>4621</v>
      </c>
      <c r="D4349" s="83" t="s">
        <v>4144</v>
      </c>
      <c r="E4349" s="81" t="s">
        <v>530</v>
      </c>
      <c r="F4349" s="81">
        <v>67.0</v>
      </c>
      <c r="G4349" s="81" t="s">
        <v>2</v>
      </c>
      <c r="H4349" s="81" t="s">
        <v>224</v>
      </c>
      <c r="I4349" s="81" t="s">
        <v>213</v>
      </c>
      <c r="J4349" s="81" t="s">
        <v>224</v>
      </c>
      <c r="K4349" s="81" t="str">
        <f>IFERROR(__xludf.DUMMYFUNCTION("IF(OR(D4349="""",G4349=""""),"""",IFERROR(LET(
campo,XLOOKUP(TRIM(G4349),ARRAYFORMULA(TRIM('indice columnas'!$A$2:$A$100)),'indice columnas'!$B$2:$B$100,""""),
col,IFERROR(MATCH(campo,Referencia!$A$1:$AZ$1,0),0),
fila,IFERROR(MATCH(TO_TEXT(D4349),ARRAYFOR"&amp;"MULA(TO_TEXT(Referencia!$A$2:$A6238)),0),0),
IF(OR(campo="""",campo=""-""),""NO APLICA"",
IF(col=0,""REVISAR EQUIVALENCIA"",
IF(fila=0,""SKU NO ENCONTRADO"",
LET(
valor,INDEX(Referencia!$A$2:$AZ6238,fila,col),
IF(TRIM(TO_TEXT(valor))=TRIM(TO_TEXT(I4349)),"&amp;"
""OK"",
""NO COINCIDE. Valor verdadero: ""&amp;IF(valor="""",""[VACÍO]"",TO_TEXT(valor))
)
))))
),""ERROR EN FÓRMULA""))"),"OK")</f>
        <v>OK</v>
      </c>
    </row>
    <row r="4350">
      <c r="A4350" s="83" t="s">
        <v>4899</v>
      </c>
      <c r="B4350" s="83" t="s">
        <v>4900</v>
      </c>
      <c r="C4350" s="81" t="s">
        <v>4621</v>
      </c>
      <c r="D4350" s="83" t="s">
        <v>4144</v>
      </c>
      <c r="E4350" s="81" t="s">
        <v>530</v>
      </c>
      <c r="F4350" s="81">
        <v>67.0</v>
      </c>
      <c r="G4350" s="81" t="s">
        <v>1</v>
      </c>
      <c r="H4350" s="81" t="s">
        <v>224</v>
      </c>
      <c r="I4350" s="81" t="s">
        <v>49</v>
      </c>
      <c r="J4350" s="81" t="s">
        <v>224</v>
      </c>
      <c r="K4350" s="81" t="str">
        <f>IFERROR(__xludf.DUMMYFUNCTION("IF(OR(D4350="""",G4350=""""),"""",IFERROR(LET(
campo,XLOOKUP(TRIM(G4350),ARRAYFORMULA(TRIM('indice columnas'!$A$2:$A$100)),'indice columnas'!$B$2:$B$100,""""),
col,IFERROR(MATCH(campo,Referencia!$A$1:$AZ$1,0),0),
fila,IFERROR(MATCH(TO_TEXT(D4350),ARRAYFOR"&amp;"MULA(TO_TEXT(Referencia!$A$2:$A6238)),0),0),
IF(OR(campo="""",campo=""-""),""NO APLICA"",
IF(col=0,""REVISAR EQUIVALENCIA"",
IF(fila=0,""SKU NO ENCONTRADO"",
LET(
valor,INDEX(Referencia!$A$2:$AZ6238,fila,col),
IF(TRIM(TO_TEXT(valor))=TRIM(TO_TEXT(I4350)),"&amp;"
""OK"",
""NO COINCIDE. Valor verdadero: ""&amp;IF(valor="""",""[VACÍO]"",TO_TEXT(valor))
)
))))
),""ERROR EN FÓRMULA""))"),"OK")</f>
        <v>OK</v>
      </c>
    </row>
    <row r="4351">
      <c r="A4351" s="83" t="s">
        <v>4899</v>
      </c>
      <c r="B4351" s="83" t="s">
        <v>4900</v>
      </c>
      <c r="C4351" s="81" t="s">
        <v>4621</v>
      </c>
      <c r="D4351" s="83" t="s">
        <v>4145</v>
      </c>
      <c r="E4351" s="81" t="s">
        <v>531</v>
      </c>
      <c r="F4351" s="81">
        <v>68.0</v>
      </c>
      <c r="G4351" s="81" t="s">
        <v>3</v>
      </c>
      <c r="H4351" s="81" t="s">
        <v>224</v>
      </c>
      <c r="I4351" s="81" t="s">
        <v>51</v>
      </c>
      <c r="J4351" s="81" t="s">
        <v>224</v>
      </c>
      <c r="K4351" s="81" t="str">
        <f>IFERROR(__xludf.DUMMYFUNCTION("IF(OR(D4351="""",G4351=""""),"""",IFERROR(LET(
campo,XLOOKUP(TRIM(G4351),ARRAYFORMULA(TRIM('indice columnas'!$A$2:$A$100)),'indice columnas'!$B$2:$B$100,""""),
col,IFERROR(MATCH(campo,Referencia!$A$1:$AZ$1,0),0),
fila,IFERROR(MATCH(TO_TEXT(D4351),ARRAYFOR"&amp;"MULA(TO_TEXT(Referencia!$A$2:$A6238)),0),0),
IF(OR(campo="""",campo=""-""),""NO APLICA"",
IF(col=0,""REVISAR EQUIVALENCIA"",
IF(fila=0,""SKU NO ENCONTRADO"",
LET(
valor,INDEX(Referencia!$A$2:$AZ6238,fila,col),
IF(TRIM(TO_TEXT(valor))=TRIM(TO_TEXT(I4351)),"&amp;"
""OK"",
""NO COINCIDE. Valor verdadero: ""&amp;IF(valor="""",""[VACÍO]"",TO_TEXT(valor))
)
))))
),""ERROR EN FÓRMULA""))"),"OK")</f>
        <v>OK</v>
      </c>
    </row>
    <row r="4352">
      <c r="A4352" s="83" t="s">
        <v>4899</v>
      </c>
      <c r="B4352" s="83" t="s">
        <v>4900</v>
      </c>
      <c r="C4352" s="81" t="s">
        <v>4621</v>
      </c>
      <c r="D4352" s="83" t="s">
        <v>4145</v>
      </c>
      <c r="E4352" s="81" t="s">
        <v>531</v>
      </c>
      <c r="F4352" s="81">
        <v>68.0</v>
      </c>
      <c r="G4352" s="81" t="s">
        <v>2</v>
      </c>
      <c r="H4352" s="81" t="s">
        <v>224</v>
      </c>
      <c r="I4352" s="81" t="s">
        <v>213</v>
      </c>
      <c r="J4352" s="81" t="s">
        <v>224</v>
      </c>
      <c r="K4352" s="81" t="str">
        <f>IFERROR(__xludf.DUMMYFUNCTION("IF(OR(D4352="""",G4352=""""),"""",IFERROR(LET(
campo,XLOOKUP(TRIM(G4352),ARRAYFORMULA(TRIM('indice columnas'!$A$2:$A$100)),'indice columnas'!$B$2:$B$100,""""),
col,IFERROR(MATCH(campo,Referencia!$A$1:$AZ$1,0),0),
fila,IFERROR(MATCH(TO_TEXT(D4352),ARRAYFOR"&amp;"MULA(TO_TEXT(Referencia!$A$2:$A6238)),0),0),
IF(OR(campo="""",campo=""-""),""NO APLICA"",
IF(col=0,""REVISAR EQUIVALENCIA"",
IF(fila=0,""SKU NO ENCONTRADO"",
LET(
valor,INDEX(Referencia!$A$2:$AZ6238,fila,col),
IF(TRIM(TO_TEXT(valor))=TRIM(TO_TEXT(I4352)),"&amp;"
""OK"",
""NO COINCIDE. Valor verdadero: ""&amp;IF(valor="""",""[VACÍO]"",TO_TEXT(valor))
)
))))
),""ERROR EN FÓRMULA""))"),"OK")</f>
        <v>OK</v>
      </c>
    </row>
    <row r="4353">
      <c r="A4353" s="83" t="s">
        <v>4899</v>
      </c>
      <c r="B4353" s="83" t="s">
        <v>4900</v>
      </c>
      <c r="C4353" s="81" t="s">
        <v>4621</v>
      </c>
      <c r="D4353" s="83" t="s">
        <v>4145</v>
      </c>
      <c r="E4353" s="81" t="s">
        <v>531</v>
      </c>
      <c r="F4353" s="81">
        <v>68.0</v>
      </c>
      <c r="G4353" s="81" t="s">
        <v>1</v>
      </c>
      <c r="H4353" s="81" t="s">
        <v>224</v>
      </c>
      <c r="I4353" s="81" t="s">
        <v>49</v>
      </c>
      <c r="J4353" s="81" t="s">
        <v>224</v>
      </c>
      <c r="K4353" s="81" t="str">
        <f>IFERROR(__xludf.DUMMYFUNCTION("IF(OR(D4353="""",G4353=""""),"""",IFERROR(LET(
campo,XLOOKUP(TRIM(G4353),ARRAYFORMULA(TRIM('indice columnas'!$A$2:$A$100)),'indice columnas'!$B$2:$B$100,""""),
col,IFERROR(MATCH(campo,Referencia!$A$1:$AZ$1,0),0),
fila,IFERROR(MATCH(TO_TEXT(D4353),ARRAYFOR"&amp;"MULA(TO_TEXT(Referencia!$A$2:$A6238)),0),0),
IF(OR(campo="""",campo=""-""),""NO APLICA"",
IF(col=0,""REVISAR EQUIVALENCIA"",
IF(fila=0,""SKU NO ENCONTRADO"",
LET(
valor,INDEX(Referencia!$A$2:$AZ6238,fila,col),
IF(TRIM(TO_TEXT(valor))=TRIM(TO_TEXT(I4353)),"&amp;"
""OK"",
""NO COINCIDE. Valor verdadero: ""&amp;IF(valor="""",""[VACÍO]"",TO_TEXT(valor))
)
))))
),""ERROR EN FÓRMULA""))"),"OK")</f>
        <v>OK</v>
      </c>
    </row>
    <row r="4354">
      <c r="A4354" s="83" t="s">
        <v>4899</v>
      </c>
      <c r="B4354" s="83" t="s">
        <v>4900</v>
      </c>
      <c r="C4354" s="81" t="s">
        <v>4621</v>
      </c>
      <c r="D4354" s="83" t="s">
        <v>4147</v>
      </c>
      <c r="E4354" s="81" t="s">
        <v>542</v>
      </c>
      <c r="F4354" s="81">
        <v>70.0</v>
      </c>
      <c r="G4354" s="81" t="s">
        <v>3</v>
      </c>
      <c r="H4354" s="81" t="s">
        <v>224</v>
      </c>
      <c r="I4354" s="81" t="s">
        <v>344</v>
      </c>
      <c r="J4354" s="81" t="s">
        <v>224</v>
      </c>
      <c r="K4354" s="81" t="str">
        <f>IFERROR(__xludf.DUMMYFUNCTION("IF(OR(D4354="""",G4354=""""),"""",IFERROR(LET(
campo,XLOOKUP(TRIM(G4354),ARRAYFORMULA(TRIM('indice columnas'!$A$2:$A$100)),'indice columnas'!$B$2:$B$100,""""),
col,IFERROR(MATCH(campo,Referencia!$A$1:$AZ$1,0),0),
fila,IFERROR(MATCH(TO_TEXT(D4354),ARRAYFOR"&amp;"MULA(TO_TEXT(Referencia!$A$2:$A6238)),0),0),
IF(OR(campo="""",campo=""-""),""NO APLICA"",
IF(col=0,""REVISAR EQUIVALENCIA"",
IF(fila=0,""SKU NO ENCONTRADO"",
LET(
valor,INDEX(Referencia!$A$2:$AZ6238,fila,col),
IF(TRIM(TO_TEXT(valor))=TRIM(TO_TEXT(I4354)),"&amp;"
""OK"",
""NO COINCIDE. Valor verdadero: ""&amp;IF(valor="""",""[VACÍO]"",TO_TEXT(valor))
)
))))
),""ERROR EN FÓRMULA""))"),"OK")</f>
        <v>OK</v>
      </c>
    </row>
    <row r="4355">
      <c r="A4355" s="83" t="s">
        <v>4899</v>
      </c>
      <c r="B4355" s="83" t="s">
        <v>4900</v>
      </c>
      <c r="C4355" s="81" t="s">
        <v>4621</v>
      </c>
      <c r="D4355" s="83" t="s">
        <v>4147</v>
      </c>
      <c r="E4355" s="81" t="s">
        <v>542</v>
      </c>
      <c r="F4355" s="81">
        <v>70.0</v>
      </c>
      <c r="G4355" s="81" t="s">
        <v>2</v>
      </c>
      <c r="H4355" s="81" t="s">
        <v>224</v>
      </c>
      <c r="I4355" s="81" t="s">
        <v>213</v>
      </c>
      <c r="J4355" s="81" t="s">
        <v>224</v>
      </c>
      <c r="K4355" s="81" t="str">
        <f>IFERROR(__xludf.DUMMYFUNCTION("IF(OR(D4355="""",G4355=""""),"""",IFERROR(LET(
campo,XLOOKUP(TRIM(G4355),ARRAYFORMULA(TRIM('indice columnas'!$A$2:$A$100)),'indice columnas'!$B$2:$B$100,""""),
col,IFERROR(MATCH(campo,Referencia!$A$1:$AZ$1,0),0),
fila,IFERROR(MATCH(TO_TEXT(D4355),ARRAYFOR"&amp;"MULA(TO_TEXT(Referencia!$A$2:$A6238)),0),0),
IF(OR(campo="""",campo=""-""),""NO APLICA"",
IF(col=0,""REVISAR EQUIVALENCIA"",
IF(fila=0,""SKU NO ENCONTRADO"",
LET(
valor,INDEX(Referencia!$A$2:$AZ6238,fila,col),
IF(TRIM(TO_TEXT(valor))=TRIM(TO_TEXT(I4355)),"&amp;"
""OK"",
""NO COINCIDE. Valor verdadero: ""&amp;IF(valor="""",""[VACÍO]"",TO_TEXT(valor))
)
))))
),""ERROR EN FÓRMULA""))"),"OK")</f>
        <v>OK</v>
      </c>
    </row>
    <row r="4356">
      <c r="A4356" s="83" t="s">
        <v>4899</v>
      </c>
      <c r="B4356" s="83" t="s">
        <v>4900</v>
      </c>
      <c r="C4356" s="81" t="s">
        <v>4621</v>
      </c>
      <c r="D4356" s="83" t="s">
        <v>4147</v>
      </c>
      <c r="E4356" s="81" t="s">
        <v>542</v>
      </c>
      <c r="F4356" s="81">
        <v>70.0</v>
      </c>
      <c r="G4356" s="81" t="s">
        <v>1</v>
      </c>
      <c r="H4356" s="81" t="s">
        <v>224</v>
      </c>
      <c r="I4356" s="81" t="s">
        <v>49</v>
      </c>
      <c r="J4356" s="81" t="s">
        <v>224</v>
      </c>
      <c r="K4356" s="81" t="str">
        <f>IFERROR(__xludf.DUMMYFUNCTION("IF(OR(D4356="""",G4356=""""),"""",IFERROR(LET(
campo,XLOOKUP(TRIM(G4356),ARRAYFORMULA(TRIM('indice columnas'!$A$2:$A$100)),'indice columnas'!$B$2:$B$100,""""),
col,IFERROR(MATCH(campo,Referencia!$A$1:$AZ$1,0),0),
fila,IFERROR(MATCH(TO_TEXT(D4356),ARRAYFOR"&amp;"MULA(TO_TEXT(Referencia!$A$2:$A6238)),0),0),
IF(OR(campo="""",campo=""-""),""NO APLICA"",
IF(col=0,""REVISAR EQUIVALENCIA"",
IF(fila=0,""SKU NO ENCONTRADO"",
LET(
valor,INDEX(Referencia!$A$2:$AZ6238,fila,col),
IF(TRIM(TO_TEXT(valor))=TRIM(TO_TEXT(I4356)),"&amp;"
""OK"",
""NO COINCIDE. Valor verdadero: ""&amp;IF(valor="""",""[VACÍO]"",TO_TEXT(valor))
)
))))
),""ERROR EN FÓRMULA""))"),"OK")</f>
        <v>OK</v>
      </c>
    </row>
    <row r="4357">
      <c r="A4357" s="83" t="s">
        <v>4899</v>
      </c>
      <c r="B4357" s="83" t="s">
        <v>4900</v>
      </c>
      <c r="C4357" s="81" t="s">
        <v>4621</v>
      </c>
      <c r="D4357" s="83" t="s">
        <v>4148</v>
      </c>
      <c r="E4357" s="81" t="s">
        <v>552</v>
      </c>
      <c r="F4357" s="81">
        <v>72.0</v>
      </c>
      <c r="G4357" s="81" t="s">
        <v>3</v>
      </c>
      <c r="H4357" s="81" t="s">
        <v>224</v>
      </c>
      <c r="I4357" s="81" t="s">
        <v>344</v>
      </c>
      <c r="J4357" s="81" t="s">
        <v>224</v>
      </c>
      <c r="K4357" s="81" t="str">
        <f>IFERROR(__xludf.DUMMYFUNCTION("IF(OR(D4357="""",G4357=""""),"""",IFERROR(LET(
campo,XLOOKUP(TRIM(G4357),ARRAYFORMULA(TRIM('indice columnas'!$A$2:$A$100)),'indice columnas'!$B$2:$B$100,""""),
col,IFERROR(MATCH(campo,Referencia!$A$1:$AZ$1,0),0),
fila,IFERROR(MATCH(TO_TEXT(D4357),ARRAYFOR"&amp;"MULA(TO_TEXT(Referencia!$A$2:$A6238)),0),0),
IF(OR(campo="""",campo=""-""),""NO APLICA"",
IF(col=0,""REVISAR EQUIVALENCIA"",
IF(fila=0,""SKU NO ENCONTRADO"",
LET(
valor,INDEX(Referencia!$A$2:$AZ6238,fila,col),
IF(TRIM(TO_TEXT(valor))=TRIM(TO_TEXT(I4357)),"&amp;"
""OK"",
""NO COINCIDE. Valor verdadero: ""&amp;IF(valor="""",""[VACÍO]"",TO_TEXT(valor))
)
))))
),""ERROR EN FÓRMULA""))"),"OK")</f>
        <v>OK</v>
      </c>
    </row>
    <row r="4358">
      <c r="A4358" s="83" t="s">
        <v>4899</v>
      </c>
      <c r="B4358" s="83" t="s">
        <v>4900</v>
      </c>
      <c r="C4358" s="81" t="s">
        <v>4621</v>
      </c>
      <c r="D4358" s="83" t="s">
        <v>4148</v>
      </c>
      <c r="E4358" s="81" t="s">
        <v>552</v>
      </c>
      <c r="F4358" s="81">
        <v>72.0</v>
      </c>
      <c r="G4358" s="81" t="s">
        <v>2</v>
      </c>
      <c r="H4358" s="81" t="s">
        <v>224</v>
      </c>
      <c r="I4358" s="81" t="s">
        <v>213</v>
      </c>
      <c r="J4358" s="81" t="s">
        <v>224</v>
      </c>
      <c r="K4358" s="81" t="str">
        <f>IFERROR(__xludf.DUMMYFUNCTION("IF(OR(D4358="""",G4358=""""),"""",IFERROR(LET(
campo,XLOOKUP(TRIM(G4358),ARRAYFORMULA(TRIM('indice columnas'!$A$2:$A$100)),'indice columnas'!$B$2:$B$100,""""),
col,IFERROR(MATCH(campo,Referencia!$A$1:$AZ$1,0),0),
fila,IFERROR(MATCH(TO_TEXT(D4358),ARRAYFOR"&amp;"MULA(TO_TEXT(Referencia!$A$2:$A6238)),0),0),
IF(OR(campo="""",campo=""-""),""NO APLICA"",
IF(col=0,""REVISAR EQUIVALENCIA"",
IF(fila=0,""SKU NO ENCONTRADO"",
LET(
valor,INDEX(Referencia!$A$2:$AZ6238,fila,col),
IF(TRIM(TO_TEXT(valor))=TRIM(TO_TEXT(I4358)),"&amp;"
""OK"",
""NO COINCIDE. Valor verdadero: ""&amp;IF(valor="""",""[VACÍO]"",TO_TEXT(valor))
)
))))
),""ERROR EN FÓRMULA""))"),"OK")</f>
        <v>OK</v>
      </c>
    </row>
    <row r="4359">
      <c r="A4359" s="83" t="s">
        <v>4899</v>
      </c>
      <c r="B4359" s="83" t="s">
        <v>4900</v>
      </c>
      <c r="C4359" s="81" t="s">
        <v>4621</v>
      </c>
      <c r="D4359" s="83" t="s">
        <v>4149</v>
      </c>
      <c r="E4359" s="81" t="s">
        <v>554</v>
      </c>
      <c r="F4359" s="81">
        <v>73.0</v>
      </c>
      <c r="G4359" s="81" t="s">
        <v>3</v>
      </c>
      <c r="H4359" s="81" t="s">
        <v>224</v>
      </c>
      <c r="I4359" s="81" t="s">
        <v>344</v>
      </c>
      <c r="J4359" s="81" t="s">
        <v>224</v>
      </c>
      <c r="K4359" s="81" t="str">
        <f>IFERROR(__xludf.DUMMYFUNCTION("IF(OR(D4359="""",G4359=""""),"""",IFERROR(LET(
campo,XLOOKUP(TRIM(G4359),ARRAYFORMULA(TRIM('indice columnas'!$A$2:$A$100)),'indice columnas'!$B$2:$B$100,""""),
col,IFERROR(MATCH(campo,Referencia!$A$1:$AZ$1,0),0),
fila,IFERROR(MATCH(TO_TEXT(D4359),ARRAYFOR"&amp;"MULA(TO_TEXT(Referencia!$A$2:$A6238)),0),0),
IF(OR(campo="""",campo=""-""),""NO APLICA"",
IF(col=0,""REVISAR EQUIVALENCIA"",
IF(fila=0,""SKU NO ENCONTRADO"",
LET(
valor,INDEX(Referencia!$A$2:$AZ6238,fila,col),
IF(TRIM(TO_TEXT(valor))=TRIM(TO_TEXT(I4359)),"&amp;"
""OK"",
""NO COINCIDE. Valor verdadero: ""&amp;IF(valor="""",""[VACÍO]"",TO_TEXT(valor))
)
))))
),""ERROR EN FÓRMULA""))"),"OK")</f>
        <v>OK</v>
      </c>
    </row>
    <row r="4360">
      <c r="A4360" s="83" t="s">
        <v>4899</v>
      </c>
      <c r="B4360" s="83" t="s">
        <v>4900</v>
      </c>
      <c r="C4360" s="81" t="s">
        <v>4621</v>
      </c>
      <c r="D4360" s="83" t="s">
        <v>4149</v>
      </c>
      <c r="E4360" s="81" t="s">
        <v>554</v>
      </c>
      <c r="F4360" s="81">
        <v>73.0</v>
      </c>
      <c r="G4360" s="81" t="s">
        <v>2</v>
      </c>
      <c r="H4360" s="81" t="s">
        <v>224</v>
      </c>
      <c r="I4360" s="81" t="s">
        <v>213</v>
      </c>
      <c r="J4360" s="81" t="s">
        <v>224</v>
      </c>
      <c r="K4360" s="81" t="str">
        <f>IFERROR(__xludf.DUMMYFUNCTION("IF(OR(D4360="""",G4360=""""),"""",IFERROR(LET(
campo,XLOOKUP(TRIM(G4360),ARRAYFORMULA(TRIM('indice columnas'!$A$2:$A$100)),'indice columnas'!$B$2:$B$100,""""),
col,IFERROR(MATCH(campo,Referencia!$A$1:$AZ$1,0),0),
fila,IFERROR(MATCH(TO_TEXT(D4360),ARRAYFOR"&amp;"MULA(TO_TEXT(Referencia!$A$2:$A6238)),0),0),
IF(OR(campo="""",campo=""-""),""NO APLICA"",
IF(col=0,""REVISAR EQUIVALENCIA"",
IF(fila=0,""SKU NO ENCONTRADO"",
LET(
valor,INDEX(Referencia!$A$2:$AZ6238,fila,col),
IF(TRIM(TO_TEXT(valor))=TRIM(TO_TEXT(I4360)),"&amp;"
""OK"",
""NO COINCIDE. Valor verdadero: ""&amp;IF(valor="""",""[VACÍO]"",TO_TEXT(valor))
)
))))
),""ERROR EN FÓRMULA""))"),"OK")</f>
        <v>OK</v>
      </c>
    </row>
    <row r="4361">
      <c r="A4361" s="83" t="s">
        <v>4899</v>
      </c>
      <c r="B4361" s="83" t="s">
        <v>4900</v>
      </c>
      <c r="C4361" s="81" t="s">
        <v>4621</v>
      </c>
      <c r="D4361" s="83" t="s">
        <v>4150</v>
      </c>
      <c r="E4361" s="81" t="s">
        <v>565</v>
      </c>
      <c r="F4361" s="81">
        <v>75.0</v>
      </c>
      <c r="G4361" s="81" t="s">
        <v>3</v>
      </c>
      <c r="H4361" s="81" t="s">
        <v>224</v>
      </c>
      <c r="I4361" s="81" t="s">
        <v>344</v>
      </c>
      <c r="J4361" s="81" t="s">
        <v>224</v>
      </c>
      <c r="K4361" s="81" t="str">
        <f>IFERROR(__xludf.DUMMYFUNCTION("IF(OR(D4361="""",G4361=""""),"""",IFERROR(LET(
campo,XLOOKUP(TRIM(G4361),ARRAYFORMULA(TRIM('indice columnas'!$A$2:$A$100)),'indice columnas'!$B$2:$B$100,""""),
col,IFERROR(MATCH(campo,Referencia!$A$1:$AZ$1,0),0),
fila,IFERROR(MATCH(TO_TEXT(D4361),ARRAYFOR"&amp;"MULA(TO_TEXT(Referencia!$A$2:$A6238)),0),0),
IF(OR(campo="""",campo=""-""),""NO APLICA"",
IF(col=0,""REVISAR EQUIVALENCIA"",
IF(fila=0,""SKU NO ENCONTRADO"",
LET(
valor,INDEX(Referencia!$A$2:$AZ6238,fila,col),
IF(TRIM(TO_TEXT(valor))=TRIM(TO_TEXT(I4361)),"&amp;"
""OK"",
""NO COINCIDE. Valor verdadero: ""&amp;IF(valor="""",""[VACÍO]"",TO_TEXT(valor))
)
))))
),""ERROR EN FÓRMULA""))"),"OK")</f>
        <v>OK</v>
      </c>
    </row>
    <row r="4362">
      <c r="A4362" s="83" t="s">
        <v>4899</v>
      </c>
      <c r="B4362" s="83" t="s">
        <v>4900</v>
      </c>
      <c r="C4362" s="81" t="s">
        <v>4621</v>
      </c>
      <c r="D4362" s="83" t="s">
        <v>4150</v>
      </c>
      <c r="E4362" s="81" t="s">
        <v>565</v>
      </c>
      <c r="F4362" s="81">
        <v>75.0</v>
      </c>
      <c r="G4362" s="81" t="s">
        <v>2</v>
      </c>
      <c r="H4362" s="81" t="s">
        <v>224</v>
      </c>
      <c r="I4362" s="81" t="s">
        <v>213</v>
      </c>
      <c r="J4362" s="81" t="s">
        <v>224</v>
      </c>
      <c r="K4362" s="81" t="str">
        <f>IFERROR(__xludf.DUMMYFUNCTION("IF(OR(D4362="""",G4362=""""),"""",IFERROR(LET(
campo,XLOOKUP(TRIM(G4362),ARRAYFORMULA(TRIM('indice columnas'!$A$2:$A$100)),'indice columnas'!$B$2:$B$100,""""),
col,IFERROR(MATCH(campo,Referencia!$A$1:$AZ$1,0),0),
fila,IFERROR(MATCH(TO_TEXT(D4362),ARRAYFOR"&amp;"MULA(TO_TEXT(Referencia!$A$2:$A6238)),0),0),
IF(OR(campo="""",campo=""-""),""NO APLICA"",
IF(col=0,""REVISAR EQUIVALENCIA"",
IF(fila=0,""SKU NO ENCONTRADO"",
LET(
valor,INDEX(Referencia!$A$2:$AZ6238,fila,col),
IF(TRIM(TO_TEXT(valor))=TRIM(TO_TEXT(I4362)),"&amp;"
""OK"",
""NO COINCIDE. Valor verdadero: ""&amp;IF(valor="""",""[VACÍO]"",TO_TEXT(valor))
)
))))
),""ERROR EN FÓRMULA""))"),"OK")</f>
        <v>OK</v>
      </c>
    </row>
    <row r="4363">
      <c r="A4363" s="83" t="s">
        <v>4899</v>
      </c>
      <c r="B4363" s="83" t="s">
        <v>4900</v>
      </c>
      <c r="C4363" s="81" t="s">
        <v>4621</v>
      </c>
      <c r="D4363" s="83" t="s">
        <v>4150</v>
      </c>
      <c r="E4363" s="81" t="s">
        <v>565</v>
      </c>
      <c r="F4363" s="81">
        <v>75.0</v>
      </c>
      <c r="G4363" s="81" t="s">
        <v>1</v>
      </c>
      <c r="H4363" s="81" t="s">
        <v>224</v>
      </c>
      <c r="I4363" s="81" t="s">
        <v>49</v>
      </c>
      <c r="J4363" s="81" t="s">
        <v>224</v>
      </c>
      <c r="K4363" s="81" t="str">
        <f>IFERROR(__xludf.DUMMYFUNCTION("IF(OR(D4363="""",G4363=""""),"""",IFERROR(LET(
campo,XLOOKUP(TRIM(G4363),ARRAYFORMULA(TRIM('indice columnas'!$A$2:$A$100)),'indice columnas'!$B$2:$B$100,""""),
col,IFERROR(MATCH(campo,Referencia!$A$1:$AZ$1,0),0),
fila,IFERROR(MATCH(TO_TEXT(D4363),ARRAYFOR"&amp;"MULA(TO_TEXT(Referencia!$A$2:$A6238)),0),0),
IF(OR(campo="""",campo=""-""),""NO APLICA"",
IF(col=0,""REVISAR EQUIVALENCIA"",
IF(fila=0,""SKU NO ENCONTRADO"",
LET(
valor,INDEX(Referencia!$A$2:$AZ6238,fila,col),
IF(TRIM(TO_TEXT(valor))=TRIM(TO_TEXT(I4363)),"&amp;"
""OK"",
""NO COINCIDE. Valor verdadero: ""&amp;IF(valor="""",""[VACÍO]"",TO_TEXT(valor))
)
))))
),""ERROR EN FÓRMULA""))"),"OK")</f>
        <v>OK</v>
      </c>
    </row>
    <row r="4364">
      <c r="A4364" s="83" t="s">
        <v>4899</v>
      </c>
      <c r="B4364" s="83" t="s">
        <v>4900</v>
      </c>
      <c r="C4364" s="81" t="s">
        <v>4621</v>
      </c>
      <c r="D4364" s="83" t="s">
        <v>4151</v>
      </c>
      <c r="E4364" s="81" t="s">
        <v>567</v>
      </c>
      <c r="F4364" s="81">
        <v>76.0</v>
      </c>
      <c r="G4364" s="81" t="s">
        <v>3</v>
      </c>
      <c r="H4364" s="81" t="s">
        <v>224</v>
      </c>
      <c r="I4364" s="81" t="s">
        <v>344</v>
      </c>
      <c r="J4364" s="81" t="s">
        <v>224</v>
      </c>
      <c r="K4364" s="81" t="str">
        <f>IFERROR(__xludf.DUMMYFUNCTION("IF(OR(D4364="""",G4364=""""),"""",IFERROR(LET(
campo,XLOOKUP(TRIM(G4364),ARRAYFORMULA(TRIM('indice columnas'!$A$2:$A$100)),'indice columnas'!$B$2:$B$100,""""),
col,IFERROR(MATCH(campo,Referencia!$A$1:$AZ$1,0),0),
fila,IFERROR(MATCH(TO_TEXT(D4364),ARRAYFOR"&amp;"MULA(TO_TEXT(Referencia!$A$2:$A6238)),0),0),
IF(OR(campo="""",campo=""-""),""NO APLICA"",
IF(col=0,""REVISAR EQUIVALENCIA"",
IF(fila=0,""SKU NO ENCONTRADO"",
LET(
valor,INDEX(Referencia!$A$2:$AZ6238,fila,col),
IF(TRIM(TO_TEXT(valor))=TRIM(TO_TEXT(I4364)),"&amp;"
""OK"",
""NO COINCIDE. Valor verdadero: ""&amp;IF(valor="""",""[VACÍO]"",TO_TEXT(valor))
)
))))
),""ERROR EN FÓRMULA""))"),"OK")</f>
        <v>OK</v>
      </c>
    </row>
    <row r="4365">
      <c r="A4365" s="83" t="s">
        <v>4899</v>
      </c>
      <c r="B4365" s="83" t="s">
        <v>4900</v>
      </c>
      <c r="C4365" s="81" t="s">
        <v>4621</v>
      </c>
      <c r="D4365" s="83" t="s">
        <v>4151</v>
      </c>
      <c r="E4365" s="81" t="s">
        <v>567</v>
      </c>
      <c r="F4365" s="81">
        <v>76.0</v>
      </c>
      <c r="G4365" s="81" t="s">
        <v>2</v>
      </c>
      <c r="H4365" s="81" t="s">
        <v>224</v>
      </c>
      <c r="I4365" s="81" t="s">
        <v>213</v>
      </c>
      <c r="J4365" s="81" t="s">
        <v>224</v>
      </c>
      <c r="K4365" s="81" t="str">
        <f>IFERROR(__xludf.DUMMYFUNCTION("IF(OR(D4365="""",G4365=""""),"""",IFERROR(LET(
campo,XLOOKUP(TRIM(G4365),ARRAYFORMULA(TRIM('indice columnas'!$A$2:$A$100)),'indice columnas'!$B$2:$B$100,""""),
col,IFERROR(MATCH(campo,Referencia!$A$1:$AZ$1,0),0),
fila,IFERROR(MATCH(TO_TEXT(D4365),ARRAYFOR"&amp;"MULA(TO_TEXT(Referencia!$A$2:$A6238)),0),0),
IF(OR(campo="""",campo=""-""),""NO APLICA"",
IF(col=0,""REVISAR EQUIVALENCIA"",
IF(fila=0,""SKU NO ENCONTRADO"",
LET(
valor,INDEX(Referencia!$A$2:$AZ6238,fila,col),
IF(TRIM(TO_TEXT(valor))=TRIM(TO_TEXT(I4365)),"&amp;"
""OK"",
""NO COINCIDE. Valor verdadero: ""&amp;IF(valor="""",""[VACÍO]"",TO_TEXT(valor))
)
))))
),""ERROR EN FÓRMULA""))"),"OK")</f>
        <v>OK</v>
      </c>
    </row>
    <row r="4366">
      <c r="A4366" s="83" t="s">
        <v>4899</v>
      </c>
      <c r="B4366" s="83" t="s">
        <v>4900</v>
      </c>
      <c r="C4366" s="81" t="s">
        <v>4621</v>
      </c>
      <c r="D4366" s="83" t="s">
        <v>4151</v>
      </c>
      <c r="E4366" s="81" t="s">
        <v>567</v>
      </c>
      <c r="F4366" s="81">
        <v>76.0</v>
      </c>
      <c r="G4366" s="81" t="s">
        <v>1</v>
      </c>
      <c r="H4366" s="81" t="s">
        <v>224</v>
      </c>
      <c r="I4366" s="81" t="s">
        <v>49</v>
      </c>
      <c r="J4366" s="81" t="s">
        <v>224</v>
      </c>
      <c r="K4366" s="81" t="str">
        <f>IFERROR(__xludf.DUMMYFUNCTION("IF(OR(D4366="""",G4366=""""),"""",IFERROR(LET(
campo,XLOOKUP(TRIM(G4366),ARRAYFORMULA(TRIM('indice columnas'!$A$2:$A$100)),'indice columnas'!$B$2:$B$100,""""),
col,IFERROR(MATCH(campo,Referencia!$A$1:$AZ$1,0),0),
fila,IFERROR(MATCH(TO_TEXT(D4366),ARRAYFOR"&amp;"MULA(TO_TEXT(Referencia!$A$2:$A6238)),0),0),
IF(OR(campo="""",campo=""-""),""NO APLICA"",
IF(col=0,""REVISAR EQUIVALENCIA"",
IF(fila=0,""SKU NO ENCONTRADO"",
LET(
valor,INDEX(Referencia!$A$2:$AZ6238,fila,col),
IF(TRIM(TO_TEXT(valor))=TRIM(TO_TEXT(I4366)),"&amp;"
""OK"",
""NO COINCIDE. Valor verdadero: ""&amp;IF(valor="""",""[VACÍO]"",TO_TEXT(valor))
)
))))
),""ERROR EN FÓRMULA""))"),"OK")</f>
        <v>OK</v>
      </c>
    </row>
    <row r="4367">
      <c r="A4367" s="83" t="s">
        <v>4899</v>
      </c>
      <c r="B4367" s="83" t="s">
        <v>4900</v>
      </c>
      <c r="C4367" s="81" t="s">
        <v>4621</v>
      </c>
      <c r="D4367" s="83" t="s">
        <v>4152</v>
      </c>
      <c r="E4367" s="81" t="s">
        <v>569</v>
      </c>
      <c r="F4367" s="81">
        <v>77.0</v>
      </c>
      <c r="G4367" s="81" t="s">
        <v>3</v>
      </c>
      <c r="H4367" s="81" t="s">
        <v>224</v>
      </c>
      <c r="I4367" s="81" t="s">
        <v>344</v>
      </c>
      <c r="J4367" s="81" t="s">
        <v>224</v>
      </c>
      <c r="K4367" s="81" t="str">
        <f>IFERROR(__xludf.DUMMYFUNCTION("IF(OR(D4367="""",G4367=""""),"""",IFERROR(LET(
campo,XLOOKUP(TRIM(G4367),ARRAYFORMULA(TRIM('indice columnas'!$A$2:$A$100)),'indice columnas'!$B$2:$B$100,""""),
col,IFERROR(MATCH(campo,Referencia!$A$1:$AZ$1,0),0),
fila,IFERROR(MATCH(TO_TEXT(D4367),ARRAYFOR"&amp;"MULA(TO_TEXT(Referencia!$A$2:$A6238)),0),0),
IF(OR(campo="""",campo=""-""),""NO APLICA"",
IF(col=0,""REVISAR EQUIVALENCIA"",
IF(fila=0,""SKU NO ENCONTRADO"",
LET(
valor,INDEX(Referencia!$A$2:$AZ6238,fila,col),
IF(TRIM(TO_TEXT(valor))=TRIM(TO_TEXT(I4367)),"&amp;"
""OK"",
""NO COINCIDE. Valor verdadero: ""&amp;IF(valor="""",""[VACÍO]"",TO_TEXT(valor))
)
))))
),""ERROR EN FÓRMULA""))"),"OK")</f>
        <v>OK</v>
      </c>
    </row>
    <row r="4368">
      <c r="A4368" s="83" t="s">
        <v>4899</v>
      </c>
      <c r="B4368" s="83" t="s">
        <v>4900</v>
      </c>
      <c r="C4368" s="81" t="s">
        <v>4621</v>
      </c>
      <c r="D4368" s="83" t="s">
        <v>4152</v>
      </c>
      <c r="E4368" s="81" t="s">
        <v>569</v>
      </c>
      <c r="F4368" s="81">
        <v>77.0</v>
      </c>
      <c r="G4368" s="81" t="s">
        <v>2</v>
      </c>
      <c r="H4368" s="81" t="s">
        <v>224</v>
      </c>
      <c r="I4368" s="81" t="s">
        <v>213</v>
      </c>
      <c r="J4368" s="81" t="s">
        <v>224</v>
      </c>
      <c r="K4368" s="81" t="str">
        <f>IFERROR(__xludf.DUMMYFUNCTION("IF(OR(D4368="""",G4368=""""),"""",IFERROR(LET(
campo,XLOOKUP(TRIM(G4368),ARRAYFORMULA(TRIM('indice columnas'!$A$2:$A$100)),'indice columnas'!$B$2:$B$100,""""),
col,IFERROR(MATCH(campo,Referencia!$A$1:$AZ$1,0),0),
fila,IFERROR(MATCH(TO_TEXT(D4368),ARRAYFOR"&amp;"MULA(TO_TEXT(Referencia!$A$2:$A6238)),0),0),
IF(OR(campo="""",campo=""-""),""NO APLICA"",
IF(col=0,""REVISAR EQUIVALENCIA"",
IF(fila=0,""SKU NO ENCONTRADO"",
LET(
valor,INDEX(Referencia!$A$2:$AZ6238,fila,col),
IF(TRIM(TO_TEXT(valor))=TRIM(TO_TEXT(I4368)),"&amp;"
""OK"",
""NO COINCIDE. Valor verdadero: ""&amp;IF(valor="""",""[VACÍO]"",TO_TEXT(valor))
)
))))
),""ERROR EN FÓRMULA""))"),"OK")</f>
        <v>OK</v>
      </c>
    </row>
    <row r="4369">
      <c r="A4369" s="83" t="s">
        <v>4899</v>
      </c>
      <c r="B4369" s="83" t="s">
        <v>4900</v>
      </c>
      <c r="C4369" s="81" t="s">
        <v>4621</v>
      </c>
      <c r="D4369" s="83" t="s">
        <v>4152</v>
      </c>
      <c r="E4369" s="81" t="s">
        <v>569</v>
      </c>
      <c r="F4369" s="81">
        <v>77.0</v>
      </c>
      <c r="G4369" s="81" t="s">
        <v>1</v>
      </c>
      <c r="H4369" s="81" t="s">
        <v>224</v>
      </c>
      <c r="I4369" s="81" t="s">
        <v>49</v>
      </c>
      <c r="J4369" s="81" t="s">
        <v>224</v>
      </c>
      <c r="K4369" s="81" t="str">
        <f>IFERROR(__xludf.DUMMYFUNCTION("IF(OR(D4369="""",G4369=""""),"""",IFERROR(LET(
campo,XLOOKUP(TRIM(G4369),ARRAYFORMULA(TRIM('indice columnas'!$A$2:$A$100)),'indice columnas'!$B$2:$B$100,""""),
col,IFERROR(MATCH(campo,Referencia!$A$1:$AZ$1,0),0),
fila,IFERROR(MATCH(TO_TEXT(D4369),ARRAYFOR"&amp;"MULA(TO_TEXT(Referencia!$A$2:$A6238)),0),0),
IF(OR(campo="""",campo=""-""),""NO APLICA"",
IF(col=0,""REVISAR EQUIVALENCIA"",
IF(fila=0,""SKU NO ENCONTRADO"",
LET(
valor,INDEX(Referencia!$A$2:$AZ6238,fila,col),
IF(TRIM(TO_TEXT(valor))=TRIM(TO_TEXT(I4369)),"&amp;"
""OK"",
""NO COINCIDE. Valor verdadero: ""&amp;IF(valor="""",""[VACÍO]"",TO_TEXT(valor))
)
))))
),""ERROR EN FÓRMULA""))"),"OK")</f>
        <v>OK</v>
      </c>
    </row>
    <row r="4370">
      <c r="A4370" s="83" t="s">
        <v>4899</v>
      </c>
      <c r="B4370" s="83" t="s">
        <v>4900</v>
      </c>
      <c r="C4370" s="81" t="s">
        <v>4621</v>
      </c>
      <c r="D4370" s="83" t="s">
        <v>4153</v>
      </c>
      <c r="E4370" s="81" t="s">
        <v>571</v>
      </c>
      <c r="F4370" s="81">
        <v>78.0</v>
      </c>
      <c r="G4370" s="81" t="s">
        <v>3</v>
      </c>
      <c r="H4370" s="81" t="s">
        <v>224</v>
      </c>
      <c r="I4370" s="81" t="s">
        <v>344</v>
      </c>
      <c r="J4370" s="81" t="s">
        <v>224</v>
      </c>
      <c r="K4370" s="81" t="str">
        <f>IFERROR(__xludf.DUMMYFUNCTION("IF(OR(D4370="""",G4370=""""),"""",IFERROR(LET(
campo,XLOOKUP(TRIM(G4370),ARRAYFORMULA(TRIM('indice columnas'!$A$2:$A$100)),'indice columnas'!$B$2:$B$100,""""),
col,IFERROR(MATCH(campo,Referencia!$A$1:$AZ$1,0),0),
fila,IFERROR(MATCH(TO_TEXT(D4370),ARRAYFOR"&amp;"MULA(TO_TEXT(Referencia!$A$2:$A6238)),0),0),
IF(OR(campo="""",campo=""-""),""NO APLICA"",
IF(col=0,""REVISAR EQUIVALENCIA"",
IF(fila=0,""SKU NO ENCONTRADO"",
LET(
valor,INDEX(Referencia!$A$2:$AZ6238,fila,col),
IF(TRIM(TO_TEXT(valor))=TRIM(TO_TEXT(I4370)),"&amp;"
""OK"",
""NO COINCIDE. Valor verdadero: ""&amp;IF(valor="""",""[VACÍO]"",TO_TEXT(valor))
)
))))
),""ERROR EN FÓRMULA""))"),"OK")</f>
        <v>OK</v>
      </c>
    </row>
    <row r="4371">
      <c r="A4371" s="83" t="s">
        <v>4899</v>
      </c>
      <c r="B4371" s="83" t="s">
        <v>4900</v>
      </c>
      <c r="C4371" s="81" t="s">
        <v>4621</v>
      </c>
      <c r="D4371" s="83" t="s">
        <v>4153</v>
      </c>
      <c r="E4371" s="81" t="s">
        <v>571</v>
      </c>
      <c r="F4371" s="81">
        <v>78.0</v>
      </c>
      <c r="G4371" s="81" t="s">
        <v>2</v>
      </c>
      <c r="H4371" s="81" t="s">
        <v>224</v>
      </c>
      <c r="I4371" s="81" t="s">
        <v>213</v>
      </c>
      <c r="J4371" s="81" t="s">
        <v>224</v>
      </c>
      <c r="K4371" s="81" t="str">
        <f>IFERROR(__xludf.DUMMYFUNCTION("IF(OR(D4371="""",G4371=""""),"""",IFERROR(LET(
campo,XLOOKUP(TRIM(G4371),ARRAYFORMULA(TRIM('indice columnas'!$A$2:$A$100)),'indice columnas'!$B$2:$B$100,""""),
col,IFERROR(MATCH(campo,Referencia!$A$1:$AZ$1,0),0),
fila,IFERROR(MATCH(TO_TEXT(D4371),ARRAYFOR"&amp;"MULA(TO_TEXT(Referencia!$A$2:$A6238)),0),0),
IF(OR(campo="""",campo=""-""),""NO APLICA"",
IF(col=0,""REVISAR EQUIVALENCIA"",
IF(fila=0,""SKU NO ENCONTRADO"",
LET(
valor,INDEX(Referencia!$A$2:$AZ6238,fila,col),
IF(TRIM(TO_TEXT(valor))=TRIM(TO_TEXT(I4371)),"&amp;"
""OK"",
""NO COINCIDE. Valor verdadero: ""&amp;IF(valor="""",""[VACÍO]"",TO_TEXT(valor))
)
))))
),""ERROR EN FÓRMULA""))"),"OK")</f>
        <v>OK</v>
      </c>
    </row>
    <row r="4372">
      <c r="A4372" s="83" t="s">
        <v>4899</v>
      </c>
      <c r="B4372" s="83" t="s">
        <v>4900</v>
      </c>
      <c r="C4372" s="81" t="s">
        <v>4621</v>
      </c>
      <c r="D4372" s="83" t="s">
        <v>4155</v>
      </c>
      <c r="E4372" s="81" t="s">
        <v>581</v>
      </c>
      <c r="F4372" s="81">
        <v>80.0</v>
      </c>
      <c r="G4372" s="81" t="s">
        <v>3</v>
      </c>
      <c r="H4372" s="81" t="s">
        <v>224</v>
      </c>
      <c r="I4372" s="81" t="s">
        <v>344</v>
      </c>
      <c r="J4372" s="81" t="s">
        <v>224</v>
      </c>
      <c r="K4372" s="81" t="str">
        <f>IFERROR(__xludf.DUMMYFUNCTION("IF(OR(D4372="""",G4372=""""),"""",IFERROR(LET(
campo,XLOOKUP(TRIM(G4372),ARRAYFORMULA(TRIM('indice columnas'!$A$2:$A$100)),'indice columnas'!$B$2:$B$100,""""),
col,IFERROR(MATCH(campo,Referencia!$A$1:$AZ$1,0),0),
fila,IFERROR(MATCH(TO_TEXT(D4372),ARRAYFOR"&amp;"MULA(TO_TEXT(Referencia!$A$2:$A6238)),0),0),
IF(OR(campo="""",campo=""-""),""NO APLICA"",
IF(col=0,""REVISAR EQUIVALENCIA"",
IF(fila=0,""SKU NO ENCONTRADO"",
LET(
valor,INDEX(Referencia!$A$2:$AZ6238,fila,col),
IF(TRIM(TO_TEXT(valor))=TRIM(TO_TEXT(I4372)),"&amp;"
""OK"",
""NO COINCIDE. Valor verdadero: ""&amp;IF(valor="""",""[VACÍO]"",TO_TEXT(valor))
)
))))
),""ERROR EN FÓRMULA""))"),"OK")</f>
        <v>OK</v>
      </c>
    </row>
    <row r="4373">
      <c r="A4373" s="83" t="s">
        <v>4899</v>
      </c>
      <c r="B4373" s="83" t="s">
        <v>4900</v>
      </c>
      <c r="C4373" s="81" t="s">
        <v>4621</v>
      </c>
      <c r="D4373" s="83" t="s">
        <v>4155</v>
      </c>
      <c r="E4373" s="81" t="s">
        <v>581</v>
      </c>
      <c r="F4373" s="81">
        <v>80.0</v>
      </c>
      <c r="G4373" s="81" t="s">
        <v>2</v>
      </c>
      <c r="H4373" s="81" t="s">
        <v>224</v>
      </c>
      <c r="I4373" s="81" t="s">
        <v>213</v>
      </c>
      <c r="J4373" s="81" t="s">
        <v>224</v>
      </c>
      <c r="K4373" s="81" t="str">
        <f>IFERROR(__xludf.DUMMYFUNCTION("IF(OR(D4373="""",G4373=""""),"""",IFERROR(LET(
campo,XLOOKUP(TRIM(G4373),ARRAYFORMULA(TRIM('indice columnas'!$A$2:$A$100)),'indice columnas'!$B$2:$B$100,""""),
col,IFERROR(MATCH(campo,Referencia!$A$1:$AZ$1,0),0),
fila,IFERROR(MATCH(TO_TEXT(D4373),ARRAYFOR"&amp;"MULA(TO_TEXT(Referencia!$A$2:$A6238)),0),0),
IF(OR(campo="""",campo=""-""),""NO APLICA"",
IF(col=0,""REVISAR EQUIVALENCIA"",
IF(fila=0,""SKU NO ENCONTRADO"",
LET(
valor,INDEX(Referencia!$A$2:$AZ6238,fila,col),
IF(TRIM(TO_TEXT(valor))=TRIM(TO_TEXT(I4373)),"&amp;"
""OK"",
""NO COINCIDE. Valor verdadero: ""&amp;IF(valor="""",""[VACÍO]"",TO_TEXT(valor))
)
))))
),""ERROR EN FÓRMULA""))"),"OK")</f>
        <v>OK</v>
      </c>
    </row>
    <row r="4374">
      <c r="A4374" s="83" t="s">
        <v>4899</v>
      </c>
      <c r="B4374" s="83" t="s">
        <v>4900</v>
      </c>
      <c r="C4374" s="81" t="s">
        <v>4621</v>
      </c>
      <c r="D4374" s="83" t="s">
        <v>4156</v>
      </c>
      <c r="E4374" s="81" t="s">
        <v>583</v>
      </c>
      <c r="F4374" s="81">
        <v>81.0</v>
      </c>
      <c r="G4374" s="81" t="s">
        <v>3</v>
      </c>
      <c r="H4374" s="81" t="s">
        <v>224</v>
      </c>
      <c r="I4374" s="81" t="s">
        <v>344</v>
      </c>
      <c r="J4374" s="81" t="s">
        <v>224</v>
      </c>
      <c r="K4374" s="81" t="str">
        <f>IFERROR(__xludf.DUMMYFUNCTION("IF(OR(D4374="""",G4374=""""),"""",IFERROR(LET(
campo,XLOOKUP(TRIM(G4374),ARRAYFORMULA(TRIM('indice columnas'!$A$2:$A$100)),'indice columnas'!$B$2:$B$100,""""),
col,IFERROR(MATCH(campo,Referencia!$A$1:$AZ$1,0),0),
fila,IFERROR(MATCH(TO_TEXT(D4374),ARRAYFOR"&amp;"MULA(TO_TEXT(Referencia!$A$2:$A6238)),0),0),
IF(OR(campo="""",campo=""-""),""NO APLICA"",
IF(col=0,""REVISAR EQUIVALENCIA"",
IF(fila=0,""SKU NO ENCONTRADO"",
LET(
valor,INDEX(Referencia!$A$2:$AZ6238,fila,col),
IF(TRIM(TO_TEXT(valor))=TRIM(TO_TEXT(I4374)),"&amp;"
""OK"",
""NO COINCIDE. Valor verdadero: ""&amp;IF(valor="""",""[VACÍO]"",TO_TEXT(valor))
)
))))
),""ERROR EN FÓRMULA""))"),"OK")</f>
        <v>OK</v>
      </c>
    </row>
    <row r="4375">
      <c r="A4375" s="83" t="s">
        <v>4899</v>
      </c>
      <c r="B4375" s="83" t="s">
        <v>4900</v>
      </c>
      <c r="C4375" s="81" t="s">
        <v>4621</v>
      </c>
      <c r="D4375" s="83" t="s">
        <v>4156</v>
      </c>
      <c r="E4375" s="81" t="s">
        <v>583</v>
      </c>
      <c r="F4375" s="81">
        <v>81.0</v>
      </c>
      <c r="G4375" s="81" t="s">
        <v>2</v>
      </c>
      <c r="H4375" s="81" t="s">
        <v>224</v>
      </c>
      <c r="I4375" s="81" t="s">
        <v>213</v>
      </c>
      <c r="J4375" s="81" t="s">
        <v>224</v>
      </c>
      <c r="K4375" s="81" t="str">
        <f>IFERROR(__xludf.DUMMYFUNCTION("IF(OR(D4375="""",G4375=""""),"""",IFERROR(LET(
campo,XLOOKUP(TRIM(G4375),ARRAYFORMULA(TRIM('indice columnas'!$A$2:$A$100)),'indice columnas'!$B$2:$B$100,""""),
col,IFERROR(MATCH(campo,Referencia!$A$1:$AZ$1,0),0),
fila,IFERROR(MATCH(TO_TEXT(D4375),ARRAYFOR"&amp;"MULA(TO_TEXT(Referencia!$A$2:$A6238)),0),0),
IF(OR(campo="""",campo=""-""),""NO APLICA"",
IF(col=0,""REVISAR EQUIVALENCIA"",
IF(fila=0,""SKU NO ENCONTRADO"",
LET(
valor,INDEX(Referencia!$A$2:$AZ6238,fila,col),
IF(TRIM(TO_TEXT(valor))=TRIM(TO_TEXT(I4375)),"&amp;"
""OK"",
""NO COINCIDE. Valor verdadero: ""&amp;IF(valor="""",""[VACÍO]"",TO_TEXT(valor))
)
))))
),""ERROR EN FÓRMULA""))"),"OK")</f>
        <v>OK</v>
      </c>
    </row>
    <row r="4376">
      <c r="A4376" s="83" t="s">
        <v>4899</v>
      </c>
      <c r="B4376" s="83" t="s">
        <v>4900</v>
      </c>
      <c r="C4376" s="81" t="s">
        <v>4621</v>
      </c>
      <c r="D4376" s="83" t="s">
        <v>4157</v>
      </c>
      <c r="E4376" s="81" t="s">
        <v>585</v>
      </c>
      <c r="F4376" s="81">
        <v>82.0</v>
      </c>
      <c r="G4376" s="81" t="s">
        <v>3</v>
      </c>
      <c r="H4376" s="81" t="s">
        <v>224</v>
      </c>
      <c r="I4376" s="81" t="s">
        <v>344</v>
      </c>
      <c r="J4376" s="81" t="s">
        <v>224</v>
      </c>
      <c r="K4376" s="81" t="str">
        <f>IFERROR(__xludf.DUMMYFUNCTION("IF(OR(D4376="""",G4376=""""),"""",IFERROR(LET(
campo,XLOOKUP(TRIM(G4376),ARRAYFORMULA(TRIM('indice columnas'!$A$2:$A$100)),'indice columnas'!$B$2:$B$100,""""),
col,IFERROR(MATCH(campo,Referencia!$A$1:$AZ$1,0),0),
fila,IFERROR(MATCH(TO_TEXT(D4376),ARRAYFOR"&amp;"MULA(TO_TEXT(Referencia!$A$2:$A6238)),0),0),
IF(OR(campo="""",campo=""-""),""NO APLICA"",
IF(col=0,""REVISAR EQUIVALENCIA"",
IF(fila=0,""SKU NO ENCONTRADO"",
LET(
valor,INDEX(Referencia!$A$2:$AZ6238,fila,col),
IF(TRIM(TO_TEXT(valor))=TRIM(TO_TEXT(I4376)),"&amp;"
""OK"",
""NO COINCIDE. Valor verdadero: ""&amp;IF(valor="""",""[VACÍO]"",TO_TEXT(valor))
)
))))
),""ERROR EN FÓRMULA""))"),"OK")</f>
        <v>OK</v>
      </c>
    </row>
    <row r="4377">
      <c r="A4377" s="83" t="s">
        <v>4899</v>
      </c>
      <c r="B4377" s="83" t="s">
        <v>4900</v>
      </c>
      <c r="C4377" s="81" t="s">
        <v>4621</v>
      </c>
      <c r="D4377" s="83" t="s">
        <v>4157</v>
      </c>
      <c r="E4377" s="81" t="s">
        <v>585</v>
      </c>
      <c r="F4377" s="81">
        <v>82.0</v>
      </c>
      <c r="G4377" s="81" t="s">
        <v>2</v>
      </c>
      <c r="H4377" s="81" t="s">
        <v>224</v>
      </c>
      <c r="I4377" s="81" t="s">
        <v>213</v>
      </c>
      <c r="J4377" s="81" t="s">
        <v>224</v>
      </c>
      <c r="K4377" s="81" t="str">
        <f>IFERROR(__xludf.DUMMYFUNCTION("IF(OR(D4377="""",G4377=""""),"""",IFERROR(LET(
campo,XLOOKUP(TRIM(G4377),ARRAYFORMULA(TRIM('indice columnas'!$A$2:$A$100)),'indice columnas'!$B$2:$B$100,""""),
col,IFERROR(MATCH(campo,Referencia!$A$1:$AZ$1,0),0),
fila,IFERROR(MATCH(TO_TEXT(D4377),ARRAYFOR"&amp;"MULA(TO_TEXT(Referencia!$A$2:$A6238)),0),0),
IF(OR(campo="""",campo=""-""),""NO APLICA"",
IF(col=0,""REVISAR EQUIVALENCIA"",
IF(fila=0,""SKU NO ENCONTRADO"",
LET(
valor,INDEX(Referencia!$A$2:$AZ6238,fila,col),
IF(TRIM(TO_TEXT(valor))=TRIM(TO_TEXT(I4377)),"&amp;"
""OK"",
""NO COINCIDE. Valor verdadero: ""&amp;IF(valor="""",""[VACÍO]"",TO_TEXT(valor))
)
))))
),""ERROR EN FÓRMULA""))"),"OK")</f>
        <v>OK</v>
      </c>
    </row>
    <row r="4378">
      <c r="A4378" s="83" t="s">
        <v>4899</v>
      </c>
      <c r="B4378" s="83" t="s">
        <v>4900</v>
      </c>
      <c r="C4378" s="81" t="s">
        <v>4621</v>
      </c>
      <c r="D4378" s="83" t="s">
        <v>4158</v>
      </c>
      <c r="E4378" s="81" t="s">
        <v>589</v>
      </c>
      <c r="F4378" s="81">
        <v>83.0</v>
      </c>
      <c r="G4378" s="81" t="s">
        <v>3</v>
      </c>
      <c r="H4378" s="81" t="s">
        <v>224</v>
      </c>
      <c r="I4378" s="81" t="s">
        <v>344</v>
      </c>
      <c r="J4378" s="81" t="s">
        <v>224</v>
      </c>
      <c r="K4378" s="81" t="str">
        <f>IFERROR(__xludf.DUMMYFUNCTION("IF(OR(D4378="""",G4378=""""),"""",IFERROR(LET(
campo,XLOOKUP(TRIM(G4378),ARRAYFORMULA(TRIM('indice columnas'!$A$2:$A$100)),'indice columnas'!$B$2:$B$100,""""),
col,IFERROR(MATCH(campo,Referencia!$A$1:$AZ$1,0),0),
fila,IFERROR(MATCH(TO_TEXT(D4378),ARRAYFOR"&amp;"MULA(TO_TEXT(Referencia!$A$2:$A6238)),0),0),
IF(OR(campo="""",campo=""-""),""NO APLICA"",
IF(col=0,""REVISAR EQUIVALENCIA"",
IF(fila=0,""SKU NO ENCONTRADO"",
LET(
valor,INDEX(Referencia!$A$2:$AZ6238,fila,col),
IF(TRIM(TO_TEXT(valor))=TRIM(TO_TEXT(I4378)),"&amp;"
""OK"",
""NO COINCIDE. Valor verdadero: ""&amp;IF(valor="""",""[VACÍO]"",TO_TEXT(valor))
)
))))
),""ERROR EN FÓRMULA""))"),"OK")</f>
        <v>OK</v>
      </c>
    </row>
    <row r="4379">
      <c r="A4379" s="83" t="s">
        <v>4899</v>
      </c>
      <c r="B4379" s="83" t="s">
        <v>4900</v>
      </c>
      <c r="C4379" s="81" t="s">
        <v>4621</v>
      </c>
      <c r="D4379" s="83" t="s">
        <v>4158</v>
      </c>
      <c r="E4379" s="81" t="s">
        <v>589</v>
      </c>
      <c r="F4379" s="81">
        <v>83.0</v>
      </c>
      <c r="G4379" s="81" t="s">
        <v>2</v>
      </c>
      <c r="H4379" s="81" t="s">
        <v>224</v>
      </c>
      <c r="I4379" s="81" t="s">
        <v>213</v>
      </c>
      <c r="J4379" s="81" t="s">
        <v>224</v>
      </c>
      <c r="K4379" s="81" t="str">
        <f>IFERROR(__xludf.DUMMYFUNCTION("IF(OR(D4379="""",G4379=""""),"""",IFERROR(LET(
campo,XLOOKUP(TRIM(G4379),ARRAYFORMULA(TRIM('indice columnas'!$A$2:$A$100)),'indice columnas'!$B$2:$B$100,""""),
col,IFERROR(MATCH(campo,Referencia!$A$1:$AZ$1,0),0),
fila,IFERROR(MATCH(TO_TEXT(D4379),ARRAYFOR"&amp;"MULA(TO_TEXT(Referencia!$A$2:$A6238)),0),0),
IF(OR(campo="""",campo=""-""),""NO APLICA"",
IF(col=0,""REVISAR EQUIVALENCIA"",
IF(fila=0,""SKU NO ENCONTRADO"",
LET(
valor,INDEX(Referencia!$A$2:$AZ6238,fila,col),
IF(TRIM(TO_TEXT(valor))=TRIM(TO_TEXT(I4379)),"&amp;"
""OK"",
""NO COINCIDE. Valor verdadero: ""&amp;IF(valor="""",""[VACÍO]"",TO_TEXT(valor))
)
))))
),""ERROR EN FÓRMULA""))"),"OK")</f>
        <v>OK</v>
      </c>
    </row>
    <row r="4380">
      <c r="A4380" s="83" t="s">
        <v>4899</v>
      </c>
      <c r="B4380" s="83" t="s">
        <v>4900</v>
      </c>
      <c r="C4380" s="81" t="s">
        <v>4621</v>
      </c>
      <c r="D4380" s="83" t="s">
        <v>4159</v>
      </c>
      <c r="E4380" s="81" t="s">
        <v>591</v>
      </c>
      <c r="F4380" s="81">
        <v>84.0</v>
      </c>
      <c r="G4380" s="81" t="s">
        <v>3</v>
      </c>
      <c r="H4380" s="81" t="s">
        <v>224</v>
      </c>
      <c r="I4380" s="81" t="s">
        <v>344</v>
      </c>
      <c r="J4380" s="81" t="s">
        <v>224</v>
      </c>
      <c r="K4380" s="81" t="str">
        <f>IFERROR(__xludf.DUMMYFUNCTION("IF(OR(D4380="""",G4380=""""),"""",IFERROR(LET(
campo,XLOOKUP(TRIM(G4380),ARRAYFORMULA(TRIM('indice columnas'!$A$2:$A$100)),'indice columnas'!$B$2:$B$100,""""),
col,IFERROR(MATCH(campo,Referencia!$A$1:$AZ$1,0),0),
fila,IFERROR(MATCH(TO_TEXT(D4380),ARRAYFOR"&amp;"MULA(TO_TEXT(Referencia!$A$2:$A6238)),0),0),
IF(OR(campo="""",campo=""-""),""NO APLICA"",
IF(col=0,""REVISAR EQUIVALENCIA"",
IF(fila=0,""SKU NO ENCONTRADO"",
LET(
valor,INDEX(Referencia!$A$2:$AZ6238,fila,col),
IF(TRIM(TO_TEXT(valor))=TRIM(TO_TEXT(I4380)),"&amp;"
""OK"",
""NO COINCIDE. Valor verdadero: ""&amp;IF(valor="""",""[VACÍO]"",TO_TEXT(valor))
)
))))
),""ERROR EN FÓRMULA""))"),"OK")</f>
        <v>OK</v>
      </c>
    </row>
    <row r="4381">
      <c r="A4381" s="83" t="s">
        <v>4899</v>
      </c>
      <c r="B4381" s="83" t="s">
        <v>4900</v>
      </c>
      <c r="C4381" s="81" t="s">
        <v>4621</v>
      </c>
      <c r="D4381" s="83" t="s">
        <v>4159</v>
      </c>
      <c r="E4381" s="81" t="s">
        <v>591</v>
      </c>
      <c r="F4381" s="81">
        <v>84.0</v>
      </c>
      <c r="G4381" s="81" t="s">
        <v>2</v>
      </c>
      <c r="H4381" s="81" t="s">
        <v>224</v>
      </c>
      <c r="I4381" s="81" t="s">
        <v>213</v>
      </c>
      <c r="J4381" s="81" t="s">
        <v>224</v>
      </c>
      <c r="K4381" s="81" t="str">
        <f>IFERROR(__xludf.DUMMYFUNCTION("IF(OR(D4381="""",G4381=""""),"""",IFERROR(LET(
campo,XLOOKUP(TRIM(G4381),ARRAYFORMULA(TRIM('indice columnas'!$A$2:$A$100)),'indice columnas'!$B$2:$B$100,""""),
col,IFERROR(MATCH(campo,Referencia!$A$1:$AZ$1,0),0),
fila,IFERROR(MATCH(TO_TEXT(D4381),ARRAYFOR"&amp;"MULA(TO_TEXT(Referencia!$A$2:$A6238)),0),0),
IF(OR(campo="""",campo=""-""),""NO APLICA"",
IF(col=0,""REVISAR EQUIVALENCIA"",
IF(fila=0,""SKU NO ENCONTRADO"",
LET(
valor,INDEX(Referencia!$A$2:$AZ6238,fila,col),
IF(TRIM(TO_TEXT(valor))=TRIM(TO_TEXT(I4381)),"&amp;"
""OK"",
""NO COINCIDE. Valor verdadero: ""&amp;IF(valor="""",""[VACÍO]"",TO_TEXT(valor))
)
))))
),""ERROR EN FÓRMULA""))"),"OK")</f>
        <v>OK</v>
      </c>
    </row>
    <row r="4382">
      <c r="A4382" s="83" t="s">
        <v>4899</v>
      </c>
      <c r="B4382" s="83" t="s">
        <v>4900</v>
      </c>
      <c r="C4382" s="81" t="s">
        <v>4621</v>
      </c>
      <c r="D4382" s="83" t="s">
        <v>4160</v>
      </c>
      <c r="E4382" s="81" t="s">
        <v>593</v>
      </c>
      <c r="F4382" s="81">
        <v>85.0</v>
      </c>
      <c r="G4382" s="81" t="s">
        <v>3</v>
      </c>
      <c r="H4382" s="81" t="s">
        <v>376</v>
      </c>
      <c r="I4382" s="81" t="s">
        <v>344</v>
      </c>
      <c r="J4382" s="81" t="s">
        <v>224</v>
      </c>
      <c r="K4382" s="81" t="str">
        <f>IFERROR(__xludf.DUMMYFUNCTION("IF(OR(D4382="""",G4382=""""),"""",IFERROR(LET(
campo,XLOOKUP(TRIM(G4382),ARRAYFORMULA(TRIM('indice columnas'!$A$2:$A$100)),'indice columnas'!$B$2:$B$100,""""),
col,IFERROR(MATCH(campo,Referencia!$A$1:$AZ$1,0),0),
fila,IFERROR(MATCH(TO_TEXT(D4382),ARRAYFOR"&amp;"MULA(TO_TEXT(Referencia!$A$2:$A6238)),0),0),
IF(OR(campo="""",campo=""-""),""NO APLICA"",
IF(col=0,""REVISAR EQUIVALENCIA"",
IF(fila=0,""SKU NO ENCONTRADO"",
LET(
valor,INDEX(Referencia!$A$2:$AZ6238,fila,col),
IF(TRIM(TO_TEXT(valor))=TRIM(TO_TEXT(I4382)),"&amp;"
""OK"",
""NO COINCIDE. Valor verdadero: ""&amp;IF(valor="""",""[VACÍO]"",TO_TEXT(valor))
)
))))
),""ERROR EN FÓRMULA""))"),"OK")</f>
        <v>OK</v>
      </c>
    </row>
    <row r="4383">
      <c r="A4383" s="83" t="s">
        <v>4899</v>
      </c>
      <c r="B4383" s="83" t="s">
        <v>4900</v>
      </c>
      <c r="C4383" s="81" t="s">
        <v>4621</v>
      </c>
      <c r="D4383" s="83" t="s">
        <v>4162</v>
      </c>
      <c r="E4383" s="81" t="s">
        <v>604</v>
      </c>
      <c r="F4383" s="81">
        <v>87.0</v>
      </c>
      <c r="G4383" s="81" t="s">
        <v>3</v>
      </c>
      <c r="H4383" s="81" t="s">
        <v>224</v>
      </c>
      <c r="I4383" s="81" t="s">
        <v>344</v>
      </c>
      <c r="J4383" s="81" t="s">
        <v>224</v>
      </c>
      <c r="K4383" s="81" t="str">
        <f>IFERROR(__xludf.DUMMYFUNCTION("IF(OR(D4383="""",G4383=""""),"""",IFERROR(LET(
campo,XLOOKUP(TRIM(G4383),ARRAYFORMULA(TRIM('indice columnas'!$A$2:$A$100)),'indice columnas'!$B$2:$B$100,""""),
col,IFERROR(MATCH(campo,Referencia!$A$1:$AZ$1,0),0),
fila,IFERROR(MATCH(TO_TEXT(D4383),ARRAYFOR"&amp;"MULA(TO_TEXT(Referencia!$A$2:$A6238)),0),0),
IF(OR(campo="""",campo=""-""),""NO APLICA"",
IF(col=0,""REVISAR EQUIVALENCIA"",
IF(fila=0,""SKU NO ENCONTRADO"",
LET(
valor,INDEX(Referencia!$A$2:$AZ6238,fila,col),
IF(TRIM(TO_TEXT(valor))=TRIM(TO_TEXT(I4383)),"&amp;"
""OK"",
""NO COINCIDE. Valor verdadero: ""&amp;IF(valor="""",""[VACÍO]"",TO_TEXT(valor))
)
))))
),""ERROR EN FÓRMULA""))"),"OK")</f>
        <v>OK</v>
      </c>
    </row>
    <row r="4384">
      <c r="A4384" s="83" t="s">
        <v>4899</v>
      </c>
      <c r="B4384" s="83" t="s">
        <v>4900</v>
      </c>
      <c r="C4384" s="81" t="s">
        <v>4621</v>
      </c>
      <c r="D4384" s="83" t="s">
        <v>4162</v>
      </c>
      <c r="E4384" s="81" t="s">
        <v>604</v>
      </c>
      <c r="F4384" s="81">
        <v>87.0</v>
      </c>
      <c r="G4384" s="81" t="s">
        <v>2</v>
      </c>
      <c r="H4384" s="81" t="s">
        <v>224</v>
      </c>
      <c r="I4384" s="81" t="s">
        <v>213</v>
      </c>
      <c r="J4384" s="81" t="s">
        <v>224</v>
      </c>
      <c r="K4384" s="81" t="str">
        <f>IFERROR(__xludf.DUMMYFUNCTION("IF(OR(D4384="""",G4384=""""),"""",IFERROR(LET(
campo,XLOOKUP(TRIM(G4384),ARRAYFORMULA(TRIM('indice columnas'!$A$2:$A$100)),'indice columnas'!$B$2:$B$100,""""),
col,IFERROR(MATCH(campo,Referencia!$A$1:$AZ$1,0),0),
fila,IFERROR(MATCH(TO_TEXT(D4384),ARRAYFOR"&amp;"MULA(TO_TEXT(Referencia!$A$2:$A6238)),0),0),
IF(OR(campo="""",campo=""-""),""NO APLICA"",
IF(col=0,""REVISAR EQUIVALENCIA"",
IF(fila=0,""SKU NO ENCONTRADO"",
LET(
valor,INDEX(Referencia!$A$2:$AZ6238,fila,col),
IF(TRIM(TO_TEXT(valor))=TRIM(TO_TEXT(I4384)),"&amp;"
""OK"",
""NO COINCIDE. Valor verdadero: ""&amp;IF(valor="""",""[VACÍO]"",TO_TEXT(valor))
)
))))
),""ERROR EN FÓRMULA""))"),"OK")</f>
        <v>OK</v>
      </c>
    </row>
    <row r="4385">
      <c r="A4385" s="83" t="s">
        <v>4899</v>
      </c>
      <c r="B4385" s="83" t="s">
        <v>4900</v>
      </c>
      <c r="C4385" s="81" t="s">
        <v>4621</v>
      </c>
      <c r="D4385" s="83" t="s">
        <v>4163</v>
      </c>
      <c r="E4385" s="81" t="s">
        <v>605</v>
      </c>
      <c r="F4385" s="81">
        <v>88.0</v>
      </c>
      <c r="G4385" s="81" t="s">
        <v>3</v>
      </c>
      <c r="H4385" s="81" t="s">
        <v>224</v>
      </c>
      <c r="I4385" s="81" t="s">
        <v>344</v>
      </c>
      <c r="J4385" s="81" t="s">
        <v>224</v>
      </c>
      <c r="K4385" s="81" t="str">
        <f>IFERROR(__xludf.DUMMYFUNCTION("IF(OR(D4385="""",G4385=""""),"""",IFERROR(LET(
campo,XLOOKUP(TRIM(G4385),ARRAYFORMULA(TRIM('indice columnas'!$A$2:$A$100)),'indice columnas'!$B$2:$B$100,""""),
col,IFERROR(MATCH(campo,Referencia!$A$1:$AZ$1,0),0),
fila,IFERROR(MATCH(TO_TEXT(D4385),ARRAYFOR"&amp;"MULA(TO_TEXT(Referencia!$A$2:$A6238)),0),0),
IF(OR(campo="""",campo=""-""),""NO APLICA"",
IF(col=0,""REVISAR EQUIVALENCIA"",
IF(fila=0,""SKU NO ENCONTRADO"",
LET(
valor,INDEX(Referencia!$A$2:$AZ6238,fila,col),
IF(TRIM(TO_TEXT(valor))=TRIM(TO_TEXT(I4385)),"&amp;"
""OK"",
""NO COINCIDE. Valor verdadero: ""&amp;IF(valor="""",""[VACÍO]"",TO_TEXT(valor))
)
))))
),""ERROR EN FÓRMULA""))"),"OK")</f>
        <v>OK</v>
      </c>
    </row>
    <row r="4386">
      <c r="A4386" s="83" t="s">
        <v>4899</v>
      </c>
      <c r="B4386" s="83" t="s">
        <v>4900</v>
      </c>
      <c r="C4386" s="81" t="s">
        <v>4621</v>
      </c>
      <c r="D4386" s="83" t="s">
        <v>4163</v>
      </c>
      <c r="E4386" s="81" t="s">
        <v>605</v>
      </c>
      <c r="F4386" s="81">
        <v>88.0</v>
      </c>
      <c r="G4386" s="81" t="s">
        <v>2</v>
      </c>
      <c r="H4386" s="81" t="s">
        <v>224</v>
      </c>
      <c r="I4386" s="81" t="s">
        <v>213</v>
      </c>
      <c r="J4386" s="81" t="s">
        <v>224</v>
      </c>
      <c r="K4386" s="81" t="str">
        <f>IFERROR(__xludf.DUMMYFUNCTION("IF(OR(D4386="""",G4386=""""),"""",IFERROR(LET(
campo,XLOOKUP(TRIM(G4386),ARRAYFORMULA(TRIM('indice columnas'!$A$2:$A$100)),'indice columnas'!$B$2:$B$100,""""),
col,IFERROR(MATCH(campo,Referencia!$A$1:$AZ$1,0),0),
fila,IFERROR(MATCH(TO_TEXT(D4386),ARRAYFOR"&amp;"MULA(TO_TEXT(Referencia!$A$2:$A6238)),0),0),
IF(OR(campo="""",campo=""-""),""NO APLICA"",
IF(col=0,""REVISAR EQUIVALENCIA"",
IF(fila=0,""SKU NO ENCONTRADO"",
LET(
valor,INDEX(Referencia!$A$2:$AZ6238,fila,col),
IF(TRIM(TO_TEXT(valor))=TRIM(TO_TEXT(I4386)),"&amp;"
""OK"",
""NO COINCIDE. Valor verdadero: ""&amp;IF(valor="""",""[VACÍO]"",TO_TEXT(valor))
)
))))
),""ERROR EN FÓRMULA""))"),"OK")</f>
        <v>OK</v>
      </c>
    </row>
    <row r="4387">
      <c r="A4387" s="83" t="s">
        <v>4899</v>
      </c>
      <c r="B4387" s="83" t="s">
        <v>4900</v>
      </c>
      <c r="C4387" s="81" t="s">
        <v>4621</v>
      </c>
      <c r="D4387" s="83" t="s">
        <v>4165</v>
      </c>
      <c r="E4387" s="81" t="s">
        <v>615</v>
      </c>
      <c r="F4387" s="81">
        <v>90.0</v>
      </c>
      <c r="G4387" s="81" t="s">
        <v>3</v>
      </c>
      <c r="H4387" s="81" t="s">
        <v>224</v>
      </c>
      <c r="I4387" s="81" t="s">
        <v>344</v>
      </c>
      <c r="J4387" s="81" t="s">
        <v>224</v>
      </c>
      <c r="K4387" s="81" t="str">
        <f>IFERROR(__xludf.DUMMYFUNCTION("IF(OR(D4387="""",G4387=""""),"""",IFERROR(LET(
campo,XLOOKUP(TRIM(G4387),ARRAYFORMULA(TRIM('indice columnas'!$A$2:$A$100)),'indice columnas'!$B$2:$B$100,""""),
col,IFERROR(MATCH(campo,Referencia!$A$1:$AZ$1,0),0),
fila,IFERROR(MATCH(TO_TEXT(D4387),ARRAYFOR"&amp;"MULA(TO_TEXT(Referencia!$A$2:$A6238)),0),0),
IF(OR(campo="""",campo=""-""),""NO APLICA"",
IF(col=0,""REVISAR EQUIVALENCIA"",
IF(fila=0,""SKU NO ENCONTRADO"",
LET(
valor,INDEX(Referencia!$A$2:$AZ6238,fila,col),
IF(TRIM(TO_TEXT(valor))=TRIM(TO_TEXT(I4387)),"&amp;"
""OK"",
""NO COINCIDE. Valor verdadero: ""&amp;IF(valor="""",""[VACÍO]"",TO_TEXT(valor))
)
))))
),""ERROR EN FÓRMULA""))"),"OK")</f>
        <v>OK</v>
      </c>
    </row>
    <row r="4388">
      <c r="A4388" s="83" t="s">
        <v>4899</v>
      </c>
      <c r="B4388" s="83" t="s">
        <v>4900</v>
      </c>
      <c r="C4388" s="81" t="s">
        <v>4621</v>
      </c>
      <c r="D4388" s="83" t="s">
        <v>4165</v>
      </c>
      <c r="E4388" s="81" t="s">
        <v>615</v>
      </c>
      <c r="F4388" s="81">
        <v>90.0</v>
      </c>
      <c r="G4388" s="81" t="s">
        <v>2</v>
      </c>
      <c r="H4388" s="81" t="s">
        <v>224</v>
      </c>
      <c r="I4388" s="81" t="s">
        <v>213</v>
      </c>
      <c r="J4388" s="81" t="s">
        <v>224</v>
      </c>
      <c r="K4388" s="81" t="str">
        <f>IFERROR(__xludf.DUMMYFUNCTION("IF(OR(D4388="""",G4388=""""),"""",IFERROR(LET(
campo,XLOOKUP(TRIM(G4388),ARRAYFORMULA(TRIM('indice columnas'!$A$2:$A$100)),'indice columnas'!$B$2:$B$100,""""),
col,IFERROR(MATCH(campo,Referencia!$A$1:$AZ$1,0),0),
fila,IFERROR(MATCH(TO_TEXT(D4388),ARRAYFOR"&amp;"MULA(TO_TEXT(Referencia!$A$2:$A6238)),0),0),
IF(OR(campo="""",campo=""-""),""NO APLICA"",
IF(col=0,""REVISAR EQUIVALENCIA"",
IF(fila=0,""SKU NO ENCONTRADO"",
LET(
valor,INDEX(Referencia!$A$2:$AZ6238,fila,col),
IF(TRIM(TO_TEXT(valor))=TRIM(TO_TEXT(I4388)),"&amp;"
""OK"",
""NO COINCIDE. Valor verdadero: ""&amp;IF(valor="""",""[VACÍO]"",TO_TEXT(valor))
)
))))
),""ERROR EN FÓRMULA""))"),"OK")</f>
        <v>OK</v>
      </c>
    </row>
    <row r="4389">
      <c r="A4389" s="83" t="s">
        <v>4899</v>
      </c>
      <c r="B4389" s="83" t="s">
        <v>4900</v>
      </c>
      <c r="C4389" s="81" t="s">
        <v>4621</v>
      </c>
      <c r="D4389" s="83" t="s">
        <v>4165</v>
      </c>
      <c r="E4389" s="81" t="s">
        <v>615</v>
      </c>
      <c r="F4389" s="81">
        <v>90.0</v>
      </c>
      <c r="G4389" s="81" t="s">
        <v>1</v>
      </c>
      <c r="H4389" s="81" t="s">
        <v>224</v>
      </c>
      <c r="I4389" s="81" t="s">
        <v>49</v>
      </c>
      <c r="J4389" s="81" t="s">
        <v>224</v>
      </c>
      <c r="K4389" s="81" t="str">
        <f>IFERROR(__xludf.DUMMYFUNCTION("IF(OR(D4389="""",G4389=""""),"""",IFERROR(LET(
campo,XLOOKUP(TRIM(G4389),ARRAYFORMULA(TRIM('indice columnas'!$A$2:$A$100)),'indice columnas'!$B$2:$B$100,""""),
col,IFERROR(MATCH(campo,Referencia!$A$1:$AZ$1,0),0),
fila,IFERROR(MATCH(TO_TEXT(D4389),ARRAYFOR"&amp;"MULA(TO_TEXT(Referencia!$A$2:$A6238)),0),0),
IF(OR(campo="""",campo=""-""),""NO APLICA"",
IF(col=0,""REVISAR EQUIVALENCIA"",
IF(fila=0,""SKU NO ENCONTRADO"",
LET(
valor,INDEX(Referencia!$A$2:$AZ6238,fila,col),
IF(TRIM(TO_TEXT(valor))=TRIM(TO_TEXT(I4389)),"&amp;"
""OK"",
""NO COINCIDE. Valor verdadero: ""&amp;IF(valor="""",""[VACÍO]"",TO_TEXT(valor))
)
))))
),""ERROR EN FÓRMULA""))"),"OK")</f>
        <v>OK</v>
      </c>
    </row>
    <row r="4390">
      <c r="A4390" s="83" t="s">
        <v>4899</v>
      </c>
      <c r="B4390" s="83" t="s">
        <v>4900</v>
      </c>
      <c r="C4390" s="81" t="s">
        <v>4621</v>
      </c>
      <c r="D4390" s="83" t="s">
        <v>4166</v>
      </c>
      <c r="E4390" s="81" t="s">
        <v>617</v>
      </c>
      <c r="F4390" s="81">
        <v>91.0</v>
      </c>
      <c r="G4390" s="81" t="s">
        <v>3</v>
      </c>
      <c r="H4390" s="81" t="s">
        <v>224</v>
      </c>
      <c r="I4390" s="81" t="s">
        <v>344</v>
      </c>
      <c r="J4390" s="81" t="s">
        <v>224</v>
      </c>
      <c r="K4390" s="81" t="str">
        <f>IFERROR(__xludf.DUMMYFUNCTION("IF(OR(D4390="""",G4390=""""),"""",IFERROR(LET(
campo,XLOOKUP(TRIM(G4390),ARRAYFORMULA(TRIM('indice columnas'!$A$2:$A$100)),'indice columnas'!$B$2:$B$100,""""),
col,IFERROR(MATCH(campo,Referencia!$A$1:$AZ$1,0),0),
fila,IFERROR(MATCH(TO_TEXT(D4390),ARRAYFOR"&amp;"MULA(TO_TEXT(Referencia!$A$2:$A6238)),0),0),
IF(OR(campo="""",campo=""-""),""NO APLICA"",
IF(col=0,""REVISAR EQUIVALENCIA"",
IF(fila=0,""SKU NO ENCONTRADO"",
LET(
valor,INDEX(Referencia!$A$2:$AZ6238,fila,col),
IF(TRIM(TO_TEXT(valor))=TRIM(TO_TEXT(I4390)),"&amp;"
""OK"",
""NO COINCIDE. Valor verdadero: ""&amp;IF(valor="""",""[VACÍO]"",TO_TEXT(valor))
)
))))
),""ERROR EN FÓRMULA""))"),"OK")</f>
        <v>OK</v>
      </c>
    </row>
    <row r="4391">
      <c r="A4391" s="83" t="s">
        <v>4899</v>
      </c>
      <c r="B4391" s="83" t="s">
        <v>4900</v>
      </c>
      <c r="C4391" s="81" t="s">
        <v>4621</v>
      </c>
      <c r="D4391" s="83" t="s">
        <v>4166</v>
      </c>
      <c r="E4391" s="81" t="s">
        <v>617</v>
      </c>
      <c r="F4391" s="81">
        <v>91.0</v>
      </c>
      <c r="G4391" s="81" t="s">
        <v>2</v>
      </c>
      <c r="H4391" s="81" t="s">
        <v>224</v>
      </c>
      <c r="I4391" s="81" t="s">
        <v>213</v>
      </c>
      <c r="J4391" s="81" t="s">
        <v>224</v>
      </c>
      <c r="K4391" s="81" t="str">
        <f>IFERROR(__xludf.DUMMYFUNCTION("IF(OR(D4391="""",G4391=""""),"""",IFERROR(LET(
campo,XLOOKUP(TRIM(G4391),ARRAYFORMULA(TRIM('indice columnas'!$A$2:$A$100)),'indice columnas'!$B$2:$B$100,""""),
col,IFERROR(MATCH(campo,Referencia!$A$1:$AZ$1,0),0),
fila,IFERROR(MATCH(TO_TEXT(D4391),ARRAYFOR"&amp;"MULA(TO_TEXT(Referencia!$A$2:$A6238)),0),0),
IF(OR(campo="""",campo=""-""),""NO APLICA"",
IF(col=0,""REVISAR EQUIVALENCIA"",
IF(fila=0,""SKU NO ENCONTRADO"",
LET(
valor,INDEX(Referencia!$A$2:$AZ6238,fila,col),
IF(TRIM(TO_TEXT(valor))=TRIM(TO_TEXT(I4391)),"&amp;"
""OK"",
""NO COINCIDE. Valor verdadero: ""&amp;IF(valor="""",""[VACÍO]"",TO_TEXT(valor))
)
))))
),""ERROR EN FÓRMULA""))"),"OK")</f>
        <v>OK</v>
      </c>
    </row>
    <row r="4392">
      <c r="A4392" s="83" t="s">
        <v>4899</v>
      </c>
      <c r="B4392" s="83" t="s">
        <v>4900</v>
      </c>
      <c r="C4392" s="81" t="s">
        <v>4621</v>
      </c>
      <c r="D4392" s="83" t="s">
        <v>4166</v>
      </c>
      <c r="E4392" s="81" t="s">
        <v>617</v>
      </c>
      <c r="F4392" s="81">
        <v>91.0</v>
      </c>
      <c r="G4392" s="81" t="s">
        <v>1</v>
      </c>
      <c r="H4392" s="81" t="s">
        <v>224</v>
      </c>
      <c r="I4392" s="81" t="s">
        <v>49</v>
      </c>
      <c r="J4392" s="81" t="s">
        <v>224</v>
      </c>
      <c r="K4392" s="81" t="str">
        <f>IFERROR(__xludf.DUMMYFUNCTION("IF(OR(D4392="""",G4392=""""),"""",IFERROR(LET(
campo,XLOOKUP(TRIM(G4392),ARRAYFORMULA(TRIM('indice columnas'!$A$2:$A$100)),'indice columnas'!$B$2:$B$100,""""),
col,IFERROR(MATCH(campo,Referencia!$A$1:$AZ$1,0),0),
fila,IFERROR(MATCH(TO_TEXT(D4392),ARRAYFOR"&amp;"MULA(TO_TEXT(Referencia!$A$2:$A6238)),0),0),
IF(OR(campo="""",campo=""-""),""NO APLICA"",
IF(col=0,""REVISAR EQUIVALENCIA"",
IF(fila=0,""SKU NO ENCONTRADO"",
LET(
valor,INDEX(Referencia!$A$2:$AZ6238,fila,col),
IF(TRIM(TO_TEXT(valor))=TRIM(TO_TEXT(I4392)),"&amp;"
""OK"",
""NO COINCIDE. Valor verdadero: ""&amp;IF(valor="""",""[VACÍO]"",TO_TEXT(valor))
)
))))
),""ERROR EN FÓRMULA""))"),"OK")</f>
        <v>OK</v>
      </c>
    </row>
    <row r="4393">
      <c r="A4393" s="83" t="s">
        <v>4899</v>
      </c>
      <c r="B4393" s="83" t="s">
        <v>4900</v>
      </c>
      <c r="C4393" s="81" t="s">
        <v>4621</v>
      </c>
      <c r="D4393" s="83" t="s">
        <v>4167</v>
      </c>
      <c r="E4393" s="81" t="s">
        <v>619</v>
      </c>
      <c r="F4393" s="81">
        <v>92.0</v>
      </c>
      <c r="G4393" s="81" t="s">
        <v>3</v>
      </c>
      <c r="H4393" s="81" t="s">
        <v>376</v>
      </c>
      <c r="I4393" s="81" t="s">
        <v>344</v>
      </c>
      <c r="J4393" s="81" t="s">
        <v>224</v>
      </c>
      <c r="K4393" s="81" t="str">
        <f>IFERROR(__xludf.DUMMYFUNCTION("IF(OR(D4393="""",G4393=""""),"""",IFERROR(LET(
campo,XLOOKUP(TRIM(G4393),ARRAYFORMULA(TRIM('indice columnas'!$A$2:$A$100)),'indice columnas'!$B$2:$B$100,""""),
col,IFERROR(MATCH(campo,Referencia!$A$1:$AZ$1,0),0),
fila,IFERROR(MATCH(TO_TEXT(D4393),ARRAYFOR"&amp;"MULA(TO_TEXT(Referencia!$A$2:$A6238)),0),0),
IF(OR(campo="""",campo=""-""),""NO APLICA"",
IF(col=0,""REVISAR EQUIVALENCIA"",
IF(fila=0,""SKU NO ENCONTRADO"",
LET(
valor,INDEX(Referencia!$A$2:$AZ6238,fila,col),
IF(TRIM(TO_TEXT(valor))=TRIM(TO_TEXT(I4393)),"&amp;"
""OK"",
""NO COINCIDE. Valor verdadero: ""&amp;IF(valor="""",""[VACÍO]"",TO_TEXT(valor))
)
))))
),""ERROR EN FÓRMULA""))"),"OK")</f>
        <v>OK</v>
      </c>
    </row>
    <row r="4394">
      <c r="A4394" s="83" t="s">
        <v>4899</v>
      </c>
      <c r="B4394" s="83" t="s">
        <v>4900</v>
      </c>
      <c r="C4394" s="81" t="s">
        <v>4621</v>
      </c>
      <c r="D4394" s="83" t="s">
        <v>4169</v>
      </c>
      <c r="E4394" s="81" t="s">
        <v>624</v>
      </c>
      <c r="F4394" s="81">
        <v>93.0</v>
      </c>
      <c r="G4394" s="81" t="s">
        <v>3</v>
      </c>
      <c r="H4394" s="81" t="s">
        <v>224</v>
      </c>
      <c r="I4394" s="81" t="s">
        <v>344</v>
      </c>
      <c r="J4394" s="81" t="s">
        <v>224</v>
      </c>
      <c r="K4394" s="81" t="str">
        <f>IFERROR(__xludf.DUMMYFUNCTION("IF(OR(D4394="""",G4394=""""),"""",IFERROR(LET(
campo,XLOOKUP(TRIM(G4394),ARRAYFORMULA(TRIM('indice columnas'!$A$2:$A$100)),'indice columnas'!$B$2:$B$100,""""),
col,IFERROR(MATCH(campo,Referencia!$A$1:$AZ$1,0),0),
fila,IFERROR(MATCH(TO_TEXT(D4394),ARRAYFOR"&amp;"MULA(TO_TEXT(Referencia!$A$2:$A6238)),0),0),
IF(OR(campo="""",campo=""-""),""NO APLICA"",
IF(col=0,""REVISAR EQUIVALENCIA"",
IF(fila=0,""SKU NO ENCONTRADO"",
LET(
valor,INDEX(Referencia!$A$2:$AZ6238,fila,col),
IF(TRIM(TO_TEXT(valor))=TRIM(TO_TEXT(I4394)),"&amp;"
""OK"",
""NO COINCIDE. Valor verdadero: ""&amp;IF(valor="""",""[VACÍO]"",TO_TEXT(valor))
)
))))
),""ERROR EN FÓRMULA""))"),"OK")</f>
        <v>OK</v>
      </c>
    </row>
    <row r="4395">
      <c r="A4395" s="83" t="s">
        <v>4899</v>
      </c>
      <c r="B4395" s="83" t="s">
        <v>4900</v>
      </c>
      <c r="C4395" s="81" t="s">
        <v>4621</v>
      </c>
      <c r="D4395" s="83" t="s">
        <v>4169</v>
      </c>
      <c r="E4395" s="81" t="s">
        <v>624</v>
      </c>
      <c r="F4395" s="81">
        <v>93.0</v>
      </c>
      <c r="G4395" s="81" t="s">
        <v>2</v>
      </c>
      <c r="H4395" s="81" t="s">
        <v>224</v>
      </c>
      <c r="I4395" s="81" t="s">
        <v>213</v>
      </c>
      <c r="J4395" s="81" t="s">
        <v>224</v>
      </c>
      <c r="K4395" s="81" t="str">
        <f>IFERROR(__xludf.DUMMYFUNCTION("IF(OR(D4395="""",G4395=""""),"""",IFERROR(LET(
campo,XLOOKUP(TRIM(G4395),ARRAYFORMULA(TRIM('indice columnas'!$A$2:$A$100)),'indice columnas'!$B$2:$B$100,""""),
col,IFERROR(MATCH(campo,Referencia!$A$1:$AZ$1,0),0),
fila,IFERROR(MATCH(TO_TEXT(D4395),ARRAYFOR"&amp;"MULA(TO_TEXT(Referencia!$A$2:$A6238)),0),0),
IF(OR(campo="""",campo=""-""),""NO APLICA"",
IF(col=0,""REVISAR EQUIVALENCIA"",
IF(fila=0,""SKU NO ENCONTRADO"",
LET(
valor,INDEX(Referencia!$A$2:$AZ6238,fila,col),
IF(TRIM(TO_TEXT(valor))=TRIM(TO_TEXT(I4395)),"&amp;"
""OK"",
""NO COINCIDE. Valor verdadero: ""&amp;IF(valor="""",""[VACÍO]"",TO_TEXT(valor))
)
))))
),""ERROR EN FÓRMULA""))"),"OK")</f>
        <v>OK</v>
      </c>
    </row>
    <row r="4396">
      <c r="A4396" s="83" t="s">
        <v>4899</v>
      </c>
      <c r="B4396" s="83" t="s">
        <v>4900</v>
      </c>
      <c r="C4396" s="81" t="s">
        <v>4621</v>
      </c>
      <c r="D4396" s="83" t="s">
        <v>4170</v>
      </c>
      <c r="E4396" s="81" t="s">
        <v>627</v>
      </c>
      <c r="F4396" s="81">
        <v>94.0</v>
      </c>
      <c r="G4396" s="81" t="s">
        <v>3</v>
      </c>
      <c r="H4396" s="81" t="s">
        <v>224</v>
      </c>
      <c r="I4396" s="81" t="s">
        <v>344</v>
      </c>
      <c r="J4396" s="81" t="s">
        <v>224</v>
      </c>
      <c r="K4396" s="81" t="str">
        <f>IFERROR(__xludf.DUMMYFUNCTION("IF(OR(D4396="""",G4396=""""),"""",IFERROR(LET(
campo,XLOOKUP(TRIM(G4396),ARRAYFORMULA(TRIM('indice columnas'!$A$2:$A$100)),'indice columnas'!$B$2:$B$100,""""),
col,IFERROR(MATCH(campo,Referencia!$A$1:$AZ$1,0),0),
fila,IFERROR(MATCH(TO_TEXT(D4396),ARRAYFOR"&amp;"MULA(TO_TEXT(Referencia!$A$2:$A6238)),0),0),
IF(OR(campo="""",campo=""-""),""NO APLICA"",
IF(col=0,""REVISAR EQUIVALENCIA"",
IF(fila=0,""SKU NO ENCONTRADO"",
LET(
valor,INDEX(Referencia!$A$2:$AZ6238,fila,col),
IF(TRIM(TO_TEXT(valor))=TRIM(TO_TEXT(I4396)),"&amp;"
""OK"",
""NO COINCIDE. Valor verdadero: ""&amp;IF(valor="""",""[VACÍO]"",TO_TEXT(valor))
)
))))
),""ERROR EN FÓRMULA""))"),"OK")</f>
        <v>OK</v>
      </c>
    </row>
    <row r="4397">
      <c r="A4397" s="83" t="s">
        <v>4899</v>
      </c>
      <c r="B4397" s="83" t="s">
        <v>4900</v>
      </c>
      <c r="C4397" s="81" t="s">
        <v>4621</v>
      </c>
      <c r="D4397" s="83" t="s">
        <v>4170</v>
      </c>
      <c r="E4397" s="81" t="s">
        <v>627</v>
      </c>
      <c r="F4397" s="81">
        <v>94.0</v>
      </c>
      <c r="G4397" s="81" t="s">
        <v>2</v>
      </c>
      <c r="H4397" s="81" t="s">
        <v>224</v>
      </c>
      <c r="I4397" s="81" t="s">
        <v>213</v>
      </c>
      <c r="J4397" s="81" t="s">
        <v>224</v>
      </c>
      <c r="K4397" s="81" t="str">
        <f>IFERROR(__xludf.DUMMYFUNCTION("IF(OR(D4397="""",G4397=""""),"""",IFERROR(LET(
campo,XLOOKUP(TRIM(G4397),ARRAYFORMULA(TRIM('indice columnas'!$A$2:$A$100)),'indice columnas'!$B$2:$B$100,""""),
col,IFERROR(MATCH(campo,Referencia!$A$1:$AZ$1,0),0),
fila,IFERROR(MATCH(TO_TEXT(D4397),ARRAYFOR"&amp;"MULA(TO_TEXT(Referencia!$A$2:$A6238)),0),0),
IF(OR(campo="""",campo=""-""),""NO APLICA"",
IF(col=0,""REVISAR EQUIVALENCIA"",
IF(fila=0,""SKU NO ENCONTRADO"",
LET(
valor,INDEX(Referencia!$A$2:$AZ6238,fila,col),
IF(TRIM(TO_TEXT(valor))=TRIM(TO_TEXT(I4397)),"&amp;"
""OK"",
""NO COINCIDE. Valor verdadero: ""&amp;IF(valor="""",""[VACÍO]"",TO_TEXT(valor))
)
))))
),""ERROR EN FÓRMULA""))"),"OK")</f>
        <v>OK</v>
      </c>
    </row>
    <row r="4398">
      <c r="A4398" s="83" t="s">
        <v>4899</v>
      </c>
      <c r="B4398" s="83" t="s">
        <v>4900</v>
      </c>
      <c r="C4398" s="81" t="s">
        <v>4621</v>
      </c>
      <c r="D4398" s="83" t="s">
        <v>4171</v>
      </c>
      <c r="E4398" s="81" t="s">
        <v>629</v>
      </c>
      <c r="F4398" s="81">
        <v>95.0</v>
      </c>
      <c r="G4398" s="81" t="s">
        <v>3</v>
      </c>
      <c r="H4398" s="81" t="s">
        <v>224</v>
      </c>
      <c r="I4398" s="81" t="s">
        <v>344</v>
      </c>
      <c r="J4398" s="81" t="s">
        <v>224</v>
      </c>
      <c r="K4398" s="81" t="str">
        <f>IFERROR(__xludf.DUMMYFUNCTION("IF(OR(D4398="""",G4398=""""),"""",IFERROR(LET(
campo,XLOOKUP(TRIM(G4398),ARRAYFORMULA(TRIM('indice columnas'!$A$2:$A$100)),'indice columnas'!$B$2:$B$100,""""),
col,IFERROR(MATCH(campo,Referencia!$A$1:$AZ$1,0),0),
fila,IFERROR(MATCH(TO_TEXT(D4398),ARRAYFOR"&amp;"MULA(TO_TEXT(Referencia!$A$2:$A6238)),0),0),
IF(OR(campo="""",campo=""-""),""NO APLICA"",
IF(col=0,""REVISAR EQUIVALENCIA"",
IF(fila=0,""SKU NO ENCONTRADO"",
LET(
valor,INDEX(Referencia!$A$2:$AZ6238,fila,col),
IF(TRIM(TO_TEXT(valor))=TRIM(TO_TEXT(I4398)),"&amp;"
""OK"",
""NO COINCIDE. Valor verdadero: ""&amp;IF(valor="""",""[VACÍO]"",TO_TEXT(valor))
)
))))
),""ERROR EN FÓRMULA""))"),"OK")</f>
        <v>OK</v>
      </c>
    </row>
    <row r="4399">
      <c r="A4399" s="83" t="s">
        <v>4899</v>
      </c>
      <c r="B4399" s="83" t="s">
        <v>4900</v>
      </c>
      <c r="C4399" s="81" t="s">
        <v>4621</v>
      </c>
      <c r="D4399" s="83" t="s">
        <v>4171</v>
      </c>
      <c r="E4399" s="81" t="s">
        <v>629</v>
      </c>
      <c r="F4399" s="81">
        <v>95.0</v>
      </c>
      <c r="G4399" s="81" t="s">
        <v>2</v>
      </c>
      <c r="H4399" s="81" t="s">
        <v>224</v>
      </c>
      <c r="I4399" s="81" t="s">
        <v>213</v>
      </c>
      <c r="J4399" s="81" t="s">
        <v>224</v>
      </c>
      <c r="K4399" s="81" t="str">
        <f>IFERROR(__xludf.DUMMYFUNCTION("IF(OR(D4399="""",G4399=""""),"""",IFERROR(LET(
campo,XLOOKUP(TRIM(G4399),ARRAYFORMULA(TRIM('indice columnas'!$A$2:$A$100)),'indice columnas'!$B$2:$B$100,""""),
col,IFERROR(MATCH(campo,Referencia!$A$1:$AZ$1,0),0),
fila,IFERROR(MATCH(TO_TEXT(D4399),ARRAYFOR"&amp;"MULA(TO_TEXT(Referencia!$A$2:$A6238)),0),0),
IF(OR(campo="""",campo=""-""),""NO APLICA"",
IF(col=0,""REVISAR EQUIVALENCIA"",
IF(fila=0,""SKU NO ENCONTRADO"",
LET(
valor,INDEX(Referencia!$A$2:$AZ6238,fila,col),
IF(TRIM(TO_TEXT(valor))=TRIM(TO_TEXT(I4399)),"&amp;"
""OK"",
""NO COINCIDE. Valor verdadero: ""&amp;IF(valor="""",""[VACÍO]"",TO_TEXT(valor))
)
))))
),""ERROR EN FÓRMULA""))"),"OK")</f>
        <v>OK</v>
      </c>
    </row>
    <row r="4400">
      <c r="A4400" s="83" t="s">
        <v>4899</v>
      </c>
      <c r="B4400" s="83" t="s">
        <v>4900</v>
      </c>
      <c r="C4400" s="81" t="s">
        <v>4621</v>
      </c>
      <c r="D4400" s="83" t="s">
        <v>4172</v>
      </c>
      <c r="E4400" s="81" t="s">
        <v>642</v>
      </c>
      <c r="F4400" s="81">
        <v>97.0</v>
      </c>
      <c r="G4400" s="81" t="s">
        <v>3</v>
      </c>
      <c r="H4400" s="81" t="s">
        <v>376</v>
      </c>
      <c r="I4400" s="81" t="s">
        <v>344</v>
      </c>
      <c r="J4400" s="81" t="s">
        <v>224</v>
      </c>
      <c r="K4400" s="81" t="str">
        <f>IFERROR(__xludf.DUMMYFUNCTION("IF(OR(D4400="""",G4400=""""),"""",IFERROR(LET(
campo,XLOOKUP(TRIM(G4400),ARRAYFORMULA(TRIM('indice columnas'!$A$2:$A$100)),'indice columnas'!$B$2:$B$100,""""),
col,IFERROR(MATCH(campo,Referencia!$A$1:$AZ$1,0),0),
fila,IFERROR(MATCH(TO_TEXT(D4400),ARRAYFOR"&amp;"MULA(TO_TEXT(Referencia!$A$2:$A6238)),0),0),
IF(OR(campo="""",campo=""-""),""NO APLICA"",
IF(col=0,""REVISAR EQUIVALENCIA"",
IF(fila=0,""SKU NO ENCONTRADO"",
LET(
valor,INDEX(Referencia!$A$2:$AZ6238,fila,col),
IF(TRIM(TO_TEXT(valor))=TRIM(TO_TEXT(I4400)),"&amp;"
""OK"",
""NO COINCIDE. Valor verdadero: ""&amp;IF(valor="""",""[VACÍO]"",TO_TEXT(valor))
)
))))
),""ERROR EN FÓRMULA""))"),"OK")</f>
        <v>OK</v>
      </c>
    </row>
    <row r="4401">
      <c r="A4401" s="83" t="s">
        <v>4899</v>
      </c>
      <c r="B4401" s="83" t="s">
        <v>4900</v>
      </c>
      <c r="C4401" s="81" t="s">
        <v>4621</v>
      </c>
      <c r="D4401" s="83" t="s">
        <v>4173</v>
      </c>
      <c r="E4401" s="81" t="s">
        <v>644</v>
      </c>
      <c r="F4401" s="81">
        <v>98.0</v>
      </c>
      <c r="G4401" s="81" t="s">
        <v>3</v>
      </c>
      <c r="H4401" s="81" t="s">
        <v>224</v>
      </c>
      <c r="I4401" s="81" t="s">
        <v>344</v>
      </c>
      <c r="J4401" s="81" t="s">
        <v>224</v>
      </c>
      <c r="K4401" s="81" t="str">
        <f>IFERROR(__xludf.DUMMYFUNCTION("IF(OR(D4401="""",G4401=""""),"""",IFERROR(LET(
campo,XLOOKUP(TRIM(G4401),ARRAYFORMULA(TRIM('indice columnas'!$A$2:$A$100)),'indice columnas'!$B$2:$B$100,""""),
col,IFERROR(MATCH(campo,Referencia!$A$1:$AZ$1,0),0),
fila,IFERROR(MATCH(TO_TEXT(D4401),ARRAYFOR"&amp;"MULA(TO_TEXT(Referencia!$A$2:$A6238)),0),0),
IF(OR(campo="""",campo=""-""),""NO APLICA"",
IF(col=0,""REVISAR EQUIVALENCIA"",
IF(fila=0,""SKU NO ENCONTRADO"",
LET(
valor,INDEX(Referencia!$A$2:$AZ6238,fila,col),
IF(TRIM(TO_TEXT(valor))=TRIM(TO_TEXT(I4401)),"&amp;"
""OK"",
""NO COINCIDE. Valor verdadero: ""&amp;IF(valor="""",""[VACÍO]"",TO_TEXT(valor))
)
))))
),""ERROR EN FÓRMULA""))"),"OK")</f>
        <v>OK</v>
      </c>
    </row>
    <row r="4402">
      <c r="A4402" s="83" t="s">
        <v>4899</v>
      </c>
      <c r="B4402" s="83" t="s">
        <v>4900</v>
      </c>
      <c r="C4402" s="81" t="s">
        <v>4621</v>
      </c>
      <c r="D4402" s="83" t="s">
        <v>4173</v>
      </c>
      <c r="E4402" s="81" t="s">
        <v>644</v>
      </c>
      <c r="F4402" s="81">
        <v>98.0</v>
      </c>
      <c r="G4402" s="81" t="s">
        <v>2</v>
      </c>
      <c r="H4402" s="81" t="s">
        <v>224</v>
      </c>
      <c r="I4402" s="81" t="s">
        <v>213</v>
      </c>
      <c r="J4402" s="81" t="s">
        <v>224</v>
      </c>
      <c r="K4402" s="81" t="str">
        <f>IFERROR(__xludf.DUMMYFUNCTION("IF(OR(D4402="""",G4402=""""),"""",IFERROR(LET(
campo,XLOOKUP(TRIM(G4402),ARRAYFORMULA(TRIM('indice columnas'!$A$2:$A$100)),'indice columnas'!$B$2:$B$100,""""),
col,IFERROR(MATCH(campo,Referencia!$A$1:$AZ$1,0),0),
fila,IFERROR(MATCH(TO_TEXT(D4402),ARRAYFOR"&amp;"MULA(TO_TEXT(Referencia!$A$2:$A6238)),0),0),
IF(OR(campo="""",campo=""-""),""NO APLICA"",
IF(col=0,""REVISAR EQUIVALENCIA"",
IF(fila=0,""SKU NO ENCONTRADO"",
LET(
valor,INDEX(Referencia!$A$2:$AZ6238,fila,col),
IF(TRIM(TO_TEXT(valor))=TRIM(TO_TEXT(I4402)),"&amp;"
""OK"",
""NO COINCIDE. Valor verdadero: ""&amp;IF(valor="""",""[VACÍO]"",TO_TEXT(valor))
)
))))
),""ERROR EN FÓRMULA""))"),"OK")</f>
        <v>OK</v>
      </c>
    </row>
    <row r="4403">
      <c r="A4403" s="83" t="s">
        <v>4899</v>
      </c>
      <c r="B4403" s="83" t="s">
        <v>4900</v>
      </c>
      <c r="C4403" s="81" t="s">
        <v>4621</v>
      </c>
      <c r="D4403" s="83" t="s">
        <v>4173</v>
      </c>
      <c r="E4403" s="81" t="s">
        <v>644</v>
      </c>
      <c r="F4403" s="81">
        <v>98.0</v>
      </c>
      <c r="G4403" s="81" t="s">
        <v>1</v>
      </c>
      <c r="H4403" s="81" t="s">
        <v>224</v>
      </c>
      <c r="I4403" s="81" t="s">
        <v>49</v>
      </c>
      <c r="J4403" s="81" t="s">
        <v>224</v>
      </c>
      <c r="K4403" s="81" t="str">
        <f>IFERROR(__xludf.DUMMYFUNCTION("IF(OR(D4403="""",G4403=""""),"""",IFERROR(LET(
campo,XLOOKUP(TRIM(G4403),ARRAYFORMULA(TRIM('indice columnas'!$A$2:$A$100)),'indice columnas'!$B$2:$B$100,""""),
col,IFERROR(MATCH(campo,Referencia!$A$1:$AZ$1,0),0),
fila,IFERROR(MATCH(TO_TEXT(D4403),ARRAYFOR"&amp;"MULA(TO_TEXT(Referencia!$A$2:$A6238)),0),0),
IF(OR(campo="""",campo=""-""),""NO APLICA"",
IF(col=0,""REVISAR EQUIVALENCIA"",
IF(fila=0,""SKU NO ENCONTRADO"",
LET(
valor,INDEX(Referencia!$A$2:$AZ6238,fila,col),
IF(TRIM(TO_TEXT(valor))=TRIM(TO_TEXT(I4403)),"&amp;"
""OK"",
""NO COINCIDE. Valor verdadero: ""&amp;IF(valor="""",""[VACÍO]"",TO_TEXT(valor))
)
))))
),""ERROR EN FÓRMULA""))"),"OK")</f>
        <v>OK</v>
      </c>
    </row>
    <row r="4404">
      <c r="A4404" s="83" t="s">
        <v>4899</v>
      </c>
      <c r="B4404" s="83" t="s">
        <v>4900</v>
      </c>
      <c r="C4404" s="81" t="s">
        <v>4621</v>
      </c>
      <c r="D4404" s="83" t="s">
        <v>4174</v>
      </c>
      <c r="E4404" s="81" t="s">
        <v>646</v>
      </c>
      <c r="F4404" s="81">
        <v>99.0</v>
      </c>
      <c r="G4404" s="81" t="s">
        <v>3</v>
      </c>
      <c r="H4404" s="81" t="s">
        <v>376</v>
      </c>
      <c r="I4404" s="81" t="s">
        <v>344</v>
      </c>
      <c r="J4404" s="81" t="s">
        <v>224</v>
      </c>
      <c r="K4404" s="81" t="str">
        <f>IFERROR(__xludf.DUMMYFUNCTION("IF(OR(D4404="""",G4404=""""),"""",IFERROR(LET(
campo,XLOOKUP(TRIM(G4404),ARRAYFORMULA(TRIM('indice columnas'!$A$2:$A$100)),'indice columnas'!$B$2:$B$100,""""),
col,IFERROR(MATCH(campo,Referencia!$A$1:$AZ$1,0),0),
fila,IFERROR(MATCH(TO_TEXT(D4404),ARRAYFOR"&amp;"MULA(TO_TEXT(Referencia!$A$2:$A6238)),0),0),
IF(OR(campo="""",campo=""-""),""NO APLICA"",
IF(col=0,""REVISAR EQUIVALENCIA"",
IF(fila=0,""SKU NO ENCONTRADO"",
LET(
valor,INDEX(Referencia!$A$2:$AZ6238,fila,col),
IF(TRIM(TO_TEXT(valor))=TRIM(TO_TEXT(I4404)),"&amp;"
""OK"",
""NO COINCIDE. Valor verdadero: ""&amp;IF(valor="""",""[VACÍO]"",TO_TEXT(valor))
)
))))
),""ERROR EN FÓRMULA""))"),"OK")</f>
        <v>OK</v>
      </c>
    </row>
    <row r="4405">
      <c r="A4405" s="83" t="s">
        <v>4899</v>
      </c>
      <c r="B4405" s="83" t="s">
        <v>4900</v>
      </c>
      <c r="C4405" s="81" t="s">
        <v>4621</v>
      </c>
      <c r="D4405" s="83" t="s">
        <v>4176</v>
      </c>
      <c r="E4405" s="81" t="s">
        <v>653</v>
      </c>
      <c r="F4405" s="81">
        <v>100.0</v>
      </c>
      <c r="G4405" s="81" t="s">
        <v>3</v>
      </c>
      <c r="H4405" s="81" t="s">
        <v>224</v>
      </c>
      <c r="I4405" s="81" t="s">
        <v>344</v>
      </c>
      <c r="J4405" s="81" t="s">
        <v>224</v>
      </c>
      <c r="K4405" s="81" t="str">
        <f>IFERROR(__xludf.DUMMYFUNCTION("IF(OR(D4405="""",G4405=""""),"""",IFERROR(LET(
campo,XLOOKUP(TRIM(G4405),ARRAYFORMULA(TRIM('indice columnas'!$A$2:$A$100)),'indice columnas'!$B$2:$B$100,""""),
col,IFERROR(MATCH(campo,Referencia!$A$1:$AZ$1,0),0),
fila,IFERROR(MATCH(TO_TEXT(D4405),ARRAYFOR"&amp;"MULA(TO_TEXT(Referencia!$A$2:$A6238)),0),0),
IF(OR(campo="""",campo=""-""),""NO APLICA"",
IF(col=0,""REVISAR EQUIVALENCIA"",
IF(fila=0,""SKU NO ENCONTRADO"",
LET(
valor,INDEX(Referencia!$A$2:$AZ6238,fila,col),
IF(TRIM(TO_TEXT(valor))=TRIM(TO_TEXT(I4405)),"&amp;"
""OK"",
""NO COINCIDE. Valor verdadero: ""&amp;IF(valor="""",""[VACÍO]"",TO_TEXT(valor))
)
))))
),""ERROR EN FÓRMULA""))"),"OK")</f>
        <v>OK</v>
      </c>
    </row>
    <row r="4406">
      <c r="A4406" s="83" t="s">
        <v>4899</v>
      </c>
      <c r="B4406" s="83" t="s">
        <v>4900</v>
      </c>
      <c r="C4406" s="81" t="s">
        <v>4621</v>
      </c>
      <c r="D4406" s="83" t="s">
        <v>4176</v>
      </c>
      <c r="E4406" s="81" t="s">
        <v>653</v>
      </c>
      <c r="F4406" s="81">
        <v>100.0</v>
      </c>
      <c r="G4406" s="81" t="s">
        <v>2</v>
      </c>
      <c r="H4406" s="81" t="s">
        <v>224</v>
      </c>
      <c r="I4406" s="81" t="s">
        <v>213</v>
      </c>
      <c r="J4406" s="81" t="s">
        <v>224</v>
      </c>
      <c r="K4406" s="81" t="str">
        <f>IFERROR(__xludf.DUMMYFUNCTION("IF(OR(D4406="""",G4406=""""),"""",IFERROR(LET(
campo,XLOOKUP(TRIM(G4406),ARRAYFORMULA(TRIM('indice columnas'!$A$2:$A$100)),'indice columnas'!$B$2:$B$100,""""),
col,IFERROR(MATCH(campo,Referencia!$A$1:$AZ$1,0),0),
fila,IFERROR(MATCH(TO_TEXT(D4406),ARRAYFOR"&amp;"MULA(TO_TEXT(Referencia!$A$2:$A6238)),0),0),
IF(OR(campo="""",campo=""-""),""NO APLICA"",
IF(col=0,""REVISAR EQUIVALENCIA"",
IF(fila=0,""SKU NO ENCONTRADO"",
LET(
valor,INDEX(Referencia!$A$2:$AZ6238,fila,col),
IF(TRIM(TO_TEXT(valor))=TRIM(TO_TEXT(I4406)),"&amp;"
""OK"",
""NO COINCIDE. Valor verdadero: ""&amp;IF(valor="""",""[VACÍO]"",TO_TEXT(valor))
)
))))
),""ERROR EN FÓRMULA""))"),"OK")</f>
        <v>OK</v>
      </c>
    </row>
    <row r="4407">
      <c r="A4407" s="83" t="s">
        <v>4899</v>
      </c>
      <c r="B4407" s="83" t="s">
        <v>4900</v>
      </c>
      <c r="C4407" s="81" t="s">
        <v>4621</v>
      </c>
      <c r="D4407" s="83" t="s">
        <v>4177</v>
      </c>
      <c r="E4407" s="81" t="s">
        <v>660</v>
      </c>
      <c r="F4407" s="81">
        <v>102.0</v>
      </c>
      <c r="G4407" s="81" t="s">
        <v>3</v>
      </c>
      <c r="H4407" s="81" t="s">
        <v>376</v>
      </c>
      <c r="I4407" s="81" t="s">
        <v>344</v>
      </c>
      <c r="J4407" s="81" t="s">
        <v>224</v>
      </c>
      <c r="K4407" s="81" t="str">
        <f>IFERROR(__xludf.DUMMYFUNCTION("IF(OR(D4407="""",G4407=""""),"""",IFERROR(LET(
campo,XLOOKUP(TRIM(G4407),ARRAYFORMULA(TRIM('indice columnas'!$A$2:$A$100)),'indice columnas'!$B$2:$B$100,""""),
col,IFERROR(MATCH(campo,Referencia!$A$1:$AZ$1,0),0),
fila,IFERROR(MATCH(TO_TEXT(D4407),ARRAYFOR"&amp;"MULA(TO_TEXT(Referencia!$A$2:$A6238)),0),0),
IF(OR(campo="""",campo=""-""),""NO APLICA"",
IF(col=0,""REVISAR EQUIVALENCIA"",
IF(fila=0,""SKU NO ENCONTRADO"",
LET(
valor,INDEX(Referencia!$A$2:$AZ6238,fila,col),
IF(TRIM(TO_TEXT(valor))=TRIM(TO_TEXT(I4407)),"&amp;"
""OK"",
""NO COINCIDE. Valor verdadero: ""&amp;IF(valor="""",""[VACÍO]"",TO_TEXT(valor))
)
))))
),""ERROR EN FÓRMULA""))"),"OK")</f>
        <v>OK</v>
      </c>
    </row>
    <row r="4408">
      <c r="A4408" s="83" t="s">
        <v>4899</v>
      </c>
      <c r="B4408" s="83" t="s">
        <v>4900</v>
      </c>
      <c r="C4408" s="81" t="s">
        <v>4621</v>
      </c>
      <c r="D4408" s="83" t="s">
        <v>4178</v>
      </c>
      <c r="E4408" s="81" t="s">
        <v>661</v>
      </c>
      <c r="F4408" s="81">
        <v>103.0</v>
      </c>
      <c r="G4408" s="81" t="s">
        <v>3</v>
      </c>
      <c r="H4408" s="81" t="s">
        <v>224</v>
      </c>
      <c r="I4408" s="81" t="s">
        <v>344</v>
      </c>
      <c r="J4408" s="81" t="s">
        <v>224</v>
      </c>
      <c r="K4408" s="81" t="str">
        <f>IFERROR(__xludf.DUMMYFUNCTION("IF(OR(D4408="""",G4408=""""),"""",IFERROR(LET(
campo,XLOOKUP(TRIM(G4408),ARRAYFORMULA(TRIM('indice columnas'!$A$2:$A$100)),'indice columnas'!$B$2:$B$100,""""),
col,IFERROR(MATCH(campo,Referencia!$A$1:$AZ$1,0),0),
fila,IFERROR(MATCH(TO_TEXT(D4408),ARRAYFOR"&amp;"MULA(TO_TEXT(Referencia!$A$2:$A6238)),0),0),
IF(OR(campo="""",campo=""-""),""NO APLICA"",
IF(col=0,""REVISAR EQUIVALENCIA"",
IF(fila=0,""SKU NO ENCONTRADO"",
LET(
valor,INDEX(Referencia!$A$2:$AZ6238,fila,col),
IF(TRIM(TO_TEXT(valor))=TRIM(TO_TEXT(I4408)),"&amp;"
""OK"",
""NO COINCIDE. Valor verdadero: ""&amp;IF(valor="""",""[VACÍO]"",TO_TEXT(valor))
)
))))
),""ERROR EN FÓRMULA""))"),"OK")</f>
        <v>OK</v>
      </c>
    </row>
    <row r="4409">
      <c r="A4409" s="83" t="s">
        <v>4899</v>
      </c>
      <c r="B4409" s="83" t="s">
        <v>4900</v>
      </c>
      <c r="C4409" s="81" t="s">
        <v>4621</v>
      </c>
      <c r="D4409" s="83" t="s">
        <v>4178</v>
      </c>
      <c r="E4409" s="81" t="s">
        <v>661</v>
      </c>
      <c r="F4409" s="81">
        <v>103.0</v>
      </c>
      <c r="G4409" s="81" t="s">
        <v>2</v>
      </c>
      <c r="H4409" s="81" t="s">
        <v>224</v>
      </c>
      <c r="I4409" s="81" t="s">
        <v>213</v>
      </c>
      <c r="J4409" s="81" t="s">
        <v>224</v>
      </c>
      <c r="K4409" s="81" t="str">
        <f>IFERROR(__xludf.DUMMYFUNCTION("IF(OR(D4409="""",G4409=""""),"""",IFERROR(LET(
campo,XLOOKUP(TRIM(G4409),ARRAYFORMULA(TRIM('indice columnas'!$A$2:$A$100)),'indice columnas'!$B$2:$B$100,""""),
col,IFERROR(MATCH(campo,Referencia!$A$1:$AZ$1,0),0),
fila,IFERROR(MATCH(TO_TEXT(D4409),ARRAYFOR"&amp;"MULA(TO_TEXT(Referencia!$A$2:$A6238)),0),0),
IF(OR(campo="""",campo=""-""),""NO APLICA"",
IF(col=0,""REVISAR EQUIVALENCIA"",
IF(fila=0,""SKU NO ENCONTRADO"",
LET(
valor,INDEX(Referencia!$A$2:$AZ6238,fila,col),
IF(TRIM(TO_TEXT(valor))=TRIM(TO_TEXT(I4409)),"&amp;"
""OK"",
""NO COINCIDE. Valor verdadero: ""&amp;IF(valor="""",""[VACÍO]"",TO_TEXT(valor))
)
))))
),""ERROR EN FÓRMULA""))"),"OK")</f>
        <v>OK</v>
      </c>
    </row>
    <row r="4410">
      <c r="A4410" s="83" t="s">
        <v>4899</v>
      </c>
      <c r="B4410" s="83" t="s">
        <v>4900</v>
      </c>
      <c r="C4410" s="81" t="s">
        <v>4621</v>
      </c>
      <c r="D4410" s="83" t="s">
        <v>4179</v>
      </c>
      <c r="E4410" s="81" t="s">
        <v>663</v>
      </c>
      <c r="F4410" s="81">
        <v>104.0</v>
      </c>
      <c r="G4410" s="81" t="s">
        <v>3</v>
      </c>
      <c r="H4410" s="81" t="s">
        <v>224</v>
      </c>
      <c r="I4410" s="81" t="s">
        <v>51</v>
      </c>
      <c r="J4410" s="81" t="s">
        <v>224</v>
      </c>
      <c r="K4410" s="81" t="str">
        <f>IFERROR(__xludf.DUMMYFUNCTION("IF(OR(D4410="""",G4410=""""),"""",IFERROR(LET(
campo,XLOOKUP(TRIM(G4410),ARRAYFORMULA(TRIM('indice columnas'!$A$2:$A$100)),'indice columnas'!$B$2:$B$100,""""),
col,IFERROR(MATCH(campo,Referencia!$A$1:$AZ$1,0),0),
fila,IFERROR(MATCH(TO_TEXT(D4410),ARRAYFOR"&amp;"MULA(TO_TEXT(Referencia!$A$2:$A6238)),0),0),
IF(OR(campo="""",campo=""-""),""NO APLICA"",
IF(col=0,""REVISAR EQUIVALENCIA"",
IF(fila=0,""SKU NO ENCONTRADO"",
LET(
valor,INDEX(Referencia!$A$2:$AZ6238,fila,col),
IF(TRIM(TO_TEXT(valor))=TRIM(TO_TEXT(I4410)),"&amp;"
""OK"",
""NO COINCIDE. Valor verdadero: ""&amp;IF(valor="""",""[VACÍO]"",TO_TEXT(valor))
)
))))
),""ERROR EN FÓRMULA""))"),"OK")</f>
        <v>OK</v>
      </c>
    </row>
    <row r="4411">
      <c r="A4411" s="83" t="s">
        <v>4899</v>
      </c>
      <c r="B4411" s="83" t="s">
        <v>4900</v>
      </c>
      <c r="C4411" s="81" t="s">
        <v>4621</v>
      </c>
      <c r="D4411" s="83" t="s">
        <v>4179</v>
      </c>
      <c r="E4411" s="81" t="s">
        <v>663</v>
      </c>
      <c r="F4411" s="81">
        <v>104.0</v>
      </c>
      <c r="G4411" s="81" t="s">
        <v>2</v>
      </c>
      <c r="H4411" s="81" t="s">
        <v>224</v>
      </c>
      <c r="I4411" s="81" t="s">
        <v>50</v>
      </c>
      <c r="J4411" s="81" t="s">
        <v>224</v>
      </c>
      <c r="K4411" s="81" t="str">
        <f>IFERROR(__xludf.DUMMYFUNCTION("IF(OR(D4411="""",G4411=""""),"""",IFERROR(LET(
campo,XLOOKUP(TRIM(G4411),ARRAYFORMULA(TRIM('indice columnas'!$A$2:$A$100)),'indice columnas'!$B$2:$B$100,""""),
col,IFERROR(MATCH(campo,Referencia!$A$1:$AZ$1,0),0),
fila,IFERROR(MATCH(TO_TEXT(D4411),ARRAYFOR"&amp;"MULA(TO_TEXT(Referencia!$A$2:$A6238)),0),0),
IF(OR(campo="""",campo=""-""),""NO APLICA"",
IF(col=0,""REVISAR EQUIVALENCIA"",
IF(fila=0,""SKU NO ENCONTRADO"",
LET(
valor,INDEX(Referencia!$A$2:$AZ6238,fila,col),
IF(TRIM(TO_TEXT(valor))=TRIM(TO_TEXT(I4411)),"&amp;"
""OK"",
""NO COINCIDE. Valor verdadero: ""&amp;IF(valor="""",""[VACÍO]"",TO_TEXT(valor))
)
))))
),""ERROR EN FÓRMULA""))"),"OK")</f>
        <v>OK</v>
      </c>
    </row>
    <row r="4412">
      <c r="A4412" s="83" t="s">
        <v>4899</v>
      </c>
      <c r="B4412" s="83" t="s">
        <v>4900</v>
      </c>
      <c r="C4412" s="81" t="s">
        <v>4621</v>
      </c>
      <c r="D4412" s="83" t="s">
        <v>4179</v>
      </c>
      <c r="E4412" s="81" t="s">
        <v>663</v>
      </c>
      <c r="F4412" s="81">
        <v>104.0</v>
      </c>
      <c r="G4412" s="81" t="s">
        <v>1</v>
      </c>
      <c r="H4412" s="81" t="s">
        <v>224</v>
      </c>
      <c r="I4412" s="81" t="s">
        <v>49</v>
      </c>
      <c r="J4412" s="81" t="s">
        <v>224</v>
      </c>
      <c r="K4412" s="81" t="str">
        <f>IFERROR(__xludf.DUMMYFUNCTION("IF(OR(D4412="""",G4412=""""),"""",IFERROR(LET(
campo,XLOOKUP(TRIM(G4412),ARRAYFORMULA(TRIM('indice columnas'!$A$2:$A$100)),'indice columnas'!$B$2:$B$100,""""),
col,IFERROR(MATCH(campo,Referencia!$A$1:$AZ$1,0),0),
fila,IFERROR(MATCH(TO_TEXT(D4412),ARRAYFOR"&amp;"MULA(TO_TEXT(Referencia!$A$2:$A6238)),0),0),
IF(OR(campo="""",campo=""-""),""NO APLICA"",
IF(col=0,""REVISAR EQUIVALENCIA"",
IF(fila=0,""SKU NO ENCONTRADO"",
LET(
valor,INDEX(Referencia!$A$2:$AZ6238,fila,col),
IF(TRIM(TO_TEXT(valor))=TRIM(TO_TEXT(I4412)),"&amp;"
""OK"",
""NO COINCIDE. Valor verdadero: ""&amp;IF(valor="""",""[VACÍO]"",TO_TEXT(valor))
)
))))
),""ERROR EN FÓRMULA""))"),"OK")</f>
        <v>OK</v>
      </c>
    </row>
    <row r="4413">
      <c r="A4413" s="83" t="s">
        <v>4899</v>
      </c>
      <c r="B4413" s="83" t="s">
        <v>4900</v>
      </c>
      <c r="C4413" s="81" t="s">
        <v>4621</v>
      </c>
      <c r="D4413" s="83" t="s">
        <v>4180</v>
      </c>
      <c r="E4413" s="81" t="s">
        <v>666</v>
      </c>
      <c r="F4413" s="81">
        <v>105.0</v>
      </c>
      <c r="G4413" s="81" t="s">
        <v>3</v>
      </c>
      <c r="H4413" s="81" t="s">
        <v>224</v>
      </c>
      <c r="I4413" s="81" t="s">
        <v>344</v>
      </c>
      <c r="J4413" s="81" t="s">
        <v>224</v>
      </c>
      <c r="K4413" s="81" t="str">
        <f>IFERROR(__xludf.DUMMYFUNCTION("IF(OR(D4413="""",G4413=""""),"""",IFERROR(LET(
campo,XLOOKUP(TRIM(G4413),ARRAYFORMULA(TRIM('indice columnas'!$A$2:$A$100)),'indice columnas'!$B$2:$B$100,""""),
col,IFERROR(MATCH(campo,Referencia!$A$1:$AZ$1,0),0),
fila,IFERROR(MATCH(TO_TEXT(D4413),ARRAYFOR"&amp;"MULA(TO_TEXT(Referencia!$A$2:$A6238)),0),0),
IF(OR(campo="""",campo=""-""),""NO APLICA"",
IF(col=0,""REVISAR EQUIVALENCIA"",
IF(fila=0,""SKU NO ENCONTRADO"",
LET(
valor,INDEX(Referencia!$A$2:$AZ6238,fila,col),
IF(TRIM(TO_TEXT(valor))=TRIM(TO_TEXT(I4413)),"&amp;"
""OK"",
""NO COINCIDE. Valor verdadero: ""&amp;IF(valor="""",""[VACÍO]"",TO_TEXT(valor))
)
))))
),""ERROR EN FÓRMULA""))"),"OK")</f>
        <v>OK</v>
      </c>
    </row>
    <row r="4414">
      <c r="A4414" s="83" t="s">
        <v>4899</v>
      </c>
      <c r="B4414" s="83" t="s">
        <v>4900</v>
      </c>
      <c r="C4414" s="81" t="s">
        <v>4621</v>
      </c>
      <c r="D4414" s="83" t="s">
        <v>4180</v>
      </c>
      <c r="E4414" s="81" t="s">
        <v>666</v>
      </c>
      <c r="F4414" s="81">
        <v>105.0</v>
      </c>
      <c r="G4414" s="81" t="s">
        <v>2</v>
      </c>
      <c r="H4414" s="81" t="s">
        <v>224</v>
      </c>
      <c r="I4414" s="81" t="s">
        <v>213</v>
      </c>
      <c r="J4414" s="81" t="s">
        <v>224</v>
      </c>
      <c r="K4414" s="81" t="str">
        <f>IFERROR(__xludf.DUMMYFUNCTION("IF(OR(D4414="""",G4414=""""),"""",IFERROR(LET(
campo,XLOOKUP(TRIM(G4414),ARRAYFORMULA(TRIM('indice columnas'!$A$2:$A$100)),'indice columnas'!$B$2:$B$100,""""),
col,IFERROR(MATCH(campo,Referencia!$A$1:$AZ$1,0),0),
fila,IFERROR(MATCH(TO_TEXT(D4414),ARRAYFOR"&amp;"MULA(TO_TEXT(Referencia!$A$2:$A6238)),0),0),
IF(OR(campo="""",campo=""-""),""NO APLICA"",
IF(col=0,""REVISAR EQUIVALENCIA"",
IF(fila=0,""SKU NO ENCONTRADO"",
LET(
valor,INDEX(Referencia!$A$2:$AZ6238,fila,col),
IF(TRIM(TO_TEXT(valor))=TRIM(TO_TEXT(I4414)),"&amp;"
""OK"",
""NO COINCIDE. Valor verdadero: ""&amp;IF(valor="""",""[VACÍO]"",TO_TEXT(valor))
)
))))
),""ERROR EN FÓRMULA""))"),"OK")</f>
        <v>OK</v>
      </c>
    </row>
    <row r="4415">
      <c r="A4415" s="83" t="s">
        <v>4899</v>
      </c>
      <c r="B4415" s="83" t="s">
        <v>4900</v>
      </c>
      <c r="C4415" s="81" t="s">
        <v>4621</v>
      </c>
      <c r="D4415" s="83" t="s">
        <v>4181</v>
      </c>
      <c r="E4415" s="81" t="s">
        <v>671</v>
      </c>
      <c r="F4415" s="81">
        <v>106.0</v>
      </c>
      <c r="G4415" s="81" t="s">
        <v>3</v>
      </c>
      <c r="H4415" s="81" t="s">
        <v>224</v>
      </c>
      <c r="I4415" s="81" t="s">
        <v>344</v>
      </c>
      <c r="J4415" s="81" t="s">
        <v>224</v>
      </c>
      <c r="K4415" s="81" t="str">
        <f>IFERROR(__xludf.DUMMYFUNCTION("IF(OR(D4415="""",G4415=""""),"""",IFERROR(LET(
campo,XLOOKUP(TRIM(G4415),ARRAYFORMULA(TRIM('indice columnas'!$A$2:$A$100)),'indice columnas'!$B$2:$B$100,""""),
col,IFERROR(MATCH(campo,Referencia!$A$1:$AZ$1,0),0),
fila,IFERROR(MATCH(TO_TEXT(D4415),ARRAYFOR"&amp;"MULA(TO_TEXT(Referencia!$A$2:$A6238)),0),0),
IF(OR(campo="""",campo=""-""),""NO APLICA"",
IF(col=0,""REVISAR EQUIVALENCIA"",
IF(fila=0,""SKU NO ENCONTRADO"",
LET(
valor,INDEX(Referencia!$A$2:$AZ6238,fila,col),
IF(TRIM(TO_TEXT(valor))=TRIM(TO_TEXT(I4415)),"&amp;"
""OK"",
""NO COINCIDE. Valor verdadero: ""&amp;IF(valor="""",""[VACÍO]"",TO_TEXT(valor))
)
))))
),""ERROR EN FÓRMULA""))"),"OK")</f>
        <v>OK</v>
      </c>
    </row>
    <row r="4416">
      <c r="A4416" s="83" t="s">
        <v>4899</v>
      </c>
      <c r="B4416" s="83" t="s">
        <v>4900</v>
      </c>
      <c r="C4416" s="81" t="s">
        <v>4621</v>
      </c>
      <c r="D4416" s="83" t="s">
        <v>4181</v>
      </c>
      <c r="E4416" s="81" t="s">
        <v>671</v>
      </c>
      <c r="F4416" s="81">
        <v>106.0</v>
      </c>
      <c r="G4416" s="81" t="s">
        <v>2</v>
      </c>
      <c r="H4416" s="81" t="s">
        <v>224</v>
      </c>
      <c r="I4416" s="81" t="s">
        <v>213</v>
      </c>
      <c r="J4416" s="81" t="s">
        <v>224</v>
      </c>
      <c r="K4416" s="81" t="str">
        <f>IFERROR(__xludf.DUMMYFUNCTION("IF(OR(D4416="""",G4416=""""),"""",IFERROR(LET(
campo,XLOOKUP(TRIM(G4416),ARRAYFORMULA(TRIM('indice columnas'!$A$2:$A$100)),'indice columnas'!$B$2:$B$100,""""),
col,IFERROR(MATCH(campo,Referencia!$A$1:$AZ$1,0),0),
fila,IFERROR(MATCH(TO_TEXT(D4416),ARRAYFOR"&amp;"MULA(TO_TEXT(Referencia!$A$2:$A6238)),0),0),
IF(OR(campo="""",campo=""-""),""NO APLICA"",
IF(col=0,""REVISAR EQUIVALENCIA"",
IF(fila=0,""SKU NO ENCONTRADO"",
LET(
valor,INDEX(Referencia!$A$2:$AZ6238,fila,col),
IF(TRIM(TO_TEXT(valor))=TRIM(TO_TEXT(I4416)),"&amp;"
""OK"",
""NO COINCIDE. Valor verdadero: ""&amp;IF(valor="""",""[VACÍO]"",TO_TEXT(valor))
)
))))
),""ERROR EN FÓRMULA""))"),"OK")</f>
        <v>OK</v>
      </c>
    </row>
    <row r="4417">
      <c r="A4417" s="83" t="s">
        <v>4899</v>
      </c>
      <c r="B4417" s="83" t="s">
        <v>4900</v>
      </c>
      <c r="C4417" s="81" t="s">
        <v>4621</v>
      </c>
      <c r="D4417" s="83" t="s">
        <v>4182</v>
      </c>
      <c r="E4417" s="81" t="s">
        <v>673</v>
      </c>
      <c r="F4417" s="81">
        <v>107.0</v>
      </c>
      <c r="G4417" s="81" t="s">
        <v>3</v>
      </c>
      <c r="H4417" s="81" t="s">
        <v>224</v>
      </c>
      <c r="I4417" s="81" t="s">
        <v>344</v>
      </c>
      <c r="J4417" s="81" t="s">
        <v>224</v>
      </c>
      <c r="K4417" s="81" t="str">
        <f>IFERROR(__xludf.DUMMYFUNCTION("IF(OR(D4417="""",G4417=""""),"""",IFERROR(LET(
campo,XLOOKUP(TRIM(G4417),ARRAYFORMULA(TRIM('indice columnas'!$A$2:$A$100)),'indice columnas'!$B$2:$B$100,""""),
col,IFERROR(MATCH(campo,Referencia!$A$1:$AZ$1,0),0),
fila,IFERROR(MATCH(TO_TEXT(D4417),ARRAYFOR"&amp;"MULA(TO_TEXT(Referencia!$A$2:$A6238)),0),0),
IF(OR(campo="""",campo=""-""),""NO APLICA"",
IF(col=0,""REVISAR EQUIVALENCIA"",
IF(fila=0,""SKU NO ENCONTRADO"",
LET(
valor,INDEX(Referencia!$A$2:$AZ6238,fila,col),
IF(TRIM(TO_TEXT(valor))=TRIM(TO_TEXT(I4417)),"&amp;"
""OK"",
""NO COINCIDE. Valor verdadero: ""&amp;IF(valor="""",""[VACÍO]"",TO_TEXT(valor))
)
))))
),""ERROR EN FÓRMULA""))"),"OK")</f>
        <v>OK</v>
      </c>
    </row>
    <row r="4418">
      <c r="A4418" s="83" t="s">
        <v>4899</v>
      </c>
      <c r="B4418" s="83" t="s">
        <v>4900</v>
      </c>
      <c r="C4418" s="81" t="s">
        <v>4621</v>
      </c>
      <c r="D4418" s="83" t="s">
        <v>4182</v>
      </c>
      <c r="E4418" s="81" t="s">
        <v>673</v>
      </c>
      <c r="F4418" s="81">
        <v>107.0</v>
      </c>
      <c r="G4418" s="81" t="s">
        <v>2</v>
      </c>
      <c r="H4418" s="81" t="s">
        <v>224</v>
      </c>
      <c r="I4418" s="81" t="s">
        <v>213</v>
      </c>
      <c r="J4418" s="81" t="s">
        <v>224</v>
      </c>
      <c r="K4418" s="81" t="str">
        <f>IFERROR(__xludf.DUMMYFUNCTION("IF(OR(D4418="""",G4418=""""),"""",IFERROR(LET(
campo,XLOOKUP(TRIM(G4418),ARRAYFORMULA(TRIM('indice columnas'!$A$2:$A$100)),'indice columnas'!$B$2:$B$100,""""),
col,IFERROR(MATCH(campo,Referencia!$A$1:$AZ$1,0),0),
fila,IFERROR(MATCH(TO_TEXT(D4418),ARRAYFOR"&amp;"MULA(TO_TEXT(Referencia!$A$2:$A6238)),0),0),
IF(OR(campo="""",campo=""-""),""NO APLICA"",
IF(col=0,""REVISAR EQUIVALENCIA"",
IF(fila=0,""SKU NO ENCONTRADO"",
LET(
valor,INDEX(Referencia!$A$2:$AZ6238,fila,col),
IF(TRIM(TO_TEXT(valor))=TRIM(TO_TEXT(I4418)),"&amp;"
""OK"",
""NO COINCIDE. Valor verdadero: ""&amp;IF(valor="""",""[VACÍO]"",TO_TEXT(valor))
)
))))
),""ERROR EN FÓRMULA""))"),"OK")</f>
        <v>OK</v>
      </c>
    </row>
    <row r="4419">
      <c r="A4419" s="83" t="s">
        <v>4899</v>
      </c>
      <c r="B4419" s="83" t="s">
        <v>4900</v>
      </c>
      <c r="C4419" s="81" t="s">
        <v>4621</v>
      </c>
      <c r="D4419" s="83" t="s">
        <v>4182</v>
      </c>
      <c r="E4419" s="81" t="s">
        <v>673</v>
      </c>
      <c r="F4419" s="81">
        <v>107.0</v>
      </c>
      <c r="G4419" s="81" t="s">
        <v>1</v>
      </c>
      <c r="H4419" s="81" t="s">
        <v>224</v>
      </c>
      <c r="I4419" s="81" t="s">
        <v>49</v>
      </c>
      <c r="J4419" s="81" t="s">
        <v>224</v>
      </c>
      <c r="K4419" s="81" t="str">
        <f>IFERROR(__xludf.DUMMYFUNCTION("IF(OR(D4419="""",G4419=""""),"""",IFERROR(LET(
campo,XLOOKUP(TRIM(G4419),ARRAYFORMULA(TRIM('indice columnas'!$A$2:$A$100)),'indice columnas'!$B$2:$B$100,""""),
col,IFERROR(MATCH(campo,Referencia!$A$1:$AZ$1,0),0),
fila,IFERROR(MATCH(TO_TEXT(D4419),ARRAYFOR"&amp;"MULA(TO_TEXT(Referencia!$A$2:$A6238)),0),0),
IF(OR(campo="""",campo=""-""),""NO APLICA"",
IF(col=0,""REVISAR EQUIVALENCIA"",
IF(fila=0,""SKU NO ENCONTRADO"",
LET(
valor,INDEX(Referencia!$A$2:$AZ6238,fila,col),
IF(TRIM(TO_TEXT(valor))=TRIM(TO_TEXT(I4419)),"&amp;"
""OK"",
""NO COINCIDE. Valor verdadero: ""&amp;IF(valor="""",""[VACÍO]"",TO_TEXT(valor))
)
))))
),""ERROR EN FÓRMULA""))"),"OK")</f>
        <v>OK</v>
      </c>
    </row>
    <row r="4420">
      <c r="A4420" s="83" t="s">
        <v>4899</v>
      </c>
      <c r="B4420" s="83" t="s">
        <v>4900</v>
      </c>
      <c r="C4420" s="81" t="s">
        <v>4621</v>
      </c>
      <c r="D4420" s="83" t="s">
        <v>4183</v>
      </c>
      <c r="E4420" s="81" t="s">
        <v>681</v>
      </c>
      <c r="F4420" s="81">
        <v>109.0</v>
      </c>
      <c r="G4420" s="81" t="s">
        <v>3</v>
      </c>
      <c r="H4420" s="81" t="s">
        <v>376</v>
      </c>
      <c r="I4420" s="81" t="s">
        <v>344</v>
      </c>
      <c r="J4420" s="81" t="s">
        <v>224</v>
      </c>
      <c r="K4420" s="81" t="str">
        <f>IFERROR(__xludf.DUMMYFUNCTION("IF(OR(D4420="""",G4420=""""),"""",IFERROR(LET(
campo,XLOOKUP(TRIM(G4420),ARRAYFORMULA(TRIM('indice columnas'!$A$2:$A$100)),'indice columnas'!$B$2:$B$100,""""),
col,IFERROR(MATCH(campo,Referencia!$A$1:$AZ$1,0),0),
fila,IFERROR(MATCH(TO_TEXT(D4420),ARRAYFOR"&amp;"MULA(TO_TEXT(Referencia!$A$2:$A6238)),0),0),
IF(OR(campo="""",campo=""-""),""NO APLICA"",
IF(col=0,""REVISAR EQUIVALENCIA"",
IF(fila=0,""SKU NO ENCONTRADO"",
LET(
valor,INDEX(Referencia!$A$2:$AZ6238,fila,col),
IF(TRIM(TO_TEXT(valor))=TRIM(TO_TEXT(I4420)),"&amp;"
""OK"",
""NO COINCIDE. Valor verdadero: ""&amp;IF(valor="""",""[VACÍO]"",TO_TEXT(valor))
)
))))
),""ERROR EN FÓRMULA""))"),"OK")</f>
        <v>OK</v>
      </c>
    </row>
    <row r="4421">
      <c r="A4421" s="83" t="s">
        <v>4899</v>
      </c>
      <c r="B4421" s="83" t="s">
        <v>4900</v>
      </c>
      <c r="C4421" s="81" t="s">
        <v>4621</v>
      </c>
      <c r="D4421" s="83" t="s">
        <v>4184</v>
      </c>
      <c r="E4421" s="81" t="s">
        <v>683</v>
      </c>
      <c r="F4421" s="81">
        <v>110.0</v>
      </c>
      <c r="G4421" s="81" t="s">
        <v>3</v>
      </c>
      <c r="H4421" s="81" t="s">
        <v>224</v>
      </c>
      <c r="I4421" s="81" t="s">
        <v>344</v>
      </c>
      <c r="J4421" s="81" t="s">
        <v>224</v>
      </c>
      <c r="K4421" s="81" t="str">
        <f>IFERROR(__xludf.DUMMYFUNCTION("IF(OR(D4421="""",G4421=""""),"""",IFERROR(LET(
campo,XLOOKUP(TRIM(G4421),ARRAYFORMULA(TRIM('indice columnas'!$A$2:$A$100)),'indice columnas'!$B$2:$B$100,""""),
col,IFERROR(MATCH(campo,Referencia!$A$1:$AZ$1,0),0),
fila,IFERROR(MATCH(TO_TEXT(D4421),ARRAYFOR"&amp;"MULA(TO_TEXT(Referencia!$A$2:$A6238)),0),0),
IF(OR(campo="""",campo=""-""),""NO APLICA"",
IF(col=0,""REVISAR EQUIVALENCIA"",
IF(fila=0,""SKU NO ENCONTRADO"",
LET(
valor,INDEX(Referencia!$A$2:$AZ6238,fila,col),
IF(TRIM(TO_TEXT(valor))=TRIM(TO_TEXT(I4421)),"&amp;"
""OK"",
""NO COINCIDE. Valor verdadero: ""&amp;IF(valor="""",""[VACÍO]"",TO_TEXT(valor))
)
))))
),""ERROR EN FÓRMULA""))"),"OK")</f>
        <v>OK</v>
      </c>
    </row>
    <row r="4422">
      <c r="A4422" s="83" t="s">
        <v>4899</v>
      </c>
      <c r="B4422" s="83" t="s">
        <v>4900</v>
      </c>
      <c r="C4422" s="81" t="s">
        <v>4621</v>
      </c>
      <c r="D4422" s="83" t="s">
        <v>4184</v>
      </c>
      <c r="E4422" s="81" t="s">
        <v>683</v>
      </c>
      <c r="F4422" s="81">
        <v>110.0</v>
      </c>
      <c r="G4422" s="81" t="s">
        <v>2</v>
      </c>
      <c r="H4422" s="81" t="s">
        <v>224</v>
      </c>
      <c r="I4422" s="81" t="s">
        <v>213</v>
      </c>
      <c r="J4422" s="81" t="s">
        <v>224</v>
      </c>
      <c r="K4422" s="81" t="str">
        <f>IFERROR(__xludf.DUMMYFUNCTION("IF(OR(D4422="""",G4422=""""),"""",IFERROR(LET(
campo,XLOOKUP(TRIM(G4422),ARRAYFORMULA(TRIM('indice columnas'!$A$2:$A$100)),'indice columnas'!$B$2:$B$100,""""),
col,IFERROR(MATCH(campo,Referencia!$A$1:$AZ$1,0),0),
fila,IFERROR(MATCH(TO_TEXT(D4422),ARRAYFOR"&amp;"MULA(TO_TEXT(Referencia!$A$2:$A6238)),0),0),
IF(OR(campo="""",campo=""-""),""NO APLICA"",
IF(col=0,""REVISAR EQUIVALENCIA"",
IF(fila=0,""SKU NO ENCONTRADO"",
LET(
valor,INDEX(Referencia!$A$2:$AZ6238,fila,col),
IF(TRIM(TO_TEXT(valor))=TRIM(TO_TEXT(I4422)),"&amp;"
""OK"",
""NO COINCIDE. Valor verdadero: ""&amp;IF(valor="""",""[VACÍO]"",TO_TEXT(valor))
)
))))
),""ERROR EN FÓRMULA""))"),"OK")</f>
        <v>OK</v>
      </c>
    </row>
    <row r="4423">
      <c r="A4423" s="83" t="s">
        <v>4899</v>
      </c>
      <c r="B4423" s="83" t="s">
        <v>4900</v>
      </c>
      <c r="C4423" s="81" t="s">
        <v>4621</v>
      </c>
      <c r="D4423" s="83" t="s">
        <v>4185</v>
      </c>
      <c r="E4423" s="81" t="s">
        <v>690</v>
      </c>
      <c r="F4423" s="81">
        <v>112.0</v>
      </c>
      <c r="G4423" s="81" t="s">
        <v>3</v>
      </c>
      <c r="H4423" s="81" t="s">
        <v>376</v>
      </c>
      <c r="I4423" s="81" t="s">
        <v>344</v>
      </c>
      <c r="J4423" s="81" t="s">
        <v>224</v>
      </c>
      <c r="K4423" s="81" t="str">
        <f>IFERROR(__xludf.DUMMYFUNCTION("IF(OR(D4423="""",G4423=""""),"""",IFERROR(LET(
campo,XLOOKUP(TRIM(G4423),ARRAYFORMULA(TRIM('indice columnas'!$A$2:$A$100)),'indice columnas'!$B$2:$B$100,""""),
col,IFERROR(MATCH(campo,Referencia!$A$1:$AZ$1,0),0),
fila,IFERROR(MATCH(TO_TEXT(D4423),ARRAYFOR"&amp;"MULA(TO_TEXT(Referencia!$A$2:$A6238)),0),0),
IF(OR(campo="""",campo=""-""),""NO APLICA"",
IF(col=0,""REVISAR EQUIVALENCIA"",
IF(fila=0,""SKU NO ENCONTRADO"",
LET(
valor,INDEX(Referencia!$A$2:$AZ6238,fila,col),
IF(TRIM(TO_TEXT(valor))=TRIM(TO_TEXT(I4423)),"&amp;"
""OK"",
""NO COINCIDE. Valor verdadero: ""&amp;IF(valor="""",""[VACÍO]"",TO_TEXT(valor))
)
))))
),""ERROR EN FÓRMULA""))"),"OK")</f>
        <v>OK</v>
      </c>
    </row>
    <row r="4424">
      <c r="A4424" s="83" t="s">
        <v>4899</v>
      </c>
      <c r="B4424" s="83" t="s">
        <v>4900</v>
      </c>
      <c r="C4424" s="81" t="s">
        <v>4621</v>
      </c>
      <c r="D4424" s="83" t="s">
        <v>4186</v>
      </c>
      <c r="E4424" s="81" t="s">
        <v>691</v>
      </c>
      <c r="F4424" s="81">
        <v>113.0</v>
      </c>
      <c r="G4424" s="81" t="s">
        <v>3</v>
      </c>
      <c r="H4424" s="81" t="s">
        <v>224</v>
      </c>
      <c r="I4424" s="81" t="s">
        <v>344</v>
      </c>
      <c r="J4424" s="81" t="s">
        <v>224</v>
      </c>
      <c r="K4424" s="81" t="str">
        <f>IFERROR(__xludf.DUMMYFUNCTION("IF(OR(D4424="""",G4424=""""),"""",IFERROR(LET(
campo,XLOOKUP(TRIM(G4424),ARRAYFORMULA(TRIM('indice columnas'!$A$2:$A$100)),'indice columnas'!$B$2:$B$100,""""),
col,IFERROR(MATCH(campo,Referencia!$A$1:$AZ$1,0),0),
fila,IFERROR(MATCH(TO_TEXT(D4424),ARRAYFOR"&amp;"MULA(TO_TEXT(Referencia!$A$2:$A6238)),0),0),
IF(OR(campo="""",campo=""-""),""NO APLICA"",
IF(col=0,""REVISAR EQUIVALENCIA"",
IF(fila=0,""SKU NO ENCONTRADO"",
LET(
valor,INDEX(Referencia!$A$2:$AZ6238,fila,col),
IF(TRIM(TO_TEXT(valor))=TRIM(TO_TEXT(I4424)),"&amp;"
""OK"",
""NO COINCIDE. Valor verdadero: ""&amp;IF(valor="""",""[VACÍO]"",TO_TEXT(valor))
)
))))
),""ERROR EN FÓRMULA""))"),"OK")</f>
        <v>OK</v>
      </c>
    </row>
    <row r="4425">
      <c r="A4425" s="83" t="s">
        <v>4899</v>
      </c>
      <c r="B4425" s="83" t="s">
        <v>4900</v>
      </c>
      <c r="C4425" s="81" t="s">
        <v>4621</v>
      </c>
      <c r="D4425" s="83" t="s">
        <v>4186</v>
      </c>
      <c r="E4425" s="81" t="s">
        <v>691</v>
      </c>
      <c r="F4425" s="81">
        <v>113.0</v>
      </c>
      <c r="G4425" s="81" t="s">
        <v>2</v>
      </c>
      <c r="H4425" s="81" t="s">
        <v>224</v>
      </c>
      <c r="I4425" s="81" t="s">
        <v>213</v>
      </c>
      <c r="J4425" s="81" t="s">
        <v>224</v>
      </c>
      <c r="K4425" s="81" t="str">
        <f>IFERROR(__xludf.DUMMYFUNCTION("IF(OR(D4425="""",G4425=""""),"""",IFERROR(LET(
campo,XLOOKUP(TRIM(G4425),ARRAYFORMULA(TRIM('indice columnas'!$A$2:$A$100)),'indice columnas'!$B$2:$B$100,""""),
col,IFERROR(MATCH(campo,Referencia!$A$1:$AZ$1,0),0),
fila,IFERROR(MATCH(TO_TEXT(D4425),ARRAYFOR"&amp;"MULA(TO_TEXT(Referencia!$A$2:$A6238)),0),0),
IF(OR(campo="""",campo=""-""),""NO APLICA"",
IF(col=0,""REVISAR EQUIVALENCIA"",
IF(fila=0,""SKU NO ENCONTRADO"",
LET(
valor,INDEX(Referencia!$A$2:$AZ6238,fila,col),
IF(TRIM(TO_TEXT(valor))=TRIM(TO_TEXT(I4425)),"&amp;"
""OK"",
""NO COINCIDE. Valor verdadero: ""&amp;IF(valor="""",""[VACÍO]"",TO_TEXT(valor))
)
))))
),""ERROR EN FÓRMULA""))"),"OK")</f>
        <v>OK</v>
      </c>
    </row>
    <row r="4426">
      <c r="A4426" s="83" t="s">
        <v>4899</v>
      </c>
      <c r="B4426" s="83" t="s">
        <v>4900</v>
      </c>
      <c r="C4426" s="81" t="s">
        <v>4621</v>
      </c>
      <c r="D4426" s="83" t="s">
        <v>4188</v>
      </c>
      <c r="E4426" s="81" t="s">
        <v>701</v>
      </c>
      <c r="F4426" s="81">
        <v>116.0</v>
      </c>
      <c r="G4426" s="81" t="s">
        <v>3</v>
      </c>
      <c r="H4426" s="81" t="s">
        <v>224</v>
      </c>
      <c r="I4426" s="81" t="s">
        <v>51</v>
      </c>
      <c r="J4426" s="81" t="s">
        <v>224</v>
      </c>
      <c r="K4426" s="81" t="str">
        <f>IFERROR(__xludf.DUMMYFUNCTION("IF(OR(D4426="""",G4426=""""),"""",IFERROR(LET(
campo,XLOOKUP(TRIM(G4426),ARRAYFORMULA(TRIM('indice columnas'!$A$2:$A$100)),'indice columnas'!$B$2:$B$100,""""),
col,IFERROR(MATCH(campo,Referencia!$A$1:$AZ$1,0),0),
fila,IFERROR(MATCH(TO_TEXT(D4426),ARRAYFOR"&amp;"MULA(TO_TEXT(Referencia!$A$2:$A6238)),0),0),
IF(OR(campo="""",campo=""-""),""NO APLICA"",
IF(col=0,""REVISAR EQUIVALENCIA"",
IF(fila=0,""SKU NO ENCONTRADO"",
LET(
valor,INDEX(Referencia!$A$2:$AZ6238,fila,col),
IF(TRIM(TO_TEXT(valor))=TRIM(TO_TEXT(I4426)),"&amp;"
""OK"",
""NO COINCIDE. Valor verdadero: ""&amp;IF(valor="""",""[VACÍO]"",TO_TEXT(valor))
)
))))
),""ERROR EN FÓRMULA""))"),"OK")</f>
        <v>OK</v>
      </c>
    </row>
    <row r="4427">
      <c r="A4427" s="83" t="s">
        <v>4899</v>
      </c>
      <c r="B4427" s="83" t="s">
        <v>4900</v>
      </c>
      <c r="C4427" s="81" t="s">
        <v>4621</v>
      </c>
      <c r="D4427" s="83" t="s">
        <v>4188</v>
      </c>
      <c r="E4427" s="81" t="s">
        <v>701</v>
      </c>
      <c r="F4427" s="81">
        <v>116.0</v>
      </c>
      <c r="G4427" s="81" t="s">
        <v>2</v>
      </c>
      <c r="H4427" s="81" t="s">
        <v>224</v>
      </c>
      <c r="I4427" s="81" t="s">
        <v>213</v>
      </c>
      <c r="J4427" s="81" t="s">
        <v>224</v>
      </c>
      <c r="K4427" s="81" t="str">
        <f>IFERROR(__xludf.DUMMYFUNCTION("IF(OR(D4427="""",G4427=""""),"""",IFERROR(LET(
campo,XLOOKUP(TRIM(G4427),ARRAYFORMULA(TRIM('indice columnas'!$A$2:$A$100)),'indice columnas'!$B$2:$B$100,""""),
col,IFERROR(MATCH(campo,Referencia!$A$1:$AZ$1,0),0),
fila,IFERROR(MATCH(TO_TEXT(D4427),ARRAYFOR"&amp;"MULA(TO_TEXT(Referencia!$A$2:$A6238)),0),0),
IF(OR(campo="""",campo=""-""),""NO APLICA"",
IF(col=0,""REVISAR EQUIVALENCIA"",
IF(fila=0,""SKU NO ENCONTRADO"",
LET(
valor,INDEX(Referencia!$A$2:$AZ6238,fila,col),
IF(TRIM(TO_TEXT(valor))=TRIM(TO_TEXT(I4427)),"&amp;"
""OK"",
""NO COINCIDE. Valor verdadero: ""&amp;IF(valor="""",""[VACÍO]"",TO_TEXT(valor))
)
))))
),""ERROR EN FÓRMULA""))"),"OK")</f>
        <v>OK</v>
      </c>
    </row>
    <row r="4428">
      <c r="A4428" s="83" t="s">
        <v>4899</v>
      </c>
      <c r="B4428" s="83" t="s">
        <v>4900</v>
      </c>
      <c r="C4428" s="81" t="s">
        <v>4621</v>
      </c>
      <c r="D4428" s="83" t="s">
        <v>4188</v>
      </c>
      <c r="E4428" s="81" t="s">
        <v>701</v>
      </c>
      <c r="F4428" s="81">
        <v>116.0</v>
      </c>
      <c r="G4428" s="81" t="s">
        <v>1</v>
      </c>
      <c r="H4428" s="81" t="s">
        <v>224</v>
      </c>
      <c r="I4428" s="81" t="s">
        <v>49</v>
      </c>
      <c r="J4428" s="81" t="s">
        <v>224</v>
      </c>
      <c r="K4428" s="81" t="str">
        <f>IFERROR(__xludf.DUMMYFUNCTION("IF(OR(D4428="""",G4428=""""),"""",IFERROR(LET(
campo,XLOOKUP(TRIM(G4428),ARRAYFORMULA(TRIM('indice columnas'!$A$2:$A$100)),'indice columnas'!$B$2:$B$100,""""),
col,IFERROR(MATCH(campo,Referencia!$A$1:$AZ$1,0),0),
fila,IFERROR(MATCH(TO_TEXT(D4428),ARRAYFOR"&amp;"MULA(TO_TEXT(Referencia!$A$2:$A6238)),0),0),
IF(OR(campo="""",campo=""-""),""NO APLICA"",
IF(col=0,""REVISAR EQUIVALENCIA"",
IF(fila=0,""SKU NO ENCONTRADO"",
LET(
valor,INDEX(Referencia!$A$2:$AZ6238,fila,col),
IF(TRIM(TO_TEXT(valor))=TRIM(TO_TEXT(I4428)),"&amp;"
""OK"",
""NO COINCIDE. Valor verdadero: ""&amp;IF(valor="""",""[VACÍO]"",TO_TEXT(valor))
)
))))
),""ERROR EN FÓRMULA""))"),"OK")</f>
        <v>OK</v>
      </c>
    </row>
    <row r="4429">
      <c r="A4429" s="83" t="s">
        <v>4899</v>
      </c>
      <c r="B4429" s="83" t="s">
        <v>4900</v>
      </c>
      <c r="C4429" s="81" t="s">
        <v>4621</v>
      </c>
      <c r="D4429" s="83" t="s">
        <v>4189</v>
      </c>
      <c r="E4429" s="81" t="s">
        <v>703</v>
      </c>
      <c r="F4429" s="81">
        <v>117.0</v>
      </c>
      <c r="G4429" s="81" t="s">
        <v>3</v>
      </c>
      <c r="H4429" s="81" t="s">
        <v>376</v>
      </c>
      <c r="I4429" s="81" t="s">
        <v>344</v>
      </c>
      <c r="J4429" s="81" t="s">
        <v>224</v>
      </c>
      <c r="K4429" s="81" t="str">
        <f>IFERROR(__xludf.DUMMYFUNCTION("IF(OR(D4429="""",G4429=""""),"""",IFERROR(LET(
campo,XLOOKUP(TRIM(G4429),ARRAYFORMULA(TRIM('indice columnas'!$A$2:$A$100)),'indice columnas'!$B$2:$B$100,""""),
col,IFERROR(MATCH(campo,Referencia!$A$1:$AZ$1,0),0),
fila,IFERROR(MATCH(TO_TEXT(D4429),ARRAYFOR"&amp;"MULA(TO_TEXT(Referencia!$A$2:$A6238)),0),0),
IF(OR(campo="""",campo=""-""),""NO APLICA"",
IF(col=0,""REVISAR EQUIVALENCIA"",
IF(fila=0,""SKU NO ENCONTRADO"",
LET(
valor,INDEX(Referencia!$A$2:$AZ6238,fila,col),
IF(TRIM(TO_TEXT(valor))=TRIM(TO_TEXT(I4429)),"&amp;"
""OK"",
""NO COINCIDE. Valor verdadero: ""&amp;IF(valor="""",""[VACÍO]"",TO_TEXT(valor))
)
))))
),""ERROR EN FÓRMULA""))"),"OK")</f>
        <v>OK</v>
      </c>
    </row>
    <row r="4430">
      <c r="A4430" s="83" t="s">
        <v>4899</v>
      </c>
      <c r="B4430" s="83" t="s">
        <v>4900</v>
      </c>
      <c r="C4430" s="81" t="s">
        <v>4621</v>
      </c>
      <c r="D4430" s="83" t="s">
        <v>4191</v>
      </c>
      <c r="E4430" s="81" t="s">
        <v>710</v>
      </c>
      <c r="F4430" s="81">
        <v>118.0</v>
      </c>
      <c r="G4430" s="81" t="s">
        <v>3</v>
      </c>
      <c r="H4430" s="81" t="s">
        <v>376</v>
      </c>
      <c r="I4430" s="81" t="s">
        <v>344</v>
      </c>
      <c r="J4430" s="81" t="s">
        <v>224</v>
      </c>
      <c r="K4430" s="81" t="str">
        <f>IFERROR(__xludf.DUMMYFUNCTION("IF(OR(D4430="""",G4430=""""),"""",IFERROR(LET(
campo,XLOOKUP(TRIM(G4430),ARRAYFORMULA(TRIM('indice columnas'!$A$2:$A$100)),'indice columnas'!$B$2:$B$100,""""),
col,IFERROR(MATCH(campo,Referencia!$A$1:$AZ$1,0),0),
fila,IFERROR(MATCH(TO_TEXT(D4430),ARRAYFOR"&amp;"MULA(TO_TEXT(Referencia!$A$2:$A6238)),0),0),
IF(OR(campo="""",campo=""-""),""NO APLICA"",
IF(col=0,""REVISAR EQUIVALENCIA"",
IF(fila=0,""SKU NO ENCONTRADO"",
LET(
valor,INDEX(Referencia!$A$2:$AZ6238,fila,col),
IF(TRIM(TO_TEXT(valor))=TRIM(TO_TEXT(I4430)),"&amp;"
""OK"",
""NO COINCIDE. Valor verdadero: ""&amp;IF(valor="""",""[VACÍO]"",TO_TEXT(valor))
)
))))
),""ERROR EN FÓRMULA""))"),"OK")</f>
        <v>OK</v>
      </c>
    </row>
    <row r="4431">
      <c r="A4431" s="83" t="s">
        <v>4899</v>
      </c>
      <c r="B4431" s="83" t="s">
        <v>4900</v>
      </c>
      <c r="C4431" s="81" t="s">
        <v>4621</v>
      </c>
      <c r="D4431" s="83" t="s">
        <v>4195</v>
      </c>
      <c r="E4431" s="81" t="s">
        <v>728</v>
      </c>
      <c r="F4431" s="81">
        <v>121.0</v>
      </c>
      <c r="G4431" s="81" t="s">
        <v>3</v>
      </c>
      <c r="H4431" s="81" t="s">
        <v>224</v>
      </c>
      <c r="I4431" s="81" t="s">
        <v>51</v>
      </c>
      <c r="J4431" s="81" t="s">
        <v>224</v>
      </c>
      <c r="K4431" s="81" t="str">
        <f>IFERROR(__xludf.DUMMYFUNCTION("IF(OR(D4431="""",G4431=""""),"""",IFERROR(LET(
campo,XLOOKUP(TRIM(G4431),ARRAYFORMULA(TRIM('indice columnas'!$A$2:$A$100)),'indice columnas'!$B$2:$B$100,""""),
col,IFERROR(MATCH(campo,Referencia!$A$1:$AZ$1,0),0),
fila,IFERROR(MATCH(TO_TEXT(D4431),ARRAYFOR"&amp;"MULA(TO_TEXT(Referencia!$A$2:$A6238)),0),0),
IF(OR(campo="""",campo=""-""),""NO APLICA"",
IF(col=0,""REVISAR EQUIVALENCIA"",
IF(fila=0,""SKU NO ENCONTRADO"",
LET(
valor,INDEX(Referencia!$A$2:$AZ6238,fila,col),
IF(TRIM(TO_TEXT(valor))=TRIM(TO_TEXT(I4431)),"&amp;"
""OK"",
""NO COINCIDE. Valor verdadero: ""&amp;IF(valor="""",""[VACÍO]"",TO_TEXT(valor))
)
))))
),""ERROR EN FÓRMULA""))"),"OK")</f>
        <v>OK</v>
      </c>
    </row>
    <row r="4432">
      <c r="A4432" s="83" t="s">
        <v>4899</v>
      </c>
      <c r="B4432" s="83" t="s">
        <v>4900</v>
      </c>
      <c r="C4432" s="81" t="s">
        <v>4621</v>
      </c>
      <c r="D4432" s="83" t="s">
        <v>4195</v>
      </c>
      <c r="E4432" s="81" t="s">
        <v>728</v>
      </c>
      <c r="F4432" s="81">
        <v>121.0</v>
      </c>
      <c r="G4432" s="81" t="s">
        <v>2</v>
      </c>
      <c r="H4432" s="81" t="s">
        <v>224</v>
      </c>
      <c r="I4432" s="81" t="s">
        <v>213</v>
      </c>
      <c r="J4432" s="81" t="s">
        <v>224</v>
      </c>
      <c r="K4432" s="81" t="str">
        <f>IFERROR(__xludf.DUMMYFUNCTION("IF(OR(D4432="""",G4432=""""),"""",IFERROR(LET(
campo,XLOOKUP(TRIM(G4432),ARRAYFORMULA(TRIM('indice columnas'!$A$2:$A$100)),'indice columnas'!$B$2:$B$100,""""),
col,IFERROR(MATCH(campo,Referencia!$A$1:$AZ$1,0),0),
fila,IFERROR(MATCH(TO_TEXT(D4432),ARRAYFOR"&amp;"MULA(TO_TEXT(Referencia!$A$2:$A6238)),0),0),
IF(OR(campo="""",campo=""-""),""NO APLICA"",
IF(col=0,""REVISAR EQUIVALENCIA"",
IF(fila=0,""SKU NO ENCONTRADO"",
LET(
valor,INDEX(Referencia!$A$2:$AZ6238,fila,col),
IF(TRIM(TO_TEXT(valor))=TRIM(TO_TEXT(I4432)),"&amp;"
""OK"",
""NO COINCIDE. Valor verdadero: ""&amp;IF(valor="""",""[VACÍO]"",TO_TEXT(valor))
)
))))
),""ERROR EN FÓRMULA""))"),"OK")</f>
        <v>OK</v>
      </c>
    </row>
    <row r="4433">
      <c r="A4433" s="83" t="s">
        <v>4899</v>
      </c>
      <c r="B4433" s="83" t="s">
        <v>4900</v>
      </c>
      <c r="C4433" s="81" t="s">
        <v>4621</v>
      </c>
      <c r="D4433" s="83" t="s">
        <v>4196</v>
      </c>
      <c r="E4433" s="81" t="s">
        <v>741</v>
      </c>
      <c r="F4433" s="81">
        <v>123.0</v>
      </c>
      <c r="G4433" s="81" t="s">
        <v>3</v>
      </c>
      <c r="H4433" s="81" t="s">
        <v>376</v>
      </c>
      <c r="I4433" s="81" t="s">
        <v>344</v>
      </c>
      <c r="J4433" s="81" t="s">
        <v>224</v>
      </c>
      <c r="K4433" s="81" t="str">
        <f>IFERROR(__xludf.DUMMYFUNCTION("IF(OR(D4433="""",G4433=""""),"""",IFERROR(LET(
campo,XLOOKUP(TRIM(G4433),ARRAYFORMULA(TRIM('indice columnas'!$A$2:$A$100)),'indice columnas'!$B$2:$B$100,""""),
col,IFERROR(MATCH(campo,Referencia!$A$1:$AZ$1,0),0),
fila,IFERROR(MATCH(TO_TEXT(D4433),ARRAYFOR"&amp;"MULA(TO_TEXT(Referencia!$A$2:$A6238)),0),0),
IF(OR(campo="""",campo=""-""),""NO APLICA"",
IF(col=0,""REVISAR EQUIVALENCIA"",
IF(fila=0,""SKU NO ENCONTRADO"",
LET(
valor,INDEX(Referencia!$A$2:$AZ6238,fila,col),
IF(TRIM(TO_TEXT(valor))=TRIM(TO_TEXT(I4433)),"&amp;"
""OK"",
""NO COINCIDE. Valor verdadero: ""&amp;IF(valor="""",""[VACÍO]"",TO_TEXT(valor))
)
))))
),""ERROR EN FÓRMULA""))"),"OK")</f>
        <v>OK</v>
      </c>
    </row>
    <row r="4434">
      <c r="A4434" s="83" t="s">
        <v>4899</v>
      </c>
      <c r="B4434" s="83" t="s">
        <v>4900</v>
      </c>
      <c r="C4434" s="81" t="s">
        <v>4621</v>
      </c>
      <c r="D4434" s="83" t="s">
        <v>4198</v>
      </c>
      <c r="E4434" s="81" t="s">
        <v>742</v>
      </c>
      <c r="F4434" s="81">
        <v>124.0</v>
      </c>
      <c r="G4434" s="81" t="s">
        <v>3</v>
      </c>
      <c r="H4434" s="81" t="s">
        <v>224</v>
      </c>
      <c r="I4434" s="81" t="s">
        <v>344</v>
      </c>
      <c r="J4434" s="81" t="s">
        <v>224</v>
      </c>
      <c r="K4434" s="81" t="str">
        <f>IFERROR(__xludf.DUMMYFUNCTION("IF(OR(D4434="""",G4434=""""),"""",IFERROR(LET(
campo,XLOOKUP(TRIM(G4434),ARRAYFORMULA(TRIM('indice columnas'!$A$2:$A$100)),'indice columnas'!$B$2:$B$100,""""),
col,IFERROR(MATCH(campo,Referencia!$A$1:$AZ$1,0),0),
fila,IFERROR(MATCH(TO_TEXT(D4434),ARRAYFOR"&amp;"MULA(TO_TEXT(Referencia!$A$2:$A6238)),0),0),
IF(OR(campo="""",campo=""-""),""NO APLICA"",
IF(col=0,""REVISAR EQUIVALENCIA"",
IF(fila=0,""SKU NO ENCONTRADO"",
LET(
valor,INDEX(Referencia!$A$2:$AZ6238,fila,col),
IF(TRIM(TO_TEXT(valor))=TRIM(TO_TEXT(I4434)),"&amp;"
""OK"",
""NO COINCIDE. Valor verdadero: ""&amp;IF(valor="""",""[VACÍO]"",TO_TEXT(valor))
)
))))
),""ERROR EN FÓRMULA""))"),"OK")</f>
        <v>OK</v>
      </c>
    </row>
    <row r="4435">
      <c r="A4435" s="83" t="s">
        <v>4899</v>
      </c>
      <c r="B4435" s="83" t="s">
        <v>4900</v>
      </c>
      <c r="C4435" s="81" t="s">
        <v>4621</v>
      </c>
      <c r="D4435" s="83" t="s">
        <v>4198</v>
      </c>
      <c r="E4435" s="81" t="s">
        <v>742</v>
      </c>
      <c r="F4435" s="81">
        <v>124.0</v>
      </c>
      <c r="G4435" s="81" t="s">
        <v>2</v>
      </c>
      <c r="H4435" s="81" t="s">
        <v>224</v>
      </c>
      <c r="I4435" s="81" t="s">
        <v>213</v>
      </c>
      <c r="J4435" s="81" t="s">
        <v>224</v>
      </c>
      <c r="K4435" s="81" t="str">
        <f>IFERROR(__xludf.DUMMYFUNCTION("IF(OR(D4435="""",G4435=""""),"""",IFERROR(LET(
campo,XLOOKUP(TRIM(G4435),ARRAYFORMULA(TRIM('indice columnas'!$A$2:$A$100)),'indice columnas'!$B$2:$B$100,""""),
col,IFERROR(MATCH(campo,Referencia!$A$1:$AZ$1,0),0),
fila,IFERROR(MATCH(TO_TEXT(D4435),ARRAYFOR"&amp;"MULA(TO_TEXT(Referencia!$A$2:$A6238)),0),0),
IF(OR(campo="""",campo=""-""),""NO APLICA"",
IF(col=0,""REVISAR EQUIVALENCIA"",
IF(fila=0,""SKU NO ENCONTRADO"",
LET(
valor,INDEX(Referencia!$A$2:$AZ6238,fila,col),
IF(TRIM(TO_TEXT(valor))=TRIM(TO_TEXT(I4435)),"&amp;"
""OK"",
""NO COINCIDE. Valor verdadero: ""&amp;IF(valor="""",""[VACÍO]"",TO_TEXT(valor))
)
))))
),""ERROR EN FÓRMULA""))"),"OK")</f>
        <v>OK</v>
      </c>
    </row>
    <row r="4436">
      <c r="A4436" s="83" t="s">
        <v>4899</v>
      </c>
      <c r="B4436" s="83" t="s">
        <v>4900</v>
      </c>
      <c r="C4436" s="81" t="s">
        <v>4621</v>
      </c>
      <c r="D4436" s="83" t="s">
        <v>4198</v>
      </c>
      <c r="E4436" s="81" t="s">
        <v>742</v>
      </c>
      <c r="F4436" s="81">
        <v>124.0</v>
      </c>
      <c r="G4436" s="81" t="s">
        <v>1</v>
      </c>
      <c r="H4436" s="81" t="s">
        <v>224</v>
      </c>
      <c r="I4436" s="81" t="s">
        <v>717</v>
      </c>
      <c r="J4436" s="81" t="s">
        <v>224</v>
      </c>
      <c r="K4436" s="81" t="str">
        <f>IFERROR(__xludf.DUMMYFUNCTION("IF(OR(D4436="""",G4436=""""),"""",IFERROR(LET(
campo,XLOOKUP(TRIM(G4436),ARRAYFORMULA(TRIM('indice columnas'!$A$2:$A$100)),'indice columnas'!$B$2:$B$100,""""),
col,IFERROR(MATCH(campo,Referencia!$A$1:$AZ$1,0),0),
fila,IFERROR(MATCH(TO_TEXT(D4436),ARRAYFOR"&amp;"MULA(TO_TEXT(Referencia!$A$2:$A6238)),0),0),
IF(OR(campo="""",campo=""-""),""NO APLICA"",
IF(col=0,""REVISAR EQUIVALENCIA"",
IF(fila=0,""SKU NO ENCONTRADO"",
LET(
valor,INDEX(Referencia!$A$2:$AZ6238,fila,col),
IF(TRIM(TO_TEXT(valor))=TRIM(TO_TEXT(I4436)),"&amp;"
""OK"",
""NO COINCIDE. Valor verdadero: ""&amp;IF(valor="""",""[VACÍO]"",TO_TEXT(valor))
)
))))
),""ERROR EN FÓRMULA""))"),"OK")</f>
        <v>OK</v>
      </c>
    </row>
    <row r="4437">
      <c r="A4437" s="83" t="s">
        <v>4899</v>
      </c>
      <c r="B4437" s="83" t="s">
        <v>4900</v>
      </c>
      <c r="C4437" s="81" t="s">
        <v>4621</v>
      </c>
      <c r="D4437" s="83" t="s">
        <v>4201</v>
      </c>
      <c r="E4437" s="81" t="s">
        <v>754</v>
      </c>
      <c r="F4437" s="81">
        <v>127.0</v>
      </c>
      <c r="G4437" s="81" t="s">
        <v>3</v>
      </c>
      <c r="H4437" s="81" t="s">
        <v>224</v>
      </c>
      <c r="I4437" s="81" t="s">
        <v>51</v>
      </c>
      <c r="J4437" s="81" t="s">
        <v>224</v>
      </c>
      <c r="K4437" s="81" t="str">
        <f>IFERROR(__xludf.DUMMYFUNCTION("IF(OR(D4437="""",G4437=""""),"""",IFERROR(LET(
campo,XLOOKUP(TRIM(G4437),ARRAYFORMULA(TRIM('indice columnas'!$A$2:$A$100)),'indice columnas'!$B$2:$B$100,""""),
col,IFERROR(MATCH(campo,Referencia!$A$1:$AZ$1,0),0),
fila,IFERROR(MATCH(TO_TEXT(D4437),ARRAYFOR"&amp;"MULA(TO_TEXT(Referencia!$A$2:$A6238)),0),0),
IF(OR(campo="""",campo=""-""),""NO APLICA"",
IF(col=0,""REVISAR EQUIVALENCIA"",
IF(fila=0,""SKU NO ENCONTRADO"",
LET(
valor,INDEX(Referencia!$A$2:$AZ6238,fila,col),
IF(TRIM(TO_TEXT(valor))=TRIM(TO_TEXT(I4437)),"&amp;"
""OK"",
""NO COINCIDE. Valor verdadero: ""&amp;IF(valor="""",""[VACÍO]"",TO_TEXT(valor))
)
))))
),""ERROR EN FÓRMULA""))"),"OK")</f>
        <v>OK</v>
      </c>
    </row>
    <row r="4438">
      <c r="A4438" s="83" t="s">
        <v>4899</v>
      </c>
      <c r="B4438" s="83" t="s">
        <v>4900</v>
      </c>
      <c r="C4438" s="81" t="s">
        <v>4621</v>
      </c>
      <c r="D4438" s="83" t="s">
        <v>4201</v>
      </c>
      <c r="E4438" s="81" t="s">
        <v>754</v>
      </c>
      <c r="F4438" s="81">
        <v>127.0</v>
      </c>
      <c r="G4438" s="81" t="s">
        <v>2</v>
      </c>
      <c r="H4438" s="81" t="s">
        <v>224</v>
      </c>
      <c r="I4438" s="81" t="s">
        <v>213</v>
      </c>
      <c r="J4438" s="81" t="s">
        <v>224</v>
      </c>
      <c r="K4438" s="81" t="str">
        <f>IFERROR(__xludf.DUMMYFUNCTION("IF(OR(D4438="""",G4438=""""),"""",IFERROR(LET(
campo,XLOOKUP(TRIM(G4438),ARRAYFORMULA(TRIM('indice columnas'!$A$2:$A$100)),'indice columnas'!$B$2:$B$100,""""),
col,IFERROR(MATCH(campo,Referencia!$A$1:$AZ$1,0),0),
fila,IFERROR(MATCH(TO_TEXT(D4438),ARRAYFOR"&amp;"MULA(TO_TEXT(Referencia!$A$2:$A6238)),0),0),
IF(OR(campo="""",campo=""-""),""NO APLICA"",
IF(col=0,""REVISAR EQUIVALENCIA"",
IF(fila=0,""SKU NO ENCONTRADO"",
LET(
valor,INDEX(Referencia!$A$2:$AZ6238,fila,col),
IF(TRIM(TO_TEXT(valor))=TRIM(TO_TEXT(I4438)),"&amp;"
""OK"",
""NO COINCIDE. Valor verdadero: ""&amp;IF(valor="""",""[VACÍO]"",TO_TEXT(valor))
)
))))
),""ERROR EN FÓRMULA""))"),"OK")</f>
        <v>OK</v>
      </c>
    </row>
    <row r="4439">
      <c r="A4439" s="83" t="s">
        <v>4899</v>
      </c>
      <c r="B4439" s="83" t="s">
        <v>4900</v>
      </c>
      <c r="C4439" s="81" t="s">
        <v>4621</v>
      </c>
      <c r="D4439" s="83" t="s">
        <v>4202</v>
      </c>
      <c r="E4439" s="81" t="s">
        <v>766</v>
      </c>
      <c r="F4439" s="81">
        <v>129.0</v>
      </c>
      <c r="G4439" s="81" t="s">
        <v>3</v>
      </c>
      <c r="H4439" s="81" t="s">
        <v>376</v>
      </c>
      <c r="I4439" s="81" t="s">
        <v>344</v>
      </c>
      <c r="J4439" s="81" t="s">
        <v>224</v>
      </c>
      <c r="K4439" s="81" t="str">
        <f>IFERROR(__xludf.DUMMYFUNCTION("IF(OR(D4439="""",G4439=""""),"""",IFERROR(LET(
campo,XLOOKUP(TRIM(G4439),ARRAYFORMULA(TRIM('indice columnas'!$A$2:$A$100)),'indice columnas'!$B$2:$B$100,""""),
col,IFERROR(MATCH(campo,Referencia!$A$1:$AZ$1,0),0),
fila,IFERROR(MATCH(TO_TEXT(D4439),ARRAYFOR"&amp;"MULA(TO_TEXT(Referencia!$A$2:$A6238)),0),0),
IF(OR(campo="""",campo=""-""),""NO APLICA"",
IF(col=0,""REVISAR EQUIVALENCIA"",
IF(fila=0,""SKU NO ENCONTRADO"",
LET(
valor,INDEX(Referencia!$A$2:$AZ6238,fila,col),
IF(TRIM(TO_TEXT(valor))=TRIM(TO_TEXT(I4439)),"&amp;"
""OK"",
""NO COINCIDE. Valor verdadero: ""&amp;IF(valor="""",""[VACÍO]"",TO_TEXT(valor))
)
))))
),""ERROR EN FÓRMULA""))"),"OK")</f>
        <v>OK</v>
      </c>
    </row>
    <row r="4440">
      <c r="A4440" s="83" t="s">
        <v>4899</v>
      </c>
      <c r="B4440" s="83" t="s">
        <v>4900</v>
      </c>
      <c r="C4440" s="81" t="s">
        <v>4621</v>
      </c>
      <c r="D4440" s="83" t="s">
        <v>4204</v>
      </c>
      <c r="E4440" s="81" t="s">
        <v>767</v>
      </c>
      <c r="F4440" s="81">
        <v>130.0</v>
      </c>
      <c r="G4440" s="81" t="s">
        <v>3</v>
      </c>
      <c r="H4440" s="81" t="s">
        <v>224</v>
      </c>
      <c r="I4440" s="81" t="s">
        <v>344</v>
      </c>
      <c r="J4440" s="81" t="s">
        <v>224</v>
      </c>
      <c r="K4440" s="81" t="str">
        <f>IFERROR(__xludf.DUMMYFUNCTION("IF(OR(D4440="""",G4440=""""),"""",IFERROR(LET(
campo,XLOOKUP(TRIM(G4440),ARRAYFORMULA(TRIM('indice columnas'!$A$2:$A$100)),'indice columnas'!$B$2:$B$100,""""),
col,IFERROR(MATCH(campo,Referencia!$A$1:$AZ$1,0),0),
fila,IFERROR(MATCH(TO_TEXT(D4440),ARRAYFOR"&amp;"MULA(TO_TEXT(Referencia!$A$2:$A6238)),0),0),
IF(OR(campo="""",campo=""-""),""NO APLICA"",
IF(col=0,""REVISAR EQUIVALENCIA"",
IF(fila=0,""SKU NO ENCONTRADO"",
LET(
valor,INDEX(Referencia!$A$2:$AZ6238,fila,col),
IF(TRIM(TO_TEXT(valor))=TRIM(TO_TEXT(I4440)),"&amp;"
""OK"",
""NO COINCIDE. Valor verdadero: ""&amp;IF(valor="""",""[VACÍO]"",TO_TEXT(valor))
)
))))
),""ERROR EN FÓRMULA""))"),"OK")</f>
        <v>OK</v>
      </c>
    </row>
    <row r="4441">
      <c r="A4441" s="83" t="s">
        <v>4899</v>
      </c>
      <c r="B4441" s="83" t="s">
        <v>4900</v>
      </c>
      <c r="C4441" s="81" t="s">
        <v>4621</v>
      </c>
      <c r="D4441" s="83" t="s">
        <v>4204</v>
      </c>
      <c r="E4441" s="81" t="s">
        <v>767</v>
      </c>
      <c r="F4441" s="81">
        <v>130.0</v>
      </c>
      <c r="G4441" s="81" t="s">
        <v>2</v>
      </c>
      <c r="H4441" s="81" t="s">
        <v>224</v>
      </c>
      <c r="I4441" s="81" t="s">
        <v>213</v>
      </c>
      <c r="J4441" s="81" t="s">
        <v>224</v>
      </c>
      <c r="K4441" s="81" t="str">
        <f>IFERROR(__xludf.DUMMYFUNCTION("IF(OR(D4441="""",G4441=""""),"""",IFERROR(LET(
campo,XLOOKUP(TRIM(G4441),ARRAYFORMULA(TRIM('indice columnas'!$A$2:$A$100)),'indice columnas'!$B$2:$B$100,""""),
col,IFERROR(MATCH(campo,Referencia!$A$1:$AZ$1,0),0),
fila,IFERROR(MATCH(TO_TEXT(D4441),ARRAYFOR"&amp;"MULA(TO_TEXT(Referencia!$A$2:$A6238)),0),0),
IF(OR(campo="""",campo=""-""),""NO APLICA"",
IF(col=0,""REVISAR EQUIVALENCIA"",
IF(fila=0,""SKU NO ENCONTRADO"",
LET(
valor,INDEX(Referencia!$A$2:$AZ6238,fila,col),
IF(TRIM(TO_TEXT(valor))=TRIM(TO_TEXT(I4441)),"&amp;"
""OK"",
""NO COINCIDE. Valor verdadero: ""&amp;IF(valor="""",""[VACÍO]"",TO_TEXT(valor))
)
))))
),""ERROR EN FÓRMULA""))"),"OK")</f>
        <v>OK</v>
      </c>
    </row>
    <row r="4442">
      <c r="A4442" s="83" t="s">
        <v>4899</v>
      </c>
      <c r="B4442" s="83" t="s">
        <v>4900</v>
      </c>
      <c r="C4442" s="81" t="s">
        <v>4621</v>
      </c>
      <c r="D4442" s="83" t="s">
        <v>4205</v>
      </c>
      <c r="E4442" s="81" t="s">
        <v>770</v>
      </c>
      <c r="F4442" s="81">
        <v>131.0</v>
      </c>
      <c r="G4442" s="81" t="s">
        <v>3</v>
      </c>
      <c r="H4442" s="81" t="s">
        <v>224</v>
      </c>
      <c r="I4442" s="81" t="s">
        <v>51</v>
      </c>
      <c r="J4442" s="81" t="s">
        <v>224</v>
      </c>
      <c r="K4442" s="81" t="str">
        <f>IFERROR(__xludf.DUMMYFUNCTION("IF(OR(D4442="""",G4442=""""),"""",IFERROR(LET(
campo,XLOOKUP(TRIM(G4442),ARRAYFORMULA(TRIM('indice columnas'!$A$2:$A$100)),'indice columnas'!$B$2:$B$100,""""),
col,IFERROR(MATCH(campo,Referencia!$A$1:$AZ$1,0),0),
fila,IFERROR(MATCH(TO_TEXT(D4442),ARRAYFOR"&amp;"MULA(TO_TEXT(Referencia!$A$2:$A6238)),0),0),
IF(OR(campo="""",campo=""-""),""NO APLICA"",
IF(col=0,""REVISAR EQUIVALENCIA"",
IF(fila=0,""SKU NO ENCONTRADO"",
LET(
valor,INDEX(Referencia!$A$2:$AZ6238,fila,col),
IF(TRIM(TO_TEXT(valor))=TRIM(TO_TEXT(I4442)),"&amp;"
""OK"",
""NO COINCIDE. Valor verdadero: ""&amp;IF(valor="""",""[VACÍO]"",TO_TEXT(valor))
)
))))
),""ERROR EN FÓRMULA""))"),"OK")</f>
        <v>OK</v>
      </c>
    </row>
    <row r="4443">
      <c r="A4443" s="83" t="s">
        <v>4899</v>
      </c>
      <c r="B4443" s="83" t="s">
        <v>4900</v>
      </c>
      <c r="C4443" s="81" t="s">
        <v>4621</v>
      </c>
      <c r="D4443" s="83" t="s">
        <v>4205</v>
      </c>
      <c r="E4443" s="81" t="s">
        <v>770</v>
      </c>
      <c r="F4443" s="81">
        <v>131.0</v>
      </c>
      <c r="G4443" s="81" t="s">
        <v>2</v>
      </c>
      <c r="H4443" s="81" t="s">
        <v>224</v>
      </c>
      <c r="I4443" s="81" t="s">
        <v>213</v>
      </c>
      <c r="J4443" s="81" t="s">
        <v>224</v>
      </c>
      <c r="K4443" s="81" t="str">
        <f>IFERROR(__xludf.DUMMYFUNCTION("IF(OR(D4443="""",G4443=""""),"""",IFERROR(LET(
campo,XLOOKUP(TRIM(G4443),ARRAYFORMULA(TRIM('indice columnas'!$A$2:$A$100)),'indice columnas'!$B$2:$B$100,""""),
col,IFERROR(MATCH(campo,Referencia!$A$1:$AZ$1,0),0),
fila,IFERROR(MATCH(TO_TEXT(D4443),ARRAYFOR"&amp;"MULA(TO_TEXT(Referencia!$A$2:$A6238)),0),0),
IF(OR(campo="""",campo=""-""),""NO APLICA"",
IF(col=0,""REVISAR EQUIVALENCIA"",
IF(fila=0,""SKU NO ENCONTRADO"",
LET(
valor,INDEX(Referencia!$A$2:$AZ6238,fila,col),
IF(TRIM(TO_TEXT(valor))=TRIM(TO_TEXT(I4443)),"&amp;"
""OK"",
""NO COINCIDE. Valor verdadero: ""&amp;IF(valor="""",""[VACÍO]"",TO_TEXT(valor))
)
))))
),""ERROR EN FÓRMULA""))"),"OK")</f>
        <v>OK</v>
      </c>
    </row>
    <row r="4444">
      <c r="A4444" s="83" t="s">
        <v>4899</v>
      </c>
      <c r="B4444" s="83" t="s">
        <v>4900</v>
      </c>
      <c r="C4444" s="81" t="s">
        <v>4621</v>
      </c>
      <c r="D4444" s="83" t="s">
        <v>4206</v>
      </c>
      <c r="E4444" s="81" t="s">
        <v>776</v>
      </c>
      <c r="F4444" s="81">
        <v>132.0</v>
      </c>
      <c r="G4444" s="81" t="s">
        <v>3</v>
      </c>
      <c r="H4444" s="81" t="s">
        <v>224</v>
      </c>
      <c r="I4444" s="81" t="s">
        <v>51</v>
      </c>
      <c r="J4444" s="81" t="s">
        <v>224</v>
      </c>
      <c r="K4444" s="81" t="str">
        <f>IFERROR(__xludf.DUMMYFUNCTION("IF(OR(D4444="""",G4444=""""),"""",IFERROR(LET(
campo,XLOOKUP(TRIM(G4444),ARRAYFORMULA(TRIM('indice columnas'!$A$2:$A$100)),'indice columnas'!$B$2:$B$100,""""),
col,IFERROR(MATCH(campo,Referencia!$A$1:$AZ$1,0),0),
fila,IFERROR(MATCH(TO_TEXT(D4444),ARRAYFOR"&amp;"MULA(TO_TEXT(Referencia!$A$2:$A6238)),0),0),
IF(OR(campo="""",campo=""-""),""NO APLICA"",
IF(col=0,""REVISAR EQUIVALENCIA"",
IF(fila=0,""SKU NO ENCONTRADO"",
LET(
valor,INDEX(Referencia!$A$2:$AZ6238,fila,col),
IF(TRIM(TO_TEXT(valor))=TRIM(TO_TEXT(I4444)),"&amp;"
""OK"",
""NO COINCIDE. Valor verdadero: ""&amp;IF(valor="""",""[VACÍO]"",TO_TEXT(valor))
)
))))
),""ERROR EN FÓRMULA""))"),"OK")</f>
        <v>OK</v>
      </c>
    </row>
    <row r="4445">
      <c r="A4445" s="83" t="s">
        <v>4899</v>
      </c>
      <c r="B4445" s="83" t="s">
        <v>4900</v>
      </c>
      <c r="C4445" s="81" t="s">
        <v>4621</v>
      </c>
      <c r="D4445" s="83" t="s">
        <v>4206</v>
      </c>
      <c r="E4445" s="81" t="s">
        <v>776</v>
      </c>
      <c r="F4445" s="81">
        <v>132.0</v>
      </c>
      <c r="G4445" s="81" t="s">
        <v>2</v>
      </c>
      <c r="H4445" s="81" t="s">
        <v>224</v>
      </c>
      <c r="I4445" s="81" t="s">
        <v>213</v>
      </c>
      <c r="J4445" s="81" t="s">
        <v>224</v>
      </c>
      <c r="K4445" s="81" t="str">
        <f>IFERROR(__xludf.DUMMYFUNCTION("IF(OR(D4445="""",G4445=""""),"""",IFERROR(LET(
campo,XLOOKUP(TRIM(G4445),ARRAYFORMULA(TRIM('indice columnas'!$A$2:$A$100)),'indice columnas'!$B$2:$B$100,""""),
col,IFERROR(MATCH(campo,Referencia!$A$1:$AZ$1,0),0),
fila,IFERROR(MATCH(TO_TEXT(D4445),ARRAYFOR"&amp;"MULA(TO_TEXT(Referencia!$A$2:$A6238)),0),0),
IF(OR(campo="""",campo=""-""),""NO APLICA"",
IF(col=0,""REVISAR EQUIVALENCIA"",
IF(fila=0,""SKU NO ENCONTRADO"",
LET(
valor,INDEX(Referencia!$A$2:$AZ6238,fila,col),
IF(TRIM(TO_TEXT(valor))=TRIM(TO_TEXT(I4445)),"&amp;"
""OK"",
""NO COINCIDE. Valor verdadero: ""&amp;IF(valor="""",""[VACÍO]"",TO_TEXT(valor))
)
))))
),""ERROR EN FÓRMULA""))"),"OK")</f>
        <v>OK</v>
      </c>
    </row>
    <row r="4446">
      <c r="A4446" s="83" t="s">
        <v>4899</v>
      </c>
      <c r="B4446" s="83" t="s">
        <v>4900</v>
      </c>
      <c r="C4446" s="81" t="s">
        <v>4621</v>
      </c>
      <c r="D4446" s="83" t="s">
        <v>4207</v>
      </c>
      <c r="E4446" s="81" t="s">
        <v>779</v>
      </c>
      <c r="F4446" s="81">
        <v>133.0</v>
      </c>
      <c r="G4446" s="81" t="s">
        <v>3</v>
      </c>
      <c r="H4446" s="81" t="s">
        <v>224</v>
      </c>
      <c r="I4446" s="81" t="s">
        <v>344</v>
      </c>
      <c r="J4446" s="81" t="s">
        <v>224</v>
      </c>
      <c r="K4446" s="81" t="str">
        <f>IFERROR(__xludf.DUMMYFUNCTION("IF(OR(D4446="""",G4446=""""),"""",IFERROR(LET(
campo,XLOOKUP(TRIM(G4446),ARRAYFORMULA(TRIM('indice columnas'!$A$2:$A$100)),'indice columnas'!$B$2:$B$100,""""),
col,IFERROR(MATCH(campo,Referencia!$A$1:$AZ$1,0),0),
fila,IFERROR(MATCH(TO_TEXT(D4446),ARRAYFOR"&amp;"MULA(TO_TEXT(Referencia!$A$2:$A6238)),0),0),
IF(OR(campo="""",campo=""-""),""NO APLICA"",
IF(col=0,""REVISAR EQUIVALENCIA"",
IF(fila=0,""SKU NO ENCONTRADO"",
LET(
valor,INDEX(Referencia!$A$2:$AZ6238,fila,col),
IF(TRIM(TO_TEXT(valor))=TRIM(TO_TEXT(I4446)),"&amp;"
""OK"",
""NO COINCIDE. Valor verdadero: ""&amp;IF(valor="""",""[VACÍO]"",TO_TEXT(valor))
)
))))
),""ERROR EN FÓRMULA""))"),"OK")</f>
        <v>OK</v>
      </c>
    </row>
    <row r="4447">
      <c r="A4447" s="83" t="s">
        <v>4899</v>
      </c>
      <c r="B4447" s="83" t="s">
        <v>4900</v>
      </c>
      <c r="C4447" s="81" t="s">
        <v>4621</v>
      </c>
      <c r="D4447" s="83" t="s">
        <v>4207</v>
      </c>
      <c r="E4447" s="81" t="s">
        <v>779</v>
      </c>
      <c r="F4447" s="81">
        <v>133.0</v>
      </c>
      <c r="G4447" s="81" t="s">
        <v>2</v>
      </c>
      <c r="H4447" s="81" t="s">
        <v>224</v>
      </c>
      <c r="I4447" s="81" t="s">
        <v>213</v>
      </c>
      <c r="J4447" s="81" t="s">
        <v>224</v>
      </c>
      <c r="K4447" s="81" t="str">
        <f>IFERROR(__xludf.DUMMYFUNCTION("IF(OR(D4447="""",G4447=""""),"""",IFERROR(LET(
campo,XLOOKUP(TRIM(G4447),ARRAYFORMULA(TRIM('indice columnas'!$A$2:$A$100)),'indice columnas'!$B$2:$B$100,""""),
col,IFERROR(MATCH(campo,Referencia!$A$1:$AZ$1,0),0),
fila,IFERROR(MATCH(TO_TEXT(D4447),ARRAYFOR"&amp;"MULA(TO_TEXT(Referencia!$A$2:$A6238)),0),0),
IF(OR(campo="""",campo=""-""),""NO APLICA"",
IF(col=0,""REVISAR EQUIVALENCIA"",
IF(fila=0,""SKU NO ENCONTRADO"",
LET(
valor,INDEX(Referencia!$A$2:$AZ6238,fila,col),
IF(TRIM(TO_TEXT(valor))=TRIM(TO_TEXT(I4447)),"&amp;"
""OK"",
""NO COINCIDE. Valor verdadero: ""&amp;IF(valor="""",""[VACÍO]"",TO_TEXT(valor))
)
))))
),""ERROR EN FÓRMULA""))"),"OK")</f>
        <v>OK</v>
      </c>
    </row>
    <row r="4448">
      <c r="A4448" s="83" t="s">
        <v>4899</v>
      </c>
      <c r="B4448" s="83" t="s">
        <v>4900</v>
      </c>
      <c r="C4448" s="81" t="s">
        <v>4621</v>
      </c>
      <c r="D4448" s="83" t="s">
        <v>4207</v>
      </c>
      <c r="E4448" s="81" t="s">
        <v>779</v>
      </c>
      <c r="F4448" s="81">
        <v>133.0</v>
      </c>
      <c r="G4448" s="81" t="s">
        <v>1</v>
      </c>
      <c r="H4448" s="81" t="s">
        <v>224</v>
      </c>
      <c r="I4448" s="81" t="s">
        <v>717</v>
      </c>
      <c r="J4448" s="81" t="s">
        <v>224</v>
      </c>
      <c r="K4448" s="81" t="str">
        <f>IFERROR(__xludf.DUMMYFUNCTION("IF(OR(D4448="""",G4448=""""),"""",IFERROR(LET(
campo,XLOOKUP(TRIM(G4448),ARRAYFORMULA(TRIM('indice columnas'!$A$2:$A$100)),'indice columnas'!$B$2:$B$100,""""),
col,IFERROR(MATCH(campo,Referencia!$A$1:$AZ$1,0),0),
fila,IFERROR(MATCH(TO_TEXT(D4448),ARRAYFOR"&amp;"MULA(TO_TEXT(Referencia!$A$2:$A6238)),0),0),
IF(OR(campo="""",campo=""-""),""NO APLICA"",
IF(col=0,""REVISAR EQUIVALENCIA"",
IF(fila=0,""SKU NO ENCONTRADO"",
LET(
valor,INDEX(Referencia!$A$2:$AZ6238,fila,col),
IF(TRIM(TO_TEXT(valor))=TRIM(TO_TEXT(I4448)),"&amp;"
""OK"",
""NO COINCIDE. Valor verdadero: ""&amp;IF(valor="""",""[VACÍO]"",TO_TEXT(valor))
)
))))
),""ERROR EN FÓRMULA""))"),"OK")</f>
        <v>OK</v>
      </c>
    </row>
    <row r="4449">
      <c r="A4449" s="83" t="s">
        <v>4899</v>
      </c>
      <c r="B4449" s="83" t="s">
        <v>4900</v>
      </c>
      <c r="C4449" s="81" t="s">
        <v>4621</v>
      </c>
      <c r="D4449" s="83" t="s">
        <v>4208</v>
      </c>
      <c r="E4449" s="81" t="s">
        <v>786</v>
      </c>
      <c r="F4449" s="81">
        <v>134.0</v>
      </c>
      <c r="G4449" s="81" t="s">
        <v>3</v>
      </c>
      <c r="H4449" s="81" t="s">
        <v>224</v>
      </c>
      <c r="I4449" s="81" t="s">
        <v>344</v>
      </c>
      <c r="J4449" s="81" t="s">
        <v>224</v>
      </c>
      <c r="K4449" s="81" t="str">
        <f>IFERROR(__xludf.DUMMYFUNCTION("IF(OR(D4449="""",G4449=""""),"""",IFERROR(LET(
campo,XLOOKUP(TRIM(G4449),ARRAYFORMULA(TRIM('indice columnas'!$A$2:$A$100)),'indice columnas'!$B$2:$B$100,""""),
col,IFERROR(MATCH(campo,Referencia!$A$1:$AZ$1,0),0),
fila,IFERROR(MATCH(TO_TEXT(D4449),ARRAYFOR"&amp;"MULA(TO_TEXT(Referencia!$A$2:$A6238)),0),0),
IF(OR(campo="""",campo=""-""),""NO APLICA"",
IF(col=0,""REVISAR EQUIVALENCIA"",
IF(fila=0,""SKU NO ENCONTRADO"",
LET(
valor,INDEX(Referencia!$A$2:$AZ6238,fila,col),
IF(TRIM(TO_TEXT(valor))=TRIM(TO_TEXT(I4449)),"&amp;"
""OK"",
""NO COINCIDE. Valor verdadero: ""&amp;IF(valor="""",""[VACÍO]"",TO_TEXT(valor))
)
))))
),""ERROR EN FÓRMULA""))"),"OK")</f>
        <v>OK</v>
      </c>
    </row>
    <row r="4450">
      <c r="A4450" s="83" t="s">
        <v>4899</v>
      </c>
      <c r="B4450" s="83" t="s">
        <v>4900</v>
      </c>
      <c r="C4450" s="81" t="s">
        <v>4621</v>
      </c>
      <c r="D4450" s="83" t="s">
        <v>4208</v>
      </c>
      <c r="E4450" s="81" t="s">
        <v>786</v>
      </c>
      <c r="F4450" s="81">
        <v>134.0</v>
      </c>
      <c r="G4450" s="81" t="s">
        <v>2</v>
      </c>
      <c r="H4450" s="81" t="s">
        <v>224</v>
      </c>
      <c r="I4450" s="81" t="s">
        <v>213</v>
      </c>
      <c r="J4450" s="81" t="s">
        <v>224</v>
      </c>
      <c r="K4450" s="81" t="str">
        <f>IFERROR(__xludf.DUMMYFUNCTION("IF(OR(D4450="""",G4450=""""),"""",IFERROR(LET(
campo,XLOOKUP(TRIM(G4450),ARRAYFORMULA(TRIM('indice columnas'!$A$2:$A$100)),'indice columnas'!$B$2:$B$100,""""),
col,IFERROR(MATCH(campo,Referencia!$A$1:$AZ$1,0),0),
fila,IFERROR(MATCH(TO_TEXT(D4450),ARRAYFOR"&amp;"MULA(TO_TEXT(Referencia!$A$2:$A6238)),0),0),
IF(OR(campo="""",campo=""-""),""NO APLICA"",
IF(col=0,""REVISAR EQUIVALENCIA"",
IF(fila=0,""SKU NO ENCONTRADO"",
LET(
valor,INDEX(Referencia!$A$2:$AZ6238,fila,col),
IF(TRIM(TO_TEXT(valor))=TRIM(TO_TEXT(I4450)),"&amp;"
""OK"",
""NO COINCIDE. Valor verdadero: ""&amp;IF(valor="""",""[VACÍO]"",TO_TEXT(valor))
)
))))
),""ERROR EN FÓRMULA""))"),"OK")</f>
        <v>OK</v>
      </c>
    </row>
    <row r="4451">
      <c r="A4451" s="83" t="s">
        <v>4899</v>
      </c>
      <c r="B4451" s="83" t="s">
        <v>4900</v>
      </c>
      <c r="C4451" s="81" t="s">
        <v>4621</v>
      </c>
      <c r="D4451" s="83" t="s">
        <v>4208</v>
      </c>
      <c r="E4451" s="81" t="s">
        <v>786</v>
      </c>
      <c r="F4451" s="81">
        <v>134.0</v>
      </c>
      <c r="G4451" s="81" t="s">
        <v>1</v>
      </c>
      <c r="H4451" s="81" t="s">
        <v>224</v>
      </c>
      <c r="I4451" s="81" t="s">
        <v>717</v>
      </c>
      <c r="J4451" s="81" t="s">
        <v>224</v>
      </c>
      <c r="K4451" s="81" t="str">
        <f>IFERROR(__xludf.DUMMYFUNCTION("IF(OR(D4451="""",G4451=""""),"""",IFERROR(LET(
campo,XLOOKUP(TRIM(G4451),ARRAYFORMULA(TRIM('indice columnas'!$A$2:$A$100)),'indice columnas'!$B$2:$B$100,""""),
col,IFERROR(MATCH(campo,Referencia!$A$1:$AZ$1,0),0),
fila,IFERROR(MATCH(TO_TEXT(D4451),ARRAYFOR"&amp;"MULA(TO_TEXT(Referencia!$A$2:$A6238)),0),0),
IF(OR(campo="""",campo=""-""),""NO APLICA"",
IF(col=0,""REVISAR EQUIVALENCIA"",
IF(fila=0,""SKU NO ENCONTRADO"",
LET(
valor,INDEX(Referencia!$A$2:$AZ6238,fila,col),
IF(TRIM(TO_TEXT(valor))=TRIM(TO_TEXT(I4451)),"&amp;"
""OK"",
""NO COINCIDE. Valor verdadero: ""&amp;IF(valor="""",""[VACÍO]"",TO_TEXT(valor))
)
))))
),""ERROR EN FÓRMULA""))"),"OK")</f>
        <v>OK</v>
      </c>
    </row>
    <row r="4452">
      <c r="A4452" s="83" t="s">
        <v>4899</v>
      </c>
      <c r="B4452" s="83" t="s">
        <v>4900</v>
      </c>
      <c r="C4452" s="81" t="s">
        <v>4621</v>
      </c>
      <c r="D4452" s="83" t="s">
        <v>4209</v>
      </c>
      <c r="E4452" s="81" t="s">
        <v>788</v>
      </c>
      <c r="F4452" s="81">
        <v>135.0</v>
      </c>
      <c r="G4452" s="81" t="s">
        <v>3</v>
      </c>
      <c r="H4452" s="81" t="s">
        <v>224</v>
      </c>
      <c r="I4452" s="81" t="s">
        <v>51</v>
      </c>
      <c r="J4452" s="81" t="s">
        <v>224</v>
      </c>
      <c r="K4452" s="81" t="str">
        <f>IFERROR(__xludf.DUMMYFUNCTION("IF(OR(D4452="""",G4452=""""),"""",IFERROR(LET(
campo,XLOOKUP(TRIM(G4452),ARRAYFORMULA(TRIM('indice columnas'!$A$2:$A$100)),'indice columnas'!$B$2:$B$100,""""),
col,IFERROR(MATCH(campo,Referencia!$A$1:$AZ$1,0),0),
fila,IFERROR(MATCH(TO_TEXT(D4452),ARRAYFOR"&amp;"MULA(TO_TEXT(Referencia!$A$2:$A6238)),0),0),
IF(OR(campo="""",campo=""-""),""NO APLICA"",
IF(col=0,""REVISAR EQUIVALENCIA"",
IF(fila=0,""SKU NO ENCONTRADO"",
LET(
valor,INDEX(Referencia!$A$2:$AZ6238,fila,col),
IF(TRIM(TO_TEXT(valor))=TRIM(TO_TEXT(I4452)),"&amp;"
""OK"",
""NO COINCIDE. Valor verdadero: ""&amp;IF(valor="""",""[VACÍO]"",TO_TEXT(valor))
)
))))
),""ERROR EN FÓRMULA""))"),"OK")</f>
        <v>OK</v>
      </c>
    </row>
    <row r="4453">
      <c r="A4453" s="83" t="s">
        <v>4899</v>
      </c>
      <c r="B4453" s="83" t="s">
        <v>4900</v>
      </c>
      <c r="C4453" s="81" t="s">
        <v>4621</v>
      </c>
      <c r="D4453" s="83" t="s">
        <v>4209</v>
      </c>
      <c r="E4453" s="81" t="s">
        <v>788</v>
      </c>
      <c r="F4453" s="81">
        <v>135.0</v>
      </c>
      <c r="G4453" s="81" t="s">
        <v>2</v>
      </c>
      <c r="H4453" s="81" t="s">
        <v>224</v>
      </c>
      <c r="I4453" s="81" t="s">
        <v>213</v>
      </c>
      <c r="J4453" s="81" t="s">
        <v>224</v>
      </c>
      <c r="K4453" s="81" t="str">
        <f>IFERROR(__xludf.DUMMYFUNCTION("IF(OR(D4453="""",G4453=""""),"""",IFERROR(LET(
campo,XLOOKUP(TRIM(G4453),ARRAYFORMULA(TRIM('indice columnas'!$A$2:$A$100)),'indice columnas'!$B$2:$B$100,""""),
col,IFERROR(MATCH(campo,Referencia!$A$1:$AZ$1,0),0),
fila,IFERROR(MATCH(TO_TEXT(D4453),ARRAYFOR"&amp;"MULA(TO_TEXT(Referencia!$A$2:$A6238)),0),0),
IF(OR(campo="""",campo=""-""),""NO APLICA"",
IF(col=0,""REVISAR EQUIVALENCIA"",
IF(fila=0,""SKU NO ENCONTRADO"",
LET(
valor,INDEX(Referencia!$A$2:$AZ6238,fila,col),
IF(TRIM(TO_TEXT(valor))=TRIM(TO_TEXT(I4453)),"&amp;"
""OK"",
""NO COINCIDE. Valor verdadero: ""&amp;IF(valor="""",""[VACÍO]"",TO_TEXT(valor))
)
))))
),""ERROR EN FÓRMULA""))"),"OK")</f>
        <v>OK</v>
      </c>
    </row>
    <row r="4454">
      <c r="A4454" s="83" t="s">
        <v>4899</v>
      </c>
      <c r="B4454" s="83" t="s">
        <v>4900</v>
      </c>
      <c r="C4454" s="81" t="s">
        <v>4621</v>
      </c>
      <c r="D4454" s="83" t="s">
        <v>4210</v>
      </c>
      <c r="E4454" s="81" t="s">
        <v>795</v>
      </c>
      <c r="F4454" s="81">
        <v>136.0</v>
      </c>
      <c r="G4454" s="81" t="s">
        <v>3</v>
      </c>
      <c r="H4454" s="81" t="s">
        <v>224</v>
      </c>
      <c r="I4454" s="81" t="s">
        <v>51</v>
      </c>
      <c r="J4454" s="81" t="s">
        <v>224</v>
      </c>
      <c r="K4454" s="81" t="str">
        <f>IFERROR(__xludf.DUMMYFUNCTION("IF(OR(D4454="""",G4454=""""),"""",IFERROR(LET(
campo,XLOOKUP(TRIM(G4454),ARRAYFORMULA(TRIM('indice columnas'!$A$2:$A$100)),'indice columnas'!$B$2:$B$100,""""),
col,IFERROR(MATCH(campo,Referencia!$A$1:$AZ$1,0),0),
fila,IFERROR(MATCH(TO_TEXT(D4454),ARRAYFOR"&amp;"MULA(TO_TEXT(Referencia!$A$2:$A6238)),0),0),
IF(OR(campo="""",campo=""-""),""NO APLICA"",
IF(col=0,""REVISAR EQUIVALENCIA"",
IF(fila=0,""SKU NO ENCONTRADO"",
LET(
valor,INDEX(Referencia!$A$2:$AZ6238,fila,col),
IF(TRIM(TO_TEXT(valor))=TRIM(TO_TEXT(I4454)),"&amp;"
""OK"",
""NO COINCIDE. Valor verdadero: ""&amp;IF(valor="""",""[VACÍO]"",TO_TEXT(valor))
)
))))
),""ERROR EN FÓRMULA""))"),"OK")</f>
        <v>OK</v>
      </c>
    </row>
    <row r="4455">
      <c r="A4455" s="83" t="s">
        <v>4899</v>
      </c>
      <c r="B4455" s="83" t="s">
        <v>4900</v>
      </c>
      <c r="C4455" s="81" t="s">
        <v>4621</v>
      </c>
      <c r="D4455" s="83" t="s">
        <v>4210</v>
      </c>
      <c r="E4455" s="81" t="s">
        <v>795</v>
      </c>
      <c r="F4455" s="81">
        <v>136.0</v>
      </c>
      <c r="G4455" s="81" t="s">
        <v>2</v>
      </c>
      <c r="H4455" s="81" t="s">
        <v>224</v>
      </c>
      <c r="I4455" s="81" t="s">
        <v>213</v>
      </c>
      <c r="J4455" s="81" t="s">
        <v>224</v>
      </c>
      <c r="K4455" s="81" t="str">
        <f>IFERROR(__xludf.DUMMYFUNCTION("IF(OR(D4455="""",G4455=""""),"""",IFERROR(LET(
campo,XLOOKUP(TRIM(G4455),ARRAYFORMULA(TRIM('indice columnas'!$A$2:$A$100)),'indice columnas'!$B$2:$B$100,""""),
col,IFERROR(MATCH(campo,Referencia!$A$1:$AZ$1,0),0),
fila,IFERROR(MATCH(TO_TEXT(D4455),ARRAYFOR"&amp;"MULA(TO_TEXT(Referencia!$A$2:$A6238)),0),0),
IF(OR(campo="""",campo=""-""),""NO APLICA"",
IF(col=0,""REVISAR EQUIVALENCIA"",
IF(fila=0,""SKU NO ENCONTRADO"",
LET(
valor,INDEX(Referencia!$A$2:$AZ6238,fila,col),
IF(TRIM(TO_TEXT(valor))=TRIM(TO_TEXT(I4455)),"&amp;"
""OK"",
""NO COINCIDE. Valor verdadero: ""&amp;IF(valor="""",""[VACÍO]"",TO_TEXT(valor))
)
))))
),""ERROR EN FÓRMULA""))"),"OK")</f>
        <v>OK</v>
      </c>
    </row>
    <row r="4456">
      <c r="A4456" s="83" t="s">
        <v>4899</v>
      </c>
      <c r="B4456" s="83" t="s">
        <v>4900</v>
      </c>
      <c r="C4456" s="81" t="s">
        <v>4621</v>
      </c>
      <c r="D4456" s="83" t="s">
        <v>4211</v>
      </c>
      <c r="E4456" s="81" t="s">
        <v>798</v>
      </c>
      <c r="F4456" s="81">
        <v>137.0</v>
      </c>
      <c r="G4456" s="81" t="s">
        <v>3</v>
      </c>
      <c r="H4456" s="81" t="s">
        <v>224</v>
      </c>
      <c r="I4456" s="81" t="s">
        <v>344</v>
      </c>
      <c r="J4456" s="81" t="s">
        <v>224</v>
      </c>
      <c r="K4456" s="81" t="str">
        <f>IFERROR(__xludf.DUMMYFUNCTION("IF(OR(D4456="""",G4456=""""),"""",IFERROR(LET(
campo,XLOOKUP(TRIM(G4456),ARRAYFORMULA(TRIM('indice columnas'!$A$2:$A$100)),'indice columnas'!$B$2:$B$100,""""),
col,IFERROR(MATCH(campo,Referencia!$A$1:$AZ$1,0),0),
fila,IFERROR(MATCH(TO_TEXT(D4456),ARRAYFOR"&amp;"MULA(TO_TEXT(Referencia!$A$2:$A6238)),0),0),
IF(OR(campo="""",campo=""-""),""NO APLICA"",
IF(col=0,""REVISAR EQUIVALENCIA"",
IF(fila=0,""SKU NO ENCONTRADO"",
LET(
valor,INDEX(Referencia!$A$2:$AZ6238,fila,col),
IF(TRIM(TO_TEXT(valor))=TRIM(TO_TEXT(I4456)),"&amp;"
""OK"",
""NO COINCIDE. Valor verdadero: ""&amp;IF(valor="""",""[VACÍO]"",TO_TEXT(valor))
)
))))
),""ERROR EN FÓRMULA""))"),"OK")</f>
        <v>OK</v>
      </c>
    </row>
    <row r="4457">
      <c r="A4457" s="83" t="s">
        <v>4899</v>
      </c>
      <c r="B4457" s="83" t="s">
        <v>4900</v>
      </c>
      <c r="C4457" s="81" t="s">
        <v>4621</v>
      </c>
      <c r="D4457" s="83" t="s">
        <v>4211</v>
      </c>
      <c r="E4457" s="81" t="s">
        <v>798</v>
      </c>
      <c r="F4457" s="81">
        <v>137.0</v>
      </c>
      <c r="G4457" s="81" t="s">
        <v>2</v>
      </c>
      <c r="H4457" s="81" t="s">
        <v>224</v>
      </c>
      <c r="I4457" s="81" t="s">
        <v>213</v>
      </c>
      <c r="J4457" s="81" t="s">
        <v>224</v>
      </c>
      <c r="K4457" s="81" t="str">
        <f>IFERROR(__xludf.DUMMYFUNCTION("IF(OR(D4457="""",G4457=""""),"""",IFERROR(LET(
campo,XLOOKUP(TRIM(G4457),ARRAYFORMULA(TRIM('indice columnas'!$A$2:$A$100)),'indice columnas'!$B$2:$B$100,""""),
col,IFERROR(MATCH(campo,Referencia!$A$1:$AZ$1,0),0),
fila,IFERROR(MATCH(TO_TEXT(D4457),ARRAYFOR"&amp;"MULA(TO_TEXT(Referencia!$A$2:$A6238)),0),0),
IF(OR(campo="""",campo=""-""),""NO APLICA"",
IF(col=0,""REVISAR EQUIVALENCIA"",
IF(fila=0,""SKU NO ENCONTRADO"",
LET(
valor,INDEX(Referencia!$A$2:$AZ6238,fila,col),
IF(TRIM(TO_TEXT(valor))=TRIM(TO_TEXT(I4457)),"&amp;"
""OK"",
""NO COINCIDE. Valor verdadero: ""&amp;IF(valor="""",""[VACÍO]"",TO_TEXT(valor))
)
))))
),""ERROR EN FÓRMULA""))"),"OK")</f>
        <v>OK</v>
      </c>
    </row>
    <row r="4458">
      <c r="A4458" s="83" t="s">
        <v>4899</v>
      </c>
      <c r="B4458" s="83" t="s">
        <v>4900</v>
      </c>
      <c r="C4458" s="81" t="s">
        <v>4621</v>
      </c>
      <c r="D4458" s="83" t="s">
        <v>4212</v>
      </c>
      <c r="E4458" s="81" t="s">
        <v>804</v>
      </c>
      <c r="F4458" s="81">
        <v>138.0</v>
      </c>
      <c r="G4458" s="81" t="s">
        <v>3</v>
      </c>
      <c r="H4458" s="81" t="s">
        <v>224</v>
      </c>
      <c r="I4458" s="81" t="s">
        <v>344</v>
      </c>
      <c r="J4458" s="81" t="s">
        <v>224</v>
      </c>
      <c r="K4458" s="81" t="str">
        <f>IFERROR(__xludf.DUMMYFUNCTION("IF(OR(D4458="""",G4458=""""),"""",IFERROR(LET(
campo,XLOOKUP(TRIM(G4458),ARRAYFORMULA(TRIM('indice columnas'!$A$2:$A$100)),'indice columnas'!$B$2:$B$100,""""),
col,IFERROR(MATCH(campo,Referencia!$A$1:$AZ$1,0),0),
fila,IFERROR(MATCH(TO_TEXT(D4458),ARRAYFOR"&amp;"MULA(TO_TEXT(Referencia!$A$2:$A6238)),0),0),
IF(OR(campo="""",campo=""-""),""NO APLICA"",
IF(col=0,""REVISAR EQUIVALENCIA"",
IF(fila=0,""SKU NO ENCONTRADO"",
LET(
valor,INDEX(Referencia!$A$2:$AZ6238,fila,col),
IF(TRIM(TO_TEXT(valor))=TRIM(TO_TEXT(I4458)),"&amp;"
""OK"",
""NO COINCIDE. Valor verdadero: ""&amp;IF(valor="""",""[VACÍO]"",TO_TEXT(valor))
)
))))
),""ERROR EN FÓRMULA""))"),"OK")</f>
        <v>OK</v>
      </c>
    </row>
    <row r="4459">
      <c r="A4459" s="83" t="s">
        <v>4899</v>
      </c>
      <c r="B4459" s="83" t="s">
        <v>4900</v>
      </c>
      <c r="C4459" s="81" t="s">
        <v>4621</v>
      </c>
      <c r="D4459" s="83" t="s">
        <v>4212</v>
      </c>
      <c r="E4459" s="81" t="s">
        <v>804</v>
      </c>
      <c r="F4459" s="81">
        <v>138.0</v>
      </c>
      <c r="G4459" s="81" t="s">
        <v>2</v>
      </c>
      <c r="H4459" s="81" t="s">
        <v>224</v>
      </c>
      <c r="I4459" s="81" t="s">
        <v>213</v>
      </c>
      <c r="J4459" s="81" t="s">
        <v>224</v>
      </c>
      <c r="K4459" s="81" t="str">
        <f>IFERROR(__xludf.DUMMYFUNCTION("IF(OR(D4459="""",G4459=""""),"""",IFERROR(LET(
campo,XLOOKUP(TRIM(G4459),ARRAYFORMULA(TRIM('indice columnas'!$A$2:$A$100)),'indice columnas'!$B$2:$B$100,""""),
col,IFERROR(MATCH(campo,Referencia!$A$1:$AZ$1,0),0),
fila,IFERROR(MATCH(TO_TEXT(D4459),ARRAYFOR"&amp;"MULA(TO_TEXT(Referencia!$A$2:$A6238)),0),0),
IF(OR(campo="""",campo=""-""),""NO APLICA"",
IF(col=0,""REVISAR EQUIVALENCIA"",
IF(fila=0,""SKU NO ENCONTRADO"",
LET(
valor,INDEX(Referencia!$A$2:$AZ6238,fila,col),
IF(TRIM(TO_TEXT(valor))=TRIM(TO_TEXT(I4459)),"&amp;"
""OK"",
""NO COINCIDE. Valor verdadero: ""&amp;IF(valor="""",""[VACÍO]"",TO_TEXT(valor))
)
))))
),""ERROR EN FÓRMULA""))"),"OK")</f>
        <v>OK</v>
      </c>
    </row>
    <row r="4460">
      <c r="A4460" s="83" t="s">
        <v>4899</v>
      </c>
      <c r="B4460" s="83" t="s">
        <v>4900</v>
      </c>
      <c r="C4460" s="81" t="s">
        <v>4621</v>
      </c>
      <c r="D4460" s="83" t="s">
        <v>4213</v>
      </c>
      <c r="E4460" s="81" t="s">
        <v>806</v>
      </c>
      <c r="F4460" s="81">
        <v>139.0</v>
      </c>
      <c r="G4460" s="81" t="s">
        <v>3</v>
      </c>
      <c r="H4460" s="81" t="s">
        <v>224</v>
      </c>
      <c r="I4460" s="81" t="s">
        <v>51</v>
      </c>
      <c r="J4460" s="81" t="s">
        <v>224</v>
      </c>
      <c r="K4460" s="81" t="str">
        <f>IFERROR(__xludf.DUMMYFUNCTION("IF(OR(D4460="""",G4460=""""),"""",IFERROR(LET(
campo,XLOOKUP(TRIM(G4460),ARRAYFORMULA(TRIM('indice columnas'!$A$2:$A$100)),'indice columnas'!$B$2:$B$100,""""),
col,IFERROR(MATCH(campo,Referencia!$A$1:$AZ$1,0),0),
fila,IFERROR(MATCH(TO_TEXT(D4460),ARRAYFOR"&amp;"MULA(TO_TEXT(Referencia!$A$2:$A6238)),0),0),
IF(OR(campo="""",campo=""-""),""NO APLICA"",
IF(col=0,""REVISAR EQUIVALENCIA"",
IF(fila=0,""SKU NO ENCONTRADO"",
LET(
valor,INDEX(Referencia!$A$2:$AZ6238,fila,col),
IF(TRIM(TO_TEXT(valor))=TRIM(TO_TEXT(I4460)),"&amp;"
""OK"",
""NO COINCIDE. Valor verdadero: ""&amp;IF(valor="""",""[VACÍO]"",TO_TEXT(valor))
)
))))
),""ERROR EN FÓRMULA""))"),"OK")</f>
        <v>OK</v>
      </c>
    </row>
    <row r="4461">
      <c r="A4461" s="83" t="s">
        <v>4899</v>
      </c>
      <c r="B4461" s="83" t="s">
        <v>4900</v>
      </c>
      <c r="C4461" s="81" t="s">
        <v>4621</v>
      </c>
      <c r="D4461" s="83" t="s">
        <v>4213</v>
      </c>
      <c r="E4461" s="81" t="s">
        <v>806</v>
      </c>
      <c r="F4461" s="81">
        <v>139.0</v>
      </c>
      <c r="G4461" s="81" t="s">
        <v>2</v>
      </c>
      <c r="H4461" s="81" t="s">
        <v>224</v>
      </c>
      <c r="I4461" s="81" t="s">
        <v>213</v>
      </c>
      <c r="J4461" s="81" t="s">
        <v>224</v>
      </c>
      <c r="K4461" s="81" t="str">
        <f>IFERROR(__xludf.DUMMYFUNCTION("IF(OR(D4461="""",G4461=""""),"""",IFERROR(LET(
campo,XLOOKUP(TRIM(G4461),ARRAYFORMULA(TRIM('indice columnas'!$A$2:$A$100)),'indice columnas'!$B$2:$B$100,""""),
col,IFERROR(MATCH(campo,Referencia!$A$1:$AZ$1,0),0),
fila,IFERROR(MATCH(TO_TEXT(D4461),ARRAYFOR"&amp;"MULA(TO_TEXT(Referencia!$A$2:$A6238)),0),0),
IF(OR(campo="""",campo=""-""),""NO APLICA"",
IF(col=0,""REVISAR EQUIVALENCIA"",
IF(fila=0,""SKU NO ENCONTRADO"",
LET(
valor,INDEX(Referencia!$A$2:$AZ6238,fila,col),
IF(TRIM(TO_TEXT(valor))=TRIM(TO_TEXT(I4461)),"&amp;"
""OK"",
""NO COINCIDE. Valor verdadero: ""&amp;IF(valor="""",""[VACÍO]"",TO_TEXT(valor))
)
))))
),""ERROR EN FÓRMULA""))"),"OK")</f>
        <v>OK</v>
      </c>
    </row>
    <row r="4462">
      <c r="A4462" s="83" t="s">
        <v>4899</v>
      </c>
      <c r="B4462" s="83" t="s">
        <v>4900</v>
      </c>
      <c r="C4462" s="81" t="s">
        <v>4621</v>
      </c>
      <c r="D4462" s="83" t="s">
        <v>4214</v>
      </c>
      <c r="E4462" s="81" t="s">
        <v>812</v>
      </c>
      <c r="F4462" s="81">
        <v>140.0</v>
      </c>
      <c r="G4462" s="81" t="s">
        <v>3</v>
      </c>
      <c r="H4462" s="81" t="s">
        <v>224</v>
      </c>
      <c r="I4462" s="81" t="s">
        <v>51</v>
      </c>
      <c r="J4462" s="81" t="s">
        <v>224</v>
      </c>
      <c r="K4462" s="81" t="str">
        <f>IFERROR(__xludf.DUMMYFUNCTION("IF(OR(D4462="""",G4462=""""),"""",IFERROR(LET(
campo,XLOOKUP(TRIM(G4462),ARRAYFORMULA(TRIM('indice columnas'!$A$2:$A$100)),'indice columnas'!$B$2:$B$100,""""),
col,IFERROR(MATCH(campo,Referencia!$A$1:$AZ$1,0),0),
fila,IFERROR(MATCH(TO_TEXT(D4462),ARRAYFOR"&amp;"MULA(TO_TEXT(Referencia!$A$2:$A6238)),0),0),
IF(OR(campo="""",campo=""-""),""NO APLICA"",
IF(col=0,""REVISAR EQUIVALENCIA"",
IF(fila=0,""SKU NO ENCONTRADO"",
LET(
valor,INDEX(Referencia!$A$2:$AZ6238,fila,col),
IF(TRIM(TO_TEXT(valor))=TRIM(TO_TEXT(I4462)),"&amp;"
""OK"",
""NO COINCIDE. Valor verdadero: ""&amp;IF(valor="""",""[VACÍO]"",TO_TEXT(valor))
)
))))
),""ERROR EN FÓRMULA""))"),"OK")</f>
        <v>OK</v>
      </c>
    </row>
    <row r="4463">
      <c r="A4463" s="83" t="s">
        <v>4899</v>
      </c>
      <c r="B4463" s="83" t="s">
        <v>4900</v>
      </c>
      <c r="C4463" s="81" t="s">
        <v>4621</v>
      </c>
      <c r="D4463" s="83" t="s">
        <v>4214</v>
      </c>
      <c r="E4463" s="81" t="s">
        <v>812</v>
      </c>
      <c r="F4463" s="81">
        <v>140.0</v>
      </c>
      <c r="G4463" s="81" t="s">
        <v>2</v>
      </c>
      <c r="H4463" s="81" t="s">
        <v>224</v>
      </c>
      <c r="I4463" s="81" t="s">
        <v>213</v>
      </c>
      <c r="J4463" s="81" t="s">
        <v>224</v>
      </c>
      <c r="K4463" s="81" t="str">
        <f>IFERROR(__xludf.DUMMYFUNCTION("IF(OR(D4463="""",G4463=""""),"""",IFERROR(LET(
campo,XLOOKUP(TRIM(G4463),ARRAYFORMULA(TRIM('indice columnas'!$A$2:$A$100)),'indice columnas'!$B$2:$B$100,""""),
col,IFERROR(MATCH(campo,Referencia!$A$1:$AZ$1,0),0),
fila,IFERROR(MATCH(TO_TEXT(D4463),ARRAYFOR"&amp;"MULA(TO_TEXT(Referencia!$A$2:$A6238)),0),0),
IF(OR(campo="""",campo=""-""),""NO APLICA"",
IF(col=0,""REVISAR EQUIVALENCIA"",
IF(fila=0,""SKU NO ENCONTRADO"",
LET(
valor,INDEX(Referencia!$A$2:$AZ6238,fila,col),
IF(TRIM(TO_TEXT(valor))=TRIM(TO_TEXT(I4463)),"&amp;"
""OK"",
""NO COINCIDE. Valor verdadero: ""&amp;IF(valor="""",""[VACÍO]"",TO_TEXT(valor))
)
))))
),""ERROR EN FÓRMULA""))"),"OK")</f>
        <v>OK</v>
      </c>
    </row>
    <row r="4464">
      <c r="A4464" s="83" t="s">
        <v>4899</v>
      </c>
      <c r="B4464" s="83" t="s">
        <v>4900</v>
      </c>
      <c r="C4464" s="81" t="s">
        <v>4621</v>
      </c>
      <c r="D4464" s="83" t="s">
        <v>4215</v>
      </c>
      <c r="E4464" s="81" t="s">
        <v>815</v>
      </c>
      <c r="F4464" s="81">
        <v>141.0</v>
      </c>
      <c r="G4464" s="81" t="s">
        <v>3</v>
      </c>
      <c r="H4464" s="81" t="s">
        <v>224</v>
      </c>
      <c r="I4464" s="81" t="s">
        <v>344</v>
      </c>
      <c r="J4464" s="81" t="s">
        <v>224</v>
      </c>
      <c r="K4464" s="81" t="str">
        <f>IFERROR(__xludf.DUMMYFUNCTION("IF(OR(D4464="""",G4464=""""),"""",IFERROR(LET(
campo,XLOOKUP(TRIM(G4464),ARRAYFORMULA(TRIM('indice columnas'!$A$2:$A$100)),'indice columnas'!$B$2:$B$100,""""),
col,IFERROR(MATCH(campo,Referencia!$A$1:$AZ$1,0),0),
fila,IFERROR(MATCH(TO_TEXT(D4464),ARRAYFOR"&amp;"MULA(TO_TEXT(Referencia!$A$2:$A6238)),0),0),
IF(OR(campo="""",campo=""-""),""NO APLICA"",
IF(col=0,""REVISAR EQUIVALENCIA"",
IF(fila=0,""SKU NO ENCONTRADO"",
LET(
valor,INDEX(Referencia!$A$2:$AZ6238,fila,col),
IF(TRIM(TO_TEXT(valor))=TRIM(TO_TEXT(I4464)),"&amp;"
""OK"",
""NO COINCIDE. Valor verdadero: ""&amp;IF(valor="""",""[VACÍO]"",TO_TEXT(valor))
)
))))
),""ERROR EN FÓRMULA""))"),"OK")</f>
        <v>OK</v>
      </c>
    </row>
    <row r="4465">
      <c r="A4465" s="83" t="s">
        <v>4899</v>
      </c>
      <c r="B4465" s="83" t="s">
        <v>4900</v>
      </c>
      <c r="C4465" s="81" t="s">
        <v>4621</v>
      </c>
      <c r="D4465" s="83" t="s">
        <v>4215</v>
      </c>
      <c r="E4465" s="81" t="s">
        <v>815</v>
      </c>
      <c r="F4465" s="81">
        <v>141.0</v>
      </c>
      <c r="G4465" s="81" t="s">
        <v>2</v>
      </c>
      <c r="H4465" s="81" t="s">
        <v>224</v>
      </c>
      <c r="I4465" s="81" t="s">
        <v>213</v>
      </c>
      <c r="J4465" s="81" t="s">
        <v>224</v>
      </c>
      <c r="K4465" s="81" t="str">
        <f>IFERROR(__xludf.DUMMYFUNCTION("IF(OR(D4465="""",G4465=""""),"""",IFERROR(LET(
campo,XLOOKUP(TRIM(G4465),ARRAYFORMULA(TRIM('indice columnas'!$A$2:$A$100)),'indice columnas'!$B$2:$B$100,""""),
col,IFERROR(MATCH(campo,Referencia!$A$1:$AZ$1,0),0),
fila,IFERROR(MATCH(TO_TEXT(D4465),ARRAYFOR"&amp;"MULA(TO_TEXT(Referencia!$A$2:$A6238)),0),0),
IF(OR(campo="""",campo=""-""),""NO APLICA"",
IF(col=0,""REVISAR EQUIVALENCIA"",
IF(fila=0,""SKU NO ENCONTRADO"",
LET(
valor,INDEX(Referencia!$A$2:$AZ6238,fila,col),
IF(TRIM(TO_TEXT(valor))=TRIM(TO_TEXT(I4465)),"&amp;"
""OK"",
""NO COINCIDE. Valor verdadero: ""&amp;IF(valor="""",""[VACÍO]"",TO_TEXT(valor))
)
))))
),""ERROR EN FÓRMULA""))"),"OK")</f>
        <v>OK</v>
      </c>
    </row>
    <row r="4466">
      <c r="A4466" s="83" t="s">
        <v>4899</v>
      </c>
      <c r="B4466" s="83" t="s">
        <v>4900</v>
      </c>
      <c r="C4466" s="81" t="s">
        <v>4621</v>
      </c>
      <c r="D4466" s="83" t="s">
        <v>4215</v>
      </c>
      <c r="E4466" s="81" t="s">
        <v>815</v>
      </c>
      <c r="F4466" s="81">
        <v>141.0</v>
      </c>
      <c r="G4466" s="81" t="s">
        <v>1</v>
      </c>
      <c r="H4466" s="81" t="s">
        <v>224</v>
      </c>
      <c r="I4466" s="81" t="s">
        <v>717</v>
      </c>
      <c r="J4466" s="81" t="s">
        <v>224</v>
      </c>
      <c r="K4466" s="81" t="str">
        <f>IFERROR(__xludf.DUMMYFUNCTION("IF(OR(D4466="""",G4466=""""),"""",IFERROR(LET(
campo,XLOOKUP(TRIM(G4466),ARRAYFORMULA(TRIM('indice columnas'!$A$2:$A$100)),'indice columnas'!$B$2:$B$100,""""),
col,IFERROR(MATCH(campo,Referencia!$A$1:$AZ$1,0),0),
fila,IFERROR(MATCH(TO_TEXT(D4466),ARRAYFOR"&amp;"MULA(TO_TEXT(Referencia!$A$2:$A6238)),0),0),
IF(OR(campo="""",campo=""-""),""NO APLICA"",
IF(col=0,""REVISAR EQUIVALENCIA"",
IF(fila=0,""SKU NO ENCONTRADO"",
LET(
valor,INDEX(Referencia!$A$2:$AZ6238,fila,col),
IF(TRIM(TO_TEXT(valor))=TRIM(TO_TEXT(I4466)),"&amp;"
""OK"",
""NO COINCIDE. Valor verdadero: ""&amp;IF(valor="""",""[VACÍO]"",TO_TEXT(valor))
)
))))
),""ERROR EN FÓRMULA""))"),"OK")</f>
        <v>OK</v>
      </c>
    </row>
    <row r="4467">
      <c r="A4467" s="83" t="s">
        <v>4899</v>
      </c>
      <c r="B4467" s="83" t="s">
        <v>4900</v>
      </c>
      <c r="C4467" s="81" t="s">
        <v>4621</v>
      </c>
      <c r="D4467" s="83" t="s">
        <v>4216</v>
      </c>
      <c r="E4467" s="81" t="s">
        <v>822</v>
      </c>
      <c r="F4467" s="81">
        <v>142.0</v>
      </c>
      <c r="G4467" s="81" t="s">
        <v>3</v>
      </c>
      <c r="H4467" s="81" t="s">
        <v>224</v>
      </c>
      <c r="I4467" s="81" t="s">
        <v>344</v>
      </c>
      <c r="J4467" s="81" t="s">
        <v>224</v>
      </c>
      <c r="K4467" s="81" t="str">
        <f>IFERROR(__xludf.DUMMYFUNCTION("IF(OR(D4467="""",G4467=""""),"""",IFERROR(LET(
campo,XLOOKUP(TRIM(G4467),ARRAYFORMULA(TRIM('indice columnas'!$A$2:$A$100)),'indice columnas'!$B$2:$B$100,""""),
col,IFERROR(MATCH(campo,Referencia!$A$1:$AZ$1,0),0),
fila,IFERROR(MATCH(TO_TEXT(D4467),ARRAYFOR"&amp;"MULA(TO_TEXT(Referencia!$A$2:$A6238)),0),0),
IF(OR(campo="""",campo=""-""),""NO APLICA"",
IF(col=0,""REVISAR EQUIVALENCIA"",
IF(fila=0,""SKU NO ENCONTRADO"",
LET(
valor,INDEX(Referencia!$A$2:$AZ6238,fila,col),
IF(TRIM(TO_TEXT(valor))=TRIM(TO_TEXT(I4467)),"&amp;"
""OK"",
""NO COINCIDE. Valor verdadero: ""&amp;IF(valor="""",""[VACÍO]"",TO_TEXT(valor))
)
))))
),""ERROR EN FÓRMULA""))"),"OK")</f>
        <v>OK</v>
      </c>
    </row>
    <row r="4468">
      <c r="A4468" s="83" t="s">
        <v>4899</v>
      </c>
      <c r="B4468" s="83" t="s">
        <v>4900</v>
      </c>
      <c r="C4468" s="81" t="s">
        <v>4621</v>
      </c>
      <c r="D4468" s="83" t="s">
        <v>4216</v>
      </c>
      <c r="E4468" s="81" t="s">
        <v>822</v>
      </c>
      <c r="F4468" s="81">
        <v>142.0</v>
      </c>
      <c r="G4468" s="81" t="s">
        <v>2</v>
      </c>
      <c r="H4468" s="81" t="s">
        <v>224</v>
      </c>
      <c r="I4468" s="81" t="s">
        <v>213</v>
      </c>
      <c r="J4468" s="81" t="s">
        <v>224</v>
      </c>
      <c r="K4468" s="81" t="str">
        <f>IFERROR(__xludf.DUMMYFUNCTION("IF(OR(D4468="""",G4468=""""),"""",IFERROR(LET(
campo,XLOOKUP(TRIM(G4468),ARRAYFORMULA(TRIM('indice columnas'!$A$2:$A$100)),'indice columnas'!$B$2:$B$100,""""),
col,IFERROR(MATCH(campo,Referencia!$A$1:$AZ$1,0),0),
fila,IFERROR(MATCH(TO_TEXT(D4468),ARRAYFOR"&amp;"MULA(TO_TEXT(Referencia!$A$2:$A6238)),0),0),
IF(OR(campo="""",campo=""-""),""NO APLICA"",
IF(col=0,""REVISAR EQUIVALENCIA"",
IF(fila=0,""SKU NO ENCONTRADO"",
LET(
valor,INDEX(Referencia!$A$2:$AZ6238,fila,col),
IF(TRIM(TO_TEXT(valor))=TRIM(TO_TEXT(I4468)),"&amp;"
""OK"",
""NO COINCIDE. Valor verdadero: ""&amp;IF(valor="""",""[VACÍO]"",TO_TEXT(valor))
)
))))
),""ERROR EN FÓRMULA""))"),"OK")</f>
        <v>OK</v>
      </c>
    </row>
    <row r="4469">
      <c r="A4469" s="83" t="s">
        <v>4899</v>
      </c>
      <c r="B4469" s="83" t="s">
        <v>4900</v>
      </c>
      <c r="C4469" s="81" t="s">
        <v>4621</v>
      </c>
      <c r="D4469" s="83" t="s">
        <v>4216</v>
      </c>
      <c r="E4469" s="81" t="s">
        <v>822</v>
      </c>
      <c r="F4469" s="81">
        <v>142.0</v>
      </c>
      <c r="G4469" s="81" t="s">
        <v>1</v>
      </c>
      <c r="H4469" s="81" t="s">
        <v>224</v>
      </c>
      <c r="I4469" s="81" t="s">
        <v>717</v>
      </c>
      <c r="J4469" s="81" t="s">
        <v>224</v>
      </c>
      <c r="K4469" s="81" t="str">
        <f>IFERROR(__xludf.DUMMYFUNCTION("IF(OR(D4469="""",G4469=""""),"""",IFERROR(LET(
campo,XLOOKUP(TRIM(G4469),ARRAYFORMULA(TRIM('indice columnas'!$A$2:$A$100)),'indice columnas'!$B$2:$B$100,""""),
col,IFERROR(MATCH(campo,Referencia!$A$1:$AZ$1,0),0),
fila,IFERROR(MATCH(TO_TEXT(D4469),ARRAYFOR"&amp;"MULA(TO_TEXT(Referencia!$A$2:$A6238)),0),0),
IF(OR(campo="""",campo=""-""),""NO APLICA"",
IF(col=0,""REVISAR EQUIVALENCIA"",
IF(fila=0,""SKU NO ENCONTRADO"",
LET(
valor,INDEX(Referencia!$A$2:$AZ6238,fila,col),
IF(TRIM(TO_TEXT(valor))=TRIM(TO_TEXT(I4469)),"&amp;"
""OK"",
""NO COINCIDE. Valor verdadero: ""&amp;IF(valor="""",""[VACÍO]"",TO_TEXT(valor))
)
))))
),""ERROR EN FÓRMULA""))"),"OK")</f>
        <v>OK</v>
      </c>
    </row>
    <row r="4470">
      <c r="A4470" s="83" t="s">
        <v>4899</v>
      </c>
      <c r="B4470" s="83" t="s">
        <v>4900</v>
      </c>
      <c r="C4470" s="81" t="s">
        <v>4621</v>
      </c>
      <c r="D4470" s="83" t="s">
        <v>4217</v>
      </c>
      <c r="E4470" s="81" t="s">
        <v>825</v>
      </c>
      <c r="F4470" s="81">
        <v>143.0</v>
      </c>
      <c r="G4470" s="81" t="s">
        <v>3</v>
      </c>
      <c r="H4470" s="81" t="s">
        <v>224</v>
      </c>
      <c r="I4470" s="81" t="s">
        <v>51</v>
      </c>
      <c r="J4470" s="81" t="s">
        <v>224</v>
      </c>
      <c r="K4470" s="81" t="str">
        <f>IFERROR(__xludf.DUMMYFUNCTION("IF(OR(D4470="""",G4470=""""),"""",IFERROR(LET(
campo,XLOOKUP(TRIM(G4470),ARRAYFORMULA(TRIM('indice columnas'!$A$2:$A$100)),'indice columnas'!$B$2:$B$100,""""),
col,IFERROR(MATCH(campo,Referencia!$A$1:$AZ$1,0),0),
fila,IFERROR(MATCH(TO_TEXT(D4470),ARRAYFOR"&amp;"MULA(TO_TEXT(Referencia!$A$2:$A6238)),0),0),
IF(OR(campo="""",campo=""-""),""NO APLICA"",
IF(col=0,""REVISAR EQUIVALENCIA"",
IF(fila=0,""SKU NO ENCONTRADO"",
LET(
valor,INDEX(Referencia!$A$2:$AZ6238,fila,col),
IF(TRIM(TO_TEXT(valor))=TRIM(TO_TEXT(I4470)),"&amp;"
""OK"",
""NO COINCIDE. Valor verdadero: ""&amp;IF(valor="""",""[VACÍO]"",TO_TEXT(valor))
)
))))
),""ERROR EN FÓRMULA""))"),"OK")</f>
        <v>OK</v>
      </c>
    </row>
    <row r="4471">
      <c r="A4471" s="83" t="s">
        <v>4899</v>
      </c>
      <c r="B4471" s="83" t="s">
        <v>4900</v>
      </c>
      <c r="C4471" s="81" t="s">
        <v>4621</v>
      </c>
      <c r="D4471" s="83" t="s">
        <v>4217</v>
      </c>
      <c r="E4471" s="81" t="s">
        <v>825</v>
      </c>
      <c r="F4471" s="81">
        <v>143.0</v>
      </c>
      <c r="G4471" s="81" t="s">
        <v>2</v>
      </c>
      <c r="H4471" s="81" t="s">
        <v>224</v>
      </c>
      <c r="I4471" s="81" t="s">
        <v>213</v>
      </c>
      <c r="J4471" s="81" t="s">
        <v>224</v>
      </c>
      <c r="K4471" s="81" t="str">
        <f>IFERROR(__xludf.DUMMYFUNCTION("IF(OR(D4471="""",G4471=""""),"""",IFERROR(LET(
campo,XLOOKUP(TRIM(G4471),ARRAYFORMULA(TRIM('indice columnas'!$A$2:$A$100)),'indice columnas'!$B$2:$B$100,""""),
col,IFERROR(MATCH(campo,Referencia!$A$1:$AZ$1,0),0),
fila,IFERROR(MATCH(TO_TEXT(D4471),ARRAYFOR"&amp;"MULA(TO_TEXT(Referencia!$A$2:$A6238)),0),0),
IF(OR(campo="""",campo=""-""),""NO APLICA"",
IF(col=0,""REVISAR EQUIVALENCIA"",
IF(fila=0,""SKU NO ENCONTRADO"",
LET(
valor,INDEX(Referencia!$A$2:$AZ6238,fila,col),
IF(TRIM(TO_TEXT(valor))=TRIM(TO_TEXT(I4471)),"&amp;"
""OK"",
""NO COINCIDE. Valor verdadero: ""&amp;IF(valor="""",""[VACÍO]"",TO_TEXT(valor))
)
))))
),""ERROR EN FÓRMULA""))"),"OK")</f>
        <v>OK</v>
      </c>
    </row>
    <row r="4472">
      <c r="A4472" s="83" t="s">
        <v>4899</v>
      </c>
      <c r="B4472" s="83" t="s">
        <v>4900</v>
      </c>
      <c r="C4472" s="81" t="s">
        <v>4621</v>
      </c>
      <c r="D4472" s="83" t="s">
        <v>4218</v>
      </c>
      <c r="E4472" s="81" t="s">
        <v>832</v>
      </c>
      <c r="F4472" s="81">
        <v>144.0</v>
      </c>
      <c r="G4472" s="81" t="s">
        <v>3</v>
      </c>
      <c r="H4472" s="81" t="s">
        <v>224</v>
      </c>
      <c r="I4472" s="81" t="s">
        <v>51</v>
      </c>
      <c r="J4472" s="81" t="s">
        <v>224</v>
      </c>
      <c r="K4472" s="81" t="str">
        <f>IFERROR(__xludf.DUMMYFUNCTION("IF(OR(D4472="""",G4472=""""),"""",IFERROR(LET(
campo,XLOOKUP(TRIM(G4472),ARRAYFORMULA(TRIM('indice columnas'!$A$2:$A$100)),'indice columnas'!$B$2:$B$100,""""),
col,IFERROR(MATCH(campo,Referencia!$A$1:$AZ$1,0),0),
fila,IFERROR(MATCH(TO_TEXT(D4472),ARRAYFOR"&amp;"MULA(TO_TEXT(Referencia!$A$2:$A6238)),0),0),
IF(OR(campo="""",campo=""-""),""NO APLICA"",
IF(col=0,""REVISAR EQUIVALENCIA"",
IF(fila=0,""SKU NO ENCONTRADO"",
LET(
valor,INDEX(Referencia!$A$2:$AZ6238,fila,col),
IF(TRIM(TO_TEXT(valor))=TRIM(TO_TEXT(I4472)),"&amp;"
""OK"",
""NO COINCIDE. Valor verdadero: ""&amp;IF(valor="""",""[VACÍO]"",TO_TEXT(valor))
)
))))
),""ERROR EN FÓRMULA""))"),"OK")</f>
        <v>OK</v>
      </c>
    </row>
    <row r="4473">
      <c r="A4473" s="83" t="s">
        <v>4899</v>
      </c>
      <c r="B4473" s="83" t="s">
        <v>4900</v>
      </c>
      <c r="C4473" s="81" t="s">
        <v>4621</v>
      </c>
      <c r="D4473" s="83" t="s">
        <v>4218</v>
      </c>
      <c r="E4473" s="81" t="s">
        <v>832</v>
      </c>
      <c r="F4473" s="81">
        <v>144.0</v>
      </c>
      <c r="G4473" s="81" t="s">
        <v>2</v>
      </c>
      <c r="H4473" s="81" t="s">
        <v>224</v>
      </c>
      <c r="I4473" s="81" t="s">
        <v>213</v>
      </c>
      <c r="J4473" s="81" t="s">
        <v>224</v>
      </c>
      <c r="K4473" s="81" t="str">
        <f>IFERROR(__xludf.DUMMYFUNCTION("IF(OR(D4473="""",G4473=""""),"""",IFERROR(LET(
campo,XLOOKUP(TRIM(G4473),ARRAYFORMULA(TRIM('indice columnas'!$A$2:$A$100)),'indice columnas'!$B$2:$B$100,""""),
col,IFERROR(MATCH(campo,Referencia!$A$1:$AZ$1,0),0),
fila,IFERROR(MATCH(TO_TEXT(D4473),ARRAYFOR"&amp;"MULA(TO_TEXT(Referencia!$A$2:$A6238)),0),0),
IF(OR(campo="""",campo=""-""),""NO APLICA"",
IF(col=0,""REVISAR EQUIVALENCIA"",
IF(fila=0,""SKU NO ENCONTRADO"",
LET(
valor,INDEX(Referencia!$A$2:$AZ6238,fila,col),
IF(TRIM(TO_TEXT(valor))=TRIM(TO_TEXT(I4473)),"&amp;"
""OK"",
""NO COINCIDE. Valor verdadero: ""&amp;IF(valor="""",""[VACÍO]"",TO_TEXT(valor))
)
))))
),""ERROR EN FÓRMULA""))"),"OK")</f>
        <v>OK</v>
      </c>
    </row>
    <row r="4474">
      <c r="A4474" s="83" t="s">
        <v>4899</v>
      </c>
      <c r="B4474" s="83" t="s">
        <v>4900</v>
      </c>
      <c r="C4474" s="81" t="s">
        <v>4621</v>
      </c>
      <c r="D4474" s="83" t="s">
        <v>4219</v>
      </c>
      <c r="E4474" s="81" t="s">
        <v>835</v>
      </c>
      <c r="F4474" s="81">
        <v>145.0</v>
      </c>
      <c r="G4474" s="81" t="s">
        <v>3</v>
      </c>
      <c r="H4474" s="81" t="s">
        <v>224</v>
      </c>
      <c r="I4474" s="81" t="s">
        <v>344</v>
      </c>
      <c r="J4474" s="81" t="s">
        <v>224</v>
      </c>
      <c r="K4474" s="81" t="str">
        <f>IFERROR(__xludf.DUMMYFUNCTION("IF(OR(D4474="""",G4474=""""),"""",IFERROR(LET(
campo,XLOOKUP(TRIM(G4474),ARRAYFORMULA(TRIM('indice columnas'!$A$2:$A$100)),'indice columnas'!$B$2:$B$100,""""),
col,IFERROR(MATCH(campo,Referencia!$A$1:$AZ$1,0),0),
fila,IFERROR(MATCH(TO_TEXT(D4474),ARRAYFOR"&amp;"MULA(TO_TEXT(Referencia!$A$2:$A6238)),0),0),
IF(OR(campo="""",campo=""-""),""NO APLICA"",
IF(col=0,""REVISAR EQUIVALENCIA"",
IF(fila=0,""SKU NO ENCONTRADO"",
LET(
valor,INDEX(Referencia!$A$2:$AZ6238,fila,col),
IF(TRIM(TO_TEXT(valor))=TRIM(TO_TEXT(I4474)),"&amp;"
""OK"",
""NO COINCIDE. Valor verdadero: ""&amp;IF(valor="""",""[VACÍO]"",TO_TEXT(valor))
)
))))
),""ERROR EN FÓRMULA""))"),"OK")</f>
        <v>OK</v>
      </c>
    </row>
    <row r="4475">
      <c r="A4475" s="83" t="s">
        <v>4899</v>
      </c>
      <c r="B4475" s="83" t="s">
        <v>4900</v>
      </c>
      <c r="C4475" s="81" t="s">
        <v>4621</v>
      </c>
      <c r="D4475" s="83" t="s">
        <v>4219</v>
      </c>
      <c r="E4475" s="81" t="s">
        <v>835</v>
      </c>
      <c r="F4475" s="81">
        <v>145.0</v>
      </c>
      <c r="G4475" s="81" t="s">
        <v>2</v>
      </c>
      <c r="H4475" s="81" t="s">
        <v>224</v>
      </c>
      <c r="I4475" s="81" t="s">
        <v>213</v>
      </c>
      <c r="J4475" s="81" t="s">
        <v>224</v>
      </c>
      <c r="K4475" s="81" t="str">
        <f>IFERROR(__xludf.DUMMYFUNCTION("IF(OR(D4475="""",G4475=""""),"""",IFERROR(LET(
campo,XLOOKUP(TRIM(G4475),ARRAYFORMULA(TRIM('indice columnas'!$A$2:$A$100)),'indice columnas'!$B$2:$B$100,""""),
col,IFERROR(MATCH(campo,Referencia!$A$1:$AZ$1,0),0),
fila,IFERROR(MATCH(TO_TEXT(D4475),ARRAYFOR"&amp;"MULA(TO_TEXT(Referencia!$A$2:$A6238)),0),0),
IF(OR(campo="""",campo=""-""),""NO APLICA"",
IF(col=0,""REVISAR EQUIVALENCIA"",
IF(fila=0,""SKU NO ENCONTRADO"",
LET(
valor,INDEX(Referencia!$A$2:$AZ6238,fila,col),
IF(TRIM(TO_TEXT(valor))=TRIM(TO_TEXT(I4475)),"&amp;"
""OK"",
""NO COINCIDE. Valor verdadero: ""&amp;IF(valor="""",""[VACÍO]"",TO_TEXT(valor))
)
))))
),""ERROR EN FÓRMULA""))"),"OK")</f>
        <v>OK</v>
      </c>
    </row>
    <row r="4476">
      <c r="A4476" s="83" t="s">
        <v>4899</v>
      </c>
      <c r="B4476" s="83" t="s">
        <v>4900</v>
      </c>
      <c r="C4476" s="81" t="s">
        <v>4621</v>
      </c>
      <c r="D4476" s="83" t="s">
        <v>4220</v>
      </c>
      <c r="E4476" s="81" t="s">
        <v>842</v>
      </c>
      <c r="F4476" s="81">
        <v>146.0</v>
      </c>
      <c r="G4476" s="81" t="s">
        <v>3</v>
      </c>
      <c r="H4476" s="81" t="s">
        <v>224</v>
      </c>
      <c r="I4476" s="81" t="s">
        <v>344</v>
      </c>
      <c r="J4476" s="81" t="s">
        <v>224</v>
      </c>
      <c r="K4476" s="81" t="str">
        <f>IFERROR(__xludf.DUMMYFUNCTION("IF(OR(D4476="""",G4476=""""),"""",IFERROR(LET(
campo,XLOOKUP(TRIM(G4476),ARRAYFORMULA(TRIM('indice columnas'!$A$2:$A$100)),'indice columnas'!$B$2:$B$100,""""),
col,IFERROR(MATCH(campo,Referencia!$A$1:$AZ$1,0),0),
fila,IFERROR(MATCH(TO_TEXT(D4476),ARRAYFOR"&amp;"MULA(TO_TEXT(Referencia!$A$2:$A6238)),0),0),
IF(OR(campo="""",campo=""-""),""NO APLICA"",
IF(col=0,""REVISAR EQUIVALENCIA"",
IF(fila=0,""SKU NO ENCONTRADO"",
LET(
valor,INDEX(Referencia!$A$2:$AZ6238,fila,col),
IF(TRIM(TO_TEXT(valor))=TRIM(TO_TEXT(I4476)),"&amp;"
""OK"",
""NO COINCIDE. Valor verdadero: ""&amp;IF(valor="""",""[VACÍO]"",TO_TEXT(valor))
)
))))
),""ERROR EN FÓRMULA""))"),"OK")</f>
        <v>OK</v>
      </c>
    </row>
    <row r="4477">
      <c r="A4477" s="83" t="s">
        <v>4899</v>
      </c>
      <c r="B4477" s="83" t="s">
        <v>4900</v>
      </c>
      <c r="C4477" s="81" t="s">
        <v>4621</v>
      </c>
      <c r="D4477" s="83" t="s">
        <v>4220</v>
      </c>
      <c r="E4477" s="81" t="s">
        <v>842</v>
      </c>
      <c r="F4477" s="81">
        <v>146.0</v>
      </c>
      <c r="G4477" s="81" t="s">
        <v>2</v>
      </c>
      <c r="H4477" s="81" t="s">
        <v>224</v>
      </c>
      <c r="I4477" s="81" t="s">
        <v>213</v>
      </c>
      <c r="J4477" s="81" t="s">
        <v>224</v>
      </c>
      <c r="K4477" s="81" t="str">
        <f>IFERROR(__xludf.DUMMYFUNCTION("IF(OR(D4477="""",G4477=""""),"""",IFERROR(LET(
campo,XLOOKUP(TRIM(G4477),ARRAYFORMULA(TRIM('indice columnas'!$A$2:$A$100)),'indice columnas'!$B$2:$B$100,""""),
col,IFERROR(MATCH(campo,Referencia!$A$1:$AZ$1,0),0),
fila,IFERROR(MATCH(TO_TEXT(D4477),ARRAYFOR"&amp;"MULA(TO_TEXT(Referencia!$A$2:$A6238)),0),0),
IF(OR(campo="""",campo=""-""),""NO APLICA"",
IF(col=0,""REVISAR EQUIVALENCIA"",
IF(fila=0,""SKU NO ENCONTRADO"",
LET(
valor,INDEX(Referencia!$A$2:$AZ6238,fila,col),
IF(TRIM(TO_TEXT(valor))=TRIM(TO_TEXT(I4477)),"&amp;"
""OK"",
""NO COINCIDE. Valor verdadero: ""&amp;IF(valor="""",""[VACÍO]"",TO_TEXT(valor))
)
))))
),""ERROR EN FÓRMULA""))"),"OK")</f>
        <v>OK</v>
      </c>
    </row>
    <row r="4478">
      <c r="A4478" s="83" t="s">
        <v>4899</v>
      </c>
      <c r="B4478" s="83" t="s">
        <v>4900</v>
      </c>
      <c r="C4478" s="81" t="s">
        <v>4621</v>
      </c>
      <c r="D4478" s="83" t="s">
        <v>4221</v>
      </c>
      <c r="E4478" s="81" t="s">
        <v>845</v>
      </c>
      <c r="F4478" s="81">
        <v>147.0</v>
      </c>
      <c r="G4478" s="81" t="s">
        <v>3</v>
      </c>
      <c r="H4478" s="81" t="s">
        <v>224</v>
      </c>
      <c r="I4478" s="81" t="s">
        <v>51</v>
      </c>
      <c r="J4478" s="81" t="s">
        <v>224</v>
      </c>
      <c r="K4478" s="81" t="str">
        <f>IFERROR(__xludf.DUMMYFUNCTION("IF(OR(D4478="""",G4478=""""),"""",IFERROR(LET(
campo,XLOOKUP(TRIM(G4478),ARRAYFORMULA(TRIM('indice columnas'!$A$2:$A$100)),'indice columnas'!$B$2:$B$100,""""),
col,IFERROR(MATCH(campo,Referencia!$A$1:$AZ$1,0),0),
fila,IFERROR(MATCH(TO_TEXT(D4478),ARRAYFOR"&amp;"MULA(TO_TEXT(Referencia!$A$2:$A6238)),0),0),
IF(OR(campo="""",campo=""-""),""NO APLICA"",
IF(col=0,""REVISAR EQUIVALENCIA"",
IF(fila=0,""SKU NO ENCONTRADO"",
LET(
valor,INDEX(Referencia!$A$2:$AZ6238,fila,col),
IF(TRIM(TO_TEXT(valor))=TRIM(TO_TEXT(I4478)),"&amp;"
""OK"",
""NO COINCIDE. Valor verdadero: ""&amp;IF(valor="""",""[VACÍO]"",TO_TEXT(valor))
)
))))
),""ERROR EN FÓRMULA""))"),"OK")</f>
        <v>OK</v>
      </c>
    </row>
    <row r="4479">
      <c r="A4479" s="83" t="s">
        <v>4899</v>
      </c>
      <c r="B4479" s="83" t="s">
        <v>4900</v>
      </c>
      <c r="C4479" s="81" t="s">
        <v>4621</v>
      </c>
      <c r="D4479" s="83" t="s">
        <v>4221</v>
      </c>
      <c r="E4479" s="81" t="s">
        <v>845</v>
      </c>
      <c r="F4479" s="81">
        <v>147.0</v>
      </c>
      <c r="G4479" s="81" t="s">
        <v>2</v>
      </c>
      <c r="H4479" s="81" t="s">
        <v>224</v>
      </c>
      <c r="I4479" s="81" t="s">
        <v>213</v>
      </c>
      <c r="J4479" s="81" t="s">
        <v>224</v>
      </c>
      <c r="K4479" s="81" t="str">
        <f>IFERROR(__xludf.DUMMYFUNCTION("IF(OR(D4479="""",G4479=""""),"""",IFERROR(LET(
campo,XLOOKUP(TRIM(G4479),ARRAYFORMULA(TRIM('indice columnas'!$A$2:$A$100)),'indice columnas'!$B$2:$B$100,""""),
col,IFERROR(MATCH(campo,Referencia!$A$1:$AZ$1,0),0),
fila,IFERROR(MATCH(TO_TEXT(D4479),ARRAYFOR"&amp;"MULA(TO_TEXT(Referencia!$A$2:$A6238)),0),0),
IF(OR(campo="""",campo=""-""),""NO APLICA"",
IF(col=0,""REVISAR EQUIVALENCIA"",
IF(fila=0,""SKU NO ENCONTRADO"",
LET(
valor,INDEX(Referencia!$A$2:$AZ6238,fila,col),
IF(TRIM(TO_TEXT(valor))=TRIM(TO_TEXT(I4479)),"&amp;"
""OK"",
""NO COINCIDE. Valor verdadero: ""&amp;IF(valor="""",""[VACÍO]"",TO_TEXT(valor))
)
))))
),""ERROR EN FÓRMULA""))"),"OK")</f>
        <v>OK</v>
      </c>
    </row>
    <row r="4480">
      <c r="A4480" s="83" t="s">
        <v>4899</v>
      </c>
      <c r="B4480" s="83" t="s">
        <v>4900</v>
      </c>
      <c r="C4480" s="81" t="s">
        <v>4621</v>
      </c>
      <c r="D4480" s="83" t="s">
        <v>4222</v>
      </c>
      <c r="E4480" s="81" t="s">
        <v>851</v>
      </c>
      <c r="F4480" s="81">
        <v>148.0</v>
      </c>
      <c r="G4480" s="81" t="s">
        <v>3</v>
      </c>
      <c r="H4480" s="81" t="s">
        <v>224</v>
      </c>
      <c r="I4480" s="81" t="s">
        <v>51</v>
      </c>
      <c r="J4480" s="81" t="s">
        <v>224</v>
      </c>
      <c r="K4480" s="81" t="str">
        <f>IFERROR(__xludf.DUMMYFUNCTION("IF(OR(D4480="""",G4480=""""),"""",IFERROR(LET(
campo,XLOOKUP(TRIM(G4480),ARRAYFORMULA(TRIM('indice columnas'!$A$2:$A$100)),'indice columnas'!$B$2:$B$100,""""),
col,IFERROR(MATCH(campo,Referencia!$A$1:$AZ$1,0),0),
fila,IFERROR(MATCH(TO_TEXT(D4480),ARRAYFOR"&amp;"MULA(TO_TEXT(Referencia!$A$2:$A6238)),0),0),
IF(OR(campo="""",campo=""-""),""NO APLICA"",
IF(col=0,""REVISAR EQUIVALENCIA"",
IF(fila=0,""SKU NO ENCONTRADO"",
LET(
valor,INDEX(Referencia!$A$2:$AZ6238,fila,col),
IF(TRIM(TO_TEXT(valor))=TRIM(TO_TEXT(I4480)),"&amp;"
""OK"",
""NO COINCIDE. Valor verdadero: ""&amp;IF(valor="""",""[VACÍO]"",TO_TEXT(valor))
)
))))
),""ERROR EN FÓRMULA""))"),"OK")</f>
        <v>OK</v>
      </c>
    </row>
    <row r="4481">
      <c r="A4481" s="83" t="s">
        <v>4899</v>
      </c>
      <c r="B4481" s="83" t="s">
        <v>4900</v>
      </c>
      <c r="C4481" s="81" t="s">
        <v>4621</v>
      </c>
      <c r="D4481" s="83" t="s">
        <v>4222</v>
      </c>
      <c r="E4481" s="81" t="s">
        <v>851</v>
      </c>
      <c r="F4481" s="81">
        <v>148.0</v>
      </c>
      <c r="G4481" s="81" t="s">
        <v>2</v>
      </c>
      <c r="H4481" s="81" t="s">
        <v>224</v>
      </c>
      <c r="I4481" s="81" t="s">
        <v>213</v>
      </c>
      <c r="J4481" s="81" t="s">
        <v>224</v>
      </c>
      <c r="K4481" s="81" t="str">
        <f>IFERROR(__xludf.DUMMYFUNCTION("IF(OR(D4481="""",G4481=""""),"""",IFERROR(LET(
campo,XLOOKUP(TRIM(G4481),ARRAYFORMULA(TRIM('indice columnas'!$A$2:$A$100)),'indice columnas'!$B$2:$B$100,""""),
col,IFERROR(MATCH(campo,Referencia!$A$1:$AZ$1,0),0),
fila,IFERROR(MATCH(TO_TEXT(D4481),ARRAYFOR"&amp;"MULA(TO_TEXT(Referencia!$A$2:$A6238)),0),0),
IF(OR(campo="""",campo=""-""),""NO APLICA"",
IF(col=0,""REVISAR EQUIVALENCIA"",
IF(fila=0,""SKU NO ENCONTRADO"",
LET(
valor,INDEX(Referencia!$A$2:$AZ6238,fila,col),
IF(TRIM(TO_TEXT(valor))=TRIM(TO_TEXT(I4481)),"&amp;"
""OK"",
""NO COINCIDE. Valor verdadero: ""&amp;IF(valor="""",""[VACÍO]"",TO_TEXT(valor))
)
))))
),""ERROR EN FÓRMULA""))"),"OK")</f>
        <v>OK</v>
      </c>
    </row>
    <row r="4482">
      <c r="A4482" s="83" t="s">
        <v>4899</v>
      </c>
      <c r="B4482" s="83" t="s">
        <v>4900</v>
      </c>
      <c r="C4482" s="81" t="s">
        <v>4621</v>
      </c>
      <c r="D4482" s="83" t="s">
        <v>4223</v>
      </c>
      <c r="E4482" s="81" t="s">
        <v>854</v>
      </c>
      <c r="F4482" s="81">
        <v>149.0</v>
      </c>
      <c r="G4482" s="81" t="s">
        <v>3</v>
      </c>
      <c r="H4482" s="81" t="s">
        <v>224</v>
      </c>
      <c r="I4482" s="81" t="s">
        <v>344</v>
      </c>
      <c r="J4482" s="81" t="s">
        <v>224</v>
      </c>
      <c r="K4482" s="81" t="str">
        <f>IFERROR(__xludf.DUMMYFUNCTION("IF(OR(D4482="""",G4482=""""),"""",IFERROR(LET(
campo,XLOOKUP(TRIM(G4482),ARRAYFORMULA(TRIM('indice columnas'!$A$2:$A$100)),'indice columnas'!$B$2:$B$100,""""),
col,IFERROR(MATCH(campo,Referencia!$A$1:$AZ$1,0),0),
fila,IFERROR(MATCH(TO_TEXT(D4482),ARRAYFOR"&amp;"MULA(TO_TEXT(Referencia!$A$2:$A6238)),0),0),
IF(OR(campo="""",campo=""-""),""NO APLICA"",
IF(col=0,""REVISAR EQUIVALENCIA"",
IF(fila=0,""SKU NO ENCONTRADO"",
LET(
valor,INDEX(Referencia!$A$2:$AZ6238,fila,col),
IF(TRIM(TO_TEXT(valor))=TRIM(TO_TEXT(I4482)),"&amp;"
""OK"",
""NO COINCIDE. Valor verdadero: ""&amp;IF(valor="""",""[VACÍO]"",TO_TEXT(valor))
)
))))
),""ERROR EN FÓRMULA""))"),"OK")</f>
        <v>OK</v>
      </c>
    </row>
    <row r="4483">
      <c r="A4483" s="83" t="s">
        <v>4899</v>
      </c>
      <c r="B4483" s="83" t="s">
        <v>4900</v>
      </c>
      <c r="C4483" s="81" t="s">
        <v>4621</v>
      </c>
      <c r="D4483" s="83" t="s">
        <v>4223</v>
      </c>
      <c r="E4483" s="81" t="s">
        <v>854</v>
      </c>
      <c r="F4483" s="81">
        <v>149.0</v>
      </c>
      <c r="G4483" s="81" t="s">
        <v>2</v>
      </c>
      <c r="H4483" s="81" t="s">
        <v>224</v>
      </c>
      <c r="I4483" s="81" t="s">
        <v>213</v>
      </c>
      <c r="J4483" s="81" t="s">
        <v>224</v>
      </c>
      <c r="K4483" s="81" t="str">
        <f>IFERROR(__xludf.DUMMYFUNCTION("IF(OR(D4483="""",G4483=""""),"""",IFERROR(LET(
campo,XLOOKUP(TRIM(G4483),ARRAYFORMULA(TRIM('indice columnas'!$A$2:$A$100)),'indice columnas'!$B$2:$B$100,""""),
col,IFERROR(MATCH(campo,Referencia!$A$1:$AZ$1,0),0),
fila,IFERROR(MATCH(TO_TEXT(D4483),ARRAYFOR"&amp;"MULA(TO_TEXT(Referencia!$A$2:$A6238)),0),0),
IF(OR(campo="""",campo=""-""),""NO APLICA"",
IF(col=0,""REVISAR EQUIVALENCIA"",
IF(fila=0,""SKU NO ENCONTRADO"",
LET(
valor,INDEX(Referencia!$A$2:$AZ6238,fila,col),
IF(TRIM(TO_TEXT(valor))=TRIM(TO_TEXT(I4483)),"&amp;"
""OK"",
""NO COINCIDE. Valor verdadero: ""&amp;IF(valor="""",""[VACÍO]"",TO_TEXT(valor))
)
))))
),""ERROR EN FÓRMULA""))"),"OK")</f>
        <v>OK</v>
      </c>
    </row>
    <row r="4484">
      <c r="A4484" s="83" t="s">
        <v>4899</v>
      </c>
      <c r="B4484" s="83" t="s">
        <v>4900</v>
      </c>
      <c r="C4484" s="81" t="s">
        <v>4621</v>
      </c>
      <c r="D4484" s="83" t="s">
        <v>4223</v>
      </c>
      <c r="E4484" s="81" t="s">
        <v>854</v>
      </c>
      <c r="F4484" s="81">
        <v>149.0</v>
      </c>
      <c r="G4484" s="81" t="s">
        <v>1</v>
      </c>
      <c r="H4484" s="81" t="s">
        <v>224</v>
      </c>
      <c r="I4484" s="81" t="s">
        <v>717</v>
      </c>
      <c r="J4484" s="81" t="s">
        <v>224</v>
      </c>
      <c r="K4484" s="81" t="str">
        <f>IFERROR(__xludf.DUMMYFUNCTION("IF(OR(D4484="""",G4484=""""),"""",IFERROR(LET(
campo,XLOOKUP(TRIM(G4484),ARRAYFORMULA(TRIM('indice columnas'!$A$2:$A$100)),'indice columnas'!$B$2:$B$100,""""),
col,IFERROR(MATCH(campo,Referencia!$A$1:$AZ$1,0),0),
fila,IFERROR(MATCH(TO_TEXT(D4484),ARRAYFOR"&amp;"MULA(TO_TEXT(Referencia!$A$2:$A6238)),0),0),
IF(OR(campo="""",campo=""-""),""NO APLICA"",
IF(col=0,""REVISAR EQUIVALENCIA"",
IF(fila=0,""SKU NO ENCONTRADO"",
LET(
valor,INDEX(Referencia!$A$2:$AZ6238,fila,col),
IF(TRIM(TO_TEXT(valor))=TRIM(TO_TEXT(I4484)),"&amp;"
""OK"",
""NO COINCIDE. Valor verdadero: ""&amp;IF(valor="""",""[VACÍO]"",TO_TEXT(valor))
)
))))
),""ERROR EN FÓRMULA""))"),"OK")</f>
        <v>OK</v>
      </c>
    </row>
    <row r="4485">
      <c r="A4485" s="83" t="s">
        <v>4899</v>
      </c>
      <c r="B4485" s="83" t="s">
        <v>4900</v>
      </c>
      <c r="C4485" s="81" t="s">
        <v>4621</v>
      </c>
      <c r="D4485" s="83" t="s">
        <v>4224</v>
      </c>
      <c r="E4485" s="81" t="s">
        <v>861</v>
      </c>
      <c r="F4485" s="81">
        <v>150.0</v>
      </c>
      <c r="G4485" s="81" t="s">
        <v>3</v>
      </c>
      <c r="H4485" s="81" t="s">
        <v>224</v>
      </c>
      <c r="I4485" s="81" t="s">
        <v>344</v>
      </c>
      <c r="J4485" s="81" t="s">
        <v>224</v>
      </c>
      <c r="K4485" s="81" t="str">
        <f>IFERROR(__xludf.DUMMYFUNCTION("IF(OR(D4485="""",G4485=""""),"""",IFERROR(LET(
campo,XLOOKUP(TRIM(G4485),ARRAYFORMULA(TRIM('indice columnas'!$A$2:$A$100)),'indice columnas'!$B$2:$B$100,""""),
col,IFERROR(MATCH(campo,Referencia!$A$1:$AZ$1,0),0),
fila,IFERROR(MATCH(TO_TEXT(D4485),ARRAYFOR"&amp;"MULA(TO_TEXT(Referencia!$A$2:$A6238)),0),0),
IF(OR(campo="""",campo=""-""),""NO APLICA"",
IF(col=0,""REVISAR EQUIVALENCIA"",
IF(fila=0,""SKU NO ENCONTRADO"",
LET(
valor,INDEX(Referencia!$A$2:$AZ6238,fila,col),
IF(TRIM(TO_TEXT(valor))=TRIM(TO_TEXT(I4485)),"&amp;"
""OK"",
""NO COINCIDE. Valor verdadero: ""&amp;IF(valor="""",""[VACÍO]"",TO_TEXT(valor))
)
))))
),""ERROR EN FÓRMULA""))"),"OK")</f>
        <v>OK</v>
      </c>
    </row>
    <row r="4486">
      <c r="A4486" s="83" t="s">
        <v>4899</v>
      </c>
      <c r="B4486" s="83" t="s">
        <v>4900</v>
      </c>
      <c r="C4486" s="81" t="s">
        <v>4621</v>
      </c>
      <c r="D4486" s="83" t="s">
        <v>4224</v>
      </c>
      <c r="E4486" s="81" t="s">
        <v>861</v>
      </c>
      <c r="F4486" s="81">
        <v>150.0</v>
      </c>
      <c r="G4486" s="81" t="s">
        <v>2</v>
      </c>
      <c r="H4486" s="81" t="s">
        <v>224</v>
      </c>
      <c r="I4486" s="81" t="s">
        <v>213</v>
      </c>
      <c r="J4486" s="81" t="s">
        <v>224</v>
      </c>
      <c r="K4486" s="81" t="str">
        <f>IFERROR(__xludf.DUMMYFUNCTION("IF(OR(D4486="""",G4486=""""),"""",IFERROR(LET(
campo,XLOOKUP(TRIM(G4486),ARRAYFORMULA(TRIM('indice columnas'!$A$2:$A$100)),'indice columnas'!$B$2:$B$100,""""),
col,IFERROR(MATCH(campo,Referencia!$A$1:$AZ$1,0),0),
fila,IFERROR(MATCH(TO_TEXT(D4486),ARRAYFOR"&amp;"MULA(TO_TEXT(Referencia!$A$2:$A6238)),0),0),
IF(OR(campo="""",campo=""-""),""NO APLICA"",
IF(col=0,""REVISAR EQUIVALENCIA"",
IF(fila=0,""SKU NO ENCONTRADO"",
LET(
valor,INDEX(Referencia!$A$2:$AZ6238,fila,col),
IF(TRIM(TO_TEXT(valor))=TRIM(TO_TEXT(I4486)),"&amp;"
""OK"",
""NO COINCIDE. Valor verdadero: ""&amp;IF(valor="""",""[VACÍO]"",TO_TEXT(valor))
)
))))
),""ERROR EN FÓRMULA""))"),"OK")</f>
        <v>OK</v>
      </c>
    </row>
    <row r="4487">
      <c r="A4487" s="83" t="s">
        <v>4899</v>
      </c>
      <c r="B4487" s="83" t="s">
        <v>4900</v>
      </c>
      <c r="C4487" s="81" t="s">
        <v>4621</v>
      </c>
      <c r="D4487" s="83" t="s">
        <v>4224</v>
      </c>
      <c r="E4487" s="81" t="s">
        <v>861</v>
      </c>
      <c r="F4487" s="81">
        <v>150.0</v>
      </c>
      <c r="G4487" s="81" t="s">
        <v>1</v>
      </c>
      <c r="H4487" s="81" t="s">
        <v>224</v>
      </c>
      <c r="I4487" s="81" t="s">
        <v>717</v>
      </c>
      <c r="J4487" s="81" t="s">
        <v>224</v>
      </c>
      <c r="K4487" s="81" t="str">
        <f>IFERROR(__xludf.DUMMYFUNCTION("IF(OR(D4487="""",G4487=""""),"""",IFERROR(LET(
campo,XLOOKUP(TRIM(G4487),ARRAYFORMULA(TRIM('indice columnas'!$A$2:$A$100)),'indice columnas'!$B$2:$B$100,""""),
col,IFERROR(MATCH(campo,Referencia!$A$1:$AZ$1,0),0),
fila,IFERROR(MATCH(TO_TEXT(D4487),ARRAYFOR"&amp;"MULA(TO_TEXT(Referencia!$A$2:$A6238)),0),0),
IF(OR(campo="""",campo=""-""),""NO APLICA"",
IF(col=0,""REVISAR EQUIVALENCIA"",
IF(fila=0,""SKU NO ENCONTRADO"",
LET(
valor,INDEX(Referencia!$A$2:$AZ6238,fila,col),
IF(TRIM(TO_TEXT(valor))=TRIM(TO_TEXT(I4487)),"&amp;"
""OK"",
""NO COINCIDE. Valor verdadero: ""&amp;IF(valor="""",""[VACÍO]"",TO_TEXT(valor))
)
))))
),""ERROR EN FÓRMULA""))"),"OK")</f>
        <v>OK</v>
      </c>
    </row>
    <row r="4488">
      <c r="A4488" s="83" t="s">
        <v>4899</v>
      </c>
      <c r="B4488" s="83" t="s">
        <v>4900</v>
      </c>
      <c r="C4488" s="81" t="s">
        <v>4621</v>
      </c>
      <c r="D4488" s="83" t="s">
        <v>4225</v>
      </c>
      <c r="E4488" s="81" t="s">
        <v>864</v>
      </c>
      <c r="F4488" s="81">
        <v>151.0</v>
      </c>
      <c r="G4488" s="81" t="s">
        <v>3</v>
      </c>
      <c r="H4488" s="81" t="s">
        <v>224</v>
      </c>
      <c r="I4488" s="81" t="s">
        <v>51</v>
      </c>
      <c r="J4488" s="81" t="s">
        <v>224</v>
      </c>
      <c r="K4488" s="81" t="str">
        <f>IFERROR(__xludf.DUMMYFUNCTION("IF(OR(D4488="""",G4488=""""),"""",IFERROR(LET(
campo,XLOOKUP(TRIM(G4488),ARRAYFORMULA(TRIM('indice columnas'!$A$2:$A$100)),'indice columnas'!$B$2:$B$100,""""),
col,IFERROR(MATCH(campo,Referencia!$A$1:$AZ$1,0),0),
fila,IFERROR(MATCH(TO_TEXT(D4488),ARRAYFOR"&amp;"MULA(TO_TEXT(Referencia!$A$2:$A6238)),0),0),
IF(OR(campo="""",campo=""-""),""NO APLICA"",
IF(col=0,""REVISAR EQUIVALENCIA"",
IF(fila=0,""SKU NO ENCONTRADO"",
LET(
valor,INDEX(Referencia!$A$2:$AZ6238,fila,col),
IF(TRIM(TO_TEXT(valor))=TRIM(TO_TEXT(I4488)),"&amp;"
""OK"",
""NO COINCIDE. Valor verdadero: ""&amp;IF(valor="""",""[VACÍO]"",TO_TEXT(valor))
)
))))
),""ERROR EN FÓRMULA""))"),"OK")</f>
        <v>OK</v>
      </c>
    </row>
    <row r="4489">
      <c r="A4489" s="83" t="s">
        <v>4899</v>
      </c>
      <c r="B4489" s="83" t="s">
        <v>4900</v>
      </c>
      <c r="C4489" s="81" t="s">
        <v>4621</v>
      </c>
      <c r="D4489" s="83" t="s">
        <v>4225</v>
      </c>
      <c r="E4489" s="81" t="s">
        <v>864</v>
      </c>
      <c r="F4489" s="81">
        <v>151.0</v>
      </c>
      <c r="G4489" s="81" t="s">
        <v>2</v>
      </c>
      <c r="H4489" s="81" t="s">
        <v>224</v>
      </c>
      <c r="I4489" s="81" t="s">
        <v>213</v>
      </c>
      <c r="J4489" s="81" t="s">
        <v>224</v>
      </c>
      <c r="K4489" s="81" t="str">
        <f>IFERROR(__xludf.DUMMYFUNCTION("IF(OR(D4489="""",G4489=""""),"""",IFERROR(LET(
campo,XLOOKUP(TRIM(G4489),ARRAYFORMULA(TRIM('indice columnas'!$A$2:$A$100)),'indice columnas'!$B$2:$B$100,""""),
col,IFERROR(MATCH(campo,Referencia!$A$1:$AZ$1,0),0),
fila,IFERROR(MATCH(TO_TEXT(D4489),ARRAYFOR"&amp;"MULA(TO_TEXT(Referencia!$A$2:$A6238)),0),0),
IF(OR(campo="""",campo=""-""),""NO APLICA"",
IF(col=0,""REVISAR EQUIVALENCIA"",
IF(fila=0,""SKU NO ENCONTRADO"",
LET(
valor,INDEX(Referencia!$A$2:$AZ6238,fila,col),
IF(TRIM(TO_TEXT(valor))=TRIM(TO_TEXT(I4489)),"&amp;"
""OK"",
""NO COINCIDE. Valor verdadero: ""&amp;IF(valor="""",""[VACÍO]"",TO_TEXT(valor))
)
))))
),""ERROR EN FÓRMULA""))"),"OK")</f>
        <v>OK</v>
      </c>
    </row>
    <row r="4490">
      <c r="A4490" s="83" t="s">
        <v>4899</v>
      </c>
      <c r="B4490" s="83" t="s">
        <v>4900</v>
      </c>
      <c r="C4490" s="81" t="s">
        <v>4621</v>
      </c>
      <c r="D4490" s="83" t="s">
        <v>4226</v>
      </c>
      <c r="E4490" s="81" t="s">
        <v>871</v>
      </c>
      <c r="F4490" s="81">
        <v>152.0</v>
      </c>
      <c r="G4490" s="81" t="s">
        <v>3</v>
      </c>
      <c r="H4490" s="81" t="s">
        <v>224</v>
      </c>
      <c r="I4490" s="81" t="s">
        <v>51</v>
      </c>
      <c r="J4490" s="81" t="s">
        <v>224</v>
      </c>
      <c r="K4490" s="81" t="str">
        <f>IFERROR(__xludf.DUMMYFUNCTION("IF(OR(D4490="""",G4490=""""),"""",IFERROR(LET(
campo,XLOOKUP(TRIM(G4490),ARRAYFORMULA(TRIM('indice columnas'!$A$2:$A$100)),'indice columnas'!$B$2:$B$100,""""),
col,IFERROR(MATCH(campo,Referencia!$A$1:$AZ$1,0),0),
fila,IFERROR(MATCH(TO_TEXT(D4490),ARRAYFOR"&amp;"MULA(TO_TEXT(Referencia!$A$2:$A6238)),0),0),
IF(OR(campo="""",campo=""-""),""NO APLICA"",
IF(col=0,""REVISAR EQUIVALENCIA"",
IF(fila=0,""SKU NO ENCONTRADO"",
LET(
valor,INDEX(Referencia!$A$2:$AZ6238,fila,col),
IF(TRIM(TO_TEXT(valor))=TRIM(TO_TEXT(I4490)),"&amp;"
""OK"",
""NO COINCIDE. Valor verdadero: ""&amp;IF(valor="""",""[VACÍO]"",TO_TEXT(valor))
)
))))
),""ERROR EN FÓRMULA""))"),"OK")</f>
        <v>OK</v>
      </c>
    </row>
    <row r="4491">
      <c r="A4491" s="83" t="s">
        <v>4899</v>
      </c>
      <c r="B4491" s="83" t="s">
        <v>4900</v>
      </c>
      <c r="C4491" s="81" t="s">
        <v>4621</v>
      </c>
      <c r="D4491" s="83" t="s">
        <v>4226</v>
      </c>
      <c r="E4491" s="81" t="s">
        <v>871</v>
      </c>
      <c r="F4491" s="81">
        <v>152.0</v>
      </c>
      <c r="G4491" s="81" t="s">
        <v>2</v>
      </c>
      <c r="H4491" s="81" t="s">
        <v>224</v>
      </c>
      <c r="I4491" s="81" t="s">
        <v>213</v>
      </c>
      <c r="J4491" s="81" t="s">
        <v>224</v>
      </c>
      <c r="K4491" s="81" t="str">
        <f>IFERROR(__xludf.DUMMYFUNCTION("IF(OR(D4491="""",G4491=""""),"""",IFERROR(LET(
campo,XLOOKUP(TRIM(G4491),ARRAYFORMULA(TRIM('indice columnas'!$A$2:$A$100)),'indice columnas'!$B$2:$B$100,""""),
col,IFERROR(MATCH(campo,Referencia!$A$1:$AZ$1,0),0),
fila,IFERROR(MATCH(TO_TEXT(D4491),ARRAYFOR"&amp;"MULA(TO_TEXT(Referencia!$A$2:$A6238)),0),0),
IF(OR(campo="""",campo=""-""),""NO APLICA"",
IF(col=0,""REVISAR EQUIVALENCIA"",
IF(fila=0,""SKU NO ENCONTRADO"",
LET(
valor,INDEX(Referencia!$A$2:$AZ6238,fila,col),
IF(TRIM(TO_TEXT(valor))=TRIM(TO_TEXT(I4491)),"&amp;"
""OK"",
""NO COINCIDE. Valor verdadero: ""&amp;IF(valor="""",""[VACÍO]"",TO_TEXT(valor))
)
))))
),""ERROR EN FÓRMULA""))"),"OK")</f>
        <v>OK</v>
      </c>
    </row>
    <row r="4492">
      <c r="A4492" s="83" t="s">
        <v>4899</v>
      </c>
      <c r="B4492" s="83" t="s">
        <v>4900</v>
      </c>
      <c r="C4492" s="81" t="s">
        <v>4621</v>
      </c>
      <c r="D4492" s="83" t="s">
        <v>4227</v>
      </c>
      <c r="E4492" s="81" t="s">
        <v>874</v>
      </c>
      <c r="F4492" s="81">
        <v>153.0</v>
      </c>
      <c r="G4492" s="81" t="s">
        <v>3</v>
      </c>
      <c r="H4492" s="81" t="s">
        <v>224</v>
      </c>
      <c r="I4492" s="81" t="s">
        <v>344</v>
      </c>
      <c r="J4492" s="81" t="s">
        <v>224</v>
      </c>
      <c r="K4492" s="81" t="str">
        <f>IFERROR(__xludf.DUMMYFUNCTION("IF(OR(D4492="""",G4492=""""),"""",IFERROR(LET(
campo,XLOOKUP(TRIM(G4492),ARRAYFORMULA(TRIM('indice columnas'!$A$2:$A$100)),'indice columnas'!$B$2:$B$100,""""),
col,IFERROR(MATCH(campo,Referencia!$A$1:$AZ$1,0),0),
fila,IFERROR(MATCH(TO_TEXT(D4492),ARRAYFOR"&amp;"MULA(TO_TEXT(Referencia!$A$2:$A6238)),0),0),
IF(OR(campo="""",campo=""-""),""NO APLICA"",
IF(col=0,""REVISAR EQUIVALENCIA"",
IF(fila=0,""SKU NO ENCONTRADO"",
LET(
valor,INDEX(Referencia!$A$2:$AZ6238,fila,col),
IF(TRIM(TO_TEXT(valor))=TRIM(TO_TEXT(I4492)),"&amp;"
""OK"",
""NO COINCIDE. Valor verdadero: ""&amp;IF(valor="""",""[VACÍO]"",TO_TEXT(valor))
)
))))
),""ERROR EN FÓRMULA""))"),"OK")</f>
        <v>OK</v>
      </c>
    </row>
    <row r="4493">
      <c r="A4493" s="83" t="s">
        <v>4899</v>
      </c>
      <c r="B4493" s="83" t="s">
        <v>4900</v>
      </c>
      <c r="C4493" s="81" t="s">
        <v>4621</v>
      </c>
      <c r="D4493" s="83" t="s">
        <v>4227</v>
      </c>
      <c r="E4493" s="81" t="s">
        <v>874</v>
      </c>
      <c r="F4493" s="81">
        <v>153.0</v>
      </c>
      <c r="G4493" s="81" t="s">
        <v>2</v>
      </c>
      <c r="H4493" s="81" t="s">
        <v>224</v>
      </c>
      <c r="I4493" s="81" t="s">
        <v>213</v>
      </c>
      <c r="J4493" s="81" t="s">
        <v>224</v>
      </c>
      <c r="K4493" s="81" t="str">
        <f>IFERROR(__xludf.DUMMYFUNCTION("IF(OR(D4493="""",G4493=""""),"""",IFERROR(LET(
campo,XLOOKUP(TRIM(G4493),ARRAYFORMULA(TRIM('indice columnas'!$A$2:$A$100)),'indice columnas'!$B$2:$B$100,""""),
col,IFERROR(MATCH(campo,Referencia!$A$1:$AZ$1,0),0),
fila,IFERROR(MATCH(TO_TEXT(D4493),ARRAYFOR"&amp;"MULA(TO_TEXT(Referencia!$A$2:$A6238)),0),0),
IF(OR(campo="""",campo=""-""),""NO APLICA"",
IF(col=0,""REVISAR EQUIVALENCIA"",
IF(fila=0,""SKU NO ENCONTRADO"",
LET(
valor,INDEX(Referencia!$A$2:$AZ6238,fila,col),
IF(TRIM(TO_TEXT(valor))=TRIM(TO_TEXT(I4493)),"&amp;"
""OK"",
""NO COINCIDE. Valor verdadero: ""&amp;IF(valor="""",""[VACÍO]"",TO_TEXT(valor))
)
))))
),""ERROR EN FÓRMULA""))"),"OK")</f>
        <v>OK</v>
      </c>
    </row>
    <row r="4494">
      <c r="A4494" s="83" t="s">
        <v>4899</v>
      </c>
      <c r="B4494" s="83" t="s">
        <v>4900</v>
      </c>
      <c r="C4494" s="81" t="s">
        <v>4621</v>
      </c>
      <c r="D4494" s="83" t="s">
        <v>4228</v>
      </c>
      <c r="E4494" s="81" t="s">
        <v>881</v>
      </c>
      <c r="F4494" s="81">
        <v>154.0</v>
      </c>
      <c r="G4494" s="81" t="s">
        <v>3</v>
      </c>
      <c r="H4494" s="81" t="s">
        <v>224</v>
      </c>
      <c r="I4494" s="81" t="s">
        <v>344</v>
      </c>
      <c r="J4494" s="81" t="s">
        <v>224</v>
      </c>
      <c r="K4494" s="81" t="str">
        <f>IFERROR(__xludf.DUMMYFUNCTION("IF(OR(D4494="""",G4494=""""),"""",IFERROR(LET(
campo,XLOOKUP(TRIM(G4494),ARRAYFORMULA(TRIM('indice columnas'!$A$2:$A$100)),'indice columnas'!$B$2:$B$100,""""),
col,IFERROR(MATCH(campo,Referencia!$A$1:$AZ$1,0),0),
fila,IFERROR(MATCH(TO_TEXT(D4494),ARRAYFOR"&amp;"MULA(TO_TEXT(Referencia!$A$2:$A6238)),0),0),
IF(OR(campo="""",campo=""-""),""NO APLICA"",
IF(col=0,""REVISAR EQUIVALENCIA"",
IF(fila=0,""SKU NO ENCONTRADO"",
LET(
valor,INDEX(Referencia!$A$2:$AZ6238,fila,col),
IF(TRIM(TO_TEXT(valor))=TRIM(TO_TEXT(I4494)),"&amp;"
""OK"",
""NO COINCIDE. Valor verdadero: ""&amp;IF(valor="""",""[VACÍO]"",TO_TEXT(valor))
)
))))
),""ERROR EN FÓRMULA""))"),"OK")</f>
        <v>OK</v>
      </c>
    </row>
    <row r="4495">
      <c r="A4495" s="83" t="s">
        <v>4899</v>
      </c>
      <c r="B4495" s="83" t="s">
        <v>4900</v>
      </c>
      <c r="C4495" s="81" t="s">
        <v>4621</v>
      </c>
      <c r="D4495" s="83" t="s">
        <v>4228</v>
      </c>
      <c r="E4495" s="81" t="s">
        <v>881</v>
      </c>
      <c r="F4495" s="81">
        <v>154.0</v>
      </c>
      <c r="G4495" s="81" t="s">
        <v>2</v>
      </c>
      <c r="H4495" s="81" t="s">
        <v>224</v>
      </c>
      <c r="I4495" s="81" t="s">
        <v>213</v>
      </c>
      <c r="J4495" s="81" t="s">
        <v>224</v>
      </c>
      <c r="K4495" s="81" t="str">
        <f>IFERROR(__xludf.DUMMYFUNCTION("IF(OR(D4495="""",G4495=""""),"""",IFERROR(LET(
campo,XLOOKUP(TRIM(G4495),ARRAYFORMULA(TRIM('indice columnas'!$A$2:$A$100)),'indice columnas'!$B$2:$B$100,""""),
col,IFERROR(MATCH(campo,Referencia!$A$1:$AZ$1,0),0),
fila,IFERROR(MATCH(TO_TEXT(D4495),ARRAYFOR"&amp;"MULA(TO_TEXT(Referencia!$A$2:$A6238)),0),0),
IF(OR(campo="""",campo=""-""),""NO APLICA"",
IF(col=0,""REVISAR EQUIVALENCIA"",
IF(fila=0,""SKU NO ENCONTRADO"",
LET(
valor,INDEX(Referencia!$A$2:$AZ6238,fila,col),
IF(TRIM(TO_TEXT(valor))=TRIM(TO_TEXT(I4495)),"&amp;"
""OK"",
""NO COINCIDE. Valor verdadero: ""&amp;IF(valor="""",""[VACÍO]"",TO_TEXT(valor))
)
))))
),""ERROR EN FÓRMULA""))"),"OK")</f>
        <v>OK</v>
      </c>
    </row>
    <row r="4496">
      <c r="A4496" s="83" t="s">
        <v>4899</v>
      </c>
      <c r="B4496" s="83" t="s">
        <v>4900</v>
      </c>
      <c r="C4496" s="81" t="s">
        <v>4621</v>
      </c>
      <c r="D4496" s="83" t="s">
        <v>4229</v>
      </c>
      <c r="E4496" s="81" t="s">
        <v>895</v>
      </c>
      <c r="F4496" s="81">
        <v>156.0</v>
      </c>
      <c r="G4496" s="81" t="s">
        <v>3</v>
      </c>
      <c r="H4496" s="81" t="s">
        <v>224</v>
      </c>
      <c r="I4496" s="81" t="s">
        <v>886</v>
      </c>
      <c r="J4496" s="81" t="s">
        <v>224</v>
      </c>
      <c r="K4496" s="81" t="str">
        <f>IFERROR(__xludf.DUMMYFUNCTION("IF(OR(D4496="""",G4496=""""),"""",IFERROR(LET(
campo,XLOOKUP(TRIM(G4496),ARRAYFORMULA(TRIM('indice columnas'!$A$2:$A$100)),'indice columnas'!$B$2:$B$100,""""),
col,IFERROR(MATCH(campo,Referencia!$A$1:$AZ$1,0),0),
fila,IFERROR(MATCH(TO_TEXT(D4496),ARRAYFOR"&amp;"MULA(TO_TEXT(Referencia!$A$2:$A6238)),0),0),
IF(OR(campo="""",campo=""-""),""NO APLICA"",
IF(col=0,""REVISAR EQUIVALENCIA"",
IF(fila=0,""SKU NO ENCONTRADO"",
LET(
valor,INDEX(Referencia!$A$2:$AZ6238,fila,col),
IF(TRIM(TO_TEXT(valor))=TRIM(TO_TEXT(I4496)),"&amp;"
""OK"",
""NO COINCIDE. Valor verdadero: ""&amp;IF(valor="""",""[VACÍO]"",TO_TEXT(valor))
)
))))
),""ERROR EN FÓRMULA""))"),"OK")</f>
        <v>OK</v>
      </c>
    </row>
    <row r="4497">
      <c r="A4497" s="83" t="s">
        <v>4899</v>
      </c>
      <c r="B4497" s="83" t="s">
        <v>4900</v>
      </c>
      <c r="C4497" s="81" t="s">
        <v>4621</v>
      </c>
      <c r="D4497" s="83" t="s">
        <v>4229</v>
      </c>
      <c r="E4497" s="81" t="s">
        <v>895</v>
      </c>
      <c r="F4497" s="81">
        <v>156.0</v>
      </c>
      <c r="G4497" s="81" t="s">
        <v>2</v>
      </c>
      <c r="H4497" s="81" t="s">
        <v>224</v>
      </c>
      <c r="I4497" s="81" t="s">
        <v>885</v>
      </c>
      <c r="J4497" s="81" t="s">
        <v>224</v>
      </c>
      <c r="K4497" s="81" t="str">
        <f>IFERROR(__xludf.DUMMYFUNCTION("IF(OR(D4497="""",G4497=""""),"""",IFERROR(LET(
campo,XLOOKUP(TRIM(G4497),ARRAYFORMULA(TRIM('indice columnas'!$A$2:$A$100)),'indice columnas'!$B$2:$B$100,""""),
col,IFERROR(MATCH(campo,Referencia!$A$1:$AZ$1,0),0),
fila,IFERROR(MATCH(TO_TEXT(D4497),ARRAYFOR"&amp;"MULA(TO_TEXT(Referencia!$A$2:$A6238)),0),0),
IF(OR(campo="""",campo=""-""),""NO APLICA"",
IF(col=0,""REVISAR EQUIVALENCIA"",
IF(fila=0,""SKU NO ENCONTRADO"",
LET(
valor,INDEX(Referencia!$A$2:$AZ6238,fila,col),
IF(TRIM(TO_TEXT(valor))=TRIM(TO_TEXT(I4497)),"&amp;"
""OK"",
""NO COINCIDE. Valor verdadero: ""&amp;IF(valor="""",""[VACÍO]"",TO_TEXT(valor))
)
))))
),""ERROR EN FÓRMULA""))"),"OK")</f>
        <v>OK</v>
      </c>
    </row>
    <row r="4498">
      <c r="A4498" s="83" t="s">
        <v>4899</v>
      </c>
      <c r="B4498" s="83" t="s">
        <v>4900</v>
      </c>
      <c r="C4498" s="81" t="s">
        <v>4621</v>
      </c>
      <c r="D4498" s="83" t="s">
        <v>4229</v>
      </c>
      <c r="E4498" s="81" t="s">
        <v>895</v>
      </c>
      <c r="F4498" s="81">
        <v>156.0</v>
      </c>
      <c r="G4498" s="81" t="s">
        <v>1</v>
      </c>
      <c r="H4498" s="81" t="s">
        <v>224</v>
      </c>
      <c r="I4498" s="81" t="s">
        <v>49</v>
      </c>
      <c r="J4498" s="81" t="s">
        <v>224</v>
      </c>
      <c r="K4498" s="81" t="str">
        <f>IFERROR(__xludf.DUMMYFUNCTION("IF(OR(D4498="""",G4498=""""),"""",IFERROR(LET(
campo,XLOOKUP(TRIM(G4498),ARRAYFORMULA(TRIM('indice columnas'!$A$2:$A$100)),'indice columnas'!$B$2:$B$100,""""),
col,IFERROR(MATCH(campo,Referencia!$A$1:$AZ$1,0),0),
fila,IFERROR(MATCH(TO_TEXT(D4498),ARRAYFOR"&amp;"MULA(TO_TEXT(Referencia!$A$2:$A6238)),0),0),
IF(OR(campo="""",campo=""-""),""NO APLICA"",
IF(col=0,""REVISAR EQUIVALENCIA"",
IF(fila=0,""SKU NO ENCONTRADO"",
LET(
valor,INDEX(Referencia!$A$2:$AZ6238,fila,col),
IF(TRIM(TO_TEXT(valor))=TRIM(TO_TEXT(I4498)),"&amp;"
""OK"",
""NO COINCIDE. Valor verdadero: ""&amp;IF(valor="""",""[VACÍO]"",TO_TEXT(valor))
)
))))
),""ERROR EN FÓRMULA""))"),"OK")</f>
        <v>OK</v>
      </c>
    </row>
    <row r="4499">
      <c r="A4499" s="83" t="s">
        <v>4899</v>
      </c>
      <c r="B4499" s="83" t="s">
        <v>4900</v>
      </c>
      <c r="C4499" s="81" t="s">
        <v>4621</v>
      </c>
      <c r="D4499" s="83" t="s">
        <v>4231</v>
      </c>
      <c r="E4499" s="81" t="s">
        <v>897</v>
      </c>
      <c r="F4499" s="81">
        <v>157.0</v>
      </c>
      <c r="G4499" s="81" t="s">
        <v>3</v>
      </c>
      <c r="H4499" s="81" t="s">
        <v>224</v>
      </c>
      <c r="I4499" s="81" t="s">
        <v>886</v>
      </c>
      <c r="J4499" s="81" t="s">
        <v>224</v>
      </c>
      <c r="K4499" s="81" t="str">
        <f>IFERROR(__xludf.DUMMYFUNCTION("IF(OR(D4499="""",G4499=""""),"""",IFERROR(LET(
campo,XLOOKUP(TRIM(G4499),ARRAYFORMULA(TRIM('indice columnas'!$A$2:$A$100)),'indice columnas'!$B$2:$B$100,""""),
col,IFERROR(MATCH(campo,Referencia!$A$1:$AZ$1,0),0),
fila,IFERROR(MATCH(TO_TEXT(D4499),ARRAYFOR"&amp;"MULA(TO_TEXT(Referencia!$A$2:$A6238)),0),0),
IF(OR(campo="""",campo=""-""),""NO APLICA"",
IF(col=0,""REVISAR EQUIVALENCIA"",
IF(fila=0,""SKU NO ENCONTRADO"",
LET(
valor,INDEX(Referencia!$A$2:$AZ6238,fila,col),
IF(TRIM(TO_TEXT(valor))=TRIM(TO_TEXT(I4499)),"&amp;"
""OK"",
""NO COINCIDE. Valor verdadero: ""&amp;IF(valor="""",""[VACÍO]"",TO_TEXT(valor))
)
))))
),""ERROR EN FÓRMULA""))"),"OK")</f>
        <v>OK</v>
      </c>
    </row>
    <row r="4500">
      <c r="A4500" s="83" t="s">
        <v>4899</v>
      </c>
      <c r="B4500" s="83" t="s">
        <v>4900</v>
      </c>
      <c r="C4500" s="81" t="s">
        <v>4621</v>
      </c>
      <c r="D4500" s="83" t="s">
        <v>4231</v>
      </c>
      <c r="E4500" s="81" t="s">
        <v>897</v>
      </c>
      <c r="F4500" s="81">
        <v>157.0</v>
      </c>
      <c r="G4500" s="81" t="s">
        <v>2</v>
      </c>
      <c r="H4500" s="81" t="s">
        <v>224</v>
      </c>
      <c r="I4500" s="81" t="s">
        <v>885</v>
      </c>
      <c r="J4500" s="81" t="s">
        <v>224</v>
      </c>
      <c r="K4500" s="81" t="str">
        <f>IFERROR(__xludf.DUMMYFUNCTION("IF(OR(D4500="""",G4500=""""),"""",IFERROR(LET(
campo,XLOOKUP(TRIM(G4500),ARRAYFORMULA(TRIM('indice columnas'!$A$2:$A$100)),'indice columnas'!$B$2:$B$100,""""),
col,IFERROR(MATCH(campo,Referencia!$A$1:$AZ$1,0),0),
fila,IFERROR(MATCH(TO_TEXT(D4500),ARRAYFOR"&amp;"MULA(TO_TEXT(Referencia!$A$2:$A6238)),0),0),
IF(OR(campo="""",campo=""-""),""NO APLICA"",
IF(col=0,""REVISAR EQUIVALENCIA"",
IF(fila=0,""SKU NO ENCONTRADO"",
LET(
valor,INDEX(Referencia!$A$2:$AZ6238,fila,col),
IF(TRIM(TO_TEXT(valor))=TRIM(TO_TEXT(I4500)),"&amp;"
""OK"",
""NO COINCIDE. Valor verdadero: ""&amp;IF(valor="""",""[VACÍO]"",TO_TEXT(valor))
)
))))
),""ERROR EN FÓRMULA""))"),"OK")</f>
        <v>OK</v>
      </c>
    </row>
    <row r="4501">
      <c r="A4501" s="83" t="s">
        <v>4899</v>
      </c>
      <c r="B4501" s="83" t="s">
        <v>4900</v>
      </c>
      <c r="C4501" s="81" t="s">
        <v>4621</v>
      </c>
      <c r="D4501" s="83" t="s">
        <v>4231</v>
      </c>
      <c r="E4501" s="81" t="s">
        <v>897</v>
      </c>
      <c r="F4501" s="81">
        <v>157.0</v>
      </c>
      <c r="G4501" s="81" t="s">
        <v>1</v>
      </c>
      <c r="H4501" s="81" t="s">
        <v>224</v>
      </c>
      <c r="I4501" s="81" t="s">
        <v>49</v>
      </c>
      <c r="J4501" s="81" t="s">
        <v>224</v>
      </c>
      <c r="K4501" s="81" t="str">
        <f>IFERROR(__xludf.DUMMYFUNCTION("IF(OR(D4501="""",G4501=""""),"""",IFERROR(LET(
campo,XLOOKUP(TRIM(G4501),ARRAYFORMULA(TRIM('indice columnas'!$A$2:$A$100)),'indice columnas'!$B$2:$B$100,""""),
col,IFERROR(MATCH(campo,Referencia!$A$1:$AZ$1,0),0),
fila,IFERROR(MATCH(TO_TEXT(D4501),ARRAYFOR"&amp;"MULA(TO_TEXT(Referencia!$A$2:$A6238)),0),0),
IF(OR(campo="""",campo=""-""),""NO APLICA"",
IF(col=0,""REVISAR EQUIVALENCIA"",
IF(fila=0,""SKU NO ENCONTRADO"",
LET(
valor,INDEX(Referencia!$A$2:$AZ6238,fila,col),
IF(TRIM(TO_TEXT(valor))=TRIM(TO_TEXT(I4501)),"&amp;"
""OK"",
""NO COINCIDE. Valor verdadero: ""&amp;IF(valor="""",""[VACÍO]"",TO_TEXT(valor))
)
))))
),""ERROR EN FÓRMULA""))"),"OK")</f>
        <v>OK</v>
      </c>
    </row>
    <row r="4502">
      <c r="A4502" s="83" t="s">
        <v>4899</v>
      </c>
      <c r="B4502" s="83" t="s">
        <v>4900</v>
      </c>
      <c r="C4502" s="81" t="s">
        <v>4621</v>
      </c>
      <c r="D4502" s="83" t="s">
        <v>4232</v>
      </c>
      <c r="E4502" s="81" t="s">
        <v>899</v>
      </c>
      <c r="F4502" s="81">
        <v>158.0</v>
      </c>
      <c r="G4502" s="81" t="s">
        <v>3</v>
      </c>
      <c r="H4502" s="81" t="s">
        <v>224</v>
      </c>
      <c r="I4502" s="81" t="s">
        <v>886</v>
      </c>
      <c r="J4502" s="81" t="s">
        <v>224</v>
      </c>
      <c r="K4502" s="81" t="str">
        <f>IFERROR(__xludf.DUMMYFUNCTION("IF(OR(D4502="""",G4502=""""),"""",IFERROR(LET(
campo,XLOOKUP(TRIM(G4502),ARRAYFORMULA(TRIM('indice columnas'!$A$2:$A$100)),'indice columnas'!$B$2:$B$100,""""),
col,IFERROR(MATCH(campo,Referencia!$A$1:$AZ$1,0),0),
fila,IFERROR(MATCH(TO_TEXT(D4502),ARRAYFOR"&amp;"MULA(TO_TEXT(Referencia!$A$2:$A6238)),0),0),
IF(OR(campo="""",campo=""-""),""NO APLICA"",
IF(col=0,""REVISAR EQUIVALENCIA"",
IF(fila=0,""SKU NO ENCONTRADO"",
LET(
valor,INDEX(Referencia!$A$2:$AZ6238,fila,col),
IF(TRIM(TO_TEXT(valor))=TRIM(TO_TEXT(I4502)),"&amp;"
""OK"",
""NO COINCIDE. Valor verdadero: ""&amp;IF(valor="""",""[VACÍO]"",TO_TEXT(valor))
)
))))
),""ERROR EN FÓRMULA""))"),"OK")</f>
        <v>OK</v>
      </c>
    </row>
    <row r="4503">
      <c r="A4503" s="83" t="s">
        <v>4899</v>
      </c>
      <c r="B4503" s="83" t="s">
        <v>4900</v>
      </c>
      <c r="C4503" s="81" t="s">
        <v>4621</v>
      </c>
      <c r="D4503" s="83" t="s">
        <v>4232</v>
      </c>
      <c r="E4503" s="81" t="s">
        <v>899</v>
      </c>
      <c r="F4503" s="81">
        <v>158.0</v>
      </c>
      <c r="G4503" s="81" t="s">
        <v>2</v>
      </c>
      <c r="H4503" s="81" t="s">
        <v>224</v>
      </c>
      <c r="I4503" s="81" t="s">
        <v>885</v>
      </c>
      <c r="J4503" s="81" t="s">
        <v>224</v>
      </c>
      <c r="K4503" s="81" t="str">
        <f>IFERROR(__xludf.DUMMYFUNCTION("IF(OR(D4503="""",G4503=""""),"""",IFERROR(LET(
campo,XLOOKUP(TRIM(G4503),ARRAYFORMULA(TRIM('indice columnas'!$A$2:$A$100)),'indice columnas'!$B$2:$B$100,""""),
col,IFERROR(MATCH(campo,Referencia!$A$1:$AZ$1,0),0),
fila,IFERROR(MATCH(TO_TEXT(D4503),ARRAYFOR"&amp;"MULA(TO_TEXT(Referencia!$A$2:$A6238)),0),0),
IF(OR(campo="""",campo=""-""),""NO APLICA"",
IF(col=0,""REVISAR EQUIVALENCIA"",
IF(fila=0,""SKU NO ENCONTRADO"",
LET(
valor,INDEX(Referencia!$A$2:$AZ6238,fila,col),
IF(TRIM(TO_TEXT(valor))=TRIM(TO_TEXT(I4503)),"&amp;"
""OK"",
""NO COINCIDE. Valor verdadero: ""&amp;IF(valor="""",""[VACÍO]"",TO_TEXT(valor))
)
))))
),""ERROR EN FÓRMULA""))"),"OK")</f>
        <v>OK</v>
      </c>
    </row>
    <row r="4504">
      <c r="A4504" s="83" t="s">
        <v>4899</v>
      </c>
      <c r="B4504" s="83" t="s">
        <v>4900</v>
      </c>
      <c r="C4504" s="81" t="s">
        <v>4621</v>
      </c>
      <c r="D4504" s="83" t="s">
        <v>4232</v>
      </c>
      <c r="E4504" s="81" t="s">
        <v>899</v>
      </c>
      <c r="F4504" s="81">
        <v>158.0</v>
      </c>
      <c r="G4504" s="81" t="s">
        <v>1</v>
      </c>
      <c r="H4504" s="81" t="s">
        <v>224</v>
      </c>
      <c r="I4504" s="81" t="s">
        <v>49</v>
      </c>
      <c r="J4504" s="81" t="s">
        <v>224</v>
      </c>
      <c r="K4504" s="81" t="str">
        <f>IFERROR(__xludf.DUMMYFUNCTION("IF(OR(D4504="""",G4504=""""),"""",IFERROR(LET(
campo,XLOOKUP(TRIM(G4504),ARRAYFORMULA(TRIM('indice columnas'!$A$2:$A$100)),'indice columnas'!$B$2:$B$100,""""),
col,IFERROR(MATCH(campo,Referencia!$A$1:$AZ$1,0),0),
fila,IFERROR(MATCH(TO_TEXT(D4504),ARRAYFOR"&amp;"MULA(TO_TEXT(Referencia!$A$2:$A6238)),0),0),
IF(OR(campo="""",campo=""-""),""NO APLICA"",
IF(col=0,""REVISAR EQUIVALENCIA"",
IF(fila=0,""SKU NO ENCONTRADO"",
LET(
valor,INDEX(Referencia!$A$2:$AZ6238,fila,col),
IF(TRIM(TO_TEXT(valor))=TRIM(TO_TEXT(I4504)),"&amp;"
""OK"",
""NO COINCIDE. Valor verdadero: ""&amp;IF(valor="""",""[VACÍO]"",TO_TEXT(valor))
)
))))
),""ERROR EN FÓRMULA""))"),"OK")</f>
        <v>OK</v>
      </c>
    </row>
    <row r="4505">
      <c r="A4505" s="83" t="s">
        <v>4899</v>
      </c>
      <c r="B4505" s="83" t="s">
        <v>4900</v>
      </c>
      <c r="C4505" s="81" t="s">
        <v>4621</v>
      </c>
      <c r="D4505" s="83" t="s">
        <v>4233</v>
      </c>
      <c r="E4505" s="81" t="s">
        <v>902</v>
      </c>
      <c r="F4505" s="81">
        <v>159.0</v>
      </c>
      <c r="G4505" s="81" t="s">
        <v>3</v>
      </c>
      <c r="H4505" s="81" t="s">
        <v>224</v>
      </c>
      <c r="I4505" s="81" t="s">
        <v>886</v>
      </c>
      <c r="J4505" s="81" t="s">
        <v>224</v>
      </c>
      <c r="K4505" s="81" t="str">
        <f>IFERROR(__xludf.DUMMYFUNCTION("IF(OR(D4505="""",G4505=""""),"""",IFERROR(LET(
campo,XLOOKUP(TRIM(G4505),ARRAYFORMULA(TRIM('indice columnas'!$A$2:$A$100)),'indice columnas'!$B$2:$B$100,""""),
col,IFERROR(MATCH(campo,Referencia!$A$1:$AZ$1,0),0),
fila,IFERROR(MATCH(TO_TEXT(D4505),ARRAYFOR"&amp;"MULA(TO_TEXT(Referencia!$A$2:$A6238)),0),0),
IF(OR(campo="""",campo=""-""),""NO APLICA"",
IF(col=0,""REVISAR EQUIVALENCIA"",
IF(fila=0,""SKU NO ENCONTRADO"",
LET(
valor,INDEX(Referencia!$A$2:$AZ6238,fila,col),
IF(TRIM(TO_TEXT(valor))=TRIM(TO_TEXT(I4505)),"&amp;"
""OK"",
""NO COINCIDE. Valor verdadero: ""&amp;IF(valor="""",""[VACÍO]"",TO_TEXT(valor))
)
))))
),""ERROR EN FÓRMULA""))"),"OK")</f>
        <v>OK</v>
      </c>
    </row>
    <row r="4506">
      <c r="A4506" s="83" t="s">
        <v>4899</v>
      </c>
      <c r="B4506" s="83" t="s">
        <v>4900</v>
      </c>
      <c r="C4506" s="81" t="s">
        <v>4621</v>
      </c>
      <c r="D4506" s="83" t="s">
        <v>4233</v>
      </c>
      <c r="E4506" s="81" t="s">
        <v>902</v>
      </c>
      <c r="F4506" s="81">
        <v>159.0</v>
      </c>
      <c r="G4506" s="81" t="s">
        <v>2</v>
      </c>
      <c r="H4506" s="81" t="s">
        <v>224</v>
      </c>
      <c r="I4506" s="81" t="s">
        <v>885</v>
      </c>
      <c r="J4506" s="81" t="s">
        <v>224</v>
      </c>
      <c r="K4506" s="81" t="str">
        <f>IFERROR(__xludf.DUMMYFUNCTION("IF(OR(D4506="""",G4506=""""),"""",IFERROR(LET(
campo,XLOOKUP(TRIM(G4506),ARRAYFORMULA(TRIM('indice columnas'!$A$2:$A$100)),'indice columnas'!$B$2:$B$100,""""),
col,IFERROR(MATCH(campo,Referencia!$A$1:$AZ$1,0),0),
fila,IFERROR(MATCH(TO_TEXT(D4506),ARRAYFOR"&amp;"MULA(TO_TEXT(Referencia!$A$2:$A6238)),0),0),
IF(OR(campo="""",campo=""-""),""NO APLICA"",
IF(col=0,""REVISAR EQUIVALENCIA"",
IF(fila=0,""SKU NO ENCONTRADO"",
LET(
valor,INDEX(Referencia!$A$2:$AZ6238,fila,col),
IF(TRIM(TO_TEXT(valor))=TRIM(TO_TEXT(I4506)),"&amp;"
""OK"",
""NO COINCIDE. Valor verdadero: ""&amp;IF(valor="""",""[VACÍO]"",TO_TEXT(valor))
)
))))
),""ERROR EN FÓRMULA""))"),"OK")</f>
        <v>OK</v>
      </c>
    </row>
    <row r="4507">
      <c r="A4507" s="83" t="s">
        <v>4899</v>
      </c>
      <c r="B4507" s="83" t="s">
        <v>4900</v>
      </c>
      <c r="C4507" s="81" t="s">
        <v>4621</v>
      </c>
      <c r="D4507" s="83" t="s">
        <v>4233</v>
      </c>
      <c r="E4507" s="81" t="s">
        <v>902</v>
      </c>
      <c r="F4507" s="81">
        <v>159.0</v>
      </c>
      <c r="G4507" s="81" t="s">
        <v>1</v>
      </c>
      <c r="H4507" s="81" t="s">
        <v>224</v>
      </c>
      <c r="I4507" s="81" t="s">
        <v>49</v>
      </c>
      <c r="J4507" s="81" t="s">
        <v>224</v>
      </c>
      <c r="K4507" s="81" t="str">
        <f>IFERROR(__xludf.DUMMYFUNCTION("IF(OR(D4507="""",G4507=""""),"""",IFERROR(LET(
campo,XLOOKUP(TRIM(G4507),ARRAYFORMULA(TRIM('indice columnas'!$A$2:$A$100)),'indice columnas'!$B$2:$B$100,""""),
col,IFERROR(MATCH(campo,Referencia!$A$1:$AZ$1,0),0),
fila,IFERROR(MATCH(TO_TEXT(D4507),ARRAYFOR"&amp;"MULA(TO_TEXT(Referencia!$A$2:$A6238)),0),0),
IF(OR(campo="""",campo=""-""),""NO APLICA"",
IF(col=0,""REVISAR EQUIVALENCIA"",
IF(fila=0,""SKU NO ENCONTRADO"",
LET(
valor,INDEX(Referencia!$A$2:$AZ6238,fila,col),
IF(TRIM(TO_TEXT(valor))=TRIM(TO_TEXT(I4507)),"&amp;"
""OK"",
""NO COINCIDE. Valor verdadero: ""&amp;IF(valor="""",""[VACÍO]"",TO_TEXT(valor))
)
))))
),""ERROR EN FÓRMULA""))"),"OK")</f>
        <v>OK</v>
      </c>
    </row>
    <row r="4508">
      <c r="A4508" s="83" t="s">
        <v>4899</v>
      </c>
      <c r="B4508" s="83" t="s">
        <v>4900</v>
      </c>
      <c r="C4508" s="81" t="s">
        <v>4621</v>
      </c>
      <c r="D4508" s="83" t="s">
        <v>4234</v>
      </c>
      <c r="E4508" s="81" t="s">
        <v>905</v>
      </c>
      <c r="F4508" s="81">
        <v>160.0</v>
      </c>
      <c r="G4508" s="81" t="s">
        <v>3</v>
      </c>
      <c r="H4508" s="81" t="s">
        <v>224</v>
      </c>
      <c r="I4508" s="81" t="s">
        <v>886</v>
      </c>
      <c r="J4508" s="81" t="s">
        <v>224</v>
      </c>
      <c r="K4508" s="81" t="str">
        <f>IFERROR(__xludf.DUMMYFUNCTION("IF(OR(D4508="""",G4508=""""),"""",IFERROR(LET(
campo,XLOOKUP(TRIM(G4508),ARRAYFORMULA(TRIM('indice columnas'!$A$2:$A$100)),'indice columnas'!$B$2:$B$100,""""),
col,IFERROR(MATCH(campo,Referencia!$A$1:$AZ$1,0),0),
fila,IFERROR(MATCH(TO_TEXT(D4508),ARRAYFOR"&amp;"MULA(TO_TEXT(Referencia!$A$2:$A6238)),0),0),
IF(OR(campo="""",campo=""-""),""NO APLICA"",
IF(col=0,""REVISAR EQUIVALENCIA"",
IF(fila=0,""SKU NO ENCONTRADO"",
LET(
valor,INDEX(Referencia!$A$2:$AZ6238,fila,col),
IF(TRIM(TO_TEXT(valor))=TRIM(TO_TEXT(I4508)),"&amp;"
""OK"",
""NO COINCIDE. Valor verdadero: ""&amp;IF(valor="""",""[VACÍO]"",TO_TEXT(valor))
)
))))
),""ERROR EN FÓRMULA""))"),"OK")</f>
        <v>OK</v>
      </c>
    </row>
    <row r="4509">
      <c r="A4509" s="83" t="s">
        <v>4899</v>
      </c>
      <c r="B4509" s="83" t="s">
        <v>4900</v>
      </c>
      <c r="C4509" s="81" t="s">
        <v>4621</v>
      </c>
      <c r="D4509" s="83" t="s">
        <v>4234</v>
      </c>
      <c r="E4509" s="81" t="s">
        <v>905</v>
      </c>
      <c r="F4509" s="81">
        <v>160.0</v>
      </c>
      <c r="G4509" s="81" t="s">
        <v>2</v>
      </c>
      <c r="H4509" s="81" t="s">
        <v>224</v>
      </c>
      <c r="I4509" s="81" t="s">
        <v>885</v>
      </c>
      <c r="J4509" s="81" t="s">
        <v>224</v>
      </c>
      <c r="K4509" s="81" t="str">
        <f>IFERROR(__xludf.DUMMYFUNCTION("IF(OR(D4509="""",G4509=""""),"""",IFERROR(LET(
campo,XLOOKUP(TRIM(G4509),ARRAYFORMULA(TRIM('indice columnas'!$A$2:$A$100)),'indice columnas'!$B$2:$B$100,""""),
col,IFERROR(MATCH(campo,Referencia!$A$1:$AZ$1,0),0),
fila,IFERROR(MATCH(TO_TEXT(D4509),ARRAYFOR"&amp;"MULA(TO_TEXT(Referencia!$A$2:$A6238)),0),0),
IF(OR(campo="""",campo=""-""),""NO APLICA"",
IF(col=0,""REVISAR EQUIVALENCIA"",
IF(fila=0,""SKU NO ENCONTRADO"",
LET(
valor,INDEX(Referencia!$A$2:$AZ6238,fila,col),
IF(TRIM(TO_TEXT(valor))=TRIM(TO_TEXT(I4509)),"&amp;"
""OK"",
""NO COINCIDE. Valor verdadero: ""&amp;IF(valor="""",""[VACÍO]"",TO_TEXT(valor))
)
))))
),""ERROR EN FÓRMULA""))"),"OK")</f>
        <v>OK</v>
      </c>
    </row>
    <row r="4510">
      <c r="A4510" s="83" t="s">
        <v>4899</v>
      </c>
      <c r="B4510" s="83" t="s">
        <v>4900</v>
      </c>
      <c r="C4510" s="81" t="s">
        <v>4621</v>
      </c>
      <c r="D4510" s="83" t="s">
        <v>4234</v>
      </c>
      <c r="E4510" s="81" t="s">
        <v>905</v>
      </c>
      <c r="F4510" s="81">
        <v>160.0</v>
      </c>
      <c r="G4510" s="81" t="s">
        <v>1</v>
      </c>
      <c r="H4510" s="81" t="s">
        <v>224</v>
      </c>
      <c r="I4510" s="81" t="s">
        <v>49</v>
      </c>
      <c r="J4510" s="81" t="s">
        <v>224</v>
      </c>
      <c r="K4510" s="81" t="str">
        <f>IFERROR(__xludf.DUMMYFUNCTION("IF(OR(D4510="""",G4510=""""),"""",IFERROR(LET(
campo,XLOOKUP(TRIM(G4510),ARRAYFORMULA(TRIM('indice columnas'!$A$2:$A$100)),'indice columnas'!$B$2:$B$100,""""),
col,IFERROR(MATCH(campo,Referencia!$A$1:$AZ$1,0),0),
fila,IFERROR(MATCH(TO_TEXT(D4510),ARRAYFOR"&amp;"MULA(TO_TEXT(Referencia!$A$2:$A6238)),0),0),
IF(OR(campo="""",campo=""-""),""NO APLICA"",
IF(col=0,""REVISAR EQUIVALENCIA"",
IF(fila=0,""SKU NO ENCONTRADO"",
LET(
valor,INDEX(Referencia!$A$2:$AZ6238,fila,col),
IF(TRIM(TO_TEXT(valor))=TRIM(TO_TEXT(I4510)),"&amp;"
""OK"",
""NO COINCIDE. Valor verdadero: ""&amp;IF(valor="""",""[VACÍO]"",TO_TEXT(valor))
)
))))
),""ERROR EN FÓRMULA""))"),"OK")</f>
        <v>OK</v>
      </c>
    </row>
    <row r="4511">
      <c r="A4511" s="83" t="s">
        <v>4899</v>
      </c>
      <c r="B4511" s="83" t="s">
        <v>4900</v>
      </c>
      <c r="C4511" s="81" t="s">
        <v>4621</v>
      </c>
      <c r="D4511" s="83" t="s">
        <v>4235</v>
      </c>
      <c r="E4511" s="81" t="s">
        <v>908</v>
      </c>
      <c r="F4511" s="81">
        <v>161.0</v>
      </c>
      <c r="G4511" s="81" t="s">
        <v>3</v>
      </c>
      <c r="H4511" s="81" t="s">
        <v>224</v>
      </c>
      <c r="I4511" s="81" t="s">
        <v>909</v>
      </c>
      <c r="J4511" s="81" t="s">
        <v>224</v>
      </c>
      <c r="K4511" s="81" t="str">
        <f>IFERROR(__xludf.DUMMYFUNCTION("IF(OR(D4511="""",G4511=""""),"""",IFERROR(LET(
campo,XLOOKUP(TRIM(G4511),ARRAYFORMULA(TRIM('indice columnas'!$A$2:$A$100)),'indice columnas'!$B$2:$B$100,""""),
col,IFERROR(MATCH(campo,Referencia!$A$1:$AZ$1,0),0),
fila,IFERROR(MATCH(TO_TEXT(D4511),ARRAYFOR"&amp;"MULA(TO_TEXT(Referencia!$A$2:$A6238)),0),0),
IF(OR(campo="""",campo=""-""),""NO APLICA"",
IF(col=0,""REVISAR EQUIVALENCIA"",
IF(fila=0,""SKU NO ENCONTRADO"",
LET(
valor,INDEX(Referencia!$A$2:$AZ6238,fila,col),
IF(TRIM(TO_TEXT(valor))=TRIM(TO_TEXT(I4511)),"&amp;"
""OK"",
""NO COINCIDE. Valor verdadero: ""&amp;IF(valor="""",""[VACÍO]"",TO_TEXT(valor))
)
))))
),""ERROR EN FÓRMULA""))"),"OK")</f>
        <v>OK</v>
      </c>
    </row>
    <row r="4512">
      <c r="A4512" s="83" t="s">
        <v>4899</v>
      </c>
      <c r="B4512" s="83" t="s">
        <v>4900</v>
      </c>
      <c r="C4512" s="81" t="s">
        <v>4621</v>
      </c>
      <c r="D4512" s="83" t="s">
        <v>4235</v>
      </c>
      <c r="E4512" s="81" t="s">
        <v>908</v>
      </c>
      <c r="F4512" s="81">
        <v>161.0</v>
      </c>
      <c r="G4512" s="81" t="s">
        <v>2</v>
      </c>
      <c r="H4512" s="81" t="s">
        <v>224</v>
      </c>
      <c r="I4512" s="81" t="s">
        <v>885</v>
      </c>
      <c r="J4512" s="81" t="s">
        <v>224</v>
      </c>
      <c r="K4512" s="81" t="str">
        <f>IFERROR(__xludf.DUMMYFUNCTION("IF(OR(D4512="""",G4512=""""),"""",IFERROR(LET(
campo,XLOOKUP(TRIM(G4512),ARRAYFORMULA(TRIM('indice columnas'!$A$2:$A$100)),'indice columnas'!$B$2:$B$100,""""),
col,IFERROR(MATCH(campo,Referencia!$A$1:$AZ$1,0),0),
fila,IFERROR(MATCH(TO_TEXT(D4512),ARRAYFOR"&amp;"MULA(TO_TEXT(Referencia!$A$2:$A6238)),0),0),
IF(OR(campo="""",campo=""-""),""NO APLICA"",
IF(col=0,""REVISAR EQUIVALENCIA"",
IF(fila=0,""SKU NO ENCONTRADO"",
LET(
valor,INDEX(Referencia!$A$2:$AZ6238,fila,col),
IF(TRIM(TO_TEXT(valor))=TRIM(TO_TEXT(I4512)),"&amp;"
""OK"",
""NO COINCIDE. Valor verdadero: ""&amp;IF(valor="""",""[VACÍO]"",TO_TEXT(valor))
)
))))
),""ERROR EN FÓRMULA""))"),"OK")</f>
        <v>OK</v>
      </c>
    </row>
    <row r="4513">
      <c r="A4513" s="83" t="s">
        <v>4899</v>
      </c>
      <c r="B4513" s="83" t="s">
        <v>4900</v>
      </c>
      <c r="C4513" s="81" t="s">
        <v>4621</v>
      </c>
      <c r="D4513" s="83" t="s">
        <v>4235</v>
      </c>
      <c r="E4513" s="81" t="s">
        <v>908</v>
      </c>
      <c r="F4513" s="81">
        <v>161.0</v>
      </c>
      <c r="G4513" s="81" t="s">
        <v>1</v>
      </c>
      <c r="H4513" s="81" t="s">
        <v>224</v>
      </c>
      <c r="I4513" s="81" t="s">
        <v>49</v>
      </c>
      <c r="J4513" s="81" t="s">
        <v>224</v>
      </c>
      <c r="K4513" s="81" t="str">
        <f>IFERROR(__xludf.DUMMYFUNCTION("IF(OR(D4513="""",G4513=""""),"""",IFERROR(LET(
campo,XLOOKUP(TRIM(G4513),ARRAYFORMULA(TRIM('indice columnas'!$A$2:$A$100)),'indice columnas'!$B$2:$B$100,""""),
col,IFERROR(MATCH(campo,Referencia!$A$1:$AZ$1,0),0),
fila,IFERROR(MATCH(TO_TEXT(D4513),ARRAYFOR"&amp;"MULA(TO_TEXT(Referencia!$A$2:$A6238)),0),0),
IF(OR(campo="""",campo=""-""),""NO APLICA"",
IF(col=0,""REVISAR EQUIVALENCIA"",
IF(fila=0,""SKU NO ENCONTRADO"",
LET(
valor,INDEX(Referencia!$A$2:$AZ6238,fila,col),
IF(TRIM(TO_TEXT(valor))=TRIM(TO_TEXT(I4513)),"&amp;"
""OK"",
""NO COINCIDE. Valor verdadero: ""&amp;IF(valor="""",""[VACÍO]"",TO_TEXT(valor))
)
))))
),""ERROR EN FÓRMULA""))"),"OK")</f>
        <v>OK</v>
      </c>
    </row>
    <row r="4514">
      <c r="A4514" s="83" t="s">
        <v>4899</v>
      </c>
      <c r="B4514" s="83" t="s">
        <v>4900</v>
      </c>
      <c r="C4514" s="81" t="s">
        <v>4621</v>
      </c>
      <c r="D4514" s="83" t="s">
        <v>4237</v>
      </c>
      <c r="E4514" s="81" t="s">
        <v>916</v>
      </c>
      <c r="F4514" s="81">
        <v>162.0</v>
      </c>
      <c r="G4514" s="81" t="s">
        <v>3</v>
      </c>
      <c r="H4514" s="81" t="s">
        <v>224</v>
      </c>
      <c r="I4514" s="81" t="s">
        <v>909</v>
      </c>
      <c r="J4514" s="81" t="s">
        <v>224</v>
      </c>
      <c r="K4514" s="81" t="str">
        <f>IFERROR(__xludf.DUMMYFUNCTION("IF(OR(D4514="""",G4514=""""),"""",IFERROR(LET(
campo,XLOOKUP(TRIM(G4514),ARRAYFORMULA(TRIM('indice columnas'!$A$2:$A$100)),'indice columnas'!$B$2:$B$100,""""),
col,IFERROR(MATCH(campo,Referencia!$A$1:$AZ$1,0),0),
fila,IFERROR(MATCH(TO_TEXT(D4514),ARRAYFOR"&amp;"MULA(TO_TEXT(Referencia!$A$2:$A6238)),0),0),
IF(OR(campo="""",campo=""-""),""NO APLICA"",
IF(col=0,""REVISAR EQUIVALENCIA"",
IF(fila=0,""SKU NO ENCONTRADO"",
LET(
valor,INDEX(Referencia!$A$2:$AZ6238,fila,col),
IF(TRIM(TO_TEXT(valor))=TRIM(TO_TEXT(I4514)),"&amp;"
""OK"",
""NO COINCIDE. Valor verdadero: ""&amp;IF(valor="""",""[VACÍO]"",TO_TEXT(valor))
)
))))
),""ERROR EN FÓRMULA""))"),"OK")</f>
        <v>OK</v>
      </c>
    </row>
    <row r="4515">
      <c r="A4515" s="83" t="s">
        <v>4899</v>
      </c>
      <c r="B4515" s="83" t="s">
        <v>4900</v>
      </c>
      <c r="C4515" s="81" t="s">
        <v>4621</v>
      </c>
      <c r="D4515" s="83" t="s">
        <v>4237</v>
      </c>
      <c r="E4515" s="81" t="s">
        <v>916</v>
      </c>
      <c r="F4515" s="81">
        <v>162.0</v>
      </c>
      <c r="G4515" s="81" t="s">
        <v>2</v>
      </c>
      <c r="H4515" s="81" t="s">
        <v>224</v>
      </c>
      <c r="I4515" s="81" t="s">
        <v>885</v>
      </c>
      <c r="J4515" s="81" t="s">
        <v>224</v>
      </c>
      <c r="K4515" s="81" t="str">
        <f>IFERROR(__xludf.DUMMYFUNCTION("IF(OR(D4515="""",G4515=""""),"""",IFERROR(LET(
campo,XLOOKUP(TRIM(G4515),ARRAYFORMULA(TRIM('indice columnas'!$A$2:$A$100)),'indice columnas'!$B$2:$B$100,""""),
col,IFERROR(MATCH(campo,Referencia!$A$1:$AZ$1,0),0),
fila,IFERROR(MATCH(TO_TEXT(D4515),ARRAYFOR"&amp;"MULA(TO_TEXT(Referencia!$A$2:$A6238)),0),0),
IF(OR(campo="""",campo=""-""),""NO APLICA"",
IF(col=0,""REVISAR EQUIVALENCIA"",
IF(fila=0,""SKU NO ENCONTRADO"",
LET(
valor,INDEX(Referencia!$A$2:$AZ6238,fila,col),
IF(TRIM(TO_TEXT(valor))=TRIM(TO_TEXT(I4515)),"&amp;"
""OK"",
""NO COINCIDE. Valor verdadero: ""&amp;IF(valor="""",""[VACÍO]"",TO_TEXT(valor))
)
))))
),""ERROR EN FÓRMULA""))"),"OK")</f>
        <v>OK</v>
      </c>
    </row>
    <row r="4516">
      <c r="A4516" s="83" t="s">
        <v>4899</v>
      </c>
      <c r="B4516" s="83" t="s">
        <v>4900</v>
      </c>
      <c r="C4516" s="81" t="s">
        <v>4621</v>
      </c>
      <c r="D4516" s="83" t="s">
        <v>4237</v>
      </c>
      <c r="E4516" s="81" t="s">
        <v>916</v>
      </c>
      <c r="F4516" s="81">
        <v>162.0</v>
      </c>
      <c r="G4516" s="81" t="s">
        <v>1</v>
      </c>
      <c r="H4516" s="81" t="s">
        <v>224</v>
      </c>
      <c r="I4516" s="81" t="s">
        <v>49</v>
      </c>
      <c r="J4516" s="81" t="s">
        <v>224</v>
      </c>
      <c r="K4516" s="81" t="str">
        <f>IFERROR(__xludf.DUMMYFUNCTION("IF(OR(D4516="""",G4516=""""),"""",IFERROR(LET(
campo,XLOOKUP(TRIM(G4516),ARRAYFORMULA(TRIM('indice columnas'!$A$2:$A$100)),'indice columnas'!$B$2:$B$100,""""),
col,IFERROR(MATCH(campo,Referencia!$A$1:$AZ$1,0),0),
fila,IFERROR(MATCH(TO_TEXT(D4516),ARRAYFOR"&amp;"MULA(TO_TEXT(Referencia!$A$2:$A6238)),0),0),
IF(OR(campo="""",campo=""-""),""NO APLICA"",
IF(col=0,""REVISAR EQUIVALENCIA"",
IF(fila=0,""SKU NO ENCONTRADO"",
LET(
valor,INDEX(Referencia!$A$2:$AZ6238,fila,col),
IF(TRIM(TO_TEXT(valor))=TRIM(TO_TEXT(I4516)),"&amp;"
""OK"",
""NO COINCIDE. Valor verdadero: ""&amp;IF(valor="""",""[VACÍO]"",TO_TEXT(valor))
)
))))
),""ERROR EN FÓRMULA""))"),"OK")</f>
        <v>OK</v>
      </c>
    </row>
    <row r="4517">
      <c r="A4517" s="83" t="s">
        <v>4899</v>
      </c>
      <c r="B4517" s="83" t="s">
        <v>4900</v>
      </c>
      <c r="C4517" s="81" t="s">
        <v>4621</v>
      </c>
      <c r="D4517" s="83" t="s">
        <v>4240</v>
      </c>
      <c r="E4517" s="81" t="s">
        <v>935</v>
      </c>
      <c r="F4517" s="81">
        <v>166.0</v>
      </c>
      <c r="G4517" s="81" t="s">
        <v>3</v>
      </c>
      <c r="H4517" s="81" t="s">
        <v>224</v>
      </c>
      <c r="I4517" s="81" t="s">
        <v>926</v>
      </c>
      <c r="J4517" s="81" t="s">
        <v>224</v>
      </c>
      <c r="K4517" s="81" t="str">
        <f>IFERROR(__xludf.DUMMYFUNCTION("IF(OR(D4517="""",G4517=""""),"""",IFERROR(LET(
campo,XLOOKUP(TRIM(G4517),ARRAYFORMULA(TRIM('indice columnas'!$A$2:$A$100)),'indice columnas'!$B$2:$B$100,""""),
col,IFERROR(MATCH(campo,Referencia!$A$1:$AZ$1,0),0),
fila,IFERROR(MATCH(TO_TEXT(D4517),ARRAYFOR"&amp;"MULA(TO_TEXT(Referencia!$A$2:$A6238)),0),0),
IF(OR(campo="""",campo=""-""),""NO APLICA"",
IF(col=0,""REVISAR EQUIVALENCIA"",
IF(fila=0,""SKU NO ENCONTRADO"",
LET(
valor,INDEX(Referencia!$A$2:$AZ6238,fila,col),
IF(TRIM(TO_TEXT(valor))=TRIM(TO_TEXT(I4517)),"&amp;"
""OK"",
""NO COINCIDE. Valor verdadero: ""&amp;IF(valor="""",""[VACÍO]"",TO_TEXT(valor))
)
))))
),""ERROR EN FÓRMULA""))"),"OK")</f>
        <v>OK</v>
      </c>
    </row>
    <row r="4518">
      <c r="A4518" s="83" t="s">
        <v>4899</v>
      </c>
      <c r="B4518" s="83" t="s">
        <v>4900</v>
      </c>
      <c r="C4518" s="81" t="s">
        <v>4621</v>
      </c>
      <c r="D4518" s="83" t="s">
        <v>4240</v>
      </c>
      <c r="E4518" s="81" t="s">
        <v>935</v>
      </c>
      <c r="F4518" s="81">
        <v>166.0</v>
      </c>
      <c r="G4518" s="81" t="s">
        <v>1</v>
      </c>
      <c r="H4518" s="81" t="s">
        <v>224</v>
      </c>
      <c r="I4518" s="81" t="s">
        <v>49</v>
      </c>
      <c r="J4518" s="81" t="s">
        <v>224</v>
      </c>
      <c r="K4518" s="81" t="str">
        <f>IFERROR(__xludf.DUMMYFUNCTION("IF(OR(D4518="""",G4518=""""),"""",IFERROR(LET(
campo,XLOOKUP(TRIM(G4518),ARRAYFORMULA(TRIM('indice columnas'!$A$2:$A$100)),'indice columnas'!$B$2:$B$100,""""),
col,IFERROR(MATCH(campo,Referencia!$A$1:$AZ$1,0),0),
fila,IFERROR(MATCH(TO_TEXT(D4518),ARRAYFOR"&amp;"MULA(TO_TEXT(Referencia!$A$2:$A6238)),0),0),
IF(OR(campo="""",campo=""-""),""NO APLICA"",
IF(col=0,""REVISAR EQUIVALENCIA"",
IF(fila=0,""SKU NO ENCONTRADO"",
LET(
valor,INDEX(Referencia!$A$2:$AZ6238,fila,col),
IF(TRIM(TO_TEXT(valor))=TRIM(TO_TEXT(I4518)),"&amp;"
""OK"",
""NO COINCIDE. Valor verdadero: ""&amp;IF(valor="""",""[VACÍO]"",TO_TEXT(valor))
)
))))
),""ERROR EN FÓRMULA""))"),"OK")</f>
        <v>OK</v>
      </c>
    </row>
    <row r="4519">
      <c r="A4519" s="83" t="s">
        <v>4899</v>
      </c>
      <c r="B4519" s="83" t="s">
        <v>4900</v>
      </c>
      <c r="C4519" s="81" t="s">
        <v>4621</v>
      </c>
      <c r="D4519" s="83" t="s">
        <v>4242</v>
      </c>
      <c r="E4519" s="81" t="s">
        <v>944</v>
      </c>
      <c r="F4519" s="81">
        <v>169.0</v>
      </c>
      <c r="G4519" s="81" t="s">
        <v>3</v>
      </c>
      <c r="H4519" s="81" t="s">
        <v>224</v>
      </c>
      <c r="I4519" s="81" t="s">
        <v>920</v>
      </c>
      <c r="J4519" s="81" t="s">
        <v>224</v>
      </c>
      <c r="K4519" s="81" t="str">
        <f>IFERROR(__xludf.DUMMYFUNCTION("IF(OR(D4519="""",G4519=""""),"""",IFERROR(LET(
campo,XLOOKUP(TRIM(G4519),ARRAYFORMULA(TRIM('indice columnas'!$A$2:$A$100)),'indice columnas'!$B$2:$B$100,""""),
col,IFERROR(MATCH(campo,Referencia!$A$1:$AZ$1,0),0),
fila,IFERROR(MATCH(TO_TEXT(D4519),ARRAYFOR"&amp;"MULA(TO_TEXT(Referencia!$A$2:$A6238)),0),0),
IF(OR(campo="""",campo=""-""),""NO APLICA"",
IF(col=0,""REVISAR EQUIVALENCIA"",
IF(fila=0,""SKU NO ENCONTRADO"",
LET(
valor,INDEX(Referencia!$A$2:$AZ6238,fila,col),
IF(TRIM(TO_TEXT(valor))=TRIM(TO_TEXT(I4519)),"&amp;"
""OK"",
""NO COINCIDE. Valor verdadero: ""&amp;IF(valor="""",""[VACÍO]"",TO_TEXT(valor))
)
))))
),""ERROR EN FÓRMULA""))"),"OK")</f>
        <v>OK</v>
      </c>
    </row>
    <row r="4520">
      <c r="A4520" s="83" t="s">
        <v>4899</v>
      </c>
      <c r="B4520" s="83" t="s">
        <v>4900</v>
      </c>
      <c r="C4520" s="81" t="s">
        <v>4621</v>
      </c>
      <c r="D4520" s="83" t="s">
        <v>4242</v>
      </c>
      <c r="E4520" s="81" t="s">
        <v>944</v>
      </c>
      <c r="F4520" s="81">
        <v>169.0</v>
      </c>
      <c r="G4520" s="81" t="s">
        <v>2</v>
      </c>
      <c r="H4520" s="81" t="s">
        <v>224</v>
      </c>
      <c r="I4520" s="81" t="s">
        <v>919</v>
      </c>
      <c r="J4520" s="81" t="s">
        <v>224</v>
      </c>
      <c r="K4520" s="81" t="str">
        <f>IFERROR(__xludf.DUMMYFUNCTION("IF(OR(D4520="""",G4520=""""),"""",IFERROR(LET(
campo,XLOOKUP(TRIM(G4520),ARRAYFORMULA(TRIM('indice columnas'!$A$2:$A$100)),'indice columnas'!$B$2:$B$100,""""),
col,IFERROR(MATCH(campo,Referencia!$A$1:$AZ$1,0),0),
fila,IFERROR(MATCH(TO_TEXT(D4520),ARRAYFOR"&amp;"MULA(TO_TEXT(Referencia!$A$2:$A6238)),0),0),
IF(OR(campo="""",campo=""-""),""NO APLICA"",
IF(col=0,""REVISAR EQUIVALENCIA"",
IF(fila=0,""SKU NO ENCONTRADO"",
LET(
valor,INDEX(Referencia!$A$2:$AZ6238,fila,col),
IF(TRIM(TO_TEXT(valor))=TRIM(TO_TEXT(I4520)),"&amp;"
""OK"",
""NO COINCIDE. Valor verdadero: ""&amp;IF(valor="""",""[VACÍO]"",TO_TEXT(valor))
)
))))
),""ERROR EN FÓRMULA""))"),"OK")</f>
        <v>OK</v>
      </c>
    </row>
    <row r="4521">
      <c r="A4521" s="83" t="s">
        <v>4899</v>
      </c>
      <c r="B4521" s="83" t="s">
        <v>4900</v>
      </c>
      <c r="C4521" s="81" t="s">
        <v>4621</v>
      </c>
      <c r="D4521" s="83" t="s">
        <v>4242</v>
      </c>
      <c r="E4521" s="81" t="s">
        <v>944</v>
      </c>
      <c r="F4521" s="81">
        <v>169.0</v>
      </c>
      <c r="G4521" s="81" t="s">
        <v>1</v>
      </c>
      <c r="H4521" s="81" t="s">
        <v>224</v>
      </c>
      <c r="I4521" s="81" t="s">
        <v>49</v>
      </c>
      <c r="J4521" s="81" t="s">
        <v>224</v>
      </c>
      <c r="K4521" s="81" t="str">
        <f>IFERROR(__xludf.DUMMYFUNCTION("IF(OR(D4521="""",G4521=""""),"""",IFERROR(LET(
campo,XLOOKUP(TRIM(G4521),ARRAYFORMULA(TRIM('indice columnas'!$A$2:$A$100)),'indice columnas'!$B$2:$B$100,""""),
col,IFERROR(MATCH(campo,Referencia!$A$1:$AZ$1,0),0),
fila,IFERROR(MATCH(TO_TEXT(D4521),ARRAYFOR"&amp;"MULA(TO_TEXT(Referencia!$A$2:$A6238)),0),0),
IF(OR(campo="""",campo=""-""),""NO APLICA"",
IF(col=0,""REVISAR EQUIVALENCIA"",
IF(fila=0,""SKU NO ENCONTRADO"",
LET(
valor,INDEX(Referencia!$A$2:$AZ6238,fila,col),
IF(TRIM(TO_TEXT(valor))=TRIM(TO_TEXT(I4521)),"&amp;"
""OK"",
""NO COINCIDE. Valor verdadero: ""&amp;IF(valor="""",""[VACÍO]"",TO_TEXT(valor))
)
))))
),""ERROR EN FÓRMULA""))"),"OK")</f>
        <v>OK</v>
      </c>
    </row>
    <row r="4522">
      <c r="A4522" s="83" t="s">
        <v>4899</v>
      </c>
      <c r="B4522" s="83" t="s">
        <v>4900</v>
      </c>
      <c r="C4522" s="81" t="s">
        <v>4621</v>
      </c>
      <c r="D4522" s="83" t="s">
        <v>4243</v>
      </c>
      <c r="E4522" s="81" t="s">
        <v>951</v>
      </c>
      <c r="F4522" s="81">
        <v>171.0</v>
      </c>
      <c r="G4522" s="81" t="s">
        <v>3</v>
      </c>
      <c r="H4522" s="81" t="s">
        <v>224</v>
      </c>
      <c r="I4522" s="81" t="s">
        <v>920</v>
      </c>
      <c r="J4522" s="81" t="s">
        <v>224</v>
      </c>
      <c r="K4522" s="81" t="str">
        <f>IFERROR(__xludf.DUMMYFUNCTION("IF(OR(D4522="""",G4522=""""),"""",IFERROR(LET(
campo,XLOOKUP(TRIM(G4522),ARRAYFORMULA(TRIM('indice columnas'!$A$2:$A$100)),'indice columnas'!$B$2:$B$100,""""),
col,IFERROR(MATCH(campo,Referencia!$A$1:$AZ$1,0),0),
fila,IFERROR(MATCH(TO_TEXT(D4522),ARRAYFOR"&amp;"MULA(TO_TEXT(Referencia!$A$2:$A6238)),0),0),
IF(OR(campo="""",campo=""-""),""NO APLICA"",
IF(col=0,""REVISAR EQUIVALENCIA"",
IF(fila=0,""SKU NO ENCONTRADO"",
LET(
valor,INDEX(Referencia!$A$2:$AZ6238,fila,col),
IF(TRIM(TO_TEXT(valor))=TRIM(TO_TEXT(I4522)),"&amp;"
""OK"",
""NO COINCIDE. Valor verdadero: ""&amp;IF(valor="""",""[VACÍO]"",TO_TEXT(valor))
)
))))
),""ERROR EN FÓRMULA""))"),"OK")</f>
        <v>OK</v>
      </c>
    </row>
    <row r="4523">
      <c r="A4523" s="83" t="s">
        <v>4899</v>
      </c>
      <c r="B4523" s="83" t="s">
        <v>4900</v>
      </c>
      <c r="C4523" s="81" t="s">
        <v>4621</v>
      </c>
      <c r="D4523" s="83" t="s">
        <v>4243</v>
      </c>
      <c r="E4523" s="81" t="s">
        <v>951</v>
      </c>
      <c r="F4523" s="81">
        <v>171.0</v>
      </c>
      <c r="G4523" s="81" t="s">
        <v>2</v>
      </c>
      <c r="H4523" s="81" t="s">
        <v>224</v>
      </c>
      <c r="I4523" s="81" t="s">
        <v>919</v>
      </c>
      <c r="J4523" s="81" t="s">
        <v>224</v>
      </c>
      <c r="K4523" s="81" t="str">
        <f>IFERROR(__xludf.DUMMYFUNCTION("IF(OR(D4523="""",G4523=""""),"""",IFERROR(LET(
campo,XLOOKUP(TRIM(G4523),ARRAYFORMULA(TRIM('indice columnas'!$A$2:$A$100)),'indice columnas'!$B$2:$B$100,""""),
col,IFERROR(MATCH(campo,Referencia!$A$1:$AZ$1,0),0),
fila,IFERROR(MATCH(TO_TEXT(D4523),ARRAYFOR"&amp;"MULA(TO_TEXT(Referencia!$A$2:$A6238)),0),0),
IF(OR(campo="""",campo=""-""),""NO APLICA"",
IF(col=0,""REVISAR EQUIVALENCIA"",
IF(fila=0,""SKU NO ENCONTRADO"",
LET(
valor,INDEX(Referencia!$A$2:$AZ6238,fila,col),
IF(TRIM(TO_TEXT(valor))=TRIM(TO_TEXT(I4523)),"&amp;"
""OK"",
""NO COINCIDE. Valor verdadero: ""&amp;IF(valor="""",""[VACÍO]"",TO_TEXT(valor))
)
))))
),""ERROR EN FÓRMULA""))"),"OK")</f>
        <v>OK</v>
      </c>
    </row>
    <row r="4524">
      <c r="A4524" s="83" t="s">
        <v>4899</v>
      </c>
      <c r="B4524" s="83" t="s">
        <v>4900</v>
      </c>
      <c r="C4524" s="81" t="s">
        <v>4621</v>
      </c>
      <c r="D4524" s="83" t="s">
        <v>4243</v>
      </c>
      <c r="E4524" s="81" t="s">
        <v>951</v>
      </c>
      <c r="F4524" s="81">
        <v>171.0</v>
      </c>
      <c r="G4524" s="81" t="s">
        <v>1</v>
      </c>
      <c r="H4524" s="81" t="s">
        <v>224</v>
      </c>
      <c r="I4524" s="81" t="s">
        <v>49</v>
      </c>
      <c r="J4524" s="81" t="s">
        <v>224</v>
      </c>
      <c r="K4524" s="81" t="str">
        <f>IFERROR(__xludf.DUMMYFUNCTION("IF(OR(D4524="""",G4524=""""),"""",IFERROR(LET(
campo,XLOOKUP(TRIM(G4524),ARRAYFORMULA(TRIM('indice columnas'!$A$2:$A$100)),'indice columnas'!$B$2:$B$100,""""),
col,IFERROR(MATCH(campo,Referencia!$A$1:$AZ$1,0),0),
fila,IFERROR(MATCH(TO_TEXT(D4524),ARRAYFOR"&amp;"MULA(TO_TEXT(Referencia!$A$2:$A6238)),0),0),
IF(OR(campo="""",campo=""-""),""NO APLICA"",
IF(col=0,""REVISAR EQUIVALENCIA"",
IF(fila=0,""SKU NO ENCONTRADO"",
LET(
valor,INDEX(Referencia!$A$2:$AZ6238,fila,col),
IF(TRIM(TO_TEXT(valor))=TRIM(TO_TEXT(I4524)),"&amp;"
""OK"",
""NO COINCIDE. Valor verdadero: ""&amp;IF(valor="""",""[VACÍO]"",TO_TEXT(valor))
)
))))
),""ERROR EN FÓRMULA""))"),"OK")</f>
        <v>OK</v>
      </c>
    </row>
    <row r="4525">
      <c r="A4525" s="83" t="s">
        <v>4899</v>
      </c>
      <c r="B4525" s="83" t="s">
        <v>4900</v>
      </c>
      <c r="C4525" s="81" t="s">
        <v>4621</v>
      </c>
      <c r="D4525" s="83" t="s">
        <v>4244</v>
      </c>
      <c r="E4525" s="81" t="s">
        <v>952</v>
      </c>
      <c r="F4525" s="81">
        <v>172.0</v>
      </c>
      <c r="G4525" s="81" t="s">
        <v>3</v>
      </c>
      <c r="H4525" s="81" t="s">
        <v>224</v>
      </c>
      <c r="I4525" s="81" t="s">
        <v>920</v>
      </c>
      <c r="J4525" s="81" t="s">
        <v>224</v>
      </c>
      <c r="K4525" s="81" t="str">
        <f>IFERROR(__xludf.DUMMYFUNCTION("IF(OR(D4525="""",G4525=""""),"""",IFERROR(LET(
campo,XLOOKUP(TRIM(G4525),ARRAYFORMULA(TRIM('indice columnas'!$A$2:$A$100)),'indice columnas'!$B$2:$B$100,""""),
col,IFERROR(MATCH(campo,Referencia!$A$1:$AZ$1,0),0),
fila,IFERROR(MATCH(TO_TEXT(D4525),ARRAYFOR"&amp;"MULA(TO_TEXT(Referencia!$A$2:$A6238)),0),0),
IF(OR(campo="""",campo=""-""),""NO APLICA"",
IF(col=0,""REVISAR EQUIVALENCIA"",
IF(fila=0,""SKU NO ENCONTRADO"",
LET(
valor,INDEX(Referencia!$A$2:$AZ6238,fila,col),
IF(TRIM(TO_TEXT(valor))=TRIM(TO_TEXT(I4525)),"&amp;"
""OK"",
""NO COINCIDE. Valor verdadero: ""&amp;IF(valor="""",""[VACÍO]"",TO_TEXT(valor))
)
))))
),""ERROR EN FÓRMULA""))"),"OK")</f>
        <v>OK</v>
      </c>
    </row>
    <row r="4526">
      <c r="A4526" s="83" t="s">
        <v>4899</v>
      </c>
      <c r="B4526" s="83" t="s">
        <v>4900</v>
      </c>
      <c r="C4526" s="81" t="s">
        <v>4621</v>
      </c>
      <c r="D4526" s="83" t="s">
        <v>4244</v>
      </c>
      <c r="E4526" s="81" t="s">
        <v>952</v>
      </c>
      <c r="F4526" s="81">
        <v>172.0</v>
      </c>
      <c r="G4526" s="81" t="s">
        <v>2</v>
      </c>
      <c r="H4526" s="81" t="s">
        <v>224</v>
      </c>
      <c r="I4526" s="81" t="s">
        <v>919</v>
      </c>
      <c r="J4526" s="81" t="s">
        <v>224</v>
      </c>
      <c r="K4526" s="81" t="str">
        <f>IFERROR(__xludf.DUMMYFUNCTION("IF(OR(D4526="""",G4526=""""),"""",IFERROR(LET(
campo,XLOOKUP(TRIM(G4526),ARRAYFORMULA(TRIM('indice columnas'!$A$2:$A$100)),'indice columnas'!$B$2:$B$100,""""),
col,IFERROR(MATCH(campo,Referencia!$A$1:$AZ$1,0),0),
fila,IFERROR(MATCH(TO_TEXT(D4526),ARRAYFOR"&amp;"MULA(TO_TEXT(Referencia!$A$2:$A6238)),0),0),
IF(OR(campo="""",campo=""-""),""NO APLICA"",
IF(col=0,""REVISAR EQUIVALENCIA"",
IF(fila=0,""SKU NO ENCONTRADO"",
LET(
valor,INDEX(Referencia!$A$2:$AZ6238,fila,col),
IF(TRIM(TO_TEXT(valor))=TRIM(TO_TEXT(I4526)),"&amp;"
""OK"",
""NO COINCIDE. Valor verdadero: ""&amp;IF(valor="""",""[VACÍO]"",TO_TEXT(valor))
)
))))
),""ERROR EN FÓRMULA""))"),"OK")</f>
        <v>OK</v>
      </c>
    </row>
    <row r="4527">
      <c r="A4527" s="83" t="s">
        <v>4899</v>
      </c>
      <c r="B4527" s="83" t="s">
        <v>4900</v>
      </c>
      <c r="C4527" s="81" t="s">
        <v>4621</v>
      </c>
      <c r="D4527" s="83" t="s">
        <v>4244</v>
      </c>
      <c r="E4527" s="81" t="s">
        <v>952</v>
      </c>
      <c r="F4527" s="81">
        <v>172.0</v>
      </c>
      <c r="G4527" s="81" t="s">
        <v>1</v>
      </c>
      <c r="H4527" s="81" t="s">
        <v>224</v>
      </c>
      <c r="I4527" s="81" t="s">
        <v>49</v>
      </c>
      <c r="J4527" s="81" t="s">
        <v>224</v>
      </c>
      <c r="K4527" s="81" t="str">
        <f>IFERROR(__xludf.DUMMYFUNCTION("IF(OR(D4527="""",G4527=""""),"""",IFERROR(LET(
campo,XLOOKUP(TRIM(G4527),ARRAYFORMULA(TRIM('indice columnas'!$A$2:$A$100)),'indice columnas'!$B$2:$B$100,""""),
col,IFERROR(MATCH(campo,Referencia!$A$1:$AZ$1,0),0),
fila,IFERROR(MATCH(TO_TEXT(D4527),ARRAYFOR"&amp;"MULA(TO_TEXT(Referencia!$A$2:$A6238)),0),0),
IF(OR(campo="""",campo=""-""),""NO APLICA"",
IF(col=0,""REVISAR EQUIVALENCIA"",
IF(fila=0,""SKU NO ENCONTRADO"",
LET(
valor,INDEX(Referencia!$A$2:$AZ6238,fila,col),
IF(TRIM(TO_TEXT(valor))=TRIM(TO_TEXT(I4527)),"&amp;"
""OK"",
""NO COINCIDE. Valor verdadero: ""&amp;IF(valor="""",""[VACÍO]"",TO_TEXT(valor))
)
))))
),""ERROR EN FÓRMULA""))"),"OK")</f>
        <v>OK</v>
      </c>
    </row>
    <row r="4528">
      <c r="A4528" s="83" t="s">
        <v>4899</v>
      </c>
      <c r="B4528" s="83" t="s">
        <v>4900</v>
      </c>
      <c r="C4528" s="81" t="s">
        <v>4621</v>
      </c>
      <c r="D4528" s="83" t="s">
        <v>4245</v>
      </c>
      <c r="E4528" s="81" t="s">
        <v>961</v>
      </c>
      <c r="F4528" s="81">
        <v>174.0</v>
      </c>
      <c r="G4528" s="81" t="s">
        <v>3</v>
      </c>
      <c r="H4528" s="81" t="s">
        <v>224</v>
      </c>
      <c r="I4528" s="81" t="s">
        <v>926</v>
      </c>
      <c r="J4528" s="81" t="s">
        <v>224</v>
      </c>
      <c r="K4528" s="81" t="str">
        <f>IFERROR(__xludf.DUMMYFUNCTION("IF(OR(D4528="""",G4528=""""),"""",IFERROR(LET(
campo,XLOOKUP(TRIM(G4528),ARRAYFORMULA(TRIM('indice columnas'!$A$2:$A$100)),'indice columnas'!$B$2:$B$100,""""),
col,IFERROR(MATCH(campo,Referencia!$A$1:$AZ$1,0),0),
fila,IFERROR(MATCH(TO_TEXT(D4528),ARRAYFOR"&amp;"MULA(TO_TEXT(Referencia!$A$2:$A6238)),0),0),
IF(OR(campo="""",campo=""-""),""NO APLICA"",
IF(col=0,""REVISAR EQUIVALENCIA"",
IF(fila=0,""SKU NO ENCONTRADO"",
LET(
valor,INDEX(Referencia!$A$2:$AZ6238,fila,col),
IF(TRIM(TO_TEXT(valor))=TRIM(TO_TEXT(I4528)),"&amp;"
""OK"",
""NO COINCIDE. Valor verdadero: ""&amp;IF(valor="""",""[VACÍO]"",TO_TEXT(valor))
)
))))
),""ERROR EN FÓRMULA""))"),"OK")</f>
        <v>OK</v>
      </c>
    </row>
    <row r="4529">
      <c r="A4529" s="83" t="s">
        <v>4899</v>
      </c>
      <c r="B4529" s="83" t="s">
        <v>4900</v>
      </c>
      <c r="C4529" s="81" t="s">
        <v>4621</v>
      </c>
      <c r="D4529" s="83" t="s">
        <v>4245</v>
      </c>
      <c r="E4529" s="81" t="s">
        <v>961</v>
      </c>
      <c r="F4529" s="81">
        <v>174.0</v>
      </c>
      <c r="G4529" s="81" t="s">
        <v>2</v>
      </c>
      <c r="H4529" s="81" t="s">
        <v>224</v>
      </c>
      <c r="I4529" s="81" t="s">
        <v>919</v>
      </c>
      <c r="J4529" s="81" t="s">
        <v>224</v>
      </c>
      <c r="K4529" s="81" t="str">
        <f>IFERROR(__xludf.DUMMYFUNCTION("IF(OR(D4529="""",G4529=""""),"""",IFERROR(LET(
campo,XLOOKUP(TRIM(G4529),ARRAYFORMULA(TRIM('indice columnas'!$A$2:$A$100)),'indice columnas'!$B$2:$B$100,""""),
col,IFERROR(MATCH(campo,Referencia!$A$1:$AZ$1,0),0),
fila,IFERROR(MATCH(TO_TEXT(D4529),ARRAYFOR"&amp;"MULA(TO_TEXT(Referencia!$A$2:$A6238)),0),0),
IF(OR(campo="""",campo=""-""),""NO APLICA"",
IF(col=0,""REVISAR EQUIVALENCIA"",
IF(fila=0,""SKU NO ENCONTRADO"",
LET(
valor,INDEX(Referencia!$A$2:$AZ6238,fila,col),
IF(TRIM(TO_TEXT(valor))=TRIM(TO_TEXT(I4529)),"&amp;"
""OK"",
""NO COINCIDE. Valor verdadero: ""&amp;IF(valor="""",""[VACÍO]"",TO_TEXT(valor))
)
))))
),""ERROR EN FÓRMULA""))"),"OK")</f>
        <v>OK</v>
      </c>
    </row>
    <row r="4530">
      <c r="A4530" s="83" t="s">
        <v>4899</v>
      </c>
      <c r="B4530" s="83" t="s">
        <v>4900</v>
      </c>
      <c r="C4530" s="81" t="s">
        <v>4621</v>
      </c>
      <c r="D4530" s="83" t="s">
        <v>4245</v>
      </c>
      <c r="E4530" s="81" t="s">
        <v>961</v>
      </c>
      <c r="F4530" s="81">
        <v>174.0</v>
      </c>
      <c r="G4530" s="81" t="s">
        <v>1</v>
      </c>
      <c r="H4530" s="81" t="s">
        <v>224</v>
      </c>
      <c r="I4530" s="81" t="s">
        <v>49</v>
      </c>
      <c r="J4530" s="81" t="s">
        <v>224</v>
      </c>
      <c r="K4530" s="81" t="str">
        <f>IFERROR(__xludf.DUMMYFUNCTION("IF(OR(D4530="""",G4530=""""),"""",IFERROR(LET(
campo,XLOOKUP(TRIM(G4530),ARRAYFORMULA(TRIM('indice columnas'!$A$2:$A$100)),'indice columnas'!$B$2:$B$100,""""),
col,IFERROR(MATCH(campo,Referencia!$A$1:$AZ$1,0),0),
fila,IFERROR(MATCH(TO_TEXT(D4530),ARRAYFOR"&amp;"MULA(TO_TEXT(Referencia!$A$2:$A6238)),0),0),
IF(OR(campo="""",campo=""-""),""NO APLICA"",
IF(col=0,""REVISAR EQUIVALENCIA"",
IF(fila=0,""SKU NO ENCONTRADO"",
LET(
valor,INDEX(Referencia!$A$2:$AZ6238,fila,col),
IF(TRIM(TO_TEXT(valor))=TRIM(TO_TEXT(I4530)),"&amp;"
""OK"",
""NO COINCIDE. Valor verdadero: ""&amp;IF(valor="""",""[VACÍO]"",TO_TEXT(valor))
)
))))
),""ERROR EN FÓRMULA""))"),"OK")</f>
        <v>OK</v>
      </c>
    </row>
    <row r="4531">
      <c r="A4531" s="83" t="s">
        <v>4899</v>
      </c>
      <c r="B4531" s="83" t="s">
        <v>4900</v>
      </c>
      <c r="C4531" s="81" t="s">
        <v>4621</v>
      </c>
      <c r="D4531" s="83" t="s">
        <v>4246</v>
      </c>
      <c r="E4531" s="81" t="s">
        <v>962</v>
      </c>
      <c r="F4531" s="81">
        <v>175.0</v>
      </c>
      <c r="G4531" s="81" t="s">
        <v>3</v>
      </c>
      <c r="H4531" s="81" t="s">
        <v>224</v>
      </c>
      <c r="I4531" s="81" t="s">
        <v>926</v>
      </c>
      <c r="J4531" s="81" t="s">
        <v>224</v>
      </c>
      <c r="K4531" s="81" t="str">
        <f>IFERROR(__xludf.DUMMYFUNCTION("IF(OR(D4531="""",G4531=""""),"""",IFERROR(LET(
campo,XLOOKUP(TRIM(G4531),ARRAYFORMULA(TRIM('indice columnas'!$A$2:$A$100)),'indice columnas'!$B$2:$B$100,""""),
col,IFERROR(MATCH(campo,Referencia!$A$1:$AZ$1,0),0),
fila,IFERROR(MATCH(TO_TEXT(D4531),ARRAYFOR"&amp;"MULA(TO_TEXT(Referencia!$A$2:$A6238)),0),0),
IF(OR(campo="""",campo=""-""),""NO APLICA"",
IF(col=0,""REVISAR EQUIVALENCIA"",
IF(fila=0,""SKU NO ENCONTRADO"",
LET(
valor,INDEX(Referencia!$A$2:$AZ6238,fila,col),
IF(TRIM(TO_TEXT(valor))=TRIM(TO_TEXT(I4531)),"&amp;"
""OK"",
""NO COINCIDE. Valor verdadero: ""&amp;IF(valor="""",""[VACÍO]"",TO_TEXT(valor))
)
))))
),""ERROR EN FÓRMULA""))"),"OK")</f>
        <v>OK</v>
      </c>
    </row>
    <row r="4532">
      <c r="A4532" s="83" t="s">
        <v>4899</v>
      </c>
      <c r="B4532" s="83" t="s">
        <v>4900</v>
      </c>
      <c r="C4532" s="81" t="s">
        <v>4621</v>
      </c>
      <c r="D4532" s="83" t="s">
        <v>4246</v>
      </c>
      <c r="E4532" s="81" t="s">
        <v>962</v>
      </c>
      <c r="F4532" s="81">
        <v>175.0</v>
      </c>
      <c r="G4532" s="81" t="s">
        <v>2</v>
      </c>
      <c r="H4532" s="81" t="s">
        <v>224</v>
      </c>
      <c r="I4532" s="81" t="s">
        <v>919</v>
      </c>
      <c r="J4532" s="81" t="s">
        <v>224</v>
      </c>
      <c r="K4532" s="81" t="str">
        <f>IFERROR(__xludf.DUMMYFUNCTION("IF(OR(D4532="""",G4532=""""),"""",IFERROR(LET(
campo,XLOOKUP(TRIM(G4532),ARRAYFORMULA(TRIM('indice columnas'!$A$2:$A$100)),'indice columnas'!$B$2:$B$100,""""),
col,IFERROR(MATCH(campo,Referencia!$A$1:$AZ$1,0),0),
fila,IFERROR(MATCH(TO_TEXT(D4532),ARRAYFOR"&amp;"MULA(TO_TEXT(Referencia!$A$2:$A6238)),0),0),
IF(OR(campo="""",campo=""-""),""NO APLICA"",
IF(col=0,""REVISAR EQUIVALENCIA"",
IF(fila=0,""SKU NO ENCONTRADO"",
LET(
valor,INDEX(Referencia!$A$2:$AZ6238,fila,col),
IF(TRIM(TO_TEXT(valor))=TRIM(TO_TEXT(I4532)),"&amp;"
""OK"",
""NO COINCIDE. Valor verdadero: ""&amp;IF(valor="""",""[VACÍO]"",TO_TEXT(valor))
)
))))
),""ERROR EN FÓRMULA""))"),"OK")</f>
        <v>OK</v>
      </c>
    </row>
    <row r="4533">
      <c r="A4533" s="83" t="s">
        <v>4899</v>
      </c>
      <c r="B4533" s="83" t="s">
        <v>4900</v>
      </c>
      <c r="C4533" s="81" t="s">
        <v>4621</v>
      </c>
      <c r="D4533" s="83" t="s">
        <v>4246</v>
      </c>
      <c r="E4533" s="81" t="s">
        <v>962</v>
      </c>
      <c r="F4533" s="81">
        <v>175.0</v>
      </c>
      <c r="G4533" s="81" t="s">
        <v>1</v>
      </c>
      <c r="H4533" s="81" t="s">
        <v>224</v>
      </c>
      <c r="I4533" s="81" t="s">
        <v>49</v>
      </c>
      <c r="J4533" s="81" t="s">
        <v>224</v>
      </c>
      <c r="K4533" s="81" t="str">
        <f>IFERROR(__xludf.DUMMYFUNCTION("IF(OR(D4533="""",G4533=""""),"""",IFERROR(LET(
campo,XLOOKUP(TRIM(G4533),ARRAYFORMULA(TRIM('indice columnas'!$A$2:$A$100)),'indice columnas'!$B$2:$B$100,""""),
col,IFERROR(MATCH(campo,Referencia!$A$1:$AZ$1,0),0),
fila,IFERROR(MATCH(TO_TEXT(D4533),ARRAYFOR"&amp;"MULA(TO_TEXT(Referencia!$A$2:$A6238)),0),0),
IF(OR(campo="""",campo=""-""),""NO APLICA"",
IF(col=0,""REVISAR EQUIVALENCIA"",
IF(fila=0,""SKU NO ENCONTRADO"",
LET(
valor,INDEX(Referencia!$A$2:$AZ6238,fila,col),
IF(TRIM(TO_TEXT(valor))=TRIM(TO_TEXT(I4533)),"&amp;"
""OK"",
""NO COINCIDE. Valor verdadero: ""&amp;IF(valor="""",""[VACÍO]"",TO_TEXT(valor))
)
))))
),""ERROR EN FÓRMULA""))"),"OK")</f>
        <v>OK</v>
      </c>
    </row>
    <row r="4534">
      <c r="A4534" s="83" t="s">
        <v>4899</v>
      </c>
      <c r="B4534" s="83" t="s">
        <v>4900</v>
      </c>
      <c r="C4534" s="81" t="s">
        <v>4621</v>
      </c>
      <c r="D4534" s="83" t="s">
        <v>4248</v>
      </c>
      <c r="E4534" s="81" t="s">
        <v>972</v>
      </c>
      <c r="F4534" s="81">
        <v>178.0</v>
      </c>
      <c r="G4534" s="81" t="s">
        <v>3</v>
      </c>
      <c r="H4534" s="81" t="s">
        <v>224</v>
      </c>
      <c r="I4534" s="81" t="s">
        <v>926</v>
      </c>
      <c r="J4534" s="81" t="s">
        <v>224</v>
      </c>
      <c r="K4534" s="81" t="str">
        <f>IFERROR(__xludf.DUMMYFUNCTION("IF(OR(D4534="""",G4534=""""),"""",IFERROR(LET(
campo,XLOOKUP(TRIM(G4534),ARRAYFORMULA(TRIM('indice columnas'!$A$2:$A$100)),'indice columnas'!$B$2:$B$100,""""),
col,IFERROR(MATCH(campo,Referencia!$A$1:$AZ$1,0),0),
fila,IFERROR(MATCH(TO_TEXT(D4534),ARRAYFOR"&amp;"MULA(TO_TEXT(Referencia!$A$2:$A6238)),0),0),
IF(OR(campo="""",campo=""-""),""NO APLICA"",
IF(col=0,""REVISAR EQUIVALENCIA"",
IF(fila=0,""SKU NO ENCONTRADO"",
LET(
valor,INDEX(Referencia!$A$2:$AZ6238,fila,col),
IF(TRIM(TO_TEXT(valor))=TRIM(TO_TEXT(I4534)),"&amp;"
""OK"",
""NO COINCIDE. Valor verdadero: ""&amp;IF(valor="""",""[VACÍO]"",TO_TEXT(valor))
)
))))
),""ERROR EN FÓRMULA""))"),"OK")</f>
        <v>OK</v>
      </c>
    </row>
    <row r="4535">
      <c r="A4535" s="83" t="s">
        <v>4899</v>
      </c>
      <c r="B4535" s="83" t="s">
        <v>4900</v>
      </c>
      <c r="C4535" s="81" t="s">
        <v>4621</v>
      </c>
      <c r="D4535" s="83" t="s">
        <v>4248</v>
      </c>
      <c r="E4535" s="81" t="s">
        <v>972</v>
      </c>
      <c r="F4535" s="81">
        <v>178.0</v>
      </c>
      <c r="G4535" s="81" t="s">
        <v>2</v>
      </c>
      <c r="H4535" s="81" t="s">
        <v>224</v>
      </c>
      <c r="I4535" s="81" t="s">
        <v>919</v>
      </c>
      <c r="J4535" s="81" t="s">
        <v>224</v>
      </c>
      <c r="K4535" s="81" t="str">
        <f>IFERROR(__xludf.DUMMYFUNCTION("IF(OR(D4535="""",G4535=""""),"""",IFERROR(LET(
campo,XLOOKUP(TRIM(G4535),ARRAYFORMULA(TRIM('indice columnas'!$A$2:$A$100)),'indice columnas'!$B$2:$B$100,""""),
col,IFERROR(MATCH(campo,Referencia!$A$1:$AZ$1,0),0),
fila,IFERROR(MATCH(TO_TEXT(D4535),ARRAYFOR"&amp;"MULA(TO_TEXT(Referencia!$A$2:$A6238)),0),0),
IF(OR(campo="""",campo=""-""),""NO APLICA"",
IF(col=0,""REVISAR EQUIVALENCIA"",
IF(fila=0,""SKU NO ENCONTRADO"",
LET(
valor,INDEX(Referencia!$A$2:$AZ6238,fila,col),
IF(TRIM(TO_TEXT(valor))=TRIM(TO_TEXT(I4535)),"&amp;"
""OK"",
""NO COINCIDE. Valor verdadero: ""&amp;IF(valor="""",""[VACÍO]"",TO_TEXT(valor))
)
))))
),""ERROR EN FÓRMULA""))"),"OK")</f>
        <v>OK</v>
      </c>
    </row>
    <row r="4536">
      <c r="A4536" s="83" t="s">
        <v>4899</v>
      </c>
      <c r="B4536" s="83" t="s">
        <v>4900</v>
      </c>
      <c r="C4536" s="81" t="s">
        <v>4621</v>
      </c>
      <c r="D4536" s="83" t="s">
        <v>4248</v>
      </c>
      <c r="E4536" s="81" t="s">
        <v>972</v>
      </c>
      <c r="F4536" s="81">
        <v>178.0</v>
      </c>
      <c r="G4536" s="81" t="s">
        <v>1</v>
      </c>
      <c r="H4536" s="81" t="s">
        <v>224</v>
      </c>
      <c r="I4536" s="81" t="s">
        <v>49</v>
      </c>
      <c r="J4536" s="81" t="s">
        <v>224</v>
      </c>
      <c r="K4536" s="81" t="str">
        <f>IFERROR(__xludf.DUMMYFUNCTION("IF(OR(D4536="""",G4536=""""),"""",IFERROR(LET(
campo,XLOOKUP(TRIM(G4536),ARRAYFORMULA(TRIM('indice columnas'!$A$2:$A$100)),'indice columnas'!$B$2:$B$100,""""),
col,IFERROR(MATCH(campo,Referencia!$A$1:$AZ$1,0),0),
fila,IFERROR(MATCH(TO_TEXT(D4536),ARRAYFOR"&amp;"MULA(TO_TEXT(Referencia!$A$2:$A6238)),0),0),
IF(OR(campo="""",campo=""-""),""NO APLICA"",
IF(col=0,""REVISAR EQUIVALENCIA"",
IF(fila=0,""SKU NO ENCONTRADO"",
LET(
valor,INDEX(Referencia!$A$2:$AZ6238,fila,col),
IF(TRIM(TO_TEXT(valor))=TRIM(TO_TEXT(I4536)),"&amp;"
""OK"",
""NO COINCIDE. Valor verdadero: ""&amp;IF(valor="""",""[VACÍO]"",TO_TEXT(valor))
)
))))
),""ERROR EN FÓRMULA""))"),"OK")</f>
        <v>OK</v>
      </c>
    </row>
    <row r="4537">
      <c r="A4537" s="83" t="s">
        <v>4899</v>
      </c>
      <c r="B4537" s="83" t="s">
        <v>4900</v>
      </c>
      <c r="C4537" s="81" t="s">
        <v>4621</v>
      </c>
      <c r="D4537" s="83" t="s">
        <v>4250</v>
      </c>
      <c r="E4537" s="81" t="s">
        <v>982</v>
      </c>
      <c r="F4537" s="81">
        <v>181.0</v>
      </c>
      <c r="G4537" s="81" t="s">
        <v>3</v>
      </c>
      <c r="H4537" s="81" t="s">
        <v>224</v>
      </c>
      <c r="I4537" s="81" t="s">
        <v>926</v>
      </c>
      <c r="J4537" s="81" t="s">
        <v>224</v>
      </c>
      <c r="K4537" s="81" t="str">
        <f>IFERROR(__xludf.DUMMYFUNCTION("IF(OR(D4537="""",G4537=""""),"""",IFERROR(LET(
campo,XLOOKUP(TRIM(G4537),ARRAYFORMULA(TRIM('indice columnas'!$A$2:$A$100)),'indice columnas'!$B$2:$B$100,""""),
col,IFERROR(MATCH(campo,Referencia!$A$1:$AZ$1,0),0),
fila,IFERROR(MATCH(TO_TEXT(D4537),ARRAYFOR"&amp;"MULA(TO_TEXT(Referencia!$A$2:$A6238)),0),0),
IF(OR(campo="""",campo=""-""),""NO APLICA"",
IF(col=0,""REVISAR EQUIVALENCIA"",
IF(fila=0,""SKU NO ENCONTRADO"",
LET(
valor,INDEX(Referencia!$A$2:$AZ6238,fila,col),
IF(TRIM(TO_TEXT(valor))=TRIM(TO_TEXT(I4537)),"&amp;"
""OK"",
""NO COINCIDE. Valor verdadero: ""&amp;IF(valor="""",""[VACÍO]"",TO_TEXT(valor))
)
))))
),""ERROR EN FÓRMULA""))"),"OK")</f>
        <v>OK</v>
      </c>
    </row>
    <row r="4538">
      <c r="A4538" s="83" t="s">
        <v>4899</v>
      </c>
      <c r="B4538" s="83" t="s">
        <v>4900</v>
      </c>
      <c r="C4538" s="81" t="s">
        <v>4621</v>
      </c>
      <c r="D4538" s="83" t="s">
        <v>4250</v>
      </c>
      <c r="E4538" s="81" t="s">
        <v>982</v>
      </c>
      <c r="F4538" s="81">
        <v>181.0</v>
      </c>
      <c r="G4538" s="81" t="s">
        <v>2</v>
      </c>
      <c r="H4538" s="81" t="s">
        <v>224</v>
      </c>
      <c r="I4538" s="81" t="s">
        <v>919</v>
      </c>
      <c r="J4538" s="81" t="s">
        <v>224</v>
      </c>
      <c r="K4538" s="81" t="str">
        <f>IFERROR(__xludf.DUMMYFUNCTION("IF(OR(D4538="""",G4538=""""),"""",IFERROR(LET(
campo,XLOOKUP(TRIM(G4538),ARRAYFORMULA(TRIM('indice columnas'!$A$2:$A$100)),'indice columnas'!$B$2:$B$100,""""),
col,IFERROR(MATCH(campo,Referencia!$A$1:$AZ$1,0),0),
fila,IFERROR(MATCH(TO_TEXT(D4538),ARRAYFOR"&amp;"MULA(TO_TEXT(Referencia!$A$2:$A6238)),0),0),
IF(OR(campo="""",campo=""-""),""NO APLICA"",
IF(col=0,""REVISAR EQUIVALENCIA"",
IF(fila=0,""SKU NO ENCONTRADO"",
LET(
valor,INDEX(Referencia!$A$2:$AZ6238,fila,col),
IF(TRIM(TO_TEXT(valor))=TRIM(TO_TEXT(I4538)),"&amp;"
""OK"",
""NO COINCIDE. Valor verdadero: ""&amp;IF(valor="""",""[VACÍO]"",TO_TEXT(valor))
)
))))
),""ERROR EN FÓRMULA""))"),"OK")</f>
        <v>OK</v>
      </c>
    </row>
    <row r="4539">
      <c r="A4539" s="83" t="s">
        <v>4899</v>
      </c>
      <c r="B4539" s="83" t="s">
        <v>4900</v>
      </c>
      <c r="C4539" s="81" t="s">
        <v>4621</v>
      </c>
      <c r="D4539" s="83" t="s">
        <v>4250</v>
      </c>
      <c r="E4539" s="81" t="s">
        <v>982</v>
      </c>
      <c r="F4539" s="81">
        <v>181.0</v>
      </c>
      <c r="G4539" s="81" t="s">
        <v>1</v>
      </c>
      <c r="H4539" s="81" t="s">
        <v>224</v>
      </c>
      <c r="I4539" s="81" t="s">
        <v>49</v>
      </c>
      <c r="J4539" s="81" t="s">
        <v>224</v>
      </c>
      <c r="K4539" s="81" t="str">
        <f>IFERROR(__xludf.DUMMYFUNCTION("IF(OR(D4539="""",G4539=""""),"""",IFERROR(LET(
campo,XLOOKUP(TRIM(G4539),ARRAYFORMULA(TRIM('indice columnas'!$A$2:$A$100)),'indice columnas'!$B$2:$B$100,""""),
col,IFERROR(MATCH(campo,Referencia!$A$1:$AZ$1,0),0),
fila,IFERROR(MATCH(TO_TEXT(D4539),ARRAYFOR"&amp;"MULA(TO_TEXT(Referencia!$A$2:$A6238)),0),0),
IF(OR(campo="""",campo=""-""),""NO APLICA"",
IF(col=0,""REVISAR EQUIVALENCIA"",
IF(fila=0,""SKU NO ENCONTRADO"",
LET(
valor,INDEX(Referencia!$A$2:$AZ6238,fila,col),
IF(TRIM(TO_TEXT(valor))=TRIM(TO_TEXT(I4539)),"&amp;"
""OK"",
""NO COINCIDE. Valor verdadero: ""&amp;IF(valor="""",""[VACÍO]"",TO_TEXT(valor))
)
))))
),""ERROR EN FÓRMULA""))"),"OK")</f>
        <v>OK</v>
      </c>
    </row>
    <row r="4540">
      <c r="A4540" s="83" t="s">
        <v>4899</v>
      </c>
      <c r="B4540" s="83" t="s">
        <v>4900</v>
      </c>
      <c r="C4540" s="81" t="s">
        <v>4621</v>
      </c>
      <c r="D4540" s="83" t="s">
        <v>4252</v>
      </c>
      <c r="E4540" s="81" t="s">
        <v>992</v>
      </c>
      <c r="F4540" s="81">
        <v>184.0</v>
      </c>
      <c r="G4540" s="81" t="s">
        <v>3</v>
      </c>
      <c r="H4540" s="81" t="s">
        <v>224</v>
      </c>
      <c r="I4540" s="81" t="s">
        <v>926</v>
      </c>
      <c r="J4540" s="81" t="s">
        <v>224</v>
      </c>
      <c r="K4540" s="81" t="str">
        <f>IFERROR(__xludf.DUMMYFUNCTION("IF(OR(D4540="""",G4540=""""),"""",IFERROR(LET(
campo,XLOOKUP(TRIM(G4540),ARRAYFORMULA(TRIM('indice columnas'!$A$2:$A$100)),'indice columnas'!$B$2:$B$100,""""),
col,IFERROR(MATCH(campo,Referencia!$A$1:$AZ$1,0),0),
fila,IFERROR(MATCH(TO_TEXT(D4540),ARRAYFOR"&amp;"MULA(TO_TEXT(Referencia!$A$2:$A6238)),0),0),
IF(OR(campo="""",campo=""-""),""NO APLICA"",
IF(col=0,""REVISAR EQUIVALENCIA"",
IF(fila=0,""SKU NO ENCONTRADO"",
LET(
valor,INDEX(Referencia!$A$2:$AZ6238,fila,col),
IF(TRIM(TO_TEXT(valor))=TRIM(TO_TEXT(I4540)),"&amp;"
""OK"",
""NO COINCIDE. Valor verdadero: ""&amp;IF(valor="""",""[VACÍO]"",TO_TEXT(valor))
)
))))
),""ERROR EN FÓRMULA""))"),"OK")</f>
        <v>OK</v>
      </c>
    </row>
    <row r="4541">
      <c r="A4541" s="83" t="s">
        <v>4899</v>
      </c>
      <c r="B4541" s="83" t="s">
        <v>4900</v>
      </c>
      <c r="C4541" s="81" t="s">
        <v>4621</v>
      </c>
      <c r="D4541" s="83" t="s">
        <v>4252</v>
      </c>
      <c r="E4541" s="81" t="s">
        <v>992</v>
      </c>
      <c r="F4541" s="81">
        <v>184.0</v>
      </c>
      <c r="G4541" s="81" t="s">
        <v>2</v>
      </c>
      <c r="H4541" s="81" t="s">
        <v>224</v>
      </c>
      <c r="I4541" s="81" t="s">
        <v>919</v>
      </c>
      <c r="J4541" s="81" t="s">
        <v>224</v>
      </c>
      <c r="K4541" s="81" t="str">
        <f>IFERROR(__xludf.DUMMYFUNCTION("IF(OR(D4541="""",G4541=""""),"""",IFERROR(LET(
campo,XLOOKUP(TRIM(G4541),ARRAYFORMULA(TRIM('indice columnas'!$A$2:$A$100)),'indice columnas'!$B$2:$B$100,""""),
col,IFERROR(MATCH(campo,Referencia!$A$1:$AZ$1,0),0),
fila,IFERROR(MATCH(TO_TEXT(D4541),ARRAYFOR"&amp;"MULA(TO_TEXT(Referencia!$A$2:$A6238)),0),0),
IF(OR(campo="""",campo=""-""),""NO APLICA"",
IF(col=0,""REVISAR EQUIVALENCIA"",
IF(fila=0,""SKU NO ENCONTRADO"",
LET(
valor,INDEX(Referencia!$A$2:$AZ6238,fila,col),
IF(TRIM(TO_TEXT(valor))=TRIM(TO_TEXT(I4541)),"&amp;"
""OK"",
""NO COINCIDE. Valor verdadero: ""&amp;IF(valor="""",""[VACÍO]"",TO_TEXT(valor))
)
))))
),""ERROR EN FÓRMULA""))"),"OK")</f>
        <v>OK</v>
      </c>
    </row>
    <row r="4542">
      <c r="A4542" s="83" t="s">
        <v>4899</v>
      </c>
      <c r="B4542" s="83" t="s">
        <v>4900</v>
      </c>
      <c r="C4542" s="81" t="s">
        <v>4621</v>
      </c>
      <c r="D4542" s="83" t="s">
        <v>4252</v>
      </c>
      <c r="E4542" s="81" t="s">
        <v>992</v>
      </c>
      <c r="F4542" s="81">
        <v>184.0</v>
      </c>
      <c r="G4542" s="81" t="s">
        <v>1</v>
      </c>
      <c r="H4542" s="81" t="s">
        <v>224</v>
      </c>
      <c r="I4542" s="81" t="s">
        <v>49</v>
      </c>
      <c r="J4542" s="81" t="s">
        <v>224</v>
      </c>
      <c r="K4542" s="81" t="str">
        <f>IFERROR(__xludf.DUMMYFUNCTION("IF(OR(D4542="""",G4542=""""),"""",IFERROR(LET(
campo,XLOOKUP(TRIM(G4542),ARRAYFORMULA(TRIM('indice columnas'!$A$2:$A$100)),'indice columnas'!$B$2:$B$100,""""),
col,IFERROR(MATCH(campo,Referencia!$A$1:$AZ$1,0),0),
fila,IFERROR(MATCH(TO_TEXT(D4542),ARRAYFOR"&amp;"MULA(TO_TEXT(Referencia!$A$2:$A6238)),0),0),
IF(OR(campo="""",campo=""-""),""NO APLICA"",
IF(col=0,""REVISAR EQUIVALENCIA"",
IF(fila=0,""SKU NO ENCONTRADO"",
LET(
valor,INDEX(Referencia!$A$2:$AZ6238,fila,col),
IF(TRIM(TO_TEXT(valor))=TRIM(TO_TEXT(I4542)),"&amp;"
""OK"",
""NO COINCIDE. Valor verdadero: ""&amp;IF(valor="""",""[VACÍO]"",TO_TEXT(valor))
)
))))
),""ERROR EN FÓRMULA""))"),"OK")</f>
        <v>OK</v>
      </c>
    </row>
    <row r="4543">
      <c r="A4543" s="83" t="s">
        <v>4899</v>
      </c>
      <c r="B4543" s="83" t="s">
        <v>4900</v>
      </c>
      <c r="C4543" s="81" t="s">
        <v>4621</v>
      </c>
      <c r="D4543" s="83" t="s">
        <v>4254</v>
      </c>
      <c r="E4543" s="81" t="s">
        <v>1002</v>
      </c>
      <c r="F4543" s="81">
        <v>187.0</v>
      </c>
      <c r="G4543" s="81" t="s">
        <v>3</v>
      </c>
      <c r="H4543" s="81" t="s">
        <v>224</v>
      </c>
      <c r="I4543" s="81" t="s">
        <v>926</v>
      </c>
      <c r="J4543" s="81" t="s">
        <v>224</v>
      </c>
      <c r="K4543" s="81" t="str">
        <f>IFERROR(__xludf.DUMMYFUNCTION("IF(OR(D4543="""",G4543=""""),"""",IFERROR(LET(
campo,XLOOKUP(TRIM(G4543),ARRAYFORMULA(TRIM('indice columnas'!$A$2:$A$100)),'indice columnas'!$B$2:$B$100,""""),
col,IFERROR(MATCH(campo,Referencia!$A$1:$AZ$1,0),0),
fila,IFERROR(MATCH(TO_TEXT(D4543),ARRAYFOR"&amp;"MULA(TO_TEXT(Referencia!$A$2:$A6238)),0),0),
IF(OR(campo="""",campo=""-""),""NO APLICA"",
IF(col=0,""REVISAR EQUIVALENCIA"",
IF(fila=0,""SKU NO ENCONTRADO"",
LET(
valor,INDEX(Referencia!$A$2:$AZ6238,fila,col),
IF(TRIM(TO_TEXT(valor))=TRIM(TO_TEXT(I4543)),"&amp;"
""OK"",
""NO COINCIDE. Valor verdadero: ""&amp;IF(valor="""",""[VACÍO]"",TO_TEXT(valor))
)
))))
),""ERROR EN FÓRMULA""))"),"OK")</f>
        <v>OK</v>
      </c>
    </row>
    <row r="4544">
      <c r="A4544" s="83" t="s">
        <v>4899</v>
      </c>
      <c r="B4544" s="83" t="s">
        <v>4900</v>
      </c>
      <c r="C4544" s="81" t="s">
        <v>4621</v>
      </c>
      <c r="D4544" s="83" t="s">
        <v>4254</v>
      </c>
      <c r="E4544" s="81" t="s">
        <v>1002</v>
      </c>
      <c r="F4544" s="81">
        <v>187.0</v>
      </c>
      <c r="G4544" s="81" t="s">
        <v>2</v>
      </c>
      <c r="H4544" s="81" t="s">
        <v>224</v>
      </c>
      <c r="I4544" s="81" t="s">
        <v>919</v>
      </c>
      <c r="J4544" s="81" t="s">
        <v>224</v>
      </c>
      <c r="K4544" s="81" t="str">
        <f>IFERROR(__xludf.DUMMYFUNCTION("IF(OR(D4544="""",G4544=""""),"""",IFERROR(LET(
campo,XLOOKUP(TRIM(G4544),ARRAYFORMULA(TRIM('indice columnas'!$A$2:$A$100)),'indice columnas'!$B$2:$B$100,""""),
col,IFERROR(MATCH(campo,Referencia!$A$1:$AZ$1,0),0),
fila,IFERROR(MATCH(TO_TEXT(D4544),ARRAYFOR"&amp;"MULA(TO_TEXT(Referencia!$A$2:$A6238)),0),0),
IF(OR(campo="""",campo=""-""),""NO APLICA"",
IF(col=0,""REVISAR EQUIVALENCIA"",
IF(fila=0,""SKU NO ENCONTRADO"",
LET(
valor,INDEX(Referencia!$A$2:$AZ6238,fila,col),
IF(TRIM(TO_TEXT(valor))=TRIM(TO_TEXT(I4544)),"&amp;"
""OK"",
""NO COINCIDE. Valor verdadero: ""&amp;IF(valor="""",""[VACÍO]"",TO_TEXT(valor))
)
))))
),""ERROR EN FÓRMULA""))"),"OK")</f>
        <v>OK</v>
      </c>
    </row>
    <row r="4545">
      <c r="A4545" s="83" t="s">
        <v>4899</v>
      </c>
      <c r="B4545" s="83" t="s">
        <v>4900</v>
      </c>
      <c r="C4545" s="81" t="s">
        <v>4621</v>
      </c>
      <c r="D4545" s="83" t="s">
        <v>4254</v>
      </c>
      <c r="E4545" s="81" t="s">
        <v>1002</v>
      </c>
      <c r="F4545" s="81">
        <v>187.0</v>
      </c>
      <c r="G4545" s="81" t="s">
        <v>1</v>
      </c>
      <c r="H4545" s="81" t="s">
        <v>224</v>
      </c>
      <c r="I4545" s="81" t="s">
        <v>49</v>
      </c>
      <c r="J4545" s="81" t="s">
        <v>224</v>
      </c>
      <c r="K4545" s="81" t="str">
        <f>IFERROR(__xludf.DUMMYFUNCTION("IF(OR(D4545="""",G4545=""""),"""",IFERROR(LET(
campo,XLOOKUP(TRIM(G4545),ARRAYFORMULA(TRIM('indice columnas'!$A$2:$A$100)),'indice columnas'!$B$2:$B$100,""""),
col,IFERROR(MATCH(campo,Referencia!$A$1:$AZ$1,0),0),
fila,IFERROR(MATCH(TO_TEXT(D4545),ARRAYFOR"&amp;"MULA(TO_TEXT(Referencia!$A$2:$A6238)),0),0),
IF(OR(campo="""",campo=""-""),""NO APLICA"",
IF(col=0,""REVISAR EQUIVALENCIA"",
IF(fila=0,""SKU NO ENCONTRADO"",
LET(
valor,INDEX(Referencia!$A$2:$AZ6238,fila,col),
IF(TRIM(TO_TEXT(valor))=TRIM(TO_TEXT(I4545)),"&amp;"
""OK"",
""NO COINCIDE. Valor verdadero: ""&amp;IF(valor="""",""[VACÍO]"",TO_TEXT(valor))
)
))))
),""ERROR EN FÓRMULA""))"),"OK")</f>
        <v>OK</v>
      </c>
    </row>
    <row r="4546">
      <c r="A4546" s="83" t="s">
        <v>4899</v>
      </c>
      <c r="B4546" s="83" t="s">
        <v>4900</v>
      </c>
      <c r="C4546" s="81" t="s">
        <v>4621</v>
      </c>
      <c r="D4546" s="83" t="s">
        <v>4256</v>
      </c>
      <c r="E4546" s="81" t="s">
        <v>1012</v>
      </c>
      <c r="F4546" s="81">
        <v>190.0</v>
      </c>
      <c r="G4546" s="81" t="s">
        <v>3</v>
      </c>
      <c r="H4546" s="81" t="s">
        <v>224</v>
      </c>
      <c r="I4546" s="81" t="s">
        <v>926</v>
      </c>
      <c r="J4546" s="81" t="s">
        <v>224</v>
      </c>
      <c r="K4546" s="81" t="str">
        <f>IFERROR(__xludf.DUMMYFUNCTION("IF(OR(D4546="""",G4546=""""),"""",IFERROR(LET(
campo,XLOOKUP(TRIM(G4546),ARRAYFORMULA(TRIM('indice columnas'!$A$2:$A$100)),'indice columnas'!$B$2:$B$100,""""),
col,IFERROR(MATCH(campo,Referencia!$A$1:$AZ$1,0),0),
fila,IFERROR(MATCH(TO_TEXT(D4546),ARRAYFOR"&amp;"MULA(TO_TEXT(Referencia!$A$2:$A6238)),0),0),
IF(OR(campo="""",campo=""-""),""NO APLICA"",
IF(col=0,""REVISAR EQUIVALENCIA"",
IF(fila=0,""SKU NO ENCONTRADO"",
LET(
valor,INDEX(Referencia!$A$2:$AZ6238,fila,col),
IF(TRIM(TO_TEXT(valor))=TRIM(TO_TEXT(I4546)),"&amp;"
""OK"",
""NO COINCIDE. Valor verdadero: ""&amp;IF(valor="""",""[VACÍO]"",TO_TEXT(valor))
)
))))
),""ERROR EN FÓRMULA""))"),"OK")</f>
        <v>OK</v>
      </c>
    </row>
    <row r="4547">
      <c r="A4547" s="83" t="s">
        <v>4899</v>
      </c>
      <c r="B4547" s="83" t="s">
        <v>4900</v>
      </c>
      <c r="C4547" s="81" t="s">
        <v>4621</v>
      </c>
      <c r="D4547" s="83" t="s">
        <v>4256</v>
      </c>
      <c r="E4547" s="81" t="s">
        <v>1012</v>
      </c>
      <c r="F4547" s="81">
        <v>190.0</v>
      </c>
      <c r="G4547" s="81" t="s">
        <v>2</v>
      </c>
      <c r="H4547" s="81" t="s">
        <v>224</v>
      </c>
      <c r="I4547" s="81" t="s">
        <v>919</v>
      </c>
      <c r="J4547" s="81" t="s">
        <v>224</v>
      </c>
      <c r="K4547" s="81" t="str">
        <f>IFERROR(__xludf.DUMMYFUNCTION("IF(OR(D4547="""",G4547=""""),"""",IFERROR(LET(
campo,XLOOKUP(TRIM(G4547),ARRAYFORMULA(TRIM('indice columnas'!$A$2:$A$100)),'indice columnas'!$B$2:$B$100,""""),
col,IFERROR(MATCH(campo,Referencia!$A$1:$AZ$1,0),0),
fila,IFERROR(MATCH(TO_TEXT(D4547),ARRAYFOR"&amp;"MULA(TO_TEXT(Referencia!$A$2:$A6238)),0),0),
IF(OR(campo="""",campo=""-""),""NO APLICA"",
IF(col=0,""REVISAR EQUIVALENCIA"",
IF(fila=0,""SKU NO ENCONTRADO"",
LET(
valor,INDEX(Referencia!$A$2:$AZ6238,fila,col),
IF(TRIM(TO_TEXT(valor))=TRIM(TO_TEXT(I4547)),"&amp;"
""OK"",
""NO COINCIDE. Valor verdadero: ""&amp;IF(valor="""",""[VACÍO]"",TO_TEXT(valor))
)
))))
),""ERROR EN FÓRMULA""))"),"OK")</f>
        <v>OK</v>
      </c>
    </row>
    <row r="4548">
      <c r="A4548" s="83" t="s">
        <v>4899</v>
      </c>
      <c r="B4548" s="83" t="s">
        <v>4900</v>
      </c>
      <c r="C4548" s="81" t="s">
        <v>4621</v>
      </c>
      <c r="D4548" s="83" t="s">
        <v>4256</v>
      </c>
      <c r="E4548" s="81" t="s">
        <v>1012</v>
      </c>
      <c r="F4548" s="81">
        <v>190.0</v>
      </c>
      <c r="G4548" s="81" t="s">
        <v>1</v>
      </c>
      <c r="H4548" s="81" t="s">
        <v>224</v>
      </c>
      <c r="I4548" s="81" t="s">
        <v>49</v>
      </c>
      <c r="J4548" s="81" t="s">
        <v>224</v>
      </c>
      <c r="K4548" s="81" t="str">
        <f>IFERROR(__xludf.DUMMYFUNCTION("IF(OR(D4548="""",G4548=""""),"""",IFERROR(LET(
campo,XLOOKUP(TRIM(G4548),ARRAYFORMULA(TRIM('indice columnas'!$A$2:$A$100)),'indice columnas'!$B$2:$B$100,""""),
col,IFERROR(MATCH(campo,Referencia!$A$1:$AZ$1,0),0),
fila,IFERROR(MATCH(TO_TEXT(D4548),ARRAYFOR"&amp;"MULA(TO_TEXT(Referencia!$A$2:$A6238)),0),0),
IF(OR(campo="""",campo=""-""),""NO APLICA"",
IF(col=0,""REVISAR EQUIVALENCIA"",
IF(fila=0,""SKU NO ENCONTRADO"",
LET(
valor,INDEX(Referencia!$A$2:$AZ6238,fila,col),
IF(TRIM(TO_TEXT(valor))=TRIM(TO_TEXT(I4548)),"&amp;"
""OK"",
""NO COINCIDE. Valor verdadero: ""&amp;IF(valor="""",""[VACÍO]"",TO_TEXT(valor))
)
))))
),""ERROR EN FÓRMULA""))"),"OK")</f>
        <v>OK</v>
      </c>
    </row>
    <row r="4549">
      <c r="A4549" s="83" t="s">
        <v>4899</v>
      </c>
      <c r="B4549" s="83" t="s">
        <v>4900</v>
      </c>
      <c r="C4549" s="81" t="s">
        <v>4621</v>
      </c>
      <c r="D4549" s="83" t="s">
        <v>4260</v>
      </c>
      <c r="E4549" s="81" t="s">
        <v>1028</v>
      </c>
      <c r="F4549" s="81">
        <v>193.0</v>
      </c>
      <c r="G4549" s="81" t="s">
        <v>3</v>
      </c>
      <c r="H4549" s="81" t="s">
        <v>224</v>
      </c>
      <c r="I4549" s="81" t="s">
        <v>1016</v>
      </c>
      <c r="J4549" s="81" t="s">
        <v>224</v>
      </c>
      <c r="K4549" s="81" t="str">
        <f>IFERROR(__xludf.DUMMYFUNCTION("IF(OR(D4549="""",G4549=""""),"""",IFERROR(LET(
campo,XLOOKUP(TRIM(G4549),ARRAYFORMULA(TRIM('indice columnas'!$A$2:$A$100)),'indice columnas'!$B$2:$B$100,""""),
col,IFERROR(MATCH(campo,Referencia!$A$1:$AZ$1,0),0),
fila,IFERROR(MATCH(TO_TEXT(D4549),ARRAYFOR"&amp;"MULA(TO_TEXT(Referencia!$A$2:$A6238)),0),0),
IF(OR(campo="""",campo=""-""),""NO APLICA"",
IF(col=0,""REVISAR EQUIVALENCIA"",
IF(fila=0,""SKU NO ENCONTRADO"",
LET(
valor,INDEX(Referencia!$A$2:$AZ6238,fila,col),
IF(TRIM(TO_TEXT(valor))=TRIM(TO_TEXT(I4549)),"&amp;"
""OK"",
""NO COINCIDE. Valor verdadero: ""&amp;IF(valor="""",""[VACÍO]"",TO_TEXT(valor))
)
))))
),""ERROR EN FÓRMULA""))"),"OK")</f>
        <v>OK</v>
      </c>
    </row>
    <row r="4550">
      <c r="A4550" s="83" t="s">
        <v>4899</v>
      </c>
      <c r="B4550" s="83" t="s">
        <v>4900</v>
      </c>
      <c r="C4550" s="81" t="s">
        <v>4621</v>
      </c>
      <c r="D4550" s="83" t="s">
        <v>4260</v>
      </c>
      <c r="E4550" s="81" t="s">
        <v>1028</v>
      </c>
      <c r="F4550" s="81">
        <v>193.0</v>
      </c>
      <c r="G4550" s="81" t="s">
        <v>2</v>
      </c>
      <c r="H4550" s="81" t="s">
        <v>224</v>
      </c>
      <c r="I4550" s="81" t="s">
        <v>919</v>
      </c>
      <c r="J4550" s="81" t="s">
        <v>224</v>
      </c>
      <c r="K4550" s="81" t="str">
        <f>IFERROR(__xludf.DUMMYFUNCTION("IF(OR(D4550="""",G4550=""""),"""",IFERROR(LET(
campo,XLOOKUP(TRIM(G4550),ARRAYFORMULA(TRIM('indice columnas'!$A$2:$A$100)),'indice columnas'!$B$2:$B$100,""""),
col,IFERROR(MATCH(campo,Referencia!$A$1:$AZ$1,0),0),
fila,IFERROR(MATCH(TO_TEXT(D4550),ARRAYFOR"&amp;"MULA(TO_TEXT(Referencia!$A$2:$A6238)),0),0),
IF(OR(campo="""",campo=""-""),""NO APLICA"",
IF(col=0,""REVISAR EQUIVALENCIA"",
IF(fila=0,""SKU NO ENCONTRADO"",
LET(
valor,INDEX(Referencia!$A$2:$AZ6238,fila,col),
IF(TRIM(TO_TEXT(valor))=TRIM(TO_TEXT(I4550)),"&amp;"
""OK"",
""NO COINCIDE. Valor verdadero: ""&amp;IF(valor="""",""[VACÍO]"",TO_TEXT(valor))
)
))))
),""ERROR EN FÓRMULA""))"),"OK")</f>
        <v>OK</v>
      </c>
    </row>
    <row r="4551">
      <c r="A4551" s="83" t="s">
        <v>4899</v>
      </c>
      <c r="B4551" s="83" t="s">
        <v>4900</v>
      </c>
      <c r="C4551" s="81" t="s">
        <v>4621</v>
      </c>
      <c r="D4551" s="83" t="s">
        <v>4260</v>
      </c>
      <c r="E4551" s="81" t="s">
        <v>1028</v>
      </c>
      <c r="F4551" s="81">
        <v>193.0</v>
      </c>
      <c r="G4551" s="81" t="s">
        <v>1</v>
      </c>
      <c r="H4551" s="81" t="s">
        <v>224</v>
      </c>
      <c r="I4551" s="81" t="s">
        <v>49</v>
      </c>
      <c r="J4551" s="81" t="s">
        <v>224</v>
      </c>
      <c r="K4551" s="81" t="str">
        <f>IFERROR(__xludf.DUMMYFUNCTION("IF(OR(D4551="""",G4551=""""),"""",IFERROR(LET(
campo,XLOOKUP(TRIM(G4551),ARRAYFORMULA(TRIM('indice columnas'!$A$2:$A$100)),'indice columnas'!$B$2:$B$100,""""),
col,IFERROR(MATCH(campo,Referencia!$A$1:$AZ$1,0),0),
fila,IFERROR(MATCH(TO_TEXT(D4551),ARRAYFOR"&amp;"MULA(TO_TEXT(Referencia!$A$2:$A6238)),0),0),
IF(OR(campo="""",campo=""-""),""NO APLICA"",
IF(col=0,""REVISAR EQUIVALENCIA"",
IF(fila=0,""SKU NO ENCONTRADO"",
LET(
valor,INDEX(Referencia!$A$2:$AZ6238,fila,col),
IF(TRIM(TO_TEXT(valor))=TRIM(TO_TEXT(I4551)),"&amp;"
""OK"",
""NO COINCIDE. Valor verdadero: ""&amp;IF(valor="""",""[VACÍO]"",TO_TEXT(valor))
)
))))
),""ERROR EN FÓRMULA""))"),"OK")</f>
        <v>OK</v>
      </c>
    </row>
    <row r="4552">
      <c r="A4552" s="83" t="s">
        <v>4899</v>
      </c>
      <c r="B4552" s="83" t="s">
        <v>4900</v>
      </c>
      <c r="C4552" s="81" t="s">
        <v>4621</v>
      </c>
      <c r="D4552" s="83" t="s">
        <v>4261</v>
      </c>
      <c r="E4552" s="81" t="s">
        <v>1032</v>
      </c>
      <c r="F4552" s="81">
        <v>194.0</v>
      </c>
      <c r="G4552" s="81" t="s">
        <v>3</v>
      </c>
      <c r="H4552" s="81" t="s">
        <v>224</v>
      </c>
      <c r="I4552" s="81" t="s">
        <v>1016</v>
      </c>
      <c r="J4552" s="81" t="s">
        <v>224</v>
      </c>
      <c r="K4552" s="81" t="str">
        <f>IFERROR(__xludf.DUMMYFUNCTION("IF(OR(D4552="""",G4552=""""),"""",IFERROR(LET(
campo,XLOOKUP(TRIM(G4552),ARRAYFORMULA(TRIM('indice columnas'!$A$2:$A$100)),'indice columnas'!$B$2:$B$100,""""),
col,IFERROR(MATCH(campo,Referencia!$A$1:$AZ$1,0),0),
fila,IFERROR(MATCH(TO_TEXT(D4552),ARRAYFOR"&amp;"MULA(TO_TEXT(Referencia!$A$2:$A6238)),0),0),
IF(OR(campo="""",campo=""-""),""NO APLICA"",
IF(col=0,""REVISAR EQUIVALENCIA"",
IF(fila=0,""SKU NO ENCONTRADO"",
LET(
valor,INDEX(Referencia!$A$2:$AZ6238,fila,col),
IF(TRIM(TO_TEXT(valor))=TRIM(TO_TEXT(I4552)),"&amp;"
""OK"",
""NO COINCIDE. Valor verdadero: ""&amp;IF(valor="""",""[VACÍO]"",TO_TEXT(valor))
)
))))
),""ERROR EN FÓRMULA""))"),"OK")</f>
        <v>OK</v>
      </c>
    </row>
    <row r="4553">
      <c r="A4553" s="83" t="s">
        <v>4899</v>
      </c>
      <c r="B4553" s="83" t="s">
        <v>4900</v>
      </c>
      <c r="C4553" s="81" t="s">
        <v>4621</v>
      </c>
      <c r="D4553" s="83" t="s">
        <v>4261</v>
      </c>
      <c r="E4553" s="81" t="s">
        <v>1032</v>
      </c>
      <c r="F4553" s="81">
        <v>194.0</v>
      </c>
      <c r="G4553" s="81" t="s">
        <v>2</v>
      </c>
      <c r="H4553" s="81" t="s">
        <v>224</v>
      </c>
      <c r="I4553" s="81" t="s">
        <v>919</v>
      </c>
      <c r="J4553" s="81" t="s">
        <v>224</v>
      </c>
      <c r="K4553" s="81" t="str">
        <f>IFERROR(__xludf.DUMMYFUNCTION("IF(OR(D4553="""",G4553=""""),"""",IFERROR(LET(
campo,XLOOKUP(TRIM(G4553),ARRAYFORMULA(TRIM('indice columnas'!$A$2:$A$100)),'indice columnas'!$B$2:$B$100,""""),
col,IFERROR(MATCH(campo,Referencia!$A$1:$AZ$1,0),0),
fila,IFERROR(MATCH(TO_TEXT(D4553),ARRAYFOR"&amp;"MULA(TO_TEXT(Referencia!$A$2:$A6238)),0),0),
IF(OR(campo="""",campo=""-""),""NO APLICA"",
IF(col=0,""REVISAR EQUIVALENCIA"",
IF(fila=0,""SKU NO ENCONTRADO"",
LET(
valor,INDEX(Referencia!$A$2:$AZ6238,fila,col),
IF(TRIM(TO_TEXT(valor))=TRIM(TO_TEXT(I4553)),"&amp;"
""OK"",
""NO COINCIDE. Valor verdadero: ""&amp;IF(valor="""",""[VACÍO]"",TO_TEXT(valor))
)
))))
),""ERROR EN FÓRMULA""))"),"OK")</f>
        <v>OK</v>
      </c>
    </row>
    <row r="4554">
      <c r="A4554" s="83" t="s">
        <v>4899</v>
      </c>
      <c r="B4554" s="83" t="s">
        <v>4900</v>
      </c>
      <c r="C4554" s="81" t="s">
        <v>4621</v>
      </c>
      <c r="D4554" s="83" t="s">
        <v>4261</v>
      </c>
      <c r="E4554" s="81" t="s">
        <v>1032</v>
      </c>
      <c r="F4554" s="81">
        <v>194.0</v>
      </c>
      <c r="G4554" s="81" t="s">
        <v>1</v>
      </c>
      <c r="H4554" s="81" t="s">
        <v>224</v>
      </c>
      <c r="I4554" s="81" t="s">
        <v>49</v>
      </c>
      <c r="J4554" s="81" t="s">
        <v>224</v>
      </c>
      <c r="K4554" s="81" t="str">
        <f>IFERROR(__xludf.DUMMYFUNCTION("IF(OR(D4554="""",G4554=""""),"""",IFERROR(LET(
campo,XLOOKUP(TRIM(G4554),ARRAYFORMULA(TRIM('indice columnas'!$A$2:$A$100)),'indice columnas'!$B$2:$B$100,""""),
col,IFERROR(MATCH(campo,Referencia!$A$1:$AZ$1,0),0),
fila,IFERROR(MATCH(TO_TEXT(D4554),ARRAYFOR"&amp;"MULA(TO_TEXT(Referencia!$A$2:$A6238)),0),0),
IF(OR(campo="""",campo=""-""),""NO APLICA"",
IF(col=0,""REVISAR EQUIVALENCIA"",
IF(fila=0,""SKU NO ENCONTRADO"",
LET(
valor,INDEX(Referencia!$A$2:$AZ6238,fila,col),
IF(TRIM(TO_TEXT(valor))=TRIM(TO_TEXT(I4554)),"&amp;"
""OK"",
""NO COINCIDE. Valor verdadero: ""&amp;IF(valor="""",""[VACÍO]"",TO_TEXT(valor))
)
))))
),""ERROR EN FÓRMULA""))"),"OK")</f>
        <v>OK</v>
      </c>
    </row>
    <row r="4555">
      <c r="A4555" s="83" t="s">
        <v>4899</v>
      </c>
      <c r="B4555" s="83" t="s">
        <v>4900</v>
      </c>
      <c r="C4555" s="81" t="s">
        <v>4621</v>
      </c>
      <c r="D4555" s="83" t="s">
        <v>4263</v>
      </c>
      <c r="E4555" s="81" t="s">
        <v>1036</v>
      </c>
      <c r="F4555" s="81">
        <v>195.0</v>
      </c>
      <c r="G4555" s="81" t="s">
        <v>3</v>
      </c>
      <c r="H4555" s="81" t="s">
        <v>224</v>
      </c>
      <c r="I4555" s="81" t="s">
        <v>1016</v>
      </c>
      <c r="J4555" s="81" t="s">
        <v>224</v>
      </c>
      <c r="K4555" s="81" t="str">
        <f>IFERROR(__xludf.DUMMYFUNCTION("IF(OR(D4555="""",G4555=""""),"""",IFERROR(LET(
campo,XLOOKUP(TRIM(G4555),ARRAYFORMULA(TRIM('indice columnas'!$A$2:$A$100)),'indice columnas'!$B$2:$B$100,""""),
col,IFERROR(MATCH(campo,Referencia!$A$1:$AZ$1,0),0),
fila,IFERROR(MATCH(TO_TEXT(D4555),ARRAYFOR"&amp;"MULA(TO_TEXT(Referencia!$A$2:$A6238)),0),0),
IF(OR(campo="""",campo=""-""),""NO APLICA"",
IF(col=0,""REVISAR EQUIVALENCIA"",
IF(fila=0,""SKU NO ENCONTRADO"",
LET(
valor,INDEX(Referencia!$A$2:$AZ6238,fila,col),
IF(TRIM(TO_TEXT(valor))=TRIM(TO_TEXT(I4555)),"&amp;"
""OK"",
""NO COINCIDE. Valor verdadero: ""&amp;IF(valor="""",""[VACÍO]"",TO_TEXT(valor))
)
))))
),""ERROR EN FÓRMULA""))"),"OK")</f>
        <v>OK</v>
      </c>
    </row>
    <row r="4556">
      <c r="A4556" s="83" t="s">
        <v>4899</v>
      </c>
      <c r="B4556" s="83" t="s">
        <v>4900</v>
      </c>
      <c r="C4556" s="81" t="s">
        <v>4621</v>
      </c>
      <c r="D4556" s="83" t="s">
        <v>4263</v>
      </c>
      <c r="E4556" s="81" t="s">
        <v>1036</v>
      </c>
      <c r="F4556" s="81">
        <v>195.0</v>
      </c>
      <c r="G4556" s="81" t="s">
        <v>2</v>
      </c>
      <c r="H4556" s="81" t="s">
        <v>224</v>
      </c>
      <c r="I4556" s="81" t="s">
        <v>919</v>
      </c>
      <c r="J4556" s="81" t="s">
        <v>224</v>
      </c>
      <c r="K4556" s="81" t="str">
        <f>IFERROR(__xludf.DUMMYFUNCTION("IF(OR(D4556="""",G4556=""""),"""",IFERROR(LET(
campo,XLOOKUP(TRIM(G4556),ARRAYFORMULA(TRIM('indice columnas'!$A$2:$A$100)),'indice columnas'!$B$2:$B$100,""""),
col,IFERROR(MATCH(campo,Referencia!$A$1:$AZ$1,0),0),
fila,IFERROR(MATCH(TO_TEXT(D4556),ARRAYFOR"&amp;"MULA(TO_TEXT(Referencia!$A$2:$A6238)),0),0),
IF(OR(campo="""",campo=""-""),""NO APLICA"",
IF(col=0,""REVISAR EQUIVALENCIA"",
IF(fila=0,""SKU NO ENCONTRADO"",
LET(
valor,INDEX(Referencia!$A$2:$AZ6238,fila,col),
IF(TRIM(TO_TEXT(valor))=TRIM(TO_TEXT(I4556)),"&amp;"
""OK"",
""NO COINCIDE. Valor verdadero: ""&amp;IF(valor="""",""[VACÍO]"",TO_TEXT(valor))
)
))))
),""ERROR EN FÓRMULA""))"),"OK")</f>
        <v>OK</v>
      </c>
    </row>
    <row r="4557">
      <c r="A4557" s="83" t="s">
        <v>4899</v>
      </c>
      <c r="B4557" s="83" t="s">
        <v>4900</v>
      </c>
      <c r="C4557" s="81" t="s">
        <v>4621</v>
      </c>
      <c r="D4557" s="83" t="s">
        <v>4263</v>
      </c>
      <c r="E4557" s="81" t="s">
        <v>1036</v>
      </c>
      <c r="F4557" s="81">
        <v>195.0</v>
      </c>
      <c r="G4557" s="81" t="s">
        <v>1</v>
      </c>
      <c r="H4557" s="81" t="s">
        <v>224</v>
      </c>
      <c r="I4557" s="81" t="s">
        <v>49</v>
      </c>
      <c r="J4557" s="81" t="s">
        <v>224</v>
      </c>
      <c r="K4557" s="81" t="str">
        <f>IFERROR(__xludf.DUMMYFUNCTION("IF(OR(D4557="""",G4557=""""),"""",IFERROR(LET(
campo,XLOOKUP(TRIM(G4557),ARRAYFORMULA(TRIM('indice columnas'!$A$2:$A$100)),'indice columnas'!$B$2:$B$100,""""),
col,IFERROR(MATCH(campo,Referencia!$A$1:$AZ$1,0),0),
fila,IFERROR(MATCH(TO_TEXT(D4557),ARRAYFOR"&amp;"MULA(TO_TEXT(Referencia!$A$2:$A6238)),0),0),
IF(OR(campo="""",campo=""-""),""NO APLICA"",
IF(col=0,""REVISAR EQUIVALENCIA"",
IF(fila=0,""SKU NO ENCONTRADO"",
LET(
valor,INDEX(Referencia!$A$2:$AZ6238,fila,col),
IF(TRIM(TO_TEXT(valor))=TRIM(TO_TEXT(I4557)),"&amp;"
""OK"",
""NO COINCIDE. Valor verdadero: ""&amp;IF(valor="""",""[VACÍO]"",TO_TEXT(valor))
)
))))
),""ERROR EN FÓRMULA""))"),"OK")</f>
        <v>OK</v>
      </c>
    </row>
    <row r="4558">
      <c r="A4558" s="83" t="s">
        <v>4899</v>
      </c>
      <c r="B4558" s="83" t="s">
        <v>4900</v>
      </c>
      <c r="C4558" s="81" t="s">
        <v>4621</v>
      </c>
      <c r="D4558" s="83" t="s">
        <v>4264</v>
      </c>
      <c r="E4558" s="81" t="s">
        <v>1037</v>
      </c>
      <c r="F4558" s="81">
        <v>196.0</v>
      </c>
      <c r="G4558" s="81" t="s">
        <v>3</v>
      </c>
      <c r="H4558" s="81" t="s">
        <v>224</v>
      </c>
      <c r="I4558" s="81" t="s">
        <v>1016</v>
      </c>
      <c r="J4558" s="81" t="s">
        <v>224</v>
      </c>
      <c r="K4558" s="81" t="str">
        <f>IFERROR(__xludf.DUMMYFUNCTION("IF(OR(D4558="""",G4558=""""),"""",IFERROR(LET(
campo,XLOOKUP(TRIM(G4558),ARRAYFORMULA(TRIM('indice columnas'!$A$2:$A$100)),'indice columnas'!$B$2:$B$100,""""),
col,IFERROR(MATCH(campo,Referencia!$A$1:$AZ$1,0),0),
fila,IFERROR(MATCH(TO_TEXT(D4558),ARRAYFOR"&amp;"MULA(TO_TEXT(Referencia!$A$2:$A6238)),0),0),
IF(OR(campo="""",campo=""-""),""NO APLICA"",
IF(col=0,""REVISAR EQUIVALENCIA"",
IF(fila=0,""SKU NO ENCONTRADO"",
LET(
valor,INDEX(Referencia!$A$2:$AZ6238,fila,col),
IF(TRIM(TO_TEXT(valor))=TRIM(TO_TEXT(I4558)),"&amp;"
""OK"",
""NO COINCIDE. Valor verdadero: ""&amp;IF(valor="""",""[VACÍO]"",TO_TEXT(valor))
)
))))
),""ERROR EN FÓRMULA""))"),"OK")</f>
        <v>OK</v>
      </c>
    </row>
    <row r="4559">
      <c r="A4559" s="83" t="s">
        <v>4899</v>
      </c>
      <c r="B4559" s="83" t="s">
        <v>4900</v>
      </c>
      <c r="C4559" s="81" t="s">
        <v>4621</v>
      </c>
      <c r="D4559" s="83" t="s">
        <v>4264</v>
      </c>
      <c r="E4559" s="81" t="s">
        <v>1037</v>
      </c>
      <c r="F4559" s="81">
        <v>196.0</v>
      </c>
      <c r="G4559" s="81" t="s">
        <v>2</v>
      </c>
      <c r="H4559" s="81" t="s">
        <v>224</v>
      </c>
      <c r="I4559" s="81" t="s">
        <v>919</v>
      </c>
      <c r="J4559" s="81" t="s">
        <v>224</v>
      </c>
      <c r="K4559" s="81" t="str">
        <f>IFERROR(__xludf.DUMMYFUNCTION("IF(OR(D4559="""",G4559=""""),"""",IFERROR(LET(
campo,XLOOKUP(TRIM(G4559),ARRAYFORMULA(TRIM('indice columnas'!$A$2:$A$100)),'indice columnas'!$B$2:$B$100,""""),
col,IFERROR(MATCH(campo,Referencia!$A$1:$AZ$1,0),0),
fila,IFERROR(MATCH(TO_TEXT(D4559),ARRAYFOR"&amp;"MULA(TO_TEXT(Referencia!$A$2:$A6238)),0),0),
IF(OR(campo="""",campo=""-""),""NO APLICA"",
IF(col=0,""REVISAR EQUIVALENCIA"",
IF(fila=0,""SKU NO ENCONTRADO"",
LET(
valor,INDEX(Referencia!$A$2:$AZ6238,fila,col),
IF(TRIM(TO_TEXT(valor))=TRIM(TO_TEXT(I4559)),"&amp;"
""OK"",
""NO COINCIDE. Valor verdadero: ""&amp;IF(valor="""",""[VACÍO]"",TO_TEXT(valor))
)
))))
),""ERROR EN FÓRMULA""))"),"OK")</f>
        <v>OK</v>
      </c>
    </row>
    <row r="4560">
      <c r="A4560" s="83" t="s">
        <v>4899</v>
      </c>
      <c r="B4560" s="83" t="s">
        <v>4900</v>
      </c>
      <c r="C4560" s="81" t="s">
        <v>4621</v>
      </c>
      <c r="D4560" s="83" t="s">
        <v>4264</v>
      </c>
      <c r="E4560" s="81" t="s">
        <v>1037</v>
      </c>
      <c r="F4560" s="81">
        <v>196.0</v>
      </c>
      <c r="G4560" s="81" t="s">
        <v>1</v>
      </c>
      <c r="H4560" s="81" t="s">
        <v>224</v>
      </c>
      <c r="I4560" s="81" t="s">
        <v>49</v>
      </c>
      <c r="J4560" s="81" t="s">
        <v>224</v>
      </c>
      <c r="K4560" s="81" t="str">
        <f>IFERROR(__xludf.DUMMYFUNCTION("IF(OR(D4560="""",G4560=""""),"""",IFERROR(LET(
campo,XLOOKUP(TRIM(G4560),ARRAYFORMULA(TRIM('indice columnas'!$A$2:$A$100)),'indice columnas'!$B$2:$B$100,""""),
col,IFERROR(MATCH(campo,Referencia!$A$1:$AZ$1,0),0),
fila,IFERROR(MATCH(TO_TEXT(D4560),ARRAYFOR"&amp;"MULA(TO_TEXT(Referencia!$A$2:$A6238)),0),0),
IF(OR(campo="""",campo=""-""),""NO APLICA"",
IF(col=0,""REVISAR EQUIVALENCIA"",
IF(fila=0,""SKU NO ENCONTRADO"",
LET(
valor,INDEX(Referencia!$A$2:$AZ6238,fila,col),
IF(TRIM(TO_TEXT(valor))=TRIM(TO_TEXT(I4560)),"&amp;"
""OK"",
""NO COINCIDE. Valor verdadero: ""&amp;IF(valor="""",""[VACÍO]"",TO_TEXT(valor))
)
))))
),""ERROR EN FÓRMULA""))"),"OK")</f>
        <v>OK</v>
      </c>
    </row>
    <row r="4561">
      <c r="A4561" s="83" t="s">
        <v>4899</v>
      </c>
      <c r="B4561" s="83" t="s">
        <v>4900</v>
      </c>
      <c r="C4561" s="81" t="s">
        <v>4621</v>
      </c>
      <c r="D4561" s="83" t="s">
        <v>4266</v>
      </c>
      <c r="E4561" s="81" t="s">
        <v>1041</v>
      </c>
      <c r="F4561" s="81">
        <v>197.0</v>
      </c>
      <c r="G4561" s="81" t="s">
        <v>3</v>
      </c>
      <c r="H4561" s="81" t="s">
        <v>224</v>
      </c>
      <c r="I4561" s="81" t="s">
        <v>1016</v>
      </c>
      <c r="J4561" s="81" t="s">
        <v>224</v>
      </c>
      <c r="K4561" s="81" t="str">
        <f>IFERROR(__xludf.DUMMYFUNCTION("IF(OR(D4561="""",G4561=""""),"""",IFERROR(LET(
campo,XLOOKUP(TRIM(G4561),ARRAYFORMULA(TRIM('indice columnas'!$A$2:$A$100)),'indice columnas'!$B$2:$B$100,""""),
col,IFERROR(MATCH(campo,Referencia!$A$1:$AZ$1,0),0),
fila,IFERROR(MATCH(TO_TEXT(D4561),ARRAYFOR"&amp;"MULA(TO_TEXT(Referencia!$A$2:$A6238)),0),0),
IF(OR(campo="""",campo=""-""),""NO APLICA"",
IF(col=0,""REVISAR EQUIVALENCIA"",
IF(fila=0,""SKU NO ENCONTRADO"",
LET(
valor,INDEX(Referencia!$A$2:$AZ6238,fila,col),
IF(TRIM(TO_TEXT(valor))=TRIM(TO_TEXT(I4561)),"&amp;"
""OK"",
""NO COINCIDE. Valor verdadero: ""&amp;IF(valor="""",""[VACÍO]"",TO_TEXT(valor))
)
))))
),""ERROR EN FÓRMULA""))"),"OK")</f>
        <v>OK</v>
      </c>
    </row>
    <row r="4562">
      <c r="A4562" s="83" t="s">
        <v>4899</v>
      </c>
      <c r="B4562" s="83" t="s">
        <v>4900</v>
      </c>
      <c r="C4562" s="81" t="s">
        <v>4621</v>
      </c>
      <c r="D4562" s="83" t="s">
        <v>4266</v>
      </c>
      <c r="E4562" s="81" t="s">
        <v>1041</v>
      </c>
      <c r="F4562" s="81">
        <v>197.0</v>
      </c>
      <c r="G4562" s="81" t="s">
        <v>2</v>
      </c>
      <c r="H4562" s="81" t="s">
        <v>224</v>
      </c>
      <c r="I4562" s="81" t="s">
        <v>919</v>
      </c>
      <c r="J4562" s="81" t="s">
        <v>224</v>
      </c>
      <c r="K4562" s="81" t="str">
        <f>IFERROR(__xludf.DUMMYFUNCTION("IF(OR(D4562="""",G4562=""""),"""",IFERROR(LET(
campo,XLOOKUP(TRIM(G4562),ARRAYFORMULA(TRIM('indice columnas'!$A$2:$A$100)),'indice columnas'!$B$2:$B$100,""""),
col,IFERROR(MATCH(campo,Referencia!$A$1:$AZ$1,0),0),
fila,IFERROR(MATCH(TO_TEXT(D4562),ARRAYFOR"&amp;"MULA(TO_TEXT(Referencia!$A$2:$A6238)),0),0),
IF(OR(campo="""",campo=""-""),""NO APLICA"",
IF(col=0,""REVISAR EQUIVALENCIA"",
IF(fila=0,""SKU NO ENCONTRADO"",
LET(
valor,INDEX(Referencia!$A$2:$AZ6238,fila,col),
IF(TRIM(TO_TEXT(valor))=TRIM(TO_TEXT(I4562)),"&amp;"
""OK"",
""NO COINCIDE. Valor verdadero: ""&amp;IF(valor="""",""[VACÍO]"",TO_TEXT(valor))
)
))))
),""ERROR EN FÓRMULA""))"),"OK")</f>
        <v>OK</v>
      </c>
    </row>
    <row r="4563">
      <c r="A4563" s="83" t="s">
        <v>4899</v>
      </c>
      <c r="B4563" s="83" t="s">
        <v>4900</v>
      </c>
      <c r="C4563" s="81" t="s">
        <v>4621</v>
      </c>
      <c r="D4563" s="83" t="s">
        <v>4266</v>
      </c>
      <c r="E4563" s="81" t="s">
        <v>1041</v>
      </c>
      <c r="F4563" s="81">
        <v>197.0</v>
      </c>
      <c r="G4563" s="81" t="s">
        <v>1</v>
      </c>
      <c r="H4563" s="81" t="s">
        <v>224</v>
      </c>
      <c r="I4563" s="81" t="s">
        <v>49</v>
      </c>
      <c r="J4563" s="81" t="s">
        <v>224</v>
      </c>
      <c r="K4563" s="81" t="str">
        <f>IFERROR(__xludf.DUMMYFUNCTION("IF(OR(D4563="""",G4563=""""),"""",IFERROR(LET(
campo,XLOOKUP(TRIM(G4563),ARRAYFORMULA(TRIM('indice columnas'!$A$2:$A$100)),'indice columnas'!$B$2:$B$100,""""),
col,IFERROR(MATCH(campo,Referencia!$A$1:$AZ$1,0),0),
fila,IFERROR(MATCH(TO_TEXT(D4563),ARRAYFOR"&amp;"MULA(TO_TEXT(Referencia!$A$2:$A6238)),0),0),
IF(OR(campo="""",campo=""-""),""NO APLICA"",
IF(col=0,""REVISAR EQUIVALENCIA"",
IF(fila=0,""SKU NO ENCONTRADO"",
LET(
valor,INDEX(Referencia!$A$2:$AZ6238,fila,col),
IF(TRIM(TO_TEXT(valor))=TRIM(TO_TEXT(I4563)),"&amp;"
""OK"",
""NO COINCIDE. Valor verdadero: ""&amp;IF(valor="""",""[VACÍO]"",TO_TEXT(valor))
)
))))
),""ERROR EN FÓRMULA""))"),"OK")</f>
        <v>OK</v>
      </c>
    </row>
    <row r="4564">
      <c r="A4564" s="83" t="s">
        <v>4899</v>
      </c>
      <c r="B4564" s="83" t="s">
        <v>4900</v>
      </c>
      <c r="C4564" s="81" t="s">
        <v>4621</v>
      </c>
      <c r="D4564" s="83" t="s">
        <v>4268</v>
      </c>
      <c r="E4564" s="81" t="s">
        <v>1052</v>
      </c>
      <c r="F4564" s="81">
        <v>200.0</v>
      </c>
      <c r="G4564" s="81" t="s">
        <v>3</v>
      </c>
      <c r="H4564" s="81" t="s">
        <v>224</v>
      </c>
      <c r="I4564" s="81" t="s">
        <v>926</v>
      </c>
      <c r="J4564" s="81" t="s">
        <v>224</v>
      </c>
      <c r="K4564" s="81" t="str">
        <f>IFERROR(__xludf.DUMMYFUNCTION("IF(OR(D4564="""",G4564=""""),"""",IFERROR(LET(
campo,XLOOKUP(TRIM(G4564),ARRAYFORMULA(TRIM('indice columnas'!$A$2:$A$100)),'indice columnas'!$B$2:$B$100,""""),
col,IFERROR(MATCH(campo,Referencia!$A$1:$AZ$1,0),0),
fila,IFERROR(MATCH(TO_TEXT(D4564),ARRAYFOR"&amp;"MULA(TO_TEXT(Referencia!$A$2:$A6238)),0),0),
IF(OR(campo="""",campo=""-""),""NO APLICA"",
IF(col=0,""REVISAR EQUIVALENCIA"",
IF(fila=0,""SKU NO ENCONTRADO"",
LET(
valor,INDEX(Referencia!$A$2:$AZ6238,fila,col),
IF(TRIM(TO_TEXT(valor))=TRIM(TO_TEXT(I4564)),"&amp;"
""OK"",
""NO COINCIDE. Valor verdadero: ""&amp;IF(valor="""",""[VACÍO]"",TO_TEXT(valor))
)
))))
),""ERROR EN FÓRMULA""))"),"OK")</f>
        <v>OK</v>
      </c>
    </row>
    <row r="4565">
      <c r="A4565" s="83" t="s">
        <v>4899</v>
      </c>
      <c r="B4565" s="83" t="s">
        <v>4900</v>
      </c>
      <c r="C4565" s="81" t="s">
        <v>4621</v>
      </c>
      <c r="D4565" s="83" t="s">
        <v>4268</v>
      </c>
      <c r="E4565" s="81" t="s">
        <v>1052</v>
      </c>
      <c r="F4565" s="81">
        <v>200.0</v>
      </c>
      <c r="G4565" s="81" t="s">
        <v>2</v>
      </c>
      <c r="H4565" s="81" t="s">
        <v>224</v>
      </c>
      <c r="I4565" s="81" t="s">
        <v>919</v>
      </c>
      <c r="J4565" s="81" t="s">
        <v>224</v>
      </c>
      <c r="K4565" s="81" t="str">
        <f>IFERROR(__xludf.DUMMYFUNCTION("IF(OR(D4565="""",G4565=""""),"""",IFERROR(LET(
campo,XLOOKUP(TRIM(G4565),ARRAYFORMULA(TRIM('indice columnas'!$A$2:$A$100)),'indice columnas'!$B$2:$B$100,""""),
col,IFERROR(MATCH(campo,Referencia!$A$1:$AZ$1,0),0),
fila,IFERROR(MATCH(TO_TEXT(D4565),ARRAYFOR"&amp;"MULA(TO_TEXT(Referencia!$A$2:$A6238)),0),0),
IF(OR(campo="""",campo=""-""),""NO APLICA"",
IF(col=0,""REVISAR EQUIVALENCIA"",
IF(fila=0,""SKU NO ENCONTRADO"",
LET(
valor,INDEX(Referencia!$A$2:$AZ6238,fila,col),
IF(TRIM(TO_TEXT(valor))=TRIM(TO_TEXT(I4565)),"&amp;"
""OK"",
""NO COINCIDE. Valor verdadero: ""&amp;IF(valor="""",""[VACÍO]"",TO_TEXT(valor))
)
))))
),""ERROR EN FÓRMULA""))"),"OK")</f>
        <v>OK</v>
      </c>
    </row>
    <row r="4566">
      <c r="A4566" s="83" t="s">
        <v>4899</v>
      </c>
      <c r="B4566" s="83" t="s">
        <v>4900</v>
      </c>
      <c r="C4566" s="81" t="s">
        <v>4621</v>
      </c>
      <c r="D4566" s="83" t="s">
        <v>4268</v>
      </c>
      <c r="E4566" s="81" t="s">
        <v>1052</v>
      </c>
      <c r="F4566" s="81">
        <v>200.0</v>
      </c>
      <c r="G4566" s="81" t="s">
        <v>1</v>
      </c>
      <c r="H4566" s="81" t="s">
        <v>224</v>
      </c>
      <c r="I4566" s="81" t="s">
        <v>49</v>
      </c>
      <c r="J4566" s="81" t="s">
        <v>224</v>
      </c>
      <c r="K4566" s="81" t="str">
        <f>IFERROR(__xludf.DUMMYFUNCTION("IF(OR(D4566="""",G4566=""""),"""",IFERROR(LET(
campo,XLOOKUP(TRIM(G4566),ARRAYFORMULA(TRIM('indice columnas'!$A$2:$A$100)),'indice columnas'!$B$2:$B$100,""""),
col,IFERROR(MATCH(campo,Referencia!$A$1:$AZ$1,0),0),
fila,IFERROR(MATCH(TO_TEXT(D4566),ARRAYFOR"&amp;"MULA(TO_TEXT(Referencia!$A$2:$A6238)),0),0),
IF(OR(campo="""",campo=""-""),""NO APLICA"",
IF(col=0,""REVISAR EQUIVALENCIA"",
IF(fila=0,""SKU NO ENCONTRADO"",
LET(
valor,INDEX(Referencia!$A$2:$AZ6238,fila,col),
IF(TRIM(TO_TEXT(valor))=TRIM(TO_TEXT(I4566)),"&amp;"
""OK"",
""NO COINCIDE. Valor verdadero: ""&amp;IF(valor="""",""[VACÍO]"",TO_TEXT(valor))
)
))))
),""ERROR EN FÓRMULA""))"),"OK")</f>
        <v>OK</v>
      </c>
    </row>
    <row r="4567">
      <c r="A4567" s="83" t="s">
        <v>4899</v>
      </c>
      <c r="B4567" s="83" t="s">
        <v>4900</v>
      </c>
      <c r="C4567" s="81" t="s">
        <v>4621</v>
      </c>
      <c r="D4567" s="83" t="s">
        <v>4270</v>
      </c>
      <c r="E4567" s="81" t="s">
        <v>1062</v>
      </c>
      <c r="F4567" s="81">
        <v>203.0</v>
      </c>
      <c r="G4567" s="81" t="s">
        <v>3</v>
      </c>
      <c r="H4567" s="81" t="s">
        <v>224</v>
      </c>
      <c r="I4567" s="81" t="s">
        <v>920</v>
      </c>
      <c r="J4567" s="81" t="s">
        <v>224</v>
      </c>
      <c r="K4567" s="81" t="str">
        <f>IFERROR(__xludf.DUMMYFUNCTION("IF(OR(D4567="""",G4567=""""),"""",IFERROR(LET(
campo,XLOOKUP(TRIM(G4567),ARRAYFORMULA(TRIM('indice columnas'!$A$2:$A$100)),'indice columnas'!$B$2:$B$100,""""),
col,IFERROR(MATCH(campo,Referencia!$A$1:$AZ$1,0),0),
fila,IFERROR(MATCH(TO_TEXT(D4567),ARRAYFOR"&amp;"MULA(TO_TEXT(Referencia!$A$2:$A6238)),0),0),
IF(OR(campo="""",campo=""-""),""NO APLICA"",
IF(col=0,""REVISAR EQUIVALENCIA"",
IF(fila=0,""SKU NO ENCONTRADO"",
LET(
valor,INDEX(Referencia!$A$2:$AZ6238,fila,col),
IF(TRIM(TO_TEXT(valor))=TRIM(TO_TEXT(I4567)),"&amp;"
""OK"",
""NO COINCIDE. Valor verdadero: ""&amp;IF(valor="""",""[VACÍO]"",TO_TEXT(valor))
)
))))
),""ERROR EN FÓRMULA""))"),"OK")</f>
        <v>OK</v>
      </c>
    </row>
    <row r="4568">
      <c r="A4568" s="83" t="s">
        <v>4899</v>
      </c>
      <c r="B4568" s="83" t="s">
        <v>4900</v>
      </c>
      <c r="C4568" s="81" t="s">
        <v>4621</v>
      </c>
      <c r="D4568" s="83" t="s">
        <v>4270</v>
      </c>
      <c r="E4568" s="81" t="s">
        <v>1062</v>
      </c>
      <c r="F4568" s="81">
        <v>203.0</v>
      </c>
      <c r="G4568" s="81" t="s">
        <v>2</v>
      </c>
      <c r="H4568" s="81" t="s">
        <v>224</v>
      </c>
      <c r="I4568" s="81" t="s">
        <v>919</v>
      </c>
      <c r="J4568" s="81" t="s">
        <v>224</v>
      </c>
      <c r="K4568" s="81" t="str">
        <f>IFERROR(__xludf.DUMMYFUNCTION("IF(OR(D4568="""",G4568=""""),"""",IFERROR(LET(
campo,XLOOKUP(TRIM(G4568),ARRAYFORMULA(TRIM('indice columnas'!$A$2:$A$100)),'indice columnas'!$B$2:$B$100,""""),
col,IFERROR(MATCH(campo,Referencia!$A$1:$AZ$1,0),0),
fila,IFERROR(MATCH(TO_TEXT(D4568),ARRAYFOR"&amp;"MULA(TO_TEXT(Referencia!$A$2:$A6238)),0),0),
IF(OR(campo="""",campo=""-""),""NO APLICA"",
IF(col=0,""REVISAR EQUIVALENCIA"",
IF(fila=0,""SKU NO ENCONTRADO"",
LET(
valor,INDEX(Referencia!$A$2:$AZ6238,fila,col),
IF(TRIM(TO_TEXT(valor))=TRIM(TO_TEXT(I4568)),"&amp;"
""OK"",
""NO COINCIDE. Valor verdadero: ""&amp;IF(valor="""",""[VACÍO]"",TO_TEXT(valor))
)
))))
),""ERROR EN FÓRMULA""))"),"OK")</f>
        <v>OK</v>
      </c>
    </row>
    <row r="4569">
      <c r="A4569" s="83" t="s">
        <v>4899</v>
      </c>
      <c r="B4569" s="83" t="s">
        <v>4900</v>
      </c>
      <c r="C4569" s="81" t="s">
        <v>4621</v>
      </c>
      <c r="D4569" s="83" t="s">
        <v>4270</v>
      </c>
      <c r="E4569" s="81" t="s">
        <v>1062</v>
      </c>
      <c r="F4569" s="81">
        <v>203.0</v>
      </c>
      <c r="G4569" s="81" t="s">
        <v>1</v>
      </c>
      <c r="H4569" s="81" t="s">
        <v>224</v>
      </c>
      <c r="I4569" s="81" t="s">
        <v>49</v>
      </c>
      <c r="J4569" s="81" t="s">
        <v>224</v>
      </c>
      <c r="K4569" s="81" t="str">
        <f>IFERROR(__xludf.DUMMYFUNCTION("IF(OR(D4569="""",G4569=""""),"""",IFERROR(LET(
campo,XLOOKUP(TRIM(G4569),ARRAYFORMULA(TRIM('indice columnas'!$A$2:$A$100)),'indice columnas'!$B$2:$B$100,""""),
col,IFERROR(MATCH(campo,Referencia!$A$1:$AZ$1,0),0),
fila,IFERROR(MATCH(TO_TEXT(D4569),ARRAYFOR"&amp;"MULA(TO_TEXT(Referencia!$A$2:$A6238)),0),0),
IF(OR(campo="""",campo=""-""),""NO APLICA"",
IF(col=0,""REVISAR EQUIVALENCIA"",
IF(fila=0,""SKU NO ENCONTRADO"",
LET(
valor,INDEX(Referencia!$A$2:$AZ6238,fila,col),
IF(TRIM(TO_TEXT(valor))=TRIM(TO_TEXT(I4569)),"&amp;"
""OK"",
""NO COINCIDE. Valor verdadero: ""&amp;IF(valor="""",""[VACÍO]"",TO_TEXT(valor))
)
))))
),""ERROR EN FÓRMULA""))"),"OK")</f>
        <v>OK</v>
      </c>
    </row>
    <row r="4570">
      <c r="A4570" s="83" t="s">
        <v>4899</v>
      </c>
      <c r="B4570" s="83" t="s">
        <v>4900</v>
      </c>
      <c r="C4570" s="81" t="s">
        <v>4621</v>
      </c>
      <c r="D4570" s="83" t="s">
        <v>4272</v>
      </c>
      <c r="E4570" s="81" t="s">
        <v>1070</v>
      </c>
      <c r="F4570" s="81">
        <v>206.0</v>
      </c>
      <c r="G4570" s="81" t="s">
        <v>3</v>
      </c>
      <c r="H4570" s="81" t="s">
        <v>224</v>
      </c>
      <c r="I4570" s="81" t="s">
        <v>920</v>
      </c>
      <c r="J4570" s="81" t="s">
        <v>224</v>
      </c>
      <c r="K4570" s="81" t="str">
        <f>IFERROR(__xludf.DUMMYFUNCTION("IF(OR(D4570="""",G4570=""""),"""",IFERROR(LET(
campo,XLOOKUP(TRIM(G4570),ARRAYFORMULA(TRIM('indice columnas'!$A$2:$A$100)),'indice columnas'!$B$2:$B$100,""""),
col,IFERROR(MATCH(campo,Referencia!$A$1:$AZ$1,0),0),
fila,IFERROR(MATCH(TO_TEXT(D4570),ARRAYFOR"&amp;"MULA(TO_TEXT(Referencia!$A$2:$A6238)),0),0),
IF(OR(campo="""",campo=""-""),""NO APLICA"",
IF(col=0,""REVISAR EQUIVALENCIA"",
IF(fila=0,""SKU NO ENCONTRADO"",
LET(
valor,INDEX(Referencia!$A$2:$AZ6238,fila,col),
IF(TRIM(TO_TEXT(valor))=TRIM(TO_TEXT(I4570)),"&amp;"
""OK"",
""NO COINCIDE. Valor verdadero: ""&amp;IF(valor="""",""[VACÍO]"",TO_TEXT(valor))
)
))))
),""ERROR EN FÓRMULA""))"),"OK")</f>
        <v>OK</v>
      </c>
    </row>
    <row r="4571">
      <c r="A4571" s="83" t="s">
        <v>4899</v>
      </c>
      <c r="B4571" s="83" t="s">
        <v>4900</v>
      </c>
      <c r="C4571" s="81" t="s">
        <v>4621</v>
      </c>
      <c r="D4571" s="83" t="s">
        <v>4272</v>
      </c>
      <c r="E4571" s="81" t="s">
        <v>1070</v>
      </c>
      <c r="F4571" s="81">
        <v>206.0</v>
      </c>
      <c r="G4571" s="81" t="s">
        <v>2</v>
      </c>
      <c r="H4571" s="81" t="s">
        <v>224</v>
      </c>
      <c r="I4571" s="81" t="s">
        <v>919</v>
      </c>
      <c r="J4571" s="81" t="s">
        <v>224</v>
      </c>
      <c r="K4571" s="81" t="str">
        <f>IFERROR(__xludf.DUMMYFUNCTION("IF(OR(D4571="""",G4571=""""),"""",IFERROR(LET(
campo,XLOOKUP(TRIM(G4571),ARRAYFORMULA(TRIM('indice columnas'!$A$2:$A$100)),'indice columnas'!$B$2:$B$100,""""),
col,IFERROR(MATCH(campo,Referencia!$A$1:$AZ$1,0),0),
fila,IFERROR(MATCH(TO_TEXT(D4571),ARRAYFOR"&amp;"MULA(TO_TEXT(Referencia!$A$2:$A6238)),0),0),
IF(OR(campo="""",campo=""-""),""NO APLICA"",
IF(col=0,""REVISAR EQUIVALENCIA"",
IF(fila=0,""SKU NO ENCONTRADO"",
LET(
valor,INDEX(Referencia!$A$2:$AZ6238,fila,col),
IF(TRIM(TO_TEXT(valor))=TRIM(TO_TEXT(I4571)),"&amp;"
""OK"",
""NO COINCIDE. Valor verdadero: ""&amp;IF(valor="""",""[VACÍO]"",TO_TEXT(valor))
)
))))
),""ERROR EN FÓRMULA""))"),"OK")</f>
        <v>OK</v>
      </c>
    </row>
    <row r="4572">
      <c r="A4572" s="83" t="s">
        <v>4899</v>
      </c>
      <c r="B4572" s="83" t="s">
        <v>4900</v>
      </c>
      <c r="C4572" s="81" t="s">
        <v>4621</v>
      </c>
      <c r="D4572" s="83" t="s">
        <v>4272</v>
      </c>
      <c r="E4572" s="81" t="s">
        <v>1070</v>
      </c>
      <c r="F4572" s="81">
        <v>206.0</v>
      </c>
      <c r="G4572" s="81" t="s">
        <v>1</v>
      </c>
      <c r="H4572" s="81" t="s">
        <v>224</v>
      </c>
      <c r="I4572" s="81" t="s">
        <v>49</v>
      </c>
      <c r="J4572" s="81" t="s">
        <v>224</v>
      </c>
      <c r="K4572" s="81" t="str">
        <f>IFERROR(__xludf.DUMMYFUNCTION("IF(OR(D4572="""",G4572=""""),"""",IFERROR(LET(
campo,XLOOKUP(TRIM(G4572),ARRAYFORMULA(TRIM('indice columnas'!$A$2:$A$100)),'indice columnas'!$B$2:$B$100,""""),
col,IFERROR(MATCH(campo,Referencia!$A$1:$AZ$1,0),0),
fila,IFERROR(MATCH(TO_TEXT(D4572),ARRAYFOR"&amp;"MULA(TO_TEXT(Referencia!$A$2:$A6238)),0),0),
IF(OR(campo="""",campo=""-""),""NO APLICA"",
IF(col=0,""REVISAR EQUIVALENCIA"",
IF(fila=0,""SKU NO ENCONTRADO"",
LET(
valor,INDEX(Referencia!$A$2:$AZ6238,fila,col),
IF(TRIM(TO_TEXT(valor))=TRIM(TO_TEXT(I4572)),"&amp;"
""OK"",
""NO COINCIDE. Valor verdadero: ""&amp;IF(valor="""",""[VACÍO]"",TO_TEXT(valor))
)
))))
),""ERROR EN FÓRMULA""))"),"OK")</f>
        <v>OK</v>
      </c>
    </row>
    <row r="4573">
      <c r="A4573" s="83" t="s">
        <v>4899</v>
      </c>
      <c r="B4573" s="83" t="s">
        <v>4900</v>
      </c>
      <c r="C4573" s="81" t="s">
        <v>4621</v>
      </c>
      <c r="D4573" s="83" t="s">
        <v>4274</v>
      </c>
      <c r="E4573" s="81" t="s">
        <v>1080</v>
      </c>
      <c r="F4573" s="81">
        <v>209.0</v>
      </c>
      <c r="G4573" s="81" t="s">
        <v>3</v>
      </c>
      <c r="H4573" s="81" t="s">
        <v>224</v>
      </c>
      <c r="I4573" s="81" t="s">
        <v>926</v>
      </c>
      <c r="J4573" s="81" t="s">
        <v>224</v>
      </c>
      <c r="K4573" s="81" t="str">
        <f>IFERROR(__xludf.DUMMYFUNCTION("IF(OR(D4573="""",G4573=""""),"""",IFERROR(LET(
campo,XLOOKUP(TRIM(G4573),ARRAYFORMULA(TRIM('indice columnas'!$A$2:$A$100)),'indice columnas'!$B$2:$B$100,""""),
col,IFERROR(MATCH(campo,Referencia!$A$1:$AZ$1,0),0),
fila,IFERROR(MATCH(TO_TEXT(D4573),ARRAYFOR"&amp;"MULA(TO_TEXT(Referencia!$A$2:$A6238)),0),0),
IF(OR(campo="""",campo=""-""),""NO APLICA"",
IF(col=0,""REVISAR EQUIVALENCIA"",
IF(fila=0,""SKU NO ENCONTRADO"",
LET(
valor,INDEX(Referencia!$A$2:$AZ6238,fila,col),
IF(TRIM(TO_TEXT(valor))=TRIM(TO_TEXT(I4573)),"&amp;"
""OK"",
""NO COINCIDE. Valor verdadero: ""&amp;IF(valor="""",""[VACÍO]"",TO_TEXT(valor))
)
))))
),""ERROR EN FÓRMULA""))"),"OK")</f>
        <v>OK</v>
      </c>
    </row>
    <row r="4574">
      <c r="A4574" s="83" t="s">
        <v>4899</v>
      </c>
      <c r="B4574" s="83" t="s">
        <v>4900</v>
      </c>
      <c r="C4574" s="81" t="s">
        <v>4621</v>
      </c>
      <c r="D4574" s="83" t="s">
        <v>4274</v>
      </c>
      <c r="E4574" s="81" t="s">
        <v>1080</v>
      </c>
      <c r="F4574" s="81">
        <v>209.0</v>
      </c>
      <c r="G4574" s="81" t="s">
        <v>2</v>
      </c>
      <c r="H4574" s="81" t="s">
        <v>224</v>
      </c>
      <c r="I4574" s="81" t="s">
        <v>919</v>
      </c>
      <c r="J4574" s="81" t="s">
        <v>224</v>
      </c>
      <c r="K4574" s="81" t="str">
        <f>IFERROR(__xludf.DUMMYFUNCTION("IF(OR(D4574="""",G4574=""""),"""",IFERROR(LET(
campo,XLOOKUP(TRIM(G4574),ARRAYFORMULA(TRIM('indice columnas'!$A$2:$A$100)),'indice columnas'!$B$2:$B$100,""""),
col,IFERROR(MATCH(campo,Referencia!$A$1:$AZ$1,0),0),
fila,IFERROR(MATCH(TO_TEXT(D4574),ARRAYFOR"&amp;"MULA(TO_TEXT(Referencia!$A$2:$A6238)),0),0),
IF(OR(campo="""",campo=""-""),""NO APLICA"",
IF(col=0,""REVISAR EQUIVALENCIA"",
IF(fila=0,""SKU NO ENCONTRADO"",
LET(
valor,INDEX(Referencia!$A$2:$AZ6238,fila,col),
IF(TRIM(TO_TEXT(valor))=TRIM(TO_TEXT(I4574)),"&amp;"
""OK"",
""NO COINCIDE. Valor verdadero: ""&amp;IF(valor="""",""[VACÍO]"",TO_TEXT(valor))
)
))))
),""ERROR EN FÓRMULA""))"),"OK")</f>
        <v>OK</v>
      </c>
    </row>
    <row r="4575">
      <c r="A4575" s="83" t="s">
        <v>4899</v>
      </c>
      <c r="B4575" s="83" t="s">
        <v>4900</v>
      </c>
      <c r="C4575" s="81" t="s">
        <v>4621</v>
      </c>
      <c r="D4575" s="83" t="s">
        <v>4274</v>
      </c>
      <c r="E4575" s="81" t="s">
        <v>1080</v>
      </c>
      <c r="F4575" s="81">
        <v>209.0</v>
      </c>
      <c r="G4575" s="81" t="s">
        <v>1</v>
      </c>
      <c r="H4575" s="81" t="s">
        <v>224</v>
      </c>
      <c r="I4575" s="81" t="s">
        <v>49</v>
      </c>
      <c r="J4575" s="81" t="s">
        <v>224</v>
      </c>
      <c r="K4575" s="81" t="str">
        <f>IFERROR(__xludf.DUMMYFUNCTION("IF(OR(D4575="""",G4575=""""),"""",IFERROR(LET(
campo,XLOOKUP(TRIM(G4575),ARRAYFORMULA(TRIM('indice columnas'!$A$2:$A$100)),'indice columnas'!$B$2:$B$100,""""),
col,IFERROR(MATCH(campo,Referencia!$A$1:$AZ$1,0),0),
fila,IFERROR(MATCH(TO_TEXT(D4575),ARRAYFOR"&amp;"MULA(TO_TEXT(Referencia!$A$2:$A6238)),0),0),
IF(OR(campo="""",campo=""-""),""NO APLICA"",
IF(col=0,""REVISAR EQUIVALENCIA"",
IF(fila=0,""SKU NO ENCONTRADO"",
LET(
valor,INDEX(Referencia!$A$2:$AZ6238,fila,col),
IF(TRIM(TO_TEXT(valor))=TRIM(TO_TEXT(I4575)),"&amp;"
""OK"",
""NO COINCIDE. Valor verdadero: ""&amp;IF(valor="""",""[VACÍO]"",TO_TEXT(valor))
)
))))
),""ERROR EN FÓRMULA""))"),"OK")</f>
        <v>OK</v>
      </c>
    </row>
    <row r="4576">
      <c r="A4576" s="83" t="s">
        <v>4899</v>
      </c>
      <c r="B4576" s="83" t="s">
        <v>4900</v>
      </c>
      <c r="C4576" s="81" t="s">
        <v>4621</v>
      </c>
      <c r="D4576" s="83" t="s">
        <v>4276</v>
      </c>
      <c r="E4576" s="81" t="s">
        <v>1090</v>
      </c>
      <c r="F4576" s="81">
        <v>212.0</v>
      </c>
      <c r="G4576" s="81" t="s">
        <v>3</v>
      </c>
      <c r="H4576" s="81" t="s">
        <v>224</v>
      </c>
      <c r="I4576" s="81" t="s">
        <v>926</v>
      </c>
      <c r="J4576" s="81" t="s">
        <v>224</v>
      </c>
      <c r="K4576" s="81" t="str">
        <f>IFERROR(__xludf.DUMMYFUNCTION("IF(OR(D4576="""",G4576=""""),"""",IFERROR(LET(
campo,XLOOKUP(TRIM(G4576),ARRAYFORMULA(TRIM('indice columnas'!$A$2:$A$100)),'indice columnas'!$B$2:$B$100,""""),
col,IFERROR(MATCH(campo,Referencia!$A$1:$AZ$1,0),0),
fila,IFERROR(MATCH(TO_TEXT(D4576),ARRAYFOR"&amp;"MULA(TO_TEXT(Referencia!$A$2:$A6238)),0),0),
IF(OR(campo="""",campo=""-""),""NO APLICA"",
IF(col=0,""REVISAR EQUIVALENCIA"",
IF(fila=0,""SKU NO ENCONTRADO"",
LET(
valor,INDEX(Referencia!$A$2:$AZ6238,fila,col),
IF(TRIM(TO_TEXT(valor))=TRIM(TO_TEXT(I4576)),"&amp;"
""OK"",
""NO COINCIDE. Valor verdadero: ""&amp;IF(valor="""",""[VACÍO]"",TO_TEXT(valor))
)
))))
),""ERROR EN FÓRMULA""))"),"OK")</f>
        <v>OK</v>
      </c>
    </row>
    <row r="4577">
      <c r="A4577" s="83" t="s">
        <v>4899</v>
      </c>
      <c r="B4577" s="83" t="s">
        <v>4900</v>
      </c>
      <c r="C4577" s="81" t="s">
        <v>4621</v>
      </c>
      <c r="D4577" s="83" t="s">
        <v>4276</v>
      </c>
      <c r="E4577" s="81" t="s">
        <v>1090</v>
      </c>
      <c r="F4577" s="81">
        <v>212.0</v>
      </c>
      <c r="G4577" s="81" t="s">
        <v>2</v>
      </c>
      <c r="H4577" s="81" t="s">
        <v>224</v>
      </c>
      <c r="I4577" s="81" t="s">
        <v>919</v>
      </c>
      <c r="J4577" s="81" t="s">
        <v>224</v>
      </c>
      <c r="K4577" s="81" t="str">
        <f>IFERROR(__xludf.DUMMYFUNCTION("IF(OR(D4577="""",G4577=""""),"""",IFERROR(LET(
campo,XLOOKUP(TRIM(G4577),ARRAYFORMULA(TRIM('indice columnas'!$A$2:$A$100)),'indice columnas'!$B$2:$B$100,""""),
col,IFERROR(MATCH(campo,Referencia!$A$1:$AZ$1,0),0),
fila,IFERROR(MATCH(TO_TEXT(D4577),ARRAYFOR"&amp;"MULA(TO_TEXT(Referencia!$A$2:$A6238)),0),0),
IF(OR(campo="""",campo=""-""),""NO APLICA"",
IF(col=0,""REVISAR EQUIVALENCIA"",
IF(fila=0,""SKU NO ENCONTRADO"",
LET(
valor,INDEX(Referencia!$A$2:$AZ6238,fila,col),
IF(TRIM(TO_TEXT(valor))=TRIM(TO_TEXT(I4577)),"&amp;"
""OK"",
""NO COINCIDE. Valor verdadero: ""&amp;IF(valor="""",""[VACÍO]"",TO_TEXT(valor))
)
))))
),""ERROR EN FÓRMULA""))"),"OK")</f>
        <v>OK</v>
      </c>
    </row>
    <row r="4578">
      <c r="A4578" s="83" t="s">
        <v>4899</v>
      </c>
      <c r="B4578" s="83" t="s">
        <v>4900</v>
      </c>
      <c r="C4578" s="81" t="s">
        <v>4621</v>
      </c>
      <c r="D4578" s="83" t="s">
        <v>4276</v>
      </c>
      <c r="E4578" s="81" t="s">
        <v>1090</v>
      </c>
      <c r="F4578" s="81">
        <v>212.0</v>
      </c>
      <c r="G4578" s="81" t="s">
        <v>1</v>
      </c>
      <c r="H4578" s="81" t="s">
        <v>224</v>
      </c>
      <c r="I4578" s="81" t="s">
        <v>49</v>
      </c>
      <c r="J4578" s="81" t="s">
        <v>224</v>
      </c>
      <c r="K4578" s="81" t="str">
        <f>IFERROR(__xludf.DUMMYFUNCTION("IF(OR(D4578="""",G4578=""""),"""",IFERROR(LET(
campo,XLOOKUP(TRIM(G4578),ARRAYFORMULA(TRIM('indice columnas'!$A$2:$A$100)),'indice columnas'!$B$2:$B$100,""""),
col,IFERROR(MATCH(campo,Referencia!$A$1:$AZ$1,0),0),
fila,IFERROR(MATCH(TO_TEXT(D4578),ARRAYFOR"&amp;"MULA(TO_TEXT(Referencia!$A$2:$A6238)),0),0),
IF(OR(campo="""",campo=""-""),""NO APLICA"",
IF(col=0,""REVISAR EQUIVALENCIA"",
IF(fila=0,""SKU NO ENCONTRADO"",
LET(
valor,INDEX(Referencia!$A$2:$AZ6238,fila,col),
IF(TRIM(TO_TEXT(valor))=TRIM(TO_TEXT(I4578)),"&amp;"
""OK"",
""NO COINCIDE. Valor verdadero: ""&amp;IF(valor="""",""[VACÍO]"",TO_TEXT(valor))
)
))))
),""ERROR EN FÓRMULA""))"),"OK")</f>
        <v>OK</v>
      </c>
    </row>
    <row r="4579">
      <c r="A4579" s="83" t="s">
        <v>4899</v>
      </c>
      <c r="B4579" s="83" t="s">
        <v>4900</v>
      </c>
      <c r="C4579" s="81" t="s">
        <v>4621</v>
      </c>
      <c r="D4579" s="83" t="s">
        <v>4278</v>
      </c>
      <c r="E4579" s="81" t="s">
        <v>1100</v>
      </c>
      <c r="F4579" s="81">
        <v>215.0</v>
      </c>
      <c r="G4579" s="81" t="s">
        <v>3</v>
      </c>
      <c r="H4579" s="81" t="s">
        <v>224</v>
      </c>
      <c r="I4579" s="81" t="s">
        <v>926</v>
      </c>
      <c r="J4579" s="81" t="s">
        <v>224</v>
      </c>
      <c r="K4579" s="81" t="str">
        <f>IFERROR(__xludf.DUMMYFUNCTION("IF(OR(D4579="""",G4579=""""),"""",IFERROR(LET(
campo,XLOOKUP(TRIM(G4579),ARRAYFORMULA(TRIM('indice columnas'!$A$2:$A$100)),'indice columnas'!$B$2:$B$100,""""),
col,IFERROR(MATCH(campo,Referencia!$A$1:$AZ$1,0),0),
fila,IFERROR(MATCH(TO_TEXT(D4579),ARRAYFOR"&amp;"MULA(TO_TEXT(Referencia!$A$2:$A6238)),0),0),
IF(OR(campo="""",campo=""-""),""NO APLICA"",
IF(col=0,""REVISAR EQUIVALENCIA"",
IF(fila=0,""SKU NO ENCONTRADO"",
LET(
valor,INDEX(Referencia!$A$2:$AZ6238,fila,col),
IF(TRIM(TO_TEXT(valor))=TRIM(TO_TEXT(I4579)),"&amp;"
""OK"",
""NO COINCIDE. Valor verdadero: ""&amp;IF(valor="""",""[VACÍO]"",TO_TEXT(valor))
)
))))
),""ERROR EN FÓRMULA""))"),"OK")</f>
        <v>OK</v>
      </c>
    </row>
    <row r="4580">
      <c r="A4580" s="83" t="s">
        <v>4899</v>
      </c>
      <c r="B4580" s="83" t="s">
        <v>4900</v>
      </c>
      <c r="C4580" s="81" t="s">
        <v>4621</v>
      </c>
      <c r="D4580" s="83" t="s">
        <v>4278</v>
      </c>
      <c r="E4580" s="81" t="s">
        <v>1100</v>
      </c>
      <c r="F4580" s="81">
        <v>215.0</v>
      </c>
      <c r="G4580" s="81" t="s">
        <v>2</v>
      </c>
      <c r="H4580" s="81" t="s">
        <v>224</v>
      </c>
      <c r="I4580" s="81" t="s">
        <v>919</v>
      </c>
      <c r="J4580" s="81" t="s">
        <v>224</v>
      </c>
      <c r="K4580" s="81" t="str">
        <f>IFERROR(__xludf.DUMMYFUNCTION("IF(OR(D4580="""",G4580=""""),"""",IFERROR(LET(
campo,XLOOKUP(TRIM(G4580),ARRAYFORMULA(TRIM('indice columnas'!$A$2:$A$100)),'indice columnas'!$B$2:$B$100,""""),
col,IFERROR(MATCH(campo,Referencia!$A$1:$AZ$1,0),0),
fila,IFERROR(MATCH(TO_TEXT(D4580),ARRAYFOR"&amp;"MULA(TO_TEXT(Referencia!$A$2:$A6238)),0),0),
IF(OR(campo="""",campo=""-""),""NO APLICA"",
IF(col=0,""REVISAR EQUIVALENCIA"",
IF(fila=0,""SKU NO ENCONTRADO"",
LET(
valor,INDEX(Referencia!$A$2:$AZ6238,fila,col),
IF(TRIM(TO_TEXT(valor))=TRIM(TO_TEXT(I4580)),"&amp;"
""OK"",
""NO COINCIDE. Valor verdadero: ""&amp;IF(valor="""",""[VACÍO]"",TO_TEXT(valor))
)
))))
),""ERROR EN FÓRMULA""))"),"OK")</f>
        <v>OK</v>
      </c>
    </row>
    <row r="4581">
      <c r="A4581" s="83" t="s">
        <v>4899</v>
      </c>
      <c r="B4581" s="83" t="s">
        <v>4900</v>
      </c>
      <c r="C4581" s="81" t="s">
        <v>4621</v>
      </c>
      <c r="D4581" s="83" t="s">
        <v>4278</v>
      </c>
      <c r="E4581" s="81" t="s">
        <v>1100</v>
      </c>
      <c r="F4581" s="81">
        <v>215.0</v>
      </c>
      <c r="G4581" s="81" t="s">
        <v>1</v>
      </c>
      <c r="H4581" s="81" t="s">
        <v>224</v>
      </c>
      <c r="I4581" s="81" t="s">
        <v>49</v>
      </c>
      <c r="J4581" s="81" t="s">
        <v>224</v>
      </c>
      <c r="K4581" s="81" t="str">
        <f>IFERROR(__xludf.DUMMYFUNCTION("IF(OR(D4581="""",G4581=""""),"""",IFERROR(LET(
campo,XLOOKUP(TRIM(G4581),ARRAYFORMULA(TRIM('indice columnas'!$A$2:$A$100)),'indice columnas'!$B$2:$B$100,""""),
col,IFERROR(MATCH(campo,Referencia!$A$1:$AZ$1,0),0),
fila,IFERROR(MATCH(TO_TEXT(D4581),ARRAYFOR"&amp;"MULA(TO_TEXT(Referencia!$A$2:$A6238)),0),0),
IF(OR(campo="""",campo=""-""),""NO APLICA"",
IF(col=0,""REVISAR EQUIVALENCIA"",
IF(fila=0,""SKU NO ENCONTRADO"",
LET(
valor,INDEX(Referencia!$A$2:$AZ6238,fila,col),
IF(TRIM(TO_TEXT(valor))=TRIM(TO_TEXT(I4581)),"&amp;"
""OK"",
""NO COINCIDE. Valor verdadero: ""&amp;IF(valor="""",""[VACÍO]"",TO_TEXT(valor))
)
))))
),""ERROR EN FÓRMULA""))"),"OK")</f>
        <v>OK</v>
      </c>
    </row>
    <row r="4582">
      <c r="A4582" s="83" t="s">
        <v>4899</v>
      </c>
      <c r="B4582" s="83" t="s">
        <v>4900</v>
      </c>
      <c r="C4582" s="81" t="s">
        <v>4621</v>
      </c>
      <c r="D4582" s="83" t="s">
        <v>4280</v>
      </c>
      <c r="E4582" s="81" t="s">
        <v>1110</v>
      </c>
      <c r="F4582" s="81">
        <v>218.0</v>
      </c>
      <c r="G4582" s="81" t="s">
        <v>3</v>
      </c>
      <c r="H4582" s="81" t="s">
        <v>224</v>
      </c>
      <c r="I4582" s="81" t="s">
        <v>926</v>
      </c>
      <c r="J4582" s="81" t="s">
        <v>224</v>
      </c>
      <c r="K4582" s="81" t="str">
        <f>IFERROR(__xludf.DUMMYFUNCTION("IF(OR(D4582="""",G4582=""""),"""",IFERROR(LET(
campo,XLOOKUP(TRIM(G4582),ARRAYFORMULA(TRIM('indice columnas'!$A$2:$A$100)),'indice columnas'!$B$2:$B$100,""""),
col,IFERROR(MATCH(campo,Referencia!$A$1:$AZ$1,0),0),
fila,IFERROR(MATCH(TO_TEXT(D4582),ARRAYFOR"&amp;"MULA(TO_TEXT(Referencia!$A$2:$A6238)),0),0),
IF(OR(campo="""",campo=""-""),""NO APLICA"",
IF(col=0,""REVISAR EQUIVALENCIA"",
IF(fila=0,""SKU NO ENCONTRADO"",
LET(
valor,INDEX(Referencia!$A$2:$AZ6238,fila,col),
IF(TRIM(TO_TEXT(valor))=TRIM(TO_TEXT(I4582)),"&amp;"
""OK"",
""NO COINCIDE. Valor verdadero: ""&amp;IF(valor="""",""[VACÍO]"",TO_TEXT(valor))
)
))))
),""ERROR EN FÓRMULA""))"),"OK")</f>
        <v>OK</v>
      </c>
    </row>
    <row r="4583">
      <c r="A4583" s="83" t="s">
        <v>4899</v>
      </c>
      <c r="B4583" s="83" t="s">
        <v>4900</v>
      </c>
      <c r="C4583" s="81" t="s">
        <v>4621</v>
      </c>
      <c r="D4583" s="83" t="s">
        <v>4280</v>
      </c>
      <c r="E4583" s="81" t="s">
        <v>1110</v>
      </c>
      <c r="F4583" s="81">
        <v>218.0</v>
      </c>
      <c r="G4583" s="81" t="s">
        <v>2</v>
      </c>
      <c r="H4583" s="81" t="s">
        <v>224</v>
      </c>
      <c r="I4583" s="81" t="s">
        <v>919</v>
      </c>
      <c r="J4583" s="81" t="s">
        <v>224</v>
      </c>
      <c r="K4583" s="81" t="str">
        <f>IFERROR(__xludf.DUMMYFUNCTION("IF(OR(D4583="""",G4583=""""),"""",IFERROR(LET(
campo,XLOOKUP(TRIM(G4583),ARRAYFORMULA(TRIM('indice columnas'!$A$2:$A$100)),'indice columnas'!$B$2:$B$100,""""),
col,IFERROR(MATCH(campo,Referencia!$A$1:$AZ$1,0),0),
fila,IFERROR(MATCH(TO_TEXT(D4583),ARRAYFOR"&amp;"MULA(TO_TEXT(Referencia!$A$2:$A6238)),0),0),
IF(OR(campo="""",campo=""-""),""NO APLICA"",
IF(col=0,""REVISAR EQUIVALENCIA"",
IF(fila=0,""SKU NO ENCONTRADO"",
LET(
valor,INDEX(Referencia!$A$2:$AZ6238,fila,col),
IF(TRIM(TO_TEXT(valor))=TRIM(TO_TEXT(I4583)),"&amp;"
""OK"",
""NO COINCIDE. Valor verdadero: ""&amp;IF(valor="""",""[VACÍO]"",TO_TEXT(valor))
)
))))
),""ERROR EN FÓRMULA""))"),"OK")</f>
        <v>OK</v>
      </c>
    </row>
    <row r="4584">
      <c r="A4584" s="83" t="s">
        <v>4899</v>
      </c>
      <c r="B4584" s="83" t="s">
        <v>4900</v>
      </c>
      <c r="C4584" s="81" t="s">
        <v>4621</v>
      </c>
      <c r="D4584" s="83" t="s">
        <v>4280</v>
      </c>
      <c r="E4584" s="81" t="s">
        <v>1110</v>
      </c>
      <c r="F4584" s="81">
        <v>218.0</v>
      </c>
      <c r="G4584" s="81" t="s">
        <v>1</v>
      </c>
      <c r="H4584" s="81" t="s">
        <v>224</v>
      </c>
      <c r="I4584" s="81" t="s">
        <v>49</v>
      </c>
      <c r="J4584" s="81" t="s">
        <v>224</v>
      </c>
      <c r="K4584" s="81" t="str">
        <f>IFERROR(__xludf.DUMMYFUNCTION("IF(OR(D4584="""",G4584=""""),"""",IFERROR(LET(
campo,XLOOKUP(TRIM(G4584),ARRAYFORMULA(TRIM('indice columnas'!$A$2:$A$100)),'indice columnas'!$B$2:$B$100,""""),
col,IFERROR(MATCH(campo,Referencia!$A$1:$AZ$1,0),0),
fila,IFERROR(MATCH(TO_TEXT(D4584),ARRAYFOR"&amp;"MULA(TO_TEXT(Referencia!$A$2:$A6238)),0),0),
IF(OR(campo="""",campo=""-""),""NO APLICA"",
IF(col=0,""REVISAR EQUIVALENCIA"",
IF(fila=0,""SKU NO ENCONTRADO"",
LET(
valor,INDEX(Referencia!$A$2:$AZ6238,fila,col),
IF(TRIM(TO_TEXT(valor))=TRIM(TO_TEXT(I4584)),"&amp;"
""OK"",
""NO COINCIDE. Valor verdadero: ""&amp;IF(valor="""",""[VACÍO]"",TO_TEXT(valor))
)
))))
),""ERROR EN FÓRMULA""))"),"OK")</f>
        <v>OK</v>
      </c>
    </row>
    <row r="4585">
      <c r="A4585" s="83" t="s">
        <v>4899</v>
      </c>
      <c r="B4585" s="83" t="s">
        <v>4900</v>
      </c>
      <c r="C4585" s="81" t="s">
        <v>4621</v>
      </c>
      <c r="D4585" s="83" t="s">
        <v>4282</v>
      </c>
      <c r="E4585" s="81" t="s">
        <v>1120</v>
      </c>
      <c r="F4585" s="81">
        <v>221.0</v>
      </c>
      <c r="G4585" s="81" t="s">
        <v>3</v>
      </c>
      <c r="H4585" s="81" t="s">
        <v>224</v>
      </c>
      <c r="I4585" s="81" t="s">
        <v>926</v>
      </c>
      <c r="J4585" s="81" t="s">
        <v>224</v>
      </c>
      <c r="K4585" s="81" t="str">
        <f>IFERROR(__xludf.DUMMYFUNCTION("IF(OR(D4585="""",G4585=""""),"""",IFERROR(LET(
campo,XLOOKUP(TRIM(G4585),ARRAYFORMULA(TRIM('indice columnas'!$A$2:$A$100)),'indice columnas'!$B$2:$B$100,""""),
col,IFERROR(MATCH(campo,Referencia!$A$1:$AZ$1,0),0),
fila,IFERROR(MATCH(TO_TEXT(D4585),ARRAYFOR"&amp;"MULA(TO_TEXT(Referencia!$A$2:$A6238)),0),0),
IF(OR(campo="""",campo=""-""),""NO APLICA"",
IF(col=0,""REVISAR EQUIVALENCIA"",
IF(fila=0,""SKU NO ENCONTRADO"",
LET(
valor,INDEX(Referencia!$A$2:$AZ6238,fila,col),
IF(TRIM(TO_TEXT(valor))=TRIM(TO_TEXT(I4585)),"&amp;"
""OK"",
""NO COINCIDE. Valor verdadero: ""&amp;IF(valor="""",""[VACÍO]"",TO_TEXT(valor))
)
))))
),""ERROR EN FÓRMULA""))"),"OK")</f>
        <v>OK</v>
      </c>
    </row>
    <row r="4586">
      <c r="A4586" s="83" t="s">
        <v>4899</v>
      </c>
      <c r="B4586" s="83" t="s">
        <v>4900</v>
      </c>
      <c r="C4586" s="81" t="s">
        <v>4621</v>
      </c>
      <c r="D4586" s="83" t="s">
        <v>4282</v>
      </c>
      <c r="E4586" s="81" t="s">
        <v>1120</v>
      </c>
      <c r="F4586" s="81">
        <v>221.0</v>
      </c>
      <c r="G4586" s="81" t="s">
        <v>2</v>
      </c>
      <c r="H4586" s="81" t="s">
        <v>224</v>
      </c>
      <c r="I4586" s="81" t="s">
        <v>919</v>
      </c>
      <c r="J4586" s="81" t="s">
        <v>224</v>
      </c>
      <c r="K4586" s="81" t="str">
        <f>IFERROR(__xludf.DUMMYFUNCTION("IF(OR(D4586="""",G4586=""""),"""",IFERROR(LET(
campo,XLOOKUP(TRIM(G4586),ARRAYFORMULA(TRIM('indice columnas'!$A$2:$A$100)),'indice columnas'!$B$2:$B$100,""""),
col,IFERROR(MATCH(campo,Referencia!$A$1:$AZ$1,0),0),
fila,IFERROR(MATCH(TO_TEXT(D4586),ARRAYFOR"&amp;"MULA(TO_TEXT(Referencia!$A$2:$A6238)),0),0),
IF(OR(campo="""",campo=""-""),""NO APLICA"",
IF(col=0,""REVISAR EQUIVALENCIA"",
IF(fila=0,""SKU NO ENCONTRADO"",
LET(
valor,INDEX(Referencia!$A$2:$AZ6238,fila,col),
IF(TRIM(TO_TEXT(valor))=TRIM(TO_TEXT(I4586)),"&amp;"
""OK"",
""NO COINCIDE. Valor verdadero: ""&amp;IF(valor="""",""[VACÍO]"",TO_TEXT(valor))
)
))))
),""ERROR EN FÓRMULA""))"),"OK")</f>
        <v>OK</v>
      </c>
    </row>
    <row r="4587">
      <c r="A4587" s="83" t="s">
        <v>4899</v>
      </c>
      <c r="B4587" s="83" t="s">
        <v>4900</v>
      </c>
      <c r="C4587" s="81" t="s">
        <v>4621</v>
      </c>
      <c r="D4587" s="83" t="s">
        <v>4282</v>
      </c>
      <c r="E4587" s="81" t="s">
        <v>1120</v>
      </c>
      <c r="F4587" s="81">
        <v>221.0</v>
      </c>
      <c r="G4587" s="81" t="s">
        <v>1</v>
      </c>
      <c r="H4587" s="81" t="s">
        <v>224</v>
      </c>
      <c r="I4587" s="81" t="s">
        <v>49</v>
      </c>
      <c r="J4587" s="81" t="s">
        <v>224</v>
      </c>
      <c r="K4587" s="81" t="str">
        <f>IFERROR(__xludf.DUMMYFUNCTION("IF(OR(D4587="""",G4587=""""),"""",IFERROR(LET(
campo,XLOOKUP(TRIM(G4587),ARRAYFORMULA(TRIM('indice columnas'!$A$2:$A$100)),'indice columnas'!$B$2:$B$100,""""),
col,IFERROR(MATCH(campo,Referencia!$A$1:$AZ$1,0),0),
fila,IFERROR(MATCH(TO_TEXT(D4587),ARRAYFOR"&amp;"MULA(TO_TEXT(Referencia!$A$2:$A6238)),0),0),
IF(OR(campo="""",campo=""-""),""NO APLICA"",
IF(col=0,""REVISAR EQUIVALENCIA"",
IF(fila=0,""SKU NO ENCONTRADO"",
LET(
valor,INDEX(Referencia!$A$2:$AZ6238,fila,col),
IF(TRIM(TO_TEXT(valor))=TRIM(TO_TEXT(I4587)),"&amp;"
""OK"",
""NO COINCIDE. Valor verdadero: ""&amp;IF(valor="""",""[VACÍO]"",TO_TEXT(valor))
)
))))
),""ERROR EN FÓRMULA""))"),"OK")</f>
        <v>OK</v>
      </c>
    </row>
    <row r="4588">
      <c r="A4588" s="83" t="s">
        <v>4899</v>
      </c>
      <c r="B4588" s="83" t="s">
        <v>4900</v>
      </c>
      <c r="C4588" s="81" t="s">
        <v>4621</v>
      </c>
      <c r="D4588" s="83" t="s">
        <v>4284</v>
      </c>
      <c r="E4588" s="81" t="s">
        <v>1130</v>
      </c>
      <c r="F4588" s="81">
        <v>224.0</v>
      </c>
      <c r="G4588" s="81" t="s">
        <v>3</v>
      </c>
      <c r="H4588" s="81" t="s">
        <v>224</v>
      </c>
      <c r="I4588" s="81" t="s">
        <v>926</v>
      </c>
      <c r="J4588" s="81" t="s">
        <v>224</v>
      </c>
      <c r="K4588" s="81" t="str">
        <f>IFERROR(__xludf.DUMMYFUNCTION("IF(OR(D4588="""",G4588=""""),"""",IFERROR(LET(
campo,XLOOKUP(TRIM(G4588),ARRAYFORMULA(TRIM('indice columnas'!$A$2:$A$100)),'indice columnas'!$B$2:$B$100,""""),
col,IFERROR(MATCH(campo,Referencia!$A$1:$AZ$1,0),0),
fila,IFERROR(MATCH(TO_TEXT(D4588),ARRAYFOR"&amp;"MULA(TO_TEXT(Referencia!$A$2:$A6238)),0),0),
IF(OR(campo="""",campo=""-""),""NO APLICA"",
IF(col=0,""REVISAR EQUIVALENCIA"",
IF(fila=0,""SKU NO ENCONTRADO"",
LET(
valor,INDEX(Referencia!$A$2:$AZ6238,fila,col),
IF(TRIM(TO_TEXT(valor))=TRIM(TO_TEXT(I4588)),"&amp;"
""OK"",
""NO COINCIDE. Valor verdadero: ""&amp;IF(valor="""",""[VACÍO]"",TO_TEXT(valor))
)
))))
),""ERROR EN FÓRMULA""))"),"OK")</f>
        <v>OK</v>
      </c>
    </row>
    <row r="4589">
      <c r="A4589" s="83" t="s">
        <v>4899</v>
      </c>
      <c r="B4589" s="83" t="s">
        <v>4900</v>
      </c>
      <c r="C4589" s="81" t="s">
        <v>4621</v>
      </c>
      <c r="D4589" s="83" t="s">
        <v>4284</v>
      </c>
      <c r="E4589" s="81" t="s">
        <v>1130</v>
      </c>
      <c r="F4589" s="81">
        <v>224.0</v>
      </c>
      <c r="G4589" s="81" t="s">
        <v>2</v>
      </c>
      <c r="H4589" s="81" t="s">
        <v>224</v>
      </c>
      <c r="I4589" s="81" t="s">
        <v>919</v>
      </c>
      <c r="J4589" s="81" t="s">
        <v>224</v>
      </c>
      <c r="K4589" s="81" t="str">
        <f>IFERROR(__xludf.DUMMYFUNCTION("IF(OR(D4589="""",G4589=""""),"""",IFERROR(LET(
campo,XLOOKUP(TRIM(G4589),ARRAYFORMULA(TRIM('indice columnas'!$A$2:$A$100)),'indice columnas'!$B$2:$B$100,""""),
col,IFERROR(MATCH(campo,Referencia!$A$1:$AZ$1,0),0),
fila,IFERROR(MATCH(TO_TEXT(D4589),ARRAYFOR"&amp;"MULA(TO_TEXT(Referencia!$A$2:$A6238)),0),0),
IF(OR(campo="""",campo=""-""),""NO APLICA"",
IF(col=0,""REVISAR EQUIVALENCIA"",
IF(fila=0,""SKU NO ENCONTRADO"",
LET(
valor,INDEX(Referencia!$A$2:$AZ6238,fila,col),
IF(TRIM(TO_TEXT(valor))=TRIM(TO_TEXT(I4589)),"&amp;"
""OK"",
""NO COINCIDE. Valor verdadero: ""&amp;IF(valor="""",""[VACÍO]"",TO_TEXT(valor))
)
))))
),""ERROR EN FÓRMULA""))"),"OK")</f>
        <v>OK</v>
      </c>
    </row>
    <row r="4590">
      <c r="A4590" s="83" t="s">
        <v>4899</v>
      </c>
      <c r="B4590" s="83" t="s">
        <v>4900</v>
      </c>
      <c r="C4590" s="81" t="s">
        <v>4621</v>
      </c>
      <c r="D4590" s="83" t="s">
        <v>4284</v>
      </c>
      <c r="E4590" s="81" t="s">
        <v>1130</v>
      </c>
      <c r="F4590" s="81">
        <v>224.0</v>
      </c>
      <c r="G4590" s="81" t="s">
        <v>1</v>
      </c>
      <c r="H4590" s="81" t="s">
        <v>224</v>
      </c>
      <c r="I4590" s="81" t="s">
        <v>49</v>
      </c>
      <c r="J4590" s="81" t="s">
        <v>224</v>
      </c>
      <c r="K4590" s="81" t="str">
        <f>IFERROR(__xludf.DUMMYFUNCTION("IF(OR(D4590="""",G4590=""""),"""",IFERROR(LET(
campo,XLOOKUP(TRIM(G4590),ARRAYFORMULA(TRIM('indice columnas'!$A$2:$A$100)),'indice columnas'!$B$2:$B$100,""""),
col,IFERROR(MATCH(campo,Referencia!$A$1:$AZ$1,0),0),
fila,IFERROR(MATCH(TO_TEXT(D4590),ARRAYFOR"&amp;"MULA(TO_TEXT(Referencia!$A$2:$A6238)),0),0),
IF(OR(campo="""",campo=""-""),""NO APLICA"",
IF(col=0,""REVISAR EQUIVALENCIA"",
IF(fila=0,""SKU NO ENCONTRADO"",
LET(
valor,INDEX(Referencia!$A$2:$AZ6238,fila,col),
IF(TRIM(TO_TEXT(valor))=TRIM(TO_TEXT(I4590)),"&amp;"
""OK"",
""NO COINCIDE. Valor verdadero: ""&amp;IF(valor="""",""[VACÍO]"",TO_TEXT(valor))
)
))))
),""ERROR EN FÓRMULA""))"),"OK")</f>
        <v>OK</v>
      </c>
    </row>
    <row r="4591">
      <c r="A4591" s="83" t="s">
        <v>4899</v>
      </c>
      <c r="B4591" s="83" t="s">
        <v>4900</v>
      </c>
      <c r="C4591" s="81" t="s">
        <v>4621</v>
      </c>
      <c r="D4591" s="83" t="s">
        <v>4285</v>
      </c>
      <c r="E4591" s="81" t="s">
        <v>1133</v>
      </c>
      <c r="F4591" s="81">
        <v>225.0</v>
      </c>
      <c r="G4591" s="81" t="s">
        <v>3</v>
      </c>
      <c r="H4591" s="81" t="s">
        <v>224</v>
      </c>
      <c r="I4591" s="81" t="s">
        <v>1016</v>
      </c>
      <c r="J4591" s="81" t="s">
        <v>224</v>
      </c>
      <c r="K4591" s="81" t="str">
        <f>IFERROR(__xludf.DUMMYFUNCTION("IF(OR(D4591="""",G4591=""""),"""",IFERROR(LET(
campo,XLOOKUP(TRIM(G4591),ARRAYFORMULA(TRIM('indice columnas'!$A$2:$A$100)),'indice columnas'!$B$2:$B$100,""""),
col,IFERROR(MATCH(campo,Referencia!$A$1:$AZ$1,0),0),
fila,IFERROR(MATCH(TO_TEXT(D4591),ARRAYFOR"&amp;"MULA(TO_TEXT(Referencia!$A$2:$A6238)),0),0),
IF(OR(campo="""",campo=""-""),""NO APLICA"",
IF(col=0,""REVISAR EQUIVALENCIA"",
IF(fila=0,""SKU NO ENCONTRADO"",
LET(
valor,INDEX(Referencia!$A$2:$AZ6238,fila,col),
IF(TRIM(TO_TEXT(valor))=TRIM(TO_TEXT(I4591)),"&amp;"
""OK"",
""NO COINCIDE. Valor verdadero: ""&amp;IF(valor="""",""[VACÍO]"",TO_TEXT(valor))
)
))))
),""ERROR EN FÓRMULA""))"),"OK")</f>
        <v>OK</v>
      </c>
    </row>
    <row r="4592">
      <c r="A4592" s="83" t="s">
        <v>4899</v>
      </c>
      <c r="B4592" s="83" t="s">
        <v>4900</v>
      </c>
      <c r="C4592" s="81" t="s">
        <v>4621</v>
      </c>
      <c r="D4592" s="83" t="s">
        <v>4285</v>
      </c>
      <c r="E4592" s="81" t="s">
        <v>1133</v>
      </c>
      <c r="F4592" s="81">
        <v>225.0</v>
      </c>
      <c r="G4592" s="81" t="s">
        <v>2</v>
      </c>
      <c r="H4592" s="81" t="s">
        <v>224</v>
      </c>
      <c r="I4592" s="81" t="s">
        <v>919</v>
      </c>
      <c r="J4592" s="81" t="s">
        <v>224</v>
      </c>
      <c r="K4592" s="81" t="str">
        <f>IFERROR(__xludf.DUMMYFUNCTION("IF(OR(D4592="""",G4592=""""),"""",IFERROR(LET(
campo,XLOOKUP(TRIM(G4592),ARRAYFORMULA(TRIM('indice columnas'!$A$2:$A$100)),'indice columnas'!$B$2:$B$100,""""),
col,IFERROR(MATCH(campo,Referencia!$A$1:$AZ$1,0),0),
fila,IFERROR(MATCH(TO_TEXT(D4592),ARRAYFOR"&amp;"MULA(TO_TEXT(Referencia!$A$2:$A6238)),0),0),
IF(OR(campo="""",campo=""-""),""NO APLICA"",
IF(col=0,""REVISAR EQUIVALENCIA"",
IF(fila=0,""SKU NO ENCONTRADO"",
LET(
valor,INDEX(Referencia!$A$2:$AZ6238,fila,col),
IF(TRIM(TO_TEXT(valor))=TRIM(TO_TEXT(I4592)),"&amp;"
""OK"",
""NO COINCIDE. Valor verdadero: ""&amp;IF(valor="""",""[VACÍO]"",TO_TEXT(valor))
)
))))
),""ERROR EN FÓRMULA""))"),"OK")</f>
        <v>OK</v>
      </c>
    </row>
    <row r="4593">
      <c r="A4593" s="83" t="s">
        <v>4899</v>
      </c>
      <c r="B4593" s="83" t="s">
        <v>4900</v>
      </c>
      <c r="C4593" s="81" t="s">
        <v>4621</v>
      </c>
      <c r="D4593" s="83" t="s">
        <v>4285</v>
      </c>
      <c r="E4593" s="81" t="s">
        <v>1133</v>
      </c>
      <c r="F4593" s="81">
        <v>225.0</v>
      </c>
      <c r="G4593" s="81" t="s">
        <v>1</v>
      </c>
      <c r="H4593" s="81" t="s">
        <v>224</v>
      </c>
      <c r="I4593" s="81" t="s">
        <v>49</v>
      </c>
      <c r="J4593" s="81" t="s">
        <v>224</v>
      </c>
      <c r="K4593" s="81" t="str">
        <f>IFERROR(__xludf.DUMMYFUNCTION("IF(OR(D4593="""",G4593=""""),"""",IFERROR(LET(
campo,XLOOKUP(TRIM(G4593),ARRAYFORMULA(TRIM('indice columnas'!$A$2:$A$100)),'indice columnas'!$B$2:$B$100,""""),
col,IFERROR(MATCH(campo,Referencia!$A$1:$AZ$1,0),0),
fila,IFERROR(MATCH(TO_TEXT(D4593),ARRAYFOR"&amp;"MULA(TO_TEXT(Referencia!$A$2:$A6238)),0),0),
IF(OR(campo="""",campo=""-""),""NO APLICA"",
IF(col=0,""REVISAR EQUIVALENCIA"",
IF(fila=0,""SKU NO ENCONTRADO"",
LET(
valor,INDEX(Referencia!$A$2:$AZ6238,fila,col),
IF(TRIM(TO_TEXT(valor))=TRIM(TO_TEXT(I4593)),"&amp;"
""OK"",
""NO COINCIDE. Valor verdadero: ""&amp;IF(valor="""",""[VACÍO]"",TO_TEXT(valor))
)
))))
),""ERROR EN FÓRMULA""))"),"OK")</f>
        <v>OK</v>
      </c>
    </row>
    <row r="4594">
      <c r="A4594" s="83" t="s">
        <v>4899</v>
      </c>
      <c r="B4594" s="83" t="s">
        <v>4900</v>
      </c>
      <c r="C4594" s="81" t="s">
        <v>4621</v>
      </c>
      <c r="D4594" s="83" t="s">
        <v>4287</v>
      </c>
      <c r="E4594" s="81" t="s">
        <v>1138</v>
      </c>
      <c r="F4594" s="81">
        <v>226.0</v>
      </c>
      <c r="G4594" s="81" t="s">
        <v>3</v>
      </c>
      <c r="H4594" s="81" t="s">
        <v>224</v>
      </c>
      <c r="I4594" s="81" t="s">
        <v>1016</v>
      </c>
      <c r="J4594" s="81" t="s">
        <v>224</v>
      </c>
      <c r="K4594" s="81" t="str">
        <f>IFERROR(__xludf.DUMMYFUNCTION("IF(OR(D4594="""",G4594=""""),"""",IFERROR(LET(
campo,XLOOKUP(TRIM(G4594),ARRAYFORMULA(TRIM('indice columnas'!$A$2:$A$100)),'indice columnas'!$B$2:$B$100,""""),
col,IFERROR(MATCH(campo,Referencia!$A$1:$AZ$1,0),0),
fila,IFERROR(MATCH(TO_TEXT(D4594),ARRAYFOR"&amp;"MULA(TO_TEXT(Referencia!$A$2:$A6238)),0),0),
IF(OR(campo="""",campo=""-""),""NO APLICA"",
IF(col=0,""REVISAR EQUIVALENCIA"",
IF(fila=0,""SKU NO ENCONTRADO"",
LET(
valor,INDEX(Referencia!$A$2:$AZ6238,fila,col),
IF(TRIM(TO_TEXT(valor))=TRIM(TO_TEXT(I4594)),"&amp;"
""OK"",
""NO COINCIDE. Valor verdadero: ""&amp;IF(valor="""",""[VACÍO]"",TO_TEXT(valor))
)
))))
),""ERROR EN FÓRMULA""))"),"OK")</f>
        <v>OK</v>
      </c>
    </row>
    <row r="4595">
      <c r="A4595" s="83" t="s">
        <v>4899</v>
      </c>
      <c r="B4595" s="83" t="s">
        <v>4900</v>
      </c>
      <c r="C4595" s="81" t="s">
        <v>4621</v>
      </c>
      <c r="D4595" s="83" t="s">
        <v>4287</v>
      </c>
      <c r="E4595" s="81" t="s">
        <v>1138</v>
      </c>
      <c r="F4595" s="81">
        <v>226.0</v>
      </c>
      <c r="G4595" s="81" t="s">
        <v>2</v>
      </c>
      <c r="H4595" s="81" t="s">
        <v>224</v>
      </c>
      <c r="I4595" s="81" t="s">
        <v>919</v>
      </c>
      <c r="J4595" s="81" t="s">
        <v>224</v>
      </c>
      <c r="K4595" s="81" t="str">
        <f>IFERROR(__xludf.DUMMYFUNCTION("IF(OR(D4595="""",G4595=""""),"""",IFERROR(LET(
campo,XLOOKUP(TRIM(G4595),ARRAYFORMULA(TRIM('indice columnas'!$A$2:$A$100)),'indice columnas'!$B$2:$B$100,""""),
col,IFERROR(MATCH(campo,Referencia!$A$1:$AZ$1,0),0),
fila,IFERROR(MATCH(TO_TEXT(D4595),ARRAYFOR"&amp;"MULA(TO_TEXT(Referencia!$A$2:$A6238)),0),0),
IF(OR(campo="""",campo=""-""),""NO APLICA"",
IF(col=0,""REVISAR EQUIVALENCIA"",
IF(fila=0,""SKU NO ENCONTRADO"",
LET(
valor,INDEX(Referencia!$A$2:$AZ6238,fila,col),
IF(TRIM(TO_TEXT(valor))=TRIM(TO_TEXT(I4595)),"&amp;"
""OK"",
""NO COINCIDE. Valor verdadero: ""&amp;IF(valor="""",""[VACÍO]"",TO_TEXT(valor))
)
))))
),""ERROR EN FÓRMULA""))"),"OK")</f>
        <v>OK</v>
      </c>
    </row>
    <row r="4596">
      <c r="A4596" s="83" t="s">
        <v>4899</v>
      </c>
      <c r="B4596" s="83" t="s">
        <v>4900</v>
      </c>
      <c r="C4596" s="81" t="s">
        <v>4621</v>
      </c>
      <c r="D4596" s="83" t="s">
        <v>4287</v>
      </c>
      <c r="E4596" s="81" t="s">
        <v>1138</v>
      </c>
      <c r="F4596" s="81">
        <v>226.0</v>
      </c>
      <c r="G4596" s="81" t="s">
        <v>1</v>
      </c>
      <c r="H4596" s="81" t="s">
        <v>224</v>
      </c>
      <c r="I4596" s="81" t="s">
        <v>49</v>
      </c>
      <c r="J4596" s="81" t="s">
        <v>224</v>
      </c>
      <c r="K4596" s="81" t="str">
        <f>IFERROR(__xludf.DUMMYFUNCTION("IF(OR(D4596="""",G4596=""""),"""",IFERROR(LET(
campo,XLOOKUP(TRIM(G4596),ARRAYFORMULA(TRIM('indice columnas'!$A$2:$A$100)),'indice columnas'!$B$2:$B$100,""""),
col,IFERROR(MATCH(campo,Referencia!$A$1:$AZ$1,0),0),
fila,IFERROR(MATCH(TO_TEXT(D4596),ARRAYFOR"&amp;"MULA(TO_TEXT(Referencia!$A$2:$A6238)),0),0),
IF(OR(campo="""",campo=""-""),""NO APLICA"",
IF(col=0,""REVISAR EQUIVALENCIA"",
IF(fila=0,""SKU NO ENCONTRADO"",
LET(
valor,INDEX(Referencia!$A$2:$AZ6238,fila,col),
IF(TRIM(TO_TEXT(valor))=TRIM(TO_TEXT(I4596)),"&amp;"
""OK"",
""NO COINCIDE. Valor verdadero: ""&amp;IF(valor="""",""[VACÍO]"",TO_TEXT(valor))
)
))))
),""ERROR EN FÓRMULA""))"),"OK")</f>
        <v>OK</v>
      </c>
    </row>
    <row r="4597">
      <c r="A4597" s="83" t="s">
        <v>4899</v>
      </c>
      <c r="B4597" s="83" t="s">
        <v>4900</v>
      </c>
      <c r="C4597" s="81" t="s">
        <v>4621</v>
      </c>
      <c r="D4597" s="83" t="s">
        <v>4289</v>
      </c>
      <c r="E4597" s="81" t="s">
        <v>1142</v>
      </c>
      <c r="F4597" s="81">
        <v>227.0</v>
      </c>
      <c r="G4597" s="81" t="s">
        <v>3</v>
      </c>
      <c r="H4597" s="81" t="s">
        <v>224</v>
      </c>
      <c r="I4597" s="81" t="s">
        <v>1016</v>
      </c>
      <c r="J4597" s="81" t="s">
        <v>224</v>
      </c>
      <c r="K4597" s="81" t="str">
        <f>IFERROR(__xludf.DUMMYFUNCTION("IF(OR(D4597="""",G4597=""""),"""",IFERROR(LET(
campo,XLOOKUP(TRIM(G4597),ARRAYFORMULA(TRIM('indice columnas'!$A$2:$A$100)),'indice columnas'!$B$2:$B$100,""""),
col,IFERROR(MATCH(campo,Referencia!$A$1:$AZ$1,0),0),
fila,IFERROR(MATCH(TO_TEXT(D4597),ARRAYFOR"&amp;"MULA(TO_TEXT(Referencia!$A$2:$A6238)),0),0),
IF(OR(campo="""",campo=""-""),""NO APLICA"",
IF(col=0,""REVISAR EQUIVALENCIA"",
IF(fila=0,""SKU NO ENCONTRADO"",
LET(
valor,INDEX(Referencia!$A$2:$AZ6238,fila,col),
IF(TRIM(TO_TEXT(valor))=TRIM(TO_TEXT(I4597)),"&amp;"
""OK"",
""NO COINCIDE. Valor verdadero: ""&amp;IF(valor="""",""[VACÍO]"",TO_TEXT(valor))
)
))))
),""ERROR EN FÓRMULA""))"),"OK")</f>
        <v>OK</v>
      </c>
    </row>
    <row r="4598">
      <c r="A4598" s="83" t="s">
        <v>4899</v>
      </c>
      <c r="B4598" s="83" t="s">
        <v>4900</v>
      </c>
      <c r="C4598" s="81" t="s">
        <v>4621</v>
      </c>
      <c r="D4598" s="83" t="s">
        <v>4289</v>
      </c>
      <c r="E4598" s="81" t="s">
        <v>1142</v>
      </c>
      <c r="F4598" s="81">
        <v>227.0</v>
      </c>
      <c r="G4598" s="81" t="s">
        <v>2</v>
      </c>
      <c r="H4598" s="81" t="s">
        <v>224</v>
      </c>
      <c r="I4598" s="81" t="s">
        <v>919</v>
      </c>
      <c r="J4598" s="81" t="s">
        <v>224</v>
      </c>
      <c r="K4598" s="81" t="str">
        <f>IFERROR(__xludf.DUMMYFUNCTION("IF(OR(D4598="""",G4598=""""),"""",IFERROR(LET(
campo,XLOOKUP(TRIM(G4598),ARRAYFORMULA(TRIM('indice columnas'!$A$2:$A$100)),'indice columnas'!$B$2:$B$100,""""),
col,IFERROR(MATCH(campo,Referencia!$A$1:$AZ$1,0),0),
fila,IFERROR(MATCH(TO_TEXT(D4598),ARRAYFOR"&amp;"MULA(TO_TEXT(Referencia!$A$2:$A6238)),0),0),
IF(OR(campo="""",campo=""-""),""NO APLICA"",
IF(col=0,""REVISAR EQUIVALENCIA"",
IF(fila=0,""SKU NO ENCONTRADO"",
LET(
valor,INDEX(Referencia!$A$2:$AZ6238,fila,col),
IF(TRIM(TO_TEXT(valor))=TRIM(TO_TEXT(I4598)),"&amp;"
""OK"",
""NO COINCIDE. Valor verdadero: ""&amp;IF(valor="""",""[VACÍO]"",TO_TEXT(valor))
)
))))
),""ERROR EN FÓRMULA""))"),"OK")</f>
        <v>OK</v>
      </c>
    </row>
    <row r="4599">
      <c r="A4599" s="83" t="s">
        <v>4899</v>
      </c>
      <c r="B4599" s="83" t="s">
        <v>4900</v>
      </c>
      <c r="C4599" s="81" t="s">
        <v>4621</v>
      </c>
      <c r="D4599" s="83" t="s">
        <v>4289</v>
      </c>
      <c r="E4599" s="81" t="s">
        <v>1142</v>
      </c>
      <c r="F4599" s="81">
        <v>227.0</v>
      </c>
      <c r="G4599" s="81" t="s">
        <v>1</v>
      </c>
      <c r="H4599" s="81" t="s">
        <v>224</v>
      </c>
      <c r="I4599" s="81" t="s">
        <v>49</v>
      </c>
      <c r="J4599" s="81" t="s">
        <v>224</v>
      </c>
      <c r="K4599" s="81" t="str">
        <f>IFERROR(__xludf.DUMMYFUNCTION("IF(OR(D4599="""",G4599=""""),"""",IFERROR(LET(
campo,XLOOKUP(TRIM(G4599),ARRAYFORMULA(TRIM('indice columnas'!$A$2:$A$100)),'indice columnas'!$B$2:$B$100,""""),
col,IFERROR(MATCH(campo,Referencia!$A$1:$AZ$1,0),0),
fila,IFERROR(MATCH(TO_TEXT(D4599),ARRAYFOR"&amp;"MULA(TO_TEXT(Referencia!$A$2:$A6238)),0),0),
IF(OR(campo="""",campo=""-""),""NO APLICA"",
IF(col=0,""REVISAR EQUIVALENCIA"",
IF(fila=0,""SKU NO ENCONTRADO"",
LET(
valor,INDEX(Referencia!$A$2:$AZ6238,fila,col),
IF(TRIM(TO_TEXT(valor))=TRIM(TO_TEXT(I4599)),"&amp;"
""OK"",
""NO COINCIDE. Valor verdadero: ""&amp;IF(valor="""",""[VACÍO]"",TO_TEXT(valor))
)
))))
),""ERROR EN FÓRMULA""))"),"OK")</f>
        <v>OK</v>
      </c>
    </row>
    <row r="4600">
      <c r="A4600" s="83" t="s">
        <v>4899</v>
      </c>
      <c r="B4600" s="83" t="s">
        <v>4900</v>
      </c>
      <c r="C4600" s="81" t="s">
        <v>4621</v>
      </c>
      <c r="D4600" s="83" t="s">
        <v>4291</v>
      </c>
      <c r="E4600" s="81" t="s">
        <v>1155</v>
      </c>
      <c r="F4600" s="81">
        <v>230.0</v>
      </c>
      <c r="G4600" s="81" t="s">
        <v>3</v>
      </c>
      <c r="H4600" s="81" t="s">
        <v>224</v>
      </c>
      <c r="I4600" s="81" t="s">
        <v>1144</v>
      </c>
      <c r="J4600" s="81" t="s">
        <v>224</v>
      </c>
      <c r="K4600" s="81" t="str">
        <f>IFERROR(__xludf.DUMMYFUNCTION("IF(OR(D4600="""",G4600=""""),"""",IFERROR(LET(
campo,XLOOKUP(TRIM(G4600),ARRAYFORMULA(TRIM('indice columnas'!$A$2:$A$100)),'indice columnas'!$B$2:$B$100,""""),
col,IFERROR(MATCH(campo,Referencia!$A$1:$AZ$1,0),0),
fila,IFERROR(MATCH(TO_TEXT(D4600),ARRAYFOR"&amp;"MULA(TO_TEXT(Referencia!$A$2:$A6238)),0),0),
IF(OR(campo="""",campo=""-""),""NO APLICA"",
IF(col=0,""REVISAR EQUIVALENCIA"",
IF(fila=0,""SKU NO ENCONTRADO"",
LET(
valor,INDEX(Referencia!$A$2:$AZ6238,fila,col),
IF(TRIM(TO_TEXT(valor))=TRIM(TO_TEXT(I4600)),"&amp;"
""OK"",
""NO COINCIDE. Valor verdadero: ""&amp;IF(valor="""",""[VACÍO]"",TO_TEXT(valor))
)
))))
),""ERROR EN FÓRMULA""))"),"OK")</f>
        <v>OK</v>
      </c>
    </row>
    <row r="4601">
      <c r="A4601" s="83" t="s">
        <v>4899</v>
      </c>
      <c r="B4601" s="83" t="s">
        <v>4900</v>
      </c>
      <c r="C4601" s="81" t="s">
        <v>4621</v>
      </c>
      <c r="D4601" s="83" t="s">
        <v>4291</v>
      </c>
      <c r="E4601" s="81" t="s">
        <v>1155</v>
      </c>
      <c r="F4601" s="81">
        <v>230.0</v>
      </c>
      <c r="G4601" s="81" t="s">
        <v>2</v>
      </c>
      <c r="H4601" s="81" t="s">
        <v>224</v>
      </c>
      <c r="I4601" s="81" t="s">
        <v>213</v>
      </c>
      <c r="J4601" s="81" t="s">
        <v>224</v>
      </c>
      <c r="K4601" s="81" t="str">
        <f>IFERROR(__xludf.DUMMYFUNCTION("IF(OR(D4601="""",G4601=""""),"""",IFERROR(LET(
campo,XLOOKUP(TRIM(G4601),ARRAYFORMULA(TRIM('indice columnas'!$A$2:$A$100)),'indice columnas'!$B$2:$B$100,""""),
col,IFERROR(MATCH(campo,Referencia!$A$1:$AZ$1,0),0),
fila,IFERROR(MATCH(TO_TEXT(D4601),ARRAYFOR"&amp;"MULA(TO_TEXT(Referencia!$A$2:$A6238)),0),0),
IF(OR(campo="""",campo=""-""),""NO APLICA"",
IF(col=0,""REVISAR EQUIVALENCIA"",
IF(fila=0,""SKU NO ENCONTRADO"",
LET(
valor,INDEX(Referencia!$A$2:$AZ6238,fila,col),
IF(TRIM(TO_TEXT(valor))=TRIM(TO_TEXT(I4601)),"&amp;"
""OK"",
""NO COINCIDE. Valor verdadero: ""&amp;IF(valor="""",""[VACÍO]"",TO_TEXT(valor))
)
))))
),""ERROR EN FÓRMULA""))"),"OK")</f>
        <v>OK</v>
      </c>
    </row>
    <row r="4602">
      <c r="A4602" s="83" t="s">
        <v>4899</v>
      </c>
      <c r="B4602" s="83" t="s">
        <v>4900</v>
      </c>
      <c r="C4602" s="81" t="s">
        <v>4621</v>
      </c>
      <c r="D4602" s="83" t="s">
        <v>4291</v>
      </c>
      <c r="E4602" s="81" t="s">
        <v>1155</v>
      </c>
      <c r="F4602" s="81">
        <v>230.0</v>
      </c>
      <c r="G4602" s="81" t="s">
        <v>1</v>
      </c>
      <c r="H4602" s="81" t="s">
        <v>224</v>
      </c>
      <c r="I4602" s="81" t="s">
        <v>49</v>
      </c>
      <c r="J4602" s="81" t="s">
        <v>224</v>
      </c>
      <c r="K4602" s="81" t="str">
        <f>IFERROR(__xludf.DUMMYFUNCTION("IF(OR(D4602="""",G4602=""""),"""",IFERROR(LET(
campo,XLOOKUP(TRIM(G4602),ARRAYFORMULA(TRIM('indice columnas'!$A$2:$A$100)),'indice columnas'!$B$2:$B$100,""""),
col,IFERROR(MATCH(campo,Referencia!$A$1:$AZ$1,0),0),
fila,IFERROR(MATCH(TO_TEXT(D4602),ARRAYFOR"&amp;"MULA(TO_TEXT(Referencia!$A$2:$A6238)),0),0),
IF(OR(campo="""",campo=""-""),""NO APLICA"",
IF(col=0,""REVISAR EQUIVALENCIA"",
IF(fila=0,""SKU NO ENCONTRADO"",
LET(
valor,INDEX(Referencia!$A$2:$AZ6238,fila,col),
IF(TRIM(TO_TEXT(valor))=TRIM(TO_TEXT(I4602)),"&amp;"
""OK"",
""NO COINCIDE. Valor verdadero: ""&amp;IF(valor="""",""[VACÍO]"",TO_TEXT(valor))
)
))))
),""ERROR EN FÓRMULA""))"),"OK")</f>
        <v>OK</v>
      </c>
    </row>
    <row r="4603">
      <c r="A4603" s="83" t="s">
        <v>4899</v>
      </c>
      <c r="B4603" s="83" t="s">
        <v>4900</v>
      </c>
      <c r="C4603" s="81" t="s">
        <v>4621</v>
      </c>
      <c r="D4603" s="83" t="s">
        <v>4294</v>
      </c>
      <c r="E4603" s="81" t="s">
        <v>1176</v>
      </c>
      <c r="F4603" s="81">
        <v>233.0</v>
      </c>
      <c r="G4603" s="81" t="s">
        <v>3</v>
      </c>
      <c r="H4603" s="81" t="s">
        <v>224</v>
      </c>
      <c r="I4603" s="81" t="s">
        <v>51</v>
      </c>
      <c r="J4603" s="81" t="s">
        <v>224</v>
      </c>
      <c r="K4603" s="81" t="str">
        <f>IFERROR(__xludf.DUMMYFUNCTION("IF(OR(D4603="""",G4603=""""),"""",IFERROR(LET(
campo,XLOOKUP(TRIM(G4603),ARRAYFORMULA(TRIM('indice columnas'!$A$2:$A$100)),'indice columnas'!$B$2:$B$100,""""),
col,IFERROR(MATCH(campo,Referencia!$A$1:$AZ$1,0),0),
fila,IFERROR(MATCH(TO_TEXT(D4603),ARRAYFOR"&amp;"MULA(TO_TEXT(Referencia!$A$2:$A6238)),0),0),
IF(OR(campo="""",campo=""-""),""NO APLICA"",
IF(col=0,""REVISAR EQUIVALENCIA"",
IF(fila=0,""SKU NO ENCONTRADO"",
LET(
valor,INDEX(Referencia!$A$2:$AZ6238,fila,col),
IF(TRIM(TO_TEXT(valor))=TRIM(TO_TEXT(I4603)),"&amp;"
""OK"",
""NO COINCIDE. Valor verdadero: ""&amp;IF(valor="""",""[VACÍO]"",TO_TEXT(valor))
)
))))
),""ERROR EN FÓRMULA""))"),"OK")</f>
        <v>OK</v>
      </c>
    </row>
    <row r="4604">
      <c r="A4604" s="83" t="s">
        <v>4899</v>
      </c>
      <c r="B4604" s="83" t="s">
        <v>4900</v>
      </c>
      <c r="C4604" s="81" t="s">
        <v>4621</v>
      </c>
      <c r="D4604" s="83" t="s">
        <v>4294</v>
      </c>
      <c r="E4604" s="81" t="s">
        <v>1176</v>
      </c>
      <c r="F4604" s="81">
        <v>233.0</v>
      </c>
      <c r="G4604" s="81" t="s">
        <v>2</v>
      </c>
      <c r="H4604" s="81" t="s">
        <v>224</v>
      </c>
      <c r="I4604" s="81" t="s">
        <v>213</v>
      </c>
      <c r="J4604" s="81" t="s">
        <v>224</v>
      </c>
      <c r="K4604" s="81" t="str">
        <f>IFERROR(__xludf.DUMMYFUNCTION("IF(OR(D4604="""",G4604=""""),"""",IFERROR(LET(
campo,XLOOKUP(TRIM(G4604),ARRAYFORMULA(TRIM('indice columnas'!$A$2:$A$100)),'indice columnas'!$B$2:$B$100,""""),
col,IFERROR(MATCH(campo,Referencia!$A$1:$AZ$1,0),0),
fila,IFERROR(MATCH(TO_TEXT(D4604),ARRAYFOR"&amp;"MULA(TO_TEXT(Referencia!$A$2:$A6238)),0),0),
IF(OR(campo="""",campo=""-""),""NO APLICA"",
IF(col=0,""REVISAR EQUIVALENCIA"",
IF(fila=0,""SKU NO ENCONTRADO"",
LET(
valor,INDEX(Referencia!$A$2:$AZ6238,fila,col),
IF(TRIM(TO_TEXT(valor))=TRIM(TO_TEXT(I4604)),"&amp;"
""OK"",
""NO COINCIDE. Valor verdadero: ""&amp;IF(valor="""",""[VACÍO]"",TO_TEXT(valor))
)
))))
),""ERROR EN FÓRMULA""))"),"OK")</f>
        <v>OK</v>
      </c>
    </row>
    <row r="4605">
      <c r="A4605" s="83" t="s">
        <v>4899</v>
      </c>
      <c r="B4605" s="83" t="s">
        <v>4900</v>
      </c>
      <c r="C4605" s="81" t="s">
        <v>4621</v>
      </c>
      <c r="D4605" s="83" t="s">
        <v>4294</v>
      </c>
      <c r="E4605" s="81" t="s">
        <v>1176</v>
      </c>
      <c r="F4605" s="81">
        <v>233.0</v>
      </c>
      <c r="G4605" s="81" t="s">
        <v>1</v>
      </c>
      <c r="H4605" s="81" t="s">
        <v>224</v>
      </c>
      <c r="I4605" s="81" t="s">
        <v>49</v>
      </c>
      <c r="J4605" s="81" t="s">
        <v>224</v>
      </c>
      <c r="K4605" s="81" t="str">
        <f>IFERROR(__xludf.DUMMYFUNCTION("IF(OR(D4605="""",G4605=""""),"""",IFERROR(LET(
campo,XLOOKUP(TRIM(G4605),ARRAYFORMULA(TRIM('indice columnas'!$A$2:$A$100)),'indice columnas'!$B$2:$B$100,""""),
col,IFERROR(MATCH(campo,Referencia!$A$1:$AZ$1,0),0),
fila,IFERROR(MATCH(TO_TEXT(D4605),ARRAYFOR"&amp;"MULA(TO_TEXT(Referencia!$A$2:$A6238)),0),0),
IF(OR(campo="""",campo=""-""),""NO APLICA"",
IF(col=0,""REVISAR EQUIVALENCIA"",
IF(fila=0,""SKU NO ENCONTRADO"",
LET(
valor,INDEX(Referencia!$A$2:$AZ6238,fila,col),
IF(TRIM(TO_TEXT(valor))=TRIM(TO_TEXT(I4605)),"&amp;"
""OK"",
""NO COINCIDE. Valor verdadero: ""&amp;IF(valor="""",""[VACÍO]"",TO_TEXT(valor))
)
))))
),""ERROR EN FÓRMULA""))"),"OK")</f>
        <v>OK</v>
      </c>
    </row>
    <row r="4606">
      <c r="A4606" s="83" t="s">
        <v>4899</v>
      </c>
      <c r="B4606" s="83" t="s">
        <v>4900</v>
      </c>
      <c r="C4606" s="81" t="s">
        <v>4621</v>
      </c>
      <c r="D4606" s="83" t="s">
        <v>4300</v>
      </c>
      <c r="E4606" s="81" t="s">
        <v>1211</v>
      </c>
      <c r="F4606" s="81">
        <v>239.0</v>
      </c>
      <c r="G4606" s="81" t="s">
        <v>3</v>
      </c>
      <c r="H4606" s="81" t="s">
        <v>224</v>
      </c>
      <c r="I4606" s="81" t="s">
        <v>1144</v>
      </c>
      <c r="J4606" s="81" t="s">
        <v>224</v>
      </c>
      <c r="K4606" s="81" t="str">
        <f>IFERROR(__xludf.DUMMYFUNCTION("IF(OR(D4606="""",G4606=""""),"""",IFERROR(LET(
campo,XLOOKUP(TRIM(G4606),ARRAYFORMULA(TRIM('indice columnas'!$A$2:$A$100)),'indice columnas'!$B$2:$B$100,""""),
col,IFERROR(MATCH(campo,Referencia!$A$1:$AZ$1,0),0),
fila,IFERROR(MATCH(TO_TEXT(D4606),ARRAYFOR"&amp;"MULA(TO_TEXT(Referencia!$A$2:$A6238)),0),0),
IF(OR(campo="""",campo=""-""),""NO APLICA"",
IF(col=0,""REVISAR EQUIVALENCIA"",
IF(fila=0,""SKU NO ENCONTRADO"",
LET(
valor,INDEX(Referencia!$A$2:$AZ6238,fila,col),
IF(TRIM(TO_TEXT(valor))=TRIM(TO_TEXT(I4606)),"&amp;"
""OK"",
""NO COINCIDE. Valor verdadero: ""&amp;IF(valor="""",""[VACÍO]"",TO_TEXT(valor))
)
))))
),""ERROR EN FÓRMULA""))"),"OK")</f>
        <v>OK</v>
      </c>
    </row>
    <row r="4607">
      <c r="A4607" s="83" t="s">
        <v>4899</v>
      </c>
      <c r="B4607" s="83" t="s">
        <v>4900</v>
      </c>
      <c r="C4607" s="81" t="s">
        <v>4621</v>
      </c>
      <c r="D4607" s="83" t="s">
        <v>4300</v>
      </c>
      <c r="E4607" s="81" t="s">
        <v>1211</v>
      </c>
      <c r="F4607" s="81">
        <v>239.0</v>
      </c>
      <c r="G4607" s="81" t="s">
        <v>2</v>
      </c>
      <c r="H4607" s="81" t="s">
        <v>224</v>
      </c>
      <c r="I4607" s="81" t="s">
        <v>919</v>
      </c>
      <c r="J4607" s="81" t="s">
        <v>224</v>
      </c>
      <c r="K4607" s="81" t="str">
        <f>IFERROR(__xludf.DUMMYFUNCTION("IF(OR(D4607="""",G4607=""""),"""",IFERROR(LET(
campo,XLOOKUP(TRIM(G4607),ARRAYFORMULA(TRIM('indice columnas'!$A$2:$A$100)),'indice columnas'!$B$2:$B$100,""""),
col,IFERROR(MATCH(campo,Referencia!$A$1:$AZ$1,0),0),
fila,IFERROR(MATCH(TO_TEXT(D4607),ARRAYFOR"&amp;"MULA(TO_TEXT(Referencia!$A$2:$A6238)),0),0),
IF(OR(campo="""",campo=""-""),""NO APLICA"",
IF(col=0,""REVISAR EQUIVALENCIA"",
IF(fila=0,""SKU NO ENCONTRADO"",
LET(
valor,INDEX(Referencia!$A$2:$AZ6238,fila,col),
IF(TRIM(TO_TEXT(valor))=TRIM(TO_TEXT(I4607)),"&amp;"
""OK"",
""NO COINCIDE. Valor verdadero: ""&amp;IF(valor="""",""[VACÍO]"",TO_TEXT(valor))
)
))))
),""ERROR EN FÓRMULA""))"),"OK")</f>
        <v>OK</v>
      </c>
    </row>
    <row r="4608">
      <c r="A4608" s="83" t="s">
        <v>4899</v>
      </c>
      <c r="B4608" s="83" t="s">
        <v>4900</v>
      </c>
      <c r="C4608" s="81" t="s">
        <v>4621</v>
      </c>
      <c r="D4608" s="83" t="s">
        <v>4300</v>
      </c>
      <c r="E4608" s="81" t="s">
        <v>1211</v>
      </c>
      <c r="F4608" s="81">
        <v>239.0</v>
      </c>
      <c r="G4608" s="81" t="s">
        <v>1</v>
      </c>
      <c r="H4608" s="81" t="s">
        <v>224</v>
      </c>
      <c r="I4608" s="81" t="s">
        <v>49</v>
      </c>
      <c r="J4608" s="81" t="s">
        <v>224</v>
      </c>
      <c r="K4608" s="81" t="str">
        <f>IFERROR(__xludf.DUMMYFUNCTION("IF(OR(D4608="""",G4608=""""),"""",IFERROR(LET(
campo,XLOOKUP(TRIM(G4608),ARRAYFORMULA(TRIM('indice columnas'!$A$2:$A$100)),'indice columnas'!$B$2:$B$100,""""),
col,IFERROR(MATCH(campo,Referencia!$A$1:$AZ$1,0),0),
fila,IFERROR(MATCH(TO_TEXT(D4608),ARRAYFOR"&amp;"MULA(TO_TEXT(Referencia!$A$2:$A6238)),0),0),
IF(OR(campo="""",campo=""-""),""NO APLICA"",
IF(col=0,""REVISAR EQUIVALENCIA"",
IF(fila=0,""SKU NO ENCONTRADO"",
LET(
valor,INDEX(Referencia!$A$2:$AZ6238,fila,col),
IF(TRIM(TO_TEXT(valor))=TRIM(TO_TEXT(I4608)),"&amp;"
""OK"",
""NO COINCIDE. Valor verdadero: ""&amp;IF(valor="""",""[VACÍO]"",TO_TEXT(valor))
)
))))
),""ERROR EN FÓRMULA""))"),"OK")</f>
        <v>OK</v>
      </c>
    </row>
    <row r="4609">
      <c r="A4609" s="83" t="s">
        <v>4899</v>
      </c>
      <c r="B4609" s="83" t="s">
        <v>4900</v>
      </c>
      <c r="C4609" s="81" t="s">
        <v>4621</v>
      </c>
      <c r="D4609" s="83" t="s">
        <v>4303</v>
      </c>
      <c r="E4609" s="81" t="s">
        <v>1222</v>
      </c>
      <c r="F4609" s="81">
        <v>242.0</v>
      </c>
      <c r="G4609" s="81" t="s">
        <v>3</v>
      </c>
      <c r="H4609" s="81" t="s">
        <v>224</v>
      </c>
      <c r="I4609" s="81" t="s">
        <v>1144</v>
      </c>
      <c r="J4609" s="81" t="s">
        <v>224</v>
      </c>
      <c r="K4609" s="81" t="str">
        <f>IFERROR(__xludf.DUMMYFUNCTION("IF(OR(D4609="""",G4609=""""),"""",IFERROR(LET(
campo,XLOOKUP(TRIM(G4609),ARRAYFORMULA(TRIM('indice columnas'!$A$2:$A$100)),'indice columnas'!$B$2:$B$100,""""),
col,IFERROR(MATCH(campo,Referencia!$A$1:$AZ$1,0),0),
fila,IFERROR(MATCH(TO_TEXT(D4609),ARRAYFOR"&amp;"MULA(TO_TEXT(Referencia!$A$2:$A6238)),0),0),
IF(OR(campo="""",campo=""-""),""NO APLICA"",
IF(col=0,""REVISAR EQUIVALENCIA"",
IF(fila=0,""SKU NO ENCONTRADO"",
LET(
valor,INDEX(Referencia!$A$2:$AZ6238,fila,col),
IF(TRIM(TO_TEXT(valor))=TRIM(TO_TEXT(I4609)),"&amp;"
""OK"",
""NO COINCIDE. Valor verdadero: ""&amp;IF(valor="""",""[VACÍO]"",TO_TEXT(valor))
)
))))
),""ERROR EN FÓRMULA""))"),"OK")</f>
        <v>OK</v>
      </c>
    </row>
    <row r="4610">
      <c r="A4610" s="83" t="s">
        <v>4899</v>
      </c>
      <c r="B4610" s="83" t="s">
        <v>4900</v>
      </c>
      <c r="C4610" s="81" t="s">
        <v>4621</v>
      </c>
      <c r="D4610" s="83" t="s">
        <v>4303</v>
      </c>
      <c r="E4610" s="81" t="s">
        <v>1222</v>
      </c>
      <c r="F4610" s="81">
        <v>242.0</v>
      </c>
      <c r="G4610" s="81" t="s">
        <v>2</v>
      </c>
      <c r="H4610" s="81" t="s">
        <v>224</v>
      </c>
      <c r="I4610" s="81" t="s">
        <v>919</v>
      </c>
      <c r="J4610" s="81" t="s">
        <v>224</v>
      </c>
      <c r="K4610" s="81" t="str">
        <f>IFERROR(__xludf.DUMMYFUNCTION("IF(OR(D4610="""",G4610=""""),"""",IFERROR(LET(
campo,XLOOKUP(TRIM(G4610),ARRAYFORMULA(TRIM('indice columnas'!$A$2:$A$100)),'indice columnas'!$B$2:$B$100,""""),
col,IFERROR(MATCH(campo,Referencia!$A$1:$AZ$1,0),0),
fila,IFERROR(MATCH(TO_TEXT(D4610),ARRAYFOR"&amp;"MULA(TO_TEXT(Referencia!$A$2:$A6238)),0),0),
IF(OR(campo="""",campo=""-""),""NO APLICA"",
IF(col=0,""REVISAR EQUIVALENCIA"",
IF(fila=0,""SKU NO ENCONTRADO"",
LET(
valor,INDEX(Referencia!$A$2:$AZ6238,fila,col),
IF(TRIM(TO_TEXT(valor))=TRIM(TO_TEXT(I4610)),"&amp;"
""OK"",
""NO COINCIDE. Valor verdadero: ""&amp;IF(valor="""",""[VACÍO]"",TO_TEXT(valor))
)
))))
),""ERROR EN FÓRMULA""))"),"OK")</f>
        <v>OK</v>
      </c>
    </row>
    <row r="4611">
      <c r="A4611" s="83" t="s">
        <v>4899</v>
      </c>
      <c r="B4611" s="83" t="s">
        <v>4900</v>
      </c>
      <c r="C4611" s="81" t="s">
        <v>4621</v>
      </c>
      <c r="D4611" s="83" t="s">
        <v>4303</v>
      </c>
      <c r="E4611" s="81" t="s">
        <v>1222</v>
      </c>
      <c r="F4611" s="81">
        <v>242.0</v>
      </c>
      <c r="G4611" s="81" t="s">
        <v>1</v>
      </c>
      <c r="H4611" s="81" t="s">
        <v>224</v>
      </c>
      <c r="I4611" s="81" t="s">
        <v>49</v>
      </c>
      <c r="J4611" s="81" t="s">
        <v>224</v>
      </c>
      <c r="K4611" s="81" t="str">
        <f>IFERROR(__xludf.DUMMYFUNCTION("IF(OR(D4611="""",G4611=""""),"""",IFERROR(LET(
campo,XLOOKUP(TRIM(G4611),ARRAYFORMULA(TRIM('indice columnas'!$A$2:$A$100)),'indice columnas'!$B$2:$B$100,""""),
col,IFERROR(MATCH(campo,Referencia!$A$1:$AZ$1,0),0),
fila,IFERROR(MATCH(TO_TEXT(D4611),ARRAYFOR"&amp;"MULA(TO_TEXT(Referencia!$A$2:$A6238)),0),0),
IF(OR(campo="""",campo=""-""),""NO APLICA"",
IF(col=0,""REVISAR EQUIVALENCIA"",
IF(fila=0,""SKU NO ENCONTRADO"",
LET(
valor,INDEX(Referencia!$A$2:$AZ6238,fila,col),
IF(TRIM(TO_TEXT(valor))=TRIM(TO_TEXT(I4611)),"&amp;"
""OK"",
""NO COINCIDE. Valor verdadero: ""&amp;IF(valor="""",""[VACÍO]"",TO_TEXT(valor))
)
))))
),""ERROR EN FÓRMULA""))"),"OK")</f>
        <v>OK</v>
      </c>
    </row>
    <row r="4612">
      <c r="A4612" s="83" t="s">
        <v>4899</v>
      </c>
      <c r="B4612" s="83" t="s">
        <v>4900</v>
      </c>
      <c r="C4612" s="81" t="s">
        <v>4621</v>
      </c>
      <c r="D4612" s="83" t="s">
        <v>4305</v>
      </c>
      <c r="E4612" s="81" t="s">
        <v>1234</v>
      </c>
      <c r="F4612" s="81">
        <v>245.0</v>
      </c>
      <c r="G4612" s="81" t="s">
        <v>3</v>
      </c>
      <c r="H4612" s="81" t="s">
        <v>224</v>
      </c>
      <c r="I4612" s="81" t="s">
        <v>1144</v>
      </c>
      <c r="J4612" s="81" t="s">
        <v>224</v>
      </c>
      <c r="K4612" s="81" t="str">
        <f>IFERROR(__xludf.DUMMYFUNCTION("IF(OR(D4612="""",G4612=""""),"""",IFERROR(LET(
campo,XLOOKUP(TRIM(G4612),ARRAYFORMULA(TRIM('indice columnas'!$A$2:$A$100)),'indice columnas'!$B$2:$B$100,""""),
col,IFERROR(MATCH(campo,Referencia!$A$1:$AZ$1,0),0),
fila,IFERROR(MATCH(TO_TEXT(D4612),ARRAYFOR"&amp;"MULA(TO_TEXT(Referencia!$A$2:$A6238)),0),0),
IF(OR(campo="""",campo=""-""),""NO APLICA"",
IF(col=0,""REVISAR EQUIVALENCIA"",
IF(fila=0,""SKU NO ENCONTRADO"",
LET(
valor,INDEX(Referencia!$A$2:$AZ6238,fila,col),
IF(TRIM(TO_TEXT(valor))=TRIM(TO_TEXT(I4612)),"&amp;"
""OK"",
""NO COINCIDE. Valor verdadero: ""&amp;IF(valor="""",""[VACÍO]"",TO_TEXT(valor))
)
))))
),""ERROR EN FÓRMULA""))"),"OK")</f>
        <v>OK</v>
      </c>
    </row>
    <row r="4613">
      <c r="A4613" s="83" t="s">
        <v>4899</v>
      </c>
      <c r="B4613" s="83" t="s">
        <v>4900</v>
      </c>
      <c r="C4613" s="81" t="s">
        <v>4621</v>
      </c>
      <c r="D4613" s="83" t="s">
        <v>4305</v>
      </c>
      <c r="E4613" s="81" t="s">
        <v>1234</v>
      </c>
      <c r="F4613" s="81">
        <v>245.0</v>
      </c>
      <c r="G4613" s="81" t="s">
        <v>2</v>
      </c>
      <c r="H4613" s="81" t="s">
        <v>224</v>
      </c>
      <c r="I4613" s="81" t="s">
        <v>213</v>
      </c>
      <c r="J4613" s="81" t="s">
        <v>224</v>
      </c>
      <c r="K4613" s="81" t="str">
        <f>IFERROR(__xludf.DUMMYFUNCTION("IF(OR(D4613="""",G4613=""""),"""",IFERROR(LET(
campo,XLOOKUP(TRIM(G4613),ARRAYFORMULA(TRIM('indice columnas'!$A$2:$A$100)),'indice columnas'!$B$2:$B$100,""""),
col,IFERROR(MATCH(campo,Referencia!$A$1:$AZ$1,0),0),
fila,IFERROR(MATCH(TO_TEXT(D4613),ARRAYFOR"&amp;"MULA(TO_TEXT(Referencia!$A$2:$A6238)),0),0),
IF(OR(campo="""",campo=""-""),""NO APLICA"",
IF(col=0,""REVISAR EQUIVALENCIA"",
IF(fila=0,""SKU NO ENCONTRADO"",
LET(
valor,INDEX(Referencia!$A$2:$AZ6238,fila,col),
IF(TRIM(TO_TEXT(valor))=TRIM(TO_TEXT(I4613)),"&amp;"
""OK"",
""NO COINCIDE. Valor verdadero: ""&amp;IF(valor="""",""[VACÍO]"",TO_TEXT(valor))
)
))))
),""ERROR EN FÓRMULA""))"),"OK")</f>
        <v>OK</v>
      </c>
    </row>
    <row r="4614">
      <c r="A4614" s="83" t="s">
        <v>4899</v>
      </c>
      <c r="B4614" s="83" t="s">
        <v>4900</v>
      </c>
      <c r="C4614" s="81" t="s">
        <v>4621</v>
      </c>
      <c r="D4614" s="83" t="s">
        <v>4305</v>
      </c>
      <c r="E4614" s="81" t="s">
        <v>1234</v>
      </c>
      <c r="F4614" s="81">
        <v>245.0</v>
      </c>
      <c r="G4614" s="81" t="s">
        <v>1</v>
      </c>
      <c r="H4614" s="81" t="s">
        <v>224</v>
      </c>
      <c r="I4614" s="81" t="s">
        <v>49</v>
      </c>
      <c r="J4614" s="81" t="s">
        <v>224</v>
      </c>
      <c r="K4614" s="81" t="str">
        <f>IFERROR(__xludf.DUMMYFUNCTION("IF(OR(D4614="""",G4614=""""),"""",IFERROR(LET(
campo,XLOOKUP(TRIM(G4614),ARRAYFORMULA(TRIM('indice columnas'!$A$2:$A$100)),'indice columnas'!$B$2:$B$100,""""),
col,IFERROR(MATCH(campo,Referencia!$A$1:$AZ$1,0),0),
fila,IFERROR(MATCH(TO_TEXT(D4614),ARRAYFOR"&amp;"MULA(TO_TEXT(Referencia!$A$2:$A6238)),0),0),
IF(OR(campo="""",campo=""-""),""NO APLICA"",
IF(col=0,""REVISAR EQUIVALENCIA"",
IF(fila=0,""SKU NO ENCONTRADO"",
LET(
valor,INDEX(Referencia!$A$2:$AZ6238,fila,col),
IF(TRIM(TO_TEXT(valor))=TRIM(TO_TEXT(I4614)),"&amp;"
""OK"",
""NO COINCIDE. Valor verdadero: ""&amp;IF(valor="""",""[VACÍO]"",TO_TEXT(valor))
)
))))
),""ERROR EN FÓRMULA""))"),"OK")</f>
        <v>OK</v>
      </c>
    </row>
    <row r="4615">
      <c r="A4615" s="83" t="s">
        <v>4899</v>
      </c>
      <c r="B4615" s="83" t="s">
        <v>4900</v>
      </c>
      <c r="C4615" s="81" t="s">
        <v>4621</v>
      </c>
      <c r="D4615" s="83" t="s">
        <v>4309</v>
      </c>
      <c r="E4615" s="81" t="s">
        <v>1267</v>
      </c>
      <c r="F4615" s="81">
        <v>249.0</v>
      </c>
      <c r="G4615" s="81" t="s">
        <v>3</v>
      </c>
      <c r="H4615" s="81" t="s">
        <v>376</v>
      </c>
      <c r="I4615" s="81" t="s">
        <v>344</v>
      </c>
      <c r="J4615" s="81" t="s">
        <v>224</v>
      </c>
      <c r="K4615" s="81" t="str">
        <f>IFERROR(__xludf.DUMMYFUNCTION("IF(OR(D4615="""",G4615=""""),"""",IFERROR(LET(
campo,XLOOKUP(TRIM(G4615),ARRAYFORMULA(TRIM('indice columnas'!$A$2:$A$100)),'indice columnas'!$B$2:$B$100,""""),
col,IFERROR(MATCH(campo,Referencia!$A$1:$AZ$1,0),0),
fila,IFERROR(MATCH(TO_TEXT(D4615),ARRAYFOR"&amp;"MULA(TO_TEXT(Referencia!$A$2:$A6238)),0),0),
IF(OR(campo="""",campo=""-""),""NO APLICA"",
IF(col=0,""REVISAR EQUIVALENCIA"",
IF(fila=0,""SKU NO ENCONTRADO"",
LET(
valor,INDEX(Referencia!$A$2:$AZ6238,fila,col),
IF(TRIM(TO_TEXT(valor))=TRIM(TO_TEXT(I4615)),"&amp;"
""OK"",
""NO COINCIDE. Valor verdadero: ""&amp;IF(valor="""",""[VACÍO]"",TO_TEXT(valor))
)
))))
),""ERROR EN FÓRMULA""))"),"OK")</f>
        <v>OK</v>
      </c>
    </row>
    <row r="4616">
      <c r="A4616" s="83" t="s">
        <v>4899</v>
      </c>
      <c r="B4616" s="83" t="s">
        <v>4900</v>
      </c>
      <c r="C4616" s="81" t="s">
        <v>4621</v>
      </c>
      <c r="D4616" s="83" t="s">
        <v>4310</v>
      </c>
      <c r="E4616" s="81" t="s">
        <v>1268</v>
      </c>
      <c r="F4616" s="81">
        <v>250.0</v>
      </c>
      <c r="G4616" s="81" t="s">
        <v>3</v>
      </c>
      <c r="H4616" s="81" t="s">
        <v>224</v>
      </c>
      <c r="I4616" s="81" t="s">
        <v>344</v>
      </c>
      <c r="J4616" s="81" t="s">
        <v>224</v>
      </c>
      <c r="K4616" s="81" t="str">
        <f>IFERROR(__xludf.DUMMYFUNCTION("IF(OR(D4616="""",G4616=""""),"""",IFERROR(LET(
campo,XLOOKUP(TRIM(G4616),ARRAYFORMULA(TRIM('indice columnas'!$A$2:$A$100)),'indice columnas'!$B$2:$B$100,""""),
col,IFERROR(MATCH(campo,Referencia!$A$1:$AZ$1,0),0),
fila,IFERROR(MATCH(TO_TEXT(D4616),ARRAYFOR"&amp;"MULA(TO_TEXT(Referencia!$A$2:$A6238)),0),0),
IF(OR(campo="""",campo=""-""),""NO APLICA"",
IF(col=0,""REVISAR EQUIVALENCIA"",
IF(fila=0,""SKU NO ENCONTRADO"",
LET(
valor,INDEX(Referencia!$A$2:$AZ6238,fila,col),
IF(TRIM(TO_TEXT(valor))=TRIM(TO_TEXT(I4616)),"&amp;"
""OK"",
""NO COINCIDE. Valor verdadero: ""&amp;IF(valor="""",""[VACÍO]"",TO_TEXT(valor))
)
))))
),""ERROR EN FÓRMULA""))"),"OK")</f>
        <v>OK</v>
      </c>
    </row>
    <row r="4617">
      <c r="A4617" s="83" t="s">
        <v>4899</v>
      </c>
      <c r="B4617" s="83" t="s">
        <v>4900</v>
      </c>
      <c r="C4617" s="81" t="s">
        <v>4621</v>
      </c>
      <c r="D4617" s="83" t="s">
        <v>4310</v>
      </c>
      <c r="E4617" s="81" t="s">
        <v>1268</v>
      </c>
      <c r="F4617" s="81">
        <v>250.0</v>
      </c>
      <c r="G4617" s="81" t="s">
        <v>2</v>
      </c>
      <c r="H4617" s="81" t="s">
        <v>224</v>
      </c>
      <c r="I4617" s="81" t="s">
        <v>50</v>
      </c>
      <c r="J4617" s="81" t="s">
        <v>224</v>
      </c>
      <c r="K4617" s="81" t="str">
        <f>IFERROR(__xludf.DUMMYFUNCTION("IF(OR(D4617="""",G4617=""""),"""",IFERROR(LET(
campo,XLOOKUP(TRIM(G4617),ARRAYFORMULA(TRIM('indice columnas'!$A$2:$A$100)),'indice columnas'!$B$2:$B$100,""""),
col,IFERROR(MATCH(campo,Referencia!$A$1:$AZ$1,0),0),
fila,IFERROR(MATCH(TO_TEXT(D4617),ARRAYFOR"&amp;"MULA(TO_TEXT(Referencia!$A$2:$A6238)),0),0),
IF(OR(campo="""",campo=""-""),""NO APLICA"",
IF(col=0,""REVISAR EQUIVALENCIA"",
IF(fila=0,""SKU NO ENCONTRADO"",
LET(
valor,INDEX(Referencia!$A$2:$AZ6238,fila,col),
IF(TRIM(TO_TEXT(valor))=TRIM(TO_TEXT(I4617)),"&amp;"
""OK"",
""NO COINCIDE. Valor verdadero: ""&amp;IF(valor="""",""[VACÍO]"",TO_TEXT(valor))
)
))))
),""ERROR EN FÓRMULA""))"),"OK")</f>
        <v>OK</v>
      </c>
    </row>
    <row r="4618">
      <c r="A4618" s="83" t="s">
        <v>4899</v>
      </c>
      <c r="B4618" s="83" t="s">
        <v>4900</v>
      </c>
      <c r="C4618" s="81" t="s">
        <v>4621</v>
      </c>
      <c r="D4618" s="83" t="s">
        <v>4310</v>
      </c>
      <c r="E4618" s="81" t="s">
        <v>1268</v>
      </c>
      <c r="F4618" s="81">
        <v>250.0</v>
      </c>
      <c r="G4618" s="81" t="s">
        <v>1</v>
      </c>
      <c r="H4618" s="81" t="s">
        <v>224</v>
      </c>
      <c r="I4618" s="81" t="s">
        <v>49</v>
      </c>
      <c r="J4618" s="81" t="s">
        <v>224</v>
      </c>
      <c r="K4618" s="81" t="str">
        <f>IFERROR(__xludf.DUMMYFUNCTION("IF(OR(D4618="""",G4618=""""),"""",IFERROR(LET(
campo,XLOOKUP(TRIM(G4618),ARRAYFORMULA(TRIM('indice columnas'!$A$2:$A$100)),'indice columnas'!$B$2:$B$100,""""),
col,IFERROR(MATCH(campo,Referencia!$A$1:$AZ$1,0),0),
fila,IFERROR(MATCH(TO_TEXT(D4618),ARRAYFOR"&amp;"MULA(TO_TEXT(Referencia!$A$2:$A6238)),0),0),
IF(OR(campo="""",campo=""-""),""NO APLICA"",
IF(col=0,""REVISAR EQUIVALENCIA"",
IF(fila=0,""SKU NO ENCONTRADO"",
LET(
valor,INDEX(Referencia!$A$2:$AZ6238,fila,col),
IF(TRIM(TO_TEXT(valor))=TRIM(TO_TEXT(I4618)),"&amp;"
""OK"",
""NO COINCIDE. Valor verdadero: ""&amp;IF(valor="""",""[VACÍO]"",TO_TEXT(valor))
)
))))
),""ERROR EN FÓRMULA""))"),"OK")</f>
        <v>OK</v>
      </c>
    </row>
    <row r="4619">
      <c r="A4619" s="83" t="s">
        <v>4899</v>
      </c>
      <c r="B4619" s="83" t="s">
        <v>4900</v>
      </c>
      <c r="C4619" s="81" t="s">
        <v>4621</v>
      </c>
      <c r="D4619" s="83" t="s">
        <v>4313</v>
      </c>
      <c r="E4619" s="81" t="s">
        <v>1286</v>
      </c>
      <c r="F4619" s="81">
        <v>253.0</v>
      </c>
      <c r="G4619" s="81" t="s">
        <v>3</v>
      </c>
      <c r="H4619" s="81" t="s">
        <v>224</v>
      </c>
      <c r="I4619" s="81" t="s">
        <v>51</v>
      </c>
      <c r="J4619" s="81" t="s">
        <v>224</v>
      </c>
      <c r="K4619" s="81" t="str">
        <f>IFERROR(__xludf.DUMMYFUNCTION("IF(OR(D4619="""",G4619=""""),"""",IFERROR(LET(
campo,XLOOKUP(TRIM(G4619),ARRAYFORMULA(TRIM('indice columnas'!$A$2:$A$100)),'indice columnas'!$B$2:$B$100,""""),
col,IFERROR(MATCH(campo,Referencia!$A$1:$AZ$1,0),0),
fila,IFERROR(MATCH(TO_TEXT(D4619),ARRAYFOR"&amp;"MULA(TO_TEXT(Referencia!$A$2:$A6238)),0),0),
IF(OR(campo="""",campo=""-""),""NO APLICA"",
IF(col=0,""REVISAR EQUIVALENCIA"",
IF(fila=0,""SKU NO ENCONTRADO"",
LET(
valor,INDEX(Referencia!$A$2:$AZ6238,fila,col),
IF(TRIM(TO_TEXT(valor))=TRIM(TO_TEXT(I4619)),"&amp;"
""OK"",
""NO COINCIDE. Valor verdadero: ""&amp;IF(valor="""",""[VACÍO]"",TO_TEXT(valor))
)
))))
),""ERROR EN FÓRMULA""))"),"OK")</f>
        <v>OK</v>
      </c>
    </row>
    <row r="4620">
      <c r="A4620" s="83" t="s">
        <v>4899</v>
      </c>
      <c r="B4620" s="83" t="s">
        <v>4900</v>
      </c>
      <c r="C4620" s="81" t="s">
        <v>4621</v>
      </c>
      <c r="D4620" s="83" t="s">
        <v>4313</v>
      </c>
      <c r="E4620" s="81" t="s">
        <v>1286</v>
      </c>
      <c r="F4620" s="81">
        <v>253.0</v>
      </c>
      <c r="G4620" s="81" t="s">
        <v>2</v>
      </c>
      <c r="H4620" s="81" t="s">
        <v>224</v>
      </c>
      <c r="I4620" s="81" t="s">
        <v>50</v>
      </c>
      <c r="J4620" s="81" t="s">
        <v>224</v>
      </c>
      <c r="K4620" s="81" t="str">
        <f>IFERROR(__xludf.DUMMYFUNCTION("IF(OR(D4620="""",G4620=""""),"""",IFERROR(LET(
campo,XLOOKUP(TRIM(G4620),ARRAYFORMULA(TRIM('indice columnas'!$A$2:$A$100)),'indice columnas'!$B$2:$B$100,""""),
col,IFERROR(MATCH(campo,Referencia!$A$1:$AZ$1,0),0),
fila,IFERROR(MATCH(TO_TEXT(D4620),ARRAYFOR"&amp;"MULA(TO_TEXT(Referencia!$A$2:$A6238)),0),0),
IF(OR(campo="""",campo=""-""),""NO APLICA"",
IF(col=0,""REVISAR EQUIVALENCIA"",
IF(fila=0,""SKU NO ENCONTRADO"",
LET(
valor,INDEX(Referencia!$A$2:$AZ6238,fila,col),
IF(TRIM(TO_TEXT(valor))=TRIM(TO_TEXT(I4620)),"&amp;"
""OK"",
""NO COINCIDE. Valor verdadero: ""&amp;IF(valor="""",""[VACÍO]"",TO_TEXT(valor))
)
))))
),""ERROR EN FÓRMULA""))"),"OK")</f>
        <v>OK</v>
      </c>
    </row>
    <row r="4621">
      <c r="A4621" s="83" t="s">
        <v>4899</v>
      </c>
      <c r="B4621" s="83" t="s">
        <v>4900</v>
      </c>
      <c r="C4621" s="81" t="s">
        <v>4621</v>
      </c>
      <c r="D4621" s="83" t="s">
        <v>4313</v>
      </c>
      <c r="E4621" s="81" t="s">
        <v>1286</v>
      </c>
      <c r="F4621" s="81">
        <v>253.0</v>
      </c>
      <c r="G4621" s="81" t="s">
        <v>1</v>
      </c>
      <c r="H4621" s="81" t="s">
        <v>224</v>
      </c>
      <c r="I4621" s="81" t="s">
        <v>49</v>
      </c>
      <c r="J4621" s="81" t="s">
        <v>224</v>
      </c>
      <c r="K4621" s="81" t="str">
        <f>IFERROR(__xludf.DUMMYFUNCTION("IF(OR(D4621="""",G4621=""""),"""",IFERROR(LET(
campo,XLOOKUP(TRIM(G4621),ARRAYFORMULA(TRIM('indice columnas'!$A$2:$A$100)),'indice columnas'!$B$2:$B$100,""""),
col,IFERROR(MATCH(campo,Referencia!$A$1:$AZ$1,0),0),
fila,IFERROR(MATCH(TO_TEXT(D4621),ARRAYFOR"&amp;"MULA(TO_TEXT(Referencia!$A$2:$A6238)),0),0),
IF(OR(campo="""",campo=""-""),""NO APLICA"",
IF(col=0,""REVISAR EQUIVALENCIA"",
IF(fila=0,""SKU NO ENCONTRADO"",
LET(
valor,INDEX(Referencia!$A$2:$AZ6238,fila,col),
IF(TRIM(TO_TEXT(valor))=TRIM(TO_TEXT(I4621)),"&amp;"
""OK"",
""NO COINCIDE. Valor verdadero: ""&amp;IF(valor="""",""[VACÍO]"",TO_TEXT(valor))
)
))))
),""ERROR EN FÓRMULA""))"),"OK")</f>
        <v>OK</v>
      </c>
    </row>
    <row r="4622">
      <c r="A4622" s="83" t="s">
        <v>4899</v>
      </c>
      <c r="B4622" s="83" t="s">
        <v>4900</v>
      </c>
      <c r="C4622" s="81" t="s">
        <v>4621</v>
      </c>
      <c r="D4622" s="83" t="s">
        <v>4318</v>
      </c>
      <c r="E4622" s="81" t="s">
        <v>1336</v>
      </c>
      <c r="F4622" s="81">
        <v>258.0</v>
      </c>
      <c r="G4622" s="81" t="s">
        <v>3</v>
      </c>
      <c r="H4622" s="81" t="s">
        <v>376</v>
      </c>
      <c r="I4622" s="81" t="s">
        <v>344</v>
      </c>
      <c r="J4622" s="81" t="s">
        <v>224</v>
      </c>
      <c r="K4622" s="81" t="str">
        <f>IFERROR(__xludf.DUMMYFUNCTION("IF(OR(D4622="""",G4622=""""),"""",IFERROR(LET(
campo,XLOOKUP(TRIM(G4622),ARRAYFORMULA(TRIM('indice columnas'!$A$2:$A$100)),'indice columnas'!$B$2:$B$100,""""),
col,IFERROR(MATCH(campo,Referencia!$A$1:$AZ$1,0),0),
fila,IFERROR(MATCH(TO_TEXT(D4622),ARRAYFOR"&amp;"MULA(TO_TEXT(Referencia!$A$2:$A6238)),0),0),
IF(OR(campo="""",campo=""-""),""NO APLICA"",
IF(col=0,""REVISAR EQUIVALENCIA"",
IF(fila=0,""SKU NO ENCONTRADO"",
LET(
valor,INDEX(Referencia!$A$2:$AZ6238,fila,col),
IF(TRIM(TO_TEXT(valor))=TRIM(TO_TEXT(I4622)),"&amp;"
""OK"",
""NO COINCIDE. Valor verdadero: ""&amp;IF(valor="""",""[VACÍO]"",TO_TEXT(valor))
)
))))
),""ERROR EN FÓRMULA""))"),"OK")</f>
        <v>OK</v>
      </c>
    </row>
    <row r="4623">
      <c r="A4623" s="83" t="s">
        <v>4899</v>
      </c>
      <c r="B4623" s="83" t="s">
        <v>4900</v>
      </c>
      <c r="C4623" s="81" t="s">
        <v>4621</v>
      </c>
      <c r="D4623" s="83" t="s">
        <v>4319</v>
      </c>
      <c r="E4623" s="81" t="s">
        <v>1350</v>
      </c>
      <c r="F4623" s="81">
        <v>259.0</v>
      </c>
      <c r="G4623" s="81" t="s">
        <v>2</v>
      </c>
      <c r="H4623" s="81" t="s">
        <v>1827</v>
      </c>
      <c r="I4623" s="81" t="s">
        <v>332</v>
      </c>
      <c r="J4623" s="81" t="s">
        <v>224</v>
      </c>
      <c r="K4623" s="81" t="str">
        <f>IFERROR(__xludf.DUMMYFUNCTION("IF(OR(D4623="""",G4623=""""),"""",IFERROR(LET(
campo,XLOOKUP(TRIM(G4623),ARRAYFORMULA(TRIM('indice columnas'!$A$2:$A$100)),'indice columnas'!$B$2:$B$100,""""),
col,IFERROR(MATCH(campo,Referencia!$A$1:$AZ$1,0),0),
fila,IFERROR(MATCH(TO_TEXT(D4623),ARRAYFOR"&amp;"MULA(TO_TEXT(Referencia!$A$2:$A6238)),0),0),
IF(OR(campo="""",campo=""-""),""NO APLICA"",
IF(col=0,""REVISAR EQUIVALENCIA"",
IF(fila=0,""SKU NO ENCONTRADO"",
LET(
valor,INDEX(Referencia!$A$2:$AZ6238,fila,col),
IF(TRIM(TO_TEXT(valor))=TRIM(TO_TEXT(I4623)),"&amp;"
""OK"",
""NO COINCIDE. Valor verdadero: ""&amp;IF(valor="""",""[VACÍO]"",TO_TEXT(valor))
)
))))
),""ERROR EN FÓRMULA""))"),"OK")</f>
        <v>OK</v>
      </c>
    </row>
    <row r="4624">
      <c r="A4624" s="83" t="s">
        <v>4899</v>
      </c>
      <c r="B4624" s="83" t="s">
        <v>4900</v>
      </c>
      <c r="C4624" s="81" t="s">
        <v>4621</v>
      </c>
      <c r="D4624" s="83" t="s">
        <v>4322</v>
      </c>
      <c r="E4624" s="81" t="s">
        <v>1367</v>
      </c>
      <c r="F4624" s="81">
        <v>262.0</v>
      </c>
      <c r="G4624" s="81" t="s">
        <v>3</v>
      </c>
      <c r="H4624" s="81" t="s">
        <v>224</v>
      </c>
      <c r="I4624" s="81" t="s">
        <v>920</v>
      </c>
      <c r="J4624" s="81" t="s">
        <v>224</v>
      </c>
      <c r="K4624" s="81" t="str">
        <f>IFERROR(__xludf.DUMMYFUNCTION("IF(OR(D4624="""",G4624=""""),"""",IFERROR(LET(
campo,XLOOKUP(TRIM(G4624),ARRAYFORMULA(TRIM('indice columnas'!$A$2:$A$100)),'indice columnas'!$B$2:$B$100,""""),
col,IFERROR(MATCH(campo,Referencia!$A$1:$AZ$1,0),0),
fila,IFERROR(MATCH(TO_TEXT(D4624),ARRAYFOR"&amp;"MULA(TO_TEXT(Referencia!$A$2:$A6238)),0),0),
IF(OR(campo="""",campo=""-""),""NO APLICA"",
IF(col=0,""REVISAR EQUIVALENCIA"",
IF(fila=0,""SKU NO ENCONTRADO"",
LET(
valor,INDEX(Referencia!$A$2:$AZ6238,fila,col),
IF(TRIM(TO_TEXT(valor))=TRIM(TO_TEXT(I4624)),"&amp;"
""OK"",
""NO COINCIDE. Valor verdadero: ""&amp;IF(valor="""",""[VACÍO]"",TO_TEXT(valor))
)
))))
),""ERROR EN FÓRMULA""))"),"OK")</f>
        <v>OK</v>
      </c>
    </row>
    <row r="4625">
      <c r="A4625" s="83" t="s">
        <v>4899</v>
      </c>
      <c r="B4625" s="83" t="s">
        <v>4900</v>
      </c>
      <c r="C4625" s="81" t="s">
        <v>4621</v>
      </c>
      <c r="D4625" s="83" t="s">
        <v>4322</v>
      </c>
      <c r="E4625" s="81" t="s">
        <v>1367</v>
      </c>
      <c r="F4625" s="81">
        <v>262.0</v>
      </c>
      <c r="G4625" s="81" t="s">
        <v>2</v>
      </c>
      <c r="H4625" s="81" t="s">
        <v>224</v>
      </c>
      <c r="I4625" s="81" t="s">
        <v>919</v>
      </c>
      <c r="J4625" s="81" t="s">
        <v>224</v>
      </c>
      <c r="K4625" s="81" t="str">
        <f>IFERROR(__xludf.DUMMYFUNCTION("IF(OR(D4625="""",G4625=""""),"""",IFERROR(LET(
campo,XLOOKUP(TRIM(G4625),ARRAYFORMULA(TRIM('indice columnas'!$A$2:$A$100)),'indice columnas'!$B$2:$B$100,""""),
col,IFERROR(MATCH(campo,Referencia!$A$1:$AZ$1,0),0),
fila,IFERROR(MATCH(TO_TEXT(D4625),ARRAYFOR"&amp;"MULA(TO_TEXT(Referencia!$A$2:$A6238)),0),0),
IF(OR(campo="""",campo=""-""),""NO APLICA"",
IF(col=0,""REVISAR EQUIVALENCIA"",
IF(fila=0,""SKU NO ENCONTRADO"",
LET(
valor,INDEX(Referencia!$A$2:$AZ6238,fila,col),
IF(TRIM(TO_TEXT(valor))=TRIM(TO_TEXT(I4625)),"&amp;"
""OK"",
""NO COINCIDE. Valor verdadero: ""&amp;IF(valor="""",""[VACÍO]"",TO_TEXT(valor))
)
))))
),""ERROR EN FÓRMULA""))"),"OK")</f>
        <v>OK</v>
      </c>
    </row>
    <row r="4626">
      <c r="A4626" s="83" t="s">
        <v>4899</v>
      </c>
      <c r="B4626" s="83" t="s">
        <v>4900</v>
      </c>
      <c r="C4626" s="81" t="s">
        <v>4621</v>
      </c>
      <c r="D4626" s="83" t="s">
        <v>4322</v>
      </c>
      <c r="E4626" s="81" t="s">
        <v>1367</v>
      </c>
      <c r="F4626" s="81">
        <v>262.0</v>
      </c>
      <c r="G4626" s="81" t="s">
        <v>1</v>
      </c>
      <c r="H4626" s="81" t="s">
        <v>224</v>
      </c>
      <c r="I4626" s="81" t="s">
        <v>49</v>
      </c>
      <c r="J4626" s="81" t="s">
        <v>224</v>
      </c>
      <c r="K4626" s="81" t="str">
        <f>IFERROR(__xludf.DUMMYFUNCTION("IF(OR(D4626="""",G4626=""""),"""",IFERROR(LET(
campo,XLOOKUP(TRIM(G4626),ARRAYFORMULA(TRIM('indice columnas'!$A$2:$A$100)),'indice columnas'!$B$2:$B$100,""""),
col,IFERROR(MATCH(campo,Referencia!$A$1:$AZ$1,0),0),
fila,IFERROR(MATCH(TO_TEXT(D4626),ARRAYFOR"&amp;"MULA(TO_TEXT(Referencia!$A$2:$A6238)),0),0),
IF(OR(campo="""",campo=""-""),""NO APLICA"",
IF(col=0,""REVISAR EQUIVALENCIA"",
IF(fila=0,""SKU NO ENCONTRADO"",
LET(
valor,INDEX(Referencia!$A$2:$AZ6238,fila,col),
IF(TRIM(TO_TEXT(valor))=TRIM(TO_TEXT(I4626)),"&amp;"
""OK"",
""NO COINCIDE. Valor verdadero: ""&amp;IF(valor="""",""[VACÍO]"",TO_TEXT(valor))
)
))))
),""ERROR EN FÓRMULA""))"),"OK")</f>
        <v>OK</v>
      </c>
    </row>
    <row r="4627">
      <c r="A4627" s="83" t="s">
        <v>4899</v>
      </c>
      <c r="B4627" s="83" t="s">
        <v>4900</v>
      </c>
      <c r="C4627" s="81" t="s">
        <v>4621</v>
      </c>
      <c r="D4627" s="83" t="s">
        <v>4323</v>
      </c>
      <c r="E4627" s="81" t="s">
        <v>1370</v>
      </c>
      <c r="F4627" s="81">
        <v>263.0</v>
      </c>
      <c r="G4627" s="81" t="s">
        <v>3</v>
      </c>
      <c r="H4627" s="81" t="s">
        <v>224</v>
      </c>
      <c r="I4627" s="81" t="s">
        <v>920</v>
      </c>
      <c r="J4627" s="81" t="s">
        <v>224</v>
      </c>
      <c r="K4627" s="81" t="str">
        <f>IFERROR(__xludf.DUMMYFUNCTION("IF(OR(D4627="""",G4627=""""),"""",IFERROR(LET(
campo,XLOOKUP(TRIM(G4627),ARRAYFORMULA(TRIM('indice columnas'!$A$2:$A$100)),'indice columnas'!$B$2:$B$100,""""),
col,IFERROR(MATCH(campo,Referencia!$A$1:$AZ$1,0),0),
fila,IFERROR(MATCH(TO_TEXT(D4627),ARRAYFOR"&amp;"MULA(TO_TEXT(Referencia!$A$2:$A6238)),0),0),
IF(OR(campo="""",campo=""-""),""NO APLICA"",
IF(col=0,""REVISAR EQUIVALENCIA"",
IF(fila=0,""SKU NO ENCONTRADO"",
LET(
valor,INDEX(Referencia!$A$2:$AZ6238,fila,col),
IF(TRIM(TO_TEXT(valor))=TRIM(TO_TEXT(I4627)),"&amp;"
""OK"",
""NO COINCIDE. Valor verdadero: ""&amp;IF(valor="""",""[VACÍO]"",TO_TEXT(valor))
)
))))
),""ERROR EN FÓRMULA""))"),"OK")</f>
        <v>OK</v>
      </c>
    </row>
    <row r="4628">
      <c r="A4628" s="83" t="s">
        <v>4899</v>
      </c>
      <c r="B4628" s="83" t="s">
        <v>4900</v>
      </c>
      <c r="C4628" s="81" t="s">
        <v>4621</v>
      </c>
      <c r="D4628" s="83" t="s">
        <v>4323</v>
      </c>
      <c r="E4628" s="81" t="s">
        <v>1370</v>
      </c>
      <c r="F4628" s="81">
        <v>263.0</v>
      </c>
      <c r="G4628" s="81" t="s">
        <v>2</v>
      </c>
      <c r="H4628" s="81" t="s">
        <v>224</v>
      </c>
      <c r="I4628" s="81" t="s">
        <v>919</v>
      </c>
      <c r="J4628" s="81" t="s">
        <v>224</v>
      </c>
      <c r="K4628" s="81" t="str">
        <f>IFERROR(__xludf.DUMMYFUNCTION("IF(OR(D4628="""",G4628=""""),"""",IFERROR(LET(
campo,XLOOKUP(TRIM(G4628),ARRAYFORMULA(TRIM('indice columnas'!$A$2:$A$100)),'indice columnas'!$B$2:$B$100,""""),
col,IFERROR(MATCH(campo,Referencia!$A$1:$AZ$1,0),0),
fila,IFERROR(MATCH(TO_TEXT(D4628),ARRAYFOR"&amp;"MULA(TO_TEXT(Referencia!$A$2:$A6238)),0),0),
IF(OR(campo="""",campo=""-""),""NO APLICA"",
IF(col=0,""REVISAR EQUIVALENCIA"",
IF(fila=0,""SKU NO ENCONTRADO"",
LET(
valor,INDEX(Referencia!$A$2:$AZ6238,fila,col),
IF(TRIM(TO_TEXT(valor))=TRIM(TO_TEXT(I4628)),"&amp;"
""OK"",
""NO COINCIDE. Valor verdadero: ""&amp;IF(valor="""",""[VACÍO]"",TO_TEXT(valor))
)
))))
),""ERROR EN FÓRMULA""))"),"OK")</f>
        <v>OK</v>
      </c>
    </row>
    <row r="4629">
      <c r="A4629" s="83" t="s">
        <v>4899</v>
      </c>
      <c r="B4629" s="83" t="s">
        <v>4900</v>
      </c>
      <c r="C4629" s="81" t="s">
        <v>4621</v>
      </c>
      <c r="D4629" s="83" t="s">
        <v>4323</v>
      </c>
      <c r="E4629" s="81" t="s">
        <v>1370</v>
      </c>
      <c r="F4629" s="81">
        <v>263.0</v>
      </c>
      <c r="G4629" s="81" t="s">
        <v>1</v>
      </c>
      <c r="H4629" s="81" t="s">
        <v>224</v>
      </c>
      <c r="I4629" s="81" t="s">
        <v>49</v>
      </c>
      <c r="J4629" s="81" t="s">
        <v>224</v>
      </c>
      <c r="K4629" s="81" t="str">
        <f>IFERROR(__xludf.DUMMYFUNCTION("IF(OR(D4629="""",G4629=""""),"""",IFERROR(LET(
campo,XLOOKUP(TRIM(G4629),ARRAYFORMULA(TRIM('indice columnas'!$A$2:$A$100)),'indice columnas'!$B$2:$B$100,""""),
col,IFERROR(MATCH(campo,Referencia!$A$1:$AZ$1,0),0),
fila,IFERROR(MATCH(TO_TEXT(D4629),ARRAYFOR"&amp;"MULA(TO_TEXT(Referencia!$A$2:$A6238)),0),0),
IF(OR(campo="""",campo=""-""),""NO APLICA"",
IF(col=0,""REVISAR EQUIVALENCIA"",
IF(fila=0,""SKU NO ENCONTRADO"",
LET(
valor,INDEX(Referencia!$A$2:$AZ6238,fila,col),
IF(TRIM(TO_TEXT(valor))=TRIM(TO_TEXT(I4629)),"&amp;"
""OK"",
""NO COINCIDE. Valor verdadero: ""&amp;IF(valor="""",""[VACÍO]"",TO_TEXT(valor))
)
))))
),""ERROR EN FÓRMULA""))"),"OK")</f>
        <v>OK</v>
      </c>
    </row>
    <row r="4630">
      <c r="A4630" s="83" t="s">
        <v>4899</v>
      </c>
      <c r="B4630" s="83" t="s">
        <v>4900</v>
      </c>
      <c r="C4630" s="81" t="s">
        <v>4621</v>
      </c>
      <c r="D4630" s="83" t="s">
        <v>4325</v>
      </c>
      <c r="E4630" s="81" t="s">
        <v>1374</v>
      </c>
      <c r="F4630" s="81">
        <v>264.0</v>
      </c>
      <c r="G4630" s="81" t="s">
        <v>3</v>
      </c>
      <c r="H4630" s="81" t="s">
        <v>224</v>
      </c>
      <c r="I4630" s="81" t="s">
        <v>920</v>
      </c>
      <c r="J4630" s="81" t="s">
        <v>224</v>
      </c>
      <c r="K4630" s="81" t="str">
        <f>IFERROR(__xludf.DUMMYFUNCTION("IF(OR(D4630="""",G4630=""""),"""",IFERROR(LET(
campo,XLOOKUP(TRIM(G4630),ARRAYFORMULA(TRIM('indice columnas'!$A$2:$A$100)),'indice columnas'!$B$2:$B$100,""""),
col,IFERROR(MATCH(campo,Referencia!$A$1:$AZ$1,0),0),
fila,IFERROR(MATCH(TO_TEXT(D4630),ARRAYFOR"&amp;"MULA(TO_TEXT(Referencia!$A$2:$A6238)),0),0),
IF(OR(campo="""",campo=""-""),""NO APLICA"",
IF(col=0,""REVISAR EQUIVALENCIA"",
IF(fila=0,""SKU NO ENCONTRADO"",
LET(
valor,INDEX(Referencia!$A$2:$AZ6238,fila,col),
IF(TRIM(TO_TEXT(valor))=TRIM(TO_TEXT(I4630)),"&amp;"
""OK"",
""NO COINCIDE. Valor verdadero: ""&amp;IF(valor="""",""[VACÍO]"",TO_TEXT(valor))
)
))))
),""ERROR EN FÓRMULA""))"),"OK")</f>
        <v>OK</v>
      </c>
    </row>
    <row r="4631">
      <c r="A4631" s="83" t="s">
        <v>4899</v>
      </c>
      <c r="B4631" s="83" t="s">
        <v>4900</v>
      </c>
      <c r="C4631" s="81" t="s">
        <v>4621</v>
      </c>
      <c r="D4631" s="83" t="s">
        <v>4325</v>
      </c>
      <c r="E4631" s="81" t="s">
        <v>1374</v>
      </c>
      <c r="F4631" s="81">
        <v>264.0</v>
      </c>
      <c r="G4631" s="81" t="s">
        <v>2</v>
      </c>
      <c r="H4631" s="81" t="s">
        <v>224</v>
      </c>
      <c r="I4631" s="81" t="s">
        <v>919</v>
      </c>
      <c r="J4631" s="81" t="s">
        <v>224</v>
      </c>
      <c r="K4631" s="81" t="str">
        <f>IFERROR(__xludf.DUMMYFUNCTION("IF(OR(D4631="""",G4631=""""),"""",IFERROR(LET(
campo,XLOOKUP(TRIM(G4631),ARRAYFORMULA(TRIM('indice columnas'!$A$2:$A$100)),'indice columnas'!$B$2:$B$100,""""),
col,IFERROR(MATCH(campo,Referencia!$A$1:$AZ$1,0),0),
fila,IFERROR(MATCH(TO_TEXT(D4631),ARRAYFOR"&amp;"MULA(TO_TEXT(Referencia!$A$2:$A6238)),0),0),
IF(OR(campo="""",campo=""-""),""NO APLICA"",
IF(col=0,""REVISAR EQUIVALENCIA"",
IF(fila=0,""SKU NO ENCONTRADO"",
LET(
valor,INDEX(Referencia!$A$2:$AZ6238,fila,col),
IF(TRIM(TO_TEXT(valor))=TRIM(TO_TEXT(I4631)),"&amp;"
""OK"",
""NO COINCIDE. Valor verdadero: ""&amp;IF(valor="""",""[VACÍO]"",TO_TEXT(valor))
)
))))
),""ERROR EN FÓRMULA""))"),"OK")</f>
        <v>OK</v>
      </c>
    </row>
    <row r="4632">
      <c r="A4632" s="83" t="s">
        <v>4899</v>
      </c>
      <c r="B4632" s="83" t="s">
        <v>4900</v>
      </c>
      <c r="C4632" s="81" t="s">
        <v>4621</v>
      </c>
      <c r="D4632" s="83" t="s">
        <v>4325</v>
      </c>
      <c r="E4632" s="81" t="s">
        <v>1374</v>
      </c>
      <c r="F4632" s="81">
        <v>264.0</v>
      </c>
      <c r="G4632" s="81" t="s">
        <v>1</v>
      </c>
      <c r="H4632" s="81" t="s">
        <v>224</v>
      </c>
      <c r="I4632" s="81" t="s">
        <v>49</v>
      </c>
      <c r="J4632" s="81" t="s">
        <v>224</v>
      </c>
      <c r="K4632" s="81" t="str">
        <f>IFERROR(__xludf.DUMMYFUNCTION("IF(OR(D4632="""",G4632=""""),"""",IFERROR(LET(
campo,XLOOKUP(TRIM(G4632),ARRAYFORMULA(TRIM('indice columnas'!$A$2:$A$100)),'indice columnas'!$B$2:$B$100,""""),
col,IFERROR(MATCH(campo,Referencia!$A$1:$AZ$1,0),0),
fila,IFERROR(MATCH(TO_TEXT(D4632),ARRAYFOR"&amp;"MULA(TO_TEXT(Referencia!$A$2:$A6238)),0),0),
IF(OR(campo="""",campo=""-""),""NO APLICA"",
IF(col=0,""REVISAR EQUIVALENCIA"",
IF(fila=0,""SKU NO ENCONTRADO"",
LET(
valor,INDEX(Referencia!$A$2:$AZ6238,fila,col),
IF(TRIM(TO_TEXT(valor))=TRIM(TO_TEXT(I4632)),"&amp;"
""OK"",
""NO COINCIDE. Valor verdadero: ""&amp;IF(valor="""",""[VACÍO]"",TO_TEXT(valor))
)
))))
),""ERROR EN FÓRMULA""))"),"OK")</f>
        <v>OK</v>
      </c>
    </row>
    <row r="4633">
      <c r="A4633" s="83" t="s">
        <v>4899</v>
      </c>
      <c r="B4633" s="83" t="s">
        <v>4900</v>
      </c>
      <c r="C4633" s="81" t="s">
        <v>4621</v>
      </c>
      <c r="D4633" s="83" t="s">
        <v>4326</v>
      </c>
      <c r="E4633" s="81" t="s">
        <v>1375</v>
      </c>
      <c r="F4633" s="81">
        <v>265.0</v>
      </c>
      <c r="G4633" s="81" t="s">
        <v>3</v>
      </c>
      <c r="H4633" s="81" t="s">
        <v>224</v>
      </c>
      <c r="I4633" s="81" t="s">
        <v>920</v>
      </c>
      <c r="J4633" s="81" t="s">
        <v>224</v>
      </c>
      <c r="K4633" s="81" t="str">
        <f>IFERROR(__xludf.DUMMYFUNCTION("IF(OR(D4633="""",G4633=""""),"""",IFERROR(LET(
campo,XLOOKUP(TRIM(G4633),ARRAYFORMULA(TRIM('indice columnas'!$A$2:$A$100)),'indice columnas'!$B$2:$B$100,""""),
col,IFERROR(MATCH(campo,Referencia!$A$1:$AZ$1,0),0),
fila,IFERROR(MATCH(TO_TEXT(D4633),ARRAYFOR"&amp;"MULA(TO_TEXT(Referencia!$A$2:$A6238)),0),0),
IF(OR(campo="""",campo=""-""),""NO APLICA"",
IF(col=0,""REVISAR EQUIVALENCIA"",
IF(fila=0,""SKU NO ENCONTRADO"",
LET(
valor,INDEX(Referencia!$A$2:$AZ6238,fila,col),
IF(TRIM(TO_TEXT(valor))=TRIM(TO_TEXT(I4633)),"&amp;"
""OK"",
""NO COINCIDE. Valor verdadero: ""&amp;IF(valor="""",""[VACÍO]"",TO_TEXT(valor))
)
))))
),""ERROR EN FÓRMULA""))"),"OK")</f>
        <v>OK</v>
      </c>
    </row>
    <row r="4634">
      <c r="A4634" s="83" t="s">
        <v>4899</v>
      </c>
      <c r="B4634" s="83" t="s">
        <v>4900</v>
      </c>
      <c r="C4634" s="81" t="s">
        <v>4621</v>
      </c>
      <c r="D4634" s="83" t="s">
        <v>4326</v>
      </c>
      <c r="E4634" s="81" t="s">
        <v>1375</v>
      </c>
      <c r="F4634" s="81">
        <v>265.0</v>
      </c>
      <c r="G4634" s="81" t="s">
        <v>2</v>
      </c>
      <c r="H4634" s="81" t="s">
        <v>224</v>
      </c>
      <c r="I4634" s="81" t="s">
        <v>919</v>
      </c>
      <c r="J4634" s="81" t="s">
        <v>224</v>
      </c>
      <c r="K4634" s="81" t="str">
        <f>IFERROR(__xludf.DUMMYFUNCTION("IF(OR(D4634="""",G4634=""""),"""",IFERROR(LET(
campo,XLOOKUP(TRIM(G4634),ARRAYFORMULA(TRIM('indice columnas'!$A$2:$A$100)),'indice columnas'!$B$2:$B$100,""""),
col,IFERROR(MATCH(campo,Referencia!$A$1:$AZ$1,0),0),
fila,IFERROR(MATCH(TO_TEXT(D4634),ARRAYFOR"&amp;"MULA(TO_TEXT(Referencia!$A$2:$A6238)),0),0),
IF(OR(campo="""",campo=""-""),""NO APLICA"",
IF(col=0,""REVISAR EQUIVALENCIA"",
IF(fila=0,""SKU NO ENCONTRADO"",
LET(
valor,INDEX(Referencia!$A$2:$AZ6238,fila,col),
IF(TRIM(TO_TEXT(valor))=TRIM(TO_TEXT(I4634)),"&amp;"
""OK"",
""NO COINCIDE. Valor verdadero: ""&amp;IF(valor="""",""[VACÍO]"",TO_TEXT(valor))
)
))))
),""ERROR EN FÓRMULA""))"),"OK")</f>
        <v>OK</v>
      </c>
    </row>
    <row r="4635">
      <c r="A4635" s="83" t="s">
        <v>4899</v>
      </c>
      <c r="B4635" s="83" t="s">
        <v>4900</v>
      </c>
      <c r="C4635" s="81" t="s">
        <v>4621</v>
      </c>
      <c r="D4635" s="83" t="s">
        <v>4326</v>
      </c>
      <c r="E4635" s="81" t="s">
        <v>1375</v>
      </c>
      <c r="F4635" s="81">
        <v>265.0</v>
      </c>
      <c r="G4635" s="81" t="s">
        <v>1</v>
      </c>
      <c r="H4635" s="81" t="s">
        <v>224</v>
      </c>
      <c r="I4635" s="81" t="s">
        <v>49</v>
      </c>
      <c r="J4635" s="81" t="s">
        <v>224</v>
      </c>
      <c r="K4635" s="81" t="str">
        <f>IFERROR(__xludf.DUMMYFUNCTION("IF(OR(D4635="""",G4635=""""),"""",IFERROR(LET(
campo,XLOOKUP(TRIM(G4635),ARRAYFORMULA(TRIM('indice columnas'!$A$2:$A$100)),'indice columnas'!$B$2:$B$100,""""),
col,IFERROR(MATCH(campo,Referencia!$A$1:$AZ$1,0),0),
fila,IFERROR(MATCH(TO_TEXT(D4635),ARRAYFOR"&amp;"MULA(TO_TEXT(Referencia!$A$2:$A6238)),0),0),
IF(OR(campo="""",campo=""-""),""NO APLICA"",
IF(col=0,""REVISAR EQUIVALENCIA"",
IF(fila=0,""SKU NO ENCONTRADO"",
LET(
valor,INDEX(Referencia!$A$2:$AZ6238,fila,col),
IF(TRIM(TO_TEXT(valor))=TRIM(TO_TEXT(I4635)),"&amp;"
""OK"",
""NO COINCIDE. Valor verdadero: ""&amp;IF(valor="""",""[VACÍO]"",TO_TEXT(valor))
)
))))
),""ERROR EN FÓRMULA""))"),"OK")</f>
        <v>OK</v>
      </c>
    </row>
    <row r="4636">
      <c r="A4636" s="83" t="s">
        <v>4899</v>
      </c>
      <c r="B4636" s="83" t="s">
        <v>4900</v>
      </c>
      <c r="C4636" s="81" t="s">
        <v>4621</v>
      </c>
      <c r="D4636" s="83" t="s">
        <v>4328</v>
      </c>
      <c r="E4636" s="81" t="s">
        <v>1379</v>
      </c>
      <c r="F4636" s="81">
        <v>266.0</v>
      </c>
      <c r="G4636" s="81" t="s">
        <v>3</v>
      </c>
      <c r="H4636" s="81" t="s">
        <v>224</v>
      </c>
      <c r="I4636" s="81" t="s">
        <v>920</v>
      </c>
      <c r="J4636" s="81" t="s">
        <v>224</v>
      </c>
      <c r="K4636" s="81" t="str">
        <f>IFERROR(__xludf.DUMMYFUNCTION("IF(OR(D4636="""",G4636=""""),"""",IFERROR(LET(
campo,XLOOKUP(TRIM(G4636),ARRAYFORMULA(TRIM('indice columnas'!$A$2:$A$100)),'indice columnas'!$B$2:$B$100,""""),
col,IFERROR(MATCH(campo,Referencia!$A$1:$AZ$1,0),0),
fila,IFERROR(MATCH(TO_TEXT(D4636),ARRAYFOR"&amp;"MULA(TO_TEXT(Referencia!$A$2:$A6238)),0),0),
IF(OR(campo="""",campo=""-""),""NO APLICA"",
IF(col=0,""REVISAR EQUIVALENCIA"",
IF(fila=0,""SKU NO ENCONTRADO"",
LET(
valor,INDEX(Referencia!$A$2:$AZ6238,fila,col),
IF(TRIM(TO_TEXT(valor))=TRIM(TO_TEXT(I4636)),"&amp;"
""OK"",
""NO COINCIDE. Valor verdadero: ""&amp;IF(valor="""",""[VACÍO]"",TO_TEXT(valor))
)
))))
),""ERROR EN FÓRMULA""))"),"OK")</f>
        <v>OK</v>
      </c>
    </row>
    <row r="4637">
      <c r="A4637" s="83" t="s">
        <v>4899</v>
      </c>
      <c r="B4637" s="83" t="s">
        <v>4900</v>
      </c>
      <c r="C4637" s="81" t="s">
        <v>4621</v>
      </c>
      <c r="D4637" s="83" t="s">
        <v>4328</v>
      </c>
      <c r="E4637" s="81" t="s">
        <v>1379</v>
      </c>
      <c r="F4637" s="81">
        <v>266.0</v>
      </c>
      <c r="G4637" s="81" t="s">
        <v>2</v>
      </c>
      <c r="H4637" s="81" t="s">
        <v>224</v>
      </c>
      <c r="I4637" s="81" t="s">
        <v>919</v>
      </c>
      <c r="J4637" s="81" t="s">
        <v>224</v>
      </c>
      <c r="K4637" s="81" t="str">
        <f>IFERROR(__xludf.DUMMYFUNCTION("IF(OR(D4637="""",G4637=""""),"""",IFERROR(LET(
campo,XLOOKUP(TRIM(G4637),ARRAYFORMULA(TRIM('indice columnas'!$A$2:$A$100)),'indice columnas'!$B$2:$B$100,""""),
col,IFERROR(MATCH(campo,Referencia!$A$1:$AZ$1,0),0),
fila,IFERROR(MATCH(TO_TEXT(D4637),ARRAYFOR"&amp;"MULA(TO_TEXT(Referencia!$A$2:$A6238)),0),0),
IF(OR(campo="""",campo=""-""),""NO APLICA"",
IF(col=0,""REVISAR EQUIVALENCIA"",
IF(fila=0,""SKU NO ENCONTRADO"",
LET(
valor,INDEX(Referencia!$A$2:$AZ6238,fila,col),
IF(TRIM(TO_TEXT(valor))=TRIM(TO_TEXT(I4637)),"&amp;"
""OK"",
""NO COINCIDE. Valor verdadero: ""&amp;IF(valor="""",""[VACÍO]"",TO_TEXT(valor))
)
))))
),""ERROR EN FÓRMULA""))"),"OK")</f>
        <v>OK</v>
      </c>
    </row>
    <row r="4638">
      <c r="A4638" s="83" t="s">
        <v>4899</v>
      </c>
      <c r="B4638" s="83" t="s">
        <v>4900</v>
      </c>
      <c r="C4638" s="81" t="s">
        <v>4621</v>
      </c>
      <c r="D4638" s="83" t="s">
        <v>4328</v>
      </c>
      <c r="E4638" s="81" t="s">
        <v>1379</v>
      </c>
      <c r="F4638" s="81">
        <v>266.0</v>
      </c>
      <c r="G4638" s="81" t="s">
        <v>1</v>
      </c>
      <c r="H4638" s="81" t="s">
        <v>224</v>
      </c>
      <c r="I4638" s="81" t="s">
        <v>49</v>
      </c>
      <c r="J4638" s="81" t="s">
        <v>224</v>
      </c>
      <c r="K4638" s="81" t="str">
        <f>IFERROR(__xludf.DUMMYFUNCTION("IF(OR(D4638="""",G4638=""""),"""",IFERROR(LET(
campo,XLOOKUP(TRIM(G4638),ARRAYFORMULA(TRIM('indice columnas'!$A$2:$A$100)),'indice columnas'!$B$2:$B$100,""""),
col,IFERROR(MATCH(campo,Referencia!$A$1:$AZ$1,0),0),
fila,IFERROR(MATCH(TO_TEXT(D4638),ARRAYFOR"&amp;"MULA(TO_TEXT(Referencia!$A$2:$A6238)),0),0),
IF(OR(campo="""",campo=""-""),""NO APLICA"",
IF(col=0,""REVISAR EQUIVALENCIA"",
IF(fila=0,""SKU NO ENCONTRADO"",
LET(
valor,INDEX(Referencia!$A$2:$AZ6238,fila,col),
IF(TRIM(TO_TEXT(valor))=TRIM(TO_TEXT(I4638)),"&amp;"
""OK"",
""NO COINCIDE. Valor verdadero: ""&amp;IF(valor="""",""[VACÍO]"",TO_TEXT(valor))
)
))))
),""ERROR EN FÓRMULA""))"),"OK")</f>
        <v>OK</v>
      </c>
    </row>
    <row r="4639">
      <c r="A4639" s="83" t="s">
        <v>4899</v>
      </c>
      <c r="B4639" s="83" t="s">
        <v>4900</v>
      </c>
      <c r="C4639" s="81" t="s">
        <v>4621</v>
      </c>
      <c r="D4639" s="83" t="s">
        <v>4331</v>
      </c>
      <c r="E4639" s="81" t="s">
        <v>1388</v>
      </c>
      <c r="F4639" s="81">
        <v>269.0</v>
      </c>
      <c r="G4639" s="81" t="s">
        <v>3</v>
      </c>
      <c r="H4639" s="81" t="s">
        <v>224</v>
      </c>
      <c r="I4639" s="81" t="s">
        <v>920</v>
      </c>
      <c r="J4639" s="81" t="s">
        <v>224</v>
      </c>
      <c r="K4639" s="81" t="str">
        <f>IFERROR(__xludf.DUMMYFUNCTION("IF(OR(D4639="""",G4639=""""),"""",IFERROR(LET(
campo,XLOOKUP(TRIM(G4639),ARRAYFORMULA(TRIM('indice columnas'!$A$2:$A$100)),'indice columnas'!$B$2:$B$100,""""),
col,IFERROR(MATCH(campo,Referencia!$A$1:$AZ$1,0),0),
fila,IFERROR(MATCH(TO_TEXT(D4639),ARRAYFOR"&amp;"MULA(TO_TEXT(Referencia!$A$2:$A6238)),0),0),
IF(OR(campo="""",campo=""-""),""NO APLICA"",
IF(col=0,""REVISAR EQUIVALENCIA"",
IF(fila=0,""SKU NO ENCONTRADO"",
LET(
valor,INDEX(Referencia!$A$2:$AZ6238,fila,col),
IF(TRIM(TO_TEXT(valor))=TRIM(TO_TEXT(I4639)),"&amp;"
""OK"",
""NO COINCIDE. Valor verdadero: ""&amp;IF(valor="""",""[VACÍO]"",TO_TEXT(valor))
)
))))
),""ERROR EN FÓRMULA""))"),"OK")</f>
        <v>OK</v>
      </c>
    </row>
    <row r="4640">
      <c r="A4640" s="83" t="s">
        <v>4899</v>
      </c>
      <c r="B4640" s="83" t="s">
        <v>4900</v>
      </c>
      <c r="C4640" s="81" t="s">
        <v>4621</v>
      </c>
      <c r="D4640" s="83" t="s">
        <v>4331</v>
      </c>
      <c r="E4640" s="81" t="s">
        <v>1388</v>
      </c>
      <c r="F4640" s="81">
        <v>269.0</v>
      </c>
      <c r="G4640" s="81" t="s">
        <v>2</v>
      </c>
      <c r="H4640" s="81" t="s">
        <v>224</v>
      </c>
      <c r="I4640" s="81" t="s">
        <v>919</v>
      </c>
      <c r="J4640" s="81" t="s">
        <v>224</v>
      </c>
      <c r="K4640" s="81" t="str">
        <f>IFERROR(__xludf.DUMMYFUNCTION("IF(OR(D4640="""",G4640=""""),"""",IFERROR(LET(
campo,XLOOKUP(TRIM(G4640),ARRAYFORMULA(TRIM('indice columnas'!$A$2:$A$100)),'indice columnas'!$B$2:$B$100,""""),
col,IFERROR(MATCH(campo,Referencia!$A$1:$AZ$1,0),0),
fila,IFERROR(MATCH(TO_TEXT(D4640),ARRAYFOR"&amp;"MULA(TO_TEXT(Referencia!$A$2:$A6238)),0),0),
IF(OR(campo="""",campo=""-""),""NO APLICA"",
IF(col=0,""REVISAR EQUIVALENCIA"",
IF(fila=0,""SKU NO ENCONTRADO"",
LET(
valor,INDEX(Referencia!$A$2:$AZ6238,fila,col),
IF(TRIM(TO_TEXT(valor))=TRIM(TO_TEXT(I4640)),"&amp;"
""OK"",
""NO COINCIDE. Valor verdadero: ""&amp;IF(valor="""",""[VACÍO]"",TO_TEXT(valor))
)
))))
),""ERROR EN FÓRMULA""))"),"OK")</f>
        <v>OK</v>
      </c>
    </row>
    <row r="4641">
      <c r="A4641" s="83" t="s">
        <v>4899</v>
      </c>
      <c r="B4641" s="83" t="s">
        <v>4900</v>
      </c>
      <c r="C4641" s="81" t="s">
        <v>4621</v>
      </c>
      <c r="D4641" s="83" t="s">
        <v>4331</v>
      </c>
      <c r="E4641" s="81" t="s">
        <v>1388</v>
      </c>
      <c r="F4641" s="81">
        <v>269.0</v>
      </c>
      <c r="G4641" s="81" t="s">
        <v>1</v>
      </c>
      <c r="H4641" s="81" t="s">
        <v>224</v>
      </c>
      <c r="I4641" s="81" t="s">
        <v>49</v>
      </c>
      <c r="J4641" s="81" t="s">
        <v>224</v>
      </c>
      <c r="K4641" s="81" t="str">
        <f>IFERROR(__xludf.DUMMYFUNCTION("IF(OR(D4641="""",G4641=""""),"""",IFERROR(LET(
campo,XLOOKUP(TRIM(G4641),ARRAYFORMULA(TRIM('indice columnas'!$A$2:$A$100)),'indice columnas'!$B$2:$B$100,""""),
col,IFERROR(MATCH(campo,Referencia!$A$1:$AZ$1,0),0),
fila,IFERROR(MATCH(TO_TEXT(D4641),ARRAYFOR"&amp;"MULA(TO_TEXT(Referencia!$A$2:$A6238)),0),0),
IF(OR(campo="""",campo=""-""),""NO APLICA"",
IF(col=0,""REVISAR EQUIVALENCIA"",
IF(fila=0,""SKU NO ENCONTRADO"",
LET(
valor,INDEX(Referencia!$A$2:$AZ6238,fila,col),
IF(TRIM(TO_TEXT(valor))=TRIM(TO_TEXT(I4641)),"&amp;"
""OK"",
""NO COINCIDE. Valor verdadero: ""&amp;IF(valor="""",""[VACÍO]"",TO_TEXT(valor))
)
))))
),""ERROR EN FÓRMULA""))"),"OK")</f>
        <v>OK</v>
      </c>
    </row>
    <row r="4642">
      <c r="A4642" s="83" t="s">
        <v>4899</v>
      </c>
      <c r="B4642" s="83" t="s">
        <v>4900</v>
      </c>
      <c r="C4642" s="81" t="s">
        <v>4621</v>
      </c>
      <c r="D4642" s="83" t="s">
        <v>4332</v>
      </c>
      <c r="E4642" s="81" t="s">
        <v>1391</v>
      </c>
      <c r="F4642" s="81">
        <v>270.0</v>
      </c>
      <c r="G4642" s="81" t="s">
        <v>3</v>
      </c>
      <c r="H4642" s="81" t="s">
        <v>224</v>
      </c>
      <c r="I4642" s="81" t="s">
        <v>920</v>
      </c>
      <c r="J4642" s="81" t="s">
        <v>224</v>
      </c>
      <c r="K4642" s="81" t="str">
        <f>IFERROR(__xludf.DUMMYFUNCTION("IF(OR(D4642="""",G4642=""""),"""",IFERROR(LET(
campo,XLOOKUP(TRIM(G4642),ARRAYFORMULA(TRIM('indice columnas'!$A$2:$A$100)),'indice columnas'!$B$2:$B$100,""""),
col,IFERROR(MATCH(campo,Referencia!$A$1:$AZ$1,0),0),
fila,IFERROR(MATCH(TO_TEXT(D4642),ARRAYFOR"&amp;"MULA(TO_TEXT(Referencia!$A$2:$A6238)),0),0),
IF(OR(campo="""",campo=""-""),""NO APLICA"",
IF(col=0,""REVISAR EQUIVALENCIA"",
IF(fila=0,""SKU NO ENCONTRADO"",
LET(
valor,INDEX(Referencia!$A$2:$AZ6238,fila,col),
IF(TRIM(TO_TEXT(valor))=TRIM(TO_TEXT(I4642)),"&amp;"
""OK"",
""NO COINCIDE. Valor verdadero: ""&amp;IF(valor="""",""[VACÍO]"",TO_TEXT(valor))
)
))))
),""ERROR EN FÓRMULA""))"),"OK")</f>
        <v>OK</v>
      </c>
    </row>
    <row r="4643">
      <c r="A4643" s="83" t="s">
        <v>4899</v>
      </c>
      <c r="B4643" s="83" t="s">
        <v>4900</v>
      </c>
      <c r="C4643" s="81" t="s">
        <v>4621</v>
      </c>
      <c r="D4643" s="83" t="s">
        <v>4332</v>
      </c>
      <c r="E4643" s="81" t="s">
        <v>1391</v>
      </c>
      <c r="F4643" s="81">
        <v>270.0</v>
      </c>
      <c r="G4643" s="81" t="s">
        <v>2</v>
      </c>
      <c r="H4643" s="81" t="s">
        <v>224</v>
      </c>
      <c r="I4643" s="81" t="s">
        <v>919</v>
      </c>
      <c r="J4643" s="81" t="s">
        <v>224</v>
      </c>
      <c r="K4643" s="81" t="str">
        <f>IFERROR(__xludf.DUMMYFUNCTION("IF(OR(D4643="""",G4643=""""),"""",IFERROR(LET(
campo,XLOOKUP(TRIM(G4643),ARRAYFORMULA(TRIM('indice columnas'!$A$2:$A$100)),'indice columnas'!$B$2:$B$100,""""),
col,IFERROR(MATCH(campo,Referencia!$A$1:$AZ$1,0),0),
fila,IFERROR(MATCH(TO_TEXT(D4643),ARRAYFOR"&amp;"MULA(TO_TEXT(Referencia!$A$2:$A6238)),0),0),
IF(OR(campo="""",campo=""-""),""NO APLICA"",
IF(col=0,""REVISAR EQUIVALENCIA"",
IF(fila=0,""SKU NO ENCONTRADO"",
LET(
valor,INDEX(Referencia!$A$2:$AZ6238,fila,col),
IF(TRIM(TO_TEXT(valor))=TRIM(TO_TEXT(I4643)),"&amp;"
""OK"",
""NO COINCIDE. Valor verdadero: ""&amp;IF(valor="""",""[VACÍO]"",TO_TEXT(valor))
)
))))
),""ERROR EN FÓRMULA""))"),"OK")</f>
        <v>OK</v>
      </c>
    </row>
    <row r="4644">
      <c r="A4644" s="83" t="s">
        <v>4899</v>
      </c>
      <c r="B4644" s="83" t="s">
        <v>4900</v>
      </c>
      <c r="C4644" s="81" t="s">
        <v>4621</v>
      </c>
      <c r="D4644" s="83" t="s">
        <v>4332</v>
      </c>
      <c r="E4644" s="81" t="s">
        <v>1391</v>
      </c>
      <c r="F4644" s="81">
        <v>270.0</v>
      </c>
      <c r="G4644" s="81" t="s">
        <v>1</v>
      </c>
      <c r="H4644" s="81" t="s">
        <v>224</v>
      </c>
      <c r="I4644" s="81" t="s">
        <v>49</v>
      </c>
      <c r="J4644" s="81" t="s">
        <v>224</v>
      </c>
      <c r="K4644" s="81" t="str">
        <f>IFERROR(__xludf.DUMMYFUNCTION("IF(OR(D4644="""",G4644=""""),"""",IFERROR(LET(
campo,XLOOKUP(TRIM(G4644),ARRAYFORMULA(TRIM('indice columnas'!$A$2:$A$100)),'indice columnas'!$B$2:$B$100,""""),
col,IFERROR(MATCH(campo,Referencia!$A$1:$AZ$1,0),0),
fila,IFERROR(MATCH(TO_TEXT(D4644),ARRAYFOR"&amp;"MULA(TO_TEXT(Referencia!$A$2:$A6238)),0),0),
IF(OR(campo="""",campo=""-""),""NO APLICA"",
IF(col=0,""REVISAR EQUIVALENCIA"",
IF(fila=0,""SKU NO ENCONTRADO"",
LET(
valor,INDEX(Referencia!$A$2:$AZ6238,fila,col),
IF(TRIM(TO_TEXT(valor))=TRIM(TO_TEXT(I4644)),"&amp;"
""OK"",
""NO COINCIDE. Valor verdadero: ""&amp;IF(valor="""",""[VACÍO]"",TO_TEXT(valor))
)
))))
),""ERROR EN FÓRMULA""))"),"OK")</f>
        <v>OK</v>
      </c>
    </row>
    <row r="4645">
      <c r="A4645" s="83" t="s">
        <v>4899</v>
      </c>
      <c r="B4645" s="83" t="s">
        <v>4900</v>
      </c>
      <c r="C4645" s="81" t="s">
        <v>4621</v>
      </c>
      <c r="D4645" s="83" t="s">
        <v>4334</v>
      </c>
      <c r="E4645" s="81" t="s">
        <v>1395</v>
      </c>
      <c r="F4645" s="81">
        <v>271.0</v>
      </c>
      <c r="G4645" s="81" t="s">
        <v>3</v>
      </c>
      <c r="H4645" s="81" t="s">
        <v>224</v>
      </c>
      <c r="I4645" s="81" t="s">
        <v>920</v>
      </c>
      <c r="J4645" s="81" t="s">
        <v>224</v>
      </c>
      <c r="K4645" s="81" t="str">
        <f>IFERROR(__xludf.DUMMYFUNCTION("IF(OR(D4645="""",G4645=""""),"""",IFERROR(LET(
campo,XLOOKUP(TRIM(G4645),ARRAYFORMULA(TRIM('indice columnas'!$A$2:$A$100)),'indice columnas'!$B$2:$B$100,""""),
col,IFERROR(MATCH(campo,Referencia!$A$1:$AZ$1,0),0),
fila,IFERROR(MATCH(TO_TEXT(D4645),ARRAYFOR"&amp;"MULA(TO_TEXT(Referencia!$A$2:$A6238)),0),0),
IF(OR(campo="""",campo=""-""),""NO APLICA"",
IF(col=0,""REVISAR EQUIVALENCIA"",
IF(fila=0,""SKU NO ENCONTRADO"",
LET(
valor,INDEX(Referencia!$A$2:$AZ6238,fila,col),
IF(TRIM(TO_TEXT(valor))=TRIM(TO_TEXT(I4645)),"&amp;"
""OK"",
""NO COINCIDE. Valor verdadero: ""&amp;IF(valor="""",""[VACÍO]"",TO_TEXT(valor))
)
))))
),""ERROR EN FÓRMULA""))"),"OK")</f>
        <v>OK</v>
      </c>
    </row>
    <row r="4646">
      <c r="A4646" s="83" t="s">
        <v>4899</v>
      </c>
      <c r="B4646" s="83" t="s">
        <v>4900</v>
      </c>
      <c r="C4646" s="81" t="s">
        <v>4621</v>
      </c>
      <c r="D4646" s="83" t="s">
        <v>4334</v>
      </c>
      <c r="E4646" s="81" t="s">
        <v>1395</v>
      </c>
      <c r="F4646" s="81">
        <v>271.0</v>
      </c>
      <c r="G4646" s="81" t="s">
        <v>2</v>
      </c>
      <c r="H4646" s="81" t="s">
        <v>224</v>
      </c>
      <c r="I4646" s="81" t="s">
        <v>919</v>
      </c>
      <c r="J4646" s="81" t="s">
        <v>224</v>
      </c>
      <c r="K4646" s="81" t="str">
        <f>IFERROR(__xludf.DUMMYFUNCTION("IF(OR(D4646="""",G4646=""""),"""",IFERROR(LET(
campo,XLOOKUP(TRIM(G4646),ARRAYFORMULA(TRIM('indice columnas'!$A$2:$A$100)),'indice columnas'!$B$2:$B$100,""""),
col,IFERROR(MATCH(campo,Referencia!$A$1:$AZ$1,0),0),
fila,IFERROR(MATCH(TO_TEXT(D4646),ARRAYFOR"&amp;"MULA(TO_TEXT(Referencia!$A$2:$A6238)),0),0),
IF(OR(campo="""",campo=""-""),""NO APLICA"",
IF(col=0,""REVISAR EQUIVALENCIA"",
IF(fila=0,""SKU NO ENCONTRADO"",
LET(
valor,INDEX(Referencia!$A$2:$AZ6238,fila,col),
IF(TRIM(TO_TEXT(valor))=TRIM(TO_TEXT(I4646)),"&amp;"
""OK"",
""NO COINCIDE. Valor verdadero: ""&amp;IF(valor="""",""[VACÍO]"",TO_TEXT(valor))
)
))))
),""ERROR EN FÓRMULA""))"),"OK")</f>
        <v>OK</v>
      </c>
    </row>
    <row r="4647">
      <c r="A4647" s="83" t="s">
        <v>4899</v>
      </c>
      <c r="B4647" s="83" t="s">
        <v>4900</v>
      </c>
      <c r="C4647" s="81" t="s">
        <v>4621</v>
      </c>
      <c r="D4647" s="83" t="s">
        <v>4334</v>
      </c>
      <c r="E4647" s="81" t="s">
        <v>1395</v>
      </c>
      <c r="F4647" s="81">
        <v>271.0</v>
      </c>
      <c r="G4647" s="81" t="s">
        <v>1</v>
      </c>
      <c r="H4647" s="81" t="s">
        <v>224</v>
      </c>
      <c r="I4647" s="81" t="s">
        <v>49</v>
      </c>
      <c r="J4647" s="81" t="s">
        <v>224</v>
      </c>
      <c r="K4647" s="81" t="str">
        <f>IFERROR(__xludf.DUMMYFUNCTION("IF(OR(D4647="""",G4647=""""),"""",IFERROR(LET(
campo,XLOOKUP(TRIM(G4647),ARRAYFORMULA(TRIM('indice columnas'!$A$2:$A$100)),'indice columnas'!$B$2:$B$100,""""),
col,IFERROR(MATCH(campo,Referencia!$A$1:$AZ$1,0),0),
fila,IFERROR(MATCH(TO_TEXT(D4647),ARRAYFOR"&amp;"MULA(TO_TEXT(Referencia!$A$2:$A6238)),0),0),
IF(OR(campo="""",campo=""-""),""NO APLICA"",
IF(col=0,""REVISAR EQUIVALENCIA"",
IF(fila=0,""SKU NO ENCONTRADO"",
LET(
valor,INDEX(Referencia!$A$2:$AZ6238,fila,col),
IF(TRIM(TO_TEXT(valor))=TRIM(TO_TEXT(I4647)),"&amp;"
""OK"",
""NO COINCIDE. Valor verdadero: ""&amp;IF(valor="""",""[VACÍO]"",TO_TEXT(valor))
)
))))
),""ERROR EN FÓRMULA""))"),"OK")</f>
        <v>OK</v>
      </c>
    </row>
    <row r="4648">
      <c r="A4648" s="83" t="s">
        <v>4899</v>
      </c>
      <c r="B4648" s="83" t="s">
        <v>4900</v>
      </c>
      <c r="C4648" s="81" t="s">
        <v>4621</v>
      </c>
      <c r="D4648" s="83" t="s">
        <v>4335</v>
      </c>
      <c r="E4648" s="81" t="s">
        <v>1396</v>
      </c>
      <c r="F4648" s="81">
        <v>272.0</v>
      </c>
      <c r="G4648" s="81" t="s">
        <v>3</v>
      </c>
      <c r="H4648" s="81" t="s">
        <v>224</v>
      </c>
      <c r="I4648" s="81" t="s">
        <v>920</v>
      </c>
      <c r="J4648" s="81" t="s">
        <v>224</v>
      </c>
      <c r="K4648" s="81" t="str">
        <f>IFERROR(__xludf.DUMMYFUNCTION("IF(OR(D4648="""",G4648=""""),"""",IFERROR(LET(
campo,XLOOKUP(TRIM(G4648),ARRAYFORMULA(TRIM('indice columnas'!$A$2:$A$100)),'indice columnas'!$B$2:$B$100,""""),
col,IFERROR(MATCH(campo,Referencia!$A$1:$AZ$1,0),0),
fila,IFERROR(MATCH(TO_TEXT(D4648),ARRAYFOR"&amp;"MULA(TO_TEXT(Referencia!$A$2:$A6238)),0),0),
IF(OR(campo="""",campo=""-""),""NO APLICA"",
IF(col=0,""REVISAR EQUIVALENCIA"",
IF(fila=0,""SKU NO ENCONTRADO"",
LET(
valor,INDEX(Referencia!$A$2:$AZ6238,fila,col),
IF(TRIM(TO_TEXT(valor))=TRIM(TO_TEXT(I4648)),"&amp;"
""OK"",
""NO COINCIDE. Valor verdadero: ""&amp;IF(valor="""",""[VACÍO]"",TO_TEXT(valor))
)
))))
),""ERROR EN FÓRMULA""))"),"OK")</f>
        <v>OK</v>
      </c>
    </row>
    <row r="4649">
      <c r="A4649" s="83" t="s">
        <v>4899</v>
      </c>
      <c r="B4649" s="83" t="s">
        <v>4900</v>
      </c>
      <c r="C4649" s="81" t="s">
        <v>4621</v>
      </c>
      <c r="D4649" s="83" t="s">
        <v>4335</v>
      </c>
      <c r="E4649" s="81" t="s">
        <v>1396</v>
      </c>
      <c r="F4649" s="81">
        <v>272.0</v>
      </c>
      <c r="G4649" s="81" t="s">
        <v>2</v>
      </c>
      <c r="H4649" s="81" t="s">
        <v>224</v>
      </c>
      <c r="I4649" s="81" t="s">
        <v>919</v>
      </c>
      <c r="J4649" s="81" t="s">
        <v>224</v>
      </c>
      <c r="K4649" s="81" t="str">
        <f>IFERROR(__xludf.DUMMYFUNCTION("IF(OR(D4649="""",G4649=""""),"""",IFERROR(LET(
campo,XLOOKUP(TRIM(G4649),ARRAYFORMULA(TRIM('indice columnas'!$A$2:$A$100)),'indice columnas'!$B$2:$B$100,""""),
col,IFERROR(MATCH(campo,Referencia!$A$1:$AZ$1,0),0),
fila,IFERROR(MATCH(TO_TEXT(D4649),ARRAYFOR"&amp;"MULA(TO_TEXT(Referencia!$A$2:$A6238)),0),0),
IF(OR(campo="""",campo=""-""),""NO APLICA"",
IF(col=0,""REVISAR EQUIVALENCIA"",
IF(fila=0,""SKU NO ENCONTRADO"",
LET(
valor,INDEX(Referencia!$A$2:$AZ6238,fila,col),
IF(TRIM(TO_TEXT(valor))=TRIM(TO_TEXT(I4649)),"&amp;"
""OK"",
""NO COINCIDE. Valor verdadero: ""&amp;IF(valor="""",""[VACÍO]"",TO_TEXT(valor))
)
))))
),""ERROR EN FÓRMULA""))"),"OK")</f>
        <v>OK</v>
      </c>
    </row>
    <row r="4650">
      <c r="A4650" s="83" t="s">
        <v>4899</v>
      </c>
      <c r="B4650" s="83" t="s">
        <v>4900</v>
      </c>
      <c r="C4650" s="81" t="s">
        <v>4621</v>
      </c>
      <c r="D4650" s="83" t="s">
        <v>4335</v>
      </c>
      <c r="E4650" s="81" t="s">
        <v>1396</v>
      </c>
      <c r="F4650" s="81">
        <v>272.0</v>
      </c>
      <c r="G4650" s="81" t="s">
        <v>1</v>
      </c>
      <c r="H4650" s="81" t="s">
        <v>224</v>
      </c>
      <c r="I4650" s="81" t="s">
        <v>49</v>
      </c>
      <c r="J4650" s="81" t="s">
        <v>224</v>
      </c>
      <c r="K4650" s="81" t="str">
        <f>IFERROR(__xludf.DUMMYFUNCTION("IF(OR(D4650="""",G4650=""""),"""",IFERROR(LET(
campo,XLOOKUP(TRIM(G4650),ARRAYFORMULA(TRIM('indice columnas'!$A$2:$A$100)),'indice columnas'!$B$2:$B$100,""""),
col,IFERROR(MATCH(campo,Referencia!$A$1:$AZ$1,0),0),
fila,IFERROR(MATCH(TO_TEXT(D4650),ARRAYFOR"&amp;"MULA(TO_TEXT(Referencia!$A$2:$A6238)),0),0),
IF(OR(campo="""",campo=""-""),""NO APLICA"",
IF(col=0,""REVISAR EQUIVALENCIA"",
IF(fila=0,""SKU NO ENCONTRADO"",
LET(
valor,INDEX(Referencia!$A$2:$AZ6238,fila,col),
IF(TRIM(TO_TEXT(valor))=TRIM(TO_TEXT(I4650)),"&amp;"
""OK"",
""NO COINCIDE. Valor verdadero: ""&amp;IF(valor="""",""[VACÍO]"",TO_TEXT(valor))
)
))))
),""ERROR EN FÓRMULA""))"),"OK")</f>
        <v>OK</v>
      </c>
    </row>
    <row r="4651">
      <c r="A4651" s="83" t="s">
        <v>4899</v>
      </c>
      <c r="B4651" s="83" t="s">
        <v>4900</v>
      </c>
      <c r="C4651" s="81" t="s">
        <v>4621</v>
      </c>
      <c r="D4651" s="83" t="s">
        <v>4337</v>
      </c>
      <c r="E4651" s="81" t="s">
        <v>1400</v>
      </c>
      <c r="F4651" s="81">
        <v>273.0</v>
      </c>
      <c r="G4651" s="81" t="s">
        <v>3</v>
      </c>
      <c r="H4651" s="81" t="s">
        <v>224</v>
      </c>
      <c r="I4651" s="81" t="s">
        <v>920</v>
      </c>
      <c r="J4651" s="81" t="s">
        <v>224</v>
      </c>
      <c r="K4651" s="81" t="str">
        <f>IFERROR(__xludf.DUMMYFUNCTION("IF(OR(D4651="""",G4651=""""),"""",IFERROR(LET(
campo,XLOOKUP(TRIM(G4651),ARRAYFORMULA(TRIM('indice columnas'!$A$2:$A$100)),'indice columnas'!$B$2:$B$100,""""),
col,IFERROR(MATCH(campo,Referencia!$A$1:$AZ$1,0),0),
fila,IFERROR(MATCH(TO_TEXT(D4651),ARRAYFOR"&amp;"MULA(TO_TEXT(Referencia!$A$2:$A6238)),0),0),
IF(OR(campo="""",campo=""-""),""NO APLICA"",
IF(col=0,""REVISAR EQUIVALENCIA"",
IF(fila=0,""SKU NO ENCONTRADO"",
LET(
valor,INDEX(Referencia!$A$2:$AZ6238,fila,col),
IF(TRIM(TO_TEXT(valor))=TRIM(TO_TEXT(I4651)),"&amp;"
""OK"",
""NO COINCIDE. Valor verdadero: ""&amp;IF(valor="""",""[VACÍO]"",TO_TEXT(valor))
)
))))
),""ERROR EN FÓRMULA""))"),"OK")</f>
        <v>OK</v>
      </c>
    </row>
    <row r="4652">
      <c r="A4652" s="83" t="s">
        <v>4899</v>
      </c>
      <c r="B4652" s="83" t="s">
        <v>4900</v>
      </c>
      <c r="C4652" s="81" t="s">
        <v>4621</v>
      </c>
      <c r="D4652" s="83" t="s">
        <v>4337</v>
      </c>
      <c r="E4652" s="81" t="s">
        <v>1400</v>
      </c>
      <c r="F4652" s="81">
        <v>273.0</v>
      </c>
      <c r="G4652" s="81" t="s">
        <v>2</v>
      </c>
      <c r="H4652" s="81" t="s">
        <v>224</v>
      </c>
      <c r="I4652" s="81" t="s">
        <v>919</v>
      </c>
      <c r="J4652" s="81" t="s">
        <v>224</v>
      </c>
      <c r="K4652" s="81" t="str">
        <f>IFERROR(__xludf.DUMMYFUNCTION("IF(OR(D4652="""",G4652=""""),"""",IFERROR(LET(
campo,XLOOKUP(TRIM(G4652),ARRAYFORMULA(TRIM('indice columnas'!$A$2:$A$100)),'indice columnas'!$B$2:$B$100,""""),
col,IFERROR(MATCH(campo,Referencia!$A$1:$AZ$1,0),0),
fila,IFERROR(MATCH(TO_TEXT(D4652),ARRAYFOR"&amp;"MULA(TO_TEXT(Referencia!$A$2:$A6238)),0),0),
IF(OR(campo="""",campo=""-""),""NO APLICA"",
IF(col=0,""REVISAR EQUIVALENCIA"",
IF(fila=0,""SKU NO ENCONTRADO"",
LET(
valor,INDEX(Referencia!$A$2:$AZ6238,fila,col),
IF(TRIM(TO_TEXT(valor))=TRIM(TO_TEXT(I4652)),"&amp;"
""OK"",
""NO COINCIDE. Valor verdadero: ""&amp;IF(valor="""",""[VACÍO]"",TO_TEXT(valor))
)
))))
),""ERROR EN FÓRMULA""))"),"OK")</f>
        <v>OK</v>
      </c>
    </row>
    <row r="4653">
      <c r="A4653" s="83" t="s">
        <v>4899</v>
      </c>
      <c r="B4653" s="83" t="s">
        <v>4900</v>
      </c>
      <c r="C4653" s="81" t="s">
        <v>4621</v>
      </c>
      <c r="D4653" s="83" t="s">
        <v>4337</v>
      </c>
      <c r="E4653" s="81" t="s">
        <v>1400</v>
      </c>
      <c r="F4653" s="81">
        <v>273.0</v>
      </c>
      <c r="G4653" s="81" t="s">
        <v>1</v>
      </c>
      <c r="H4653" s="81" t="s">
        <v>224</v>
      </c>
      <c r="I4653" s="81" t="s">
        <v>49</v>
      </c>
      <c r="J4653" s="81" t="s">
        <v>224</v>
      </c>
      <c r="K4653" s="81" t="str">
        <f>IFERROR(__xludf.DUMMYFUNCTION("IF(OR(D4653="""",G4653=""""),"""",IFERROR(LET(
campo,XLOOKUP(TRIM(G4653),ARRAYFORMULA(TRIM('indice columnas'!$A$2:$A$100)),'indice columnas'!$B$2:$B$100,""""),
col,IFERROR(MATCH(campo,Referencia!$A$1:$AZ$1,0),0),
fila,IFERROR(MATCH(TO_TEXT(D4653),ARRAYFOR"&amp;"MULA(TO_TEXT(Referencia!$A$2:$A6238)),0),0),
IF(OR(campo="""",campo=""-""),""NO APLICA"",
IF(col=0,""REVISAR EQUIVALENCIA"",
IF(fila=0,""SKU NO ENCONTRADO"",
LET(
valor,INDEX(Referencia!$A$2:$AZ6238,fila,col),
IF(TRIM(TO_TEXT(valor))=TRIM(TO_TEXT(I4653)),"&amp;"
""OK"",
""NO COINCIDE. Valor verdadero: ""&amp;IF(valor="""",""[VACÍO]"",TO_TEXT(valor))
)
))))
),""ERROR EN FÓRMULA""))"),"OK")</f>
        <v>OK</v>
      </c>
    </row>
    <row r="4654">
      <c r="A4654" s="83" t="s">
        <v>4899</v>
      </c>
      <c r="B4654" s="83" t="s">
        <v>4900</v>
      </c>
      <c r="C4654" s="81" t="s">
        <v>4621</v>
      </c>
      <c r="D4654" s="83" t="s">
        <v>4341</v>
      </c>
      <c r="E4654" s="81" t="s">
        <v>1423</v>
      </c>
      <c r="F4654" s="81">
        <v>276.0</v>
      </c>
      <c r="G4654" s="81" t="s">
        <v>3</v>
      </c>
      <c r="H4654" s="81" t="s">
        <v>224</v>
      </c>
      <c r="I4654" s="81" t="s">
        <v>1402</v>
      </c>
      <c r="J4654" s="81" t="s">
        <v>224</v>
      </c>
      <c r="K4654" s="81" t="str">
        <f>IFERROR(__xludf.DUMMYFUNCTION("IF(OR(D4654="""",G4654=""""),"""",IFERROR(LET(
campo,XLOOKUP(TRIM(G4654),ARRAYFORMULA(TRIM('indice columnas'!$A$2:$A$100)),'indice columnas'!$B$2:$B$100,""""),
col,IFERROR(MATCH(campo,Referencia!$A$1:$AZ$1,0),0),
fila,IFERROR(MATCH(TO_TEXT(D4654),ARRAYFOR"&amp;"MULA(TO_TEXT(Referencia!$A$2:$A6238)),0),0),
IF(OR(campo="""",campo=""-""),""NO APLICA"",
IF(col=0,""REVISAR EQUIVALENCIA"",
IF(fila=0,""SKU NO ENCONTRADO"",
LET(
valor,INDEX(Referencia!$A$2:$AZ6238,fila,col),
IF(TRIM(TO_TEXT(valor))=TRIM(TO_TEXT(I4654)),"&amp;"
""OK"",
""NO COINCIDE. Valor verdadero: ""&amp;IF(valor="""",""[VACÍO]"",TO_TEXT(valor))
)
))))
),""ERROR EN FÓRMULA""))"),"OK")</f>
        <v>OK</v>
      </c>
    </row>
    <row r="4655">
      <c r="A4655" s="83" t="s">
        <v>4899</v>
      </c>
      <c r="B4655" s="83" t="s">
        <v>4900</v>
      </c>
      <c r="C4655" s="81" t="s">
        <v>4621</v>
      </c>
      <c r="D4655" s="83" t="s">
        <v>4341</v>
      </c>
      <c r="E4655" s="81" t="s">
        <v>1423</v>
      </c>
      <c r="F4655" s="81">
        <v>276.0</v>
      </c>
      <c r="G4655" s="81" t="s">
        <v>2</v>
      </c>
      <c r="H4655" s="81" t="s">
        <v>224</v>
      </c>
      <c r="I4655" s="81" t="s">
        <v>1291</v>
      </c>
      <c r="J4655" s="81" t="s">
        <v>224</v>
      </c>
      <c r="K4655" s="81" t="str">
        <f>IFERROR(__xludf.DUMMYFUNCTION("IF(OR(D4655="""",G4655=""""),"""",IFERROR(LET(
campo,XLOOKUP(TRIM(G4655),ARRAYFORMULA(TRIM('indice columnas'!$A$2:$A$100)),'indice columnas'!$B$2:$B$100,""""),
col,IFERROR(MATCH(campo,Referencia!$A$1:$AZ$1,0),0),
fila,IFERROR(MATCH(TO_TEXT(D4655),ARRAYFOR"&amp;"MULA(TO_TEXT(Referencia!$A$2:$A6238)),0),0),
IF(OR(campo="""",campo=""-""),""NO APLICA"",
IF(col=0,""REVISAR EQUIVALENCIA"",
IF(fila=0,""SKU NO ENCONTRADO"",
LET(
valor,INDEX(Referencia!$A$2:$AZ6238,fila,col),
IF(TRIM(TO_TEXT(valor))=TRIM(TO_TEXT(I4655)),"&amp;"
""OK"",
""NO COINCIDE. Valor verdadero: ""&amp;IF(valor="""",""[VACÍO]"",TO_TEXT(valor))
)
))))
),""ERROR EN FÓRMULA""))"),"OK")</f>
        <v>OK</v>
      </c>
    </row>
    <row r="4656">
      <c r="A4656" s="83" t="s">
        <v>4899</v>
      </c>
      <c r="B4656" s="83" t="s">
        <v>4900</v>
      </c>
      <c r="C4656" s="81" t="s">
        <v>4621</v>
      </c>
      <c r="D4656" s="83" t="s">
        <v>4344</v>
      </c>
      <c r="E4656" s="81" t="s">
        <v>1438</v>
      </c>
      <c r="F4656" s="81">
        <v>278.0</v>
      </c>
      <c r="G4656" s="81" t="s">
        <v>3</v>
      </c>
      <c r="H4656" s="81" t="s">
        <v>224</v>
      </c>
      <c r="I4656" s="81" t="s">
        <v>1402</v>
      </c>
      <c r="J4656" s="81" t="s">
        <v>224</v>
      </c>
      <c r="K4656" s="81" t="str">
        <f>IFERROR(__xludf.DUMMYFUNCTION("IF(OR(D4656="""",G4656=""""),"""",IFERROR(LET(
campo,XLOOKUP(TRIM(G4656),ARRAYFORMULA(TRIM('indice columnas'!$A$2:$A$100)),'indice columnas'!$B$2:$B$100,""""),
col,IFERROR(MATCH(campo,Referencia!$A$1:$AZ$1,0),0),
fila,IFERROR(MATCH(TO_TEXT(D4656),ARRAYFOR"&amp;"MULA(TO_TEXT(Referencia!$A$2:$A6238)),0),0),
IF(OR(campo="""",campo=""-""),""NO APLICA"",
IF(col=0,""REVISAR EQUIVALENCIA"",
IF(fila=0,""SKU NO ENCONTRADO"",
LET(
valor,INDEX(Referencia!$A$2:$AZ6238,fila,col),
IF(TRIM(TO_TEXT(valor))=TRIM(TO_TEXT(I4656)),"&amp;"
""OK"",
""NO COINCIDE. Valor verdadero: ""&amp;IF(valor="""",""[VACÍO]"",TO_TEXT(valor))
)
))))
),""ERROR EN FÓRMULA""))"),"OK")</f>
        <v>OK</v>
      </c>
    </row>
    <row r="4657">
      <c r="A4657" s="83" t="s">
        <v>4899</v>
      </c>
      <c r="B4657" s="83" t="s">
        <v>4900</v>
      </c>
      <c r="C4657" s="81" t="s">
        <v>4621</v>
      </c>
      <c r="D4657" s="83" t="s">
        <v>4344</v>
      </c>
      <c r="E4657" s="81" t="s">
        <v>1438</v>
      </c>
      <c r="F4657" s="81">
        <v>278.0</v>
      </c>
      <c r="G4657" s="81" t="s">
        <v>2</v>
      </c>
      <c r="H4657" s="81" t="s">
        <v>224</v>
      </c>
      <c r="I4657" s="81" t="s">
        <v>1291</v>
      </c>
      <c r="J4657" s="81" t="s">
        <v>224</v>
      </c>
      <c r="K4657" s="81" t="str">
        <f>IFERROR(__xludf.DUMMYFUNCTION("IF(OR(D4657="""",G4657=""""),"""",IFERROR(LET(
campo,XLOOKUP(TRIM(G4657),ARRAYFORMULA(TRIM('indice columnas'!$A$2:$A$100)),'indice columnas'!$B$2:$B$100,""""),
col,IFERROR(MATCH(campo,Referencia!$A$1:$AZ$1,0),0),
fila,IFERROR(MATCH(TO_TEXT(D4657),ARRAYFOR"&amp;"MULA(TO_TEXT(Referencia!$A$2:$A6238)),0),0),
IF(OR(campo="""",campo=""-""),""NO APLICA"",
IF(col=0,""REVISAR EQUIVALENCIA"",
IF(fila=0,""SKU NO ENCONTRADO"",
LET(
valor,INDEX(Referencia!$A$2:$AZ6238,fila,col),
IF(TRIM(TO_TEXT(valor))=TRIM(TO_TEXT(I4657)),"&amp;"
""OK"",
""NO COINCIDE. Valor verdadero: ""&amp;IF(valor="""",""[VACÍO]"",TO_TEXT(valor))
)
))))
),""ERROR EN FÓRMULA""))"),"OK")</f>
        <v>OK</v>
      </c>
    </row>
    <row r="4658">
      <c r="A4658" s="83" t="s">
        <v>4899</v>
      </c>
      <c r="B4658" s="83" t="s">
        <v>4900</v>
      </c>
      <c r="C4658" s="81" t="s">
        <v>4621</v>
      </c>
      <c r="D4658" s="83" t="s">
        <v>4347</v>
      </c>
      <c r="E4658" s="81" t="s">
        <v>1453</v>
      </c>
      <c r="F4658" s="81">
        <v>280.0</v>
      </c>
      <c r="G4658" s="81" t="s">
        <v>3</v>
      </c>
      <c r="H4658" s="81" t="s">
        <v>224</v>
      </c>
      <c r="I4658" s="81" t="s">
        <v>1402</v>
      </c>
      <c r="J4658" s="81" t="s">
        <v>224</v>
      </c>
      <c r="K4658" s="81" t="str">
        <f>IFERROR(__xludf.DUMMYFUNCTION("IF(OR(D4658="""",G4658=""""),"""",IFERROR(LET(
campo,XLOOKUP(TRIM(G4658),ARRAYFORMULA(TRIM('indice columnas'!$A$2:$A$100)),'indice columnas'!$B$2:$B$100,""""),
col,IFERROR(MATCH(campo,Referencia!$A$1:$AZ$1,0),0),
fila,IFERROR(MATCH(TO_TEXT(D4658),ARRAYFOR"&amp;"MULA(TO_TEXT(Referencia!$A$2:$A6238)),0),0),
IF(OR(campo="""",campo=""-""),""NO APLICA"",
IF(col=0,""REVISAR EQUIVALENCIA"",
IF(fila=0,""SKU NO ENCONTRADO"",
LET(
valor,INDEX(Referencia!$A$2:$AZ6238,fila,col),
IF(TRIM(TO_TEXT(valor))=TRIM(TO_TEXT(I4658)),"&amp;"
""OK"",
""NO COINCIDE. Valor verdadero: ""&amp;IF(valor="""",""[VACÍO]"",TO_TEXT(valor))
)
))))
),""ERROR EN FÓRMULA""))"),"OK")</f>
        <v>OK</v>
      </c>
    </row>
    <row r="4659">
      <c r="A4659" s="83" t="s">
        <v>4899</v>
      </c>
      <c r="B4659" s="83" t="s">
        <v>4900</v>
      </c>
      <c r="C4659" s="81" t="s">
        <v>4621</v>
      </c>
      <c r="D4659" s="83" t="s">
        <v>4347</v>
      </c>
      <c r="E4659" s="81" t="s">
        <v>1453</v>
      </c>
      <c r="F4659" s="81">
        <v>280.0</v>
      </c>
      <c r="G4659" s="81" t="s">
        <v>2</v>
      </c>
      <c r="H4659" s="81" t="s">
        <v>224</v>
      </c>
      <c r="I4659" s="81" t="s">
        <v>1291</v>
      </c>
      <c r="J4659" s="81" t="s">
        <v>224</v>
      </c>
      <c r="K4659" s="81" t="str">
        <f>IFERROR(__xludf.DUMMYFUNCTION("IF(OR(D4659="""",G4659=""""),"""",IFERROR(LET(
campo,XLOOKUP(TRIM(G4659),ARRAYFORMULA(TRIM('indice columnas'!$A$2:$A$100)),'indice columnas'!$B$2:$B$100,""""),
col,IFERROR(MATCH(campo,Referencia!$A$1:$AZ$1,0),0),
fila,IFERROR(MATCH(TO_TEXT(D4659),ARRAYFOR"&amp;"MULA(TO_TEXT(Referencia!$A$2:$A6238)),0),0),
IF(OR(campo="""",campo=""-""),""NO APLICA"",
IF(col=0,""REVISAR EQUIVALENCIA"",
IF(fila=0,""SKU NO ENCONTRADO"",
LET(
valor,INDEX(Referencia!$A$2:$AZ6238,fila,col),
IF(TRIM(TO_TEXT(valor))=TRIM(TO_TEXT(I4659)),"&amp;"
""OK"",
""NO COINCIDE. Valor verdadero: ""&amp;IF(valor="""",""[VACÍO]"",TO_TEXT(valor))
)
))))
),""ERROR EN FÓRMULA""))"),"OK")</f>
        <v>OK</v>
      </c>
    </row>
    <row r="4660">
      <c r="A4660" s="83" t="s">
        <v>4899</v>
      </c>
      <c r="B4660" s="83" t="s">
        <v>4900</v>
      </c>
      <c r="C4660" s="81" t="s">
        <v>4621</v>
      </c>
      <c r="D4660" s="83" t="s">
        <v>4350</v>
      </c>
      <c r="E4660" s="81" t="s">
        <v>1467</v>
      </c>
      <c r="F4660" s="81">
        <v>282.0</v>
      </c>
      <c r="G4660" s="81" t="s">
        <v>3</v>
      </c>
      <c r="H4660" s="81" t="s">
        <v>224</v>
      </c>
      <c r="I4660" s="81" t="s">
        <v>1402</v>
      </c>
      <c r="J4660" s="81" t="s">
        <v>224</v>
      </c>
      <c r="K4660" s="81" t="str">
        <f>IFERROR(__xludf.DUMMYFUNCTION("IF(OR(D4660="""",G4660=""""),"""",IFERROR(LET(
campo,XLOOKUP(TRIM(G4660),ARRAYFORMULA(TRIM('indice columnas'!$A$2:$A$100)),'indice columnas'!$B$2:$B$100,""""),
col,IFERROR(MATCH(campo,Referencia!$A$1:$AZ$1,0),0),
fila,IFERROR(MATCH(TO_TEXT(D4660),ARRAYFOR"&amp;"MULA(TO_TEXT(Referencia!$A$2:$A6238)),0),0),
IF(OR(campo="""",campo=""-""),""NO APLICA"",
IF(col=0,""REVISAR EQUIVALENCIA"",
IF(fila=0,""SKU NO ENCONTRADO"",
LET(
valor,INDEX(Referencia!$A$2:$AZ6238,fila,col),
IF(TRIM(TO_TEXT(valor))=TRIM(TO_TEXT(I4660)),"&amp;"
""OK"",
""NO COINCIDE. Valor verdadero: ""&amp;IF(valor="""",""[VACÍO]"",TO_TEXT(valor))
)
))))
),""ERROR EN FÓRMULA""))"),"OK")</f>
        <v>OK</v>
      </c>
    </row>
    <row r="4661">
      <c r="A4661" s="83" t="s">
        <v>4899</v>
      </c>
      <c r="B4661" s="83" t="s">
        <v>4900</v>
      </c>
      <c r="C4661" s="81" t="s">
        <v>4621</v>
      </c>
      <c r="D4661" s="83" t="s">
        <v>4350</v>
      </c>
      <c r="E4661" s="81" t="s">
        <v>1467</v>
      </c>
      <c r="F4661" s="81">
        <v>282.0</v>
      </c>
      <c r="G4661" s="81" t="s">
        <v>2</v>
      </c>
      <c r="H4661" s="81" t="s">
        <v>224</v>
      </c>
      <c r="I4661" s="81" t="s">
        <v>1291</v>
      </c>
      <c r="J4661" s="81" t="s">
        <v>224</v>
      </c>
      <c r="K4661" s="81" t="str">
        <f>IFERROR(__xludf.DUMMYFUNCTION("IF(OR(D4661="""",G4661=""""),"""",IFERROR(LET(
campo,XLOOKUP(TRIM(G4661),ARRAYFORMULA(TRIM('indice columnas'!$A$2:$A$100)),'indice columnas'!$B$2:$B$100,""""),
col,IFERROR(MATCH(campo,Referencia!$A$1:$AZ$1,0),0),
fila,IFERROR(MATCH(TO_TEXT(D4661),ARRAYFOR"&amp;"MULA(TO_TEXT(Referencia!$A$2:$A6238)),0),0),
IF(OR(campo="""",campo=""-""),""NO APLICA"",
IF(col=0,""REVISAR EQUIVALENCIA"",
IF(fila=0,""SKU NO ENCONTRADO"",
LET(
valor,INDEX(Referencia!$A$2:$AZ6238,fila,col),
IF(TRIM(TO_TEXT(valor))=TRIM(TO_TEXT(I4661)),"&amp;"
""OK"",
""NO COINCIDE. Valor verdadero: ""&amp;IF(valor="""",""[VACÍO]"",TO_TEXT(valor))
)
))))
),""ERROR EN FÓRMULA""))"),"OK")</f>
        <v>OK</v>
      </c>
    </row>
    <row r="4662">
      <c r="A4662" s="83" t="s">
        <v>4899</v>
      </c>
      <c r="B4662" s="83" t="s">
        <v>4900</v>
      </c>
      <c r="C4662" s="81" t="s">
        <v>4621</v>
      </c>
      <c r="D4662" s="83" t="s">
        <v>4353</v>
      </c>
      <c r="E4662" s="81" t="s">
        <v>1477</v>
      </c>
      <c r="F4662" s="81">
        <v>285.0</v>
      </c>
      <c r="G4662" s="81" t="s">
        <v>3</v>
      </c>
      <c r="H4662" s="81" t="s">
        <v>224</v>
      </c>
      <c r="I4662" s="81" t="s">
        <v>1239</v>
      </c>
      <c r="J4662" s="81" t="s">
        <v>224</v>
      </c>
      <c r="K4662" s="81" t="str">
        <f>IFERROR(__xludf.DUMMYFUNCTION("IF(OR(D4662="""",G4662=""""),"""",IFERROR(LET(
campo,XLOOKUP(TRIM(G4662),ARRAYFORMULA(TRIM('indice columnas'!$A$2:$A$100)),'indice columnas'!$B$2:$B$100,""""),
col,IFERROR(MATCH(campo,Referencia!$A$1:$AZ$1,0),0),
fila,IFERROR(MATCH(TO_TEXT(D4662),ARRAYFOR"&amp;"MULA(TO_TEXT(Referencia!$A$2:$A6238)),0),0),
IF(OR(campo="""",campo=""-""),""NO APLICA"",
IF(col=0,""REVISAR EQUIVALENCIA"",
IF(fila=0,""SKU NO ENCONTRADO"",
LET(
valor,INDEX(Referencia!$A$2:$AZ6238,fila,col),
IF(TRIM(TO_TEXT(valor))=TRIM(TO_TEXT(I4662)),"&amp;"
""OK"",
""NO COINCIDE. Valor verdadero: ""&amp;IF(valor="""",""[VACÍO]"",TO_TEXT(valor))
)
))))
),""ERROR EN FÓRMULA""))"),"OK")</f>
        <v>OK</v>
      </c>
    </row>
    <row r="4663">
      <c r="A4663" s="83" t="s">
        <v>4899</v>
      </c>
      <c r="B4663" s="83" t="s">
        <v>4900</v>
      </c>
      <c r="C4663" s="81" t="s">
        <v>4621</v>
      </c>
      <c r="D4663" s="83" t="s">
        <v>4353</v>
      </c>
      <c r="E4663" s="81" t="s">
        <v>1477</v>
      </c>
      <c r="F4663" s="81">
        <v>285.0</v>
      </c>
      <c r="G4663" s="81" t="s">
        <v>2</v>
      </c>
      <c r="H4663" s="81" t="s">
        <v>224</v>
      </c>
      <c r="I4663" s="81" t="s">
        <v>1238</v>
      </c>
      <c r="J4663" s="81" t="s">
        <v>224</v>
      </c>
      <c r="K4663" s="81" t="str">
        <f>IFERROR(__xludf.DUMMYFUNCTION("IF(OR(D4663="""",G4663=""""),"""",IFERROR(LET(
campo,XLOOKUP(TRIM(G4663),ARRAYFORMULA(TRIM('indice columnas'!$A$2:$A$100)),'indice columnas'!$B$2:$B$100,""""),
col,IFERROR(MATCH(campo,Referencia!$A$1:$AZ$1,0),0),
fila,IFERROR(MATCH(TO_TEXT(D4663),ARRAYFOR"&amp;"MULA(TO_TEXT(Referencia!$A$2:$A6238)),0),0),
IF(OR(campo="""",campo=""-""),""NO APLICA"",
IF(col=0,""REVISAR EQUIVALENCIA"",
IF(fila=0,""SKU NO ENCONTRADO"",
LET(
valor,INDEX(Referencia!$A$2:$AZ6238,fila,col),
IF(TRIM(TO_TEXT(valor))=TRIM(TO_TEXT(I4663)),"&amp;"
""OK"",
""NO COINCIDE. Valor verdadero: ""&amp;IF(valor="""",""[VACÍO]"",TO_TEXT(valor))
)
))))
),""ERROR EN FÓRMULA""))"),"OK")</f>
        <v>OK</v>
      </c>
    </row>
    <row r="4664">
      <c r="A4664" s="83" t="s">
        <v>4899</v>
      </c>
      <c r="B4664" s="83" t="s">
        <v>4900</v>
      </c>
      <c r="C4664" s="81" t="s">
        <v>4621</v>
      </c>
      <c r="D4664" s="83" t="s">
        <v>4358</v>
      </c>
      <c r="E4664" s="81" t="s">
        <v>1502</v>
      </c>
      <c r="F4664" s="81">
        <v>291.0</v>
      </c>
      <c r="G4664" s="81" t="s">
        <v>3</v>
      </c>
      <c r="H4664" s="81" t="s">
        <v>224</v>
      </c>
      <c r="I4664" s="81" t="s">
        <v>926</v>
      </c>
      <c r="J4664" s="81" t="s">
        <v>224</v>
      </c>
      <c r="K4664" s="81" t="str">
        <f>IFERROR(__xludf.DUMMYFUNCTION("IF(OR(D4664="""",G4664=""""),"""",IFERROR(LET(
campo,XLOOKUP(TRIM(G4664),ARRAYFORMULA(TRIM('indice columnas'!$A$2:$A$100)),'indice columnas'!$B$2:$B$100,""""),
col,IFERROR(MATCH(campo,Referencia!$A$1:$AZ$1,0),0),
fila,IFERROR(MATCH(TO_TEXT(D4664),ARRAYFOR"&amp;"MULA(TO_TEXT(Referencia!$A$2:$A6238)),0),0),
IF(OR(campo="""",campo=""-""),""NO APLICA"",
IF(col=0,""REVISAR EQUIVALENCIA"",
IF(fila=0,""SKU NO ENCONTRADO"",
LET(
valor,INDEX(Referencia!$A$2:$AZ6238,fila,col),
IF(TRIM(TO_TEXT(valor))=TRIM(TO_TEXT(I4664)),"&amp;"
""OK"",
""NO COINCIDE. Valor verdadero: ""&amp;IF(valor="""",""[VACÍO]"",TO_TEXT(valor))
)
))))
),""ERROR EN FÓRMULA""))"),"OK")</f>
        <v>OK</v>
      </c>
    </row>
    <row r="4665">
      <c r="A4665" s="83" t="s">
        <v>4899</v>
      </c>
      <c r="B4665" s="83" t="s">
        <v>4900</v>
      </c>
      <c r="C4665" s="81" t="s">
        <v>4621</v>
      </c>
      <c r="D4665" s="83" t="s">
        <v>4358</v>
      </c>
      <c r="E4665" s="81" t="s">
        <v>1502</v>
      </c>
      <c r="F4665" s="81">
        <v>291.0</v>
      </c>
      <c r="G4665" s="81" t="s">
        <v>2</v>
      </c>
      <c r="H4665" s="81" t="s">
        <v>224</v>
      </c>
      <c r="I4665" s="81" t="s">
        <v>1291</v>
      </c>
      <c r="J4665" s="81" t="s">
        <v>224</v>
      </c>
      <c r="K4665" s="81" t="str">
        <f>IFERROR(__xludf.DUMMYFUNCTION("IF(OR(D4665="""",G4665=""""),"""",IFERROR(LET(
campo,XLOOKUP(TRIM(G4665),ARRAYFORMULA(TRIM('indice columnas'!$A$2:$A$100)),'indice columnas'!$B$2:$B$100,""""),
col,IFERROR(MATCH(campo,Referencia!$A$1:$AZ$1,0),0),
fila,IFERROR(MATCH(TO_TEXT(D4665),ARRAYFOR"&amp;"MULA(TO_TEXT(Referencia!$A$2:$A6238)),0),0),
IF(OR(campo="""",campo=""-""),""NO APLICA"",
IF(col=0,""REVISAR EQUIVALENCIA"",
IF(fila=0,""SKU NO ENCONTRADO"",
LET(
valor,INDEX(Referencia!$A$2:$AZ6238,fila,col),
IF(TRIM(TO_TEXT(valor))=TRIM(TO_TEXT(I4665)),"&amp;"
""OK"",
""NO COINCIDE. Valor verdadero: ""&amp;IF(valor="""",""[VACÍO]"",TO_TEXT(valor))
)
))))
),""ERROR EN FÓRMULA""))"),"OK")</f>
        <v>OK</v>
      </c>
    </row>
    <row r="4666">
      <c r="A4666" s="83" t="s">
        <v>4899</v>
      </c>
      <c r="B4666" s="83" t="s">
        <v>4900</v>
      </c>
      <c r="C4666" s="81" t="s">
        <v>4621</v>
      </c>
      <c r="D4666" s="83" t="s">
        <v>4360</v>
      </c>
      <c r="E4666" s="81" t="s">
        <v>1516</v>
      </c>
      <c r="F4666" s="81">
        <v>294.0</v>
      </c>
      <c r="G4666" s="81" t="s">
        <v>3</v>
      </c>
      <c r="H4666" s="81" t="s">
        <v>224</v>
      </c>
      <c r="I4666" s="81" t="s">
        <v>926</v>
      </c>
      <c r="J4666" s="81" t="s">
        <v>224</v>
      </c>
      <c r="K4666" s="81" t="str">
        <f>IFERROR(__xludf.DUMMYFUNCTION("IF(OR(D4666="""",G4666=""""),"""",IFERROR(LET(
campo,XLOOKUP(TRIM(G4666),ARRAYFORMULA(TRIM('indice columnas'!$A$2:$A$100)),'indice columnas'!$B$2:$B$100,""""),
col,IFERROR(MATCH(campo,Referencia!$A$1:$AZ$1,0),0),
fila,IFERROR(MATCH(TO_TEXT(D4666),ARRAYFOR"&amp;"MULA(TO_TEXT(Referencia!$A$2:$A6238)),0),0),
IF(OR(campo="""",campo=""-""),""NO APLICA"",
IF(col=0,""REVISAR EQUIVALENCIA"",
IF(fila=0,""SKU NO ENCONTRADO"",
LET(
valor,INDEX(Referencia!$A$2:$AZ6238,fila,col),
IF(TRIM(TO_TEXT(valor))=TRIM(TO_TEXT(I4666)),"&amp;"
""OK"",
""NO COINCIDE. Valor verdadero: ""&amp;IF(valor="""",""[VACÍO]"",TO_TEXT(valor))
)
))))
),""ERROR EN FÓRMULA""))"),"OK")</f>
        <v>OK</v>
      </c>
    </row>
    <row r="4667">
      <c r="A4667" s="83" t="s">
        <v>4899</v>
      </c>
      <c r="B4667" s="83" t="s">
        <v>4900</v>
      </c>
      <c r="C4667" s="81" t="s">
        <v>4621</v>
      </c>
      <c r="D4667" s="83" t="s">
        <v>4360</v>
      </c>
      <c r="E4667" s="81" t="s">
        <v>1516</v>
      </c>
      <c r="F4667" s="81">
        <v>294.0</v>
      </c>
      <c r="G4667" s="81" t="s">
        <v>2</v>
      </c>
      <c r="H4667" s="81" t="s">
        <v>224</v>
      </c>
      <c r="I4667" s="81" t="s">
        <v>1291</v>
      </c>
      <c r="J4667" s="81" t="s">
        <v>224</v>
      </c>
      <c r="K4667" s="81" t="str">
        <f>IFERROR(__xludf.DUMMYFUNCTION("IF(OR(D4667="""",G4667=""""),"""",IFERROR(LET(
campo,XLOOKUP(TRIM(G4667),ARRAYFORMULA(TRIM('indice columnas'!$A$2:$A$100)),'indice columnas'!$B$2:$B$100,""""),
col,IFERROR(MATCH(campo,Referencia!$A$1:$AZ$1,0),0),
fila,IFERROR(MATCH(TO_TEXT(D4667),ARRAYFOR"&amp;"MULA(TO_TEXT(Referencia!$A$2:$A6238)),0),0),
IF(OR(campo="""",campo=""-""),""NO APLICA"",
IF(col=0,""REVISAR EQUIVALENCIA"",
IF(fila=0,""SKU NO ENCONTRADO"",
LET(
valor,INDEX(Referencia!$A$2:$AZ6238,fila,col),
IF(TRIM(TO_TEXT(valor))=TRIM(TO_TEXT(I4667)),"&amp;"
""OK"",
""NO COINCIDE. Valor verdadero: ""&amp;IF(valor="""",""[VACÍO]"",TO_TEXT(valor))
)
))))
),""ERROR EN FÓRMULA""))"),"OK")</f>
        <v>OK</v>
      </c>
    </row>
    <row r="4668">
      <c r="A4668" s="83" t="s">
        <v>4899</v>
      </c>
      <c r="B4668" s="83" t="s">
        <v>4900</v>
      </c>
      <c r="C4668" s="81" t="s">
        <v>4621</v>
      </c>
      <c r="D4668" s="83" t="s">
        <v>4361</v>
      </c>
      <c r="E4668" s="81" t="s">
        <v>1529</v>
      </c>
      <c r="F4668" s="81">
        <v>296.0</v>
      </c>
      <c r="G4668" s="81" t="s">
        <v>3</v>
      </c>
      <c r="H4668" s="81" t="s">
        <v>224</v>
      </c>
      <c r="I4668" s="81" t="s">
        <v>926</v>
      </c>
      <c r="J4668" s="81" t="s">
        <v>224</v>
      </c>
      <c r="K4668" s="81" t="str">
        <f>IFERROR(__xludf.DUMMYFUNCTION("IF(OR(D4668="""",G4668=""""),"""",IFERROR(LET(
campo,XLOOKUP(TRIM(G4668),ARRAYFORMULA(TRIM('indice columnas'!$A$2:$A$100)),'indice columnas'!$B$2:$B$100,""""),
col,IFERROR(MATCH(campo,Referencia!$A$1:$AZ$1,0),0),
fila,IFERROR(MATCH(TO_TEXT(D4668),ARRAYFOR"&amp;"MULA(TO_TEXT(Referencia!$A$2:$A6238)),0),0),
IF(OR(campo="""",campo=""-""),""NO APLICA"",
IF(col=0,""REVISAR EQUIVALENCIA"",
IF(fila=0,""SKU NO ENCONTRADO"",
LET(
valor,INDEX(Referencia!$A$2:$AZ6238,fila,col),
IF(TRIM(TO_TEXT(valor))=TRIM(TO_TEXT(I4668)),"&amp;"
""OK"",
""NO COINCIDE. Valor verdadero: ""&amp;IF(valor="""",""[VACÍO]"",TO_TEXT(valor))
)
))))
),""ERROR EN FÓRMULA""))"),"OK")</f>
        <v>OK</v>
      </c>
    </row>
    <row r="4669">
      <c r="A4669" s="83" t="s">
        <v>4899</v>
      </c>
      <c r="B4669" s="83" t="s">
        <v>4900</v>
      </c>
      <c r="C4669" s="81" t="s">
        <v>4621</v>
      </c>
      <c r="D4669" s="83" t="s">
        <v>4361</v>
      </c>
      <c r="E4669" s="81" t="s">
        <v>1529</v>
      </c>
      <c r="F4669" s="81">
        <v>296.0</v>
      </c>
      <c r="G4669" s="81" t="s">
        <v>2</v>
      </c>
      <c r="H4669" s="81" t="s">
        <v>224</v>
      </c>
      <c r="I4669" s="81" t="s">
        <v>1291</v>
      </c>
      <c r="J4669" s="81" t="s">
        <v>224</v>
      </c>
      <c r="K4669" s="81" t="str">
        <f>IFERROR(__xludf.DUMMYFUNCTION("IF(OR(D4669="""",G4669=""""),"""",IFERROR(LET(
campo,XLOOKUP(TRIM(G4669),ARRAYFORMULA(TRIM('indice columnas'!$A$2:$A$100)),'indice columnas'!$B$2:$B$100,""""),
col,IFERROR(MATCH(campo,Referencia!$A$1:$AZ$1,0),0),
fila,IFERROR(MATCH(TO_TEXT(D4669),ARRAYFOR"&amp;"MULA(TO_TEXT(Referencia!$A$2:$A6238)),0),0),
IF(OR(campo="""",campo=""-""),""NO APLICA"",
IF(col=0,""REVISAR EQUIVALENCIA"",
IF(fila=0,""SKU NO ENCONTRADO"",
LET(
valor,INDEX(Referencia!$A$2:$AZ6238,fila,col),
IF(TRIM(TO_TEXT(valor))=TRIM(TO_TEXT(I4669)),"&amp;"
""OK"",
""NO COINCIDE. Valor verdadero: ""&amp;IF(valor="""",""[VACÍO]"",TO_TEXT(valor))
)
))))
),""ERROR EN FÓRMULA""))"),"OK")</f>
        <v>OK</v>
      </c>
    </row>
    <row r="4670">
      <c r="A4670" s="83" t="s">
        <v>4899</v>
      </c>
      <c r="B4670" s="83" t="s">
        <v>4900</v>
      </c>
      <c r="C4670" s="81" t="s">
        <v>4621</v>
      </c>
      <c r="D4670" s="83" t="s">
        <v>4362</v>
      </c>
      <c r="E4670" s="81" t="s">
        <v>1530</v>
      </c>
      <c r="F4670" s="81">
        <v>297.0</v>
      </c>
      <c r="G4670" s="81" t="s">
        <v>3</v>
      </c>
      <c r="H4670" s="81" t="s">
        <v>224</v>
      </c>
      <c r="I4670" s="81" t="s">
        <v>926</v>
      </c>
      <c r="J4670" s="81" t="s">
        <v>224</v>
      </c>
      <c r="K4670" s="81" t="str">
        <f>IFERROR(__xludf.DUMMYFUNCTION("IF(OR(D4670="""",G4670=""""),"""",IFERROR(LET(
campo,XLOOKUP(TRIM(G4670),ARRAYFORMULA(TRIM('indice columnas'!$A$2:$A$100)),'indice columnas'!$B$2:$B$100,""""),
col,IFERROR(MATCH(campo,Referencia!$A$1:$AZ$1,0),0),
fila,IFERROR(MATCH(TO_TEXT(D4670),ARRAYFOR"&amp;"MULA(TO_TEXT(Referencia!$A$2:$A6238)),0),0),
IF(OR(campo="""",campo=""-""),""NO APLICA"",
IF(col=0,""REVISAR EQUIVALENCIA"",
IF(fila=0,""SKU NO ENCONTRADO"",
LET(
valor,INDEX(Referencia!$A$2:$AZ6238,fila,col),
IF(TRIM(TO_TEXT(valor))=TRIM(TO_TEXT(I4670)),"&amp;"
""OK"",
""NO COINCIDE. Valor verdadero: ""&amp;IF(valor="""",""[VACÍO]"",TO_TEXT(valor))
)
))))
),""ERROR EN FÓRMULA""))"),"OK")</f>
        <v>OK</v>
      </c>
    </row>
    <row r="4671">
      <c r="A4671" s="83" t="s">
        <v>4899</v>
      </c>
      <c r="B4671" s="83" t="s">
        <v>4900</v>
      </c>
      <c r="C4671" s="81" t="s">
        <v>4621</v>
      </c>
      <c r="D4671" s="83" t="s">
        <v>4362</v>
      </c>
      <c r="E4671" s="81" t="s">
        <v>1530</v>
      </c>
      <c r="F4671" s="81">
        <v>297.0</v>
      </c>
      <c r="G4671" s="81" t="s">
        <v>2</v>
      </c>
      <c r="H4671" s="81" t="s">
        <v>224</v>
      </c>
      <c r="I4671" s="81" t="s">
        <v>1291</v>
      </c>
      <c r="J4671" s="81" t="s">
        <v>224</v>
      </c>
      <c r="K4671" s="81" t="str">
        <f>IFERROR(__xludf.DUMMYFUNCTION("IF(OR(D4671="""",G4671=""""),"""",IFERROR(LET(
campo,XLOOKUP(TRIM(G4671),ARRAYFORMULA(TRIM('indice columnas'!$A$2:$A$100)),'indice columnas'!$B$2:$B$100,""""),
col,IFERROR(MATCH(campo,Referencia!$A$1:$AZ$1,0),0),
fila,IFERROR(MATCH(TO_TEXT(D4671),ARRAYFOR"&amp;"MULA(TO_TEXT(Referencia!$A$2:$A6238)),0),0),
IF(OR(campo="""",campo=""-""),""NO APLICA"",
IF(col=0,""REVISAR EQUIVALENCIA"",
IF(fila=0,""SKU NO ENCONTRADO"",
LET(
valor,INDEX(Referencia!$A$2:$AZ6238,fila,col),
IF(TRIM(TO_TEXT(valor))=TRIM(TO_TEXT(I4671)),"&amp;"
""OK"",
""NO COINCIDE. Valor verdadero: ""&amp;IF(valor="""",""[VACÍO]"",TO_TEXT(valor))
)
))))
),""ERROR EN FÓRMULA""))"),"OK")</f>
        <v>OK</v>
      </c>
    </row>
    <row r="4672">
      <c r="A4672" s="83" t="s">
        <v>4899</v>
      </c>
      <c r="B4672" s="83" t="s">
        <v>4900</v>
      </c>
      <c r="C4672" s="81" t="s">
        <v>4621</v>
      </c>
      <c r="D4672" s="83" t="s">
        <v>4363</v>
      </c>
      <c r="E4672" s="81" t="s">
        <v>1548</v>
      </c>
      <c r="F4672" s="81">
        <v>299.0</v>
      </c>
      <c r="G4672" s="81" t="s">
        <v>3</v>
      </c>
      <c r="H4672" s="81" t="s">
        <v>376</v>
      </c>
      <c r="I4672" s="81" t="s">
        <v>344</v>
      </c>
      <c r="J4672" s="81" t="s">
        <v>224</v>
      </c>
      <c r="K4672" s="81" t="str">
        <f>IFERROR(__xludf.DUMMYFUNCTION("IF(OR(D4672="""",G4672=""""),"""",IFERROR(LET(
campo,XLOOKUP(TRIM(G4672),ARRAYFORMULA(TRIM('indice columnas'!$A$2:$A$100)),'indice columnas'!$B$2:$B$100,""""),
col,IFERROR(MATCH(campo,Referencia!$A$1:$AZ$1,0),0),
fila,IFERROR(MATCH(TO_TEXT(D4672),ARRAYFOR"&amp;"MULA(TO_TEXT(Referencia!$A$2:$A6238)),0),0),
IF(OR(campo="""",campo=""-""),""NO APLICA"",
IF(col=0,""REVISAR EQUIVALENCIA"",
IF(fila=0,""SKU NO ENCONTRADO"",
LET(
valor,INDEX(Referencia!$A$2:$AZ6238,fila,col),
IF(TRIM(TO_TEXT(valor))=TRIM(TO_TEXT(I4672)),"&amp;"
""OK"",
""NO COINCIDE. Valor verdadero: ""&amp;IF(valor="""",""[VACÍO]"",TO_TEXT(valor))
)
))))
),""ERROR EN FÓRMULA""))"),"OK")</f>
        <v>OK</v>
      </c>
    </row>
    <row r="4673">
      <c r="A4673" s="83" t="s">
        <v>4899</v>
      </c>
      <c r="B4673" s="83" t="s">
        <v>4900</v>
      </c>
      <c r="C4673" s="81" t="s">
        <v>4621</v>
      </c>
      <c r="D4673" s="83" t="s">
        <v>4364</v>
      </c>
      <c r="E4673" s="81" t="s">
        <v>1551</v>
      </c>
      <c r="F4673" s="81">
        <v>300.0</v>
      </c>
      <c r="G4673" s="81" t="s">
        <v>3</v>
      </c>
      <c r="H4673" s="81" t="s">
        <v>224</v>
      </c>
      <c r="I4673" s="81" t="s">
        <v>344</v>
      </c>
      <c r="J4673" s="81" t="s">
        <v>224</v>
      </c>
      <c r="K4673" s="81" t="str">
        <f>IFERROR(__xludf.DUMMYFUNCTION("IF(OR(D4673="""",G4673=""""),"""",IFERROR(LET(
campo,XLOOKUP(TRIM(G4673),ARRAYFORMULA(TRIM('indice columnas'!$A$2:$A$100)),'indice columnas'!$B$2:$B$100,""""),
col,IFERROR(MATCH(campo,Referencia!$A$1:$AZ$1,0),0),
fila,IFERROR(MATCH(TO_TEXT(D4673),ARRAYFOR"&amp;"MULA(TO_TEXT(Referencia!$A$2:$A6238)),0),0),
IF(OR(campo="""",campo=""-""),""NO APLICA"",
IF(col=0,""REVISAR EQUIVALENCIA"",
IF(fila=0,""SKU NO ENCONTRADO"",
LET(
valor,INDEX(Referencia!$A$2:$AZ6238,fila,col),
IF(TRIM(TO_TEXT(valor))=TRIM(TO_TEXT(I4673)),"&amp;"
""OK"",
""NO COINCIDE. Valor verdadero: ""&amp;IF(valor="""",""[VACÍO]"",TO_TEXT(valor))
)
))))
),""ERROR EN FÓRMULA""))"),"OK")</f>
        <v>OK</v>
      </c>
    </row>
    <row r="4674">
      <c r="A4674" s="83" t="s">
        <v>4899</v>
      </c>
      <c r="B4674" s="83" t="s">
        <v>4900</v>
      </c>
      <c r="C4674" s="81" t="s">
        <v>4621</v>
      </c>
      <c r="D4674" s="83" t="s">
        <v>4364</v>
      </c>
      <c r="E4674" s="81" t="s">
        <v>1551</v>
      </c>
      <c r="F4674" s="81">
        <v>300.0</v>
      </c>
      <c r="G4674" s="81" t="s">
        <v>2</v>
      </c>
      <c r="H4674" s="81" t="s">
        <v>224</v>
      </c>
      <c r="I4674" s="81" t="s">
        <v>213</v>
      </c>
      <c r="J4674" s="81" t="s">
        <v>224</v>
      </c>
      <c r="K4674" s="81" t="str">
        <f>IFERROR(__xludf.DUMMYFUNCTION("IF(OR(D4674="""",G4674=""""),"""",IFERROR(LET(
campo,XLOOKUP(TRIM(G4674),ARRAYFORMULA(TRIM('indice columnas'!$A$2:$A$100)),'indice columnas'!$B$2:$B$100,""""),
col,IFERROR(MATCH(campo,Referencia!$A$1:$AZ$1,0),0),
fila,IFERROR(MATCH(TO_TEXT(D4674),ARRAYFOR"&amp;"MULA(TO_TEXT(Referencia!$A$2:$A6238)),0),0),
IF(OR(campo="""",campo=""-""),""NO APLICA"",
IF(col=0,""REVISAR EQUIVALENCIA"",
IF(fila=0,""SKU NO ENCONTRADO"",
LET(
valor,INDEX(Referencia!$A$2:$AZ6238,fila,col),
IF(TRIM(TO_TEXT(valor))=TRIM(TO_TEXT(I4674)),"&amp;"
""OK"",
""NO COINCIDE. Valor verdadero: ""&amp;IF(valor="""",""[VACÍO]"",TO_TEXT(valor))
)
))))
),""ERROR EN FÓRMULA""))"),"OK")</f>
        <v>OK</v>
      </c>
    </row>
    <row r="4675">
      <c r="A4675" s="83" t="s">
        <v>4899</v>
      </c>
      <c r="B4675" s="83" t="s">
        <v>4900</v>
      </c>
      <c r="C4675" s="81" t="s">
        <v>4621</v>
      </c>
      <c r="D4675" s="83" t="s">
        <v>4364</v>
      </c>
      <c r="E4675" s="81" t="s">
        <v>1551</v>
      </c>
      <c r="F4675" s="81">
        <v>300.0</v>
      </c>
      <c r="G4675" s="81" t="s">
        <v>1</v>
      </c>
      <c r="H4675" s="81" t="s">
        <v>224</v>
      </c>
      <c r="I4675" s="81" t="s">
        <v>49</v>
      </c>
      <c r="J4675" s="81" t="s">
        <v>224</v>
      </c>
      <c r="K4675" s="81" t="str">
        <f>IFERROR(__xludf.DUMMYFUNCTION("IF(OR(D4675="""",G4675=""""),"""",IFERROR(LET(
campo,XLOOKUP(TRIM(G4675),ARRAYFORMULA(TRIM('indice columnas'!$A$2:$A$100)),'indice columnas'!$B$2:$B$100,""""),
col,IFERROR(MATCH(campo,Referencia!$A$1:$AZ$1,0),0),
fila,IFERROR(MATCH(TO_TEXT(D4675),ARRAYFOR"&amp;"MULA(TO_TEXT(Referencia!$A$2:$A6238)),0),0),
IF(OR(campo="""",campo=""-""),""NO APLICA"",
IF(col=0,""REVISAR EQUIVALENCIA"",
IF(fila=0,""SKU NO ENCONTRADO"",
LET(
valor,INDEX(Referencia!$A$2:$AZ6238,fila,col),
IF(TRIM(TO_TEXT(valor))=TRIM(TO_TEXT(I4675)),"&amp;"
""OK"",
""NO COINCIDE. Valor verdadero: ""&amp;IF(valor="""",""[VACÍO]"",TO_TEXT(valor))
)
))))
),""ERROR EN FÓRMULA""))"),"OK")</f>
        <v>OK</v>
      </c>
    </row>
    <row r="4676">
      <c r="A4676" s="83" t="s">
        <v>4899</v>
      </c>
      <c r="B4676" s="83" t="s">
        <v>4900</v>
      </c>
      <c r="C4676" s="81" t="s">
        <v>4621</v>
      </c>
      <c r="D4676" s="83" t="s">
        <v>4365</v>
      </c>
      <c r="E4676" s="81" t="s">
        <v>1560</v>
      </c>
      <c r="F4676" s="81">
        <v>302.0</v>
      </c>
      <c r="G4676" s="81" t="s">
        <v>3</v>
      </c>
      <c r="H4676" s="81" t="s">
        <v>376</v>
      </c>
      <c r="I4676" s="81" t="s">
        <v>344</v>
      </c>
      <c r="J4676" s="81" t="s">
        <v>224</v>
      </c>
      <c r="K4676" s="81" t="str">
        <f>IFERROR(__xludf.DUMMYFUNCTION("IF(OR(D4676="""",G4676=""""),"""",IFERROR(LET(
campo,XLOOKUP(TRIM(G4676),ARRAYFORMULA(TRIM('indice columnas'!$A$2:$A$100)),'indice columnas'!$B$2:$B$100,""""),
col,IFERROR(MATCH(campo,Referencia!$A$1:$AZ$1,0),0),
fila,IFERROR(MATCH(TO_TEXT(D4676),ARRAYFOR"&amp;"MULA(TO_TEXT(Referencia!$A$2:$A6238)),0),0),
IF(OR(campo="""",campo=""-""),""NO APLICA"",
IF(col=0,""REVISAR EQUIVALENCIA"",
IF(fila=0,""SKU NO ENCONTRADO"",
LET(
valor,INDEX(Referencia!$A$2:$AZ6238,fila,col),
IF(TRIM(TO_TEXT(valor))=TRIM(TO_TEXT(I4676)),"&amp;"
""OK"",
""NO COINCIDE. Valor verdadero: ""&amp;IF(valor="""",""[VACÍO]"",TO_TEXT(valor))
)
))))
),""ERROR EN FÓRMULA""))"),"OK")</f>
        <v>OK</v>
      </c>
    </row>
    <row r="4677">
      <c r="A4677" s="83" t="s">
        <v>4899</v>
      </c>
      <c r="B4677" s="83" t="s">
        <v>4900</v>
      </c>
      <c r="C4677" s="81" t="s">
        <v>4621</v>
      </c>
      <c r="D4677" s="83" t="s">
        <v>4366</v>
      </c>
      <c r="E4677" s="81" t="s">
        <v>1562</v>
      </c>
      <c r="F4677" s="81">
        <v>303.0</v>
      </c>
      <c r="G4677" s="81" t="s">
        <v>3</v>
      </c>
      <c r="H4677" s="81" t="s">
        <v>224</v>
      </c>
      <c r="I4677" s="81" t="s">
        <v>344</v>
      </c>
      <c r="J4677" s="81" t="s">
        <v>224</v>
      </c>
      <c r="K4677" s="81" t="str">
        <f>IFERROR(__xludf.DUMMYFUNCTION("IF(OR(D4677="""",G4677=""""),"""",IFERROR(LET(
campo,XLOOKUP(TRIM(G4677),ARRAYFORMULA(TRIM('indice columnas'!$A$2:$A$100)),'indice columnas'!$B$2:$B$100,""""),
col,IFERROR(MATCH(campo,Referencia!$A$1:$AZ$1,0),0),
fila,IFERROR(MATCH(TO_TEXT(D4677),ARRAYFOR"&amp;"MULA(TO_TEXT(Referencia!$A$2:$A6238)),0),0),
IF(OR(campo="""",campo=""-""),""NO APLICA"",
IF(col=0,""REVISAR EQUIVALENCIA"",
IF(fila=0,""SKU NO ENCONTRADO"",
LET(
valor,INDEX(Referencia!$A$2:$AZ6238,fila,col),
IF(TRIM(TO_TEXT(valor))=TRIM(TO_TEXT(I4677)),"&amp;"
""OK"",
""NO COINCIDE. Valor verdadero: ""&amp;IF(valor="""",""[VACÍO]"",TO_TEXT(valor))
)
))))
),""ERROR EN FÓRMULA""))"),"OK")</f>
        <v>OK</v>
      </c>
    </row>
    <row r="4678">
      <c r="A4678" s="83" t="s">
        <v>4899</v>
      </c>
      <c r="B4678" s="83" t="s">
        <v>4900</v>
      </c>
      <c r="C4678" s="81" t="s">
        <v>4621</v>
      </c>
      <c r="D4678" s="83" t="s">
        <v>4366</v>
      </c>
      <c r="E4678" s="81" t="s">
        <v>1562</v>
      </c>
      <c r="F4678" s="81">
        <v>303.0</v>
      </c>
      <c r="G4678" s="81" t="s">
        <v>2</v>
      </c>
      <c r="H4678" s="81" t="s">
        <v>224</v>
      </c>
      <c r="I4678" s="81" t="s">
        <v>213</v>
      </c>
      <c r="J4678" s="81" t="s">
        <v>224</v>
      </c>
      <c r="K4678" s="81" t="str">
        <f>IFERROR(__xludf.DUMMYFUNCTION("IF(OR(D4678="""",G4678=""""),"""",IFERROR(LET(
campo,XLOOKUP(TRIM(G4678),ARRAYFORMULA(TRIM('indice columnas'!$A$2:$A$100)),'indice columnas'!$B$2:$B$100,""""),
col,IFERROR(MATCH(campo,Referencia!$A$1:$AZ$1,0),0),
fila,IFERROR(MATCH(TO_TEXT(D4678),ARRAYFOR"&amp;"MULA(TO_TEXT(Referencia!$A$2:$A6238)),0),0),
IF(OR(campo="""",campo=""-""),""NO APLICA"",
IF(col=0,""REVISAR EQUIVALENCIA"",
IF(fila=0,""SKU NO ENCONTRADO"",
LET(
valor,INDEX(Referencia!$A$2:$AZ6238,fila,col),
IF(TRIM(TO_TEXT(valor))=TRIM(TO_TEXT(I4678)),"&amp;"
""OK"",
""NO COINCIDE. Valor verdadero: ""&amp;IF(valor="""",""[VACÍO]"",TO_TEXT(valor))
)
))))
),""ERROR EN FÓRMULA""))"),"OK")</f>
        <v>OK</v>
      </c>
    </row>
    <row r="4679">
      <c r="A4679" s="83" t="s">
        <v>4899</v>
      </c>
      <c r="B4679" s="83" t="s">
        <v>4900</v>
      </c>
      <c r="C4679" s="81" t="s">
        <v>4621</v>
      </c>
      <c r="D4679" s="83" t="s">
        <v>4367</v>
      </c>
      <c r="E4679" s="81" t="s">
        <v>1564</v>
      </c>
      <c r="F4679" s="81">
        <v>304.0</v>
      </c>
      <c r="G4679" s="81" t="s">
        <v>3</v>
      </c>
      <c r="H4679" s="81" t="s">
        <v>224</v>
      </c>
      <c r="I4679" s="81" t="s">
        <v>344</v>
      </c>
      <c r="J4679" s="81" t="s">
        <v>224</v>
      </c>
      <c r="K4679" s="81" t="str">
        <f>IFERROR(__xludf.DUMMYFUNCTION("IF(OR(D4679="""",G4679=""""),"""",IFERROR(LET(
campo,XLOOKUP(TRIM(G4679),ARRAYFORMULA(TRIM('indice columnas'!$A$2:$A$100)),'indice columnas'!$B$2:$B$100,""""),
col,IFERROR(MATCH(campo,Referencia!$A$1:$AZ$1,0),0),
fila,IFERROR(MATCH(TO_TEXT(D4679),ARRAYFOR"&amp;"MULA(TO_TEXT(Referencia!$A$2:$A6238)),0),0),
IF(OR(campo="""",campo=""-""),""NO APLICA"",
IF(col=0,""REVISAR EQUIVALENCIA"",
IF(fila=0,""SKU NO ENCONTRADO"",
LET(
valor,INDEX(Referencia!$A$2:$AZ6238,fila,col),
IF(TRIM(TO_TEXT(valor))=TRIM(TO_TEXT(I4679)),"&amp;"
""OK"",
""NO COINCIDE. Valor verdadero: ""&amp;IF(valor="""",""[VACÍO]"",TO_TEXT(valor))
)
))))
),""ERROR EN FÓRMULA""))"),"OK")</f>
        <v>OK</v>
      </c>
    </row>
    <row r="4680">
      <c r="A4680" s="83" t="s">
        <v>4899</v>
      </c>
      <c r="B4680" s="83" t="s">
        <v>4900</v>
      </c>
      <c r="C4680" s="81" t="s">
        <v>4621</v>
      </c>
      <c r="D4680" s="83" t="s">
        <v>4367</v>
      </c>
      <c r="E4680" s="81" t="s">
        <v>1564</v>
      </c>
      <c r="F4680" s="81">
        <v>304.0</v>
      </c>
      <c r="G4680" s="81" t="s">
        <v>2</v>
      </c>
      <c r="H4680" s="81" t="s">
        <v>224</v>
      </c>
      <c r="I4680" s="81" t="s">
        <v>213</v>
      </c>
      <c r="J4680" s="81" t="s">
        <v>224</v>
      </c>
      <c r="K4680" s="81" t="str">
        <f>IFERROR(__xludf.DUMMYFUNCTION("IF(OR(D4680="""",G4680=""""),"""",IFERROR(LET(
campo,XLOOKUP(TRIM(G4680),ARRAYFORMULA(TRIM('indice columnas'!$A$2:$A$100)),'indice columnas'!$B$2:$B$100,""""),
col,IFERROR(MATCH(campo,Referencia!$A$1:$AZ$1,0),0),
fila,IFERROR(MATCH(TO_TEXT(D4680),ARRAYFOR"&amp;"MULA(TO_TEXT(Referencia!$A$2:$A6238)),0),0),
IF(OR(campo="""",campo=""-""),""NO APLICA"",
IF(col=0,""REVISAR EQUIVALENCIA"",
IF(fila=0,""SKU NO ENCONTRADO"",
LET(
valor,INDEX(Referencia!$A$2:$AZ6238,fila,col),
IF(TRIM(TO_TEXT(valor))=TRIM(TO_TEXT(I4680)),"&amp;"
""OK"",
""NO COINCIDE. Valor verdadero: ""&amp;IF(valor="""",""[VACÍO]"",TO_TEXT(valor))
)
))))
),""ERROR EN FÓRMULA""))"),"OK")</f>
        <v>OK</v>
      </c>
    </row>
    <row r="4681">
      <c r="A4681" s="83" t="s">
        <v>4899</v>
      </c>
      <c r="B4681" s="83" t="s">
        <v>4900</v>
      </c>
      <c r="C4681" s="81" t="s">
        <v>4621</v>
      </c>
      <c r="D4681" s="83" t="s">
        <v>4368</v>
      </c>
      <c r="E4681" s="81" t="s">
        <v>1570</v>
      </c>
      <c r="F4681" s="81">
        <v>306.0</v>
      </c>
      <c r="G4681" s="81" t="s">
        <v>3</v>
      </c>
      <c r="H4681" s="81" t="s">
        <v>376</v>
      </c>
      <c r="I4681" s="81" t="s">
        <v>344</v>
      </c>
      <c r="J4681" s="81" t="s">
        <v>224</v>
      </c>
      <c r="K4681" s="81" t="str">
        <f>IFERROR(__xludf.DUMMYFUNCTION("IF(OR(D4681="""",G4681=""""),"""",IFERROR(LET(
campo,XLOOKUP(TRIM(G4681),ARRAYFORMULA(TRIM('indice columnas'!$A$2:$A$100)),'indice columnas'!$B$2:$B$100,""""),
col,IFERROR(MATCH(campo,Referencia!$A$1:$AZ$1,0),0),
fila,IFERROR(MATCH(TO_TEXT(D4681),ARRAYFOR"&amp;"MULA(TO_TEXT(Referencia!$A$2:$A6238)),0),0),
IF(OR(campo="""",campo=""-""),""NO APLICA"",
IF(col=0,""REVISAR EQUIVALENCIA"",
IF(fila=0,""SKU NO ENCONTRADO"",
LET(
valor,INDEX(Referencia!$A$2:$AZ6238,fila,col),
IF(TRIM(TO_TEXT(valor))=TRIM(TO_TEXT(I4681)),"&amp;"
""OK"",
""NO COINCIDE. Valor verdadero: ""&amp;IF(valor="""",""[VACÍO]"",TO_TEXT(valor))
)
))))
),""ERROR EN FÓRMULA""))"),"OK")</f>
        <v>OK</v>
      </c>
    </row>
    <row r="4682">
      <c r="A4682" s="83" t="s">
        <v>4899</v>
      </c>
      <c r="B4682" s="83" t="s">
        <v>4900</v>
      </c>
      <c r="C4682" s="81" t="s">
        <v>4621</v>
      </c>
      <c r="D4682" s="83" t="s">
        <v>4369</v>
      </c>
      <c r="E4682" s="81" t="s">
        <v>1571</v>
      </c>
      <c r="F4682" s="81">
        <v>307.0</v>
      </c>
      <c r="G4682" s="81" t="s">
        <v>3</v>
      </c>
      <c r="H4682" s="81" t="s">
        <v>224</v>
      </c>
      <c r="I4682" s="81" t="s">
        <v>344</v>
      </c>
      <c r="J4682" s="81" t="s">
        <v>224</v>
      </c>
      <c r="K4682" s="81" t="str">
        <f>IFERROR(__xludf.DUMMYFUNCTION("IF(OR(D4682="""",G4682=""""),"""",IFERROR(LET(
campo,XLOOKUP(TRIM(G4682),ARRAYFORMULA(TRIM('indice columnas'!$A$2:$A$100)),'indice columnas'!$B$2:$B$100,""""),
col,IFERROR(MATCH(campo,Referencia!$A$1:$AZ$1,0),0),
fila,IFERROR(MATCH(TO_TEXT(D4682),ARRAYFOR"&amp;"MULA(TO_TEXT(Referencia!$A$2:$A6238)),0),0),
IF(OR(campo="""",campo=""-""),""NO APLICA"",
IF(col=0,""REVISAR EQUIVALENCIA"",
IF(fila=0,""SKU NO ENCONTRADO"",
LET(
valor,INDEX(Referencia!$A$2:$AZ6238,fila,col),
IF(TRIM(TO_TEXT(valor))=TRIM(TO_TEXT(I4682)),"&amp;"
""OK"",
""NO COINCIDE. Valor verdadero: ""&amp;IF(valor="""",""[VACÍO]"",TO_TEXT(valor))
)
))))
),""ERROR EN FÓRMULA""))"),"OK")</f>
        <v>OK</v>
      </c>
    </row>
    <row r="4683">
      <c r="A4683" s="83" t="s">
        <v>4899</v>
      </c>
      <c r="B4683" s="83" t="s">
        <v>4900</v>
      </c>
      <c r="C4683" s="81" t="s">
        <v>4621</v>
      </c>
      <c r="D4683" s="83" t="s">
        <v>4369</v>
      </c>
      <c r="E4683" s="81" t="s">
        <v>1571</v>
      </c>
      <c r="F4683" s="81">
        <v>307.0</v>
      </c>
      <c r="G4683" s="81" t="s">
        <v>2</v>
      </c>
      <c r="H4683" s="81" t="s">
        <v>224</v>
      </c>
      <c r="I4683" s="81" t="s">
        <v>213</v>
      </c>
      <c r="J4683" s="81" t="s">
        <v>224</v>
      </c>
      <c r="K4683" s="81" t="str">
        <f>IFERROR(__xludf.DUMMYFUNCTION("IF(OR(D4683="""",G4683=""""),"""",IFERROR(LET(
campo,XLOOKUP(TRIM(G4683),ARRAYFORMULA(TRIM('indice columnas'!$A$2:$A$100)),'indice columnas'!$B$2:$B$100,""""),
col,IFERROR(MATCH(campo,Referencia!$A$1:$AZ$1,0),0),
fila,IFERROR(MATCH(TO_TEXT(D4683),ARRAYFOR"&amp;"MULA(TO_TEXT(Referencia!$A$2:$A6238)),0),0),
IF(OR(campo="""",campo=""-""),""NO APLICA"",
IF(col=0,""REVISAR EQUIVALENCIA"",
IF(fila=0,""SKU NO ENCONTRADO"",
LET(
valor,INDEX(Referencia!$A$2:$AZ6238,fila,col),
IF(TRIM(TO_TEXT(valor))=TRIM(TO_TEXT(I4683)),"&amp;"
""OK"",
""NO COINCIDE. Valor verdadero: ""&amp;IF(valor="""",""[VACÍO]"",TO_TEXT(valor))
)
))))
),""ERROR EN FÓRMULA""))"),"OK")</f>
        <v>OK</v>
      </c>
    </row>
    <row r="4684">
      <c r="A4684" s="83" t="s">
        <v>4899</v>
      </c>
      <c r="B4684" s="83" t="s">
        <v>4900</v>
      </c>
      <c r="C4684" s="81" t="s">
        <v>4621</v>
      </c>
      <c r="D4684" s="83" t="s">
        <v>4370</v>
      </c>
      <c r="E4684" s="81" t="s">
        <v>1573</v>
      </c>
      <c r="F4684" s="81">
        <v>308.0</v>
      </c>
      <c r="G4684" s="81" t="s">
        <v>3</v>
      </c>
      <c r="H4684" s="81" t="s">
        <v>224</v>
      </c>
      <c r="I4684" s="81" t="s">
        <v>344</v>
      </c>
      <c r="J4684" s="81" t="s">
        <v>224</v>
      </c>
      <c r="K4684" s="81" t="str">
        <f>IFERROR(__xludf.DUMMYFUNCTION("IF(OR(D4684="""",G4684=""""),"""",IFERROR(LET(
campo,XLOOKUP(TRIM(G4684),ARRAYFORMULA(TRIM('indice columnas'!$A$2:$A$100)),'indice columnas'!$B$2:$B$100,""""),
col,IFERROR(MATCH(campo,Referencia!$A$1:$AZ$1,0),0),
fila,IFERROR(MATCH(TO_TEXT(D4684),ARRAYFOR"&amp;"MULA(TO_TEXT(Referencia!$A$2:$A6238)),0),0),
IF(OR(campo="""",campo=""-""),""NO APLICA"",
IF(col=0,""REVISAR EQUIVALENCIA"",
IF(fila=0,""SKU NO ENCONTRADO"",
LET(
valor,INDEX(Referencia!$A$2:$AZ6238,fila,col),
IF(TRIM(TO_TEXT(valor))=TRIM(TO_TEXT(I4684)),"&amp;"
""OK"",
""NO COINCIDE. Valor verdadero: ""&amp;IF(valor="""",""[VACÍO]"",TO_TEXT(valor))
)
))))
),""ERROR EN FÓRMULA""))"),"OK")</f>
        <v>OK</v>
      </c>
    </row>
    <row r="4685">
      <c r="A4685" s="83" t="s">
        <v>4899</v>
      </c>
      <c r="B4685" s="83" t="s">
        <v>4900</v>
      </c>
      <c r="C4685" s="81" t="s">
        <v>4621</v>
      </c>
      <c r="D4685" s="83" t="s">
        <v>4370</v>
      </c>
      <c r="E4685" s="81" t="s">
        <v>1573</v>
      </c>
      <c r="F4685" s="81">
        <v>308.0</v>
      </c>
      <c r="G4685" s="81" t="s">
        <v>2</v>
      </c>
      <c r="H4685" s="81" t="s">
        <v>224</v>
      </c>
      <c r="I4685" s="81" t="s">
        <v>213</v>
      </c>
      <c r="J4685" s="81" t="s">
        <v>224</v>
      </c>
      <c r="K4685" s="81" t="str">
        <f>IFERROR(__xludf.DUMMYFUNCTION("IF(OR(D4685="""",G4685=""""),"""",IFERROR(LET(
campo,XLOOKUP(TRIM(G4685),ARRAYFORMULA(TRIM('indice columnas'!$A$2:$A$100)),'indice columnas'!$B$2:$B$100,""""),
col,IFERROR(MATCH(campo,Referencia!$A$1:$AZ$1,0),0),
fila,IFERROR(MATCH(TO_TEXT(D4685),ARRAYFOR"&amp;"MULA(TO_TEXT(Referencia!$A$2:$A6238)),0),0),
IF(OR(campo="""",campo=""-""),""NO APLICA"",
IF(col=0,""REVISAR EQUIVALENCIA"",
IF(fila=0,""SKU NO ENCONTRADO"",
LET(
valor,INDEX(Referencia!$A$2:$AZ6238,fila,col),
IF(TRIM(TO_TEXT(valor))=TRIM(TO_TEXT(I4685)),"&amp;"
""OK"",
""NO COINCIDE. Valor verdadero: ""&amp;IF(valor="""",""[VACÍO]"",TO_TEXT(valor))
)
))))
),""ERROR EN FÓRMULA""))"),"OK")</f>
        <v>OK</v>
      </c>
    </row>
    <row r="4686">
      <c r="A4686" s="83" t="s">
        <v>4899</v>
      </c>
      <c r="B4686" s="83" t="s">
        <v>4900</v>
      </c>
      <c r="C4686" s="81" t="s">
        <v>4621</v>
      </c>
      <c r="D4686" s="83" t="s">
        <v>4371</v>
      </c>
      <c r="E4686" s="81" t="s">
        <v>1575</v>
      </c>
      <c r="F4686" s="81">
        <v>309.0</v>
      </c>
      <c r="G4686" s="81" t="s">
        <v>3</v>
      </c>
      <c r="H4686" s="81" t="s">
        <v>224</v>
      </c>
      <c r="I4686" s="81" t="s">
        <v>344</v>
      </c>
      <c r="J4686" s="81" t="s">
        <v>224</v>
      </c>
      <c r="K4686" s="81" t="str">
        <f>IFERROR(__xludf.DUMMYFUNCTION("IF(OR(D4686="""",G4686=""""),"""",IFERROR(LET(
campo,XLOOKUP(TRIM(G4686),ARRAYFORMULA(TRIM('indice columnas'!$A$2:$A$100)),'indice columnas'!$B$2:$B$100,""""),
col,IFERROR(MATCH(campo,Referencia!$A$1:$AZ$1,0),0),
fila,IFERROR(MATCH(TO_TEXT(D4686),ARRAYFOR"&amp;"MULA(TO_TEXT(Referencia!$A$2:$A6238)),0),0),
IF(OR(campo="""",campo=""-""),""NO APLICA"",
IF(col=0,""REVISAR EQUIVALENCIA"",
IF(fila=0,""SKU NO ENCONTRADO"",
LET(
valor,INDEX(Referencia!$A$2:$AZ6238,fila,col),
IF(TRIM(TO_TEXT(valor))=TRIM(TO_TEXT(I4686)),"&amp;"
""OK"",
""NO COINCIDE. Valor verdadero: ""&amp;IF(valor="""",""[VACÍO]"",TO_TEXT(valor))
)
))))
),""ERROR EN FÓRMULA""))"),"OK")</f>
        <v>OK</v>
      </c>
    </row>
    <row r="4687">
      <c r="A4687" s="83" t="s">
        <v>4899</v>
      </c>
      <c r="B4687" s="83" t="s">
        <v>4900</v>
      </c>
      <c r="C4687" s="81" t="s">
        <v>4621</v>
      </c>
      <c r="D4687" s="83" t="s">
        <v>4371</v>
      </c>
      <c r="E4687" s="81" t="s">
        <v>1575</v>
      </c>
      <c r="F4687" s="81">
        <v>309.0</v>
      </c>
      <c r="G4687" s="81" t="s">
        <v>2</v>
      </c>
      <c r="H4687" s="81" t="s">
        <v>224</v>
      </c>
      <c r="I4687" s="81" t="s">
        <v>213</v>
      </c>
      <c r="J4687" s="81" t="s">
        <v>224</v>
      </c>
      <c r="K4687" s="81" t="str">
        <f>IFERROR(__xludf.DUMMYFUNCTION("IF(OR(D4687="""",G4687=""""),"""",IFERROR(LET(
campo,XLOOKUP(TRIM(G4687),ARRAYFORMULA(TRIM('indice columnas'!$A$2:$A$100)),'indice columnas'!$B$2:$B$100,""""),
col,IFERROR(MATCH(campo,Referencia!$A$1:$AZ$1,0),0),
fila,IFERROR(MATCH(TO_TEXT(D4687),ARRAYFOR"&amp;"MULA(TO_TEXT(Referencia!$A$2:$A6238)),0),0),
IF(OR(campo="""",campo=""-""),""NO APLICA"",
IF(col=0,""REVISAR EQUIVALENCIA"",
IF(fila=0,""SKU NO ENCONTRADO"",
LET(
valor,INDEX(Referencia!$A$2:$AZ6238,fila,col),
IF(TRIM(TO_TEXT(valor))=TRIM(TO_TEXT(I4687)),"&amp;"
""OK"",
""NO COINCIDE. Valor verdadero: ""&amp;IF(valor="""",""[VACÍO]"",TO_TEXT(valor))
)
))))
),""ERROR EN FÓRMULA""))"),"OK")</f>
        <v>OK</v>
      </c>
    </row>
    <row r="4688">
      <c r="A4688" s="83" t="s">
        <v>4899</v>
      </c>
      <c r="B4688" s="83" t="s">
        <v>4900</v>
      </c>
      <c r="C4688" s="81" t="s">
        <v>4621</v>
      </c>
      <c r="D4688" s="83" t="s">
        <v>4374</v>
      </c>
      <c r="E4688" s="81" t="s">
        <v>1583</v>
      </c>
      <c r="F4688" s="81">
        <v>312.0</v>
      </c>
      <c r="G4688" s="81" t="s">
        <v>3</v>
      </c>
      <c r="H4688" s="81" t="s">
        <v>224</v>
      </c>
      <c r="I4688" s="81" t="s">
        <v>920</v>
      </c>
      <c r="J4688" s="81" t="s">
        <v>224</v>
      </c>
      <c r="K4688" s="81" t="str">
        <f>IFERROR(__xludf.DUMMYFUNCTION("IF(OR(D4688="""",G4688=""""),"""",IFERROR(LET(
campo,XLOOKUP(TRIM(G4688),ARRAYFORMULA(TRIM('indice columnas'!$A$2:$A$100)),'indice columnas'!$B$2:$B$100,""""),
col,IFERROR(MATCH(campo,Referencia!$A$1:$AZ$1,0),0),
fila,IFERROR(MATCH(TO_TEXT(D4688),ARRAYFOR"&amp;"MULA(TO_TEXT(Referencia!$A$2:$A6238)),0),0),
IF(OR(campo="""",campo=""-""),""NO APLICA"",
IF(col=0,""REVISAR EQUIVALENCIA"",
IF(fila=0,""SKU NO ENCONTRADO"",
LET(
valor,INDEX(Referencia!$A$2:$AZ6238,fila,col),
IF(TRIM(TO_TEXT(valor))=TRIM(TO_TEXT(I4688)),"&amp;"
""OK"",
""NO COINCIDE. Valor verdadero: ""&amp;IF(valor="""",""[VACÍO]"",TO_TEXT(valor))
)
))))
),""ERROR EN FÓRMULA""))"),"OK")</f>
        <v>OK</v>
      </c>
    </row>
    <row r="4689">
      <c r="A4689" s="83" t="s">
        <v>4899</v>
      </c>
      <c r="B4689" s="83" t="s">
        <v>4900</v>
      </c>
      <c r="C4689" s="81" t="s">
        <v>4621</v>
      </c>
      <c r="D4689" s="83" t="s">
        <v>4374</v>
      </c>
      <c r="E4689" s="81" t="s">
        <v>1583</v>
      </c>
      <c r="F4689" s="81">
        <v>312.0</v>
      </c>
      <c r="G4689" s="81" t="s">
        <v>2</v>
      </c>
      <c r="H4689" s="81" t="s">
        <v>224</v>
      </c>
      <c r="I4689" s="81" t="s">
        <v>1291</v>
      </c>
      <c r="J4689" s="81" t="s">
        <v>224</v>
      </c>
      <c r="K4689" s="81" t="str">
        <f>IFERROR(__xludf.DUMMYFUNCTION("IF(OR(D4689="""",G4689=""""),"""",IFERROR(LET(
campo,XLOOKUP(TRIM(G4689),ARRAYFORMULA(TRIM('indice columnas'!$A$2:$A$100)),'indice columnas'!$B$2:$B$100,""""),
col,IFERROR(MATCH(campo,Referencia!$A$1:$AZ$1,0),0),
fila,IFERROR(MATCH(TO_TEXT(D4689),ARRAYFOR"&amp;"MULA(TO_TEXT(Referencia!$A$2:$A6238)),0),0),
IF(OR(campo="""",campo=""-""),""NO APLICA"",
IF(col=0,""REVISAR EQUIVALENCIA"",
IF(fila=0,""SKU NO ENCONTRADO"",
LET(
valor,INDEX(Referencia!$A$2:$AZ6238,fila,col),
IF(TRIM(TO_TEXT(valor))=TRIM(TO_TEXT(I4689)),"&amp;"
""OK"",
""NO COINCIDE. Valor verdadero: ""&amp;IF(valor="""",""[VACÍO]"",TO_TEXT(valor))
)
))))
),""ERROR EN FÓRMULA""))"),"OK")</f>
        <v>OK</v>
      </c>
    </row>
    <row r="4690">
      <c r="A4690" s="83" t="s">
        <v>4899</v>
      </c>
      <c r="B4690" s="83" t="s">
        <v>4900</v>
      </c>
      <c r="C4690" s="81" t="s">
        <v>4621</v>
      </c>
      <c r="D4690" s="83" t="s">
        <v>4376</v>
      </c>
      <c r="E4690" s="81" t="s">
        <v>1591</v>
      </c>
      <c r="F4690" s="81">
        <v>315.0</v>
      </c>
      <c r="G4690" s="81" t="s">
        <v>3</v>
      </c>
      <c r="H4690" s="81" t="s">
        <v>224</v>
      </c>
      <c r="I4690" s="81" t="s">
        <v>920</v>
      </c>
      <c r="J4690" s="81" t="s">
        <v>224</v>
      </c>
      <c r="K4690" s="81" t="str">
        <f>IFERROR(__xludf.DUMMYFUNCTION("IF(OR(D4690="""",G4690=""""),"""",IFERROR(LET(
campo,XLOOKUP(TRIM(G4690),ARRAYFORMULA(TRIM('indice columnas'!$A$2:$A$100)),'indice columnas'!$B$2:$B$100,""""),
col,IFERROR(MATCH(campo,Referencia!$A$1:$AZ$1,0),0),
fila,IFERROR(MATCH(TO_TEXT(D4690),ARRAYFOR"&amp;"MULA(TO_TEXT(Referencia!$A$2:$A6238)),0),0),
IF(OR(campo="""",campo=""-""),""NO APLICA"",
IF(col=0,""REVISAR EQUIVALENCIA"",
IF(fila=0,""SKU NO ENCONTRADO"",
LET(
valor,INDEX(Referencia!$A$2:$AZ6238,fila,col),
IF(TRIM(TO_TEXT(valor))=TRIM(TO_TEXT(I4690)),"&amp;"
""OK"",
""NO COINCIDE. Valor verdadero: ""&amp;IF(valor="""",""[VACÍO]"",TO_TEXT(valor))
)
))))
),""ERROR EN FÓRMULA""))"),"OK")</f>
        <v>OK</v>
      </c>
    </row>
    <row r="4691">
      <c r="A4691" s="83" t="s">
        <v>4899</v>
      </c>
      <c r="B4691" s="83" t="s">
        <v>4900</v>
      </c>
      <c r="C4691" s="81" t="s">
        <v>4621</v>
      </c>
      <c r="D4691" s="83" t="s">
        <v>4376</v>
      </c>
      <c r="E4691" s="81" t="s">
        <v>1591</v>
      </c>
      <c r="F4691" s="81">
        <v>315.0</v>
      </c>
      <c r="G4691" s="81" t="s">
        <v>2</v>
      </c>
      <c r="H4691" s="81" t="s">
        <v>224</v>
      </c>
      <c r="I4691" s="81" t="s">
        <v>919</v>
      </c>
      <c r="J4691" s="81" t="s">
        <v>224</v>
      </c>
      <c r="K4691" s="81" t="str">
        <f>IFERROR(__xludf.DUMMYFUNCTION("IF(OR(D4691="""",G4691=""""),"""",IFERROR(LET(
campo,XLOOKUP(TRIM(G4691),ARRAYFORMULA(TRIM('indice columnas'!$A$2:$A$100)),'indice columnas'!$B$2:$B$100,""""),
col,IFERROR(MATCH(campo,Referencia!$A$1:$AZ$1,0),0),
fila,IFERROR(MATCH(TO_TEXT(D4691),ARRAYFOR"&amp;"MULA(TO_TEXT(Referencia!$A$2:$A6238)),0),0),
IF(OR(campo="""",campo=""-""),""NO APLICA"",
IF(col=0,""REVISAR EQUIVALENCIA"",
IF(fila=0,""SKU NO ENCONTRADO"",
LET(
valor,INDEX(Referencia!$A$2:$AZ6238,fila,col),
IF(TRIM(TO_TEXT(valor))=TRIM(TO_TEXT(I4691)),"&amp;"
""OK"",
""NO COINCIDE. Valor verdadero: ""&amp;IF(valor="""",""[VACÍO]"",TO_TEXT(valor))
)
))))
),""ERROR EN FÓRMULA""))"),"OK")</f>
        <v>OK</v>
      </c>
    </row>
    <row r="4692">
      <c r="A4692" s="83" t="s">
        <v>4899</v>
      </c>
      <c r="B4692" s="83" t="s">
        <v>4900</v>
      </c>
      <c r="C4692" s="81" t="s">
        <v>4621</v>
      </c>
      <c r="D4692" s="83" t="s">
        <v>4376</v>
      </c>
      <c r="E4692" s="81" t="s">
        <v>1591</v>
      </c>
      <c r="F4692" s="81">
        <v>315.0</v>
      </c>
      <c r="G4692" s="81" t="s">
        <v>1</v>
      </c>
      <c r="H4692" s="81" t="s">
        <v>224</v>
      </c>
      <c r="I4692" s="81" t="s">
        <v>49</v>
      </c>
      <c r="J4692" s="81" t="s">
        <v>224</v>
      </c>
      <c r="K4692" s="81" t="str">
        <f>IFERROR(__xludf.DUMMYFUNCTION("IF(OR(D4692="""",G4692=""""),"""",IFERROR(LET(
campo,XLOOKUP(TRIM(G4692),ARRAYFORMULA(TRIM('indice columnas'!$A$2:$A$100)),'indice columnas'!$B$2:$B$100,""""),
col,IFERROR(MATCH(campo,Referencia!$A$1:$AZ$1,0),0),
fila,IFERROR(MATCH(TO_TEXT(D4692),ARRAYFOR"&amp;"MULA(TO_TEXT(Referencia!$A$2:$A6238)),0),0),
IF(OR(campo="""",campo=""-""),""NO APLICA"",
IF(col=0,""REVISAR EQUIVALENCIA"",
IF(fila=0,""SKU NO ENCONTRADO"",
LET(
valor,INDEX(Referencia!$A$2:$AZ6238,fila,col),
IF(TRIM(TO_TEXT(valor))=TRIM(TO_TEXT(I4692)),"&amp;"
""OK"",
""NO COINCIDE. Valor verdadero: ""&amp;IF(valor="""",""[VACÍO]"",TO_TEXT(valor))
)
))))
),""ERROR EN FÓRMULA""))"),"OK")</f>
        <v>OK</v>
      </c>
    </row>
    <row r="4693">
      <c r="A4693" s="83" t="s">
        <v>4899</v>
      </c>
      <c r="B4693" s="83" t="s">
        <v>4900</v>
      </c>
      <c r="C4693" s="81" t="s">
        <v>4621</v>
      </c>
      <c r="D4693" s="83" t="s">
        <v>4377</v>
      </c>
      <c r="E4693" s="81" t="s">
        <v>1594</v>
      </c>
      <c r="F4693" s="81">
        <v>316.0</v>
      </c>
      <c r="G4693" s="81" t="s">
        <v>2</v>
      </c>
      <c r="H4693" s="81" t="s">
        <v>1827</v>
      </c>
      <c r="I4693" s="81" t="s">
        <v>332</v>
      </c>
      <c r="J4693" s="81" t="s">
        <v>224</v>
      </c>
      <c r="K4693" s="81" t="str">
        <f>IFERROR(__xludf.DUMMYFUNCTION("IF(OR(D4693="""",G4693=""""),"""",IFERROR(LET(
campo,XLOOKUP(TRIM(G4693),ARRAYFORMULA(TRIM('indice columnas'!$A$2:$A$100)),'indice columnas'!$B$2:$B$100,""""),
col,IFERROR(MATCH(campo,Referencia!$A$1:$AZ$1,0),0),
fila,IFERROR(MATCH(TO_TEXT(D4693),ARRAYFOR"&amp;"MULA(TO_TEXT(Referencia!$A$2:$A6238)),0),0),
IF(OR(campo="""",campo=""-""),""NO APLICA"",
IF(col=0,""REVISAR EQUIVALENCIA"",
IF(fila=0,""SKU NO ENCONTRADO"",
LET(
valor,INDEX(Referencia!$A$2:$AZ6238,fila,col),
IF(TRIM(TO_TEXT(valor))=TRIM(TO_TEXT(I4693)),"&amp;"
""OK"",
""NO COINCIDE. Valor verdadero: ""&amp;IF(valor="""",""[VACÍO]"",TO_TEXT(valor))
)
))))
),""ERROR EN FÓRMULA""))"),"OK")</f>
        <v>OK</v>
      </c>
    </row>
    <row r="4694">
      <c r="A4694" s="83" t="s">
        <v>4899</v>
      </c>
      <c r="B4694" s="83" t="s">
        <v>4900</v>
      </c>
      <c r="C4694" s="81" t="s">
        <v>4621</v>
      </c>
      <c r="D4694" s="83" t="s">
        <v>4378</v>
      </c>
      <c r="E4694" s="81" t="s">
        <v>1616</v>
      </c>
      <c r="F4694" s="81">
        <v>318.0</v>
      </c>
      <c r="G4694" s="81" t="s">
        <v>3</v>
      </c>
      <c r="H4694" s="81" t="s">
        <v>224</v>
      </c>
      <c r="I4694" s="81" t="s">
        <v>920</v>
      </c>
      <c r="J4694" s="81" t="s">
        <v>224</v>
      </c>
      <c r="K4694" s="81" t="str">
        <f>IFERROR(__xludf.DUMMYFUNCTION("IF(OR(D4694="""",G4694=""""),"""",IFERROR(LET(
campo,XLOOKUP(TRIM(G4694),ARRAYFORMULA(TRIM('indice columnas'!$A$2:$A$100)),'indice columnas'!$B$2:$B$100,""""),
col,IFERROR(MATCH(campo,Referencia!$A$1:$AZ$1,0),0),
fila,IFERROR(MATCH(TO_TEXT(D4694),ARRAYFOR"&amp;"MULA(TO_TEXT(Referencia!$A$2:$A6238)),0),0),
IF(OR(campo="""",campo=""-""),""NO APLICA"",
IF(col=0,""REVISAR EQUIVALENCIA"",
IF(fila=0,""SKU NO ENCONTRADO"",
LET(
valor,INDEX(Referencia!$A$2:$AZ6238,fila,col),
IF(TRIM(TO_TEXT(valor))=TRIM(TO_TEXT(I4694)),"&amp;"
""OK"",
""NO COINCIDE. Valor verdadero: ""&amp;IF(valor="""",""[VACÍO]"",TO_TEXT(valor))
)
))))
),""ERROR EN FÓRMULA""))"),"OK")</f>
        <v>OK</v>
      </c>
    </row>
    <row r="4695">
      <c r="A4695" s="83" t="s">
        <v>4899</v>
      </c>
      <c r="B4695" s="83" t="s">
        <v>4900</v>
      </c>
      <c r="C4695" s="81" t="s">
        <v>4621</v>
      </c>
      <c r="D4695" s="83" t="s">
        <v>4378</v>
      </c>
      <c r="E4695" s="81" t="s">
        <v>1616</v>
      </c>
      <c r="F4695" s="81">
        <v>318.0</v>
      </c>
      <c r="G4695" s="81" t="s">
        <v>2</v>
      </c>
      <c r="H4695" s="81" t="s">
        <v>224</v>
      </c>
      <c r="I4695" s="81" t="s">
        <v>1291</v>
      </c>
      <c r="J4695" s="81" t="s">
        <v>224</v>
      </c>
      <c r="K4695" s="81" t="str">
        <f>IFERROR(__xludf.DUMMYFUNCTION("IF(OR(D4695="""",G4695=""""),"""",IFERROR(LET(
campo,XLOOKUP(TRIM(G4695),ARRAYFORMULA(TRIM('indice columnas'!$A$2:$A$100)),'indice columnas'!$B$2:$B$100,""""),
col,IFERROR(MATCH(campo,Referencia!$A$1:$AZ$1,0),0),
fila,IFERROR(MATCH(TO_TEXT(D4695),ARRAYFOR"&amp;"MULA(TO_TEXT(Referencia!$A$2:$A6238)),0),0),
IF(OR(campo="""",campo=""-""),""NO APLICA"",
IF(col=0,""REVISAR EQUIVALENCIA"",
IF(fila=0,""SKU NO ENCONTRADO"",
LET(
valor,INDEX(Referencia!$A$2:$AZ6238,fila,col),
IF(TRIM(TO_TEXT(valor))=TRIM(TO_TEXT(I4695)),"&amp;"
""OK"",
""NO COINCIDE. Valor verdadero: ""&amp;IF(valor="""",""[VACÍO]"",TO_TEXT(valor))
)
))))
),""ERROR EN FÓRMULA""))"),"OK")</f>
        <v>OK</v>
      </c>
    </row>
    <row r="4696">
      <c r="A4696" s="83" t="s">
        <v>4899</v>
      </c>
      <c r="B4696" s="83" t="s">
        <v>4900</v>
      </c>
      <c r="C4696" s="81" t="s">
        <v>4621</v>
      </c>
      <c r="D4696" s="83" t="s">
        <v>4380</v>
      </c>
      <c r="E4696" s="81" t="s">
        <v>1617</v>
      </c>
      <c r="F4696" s="81">
        <v>319.0</v>
      </c>
      <c r="G4696" s="81" t="s">
        <v>3</v>
      </c>
      <c r="H4696" s="81" t="s">
        <v>224</v>
      </c>
      <c r="I4696" s="81" t="s">
        <v>920</v>
      </c>
      <c r="J4696" s="81" t="s">
        <v>224</v>
      </c>
      <c r="K4696" s="81" t="str">
        <f>IFERROR(__xludf.DUMMYFUNCTION("IF(OR(D4696="""",G4696=""""),"""",IFERROR(LET(
campo,XLOOKUP(TRIM(G4696),ARRAYFORMULA(TRIM('indice columnas'!$A$2:$A$100)),'indice columnas'!$B$2:$B$100,""""),
col,IFERROR(MATCH(campo,Referencia!$A$1:$AZ$1,0),0),
fila,IFERROR(MATCH(TO_TEXT(D4696),ARRAYFOR"&amp;"MULA(TO_TEXT(Referencia!$A$2:$A6238)),0),0),
IF(OR(campo="""",campo=""-""),""NO APLICA"",
IF(col=0,""REVISAR EQUIVALENCIA"",
IF(fila=0,""SKU NO ENCONTRADO"",
LET(
valor,INDEX(Referencia!$A$2:$AZ6238,fila,col),
IF(TRIM(TO_TEXT(valor))=TRIM(TO_TEXT(I4696)),"&amp;"
""OK"",
""NO COINCIDE. Valor verdadero: ""&amp;IF(valor="""",""[VACÍO]"",TO_TEXT(valor))
)
))))
),""ERROR EN FÓRMULA""))"),"OK")</f>
        <v>OK</v>
      </c>
    </row>
    <row r="4697">
      <c r="A4697" s="83" t="s">
        <v>4899</v>
      </c>
      <c r="B4697" s="83" t="s">
        <v>4900</v>
      </c>
      <c r="C4697" s="81" t="s">
        <v>4621</v>
      </c>
      <c r="D4697" s="83" t="s">
        <v>4380</v>
      </c>
      <c r="E4697" s="81" t="s">
        <v>1617</v>
      </c>
      <c r="F4697" s="81">
        <v>319.0</v>
      </c>
      <c r="G4697" s="81" t="s">
        <v>2</v>
      </c>
      <c r="H4697" s="81" t="s">
        <v>224</v>
      </c>
      <c r="I4697" s="81" t="s">
        <v>1291</v>
      </c>
      <c r="J4697" s="81" t="s">
        <v>224</v>
      </c>
      <c r="K4697" s="81" t="str">
        <f>IFERROR(__xludf.DUMMYFUNCTION("IF(OR(D4697="""",G4697=""""),"""",IFERROR(LET(
campo,XLOOKUP(TRIM(G4697),ARRAYFORMULA(TRIM('indice columnas'!$A$2:$A$100)),'indice columnas'!$B$2:$B$100,""""),
col,IFERROR(MATCH(campo,Referencia!$A$1:$AZ$1,0),0),
fila,IFERROR(MATCH(TO_TEXT(D4697),ARRAYFOR"&amp;"MULA(TO_TEXT(Referencia!$A$2:$A6238)),0),0),
IF(OR(campo="""",campo=""-""),""NO APLICA"",
IF(col=0,""REVISAR EQUIVALENCIA"",
IF(fila=0,""SKU NO ENCONTRADO"",
LET(
valor,INDEX(Referencia!$A$2:$AZ6238,fila,col),
IF(TRIM(TO_TEXT(valor))=TRIM(TO_TEXT(I4697)),"&amp;"
""OK"",
""NO COINCIDE. Valor verdadero: ""&amp;IF(valor="""",""[VACÍO]"",TO_TEXT(valor))
)
))))
),""ERROR EN FÓRMULA""))"),"OK")</f>
        <v>OK</v>
      </c>
    </row>
    <row r="4698">
      <c r="A4698" s="83" t="s">
        <v>4899</v>
      </c>
      <c r="B4698" s="83" t="s">
        <v>4900</v>
      </c>
      <c r="C4698" s="81" t="s">
        <v>4621</v>
      </c>
      <c r="D4698" s="83" t="s">
        <v>4383</v>
      </c>
      <c r="E4698" s="81" t="s">
        <v>1645</v>
      </c>
      <c r="F4698" s="81">
        <v>323.0</v>
      </c>
      <c r="G4698" s="81" t="s">
        <v>3</v>
      </c>
      <c r="H4698" s="81" t="s">
        <v>376</v>
      </c>
      <c r="I4698" s="81" t="s">
        <v>344</v>
      </c>
      <c r="J4698" s="81" t="s">
        <v>224</v>
      </c>
      <c r="K4698" s="81" t="str">
        <f>IFERROR(__xludf.DUMMYFUNCTION("IF(OR(D4698="""",G4698=""""),"""",IFERROR(LET(
campo,XLOOKUP(TRIM(G4698),ARRAYFORMULA(TRIM('indice columnas'!$A$2:$A$100)),'indice columnas'!$B$2:$B$100,""""),
col,IFERROR(MATCH(campo,Referencia!$A$1:$AZ$1,0),0),
fila,IFERROR(MATCH(TO_TEXT(D4698),ARRAYFOR"&amp;"MULA(TO_TEXT(Referencia!$A$2:$A6238)),0),0),
IF(OR(campo="""",campo=""-""),""NO APLICA"",
IF(col=0,""REVISAR EQUIVALENCIA"",
IF(fila=0,""SKU NO ENCONTRADO"",
LET(
valor,INDEX(Referencia!$A$2:$AZ6238,fila,col),
IF(TRIM(TO_TEXT(valor))=TRIM(TO_TEXT(I4698)),"&amp;"
""OK"",
""NO COINCIDE. Valor verdadero: ""&amp;IF(valor="""",""[VACÍO]"",TO_TEXT(valor))
)
))))
),""ERROR EN FÓRMULA""))"),"OK")</f>
        <v>OK</v>
      </c>
    </row>
    <row r="4699">
      <c r="A4699" s="83" t="s">
        <v>4899</v>
      </c>
      <c r="B4699" s="83" t="s">
        <v>4900</v>
      </c>
      <c r="C4699" s="81" t="s">
        <v>4621</v>
      </c>
      <c r="D4699" s="83" t="s">
        <v>4384</v>
      </c>
      <c r="E4699" s="81" t="s">
        <v>1646</v>
      </c>
      <c r="F4699" s="81">
        <v>324.0</v>
      </c>
      <c r="G4699" s="81" t="s">
        <v>3</v>
      </c>
      <c r="H4699" s="81" t="s">
        <v>224</v>
      </c>
      <c r="I4699" s="81" t="s">
        <v>344</v>
      </c>
      <c r="J4699" s="81" t="s">
        <v>224</v>
      </c>
      <c r="K4699" s="81" t="str">
        <f>IFERROR(__xludf.DUMMYFUNCTION("IF(OR(D4699="""",G4699=""""),"""",IFERROR(LET(
campo,XLOOKUP(TRIM(G4699),ARRAYFORMULA(TRIM('indice columnas'!$A$2:$A$100)),'indice columnas'!$B$2:$B$100,""""),
col,IFERROR(MATCH(campo,Referencia!$A$1:$AZ$1,0),0),
fila,IFERROR(MATCH(TO_TEXT(D4699),ARRAYFOR"&amp;"MULA(TO_TEXT(Referencia!$A$2:$A6238)),0),0),
IF(OR(campo="""",campo=""-""),""NO APLICA"",
IF(col=0,""REVISAR EQUIVALENCIA"",
IF(fila=0,""SKU NO ENCONTRADO"",
LET(
valor,INDEX(Referencia!$A$2:$AZ6238,fila,col),
IF(TRIM(TO_TEXT(valor))=TRIM(TO_TEXT(I4699)),"&amp;"
""OK"",
""NO COINCIDE. Valor verdadero: ""&amp;IF(valor="""",""[VACÍO]"",TO_TEXT(valor))
)
))))
),""ERROR EN FÓRMULA""))"),"OK")</f>
        <v>OK</v>
      </c>
    </row>
    <row r="4700">
      <c r="A4700" s="83" t="s">
        <v>4899</v>
      </c>
      <c r="B4700" s="83" t="s">
        <v>4900</v>
      </c>
      <c r="C4700" s="81" t="s">
        <v>4621</v>
      </c>
      <c r="D4700" s="83" t="s">
        <v>4384</v>
      </c>
      <c r="E4700" s="81" t="s">
        <v>1646</v>
      </c>
      <c r="F4700" s="81">
        <v>324.0</v>
      </c>
      <c r="G4700" s="81" t="s">
        <v>2</v>
      </c>
      <c r="H4700" s="81" t="s">
        <v>224</v>
      </c>
      <c r="I4700" s="81" t="s">
        <v>50</v>
      </c>
      <c r="J4700" s="81" t="s">
        <v>224</v>
      </c>
      <c r="K4700" s="81" t="str">
        <f>IFERROR(__xludf.DUMMYFUNCTION("IF(OR(D4700="""",G4700=""""),"""",IFERROR(LET(
campo,XLOOKUP(TRIM(G4700),ARRAYFORMULA(TRIM('indice columnas'!$A$2:$A$100)),'indice columnas'!$B$2:$B$100,""""),
col,IFERROR(MATCH(campo,Referencia!$A$1:$AZ$1,0),0),
fila,IFERROR(MATCH(TO_TEXT(D4700),ARRAYFOR"&amp;"MULA(TO_TEXT(Referencia!$A$2:$A6238)),0),0),
IF(OR(campo="""",campo=""-""),""NO APLICA"",
IF(col=0,""REVISAR EQUIVALENCIA"",
IF(fila=0,""SKU NO ENCONTRADO"",
LET(
valor,INDEX(Referencia!$A$2:$AZ6238,fila,col),
IF(TRIM(TO_TEXT(valor))=TRIM(TO_TEXT(I4700)),"&amp;"
""OK"",
""NO COINCIDE. Valor verdadero: ""&amp;IF(valor="""",""[VACÍO]"",TO_TEXT(valor))
)
))))
),""ERROR EN FÓRMULA""))"),"OK")</f>
        <v>OK</v>
      </c>
    </row>
    <row r="4701">
      <c r="A4701" s="83" t="s">
        <v>4899</v>
      </c>
      <c r="B4701" s="83" t="s">
        <v>4900</v>
      </c>
      <c r="C4701" s="81" t="s">
        <v>4621</v>
      </c>
      <c r="D4701" s="83" t="s">
        <v>4384</v>
      </c>
      <c r="E4701" s="81" t="s">
        <v>1646</v>
      </c>
      <c r="F4701" s="81">
        <v>324.0</v>
      </c>
      <c r="G4701" s="81" t="s">
        <v>1</v>
      </c>
      <c r="H4701" s="81" t="s">
        <v>224</v>
      </c>
      <c r="I4701" s="81" t="s">
        <v>49</v>
      </c>
      <c r="J4701" s="81" t="s">
        <v>224</v>
      </c>
      <c r="K4701" s="81" t="str">
        <f>IFERROR(__xludf.DUMMYFUNCTION("IF(OR(D4701="""",G4701=""""),"""",IFERROR(LET(
campo,XLOOKUP(TRIM(G4701),ARRAYFORMULA(TRIM('indice columnas'!$A$2:$A$100)),'indice columnas'!$B$2:$B$100,""""),
col,IFERROR(MATCH(campo,Referencia!$A$1:$AZ$1,0),0),
fila,IFERROR(MATCH(TO_TEXT(D4701),ARRAYFOR"&amp;"MULA(TO_TEXT(Referencia!$A$2:$A6238)),0),0),
IF(OR(campo="""",campo=""-""),""NO APLICA"",
IF(col=0,""REVISAR EQUIVALENCIA"",
IF(fila=0,""SKU NO ENCONTRADO"",
LET(
valor,INDEX(Referencia!$A$2:$AZ6238,fila,col),
IF(TRIM(TO_TEXT(valor))=TRIM(TO_TEXT(I4701)),"&amp;"
""OK"",
""NO COINCIDE. Valor verdadero: ""&amp;IF(valor="""",""[VACÍO]"",TO_TEXT(valor))
)
))))
),""ERROR EN FÓRMULA""))"),"OK")</f>
        <v>OK</v>
      </c>
    </row>
    <row r="4702">
      <c r="A4702" s="83" t="s">
        <v>4899</v>
      </c>
      <c r="B4702" s="83" t="s">
        <v>4900</v>
      </c>
      <c r="C4702" s="81" t="s">
        <v>4621</v>
      </c>
      <c r="D4702" s="83" t="s">
        <v>4386</v>
      </c>
      <c r="E4702" s="81" t="s">
        <v>1653</v>
      </c>
      <c r="F4702" s="81">
        <v>327.0</v>
      </c>
      <c r="G4702" s="81" t="s">
        <v>3</v>
      </c>
      <c r="H4702" s="81" t="s">
        <v>224</v>
      </c>
      <c r="I4702" s="81" t="s">
        <v>920</v>
      </c>
      <c r="J4702" s="81" t="s">
        <v>224</v>
      </c>
      <c r="K4702" s="81" t="str">
        <f>IFERROR(__xludf.DUMMYFUNCTION("IF(OR(D4702="""",G4702=""""),"""",IFERROR(LET(
campo,XLOOKUP(TRIM(G4702),ARRAYFORMULA(TRIM('indice columnas'!$A$2:$A$100)),'indice columnas'!$B$2:$B$100,""""),
col,IFERROR(MATCH(campo,Referencia!$A$1:$AZ$1,0),0),
fila,IFERROR(MATCH(TO_TEXT(D4702),ARRAYFOR"&amp;"MULA(TO_TEXT(Referencia!$A$2:$A6238)),0),0),
IF(OR(campo="""",campo=""-""),""NO APLICA"",
IF(col=0,""REVISAR EQUIVALENCIA"",
IF(fila=0,""SKU NO ENCONTRADO"",
LET(
valor,INDEX(Referencia!$A$2:$AZ6238,fila,col),
IF(TRIM(TO_TEXT(valor))=TRIM(TO_TEXT(I4702)),"&amp;"
""OK"",
""NO COINCIDE. Valor verdadero: ""&amp;IF(valor="""",""[VACÍO]"",TO_TEXT(valor))
)
))))
),""ERROR EN FÓRMULA""))"),"OK")</f>
        <v>OK</v>
      </c>
    </row>
    <row r="4703">
      <c r="A4703" s="83" t="s">
        <v>4899</v>
      </c>
      <c r="B4703" s="83" t="s">
        <v>4900</v>
      </c>
      <c r="C4703" s="81" t="s">
        <v>4621</v>
      </c>
      <c r="D4703" s="83" t="s">
        <v>4386</v>
      </c>
      <c r="E4703" s="81" t="s">
        <v>1653</v>
      </c>
      <c r="F4703" s="81">
        <v>327.0</v>
      </c>
      <c r="G4703" s="81" t="s">
        <v>2</v>
      </c>
      <c r="H4703" s="81" t="s">
        <v>224</v>
      </c>
      <c r="I4703" s="81" t="s">
        <v>1291</v>
      </c>
      <c r="J4703" s="81" t="s">
        <v>224</v>
      </c>
      <c r="K4703" s="81" t="str">
        <f>IFERROR(__xludf.DUMMYFUNCTION("IF(OR(D4703="""",G4703=""""),"""",IFERROR(LET(
campo,XLOOKUP(TRIM(G4703),ARRAYFORMULA(TRIM('indice columnas'!$A$2:$A$100)),'indice columnas'!$B$2:$B$100,""""),
col,IFERROR(MATCH(campo,Referencia!$A$1:$AZ$1,0),0),
fila,IFERROR(MATCH(TO_TEXT(D4703),ARRAYFOR"&amp;"MULA(TO_TEXT(Referencia!$A$2:$A6238)),0),0),
IF(OR(campo="""",campo=""-""),""NO APLICA"",
IF(col=0,""REVISAR EQUIVALENCIA"",
IF(fila=0,""SKU NO ENCONTRADO"",
LET(
valor,INDEX(Referencia!$A$2:$AZ6238,fila,col),
IF(TRIM(TO_TEXT(valor))=TRIM(TO_TEXT(I4703)),"&amp;"
""OK"",
""NO COINCIDE. Valor verdadero: ""&amp;IF(valor="""",""[VACÍO]"",TO_TEXT(valor))
)
))))
),""ERROR EN FÓRMULA""))"),"OK")</f>
        <v>OK</v>
      </c>
    </row>
    <row r="4704">
      <c r="A4704" s="83" t="s">
        <v>4899</v>
      </c>
      <c r="B4704" s="83" t="s">
        <v>4900</v>
      </c>
      <c r="C4704" s="81" t="s">
        <v>4621</v>
      </c>
      <c r="D4704" s="83" t="s">
        <v>4388</v>
      </c>
      <c r="E4704" s="81" t="s">
        <v>1666</v>
      </c>
      <c r="F4704" s="81">
        <v>330.0</v>
      </c>
      <c r="G4704" s="81" t="s">
        <v>3</v>
      </c>
      <c r="H4704" s="81" t="s">
        <v>224</v>
      </c>
      <c r="I4704" s="81" t="s">
        <v>926</v>
      </c>
      <c r="J4704" s="81" t="s">
        <v>224</v>
      </c>
      <c r="K4704" s="81" t="str">
        <f>IFERROR(__xludf.DUMMYFUNCTION("IF(OR(D4704="""",G4704=""""),"""",IFERROR(LET(
campo,XLOOKUP(TRIM(G4704),ARRAYFORMULA(TRIM('indice columnas'!$A$2:$A$100)),'indice columnas'!$B$2:$B$100,""""),
col,IFERROR(MATCH(campo,Referencia!$A$1:$AZ$1,0),0),
fila,IFERROR(MATCH(TO_TEXT(D4704),ARRAYFOR"&amp;"MULA(TO_TEXT(Referencia!$A$2:$A6238)),0),0),
IF(OR(campo="""",campo=""-""),""NO APLICA"",
IF(col=0,""REVISAR EQUIVALENCIA"",
IF(fila=0,""SKU NO ENCONTRADO"",
LET(
valor,INDEX(Referencia!$A$2:$AZ6238,fila,col),
IF(TRIM(TO_TEXT(valor))=TRIM(TO_TEXT(I4704)),"&amp;"
""OK"",
""NO COINCIDE. Valor verdadero: ""&amp;IF(valor="""",""[VACÍO]"",TO_TEXT(valor))
)
))))
),""ERROR EN FÓRMULA""))"),"OK")</f>
        <v>OK</v>
      </c>
    </row>
    <row r="4705">
      <c r="A4705" s="83" t="s">
        <v>4899</v>
      </c>
      <c r="B4705" s="83" t="s">
        <v>4900</v>
      </c>
      <c r="C4705" s="81" t="s">
        <v>4621</v>
      </c>
      <c r="D4705" s="83" t="s">
        <v>4388</v>
      </c>
      <c r="E4705" s="81" t="s">
        <v>1666</v>
      </c>
      <c r="F4705" s="81">
        <v>330.0</v>
      </c>
      <c r="G4705" s="81" t="s">
        <v>2</v>
      </c>
      <c r="H4705" s="81" t="s">
        <v>224</v>
      </c>
      <c r="I4705" s="81" t="s">
        <v>1291</v>
      </c>
      <c r="J4705" s="81" t="s">
        <v>224</v>
      </c>
      <c r="K4705" s="81" t="str">
        <f>IFERROR(__xludf.DUMMYFUNCTION("IF(OR(D4705="""",G4705=""""),"""",IFERROR(LET(
campo,XLOOKUP(TRIM(G4705),ARRAYFORMULA(TRIM('indice columnas'!$A$2:$A$100)),'indice columnas'!$B$2:$B$100,""""),
col,IFERROR(MATCH(campo,Referencia!$A$1:$AZ$1,0),0),
fila,IFERROR(MATCH(TO_TEXT(D4705),ARRAYFOR"&amp;"MULA(TO_TEXT(Referencia!$A$2:$A6238)),0),0),
IF(OR(campo="""",campo=""-""),""NO APLICA"",
IF(col=0,""REVISAR EQUIVALENCIA"",
IF(fila=0,""SKU NO ENCONTRADO"",
LET(
valor,INDEX(Referencia!$A$2:$AZ6238,fila,col),
IF(TRIM(TO_TEXT(valor))=TRIM(TO_TEXT(I4705)),"&amp;"
""OK"",
""NO COINCIDE. Valor verdadero: ""&amp;IF(valor="""",""[VACÍO]"",TO_TEXT(valor))
)
))))
),""ERROR EN FÓRMULA""))"),"OK")</f>
        <v>OK</v>
      </c>
    </row>
    <row r="4706">
      <c r="A4706" s="83" t="s">
        <v>4899</v>
      </c>
      <c r="B4706" s="83" t="s">
        <v>4900</v>
      </c>
      <c r="C4706" s="81" t="s">
        <v>4621</v>
      </c>
      <c r="D4706" s="83" t="s">
        <v>4390</v>
      </c>
      <c r="E4706" s="81" t="s">
        <v>1679</v>
      </c>
      <c r="F4706" s="81">
        <v>333.0</v>
      </c>
      <c r="G4706" s="81" t="s">
        <v>3</v>
      </c>
      <c r="H4706" s="81" t="s">
        <v>224</v>
      </c>
      <c r="I4706" s="81" t="s">
        <v>1144</v>
      </c>
      <c r="J4706" s="81" t="s">
        <v>224</v>
      </c>
      <c r="K4706" s="81" t="str">
        <f>IFERROR(__xludf.DUMMYFUNCTION("IF(OR(D4706="""",G4706=""""),"""",IFERROR(LET(
campo,XLOOKUP(TRIM(G4706),ARRAYFORMULA(TRIM('indice columnas'!$A$2:$A$100)),'indice columnas'!$B$2:$B$100,""""),
col,IFERROR(MATCH(campo,Referencia!$A$1:$AZ$1,0),0),
fila,IFERROR(MATCH(TO_TEXT(D4706),ARRAYFOR"&amp;"MULA(TO_TEXT(Referencia!$A$2:$A6238)),0),0),
IF(OR(campo="""",campo=""-""),""NO APLICA"",
IF(col=0,""REVISAR EQUIVALENCIA"",
IF(fila=0,""SKU NO ENCONTRADO"",
LET(
valor,INDEX(Referencia!$A$2:$AZ6238,fila,col),
IF(TRIM(TO_TEXT(valor))=TRIM(TO_TEXT(I4706)),"&amp;"
""OK"",
""NO COINCIDE. Valor verdadero: ""&amp;IF(valor="""",""[VACÍO]"",TO_TEXT(valor))
)
))))
),""ERROR EN FÓRMULA""))"),"OK")</f>
        <v>OK</v>
      </c>
    </row>
    <row r="4707">
      <c r="A4707" s="83" t="s">
        <v>4899</v>
      </c>
      <c r="B4707" s="83" t="s">
        <v>4900</v>
      </c>
      <c r="C4707" s="81" t="s">
        <v>4621</v>
      </c>
      <c r="D4707" s="83" t="s">
        <v>4390</v>
      </c>
      <c r="E4707" s="81" t="s">
        <v>1679</v>
      </c>
      <c r="F4707" s="81">
        <v>333.0</v>
      </c>
      <c r="G4707" s="81" t="s">
        <v>2</v>
      </c>
      <c r="H4707" s="81" t="s">
        <v>224</v>
      </c>
      <c r="I4707" s="81" t="s">
        <v>213</v>
      </c>
      <c r="J4707" s="81" t="s">
        <v>224</v>
      </c>
      <c r="K4707" s="81" t="str">
        <f>IFERROR(__xludf.DUMMYFUNCTION("IF(OR(D4707="""",G4707=""""),"""",IFERROR(LET(
campo,XLOOKUP(TRIM(G4707),ARRAYFORMULA(TRIM('indice columnas'!$A$2:$A$100)),'indice columnas'!$B$2:$B$100,""""),
col,IFERROR(MATCH(campo,Referencia!$A$1:$AZ$1,0),0),
fila,IFERROR(MATCH(TO_TEXT(D4707),ARRAYFOR"&amp;"MULA(TO_TEXT(Referencia!$A$2:$A6238)),0),0),
IF(OR(campo="""",campo=""-""),""NO APLICA"",
IF(col=0,""REVISAR EQUIVALENCIA"",
IF(fila=0,""SKU NO ENCONTRADO"",
LET(
valor,INDEX(Referencia!$A$2:$AZ6238,fila,col),
IF(TRIM(TO_TEXT(valor))=TRIM(TO_TEXT(I4707)),"&amp;"
""OK"",
""NO COINCIDE. Valor verdadero: ""&amp;IF(valor="""",""[VACÍO]"",TO_TEXT(valor))
)
))))
),""ERROR EN FÓRMULA""))"),"OK")</f>
        <v>OK</v>
      </c>
    </row>
    <row r="4708">
      <c r="A4708" s="83" t="s">
        <v>4899</v>
      </c>
      <c r="B4708" s="83" t="s">
        <v>4900</v>
      </c>
      <c r="C4708" s="81" t="s">
        <v>4621</v>
      </c>
      <c r="D4708" s="83" t="s">
        <v>4390</v>
      </c>
      <c r="E4708" s="81" t="s">
        <v>1679</v>
      </c>
      <c r="F4708" s="81">
        <v>333.0</v>
      </c>
      <c r="G4708" s="81" t="s">
        <v>1</v>
      </c>
      <c r="H4708" s="81" t="s">
        <v>224</v>
      </c>
      <c r="I4708" s="81" t="s">
        <v>49</v>
      </c>
      <c r="J4708" s="81" t="s">
        <v>224</v>
      </c>
      <c r="K4708" s="81" t="str">
        <f>IFERROR(__xludf.DUMMYFUNCTION("IF(OR(D4708="""",G4708=""""),"""",IFERROR(LET(
campo,XLOOKUP(TRIM(G4708),ARRAYFORMULA(TRIM('indice columnas'!$A$2:$A$100)),'indice columnas'!$B$2:$B$100,""""),
col,IFERROR(MATCH(campo,Referencia!$A$1:$AZ$1,0),0),
fila,IFERROR(MATCH(TO_TEXT(D4708),ARRAYFOR"&amp;"MULA(TO_TEXT(Referencia!$A$2:$A6238)),0),0),
IF(OR(campo="""",campo=""-""),""NO APLICA"",
IF(col=0,""REVISAR EQUIVALENCIA"",
IF(fila=0,""SKU NO ENCONTRADO"",
LET(
valor,INDEX(Referencia!$A$2:$AZ6238,fila,col),
IF(TRIM(TO_TEXT(valor))=TRIM(TO_TEXT(I4708)),"&amp;"
""OK"",
""NO COINCIDE. Valor verdadero: ""&amp;IF(valor="""",""[VACÍO]"",TO_TEXT(valor))
)
))))
),""ERROR EN FÓRMULA""))"),"OK")</f>
        <v>OK</v>
      </c>
    </row>
    <row r="4709">
      <c r="A4709" s="83" t="s">
        <v>4899</v>
      </c>
      <c r="B4709" s="83" t="s">
        <v>4900</v>
      </c>
      <c r="C4709" s="81" t="s">
        <v>4621</v>
      </c>
      <c r="D4709" s="83" t="s">
        <v>4391</v>
      </c>
      <c r="E4709" s="81" t="s">
        <v>1682</v>
      </c>
      <c r="F4709" s="81">
        <v>334.0</v>
      </c>
      <c r="G4709" s="81" t="s">
        <v>3</v>
      </c>
      <c r="H4709" s="81" t="s">
        <v>224</v>
      </c>
      <c r="I4709" s="81" t="s">
        <v>51</v>
      </c>
      <c r="J4709" s="81" t="s">
        <v>224</v>
      </c>
      <c r="K4709" s="81" t="str">
        <f>IFERROR(__xludf.DUMMYFUNCTION("IF(OR(D4709="""",G4709=""""),"""",IFERROR(LET(
campo,XLOOKUP(TRIM(G4709),ARRAYFORMULA(TRIM('indice columnas'!$A$2:$A$100)),'indice columnas'!$B$2:$B$100,""""),
col,IFERROR(MATCH(campo,Referencia!$A$1:$AZ$1,0),0),
fila,IFERROR(MATCH(TO_TEXT(D4709),ARRAYFOR"&amp;"MULA(TO_TEXT(Referencia!$A$2:$A6238)),0),0),
IF(OR(campo="""",campo=""-""),""NO APLICA"",
IF(col=0,""REVISAR EQUIVALENCIA"",
IF(fila=0,""SKU NO ENCONTRADO"",
LET(
valor,INDEX(Referencia!$A$2:$AZ6238,fila,col),
IF(TRIM(TO_TEXT(valor))=TRIM(TO_TEXT(I4709)),"&amp;"
""OK"",
""NO COINCIDE. Valor verdadero: ""&amp;IF(valor="""",""[VACÍO]"",TO_TEXT(valor))
)
))))
),""ERROR EN FÓRMULA""))"),"OK")</f>
        <v>OK</v>
      </c>
    </row>
    <row r="4710">
      <c r="A4710" s="83" t="s">
        <v>4899</v>
      </c>
      <c r="B4710" s="83" t="s">
        <v>4900</v>
      </c>
      <c r="C4710" s="81" t="s">
        <v>4621</v>
      </c>
      <c r="D4710" s="83" t="s">
        <v>4391</v>
      </c>
      <c r="E4710" s="81" t="s">
        <v>1682</v>
      </c>
      <c r="F4710" s="81">
        <v>334.0</v>
      </c>
      <c r="G4710" s="81" t="s">
        <v>2</v>
      </c>
      <c r="H4710" s="81" t="s">
        <v>224</v>
      </c>
      <c r="I4710" s="81" t="s">
        <v>213</v>
      </c>
      <c r="J4710" s="81" t="s">
        <v>224</v>
      </c>
      <c r="K4710" s="81" t="str">
        <f>IFERROR(__xludf.DUMMYFUNCTION("IF(OR(D4710="""",G4710=""""),"""",IFERROR(LET(
campo,XLOOKUP(TRIM(G4710),ARRAYFORMULA(TRIM('indice columnas'!$A$2:$A$100)),'indice columnas'!$B$2:$B$100,""""),
col,IFERROR(MATCH(campo,Referencia!$A$1:$AZ$1,0),0),
fila,IFERROR(MATCH(TO_TEXT(D4710),ARRAYFOR"&amp;"MULA(TO_TEXT(Referencia!$A$2:$A6238)),0),0),
IF(OR(campo="""",campo=""-""),""NO APLICA"",
IF(col=0,""REVISAR EQUIVALENCIA"",
IF(fila=0,""SKU NO ENCONTRADO"",
LET(
valor,INDEX(Referencia!$A$2:$AZ6238,fila,col),
IF(TRIM(TO_TEXT(valor))=TRIM(TO_TEXT(I4710)),"&amp;"
""OK"",
""NO COINCIDE. Valor verdadero: ""&amp;IF(valor="""",""[VACÍO]"",TO_TEXT(valor))
)
))))
),""ERROR EN FÓRMULA""))"),"OK")</f>
        <v>OK</v>
      </c>
    </row>
    <row r="4711">
      <c r="A4711" s="83" t="s">
        <v>4899</v>
      </c>
      <c r="B4711" s="83" t="s">
        <v>4900</v>
      </c>
      <c r="C4711" s="81" t="s">
        <v>4621</v>
      </c>
      <c r="D4711" s="83" t="s">
        <v>4391</v>
      </c>
      <c r="E4711" s="81" t="s">
        <v>1682</v>
      </c>
      <c r="F4711" s="81">
        <v>334.0</v>
      </c>
      <c r="G4711" s="81" t="s">
        <v>1</v>
      </c>
      <c r="H4711" s="81" t="s">
        <v>224</v>
      </c>
      <c r="I4711" s="81" t="s">
        <v>49</v>
      </c>
      <c r="J4711" s="81" t="s">
        <v>224</v>
      </c>
      <c r="K4711" s="81" t="str">
        <f>IFERROR(__xludf.DUMMYFUNCTION("IF(OR(D4711="""",G4711=""""),"""",IFERROR(LET(
campo,XLOOKUP(TRIM(G4711),ARRAYFORMULA(TRIM('indice columnas'!$A$2:$A$100)),'indice columnas'!$B$2:$B$100,""""),
col,IFERROR(MATCH(campo,Referencia!$A$1:$AZ$1,0),0),
fila,IFERROR(MATCH(TO_TEXT(D4711),ARRAYFOR"&amp;"MULA(TO_TEXT(Referencia!$A$2:$A6238)),0),0),
IF(OR(campo="""",campo=""-""),""NO APLICA"",
IF(col=0,""REVISAR EQUIVALENCIA"",
IF(fila=0,""SKU NO ENCONTRADO"",
LET(
valor,INDEX(Referencia!$A$2:$AZ6238,fila,col),
IF(TRIM(TO_TEXT(valor))=TRIM(TO_TEXT(I4711)),"&amp;"
""OK"",
""NO COINCIDE. Valor verdadero: ""&amp;IF(valor="""",""[VACÍO]"",TO_TEXT(valor))
)
))))
),""ERROR EN FÓRMULA""))"),"OK")</f>
        <v>OK</v>
      </c>
    </row>
    <row r="4712">
      <c r="A4712" s="83" t="s">
        <v>4899</v>
      </c>
      <c r="B4712" s="83" t="s">
        <v>4900</v>
      </c>
      <c r="C4712" s="81" t="s">
        <v>4621</v>
      </c>
      <c r="D4712" s="83" t="s">
        <v>4393</v>
      </c>
      <c r="E4712" s="81" t="s">
        <v>1690</v>
      </c>
      <c r="F4712" s="81">
        <v>335.0</v>
      </c>
      <c r="G4712" s="81" t="s">
        <v>3</v>
      </c>
      <c r="H4712" s="81" t="s">
        <v>224</v>
      </c>
      <c r="I4712" s="81" t="s">
        <v>51</v>
      </c>
      <c r="J4712" s="81" t="s">
        <v>224</v>
      </c>
      <c r="K4712" s="81" t="str">
        <f>IFERROR(__xludf.DUMMYFUNCTION("IF(OR(D4712="""",G4712=""""),"""",IFERROR(LET(
campo,XLOOKUP(TRIM(G4712),ARRAYFORMULA(TRIM('indice columnas'!$A$2:$A$100)),'indice columnas'!$B$2:$B$100,""""),
col,IFERROR(MATCH(campo,Referencia!$A$1:$AZ$1,0),0),
fila,IFERROR(MATCH(TO_TEXT(D4712),ARRAYFOR"&amp;"MULA(TO_TEXT(Referencia!$A$2:$A6238)),0),0),
IF(OR(campo="""",campo=""-""),""NO APLICA"",
IF(col=0,""REVISAR EQUIVALENCIA"",
IF(fila=0,""SKU NO ENCONTRADO"",
LET(
valor,INDEX(Referencia!$A$2:$AZ6238,fila,col),
IF(TRIM(TO_TEXT(valor))=TRIM(TO_TEXT(I4712)),"&amp;"
""OK"",
""NO COINCIDE. Valor verdadero: ""&amp;IF(valor="""",""[VACÍO]"",TO_TEXT(valor))
)
))))
),""ERROR EN FÓRMULA""))"),"OK")</f>
        <v>OK</v>
      </c>
    </row>
    <row r="4713">
      <c r="A4713" s="83" t="s">
        <v>4899</v>
      </c>
      <c r="B4713" s="83" t="s">
        <v>4900</v>
      </c>
      <c r="C4713" s="81" t="s">
        <v>4621</v>
      </c>
      <c r="D4713" s="83" t="s">
        <v>4393</v>
      </c>
      <c r="E4713" s="81" t="s">
        <v>1690</v>
      </c>
      <c r="F4713" s="81">
        <v>335.0</v>
      </c>
      <c r="G4713" s="81" t="s">
        <v>2</v>
      </c>
      <c r="H4713" s="81" t="s">
        <v>224</v>
      </c>
      <c r="I4713" s="81" t="s">
        <v>213</v>
      </c>
      <c r="J4713" s="81" t="s">
        <v>224</v>
      </c>
      <c r="K4713" s="81" t="str">
        <f>IFERROR(__xludf.DUMMYFUNCTION("IF(OR(D4713="""",G4713=""""),"""",IFERROR(LET(
campo,XLOOKUP(TRIM(G4713),ARRAYFORMULA(TRIM('indice columnas'!$A$2:$A$100)),'indice columnas'!$B$2:$B$100,""""),
col,IFERROR(MATCH(campo,Referencia!$A$1:$AZ$1,0),0),
fila,IFERROR(MATCH(TO_TEXT(D4713),ARRAYFOR"&amp;"MULA(TO_TEXT(Referencia!$A$2:$A6238)),0),0),
IF(OR(campo="""",campo=""-""),""NO APLICA"",
IF(col=0,""REVISAR EQUIVALENCIA"",
IF(fila=0,""SKU NO ENCONTRADO"",
LET(
valor,INDEX(Referencia!$A$2:$AZ6238,fila,col),
IF(TRIM(TO_TEXT(valor))=TRIM(TO_TEXT(I4713)),"&amp;"
""OK"",
""NO COINCIDE. Valor verdadero: ""&amp;IF(valor="""",""[VACÍO]"",TO_TEXT(valor))
)
))))
),""ERROR EN FÓRMULA""))"),"OK")</f>
        <v>OK</v>
      </c>
    </row>
    <row r="4714">
      <c r="A4714" s="83" t="s">
        <v>4899</v>
      </c>
      <c r="B4714" s="83" t="s">
        <v>4900</v>
      </c>
      <c r="C4714" s="81" t="s">
        <v>4621</v>
      </c>
      <c r="D4714" s="83" t="s">
        <v>4393</v>
      </c>
      <c r="E4714" s="81" t="s">
        <v>1690</v>
      </c>
      <c r="F4714" s="81">
        <v>335.0</v>
      </c>
      <c r="G4714" s="81" t="s">
        <v>1</v>
      </c>
      <c r="H4714" s="81" t="s">
        <v>224</v>
      </c>
      <c r="I4714" s="81" t="s">
        <v>49</v>
      </c>
      <c r="J4714" s="81" t="s">
        <v>224</v>
      </c>
      <c r="K4714" s="81" t="str">
        <f>IFERROR(__xludf.DUMMYFUNCTION("IF(OR(D4714="""",G4714=""""),"""",IFERROR(LET(
campo,XLOOKUP(TRIM(G4714),ARRAYFORMULA(TRIM('indice columnas'!$A$2:$A$100)),'indice columnas'!$B$2:$B$100,""""),
col,IFERROR(MATCH(campo,Referencia!$A$1:$AZ$1,0),0),
fila,IFERROR(MATCH(TO_TEXT(D4714),ARRAYFOR"&amp;"MULA(TO_TEXT(Referencia!$A$2:$A6238)),0),0),
IF(OR(campo="""",campo=""-""),""NO APLICA"",
IF(col=0,""REVISAR EQUIVALENCIA"",
IF(fila=0,""SKU NO ENCONTRADO"",
LET(
valor,INDEX(Referencia!$A$2:$AZ6238,fila,col),
IF(TRIM(TO_TEXT(valor))=TRIM(TO_TEXT(I4714)),"&amp;"
""OK"",
""NO COINCIDE. Valor verdadero: ""&amp;IF(valor="""",""[VACÍO]"",TO_TEXT(valor))
)
))))
),""ERROR EN FÓRMULA""))"),"OK")</f>
        <v>OK</v>
      </c>
    </row>
    <row r="4715">
      <c r="A4715" s="83" t="s">
        <v>4899</v>
      </c>
      <c r="B4715" s="83" t="s">
        <v>4900</v>
      </c>
      <c r="C4715" s="81" t="s">
        <v>4621</v>
      </c>
      <c r="D4715" s="83" t="s">
        <v>4394</v>
      </c>
      <c r="E4715" s="81" t="s">
        <v>1698</v>
      </c>
      <c r="F4715" s="81">
        <v>336.0</v>
      </c>
      <c r="G4715" s="81" t="s">
        <v>3</v>
      </c>
      <c r="H4715" s="81" t="s">
        <v>224</v>
      </c>
      <c r="I4715" s="81" t="s">
        <v>51</v>
      </c>
      <c r="J4715" s="81" t="s">
        <v>224</v>
      </c>
      <c r="K4715" s="81" t="str">
        <f>IFERROR(__xludf.DUMMYFUNCTION("IF(OR(D4715="""",G4715=""""),"""",IFERROR(LET(
campo,XLOOKUP(TRIM(G4715),ARRAYFORMULA(TRIM('indice columnas'!$A$2:$A$100)),'indice columnas'!$B$2:$B$100,""""),
col,IFERROR(MATCH(campo,Referencia!$A$1:$AZ$1,0),0),
fila,IFERROR(MATCH(TO_TEXT(D4715),ARRAYFOR"&amp;"MULA(TO_TEXT(Referencia!$A$2:$A6238)),0),0),
IF(OR(campo="""",campo=""-""),""NO APLICA"",
IF(col=0,""REVISAR EQUIVALENCIA"",
IF(fila=0,""SKU NO ENCONTRADO"",
LET(
valor,INDEX(Referencia!$A$2:$AZ6238,fila,col),
IF(TRIM(TO_TEXT(valor))=TRIM(TO_TEXT(I4715)),"&amp;"
""OK"",
""NO COINCIDE. Valor verdadero: ""&amp;IF(valor="""",""[VACÍO]"",TO_TEXT(valor))
)
))))
),""ERROR EN FÓRMULA""))"),"OK")</f>
        <v>OK</v>
      </c>
    </row>
    <row r="4716">
      <c r="A4716" s="83" t="s">
        <v>4899</v>
      </c>
      <c r="B4716" s="83" t="s">
        <v>4900</v>
      </c>
      <c r="C4716" s="81" t="s">
        <v>4621</v>
      </c>
      <c r="D4716" s="83" t="s">
        <v>4394</v>
      </c>
      <c r="E4716" s="81" t="s">
        <v>1698</v>
      </c>
      <c r="F4716" s="81">
        <v>336.0</v>
      </c>
      <c r="G4716" s="81" t="s">
        <v>2</v>
      </c>
      <c r="H4716" s="81" t="s">
        <v>224</v>
      </c>
      <c r="I4716" s="81" t="s">
        <v>213</v>
      </c>
      <c r="J4716" s="81" t="s">
        <v>224</v>
      </c>
      <c r="K4716" s="81" t="str">
        <f>IFERROR(__xludf.DUMMYFUNCTION("IF(OR(D4716="""",G4716=""""),"""",IFERROR(LET(
campo,XLOOKUP(TRIM(G4716),ARRAYFORMULA(TRIM('indice columnas'!$A$2:$A$100)),'indice columnas'!$B$2:$B$100,""""),
col,IFERROR(MATCH(campo,Referencia!$A$1:$AZ$1,0),0),
fila,IFERROR(MATCH(TO_TEXT(D4716),ARRAYFOR"&amp;"MULA(TO_TEXT(Referencia!$A$2:$A6238)),0),0),
IF(OR(campo="""",campo=""-""),""NO APLICA"",
IF(col=0,""REVISAR EQUIVALENCIA"",
IF(fila=0,""SKU NO ENCONTRADO"",
LET(
valor,INDEX(Referencia!$A$2:$AZ6238,fila,col),
IF(TRIM(TO_TEXT(valor))=TRIM(TO_TEXT(I4716)),"&amp;"
""OK"",
""NO COINCIDE. Valor verdadero: ""&amp;IF(valor="""",""[VACÍO]"",TO_TEXT(valor))
)
))))
),""ERROR EN FÓRMULA""))"),"OK")</f>
        <v>OK</v>
      </c>
    </row>
    <row r="4717">
      <c r="A4717" s="83" t="s">
        <v>4899</v>
      </c>
      <c r="B4717" s="83" t="s">
        <v>4900</v>
      </c>
      <c r="C4717" s="81" t="s">
        <v>4621</v>
      </c>
      <c r="D4717" s="83" t="s">
        <v>4394</v>
      </c>
      <c r="E4717" s="81" t="s">
        <v>1698</v>
      </c>
      <c r="F4717" s="81">
        <v>336.0</v>
      </c>
      <c r="G4717" s="81" t="s">
        <v>1</v>
      </c>
      <c r="H4717" s="81" t="s">
        <v>224</v>
      </c>
      <c r="I4717" s="81" t="s">
        <v>49</v>
      </c>
      <c r="J4717" s="81" t="s">
        <v>224</v>
      </c>
      <c r="K4717" s="81" t="str">
        <f>IFERROR(__xludf.DUMMYFUNCTION("IF(OR(D4717="""",G4717=""""),"""",IFERROR(LET(
campo,XLOOKUP(TRIM(G4717),ARRAYFORMULA(TRIM('indice columnas'!$A$2:$A$100)),'indice columnas'!$B$2:$B$100,""""),
col,IFERROR(MATCH(campo,Referencia!$A$1:$AZ$1,0),0),
fila,IFERROR(MATCH(TO_TEXT(D4717),ARRAYFOR"&amp;"MULA(TO_TEXT(Referencia!$A$2:$A6238)),0),0),
IF(OR(campo="""",campo=""-""),""NO APLICA"",
IF(col=0,""REVISAR EQUIVALENCIA"",
IF(fila=0,""SKU NO ENCONTRADO"",
LET(
valor,INDEX(Referencia!$A$2:$AZ6238,fila,col),
IF(TRIM(TO_TEXT(valor))=TRIM(TO_TEXT(I4717)),"&amp;"
""OK"",
""NO COINCIDE. Valor verdadero: ""&amp;IF(valor="""",""[VACÍO]"",TO_TEXT(valor))
)
))))
),""ERROR EN FÓRMULA""))"),"OK")</f>
        <v>OK</v>
      </c>
    </row>
    <row r="4718">
      <c r="A4718" s="83" t="s">
        <v>4899</v>
      </c>
      <c r="B4718" s="83" t="s">
        <v>4900</v>
      </c>
      <c r="C4718" s="81" t="s">
        <v>4621</v>
      </c>
      <c r="D4718" s="83" t="s">
        <v>4399</v>
      </c>
      <c r="E4718" s="81" t="s">
        <v>1723</v>
      </c>
      <c r="F4718" s="81">
        <v>341.0</v>
      </c>
      <c r="G4718" s="81" t="s">
        <v>3</v>
      </c>
      <c r="H4718" s="81" t="s">
        <v>224</v>
      </c>
      <c r="I4718" s="81" t="s">
        <v>51</v>
      </c>
      <c r="J4718" s="81" t="s">
        <v>224</v>
      </c>
      <c r="K4718" s="81" t="str">
        <f>IFERROR(__xludf.DUMMYFUNCTION("IF(OR(D4718="""",G4718=""""),"""",IFERROR(LET(
campo,XLOOKUP(TRIM(G4718),ARRAYFORMULA(TRIM('indice columnas'!$A$2:$A$100)),'indice columnas'!$B$2:$B$100,""""),
col,IFERROR(MATCH(campo,Referencia!$A$1:$AZ$1,0),0),
fila,IFERROR(MATCH(TO_TEXT(D4718),ARRAYFOR"&amp;"MULA(TO_TEXT(Referencia!$A$2:$A6238)),0),0),
IF(OR(campo="""",campo=""-""),""NO APLICA"",
IF(col=0,""REVISAR EQUIVALENCIA"",
IF(fila=0,""SKU NO ENCONTRADO"",
LET(
valor,INDEX(Referencia!$A$2:$AZ6238,fila,col),
IF(TRIM(TO_TEXT(valor))=TRIM(TO_TEXT(I4718)),"&amp;"
""OK"",
""NO COINCIDE. Valor verdadero: ""&amp;IF(valor="""",""[VACÍO]"",TO_TEXT(valor))
)
))))
),""ERROR EN FÓRMULA""))"),"OK")</f>
        <v>OK</v>
      </c>
    </row>
    <row r="4719">
      <c r="A4719" s="83" t="s">
        <v>4899</v>
      </c>
      <c r="B4719" s="83" t="s">
        <v>4900</v>
      </c>
      <c r="C4719" s="81" t="s">
        <v>4621</v>
      </c>
      <c r="D4719" s="83" t="s">
        <v>4399</v>
      </c>
      <c r="E4719" s="81" t="s">
        <v>1723</v>
      </c>
      <c r="F4719" s="81">
        <v>341.0</v>
      </c>
      <c r="G4719" s="81" t="s">
        <v>2</v>
      </c>
      <c r="H4719" s="81" t="s">
        <v>224</v>
      </c>
      <c r="I4719" s="81" t="s">
        <v>50</v>
      </c>
      <c r="J4719" s="81" t="s">
        <v>224</v>
      </c>
      <c r="K4719" s="81" t="str">
        <f>IFERROR(__xludf.DUMMYFUNCTION("IF(OR(D4719="""",G4719=""""),"""",IFERROR(LET(
campo,XLOOKUP(TRIM(G4719),ARRAYFORMULA(TRIM('indice columnas'!$A$2:$A$100)),'indice columnas'!$B$2:$B$100,""""),
col,IFERROR(MATCH(campo,Referencia!$A$1:$AZ$1,0),0),
fila,IFERROR(MATCH(TO_TEXT(D4719),ARRAYFOR"&amp;"MULA(TO_TEXT(Referencia!$A$2:$A6238)),0),0),
IF(OR(campo="""",campo=""-""),""NO APLICA"",
IF(col=0,""REVISAR EQUIVALENCIA"",
IF(fila=0,""SKU NO ENCONTRADO"",
LET(
valor,INDEX(Referencia!$A$2:$AZ6238,fila,col),
IF(TRIM(TO_TEXT(valor))=TRIM(TO_TEXT(I4719)),"&amp;"
""OK"",
""NO COINCIDE. Valor verdadero: ""&amp;IF(valor="""",""[VACÍO]"",TO_TEXT(valor))
)
))))
),""ERROR EN FÓRMULA""))"),"OK")</f>
        <v>OK</v>
      </c>
    </row>
    <row r="4720">
      <c r="A4720" s="83" t="s">
        <v>4899</v>
      </c>
      <c r="B4720" s="83" t="s">
        <v>4900</v>
      </c>
      <c r="C4720" s="81" t="s">
        <v>4621</v>
      </c>
      <c r="D4720" s="83" t="s">
        <v>4399</v>
      </c>
      <c r="E4720" s="81" t="s">
        <v>1723</v>
      </c>
      <c r="F4720" s="81">
        <v>341.0</v>
      </c>
      <c r="G4720" s="81" t="s">
        <v>1</v>
      </c>
      <c r="H4720" s="81" t="s">
        <v>224</v>
      </c>
      <c r="I4720" s="81" t="s">
        <v>49</v>
      </c>
      <c r="J4720" s="81" t="s">
        <v>224</v>
      </c>
      <c r="K4720" s="81" t="str">
        <f>IFERROR(__xludf.DUMMYFUNCTION("IF(OR(D4720="""",G4720=""""),"""",IFERROR(LET(
campo,XLOOKUP(TRIM(G4720),ARRAYFORMULA(TRIM('indice columnas'!$A$2:$A$100)),'indice columnas'!$B$2:$B$100,""""),
col,IFERROR(MATCH(campo,Referencia!$A$1:$AZ$1,0),0),
fila,IFERROR(MATCH(TO_TEXT(D4720),ARRAYFOR"&amp;"MULA(TO_TEXT(Referencia!$A$2:$A6238)),0),0),
IF(OR(campo="""",campo=""-""),""NO APLICA"",
IF(col=0,""REVISAR EQUIVALENCIA"",
IF(fila=0,""SKU NO ENCONTRADO"",
LET(
valor,INDEX(Referencia!$A$2:$AZ6238,fila,col),
IF(TRIM(TO_TEXT(valor))=TRIM(TO_TEXT(I4720)),"&amp;"
""OK"",
""NO COINCIDE. Valor verdadero: ""&amp;IF(valor="""",""[VACÍO]"",TO_TEXT(valor))
)
))))
),""ERROR EN FÓRMULA""))"),"OK")</f>
        <v>OK</v>
      </c>
    </row>
    <row r="4721">
      <c r="A4721" s="83" t="s">
        <v>4899</v>
      </c>
      <c r="B4721" s="83" t="s">
        <v>4900</v>
      </c>
      <c r="C4721" s="81" t="s">
        <v>4621</v>
      </c>
      <c r="D4721" s="83" t="s">
        <v>4400</v>
      </c>
      <c r="E4721" s="81" t="s">
        <v>1726</v>
      </c>
      <c r="F4721" s="81">
        <v>342.0</v>
      </c>
      <c r="G4721" s="81" t="s">
        <v>3</v>
      </c>
      <c r="H4721" s="81" t="s">
        <v>224</v>
      </c>
      <c r="I4721" s="81" t="s">
        <v>51</v>
      </c>
      <c r="J4721" s="81" t="s">
        <v>224</v>
      </c>
      <c r="K4721" s="81" t="str">
        <f>IFERROR(__xludf.DUMMYFUNCTION("IF(OR(D4721="""",G4721=""""),"""",IFERROR(LET(
campo,XLOOKUP(TRIM(G4721),ARRAYFORMULA(TRIM('indice columnas'!$A$2:$A$100)),'indice columnas'!$B$2:$B$100,""""),
col,IFERROR(MATCH(campo,Referencia!$A$1:$AZ$1,0),0),
fila,IFERROR(MATCH(TO_TEXT(D4721),ARRAYFOR"&amp;"MULA(TO_TEXT(Referencia!$A$2:$A6238)),0),0),
IF(OR(campo="""",campo=""-""),""NO APLICA"",
IF(col=0,""REVISAR EQUIVALENCIA"",
IF(fila=0,""SKU NO ENCONTRADO"",
LET(
valor,INDEX(Referencia!$A$2:$AZ6238,fila,col),
IF(TRIM(TO_TEXT(valor))=TRIM(TO_TEXT(I4721)),"&amp;"
""OK"",
""NO COINCIDE. Valor verdadero: ""&amp;IF(valor="""",""[VACÍO]"",TO_TEXT(valor))
)
))))
),""ERROR EN FÓRMULA""))"),"OK")</f>
        <v>OK</v>
      </c>
    </row>
    <row r="4722">
      <c r="A4722" s="83" t="s">
        <v>4899</v>
      </c>
      <c r="B4722" s="83" t="s">
        <v>4900</v>
      </c>
      <c r="C4722" s="81" t="s">
        <v>4621</v>
      </c>
      <c r="D4722" s="83" t="s">
        <v>4400</v>
      </c>
      <c r="E4722" s="81" t="s">
        <v>1726</v>
      </c>
      <c r="F4722" s="81">
        <v>342.0</v>
      </c>
      <c r="G4722" s="81" t="s">
        <v>2</v>
      </c>
      <c r="H4722" s="81" t="s">
        <v>224</v>
      </c>
      <c r="I4722" s="81" t="s">
        <v>50</v>
      </c>
      <c r="J4722" s="81" t="s">
        <v>224</v>
      </c>
      <c r="K4722" s="81" t="str">
        <f>IFERROR(__xludf.DUMMYFUNCTION("IF(OR(D4722="""",G4722=""""),"""",IFERROR(LET(
campo,XLOOKUP(TRIM(G4722),ARRAYFORMULA(TRIM('indice columnas'!$A$2:$A$100)),'indice columnas'!$B$2:$B$100,""""),
col,IFERROR(MATCH(campo,Referencia!$A$1:$AZ$1,0),0),
fila,IFERROR(MATCH(TO_TEXT(D4722),ARRAYFOR"&amp;"MULA(TO_TEXT(Referencia!$A$2:$A6238)),0),0),
IF(OR(campo="""",campo=""-""),""NO APLICA"",
IF(col=0,""REVISAR EQUIVALENCIA"",
IF(fila=0,""SKU NO ENCONTRADO"",
LET(
valor,INDEX(Referencia!$A$2:$AZ6238,fila,col),
IF(TRIM(TO_TEXT(valor))=TRIM(TO_TEXT(I4722)),"&amp;"
""OK"",
""NO COINCIDE. Valor verdadero: ""&amp;IF(valor="""",""[VACÍO]"",TO_TEXT(valor))
)
))))
),""ERROR EN FÓRMULA""))"),"OK")</f>
        <v>OK</v>
      </c>
    </row>
    <row r="4723">
      <c r="A4723" s="83" t="s">
        <v>4899</v>
      </c>
      <c r="B4723" s="83" t="s">
        <v>4900</v>
      </c>
      <c r="C4723" s="81" t="s">
        <v>4621</v>
      </c>
      <c r="D4723" s="83" t="s">
        <v>4400</v>
      </c>
      <c r="E4723" s="81" t="s">
        <v>1726</v>
      </c>
      <c r="F4723" s="81">
        <v>342.0</v>
      </c>
      <c r="G4723" s="81" t="s">
        <v>1</v>
      </c>
      <c r="H4723" s="81" t="s">
        <v>224</v>
      </c>
      <c r="I4723" s="81" t="s">
        <v>49</v>
      </c>
      <c r="J4723" s="81" t="s">
        <v>224</v>
      </c>
      <c r="K4723" s="81" t="str">
        <f>IFERROR(__xludf.DUMMYFUNCTION("IF(OR(D4723="""",G4723=""""),"""",IFERROR(LET(
campo,XLOOKUP(TRIM(G4723),ARRAYFORMULA(TRIM('indice columnas'!$A$2:$A$100)),'indice columnas'!$B$2:$B$100,""""),
col,IFERROR(MATCH(campo,Referencia!$A$1:$AZ$1,0),0),
fila,IFERROR(MATCH(TO_TEXT(D4723),ARRAYFOR"&amp;"MULA(TO_TEXT(Referencia!$A$2:$A6238)),0),0),
IF(OR(campo="""",campo=""-""),""NO APLICA"",
IF(col=0,""REVISAR EQUIVALENCIA"",
IF(fila=0,""SKU NO ENCONTRADO"",
LET(
valor,INDEX(Referencia!$A$2:$AZ6238,fila,col),
IF(TRIM(TO_TEXT(valor))=TRIM(TO_TEXT(I4723)),"&amp;"
""OK"",
""NO COINCIDE. Valor verdadero: ""&amp;IF(valor="""",""[VACÍO]"",TO_TEXT(valor))
)
))))
),""ERROR EN FÓRMULA""))"),"OK")</f>
        <v>OK</v>
      </c>
    </row>
    <row r="4724">
      <c r="A4724" s="83" t="s">
        <v>4899</v>
      </c>
      <c r="B4724" s="83" t="s">
        <v>4900</v>
      </c>
      <c r="C4724" s="81" t="s">
        <v>4621</v>
      </c>
      <c r="D4724" s="83" t="s">
        <v>4401</v>
      </c>
      <c r="E4724" s="81" t="s">
        <v>1736</v>
      </c>
      <c r="F4724" s="81">
        <v>343.0</v>
      </c>
      <c r="G4724" s="81" t="s">
        <v>3</v>
      </c>
      <c r="H4724" s="81" t="s">
        <v>224</v>
      </c>
      <c r="I4724" s="81" t="s">
        <v>51</v>
      </c>
      <c r="J4724" s="81" t="s">
        <v>224</v>
      </c>
      <c r="K4724" s="81" t="str">
        <f>IFERROR(__xludf.DUMMYFUNCTION("IF(OR(D4724="""",G4724=""""),"""",IFERROR(LET(
campo,XLOOKUP(TRIM(G4724),ARRAYFORMULA(TRIM('indice columnas'!$A$2:$A$100)),'indice columnas'!$B$2:$B$100,""""),
col,IFERROR(MATCH(campo,Referencia!$A$1:$AZ$1,0),0),
fila,IFERROR(MATCH(TO_TEXT(D4724),ARRAYFOR"&amp;"MULA(TO_TEXT(Referencia!$A$2:$A6238)),0),0),
IF(OR(campo="""",campo=""-""),""NO APLICA"",
IF(col=0,""REVISAR EQUIVALENCIA"",
IF(fila=0,""SKU NO ENCONTRADO"",
LET(
valor,INDEX(Referencia!$A$2:$AZ6238,fila,col),
IF(TRIM(TO_TEXT(valor))=TRIM(TO_TEXT(I4724)),"&amp;"
""OK"",
""NO COINCIDE. Valor verdadero: ""&amp;IF(valor="""",""[VACÍO]"",TO_TEXT(valor))
)
))))
),""ERROR EN FÓRMULA""))"),"OK")</f>
        <v>OK</v>
      </c>
    </row>
    <row r="4725">
      <c r="A4725" s="83" t="s">
        <v>4899</v>
      </c>
      <c r="B4725" s="83" t="s">
        <v>4900</v>
      </c>
      <c r="C4725" s="81" t="s">
        <v>4621</v>
      </c>
      <c r="D4725" s="83" t="s">
        <v>4401</v>
      </c>
      <c r="E4725" s="81" t="s">
        <v>1736</v>
      </c>
      <c r="F4725" s="81">
        <v>343.0</v>
      </c>
      <c r="G4725" s="81" t="s">
        <v>2</v>
      </c>
      <c r="H4725" s="81" t="s">
        <v>224</v>
      </c>
      <c r="I4725" s="81" t="s">
        <v>50</v>
      </c>
      <c r="J4725" s="81" t="s">
        <v>224</v>
      </c>
      <c r="K4725" s="81" t="str">
        <f>IFERROR(__xludf.DUMMYFUNCTION("IF(OR(D4725="""",G4725=""""),"""",IFERROR(LET(
campo,XLOOKUP(TRIM(G4725),ARRAYFORMULA(TRIM('indice columnas'!$A$2:$A$100)),'indice columnas'!$B$2:$B$100,""""),
col,IFERROR(MATCH(campo,Referencia!$A$1:$AZ$1,0),0),
fila,IFERROR(MATCH(TO_TEXT(D4725),ARRAYFOR"&amp;"MULA(TO_TEXT(Referencia!$A$2:$A6238)),0),0),
IF(OR(campo="""",campo=""-""),""NO APLICA"",
IF(col=0,""REVISAR EQUIVALENCIA"",
IF(fila=0,""SKU NO ENCONTRADO"",
LET(
valor,INDEX(Referencia!$A$2:$AZ6238,fila,col),
IF(TRIM(TO_TEXT(valor))=TRIM(TO_TEXT(I4725)),"&amp;"
""OK"",
""NO COINCIDE. Valor verdadero: ""&amp;IF(valor="""",""[VACÍO]"",TO_TEXT(valor))
)
))))
),""ERROR EN FÓRMULA""))"),"OK")</f>
        <v>OK</v>
      </c>
    </row>
    <row r="4726">
      <c r="A4726" s="83" t="s">
        <v>4899</v>
      </c>
      <c r="B4726" s="83" t="s">
        <v>4900</v>
      </c>
      <c r="C4726" s="81" t="s">
        <v>4621</v>
      </c>
      <c r="D4726" s="83" t="s">
        <v>4401</v>
      </c>
      <c r="E4726" s="81" t="s">
        <v>1736</v>
      </c>
      <c r="F4726" s="81">
        <v>343.0</v>
      </c>
      <c r="G4726" s="81" t="s">
        <v>1</v>
      </c>
      <c r="H4726" s="81" t="s">
        <v>224</v>
      </c>
      <c r="I4726" s="81" t="s">
        <v>49</v>
      </c>
      <c r="J4726" s="81" t="s">
        <v>224</v>
      </c>
      <c r="K4726" s="81" t="str">
        <f>IFERROR(__xludf.DUMMYFUNCTION("IF(OR(D4726="""",G4726=""""),"""",IFERROR(LET(
campo,XLOOKUP(TRIM(G4726),ARRAYFORMULA(TRIM('indice columnas'!$A$2:$A$100)),'indice columnas'!$B$2:$B$100,""""),
col,IFERROR(MATCH(campo,Referencia!$A$1:$AZ$1,0),0),
fila,IFERROR(MATCH(TO_TEXT(D4726),ARRAYFOR"&amp;"MULA(TO_TEXT(Referencia!$A$2:$A6238)),0),0),
IF(OR(campo="""",campo=""-""),""NO APLICA"",
IF(col=0,""REVISAR EQUIVALENCIA"",
IF(fila=0,""SKU NO ENCONTRADO"",
LET(
valor,INDEX(Referencia!$A$2:$AZ6238,fila,col),
IF(TRIM(TO_TEXT(valor))=TRIM(TO_TEXT(I4726)),"&amp;"
""OK"",
""NO COINCIDE. Valor verdadero: ""&amp;IF(valor="""",""[VACÍO]"",TO_TEXT(valor))
)
))))
),""ERROR EN FÓRMULA""))"),"OK")</f>
        <v>OK</v>
      </c>
    </row>
    <row r="4727">
      <c r="A4727" s="83" t="s">
        <v>4899</v>
      </c>
      <c r="B4727" s="83" t="s">
        <v>4900</v>
      </c>
      <c r="C4727" s="81" t="s">
        <v>4621</v>
      </c>
      <c r="D4727" s="83" t="s">
        <v>4403</v>
      </c>
      <c r="E4727" s="81" t="s">
        <v>1742</v>
      </c>
      <c r="F4727" s="81">
        <v>346.0</v>
      </c>
      <c r="G4727" s="81" t="s">
        <v>3</v>
      </c>
      <c r="H4727" s="81" t="s">
        <v>224</v>
      </c>
      <c r="I4727" s="81" t="s">
        <v>920</v>
      </c>
      <c r="J4727" s="81" t="s">
        <v>224</v>
      </c>
      <c r="K4727" s="81" t="str">
        <f>IFERROR(__xludf.DUMMYFUNCTION("IF(OR(D4727="""",G4727=""""),"""",IFERROR(LET(
campo,XLOOKUP(TRIM(G4727),ARRAYFORMULA(TRIM('indice columnas'!$A$2:$A$100)),'indice columnas'!$B$2:$B$100,""""),
col,IFERROR(MATCH(campo,Referencia!$A$1:$AZ$1,0),0),
fila,IFERROR(MATCH(TO_TEXT(D4727),ARRAYFOR"&amp;"MULA(TO_TEXT(Referencia!$A$2:$A6238)),0),0),
IF(OR(campo="""",campo=""-""),""NO APLICA"",
IF(col=0,""REVISAR EQUIVALENCIA"",
IF(fila=0,""SKU NO ENCONTRADO"",
LET(
valor,INDEX(Referencia!$A$2:$AZ6238,fila,col),
IF(TRIM(TO_TEXT(valor))=TRIM(TO_TEXT(I4727)),"&amp;"
""OK"",
""NO COINCIDE. Valor verdadero: ""&amp;IF(valor="""",""[VACÍO]"",TO_TEXT(valor))
)
))))
),""ERROR EN FÓRMULA""))"),"OK")</f>
        <v>OK</v>
      </c>
    </row>
    <row r="4728">
      <c r="A4728" s="83" t="s">
        <v>4899</v>
      </c>
      <c r="B4728" s="83" t="s">
        <v>4900</v>
      </c>
      <c r="C4728" s="81" t="s">
        <v>4621</v>
      </c>
      <c r="D4728" s="83" t="s">
        <v>4403</v>
      </c>
      <c r="E4728" s="81" t="s">
        <v>1742</v>
      </c>
      <c r="F4728" s="81">
        <v>346.0</v>
      </c>
      <c r="G4728" s="81" t="s">
        <v>2</v>
      </c>
      <c r="H4728" s="81" t="s">
        <v>224</v>
      </c>
      <c r="I4728" s="81" t="s">
        <v>919</v>
      </c>
      <c r="J4728" s="81" t="s">
        <v>224</v>
      </c>
      <c r="K4728" s="81" t="str">
        <f>IFERROR(__xludf.DUMMYFUNCTION("IF(OR(D4728="""",G4728=""""),"""",IFERROR(LET(
campo,XLOOKUP(TRIM(G4728),ARRAYFORMULA(TRIM('indice columnas'!$A$2:$A$100)),'indice columnas'!$B$2:$B$100,""""),
col,IFERROR(MATCH(campo,Referencia!$A$1:$AZ$1,0),0),
fila,IFERROR(MATCH(TO_TEXT(D4728),ARRAYFOR"&amp;"MULA(TO_TEXT(Referencia!$A$2:$A6238)),0),0),
IF(OR(campo="""",campo=""-""),""NO APLICA"",
IF(col=0,""REVISAR EQUIVALENCIA"",
IF(fila=0,""SKU NO ENCONTRADO"",
LET(
valor,INDEX(Referencia!$A$2:$AZ6238,fila,col),
IF(TRIM(TO_TEXT(valor))=TRIM(TO_TEXT(I4728)),"&amp;"
""OK"",
""NO COINCIDE. Valor verdadero: ""&amp;IF(valor="""",""[VACÍO]"",TO_TEXT(valor))
)
))))
),""ERROR EN FÓRMULA""))"),"OK")</f>
        <v>OK</v>
      </c>
    </row>
    <row r="4729">
      <c r="A4729" s="83" t="s">
        <v>4899</v>
      </c>
      <c r="B4729" s="83" t="s">
        <v>4900</v>
      </c>
      <c r="C4729" s="81" t="s">
        <v>4621</v>
      </c>
      <c r="D4729" s="83" t="s">
        <v>4403</v>
      </c>
      <c r="E4729" s="81" t="s">
        <v>1742</v>
      </c>
      <c r="F4729" s="81">
        <v>346.0</v>
      </c>
      <c r="G4729" s="81" t="s">
        <v>1</v>
      </c>
      <c r="H4729" s="81" t="s">
        <v>224</v>
      </c>
      <c r="I4729" s="81" t="s">
        <v>49</v>
      </c>
      <c r="J4729" s="81" t="s">
        <v>224</v>
      </c>
      <c r="K4729" s="81" t="str">
        <f>IFERROR(__xludf.DUMMYFUNCTION("IF(OR(D4729="""",G4729=""""),"""",IFERROR(LET(
campo,XLOOKUP(TRIM(G4729),ARRAYFORMULA(TRIM('indice columnas'!$A$2:$A$100)),'indice columnas'!$B$2:$B$100,""""),
col,IFERROR(MATCH(campo,Referencia!$A$1:$AZ$1,0),0),
fila,IFERROR(MATCH(TO_TEXT(D4729),ARRAYFOR"&amp;"MULA(TO_TEXT(Referencia!$A$2:$A6238)),0),0),
IF(OR(campo="""",campo=""-""),""NO APLICA"",
IF(col=0,""REVISAR EQUIVALENCIA"",
IF(fila=0,""SKU NO ENCONTRADO"",
LET(
valor,INDEX(Referencia!$A$2:$AZ6238,fila,col),
IF(TRIM(TO_TEXT(valor))=TRIM(TO_TEXT(I4729)),"&amp;"
""OK"",
""NO COINCIDE. Valor verdadero: ""&amp;IF(valor="""",""[VACÍO]"",TO_TEXT(valor))
)
))))
),""ERROR EN FÓRMULA""))"),"OK")</f>
        <v>OK</v>
      </c>
    </row>
    <row r="4730">
      <c r="A4730" s="83" t="s">
        <v>4899</v>
      </c>
      <c r="B4730" s="83" t="s">
        <v>4900</v>
      </c>
      <c r="C4730" s="81" t="s">
        <v>4621</v>
      </c>
      <c r="D4730" s="83" t="s">
        <v>4404</v>
      </c>
      <c r="E4730" s="81" t="s">
        <v>1744</v>
      </c>
      <c r="F4730" s="81">
        <v>347.0</v>
      </c>
      <c r="G4730" s="81" t="s">
        <v>3</v>
      </c>
      <c r="H4730" s="81" t="s">
        <v>224</v>
      </c>
      <c r="I4730" s="81" t="s">
        <v>51</v>
      </c>
      <c r="J4730" s="81" t="s">
        <v>224</v>
      </c>
      <c r="K4730" s="81" t="str">
        <f>IFERROR(__xludf.DUMMYFUNCTION("IF(OR(D4730="""",G4730=""""),"""",IFERROR(LET(
campo,XLOOKUP(TRIM(G4730),ARRAYFORMULA(TRIM('indice columnas'!$A$2:$A$100)),'indice columnas'!$B$2:$B$100,""""),
col,IFERROR(MATCH(campo,Referencia!$A$1:$AZ$1,0),0),
fila,IFERROR(MATCH(TO_TEXT(D4730),ARRAYFOR"&amp;"MULA(TO_TEXT(Referencia!$A$2:$A6238)),0),0),
IF(OR(campo="""",campo=""-""),""NO APLICA"",
IF(col=0,""REVISAR EQUIVALENCIA"",
IF(fila=0,""SKU NO ENCONTRADO"",
LET(
valor,INDEX(Referencia!$A$2:$AZ6238,fila,col),
IF(TRIM(TO_TEXT(valor))=TRIM(TO_TEXT(I4730)),"&amp;"
""OK"",
""NO COINCIDE. Valor verdadero: ""&amp;IF(valor="""",""[VACÍO]"",TO_TEXT(valor))
)
))))
),""ERROR EN FÓRMULA""))"),"OK")</f>
        <v>OK</v>
      </c>
    </row>
    <row r="4731">
      <c r="A4731" s="83" t="s">
        <v>4899</v>
      </c>
      <c r="B4731" s="83" t="s">
        <v>4900</v>
      </c>
      <c r="C4731" s="81" t="s">
        <v>4621</v>
      </c>
      <c r="D4731" s="83" t="s">
        <v>4404</v>
      </c>
      <c r="E4731" s="81" t="s">
        <v>1744</v>
      </c>
      <c r="F4731" s="81">
        <v>347.0</v>
      </c>
      <c r="G4731" s="81" t="s">
        <v>2</v>
      </c>
      <c r="H4731" s="81" t="s">
        <v>224</v>
      </c>
      <c r="I4731" s="81" t="s">
        <v>50</v>
      </c>
      <c r="J4731" s="81" t="s">
        <v>224</v>
      </c>
      <c r="K4731" s="81" t="str">
        <f>IFERROR(__xludf.DUMMYFUNCTION("IF(OR(D4731="""",G4731=""""),"""",IFERROR(LET(
campo,XLOOKUP(TRIM(G4731),ARRAYFORMULA(TRIM('indice columnas'!$A$2:$A$100)),'indice columnas'!$B$2:$B$100,""""),
col,IFERROR(MATCH(campo,Referencia!$A$1:$AZ$1,0),0),
fila,IFERROR(MATCH(TO_TEXT(D4731),ARRAYFOR"&amp;"MULA(TO_TEXT(Referencia!$A$2:$A6238)),0),0),
IF(OR(campo="""",campo=""-""),""NO APLICA"",
IF(col=0,""REVISAR EQUIVALENCIA"",
IF(fila=0,""SKU NO ENCONTRADO"",
LET(
valor,INDEX(Referencia!$A$2:$AZ6238,fila,col),
IF(TRIM(TO_TEXT(valor))=TRIM(TO_TEXT(I4731)),"&amp;"
""OK"",
""NO COINCIDE. Valor verdadero: ""&amp;IF(valor="""",""[VACÍO]"",TO_TEXT(valor))
)
))))
),""ERROR EN FÓRMULA""))"),"OK")</f>
        <v>OK</v>
      </c>
    </row>
    <row r="4732">
      <c r="A4732" s="83" t="s">
        <v>4899</v>
      </c>
      <c r="B4732" s="83" t="s">
        <v>4900</v>
      </c>
      <c r="C4732" s="81" t="s">
        <v>4621</v>
      </c>
      <c r="D4732" s="83" t="s">
        <v>4404</v>
      </c>
      <c r="E4732" s="81" t="s">
        <v>1744</v>
      </c>
      <c r="F4732" s="81">
        <v>347.0</v>
      </c>
      <c r="G4732" s="81" t="s">
        <v>1</v>
      </c>
      <c r="H4732" s="81" t="s">
        <v>224</v>
      </c>
      <c r="I4732" s="81" t="s">
        <v>49</v>
      </c>
      <c r="J4732" s="81" t="s">
        <v>224</v>
      </c>
      <c r="K4732" s="81" t="str">
        <f>IFERROR(__xludf.DUMMYFUNCTION("IF(OR(D4732="""",G4732=""""),"""",IFERROR(LET(
campo,XLOOKUP(TRIM(G4732),ARRAYFORMULA(TRIM('indice columnas'!$A$2:$A$100)),'indice columnas'!$B$2:$B$100,""""),
col,IFERROR(MATCH(campo,Referencia!$A$1:$AZ$1,0),0),
fila,IFERROR(MATCH(TO_TEXT(D4732),ARRAYFOR"&amp;"MULA(TO_TEXT(Referencia!$A$2:$A6238)),0),0),
IF(OR(campo="""",campo=""-""),""NO APLICA"",
IF(col=0,""REVISAR EQUIVALENCIA"",
IF(fila=0,""SKU NO ENCONTRADO"",
LET(
valor,INDEX(Referencia!$A$2:$AZ6238,fila,col),
IF(TRIM(TO_TEXT(valor))=TRIM(TO_TEXT(I4732)),"&amp;"
""OK"",
""NO COINCIDE. Valor verdadero: ""&amp;IF(valor="""",""[VACÍO]"",TO_TEXT(valor))
)
))))
),""ERROR EN FÓRMULA""))"),"OK")</f>
        <v>OK</v>
      </c>
    </row>
    <row r="4733">
      <c r="A4733" s="83" t="s">
        <v>4899</v>
      </c>
      <c r="B4733" s="83" t="s">
        <v>4900</v>
      </c>
      <c r="C4733" s="81" t="s">
        <v>4621</v>
      </c>
      <c r="D4733" s="83" t="s">
        <v>4405</v>
      </c>
      <c r="E4733" s="81" t="s">
        <v>1753</v>
      </c>
      <c r="F4733" s="81">
        <v>348.0</v>
      </c>
      <c r="G4733" s="81" t="s">
        <v>3</v>
      </c>
      <c r="H4733" s="81" t="s">
        <v>224</v>
      </c>
      <c r="I4733" s="81" t="s">
        <v>51</v>
      </c>
      <c r="J4733" s="81" t="s">
        <v>224</v>
      </c>
      <c r="K4733" s="81" t="str">
        <f>IFERROR(__xludf.DUMMYFUNCTION("IF(OR(D4733="""",G4733=""""),"""",IFERROR(LET(
campo,XLOOKUP(TRIM(G4733),ARRAYFORMULA(TRIM('indice columnas'!$A$2:$A$100)),'indice columnas'!$B$2:$B$100,""""),
col,IFERROR(MATCH(campo,Referencia!$A$1:$AZ$1,0),0),
fila,IFERROR(MATCH(TO_TEXT(D4733),ARRAYFOR"&amp;"MULA(TO_TEXT(Referencia!$A$2:$A6238)),0),0),
IF(OR(campo="""",campo=""-""),""NO APLICA"",
IF(col=0,""REVISAR EQUIVALENCIA"",
IF(fila=0,""SKU NO ENCONTRADO"",
LET(
valor,INDEX(Referencia!$A$2:$AZ6238,fila,col),
IF(TRIM(TO_TEXT(valor))=TRIM(TO_TEXT(I4733)),"&amp;"
""OK"",
""NO COINCIDE. Valor verdadero: ""&amp;IF(valor="""",""[VACÍO]"",TO_TEXT(valor))
)
))))
),""ERROR EN FÓRMULA""))"),"OK")</f>
        <v>OK</v>
      </c>
    </row>
    <row r="4734">
      <c r="A4734" s="83" t="s">
        <v>4899</v>
      </c>
      <c r="B4734" s="83" t="s">
        <v>4900</v>
      </c>
      <c r="C4734" s="81" t="s">
        <v>4621</v>
      </c>
      <c r="D4734" s="83" t="s">
        <v>4405</v>
      </c>
      <c r="E4734" s="81" t="s">
        <v>1753</v>
      </c>
      <c r="F4734" s="81">
        <v>348.0</v>
      </c>
      <c r="G4734" s="81" t="s">
        <v>2</v>
      </c>
      <c r="H4734" s="81" t="s">
        <v>224</v>
      </c>
      <c r="I4734" s="81" t="s">
        <v>50</v>
      </c>
      <c r="J4734" s="81" t="s">
        <v>224</v>
      </c>
      <c r="K4734" s="81" t="str">
        <f>IFERROR(__xludf.DUMMYFUNCTION("IF(OR(D4734="""",G4734=""""),"""",IFERROR(LET(
campo,XLOOKUP(TRIM(G4734),ARRAYFORMULA(TRIM('indice columnas'!$A$2:$A$100)),'indice columnas'!$B$2:$B$100,""""),
col,IFERROR(MATCH(campo,Referencia!$A$1:$AZ$1,0),0),
fila,IFERROR(MATCH(TO_TEXT(D4734),ARRAYFOR"&amp;"MULA(TO_TEXT(Referencia!$A$2:$A6238)),0),0),
IF(OR(campo="""",campo=""-""),""NO APLICA"",
IF(col=0,""REVISAR EQUIVALENCIA"",
IF(fila=0,""SKU NO ENCONTRADO"",
LET(
valor,INDEX(Referencia!$A$2:$AZ6238,fila,col),
IF(TRIM(TO_TEXT(valor))=TRIM(TO_TEXT(I4734)),"&amp;"
""OK"",
""NO COINCIDE. Valor verdadero: ""&amp;IF(valor="""",""[VACÍO]"",TO_TEXT(valor))
)
))))
),""ERROR EN FÓRMULA""))"),"OK")</f>
        <v>OK</v>
      </c>
    </row>
    <row r="4735">
      <c r="A4735" s="83" t="s">
        <v>4899</v>
      </c>
      <c r="B4735" s="83" t="s">
        <v>4900</v>
      </c>
      <c r="C4735" s="81" t="s">
        <v>4621</v>
      </c>
      <c r="D4735" s="83" t="s">
        <v>4405</v>
      </c>
      <c r="E4735" s="81" t="s">
        <v>1753</v>
      </c>
      <c r="F4735" s="81">
        <v>348.0</v>
      </c>
      <c r="G4735" s="81" t="s">
        <v>1</v>
      </c>
      <c r="H4735" s="81" t="s">
        <v>224</v>
      </c>
      <c r="I4735" s="81" t="s">
        <v>49</v>
      </c>
      <c r="J4735" s="81" t="s">
        <v>224</v>
      </c>
      <c r="K4735" s="81" t="str">
        <f>IFERROR(__xludf.DUMMYFUNCTION("IF(OR(D4735="""",G4735=""""),"""",IFERROR(LET(
campo,XLOOKUP(TRIM(G4735),ARRAYFORMULA(TRIM('indice columnas'!$A$2:$A$100)),'indice columnas'!$B$2:$B$100,""""),
col,IFERROR(MATCH(campo,Referencia!$A$1:$AZ$1,0),0),
fila,IFERROR(MATCH(TO_TEXT(D4735),ARRAYFOR"&amp;"MULA(TO_TEXT(Referencia!$A$2:$A6238)),0),0),
IF(OR(campo="""",campo=""-""),""NO APLICA"",
IF(col=0,""REVISAR EQUIVALENCIA"",
IF(fila=0,""SKU NO ENCONTRADO"",
LET(
valor,INDEX(Referencia!$A$2:$AZ6238,fila,col),
IF(TRIM(TO_TEXT(valor))=TRIM(TO_TEXT(I4735)),"&amp;"
""OK"",
""NO COINCIDE. Valor verdadero: ""&amp;IF(valor="""",""[VACÍO]"",TO_TEXT(valor))
)
))))
),""ERROR EN FÓRMULA""))"),"OK")</f>
        <v>OK</v>
      </c>
    </row>
    <row r="4736">
      <c r="A4736" s="83" t="s">
        <v>4899</v>
      </c>
      <c r="B4736" s="83" t="s">
        <v>4900</v>
      </c>
      <c r="C4736" s="81" t="s">
        <v>4621</v>
      </c>
      <c r="D4736" s="83" t="s">
        <v>4407</v>
      </c>
      <c r="E4736" s="81" t="s">
        <v>1762</v>
      </c>
      <c r="F4736" s="81">
        <v>351.0</v>
      </c>
      <c r="G4736" s="81" t="s">
        <v>3</v>
      </c>
      <c r="H4736" s="81" t="s">
        <v>224</v>
      </c>
      <c r="I4736" s="81" t="s">
        <v>920</v>
      </c>
      <c r="J4736" s="81" t="s">
        <v>224</v>
      </c>
      <c r="K4736" s="81" t="str">
        <f>IFERROR(__xludf.DUMMYFUNCTION("IF(OR(D4736="""",G4736=""""),"""",IFERROR(LET(
campo,XLOOKUP(TRIM(G4736),ARRAYFORMULA(TRIM('indice columnas'!$A$2:$A$100)),'indice columnas'!$B$2:$B$100,""""),
col,IFERROR(MATCH(campo,Referencia!$A$1:$AZ$1,0),0),
fila,IFERROR(MATCH(TO_TEXT(D4736),ARRAYFOR"&amp;"MULA(TO_TEXT(Referencia!$A$2:$A6238)),0),0),
IF(OR(campo="""",campo=""-""),""NO APLICA"",
IF(col=0,""REVISAR EQUIVALENCIA"",
IF(fila=0,""SKU NO ENCONTRADO"",
LET(
valor,INDEX(Referencia!$A$2:$AZ6238,fila,col),
IF(TRIM(TO_TEXT(valor))=TRIM(TO_TEXT(I4736)),"&amp;"
""OK"",
""NO COINCIDE. Valor verdadero: ""&amp;IF(valor="""",""[VACÍO]"",TO_TEXT(valor))
)
))))
),""ERROR EN FÓRMULA""))"),"OK")</f>
        <v>OK</v>
      </c>
    </row>
    <row r="4737">
      <c r="A4737" s="83" t="s">
        <v>4899</v>
      </c>
      <c r="B4737" s="83" t="s">
        <v>4900</v>
      </c>
      <c r="C4737" s="81" t="s">
        <v>4621</v>
      </c>
      <c r="D4737" s="83" t="s">
        <v>4407</v>
      </c>
      <c r="E4737" s="81" t="s">
        <v>1762</v>
      </c>
      <c r="F4737" s="81">
        <v>351.0</v>
      </c>
      <c r="G4737" s="81" t="s">
        <v>2</v>
      </c>
      <c r="H4737" s="81" t="s">
        <v>224</v>
      </c>
      <c r="I4737" s="81" t="s">
        <v>919</v>
      </c>
      <c r="J4737" s="81" t="s">
        <v>224</v>
      </c>
      <c r="K4737" s="81" t="str">
        <f>IFERROR(__xludf.DUMMYFUNCTION("IF(OR(D4737="""",G4737=""""),"""",IFERROR(LET(
campo,XLOOKUP(TRIM(G4737),ARRAYFORMULA(TRIM('indice columnas'!$A$2:$A$100)),'indice columnas'!$B$2:$B$100,""""),
col,IFERROR(MATCH(campo,Referencia!$A$1:$AZ$1,0),0),
fila,IFERROR(MATCH(TO_TEXT(D4737),ARRAYFOR"&amp;"MULA(TO_TEXT(Referencia!$A$2:$A6238)),0),0),
IF(OR(campo="""",campo=""-""),""NO APLICA"",
IF(col=0,""REVISAR EQUIVALENCIA"",
IF(fila=0,""SKU NO ENCONTRADO"",
LET(
valor,INDEX(Referencia!$A$2:$AZ6238,fila,col),
IF(TRIM(TO_TEXT(valor))=TRIM(TO_TEXT(I4737)),"&amp;"
""OK"",
""NO COINCIDE. Valor verdadero: ""&amp;IF(valor="""",""[VACÍO]"",TO_TEXT(valor))
)
))))
),""ERROR EN FÓRMULA""))"),"OK")</f>
        <v>OK</v>
      </c>
    </row>
    <row r="4738">
      <c r="A4738" s="83" t="s">
        <v>4899</v>
      </c>
      <c r="B4738" s="83" t="s">
        <v>4900</v>
      </c>
      <c r="C4738" s="81" t="s">
        <v>4621</v>
      </c>
      <c r="D4738" s="83" t="s">
        <v>4407</v>
      </c>
      <c r="E4738" s="81" t="s">
        <v>1762</v>
      </c>
      <c r="F4738" s="81">
        <v>351.0</v>
      </c>
      <c r="G4738" s="81" t="s">
        <v>1</v>
      </c>
      <c r="H4738" s="81" t="s">
        <v>224</v>
      </c>
      <c r="I4738" s="81" t="s">
        <v>49</v>
      </c>
      <c r="J4738" s="81" t="s">
        <v>224</v>
      </c>
      <c r="K4738" s="81" t="str">
        <f>IFERROR(__xludf.DUMMYFUNCTION("IF(OR(D4738="""",G4738=""""),"""",IFERROR(LET(
campo,XLOOKUP(TRIM(G4738),ARRAYFORMULA(TRIM('indice columnas'!$A$2:$A$100)),'indice columnas'!$B$2:$B$100,""""),
col,IFERROR(MATCH(campo,Referencia!$A$1:$AZ$1,0),0),
fila,IFERROR(MATCH(TO_TEXT(D4738),ARRAYFOR"&amp;"MULA(TO_TEXT(Referencia!$A$2:$A6238)),0),0),
IF(OR(campo="""",campo=""-""),""NO APLICA"",
IF(col=0,""REVISAR EQUIVALENCIA"",
IF(fila=0,""SKU NO ENCONTRADO"",
LET(
valor,INDEX(Referencia!$A$2:$AZ6238,fila,col),
IF(TRIM(TO_TEXT(valor))=TRIM(TO_TEXT(I4738)),"&amp;"
""OK"",
""NO COINCIDE. Valor verdadero: ""&amp;IF(valor="""",""[VACÍO]"",TO_TEXT(valor))
)
))))
),""ERROR EN FÓRMULA""))"),"OK")</f>
        <v>OK</v>
      </c>
    </row>
    <row r="4739">
      <c r="A4739" s="83" t="s">
        <v>4899</v>
      </c>
      <c r="B4739" s="83" t="s">
        <v>4900</v>
      </c>
      <c r="C4739" s="81" t="s">
        <v>4621</v>
      </c>
      <c r="D4739" s="83" t="s">
        <v>4410</v>
      </c>
      <c r="E4739" s="81" t="s">
        <v>1772</v>
      </c>
      <c r="F4739" s="81">
        <v>354.0</v>
      </c>
      <c r="G4739" s="81" t="s">
        <v>3</v>
      </c>
      <c r="H4739" s="81" t="s">
        <v>224</v>
      </c>
      <c r="I4739" s="81" t="s">
        <v>926</v>
      </c>
      <c r="J4739" s="81" t="s">
        <v>224</v>
      </c>
      <c r="K4739" s="81" t="str">
        <f>IFERROR(__xludf.DUMMYFUNCTION("IF(OR(D4739="""",G4739=""""),"""",IFERROR(LET(
campo,XLOOKUP(TRIM(G4739),ARRAYFORMULA(TRIM('indice columnas'!$A$2:$A$100)),'indice columnas'!$B$2:$B$100,""""),
col,IFERROR(MATCH(campo,Referencia!$A$1:$AZ$1,0),0),
fila,IFERROR(MATCH(TO_TEXT(D4739),ARRAYFOR"&amp;"MULA(TO_TEXT(Referencia!$A$2:$A6238)),0),0),
IF(OR(campo="""",campo=""-""),""NO APLICA"",
IF(col=0,""REVISAR EQUIVALENCIA"",
IF(fila=0,""SKU NO ENCONTRADO"",
LET(
valor,INDEX(Referencia!$A$2:$AZ6238,fila,col),
IF(TRIM(TO_TEXT(valor))=TRIM(TO_TEXT(I4739)),"&amp;"
""OK"",
""NO COINCIDE. Valor verdadero: ""&amp;IF(valor="""",""[VACÍO]"",TO_TEXT(valor))
)
))))
),""ERROR EN FÓRMULA""))"),"OK")</f>
        <v>OK</v>
      </c>
    </row>
    <row r="4740">
      <c r="A4740" s="83" t="s">
        <v>4899</v>
      </c>
      <c r="B4740" s="83" t="s">
        <v>4900</v>
      </c>
      <c r="C4740" s="81" t="s">
        <v>4621</v>
      </c>
      <c r="D4740" s="83" t="s">
        <v>4410</v>
      </c>
      <c r="E4740" s="81" t="s">
        <v>1772</v>
      </c>
      <c r="F4740" s="81">
        <v>354.0</v>
      </c>
      <c r="G4740" s="81" t="s">
        <v>2</v>
      </c>
      <c r="H4740" s="81" t="s">
        <v>224</v>
      </c>
      <c r="I4740" s="81" t="s">
        <v>1291</v>
      </c>
      <c r="J4740" s="81" t="s">
        <v>224</v>
      </c>
      <c r="K4740" s="81" t="str">
        <f>IFERROR(__xludf.DUMMYFUNCTION("IF(OR(D4740="""",G4740=""""),"""",IFERROR(LET(
campo,XLOOKUP(TRIM(G4740),ARRAYFORMULA(TRIM('indice columnas'!$A$2:$A$100)),'indice columnas'!$B$2:$B$100,""""),
col,IFERROR(MATCH(campo,Referencia!$A$1:$AZ$1,0),0),
fila,IFERROR(MATCH(TO_TEXT(D4740),ARRAYFOR"&amp;"MULA(TO_TEXT(Referencia!$A$2:$A6238)),0),0),
IF(OR(campo="""",campo=""-""),""NO APLICA"",
IF(col=0,""REVISAR EQUIVALENCIA"",
IF(fila=0,""SKU NO ENCONTRADO"",
LET(
valor,INDEX(Referencia!$A$2:$AZ6238,fila,col),
IF(TRIM(TO_TEXT(valor))=TRIM(TO_TEXT(I4740)),"&amp;"
""OK"",
""NO COINCIDE. Valor verdadero: ""&amp;IF(valor="""",""[VACÍO]"",TO_TEXT(valor))
)
))))
),""ERROR EN FÓRMULA""))"),"OK")</f>
        <v>OK</v>
      </c>
    </row>
    <row r="4741">
      <c r="A4741" s="83" t="s">
        <v>4899</v>
      </c>
      <c r="B4741" s="83" t="s">
        <v>4900</v>
      </c>
      <c r="C4741" s="81" t="s">
        <v>4621</v>
      </c>
      <c r="D4741" s="83" t="s">
        <v>4412</v>
      </c>
      <c r="E4741" s="81" t="s">
        <v>1790</v>
      </c>
      <c r="F4741" s="81">
        <v>357.0</v>
      </c>
      <c r="G4741" s="81" t="s">
        <v>3</v>
      </c>
      <c r="H4741" s="81" t="s">
        <v>224</v>
      </c>
      <c r="I4741" s="81" t="s">
        <v>51</v>
      </c>
      <c r="J4741" s="81" t="s">
        <v>224</v>
      </c>
      <c r="K4741" s="81" t="str">
        <f>IFERROR(__xludf.DUMMYFUNCTION("IF(OR(D4741="""",G4741=""""),"""",IFERROR(LET(
campo,XLOOKUP(TRIM(G4741),ARRAYFORMULA(TRIM('indice columnas'!$A$2:$A$100)),'indice columnas'!$B$2:$B$100,""""),
col,IFERROR(MATCH(campo,Referencia!$A$1:$AZ$1,0),0),
fila,IFERROR(MATCH(TO_TEXT(D4741),ARRAYFOR"&amp;"MULA(TO_TEXT(Referencia!$A$2:$A6238)),0),0),
IF(OR(campo="""",campo=""-""),""NO APLICA"",
IF(col=0,""REVISAR EQUIVALENCIA"",
IF(fila=0,""SKU NO ENCONTRADO"",
LET(
valor,INDEX(Referencia!$A$2:$AZ6238,fila,col),
IF(TRIM(TO_TEXT(valor))=TRIM(TO_TEXT(I4741)),"&amp;"
""OK"",
""NO COINCIDE. Valor verdadero: ""&amp;IF(valor="""",""[VACÍO]"",TO_TEXT(valor))
)
))))
),""ERROR EN FÓRMULA""))"),"OK")</f>
        <v>OK</v>
      </c>
    </row>
    <row r="4742">
      <c r="A4742" s="83" t="s">
        <v>4899</v>
      </c>
      <c r="B4742" s="83" t="s">
        <v>4900</v>
      </c>
      <c r="C4742" s="81" t="s">
        <v>4621</v>
      </c>
      <c r="D4742" s="83" t="s">
        <v>4412</v>
      </c>
      <c r="E4742" s="81" t="s">
        <v>1790</v>
      </c>
      <c r="F4742" s="81">
        <v>357.0</v>
      </c>
      <c r="G4742" s="81" t="s">
        <v>2</v>
      </c>
      <c r="H4742" s="81" t="s">
        <v>224</v>
      </c>
      <c r="I4742" s="81" t="s">
        <v>213</v>
      </c>
      <c r="J4742" s="81" t="s">
        <v>224</v>
      </c>
      <c r="K4742" s="81" t="str">
        <f>IFERROR(__xludf.DUMMYFUNCTION("IF(OR(D4742="""",G4742=""""),"""",IFERROR(LET(
campo,XLOOKUP(TRIM(G4742),ARRAYFORMULA(TRIM('indice columnas'!$A$2:$A$100)),'indice columnas'!$B$2:$B$100,""""),
col,IFERROR(MATCH(campo,Referencia!$A$1:$AZ$1,0),0),
fila,IFERROR(MATCH(TO_TEXT(D4742),ARRAYFOR"&amp;"MULA(TO_TEXT(Referencia!$A$2:$A6238)),0),0),
IF(OR(campo="""",campo=""-""),""NO APLICA"",
IF(col=0,""REVISAR EQUIVALENCIA"",
IF(fila=0,""SKU NO ENCONTRADO"",
LET(
valor,INDEX(Referencia!$A$2:$AZ6238,fila,col),
IF(TRIM(TO_TEXT(valor))=TRIM(TO_TEXT(I4742)),"&amp;"
""OK"",
""NO COINCIDE. Valor verdadero: ""&amp;IF(valor="""",""[VACÍO]"",TO_TEXT(valor))
)
))))
),""ERROR EN FÓRMULA""))"),"OK")</f>
        <v>OK</v>
      </c>
    </row>
    <row r="4743">
      <c r="A4743" s="83" t="s">
        <v>4899</v>
      </c>
      <c r="B4743" s="83" t="s">
        <v>4900</v>
      </c>
      <c r="C4743" s="81" t="s">
        <v>4621</v>
      </c>
      <c r="D4743" s="83" t="s">
        <v>4412</v>
      </c>
      <c r="E4743" s="81" t="s">
        <v>1790</v>
      </c>
      <c r="F4743" s="81">
        <v>357.0</v>
      </c>
      <c r="G4743" s="81" t="s">
        <v>1</v>
      </c>
      <c r="H4743" s="81" t="s">
        <v>224</v>
      </c>
      <c r="I4743" s="81" t="s">
        <v>49</v>
      </c>
      <c r="J4743" s="81" t="s">
        <v>224</v>
      </c>
      <c r="K4743" s="81" t="str">
        <f>IFERROR(__xludf.DUMMYFUNCTION("IF(OR(D4743="""",G4743=""""),"""",IFERROR(LET(
campo,XLOOKUP(TRIM(G4743),ARRAYFORMULA(TRIM('indice columnas'!$A$2:$A$100)),'indice columnas'!$B$2:$B$100,""""),
col,IFERROR(MATCH(campo,Referencia!$A$1:$AZ$1,0),0),
fila,IFERROR(MATCH(TO_TEXT(D4743),ARRAYFOR"&amp;"MULA(TO_TEXT(Referencia!$A$2:$A6238)),0),0),
IF(OR(campo="""",campo=""-""),""NO APLICA"",
IF(col=0,""REVISAR EQUIVALENCIA"",
IF(fila=0,""SKU NO ENCONTRADO"",
LET(
valor,INDEX(Referencia!$A$2:$AZ6238,fila,col),
IF(TRIM(TO_TEXT(valor))=TRIM(TO_TEXT(I4743)),"&amp;"
""OK"",
""NO COINCIDE. Valor verdadero: ""&amp;IF(valor="""",""[VACÍO]"",TO_TEXT(valor))
)
))))
),""ERROR EN FÓRMULA""))"),"OK")</f>
        <v>OK</v>
      </c>
    </row>
    <row r="4744">
      <c r="A4744" s="83" t="s">
        <v>4899</v>
      </c>
      <c r="B4744" s="83" t="s">
        <v>4900</v>
      </c>
      <c r="C4744" s="81" t="s">
        <v>4621</v>
      </c>
      <c r="D4744" s="83" t="s">
        <v>4414</v>
      </c>
      <c r="E4744" s="81" t="s">
        <v>1810</v>
      </c>
      <c r="F4744" s="81">
        <v>360.0</v>
      </c>
      <c r="G4744" s="81" t="s">
        <v>3</v>
      </c>
      <c r="H4744" s="81" t="s">
        <v>224</v>
      </c>
      <c r="I4744" s="81" t="s">
        <v>51</v>
      </c>
      <c r="J4744" s="81" t="s">
        <v>224</v>
      </c>
      <c r="K4744" s="81" t="str">
        <f>IFERROR(__xludf.DUMMYFUNCTION("IF(OR(D4744="""",G4744=""""),"""",IFERROR(LET(
campo,XLOOKUP(TRIM(G4744),ARRAYFORMULA(TRIM('indice columnas'!$A$2:$A$100)),'indice columnas'!$B$2:$B$100,""""),
col,IFERROR(MATCH(campo,Referencia!$A$1:$AZ$1,0),0),
fila,IFERROR(MATCH(TO_TEXT(D4744),ARRAYFOR"&amp;"MULA(TO_TEXT(Referencia!$A$2:$A6238)),0),0),
IF(OR(campo="""",campo=""-""),""NO APLICA"",
IF(col=0,""REVISAR EQUIVALENCIA"",
IF(fila=0,""SKU NO ENCONTRADO"",
LET(
valor,INDEX(Referencia!$A$2:$AZ6238,fila,col),
IF(TRIM(TO_TEXT(valor))=TRIM(TO_TEXT(I4744)),"&amp;"
""OK"",
""NO COINCIDE. Valor verdadero: ""&amp;IF(valor="""",""[VACÍO]"",TO_TEXT(valor))
)
))))
),""ERROR EN FÓRMULA""))"),"OK")</f>
        <v>OK</v>
      </c>
    </row>
    <row r="4745">
      <c r="A4745" s="83" t="s">
        <v>4899</v>
      </c>
      <c r="B4745" s="83" t="s">
        <v>4900</v>
      </c>
      <c r="C4745" s="81" t="s">
        <v>4621</v>
      </c>
      <c r="D4745" s="83" t="s">
        <v>4414</v>
      </c>
      <c r="E4745" s="81" t="s">
        <v>1810</v>
      </c>
      <c r="F4745" s="81">
        <v>360.0</v>
      </c>
      <c r="G4745" s="81" t="s">
        <v>2</v>
      </c>
      <c r="H4745" s="81" t="s">
        <v>224</v>
      </c>
      <c r="I4745" s="81" t="s">
        <v>213</v>
      </c>
      <c r="J4745" s="81" t="s">
        <v>224</v>
      </c>
      <c r="K4745" s="81" t="str">
        <f>IFERROR(__xludf.DUMMYFUNCTION("IF(OR(D4745="""",G4745=""""),"""",IFERROR(LET(
campo,XLOOKUP(TRIM(G4745),ARRAYFORMULA(TRIM('indice columnas'!$A$2:$A$100)),'indice columnas'!$B$2:$B$100,""""),
col,IFERROR(MATCH(campo,Referencia!$A$1:$AZ$1,0),0),
fila,IFERROR(MATCH(TO_TEXT(D4745),ARRAYFOR"&amp;"MULA(TO_TEXT(Referencia!$A$2:$A6238)),0),0),
IF(OR(campo="""",campo=""-""),""NO APLICA"",
IF(col=0,""REVISAR EQUIVALENCIA"",
IF(fila=0,""SKU NO ENCONTRADO"",
LET(
valor,INDEX(Referencia!$A$2:$AZ6238,fila,col),
IF(TRIM(TO_TEXT(valor))=TRIM(TO_TEXT(I4745)),"&amp;"
""OK"",
""NO COINCIDE. Valor verdadero: ""&amp;IF(valor="""",""[VACÍO]"",TO_TEXT(valor))
)
))))
),""ERROR EN FÓRMULA""))"),"OK")</f>
        <v>OK</v>
      </c>
    </row>
    <row r="4746">
      <c r="A4746" s="83" t="s">
        <v>4899</v>
      </c>
      <c r="B4746" s="83" t="s">
        <v>4900</v>
      </c>
      <c r="C4746" s="81" t="s">
        <v>4621</v>
      </c>
      <c r="D4746" s="83" t="s">
        <v>4414</v>
      </c>
      <c r="E4746" s="81" t="s">
        <v>1810</v>
      </c>
      <c r="F4746" s="81">
        <v>360.0</v>
      </c>
      <c r="G4746" s="81" t="s">
        <v>1</v>
      </c>
      <c r="H4746" s="81" t="s">
        <v>224</v>
      </c>
      <c r="I4746" s="81" t="s">
        <v>49</v>
      </c>
      <c r="J4746" s="81" t="s">
        <v>224</v>
      </c>
      <c r="K4746" s="81" t="str">
        <f>IFERROR(__xludf.DUMMYFUNCTION("IF(OR(D4746="""",G4746=""""),"""",IFERROR(LET(
campo,XLOOKUP(TRIM(G4746),ARRAYFORMULA(TRIM('indice columnas'!$A$2:$A$100)),'indice columnas'!$B$2:$B$100,""""),
col,IFERROR(MATCH(campo,Referencia!$A$1:$AZ$1,0),0),
fila,IFERROR(MATCH(TO_TEXT(D4746),ARRAYFOR"&amp;"MULA(TO_TEXT(Referencia!$A$2:$A6238)),0),0),
IF(OR(campo="""",campo=""-""),""NO APLICA"",
IF(col=0,""REVISAR EQUIVALENCIA"",
IF(fila=0,""SKU NO ENCONTRADO"",
LET(
valor,INDEX(Referencia!$A$2:$AZ6238,fila,col),
IF(TRIM(TO_TEXT(valor))=TRIM(TO_TEXT(I4746)),"&amp;"
""OK"",
""NO COINCIDE. Valor verdadero: ""&amp;IF(valor="""",""[VACÍO]"",TO_TEXT(valor))
)
))))
),""ERROR EN FÓRMULA""))"),"OK")</f>
        <v>OK</v>
      </c>
    </row>
    <row r="4747">
      <c r="A4747" s="83" t="s">
        <v>4899</v>
      </c>
      <c r="B4747" s="83" t="s">
        <v>4900</v>
      </c>
      <c r="C4747" s="81" t="s">
        <v>4621</v>
      </c>
      <c r="D4747" s="83" t="s">
        <v>4415</v>
      </c>
      <c r="E4747" s="81" t="s">
        <v>1813</v>
      </c>
      <c r="F4747" s="81">
        <v>361.0</v>
      </c>
      <c r="G4747" s="81" t="s">
        <v>3</v>
      </c>
      <c r="H4747" s="81" t="s">
        <v>224</v>
      </c>
      <c r="I4747" s="81" t="s">
        <v>51</v>
      </c>
      <c r="J4747" s="81" t="s">
        <v>224</v>
      </c>
      <c r="K4747" s="81" t="str">
        <f>IFERROR(__xludf.DUMMYFUNCTION("IF(OR(D4747="""",G4747=""""),"""",IFERROR(LET(
campo,XLOOKUP(TRIM(G4747),ARRAYFORMULA(TRIM('indice columnas'!$A$2:$A$100)),'indice columnas'!$B$2:$B$100,""""),
col,IFERROR(MATCH(campo,Referencia!$A$1:$AZ$1,0),0),
fila,IFERROR(MATCH(TO_TEXT(D4747),ARRAYFOR"&amp;"MULA(TO_TEXT(Referencia!$A$2:$A6238)),0),0),
IF(OR(campo="""",campo=""-""),""NO APLICA"",
IF(col=0,""REVISAR EQUIVALENCIA"",
IF(fila=0,""SKU NO ENCONTRADO"",
LET(
valor,INDEX(Referencia!$A$2:$AZ6238,fila,col),
IF(TRIM(TO_TEXT(valor))=TRIM(TO_TEXT(I4747)),"&amp;"
""OK"",
""NO COINCIDE. Valor verdadero: ""&amp;IF(valor="""",""[VACÍO]"",TO_TEXT(valor))
)
))))
),""ERROR EN FÓRMULA""))"),"OK")</f>
        <v>OK</v>
      </c>
    </row>
    <row r="4748">
      <c r="A4748" s="83" t="s">
        <v>4899</v>
      </c>
      <c r="B4748" s="83" t="s">
        <v>4900</v>
      </c>
      <c r="C4748" s="81" t="s">
        <v>4621</v>
      </c>
      <c r="D4748" s="83" t="s">
        <v>4415</v>
      </c>
      <c r="E4748" s="81" t="s">
        <v>1813</v>
      </c>
      <c r="F4748" s="81">
        <v>361.0</v>
      </c>
      <c r="G4748" s="81" t="s">
        <v>2</v>
      </c>
      <c r="H4748" s="81" t="s">
        <v>224</v>
      </c>
      <c r="I4748" s="81" t="s">
        <v>213</v>
      </c>
      <c r="J4748" s="81" t="s">
        <v>224</v>
      </c>
      <c r="K4748" s="81" t="str">
        <f>IFERROR(__xludf.DUMMYFUNCTION("IF(OR(D4748="""",G4748=""""),"""",IFERROR(LET(
campo,XLOOKUP(TRIM(G4748),ARRAYFORMULA(TRIM('indice columnas'!$A$2:$A$100)),'indice columnas'!$B$2:$B$100,""""),
col,IFERROR(MATCH(campo,Referencia!$A$1:$AZ$1,0),0),
fila,IFERROR(MATCH(TO_TEXT(D4748),ARRAYFOR"&amp;"MULA(TO_TEXT(Referencia!$A$2:$A6238)),0),0),
IF(OR(campo="""",campo=""-""),""NO APLICA"",
IF(col=0,""REVISAR EQUIVALENCIA"",
IF(fila=0,""SKU NO ENCONTRADO"",
LET(
valor,INDEX(Referencia!$A$2:$AZ6238,fila,col),
IF(TRIM(TO_TEXT(valor))=TRIM(TO_TEXT(I4748)),"&amp;"
""OK"",
""NO COINCIDE. Valor verdadero: ""&amp;IF(valor="""",""[VACÍO]"",TO_TEXT(valor))
)
))))
),""ERROR EN FÓRMULA""))"),"OK")</f>
        <v>OK</v>
      </c>
    </row>
    <row r="4749">
      <c r="A4749" s="83" t="s">
        <v>4899</v>
      </c>
      <c r="B4749" s="83" t="s">
        <v>4900</v>
      </c>
      <c r="C4749" s="81" t="s">
        <v>4621</v>
      </c>
      <c r="D4749" s="83" t="s">
        <v>4415</v>
      </c>
      <c r="E4749" s="81" t="s">
        <v>1813</v>
      </c>
      <c r="F4749" s="81">
        <v>361.0</v>
      </c>
      <c r="G4749" s="81" t="s">
        <v>1</v>
      </c>
      <c r="H4749" s="81" t="s">
        <v>224</v>
      </c>
      <c r="I4749" s="81" t="s">
        <v>49</v>
      </c>
      <c r="J4749" s="81" t="s">
        <v>224</v>
      </c>
      <c r="K4749" s="81" t="str">
        <f>IFERROR(__xludf.DUMMYFUNCTION("IF(OR(D4749="""",G4749=""""),"""",IFERROR(LET(
campo,XLOOKUP(TRIM(G4749),ARRAYFORMULA(TRIM('indice columnas'!$A$2:$A$100)),'indice columnas'!$B$2:$B$100,""""),
col,IFERROR(MATCH(campo,Referencia!$A$1:$AZ$1,0),0),
fila,IFERROR(MATCH(TO_TEXT(D4749),ARRAYFOR"&amp;"MULA(TO_TEXT(Referencia!$A$2:$A6238)),0),0),
IF(OR(campo="""",campo=""-""),""NO APLICA"",
IF(col=0,""REVISAR EQUIVALENCIA"",
IF(fila=0,""SKU NO ENCONTRADO"",
LET(
valor,INDEX(Referencia!$A$2:$AZ6238,fila,col),
IF(TRIM(TO_TEXT(valor))=TRIM(TO_TEXT(I4749)),"&amp;"
""OK"",
""NO COINCIDE. Valor verdadero: ""&amp;IF(valor="""",""[VACÍO]"",TO_TEXT(valor))
)
))))
),""ERROR EN FÓRMULA""))"),"OK")</f>
        <v>OK</v>
      </c>
    </row>
    <row r="4750">
      <c r="A4750" s="83" t="s">
        <v>4899</v>
      </c>
      <c r="B4750" s="83" t="s">
        <v>4900</v>
      </c>
      <c r="C4750" s="81" t="s">
        <v>4621</v>
      </c>
      <c r="D4750" s="83" t="s">
        <v>4416</v>
      </c>
      <c r="E4750" s="81" t="s">
        <v>1822</v>
      </c>
      <c r="F4750" s="81">
        <v>362.0</v>
      </c>
      <c r="G4750" s="81" t="s">
        <v>3</v>
      </c>
      <c r="H4750" s="81" t="s">
        <v>224</v>
      </c>
      <c r="I4750" s="81" t="s">
        <v>51</v>
      </c>
      <c r="J4750" s="81" t="s">
        <v>224</v>
      </c>
      <c r="K4750" s="81" t="str">
        <f>IFERROR(__xludf.DUMMYFUNCTION("IF(OR(D4750="""",G4750=""""),"""",IFERROR(LET(
campo,XLOOKUP(TRIM(G4750),ARRAYFORMULA(TRIM('indice columnas'!$A$2:$A$100)),'indice columnas'!$B$2:$B$100,""""),
col,IFERROR(MATCH(campo,Referencia!$A$1:$AZ$1,0),0),
fila,IFERROR(MATCH(TO_TEXT(D4750),ARRAYFOR"&amp;"MULA(TO_TEXT(Referencia!$A$2:$A6238)),0),0),
IF(OR(campo="""",campo=""-""),""NO APLICA"",
IF(col=0,""REVISAR EQUIVALENCIA"",
IF(fila=0,""SKU NO ENCONTRADO"",
LET(
valor,INDEX(Referencia!$A$2:$AZ6238,fila,col),
IF(TRIM(TO_TEXT(valor))=TRIM(TO_TEXT(I4750)),"&amp;"
""OK"",
""NO COINCIDE. Valor verdadero: ""&amp;IF(valor="""",""[VACÍO]"",TO_TEXT(valor))
)
))))
),""ERROR EN FÓRMULA""))"),"OK")</f>
        <v>OK</v>
      </c>
    </row>
    <row r="4751">
      <c r="A4751" s="83" t="s">
        <v>4899</v>
      </c>
      <c r="B4751" s="83" t="s">
        <v>4900</v>
      </c>
      <c r="C4751" s="81" t="s">
        <v>4621</v>
      </c>
      <c r="D4751" s="83" t="s">
        <v>4416</v>
      </c>
      <c r="E4751" s="81" t="s">
        <v>1822</v>
      </c>
      <c r="F4751" s="81">
        <v>362.0</v>
      </c>
      <c r="G4751" s="81" t="s">
        <v>2</v>
      </c>
      <c r="H4751" s="81" t="s">
        <v>224</v>
      </c>
      <c r="I4751" s="81" t="s">
        <v>213</v>
      </c>
      <c r="J4751" s="81" t="s">
        <v>224</v>
      </c>
      <c r="K4751" s="81" t="str">
        <f>IFERROR(__xludf.DUMMYFUNCTION("IF(OR(D4751="""",G4751=""""),"""",IFERROR(LET(
campo,XLOOKUP(TRIM(G4751),ARRAYFORMULA(TRIM('indice columnas'!$A$2:$A$100)),'indice columnas'!$B$2:$B$100,""""),
col,IFERROR(MATCH(campo,Referencia!$A$1:$AZ$1,0),0),
fila,IFERROR(MATCH(TO_TEXT(D4751),ARRAYFOR"&amp;"MULA(TO_TEXT(Referencia!$A$2:$A6238)),0),0),
IF(OR(campo="""",campo=""-""),""NO APLICA"",
IF(col=0,""REVISAR EQUIVALENCIA"",
IF(fila=0,""SKU NO ENCONTRADO"",
LET(
valor,INDEX(Referencia!$A$2:$AZ6238,fila,col),
IF(TRIM(TO_TEXT(valor))=TRIM(TO_TEXT(I4751)),"&amp;"
""OK"",
""NO COINCIDE. Valor verdadero: ""&amp;IF(valor="""",""[VACÍO]"",TO_TEXT(valor))
)
))))
),""ERROR EN FÓRMULA""))"),"OK")</f>
        <v>OK</v>
      </c>
    </row>
    <row r="4752">
      <c r="A4752" s="83" t="s">
        <v>4899</v>
      </c>
      <c r="B4752" s="83" t="s">
        <v>4900</v>
      </c>
      <c r="C4752" s="81" t="s">
        <v>4621</v>
      </c>
      <c r="D4752" s="83" t="s">
        <v>4416</v>
      </c>
      <c r="E4752" s="81" t="s">
        <v>1822</v>
      </c>
      <c r="F4752" s="81">
        <v>362.0</v>
      </c>
      <c r="G4752" s="81" t="s">
        <v>1</v>
      </c>
      <c r="H4752" s="81" t="s">
        <v>224</v>
      </c>
      <c r="I4752" s="81" t="s">
        <v>49</v>
      </c>
      <c r="J4752" s="81" t="s">
        <v>224</v>
      </c>
      <c r="K4752" s="81" t="str">
        <f>IFERROR(__xludf.DUMMYFUNCTION("IF(OR(D4752="""",G4752=""""),"""",IFERROR(LET(
campo,XLOOKUP(TRIM(G4752),ARRAYFORMULA(TRIM('indice columnas'!$A$2:$A$100)),'indice columnas'!$B$2:$B$100,""""),
col,IFERROR(MATCH(campo,Referencia!$A$1:$AZ$1,0),0),
fila,IFERROR(MATCH(TO_TEXT(D4752),ARRAYFOR"&amp;"MULA(TO_TEXT(Referencia!$A$2:$A6238)),0),0),
IF(OR(campo="""",campo=""-""),""NO APLICA"",
IF(col=0,""REVISAR EQUIVALENCIA"",
IF(fila=0,""SKU NO ENCONTRADO"",
LET(
valor,INDEX(Referencia!$A$2:$AZ6238,fila,col),
IF(TRIM(TO_TEXT(valor))=TRIM(TO_TEXT(I4752)),"&amp;"
""OK"",
""NO COINCIDE. Valor verdadero: ""&amp;IF(valor="""",""[VACÍO]"",TO_TEXT(valor))
)
))))
),""ERROR EN FÓRMULA""))"),"OK")</f>
        <v>OK</v>
      </c>
    </row>
    <row r="4753">
      <c r="A4753" s="83" t="s">
        <v>4899</v>
      </c>
      <c r="B4753" s="83" t="s">
        <v>4900</v>
      </c>
      <c r="C4753" s="81" t="s">
        <v>4621</v>
      </c>
      <c r="D4753" s="83" t="s">
        <v>4417</v>
      </c>
      <c r="E4753" s="81" t="s">
        <v>1842</v>
      </c>
      <c r="F4753" s="81">
        <v>364.0</v>
      </c>
      <c r="G4753" s="81" t="s">
        <v>2</v>
      </c>
      <c r="H4753" s="81" t="s">
        <v>1827</v>
      </c>
      <c r="I4753" s="81" t="s">
        <v>332</v>
      </c>
      <c r="J4753" s="81" t="s">
        <v>224</v>
      </c>
      <c r="K4753" s="81" t="str">
        <f>IFERROR(__xludf.DUMMYFUNCTION("IF(OR(D4753="""",G4753=""""),"""",IFERROR(LET(
campo,XLOOKUP(TRIM(G4753),ARRAYFORMULA(TRIM('indice columnas'!$A$2:$A$100)),'indice columnas'!$B$2:$B$100,""""),
col,IFERROR(MATCH(campo,Referencia!$A$1:$AZ$1,0),0),
fila,IFERROR(MATCH(TO_TEXT(D4753),ARRAYFOR"&amp;"MULA(TO_TEXT(Referencia!$A$2:$A6238)),0),0),
IF(OR(campo="""",campo=""-""),""NO APLICA"",
IF(col=0,""REVISAR EQUIVALENCIA"",
IF(fila=0,""SKU NO ENCONTRADO"",
LET(
valor,INDEX(Referencia!$A$2:$AZ6238,fila,col),
IF(TRIM(TO_TEXT(valor))=TRIM(TO_TEXT(I4753)),"&amp;"
""OK"",
""NO COINCIDE. Valor verdadero: ""&amp;IF(valor="""",""[VACÍO]"",TO_TEXT(valor))
)
))))
),""ERROR EN FÓRMULA""))"),"OK")</f>
        <v>OK</v>
      </c>
    </row>
    <row r="4754">
      <c r="A4754" s="83" t="s">
        <v>4899</v>
      </c>
      <c r="B4754" s="83" t="s">
        <v>4900</v>
      </c>
      <c r="C4754" s="81" t="s">
        <v>4621</v>
      </c>
      <c r="D4754" s="83" t="s">
        <v>4419</v>
      </c>
      <c r="E4754" s="81" t="s">
        <v>1843</v>
      </c>
      <c r="F4754" s="81">
        <v>365.0</v>
      </c>
      <c r="G4754" s="81" t="s">
        <v>3</v>
      </c>
      <c r="H4754" s="81" t="s">
        <v>224</v>
      </c>
      <c r="I4754" s="81" t="s">
        <v>1595</v>
      </c>
      <c r="J4754" s="81" t="s">
        <v>224</v>
      </c>
      <c r="K4754" s="81" t="str">
        <f>IFERROR(__xludf.DUMMYFUNCTION("IF(OR(D4754="""",G4754=""""),"""",IFERROR(LET(
campo,XLOOKUP(TRIM(G4754),ARRAYFORMULA(TRIM('indice columnas'!$A$2:$A$100)),'indice columnas'!$B$2:$B$100,""""),
col,IFERROR(MATCH(campo,Referencia!$A$1:$AZ$1,0),0),
fila,IFERROR(MATCH(TO_TEXT(D4754),ARRAYFOR"&amp;"MULA(TO_TEXT(Referencia!$A$2:$A6238)),0),0),
IF(OR(campo="""",campo=""-""),""NO APLICA"",
IF(col=0,""REVISAR EQUIVALENCIA"",
IF(fila=0,""SKU NO ENCONTRADO"",
LET(
valor,INDEX(Referencia!$A$2:$AZ6238,fila,col),
IF(TRIM(TO_TEXT(valor))=TRIM(TO_TEXT(I4754)),"&amp;"
""OK"",
""NO COINCIDE. Valor verdadero: ""&amp;IF(valor="""",""[VACÍO]"",TO_TEXT(valor))
)
))))
),""ERROR EN FÓRMULA""))"),"OK")</f>
        <v>OK</v>
      </c>
    </row>
    <row r="4755">
      <c r="A4755" s="83" t="s">
        <v>4899</v>
      </c>
      <c r="B4755" s="83" t="s">
        <v>4900</v>
      </c>
      <c r="C4755" s="81" t="s">
        <v>4621</v>
      </c>
      <c r="D4755" s="83" t="s">
        <v>4419</v>
      </c>
      <c r="E4755" s="81" t="s">
        <v>1843</v>
      </c>
      <c r="F4755" s="81">
        <v>365.0</v>
      </c>
      <c r="G4755" s="81" t="s">
        <v>2</v>
      </c>
      <c r="H4755" s="81" t="s">
        <v>224</v>
      </c>
      <c r="I4755" s="81" t="s">
        <v>332</v>
      </c>
      <c r="J4755" s="81" t="s">
        <v>224</v>
      </c>
      <c r="K4755" s="81" t="str">
        <f>IFERROR(__xludf.DUMMYFUNCTION("IF(OR(D4755="""",G4755=""""),"""",IFERROR(LET(
campo,XLOOKUP(TRIM(G4755),ARRAYFORMULA(TRIM('indice columnas'!$A$2:$A$100)),'indice columnas'!$B$2:$B$100,""""),
col,IFERROR(MATCH(campo,Referencia!$A$1:$AZ$1,0),0),
fila,IFERROR(MATCH(TO_TEXT(D4755),ARRAYFOR"&amp;"MULA(TO_TEXT(Referencia!$A$2:$A6238)),0),0),
IF(OR(campo="""",campo=""-""),""NO APLICA"",
IF(col=0,""REVISAR EQUIVALENCIA"",
IF(fila=0,""SKU NO ENCONTRADO"",
LET(
valor,INDEX(Referencia!$A$2:$AZ6238,fila,col),
IF(TRIM(TO_TEXT(valor))=TRIM(TO_TEXT(I4755)),"&amp;"
""OK"",
""NO COINCIDE. Valor verdadero: ""&amp;IF(valor="""",""[VACÍO]"",TO_TEXT(valor))
)
))))
),""ERROR EN FÓRMULA""))"),"OK")</f>
        <v>OK</v>
      </c>
    </row>
    <row r="4756">
      <c r="A4756" s="83" t="s">
        <v>4899</v>
      </c>
      <c r="B4756" s="83" t="s">
        <v>4900</v>
      </c>
      <c r="C4756" s="81" t="s">
        <v>4621</v>
      </c>
      <c r="D4756" s="83" t="s">
        <v>4420</v>
      </c>
      <c r="E4756" s="81" t="s">
        <v>1844</v>
      </c>
      <c r="F4756" s="81">
        <v>366.0</v>
      </c>
      <c r="G4756" s="81" t="s">
        <v>3</v>
      </c>
      <c r="H4756" s="81" t="s">
        <v>224</v>
      </c>
      <c r="I4756" s="81" t="s">
        <v>1595</v>
      </c>
      <c r="J4756" s="81" t="s">
        <v>224</v>
      </c>
      <c r="K4756" s="81" t="str">
        <f>IFERROR(__xludf.DUMMYFUNCTION("IF(OR(D4756="""",G4756=""""),"""",IFERROR(LET(
campo,XLOOKUP(TRIM(G4756),ARRAYFORMULA(TRIM('indice columnas'!$A$2:$A$100)),'indice columnas'!$B$2:$B$100,""""),
col,IFERROR(MATCH(campo,Referencia!$A$1:$AZ$1,0),0),
fila,IFERROR(MATCH(TO_TEXT(D4756),ARRAYFOR"&amp;"MULA(TO_TEXT(Referencia!$A$2:$A6238)),0),0),
IF(OR(campo="""",campo=""-""),""NO APLICA"",
IF(col=0,""REVISAR EQUIVALENCIA"",
IF(fila=0,""SKU NO ENCONTRADO"",
LET(
valor,INDEX(Referencia!$A$2:$AZ6238,fila,col),
IF(TRIM(TO_TEXT(valor))=TRIM(TO_TEXT(I4756)),"&amp;"
""OK"",
""NO COINCIDE. Valor verdadero: ""&amp;IF(valor="""",""[VACÍO]"",TO_TEXT(valor))
)
))))
),""ERROR EN FÓRMULA""))"),"OK")</f>
        <v>OK</v>
      </c>
    </row>
    <row r="4757">
      <c r="A4757" s="83" t="s">
        <v>4899</v>
      </c>
      <c r="B4757" s="83" t="s">
        <v>4900</v>
      </c>
      <c r="C4757" s="81" t="s">
        <v>4621</v>
      </c>
      <c r="D4757" s="83" t="s">
        <v>4420</v>
      </c>
      <c r="E4757" s="81" t="s">
        <v>1844</v>
      </c>
      <c r="F4757" s="81">
        <v>366.0</v>
      </c>
      <c r="G4757" s="81" t="s">
        <v>2</v>
      </c>
      <c r="H4757" s="81" t="s">
        <v>224</v>
      </c>
      <c r="I4757" s="81" t="s">
        <v>332</v>
      </c>
      <c r="J4757" s="81" t="s">
        <v>224</v>
      </c>
      <c r="K4757" s="81" t="str">
        <f>IFERROR(__xludf.DUMMYFUNCTION("IF(OR(D4757="""",G4757=""""),"""",IFERROR(LET(
campo,XLOOKUP(TRIM(G4757),ARRAYFORMULA(TRIM('indice columnas'!$A$2:$A$100)),'indice columnas'!$B$2:$B$100,""""),
col,IFERROR(MATCH(campo,Referencia!$A$1:$AZ$1,0),0),
fila,IFERROR(MATCH(TO_TEXT(D4757),ARRAYFOR"&amp;"MULA(TO_TEXT(Referencia!$A$2:$A6238)),0),0),
IF(OR(campo="""",campo=""-""),""NO APLICA"",
IF(col=0,""REVISAR EQUIVALENCIA"",
IF(fila=0,""SKU NO ENCONTRADO"",
LET(
valor,INDEX(Referencia!$A$2:$AZ6238,fila,col),
IF(TRIM(TO_TEXT(valor))=TRIM(TO_TEXT(I4757)),"&amp;"
""OK"",
""NO COINCIDE. Valor verdadero: ""&amp;IF(valor="""",""[VACÍO]"",TO_TEXT(valor))
)
))))
),""ERROR EN FÓRMULA""))"),"OK")</f>
        <v>OK</v>
      </c>
    </row>
    <row r="4758">
      <c r="A4758" s="83" t="s">
        <v>4899</v>
      </c>
      <c r="B4758" s="83" t="s">
        <v>4900</v>
      </c>
      <c r="C4758" s="81" t="s">
        <v>4621</v>
      </c>
      <c r="D4758" s="83" t="s">
        <v>4421</v>
      </c>
      <c r="E4758" s="81" t="s">
        <v>1848</v>
      </c>
      <c r="F4758" s="81">
        <v>367.0</v>
      </c>
      <c r="G4758" s="81" t="s">
        <v>3</v>
      </c>
      <c r="H4758" s="81" t="s">
        <v>224</v>
      </c>
      <c r="I4758" s="81" t="s">
        <v>1595</v>
      </c>
      <c r="J4758" s="81" t="s">
        <v>224</v>
      </c>
      <c r="K4758" s="81" t="str">
        <f>IFERROR(__xludf.DUMMYFUNCTION("IF(OR(D4758="""",G4758=""""),"""",IFERROR(LET(
campo,XLOOKUP(TRIM(G4758),ARRAYFORMULA(TRIM('indice columnas'!$A$2:$A$100)),'indice columnas'!$B$2:$B$100,""""),
col,IFERROR(MATCH(campo,Referencia!$A$1:$AZ$1,0),0),
fila,IFERROR(MATCH(TO_TEXT(D4758),ARRAYFOR"&amp;"MULA(TO_TEXT(Referencia!$A$2:$A6238)),0),0),
IF(OR(campo="""",campo=""-""),""NO APLICA"",
IF(col=0,""REVISAR EQUIVALENCIA"",
IF(fila=0,""SKU NO ENCONTRADO"",
LET(
valor,INDEX(Referencia!$A$2:$AZ6238,fila,col),
IF(TRIM(TO_TEXT(valor))=TRIM(TO_TEXT(I4758)),"&amp;"
""OK"",
""NO COINCIDE. Valor verdadero: ""&amp;IF(valor="""",""[VACÍO]"",TO_TEXT(valor))
)
))))
),""ERROR EN FÓRMULA""))"),"OK")</f>
        <v>OK</v>
      </c>
    </row>
    <row r="4759">
      <c r="A4759" s="83" t="s">
        <v>4899</v>
      </c>
      <c r="B4759" s="83" t="s">
        <v>4900</v>
      </c>
      <c r="C4759" s="81" t="s">
        <v>4621</v>
      </c>
      <c r="D4759" s="83" t="s">
        <v>4421</v>
      </c>
      <c r="E4759" s="81" t="s">
        <v>1848</v>
      </c>
      <c r="F4759" s="81">
        <v>367.0</v>
      </c>
      <c r="G4759" s="81" t="s">
        <v>2</v>
      </c>
      <c r="H4759" s="81" t="s">
        <v>224</v>
      </c>
      <c r="I4759" s="81" t="s">
        <v>332</v>
      </c>
      <c r="J4759" s="81" t="s">
        <v>224</v>
      </c>
      <c r="K4759" s="81" t="str">
        <f>IFERROR(__xludf.DUMMYFUNCTION("IF(OR(D4759="""",G4759=""""),"""",IFERROR(LET(
campo,XLOOKUP(TRIM(G4759),ARRAYFORMULA(TRIM('indice columnas'!$A$2:$A$100)),'indice columnas'!$B$2:$B$100,""""),
col,IFERROR(MATCH(campo,Referencia!$A$1:$AZ$1,0),0),
fila,IFERROR(MATCH(TO_TEXT(D4759),ARRAYFOR"&amp;"MULA(TO_TEXT(Referencia!$A$2:$A6238)),0),0),
IF(OR(campo="""",campo=""-""),""NO APLICA"",
IF(col=0,""REVISAR EQUIVALENCIA"",
IF(fila=0,""SKU NO ENCONTRADO"",
LET(
valor,INDEX(Referencia!$A$2:$AZ6238,fila,col),
IF(TRIM(TO_TEXT(valor))=TRIM(TO_TEXT(I4759)),"&amp;"
""OK"",
""NO COINCIDE. Valor verdadero: ""&amp;IF(valor="""",""[VACÍO]"",TO_TEXT(valor))
)
))))
),""ERROR EN FÓRMULA""))"),"OK")</f>
        <v>OK</v>
      </c>
    </row>
    <row r="4760">
      <c r="A4760" s="83" t="s">
        <v>4899</v>
      </c>
      <c r="B4760" s="83" t="s">
        <v>4900</v>
      </c>
      <c r="C4760" s="81" t="s">
        <v>4621</v>
      </c>
      <c r="D4760" s="83" t="s">
        <v>4422</v>
      </c>
      <c r="E4760" s="81" t="s">
        <v>1849</v>
      </c>
      <c r="F4760" s="81">
        <v>368.0</v>
      </c>
      <c r="G4760" s="81" t="s">
        <v>3</v>
      </c>
      <c r="H4760" s="81" t="s">
        <v>224</v>
      </c>
      <c r="I4760" s="81" t="s">
        <v>1595</v>
      </c>
      <c r="J4760" s="81" t="s">
        <v>224</v>
      </c>
      <c r="K4760" s="81" t="str">
        <f>IFERROR(__xludf.DUMMYFUNCTION("IF(OR(D4760="""",G4760=""""),"""",IFERROR(LET(
campo,XLOOKUP(TRIM(G4760),ARRAYFORMULA(TRIM('indice columnas'!$A$2:$A$100)),'indice columnas'!$B$2:$B$100,""""),
col,IFERROR(MATCH(campo,Referencia!$A$1:$AZ$1,0),0),
fila,IFERROR(MATCH(TO_TEXT(D4760),ARRAYFOR"&amp;"MULA(TO_TEXT(Referencia!$A$2:$A6238)),0),0),
IF(OR(campo="""",campo=""-""),""NO APLICA"",
IF(col=0,""REVISAR EQUIVALENCIA"",
IF(fila=0,""SKU NO ENCONTRADO"",
LET(
valor,INDEX(Referencia!$A$2:$AZ6238,fila,col),
IF(TRIM(TO_TEXT(valor))=TRIM(TO_TEXT(I4760)),"&amp;"
""OK"",
""NO COINCIDE. Valor verdadero: ""&amp;IF(valor="""",""[VACÍO]"",TO_TEXT(valor))
)
))))
),""ERROR EN FÓRMULA""))"),"OK")</f>
        <v>OK</v>
      </c>
    </row>
    <row r="4761">
      <c r="A4761" s="83" t="s">
        <v>4899</v>
      </c>
      <c r="B4761" s="83" t="s">
        <v>4900</v>
      </c>
      <c r="C4761" s="81" t="s">
        <v>4621</v>
      </c>
      <c r="D4761" s="83" t="s">
        <v>4422</v>
      </c>
      <c r="E4761" s="81" t="s">
        <v>1849</v>
      </c>
      <c r="F4761" s="81">
        <v>368.0</v>
      </c>
      <c r="G4761" s="81" t="s">
        <v>2</v>
      </c>
      <c r="H4761" s="81" t="s">
        <v>224</v>
      </c>
      <c r="I4761" s="81" t="s">
        <v>332</v>
      </c>
      <c r="J4761" s="81" t="s">
        <v>224</v>
      </c>
      <c r="K4761" s="81" t="str">
        <f>IFERROR(__xludf.DUMMYFUNCTION("IF(OR(D4761="""",G4761=""""),"""",IFERROR(LET(
campo,XLOOKUP(TRIM(G4761),ARRAYFORMULA(TRIM('indice columnas'!$A$2:$A$100)),'indice columnas'!$B$2:$B$100,""""),
col,IFERROR(MATCH(campo,Referencia!$A$1:$AZ$1,0),0),
fila,IFERROR(MATCH(TO_TEXT(D4761),ARRAYFOR"&amp;"MULA(TO_TEXT(Referencia!$A$2:$A6238)),0),0),
IF(OR(campo="""",campo=""-""),""NO APLICA"",
IF(col=0,""REVISAR EQUIVALENCIA"",
IF(fila=0,""SKU NO ENCONTRADO"",
LET(
valor,INDEX(Referencia!$A$2:$AZ6238,fila,col),
IF(TRIM(TO_TEXT(valor))=TRIM(TO_TEXT(I4761)),"&amp;"
""OK"",
""NO COINCIDE. Valor verdadero: ""&amp;IF(valor="""",""[VACÍO]"",TO_TEXT(valor))
)
))))
),""ERROR EN FÓRMULA""))"),"OK")</f>
        <v>OK</v>
      </c>
    </row>
    <row r="4762">
      <c r="A4762" s="83" t="s">
        <v>4899</v>
      </c>
      <c r="B4762" s="83" t="s">
        <v>4900</v>
      </c>
      <c r="C4762" s="81" t="s">
        <v>4621</v>
      </c>
      <c r="D4762" s="83" t="s">
        <v>4423</v>
      </c>
      <c r="E4762" s="81" t="s">
        <v>1860</v>
      </c>
      <c r="F4762" s="81">
        <v>369.0</v>
      </c>
      <c r="G4762" s="81" t="s">
        <v>3</v>
      </c>
      <c r="H4762" s="81" t="s">
        <v>224</v>
      </c>
      <c r="I4762" s="81" t="s">
        <v>1595</v>
      </c>
      <c r="J4762" s="81" t="s">
        <v>224</v>
      </c>
      <c r="K4762" s="81" t="str">
        <f>IFERROR(__xludf.DUMMYFUNCTION("IF(OR(D4762="""",G4762=""""),"""",IFERROR(LET(
campo,XLOOKUP(TRIM(G4762),ARRAYFORMULA(TRIM('indice columnas'!$A$2:$A$100)),'indice columnas'!$B$2:$B$100,""""),
col,IFERROR(MATCH(campo,Referencia!$A$1:$AZ$1,0),0),
fila,IFERROR(MATCH(TO_TEXT(D4762),ARRAYFOR"&amp;"MULA(TO_TEXT(Referencia!$A$2:$A6238)),0),0),
IF(OR(campo="""",campo=""-""),""NO APLICA"",
IF(col=0,""REVISAR EQUIVALENCIA"",
IF(fila=0,""SKU NO ENCONTRADO"",
LET(
valor,INDEX(Referencia!$A$2:$AZ6238,fila,col),
IF(TRIM(TO_TEXT(valor))=TRIM(TO_TEXT(I4762)),"&amp;"
""OK"",
""NO COINCIDE. Valor verdadero: ""&amp;IF(valor="""",""[VACÍO]"",TO_TEXT(valor))
)
))))
),""ERROR EN FÓRMULA""))"),"OK")</f>
        <v>OK</v>
      </c>
    </row>
    <row r="4763">
      <c r="A4763" s="83" t="s">
        <v>4899</v>
      </c>
      <c r="B4763" s="83" t="s">
        <v>4900</v>
      </c>
      <c r="C4763" s="81" t="s">
        <v>4621</v>
      </c>
      <c r="D4763" s="83" t="s">
        <v>4423</v>
      </c>
      <c r="E4763" s="81" t="s">
        <v>1860</v>
      </c>
      <c r="F4763" s="81">
        <v>369.0</v>
      </c>
      <c r="G4763" s="81" t="s">
        <v>2</v>
      </c>
      <c r="H4763" s="81" t="s">
        <v>224</v>
      </c>
      <c r="I4763" s="81" t="s">
        <v>332</v>
      </c>
      <c r="J4763" s="81" t="s">
        <v>224</v>
      </c>
      <c r="K4763" s="81" t="str">
        <f>IFERROR(__xludf.DUMMYFUNCTION("IF(OR(D4763="""",G4763=""""),"""",IFERROR(LET(
campo,XLOOKUP(TRIM(G4763),ARRAYFORMULA(TRIM('indice columnas'!$A$2:$A$100)),'indice columnas'!$B$2:$B$100,""""),
col,IFERROR(MATCH(campo,Referencia!$A$1:$AZ$1,0),0),
fila,IFERROR(MATCH(TO_TEXT(D4763),ARRAYFOR"&amp;"MULA(TO_TEXT(Referencia!$A$2:$A6238)),0),0),
IF(OR(campo="""",campo=""-""),""NO APLICA"",
IF(col=0,""REVISAR EQUIVALENCIA"",
IF(fila=0,""SKU NO ENCONTRADO"",
LET(
valor,INDEX(Referencia!$A$2:$AZ6238,fila,col),
IF(TRIM(TO_TEXT(valor))=TRIM(TO_TEXT(I4763)),"&amp;"
""OK"",
""NO COINCIDE. Valor verdadero: ""&amp;IF(valor="""",""[VACÍO]"",TO_TEXT(valor))
)
))))
),""ERROR EN FÓRMULA""))"),"OK")</f>
        <v>OK</v>
      </c>
    </row>
    <row r="4764">
      <c r="A4764" s="83" t="s">
        <v>4899</v>
      </c>
      <c r="B4764" s="83" t="s">
        <v>4900</v>
      </c>
      <c r="C4764" s="81" t="s">
        <v>4621</v>
      </c>
      <c r="D4764" s="83" t="s">
        <v>4424</v>
      </c>
      <c r="E4764" s="81" t="s">
        <v>1861</v>
      </c>
      <c r="F4764" s="81">
        <v>370.0</v>
      </c>
      <c r="G4764" s="81" t="s">
        <v>3</v>
      </c>
      <c r="H4764" s="81" t="s">
        <v>224</v>
      </c>
      <c r="I4764" s="81" t="s">
        <v>1595</v>
      </c>
      <c r="J4764" s="81" t="s">
        <v>224</v>
      </c>
      <c r="K4764" s="81" t="str">
        <f>IFERROR(__xludf.DUMMYFUNCTION("IF(OR(D4764="""",G4764=""""),"""",IFERROR(LET(
campo,XLOOKUP(TRIM(G4764),ARRAYFORMULA(TRIM('indice columnas'!$A$2:$A$100)),'indice columnas'!$B$2:$B$100,""""),
col,IFERROR(MATCH(campo,Referencia!$A$1:$AZ$1,0),0),
fila,IFERROR(MATCH(TO_TEXT(D4764),ARRAYFOR"&amp;"MULA(TO_TEXT(Referencia!$A$2:$A6238)),0),0),
IF(OR(campo="""",campo=""-""),""NO APLICA"",
IF(col=0,""REVISAR EQUIVALENCIA"",
IF(fila=0,""SKU NO ENCONTRADO"",
LET(
valor,INDEX(Referencia!$A$2:$AZ6238,fila,col),
IF(TRIM(TO_TEXT(valor))=TRIM(TO_TEXT(I4764)),"&amp;"
""OK"",
""NO COINCIDE. Valor verdadero: ""&amp;IF(valor="""",""[VACÍO]"",TO_TEXT(valor))
)
))))
),""ERROR EN FÓRMULA""))"),"OK")</f>
        <v>OK</v>
      </c>
    </row>
    <row r="4765">
      <c r="A4765" s="83" t="s">
        <v>4899</v>
      </c>
      <c r="B4765" s="83" t="s">
        <v>4900</v>
      </c>
      <c r="C4765" s="81" t="s">
        <v>4621</v>
      </c>
      <c r="D4765" s="83" t="s">
        <v>4424</v>
      </c>
      <c r="E4765" s="81" t="s">
        <v>1861</v>
      </c>
      <c r="F4765" s="81">
        <v>370.0</v>
      </c>
      <c r="G4765" s="81" t="s">
        <v>2</v>
      </c>
      <c r="H4765" s="81" t="s">
        <v>224</v>
      </c>
      <c r="I4765" s="81" t="s">
        <v>332</v>
      </c>
      <c r="J4765" s="81" t="s">
        <v>224</v>
      </c>
      <c r="K4765" s="81" t="str">
        <f>IFERROR(__xludf.DUMMYFUNCTION("IF(OR(D4765="""",G4765=""""),"""",IFERROR(LET(
campo,XLOOKUP(TRIM(G4765),ARRAYFORMULA(TRIM('indice columnas'!$A$2:$A$100)),'indice columnas'!$B$2:$B$100,""""),
col,IFERROR(MATCH(campo,Referencia!$A$1:$AZ$1,0),0),
fila,IFERROR(MATCH(TO_TEXT(D4765),ARRAYFOR"&amp;"MULA(TO_TEXT(Referencia!$A$2:$A6238)),0),0),
IF(OR(campo="""",campo=""-""),""NO APLICA"",
IF(col=0,""REVISAR EQUIVALENCIA"",
IF(fila=0,""SKU NO ENCONTRADO"",
LET(
valor,INDEX(Referencia!$A$2:$AZ6238,fila,col),
IF(TRIM(TO_TEXT(valor))=TRIM(TO_TEXT(I4765)),"&amp;"
""OK"",
""NO COINCIDE. Valor verdadero: ""&amp;IF(valor="""",""[VACÍO]"",TO_TEXT(valor))
)
))))
),""ERROR EN FÓRMULA""))"),"OK")</f>
        <v>OK</v>
      </c>
    </row>
    <row r="4766">
      <c r="A4766" s="83" t="s">
        <v>4899</v>
      </c>
      <c r="B4766" s="83" t="s">
        <v>4900</v>
      </c>
      <c r="C4766" s="81" t="s">
        <v>4621</v>
      </c>
      <c r="D4766" s="83" t="s">
        <v>4425</v>
      </c>
      <c r="E4766" s="81" t="s">
        <v>1863</v>
      </c>
      <c r="F4766" s="81">
        <v>371.0</v>
      </c>
      <c r="G4766" s="81" t="s">
        <v>3</v>
      </c>
      <c r="H4766" s="81" t="s">
        <v>224</v>
      </c>
      <c r="I4766" s="81" t="s">
        <v>1595</v>
      </c>
      <c r="J4766" s="81" t="s">
        <v>224</v>
      </c>
      <c r="K4766" s="81" t="str">
        <f>IFERROR(__xludf.DUMMYFUNCTION("IF(OR(D4766="""",G4766=""""),"""",IFERROR(LET(
campo,XLOOKUP(TRIM(G4766),ARRAYFORMULA(TRIM('indice columnas'!$A$2:$A$100)),'indice columnas'!$B$2:$B$100,""""),
col,IFERROR(MATCH(campo,Referencia!$A$1:$AZ$1,0),0),
fila,IFERROR(MATCH(TO_TEXT(D4766),ARRAYFOR"&amp;"MULA(TO_TEXT(Referencia!$A$2:$A6238)),0),0),
IF(OR(campo="""",campo=""-""),""NO APLICA"",
IF(col=0,""REVISAR EQUIVALENCIA"",
IF(fila=0,""SKU NO ENCONTRADO"",
LET(
valor,INDEX(Referencia!$A$2:$AZ6238,fila,col),
IF(TRIM(TO_TEXT(valor))=TRIM(TO_TEXT(I4766)),"&amp;"
""OK"",
""NO COINCIDE. Valor verdadero: ""&amp;IF(valor="""",""[VACÍO]"",TO_TEXT(valor))
)
))))
),""ERROR EN FÓRMULA""))"),"OK")</f>
        <v>OK</v>
      </c>
    </row>
    <row r="4767">
      <c r="A4767" s="83" t="s">
        <v>4899</v>
      </c>
      <c r="B4767" s="83" t="s">
        <v>4900</v>
      </c>
      <c r="C4767" s="81" t="s">
        <v>4621</v>
      </c>
      <c r="D4767" s="83" t="s">
        <v>4425</v>
      </c>
      <c r="E4767" s="81" t="s">
        <v>1863</v>
      </c>
      <c r="F4767" s="81">
        <v>371.0</v>
      </c>
      <c r="G4767" s="81" t="s">
        <v>2</v>
      </c>
      <c r="H4767" s="81" t="s">
        <v>224</v>
      </c>
      <c r="I4767" s="81" t="s">
        <v>332</v>
      </c>
      <c r="J4767" s="81" t="s">
        <v>224</v>
      </c>
      <c r="K4767" s="81" t="str">
        <f>IFERROR(__xludf.DUMMYFUNCTION("IF(OR(D4767="""",G4767=""""),"""",IFERROR(LET(
campo,XLOOKUP(TRIM(G4767),ARRAYFORMULA(TRIM('indice columnas'!$A$2:$A$100)),'indice columnas'!$B$2:$B$100,""""),
col,IFERROR(MATCH(campo,Referencia!$A$1:$AZ$1,0),0),
fila,IFERROR(MATCH(TO_TEXT(D4767),ARRAYFOR"&amp;"MULA(TO_TEXT(Referencia!$A$2:$A6238)),0),0),
IF(OR(campo="""",campo=""-""),""NO APLICA"",
IF(col=0,""REVISAR EQUIVALENCIA"",
IF(fila=0,""SKU NO ENCONTRADO"",
LET(
valor,INDEX(Referencia!$A$2:$AZ6238,fila,col),
IF(TRIM(TO_TEXT(valor))=TRIM(TO_TEXT(I4767)),"&amp;"
""OK"",
""NO COINCIDE. Valor verdadero: ""&amp;IF(valor="""",""[VACÍO]"",TO_TEXT(valor))
)
))))
),""ERROR EN FÓRMULA""))"),"OK")</f>
        <v>OK</v>
      </c>
    </row>
    <row r="4768">
      <c r="A4768" s="83" t="s">
        <v>4899</v>
      </c>
      <c r="B4768" s="83" t="s">
        <v>4900</v>
      </c>
      <c r="C4768" s="81" t="s">
        <v>4621</v>
      </c>
      <c r="D4768" s="83" t="s">
        <v>4426</v>
      </c>
      <c r="E4768" s="81" t="s">
        <v>1864</v>
      </c>
      <c r="F4768" s="81">
        <v>372.0</v>
      </c>
      <c r="G4768" s="81" t="s">
        <v>3</v>
      </c>
      <c r="H4768" s="81" t="s">
        <v>224</v>
      </c>
      <c r="I4768" s="81" t="s">
        <v>1595</v>
      </c>
      <c r="J4768" s="81" t="s">
        <v>224</v>
      </c>
      <c r="K4768" s="81" t="str">
        <f>IFERROR(__xludf.DUMMYFUNCTION("IF(OR(D4768="""",G4768=""""),"""",IFERROR(LET(
campo,XLOOKUP(TRIM(G4768),ARRAYFORMULA(TRIM('indice columnas'!$A$2:$A$100)),'indice columnas'!$B$2:$B$100,""""),
col,IFERROR(MATCH(campo,Referencia!$A$1:$AZ$1,0),0),
fila,IFERROR(MATCH(TO_TEXT(D4768),ARRAYFOR"&amp;"MULA(TO_TEXT(Referencia!$A$2:$A6238)),0),0),
IF(OR(campo="""",campo=""-""),""NO APLICA"",
IF(col=0,""REVISAR EQUIVALENCIA"",
IF(fila=0,""SKU NO ENCONTRADO"",
LET(
valor,INDEX(Referencia!$A$2:$AZ6238,fila,col),
IF(TRIM(TO_TEXT(valor))=TRIM(TO_TEXT(I4768)),"&amp;"
""OK"",
""NO COINCIDE. Valor verdadero: ""&amp;IF(valor="""",""[VACÍO]"",TO_TEXT(valor))
)
))))
),""ERROR EN FÓRMULA""))"),"OK")</f>
        <v>OK</v>
      </c>
    </row>
    <row r="4769">
      <c r="A4769" s="83" t="s">
        <v>4899</v>
      </c>
      <c r="B4769" s="83" t="s">
        <v>4900</v>
      </c>
      <c r="C4769" s="81" t="s">
        <v>4621</v>
      </c>
      <c r="D4769" s="83" t="s">
        <v>4426</v>
      </c>
      <c r="E4769" s="81" t="s">
        <v>1864</v>
      </c>
      <c r="F4769" s="81">
        <v>372.0</v>
      </c>
      <c r="G4769" s="81" t="s">
        <v>2</v>
      </c>
      <c r="H4769" s="81" t="s">
        <v>224</v>
      </c>
      <c r="I4769" s="81" t="s">
        <v>332</v>
      </c>
      <c r="J4769" s="81" t="s">
        <v>224</v>
      </c>
      <c r="K4769" s="81" t="str">
        <f>IFERROR(__xludf.DUMMYFUNCTION("IF(OR(D4769="""",G4769=""""),"""",IFERROR(LET(
campo,XLOOKUP(TRIM(G4769),ARRAYFORMULA(TRIM('indice columnas'!$A$2:$A$100)),'indice columnas'!$B$2:$B$100,""""),
col,IFERROR(MATCH(campo,Referencia!$A$1:$AZ$1,0),0),
fila,IFERROR(MATCH(TO_TEXT(D4769),ARRAYFOR"&amp;"MULA(TO_TEXT(Referencia!$A$2:$A6238)),0),0),
IF(OR(campo="""",campo=""-""),""NO APLICA"",
IF(col=0,""REVISAR EQUIVALENCIA"",
IF(fila=0,""SKU NO ENCONTRADO"",
LET(
valor,INDEX(Referencia!$A$2:$AZ6238,fila,col),
IF(TRIM(TO_TEXT(valor))=TRIM(TO_TEXT(I4769)),"&amp;"
""OK"",
""NO COINCIDE. Valor verdadero: ""&amp;IF(valor="""",""[VACÍO]"",TO_TEXT(valor))
)
))))
),""ERROR EN FÓRMULA""))"),"OK")</f>
        <v>OK</v>
      </c>
    </row>
    <row r="4770">
      <c r="A4770" s="83" t="s">
        <v>4899</v>
      </c>
      <c r="B4770" s="83" t="s">
        <v>4900</v>
      </c>
      <c r="C4770" s="81" t="s">
        <v>4621</v>
      </c>
      <c r="D4770" s="83" t="s">
        <v>4428</v>
      </c>
      <c r="E4770" s="81" t="s">
        <v>1886</v>
      </c>
      <c r="F4770" s="81">
        <v>374.0</v>
      </c>
      <c r="G4770" s="81" t="s">
        <v>2</v>
      </c>
      <c r="H4770" s="81" t="s">
        <v>1827</v>
      </c>
      <c r="I4770" s="81" t="s">
        <v>332</v>
      </c>
      <c r="J4770" s="81" t="s">
        <v>224</v>
      </c>
      <c r="K4770" s="81" t="str">
        <f>IFERROR(__xludf.DUMMYFUNCTION("IF(OR(D4770="""",G4770=""""),"""",IFERROR(LET(
campo,XLOOKUP(TRIM(G4770),ARRAYFORMULA(TRIM('indice columnas'!$A$2:$A$100)),'indice columnas'!$B$2:$B$100,""""),
col,IFERROR(MATCH(campo,Referencia!$A$1:$AZ$1,0),0),
fila,IFERROR(MATCH(TO_TEXT(D4770),ARRAYFOR"&amp;"MULA(TO_TEXT(Referencia!$A$2:$A6238)),0),0),
IF(OR(campo="""",campo=""-""),""NO APLICA"",
IF(col=0,""REVISAR EQUIVALENCIA"",
IF(fila=0,""SKU NO ENCONTRADO"",
LET(
valor,INDEX(Referencia!$A$2:$AZ6238,fila,col),
IF(TRIM(TO_TEXT(valor))=TRIM(TO_TEXT(I4770)),"&amp;"
""OK"",
""NO COINCIDE. Valor verdadero: ""&amp;IF(valor="""",""[VACÍO]"",TO_TEXT(valor))
)
))))
),""ERROR EN FÓRMULA""))"),"OK")</f>
        <v>OK</v>
      </c>
    </row>
    <row r="4771">
      <c r="A4771" s="83" t="s">
        <v>4899</v>
      </c>
      <c r="B4771" s="83" t="s">
        <v>4900</v>
      </c>
      <c r="C4771" s="81" t="s">
        <v>4621</v>
      </c>
      <c r="D4771" s="83" t="s">
        <v>4432</v>
      </c>
      <c r="E4771" s="81" t="s">
        <v>1935</v>
      </c>
      <c r="F4771" s="81">
        <v>380.0</v>
      </c>
      <c r="G4771" s="81" t="s">
        <v>3</v>
      </c>
      <c r="H4771" s="81" t="s">
        <v>376</v>
      </c>
      <c r="I4771" s="81" t="s">
        <v>344</v>
      </c>
      <c r="J4771" s="81" t="s">
        <v>224</v>
      </c>
      <c r="K4771" s="81" t="str">
        <f>IFERROR(__xludf.DUMMYFUNCTION("IF(OR(D4771="""",G4771=""""),"""",IFERROR(LET(
campo,XLOOKUP(TRIM(G4771),ARRAYFORMULA(TRIM('indice columnas'!$A$2:$A$100)),'indice columnas'!$B$2:$B$100,""""),
col,IFERROR(MATCH(campo,Referencia!$A$1:$AZ$1,0),0),
fila,IFERROR(MATCH(TO_TEXT(D4771),ARRAYFOR"&amp;"MULA(TO_TEXT(Referencia!$A$2:$A6238)),0),0),
IF(OR(campo="""",campo=""-""),""NO APLICA"",
IF(col=0,""REVISAR EQUIVALENCIA"",
IF(fila=0,""SKU NO ENCONTRADO"",
LET(
valor,INDEX(Referencia!$A$2:$AZ6238,fila,col),
IF(TRIM(TO_TEXT(valor))=TRIM(TO_TEXT(I4771)),"&amp;"
""OK"",
""NO COINCIDE. Valor verdadero: ""&amp;IF(valor="""",""[VACÍO]"",TO_TEXT(valor))
)
))))
),""ERROR EN FÓRMULA""))"),"OK")</f>
        <v>OK</v>
      </c>
    </row>
    <row r="4772">
      <c r="A4772" s="83" t="s">
        <v>4899</v>
      </c>
      <c r="B4772" s="83" t="s">
        <v>4900</v>
      </c>
      <c r="C4772" s="81" t="s">
        <v>4621</v>
      </c>
      <c r="D4772" s="83" t="s">
        <v>4433</v>
      </c>
      <c r="E4772" s="81" t="s">
        <v>1963</v>
      </c>
      <c r="F4772" s="81">
        <v>382.0</v>
      </c>
      <c r="G4772" s="81" t="s">
        <v>3</v>
      </c>
      <c r="H4772" s="81" t="s">
        <v>376</v>
      </c>
      <c r="I4772" s="81" t="s">
        <v>344</v>
      </c>
      <c r="J4772" s="81" t="s">
        <v>224</v>
      </c>
      <c r="K4772" s="81" t="str">
        <f>IFERROR(__xludf.DUMMYFUNCTION("IF(OR(D4772="""",G4772=""""),"""",IFERROR(LET(
campo,XLOOKUP(TRIM(G4772),ARRAYFORMULA(TRIM('indice columnas'!$A$2:$A$100)),'indice columnas'!$B$2:$B$100,""""),
col,IFERROR(MATCH(campo,Referencia!$A$1:$AZ$1,0),0),
fila,IFERROR(MATCH(TO_TEXT(D4772),ARRAYFOR"&amp;"MULA(TO_TEXT(Referencia!$A$2:$A6238)),0),0),
IF(OR(campo="""",campo=""-""),""NO APLICA"",
IF(col=0,""REVISAR EQUIVALENCIA"",
IF(fila=0,""SKU NO ENCONTRADO"",
LET(
valor,INDEX(Referencia!$A$2:$AZ6238,fila,col),
IF(TRIM(TO_TEXT(valor))=TRIM(TO_TEXT(I4772)),"&amp;"
""OK"",
""NO COINCIDE. Valor verdadero: ""&amp;IF(valor="""",""[VACÍO]"",TO_TEXT(valor))
)
))))
),""ERROR EN FÓRMULA""))"),"OK")</f>
        <v>OK</v>
      </c>
    </row>
    <row r="4773">
      <c r="A4773" s="83" t="s">
        <v>4899</v>
      </c>
      <c r="B4773" s="83" t="s">
        <v>4900</v>
      </c>
      <c r="C4773" s="81" t="s">
        <v>4621</v>
      </c>
      <c r="D4773" s="83" t="s">
        <v>4434</v>
      </c>
      <c r="E4773" s="81" t="s">
        <v>1964</v>
      </c>
      <c r="F4773" s="81">
        <v>384.0</v>
      </c>
      <c r="G4773" s="81" t="s">
        <v>3</v>
      </c>
      <c r="H4773" s="81" t="s">
        <v>376</v>
      </c>
      <c r="I4773" s="81" t="s">
        <v>344</v>
      </c>
      <c r="J4773" s="81" t="s">
        <v>224</v>
      </c>
      <c r="K4773" s="81" t="str">
        <f>IFERROR(__xludf.DUMMYFUNCTION("IF(OR(D4773="""",G4773=""""),"""",IFERROR(LET(
campo,XLOOKUP(TRIM(G4773),ARRAYFORMULA(TRIM('indice columnas'!$A$2:$A$100)),'indice columnas'!$B$2:$B$100,""""),
col,IFERROR(MATCH(campo,Referencia!$A$1:$AZ$1,0),0),
fila,IFERROR(MATCH(TO_TEXT(D4773),ARRAYFOR"&amp;"MULA(TO_TEXT(Referencia!$A$2:$A6238)),0),0),
IF(OR(campo="""",campo=""-""),""NO APLICA"",
IF(col=0,""REVISAR EQUIVALENCIA"",
IF(fila=0,""SKU NO ENCONTRADO"",
LET(
valor,INDEX(Referencia!$A$2:$AZ6238,fila,col),
IF(TRIM(TO_TEXT(valor))=TRIM(TO_TEXT(I4773)),"&amp;"
""OK"",
""NO COINCIDE. Valor verdadero: ""&amp;IF(valor="""",""[VACÍO]"",TO_TEXT(valor))
)
))))
),""ERROR EN FÓRMULA""))"),"OK")</f>
        <v>OK</v>
      </c>
    </row>
    <row r="4774">
      <c r="A4774" s="83" t="s">
        <v>4899</v>
      </c>
      <c r="B4774" s="83" t="s">
        <v>4900</v>
      </c>
      <c r="C4774" s="81" t="s">
        <v>4621</v>
      </c>
      <c r="D4774" s="83" t="s">
        <v>4434</v>
      </c>
      <c r="E4774" s="81" t="s">
        <v>1964</v>
      </c>
      <c r="F4774" s="81">
        <v>384.0</v>
      </c>
      <c r="G4774" s="81" t="s">
        <v>1</v>
      </c>
      <c r="H4774" s="81" t="s">
        <v>224</v>
      </c>
      <c r="I4774" s="81" t="s">
        <v>49</v>
      </c>
      <c r="J4774" s="81" t="s">
        <v>224</v>
      </c>
      <c r="K4774" s="81" t="str">
        <f>IFERROR(__xludf.DUMMYFUNCTION("IF(OR(D4774="""",G4774=""""),"""",IFERROR(LET(
campo,XLOOKUP(TRIM(G4774),ARRAYFORMULA(TRIM('indice columnas'!$A$2:$A$100)),'indice columnas'!$B$2:$B$100,""""),
col,IFERROR(MATCH(campo,Referencia!$A$1:$AZ$1,0),0),
fila,IFERROR(MATCH(TO_TEXT(D4774),ARRAYFOR"&amp;"MULA(TO_TEXT(Referencia!$A$2:$A6238)),0),0),
IF(OR(campo="""",campo=""-""),""NO APLICA"",
IF(col=0,""REVISAR EQUIVALENCIA"",
IF(fila=0,""SKU NO ENCONTRADO"",
LET(
valor,INDEX(Referencia!$A$2:$AZ6238,fila,col),
IF(TRIM(TO_TEXT(valor))=TRIM(TO_TEXT(I4774)),"&amp;"
""OK"",
""NO COINCIDE. Valor verdadero: ""&amp;IF(valor="""",""[VACÍO]"",TO_TEXT(valor))
)
))))
),""ERROR EN FÓRMULA""))"),"OK")</f>
        <v>OK</v>
      </c>
    </row>
    <row r="4775">
      <c r="A4775" s="83" t="s">
        <v>4899</v>
      </c>
      <c r="B4775" s="83" t="s">
        <v>4900</v>
      </c>
      <c r="C4775" s="81" t="s">
        <v>4621</v>
      </c>
      <c r="D4775" s="83" t="s">
        <v>4437</v>
      </c>
      <c r="E4775" s="81" t="s">
        <v>2001</v>
      </c>
      <c r="F4775" s="81">
        <v>389.0</v>
      </c>
      <c r="G4775" s="81" t="s">
        <v>2</v>
      </c>
      <c r="H4775" s="81" t="s">
        <v>1827</v>
      </c>
      <c r="I4775" s="81" t="s">
        <v>332</v>
      </c>
      <c r="J4775" s="81" t="s">
        <v>224</v>
      </c>
      <c r="K4775" s="81" t="str">
        <f>IFERROR(__xludf.DUMMYFUNCTION("IF(OR(D4775="""",G4775=""""),"""",IFERROR(LET(
campo,XLOOKUP(TRIM(G4775),ARRAYFORMULA(TRIM('indice columnas'!$A$2:$A$100)),'indice columnas'!$B$2:$B$100,""""),
col,IFERROR(MATCH(campo,Referencia!$A$1:$AZ$1,0),0),
fila,IFERROR(MATCH(TO_TEXT(D4775),ARRAYFOR"&amp;"MULA(TO_TEXT(Referencia!$A$2:$A6238)),0),0),
IF(OR(campo="""",campo=""-""),""NO APLICA"",
IF(col=0,""REVISAR EQUIVALENCIA"",
IF(fila=0,""SKU NO ENCONTRADO"",
LET(
valor,INDEX(Referencia!$A$2:$AZ6238,fila,col),
IF(TRIM(TO_TEXT(valor))=TRIM(TO_TEXT(I4775)),"&amp;"
""OK"",
""NO COINCIDE. Valor verdadero: ""&amp;IF(valor="""",""[VACÍO]"",TO_TEXT(valor))
)
))))
),""ERROR EN FÓRMULA""))"),"OK")</f>
        <v>OK</v>
      </c>
    </row>
    <row r="4776">
      <c r="A4776" s="83" t="s">
        <v>4899</v>
      </c>
      <c r="B4776" s="83" t="s">
        <v>4900</v>
      </c>
      <c r="C4776" s="81" t="s">
        <v>4621</v>
      </c>
      <c r="D4776" s="83" t="s">
        <v>4438</v>
      </c>
      <c r="E4776" s="81" t="s">
        <v>2002</v>
      </c>
      <c r="F4776" s="81">
        <v>390.0</v>
      </c>
      <c r="G4776" s="81" t="s">
        <v>2</v>
      </c>
      <c r="H4776" s="81" t="s">
        <v>1827</v>
      </c>
      <c r="I4776" s="81" t="s">
        <v>332</v>
      </c>
      <c r="J4776" s="81" t="s">
        <v>224</v>
      </c>
      <c r="K4776" s="81" t="str">
        <f>IFERROR(__xludf.DUMMYFUNCTION("IF(OR(D4776="""",G4776=""""),"""",IFERROR(LET(
campo,XLOOKUP(TRIM(G4776),ARRAYFORMULA(TRIM('indice columnas'!$A$2:$A$100)),'indice columnas'!$B$2:$B$100,""""),
col,IFERROR(MATCH(campo,Referencia!$A$1:$AZ$1,0),0),
fila,IFERROR(MATCH(TO_TEXT(D4776),ARRAYFOR"&amp;"MULA(TO_TEXT(Referencia!$A$2:$A6238)),0),0),
IF(OR(campo="""",campo=""-""),""NO APLICA"",
IF(col=0,""REVISAR EQUIVALENCIA"",
IF(fila=0,""SKU NO ENCONTRADO"",
LET(
valor,INDEX(Referencia!$A$2:$AZ6238,fila,col),
IF(TRIM(TO_TEXT(valor))=TRIM(TO_TEXT(I4776)),"&amp;"
""OK"",
""NO COINCIDE. Valor verdadero: ""&amp;IF(valor="""",""[VACÍO]"",TO_TEXT(valor))
)
))))
),""ERROR EN FÓRMULA""))"),"OK")</f>
        <v>OK</v>
      </c>
    </row>
    <row r="4777">
      <c r="A4777" s="83" t="s">
        <v>4899</v>
      </c>
      <c r="B4777" s="83" t="s">
        <v>4900</v>
      </c>
      <c r="C4777" s="81" t="s">
        <v>4621</v>
      </c>
      <c r="D4777" s="83" t="s">
        <v>4442</v>
      </c>
      <c r="E4777" s="81" t="s">
        <v>2022</v>
      </c>
      <c r="F4777" s="81">
        <v>393.0</v>
      </c>
      <c r="G4777" s="81" t="s">
        <v>3</v>
      </c>
      <c r="H4777" s="81" t="s">
        <v>224</v>
      </c>
      <c r="I4777" s="81" t="s">
        <v>214</v>
      </c>
      <c r="J4777" s="81" t="s">
        <v>224</v>
      </c>
      <c r="K4777" s="81" t="str">
        <f>IFERROR(__xludf.DUMMYFUNCTION("IF(OR(D4777="""",G4777=""""),"""",IFERROR(LET(
campo,XLOOKUP(TRIM(G4777),ARRAYFORMULA(TRIM('indice columnas'!$A$2:$A$100)),'indice columnas'!$B$2:$B$100,""""),
col,IFERROR(MATCH(campo,Referencia!$A$1:$AZ$1,0),0),
fila,IFERROR(MATCH(TO_TEXT(D4777),ARRAYFOR"&amp;"MULA(TO_TEXT(Referencia!$A$2:$A6238)),0),0),
IF(OR(campo="""",campo=""-""),""NO APLICA"",
IF(col=0,""REVISAR EQUIVALENCIA"",
IF(fila=0,""SKU NO ENCONTRADO"",
LET(
valor,INDEX(Referencia!$A$2:$AZ6238,fila,col),
IF(TRIM(TO_TEXT(valor))=TRIM(TO_TEXT(I4777)),"&amp;"
""OK"",
""NO COINCIDE. Valor verdadero: ""&amp;IF(valor="""",""[VACÍO]"",TO_TEXT(valor))
)
))))
),""ERROR EN FÓRMULA""))"),"OK")</f>
        <v>OK</v>
      </c>
    </row>
    <row r="4778">
      <c r="A4778" s="83" t="s">
        <v>4899</v>
      </c>
      <c r="B4778" s="83" t="s">
        <v>4900</v>
      </c>
      <c r="C4778" s="81" t="s">
        <v>4621</v>
      </c>
      <c r="D4778" s="83" t="s">
        <v>4442</v>
      </c>
      <c r="E4778" s="81" t="s">
        <v>2022</v>
      </c>
      <c r="F4778" s="81">
        <v>393.0</v>
      </c>
      <c r="G4778" s="81" t="s">
        <v>2</v>
      </c>
      <c r="H4778" s="81" t="s">
        <v>224</v>
      </c>
      <c r="I4778" s="81" t="s">
        <v>213</v>
      </c>
      <c r="J4778" s="81" t="s">
        <v>224</v>
      </c>
      <c r="K4778" s="81" t="str">
        <f>IFERROR(__xludf.DUMMYFUNCTION("IF(OR(D4778="""",G4778=""""),"""",IFERROR(LET(
campo,XLOOKUP(TRIM(G4778),ARRAYFORMULA(TRIM('indice columnas'!$A$2:$A$100)),'indice columnas'!$B$2:$B$100,""""),
col,IFERROR(MATCH(campo,Referencia!$A$1:$AZ$1,0),0),
fila,IFERROR(MATCH(TO_TEXT(D4778),ARRAYFOR"&amp;"MULA(TO_TEXT(Referencia!$A$2:$A6238)),0),0),
IF(OR(campo="""",campo=""-""),""NO APLICA"",
IF(col=0,""REVISAR EQUIVALENCIA"",
IF(fila=0,""SKU NO ENCONTRADO"",
LET(
valor,INDEX(Referencia!$A$2:$AZ6238,fila,col),
IF(TRIM(TO_TEXT(valor))=TRIM(TO_TEXT(I4778)),"&amp;"
""OK"",
""NO COINCIDE. Valor verdadero: ""&amp;IF(valor="""",""[VACÍO]"",TO_TEXT(valor))
)
))))
),""ERROR EN FÓRMULA""))"),"OK")</f>
        <v>OK</v>
      </c>
    </row>
    <row r="4779">
      <c r="A4779" s="83" t="s">
        <v>4899</v>
      </c>
      <c r="B4779" s="83" t="s">
        <v>4900</v>
      </c>
      <c r="C4779" s="81" t="s">
        <v>4621</v>
      </c>
      <c r="D4779" s="83" t="s">
        <v>4449</v>
      </c>
      <c r="E4779" s="81" t="s">
        <v>2059</v>
      </c>
      <c r="F4779" s="81">
        <v>398.0</v>
      </c>
      <c r="G4779" s="81" t="s">
        <v>3</v>
      </c>
      <c r="H4779" s="81" t="s">
        <v>224</v>
      </c>
      <c r="I4779" s="81" t="s">
        <v>51</v>
      </c>
      <c r="J4779" s="81" t="s">
        <v>224</v>
      </c>
      <c r="K4779" s="81" t="str">
        <f>IFERROR(__xludf.DUMMYFUNCTION("IF(OR(D4779="""",G4779=""""),"""",IFERROR(LET(
campo,XLOOKUP(TRIM(G4779),ARRAYFORMULA(TRIM('indice columnas'!$A$2:$A$100)),'indice columnas'!$B$2:$B$100,""""),
col,IFERROR(MATCH(campo,Referencia!$A$1:$AZ$1,0),0),
fila,IFERROR(MATCH(TO_TEXT(D4779),ARRAYFOR"&amp;"MULA(TO_TEXT(Referencia!$A$2:$A6238)),0),0),
IF(OR(campo="""",campo=""-""),""NO APLICA"",
IF(col=0,""REVISAR EQUIVALENCIA"",
IF(fila=0,""SKU NO ENCONTRADO"",
LET(
valor,INDEX(Referencia!$A$2:$AZ6238,fila,col),
IF(TRIM(TO_TEXT(valor))=TRIM(TO_TEXT(I4779)),"&amp;"
""OK"",
""NO COINCIDE. Valor verdadero: ""&amp;IF(valor="""",""[VACÍO]"",TO_TEXT(valor))
)
))))
),""ERROR EN FÓRMULA""))"),"OK")</f>
        <v>OK</v>
      </c>
    </row>
    <row r="4780">
      <c r="A4780" s="83" t="s">
        <v>4899</v>
      </c>
      <c r="B4780" s="83" t="s">
        <v>4900</v>
      </c>
      <c r="C4780" s="81" t="s">
        <v>4621</v>
      </c>
      <c r="D4780" s="83" t="s">
        <v>4449</v>
      </c>
      <c r="E4780" s="81" t="s">
        <v>2059</v>
      </c>
      <c r="F4780" s="81">
        <v>398.0</v>
      </c>
      <c r="G4780" s="81" t="s">
        <v>2</v>
      </c>
      <c r="H4780" s="81" t="s">
        <v>224</v>
      </c>
      <c r="I4780" s="81" t="s">
        <v>213</v>
      </c>
      <c r="J4780" s="81" t="s">
        <v>224</v>
      </c>
      <c r="K4780" s="81" t="str">
        <f>IFERROR(__xludf.DUMMYFUNCTION("IF(OR(D4780="""",G4780=""""),"""",IFERROR(LET(
campo,XLOOKUP(TRIM(G4780),ARRAYFORMULA(TRIM('indice columnas'!$A$2:$A$100)),'indice columnas'!$B$2:$B$100,""""),
col,IFERROR(MATCH(campo,Referencia!$A$1:$AZ$1,0),0),
fila,IFERROR(MATCH(TO_TEXT(D4780),ARRAYFOR"&amp;"MULA(TO_TEXT(Referencia!$A$2:$A6238)),0),0),
IF(OR(campo="""",campo=""-""),""NO APLICA"",
IF(col=0,""REVISAR EQUIVALENCIA"",
IF(fila=0,""SKU NO ENCONTRADO"",
LET(
valor,INDEX(Referencia!$A$2:$AZ6238,fila,col),
IF(TRIM(TO_TEXT(valor))=TRIM(TO_TEXT(I4780)),"&amp;"
""OK"",
""NO COINCIDE. Valor verdadero: ""&amp;IF(valor="""",""[VACÍO]"",TO_TEXT(valor))
)
))))
),""ERROR EN FÓRMULA""))"),"OK")</f>
        <v>OK</v>
      </c>
    </row>
    <row r="4781">
      <c r="A4781" s="83" t="s">
        <v>4899</v>
      </c>
      <c r="B4781" s="83" t="s">
        <v>4900</v>
      </c>
      <c r="C4781" s="81" t="s">
        <v>4621</v>
      </c>
      <c r="D4781" s="83" t="s">
        <v>4449</v>
      </c>
      <c r="E4781" s="81" t="s">
        <v>2059</v>
      </c>
      <c r="F4781" s="81">
        <v>398.0</v>
      </c>
      <c r="G4781" s="81" t="s">
        <v>1</v>
      </c>
      <c r="H4781" s="81" t="s">
        <v>224</v>
      </c>
      <c r="I4781" s="81" t="s">
        <v>49</v>
      </c>
      <c r="J4781" s="81" t="s">
        <v>224</v>
      </c>
      <c r="K4781" s="81" t="str">
        <f>IFERROR(__xludf.DUMMYFUNCTION("IF(OR(D4781="""",G4781=""""),"""",IFERROR(LET(
campo,XLOOKUP(TRIM(G4781),ARRAYFORMULA(TRIM('indice columnas'!$A$2:$A$100)),'indice columnas'!$B$2:$B$100,""""),
col,IFERROR(MATCH(campo,Referencia!$A$1:$AZ$1,0),0),
fila,IFERROR(MATCH(TO_TEXT(D4781),ARRAYFOR"&amp;"MULA(TO_TEXT(Referencia!$A$2:$A6238)),0),0),
IF(OR(campo="""",campo=""-""),""NO APLICA"",
IF(col=0,""REVISAR EQUIVALENCIA"",
IF(fila=0,""SKU NO ENCONTRADO"",
LET(
valor,INDEX(Referencia!$A$2:$AZ6238,fila,col),
IF(TRIM(TO_TEXT(valor))=TRIM(TO_TEXT(I4781)),"&amp;"
""OK"",
""NO COINCIDE. Valor verdadero: ""&amp;IF(valor="""",""[VACÍO]"",TO_TEXT(valor))
)
))))
),""ERROR EN FÓRMULA""))"),"OK")</f>
        <v>OK</v>
      </c>
    </row>
    <row r="4782">
      <c r="A4782" s="83" t="s">
        <v>4899</v>
      </c>
      <c r="B4782" s="83" t="s">
        <v>4900</v>
      </c>
      <c r="C4782" s="81" t="s">
        <v>4621</v>
      </c>
      <c r="D4782" s="83" t="s">
        <v>4454</v>
      </c>
      <c r="E4782" s="81" t="s">
        <v>2099</v>
      </c>
      <c r="F4782" s="81">
        <v>403.0</v>
      </c>
      <c r="G4782" s="81" t="s">
        <v>3</v>
      </c>
      <c r="H4782" s="81" t="s">
        <v>224</v>
      </c>
      <c r="I4782" s="81" t="s">
        <v>51</v>
      </c>
      <c r="J4782" s="81" t="s">
        <v>224</v>
      </c>
      <c r="K4782" s="81" t="str">
        <f>IFERROR(__xludf.DUMMYFUNCTION("IF(OR(D4782="""",G4782=""""),"""",IFERROR(LET(
campo,XLOOKUP(TRIM(G4782),ARRAYFORMULA(TRIM('indice columnas'!$A$2:$A$100)),'indice columnas'!$B$2:$B$100,""""),
col,IFERROR(MATCH(campo,Referencia!$A$1:$AZ$1,0),0),
fila,IFERROR(MATCH(TO_TEXT(D4782),ARRAYFOR"&amp;"MULA(TO_TEXT(Referencia!$A$2:$A6238)),0),0),
IF(OR(campo="""",campo=""-""),""NO APLICA"",
IF(col=0,""REVISAR EQUIVALENCIA"",
IF(fila=0,""SKU NO ENCONTRADO"",
LET(
valor,INDEX(Referencia!$A$2:$AZ6238,fila,col),
IF(TRIM(TO_TEXT(valor))=TRIM(TO_TEXT(I4782)),"&amp;"
""OK"",
""NO COINCIDE. Valor verdadero: ""&amp;IF(valor="""",""[VACÍO]"",TO_TEXT(valor))
)
))))
),""ERROR EN FÓRMULA""))"),"OK")</f>
        <v>OK</v>
      </c>
    </row>
    <row r="4783">
      <c r="A4783" s="83" t="s">
        <v>4899</v>
      </c>
      <c r="B4783" s="83" t="s">
        <v>4900</v>
      </c>
      <c r="C4783" s="81" t="s">
        <v>4621</v>
      </c>
      <c r="D4783" s="83" t="s">
        <v>4454</v>
      </c>
      <c r="E4783" s="81" t="s">
        <v>2099</v>
      </c>
      <c r="F4783" s="81">
        <v>403.0</v>
      </c>
      <c r="G4783" s="81" t="s">
        <v>2</v>
      </c>
      <c r="H4783" s="81" t="s">
        <v>224</v>
      </c>
      <c r="I4783" s="81" t="s">
        <v>213</v>
      </c>
      <c r="J4783" s="81" t="s">
        <v>224</v>
      </c>
      <c r="K4783" s="81" t="str">
        <f>IFERROR(__xludf.DUMMYFUNCTION("IF(OR(D4783="""",G4783=""""),"""",IFERROR(LET(
campo,XLOOKUP(TRIM(G4783),ARRAYFORMULA(TRIM('indice columnas'!$A$2:$A$100)),'indice columnas'!$B$2:$B$100,""""),
col,IFERROR(MATCH(campo,Referencia!$A$1:$AZ$1,0),0),
fila,IFERROR(MATCH(TO_TEXT(D4783),ARRAYFOR"&amp;"MULA(TO_TEXT(Referencia!$A$2:$A6238)),0),0),
IF(OR(campo="""",campo=""-""),""NO APLICA"",
IF(col=0,""REVISAR EQUIVALENCIA"",
IF(fila=0,""SKU NO ENCONTRADO"",
LET(
valor,INDEX(Referencia!$A$2:$AZ6238,fila,col),
IF(TRIM(TO_TEXT(valor))=TRIM(TO_TEXT(I4783)),"&amp;"
""OK"",
""NO COINCIDE. Valor verdadero: ""&amp;IF(valor="""",""[VACÍO]"",TO_TEXT(valor))
)
))))
),""ERROR EN FÓRMULA""))"),"OK")</f>
        <v>OK</v>
      </c>
    </row>
    <row r="4784">
      <c r="A4784" s="83" t="s">
        <v>4899</v>
      </c>
      <c r="B4784" s="83" t="s">
        <v>4900</v>
      </c>
      <c r="C4784" s="81" t="s">
        <v>4621</v>
      </c>
      <c r="D4784" s="83" t="s">
        <v>4454</v>
      </c>
      <c r="E4784" s="81" t="s">
        <v>2099</v>
      </c>
      <c r="F4784" s="81">
        <v>403.0</v>
      </c>
      <c r="G4784" s="81" t="s">
        <v>1</v>
      </c>
      <c r="H4784" s="81" t="s">
        <v>224</v>
      </c>
      <c r="I4784" s="81" t="s">
        <v>49</v>
      </c>
      <c r="J4784" s="81" t="s">
        <v>224</v>
      </c>
      <c r="K4784" s="81" t="str">
        <f>IFERROR(__xludf.DUMMYFUNCTION("IF(OR(D4784="""",G4784=""""),"""",IFERROR(LET(
campo,XLOOKUP(TRIM(G4784),ARRAYFORMULA(TRIM('indice columnas'!$A$2:$A$100)),'indice columnas'!$B$2:$B$100,""""),
col,IFERROR(MATCH(campo,Referencia!$A$1:$AZ$1,0),0),
fila,IFERROR(MATCH(TO_TEXT(D4784),ARRAYFOR"&amp;"MULA(TO_TEXT(Referencia!$A$2:$A6238)),0),0),
IF(OR(campo="""",campo=""-""),""NO APLICA"",
IF(col=0,""REVISAR EQUIVALENCIA"",
IF(fila=0,""SKU NO ENCONTRADO"",
LET(
valor,INDEX(Referencia!$A$2:$AZ6238,fila,col),
IF(TRIM(TO_TEXT(valor))=TRIM(TO_TEXT(I4784)),"&amp;"
""OK"",
""NO COINCIDE. Valor verdadero: ""&amp;IF(valor="""",""[VACÍO]"",TO_TEXT(valor))
)
))))
),""ERROR EN FÓRMULA""))"),"OK")</f>
        <v>OK</v>
      </c>
    </row>
    <row r="4785">
      <c r="A4785" s="83" t="s">
        <v>4899</v>
      </c>
      <c r="B4785" s="83" t="s">
        <v>4900</v>
      </c>
      <c r="C4785" s="81" t="s">
        <v>4621</v>
      </c>
      <c r="D4785" s="83" t="s">
        <v>4455</v>
      </c>
      <c r="E4785" s="81" t="s">
        <v>2102</v>
      </c>
      <c r="F4785" s="81">
        <v>404.0</v>
      </c>
      <c r="G4785" s="81" t="s">
        <v>3</v>
      </c>
      <c r="H4785" s="81" t="s">
        <v>224</v>
      </c>
      <c r="I4785" s="81" t="s">
        <v>51</v>
      </c>
      <c r="J4785" s="81" t="s">
        <v>224</v>
      </c>
      <c r="K4785" s="81" t="str">
        <f>IFERROR(__xludf.DUMMYFUNCTION("IF(OR(D4785="""",G4785=""""),"""",IFERROR(LET(
campo,XLOOKUP(TRIM(G4785),ARRAYFORMULA(TRIM('indice columnas'!$A$2:$A$100)),'indice columnas'!$B$2:$B$100,""""),
col,IFERROR(MATCH(campo,Referencia!$A$1:$AZ$1,0),0),
fila,IFERROR(MATCH(TO_TEXT(D4785),ARRAYFOR"&amp;"MULA(TO_TEXT(Referencia!$A$2:$A6238)),0),0),
IF(OR(campo="""",campo=""-""),""NO APLICA"",
IF(col=0,""REVISAR EQUIVALENCIA"",
IF(fila=0,""SKU NO ENCONTRADO"",
LET(
valor,INDEX(Referencia!$A$2:$AZ6238,fila,col),
IF(TRIM(TO_TEXT(valor))=TRIM(TO_TEXT(I4785)),"&amp;"
""OK"",
""NO COINCIDE. Valor verdadero: ""&amp;IF(valor="""",""[VACÍO]"",TO_TEXT(valor))
)
))))
),""ERROR EN FÓRMULA""))"),"OK")</f>
        <v>OK</v>
      </c>
    </row>
    <row r="4786">
      <c r="A4786" s="83" t="s">
        <v>4899</v>
      </c>
      <c r="B4786" s="83" t="s">
        <v>4900</v>
      </c>
      <c r="C4786" s="81" t="s">
        <v>4621</v>
      </c>
      <c r="D4786" s="83" t="s">
        <v>4455</v>
      </c>
      <c r="E4786" s="81" t="s">
        <v>2102</v>
      </c>
      <c r="F4786" s="81">
        <v>404.0</v>
      </c>
      <c r="G4786" s="81" t="s">
        <v>2</v>
      </c>
      <c r="H4786" s="81" t="s">
        <v>224</v>
      </c>
      <c r="I4786" s="81" t="s">
        <v>213</v>
      </c>
      <c r="J4786" s="81" t="s">
        <v>224</v>
      </c>
      <c r="K4786" s="81" t="str">
        <f>IFERROR(__xludf.DUMMYFUNCTION("IF(OR(D4786="""",G4786=""""),"""",IFERROR(LET(
campo,XLOOKUP(TRIM(G4786),ARRAYFORMULA(TRIM('indice columnas'!$A$2:$A$100)),'indice columnas'!$B$2:$B$100,""""),
col,IFERROR(MATCH(campo,Referencia!$A$1:$AZ$1,0),0),
fila,IFERROR(MATCH(TO_TEXT(D4786),ARRAYFOR"&amp;"MULA(TO_TEXT(Referencia!$A$2:$A6238)),0),0),
IF(OR(campo="""",campo=""-""),""NO APLICA"",
IF(col=0,""REVISAR EQUIVALENCIA"",
IF(fila=0,""SKU NO ENCONTRADO"",
LET(
valor,INDEX(Referencia!$A$2:$AZ6238,fila,col),
IF(TRIM(TO_TEXT(valor))=TRIM(TO_TEXT(I4786)),"&amp;"
""OK"",
""NO COINCIDE. Valor verdadero: ""&amp;IF(valor="""",""[VACÍO]"",TO_TEXT(valor))
)
))))
),""ERROR EN FÓRMULA""))"),"OK")</f>
        <v>OK</v>
      </c>
    </row>
    <row r="4787">
      <c r="A4787" s="83" t="s">
        <v>4899</v>
      </c>
      <c r="B4787" s="83" t="s">
        <v>4900</v>
      </c>
      <c r="C4787" s="81" t="s">
        <v>4621</v>
      </c>
      <c r="D4787" s="83" t="s">
        <v>4455</v>
      </c>
      <c r="E4787" s="81" t="s">
        <v>2102</v>
      </c>
      <c r="F4787" s="81">
        <v>404.0</v>
      </c>
      <c r="G4787" s="81" t="s">
        <v>1</v>
      </c>
      <c r="H4787" s="81" t="s">
        <v>224</v>
      </c>
      <c r="I4787" s="81" t="s">
        <v>49</v>
      </c>
      <c r="J4787" s="81" t="s">
        <v>224</v>
      </c>
      <c r="K4787" s="81" t="str">
        <f>IFERROR(__xludf.DUMMYFUNCTION("IF(OR(D4787="""",G4787=""""),"""",IFERROR(LET(
campo,XLOOKUP(TRIM(G4787),ARRAYFORMULA(TRIM('indice columnas'!$A$2:$A$100)),'indice columnas'!$B$2:$B$100,""""),
col,IFERROR(MATCH(campo,Referencia!$A$1:$AZ$1,0),0),
fila,IFERROR(MATCH(TO_TEXT(D4787),ARRAYFOR"&amp;"MULA(TO_TEXT(Referencia!$A$2:$A6238)),0),0),
IF(OR(campo="""",campo=""-""),""NO APLICA"",
IF(col=0,""REVISAR EQUIVALENCIA"",
IF(fila=0,""SKU NO ENCONTRADO"",
LET(
valor,INDEX(Referencia!$A$2:$AZ6238,fila,col),
IF(TRIM(TO_TEXT(valor))=TRIM(TO_TEXT(I4787)),"&amp;"
""OK"",
""NO COINCIDE. Valor verdadero: ""&amp;IF(valor="""",""[VACÍO]"",TO_TEXT(valor))
)
))))
),""ERROR EN FÓRMULA""))"),"OK")</f>
        <v>OK</v>
      </c>
    </row>
    <row r="4788">
      <c r="A4788" s="83" t="s">
        <v>4899</v>
      </c>
      <c r="B4788" s="83" t="s">
        <v>4900</v>
      </c>
      <c r="C4788" s="81" t="s">
        <v>4621</v>
      </c>
      <c r="D4788" s="83" t="s">
        <v>4456</v>
      </c>
      <c r="E4788" s="81" t="s">
        <v>2111</v>
      </c>
      <c r="F4788" s="81">
        <v>405.0</v>
      </c>
      <c r="G4788" s="81" t="s">
        <v>3</v>
      </c>
      <c r="H4788" s="81" t="s">
        <v>224</v>
      </c>
      <c r="I4788" s="81" t="s">
        <v>51</v>
      </c>
      <c r="J4788" s="81" t="s">
        <v>224</v>
      </c>
      <c r="K4788" s="81" t="str">
        <f>IFERROR(__xludf.DUMMYFUNCTION("IF(OR(D4788="""",G4788=""""),"""",IFERROR(LET(
campo,XLOOKUP(TRIM(G4788),ARRAYFORMULA(TRIM('indice columnas'!$A$2:$A$100)),'indice columnas'!$B$2:$B$100,""""),
col,IFERROR(MATCH(campo,Referencia!$A$1:$AZ$1,0),0),
fila,IFERROR(MATCH(TO_TEXT(D4788),ARRAYFOR"&amp;"MULA(TO_TEXT(Referencia!$A$2:$A6238)),0),0),
IF(OR(campo="""",campo=""-""),""NO APLICA"",
IF(col=0,""REVISAR EQUIVALENCIA"",
IF(fila=0,""SKU NO ENCONTRADO"",
LET(
valor,INDEX(Referencia!$A$2:$AZ6238,fila,col),
IF(TRIM(TO_TEXT(valor))=TRIM(TO_TEXT(I4788)),"&amp;"
""OK"",
""NO COINCIDE. Valor verdadero: ""&amp;IF(valor="""",""[VACÍO]"",TO_TEXT(valor))
)
))))
),""ERROR EN FÓRMULA""))"),"OK")</f>
        <v>OK</v>
      </c>
    </row>
    <row r="4789">
      <c r="A4789" s="83" t="s">
        <v>4899</v>
      </c>
      <c r="B4789" s="83" t="s">
        <v>4900</v>
      </c>
      <c r="C4789" s="81" t="s">
        <v>4621</v>
      </c>
      <c r="D4789" s="83" t="s">
        <v>4456</v>
      </c>
      <c r="E4789" s="81" t="s">
        <v>2111</v>
      </c>
      <c r="F4789" s="81">
        <v>405.0</v>
      </c>
      <c r="G4789" s="81" t="s">
        <v>2</v>
      </c>
      <c r="H4789" s="81" t="s">
        <v>224</v>
      </c>
      <c r="I4789" s="81" t="s">
        <v>213</v>
      </c>
      <c r="J4789" s="81" t="s">
        <v>224</v>
      </c>
      <c r="K4789" s="81" t="str">
        <f>IFERROR(__xludf.DUMMYFUNCTION("IF(OR(D4789="""",G4789=""""),"""",IFERROR(LET(
campo,XLOOKUP(TRIM(G4789),ARRAYFORMULA(TRIM('indice columnas'!$A$2:$A$100)),'indice columnas'!$B$2:$B$100,""""),
col,IFERROR(MATCH(campo,Referencia!$A$1:$AZ$1,0),0),
fila,IFERROR(MATCH(TO_TEXT(D4789),ARRAYFOR"&amp;"MULA(TO_TEXT(Referencia!$A$2:$A6238)),0),0),
IF(OR(campo="""",campo=""-""),""NO APLICA"",
IF(col=0,""REVISAR EQUIVALENCIA"",
IF(fila=0,""SKU NO ENCONTRADO"",
LET(
valor,INDEX(Referencia!$A$2:$AZ6238,fila,col),
IF(TRIM(TO_TEXT(valor))=TRIM(TO_TEXT(I4789)),"&amp;"
""OK"",
""NO COINCIDE. Valor verdadero: ""&amp;IF(valor="""",""[VACÍO]"",TO_TEXT(valor))
)
))))
),""ERROR EN FÓRMULA""))"),"OK")</f>
        <v>OK</v>
      </c>
    </row>
    <row r="4790">
      <c r="A4790" s="83" t="s">
        <v>4899</v>
      </c>
      <c r="B4790" s="83" t="s">
        <v>4900</v>
      </c>
      <c r="C4790" s="81" t="s">
        <v>4621</v>
      </c>
      <c r="D4790" s="83" t="s">
        <v>4456</v>
      </c>
      <c r="E4790" s="81" t="s">
        <v>2111</v>
      </c>
      <c r="F4790" s="81">
        <v>405.0</v>
      </c>
      <c r="G4790" s="81" t="s">
        <v>1</v>
      </c>
      <c r="H4790" s="81" t="s">
        <v>224</v>
      </c>
      <c r="I4790" s="81" t="s">
        <v>49</v>
      </c>
      <c r="J4790" s="81" t="s">
        <v>224</v>
      </c>
      <c r="K4790" s="81" t="str">
        <f>IFERROR(__xludf.DUMMYFUNCTION("IF(OR(D4790="""",G4790=""""),"""",IFERROR(LET(
campo,XLOOKUP(TRIM(G4790),ARRAYFORMULA(TRIM('indice columnas'!$A$2:$A$100)),'indice columnas'!$B$2:$B$100,""""),
col,IFERROR(MATCH(campo,Referencia!$A$1:$AZ$1,0),0),
fila,IFERROR(MATCH(TO_TEXT(D4790),ARRAYFOR"&amp;"MULA(TO_TEXT(Referencia!$A$2:$A6238)),0),0),
IF(OR(campo="""",campo=""-""),""NO APLICA"",
IF(col=0,""REVISAR EQUIVALENCIA"",
IF(fila=0,""SKU NO ENCONTRADO"",
LET(
valor,INDEX(Referencia!$A$2:$AZ6238,fila,col),
IF(TRIM(TO_TEXT(valor))=TRIM(TO_TEXT(I4790)),"&amp;"
""OK"",
""NO COINCIDE. Valor verdadero: ""&amp;IF(valor="""",""[VACÍO]"",TO_TEXT(valor))
)
))))
),""ERROR EN FÓRMULA""))"),"OK")</f>
        <v>OK</v>
      </c>
    </row>
    <row r="4791">
      <c r="A4791" s="83" t="s">
        <v>4899</v>
      </c>
      <c r="B4791" s="83" t="s">
        <v>4900</v>
      </c>
      <c r="C4791" s="81" t="s">
        <v>4621</v>
      </c>
      <c r="D4791" s="83" t="s">
        <v>4457</v>
      </c>
      <c r="E4791" s="81" t="s">
        <v>2114</v>
      </c>
      <c r="F4791" s="81">
        <v>406.0</v>
      </c>
      <c r="G4791" s="81" t="s">
        <v>3</v>
      </c>
      <c r="H4791" s="81" t="s">
        <v>224</v>
      </c>
      <c r="I4791" s="81" t="s">
        <v>51</v>
      </c>
      <c r="J4791" s="81" t="s">
        <v>224</v>
      </c>
      <c r="K4791" s="81" t="str">
        <f>IFERROR(__xludf.DUMMYFUNCTION("IF(OR(D4791="""",G4791=""""),"""",IFERROR(LET(
campo,XLOOKUP(TRIM(G4791),ARRAYFORMULA(TRIM('indice columnas'!$A$2:$A$100)),'indice columnas'!$B$2:$B$100,""""),
col,IFERROR(MATCH(campo,Referencia!$A$1:$AZ$1,0),0),
fila,IFERROR(MATCH(TO_TEXT(D4791),ARRAYFOR"&amp;"MULA(TO_TEXT(Referencia!$A$2:$A6238)),0),0),
IF(OR(campo="""",campo=""-""),""NO APLICA"",
IF(col=0,""REVISAR EQUIVALENCIA"",
IF(fila=0,""SKU NO ENCONTRADO"",
LET(
valor,INDEX(Referencia!$A$2:$AZ6238,fila,col),
IF(TRIM(TO_TEXT(valor))=TRIM(TO_TEXT(I4791)),"&amp;"
""OK"",
""NO COINCIDE. Valor verdadero: ""&amp;IF(valor="""",""[VACÍO]"",TO_TEXT(valor))
)
))))
),""ERROR EN FÓRMULA""))"),"OK")</f>
        <v>OK</v>
      </c>
    </row>
    <row r="4792">
      <c r="A4792" s="83" t="s">
        <v>4899</v>
      </c>
      <c r="B4792" s="83" t="s">
        <v>4900</v>
      </c>
      <c r="C4792" s="81" t="s">
        <v>4621</v>
      </c>
      <c r="D4792" s="83" t="s">
        <v>4457</v>
      </c>
      <c r="E4792" s="81" t="s">
        <v>2114</v>
      </c>
      <c r="F4792" s="81">
        <v>406.0</v>
      </c>
      <c r="G4792" s="81" t="s">
        <v>2</v>
      </c>
      <c r="H4792" s="81" t="s">
        <v>224</v>
      </c>
      <c r="I4792" s="81" t="s">
        <v>213</v>
      </c>
      <c r="J4792" s="81" t="s">
        <v>224</v>
      </c>
      <c r="K4792" s="81" t="str">
        <f>IFERROR(__xludf.DUMMYFUNCTION("IF(OR(D4792="""",G4792=""""),"""",IFERROR(LET(
campo,XLOOKUP(TRIM(G4792),ARRAYFORMULA(TRIM('indice columnas'!$A$2:$A$100)),'indice columnas'!$B$2:$B$100,""""),
col,IFERROR(MATCH(campo,Referencia!$A$1:$AZ$1,0),0),
fila,IFERROR(MATCH(TO_TEXT(D4792),ARRAYFOR"&amp;"MULA(TO_TEXT(Referencia!$A$2:$A6238)),0),0),
IF(OR(campo="""",campo=""-""),""NO APLICA"",
IF(col=0,""REVISAR EQUIVALENCIA"",
IF(fila=0,""SKU NO ENCONTRADO"",
LET(
valor,INDEX(Referencia!$A$2:$AZ6238,fila,col),
IF(TRIM(TO_TEXT(valor))=TRIM(TO_TEXT(I4792)),"&amp;"
""OK"",
""NO COINCIDE. Valor verdadero: ""&amp;IF(valor="""",""[VACÍO]"",TO_TEXT(valor))
)
))))
),""ERROR EN FÓRMULA""))"),"OK")</f>
        <v>OK</v>
      </c>
    </row>
    <row r="4793">
      <c r="A4793" s="83" t="s">
        <v>4899</v>
      </c>
      <c r="B4793" s="83" t="s">
        <v>4900</v>
      </c>
      <c r="C4793" s="81" t="s">
        <v>4621</v>
      </c>
      <c r="D4793" s="83" t="s">
        <v>4457</v>
      </c>
      <c r="E4793" s="81" t="s">
        <v>2114</v>
      </c>
      <c r="F4793" s="81">
        <v>406.0</v>
      </c>
      <c r="G4793" s="81" t="s">
        <v>1</v>
      </c>
      <c r="H4793" s="81" t="s">
        <v>224</v>
      </c>
      <c r="I4793" s="81" t="s">
        <v>49</v>
      </c>
      <c r="J4793" s="81" t="s">
        <v>224</v>
      </c>
      <c r="K4793" s="81" t="str">
        <f>IFERROR(__xludf.DUMMYFUNCTION("IF(OR(D4793="""",G4793=""""),"""",IFERROR(LET(
campo,XLOOKUP(TRIM(G4793),ARRAYFORMULA(TRIM('indice columnas'!$A$2:$A$100)),'indice columnas'!$B$2:$B$100,""""),
col,IFERROR(MATCH(campo,Referencia!$A$1:$AZ$1,0),0),
fila,IFERROR(MATCH(TO_TEXT(D4793),ARRAYFOR"&amp;"MULA(TO_TEXT(Referencia!$A$2:$A6238)),0),0),
IF(OR(campo="""",campo=""-""),""NO APLICA"",
IF(col=0,""REVISAR EQUIVALENCIA"",
IF(fila=0,""SKU NO ENCONTRADO"",
LET(
valor,INDEX(Referencia!$A$2:$AZ6238,fila,col),
IF(TRIM(TO_TEXT(valor))=TRIM(TO_TEXT(I4793)),"&amp;"
""OK"",
""NO COINCIDE. Valor verdadero: ""&amp;IF(valor="""",""[VACÍO]"",TO_TEXT(valor))
)
))))
),""ERROR EN FÓRMULA""))"),"OK")</f>
        <v>OK</v>
      </c>
    </row>
    <row r="4794">
      <c r="A4794" s="83" t="s">
        <v>4899</v>
      </c>
      <c r="B4794" s="83" t="s">
        <v>4900</v>
      </c>
      <c r="C4794" s="81" t="s">
        <v>4621</v>
      </c>
      <c r="D4794" s="83" t="s">
        <v>4458</v>
      </c>
      <c r="E4794" s="81" t="s">
        <v>2124</v>
      </c>
      <c r="F4794" s="81">
        <v>407.0</v>
      </c>
      <c r="G4794" s="81" t="s">
        <v>3</v>
      </c>
      <c r="H4794" s="81" t="s">
        <v>224</v>
      </c>
      <c r="I4794" s="81" t="s">
        <v>51</v>
      </c>
      <c r="J4794" s="81" t="s">
        <v>224</v>
      </c>
      <c r="K4794" s="81" t="str">
        <f>IFERROR(__xludf.DUMMYFUNCTION("IF(OR(D4794="""",G4794=""""),"""",IFERROR(LET(
campo,XLOOKUP(TRIM(G4794),ARRAYFORMULA(TRIM('indice columnas'!$A$2:$A$100)),'indice columnas'!$B$2:$B$100,""""),
col,IFERROR(MATCH(campo,Referencia!$A$1:$AZ$1,0),0),
fila,IFERROR(MATCH(TO_TEXT(D4794),ARRAYFOR"&amp;"MULA(TO_TEXT(Referencia!$A$2:$A6238)),0),0),
IF(OR(campo="""",campo=""-""),""NO APLICA"",
IF(col=0,""REVISAR EQUIVALENCIA"",
IF(fila=0,""SKU NO ENCONTRADO"",
LET(
valor,INDEX(Referencia!$A$2:$AZ6238,fila,col),
IF(TRIM(TO_TEXT(valor))=TRIM(TO_TEXT(I4794)),"&amp;"
""OK"",
""NO COINCIDE. Valor verdadero: ""&amp;IF(valor="""",""[VACÍO]"",TO_TEXT(valor))
)
))))
),""ERROR EN FÓRMULA""))"),"OK")</f>
        <v>OK</v>
      </c>
    </row>
    <row r="4795">
      <c r="A4795" s="83" t="s">
        <v>4899</v>
      </c>
      <c r="B4795" s="83" t="s">
        <v>4900</v>
      </c>
      <c r="C4795" s="81" t="s">
        <v>4621</v>
      </c>
      <c r="D4795" s="83" t="s">
        <v>4458</v>
      </c>
      <c r="E4795" s="81" t="s">
        <v>2124</v>
      </c>
      <c r="F4795" s="81">
        <v>407.0</v>
      </c>
      <c r="G4795" s="81" t="s">
        <v>2</v>
      </c>
      <c r="H4795" s="81" t="s">
        <v>224</v>
      </c>
      <c r="I4795" s="81" t="s">
        <v>213</v>
      </c>
      <c r="J4795" s="81" t="s">
        <v>224</v>
      </c>
      <c r="K4795" s="81" t="str">
        <f>IFERROR(__xludf.DUMMYFUNCTION("IF(OR(D4795="""",G4795=""""),"""",IFERROR(LET(
campo,XLOOKUP(TRIM(G4795),ARRAYFORMULA(TRIM('indice columnas'!$A$2:$A$100)),'indice columnas'!$B$2:$B$100,""""),
col,IFERROR(MATCH(campo,Referencia!$A$1:$AZ$1,0),0),
fila,IFERROR(MATCH(TO_TEXT(D4795),ARRAYFOR"&amp;"MULA(TO_TEXT(Referencia!$A$2:$A6238)),0),0),
IF(OR(campo="""",campo=""-""),""NO APLICA"",
IF(col=0,""REVISAR EQUIVALENCIA"",
IF(fila=0,""SKU NO ENCONTRADO"",
LET(
valor,INDEX(Referencia!$A$2:$AZ6238,fila,col),
IF(TRIM(TO_TEXT(valor))=TRIM(TO_TEXT(I4795)),"&amp;"
""OK"",
""NO COINCIDE. Valor verdadero: ""&amp;IF(valor="""",""[VACÍO]"",TO_TEXT(valor))
)
))))
),""ERROR EN FÓRMULA""))"),"OK")</f>
        <v>OK</v>
      </c>
    </row>
    <row r="4796">
      <c r="A4796" s="83" t="s">
        <v>4899</v>
      </c>
      <c r="B4796" s="83" t="s">
        <v>4900</v>
      </c>
      <c r="C4796" s="81" t="s">
        <v>4621</v>
      </c>
      <c r="D4796" s="83" t="s">
        <v>4458</v>
      </c>
      <c r="E4796" s="81" t="s">
        <v>2124</v>
      </c>
      <c r="F4796" s="81">
        <v>407.0</v>
      </c>
      <c r="G4796" s="81" t="s">
        <v>1</v>
      </c>
      <c r="H4796" s="81" t="s">
        <v>224</v>
      </c>
      <c r="I4796" s="81" t="s">
        <v>49</v>
      </c>
      <c r="J4796" s="81" t="s">
        <v>224</v>
      </c>
      <c r="K4796" s="81" t="str">
        <f>IFERROR(__xludf.DUMMYFUNCTION("IF(OR(D4796="""",G4796=""""),"""",IFERROR(LET(
campo,XLOOKUP(TRIM(G4796),ARRAYFORMULA(TRIM('indice columnas'!$A$2:$A$100)),'indice columnas'!$B$2:$B$100,""""),
col,IFERROR(MATCH(campo,Referencia!$A$1:$AZ$1,0),0),
fila,IFERROR(MATCH(TO_TEXT(D4796),ARRAYFOR"&amp;"MULA(TO_TEXT(Referencia!$A$2:$A6238)),0),0),
IF(OR(campo="""",campo=""-""),""NO APLICA"",
IF(col=0,""REVISAR EQUIVALENCIA"",
IF(fila=0,""SKU NO ENCONTRADO"",
LET(
valor,INDEX(Referencia!$A$2:$AZ6238,fila,col),
IF(TRIM(TO_TEXT(valor))=TRIM(TO_TEXT(I4796)),"&amp;"
""OK"",
""NO COINCIDE. Valor verdadero: ""&amp;IF(valor="""",""[VACÍO]"",TO_TEXT(valor))
)
))))
),""ERROR EN FÓRMULA""))"),"OK")</f>
        <v>OK</v>
      </c>
    </row>
    <row r="4797">
      <c r="A4797" s="83" t="s">
        <v>4899</v>
      </c>
      <c r="B4797" s="83" t="s">
        <v>4900</v>
      </c>
      <c r="C4797" s="81" t="s">
        <v>4621</v>
      </c>
      <c r="D4797" s="83" t="s">
        <v>4460</v>
      </c>
      <c r="E4797" s="81" t="s">
        <v>2139</v>
      </c>
      <c r="F4797" s="81">
        <v>410.0</v>
      </c>
      <c r="G4797" s="81" t="s">
        <v>3</v>
      </c>
      <c r="H4797" s="81" t="s">
        <v>224</v>
      </c>
      <c r="I4797" s="81" t="s">
        <v>51</v>
      </c>
      <c r="J4797" s="81" t="s">
        <v>224</v>
      </c>
      <c r="K4797" s="81" t="str">
        <f>IFERROR(__xludf.DUMMYFUNCTION("IF(OR(D4797="""",G4797=""""),"""",IFERROR(LET(
campo,XLOOKUP(TRIM(G4797),ARRAYFORMULA(TRIM('indice columnas'!$A$2:$A$100)),'indice columnas'!$B$2:$B$100,""""),
col,IFERROR(MATCH(campo,Referencia!$A$1:$AZ$1,0),0),
fila,IFERROR(MATCH(TO_TEXT(D4797),ARRAYFOR"&amp;"MULA(TO_TEXT(Referencia!$A$2:$A6238)),0),0),
IF(OR(campo="""",campo=""-""),""NO APLICA"",
IF(col=0,""REVISAR EQUIVALENCIA"",
IF(fila=0,""SKU NO ENCONTRADO"",
LET(
valor,INDEX(Referencia!$A$2:$AZ6238,fila,col),
IF(TRIM(TO_TEXT(valor))=TRIM(TO_TEXT(I4797)),"&amp;"
""OK"",
""NO COINCIDE. Valor verdadero: ""&amp;IF(valor="""",""[VACÍO]"",TO_TEXT(valor))
)
))))
),""ERROR EN FÓRMULA""))"),"OK")</f>
        <v>OK</v>
      </c>
    </row>
    <row r="4798">
      <c r="A4798" s="83" t="s">
        <v>4899</v>
      </c>
      <c r="B4798" s="83" t="s">
        <v>4900</v>
      </c>
      <c r="C4798" s="81" t="s">
        <v>4621</v>
      </c>
      <c r="D4798" s="83" t="s">
        <v>4460</v>
      </c>
      <c r="E4798" s="81" t="s">
        <v>2139</v>
      </c>
      <c r="F4798" s="81">
        <v>410.0</v>
      </c>
      <c r="G4798" s="81" t="s">
        <v>2</v>
      </c>
      <c r="H4798" s="81" t="s">
        <v>224</v>
      </c>
      <c r="I4798" s="81" t="s">
        <v>213</v>
      </c>
      <c r="J4798" s="81" t="s">
        <v>224</v>
      </c>
      <c r="K4798" s="81" t="str">
        <f>IFERROR(__xludf.DUMMYFUNCTION("IF(OR(D4798="""",G4798=""""),"""",IFERROR(LET(
campo,XLOOKUP(TRIM(G4798),ARRAYFORMULA(TRIM('indice columnas'!$A$2:$A$100)),'indice columnas'!$B$2:$B$100,""""),
col,IFERROR(MATCH(campo,Referencia!$A$1:$AZ$1,0),0),
fila,IFERROR(MATCH(TO_TEXT(D4798),ARRAYFOR"&amp;"MULA(TO_TEXT(Referencia!$A$2:$A6238)),0),0),
IF(OR(campo="""",campo=""-""),""NO APLICA"",
IF(col=0,""REVISAR EQUIVALENCIA"",
IF(fila=0,""SKU NO ENCONTRADO"",
LET(
valor,INDEX(Referencia!$A$2:$AZ6238,fila,col),
IF(TRIM(TO_TEXT(valor))=TRIM(TO_TEXT(I4798)),"&amp;"
""OK"",
""NO COINCIDE. Valor verdadero: ""&amp;IF(valor="""",""[VACÍO]"",TO_TEXT(valor))
)
))))
),""ERROR EN FÓRMULA""))"),"OK")</f>
        <v>OK</v>
      </c>
    </row>
    <row r="4799">
      <c r="A4799" s="83" t="s">
        <v>4899</v>
      </c>
      <c r="B4799" s="83" t="s">
        <v>4900</v>
      </c>
      <c r="C4799" s="81" t="s">
        <v>4621</v>
      </c>
      <c r="D4799" s="83" t="s">
        <v>4460</v>
      </c>
      <c r="E4799" s="81" t="s">
        <v>2139</v>
      </c>
      <c r="F4799" s="81">
        <v>410.0</v>
      </c>
      <c r="G4799" s="81" t="s">
        <v>1</v>
      </c>
      <c r="H4799" s="81" t="s">
        <v>224</v>
      </c>
      <c r="I4799" s="81" t="s">
        <v>49</v>
      </c>
      <c r="J4799" s="81" t="s">
        <v>224</v>
      </c>
      <c r="K4799" s="81" t="str">
        <f>IFERROR(__xludf.DUMMYFUNCTION("IF(OR(D4799="""",G4799=""""),"""",IFERROR(LET(
campo,XLOOKUP(TRIM(G4799),ARRAYFORMULA(TRIM('indice columnas'!$A$2:$A$100)),'indice columnas'!$B$2:$B$100,""""),
col,IFERROR(MATCH(campo,Referencia!$A$1:$AZ$1,0),0),
fila,IFERROR(MATCH(TO_TEXT(D4799),ARRAYFOR"&amp;"MULA(TO_TEXT(Referencia!$A$2:$A6238)),0),0),
IF(OR(campo="""",campo=""-""),""NO APLICA"",
IF(col=0,""REVISAR EQUIVALENCIA"",
IF(fila=0,""SKU NO ENCONTRADO"",
LET(
valor,INDEX(Referencia!$A$2:$AZ6238,fila,col),
IF(TRIM(TO_TEXT(valor))=TRIM(TO_TEXT(I4799)),"&amp;"
""OK"",
""NO COINCIDE. Valor verdadero: ""&amp;IF(valor="""",""[VACÍO]"",TO_TEXT(valor))
)
))))
),""ERROR EN FÓRMULA""))"),"OK")</f>
        <v>OK</v>
      </c>
    </row>
    <row r="4800">
      <c r="A4800" s="83" t="s">
        <v>4899</v>
      </c>
      <c r="B4800" s="83" t="s">
        <v>4900</v>
      </c>
      <c r="C4800" s="81" t="s">
        <v>4621</v>
      </c>
      <c r="D4800" s="83" t="s">
        <v>4461</v>
      </c>
      <c r="E4800" s="81" t="s">
        <v>2142</v>
      </c>
      <c r="F4800" s="81">
        <v>411.0</v>
      </c>
      <c r="G4800" s="81" t="s">
        <v>3</v>
      </c>
      <c r="H4800" s="81" t="s">
        <v>224</v>
      </c>
      <c r="I4800" s="81" t="s">
        <v>51</v>
      </c>
      <c r="J4800" s="81" t="s">
        <v>224</v>
      </c>
      <c r="K4800" s="81" t="str">
        <f>IFERROR(__xludf.DUMMYFUNCTION("IF(OR(D4800="""",G4800=""""),"""",IFERROR(LET(
campo,XLOOKUP(TRIM(G4800),ARRAYFORMULA(TRIM('indice columnas'!$A$2:$A$100)),'indice columnas'!$B$2:$B$100,""""),
col,IFERROR(MATCH(campo,Referencia!$A$1:$AZ$1,0),0),
fila,IFERROR(MATCH(TO_TEXT(D4800),ARRAYFOR"&amp;"MULA(TO_TEXT(Referencia!$A$2:$A6238)),0),0),
IF(OR(campo="""",campo=""-""),""NO APLICA"",
IF(col=0,""REVISAR EQUIVALENCIA"",
IF(fila=0,""SKU NO ENCONTRADO"",
LET(
valor,INDEX(Referencia!$A$2:$AZ6238,fila,col),
IF(TRIM(TO_TEXT(valor))=TRIM(TO_TEXT(I4800)),"&amp;"
""OK"",
""NO COINCIDE. Valor verdadero: ""&amp;IF(valor="""",""[VACÍO]"",TO_TEXT(valor))
)
))))
),""ERROR EN FÓRMULA""))"),"OK")</f>
        <v>OK</v>
      </c>
    </row>
    <row r="4801">
      <c r="A4801" s="83" t="s">
        <v>4899</v>
      </c>
      <c r="B4801" s="83" t="s">
        <v>4900</v>
      </c>
      <c r="C4801" s="81" t="s">
        <v>4621</v>
      </c>
      <c r="D4801" s="83" t="s">
        <v>4461</v>
      </c>
      <c r="E4801" s="81" t="s">
        <v>2142</v>
      </c>
      <c r="F4801" s="81">
        <v>411.0</v>
      </c>
      <c r="G4801" s="81" t="s">
        <v>2</v>
      </c>
      <c r="H4801" s="81" t="s">
        <v>224</v>
      </c>
      <c r="I4801" s="81" t="s">
        <v>213</v>
      </c>
      <c r="J4801" s="81" t="s">
        <v>224</v>
      </c>
      <c r="K4801" s="81" t="str">
        <f>IFERROR(__xludf.DUMMYFUNCTION("IF(OR(D4801="""",G4801=""""),"""",IFERROR(LET(
campo,XLOOKUP(TRIM(G4801),ARRAYFORMULA(TRIM('indice columnas'!$A$2:$A$100)),'indice columnas'!$B$2:$B$100,""""),
col,IFERROR(MATCH(campo,Referencia!$A$1:$AZ$1,0),0),
fila,IFERROR(MATCH(TO_TEXT(D4801),ARRAYFOR"&amp;"MULA(TO_TEXT(Referencia!$A$2:$A6238)),0),0),
IF(OR(campo="""",campo=""-""),""NO APLICA"",
IF(col=0,""REVISAR EQUIVALENCIA"",
IF(fila=0,""SKU NO ENCONTRADO"",
LET(
valor,INDEX(Referencia!$A$2:$AZ6238,fila,col),
IF(TRIM(TO_TEXT(valor))=TRIM(TO_TEXT(I4801)),"&amp;"
""OK"",
""NO COINCIDE. Valor verdadero: ""&amp;IF(valor="""",""[VACÍO]"",TO_TEXT(valor))
)
))))
),""ERROR EN FÓRMULA""))"),"OK")</f>
        <v>OK</v>
      </c>
    </row>
    <row r="4802">
      <c r="A4802" s="83" t="s">
        <v>4899</v>
      </c>
      <c r="B4802" s="83" t="s">
        <v>4900</v>
      </c>
      <c r="C4802" s="81" t="s">
        <v>4621</v>
      </c>
      <c r="D4802" s="83" t="s">
        <v>4461</v>
      </c>
      <c r="E4802" s="81" t="s">
        <v>2142</v>
      </c>
      <c r="F4802" s="81">
        <v>411.0</v>
      </c>
      <c r="G4802" s="81" t="s">
        <v>1</v>
      </c>
      <c r="H4802" s="81" t="s">
        <v>224</v>
      </c>
      <c r="I4802" s="81" t="s">
        <v>49</v>
      </c>
      <c r="J4802" s="81" t="s">
        <v>224</v>
      </c>
      <c r="K4802" s="81" t="str">
        <f>IFERROR(__xludf.DUMMYFUNCTION("IF(OR(D4802="""",G4802=""""),"""",IFERROR(LET(
campo,XLOOKUP(TRIM(G4802),ARRAYFORMULA(TRIM('indice columnas'!$A$2:$A$100)),'indice columnas'!$B$2:$B$100,""""),
col,IFERROR(MATCH(campo,Referencia!$A$1:$AZ$1,0),0),
fila,IFERROR(MATCH(TO_TEXT(D4802),ARRAYFOR"&amp;"MULA(TO_TEXT(Referencia!$A$2:$A6238)),0),0),
IF(OR(campo="""",campo=""-""),""NO APLICA"",
IF(col=0,""REVISAR EQUIVALENCIA"",
IF(fila=0,""SKU NO ENCONTRADO"",
LET(
valor,INDEX(Referencia!$A$2:$AZ6238,fila,col),
IF(TRIM(TO_TEXT(valor))=TRIM(TO_TEXT(I4802)),"&amp;"
""OK"",
""NO COINCIDE. Valor verdadero: ""&amp;IF(valor="""",""[VACÍO]"",TO_TEXT(valor))
)
))))
),""ERROR EN FÓRMULA""))"),"OK")</f>
        <v>OK</v>
      </c>
    </row>
    <row r="4803">
      <c r="A4803" s="83" t="s">
        <v>4899</v>
      </c>
      <c r="B4803" s="83" t="s">
        <v>4900</v>
      </c>
      <c r="C4803" s="81" t="s">
        <v>4621</v>
      </c>
      <c r="D4803" s="83" t="s">
        <v>4462</v>
      </c>
      <c r="E4803" s="81" t="s">
        <v>2145</v>
      </c>
      <c r="F4803" s="81">
        <v>412.0</v>
      </c>
      <c r="G4803" s="81" t="s">
        <v>3</v>
      </c>
      <c r="H4803" s="81" t="s">
        <v>224</v>
      </c>
      <c r="I4803" s="81" t="s">
        <v>51</v>
      </c>
      <c r="J4803" s="81" t="s">
        <v>224</v>
      </c>
      <c r="K4803" s="81" t="str">
        <f>IFERROR(__xludf.DUMMYFUNCTION("IF(OR(D4803="""",G4803=""""),"""",IFERROR(LET(
campo,XLOOKUP(TRIM(G4803),ARRAYFORMULA(TRIM('indice columnas'!$A$2:$A$100)),'indice columnas'!$B$2:$B$100,""""),
col,IFERROR(MATCH(campo,Referencia!$A$1:$AZ$1,0),0),
fila,IFERROR(MATCH(TO_TEXT(D4803),ARRAYFOR"&amp;"MULA(TO_TEXT(Referencia!$A$2:$A6238)),0),0),
IF(OR(campo="""",campo=""-""),""NO APLICA"",
IF(col=0,""REVISAR EQUIVALENCIA"",
IF(fila=0,""SKU NO ENCONTRADO"",
LET(
valor,INDEX(Referencia!$A$2:$AZ6238,fila,col),
IF(TRIM(TO_TEXT(valor))=TRIM(TO_TEXT(I4803)),"&amp;"
""OK"",
""NO COINCIDE. Valor verdadero: ""&amp;IF(valor="""",""[VACÍO]"",TO_TEXT(valor))
)
))))
),""ERROR EN FÓRMULA""))"),"OK")</f>
        <v>OK</v>
      </c>
    </row>
    <row r="4804">
      <c r="A4804" s="83" t="s">
        <v>4899</v>
      </c>
      <c r="B4804" s="83" t="s">
        <v>4900</v>
      </c>
      <c r="C4804" s="81" t="s">
        <v>4621</v>
      </c>
      <c r="D4804" s="83" t="s">
        <v>4462</v>
      </c>
      <c r="E4804" s="81" t="s">
        <v>2145</v>
      </c>
      <c r="F4804" s="81">
        <v>412.0</v>
      </c>
      <c r="G4804" s="81" t="s">
        <v>2</v>
      </c>
      <c r="H4804" s="81" t="s">
        <v>224</v>
      </c>
      <c r="I4804" s="81" t="s">
        <v>213</v>
      </c>
      <c r="J4804" s="81" t="s">
        <v>224</v>
      </c>
      <c r="K4804" s="81" t="str">
        <f>IFERROR(__xludf.DUMMYFUNCTION("IF(OR(D4804="""",G4804=""""),"""",IFERROR(LET(
campo,XLOOKUP(TRIM(G4804),ARRAYFORMULA(TRIM('indice columnas'!$A$2:$A$100)),'indice columnas'!$B$2:$B$100,""""),
col,IFERROR(MATCH(campo,Referencia!$A$1:$AZ$1,0),0),
fila,IFERROR(MATCH(TO_TEXT(D4804),ARRAYFOR"&amp;"MULA(TO_TEXT(Referencia!$A$2:$A6238)),0),0),
IF(OR(campo="""",campo=""-""),""NO APLICA"",
IF(col=0,""REVISAR EQUIVALENCIA"",
IF(fila=0,""SKU NO ENCONTRADO"",
LET(
valor,INDEX(Referencia!$A$2:$AZ6238,fila,col),
IF(TRIM(TO_TEXT(valor))=TRIM(TO_TEXT(I4804)),"&amp;"
""OK"",
""NO COINCIDE. Valor verdadero: ""&amp;IF(valor="""",""[VACÍO]"",TO_TEXT(valor))
)
))))
),""ERROR EN FÓRMULA""))"),"OK")</f>
        <v>OK</v>
      </c>
    </row>
    <row r="4805">
      <c r="A4805" s="83" t="s">
        <v>4899</v>
      </c>
      <c r="B4805" s="83" t="s">
        <v>4900</v>
      </c>
      <c r="C4805" s="81" t="s">
        <v>4621</v>
      </c>
      <c r="D4805" s="83" t="s">
        <v>4462</v>
      </c>
      <c r="E4805" s="81" t="s">
        <v>2145</v>
      </c>
      <c r="F4805" s="81">
        <v>412.0</v>
      </c>
      <c r="G4805" s="81" t="s">
        <v>1</v>
      </c>
      <c r="H4805" s="81" t="s">
        <v>224</v>
      </c>
      <c r="I4805" s="81" t="s">
        <v>49</v>
      </c>
      <c r="J4805" s="81" t="s">
        <v>224</v>
      </c>
      <c r="K4805" s="81" t="str">
        <f>IFERROR(__xludf.DUMMYFUNCTION("IF(OR(D4805="""",G4805=""""),"""",IFERROR(LET(
campo,XLOOKUP(TRIM(G4805),ARRAYFORMULA(TRIM('indice columnas'!$A$2:$A$100)),'indice columnas'!$B$2:$B$100,""""),
col,IFERROR(MATCH(campo,Referencia!$A$1:$AZ$1,0),0),
fila,IFERROR(MATCH(TO_TEXT(D4805),ARRAYFOR"&amp;"MULA(TO_TEXT(Referencia!$A$2:$A6238)),0),0),
IF(OR(campo="""",campo=""-""),""NO APLICA"",
IF(col=0,""REVISAR EQUIVALENCIA"",
IF(fila=0,""SKU NO ENCONTRADO"",
LET(
valor,INDEX(Referencia!$A$2:$AZ6238,fila,col),
IF(TRIM(TO_TEXT(valor))=TRIM(TO_TEXT(I4805)),"&amp;"
""OK"",
""NO COINCIDE. Valor verdadero: ""&amp;IF(valor="""",""[VACÍO]"",TO_TEXT(valor))
)
))))
),""ERROR EN FÓRMULA""))"),"OK")</f>
        <v>OK</v>
      </c>
    </row>
    <row r="4806">
      <c r="A4806" s="83" t="s">
        <v>4899</v>
      </c>
      <c r="B4806" s="83" t="s">
        <v>4900</v>
      </c>
      <c r="C4806" s="81" t="s">
        <v>4621</v>
      </c>
      <c r="D4806" s="83" t="s">
        <v>4465</v>
      </c>
      <c r="E4806" s="81" t="s">
        <v>2161</v>
      </c>
      <c r="F4806" s="81">
        <v>415.0</v>
      </c>
      <c r="G4806" s="81" t="s">
        <v>3</v>
      </c>
      <c r="H4806" s="81" t="s">
        <v>224</v>
      </c>
      <c r="I4806" s="81" t="s">
        <v>51</v>
      </c>
      <c r="J4806" s="81" t="s">
        <v>224</v>
      </c>
      <c r="K4806" s="81" t="str">
        <f>IFERROR(__xludf.DUMMYFUNCTION("IF(OR(D4806="""",G4806=""""),"""",IFERROR(LET(
campo,XLOOKUP(TRIM(G4806),ARRAYFORMULA(TRIM('indice columnas'!$A$2:$A$100)),'indice columnas'!$B$2:$B$100,""""),
col,IFERROR(MATCH(campo,Referencia!$A$1:$AZ$1,0),0),
fila,IFERROR(MATCH(TO_TEXT(D4806),ARRAYFOR"&amp;"MULA(TO_TEXT(Referencia!$A$2:$A6238)),0),0),
IF(OR(campo="""",campo=""-""),""NO APLICA"",
IF(col=0,""REVISAR EQUIVALENCIA"",
IF(fila=0,""SKU NO ENCONTRADO"",
LET(
valor,INDEX(Referencia!$A$2:$AZ6238,fila,col),
IF(TRIM(TO_TEXT(valor))=TRIM(TO_TEXT(I4806)),"&amp;"
""OK"",
""NO COINCIDE. Valor verdadero: ""&amp;IF(valor="""",""[VACÍO]"",TO_TEXT(valor))
)
))))
),""ERROR EN FÓRMULA""))"),"OK")</f>
        <v>OK</v>
      </c>
    </row>
    <row r="4807">
      <c r="A4807" s="83" t="s">
        <v>4899</v>
      </c>
      <c r="B4807" s="83" t="s">
        <v>4900</v>
      </c>
      <c r="C4807" s="81" t="s">
        <v>4621</v>
      </c>
      <c r="D4807" s="83" t="s">
        <v>4465</v>
      </c>
      <c r="E4807" s="81" t="s">
        <v>2161</v>
      </c>
      <c r="F4807" s="81">
        <v>415.0</v>
      </c>
      <c r="G4807" s="81" t="s">
        <v>2</v>
      </c>
      <c r="H4807" s="81" t="s">
        <v>224</v>
      </c>
      <c r="I4807" s="81" t="s">
        <v>213</v>
      </c>
      <c r="J4807" s="81" t="s">
        <v>224</v>
      </c>
      <c r="K4807" s="81" t="str">
        <f>IFERROR(__xludf.DUMMYFUNCTION("IF(OR(D4807="""",G4807=""""),"""",IFERROR(LET(
campo,XLOOKUP(TRIM(G4807),ARRAYFORMULA(TRIM('indice columnas'!$A$2:$A$100)),'indice columnas'!$B$2:$B$100,""""),
col,IFERROR(MATCH(campo,Referencia!$A$1:$AZ$1,0),0),
fila,IFERROR(MATCH(TO_TEXT(D4807),ARRAYFOR"&amp;"MULA(TO_TEXT(Referencia!$A$2:$A6238)),0),0),
IF(OR(campo="""",campo=""-""),""NO APLICA"",
IF(col=0,""REVISAR EQUIVALENCIA"",
IF(fila=0,""SKU NO ENCONTRADO"",
LET(
valor,INDEX(Referencia!$A$2:$AZ6238,fila,col),
IF(TRIM(TO_TEXT(valor))=TRIM(TO_TEXT(I4807)),"&amp;"
""OK"",
""NO COINCIDE. Valor verdadero: ""&amp;IF(valor="""",""[VACÍO]"",TO_TEXT(valor))
)
))))
),""ERROR EN FÓRMULA""))"),"OK")</f>
        <v>OK</v>
      </c>
    </row>
    <row r="4808">
      <c r="A4808" s="83" t="s">
        <v>4899</v>
      </c>
      <c r="B4808" s="83" t="s">
        <v>4900</v>
      </c>
      <c r="C4808" s="81" t="s">
        <v>4621</v>
      </c>
      <c r="D4808" s="83" t="s">
        <v>4465</v>
      </c>
      <c r="E4808" s="81" t="s">
        <v>2161</v>
      </c>
      <c r="F4808" s="81">
        <v>415.0</v>
      </c>
      <c r="G4808" s="81" t="s">
        <v>1</v>
      </c>
      <c r="H4808" s="81" t="s">
        <v>224</v>
      </c>
      <c r="I4808" s="81" t="s">
        <v>49</v>
      </c>
      <c r="J4808" s="81" t="s">
        <v>224</v>
      </c>
      <c r="K4808" s="81" t="str">
        <f>IFERROR(__xludf.DUMMYFUNCTION("IF(OR(D4808="""",G4808=""""),"""",IFERROR(LET(
campo,XLOOKUP(TRIM(G4808),ARRAYFORMULA(TRIM('indice columnas'!$A$2:$A$100)),'indice columnas'!$B$2:$B$100,""""),
col,IFERROR(MATCH(campo,Referencia!$A$1:$AZ$1,0),0),
fila,IFERROR(MATCH(TO_TEXT(D4808),ARRAYFOR"&amp;"MULA(TO_TEXT(Referencia!$A$2:$A6238)),0),0),
IF(OR(campo="""",campo=""-""),""NO APLICA"",
IF(col=0,""REVISAR EQUIVALENCIA"",
IF(fila=0,""SKU NO ENCONTRADO"",
LET(
valor,INDEX(Referencia!$A$2:$AZ6238,fila,col),
IF(TRIM(TO_TEXT(valor))=TRIM(TO_TEXT(I4808)),"&amp;"
""OK"",
""NO COINCIDE. Valor verdadero: ""&amp;IF(valor="""",""[VACÍO]"",TO_TEXT(valor))
)
))))
),""ERROR EN FÓRMULA""))"),"OK")</f>
        <v>OK</v>
      </c>
    </row>
    <row r="4809">
      <c r="A4809" s="83" t="s">
        <v>4899</v>
      </c>
      <c r="B4809" s="83" t="s">
        <v>4900</v>
      </c>
      <c r="C4809" s="81" t="s">
        <v>4621</v>
      </c>
      <c r="D4809" s="83" t="s">
        <v>4468</v>
      </c>
      <c r="E4809" s="81" t="s">
        <v>2179</v>
      </c>
      <c r="F4809" s="81">
        <v>418.0</v>
      </c>
      <c r="G4809" s="81" t="s">
        <v>3</v>
      </c>
      <c r="H4809" s="81" t="s">
        <v>224</v>
      </c>
      <c r="I4809" s="81" t="s">
        <v>51</v>
      </c>
      <c r="J4809" s="81" t="s">
        <v>224</v>
      </c>
      <c r="K4809" s="81" t="str">
        <f>IFERROR(__xludf.DUMMYFUNCTION("IF(OR(D4809="""",G4809=""""),"""",IFERROR(LET(
campo,XLOOKUP(TRIM(G4809),ARRAYFORMULA(TRIM('indice columnas'!$A$2:$A$100)),'indice columnas'!$B$2:$B$100,""""),
col,IFERROR(MATCH(campo,Referencia!$A$1:$AZ$1,0),0),
fila,IFERROR(MATCH(TO_TEXT(D4809),ARRAYFOR"&amp;"MULA(TO_TEXT(Referencia!$A$2:$A6238)),0),0),
IF(OR(campo="""",campo=""-""),""NO APLICA"",
IF(col=0,""REVISAR EQUIVALENCIA"",
IF(fila=0,""SKU NO ENCONTRADO"",
LET(
valor,INDEX(Referencia!$A$2:$AZ6238,fila,col),
IF(TRIM(TO_TEXT(valor))=TRIM(TO_TEXT(I4809)),"&amp;"
""OK"",
""NO COINCIDE. Valor verdadero: ""&amp;IF(valor="""",""[VACÍO]"",TO_TEXT(valor))
)
))))
),""ERROR EN FÓRMULA""))"),"OK")</f>
        <v>OK</v>
      </c>
    </row>
    <row r="4810">
      <c r="A4810" s="83" t="s">
        <v>4899</v>
      </c>
      <c r="B4810" s="83" t="s">
        <v>4900</v>
      </c>
      <c r="C4810" s="81" t="s">
        <v>4621</v>
      </c>
      <c r="D4810" s="83" t="s">
        <v>4468</v>
      </c>
      <c r="E4810" s="81" t="s">
        <v>2179</v>
      </c>
      <c r="F4810" s="81">
        <v>418.0</v>
      </c>
      <c r="G4810" s="81" t="s">
        <v>2</v>
      </c>
      <c r="H4810" s="81" t="s">
        <v>224</v>
      </c>
      <c r="I4810" s="81" t="s">
        <v>213</v>
      </c>
      <c r="J4810" s="81" t="s">
        <v>224</v>
      </c>
      <c r="K4810" s="81" t="str">
        <f>IFERROR(__xludf.DUMMYFUNCTION("IF(OR(D4810="""",G4810=""""),"""",IFERROR(LET(
campo,XLOOKUP(TRIM(G4810),ARRAYFORMULA(TRIM('indice columnas'!$A$2:$A$100)),'indice columnas'!$B$2:$B$100,""""),
col,IFERROR(MATCH(campo,Referencia!$A$1:$AZ$1,0),0),
fila,IFERROR(MATCH(TO_TEXT(D4810),ARRAYFOR"&amp;"MULA(TO_TEXT(Referencia!$A$2:$A6238)),0),0),
IF(OR(campo="""",campo=""-""),""NO APLICA"",
IF(col=0,""REVISAR EQUIVALENCIA"",
IF(fila=0,""SKU NO ENCONTRADO"",
LET(
valor,INDEX(Referencia!$A$2:$AZ6238,fila,col),
IF(TRIM(TO_TEXT(valor))=TRIM(TO_TEXT(I4810)),"&amp;"
""OK"",
""NO COINCIDE. Valor verdadero: ""&amp;IF(valor="""",""[VACÍO]"",TO_TEXT(valor))
)
))))
),""ERROR EN FÓRMULA""))"),"OK")</f>
        <v>OK</v>
      </c>
    </row>
    <row r="4811">
      <c r="A4811" s="83" t="s">
        <v>4899</v>
      </c>
      <c r="B4811" s="83" t="s">
        <v>4900</v>
      </c>
      <c r="C4811" s="81" t="s">
        <v>4621</v>
      </c>
      <c r="D4811" s="83" t="s">
        <v>4468</v>
      </c>
      <c r="E4811" s="81" t="s">
        <v>2179</v>
      </c>
      <c r="F4811" s="81">
        <v>418.0</v>
      </c>
      <c r="G4811" s="81" t="s">
        <v>1</v>
      </c>
      <c r="H4811" s="81" t="s">
        <v>224</v>
      </c>
      <c r="I4811" s="81" t="s">
        <v>49</v>
      </c>
      <c r="J4811" s="81" t="s">
        <v>224</v>
      </c>
      <c r="K4811" s="81" t="str">
        <f>IFERROR(__xludf.DUMMYFUNCTION("IF(OR(D4811="""",G4811=""""),"""",IFERROR(LET(
campo,XLOOKUP(TRIM(G4811),ARRAYFORMULA(TRIM('indice columnas'!$A$2:$A$100)),'indice columnas'!$B$2:$B$100,""""),
col,IFERROR(MATCH(campo,Referencia!$A$1:$AZ$1,0),0),
fila,IFERROR(MATCH(TO_TEXT(D4811),ARRAYFOR"&amp;"MULA(TO_TEXT(Referencia!$A$2:$A6238)),0),0),
IF(OR(campo="""",campo=""-""),""NO APLICA"",
IF(col=0,""REVISAR EQUIVALENCIA"",
IF(fila=0,""SKU NO ENCONTRADO"",
LET(
valor,INDEX(Referencia!$A$2:$AZ6238,fila,col),
IF(TRIM(TO_TEXT(valor))=TRIM(TO_TEXT(I4811)),"&amp;"
""OK"",
""NO COINCIDE. Valor verdadero: ""&amp;IF(valor="""",""[VACÍO]"",TO_TEXT(valor))
)
))))
),""ERROR EN FÓRMULA""))"),"OK")</f>
        <v>OK</v>
      </c>
    </row>
    <row r="4812">
      <c r="A4812" s="83" t="s">
        <v>4899</v>
      </c>
      <c r="B4812" s="83" t="s">
        <v>4900</v>
      </c>
      <c r="C4812" s="81" t="s">
        <v>4621</v>
      </c>
      <c r="D4812" s="83" t="s">
        <v>4471</v>
      </c>
      <c r="E4812" s="81" t="s">
        <v>2196</v>
      </c>
      <c r="F4812" s="81">
        <v>421.0</v>
      </c>
      <c r="G4812" s="81" t="s">
        <v>3</v>
      </c>
      <c r="H4812" s="81" t="s">
        <v>224</v>
      </c>
      <c r="I4812" s="81" t="s">
        <v>51</v>
      </c>
      <c r="J4812" s="81" t="s">
        <v>224</v>
      </c>
      <c r="K4812" s="81" t="str">
        <f>IFERROR(__xludf.DUMMYFUNCTION("IF(OR(D4812="""",G4812=""""),"""",IFERROR(LET(
campo,XLOOKUP(TRIM(G4812),ARRAYFORMULA(TRIM('indice columnas'!$A$2:$A$100)),'indice columnas'!$B$2:$B$100,""""),
col,IFERROR(MATCH(campo,Referencia!$A$1:$AZ$1,0),0),
fila,IFERROR(MATCH(TO_TEXT(D4812),ARRAYFOR"&amp;"MULA(TO_TEXT(Referencia!$A$2:$A6238)),0),0),
IF(OR(campo="""",campo=""-""),""NO APLICA"",
IF(col=0,""REVISAR EQUIVALENCIA"",
IF(fila=0,""SKU NO ENCONTRADO"",
LET(
valor,INDEX(Referencia!$A$2:$AZ6238,fila,col),
IF(TRIM(TO_TEXT(valor))=TRIM(TO_TEXT(I4812)),"&amp;"
""OK"",
""NO COINCIDE. Valor verdadero: ""&amp;IF(valor="""",""[VACÍO]"",TO_TEXT(valor))
)
))))
),""ERROR EN FÓRMULA""))"),"OK")</f>
        <v>OK</v>
      </c>
    </row>
    <row r="4813">
      <c r="A4813" s="83" t="s">
        <v>4899</v>
      </c>
      <c r="B4813" s="83" t="s">
        <v>4900</v>
      </c>
      <c r="C4813" s="81" t="s">
        <v>4621</v>
      </c>
      <c r="D4813" s="83" t="s">
        <v>4471</v>
      </c>
      <c r="E4813" s="81" t="s">
        <v>2196</v>
      </c>
      <c r="F4813" s="81">
        <v>421.0</v>
      </c>
      <c r="G4813" s="81" t="s">
        <v>2</v>
      </c>
      <c r="H4813" s="81" t="s">
        <v>224</v>
      </c>
      <c r="I4813" s="81" t="s">
        <v>213</v>
      </c>
      <c r="J4813" s="81" t="s">
        <v>224</v>
      </c>
      <c r="K4813" s="81" t="str">
        <f>IFERROR(__xludf.DUMMYFUNCTION("IF(OR(D4813="""",G4813=""""),"""",IFERROR(LET(
campo,XLOOKUP(TRIM(G4813),ARRAYFORMULA(TRIM('indice columnas'!$A$2:$A$100)),'indice columnas'!$B$2:$B$100,""""),
col,IFERROR(MATCH(campo,Referencia!$A$1:$AZ$1,0),0),
fila,IFERROR(MATCH(TO_TEXT(D4813),ARRAYFOR"&amp;"MULA(TO_TEXT(Referencia!$A$2:$A6238)),0),0),
IF(OR(campo="""",campo=""-""),""NO APLICA"",
IF(col=0,""REVISAR EQUIVALENCIA"",
IF(fila=0,""SKU NO ENCONTRADO"",
LET(
valor,INDEX(Referencia!$A$2:$AZ6238,fila,col),
IF(TRIM(TO_TEXT(valor))=TRIM(TO_TEXT(I4813)),"&amp;"
""OK"",
""NO COINCIDE. Valor verdadero: ""&amp;IF(valor="""",""[VACÍO]"",TO_TEXT(valor))
)
))))
),""ERROR EN FÓRMULA""))"),"OK")</f>
        <v>OK</v>
      </c>
    </row>
    <row r="4814">
      <c r="A4814" s="83" t="s">
        <v>4899</v>
      </c>
      <c r="B4814" s="83" t="s">
        <v>4900</v>
      </c>
      <c r="C4814" s="81" t="s">
        <v>4621</v>
      </c>
      <c r="D4814" s="83" t="s">
        <v>4471</v>
      </c>
      <c r="E4814" s="81" t="s">
        <v>2196</v>
      </c>
      <c r="F4814" s="81">
        <v>421.0</v>
      </c>
      <c r="G4814" s="81" t="s">
        <v>1</v>
      </c>
      <c r="H4814" s="81" t="s">
        <v>224</v>
      </c>
      <c r="I4814" s="81" t="s">
        <v>49</v>
      </c>
      <c r="J4814" s="81" t="s">
        <v>224</v>
      </c>
      <c r="K4814" s="81" t="str">
        <f>IFERROR(__xludf.DUMMYFUNCTION("IF(OR(D4814="""",G4814=""""),"""",IFERROR(LET(
campo,XLOOKUP(TRIM(G4814),ARRAYFORMULA(TRIM('indice columnas'!$A$2:$A$100)),'indice columnas'!$B$2:$B$100,""""),
col,IFERROR(MATCH(campo,Referencia!$A$1:$AZ$1,0),0),
fila,IFERROR(MATCH(TO_TEXT(D4814),ARRAYFOR"&amp;"MULA(TO_TEXT(Referencia!$A$2:$A6238)),0),0),
IF(OR(campo="""",campo=""-""),""NO APLICA"",
IF(col=0,""REVISAR EQUIVALENCIA"",
IF(fila=0,""SKU NO ENCONTRADO"",
LET(
valor,INDEX(Referencia!$A$2:$AZ6238,fila,col),
IF(TRIM(TO_TEXT(valor))=TRIM(TO_TEXT(I4814)),"&amp;"
""OK"",
""NO COINCIDE. Valor verdadero: ""&amp;IF(valor="""",""[VACÍO]"",TO_TEXT(valor))
)
))))
),""ERROR EN FÓRMULA""))"),"OK")</f>
        <v>OK</v>
      </c>
    </row>
    <row r="4815">
      <c r="A4815" s="83" t="s">
        <v>4899</v>
      </c>
      <c r="B4815" s="83" t="s">
        <v>4900</v>
      </c>
      <c r="C4815" s="81" t="s">
        <v>4621</v>
      </c>
      <c r="D4815" s="83" t="s">
        <v>4474</v>
      </c>
      <c r="E4815" s="81" t="s">
        <v>2209</v>
      </c>
      <c r="F4815" s="81">
        <v>424.0</v>
      </c>
      <c r="G4815" s="81" t="s">
        <v>3</v>
      </c>
      <c r="H4815" s="81" t="s">
        <v>224</v>
      </c>
      <c r="I4815" s="81" t="s">
        <v>51</v>
      </c>
      <c r="J4815" s="81" t="s">
        <v>224</v>
      </c>
      <c r="K4815" s="81" t="str">
        <f>IFERROR(__xludf.DUMMYFUNCTION("IF(OR(D4815="""",G4815=""""),"""",IFERROR(LET(
campo,XLOOKUP(TRIM(G4815),ARRAYFORMULA(TRIM('indice columnas'!$A$2:$A$100)),'indice columnas'!$B$2:$B$100,""""),
col,IFERROR(MATCH(campo,Referencia!$A$1:$AZ$1,0),0),
fila,IFERROR(MATCH(TO_TEXT(D4815),ARRAYFOR"&amp;"MULA(TO_TEXT(Referencia!$A$2:$A6238)),0),0),
IF(OR(campo="""",campo=""-""),""NO APLICA"",
IF(col=0,""REVISAR EQUIVALENCIA"",
IF(fila=0,""SKU NO ENCONTRADO"",
LET(
valor,INDEX(Referencia!$A$2:$AZ6238,fila,col),
IF(TRIM(TO_TEXT(valor))=TRIM(TO_TEXT(I4815)),"&amp;"
""OK"",
""NO COINCIDE. Valor verdadero: ""&amp;IF(valor="""",""[VACÍO]"",TO_TEXT(valor))
)
))))
),""ERROR EN FÓRMULA""))"),"OK")</f>
        <v>OK</v>
      </c>
    </row>
    <row r="4816">
      <c r="A4816" s="83" t="s">
        <v>4899</v>
      </c>
      <c r="B4816" s="83" t="s">
        <v>4900</v>
      </c>
      <c r="C4816" s="81" t="s">
        <v>4621</v>
      </c>
      <c r="D4816" s="83" t="s">
        <v>4474</v>
      </c>
      <c r="E4816" s="81" t="s">
        <v>2209</v>
      </c>
      <c r="F4816" s="81">
        <v>424.0</v>
      </c>
      <c r="G4816" s="81" t="s">
        <v>2</v>
      </c>
      <c r="H4816" s="81" t="s">
        <v>224</v>
      </c>
      <c r="I4816" s="81" t="s">
        <v>213</v>
      </c>
      <c r="J4816" s="81" t="s">
        <v>224</v>
      </c>
      <c r="K4816" s="81" t="str">
        <f>IFERROR(__xludf.DUMMYFUNCTION("IF(OR(D4816="""",G4816=""""),"""",IFERROR(LET(
campo,XLOOKUP(TRIM(G4816),ARRAYFORMULA(TRIM('indice columnas'!$A$2:$A$100)),'indice columnas'!$B$2:$B$100,""""),
col,IFERROR(MATCH(campo,Referencia!$A$1:$AZ$1,0),0),
fila,IFERROR(MATCH(TO_TEXT(D4816),ARRAYFOR"&amp;"MULA(TO_TEXT(Referencia!$A$2:$A6238)),0),0),
IF(OR(campo="""",campo=""-""),""NO APLICA"",
IF(col=0,""REVISAR EQUIVALENCIA"",
IF(fila=0,""SKU NO ENCONTRADO"",
LET(
valor,INDEX(Referencia!$A$2:$AZ6238,fila,col),
IF(TRIM(TO_TEXT(valor))=TRIM(TO_TEXT(I4816)),"&amp;"
""OK"",
""NO COINCIDE. Valor verdadero: ""&amp;IF(valor="""",""[VACÍO]"",TO_TEXT(valor))
)
))))
),""ERROR EN FÓRMULA""))"),"OK")</f>
        <v>OK</v>
      </c>
    </row>
    <row r="4817">
      <c r="A4817" s="83" t="s">
        <v>4899</v>
      </c>
      <c r="B4817" s="83" t="s">
        <v>4900</v>
      </c>
      <c r="C4817" s="81" t="s">
        <v>4621</v>
      </c>
      <c r="D4817" s="83" t="s">
        <v>4474</v>
      </c>
      <c r="E4817" s="81" t="s">
        <v>2209</v>
      </c>
      <c r="F4817" s="81">
        <v>424.0</v>
      </c>
      <c r="G4817" s="81" t="s">
        <v>1</v>
      </c>
      <c r="H4817" s="81" t="s">
        <v>224</v>
      </c>
      <c r="I4817" s="81" t="s">
        <v>49</v>
      </c>
      <c r="J4817" s="81" t="s">
        <v>224</v>
      </c>
      <c r="K4817" s="81" t="str">
        <f>IFERROR(__xludf.DUMMYFUNCTION("IF(OR(D4817="""",G4817=""""),"""",IFERROR(LET(
campo,XLOOKUP(TRIM(G4817),ARRAYFORMULA(TRIM('indice columnas'!$A$2:$A$100)),'indice columnas'!$B$2:$B$100,""""),
col,IFERROR(MATCH(campo,Referencia!$A$1:$AZ$1,0),0),
fila,IFERROR(MATCH(TO_TEXT(D4817),ARRAYFOR"&amp;"MULA(TO_TEXT(Referencia!$A$2:$A6238)),0),0),
IF(OR(campo="""",campo=""-""),""NO APLICA"",
IF(col=0,""REVISAR EQUIVALENCIA"",
IF(fila=0,""SKU NO ENCONTRADO"",
LET(
valor,INDEX(Referencia!$A$2:$AZ6238,fila,col),
IF(TRIM(TO_TEXT(valor))=TRIM(TO_TEXT(I4817)),"&amp;"
""OK"",
""NO COINCIDE. Valor verdadero: ""&amp;IF(valor="""",""[VACÍO]"",TO_TEXT(valor))
)
))))
),""ERROR EN FÓRMULA""))"),"OK")</f>
        <v>OK</v>
      </c>
    </row>
    <row r="4818">
      <c r="A4818" s="83" t="s">
        <v>4899</v>
      </c>
      <c r="B4818" s="83" t="s">
        <v>4900</v>
      </c>
      <c r="C4818" s="81" t="s">
        <v>4621</v>
      </c>
      <c r="D4818" s="83" t="s">
        <v>4477</v>
      </c>
      <c r="E4818" s="81" t="s">
        <v>2227</v>
      </c>
      <c r="F4818" s="81">
        <v>427.0</v>
      </c>
      <c r="G4818" s="81" t="s">
        <v>3</v>
      </c>
      <c r="H4818" s="81" t="s">
        <v>224</v>
      </c>
      <c r="I4818" s="81" t="s">
        <v>214</v>
      </c>
      <c r="J4818" s="81" t="s">
        <v>224</v>
      </c>
      <c r="K4818" s="81" t="str">
        <f>IFERROR(__xludf.DUMMYFUNCTION("IF(OR(D4818="""",G4818=""""),"""",IFERROR(LET(
campo,XLOOKUP(TRIM(G4818),ARRAYFORMULA(TRIM('indice columnas'!$A$2:$A$100)),'indice columnas'!$B$2:$B$100,""""),
col,IFERROR(MATCH(campo,Referencia!$A$1:$AZ$1,0),0),
fila,IFERROR(MATCH(TO_TEXT(D4818),ARRAYFOR"&amp;"MULA(TO_TEXT(Referencia!$A$2:$A6238)),0),0),
IF(OR(campo="""",campo=""-""),""NO APLICA"",
IF(col=0,""REVISAR EQUIVALENCIA"",
IF(fila=0,""SKU NO ENCONTRADO"",
LET(
valor,INDEX(Referencia!$A$2:$AZ6238,fila,col),
IF(TRIM(TO_TEXT(valor))=TRIM(TO_TEXT(I4818)),"&amp;"
""OK"",
""NO COINCIDE. Valor verdadero: ""&amp;IF(valor="""",""[VACÍO]"",TO_TEXT(valor))
)
))))
),""ERROR EN FÓRMULA""))"),"OK")</f>
        <v>OK</v>
      </c>
    </row>
    <row r="4819">
      <c r="A4819" s="83" t="s">
        <v>4899</v>
      </c>
      <c r="B4819" s="83" t="s">
        <v>4900</v>
      </c>
      <c r="C4819" s="81" t="s">
        <v>4621</v>
      </c>
      <c r="D4819" s="83" t="s">
        <v>4477</v>
      </c>
      <c r="E4819" s="81" t="s">
        <v>2227</v>
      </c>
      <c r="F4819" s="81">
        <v>427.0</v>
      </c>
      <c r="G4819" s="81" t="s">
        <v>2</v>
      </c>
      <c r="H4819" s="81" t="s">
        <v>224</v>
      </c>
      <c r="I4819" s="81" t="s">
        <v>213</v>
      </c>
      <c r="J4819" s="81" t="s">
        <v>224</v>
      </c>
      <c r="K4819" s="81" t="str">
        <f>IFERROR(__xludf.DUMMYFUNCTION("IF(OR(D4819="""",G4819=""""),"""",IFERROR(LET(
campo,XLOOKUP(TRIM(G4819),ARRAYFORMULA(TRIM('indice columnas'!$A$2:$A$100)),'indice columnas'!$B$2:$B$100,""""),
col,IFERROR(MATCH(campo,Referencia!$A$1:$AZ$1,0),0),
fila,IFERROR(MATCH(TO_TEXT(D4819),ARRAYFOR"&amp;"MULA(TO_TEXT(Referencia!$A$2:$A6238)),0),0),
IF(OR(campo="""",campo=""-""),""NO APLICA"",
IF(col=0,""REVISAR EQUIVALENCIA"",
IF(fila=0,""SKU NO ENCONTRADO"",
LET(
valor,INDEX(Referencia!$A$2:$AZ6238,fila,col),
IF(TRIM(TO_TEXT(valor))=TRIM(TO_TEXT(I4819)),"&amp;"
""OK"",
""NO COINCIDE. Valor verdadero: ""&amp;IF(valor="""",""[VACÍO]"",TO_TEXT(valor))
)
))))
),""ERROR EN FÓRMULA""))"),"OK")</f>
        <v>OK</v>
      </c>
    </row>
    <row r="4820">
      <c r="A4820" s="83" t="s">
        <v>4899</v>
      </c>
      <c r="B4820" s="83" t="s">
        <v>4900</v>
      </c>
      <c r="C4820" s="81" t="s">
        <v>4621</v>
      </c>
      <c r="D4820" s="83" t="s">
        <v>4477</v>
      </c>
      <c r="E4820" s="81" t="s">
        <v>2227</v>
      </c>
      <c r="F4820" s="81">
        <v>427.0</v>
      </c>
      <c r="G4820" s="81" t="s">
        <v>1</v>
      </c>
      <c r="H4820" s="81" t="s">
        <v>224</v>
      </c>
      <c r="I4820" s="81" t="s">
        <v>49</v>
      </c>
      <c r="J4820" s="81" t="s">
        <v>224</v>
      </c>
      <c r="K4820" s="81" t="str">
        <f>IFERROR(__xludf.DUMMYFUNCTION("IF(OR(D4820="""",G4820=""""),"""",IFERROR(LET(
campo,XLOOKUP(TRIM(G4820),ARRAYFORMULA(TRIM('indice columnas'!$A$2:$A$100)),'indice columnas'!$B$2:$B$100,""""),
col,IFERROR(MATCH(campo,Referencia!$A$1:$AZ$1,0),0),
fila,IFERROR(MATCH(TO_TEXT(D4820),ARRAYFOR"&amp;"MULA(TO_TEXT(Referencia!$A$2:$A6238)),0),0),
IF(OR(campo="""",campo=""-""),""NO APLICA"",
IF(col=0,""REVISAR EQUIVALENCIA"",
IF(fila=0,""SKU NO ENCONTRADO"",
LET(
valor,INDEX(Referencia!$A$2:$AZ6238,fila,col),
IF(TRIM(TO_TEXT(valor))=TRIM(TO_TEXT(I4820)),"&amp;"
""OK"",
""NO COINCIDE. Valor verdadero: ""&amp;IF(valor="""",""[VACÍO]"",TO_TEXT(valor))
)
))))
),""ERROR EN FÓRMULA""))"),"OK")</f>
        <v>OK</v>
      </c>
    </row>
    <row r="4821">
      <c r="A4821" s="83" t="s">
        <v>4899</v>
      </c>
      <c r="B4821" s="83" t="s">
        <v>4900</v>
      </c>
      <c r="C4821" s="81" t="s">
        <v>4621</v>
      </c>
      <c r="D4821" s="83" t="s">
        <v>4481</v>
      </c>
      <c r="E4821" s="81" t="s">
        <v>2242</v>
      </c>
      <c r="F4821" s="81">
        <v>430.0</v>
      </c>
      <c r="G4821" s="81" t="s">
        <v>3</v>
      </c>
      <c r="H4821" s="81" t="s">
        <v>224</v>
      </c>
      <c r="I4821" s="81" t="s">
        <v>214</v>
      </c>
      <c r="J4821" s="81" t="s">
        <v>224</v>
      </c>
      <c r="K4821" s="81" t="str">
        <f>IFERROR(__xludf.DUMMYFUNCTION("IF(OR(D4821="""",G4821=""""),"""",IFERROR(LET(
campo,XLOOKUP(TRIM(G4821),ARRAYFORMULA(TRIM('indice columnas'!$A$2:$A$100)),'indice columnas'!$B$2:$B$100,""""),
col,IFERROR(MATCH(campo,Referencia!$A$1:$AZ$1,0),0),
fila,IFERROR(MATCH(TO_TEXT(D4821),ARRAYFOR"&amp;"MULA(TO_TEXT(Referencia!$A$2:$A6238)),0),0),
IF(OR(campo="""",campo=""-""),""NO APLICA"",
IF(col=0,""REVISAR EQUIVALENCIA"",
IF(fila=0,""SKU NO ENCONTRADO"",
LET(
valor,INDEX(Referencia!$A$2:$AZ6238,fila,col),
IF(TRIM(TO_TEXT(valor))=TRIM(TO_TEXT(I4821)),"&amp;"
""OK"",
""NO COINCIDE. Valor verdadero: ""&amp;IF(valor="""",""[VACÍO]"",TO_TEXT(valor))
)
))))
),""ERROR EN FÓRMULA""))"),"OK")</f>
        <v>OK</v>
      </c>
    </row>
    <row r="4822">
      <c r="A4822" s="83" t="s">
        <v>4899</v>
      </c>
      <c r="B4822" s="83" t="s">
        <v>4900</v>
      </c>
      <c r="C4822" s="81" t="s">
        <v>4621</v>
      </c>
      <c r="D4822" s="83" t="s">
        <v>4481</v>
      </c>
      <c r="E4822" s="81" t="s">
        <v>2242</v>
      </c>
      <c r="F4822" s="81">
        <v>430.0</v>
      </c>
      <c r="G4822" s="81" t="s">
        <v>2</v>
      </c>
      <c r="H4822" s="81" t="s">
        <v>224</v>
      </c>
      <c r="I4822" s="81" t="s">
        <v>213</v>
      </c>
      <c r="J4822" s="81" t="s">
        <v>224</v>
      </c>
      <c r="K4822" s="81" t="str">
        <f>IFERROR(__xludf.DUMMYFUNCTION("IF(OR(D4822="""",G4822=""""),"""",IFERROR(LET(
campo,XLOOKUP(TRIM(G4822),ARRAYFORMULA(TRIM('indice columnas'!$A$2:$A$100)),'indice columnas'!$B$2:$B$100,""""),
col,IFERROR(MATCH(campo,Referencia!$A$1:$AZ$1,0),0),
fila,IFERROR(MATCH(TO_TEXT(D4822),ARRAYFOR"&amp;"MULA(TO_TEXT(Referencia!$A$2:$A6238)),0),0),
IF(OR(campo="""",campo=""-""),""NO APLICA"",
IF(col=0,""REVISAR EQUIVALENCIA"",
IF(fila=0,""SKU NO ENCONTRADO"",
LET(
valor,INDEX(Referencia!$A$2:$AZ6238,fila,col),
IF(TRIM(TO_TEXT(valor))=TRIM(TO_TEXT(I4822)),"&amp;"
""OK"",
""NO COINCIDE. Valor verdadero: ""&amp;IF(valor="""",""[VACÍO]"",TO_TEXT(valor))
)
))))
),""ERROR EN FÓRMULA""))"),"OK")</f>
        <v>OK</v>
      </c>
    </row>
    <row r="4823">
      <c r="A4823" s="83" t="s">
        <v>4899</v>
      </c>
      <c r="B4823" s="83" t="s">
        <v>4900</v>
      </c>
      <c r="C4823" s="81" t="s">
        <v>4621</v>
      </c>
      <c r="D4823" s="83" t="s">
        <v>4481</v>
      </c>
      <c r="E4823" s="81" t="s">
        <v>2242</v>
      </c>
      <c r="F4823" s="81">
        <v>430.0</v>
      </c>
      <c r="G4823" s="81" t="s">
        <v>1</v>
      </c>
      <c r="H4823" s="81" t="s">
        <v>224</v>
      </c>
      <c r="I4823" s="81" t="s">
        <v>49</v>
      </c>
      <c r="J4823" s="81" t="s">
        <v>224</v>
      </c>
      <c r="K4823" s="81" t="str">
        <f>IFERROR(__xludf.DUMMYFUNCTION("IF(OR(D4823="""",G4823=""""),"""",IFERROR(LET(
campo,XLOOKUP(TRIM(G4823),ARRAYFORMULA(TRIM('indice columnas'!$A$2:$A$100)),'indice columnas'!$B$2:$B$100,""""),
col,IFERROR(MATCH(campo,Referencia!$A$1:$AZ$1,0),0),
fila,IFERROR(MATCH(TO_TEXT(D4823),ARRAYFOR"&amp;"MULA(TO_TEXT(Referencia!$A$2:$A6238)),0),0),
IF(OR(campo="""",campo=""-""),""NO APLICA"",
IF(col=0,""REVISAR EQUIVALENCIA"",
IF(fila=0,""SKU NO ENCONTRADO"",
LET(
valor,INDEX(Referencia!$A$2:$AZ6238,fila,col),
IF(TRIM(TO_TEXT(valor))=TRIM(TO_TEXT(I4823)),"&amp;"
""OK"",
""NO COINCIDE. Valor verdadero: ""&amp;IF(valor="""",""[VACÍO]"",TO_TEXT(valor))
)
))))
),""ERROR EN FÓRMULA""))"),"OK")</f>
        <v>OK</v>
      </c>
    </row>
    <row r="4824">
      <c r="A4824" s="83" t="s">
        <v>4899</v>
      </c>
      <c r="B4824" s="83" t="s">
        <v>4900</v>
      </c>
      <c r="C4824" s="81" t="s">
        <v>4621</v>
      </c>
      <c r="D4824" s="83" t="s">
        <v>4482</v>
      </c>
      <c r="E4824" s="81" t="s">
        <v>2245</v>
      </c>
      <c r="F4824" s="81">
        <v>431.0</v>
      </c>
      <c r="G4824" s="81" t="s">
        <v>3</v>
      </c>
      <c r="H4824" s="81" t="s">
        <v>224</v>
      </c>
      <c r="I4824" s="81" t="s">
        <v>214</v>
      </c>
      <c r="J4824" s="81" t="s">
        <v>224</v>
      </c>
      <c r="K4824" s="81" t="str">
        <f>IFERROR(__xludf.DUMMYFUNCTION("IF(OR(D4824="""",G4824=""""),"""",IFERROR(LET(
campo,XLOOKUP(TRIM(G4824),ARRAYFORMULA(TRIM('indice columnas'!$A$2:$A$100)),'indice columnas'!$B$2:$B$100,""""),
col,IFERROR(MATCH(campo,Referencia!$A$1:$AZ$1,0),0),
fila,IFERROR(MATCH(TO_TEXT(D4824),ARRAYFOR"&amp;"MULA(TO_TEXT(Referencia!$A$2:$A6238)),0),0),
IF(OR(campo="""",campo=""-""),""NO APLICA"",
IF(col=0,""REVISAR EQUIVALENCIA"",
IF(fila=0,""SKU NO ENCONTRADO"",
LET(
valor,INDEX(Referencia!$A$2:$AZ6238,fila,col),
IF(TRIM(TO_TEXT(valor))=TRIM(TO_TEXT(I4824)),"&amp;"
""OK"",
""NO COINCIDE. Valor verdadero: ""&amp;IF(valor="""",""[VACÍO]"",TO_TEXT(valor))
)
))))
),""ERROR EN FÓRMULA""))"),"OK")</f>
        <v>OK</v>
      </c>
    </row>
    <row r="4825">
      <c r="A4825" s="83" t="s">
        <v>4899</v>
      </c>
      <c r="B4825" s="83" t="s">
        <v>4900</v>
      </c>
      <c r="C4825" s="81" t="s">
        <v>4621</v>
      </c>
      <c r="D4825" s="83" t="s">
        <v>4482</v>
      </c>
      <c r="E4825" s="81" t="s">
        <v>2245</v>
      </c>
      <c r="F4825" s="81">
        <v>431.0</v>
      </c>
      <c r="G4825" s="81" t="s">
        <v>2</v>
      </c>
      <c r="H4825" s="81" t="s">
        <v>224</v>
      </c>
      <c r="I4825" s="81" t="s">
        <v>213</v>
      </c>
      <c r="J4825" s="81" t="s">
        <v>224</v>
      </c>
      <c r="K4825" s="81" t="str">
        <f>IFERROR(__xludf.DUMMYFUNCTION("IF(OR(D4825="""",G4825=""""),"""",IFERROR(LET(
campo,XLOOKUP(TRIM(G4825),ARRAYFORMULA(TRIM('indice columnas'!$A$2:$A$100)),'indice columnas'!$B$2:$B$100,""""),
col,IFERROR(MATCH(campo,Referencia!$A$1:$AZ$1,0),0),
fila,IFERROR(MATCH(TO_TEXT(D4825),ARRAYFOR"&amp;"MULA(TO_TEXT(Referencia!$A$2:$A6238)),0),0),
IF(OR(campo="""",campo=""-""),""NO APLICA"",
IF(col=0,""REVISAR EQUIVALENCIA"",
IF(fila=0,""SKU NO ENCONTRADO"",
LET(
valor,INDEX(Referencia!$A$2:$AZ6238,fila,col),
IF(TRIM(TO_TEXT(valor))=TRIM(TO_TEXT(I4825)),"&amp;"
""OK"",
""NO COINCIDE. Valor verdadero: ""&amp;IF(valor="""",""[VACÍO]"",TO_TEXT(valor))
)
))))
),""ERROR EN FÓRMULA""))"),"OK")</f>
        <v>OK</v>
      </c>
    </row>
    <row r="4826">
      <c r="A4826" s="83" t="s">
        <v>4899</v>
      </c>
      <c r="B4826" s="83" t="s">
        <v>4900</v>
      </c>
      <c r="C4826" s="81" t="s">
        <v>4621</v>
      </c>
      <c r="D4826" s="83" t="s">
        <v>4482</v>
      </c>
      <c r="E4826" s="81" t="s">
        <v>2245</v>
      </c>
      <c r="F4826" s="81">
        <v>431.0</v>
      </c>
      <c r="G4826" s="81" t="s">
        <v>1</v>
      </c>
      <c r="H4826" s="81" t="s">
        <v>224</v>
      </c>
      <c r="I4826" s="81" t="s">
        <v>49</v>
      </c>
      <c r="J4826" s="81" t="s">
        <v>224</v>
      </c>
      <c r="K4826" s="81" t="str">
        <f>IFERROR(__xludf.DUMMYFUNCTION("IF(OR(D4826="""",G4826=""""),"""",IFERROR(LET(
campo,XLOOKUP(TRIM(G4826),ARRAYFORMULA(TRIM('indice columnas'!$A$2:$A$100)),'indice columnas'!$B$2:$B$100,""""),
col,IFERROR(MATCH(campo,Referencia!$A$1:$AZ$1,0),0),
fila,IFERROR(MATCH(TO_TEXT(D4826),ARRAYFOR"&amp;"MULA(TO_TEXT(Referencia!$A$2:$A6238)),0),0),
IF(OR(campo="""",campo=""-""),""NO APLICA"",
IF(col=0,""REVISAR EQUIVALENCIA"",
IF(fila=0,""SKU NO ENCONTRADO"",
LET(
valor,INDEX(Referencia!$A$2:$AZ6238,fila,col),
IF(TRIM(TO_TEXT(valor))=TRIM(TO_TEXT(I4826)),"&amp;"
""OK"",
""NO COINCIDE. Valor verdadero: ""&amp;IF(valor="""",""[VACÍO]"",TO_TEXT(valor))
)
))))
),""ERROR EN FÓRMULA""))"),"OK")</f>
        <v>OK</v>
      </c>
    </row>
    <row r="4827">
      <c r="A4827" s="83" t="s">
        <v>4899</v>
      </c>
      <c r="B4827" s="83" t="s">
        <v>4900</v>
      </c>
      <c r="C4827" s="81" t="s">
        <v>4621</v>
      </c>
      <c r="D4827" s="83" t="s">
        <v>4483</v>
      </c>
      <c r="E4827" s="81" t="s">
        <v>2254</v>
      </c>
      <c r="F4827" s="81">
        <v>432.0</v>
      </c>
      <c r="G4827" s="81" t="s">
        <v>3</v>
      </c>
      <c r="H4827" s="81" t="s">
        <v>224</v>
      </c>
      <c r="I4827" s="81" t="s">
        <v>214</v>
      </c>
      <c r="J4827" s="81" t="s">
        <v>224</v>
      </c>
      <c r="K4827" s="81" t="str">
        <f>IFERROR(__xludf.DUMMYFUNCTION("IF(OR(D4827="""",G4827=""""),"""",IFERROR(LET(
campo,XLOOKUP(TRIM(G4827),ARRAYFORMULA(TRIM('indice columnas'!$A$2:$A$100)),'indice columnas'!$B$2:$B$100,""""),
col,IFERROR(MATCH(campo,Referencia!$A$1:$AZ$1,0),0),
fila,IFERROR(MATCH(TO_TEXT(D4827),ARRAYFOR"&amp;"MULA(TO_TEXT(Referencia!$A$2:$A6238)),0),0),
IF(OR(campo="""",campo=""-""),""NO APLICA"",
IF(col=0,""REVISAR EQUIVALENCIA"",
IF(fila=0,""SKU NO ENCONTRADO"",
LET(
valor,INDEX(Referencia!$A$2:$AZ6238,fila,col),
IF(TRIM(TO_TEXT(valor))=TRIM(TO_TEXT(I4827)),"&amp;"
""OK"",
""NO COINCIDE. Valor verdadero: ""&amp;IF(valor="""",""[VACÍO]"",TO_TEXT(valor))
)
))))
),""ERROR EN FÓRMULA""))"),"OK")</f>
        <v>OK</v>
      </c>
    </row>
    <row r="4828">
      <c r="A4828" s="83" t="s">
        <v>4899</v>
      </c>
      <c r="B4828" s="83" t="s">
        <v>4900</v>
      </c>
      <c r="C4828" s="81" t="s">
        <v>4621</v>
      </c>
      <c r="D4828" s="83" t="s">
        <v>4483</v>
      </c>
      <c r="E4828" s="81" t="s">
        <v>2254</v>
      </c>
      <c r="F4828" s="81">
        <v>432.0</v>
      </c>
      <c r="G4828" s="81" t="s">
        <v>2</v>
      </c>
      <c r="H4828" s="81" t="s">
        <v>224</v>
      </c>
      <c r="I4828" s="81" t="s">
        <v>213</v>
      </c>
      <c r="J4828" s="81" t="s">
        <v>224</v>
      </c>
      <c r="K4828" s="81" t="str">
        <f>IFERROR(__xludf.DUMMYFUNCTION("IF(OR(D4828="""",G4828=""""),"""",IFERROR(LET(
campo,XLOOKUP(TRIM(G4828),ARRAYFORMULA(TRIM('indice columnas'!$A$2:$A$100)),'indice columnas'!$B$2:$B$100,""""),
col,IFERROR(MATCH(campo,Referencia!$A$1:$AZ$1,0),0),
fila,IFERROR(MATCH(TO_TEXT(D4828),ARRAYFOR"&amp;"MULA(TO_TEXT(Referencia!$A$2:$A6238)),0),0),
IF(OR(campo="""",campo=""-""),""NO APLICA"",
IF(col=0,""REVISAR EQUIVALENCIA"",
IF(fila=0,""SKU NO ENCONTRADO"",
LET(
valor,INDEX(Referencia!$A$2:$AZ6238,fila,col),
IF(TRIM(TO_TEXT(valor))=TRIM(TO_TEXT(I4828)),"&amp;"
""OK"",
""NO COINCIDE. Valor verdadero: ""&amp;IF(valor="""",""[VACÍO]"",TO_TEXT(valor))
)
))))
),""ERROR EN FÓRMULA""))"),"OK")</f>
        <v>OK</v>
      </c>
    </row>
    <row r="4829">
      <c r="A4829" s="83" t="s">
        <v>4899</v>
      </c>
      <c r="B4829" s="83" t="s">
        <v>4900</v>
      </c>
      <c r="C4829" s="81" t="s">
        <v>4621</v>
      </c>
      <c r="D4829" s="83" t="s">
        <v>4483</v>
      </c>
      <c r="E4829" s="81" t="s">
        <v>2254</v>
      </c>
      <c r="F4829" s="81">
        <v>432.0</v>
      </c>
      <c r="G4829" s="81" t="s">
        <v>1</v>
      </c>
      <c r="H4829" s="81" t="s">
        <v>224</v>
      </c>
      <c r="I4829" s="81" t="s">
        <v>49</v>
      </c>
      <c r="J4829" s="81" t="s">
        <v>224</v>
      </c>
      <c r="K4829" s="81" t="str">
        <f>IFERROR(__xludf.DUMMYFUNCTION("IF(OR(D4829="""",G4829=""""),"""",IFERROR(LET(
campo,XLOOKUP(TRIM(G4829),ARRAYFORMULA(TRIM('indice columnas'!$A$2:$A$100)),'indice columnas'!$B$2:$B$100,""""),
col,IFERROR(MATCH(campo,Referencia!$A$1:$AZ$1,0),0),
fila,IFERROR(MATCH(TO_TEXT(D4829),ARRAYFOR"&amp;"MULA(TO_TEXT(Referencia!$A$2:$A6238)),0),0),
IF(OR(campo="""",campo=""-""),""NO APLICA"",
IF(col=0,""REVISAR EQUIVALENCIA"",
IF(fila=0,""SKU NO ENCONTRADO"",
LET(
valor,INDEX(Referencia!$A$2:$AZ6238,fila,col),
IF(TRIM(TO_TEXT(valor))=TRIM(TO_TEXT(I4829)),"&amp;"
""OK"",
""NO COINCIDE. Valor verdadero: ""&amp;IF(valor="""",""[VACÍO]"",TO_TEXT(valor))
)
))))
),""ERROR EN FÓRMULA""))"),"OK")</f>
        <v>OK</v>
      </c>
    </row>
    <row r="4830">
      <c r="A4830" s="83" t="s">
        <v>4899</v>
      </c>
      <c r="B4830" s="83" t="s">
        <v>4900</v>
      </c>
      <c r="C4830" s="81" t="s">
        <v>4621</v>
      </c>
      <c r="D4830" s="83" t="s">
        <v>4486</v>
      </c>
      <c r="E4830" s="81" t="s">
        <v>2268</v>
      </c>
      <c r="F4830" s="81">
        <v>435.0</v>
      </c>
      <c r="G4830" s="81" t="s">
        <v>3</v>
      </c>
      <c r="H4830" s="81" t="s">
        <v>224</v>
      </c>
      <c r="I4830" s="81" t="s">
        <v>51</v>
      </c>
      <c r="J4830" s="81" t="s">
        <v>224</v>
      </c>
      <c r="K4830" s="81" t="str">
        <f>IFERROR(__xludf.DUMMYFUNCTION("IF(OR(D4830="""",G4830=""""),"""",IFERROR(LET(
campo,XLOOKUP(TRIM(G4830),ARRAYFORMULA(TRIM('indice columnas'!$A$2:$A$100)),'indice columnas'!$B$2:$B$100,""""),
col,IFERROR(MATCH(campo,Referencia!$A$1:$AZ$1,0),0),
fila,IFERROR(MATCH(TO_TEXT(D4830),ARRAYFOR"&amp;"MULA(TO_TEXT(Referencia!$A$2:$A6238)),0),0),
IF(OR(campo="""",campo=""-""),""NO APLICA"",
IF(col=0,""REVISAR EQUIVALENCIA"",
IF(fila=0,""SKU NO ENCONTRADO"",
LET(
valor,INDEX(Referencia!$A$2:$AZ6238,fila,col),
IF(TRIM(TO_TEXT(valor))=TRIM(TO_TEXT(I4830)),"&amp;"
""OK"",
""NO COINCIDE. Valor verdadero: ""&amp;IF(valor="""",""[VACÍO]"",TO_TEXT(valor))
)
))))
),""ERROR EN FÓRMULA""))"),"OK")</f>
        <v>OK</v>
      </c>
    </row>
    <row r="4831">
      <c r="A4831" s="83" t="s">
        <v>4899</v>
      </c>
      <c r="B4831" s="83" t="s">
        <v>4900</v>
      </c>
      <c r="C4831" s="81" t="s">
        <v>4621</v>
      </c>
      <c r="D4831" s="83" t="s">
        <v>4486</v>
      </c>
      <c r="E4831" s="81" t="s">
        <v>2268</v>
      </c>
      <c r="F4831" s="81">
        <v>435.0</v>
      </c>
      <c r="G4831" s="81" t="s">
        <v>2</v>
      </c>
      <c r="H4831" s="81" t="s">
        <v>224</v>
      </c>
      <c r="I4831" s="81" t="s">
        <v>213</v>
      </c>
      <c r="J4831" s="81" t="s">
        <v>224</v>
      </c>
      <c r="K4831" s="81" t="str">
        <f>IFERROR(__xludf.DUMMYFUNCTION("IF(OR(D4831="""",G4831=""""),"""",IFERROR(LET(
campo,XLOOKUP(TRIM(G4831),ARRAYFORMULA(TRIM('indice columnas'!$A$2:$A$100)),'indice columnas'!$B$2:$B$100,""""),
col,IFERROR(MATCH(campo,Referencia!$A$1:$AZ$1,0),0),
fila,IFERROR(MATCH(TO_TEXT(D4831),ARRAYFOR"&amp;"MULA(TO_TEXT(Referencia!$A$2:$A6238)),0),0),
IF(OR(campo="""",campo=""-""),""NO APLICA"",
IF(col=0,""REVISAR EQUIVALENCIA"",
IF(fila=0,""SKU NO ENCONTRADO"",
LET(
valor,INDEX(Referencia!$A$2:$AZ6238,fila,col),
IF(TRIM(TO_TEXT(valor))=TRIM(TO_TEXT(I4831)),"&amp;"
""OK"",
""NO COINCIDE. Valor verdadero: ""&amp;IF(valor="""",""[VACÍO]"",TO_TEXT(valor))
)
))))
),""ERROR EN FÓRMULA""))"),"OK")</f>
        <v>OK</v>
      </c>
    </row>
    <row r="4832">
      <c r="A4832" s="83" t="s">
        <v>4899</v>
      </c>
      <c r="B4832" s="83" t="s">
        <v>4900</v>
      </c>
      <c r="C4832" s="81" t="s">
        <v>4621</v>
      </c>
      <c r="D4832" s="83" t="s">
        <v>4486</v>
      </c>
      <c r="E4832" s="81" t="s">
        <v>2268</v>
      </c>
      <c r="F4832" s="81">
        <v>435.0</v>
      </c>
      <c r="G4832" s="81" t="s">
        <v>1</v>
      </c>
      <c r="H4832" s="81" t="s">
        <v>224</v>
      </c>
      <c r="I4832" s="81" t="s">
        <v>49</v>
      </c>
      <c r="J4832" s="81" t="s">
        <v>224</v>
      </c>
      <c r="K4832" s="81" t="str">
        <f>IFERROR(__xludf.DUMMYFUNCTION("IF(OR(D4832="""",G4832=""""),"""",IFERROR(LET(
campo,XLOOKUP(TRIM(G4832),ARRAYFORMULA(TRIM('indice columnas'!$A$2:$A$100)),'indice columnas'!$B$2:$B$100,""""),
col,IFERROR(MATCH(campo,Referencia!$A$1:$AZ$1,0),0),
fila,IFERROR(MATCH(TO_TEXT(D4832),ARRAYFOR"&amp;"MULA(TO_TEXT(Referencia!$A$2:$A6238)),0),0),
IF(OR(campo="""",campo=""-""),""NO APLICA"",
IF(col=0,""REVISAR EQUIVALENCIA"",
IF(fila=0,""SKU NO ENCONTRADO"",
LET(
valor,INDEX(Referencia!$A$2:$AZ6238,fila,col),
IF(TRIM(TO_TEXT(valor))=TRIM(TO_TEXT(I4832)),"&amp;"
""OK"",
""NO COINCIDE. Valor verdadero: ""&amp;IF(valor="""",""[VACÍO]"",TO_TEXT(valor))
)
))))
),""ERROR EN FÓRMULA""))"),"OK")</f>
        <v>OK</v>
      </c>
    </row>
    <row r="4833">
      <c r="A4833" s="83" t="s">
        <v>4899</v>
      </c>
      <c r="B4833" s="83" t="s">
        <v>4900</v>
      </c>
      <c r="C4833" s="81" t="s">
        <v>4621</v>
      </c>
      <c r="D4833" s="83" t="s">
        <v>4489</v>
      </c>
      <c r="E4833" s="81" t="s">
        <v>2282</v>
      </c>
      <c r="F4833" s="81">
        <v>438.0</v>
      </c>
      <c r="G4833" s="81" t="s">
        <v>3</v>
      </c>
      <c r="H4833" s="81" t="s">
        <v>224</v>
      </c>
      <c r="I4833" s="81" t="s">
        <v>214</v>
      </c>
      <c r="J4833" s="81" t="s">
        <v>224</v>
      </c>
      <c r="K4833" s="81" t="str">
        <f>IFERROR(__xludf.DUMMYFUNCTION("IF(OR(D4833="""",G4833=""""),"""",IFERROR(LET(
campo,XLOOKUP(TRIM(G4833),ARRAYFORMULA(TRIM('indice columnas'!$A$2:$A$100)),'indice columnas'!$B$2:$B$100,""""),
col,IFERROR(MATCH(campo,Referencia!$A$1:$AZ$1,0),0),
fila,IFERROR(MATCH(TO_TEXT(D4833),ARRAYFOR"&amp;"MULA(TO_TEXT(Referencia!$A$2:$A6238)),0),0),
IF(OR(campo="""",campo=""-""),""NO APLICA"",
IF(col=0,""REVISAR EQUIVALENCIA"",
IF(fila=0,""SKU NO ENCONTRADO"",
LET(
valor,INDEX(Referencia!$A$2:$AZ6238,fila,col),
IF(TRIM(TO_TEXT(valor))=TRIM(TO_TEXT(I4833)),"&amp;"
""OK"",
""NO COINCIDE. Valor verdadero: ""&amp;IF(valor="""",""[VACÍO]"",TO_TEXT(valor))
)
))))
),""ERROR EN FÓRMULA""))"),"OK")</f>
        <v>OK</v>
      </c>
    </row>
    <row r="4834">
      <c r="A4834" s="83" t="s">
        <v>4899</v>
      </c>
      <c r="B4834" s="83" t="s">
        <v>4900</v>
      </c>
      <c r="C4834" s="81" t="s">
        <v>4621</v>
      </c>
      <c r="D4834" s="83" t="s">
        <v>4489</v>
      </c>
      <c r="E4834" s="81" t="s">
        <v>2282</v>
      </c>
      <c r="F4834" s="81">
        <v>438.0</v>
      </c>
      <c r="G4834" s="81" t="s">
        <v>2</v>
      </c>
      <c r="H4834" s="81" t="s">
        <v>224</v>
      </c>
      <c r="I4834" s="81" t="s">
        <v>213</v>
      </c>
      <c r="J4834" s="81" t="s">
        <v>224</v>
      </c>
      <c r="K4834" s="81" t="str">
        <f>IFERROR(__xludf.DUMMYFUNCTION("IF(OR(D4834="""",G4834=""""),"""",IFERROR(LET(
campo,XLOOKUP(TRIM(G4834),ARRAYFORMULA(TRIM('indice columnas'!$A$2:$A$100)),'indice columnas'!$B$2:$B$100,""""),
col,IFERROR(MATCH(campo,Referencia!$A$1:$AZ$1,0),0),
fila,IFERROR(MATCH(TO_TEXT(D4834),ARRAYFOR"&amp;"MULA(TO_TEXT(Referencia!$A$2:$A6238)),0),0),
IF(OR(campo="""",campo=""-""),""NO APLICA"",
IF(col=0,""REVISAR EQUIVALENCIA"",
IF(fila=0,""SKU NO ENCONTRADO"",
LET(
valor,INDEX(Referencia!$A$2:$AZ6238,fila,col),
IF(TRIM(TO_TEXT(valor))=TRIM(TO_TEXT(I4834)),"&amp;"
""OK"",
""NO COINCIDE. Valor verdadero: ""&amp;IF(valor="""",""[VACÍO]"",TO_TEXT(valor))
)
))))
),""ERROR EN FÓRMULA""))"),"OK")</f>
        <v>OK</v>
      </c>
    </row>
    <row r="4835">
      <c r="A4835" s="83" t="s">
        <v>4899</v>
      </c>
      <c r="B4835" s="83" t="s">
        <v>4900</v>
      </c>
      <c r="C4835" s="81" t="s">
        <v>4621</v>
      </c>
      <c r="D4835" s="83" t="s">
        <v>4489</v>
      </c>
      <c r="E4835" s="81" t="s">
        <v>2282</v>
      </c>
      <c r="F4835" s="81">
        <v>438.0</v>
      </c>
      <c r="G4835" s="81" t="s">
        <v>1</v>
      </c>
      <c r="H4835" s="81" t="s">
        <v>224</v>
      </c>
      <c r="I4835" s="81" t="s">
        <v>49</v>
      </c>
      <c r="J4835" s="81" t="s">
        <v>224</v>
      </c>
      <c r="K4835" s="81" t="str">
        <f>IFERROR(__xludf.DUMMYFUNCTION("IF(OR(D4835="""",G4835=""""),"""",IFERROR(LET(
campo,XLOOKUP(TRIM(G4835),ARRAYFORMULA(TRIM('indice columnas'!$A$2:$A$100)),'indice columnas'!$B$2:$B$100,""""),
col,IFERROR(MATCH(campo,Referencia!$A$1:$AZ$1,0),0),
fila,IFERROR(MATCH(TO_TEXT(D4835),ARRAYFOR"&amp;"MULA(TO_TEXT(Referencia!$A$2:$A6238)),0),0),
IF(OR(campo="""",campo=""-""),""NO APLICA"",
IF(col=0,""REVISAR EQUIVALENCIA"",
IF(fila=0,""SKU NO ENCONTRADO"",
LET(
valor,INDEX(Referencia!$A$2:$AZ6238,fila,col),
IF(TRIM(TO_TEXT(valor))=TRIM(TO_TEXT(I4835)),"&amp;"
""OK"",
""NO COINCIDE. Valor verdadero: ""&amp;IF(valor="""",""[VACÍO]"",TO_TEXT(valor))
)
))))
),""ERROR EN FÓRMULA""))"),"OK")</f>
        <v>OK</v>
      </c>
    </row>
    <row r="4836">
      <c r="A4836" s="83" t="s">
        <v>4899</v>
      </c>
      <c r="B4836" s="83" t="s">
        <v>4900</v>
      </c>
      <c r="C4836" s="81" t="s">
        <v>4621</v>
      </c>
      <c r="D4836" s="83" t="s">
        <v>4493</v>
      </c>
      <c r="E4836" s="81" t="s">
        <v>2297</v>
      </c>
      <c r="F4836" s="81">
        <v>441.0</v>
      </c>
      <c r="G4836" s="81" t="s">
        <v>3</v>
      </c>
      <c r="H4836" s="81" t="s">
        <v>224</v>
      </c>
      <c r="I4836" s="81" t="s">
        <v>214</v>
      </c>
      <c r="J4836" s="81" t="s">
        <v>224</v>
      </c>
      <c r="K4836" s="81" t="str">
        <f>IFERROR(__xludf.DUMMYFUNCTION("IF(OR(D4836="""",G4836=""""),"""",IFERROR(LET(
campo,XLOOKUP(TRIM(G4836),ARRAYFORMULA(TRIM('indice columnas'!$A$2:$A$100)),'indice columnas'!$B$2:$B$100,""""),
col,IFERROR(MATCH(campo,Referencia!$A$1:$AZ$1,0),0),
fila,IFERROR(MATCH(TO_TEXT(D4836),ARRAYFOR"&amp;"MULA(TO_TEXT(Referencia!$A$2:$A6238)),0),0),
IF(OR(campo="""",campo=""-""),""NO APLICA"",
IF(col=0,""REVISAR EQUIVALENCIA"",
IF(fila=0,""SKU NO ENCONTRADO"",
LET(
valor,INDEX(Referencia!$A$2:$AZ6238,fila,col),
IF(TRIM(TO_TEXT(valor))=TRIM(TO_TEXT(I4836)),"&amp;"
""OK"",
""NO COINCIDE. Valor verdadero: ""&amp;IF(valor="""",""[VACÍO]"",TO_TEXT(valor))
)
))))
),""ERROR EN FÓRMULA""))"),"OK")</f>
        <v>OK</v>
      </c>
    </row>
    <row r="4837">
      <c r="A4837" s="83" t="s">
        <v>4899</v>
      </c>
      <c r="B4837" s="83" t="s">
        <v>4900</v>
      </c>
      <c r="C4837" s="81" t="s">
        <v>4621</v>
      </c>
      <c r="D4837" s="83" t="s">
        <v>4493</v>
      </c>
      <c r="E4837" s="81" t="s">
        <v>2297</v>
      </c>
      <c r="F4837" s="81">
        <v>441.0</v>
      </c>
      <c r="G4837" s="81" t="s">
        <v>2</v>
      </c>
      <c r="H4837" s="81" t="s">
        <v>224</v>
      </c>
      <c r="I4837" s="81" t="s">
        <v>213</v>
      </c>
      <c r="J4837" s="81" t="s">
        <v>224</v>
      </c>
      <c r="K4837" s="81" t="str">
        <f>IFERROR(__xludf.DUMMYFUNCTION("IF(OR(D4837="""",G4837=""""),"""",IFERROR(LET(
campo,XLOOKUP(TRIM(G4837),ARRAYFORMULA(TRIM('indice columnas'!$A$2:$A$100)),'indice columnas'!$B$2:$B$100,""""),
col,IFERROR(MATCH(campo,Referencia!$A$1:$AZ$1,0),0),
fila,IFERROR(MATCH(TO_TEXT(D4837),ARRAYFOR"&amp;"MULA(TO_TEXT(Referencia!$A$2:$A6238)),0),0),
IF(OR(campo="""",campo=""-""),""NO APLICA"",
IF(col=0,""REVISAR EQUIVALENCIA"",
IF(fila=0,""SKU NO ENCONTRADO"",
LET(
valor,INDEX(Referencia!$A$2:$AZ6238,fila,col),
IF(TRIM(TO_TEXT(valor))=TRIM(TO_TEXT(I4837)),"&amp;"
""OK"",
""NO COINCIDE. Valor verdadero: ""&amp;IF(valor="""",""[VACÍO]"",TO_TEXT(valor))
)
))))
),""ERROR EN FÓRMULA""))"),"OK")</f>
        <v>OK</v>
      </c>
    </row>
    <row r="4838">
      <c r="A4838" s="83" t="s">
        <v>4899</v>
      </c>
      <c r="B4838" s="83" t="s">
        <v>4900</v>
      </c>
      <c r="C4838" s="81" t="s">
        <v>4621</v>
      </c>
      <c r="D4838" s="83" t="s">
        <v>4493</v>
      </c>
      <c r="E4838" s="81" t="s">
        <v>2297</v>
      </c>
      <c r="F4838" s="81">
        <v>441.0</v>
      </c>
      <c r="G4838" s="81" t="s">
        <v>1</v>
      </c>
      <c r="H4838" s="81" t="s">
        <v>224</v>
      </c>
      <c r="I4838" s="81" t="s">
        <v>49</v>
      </c>
      <c r="J4838" s="81" t="s">
        <v>224</v>
      </c>
      <c r="K4838" s="81" t="str">
        <f>IFERROR(__xludf.DUMMYFUNCTION("IF(OR(D4838="""",G4838=""""),"""",IFERROR(LET(
campo,XLOOKUP(TRIM(G4838),ARRAYFORMULA(TRIM('indice columnas'!$A$2:$A$100)),'indice columnas'!$B$2:$B$100,""""),
col,IFERROR(MATCH(campo,Referencia!$A$1:$AZ$1,0),0),
fila,IFERROR(MATCH(TO_TEXT(D4838),ARRAYFOR"&amp;"MULA(TO_TEXT(Referencia!$A$2:$A6238)),0),0),
IF(OR(campo="""",campo=""-""),""NO APLICA"",
IF(col=0,""REVISAR EQUIVALENCIA"",
IF(fila=0,""SKU NO ENCONTRADO"",
LET(
valor,INDEX(Referencia!$A$2:$AZ6238,fila,col),
IF(TRIM(TO_TEXT(valor))=TRIM(TO_TEXT(I4838)),"&amp;"
""OK"",
""NO COINCIDE. Valor verdadero: ""&amp;IF(valor="""",""[VACÍO]"",TO_TEXT(valor))
)
))))
),""ERROR EN FÓRMULA""))"),"OK")</f>
        <v>OK</v>
      </c>
    </row>
    <row r="4839">
      <c r="A4839" s="83" t="s">
        <v>4899</v>
      </c>
      <c r="B4839" s="83" t="s">
        <v>4900</v>
      </c>
      <c r="C4839" s="81" t="s">
        <v>4621</v>
      </c>
      <c r="D4839" s="83" t="s">
        <v>4494</v>
      </c>
      <c r="E4839" s="81" t="s">
        <v>2307</v>
      </c>
      <c r="F4839" s="81">
        <v>443.0</v>
      </c>
      <c r="G4839" s="81" t="s">
        <v>3</v>
      </c>
      <c r="H4839" s="81" t="s">
        <v>376</v>
      </c>
      <c r="I4839" s="81" t="s">
        <v>344</v>
      </c>
      <c r="J4839" s="81" t="s">
        <v>224</v>
      </c>
      <c r="K4839" s="81" t="str">
        <f>IFERROR(__xludf.DUMMYFUNCTION("IF(OR(D4839="""",G4839=""""),"""",IFERROR(LET(
campo,XLOOKUP(TRIM(G4839),ARRAYFORMULA(TRIM('indice columnas'!$A$2:$A$100)),'indice columnas'!$B$2:$B$100,""""),
col,IFERROR(MATCH(campo,Referencia!$A$1:$AZ$1,0),0),
fila,IFERROR(MATCH(TO_TEXT(D4839),ARRAYFOR"&amp;"MULA(TO_TEXT(Referencia!$A$2:$A6238)),0),0),
IF(OR(campo="""",campo=""-""),""NO APLICA"",
IF(col=0,""REVISAR EQUIVALENCIA"",
IF(fila=0,""SKU NO ENCONTRADO"",
LET(
valor,INDEX(Referencia!$A$2:$AZ6238,fila,col),
IF(TRIM(TO_TEXT(valor))=TRIM(TO_TEXT(I4839)),"&amp;"
""OK"",
""NO COINCIDE. Valor verdadero: ""&amp;IF(valor="""",""[VACÍO]"",TO_TEXT(valor))
)
))))
),""ERROR EN FÓRMULA""))"),"OK")</f>
        <v>OK</v>
      </c>
    </row>
    <row r="4840">
      <c r="A4840" s="83" t="s">
        <v>4899</v>
      </c>
      <c r="B4840" s="83" t="s">
        <v>4900</v>
      </c>
      <c r="C4840" s="81" t="s">
        <v>4621</v>
      </c>
      <c r="D4840" s="83" t="s">
        <v>4495</v>
      </c>
      <c r="E4840" s="81" t="s">
        <v>2308</v>
      </c>
      <c r="F4840" s="81">
        <v>444.0</v>
      </c>
      <c r="G4840" s="81" t="s">
        <v>3</v>
      </c>
      <c r="H4840" s="81" t="s">
        <v>224</v>
      </c>
      <c r="I4840" s="81" t="s">
        <v>344</v>
      </c>
      <c r="J4840" s="81" t="s">
        <v>224</v>
      </c>
      <c r="K4840" s="81" t="str">
        <f>IFERROR(__xludf.DUMMYFUNCTION("IF(OR(D4840="""",G4840=""""),"""",IFERROR(LET(
campo,XLOOKUP(TRIM(G4840),ARRAYFORMULA(TRIM('indice columnas'!$A$2:$A$100)),'indice columnas'!$B$2:$B$100,""""),
col,IFERROR(MATCH(campo,Referencia!$A$1:$AZ$1,0),0),
fila,IFERROR(MATCH(TO_TEXT(D4840),ARRAYFOR"&amp;"MULA(TO_TEXT(Referencia!$A$2:$A6238)),0),0),
IF(OR(campo="""",campo=""-""),""NO APLICA"",
IF(col=0,""REVISAR EQUIVALENCIA"",
IF(fila=0,""SKU NO ENCONTRADO"",
LET(
valor,INDEX(Referencia!$A$2:$AZ6238,fila,col),
IF(TRIM(TO_TEXT(valor))=TRIM(TO_TEXT(I4840)),"&amp;"
""OK"",
""NO COINCIDE. Valor verdadero: ""&amp;IF(valor="""",""[VACÍO]"",TO_TEXT(valor))
)
))))
),""ERROR EN FÓRMULA""))"),"OK")</f>
        <v>OK</v>
      </c>
    </row>
    <row r="4841">
      <c r="A4841" s="83" t="s">
        <v>4899</v>
      </c>
      <c r="B4841" s="83" t="s">
        <v>4900</v>
      </c>
      <c r="C4841" s="81" t="s">
        <v>4621</v>
      </c>
      <c r="D4841" s="83" t="s">
        <v>4495</v>
      </c>
      <c r="E4841" s="81" t="s">
        <v>2308</v>
      </c>
      <c r="F4841" s="81">
        <v>444.0</v>
      </c>
      <c r="G4841" s="81" t="s">
        <v>2</v>
      </c>
      <c r="H4841" s="81" t="s">
        <v>224</v>
      </c>
      <c r="I4841" s="81" t="s">
        <v>213</v>
      </c>
      <c r="J4841" s="81" t="s">
        <v>224</v>
      </c>
      <c r="K4841" s="81" t="str">
        <f>IFERROR(__xludf.DUMMYFUNCTION("IF(OR(D4841="""",G4841=""""),"""",IFERROR(LET(
campo,XLOOKUP(TRIM(G4841),ARRAYFORMULA(TRIM('indice columnas'!$A$2:$A$100)),'indice columnas'!$B$2:$B$100,""""),
col,IFERROR(MATCH(campo,Referencia!$A$1:$AZ$1,0),0),
fila,IFERROR(MATCH(TO_TEXT(D4841),ARRAYFOR"&amp;"MULA(TO_TEXT(Referencia!$A$2:$A6238)),0),0),
IF(OR(campo="""",campo=""-""),""NO APLICA"",
IF(col=0,""REVISAR EQUIVALENCIA"",
IF(fila=0,""SKU NO ENCONTRADO"",
LET(
valor,INDEX(Referencia!$A$2:$AZ6238,fila,col),
IF(TRIM(TO_TEXT(valor))=TRIM(TO_TEXT(I4841)),"&amp;"
""OK"",
""NO COINCIDE. Valor verdadero: ""&amp;IF(valor="""",""[VACÍO]"",TO_TEXT(valor))
)
))))
),""ERROR EN FÓRMULA""))"),"OK")</f>
        <v>OK</v>
      </c>
    </row>
    <row r="4842">
      <c r="A4842" s="83" t="s">
        <v>4899</v>
      </c>
      <c r="B4842" s="83" t="s">
        <v>4900</v>
      </c>
      <c r="C4842" s="81" t="s">
        <v>4621</v>
      </c>
      <c r="D4842" s="83" t="s">
        <v>4495</v>
      </c>
      <c r="E4842" s="81" t="s">
        <v>2308</v>
      </c>
      <c r="F4842" s="81">
        <v>444.0</v>
      </c>
      <c r="G4842" s="81" t="s">
        <v>1</v>
      </c>
      <c r="H4842" s="81" t="s">
        <v>224</v>
      </c>
      <c r="I4842" s="81" t="s">
        <v>49</v>
      </c>
      <c r="J4842" s="81" t="s">
        <v>224</v>
      </c>
      <c r="K4842" s="81" t="str">
        <f>IFERROR(__xludf.DUMMYFUNCTION("IF(OR(D4842="""",G4842=""""),"""",IFERROR(LET(
campo,XLOOKUP(TRIM(G4842),ARRAYFORMULA(TRIM('indice columnas'!$A$2:$A$100)),'indice columnas'!$B$2:$B$100,""""),
col,IFERROR(MATCH(campo,Referencia!$A$1:$AZ$1,0),0),
fila,IFERROR(MATCH(TO_TEXT(D4842),ARRAYFOR"&amp;"MULA(TO_TEXT(Referencia!$A$2:$A6238)),0),0),
IF(OR(campo="""",campo=""-""),""NO APLICA"",
IF(col=0,""REVISAR EQUIVALENCIA"",
IF(fila=0,""SKU NO ENCONTRADO"",
LET(
valor,INDEX(Referencia!$A$2:$AZ6238,fila,col),
IF(TRIM(TO_TEXT(valor))=TRIM(TO_TEXT(I4842)),"&amp;"
""OK"",
""NO COINCIDE. Valor verdadero: ""&amp;IF(valor="""",""[VACÍO]"",TO_TEXT(valor))
)
))))
),""ERROR EN FÓRMULA""))"),"OK")</f>
        <v>OK</v>
      </c>
    </row>
    <row r="4843">
      <c r="A4843" s="83" t="s">
        <v>4899</v>
      </c>
      <c r="B4843" s="83" t="s">
        <v>4900</v>
      </c>
      <c r="C4843" s="81" t="s">
        <v>4621</v>
      </c>
      <c r="D4843" s="83" t="s">
        <v>4496</v>
      </c>
      <c r="E4843" s="81" t="s">
        <v>2317</v>
      </c>
      <c r="F4843" s="81">
        <v>446.0</v>
      </c>
      <c r="G4843" s="81" t="s">
        <v>3</v>
      </c>
      <c r="H4843" s="81" t="s">
        <v>376</v>
      </c>
      <c r="I4843" s="81" t="s">
        <v>344</v>
      </c>
      <c r="J4843" s="81" t="s">
        <v>224</v>
      </c>
      <c r="K4843" s="81" t="str">
        <f>IFERROR(__xludf.DUMMYFUNCTION("IF(OR(D4843="""",G4843=""""),"""",IFERROR(LET(
campo,XLOOKUP(TRIM(G4843),ARRAYFORMULA(TRIM('indice columnas'!$A$2:$A$100)),'indice columnas'!$B$2:$B$100,""""),
col,IFERROR(MATCH(campo,Referencia!$A$1:$AZ$1,0),0),
fila,IFERROR(MATCH(TO_TEXT(D4843),ARRAYFOR"&amp;"MULA(TO_TEXT(Referencia!$A$2:$A6238)),0),0),
IF(OR(campo="""",campo=""-""),""NO APLICA"",
IF(col=0,""REVISAR EQUIVALENCIA"",
IF(fila=0,""SKU NO ENCONTRADO"",
LET(
valor,INDEX(Referencia!$A$2:$AZ6238,fila,col),
IF(TRIM(TO_TEXT(valor))=TRIM(TO_TEXT(I4843)),"&amp;"
""OK"",
""NO COINCIDE. Valor verdadero: ""&amp;IF(valor="""",""[VACÍO]"",TO_TEXT(valor))
)
))))
),""ERROR EN FÓRMULA""))"),"OK")</f>
        <v>OK</v>
      </c>
    </row>
    <row r="4844">
      <c r="A4844" s="83" t="s">
        <v>4899</v>
      </c>
      <c r="B4844" s="83" t="s">
        <v>4900</v>
      </c>
      <c r="C4844" s="81" t="s">
        <v>4621</v>
      </c>
      <c r="D4844" s="83" t="s">
        <v>4497</v>
      </c>
      <c r="E4844" s="81" t="s">
        <v>2318</v>
      </c>
      <c r="F4844" s="81">
        <v>447.0</v>
      </c>
      <c r="G4844" s="81" t="s">
        <v>3</v>
      </c>
      <c r="H4844" s="81" t="s">
        <v>224</v>
      </c>
      <c r="I4844" s="81" t="s">
        <v>344</v>
      </c>
      <c r="J4844" s="81" t="s">
        <v>224</v>
      </c>
      <c r="K4844" s="81" t="str">
        <f>IFERROR(__xludf.DUMMYFUNCTION("IF(OR(D4844="""",G4844=""""),"""",IFERROR(LET(
campo,XLOOKUP(TRIM(G4844),ARRAYFORMULA(TRIM('indice columnas'!$A$2:$A$100)),'indice columnas'!$B$2:$B$100,""""),
col,IFERROR(MATCH(campo,Referencia!$A$1:$AZ$1,0),0),
fila,IFERROR(MATCH(TO_TEXT(D4844),ARRAYFOR"&amp;"MULA(TO_TEXT(Referencia!$A$2:$A6238)),0),0),
IF(OR(campo="""",campo=""-""),""NO APLICA"",
IF(col=0,""REVISAR EQUIVALENCIA"",
IF(fila=0,""SKU NO ENCONTRADO"",
LET(
valor,INDEX(Referencia!$A$2:$AZ6238,fila,col),
IF(TRIM(TO_TEXT(valor))=TRIM(TO_TEXT(I4844)),"&amp;"
""OK"",
""NO COINCIDE. Valor verdadero: ""&amp;IF(valor="""",""[VACÍO]"",TO_TEXT(valor))
)
))))
),""ERROR EN FÓRMULA""))"),"OK")</f>
        <v>OK</v>
      </c>
    </row>
    <row r="4845">
      <c r="A4845" s="83" t="s">
        <v>4899</v>
      </c>
      <c r="B4845" s="83" t="s">
        <v>4900</v>
      </c>
      <c r="C4845" s="81" t="s">
        <v>4621</v>
      </c>
      <c r="D4845" s="83" t="s">
        <v>4497</v>
      </c>
      <c r="E4845" s="81" t="s">
        <v>2318</v>
      </c>
      <c r="F4845" s="81">
        <v>447.0</v>
      </c>
      <c r="G4845" s="81" t="s">
        <v>2</v>
      </c>
      <c r="H4845" s="81" t="s">
        <v>224</v>
      </c>
      <c r="I4845" s="81" t="s">
        <v>213</v>
      </c>
      <c r="J4845" s="81" t="s">
        <v>224</v>
      </c>
      <c r="K4845" s="81" t="str">
        <f>IFERROR(__xludf.DUMMYFUNCTION("IF(OR(D4845="""",G4845=""""),"""",IFERROR(LET(
campo,XLOOKUP(TRIM(G4845),ARRAYFORMULA(TRIM('indice columnas'!$A$2:$A$100)),'indice columnas'!$B$2:$B$100,""""),
col,IFERROR(MATCH(campo,Referencia!$A$1:$AZ$1,0),0),
fila,IFERROR(MATCH(TO_TEXT(D4845),ARRAYFOR"&amp;"MULA(TO_TEXT(Referencia!$A$2:$A6238)),0),0),
IF(OR(campo="""",campo=""-""),""NO APLICA"",
IF(col=0,""REVISAR EQUIVALENCIA"",
IF(fila=0,""SKU NO ENCONTRADO"",
LET(
valor,INDEX(Referencia!$A$2:$AZ6238,fila,col),
IF(TRIM(TO_TEXT(valor))=TRIM(TO_TEXT(I4845)),"&amp;"
""OK"",
""NO COINCIDE. Valor verdadero: ""&amp;IF(valor="""",""[VACÍO]"",TO_TEXT(valor))
)
))))
),""ERROR EN FÓRMULA""))"),"OK")</f>
        <v>OK</v>
      </c>
    </row>
    <row r="4846">
      <c r="A4846" s="83" t="s">
        <v>4899</v>
      </c>
      <c r="B4846" s="83" t="s">
        <v>4900</v>
      </c>
      <c r="C4846" s="81" t="s">
        <v>4621</v>
      </c>
      <c r="D4846" s="83" t="s">
        <v>4497</v>
      </c>
      <c r="E4846" s="81" t="s">
        <v>2318</v>
      </c>
      <c r="F4846" s="81">
        <v>447.0</v>
      </c>
      <c r="G4846" s="81" t="s">
        <v>1</v>
      </c>
      <c r="H4846" s="81" t="s">
        <v>224</v>
      </c>
      <c r="I4846" s="81" t="s">
        <v>49</v>
      </c>
      <c r="J4846" s="81" t="s">
        <v>224</v>
      </c>
      <c r="K4846" s="81" t="str">
        <f>IFERROR(__xludf.DUMMYFUNCTION("IF(OR(D4846="""",G4846=""""),"""",IFERROR(LET(
campo,XLOOKUP(TRIM(G4846),ARRAYFORMULA(TRIM('indice columnas'!$A$2:$A$100)),'indice columnas'!$B$2:$B$100,""""),
col,IFERROR(MATCH(campo,Referencia!$A$1:$AZ$1,0),0),
fila,IFERROR(MATCH(TO_TEXT(D4846),ARRAYFOR"&amp;"MULA(TO_TEXT(Referencia!$A$2:$A6238)),0),0),
IF(OR(campo="""",campo=""-""),""NO APLICA"",
IF(col=0,""REVISAR EQUIVALENCIA"",
IF(fila=0,""SKU NO ENCONTRADO"",
LET(
valor,INDEX(Referencia!$A$2:$AZ6238,fila,col),
IF(TRIM(TO_TEXT(valor))=TRIM(TO_TEXT(I4846)),"&amp;"
""OK"",
""NO COINCIDE. Valor verdadero: ""&amp;IF(valor="""",""[VACÍO]"",TO_TEXT(valor))
)
))))
),""ERROR EN FÓRMULA""))"),"OK")</f>
        <v>OK</v>
      </c>
    </row>
    <row r="4847">
      <c r="A4847" s="83" t="s">
        <v>4899</v>
      </c>
      <c r="B4847" s="83" t="s">
        <v>4900</v>
      </c>
      <c r="C4847" s="81" t="s">
        <v>4621</v>
      </c>
      <c r="D4847" s="83" t="s">
        <v>4500</v>
      </c>
      <c r="E4847" s="81" t="s">
        <v>2326</v>
      </c>
      <c r="F4847" s="81">
        <v>450.0</v>
      </c>
      <c r="G4847" s="81" t="s">
        <v>3</v>
      </c>
      <c r="H4847" s="81" t="s">
        <v>224</v>
      </c>
      <c r="I4847" s="81" t="s">
        <v>920</v>
      </c>
      <c r="J4847" s="81" t="s">
        <v>224</v>
      </c>
      <c r="K4847" s="81" t="str">
        <f>IFERROR(__xludf.DUMMYFUNCTION("IF(OR(D4847="""",G4847=""""),"""",IFERROR(LET(
campo,XLOOKUP(TRIM(G4847),ARRAYFORMULA(TRIM('indice columnas'!$A$2:$A$100)),'indice columnas'!$B$2:$B$100,""""),
col,IFERROR(MATCH(campo,Referencia!$A$1:$AZ$1,0),0),
fila,IFERROR(MATCH(TO_TEXT(D4847),ARRAYFOR"&amp;"MULA(TO_TEXT(Referencia!$A$2:$A6238)),0),0),
IF(OR(campo="""",campo=""-""),""NO APLICA"",
IF(col=0,""REVISAR EQUIVALENCIA"",
IF(fila=0,""SKU NO ENCONTRADO"",
LET(
valor,INDEX(Referencia!$A$2:$AZ6238,fila,col),
IF(TRIM(TO_TEXT(valor))=TRIM(TO_TEXT(I4847)),"&amp;"
""OK"",
""NO COINCIDE. Valor verdadero: ""&amp;IF(valor="""",""[VACÍO]"",TO_TEXT(valor))
)
))))
),""ERROR EN FÓRMULA""))"),"OK")</f>
        <v>OK</v>
      </c>
    </row>
    <row r="4848">
      <c r="A4848" s="83" t="s">
        <v>4899</v>
      </c>
      <c r="B4848" s="83" t="s">
        <v>4900</v>
      </c>
      <c r="C4848" s="81" t="s">
        <v>4621</v>
      </c>
      <c r="D4848" s="83" t="s">
        <v>4500</v>
      </c>
      <c r="E4848" s="81" t="s">
        <v>2326</v>
      </c>
      <c r="F4848" s="81">
        <v>450.0</v>
      </c>
      <c r="G4848" s="81" t="s">
        <v>2</v>
      </c>
      <c r="H4848" s="81" t="s">
        <v>224</v>
      </c>
      <c r="I4848" s="81" t="s">
        <v>919</v>
      </c>
      <c r="J4848" s="81" t="s">
        <v>224</v>
      </c>
      <c r="K4848" s="81" t="str">
        <f>IFERROR(__xludf.DUMMYFUNCTION("IF(OR(D4848="""",G4848=""""),"""",IFERROR(LET(
campo,XLOOKUP(TRIM(G4848),ARRAYFORMULA(TRIM('indice columnas'!$A$2:$A$100)),'indice columnas'!$B$2:$B$100,""""),
col,IFERROR(MATCH(campo,Referencia!$A$1:$AZ$1,0),0),
fila,IFERROR(MATCH(TO_TEXT(D4848),ARRAYFOR"&amp;"MULA(TO_TEXT(Referencia!$A$2:$A6238)),0),0),
IF(OR(campo="""",campo=""-""),""NO APLICA"",
IF(col=0,""REVISAR EQUIVALENCIA"",
IF(fila=0,""SKU NO ENCONTRADO"",
LET(
valor,INDEX(Referencia!$A$2:$AZ6238,fila,col),
IF(TRIM(TO_TEXT(valor))=TRIM(TO_TEXT(I4848)),"&amp;"
""OK"",
""NO COINCIDE. Valor verdadero: ""&amp;IF(valor="""",""[VACÍO]"",TO_TEXT(valor))
)
))))
),""ERROR EN FÓRMULA""))"),"OK")</f>
        <v>OK</v>
      </c>
    </row>
    <row r="4849">
      <c r="A4849" s="83" t="s">
        <v>4899</v>
      </c>
      <c r="B4849" s="83" t="s">
        <v>4900</v>
      </c>
      <c r="C4849" s="81" t="s">
        <v>4621</v>
      </c>
      <c r="D4849" s="83" t="s">
        <v>4500</v>
      </c>
      <c r="E4849" s="81" t="s">
        <v>2326</v>
      </c>
      <c r="F4849" s="81">
        <v>450.0</v>
      </c>
      <c r="G4849" s="81" t="s">
        <v>1</v>
      </c>
      <c r="H4849" s="81" t="s">
        <v>224</v>
      </c>
      <c r="I4849" s="81" t="s">
        <v>49</v>
      </c>
      <c r="J4849" s="81" t="s">
        <v>224</v>
      </c>
      <c r="K4849" s="81" t="str">
        <f>IFERROR(__xludf.DUMMYFUNCTION("IF(OR(D4849="""",G4849=""""),"""",IFERROR(LET(
campo,XLOOKUP(TRIM(G4849),ARRAYFORMULA(TRIM('indice columnas'!$A$2:$A$100)),'indice columnas'!$B$2:$B$100,""""),
col,IFERROR(MATCH(campo,Referencia!$A$1:$AZ$1,0),0),
fila,IFERROR(MATCH(TO_TEXT(D4849),ARRAYFOR"&amp;"MULA(TO_TEXT(Referencia!$A$2:$A6238)),0),0),
IF(OR(campo="""",campo=""-""),""NO APLICA"",
IF(col=0,""REVISAR EQUIVALENCIA"",
IF(fila=0,""SKU NO ENCONTRADO"",
LET(
valor,INDEX(Referencia!$A$2:$AZ6238,fila,col),
IF(TRIM(TO_TEXT(valor))=TRIM(TO_TEXT(I4849)),"&amp;"
""OK"",
""NO COINCIDE. Valor verdadero: ""&amp;IF(valor="""",""[VACÍO]"",TO_TEXT(valor))
)
))))
),""ERROR EN FÓRMULA""))"),"OK")</f>
        <v>OK</v>
      </c>
    </row>
    <row r="4850">
      <c r="A4850" s="83" t="s">
        <v>4899</v>
      </c>
      <c r="B4850" s="83" t="s">
        <v>4900</v>
      </c>
      <c r="C4850" s="81" t="s">
        <v>4621</v>
      </c>
      <c r="D4850" s="83" t="s">
        <v>4503</v>
      </c>
      <c r="E4850" s="81" t="s">
        <v>2334</v>
      </c>
      <c r="F4850" s="81">
        <v>452.0</v>
      </c>
      <c r="G4850" s="81" t="s">
        <v>3</v>
      </c>
      <c r="H4850" s="81" t="s">
        <v>224</v>
      </c>
      <c r="I4850" s="81" t="s">
        <v>1595</v>
      </c>
      <c r="J4850" s="81" t="s">
        <v>224</v>
      </c>
      <c r="K4850" s="81" t="str">
        <f>IFERROR(__xludf.DUMMYFUNCTION("IF(OR(D4850="""",G4850=""""),"""",IFERROR(LET(
campo,XLOOKUP(TRIM(G4850),ARRAYFORMULA(TRIM('indice columnas'!$A$2:$A$100)),'indice columnas'!$B$2:$B$100,""""),
col,IFERROR(MATCH(campo,Referencia!$A$1:$AZ$1,0),0),
fila,IFERROR(MATCH(TO_TEXT(D4850),ARRAYFOR"&amp;"MULA(TO_TEXT(Referencia!$A$2:$A6238)),0),0),
IF(OR(campo="""",campo=""-""),""NO APLICA"",
IF(col=0,""REVISAR EQUIVALENCIA"",
IF(fila=0,""SKU NO ENCONTRADO"",
LET(
valor,INDEX(Referencia!$A$2:$AZ6238,fila,col),
IF(TRIM(TO_TEXT(valor))=TRIM(TO_TEXT(I4850)),"&amp;"
""OK"",
""NO COINCIDE. Valor verdadero: ""&amp;IF(valor="""",""[VACÍO]"",TO_TEXT(valor))
)
))))
),""ERROR EN FÓRMULA""))"),"OK")</f>
        <v>OK</v>
      </c>
    </row>
    <row r="4851">
      <c r="A4851" s="83" t="s">
        <v>4899</v>
      </c>
      <c r="B4851" s="83" t="s">
        <v>4900</v>
      </c>
      <c r="C4851" s="81" t="s">
        <v>4621</v>
      </c>
      <c r="D4851" s="83" t="s">
        <v>4503</v>
      </c>
      <c r="E4851" s="81" t="s">
        <v>2334</v>
      </c>
      <c r="F4851" s="81">
        <v>452.0</v>
      </c>
      <c r="G4851" s="81" t="s">
        <v>2</v>
      </c>
      <c r="H4851" s="81" t="s">
        <v>224</v>
      </c>
      <c r="I4851" s="81" t="s">
        <v>332</v>
      </c>
      <c r="J4851" s="81" t="s">
        <v>224</v>
      </c>
      <c r="K4851" s="81" t="str">
        <f>IFERROR(__xludf.DUMMYFUNCTION("IF(OR(D4851="""",G4851=""""),"""",IFERROR(LET(
campo,XLOOKUP(TRIM(G4851),ARRAYFORMULA(TRIM('indice columnas'!$A$2:$A$100)),'indice columnas'!$B$2:$B$100,""""),
col,IFERROR(MATCH(campo,Referencia!$A$1:$AZ$1,0),0),
fila,IFERROR(MATCH(TO_TEXT(D4851),ARRAYFOR"&amp;"MULA(TO_TEXT(Referencia!$A$2:$A6238)),0),0),
IF(OR(campo="""",campo=""-""),""NO APLICA"",
IF(col=0,""REVISAR EQUIVALENCIA"",
IF(fila=0,""SKU NO ENCONTRADO"",
LET(
valor,INDEX(Referencia!$A$2:$AZ6238,fila,col),
IF(TRIM(TO_TEXT(valor))=TRIM(TO_TEXT(I4851)),"&amp;"
""OK"",
""NO COINCIDE. Valor verdadero: ""&amp;IF(valor="""",""[VACÍO]"",TO_TEXT(valor))
)
))))
),""ERROR EN FÓRMULA""))"),"OK")</f>
        <v>OK</v>
      </c>
    </row>
    <row r="4852">
      <c r="A4852" s="83" t="s">
        <v>4899</v>
      </c>
      <c r="B4852" s="83" t="s">
        <v>4900</v>
      </c>
      <c r="C4852" s="81" t="s">
        <v>4621</v>
      </c>
      <c r="D4852" s="83" t="s">
        <v>4504</v>
      </c>
      <c r="E4852" s="81" t="s">
        <v>2335</v>
      </c>
      <c r="F4852" s="81">
        <v>453.0</v>
      </c>
      <c r="G4852" s="81" t="s">
        <v>3</v>
      </c>
      <c r="H4852" s="81" t="s">
        <v>224</v>
      </c>
      <c r="I4852" s="81" t="s">
        <v>1595</v>
      </c>
      <c r="J4852" s="81" t="s">
        <v>224</v>
      </c>
      <c r="K4852" s="81" t="str">
        <f>IFERROR(__xludf.DUMMYFUNCTION("IF(OR(D4852="""",G4852=""""),"""",IFERROR(LET(
campo,XLOOKUP(TRIM(G4852),ARRAYFORMULA(TRIM('indice columnas'!$A$2:$A$100)),'indice columnas'!$B$2:$B$100,""""),
col,IFERROR(MATCH(campo,Referencia!$A$1:$AZ$1,0),0),
fila,IFERROR(MATCH(TO_TEXT(D4852),ARRAYFOR"&amp;"MULA(TO_TEXT(Referencia!$A$2:$A6238)),0),0),
IF(OR(campo="""",campo=""-""),""NO APLICA"",
IF(col=0,""REVISAR EQUIVALENCIA"",
IF(fila=0,""SKU NO ENCONTRADO"",
LET(
valor,INDEX(Referencia!$A$2:$AZ6238,fila,col),
IF(TRIM(TO_TEXT(valor))=TRIM(TO_TEXT(I4852)),"&amp;"
""OK"",
""NO COINCIDE. Valor verdadero: ""&amp;IF(valor="""",""[VACÍO]"",TO_TEXT(valor))
)
))))
),""ERROR EN FÓRMULA""))"),"OK")</f>
        <v>OK</v>
      </c>
    </row>
    <row r="4853">
      <c r="A4853" s="83" t="s">
        <v>4899</v>
      </c>
      <c r="B4853" s="83" t="s">
        <v>4900</v>
      </c>
      <c r="C4853" s="81" t="s">
        <v>4621</v>
      </c>
      <c r="D4853" s="83" t="s">
        <v>4504</v>
      </c>
      <c r="E4853" s="81" t="s">
        <v>2335</v>
      </c>
      <c r="F4853" s="81">
        <v>453.0</v>
      </c>
      <c r="G4853" s="81" t="s">
        <v>2</v>
      </c>
      <c r="H4853" s="81" t="s">
        <v>224</v>
      </c>
      <c r="I4853" s="81" t="s">
        <v>332</v>
      </c>
      <c r="J4853" s="81" t="s">
        <v>224</v>
      </c>
      <c r="K4853" s="81" t="str">
        <f>IFERROR(__xludf.DUMMYFUNCTION("IF(OR(D4853="""",G4853=""""),"""",IFERROR(LET(
campo,XLOOKUP(TRIM(G4853),ARRAYFORMULA(TRIM('indice columnas'!$A$2:$A$100)),'indice columnas'!$B$2:$B$100,""""),
col,IFERROR(MATCH(campo,Referencia!$A$1:$AZ$1,0),0),
fila,IFERROR(MATCH(TO_TEXT(D4853),ARRAYFOR"&amp;"MULA(TO_TEXT(Referencia!$A$2:$A6238)),0),0),
IF(OR(campo="""",campo=""-""),""NO APLICA"",
IF(col=0,""REVISAR EQUIVALENCIA"",
IF(fila=0,""SKU NO ENCONTRADO"",
LET(
valor,INDEX(Referencia!$A$2:$AZ6238,fila,col),
IF(TRIM(TO_TEXT(valor))=TRIM(TO_TEXT(I4853)),"&amp;"
""OK"",
""NO COINCIDE. Valor verdadero: ""&amp;IF(valor="""",""[VACÍO]"",TO_TEXT(valor))
)
))))
),""ERROR EN FÓRMULA""))"),"OK")</f>
        <v>OK</v>
      </c>
    </row>
    <row r="4854">
      <c r="A4854" s="83" t="s">
        <v>4899</v>
      </c>
      <c r="B4854" s="83" t="s">
        <v>4900</v>
      </c>
      <c r="C4854" s="81" t="s">
        <v>4621</v>
      </c>
      <c r="D4854" s="83" t="s">
        <v>4505</v>
      </c>
      <c r="E4854" s="81" t="s">
        <v>2337</v>
      </c>
      <c r="F4854" s="81">
        <v>454.0</v>
      </c>
      <c r="G4854" s="81" t="s">
        <v>3</v>
      </c>
      <c r="H4854" s="81" t="s">
        <v>224</v>
      </c>
      <c r="I4854" s="81" t="s">
        <v>1595</v>
      </c>
      <c r="J4854" s="81" t="s">
        <v>224</v>
      </c>
      <c r="K4854" s="81" t="str">
        <f>IFERROR(__xludf.DUMMYFUNCTION("IF(OR(D4854="""",G4854=""""),"""",IFERROR(LET(
campo,XLOOKUP(TRIM(G4854),ARRAYFORMULA(TRIM('indice columnas'!$A$2:$A$100)),'indice columnas'!$B$2:$B$100,""""),
col,IFERROR(MATCH(campo,Referencia!$A$1:$AZ$1,0),0),
fila,IFERROR(MATCH(TO_TEXT(D4854),ARRAYFOR"&amp;"MULA(TO_TEXT(Referencia!$A$2:$A6238)),0),0),
IF(OR(campo="""",campo=""-""),""NO APLICA"",
IF(col=0,""REVISAR EQUIVALENCIA"",
IF(fila=0,""SKU NO ENCONTRADO"",
LET(
valor,INDEX(Referencia!$A$2:$AZ6238,fila,col),
IF(TRIM(TO_TEXT(valor))=TRIM(TO_TEXT(I4854)),"&amp;"
""OK"",
""NO COINCIDE. Valor verdadero: ""&amp;IF(valor="""",""[VACÍO]"",TO_TEXT(valor))
)
))))
),""ERROR EN FÓRMULA""))"),"OK")</f>
        <v>OK</v>
      </c>
    </row>
    <row r="4855">
      <c r="A4855" s="83" t="s">
        <v>4899</v>
      </c>
      <c r="B4855" s="83" t="s">
        <v>4900</v>
      </c>
      <c r="C4855" s="81" t="s">
        <v>4621</v>
      </c>
      <c r="D4855" s="83" t="s">
        <v>4505</v>
      </c>
      <c r="E4855" s="81" t="s">
        <v>2337</v>
      </c>
      <c r="F4855" s="81">
        <v>454.0</v>
      </c>
      <c r="G4855" s="81" t="s">
        <v>2</v>
      </c>
      <c r="H4855" s="81" t="s">
        <v>224</v>
      </c>
      <c r="I4855" s="81" t="s">
        <v>332</v>
      </c>
      <c r="J4855" s="81" t="s">
        <v>224</v>
      </c>
      <c r="K4855" s="81" t="str">
        <f>IFERROR(__xludf.DUMMYFUNCTION("IF(OR(D4855="""",G4855=""""),"""",IFERROR(LET(
campo,XLOOKUP(TRIM(G4855),ARRAYFORMULA(TRIM('indice columnas'!$A$2:$A$100)),'indice columnas'!$B$2:$B$100,""""),
col,IFERROR(MATCH(campo,Referencia!$A$1:$AZ$1,0),0),
fila,IFERROR(MATCH(TO_TEXT(D4855),ARRAYFOR"&amp;"MULA(TO_TEXT(Referencia!$A$2:$A6238)),0),0),
IF(OR(campo="""",campo=""-""),""NO APLICA"",
IF(col=0,""REVISAR EQUIVALENCIA"",
IF(fila=0,""SKU NO ENCONTRADO"",
LET(
valor,INDEX(Referencia!$A$2:$AZ6238,fila,col),
IF(TRIM(TO_TEXT(valor))=TRIM(TO_TEXT(I4855)),"&amp;"
""OK"",
""NO COINCIDE. Valor verdadero: ""&amp;IF(valor="""",""[VACÍO]"",TO_TEXT(valor))
)
))))
),""ERROR EN FÓRMULA""))"),"OK")</f>
        <v>OK</v>
      </c>
    </row>
    <row r="4856">
      <c r="A4856" s="83" t="s">
        <v>4899</v>
      </c>
      <c r="B4856" s="83" t="s">
        <v>4900</v>
      </c>
      <c r="C4856" s="81" t="s">
        <v>4621</v>
      </c>
      <c r="D4856" s="83" t="s">
        <v>4507</v>
      </c>
      <c r="E4856" s="81" t="s">
        <v>2349</v>
      </c>
      <c r="F4856" s="81">
        <v>456.0</v>
      </c>
      <c r="G4856" s="81" t="s">
        <v>3</v>
      </c>
      <c r="H4856" s="81" t="s">
        <v>224</v>
      </c>
      <c r="I4856" s="81" t="s">
        <v>51</v>
      </c>
      <c r="J4856" s="81" t="s">
        <v>224</v>
      </c>
      <c r="K4856" s="81" t="str">
        <f>IFERROR(__xludf.DUMMYFUNCTION("IF(OR(D4856="""",G4856=""""),"""",IFERROR(LET(
campo,XLOOKUP(TRIM(G4856),ARRAYFORMULA(TRIM('indice columnas'!$A$2:$A$100)),'indice columnas'!$B$2:$B$100,""""),
col,IFERROR(MATCH(campo,Referencia!$A$1:$AZ$1,0),0),
fila,IFERROR(MATCH(TO_TEXT(D4856),ARRAYFOR"&amp;"MULA(TO_TEXT(Referencia!$A$2:$A6238)),0),0),
IF(OR(campo="""",campo=""-""),""NO APLICA"",
IF(col=0,""REVISAR EQUIVALENCIA"",
IF(fila=0,""SKU NO ENCONTRADO"",
LET(
valor,INDEX(Referencia!$A$2:$AZ6238,fila,col),
IF(TRIM(TO_TEXT(valor))=TRIM(TO_TEXT(I4856)),"&amp;"
""OK"",
""NO COINCIDE. Valor verdadero: ""&amp;IF(valor="""",""[VACÍO]"",TO_TEXT(valor))
)
))))
),""ERROR EN FÓRMULA""))"),"OK")</f>
        <v>OK</v>
      </c>
    </row>
    <row r="4857">
      <c r="A4857" s="83" t="s">
        <v>4899</v>
      </c>
      <c r="B4857" s="83" t="s">
        <v>4900</v>
      </c>
      <c r="C4857" s="81" t="s">
        <v>4621</v>
      </c>
      <c r="D4857" s="83" t="s">
        <v>4507</v>
      </c>
      <c r="E4857" s="81" t="s">
        <v>2349</v>
      </c>
      <c r="F4857" s="81">
        <v>456.0</v>
      </c>
      <c r="G4857" s="81" t="s">
        <v>2</v>
      </c>
      <c r="H4857" s="81" t="s">
        <v>224</v>
      </c>
      <c r="I4857" s="81" t="s">
        <v>332</v>
      </c>
      <c r="J4857" s="81" t="s">
        <v>224</v>
      </c>
      <c r="K4857" s="81" t="str">
        <f>IFERROR(__xludf.DUMMYFUNCTION("IF(OR(D4857="""",G4857=""""),"""",IFERROR(LET(
campo,XLOOKUP(TRIM(G4857),ARRAYFORMULA(TRIM('indice columnas'!$A$2:$A$100)),'indice columnas'!$B$2:$B$100,""""),
col,IFERROR(MATCH(campo,Referencia!$A$1:$AZ$1,0),0),
fila,IFERROR(MATCH(TO_TEXT(D4857),ARRAYFOR"&amp;"MULA(TO_TEXT(Referencia!$A$2:$A6238)),0),0),
IF(OR(campo="""",campo=""-""),""NO APLICA"",
IF(col=0,""REVISAR EQUIVALENCIA"",
IF(fila=0,""SKU NO ENCONTRADO"",
LET(
valor,INDEX(Referencia!$A$2:$AZ6238,fila,col),
IF(TRIM(TO_TEXT(valor))=TRIM(TO_TEXT(I4857)),"&amp;"
""OK"",
""NO COINCIDE. Valor verdadero: ""&amp;IF(valor="""",""[VACÍO]"",TO_TEXT(valor))
)
))))
),""ERROR EN FÓRMULA""))"),"OK")</f>
        <v>OK</v>
      </c>
    </row>
    <row r="4858">
      <c r="A4858" s="83" t="s">
        <v>4899</v>
      </c>
      <c r="B4858" s="83" t="s">
        <v>4900</v>
      </c>
      <c r="C4858" s="81" t="s">
        <v>4621</v>
      </c>
      <c r="D4858" s="83" t="s">
        <v>4507</v>
      </c>
      <c r="E4858" s="81" t="s">
        <v>2349</v>
      </c>
      <c r="F4858" s="81">
        <v>456.0</v>
      </c>
      <c r="G4858" s="81" t="s">
        <v>1</v>
      </c>
      <c r="H4858" s="81" t="s">
        <v>224</v>
      </c>
      <c r="I4858" s="81" t="s">
        <v>49</v>
      </c>
      <c r="J4858" s="81" t="s">
        <v>224</v>
      </c>
      <c r="K4858" s="81" t="str">
        <f>IFERROR(__xludf.DUMMYFUNCTION("IF(OR(D4858="""",G4858=""""),"""",IFERROR(LET(
campo,XLOOKUP(TRIM(G4858),ARRAYFORMULA(TRIM('indice columnas'!$A$2:$A$100)),'indice columnas'!$B$2:$B$100,""""),
col,IFERROR(MATCH(campo,Referencia!$A$1:$AZ$1,0),0),
fila,IFERROR(MATCH(TO_TEXT(D4858),ARRAYFOR"&amp;"MULA(TO_TEXT(Referencia!$A$2:$A6238)),0),0),
IF(OR(campo="""",campo=""-""),""NO APLICA"",
IF(col=0,""REVISAR EQUIVALENCIA"",
IF(fila=0,""SKU NO ENCONTRADO"",
LET(
valor,INDEX(Referencia!$A$2:$AZ6238,fila,col),
IF(TRIM(TO_TEXT(valor))=TRIM(TO_TEXT(I4858)),"&amp;"
""OK"",
""NO COINCIDE. Valor verdadero: ""&amp;IF(valor="""",""[VACÍO]"",TO_TEXT(valor))
)
))))
),""ERROR EN FÓRMULA""))"),"OK")</f>
        <v>OK</v>
      </c>
    </row>
    <row r="4859">
      <c r="A4859" s="83" t="s">
        <v>4899</v>
      </c>
      <c r="B4859" s="83" t="s">
        <v>4900</v>
      </c>
      <c r="C4859" s="81" t="s">
        <v>4621</v>
      </c>
      <c r="D4859" s="83" t="s">
        <v>4508</v>
      </c>
      <c r="E4859" s="81" t="s">
        <v>2352</v>
      </c>
      <c r="F4859" s="81">
        <v>457.0</v>
      </c>
      <c r="G4859" s="81" t="s">
        <v>3</v>
      </c>
      <c r="H4859" s="81" t="s">
        <v>224</v>
      </c>
      <c r="I4859" s="81" t="s">
        <v>344</v>
      </c>
      <c r="J4859" s="81" t="s">
        <v>224</v>
      </c>
      <c r="K4859" s="81" t="str">
        <f>IFERROR(__xludf.DUMMYFUNCTION("IF(OR(D4859="""",G4859=""""),"""",IFERROR(LET(
campo,XLOOKUP(TRIM(G4859),ARRAYFORMULA(TRIM('indice columnas'!$A$2:$A$100)),'indice columnas'!$B$2:$B$100,""""),
col,IFERROR(MATCH(campo,Referencia!$A$1:$AZ$1,0),0),
fila,IFERROR(MATCH(TO_TEXT(D4859),ARRAYFOR"&amp;"MULA(TO_TEXT(Referencia!$A$2:$A6238)),0),0),
IF(OR(campo="""",campo=""-""),""NO APLICA"",
IF(col=0,""REVISAR EQUIVALENCIA"",
IF(fila=0,""SKU NO ENCONTRADO"",
LET(
valor,INDEX(Referencia!$A$2:$AZ6238,fila,col),
IF(TRIM(TO_TEXT(valor))=TRIM(TO_TEXT(I4859)),"&amp;"
""OK"",
""NO COINCIDE. Valor verdadero: ""&amp;IF(valor="""",""[VACÍO]"",TO_TEXT(valor))
)
))))
),""ERROR EN FÓRMULA""))"),"OK")</f>
        <v>OK</v>
      </c>
    </row>
    <row r="4860">
      <c r="A4860" s="83" t="s">
        <v>4899</v>
      </c>
      <c r="B4860" s="83" t="s">
        <v>4900</v>
      </c>
      <c r="C4860" s="81" t="s">
        <v>4621</v>
      </c>
      <c r="D4860" s="83" t="s">
        <v>4508</v>
      </c>
      <c r="E4860" s="81" t="s">
        <v>2352</v>
      </c>
      <c r="F4860" s="81">
        <v>457.0</v>
      </c>
      <c r="G4860" s="81" t="s">
        <v>2</v>
      </c>
      <c r="H4860" s="81" t="s">
        <v>224</v>
      </c>
      <c r="I4860" s="81" t="s">
        <v>332</v>
      </c>
      <c r="J4860" s="81" t="s">
        <v>224</v>
      </c>
      <c r="K4860" s="81" t="str">
        <f>IFERROR(__xludf.DUMMYFUNCTION("IF(OR(D4860="""",G4860=""""),"""",IFERROR(LET(
campo,XLOOKUP(TRIM(G4860),ARRAYFORMULA(TRIM('indice columnas'!$A$2:$A$100)),'indice columnas'!$B$2:$B$100,""""),
col,IFERROR(MATCH(campo,Referencia!$A$1:$AZ$1,0),0),
fila,IFERROR(MATCH(TO_TEXT(D4860),ARRAYFOR"&amp;"MULA(TO_TEXT(Referencia!$A$2:$A6238)),0),0),
IF(OR(campo="""",campo=""-""),""NO APLICA"",
IF(col=0,""REVISAR EQUIVALENCIA"",
IF(fila=0,""SKU NO ENCONTRADO"",
LET(
valor,INDEX(Referencia!$A$2:$AZ6238,fila,col),
IF(TRIM(TO_TEXT(valor))=TRIM(TO_TEXT(I4860)),"&amp;"
""OK"",
""NO COINCIDE. Valor verdadero: ""&amp;IF(valor="""",""[VACÍO]"",TO_TEXT(valor))
)
))))
),""ERROR EN FÓRMULA""))"),"OK")</f>
        <v>OK</v>
      </c>
    </row>
    <row r="4861">
      <c r="A4861" s="83" t="s">
        <v>4899</v>
      </c>
      <c r="B4861" s="83" t="s">
        <v>4900</v>
      </c>
      <c r="C4861" s="81" t="s">
        <v>4621</v>
      </c>
      <c r="D4861" s="83" t="s">
        <v>4508</v>
      </c>
      <c r="E4861" s="81" t="s">
        <v>2352</v>
      </c>
      <c r="F4861" s="81">
        <v>457.0</v>
      </c>
      <c r="G4861" s="81" t="s">
        <v>1</v>
      </c>
      <c r="H4861" s="81" t="s">
        <v>224</v>
      </c>
      <c r="I4861" s="81" t="s">
        <v>49</v>
      </c>
      <c r="J4861" s="81" t="s">
        <v>224</v>
      </c>
      <c r="K4861" s="81" t="str">
        <f>IFERROR(__xludf.DUMMYFUNCTION("IF(OR(D4861="""",G4861=""""),"""",IFERROR(LET(
campo,XLOOKUP(TRIM(G4861),ARRAYFORMULA(TRIM('indice columnas'!$A$2:$A$100)),'indice columnas'!$B$2:$B$100,""""),
col,IFERROR(MATCH(campo,Referencia!$A$1:$AZ$1,0),0),
fila,IFERROR(MATCH(TO_TEXT(D4861),ARRAYFOR"&amp;"MULA(TO_TEXT(Referencia!$A$2:$A6238)),0),0),
IF(OR(campo="""",campo=""-""),""NO APLICA"",
IF(col=0,""REVISAR EQUIVALENCIA"",
IF(fila=0,""SKU NO ENCONTRADO"",
LET(
valor,INDEX(Referencia!$A$2:$AZ6238,fila,col),
IF(TRIM(TO_TEXT(valor))=TRIM(TO_TEXT(I4861)),"&amp;"
""OK"",
""NO COINCIDE. Valor verdadero: ""&amp;IF(valor="""",""[VACÍO]"",TO_TEXT(valor))
)
))))
),""ERROR EN FÓRMULA""))"),"OK")</f>
        <v>OK</v>
      </c>
    </row>
    <row r="4862">
      <c r="A4862" s="83" t="s">
        <v>4899</v>
      </c>
      <c r="B4862" s="83" t="s">
        <v>4900</v>
      </c>
      <c r="C4862" s="81" t="s">
        <v>4621</v>
      </c>
      <c r="D4862" s="83" t="s">
        <v>4509</v>
      </c>
      <c r="E4862" s="81" t="s">
        <v>2355</v>
      </c>
      <c r="F4862" s="81">
        <v>458.0</v>
      </c>
      <c r="G4862" s="81" t="s">
        <v>3</v>
      </c>
      <c r="H4862" s="81" t="s">
        <v>224</v>
      </c>
      <c r="I4862" s="81" t="s">
        <v>344</v>
      </c>
      <c r="J4862" s="81" t="s">
        <v>224</v>
      </c>
      <c r="K4862" s="81" t="str">
        <f>IFERROR(__xludf.DUMMYFUNCTION("IF(OR(D4862="""",G4862=""""),"""",IFERROR(LET(
campo,XLOOKUP(TRIM(G4862),ARRAYFORMULA(TRIM('indice columnas'!$A$2:$A$100)),'indice columnas'!$B$2:$B$100,""""),
col,IFERROR(MATCH(campo,Referencia!$A$1:$AZ$1,0),0),
fila,IFERROR(MATCH(TO_TEXT(D4862),ARRAYFOR"&amp;"MULA(TO_TEXT(Referencia!$A$2:$A6238)),0),0),
IF(OR(campo="""",campo=""-""),""NO APLICA"",
IF(col=0,""REVISAR EQUIVALENCIA"",
IF(fila=0,""SKU NO ENCONTRADO"",
LET(
valor,INDEX(Referencia!$A$2:$AZ6238,fila,col),
IF(TRIM(TO_TEXT(valor))=TRIM(TO_TEXT(I4862)),"&amp;"
""OK"",
""NO COINCIDE. Valor verdadero: ""&amp;IF(valor="""",""[VACÍO]"",TO_TEXT(valor))
)
))))
),""ERROR EN FÓRMULA""))"),"OK")</f>
        <v>OK</v>
      </c>
    </row>
    <row r="4863">
      <c r="A4863" s="83" t="s">
        <v>4899</v>
      </c>
      <c r="B4863" s="83" t="s">
        <v>4900</v>
      </c>
      <c r="C4863" s="81" t="s">
        <v>4621</v>
      </c>
      <c r="D4863" s="83" t="s">
        <v>4509</v>
      </c>
      <c r="E4863" s="81" t="s">
        <v>2355</v>
      </c>
      <c r="F4863" s="81">
        <v>458.0</v>
      </c>
      <c r="G4863" s="81" t="s">
        <v>2</v>
      </c>
      <c r="H4863" s="81" t="s">
        <v>224</v>
      </c>
      <c r="I4863" s="81" t="s">
        <v>332</v>
      </c>
      <c r="J4863" s="81" t="s">
        <v>224</v>
      </c>
      <c r="K4863" s="81" t="str">
        <f>IFERROR(__xludf.DUMMYFUNCTION("IF(OR(D4863="""",G4863=""""),"""",IFERROR(LET(
campo,XLOOKUP(TRIM(G4863),ARRAYFORMULA(TRIM('indice columnas'!$A$2:$A$100)),'indice columnas'!$B$2:$B$100,""""),
col,IFERROR(MATCH(campo,Referencia!$A$1:$AZ$1,0),0),
fila,IFERROR(MATCH(TO_TEXT(D4863),ARRAYFOR"&amp;"MULA(TO_TEXT(Referencia!$A$2:$A6238)),0),0),
IF(OR(campo="""",campo=""-""),""NO APLICA"",
IF(col=0,""REVISAR EQUIVALENCIA"",
IF(fila=0,""SKU NO ENCONTRADO"",
LET(
valor,INDEX(Referencia!$A$2:$AZ6238,fila,col),
IF(TRIM(TO_TEXT(valor))=TRIM(TO_TEXT(I4863)),"&amp;"
""OK"",
""NO COINCIDE. Valor verdadero: ""&amp;IF(valor="""",""[VACÍO]"",TO_TEXT(valor))
)
))))
),""ERROR EN FÓRMULA""))"),"OK")</f>
        <v>OK</v>
      </c>
    </row>
    <row r="4864">
      <c r="A4864" s="83" t="s">
        <v>4899</v>
      </c>
      <c r="B4864" s="83" t="s">
        <v>4900</v>
      </c>
      <c r="C4864" s="81" t="s">
        <v>4621</v>
      </c>
      <c r="D4864" s="83" t="s">
        <v>4509</v>
      </c>
      <c r="E4864" s="81" t="s">
        <v>2355</v>
      </c>
      <c r="F4864" s="81">
        <v>458.0</v>
      </c>
      <c r="G4864" s="81" t="s">
        <v>1</v>
      </c>
      <c r="H4864" s="81" t="s">
        <v>224</v>
      </c>
      <c r="I4864" s="81" t="s">
        <v>49</v>
      </c>
      <c r="J4864" s="81" t="s">
        <v>224</v>
      </c>
      <c r="K4864" s="81" t="str">
        <f>IFERROR(__xludf.DUMMYFUNCTION("IF(OR(D4864="""",G4864=""""),"""",IFERROR(LET(
campo,XLOOKUP(TRIM(G4864),ARRAYFORMULA(TRIM('indice columnas'!$A$2:$A$100)),'indice columnas'!$B$2:$B$100,""""),
col,IFERROR(MATCH(campo,Referencia!$A$1:$AZ$1,0),0),
fila,IFERROR(MATCH(TO_TEXT(D4864),ARRAYFOR"&amp;"MULA(TO_TEXT(Referencia!$A$2:$A6238)),0),0),
IF(OR(campo="""",campo=""-""),""NO APLICA"",
IF(col=0,""REVISAR EQUIVALENCIA"",
IF(fila=0,""SKU NO ENCONTRADO"",
LET(
valor,INDEX(Referencia!$A$2:$AZ6238,fila,col),
IF(TRIM(TO_TEXT(valor))=TRIM(TO_TEXT(I4864)),"&amp;"
""OK"",
""NO COINCIDE. Valor verdadero: ""&amp;IF(valor="""",""[VACÍO]"",TO_TEXT(valor))
)
))))
),""ERROR EN FÓRMULA""))"),"OK")</f>
        <v>OK</v>
      </c>
    </row>
    <row r="4865">
      <c r="A4865" s="83" t="s">
        <v>4899</v>
      </c>
      <c r="B4865" s="83" t="s">
        <v>4900</v>
      </c>
      <c r="C4865" s="81" t="s">
        <v>4621</v>
      </c>
      <c r="D4865" s="83" t="s">
        <v>4510</v>
      </c>
      <c r="E4865" s="81" t="s">
        <v>2357</v>
      </c>
      <c r="F4865" s="81">
        <v>459.0</v>
      </c>
      <c r="G4865" s="81" t="s">
        <v>3</v>
      </c>
      <c r="H4865" s="81" t="s">
        <v>224</v>
      </c>
      <c r="I4865" s="81" t="s">
        <v>344</v>
      </c>
      <c r="J4865" s="81" t="s">
        <v>224</v>
      </c>
      <c r="K4865" s="81" t="str">
        <f>IFERROR(__xludf.DUMMYFUNCTION("IF(OR(D4865="""",G4865=""""),"""",IFERROR(LET(
campo,XLOOKUP(TRIM(G4865),ARRAYFORMULA(TRIM('indice columnas'!$A$2:$A$100)),'indice columnas'!$B$2:$B$100,""""),
col,IFERROR(MATCH(campo,Referencia!$A$1:$AZ$1,0),0),
fila,IFERROR(MATCH(TO_TEXT(D4865),ARRAYFOR"&amp;"MULA(TO_TEXT(Referencia!$A$2:$A6238)),0),0),
IF(OR(campo="""",campo=""-""),""NO APLICA"",
IF(col=0,""REVISAR EQUIVALENCIA"",
IF(fila=0,""SKU NO ENCONTRADO"",
LET(
valor,INDEX(Referencia!$A$2:$AZ6238,fila,col),
IF(TRIM(TO_TEXT(valor))=TRIM(TO_TEXT(I4865)),"&amp;"
""OK"",
""NO COINCIDE. Valor verdadero: ""&amp;IF(valor="""",""[VACÍO]"",TO_TEXT(valor))
)
))))
),""ERROR EN FÓRMULA""))"),"OK")</f>
        <v>OK</v>
      </c>
    </row>
    <row r="4866">
      <c r="A4866" s="83" t="s">
        <v>4899</v>
      </c>
      <c r="B4866" s="83" t="s">
        <v>4900</v>
      </c>
      <c r="C4866" s="81" t="s">
        <v>4621</v>
      </c>
      <c r="D4866" s="83" t="s">
        <v>4510</v>
      </c>
      <c r="E4866" s="81" t="s">
        <v>2357</v>
      </c>
      <c r="F4866" s="81">
        <v>459.0</v>
      </c>
      <c r="G4866" s="81" t="s">
        <v>2</v>
      </c>
      <c r="H4866" s="81" t="s">
        <v>224</v>
      </c>
      <c r="I4866" s="81" t="s">
        <v>332</v>
      </c>
      <c r="J4866" s="81" t="s">
        <v>224</v>
      </c>
      <c r="K4866" s="81" t="str">
        <f>IFERROR(__xludf.DUMMYFUNCTION("IF(OR(D4866="""",G4866=""""),"""",IFERROR(LET(
campo,XLOOKUP(TRIM(G4866),ARRAYFORMULA(TRIM('indice columnas'!$A$2:$A$100)),'indice columnas'!$B$2:$B$100,""""),
col,IFERROR(MATCH(campo,Referencia!$A$1:$AZ$1,0),0),
fila,IFERROR(MATCH(TO_TEXT(D4866),ARRAYFOR"&amp;"MULA(TO_TEXT(Referencia!$A$2:$A6238)),0),0),
IF(OR(campo="""",campo=""-""),""NO APLICA"",
IF(col=0,""REVISAR EQUIVALENCIA"",
IF(fila=0,""SKU NO ENCONTRADO"",
LET(
valor,INDEX(Referencia!$A$2:$AZ6238,fila,col),
IF(TRIM(TO_TEXT(valor))=TRIM(TO_TEXT(I4866)),"&amp;"
""OK"",
""NO COINCIDE. Valor verdadero: ""&amp;IF(valor="""",""[VACÍO]"",TO_TEXT(valor))
)
))))
),""ERROR EN FÓRMULA""))"),"OK")</f>
        <v>OK</v>
      </c>
    </row>
    <row r="4867">
      <c r="A4867" s="83" t="s">
        <v>4899</v>
      </c>
      <c r="B4867" s="83" t="s">
        <v>4900</v>
      </c>
      <c r="C4867" s="81" t="s">
        <v>4621</v>
      </c>
      <c r="D4867" s="83" t="s">
        <v>4510</v>
      </c>
      <c r="E4867" s="81" t="s">
        <v>2357</v>
      </c>
      <c r="F4867" s="81">
        <v>459.0</v>
      </c>
      <c r="G4867" s="81" t="s">
        <v>1</v>
      </c>
      <c r="H4867" s="81" t="s">
        <v>224</v>
      </c>
      <c r="I4867" s="81" t="s">
        <v>49</v>
      </c>
      <c r="J4867" s="81" t="s">
        <v>224</v>
      </c>
      <c r="K4867" s="81" t="str">
        <f>IFERROR(__xludf.DUMMYFUNCTION("IF(OR(D4867="""",G4867=""""),"""",IFERROR(LET(
campo,XLOOKUP(TRIM(G4867),ARRAYFORMULA(TRIM('indice columnas'!$A$2:$A$100)),'indice columnas'!$B$2:$B$100,""""),
col,IFERROR(MATCH(campo,Referencia!$A$1:$AZ$1,0),0),
fila,IFERROR(MATCH(TO_TEXT(D4867),ARRAYFOR"&amp;"MULA(TO_TEXT(Referencia!$A$2:$A6238)),0),0),
IF(OR(campo="""",campo=""-""),""NO APLICA"",
IF(col=0,""REVISAR EQUIVALENCIA"",
IF(fila=0,""SKU NO ENCONTRADO"",
LET(
valor,INDEX(Referencia!$A$2:$AZ6238,fila,col),
IF(TRIM(TO_TEXT(valor))=TRIM(TO_TEXT(I4867)),"&amp;"
""OK"",
""NO COINCIDE. Valor verdadero: ""&amp;IF(valor="""",""[VACÍO]"",TO_TEXT(valor))
)
))))
),""ERROR EN FÓRMULA""))"),"OK")</f>
        <v>OK</v>
      </c>
    </row>
    <row r="4868">
      <c r="A4868" s="83" t="s">
        <v>4899</v>
      </c>
      <c r="B4868" s="83" t="s">
        <v>4900</v>
      </c>
      <c r="C4868" s="81" t="s">
        <v>4621</v>
      </c>
      <c r="D4868" s="83" t="s">
        <v>4511</v>
      </c>
      <c r="E4868" s="81" t="s">
        <v>2359</v>
      </c>
      <c r="F4868" s="81">
        <v>460.0</v>
      </c>
      <c r="G4868" s="81" t="s">
        <v>2</v>
      </c>
      <c r="H4868" s="81" t="s">
        <v>1827</v>
      </c>
      <c r="I4868" s="81" t="s">
        <v>332</v>
      </c>
      <c r="J4868" s="81" t="s">
        <v>224</v>
      </c>
      <c r="K4868" s="81" t="str">
        <f>IFERROR(__xludf.DUMMYFUNCTION("IF(OR(D4868="""",G4868=""""),"""",IFERROR(LET(
campo,XLOOKUP(TRIM(G4868),ARRAYFORMULA(TRIM('indice columnas'!$A$2:$A$100)),'indice columnas'!$B$2:$B$100,""""),
col,IFERROR(MATCH(campo,Referencia!$A$1:$AZ$1,0),0),
fila,IFERROR(MATCH(TO_TEXT(D4868),ARRAYFOR"&amp;"MULA(TO_TEXT(Referencia!$A$2:$A6238)),0),0),
IF(OR(campo="""",campo=""-""),""NO APLICA"",
IF(col=0,""REVISAR EQUIVALENCIA"",
IF(fila=0,""SKU NO ENCONTRADO"",
LET(
valor,INDEX(Referencia!$A$2:$AZ6238,fila,col),
IF(TRIM(TO_TEXT(valor))=TRIM(TO_TEXT(I4868)),"&amp;"
""OK"",
""NO COINCIDE. Valor verdadero: ""&amp;IF(valor="""",""[VACÍO]"",TO_TEXT(valor))
)
))))
),""ERROR EN FÓRMULA""))"),"OK")</f>
        <v>OK</v>
      </c>
    </row>
    <row r="4869">
      <c r="A4869" s="83" t="s">
        <v>4899</v>
      </c>
      <c r="B4869" s="83" t="s">
        <v>4900</v>
      </c>
      <c r="C4869" s="81" t="s">
        <v>4621</v>
      </c>
      <c r="D4869" s="83" t="s">
        <v>4512</v>
      </c>
      <c r="E4869" s="81" t="s">
        <v>2363</v>
      </c>
      <c r="F4869" s="81">
        <v>461.0</v>
      </c>
      <c r="G4869" s="81" t="s">
        <v>2</v>
      </c>
      <c r="H4869" s="81" t="s">
        <v>1827</v>
      </c>
      <c r="I4869" s="81" t="s">
        <v>332</v>
      </c>
      <c r="J4869" s="81" t="s">
        <v>224</v>
      </c>
      <c r="K4869" s="81" t="str">
        <f>IFERROR(__xludf.DUMMYFUNCTION("IF(OR(D4869="""",G4869=""""),"""",IFERROR(LET(
campo,XLOOKUP(TRIM(G4869),ARRAYFORMULA(TRIM('indice columnas'!$A$2:$A$100)),'indice columnas'!$B$2:$B$100,""""),
col,IFERROR(MATCH(campo,Referencia!$A$1:$AZ$1,0),0),
fila,IFERROR(MATCH(TO_TEXT(D4869),ARRAYFOR"&amp;"MULA(TO_TEXT(Referencia!$A$2:$A6238)),0),0),
IF(OR(campo="""",campo=""-""),""NO APLICA"",
IF(col=0,""REVISAR EQUIVALENCIA"",
IF(fila=0,""SKU NO ENCONTRADO"",
LET(
valor,INDEX(Referencia!$A$2:$AZ6238,fila,col),
IF(TRIM(TO_TEXT(valor))=TRIM(TO_TEXT(I4869)),"&amp;"
""OK"",
""NO COINCIDE. Valor verdadero: ""&amp;IF(valor="""",""[VACÍO]"",TO_TEXT(valor))
)
))))
),""ERROR EN FÓRMULA""))"),"OK")</f>
        <v>OK</v>
      </c>
    </row>
    <row r="4870">
      <c r="A4870" s="83" t="s">
        <v>4899</v>
      </c>
      <c r="B4870" s="83" t="s">
        <v>4900</v>
      </c>
      <c r="C4870" s="81" t="s">
        <v>4621</v>
      </c>
      <c r="D4870" s="83" t="s">
        <v>4513</v>
      </c>
      <c r="E4870" s="81" t="s">
        <v>2366</v>
      </c>
      <c r="F4870" s="81">
        <v>462.0</v>
      </c>
      <c r="G4870" s="81" t="s">
        <v>2</v>
      </c>
      <c r="H4870" s="81" t="s">
        <v>1827</v>
      </c>
      <c r="I4870" s="81" t="s">
        <v>332</v>
      </c>
      <c r="J4870" s="81" t="s">
        <v>224</v>
      </c>
      <c r="K4870" s="81" t="str">
        <f>IFERROR(__xludf.DUMMYFUNCTION("IF(OR(D4870="""",G4870=""""),"""",IFERROR(LET(
campo,XLOOKUP(TRIM(G4870),ARRAYFORMULA(TRIM('indice columnas'!$A$2:$A$100)),'indice columnas'!$B$2:$B$100,""""),
col,IFERROR(MATCH(campo,Referencia!$A$1:$AZ$1,0),0),
fila,IFERROR(MATCH(TO_TEXT(D4870),ARRAYFOR"&amp;"MULA(TO_TEXT(Referencia!$A$2:$A6238)),0),0),
IF(OR(campo="""",campo=""-""),""NO APLICA"",
IF(col=0,""REVISAR EQUIVALENCIA"",
IF(fila=0,""SKU NO ENCONTRADO"",
LET(
valor,INDEX(Referencia!$A$2:$AZ6238,fila,col),
IF(TRIM(TO_TEXT(valor))=TRIM(TO_TEXT(I4870)),"&amp;"
""OK"",
""NO COINCIDE. Valor verdadero: ""&amp;IF(valor="""",""[VACÍO]"",TO_TEXT(valor))
)
))))
),""ERROR EN FÓRMULA""))"),"OK")</f>
        <v>OK</v>
      </c>
    </row>
    <row r="4871">
      <c r="A4871" s="83" t="s">
        <v>4899</v>
      </c>
      <c r="B4871" s="83" t="s">
        <v>4900</v>
      </c>
      <c r="C4871" s="81" t="s">
        <v>4621</v>
      </c>
      <c r="D4871" s="83" t="s">
        <v>4515</v>
      </c>
      <c r="E4871" s="81" t="s">
        <v>2373</v>
      </c>
      <c r="F4871" s="81">
        <v>463.0</v>
      </c>
      <c r="G4871" s="81" t="s">
        <v>2</v>
      </c>
      <c r="H4871" s="81" t="s">
        <v>1827</v>
      </c>
      <c r="I4871" s="81" t="s">
        <v>332</v>
      </c>
      <c r="J4871" s="81" t="s">
        <v>224</v>
      </c>
      <c r="K4871" s="81" t="str">
        <f>IFERROR(__xludf.DUMMYFUNCTION("IF(OR(D4871="""",G4871=""""),"""",IFERROR(LET(
campo,XLOOKUP(TRIM(G4871),ARRAYFORMULA(TRIM('indice columnas'!$A$2:$A$100)),'indice columnas'!$B$2:$B$100,""""),
col,IFERROR(MATCH(campo,Referencia!$A$1:$AZ$1,0),0),
fila,IFERROR(MATCH(TO_TEXT(D4871),ARRAYFOR"&amp;"MULA(TO_TEXT(Referencia!$A$2:$A6238)),0),0),
IF(OR(campo="""",campo=""-""),""NO APLICA"",
IF(col=0,""REVISAR EQUIVALENCIA"",
IF(fila=0,""SKU NO ENCONTRADO"",
LET(
valor,INDEX(Referencia!$A$2:$AZ6238,fila,col),
IF(TRIM(TO_TEXT(valor))=TRIM(TO_TEXT(I4871)),"&amp;"
""OK"",
""NO COINCIDE. Valor verdadero: ""&amp;IF(valor="""",""[VACÍO]"",TO_TEXT(valor))
)
))))
),""ERROR EN FÓRMULA""))"),"OK")</f>
        <v>OK</v>
      </c>
    </row>
    <row r="4872">
      <c r="A4872" s="83" t="s">
        <v>4899</v>
      </c>
      <c r="B4872" s="83" t="s">
        <v>4900</v>
      </c>
      <c r="C4872" s="81" t="s">
        <v>4621</v>
      </c>
      <c r="D4872" s="83" t="s">
        <v>4516</v>
      </c>
      <c r="E4872" s="81" t="s">
        <v>2377</v>
      </c>
      <c r="F4872" s="81">
        <v>464.0</v>
      </c>
      <c r="G4872" s="81" t="s">
        <v>2</v>
      </c>
      <c r="H4872" s="81" t="s">
        <v>1827</v>
      </c>
      <c r="I4872" s="81" t="s">
        <v>332</v>
      </c>
      <c r="J4872" s="81" t="s">
        <v>224</v>
      </c>
      <c r="K4872" s="81" t="str">
        <f>IFERROR(__xludf.DUMMYFUNCTION("IF(OR(D4872="""",G4872=""""),"""",IFERROR(LET(
campo,XLOOKUP(TRIM(G4872),ARRAYFORMULA(TRIM('indice columnas'!$A$2:$A$100)),'indice columnas'!$B$2:$B$100,""""),
col,IFERROR(MATCH(campo,Referencia!$A$1:$AZ$1,0),0),
fila,IFERROR(MATCH(TO_TEXT(D4872),ARRAYFOR"&amp;"MULA(TO_TEXT(Referencia!$A$2:$A6238)),0),0),
IF(OR(campo="""",campo=""-""),""NO APLICA"",
IF(col=0,""REVISAR EQUIVALENCIA"",
IF(fila=0,""SKU NO ENCONTRADO"",
LET(
valor,INDEX(Referencia!$A$2:$AZ6238,fila,col),
IF(TRIM(TO_TEXT(valor))=TRIM(TO_TEXT(I4872)),"&amp;"
""OK"",
""NO COINCIDE. Valor verdadero: ""&amp;IF(valor="""",""[VACÍO]"",TO_TEXT(valor))
)
))))
),""ERROR EN FÓRMULA""))"),"OK")</f>
        <v>OK</v>
      </c>
    </row>
    <row r="4873">
      <c r="A4873" s="83" t="s">
        <v>4899</v>
      </c>
      <c r="B4873" s="83" t="s">
        <v>4900</v>
      </c>
      <c r="C4873" s="81" t="s">
        <v>4621</v>
      </c>
      <c r="D4873" s="83" t="s">
        <v>4518</v>
      </c>
      <c r="E4873" s="81" t="s">
        <v>2393</v>
      </c>
      <c r="F4873" s="81">
        <v>467.0</v>
      </c>
      <c r="G4873" s="81" t="s">
        <v>3</v>
      </c>
      <c r="H4873" s="81" t="s">
        <v>224</v>
      </c>
      <c r="I4873" s="81" t="s">
        <v>1144</v>
      </c>
      <c r="J4873" s="81" t="s">
        <v>224</v>
      </c>
      <c r="K4873" s="81" t="str">
        <f>IFERROR(__xludf.DUMMYFUNCTION("IF(OR(D4873="""",G4873=""""),"""",IFERROR(LET(
campo,XLOOKUP(TRIM(G4873),ARRAYFORMULA(TRIM('indice columnas'!$A$2:$A$100)),'indice columnas'!$B$2:$B$100,""""),
col,IFERROR(MATCH(campo,Referencia!$A$1:$AZ$1,0),0),
fila,IFERROR(MATCH(TO_TEXT(D4873),ARRAYFOR"&amp;"MULA(TO_TEXT(Referencia!$A$2:$A6238)),0),0),
IF(OR(campo="""",campo=""-""),""NO APLICA"",
IF(col=0,""REVISAR EQUIVALENCIA"",
IF(fila=0,""SKU NO ENCONTRADO"",
LET(
valor,INDEX(Referencia!$A$2:$AZ6238,fila,col),
IF(TRIM(TO_TEXT(valor))=TRIM(TO_TEXT(I4873)),"&amp;"
""OK"",
""NO COINCIDE. Valor verdadero: ""&amp;IF(valor="""",""[VACÍO]"",TO_TEXT(valor))
)
))))
),""ERROR EN FÓRMULA""))"),"OK")</f>
        <v>OK</v>
      </c>
    </row>
    <row r="4874">
      <c r="A4874" s="83" t="s">
        <v>4899</v>
      </c>
      <c r="B4874" s="83" t="s">
        <v>4900</v>
      </c>
      <c r="C4874" s="81" t="s">
        <v>4621</v>
      </c>
      <c r="D4874" s="83" t="s">
        <v>4518</v>
      </c>
      <c r="E4874" s="81" t="s">
        <v>2393</v>
      </c>
      <c r="F4874" s="81">
        <v>467.0</v>
      </c>
      <c r="G4874" s="81" t="s">
        <v>2</v>
      </c>
      <c r="H4874" s="81" t="s">
        <v>224</v>
      </c>
      <c r="I4874" s="81" t="s">
        <v>213</v>
      </c>
      <c r="J4874" s="81" t="s">
        <v>224</v>
      </c>
      <c r="K4874" s="81" t="str">
        <f>IFERROR(__xludf.DUMMYFUNCTION("IF(OR(D4874="""",G4874=""""),"""",IFERROR(LET(
campo,XLOOKUP(TRIM(G4874),ARRAYFORMULA(TRIM('indice columnas'!$A$2:$A$100)),'indice columnas'!$B$2:$B$100,""""),
col,IFERROR(MATCH(campo,Referencia!$A$1:$AZ$1,0),0),
fila,IFERROR(MATCH(TO_TEXT(D4874),ARRAYFOR"&amp;"MULA(TO_TEXT(Referencia!$A$2:$A6238)),0),0),
IF(OR(campo="""",campo=""-""),""NO APLICA"",
IF(col=0,""REVISAR EQUIVALENCIA"",
IF(fila=0,""SKU NO ENCONTRADO"",
LET(
valor,INDEX(Referencia!$A$2:$AZ6238,fila,col),
IF(TRIM(TO_TEXT(valor))=TRIM(TO_TEXT(I4874)),"&amp;"
""OK"",
""NO COINCIDE. Valor verdadero: ""&amp;IF(valor="""",""[VACÍO]"",TO_TEXT(valor))
)
))))
),""ERROR EN FÓRMULA""))"),"OK")</f>
        <v>OK</v>
      </c>
    </row>
    <row r="4875">
      <c r="A4875" s="83" t="s">
        <v>4899</v>
      </c>
      <c r="B4875" s="83" t="s">
        <v>4900</v>
      </c>
      <c r="C4875" s="81" t="s">
        <v>4621</v>
      </c>
      <c r="D4875" s="83" t="s">
        <v>4518</v>
      </c>
      <c r="E4875" s="81" t="s">
        <v>2393</v>
      </c>
      <c r="F4875" s="81">
        <v>467.0</v>
      </c>
      <c r="G4875" s="81" t="s">
        <v>1</v>
      </c>
      <c r="H4875" s="81" t="s">
        <v>224</v>
      </c>
      <c r="I4875" s="81" t="s">
        <v>49</v>
      </c>
      <c r="J4875" s="81" t="s">
        <v>224</v>
      </c>
      <c r="K4875" s="81" t="str">
        <f>IFERROR(__xludf.DUMMYFUNCTION("IF(OR(D4875="""",G4875=""""),"""",IFERROR(LET(
campo,XLOOKUP(TRIM(G4875),ARRAYFORMULA(TRIM('indice columnas'!$A$2:$A$100)),'indice columnas'!$B$2:$B$100,""""),
col,IFERROR(MATCH(campo,Referencia!$A$1:$AZ$1,0),0),
fila,IFERROR(MATCH(TO_TEXT(D4875),ARRAYFOR"&amp;"MULA(TO_TEXT(Referencia!$A$2:$A6238)),0),0),
IF(OR(campo="""",campo=""-""),""NO APLICA"",
IF(col=0,""REVISAR EQUIVALENCIA"",
IF(fila=0,""SKU NO ENCONTRADO"",
LET(
valor,INDEX(Referencia!$A$2:$AZ6238,fila,col),
IF(TRIM(TO_TEXT(valor))=TRIM(TO_TEXT(I4875)),"&amp;"
""OK"",
""NO COINCIDE. Valor verdadero: ""&amp;IF(valor="""",""[VACÍO]"",TO_TEXT(valor))
)
))))
),""ERROR EN FÓRMULA""))"),"OK")</f>
        <v>OK</v>
      </c>
    </row>
    <row r="4876">
      <c r="A4876" s="83" t="s">
        <v>4899</v>
      </c>
      <c r="B4876" s="83" t="s">
        <v>4900</v>
      </c>
      <c r="C4876" s="81" t="s">
        <v>4621</v>
      </c>
      <c r="D4876" s="83" t="s">
        <v>4519</v>
      </c>
      <c r="E4876" s="81" t="s">
        <v>2402</v>
      </c>
      <c r="F4876" s="81">
        <v>468.0</v>
      </c>
      <c r="G4876" s="81" t="s">
        <v>3</v>
      </c>
      <c r="H4876" s="81" t="s">
        <v>224</v>
      </c>
      <c r="I4876" s="81" t="s">
        <v>1144</v>
      </c>
      <c r="J4876" s="81" t="s">
        <v>224</v>
      </c>
      <c r="K4876" s="81" t="str">
        <f>IFERROR(__xludf.DUMMYFUNCTION("IF(OR(D4876="""",G4876=""""),"""",IFERROR(LET(
campo,XLOOKUP(TRIM(G4876),ARRAYFORMULA(TRIM('indice columnas'!$A$2:$A$100)),'indice columnas'!$B$2:$B$100,""""),
col,IFERROR(MATCH(campo,Referencia!$A$1:$AZ$1,0),0),
fila,IFERROR(MATCH(TO_TEXT(D4876),ARRAYFOR"&amp;"MULA(TO_TEXT(Referencia!$A$2:$A6238)),0),0),
IF(OR(campo="""",campo=""-""),""NO APLICA"",
IF(col=0,""REVISAR EQUIVALENCIA"",
IF(fila=0,""SKU NO ENCONTRADO"",
LET(
valor,INDEX(Referencia!$A$2:$AZ6238,fila,col),
IF(TRIM(TO_TEXT(valor))=TRIM(TO_TEXT(I4876)),"&amp;"
""OK"",
""NO COINCIDE. Valor verdadero: ""&amp;IF(valor="""",""[VACÍO]"",TO_TEXT(valor))
)
))))
),""ERROR EN FÓRMULA""))"),"OK")</f>
        <v>OK</v>
      </c>
    </row>
    <row r="4877">
      <c r="A4877" s="83" t="s">
        <v>4899</v>
      </c>
      <c r="B4877" s="83" t="s">
        <v>4900</v>
      </c>
      <c r="C4877" s="81" t="s">
        <v>4621</v>
      </c>
      <c r="D4877" s="83" t="s">
        <v>4519</v>
      </c>
      <c r="E4877" s="81" t="s">
        <v>2402</v>
      </c>
      <c r="F4877" s="81">
        <v>468.0</v>
      </c>
      <c r="G4877" s="81" t="s">
        <v>2</v>
      </c>
      <c r="H4877" s="81" t="s">
        <v>224</v>
      </c>
      <c r="I4877" s="81" t="s">
        <v>213</v>
      </c>
      <c r="J4877" s="81" t="s">
        <v>224</v>
      </c>
      <c r="K4877" s="81" t="str">
        <f>IFERROR(__xludf.DUMMYFUNCTION("IF(OR(D4877="""",G4877=""""),"""",IFERROR(LET(
campo,XLOOKUP(TRIM(G4877),ARRAYFORMULA(TRIM('indice columnas'!$A$2:$A$100)),'indice columnas'!$B$2:$B$100,""""),
col,IFERROR(MATCH(campo,Referencia!$A$1:$AZ$1,0),0),
fila,IFERROR(MATCH(TO_TEXT(D4877),ARRAYFOR"&amp;"MULA(TO_TEXT(Referencia!$A$2:$A6238)),0),0),
IF(OR(campo="""",campo=""-""),""NO APLICA"",
IF(col=0,""REVISAR EQUIVALENCIA"",
IF(fila=0,""SKU NO ENCONTRADO"",
LET(
valor,INDEX(Referencia!$A$2:$AZ6238,fila,col),
IF(TRIM(TO_TEXT(valor))=TRIM(TO_TEXT(I4877)),"&amp;"
""OK"",
""NO COINCIDE. Valor verdadero: ""&amp;IF(valor="""",""[VACÍO]"",TO_TEXT(valor))
)
))))
),""ERROR EN FÓRMULA""))"),"OK")</f>
        <v>OK</v>
      </c>
    </row>
    <row r="4878">
      <c r="A4878" s="83" t="s">
        <v>4899</v>
      </c>
      <c r="B4878" s="83" t="s">
        <v>4900</v>
      </c>
      <c r="C4878" s="81" t="s">
        <v>4621</v>
      </c>
      <c r="D4878" s="83" t="s">
        <v>4519</v>
      </c>
      <c r="E4878" s="81" t="s">
        <v>2402</v>
      </c>
      <c r="F4878" s="81">
        <v>468.0</v>
      </c>
      <c r="G4878" s="81" t="s">
        <v>1</v>
      </c>
      <c r="H4878" s="81" t="s">
        <v>224</v>
      </c>
      <c r="I4878" s="81" t="s">
        <v>49</v>
      </c>
      <c r="J4878" s="81" t="s">
        <v>224</v>
      </c>
      <c r="K4878" s="81" t="str">
        <f>IFERROR(__xludf.DUMMYFUNCTION("IF(OR(D4878="""",G4878=""""),"""",IFERROR(LET(
campo,XLOOKUP(TRIM(G4878),ARRAYFORMULA(TRIM('indice columnas'!$A$2:$A$100)),'indice columnas'!$B$2:$B$100,""""),
col,IFERROR(MATCH(campo,Referencia!$A$1:$AZ$1,0),0),
fila,IFERROR(MATCH(TO_TEXT(D4878),ARRAYFOR"&amp;"MULA(TO_TEXT(Referencia!$A$2:$A6238)),0),0),
IF(OR(campo="""",campo=""-""),""NO APLICA"",
IF(col=0,""REVISAR EQUIVALENCIA"",
IF(fila=0,""SKU NO ENCONTRADO"",
LET(
valor,INDEX(Referencia!$A$2:$AZ6238,fila,col),
IF(TRIM(TO_TEXT(valor))=TRIM(TO_TEXT(I4878)),"&amp;"
""OK"",
""NO COINCIDE. Valor verdadero: ""&amp;IF(valor="""",""[VACÍO]"",TO_TEXT(valor))
)
))))
),""ERROR EN FÓRMULA""))"),"OK")</f>
        <v>OK</v>
      </c>
    </row>
    <row r="4879">
      <c r="A4879" s="83" t="s">
        <v>4899</v>
      </c>
      <c r="B4879" s="83" t="s">
        <v>4900</v>
      </c>
      <c r="C4879" s="81" t="s">
        <v>4621</v>
      </c>
      <c r="D4879" s="83" t="s">
        <v>4523</v>
      </c>
      <c r="E4879" s="81" t="s">
        <v>2416</v>
      </c>
      <c r="F4879" s="81">
        <v>471.0</v>
      </c>
      <c r="G4879" s="81" t="s">
        <v>3</v>
      </c>
      <c r="H4879" s="81" t="s">
        <v>224</v>
      </c>
      <c r="I4879" s="81" t="s">
        <v>920</v>
      </c>
      <c r="J4879" s="81" t="s">
        <v>224</v>
      </c>
      <c r="K4879" s="81" t="str">
        <f>IFERROR(__xludf.DUMMYFUNCTION("IF(OR(D4879="""",G4879=""""),"""",IFERROR(LET(
campo,XLOOKUP(TRIM(G4879),ARRAYFORMULA(TRIM('indice columnas'!$A$2:$A$100)),'indice columnas'!$B$2:$B$100,""""),
col,IFERROR(MATCH(campo,Referencia!$A$1:$AZ$1,0),0),
fila,IFERROR(MATCH(TO_TEXT(D4879),ARRAYFOR"&amp;"MULA(TO_TEXT(Referencia!$A$2:$A6238)),0),0),
IF(OR(campo="""",campo=""-""),""NO APLICA"",
IF(col=0,""REVISAR EQUIVALENCIA"",
IF(fila=0,""SKU NO ENCONTRADO"",
LET(
valor,INDEX(Referencia!$A$2:$AZ6238,fila,col),
IF(TRIM(TO_TEXT(valor))=TRIM(TO_TEXT(I4879)),"&amp;"
""OK"",
""NO COINCIDE. Valor verdadero: ""&amp;IF(valor="""",""[VACÍO]"",TO_TEXT(valor))
)
))))
),""ERROR EN FÓRMULA""))"),"OK")</f>
        <v>OK</v>
      </c>
    </row>
    <row r="4880">
      <c r="A4880" s="83" t="s">
        <v>4899</v>
      </c>
      <c r="B4880" s="83" t="s">
        <v>4900</v>
      </c>
      <c r="C4880" s="81" t="s">
        <v>4621</v>
      </c>
      <c r="D4880" s="83" t="s">
        <v>4523</v>
      </c>
      <c r="E4880" s="81" t="s">
        <v>2416</v>
      </c>
      <c r="F4880" s="81">
        <v>471.0</v>
      </c>
      <c r="G4880" s="81" t="s">
        <v>2</v>
      </c>
      <c r="H4880" s="81" t="s">
        <v>224</v>
      </c>
      <c r="I4880" s="81" t="s">
        <v>213</v>
      </c>
      <c r="J4880" s="81" t="s">
        <v>224</v>
      </c>
      <c r="K4880" s="81" t="str">
        <f>IFERROR(__xludf.DUMMYFUNCTION("IF(OR(D4880="""",G4880=""""),"""",IFERROR(LET(
campo,XLOOKUP(TRIM(G4880),ARRAYFORMULA(TRIM('indice columnas'!$A$2:$A$100)),'indice columnas'!$B$2:$B$100,""""),
col,IFERROR(MATCH(campo,Referencia!$A$1:$AZ$1,0),0),
fila,IFERROR(MATCH(TO_TEXT(D4880),ARRAYFOR"&amp;"MULA(TO_TEXT(Referencia!$A$2:$A6238)),0),0),
IF(OR(campo="""",campo=""-""),""NO APLICA"",
IF(col=0,""REVISAR EQUIVALENCIA"",
IF(fila=0,""SKU NO ENCONTRADO"",
LET(
valor,INDEX(Referencia!$A$2:$AZ6238,fila,col),
IF(TRIM(TO_TEXT(valor))=TRIM(TO_TEXT(I4880)),"&amp;"
""OK"",
""NO COINCIDE. Valor verdadero: ""&amp;IF(valor="""",""[VACÍO]"",TO_TEXT(valor))
)
))))
),""ERROR EN FÓRMULA""))"),"OK")</f>
        <v>OK</v>
      </c>
    </row>
    <row r="4881">
      <c r="A4881" s="83" t="s">
        <v>4899</v>
      </c>
      <c r="B4881" s="83" t="s">
        <v>4900</v>
      </c>
      <c r="C4881" s="81" t="s">
        <v>4621</v>
      </c>
      <c r="D4881" s="83" t="s">
        <v>4523</v>
      </c>
      <c r="E4881" s="81" t="s">
        <v>2416</v>
      </c>
      <c r="F4881" s="81">
        <v>471.0</v>
      </c>
      <c r="G4881" s="81" t="s">
        <v>1</v>
      </c>
      <c r="H4881" s="81" t="s">
        <v>224</v>
      </c>
      <c r="I4881" s="81" t="s">
        <v>49</v>
      </c>
      <c r="J4881" s="81" t="s">
        <v>224</v>
      </c>
      <c r="K4881" s="81" t="str">
        <f>IFERROR(__xludf.DUMMYFUNCTION("IF(OR(D4881="""",G4881=""""),"""",IFERROR(LET(
campo,XLOOKUP(TRIM(G4881),ARRAYFORMULA(TRIM('indice columnas'!$A$2:$A$100)),'indice columnas'!$B$2:$B$100,""""),
col,IFERROR(MATCH(campo,Referencia!$A$1:$AZ$1,0),0),
fila,IFERROR(MATCH(TO_TEXT(D4881),ARRAYFOR"&amp;"MULA(TO_TEXT(Referencia!$A$2:$A6238)),0),0),
IF(OR(campo="""",campo=""-""),""NO APLICA"",
IF(col=0,""REVISAR EQUIVALENCIA"",
IF(fila=0,""SKU NO ENCONTRADO"",
LET(
valor,INDEX(Referencia!$A$2:$AZ6238,fila,col),
IF(TRIM(TO_TEXT(valor))=TRIM(TO_TEXT(I4881)),"&amp;"
""OK"",
""NO COINCIDE. Valor verdadero: ""&amp;IF(valor="""",""[VACÍO]"",TO_TEXT(valor))
)
))))
),""ERROR EN FÓRMULA""))"),"OK")</f>
        <v>OK</v>
      </c>
    </row>
    <row r="4882">
      <c r="A4882" s="83" t="s">
        <v>4899</v>
      </c>
      <c r="B4882" s="83" t="s">
        <v>4900</v>
      </c>
      <c r="C4882" s="81" t="s">
        <v>4621</v>
      </c>
      <c r="D4882" s="83" t="s">
        <v>4524</v>
      </c>
      <c r="E4882" s="81" t="s">
        <v>2440</v>
      </c>
      <c r="F4882" s="81">
        <v>473.0</v>
      </c>
      <c r="G4882" s="81" t="s">
        <v>3</v>
      </c>
      <c r="H4882" s="81" t="s">
        <v>376</v>
      </c>
      <c r="I4882" s="81" t="s">
        <v>344</v>
      </c>
      <c r="J4882" s="81" t="s">
        <v>224</v>
      </c>
      <c r="K4882" s="81" t="str">
        <f>IFERROR(__xludf.DUMMYFUNCTION("IF(OR(D4882="""",G4882=""""),"""",IFERROR(LET(
campo,XLOOKUP(TRIM(G4882),ARRAYFORMULA(TRIM('indice columnas'!$A$2:$A$100)),'indice columnas'!$B$2:$B$100,""""),
col,IFERROR(MATCH(campo,Referencia!$A$1:$AZ$1,0),0),
fila,IFERROR(MATCH(TO_TEXT(D4882),ARRAYFOR"&amp;"MULA(TO_TEXT(Referencia!$A$2:$A6238)),0),0),
IF(OR(campo="""",campo=""-""),""NO APLICA"",
IF(col=0,""REVISAR EQUIVALENCIA"",
IF(fila=0,""SKU NO ENCONTRADO"",
LET(
valor,INDEX(Referencia!$A$2:$AZ6238,fila,col),
IF(TRIM(TO_TEXT(valor))=TRIM(TO_TEXT(I4882)),"&amp;"
""OK"",
""NO COINCIDE. Valor verdadero: ""&amp;IF(valor="""",""[VACÍO]"",TO_TEXT(valor))
)
))))
),""ERROR EN FÓRMULA""))"),"OK")</f>
        <v>OK</v>
      </c>
    </row>
    <row r="4883">
      <c r="A4883" s="83" t="s">
        <v>4899</v>
      </c>
      <c r="B4883" s="83" t="s">
        <v>4900</v>
      </c>
      <c r="C4883" s="81" t="s">
        <v>4621</v>
      </c>
      <c r="D4883" s="83" t="s">
        <v>4527</v>
      </c>
      <c r="E4883" s="81" t="s">
        <v>2444</v>
      </c>
      <c r="F4883" s="81">
        <v>474.0</v>
      </c>
      <c r="G4883" s="81" t="s">
        <v>3</v>
      </c>
      <c r="H4883" s="81" t="s">
        <v>376</v>
      </c>
      <c r="I4883" s="81" t="s">
        <v>344</v>
      </c>
      <c r="J4883" s="81" t="s">
        <v>224</v>
      </c>
      <c r="K4883" s="81" t="str">
        <f>IFERROR(__xludf.DUMMYFUNCTION("IF(OR(D4883="""",G4883=""""),"""",IFERROR(LET(
campo,XLOOKUP(TRIM(G4883),ARRAYFORMULA(TRIM('indice columnas'!$A$2:$A$100)),'indice columnas'!$B$2:$B$100,""""),
col,IFERROR(MATCH(campo,Referencia!$A$1:$AZ$1,0),0),
fila,IFERROR(MATCH(TO_TEXT(D4883),ARRAYFOR"&amp;"MULA(TO_TEXT(Referencia!$A$2:$A6238)),0),0),
IF(OR(campo="""",campo=""-""),""NO APLICA"",
IF(col=0,""REVISAR EQUIVALENCIA"",
IF(fila=0,""SKU NO ENCONTRADO"",
LET(
valor,INDEX(Referencia!$A$2:$AZ6238,fila,col),
IF(TRIM(TO_TEXT(valor))=TRIM(TO_TEXT(I4883)),"&amp;"
""OK"",
""NO COINCIDE. Valor verdadero: ""&amp;IF(valor="""",""[VACÍO]"",TO_TEXT(valor))
)
))))
),""ERROR EN FÓRMULA""))"),"OK")</f>
        <v>OK</v>
      </c>
    </row>
    <row r="4884">
      <c r="A4884" s="83" t="s">
        <v>4899</v>
      </c>
      <c r="B4884" s="83" t="s">
        <v>4900</v>
      </c>
      <c r="C4884" s="81" t="s">
        <v>4621</v>
      </c>
      <c r="D4884" s="83" t="s">
        <v>4529</v>
      </c>
      <c r="E4884" s="81" t="s">
        <v>2474</v>
      </c>
      <c r="F4884" s="81">
        <v>476.0</v>
      </c>
      <c r="G4884" s="81" t="s">
        <v>3</v>
      </c>
      <c r="H4884" s="81" t="s">
        <v>376</v>
      </c>
      <c r="I4884" s="81" t="s">
        <v>344</v>
      </c>
      <c r="J4884" s="81" t="s">
        <v>224</v>
      </c>
      <c r="K4884" s="81" t="str">
        <f>IFERROR(__xludf.DUMMYFUNCTION("IF(OR(D4884="""",G4884=""""),"""",IFERROR(LET(
campo,XLOOKUP(TRIM(G4884),ARRAYFORMULA(TRIM('indice columnas'!$A$2:$A$100)),'indice columnas'!$B$2:$B$100,""""),
col,IFERROR(MATCH(campo,Referencia!$A$1:$AZ$1,0),0),
fila,IFERROR(MATCH(TO_TEXT(D4884),ARRAYFOR"&amp;"MULA(TO_TEXT(Referencia!$A$2:$A6238)),0),0),
IF(OR(campo="""",campo=""-""),""NO APLICA"",
IF(col=0,""REVISAR EQUIVALENCIA"",
IF(fila=0,""SKU NO ENCONTRADO"",
LET(
valor,INDEX(Referencia!$A$2:$AZ6238,fila,col),
IF(TRIM(TO_TEXT(valor))=TRIM(TO_TEXT(I4884)),"&amp;"
""OK"",
""NO COINCIDE. Valor verdadero: ""&amp;IF(valor="""",""[VACÍO]"",TO_TEXT(valor))
)
))))
),""ERROR EN FÓRMULA""))"),"OK")</f>
        <v>OK</v>
      </c>
    </row>
    <row r="4885">
      <c r="A4885" s="83" t="s">
        <v>4899</v>
      </c>
      <c r="B4885" s="83" t="s">
        <v>4900</v>
      </c>
      <c r="C4885" s="81" t="s">
        <v>4621</v>
      </c>
      <c r="D4885" s="83" t="s">
        <v>4530</v>
      </c>
      <c r="E4885" s="81" t="s">
        <v>2475</v>
      </c>
      <c r="F4885" s="81">
        <v>477.0</v>
      </c>
      <c r="G4885" s="81" t="s">
        <v>3</v>
      </c>
      <c r="H4885" s="81" t="s">
        <v>376</v>
      </c>
      <c r="I4885" s="81" t="s">
        <v>344</v>
      </c>
      <c r="J4885" s="81" t="s">
        <v>224</v>
      </c>
      <c r="K4885" s="81" t="str">
        <f>IFERROR(__xludf.DUMMYFUNCTION("IF(OR(D4885="""",G4885=""""),"""",IFERROR(LET(
campo,XLOOKUP(TRIM(G4885),ARRAYFORMULA(TRIM('indice columnas'!$A$2:$A$100)),'indice columnas'!$B$2:$B$100,""""),
col,IFERROR(MATCH(campo,Referencia!$A$1:$AZ$1,0),0),
fila,IFERROR(MATCH(TO_TEXT(D4885),ARRAYFOR"&amp;"MULA(TO_TEXT(Referencia!$A$2:$A6238)),0),0),
IF(OR(campo="""",campo=""-""),""NO APLICA"",
IF(col=0,""REVISAR EQUIVALENCIA"",
IF(fila=0,""SKU NO ENCONTRADO"",
LET(
valor,INDEX(Referencia!$A$2:$AZ6238,fila,col),
IF(TRIM(TO_TEXT(valor))=TRIM(TO_TEXT(I4885)),"&amp;"
""OK"",
""NO COINCIDE. Valor verdadero: ""&amp;IF(valor="""",""[VACÍO]"",TO_TEXT(valor))
)
))))
),""ERROR EN FÓRMULA""))"),"OK")</f>
        <v>OK</v>
      </c>
    </row>
    <row r="4886">
      <c r="A4886" s="83" t="s">
        <v>4899</v>
      </c>
      <c r="B4886" s="83" t="s">
        <v>4900</v>
      </c>
      <c r="C4886" s="81" t="s">
        <v>4621</v>
      </c>
      <c r="D4886" s="83" t="s">
        <v>4531</v>
      </c>
      <c r="E4886" s="81" t="s">
        <v>2489</v>
      </c>
      <c r="F4886" s="81">
        <v>478.0</v>
      </c>
      <c r="G4886" s="81" t="s">
        <v>3</v>
      </c>
      <c r="H4886" s="81" t="s">
        <v>376</v>
      </c>
      <c r="I4886" s="81" t="s">
        <v>344</v>
      </c>
      <c r="J4886" s="81" t="s">
        <v>224</v>
      </c>
      <c r="K4886" s="81" t="str">
        <f>IFERROR(__xludf.DUMMYFUNCTION("IF(OR(D4886="""",G4886=""""),"""",IFERROR(LET(
campo,XLOOKUP(TRIM(G4886),ARRAYFORMULA(TRIM('indice columnas'!$A$2:$A$100)),'indice columnas'!$B$2:$B$100,""""),
col,IFERROR(MATCH(campo,Referencia!$A$1:$AZ$1,0),0),
fila,IFERROR(MATCH(TO_TEXT(D4886),ARRAYFOR"&amp;"MULA(TO_TEXT(Referencia!$A$2:$A6238)),0),0),
IF(OR(campo="""",campo=""-""),""NO APLICA"",
IF(col=0,""REVISAR EQUIVALENCIA"",
IF(fila=0,""SKU NO ENCONTRADO"",
LET(
valor,INDEX(Referencia!$A$2:$AZ6238,fila,col),
IF(TRIM(TO_TEXT(valor))=TRIM(TO_TEXT(I4886)),"&amp;"
""OK"",
""NO COINCIDE. Valor verdadero: ""&amp;IF(valor="""",""[VACÍO]"",TO_TEXT(valor))
)
))))
),""ERROR EN FÓRMULA""))"),"OK")</f>
        <v>OK</v>
      </c>
    </row>
    <row r="4887">
      <c r="A4887" s="83" t="s">
        <v>4899</v>
      </c>
      <c r="B4887" s="83" t="s">
        <v>4900</v>
      </c>
      <c r="C4887" s="81" t="s">
        <v>4621</v>
      </c>
      <c r="D4887" s="83" t="s">
        <v>4534</v>
      </c>
      <c r="E4887" s="81" t="s">
        <v>2516</v>
      </c>
      <c r="F4887" s="81">
        <v>481.0</v>
      </c>
      <c r="G4887" s="81" t="s">
        <v>3</v>
      </c>
      <c r="H4887" s="81" t="s">
        <v>224</v>
      </c>
      <c r="I4887" s="81" t="s">
        <v>51</v>
      </c>
      <c r="J4887" s="81" t="s">
        <v>224</v>
      </c>
      <c r="K4887" s="81" t="str">
        <f>IFERROR(__xludf.DUMMYFUNCTION("IF(OR(D4887="""",G4887=""""),"""",IFERROR(LET(
campo,XLOOKUP(TRIM(G4887),ARRAYFORMULA(TRIM('indice columnas'!$A$2:$A$100)),'indice columnas'!$B$2:$B$100,""""),
col,IFERROR(MATCH(campo,Referencia!$A$1:$AZ$1,0),0),
fila,IFERROR(MATCH(TO_TEXT(D4887),ARRAYFOR"&amp;"MULA(TO_TEXT(Referencia!$A$2:$A6238)),0),0),
IF(OR(campo="""",campo=""-""),""NO APLICA"",
IF(col=0,""REVISAR EQUIVALENCIA"",
IF(fila=0,""SKU NO ENCONTRADO"",
LET(
valor,INDEX(Referencia!$A$2:$AZ6238,fila,col),
IF(TRIM(TO_TEXT(valor))=TRIM(TO_TEXT(I4887)),"&amp;"
""OK"",
""NO COINCIDE. Valor verdadero: ""&amp;IF(valor="""",""[VACÍO]"",TO_TEXT(valor))
)
))))
),""ERROR EN FÓRMULA""))"),"OK")</f>
        <v>OK</v>
      </c>
    </row>
    <row r="4888">
      <c r="A4888" s="83" t="s">
        <v>4899</v>
      </c>
      <c r="B4888" s="83" t="s">
        <v>4900</v>
      </c>
      <c r="C4888" s="81" t="s">
        <v>4621</v>
      </c>
      <c r="D4888" s="83" t="s">
        <v>4534</v>
      </c>
      <c r="E4888" s="81" t="s">
        <v>2516</v>
      </c>
      <c r="F4888" s="81">
        <v>481.0</v>
      </c>
      <c r="G4888" s="81" t="s">
        <v>2</v>
      </c>
      <c r="H4888" s="81" t="s">
        <v>224</v>
      </c>
      <c r="I4888" s="81" t="s">
        <v>213</v>
      </c>
      <c r="J4888" s="81" t="s">
        <v>224</v>
      </c>
      <c r="K4888" s="81" t="str">
        <f>IFERROR(__xludf.DUMMYFUNCTION("IF(OR(D4888="""",G4888=""""),"""",IFERROR(LET(
campo,XLOOKUP(TRIM(G4888),ARRAYFORMULA(TRIM('indice columnas'!$A$2:$A$100)),'indice columnas'!$B$2:$B$100,""""),
col,IFERROR(MATCH(campo,Referencia!$A$1:$AZ$1,0),0),
fila,IFERROR(MATCH(TO_TEXT(D4888),ARRAYFOR"&amp;"MULA(TO_TEXT(Referencia!$A$2:$A6238)),0),0),
IF(OR(campo="""",campo=""-""),""NO APLICA"",
IF(col=0,""REVISAR EQUIVALENCIA"",
IF(fila=0,""SKU NO ENCONTRADO"",
LET(
valor,INDEX(Referencia!$A$2:$AZ6238,fila,col),
IF(TRIM(TO_TEXT(valor))=TRIM(TO_TEXT(I4888)),"&amp;"
""OK"",
""NO COINCIDE. Valor verdadero: ""&amp;IF(valor="""",""[VACÍO]"",TO_TEXT(valor))
)
))))
),""ERROR EN FÓRMULA""))"),"OK")</f>
        <v>OK</v>
      </c>
    </row>
    <row r="4889">
      <c r="A4889" s="83" t="s">
        <v>4899</v>
      </c>
      <c r="B4889" s="83" t="s">
        <v>4900</v>
      </c>
      <c r="C4889" s="81" t="s">
        <v>4621</v>
      </c>
      <c r="D4889" s="83" t="s">
        <v>4534</v>
      </c>
      <c r="E4889" s="81" t="s">
        <v>2516</v>
      </c>
      <c r="F4889" s="81">
        <v>481.0</v>
      </c>
      <c r="G4889" s="81" t="s">
        <v>1</v>
      </c>
      <c r="H4889" s="81" t="s">
        <v>224</v>
      </c>
      <c r="I4889" s="81" t="s">
        <v>49</v>
      </c>
      <c r="J4889" s="81" t="s">
        <v>224</v>
      </c>
      <c r="K4889" s="81" t="str">
        <f>IFERROR(__xludf.DUMMYFUNCTION("IF(OR(D4889="""",G4889=""""),"""",IFERROR(LET(
campo,XLOOKUP(TRIM(G4889),ARRAYFORMULA(TRIM('indice columnas'!$A$2:$A$100)),'indice columnas'!$B$2:$B$100,""""),
col,IFERROR(MATCH(campo,Referencia!$A$1:$AZ$1,0),0),
fila,IFERROR(MATCH(TO_TEXT(D4889),ARRAYFOR"&amp;"MULA(TO_TEXT(Referencia!$A$2:$A6238)),0),0),
IF(OR(campo="""",campo=""-""),""NO APLICA"",
IF(col=0,""REVISAR EQUIVALENCIA"",
IF(fila=0,""SKU NO ENCONTRADO"",
LET(
valor,INDEX(Referencia!$A$2:$AZ6238,fila,col),
IF(TRIM(TO_TEXT(valor))=TRIM(TO_TEXT(I4889)),"&amp;"
""OK"",
""NO COINCIDE. Valor verdadero: ""&amp;IF(valor="""",""[VACÍO]"",TO_TEXT(valor))
)
))))
),""ERROR EN FÓRMULA""))"),"OK")</f>
        <v>OK</v>
      </c>
    </row>
    <row r="4890">
      <c r="A4890" s="83" t="s">
        <v>4899</v>
      </c>
      <c r="B4890" s="83" t="s">
        <v>4900</v>
      </c>
      <c r="C4890" s="81" t="s">
        <v>4621</v>
      </c>
      <c r="D4890" s="83" t="s">
        <v>4537</v>
      </c>
      <c r="E4890" s="81" t="s">
        <v>2530</v>
      </c>
      <c r="F4890" s="81">
        <v>484.0</v>
      </c>
      <c r="G4890" s="81" t="s">
        <v>3</v>
      </c>
      <c r="H4890" s="81" t="s">
        <v>224</v>
      </c>
      <c r="I4890" s="81" t="s">
        <v>51</v>
      </c>
      <c r="J4890" s="81" t="s">
        <v>224</v>
      </c>
      <c r="K4890" s="81" t="str">
        <f>IFERROR(__xludf.DUMMYFUNCTION("IF(OR(D4890="""",G4890=""""),"""",IFERROR(LET(
campo,XLOOKUP(TRIM(G4890),ARRAYFORMULA(TRIM('indice columnas'!$A$2:$A$100)),'indice columnas'!$B$2:$B$100,""""),
col,IFERROR(MATCH(campo,Referencia!$A$1:$AZ$1,0),0),
fila,IFERROR(MATCH(TO_TEXT(D4890),ARRAYFOR"&amp;"MULA(TO_TEXT(Referencia!$A$2:$A6238)),0),0),
IF(OR(campo="""",campo=""-""),""NO APLICA"",
IF(col=0,""REVISAR EQUIVALENCIA"",
IF(fila=0,""SKU NO ENCONTRADO"",
LET(
valor,INDEX(Referencia!$A$2:$AZ6238,fila,col),
IF(TRIM(TO_TEXT(valor))=TRIM(TO_TEXT(I4890)),"&amp;"
""OK"",
""NO COINCIDE. Valor verdadero: ""&amp;IF(valor="""",""[VACÍO]"",TO_TEXT(valor))
)
))))
),""ERROR EN FÓRMULA""))"),"OK")</f>
        <v>OK</v>
      </c>
    </row>
    <row r="4891">
      <c r="A4891" s="83" t="s">
        <v>4899</v>
      </c>
      <c r="B4891" s="83" t="s">
        <v>4900</v>
      </c>
      <c r="C4891" s="81" t="s">
        <v>4621</v>
      </c>
      <c r="D4891" s="83" t="s">
        <v>4537</v>
      </c>
      <c r="E4891" s="81" t="s">
        <v>2530</v>
      </c>
      <c r="F4891" s="81">
        <v>484.0</v>
      </c>
      <c r="G4891" s="81" t="s">
        <v>2</v>
      </c>
      <c r="H4891" s="81" t="s">
        <v>224</v>
      </c>
      <c r="I4891" s="81" t="s">
        <v>213</v>
      </c>
      <c r="J4891" s="81" t="s">
        <v>224</v>
      </c>
      <c r="K4891" s="81" t="str">
        <f>IFERROR(__xludf.DUMMYFUNCTION("IF(OR(D4891="""",G4891=""""),"""",IFERROR(LET(
campo,XLOOKUP(TRIM(G4891),ARRAYFORMULA(TRIM('indice columnas'!$A$2:$A$100)),'indice columnas'!$B$2:$B$100,""""),
col,IFERROR(MATCH(campo,Referencia!$A$1:$AZ$1,0),0),
fila,IFERROR(MATCH(TO_TEXT(D4891),ARRAYFOR"&amp;"MULA(TO_TEXT(Referencia!$A$2:$A6238)),0),0),
IF(OR(campo="""",campo=""-""),""NO APLICA"",
IF(col=0,""REVISAR EQUIVALENCIA"",
IF(fila=0,""SKU NO ENCONTRADO"",
LET(
valor,INDEX(Referencia!$A$2:$AZ6238,fila,col),
IF(TRIM(TO_TEXT(valor))=TRIM(TO_TEXT(I4891)),"&amp;"
""OK"",
""NO COINCIDE. Valor verdadero: ""&amp;IF(valor="""",""[VACÍO]"",TO_TEXT(valor))
)
))))
),""ERROR EN FÓRMULA""))"),"OK")</f>
        <v>OK</v>
      </c>
    </row>
    <row r="4892">
      <c r="A4892" s="83" t="s">
        <v>4899</v>
      </c>
      <c r="B4892" s="83" t="s">
        <v>4900</v>
      </c>
      <c r="C4892" s="81" t="s">
        <v>4621</v>
      </c>
      <c r="D4892" s="83" t="s">
        <v>4537</v>
      </c>
      <c r="E4892" s="81" t="s">
        <v>2530</v>
      </c>
      <c r="F4892" s="81">
        <v>484.0</v>
      </c>
      <c r="G4892" s="81" t="s">
        <v>1</v>
      </c>
      <c r="H4892" s="81" t="s">
        <v>224</v>
      </c>
      <c r="I4892" s="81" t="s">
        <v>49</v>
      </c>
      <c r="J4892" s="81" t="s">
        <v>224</v>
      </c>
      <c r="K4892" s="81" t="str">
        <f>IFERROR(__xludf.DUMMYFUNCTION("IF(OR(D4892="""",G4892=""""),"""",IFERROR(LET(
campo,XLOOKUP(TRIM(G4892),ARRAYFORMULA(TRIM('indice columnas'!$A$2:$A$100)),'indice columnas'!$B$2:$B$100,""""),
col,IFERROR(MATCH(campo,Referencia!$A$1:$AZ$1,0),0),
fila,IFERROR(MATCH(TO_TEXT(D4892),ARRAYFOR"&amp;"MULA(TO_TEXT(Referencia!$A$2:$A6238)),0),0),
IF(OR(campo="""",campo=""-""),""NO APLICA"",
IF(col=0,""REVISAR EQUIVALENCIA"",
IF(fila=0,""SKU NO ENCONTRADO"",
LET(
valor,INDEX(Referencia!$A$2:$AZ6238,fila,col),
IF(TRIM(TO_TEXT(valor))=TRIM(TO_TEXT(I4892)),"&amp;"
""OK"",
""NO COINCIDE. Valor verdadero: ""&amp;IF(valor="""",""[VACÍO]"",TO_TEXT(valor))
)
))))
),""ERROR EN FÓRMULA""))"),"OK")</f>
        <v>OK</v>
      </c>
    </row>
    <row r="4893">
      <c r="A4893" s="83" t="s">
        <v>4899</v>
      </c>
      <c r="B4893" s="83" t="s">
        <v>4900</v>
      </c>
      <c r="C4893" s="81" t="s">
        <v>4621</v>
      </c>
      <c r="D4893" s="83" t="s">
        <v>4543</v>
      </c>
      <c r="E4893" s="81" t="s">
        <v>2563</v>
      </c>
      <c r="F4893" s="81">
        <v>489.0</v>
      </c>
      <c r="G4893" s="81" t="s">
        <v>3</v>
      </c>
      <c r="H4893" s="81" t="s">
        <v>224</v>
      </c>
      <c r="I4893" s="81" t="s">
        <v>51</v>
      </c>
      <c r="J4893" s="81" t="s">
        <v>224</v>
      </c>
      <c r="K4893" s="81" t="str">
        <f>IFERROR(__xludf.DUMMYFUNCTION("IF(OR(D4893="""",G4893=""""),"""",IFERROR(LET(
campo,XLOOKUP(TRIM(G4893),ARRAYFORMULA(TRIM('indice columnas'!$A$2:$A$100)),'indice columnas'!$B$2:$B$100,""""),
col,IFERROR(MATCH(campo,Referencia!$A$1:$AZ$1,0),0),
fila,IFERROR(MATCH(TO_TEXT(D4893),ARRAYFOR"&amp;"MULA(TO_TEXT(Referencia!$A$2:$A6238)),0),0),
IF(OR(campo="""",campo=""-""),""NO APLICA"",
IF(col=0,""REVISAR EQUIVALENCIA"",
IF(fila=0,""SKU NO ENCONTRADO"",
LET(
valor,INDEX(Referencia!$A$2:$AZ6238,fila,col),
IF(TRIM(TO_TEXT(valor))=TRIM(TO_TEXT(I4893)),"&amp;"
""OK"",
""NO COINCIDE. Valor verdadero: ""&amp;IF(valor="""",""[VACÍO]"",TO_TEXT(valor))
)
))))
),""ERROR EN FÓRMULA""))"),"OK")</f>
        <v>OK</v>
      </c>
    </row>
    <row r="4894">
      <c r="A4894" s="83" t="s">
        <v>4899</v>
      </c>
      <c r="B4894" s="83" t="s">
        <v>4900</v>
      </c>
      <c r="C4894" s="81" t="s">
        <v>4621</v>
      </c>
      <c r="D4894" s="83" t="s">
        <v>4543</v>
      </c>
      <c r="E4894" s="81" t="s">
        <v>2563</v>
      </c>
      <c r="F4894" s="81">
        <v>489.0</v>
      </c>
      <c r="G4894" s="81" t="s">
        <v>2</v>
      </c>
      <c r="H4894" s="81" t="s">
        <v>224</v>
      </c>
      <c r="I4894" s="81" t="s">
        <v>50</v>
      </c>
      <c r="J4894" s="81" t="s">
        <v>224</v>
      </c>
      <c r="K4894" s="81" t="str">
        <f>IFERROR(__xludf.DUMMYFUNCTION("IF(OR(D4894="""",G4894=""""),"""",IFERROR(LET(
campo,XLOOKUP(TRIM(G4894),ARRAYFORMULA(TRIM('indice columnas'!$A$2:$A$100)),'indice columnas'!$B$2:$B$100,""""),
col,IFERROR(MATCH(campo,Referencia!$A$1:$AZ$1,0),0),
fila,IFERROR(MATCH(TO_TEXT(D4894),ARRAYFOR"&amp;"MULA(TO_TEXT(Referencia!$A$2:$A6238)),0),0),
IF(OR(campo="""",campo=""-""),""NO APLICA"",
IF(col=0,""REVISAR EQUIVALENCIA"",
IF(fila=0,""SKU NO ENCONTRADO"",
LET(
valor,INDEX(Referencia!$A$2:$AZ6238,fila,col),
IF(TRIM(TO_TEXT(valor))=TRIM(TO_TEXT(I4894)),"&amp;"
""OK"",
""NO COINCIDE. Valor verdadero: ""&amp;IF(valor="""",""[VACÍO]"",TO_TEXT(valor))
)
))))
),""ERROR EN FÓRMULA""))"),"OK")</f>
        <v>OK</v>
      </c>
    </row>
    <row r="4895">
      <c r="A4895" s="83" t="s">
        <v>4899</v>
      </c>
      <c r="B4895" s="83" t="s">
        <v>4900</v>
      </c>
      <c r="C4895" s="81" t="s">
        <v>4621</v>
      </c>
      <c r="D4895" s="83" t="s">
        <v>4543</v>
      </c>
      <c r="E4895" s="81" t="s">
        <v>2563</v>
      </c>
      <c r="F4895" s="81">
        <v>489.0</v>
      </c>
      <c r="G4895" s="81" t="s">
        <v>1</v>
      </c>
      <c r="H4895" s="81" t="s">
        <v>224</v>
      </c>
      <c r="I4895" s="81" t="s">
        <v>49</v>
      </c>
      <c r="J4895" s="81" t="s">
        <v>224</v>
      </c>
      <c r="K4895" s="81" t="str">
        <f>IFERROR(__xludf.DUMMYFUNCTION("IF(OR(D4895="""",G4895=""""),"""",IFERROR(LET(
campo,XLOOKUP(TRIM(G4895),ARRAYFORMULA(TRIM('indice columnas'!$A$2:$A$100)),'indice columnas'!$B$2:$B$100,""""),
col,IFERROR(MATCH(campo,Referencia!$A$1:$AZ$1,0),0),
fila,IFERROR(MATCH(TO_TEXT(D4895),ARRAYFOR"&amp;"MULA(TO_TEXT(Referencia!$A$2:$A6238)),0),0),
IF(OR(campo="""",campo=""-""),""NO APLICA"",
IF(col=0,""REVISAR EQUIVALENCIA"",
IF(fila=0,""SKU NO ENCONTRADO"",
LET(
valor,INDEX(Referencia!$A$2:$AZ6238,fila,col),
IF(TRIM(TO_TEXT(valor))=TRIM(TO_TEXT(I4895)),"&amp;"
""OK"",
""NO COINCIDE. Valor verdadero: ""&amp;IF(valor="""",""[VACÍO]"",TO_TEXT(valor))
)
))))
),""ERROR EN FÓRMULA""))"),"OK")</f>
        <v>OK</v>
      </c>
    </row>
    <row r="4896">
      <c r="A4896" s="83" t="s">
        <v>4899</v>
      </c>
      <c r="B4896" s="83" t="s">
        <v>4900</v>
      </c>
      <c r="C4896" s="81" t="s">
        <v>4621</v>
      </c>
      <c r="D4896" s="83" t="s">
        <v>4546</v>
      </c>
      <c r="E4896" s="81" t="s">
        <v>2574</v>
      </c>
      <c r="F4896" s="81">
        <v>492.0</v>
      </c>
      <c r="G4896" s="81" t="s">
        <v>3</v>
      </c>
      <c r="H4896" s="81" t="s">
        <v>224</v>
      </c>
      <c r="I4896" s="81" t="s">
        <v>51</v>
      </c>
      <c r="J4896" s="81" t="s">
        <v>224</v>
      </c>
      <c r="K4896" s="81" t="str">
        <f>IFERROR(__xludf.DUMMYFUNCTION("IF(OR(D4896="""",G4896=""""),"""",IFERROR(LET(
campo,XLOOKUP(TRIM(G4896),ARRAYFORMULA(TRIM('indice columnas'!$A$2:$A$100)),'indice columnas'!$B$2:$B$100,""""),
col,IFERROR(MATCH(campo,Referencia!$A$1:$AZ$1,0),0),
fila,IFERROR(MATCH(TO_TEXT(D4896),ARRAYFOR"&amp;"MULA(TO_TEXT(Referencia!$A$2:$A6238)),0),0),
IF(OR(campo="""",campo=""-""),""NO APLICA"",
IF(col=0,""REVISAR EQUIVALENCIA"",
IF(fila=0,""SKU NO ENCONTRADO"",
LET(
valor,INDEX(Referencia!$A$2:$AZ6238,fila,col),
IF(TRIM(TO_TEXT(valor))=TRIM(TO_TEXT(I4896)),"&amp;"
""OK"",
""NO COINCIDE. Valor verdadero: ""&amp;IF(valor="""",""[VACÍO]"",TO_TEXT(valor))
)
))))
),""ERROR EN FÓRMULA""))"),"OK")</f>
        <v>OK</v>
      </c>
    </row>
    <row r="4897">
      <c r="A4897" s="83" t="s">
        <v>4899</v>
      </c>
      <c r="B4897" s="83" t="s">
        <v>4900</v>
      </c>
      <c r="C4897" s="81" t="s">
        <v>4621</v>
      </c>
      <c r="D4897" s="83" t="s">
        <v>4546</v>
      </c>
      <c r="E4897" s="81" t="s">
        <v>2574</v>
      </c>
      <c r="F4897" s="81">
        <v>492.0</v>
      </c>
      <c r="G4897" s="81" t="s">
        <v>2</v>
      </c>
      <c r="H4897" s="81" t="s">
        <v>224</v>
      </c>
      <c r="I4897" s="81" t="s">
        <v>50</v>
      </c>
      <c r="J4897" s="81" t="s">
        <v>224</v>
      </c>
      <c r="K4897" s="81" t="str">
        <f>IFERROR(__xludf.DUMMYFUNCTION("IF(OR(D4897="""",G4897=""""),"""",IFERROR(LET(
campo,XLOOKUP(TRIM(G4897),ARRAYFORMULA(TRIM('indice columnas'!$A$2:$A$100)),'indice columnas'!$B$2:$B$100,""""),
col,IFERROR(MATCH(campo,Referencia!$A$1:$AZ$1,0),0),
fila,IFERROR(MATCH(TO_TEXT(D4897),ARRAYFOR"&amp;"MULA(TO_TEXT(Referencia!$A$2:$A6238)),0),0),
IF(OR(campo="""",campo=""-""),""NO APLICA"",
IF(col=0,""REVISAR EQUIVALENCIA"",
IF(fila=0,""SKU NO ENCONTRADO"",
LET(
valor,INDEX(Referencia!$A$2:$AZ6238,fila,col),
IF(TRIM(TO_TEXT(valor))=TRIM(TO_TEXT(I4897)),"&amp;"
""OK"",
""NO COINCIDE. Valor verdadero: ""&amp;IF(valor="""",""[VACÍO]"",TO_TEXT(valor))
)
))))
),""ERROR EN FÓRMULA""))"),"OK")</f>
        <v>OK</v>
      </c>
    </row>
    <row r="4898">
      <c r="A4898" s="83" t="s">
        <v>4899</v>
      </c>
      <c r="B4898" s="83" t="s">
        <v>4900</v>
      </c>
      <c r="C4898" s="81" t="s">
        <v>4621</v>
      </c>
      <c r="D4898" s="83" t="s">
        <v>4546</v>
      </c>
      <c r="E4898" s="81" t="s">
        <v>2574</v>
      </c>
      <c r="F4898" s="81">
        <v>492.0</v>
      </c>
      <c r="G4898" s="81" t="s">
        <v>1</v>
      </c>
      <c r="H4898" s="81" t="s">
        <v>224</v>
      </c>
      <c r="I4898" s="81" t="s">
        <v>49</v>
      </c>
      <c r="J4898" s="81" t="s">
        <v>224</v>
      </c>
      <c r="K4898" s="81" t="str">
        <f>IFERROR(__xludf.DUMMYFUNCTION("IF(OR(D4898="""",G4898=""""),"""",IFERROR(LET(
campo,XLOOKUP(TRIM(G4898),ARRAYFORMULA(TRIM('indice columnas'!$A$2:$A$100)),'indice columnas'!$B$2:$B$100,""""),
col,IFERROR(MATCH(campo,Referencia!$A$1:$AZ$1,0),0),
fila,IFERROR(MATCH(TO_TEXT(D4898),ARRAYFOR"&amp;"MULA(TO_TEXT(Referencia!$A$2:$A6238)),0),0),
IF(OR(campo="""",campo=""-""),""NO APLICA"",
IF(col=0,""REVISAR EQUIVALENCIA"",
IF(fila=0,""SKU NO ENCONTRADO"",
LET(
valor,INDEX(Referencia!$A$2:$AZ6238,fila,col),
IF(TRIM(TO_TEXT(valor))=TRIM(TO_TEXT(I4898)),"&amp;"
""OK"",
""NO COINCIDE. Valor verdadero: ""&amp;IF(valor="""",""[VACÍO]"",TO_TEXT(valor))
)
))))
),""ERROR EN FÓRMULA""))"),"OK")</f>
        <v>OK</v>
      </c>
    </row>
    <row r="4899">
      <c r="A4899" s="83" t="s">
        <v>4899</v>
      </c>
      <c r="B4899" s="83" t="s">
        <v>4900</v>
      </c>
      <c r="C4899" s="81" t="s">
        <v>4621</v>
      </c>
      <c r="D4899" s="83" t="s">
        <v>4547</v>
      </c>
      <c r="E4899" s="81" t="s">
        <v>2577</v>
      </c>
      <c r="F4899" s="81">
        <v>493.0</v>
      </c>
      <c r="G4899" s="81" t="s">
        <v>3</v>
      </c>
      <c r="H4899" s="81" t="s">
        <v>224</v>
      </c>
      <c r="I4899" s="81" t="s">
        <v>51</v>
      </c>
      <c r="J4899" s="81" t="s">
        <v>224</v>
      </c>
      <c r="K4899" s="81" t="str">
        <f>IFERROR(__xludf.DUMMYFUNCTION("IF(OR(D4899="""",G4899=""""),"""",IFERROR(LET(
campo,XLOOKUP(TRIM(G4899),ARRAYFORMULA(TRIM('indice columnas'!$A$2:$A$100)),'indice columnas'!$B$2:$B$100,""""),
col,IFERROR(MATCH(campo,Referencia!$A$1:$AZ$1,0),0),
fila,IFERROR(MATCH(TO_TEXT(D4899),ARRAYFOR"&amp;"MULA(TO_TEXT(Referencia!$A$2:$A6238)),0),0),
IF(OR(campo="""",campo=""-""),""NO APLICA"",
IF(col=0,""REVISAR EQUIVALENCIA"",
IF(fila=0,""SKU NO ENCONTRADO"",
LET(
valor,INDEX(Referencia!$A$2:$AZ6238,fila,col),
IF(TRIM(TO_TEXT(valor))=TRIM(TO_TEXT(I4899)),"&amp;"
""OK"",
""NO COINCIDE. Valor verdadero: ""&amp;IF(valor="""",""[VACÍO]"",TO_TEXT(valor))
)
))))
),""ERROR EN FÓRMULA""))"),"OK")</f>
        <v>OK</v>
      </c>
    </row>
    <row r="4900">
      <c r="A4900" s="83" t="s">
        <v>4899</v>
      </c>
      <c r="B4900" s="83" t="s">
        <v>4900</v>
      </c>
      <c r="C4900" s="81" t="s">
        <v>4621</v>
      </c>
      <c r="D4900" s="83" t="s">
        <v>4547</v>
      </c>
      <c r="E4900" s="81" t="s">
        <v>2577</v>
      </c>
      <c r="F4900" s="81">
        <v>493.0</v>
      </c>
      <c r="G4900" s="81" t="s">
        <v>2</v>
      </c>
      <c r="H4900" s="81" t="s">
        <v>224</v>
      </c>
      <c r="I4900" s="81" t="s">
        <v>213</v>
      </c>
      <c r="J4900" s="81" t="s">
        <v>224</v>
      </c>
      <c r="K4900" s="81" t="str">
        <f>IFERROR(__xludf.DUMMYFUNCTION("IF(OR(D4900="""",G4900=""""),"""",IFERROR(LET(
campo,XLOOKUP(TRIM(G4900),ARRAYFORMULA(TRIM('indice columnas'!$A$2:$A$100)),'indice columnas'!$B$2:$B$100,""""),
col,IFERROR(MATCH(campo,Referencia!$A$1:$AZ$1,0),0),
fila,IFERROR(MATCH(TO_TEXT(D4900),ARRAYFOR"&amp;"MULA(TO_TEXT(Referencia!$A$2:$A6238)),0),0),
IF(OR(campo="""",campo=""-""),""NO APLICA"",
IF(col=0,""REVISAR EQUIVALENCIA"",
IF(fila=0,""SKU NO ENCONTRADO"",
LET(
valor,INDEX(Referencia!$A$2:$AZ6238,fila,col),
IF(TRIM(TO_TEXT(valor))=TRIM(TO_TEXT(I4900)),"&amp;"
""OK"",
""NO COINCIDE. Valor verdadero: ""&amp;IF(valor="""",""[VACÍO]"",TO_TEXT(valor))
)
))))
),""ERROR EN FÓRMULA""))"),"OK")</f>
        <v>OK</v>
      </c>
    </row>
    <row r="4901">
      <c r="A4901" s="83" t="s">
        <v>4899</v>
      </c>
      <c r="B4901" s="83" t="s">
        <v>4900</v>
      </c>
      <c r="C4901" s="81" t="s">
        <v>4621</v>
      </c>
      <c r="D4901" s="83" t="s">
        <v>4547</v>
      </c>
      <c r="E4901" s="81" t="s">
        <v>2577</v>
      </c>
      <c r="F4901" s="81">
        <v>493.0</v>
      </c>
      <c r="G4901" s="81" t="s">
        <v>1</v>
      </c>
      <c r="H4901" s="81" t="s">
        <v>224</v>
      </c>
      <c r="I4901" s="81" t="s">
        <v>49</v>
      </c>
      <c r="J4901" s="81" t="s">
        <v>224</v>
      </c>
      <c r="K4901" s="81" t="str">
        <f>IFERROR(__xludf.DUMMYFUNCTION("IF(OR(D4901="""",G4901=""""),"""",IFERROR(LET(
campo,XLOOKUP(TRIM(G4901),ARRAYFORMULA(TRIM('indice columnas'!$A$2:$A$100)),'indice columnas'!$B$2:$B$100,""""),
col,IFERROR(MATCH(campo,Referencia!$A$1:$AZ$1,0),0),
fila,IFERROR(MATCH(TO_TEXT(D4901),ARRAYFOR"&amp;"MULA(TO_TEXT(Referencia!$A$2:$A6238)),0),0),
IF(OR(campo="""",campo=""-""),""NO APLICA"",
IF(col=0,""REVISAR EQUIVALENCIA"",
IF(fila=0,""SKU NO ENCONTRADO"",
LET(
valor,INDEX(Referencia!$A$2:$AZ6238,fila,col),
IF(TRIM(TO_TEXT(valor))=TRIM(TO_TEXT(I4901)),"&amp;"
""OK"",
""NO COINCIDE. Valor verdadero: ""&amp;IF(valor="""",""[VACÍO]"",TO_TEXT(valor))
)
))))
),""ERROR EN FÓRMULA""))"),"OK")</f>
        <v>OK</v>
      </c>
    </row>
    <row r="4902">
      <c r="A4902" s="83" t="s">
        <v>4899</v>
      </c>
      <c r="B4902" s="83" t="s">
        <v>4900</v>
      </c>
      <c r="C4902" s="81" t="s">
        <v>4621</v>
      </c>
      <c r="D4902" s="83" t="s">
        <v>4548</v>
      </c>
      <c r="E4902" s="81" t="s">
        <v>2585</v>
      </c>
      <c r="F4902" s="81">
        <v>494.0</v>
      </c>
      <c r="G4902" s="81" t="s">
        <v>3</v>
      </c>
      <c r="H4902" s="81" t="s">
        <v>224</v>
      </c>
      <c r="I4902" s="81" t="s">
        <v>51</v>
      </c>
      <c r="J4902" s="81" t="s">
        <v>224</v>
      </c>
      <c r="K4902" s="81" t="str">
        <f>IFERROR(__xludf.DUMMYFUNCTION("IF(OR(D4902="""",G4902=""""),"""",IFERROR(LET(
campo,XLOOKUP(TRIM(G4902),ARRAYFORMULA(TRIM('indice columnas'!$A$2:$A$100)),'indice columnas'!$B$2:$B$100,""""),
col,IFERROR(MATCH(campo,Referencia!$A$1:$AZ$1,0),0),
fila,IFERROR(MATCH(TO_TEXT(D4902),ARRAYFOR"&amp;"MULA(TO_TEXT(Referencia!$A$2:$A6238)),0),0),
IF(OR(campo="""",campo=""-""),""NO APLICA"",
IF(col=0,""REVISAR EQUIVALENCIA"",
IF(fila=0,""SKU NO ENCONTRADO"",
LET(
valor,INDEX(Referencia!$A$2:$AZ6238,fila,col),
IF(TRIM(TO_TEXT(valor))=TRIM(TO_TEXT(I4902)),"&amp;"
""OK"",
""NO COINCIDE. Valor verdadero: ""&amp;IF(valor="""",""[VACÍO]"",TO_TEXT(valor))
)
))))
),""ERROR EN FÓRMULA""))"),"OK")</f>
        <v>OK</v>
      </c>
    </row>
    <row r="4903">
      <c r="A4903" s="83" t="s">
        <v>4899</v>
      </c>
      <c r="B4903" s="83" t="s">
        <v>4900</v>
      </c>
      <c r="C4903" s="81" t="s">
        <v>4621</v>
      </c>
      <c r="D4903" s="83" t="s">
        <v>4548</v>
      </c>
      <c r="E4903" s="81" t="s">
        <v>2585</v>
      </c>
      <c r="F4903" s="81">
        <v>494.0</v>
      </c>
      <c r="G4903" s="81" t="s">
        <v>2</v>
      </c>
      <c r="H4903" s="81" t="s">
        <v>224</v>
      </c>
      <c r="I4903" s="81" t="s">
        <v>213</v>
      </c>
      <c r="J4903" s="81" t="s">
        <v>224</v>
      </c>
      <c r="K4903" s="81" t="str">
        <f>IFERROR(__xludf.DUMMYFUNCTION("IF(OR(D4903="""",G4903=""""),"""",IFERROR(LET(
campo,XLOOKUP(TRIM(G4903),ARRAYFORMULA(TRIM('indice columnas'!$A$2:$A$100)),'indice columnas'!$B$2:$B$100,""""),
col,IFERROR(MATCH(campo,Referencia!$A$1:$AZ$1,0),0),
fila,IFERROR(MATCH(TO_TEXT(D4903),ARRAYFOR"&amp;"MULA(TO_TEXT(Referencia!$A$2:$A6238)),0),0),
IF(OR(campo="""",campo=""-""),""NO APLICA"",
IF(col=0,""REVISAR EQUIVALENCIA"",
IF(fila=0,""SKU NO ENCONTRADO"",
LET(
valor,INDEX(Referencia!$A$2:$AZ6238,fila,col),
IF(TRIM(TO_TEXT(valor))=TRIM(TO_TEXT(I4903)),"&amp;"
""OK"",
""NO COINCIDE. Valor verdadero: ""&amp;IF(valor="""",""[VACÍO]"",TO_TEXT(valor))
)
))))
),""ERROR EN FÓRMULA""))"),"OK")</f>
        <v>OK</v>
      </c>
    </row>
    <row r="4904">
      <c r="A4904" s="83" t="s">
        <v>4899</v>
      </c>
      <c r="B4904" s="83" t="s">
        <v>4900</v>
      </c>
      <c r="C4904" s="81" t="s">
        <v>4621</v>
      </c>
      <c r="D4904" s="83" t="s">
        <v>4548</v>
      </c>
      <c r="E4904" s="81" t="s">
        <v>2585</v>
      </c>
      <c r="F4904" s="81">
        <v>494.0</v>
      </c>
      <c r="G4904" s="81" t="s">
        <v>1</v>
      </c>
      <c r="H4904" s="81" t="s">
        <v>224</v>
      </c>
      <c r="I4904" s="81" t="s">
        <v>49</v>
      </c>
      <c r="J4904" s="81" t="s">
        <v>224</v>
      </c>
      <c r="K4904" s="81" t="str">
        <f>IFERROR(__xludf.DUMMYFUNCTION("IF(OR(D4904="""",G4904=""""),"""",IFERROR(LET(
campo,XLOOKUP(TRIM(G4904),ARRAYFORMULA(TRIM('indice columnas'!$A$2:$A$100)),'indice columnas'!$B$2:$B$100,""""),
col,IFERROR(MATCH(campo,Referencia!$A$1:$AZ$1,0),0),
fila,IFERROR(MATCH(TO_TEXT(D4904),ARRAYFOR"&amp;"MULA(TO_TEXT(Referencia!$A$2:$A6238)),0),0),
IF(OR(campo="""",campo=""-""),""NO APLICA"",
IF(col=0,""REVISAR EQUIVALENCIA"",
IF(fila=0,""SKU NO ENCONTRADO"",
LET(
valor,INDEX(Referencia!$A$2:$AZ6238,fila,col),
IF(TRIM(TO_TEXT(valor))=TRIM(TO_TEXT(I4904)),"&amp;"
""OK"",
""NO COINCIDE. Valor verdadero: ""&amp;IF(valor="""",""[VACÍO]"",TO_TEXT(valor))
)
))))
),""ERROR EN FÓRMULA""))"),"OK")</f>
        <v>OK</v>
      </c>
    </row>
    <row r="4905">
      <c r="A4905" s="83" t="s">
        <v>4899</v>
      </c>
      <c r="B4905" s="83" t="s">
        <v>4900</v>
      </c>
      <c r="C4905" s="81" t="s">
        <v>4621</v>
      </c>
      <c r="D4905" s="83" t="s">
        <v>4549</v>
      </c>
      <c r="E4905" s="81" t="s">
        <v>2588</v>
      </c>
      <c r="F4905" s="81">
        <v>495.0</v>
      </c>
      <c r="G4905" s="81" t="s">
        <v>3</v>
      </c>
      <c r="H4905" s="81" t="s">
        <v>224</v>
      </c>
      <c r="I4905" s="81" t="s">
        <v>51</v>
      </c>
      <c r="J4905" s="81" t="s">
        <v>224</v>
      </c>
      <c r="K4905" s="81" t="str">
        <f>IFERROR(__xludf.DUMMYFUNCTION("IF(OR(D4905="""",G4905=""""),"""",IFERROR(LET(
campo,XLOOKUP(TRIM(G4905),ARRAYFORMULA(TRIM('indice columnas'!$A$2:$A$100)),'indice columnas'!$B$2:$B$100,""""),
col,IFERROR(MATCH(campo,Referencia!$A$1:$AZ$1,0),0),
fila,IFERROR(MATCH(TO_TEXT(D4905),ARRAYFOR"&amp;"MULA(TO_TEXT(Referencia!$A$2:$A6238)),0),0),
IF(OR(campo="""",campo=""-""),""NO APLICA"",
IF(col=0,""REVISAR EQUIVALENCIA"",
IF(fila=0,""SKU NO ENCONTRADO"",
LET(
valor,INDEX(Referencia!$A$2:$AZ6238,fila,col),
IF(TRIM(TO_TEXT(valor))=TRIM(TO_TEXT(I4905)),"&amp;"
""OK"",
""NO COINCIDE. Valor verdadero: ""&amp;IF(valor="""",""[VACÍO]"",TO_TEXT(valor))
)
))))
),""ERROR EN FÓRMULA""))"),"OK")</f>
        <v>OK</v>
      </c>
    </row>
    <row r="4906">
      <c r="A4906" s="83" t="s">
        <v>4899</v>
      </c>
      <c r="B4906" s="83" t="s">
        <v>4900</v>
      </c>
      <c r="C4906" s="81" t="s">
        <v>4621</v>
      </c>
      <c r="D4906" s="83" t="s">
        <v>4549</v>
      </c>
      <c r="E4906" s="81" t="s">
        <v>2588</v>
      </c>
      <c r="F4906" s="81">
        <v>495.0</v>
      </c>
      <c r="G4906" s="81" t="s">
        <v>2</v>
      </c>
      <c r="H4906" s="81" t="s">
        <v>224</v>
      </c>
      <c r="I4906" s="81" t="s">
        <v>213</v>
      </c>
      <c r="J4906" s="81" t="s">
        <v>224</v>
      </c>
      <c r="K4906" s="81" t="str">
        <f>IFERROR(__xludf.DUMMYFUNCTION("IF(OR(D4906="""",G4906=""""),"""",IFERROR(LET(
campo,XLOOKUP(TRIM(G4906),ARRAYFORMULA(TRIM('indice columnas'!$A$2:$A$100)),'indice columnas'!$B$2:$B$100,""""),
col,IFERROR(MATCH(campo,Referencia!$A$1:$AZ$1,0),0),
fila,IFERROR(MATCH(TO_TEXT(D4906),ARRAYFOR"&amp;"MULA(TO_TEXT(Referencia!$A$2:$A6238)),0),0),
IF(OR(campo="""",campo=""-""),""NO APLICA"",
IF(col=0,""REVISAR EQUIVALENCIA"",
IF(fila=0,""SKU NO ENCONTRADO"",
LET(
valor,INDEX(Referencia!$A$2:$AZ6238,fila,col),
IF(TRIM(TO_TEXT(valor))=TRIM(TO_TEXT(I4906)),"&amp;"
""OK"",
""NO COINCIDE. Valor verdadero: ""&amp;IF(valor="""",""[VACÍO]"",TO_TEXT(valor))
)
))))
),""ERROR EN FÓRMULA""))"),"OK")</f>
        <v>OK</v>
      </c>
    </row>
    <row r="4907">
      <c r="A4907" s="83" t="s">
        <v>4899</v>
      </c>
      <c r="B4907" s="83" t="s">
        <v>4900</v>
      </c>
      <c r="C4907" s="81" t="s">
        <v>4621</v>
      </c>
      <c r="D4907" s="83" t="s">
        <v>4549</v>
      </c>
      <c r="E4907" s="81" t="s">
        <v>2588</v>
      </c>
      <c r="F4907" s="81">
        <v>495.0</v>
      </c>
      <c r="G4907" s="81" t="s">
        <v>1</v>
      </c>
      <c r="H4907" s="81" t="s">
        <v>224</v>
      </c>
      <c r="I4907" s="81" t="s">
        <v>49</v>
      </c>
      <c r="J4907" s="81" t="s">
        <v>224</v>
      </c>
      <c r="K4907" s="81" t="str">
        <f>IFERROR(__xludf.DUMMYFUNCTION("IF(OR(D4907="""",G4907=""""),"""",IFERROR(LET(
campo,XLOOKUP(TRIM(G4907),ARRAYFORMULA(TRIM('indice columnas'!$A$2:$A$100)),'indice columnas'!$B$2:$B$100,""""),
col,IFERROR(MATCH(campo,Referencia!$A$1:$AZ$1,0),0),
fila,IFERROR(MATCH(TO_TEXT(D4907),ARRAYFOR"&amp;"MULA(TO_TEXT(Referencia!$A$2:$A6238)),0),0),
IF(OR(campo="""",campo=""-""),""NO APLICA"",
IF(col=0,""REVISAR EQUIVALENCIA"",
IF(fila=0,""SKU NO ENCONTRADO"",
LET(
valor,INDEX(Referencia!$A$2:$AZ6238,fila,col),
IF(TRIM(TO_TEXT(valor))=TRIM(TO_TEXT(I4907)),"&amp;"
""OK"",
""NO COINCIDE. Valor verdadero: ""&amp;IF(valor="""",""[VACÍO]"",TO_TEXT(valor))
)
))))
),""ERROR EN FÓRMULA""))"),"OK")</f>
        <v>OK</v>
      </c>
    </row>
    <row r="4908">
      <c r="A4908" s="83" t="s">
        <v>4899</v>
      </c>
      <c r="B4908" s="83" t="s">
        <v>4900</v>
      </c>
      <c r="C4908" s="81" t="s">
        <v>4621</v>
      </c>
      <c r="D4908" s="83" t="s">
        <v>4550</v>
      </c>
      <c r="E4908" s="81" t="s">
        <v>2591</v>
      </c>
      <c r="F4908" s="81">
        <v>496.0</v>
      </c>
      <c r="G4908" s="81" t="s">
        <v>3</v>
      </c>
      <c r="H4908" s="81" t="s">
        <v>224</v>
      </c>
      <c r="I4908" s="81" t="s">
        <v>1144</v>
      </c>
      <c r="J4908" s="81" t="s">
        <v>224</v>
      </c>
      <c r="K4908" s="81" t="str">
        <f>IFERROR(__xludf.DUMMYFUNCTION("IF(OR(D4908="""",G4908=""""),"""",IFERROR(LET(
campo,XLOOKUP(TRIM(G4908),ARRAYFORMULA(TRIM('indice columnas'!$A$2:$A$100)),'indice columnas'!$B$2:$B$100,""""),
col,IFERROR(MATCH(campo,Referencia!$A$1:$AZ$1,0),0),
fila,IFERROR(MATCH(TO_TEXT(D4908),ARRAYFOR"&amp;"MULA(TO_TEXT(Referencia!$A$2:$A6238)),0),0),
IF(OR(campo="""",campo=""-""),""NO APLICA"",
IF(col=0,""REVISAR EQUIVALENCIA"",
IF(fila=0,""SKU NO ENCONTRADO"",
LET(
valor,INDEX(Referencia!$A$2:$AZ6238,fila,col),
IF(TRIM(TO_TEXT(valor))=TRIM(TO_TEXT(I4908)),"&amp;"
""OK"",
""NO COINCIDE. Valor verdadero: ""&amp;IF(valor="""",""[VACÍO]"",TO_TEXT(valor))
)
))))
),""ERROR EN FÓRMULA""))"),"OK")</f>
        <v>OK</v>
      </c>
    </row>
    <row r="4909">
      <c r="A4909" s="83" t="s">
        <v>4899</v>
      </c>
      <c r="B4909" s="83" t="s">
        <v>4900</v>
      </c>
      <c r="C4909" s="81" t="s">
        <v>4621</v>
      </c>
      <c r="D4909" s="83" t="s">
        <v>4550</v>
      </c>
      <c r="E4909" s="81" t="s">
        <v>2591</v>
      </c>
      <c r="F4909" s="81">
        <v>496.0</v>
      </c>
      <c r="G4909" s="81" t="s">
        <v>2</v>
      </c>
      <c r="H4909" s="81" t="s">
        <v>224</v>
      </c>
      <c r="I4909" s="81" t="s">
        <v>213</v>
      </c>
      <c r="J4909" s="81" t="s">
        <v>224</v>
      </c>
      <c r="K4909" s="81" t="str">
        <f>IFERROR(__xludf.DUMMYFUNCTION("IF(OR(D4909="""",G4909=""""),"""",IFERROR(LET(
campo,XLOOKUP(TRIM(G4909),ARRAYFORMULA(TRIM('indice columnas'!$A$2:$A$100)),'indice columnas'!$B$2:$B$100,""""),
col,IFERROR(MATCH(campo,Referencia!$A$1:$AZ$1,0),0),
fila,IFERROR(MATCH(TO_TEXT(D4909),ARRAYFOR"&amp;"MULA(TO_TEXT(Referencia!$A$2:$A6238)),0),0),
IF(OR(campo="""",campo=""-""),""NO APLICA"",
IF(col=0,""REVISAR EQUIVALENCIA"",
IF(fila=0,""SKU NO ENCONTRADO"",
LET(
valor,INDEX(Referencia!$A$2:$AZ6238,fila,col),
IF(TRIM(TO_TEXT(valor))=TRIM(TO_TEXT(I4909)),"&amp;"
""OK"",
""NO COINCIDE. Valor verdadero: ""&amp;IF(valor="""",""[VACÍO]"",TO_TEXT(valor))
)
))))
),""ERROR EN FÓRMULA""))"),"OK")</f>
        <v>OK</v>
      </c>
    </row>
    <row r="4910">
      <c r="A4910" s="83" t="s">
        <v>4899</v>
      </c>
      <c r="B4910" s="83" t="s">
        <v>4900</v>
      </c>
      <c r="C4910" s="81" t="s">
        <v>4621</v>
      </c>
      <c r="D4910" s="83" t="s">
        <v>4550</v>
      </c>
      <c r="E4910" s="81" t="s">
        <v>2591</v>
      </c>
      <c r="F4910" s="81">
        <v>496.0</v>
      </c>
      <c r="G4910" s="81" t="s">
        <v>1</v>
      </c>
      <c r="H4910" s="81" t="s">
        <v>224</v>
      </c>
      <c r="I4910" s="81" t="s">
        <v>49</v>
      </c>
      <c r="J4910" s="81" t="s">
        <v>224</v>
      </c>
      <c r="K4910" s="81" t="str">
        <f>IFERROR(__xludf.DUMMYFUNCTION("IF(OR(D4910="""",G4910=""""),"""",IFERROR(LET(
campo,XLOOKUP(TRIM(G4910),ARRAYFORMULA(TRIM('indice columnas'!$A$2:$A$100)),'indice columnas'!$B$2:$B$100,""""),
col,IFERROR(MATCH(campo,Referencia!$A$1:$AZ$1,0),0),
fila,IFERROR(MATCH(TO_TEXT(D4910),ARRAYFOR"&amp;"MULA(TO_TEXT(Referencia!$A$2:$A6238)),0),0),
IF(OR(campo="""",campo=""-""),""NO APLICA"",
IF(col=0,""REVISAR EQUIVALENCIA"",
IF(fila=0,""SKU NO ENCONTRADO"",
LET(
valor,INDEX(Referencia!$A$2:$AZ6238,fila,col),
IF(TRIM(TO_TEXT(valor))=TRIM(TO_TEXT(I4910)),"&amp;"
""OK"",
""NO COINCIDE. Valor verdadero: ""&amp;IF(valor="""",""[VACÍO]"",TO_TEXT(valor))
)
))))
),""ERROR EN FÓRMULA""))"),"OK")</f>
        <v>OK</v>
      </c>
    </row>
    <row r="4911">
      <c r="A4911" s="83" t="s">
        <v>4899</v>
      </c>
      <c r="B4911" s="83" t="s">
        <v>4900</v>
      </c>
      <c r="C4911" s="81" t="s">
        <v>4621</v>
      </c>
      <c r="D4911" s="83" t="s">
        <v>4551</v>
      </c>
      <c r="E4911" s="81" t="s">
        <v>2594</v>
      </c>
      <c r="F4911" s="81">
        <v>497.0</v>
      </c>
      <c r="G4911" s="81" t="s">
        <v>3</v>
      </c>
      <c r="H4911" s="81" t="s">
        <v>224</v>
      </c>
      <c r="I4911" s="81" t="s">
        <v>1144</v>
      </c>
      <c r="J4911" s="81" t="s">
        <v>224</v>
      </c>
      <c r="K4911" s="81" t="str">
        <f>IFERROR(__xludf.DUMMYFUNCTION("IF(OR(D4911="""",G4911=""""),"""",IFERROR(LET(
campo,XLOOKUP(TRIM(G4911),ARRAYFORMULA(TRIM('indice columnas'!$A$2:$A$100)),'indice columnas'!$B$2:$B$100,""""),
col,IFERROR(MATCH(campo,Referencia!$A$1:$AZ$1,0),0),
fila,IFERROR(MATCH(TO_TEXT(D4911),ARRAYFOR"&amp;"MULA(TO_TEXT(Referencia!$A$2:$A6238)),0),0),
IF(OR(campo="""",campo=""-""),""NO APLICA"",
IF(col=0,""REVISAR EQUIVALENCIA"",
IF(fila=0,""SKU NO ENCONTRADO"",
LET(
valor,INDEX(Referencia!$A$2:$AZ6238,fila,col),
IF(TRIM(TO_TEXT(valor))=TRIM(TO_TEXT(I4911)),"&amp;"
""OK"",
""NO COINCIDE. Valor verdadero: ""&amp;IF(valor="""",""[VACÍO]"",TO_TEXT(valor))
)
))))
),""ERROR EN FÓRMULA""))"),"OK")</f>
        <v>OK</v>
      </c>
    </row>
    <row r="4912">
      <c r="A4912" s="83" t="s">
        <v>4899</v>
      </c>
      <c r="B4912" s="83" t="s">
        <v>4900</v>
      </c>
      <c r="C4912" s="81" t="s">
        <v>4621</v>
      </c>
      <c r="D4912" s="83" t="s">
        <v>4551</v>
      </c>
      <c r="E4912" s="81" t="s">
        <v>2594</v>
      </c>
      <c r="F4912" s="81">
        <v>497.0</v>
      </c>
      <c r="G4912" s="81" t="s">
        <v>2</v>
      </c>
      <c r="H4912" s="81" t="s">
        <v>224</v>
      </c>
      <c r="I4912" s="81" t="s">
        <v>213</v>
      </c>
      <c r="J4912" s="81" t="s">
        <v>224</v>
      </c>
      <c r="K4912" s="81" t="str">
        <f>IFERROR(__xludf.DUMMYFUNCTION("IF(OR(D4912="""",G4912=""""),"""",IFERROR(LET(
campo,XLOOKUP(TRIM(G4912),ARRAYFORMULA(TRIM('indice columnas'!$A$2:$A$100)),'indice columnas'!$B$2:$B$100,""""),
col,IFERROR(MATCH(campo,Referencia!$A$1:$AZ$1,0),0),
fila,IFERROR(MATCH(TO_TEXT(D4912),ARRAYFOR"&amp;"MULA(TO_TEXT(Referencia!$A$2:$A6238)),0),0),
IF(OR(campo="""",campo=""-""),""NO APLICA"",
IF(col=0,""REVISAR EQUIVALENCIA"",
IF(fila=0,""SKU NO ENCONTRADO"",
LET(
valor,INDEX(Referencia!$A$2:$AZ6238,fila,col),
IF(TRIM(TO_TEXT(valor))=TRIM(TO_TEXT(I4912)),"&amp;"
""OK"",
""NO COINCIDE. Valor verdadero: ""&amp;IF(valor="""",""[VACÍO]"",TO_TEXT(valor))
)
))))
),""ERROR EN FÓRMULA""))"),"OK")</f>
        <v>OK</v>
      </c>
    </row>
    <row r="4913">
      <c r="A4913" s="83" t="s">
        <v>4899</v>
      </c>
      <c r="B4913" s="83" t="s">
        <v>4900</v>
      </c>
      <c r="C4913" s="81" t="s">
        <v>4621</v>
      </c>
      <c r="D4913" s="83" t="s">
        <v>4551</v>
      </c>
      <c r="E4913" s="81" t="s">
        <v>2594</v>
      </c>
      <c r="F4913" s="81">
        <v>497.0</v>
      </c>
      <c r="G4913" s="81" t="s">
        <v>1</v>
      </c>
      <c r="H4913" s="81" t="s">
        <v>224</v>
      </c>
      <c r="I4913" s="81" t="s">
        <v>49</v>
      </c>
      <c r="J4913" s="81" t="s">
        <v>224</v>
      </c>
      <c r="K4913" s="81" t="str">
        <f>IFERROR(__xludf.DUMMYFUNCTION("IF(OR(D4913="""",G4913=""""),"""",IFERROR(LET(
campo,XLOOKUP(TRIM(G4913),ARRAYFORMULA(TRIM('indice columnas'!$A$2:$A$100)),'indice columnas'!$B$2:$B$100,""""),
col,IFERROR(MATCH(campo,Referencia!$A$1:$AZ$1,0),0),
fila,IFERROR(MATCH(TO_TEXT(D4913),ARRAYFOR"&amp;"MULA(TO_TEXT(Referencia!$A$2:$A6238)),0),0),
IF(OR(campo="""",campo=""-""),""NO APLICA"",
IF(col=0,""REVISAR EQUIVALENCIA"",
IF(fila=0,""SKU NO ENCONTRADO"",
LET(
valor,INDEX(Referencia!$A$2:$AZ6238,fila,col),
IF(TRIM(TO_TEXT(valor))=TRIM(TO_TEXT(I4913)),"&amp;"
""OK"",
""NO COINCIDE. Valor verdadero: ""&amp;IF(valor="""",""[VACÍO]"",TO_TEXT(valor))
)
))))
),""ERROR EN FÓRMULA""))"),"OK")</f>
        <v>OK</v>
      </c>
    </row>
    <row r="4914">
      <c r="A4914" s="83" t="s">
        <v>4899</v>
      </c>
      <c r="B4914" s="83" t="s">
        <v>4900</v>
      </c>
      <c r="C4914" s="81" t="s">
        <v>4621</v>
      </c>
      <c r="D4914" s="83" t="s">
        <v>4552</v>
      </c>
      <c r="E4914" s="81" t="s">
        <v>2596</v>
      </c>
      <c r="F4914" s="81">
        <v>498.0</v>
      </c>
      <c r="G4914" s="81" t="s">
        <v>3</v>
      </c>
      <c r="H4914" s="81" t="s">
        <v>224</v>
      </c>
      <c r="I4914" s="81" t="s">
        <v>1144</v>
      </c>
      <c r="J4914" s="81" t="s">
        <v>224</v>
      </c>
      <c r="K4914" s="81" t="str">
        <f>IFERROR(__xludf.DUMMYFUNCTION("IF(OR(D4914="""",G4914=""""),"""",IFERROR(LET(
campo,XLOOKUP(TRIM(G4914),ARRAYFORMULA(TRIM('indice columnas'!$A$2:$A$100)),'indice columnas'!$B$2:$B$100,""""),
col,IFERROR(MATCH(campo,Referencia!$A$1:$AZ$1,0),0),
fila,IFERROR(MATCH(TO_TEXT(D4914),ARRAYFOR"&amp;"MULA(TO_TEXT(Referencia!$A$2:$A6238)),0),0),
IF(OR(campo="""",campo=""-""),""NO APLICA"",
IF(col=0,""REVISAR EQUIVALENCIA"",
IF(fila=0,""SKU NO ENCONTRADO"",
LET(
valor,INDEX(Referencia!$A$2:$AZ6238,fila,col),
IF(TRIM(TO_TEXT(valor))=TRIM(TO_TEXT(I4914)),"&amp;"
""OK"",
""NO COINCIDE. Valor verdadero: ""&amp;IF(valor="""",""[VACÍO]"",TO_TEXT(valor))
)
))))
),""ERROR EN FÓRMULA""))"),"OK")</f>
        <v>OK</v>
      </c>
    </row>
    <row r="4915">
      <c r="A4915" s="83" t="s">
        <v>4899</v>
      </c>
      <c r="B4915" s="83" t="s">
        <v>4900</v>
      </c>
      <c r="C4915" s="81" t="s">
        <v>4621</v>
      </c>
      <c r="D4915" s="83" t="s">
        <v>4552</v>
      </c>
      <c r="E4915" s="81" t="s">
        <v>2596</v>
      </c>
      <c r="F4915" s="81">
        <v>498.0</v>
      </c>
      <c r="G4915" s="81" t="s">
        <v>2</v>
      </c>
      <c r="H4915" s="81" t="s">
        <v>224</v>
      </c>
      <c r="I4915" s="81" t="s">
        <v>213</v>
      </c>
      <c r="J4915" s="81" t="s">
        <v>224</v>
      </c>
      <c r="K4915" s="81" t="str">
        <f>IFERROR(__xludf.DUMMYFUNCTION("IF(OR(D4915="""",G4915=""""),"""",IFERROR(LET(
campo,XLOOKUP(TRIM(G4915),ARRAYFORMULA(TRIM('indice columnas'!$A$2:$A$100)),'indice columnas'!$B$2:$B$100,""""),
col,IFERROR(MATCH(campo,Referencia!$A$1:$AZ$1,0),0),
fila,IFERROR(MATCH(TO_TEXT(D4915),ARRAYFOR"&amp;"MULA(TO_TEXT(Referencia!$A$2:$A6238)),0),0),
IF(OR(campo="""",campo=""-""),""NO APLICA"",
IF(col=0,""REVISAR EQUIVALENCIA"",
IF(fila=0,""SKU NO ENCONTRADO"",
LET(
valor,INDEX(Referencia!$A$2:$AZ6238,fila,col),
IF(TRIM(TO_TEXT(valor))=TRIM(TO_TEXT(I4915)),"&amp;"
""OK"",
""NO COINCIDE. Valor verdadero: ""&amp;IF(valor="""",""[VACÍO]"",TO_TEXT(valor))
)
))))
),""ERROR EN FÓRMULA""))"),"OK")</f>
        <v>OK</v>
      </c>
    </row>
    <row r="4916">
      <c r="A4916" s="83" t="s">
        <v>4899</v>
      </c>
      <c r="B4916" s="83" t="s">
        <v>4900</v>
      </c>
      <c r="C4916" s="81" t="s">
        <v>4621</v>
      </c>
      <c r="D4916" s="83" t="s">
        <v>4552</v>
      </c>
      <c r="E4916" s="81" t="s">
        <v>2596</v>
      </c>
      <c r="F4916" s="81">
        <v>498.0</v>
      </c>
      <c r="G4916" s="81" t="s">
        <v>1</v>
      </c>
      <c r="H4916" s="81" t="s">
        <v>224</v>
      </c>
      <c r="I4916" s="81" t="s">
        <v>49</v>
      </c>
      <c r="J4916" s="81" t="s">
        <v>224</v>
      </c>
      <c r="K4916" s="81" t="str">
        <f>IFERROR(__xludf.DUMMYFUNCTION("IF(OR(D4916="""",G4916=""""),"""",IFERROR(LET(
campo,XLOOKUP(TRIM(G4916),ARRAYFORMULA(TRIM('indice columnas'!$A$2:$A$100)),'indice columnas'!$B$2:$B$100,""""),
col,IFERROR(MATCH(campo,Referencia!$A$1:$AZ$1,0),0),
fila,IFERROR(MATCH(TO_TEXT(D4916),ARRAYFOR"&amp;"MULA(TO_TEXT(Referencia!$A$2:$A6238)),0),0),
IF(OR(campo="""",campo=""-""),""NO APLICA"",
IF(col=0,""REVISAR EQUIVALENCIA"",
IF(fila=0,""SKU NO ENCONTRADO"",
LET(
valor,INDEX(Referencia!$A$2:$AZ6238,fila,col),
IF(TRIM(TO_TEXT(valor))=TRIM(TO_TEXT(I4916)),"&amp;"
""OK"",
""NO COINCIDE. Valor verdadero: ""&amp;IF(valor="""",""[VACÍO]"",TO_TEXT(valor))
)
))))
),""ERROR EN FÓRMULA""))"),"OK")</f>
        <v>OK</v>
      </c>
    </row>
    <row r="4917">
      <c r="A4917" s="83" t="s">
        <v>4899</v>
      </c>
      <c r="B4917" s="83" t="s">
        <v>4900</v>
      </c>
      <c r="C4917" s="81" t="s">
        <v>4621</v>
      </c>
      <c r="D4917" s="83" t="s">
        <v>4555</v>
      </c>
      <c r="E4917" s="81" t="s">
        <v>2610</v>
      </c>
      <c r="F4917" s="81">
        <v>501.0</v>
      </c>
      <c r="G4917" s="81" t="s">
        <v>3</v>
      </c>
      <c r="H4917" s="81" t="s">
        <v>224</v>
      </c>
      <c r="I4917" s="81" t="s">
        <v>926</v>
      </c>
      <c r="J4917" s="81" t="s">
        <v>224</v>
      </c>
      <c r="K4917" s="81" t="str">
        <f>IFERROR(__xludf.DUMMYFUNCTION("IF(OR(D4917="""",G4917=""""),"""",IFERROR(LET(
campo,XLOOKUP(TRIM(G4917),ARRAYFORMULA(TRIM('indice columnas'!$A$2:$A$100)),'indice columnas'!$B$2:$B$100,""""),
col,IFERROR(MATCH(campo,Referencia!$A$1:$AZ$1,0),0),
fila,IFERROR(MATCH(TO_TEXT(D4917),ARRAYFOR"&amp;"MULA(TO_TEXT(Referencia!$A$2:$A6238)),0),0),
IF(OR(campo="""",campo=""-""),""NO APLICA"",
IF(col=0,""REVISAR EQUIVALENCIA"",
IF(fila=0,""SKU NO ENCONTRADO"",
LET(
valor,INDEX(Referencia!$A$2:$AZ6238,fila,col),
IF(TRIM(TO_TEXT(valor))=TRIM(TO_TEXT(I4917)),"&amp;"
""OK"",
""NO COINCIDE. Valor verdadero: ""&amp;IF(valor="""",""[VACÍO]"",TO_TEXT(valor))
)
))))
),""ERROR EN FÓRMULA""))"),"OK")</f>
        <v>OK</v>
      </c>
    </row>
    <row r="4918">
      <c r="A4918" s="83" t="s">
        <v>4899</v>
      </c>
      <c r="B4918" s="83" t="s">
        <v>4900</v>
      </c>
      <c r="C4918" s="81" t="s">
        <v>4621</v>
      </c>
      <c r="D4918" s="83" t="s">
        <v>4555</v>
      </c>
      <c r="E4918" s="81" t="s">
        <v>2610</v>
      </c>
      <c r="F4918" s="81">
        <v>501.0</v>
      </c>
      <c r="G4918" s="81" t="s">
        <v>2</v>
      </c>
      <c r="H4918" s="81" t="s">
        <v>224</v>
      </c>
      <c r="I4918" s="81" t="s">
        <v>1291</v>
      </c>
      <c r="J4918" s="81" t="s">
        <v>224</v>
      </c>
      <c r="K4918" s="81" t="str">
        <f>IFERROR(__xludf.DUMMYFUNCTION("IF(OR(D4918="""",G4918=""""),"""",IFERROR(LET(
campo,XLOOKUP(TRIM(G4918),ARRAYFORMULA(TRIM('indice columnas'!$A$2:$A$100)),'indice columnas'!$B$2:$B$100,""""),
col,IFERROR(MATCH(campo,Referencia!$A$1:$AZ$1,0),0),
fila,IFERROR(MATCH(TO_TEXT(D4918),ARRAYFOR"&amp;"MULA(TO_TEXT(Referencia!$A$2:$A6238)),0),0),
IF(OR(campo="""",campo=""-""),""NO APLICA"",
IF(col=0,""REVISAR EQUIVALENCIA"",
IF(fila=0,""SKU NO ENCONTRADO"",
LET(
valor,INDEX(Referencia!$A$2:$AZ6238,fila,col),
IF(TRIM(TO_TEXT(valor))=TRIM(TO_TEXT(I4918)),"&amp;"
""OK"",
""NO COINCIDE. Valor verdadero: ""&amp;IF(valor="""",""[VACÍO]"",TO_TEXT(valor))
)
))))
),""ERROR EN FÓRMULA""))"),"OK")</f>
        <v>OK</v>
      </c>
    </row>
    <row r="4919">
      <c r="A4919" s="83" t="s">
        <v>4899</v>
      </c>
      <c r="B4919" s="83" t="s">
        <v>4900</v>
      </c>
      <c r="C4919" s="81" t="s">
        <v>4621</v>
      </c>
      <c r="D4919" s="83" t="s">
        <v>4556</v>
      </c>
      <c r="E4919" s="81" t="s">
        <v>2613</v>
      </c>
      <c r="F4919" s="81">
        <v>502.0</v>
      </c>
      <c r="G4919" s="81" t="s">
        <v>3</v>
      </c>
      <c r="H4919" s="81" t="s">
        <v>224</v>
      </c>
      <c r="I4919" s="81" t="s">
        <v>51</v>
      </c>
      <c r="J4919" s="81" t="s">
        <v>224</v>
      </c>
      <c r="K4919" s="81" t="str">
        <f>IFERROR(__xludf.DUMMYFUNCTION("IF(OR(D4919="""",G4919=""""),"""",IFERROR(LET(
campo,XLOOKUP(TRIM(G4919),ARRAYFORMULA(TRIM('indice columnas'!$A$2:$A$100)),'indice columnas'!$B$2:$B$100,""""),
col,IFERROR(MATCH(campo,Referencia!$A$1:$AZ$1,0),0),
fila,IFERROR(MATCH(TO_TEXT(D4919),ARRAYFOR"&amp;"MULA(TO_TEXT(Referencia!$A$2:$A6238)),0),0),
IF(OR(campo="""",campo=""-""),""NO APLICA"",
IF(col=0,""REVISAR EQUIVALENCIA"",
IF(fila=0,""SKU NO ENCONTRADO"",
LET(
valor,INDEX(Referencia!$A$2:$AZ6238,fila,col),
IF(TRIM(TO_TEXT(valor))=TRIM(TO_TEXT(I4919)),"&amp;"
""OK"",
""NO COINCIDE. Valor verdadero: ""&amp;IF(valor="""",""[VACÍO]"",TO_TEXT(valor))
)
))))
),""ERROR EN FÓRMULA""))"),"OK")</f>
        <v>OK</v>
      </c>
    </row>
    <row r="4920">
      <c r="A4920" s="83" t="s">
        <v>4899</v>
      </c>
      <c r="B4920" s="83" t="s">
        <v>4900</v>
      </c>
      <c r="C4920" s="81" t="s">
        <v>4621</v>
      </c>
      <c r="D4920" s="83" t="s">
        <v>4556</v>
      </c>
      <c r="E4920" s="81" t="s">
        <v>2613</v>
      </c>
      <c r="F4920" s="81">
        <v>502.0</v>
      </c>
      <c r="G4920" s="81" t="s">
        <v>2</v>
      </c>
      <c r="H4920" s="81" t="s">
        <v>224</v>
      </c>
      <c r="I4920" s="81" t="s">
        <v>50</v>
      </c>
      <c r="J4920" s="81" t="s">
        <v>224</v>
      </c>
      <c r="K4920" s="81" t="str">
        <f>IFERROR(__xludf.DUMMYFUNCTION("IF(OR(D4920="""",G4920=""""),"""",IFERROR(LET(
campo,XLOOKUP(TRIM(G4920),ARRAYFORMULA(TRIM('indice columnas'!$A$2:$A$100)),'indice columnas'!$B$2:$B$100,""""),
col,IFERROR(MATCH(campo,Referencia!$A$1:$AZ$1,0),0),
fila,IFERROR(MATCH(TO_TEXT(D4920),ARRAYFOR"&amp;"MULA(TO_TEXT(Referencia!$A$2:$A6238)),0),0),
IF(OR(campo="""",campo=""-""),""NO APLICA"",
IF(col=0,""REVISAR EQUIVALENCIA"",
IF(fila=0,""SKU NO ENCONTRADO"",
LET(
valor,INDEX(Referencia!$A$2:$AZ6238,fila,col),
IF(TRIM(TO_TEXT(valor))=TRIM(TO_TEXT(I4920)),"&amp;"
""OK"",
""NO COINCIDE. Valor verdadero: ""&amp;IF(valor="""",""[VACÍO]"",TO_TEXT(valor))
)
))))
),""ERROR EN FÓRMULA""))"),"OK")</f>
        <v>OK</v>
      </c>
    </row>
    <row r="4921">
      <c r="A4921" s="83" t="s">
        <v>4899</v>
      </c>
      <c r="B4921" s="83" t="s">
        <v>4900</v>
      </c>
      <c r="C4921" s="81" t="s">
        <v>4621</v>
      </c>
      <c r="D4921" s="83" t="s">
        <v>4556</v>
      </c>
      <c r="E4921" s="81" t="s">
        <v>2613</v>
      </c>
      <c r="F4921" s="81">
        <v>502.0</v>
      </c>
      <c r="G4921" s="81" t="s">
        <v>1</v>
      </c>
      <c r="H4921" s="81" t="s">
        <v>224</v>
      </c>
      <c r="I4921" s="81" t="s">
        <v>49</v>
      </c>
      <c r="J4921" s="81" t="s">
        <v>224</v>
      </c>
      <c r="K4921" s="81" t="str">
        <f>IFERROR(__xludf.DUMMYFUNCTION("IF(OR(D4921="""",G4921=""""),"""",IFERROR(LET(
campo,XLOOKUP(TRIM(G4921),ARRAYFORMULA(TRIM('indice columnas'!$A$2:$A$100)),'indice columnas'!$B$2:$B$100,""""),
col,IFERROR(MATCH(campo,Referencia!$A$1:$AZ$1,0),0),
fila,IFERROR(MATCH(TO_TEXT(D4921),ARRAYFOR"&amp;"MULA(TO_TEXT(Referencia!$A$2:$A6238)),0),0),
IF(OR(campo="""",campo=""-""),""NO APLICA"",
IF(col=0,""REVISAR EQUIVALENCIA"",
IF(fila=0,""SKU NO ENCONTRADO"",
LET(
valor,INDEX(Referencia!$A$2:$AZ6238,fila,col),
IF(TRIM(TO_TEXT(valor))=TRIM(TO_TEXT(I4921)),"&amp;"
""OK"",
""NO COINCIDE. Valor verdadero: ""&amp;IF(valor="""",""[VACÍO]"",TO_TEXT(valor))
)
))))
),""ERROR EN FÓRMULA""))"),"OK")</f>
        <v>OK</v>
      </c>
    </row>
    <row r="4922">
      <c r="A4922" s="83" t="s">
        <v>4899</v>
      </c>
      <c r="B4922" s="83" t="s">
        <v>4900</v>
      </c>
      <c r="C4922" s="81" t="s">
        <v>4621</v>
      </c>
      <c r="D4922" s="83" t="s">
        <v>4557</v>
      </c>
      <c r="E4922" s="81" t="s">
        <v>2616</v>
      </c>
      <c r="F4922" s="81">
        <v>503.0</v>
      </c>
      <c r="G4922" s="81" t="s">
        <v>3</v>
      </c>
      <c r="H4922" s="81" t="s">
        <v>224</v>
      </c>
      <c r="I4922" s="81" t="s">
        <v>51</v>
      </c>
      <c r="J4922" s="81" t="s">
        <v>224</v>
      </c>
      <c r="K4922" s="81" t="str">
        <f>IFERROR(__xludf.DUMMYFUNCTION("IF(OR(D4922="""",G4922=""""),"""",IFERROR(LET(
campo,XLOOKUP(TRIM(G4922),ARRAYFORMULA(TRIM('indice columnas'!$A$2:$A$100)),'indice columnas'!$B$2:$B$100,""""),
col,IFERROR(MATCH(campo,Referencia!$A$1:$AZ$1,0),0),
fila,IFERROR(MATCH(TO_TEXT(D4922),ARRAYFOR"&amp;"MULA(TO_TEXT(Referencia!$A$2:$A6238)),0),0),
IF(OR(campo="""",campo=""-""),""NO APLICA"",
IF(col=0,""REVISAR EQUIVALENCIA"",
IF(fila=0,""SKU NO ENCONTRADO"",
LET(
valor,INDEX(Referencia!$A$2:$AZ6238,fila,col),
IF(TRIM(TO_TEXT(valor))=TRIM(TO_TEXT(I4922)),"&amp;"
""OK"",
""NO COINCIDE. Valor verdadero: ""&amp;IF(valor="""",""[VACÍO]"",TO_TEXT(valor))
)
))))
),""ERROR EN FÓRMULA""))"),"OK")</f>
        <v>OK</v>
      </c>
    </row>
    <row r="4923">
      <c r="A4923" s="83" t="s">
        <v>4899</v>
      </c>
      <c r="B4923" s="83" t="s">
        <v>4900</v>
      </c>
      <c r="C4923" s="81" t="s">
        <v>4621</v>
      </c>
      <c r="D4923" s="83" t="s">
        <v>4557</v>
      </c>
      <c r="E4923" s="81" t="s">
        <v>2616</v>
      </c>
      <c r="F4923" s="81">
        <v>503.0</v>
      </c>
      <c r="G4923" s="81" t="s">
        <v>2</v>
      </c>
      <c r="H4923" s="81" t="s">
        <v>224</v>
      </c>
      <c r="I4923" s="81" t="s">
        <v>50</v>
      </c>
      <c r="J4923" s="81" t="s">
        <v>224</v>
      </c>
      <c r="K4923" s="81" t="str">
        <f>IFERROR(__xludf.DUMMYFUNCTION("IF(OR(D4923="""",G4923=""""),"""",IFERROR(LET(
campo,XLOOKUP(TRIM(G4923),ARRAYFORMULA(TRIM('indice columnas'!$A$2:$A$100)),'indice columnas'!$B$2:$B$100,""""),
col,IFERROR(MATCH(campo,Referencia!$A$1:$AZ$1,0),0),
fila,IFERROR(MATCH(TO_TEXT(D4923),ARRAYFOR"&amp;"MULA(TO_TEXT(Referencia!$A$2:$A6238)),0),0),
IF(OR(campo="""",campo=""-""),""NO APLICA"",
IF(col=0,""REVISAR EQUIVALENCIA"",
IF(fila=0,""SKU NO ENCONTRADO"",
LET(
valor,INDEX(Referencia!$A$2:$AZ6238,fila,col),
IF(TRIM(TO_TEXT(valor))=TRIM(TO_TEXT(I4923)),"&amp;"
""OK"",
""NO COINCIDE. Valor verdadero: ""&amp;IF(valor="""",""[VACÍO]"",TO_TEXT(valor))
)
))))
),""ERROR EN FÓRMULA""))"),"OK")</f>
        <v>OK</v>
      </c>
    </row>
    <row r="4924">
      <c r="A4924" s="83" t="s">
        <v>4899</v>
      </c>
      <c r="B4924" s="83" t="s">
        <v>4900</v>
      </c>
      <c r="C4924" s="81" t="s">
        <v>4621</v>
      </c>
      <c r="D4924" s="83" t="s">
        <v>4557</v>
      </c>
      <c r="E4924" s="81" t="s">
        <v>2616</v>
      </c>
      <c r="F4924" s="81">
        <v>503.0</v>
      </c>
      <c r="G4924" s="81" t="s">
        <v>1</v>
      </c>
      <c r="H4924" s="81" t="s">
        <v>224</v>
      </c>
      <c r="I4924" s="81" t="s">
        <v>49</v>
      </c>
      <c r="J4924" s="81" t="s">
        <v>224</v>
      </c>
      <c r="K4924" s="81" t="str">
        <f>IFERROR(__xludf.DUMMYFUNCTION("IF(OR(D4924="""",G4924=""""),"""",IFERROR(LET(
campo,XLOOKUP(TRIM(G4924),ARRAYFORMULA(TRIM('indice columnas'!$A$2:$A$100)),'indice columnas'!$B$2:$B$100,""""),
col,IFERROR(MATCH(campo,Referencia!$A$1:$AZ$1,0),0),
fila,IFERROR(MATCH(TO_TEXT(D4924),ARRAYFOR"&amp;"MULA(TO_TEXT(Referencia!$A$2:$A6238)),0),0),
IF(OR(campo="""",campo=""-""),""NO APLICA"",
IF(col=0,""REVISAR EQUIVALENCIA"",
IF(fila=0,""SKU NO ENCONTRADO"",
LET(
valor,INDEX(Referencia!$A$2:$AZ6238,fila,col),
IF(TRIM(TO_TEXT(valor))=TRIM(TO_TEXT(I4924)),"&amp;"
""OK"",
""NO COINCIDE. Valor verdadero: ""&amp;IF(valor="""",""[VACÍO]"",TO_TEXT(valor))
)
))))
),""ERROR EN FÓRMULA""))"),"OK")</f>
        <v>OK</v>
      </c>
    </row>
    <row r="4925">
      <c r="A4925" s="83" t="s">
        <v>4899</v>
      </c>
      <c r="B4925" s="83" t="s">
        <v>4900</v>
      </c>
      <c r="C4925" s="81" t="s">
        <v>4621</v>
      </c>
      <c r="D4925" s="83" t="s">
        <v>4560</v>
      </c>
      <c r="E4925" s="81" t="s">
        <v>2635</v>
      </c>
      <c r="F4925" s="81">
        <v>506.0</v>
      </c>
      <c r="G4925" s="81" t="s">
        <v>3</v>
      </c>
      <c r="H4925" s="81" t="s">
        <v>224</v>
      </c>
      <c r="I4925" s="81" t="s">
        <v>2620</v>
      </c>
      <c r="J4925" s="81" t="s">
        <v>224</v>
      </c>
      <c r="K4925" s="81" t="str">
        <f>IFERROR(__xludf.DUMMYFUNCTION("IF(OR(D4925="""",G4925=""""),"""",IFERROR(LET(
campo,XLOOKUP(TRIM(G4925),ARRAYFORMULA(TRIM('indice columnas'!$A$2:$A$100)),'indice columnas'!$B$2:$B$100,""""),
col,IFERROR(MATCH(campo,Referencia!$A$1:$AZ$1,0),0),
fila,IFERROR(MATCH(TO_TEXT(D4925),ARRAYFOR"&amp;"MULA(TO_TEXT(Referencia!$A$2:$A6238)),0),0),
IF(OR(campo="""",campo=""-""),""NO APLICA"",
IF(col=0,""REVISAR EQUIVALENCIA"",
IF(fila=0,""SKU NO ENCONTRADO"",
LET(
valor,INDEX(Referencia!$A$2:$AZ6238,fila,col),
IF(TRIM(TO_TEXT(valor))=TRIM(TO_TEXT(I4925)),"&amp;"
""OK"",
""NO COINCIDE. Valor verdadero: ""&amp;IF(valor="""",""[VACÍO]"",TO_TEXT(valor))
)
))))
),""ERROR EN FÓRMULA""))"),"OK")</f>
        <v>OK</v>
      </c>
    </row>
    <row r="4926">
      <c r="A4926" s="83" t="s">
        <v>4899</v>
      </c>
      <c r="B4926" s="83" t="s">
        <v>4900</v>
      </c>
      <c r="C4926" s="81" t="s">
        <v>4621</v>
      </c>
      <c r="D4926" s="83" t="s">
        <v>4560</v>
      </c>
      <c r="E4926" s="81" t="s">
        <v>2635</v>
      </c>
      <c r="F4926" s="81">
        <v>506.0</v>
      </c>
      <c r="G4926" s="81" t="s">
        <v>2</v>
      </c>
      <c r="H4926" s="81" t="s">
        <v>224</v>
      </c>
      <c r="I4926" s="81" t="s">
        <v>919</v>
      </c>
      <c r="J4926" s="81" t="s">
        <v>224</v>
      </c>
      <c r="K4926" s="81" t="str">
        <f>IFERROR(__xludf.DUMMYFUNCTION("IF(OR(D4926="""",G4926=""""),"""",IFERROR(LET(
campo,XLOOKUP(TRIM(G4926),ARRAYFORMULA(TRIM('indice columnas'!$A$2:$A$100)),'indice columnas'!$B$2:$B$100,""""),
col,IFERROR(MATCH(campo,Referencia!$A$1:$AZ$1,0),0),
fila,IFERROR(MATCH(TO_TEXT(D4926),ARRAYFOR"&amp;"MULA(TO_TEXT(Referencia!$A$2:$A6238)),0),0),
IF(OR(campo="""",campo=""-""),""NO APLICA"",
IF(col=0,""REVISAR EQUIVALENCIA"",
IF(fila=0,""SKU NO ENCONTRADO"",
LET(
valor,INDEX(Referencia!$A$2:$AZ6238,fila,col),
IF(TRIM(TO_TEXT(valor))=TRIM(TO_TEXT(I4926)),"&amp;"
""OK"",
""NO COINCIDE. Valor verdadero: ""&amp;IF(valor="""",""[VACÍO]"",TO_TEXT(valor))
)
))))
),""ERROR EN FÓRMULA""))"),"OK")</f>
        <v>OK</v>
      </c>
    </row>
    <row r="4927">
      <c r="A4927" s="83" t="s">
        <v>4899</v>
      </c>
      <c r="B4927" s="83" t="s">
        <v>4900</v>
      </c>
      <c r="C4927" s="81" t="s">
        <v>4621</v>
      </c>
      <c r="D4927" s="83" t="s">
        <v>4560</v>
      </c>
      <c r="E4927" s="81" t="s">
        <v>2635</v>
      </c>
      <c r="F4927" s="81">
        <v>506.0</v>
      </c>
      <c r="G4927" s="81" t="s">
        <v>1</v>
      </c>
      <c r="H4927" s="81" t="s">
        <v>224</v>
      </c>
      <c r="I4927" s="81" t="s">
        <v>49</v>
      </c>
      <c r="J4927" s="81" t="s">
        <v>224</v>
      </c>
      <c r="K4927" s="81" t="str">
        <f>IFERROR(__xludf.DUMMYFUNCTION("IF(OR(D4927="""",G4927=""""),"""",IFERROR(LET(
campo,XLOOKUP(TRIM(G4927),ARRAYFORMULA(TRIM('indice columnas'!$A$2:$A$100)),'indice columnas'!$B$2:$B$100,""""),
col,IFERROR(MATCH(campo,Referencia!$A$1:$AZ$1,0),0),
fila,IFERROR(MATCH(TO_TEXT(D4927),ARRAYFOR"&amp;"MULA(TO_TEXT(Referencia!$A$2:$A6238)),0),0),
IF(OR(campo="""",campo=""-""),""NO APLICA"",
IF(col=0,""REVISAR EQUIVALENCIA"",
IF(fila=0,""SKU NO ENCONTRADO"",
LET(
valor,INDEX(Referencia!$A$2:$AZ6238,fila,col),
IF(TRIM(TO_TEXT(valor))=TRIM(TO_TEXT(I4927)),"&amp;"
""OK"",
""NO COINCIDE. Valor verdadero: ""&amp;IF(valor="""",""[VACÍO]"",TO_TEXT(valor))
)
))))
),""ERROR EN FÓRMULA""))"),"OK")</f>
        <v>OK</v>
      </c>
    </row>
    <row r="4928">
      <c r="A4928" s="83" t="s">
        <v>4899</v>
      </c>
      <c r="B4928" s="83" t="s">
        <v>4900</v>
      </c>
      <c r="C4928" s="81" t="s">
        <v>4621</v>
      </c>
      <c r="D4928" s="83" t="s">
        <v>4562</v>
      </c>
      <c r="E4928" s="81" t="s">
        <v>2648</v>
      </c>
      <c r="F4928" s="81">
        <v>508.0</v>
      </c>
      <c r="G4928" s="81" t="s">
        <v>3</v>
      </c>
      <c r="H4928" s="81" t="s">
        <v>224</v>
      </c>
      <c r="I4928" s="81" t="s">
        <v>2620</v>
      </c>
      <c r="J4928" s="81" t="s">
        <v>224</v>
      </c>
      <c r="K4928" s="81" t="str">
        <f>IFERROR(__xludf.DUMMYFUNCTION("IF(OR(D4928="""",G4928=""""),"""",IFERROR(LET(
campo,XLOOKUP(TRIM(G4928),ARRAYFORMULA(TRIM('indice columnas'!$A$2:$A$100)),'indice columnas'!$B$2:$B$100,""""),
col,IFERROR(MATCH(campo,Referencia!$A$1:$AZ$1,0),0),
fila,IFERROR(MATCH(TO_TEXT(D4928),ARRAYFOR"&amp;"MULA(TO_TEXT(Referencia!$A$2:$A6238)),0),0),
IF(OR(campo="""",campo=""-""),""NO APLICA"",
IF(col=0,""REVISAR EQUIVALENCIA"",
IF(fila=0,""SKU NO ENCONTRADO"",
LET(
valor,INDEX(Referencia!$A$2:$AZ6238,fila,col),
IF(TRIM(TO_TEXT(valor))=TRIM(TO_TEXT(I4928)),"&amp;"
""OK"",
""NO COINCIDE. Valor verdadero: ""&amp;IF(valor="""",""[VACÍO]"",TO_TEXT(valor))
)
))))
),""ERROR EN FÓRMULA""))"),"OK")</f>
        <v>OK</v>
      </c>
    </row>
    <row r="4929">
      <c r="A4929" s="83" t="s">
        <v>4899</v>
      </c>
      <c r="B4929" s="83" t="s">
        <v>4900</v>
      </c>
      <c r="C4929" s="81" t="s">
        <v>4621</v>
      </c>
      <c r="D4929" s="83" t="s">
        <v>4562</v>
      </c>
      <c r="E4929" s="81" t="s">
        <v>2648</v>
      </c>
      <c r="F4929" s="81">
        <v>508.0</v>
      </c>
      <c r="G4929" s="81" t="s">
        <v>2</v>
      </c>
      <c r="H4929" s="81" t="s">
        <v>224</v>
      </c>
      <c r="I4929" s="81" t="s">
        <v>919</v>
      </c>
      <c r="J4929" s="81" t="s">
        <v>224</v>
      </c>
      <c r="K4929" s="81" t="str">
        <f>IFERROR(__xludf.DUMMYFUNCTION("IF(OR(D4929="""",G4929=""""),"""",IFERROR(LET(
campo,XLOOKUP(TRIM(G4929),ARRAYFORMULA(TRIM('indice columnas'!$A$2:$A$100)),'indice columnas'!$B$2:$B$100,""""),
col,IFERROR(MATCH(campo,Referencia!$A$1:$AZ$1,0),0),
fila,IFERROR(MATCH(TO_TEXT(D4929),ARRAYFOR"&amp;"MULA(TO_TEXT(Referencia!$A$2:$A6238)),0),0),
IF(OR(campo="""",campo=""-""),""NO APLICA"",
IF(col=0,""REVISAR EQUIVALENCIA"",
IF(fila=0,""SKU NO ENCONTRADO"",
LET(
valor,INDEX(Referencia!$A$2:$AZ6238,fila,col),
IF(TRIM(TO_TEXT(valor))=TRIM(TO_TEXT(I4929)),"&amp;"
""OK"",
""NO COINCIDE. Valor verdadero: ""&amp;IF(valor="""",""[VACÍO]"",TO_TEXT(valor))
)
))))
),""ERROR EN FÓRMULA""))"),"OK")</f>
        <v>OK</v>
      </c>
    </row>
    <row r="4930">
      <c r="A4930" s="83" t="s">
        <v>4899</v>
      </c>
      <c r="B4930" s="83" t="s">
        <v>4900</v>
      </c>
      <c r="C4930" s="81" t="s">
        <v>4621</v>
      </c>
      <c r="D4930" s="83" t="s">
        <v>4562</v>
      </c>
      <c r="E4930" s="81" t="s">
        <v>2648</v>
      </c>
      <c r="F4930" s="81">
        <v>508.0</v>
      </c>
      <c r="G4930" s="81" t="s">
        <v>1</v>
      </c>
      <c r="H4930" s="81" t="s">
        <v>224</v>
      </c>
      <c r="I4930" s="81" t="s">
        <v>49</v>
      </c>
      <c r="J4930" s="81" t="s">
        <v>224</v>
      </c>
      <c r="K4930" s="81" t="str">
        <f>IFERROR(__xludf.DUMMYFUNCTION("IF(OR(D4930="""",G4930=""""),"""",IFERROR(LET(
campo,XLOOKUP(TRIM(G4930),ARRAYFORMULA(TRIM('indice columnas'!$A$2:$A$100)),'indice columnas'!$B$2:$B$100,""""),
col,IFERROR(MATCH(campo,Referencia!$A$1:$AZ$1,0),0),
fila,IFERROR(MATCH(TO_TEXT(D4930),ARRAYFOR"&amp;"MULA(TO_TEXT(Referencia!$A$2:$A6238)),0),0),
IF(OR(campo="""",campo=""-""),""NO APLICA"",
IF(col=0,""REVISAR EQUIVALENCIA"",
IF(fila=0,""SKU NO ENCONTRADO"",
LET(
valor,INDEX(Referencia!$A$2:$AZ6238,fila,col),
IF(TRIM(TO_TEXT(valor))=TRIM(TO_TEXT(I4930)),"&amp;"
""OK"",
""NO COINCIDE. Valor verdadero: ""&amp;IF(valor="""",""[VACÍO]"",TO_TEXT(valor))
)
))))
),""ERROR EN FÓRMULA""))"),"OK")</f>
        <v>OK</v>
      </c>
    </row>
    <row r="4931">
      <c r="A4931" s="83" t="s">
        <v>4899</v>
      </c>
      <c r="B4931" s="83" t="s">
        <v>4900</v>
      </c>
      <c r="C4931" s="81" t="s">
        <v>4621</v>
      </c>
      <c r="D4931" s="83" t="s">
        <v>4563</v>
      </c>
      <c r="E4931" s="81" t="s">
        <v>2651</v>
      </c>
      <c r="F4931" s="81">
        <v>509.0</v>
      </c>
      <c r="G4931" s="81" t="s">
        <v>3</v>
      </c>
      <c r="H4931" s="81" t="s">
        <v>224</v>
      </c>
      <c r="I4931" s="81" t="s">
        <v>51</v>
      </c>
      <c r="J4931" s="81" t="s">
        <v>224</v>
      </c>
      <c r="K4931" s="81" t="str">
        <f>IFERROR(__xludf.DUMMYFUNCTION("IF(OR(D4931="""",G4931=""""),"""",IFERROR(LET(
campo,XLOOKUP(TRIM(G4931),ARRAYFORMULA(TRIM('indice columnas'!$A$2:$A$100)),'indice columnas'!$B$2:$B$100,""""),
col,IFERROR(MATCH(campo,Referencia!$A$1:$AZ$1,0),0),
fila,IFERROR(MATCH(TO_TEXT(D4931),ARRAYFOR"&amp;"MULA(TO_TEXT(Referencia!$A$2:$A6238)),0),0),
IF(OR(campo="""",campo=""-""),""NO APLICA"",
IF(col=0,""REVISAR EQUIVALENCIA"",
IF(fila=0,""SKU NO ENCONTRADO"",
LET(
valor,INDEX(Referencia!$A$2:$AZ6238,fila,col),
IF(TRIM(TO_TEXT(valor))=TRIM(TO_TEXT(I4931)),"&amp;"
""OK"",
""NO COINCIDE. Valor verdadero: ""&amp;IF(valor="""",""[VACÍO]"",TO_TEXT(valor))
)
))))
),""ERROR EN FÓRMULA""))"),"OK")</f>
        <v>OK</v>
      </c>
    </row>
    <row r="4932">
      <c r="A4932" s="83" t="s">
        <v>4899</v>
      </c>
      <c r="B4932" s="83" t="s">
        <v>4900</v>
      </c>
      <c r="C4932" s="81" t="s">
        <v>4621</v>
      </c>
      <c r="D4932" s="83" t="s">
        <v>4563</v>
      </c>
      <c r="E4932" s="81" t="s">
        <v>2651</v>
      </c>
      <c r="F4932" s="81">
        <v>509.0</v>
      </c>
      <c r="G4932" s="81" t="s">
        <v>2</v>
      </c>
      <c r="H4932" s="81" t="s">
        <v>224</v>
      </c>
      <c r="I4932" s="81" t="s">
        <v>50</v>
      </c>
      <c r="J4932" s="81" t="s">
        <v>224</v>
      </c>
      <c r="K4932" s="81" t="str">
        <f>IFERROR(__xludf.DUMMYFUNCTION("IF(OR(D4932="""",G4932=""""),"""",IFERROR(LET(
campo,XLOOKUP(TRIM(G4932),ARRAYFORMULA(TRIM('indice columnas'!$A$2:$A$100)),'indice columnas'!$B$2:$B$100,""""),
col,IFERROR(MATCH(campo,Referencia!$A$1:$AZ$1,0),0),
fila,IFERROR(MATCH(TO_TEXT(D4932),ARRAYFOR"&amp;"MULA(TO_TEXT(Referencia!$A$2:$A6238)),0),0),
IF(OR(campo="""",campo=""-""),""NO APLICA"",
IF(col=0,""REVISAR EQUIVALENCIA"",
IF(fila=0,""SKU NO ENCONTRADO"",
LET(
valor,INDEX(Referencia!$A$2:$AZ6238,fila,col),
IF(TRIM(TO_TEXT(valor))=TRIM(TO_TEXT(I4932)),"&amp;"
""OK"",
""NO COINCIDE. Valor verdadero: ""&amp;IF(valor="""",""[VACÍO]"",TO_TEXT(valor))
)
))))
),""ERROR EN FÓRMULA""))"),"OK")</f>
        <v>OK</v>
      </c>
    </row>
    <row r="4933">
      <c r="A4933" s="83" t="s">
        <v>4899</v>
      </c>
      <c r="B4933" s="83" t="s">
        <v>4900</v>
      </c>
      <c r="C4933" s="81" t="s">
        <v>4621</v>
      </c>
      <c r="D4933" s="83" t="s">
        <v>4563</v>
      </c>
      <c r="E4933" s="81" t="s">
        <v>2651</v>
      </c>
      <c r="F4933" s="81">
        <v>509.0</v>
      </c>
      <c r="G4933" s="81" t="s">
        <v>1</v>
      </c>
      <c r="H4933" s="81" t="s">
        <v>224</v>
      </c>
      <c r="I4933" s="81" t="s">
        <v>49</v>
      </c>
      <c r="J4933" s="81" t="s">
        <v>224</v>
      </c>
      <c r="K4933" s="81" t="str">
        <f>IFERROR(__xludf.DUMMYFUNCTION("IF(OR(D4933="""",G4933=""""),"""",IFERROR(LET(
campo,XLOOKUP(TRIM(G4933),ARRAYFORMULA(TRIM('indice columnas'!$A$2:$A$100)),'indice columnas'!$B$2:$B$100,""""),
col,IFERROR(MATCH(campo,Referencia!$A$1:$AZ$1,0),0),
fila,IFERROR(MATCH(TO_TEXT(D4933),ARRAYFOR"&amp;"MULA(TO_TEXT(Referencia!$A$2:$A6238)),0),0),
IF(OR(campo="""",campo=""-""),""NO APLICA"",
IF(col=0,""REVISAR EQUIVALENCIA"",
IF(fila=0,""SKU NO ENCONTRADO"",
LET(
valor,INDEX(Referencia!$A$2:$AZ6238,fila,col),
IF(TRIM(TO_TEXT(valor))=TRIM(TO_TEXT(I4933)),"&amp;"
""OK"",
""NO COINCIDE. Valor verdadero: ""&amp;IF(valor="""",""[VACÍO]"",TO_TEXT(valor))
)
))))
),""ERROR EN FÓRMULA""))"),"OK")</f>
        <v>OK</v>
      </c>
    </row>
    <row r="4934">
      <c r="A4934" s="83" t="s">
        <v>4899</v>
      </c>
      <c r="B4934" s="83" t="s">
        <v>4900</v>
      </c>
      <c r="C4934" s="81" t="s">
        <v>4621</v>
      </c>
      <c r="D4934" s="83" t="s">
        <v>4564</v>
      </c>
      <c r="E4934" s="81" t="s">
        <v>2659</v>
      </c>
      <c r="F4934" s="81">
        <v>510.0</v>
      </c>
      <c r="G4934" s="81" t="s">
        <v>3</v>
      </c>
      <c r="H4934" s="81" t="s">
        <v>224</v>
      </c>
      <c r="I4934" s="81" t="s">
        <v>51</v>
      </c>
      <c r="J4934" s="81" t="s">
        <v>224</v>
      </c>
      <c r="K4934" s="81" t="str">
        <f>IFERROR(__xludf.DUMMYFUNCTION("IF(OR(D4934="""",G4934=""""),"""",IFERROR(LET(
campo,XLOOKUP(TRIM(G4934),ARRAYFORMULA(TRIM('indice columnas'!$A$2:$A$100)),'indice columnas'!$B$2:$B$100,""""),
col,IFERROR(MATCH(campo,Referencia!$A$1:$AZ$1,0),0),
fila,IFERROR(MATCH(TO_TEXT(D4934),ARRAYFOR"&amp;"MULA(TO_TEXT(Referencia!$A$2:$A6238)),0),0),
IF(OR(campo="""",campo=""-""),""NO APLICA"",
IF(col=0,""REVISAR EQUIVALENCIA"",
IF(fila=0,""SKU NO ENCONTRADO"",
LET(
valor,INDEX(Referencia!$A$2:$AZ6238,fila,col),
IF(TRIM(TO_TEXT(valor))=TRIM(TO_TEXT(I4934)),"&amp;"
""OK"",
""NO COINCIDE. Valor verdadero: ""&amp;IF(valor="""",""[VACÍO]"",TO_TEXT(valor))
)
))))
),""ERROR EN FÓRMULA""))"),"OK")</f>
        <v>OK</v>
      </c>
    </row>
    <row r="4935">
      <c r="A4935" s="83" t="s">
        <v>4899</v>
      </c>
      <c r="B4935" s="83" t="s">
        <v>4900</v>
      </c>
      <c r="C4935" s="81" t="s">
        <v>4621</v>
      </c>
      <c r="D4935" s="83" t="s">
        <v>4564</v>
      </c>
      <c r="E4935" s="81" t="s">
        <v>2659</v>
      </c>
      <c r="F4935" s="81">
        <v>510.0</v>
      </c>
      <c r="G4935" s="81" t="s">
        <v>2</v>
      </c>
      <c r="H4935" s="81" t="s">
        <v>224</v>
      </c>
      <c r="I4935" s="81" t="s">
        <v>50</v>
      </c>
      <c r="J4935" s="81" t="s">
        <v>224</v>
      </c>
      <c r="K4935" s="81" t="str">
        <f>IFERROR(__xludf.DUMMYFUNCTION("IF(OR(D4935="""",G4935=""""),"""",IFERROR(LET(
campo,XLOOKUP(TRIM(G4935),ARRAYFORMULA(TRIM('indice columnas'!$A$2:$A$100)),'indice columnas'!$B$2:$B$100,""""),
col,IFERROR(MATCH(campo,Referencia!$A$1:$AZ$1,0),0),
fila,IFERROR(MATCH(TO_TEXT(D4935),ARRAYFOR"&amp;"MULA(TO_TEXT(Referencia!$A$2:$A6238)),0),0),
IF(OR(campo="""",campo=""-""),""NO APLICA"",
IF(col=0,""REVISAR EQUIVALENCIA"",
IF(fila=0,""SKU NO ENCONTRADO"",
LET(
valor,INDEX(Referencia!$A$2:$AZ6238,fila,col),
IF(TRIM(TO_TEXT(valor))=TRIM(TO_TEXT(I4935)),"&amp;"
""OK"",
""NO COINCIDE. Valor verdadero: ""&amp;IF(valor="""",""[VACÍO]"",TO_TEXT(valor))
)
))))
),""ERROR EN FÓRMULA""))"),"OK")</f>
        <v>OK</v>
      </c>
    </row>
    <row r="4936">
      <c r="A4936" s="83" t="s">
        <v>4899</v>
      </c>
      <c r="B4936" s="83" t="s">
        <v>4900</v>
      </c>
      <c r="C4936" s="81" t="s">
        <v>4621</v>
      </c>
      <c r="D4936" s="83" t="s">
        <v>4564</v>
      </c>
      <c r="E4936" s="81" t="s">
        <v>2659</v>
      </c>
      <c r="F4936" s="81">
        <v>510.0</v>
      </c>
      <c r="G4936" s="81" t="s">
        <v>1</v>
      </c>
      <c r="H4936" s="81" t="s">
        <v>224</v>
      </c>
      <c r="I4936" s="81" t="s">
        <v>49</v>
      </c>
      <c r="J4936" s="81" t="s">
        <v>224</v>
      </c>
      <c r="K4936" s="81" t="str">
        <f>IFERROR(__xludf.DUMMYFUNCTION("IF(OR(D4936="""",G4936=""""),"""",IFERROR(LET(
campo,XLOOKUP(TRIM(G4936),ARRAYFORMULA(TRIM('indice columnas'!$A$2:$A$100)),'indice columnas'!$B$2:$B$100,""""),
col,IFERROR(MATCH(campo,Referencia!$A$1:$AZ$1,0),0),
fila,IFERROR(MATCH(TO_TEXT(D4936),ARRAYFOR"&amp;"MULA(TO_TEXT(Referencia!$A$2:$A6238)),0),0),
IF(OR(campo="""",campo=""-""),""NO APLICA"",
IF(col=0,""REVISAR EQUIVALENCIA"",
IF(fila=0,""SKU NO ENCONTRADO"",
LET(
valor,INDEX(Referencia!$A$2:$AZ6238,fila,col),
IF(TRIM(TO_TEXT(valor))=TRIM(TO_TEXT(I4936)),"&amp;"
""OK"",
""NO COINCIDE. Valor verdadero: ""&amp;IF(valor="""",""[VACÍO]"",TO_TEXT(valor))
)
))))
),""ERROR EN FÓRMULA""))"),"OK")</f>
        <v>OK</v>
      </c>
    </row>
    <row r="4937">
      <c r="A4937" s="83" t="s">
        <v>4899</v>
      </c>
      <c r="B4937" s="83" t="s">
        <v>4900</v>
      </c>
      <c r="C4937" s="81" t="s">
        <v>4621</v>
      </c>
      <c r="D4937" s="83" t="s">
        <v>4565</v>
      </c>
      <c r="E4937" s="81" t="s">
        <v>2661</v>
      </c>
      <c r="F4937" s="81">
        <v>511.0</v>
      </c>
      <c r="G4937" s="81" t="s">
        <v>3</v>
      </c>
      <c r="H4937" s="81" t="s">
        <v>224</v>
      </c>
      <c r="I4937" s="81" t="s">
        <v>51</v>
      </c>
      <c r="J4937" s="81" t="s">
        <v>224</v>
      </c>
      <c r="K4937" s="81" t="str">
        <f>IFERROR(__xludf.DUMMYFUNCTION("IF(OR(D4937="""",G4937=""""),"""",IFERROR(LET(
campo,XLOOKUP(TRIM(G4937),ARRAYFORMULA(TRIM('indice columnas'!$A$2:$A$100)),'indice columnas'!$B$2:$B$100,""""),
col,IFERROR(MATCH(campo,Referencia!$A$1:$AZ$1,0),0),
fila,IFERROR(MATCH(TO_TEXT(D4937),ARRAYFOR"&amp;"MULA(TO_TEXT(Referencia!$A$2:$A6238)),0),0),
IF(OR(campo="""",campo=""-""),""NO APLICA"",
IF(col=0,""REVISAR EQUIVALENCIA"",
IF(fila=0,""SKU NO ENCONTRADO"",
LET(
valor,INDEX(Referencia!$A$2:$AZ6238,fila,col),
IF(TRIM(TO_TEXT(valor))=TRIM(TO_TEXT(I4937)),"&amp;"
""OK"",
""NO COINCIDE. Valor verdadero: ""&amp;IF(valor="""",""[VACÍO]"",TO_TEXT(valor))
)
))))
),""ERROR EN FÓRMULA""))"),"OK")</f>
        <v>OK</v>
      </c>
    </row>
    <row r="4938">
      <c r="A4938" s="83" t="s">
        <v>4899</v>
      </c>
      <c r="B4938" s="83" t="s">
        <v>4900</v>
      </c>
      <c r="C4938" s="81" t="s">
        <v>4621</v>
      </c>
      <c r="D4938" s="83" t="s">
        <v>4565</v>
      </c>
      <c r="E4938" s="81" t="s">
        <v>2661</v>
      </c>
      <c r="F4938" s="81">
        <v>511.0</v>
      </c>
      <c r="G4938" s="81" t="s">
        <v>2</v>
      </c>
      <c r="H4938" s="81" t="s">
        <v>224</v>
      </c>
      <c r="I4938" s="81" t="s">
        <v>50</v>
      </c>
      <c r="J4938" s="81" t="s">
        <v>224</v>
      </c>
      <c r="K4938" s="81" t="str">
        <f>IFERROR(__xludf.DUMMYFUNCTION("IF(OR(D4938="""",G4938=""""),"""",IFERROR(LET(
campo,XLOOKUP(TRIM(G4938),ARRAYFORMULA(TRIM('indice columnas'!$A$2:$A$100)),'indice columnas'!$B$2:$B$100,""""),
col,IFERROR(MATCH(campo,Referencia!$A$1:$AZ$1,0),0),
fila,IFERROR(MATCH(TO_TEXT(D4938),ARRAYFOR"&amp;"MULA(TO_TEXT(Referencia!$A$2:$A6238)),0),0),
IF(OR(campo="""",campo=""-""),""NO APLICA"",
IF(col=0,""REVISAR EQUIVALENCIA"",
IF(fila=0,""SKU NO ENCONTRADO"",
LET(
valor,INDEX(Referencia!$A$2:$AZ6238,fila,col),
IF(TRIM(TO_TEXT(valor))=TRIM(TO_TEXT(I4938)),"&amp;"
""OK"",
""NO COINCIDE. Valor verdadero: ""&amp;IF(valor="""",""[VACÍO]"",TO_TEXT(valor))
)
))))
),""ERROR EN FÓRMULA""))"),"OK")</f>
        <v>OK</v>
      </c>
    </row>
    <row r="4939">
      <c r="A4939" s="83" t="s">
        <v>4899</v>
      </c>
      <c r="B4939" s="83" t="s">
        <v>4900</v>
      </c>
      <c r="C4939" s="81" t="s">
        <v>4621</v>
      </c>
      <c r="D4939" s="83" t="s">
        <v>4565</v>
      </c>
      <c r="E4939" s="81" t="s">
        <v>2661</v>
      </c>
      <c r="F4939" s="81">
        <v>511.0</v>
      </c>
      <c r="G4939" s="81" t="s">
        <v>1</v>
      </c>
      <c r="H4939" s="81" t="s">
        <v>224</v>
      </c>
      <c r="I4939" s="81" t="s">
        <v>49</v>
      </c>
      <c r="J4939" s="81" t="s">
        <v>224</v>
      </c>
      <c r="K4939" s="81" t="str">
        <f>IFERROR(__xludf.DUMMYFUNCTION("IF(OR(D4939="""",G4939=""""),"""",IFERROR(LET(
campo,XLOOKUP(TRIM(G4939),ARRAYFORMULA(TRIM('indice columnas'!$A$2:$A$100)),'indice columnas'!$B$2:$B$100,""""),
col,IFERROR(MATCH(campo,Referencia!$A$1:$AZ$1,0),0),
fila,IFERROR(MATCH(TO_TEXT(D4939),ARRAYFOR"&amp;"MULA(TO_TEXT(Referencia!$A$2:$A6238)),0),0),
IF(OR(campo="""",campo=""-""),""NO APLICA"",
IF(col=0,""REVISAR EQUIVALENCIA"",
IF(fila=0,""SKU NO ENCONTRADO"",
LET(
valor,INDEX(Referencia!$A$2:$AZ6238,fila,col),
IF(TRIM(TO_TEXT(valor))=TRIM(TO_TEXT(I4939)),"&amp;"
""OK"",
""NO COINCIDE. Valor verdadero: ""&amp;IF(valor="""",""[VACÍO]"",TO_TEXT(valor))
)
))))
),""ERROR EN FÓRMULA""))"),"OK")</f>
        <v>OK</v>
      </c>
    </row>
    <row r="4940">
      <c r="A4940" s="83" t="s">
        <v>4899</v>
      </c>
      <c r="B4940" s="83" t="s">
        <v>4900</v>
      </c>
      <c r="C4940" s="81" t="s">
        <v>4621</v>
      </c>
      <c r="D4940" s="83" t="s">
        <v>4566</v>
      </c>
      <c r="E4940" s="81" t="s">
        <v>2667</v>
      </c>
      <c r="F4940" s="81">
        <v>512.0</v>
      </c>
      <c r="G4940" s="81" t="s">
        <v>3</v>
      </c>
      <c r="H4940" s="81" t="s">
        <v>224</v>
      </c>
      <c r="I4940" s="81" t="s">
        <v>51</v>
      </c>
      <c r="J4940" s="81" t="s">
        <v>224</v>
      </c>
      <c r="K4940" s="81" t="str">
        <f>IFERROR(__xludf.DUMMYFUNCTION("IF(OR(D4940="""",G4940=""""),"""",IFERROR(LET(
campo,XLOOKUP(TRIM(G4940),ARRAYFORMULA(TRIM('indice columnas'!$A$2:$A$100)),'indice columnas'!$B$2:$B$100,""""),
col,IFERROR(MATCH(campo,Referencia!$A$1:$AZ$1,0),0),
fila,IFERROR(MATCH(TO_TEXT(D4940),ARRAYFOR"&amp;"MULA(TO_TEXT(Referencia!$A$2:$A6238)),0),0),
IF(OR(campo="""",campo=""-""),""NO APLICA"",
IF(col=0,""REVISAR EQUIVALENCIA"",
IF(fila=0,""SKU NO ENCONTRADO"",
LET(
valor,INDEX(Referencia!$A$2:$AZ6238,fila,col),
IF(TRIM(TO_TEXT(valor))=TRIM(TO_TEXT(I4940)),"&amp;"
""OK"",
""NO COINCIDE. Valor verdadero: ""&amp;IF(valor="""",""[VACÍO]"",TO_TEXT(valor))
)
))))
),""ERROR EN FÓRMULA""))"),"OK")</f>
        <v>OK</v>
      </c>
    </row>
    <row r="4941">
      <c r="A4941" s="83" t="s">
        <v>4899</v>
      </c>
      <c r="B4941" s="83" t="s">
        <v>4900</v>
      </c>
      <c r="C4941" s="81" t="s">
        <v>4621</v>
      </c>
      <c r="D4941" s="83" t="s">
        <v>4566</v>
      </c>
      <c r="E4941" s="81" t="s">
        <v>2667</v>
      </c>
      <c r="F4941" s="81">
        <v>512.0</v>
      </c>
      <c r="G4941" s="81" t="s">
        <v>2</v>
      </c>
      <c r="H4941" s="81" t="s">
        <v>224</v>
      </c>
      <c r="I4941" s="81" t="s">
        <v>50</v>
      </c>
      <c r="J4941" s="81" t="s">
        <v>224</v>
      </c>
      <c r="K4941" s="81" t="str">
        <f>IFERROR(__xludf.DUMMYFUNCTION("IF(OR(D4941="""",G4941=""""),"""",IFERROR(LET(
campo,XLOOKUP(TRIM(G4941),ARRAYFORMULA(TRIM('indice columnas'!$A$2:$A$100)),'indice columnas'!$B$2:$B$100,""""),
col,IFERROR(MATCH(campo,Referencia!$A$1:$AZ$1,0),0),
fila,IFERROR(MATCH(TO_TEXT(D4941),ARRAYFOR"&amp;"MULA(TO_TEXT(Referencia!$A$2:$A6238)),0),0),
IF(OR(campo="""",campo=""-""),""NO APLICA"",
IF(col=0,""REVISAR EQUIVALENCIA"",
IF(fila=0,""SKU NO ENCONTRADO"",
LET(
valor,INDEX(Referencia!$A$2:$AZ6238,fila,col),
IF(TRIM(TO_TEXT(valor))=TRIM(TO_TEXT(I4941)),"&amp;"
""OK"",
""NO COINCIDE. Valor verdadero: ""&amp;IF(valor="""",""[VACÍO]"",TO_TEXT(valor))
)
))))
),""ERROR EN FÓRMULA""))"),"OK")</f>
        <v>OK</v>
      </c>
    </row>
    <row r="4942">
      <c r="A4942" s="83" t="s">
        <v>4899</v>
      </c>
      <c r="B4942" s="83" t="s">
        <v>4900</v>
      </c>
      <c r="C4942" s="81" t="s">
        <v>4621</v>
      </c>
      <c r="D4942" s="83" t="s">
        <v>4566</v>
      </c>
      <c r="E4942" s="81" t="s">
        <v>2667</v>
      </c>
      <c r="F4942" s="81">
        <v>512.0</v>
      </c>
      <c r="G4942" s="81" t="s">
        <v>1</v>
      </c>
      <c r="H4942" s="81" t="s">
        <v>224</v>
      </c>
      <c r="I4942" s="81" t="s">
        <v>49</v>
      </c>
      <c r="J4942" s="81" t="s">
        <v>224</v>
      </c>
      <c r="K4942" s="81" t="str">
        <f>IFERROR(__xludf.DUMMYFUNCTION("IF(OR(D4942="""",G4942=""""),"""",IFERROR(LET(
campo,XLOOKUP(TRIM(G4942),ARRAYFORMULA(TRIM('indice columnas'!$A$2:$A$100)),'indice columnas'!$B$2:$B$100,""""),
col,IFERROR(MATCH(campo,Referencia!$A$1:$AZ$1,0),0),
fila,IFERROR(MATCH(TO_TEXT(D4942),ARRAYFOR"&amp;"MULA(TO_TEXT(Referencia!$A$2:$A6238)),0),0),
IF(OR(campo="""",campo=""-""),""NO APLICA"",
IF(col=0,""REVISAR EQUIVALENCIA"",
IF(fila=0,""SKU NO ENCONTRADO"",
LET(
valor,INDEX(Referencia!$A$2:$AZ6238,fila,col),
IF(TRIM(TO_TEXT(valor))=TRIM(TO_TEXT(I4942)),"&amp;"
""OK"",
""NO COINCIDE. Valor verdadero: ""&amp;IF(valor="""",""[VACÍO]"",TO_TEXT(valor))
)
))))
),""ERROR EN FÓRMULA""))"),"OK")</f>
        <v>OK</v>
      </c>
    </row>
    <row r="4943">
      <c r="A4943" s="83" t="s">
        <v>4899</v>
      </c>
      <c r="B4943" s="83" t="s">
        <v>4900</v>
      </c>
      <c r="C4943" s="81" t="s">
        <v>4621</v>
      </c>
      <c r="D4943" s="83" t="s">
        <v>4568</v>
      </c>
      <c r="E4943" s="81" t="s">
        <v>2672</v>
      </c>
      <c r="F4943" s="81">
        <v>515.0</v>
      </c>
      <c r="G4943" s="81" t="s">
        <v>3</v>
      </c>
      <c r="H4943" s="81" t="s">
        <v>224</v>
      </c>
      <c r="I4943" s="81" t="s">
        <v>920</v>
      </c>
      <c r="J4943" s="81" t="s">
        <v>224</v>
      </c>
      <c r="K4943" s="81" t="str">
        <f>IFERROR(__xludf.DUMMYFUNCTION("IF(OR(D4943="""",G4943=""""),"""",IFERROR(LET(
campo,XLOOKUP(TRIM(G4943),ARRAYFORMULA(TRIM('indice columnas'!$A$2:$A$100)),'indice columnas'!$B$2:$B$100,""""),
col,IFERROR(MATCH(campo,Referencia!$A$1:$AZ$1,0),0),
fila,IFERROR(MATCH(TO_TEXT(D4943),ARRAYFOR"&amp;"MULA(TO_TEXT(Referencia!$A$2:$A6238)),0),0),
IF(OR(campo="""",campo=""-""),""NO APLICA"",
IF(col=0,""REVISAR EQUIVALENCIA"",
IF(fila=0,""SKU NO ENCONTRADO"",
LET(
valor,INDEX(Referencia!$A$2:$AZ6238,fila,col),
IF(TRIM(TO_TEXT(valor))=TRIM(TO_TEXT(I4943)),"&amp;"
""OK"",
""NO COINCIDE. Valor verdadero: ""&amp;IF(valor="""",""[VACÍO]"",TO_TEXT(valor))
)
))))
),""ERROR EN FÓRMULA""))"),"OK")</f>
        <v>OK</v>
      </c>
    </row>
    <row r="4944">
      <c r="A4944" s="83" t="s">
        <v>4899</v>
      </c>
      <c r="B4944" s="83" t="s">
        <v>4900</v>
      </c>
      <c r="C4944" s="81" t="s">
        <v>4621</v>
      </c>
      <c r="D4944" s="83" t="s">
        <v>4568</v>
      </c>
      <c r="E4944" s="81" t="s">
        <v>2672</v>
      </c>
      <c r="F4944" s="81">
        <v>515.0</v>
      </c>
      <c r="G4944" s="81" t="s">
        <v>2</v>
      </c>
      <c r="H4944" s="81" t="s">
        <v>224</v>
      </c>
      <c r="I4944" s="81" t="s">
        <v>919</v>
      </c>
      <c r="J4944" s="81" t="s">
        <v>224</v>
      </c>
      <c r="K4944" s="81" t="str">
        <f>IFERROR(__xludf.DUMMYFUNCTION("IF(OR(D4944="""",G4944=""""),"""",IFERROR(LET(
campo,XLOOKUP(TRIM(G4944),ARRAYFORMULA(TRIM('indice columnas'!$A$2:$A$100)),'indice columnas'!$B$2:$B$100,""""),
col,IFERROR(MATCH(campo,Referencia!$A$1:$AZ$1,0),0),
fila,IFERROR(MATCH(TO_TEXT(D4944),ARRAYFOR"&amp;"MULA(TO_TEXT(Referencia!$A$2:$A6238)),0),0),
IF(OR(campo="""",campo=""-""),""NO APLICA"",
IF(col=0,""REVISAR EQUIVALENCIA"",
IF(fila=0,""SKU NO ENCONTRADO"",
LET(
valor,INDEX(Referencia!$A$2:$AZ6238,fila,col),
IF(TRIM(TO_TEXT(valor))=TRIM(TO_TEXT(I4944)),"&amp;"
""OK"",
""NO COINCIDE. Valor verdadero: ""&amp;IF(valor="""",""[VACÍO]"",TO_TEXT(valor))
)
))))
),""ERROR EN FÓRMULA""))"),"OK")</f>
        <v>OK</v>
      </c>
    </row>
    <row r="4945">
      <c r="A4945" s="83" t="s">
        <v>4899</v>
      </c>
      <c r="B4945" s="83" t="s">
        <v>4900</v>
      </c>
      <c r="C4945" s="81" t="s">
        <v>4621</v>
      </c>
      <c r="D4945" s="83" t="s">
        <v>4568</v>
      </c>
      <c r="E4945" s="81" t="s">
        <v>2672</v>
      </c>
      <c r="F4945" s="81">
        <v>515.0</v>
      </c>
      <c r="G4945" s="81" t="s">
        <v>1</v>
      </c>
      <c r="H4945" s="81" t="s">
        <v>224</v>
      </c>
      <c r="I4945" s="81" t="s">
        <v>49</v>
      </c>
      <c r="J4945" s="81" t="s">
        <v>224</v>
      </c>
      <c r="K4945" s="81" t="str">
        <f>IFERROR(__xludf.DUMMYFUNCTION("IF(OR(D4945="""",G4945=""""),"""",IFERROR(LET(
campo,XLOOKUP(TRIM(G4945),ARRAYFORMULA(TRIM('indice columnas'!$A$2:$A$100)),'indice columnas'!$B$2:$B$100,""""),
col,IFERROR(MATCH(campo,Referencia!$A$1:$AZ$1,0),0),
fila,IFERROR(MATCH(TO_TEXT(D4945),ARRAYFOR"&amp;"MULA(TO_TEXT(Referencia!$A$2:$A6238)),0),0),
IF(OR(campo="""",campo=""-""),""NO APLICA"",
IF(col=0,""REVISAR EQUIVALENCIA"",
IF(fila=0,""SKU NO ENCONTRADO"",
LET(
valor,INDEX(Referencia!$A$2:$AZ6238,fila,col),
IF(TRIM(TO_TEXT(valor))=TRIM(TO_TEXT(I4945)),"&amp;"
""OK"",
""NO COINCIDE. Valor verdadero: ""&amp;IF(valor="""",""[VACÍO]"",TO_TEXT(valor))
)
))))
),""ERROR EN FÓRMULA""))"),"OK")</f>
        <v>OK</v>
      </c>
    </row>
    <row r="4946">
      <c r="A4946" s="83" t="s">
        <v>4899</v>
      </c>
      <c r="B4946" s="83" t="s">
        <v>4900</v>
      </c>
      <c r="C4946" s="81" t="s">
        <v>4621</v>
      </c>
      <c r="D4946" s="83" t="s">
        <v>4572</v>
      </c>
      <c r="E4946" s="81" t="s">
        <v>2687</v>
      </c>
      <c r="F4946" s="81">
        <v>519.0</v>
      </c>
      <c r="G4946" s="81" t="s">
        <v>3</v>
      </c>
      <c r="H4946" s="81" t="s">
        <v>224</v>
      </c>
      <c r="I4946" s="81" t="s">
        <v>1402</v>
      </c>
      <c r="J4946" s="81" t="s">
        <v>224</v>
      </c>
      <c r="K4946" s="81" t="str">
        <f>IFERROR(__xludf.DUMMYFUNCTION("IF(OR(D4946="""",G4946=""""),"""",IFERROR(LET(
campo,XLOOKUP(TRIM(G4946),ARRAYFORMULA(TRIM('indice columnas'!$A$2:$A$100)),'indice columnas'!$B$2:$B$100,""""),
col,IFERROR(MATCH(campo,Referencia!$A$1:$AZ$1,0),0),
fila,IFERROR(MATCH(TO_TEXT(D4946),ARRAYFOR"&amp;"MULA(TO_TEXT(Referencia!$A$2:$A6238)),0),0),
IF(OR(campo="""",campo=""-""),""NO APLICA"",
IF(col=0,""REVISAR EQUIVALENCIA"",
IF(fila=0,""SKU NO ENCONTRADO"",
LET(
valor,INDEX(Referencia!$A$2:$AZ6238,fila,col),
IF(TRIM(TO_TEXT(valor))=TRIM(TO_TEXT(I4946)),"&amp;"
""OK"",
""NO COINCIDE. Valor verdadero: ""&amp;IF(valor="""",""[VACÍO]"",TO_TEXT(valor))
)
))))
),""ERROR EN FÓRMULA""))"),"OK")</f>
        <v>OK</v>
      </c>
    </row>
    <row r="4947">
      <c r="A4947" s="83" t="s">
        <v>4899</v>
      </c>
      <c r="B4947" s="83" t="s">
        <v>4900</v>
      </c>
      <c r="C4947" s="81" t="s">
        <v>4621</v>
      </c>
      <c r="D4947" s="83" t="s">
        <v>4572</v>
      </c>
      <c r="E4947" s="81" t="s">
        <v>2687</v>
      </c>
      <c r="F4947" s="81">
        <v>519.0</v>
      </c>
      <c r="G4947" s="81" t="s">
        <v>2</v>
      </c>
      <c r="H4947" s="81" t="s">
        <v>224</v>
      </c>
      <c r="I4947" s="81" t="s">
        <v>1291</v>
      </c>
      <c r="J4947" s="81" t="s">
        <v>224</v>
      </c>
      <c r="K4947" s="81" t="str">
        <f>IFERROR(__xludf.DUMMYFUNCTION("IF(OR(D4947="""",G4947=""""),"""",IFERROR(LET(
campo,XLOOKUP(TRIM(G4947),ARRAYFORMULA(TRIM('indice columnas'!$A$2:$A$100)),'indice columnas'!$B$2:$B$100,""""),
col,IFERROR(MATCH(campo,Referencia!$A$1:$AZ$1,0),0),
fila,IFERROR(MATCH(TO_TEXT(D4947),ARRAYFOR"&amp;"MULA(TO_TEXT(Referencia!$A$2:$A6238)),0),0),
IF(OR(campo="""",campo=""-""),""NO APLICA"",
IF(col=0,""REVISAR EQUIVALENCIA"",
IF(fila=0,""SKU NO ENCONTRADO"",
LET(
valor,INDEX(Referencia!$A$2:$AZ6238,fila,col),
IF(TRIM(TO_TEXT(valor))=TRIM(TO_TEXT(I4947)),"&amp;"
""OK"",
""NO COINCIDE. Valor verdadero: ""&amp;IF(valor="""",""[VACÍO]"",TO_TEXT(valor))
)
))))
),""ERROR EN FÓRMULA""))"),"OK")</f>
        <v>OK</v>
      </c>
    </row>
    <row r="4948">
      <c r="A4948" s="83" t="s">
        <v>4899</v>
      </c>
      <c r="B4948" s="83" t="s">
        <v>4900</v>
      </c>
      <c r="C4948" s="81" t="s">
        <v>4621</v>
      </c>
      <c r="D4948" s="83" t="s">
        <v>4574</v>
      </c>
      <c r="E4948" s="81" t="s">
        <v>2700</v>
      </c>
      <c r="F4948" s="81">
        <v>522.0</v>
      </c>
      <c r="G4948" s="81" t="s">
        <v>3</v>
      </c>
      <c r="H4948" s="81" t="s">
        <v>224</v>
      </c>
      <c r="I4948" s="81" t="s">
        <v>1402</v>
      </c>
      <c r="J4948" s="81" t="s">
        <v>224</v>
      </c>
      <c r="K4948" s="81" t="str">
        <f>IFERROR(__xludf.DUMMYFUNCTION("IF(OR(D4948="""",G4948=""""),"""",IFERROR(LET(
campo,XLOOKUP(TRIM(G4948),ARRAYFORMULA(TRIM('indice columnas'!$A$2:$A$100)),'indice columnas'!$B$2:$B$100,""""),
col,IFERROR(MATCH(campo,Referencia!$A$1:$AZ$1,0),0),
fila,IFERROR(MATCH(TO_TEXT(D4948),ARRAYFOR"&amp;"MULA(TO_TEXT(Referencia!$A$2:$A6238)),0),0),
IF(OR(campo="""",campo=""-""),""NO APLICA"",
IF(col=0,""REVISAR EQUIVALENCIA"",
IF(fila=0,""SKU NO ENCONTRADO"",
LET(
valor,INDEX(Referencia!$A$2:$AZ6238,fila,col),
IF(TRIM(TO_TEXT(valor))=TRIM(TO_TEXT(I4948)),"&amp;"
""OK"",
""NO COINCIDE. Valor verdadero: ""&amp;IF(valor="""",""[VACÍO]"",TO_TEXT(valor))
)
))))
),""ERROR EN FÓRMULA""))"),"OK")</f>
        <v>OK</v>
      </c>
    </row>
    <row r="4949">
      <c r="A4949" s="83" t="s">
        <v>4899</v>
      </c>
      <c r="B4949" s="83" t="s">
        <v>4900</v>
      </c>
      <c r="C4949" s="81" t="s">
        <v>4621</v>
      </c>
      <c r="D4949" s="83" t="s">
        <v>4574</v>
      </c>
      <c r="E4949" s="81" t="s">
        <v>2700</v>
      </c>
      <c r="F4949" s="81">
        <v>522.0</v>
      </c>
      <c r="G4949" s="81" t="s">
        <v>2</v>
      </c>
      <c r="H4949" s="81" t="s">
        <v>224</v>
      </c>
      <c r="I4949" s="81" t="s">
        <v>1291</v>
      </c>
      <c r="J4949" s="81" t="s">
        <v>224</v>
      </c>
      <c r="K4949" s="81" t="str">
        <f>IFERROR(__xludf.DUMMYFUNCTION("IF(OR(D4949="""",G4949=""""),"""",IFERROR(LET(
campo,XLOOKUP(TRIM(G4949),ARRAYFORMULA(TRIM('indice columnas'!$A$2:$A$100)),'indice columnas'!$B$2:$B$100,""""),
col,IFERROR(MATCH(campo,Referencia!$A$1:$AZ$1,0),0),
fila,IFERROR(MATCH(TO_TEXT(D4949),ARRAYFOR"&amp;"MULA(TO_TEXT(Referencia!$A$2:$A6238)),0),0),
IF(OR(campo="""",campo=""-""),""NO APLICA"",
IF(col=0,""REVISAR EQUIVALENCIA"",
IF(fila=0,""SKU NO ENCONTRADO"",
LET(
valor,INDEX(Referencia!$A$2:$AZ6238,fila,col),
IF(TRIM(TO_TEXT(valor))=TRIM(TO_TEXT(I4949)),"&amp;"
""OK"",
""NO COINCIDE. Valor verdadero: ""&amp;IF(valor="""",""[VACÍO]"",TO_TEXT(valor))
)
))))
),""ERROR EN FÓRMULA""))"),"OK")</f>
        <v>OK</v>
      </c>
    </row>
    <row r="4950">
      <c r="A4950" s="83" t="s">
        <v>4899</v>
      </c>
      <c r="B4950" s="83" t="s">
        <v>4900</v>
      </c>
      <c r="C4950" s="81" t="s">
        <v>4621</v>
      </c>
      <c r="D4950" s="83" t="s">
        <v>4576</v>
      </c>
      <c r="E4950" s="81" t="s">
        <v>2713</v>
      </c>
      <c r="F4950" s="81">
        <v>525.0</v>
      </c>
      <c r="G4950" s="81" t="s">
        <v>3</v>
      </c>
      <c r="H4950" s="81" t="s">
        <v>224</v>
      </c>
      <c r="I4950" s="81" t="s">
        <v>1402</v>
      </c>
      <c r="J4950" s="81" t="s">
        <v>224</v>
      </c>
      <c r="K4950" s="81" t="str">
        <f>IFERROR(__xludf.DUMMYFUNCTION("IF(OR(D4950="""",G4950=""""),"""",IFERROR(LET(
campo,XLOOKUP(TRIM(G4950),ARRAYFORMULA(TRIM('indice columnas'!$A$2:$A$100)),'indice columnas'!$B$2:$B$100,""""),
col,IFERROR(MATCH(campo,Referencia!$A$1:$AZ$1,0),0),
fila,IFERROR(MATCH(TO_TEXT(D4950),ARRAYFOR"&amp;"MULA(TO_TEXT(Referencia!$A$2:$A6238)),0),0),
IF(OR(campo="""",campo=""-""),""NO APLICA"",
IF(col=0,""REVISAR EQUIVALENCIA"",
IF(fila=0,""SKU NO ENCONTRADO"",
LET(
valor,INDEX(Referencia!$A$2:$AZ6238,fila,col),
IF(TRIM(TO_TEXT(valor))=TRIM(TO_TEXT(I4950)),"&amp;"
""OK"",
""NO COINCIDE. Valor verdadero: ""&amp;IF(valor="""",""[VACÍO]"",TO_TEXT(valor))
)
))))
),""ERROR EN FÓRMULA""))"),"OK")</f>
        <v>OK</v>
      </c>
    </row>
    <row r="4951">
      <c r="A4951" s="83" t="s">
        <v>4899</v>
      </c>
      <c r="B4951" s="83" t="s">
        <v>4900</v>
      </c>
      <c r="C4951" s="81" t="s">
        <v>4621</v>
      </c>
      <c r="D4951" s="83" t="s">
        <v>4576</v>
      </c>
      <c r="E4951" s="81" t="s">
        <v>2713</v>
      </c>
      <c r="F4951" s="81">
        <v>525.0</v>
      </c>
      <c r="G4951" s="81" t="s">
        <v>2</v>
      </c>
      <c r="H4951" s="81" t="s">
        <v>224</v>
      </c>
      <c r="I4951" s="81" t="s">
        <v>1291</v>
      </c>
      <c r="J4951" s="81" t="s">
        <v>224</v>
      </c>
      <c r="K4951" s="81" t="str">
        <f>IFERROR(__xludf.DUMMYFUNCTION("IF(OR(D4951="""",G4951=""""),"""",IFERROR(LET(
campo,XLOOKUP(TRIM(G4951),ARRAYFORMULA(TRIM('indice columnas'!$A$2:$A$100)),'indice columnas'!$B$2:$B$100,""""),
col,IFERROR(MATCH(campo,Referencia!$A$1:$AZ$1,0),0),
fila,IFERROR(MATCH(TO_TEXT(D4951),ARRAYFOR"&amp;"MULA(TO_TEXT(Referencia!$A$2:$A6238)),0),0),
IF(OR(campo="""",campo=""-""),""NO APLICA"",
IF(col=0,""REVISAR EQUIVALENCIA"",
IF(fila=0,""SKU NO ENCONTRADO"",
LET(
valor,INDEX(Referencia!$A$2:$AZ6238,fila,col),
IF(TRIM(TO_TEXT(valor))=TRIM(TO_TEXT(I4951)),"&amp;"
""OK"",
""NO COINCIDE. Valor verdadero: ""&amp;IF(valor="""",""[VACÍO]"",TO_TEXT(valor))
)
))))
),""ERROR EN FÓRMULA""))"),"OK")</f>
        <v>OK</v>
      </c>
    </row>
    <row r="4952">
      <c r="A4952" s="83" t="s">
        <v>4899</v>
      </c>
      <c r="B4952" s="83" t="s">
        <v>4900</v>
      </c>
      <c r="C4952" s="81" t="s">
        <v>4621</v>
      </c>
      <c r="D4952" s="83" t="s">
        <v>4581</v>
      </c>
      <c r="E4952" s="81" t="s">
        <v>2737</v>
      </c>
      <c r="F4952" s="81">
        <v>530.0</v>
      </c>
      <c r="G4952" s="81" t="s">
        <v>3</v>
      </c>
      <c r="H4952" s="81" t="s">
        <v>224</v>
      </c>
      <c r="I4952" s="81" t="s">
        <v>926</v>
      </c>
      <c r="J4952" s="81" t="s">
        <v>224</v>
      </c>
      <c r="K4952" s="81" t="str">
        <f>IFERROR(__xludf.DUMMYFUNCTION("IF(OR(D4952="""",G4952=""""),"""",IFERROR(LET(
campo,XLOOKUP(TRIM(G4952),ARRAYFORMULA(TRIM('indice columnas'!$A$2:$A$100)),'indice columnas'!$B$2:$B$100,""""),
col,IFERROR(MATCH(campo,Referencia!$A$1:$AZ$1,0),0),
fila,IFERROR(MATCH(TO_TEXT(D4952),ARRAYFOR"&amp;"MULA(TO_TEXT(Referencia!$A$2:$A6238)),0),0),
IF(OR(campo="""",campo=""-""),""NO APLICA"",
IF(col=0,""REVISAR EQUIVALENCIA"",
IF(fila=0,""SKU NO ENCONTRADO"",
LET(
valor,INDEX(Referencia!$A$2:$AZ6238,fila,col),
IF(TRIM(TO_TEXT(valor))=TRIM(TO_TEXT(I4952)),"&amp;"
""OK"",
""NO COINCIDE. Valor verdadero: ""&amp;IF(valor="""",""[VACÍO]"",TO_TEXT(valor))
)
))))
),""ERROR EN FÓRMULA""))"),"OK")</f>
        <v>OK</v>
      </c>
    </row>
    <row r="4953">
      <c r="A4953" s="83" t="s">
        <v>4899</v>
      </c>
      <c r="B4953" s="83" t="s">
        <v>4900</v>
      </c>
      <c r="C4953" s="81" t="s">
        <v>4621</v>
      </c>
      <c r="D4953" s="83" t="s">
        <v>4581</v>
      </c>
      <c r="E4953" s="81" t="s">
        <v>2737</v>
      </c>
      <c r="F4953" s="81">
        <v>530.0</v>
      </c>
      <c r="G4953" s="81" t="s">
        <v>2</v>
      </c>
      <c r="H4953" s="81" t="s">
        <v>224</v>
      </c>
      <c r="I4953" s="81" t="s">
        <v>1291</v>
      </c>
      <c r="J4953" s="81" t="s">
        <v>224</v>
      </c>
      <c r="K4953" s="81" t="str">
        <f>IFERROR(__xludf.DUMMYFUNCTION("IF(OR(D4953="""",G4953=""""),"""",IFERROR(LET(
campo,XLOOKUP(TRIM(G4953),ARRAYFORMULA(TRIM('indice columnas'!$A$2:$A$100)),'indice columnas'!$B$2:$B$100,""""),
col,IFERROR(MATCH(campo,Referencia!$A$1:$AZ$1,0),0),
fila,IFERROR(MATCH(TO_TEXT(D4953),ARRAYFOR"&amp;"MULA(TO_TEXT(Referencia!$A$2:$A6238)),0),0),
IF(OR(campo="""",campo=""-""),""NO APLICA"",
IF(col=0,""REVISAR EQUIVALENCIA"",
IF(fila=0,""SKU NO ENCONTRADO"",
LET(
valor,INDEX(Referencia!$A$2:$AZ6238,fila,col),
IF(TRIM(TO_TEXT(valor))=TRIM(TO_TEXT(I4953)),"&amp;"
""OK"",
""NO COINCIDE. Valor verdadero: ""&amp;IF(valor="""",""[VACÍO]"",TO_TEXT(valor))
)
))))
),""ERROR EN FÓRMULA""))"),"OK")</f>
        <v>OK</v>
      </c>
    </row>
    <row r="4954">
      <c r="A4954" s="83" t="s">
        <v>4899</v>
      </c>
      <c r="B4954" s="83" t="s">
        <v>4900</v>
      </c>
      <c r="C4954" s="81" t="s">
        <v>4621</v>
      </c>
      <c r="D4954" s="83" t="s">
        <v>4584</v>
      </c>
      <c r="E4954" s="81" t="s">
        <v>2749</v>
      </c>
      <c r="F4954" s="81">
        <v>533.0</v>
      </c>
      <c r="G4954" s="81" t="s">
        <v>3</v>
      </c>
      <c r="H4954" s="81" t="s">
        <v>224</v>
      </c>
      <c r="I4954" s="81" t="s">
        <v>926</v>
      </c>
      <c r="J4954" s="81" t="s">
        <v>224</v>
      </c>
      <c r="K4954" s="81" t="str">
        <f>IFERROR(__xludf.DUMMYFUNCTION("IF(OR(D4954="""",G4954=""""),"""",IFERROR(LET(
campo,XLOOKUP(TRIM(G4954),ARRAYFORMULA(TRIM('indice columnas'!$A$2:$A$100)),'indice columnas'!$B$2:$B$100,""""),
col,IFERROR(MATCH(campo,Referencia!$A$1:$AZ$1,0),0),
fila,IFERROR(MATCH(TO_TEXT(D4954),ARRAYFOR"&amp;"MULA(TO_TEXT(Referencia!$A$2:$A6238)),0),0),
IF(OR(campo="""",campo=""-""),""NO APLICA"",
IF(col=0,""REVISAR EQUIVALENCIA"",
IF(fila=0,""SKU NO ENCONTRADO"",
LET(
valor,INDEX(Referencia!$A$2:$AZ6238,fila,col),
IF(TRIM(TO_TEXT(valor))=TRIM(TO_TEXT(I4954)),"&amp;"
""OK"",
""NO COINCIDE. Valor verdadero: ""&amp;IF(valor="""",""[VACÍO]"",TO_TEXT(valor))
)
))))
),""ERROR EN FÓRMULA""))"),"OK")</f>
        <v>OK</v>
      </c>
    </row>
    <row r="4955">
      <c r="A4955" s="83" t="s">
        <v>4899</v>
      </c>
      <c r="B4955" s="83" t="s">
        <v>4900</v>
      </c>
      <c r="C4955" s="81" t="s">
        <v>4621</v>
      </c>
      <c r="D4955" s="83" t="s">
        <v>4584</v>
      </c>
      <c r="E4955" s="81" t="s">
        <v>2749</v>
      </c>
      <c r="F4955" s="81">
        <v>533.0</v>
      </c>
      <c r="G4955" s="81" t="s">
        <v>2</v>
      </c>
      <c r="H4955" s="81" t="s">
        <v>224</v>
      </c>
      <c r="I4955" s="81" t="s">
        <v>1291</v>
      </c>
      <c r="J4955" s="81" t="s">
        <v>224</v>
      </c>
      <c r="K4955" s="81" t="str">
        <f>IFERROR(__xludf.DUMMYFUNCTION("IF(OR(D4955="""",G4955=""""),"""",IFERROR(LET(
campo,XLOOKUP(TRIM(G4955),ARRAYFORMULA(TRIM('indice columnas'!$A$2:$A$100)),'indice columnas'!$B$2:$B$100,""""),
col,IFERROR(MATCH(campo,Referencia!$A$1:$AZ$1,0),0),
fila,IFERROR(MATCH(TO_TEXT(D4955),ARRAYFOR"&amp;"MULA(TO_TEXT(Referencia!$A$2:$A6238)),0),0),
IF(OR(campo="""",campo=""-""),""NO APLICA"",
IF(col=0,""REVISAR EQUIVALENCIA"",
IF(fila=0,""SKU NO ENCONTRADO"",
LET(
valor,INDEX(Referencia!$A$2:$AZ6238,fila,col),
IF(TRIM(TO_TEXT(valor))=TRIM(TO_TEXT(I4955)),"&amp;"
""OK"",
""NO COINCIDE. Valor verdadero: ""&amp;IF(valor="""",""[VACÍO]"",TO_TEXT(valor))
)
))))
),""ERROR EN FÓRMULA""))"),"OK")</f>
        <v>OK</v>
      </c>
    </row>
    <row r="4956">
      <c r="A4956" s="83" t="s">
        <v>4899</v>
      </c>
      <c r="B4956" s="83" t="s">
        <v>4900</v>
      </c>
      <c r="C4956" s="81" t="s">
        <v>4621</v>
      </c>
      <c r="D4956" s="83" t="s">
        <v>4586</v>
      </c>
      <c r="E4956" s="81" t="s">
        <v>2763</v>
      </c>
      <c r="F4956" s="81">
        <v>536.0</v>
      </c>
      <c r="G4956" s="81" t="s">
        <v>3</v>
      </c>
      <c r="H4956" s="81" t="s">
        <v>224</v>
      </c>
      <c r="I4956" s="81" t="s">
        <v>926</v>
      </c>
      <c r="J4956" s="81" t="s">
        <v>224</v>
      </c>
      <c r="K4956" s="81" t="str">
        <f>IFERROR(__xludf.DUMMYFUNCTION("IF(OR(D4956="""",G4956=""""),"""",IFERROR(LET(
campo,XLOOKUP(TRIM(G4956),ARRAYFORMULA(TRIM('indice columnas'!$A$2:$A$100)),'indice columnas'!$B$2:$B$100,""""),
col,IFERROR(MATCH(campo,Referencia!$A$1:$AZ$1,0),0),
fila,IFERROR(MATCH(TO_TEXT(D4956),ARRAYFOR"&amp;"MULA(TO_TEXT(Referencia!$A$2:$A6238)),0),0),
IF(OR(campo="""",campo=""-""),""NO APLICA"",
IF(col=0,""REVISAR EQUIVALENCIA"",
IF(fila=0,""SKU NO ENCONTRADO"",
LET(
valor,INDEX(Referencia!$A$2:$AZ6238,fila,col),
IF(TRIM(TO_TEXT(valor))=TRIM(TO_TEXT(I4956)),"&amp;"
""OK"",
""NO COINCIDE. Valor verdadero: ""&amp;IF(valor="""",""[VACÍO]"",TO_TEXT(valor))
)
))))
),""ERROR EN FÓRMULA""))"),"OK")</f>
        <v>OK</v>
      </c>
    </row>
    <row r="4957">
      <c r="A4957" s="83" t="s">
        <v>4899</v>
      </c>
      <c r="B4957" s="83" t="s">
        <v>4900</v>
      </c>
      <c r="C4957" s="81" t="s">
        <v>4621</v>
      </c>
      <c r="D4957" s="83" t="s">
        <v>4586</v>
      </c>
      <c r="E4957" s="81" t="s">
        <v>2763</v>
      </c>
      <c r="F4957" s="81">
        <v>536.0</v>
      </c>
      <c r="G4957" s="81" t="s">
        <v>2</v>
      </c>
      <c r="H4957" s="81" t="s">
        <v>224</v>
      </c>
      <c r="I4957" s="81" t="s">
        <v>1291</v>
      </c>
      <c r="J4957" s="81" t="s">
        <v>224</v>
      </c>
      <c r="K4957" s="81" t="str">
        <f>IFERROR(__xludf.DUMMYFUNCTION("IF(OR(D4957="""",G4957=""""),"""",IFERROR(LET(
campo,XLOOKUP(TRIM(G4957),ARRAYFORMULA(TRIM('indice columnas'!$A$2:$A$100)),'indice columnas'!$B$2:$B$100,""""),
col,IFERROR(MATCH(campo,Referencia!$A$1:$AZ$1,0),0),
fila,IFERROR(MATCH(TO_TEXT(D4957),ARRAYFOR"&amp;"MULA(TO_TEXT(Referencia!$A$2:$A6238)),0),0),
IF(OR(campo="""",campo=""-""),""NO APLICA"",
IF(col=0,""REVISAR EQUIVALENCIA"",
IF(fila=0,""SKU NO ENCONTRADO"",
LET(
valor,INDEX(Referencia!$A$2:$AZ6238,fila,col),
IF(TRIM(TO_TEXT(valor))=TRIM(TO_TEXT(I4957)),"&amp;"
""OK"",
""NO COINCIDE. Valor verdadero: ""&amp;IF(valor="""",""[VACÍO]"",TO_TEXT(valor))
)
))))
),""ERROR EN FÓRMULA""))"),"OK")</f>
        <v>OK</v>
      </c>
    </row>
    <row r="4958">
      <c r="A4958" s="83" t="s">
        <v>4899</v>
      </c>
      <c r="B4958" s="83" t="s">
        <v>4900</v>
      </c>
      <c r="C4958" s="81" t="s">
        <v>4621</v>
      </c>
      <c r="D4958" s="83" t="s">
        <v>4588</v>
      </c>
      <c r="E4958" s="81" t="s">
        <v>2779</v>
      </c>
      <c r="F4958" s="81">
        <v>539.0</v>
      </c>
      <c r="G4958" s="81" t="s">
        <v>3</v>
      </c>
      <c r="H4958" s="81" t="s">
        <v>224</v>
      </c>
      <c r="I4958" s="81" t="s">
        <v>51</v>
      </c>
      <c r="J4958" s="81" t="s">
        <v>224</v>
      </c>
      <c r="K4958" s="81" t="str">
        <f>IFERROR(__xludf.DUMMYFUNCTION("IF(OR(D4958="""",G4958=""""),"""",IFERROR(LET(
campo,XLOOKUP(TRIM(G4958),ARRAYFORMULA(TRIM('indice columnas'!$A$2:$A$100)),'indice columnas'!$B$2:$B$100,""""),
col,IFERROR(MATCH(campo,Referencia!$A$1:$AZ$1,0),0),
fila,IFERROR(MATCH(TO_TEXT(D4958),ARRAYFOR"&amp;"MULA(TO_TEXT(Referencia!$A$2:$A6238)),0),0),
IF(OR(campo="""",campo=""-""),""NO APLICA"",
IF(col=0,""REVISAR EQUIVALENCIA"",
IF(fila=0,""SKU NO ENCONTRADO"",
LET(
valor,INDEX(Referencia!$A$2:$AZ6238,fila,col),
IF(TRIM(TO_TEXT(valor))=TRIM(TO_TEXT(I4958)),"&amp;"
""OK"",
""NO COINCIDE. Valor verdadero: ""&amp;IF(valor="""",""[VACÍO]"",TO_TEXT(valor))
)
))))
),""ERROR EN FÓRMULA""))"),"OK")</f>
        <v>OK</v>
      </c>
    </row>
    <row r="4959">
      <c r="A4959" s="83" t="s">
        <v>4899</v>
      </c>
      <c r="B4959" s="83" t="s">
        <v>4900</v>
      </c>
      <c r="C4959" s="81" t="s">
        <v>4621</v>
      </c>
      <c r="D4959" s="83" t="s">
        <v>4588</v>
      </c>
      <c r="E4959" s="81" t="s">
        <v>2779</v>
      </c>
      <c r="F4959" s="81">
        <v>539.0</v>
      </c>
      <c r="G4959" s="81" t="s">
        <v>2</v>
      </c>
      <c r="H4959" s="81" t="s">
        <v>224</v>
      </c>
      <c r="I4959" s="81" t="s">
        <v>213</v>
      </c>
      <c r="J4959" s="81" t="s">
        <v>224</v>
      </c>
      <c r="K4959" s="81" t="str">
        <f>IFERROR(__xludf.DUMMYFUNCTION("IF(OR(D4959="""",G4959=""""),"""",IFERROR(LET(
campo,XLOOKUP(TRIM(G4959),ARRAYFORMULA(TRIM('indice columnas'!$A$2:$A$100)),'indice columnas'!$B$2:$B$100,""""),
col,IFERROR(MATCH(campo,Referencia!$A$1:$AZ$1,0),0),
fila,IFERROR(MATCH(TO_TEXT(D4959),ARRAYFOR"&amp;"MULA(TO_TEXT(Referencia!$A$2:$A6238)),0),0),
IF(OR(campo="""",campo=""-""),""NO APLICA"",
IF(col=0,""REVISAR EQUIVALENCIA"",
IF(fila=0,""SKU NO ENCONTRADO"",
LET(
valor,INDEX(Referencia!$A$2:$AZ6238,fila,col),
IF(TRIM(TO_TEXT(valor))=TRIM(TO_TEXT(I4959)),"&amp;"
""OK"",
""NO COINCIDE. Valor verdadero: ""&amp;IF(valor="""",""[VACÍO]"",TO_TEXT(valor))
)
))))
),""ERROR EN FÓRMULA""))"),"OK")</f>
        <v>OK</v>
      </c>
    </row>
    <row r="4960">
      <c r="A4960" s="83" t="s">
        <v>4899</v>
      </c>
      <c r="B4960" s="83" t="s">
        <v>4900</v>
      </c>
      <c r="C4960" s="81" t="s">
        <v>4621</v>
      </c>
      <c r="D4960" s="83" t="s">
        <v>4588</v>
      </c>
      <c r="E4960" s="81" t="s">
        <v>2779</v>
      </c>
      <c r="F4960" s="81">
        <v>539.0</v>
      </c>
      <c r="G4960" s="81" t="s">
        <v>1</v>
      </c>
      <c r="H4960" s="81" t="s">
        <v>224</v>
      </c>
      <c r="I4960" s="81" t="s">
        <v>49</v>
      </c>
      <c r="J4960" s="81" t="s">
        <v>224</v>
      </c>
      <c r="K4960" s="81" t="str">
        <f>IFERROR(__xludf.DUMMYFUNCTION("IF(OR(D4960="""",G4960=""""),"""",IFERROR(LET(
campo,XLOOKUP(TRIM(G4960),ARRAYFORMULA(TRIM('indice columnas'!$A$2:$A$100)),'indice columnas'!$B$2:$B$100,""""),
col,IFERROR(MATCH(campo,Referencia!$A$1:$AZ$1,0),0),
fila,IFERROR(MATCH(TO_TEXT(D4960),ARRAYFOR"&amp;"MULA(TO_TEXT(Referencia!$A$2:$A6238)),0),0),
IF(OR(campo="""",campo=""-""),""NO APLICA"",
IF(col=0,""REVISAR EQUIVALENCIA"",
IF(fila=0,""SKU NO ENCONTRADO"",
LET(
valor,INDEX(Referencia!$A$2:$AZ6238,fila,col),
IF(TRIM(TO_TEXT(valor))=TRIM(TO_TEXT(I4960)),"&amp;"
""OK"",
""NO COINCIDE. Valor verdadero: ""&amp;IF(valor="""",""[VACÍO]"",TO_TEXT(valor))
)
))))
),""ERROR EN FÓRMULA""))"),"OK")</f>
        <v>OK</v>
      </c>
    </row>
    <row r="4961">
      <c r="A4961" s="83" t="s">
        <v>4899</v>
      </c>
      <c r="B4961" s="83" t="s">
        <v>4900</v>
      </c>
      <c r="C4961" s="81" t="s">
        <v>4621</v>
      </c>
      <c r="D4961" s="83" t="s">
        <v>4589</v>
      </c>
      <c r="E4961" s="81" t="s">
        <v>2782</v>
      </c>
      <c r="F4961" s="81">
        <v>540.0</v>
      </c>
      <c r="G4961" s="81" t="s">
        <v>3</v>
      </c>
      <c r="H4961" s="81" t="s">
        <v>224</v>
      </c>
      <c r="I4961" s="81" t="s">
        <v>51</v>
      </c>
      <c r="J4961" s="81" t="s">
        <v>224</v>
      </c>
      <c r="K4961" s="81" t="str">
        <f>IFERROR(__xludf.DUMMYFUNCTION("IF(OR(D4961="""",G4961=""""),"""",IFERROR(LET(
campo,XLOOKUP(TRIM(G4961),ARRAYFORMULA(TRIM('indice columnas'!$A$2:$A$100)),'indice columnas'!$B$2:$B$100,""""),
col,IFERROR(MATCH(campo,Referencia!$A$1:$AZ$1,0),0),
fila,IFERROR(MATCH(TO_TEXT(D4961),ARRAYFOR"&amp;"MULA(TO_TEXT(Referencia!$A$2:$A6238)),0),0),
IF(OR(campo="""",campo=""-""),""NO APLICA"",
IF(col=0,""REVISAR EQUIVALENCIA"",
IF(fila=0,""SKU NO ENCONTRADO"",
LET(
valor,INDEX(Referencia!$A$2:$AZ6238,fila,col),
IF(TRIM(TO_TEXT(valor))=TRIM(TO_TEXT(I4961)),"&amp;"
""OK"",
""NO COINCIDE. Valor verdadero: ""&amp;IF(valor="""",""[VACÍO]"",TO_TEXT(valor))
)
))))
),""ERROR EN FÓRMULA""))"),"OK")</f>
        <v>OK</v>
      </c>
    </row>
    <row r="4962">
      <c r="A4962" s="83" t="s">
        <v>4899</v>
      </c>
      <c r="B4962" s="83" t="s">
        <v>4900</v>
      </c>
      <c r="C4962" s="81" t="s">
        <v>4621</v>
      </c>
      <c r="D4962" s="83" t="s">
        <v>4589</v>
      </c>
      <c r="E4962" s="81" t="s">
        <v>2782</v>
      </c>
      <c r="F4962" s="81">
        <v>540.0</v>
      </c>
      <c r="G4962" s="81" t="s">
        <v>2</v>
      </c>
      <c r="H4962" s="81" t="s">
        <v>224</v>
      </c>
      <c r="I4962" s="81" t="s">
        <v>213</v>
      </c>
      <c r="J4962" s="81" t="s">
        <v>224</v>
      </c>
      <c r="K4962" s="81" t="str">
        <f>IFERROR(__xludf.DUMMYFUNCTION("IF(OR(D4962="""",G4962=""""),"""",IFERROR(LET(
campo,XLOOKUP(TRIM(G4962),ARRAYFORMULA(TRIM('indice columnas'!$A$2:$A$100)),'indice columnas'!$B$2:$B$100,""""),
col,IFERROR(MATCH(campo,Referencia!$A$1:$AZ$1,0),0),
fila,IFERROR(MATCH(TO_TEXT(D4962),ARRAYFOR"&amp;"MULA(TO_TEXT(Referencia!$A$2:$A6238)),0),0),
IF(OR(campo="""",campo=""-""),""NO APLICA"",
IF(col=0,""REVISAR EQUIVALENCIA"",
IF(fila=0,""SKU NO ENCONTRADO"",
LET(
valor,INDEX(Referencia!$A$2:$AZ6238,fila,col),
IF(TRIM(TO_TEXT(valor))=TRIM(TO_TEXT(I4962)),"&amp;"
""OK"",
""NO COINCIDE. Valor verdadero: ""&amp;IF(valor="""",""[VACÍO]"",TO_TEXT(valor))
)
))))
),""ERROR EN FÓRMULA""))"),"OK")</f>
        <v>OK</v>
      </c>
    </row>
    <row r="4963">
      <c r="A4963" s="83" t="s">
        <v>4899</v>
      </c>
      <c r="B4963" s="83" t="s">
        <v>4900</v>
      </c>
      <c r="C4963" s="81" t="s">
        <v>4621</v>
      </c>
      <c r="D4963" s="83" t="s">
        <v>4589</v>
      </c>
      <c r="E4963" s="81" t="s">
        <v>2782</v>
      </c>
      <c r="F4963" s="81">
        <v>540.0</v>
      </c>
      <c r="G4963" s="81" t="s">
        <v>1</v>
      </c>
      <c r="H4963" s="81" t="s">
        <v>224</v>
      </c>
      <c r="I4963" s="81" t="s">
        <v>49</v>
      </c>
      <c r="J4963" s="81" t="s">
        <v>224</v>
      </c>
      <c r="K4963" s="81" t="str">
        <f>IFERROR(__xludf.DUMMYFUNCTION("IF(OR(D4963="""",G4963=""""),"""",IFERROR(LET(
campo,XLOOKUP(TRIM(G4963),ARRAYFORMULA(TRIM('indice columnas'!$A$2:$A$100)),'indice columnas'!$B$2:$B$100,""""),
col,IFERROR(MATCH(campo,Referencia!$A$1:$AZ$1,0),0),
fila,IFERROR(MATCH(TO_TEXT(D4963),ARRAYFOR"&amp;"MULA(TO_TEXT(Referencia!$A$2:$A6238)),0),0),
IF(OR(campo="""",campo=""-""),""NO APLICA"",
IF(col=0,""REVISAR EQUIVALENCIA"",
IF(fila=0,""SKU NO ENCONTRADO"",
LET(
valor,INDEX(Referencia!$A$2:$AZ6238,fila,col),
IF(TRIM(TO_TEXT(valor))=TRIM(TO_TEXT(I4963)),"&amp;"
""OK"",
""NO COINCIDE. Valor verdadero: ""&amp;IF(valor="""",""[VACÍO]"",TO_TEXT(valor))
)
))))
),""ERROR EN FÓRMULA""))"),"OK")</f>
        <v>OK</v>
      </c>
    </row>
    <row r="4964">
      <c r="A4964" s="83" t="s">
        <v>4899</v>
      </c>
      <c r="B4964" s="83" t="s">
        <v>4900</v>
      </c>
      <c r="C4964" s="81" t="s">
        <v>4621</v>
      </c>
      <c r="D4964" s="83" t="s">
        <v>4590</v>
      </c>
      <c r="E4964" s="81" t="s">
        <v>2792</v>
      </c>
      <c r="F4964" s="81">
        <v>541.0</v>
      </c>
      <c r="G4964" s="81" t="s">
        <v>3</v>
      </c>
      <c r="H4964" s="81" t="s">
        <v>224</v>
      </c>
      <c r="I4964" s="81" t="s">
        <v>51</v>
      </c>
      <c r="J4964" s="81" t="s">
        <v>224</v>
      </c>
      <c r="K4964" s="81" t="str">
        <f>IFERROR(__xludf.DUMMYFUNCTION("IF(OR(D4964="""",G4964=""""),"""",IFERROR(LET(
campo,XLOOKUP(TRIM(G4964),ARRAYFORMULA(TRIM('indice columnas'!$A$2:$A$100)),'indice columnas'!$B$2:$B$100,""""),
col,IFERROR(MATCH(campo,Referencia!$A$1:$AZ$1,0),0),
fila,IFERROR(MATCH(TO_TEXT(D4964),ARRAYFOR"&amp;"MULA(TO_TEXT(Referencia!$A$2:$A6238)),0),0),
IF(OR(campo="""",campo=""-""),""NO APLICA"",
IF(col=0,""REVISAR EQUIVALENCIA"",
IF(fila=0,""SKU NO ENCONTRADO"",
LET(
valor,INDEX(Referencia!$A$2:$AZ6238,fila,col),
IF(TRIM(TO_TEXT(valor))=TRIM(TO_TEXT(I4964)),"&amp;"
""OK"",
""NO COINCIDE. Valor verdadero: ""&amp;IF(valor="""",""[VACÍO]"",TO_TEXT(valor))
)
))))
),""ERROR EN FÓRMULA""))"),"OK")</f>
        <v>OK</v>
      </c>
    </row>
    <row r="4965">
      <c r="A4965" s="83" t="s">
        <v>4899</v>
      </c>
      <c r="B4965" s="83" t="s">
        <v>4900</v>
      </c>
      <c r="C4965" s="81" t="s">
        <v>4621</v>
      </c>
      <c r="D4965" s="83" t="s">
        <v>4590</v>
      </c>
      <c r="E4965" s="81" t="s">
        <v>2792</v>
      </c>
      <c r="F4965" s="81">
        <v>541.0</v>
      </c>
      <c r="G4965" s="81" t="s">
        <v>2</v>
      </c>
      <c r="H4965" s="81" t="s">
        <v>224</v>
      </c>
      <c r="I4965" s="81" t="s">
        <v>213</v>
      </c>
      <c r="J4965" s="81" t="s">
        <v>224</v>
      </c>
      <c r="K4965" s="81" t="str">
        <f>IFERROR(__xludf.DUMMYFUNCTION("IF(OR(D4965="""",G4965=""""),"""",IFERROR(LET(
campo,XLOOKUP(TRIM(G4965),ARRAYFORMULA(TRIM('indice columnas'!$A$2:$A$100)),'indice columnas'!$B$2:$B$100,""""),
col,IFERROR(MATCH(campo,Referencia!$A$1:$AZ$1,0),0),
fila,IFERROR(MATCH(TO_TEXT(D4965),ARRAYFOR"&amp;"MULA(TO_TEXT(Referencia!$A$2:$A6238)),0),0),
IF(OR(campo="""",campo=""-""),""NO APLICA"",
IF(col=0,""REVISAR EQUIVALENCIA"",
IF(fila=0,""SKU NO ENCONTRADO"",
LET(
valor,INDEX(Referencia!$A$2:$AZ6238,fila,col),
IF(TRIM(TO_TEXT(valor))=TRIM(TO_TEXT(I4965)),"&amp;"
""OK"",
""NO COINCIDE. Valor verdadero: ""&amp;IF(valor="""",""[VACÍO]"",TO_TEXT(valor))
)
))))
),""ERROR EN FÓRMULA""))"),"OK")</f>
        <v>OK</v>
      </c>
    </row>
    <row r="4966">
      <c r="A4966" s="83" t="s">
        <v>4899</v>
      </c>
      <c r="B4966" s="83" t="s">
        <v>4900</v>
      </c>
      <c r="C4966" s="81" t="s">
        <v>4621</v>
      </c>
      <c r="D4966" s="83" t="s">
        <v>4590</v>
      </c>
      <c r="E4966" s="81" t="s">
        <v>2792</v>
      </c>
      <c r="F4966" s="81">
        <v>541.0</v>
      </c>
      <c r="G4966" s="81" t="s">
        <v>1</v>
      </c>
      <c r="H4966" s="81" t="s">
        <v>224</v>
      </c>
      <c r="I4966" s="81" t="s">
        <v>49</v>
      </c>
      <c r="J4966" s="81" t="s">
        <v>224</v>
      </c>
      <c r="K4966" s="81" t="str">
        <f>IFERROR(__xludf.DUMMYFUNCTION("IF(OR(D4966="""",G4966=""""),"""",IFERROR(LET(
campo,XLOOKUP(TRIM(G4966),ARRAYFORMULA(TRIM('indice columnas'!$A$2:$A$100)),'indice columnas'!$B$2:$B$100,""""),
col,IFERROR(MATCH(campo,Referencia!$A$1:$AZ$1,0),0),
fila,IFERROR(MATCH(TO_TEXT(D4966),ARRAYFOR"&amp;"MULA(TO_TEXT(Referencia!$A$2:$A6238)),0),0),
IF(OR(campo="""",campo=""-""),""NO APLICA"",
IF(col=0,""REVISAR EQUIVALENCIA"",
IF(fila=0,""SKU NO ENCONTRADO"",
LET(
valor,INDEX(Referencia!$A$2:$AZ6238,fila,col),
IF(TRIM(TO_TEXT(valor))=TRIM(TO_TEXT(I4966)),"&amp;"
""OK"",
""NO COINCIDE. Valor verdadero: ""&amp;IF(valor="""",""[VACÍO]"",TO_TEXT(valor))
)
))))
),""ERROR EN FÓRMULA""))"),"OK")</f>
        <v>OK</v>
      </c>
    </row>
    <row r="4967">
      <c r="A4967" s="83" t="s">
        <v>4899</v>
      </c>
      <c r="B4967" s="83" t="s">
        <v>4900</v>
      </c>
      <c r="C4967" s="81" t="s">
        <v>4621</v>
      </c>
      <c r="D4967" s="83" t="s">
        <v>4591</v>
      </c>
      <c r="E4967" s="81" t="s">
        <v>2795</v>
      </c>
      <c r="F4967" s="81">
        <v>542.0</v>
      </c>
      <c r="G4967" s="81" t="s">
        <v>3</v>
      </c>
      <c r="H4967" s="81" t="s">
        <v>224</v>
      </c>
      <c r="I4967" s="81" t="s">
        <v>51</v>
      </c>
      <c r="J4967" s="81" t="s">
        <v>224</v>
      </c>
      <c r="K4967" s="81" t="str">
        <f>IFERROR(__xludf.DUMMYFUNCTION("IF(OR(D4967="""",G4967=""""),"""",IFERROR(LET(
campo,XLOOKUP(TRIM(G4967),ARRAYFORMULA(TRIM('indice columnas'!$A$2:$A$100)),'indice columnas'!$B$2:$B$100,""""),
col,IFERROR(MATCH(campo,Referencia!$A$1:$AZ$1,0),0),
fila,IFERROR(MATCH(TO_TEXT(D4967),ARRAYFOR"&amp;"MULA(TO_TEXT(Referencia!$A$2:$A6238)),0),0),
IF(OR(campo="""",campo=""-""),""NO APLICA"",
IF(col=0,""REVISAR EQUIVALENCIA"",
IF(fila=0,""SKU NO ENCONTRADO"",
LET(
valor,INDEX(Referencia!$A$2:$AZ6238,fila,col),
IF(TRIM(TO_TEXT(valor))=TRIM(TO_TEXT(I4967)),"&amp;"
""OK"",
""NO COINCIDE. Valor verdadero: ""&amp;IF(valor="""",""[VACÍO]"",TO_TEXT(valor))
)
))))
),""ERROR EN FÓRMULA""))"),"OK")</f>
        <v>OK</v>
      </c>
    </row>
    <row r="4968">
      <c r="A4968" s="83" t="s">
        <v>4899</v>
      </c>
      <c r="B4968" s="83" t="s">
        <v>4900</v>
      </c>
      <c r="C4968" s="81" t="s">
        <v>4621</v>
      </c>
      <c r="D4968" s="83" t="s">
        <v>4591</v>
      </c>
      <c r="E4968" s="81" t="s">
        <v>2795</v>
      </c>
      <c r="F4968" s="81">
        <v>542.0</v>
      </c>
      <c r="G4968" s="81" t="s">
        <v>2</v>
      </c>
      <c r="H4968" s="81" t="s">
        <v>224</v>
      </c>
      <c r="I4968" s="81" t="s">
        <v>213</v>
      </c>
      <c r="J4968" s="81" t="s">
        <v>224</v>
      </c>
      <c r="K4968" s="81" t="str">
        <f>IFERROR(__xludf.DUMMYFUNCTION("IF(OR(D4968="""",G4968=""""),"""",IFERROR(LET(
campo,XLOOKUP(TRIM(G4968),ARRAYFORMULA(TRIM('indice columnas'!$A$2:$A$100)),'indice columnas'!$B$2:$B$100,""""),
col,IFERROR(MATCH(campo,Referencia!$A$1:$AZ$1,0),0),
fila,IFERROR(MATCH(TO_TEXT(D4968),ARRAYFOR"&amp;"MULA(TO_TEXT(Referencia!$A$2:$A6238)),0),0),
IF(OR(campo="""",campo=""-""),""NO APLICA"",
IF(col=0,""REVISAR EQUIVALENCIA"",
IF(fila=0,""SKU NO ENCONTRADO"",
LET(
valor,INDEX(Referencia!$A$2:$AZ6238,fila,col),
IF(TRIM(TO_TEXT(valor))=TRIM(TO_TEXT(I4968)),"&amp;"
""OK"",
""NO COINCIDE. Valor verdadero: ""&amp;IF(valor="""",""[VACÍO]"",TO_TEXT(valor))
)
))))
),""ERROR EN FÓRMULA""))"),"OK")</f>
        <v>OK</v>
      </c>
    </row>
    <row r="4969">
      <c r="A4969" s="83" t="s">
        <v>4899</v>
      </c>
      <c r="B4969" s="83" t="s">
        <v>4900</v>
      </c>
      <c r="C4969" s="81" t="s">
        <v>4621</v>
      </c>
      <c r="D4969" s="83" t="s">
        <v>4591</v>
      </c>
      <c r="E4969" s="81" t="s">
        <v>2795</v>
      </c>
      <c r="F4969" s="81">
        <v>542.0</v>
      </c>
      <c r="G4969" s="81" t="s">
        <v>1</v>
      </c>
      <c r="H4969" s="81" t="s">
        <v>224</v>
      </c>
      <c r="I4969" s="81" t="s">
        <v>49</v>
      </c>
      <c r="J4969" s="81" t="s">
        <v>224</v>
      </c>
      <c r="K4969" s="81" t="str">
        <f>IFERROR(__xludf.DUMMYFUNCTION("IF(OR(D4969="""",G4969=""""),"""",IFERROR(LET(
campo,XLOOKUP(TRIM(G4969),ARRAYFORMULA(TRIM('indice columnas'!$A$2:$A$100)),'indice columnas'!$B$2:$B$100,""""),
col,IFERROR(MATCH(campo,Referencia!$A$1:$AZ$1,0),0),
fila,IFERROR(MATCH(TO_TEXT(D4969),ARRAYFOR"&amp;"MULA(TO_TEXT(Referencia!$A$2:$A6238)),0),0),
IF(OR(campo="""",campo=""-""),""NO APLICA"",
IF(col=0,""REVISAR EQUIVALENCIA"",
IF(fila=0,""SKU NO ENCONTRADO"",
LET(
valor,INDEX(Referencia!$A$2:$AZ6238,fila,col),
IF(TRIM(TO_TEXT(valor))=TRIM(TO_TEXT(I4969)),"&amp;"
""OK"",
""NO COINCIDE. Valor verdadero: ""&amp;IF(valor="""",""[VACÍO]"",TO_TEXT(valor))
)
))))
),""ERROR EN FÓRMULA""))"),"OK")</f>
        <v>OK</v>
      </c>
    </row>
    <row r="4970">
      <c r="A4970" s="83" t="s">
        <v>4899</v>
      </c>
      <c r="B4970" s="83" t="s">
        <v>4900</v>
      </c>
      <c r="C4970" s="81" t="s">
        <v>4621</v>
      </c>
      <c r="D4970" s="83" t="s">
        <v>4593</v>
      </c>
      <c r="E4970" s="81" t="s">
        <v>2805</v>
      </c>
      <c r="F4970" s="81">
        <v>543.0</v>
      </c>
      <c r="G4970" s="81" t="s">
        <v>3</v>
      </c>
      <c r="H4970" s="81" t="s">
        <v>224</v>
      </c>
      <c r="I4970" s="81" t="s">
        <v>51</v>
      </c>
      <c r="J4970" s="81" t="s">
        <v>224</v>
      </c>
      <c r="K4970" s="81" t="str">
        <f>IFERROR(__xludf.DUMMYFUNCTION("IF(OR(D4970="""",G4970=""""),"""",IFERROR(LET(
campo,XLOOKUP(TRIM(G4970),ARRAYFORMULA(TRIM('indice columnas'!$A$2:$A$100)),'indice columnas'!$B$2:$B$100,""""),
col,IFERROR(MATCH(campo,Referencia!$A$1:$AZ$1,0),0),
fila,IFERROR(MATCH(TO_TEXT(D4970),ARRAYFOR"&amp;"MULA(TO_TEXT(Referencia!$A$2:$A6238)),0),0),
IF(OR(campo="""",campo=""-""),""NO APLICA"",
IF(col=0,""REVISAR EQUIVALENCIA"",
IF(fila=0,""SKU NO ENCONTRADO"",
LET(
valor,INDEX(Referencia!$A$2:$AZ6238,fila,col),
IF(TRIM(TO_TEXT(valor))=TRIM(TO_TEXT(I4970)),"&amp;"
""OK"",
""NO COINCIDE. Valor verdadero: ""&amp;IF(valor="""",""[VACÍO]"",TO_TEXT(valor))
)
))))
),""ERROR EN FÓRMULA""))"),"OK")</f>
        <v>OK</v>
      </c>
    </row>
    <row r="4971">
      <c r="A4971" s="83" t="s">
        <v>4899</v>
      </c>
      <c r="B4971" s="83" t="s">
        <v>4900</v>
      </c>
      <c r="C4971" s="81" t="s">
        <v>4621</v>
      </c>
      <c r="D4971" s="83" t="s">
        <v>4593</v>
      </c>
      <c r="E4971" s="81" t="s">
        <v>2805</v>
      </c>
      <c r="F4971" s="81">
        <v>543.0</v>
      </c>
      <c r="G4971" s="81" t="s">
        <v>2</v>
      </c>
      <c r="H4971" s="81" t="s">
        <v>224</v>
      </c>
      <c r="I4971" s="81" t="s">
        <v>213</v>
      </c>
      <c r="J4971" s="81" t="s">
        <v>224</v>
      </c>
      <c r="K4971" s="81" t="str">
        <f>IFERROR(__xludf.DUMMYFUNCTION("IF(OR(D4971="""",G4971=""""),"""",IFERROR(LET(
campo,XLOOKUP(TRIM(G4971),ARRAYFORMULA(TRIM('indice columnas'!$A$2:$A$100)),'indice columnas'!$B$2:$B$100,""""),
col,IFERROR(MATCH(campo,Referencia!$A$1:$AZ$1,0),0),
fila,IFERROR(MATCH(TO_TEXT(D4971),ARRAYFOR"&amp;"MULA(TO_TEXT(Referencia!$A$2:$A6238)),0),0),
IF(OR(campo="""",campo=""-""),""NO APLICA"",
IF(col=0,""REVISAR EQUIVALENCIA"",
IF(fila=0,""SKU NO ENCONTRADO"",
LET(
valor,INDEX(Referencia!$A$2:$AZ6238,fila,col),
IF(TRIM(TO_TEXT(valor))=TRIM(TO_TEXT(I4971)),"&amp;"
""OK"",
""NO COINCIDE. Valor verdadero: ""&amp;IF(valor="""",""[VACÍO]"",TO_TEXT(valor))
)
))))
),""ERROR EN FÓRMULA""))"),"OK")</f>
        <v>OK</v>
      </c>
    </row>
    <row r="4972">
      <c r="A4972" s="83" t="s">
        <v>4899</v>
      </c>
      <c r="B4972" s="83" t="s">
        <v>4900</v>
      </c>
      <c r="C4972" s="81" t="s">
        <v>4621</v>
      </c>
      <c r="D4972" s="83" t="s">
        <v>4593</v>
      </c>
      <c r="E4972" s="81" t="s">
        <v>2805</v>
      </c>
      <c r="F4972" s="81">
        <v>543.0</v>
      </c>
      <c r="G4972" s="81" t="s">
        <v>1</v>
      </c>
      <c r="H4972" s="81" t="s">
        <v>224</v>
      </c>
      <c r="I4972" s="81" t="s">
        <v>49</v>
      </c>
      <c r="J4972" s="81" t="s">
        <v>224</v>
      </c>
      <c r="K4972" s="81" t="str">
        <f>IFERROR(__xludf.DUMMYFUNCTION("IF(OR(D4972="""",G4972=""""),"""",IFERROR(LET(
campo,XLOOKUP(TRIM(G4972),ARRAYFORMULA(TRIM('indice columnas'!$A$2:$A$100)),'indice columnas'!$B$2:$B$100,""""),
col,IFERROR(MATCH(campo,Referencia!$A$1:$AZ$1,0),0),
fila,IFERROR(MATCH(TO_TEXT(D4972),ARRAYFOR"&amp;"MULA(TO_TEXT(Referencia!$A$2:$A6238)),0),0),
IF(OR(campo="""",campo=""-""),""NO APLICA"",
IF(col=0,""REVISAR EQUIVALENCIA"",
IF(fila=0,""SKU NO ENCONTRADO"",
LET(
valor,INDEX(Referencia!$A$2:$AZ6238,fila,col),
IF(TRIM(TO_TEXT(valor))=TRIM(TO_TEXT(I4972)),"&amp;"
""OK"",
""NO COINCIDE. Valor verdadero: ""&amp;IF(valor="""",""[VACÍO]"",TO_TEXT(valor))
)
))))
),""ERROR EN FÓRMULA""))"),"OK")</f>
        <v>OK</v>
      </c>
    </row>
    <row r="4973">
      <c r="A4973" s="83" t="s">
        <v>4899</v>
      </c>
      <c r="B4973" s="83" t="s">
        <v>4900</v>
      </c>
      <c r="C4973" s="81" t="s">
        <v>4621</v>
      </c>
      <c r="D4973" s="83" t="s">
        <v>4596</v>
      </c>
      <c r="E4973" s="81" t="s">
        <v>2828</v>
      </c>
      <c r="F4973" s="81">
        <v>546.0</v>
      </c>
      <c r="G4973" s="81" t="s">
        <v>3</v>
      </c>
      <c r="H4973" s="81" t="s">
        <v>224</v>
      </c>
      <c r="I4973" s="81" t="s">
        <v>51</v>
      </c>
      <c r="J4973" s="81" t="s">
        <v>224</v>
      </c>
      <c r="K4973" s="81" t="str">
        <f>IFERROR(__xludf.DUMMYFUNCTION("IF(OR(D4973="""",G4973=""""),"""",IFERROR(LET(
campo,XLOOKUP(TRIM(G4973),ARRAYFORMULA(TRIM('indice columnas'!$A$2:$A$100)),'indice columnas'!$B$2:$B$100,""""),
col,IFERROR(MATCH(campo,Referencia!$A$1:$AZ$1,0),0),
fila,IFERROR(MATCH(TO_TEXT(D4973),ARRAYFOR"&amp;"MULA(TO_TEXT(Referencia!$A$2:$A6238)),0),0),
IF(OR(campo="""",campo=""-""),""NO APLICA"",
IF(col=0,""REVISAR EQUIVALENCIA"",
IF(fila=0,""SKU NO ENCONTRADO"",
LET(
valor,INDEX(Referencia!$A$2:$AZ6238,fila,col),
IF(TRIM(TO_TEXT(valor))=TRIM(TO_TEXT(I4973)),"&amp;"
""OK"",
""NO COINCIDE. Valor verdadero: ""&amp;IF(valor="""",""[VACÍO]"",TO_TEXT(valor))
)
))))
),""ERROR EN FÓRMULA""))"),"OK")</f>
        <v>OK</v>
      </c>
    </row>
    <row r="4974">
      <c r="A4974" s="83" t="s">
        <v>4899</v>
      </c>
      <c r="B4974" s="83" t="s">
        <v>4900</v>
      </c>
      <c r="C4974" s="81" t="s">
        <v>4621</v>
      </c>
      <c r="D4974" s="83" t="s">
        <v>4596</v>
      </c>
      <c r="E4974" s="81" t="s">
        <v>2828</v>
      </c>
      <c r="F4974" s="81">
        <v>546.0</v>
      </c>
      <c r="G4974" s="81" t="s">
        <v>2</v>
      </c>
      <c r="H4974" s="81" t="s">
        <v>224</v>
      </c>
      <c r="I4974" s="81" t="s">
        <v>213</v>
      </c>
      <c r="J4974" s="81" t="s">
        <v>224</v>
      </c>
      <c r="K4974" s="81" t="str">
        <f>IFERROR(__xludf.DUMMYFUNCTION("IF(OR(D4974="""",G4974=""""),"""",IFERROR(LET(
campo,XLOOKUP(TRIM(G4974),ARRAYFORMULA(TRIM('indice columnas'!$A$2:$A$100)),'indice columnas'!$B$2:$B$100,""""),
col,IFERROR(MATCH(campo,Referencia!$A$1:$AZ$1,0),0),
fila,IFERROR(MATCH(TO_TEXT(D4974),ARRAYFOR"&amp;"MULA(TO_TEXT(Referencia!$A$2:$A6238)),0),0),
IF(OR(campo="""",campo=""-""),""NO APLICA"",
IF(col=0,""REVISAR EQUIVALENCIA"",
IF(fila=0,""SKU NO ENCONTRADO"",
LET(
valor,INDEX(Referencia!$A$2:$AZ6238,fila,col),
IF(TRIM(TO_TEXT(valor))=TRIM(TO_TEXT(I4974)),"&amp;"
""OK"",
""NO COINCIDE. Valor verdadero: ""&amp;IF(valor="""",""[VACÍO]"",TO_TEXT(valor))
)
))))
),""ERROR EN FÓRMULA""))"),"OK")</f>
        <v>OK</v>
      </c>
    </row>
    <row r="4975">
      <c r="A4975" s="83" t="s">
        <v>4899</v>
      </c>
      <c r="B4975" s="83" t="s">
        <v>4900</v>
      </c>
      <c r="C4975" s="81" t="s">
        <v>4621</v>
      </c>
      <c r="D4975" s="83" t="s">
        <v>4598</v>
      </c>
      <c r="E4975" s="81" t="s">
        <v>2848</v>
      </c>
      <c r="F4975" s="81">
        <v>549.0</v>
      </c>
      <c r="G4975" s="81" t="s">
        <v>3</v>
      </c>
      <c r="H4975" s="81" t="s">
        <v>224</v>
      </c>
      <c r="I4975" s="81" t="s">
        <v>51</v>
      </c>
      <c r="J4975" s="81" t="s">
        <v>224</v>
      </c>
      <c r="K4975" s="81" t="str">
        <f>IFERROR(__xludf.DUMMYFUNCTION("IF(OR(D4975="""",G4975=""""),"""",IFERROR(LET(
campo,XLOOKUP(TRIM(G4975),ARRAYFORMULA(TRIM('indice columnas'!$A$2:$A$100)),'indice columnas'!$B$2:$B$100,""""),
col,IFERROR(MATCH(campo,Referencia!$A$1:$AZ$1,0),0),
fila,IFERROR(MATCH(TO_TEXT(D4975),ARRAYFOR"&amp;"MULA(TO_TEXT(Referencia!$A$2:$A6238)),0),0),
IF(OR(campo="""",campo=""-""),""NO APLICA"",
IF(col=0,""REVISAR EQUIVALENCIA"",
IF(fila=0,""SKU NO ENCONTRADO"",
LET(
valor,INDEX(Referencia!$A$2:$AZ6238,fila,col),
IF(TRIM(TO_TEXT(valor))=TRIM(TO_TEXT(I4975)),"&amp;"
""OK"",
""NO COINCIDE. Valor verdadero: ""&amp;IF(valor="""",""[VACÍO]"",TO_TEXT(valor))
)
))))
),""ERROR EN FÓRMULA""))"),"OK")</f>
        <v>OK</v>
      </c>
    </row>
    <row r="4976">
      <c r="A4976" s="83" t="s">
        <v>4899</v>
      </c>
      <c r="B4976" s="83" t="s">
        <v>4900</v>
      </c>
      <c r="C4976" s="81" t="s">
        <v>4621</v>
      </c>
      <c r="D4976" s="83" t="s">
        <v>4598</v>
      </c>
      <c r="E4976" s="81" t="s">
        <v>2848</v>
      </c>
      <c r="F4976" s="81">
        <v>549.0</v>
      </c>
      <c r="G4976" s="81" t="s">
        <v>2</v>
      </c>
      <c r="H4976" s="81" t="s">
        <v>224</v>
      </c>
      <c r="I4976" s="81" t="s">
        <v>213</v>
      </c>
      <c r="J4976" s="81" t="s">
        <v>224</v>
      </c>
      <c r="K4976" s="81" t="str">
        <f>IFERROR(__xludf.DUMMYFUNCTION("IF(OR(D4976="""",G4976=""""),"""",IFERROR(LET(
campo,XLOOKUP(TRIM(G4976),ARRAYFORMULA(TRIM('indice columnas'!$A$2:$A$100)),'indice columnas'!$B$2:$B$100,""""),
col,IFERROR(MATCH(campo,Referencia!$A$1:$AZ$1,0),0),
fila,IFERROR(MATCH(TO_TEXT(D4976),ARRAYFOR"&amp;"MULA(TO_TEXT(Referencia!$A$2:$A6238)),0),0),
IF(OR(campo="""",campo=""-""),""NO APLICA"",
IF(col=0,""REVISAR EQUIVALENCIA"",
IF(fila=0,""SKU NO ENCONTRADO"",
LET(
valor,INDEX(Referencia!$A$2:$AZ6238,fila,col),
IF(TRIM(TO_TEXT(valor))=TRIM(TO_TEXT(I4976)),"&amp;"
""OK"",
""NO COINCIDE. Valor verdadero: ""&amp;IF(valor="""",""[VACÍO]"",TO_TEXT(valor))
)
))))
),""ERROR EN FÓRMULA""))"),"OK")</f>
        <v>OK</v>
      </c>
    </row>
    <row r="4977">
      <c r="A4977" s="83" t="s">
        <v>4899</v>
      </c>
      <c r="B4977" s="83" t="s">
        <v>4900</v>
      </c>
      <c r="C4977" s="81" t="s">
        <v>4621</v>
      </c>
      <c r="D4977" s="83" t="s">
        <v>4600</v>
      </c>
      <c r="E4977" s="81" t="s">
        <v>2870</v>
      </c>
      <c r="F4977" s="81">
        <v>552.0</v>
      </c>
      <c r="G4977" s="81" t="s">
        <v>3</v>
      </c>
      <c r="H4977" s="81" t="s">
        <v>224</v>
      </c>
      <c r="I4977" s="81" t="s">
        <v>51</v>
      </c>
      <c r="J4977" s="81" t="s">
        <v>224</v>
      </c>
      <c r="K4977" s="81" t="str">
        <f>IFERROR(__xludf.DUMMYFUNCTION("IF(OR(D4977="""",G4977=""""),"""",IFERROR(LET(
campo,XLOOKUP(TRIM(G4977),ARRAYFORMULA(TRIM('indice columnas'!$A$2:$A$100)),'indice columnas'!$B$2:$B$100,""""),
col,IFERROR(MATCH(campo,Referencia!$A$1:$AZ$1,0),0),
fila,IFERROR(MATCH(TO_TEXT(D4977),ARRAYFOR"&amp;"MULA(TO_TEXT(Referencia!$A$2:$A6238)),0),0),
IF(OR(campo="""",campo=""-""),""NO APLICA"",
IF(col=0,""REVISAR EQUIVALENCIA"",
IF(fila=0,""SKU NO ENCONTRADO"",
LET(
valor,INDEX(Referencia!$A$2:$AZ6238,fila,col),
IF(TRIM(TO_TEXT(valor))=TRIM(TO_TEXT(I4977)),"&amp;"
""OK"",
""NO COINCIDE. Valor verdadero: ""&amp;IF(valor="""",""[VACÍO]"",TO_TEXT(valor))
)
))))
),""ERROR EN FÓRMULA""))"),"OK")</f>
        <v>OK</v>
      </c>
    </row>
    <row r="4978">
      <c r="A4978" s="83" t="s">
        <v>4899</v>
      </c>
      <c r="B4978" s="83" t="s">
        <v>4900</v>
      </c>
      <c r="C4978" s="81" t="s">
        <v>4621</v>
      </c>
      <c r="D4978" s="83" t="s">
        <v>4600</v>
      </c>
      <c r="E4978" s="81" t="s">
        <v>2870</v>
      </c>
      <c r="F4978" s="81">
        <v>552.0</v>
      </c>
      <c r="G4978" s="81" t="s">
        <v>2</v>
      </c>
      <c r="H4978" s="81" t="s">
        <v>224</v>
      </c>
      <c r="I4978" s="81" t="s">
        <v>213</v>
      </c>
      <c r="J4978" s="81" t="s">
        <v>224</v>
      </c>
      <c r="K4978" s="81" t="str">
        <f>IFERROR(__xludf.DUMMYFUNCTION("IF(OR(D4978="""",G4978=""""),"""",IFERROR(LET(
campo,XLOOKUP(TRIM(G4978),ARRAYFORMULA(TRIM('indice columnas'!$A$2:$A$100)),'indice columnas'!$B$2:$B$100,""""),
col,IFERROR(MATCH(campo,Referencia!$A$1:$AZ$1,0),0),
fila,IFERROR(MATCH(TO_TEXT(D4978),ARRAYFOR"&amp;"MULA(TO_TEXT(Referencia!$A$2:$A6238)),0),0),
IF(OR(campo="""",campo=""-""),""NO APLICA"",
IF(col=0,""REVISAR EQUIVALENCIA"",
IF(fila=0,""SKU NO ENCONTRADO"",
LET(
valor,INDEX(Referencia!$A$2:$AZ6238,fila,col),
IF(TRIM(TO_TEXT(valor))=TRIM(TO_TEXT(I4978)),"&amp;"
""OK"",
""NO COINCIDE. Valor verdadero: ""&amp;IF(valor="""",""[VACÍO]"",TO_TEXT(valor))
)
))))
),""ERROR EN FÓRMULA""))"),"OK")</f>
        <v>OK</v>
      </c>
    </row>
    <row r="4979">
      <c r="A4979" s="83" t="s">
        <v>4899</v>
      </c>
      <c r="B4979" s="83" t="s">
        <v>4900</v>
      </c>
      <c r="C4979" s="81" t="s">
        <v>4621</v>
      </c>
      <c r="D4979" s="83" t="s">
        <v>4600</v>
      </c>
      <c r="E4979" s="81" t="s">
        <v>2870</v>
      </c>
      <c r="F4979" s="81">
        <v>552.0</v>
      </c>
      <c r="G4979" s="81" t="s">
        <v>1</v>
      </c>
      <c r="H4979" s="81" t="s">
        <v>224</v>
      </c>
      <c r="I4979" s="81" t="s">
        <v>49</v>
      </c>
      <c r="J4979" s="81" t="s">
        <v>224</v>
      </c>
      <c r="K4979" s="81" t="str">
        <f>IFERROR(__xludf.DUMMYFUNCTION("IF(OR(D4979="""",G4979=""""),"""",IFERROR(LET(
campo,XLOOKUP(TRIM(G4979),ARRAYFORMULA(TRIM('indice columnas'!$A$2:$A$100)),'indice columnas'!$B$2:$B$100,""""),
col,IFERROR(MATCH(campo,Referencia!$A$1:$AZ$1,0),0),
fila,IFERROR(MATCH(TO_TEXT(D4979),ARRAYFOR"&amp;"MULA(TO_TEXT(Referencia!$A$2:$A6238)),0),0),
IF(OR(campo="""",campo=""-""),""NO APLICA"",
IF(col=0,""REVISAR EQUIVALENCIA"",
IF(fila=0,""SKU NO ENCONTRADO"",
LET(
valor,INDEX(Referencia!$A$2:$AZ6238,fila,col),
IF(TRIM(TO_TEXT(valor))=TRIM(TO_TEXT(I4979)),"&amp;"
""OK"",
""NO COINCIDE. Valor verdadero: ""&amp;IF(valor="""",""[VACÍO]"",TO_TEXT(valor))
)
))))
),""ERROR EN FÓRMULA""))"),"OK")</f>
        <v>OK</v>
      </c>
    </row>
    <row r="4980">
      <c r="A4980" s="83" t="s">
        <v>4899</v>
      </c>
      <c r="B4980" s="83" t="s">
        <v>4900</v>
      </c>
      <c r="C4980" s="81" t="s">
        <v>4621</v>
      </c>
      <c r="D4980" s="83" t="s">
        <v>4601</v>
      </c>
      <c r="E4980" s="81" t="s">
        <v>2874</v>
      </c>
      <c r="F4980" s="81">
        <v>553.0</v>
      </c>
      <c r="G4980" s="81" t="s">
        <v>3</v>
      </c>
      <c r="H4980" s="81" t="s">
        <v>224</v>
      </c>
      <c r="I4980" s="81" t="s">
        <v>1144</v>
      </c>
      <c r="J4980" s="81" t="s">
        <v>224</v>
      </c>
      <c r="K4980" s="81" t="str">
        <f>IFERROR(__xludf.DUMMYFUNCTION("IF(OR(D4980="""",G4980=""""),"""",IFERROR(LET(
campo,XLOOKUP(TRIM(G4980),ARRAYFORMULA(TRIM('indice columnas'!$A$2:$A$100)),'indice columnas'!$B$2:$B$100,""""),
col,IFERROR(MATCH(campo,Referencia!$A$1:$AZ$1,0),0),
fila,IFERROR(MATCH(TO_TEXT(D4980),ARRAYFOR"&amp;"MULA(TO_TEXT(Referencia!$A$2:$A6238)),0),0),
IF(OR(campo="""",campo=""-""),""NO APLICA"",
IF(col=0,""REVISAR EQUIVALENCIA"",
IF(fila=0,""SKU NO ENCONTRADO"",
LET(
valor,INDEX(Referencia!$A$2:$AZ6238,fila,col),
IF(TRIM(TO_TEXT(valor))=TRIM(TO_TEXT(I4980)),"&amp;"
""OK"",
""NO COINCIDE. Valor verdadero: ""&amp;IF(valor="""",""[VACÍO]"",TO_TEXT(valor))
)
))))
),""ERROR EN FÓRMULA""))"),"OK")</f>
        <v>OK</v>
      </c>
    </row>
    <row r="4981">
      <c r="A4981" s="83" t="s">
        <v>4899</v>
      </c>
      <c r="B4981" s="83" t="s">
        <v>4900</v>
      </c>
      <c r="C4981" s="81" t="s">
        <v>4621</v>
      </c>
      <c r="D4981" s="83" t="s">
        <v>4601</v>
      </c>
      <c r="E4981" s="81" t="s">
        <v>2874</v>
      </c>
      <c r="F4981" s="81">
        <v>553.0</v>
      </c>
      <c r="G4981" s="81" t="s">
        <v>2</v>
      </c>
      <c r="H4981" s="81" t="s">
        <v>224</v>
      </c>
      <c r="I4981" s="81" t="s">
        <v>213</v>
      </c>
      <c r="J4981" s="81" t="s">
        <v>224</v>
      </c>
      <c r="K4981" s="81" t="str">
        <f>IFERROR(__xludf.DUMMYFUNCTION("IF(OR(D4981="""",G4981=""""),"""",IFERROR(LET(
campo,XLOOKUP(TRIM(G4981),ARRAYFORMULA(TRIM('indice columnas'!$A$2:$A$100)),'indice columnas'!$B$2:$B$100,""""),
col,IFERROR(MATCH(campo,Referencia!$A$1:$AZ$1,0),0),
fila,IFERROR(MATCH(TO_TEXT(D4981),ARRAYFOR"&amp;"MULA(TO_TEXT(Referencia!$A$2:$A6238)),0),0),
IF(OR(campo="""",campo=""-""),""NO APLICA"",
IF(col=0,""REVISAR EQUIVALENCIA"",
IF(fila=0,""SKU NO ENCONTRADO"",
LET(
valor,INDEX(Referencia!$A$2:$AZ6238,fila,col),
IF(TRIM(TO_TEXT(valor))=TRIM(TO_TEXT(I4981)),"&amp;"
""OK"",
""NO COINCIDE. Valor verdadero: ""&amp;IF(valor="""",""[VACÍO]"",TO_TEXT(valor))
)
))))
),""ERROR EN FÓRMULA""))"),"OK")</f>
        <v>OK</v>
      </c>
    </row>
    <row r="4982">
      <c r="A4982" s="83" t="s">
        <v>4899</v>
      </c>
      <c r="B4982" s="83" t="s">
        <v>4900</v>
      </c>
      <c r="C4982" s="81" t="s">
        <v>4621</v>
      </c>
      <c r="D4982" s="83" t="s">
        <v>4601</v>
      </c>
      <c r="E4982" s="81" t="s">
        <v>2874</v>
      </c>
      <c r="F4982" s="81">
        <v>553.0</v>
      </c>
      <c r="G4982" s="81" t="s">
        <v>1</v>
      </c>
      <c r="H4982" s="81" t="s">
        <v>224</v>
      </c>
      <c r="I4982" s="81" t="s">
        <v>49</v>
      </c>
      <c r="J4982" s="81" t="s">
        <v>224</v>
      </c>
      <c r="K4982" s="81" t="str">
        <f>IFERROR(__xludf.DUMMYFUNCTION("IF(OR(D4982="""",G4982=""""),"""",IFERROR(LET(
campo,XLOOKUP(TRIM(G4982),ARRAYFORMULA(TRIM('indice columnas'!$A$2:$A$100)),'indice columnas'!$B$2:$B$100,""""),
col,IFERROR(MATCH(campo,Referencia!$A$1:$AZ$1,0),0),
fila,IFERROR(MATCH(TO_TEXT(D4982),ARRAYFOR"&amp;"MULA(TO_TEXT(Referencia!$A$2:$A6238)),0),0),
IF(OR(campo="""",campo=""-""),""NO APLICA"",
IF(col=0,""REVISAR EQUIVALENCIA"",
IF(fila=0,""SKU NO ENCONTRADO"",
LET(
valor,INDEX(Referencia!$A$2:$AZ6238,fila,col),
IF(TRIM(TO_TEXT(valor))=TRIM(TO_TEXT(I4982)),"&amp;"
""OK"",
""NO COINCIDE. Valor verdadero: ""&amp;IF(valor="""",""[VACÍO]"",TO_TEXT(valor))
)
))))
),""ERROR EN FÓRMULA""))"),"OK")</f>
        <v>OK</v>
      </c>
    </row>
    <row r="4983">
      <c r="A4983" s="83" t="s">
        <v>4899</v>
      </c>
      <c r="B4983" s="83" t="s">
        <v>4900</v>
      </c>
      <c r="C4983" s="81" t="s">
        <v>4621</v>
      </c>
      <c r="D4983" s="83" t="s">
        <v>4603</v>
      </c>
      <c r="E4983" s="81" t="s">
        <v>2881</v>
      </c>
      <c r="F4983" s="81">
        <v>554.0</v>
      </c>
      <c r="G4983" s="81" t="s">
        <v>3</v>
      </c>
      <c r="H4983" s="81" t="s">
        <v>224</v>
      </c>
      <c r="I4983" s="81" t="s">
        <v>1144</v>
      </c>
      <c r="J4983" s="81" t="s">
        <v>224</v>
      </c>
      <c r="K4983" s="81" t="str">
        <f>IFERROR(__xludf.DUMMYFUNCTION("IF(OR(D4983="""",G4983=""""),"""",IFERROR(LET(
campo,XLOOKUP(TRIM(G4983),ARRAYFORMULA(TRIM('indice columnas'!$A$2:$A$100)),'indice columnas'!$B$2:$B$100,""""),
col,IFERROR(MATCH(campo,Referencia!$A$1:$AZ$1,0),0),
fila,IFERROR(MATCH(TO_TEXT(D4983),ARRAYFOR"&amp;"MULA(TO_TEXT(Referencia!$A$2:$A6238)),0),0),
IF(OR(campo="""",campo=""-""),""NO APLICA"",
IF(col=0,""REVISAR EQUIVALENCIA"",
IF(fila=0,""SKU NO ENCONTRADO"",
LET(
valor,INDEX(Referencia!$A$2:$AZ6238,fila,col),
IF(TRIM(TO_TEXT(valor))=TRIM(TO_TEXT(I4983)),"&amp;"
""OK"",
""NO COINCIDE. Valor verdadero: ""&amp;IF(valor="""",""[VACÍO]"",TO_TEXT(valor))
)
))))
),""ERROR EN FÓRMULA""))"),"OK")</f>
        <v>OK</v>
      </c>
    </row>
    <row r="4984">
      <c r="A4984" s="83" t="s">
        <v>4899</v>
      </c>
      <c r="B4984" s="83" t="s">
        <v>4900</v>
      </c>
      <c r="C4984" s="81" t="s">
        <v>4621</v>
      </c>
      <c r="D4984" s="83" t="s">
        <v>4603</v>
      </c>
      <c r="E4984" s="81" t="s">
        <v>2881</v>
      </c>
      <c r="F4984" s="81">
        <v>554.0</v>
      </c>
      <c r="G4984" s="81" t="s">
        <v>2</v>
      </c>
      <c r="H4984" s="81" t="s">
        <v>224</v>
      </c>
      <c r="I4984" s="81" t="s">
        <v>213</v>
      </c>
      <c r="J4984" s="81" t="s">
        <v>224</v>
      </c>
      <c r="K4984" s="81" t="str">
        <f>IFERROR(__xludf.DUMMYFUNCTION("IF(OR(D4984="""",G4984=""""),"""",IFERROR(LET(
campo,XLOOKUP(TRIM(G4984),ARRAYFORMULA(TRIM('indice columnas'!$A$2:$A$100)),'indice columnas'!$B$2:$B$100,""""),
col,IFERROR(MATCH(campo,Referencia!$A$1:$AZ$1,0),0),
fila,IFERROR(MATCH(TO_TEXT(D4984),ARRAYFOR"&amp;"MULA(TO_TEXT(Referencia!$A$2:$A6238)),0),0),
IF(OR(campo="""",campo=""-""),""NO APLICA"",
IF(col=0,""REVISAR EQUIVALENCIA"",
IF(fila=0,""SKU NO ENCONTRADO"",
LET(
valor,INDEX(Referencia!$A$2:$AZ6238,fila,col),
IF(TRIM(TO_TEXT(valor))=TRIM(TO_TEXT(I4984)),"&amp;"
""OK"",
""NO COINCIDE. Valor verdadero: ""&amp;IF(valor="""",""[VACÍO]"",TO_TEXT(valor))
)
))))
),""ERROR EN FÓRMULA""))"),"OK")</f>
        <v>OK</v>
      </c>
    </row>
    <row r="4985">
      <c r="A4985" s="83" t="s">
        <v>4899</v>
      </c>
      <c r="B4985" s="83" t="s">
        <v>4900</v>
      </c>
      <c r="C4985" s="81" t="s">
        <v>4621</v>
      </c>
      <c r="D4985" s="83" t="s">
        <v>4603</v>
      </c>
      <c r="E4985" s="81" t="s">
        <v>2881</v>
      </c>
      <c r="F4985" s="81">
        <v>554.0</v>
      </c>
      <c r="G4985" s="81" t="s">
        <v>1</v>
      </c>
      <c r="H4985" s="81" t="s">
        <v>224</v>
      </c>
      <c r="I4985" s="81" t="s">
        <v>49</v>
      </c>
      <c r="J4985" s="81" t="s">
        <v>224</v>
      </c>
      <c r="K4985" s="81" t="str">
        <f>IFERROR(__xludf.DUMMYFUNCTION("IF(OR(D4985="""",G4985=""""),"""",IFERROR(LET(
campo,XLOOKUP(TRIM(G4985),ARRAYFORMULA(TRIM('indice columnas'!$A$2:$A$100)),'indice columnas'!$B$2:$B$100,""""),
col,IFERROR(MATCH(campo,Referencia!$A$1:$AZ$1,0),0),
fila,IFERROR(MATCH(TO_TEXT(D4985),ARRAYFOR"&amp;"MULA(TO_TEXT(Referencia!$A$2:$A6238)),0),0),
IF(OR(campo="""",campo=""-""),""NO APLICA"",
IF(col=0,""REVISAR EQUIVALENCIA"",
IF(fila=0,""SKU NO ENCONTRADO"",
LET(
valor,INDEX(Referencia!$A$2:$AZ6238,fila,col),
IF(TRIM(TO_TEXT(valor))=TRIM(TO_TEXT(I4985)),"&amp;"
""OK"",
""NO COINCIDE. Valor verdadero: ""&amp;IF(valor="""",""[VACÍO]"",TO_TEXT(valor))
)
))))
),""ERROR EN FÓRMULA""))"),"OK")</f>
        <v>OK</v>
      </c>
    </row>
    <row r="4986">
      <c r="A4986" s="83" t="s">
        <v>4899</v>
      </c>
      <c r="B4986" s="83" t="s">
        <v>4900</v>
      </c>
      <c r="C4986" s="81" t="s">
        <v>4621</v>
      </c>
      <c r="D4986" s="83" t="s">
        <v>4604</v>
      </c>
      <c r="E4986" s="81" t="s">
        <v>2885</v>
      </c>
      <c r="F4986" s="81">
        <v>555.0</v>
      </c>
      <c r="G4986" s="81" t="s">
        <v>3</v>
      </c>
      <c r="H4986" s="81" t="s">
        <v>224</v>
      </c>
      <c r="I4986" s="81" t="s">
        <v>1144</v>
      </c>
      <c r="J4986" s="81" t="s">
        <v>224</v>
      </c>
      <c r="K4986" s="81" t="str">
        <f>IFERROR(__xludf.DUMMYFUNCTION("IF(OR(D4986="""",G4986=""""),"""",IFERROR(LET(
campo,XLOOKUP(TRIM(G4986),ARRAYFORMULA(TRIM('indice columnas'!$A$2:$A$100)),'indice columnas'!$B$2:$B$100,""""),
col,IFERROR(MATCH(campo,Referencia!$A$1:$AZ$1,0),0),
fila,IFERROR(MATCH(TO_TEXT(D4986),ARRAYFOR"&amp;"MULA(TO_TEXT(Referencia!$A$2:$A6238)),0),0),
IF(OR(campo="""",campo=""-""),""NO APLICA"",
IF(col=0,""REVISAR EQUIVALENCIA"",
IF(fila=0,""SKU NO ENCONTRADO"",
LET(
valor,INDEX(Referencia!$A$2:$AZ6238,fila,col),
IF(TRIM(TO_TEXT(valor))=TRIM(TO_TEXT(I4986)),"&amp;"
""OK"",
""NO COINCIDE. Valor verdadero: ""&amp;IF(valor="""",""[VACÍO]"",TO_TEXT(valor))
)
))))
),""ERROR EN FÓRMULA""))"),"OK")</f>
        <v>OK</v>
      </c>
    </row>
    <row r="4987">
      <c r="A4987" s="83" t="s">
        <v>4899</v>
      </c>
      <c r="B4987" s="83" t="s">
        <v>4900</v>
      </c>
      <c r="C4987" s="81" t="s">
        <v>4621</v>
      </c>
      <c r="D4987" s="83" t="s">
        <v>4604</v>
      </c>
      <c r="E4987" s="81" t="s">
        <v>2885</v>
      </c>
      <c r="F4987" s="81">
        <v>555.0</v>
      </c>
      <c r="G4987" s="81" t="s">
        <v>2</v>
      </c>
      <c r="H4987" s="81" t="s">
        <v>224</v>
      </c>
      <c r="I4987" s="81" t="s">
        <v>213</v>
      </c>
      <c r="J4987" s="81" t="s">
        <v>224</v>
      </c>
      <c r="K4987" s="81" t="str">
        <f>IFERROR(__xludf.DUMMYFUNCTION("IF(OR(D4987="""",G4987=""""),"""",IFERROR(LET(
campo,XLOOKUP(TRIM(G4987),ARRAYFORMULA(TRIM('indice columnas'!$A$2:$A$100)),'indice columnas'!$B$2:$B$100,""""),
col,IFERROR(MATCH(campo,Referencia!$A$1:$AZ$1,0),0),
fila,IFERROR(MATCH(TO_TEXT(D4987),ARRAYFOR"&amp;"MULA(TO_TEXT(Referencia!$A$2:$A6238)),0),0),
IF(OR(campo="""",campo=""-""),""NO APLICA"",
IF(col=0,""REVISAR EQUIVALENCIA"",
IF(fila=0,""SKU NO ENCONTRADO"",
LET(
valor,INDEX(Referencia!$A$2:$AZ6238,fila,col),
IF(TRIM(TO_TEXT(valor))=TRIM(TO_TEXT(I4987)),"&amp;"
""OK"",
""NO COINCIDE. Valor verdadero: ""&amp;IF(valor="""",""[VACÍO]"",TO_TEXT(valor))
)
))))
),""ERROR EN FÓRMULA""))"),"OK")</f>
        <v>OK</v>
      </c>
    </row>
    <row r="4988">
      <c r="A4988" s="83" t="s">
        <v>4899</v>
      </c>
      <c r="B4988" s="83" t="s">
        <v>4900</v>
      </c>
      <c r="C4988" s="81" t="s">
        <v>4621</v>
      </c>
      <c r="D4988" s="83" t="s">
        <v>4604</v>
      </c>
      <c r="E4988" s="81" t="s">
        <v>2885</v>
      </c>
      <c r="F4988" s="81">
        <v>555.0</v>
      </c>
      <c r="G4988" s="81" t="s">
        <v>1</v>
      </c>
      <c r="H4988" s="81" t="s">
        <v>224</v>
      </c>
      <c r="I4988" s="81" t="s">
        <v>49</v>
      </c>
      <c r="J4988" s="81" t="s">
        <v>224</v>
      </c>
      <c r="K4988" s="81" t="str">
        <f>IFERROR(__xludf.DUMMYFUNCTION("IF(OR(D4988="""",G4988=""""),"""",IFERROR(LET(
campo,XLOOKUP(TRIM(G4988),ARRAYFORMULA(TRIM('indice columnas'!$A$2:$A$100)),'indice columnas'!$B$2:$B$100,""""),
col,IFERROR(MATCH(campo,Referencia!$A$1:$AZ$1,0),0),
fila,IFERROR(MATCH(TO_TEXT(D4988),ARRAYFOR"&amp;"MULA(TO_TEXT(Referencia!$A$2:$A6238)),0),0),
IF(OR(campo="""",campo=""-""),""NO APLICA"",
IF(col=0,""REVISAR EQUIVALENCIA"",
IF(fila=0,""SKU NO ENCONTRADO"",
LET(
valor,INDEX(Referencia!$A$2:$AZ6238,fila,col),
IF(TRIM(TO_TEXT(valor))=TRIM(TO_TEXT(I4988)),"&amp;"
""OK"",
""NO COINCIDE. Valor verdadero: ""&amp;IF(valor="""",""[VACÍO]"",TO_TEXT(valor))
)
))))
),""ERROR EN FÓRMULA""))"),"OK")</f>
        <v>OK</v>
      </c>
    </row>
    <row r="4989">
      <c r="A4989" s="83" t="s">
        <v>4899</v>
      </c>
      <c r="B4989" s="83" t="s">
        <v>4900</v>
      </c>
      <c r="C4989" s="81" t="s">
        <v>4621</v>
      </c>
      <c r="D4989" s="83" t="s">
        <v>4605</v>
      </c>
      <c r="E4989" s="81" t="s">
        <v>2889</v>
      </c>
      <c r="F4989" s="81">
        <v>556.0</v>
      </c>
      <c r="G4989" s="81" t="s">
        <v>3</v>
      </c>
      <c r="H4989" s="81" t="s">
        <v>224</v>
      </c>
      <c r="I4989" s="81" t="s">
        <v>1144</v>
      </c>
      <c r="J4989" s="81" t="s">
        <v>224</v>
      </c>
      <c r="K4989" s="81" t="str">
        <f>IFERROR(__xludf.DUMMYFUNCTION("IF(OR(D4989="""",G4989=""""),"""",IFERROR(LET(
campo,XLOOKUP(TRIM(G4989),ARRAYFORMULA(TRIM('indice columnas'!$A$2:$A$100)),'indice columnas'!$B$2:$B$100,""""),
col,IFERROR(MATCH(campo,Referencia!$A$1:$AZ$1,0),0),
fila,IFERROR(MATCH(TO_TEXT(D4989),ARRAYFOR"&amp;"MULA(TO_TEXT(Referencia!$A$2:$A6238)),0),0),
IF(OR(campo="""",campo=""-""),""NO APLICA"",
IF(col=0,""REVISAR EQUIVALENCIA"",
IF(fila=0,""SKU NO ENCONTRADO"",
LET(
valor,INDEX(Referencia!$A$2:$AZ6238,fila,col),
IF(TRIM(TO_TEXT(valor))=TRIM(TO_TEXT(I4989)),"&amp;"
""OK"",
""NO COINCIDE. Valor verdadero: ""&amp;IF(valor="""",""[VACÍO]"",TO_TEXT(valor))
)
))))
),""ERROR EN FÓRMULA""))"),"OK")</f>
        <v>OK</v>
      </c>
    </row>
    <row r="4990">
      <c r="A4990" s="83" t="s">
        <v>4899</v>
      </c>
      <c r="B4990" s="83" t="s">
        <v>4900</v>
      </c>
      <c r="C4990" s="81" t="s">
        <v>4621</v>
      </c>
      <c r="D4990" s="83" t="s">
        <v>4605</v>
      </c>
      <c r="E4990" s="81" t="s">
        <v>2889</v>
      </c>
      <c r="F4990" s="81">
        <v>556.0</v>
      </c>
      <c r="G4990" s="81" t="s">
        <v>2</v>
      </c>
      <c r="H4990" s="81" t="s">
        <v>224</v>
      </c>
      <c r="I4990" s="81" t="s">
        <v>213</v>
      </c>
      <c r="J4990" s="81" t="s">
        <v>224</v>
      </c>
      <c r="K4990" s="81" t="str">
        <f>IFERROR(__xludf.DUMMYFUNCTION("IF(OR(D4990="""",G4990=""""),"""",IFERROR(LET(
campo,XLOOKUP(TRIM(G4990),ARRAYFORMULA(TRIM('indice columnas'!$A$2:$A$100)),'indice columnas'!$B$2:$B$100,""""),
col,IFERROR(MATCH(campo,Referencia!$A$1:$AZ$1,0),0),
fila,IFERROR(MATCH(TO_TEXT(D4990),ARRAYFOR"&amp;"MULA(TO_TEXT(Referencia!$A$2:$A6238)),0),0),
IF(OR(campo="""",campo=""-""),""NO APLICA"",
IF(col=0,""REVISAR EQUIVALENCIA"",
IF(fila=0,""SKU NO ENCONTRADO"",
LET(
valor,INDEX(Referencia!$A$2:$AZ6238,fila,col),
IF(TRIM(TO_TEXT(valor))=TRIM(TO_TEXT(I4990)),"&amp;"
""OK"",
""NO COINCIDE. Valor verdadero: ""&amp;IF(valor="""",""[VACÍO]"",TO_TEXT(valor))
)
))))
),""ERROR EN FÓRMULA""))"),"OK")</f>
        <v>OK</v>
      </c>
    </row>
    <row r="4991">
      <c r="A4991" s="83" t="s">
        <v>4899</v>
      </c>
      <c r="B4991" s="83" t="s">
        <v>4900</v>
      </c>
      <c r="C4991" s="81" t="s">
        <v>4621</v>
      </c>
      <c r="D4991" s="83" t="s">
        <v>4605</v>
      </c>
      <c r="E4991" s="81" t="s">
        <v>2889</v>
      </c>
      <c r="F4991" s="81">
        <v>556.0</v>
      </c>
      <c r="G4991" s="81" t="s">
        <v>1</v>
      </c>
      <c r="H4991" s="81" t="s">
        <v>224</v>
      </c>
      <c r="I4991" s="81" t="s">
        <v>49</v>
      </c>
      <c r="J4991" s="81" t="s">
        <v>224</v>
      </c>
      <c r="K4991" s="81" t="str">
        <f>IFERROR(__xludf.DUMMYFUNCTION("IF(OR(D4991="""",G4991=""""),"""",IFERROR(LET(
campo,XLOOKUP(TRIM(G4991),ARRAYFORMULA(TRIM('indice columnas'!$A$2:$A$100)),'indice columnas'!$B$2:$B$100,""""),
col,IFERROR(MATCH(campo,Referencia!$A$1:$AZ$1,0),0),
fila,IFERROR(MATCH(TO_TEXT(D4991),ARRAYFOR"&amp;"MULA(TO_TEXT(Referencia!$A$2:$A6238)),0),0),
IF(OR(campo="""",campo=""-""),""NO APLICA"",
IF(col=0,""REVISAR EQUIVALENCIA"",
IF(fila=0,""SKU NO ENCONTRADO"",
LET(
valor,INDEX(Referencia!$A$2:$AZ6238,fila,col),
IF(TRIM(TO_TEXT(valor))=TRIM(TO_TEXT(I4991)),"&amp;"
""OK"",
""NO COINCIDE. Valor verdadero: ""&amp;IF(valor="""",""[VACÍO]"",TO_TEXT(valor))
)
))))
),""ERROR EN FÓRMULA""))"),"OK")</f>
        <v>OK</v>
      </c>
    </row>
    <row r="4992">
      <c r="A4992" s="83" t="s">
        <v>4899</v>
      </c>
      <c r="B4992" s="83" t="s">
        <v>4900</v>
      </c>
      <c r="C4992" s="81" t="s">
        <v>4621</v>
      </c>
      <c r="D4992" s="83" t="s">
        <v>4606</v>
      </c>
      <c r="E4992" s="81" t="s">
        <v>2891</v>
      </c>
      <c r="F4992" s="81">
        <v>557.0</v>
      </c>
      <c r="G4992" s="81" t="s">
        <v>3</v>
      </c>
      <c r="H4992" s="81" t="s">
        <v>224</v>
      </c>
      <c r="I4992" s="81" t="s">
        <v>1144</v>
      </c>
      <c r="J4992" s="81" t="s">
        <v>224</v>
      </c>
      <c r="K4992" s="81" t="str">
        <f>IFERROR(__xludf.DUMMYFUNCTION("IF(OR(D4992="""",G4992=""""),"""",IFERROR(LET(
campo,XLOOKUP(TRIM(G4992),ARRAYFORMULA(TRIM('indice columnas'!$A$2:$A$100)),'indice columnas'!$B$2:$B$100,""""),
col,IFERROR(MATCH(campo,Referencia!$A$1:$AZ$1,0),0),
fila,IFERROR(MATCH(TO_TEXT(D4992),ARRAYFOR"&amp;"MULA(TO_TEXT(Referencia!$A$2:$A6238)),0),0),
IF(OR(campo="""",campo=""-""),""NO APLICA"",
IF(col=0,""REVISAR EQUIVALENCIA"",
IF(fila=0,""SKU NO ENCONTRADO"",
LET(
valor,INDEX(Referencia!$A$2:$AZ6238,fila,col),
IF(TRIM(TO_TEXT(valor))=TRIM(TO_TEXT(I4992)),"&amp;"
""OK"",
""NO COINCIDE. Valor verdadero: ""&amp;IF(valor="""",""[VACÍO]"",TO_TEXT(valor))
)
))))
),""ERROR EN FÓRMULA""))"),"OK")</f>
        <v>OK</v>
      </c>
    </row>
    <row r="4993">
      <c r="A4993" s="83" t="s">
        <v>4899</v>
      </c>
      <c r="B4993" s="83" t="s">
        <v>4900</v>
      </c>
      <c r="C4993" s="81" t="s">
        <v>4621</v>
      </c>
      <c r="D4993" s="83" t="s">
        <v>4606</v>
      </c>
      <c r="E4993" s="81" t="s">
        <v>2891</v>
      </c>
      <c r="F4993" s="81">
        <v>557.0</v>
      </c>
      <c r="G4993" s="81" t="s">
        <v>2</v>
      </c>
      <c r="H4993" s="81" t="s">
        <v>224</v>
      </c>
      <c r="I4993" s="81" t="s">
        <v>213</v>
      </c>
      <c r="J4993" s="81" t="s">
        <v>224</v>
      </c>
      <c r="K4993" s="81" t="str">
        <f>IFERROR(__xludf.DUMMYFUNCTION("IF(OR(D4993="""",G4993=""""),"""",IFERROR(LET(
campo,XLOOKUP(TRIM(G4993),ARRAYFORMULA(TRIM('indice columnas'!$A$2:$A$100)),'indice columnas'!$B$2:$B$100,""""),
col,IFERROR(MATCH(campo,Referencia!$A$1:$AZ$1,0),0),
fila,IFERROR(MATCH(TO_TEXT(D4993),ARRAYFOR"&amp;"MULA(TO_TEXT(Referencia!$A$2:$A6238)),0),0),
IF(OR(campo="""",campo=""-""),""NO APLICA"",
IF(col=0,""REVISAR EQUIVALENCIA"",
IF(fila=0,""SKU NO ENCONTRADO"",
LET(
valor,INDEX(Referencia!$A$2:$AZ6238,fila,col),
IF(TRIM(TO_TEXT(valor))=TRIM(TO_TEXT(I4993)),"&amp;"
""OK"",
""NO COINCIDE. Valor verdadero: ""&amp;IF(valor="""",""[VACÍO]"",TO_TEXT(valor))
)
))))
),""ERROR EN FÓRMULA""))"),"OK")</f>
        <v>OK</v>
      </c>
    </row>
    <row r="4994">
      <c r="A4994" s="83" t="s">
        <v>4899</v>
      </c>
      <c r="B4994" s="83" t="s">
        <v>4900</v>
      </c>
      <c r="C4994" s="81" t="s">
        <v>4621</v>
      </c>
      <c r="D4994" s="83" t="s">
        <v>4606</v>
      </c>
      <c r="E4994" s="81" t="s">
        <v>2891</v>
      </c>
      <c r="F4994" s="81">
        <v>557.0</v>
      </c>
      <c r="G4994" s="81" t="s">
        <v>1</v>
      </c>
      <c r="H4994" s="81" t="s">
        <v>224</v>
      </c>
      <c r="I4994" s="81" t="s">
        <v>49</v>
      </c>
      <c r="J4994" s="81" t="s">
        <v>224</v>
      </c>
      <c r="K4994" s="81" t="str">
        <f>IFERROR(__xludf.DUMMYFUNCTION("IF(OR(D4994="""",G4994=""""),"""",IFERROR(LET(
campo,XLOOKUP(TRIM(G4994),ARRAYFORMULA(TRIM('indice columnas'!$A$2:$A$100)),'indice columnas'!$B$2:$B$100,""""),
col,IFERROR(MATCH(campo,Referencia!$A$1:$AZ$1,0),0),
fila,IFERROR(MATCH(TO_TEXT(D4994),ARRAYFOR"&amp;"MULA(TO_TEXT(Referencia!$A$2:$A6238)),0),0),
IF(OR(campo="""",campo=""-""),""NO APLICA"",
IF(col=0,""REVISAR EQUIVALENCIA"",
IF(fila=0,""SKU NO ENCONTRADO"",
LET(
valor,INDEX(Referencia!$A$2:$AZ6238,fila,col),
IF(TRIM(TO_TEXT(valor))=TRIM(TO_TEXT(I4994)),"&amp;"
""OK"",
""NO COINCIDE. Valor verdadero: ""&amp;IF(valor="""",""[VACÍO]"",TO_TEXT(valor))
)
))))
),""ERROR EN FÓRMULA""))"),"OK")</f>
        <v>OK</v>
      </c>
    </row>
    <row r="4995">
      <c r="A4995" s="83" t="s">
        <v>4899</v>
      </c>
      <c r="B4995" s="83" t="s">
        <v>4900</v>
      </c>
      <c r="C4995" s="81" t="s">
        <v>4621</v>
      </c>
      <c r="D4995" s="83" t="s">
        <v>4607</v>
      </c>
      <c r="E4995" s="81" t="s">
        <v>2893</v>
      </c>
      <c r="F4995" s="81">
        <v>558.0</v>
      </c>
      <c r="G4995" s="81" t="s">
        <v>3</v>
      </c>
      <c r="H4995" s="81" t="s">
        <v>224</v>
      </c>
      <c r="I4995" s="81" t="s">
        <v>1144</v>
      </c>
      <c r="J4995" s="81" t="s">
        <v>224</v>
      </c>
      <c r="K4995" s="81" t="str">
        <f>IFERROR(__xludf.DUMMYFUNCTION("IF(OR(D4995="""",G4995=""""),"""",IFERROR(LET(
campo,XLOOKUP(TRIM(G4995),ARRAYFORMULA(TRIM('indice columnas'!$A$2:$A$100)),'indice columnas'!$B$2:$B$100,""""),
col,IFERROR(MATCH(campo,Referencia!$A$1:$AZ$1,0),0),
fila,IFERROR(MATCH(TO_TEXT(D4995),ARRAYFOR"&amp;"MULA(TO_TEXT(Referencia!$A$2:$A6238)),0),0),
IF(OR(campo="""",campo=""-""),""NO APLICA"",
IF(col=0,""REVISAR EQUIVALENCIA"",
IF(fila=0,""SKU NO ENCONTRADO"",
LET(
valor,INDEX(Referencia!$A$2:$AZ6238,fila,col),
IF(TRIM(TO_TEXT(valor))=TRIM(TO_TEXT(I4995)),"&amp;"
""OK"",
""NO COINCIDE. Valor verdadero: ""&amp;IF(valor="""",""[VACÍO]"",TO_TEXT(valor))
)
))))
),""ERROR EN FÓRMULA""))"),"OK")</f>
        <v>OK</v>
      </c>
    </row>
    <row r="4996">
      <c r="A4996" s="83" t="s">
        <v>4899</v>
      </c>
      <c r="B4996" s="83" t="s">
        <v>4900</v>
      </c>
      <c r="C4996" s="81" t="s">
        <v>4621</v>
      </c>
      <c r="D4996" s="83" t="s">
        <v>4607</v>
      </c>
      <c r="E4996" s="81" t="s">
        <v>2893</v>
      </c>
      <c r="F4996" s="81">
        <v>558.0</v>
      </c>
      <c r="G4996" s="81" t="s">
        <v>2</v>
      </c>
      <c r="H4996" s="81" t="s">
        <v>224</v>
      </c>
      <c r="I4996" s="81" t="s">
        <v>213</v>
      </c>
      <c r="J4996" s="81" t="s">
        <v>224</v>
      </c>
      <c r="K4996" s="81" t="str">
        <f>IFERROR(__xludf.DUMMYFUNCTION("IF(OR(D4996="""",G4996=""""),"""",IFERROR(LET(
campo,XLOOKUP(TRIM(G4996),ARRAYFORMULA(TRIM('indice columnas'!$A$2:$A$100)),'indice columnas'!$B$2:$B$100,""""),
col,IFERROR(MATCH(campo,Referencia!$A$1:$AZ$1,0),0),
fila,IFERROR(MATCH(TO_TEXT(D4996),ARRAYFOR"&amp;"MULA(TO_TEXT(Referencia!$A$2:$A6238)),0),0),
IF(OR(campo="""",campo=""-""),""NO APLICA"",
IF(col=0,""REVISAR EQUIVALENCIA"",
IF(fila=0,""SKU NO ENCONTRADO"",
LET(
valor,INDEX(Referencia!$A$2:$AZ6238,fila,col),
IF(TRIM(TO_TEXT(valor))=TRIM(TO_TEXT(I4996)),"&amp;"
""OK"",
""NO COINCIDE. Valor verdadero: ""&amp;IF(valor="""",""[VACÍO]"",TO_TEXT(valor))
)
))))
),""ERROR EN FÓRMULA""))"),"OK")</f>
        <v>OK</v>
      </c>
    </row>
    <row r="4997">
      <c r="A4997" s="83" t="s">
        <v>4899</v>
      </c>
      <c r="B4997" s="83" t="s">
        <v>4900</v>
      </c>
      <c r="C4997" s="81" t="s">
        <v>4621</v>
      </c>
      <c r="D4997" s="83" t="s">
        <v>4607</v>
      </c>
      <c r="E4997" s="81" t="s">
        <v>2893</v>
      </c>
      <c r="F4997" s="81">
        <v>558.0</v>
      </c>
      <c r="G4997" s="81" t="s">
        <v>1</v>
      </c>
      <c r="H4997" s="81" t="s">
        <v>224</v>
      </c>
      <c r="I4997" s="81" t="s">
        <v>49</v>
      </c>
      <c r="J4997" s="81" t="s">
        <v>224</v>
      </c>
      <c r="K4997" s="81" t="str">
        <f>IFERROR(__xludf.DUMMYFUNCTION("IF(OR(D4997="""",G4997=""""),"""",IFERROR(LET(
campo,XLOOKUP(TRIM(G4997),ARRAYFORMULA(TRIM('indice columnas'!$A$2:$A$100)),'indice columnas'!$B$2:$B$100,""""),
col,IFERROR(MATCH(campo,Referencia!$A$1:$AZ$1,0),0),
fila,IFERROR(MATCH(TO_TEXT(D4997),ARRAYFOR"&amp;"MULA(TO_TEXT(Referencia!$A$2:$A6238)),0),0),
IF(OR(campo="""",campo=""-""),""NO APLICA"",
IF(col=0,""REVISAR EQUIVALENCIA"",
IF(fila=0,""SKU NO ENCONTRADO"",
LET(
valor,INDEX(Referencia!$A$2:$AZ6238,fila,col),
IF(TRIM(TO_TEXT(valor))=TRIM(TO_TEXT(I4997)),"&amp;"
""OK"",
""NO COINCIDE. Valor verdadero: ""&amp;IF(valor="""",""[VACÍO]"",TO_TEXT(valor))
)
))))
),""ERROR EN FÓRMULA""))"),"OK")</f>
        <v>OK</v>
      </c>
    </row>
    <row r="4998">
      <c r="A4998" s="83" t="s">
        <v>4899</v>
      </c>
      <c r="B4998" s="83" t="s">
        <v>4900</v>
      </c>
      <c r="C4998" s="81" t="s">
        <v>4621</v>
      </c>
      <c r="D4998" s="83" t="s">
        <v>4608</v>
      </c>
      <c r="E4998" s="81" t="s">
        <v>2906</v>
      </c>
      <c r="F4998" s="81">
        <v>560.0</v>
      </c>
      <c r="G4998" s="81" t="s">
        <v>3</v>
      </c>
      <c r="H4998" s="81" t="s">
        <v>224</v>
      </c>
      <c r="I4998" s="81" t="s">
        <v>214</v>
      </c>
      <c r="J4998" s="81" t="s">
        <v>224</v>
      </c>
      <c r="K4998" s="81" t="str">
        <f>IFERROR(__xludf.DUMMYFUNCTION("IF(OR(D4998="""",G4998=""""),"""",IFERROR(LET(
campo,XLOOKUP(TRIM(G4998),ARRAYFORMULA(TRIM('indice columnas'!$A$2:$A$100)),'indice columnas'!$B$2:$B$100,""""),
col,IFERROR(MATCH(campo,Referencia!$A$1:$AZ$1,0),0),
fila,IFERROR(MATCH(TO_TEXT(D4998),ARRAYFOR"&amp;"MULA(TO_TEXT(Referencia!$A$2:$A6238)),0),0),
IF(OR(campo="""",campo=""-""),""NO APLICA"",
IF(col=0,""REVISAR EQUIVALENCIA"",
IF(fila=0,""SKU NO ENCONTRADO"",
LET(
valor,INDEX(Referencia!$A$2:$AZ6238,fila,col),
IF(TRIM(TO_TEXT(valor))=TRIM(TO_TEXT(I4998)),"&amp;"
""OK"",
""NO COINCIDE. Valor verdadero: ""&amp;IF(valor="""",""[VACÍO]"",TO_TEXT(valor))
)
))))
),""ERROR EN FÓRMULA""))"),"OK")</f>
        <v>OK</v>
      </c>
    </row>
    <row r="4999">
      <c r="A4999" s="83" t="s">
        <v>4899</v>
      </c>
      <c r="B4999" s="83" t="s">
        <v>4900</v>
      </c>
      <c r="C4999" s="81" t="s">
        <v>4621</v>
      </c>
      <c r="D4999" s="83" t="s">
        <v>4608</v>
      </c>
      <c r="E4999" s="81" t="s">
        <v>2906</v>
      </c>
      <c r="F4999" s="81">
        <v>560.0</v>
      </c>
      <c r="G4999" s="81" t="s">
        <v>2</v>
      </c>
      <c r="H4999" s="81" t="s">
        <v>224</v>
      </c>
      <c r="I4999" s="81" t="s">
        <v>213</v>
      </c>
      <c r="J4999" s="81" t="s">
        <v>224</v>
      </c>
      <c r="K4999" s="81" t="str">
        <f>IFERROR(__xludf.DUMMYFUNCTION("IF(OR(D4999="""",G4999=""""),"""",IFERROR(LET(
campo,XLOOKUP(TRIM(G4999),ARRAYFORMULA(TRIM('indice columnas'!$A$2:$A$100)),'indice columnas'!$B$2:$B$100,""""),
col,IFERROR(MATCH(campo,Referencia!$A$1:$AZ$1,0),0),
fila,IFERROR(MATCH(TO_TEXT(D4999),ARRAYFOR"&amp;"MULA(TO_TEXT(Referencia!$A$2:$A6238)),0),0),
IF(OR(campo="""",campo=""-""),""NO APLICA"",
IF(col=0,""REVISAR EQUIVALENCIA"",
IF(fila=0,""SKU NO ENCONTRADO"",
LET(
valor,INDEX(Referencia!$A$2:$AZ6238,fila,col),
IF(TRIM(TO_TEXT(valor))=TRIM(TO_TEXT(I4999)),"&amp;"
""OK"",
""NO COINCIDE. Valor verdadero: ""&amp;IF(valor="""",""[VACÍO]"",TO_TEXT(valor))
)
))))
),""ERROR EN FÓRMULA""))"),"OK")</f>
        <v>OK</v>
      </c>
    </row>
    <row r="5000">
      <c r="A5000" s="83" t="s">
        <v>4899</v>
      </c>
      <c r="B5000" s="83" t="s">
        <v>4900</v>
      </c>
      <c r="C5000" s="81" t="s">
        <v>4621</v>
      </c>
      <c r="D5000" s="83" t="s">
        <v>4611</v>
      </c>
      <c r="E5000" s="81" t="s">
        <v>2908</v>
      </c>
      <c r="F5000" s="81">
        <v>561.0</v>
      </c>
      <c r="G5000" s="81" t="s">
        <v>3</v>
      </c>
      <c r="H5000" s="81" t="s">
        <v>224</v>
      </c>
      <c r="I5000" s="81" t="s">
        <v>214</v>
      </c>
      <c r="J5000" s="81" t="s">
        <v>224</v>
      </c>
      <c r="K5000" s="81" t="str">
        <f>IFERROR(__xludf.DUMMYFUNCTION("IF(OR(D5000="""",G5000=""""),"""",IFERROR(LET(
campo,XLOOKUP(TRIM(G5000),ARRAYFORMULA(TRIM('indice columnas'!$A$2:$A$100)),'indice columnas'!$B$2:$B$100,""""),
col,IFERROR(MATCH(campo,Referencia!$A$1:$AZ$1,0),0),
fila,IFERROR(MATCH(TO_TEXT(D5000),ARRAYFOR"&amp;"MULA(TO_TEXT(Referencia!$A$2:$A6238)),0),0),
IF(OR(campo="""",campo=""-""),""NO APLICA"",
IF(col=0,""REVISAR EQUIVALENCIA"",
IF(fila=0,""SKU NO ENCONTRADO"",
LET(
valor,INDEX(Referencia!$A$2:$AZ6238,fila,col),
IF(TRIM(TO_TEXT(valor))=TRIM(TO_TEXT(I5000)),"&amp;"
""OK"",
""NO COINCIDE. Valor verdadero: ""&amp;IF(valor="""",""[VACÍO]"",TO_TEXT(valor))
)
))))
),""ERROR EN FÓRMULA""))"),"OK")</f>
        <v>OK</v>
      </c>
    </row>
    <row r="5001">
      <c r="A5001" s="83" t="s">
        <v>4899</v>
      </c>
      <c r="B5001" s="83" t="s">
        <v>4900</v>
      </c>
      <c r="C5001" s="81" t="s">
        <v>4621</v>
      </c>
      <c r="D5001" s="83" t="s">
        <v>4611</v>
      </c>
      <c r="E5001" s="81" t="s">
        <v>2908</v>
      </c>
      <c r="F5001" s="81">
        <v>561.0</v>
      </c>
      <c r="G5001" s="81" t="s">
        <v>2</v>
      </c>
      <c r="H5001" s="81" t="s">
        <v>224</v>
      </c>
      <c r="I5001" s="81" t="s">
        <v>213</v>
      </c>
      <c r="J5001" s="81" t="s">
        <v>224</v>
      </c>
      <c r="K5001" s="81" t="str">
        <f>IFERROR(__xludf.DUMMYFUNCTION("IF(OR(D5001="""",G5001=""""),"""",IFERROR(LET(
campo,XLOOKUP(TRIM(G5001),ARRAYFORMULA(TRIM('indice columnas'!$A$2:$A$100)),'indice columnas'!$B$2:$B$100,""""),
col,IFERROR(MATCH(campo,Referencia!$A$1:$AZ$1,0),0),
fila,IFERROR(MATCH(TO_TEXT(D5001),ARRAYFOR"&amp;"MULA(TO_TEXT(Referencia!$A$2:$A6238)),0),0),
IF(OR(campo="""",campo=""-""),""NO APLICA"",
IF(col=0,""REVISAR EQUIVALENCIA"",
IF(fila=0,""SKU NO ENCONTRADO"",
LET(
valor,INDEX(Referencia!$A$2:$AZ6238,fila,col),
IF(TRIM(TO_TEXT(valor))=TRIM(TO_TEXT(I5001)),"&amp;"
""OK"",
""NO COINCIDE. Valor verdadero: ""&amp;IF(valor="""",""[VACÍO]"",TO_TEXT(valor))
)
))))
),""ERROR EN FÓRMULA""))"),"OK")</f>
        <v>OK</v>
      </c>
    </row>
    <row r="5002">
      <c r="A5002" s="83" t="s">
        <v>4899</v>
      </c>
      <c r="B5002" s="83" t="s">
        <v>4900</v>
      </c>
      <c r="C5002" s="81" t="s">
        <v>4621</v>
      </c>
      <c r="D5002" s="83" t="s">
        <v>4614</v>
      </c>
      <c r="E5002" s="81" t="s">
        <v>2922</v>
      </c>
      <c r="F5002" s="81">
        <v>564.0</v>
      </c>
      <c r="G5002" s="81" t="s">
        <v>3</v>
      </c>
      <c r="H5002" s="81" t="s">
        <v>224</v>
      </c>
      <c r="I5002" s="81" t="s">
        <v>214</v>
      </c>
      <c r="J5002" s="81" t="s">
        <v>224</v>
      </c>
      <c r="K5002" s="81" t="str">
        <f>IFERROR(__xludf.DUMMYFUNCTION("IF(OR(D5002="""",G5002=""""),"""",IFERROR(LET(
campo,XLOOKUP(TRIM(G5002),ARRAYFORMULA(TRIM('indice columnas'!$A$2:$A$100)),'indice columnas'!$B$2:$B$100,""""),
col,IFERROR(MATCH(campo,Referencia!$A$1:$AZ$1,0),0),
fila,IFERROR(MATCH(TO_TEXT(D5002),ARRAYFOR"&amp;"MULA(TO_TEXT(Referencia!$A$2:$A6238)),0),0),
IF(OR(campo="""",campo=""-""),""NO APLICA"",
IF(col=0,""REVISAR EQUIVALENCIA"",
IF(fila=0,""SKU NO ENCONTRADO"",
LET(
valor,INDEX(Referencia!$A$2:$AZ6238,fila,col),
IF(TRIM(TO_TEXT(valor))=TRIM(TO_TEXT(I5002)),"&amp;"
""OK"",
""NO COINCIDE. Valor verdadero: ""&amp;IF(valor="""",""[VACÍO]"",TO_TEXT(valor))
)
))))
),""ERROR EN FÓRMULA""))"),"OK")</f>
        <v>OK</v>
      </c>
    </row>
    <row r="5003">
      <c r="A5003" s="83" t="s">
        <v>4899</v>
      </c>
      <c r="B5003" s="83" t="s">
        <v>4900</v>
      </c>
      <c r="C5003" s="81" t="s">
        <v>4621</v>
      </c>
      <c r="D5003" s="83" t="s">
        <v>4614</v>
      </c>
      <c r="E5003" s="81" t="s">
        <v>2922</v>
      </c>
      <c r="F5003" s="81">
        <v>564.0</v>
      </c>
      <c r="G5003" s="81" t="s">
        <v>2</v>
      </c>
      <c r="H5003" s="81" t="s">
        <v>224</v>
      </c>
      <c r="I5003" s="81" t="s">
        <v>213</v>
      </c>
      <c r="J5003" s="81" t="s">
        <v>224</v>
      </c>
      <c r="K5003" s="81" t="str">
        <f>IFERROR(__xludf.DUMMYFUNCTION("IF(OR(D5003="""",G5003=""""),"""",IFERROR(LET(
campo,XLOOKUP(TRIM(G5003),ARRAYFORMULA(TRIM('indice columnas'!$A$2:$A$100)),'indice columnas'!$B$2:$B$100,""""),
col,IFERROR(MATCH(campo,Referencia!$A$1:$AZ$1,0),0),
fila,IFERROR(MATCH(TO_TEXT(D5003),ARRAYFOR"&amp;"MULA(TO_TEXT(Referencia!$A$2:$A6238)),0),0),
IF(OR(campo="""",campo=""-""),""NO APLICA"",
IF(col=0,""REVISAR EQUIVALENCIA"",
IF(fila=0,""SKU NO ENCONTRADO"",
LET(
valor,INDEX(Referencia!$A$2:$AZ6238,fila,col),
IF(TRIM(TO_TEXT(valor))=TRIM(TO_TEXT(I5003)),"&amp;"
""OK"",
""NO COINCIDE. Valor verdadero: ""&amp;IF(valor="""",""[VACÍO]"",TO_TEXT(valor))
)
))))
),""ERROR EN FÓRMULA""))"),"OK")</f>
        <v>OK</v>
      </c>
    </row>
    <row r="5004">
      <c r="A5004" s="83" t="s">
        <v>4899</v>
      </c>
      <c r="B5004" s="83" t="s">
        <v>4900</v>
      </c>
      <c r="C5004" s="81" t="s">
        <v>4621</v>
      </c>
      <c r="D5004" s="83" t="s">
        <v>4616</v>
      </c>
      <c r="E5004" s="81" t="s">
        <v>2930</v>
      </c>
      <c r="F5004" s="81">
        <v>565.0</v>
      </c>
      <c r="G5004" s="81" t="s">
        <v>3</v>
      </c>
      <c r="H5004" s="81" t="s">
        <v>224</v>
      </c>
      <c r="I5004" s="81" t="s">
        <v>214</v>
      </c>
      <c r="J5004" s="81" t="s">
        <v>224</v>
      </c>
      <c r="K5004" s="81" t="str">
        <f>IFERROR(__xludf.DUMMYFUNCTION("IF(OR(D5004="""",G5004=""""),"""",IFERROR(LET(
campo,XLOOKUP(TRIM(G5004),ARRAYFORMULA(TRIM('indice columnas'!$A$2:$A$100)),'indice columnas'!$B$2:$B$100,""""),
col,IFERROR(MATCH(campo,Referencia!$A$1:$AZ$1,0),0),
fila,IFERROR(MATCH(TO_TEXT(D5004),ARRAYFOR"&amp;"MULA(TO_TEXT(Referencia!$A$2:$A6238)),0),0),
IF(OR(campo="""",campo=""-""),""NO APLICA"",
IF(col=0,""REVISAR EQUIVALENCIA"",
IF(fila=0,""SKU NO ENCONTRADO"",
LET(
valor,INDEX(Referencia!$A$2:$AZ6238,fila,col),
IF(TRIM(TO_TEXT(valor))=TRIM(TO_TEXT(I5004)),"&amp;"
""OK"",
""NO COINCIDE. Valor verdadero: ""&amp;IF(valor="""",""[VACÍO]"",TO_TEXT(valor))
)
))))
),""ERROR EN FÓRMULA""))"),"OK")</f>
        <v>OK</v>
      </c>
    </row>
    <row r="5005">
      <c r="A5005" s="83" t="s">
        <v>4899</v>
      </c>
      <c r="B5005" s="83" t="s">
        <v>4900</v>
      </c>
      <c r="C5005" s="81" t="s">
        <v>4621</v>
      </c>
      <c r="D5005" s="83" t="s">
        <v>4616</v>
      </c>
      <c r="E5005" s="81" t="s">
        <v>2930</v>
      </c>
      <c r="F5005" s="81">
        <v>565.0</v>
      </c>
      <c r="G5005" s="81" t="s">
        <v>2</v>
      </c>
      <c r="H5005" s="81" t="s">
        <v>224</v>
      </c>
      <c r="I5005" s="81" t="s">
        <v>213</v>
      </c>
      <c r="J5005" s="81" t="s">
        <v>224</v>
      </c>
      <c r="K5005" s="81" t="str">
        <f>IFERROR(__xludf.DUMMYFUNCTION("IF(OR(D5005="""",G5005=""""),"""",IFERROR(LET(
campo,XLOOKUP(TRIM(G5005),ARRAYFORMULA(TRIM('indice columnas'!$A$2:$A$100)),'indice columnas'!$B$2:$B$100,""""),
col,IFERROR(MATCH(campo,Referencia!$A$1:$AZ$1,0),0),
fila,IFERROR(MATCH(TO_TEXT(D5005),ARRAYFOR"&amp;"MULA(TO_TEXT(Referencia!$A$2:$A6238)),0),0),
IF(OR(campo="""",campo=""-""),""NO APLICA"",
IF(col=0,""REVISAR EQUIVALENCIA"",
IF(fila=0,""SKU NO ENCONTRADO"",
LET(
valor,INDEX(Referencia!$A$2:$AZ6238,fila,col),
IF(TRIM(TO_TEXT(valor))=TRIM(TO_TEXT(I5005)),"&amp;"
""OK"",
""NO COINCIDE. Valor verdadero: ""&amp;IF(valor="""",""[VACÍO]"",TO_TEXT(valor))
)
))))
),""ERROR EN FÓRMULA""))"),"OK")</f>
        <v>OK</v>
      </c>
    </row>
    <row r="5006">
      <c r="A5006" s="83" t="s">
        <v>4899</v>
      </c>
      <c r="B5006" s="83" t="s">
        <v>4900</v>
      </c>
      <c r="C5006" s="81" t="s">
        <v>4621</v>
      </c>
      <c r="D5006" s="83" t="s">
        <v>4617</v>
      </c>
      <c r="E5006" s="81" t="s">
        <v>2933</v>
      </c>
      <c r="F5006" s="81">
        <v>566.0</v>
      </c>
      <c r="G5006" s="81" t="s">
        <v>3</v>
      </c>
      <c r="H5006" s="81" t="s">
        <v>224</v>
      </c>
      <c r="I5006" s="81" t="s">
        <v>214</v>
      </c>
      <c r="J5006" s="81" t="s">
        <v>224</v>
      </c>
      <c r="K5006" s="81" t="str">
        <f>IFERROR(__xludf.DUMMYFUNCTION("IF(OR(D5006="""",G5006=""""),"""",IFERROR(LET(
campo,XLOOKUP(TRIM(G5006),ARRAYFORMULA(TRIM('indice columnas'!$A$2:$A$100)),'indice columnas'!$B$2:$B$100,""""),
col,IFERROR(MATCH(campo,Referencia!$A$1:$AZ$1,0),0),
fila,IFERROR(MATCH(TO_TEXT(D5006),ARRAYFOR"&amp;"MULA(TO_TEXT(Referencia!$A$2:$A6238)),0),0),
IF(OR(campo="""",campo=""-""),""NO APLICA"",
IF(col=0,""REVISAR EQUIVALENCIA"",
IF(fila=0,""SKU NO ENCONTRADO"",
LET(
valor,INDEX(Referencia!$A$2:$AZ6238,fila,col),
IF(TRIM(TO_TEXT(valor))=TRIM(TO_TEXT(I5006)),"&amp;"
""OK"",
""NO COINCIDE. Valor verdadero: ""&amp;IF(valor="""",""[VACÍO]"",TO_TEXT(valor))
)
))))
),""ERROR EN FÓRMULA""))"),"OK")</f>
        <v>OK</v>
      </c>
    </row>
    <row r="5007">
      <c r="A5007" s="83" t="s">
        <v>4899</v>
      </c>
      <c r="B5007" s="83" t="s">
        <v>4900</v>
      </c>
      <c r="C5007" s="81" t="s">
        <v>4621</v>
      </c>
      <c r="D5007" s="83" t="s">
        <v>4617</v>
      </c>
      <c r="E5007" s="81" t="s">
        <v>2933</v>
      </c>
      <c r="F5007" s="81">
        <v>566.0</v>
      </c>
      <c r="G5007" s="81" t="s">
        <v>2</v>
      </c>
      <c r="H5007" s="81" t="s">
        <v>224</v>
      </c>
      <c r="I5007" s="81" t="s">
        <v>213</v>
      </c>
      <c r="J5007" s="81" t="s">
        <v>224</v>
      </c>
      <c r="K5007" s="81" t="str">
        <f>IFERROR(__xludf.DUMMYFUNCTION("IF(OR(D5007="""",G5007=""""),"""",IFERROR(LET(
campo,XLOOKUP(TRIM(G5007),ARRAYFORMULA(TRIM('indice columnas'!$A$2:$A$100)),'indice columnas'!$B$2:$B$100,""""),
col,IFERROR(MATCH(campo,Referencia!$A$1:$AZ$1,0),0),
fila,IFERROR(MATCH(TO_TEXT(D5007),ARRAYFOR"&amp;"MULA(TO_TEXT(Referencia!$A$2:$A6238)),0),0),
IF(OR(campo="""",campo=""-""),""NO APLICA"",
IF(col=0,""REVISAR EQUIVALENCIA"",
IF(fila=0,""SKU NO ENCONTRADO"",
LET(
valor,INDEX(Referencia!$A$2:$AZ6238,fila,col),
IF(TRIM(TO_TEXT(valor))=TRIM(TO_TEXT(I5007)),"&amp;"
""OK"",
""NO COINCIDE. Valor verdadero: ""&amp;IF(valor="""",""[VACÍO]"",TO_TEXT(valor))
)
))))
),""ERROR EN FÓRMULA""))"),"OK")</f>
        <v>OK</v>
      </c>
    </row>
    <row r="5008">
      <c r="A5008" s="83" t="s">
        <v>4899</v>
      </c>
      <c r="B5008" s="83" t="s">
        <v>4900</v>
      </c>
      <c r="C5008" s="81" t="s">
        <v>4621</v>
      </c>
      <c r="D5008" s="83" t="s">
        <v>4627</v>
      </c>
      <c r="E5008" s="81" t="s">
        <v>2962</v>
      </c>
      <c r="F5008" s="81">
        <v>570.0</v>
      </c>
      <c r="G5008" s="81" t="s">
        <v>3</v>
      </c>
      <c r="H5008" s="81" t="s">
        <v>224</v>
      </c>
      <c r="I5008" s="81" t="s">
        <v>214</v>
      </c>
      <c r="J5008" s="81" t="s">
        <v>224</v>
      </c>
      <c r="K5008" s="81" t="str">
        <f>IFERROR(__xludf.DUMMYFUNCTION("IF(OR(D5008="""",G5008=""""),"""",IFERROR(LET(
campo,XLOOKUP(TRIM(G5008),ARRAYFORMULA(TRIM('indice columnas'!$A$2:$A$100)),'indice columnas'!$B$2:$B$100,""""),
col,IFERROR(MATCH(campo,Referencia!$A$1:$AZ$1,0),0),
fila,IFERROR(MATCH(TO_TEXT(D5008),ARRAYFOR"&amp;"MULA(TO_TEXT(Referencia!$A$2:$A6238)),0),0),
IF(OR(campo="""",campo=""-""),""NO APLICA"",
IF(col=0,""REVISAR EQUIVALENCIA"",
IF(fila=0,""SKU NO ENCONTRADO"",
LET(
valor,INDEX(Referencia!$A$2:$AZ6238,fila,col),
IF(TRIM(TO_TEXT(valor))=TRIM(TO_TEXT(I5008)),"&amp;"
""OK"",
""NO COINCIDE. Valor verdadero: ""&amp;IF(valor="""",""[VACÍO]"",TO_TEXT(valor))
)
))))
),""ERROR EN FÓRMULA""))"),"OK")</f>
        <v>OK</v>
      </c>
    </row>
    <row r="5009">
      <c r="A5009" s="83" t="s">
        <v>4899</v>
      </c>
      <c r="B5009" s="83" t="s">
        <v>4900</v>
      </c>
      <c r="C5009" s="81" t="s">
        <v>4621</v>
      </c>
      <c r="D5009" s="83" t="s">
        <v>4627</v>
      </c>
      <c r="E5009" s="81" t="s">
        <v>2962</v>
      </c>
      <c r="F5009" s="81">
        <v>570.0</v>
      </c>
      <c r="G5009" s="81" t="s">
        <v>2</v>
      </c>
      <c r="H5009" s="81" t="s">
        <v>224</v>
      </c>
      <c r="I5009" s="81" t="s">
        <v>213</v>
      </c>
      <c r="J5009" s="81" t="s">
        <v>224</v>
      </c>
      <c r="K5009" s="81" t="str">
        <f>IFERROR(__xludf.DUMMYFUNCTION("IF(OR(D5009="""",G5009=""""),"""",IFERROR(LET(
campo,XLOOKUP(TRIM(G5009),ARRAYFORMULA(TRIM('indice columnas'!$A$2:$A$100)),'indice columnas'!$B$2:$B$100,""""),
col,IFERROR(MATCH(campo,Referencia!$A$1:$AZ$1,0),0),
fila,IFERROR(MATCH(TO_TEXT(D5009),ARRAYFOR"&amp;"MULA(TO_TEXT(Referencia!$A$2:$A6238)),0),0),
IF(OR(campo="""",campo=""-""),""NO APLICA"",
IF(col=0,""REVISAR EQUIVALENCIA"",
IF(fila=0,""SKU NO ENCONTRADO"",
LET(
valor,INDEX(Referencia!$A$2:$AZ6238,fila,col),
IF(TRIM(TO_TEXT(valor))=TRIM(TO_TEXT(I5009)),"&amp;"
""OK"",
""NO COINCIDE. Valor verdadero: ""&amp;IF(valor="""",""[VACÍO]"",TO_TEXT(valor))
)
))))
),""ERROR EN FÓRMULA""))"),"OK")</f>
        <v>OK</v>
      </c>
    </row>
    <row r="5010">
      <c r="A5010" s="83" t="s">
        <v>4899</v>
      </c>
      <c r="B5010" s="83" t="s">
        <v>4900</v>
      </c>
      <c r="C5010" s="81" t="s">
        <v>4621</v>
      </c>
      <c r="D5010" s="83" t="s">
        <v>4627</v>
      </c>
      <c r="E5010" s="81" t="s">
        <v>2962</v>
      </c>
      <c r="F5010" s="81">
        <v>570.0</v>
      </c>
      <c r="G5010" s="81" t="s">
        <v>1</v>
      </c>
      <c r="H5010" s="81" t="s">
        <v>224</v>
      </c>
      <c r="I5010" s="81" t="s">
        <v>49</v>
      </c>
      <c r="J5010" s="81" t="s">
        <v>224</v>
      </c>
      <c r="K5010" s="81" t="str">
        <f>IFERROR(__xludf.DUMMYFUNCTION("IF(OR(D5010="""",G5010=""""),"""",IFERROR(LET(
campo,XLOOKUP(TRIM(G5010),ARRAYFORMULA(TRIM('indice columnas'!$A$2:$A$100)),'indice columnas'!$B$2:$B$100,""""),
col,IFERROR(MATCH(campo,Referencia!$A$1:$AZ$1,0),0),
fila,IFERROR(MATCH(TO_TEXT(D5010),ARRAYFOR"&amp;"MULA(TO_TEXT(Referencia!$A$2:$A6238)),0),0),
IF(OR(campo="""",campo=""-""),""NO APLICA"",
IF(col=0,""REVISAR EQUIVALENCIA"",
IF(fila=0,""SKU NO ENCONTRADO"",
LET(
valor,INDEX(Referencia!$A$2:$AZ6238,fila,col),
IF(TRIM(TO_TEXT(valor))=TRIM(TO_TEXT(I5010)),"&amp;"
""OK"",
""NO COINCIDE. Valor verdadero: ""&amp;IF(valor="""",""[VACÍO]"",TO_TEXT(valor))
)
))))
),""ERROR EN FÓRMULA""))"),"OK")</f>
        <v>OK</v>
      </c>
    </row>
    <row r="5011">
      <c r="A5011" s="83" t="s">
        <v>4899</v>
      </c>
      <c r="B5011" s="83" t="s">
        <v>4900</v>
      </c>
      <c r="C5011" s="81" t="s">
        <v>4621</v>
      </c>
      <c r="D5011" s="83" t="s">
        <v>4630</v>
      </c>
      <c r="E5011" s="81" t="s">
        <v>2979</v>
      </c>
      <c r="F5011" s="81">
        <v>573.0</v>
      </c>
      <c r="G5011" s="81" t="s">
        <v>3</v>
      </c>
      <c r="H5011" s="81" t="s">
        <v>224</v>
      </c>
      <c r="I5011" s="81" t="s">
        <v>214</v>
      </c>
      <c r="J5011" s="81" t="s">
        <v>224</v>
      </c>
      <c r="K5011" s="81" t="str">
        <f>IFERROR(__xludf.DUMMYFUNCTION("IF(OR(D5011="""",G5011=""""),"""",IFERROR(LET(
campo,XLOOKUP(TRIM(G5011),ARRAYFORMULA(TRIM('indice columnas'!$A$2:$A$100)),'indice columnas'!$B$2:$B$100,""""),
col,IFERROR(MATCH(campo,Referencia!$A$1:$AZ$1,0),0),
fila,IFERROR(MATCH(TO_TEXT(D5011),ARRAYFOR"&amp;"MULA(TO_TEXT(Referencia!$A$2:$A6238)),0),0),
IF(OR(campo="""",campo=""-""),""NO APLICA"",
IF(col=0,""REVISAR EQUIVALENCIA"",
IF(fila=0,""SKU NO ENCONTRADO"",
LET(
valor,INDEX(Referencia!$A$2:$AZ6238,fila,col),
IF(TRIM(TO_TEXT(valor))=TRIM(TO_TEXT(I5011)),"&amp;"
""OK"",
""NO COINCIDE. Valor verdadero: ""&amp;IF(valor="""",""[VACÍO]"",TO_TEXT(valor))
)
))))
),""ERROR EN FÓRMULA""))"),"OK")</f>
        <v>OK</v>
      </c>
    </row>
    <row r="5012">
      <c r="A5012" s="83" t="s">
        <v>4899</v>
      </c>
      <c r="B5012" s="83" t="s">
        <v>4900</v>
      </c>
      <c r="C5012" s="81" t="s">
        <v>4621</v>
      </c>
      <c r="D5012" s="83" t="s">
        <v>4630</v>
      </c>
      <c r="E5012" s="81" t="s">
        <v>2979</v>
      </c>
      <c r="F5012" s="81">
        <v>573.0</v>
      </c>
      <c r="G5012" s="81" t="s">
        <v>2</v>
      </c>
      <c r="H5012" s="81" t="s">
        <v>224</v>
      </c>
      <c r="I5012" s="81" t="s">
        <v>213</v>
      </c>
      <c r="J5012" s="81" t="s">
        <v>224</v>
      </c>
      <c r="K5012" s="81" t="str">
        <f>IFERROR(__xludf.DUMMYFUNCTION("IF(OR(D5012="""",G5012=""""),"""",IFERROR(LET(
campo,XLOOKUP(TRIM(G5012),ARRAYFORMULA(TRIM('indice columnas'!$A$2:$A$100)),'indice columnas'!$B$2:$B$100,""""),
col,IFERROR(MATCH(campo,Referencia!$A$1:$AZ$1,0),0),
fila,IFERROR(MATCH(TO_TEXT(D5012),ARRAYFOR"&amp;"MULA(TO_TEXT(Referencia!$A$2:$A6238)),0),0),
IF(OR(campo="""",campo=""-""),""NO APLICA"",
IF(col=0,""REVISAR EQUIVALENCIA"",
IF(fila=0,""SKU NO ENCONTRADO"",
LET(
valor,INDEX(Referencia!$A$2:$AZ6238,fila,col),
IF(TRIM(TO_TEXT(valor))=TRIM(TO_TEXT(I5012)),"&amp;"
""OK"",
""NO COINCIDE. Valor verdadero: ""&amp;IF(valor="""",""[VACÍO]"",TO_TEXT(valor))
)
))))
),""ERROR EN FÓRMULA""))"),"OK")</f>
        <v>OK</v>
      </c>
    </row>
    <row r="5013">
      <c r="A5013" s="83" t="s">
        <v>4899</v>
      </c>
      <c r="B5013" s="83" t="s">
        <v>4900</v>
      </c>
      <c r="C5013" s="81" t="s">
        <v>4621</v>
      </c>
      <c r="D5013" s="83" t="s">
        <v>4630</v>
      </c>
      <c r="E5013" s="81" t="s">
        <v>2979</v>
      </c>
      <c r="F5013" s="81">
        <v>573.0</v>
      </c>
      <c r="G5013" s="81" t="s">
        <v>1</v>
      </c>
      <c r="H5013" s="81" t="s">
        <v>224</v>
      </c>
      <c r="I5013" s="81" t="s">
        <v>49</v>
      </c>
      <c r="J5013" s="81" t="s">
        <v>224</v>
      </c>
      <c r="K5013" s="81" t="str">
        <f>IFERROR(__xludf.DUMMYFUNCTION("IF(OR(D5013="""",G5013=""""),"""",IFERROR(LET(
campo,XLOOKUP(TRIM(G5013),ARRAYFORMULA(TRIM('indice columnas'!$A$2:$A$100)),'indice columnas'!$B$2:$B$100,""""),
col,IFERROR(MATCH(campo,Referencia!$A$1:$AZ$1,0),0),
fila,IFERROR(MATCH(TO_TEXT(D5013),ARRAYFOR"&amp;"MULA(TO_TEXT(Referencia!$A$2:$A6238)),0),0),
IF(OR(campo="""",campo=""-""),""NO APLICA"",
IF(col=0,""REVISAR EQUIVALENCIA"",
IF(fila=0,""SKU NO ENCONTRADO"",
LET(
valor,INDEX(Referencia!$A$2:$AZ6238,fila,col),
IF(TRIM(TO_TEXT(valor))=TRIM(TO_TEXT(I5013)),"&amp;"
""OK"",
""NO COINCIDE. Valor verdadero: ""&amp;IF(valor="""",""[VACÍO]"",TO_TEXT(valor))
)
))))
),""ERROR EN FÓRMULA""))"),"OK")</f>
        <v>OK</v>
      </c>
    </row>
    <row r="5014">
      <c r="A5014" s="83" t="s">
        <v>4899</v>
      </c>
      <c r="B5014" s="83" t="s">
        <v>4900</v>
      </c>
      <c r="C5014" s="81" t="s">
        <v>4621</v>
      </c>
      <c r="D5014" s="83" t="s">
        <v>4633</v>
      </c>
      <c r="E5014" s="81" t="s">
        <v>2996</v>
      </c>
      <c r="F5014" s="81">
        <v>576.0</v>
      </c>
      <c r="G5014" s="81" t="s">
        <v>3</v>
      </c>
      <c r="H5014" s="81" t="s">
        <v>224</v>
      </c>
      <c r="I5014" s="81" t="s">
        <v>214</v>
      </c>
      <c r="J5014" s="81" t="s">
        <v>224</v>
      </c>
      <c r="K5014" s="81" t="str">
        <f>IFERROR(__xludf.DUMMYFUNCTION("IF(OR(D5014="""",G5014=""""),"""",IFERROR(LET(
campo,XLOOKUP(TRIM(G5014),ARRAYFORMULA(TRIM('indice columnas'!$A$2:$A$100)),'indice columnas'!$B$2:$B$100,""""),
col,IFERROR(MATCH(campo,Referencia!$A$1:$AZ$1,0),0),
fila,IFERROR(MATCH(TO_TEXT(D5014),ARRAYFOR"&amp;"MULA(TO_TEXT(Referencia!$A$2:$A6238)),0),0),
IF(OR(campo="""",campo=""-""),""NO APLICA"",
IF(col=0,""REVISAR EQUIVALENCIA"",
IF(fila=0,""SKU NO ENCONTRADO"",
LET(
valor,INDEX(Referencia!$A$2:$AZ6238,fila,col),
IF(TRIM(TO_TEXT(valor))=TRIM(TO_TEXT(I5014)),"&amp;"
""OK"",
""NO COINCIDE. Valor verdadero: ""&amp;IF(valor="""",""[VACÍO]"",TO_TEXT(valor))
)
))))
),""ERROR EN FÓRMULA""))"),"OK")</f>
        <v>OK</v>
      </c>
    </row>
    <row r="5015">
      <c r="A5015" s="83" t="s">
        <v>4899</v>
      </c>
      <c r="B5015" s="83" t="s">
        <v>4900</v>
      </c>
      <c r="C5015" s="81" t="s">
        <v>4621</v>
      </c>
      <c r="D5015" s="83" t="s">
        <v>4633</v>
      </c>
      <c r="E5015" s="81" t="s">
        <v>2996</v>
      </c>
      <c r="F5015" s="81">
        <v>576.0</v>
      </c>
      <c r="G5015" s="81" t="s">
        <v>2</v>
      </c>
      <c r="H5015" s="81" t="s">
        <v>224</v>
      </c>
      <c r="I5015" s="81" t="s">
        <v>213</v>
      </c>
      <c r="J5015" s="81" t="s">
        <v>224</v>
      </c>
      <c r="K5015" s="81" t="str">
        <f>IFERROR(__xludf.DUMMYFUNCTION("IF(OR(D5015="""",G5015=""""),"""",IFERROR(LET(
campo,XLOOKUP(TRIM(G5015),ARRAYFORMULA(TRIM('indice columnas'!$A$2:$A$100)),'indice columnas'!$B$2:$B$100,""""),
col,IFERROR(MATCH(campo,Referencia!$A$1:$AZ$1,0),0),
fila,IFERROR(MATCH(TO_TEXT(D5015),ARRAYFOR"&amp;"MULA(TO_TEXT(Referencia!$A$2:$A6238)),0),0),
IF(OR(campo="""",campo=""-""),""NO APLICA"",
IF(col=0,""REVISAR EQUIVALENCIA"",
IF(fila=0,""SKU NO ENCONTRADO"",
LET(
valor,INDEX(Referencia!$A$2:$AZ6238,fila,col),
IF(TRIM(TO_TEXT(valor))=TRIM(TO_TEXT(I5015)),"&amp;"
""OK"",
""NO COINCIDE. Valor verdadero: ""&amp;IF(valor="""",""[VACÍO]"",TO_TEXT(valor))
)
))))
),""ERROR EN FÓRMULA""))"),"OK")</f>
        <v>OK</v>
      </c>
    </row>
    <row r="5016">
      <c r="A5016" s="83" t="s">
        <v>4899</v>
      </c>
      <c r="B5016" s="83" t="s">
        <v>4900</v>
      </c>
      <c r="C5016" s="81" t="s">
        <v>4621</v>
      </c>
      <c r="D5016" s="83" t="s">
        <v>4633</v>
      </c>
      <c r="E5016" s="81" t="s">
        <v>2996</v>
      </c>
      <c r="F5016" s="81">
        <v>576.0</v>
      </c>
      <c r="G5016" s="81" t="s">
        <v>1</v>
      </c>
      <c r="H5016" s="81" t="s">
        <v>224</v>
      </c>
      <c r="I5016" s="81" t="s">
        <v>49</v>
      </c>
      <c r="J5016" s="81" t="s">
        <v>224</v>
      </c>
      <c r="K5016" s="81" t="str">
        <f>IFERROR(__xludf.DUMMYFUNCTION("IF(OR(D5016="""",G5016=""""),"""",IFERROR(LET(
campo,XLOOKUP(TRIM(G5016),ARRAYFORMULA(TRIM('indice columnas'!$A$2:$A$100)),'indice columnas'!$B$2:$B$100,""""),
col,IFERROR(MATCH(campo,Referencia!$A$1:$AZ$1,0),0),
fila,IFERROR(MATCH(TO_TEXT(D5016),ARRAYFOR"&amp;"MULA(TO_TEXT(Referencia!$A$2:$A6238)),0),0),
IF(OR(campo="""",campo=""-""),""NO APLICA"",
IF(col=0,""REVISAR EQUIVALENCIA"",
IF(fila=0,""SKU NO ENCONTRADO"",
LET(
valor,INDEX(Referencia!$A$2:$AZ6238,fila,col),
IF(TRIM(TO_TEXT(valor))=TRIM(TO_TEXT(I5016)),"&amp;"
""OK"",
""NO COINCIDE. Valor verdadero: ""&amp;IF(valor="""",""[VACÍO]"",TO_TEXT(valor))
)
))))
),""ERROR EN FÓRMULA""))"),"OK")</f>
        <v>OK</v>
      </c>
    </row>
    <row r="5017">
      <c r="A5017" s="83" t="s">
        <v>4899</v>
      </c>
      <c r="B5017" s="83" t="s">
        <v>4900</v>
      </c>
      <c r="C5017" s="81" t="s">
        <v>4621</v>
      </c>
      <c r="D5017" s="83" t="s">
        <v>4636</v>
      </c>
      <c r="E5017" s="81" t="s">
        <v>3010</v>
      </c>
      <c r="F5017" s="81">
        <v>579.0</v>
      </c>
      <c r="G5017" s="81" t="s">
        <v>3</v>
      </c>
      <c r="H5017" s="81" t="s">
        <v>224</v>
      </c>
      <c r="I5017" s="81" t="s">
        <v>214</v>
      </c>
      <c r="J5017" s="81" t="s">
        <v>224</v>
      </c>
      <c r="K5017" s="81" t="str">
        <f>IFERROR(__xludf.DUMMYFUNCTION("IF(OR(D5017="""",G5017=""""),"""",IFERROR(LET(
campo,XLOOKUP(TRIM(G5017),ARRAYFORMULA(TRIM('indice columnas'!$A$2:$A$100)),'indice columnas'!$B$2:$B$100,""""),
col,IFERROR(MATCH(campo,Referencia!$A$1:$AZ$1,0),0),
fila,IFERROR(MATCH(TO_TEXT(D5017),ARRAYFOR"&amp;"MULA(TO_TEXT(Referencia!$A$2:$A6238)),0),0),
IF(OR(campo="""",campo=""-""),""NO APLICA"",
IF(col=0,""REVISAR EQUIVALENCIA"",
IF(fila=0,""SKU NO ENCONTRADO"",
LET(
valor,INDEX(Referencia!$A$2:$AZ6238,fila,col),
IF(TRIM(TO_TEXT(valor))=TRIM(TO_TEXT(I5017)),"&amp;"
""OK"",
""NO COINCIDE. Valor verdadero: ""&amp;IF(valor="""",""[VACÍO]"",TO_TEXT(valor))
)
))))
),""ERROR EN FÓRMULA""))"),"OK")</f>
        <v>OK</v>
      </c>
    </row>
    <row r="5018">
      <c r="A5018" s="83" t="s">
        <v>4899</v>
      </c>
      <c r="B5018" s="83" t="s">
        <v>4900</v>
      </c>
      <c r="C5018" s="81" t="s">
        <v>4621</v>
      </c>
      <c r="D5018" s="83" t="s">
        <v>4636</v>
      </c>
      <c r="E5018" s="81" t="s">
        <v>3010</v>
      </c>
      <c r="F5018" s="81">
        <v>579.0</v>
      </c>
      <c r="G5018" s="81" t="s">
        <v>2</v>
      </c>
      <c r="H5018" s="81" t="s">
        <v>224</v>
      </c>
      <c r="I5018" s="81" t="s">
        <v>213</v>
      </c>
      <c r="J5018" s="81" t="s">
        <v>224</v>
      </c>
      <c r="K5018" s="81" t="str">
        <f>IFERROR(__xludf.DUMMYFUNCTION("IF(OR(D5018="""",G5018=""""),"""",IFERROR(LET(
campo,XLOOKUP(TRIM(G5018),ARRAYFORMULA(TRIM('indice columnas'!$A$2:$A$100)),'indice columnas'!$B$2:$B$100,""""),
col,IFERROR(MATCH(campo,Referencia!$A$1:$AZ$1,0),0),
fila,IFERROR(MATCH(TO_TEXT(D5018),ARRAYFOR"&amp;"MULA(TO_TEXT(Referencia!$A$2:$A6238)),0),0),
IF(OR(campo="""",campo=""-""),""NO APLICA"",
IF(col=0,""REVISAR EQUIVALENCIA"",
IF(fila=0,""SKU NO ENCONTRADO"",
LET(
valor,INDEX(Referencia!$A$2:$AZ6238,fila,col),
IF(TRIM(TO_TEXT(valor))=TRIM(TO_TEXT(I5018)),"&amp;"
""OK"",
""NO COINCIDE. Valor verdadero: ""&amp;IF(valor="""",""[VACÍO]"",TO_TEXT(valor))
)
))))
),""ERROR EN FÓRMULA""))"),"OK")</f>
        <v>OK</v>
      </c>
    </row>
    <row r="5019">
      <c r="A5019" s="83" t="s">
        <v>4899</v>
      </c>
      <c r="B5019" s="83" t="s">
        <v>4900</v>
      </c>
      <c r="C5019" s="81" t="s">
        <v>4621</v>
      </c>
      <c r="D5019" s="83" t="s">
        <v>4636</v>
      </c>
      <c r="E5019" s="81" t="s">
        <v>3010</v>
      </c>
      <c r="F5019" s="81">
        <v>579.0</v>
      </c>
      <c r="G5019" s="81" t="s">
        <v>1</v>
      </c>
      <c r="H5019" s="81" t="s">
        <v>224</v>
      </c>
      <c r="I5019" s="81" t="s">
        <v>49</v>
      </c>
      <c r="J5019" s="81" t="s">
        <v>224</v>
      </c>
      <c r="K5019" s="81" t="str">
        <f>IFERROR(__xludf.DUMMYFUNCTION("IF(OR(D5019="""",G5019=""""),"""",IFERROR(LET(
campo,XLOOKUP(TRIM(G5019),ARRAYFORMULA(TRIM('indice columnas'!$A$2:$A$100)),'indice columnas'!$B$2:$B$100,""""),
col,IFERROR(MATCH(campo,Referencia!$A$1:$AZ$1,0),0),
fila,IFERROR(MATCH(TO_TEXT(D5019),ARRAYFOR"&amp;"MULA(TO_TEXT(Referencia!$A$2:$A6238)),0),0),
IF(OR(campo="""",campo=""-""),""NO APLICA"",
IF(col=0,""REVISAR EQUIVALENCIA"",
IF(fila=0,""SKU NO ENCONTRADO"",
LET(
valor,INDEX(Referencia!$A$2:$AZ6238,fila,col),
IF(TRIM(TO_TEXT(valor))=TRIM(TO_TEXT(I5019)),"&amp;"
""OK"",
""NO COINCIDE. Valor verdadero: ""&amp;IF(valor="""",""[VACÍO]"",TO_TEXT(valor))
)
))))
),""ERROR EN FÓRMULA""))"),"OK")</f>
        <v>OK</v>
      </c>
    </row>
    <row r="5020">
      <c r="A5020" s="83" t="s">
        <v>4899</v>
      </c>
      <c r="B5020" s="83" t="s">
        <v>4900</v>
      </c>
      <c r="C5020" s="81" t="s">
        <v>4621</v>
      </c>
      <c r="D5020" s="83" t="s">
        <v>4639</v>
      </c>
      <c r="E5020" s="81" t="s">
        <v>3027</v>
      </c>
      <c r="F5020" s="81">
        <v>582.0</v>
      </c>
      <c r="G5020" s="81" t="s">
        <v>3</v>
      </c>
      <c r="H5020" s="81" t="s">
        <v>224</v>
      </c>
      <c r="I5020" s="81" t="s">
        <v>214</v>
      </c>
      <c r="J5020" s="81" t="s">
        <v>224</v>
      </c>
      <c r="K5020" s="81" t="str">
        <f>IFERROR(__xludf.DUMMYFUNCTION("IF(OR(D5020="""",G5020=""""),"""",IFERROR(LET(
campo,XLOOKUP(TRIM(G5020),ARRAYFORMULA(TRIM('indice columnas'!$A$2:$A$100)),'indice columnas'!$B$2:$B$100,""""),
col,IFERROR(MATCH(campo,Referencia!$A$1:$AZ$1,0),0),
fila,IFERROR(MATCH(TO_TEXT(D5020),ARRAYFOR"&amp;"MULA(TO_TEXT(Referencia!$A$2:$A6238)),0),0),
IF(OR(campo="""",campo=""-""),""NO APLICA"",
IF(col=0,""REVISAR EQUIVALENCIA"",
IF(fila=0,""SKU NO ENCONTRADO"",
LET(
valor,INDEX(Referencia!$A$2:$AZ6238,fila,col),
IF(TRIM(TO_TEXT(valor))=TRIM(TO_TEXT(I5020)),"&amp;"
""OK"",
""NO COINCIDE. Valor verdadero: ""&amp;IF(valor="""",""[VACÍO]"",TO_TEXT(valor))
)
))))
),""ERROR EN FÓRMULA""))"),"OK")</f>
        <v>OK</v>
      </c>
    </row>
    <row r="5021">
      <c r="A5021" s="83" t="s">
        <v>4899</v>
      </c>
      <c r="B5021" s="83" t="s">
        <v>4900</v>
      </c>
      <c r="C5021" s="81" t="s">
        <v>4621</v>
      </c>
      <c r="D5021" s="83" t="s">
        <v>4639</v>
      </c>
      <c r="E5021" s="81" t="s">
        <v>3027</v>
      </c>
      <c r="F5021" s="81">
        <v>582.0</v>
      </c>
      <c r="G5021" s="81" t="s">
        <v>2</v>
      </c>
      <c r="H5021" s="81" t="s">
        <v>224</v>
      </c>
      <c r="I5021" s="81" t="s">
        <v>213</v>
      </c>
      <c r="J5021" s="81" t="s">
        <v>224</v>
      </c>
      <c r="K5021" s="81" t="str">
        <f>IFERROR(__xludf.DUMMYFUNCTION("IF(OR(D5021="""",G5021=""""),"""",IFERROR(LET(
campo,XLOOKUP(TRIM(G5021),ARRAYFORMULA(TRIM('indice columnas'!$A$2:$A$100)),'indice columnas'!$B$2:$B$100,""""),
col,IFERROR(MATCH(campo,Referencia!$A$1:$AZ$1,0),0),
fila,IFERROR(MATCH(TO_TEXT(D5021),ARRAYFOR"&amp;"MULA(TO_TEXT(Referencia!$A$2:$A6238)),0),0),
IF(OR(campo="""",campo=""-""),""NO APLICA"",
IF(col=0,""REVISAR EQUIVALENCIA"",
IF(fila=0,""SKU NO ENCONTRADO"",
LET(
valor,INDEX(Referencia!$A$2:$AZ6238,fila,col),
IF(TRIM(TO_TEXT(valor))=TRIM(TO_TEXT(I5021)),"&amp;"
""OK"",
""NO COINCIDE. Valor verdadero: ""&amp;IF(valor="""",""[VACÍO]"",TO_TEXT(valor))
)
))))
),""ERROR EN FÓRMULA""))"),"OK")</f>
        <v>OK</v>
      </c>
    </row>
    <row r="5022">
      <c r="A5022" s="83" t="s">
        <v>4899</v>
      </c>
      <c r="B5022" s="83" t="s">
        <v>4900</v>
      </c>
      <c r="C5022" s="81" t="s">
        <v>4621</v>
      </c>
      <c r="D5022" s="83" t="s">
        <v>4639</v>
      </c>
      <c r="E5022" s="81" t="s">
        <v>3027</v>
      </c>
      <c r="F5022" s="81">
        <v>582.0</v>
      </c>
      <c r="G5022" s="81" t="s">
        <v>1</v>
      </c>
      <c r="H5022" s="81" t="s">
        <v>224</v>
      </c>
      <c r="I5022" s="81" t="s">
        <v>49</v>
      </c>
      <c r="J5022" s="81" t="s">
        <v>224</v>
      </c>
      <c r="K5022" s="81" t="str">
        <f>IFERROR(__xludf.DUMMYFUNCTION("IF(OR(D5022="""",G5022=""""),"""",IFERROR(LET(
campo,XLOOKUP(TRIM(G5022),ARRAYFORMULA(TRIM('indice columnas'!$A$2:$A$100)),'indice columnas'!$B$2:$B$100,""""),
col,IFERROR(MATCH(campo,Referencia!$A$1:$AZ$1,0),0),
fila,IFERROR(MATCH(TO_TEXT(D5022),ARRAYFOR"&amp;"MULA(TO_TEXT(Referencia!$A$2:$A6238)),0),0),
IF(OR(campo="""",campo=""-""),""NO APLICA"",
IF(col=0,""REVISAR EQUIVALENCIA"",
IF(fila=0,""SKU NO ENCONTRADO"",
LET(
valor,INDEX(Referencia!$A$2:$AZ6238,fila,col),
IF(TRIM(TO_TEXT(valor))=TRIM(TO_TEXT(I5022)),"&amp;"
""OK"",
""NO COINCIDE. Valor verdadero: ""&amp;IF(valor="""",""[VACÍO]"",TO_TEXT(valor))
)
))))
),""ERROR EN FÓRMULA""))"),"OK")</f>
        <v>OK</v>
      </c>
    </row>
    <row r="5023">
      <c r="A5023" s="83" t="s">
        <v>4899</v>
      </c>
      <c r="B5023" s="83" t="s">
        <v>4900</v>
      </c>
      <c r="C5023" s="81" t="s">
        <v>4621</v>
      </c>
      <c r="D5023" s="83" t="s">
        <v>4644</v>
      </c>
      <c r="E5023" s="81" t="s">
        <v>3059</v>
      </c>
      <c r="F5023" s="81">
        <v>588.0</v>
      </c>
      <c r="G5023" s="81" t="s">
        <v>3</v>
      </c>
      <c r="H5023" s="81" t="s">
        <v>224</v>
      </c>
      <c r="I5023" s="81" t="s">
        <v>214</v>
      </c>
      <c r="J5023" s="81" t="s">
        <v>224</v>
      </c>
      <c r="K5023" s="81" t="str">
        <f>IFERROR(__xludf.DUMMYFUNCTION("IF(OR(D5023="""",G5023=""""),"""",IFERROR(LET(
campo,XLOOKUP(TRIM(G5023),ARRAYFORMULA(TRIM('indice columnas'!$A$2:$A$100)),'indice columnas'!$B$2:$B$100,""""),
col,IFERROR(MATCH(campo,Referencia!$A$1:$AZ$1,0),0),
fila,IFERROR(MATCH(TO_TEXT(D5023),ARRAYFOR"&amp;"MULA(TO_TEXT(Referencia!$A$2:$A6238)),0),0),
IF(OR(campo="""",campo=""-""),""NO APLICA"",
IF(col=0,""REVISAR EQUIVALENCIA"",
IF(fila=0,""SKU NO ENCONTRADO"",
LET(
valor,INDEX(Referencia!$A$2:$AZ6238,fila,col),
IF(TRIM(TO_TEXT(valor))=TRIM(TO_TEXT(I5023)),"&amp;"
""OK"",
""NO COINCIDE. Valor verdadero: ""&amp;IF(valor="""",""[VACÍO]"",TO_TEXT(valor))
)
))))
),""ERROR EN FÓRMULA""))"),"OK")</f>
        <v>OK</v>
      </c>
    </row>
    <row r="5024">
      <c r="A5024" s="83" t="s">
        <v>4899</v>
      </c>
      <c r="B5024" s="83" t="s">
        <v>4900</v>
      </c>
      <c r="C5024" s="81" t="s">
        <v>4621</v>
      </c>
      <c r="D5024" s="83" t="s">
        <v>4644</v>
      </c>
      <c r="E5024" s="81" t="s">
        <v>3059</v>
      </c>
      <c r="F5024" s="81">
        <v>588.0</v>
      </c>
      <c r="G5024" s="81" t="s">
        <v>2</v>
      </c>
      <c r="H5024" s="81" t="s">
        <v>224</v>
      </c>
      <c r="I5024" s="81" t="s">
        <v>213</v>
      </c>
      <c r="J5024" s="81" t="s">
        <v>224</v>
      </c>
      <c r="K5024" s="81" t="str">
        <f>IFERROR(__xludf.DUMMYFUNCTION("IF(OR(D5024="""",G5024=""""),"""",IFERROR(LET(
campo,XLOOKUP(TRIM(G5024),ARRAYFORMULA(TRIM('indice columnas'!$A$2:$A$100)),'indice columnas'!$B$2:$B$100,""""),
col,IFERROR(MATCH(campo,Referencia!$A$1:$AZ$1,0),0),
fila,IFERROR(MATCH(TO_TEXT(D5024),ARRAYFOR"&amp;"MULA(TO_TEXT(Referencia!$A$2:$A6238)),0),0),
IF(OR(campo="""",campo=""-""),""NO APLICA"",
IF(col=0,""REVISAR EQUIVALENCIA"",
IF(fila=0,""SKU NO ENCONTRADO"",
LET(
valor,INDEX(Referencia!$A$2:$AZ6238,fila,col),
IF(TRIM(TO_TEXT(valor))=TRIM(TO_TEXT(I5024)),"&amp;"
""OK"",
""NO COINCIDE. Valor verdadero: ""&amp;IF(valor="""",""[VACÍO]"",TO_TEXT(valor))
)
))))
),""ERROR EN FÓRMULA""))"),"OK")</f>
        <v>OK</v>
      </c>
    </row>
    <row r="5025">
      <c r="A5025" s="83" t="s">
        <v>4899</v>
      </c>
      <c r="B5025" s="83" t="s">
        <v>4900</v>
      </c>
      <c r="C5025" s="81" t="s">
        <v>4621</v>
      </c>
      <c r="D5025" s="83" t="s">
        <v>4644</v>
      </c>
      <c r="E5025" s="81" t="s">
        <v>3059</v>
      </c>
      <c r="F5025" s="81">
        <v>588.0</v>
      </c>
      <c r="G5025" s="81" t="s">
        <v>1</v>
      </c>
      <c r="H5025" s="81" t="s">
        <v>224</v>
      </c>
      <c r="I5025" s="81" t="s">
        <v>49</v>
      </c>
      <c r="J5025" s="81" t="s">
        <v>224</v>
      </c>
      <c r="K5025" s="81" t="str">
        <f>IFERROR(__xludf.DUMMYFUNCTION("IF(OR(D5025="""",G5025=""""),"""",IFERROR(LET(
campo,XLOOKUP(TRIM(G5025),ARRAYFORMULA(TRIM('indice columnas'!$A$2:$A$100)),'indice columnas'!$B$2:$B$100,""""),
col,IFERROR(MATCH(campo,Referencia!$A$1:$AZ$1,0),0),
fila,IFERROR(MATCH(TO_TEXT(D5025),ARRAYFOR"&amp;"MULA(TO_TEXT(Referencia!$A$2:$A6238)),0),0),
IF(OR(campo="""",campo=""-""),""NO APLICA"",
IF(col=0,""REVISAR EQUIVALENCIA"",
IF(fila=0,""SKU NO ENCONTRADO"",
LET(
valor,INDEX(Referencia!$A$2:$AZ6238,fila,col),
IF(TRIM(TO_TEXT(valor))=TRIM(TO_TEXT(I5025)),"&amp;"
""OK"",
""NO COINCIDE. Valor verdadero: ""&amp;IF(valor="""",""[VACÍO]"",TO_TEXT(valor))
)
))))
),""ERROR EN FÓRMULA""))"),"OK")</f>
        <v>OK</v>
      </c>
    </row>
    <row r="5026">
      <c r="A5026" s="83" t="s">
        <v>4899</v>
      </c>
      <c r="B5026" s="83" t="s">
        <v>4900</v>
      </c>
      <c r="C5026" s="81" t="s">
        <v>4621</v>
      </c>
      <c r="D5026" s="83" t="s">
        <v>4647</v>
      </c>
      <c r="E5026" s="81" t="s">
        <v>3074</v>
      </c>
      <c r="F5026" s="81">
        <v>591.0</v>
      </c>
      <c r="G5026" s="81" t="s">
        <v>3</v>
      </c>
      <c r="H5026" s="81" t="s">
        <v>224</v>
      </c>
      <c r="I5026" s="81" t="s">
        <v>214</v>
      </c>
      <c r="J5026" s="81" t="s">
        <v>224</v>
      </c>
      <c r="K5026" s="81" t="str">
        <f>IFERROR(__xludf.DUMMYFUNCTION("IF(OR(D5026="""",G5026=""""),"""",IFERROR(LET(
campo,XLOOKUP(TRIM(G5026),ARRAYFORMULA(TRIM('indice columnas'!$A$2:$A$100)),'indice columnas'!$B$2:$B$100,""""),
col,IFERROR(MATCH(campo,Referencia!$A$1:$AZ$1,0),0),
fila,IFERROR(MATCH(TO_TEXT(D5026),ARRAYFOR"&amp;"MULA(TO_TEXT(Referencia!$A$2:$A6238)),0),0),
IF(OR(campo="""",campo=""-""),""NO APLICA"",
IF(col=0,""REVISAR EQUIVALENCIA"",
IF(fila=0,""SKU NO ENCONTRADO"",
LET(
valor,INDEX(Referencia!$A$2:$AZ6238,fila,col),
IF(TRIM(TO_TEXT(valor))=TRIM(TO_TEXT(I5026)),"&amp;"
""OK"",
""NO COINCIDE. Valor verdadero: ""&amp;IF(valor="""",""[VACÍO]"",TO_TEXT(valor))
)
))))
),""ERROR EN FÓRMULA""))"),"OK")</f>
        <v>OK</v>
      </c>
    </row>
    <row r="5027">
      <c r="A5027" s="83" t="s">
        <v>4899</v>
      </c>
      <c r="B5027" s="83" t="s">
        <v>4900</v>
      </c>
      <c r="C5027" s="81" t="s">
        <v>4621</v>
      </c>
      <c r="D5027" s="83" t="s">
        <v>4647</v>
      </c>
      <c r="E5027" s="81" t="s">
        <v>3074</v>
      </c>
      <c r="F5027" s="81">
        <v>591.0</v>
      </c>
      <c r="G5027" s="81" t="s">
        <v>2</v>
      </c>
      <c r="H5027" s="81" t="s">
        <v>224</v>
      </c>
      <c r="I5027" s="81" t="s">
        <v>213</v>
      </c>
      <c r="J5027" s="81" t="s">
        <v>224</v>
      </c>
      <c r="K5027" s="81" t="str">
        <f>IFERROR(__xludf.DUMMYFUNCTION("IF(OR(D5027="""",G5027=""""),"""",IFERROR(LET(
campo,XLOOKUP(TRIM(G5027),ARRAYFORMULA(TRIM('indice columnas'!$A$2:$A$100)),'indice columnas'!$B$2:$B$100,""""),
col,IFERROR(MATCH(campo,Referencia!$A$1:$AZ$1,0),0),
fila,IFERROR(MATCH(TO_TEXT(D5027),ARRAYFOR"&amp;"MULA(TO_TEXT(Referencia!$A$2:$A6238)),0),0),
IF(OR(campo="""",campo=""-""),""NO APLICA"",
IF(col=0,""REVISAR EQUIVALENCIA"",
IF(fila=0,""SKU NO ENCONTRADO"",
LET(
valor,INDEX(Referencia!$A$2:$AZ6238,fila,col),
IF(TRIM(TO_TEXT(valor))=TRIM(TO_TEXT(I5027)),"&amp;"
""OK"",
""NO COINCIDE. Valor verdadero: ""&amp;IF(valor="""",""[VACÍO]"",TO_TEXT(valor))
)
))))
),""ERROR EN FÓRMULA""))"),"OK")</f>
        <v>OK</v>
      </c>
    </row>
    <row r="5028">
      <c r="A5028" s="83" t="s">
        <v>4899</v>
      </c>
      <c r="B5028" s="83" t="s">
        <v>4900</v>
      </c>
      <c r="C5028" s="81" t="s">
        <v>4621</v>
      </c>
      <c r="D5028" s="83" t="s">
        <v>4647</v>
      </c>
      <c r="E5028" s="81" t="s">
        <v>3074</v>
      </c>
      <c r="F5028" s="81">
        <v>591.0</v>
      </c>
      <c r="G5028" s="81" t="s">
        <v>1</v>
      </c>
      <c r="H5028" s="81" t="s">
        <v>224</v>
      </c>
      <c r="I5028" s="81" t="s">
        <v>49</v>
      </c>
      <c r="J5028" s="81" t="s">
        <v>224</v>
      </c>
      <c r="K5028" s="81" t="str">
        <f>IFERROR(__xludf.DUMMYFUNCTION("IF(OR(D5028="""",G5028=""""),"""",IFERROR(LET(
campo,XLOOKUP(TRIM(G5028),ARRAYFORMULA(TRIM('indice columnas'!$A$2:$A$100)),'indice columnas'!$B$2:$B$100,""""),
col,IFERROR(MATCH(campo,Referencia!$A$1:$AZ$1,0),0),
fila,IFERROR(MATCH(TO_TEXT(D5028),ARRAYFOR"&amp;"MULA(TO_TEXT(Referencia!$A$2:$A6238)),0),0),
IF(OR(campo="""",campo=""-""),""NO APLICA"",
IF(col=0,""REVISAR EQUIVALENCIA"",
IF(fila=0,""SKU NO ENCONTRADO"",
LET(
valor,INDEX(Referencia!$A$2:$AZ6238,fila,col),
IF(TRIM(TO_TEXT(valor))=TRIM(TO_TEXT(I5028)),"&amp;"
""OK"",
""NO COINCIDE. Valor verdadero: ""&amp;IF(valor="""",""[VACÍO]"",TO_TEXT(valor))
)
))))
),""ERROR EN FÓRMULA""))"),"OK")</f>
        <v>OK</v>
      </c>
    </row>
    <row r="5029">
      <c r="A5029" s="83" t="s">
        <v>4899</v>
      </c>
      <c r="B5029" s="83" t="s">
        <v>4900</v>
      </c>
      <c r="C5029" s="81" t="s">
        <v>4621</v>
      </c>
      <c r="D5029" s="83" t="s">
        <v>4674</v>
      </c>
      <c r="E5029" s="81" t="s">
        <v>3183</v>
      </c>
      <c r="F5029" s="81">
        <v>604.0</v>
      </c>
      <c r="G5029" s="81" t="s">
        <v>3</v>
      </c>
      <c r="H5029" s="81" t="s">
        <v>224</v>
      </c>
      <c r="I5029" s="81" t="s">
        <v>214</v>
      </c>
      <c r="J5029" s="81" t="s">
        <v>224</v>
      </c>
      <c r="K5029" s="81" t="str">
        <f>IFERROR(__xludf.DUMMYFUNCTION("IF(OR(D5029="""",G5029=""""),"""",IFERROR(LET(
campo,XLOOKUP(TRIM(G5029),ARRAYFORMULA(TRIM('indice columnas'!$A$2:$A$100)),'indice columnas'!$B$2:$B$100,""""),
col,IFERROR(MATCH(campo,Referencia!$A$1:$AZ$1,0),0),
fila,IFERROR(MATCH(TO_TEXT(D5029),ARRAYFOR"&amp;"MULA(TO_TEXT(Referencia!$A$2:$A6238)),0),0),
IF(OR(campo="""",campo=""-""),""NO APLICA"",
IF(col=0,""REVISAR EQUIVALENCIA"",
IF(fila=0,""SKU NO ENCONTRADO"",
LET(
valor,INDEX(Referencia!$A$2:$AZ6238,fila,col),
IF(TRIM(TO_TEXT(valor))=TRIM(TO_TEXT(I5029)),"&amp;"
""OK"",
""NO COINCIDE. Valor verdadero: ""&amp;IF(valor="""",""[VACÍO]"",TO_TEXT(valor))
)
))))
),""ERROR EN FÓRMULA""))"),"OK")</f>
        <v>OK</v>
      </c>
    </row>
    <row r="5030">
      <c r="A5030" s="83" t="s">
        <v>4899</v>
      </c>
      <c r="B5030" s="83" t="s">
        <v>4900</v>
      </c>
      <c r="C5030" s="81" t="s">
        <v>4621</v>
      </c>
      <c r="D5030" s="83" t="s">
        <v>4674</v>
      </c>
      <c r="E5030" s="81" t="s">
        <v>3183</v>
      </c>
      <c r="F5030" s="81">
        <v>604.0</v>
      </c>
      <c r="G5030" s="81" t="s">
        <v>2</v>
      </c>
      <c r="H5030" s="81" t="s">
        <v>224</v>
      </c>
      <c r="I5030" s="81" t="s">
        <v>213</v>
      </c>
      <c r="J5030" s="81" t="s">
        <v>224</v>
      </c>
      <c r="K5030" s="81" t="str">
        <f>IFERROR(__xludf.DUMMYFUNCTION("IF(OR(D5030="""",G5030=""""),"""",IFERROR(LET(
campo,XLOOKUP(TRIM(G5030),ARRAYFORMULA(TRIM('indice columnas'!$A$2:$A$100)),'indice columnas'!$B$2:$B$100,""""),
col,IFERROR(MATCH(campo,Referencia!$A$1:$AZ$1,0),0),
fila,IFERROR(MATCH(TO_TEXT(D5030),ARRAYFOR"&amp;"MULA(TO_TEXT(Referencia!$A$2:$A6238)),0),0),
IF(OR(campo="""",campo=""-""),""NO APLICA"",
IF(col=0,""REVISAR EQUIVALENCIA"",
IF(fila=0,""SKU NO ENCONTRADO"",
LET(
valor,INDEX(Referencia!$A$2:$AZ6238,fila,col),
IF(TRIM(TO_TEXT(valor))=TRIM(TO_TEXT(I5030)),"&amp;"
""OK"",
""NO COINCIDE. Valor verdadero: ""&amp;IF(valor="""",""[VACÍO]"",TO_TEXT(valor))
)
))))
),""ERROR EN FÓRMULA""))"),"OK")</f>
        <v>OK</v>
      </c>
    </row>
    <row r="5031">
      <c r="A5031" s="83" t="s">
        <v>4899</v>
      </c>
      <c r="B5031" s="83" t="s">
        <v>4900</v>
      </c>
      <c r="C5031" s="81" t="s">
        <v>4621</v>
      </c>
      <c r="D5031" s="83" t="s">
        <v>4674</v>
      </c>
      <c r="E5031" s="81" t="s">
        <v>3183</v>
      </c>
      <c r="F5031" s="81">
        <v>604.0</v>
      </c>
      <c r="G5031" s="81" t="s">
        <v>1</v>
      </c>
      <c r="H5031" s="81" t="s">
        <v>224</v>
      </c>
      <c r="I5031" s="81" t="s">
        <v>49</v>
      </c>
      <c r="J5031" s="81" t="s">
        <v>224</v>
      </c>
      <c r="K5031" s="81" t="str">
        <f>IFERROR(__xludf.DUMMYFUNCTION("IF(OR(D5031="""",G5031=""""),"""",IFERROR(LET(
campo,XLOOKUP(TRIM(G5031),ARRAYFORMULA(TRIM('indice columnas'!$A$2:$A$100)),'indice columnas'!$B$2:$B$100,""""),
col,IFERROR(MATCH(campo,Referencia!$A$1:$AZ$1,0),0),
fila,IFERROR(MATCH(TO_TEXT(D5031),ARRAYFOR"&amp;"MULA(TO_TEXT(Referencia!$A$2:$A6238)),0),0),
IF(OR(campo="""",campo=""-""),""NO APLICA"",
IF(col=0,""REVISAR EQUIVALENCIA"",
IF(fila=0,""SKU NO ENCONTRADO"",
LET(
valor,INDEX(Referencia!$A$2:$AZ6238,fila,col),
IF(TRIM(TO_TEXT(valor))=TRIM(TO_TEXT(I5031)),"&amp;"
""OK"",
""NO COINCIDE. Valor verdadero: ""&amp;IF(valor="""",""[VACÍO]"",TO_TEXT(valor))
)
))))
),""ERROR EN FÓRMULA""))"),"OK")</f>
        <v>OK</v>
      </c>
    </row>
    <row r="5032">
      <c r="A5032" s="83" t="s">
        <v>4899</v>
      </c>
      <c r="B5032" s="83" t="s">
        <v>4900</v>
      </c>
      <c r="C5032" s="81" t="s">
        <v>4621</v>
      </c>
      <c r="D5032" s="83" t="s">
        <v>4675</v>
      </c>
      <c r="E5032" s="81" t="s">
        <v>3186</v>
      </c>
      <c r="F5032" s="81">
        <v>605.0</v>
      </c>
      <c r="G5032" s="81" t="s">
        <v>3</v>
      </c>
      <c r="H5032" s="81" t="s">
        <v>224</v>
      </c>
      <c r="I5032" s="81" t="s">
        <v>214</v>
      </c>
      <c r="J5032" s="81" t="s">
        <v>224</v>
      </c>
      <c r="K5032" s="81" t="str">
        <f>IFERROR(__xludf.DUMMYFUNCTION("IF(OR(D5032="""",G5032=""""),"""",IFERROR(LET(
campo,XLOOKUP(TRIM(G5032),ARRAYFORMULA(TRIM('indice columnas'!$A$2:$A$100)),'indice columnas'!$B$2:$B$100,""""),
col,IFERROR(MATCH(campo,Referencia!$A$1:$AZ$1,0),0),
fila,IFERROR(MATCH(TO_TEXT(D5032),ARRAYFOR"&amp;"MULA(TO_TEXT(Referencia!$A$2:$A6238)),0),0),
IF(OR(campo="""",campo=""-""),""NO APLICA"",
IF(col=0,""REVISAR EQUIVALENCIA"",
IF(fila=0,""SKU NO ENCONTRADO"",
LET(
valor,INDEX(Referencia!$A$2:$AZ6238,fila,col),
IF(TRIM(TO_TEXT(valor))=TRIM(TO_TEXT(I5032)),"&amp;"
""OK"",
""NO COINCIDE. Valor verdadero: ""&amp;IF(valor="""",""[VACÍO]"",TO_TEXT(valor))
)
))))
),""ERROR EN FÓRMULA""))"),"OK")</f>
        <v>OK</v>
      </c>
    </row>
    <row r="5033">
      <c r="A5033" s="83" t="s">
        <v>4899</v>
      </c>
      <c r="B5033" s="83" t="s">
        <v>4900</v>
      </c>
      <c r="C5033" s="81" t="s">
        <v>4621</v>
      </c>
      <c r="D5033" s="83" t="s">
        <v>4675</v>
      </c>
      <c r="E5033" s="81" t="s">
        <v>3186</v>
      </c>
      <c r="F5033" s="81">
        <v>605.0</v>
      </c>
      <c r="G5033" s="81" t="s">
        <v>2</v>
      </c>
      <c r="H5033" s="81" t="s">
        <v>224</v>
      </c>
      <c r="I5033" s="81" t="s">
        <v>213</v>
      </c>
      <c r="J5033" s="81" t="s">
        <v>224</v>
      </c>
      <c r="K5033" s="81" t="str">
        <f>IFERROR(__xludf.DUMMYFUNCTION("IF(OR(D5033="""",G5033=""""),"""",IFERROR(LET(
campo,XLOOKUP(TRIM(G5033),ARRAYFORMULA(TRIM('indice columnas'!$A$2:$A$100)),'indice columnas'!$B$2:$B$100,""""),
col,IFERROR(MATCH(campo,Referencia!$A$1:$AZ$1,0),0),
fila,IFERROR(MATCH(TO_TEXT(D5033),ARRAYFOR"&amp;"MULA(TO_TEXT(Referencia!$A$2:$A6238)),0),0),
IF(OR(campo="""",campo=""-""),""NO APLICA"",
IF(col=0,""REVISAR EQUIVALENCIA"",
IF(fila=0,""SKU NO ENCONTRADO"",
LET(
valor,INDEX(Referencia!$A$2:$AZ6238,fila,col),
IF(TRIM(TO_TEXT(valor))=TRIM(TO_TEXT(I5033)),"&amp;"
""OK"",
""NO COINCIDE. Valor verdadero: ""&amp;IF(valor="""",""[VACÍO]"",TO_TEXT(valor))
)
))))
),""ERROR EN FÓRMULA""))"),"OK")</f>
        <v>OK</v>
      </c>
    </row>
    <row r="5034">
      <c r="A5034" s="83" t="s">
        <v>4899</v>
      </c>
      <c r="B5034" s="83" t="s">
        <v>4900</v>
      </c>
      <c r="C5034" s="81" t="s">
        <v>4621</v>
      </c>
      <c r="D5034" s="83" t="s">
        <v>4675</v>
      </c>
      <c r="E5034" s="81" t="s">
        <v>3186</v>
      </c>
      <c r="F5034" s="81">
        <v>605.0</v>
      </c>
      <c r="G5034" s="81" t="s">
        <v>1</v>
      </c>
      <c r="H5034" s="81" t="s">
        <v>224</v>
      </c>
      <c r="I5034" s="81" t="s">
        <v>49</v>
      </c>
      <c r="J5034" s="81" t="s">
        <v>224</v>
      </c>
      <c r="K5034" s="81" t="str">
        <f>IFERROR(__xludf.DUMMYFUNCTION("IF(OR(D5034="""",G5034=""""),"""",IFERROR(LET(
campo,XLOOKUP(TRIM(G5034),ARRAYFORMULA(TRIM('indice columnas'!$A$2:$A$100)),'indice columnas'!$B$2:$B$100,""""),
col,IFERROR(MATCH(campo,Referencia!$A$1:$AZ$1,0),0),
fila,IFERROR(MATCH(TO_TEXT(D5034),ARRAYFOR"&amp;"MULA(TO_TEXT(Referencia!$A$2:$A6238)),0),0),
IF(OR(campo="""",campo=""-""),""NO APLICA"",
IF(col=0,""REVISAR EQUIVALENCIA"",
IF(fila=0,""SKU NO ENCONTRADO"",
LET(
valor,INDEX(Referencia!$A$2:$AZ6238,fila,col),
IF(TRIM(TO_TEXT(valor))=TRIM(TO_TEXT(I5034)),"&amp;"
""OK"",
""NO COINCIDE. Valor verdadero: ""&amp;IF(valor="""",""[VACÍO]"",TO_TEXT(valor))
)
))))
),""ERROR EN FÓRMULA""))"),"OK")</f>
        <v>OK</v>
      </c>
    </row>
    <row r="5035">
      <c r="A5035" s="83" t="s">
        <v>4899</v>
      </c>
      <c r="B5035" s="83" t="s">
        <v>4900</v>
      </c>
      <c r="C5035" s="81" t="s">
        <v>4621</v>
      </c>
      <c r="D5035" s="83" t="s">
        <v>4678</v>
      </c>
      <c r="E5035" s="81" t="s">
        <v>3209</v>
      </c>
      <c r="F5035" s="81">
        <v>608.0</v>
      </c>
      <c r="G5035" s="81" t="s">
        <v>3</v>
      </c>
      <c r="H5035" s="81" t="s">
        <v>224</v>
      </c>
      <c r="I5035" s="81" t="s">
        <v>214</v>
      </c>
      <c r="J5035" s="81" t="s">
        <v>224</v>
      </c>
      <c r="K5035" s="81" t="str">
        <f>IFERROR(__xludf.DUMMYFUNCTION("IF(OR(D5035="""",G5035=""""),"""",IFERROR(LET(
campo,XLOOKUP(TRIM(G5035),ARRAYFORMULA(TRIM('indice columnas'!$A$2:$A$100)),'indice columnas'!$B$2:$B$100,""""),
col,IFERROR(MATCH(campo,Referencia!$A$1:$AZ$1,0),0),
fila,IFERROR(MATCH(TO_TEXT(D5035),ARRAYFOR"&amp;"MULA(TO_TEXT(Referencia!$A$2:$A6238)),0),0),
IF(OR(campo="""",campo=""-""),""NO APLICA"",
IF(col=0,""REVISAR EQUIVALENCIA"",
IF(fila=0,""SKU NO ENCONTRADO"",
LET(
valor,INDEX(Referencia!$A$2:$AZ6238,fila,col),
IF(TRIM(TO_TEXT(valor))=TRIM(TO_TEXT(I5035)),"&amp;"
""OK"",
""NO COINCIDE. Valor verdadero: ""&amp;IF(valor="""",""[VACÍO]"",TO_TEXT(valor))
)
))))
),""ERROR EN FÓRMULA""))"),"OK")</f>
        <v>OK</v>
      </c>
    </row>
    <row r="5036">
      <c r="A5036" s="83" t="s">
        <v>4899</v>
      </c>
      <c r="B5036" s="83" t="s">
        <v>4900</v>
      </c>
      <c r="C5036" s="81" t="s">
        <v>4621</v>
      </c>
      <c r="D5036" s="83" t="s">
        <v>4678</v>
      </c>
      <c r="E5036" s="81" t="s">
        <v>3209</v>
      </c>
      <c r="F5036" s="81">
        <v>608.0</v>
      </c>
      <c r="G5036" s="81" t="s">
        <v>2</v>
      </c>
      <c r="H5036" s="81" t="s">
        <v>224</v>
      </c>
      <c r="I5036" s="81" t="s">
        <v>213</v>
      </c>
      <c r="J5036" s="81" t="s">
        <v>224</v>
      </c>
      <c r="K5036" s="81" t="str">
        <f>IFERROR(__xludf.DUMMYFUNCTION("IF(OR(D5036="""",G5036=""""),"""",IFERROR(LET(
campo,XLOOKUP(TRIM(G5036),ARRAYFORMULA(TRIM('indice columnas'!$A$2:$A$100)),'indice columnas'!$B$2:$B$100,""""),
col,IFERROR(MATCH(campo,Referencia!$A$1:$AZ$1,0),0),
fila,IFERROR(MATCH(TO_TEXT(D5036),ARRAYFOR"&amp;"MULA(TO_TEXT(Referencia!$A$2:$A6238)),0),0),
IF(OR(campo="""",campo=""-""),""NO APLICA"",
IF(col=0,""REVISAR EQUIVALENCIA"",
IF(fila=0,""SKU NO ENCONTRADO"",
LET(
valor,INDEX(Referencia!$A$2:$AZ6238,fila,col),
IF(TRIM(TO_TEXT(valor))=TRIM(TO_TEXT(I5036)),"&amp;"
""OK"",
""NO COINCIDE. Valor verdadero: ""&amp;IF(valor="""",""[VACÍO]"",TO_TEXT(valor))
)
))))
),""ERROR EN FÓRMULA""))"),"OK")</f>
        <v>OK</v>
      </c>
    </row>
    <row r="5037">
      <c r="A5037" s="83" t="s">
        <v>4899</v>
      </c>
      <c r="B5037" s="83" t="s">
        <v>4900</v>
      </c>
      <c r="C5037" s="81" t="s">
        <v>4621</v>
      </c>
      <c r="D5037" s="83" t="s">
        <v>4680</v>
      </c>
      <c r="E5037" s="81" t="s">
        <v>3220</v>
      </c>
      <c r="F5037" s="81">
        <v>611.0</v>
      </c>
      <c r="G5037" s="81" t="s">
        <v>3</v>
      </c>
      <c r="H5037" s="81" t="s">
        <v>224</v>
      </c>
      <c r="I5037" s="81" t="s">
        <v>214</v>
      </c>
      <c r="J5037" s="81" t="s">
        <v>224</v>
      </c>
      <c r="K5037" s="81" t="str">
        <f>IFERROR(__xludf.DUMMYFUNCTION("IF(OR(D5037="""",G5037=""""),"""",IFERROR(LET(
campo,XLOOKUP(TRIM(G5037),ARRAYFORMULA(TRIM('indice columnas'!$A$2:$A$100)),'indice columnas'!$B$2:$B$100,""""),
col,IFERROR(MATCH(campo,Referencia!$A$1:$AZ$1,0),0),
fila,IFERROR(MATCH(TO_TEXT(D5037),ARRAYFOR"&amp;"MULA(TO_TEXT(Referencia!$A$2:$A6238)),0),0),
IF(OR(campo="""",campo=""-""),""NO APLICA"",
IF(col=0,""REVISAR EQUIVALENCIA"",
IF(fila=0,""SKU NO ENCONTRADO"",
LET(
valor,INDEX(Referencia!$A$2:$AZ6238,fila,col),
IF(TRIM(TO_TEXT(valor))=TRIM(TO_TEXT(I5037)),"&amp;"
""OK"",
""NO COINCIDE. Valor verdadero: ""&amp;IF(valor="""",""[VACÍO]"",TO_TEXT(valor))
)
))))
),""ERROR EN FÓRMULA""))"),"OK")</f>
        <v>OK</v>
      </c>
    </row>
    <row r="5038">
      <c r="A5038" s="83" t="s">
        <v>4899</v>
      </c>
      <c r="B5038" s="83" t="s">
        <v>4900</v>
      </c>
      <c r="C5038" s="81" t="s">
        <v>4621</v>
      </c>
      <c r="D5038" s="83" t="s">
        <v>4680</v>
      </c>
      <c r="E5038" s="81" t="s">
        <v>3220</v>
      </c>
      <c r="F5038" s="81">
        <v>611.0</v>
      </c>
      <c r="G5038" s="81" t="s">
        <v>2</v>
      </c>
      <c r="H5038" s="81" t="s">
        <v>224</v>
      </c>
      <c r="I5038" s="81" t="s">
        <v>213</v>
      </c>
      <c r="J5038" s="81" t="s">
        <v>224</v>
      </c>
      <c r="K5038" s="81" t="str">
        <f>IFERROR(__xludf.DUMMYFUNCTION("IF(OR(D5038="""",G5038=""""),"""",IFERROR(LET(
campo,XLOOKUP(TRIM(G5038),ARRAYFORMULA(TRIM('indice columnas'!$A$2:$A$100)),'indice columnas'!$B$2:$B$100,""""),
col,IFERROR(MATCH(campo,Referencia!$A$1:$AZ$1,0),0),
fila,IFERROR(MATCH(TO_TEXT(D5038),ARRAYFOR"&amp;"MULA(TO_TEXT(Referencia!$A$2:$A6238)),0),0),
IF(OR(campo="""",campo=""-""),""NO APLICA"",
IF(col=0,""REVISAR EQUIVALENCIA"",
IF(fila=0,""SKU NO ENCONTRADO"",
LET(
valor,INDEX(Referencia!$A$2:$AZ6238,fila,col),
IF(TRIM(TO_TEXT(valor))=TRIM(TO_TEXT(I5038)),"&amp;"
""OK"",
""NO COINCIDE. Valor verdadero: ""&amp;IF(valor="""",""[VACÍO]"",TO_TEXT(valor))
)
))))
),""ERROR EN FÓRMULA""))"),"OK")</f>
        <v>OK</v>
      </c>
    </row>
    <row r="5039">
      <c r="A5039" s="83" t="s">
        <v>4899</v>
      </c>
      <c r="B5039" s="83" t="s">
        <v>4900</v>
      </c>
      <c r="C5039" s="81" t="s">
        <v>4621</v>
      </c>
      <c r="D5039" s="83" t="s">
        <v>4681</v>
      </c>
      <c r="E5039" s="81" t="s">
        <v>3223</v>
      </c>
      <c r="F5039" s="81">
        <v>612.0</v>
      </c>
      <c r="G5039" s="81" t="s">
        <v>3</v>
      </c>
      <c r="H5039" s="81" t="s">
        <v>224</v>
      </c>
      <c r="I5039" s="81" t="s">
        <v>214</v>
      </c>
      <c r="J5039" s="81" t="s">
        <v>224</v>
      </c>
      <c r="K5039" s="81" t="str">
        <f>IFERROR(__xludf.DUMMYFUNCTION("IF(OR(D5039="""",G5039=""""),"""",IFERROR(LET(
campo,XLOOKUP(TRIM(G5039),ARRAYFORMULA(TRIM('indice columnas'!$A$2:$A$100)),'indice columnas'!$B$2:$B$100,""""),
col,IFERROR(MATCH(campo,Referencia!$A$1:$AZ$1,0),0),
fila,IFERROR(MATCH(TO_TEXT(D5039),ARRAYFOR"&amp;"MULA(TO_TEXT(Referencia!$A$2:$A6238)),0),0),
IF(OR(campo="""",campo=""-""),""NO APLICA"",
IF(col=0,""REVISAR EQUIVALENCIA"",
IF(fila=0,""SKU NO ENCONTRADO"",
LET(
valor,INDEX(Referencia!$A$2:$AZ6238,fila,col),
IF(TRIM(TO_TEXT(valor))=TRIM(TO_TEXT(I5039)),"&amp;"
""OK"",
""NO COINCIDE. Valor verdadero: ""&amp;IF(valor="""",""[VACÍO]"",TO_TEXT(valor))
)
))))
),""ERROR EN FÓRMULA""))"),"OK")</f>
        <v>OK</v>
      </c>
    </row>
    <row r="5040">
      <c r="A5040" s="83" t="s">
        <v>4899</v>
      </c>
      <c r="B5040" s="83" t="s">
        <v>4900</v>
      </c>
      <c r="C5040" s="81" t="s">
        <v>4621</v>
      </c>
      <c r="D5040" s="83" t="s">
        <v>4681</v>
      </c>
      <c r="E5040" s="81" t="s">
        <v>3223</v>
      </c>
      <c r="F5040" s="81">
        <v>612.0</v>
      </c>
      <c r="G5040" s="81" t="s">
        <v>2</v>
      </c>
      <c r="H5040" s="81" t="s">
        <v>224</v>
      </c>
      <c r="I5040" s="81" t="s">
        <v>213</v>
      </c>
      <c r="J5040" s="81" t="s">
        <v>224</v>
      </c>
      <c r="K5040" s="81" t="str">
        <f>IFERROR(__xludf.DUMMYFUNCTION("IF(OR(D5040="""",G5040=""""),"""",IFERROR(LET(
campo,XLOOKUP(TRIM(G5040),ARRAYFORMULA(TRIM('indice columnas'!$A$2:$A$100)),'indice columnas'!$B$2:$B$100,""""),
col,IFERROR(MATCH(campo,Referencia!$A$1:$AZ$1,0),0),
fila,IFERROR(MATCH(TO_TEXT(D5040),ARRAYFOR"&amp;"MULA(TO_TEXT(Referencia!$A$2:$A6238)),0),0),
IF(OR(campo="""",campo=""-""),""NO APLICA"",
IF(col=0,""REVISAR EQUIVALENCIA"",
IF(fila=0,""SKU NO ENCONTRADO"",
LET(
valor,INDEX(Referencia!$A$2:$AZ6238,fila,col),
IF(TRIM(TO_TEXT(valor))=TRIM(TO_TEXT(I5040)),"&amp;"
""OK"",
""NO COINCIDE. Valor verdadero: ""&amp;IF(valor="""",""[VACÍO]"",TO_TEXT(valor))
)
))))
),""ERROR EN FÓRMULA""))"),"OK")</f>
        <v>OK</v>
      </c>
    </row>
    <row r="5041">
      <c r="A5041" s="83" t="s">
        <v>4899</v>
      </c>
      <c r="B5041" s="83" t="s">
        <v>4900</v>
      </c>
      <c r="C5041" s="81" t="s">
        <v>4621</v>
      </c>
      <c r="D5041" s="83" t="s">
        <v>4682</v>
      </c>
      <c r="E5041" s="81" t="s">
        <v>3226</v>
      </c>
      <c r="F5041" s="81">
        <v>613.0</v>
      </c>
      <c r="G5041" s="81" t="s">
        <v>3</v>
      </c>
      <c r="H5041" s="81" t="s">
        <v>224</v>
      </c>
      <c r="I5041" s="81" t="s">
        <v>214</v>
      </c>
      <c r="J5041" s="81" t="s">
        <v>224</v>
      </c>
      <c r="K5041" s="81" t="str">
        <f>IFERROR(__xludf.DUMMYFUNCTION("IF(OR(D5041="""",G5041=""""),"""",IFERROR(LET(
campo,XLOOKUP(TRIM(G5041),ARRAYFORMULA(TRIM('indice columnas'!$A$2:$A$100)),'indice columnas'!$B$2:$B$100,""""),
col,IFERROR(MATCH(campo,Referencia!$A$1:$AZ$1,0),0),
fila,IFERROR(MATCH(TO_TEXT(D5041),ARRAYFOR"&amp;"MULA(TO_TEXT(Referencia!$A$2:$A6238)),0),0),
IF(OR(campo="""",campo=""-""),""NO APLICA"",
IF(col=0,""REVISAR EQUIVALENCIA"",
IF(fila=0,""SKU NO ENCONTRADO"",
LET(
valor,INDEX(Referencia!$A$2:$AZ6238,fila,col),
IF(TRIM(TO_TEXT(valor))=TRIM(TO_TEXT(I5041)),"&amp;"
""OK"",
""NO COINCIDE. Valor verdadero: ""&amp;IF(valor="""",""[VACÍO]"",TO_TEXT(valor))
)
))))
),""ERROR EN FÓRMULA""))"),"OK")</f>
        <v>OK</v>
      </c>
    </row>
    <row r="5042">
      <c r="A5042" s="83" t="s">
        <v>4899</v>
      </c>
      <c r="B5042" s="83" t="s">
        <v>4900</v>
      </c>
      <c r="C5042" s="81" t="s">
        <v>4621</v>
      </c>
      <c r="D5042" s="83" t="s">
        <v>4682</v>
      </c>
      <c r="E5042" s="81" t="s">
        <v>3226</v>
      </c>
      <c r="F5042" s="81">
        <v>613.0</v>
      </c>
      <c r="G5042" s="81" t="s">
        <v>2</v>
      </c>
      <c r="H5042" s="81" t="s">
        <v>224</v>
      </c>
      <c r="I5042" s="81" t="s">
        <v>213</v>
      </c>
      <c r="J5042" s="81" t="s">
        <v>224</v>
      </c>
      <c r="K5042" s="81" t="str">
        <f>IFERROR(__xludf.DUMMYFUNCTION("IF(OR(D5042="""",G5042=""""),"""",IFERROR(LET(
campo,XLOOKUP(TRIM(G5042),ARRAYFORMULA(TRIM('indice columnas'!$A$2:$A$100)),'indice columnas'!$B$2:$B$100,""""),
col,IFERROR(MATCH(campo,Referencia!$A$1:$AZ$1,0),0),
fila,IFERROR(MATCH(TO_TEXT(D5042),ARRAYFOR"&amp;"MULA(TO_TEXT(Referencia!$A$2:$A6238)),0),0),
IF(OR(campo="""",campo=""-""),""NO APLICA"",
IF(col=0,""REVISAR EQUIVALENCIA"",
IF(fila=0,""SKU NO ENCONTRADO"",
LET(
valor,INDEX(Referencia!$A$2:$AZ6238,fila,col),
IF(TRIM(TO_TEXT(valor))=TRIM(TO_TEXT(I5042)),"&amp;"
""OK"",
""NO COINCIDE. Valor verdadero: ""&amp;IF(valor="""",""[VACÍO]"",TO_TEXT(valor))
)
))))
),""ERROR EN FÓRMULA""))"),"OK")</f>
        <v>OK</v>
      </c>
    </row>
    <row r="5043">
      <c r="A5043" s="83" t="s">
        <v>4899</v>
      </c>
      <c r="B5043" s="83" t="s">
        <v>4900</v>
      </c>
      <c r="C5043" s="81" t="s">
        <v>4621</v>
      </c>
      <c r="D5043" s="83" t="s">
        <v>4683</v>
      </c>
      <c r="E5043" s="81" t="s">
        <v>3235</v>
      </c>
      <c r="F5043" s="81">
        <v>615.0</v>
      </c>
      <c r="G5043" s="81" t="s">
        <v>3</v>
      </c>
      <c r="H5043" s="81" t="s">
        <v>224</v>
      </c>
      <c r="I5043" s="81" t="s">
        <v>214</v>
      </c>
      <c r="J5043" s="81" t="s">
        <v>224</v>
      </c>
      <c r="K5043" s="81" t="str">
        <f>IFERROR(__xludf.DUMMYFUNCTION("IF(OR(D5043="""",G5043=""""),"""",IFERROR(LET(
campo,XLOOKUP(TRIM(G5043),ARRAYFORMULA(TRIM('indice columnas'!$A$2:$A$100)),'indice columnas'!$B$2:$B$100,""""),
col,IFERROR(MATCH(campo,Referencia!$A$1:$AZ$1,0),0),
fila,IFERROR(MATCH(TO_TEXT(D5043),ARRAYFOR"&amp;"MULA(TO_TEXT(Referencia!$A$2:$A6238)),0),0),
IF(OR(campo="""",campo=""-""),""NO APLICA"",
IF(col=0,""REVISAR EQUIVALENCIA"",
IF(fila=0,""SKU NO ENCONTRADO"",
LET(
valor,INDEX(Referencia!$A$2:$AZ6238,fila,col),
IF(TRIM(TO_TEXT(valor))=TRIM(TO_TEXT(I5043)),"&amp;"
""OK"",
""NO COINCIDE. Valor verdadero: ""&amp;IF(valor="""",""[VACÍO]"",TO_TEXT(valor))
)
))))
),""ERROR EN FÓRMULA""))"),"OK")</f>
        <v>OK</v>
      </c>
    </row>
    <row r="5044">
      <c r="A5044" s="83" t="s">
        <v>4899</v>
      </c>
      <c r="B5044" s="83" t="s">
        <v>4900</v>
      </c>
      <c r="C5044" s="81" t="s">
        <v>4621</v>
      </c>
      <c r="D5044" s="83" t="s">
        <v>4683</v>
      </c>
      <c r="E5044" s="81" t="s">
        <v>3235</v>
      </c>
      <c r="F5044" s="81">
        <v>615.0</v>
      </c>
      <c r="G5044" s="81" t="s">
        <v>2</v>
      </c>
      <c r="H5044" s="81" t="s">
        <v>224</v>
      </c>
      <c r="I5044" s="81" t="s">
        <v>213</v>
      </c>
      <c r="J5044" s="81" t="s">
        <v>224</v>
      </c>
      <c r="K5044" s="81" t="str">
        <f>IFERROR(__xludf.DUMMYFUNCTION("IF(OR(D5044="""",G5044=""""),"""",IFERROR(LET(
campo,XLOOKUP(TRIM(G5044),ARRAYFORMULA(TRIM('indice columnas'!$A$2:$A$100)),'indice columnas'!$B$2:$B$100,""""),
col,IFERROR(MATCH(campo,Referencia!$A$1:$AZ$1,0),0),
fila,IFERROR(MATCH(TO_TEXT(D5044),ARRAYFOR"&amp;"MULA(TO_TEXT(Referencia!$A$2:$A6238)),0),0),
IF(OR(campo="""",campo=""-""),""NO APLICA"",
IF(col=0,""REVISAR EQUIVALENCIA"",
IF(fila=0,""SKU NO ENCONTRADO"",
LET(
valor,INDEX(Referencia!$A$2:$AZ6238,fila,col),
IF(TRIM(TO_TEXT(valor))=TRIM(TO_TEXT(I5044)),"&amp;"
""OK"",
""NO COINCIDE. Valor verdadero: ""&amp;IF(valor="""",""[VACÍO]"",TO_TEXT(valor))
)
))))
),""ERROR EN FÓRMULA""))"),"OK")</f>
        <v>OK</v>
      </c>
    </row>
    <row r="5045">
      <c r="A5045" s="83" t="s">
        <v>4899</v>
      </c>
      <c r="B5045" s="83" t="s">
        <v>4900</v>
      </c>
      <c r="C5045" s="81" t="s">
        <v>4621</v>
      </c>
      <c r="D5045" s="83" t="s">
        <v>4684</v>
      </c>
      <c r="E5045" s="81" t="s">
        <v>3236</v>
      </c>
      <c r="F5045" s="81">
        <v>616.0</v>
      </c>
      <c r="G5045" s="81" t="s">
        <v>3</v>
      </c>
      <c r="H5045" s="81" t="s">
        <v>224</v>
      </c>
      <c r="I5045" s="81" t="s">
        <v>214</v>
      </c>
      <c r="J5045" s="81" t="s">
        <v>224</v>
      </c>
      <c r="K5045" s="81" t="str">
        <f>IFERROR(__xludf.DUMMYFUNCTION("IF(OR(D5045="""",G5045=""""),"""",IFERROR(LET(
campo,XLOOKUP(TRIM(G5045),ARRAYFORMULA(TRIM('indice columnas'!$A$2:$A$100)),'indice columnas'!$B$2:$B$100,""""),
col,IFERROR(MATCH(campo,Referencia!$A$1:$AZ$1,0),0),
fila,IFERROR(MATCH(TO_TEXT(D5045),ARRAYFOR"&amp;"MULA(TO_TEXT(Referencia!$A$2:$A6238)),0),0),
IF(OR(campo="""",campo=""-""),""NO APLICA"",
IF(col=0,""REVISAR EQUIVALENCIA"",
IF(fila=0,""SKU NO ENCONTRADO"",
LET(
valor,INDEX(Referencia!$A$2:$AZ6238,fila,col),
IF(TRIM(TO_TEXT(valor))=TRIM(TO_TEXT(I5045)),"&amp;"
""OK"",
""NO COINCIDE. Valor verdadero: ""&amp;IF(valor="""",""[VACÍO]"",TO_TEXT(valor))
)
))))
),""ERROR EN FÓRMULA""))"),"OK")</f>
        <v>OK</v>
      </c>
    </row>
    <row r="5046">
      <c r="A5046" s="83" t="s">
        <v>4899</v>
      </c>
      <c r="B5046" s="83" t="s">
        <v>4900</v>
      </c>
      <c r="C5046" s="81" t="s">
        <v>4621</v>
      </c>
      <c r="D5046" s="83" t="s">
        <v>4684</v>
      </c>
      <c r="E5046" s="81" t="s">
        <v>3236</v>
      </c>
      <c r="F5046" s="81">
        <v>616.0</v>
      </c>
      <c r="G5046" s="81" t="s">
        <v>2</v>
      </c>
      <c r="H5046" s="81" t="s">
        <v>224</v>
      </c>
      <c r="I5046" s="81" t="s">
        <v>213</v>
      </c>
      <c r="J5046" s="81" t="s">
        <v>224</v>
      </c>
      <c r="K5046" s="81" t="str">
        <f>IFERROR(__xludf.DUMMYFUNCTION("IF(OR(D5046="""",G5046=""""),"""",IFERROR(LET(
campo,XLOOKUP(TRIM(G5046),ARRAYFORMULA(TRIM('indice columnas'!$A$2:$A$100)),'indice columnas'!$B$2:$B$100,""""),
col,IFERROR(MATCH(campo,Referencia!$A$1:$AZ$1,0),0),
fila,IFERROR(MATCH(TO_TEXT(D5046),ARRAYFOR"&amp;"MULA(TO_TEXT(Referencia!$A$2:$A6238)),0),0),
IF(OR(campo="""",campo=""-""),""NO APLICA"",
IF(col=0,""REVISAR EQUIVALENCIA"",
IF(fila=0,""SKU NO ENCONTRADO"",
LET(
valor,INDEX(Referencia!$A$2:$AZ6238,fila,col),
IF(TRIM(TO_TEXT(valor))=TRIM(TO_TEXT(I5046)),"&amp;"
""OK"",
""NO COINCIDE. Valor verdadero: ""&amp;IF(valor="""",""[VACÍO]"",TO_TEXT(valor))
)
))))
),""ERROR EN FÓRMULA""))"),"OK")</f>
        <v>OK</v>
      </c>
    </row>
    <row r="5047">
      <c r="A5047" s="83" t="s">
        <v>4899</v>
      </c>
      <c r="B5047" s="83" t="s">
        <v>4900</v>
      </c>
      <c r="C5047" s="81" t="s">
        <v>4621</v>
      </c>
      <c r="D5047" s="83" t="s">
        <v>4685</v>
      </c>
      <c r="E5047" s="81" t="s">
        <v>3247</v>
      </c>
      <c r="F5047" s="81">
        <v>618.0</v>
      </c>
      <c r="G5047" s="81" t="s">
        <v>3</v>
      </c>
      <c r="H5047" s="81" t="s">
        <v>224</v>
      </c>
      <c r="I5047" s="81" t="s">
        <v>214</v>
      </c>
      <c r="J5047" s="81" t="s">
        <v>224</v>
      </c>
      <c r="K5047" s="81" t="str">
        <f>IFERROR(__xludf.DUMMYFUNCTION("IF(OR(D5047="""",G5047=""""),"""",IFERROR(LET(
campo,XLOOKUP(TRIM(G5047),ARRAYFORMULA(TRIM('indice columnas'!$A$2:$A$100)),'indice columnas'!$B$2:$B$100,""""),
col,IFERROR(MATCH(campo,Referencia!$A$1:$AZ$1,0),0),
fila,IFERROR(MATCH(TO_TEXT(D5047),ARRAYFOR"&amp;"MULA(TO_TEXT(Referencia!$A$2:$A6238)),0),0),
IF(OR(campo="""",campo=""-""),""NO APLICA"",
IF(col=0,""REVISAR EQUIVALENCIA"",
IF(fila=0,""SKU NO ENCONTRADO"",
LET(
valor,INDEX(Referencia!$A$2:$AZ6238,fila,col),
IF(TRIM(TO_TEXT(valor))=TRIM(TO_TEXT(I5047)),"&amp;"
""OK"",
""NO COINCIDE. Valor verdadero: ""&amp;IF(valor="""",""[VACÍO]"",TO_TEXT(valor))
)
))))
),""ERROR EN FÓRMULA""))"),"OK")</f>
        <v>OK</v>
      </c>
    </row>
    <row r="5048">
      <c r="A5048" s="83" t="s">
        <v>4899</v>
      </c>
      <c r="B5048" s="83" t="s">
        <v>4900</v>
      </c>
      <c r="C5048" s="81" t="s">
        <v>4621</v>
      </c>
      <c r="D5048" s="83" t="s">
        <v>4685</v>
      </c>
      <c r="E5048" s="81" t="s">
        <v>3247</v>
      </c>
      <c r="F5048" s="81">
        <v>618.0</v>
      </c>
      <c r="G5048" s="81" t="s">
        <v>2</v>
      </c>
      <c r="H5048" s="81" t="s">
        <v>224</v>
      </c>
      <c r="I5048" s="81" t="s">
        <v>213</v>
      </c>
      <c r="J5048" s="81" t="s">
        <v>224</v>
      </c>
      <c r="K5048" s="81" t="str">
        <f>IFERROR(__xludf.DUMMYFUNCTION("IF(OR(D5048="""",G5048=""""),"""",IFERROR(LET(
campo,XLOOKUP(TRIM(G5048),ARRAYFORMULA(TRIM('indice columnas'!$A$2:$A$100)),'indice columnas'!$B$2:$B$100,""""),
col,IFERROR(MATCH(campo,Referencia!$A$1:$AZ$1,0),0),
fila,IFERROR(MATCH(TO_TEXT(D5048),ARRAYFOR"&amp;"MULA(TO_TEXT(Referencia!$A$2:$A6238)),0),0),
IF(OR(campo="""",campo=""-""),""NO APLICA"",
IF(col=0,""REVISAR EQUIVALENCIA"",
IF(fila=0,""SKU NO ENCONTRADO"",
LET(
valor,INDEX(Referencia!$A$2:$AZ6238,fila,col),
IF(TRIM(TO_TEXT(valor))=TRIM(TO_TEXT(I5048)),"&amp;"
""OK"",
""NO COINCIDE. Valor verdadero: ""&amp;IF(valor="""",""[VACÍO]"",TO_TEXT(valor))
)
))))
),""ERROR EN FÓRMULA""))"),"OK")</f>
        <v>OK</v>
      </c>
    </row>
    <row r="5049">
      <c r="A5049" s="83" t="s">
        <v>4899</v>
      </c>
      <c r="B5049" s="83" t="s">
        <v>4900</v>
      </c>
      <c r="C5049" s="81" t="s">
        <v>4621</v>
      </c>
      <c r="D5049" s="83" t="s">
        <v>4686</v>
      </c>
      <c r="E5049" s="81" t="s">
        <v>3248</v>
      </c>
      <c r="F5049" s="81">
        <v>619.0</v>
      </c>
      <c r="G5049" s="81" t="s">
        <v>3</v>
      </c>
      <c r="H5049" s="81" t="s">
        <v>224</v>
      </c>
      <c r="I5049" s="81" t="s">
        <v>214</v>
      </c>
      <c r="J5049" s="81" t="s">
        <v>224</v>
      </c>
      <c r="K5049" s="81" t="str">
        <f>IFERROR(__xludf.DUMMYFUNCTION("IF(OR(D5049="""",G5049=""""),"""",IFERROR(LET(
campo,XLOOKUP(TRIM(G5049),ARRAYFORMULA(TRIM('indice columnas'!$A$2:$A$100)),'indice columnas'!$B$2:$B$100,""""),
col,IFERROR(MATCH(campo,Referencia!$A$1:$AZ$1,0),0),
fila,IFERROR(MATCH(TO_TEXT(D5049),ARRAYFOR"&amp;"MULA(TO_TEXT(Referencia!$A$2:$A6238)),0),0),
IF(OR(campo="""",campo=""-""),""NO APLICA"",
IF(col=0,""REVISAR EQUIVALENCIA"",
IF(fila=0,""SKU NO ENCONTRADO"",
LET(
valor,INDEX(Referencia!$A$2:$AZ6238,fila,col),
IF(TRIM(TO_TEXT(valor))=TRIM(TO_TEXT(I5049)),"&amp;"
""OK"",
""NO COINCIDE. Valor verdadero: ""&amp;IF(valor="""",""[VACÍO]"",TO_TEXT(valor))
)
))))
),""ERROR EN FÓRMULA""))"),"OK")</f>
        <v>OK</v>
      </c>
    </row>
    <row r="5050">
      <c r="A5050" s="83" t="s">
        <v>4899</v>
      </c>
      <c r="B5050" s="83" t="s">
        <v>4900</v>
      </c>
      <c r="C5050" s="81" t="s">
        <v>4621</v>
      </c>
      <c r="D5050" s="83" t="s">
        <v>4686</v>
      </c>
      <c r="E5050" s="81" t="s">
        <v>3248</v>
      </c>
      <c r="F5050" s="81">
        <v>619.0</v>
      </c>
      <c r="G5050" s="81" t="s">
        <v>2</v>
      </c>
      <c r="H5050" s="81" t="s">
        <v>224</v>
      </c>
      <c r="I5050" s="81" t="s">
        <v>213</v>
      </c>
      <c r="J5050" s="81" t="s">
        <v>224</v>
      </c>
      <c r="K5050" s="81" t="str">
        <f>IFERROR(__xludf.DUMMYFUNCTION("IF(OR(D5050="""",G5050=""""),"""",IFERROR(LET(
campo,XLOOKUP(TRIM(G5050),ARRAYFORMULA(TRIM('indice columnas'!$A$2:$A$100)),'indice columnas'!$B$2:$B$100,""""),
col,IFERROR(MATCH(campo,Referencia!$A$1:$AZ$1,0),0),
fila,IFERROR(MATCH(TO_TEXT(D5050),ARRAYFOR"&amp;"MULA(TO_TEXT(Referencia!$A$2:$A6238)),0),0),
IF(OR(campo="""",campo=""-""),""NO APLICA"",
IF(col=0,""REVISAR EQUIVALENCIA"",
IF(fila=0,""SKU NO ENCONTRADO"",
LET(
valor,INDEX(Referencia!$A$2:$AZ6238,fila,col),
IF(TRIM(TO_TEXT(valor))=TRIM(TO_TEXT(I5050)),"&amp;"
""OK"",
""NO COINCIDE. Valor verdadero: ""&amp;IF(valor="""",""[VACÍO]"",TO_TEXT(valor))
)
))))
),""ERROR EN FÓRMULA""))"),"OK")</f>
        <v>OK</v>
      </c>
    </row>
    <row r="5051">
      <c r="A5051" s="83" t="s">
        <v>4899</v>
      </c>
      <c r="B5051" s="83" t="s">
        <v>4900</v>
      </c>
      <c r="C5051" s="81" t="s">
        <v>4621</v>
      </c>
      <c r="D5051" s="83" t="s">
        <v>4687</v>
      </c>
      <c r="E5051" s="81" t="s">
        <v>3251</v>
      </c>
      <c r="F5051" s="81">
        <v>620.0</v>
      </c>
      <c r="G5051" s="81" t="s">
        <v>3</v>
      </c>
      <c r="H5051" s="81" t="s">
        <v>224</v>
      </c>
      <c r="I5051" s="81" t="s">
        <v>214</v>
      </c>
      <c r="J5051" s="81" t="s">
        <v>224</v>
      </c>
      <c r="K5051" s="81" t="str">
        <f>IFERROR(__xludf.DUMMYFUNCTION("IF(OR(D5051="""",G5051=""""),"""",IFERROR(LET(
campo,XLOOKUP(TRIM(G5051),ARRAYFORMULA(TRIM('indice columnas'!$A$2:$A$100)),'indice columnas'!$B$2:$B$100,""""),
col,IFERROR(MATCH(campo,Referencia!$A$1:$AZ$1,0),0),
fila,IFERROR(MATCH(TO_TEXT(D5051),ARRAYFOR"&amp;"MULA(TO_TEXT(Referencia!$A$2:$A6238)),0),0),
IF(OR(campo="""",campo=""-""),""NO APLICA"",
IF(col=0,""REVISAR EQUIVALENCIA"",
IF(fila=0,""SKU NO ENCONTRADO"",
LET(
valor,INDEX(Referencia!$A$2:$AZ6238,fila,col),
IF(TRIM(TO_TEXT(valor))=TRIM(TO_TEXT(I5051)),"&amp;"
""OK"",
""NO COINCIDE. Valor verdadero: ""&amp;IF(valor="""",""[VACÍO]"",TO_TEXT(valor))
)
))))
),""ERROR EN FÓRMULA""))"),"OK")</f>
        <v>OK</v>
      </c>
    </row>
    <row r="5052">
      <c r="A5052" s="83" t="s">
        <v>4899</v>
      </c>
      <c r="B5052" s="83" t="s">
        <v>4900</v>
      </c>
      <c r="C5052" s="81" t="s">
        <v>4621</v>
      </c>
      <c r="D5052" s="83" t="s">
        <v>4687</v>
      </c>
      <c r="E5052" s="81" t="s">
        <v>3251</v>
      </c>
      <c r="F5052" s="81">
        <v>620.0</v>
      </c>
      <c r="G5052" s="81" t="s">
        <v>2</v>
      </c>
      <c r="H5052" s="81" t="s">
        <v>224</v>
      </c>
      <c r="I5052" s="81" t="s">
        <v>213</v>
      </c>
      <c r="J5052" s="81" t="s">
        <v>224</v>
      </c>
      <c r="K5052" s="81" t="str">
        <f>IFERROR(__xludf.DUMMYFUNCTION("IF(OR(D5052="""",G5052=""""),"""",IFERROR(LET(
campo,XLOOKUP(TRIM(G5052),ARRAYFORMULA(TRIM('indice columnas'!$A$2:$A$100)),'indice columnas'!$B$2:$B$100,""""),
col,IFERROR(MATCH(campo,Referencia!$A$1:$AZ$1,0),0),
fila,IFERROR(MATCH(TO_TEXT(D5052),ARRAYFOR"&amp;"MULA(TO_TEXT(Referencia!$A$2:$A6238)),0),0),
IF(OR(campo="""",campo=""-""),""NO APLICA"",
IF(col=0,""REVISAR EQUIVALENCIA"",
IF(fila=0,""SKU NO ENCONTRADO"",
LET(
valor,INDEX(Referencia!$A$2:$AZ6238,fila,col),
IF(TRIM(TO_TEXT(valor))=TRIM(TO_TEXT(I5052)),"&amp;"
""OK"",
""NO COINCIDE. Valor verdadero: ""&amp;IF(valor="""",""[VACÍO]"",TO_TEXT(valor))
)
))))
),""ERROR EN FÓRMULA""))"),"OK")</f>
        <v>OK</v>
      </c>
    </row>
    <row r="5053">
      <c r="A5053" s="83" t="s">
        <v>4899</v>
      </c>
      <c r="B5053" s="83" t="s">
        <v>4900</v>
      </c>
      <c r="C5053" s="81" t="s">
        <v>4621</v>
      </c>
      <c r="D5053" s="83" t="s">
        <v>4688</v>
      </c>
      <c r="E5053" s="81" t="s">
        <v>3254</v>
      </c>
      <c r="F5053" s="81">
        <v>621.0</v>
      </c>
      <c r="G5053" s="81" t="s">
        <v>3</v>
      </c>
      <c r="H5053" s="81" t="s">
        <v>224</v>
      </c>
      <c r="I5053" s="81" t="s">
        <v>214</v>
      </c>
      <c r="J5053" s="81" t="s">
        <v>224</v>
      </c>
      <c r="K5053" s="81" t="str">
        <f>IFERROR(__xludf.DUMMYFUNCTION("IF(OR(D5053="""",G5053=""""),"""",IFERROR(LET(
campo,XLOOKUP(TRIM(G5053),ARRAYFORMULA(TRIM('indice columnas'!$A$2:$A$100)),'indice columnas'!$B$2:$B$100,""""),
col,IFERROR(MATCH(campo,Referencia!$A$1:$AZ$1,0),0),
fila,IFERROR(MATCH(TO_TEXT(D5053),ARRAYFOR"&amp;"MULA(TO_TEXT(Referencia!$A$2:$A6238)),0),0),
IF(OR(campo="""",campo=""-""),""NO APLICA"",
IF(col=0,""REVISAR EQUIVALENCIA"",
IF(fila=0,""SKU NO ENCONTRADO"",
LET(
valor,INDEX(Referencia!$A$2:$AZ6238,fila,col),
IF(TRIM(TO_TEXT(valor))=TRIM(TO_TEXT(I5053)),"&amp;"
""OK"",
""NO COINCIDE. Valor verdadero: ""&amp;IF(valor="""",""[VACÍO]"",TO_TEXT(valor))
)
))))
),""ERROR EN FÓRMULA""))"),"OK")</f>
        <v>OK</v>
      </c>
    </row>
    <row r="5054">
      <c r="A5054" s="83" t="s">
        <v>4899</v>
      </c>
      <c r="B5054" s="83" t="s">
        <v>4900</v>
      </c>
      <c r="C5054" s="81" t="s">
        <v>4621</v>
      </c>
      <c r="D5054" s="83" t="s">
        <v>4688</v>
      </c>
      <c r="E5054" s="81" t="s">
        <v>3254</v>
      </c>
      <c r="F5054" s="81">
        <v>621.0</v>
      </c>
      <c r="G5054" s="81" t="s">
        <v>2</v>
      </c>
      <c r="H5054" s="81" t="s">
        <v>224</v>
      </c>
      <c r="I5054" s="81" t="s">
        <v>213</v>
      </c>
      <c r="J5054" s="81" t="s">
        <v>224</v>
      </c>
      <c r="K5054" s="81" t="str">
        <f>IFERROR(__xludf.DUMMYFUNCTION("IF(OR(D5054="""",G5054=""""),"""",IFERROR(LET(
campo,XLOOKUP(TRIM(G5054),ARRAYFORMULA(TRIM('indice columnas'!$A$2:$A$100)),'indice columnas'!$B$2:$B$100,""""),
col,IFERROR(MATCH(campo,Referencia!$A$1:$AZ$1,0),0),
fila,IFERROR(MATCH(TO_TEXT(D5054),ARRAYFOR"&amp;"MULA(TO_TEXT(Referencia!$A$2:$A6238)),0),0),
IF(OR(campo="""",campo=""-""),""NO APLICA"",
IF(col=0,""REVISAR EQUIVALENCIA"",
IF(fila=0,""SKU NO ENCONTRADO"",
LET(
valor,INDEX(Referencia!$A$2:$AZ6238,fila,col),
IF(TRIM(TO_TEXT(valor))=TRIM(TO_TEXT(I5054)),"&amp;"
""OK"",
""NO COINCIDE. Valor verdadero: ""&amp;IF(valor="""",""[VACÍO]"",TO_TEXT(valor))
)
))))
),""ERROR EN FÓRMULA""))"),"OK")</f>
        <v>OK</v>
      </c>
    </row>
    <row r="5055">
      <c r="A5055" s="83" t="s">
        <v>4899</v>
      </c>
      <c r="B5055" s="83" t="s">
        <v>4900</v>
      </c>
      <c r="C5055" s="81" t="s">
        <v>4621</v>
      </c>
      <c r="D5055" s="83" t="s">
        <v>4690</v>
      </c>
      <c r="E5055" s="81" t="s">
        <v>3267</v>
      </c>
      <c r="F5055" s="81">
        <v>624.0</v>
      </c>
      <c r="G5055" s="81" t="s">
        <v>3</v>
      </c>
      <c r="H5055" s="81" t="s">
        <v>224</v>
      </c>
      <c r="I5055" s="81" t="s">
        <v>51</v>
      </c>
      <c r="J5055" s="81" t="s">
        <v>224</v>
      </c>
      <c r="K5055" s="81" t="str">
        <f>IFERROR(__xludf.DUMMYFUNCTION("IF(OR(D5055="""",G5055=""""),"""",IFERROR(LET(
campo,XLOOKUP(TRIM(G5055),ARRAYFORMULA(TRIM('indice columnas'!$A$2:$A$100)),'indice columnas'!$B$2:$B$100,""""),
col,IFERROR(MATCH(campo,Referencia!$A$1:$AZ$1,0),0),
fila,IFERROR(MATCH(TO_TEXT(D5055),ARRAYFOR"&amp;"MULA(TO_TEXT(Referencia!$A$2:$A6238)),0),0),
IF(OR(campo="""",campo=""-""),""NO APLICA"",
IF(col=0,""REVISAR EQUIVALENCIA"",
IF(fila=0,""SKU NO ENCONTRADO"",
LET(
valor,INDEX(Referencia!$A$2:$AZ6238,fila,col),
IF(TRIM(TO_TEXT(valor))=TRIM(TO_TEXT(I5055)),"&amp;"
""OK"",
""NO COINCIDE. Valor verdadero: ""&amp;IF(valor="""",""[VACÍO]"",TO_TEXT(valor))
)
))))
),""ERROR EN FÓRMULA""))"),"OK")</f>
        <v>OK</v>
      </c>
    </row>
    <row r="5056">
      <c r="A5056" s="83" t="s">
        <v>4899</v>
      </c>
      <c r="B5056" s="83" t="s">
        <v>4900</v>
      </c>
      <c r="C5056" s="81" t="s">
        <v>4621</v>
      </c>
      <c r="D5056" s="83" t="s">
        <v>4690</v>
      </c>
      <c r="E5056" s="81" t="s">
        <v>3267</v>
      </c>
      <c r="F5056" s="81">
        <v>624.0</v>
      </c>
      <c r="G5056" s="81" t="s">
        <v>2</v>
      </c>
      <c r="H5056" s="81" t="s">
        <v>224</v>
      </c>
      <c r="I5056" s="81" t="s">
        <v>50</v>
      </c>
      <c r="J5056" s="81" t="s">
        <v>224</v>
      </c>
      <c r="K5056" s="81" t="str">
        <f>IFERROR(__xludf.DUMMYFUNCTION("IF(OR(D5056="""",G5056=""""),"""",IFERROR(LET(
campo,XLOOKUP(TRIM(G5056),ARRAYFORMULA(TRIM('indice columnas'!$A$2:$A$100)),'indice columnas'!$B$2:$B$100,""""),
col,IFERROR(MATCH(campo,Referencia!$A$1:$AZ$1,0),0),
fila,IFERROR(MATCH(TO_TEXT(D5056),ARRAYFOR"&amp;"MULA(TO_TEXT(Referencia!$A$2:$A6238)),0),0),
IF(OR(campo="""",campo=""-""),""NO APLICA"",
IF(col=0,""REVISAR EQUIVALENCIA"",
IF(fila=0,""SKU NO ENCONTRADO"",
LET(
valor,INDEX(Referencia!$A$2:$AZ6238,fila,col),
IF(TRIM(TO_TEXT(valor))=TRIM(TO_TEXT(I5056)),"&amp;"
""OK"",
""NO COINCIDE. Valor verdadero: ""&amp;IF(valor="""",""[VACÍO]"",TO_TEXT(valor))
)
))))
),""ERROR EN FÓRMULA""))"),"OK")</f>
        <v>OK</v>
      </c>
    </row>
    <row r="5057">
      <c r="A5057" s="83" t="s">
        <v>4899</v>
      </c>
      <c r="B5057" s="83" t="s">
        <v>4900</v>
      </c>
      <c r="C5057" s="81" t="s">
        <v>4621</v>
      </c>
      <c r="D5057" s="83" t="s">
        <v>4693</v>
      </c>
      <c r="E5057" s="81" t="s">
        <v>3281</v>
      </c>
      <c r="F5057" s="81">
        <v>627.0</v>
      </c>
      <c r="G5057" s="81" t="s">
        <v>3</v>
      </c>
      <c r="H5057" s="81" t="s">
        <v>224</v>
      </c>
      <c r="I5057" s="81" t="s">
        <v>886</v>
      </c>
      <c r="J5057" s="81" t="s">
        <v>224</v>
      </c>
      <c r="K5057" s="81" t="str">
        <f>IFERROR(__xludf.DUMMYFUNCTION("IF(OR(D5057="""",G5057=""""),"""",IFERROR(LET(
campo,XLOOKUP(TRIM(G5057),ARRAYFORMULA(TRIM('indice columnas'!$A$2:$A$100)),'indice columnas'!$B$2:$B$100,""""),
col,IFERROR(MATCH(campo,Referencia!$A$1:$AZ$1,0),0),
fila,IFERROR(MATCH(TO_TEXT(D5057),ARRAYFOR"&amp;"MULA(TO_TEXT(Referencia!$A$2:$A6238)),0),0),
IF(OR(campo="""",campo=""-""),""NO APLICA"",
IF(col=0,""REVISAR EQUIVALENCIA"",
IF(fila=0,""SKU NO ENCONTRADO"",
LET(
valor,INDEX(Referencia!$A$2:$AZ6238,fila,col),
IF(TRIM(TO_TEXT(valor))=TRIM(TO_TEXT(I5057)),"&amp;"
""OK"",
""NO COINCIDE. Valor verdadero: ""&amp;IF(valor="""",""[VACÍO]"",TO_TEXT(valor))
)
))))
),""ERROR EN FÓRMULA""))"),"OK")</f>
        <v>OK</v>
      </c>
    </row>
    <row r="5058">
      <c r="A5058" s="83" t="s">
        <v>4899</v>
      </c>
      <c r="B5058" s="83" t="s">
        <v>4900</v>
      </c>
      <c r="C5058" s="81" t="s">
        <v>4621</v>
      </c>
      <c r="D5058" s="83" t="s">
        <v>4693</v>
      </c>
      <c r="E5058" s="81" t="s">
        <v>3281</v>
      </c>
      <c r="F5058" s="81">
        <v>627.0</v>
      </c>
      <c r="G5058" s="81" t="s">
        <v>2</v>
      </c>
      <c r="H5058" s="81" t="s">
        <v>224</v>
      </c>
      <c r="I5058" s="81" t="s">
        <v>885</v>
      </c>
      <c r="J5058" s="81" t="s">
        <v>224</v>
      </c>
      <c r="K5058" s="81" t="str">
        <f>IFERROR(__xludf.DUMMYFUNCTION("IF(OR(D5058="""",G5058=""""),"""",IFERROR(LET(
campo,XLOOKUP(TRIM(G5058),ARRAYFORMULA(TRIM('indice columnas'!$A$2:$A$100)),'indice columnas'!$B$2:$B$100,""""),
col,IFERROR(MATCH(campo,Referencia!$A$1:$AZ$1,0),0),
fila,IFERROR(MATCH(TO_TEXT(D5058),ARRAYFOR"&amp;"MULA(TO_TEXT(Referencia!$A$2:$A6238)),0),0),
IF(OR(campo="""",campo=""-""),""NO APLICA"",
IF(col=0,""REVISAR EQUIVALENCIA"",
IF(fila=0,""SKU NO ENCONTRADO"",
LET(
valor,INDEX(Referencia!$A$2:$AZ6238,fila,col),
IF(TRIM(TO_TEXT(valor))=TRIM(TO_TEXT(I5058)),"&amp;"
""OK"",
""NO COINCIDE. Valor verdadero: ""&amp;IF(valor="""",""[VACÍO]"",TO_TEXT(valor))
)
))))
),""ERROR EN FÓRMULA""))"),"OK")</f>
        <v>OK</v>
      </c>
    </row>
    <row r="5059">
      <c r="A5059" s="83" t="s">
        <v>4899</v>
      </c>
      <c r="B5059" s="83" t="s">
        <v>4900</v>
      </c>
      <c r="C5059" s="81" t="s">
        <v>4621</v>
      </c>
      <c r="D5059" s="83" t="s">
        <v>4696</v>
      </c>
      <c r="E5059" s="81" t="s">
        <v>3296</v>
      </c>
      <c r="F5059" s="81">
        <v>630.0</v>
      </c>
      <c r="G5059" s="81" t="s">
        <v>3</v>
      </c>
      <c r="H5059" s="81" t="s">
        <v>224</v>
      </c>
      <c r="I5059" s="81" t="s">
        <v>51</v>
      </c>
      <c r="J5059" s="81" t="s">
        <v>224</v>
      </c>
      <c r="K5059" s="81" t="str">
        <f>IFERROR(__xludf.DUMMYFUNCTION("IF(OR(D5059="""",G5059=""""),"""",IFERROR(LET(
campo,XLOOKUP(TRIM(G5059),ARRAYFORMULA(TRIM('indice columnas'!$A$2:$A$100)),'indice columnas'!$B$2:$B$100,""""),
col,IFERROR(MATCH(campo,Referencia!$A$1:$AZ$1,0),0),
fila,IFERROR(MATCH(TO_TEXT(D5059),ARRAYFOR"&amp;"MULA(TO_TEXT(Referencia!$A$2:$A6238)),0),0),
IF(OR(campo="""",campo=""-""),""NO APLICA"",
IF(col=0,""REVISAR EQUIVALENCIA"",
IF(fila=0,""SKU NO ENCONTRADO"",
LET(
valor,INDEX(Referencia!$A$2:$AZ6238,fila,col),
IF(TRIM(TO_TEXT(valor))=TRIM(TO_TEXT(I5059)),"&amp;"
""OK"",
""NO COINCIDE. Valor verdadero: ""&amp;IF(valor="""",""[VACÍO]"",TO_TEXT(valor))
)
))))
),""ERROR EN FÓRMULA""))"),"OK")</f>
        <v>OK</v>
      </c>
    </row>
    <row r="5060">
      <c r="A5060" s="83" t="s">
        <v>4899</v>
      </c>
      <c r="B5060" s="83" t="s">
        <v>4900</v>
      </c>
      <c r="C5060" s="81" t="s">
        <v>4621</v>
      </c>
      <c r="D5060" s="83" t="s">
        <v>4696</v>
      </c>
      <c r="E5060" s="81" t="s">
        <v>3296</v>
      </c>
      <c r="F5060" s="81">
        <v>630.0</v>
      </c>
      <c r="G5060" s="81" t="s">
        <v>2</v>
      </c>
      <c r="H5060" s="81" t="s">
        <v>224</v>
      </c>
      <c r="I5060" s="81" t="s">
        <v>50</v>
      </c>
      <c r="J5060" s="81" t="s">
        <v>224</v>
      </c>
      <c r="K5060" s="81" t="str">
        <f>IFERROR(__xludf.DUMMYFUNCTION("IF(OR(D5060="""",G5060=""""),"""",IFERROR(LET(
campo,XLOOKUP(TRIM(G5060),ARRAYFORMULA(TRIM('indice columnas'!$A$2:$A$100)),'indice columnas'!$B$2:$B$100,""""),
col,IFERROR(MATCH(campo,Referencia!$A$1:$AZ$1,0),0),
fila,IFERROR(MATCH(TO_TEXT(D5060),ARRAYFOR"&amp;"MULA(TO_TEXT(Referencia!$A$2:$A6238)),0),0),
IF(OR(campo="""",campo=""-""),""NO APLICA"",
IF(col=0,""REVISAR EQUIVALENCIA"",
IF(fila=0,""SKU NO ENCONTRADO"",
LET(
valor,INDEX(Referencia!$A$2:$AZ6238,fila,col),
IF(TRIM(TO_TEXT(valor))=TRIM(TO_TEXT(I5060)),"&amp;"
""OK"",
""NO COINCIDE. Valor verdadero: ""&amp;IF(valor="""",""[VACÍO]"",TO_TEXT(valor))
)
))))
),""ERROR EN FÓRMULA""))"),"OK")</f>
        <v>OK</v>
      </c>
    </row>
    <row r="5061">
      <c r="A5061" s="83" t="s">
        <v>4899</v>
      </c>
      <c r="B5061" s="83" t="s">
        <v>4900</v>
      </c>
      <c r="C5061" s="81" t="s">
        <v>4621</v>
      </c>
      <c r="D5061" s="83" t="s">
        <v>4696</v>
      </c>
      <c r="E5061" s="81" t="s">
        <v>3296</v>
      </c>
      <c r="F5061" s="81">
        <v>630.0</v>
      </c>
      <c r="G5061" s="81" t="s">
        <v>1</v>
      </c>
      <c r="H5061" s="81" t="s">
        <v>224</v>
      </c>
      <c r="I5061" s="81" t="s">
        <v>49</v>
      </c>
      <c r="J5061" s="81" t="s">
        <v>224</v>
      </c>
      <c r="K5061" s="81" t="str">
        <f>IFERROR(__xludf.DUMMYFUNCTION("IF(OR(D5061="""",G5061=""""),"""",IFERROR(LET(
campo,XLOOKUP(TRIM(G5061),ARRAYFORMULA(TRIM('indice columnas'!$A$2:$A$100)),'indice columnas'!$B$2:$B$100,""""),
col,IFERROR(MATCH(campo,Referencia!$A$1:$AZ$1,0),0),
fila,IFERROR(MATCH(TO_TEXT(D5061),ARRAYFOR"&amp;"MULA(TO_TEXT(Referencia!$A$2:$A6238)),0),0),
IF(OR(campo="""",campo=""-""),""NO APLICA"",
IF(col=0,""REVISAR EQUIVALENCIA"",
IF(fila=0,""SKU NO ENCONTRADO"",
LET(
valor,INDEX(Referencia!$A$2:$AZ6238,fila,col),
IF(TRIM(TO_TEXT(valor))=TRIM(TO_TEXT(I5061)),"&amp;"
""OK"",
""NO COINCIDE. Valor verdadero: ""&amp;IF(valor="""",""[VACÍO]"",TO_TEXT(valor))
)
))))
),""ERROR EN FÓRMULA""))"),"OK")</f>
        <v>OK</v>
      </c>
    </row>
    <row r="5062">
      <c r="A5062" s="83" t="s">
        <v>4899</v>
      </c>
      <c r="B5062" s="83" t="s">
        <v>4900</v>
      </c>
      <c r="C5062" s="81" t="s">
        <v>4621</v>
      </c>
      <c r="D5062" s="83" t="s">
        <v>4698</v>
      </c>
      <c r="E5062" s="81" t="s">
        <v>3312</v>
      </c>
      <c r="F5062" s="81">
        <v>633.0</v>
      </c>
      <c r="G5062" s="81" t="s">
        <v>3</v>
      </c>
      <c r="H5062" s="81" t="s">
        <v>224</v>
      </c>
      <c r="I5062" s="81" t="s">
        <v>909</v>
      </c>
      <c r="J5062" s="81" t="s">
        <v>224</v>
      </c>
      <c r="K5062" s="81" t="str">
        <f>IFERROR(__xludf.DUMMYFUNCTION("IF(OR(D5062="""",G5062=""""),"""",IFERROR(LET(
campo,XLOOKUP(TRIM(G5062),ARRAYFORMULA(TRIM('indice columnas'!$A$2:$A$100)),'indice columnas'!$B$2:$B$100,""""),
col,IFERROR(MATCH(campo,Referencia!$A$1:$AZ$1,0),0),
fila,IFERROR(MATCH(TO_TEXT(D5062),ARRAYFOR"&amp;"MULA(TO_TEXT(Referencia!$A$2:$A6238)),0),0),
IF(OR(campo="""",campo=""-""),""NO APLICA"",
IF(col=0,""REVISAR EQUIVALENCIA"",
IF(fila=0,""SKU NO ENCONTRADO"",
LET(
valor,INDEX(Referencia!$A$2:$AZ6238,fila,col),
IF(TRIM(TO_TEXT(valor))=TRIM(TO_TEXT(I5062)),"&amp;"
""OK"",
""NO COINCIDE. Valor verdadero: ""&amp;IF(valor="""",""[VACÍO]"",TO_TEXT(valor))
)
))))
),""ERROR EN FÓRMULA""))"),"OK")</f>
        <v>OK</v>
      </c>
    </row>
    <row r="5063">
      <c r="A5063" s="83" t="s">
        <v>4899</v>
      </c>
      <c r="B5063" s="83" t="s">
        <v>4900</v>
      </c>
      <c r="C5063" s="81" t="s">
        <v>4621</v>
      </c>
      <c r="D5063" s="83" t="s">
        <v>4698</v>
      </c>
      <c r="E5063" s="81" t="s">
        <v>3312</v>
      </c>
      <c r="F5063" s="81">
        <v>633.0</v>
      </c>
      <c r="G5063" s="81" t="s">
        <v>2</v>
      </c>
      <c r="H5063" s="81" t="s">
        <v>224</v>
      </c>
      <c r="I5063" s="81" t="s">
        <v>885</v>
      </c>
      <c r="J5063" s="81" t="s">
        <v>224</v>
      </c>
      <c r="K5063" s="81" t="str">
        <f>IFERROR(__xludf.DUMMYFUNCTION("IF(OR(D5063="""",G5063=""""),"""",IFERROR(LET(
campo,XLOOKUP(TRIM(G5063),ARRAYFORMULA(TRIM('indice columnas'!$A$2:$A$100)),'indice columnas'!$B$2:$B$100,""""),
col,IFERROR(MATCH(campo,Referencia!$A$1:$AZ$1,0),0),
fila,IFERROR(MATCH(TO_TEXT(D5063),ARRAYFOR"&amp;"MULA(TO_TEXT(Referencia!$A$2:$A6238)),0),0),
IF(OR(campo="""",campo=""-""),""NO APLICA"",
IF(col=0,""REVISAR EQUIVALENCIA"",
IF(fila=0,""SKU NO ENCONTRADO"",
LET(
valor,INDEX(Referencia!$A$2:$AZ6238,fila,col),
IF(TRIM(TO_TEXT(valor))=TRIM(TO_TEXT(I5063)),"&amp;"
""OK"",
""NO COINCIDE. Valor verdadero: ""&amp;IF(valor="""",""[VACÍO]"",TO_TEXT(valor))
)
))))
),""ERROR EN FÓRMULA""))"),"OK")</f>
        <v>OK</v>
      </c>
    </row>
    <row r="5064">
      <c r="A5064" s="83" t="s">
        <v>4899</v>
      </c>
      <c r="B5064" s="83" t="s">
        <v>4900</v>
      </c>
      <c r="C5064" s="81" t="s">
        <v>4621</v>
      </c>
      <c r="D5064" s="83" t="s">
        <v>4698</v>
      </c>
      <c r="E5064" s="81" t="s">
        <v>3312</v>
      </c>
      <c r="F5064" s="81">
        <v>633.0</v>
      </c>
      <c r="G5064" s="81" t="s">
        <v>1</v>
      </c>
      <c r="H5064" s="81" t="s">
        <v>224</v>
      </c>
      <c r="I5064" s="81" t="s">
        <v>49</v>
      </c>
      <c r="J5064" s="81" t="s">
        <v>224</v>
      </c>
      <c r="K5064" s="81" t="str">
        <f>IFERROR(__xludf.DUMMYFUNCTION("IF(OR(D5064="""",G5064=""""),"""",IFERROR(LET(
campo,XLOOKUP(TRIM(G5064),ARRAYFORMULA(TRIM('indice columnas'!$A$2:$A$100)),'indice columnas'!$B$2:$B$100,""""),
col,IFERROR(MATCH(campo,Referencia!$A$1:$AZ$1,0),0),
fila,IFERROR(MATCH(TO_TEXT(D5064),ARRAYFOR"&amp;"MULA(TO_TEXT(Referencia!$A$2:$A6238)),0),0),
IF(OR(campo="""",campo=""-""),""NO APLICA"",
IF(col=0,""REVISAR EQUIVALENCIA"",
IF(fila=0,""SKU NO ENCONTRADO"",
LET(
valor,INDEX(Referencia!$A$2:$AZ6238,fila,col),
IF(TRIM(TO_TEXT(valor))=TRIM(TO_TEXT(I5064)),"&amp;"
""OK"",
""NO COINCIDE. Valor verdadero: ""&amp;IF(valor="""",""[VACÍO]"",TO_TEXT(valor))
)
))))
),""ERROR EN FÓRMULA""))"),"OK")</f>
        <v>OK</v>
      </c>
    </row>
    <row r="5065">
      <c r="A5065" s="83" t="s">
        <v>4899</v>
      </c>
      <c r="B5065" s="83" t="s">
        <v>4900</v>
      </c>
      <c r="C5065" s="81" t="s">
        <v>4621</v>
      </c>
      <c r="D5065" s="83" t="s">
        <v>4705</v>
      </c>
      <c r="E5065" s="81" t="s">
        <v>3354</v>
      </c>
      <c r="F5065" s="81">
        <v>639.0</v>
      </c>
      <c r="G5065" s="81" t="s">
        <v>3</v>
      </c>
      <c r="H5065" s="81" t="s">
        <v>224</v>
      </c>
      <c r="I5065" s="81" t="s">
        <v>51</v>
      </c>
      <c r="J5065" s="81" t="s">
        <v>224</v>
      </c>
      <c r="K5065" s="81" t="str">
        <f>IFERROR(__xludf.DUMMYFUNCTION("IF(OR(D5065="""",G5065=""""),"""",IFERROR(LET(
campo,XLOOKUP(TRIM(G5065),ARRAYFORMULA(TRIM('indice columnas'!$A$2:$A$100)),'indice columnas'!$B$2:$B$100,""""),
col,IFERROR(MATCH(campo,Referencia!$A$1:$AZ$1,0),0),
fila,IFERROR(MATCH(TO_TEXT(D5065),ARRAYFOR"&amp;"MULA(TO_TEXT(Referencia!$A$2:$A6238)),0),0),
IF(OR(campo="""",campo=""-""),""NO APLICA"",
IF(col=0,""REVISAR EQUIVALENCIA"",
IF(fila=0,""SKU NO ENCONTRADO"",
LET(
valor,INDEX(Referencia!$A$2:$AZ6238,fila,col),
IF(TRIM(TO_TEXT(valor))=TRIM(TO_TEXT(I5065)),"&amp;"
""OK"",
""NO COINCIDE. Valor verdadero: ""&amp;IF(valor="""",""[VACÍO]"",TO_TEXT(valor))
)
))))
),""ERROR EN FÓRMULA""))"),"OK")</f>
        <v>OK</v>
      </c>
    </row>
    <row r="5066">
      <c r="A5066" s="83" t="s">
        <v>4899</v>
      </c>
      <c r="B5066" s="83" t="s">
        <v>4900</v>
      </c>
      <c r="C5066" s="81" t="s">
        <v>4621</v>
      </c>
      <c r="D5066" s="83" t="s">
        <v>4705</v>
      </c>
      <c r="E5066" s="81" t="s">
        <v>3354</v>
      </c>
      <c r="F5066" s="81">
        <v>639.0</v>
      </c>
      <c r="G5066" s="81" t="s">
        <v>2</v>
      </c>
      <c r="H5066" s="81" t="s">
        <v>224</v>
      </c>
      <c r="I5066" s="81" t="s">
        <v>50</v>
      </c>
      <c r="J5066" s="81" t="s">
        <v>224</v>
      </c>
      <c r="K5066" s="81" t="str">
        <f>IFERROR(__xludf.DUMMYFUNCTION("IF(OR(D5066="""",G5066=""""),"""",IFERROR(LET(
campo,XLOOKUP(TRIM(G5066),ARRAYFORMULA(TRIM('indice columnas'!$A$2:$A$100)),'indice columnas'!$B$2:$B$100,""""),
col,IFERROR(MATCH(campo,Referencia!$A$1:$AZ$1,0),0),
fila,IFERROR(MATCH(TO_TEXT(D5066),ARRAYFOR"&amp;"MULA(TO_TEXT(Referencia!$A$2:$A6238)),0),0),
IF(OR(campo="""",campo=""-""),""NO APLICA"",
IF(col=0,""REVISAR EQUIVALENCIA"",
IF(fila=0,""SKU NO ENCONTRADO"",
LET(
valor,INDEX(Referencia!$A$2:$AZ6238,fila,col),
IF(TRIM(TO_TEXT(valor))=TRIM(TO_TEXT(I5066)),"&amp;"
""OK"",
""NO COINCIDE. Valor verdadero: ""&amp;IF(valor="""",""[VACÍO]"",TO_TEXT(valor))
)
))))
),""ERROR EN FÓRMULA""))"),"OK")</f>
        <v>OK</v>
      </c>
    </row>
    <row r="5067">
      <c r="A5067" s="83" t="s">
        <v>4899</v>
      </c>
      <c r="B5067" s="83" t="s">
        <v>4900</v>
      </c>
      <c r="C5067" s="81" t="s">
        <v>4621</v>
      </c>
      <c r="D5067" s="83" t="s">
        <v>4705</v>
      </c>
      <c r="E5067" s="81" t="s">
        <v>3354</v>
      </c>
      <c r="F5067" s="81">
        <v>639.0</v>
      </c>
      <c r="G5067" s="81" t="s">
        <v>1</v>
      </c>
      <c r="H5067" s="81" t="s">
        <v>224</v>
      </c>
      <c r="I5067" s="81" t="s">
        <v>49</v>
      </c>
      <c r="J5067" s="81" t="s">
        <v>224</v>
      </c>
      <c r="K5067" s="81" t="str">
        <f>IFERROR(__xludf.DUMMYFUNCTION("IF(OR(D5067="""",G5067=""""),"""",IFERROR(LET(
campo,XLOOKUP(TRIM(G5067),ARRAYFORMULA(TRIM('indice columnas'!$A$2:$A$100)),'indice columnas'!$B$2:$B$100,""""),
col,IFERROR(MATCH(campo,Referencia!$A$1:$AZ$1,0),0),
fila,IFERROR(MATCH(TO_TEXT(D5067),ARRAYFOR"&amp;"MULA(TO_TEXT(Referencia!$A$2:$A6238)),0),0),
IF(OR(campo="""",campo=""-""),""NO APLICA"",
IF(col=0,""REVISAR EQUIVALENCIA"",
IF(fila=0,""SKU NO ENCONTRADO"",
LET(
valor,INDEX(Referencia!$A$2:$AZ6238,fila,col),
IF(TRIM(TO_TEXT(valor))=TRIM(TO_TEXT(I5067)),"&amp;"
""OK"",
""NO COINCIDE. Valor verdadero: ""&amp;IF(valor="""",""[VACÍO]"",TO_TEXT(valor))
)
))))
),""ERROR EN FÓRMULA""))"),"OK")</f>
        <v>OK</v>
      </c>
    </row>
    <row r="5068">
      <c r="A5068" s="83" t="s">
        <v>4899</v>
      </c>
      <c r="B5068" s="83" t="s">
        <v>4900</v>
      </c>
      <c r="C5068" s="81" t="s">
        <v>4621</v>
      </c>
      <c r="D5068" s="83" t="s">
        <v>4706</v>
      </c>
      <c r="E5068" s="81" t="s">
        <v>3359</v>
      </c>
      <c r="F5068" s="81">
        <v>640.0</v>
      </c>
      <c r="G5068" s="81" t="s">
        <v>3</v>
      </c>
      <c r="H5068" s="81" t="s">
        <v>224</v>
      </c>
      <c r="I5068" s="81" t="s">
        <v>51</v>
      </c>
      <c r="J5068" s="81" t="s">
        <v>224</v>
      </c>
      <c r="K5068" s="81" t="str">
        <f>IFERROR(__xludf.DUMMYFUNCTION("IF(OR(D5068="""",G5068=""""),"""",IFERROR(LET(
campo,XLOOKUP(TRIM(G5068),ARRAYFORMULA(TRIM('indice columnas'!$A$2:$A$100)),'indice columnas'!$B$2:$B$100,""""),
col,IFERROR(MATCH(campo,Referencia!$A$1:$AZ$1,0),0),
fila,IFERROR(MATCH(TO_TEXT(D5068),ARRAYFOR"&amp;"MULA(TO_TEXT(Referencia!$A$2:$A6238)),0),0),
IF(OR(campo="""",campo=""-""),""NO APLICA"",
IF(col=0,""REVISAR EQUIVALENCIA"",
IF(fila=0,""SKU NO ENCONTRADO"",
LET(
valor,INDEX(Referencia!$A$2:$AZ6238,fila,col),
IF(TRIM(TO_TEXT(valor))=TRIM(TO_TEXT(I5068)),"&amp;"
""OK"",
""NO COINCIDE. Valor verdadero: ""&amp;IF(valor="""",""[VACÍO]"",TO_TEXT(valor))
)
))))
),""ERROR EN FÓRMULA""))"),"OK")</f>
        <v>OK</v>
      </c>
    </row>
    <row r="5069">
      <c r="A5069" s="83" t="s">
        <v>4899</v>
      </c>
      <c r="B5069" s="83" t="s">
        <v>4900</v>
      </c>
      <c r="C5069" s="81" t="s">
        <v>4621</v>
      </c>
      <c r="D5069" s="83" t="s">
        <v>4706</v>
      </c>
      <c r="E5069" s="81" t="s">
        <v>3359</v>
      </c>
      <c r="F5069" s="81">
        <v>640.0</v>
      </c>
      <c r="G5069" s="81" t="s">
        <v>2</v>
      </c>
      <c r="H5069" s="81" t="s">
        <v>224</v>
      </c>
      <c r="I5069" s="81" t="s">
        <v>50</v>
      </c>
      <c r="J5069" s="81" t="s">
        <v>224</v>
      </c>
      <c r="K5069" s="81" t="str">
        <f>IFERROR(__xludf.DUMMYFUNCTION("IF(OR(D5069="""",G5069=""""),"""",IFERROR(LET(
campo,XLOOKUP(TRIM(G5069),ARRAYFORMULA(TRIM('indice columnas'!$A$2:$A$100)),'indice columnas'!$B$2:$B$100,""""),
col,IFERROR(MATCH(campo,Referencia!$A$1:$AZ$1,0),0),
fila,IFERROR(MATCH(TO_TEXT(D5069),ARRAYFOR"&amp;"MULA(TO_TEXT(Referencia!$A$2:$A6238)),0),0),
IF(OR(campo="""",campo=""-""),""NO APLICA"",
IF(col=0,""REVISAR EQUIVALENCIA"",
IF(fila=0,""SKU NO ENCONTRADO"",
LET(
valor,INDEX(Referencia!$A$2:$AZ6238,fila,col),
IF(TRIM(TO_TEXT(valor))=TRIM(TO_TEXT(I5069)),"&amp;"
""OK"",
""NO COINCIDE. Valor verdadero: ""&amp;IF(valor="""",""[VACÍO]"",TO_TEXT(valor))
)
))))
),""ERROR EN FÓRMULA""))"),"OK")</f>
        <v>OK</v>
      </c>
    </row>
    <row r="5070">
      <c r="A5070" s="83" t="s">
        <v>4899</v>
      </c>
      <c r="B5070" s="83" t="s">
        <v>4900</v>
      </c>
      <c r="C5070" s="81" t="s">
        <v>4621</v>
      </c>
      <c r="D5070" s="83" t="s">
        <v>4706</v>
      </c>
      <c r="E5070" s="81" t="s">
        <v>3359</v>
      </c>
      <c r="F5070" s="81">
        <v>640.0</v>
      </c>
      <c r="G5070" s="81" t="s">
        <v>1</v>
      </c>
      <c r="H5070" s="81" t="s">
        <v>224</v>
      </c>
      <c r="I5070" s="81" t="s">
        <v>49</v>
      </c>
      <c r="J5070" s="81" t="s">
        <v>224</v>
      </c>
      <c r="K5070" s="81" t="str">
        <f>IFERROR(__xludf.DUMMYFUNCTION("IF(OR(D5070="""",G5070=""""),"""",IFERROR(LET(
campo,XLOOKUP(TRIM(G5070),ARRAYFORMULA(TRIM('indice columnas'!$A$2:$A$100)),'indice columnas'!$B$2:$B$100,""""),
col,IFERROR(MATCH(campo,Referencia!$A$1:$AZ$1,0),0),
fila,IFERROR(MATCH(TO_TEXT(D5070),ARRAYFOR"&amp;"MULA(TO_TEXT(Referencia!$A$2:$A6238)),0),0),
IF(OR(campo="""",campo=""-""),""NO APLICA"",
IF(col=0,""REVISAR EQUIVALENCIA"",
IF(fila=0,""SKU NO ENCONTRADO"",
LET(
valor,INDEX(Referencia!$A$2:$AZ6238,fila,col),
IF(TRIM(TO_TEXT(valor))=TRIM(TO_TEXT(I5070)),"&amp;"
""OK"",
""NO COINCIDE. Valor verdadero: ""&amp;IF(valor="""",""[VACÍO]"",TO_TEXT(valor))
)
))))
),""ERROR EN FÓRMULA""))"),"OK")</f>
        <v>OK</v>
      </c>
    </row>
    <row r="5071">
      <c r="A5071" s="83" t="s">
        <v>4899</v>
      </c>
      <c r="B5071" s="83" t="s">
        <v>4900</v>
      </c>
      <c r="C5071" s="81" t="s">
        <v>4621</v>
      </c>
      <c r="D5071" s="83" t="s">
        <v>4709</v>
      </c>
      <c r="E5071" s="81" t="s">
        <v>3370</v>
      </c>
      <c r="F5071" s="81">
        <v>643.0</v>
      </c>
      <c r="G5071" s="81" t="s">
        <v>3</v>
      </c>
      <c r="H5071" s="81" t="s">
        <v>224</v>
      </c>
      <c r="I5071" s="81" t="s">
        <v>51</v>
      </c>
      <c r="J5071" s="81" t="s">
        <v>224</v>
      </c>
      <c r="K5071" s="81" t="str">
        <f>IFERROR(__xludf.DUMMYFUNCTION("IF(OR(D5071="""",G5071=""""),"""",IFERROR(LET(
campo,XLOOKUP(TRIM(G5071),ARRAYFORMULA(TRIM('indice columnas'!$A$2:$A$100)),'indice columnas'!$B$2:$B$100,""""),
col,IFERROR(MATCH(campo,Referencia!$A$1:$AZ$1,0),0),
fila,IFERROR(MATCH(TO_TEXT(D5071),ARRAYFOR"&amp;"MULA(TO_TEXT(Referencia!$A$2:$A6238)),0),0),
IF(OR(campo="""",campo=""-""),""NO APLICA"",
IF(col=0,""REVISAR EQUIVALENCIA"",
IF(fila=0,""SKU NO ENCONTRADO"",
LET(
valor,INDEX(Referencia!$A$2:$AZ6238,fila,col),
IF(TRIM(TO_TEXT(valor))=TRIM(TO_TEXT(I5071)),"&amp;"
""OK"",
""NO COINCIDE. Valor verdadero: ""&amp;IF(valor="""",""[VACÍO]"",TO_TEXT(valor))
)
))))
),""ERROR EN FÓRMULA""))"),"OK")</f>
        <v>OK</v>
      </c>
    </row>
    <row r="5072">
      <c r="A5072" s="83" t="s">
        <v>4899</v>
      </c>
      <c r="B5072" s="83" t="s">
        <v>4900</v>
      </c>
      <c r="C5072" s="81" t="s">
        <v>4621</v>
      </c>
      <c r="D5072" s="83" t="s">
        <v>4709</v>
      </c>
      <c r="E5072" s="81" t="s">
        <v>3370</v>
      </c>
      <c r="F5072" s="81">
        <v>643.0</v>
      </c>
      <c r="G5072" s="81" t="s">
        <v>2</v>
      </c>
      <c r="H5072" s="81" t="s">
        <v>224</v>
      </c>
      <c r="I5072" s="81" t="s">
        <v>50</v>
      </c>
      <c r="J5072" s="81" t="s">
        <v>224</v>
      </c>
      <c r="K5072" s="81" t="str">
        <f>IFERROR(__xludf.DUMMYFUNCTION("IF(OR(D5072="""",G5072=""""),"""",IFERROR(LET(
campo,XLOOKUP(TRIM(G5072),ARRAYFORMULA(TRIM('indice columnas'!$A$2:$A$100)),'indice columnas'!$B$2:$B$100,""""),
col,IFERROR(MATCH(campo,Referencia!$A$1:$AZ$1,0),0),
fila,IFERROR(MATCH(TO_TEXT(D5072),ARRAYFOR"&amp;"MULA(TO_TEXT(Referencia!$A$2:$A6238)),0),0),
IF(OR(campo="""",campo=""-""),""NO APLICA"",
IF(col=0,""REVISAR EQUIVALENCIA"",
IF(fila=0,""SKU NO ENCONTRADO"",
LET(
valor,INDEX(Referencia!$A$2:$AZ6238,fila,col),
IF(TRIM(TO_TEXT(valor))=TRIM(TO_TEXT(I5072)),"&amp;"
""OK"",
""NO COINCIDE. Valor verdadero: ""&amp;IF(valor="""",""[VACÍO]"",TO_TEXT(valor))
)
))))
),""ERROR EN FÓRMULA""))"),"OK")</f>
        <v>OK</v>
      </c>
    </row>
    <row r="5073">
      <c r="A5073" s="83" t="s">
        <v>4899</v>
      </c>
      <c r="B5073" s="83" t="s">
        <v>4900</v>
      </c>
      <c r="C5073" s="81" t="s">
        <v>4621</v>
      </c>
      <c r="D5073" s="83" t="s">
        <v>4709</v>
      </c>
      <c r="E5073" s="81" t="s">
        <v>3370</v>
      </c>
      <c r="F5073" s="81">
        <v>643.0</v>
      </c>
      <c r="G5073" s="81" t="s">
        <v>1</v>
      </c>
      <c r="H5073" s="81" t="s">
        <v>224</v>
      </c>
      <c r="I5073" s="81" t="s">
        <v>49</v>
      </c>
      <c r="J5073" s="81" t="s">
        <v>224</v>
      </c>
      <c r="K5073" s="81" t="str">
        <f>IFERROR(__xludf.DUMMYFUNCTION("IF(OR(D5073="""",G5073=""""),"""",IFERROR(LET(
campo,XLOOKUP(TRIM(G5073),ARRAYFORMULA(TRIM('indice columnas'!$A$2:$A$100)),'indice columnas'!$B$2:$B$100,""""),
col,IFERROR(MATCH(campo,Referencia!$A$1:$AZ$1,0),0),
fila,IFERROR(MATCH(TO_TEXT(D5073),ARRAYFOR"&amp;"MULA(TO_TEXT(Referencia!$A$2:$A6238)),0),0),
IF(OR(campo="""",campo=""-""),""NO APLICA"",
IF(col=0,""REVISAR EQUIVALENCIA"",
IF(fila=0,""SKU NO ENCONTRADO"",
LET(
valor,INDEX(Referencia!$A$2:$AZ6238,fila,col),
IF(TRIM(TO_TEXT(valor))=TRIM(TO_TEXT(I5073)),"&amp;"
""OK"",
""NO COINCIDE. Valor verdadero: ""&amp;IF(valor="""",""[VACÍO]"",TO_TEXT(valor))
)
))))
),""ERROR EN FÓRMULA""))"),"OK")</f>
        <v>OK</v>
      </c>
    </row>
    <row r="5074">
      <c r="A5074" s="83" t="s">
        <v>4899</v>
      </c>
      <c r="B5074" s="83" t="s">
        <v>4900</v>
      </c>
      <c r="C5074" s="81" t="s">
        <v>4621</v>
      </c>
      <c r="D5074" s="83" t="s">
        <v>4710</v>
      </c>
      <c r="E5074" s="81" t="s">
        <v>3372</v>
      </c>
      <c r="F5074" s="81">
        <v>644.0</v>
      </c>
      <c r="G5074" s="81" t="s">
        <v>3</v>
      </c>
      <c r="H5074" s="81" t="s">
        <v>224</v>
      </c>
      <c r="I5074" s="81" t="s">
        <v>51</v>
      </c>
      <c r="J5074" s="81" t="s">
        <v>224</v>
      </c>
      <c r="K5074" s="81" t="str">
        <f>IFERROR(__xludf.DUMMYFUNCTION("IF(OR(D5074="""",G5074=""""),"""",IFERROR(LET(
campo,XLOOKUP(TRIM(G5074),ARRAYFORMULA(TRIM('indice columnas'!$A$2:$A$100)),'indice columnas'!$B$2:$B$100,""""),
col,IFERROR(MATCH(campo,Referencia!$A$1:$AZ$1,0),0),
fila,IFERROR(MATCH(TO_TEXT(D5074),ARRAYFOR"&amp;"MULA(TO_TEXT(Referencia!$A$2:$A6238)),0),0),
IF(OR(campo="""",campo=""-""),""NO APLICA"",
IF(col=0,""REVISAR EQUIVALENCIA"",
IF(fila=0,""SKU NO ENCONTRADO"",
LET(
valor,INDEX(Referencia!$A$2:$AZ6238,fila,col),
IF(TRIM(TO_TEXT(valor))=TRIM(TO_TEXT(I5074)),"&amp;"
""OK"",
""NO COINCIDE. Valor verdadero: ""&amp;IF(valor="""",""[VACÍO]"",TO_TEXT(valor))
)
))))
),""ERROR EN FÓRMULA""))"),"OK")</f>
        <v>OK</v>
      </c>
    </row>
    <row r="5075">
      <c r="A5075" s="83" t="s">
        <v>4899</v>
      </c>
      <c r="B5075" s="83" t="s">
        <v>4900</v>
      </c>
      <c r="C5075" s="81" t="s">
        <v>4621</v>
      </c>
      <c r="D5075" s="83" t="s">
        <v>4710</v>
      </c>
      <c r="E5075" s="81" t="s">
        <v>3372</v>
      </c>
      <c r="F5075" s="81">
        <v>644.0</v>
      </c>
      <c r="G5075" s="81" t="s">
        <v>2</v>
      </c>
      <c r="H5075" s="81" t="s">
        <v>224</v>
      </c>
      <c r="I5075" s="81" t="s">
        <v>50</v>
      </c>
      <c r="J5075" s="81" t="s">
        <v>224</v>
      </c>
      <c r="K5075" s="81" t="str">
        <f>IFERROR(__xludf.DUMMYFUNCTION("IF(OR(D5075="""",G5075=""""),"""",IFERROR(LET(
campo,XLOOKUP(TRIM(G5075),ARRAYFORMULA(TRIM('indice columnas'!$A$2:$A$100)),'indice columnas'!$B$2:$B$100,""""),
col,IFERROR(MATCH(campo,Referencia!$A$1:$AZ$1,0),0),
fila,IFERROR(MATCH(TO_TEXT(D5075),ARRAYFOR"&amp;"MULA(TO_TEXT(Referencia!$A$2:$A6238)),0),0),
IF(OR(campo="""",campo=""-""),""NO APLICA"",
IF(col=0,""REVISAR EQUIVALENCIA"",
IF(fila=0,""SKU NO ENCONTRADO"",
LET(
valor,INDEX(Referencia!$A$2:$AZ6238,fila,col),
IF(TRIM(TO_TEXT(valor))=TRIM(TO_TEXT(I5075)),"&amp;"
""OK"",
""NO COINCIDE. Valor verdadero: ""&amp;IF(valor="""",""[VACÍO]"",TO_TEXT(valor))
)
))))
),""ERROR EN FÓRMULA""))"),"OK")</f>
        <v>OK</v>
      </c>
    </row>
    <row r="5076">
      <c r="A5076" s="83" t="s">
        <v>4899</v>
      </c>
      <c r="B5076" s="83" t="s">
        <v>4900</v>
      </c>
      <c r="C5076" s="81" t="s">
        <v>4621</v>
      </c>
      <c r="D5076" s="83" t="s">
        <v>4710</v>
      </c>
      <c r="E5076" s="81" t="s">
        <v>3372</v>
      </c>
      <c r="F5076" s="81">
        <v>644.0</v>
      </c>
      <c r="G5076" s="81" t="s">
        <v>1</v>
      </c>
      <c r="H5076" s="81" t="s">
        <v>224</v>
      </c>
      <c r="I5076" s="81" t="s">
        <v>49</v>
      </c>
      <c r="J5076" s="81" t="s">
        <v>224</v>
      </c>
      <c r="K5076" s="81" t="str">
        <f>IFERROR(__xludf.DUMMYFUNCTION("IF(OR(D5076="""",G5076=""""),"""",IFERROR(LET(
campo,XLOOKUP(TRIM(G5076),ARRAYFORMULA(TRIM('indice columnas'!$A$2:$A$100)),'indice columnas'!$B$2:$B$100,""""),
col,IFERROR(MATCH(campo,Referencia!$A$1:$AZ$1,0),0),
fila,IFERROR(MATCH(TO_TEXT(D5076),ARRAYFOR"&amp;"MULA(TO_TEXT(Referencia!$A$2:$A6238)),0),0),
IF(OR(campo="""",campo=""-""),""NO APLICA"",
IF(col=0,""REVISAR EQUIVALENCIA"",
IF(fila=0,""SKU NO ENCONTRADO"",
LET(
valor,INDEX(Referencia!$A$2:$AZ6238,fila,col),
IF(TRIM(TO_TEXT(valor))=TRIM(TO_TEXT(I5076)),"&amp;"
""OK"",
""NO COINCIDE. Valor verdadero: ""&amp;IF(valor="""",""[VACÍO]"",TO_TEXT(valor))
)
))))
),""ERROR EN FÓRMULA""))"),"OK")</f>
        <v>OK</v>
      </c>
    </row>
    <row r="5077">
      <c r="A5077" s="83" t="s">
        <v>4899</v>
      </c>
      <c r="B5077" s="83" t="s">
        <v>4900</v>
      </c>
      <c r="C5077" s="81" t="s">
        <v>4621</v>
      </c>
      <c r="D5077" s="83" t="s">
        <v>4713</v>
      </c>
      <c r="E5077" s="81" t="s">
        <v>3390</v>
      </c>
      <c r="F5077" s="81">
        <v>647.0</v>
      </c>
      <c r="G5077" s="81" t="s">
        <v>3</v>
      </c>
      <c r="H5077" s="81" t="s">
        <v>224</v>
      </c>
      <c r="I5077" s="81" t="s">
        <v>1298</v>
      </c>
      <c r="J5077" s="81" t="s">
        <v>224</v>
      </c>
      <c r="K5077" s="81" t="str">
        <f>IFERROR(__xludf.DUMMYFUNCTION("IF(OR(D5077="""",G5077=""""),"""",IFERROR(LET(
campo,XLOOKUP(TRIM(G5077),ARRAYFORMULA(TRIM('indice columnas'!$A$2:$A$100)),'indice columnas'!$B$2:$B$100,""""),
col,IFERROR(MATCH(campo,Referencia!$A$1:$AZ$1,0),0),
fila,IFERROR(MATCH(TO_TEXT(D5077),ARRAYFOR"&amp;"MULA(TO_TEXT(Referencia!$A$2:$A6238)),0),0),
IF(OR(campo="""",campo=""-""),""NO APLICA"",
IF(col=0,""REVISAR EQUIVALENCIA"",
IF(fila=0,""SKU NO ENCONTRADO"",
LET(
valor,INDEX(Referencia!$A$2:$AZ6238,fila,col),
IF(TRIM(TO_TEXT(valor))=TRIM(TO_TEXT(I5077)),"&amp;"
""OK"",
""NO COINCIDE. Valor verdadero: ""&amp;IF(valor="""",""[VACÍO]"",TO_TEXT(valor))
)
))))
),""ERROR EN FÓRMULA""))"),"OK")</f>
        <v>OK</v>
      </c>
    </row>
    <row r="5078">
      <c r="A5078" s="83" t="s">
        <v>4899</v>
      </c>
      <c r="B5078" s="83" t="s">
        <v>4900</v>
      </c>
      <c r="C5078" s="81" t="s">
        <v>4621</v>
      </c>
      <c r="D5078" s="83" t="s">
        <v>4713</v>
      </c>
      <c r="E5078" s="81" t="s">
        <v>3390</v>
      </c>
      <c r="F5078" s="81">
        <v>647.0</v>
      </c>
      <c r="G5078" s="81" t="s">
        <v>2</v>
      </c>
      <c r="H5078" s="81" t="s">
        <v>224</v>
      </c>
      <c r="I5078" s="81" t="s">
        <v>332</v>
      </c>
      <c r="J5078" s="81" t="s">
        <v>224</v>
      </c>
      <c r="K5078" s="81" t="str">
        <f>IFERROR(__xludf.DUMMYFUNCTION("IF(OR(D5078="""",G5078=""""),"""",IFERROR(LET(
campo,XLOOKUP(TRIM(G5078),ARRAYFORMULA(TRIM('indice columnas'!$A$2:$A$100)),'indice columnas'!$B$2:$B$100,""""),
col,IFERROR(MATCH(campo,Referencia!$A$1:$AZ$1,0),0),
fila,IFERROR(MATCH(TO_TEXT(D5078),ARRAYFOR"&amp;"MULA(TO_TEXT(Referencia!$A$2:$A6238)),0),0),
IF(OR(campo="""",campo=""-""),""NO APLICA"",
IF(col=0,""REVISAR EQUIVALENCIA"",
IF(fila=0,""SKU NO ENCONTRADO"",
LET(
valor,INDEX(Referencia!$A$2:$AZ6238,fila,col),
IF(TRIM(TO_TEXT(valor))=TRIM(TO_TEXT(I5078)),"&amp;"
""OK"",
""NO COINCIDE. Valor verdadero: ""&amp;IF(valor="""",""[VACÍO]"",TO_TEXT(valor))
)
))))
),""ERROR EN FÓRMULA""))"),"OK")</f>
        <v>OK</v>
      </c>
    </row>
    <row r="5079">
      <c r="A5079" s="83" t="s">
        <v>4899</v>
      </c>
      <c r="B5079" s="83" t="s">
        <v>4900</v>
      </c>
      <c r="C5079" s="81" t="s">
        <v>4621</v>
      </c>
      <c r="D5079" s="83" t="s">
        <v>4713</v>
      </c>
      <c r="E5079" s="81" t="s">
        <v>3390</v>
      </c>
      <c r="F5079" s="81">
        <v>647.0</v>
      </c>
      <c r="G5079" s="81" t="s">
        <v>1</v>
      </c>
      <c r="H5079" s="81" t="s">
        <v>224</v>
      </c>
      <c r="I5079" s="81" t="s">
        <v>49</v>
      </c>
      <c r="J5079" s="81" t="s">
        <v>224</v>
      </c>
      <c r="K5079" s="81" t="str">
        <f>IFERROR(__xludf.DUMMYFUNCTION("IF(OR(D5079="""",G5079=""""),"""",IFERROR(LET(
campo,XLOOKUP(TRIM(G5079),ARRAYFORMULA(TRIM('indice columnas'!$A$2:$A$100)),'indice columnas'!$B$2:$B$100,""""),
col,IFERROR(MATCH(campo,Referencia!$A$1:$AZ$1,0),0),
fila,IFERROR(MATCH(TO_TEXT(D5079),ARRAYFOR"&amp;"MULA(TO_TEXT(Referencia!$A$2:$A6238)),0),0),
IF(OR(campo="""",campo=""-""),""NO APLICA"",
IF(col=0,""REVISAR EQUIVALENCIA"",
IF(fila=0,""SKU NO ENCONTRADO"",
LET(
valor,INDEX(Referencia!$A$2:$AZ6238,fila,col),
IF(TRIM(TO_TEXT(valor))=TRIM(TO_TEXT(I5079)),"&amp;"
""OK"",
""NO COINCIDE. Valor verdadero: ""&amp;IF(valor="""",""[VACÍO]"",TO_TEXT(valor))
)
))))
),""ERROR EN FÓRMULA""))"),"OK")</f>
        <v>OK</v>
      </c>
    </row>
    <row r="5080">
      <c r="A5080" s="83" t="s">
        <v>4899</v>
      </c>
      <c r="B5080" s="83" t="s">
        <v>4900</v>
      </c>
      <c r="C5080" s="81" t="s">
        <v>4621</v>
      </c>
      <c r="D5080" s="83" t="s">
        <v>4723</v>
      </c>
      <c r="E5080" s="81" t="s">
        <v>3452</v>
      </c>
      <c r="F5080" s="81">
        <v>653.0</v>
      </c>
      <c r="G5080" s="81" t="s">
        <v>3</v>
      </c>
      <c r="H5080" s="81" t="s">
        <v>224</v>
      </c>
      <c r="I5080" s="81" t="s">
        <v>51</v>
      </c>
      <c r="J5080" s="81" t="s">
        <v>224</v>
      </c>
      <c r="K5080" s="81" t="str">
        <f>IFERROR(__xludf.DUMMYFUNCTION("IF(OR(D5080="""",G5080=""""),"""",IFERROR(LET(
campo,XLOOKUP(TRIM(G5080),ARRAYFORMULA(TRIM('indice columnas'!$A$2:$A$100)),'indice columnas'!$B$2:$B$100,""""),
col,IFERROR(MATCH(campo,Referencia!$A$1:$AZ$1,0),0),
fila,IFERROR(MATCH(TO_TEXT(D5080),ARRAYFOR"&amp;"MULA(TO_TEXT(Referencia!$A$2:$A6238)),0),0),
IF(OR(campo="""",campo=""-""),""NO APLICA"",
IF(col=0,""REVISAR EQUIVALENCIA"",
IF(fila=0,""SKU NO ENCONTRADO"",
LET(
valor,INDEX(Referencia!$A$2:$AZ6238,fila,col),
IF(TRIM(TO_TEXT(valor))=TRIM(TO_TEXT(I5080)),"&amp;"
""OK"",
""NO COINCIDE. Valor verdadero: ""&amp;IF(valor="""",""[VACÍO]"",TO_TEXT(valor))
)
))))
),""ERROR EN FÓRMULA""))"),"OK")</f>
        <v>OK</v>
      </c>
    </row>
    <row r="5081">
      <c r="A5081" s="83" t="s">
        <v>4899</v>
      </c>
      <c r="B5081" s="83" t="s">
        <v>4900</v>
      </c>
      <c r="C5081" s="81" t="s">
        <v>4621</v>
      </c>
      <c r="D5081" s="83" t="s">
        <v>4723</v>
      </c>
      <c r="E5081" s="81" t="s">
        <v>3452</v>
      </c>
      <c r="F5081" s="81">
        <v>653.0</v>
      </c>
      <c r="G5081" s="81" t="s">
        <v>2</v>
      </c>
      <c r="H5081" s="81" t="s">
        <v>224</v>
      </c>
      <c r="I5081" s="81" t="s">
        <v>50</v>
      </c>
      <c r="J5081" s="81" t="s">
        <v>224</v>
      </c>
      <c r="K5081" s="81" t="str">
        <f>IFERROR(__xludf.DUMMYFUNCTION("IF(OR(D5081="""",G5081=""""),"""",IFERROR(LET(
campo,XLOOKUP(TRIM(G5081),ARRAYFORMULA(TRIM('indice columnas'!$A$2:$A$100)),'indice columnas'!$B$2:$B$100,""""),
col,IFERROR(MATCH(campo,Referencia!$A$1:$AZ$1,0),0),
fila,IFERROR(MATCH(TO_TEXT(D5081),ARRAYFOR"&amp;"MULA(TO_TEXT(Referencia!$A$2:$A6238)),0),0),
IF(OR(campo="""",campo=""-""),""NO APLICA"",
IF(col=0,""REVISAR EQUIVALENCIA"",
IF(fila=0,""SKU NO ENCONTRADO"",
LET(
valor,INDEX(Referencia!$A$2:$AZ6238,fila,col),
IF(TRIM(TO_TEXT(valor))=TRIM(TO_TEXT(I5081)),"&amp;"
""OK"",
""NO COINCIDE. Valor verdadero: ""&amp;IF(valor="""",""[VACÍO]"",TO_TEXT(valor))
)
))))
),""ERROR EN FÓRMULA""))"),"OK")</f>
        <v>OK</v>
      </c>
    </row>
    <row r="5082">
      <c r="A5082" s="83" t="s">
        <v>4899</v>
      </c>
      <c r="B5082" s="83" t="s">
        <v>4900</v>
      </c>
      <c r="C5082" s="81" t="s">
        <v>4621</v>
      </c>
      <c r="D5082" s="83" t="s">
        <v>4723</v>
      </c>
      <c r="E5082" s="81" t="s">
        <v>3452</v>
      </c>
      <c r="F5082" s="81">
        <v>653.0</v>
      </c>
      <c r="G5082" s="81" t="s">
        <v>1</v>
      </c>
      <c r="H5082" s="81" t="s">
        <v>224</v>
      </c>
      <c r="I5082" s="81" t="s">
        <v>49</v>
      </c>
      <c r="J5082" s="81" t="s">
        <v>224</v>
      </c>
      <c r="K5082" s="81" t="str">
        <f>IFERROR(__xludf.DUMMYFUNCTION("IF(OR(D5082="""",G5082=""""),"""",IFERROR(LET(
campo,XLOOKUP(TRIM(G5082),ARRAYFORMULA(TRIM('indice columnas'!$A$2:$A$100)),'indice columnas'!$B$2:$B$100,""""),
col,IFERROR(MATCH(campo,Referencia!$A$1:$AZ$1,0),0),
fila,IFERROR(MATCH(TO_TEXT(D5082),ARRAYFOR"&amp;"MULA(TO_TEXT(Referencia!$A$2:$A6238)),0),0),
IF(OR(campo="""",campo=""-""),""NO APLICA"",
IF(col=0,""REVISAR EQUIVALENCIA"",
IF(fila=0,""SKU NO ENCONTRADO"",
LET(
valor,INDEX(Referencia!$A$2:$AZ6238,fila,col),
IF(TRIM(TO_TEXT(valor))=TRIM(TO_TEXT(I5082)),"&amp;"
""OK"",
""NO COINCIDE. Valor verdadero: ""&amp;IF(valor="""",""[VACÍO]"",TO_TEXT(valor))
)
))))
),""ERROR EN FÓRMULA""))"),"OK")</f>
        <v>OK</v>
      </c>
    </row>
    <row r="5083">
      <c r="A5083" s="83" t="s">
        <v>4899</v>
      </c>
      <c r="B5083" s="83" t="s">
        <v>4900</v>
      </c>
      <c r="C5083" s="81" t="s">
        <v>4621</v>
      </c>
      <c r="D5083" s="83" t="s">
        <v>4726</v>
      </c>
      <c r="E5083" s="81" t="s">
        <v>3474</v>
      </c>
      <c r="F5083" s="81">
        <v>656.0</v>
      </c>
      <c r="G5083" s="81" t="s">
        <v>3</v>
      </c>
      <c r="H5083" s="81" t="s">
        <v>224</v>
      </c>
      <c r="I5083" s="81" t="s">
        <v>1298</v>
      </c>
      <c r="J5083" s="81" t="s">
        <v>224</v>
      </c>
      <c r="K5083" s="81" t="str">
        <f>IFERROR(__xludf.DUMMYFUNCTION("IF(OR(D5083="""",G5083=""""),"""",IFERROR(LET(
campo,XLOOKUP(TRIM(G5083),ARRAYFORMULA(TRIM('indice columnas'!$A$2:$A$100)),'indice columnas'!$B$2:$B$100,""""),
col,IFERROR(MATCH(campo,Referencia!$A$1:$AZ$1,0),0),
fila,IFERROR(MATCH(TO_TEXT(D5083),ARRAYFOR"&amp;"MULA(TO_TEXT(Referencia!$A$2:$A6238)),0),0),
IF(OR(campo="""",campo=""-""),""NO APLICA"",
IF(col=0,""REVISAR EQUIVALENCIA"",
IF(fila=0,""SKU NO ENCONTRADO"",
LET(
valor,INDEX(Referencia!$A$2:$AZ6238,fila,col),
IF(TRIM(TO_TEXT(valor))=TRIM(TO_TEXT(I5083)),"&amp;"
""OK"",
""NO COINCIDE. Valor verdadero: ""&amp;IF(valor="""",""[VACÍO]"",TO_TEXT(valor))
)
))))
),""ERROR EN FÓRMULA""))"),"OK")</f>
        <v>OK</v>
      </c>
    </row>
    <row r="5084">
      <c r="A5084" s="83" t="s">
        <v>4899</v>
      </c>
      <c r="B5084" s="83" t="s">
        <v>4900</v>
      </c>
      <c r="C5084" s="81" t="s">
        <v>4621</v>
      </c>
      <c r="D5084" s="83" t="s">
        <v>4726</v>
      </c>
      <c r="E5084" s="81" t="s">
        <v>3474</v>
      </c>
      <c r="F5084" s="81">
        <v>656.0</v>
      </c>
      <c r="G5084" s="81" t="s">
        <v>2</v>
      </c>
      <c r="H5084" s="81" t="s">
        <v>224</v>
      </c>
      <c r="I5084" s="81" t="s">
        <v>332</v>
      </c>
      <c r="J5084" s="81" t="s">
        <v>224</v>
      </c>
      <c r="K5084" s="81" t="str">
        <f>IFERROR(__xludf.DUMMYFUNCTION("IF(OR(D5084="""",G5084=""""),"""",IFERROR(LET(
campo,XLOOKUP(TRIM(G5084),ARRAYFORMULA(TRIM('indice columnas'!$A$2:$A$100)),'indice columnas'!$B$2:$B$100,""""),
col,IFERROR(MATCH(campo,Referencia!$A$1:$AZ$1,0),0),
fila,IFERROR(MATCH(TO_TEXT(D5084),ARRAYFOR"&amp;"MULA(TO_TEXT(Referencia!$A$2:$A6238)),0),0),
IF(OR(campo="""",campo=""-""),""NO APLICA"",
IF(col=0,""REVISAR EQUIVALENCIA"",
IF(fila=0,""SKU NO ENCONTRADO"",
LET(
valor,INDEX(Referencia!$A$2:$AZ6238,fila,col),
IF(TRIM(TO_TEXT(valor))=TRIM(TO_TEXT(I5084)),"&amp;"
""OK"",
""NO COINCIDE. Valor verdadero: ""&amp;IF(valor="""",""[VACÍO]"",TO_TEXT(valor))
)
))))
),""ERROR EN FÓRMULA""))"),"OK")</f>
        <v>OK</v>
      </c>
    </row>
    <row r="5085">
      <c r="A5085" s="83" t="s">
        <v>4899</v>
      </c>
      <c r="B5085" s="83" t="s">
        <v>4900</v>
      </c>
      <c r="C5085" s="81" t="s">
        <v>4621</v>
      </c>
      <c r="D5085" s="83" t="s">
        <v>4726</v>
      </c>
      <c r="E5085" s="81" t="s">
        <v>3474</v>
      </c>
      <c r="F5085" s="81">
        <v>656.0</v>
      </c>
      <c r="G5085" s="81" t="s">
        <v>1</v>
      </c>
      <c r="H5085" s="81" t="s">
        <v>224</v>
      </c>
      <c r="I5085" s="81" t="s">
        <v>49</v>
      </c>
      <c r="J5085" s="81" t="s">
        <v>224</v>
      </c>
      <c r="K5085" s="81" t="str">
        <f>IFERROR(__xludf.DUMMYFUNCTION("IF(OR(D5085="""",G5085=""""),"""",IFERROR(LET(
campo,XLOOKUP(TRIM(G5085),ARRAYFORMULA(TRIM('indice columnas'!$A$2:$A$100)),'indice columnas'!$B$2:$B$100,""""),
col,IFERROR(MATCH(campo,Referencia!$A$1:$AZ$1,0),0),
fila,IFERROR(MATCH(TO_TEXT(D5085),ARRAYFOR"&amp;"MULA(TO_TEXT(Referencia!$A$2:$A6238)),0),0),
IF(OR(campo="""",campo=""-""),""NO APLICA"",
IF(col=0,""REVISAR EQUIVALENCIA"",
IF(fila=0,""SKU NO ENCONTRADO"",
LET(
valor,INDEX(Referencia!$A$2:$AZ6238,fila,col),
IF(TRIM(TO_TEXT(valor))=TRIM(TO_TEXT(I5085)),"&amp;"
""OK"",
""NO COINCIDE. Valor verdadero: ""&amp;IF(valor="""",""[VACÍO]"",TO_TEXT(valor))
)
))))
),""ERROR EN FÓRMULA""))"),"OK")</f>
        <v>OK</v>
      </c>
    </row>
    <row r="5086">
      <c r="A5086" s="83" t="s">
        <v>4899</v>
      </c>
      <c r="B5086" s="83" t="s">
        <v>4900</v>
      </c>
      <c r="C5086" s="81" t="s">
        <v>4621</v>
      </c>
      <c r="D5086" s="83" t="s">
        <v>4729</v>
      </c>
      <c r="E5086" s="81" t="s">
        <v>3497</v>
      </c>
      <c r="F5086" s="81">
        <v>659.0</v>
      </c>
      <c r="G5086" s="81" t="s">
        <v>3</v>
      </c>
      <c r="H5086" s="81" t="s">
        <v>224</v>
      </c>
      <c r="I5086" s="81" t="s">
        <v>51</v>
      </c>
      <c r="J5086" s="81" t="s">
        <v>224</v>
      </c>
      <c r="K5086" s="81" t="str">
        <f>IFERROR(__xludf.DUMMYFUNCTION("IF(OR(D5086="""",G5086=""""),"""",IFERROR(LET(
campo,XLOOKUP(TRIM(G5086),ARRAYFORMULA(TRIM('indice columnas'!$A$2:$A$100)),'indice columnas'!$B$2:$B$100,""""),
col,IFERROR(MATCH(campo,Referencia!$A$1:$AZ$1,0),0),
fila,IFERROR(MATCH(TO_TEXT(D5086),ARRAYFOR"&amp;"MULA(TO_TEXT(Referencia!$A$2:$A6238)),0),0),
IF(OR(campo="""",campo=""-""),""NO APLICA"",
IF(col=0,""REVISAR EQUIVALENCIA"",
IF(fila=0,""SKU NO ENCONTRADO"",
LET(
valor,INDEX(Referencia!$A$2:$AZ6238,fila,col),
IF(TRIM(TO_TEXT(valor))=TRIM(TO_TEXT(I5086)),"&amp;"
""OK"",
""NO COINCIDE. Valor verdadero: ""&amp;IF(valor="""",""[VACÍO]"",TO_TEXT(valor))
)
))))
),""ERROR EN FÓRMULA""))"),"OK")</f>
        <v>OK</v>
      </c>
    </row>
    <row r="5087">
      <c r="A5087" s="83" t="s">
        <v>4899</v>
      </c>
      <c r="B5087" s="83" t="s">
        <v>4900</v>
      </c>
      <c r="C5087" s="81" t="s">
        <v>4621</v>
      </c>
      <c r="D5087" s="83" t="s">
        <v>4729</v>
      </c>
      <c r="E5087" s="81" t="s">
        <v>3497</v>
      </c>
      <c r="F5087" s="81">
        <v>659.0</v>
      </c>
      <c r="G5087" s="81" t="s">
        <v>2</v>
      </c>
      <c r="H5087" s="81" t="s">
        <v>224</v>
      </c>
      <c r="I5087" s="81" t="s">
        <v>213</v>
      </c>
      <c r="J5087" s="81" t="s">
        <v>224</v>
      </c>
      <c r="K5087" s="81" t="str">
        <f>IFERROR(__xludf.DUMMYFUNCTION("IF(OR(D5087="""",G5087=""""),"""",IFERROR(LET(
campo,XLOOKUP(TRIM(G5087),ARRAYFORMULA(TRIM('indice columnas'!$A$2:$A$100)),'indice columnas'!$B$2:$B$100,""""),
col,IFERROR(MATCH(campo,Referencia!$A$1:$AZ$1,0),0),
fila,IFERROR(MATCH(TO_TEXT(D5087),ARRAYFOR"&amp;"MULA(TO_TEXT(Referencia!$A$2:$A6238)),0),0),
IF(OR(campo="""",campo=""-""),""NO APLICA"",
IF(col=0,""REVISAR EQUIVALENCIA"",
IF(fila=0,""SKU NO ENCONTRADO"",
LET(
valor,INDEX(Referencia!$A$2:$AZ6238,fila,col),
IF(TRIM(TO_TEXT(valor))=TRIM(TO_TEXT(I5087)),"&amp;"
""OK"",
""NO COINCIDE. Valor verdadero: ""&amp;IF(valor="""",""[VACÍO]"",TO_TEXT(valor))
)
))))
),""ERROR EN FÓRMULA""))"),"OK")</f>
        <v>OK</v>
      </c>
    </row>
    <row r="5088">
      <c r="A5088" s="83" t="s">
        <v>4899</v>
      </c>
      <c r="B5088" s="83" t="s">
        <v>4900</v>
      </c>
      <c r="C5088" s="81" t="s">
        <v>4621</v>
      </c>
      <c r="D5088" s="83" t="s">
        <v>4729</v>
      </c>
      <c r="E5088" s="81" t="s">
        <v>3497</v>
      </c>
      <c r="F5088" s="81">
        <v>659.0</v>
      </c>
      <c r="G5088" s="81" t="s">
        <v>1</v>
      </c>
      <c r="H5088" s="81" t="s">
        <v>224</v>
      </c>
      <c r="I5088" s="81" t="s">
        <v>49</v>
      </c>
      <c r="J5088" s="81" t="s">
        <v>224</v>
      </c>
      <c r="K5088" s="81" t="str">
        <f>IFERROR(__xludf.DUMMYFUNCTION("IF(OR(D5088="""",G5088=""""),"""",IFERROR(LET(
campo,XLOOKUP(TRIM(G5088),ARRAYFORMULA(TRIM('indice columnas'!$A$2:$A$100)),'indice columnas'!$B$2:$B$100,""""),
col,IFERROR(MATCH(campo,Referencia!$A$1:$AZ$1,0),0),
fila,IFERROR(MATCH(TO_TEXT(D5088),ARRAYFOR"&amp;"MULA(TO_TEXT(Referencia!$A$2:$A6238)),0),0),
IF(OR(campo="""",campo=""-""),""NO APLICA"",
IF(col=0,""REVISAR EQUIVALENCIA"",
IF(fila=0,""SKU NO ENCONTRADO"",
LET(
valor,INDEX(Referencia!$A$2:$AZ6238,fila,col),
IF(TRIM(TO_TEXT(valor))=TRIM(TO_TEXT(I5088)),"&amp;"
""OK"",
""NO COINCIDE. Valor verdadero: ""&amp;IF(valor="""",""[VACÍO]"",TO_TEXT(valor))
)
))))
),""ERROR EN FÓRMULA""))"),"OK")</f>
        <v>OK</v>
      </c>
    </row>
    <row r="5089">
      <c r="A5089" s="83" t="s">
        <v>4899</v>
      </c>
      <c r="B5089" s="83" t="s">
        <v>4900</v>
      </c>
      <c r="C5089" s="81" t="s">
        <v>4621</v>
      </c>
      <c r="D5089" s="83" t="s">
        <v>4730</v>
      </c>
      <c r="E5089" s="81" t="s">
        <v>3500</v>
      </c>
      <c r="F5089" s="81">
        <v>660.0</v>
      </c>
      <c r="G5089" s="81" t="s">
        <v>3</v>
      </c>
      <c r="H5089" s="81" t="s">
        <v>224</v>
      </c>
      <c r="I5089" s="81" t="s">
        <v>51</v>
      </c>
      <c r="J5089" s="81" t="s">
        <v>224</v>
      </c>
      <c r="K5089" s="81" t="str">
        <f>IFERROR(__xludf.DUMMYFUNCTION("IF(OR(D5089="""",G5089=""""),"""",IFERROR(LET(
campo,XLOOKUP(TRIM(G5089),ARRAYFORMULA(TRIM('indice columnas'!$A$2:$A$100)),'indice columnas'!$B$2:$B$100,""""),
col,IFERROR(MATCH(campo,Referencia!$A$1:$AZ$1,0),0),
fila,IFERROR(MATCH(TO_TEXT(D5089),ARRAYFOR"&amp;"MULA(TO_TEXT(Referencia!$A$2:$A6238)),0),0),
IF(OR(campo="""",campo=""-""),""NO APLICA"",
IF(col=0,""REVISAR EQUIVALENCIA"",
IF(fila=0,""SKU NO ENCONTRADO"",
LET(
valor,INDEX(Referencia!$A$2:$AZ6238,fila,col),
IF(TRIM(TO_TEXT(valor))=TRIM(TO_TEXT(I5089)),"&amp;"
""OK"",
""NO COINCIDE. Valor verdadero: ""&amp;IF(valor="""",""[VACÍO]"",TO_TEXT(valor))
)
))))
),""ERROR EN FÓRMULA""))"),"OK")</f>
        <v>OK</v>
      </c>
    </row>
    <row r="5090">
      <c r="A5090" s="83" t="s">
        <v>4899</v>
      </c>
      <c r="B5090" s="83" t="s">
        <v>4900</v>
      </c>
      <c r="C5090" s="81" t="s">
        <v>4621</v>
      </c>
      <c r="D5090" s="83" t="s">
        <v>4730</v>
      </c>
      <c r="E5090" s="81" t="s">
        <v>3500</v>
      </c>
      <c r="F5090" s="81">
        <v>660.0</v>
      </c>
      <c r="G5090" s="81" t="s">
        <v>2</v>
      </c>
      <c r="H5090" s="81" t="s">
        <v>224</v>
      </c>
      <c r="I5090" s="81" t="s">
        <v>213</v>
      </c>
      <c r="J5090" s="81" t="s">
        <v>224</v>
      </c>
      <c r="K5090" s="81" t="str">
        <f>IFERROR(__xludf.DUMMYFUNCTION("IF(OR(D5090="""",G5090=""""),"""",IFERROR(LET(
campo,XLOOKUP(TRIM(G5090),ARRAYFORMULA(TRIM('indice columnas'!$A$2:$A$100)),'indice columnas'!$B$2:$B$100,""""),
col,IFERROR(MATCH(campo,Referencia!$A$1:$AZ$1,0),0),
fila,IFERROR(MATCH(TO_TEXT(D5090),ARRAYFOR"&amp;"MULA(TO_TEXT(Referencia!$A$2:$A6238)),0),0),
IF(OR(campo="""",campo=""-""),""NO APLICA"",
IF(col=0,""REVISAR EQUIVALENCIA"",
IF(fila=0,""SKU NO ENCONTRADO"",
LET(
valor,INDEX(Referencia!$A$2:$AZ6238,fila,col),
IF(TRIM(TO_TEXT(valor))=TRIM(TO_TEXT(I5090)),"&amp;"
""OK"",
""NO COINCIDE. Valor verdadero: ""&amp;IF(valor="""",""[VACÍO]"",TO_TEXT(valor))
)
))))
),""ERROR EN FÓRMULA""))"),"OK")</f>
        <v>OK</v>
      </c>
    </row>
    <row r="5091">
      <c r="A5091" s="83" t="s">
        <v>4899</v>
      </c>
      <c r="B5091" s="83" t="s">
        <v>4900</v>
      </c>
      <c r="C5091" s="81" t="s">
        <v>4621</v>
      </c>
      <c r="D5091" s="83" t="s">
        <v>4730</v>
      </c>
      <c r="E5091" s="81" t="s">
        <v>3500</v>
      </c>
      <c r="F5091" s="81">
        <v>660.0</v>
      </c>
      <c r="G5091" s="81" t="s">
        <v>1</v>
      </c>
      <c r="H5091" s="81" t="s">
        <v>224</v>
      </c>
      <c r="I5091" s="81" t="s">
        <v>49</v>
      </c>
      <c r="J5091" s="81" t="s">
        <v>224</v>
      </c>
      <c r="K5091" s="81" t="str">
        <f>IFERROR(__xludf.DUMMYFUNCTION("IF(OR(D5091="""",G5091=""""),"""",IFERROR(LET(
campo,XLOOKUP(TRIM(G5091),ARRAYFORMULA(TRIM('indice columnas'!$A$2:$A$100)),'indice columnas'!$B$2:$B$100,""""),
col,IFERROR(MATCH(campo,Referencia!$A$1:$AZ$1,0),0),
fila,IFERROR(MATCH(TO_TEXT(D5091),ARRAYFOR"&amp;"MULA(TO_TEXT(Referencia!$A$2:$A6238)),0),0),
IF(OR(campo="""",campo=""-""),""NO APLICA"",
IF(col=0,""REVISAR EQUIVALENCIA"",
IF(fila=0,""SKU NO ENCONTRADO"",
LET(
valor,INDEX(Referencia!$A$2:$AZ6238,fila,col),
IF(TRIM(TO_TEXT(valor))=TRIM(TO_TEXT(I5091)),"&amp;"
""OK"",
""NO COINCIDE. Valor verdadero: ""&amp;IF(valor="""",""[VACÍO]"",TO_TEXT(valor))
)
))))
),""ERROR EN FÓRMULA""))"),"OK")</f>
        <v>OK</v>
      </c>
    </row>
    <row r="5092">
      <c r="A5092" s="83" t="s">
        <v>4899</v>
      </c>
      <c r="B5092" s="83" t="s">
        <v>4900</v>
      </c>
      <c r="C5092" s="81" t="s">
        <v>4621</v>
      </c>
      <c r="D5092" s="83" t="s">
        <v>4731</v>
      </c>
      <c r="E5092" s="81" t="s">
        <v>3510</v>
      </c>
      <c r="F5092" s="81">
        <v>661.0</v>
      </c>
      <c r="G5092" s="81" t="s">
        <v>3</v>
      </c>
      <c r="H5092" s="81" t="s">
        <v>224</v>
      </c>
      <c r="I5092" s="81" t="s">
        <v>51</v>
      </c>
      <c r="J5092" s="81" t="s">
        <v>224</v>
      </c>
      <c r="K5092" s="81" t="str">
        <f>IFERROR(__xludf.DUMMYFUNCTION("IF(OR(D5092="""",G5092=""""),"""",IFERROR(LET(
campo,XLOOKUP(TRIM(G5092),ARRAYFORMULA(TRIM('indice columnas'!$A$2:$A$100)),'indice columnas'!$B$2:$B$100,""""),
col,IFERROR(MATCH(campo,Referencia!$A$1:$AZ$1,0),0),
fila,IFERROR(MATCH(TO_TEXT(D5092),ARRAYFOR"&amp;"MULA(TO_TEXT(Referencia!$A$2:$A6238)),0),0),
IF(OR(campo="""",campo=""-""),""NO APLICA"",
IF(col=0,""REVISAR EQUIVALENCIA"",
IF(fila=0,""SKU NO ENCONTRADO"",
LET(
valor,INDEX(Referencia!$A$2:$AZ6238,fila,col),
IF(TRIM(TO_TEXT(valor))=TRIM(TO_TEXT(I5092)),"&amp;"
""OK"",
""NO COINCIDE. Valor verdadero: ""&amp;IF(valor="""",""[VACÍO]"",TO_TEXT(valor))
)
))))
),""ERROR EN FÓRMULA""))"),"OK")</f>
        <v>OK</v>
      </c>
    </row>
    <row r="5093">
      <c r="A5093" s="83" t="s">
        <v>4899</v>
      </c>
      <c r="B5093" s="83" t="s">
        <v>4900</v>
      </c>
      <c r="C5093" s="81" t="s">
        <v>4621</v>
      </c>
      <c r="D5093" s="83" t="s">
        <v>4731</v>
      </c>
      <c r="E5093" s="81" t="s">
        <v>3510</v>
      </c>
      <c r="F5093" s="81">
        <v>661.0</v>
      </c>
      <c r="G5093" s="81" t="s">
        <v>2</v>
      </c>
      <c r="H5093" s="81" t="s">
        <v>224</v>
      </c>
      <c r="I5093" s="81" t="s">
        <v>213</v>
      </c>
      <c r="J5093" s="81" t="s">
        <v>224</v>
      </c>
      <c r="K5093" s="81" t="str">
        <f>IFERROR(__xludf.DUMMYFUNCTION("IF(OR(D5093="""",G5093=""""),"""",IFERROR(LET(
campo,XLOOKUP(TRIM(G5093),ARRAYFORMULA(TRIM('indice columnas'!$A$2:$A$100)),'indice columnas'!$B$2:$B$100,""""),
col,IFERROR(MATCH(campo,Referencia!$A$1:$AZ$1,0),0),
fila,IFERROR(MATCH(TO_TEXT(D5093),ARRAYFOR"&amp;"MULA(TO_TEXT(Referencia!$A$2:$A6238)),0),0),
IF(OR(campo="""",campo=""-""),""NO APLICA"",
IF(col=0,""REVISAR EQUIVALENCIA"",
IF(fila=0,""SKU NO ENCONTRADO"",
LET(
valor,INDEX(Referencia!$A$2:$AZ6238,fila,col),
IF(TRIM(TO_TEXT(valor))=TRIM(TO_TEXT(I5093)),"&amp;"
""OK"",
""NO COINCIDE. Valor verdadero: ""&amp;IF(valor="""",""[VACÍO]"",TO_TEXT(valor))
)
))))
),""ERROR EN FÓRMULA""))"),"OK")</f>
        <v>OK</v>
      </c>
    </row>
    <row r="5094">
      <c r="A5094" s="83" t="s">
        <v>4899</v>
      </c>
      <c r="B5094" s="83" t="s">
        <v>4900</v>
      </c>
      <c r="C5094" s="81" t="s">
        <v>4621</v>
      </c>
      <c r="D5094" s="83" t="s">
        <v>4731</v>
      </c>
      <c r="E5094" s="81" t="s">
        <v>3510</v>
      </c>
      <c r="F5094" s="81">
        <v>661.0</v>
      </c>
      <c r="G5094" s="81" t="s">
        <v>1</v>
      </c>
      <c r="H5094" s="81" t="s">
        <v>224</v>
      </c>
      <c r="I5094" s="81" t="s">
        <v>49</v>
      </c>
      <c r="J5094" s="81" t="s">
        <v>224</v>
      </c>
      <c r="K5094" s="81" t="str">
        <f>IFERROR(__xludf.DUMMYFUNCTION("IF(OR(D5094="""",G5094=""""),"""",IFERROR(LET(
campo,XLOOKUP(TRIM(G5094),ARRAYFORMULA(TRIM('indice columnas'!$A$2:$A$100)),'indice columnas'!$B$2:$B$100,""""),
col,IFERROR(MATCH(campo,Referencia!$A$1:$AZ$1,0),0),
fila,IFERROR(MATCH(TO_TEXT(D5094),ARRAYFOR"&amp;"MULA(TO_TEXT(Referencia!$A$2:$A6238)),0),0),
IF(OR(campo="""",campo=""-""),""NO APLICA"",
IF(col=0,""REVISAR EQUIVALENCIA"",
IF(fila=0,""SKU NO ENCONTRADO"",
LET(
valor,INDEX(Referencia!$A$2:$AZ6238,fila,col),
IF(TRIM(TO_TEXT(valor))=TRIM(TO_TEXT(I5094)),"&amp;"
""OK"",
""NO COINCIDE. Valor verdadero: ""&amp;IF(valor="""",""[VACÍO]"",TO_TEXT(valor))
)
))))
),""ERROR EN FÓRMULA""))"),"OK")</f>
        <v>OK</v>
      </c>
    </row>
    <row r="5095">
      <c r="A5095" s="83" t="s">
        <v>4899</v>
      </c>
      <c r="B5095" s="83" t="s">
        <v>4900</v>
      </c>
      <c r="C5095" s="81" t="s">
        <v>4621</v>
      </c>
      <c r="D5095" s="83" t="s">
        <v>4732</v>
      </c>
      <c r="E5095" s="81" t="s">
        <v>3523</v>
      </c>
      <c r="F5095" s="81">
        <v>663.0</v>
      </c>
      <c r="G5095" s="81" t="s">
        <v>3</v>
      </c>
      <c r="H5095" s="81" t="s">
        <v>376</v>
      </c>
      <c r="I5095" s="81" t="s">
        <v>344</v>
      </c>
      <c r="J5095" s="81" t="s">
        <v>224</v>
      </c>
      <c r="K5095" s="81" t="str">
        <f>IFERROR(__xludf.DUMMYFUNCTION("IF(OR(D5095="""",G5095=""""),"""",IFERROR(LET(
campo,XLOOKUP(TRIM(G5095),ARRAYFORMULA(TRIM('indice columnas'!$A$2:$A$100)),'indice columnas'!$B$2:$B$100,""""),
col,IFERROR(MATCH(campo,Referencia!$A$1:$AZ$1,0),0),
fila,IFERROR(MATCH(TO_TEXT(D5095),ARRAYFOR"&amp;"MULA(TO_TEXT(Referencia!$A$2:$A6238)),0),0),
IF(OR(campo="""",campo=""-""),""NO APLICA"",
IF(col=0,""REVISAR EQUIVALENCIA"",
IF(fila=0,""SKU NO ENCONTRADO"",
LET(
valor,INDEX(Referencia!$A$2:$AZ6238,fila,col),
IF(TRIM(TO_TEXT(valor))=TRIM(TO_TEXT(I5095)),"&amp;"
""OK"",
""NO COINCIDE. Valor verdadero: ""&amp;IF(valor="""",""[VACÍO]"",TO_TEXT(valor))
)
))))
),""ERROR EN FÓRMULA""))"),"OK")</f>
        <v>OK</v>
      </c>
    </row>
    <row r="5096">
      <c r="A5096" s="83" t="s">
        <v>4899</v>
      </c>
      <c r="B5096" s="83" t="s">
        <v>4900</v>
      </c>
      <c r="C5096" s="81" t="s">
        <v>4621</v>
      </c>
      <c r="D5096" s="83" t="s">
        <v>4734</v>
      </c>
      <c r="E5096" s="81" t="s">
        <v>3526</v>
      </c>
      <c r="F5096" s="81">
        <v>664.0</v>
      </c>
      <c r="G5096" s="81" t="s">
        <v>3</v>
      </c>
      <c r="H5096" s="81" t="s">
        <v>224</v>
      </c>
      <c r="I5096" s="81" t="s">
        <v>344</v>
      </c>
      <c r="J5096" s="81" t="s">
        <v>224</v>
      </c>
      <c r="K5096" s="81" t="str">
        <f>IFERROR(__xludf.DUMMYFUNCTION("IF(OR(D5096="""",G5096=""""),"""",IFERROR(LET(
campo,XLOOKUP(TRIM(G5096),ARRAYFORMULA(TRIM('indice columnas'!$A$2:$A$100)),'indice columnas'!$B$2:$B$100,""""),
col,IFERROR(MATCH(campo,Referencia!$A$1:$AZ$1,0),0),
fila,IFERROR(MATCH(TO_TEXT(D5096),ARRAYFOR"&amp;"MULA(TO_TEXT(Referencia!$A$2:$A6238)),0),0),
IF(OR(campo="""",campo=""-""),""NO APLICA"",
IF(col=0,""REVISAR EQUIVALENCIA"",
IF(fila=0,""SKU NO ENCONTRADO"",
LET(
valor,INDEX(Referencia!$A$2:$AZ6238,fila,col),
IF(TRIM(TO_TEXT(valor))=TRIM(TO_TEXT(I5096)),"&amp;"
""OK"",
""NO COINCIDE. Valor verdadero: ""&amp;IF(valor="""",""[VACÍO]"",TO_TEXT(valor))
)
))))
),""ERROR EN FÓRMULA""))"),"OK")</f>
        <v>OK</v>
      </c>
    </row>
    <row r="5097">
      <c r="A5097" s="83" t="s">
        <v>4899</v>
      </c>
      <c r="B5097" s="83" t="s">
        <v>4900</v>
      </c>
      <c r="C5097" s="81" t="s">
        <v>4621</v>
      </c>
      <c r="D5097" s="83" t="s">
        <v>4734</v>
      </c>
      <c r="E5097" s="81" t="s">
        <v>3526</v>
      </c>
      <c r="F5097" s="81">
        <v>664.0</v>
      </c>
      <c r="G5097" s="81" t="s">
        <v>2</v>
      </c>
      <c r="H5097" s="81" t="s">
        <v>224</v>
      </c>
      <c r="I5097" s="81" t="s">
        <v>213</v>
      </c>
      <c r="J5097" s="81" t="s">
        <v>224</v>
      </c>
      <c r="K5097" s="81" t="str">
        <f>IFERROR(__xludf.DUMMYFUNCTION("IF(OR(D5097="""",G5097=""""),"""",IFERROR(LET(
campo,XLOOKUP(TRIM(G5097),ARRAYFORMULA(TRIM('indice columnas'!$A$2:$A$100)),'indice columnas'!$B$2:$B$100,""""),
col,IFERROR(MATCH(campo,Referencia!$A$1:$AZ$1,0),0),
fila,IFERROR(MATCH(TO_TEXT(D5097),ARRAYFOR"&amp;"MULA(TO_TEXT(Referencia!$A$2:$A6238)),0),0),
IF(OR(campo="""",campo=""-""),""NO APLICA"",
IF(col=0,""REVISAR EQUIVALENCIA"",
IF(fila=0,""SKU NO ENCONTRADO"",
LET(
valor,INDEX(Referencia!$A$2:$AZ6238,fila,col),
IF(TRIM(TO_TEXT(valor))=TRIM(TO_TEXT(I5097)),"&amp;"
""OK"",
""NO COINCIDE. Valor verdadero: ""&amp;IF(valor="""",""[VACÍO]"",TO_TEXT(valor))
)
))))
),""ERROR EN FÓRMULA""))"),"OK")</f>
        <v>OK</v>
      </c>
    </row>
    <row r="5098">
      <c r="A5098" s="83" t="s">
        <v>4899</v>
      </c>
      <c r="B5098" s="83" t="s">
        <v>4900</v>
      </c>
      <c r="C5098" s="81" t="s">
        <v>4621</v>
      </c>
      <c r="D5098" s="83" t="s">
        <v>4734</v>
      </c>
      <c r="E5098" s="81" t="s">
        <v>3526</v>
      </c>
      <c r="F5098" s="81">
        <v>664.0</v>
      </c>
      <c r="G5098" s="81" t="s">
        <v>1</v>
      </c>
      <c r="H5098" s="81" t="s">
        <v>224</v>
      </c>
      <c r="I5098" s="81" t="s">
        <v>49</v>
      </c>
      <c r="J5098" s="81" t="s">
        <v>224</v>
      </c>
      <c r="K5098" s="81" t="str">
        <f>IFERROR(__xludf.DUMMYFUNCTION("IF(OR(D5098="""",G5098=""""),"""",IFERROR(LET(
campo,XLOOKUP(TRIM(G5098),ARRAYFORMULA(TRIM('indice columnas'!$A$2:$A$100)),'indice columnas'!$B$2:$B$100,""""),
col,IFERROR(MATCH(campo,Referencia!$A$1:$AZ$1,0),0),
fila,IFERROR(MATCH(TO_TEXT(D5098),ARRAYFOR"&amp;"MULA(TO_TEXT(Referencia!$A$2:$A6238)),0),0),
IF(OR(campo="""",campo=""-""),""NO APLICA"",
IF(col=0,""REVISAR EQUIVALENCIA"",
IF(fila=0,""SKU NO ENCONTRADO"",
LET(
valor,INDEX(Referencia!$A$2:$AZ6238,fila,col),
IF(TRIM(TO_TEXT(valor))=TRIM(TO_TEXT(I5098)),"&amp;"
""OK"",
""NO COINCIDE. Valor verdadero: ""&amp;IF(valor="""",""[VACÍO]"",TO_TEXT(valor))
)
))))
),""ERROR EN FÓRMULA""))"),"OK")</f>
        <v>OK</v>
      </c>
    </row>
    <row r="5099">
      <c r="A5099" s="83" t="s">
        <v>4899</v>
      </c>
      <c r="B5099" s="83" t="s">
        <v>4900</v>
      </c>
      <c r="C5099" s="81" t="s">
        <v>4621</v>
      </c>
      <c r="D5099" s="83" t="s">
        <v>4735</v>
      </c>
      <c r="E5099" s="81" t="s">
        <v>3539</v>
      </c>
      <c r="F5099" s="81">
        <v>666.0</v>
      </c>
      <c r="G5099" s="81" t="s">
        <v>3</v>
      </c>
      <c r="H5099" s="81" t="s">
        <v>376</v>
      </c>
      <c r="I5099" s="81" t="s">
        <v>344</v>
      </c>
      <c r="J5099" s="81" t="s">
        <v>224</v>
      </c>
      <c r="K5099" s="81" t="str">
        <f>IFERROR(__xludf.DUMMYFUNCTION("IF(OR(D5099="""",G5099=""""),"""",IFERROR(LET(
campo,XLOOKUP(TRIM(G5099),ARRAYFORMULA(TRIM('indice columnas'!$A$2:$A$100)),'indice columnas'!$B$2:$B$100,""""),
col,IFERROR(MATCH(campo,Referencia!$A$1:$AZ$1,0),0),
fila,IFERROR(MATCH(TO_TEXT(D5099),ARRAYFOR"&amp;"MULA(TO_TEXT(Referencia!$A$2:$A6238)),0),0),
IF(OR(campo="""",campo=""-""),""NO APLICA"",
IF(col=0,""REVISAR EQUIVALENCIA"",
IF(fila=0,""SKU NO ENCONTRADO"",
LET(
valor,INDEX(Referencia!$A$2:$AZ6238,fila,col),
IF(TRIM(TO_TEXT(valor))=TRIM(TO_TEXT(I5099)),"&amp;"
""OK"",
""NO COINCIDE. Valor verdadero: ""&amp;IF(valor="""",""[VACÍO]"",TO_TEXT(valor))
)
))))
),""ERROR EN FÓRMULA""))"),"OK")</f>
        <v>OK</v>
      </c>
    </row>
    <row r="5100">
      <c r="A5100" s="83" t="s">
        <v>4899</v>
      </c>
      <c r="B5100" s="83" t="s">
        <v>4900</v>
      </c>
      <c r="C5100" s="81" t="s">
        <v>4621</v>
      </c>
      <c r="D5100" s="83" t="s">
        <v>4737</v>
      </c>
      <c r="E5100" s="81" t="s">
        <v>3540</v>
      </c>
      <c r="F5100" s="81">
        <v>667.0</v>
      </c>
      <c r="G5100" s="81" t="s">
        <v>3</v>
      </c>
      <c r="H5100" s="81" t="s">
        <v>224</v>
      </c>
      <c r="I5100" s="81" t="s">
        <v>344</v>
      </c>
      <c r="J5100" s="81" t="s">
        <v>224</v>
      </c>
      <c r="K5100" s="81" t="str">
        <f>IFERROR(__xludf.DUMMYFUNCTION("IF(OR(D5100="""",G5100=""""),"""",IFERROR(LET(
campo,XLOOKUP(TRIM(G5100),ARRAYFORMULA(TRIM('indice columnas'!$A$2:$A$100)),'indice columnas'!$B$2:$B$100,""""),
col,IFERROR(MATCH(campo,Referencia!$A$1:$AZ$1,0),0),
fila,IFERROR(MATCH(TO_TEXT(D5100),ARRAYFOR"&amp;"MULA(TO_TEXT(Referencia!$A$2:$A6238)),0),0),
IF(OR(campo="""",campo=""-""),""NO APLICA"",
IF(col=0,""REVISAR EQUIVALENCIA"",
IF(fila=0,""SKU NO ENCONTRADO"",
LET(
valor,INDEX(Referencia!$A$2:$AZ6238,fila,col),
IF(TRIM(TO_TEXT(valor))=TRIM(TO_TEXT(I5100)),"&amp;"
""OK"",
""NO COINCIDE. Valor verdadero: ""&amp;IF(valor="""",""[VACÍO]"",TO_TEXT(valor))
)
))))
),""ERROR EN FÓRMULA""))"),"OK")</f>
        <v>OK</v>
      </c>
    </row>
    <row r="5101">
      <c r="A5101" s="83" t="s">
        <v>4899</v>
      </c>
      <c r="B5101" s="83" t="s">
        <v>4900</v>
      </c>
      <c r="C5101" s="81" t="s">
        <v>4621</v>
      </c>
      <c r="D5101" s="83" t="s">
        <v>4737</v>
      </c>
      <c r="E5101" s="81" t="s">
        <v>3540</v>
      </c>
      <c r="F5101" s="81">
        <v>667.0</v>
      </c>
      <c r="G5101" s="81" t="s">
        <v>2</v>
      </c>
      <c r="H5101" s="81" t="s">
        <v>224</v>
      </c>
      <c r="I5101" s="81" t="s">
        <v>213</v>
      </c>
      <c r="J5101" s="81" t="s">
        <v>224</v>
      </c>
      <c r="K5101" s="81" t="str">
        <f>IFERROR(__xludf.DUMMYFUNCTION("IF(OR(D5101="""",G5101=""""),"""",IFERROR(LET(
campo,XLOOKUP(TRIM(G5101),ARRAYFORMULA(TRIM('indice columnas'!$A$2:$A$100)),'indice columnas'!$B$2:$B$100,""""),
col,IFERROR(MATCH(campo,Referencia!$A$1:$AZ$1,0),0),
fila,IFERROR(MATCH(TO_TEXT(D5101),ARRAYFOR"&amp;"MULA(TO_TEXT(Referencia!$A$2:$A6238)),0),0),
IF(OR(campo="""",campo=""-""),""NO APLICA"",
IF(col=0,""REVISAR EQUIVALENCIA"",
IF(fila=0,""SKU NO ENCONTRADO"",
LET(
valor,INDEX(Referencia!$A$2:$AZ6238,fila,col),
IF(TRIM(TO_TEXT(valor))=TRIM(TO_TEXT(I5101)),"&amp;"
""OK"",
""NO COINCIDE. Valor verdadero: ""&amp;IF(valor="""",""[VACÍO]"",TO_TEXT(valor))
)
))))
),""ERROR EN FÓRMULA""))"),"OK")</f>
        <v>OK</v>
      </c>
    </row>
    <row r="5102">
      <c r="A5102" s="83" t="s">
        <v>4899</v>
      </c>
      <c r="B5102" s="83" t="s">
        <v>4900</v>
      </c>
      <c r="C5102" s="81" t="s">
        <v>4621</v>
      </c>
      <c r="D5102" s="83" t="s">
        <v>4737</v>
      </c>
      <c r="E5102" s="81" t="s">
        <v>3540</v>
      </c>
      <c r="F5102" s="81">
        <v>667.0</v>
      </c>
      <c r="G5102" s="81" t="s">
        <v>1</v>
      </c>
      <c r="H5102" s="81" t="s">
        <v>224</v>
      </c>
      <c r="I5102" s="81" t="s">
        <v>49</v>
      </c>
      <c r="J5102" s="81" t="s">
        <v>224</v>
      </c>
      <c r="K5102" s="81" t="str">
        <f>IFERROR(__xludf.DUMMYFUNCTION("IF(OR(D5102="""",G5102=""""),"""",IFERROR(LET(
campo,XLOOKUP(TRIM(G5102),ARRAYFORMULA(TRIM('indice columnas'!$A$2:$A$100)),'indice columnas'!$B$2:$B$100,""""),
col,IFERROR(MATCH(campo,Referencia!$A$1:$AZ$1,0),0),
fila,IFERROR(MATCH(TO_TEXT(D5102),ARRAYFOR"&amp;"MULA(TO_TEXT(Referencia!$A$2:$A6238)),0),0),
IF(OR(campo="""",campo=""-""),""NO APLICA"",
IF(col=0,""REVISAR EQUIVALENCIA"",
IF(fila=0,""SKU NO ENCONTRADO"",
LET(
valor,INDEX(Referencia!$A$2:$AZ6238,fila,col),
IF(TRIM(TO_TEXT(valor))=TRIM(TO_TEXT(I5102)),"&amp;"
""OK"",
""NO COINCIDE. Valor verdadero: ""&amp;IF(valor="""",""[VACÍO]"",TO_TEXT(valor))
)
))))
),""ERROR EN FÓRMULA""))"),"OK")</f>
        <v>OK</v>
      </c>
    </row>
    <row r="5103">
      <c r="A5103" s="83" t="s">
        <v>4899</v>
      </c>
      <c r="B5103" s="83" t="s">
        <v>4900</v>
      </c>
      <c r="C5103" s="81" t="s">
        <v>4621</v>
      </c>
      <c r="D5103" s="83" t="s">
        <v>4738</v>
      </c>
      <c r="E5103" s="81" t="s">
        <v>3553</v>
      </c>
      <c r="F5103" s="81">
        <v>669.0</v>
      </c>
      <c r="G5103" s="81" t="s">
        <v>3</v>
      </c>
      <c r="H5103" s="81" t="s">
        <v>376</v>
      </c>
      <c r="I5103" s="81" t="s">
        <v>344</v>
      </c>
      <c r="J5103" s="81" t="s">
        <v>224</v>
      </c>
      <c r="K5103" s="81" t="str">
        <f>IFERROR(__xludf.DUMMYFUNCTION("IF(OR(D5103="""",G5103=""""),"""",IFERROR(LET(
campo,XLOOKUP(TRIM(G5103),ARRAYFORMULA(TRIM('indice columnas'!$A$2:$A$100)),'indice columnas'!$B$2:$B$100,""""),
col,IFERROR(MATCH(campo,Referencia!$A$1:$AZ$1,0),0),
fila,IFERROR(MATCH(TO_TEXT(D5103),ARRAYFOR"&amp;"MULA(TO_TEXT(Referencia!$A$2:$A6238)),0),0),
IF(OR(campo="""",campo=""-""),""NO APLICA"",
IF(col=0,""REVISAR EQUIVALENCIA"",
IF(fila=0,""SKU NO ENCONTRADO"",
LET(
valor,INDEX(Referencia!$A$2:$AZ6238,fila,col),
IF(TRIM(TO_TEXT(valor))=TRIM(TO_TEXT(I5103)),"&amp;"
""OK"",
""NO COINCIDE. Valor verdadero: ""&amp;IF(valor="""",""[VACÍO]"",TO_TEXT(valor))
)
))))
),""ERROR EN FÓRMULA""))"),"OK")</f>
        <v>OK</v>
      </c>
    </row>
    <row r="5104">
      <c r="A5104" s="83" t="s">
        <v>4899</v>
      </c>
      <c r="B5104" s="83" t="s">
        <v>4900</v>
      </c>
      <c r="C5104" s="81" t="s">
        <v>4621</v>
      </c>
      <c r="D5104" s="83" t="s">
        <v>4740</v>
      </c>
      <c r="E5104" s="81" t="s">
        <v>3555</v>
      </c>
      <c r="F5104" s="81">
        <v>670.0</v>
      </c>
      <c r="G5104" s="81" t="s">
        <v>3</v>
      </c>
      <c r="H5104" s="81" t="s">
        <v>224</v>
      </c>
      <c r="I5104" s="81" t="s">
        <v>344</v>
      </c>
      <c r="J5104" s="81" t="s">
        <v>224</v>
      </c>
      <c r="K5104" s="81" t="str">
        <f>IFERROR(__xludf.DUMMYFUNCTION("IF(OR(D5104="""",G5104=""""),"""",IFERROR(LET(
campo,XLOOKUP(TRIM(G5104),ARRAYFORMULA(TRIM('indice columnas'!$A$2:$A$100)),'indice columnas'!$B$2:$B$100,""""),
col,IFERROR(MATCH(campo,Referencia!$A$1:$AZ$1,0),0),
fila,IFERROR(MATCH(TO_TEXT(D5104),ARRAYFOR"&amp;"MULA(TO_TEXT(Referencia!$A$2:$A6238)),0),0),
IF(OR(campo="""",campo=""-""),""NO APLICA"",
IF(col=0,""REVISAR EQUIVALENCIA"",
IF(fila=0,""SKU NO ENCONTRADO"",
LET(
valor,INDEX(Referencia!$A$2:$AZ6238,fila,col),
IF(TRIM(TO_TEXT(valor))=TRIM(TO_TEXT(I5104)),"&amp;"
""OK"",
""NO COINCIDE. Valor verdadero: ""&amp;IF(valor="""",""[VACÍO]"",TO_TEXT(valor))
)
))))
),""ERROR EN FÓRMULA""))"),"OK")</f>
        <v>OK</v>
      </c>
    </row>
    <row r="5105">
      <c r="A5105" s="83" t="s">
        <v>4899</v>
      </c>
      <c r="B5105" s="83" t="s">
        <v>4900</v>
      </c>
      <c r="C5105" s="81" t="s">
        <v>4621</v>
      </c>
      <c r="D5105" s="83" t="s">
        <v>4740</v>
      </c>
      <c r="E5105" s="81" t="s">
        <v>3555</v>
      </c>
      <c r="F5105" s="81">
        <v>670.0</v>
      </c>
      <c r="G5105" s="81" t="s">
        <v>2</v>
      </c>
      <c r="H5105" s="81" t="s">
        <v>224</v>
      </c>
      <c r="I5105" s="81" t="s">
        <v>213</v>
      </c>
      <c r="J5105" s="81" t="s">
        <v>224</v>
      </c>
      <c r="K5105" s="81" t="str">
        <f>IFERROR(__xludf.DUMMYFUNCTION("IF(OR(D5105="""",G5105=""""),"""",IFERROR(LET(
campo,XLOOKUP(TRIM(G5105),ARRAYFORMULA(TRIM('indice columnas'!$A$2:$A$100)),'indice columnas'!$B$2:$B$100,""""),
col,IFERROR(MATCH(campo,Referencia!$A$1:$AZ$1,0),0),
fila,IFERROR(MATCH(TO_TEXT(D5105),ARRAYFOR"&amp;"MULA(TO_TEXT(Referencia!$A$2:$A6238)),0),0),
IF(OR(campo="""",campo=""-""),""NO APLICA"",
IF(col=0,""REVISAR EQUIVALENCIA"",
IF(fila=0,""SKU NO ENCONTRADO"",
LET(
valor,INDEX(Referencia!$A$2:$AZ6238,fila,col),
IF(TRIM(TO_TEXT(valor))=TRIM(TO_TEXT(I5105)),"&amp;"
""OK"",
""NO COINCIDE. Valor verdadero: ""&amp;IF(valor="""",""[VACÍO]"",TO_TEXT(valor))
)
))))
),""ERROR EN FÓRMULA""))"),"OK")</f>
        <v>OK</v>
      </c>
    </row>
    <row r="5106">
      <c r="A5106" s="83" t="s">
        <v>4899</v>
      </c>
      <c r="B5106" s="83" t="s">
        <v>4900</v>
      </c>
      <c r="C5106" s="81" t="s">
        <v>4621</v>
      </c>
      <c r="D5106" s="83" t="s">
        <v>4740</v>
      </c>
      <c r="E5106" s="81" t="s">
        <v>3555</v>
      </c>
      <c r="F5106" s="81">
        <v>670.0</v>
      </c>
      <c r="G5106" s="81" t="s">
        <v>1</v>
      </c>
      <c r="H5106" s="81" t="s">
        <v>224</v>
      </c>
      <c r="I5106" s="81" t="s">
        <v>49</v>
      </c>
      <c r="J5106" s="81" t="s">
        <v>224</v>
      </c>
      <c r="K5106" s="81" t="str">
        <f>IFERROR(__xludf.DUMMYFUNCTION("IF(OR(D5106="""",G5106=""""),"""",IFERROR(LET(
campo,XLOOKUP(TRIM(G5106),ARRAYFORMULA(TRIM('indice columnas'!$A$2:$A$100)),'indice columnas'!$B$2:$B$100,""""),
col,IFERROR(MATCH(campo,Referencia!$A$1:$AZ$1,0),0),
fila,IFERROR(MATCH(TO_TEXT(D5106),ARRAYFOR"&amp;"MULA(TO_TEXT(Referencia!$A$2:$A6238)),0),0),
IF(OR(campo="""",campo=""-""),""NO APLICA"",
IF(col=0,""REVISAR EQUIVALENCIA"",
IF(fila=0,""SKU NO ENCONTRADO"",
LET(
valor,INDEX(Referencia!$A$2:$AZ6238,fila,col),
IF(TRIM(TO_TEXT(valor))=TRIM(TO_TEXT(I5106)),"&amp;"
""OK"",
""NO COINCIDE. Valor verdadero: ""&amp;IF(valor="""",""[VACÍO]"",TO_TEXT(valor))
)
))))
),""ERROR EN FÓRMULA""))"),"OK")</f>
        <v>OK</v>
      </c>
    </row>
    <row r="5107">
      <c r="A5107" s="83" t="s">
        <v>4899</v>
      </c>
      <c r="B5107" s="83" t="s">
        <v>4900</v>
      </c>
      <c r="C5107" s="81" t="s">
        <v>4621</v>
      </c>
      <c r="D5107" s="83" t="s">
        <v>4741</v>
      </c>
      <c r="E5107" s="81" t="s">
        <v>3567</v>
      </c>
      <c r="F5107" s="81">
        <v>672.0</v>
      </c>
      <c r="G5107" s="81" t="s">
        <v>3</v>
      </c>
      <c r="H5107" s="81" t="s">
        <v>376</v>
      </c>
      <c r="I5107" s="81" t="s">
        <v>344</v>
      </c>
      <c r="J5107" s="81" t="s">
        <v>224</v>
      </c>
      <c r="K5107" s="81" t="str">
        <f>IFERROR(__xludf.DUMMYFUNCTION("IF(OR(D5107="""",G5107=""""),"""",IFERROR(LET(
campo,XLOOKUP(TRIM(G5107),ARRAYFORMULA(TRIM('indice columnas'!$A$2:$A$100)),'indice columnas'!$B$2:$B$100,""""),
col,IFERROR(MATCH(campo,Referencia!$A$1:$AZ$1,0),0),
fila,IFERROR(MATCH(TO_TEXT(D5107),ARRAYFOR"&amp;"MULA(TO_TEXT(Referencia!$A$2:$A6238)),0),0),
IF(OR(campo="""",campo=""-""),""NO APLICA"",
IF(col=0,""REVISAR EQUIVALENCIA"",
IF(fila=0,""SKU NO ENCONTRADO"",
LET(
valor,INDEX(Referencia!$A$2:$AZ6238,fila,col),
IF(TRIM(TO_TEXT(valor))=TRIM(TO_TEXT(I5107)),"&amp;"
""OK"",
""NO COINCIDE. Valor verdadero: ""&amp;IF(valor="""",""[VACÍO]"",TO_TEXT(valor))
)
))))
),""ERROR EN FÓRMULA""))"),"OK")</f>
        <v>OK</v>
      </c>
    </row>
    <row r="5108">
      <c r="A5108" s="83" t="s">
        <v>4899</v>
      </c>
      <c r="B5108" s="83" t="s">
        <v>4900</v>
      </c>
      <c r="C5108" s="81" t="s">
        <v>4621</v>
      </c>
      <c r="D5108" s="83" t="s">
        <v>4743</v>
      </c>
      <c r="E5108" s="81" t="s">
        <v>3568</v>
      </c>
      <c r="F5108" s="81">
        <v>673.0</v>
      </c>
      <c r="G5108" s="81" t="s">
        <v>3</v>
      </c>
      <c r="H5108" s="81" t="s">
        <v>224</v>
      </c>
      <c r="I5108" s="81" t="s">
        <v>344</v>
      </c>
      <c r="J5108" s="81" t="s">
        <v>224</v>
      </c>
      <c r="K5108" s="81" t="str">
        <f>IFERROR(__xludf.DUMMYFUNCTION("IF(OR(D5108="""",G5108=""""),"""",IFERROR(LET(
campo,XLOOKUP(TRIM(G5108),ARRAYFORMULA(TRIM('indice columnas'!$A$2:$A$100)),'indice columnas'!$B$2:$B$100,""""),
col,IFERROR(MATCH(campo,Referencia!$A$1:$AZ$1,0),0),
fila,IFERROR(MATCH(TO_TEXT(D5108),ARRAYFOR"&amp;"MULA(TO_TEXT(Referencia!$A$2:$A6238)),0),0),
IF(OR(campo="""",campo=""-""),""NO APLICA"",
IF(col=0,""REVISAR EQUIVALENCIA"",
IF(fila=0,""SKU NO ENCONTRADO"",
LET(
valor,INDEX(Referencia!$A$2:$AZ6238,fila,col),
IF(TRIM(TO_TEXT(valor))=TRIM(TO_TEXT(I5108)),"&amp;"
""OK"",
""NO COINCIDE. Valor verdadero: ""&amp;IF(valor="""",""[VACÍO]"",TO_TEXT(valor))
)
))))
),""ERROR EN FÓRMULA""))"),"OK")</f>
        <v>OK</v>
      </c>
    </row>
    <row r="5109">
      <c r="A5109" s="83" t="s">
        <v>4899</v>
      </c>
      <c r="B5109" s="83" t="s">
        <v>4900</v>
      </c>
      <c r="C5109" s="81" t="s">
        <v>4621</v>
      </c>
      <c r="D5109" s="83" t="s">
        <v>4743</v>
      </c>
      <c r="E5109" s="81" t="s">
        <v>3568</v>
      </c>
      <c r="F5109" s="81">
        <v>673.0</v>
      </c>
      <c r="G5109" s="81" t="s">
        <v>2</v>
      </c>
      <c r="H5109" s="81" t="s">
        <v>224</v>
      </c>
      <c r="I5109" s="81" t="s">
        <v>213</v>
      </c>
      <c r="J5109" s="81" t="s">
        <v>224</v>
      </c>
      <c r="K5109" s="81" t="str">
        <f>IFERROR(__xludf.DUMMYFUNCTION("IF(OR(D5109="""",G5109=""""),"""",IFERROR(LET(
campo,XLOOKUP(TRIM(G5109),ARRAYFORMULA(TRIM('indice columnas'!$A$2:$A$100)),'indice columnas'!$B$2:$B$100,""""),
col,IFERROR(MATCH(campo,Referencia!$A$1:$AZ$1,0),0),
fila,IFERROR(MATCH(TO_TEXT(D5109),ARRAYFOR"&amp;"MULA(TO_TEXT(Referencia!$A$2:$A6238)),0),0),
IF(OR(campo="""",campo=""-""),""NO APLICA"",
IF(col=0,""REVISAR EQUIVALENCIA"",
IF(fila=0,""SKU NO ENCONTRADO"",
LET(
valor,INDEX(Referencia!$A$2:$AZ6238,fila,col),
IF(TRIM(TO_TEXT(valor))=TRIM(TO_TEXT(I5109)),"&amp;"
""OK"",
""NO COINCIDE. Valor verdadero: ""&amp;IF(valor="""",""[VACÍO]"",TO_TEXT(valor))
)
))))
),""ERROR EN FÓRMULA""))"),"OK")</f>
        <v>OK</v>
      </c>
    </row>
    <row r="5110">
      <c r="A5110" s="83" t="s">
        <v>4899</v>
      </c>
      <c r="B5110" s="83" t="s">
        <v>4900</v>
      </c>
      <c r="C5110" s="81" t="s">
        <v>4621</v>
      </c>
      <c r="D5110" s="83" t="s">
        <v>4743</v>
      </c>
      <c r="E5110" s="81" t="s">
        <v>3568</v>
      </c>
      <c r="F5110" s="81">
        <v>673.0</v>
      </c>
      <c r="G5110" s="81" t="s">
        <v>1</v>
      </c>
      <c r="H5110" s="81" t="s">
        <v>224</v>
      </c>
      <c r="I5110" s="81" t="s">
        <v>49</v>
      </c>
      <c r="J5110" s="81" t="s">
        <v>224</v>
      </c>
      <c r="K5110" s="81" t="str">
        <f>IFERROR(__xludf.DUMMYFUNCTION("IF(OR(D5110="""",G5110=""""),"""",IFERROR(LET(
campo,XLOOKUP(TRIM(G5110),ARRAYFORMULA(TRIM('indice columnas'!$A$2:$A$100)),'indice columnas'!$B$2:$B$100,""""),
col,IFERROR(MATCH(campo,Referencia!$A$1:$AZ$1,0),0),
fila,IFERROR(MATCH(TO_TEXT(D5110),ARRAYFOR"&amp;"MULA(TO_TEXT(Referencia!$A$2:$A6238)),0),0),
IF(OR(campo="""",campo=""-""),""NO APLICA"",
IF(col=0,""REVISAR EQUIVALENCIA"",
IF(fila=0,""SKU NO ENCONTRADO"",
LET(
valor,INDEX(Referencia!$A$2:$AZ6238,fila,col),
IF(TRIM(TO_TEXT(valor))=TRIM(TO_TEXT(I5110)),"&amp;"
""OK"",
""NO COINCIDE. Valor verdadero: ""&amp;IF(valor="""",""[VACÍO]"",TO_TEXT(valor))
)
))))
),""ERROR EN FÓRMULA""))"),"OK")</f>
        <v>OK</v>
      </c>
    </row>
    <row r="5111">
      <c r="A5111" s="83" t="s">
        <v>4899</v>
      </c>
      <c r="B5111" s="83" t="s">
        <v>4900</v>
      </c>
      <c r="C5111" s="81" t="s">
        <v>4621</v>
      </c>
      <c r="D5111" s="83" t="s">
        <v>4744</v>
      </c>
      <c r="E5111" s="81" t="s">
        <v>3580</v>
      </c>
      <c r="F5111" s="81">
        <v>675.0</v>
      </c>
      <c r="G5111" s="81" t="s">
        <v>3</v>
      </c>
      <c r="H5111" s="81" t="s">
        <v>376</v>
      </c>
      <c r="I5111" s="81" t="s">
        <v>344</v>
      </c>
      <c r="J5111" s="81" t="s">
        <v>224</v>
      </c>
      <c r="K5111" s="81" t="str">
        <f>IFERROR(__xludf.DUMMYFUNCTION("IF(OR(D5111="""",G5111=""""),"""",IFERROR(LET(
campo,XLOOKUP(TRIM(G5111),ARRAYFORMULA(TRIM('indice columnas'!$A$2:$A$100)),'indice columnas'!$B$2:$B$100,""""),
col,IFERROR(MATCH(campo,Referencia!$A$1:$AZ$1,0),0),
fila,IFERROR(MATCH(TO_TEXT(D5111),ARRAYFOR"&amp;"MULA(TO_TEXT(Referencia!$A$2:$A6238)),0),0),
IF(OR(campo="""",campo=""-""),""NO APLICA"",
IF(col=0,""REVISAR EQUIVALENCIA"",
IF(fila=0,""SKU NO ENCONTRADO"",
LET(
valor,INDEX(Referencia!$A$2:$AZ6238,fila,col),
IF(TRIM(TO_TEXT(valor))=TRIM(TO_TEXT(I5111)),"&amp;"
""OK"",
""NO COINCIDE. Valor verdadero: ""&amp;IF(valor="""",""[VACÍO]"",TO_TEXT(valor))
)
))))
),""ERROR EN FÓRMULA""))"),"OK")</f>
        <v>OK</v>
      </c>
    </row>
    <row r="5112">
      <c r="A5112" s="83" t="s">
        <v>4899</v>
      </c>
      <c r="B5112" s="83" t="s">
        <v>4900</v>
      </c>
      <c r="C5112" s="81" t="s">
        <v>4621</v>
      </c>
      <c r="D5112" s="83" t="s">
        <v>4747</v>
      </c>
      <c r="E5112" s="81" t="s">
        <v>3581</v>
      </c>
      <c r="F5112" s="81">
        <v>676.0</v>
      </c>
      <c r="G5112" s="81" t="s">
        <v>3</v>
      </c>
      <c r="H5112" s="81" t="s">
        <v>224</v>
      </c>
      <c r="I5112" s="81" t="s">
        <v>344</v>
      </c>
      <c r="J5112" s="81" t="s">
        <v>224</v>
      </c>
      <c r="K5112" s="81" t="str">
        <f>IFERROR(__xludf.DUMMYFUNCTION("IF(OR(D5112="""",G5112=""""),"""",IFERROR(LET(
campo,XLOOKUP(TRIM(G5112),ARRAYFORMULA(TRIM('indice columnas'!$A$2:$A$100)),'indice columnas'!$B$2:$B$100,""""),
col,IFERROR(MATCH(campo,Referencia!$A$1:$AZ$1,0),0),
fila,IFERROR(MATCH(TO_TEXT(D5112),ARRAYFOR"&amp;"MULA(TO_TEXT(Referencia!$A$2:$A6238)),0),0),
IF(OR(campo="""",campo=""-""),""NO APLICA"",
IF(col=0,""REVISAR EQUIVALENCIA"",
IF(fila=0,""SKU NO ENCONTRADO"",
LET(
valor,INDEX(Referencia!$A$2:$AZ6238,fila,col),
IF(TRIM(TO_TEXT(valor))=TRIM(TO_TEXT(I5112)),"&amp;"
""OK"",
""NO COINCIDE. Valor verdadero: ""&amp;IF(valor="""",""[VACÍO]"",TO_TEXT(valor))
)
))))
),""ERROR EN FÓRMULA""))"),"OK")</f>
        <v>OK</v>
      </c>
    </row>
    <row r="5113">
      <c r="A5113" s="83" t="s">
        <v>4899</v>
      </c>
      <c r="B5113" s="83" t="s">
        <v>4900</v>
      </c>
      <c r="C5113" s="81" t="s">
        <v>4621</v>
      </c>
      <c r="D5113" s="83" t="s">
        <v>4747</v>
      </c>
      <c r="E5113" s="81" t="s">
        <v>3581</v>
      </c>
      <c r="F5113" s="81">
        <v>676.0</v>
      </c>
      <c r="G5113" s="81" t="s">
        <v>2</v>
      </c>
      <c r="H5113" s="81" t="s">
        <v>224</v>
      </c>
      <c r="I5113" s="81" t="s">
        <v>213</v>
      </c>
      <c r="J5113" s="81" t="s">
        <v>224</v>
      </c>
      <c r="K5113" s="81" t="str">
        <f>IFERROR(__xludf.DUMMYFUNCTION("IF(OR(D5113="""",G5113=""""),"""",IFERROR(LET(
campo,XLOOKUP(TRIM(G5113),ARRAYFORMULA(TRIM('indice columnas'!$A$2:$A$100)),'indice columnas'!$B$2:$B$100,""""),
col,IFERROR(MATCH(campo,Referencia!$A$1:$AZ$1,0),0),
fila,IFERROR(MATCH(TO_TEXT(D5113),ARRAYFOR"&amp;"MULA(TO_TEXT(Referencia!$A$2:$A6238)),0),0),
IF(OR(campo="""",campo=""-""),""NO APLICA"",
IF(col=0,""REVISAR EQUIVALENCIA"",
IF(fila=0,""SKU NO ENCONTRADO"",
LET(
valor,INDEX(Referencia!$A$2:$AZ6238,fila,col),
IF(TRIM(TO_TEXT(valor))=TRIM(TO_TEXT(I5113)),"&amp;"
""OK"",
""NO COINCIDE. Valor verdadero: ""&amp;IF(valor="""",""[VACÍO]"",TO_TEXT(valor))
)
))))
),""ERROR EN FÓRMULA""))"),"OK")</f>
        <v>OK</v>
      </c>
    </row>
    <row r="5114">
      <c r="A5114" s="83" t="s">
        <v>4899</v>
      </c>
      <c r="B5114" s="83" t="s">
        <v>4900</v>
      </c>
      <c r="C5114" s="81" t="s">
        <v>4621</v>
      </c>
      <c r="D5114" s="83" t="s">
        <v>4747</v>
      </c>
      <c r="E5114" s="81" t="s">
        <v>3581</v>
      </c>
      <c r="F5114" s="81">
        <v>676.0</v>
      </c>
      <c r="G5114" s="81" t="s">
        <v>1</v>
      </c>
      <c r="H5114" s="81" t="s">
        <v>224</v>
      </c>
      <c r="I5114" s="81" t="s">
        <v>49</v>
      </c>
      <c r="J5114" s="81" t="s">
        <v>224</v>
      </c>
      <c r="K5114" s="81" t="str">
        <f>IFERROR(__xludf.DUMMYFUNCTION("IF(OR(D5114="""",G5114=""""),"""",IFERROR(LET(
campo,XLOOKUP(TRIM(G5114),ARRAYFORMULA(TRIM('indice columnas'!$A$2:$A$100)),'indice columnas'!$B$2:$B$100,""""),
col,IFERROR(MATCH(campo,Referencia!$A$1:$AZ$1,0),0),
fila,IFERROR(MATCH(TO_TEXT(D5114),ARRAYFOR"&amp;"MULA(TO_TEXT(Referencia!$A$2:$A6238)),0),0),
IF(OR(campo="""",campo=""-""),""NO APLICA"",
IF(col=0,""REVISAR EQUIVALENCIA"",
IF(fila=0,""SKU NO ENCONTRADO"",
LET(
valor,INDEX(Referencia!$A$2:$AZ6238,fila,col),
IF(TRIM(TO_TEXT(valor))=TRIM(TO_TEXT(I5114)),"&amp;"
""OK"",
""NO COINCIDE. Valor verdadero: ""&amp;IF(valor="""",""[VACÍO]"",TO_TEXT(valor))
)
))))
),""ERROR EN FÓRMULA""))"),"OK")</f>
        <v>OK</v>
      </c>
    </row>
    <row r="5115">
      <c r="A5115" s="83" t="s">
        <v>4899</v>
      </c>
      <c r="B5115" s="83" t="s">
        <v>4900</v>
      </c>
      <c r="C5115" s="81" t="s">
        <v>4621</v>
      </c>
      <c r="D5115" s="83" t="s">
        <v>4748</v>
      </c>
      <c r="E5115" s="81" t="s">
        <v>3584</v>
      </c>
      <c r="F5115" s="81">
        <v>677.0</v>
      </c>
      <c r="G5115" s="81" t="s">
        <v>3</v>
      </c>
      <c r="H5115" s="81" t="s">
        <v>224</v>
      </c>
      <c r="I5115" s="81" t="s">
        <v>344</v>
      </c>
      <c r="J5115" s="81" t="s">
        <v>224</v>
      </c>
      <c r="K5115" s="81" t="str">
        <f>IFERROR(__xludf.DUMMYFUNCTION("IF(OR(D5115="""",G5115=""""),"""",IFERROR(LET(
campo,XLOOKUP(TRIM(G5115),ARRAYFORMULA(TRIM('indice columnas'!$A$2:$A$100)),'indice columnas'!$B$2:$B$100,""""),
col,IFERROR(MATCH(campo,Referencia!$A$1:$AZ$1,0),0),
fila,IFERROR(MATCH(TO_TEXT(D5115),ARRAYFOR"&amp;"MULA(TO_TEXT(Referencia!$A$2:$A6238)),0),0),
IF(OR(campo="""",campo=""-""),""NO APLICA"",
IF(col=0,""REVISAR EQUIVALENCIA"",
IF(fila=0,""SKU NO ENCONTRADO"",
LET(
valor,INDEX(Referencia!$A$2:$AZ6238,fila,col),
IF(TRIM(TO_TEXT(valor))=TRIM(TO_TEXT(I5115)),"&amp;"
""OK"",
""NO COINCIDE. Valor verdadero: ""&amp;IF(valor="""",""[VACÍO]"",TO_TEXT(valor))
)
))))
),""ERROR EN FÓRMULA""))"),"OK")</f>
        <v>OK</v>
      </c>
    </row>
    <row r="5116">
      <c r="A5116" s="83" t="s">
        <v>4899</v>
      </c>
      <c r="B5116" s="83" t="s">
        <v>4900</v>
      </c>
      <c r="C5116" s="81" t="s">
        <v>4621</v>
      </c>
      <c r="D5116" s="83" t="s">
        <v>4748</v>
      </c>
      <c r="E5116" s="81" t="s">
        <v>3584</v>
      </c>
      <c r="F5116" s="81">
        <v>677.0</v>
      </c>
      <c r="G5116" s="81" t="s">
        <v>2</v>
      </c>
      <c r="H5116" s="81" t="s">
        <v>224</v>
      </c>
      <c r="I5116" s="81" t="s">
        <v>213</v>
      </c>
      <c r="J5116" s="81" t="s">
        <v>224</v>
      </c>
      <c r="K5116" s="81" t="str">
        <f>IFERROR(__xludf.DUMMYFUNCTION("IF(OR(D5116="""",G5116=""""),"""",IFERROR(LET(
campo,XLOOKUP(TRIM(G5116),ARRAYFORMULA(TRIM('indice columnas'!$A$2:$A$100)),'indice columnas'!$B$2:$B$100,""""),
col,IFERROR(MATCH(campo,Referencia!$A$1:$AZ$1,0),0),
fila,IFERROR(MATCH(TO_TEXT(D5116),ARRAYFOR"&amp;"MULA(TO_TEXT(Referencia!$A$2:$A6238)),0),0),
IF(OR(campo="""",campo=""-""),""NO APLICA"",
IF(col=0,""REVISAR EQUIVALENCIA"",
IF(fila=0,""SKU NO ENCONTRADO"",
LET(
valor,INDEX(Referencia!$A$2:$AZ6238,fila,col),
IF(TRIM(TO_TEXT(valor))=TRIM(TO_TEXT(I5116)),"&amp;"
""OK"",
""NO COINCIDE. Valor verdadero: ""&amp;IF(valor="""",""[VACÍO]"",TO_TEXT(valor))
)
))))
),""ERROR EN FÓRMULA""))"),"OK")</f>
        <v>OK</v>
      </c>
    </row>
    <row r="5117">
      <c r="A5117" s="83" t="s">
        <v>4899</v>
      </c>
      <c r="B5117" s="83" t="s">
        <v>4900</v>
      </c>
      <c r="C5117" s="81" t="s">
        <v>4621</v>
      </c>
      <c r="D5117" s="83" t="s">
        <v>4748</v>
      </c>
      <c r="E5117" s="81" t="s">
        <v>3584</v>
      </c>
      <c r="F5117" s="81">
        <v>677.0</v>
      </c>
      <c r="G5117" s="81" t="s">
        <v>1</v>
      </c>
      <c r="H5117" s="81" t="s">
        <v>224</v>
      </c>
      <c r="I5117" s="81" t="s">
        <v>49</v>
      </c>
      <c r="J5117" s="81" t="s">
        <v>224</v>
      </c>
      <c r="K5117" s="81" t="str">
        <f>IFERROR(__xludf.DUMMYFUNCTION("IF(OR(D5117="""",G5117=""""),"""",IFERROR(LET(
campo,XLOOKUP(TRIM(G5117),ARRAYFORMULA(TRIM('indice columnas'!$A$2:$A$100)),'indice columnas'!$B$2:$B$100,""""),
col,IFERROR(MATCH(campo,Referencia!$A$1:$AZ$1,0),0),
fila,IFERROR(MATCH(TO_TEXT(D5117),ARRAYFOR"&amp;"MULA(TO_TEXT(Referencia!$A$2:$A6238)),0),0),
IF(OR(campo="""",campo=""-""),""NO APLICA"",
IF(col=0,""REVISAR EQUIVALENCIA"",
IF(fila=0,""SKU NO ENCONTRADO"",
LET(
valor,INDEX(Referencia!$A$2:$AZ6238,fila,col),
IF(TRIM(TO_TEXT(valor))=TRIM(TO_TEXT(I5117)),"&amp;"
""OK"",
""NO COINCIDE. Valor verdadero: ""&amp;IF(valor="""",""[VACÍO]"",TO_TEXT(valor))
)
))))
),""ERROR EN FÓRMULA""))"),"OK")</f>
        <v>OK</v>
      </c>
    </row>
    <row r="5118">
      <c r="A5118" s="83" t="s">
        <v>4899</v>
      </c>
      <c r="B5118" s="83" t="s">
        <v>4900</v>
      </c>
      <c r="C5118" s="81" t="s">
        <v>4621</v>
      </c>
      <c r="D5118" s="83" t="s">
        <v>4749</v>
      </c>
      <c r="E5118" s="81" t="s">
        <v>3596</v>
      </c>
      <c r="F5118" s="81">
        <v>679.0</v>
      </c>
      <c r="G5118" s="81" t="s">
        <v>3</v>
      </c>
      <c r="H5118" s="81" t="s">
        <v>224</v>
      </c>
      <c r="I5118" s="81" t="s">
        <v>51</v>
      </c>
      <c r="J5118" s="81" t="s">
        <v>224</v>
      </c>
      <c r="K5118" s="81" t="str">
        <f>IFERROR(__xludf.DUMMYFUNCTION("IF(OR(D5118="""",G5118=""""),"""",IFERROR(LET(
campo,XLOOKUP(TRIM(G5118),ARRAYFORMULA(TRIM('indice columnas'!$A$2:$A$100)),'indice columnas'!$B$2:$B$100,""""),
col,IFERROR(MATCH(campo,Referencia!$A$1:$AZ$1,0),0),
fila,IFERROR(MATCH(TO_TEXT(D5118),ARRAYFOR"&amp;"MULA(TO_TEXT(Referencia!$A$2:$A6238)),0),0),
IF(OR(campo="""",campo=""-""),""NO APLICA"",
IF(col=0,""REVISAR EQUIVALENCIA"",
IF(fila=0,""SKU NO ENCONTRADO"",
LET(
valor,INDEX(Referencia!$A$2:$AZ6238,fila,col),
IF(TRIM(TO_TEXT(valor))=TRIM(TO_TEXT(I5118)),"&amp;"
""OK"",
""NO COINCIDE. Valor verdadero: ""&amp;IF(valor="""",""[VACÍO]"",TO_TEXT(valor))
)
))))
),""ERROR EN FÓRMULA""))"),"OK")</f>
        <v>OK</v>
      </c>
    </row>
    <row r="5119">
      <c r="A5119" s="83" t="s">
        <v>4899</v>
      </c>
      <c r="B5119" s="83" t="s">
        <v>4900</v>
      </c>
      <c r="C5119" s="81" t="s">
        <v>4621</v>
      </c>
      <c r="D5119" s="83" t="s">
        <v>4749</v>
      </c>
      <c r="E5119" s="81" t="s">
        <v>3596</v>
      </c>
      <c r="F5119" s="81">
        <v>679.0</v>
      </c>
      <c r="G5119" s="81" t="s">
        <v>2</v>
      </c>
      <c r="H5119" s="81" t="s">
        <v>224</v>
      </c>
      <c r="I5119" s="81" t="s">
        <v>332</v>
      </c>
      <c r="J5119" s="81" t="s">
        <v>224</v>
      </c>
      <c r="K5119" s="81" t="str">
        <f>IFERROR(__xludf.DUMMYFUNCTION("IF(OR(D5119="""",G5119=""""),"""",IFERROR(LET(
campo,XLOOKUP(TRIM(G5119),ARRAYFORMULA(TRIM('indice columnas'!$A$2:$A$100)),'indice columnas'!$B$2:$B$100,""""),
col,IFERROR(MATCH(campo,Referencia!$A$1:$AZ$1,0),0),
fila,IFERROR(MATCH(TO_TEXT(D5119),ARRAYFOR"&amp;"MULA(TO_TEXT(Referencia!$A$2:$A6238)),0),0),
IF(OR(campo="""",campo=""-""),""NO APLICA"",
IF(col=0,""REVISAR EQUIVALENCIA"",
IF(fila=0,""SKU NO ENCONTRADO"",
LET(
valor,INDEX(Referencia!$A$2:$AZ6238,fila,col),
IF(TRIM(TO_TEXT(valor))=TRIM(TO_TEXT(I5119)),"&amp;"
""OK"",
""NO COINCIDE. Valor verdadero: ""&amp;IF(valor="""",""[VACÍO]"",TO_TEXT(valor))
)
))))
),""ERROR EN FÓRMULA""))"),"OK")</f>
        <v>OK</v>
      </c>
    </row>
    <row r="5120">
      <c r="A5120" s="83" t="s">
        <v>4899</v>
      </c>
      <c r="B5120" s="83" t="s">
        <v>4900</v>
      </c>
      <c r="C5120" s="81" t="s">
        <v>4621</v>
      </c>
      <c r="D5120" s="83" t="s">
        <v>4749</v>
      </c>
      <c r="E5120" s="81" t="s">
        <v>3596</v>
      </c>
      <c r="F5120" s="81">
        <v>679.0</v>
      </c>
      <c r="G5120" s="81" t="s">
        <v>1</v>
      </c>
      <c r="H5120" s="81" t="s">
        <v>224</v>
      </c>
      <c r="I5120" s="81" t="s">
        <v>49</v>
      </c>
      <c r="J5120" s="81" t="s">
        <v>224</v>
      </c>
      <c r="K5120" s="81" t="str">
        <f>IFERROR(__xludf.DUMMYFUNCTION("IF(OR(D5120="""",G5120=""""),"""",IFERROR(LET(
campo,XLOOKUP(TRIM(G5120),ARRAYFORMULA(TRIM('indice columnas'!$A$2:$A$100)),'indice columnas'!$B$2:$B$100,""""),
col,IFERROR(MATCH(campo,Referencia!$A$1:$AZ$1,0),0),
fila,IFERROR(MATCH(TO_TEXT(D5120),ARRAYFOR"&amp;"MULA(TO_TEXT(Referencia!$A$2:$A6238)),0),0),
IF(OR(campo="""",campo=""-""),""NO APLICA"",
IF(col=0,""REVISAR EQUIVALENCIA"",
IF(fila=0,""SKU NO ENCONTRADO"",
LET(
valor,INDEX(Referencia!$A$2:$AZ6238,fila,col),
IF(TRIM(TO_TEXT(valor))=TRIM(TO_TEXT(I5120)),"&amp;"
""OK"",
""NO COINCIDE. Valor verdadero: ""&amp;IF(valor="""",""[VACÍO]"",TO_TEXT(valor))
)
))))
),""ERROR EN FÓRMULA""))"),"OK")</f>
        <v>OK</v>
      </c>
    </row>
    <row r="5121">
      <c r="A5121" s="83" t="s">
        <v>4899</v>
      </c>
      <c r="B5121" s="83" t="s">
        <v>4900</v>
      </c>
      <c r="C5121" s="81" t="s">
        <v>4621</v>
      </c>
      <c r="D5121" s="83" t="s">
        <v>4750</v>
      </c>
      <c r="E5121" s="81" t="s">
        <v>3597</v>
      </c>
      <c r="F5121" s="81">
        <v>680.0</v>
      </c>
      <c r="G5121" s="81" t="s">
        <v>3</v>
      </c>
      <c r="H5121" s="81" t="s">
        <v>224</v>
      </c>
      <c r="I5121" s="81" t="s">
        <v>51</v>
      </c>
      <c r="J5121" s="81" t="s">
        <v>224</v>
      </c>
      <c r="K5121" s="81" t="str">
        <f>IFERROR(__xludf.DUMMYFUNCTION("IF(OR(D5121="""",G5121=""""),"""",IFERROR(LET(
campo,XLOOKUP(TRIM(G5121),ARRAYFORMULA(TRIM('indice columnas'!$A$2:$A$100)),'indice columnas'!$B$2:$B$100,""""),
col,IFERROR(MATCH(campo,Referencia!$A$1:$AZ$1,0),0),
fila,IFERROR(MATCH(TO_TEXT(D5121),ARRAYFOR"&amp;"MULA(TO_TEXT(Referencia!$A$2:$A6238)),0),0),
IF(OR(campo="""",campo=""-""),""NO APLICA"",
IF(col=0,""REVISAR EQUIVALENCIA"",
IF(fila=0,""SKU NO ENCONTRADO"",
LET(
valor,INDEX(Referencia!$A$2:$AZ6238,fila,col),
IF(TRIM(TO_TEXT(valor))=TRIM(TO_TEXT(I5121)),"&amp;"
""OK"",
""NO COINCIDE. Valor verdadero: ""&amp;IF(valor="""",""[VACÍO]"",TO_TEXT(valor))
)
))))
),""ERROR EN FÓRMULA""))"),"OK")</f>
        <v>OK</v>
      </c>
    </row>
    <row r="5122">
      <c r="A5122" s="83" t="s">
        <v>4899</v>
      </c>
      <c r="B5122" s="83" t="s">
        <v>4900</v>
      </c>
      <c r="C5122" s="81" t="s">
        <v>4621</v>
      </c>
      <c r="D5122" s="83" t="s">
        <v>4750</v>
      </c>
      <c r="E5122" s="81" t="s">
        <v>3597</v>
      </c>
      <c r="F5122" s="81">
        <v>680.0</v>
      </c>
      <c r="G5122" s="81" t="s">
        <v>2</v>
      </c>
      <c r="H5122" s="81" t="s">
        <v>224</v>
      </c>
      <c r="I5122" s="81" t="s">
        <v>332</v>
      </c>
      <c r="J5122" s="81" t="s">
        <v>224</v>
      </c>
      <c r="K5122" s="81" t="str">
        <f>IFERROR(__xludf.DUMMYFUNCTION("IF(OR(D5122="""",G5122=""""),"""",IFERROR(LET(
campo,XLOOKUP(TRIM(G5122),ARRAYFORMULA(TRIM('indice columnas'!$A$2:$A$100)),'indice columnas'!$B$2:$B$100,""""),
col,IFERROR(MATCH(campo,Referencia!$A$1:$AZ$1,0),0),
fila,IFERROR(MATCH(TO_TEXT(D5122),ARRAYFOR"&amp;"MULA(TO_TEXT(Referencia!$A$2:$A6238)),0),0),
IF(OR(campo="""",campo=""-""),""NO APLICA"",
IF(col=0,""REVISAR EQUIVALENCIA"",
IF(fila=0,""SKU NO ENCONTRADO"",
LET(
valor,INDEX(Referencia!$A$2:$AZ6238,fila,col),
IF(TRIM(TO_TEXT(valor))=TRIM(TO_TEXT(I5122)),"&amp;"
""OK"",
""NO COINCIDE. Valor verdadero: ""&amp;IF(valor="""",""[VACÍO]"",TO_TEXT(valor))
)
))))
),""ERROR EN FÓRMULA""))"),"OK")</f>
        <v>OK</v>
      </c>
    </row>
    <row r="5123">
      <c r="A5123" s="83" t="s">
        <v>4899</v>
      </c>
      <c r="B5123" s="83" t="s">
        <v>4900</v>
      </c>
      <c r="C5123" s="81" t="s">
        <v>4621</v>
      </c>
      <c r="D5123" s="83" t="s">
        <v>4750</v>
      </c>
      <c r="E5123" s="81" t="s">
        <v>3597</v>
      </c>
      <c r="F5123" s="81">
        <v>680.0</v>
      </c>
      <c r="G5123" s="81" t="s">
        <v>1</v>
      </c>
      <c r="H5123" s="81" t="s">
        <v>224</v>
      </c>
      <c r="I5123" s="81" t="s">
        <v>49</v>
      </c>
      <c r="J5123" s="81" t="s">
        <v>224</v>
      </c>
      <c r="K5123" s="81" t="str">
        <f>IFERROR(__xludf.DUMMYFUNCTION("IF(OR(D5123="""",G5123=""""),"""",IFERROR(LET(
campo,XLOOKUP(TRIM(G5123),ARRAYFORMULA(TRIM('indice columnas'!$A$2:$A$100)),'indice columnas'!$B$2:$B$100,""""),
col,IFERROR(MATCH(campo,Referencia!$A$1:$AZ$1,0),0),
fila,IFERROR(MATCH(TO_TEXT(D5123),ARRAYFOR"&amp;"MULA(TO_TEXT(Referencia!$A$2:$A6238)),0),0),
IF(OR(campo="""",campo=""-""),""NO APLICA"",
IF(col=0,""REVISAR EQUIVALENCIA"",
IF(fila=0,""SKU NO ENCONTRADO"",
LET(
valor,INDEX(Referencia!$A$2:$AZ6238,fila,col),
IF(TRIM(TO_TEXT(valor))=TRIM(TO_TEXT(I5123)),"&amp;"
""OK"",
""NO COINCIDE. Valor verdadero: ""&amp;IF(valor="""",""[VACÍO]"",TO_TEXT(valor))
)
))))
),""ERROR EN FÓRMULA""))"),"OK")</f>
        <v>OK</v>
      </c>
    </row>
    <row r="5124">
      <c r="A5124" s="83" t="s">
        <v>4899</v>
      </c>
      <c r="B5124" s="83" t="s">
        <v>4900</v>
      </c>
      <c r="C5124" s="81" t="s">
        <v>4621</v>
      </c>
      <c r="D5124" s="83" t="s">
        <v>4751</v>
      </c>
      <c r="E5124" s="81" t="s">
        <v>3600</v>
      </c>
      <c r="F5124" s="81">
        <v>681.0</v>
      </c>
      <c r="G5124" s="81" t="s">
        <v>3</v>
      </c>
      <c r="H5124" s="81" t="s">
        <v>224</v>
      </c>
      <c r="I5124" s="81" t="s">
        <v>920</v>
      </c>
      <c r="J5124" s="81" t="s">
        <v>224</v>
      </c>
      <c r="K5124" s="81" t="str">
        <f>IFERROR(__xludf.DUMMYFUNCTION("IF(OR(D5124="""",G5124=""""),"""",IFERROR(LET(
campo,XLOOKUP(TRIM(G5124),ARRAYFORMULA(TRIM('indice columnas'!$A$2:$A$100)),'indice columnas'!$B$2:$B$100,""""),
col,IFERROR(MATCH(campo,Referencia!$A$1:$AZ$1,0),0),
fila,IFERROR(MATCH(TO_TEXT(D5124),ARRAYFOR"&amp;"MULA(TO_TEXT(Referencia!$A$2:$A6238)),0),0),
IF(OR(campo="""",campo=""-""),""NO APLICA"",
IF(col=0,""REVISAR EQUIVALENCIA"",
IF(fila=0,""SKU NO ENCONTRADO"",
LET(
valor,INDEX(Referencia!$A$2:$AZ6238,fila,col),
IF(TRIM(TO_TEXT(valor))=TRIM(TO_TEXT(I5124)),"&amp;"
""OK"",
""NO COINCIDE. Valor verdadero: ""&amp;IF(valor="""",""[VACÍO]"",TO_TEXT(valor))
)
))))
),""ERROR EN FÓRMULA""))"),"OK")</f>
        <v>OK</v>
      </c>
    </row>
    <row r="5125">
      <c r="A5125" s="83" t="s">
        <v>4899</v>
      </c>
      <c r="B5125" s="83" t="s">
        <v>4900</v>
      </c>
      <c r="C5125" s="81" t="s">
        <v>4621</v>
      </c>
      <c r="D5125" s="83" t="s">
        <v>4751</v>
      </c>
      <c r="E5125" s="81" t="s">
        <v>3600</v>
      </c>
      <c r="F5125" s="81">
        <v>681.0</v>
      </c>
      <c r="G5125" s="81" t="s">
        <v>2</v>
      </c>
      <c r="H5125" s="81" t="s">
        <v>224</v>
      </c>
      <c r="I5125" s="81" t="s">
        <v>919</v>
      </c>
      <c r="J5125" s="81" t="s">
        <v>224</v>
      </c>
      <c r="K5125" s="81" t="str">
        <f>IFERROR(__xludf.DUMMYFUNCTION("IF(OR(D5125="""",G5125=""""),"""",IFERROR(LET(
campo,XLOOKUP(TRIM(G5125),ARRAYFORMULA(TRIM('indice columnas'!$A$2:$A$100)),'indice columnas'!$B$2:$B$100,""""),
col,IFERROR(MATCH(campo,Referencia!$A$1:$AZ$1,0),0),
fila,IFERROR(MATCH(TO_TEXT(D5125),ARRAYFOR"&amp;"MULA(TO_TEXT(Referencia!$A$2:$A6238)),0),0),
IF(OR(campo="""",campo=""-""),""NO APLICA"",
IF(col=0,""REVISAR EQUIVALENCIA"",
IF(fila=0,""SKU NO ENCONTRADO"",
LET(
valor,INDEX(Referencia!$A$2:$AZ6238,fila,col),
IF(TRIM(TO_TEXT(valor))=TRIM(TO_TEXT(I5125)),"&amp;"
""OK"",
""NO COINCIDE. Valor verdadero: ""&amp;IF(valor="""",""[VACÍO]"",TO_TEXT(valor))
)
))))
),""ERROR EN FÓRMULA""))"),"OK")</f>
        <v>OK</v>
      </c>
    </row>
    <row r="5126">
      <c r="A5126" s="83" t="s">
        <v>4899</v>
      </c>
      <c r="B5126" s="83" t="s">
        <v>4900</v>
      </c>
      <c r="C5126" s="81" t="s">
        <v>4621</v>
      </c>
      <c r="D5126" s="83" t="s">
        <v>4751</v>
      </c>
      <c r="E5126" s="81" t="s">
        <v>3600</v>
      </c>
      <c r="F5126" s="81">
        <v>681.0</v>
      </c>
      <c r="G5126" s="81" t="s">
        <v>1</v>
      </c>
      <c r="H5126" s="81" t="s">
        <v>224</v>
      </c>
      <c r="I5126" s="81" t="s">
        <v>49</v>
      </c>
      <c r="J5126" s="81" t="s">
        <v>224</v>
      </c>
      <c r="K5126" s="81" t="str">
        <f>IFERROR(__xludf.DUMMYFUNCTION("IF(OR(D5126="""",G5126=""""),"""",IFERROR(LET(
campo,XLOOKUP(TRIM(G5126),ARRAYFORMULA(TRIM('indice columnas'!$A$2:$A$100)),'indice columnas'!$B$2:$B$100,""""),
col,IFERROR(MATCH(campo,Referencia!$A$1:$AZ$1,0),0),
fila,IFERROR(MATCH(TO_TEXT(D5126),ARRAYFOR"&amp;"MULA(TO_TEXT(Referencia!$A$2:$A6238)),0),0),
IF(OR(campo="""",campo=""-""),""NO APLICA"",
IF(col=0,""REVISAR EQUIVALENCIA"",
IF(fila=0,""SKU NO ENCONTRADO"",
LET(
valor,INDEX(Referencia!$A$2:$AZ6238,fila,col),
IF(TRIM(TO_TEXT(valor))=TRIM(TO_TEXT(I5126)),"&amp;"
""OK"",
""NO COINCIDE. Valor verdadero: ""&amp;IF(valor="""",""[VACÍO]"",TO_TEXT(valor))
)
))))
),""ERROR EN FÓRMULA""))"),"OK")</f>
        <v>OK</v>
      </c>
    </row>
    <row r="5127">
      <c r="A5127" s="83" t="s">
        <v>4899</v>
      </c>
      <c r="B5127" s="83" t="s">
        <v>4900</v>
      </c>
      <c r="C5127" s="81" t="s">
        <v>4621</v>
      </c>
      <c r="D5127" s="83" t="s">
        <v>4752</v>
      </c>
      <c r="E5127" s="81" t="s">
        <v>3605</v>
      </c>
      <c r="F5127" s="81">
        <v>682.0</v>
      </c>
      <c r="G5127" s="81" t="s">
        <v>3</v>
      </c>
      <c r="H5127" s="81" t="s">
        <v>224</v>
      </c>
      <c r="I5127" s="81" t="s">
        <v>920</v>
      </c>
      <c r="J5127" s="81" t="s">
        <v>224</v>
      </c>
      <c r="K5127" s="81" t="str">
        <f>IFERROR(__xludf.DUMMYFUNCTION("IF(OR(D5127="""",G5127=""""),"""",IFERROR(LET(
campo,XLOOKUP(TRIM(G5127),ARRAYFORMULA(TRIM('indice columnas'!$A$2:$A$100)),'indice columnas'!$B$2:$B$100,""""),
col,IFERROR(MATCH(campo,Referencia!$A$1:$AZ$1,0),0),
fila,IFERROR(MATCH(TO_TEXT(D5127),ARRAYFOR"&amp;"MULA(TO_TEXT(Referencia!$A$2:$A6238)),0),0),
IF(OR(campo="""",campo=""-""),""NO APLICA"",
IF(col=0,""REVISAR EQUIVALENCIA"",
IF(fila=0,""SKU NO ENCONTRADO"",
LET(
valor,INDEX(Referencia!$A$2:$AZ6238,fila,col),
IF(TRIM(TO_TEXT(valor))=TRIM(TO_TEXT(I5127)),"&amp;"
""OK"",
""NO COINCIDE. Valor verdadero: ""&amp;IF(valor="""",""[VACÍO]"",TO_TEXT(valor))
)
))))
),""ERROR EN FÓRMULA""))"),"OK")</f>
        <v>OK</v>
      </c>
    </row>
    <row r="5128">
      <c r="A5128" s="83" t="s">
        <v>4899</v>
      </c>
      <c r="B5128" s="83" t="s">
        <v>4900</v>
      </c>
      <c r="C5128" s="81" t="s">
        <v>4621</v>
      </c>
      <c r="D5128" s="83" t="s">
        <v>4752</v>
      </c>
      <c r="E5128" s="81" t="s">
        <v>3605</v>
      </c>
      <c r="F5128" s="81">
        <v>682.0</v>
      </c>
      <c r="G5128" s="81" t="s">
        <v>2</v>
      </c>
      <c r="H5128" s="81" t="s">
        <v>224</v>
      </c>
      <c r="I5128" s="81" t="s">
        <v>919</v>
      </c>
      <c r="J5128" s="81" t="s">
        <v>224</v>
      </c>
      <c r="K5128" s="81" t="str">
        <f>IFERROR(__xludf.DUMMYFUNCTION("IF(OR(D5128="""",G5128=""""),"""",IFERROR(LET(
campo,XLOOKUP(TRIM(G5128),ARRAYFORMULA(TRIM('indice columnas'!$A$2:$A$100)),'indice columnas'!$B$2:$B$100,""""),
col,IFERROR(MATCH(campo,Referencia!$A$1:$AZ$1,0),0),
fila,IFERROR(MATCH(TO_TEXT(D5128),ARRAYFOR"&amp;"MULA(TO_TEXT(Referencia!$A$2:$A6238)),0),0),
IF(OR(campo="""",campo=""-""),""NO APLICA"",
IF(col=0,""REVISAR EQUIVALENCIA"",
IF(fila=0,""SKU NO ENCONTRADO"",
LET(
valor,INDEX(Referencia!$A$2:$AZ6238,fila,col),
IF(TRIM(TO_TEXT(valor))=TRIM(TO_TEXT(I5128)),"&amp;"
""OK"",
""NO COINCIDE. Valor verdadero: ""&amp;IF(valor="""",""[VACÍO]"",TO_TEXT(valor))
)
))))
),""ERROR EN FÓRMULA""))"),"OK")</f>
        <v>OK</v>
      </c>
    </row>
    <row r="5129">
      <c r="A5129" s="83" t="s">
        <v>4899</v>
      </c>
      <c r="B5129" s="83" t="s">
        <v>4900</v>
      </c>
      <c r="C5129" s="81" t="s">
        <v>4621</v>
      </c>
      <c r="D5129" s="83" t="s">
        <v>4752</v>
      </c>
      <c r="E5129" s="81" t="s">
        <v>3605</v>
      </c>
      <c r="F5129" s="81">
        <v>682.0</v>
      </c>
      <c r="G5129" s="81" t="s">
        <v>1</v>
      </c>
      <c r="H5129" s="81" t="s">
        <v>224</v>
      </c>
      <c r="I5129" s="81" t="s">
        <v>49</v>
      </c>
      <c r="J5129" s="81" t="s">
        <v>224</v>
      </c>
      <c r="K5129" s="81" t="str">
        <f>IFERROR(__xludf.DUMMYFUNCTION("IF(OR(D5129="""",G5129=""""),"""",IFERROR(LET(
campo,XLOOKUP(TRIM(G5129),ARRAYFORMULA(TRIM('indice columnas'!$A$2:$A$100)),'indice columnas'!$B$2:$B$100,""""),
col,IFERROR(MATCH(campo,Referencia!$A$1:$AZ$1,0),0),
fila,IFERROR(MATCH(TO_TEXT(D5129),ARRAYFOR"&amp;"MULA(TO_TEXT(Referencia!$A$2:$A6238)),0),0),
IF(OR(campo="""",campo=""-""),""NO APLICA"",
IF(col=0,""REVISAR EQUIVALENCIA"",
IF(fila=0,""SKU NO ENCONTRADO"",
LET(
valor,INDEX(Referencia!$A$2:$AZ6238,fila,col),
IF(TRIM(TO_TEXT(valor))=TRIM(TO_TEXT(I5129)),"&amp;"
""OK"",
""NO COINCIDE. Valor verdadero: ""&amp;IF(valor="""",""[VACÍO]"",TO_TEXT(valor))
)
))))
),""ERROR EN FÓRMULA""))"),"OK")</f>
        <v>OK</v>
      </c>
    </row>
    <row r="5130">
      <c r="A5130" s="83" t="s">
        <v>4899</v>
      </c>
      <c r="B5130" s="83" t="s">
        <v>4900</v>
      </c>
      <c r="C5130" s="81" t="s">
        <v>4621</v>
      </c>
      <c r="D5130" s="83" t="s">
        <v>4755</v>
      </c>
      <c r="E5130" s="81" t="s">
        <v>3633</v>
      </c>
      <c r="F5130" s="81">
        <v>685.0</v>
      </c>
      <c r="G5130" s="81" t="s">
        <v>3</v>
      </c>
      <c r="H5130" s="81" t="s">
        <v>376</v>
      </c>
      <c r="I5130" s="81" t="s">
        <v>344</v>
      </c>
      <c r="J5130" s="81" t="s">
        <v>224</v>
      </c>
      <c r="K5130" s="81" t="str">
        <f>IFERROR(__xludf.DUMMYFUNCTION("IF(OR(D5130="""",G5130=""""),"""",IFERROR(LET(
campo,XLOOKUP(TRIM(G5130),ARRAYFORMULA(TRIM('indice columnas'!$A$2:$A$100)),'indice columnas'!$B$2:$B$100,""""),
col,IFERROR(MATCH(campo,Referencia!$A$1:$AZ$1,0),0),
fila,IFERROR(MATCH(TO_TEXT(D5130),ARRAYFOR"&amp;"MULA(TO_TEXT(Referencia!$A$2:$A6238)),0),0),
IF(OR(campo="""",campo=""-""),""NO APLICA"",
IF(col=0,""REVISAR EQUIVALENCIA"",
IF(fila=0,""SKU NO ENCONTRADO"",
LET(
valor,INDEX(Referencia!$A$2:$AZ6238,fila,col),
IF(TRIM(TO_TEXT(valor))=TRIM(TO_TEXT(I5130)),"&amp;"
""OK"",
""NO COINCIDE. Valor verdadero: ""&amp;IF(valor="""",""[VACÍO]"",TO_TEXT(valor))
)
))))
),""ERROR EN FÓRMULA""))"),"OK")</f>
        <v>OK</v>
      </c>
    </row>
    <row r="5131">
      <c r="A5131" s="83" t="s">
        <v>4899</v>
      </c>
      <c r="B5131" s="83" t="s">
        <v>4900</v>
      </c>
      <c r="C5131" s="81" t="s">
        <v>4621</v>
      </c>
      <c r="D5131" s="83" t="s">
        <v>4754</v>
      </c>
      <c r="E5131" s="81" t="s">
        <v>3636</v>
      </c>
      <c r="F5131" s="81">
        <v>686.0</v>
      </c>
      <c r="G5131" s="81" t="s">
        <v>3</v>
      </c>
      <c r="H5131" s="81" t="s">
        <v>376</v>
      </c>
      <c r="I5131" s="81" t="s">
        <v>344</v>
      </c>
      <c r="J5131" s="81" t="s">
        <v>224</v>
      </c>
      <c r="K5131" s="81" t="str">
        <f>IFERROR(__xludf.DUMMYFUNCTION("IF(OR(D5131="""",G5131=""""),"""",IFERROR(LET(
campo,XLOOKUP(TRIM(G5131),ARRAYFORMULA(TRIM('indice columnas'!$A$2:$A$100)),'indice columnas'!$B$2:$B$100,""""),
col,IFERROR(MATCH(campo,Referencia!$A$1:$AZ$1,0),0),
fila,IFERROR(MATCH(TO_TEXT(D5131),ARRAYFOR"&amp;"MULA(TO_TEXT(Referencia!$A$2:$A6238)),0),0),
IF(OR(campo="""",campo=""-""),""NO APLICA"",
IF(col=0,""REVISAR EQUIVALENCIA"",
IF(fila=0,""SKU NO ENCONTRADO"",
LET(
valor,INDEX(Referencia!$A$2:$AZ6238,fila,col),
IF(TRIM(TO_TEXT(valor))=TRIM(TO_TEXT(I5131)),"&amp;"
""OK"",
""NO COINCIDE. Valor verdadero: ""&amp;IF(valor="""",""[VACÍO]"",TO_TEXT(valor))
)
))))
),""ERROR EN FÓRMULA""))"),"OK")</f>
        <v>OK</v>
      </c>
    </row>
    <row r="5132">
      <c r="A5132" s="83" t="s">
        <v>4899</v>
      </c>
      <c r="B5132" s="83" t="s">
        <v>4900</v>
      </c>
      <c r="C5132" s="81" t="s">
        <v>4621</v>
      </c>
      <c r="D5132" s="83" t="s">
        <v>4756</v>
      </c>
      <c r="E5132" s="81" t="s">
        <v>3637</v>
      </c>
      <c r="F5132" s="81">
        <v>687.0</v>
      </c>
      <c r="G5132" s="81" t="s">
        <v>3</v>
      </c>
      <c r="H5132" s="81" t="s">
        <v>376</v>
      </c>
      <c r="I5132" s="81" t="s">
        <v>344</v>
      </c>
      <c r="J5132" s="81" t="s">
        <v>224</v>
      </c>
      <c r="K5132" s="81" t="str">
        <f>IFERROR(__xludf.DUMMYFUNCTION("IF(OR(D5132="""",G5132=""""),"""",IFERROR(LET(
campo,XLOOKUP(TRIM(G5132),ARRAYFORMULA(TRIM('indice columnas'!$A$2:$A$100)),'indice columnas'!$B$2:$B$100,""""),
col,IFERROR(MATCH(campo,Referencia!$A$1:$AZ$1,0),0),
fila,IFERROR(MATCH(TO_TEXT(D5132),ARRAYFOR"&amp;"MULA(TO_TEXT(Referencia!$A$2:$A6238)),0),0),
IF(OR(campo="""",campo=""-""),""NO APLICA"",
IF(col=0,""REVISAR EQUIVALENCIA"",
IF(fila=0,""SKU NO ENCONTRADO"",
LET(
valor,INDEX(Referencia!$A$2:$AZ6238,fila,col),
IF(TRIM(TO_TEXT(valor))=TRIM(TO_TEXT(I5132)),"&amp;"
""OK"",
""NO COINCIDE. Valor verdadero: ""&amp;IF(valor="""",""[VACÍO]"",TO_TEXT(valor))
)
))))
),""ERROR EN FÓRMULA""))"),"OK")</f>
        <v>OK</v>
      </c>
    </row>
    <row r="5133">
      <c r="A5133" s="83" t="s">
        <v>4899</v>
      </c>
      <c r="B5133" s="83" t="s">
        <v>4900</v>
      </c>
      <c r="C5133" s="81" t="s">
        <v>4621</v>
      </c>
      <c r="D5133" s="83" t="s">
        <v>4757</v>
      </c>
      <c r="E5133" s="81" t="s">
        <v>3640</v>
      </c>
      <c r="F5133" s="81">
        <v>688.0</v>
      </c>
      <c r="G5133" s="81" t="s">
        <v>3</v>
      </c>
      <c r="H5133" s="81" t="s">
        <v>376</v>
      </c>
      <c r="I5133" s="81" t="s">
        <v>344</v>
      </c>
      <c r="J5133" s="81" t="s">
        <v>224</v>
      </c>
      <c r="K5133" s="81" t="str">
        <f>IFERROR(__xludf.DUMMYFUNCTION("IF(OR(D5133="""",G5133=""""),"""",IFERROR(LET(
campo,XLOOKUP(TRIM(G5133),ARRAYFORMULA(TRIM('indice columnas'!$A$2:$A$100)),'indice columnas'!$B$2:$B$100,""""),
col,IFERROR(MATCH(campo,Referencia!$A$1:$AZ$1,0),0),
fila,IFERROR(MATCH(TO_TEXT(D5133),ARRAYFOR"&amp;"MULA(TO_TEXT(Referencia!$A$2:$A6238)),0),0),
IF(OR(campo="""",campo=""-""),""NO APLICA"",
IF(col=0,""REVISAR EQUIVALENCIA"",
IF(fila=0,""SKU NO ENCONTRADO"",
LET(
valor,INDEX(Referencia!$A$2:$AZ6238,fila,col),
IF(TRIM(TO_TEXT(valor))=TRIM(TO_TEXT(I5133)),"&amp;"
""OK"",
""NO COINCIDE. Valor verdadero: ""&amp;IF(valor="""",""[VACÍO]"",TO_TEXT(valor))
)
))))
),""ERROR EN FÓRMULA""))"),"OK")</f>
        <v>OK</v>
      </c>
    </row>
    <row r="5134">
      <c r="A5134" s="83" t="s">
        <v>4899</v>
      </c>
      <c r="B5134" s="83" t="s">
        <v>4900</v>
      </c>
      <c r="C5134" s="81" t="s">
        <v>4621</v>
      </c>
      <c r="D5134" s="83" t="s">
        <v>4758</v>
      </c>
      <c r="E5134" s="81" t="s">
        <v>3643</v>
      </c>
      <c r="F5134" s="81">
        <v>689.0</v>
      </c>
      <c r="G5134" s="81" t="s">
        <v>3</v>
      </c>
      <c r="H5134" s="81" t="s">
        <v>376</v>
      </c>
      <c r="I5134" s="81" t="s">
        <v>344</v>
      </c>
      <c r="J5134" s="81" t="s">
        <v>224</v>
      </c>
      <c r="K5134" s="81" t="str">
        <f>IFERROR(__xludf.DUMMYFUNCTION("IF(OR(D5134="""",G5134=""""),"""",IFERROR(LET(
campo,XLOOKUP(TRIM(G5134),ARRAYFORMULA(TRIM('indice columnas'!$A$2:$A$100)),'indice columnas'!$B$2:$B$100,""""),
col,IFERROR(MATCH(campo,Referencia!$A$1:$AZ$1,0),0),
fila,IFERROR(MATCH(TO_TEXT(D5134),ARRAYFOR"&amp;"MULA(TO_TEXT(Referencia!$A$2:$A6238)),0),0),
IF(OR(campo="""",campo=""-""),""NO APLICA"",
IF(col=0,""REVISAR EQUIVALENCIA"",
IF(fila=0,""SKU NO ENCONTRADO"",
LET(
valor,INDEX(Referencia!$A$2:$AZ6238,fila,col),
IF(TRIM(TO_TEXT(valor))=TRIM(TO_TEXT(I5134)),"&amp;"
""OK"",
""NO COINCIDE. Valor verdadero: ""&amp;IF(valor="""",""[VACÍO]"",TO_TEXT(valor))
)
))))
),""ERROR EN FÓRMULA""))"),"OK")</f>
        <v>OK</v>
      </c>
    </row>
    <row r="5135">
      <c r="A5135" s="83" t="s">
        <v>4899</v>
      </c>
      <c r="B5135" s="83" t="s">
        <v>4900</v>
      </c>
      <c r="C5135" s="81" t="s">
        <v>4621</v>
      </c>
      <c r="D5135" s="83" t="s">
        <v>4759</v>
      </c>
      <c r="E5135" s="81" t="s">
        <v>3646</v>
      </c>
      <c r="F5135" s="81">
        <v>690.0</v>
      </c>
      <c r="G5135" s="81" t="s">
        <v>3</v>
      </c>
      <c r="H5135" s="81" t="s">
        <v>376</v>
      </c>
      <c r="I5135" s="81" t="s">
        <v>344</v>
      </c>
      <c r="J5135" s="81" t="s">
        <v>224</v>
      </c>
      <c r="K5135" s="81" t="str">
        <f>IFERROR(__xludf.DUMMYFUNCTION("IF(OR(D5135="""",G5135=""""),"""",IFERROR(LET(
campo,XLOOKUP(TRIM(G5135),ARRAYFORMULA(TRIM('indice columnas'!$A$2:$A$100)),'indice columnas'!$B$2:$B$100,""""),
col,IFERROR(MATCH(campo,Referencia!$A$1:$AZ$1,0),0),
fila,IFERROR(MATCH(TO_TEXT(D5135),ARRAYFOR"&amp;"MULA(TO_TEXT(Referencia!$A$2:$A6238)),0),0),
IF(OR(campo="""",campo=""-""),""NO APLICA"",
IF(col=0,""REVISAR EQUIVALENCIA"",
IF(fila=0,""SKU NO ENCONTRADO"",
LET(
valor,INDEX(Referencia!$A$2:$AZ6238,fila,col),
IF(TRIM(TO_TEXT(valor))=TRIM(TO_TEXT(I5135)),"&amp;"
""OK"",
""NO COINCIDE. Valor verdadero: ""&amp;IF(valor="""",""[VACÍO]"",TO_TEXT(valor))
)
))))
),""ERROR EN FÓRMULA""))"),"OK")</f>
        <v>OK</v>
      </c>
    </row>
    <row r="5136">
      <c r="A5136" s="83" t="s">
        <v>4899</v>
      </c>
      <c r="B5136" s="83" t="s">
        <v>4900</v>
      </c>
      <c r="C5136" s="81" t="s">
        <v>4621</v>
      </c>
      <c r="D5136" s="83" t="s">
        <v>4760</v>
      </c>
      <c r="E5136" s="81" t="s">
        <v>3652</v>
      </c>
      <c r="F5136" s="81">
        <v>692.0</v>
      </c>
      <c r="G5136" s="81" t="s">
        <v>3</v>
      </c>
      <c r="H5136" s="81" t="s">
        <v>376</v>
      </c>
      <c r="I5136" s="81" t="s">
        <v>344</v>
      </c>
      <c r="J5136" s="81" t="s">
        <v>224</v>
      </c>
      <c r="K5136" s="81" t="str">
        <f>IFERROR(__xludf.DUMMYFUNCTION("IF(OR(D5136="""",G5136=""""),"""",IFERROR(LET(
campo,XLOOKUP(TRIM(G5136),ARRAYFORMULA(TRIM('indice columnas'!$A$2:$A$100)),'indice columnas'!$B$2:$B$100,""""),
col,IFERROR(MATCH(campo,Referencia!$A$1:$AZ$1,0),0),
fila,IFERROR(MATCH(TO_TEXT(D5136),ARRAYFOR"&amp;"MULA(TO_TEXT(Referencia!$A$2:$A6238)),0),0),
IF(OR(campo="""",campo=""-""),""NO APLICA"",
IF(col=0,""REVISAR EQUIVALENCIA"",
IF(fila=0,""SKU NO ENCONTRADO"",
LET(
valor,INDEX(Referencia!$A$2:$AZ6238,fila,col),
IF(TRIM(TO_TEXT(valor))=TRIM(TO_TEXT(I5136)),"&amp;"
""OK"",
""NO COINCIDE. Valor verdadero: ""&amp;IF(valor="""",""[VACÍO]"",TO_TEXT(valor))
)
))))
),""ERROR EN FÓRMULA""))"),"OK")</f>
        <v>OK</v>
      </c>
    </row>
    <row r="5137">
      <c r="A5137" s="83" t="s">
        <v>4899</v>
      </c>
      <c r="B5137" s="83" t="s">
        <v>4900</v>
      </c>
      <c r="C5137" s="81" t="s">
        <v>4621</v>
      </c>
      <c r="D5137" s="83" t="s">
        <v>4761</v>
      </c>
      <c r="E5137" s="81" t="s">
        <v>3653</v>
      </c>
      <c r="F5137" s="81">
        <v>693.0</v>
      </c>
      <c r="G5137" s="81" t="s">
        <v>3</v>
      </c>
      <c r="H5137" s="81" t="s">
        <v>376</v>
      </c>
      <c r="I5137" s="81" t="s">
        <v>344</v>
      </c>
      <c r="J5137" s="81" t="s">
        <v>224</v>
      </c>
      <c r="K5137" s="81" t="str">
        <f>IFERROR(__xludf.DUMMYFUNCTION("IF(OR(D5137="""",G5137=""""),"""",IFERROR(LET(
campo,XLOOKUP(TRIM(G5137),ARRAYFORMULA(TRIM('indice columnas'!$A$2:$A$100)),'indice columnas'!$B$2:$B$100,""""),
col,IFERROR(MATCH(campo,Referencia!$A$1:$AZ$1,0),0),
fila,IFERROR(MATCH(TO_TEXT(D5137),ARRAYFOR"&amp;"MULA(TO_TEXT(Referencia!$A$2:$A6238)),0),0),
IF(OR(campo="""",campo=""-""),""NO APLICA"",
IF(col=0,""REVISAR EQUIVALENCIA"",
IF(fila=0,""SKU NO ENCONTRADO"",
LET(
valor,INDEX(Referencia!$A$2:$AZ6238,fila,col),
IF(TRIM(TO_TEXT(valor))=TRIM(TO_TEXT(I5137)),"&amp;"
""OK"",
""NO COINCIDE. Valor verdadero: ""&amp;IF(valor="""",""[VACÍO]"",TO_TEXT(valor))
)
))))
),""ERROR EN FÓRMULA""))"),"OK")</f>
        <v>OK</v>
      </c>
    </row>
    <row r="5138">
      <c r="A5138" s="83" t="s">
        <v>4899</v>
      </c>
      <c r="B5138" s="83" t="s">
        <v>4900</v>
      </c>
      <c r="C5138" s="81" t="s">
        <v>4621</v>
      </c>
      <c r="D5138" s="83" t="s">
        <v>4762</v>
      </c>
      <c r="E5138" s="81" t="s">
        <v>3656</v>
      </c>
      <c r="F5138" s="81">
        <v>694.0</v>
      </c>
      <c r="G5138" s="81" t="s">
        <v>3</v>
      </c>
      <c r="H5138" s="81" t="s">
        <v>376</v>
      </c>
      <c r="I5138" s="81" t="s">
        <v>344</v>
      </c>
      <c r="J5138" s="81" t="s">
        <v>224</v>
      </c>
      <c r="K5138" s="81" t="str">
        <f>IFERROR(__xludf.DUMMYFUNCTION("IF(OR(D5138="""",G5138=""""),"""",IFERROR(LET(
campo,XLOOKUP(TRIM(G5138),ARRAYFORMULA(TRIM('indice columnas'!$A$2:$A$100)),'indice columnas'!$B$2:$B$100,""""),
col,IFERROR(MATCH(campo,Referencia!$A$1:$AZ$1,0),0),
fila,IFERROR(MATCH(TO_TEXT(D5138),ARRAYFOR"&amp;"MULA(TO_TEXT(Referencia!$A$2:$A6238)),0),0),
IF(OR(campo="""",campo=""-""),""NO APLICA"",
IF(col=0,""REVISAR EQUIVALENCIA"",
IF(fila=0,""SKU NO ENCONTRADO"",
LET(
valor,INDEX(Referencia!$A$2:$AZ6238,fila,col),
IF(TRIM(TO_TEXT(valor))=TRIM(TO_TEXT(I5138)),"&amp;"
""OK"",
""NO COINCIDE. Valor verdadero: ""&amp;IF(valor="""",""[VACÍO]"",TO_TEXT(valor))
)
))))
),""ERROR EN FÓRMULA""))"),"OK")</f>
        <v>OK</v>
      </c>
    </row>
    <row r="5139">
      <c r="A5139" s="83" t="s">
        <v>4899</v>
      </c>
      <c r="B5139" s="83" t="s">
        <v>4900</v>
      </c>
      <c r="C5139" s="81" t="s">
        <v>4621</v>
      </c>
      <c r="D5139" s="83" t="s">
        <v>4763</v>
      </c>
      <c r="E5139" s="81" t="s">
        <v>3659</v>
      </c>
      <c r="F5139" s="81">
        <v>695.0</v>
      </c>
      <c r="G5139" s="81" t="s">
        <v>3</v>
      </c>
      <c r="H5139" s="81" t="s">
        <v>376</v>
      </c>
      <c r="I5139" s="81" t="s">
        <v>344</v>
      </c>
      <c r="J5139" s="81" t="s">
        <v>224</v>
      </c>
      <c r="K5139" s="81" t="str">
        <f>IFERROR(__xludf.DUMMYFUNCTION("IF(OR(D5139="""",G5139=""""),"""",IFERROR(LET(
campo,XLOOKUP(TRIM(G5139),ARRAYFORMULA(TRIM('indice columnas'!$A$2:$A$100)),'indice columnas'!$B$2:$B$100,""""),
col,IFERROR(MATCH(campo,Referencia!$A$1:$AZ$1,0),0),
fila,IFERROR(MATCH(TO_TEXT(D5139),ARRAYFOR"&amp;"MULA(TO_TEXT(Referencia!$A$2:$A6238)),0),0),
IF(OR(campo="""",campo=""-""),""NO APLICA"",
IF(col=0,""REVISAR EQUIVALENCIA"",
IF(fila=0,""SKU NO ENCONTRADO"",
LET(
valor,INDEX(Referencia!$A$2:$AZ6238,fila,col),
IF(TRIM(TO_TEXT(valor))=TRIM(TO_TEXT(I5139)),"&amp;"
""OK"",
""NO COINCIDE. Valor verdadero: ""&amp;IF(valor="""",""[VACÍO]"",TO_TEXT(valor))
)
))))
),""ERROR EN FÓRMULA""))"),"OK")</f>
        <v>OK</v>
      </c>
    </row>
    <row r="5140">
      <c r="A5140" s="83" t="s">
        <v>4899</v>
      </c>
      <c r="B5140" s="83" t="s">
        <v>4900</v>
      </c>
      <c r="C5140" s="81" t="s">
        <v>4621</v>
      </c>
      <c r="D5140" s="83" t="s">
        <v>4764</v>
      </c>
      <c r="E5140" s="81" t="s">
        <v>3672</v>
      </c>
      <c r="F5140" s="81">
        <v>697.0</v>
      </c>
      <c r="G5140" s="81" t="s">
        <v>3</v>
      </c>
      <c r="H5140" s="81" t="s">
        <v>376</v>
      </c>
      <c r="I5140" s="81" t="s">
        <v>344</v>
      </c>
      <c r="J5140" s="81" t="s">
        <v>224</v>
      </c>
      <c r="K5140" s="81" t="str">
        <f>IFERROR(__xludf.DUMMYFUNCTION("IF(OR(D5140="""",G5140=""""),"""",IFERROR(LET(
campo,XLOOKUP(TRIM(G5140),ARRAYFORMULA(TRIM('indice columnas'!$A$2:$A$100)),'indice columnas'!$B$2:$B$100,""""),
col,IFERROR(MATCH(campo,Referencia!$A$1:$AZ$1,0),0),
fila,IFERROR(MATCH(TO_TEXT(D5140),ARRAYFOR"&amp;"MULA(TO_TEXT(Referencia!$A$2:$A6238)),0),0),
IF(OR(campo="""",campo=""-""),""NO APLICA"",
IF(col=0,""REVISAR EQUIVALENCIA"",
IF(fila=0,""SKU NO ENCONTRADO"",
LET(
valor,INDEX(Referencia!$A$2:$AZ6238,fila,col),
IF(TRIM(TO_TEXT(valor))=TRIM(TO_TEXT(I5140)),"&amp;"
""OK"",
""NO COINCIDE. Valor verdadero: ""&amp;IF(valor="""",""[VACÍO]"",TO_TEXT(valor))
)
))))
),""ERROR EN FÓRMULA""))"),"OK")</f>
        <v>OK</v>
      </c>
    </row>
    <row r="5141">
      <c r="A5141" s="83" t="s">
        <v>4899</v>
      </c>
      <c r="B5141" s="83" t="s">
        <v>4900</v>
      </c>
      <c r="C5141" s="81" t="s">
        <v>4621</v>
      </c>
      <c r="D5141" s="83" t="s">
        <v>4765</v>
      </c>
      <c r="E5141" s="81" t="s">
        <v>3673</v>
      </c>
      <c r="F5141" s="81">
        <v>698.0</v>
      </c>
      <c r="G5141" s="81" t="s">
        <v>3</v>
      </c>
      <c r="H5141" s="81" t="s">
        <v>376</v>
      </c>
      <c r="I5141" s="81" t="s">
        <v>344</v>
      </c>
      <c r="J5141" s="81" t="s">
        <v>224</v>
      </c>
      <c r="K5141" s="81" t="str">
        <f>IFERROR(__xludf.DUMMYFUNCTION("IF(OR(D5141="""",G5141=""""),"""",IFERROR(LET(
campo,XLOOKUP(TRIM(G5141),ARRAYFORMULA(TRIM('indice columnas'!$A$2:$A$100)),'indice columnas'!$B$2:$B$100,""""),
col,IFERROR(MATCH(campo,Referencia!$A$1:$AZ$1,0),0),
fila,IFERROR(MATCH(TO_TEXT(D5141),ARRAYFOR"&amp;"MULA(TO_TEXT(Referencia!$A$2:$A6238)),0),0),
IF(OR(campo="""",campo=""-""),""NO APLICA"",
IF(col=0,""REVISAR EQUIVALENCIA"",
IF(fila=0,""SKU NO ENCONTRADO"",
LET(
valor,INDEX(Referencia!$A$2:$AZ6238,fila,col),
IF(TRIM(TO_TEXT(valor))=TRIM(TO_TEXT(I5141)),"&amp;"
""OK"",
""NO COINCIDE. Valor verdadero: ""&amp;IF(valor="""",""[VACÍO]"",TO_TEXT(valor))
)
))))
),""ERROR EN FÓRMULA""))"),"OK")</f>
        <v>OK</v>
      </c>
    </row>
    <row r="5142">
      <c r="A5142" s="83" t="s">
        <v>4899</v>
      </c>
      <c r="B5142" s="83" t="s">
        <v>4900</v>
      </c>
      <c r="C5142" s="81" t="s">
        <v>4621</v>
      </c>
      <c r="D5142" s="83" t="s">
        <v>4766</v>
      </c>
      <c r="E5142" s="81" t="s">
        <v>3676</v>
      </c>
      <c r="F5142" s="81">
        <v>699.0</v>
      </c>
      <c r="G5142" s="81" t="s">
        <v>3</v>
      </c>
      <c r="H5142" s="81" t="s">
        <v>376</v>
      </c>
      <c r="I5142" s="81" t="s">
        <v>344</v>
      </c>
      <c r="J5142" s="81" t="s">
        <v>224</v>
      </c>
      <c r="K5142" s="81" t="str">
        <f>IFERROR(__xludf.DUMMYFUNCTION("IF(OR(D5142="""",G5142=""""),"""",IFERROR(LET(
campo,XLOOKUP(TRIM(G5142),ARRAYFORMULA(TRIM('indice columnas'!$A$2:$A$100)),'indice columnas'!$B$2:$B$100,""""),
col,IFERROR(MATCH(campo,Referencia!$A$1:$AZ$1,0),0),
fila,IFERROR(MATCH(TO_TEXT(D5142),ARRAYFOR"&amp;"MULA(TO_TEXT(Referencia!$A$2:$A6238)),0),0),
IF(OR(campo="""",campo=""-""),""NO APLICA"",
IF(col=0,""REVISAR EQUIVALENCIA"",
IF(fila=0,""SKU NO ENCONTRADO"",
LET(
valor,INDEX(Referencia!$A$2:$AZ6238,fila,col),
IF(TRIM(TO_TEXT(valor))=TRIM(TO_TEXT(I5142)),"&amp;"
""OK"",
""NO COINCIDE. Valor verdadero: ""&amp;IF(valor="""",""[VACÍO]"",TO_TEXT(valor))
)
))))
),""ERROR EN FÓRMULA""))"),"OK")</f>
        <v>OK</v>
      </c>
    </row>
    <row r="5143">
      <c r="A5143" s="83" t="s">
        <v>4899</v>
      </c>
      <c r="B5143" s="83" t="s">
        <v>4900</v>
      </c>
      <c r="C5143" s="81" t="s">
        <v>4621</v>
      </c>
      <c r="D5143" s="83" t="s">
        <v>4767</v>
      </c>
      <c r="E5143" s="81" t="s">
        <v>3679</v>
      </c>
      <c r="F5143" s="81">
        <v>700.0</v>
      </c>
      <c r="G5143" s="81" t="s">
        <v>3</v>
      </c>
      <c r="H5143" s="81" t="s">
        <v>376</v>
      </c>
      <c r="I5143" s="81" t="s">
        <v>344</v>
      </c>
      <c r="J5143" s="81" t="s">
        <v>224</v>
      </c>
      <c r="K5143" s="81" t="str">
        <f>IFERROR(__xludf.DUMMYFUNCTION("IF(OR(D5143="""",G5143=""""),"""",IFERROR(LET(
campo,XLOOKUP(TRIM(G5143),ARRAYFORMULA(TRIM('indice columnas'!$A$2:$A$100)),'indice columnas'!$B$2:$B$100,""""),
col,IFERROR(MATCH(campo,Referencia!$A$1:$AZ$1,0),0),
fila,IFERROR(MATCH(TO_TEXT(D5143),ARRAYFOR"&amp;"MULA(TO_TEXT(Referencia!$A$2:$A6238)),0),0),
IF(OR(campo="""",campo=""-""),""NO APLICA"",
IF(col=0,""REVISAR EQUIVALENCIA"",
IF(fila=0,""SKU NO ENCONTRADO"",
LET(
valor,INDEX(Referencia!$A$2:$AZ6238,fila,col),
IF(TRIM(TO_TEXT(valor))=TRIM(TO_TEXT(I5143)),"&amp;"
""OK"",
""NO COINCIDE. Valor verdadero: ""&amp;IF(valor="""",""[VACÍO]"",TO_TEXT(valor))
)
))))
),""ERROR EN FÓRMULA""))"),"OK")</f>
        <v>OK</v>
      </c>
    </row>
    <row r="5144">
      <c r="A5144" s="83" t="s">
        <v>4899</v>
      </c>
      <c r="B5144" s="83" t="s">
        <v>4900</v>
      </c>
      <c r="C5144" s="81" t="s">
        <v>4621</v>
      </c>
      <c r="D5144" s="83" t="s">
        <v>4768</v>
      </c>
      <c r="E5144" s="81" t="s">
        <v>3682</v>
      </c>
      <c r="F5144" s="81">
        <v>701.0</v>
      </c>
      <c r="G5144" s="81" t="s">
        <v>3</v>
      </c>
      <c r="H5144" s="81" t="s">
        <v>376</v>
      </c>
      <c r="I5144" s="81" t="s">
        <v>344</v>
      </c>
      <c r="J5144" s="81" t="s">
        <v>224</v>
      </c>
      <c r="K5144" s="81" t="str">
        <f>IFERROR(__xludf.DUMMYFUNCTION("IF(OR(D5144="""",G5144=""""),"""",IFERROR(LET(
campo,XLOOKUP(TRIM(G5144),ARRAYFORMULA(TRIM('indice columnas'!$A$2:$A$100)),'indice columnas'!$B$2:$B$100,""""),
col,IFERROR(MATCH(campo,Referencia!$A$1:$AZ$1,0),0),
fila,IFERROR(MATCH(TO_TEXT(D5144),ARRAYFOR"&amp;"MULA(TO_TEXT(Referencia!$A$2:$A6238)),0),0),
IF(OR(campo="""",campo=""-""),""NO APLICA"",
IF(col=0,""REVISAR EQUIVALENCIA"",
IF(fila=0,""SKU NO ENCONTRADO"",
LET(
valor,INDEX(Referencia!$A$2:$AZ6238,fila,col),
IF(TRIM(TO_TEXT(valor))=TRIM(TO_TEXT(I5144)),"&amp;"
""OK"",
""NO COINCIDE. Valor verdadero: ""&amp;IF(valor="""",""[VACÍO]"",TO_TEXT(valor))
)
))))
),""ERROR EN FÓRMULA""))"),"OK")</f>
        <v>OK</v>
      </c>
    </row>
    <row r="5145">
      <c r="A5145" s="83" t="s">
        <v>4899</v>
      </c>
      <c r="B5145" s="83" t="s">
        <v>4900</v>
      </c>
      <c r="C5145" s="81" t="s">
        <v>4621</v>
      </c>
      <c r="D5145" s="83" t="s">
        <v>4769</v>
      </c>
      <c r="E5145" s="81" t="s">
        <v>3685</v>
      </c>
      <c r="F5145" s="81">
        <v>702.0</v>
      </c>
      <c r="G5145" s="81" t="s">
        <v>3</v>
      </c>
      <c r="H5145" s="81" t="s">
        <v>376</v>
      </c>
      <c r="I5145" s="81" t="s">
        <v>344</v>
      </c>
      <c r="J5145" s="81" t="s">
        <v>224</v>
      </c>
      <c r="K5145" s="81" t="str">
        <f>IFERROR(__xludf.DUMMYFUNCTION("IF(OR(D5145="""",G5145=""""),"""",IFERROR(LET(
campo,XLOOKUP(TRIM(G5145),ARRAYFORMULA(TRIM('indice columnas'!$A$2:$A$100)),'indice columnas'!$B$2:$B$100,""""),
col,IFERROR(MATCH(campo,Referencia!$A$1:$AZ$1,0),0),
fila,IFERROR(MATCH(TO_TEXT(D5145),ARRAYFOR"&amp;"MULA(TO_TEXT(Referencia!$A$2:$A6238)),0),0),
IF(OR(campo="""",campo=""-""),""NO APLICA"",
IF(col=0,""REVISAR EQUIVALENCIA"",
IF(fila=0,""SKU NO ENCONTRADO"",
LET(
valor,INDEX(Referencia!$A$2:$AZ6238,fila,col),
IF(TRIM(TO_TEXT(valor))=TRIM(TO_TEXT(I5145)),"&amp;"
""OK"",
""NO COINCIDE. Valor verdadero: ""&amp;IF(valor="""",""[VACÍO]"",TO_TEXT(valor))
)
))))
),""ERROR EN FÓRMULA""))"),"OK")</f>
        <v>OK</v>
      </c>
    </row>
    <row r="5146">
      <c r="A5146" s="83" t="s">
        <v>4899</v>
      </c>
      <c r="B5146" s="83" t="s">
        <v>4900</v>
      </c>
      <c r="C5146" s="81" t="s">
        <v>4621</v>
      </c>
      <c r="D5146" s="83" t="s">
        <v>4770</v>
      </c>
      <c r="E5146" s="81" t="s">
        <v>3697</v>
      </c>
      <c r="F5146" s="81">
        <v>704.0</v>
      </c>
      <c r="G5146" s="81" t="s">
        <v>3</v>
      </c>
      <c r="H5146" s="81" t="s">
        <v>376</v>
      </c>
      <c r="I5146" s="81" t="s">
        <v>344</v>
      </c>
      <c r="J5146" s="81" t="s">
        <v>224</v>
      </c>
      <c r="K5146" s="81" t="str">
        <f>IFERROR(__xludf.DUMMYFUNCTION("IF(OR(D5146="""",G5146=""""),"""",IFERROR(LET(
campo,XLOOKUP(TRIM(G5146),ARRAYFORMULA(TRIM('indice columnas'!$A$2:$A$100)),'indice columnas'!$B$2:$B$100,""""),
col,IFERROR(MATCH(campo,Referencia!$A$1:$AZ$1,0),0),
fila,IFERROR(MATCH(TO_TEXT(D5146),ARRAYFOR"&amp;"MULA(TO_TEXT(Referencia!$A$2:$A6238)),0),0),
IF(OR(campo="""",campo=""-""),""NO APLICA"",
IF(col=0,""REVISAR EQUIVALENCIA"",
IF(fila=0,""SKU NO ENCONTRADO"",
LET(
valor,INDEX(Referencia!$A$2:$AZ6238,fila,col),
IF(TRIM(TO_TEXT(valor))=TRIM(TO_TEXT(I5146)),"&amp;"
""OK"",
""NO COINCIDE. Valor verdadero: ""&amp;IF(valor="""",""[VACÍO]"",TO_TEXT(valor))
)
))))
),""ERROR EN FÓRMULA""))"),"OK")</f>
        <v>OK</v>
      </c>
    </row>
    <row r="5147">
      <c r="A5147" s="83" t="s">
        <v>4899</v>
      </c>
      <c r="B5147" s="83" t="s">
        <v>4900</v>
      </c>
      <c r="C5147" s="81" t="s">
        <v>4621</v>
      </c>
      <c r="D5147" s="83" t="s">
        <v>4771</v>
      </c>
      <c r="E5147" s="81" t="s">
        <v>3698</v>
      </c>
      <c r="F5147" s="81">
        <v>705.0</v>
      </c>
      <c r="G5147" s="81" t="s">
        <v>3</v>
      </c>
      <c r="H5147" s="81" t="s">
        <v>376</v>
      </c>
      <c r="I5147" s="81" t="s">
        <v>344</v>
      </c>
      <c r="J5147" s="81" t="s">
        <v>224</v>
      </c>
      <c r="K5147" s="81" t="str">
        <f>IFERROR(__xludf.DUMMYFUNCTION("IF(OR(D5147="""",G5147=""""),"""",IFERROR(LET(
campo,XLOOKUP(TRIM(G5147),ARRAYFORMULA(TRIM('indice columnas'!$A$2:$A$100)),'indice columnas'!$B$2:$B$100,""""),
col,IFERROR(MATCH(campo,Referencia!$A$1:$AZ$1,0),0),
fila,IFERROR(MATCH(TO_TEXT(D5147),ARRAYFOR"&amp;"MULA(TO_TEXT(Referencia!$A$2:$A6238)),0),0),
IF(OR(campo="""",campo=""-""),""NO APLICA"",
IF(col=0,""REVISAR EQUIVALENCIA"",
IF(fila=0,""SKU NO ENCONTRADO"",
LET(
valor,INDEX(Referencia!$A$2:$AZ6238,fila,col),
IF(TRIM(TO_TEXT(valor))=TRIM(TO_TEXT(I5147)),"&amp;"
""OK"",
""NO COINCIDE. Valor verdadero: ""&amp;IF(valor="""",""[VACÍO]"",TO_TEXT(valor))
)
))))
),""ERROR EN FÓRMULA""))"),"OK")</f>
        <v>OK</v>
      </c>
    </row>
    <row r="5148">
      <c r="A5148" s="83" t="s">
        <v>4899</v>
      </c>
      <c r="B5148" s="83" t="s">
        <v>4900</v>
      </c>
      <c r="C5148" s="81" t="s">
        <v>4621</v>
      </c>
      <c r="D5148" s="83" t="s">
        <v>4772</v>
      </c>
      <c r="E5148" s="81" t="s">
        <v>3701</v>
      </c>
      <c r="F5148" s="81">
        <v>706.0</v>
      </c>
      <c r="G5148" s="81" t="s">
        <v>3</v>
      </c>
      <c r="H5148" s="81" t="s">
        <v>376</v>
      </c>
      <c r="I5148" s="81" t="s">
        <v>344</v>
      </c>
      <c r="J5148" s="81" t="s">
        <v>224</v>
      </c>
      <c r="K5148" s="81" t="str">
        <f>IFERROR(__xludf.DUMMYFUNCTION("IF(OR(D5148="""",G5148=""""),"""",IFERROR(LET(
campo,XLOOKUP(TRIM(G5148),ARRAYFORMULA(TRIM('indice columnas'!$A$2:$A$100)),'indice columnas'!$B$2:$B$100,""""),
col,IFERROR(MATCH(campo,Referencia!$A$1:$AZ$1,0),0),
fila,IFERROR(MATCH(TO_TEXT(D5148),ARRAYFOR"&amp;"MULA(TO_TEXT(Referencia!$A$2:$A6238)),0),0),
IF(OR(campo="""",campo=""-""),""NO APLICA"",
IF(col=0,""REVISAR EQUIVALENCIA"",
IF(fila=0,""SKU NO ENCONTRADO"",
LET(
valor,INDEX(Referencia!$A$2:$AZ6238,fila,col),
IF(TRIM(TO_TEXT(valor))=TRIM(TO_TEXT(I5148)),"&amp;"
""OK"",
""NO COINCIDE. Valor verdadero: ""&amp;IF(valor="""",""[VACÍO]"",TO_TEXT(valor))
)
))))
),""ERROR EN FÓRMULA""))"),"OK")</f>
        <v>OK</v>
      </c>
    </row>
    <row r="5149">
      <c r="A5149" s="83" t="s">
        <v>4899</v>
      </c>
      <c r="B5149" s="83" t="s">
        <v>4900</v>
      </c>
      <c r="C5149" s="81" t="s">
        <v>4621</v>
      </c>
      <c r="D5149" s="83" t="s">
        <v>4773</v>
      </c>
      <c r="E5149" s="81" t="s">
        <v>3704</v>
      </c>
      <c r="F5149" s="81">
        <v>707.0</v>
      </c>
      <c r="G5149" s="81" t="s">
        <v>3</v>
      </c>
      <c r="H5149" s="81" t="s">
        <v>376</v>
      </c>
      <c r="I5149" s="81" t="s">
        <v>344</v>
      </c>
      <c r="J5149" s="81" t="s">
        <v>224</v>
      </c>
      <c r="K5149" s="81" t="str">
        <f>IFERROR(__xludf.DUMMYFUNCTION("IF(OR(D5149="""",G5149=""""),"""",IFERROR(LET(
campo,XLOOKUP(TRIM(G5149),ARRAYFORMULA(TRIM('indice columnas'!$A$2:$A$100)),'indice columnas'!$B$2:$B$100,""""),
col,IFERROR(MATCH(campo,Referencia!$A$1:$AZ$1,0),0),
fila,IFERROR(MATCH(TO_TEXT(D5149),ARRAYFOR"&amp;"MULA(TO_TEXT(Referencia!$A$2:$A6238)),0),0),
IF(OR(campo="""",campo=""-""),""NO APLICA"",
IF(col=0,""REVISAR EQUIVALENCIA"",
IF(fila=0,""SKU NO ENCONTRADO"",
LET(
valor,INDEX(Referencia!$A$2:$AZ6238,fila,col),
IF(TRIM(TO_TEXT(valor))=TRIM(TO_TEXT(I5149)),"&amp;"
""OK"",
""NO COINCIDE. Valor verdadero: ""&amp;IF(valor="""",""[VACÍO]"",TO_TEXT(valor))
)
))))
),""ERROR EN FÓRMULA""))"),"OK")</f>
        <v>OK</v>
      </c>
    </row>
    <row r="5150">
      <c r="A5150" s="83" t="s">
        <v>4899</v>
      </c>
      <c r="B5150" s="83" t="s">
        <v>4900</v>
      </c>
      <c r="C5150" s="81" t="s">
        <v>4621</v>
      </c>
      <c r="D5150" s="83" t="s">
        <v>4774</v>
      </c>
      <c r="E5150" s="81" t="s">
        <v>3707</v>
      </c>
      <c r="F5150" s="81">
        <v>708.0</v>
      </c>
      <c r="G5150" s="81" t="s">
        <v>3</v>
      </c>
      <c r="H5150" s="81" t="s">
        <v>376</v>
      </c>
      <c r="I5150" s="81" t="s">
        <v>344</v>
      </c>
      <c r="J5150" s="81" t="s">
        <v>224</v>
      </c>
      <c r="K5150" s="81" t="str">
        <f>IFERROR(__xludf.DUMMYFUNCTION("IF(OR(D5150="""",G5150=""""),"""",IFERROR(LET(
campo,XLOOKUP(TRIM(G5150),ARRAYFORMULA(TRIM('indice columnas'!$A$2:$A$100)),'indice columnas'!$B$2:$B$100,""""),
col,IFERROR(MATCH(campo,Referencia!$A$1:$AZ$1,0),0),
fila,IFERROR(MATCH(TO_TEXT(D5150),ARRAYFOR"&amp;"MULA(TO_TEXT(Referencia!$A$2:$A6238)),0),0),
IF(OR(campo="""",campo=""-""),""NO APLICA"",
IF(col=0,""REVISAR EQUIVALENCIA"",
IF(fila=0,""SKU NO ENCONTRADO"",
LET(
valor,INDEX(Referencia!$A$2:$AZ6238,fila,col),
IF(TRIM(TO_TEXT(valor))=TRIM(TO_TEXT(I5150)),"&amp;"
""OK"",
""NO COINCIDE. Valor verdadero: ""&amp;IF(valor="""",""[VACÍO]"",TO_TEXT(valor))
)
))))
),""ERROR EN FÓRMULA""))"),"OK")</f>
        <v>OK</v>
      </c>
    </row>
    <row r="5151">
      <c r="A5151" s="83" t="s">
        <v>4899</v>
      </c>
      <c r="B5151" s="83" t="s">
        <v>4900</v>
      </c>
      <c r="C5151" s="81" t="s">
        <v>4621</v>
      </c>
      <c r="D5151" s="83" t="s">
        <v>4775</v>
      </c>
      <c r="E5151" s="81" t="s">
        <v>3710</v>
      </c>
      <c r="F5151" s="81">
        <v>709.0</v>
      </c>
      <c r="G5151" s="81" t="s">
        <v>3</v>
      </c>
      <c r="H5151" s="81" t="s">
        <v>376</v>
      </c>
      <c r="I5151" s="81" t="s">
        <v>344</v>
      </c>
      <c r="J5151" s="81" t="s">
        <v>224</v>
      </c>
      <c r="K5151" s="81" t="str">
        <f>IFERROR(__xludf.DUMMYFUNCTION("IF(OR(D5151="""",G5151=""""),"""",IFERROR(LET(
campo,XLOOKUP(TRIM(G5151),ARRAYFORMULA(TRIM('indice columnas'!$A$2:$A$100)),'indice columnas'!$B$2:$B$100,""""),
col,IFERROR(MATCH(campo,Referencia!$A$1:$AZ$1,0),0),
fila,IFERROR(MATCH(TO_TEXT(D5151),ARRAYFOR"&amp;"MULA(TO_TEXT(Referencia!$A$2:$A6238)),0),0),
IF(OR(campo="""",campo=""-""),""NO APLICA"",
IF(col=0,""REVISAR EQUIVALENCIA"",
IF(fila=0,""SKU NO ENCONTRADO"",
LET(
valor,INDEX(Referencia!$A$2:$AZ6238,fila,col),
IF(TRIM(TO_TEXT(valor))=TRIM(TO_TEXT(I5151)),"&amp;"
""OK"",
""NO COINCIDE. Valor verdadero: ""&amp;IF(valor="""",""[VACÍO]"",TO_TEXT(valor))
)
))))
),""ERROR EN FÓRMULA""))"),"OK")</f>
        <v>OK</v>
      </c>
    </row>
    <row r="5152">
      <c r="A5152" s="83" t="s">
        <v>4899</v>
      </c>
      <c r="B5152" s="83" t="s">
        <v>4900</v>
      </c>
      <c r="C5152" s="81" t="s">
        <v>4621</v>
      </c>
      <c r="D5152" s="83" t="s">
        <v>4777</v>
      </c>
      <c r="E5152" s="81" t="s">
        <v>3730</v>
      </c>
      <c r="F5152" s="81">
        <v>712.0</v>
      </c>
      <c r="G5152" s="81" t="s">
        <v>3</v>
      </c>
      <c r="H5152" s="81" t="s">
        <v>376</v>
      </c>
      <c r="I5152" s="81" t="s">
        <v>344</v>
      </c>
      <c r="J5152" s="81" t="s">
        <v>224</v>
      </c>
      <c r="K5152" s="81" t="str">
        <f>IFERROR(__xludf.DUMMYFUNCTION("IF(OR(D5152="""",G5152=""""),"""",IFERROR(LET(
campo,XLOOKUP(TRIM(G5152),ARRAYFORMULA(TRIM('indice columnas'!$A$2:$A$100)),'indice columnas'!$B$2:$B$100,""""),
col,IFERROR(MATCH(campo,Referencia!$A$1:$AZ$1,0),0),
fila,IFERROR(MATCH(TO_TEXT(D5152),ARRAYFOR"&amp;"MULA(TO_TEXT(Referencia!$A$2:$A6238)),0),0),
IF(OR(campo="""",campo=""-""),""NO APLICA"",
IF(col=0,""REVISAR EQUIVALENCIA"",
IF(fila=0,""SKU NO ENCONTRADO"",
LET(
valor,INDEX(Referencia!$A$2:$AZ6238,fila,col),
IF(TRIM(TO_TEXT(valor))=TRIM(TO_TEXT(I5152)),"&amp;"
""OK"",
""NO COINCIDE. Valor verdadero: ""&amp;IF(valor="""",""[VACÍO]"",TO_TEXT(valor))
)
))))
),""ERROR EN FÓRMULA""))"),"OK")</f>
        <v>OK</v>
      </c>
    </row>
    <row r="5153">
      <c r="A5153" s="83" t="s">
        <v>4899</v>
      </c>
      <c r="B5153" s="83" t="s">
        <v>4900</v>
      </c>
      <c r="C5153" s="81" t="s">
        <v>4621</v>
      </c>
      <c r="D5153" s="83" t="s">
        <v>4778</v>
      </c>
      <c r="E5153" s="81" t="s">
        <v>3731</v>
      </c>
      <c r="F5153" s="81">
        <v>713.0</v>
      </c>
      <c r="G5153" s="81" t="s">
        <v>3</v>
      </c>
      <c r="H5153" s="81" t="s">
        <v>224</v>
      </c>
      <c r="I5153" s="81" t="s">
        <v>344</v>
      </c>
      <c r="J5153" s="81" t="s">
        <v>224</v>
      </c>
      <c r="K5153" s="81" t="str">
        <f>IFERROR(__xludf.DUMMYFUNCTION("IF(OR(D5153="""",G5153=""""),"""",IFERROR(LET(
campo,XLOOKUP(TRIM(G5153),ARRAYFORMULA(TRIM('indice columnas'!$A$2:$A$100)),'indice columnas'!$B$2:$B$100,""""),
col,IFERROR(MATCH(campo,Referencia!$A$1:$AZ$1,0),0),
fila,IFERROR(MATCH(TO_TEXT(D5153),ARRAYFOR"&amp;"MULA(TO_TEXT(Referencia!$A$2:$A6238)),0),0),
IF(OR(campo="""",campo=""-""),""NO APLICA"",
IF(col=0,""REVISAR EQUIVALENCIA"",
IF(fila=0,""SKU NO ENCONTRADO"",
LET(
valor,INDEX(Referencia!$A$2:$AZ6238,fila,col),
IF(TRIM(TO_TEXT(valor))=TRIM(TO_TEXT(I5153)),"&amp;"
""OK"",
""NO COINCIDE. Valor verdadero: ""&amp;IF(valor="""",""[VACÍO]"",TO_TEXT(valor))
)
))))
),""ERROR EN FÓRMULA""))"),"OK")</f>
        <v>OK</v>
      </c>
    </row>
    <row r="5154">
      <c r="A5154" s="83" t="s">
        <v>4899</v>
      </c>
      <c r="B5154" s="83" t="s">
        <v>4900</v>
      </c>
      <c r="C5154" s="81" t="s">
        <v>4621</v>
      </c>
      <c r="D5154" s="83" t="s">
        <v>4778</v>
      </c>
      <c r="E5154" s="81" t="s">
        <v>3731</v>
      </c>
      <c r="F5154" s="81">
        <v>713.0</v>
      </c>
      <c r="G5154" s="81" t="s">
        <v>2</v>
      </c>
      <c r="H5154" s="81" t="s">
        <v>224</v>
      </c>
      <c r="I5154" s="81" t="s">
        <v>213</v>
      </c>
      <c r="J5154" s="81" t="s">
        <v>224</v>
      </c>
      <c r="K5154" s="81" t="str">
        <f>IFERROR(__xludf.DUMMYFUNCTION("IF(OR(D5154="""",G5154=""""),"""",IFERROR(LET(
campo,XLOOKUP(TRIM(G5154),ARRAYFORMULA(TRIM('indice columnas'!$A$2:$A$100)),'indice columnas'!$B$2:$B$100,""""),
col,IFERROR(MATCH(campo,Referencia!$A$1:$AZ$1,0),0),
fila,IFERROR(MATCH(TO_TEXT(D5154),ARRAYFOR"&amp;"MULA(TO_TEXT(Referencia!$A$2:$A6238)),0),0),
IF(OR(campo="""",campo=""-""),""NO APLICA"",
IF(col=0,""REVISAR EQUIVALENCIA"",
IF(fila=0,""SKU NO ENCONTRADO"",
LET(
valor,INDEX(Referencia!$A$2:$AZ6238,fila,col),
IF(TRIM(TO_TEXT(valor))=TRIM(TO_TEXT(I5154)),"&amp;"
""OK"",
""NO COINCIDE. Valor verdadero: ""&amp;IF(valor="""",""[VACÍO]"",TO_TEXT(valor))
)
))))
),""ERROR EN FÓRMULA""))"),"OK")</f>
        <v>OK</v>
      </c>
    </row>
    <row r="5155">
      <c r="A5155" s="83" t="s">
        <v>4899</v>
      </c>
      <c r="B5155" s="83" t="s">
        <v>4900</v>
      </c>
      <c r="C5155" s="81" t="s">
        <v>4621</v>
      </c>
      <c r="D5155" s="83" t="s">
        <v>4778</v>
      </c>
      <c r="E5155" s="81" t="s">
        <v>3731</v>
      </c>
      <c r="F5155" s="81">
        <v>713.0</v>
      </c>
      <c r="G5155" s="81" t="s">
        <v>1</v>
      </c>
      <c r="H5155" s="81" t="s">
        <v>224</v>
      </c>
      <c r="I5155" s="81" t="s">
        <v>49</v>
      </c>
      <c r="J5155" s="81" t="s">
        <v>224</v>
      </c>
      <c r="K5155" s="81" t="str">
        <f>IFERROR(__xludf.DUMMYFUNCTION("IF(OR(D5155="""",G5155=""""),"""",IFERROR(LET(
campo,XLOOKUP(TRIM(G5155),ARRAYFORMULA(TRIM('indice columnas'!$A$2:$A$100)),'indice columnas'!$B$2:$B$100,""""),
col,IFERROR(MATCH(campo,Referencia!$A$1:$AZ$1,0),0),
fila,IFERROR(MATCH(TO_TEXT(D5155),ARRAYFOR"&amp;"MULA(TO_TEXT(Referencia!$A$2:$A6238)),0),0),
IF(OR(campo="""",campo=""-""),""NO APLICA"",
IF(col=0,""REVISAR EQUIVALENCIA"",
IF(fila=0,""SKU NO ENCONTRADO"",
LET(
valor,INDEX(Referencia!$A$2:$AZ6238,fila,col),
IF(TRIM(TO_TEXT(valor))=TRIM(TO_TEXT(I5155)),"&amp;"
""OK"",
""NO COINCIDE. Valor verdadero: ""&amp;IF(valor="""",""[VACÍO]"",TO_TEXT(valor))
)
))))
),""ERROR EN FÓRMULA""))"),"OK")</f>
        <v>OK</v>
      </c>
    </row>
    <row r="5156">
      <c r="A5156" s="83" t="s">
        <v>4899</v>
      </c>
      <c r="B5156" s="83" t="s">
        <v>4900</v>
      </c>
      <c r="C5156" s="81" t="s">
        <v>4621</v>
      </c>
      <c r="D5156" s="83" t="s">
        <v>4779</v>
      </c>
      <c r="E5156" s="81" t="s">
        <v>3746</v>
      </c>
      <c r="F5156" s="81">
        <v>715.0</v>
      </c>
      <c r="G5156" s="81" t="s">
        <v>3</v>
      </c>
      <c r="H5156" s="81" t="s">
        <v>376</v>
      </c>
      <c r="I5156" s="81" t="s">
        <v>344</v>
      </c>
      <c r="J5156" s="81" t="s">
        <v>224</v>
      </c>
      <c r="K5156" s="81" t="str">
        <f>IFERROR(__xludf.DUMMYFUNCTION("IF(OR(D5156="""",G5156=""""),"""",IFERROR(LET(
campo,XLOOKUP(TRIM(G5156),ARRAYFORMULA(TRIM('indice columnas'!$A$2:$A$100)),'indice columnas'!$B$2:$B$100,""""),
col,IFERROR(MATCH(campo,Referencia!$A$1:$AZ$1,0),0),
fila,IFERROR(MATCH(TO_TEXT(D5156),ARRAYFOR"&amp;"MULA(TO_TEXT(Referencia!$A$2:$A6238)),0),0),
IF(OR(campo="""",campo=""-""),""NO APLICA"",
IF(col=0,""REVISAR EQUIVALENCIA"",
IF(fila=0,""SKU NO ENCONTRADO"",
LET(
valor,INDEX(Referencia!$A$2:$AZ6238,fila,col),
IF(TRIM(TO_TEXT(valor))=TRIM(TO_TEXT(I5156)),"&amp;"
""OK"",
""NO COINCIDE. Valor verdadero: ""&amp;IF(valor="""",""[VACÍO]"",TO_TEXT(valor))
)
))))
),""ERROR EN FÓRMULA""))"),"OK")</f>
        <v>OK</v>
      </c>
    </row>
    <row r="5157">
      <c r="A5157" s="83" t="s">
        <v>4899</v>
      </c>
      <c r="B5157" s="83" t="s">
        <v>4900</v>
      </c>
      <c r="C5157" s="81" t="s">
        <v>4621</v>
      </c>
      <c r="D5157" s="83" t="s">
        <v>4780</v>
      </c>
      <c r="E5157" s="81" t="s">
        <v>3747</v>
      </c>
      <c r="F5157" s="81">
        <v>716.0</v>
      </c>
      <c r="G5157" s="81" t="s">
        <v>3</v>
      </c>
      <c r="H5157" s="81" t="s">
        <v>224</v>
      </c>
      <c r="I5157" s="81" t="s">
        <v>344</v>
      </c>
      <c r="J5157" s="81" t="s">
        <v>224</v>
      </c>
      <c r="K5157" s="81" t="str">
        <f>IFERROR(__xludf.DUMMYFUNCTION("IF(OR(D5157="""",G5157=""""),"""",IFERROR(LET(
campo,XLOOKUP(TRIM(G5157),ARRAYFORMULA(TRIM('indice columnas'!$A$2:$A$100)),'indice columnas'!$B$2:$B$100,""""),
col,IFERROR(MATCH(campo,Referencia!$A$1:$AZ$1,0),0),
fila,IFERROR(MATCH(TO_TEXT(D5157),ARRAYFOR"&amp;"MULA(TO_TEXT(Referencia!$A$2:$A6238)),0),0),
IF(OR(campo="""",campo=""-""),""NO APLICA"",
IF(col=0,""REVISAR EQUIVALENCIA"",
IF(fila=0,""SKU NO ENCONTRADO"",
LET(
valor,INDEX(Referencia!$A$2:$AZ6238,fila,col),
IF(TRIM(TO_TEXT(valor))=TRIM(TO_TEXT(I5157)),"&amp;"
""OK"",
""NO COINCIDE. Valor verdadero: ""&amp;IF(valor="""",""[VACÍO]"",TO_TEXT(valor))
)
))))
),""ERROR EN FÓRMULA""))"),"OK")</f>
        <v>OK</v>
      </c>
    </row>
    <row r="5158">
      <c r="A5158" s="83" t="s">
        <v>4899</v>
      </c>
      <c r="B5158" s="83" t="s">
        <v>4900</v>
      </c>
      <c r="C5158" s="81" t="s">
        <v>4621</v>
      </c>
      <c r="D5158" s="83" t="s">
        <v>4780</v>
      </c>
      <c r="E5158" s="81" t="s">
        <v>3747</v>
      </c>
      <c r="F5158" s="81">
        <v>716.0</v>
      </c>
      <c r="G5158" s="81" t="s">
        <v>2</v>
      </c>
      <c r="H5158" s="81" t="s">
        <v>224</v>
      </c>
      <c r="I5158" s="81" t="s">
        <v>213</v>
      </c>
      <c r="J5158" s="81" t="s">
        <v>224</v>
      </c>
      <c r="K5158" s="81" t="str">
        <f>IFERROR(__xludf.DUMMYFUNCTION("IF(OR(D5158="""",G5158=""""),"""",IFERROR(LET(
campo,XLOOKUP(TRIM(G5158),ARRAYFORMULA(TRIM('indice columnas'!$A$2:$A$100)),'indice columnas'!$B$2:$B$100,""""),
col,IFERROR(MATCH(campo,Referencia!$A$1:$AZ$1,0),0),
fila,IFERROR(MATCH(TO_TEXT(D5158),ARRAYFOR"&amp;"MULA(TO_TEXT(Referencia!$A$2:$A6238)),0),0),
IF(OR(campo="""",campo=""-""),""NO APLICA"",
IF(col=0,""REVISAR EQUIVALENCIA"",
IF(fila=0,""SKU NO ENCONTRADO"",
LET(
valor,INDEX(Referencia!$A$2:$AZ6238,fila,col),
IF(TRIM(TO_TEXT(valor))=TRIM(TO_TEXT(I5158)),"&amp;"
""OK"",
""NO COINCIDE. Valor verdadero: ""&amp;IF(valor="""",""[VACÍO]"",TO_TEXT(valor))
)
))))
),""ERROR EN FÓRMULA""))"),"OK")</f>
        <v>OK</v>
      </c>
    </row>
    <row r="5159">
      <c r="A5159" s="83" t="s">
        <v>4899</v>
      </c>
      <c r="B5159" s="83" t="s">
        <v>4900</v>
      </c>
      <c r="C5159" s="81" t="s">
        <v>4621</v>
      </c>
      <c r="D5159" s="83" t="s">
        <v>4780</v>
      </c>
      <c r="E5159" s="81" t="s">
        <v>3747</v>
      </c>
      <c r="F5159" s="81">
        <v>716.0</v>
      </c>
      <c r="G5159" s="81" t="s">
        <v>1</v>
      </c>
      <c r="H5159" s="81" t="s">
        <v>224</v>
      </c>
      <c r="I5159" s="81" t="s">
        <v>49</v>
      </c>
      <c r="J5159" s="81" t="s">
        <v>224</v>
      </c>
      <c r="K5159" s="81" t="str">
        <f>IFERROR(__xludf.DUMMYFUNCTION("IF(OR(D5159="""",G5159=""""),"""",IFERROR(LET(
campo,XLOOKUP(TRIM(G5159),ARRAYFORMULA(TRIM('indice columnas'!$A$2:$A$100)),'indice columnas'!$B$2:$B$100,""""),
col,IFERROR(MATCH(campo,Referencia!$A$1:$AZ$1,0),0),
fila,IFERROR(MATCH(TO_TEXT(D5159),ARRAYFOR"&amp;"MULA(TO_TEXT(Referencia!$A$2:$A6238)),0),0),
IF(OR(campo="""",campo=""-""),""NO APLICA"",
IF(col=0,""REVISAR EQUIVALENCIA"",
IF(fila=0,""SKU NO ENCONTRADO"",
LET(
valor,INDEX(Referencia!$A$2:$AZ6238,fila,col),
IF(TRIM(TO_TEXT(valor))=TRIM(TO_TEXT(I5159)),"&amp;"
""OK"",
""NO COINCIDE. Valor verdadero: ""&amp;IF(valor="""",""[VACÍO]"",TO_TEXT(valor))
)
))))
),""ERROR EN FÓRMULA""))"),"OK")</f>
        <v>OK</v>
      </c>
    </row>
    <row r="5160">
      <c r="A5160" s="83" t="s">
        <v>4899</v>
      </c>
      <c r="B5160" s="83" t="s">
        <v>4900</v>
      </c>
      <c r="C5160" s="81" t="s">
        <v>4621</v>
      </c>
      <c r="D5160" s="83" t="s">
        <v>4781</v>
      </c>
      <c r="E5160" s="81" t="s">
        <v>3761</v>
      </c>
      <c r="F5160" s="81">
        <v>718.0</v>
      </c>
      <c r="G5160" s="81" t="s">
        <v>3</v>
      </c>
      <c r="H5160" s="81" t="s">
        <v>376</v>
      </c>
      <c r="I5160" s="81" t="s">
        <v>344</v>
      </c>
      <c r="J5160" s="81" t="s">
        <v>224</v>
      </c>
      <c r="K5160" s="81" t="str">
        <f>IFERROR(__xludf.DUMMYFUNCTION("IF(OR(D5160="""",G5160=""""),"""",IFERROR(LET(
campo,XLOOKUP(TRIM(G5160),ARRAYFORMULA(TRIM('indice columnas'!$A$2:$A$100)),'indice columnas'!$B$2:$B$100,""""),
col,IFERROR(MATCH(campo,Referencia!$A$1:$AZ$1,0),0),
fila,IFERROR(MATCH(TO_TEXT(D5160),ARRAYFOR"&amp;"MULA(TO_TEXT(Referencia!$A$2:$A6238)),0),0),
IF(OR(campo="""",campo=""-""),""NO APLICA"",
IF(col=0,""REVISAR EQUIVALENCIA"",
IF(fila=0,""SKU NO ENCONTRADO"",
LET(
valor,INDEX(Referencia!$A$2:$AZ6238,fila,col),
IF(TRIM(TO_TEXT(valor))=TRIM(TO_TEXT(I5160)),"&amp;"
""OK"",
""NO COINCIDE. Valor verdadero: ""&amp;IF(valor="""",""[VACÍO]"",TO_TEXT(valor))
)
))))
),""ERROR EN FÓRMULA""))"),"OK")</f>
        <v>OK</v>
      </c>
    </row>
    <row r="5161">
      <c r="A5161" s="83" t="s">
        <v>4899</v>
      </c>
      <c r="B5161" s="83" t="s">
        <v>4900</v>
      </c>
      <c r="C5161" s="81" t="s">
        <v>4621</v>
      </c>
      <c r="D5161" s="83" t="s">
        <v>4782</v>
      </c>
      <c r="E5161" s="81" t="s">
        <v>3762</v>
      </c>
      <c r="F5161" s="81">
        <v>719.0</v>
      </c>
      <c r="G5161" s="81" t="s">
        <v>3</v>
      </c>
      <c r="H5161" s="81" t="s">
        <v>224</v>
      </c>
      <c r="I5161" s="81" t="s">
        <v>344</v>
      </c>
      <c r="J5161" s="81" t="s">
        <v>224</v>
      </c>
      <c r="K5161" s="81" t="str">
        <f>IFERROR(__xludf.DUMMYFUNCTION("IF(OR(D5161="""",G5161=""""),"""",IFERROR(LET(
campo,XLOOKUP(TRIM(G5161),ARRAYFORMULA(TRIM('indice columnas'!$A$2:$A$100)),'indice columnas'!$B$2:$B$100,""""),
col,IFERROR(MATCH(campo,Referencia!$A$1:$AZ$1,0),0),
fila,IFERROR(MATCH(TO_TEXT(D5161),ARRAYFOR"&amp;"MULA(TO_TEXT(Referencia!$A$2:$A6238)),0),0),
IF(OR(campo="""",campo=""-""),""NO APLICA"",
IF(col=0,""REVISAR EQUIVALENCIA"",
IF(fila=0,""SKU NO ENCONTRADO"",
LET(
valor,INDEX(Referencia!$A$2:$AZ6238,fila,col),
IF(TRIM(TO_TEXT(valor))=TRIM(TO_TEXT(I5161)),"&amp;"
""OK"",
""NO COINCIDE. Valor verdadero: ""&amp;IF(valor="""",""[VACÍO]"",TO_TEXT(valor))
)
))))
),""ERROR EN FÓRMULA""))"),"OK")</f>
        <v>OK</v>
      </c>
    </row>
    <row r="5162">
      <c r="A5162" s="83" t="s">
        <v>4899</v>
      </c>
      <c r="B5162" s="83" t="s">
        <v>4900</v>
      </c>
      <c r="C5162" s="81" t="s">
        <v>4621</v>
      </c>
      <c r="D5162" s="83" t="s">
        <v>4782</v>
      </c>
      <c r="E5162" s="81" t="s">
        <v>3762</v>
      </c>
      <c r="F5162" s="81">
        <v>719.0</v>
      </c>
      <c r="G5162" s="81" t="s">
        <v>2</v>
      </c>
      <c r="H5162" s="81" t="s">
        <v>224</v>
      </c>
      <c r="I5162" s="81" t="s">
        <v>213</v>
      </c>
      <c r="J5162" s="81" t="s">
        <v>224</v>
      </c>
      <c r="K5162" s="81" t="str">
        <f>IFERROR(__xludf.DUMMYFUNCTION("IF(OR(D5162="""",G5162=""""),"""",IFERROR(LET(
campo,XLOOKUP(TRIM(G5162),ARRAYFORMULA(TRIM('indice columnas'!$A$2:$A$100)),'indice columnas'!$B$2:$B$100,""""),
col,IFERROR(MATCH(campo,Referencia!$A$1:$AZ$1,0),0),
fila,IFERROR(MATCH(TO_TEXT(D5162),ARRAYFOR"&amp;"MULA(TO_TEXT(Referencia!$A$2:$A6238)),0),0),
IF(OR(campo="""",campo=""-""),""NO APLICA"",
IF(col=0,""REVISAR EQUIVALENCIA"",
IF(fila=0,""SKU NO ENCONTRADO"",
LET(
valor,INDEX(Referencia!$A$2:$AZ6238,fila,col),
IF(TRIM(TO_TEXT(valor))=TRIM(TO_TEXT(I5162)),"&amp;"
""OK"",
""NO COINCIDE. Valor verdadero: ""&amp;IF(valor="""",""[VACÍO]"",TO_TEXT(valor))
)
))))
),""ERROR EN FÓRMULA""))"),"OK")</f>
        <v>OK</v>
      </c>
    </row>
    <row r="5163">
      <c r="A5163" s="83" t="s">
        <v>4899</v>
      </c>
      <c r="B5163" s="83" t="s">
        <v>4900</v>
      </c>
      <c r="C5163" s="81" t="s">
        <v>4621</v>
      </c>
      <c r="D5163" s="83" t="s">
        <v>4782</v>
      </c>
      <c r="E5163" s="81" t="s">
        <v>3762</v>
      </c>
      <c r="F5163" s="81">
        <v>719.0</v>
      </c>
      <c r="G5163" s="81" t="s">
        <v>1</v>
      </c>
      <c r="H5163" s="81" t="s">
        <v>224</v>
      </c>
      <c r="I5163" s="81" t="s">
        <v>49</v>
      </c>
      <c r="J5163" s="81" t="s">
        <v>224</v>
      </c>
      <c r="K5163" s="81" t="str">
        <f>IFERROR(__xludf.DUMMYFUNCTION("IF(OR(D5163="""",G5163=""""),"""",IFERROR(LET(
campo,XLOOKUP(TRIM(G5163),ARRAYFORMULA(TRIM('indice columnas'!$A$2:$A$100)),'indice columnas'!$B$2:$B$100,""""),
col,IFERROR(MATCH(campo,Referencia!$A$1:$AZ$1,0),0),
fila,IFERROR(MATCH(TO_TEXT(D5163),ARRAYFOR"&amp;"MULA(TO_TEXT(Referencia!$A$2:$A6238)),0),0),
IF(OR(campo="""",campo=""-""),""NO APLICA"",
IF(col=0,""REVISAR EQUIVALENCIA"",
IF(fila=0,""SKU NO ENCONTRADO"",
LET(
valor,INDEX(Referencia!$A$2:$AZ6238,fila,col),
IF(TRIM(TO_TEXT(valor))=TRIM(TO_TEXT(I5163)),"&amp;"
""OK"",
""NO COINCIDE. Valor verdadero: ""&amp;IF(valor="""",""[VACÍO]"",TO_TEXT(valor))
)
))))
),""ERROR EN FÓRMULA""))"),"OK")</f>
        <v>OK</v>
      </c>
    </row>
    <row r="5164">
      <c r="A5164" s="83" t="s">
        <v>4899</v>
      </c>
      <c r="B5164" s="83" t="s">
        <v>4900</v>
      </c>
      <c r="C5164" s="81" t="s">
        <v>4621</v>
      </c>
      <c r="D5164" s="83" t="s">
        <v>4783</v>
      </c>
      <c r="E5164" s="81" t="s">
        <v>3777</v>
      </c>
      <c r="F5164" s="81">
        <v>721.0</v>
      </c>
      <c r="G5164" s="81" t="s">
        <v>3</v>
      </c>
      <c r="H5164" s="81" t="s">
        <v>224</v>
      </c>
      <c r="I5164" s="81" t="s">
        <v>214</v>
      </c>
      <c r="J5164" s="81" t="s">
        <v>224</v>
      </c>
      <c r="K5164" s="81" t="str">
        <f>IFERROR(__xludf.DUMMYFUNCTION("IF(OR(D5164="""",G5164=""""),"""",IFERROR(LET(
campo,XLOOKUP(TRIM(G5164),ARRAYFORMULA(TRIM('indice columnas'!$A$2:$A$100)),'indice columnas'!$B$2:$B$100,""""),
col,IFERROR(MATCH(campo,Referencia!$A$1:$AZ$1,0),0),
fila,IFERROR(MATCH(TO_TEXT(D5164),ARRAYFOR"&amp;"MULA(TO_TEXT(Referencia!$A$2:$A6238)),0),0),
IF(OR(campo="""",campo=""-""),""NO APLICA"",
IF(col=0,""REVISAR EQUIVALENCIA"",
IF(fila=0,""SKU NO ENCONTRADO"",
LET(
valor,INDEX(Referencia!$A$2:$AZ6238,fila,col),
IF(TRIM(TO_TEXT(valor))=TRIM(TO_TEXT(I5164)),"&amp;"
""OK"",
""NO COINCIDE. Valor verdadero: ""&amp;IF(valor="""",""[VACÍO]"",TO_TEXT(valor))
)
))))
),""ERROR EN FÓRMULA""))"),"OK")</f>
        <v>OK</v>
      </c>
    </row>
    <row r="5165">
      <c r="A5165" s="83" t="s">
        <v>4899</v>
      </c>
      <c r="B5165" s="83" t="s">
        <v>4900</v>
      </c>
      <c r="C5165" s="81" t="s">
        <v>4621</v>
      </c>
      <c r="D5165" s="83" t="s">
        <v>4783</v>
      </c>
      <c r="E5165" s="81" t="s">
        <v>3777</v>
      </c>
      <c r="F5165" s="81">
        <v>721.0</v>
      </c>
      <c r="G5165" s="81" t="s">
        <v>2</v>
      </c>
      <c r="H5165" s="81" t="s">
        <v>224</v>
      </c>
      <c r="I5165" s="81" t="s">
        <v>213</v>
      </c>
      <c r="J5165" s="81" t="s">
        <v>224</v>
      </c>
      <c r="K5165" s="81" t="str">
        <f>IFERROR(__xludf.DUMMYFUNCTION("IF(OR(D5165="""",G5165=""""),"""",IFERROR(LET(
campo,XLOOKUP(TRIM(G5165),ARRAYFORMULA(TRIM('indice columnas'!$A$2:$A$100)),'indice columnas'!$B$2:$B$100,""""),
col,IFERROR(MATCH(campo,Referencia!$A$1:$AZ$1,0),0),
fila,IFERROR(MATCH(TO_TEXT(D5165),ARRAYFOR"&amp;"MULA(TO_TEXT(Referencia!$A$2:$A6238)),0),0),
IF(OR(campo="""",campo=""-""),""NO APLICA"",
IF(col=0,""REVISAR EQUIVALENCIA"",
IF(fila=0,""SKU NO ENCONTRADO"",
LET(
valor,INDEX(Referencia!$A$2:$AZ6238,fila,col),
IF(TRIM(TO_TEXT(valor))=TRIM(TO_TEXT(I5165)),"&amp;"
""OK"",
""NO COINCIDE. Valor verdadero: ""&amp;IF(valor="""",""[VACÍO]"",TO_TEXT(valor))
)
))))
),""ERROR EN FÓRMULA""))"),"OK")</f>
        <v>OK</v>
      </c>
    </row>
    <row r="5166">
      <c r="A5166" s="83" t="s">
        <v>4899</v>
      </c>
      <c r="B5166" s="83" t="s">
        <v>4900</v>
      </c>
      <c r="C5166" s="81" t="s">
        <v>4621</v>
      </c>
      <c r="D5166" s="83" t="s">
        <v>4785</v>
      </c>
      <c r="E5166" s="81" t="s">
        <v>3778</v>
      </c>
      <c r="F5166" s="81">
        <v>722.0</v>
      </c>
      <c r="G5166" s="81" t="s">
        <v>3</v>
      </c>
      <c r="H5166" s="81" t="s">
        <v>224</v>
      </c>
      <c r="I5166" s="81" t="s">
        <v>214</v>
      </c>
      <c r="J5166" s="81" t="s">
        <v>224</v>
      </c>
      <c r="K5166" s="81" t="str">
        <f>IFERROR(__xludf.DUMMYFUNCTION("IF(OR(D5166="""",G5166=""""),"""",IFERROR(LET(
campo,XLOOKUP(TRIM(G5166),ARRAYFORMULA(TRIM('indice columnas'!$A$2:$A$100)),'indice columnas'!$B$2:$B$100,""""),
col,IFERROR(MATCH(campo,Referencia!$A$1:$AZ$1,0),0),
fila,IFERROR(MATCH(TO_TEXT(D5166),ARRAYFOR"&amp;"MULA(TO_TEXT(Referencia!$A$2:$A6238)),0),0),
IF(OR(campo="""",campo=""-""),""NO APLICA"",
IF(col=0,""REVISAR EQUIVALENCIA"",
IF(fila=0,""SKU NO ENCONTRADO"",
LET(
valor,INDEX(Referencia!$A$2:$AZ6238,fila,col),
IF(TRIM(TO_TEXT(valor))=TRIM(TO_TEXT(I5166)),"&amp;"
""OK"",
""NO COINCIDE. Valor verdadero: ""&amp;IF(valor="""",""[VACÍO]"",TO_TEXT(valor))
)
))))
),""ERROR EN FÓRMULA""))"),"OK")</f>
        <v>OK</v>
      </c>
    </row>
    <row r="5167">
      <c r="A5167" s="83" t="s">
        <v>4899</v>
      </c>
      <c r="B5167" s="83" t="s">
        <v>4900</v>
      </c>
      <c r="C5167" s="81" t="s">
        <v>4621</v>
      </c>
      <c r="D5167" s="83" t="s">
        <v>4785</v>
      </c>
      <c r="E5167" s="81" t="s">
        <v>3778</v>
      </c>
      <c r="F5167" s="81">
        <v>722.0</v>
      </c>
      <c r="G5167" s="81" t="s">
        <v>2</v>
      </c>
      <c r="H5167" s="81" t="s">
        <v>224</v>
      </c>
      <c r="I5167" s="81" t="s">
        <v>213</v>
      </c>
      <c r="J5167" s="81" t="s">
        <v>224</v>
      </c>
      <c r="K5167" s="81" t="str">
        <f>IFERROR(__xludf.DUMMYFUNCTION("IF(OR(D5167="""",G5167=""""),"""",IFERROR(LET(
campo,XLOOKUP(TRIM(G5167),ARRAYFORMULA(TRIM('indice columnas'!$A$2:$A$100)),'indice columnas'!$B$2:$B$100,""""),
col,IFERROR(MATCH(campo,Referencia!$A$1:$AZ$1,0),0),
fila,IFERROR(MATCH(TO_TEXT(D5167),ARRAYFOR"&amp;"MULA(TO_TEXT(Referencia!$A$2:$A6238)),0),0),
IF(OR(campo="""",campo=""-""),""NO APLICA"",
IF(col=0,""REVISAR EQUIVALENCIA"",
IF(fila=0,""SKU NO ENCONTRADO"",
LET(
valor,INDEX(Referencia!$A$2:$AZ6238,fila,col),
IF(TRIM(TO_TEXT(valor))=TRIM(TO_TEXT(I5167)),"&amp;"
""OK"",
""NO COINCIDE. Valor verdadero: ""&amp;IF(valor="""",""[VACÍO]"",TO_TEXT(valor))
)
))))
),""ERROR EN FÓRMULA""))"),"OK")</f>
        <v>OK</v>
      </c>
    </row>
    <row r="5168">
      <c r="A5168" s="83" t="s">
        <v>4899</v>
      </c>
      <c r="B5168" s="83" t="s">
        <v>4900</v>
      </c>
      <c r="C5168" s="81" t="s">
        <v>4621</v>
      </c>
      <c r="D5168" s="83" t="s">
        <v>4786</v>
      </c>
      <c r="E5168" s="81" t="s">
        <v>3781</v>
      </c>
      <c r="F5168" s="81">
        <v>723.0</v>
      </c>
      <c r="G5168" s="81" t="s">
        <v>3</v>
      </c>
      <c r="H5168" s="81" t="s">
        <v>224</v>
      </c>
      <c r="I5168" s="81" t="s">
        <v>214</v>
      </c>
      <c r="J5168" s="81" t="s">
        <v>224</v>
      </c>
      <c r="K5168" s="81" t="str">
        <f>IFERROR(__xludf.DUMMYFUNCTION("IF(OR(D5168="""",G5168=""""),"""",IFERROR(LET(
campo,XLOOKUP(TRIM(G5168),ARRAYFORMULA(TRIM('indice columnas'!$A$2:$A$100)),'indice columnas'!$B$2:$B$100,""""),
col,IFERROR(MATCH(campo,Referencia!$A$1:$AZ$1,0),0),
fila,IFERROR(MATCH(TO_TEXT(D5168),ARRAYFOR"&amp;"MULA(TO_TEXT(Referencia!$A$2:$A6238)),0),0),
IF(OR(campo="""",campo=""-""),""NO APLICA"",
IF(col=0,""REVISAR EQUIVALENCIA"",
IF(fila=0,""SKU NO ENCONTRADO"",
LET(
valor,INDEX(Referencia!$A$2:$AZ6238,fila,col),
IF(TRIM(TO_TEXT(valor))=TRIM(TO_TEXT(I5168)),"&amp;"
""OK"",
""NO COINCIDE. Valor verdadero: ""&amp;IF(valor="""",""[VACÍO]"",TO_TEXT(valor))
)
))))
),""ERROR EN FÓRMULA""))"),"OK")</f>
        <v>OK</v>
      </c>
    </row>
    <row r="5169">
      <c r="A5169" s="83" t="s">
        <v>4899</v>
      </c>
      <c r="B5169" s="83" t="s">
        <v>4900</v>
      </c>
      <c r="C5169" s="81" t="s">
        <v>4621</v>
      </c>
      <c r="D5169" s="83" t="s">
        <v>4786</v>
      </c>
      <c r="E5169" s="81" t="s">
        <v>3781</v>
      </c>
      <c r="F5169" s="81">
        <v>723.0</v>
      </c>
      <c r="G5169" s="81" t="s">
        <v>2</v>
      </c>
      <c r="H5169" s="81" t="s">
        <v>224</v>
      </c>
      <c r="I5169" s="81" t="s">
        <v>213</v>
      </c>
      <c r="J5169" s="81" t="s">
        <v>224</v>
      </c>
      <c r="K5169" s="81" t="str">
        <f>IFERROR(__xludf.DUMMYFUNCTION("IF(OR(D5169="""",G5169=""""),"""",IFERROR(LET(
campo,XLOOKUP(TRIM(G5169),ARRAYFORMULA(TRIM('indice columnas'!$A$2:$A$100)),'indice columnas'!$B$2:$B$100,""""),
col,IFERROR(MATCH(campo,Referencia!$A$1:$AZ$1,0),0),
fila,IFERROR(MATCH(TO_TEXT(D5169),ARRAYFOR"&amp;"MULA(TO_TEXT(Referencia!$A$2:$A6238)),0),0),
IF(OR(campo="""",campo=""-""),""NO APLICA"",
IF(col=0,""REVISAR EQUIVALENCIA"",
IF(fila=0,""SKU NO ENCONTRADO"",
LET(
valor,INDEX(Referencia!$A$2:$AZ6238,fila,col),
IF(TRIM(TO_TEXT(valor))=TRIM(TO_TEXT(I5169)),"&amp;"
""OK"",
""NO COINCIDE. Valor verdadero: ""&amp;IF(valor="""",""[VACÍO]"",TO_TEXT(valor))
)
))))
),""ERROR EN FÓRMULA""))"),"OK")</f>
        <v>OK</v>
      </c>
    </row>
    <row r="5170">
      <c r="A5170" s="83" t="s">
        <v>4899</v>
      </c>
      <c r="B5170" s="83" t="s">
        <v>4900</v>
      </c>
      <c r="C5170" s="81" t="s">
        <v>4621</v>
      </c>
      <c r="D5170" s="83" t="s">
        <v>4787</v>
      </c>
      <c r="E5170" s="81" t="s">
        <v>3791</v>
      </c>
      <c r="F5170" s="81">
        <v>724.0</v>
      </c>
      <c r="G5170" s="81" t="s">
        <v>3</v>
      </c>
      <c r="H5170" s="81" t="s">
        <v>224</v>
      </c>
      <c r="I5170" s="81" t="s">
        <v>214</v>
      </c>
      <c r="J5170" s="81" t="s">
        <v>224</v>
      </c>
      <c r="K5170" s="81" t="str">
        <f>IFERROR(__xludf.DUMMYFUNCTION("IF(OR(D5170="""",G5170=""""),"""",IFERROR(LET(
campo,XLOOKUP(TRIM(G5170),ARRAYFORMULA(TRIM('indice columnas'!$A$2:$A$100)),'indice columnas'!$B$2:$B$100,""""),
col,IFERROR(MATCH(campo,Referencia!$A$1:$AZ$1,0),0),
fila,IFERROR(MATCH(TO_TEXT(D5170),ARRAYFOR"&amp;"MULA(TO_TEXT(Referencia!$A$2:$A6238)),0),0),
IF(OR(campo="""",campo=""-""),""NO APLICA"",
IF(col=0,""REVISAR EQUIVALENCIA"",
IF(fila=0,""SKU NO ENCONTRADO"",
LET(
valor,INDEX(Referencia!$A$2:$AZ6238,fila,col),
IF(TRIM(TO_TEXT(valor))=TRIM(TO_TEXT(I5170)),"&amp;"
""OK"",
""NO COINCIDE. Valor verdadero: ""&amp;IF(valor="""",""[VACÍO]"",TO_TEXT(valor))
)
))))
),""ERROR EN FÓRMULA""))"),"OK")</f>
        <v>OK</v>
      </c>
    </row>
    <row r="5171">
      <c r="A5171" s="83" t="s">
        <v>4899</v>
      </c>
      <c r="B5171" s="83" t="s">
        <v>4900</v>
      </c>
      <c r="C5171" s="81" t="s">
        <v>4621</v>
      </c>
      <c r="D5171" s="83" t="s">
        <v>4787</v>
      </c>
      <c r="E5171" s="81" t="s">
        <v>3791</v>
      </c>
      <c r="F5171" s="81">
        <v>724.0</v>
      </c>
      <c r="G5171" s="81" t="s">
        <v>2</v>
      </c>
      <c r="H5171" s="81" t="s">
        <v>224</v>
      </c>
      <c r="I5171" s="81" t="s">
        <v>213</v>
      </c>
      <c r="J5171" s="81" t="s">
        <v>224</v>
      </c>
      <c r="K5171" s="81" t="str">
        <f>IFERROR(__xludf.DUMMYFUNCTION("IF(OR(D5171="""",G5171=""""),"""",IFERROR(LET(
campo,XLOOKUP(TRIM(G5171),ARRAYFORMULA(TRIM('indice columnas'!$A$2:$A$100)),'indice columnas'!$B$2:$B$100,""""),
col,IFERROR(MATCH(campo,Referencia!$A$1:$AZ$1,0),0),
fila,IFERROR(MATCH(TO_TEXT(D5171),ARRAYFOR"&amp;"MULA(TO_TEXT(Referencia!$A$2:$A6238)),0),0),
IF(OR(campo="""",campo=""-""),""NO APLICA"",
IF(col=0,""REVISAR EQUIVALENCIA"",
IF(fila=0,""SKU NO ENCONTRADO"",
LET(
valor,INDEX(Referencia!$A$2:$AZ6238,fila,col),
IF(TRIM(TO_TEXT(valor))=TRIM(TO_TEXT(I5171)),"&amp;"
""OK"",
""NO COINCIDE. Valor verdadero: ""&amp;IF(valor="""",""[VACÍO]"",TO_TEXT(valor))
)
))))
),""ERROR EN FÓRMULA""))"),"OK")</f>
        <v>OK</v>
      </c>
    </row>
    <row r="5172">
      <c r="A5172" s="83" t="s">
        <v>4899</v>
      </c>
      <c r="B5172" s="83" t="s">
        <v>4900</v>
      </c>
      <c r="C5172" s="81" t="s">
        <v>4621</v>
      </c>
      <c r="D5172" s="83" t="s">
        <v>4788</v>
      </c>
      <c r="E5172" s="81" t="s">
        <v>3794</v>
      </c>
      <c r="F5172" s="81">
        <v>725.0</v>
      </c>
      <c r="G5172" s="81" t="s">
        <v>3</v>
      </c>
      <c r="H5172" s="81" t="s">
        <v>376</v>
      </c>
      <c r="I5172" s="81" t="s">
        <v>344</v>
      </c>
      <c r="J5172" s="81" t="s">
        <v>224</v>
      </c>
      <c r="K5172" s="81" t="str">
        <f>IFERROR(__xludf.DUMMYFUNCTION("IF(OR(D5172="""",G5172=""""),"""",IFERROR(LET(
campo,XLOOKUP(TRIM(G5172),ARRAYFORMULA(TRIM('indice columnas'!$A$2:$A$100)),'indice columnas'!$B$2:$B$100,""""),
col,IFERROR(MATCH(campo,Referencia!$A$1:$AZ$1,0),0),
fila,IFERROR(MATCH(TO_TEXT(D5172),ARRAYFOR"&amp;"MULA(TO_TEXT(Referencia!$A$2:$A6238)),0),0),
IF(OR(campo="""",campo=""-""),""NO APLICA"",
IF(col=0,""REVISAR EQUIVALENCIA"",
IF(fila=0,""SKU NO ENCONTRADO"",
LET(
valor,INDEX(Referencia!$A$2:$AZ6238,fila,col),
IF(TRIM(TO_TEXT(valor))=TRIM(TO_TEXT(I5172)),"&amp;"
""OK"",
""NO COINCIDE. Valor verdadero: ""&amp;IF(valor="""",""[VACÍO]"",TO_TEXT(valor))
)
))))
),""ERROR EN FÓRMULA""))"),"OK")</f>
        <v>OK</v>
      </c>
    </row>
    <row r="5173">
      <c r="A5173" s="83" t="s">
        <v>4899</v>
      </c>
      <c r="B5173" s="83" t="s">
        <v>4900</v>
      </c>
      <c r="C5173" s="81" t="s">
        <v>4621</v>
      </c>
      <c r="D5173" s="83" t="s">
        <v>4790</v>
      </c>
      <c r="E5173" s="81" t="s">
        <v>3803</v>
      </c>
      <c r="F5173" s="81">
        <v>726.0</v>
      </c>
      <c r="G5173" s="81" t="s">
        <v>3</v>
      </c>
      <c r="H5173" s="81" t="s">
        <v>224</v>
      </c>
      <c r="I5173" s="81" t="s">
        <v>51</v>
      </c>
      <c r="J5173" s="81" t="s">
        <v>224</v>
      </c>
      <c r="K5173" s="81" t="str">
        <f>IFERROR(__xludf.DUMMYFUNCTION("IF(OR(D5173="""",G5173=""""),"""",IFERROR(LET(
campo,XLOOKUP(TRIM(G5173),ARRAYFORMULA(TRIM('indice columnas'!$A$2:$A$100)),'indice columnas'!$B$2:$B$100,""""),
col,IFERROR(MATCH(campo,Referencia!$A$1:$AZ$1,0),0),
fila,IFERROR(MATCH(TO_TEXT(D5173),ARRAYFOR"&amp;"MULA(TO_TEXT(Referencia!$A$2:$A6238)),0),0),
IF(OR(campo="""",campo=""-""),""NO APLICA"",
IF(col=0,""REVISAR EQUIVALENCIA"",
IF(fila=0,""SKU NO ENCONTRADO"",
LET(
valor,INDEX(Referencia!$A$2:$AZ6238,fila,col),
IF(TRIM(TO_TEXT(valor))=TRIM(TO_TEXT(I5173)),"&amp;"
""OK"",
""NO COINCIDE. Valor verdadero: ""&amp;IF(valor="""",""[VACÍO]"",TO_TEXT(valor))
)
))))
),""ERROR EN FÓRMULA""))"),"OK")</f>
        <v>OK</v>
      </c>
    </row>
    <row r="5174">
      <c r="A5174" s="83" t="s">
        <v>4899</v>
      </c>
      <c r="B5174" s="83" t="s">
        <v>4900</v>
      </c>
      <c r="C5174" s="81" t="s">
        <v>4621</v>
      </c>
      <c r="D5174" s="83" t="s">
        <v>4790</v>
      </c>
      <c r="E5174" s="81" t="s">
        <v>3803</v>
      </c>
      <c r="F5174" s="81">
        <v>726.0</v>
      </c>
      <c r="G5174" s="81" t="s">
        <v>2</v>
      </c>
      <c r="H5174" s="81" t="s">
        <v>224</v>
      </c>
      <c r="I5174" s="81" t="s">
        <v>213</v>
      </c>
      <c r="J5174" s="81" t="s">
        <v>224</v>
      </c>
      <c r="K5174" s="81" t="str">
        <f>IFERROR(__xludf.DUMMYFUNCTION("IF(OR(D5174="""",G5174=""""),"""",IFERROR(LET(
campo,XLOOKUP(TRIM(G5174),ARRAYFORMULA(TRIM('indice columnas'!$A$2:$A$100)),'indice columnas'!$B$2:$B$100,""""),
col,IFERROR(MATCH(campo,Referencia!$A$1:$AZ$1,0),0),
fila,IFERROR(MATCH(TO_TEXT(D5174),ARRAYFOR"&amp;"MULA(TO_TEXT(Referencia!$A$2:$A6238)),0),0),
IF(OR(campo="""",campo=""-""),""NO APLICA"",
IF(col=0,""REVISAR EQUIVALENCIA"",
IF(fila=0,""SKU NO ENCONTRADO"",
LET(
valor,INDEX(Referencia!$A$2:$AZ6238,fila,col),
IF(TRIM(TO_TEXT(valor))=TRIM(TO_TEXT(I5174)),"&amp;"
""OK"",
""NO COINCIDE. Valor verdadero: ""&amp;IF(valor="""",""[VACÍO]"",TO_TEXT(valor))
)
))))
),""ERROR EN FÓRMULA""))"),"OK")</f>
        <v>OK</v>
      </c>
    </row>
    <row r="5175">
      <c r="A5175" s="83" t="s">
        <v>4899</v>
      </c>
      <c r="B5175" s="83" t="s">
        <v>4900</v>
      </c>
      <c r="C5175" s="81" t="s">
        <v>4621</v>
      </c>
      <c r="D5175" s="83" t="s">
        <v>4790</v>
      </c>
      <c r="E5175" s="81" t="s">
        <v>3803</v>
      </c>
      <c r="F5175" s="81">
        <v>726.0</v>
      </c>
      <c r="G5175" s="81" t="s">
        <v>1</v>
      </c>
      <c r="H5175" s="81" t="s">
        <v>224</v>
      </c>
      <c r="I5175" s="81" t="s">
        <v>49</v>
      </c>
      <c r="J5175" s="81" t="s">
        <v>224</v>
      </c>
      <c r="K5175" s="81" t="str">
        <f>IFERROR(__xludf.DUMMYFUNCTION("IF(OR(D5175="""",G5175=""""),"""",IFERROR(LET(
campo,XLOOKUP(TRIM(G5175),ARRAYFORMULA(TRIM('indice columnas'!$A$2:$A$100)),'indice columnas'!$B$2:$B$100,""""),
col,IFERROR(MATCH(campo,Referencia!$A$1:$AZ$1,0),0),
fila,IFERROR(MATCH(TO_TEXT(D5175),ARRAYFOR"&amp;"MULA(TO_TEXT(Referencia!$A$2:$A6238)),0),0),
IF(OR(campo="""",campo=""-""),""NO APLICA"",
IF(col=0,""REVISAR EQUIVALENCIA"",
IF(fila=0,""SKU NO ENCONTRADO"",
LET(
valor,INDEX(Referencia!$A$2:$AZ6238,fila,col),
IF(TRIM(TO_TEXT(valor))=TRIM(TO_TEXT(I5175)),"&amp;"
""OK"",
""NO COINCIDE. Valor verdadero: ""&amp;IF(valor="""",""[VACÍO]"",TO_TEXT(valor))
)
))))
),""ERROR EN FÓRMULA""))"),"OK")</f>
        <v>OK</v>
      </c>
    </row>
    <row r="5176">
      <c r="A5176" s="83" t="s">
        <v>4899</v>
      </c>
      <c r="B5176" s="83" t="s">
        <v>4900</v>
      </c>
      <c r="C5176" s="81" t="s">
        <v>4621</v>
      </c>
      <c r="D5176" s="83" t="s">
        <v>4791</v>
      </c>
      <c r="E5176" s="81" t="s">
        <v>3812</v>
      </c>
      <c r="F5176" s="81">
        <v>727.0</v>
      </c>
      <c r="G5176" s="81" t="s">
        <v>3</v>
      </c>
      <c r="H5176" s="81" t="s">
        <v>224</v>
      </c>
      <c r="I5176" s="81" t="s">
        <v>51</v>
      </c>
      <c r="J5176" s="81" t="s">
        <v>224</v>
      </c>
      <c r="K5176" s="81" t="str">
        <f>IFERROR(__xludf.DUMMYFUNCTION("IF(OR(D5176="""",G5176=""""),"""",IFERROR(LET(
campo,XLOOKUP(TRIM(G5176),ARRAYFORMULA(TRIM('indice columnas'!$A$2:$A$100)),'indice columnas'!$B$2:$B$100,""""),
col,IFERROR(MATCH(campo,Referencia!$A$1:$AZ$1,0),0),
fila,IFERROR(MATCH(TO_TEXT(D5176),ARRAYFOR"&amp;"MULA(TO_TEXT(Referencia!$A$2:$A6238)),0),0),
IF(OR(campo="""",campo=""-""),""NO APLICA"",
IF(col=0,""REVISAR EQUIVALENCIA"",
IF(fila=0,""SKU NO ENCONTRADO"",
LET(
valor,INDEX(Referencia!$A$2:$AZ6238,fila,col),
IF(TRIM(TO_TEXT(valor))=TRIM(TO_TEXT(I5176)),"&amp;"
""OK"",
""NO COINCIDE. Valor verdadero: ""&amp;IF(valor="""",""[VACÍO]"",TO_TEXT(valor))
)
))))
),""ERROR EN FÓRMULA""))"),"OK")</f>
        <v>OK</v>
      </c>
    </row>
    <row r="5177">
      <c r="A5177" s="83" t="s">
        <v>4899</v>
      </c>
      <c r="B5177" s="83" t="s">
        <v>4900</v>
      </c>
      <c r="C5177" s="81" t="s">
        <v>4621</v>
      </c>
      <c r="D5177" s="83" t="s">
        <v>4791</v>
      </c>
      <c r="E5177" s="81" t="s">
        <v>3812</v>
      </c>
      <c r="F5177" s="81">
        <v>727.0</v>
      </c>
      <c r="G5177" s="81" t="s">
        <v>2</v>
      </c>
      <c r="H5177" s="81" t="s">
        <v>224</v>
      </c>
      <c r="I5177" s="81" t="s">
        <v>213</v>
      </c>
      <c r="J5177" s="81" t="s">
        <v>224</v>
      </c>
      <c r="K5177" s="81" t="str">
        <f>IFERROR(__xludf.DUMMYFUNCTION("IF(OR(D5177="""",G5177=""""),"""",IFERROR(LET(
campo,XLOOKUP(TRIM(G5177),ARRAYFORMULA(TRIM('indice columnas'!$A$2:$A$100)),'indice columnas'!$B$2:$B$100,""""),
col,IFERROR(MATCH(campo,Referencia!$A$1:$AZ$1,0),0),
fila,IFERROR(MATCH(TO_TEXT(D5177),ARRAYFOR"&amp;"MULA(TO_TEXT(Referencia!$A$2:$A6238)),0),0),
IF(OR(campo="""",campo=""-""),""NO APLICA"",
IF(col=0,""REVISAR EQUIVALENCIA"",
IF(fila=0,""SKU NO ENCONTRADO"",
LET(
valor,INDEX(Referencia!$A$2:$AZ6238,fila,col),
IF(TRIM(TO_TEXT(valor))=TRIM(TO_TEXT(I5177)),"&amp;"
""OK"",
""NO COINCIDE. Valor verdadero: ""&amp;IF(valor="""",""[VACÍO]"",TO_TEXT(valor))
)
))))
),""ERROR EN FÓRMULA""))"),"OK")</f>
        <v>OK</v>
      </c>
    </row>
    <row r="5178">
      <c r="A5178" s="83" t="s">
        <v>4899</v>
      </c>
      <c r="B5178" s="83" t="s">
        <v>4900</v>
      </c>
      <c r="C5178" s="81" t="s">
        <v>4621</v>
      </c>
      <c r="D5178" s="83" t="s">
        <v>4791</v>
      </c>
      <c r="E5178" s="81" t="s">
        <v>3812</v>
      </c>
      <c r="F5178" s="81">
        <v>727.0</v>
      </c>
      <c r="G5178" s="81" t="s">
        <v>1</v>
      </c>
      <c r="H5178" s="81" t="s">
        <v>224</v>
      </c>
      <c r="I5178" s="81" t="s">
        <v>49</v>
      </c>
      <c r="J5178" s="81" t="s">
        <v>224</v>
      </c>
      <c r="K5178" s="81" t="str">
        <f>IFERROR(__xludf.DUMMYFUNCTION("IF(OR(D5178="""",G5178=""""),"""",IFERROR(LET(
campo,XLOOKUP(TRIM(G5178),ARRAYFORMULA(TRIM('indice columnas'!$A$2:$A$100)),'indice columnas'!$B$2:$B$100,""""),
col,IFERROR(MATCH(campo,Referencia!$A$1:$AZ$1,0),0),
fila,IFERROR(MATCH(TO_TEXT(D5178),ARRAYFOR"&amp;"MULA(TO_TEXT(Referencia!$A$2:$A6238)),0),0),
IF(OR(campo="""",campo=""-""),""NO APLICA"",
IF(col=0,""REVISAR EQUIVALENCIA"",
IF(fila=0,""SKU NO ENCONTRADO"",
LET(
valor,INDEX(Referencia!$A$2:$AZ6238,fila,col),
IF(TRIM(TO_TEXT(valor))=TRIM(TO_TEXT(I5178)),"&amp;"
""OK"",
""NO COINCIDE. Valor verdadero: ""&amp;IF(valor="""",""[VACÍO]"",TO_TEXT(valor))
)
))))
),""ERROR EN FÓRMULA""))"),"OK")</f>
        <v>OK</v>
      </c>
    </row>
    <row r="5179">
      <c r="A5179" s="83" t="s">
        <v>4899</v>
      </c>
      <c r="B5179" s="83" t="s">
        <v>4900</v>
      </c>
      <c r="C5179" s="81" t="s">
        <v>4621</v>
      </c>
      <c r="D5179" s="83" t="s">
        <v>4792</v>
      </c>
      <c r="E5179" s="81" t="s">
        <v>3815</v>
      </c>
      <c r="F5179" s="81">
        <v>728.0</v>
      </c>
      <c r="G5179" s="81" t="s">
        <v>3</v>
      </c>
      <c r="H5179" s="81" t="s">
        <v>224</v>
      </c>
      <c r="I5179" s="81" t="s">
        <v>51</v>
      </c>
      <c r="J5179" s="81" t="s">
        <v>224</v>
      </c>
      <c r="K5179" s="81" t="str">
        <f>IFERROR(__xludf.DUMMYFUNCTION("IF(OR(D5179="""",G5179=""""),"""",IFERROR(LET(
campo,XLOOKUP(TRIM(G5179),ARRAYFORMULA(TRIM('indice columnas'!$A$2:$A$100)),'indice columnas'!$B$2:$B$100,""""),
col,IFERROR(MATCH(campo,Referencia!$A$1:$AZ$1,0),0),
fila,IFERROR(MATCH(TO_TEXT(D5179),ARRAYFOR"&amp;"MULA(TO_TEXT(Referencia!$A$2:$A6238)),0),0),
IF(OR(campo="""",campo=""-""),""NO APLICA"",
IF(col=0,""REVISAR EQUIVALENCIA"",
IF(fila=0,""SKU NO ENCONTRADO"",
LET(
valor,INDEX(Referencia!$A$2:$AZ6238,fila,col),
IF(TRIM(TO_TEXT(valor))=TRIM(TO_TEXT(I5179)),"&amp;"
""OK"",
""NO COINCIDE. Valor verdadero: ""&amp;IF(valor="""",""[VACÍO]"",TO_TEXT(valor))
)
))))
),""ERROR EN FÓRMULA""))"),"OK")</f>
        <v>OK</v>
      </c>
    </row>
    <row r="5180">
      <c r="A5180" s="83" t="s">
        <v>4899</v>
      </c>
      <c r="B5180" s="83" t="s">
        <v>4900</v>
      </c>
      <c r="C5180" s="81" t="s">
        <v>4621</v>
      </c>
      <c r="D5180" s="83" t="s">
        <v>4792</v>
      </c>
      <c r="E5180" s="81" t="s">
        <v>3815</v>
      </c>
      <c r="F5180" s="81">
        <v>728.0</v>
      </c>
      <c r="G5180" s="81" t="s">
        <v>2</v>
      </c>
      <c r="H5180" s="81" t="s">
        <v>224</v>
      </c>
      <c r="I5180" s="81" t="s">
        <v>213</v>
      </c>
      <c r="J5180" s="81" t="s">
        <v>224</v>
      </c>
      <c r="K5180" s="81" t="str">
        <f>IFERROR(__xludf.DUMMYFUNCTION("IF(OR(D5180="""",G5180=""""),"""",IFERROR(LET(
campo,XLOOKUP(TRIM(G5180),ARRAYFORMULA(TRIM('indice columnas'!$A$2:$A$100)),'indice columnas'!$B$2:$B$100,""""),
col,IFERROR(MATCH(campo,Referencia!$A$1:$AZ$1,0),0),
fila,IFERROR(MATCH(TO_TEXT(D5180),ARRAYFOR"&amp;"MULA(TO_TEXT(Referencia!$A$2:$A6238)),0),0),
IF(OR(campo="""",campo=""-""),""NO APLICA"",
IF(col=0,""REVISAR EQUIVALENCIA"",
IF(fila=0,""SKU NO ENCONTRADO"",
LET(
valor,INDEX(Referencia!$A$2:$AZ6238,fila,col),
IF(TRIM(TO_TEXT(valor))=TRIM(TO_TEXT(I5180)),"&amp;"
""OK"",
""NO COINCIDE. Valor verdadero: ""&amp;IF(valor="""",""[VACÍO]"",TO_TEXT(valor))
)
))))
),""ERROR EN FÓRMULA""))"),"OK")</f>
        <v>OK</v>
      </c>
    </row>
    <row r="5181">
      <c r="A5181" s="83" t="s">
        <v>4899</v>
      </c>
      <c r="B5181" s="83" t="s">
        <v>4900</v>
      </c>
      <c r="C5181" s="81" t="s">
        <v>4621</v>
      </c>
      <c r="D5181" s="83" t="s">
        <v>4792</v>
      </c>
      <c r="E5181" s="81" t="s">
        <v>3815</v>
      </c>
      <c r="F5181" s="81">
        <v>728.0</v>
      </c>
      <c r="G5181" s="81" t="s">
        <v>1</v>
      </c>
      <c r="H5181" s="81" t="s">
        <v>224</v>
      </c>
      <c r="I5181" s="81" t="s">
        <v>49</v>
      </c>
      <c r="J5181" s="81" t="s">
        <v>224</v>
      </c>
      <c r="K5181" s="81" t="str">
        <f>IFERROR(__xludf.DUMMYFUNCTION("IF(OR(D5181="""",G5181=""""),"""",IFERROR(LET(
campo,XLOOKUP(TRIM(G5181),ARRAYFORMULA(TRIM('indice columnas'!$A$2:$A$100)),'indice columnas'!$B$2:$B$100,""""),
col,IFERROR(MATCH(campo,Referencia!$A$1:$AZ$1,0),0),
fila,IFERROR(MATCH(TO_TEXT(D5181),ARRAYFOR"&amp;"MULA(TO_TEXT(Referencia!$A$2:$A6238)),0),0),
IF(OR(campo="""",campo=""-""),""NO APLICA"",
IF(col=0,""REVISAR EQUIVALENCIA"",
IF(fila=0,""SKU NO ENCONTRADO"",
LET(
valor,INDEX(Referencia!$A$2:$AZ6238,fila,col),
IF(TRIM(TO_TEXT(valor))=TRIM(TO_TEXT(I5181)),"&amp;"
""OK"",
""NO COINCIDE. Valor verdadero: ""&amp;IF(valor="""",""[VACÍO]"",TO_TEXT(valor))
)
))))
),""ERROR EN FÓRMULA""))"),"OK")</f>
        <v>OK</v>
      </c>
    </row>
    <row r="5182">
      <c r="A5182" s="83" t="s">
        <v>4899</v>
      </c>
      <c r="B5182" s="83" t="s">
        <v>4900</v>
      </c>
      <c r="C5182" s="81" t="s">
        <v>4621</v>
      </c>
      <c r="D5182" s="83" t="s">
        <v>4793</v>
      </c>
      <c r="E5182" s="81" t="s">
        <v>3821</v>
      </c>
      <c r="F5182" s="81">
        <v>729.0</v>
      </c>
      <c r="G5182" s="81" t="s">
        <v>3</v>
      </c>
      <c r="H5182" s="81" t="s">
        <v>224</v>
      </c>
      <c r="I5182" s="81" t="s">
        <v>51</v>
      </c>
      <c r="J5182" s="81" t="s">
        <v>224</v>
      </c>
      <c r="K5182" s="81" t="str">
        <f>IFERROR(__xludf.DUMMYFUNCTION("IF(OR(D5182="""",G5182=""""),"""",IFERROR(LET(
campo,XLOOKUP(TRIM(G5182),ARRAYFORMULA(TRIM('indice columnas'!$A$2:$A$100)),'indice columnas'!$B$2:$B$100,""""),
col,IFERROR(MATCH(campo,Referencia!$A$1:$AZ$1,0),0),
fila,IFERROR(MATCH(TO_TEXT(D5182),ARRAYFOR"&amp;"MULA(TO_TEXT(Referencia!$A$2:$A6238)),0),0),
IF(OR(campo="""",campo=""-""),""NO APLICA"",
IF(col=0,""REVISAR EQUIVALENCIA"",
IF(fila=0,""SKU NO ENCONTRADO"",
LET(
valor,INDEX(Referencia!$A$2:$AZ6238,fila,col),
IF(TRIM(TO_TEXT(valor))=TRIM(TO_TEXT(I5182)),"&amp;"
""OK"",
""NO COINCIDE. Valor verdadero: ""&amp;IF(valor="""",""[VACÍO]"",TO_TEXT(valor))
)
))))
),""ERROR EN FÓRMULA""))"),"OK")</f>
        <v>OK</v>
      </c>
    </row>
    <row r="5183">
      <c r="A5183" s="83" t="s">
        <v>4899</v>
      </c>
      <c r="B5183" s="83" t="s">
        <v>4900</v>
      </c>
      <c r="C5183" s="81" t="s">
        <v>4621</v>
      </c>
      <c r="D5183" s="83" t="s">
        <v>4793</v>
      </c>
      <c r="E5183" s="81" t="s">
        <v>3821</v>
      </c>
      <c r="F5183" s="81">
        <v>729.0</v>
      </c>
      <c r="G5183" s="81" t="s">
        <v>2</v>
      </c>
      <c r="H5183" s="81" t="s">
        <v>224</v>
      </c>
      <c r="I5183" s="81" t="s">
        <v>213</v>
      </c>
      <c r="J5183" s="81" t="s">
        <v>224</v>
      </c>
      <c r="K5183" s="81" t="str">
        <f>IFERROR(__xludf.DUMMYFUNCTION("IF(OR(D5183="""",G5183=""""),"""",IFERROR(LET(
campo,XLOOKUP(TRIM(G5183),ARRAYFORMULA(TRIM('indice columnas'!$A$2:$A$100)),'indice columnas'!$B$2:$B$100,""""),
col,IFERROR(MATCH(campo,Referencia!$A$1:$AZ$1,0),0),
fila,IFERROR(MATCH(TO_TEXT(D5183),ARRAYFOR"&amp;"MULA(TO_TEXT(Referencia!$A$2:$A6238)),0),0),
IF(OR(campo="""",campo=""-""),""NO APLICA"",
IF(col=0,""REVISAR EQUIVALENCIA"",
IF(fila=0,""SKU NO ENCONTRADO"",
LET(
valor,INDEX(Referencia!$A$2:$AZ6238,fila,col),
IF(TRIM(TO_TEXT(valor))=TRIM(TO_TEXT(I5183)),"&amp;"
""OK"",
""NO COINCIDE. Valor verdadero: ""&amp;IF(valor="""",""[VACÍO]"",TO_TEXT(valor))
)
))))
),""ERROR EN FÓRMULA""))"),"OK")</f>
        <v>OK</v>
      </c>
    </row>
    <row r="5184">
      <c r="A5184" s="83" t="s">
        <v>4899</v>
      </c>
      <c r="B5184" s="83" t="s">
        <v>4900</v>
      </c>
      <c r="C5184" s="81" t="s">
        <v>4621</v>
      </c>
      <c r="D5184" s="83" t="s">
        <v>4793</v>
      </c>
      <c r="E5184" s="81" t="s">
        <v>3821</v>
      </c>
      <c r="F5184" s="81">
        <v>729.0</v>
      </c>
      <c r="G5184" s="81" t="s">
        <v>1</v>
      </c>
      <c r="H5184" s="81" t="s">
        <v>224</v>
      </c>
      <c r="I5184" s="81" t="s">
        <v>49</v>
      </c>
      <c r="J5184" s="81" t="s">
        <v>224</v>
      </c>
      <c r="K5184" s="81" t="str">
        <f>IFERROR(__xludf.DUMMYFUNCTION("IF(OR(D5184="""",G5184=""""),"""",IFERROR(LET(
campo,XLOOKUP(TRIM(G5184),ARRAYFORMULA(TRIM('indice columnas'!$A$2:$A$100)),'indice columnas'!$B$2:$B$100,""""),
col,IFERROR(MATCH(campo,Referencia!$A$1:$AZ$1,0),0),
fila,IFERROR(MATCH(TO_TEXT(D5184),ARRAYFOR"&amp;"MULA(TO_TEXT(Referencia!$A$2:$A6238)),0),0),
IF(OR(campo="""",campo=""-""),""NO APLICA"",
IF(col=0,""REVISAR EQUIVALENCIA"",
IF(fila=0,""SKU NO ENCONTRADO"",
LET(
valor,INDEX(Referencia!$A$2:$AZ6238,fila,col),
IF(TRIM(TO_TEXT(valor))=TRIM(TO_TEXT(I5184)),"&amp;"
""OK"",
""NO COINCIDE. Valor verdadero: ""&amp;IF(valor="""",""[VACÍO]"",TO_TEXT(valor))
)
))))
),""ERROR EN FÓRMULA""))"),"OK")</f>
        <v>OK</v>
      </c>
    </row>
    <row r="5185">
      <c r="A5185" s="83" t="s">
        <v>4899</v>
      </c>
      <c r="B5185" s="83" t="s">
        <v>4900</v>
      </c>
      <c r="C5185" s="81" t="s">
        <v>4621</v>
      </c>
      <c r="D5185" s="83" t="s">
        <v>4795</v>
      </c>
      <c r="E5185" s="81" t="s">
        <v>3831</v>
      </c>
      <c r="F5185" s="81">
        <v>732.0</v>
      </c>
      <c r="G5185" s="81" t="s">
        <v>3</v>
      </c>
      <c r="H5185" s="81" t="s">
        <v>224</v>
      </c>
      <c r="I5185" s="81" t="s">
        <v>920</v>
      </c>
      <c r="J5185" s="81" t="s">
        <v>224</v>
      </c>
      <c r="K5185" s="81" t="str">
        <f>IFERROR(__xludf.DUMMYFUNCTION("IF(OR(D5185="""",G5185=""""),"""",IFERROR(LET(
campo,XLOOKUP(TRIM(G5185),ARRAYFORMULA(TRIM('indice columnas'!$A$2:$A$100)),'indice columnas'!$B$2:$B$100,""""),
col,IFERROR(MATCH(campo,Referencia!$A$1:$AZ$1,0),0),
fila,IFERROR(MATCH(TO_TEXT(D5185),ARRAYFOR"&amp;"MULA(TO_TEXT(Referencia!$A$2:$A6238)),0),0),
IF(OR(campo="""",campo=""-""),""NO APLICA"",
IF(col=0,""REVISAR EQUIVALENCIA"",
IF(fila=0,""SKU NO ENCONTRADO"",
LET(
valor,INDEX(Referencia!$A$2:$AZ6238,fila,col),
IF(TRIM(TO_TEXT(valor))=TRIM(TO_TEXT(I5185)),"&amp;"
""OK"",
""NO COINCIDE. Valor verdadero: ""&amp;IF(valor="""",""[VACÍO]"",TO_TEXT(valor))
)
))))
),""ERROR EN FÓRMULA""))"),"OK")</f>
        <v>OK</v>
      </c>
    </row>
    <row r="5186">
      <c r="A5186" s="83" t="s">
        <v>4899</v>
      </c>
      <c r="B5186" s="83" t="s">
        <v>4900</v>
      </c>
      <c r="C5186" s="81" t="s">
        <v>4621</v>
      </c>
      <c r="D5186" s="83" t="s">
        <v>4795</v>
      </c>
      <c r="E5186" s="81" t="s">
        <v>3831</v>
      </c>
      <c r="F5186" s="81">
        <v>732.0</v>
      </c>
      <c r="G5186" s="81" t="s">
        <v>2</v>
      </c>
      <c r="H5186" s="81" t="s">
        <v>224</v>
      </c>
      <c r="I5186" s="81" t="s">
        <v>213</v>
      </c>
      <c r="J5186" s="81" t="s">
        <v>224</v>
      </c>
      <c r="K5186" s="81" t="str">
        <f>IFERROR(__xludf.DUMMYFUNCTION("IF(OR(D5186="""",G5186=""""),"""",IFERROR(LET(
campo,XLOOKUP(TRIM(G5186),ARRAYFORMULA(TRIM('indice columnas'!$A$2:$A$100)),'indice columnas'!$B$2:$B$100,""""),
col,IFERROR(MATCH(campo,Referencia!$A$1:$AZ$1,0),0),
fila,IFERROR(MATCH(TO_TEXT(D5186),ARRAYFOR"&amp;"MULA(TO_TEXT(Referencia!$A$2:$A6238)),0),0),
IF(OR(campo="""",campo=""-""),""NO APLICA"",
IF(col=0,""REVISAR EQUIVALENCIA"",
IF(fila=0,""SKU NO ENCONTRADO"",
LET(
valor,INDEX(Referencia!$A$2:$AZ6238,fila,col),
IF(TRIM(TO_TEXT(valor))=TRIM(TO_TEXT(I5186)),"&amp;"
""OK"",
""NO COINCIDE. Valor verdadero: ""&amp;IF(valor="""",""[VACÍO]"",TO_TEXT(valor))
)
))))
),""ERROR EN FÓRMULA""))"),"OK")</f>
        <v>OK</v>
      </c>
    </row>
    <row r="5187">
      <c r="A5187" s="83" t="s">
        <v>4899</v>
      </c>
      <c r="B5187" s="83" t="s">
        <v>4900</v>
      </c>
      <c r="C5187" s="81" t="s">
        <v>4621</v>
      </c>
      <c r="D5187" s="83" t="s">
        <v>4795</v>
      </c>
      <c r="E5187" s="81" t="s">
        <v>3831</v>
      </c>
      <c r="F5187" s="81">
        <v>732.0</v>
      </c>
      <c r="G5187" s="81" t="s">
        <v>1</v>
      </c>
      <c r="H5187" s="81" t="s">
        <v>224</v>
      </c>
      <c r="I5187" s="81" t="s">
        <v>49</v>
      </c>
      <c r="J5187" s="81" t="s">
        <v>224</v>
      </c>
      <c r="K5187" s="81" t="str">
        <f>IFERROR(__xludf.DUMMYFUNCTION("IF(OR(D5187="""",G5187=""""),"""",IFERROR(LET(
campo,XLOOKUP(TRIM(G5187),ARRAYFORMULA(TRIM('indice columnas'!$A$2:$A$100)),'indice columnas'!$B$2:$B$100,""""),
col,IFERROR(MATCH(campo,Referencia!$A$1:$AZ$1,0),0),
fila,IFERROR(MATCH(TO_TEXT(D5187),ARRAYFOR"&amp;"MULA(TO_TEXT(Referencia!$A$2:$A6238)),0),0),
IF(OR(campo="""",campo=""-""),""NO APLICA"",
IF(col=0,""REVISAR EQUIVALENCIA"",
IF(fila=0,""SKU NO ENCONTRADO"",
LET(
valor,INDEX(Referencia!$A$2:$AZ6238,fila,col),
IF(TRIM(TO_TEXT(valor))=TRIM(TO_TEXT(I5187)),"&amp;"
""OK"",
""NO COINCIDE. Valor verdadero: ""&amp;IF(valor="""",""[VACÍO]"",TO_TEXT(valor))
)
))))
),""ERROR EN FÓRMULA""))"),"OK")</f>
        <v>OK</v>
      </c>
    </row>
    <row r="5188">
      <c r="A5188" s="83" t="s">
        <v>4899</v>
      </c>
      <c r="B5188" s="83" t="s">
        <v>4900</v>
      </c>
      <c r="C5188" s="81" t="s">
        <v>4621</v>
      </c>
      <c r="D5188" s="83" t="s">
        <v>4797</v>
      </c>
      <c r="E5188" s="81" t="s">
        <v>3839</v>
      </c>
      <c r="F5188" s="81">
        <v>735.0</v>
      </c>
      <c r="G5188" s="81" t="s">
        <v>3</v>
      </c>
      <c r="H5188" s="81" t="s">
        <v>224</v>
      </c>
      <c r="I5188" s="81" t="s">
        <v>920</v>
      </c>
      <c r="J5188" s="81" t="s">
        <v>224</v>
      </c>
      <c r="K5188" s="81" t="str">
        <f>IFERROR(__xludf.DUMMYFUNCTION("IF(OR(D5188="""",G5188=""""),"""",IFERROR(LET(
campo,XLOOKUP(TRIM(G5188),ARRAYFORMULA(TRIM('indice columnas'!$A$2:$A$100)),'indice columnas'!$B$2:$B$100,""""),
col,IFERROR(MATCH(campo,Referencia!$A$1:$AZ$1,0),0),
fila,IFERROR(MATCH(TO_TEXT(D5188),ARRAYFOR"&amp;"MULA(TO_TEXT(Referencia!$A$2:$A6238)),0),0),
IF(OR(campo="""",campo=""-""),""NO APLICA"",
IF(col=0,""REVISAR EQUIVALENCIA"",
IF(fila=0,""SKU NO ENCONTRADO"",
LET(
valor,INDEX(Referencia!$A$2:$AZ6238,fila,col),
IF(TRIM(TO_TEXT(valor))=TRIM(TO_TEXT(I5188)),"&amp;"
""OK"",
""NO COINCIDE. Valor verdadero: ""&amp;IF(valor="""",""[VACÍO]"",TO_TEXT(valor))
)
))))
),""ERROR EN FÓRMULA""))"),"OK")</f>
        <v>OK</v>
      </c>
    </row>
    <row r="5189">
      <c r="A5189" s="83" t="s">
        <v>4899</v>
      </c>
      <c r="B5189" s="83" t="s">
        <v>4900</v>
      </c>
      <c r="C5189" s="81" t="s">
        <v>4621</v>
      </c>
      <c r="D5189" s="83" t="s">
        <v>4797</v>
      </c>
      <c r="E5189" s="81" t="s">
        <v>3839</v>
      </c>
      <c r="F5189" s="81">
        <v>735.0</v>
      </c>
      <c r="G5189" s="81" t="s">
        <v>2</v>
      </c>
      <c r="H5189" s="81" t="s">
        <v>224</v>
      </c>
      <c r="I5189" s="81" t="s">
        <v>213</v>
      </c>
      <c r="J5189" s="81" t="s">
        <v>224</v>
      </c>
      <c r="K5189" s="81" t="str">
        <f>IFERROR(__xludf.DUMMYFUNCTION("IF(OR(D5189="""",G5189=""""),"""",IFERROR(LET(
campo,XLOOKUP(TRIM(G5189),ARRAYFORMULA(TRIM('indice columnas'!$A$2:$A$100)),'indice columnas'!$B$2:$B$100,""""),
col,IFERROR(MATCH(campo,Referencia!$A$1:$AZ$1,0),0),
fila,IFERROR(MATCH(TO_TEXT(D5189),ARRAYFOR"&amp;"MULA(TO_TEXT(Referencia!$A$2:$A6238)),0),0),
IF(OR(campo="""",campo=""-""),""NO APLICA"",
IF(col=0,""REVISAR EQUIVALENCIA"",
IF(fila=0,""SKU NO ENCONTRADO"",
LET(
valor,INDEX(Referencia!$A$2:$AZ6238,fila,col),
IF(TRIM(TO_TEXT(valor))=TRIM(TO_TEXT(I5189)),"&amp;"
""OK"",
""NO COINCIDE. Valor verdadero: ""&amp;IF(valor="""",""[VACÍO]"",TO_TEXT(valor))
)
))))
),""ERROR EN FÓRMULA""))"),"OK")</f>
        <v>OK</v>
      </c>
    </row>
    <row r="5190">
      <c r="A5190" s="83" t="s">
        <v>4899</v>
      </c>
      <c r="B5190" s="83" t="s">
        <v>4900</v>
      </c>
      <c r="C5190" s="81" t="s">
        <v>4621</v>
      </c>
      <c r="D5190" s="83" t="s">
        <v>4797</v>
      </c>
      <c r="E5190" s="81" t="s">
        <v>3839</v>
      </c>
      <c r="F5190" s="81">
        <v>735.0</v>
      </c>
      <c r="G5190" s="81" t="s">
        <v>1</v>
      </c>
      <c r="H5190" s="81" t="s">
        <v>224</v>
      </c>
      <c r="I5190" s="81" t="s">
        <v>49</v>
      </c>
      <c r="J5190" s="81" t="s">
        <v>224</v>
      </c>
      <c r="K5190" s="81" t="str">
        <f>IFERROR(__xludf.DUMMYFUNCTION("IF(OR(D5190="""",G5190=""""),"""",IFERROR(LET(
campo,XLOOKUP(TRIM(G5190),ARRAYFORMULA(TRIM('indice columnas'!$A$2:$A$100)),'indice columnas'!$B$2:$B$100,""""),
col,IFERROR(MATCH(campo,Referencia!$A$1:$AZ$1,0),0),
fila,IFERROR(MATCH(TO_TEXT(D5190),ARRAYFOR"&amp;"MULA(TO_TEXT(Referencia!$A$2:$A6238)),0),0),
IF(OR(campo="""",campo=""-""),""NO APLICA"",
IF(col=0,""REVISAR EQUIVALENCIA"",
IF(fila=0,""SKU NO ENCONTRADO"",
LET(
valor,INDEX(Referencia!$A$2:$AZ6238,fila,col),
IF(TRIM(TO_TEXT(valor))=TRIM(TO_TEXT(I5190)),"&amp;"
""OK"",
""NO COINCIDE. Valor verdadero: ""&amp;IF(valor="""",""[VACÍO]"",TO_TEXT(valor))
)
))))
),""ERROR EN FÓRMULA""))"),"OK")</f>
        <v>OK</v>
      </c>
    </row>
    <row r="5191">
      <c r="A5191" s="83" t="s">
        <v>4899</v>
      </c>
      <c r="B5191" s="83" t="s">
        <v>4900</v>
      </c>
      <c r="C5191" s="81" t="s">
        <v>4621</v>
      </c>
      <c r="D5191" s="83" t="s">
        <v>4798</v>
      </c>
      <c r="E5191" s="81" t="s">
        <v>3842</v>
      </c>
      <c r="F5191" s="81">
        <v>736.0</v>
      </c>
      <c r="G5191" s="81" t="s">
        <v>2</v>
      </c>
      <c r="H5191" s="81" t="s">
        <v>1827</v>
      </c>
      <c r="I5191" s="81" t="s">
        <v>332</v>
      </c>
      <c r="J5191" s="81" t="s">
        <v>224</v>
      </c>
      <c r="K5191" s="81" t="str">
        <f>IFERROR(__xludf.DUMMYFUNCTION("IF(OR(D5191="""",G5191=""""),"""",IFERROR(LET(
campo,XLOOKUP(TRIM(G5191),ARRAYFORMULA(TRIM('indice columnas'!$A$2:$A$100)),'indice columnas'!$B$2:$B$100,""""),
col,IFERROR(MATCH(campo,Referencia!$A$1:$AZ$1,0),0),
fila,IFERROR(MATCH(TO_TEXT(D5191),ARRAYFOR"&amp;"MULA(TO_TEXT(Referencia!$A$2:$A6238)),0),0),
IF(OR(campo="""",campo=""-""),""NO APLICA"",
IF(col=0,""REVISAR EQUIVALENCIA"",
IF(fila=0,""SKU NO ENCONTRADO"",
LET(
valor,INDEX(Referencia!$A$2:$AZ6238,fila,col),
IF(TRIM(TO_TEXT(valor))=TRIM(TO_TEXT(I5191)),"&amp;"
""OK"",
""NO COINCIDE. Valor verdadero: ""&amp;IF(valor="""",""[VACÍO]"",TO_TEXT(valor))
)
))))
),""ERROR EN FÓRMULA""))"),"OK")</f>
        <v>OK</v>
      </c>
    </row>
    <row r="5192">
      <c r="A5192" s="83" t="s">
        <v>4899</v>
      </c>
      <c r="B5192" s="83" t="s">
        <v>4900</v>
      </c>
      <c r="C5192" s="81" t="s">
        <v>4621</v>
      </c>
      <c r="D5192" s="83" t="s">
        <v>4799</v>
      </c>
      <c r="E5192" s="81" t="s">
        <v>3845</v>
      </c>
      <c r="F5192" s="81">
        <v>737.0</v>
      </c>
      <c r="G5192" s="81" t="s">
        <v>2</v>
      </c>
      <c r="H5192" s="81" t="s">
        <v>1827</v>
      </c>
      <c r="I5192" s="81" t="s">
        <v>332</v>
      </c>
      <c r="J5192" s="81" t="s">
        <v>224</v>
      </c>
      <c r="K5192" s="81" t="str">
        <f>IFERROR(__xludf.DUMMYFUNCTION("IF(OR(D5192="""",G5192=""""),"""",IFERROR(LET(
campo,XLOOKUP(TRIM(G5192),ARRAYFORMULA(TRIM('indice columnas'!$A$2:$A$100)),'indice columnas'!$B$2:$B$100,""""),
col,IFERROR(MATCH(campo,Referencia!$A$1:$AZ$1,0),0),
fila,IFERROR(MATCH(TO_TEXT(D5192),ARRAYFOR"&amp;"MULA(TO_TEXT(Referencia!$A$2:$A6238)),0),0),
IF(OR(campo="""",campo=""-""),""NO APLICA"",
IF(col=0,""REVISAR EQUIVALENCIA"",
IF(fila=0,""SKU NO ENCONTRADO"",
LET(
valor,INDEX(Referencia!$A$2:$AZ6238,fila,col),
IF(TRIM(TO_TEXT(valor))=TRIM(TO_TEXT(I5192)),"&amp;"
""OK"",
""NO COINCIDE. Valor verdadero: ""&amp;IF(valor="""",""[VACÍO]"",TO_TEXT(valor))
)
))))
),""ERROR EN FÓRMULA""))"),"OK")</f>
        <v>OK</v>
      </c>
    </row>
    <row r="5193">
      <c r="A5193" s="83" t="s">
        <v>4899</v>
      </c>
      <c r="B5193" s="83" t="s">
        <v>4900</v>
      </c>
      <c r="C5193" s="81" t="s">
        <v>4621</v>
      </c>
      <c r="D5193" s="83" t="s">
        <v>4800</v>
      </c>
      <c r="E5193" s="81" t="s">
        <v>3851</v>
      </c>
      <c r="F5193" s="81">
        <v>739.0</v>
      </c>
      <c r="G5193" s="81" t="s">
        <v>3</v>
      </c>
      <c r="H5193" s="81" t="s">
        <v>224</v>
      </c>
      <c r="I5193" s="81" t="s">
        <v>920</v>
      </c>
      <c r="J5193" s="81" t="s">
        <v>224</v>
      </c>
      <c r="K5193" s="81" t="str">
        <f>IFERROR(__xludf.DUMMYFUNCTION("IF(OR(D5193="""",G5193=""""),"""",IFERROR(LET(
campo,XLOOKUP(TRIM(G5193),ARRAYFORMULA(TRIM('indice columnas'!$A$2:$A$100)),'indice columnas'!$B$2:$B$100,""""),
col,IFERROR(MATCH(campo,Referencia!$A$1:$AZ$1,0),0),
fila,IFERROR(MATCH(TO_TEXT(D5193),ARRAYFOR"&amp;"MULA(TO_TEXT(Referencia!$A$2:$A6238)),0),0),
IF(OR(campo="""",campo=""-""),""NO APLICA"",
IF(col=0,""REVISAR EQUIVALENCIA"",
IF(fila=0,""SKU NO ENCONTRADO"",
LET(
valor,INDEX(Referencia!$A$2:$AZ6238,fila,col),
IF(TRIM(TO_TEXT(valor))=TRIM(TO_TEXT(I5193)),"&amp;"
""OK"",
""NO COINCIDE. Valor verdadero: ""&amp;IF(valor="""",""[VACÍO]"",TO_TEXT(valor))
)
))))
),""ERROR EN FÓRMULA""))"),"OK")</f>
        <v>OK</v>
      </c>
    </row>
    <row r="5194">
      <c r="A5194" s="83" t="s">
        <v>4899</v>
      </c>
      <c r="B5194" s="83" t="s">
        <v>4900</v>
      </c>
      <c r="C5194" s="81" t="s">
        <v>4621</v>
      </c>
      <c r="D5194" s="83" t="s">
        <v>4800</v>
      </c>
      <c r="E5194" s="81" t="s">
        <v>3851</v>
      </c>
      <c r="F5194" s="81">
        <v>739.0</v>
      </c>
      <c r="G5194" s="81" t="s">
        <v>2</v>
      </c>
      <c r="H5194" s="81" t="s">
        <v>224</v>
      </c>
      <c r="I5194" s="81" t="s">
        <v>919</v>
      </c>
      <c r="J5194" s="81" t="s">
        <v>224</v>
      </c>
      <c r="K5194" s="81" t="str">
        <f>IFERROR(__xludf.DUMMYFUNCTION("IF(OR(D5194="""",G5194=""""),"""",IFERROR(LET(
campo,XLOOKUP(TRIM(G5194),ARRAYFORMULA(TRIM('indice columnas'!$A$2:$A$100)),'indice columnas'!$B$2:$B$100,""""),
col,IFERROR(MATCH(campo,Referencia!$A$1:$AZ$1,0),0),
fila,IFERROR(MATCH(TO_TEXT(D5194),ARRAYFOR"&amp;"MULA(TO_TEXT(Referencia!$A$2:$A6238)),0),0),
IF(OR(campo="""",campo=""-""),""NO APLICA"",
IF(col=0,""REVISAR EQUIVALENCIA"",
IF(fila=0,""SKU NO ENCONTRADO"",
LET(
valor,INDEX(Referencia!$A$2:$AZ6238,fila,col),
IF(TRIM(TO_TEXT(valor))=TRIM(TO_TEXT(I5194)),"&amp;"
""OK"",
""NO COINCIDE. Valor verdadero: ""&amp;IF(valor="""",""[VACÍO]"",TO_TEXT(valor))
)
))))
),""ERROR EN FÓRMULA""))"),"OK")</f>
        <v>OK</v>
      </c>
    </row>
    <row r="5195">
      <c r="A5195" s="83" t="s">
        <v>4899</v>
      </c>
      <c r="B5195" s="83" t="s">
        <v>4900</v>
      </c>
      <c r="C5195" s="81" t="s">
        <v>4621</v>
      </c>
      <c r="D5195" s="83" t="s">
        <v>4800</v>
      </c>
      <c r="E5195" s="81" t="s">
        <v>3851</v>
      </c>
      <c r="F5195" s="81">
        <v>739.0</v>
      </c>
      <c r="G5195" s="81" t="s">
        <v>1</v>
      </c>
      <c r="H5195" s="81" t="s">
        <v>224</v>
      </c>
      <c r="I5195" s="81" t="s">
        <v>49</v>
      </c>
      <c r="J5195" s="81" t="s">
        <v>224</v>
      </c>
      <c r="K5195" s="81" t="str">
        <f>IFERROR(__xludf.DUMMYFUNCTION("IF(OR(D5195="""",G5195=""""),"""",IFERROR(LET(
campo,XLOOKUP(TRIM(G5195),ARRAYFORMULA(TRIM('indice columnas'!$A$2:$A$100)),'indice columnas'!$B$2:$B$100,""""),
col,IFERROR(MATCH(campo,Referencia!$A$1:$AZ$1,0),0),
fila,IFERROR(MATCH(TO_TEXT(D5195),ARRAYFOR"&amp;"MULA(TO_TEXT(Referencia!$A$2:$A6238)),0),0),
IF(OR(campo="""",campo=""-""),""NO APLICA"",
IF(col=0,""REVISAR EQUIVALENCIA"",
IF(fila=0,""SKU NO ENCONTRADO"",
LET(
valor,INDEX(Referencia!$A$2:$AZ6238,fila,col),
IF(TRIM(TO_TEXT(valor))=TRIM(TO_TEXT(I5195)),"&amp;"
""OK"",
""NO COINCIDE. Valor verdadero: ""&amp;IF(valor="""",""[VACÍO]"",TO_TEXT(valor))
)
))))
),""ERROR EN FÓRMULA""))"),"OK")</f>
        <v>OK</v>
      </c>
    </row>
    <row r="5196">
      <c r="A5196" s="83" t="s">
        <v>4899</v>
      </c>
      <c r="B5196" s="83" t="s">
        <v>4900</v>
      </c>
      <c r="C5196" s="81" t="s">
        <v>4621</v>
      </c>
      <c r="D5196" s="83" t="s">
        <v>4802</v>
      </c>
      <c r="E5196" s="81" t="s">
        <v>3852</v>
      </c>
      <c r="F5196" s="81">
        <v>740.0</v>
      </c>
      <c r="G5196" s="81" t="s">
        <v>3</v>
      </c>
      <c r="H5196" s="81" t="s">
        <v>224</v>
      </c>
      <c r="I5196" s="81" t="s">
        <v>920</v>
      </c>
      <c r="J5196" s="81" t="s">
        <v>224</v>
      </c>
      <c r="K5196" s="81" t="str">
        <f>IFERROR(__xludf.DUMMYFUNCTION("IF(OR(D5196="""",G5196=""""),"""",IFERROR(LET(
campo,XLOOKUP(TRIM(G5196),ARRAYFORMULA(TRIM('indice columnas'!$A$2:$A$100)),'indice columnas'!$B$2:$B$100,""""),
col,IFERROR(MATCH(campo,Referencia!$A$1:$AZ$1,0),0),
fila,IFERROR(MATCH(TO_TEXT(D5196),ARRAYFOR"&amp;"MULA(TO_TEXT(Referencia!$A$2:$A6238)),0),0),
IF(OR(campo="""",campo=""-""),""NO APLICA"",
IF(col=0,""REVISAR EQUIVALENCIA"",
IF(fila=0,""SKU NO ENCONTRADO"",
LET(
valor,INDEX(Referencia!$A$2:$AZ6238,fila,col),
IF(TRIM(TO_TEXT(valor))=TRIM(TO_TEXT(I5196)),"&amp;"
""OK"",
""NO COINCIDE. Valor verdadero: ""&amp;IF(valor="""",""[VACÍO]"",TO_TEXT(valor))
)
))))
),""ERROR EN FÓRMULA""))"),"OK")</f>
        <v>OK</v>
      </c>
    </row>
    <row r="5197">
      <c r="A5197" s="83" t="s">
        <v>4899</v>
      </c>
      <c r="B5197" s="83" t="s">
        <v>4900</v>
      </c>
      <c r="C5197" s="81" t="s">
        <v>4621</v>
      </c>
      <c r="D5197" s="83" t="s">
        <v>4802</v>
      </c>
      <c r="E5197" s="81" t="s">
        <v>3852</v>
      </c>
      <c r="F5197" s="81">
        <v>740.0</v>
      </c>
      <c r="G5197" s="81" t="s">
        <v>2</v>
      </c>
      <c r="H5197" s="81" t="s">
        <v>224</v>
      </c>
      <c r="I5197" s="81" t="s">
        <v>919</v>
      </c>
      <c r="J5197" s="81" t="s">
        <v>224</v>
      </c>
      <c r="K5197" s="81" t="str">
        <f>IFERROR(__xludf.DUMMYFUNCTION("IF(OR(D5197="""",G5197=""""),"""",IFERROR(LET(
campo,XLOOKUP(TRIM(G5197),ARRAYFORMULA(TRIM('indice columnas'!$A$2:$A$100)),'indice columnas'!$B$2:$B$100,""""),
col,IFERROR(MATCH(campo,Referencia!$A$1:$AZ$1,0),0),
fila,IFERROR(MATCH(TO_TEXT(D5197),ARRAYFOR"&amp;"MULA(TO_TEXT(Referencia!$A$2:$A6238)),0),0),
IF(OR(campo="""",campo=""-""),""NO APLICA"",
IF(col=0,""REVISAR EQUIVALENCIA"",
IF(fila=0,""SKU NO ENCONTRADO"",
LET(
valor,INDEX(Referencia!$A$2:$AZ6238,fila,col),
IF(TRIM(TO_TEXT(valor))=TRIM(TO_TEXT(I5197)),"&amp;"
""OK"",
""NO COINCIDE. Valor verdadero: ""&amp;IF(valor="""",""[VACÍO]"",TO_TEXT(valor))
)
))))
),""ERROR EN FÓRMULA""))"),"OK")</f>
        <v>OK</v>
      </c>
    </row>
    <row r="5198">
      <c r="A5198" s="83" t="s">
        <v>4899</v>
      </c>
      <c r="B5198" s="83" t="s">
        <v>4900</v>
      </c>
      <c r="C5198" s="81" t="s">
        <v>4621</v>
      </c>
      <c r="D5198" s="83" t="s">
        <v>4802</v>
      </c>
      <c r="E5198" s="81" t="s">
        <v>3852</v>
      </c>
      <c r="F5198" s="81">
        <v>740.0</v>
      </c>
      <c r="G5198" s="81" t="s">
        <v>1</v>
      </c>
      <c r="H5198" s="81" t="s">
        <v>224</v>
      </c>
      <c r="I5198" s="81" t="s">
        <v>49</v>
      </c>
      <c r="J5198" s="81" t="s">
        <v>224</v>
      </c>
      <c r="K5198" s="81" t="str">
        <f>IFERROR(__xludf.DUMMYFUNCTION("IF(OR(D5198="""",G5198=""""),"""",IFERROR(LET(
campo,XLOOKUP(TRIM(G5198),ARRAYFORMULA(TRIM('indice columnas'!$A$2:$A$100)),'indice columnas'!$B$2:$B$100,""""),
col,IFERROR(MATCH(campo,Referencia!$A$1:$AZ$1,0),0),
fila,IFERROR(MATCH(TO_TEXT(D5198),ARRAYFOR"&amp;"MULA(TO_TEXT(Referencia!$A$2:$A6238)),0),0),
IF(OR(campo="""",campo=""-""),""NO APLICA"",
IF(col=0,""REVISAR EQUIVALENCIA"",
IF(fila=0,""SKU NO ENCONTRADO"",
LET(
valor,INDEX(Referencia!$A$2:$AZ6238,fila,col),
IF(TRIM(TO_TEXT(valor))=TRIM(TO_TEXT(I5198)),"&amp;"
""OK"",
""NO COINCIDE. Valor verdadero: ""&amp;IF(valor="""",""[VACÍO]"",TO_TEXT(valor))
)
))))
),""ERROR EN FÓRMULA""))"),"OK")</f>
        <v>OK</v>
      </c>
    </row>
    <row r="5199">
      <c r="A5199" s="83" t="s">
        <v>4899</v>
      </c>
      <c r="B5199" s="83" t="s">
        <v>4900</v>
      </c>
      <c r="C5199" s="81" t="s">
        <v>4621</v>
      </c>
      <c r="D5199" s="83" t="s">
        <v>4805</v>
      </c>
      <c r="E5199" s="81" t="s">
        <v>3859</v>
      </c>
      <c r="F5199" s="81">
        <v>744.0</v>
      </c>
      <c r="G5199" s="81" t="s">
        <v>3</v>
      </c>
      <c r="H5199" s="81" t="s">
        <v>224</v>
      </c>
      <c r="I5199" s="81" t="s">
        <v>920</v>
      </c>
      <c r="J5199" s="81" t="s">
        <v>224</v>
      </c>
      <c r="K5199" s="81" t="str">
        <f>IFERROR(__xludf.DUMMYFUNCTION("IF(OR(D5199="""",G5199=""""),"""",IFERROR(LET(
campo,XLOOKUP(TRIM(G5199),ARRAYFORMULA(TRIM('indice columnas'!$A$2:$A$100)),'indice columnas'!$B$2:$B$100,""""),
col,IFERROR(MATCH(campo,Referencia!$A$1:$AZ$1,0),0),
fila,IFERROR(MATCH(TO_TEXT(D5199),ARRAYFOR"&amp;"MULA(TO_TEXT(Referencia!$A$2:$A6238)),0),0),
IF(OR(campo="""",campo=""-""),""NO APLICA"",
IF(col=0,""REVISAR EQUIVALENCIA"",
IF(fila=0,""SKU NO ENCONTRADO"",
LET(
valor,INDEX(Referencia!$A$2:$AZ6238,fila,col),
IF(TRIM(TO_TEXT(valor))=TRIM(TO_TEXT(I5199)),"&amp;"
""OK"",
""NO COINCIDE. Valor verdadero: ""&amp;IF(valor="""",""[VACÍO]"",TO_TEXT(valor))
)
))))
),""ERROR EN FÓRMULA""))"),"OK")</f>
        <v>OK</v>
      </c>
    </row>
    <row r="5200">
      <c r="A5200" s="83" t="s">
        <v>4899</v>
      </c>
      <c r="B5200" s="83" t="s">
        <v>4900</v>
      </c>
      <c r="C5200" s="81" t="s">
        <v>4621</v>
      </c>
      <c r="D5200" s="83" t="s">
        <v>4805</v>
      </c>
      <c r="E5200" s="81" t="s">
        <v>3859</v>
      </c>
      <c r="F5200" s="81">
        <v>744.0</v>
      </c>
      <c r="G5200" s="81" t="s">
        <v>2</v>
      </c>
      <c r="H5200" s="81" t="s">
        <v>224</v>
      </c>
      <c r="I5200" s="81" t="s">
        <v>919</v>
      </c>
      <c r="J5200" s="81" t="s">
        <v>224</v>
      </c>
      <c r="K5200" s="81" t="str">
        <f>IFERROR(__xludf.DUMMYFUNCTION("IF(OR(D5200="""",G5200=""""),"""",IFERROR(LET(
campo,XLOOKUP(TRIM(G5200),ARRAYFORMULA(TRIM('indice columnas'!$A$2:$A$100)),'indice columnas'!$B$2:$B$100,""""),
col,IFERROR(MATCH(campo,Referencia!$A$1:$AZ$1,0),0),
fila,IFERROR(MATCH(TO_TEXT(D5200),ARRAYFOR"&amp;"MULA(TO_TEXT(Referencia!$A$2:$A6238)),0),0),
IF(OR(campo="""",campo=""-""),""NO APLICA"",
IF(col=0,""REVISAR EQUIVALENCIA"",
IF(fila=0,""SKU NO ENCONTRADO"",
LET(
valor,INDEX(Referencia!$A$2:$AZ6238,fila,col),
IF(TRIM(TO_TEXT(valor))=TRIM(TO_TEXT(I5200)),"&amp;"
""OK"",
""NO COINCIDE. Valor verdadero: ""&amp;IF(valor="""",""[VACÍO]"",TO_TEXT(valor))
)
))))
),""ERROR EN FÓRMULA""))"),"OK")</f>
        <v>OK</v>
      </c>
    </row>
    <row r="5201">
      <c r="A5201" s="83" t="s">
        <v>4899</v>
      </c>
      <c r="B5201" s="83" t="s">
        <v>4900</v>
      </c>
      <c r="C5201" s="81" t="s">
        <v>4621</v>
      </c>
      <c r="D5201" s="83" t="s">
        <v>4805</v>
      </c>
      <c r="E5201" s="81" t="s">
        <v>3859</v>
      </c>
      <c r="F5201" s="81">
        <v>744.0</v>
      </c>
      <c r="G5201" s="81" t="s">
        <v>1</v>
      </c>
      <c r="H5201" s="81" t="s">
        <v>224</v>
      </c>
      <c r="I5201" s="81" t="s">
        <v>49</v>
      </c>
      <c r="J5201" s="81" t="s">
        <v>224</v>
      </c>
      <c r="K5201" s="81" t="str">
        <f>IFERROR(__xludf.DUMMYFUNCTION("IF(OR(D5201="""",G5201=""""),"""",IFERROR(LET(
campo,XLOOKUP(TRIM(G5201),ARRAYFORMULA(TRIM('indice columnas'!$A$2:$A$100)),'indice columnas'!$B$2:$B$100,""""),
col,IFERROR(MATCH(campo,Referencia!$A$1:$AZ$1,0),0),
fila,IFERROR(MATCH(TO_TEXT(D5201),ARRAYFOR"&amp;"MULA(TO_TEXT(Referencia!$A$2:$A6238)),0),0),
IF(OR(campo="""",campo=""-""),""NO APLICA"",
IF(col=0,""REVISAR EQUIVALENCIA"",
IF(fila=0,""SKU NO ENCONTRADO"",
LET(
valor,INDEX(Referencia!$A$2:$AZ6238,fila,col),
IF(TRIM(TO_TEXT(valor))=TRIM(TO_TEXT(I5201)),"&amp;"
""OK"",
""NO COINCIDE. Valor verdadero: ""&amp;IF(valor="""",""[VACÍO]"",TO_TEXT(valor))
)
))))
),""ERROR EN FÓRMULA""))"),"OK")</f>
        <v>OK</v>
      </c>
    </row>
    <row r="5202">
      <c r="A5202" s="83" t="s">
        <v>4899</v>
      </c>
      <c r="B5202" s="83" t="s">
        <v>4900</v>
      </c>
      <c r="C5202" s="81" t="s">
        <v>4621</v>
      </c>
      <c r="D5202" s="83" t="s">
        <v>4807</v>
      </c>
      <c r="E5202" s="81" t="s">
        <v>3862</v>
      </c>
      <c r="F5202" s="81">
        <v>747.0</v>
      </c>
      <c r="G5202" s="81" t="s">
        <v>3</v>
      </c>
      <c r="H5202" s="81" t="s">
        <v>224</v>
      </c>
      <c r="I5202" s="81" t="s">
        <v>926</v>
      </c>
      <c r="J5202" s="81" t="s">
        <v>224</v>
      </c>
      <c r="K5202" s="81" t="str">
        <f>IFERROR(__xludf.DUMMYFUNCTION("IF(OR(D5202="""",G5202=""""),"""",IFERROR(LET(
campo,XLOOKUP(TRIM(G5202),ARRAYFORMULA(TRIM('indice columnas'!$A$2:$A$100)),'indice columnas'!$B$2:$B$100,""""),
col,IFERROR(MATCH(campo,Referencia!$A$1:$AZ$1,0),0),
fila,IFERROR(MATCH(TO_TEXT(D5202),ARRAYFOR"&amp;"MULA(TO_TEXT(Referencia!$A$2:$A6238)),0),0),
IF(OR(campo="""",campo=""-""),""NO APLICA"",
IF(col=0,""REVISAR EQUIVALENCIA"",
IF(fila=0,""SKU NO ENCONTRADO"",
LET(
valor,INDEX(Referencia!$A$2:$AZ6238,fila,col),
IF(TRIM(TO_TEXT(valor))=TRIM(TO_TEXT(I5202)),"&amp;"
""OK"",
""NO COINCIDE. Valor verdadero: ""&amp;IF(valor="""",""[VACÍO]"",TO_TEXT(valor))
)
))))
),""ERROR EN FÓRMULA""))"),"OK")</f>
        <v>OK</v>
      </c>
    </row>
    <row r="5203">
      <c r="A5203" s="83" t="s">
        <v>4899</v>
      </c>
      <c r="B5203" s="83" t="s">
        <v>4900</v>
      </c>
      <c r="C5203" s="81" t="s">
        <v>4621</v>
      </c>
      <c r="D5203" s="83" t="s">
        <v>4807</v>
      </c>
      <c r="E5203" s="81" t="s">
        <v>3862</v>
      </c>
      <c r="F5203" s="81">
        <v>747.0</v>
      </c>
      <c r="G5203" s="81" t="s">
        <v>2</v>
      </c>
      <c r="H5203" s="81" t="s">
        <v>224</v>
      </c>
      <c r="I5203" s="81" t="s">
        <v>919</v>
      </c>
      <c r="J5203" s="81" t="s">
        <v>224</v>
      </c>
      <c r="K5203" s="81" t="str">
        <f>IFERROR(__xludf.DUMMYFUNCTION("IF(OR(D5203="""",G5203=""""),"""",IFERROR(LET(
campo,XLOOKUP(TRIM(G5203),ARRAYFORMULA(TRIM('indice columnas'!$A$2:$A$100)),'indice columnas'!$B$2:$B$100,""""),
col,IFERROR(MATCH(campo,Referencia!$A$1:$AZ$1,0),0),
fila,IFERROR(MATCH(TO_TEXT(D5203),ARRAYFOR"&amp;"MULA(TO_TEXT(Referencia!$A$2:$A6238)),0),0),
IF(OR(campo="""",campo=""-""),""NO APLICA"",
IF(col=0,""REVISAR EQUIVALENCIA"",
IF(fila=0,""SKU NO ENCONTRADO"",
LET(
valor,INDEX(Referencia!$A$2:$AZ6238,fila,col),
IF(TRIM(TO_TEXT(valor))=TRIM(TO_TEXT(I5203)),"&amp;"
""OK"",
""NO COINCIDE. Valor verdadero: ""&amp;IF(valor="""",""[VACÍO]"",TO_TEXT(valor))
)
))))
),""ERROR EN FÓRMULA""))"),"OK")</f>
        <v>OK</v>
      </c>
    </row>
    <row r="5204">
      <c r="A5204" s="83" t="s">
        <v>4899</v>
      </c>
      <c r="B5204" s="83" t="s">
        <v>4900</v>
      </c>
      <c r="C5204" s="81" t="s">
        <v>4621</v>
      </c>
      <c r="D5204" s="83" t="s">
        <v>4807</v>
      </c>
      <c r="E5204" s="81" t="s">
        <v>3862</v>
      </c>
      <c r="F5204" s="81">
        <v>747.0</v>
      </c>
      <c r="G5204" s="81" t="s">
        <v>1</v>
      </c>
      <c r="H5204" s="81" t="s">
        <v>224</v>
      </c>
      <c r="I5204" s="81" t="s">
        <v>49</v>
      </c>
      <c r="J5204" s="81" t="s">
        <v>224</v>
      </c>
      <c r="K5204" s="81" t="str">
        <f>IFERROR(__xludf.DUMMYFUNCTION("IF(OR(D5204="""",G5204=""""),"""",IFERROR(LET(
campo,XLOOKUP(TRIM(G5204),ARRAYFORMULA(TRIM('indice columnas'!$A$2:$A$100)),'indice columnas'!$B$2:$B$100,""""),
col,IFERROR(MATCH(campo,Referencia!$A$1:$AZ$1,0),0),
fila,IFERROR(MATCH(TO_TEXT(D5204),ARRAYFOR"&amp;"MULA(TO_TEXT(Referencia!$A$2:$A6238)),0),0),
IF(OR(campo="""",campo=""-""),""NO APLICA"",
IF(col=0,""REVISAR EQUIVALENCIA"",
IF(fila=0,""SKU NO ENCONTRADO"",
LET(
valor,INDEX(Referencia!$A$2:$AZ6238,fila,col),
IF(TRIM(TO_TEXT(valor))=TRIM(TO_TEXT(I5204)),"&amp;"
""OK"",
""NO COINCIDE. Valor verdadero: ""&amp;IF(valor="""",""[VACÍO]"",TO_TEXT(valor))
)
))))
),""ERROR EN FÓRMULA""))"),"OK")</f>
        <v>OK</v>
      </c>
    </row>
    <row r="5205">
      <c r="A5205" s="83" t="s">
        <v>4899</v>
      </c>
      <c r="B5205" s="83" t="s">
        <v>4900</v>
      </c>
      <c r="C5205" s="81" t="s">
        <v>4621</v>
      </c>
      <c r="D5205" s="83" t="s">
        <v>4808</v>
      </c>
      <c r="E5205" s="81" t="s">
        <v>3867</v>
      </c>
      <c r="F5205" s="81">
        <v>749.0</v>
      </c>
      <c r="G5205" s="81" t="s">
        <v>1</v>
      </c>
      <c r="H5205" s="81" t="s">
        <v>1290</v>
      </c>
      <c r="I5205" s="81" t="s">
        <v>49</v>
      </c>
      <c r="J5205" s="81" t="s">
        <v>224</v>
      </c>
      <c r="K5205" s="81" t="str">
        <f>IFERROR(__xludf.DUMMYFUNCTION("IF(OR(D5205="""",G5205=""""),"""",IFERROR(LET(
campo,XLOOKUP(TRIM(G5205),ARRAYFORMULA(TRIM('indice columnas'!$A$2:$A$100)),'indice columnas'!$B$2:$B$100,""""),
col,IFERROR(MATCH(campo,Referencia!$A$1:$AZ$1,0),0),
fila,IFERROR(MATCH(TO_TEXT(D5205),ARRAYFOR"&amp;"MULA(TO_TEXT(Referencia!$A$2:$A6238)),0),0),
IF(OR(campo="""",campo=""-""),""NO APLICA"",
IF(col=0,""REVISAR EQUIVALENCIA"",
IF(fila=0,""SKU NO ENCONTRADO"",
LET(
valor,INDEX(Referencia!$A$2:$AZ6238,fila,col),
IF(TRIM(TO_TEXT(valor))=TRIM(TO_TEXT(I5205)),"&amp;"
""OK"",
""NO COINCIDE. Valor verdadero: ""&amp;IF(valor="""",""[VACÍO]"",TO_TEXT(valor))
)
))))
),""ERROR EN FÓRMULA""))"),"OK")</f>
        <v>OK</v>
      </c>
    </row>
    <row r="5206">
      <c r="A5206" s="83" t="s">
        <v>4899</v>
      </c>
      <c r="B5206" s="83" t="s">
        <v>4900</v>
      </c>
      <c r="C5206" s="81" t="s">
        <v>4621</v>
      </c>
      <c r="D5206" s="83" t="s">
        <v>4809</v>
      </c>
      <c r="E5206" s="81" t="s">
        <v>3868</v>
      </c>
      <c r="F5206" s="81">
        <v>750.0</v>
      </c>
      <c r="G5206" s="81" t="s">
        <v>3</v>
      </c>
      <c r="H5206" s="81" t="s">
        <v>224</v>
      </c>
      <c r="I5206" s="81" t="s">
        <v>920</v>
      </c>
      <c r="J5206" s="81" t="s">
        <v>224</v>
      </c>
      <c r="K5206" s="81" t="str">
        <f>IFERROR(__xludf.DUMMYFUNCTION("IF(OR(D5206="""",G5206=""""),"""",IFERROR(LET(
campo,XLOOKUP(TRIM(G5206),ARRAYFORMULA(TRIM('indice columnas'!$A$2:$A$100)),'indice columnas'!$B$2:$B$100,""""),
col,IFERROR(MATCH(campo,Referencia!$A$1:$AZ$1,0),0),
fila,IFERROR(MATCH(TO_TEXT(D5206),ARRAYFOR"&amp;"MULA(TO_TEXT(Referencia!$A$2:$A6238)),0),0),
IF(OR(campo="""",campo=""-""),""NO APLICA"",
IF(col=0,""REVISAR EQUIVALENCIA"",
IF(fila=0,""SKU NO ENCONTRADO"",
LET(
valor,INDEX(Referencia!$A$2:$AZ6238,fila,col),
IF(TRIM(TO_TEXT(valor))=TRIM(TO_TEXT(I5206)),"&amp;"
""OK"",
""NO COINCIDE. Valor verdadero: ""&amp;IF(valor="""",""[VACÍO]"",TO_TEXT(valor))
)
))))
),""ERROR EN FÓRMULA""))"),"OK")</f>
        <v>OK</v>
      </c>
    </row>
    <row r="5207">
      <c r="A5207" s="83" t="s">
        <v>4899</v>
      </c>
      <c r="B5207" s="83" t="s">
        <v>4900</v>
      </c>
      <c r="C5207" s="81" t="s">
        <v>4621</v>
      </c>
      <c r="D5207" s="83" t="s">
        <v>4809</v>
      </c>
      <c r="E5207" s="81" t="s">
        <v>3868</v>
      </c>
      <c r="F5207" s="81">
        <v>750.0</v>
      </c>
      <c r="G5207" s="81" t="s">
        <v>2</v>
      </c>
      <c r="H5207" s="81" t="s">
        <v>224</v>
      </c>
      <c r="I5207" s="81" t="s">
        <v>1291</v>
      </c>
      <c r="J5207" s="81" t="s">
        <v>224</v>
      </c>
      <c r="K5207" s="81" t="str">
        <f>IFERROR(__xludf.DUMMYFUNCTION("IF(OR(D5207="""",G5207=""""),"""",IFERROR(LET(
campo,XLOOKUP(TRIM(G5207),ARRAYFORMULA(TRIM('indice columnas'!$A$2:$A$100)),'indice columnas'!$B$2:$B$100,""""),
col,IFERROR(MATCH(campo,Referencia!$A$1:$AZ$1,0),0),
fila,IFERROR(MATCH(TO_TEXT(D5207),ARRAYFOR"&amp;"MULA(TO_TEXT(Referencia!$A$2:$A6238)),0),0),
IF(OR(campo="""",campo=""-""),""NO APLICA"",
IF(col=0,""REVISAR EQUIVALENCIA"",
IF(fila=0,""SKU NO ENCONTRADO"",
LET(
valor,INDEX(Referencia!$A$2:$AZ6238,fila,col),
IF(TRIM(TO_TEXT(valor))=TRIM(TO_TEXT(I5207)),"&amp;"
""OK"",
""NO COINCIDE. Valor verdadero: ""&amp;IF(valor="""",""[VACÍO]"",TO_TEXT(valor))
)
))))
),""ERROR EN FÓRMULA""))"),"OK")</f>
        <v>OK</v>
      </c>
    </row>
    <row r="5208">
      <c r="A5208" s="83" t="s">
        <v>4899</v>
      </c>
      <c r="B5208" s="83" t="s">
        <v>4900</v>
      </c>
      <c r="C5208" s="81" t="s">
        <v>4621</v>
      </c>
      <c r="D5208" s="83" t="s">
        <v>4809</v>
      </c>
      <c r="E5208" s="81" t="s">
        <v>3868</v>
      </c>
      <c r="F5208" s="81">
        <v>750.0</v>
      </c>
      <c r="G5208" s="81" t="s">
        <v>1</v>
      </c>
      <c r="H5208" s="81" t="s">
        <v>1290</v>
      </c>
      <c r="I5208" s="81" t="s">
        <v>49</v>
      </c>
      <c r="J5208" s="81" t="s">
        <v>224</v>
      </c>
      <c r="K5208" s="81" t="str">
        <f>IFERROR(__xludf.DUMMYFUNCTION("IF(OR(D5208="""",G5208=""""),"""",IFERROR(LET(
campo,XLOOKUP(TRIM(G5208),ARRAYFORMULA(TRIM('indice columnas'!$A$2:$A$100)),'indice columnas'!$B$2:$B$100,""""),
col,IFERROR(MATCH(campo,Referencia!$A$1:$AZ$1,0),0),
fila,IFERROR(MATCH(TO_TEXT(D5208),ARRAYFOR"&amp;"MULA(TO_TEXT(Referencia!$A$2:$A6238)),0),0),
IF(OR(campo="""",campo=""-""),""NO APLICA"",
IF(col=0,""REVISAR EQUIVALENCIA"",
IF(fila=0,""SKU NO ENCONTRADO"",
LET(
valor,INDEX(Referencia!$A$2:$AZ6238,fila,col),
IF(TRIM(TO_TEXT(valor))=TRIM(TO_TEXT(I5208)),"&amp;"
""OK"",
""NO COINCIDE. Valor verdadero: ""&amp;IF(valor="""",""[VACÍO]"",TO_TEXT(valor))
)
))))
),""ERROR EN FÓRMULA""))"),"OK")</f>
        <v>OK</v>
      </c>
    </row>
    <row r="5209">
      <c r="A5209" s="83" t="s">
        <v>4899</v>
      </c>
      <c r="B5209" s="83" t="s">
        <v>4900</v>
      </c>
      <c r="C5209" s="81" t="s">
        <v>4621</v>
      </c>
      <c r="D5209" s="83" t="s">
        <v>4776</v>
      </c>
      <c r="E5209" s="81" t="s">
        <v>3899</v>
      </c>
      <c r="F5209" s="81">
        <v>759.0</v>
      </c>
      <c r="G5209" s="81" t="s">
        <v>3</v>
      </c>
      <c r="H5209" s="81" t="s">
        <v>376</v>
      </c>
      <c r="I5209" s="81" t="s">
        <v>344</v>
      </c>
      <c r="J5209" s="81" t="s">
        <v>224</v>
      </c>
      <c r="K5209" s="81" t="str">
        <f>IFERROR(__xludf.DUMMYFUNCTION("IF(OR(D5209="""",G5209=""""),"""",IFERROR(LET(
campo,XLOOKUP(TRIM(G5209),ARRAYFORMULA(TRIM('indice columnas'!$A$2:$A$100)),'indice columnas'!$B$2:$B$100,""""),
col,IFERROR(MATCH(campo,Referencia!$A$1:$AZ$1,0),0),
fila,IFERROR(MATCH(TO_TEXT(D5209),ARRAYFOR"&amp;"MULA(TO_TEXT(Referencia!$A$2:$A6238)),0),0),
IF(OR(campo="""",campo=""-""),""NO APLICA"",
IF(col=0,""REVISAR EQUIVALENCIA"",
IF(fila=0,""SKU NO ENCONTRADO"",
LET(
valor,INDEX(Referencia!$A$2:$AZ6238,fila,col),
IF(TRIM(TO_TEXT(valor))=TRIM(TO_TEXT(I5209)),"&amp;"
""OK"",
""NO COINCIDE. Valor verdadero: ""&amp;IF(valor="""",""[VACÍO]"",TO_TEXT(valor))
)
))))
),""ERROR EN FÓRMULA""))"),"OK")</f>
        <v>OK</v>
      </c>
    </row>
    <row r="5210">
      <c r="A5210" s="83" t="s">
        <v>4899</v>
      </c>
      <c r="B5210" s="83" t="s">
        <v>4900</v>
      </c>
      <c r="C5210" s="81" t="s">
        <v>4621</v>
      </c>
      <c r="D5210" s="83" t="s">
        <v>4819</v>
      </c>
      <c r="E5210" s="81" t="s">
        <v>3900</v>
      </c>
      <c r="F5210" s="81">
        <v>760.0</v>
      </c>
      <c r="G5210" s="81" t="s">
        <v>3</v>
      </c>
      <c r="H5210" s="81" t="s">
        <v>224</v>
      </c>
      <c r="I5210" s="81" t="s">
        <v>344</v>
      </c>
      <c r="J5210" s="81" t="s">
        <v>224</v>
      </c>
      <c r="K5210" s="81" t="str">
        <f>IFERROR(__xludf.DUMMYFUNCTION("IF(OR(D5210="""",G5210=""""),"""",IFERROR(LET(
campo,XLOOKUP(TRIM(G5210),ARRAYFORMULA(TRIM('indice columnas'!$A$2:$A$100)),'indice columnas'!$B$2:$B$100,""""),
col,IFERROR(MATCH(campo,Referencia!$A$1:$AZ$1,0),0),
fila,IFERROR(MATCH(TO_TEXT(D5210),ARRAYFOR"&amp;"MULA(TO_TEXT(Referencia!$A$2:$A6238)),0),0),
IF(OR(campo="""",campo=""-""),""NO APLICA"",
IF(col=0,""REVISAR EQUIVALENCIA"",
IF(fila=0,""SKU NO ENCONTRADO"",
LET(
valor,INDEX(Referencia!$A$2:$AZ6238,fila,col),
IF(TRIM(TO_TEXT(valor))=TRIM(TO_TEXT(I5210)),"&amp;"
""OK"",
""NO COINCIDE. Valor verdadero: ""&amp;IF(valor="""",""[VACÍO]"",TO_TEXT(valor))
)
))))
),""ERROR EN FÓRMULA""))"),"OK")</f>
        <v>OK</v>
      </c>
    </row>
    <row r="5211">
      <c r="A5211" s="83" t="s">
        <v>4899</v>
      </c>
      <c r="B5211" s="83" t="s">
        <v>4900</v>
      </c>
      <c r="C5211" s="81" t="s">
        <v>4621</v>
      </c>
      <c r="D5211" s="83" t="s">
        <v>4819</v>
      </c>
      <c r="E5211" s="81" t="s">
        <v>3900</v>
      </c>
      <c r="F5211" s="81">
        <v>760.0</v>
      </c>
      <c r="G5211" s="81" t="s">
        <v>2</v>
      </c>
      <c r="H5211" s="81" t="s">
        <v>224</v>
      </c>
      <c r="I5211" s="81" t="s">
        <v>213</v>
      </c>
      <c r="J5211" s="81" t="s">
        <v>224</v>
      </c>
      <c r="K5211" s="81" t="str">
        <f>IFERROR(__xludf.DUMMYFUNCTION("IF(OR(D5211="""",G5211=""""),"""",IFERROR(LET(
campo,XLOOKUP(TRIM(G5211),ARRAYFORMULA(TRIM('indice columnas'!$A$2:$A$100)),'indice columnas'!$B$2:$B$100,""""),
col,IFERROR(MATCH(campo,Referencia!$A$1:$AZ$1,0),0),
fila,IFERROR(MATCH(TO_TEXT(D5211),ARRAYFOR"&amp;"MULA(TO_TEXT(Referencia!$A$2:$A6238)),0),0),
IF(OR(campo="""",campo=""-""),""NO APLICA"",
IF(col=0,""REVISAR EQUIVALENCIA"",
IF(fila=0,""SKU NO ENCONTRADO"",
LET(
valor,INDEX(Referencia!$A$2:$AZ6238,fila,col),
IF(TRIM(TO_TEXT(valor))=TRIM(TO_TEXT(I5211)),"&amp;"
""OK"",
""NO COINCIDE. Valor verdadero: ""&amp;IF(valor="""",""[VACÍO]"",TO_TEXT(valor))
)
))))
),""ERROR EN FÓRMULA""))"),"OK")</f>
        <v>OK</v>
      </c>
    </row>
    <row r="5212">
      <c r="A5212" s="83" t="s">
        <v>4899</v>
      </c>
      <c r="B5212" s="83" t="s">
        <v>4900</v>
      </c>
      <c r="C5212" s="81" t="s">
        <v>4621</v>
      </c>
      <c r="D5212" s="83" t="s">
        <v>4820</v>
      </c>
      <c r="E5212" s="81" t="s">
        <v>3903</v>
      </c>
      <c r="F5212" s="81">
        <v>761.0</v>
      </c>
      <c r="G5212" s="81" t="s">
        <v>3</v>
      </c>
      <c r="H5212" s="81" t="s">
        <v>376</v>
      </c>
      <c r="I5212" s="81" t="s">
        <v>344</v>
      </c>
      <c r="J5212" s="81" t="s">
        <v>224</v>
      </c>
      <c r="K5212" s="81" t="str">
        <f>IFERROR(__xludf.DUMMYFUNCTION("IF(OR(D5212="""",G5212=""""),"""",IFERROR(LET(
campo,XLOOKUP(TRIM(G5212),ARRAYFORMULA(TRIM('indice columnas'!$A$2:$A$100)),'indice columnas'!$B$2:$B$100,""""),
col,IFERROR(MATCH(campo,Referencia!$A$1:$AZ$1,0),0),
fila,IFERROR(MATCH(TO_TEXT(D5212),ARRAYFOR"&amp;"MULA(TO_TEXT(Referencia!$A$2:$A6238)),0),0),
IF(OR(campo="""",campo=""-""),""NO APLICA"",
IF(col=0,""REVISAR EQUIVALENCIA"",
IF(fila=0,""SKU NO ENCONTRADO"",
LET(
valor,INDEX(Referencia!$A$2:$AZ6238,fila,col),
IF(TRIM(TO_TEXT(valor))=TRIM(TO_TEXT(I5212)),"&amp;"
""OK"",
""NO COINCIDE. Valor verdadero: ""&amp;IF(valor="""",""[VACÍO]"",TO_TEXT(valor))
)
))))
),""ERROR EN FÓRMULA""))"),"OK")</f>
        <v>OK</v>
      </c>
    </row>
    <row r="5213">
      <c r="A5213" s="83" t="s">
        <v>4899</v>
      </c>
      <c r="B5213" s="83" t="s">
        <v>4900</v>
      </c>
      <c r="C5213" s="81" t="s">
        <v>4621</v>
      </c>
      <c r="D5213" s="83" t="s">
        <v>4821</v>
      </c>
      <c r="E5213" s="81" t="s">
        <v>3906</v>
      </c>
      <c r="F5213" s="81">
        <v>762.0</v>
      </c>
      <c r="G5213" s="81" t="s">
        <v>3</v>
      </c>
      <c r="H5213" s="81" t="s">
        <v>376</v>
      </c>
      <c r="I5213" s="81" t="s">
        <v>344</v>
      </c>
      <c r="J5213" s="81" t="s">
        <v>224</v>
      </c>
      <c r="K5213" s="81" t="str">
        <f>IFERROR(__xludf.DUMMYFUNCTION("IF(OR(D5213="""",G5213=""""),"""",IFERROR(LET(
campo,XLOOKUP(TRIM(G5213),ARRAYFORMULA(TRIM('indice columnas'!$A$2:$A$100)),'indice columnas'!$B$2:$B$100,""""),
col,IFERROR(MATCH(campo,Referencia!$A$1:$AZ$1,0),0),
fila,IFERROR(MATCH(TO_TEXT(D5213),ARRAYFOR"&amp;"MULA(TO_TEXT(Referencia!$A$2:$A6238)),0),0),
IF(OR(campo="""",campo=""-""),""NO APLICA"",
IF(col=0,""REVISAR EQUIVALENCIA"",
IF(fila=0,""SKU NO ENCONTRADO"",
LET(
valor,INDEX(Referencia!$A$2:$AZ6238,fila,col),
IF(TRIM(TO_TEXT(valor))=TRIM(TO_TEXT(I5213)),"&amp;"
""OK"",
""NO COINCIDE. Valor verdadero: ""&amp;IF(valor="""",""[VACÍO]"",TO_TEXT(valor))
)
))))
),""ERROR EN FÓRMULA""))"),"OK")</f>
        <v>OK</v>
      </c>
    </row>
    <row r="5214">
      <c r="A5214" s="83" t="s">
        <v>4899</v>
      </c>
      <c r="B5214" s="83" t="s">
        <v>4900</v>
      </c>
      <c r="C5214" s="81" t="s">
        <v>4621</v>
      </c>
      <c r="D5214" s="83" t="s">
        <v>4822</v>
      </c>
      <c r="E5214" s="81" t="s">
        <v>3916</v>
      </c>
      <c r="F5214" s="81">
        <v>764.0</v>
      </c>
      <c r="G5214" s="81" t="s">
        <v>3</v>
      </c>
      <c r="H5214" s="81" t="s">
        <v>376</v>
      </c>
      <c r="I5214" s="81" t="s">
        <v>344</v>
      </c>
      <c r="J5214" s="81" t="s">
        <v>224</v>
      </c>
      <c r="K5214" s="81" t="str">
        <f>IFERROR(__xludf.DUMMYFUNCTION("IF(OR(D5214="""",G5214=""""),"""",IFERROR(LET(
campo,XLOOKUP(TRIM(G5214),ARRAYFORMULA(TRIM('indice columnas'!$A$2:$A$100)),'indice columnas'!$B$2:$B$100,""""),
col,IFERROR(MATCH(campo,Referencia!$A$1:$AZ$1,0),0),
fila,IFERROR(MATCH(TO_TEXT(D5214),ARRAYFOR"&amp;"MULA(TO_TEXT(Referencia!$A$2:$A6238)),0),0),
IF(OR(campo="""",campo=""-""),""NO APLICA"",
IF(col=0,""REVISAR EQUIVALENCIA"",
IF(fila=0,""SKU NO ENCONTRADO"",
LET(
valor,INDEX(Referencia!$A$2:$AZ6238,fila,col),
IF(TRIM(TO_TEXT(valor))=TRIM(TO_TEXT(I5214)),"&amp;"
""OK"",
""NO COINCIDE. Valor verdadero: ""&amp;IF(valor="""",""[VACÍO]"",TO_TEXT(valor))
)
))))
),""ERROR EN FÓRMULA""))"),"OK")</f>
        <v>OK</v>
      </c>
    </row>
    <row r="5215">
      <c r="A5215" s="83" t="s">
        <v>4899</v>
      </c>
      <c r="B5215" s="83" t="s">
        <v>4900</v>
      </c>
      <c r="C5215" s="81" t="s">
        <v>4621</v>
      </c>
      <c r="D5215" s="83" t="s">
        <v>4823</v>
      </c>
      <c r="E5215" s="81" t="s">
        <v>3917</v>
      </c>
      <c r="F5215" s="81">
        <v>765.0</v>
      </c>
      <c r="G5215" s="81" t="s">
        <v>3</v>
      </c>
      <c r="H5215" s="81" t="s">
        <v>376</v>
      </c>
      <c r="I5215" s="81" t="s">
        <v>344</v>
      </c>
      <c r="J5215" s="81" t="s">
        <v>224</v>
      </c>
      <c r="K5215" s="81" t="str">
        <f>IFERROR(__xludf.DUMMYFUNCTION("IF(OR(D5215="""",G5215=""""),"""",IFERROR(LET(
campo,XLOOKUP(TRIM(G5215),ARRAYFORMULA(TRIM('indice columnas'!$A$2:$A$100)),'indice columnas'!$B$2:$B$100,""""),
col,IFERROR(MATCH(campo,Referencia!$A$1:$AZ$1,0),0),
fila,IFERROR(MATCH(TO_TEXT(D5215),ARRAYFOR"&amp;"MULA(TO_TEXT(Referencia!$A$2:$A6238)),0),0),
IF(OR(campo="""",campo=""-""),""NO APLICA"",
IF(col=0,""REVISAR EQUIVALENCIA"",
IF(fila=0,""SKU NO ENCONTRADO"",
LET(
valor,INDEX(Referencia!$A$2:$AZ6238,fila,col),
IF(TRIM(TO_TEXT(valor))=TRIM(TO_TEXT(I5215)),"&amp;"
""OK"",
""NO COINCIDE. Valor verdadero: ""&amp;IF(valor="""",""[VACÍO]"",TO_TEXT(valor))
)
))))
),""ERROR EN FÓRMULA""))"),"OK")</f>
        <v>OK</v>
      </c>
    </row>
    <row r="5216">
      <c r="A5216" s="83" t="s">
        <v>4899</v>
      </c>
      <c r="B5216" s="83" t="s">
        <v>4900</v>
      </c>
      <c r="C5216" s="81" t="s">
        <v>4621</v>
      </c>
      <c r="D5216" s="83" t="s">
        <v>4824</v>
      </c>
      <c r="E5216" s="81" t="s">
        <v>3920</v>
      </c>
      <c r="F5216" s="81">
        <v>766.0</v>
      </c>
      <c r="G5216" s="81" t="s">
        <v>3</v>
      </c>
      <c r="H5216" s="81" t="s">
        <v>376</v>
      </c>
      <c r="I5216" s="81" t="s">
        <v>344</v>
      </c>
      <c r="J5216" s="81" t="s">
        <v>224</v>
      </c>
      <c r="K5216" s="81" t="str">
        <f>IFERROR(__xludf.DUMMYFUNCTION("IF(OR(D5216="""",G5216=""""),"""",IFERROR(LET(
campo,XLOOKUP(TRIM(G5216),ARRAYFORMULA(TRIM('indice columnas'!$A$2:$A$100)),'indice columnas'!$B$2:$B$100,""""),
col,IFERROR(MATCH(campo,Referencia!$A$1:$AZ$1,0),0),
fila,IFERROR(MATCH(TO_TEXT(D5216),ARRAYFOR"&amp;"MULA(TO_TEXT(Referencia!$A$2:$A6238)),0),0),
IF(OR(campo="""",campo=""-""),""NO APLICA"",
IF(col=0,""REVISAR EQUIVALENCIA"",
IF(fila=0,""SKU NO ENCONTRADO"",
LET(
valor,INDEX(Referencia!$A$2:$AZ6238,fila,col),
IF(TRIM(TO_TEXT(valor))=TRIM(TO_TEXT(I5216)),"&amp;"
""OK"",
""NO COINCIDE. Valor verdadero: ""&amp;IF(valor="""",""[VACÍO]"",TO_TEXT(valor))
)
))))
),""ERROR EN FÓRMULA""))"),"OK")</f>
        <v>OK</v>
      </c>
    </row>
    <row r="5217">
      <c r="A5217" s="83" t="s">
        <v>4899</v>
      </c>
      <c r="B5217" s="83" t="s">
        <v>4900</v>
      </c>
      <c r="C5217" s="81" t="s">
        <v>4621</v>
      </c>
      <c r="D5217" s="83" t="s">
        <v>4825</v>
      </c>
      <c r="E5217" s="81" t="s">
        <v>3923</v>
      </c>
      <c r="F5217" s="81">
        <v>767.0</v>
      </c>
      <c r="G5217" s="81" t="s">
        <v>3</v>
      </c>
      <c r="H5217" s="81" t="s">
        <v>376</v>
      </c>
      <c r="I5217" s="81" t="s">
        <v>344</v>
      </c>
      <c r="J5217" s="81" t="s">
        <v>224</v>
      </c>
      <c r="K5217" s="81" t="str">
        <f>IFERROR(__xludf.DUMMYFUNCTION("IF(OR(D5217="""",G5217=""""),"""",IFERROR(LET(
campo,XLOOKUP(TRIM(G5217),ARRAYFORMULA(TRIM('indice columnas'!$A$2:$A$100)),'indice columnas'!$B$2:$B$100,""""),
col,IFERROR(MATCH(campo,Referencia!$A$1:$AZ$1,0),0),
fila,IFERROR(MATCH(TO_TEXT(D5217),ARRAYFOR"&amp;"MULA(TO_TEXT(Referencia!$A$2:$A6238)),0),0),
IF(OR(campo="""",campo=""-""),""NO APLICA"",
IF(col=0,""REVISAR EQUIVALENCIA"",
IF(fila=0,""SKU NO ENCONTRADO"",
LET(
valor,INDEX(Referencia!$A$2:$AZ6238,fila,col),
IF(TRIM(TO_TEXT(valor))=TRIM(TO_TEXT(I5217)),"&amp;"
""OK"",
""NO COINCIDE. Valor verdadero: ""&amp;IF(valor="""",""[VACÍO]"",TO_TEXT(valor))
)
))))
),""ERROR EN FÓRMULA""))"),"OK")</f>
        <v>OK</v>
      </c>
    </row>
    <row r="5218">
      <c r="A5218" s="83" t="s">
        <v>4899</v>
      </c>
      <c r="B5218" s="83" t="s">
        <v>4900</v>
      </c>
      <c r="C5218" s="81" t="s">
        <v>4621</v>
      </c>
      <c r="D5218" s="83" t="s">
        <v>4826</v>
      </c>
      <c r="E5218" s="81" t="s">
        <v>3926</v>
      </c>
      <c r="F5218" s="81">
        <v>768.0</v>
      </c>
      <c r="G5218" s="81" t="s">
        <v>3</v>
      </c>
      <c r="H5218" s="81" t="s">
        <v>376</v>
      </c>
      <c r="I5218" s="81" t="s">
        <v>344</v>
      </c>
      <c r="J5218" s="81" t="s">
        <v>224</v>
      </c>
      <c r="K5218" s="81" t="str">
        <f>IFERROR(__xludf.DUMMYFUNCTION("IF(OR(D5218="""",G5218=""""),"""",IFERROR(LET(
campo,XLOOKUP(TRIM(G5218),ARRAYFORMULA(TRIM('indice columnas'!$A$2:$A$100)),'indice columnas'!$B$2:$B$100,""""),
col,IFERROR(MATCH(campo,Referencia!$A$1:$AZ$1,0),0),
fila,IFERROR(MATCH(TO_TEXT(D5218),ARRAYFOR"&amp;"MULA(TO_TEXT(Referencia!$A$2:$A6238)),0),0),
IF(OR(campo="""",campo=""-""),""NO APLICA"",
IF(col=0,""REVISAR EQUIVALENCIA"",
IF(fila=0,""SKU NO ENCONTRADO"",
LET(
valor,INDEX(Referencia!$A$2:$AZ6238,fila,col),
IF(TRIM(TO_TEXT(valor))=TRIM(TO_TEXT(I5218)),"&amp;"
""OK"",
""NO COINCIDE. Valor verdadero: ""&amp;IF(valor="""",""[VACÍO]"",TO_TEXT(valor))
)
))))
),""ERROR EN FÓRMULA""))"),"OK")</f>
        <v>OK</v>
      </c>
    </row>
    <row r="5219">
      <c r="A5219" s="83" t="s">
        <v>4899</v>
      </c>
      <c r="B5219" s="83" t="s">
        <v>4900</v>
      </c>
      <c r="C5219" s="81" t="s">
        <v>4621</v>
      </c>
      <c r="D5219" s="83" t="s">
        <v>4827</v>
      </c>
      <c r="E5219" s="81" t="s">
        <v>3929</v>
      </c>
      <c r="F5219" s="81">
        <v>769.0</v>
      </c>
      <c r="G5219" s="81" t="s">
        <v>3</v>
      </c>
      <c r="H5219" s="81" t="s">
        <v>376</v>
      </c>
      <c r="I5219" s="81" t="s">
        <v>344</v>
      </c>
      <c r="J5219" s="81" t="s">
        <v>224</v>
      </c>
      <c r="K5219" s="81" t="str">
        <f>IFERROR(__xludf.DUMMYFUNCTION("IF(OR(D5219="""",G5219=""""),"""",IFERROR(LET(
campo,XLOOKUP(TRIM(G5219),ARRAYFORMULA(TRIM('indice columnas'!$A$2:$A$100)),'indice columnas'!$B$2:$B$100,""""),
col,IFERROR(MATCH(campo,Referencia!$A$1:$AZ$1,0),0),
fila,IFERROR(MATCH(TO_TEXT(D5219),ARRAYFOR"&amp;"MULA(TO_TEXT(Referencia!$A$2:$A6238)),0),0),
IF(OR(campo="""",campo=""-""),""NO APLICA"",
IF(col=0,""REVISAR EQUIVALENCIA"",
IF(fila=0,""SKU NO ENCONTRADO"",
LET(
valor,INDEX(Referencia!$A$2:$AZ6238,fila,col),
IF(TRIM(TO_TEXT(valor))=TRIM(TO_TEXT(I5219)),"&amp;"
""OK"",
""NO COINCIDE. Valor verdadero: ""&amp;IF(valor="""",""[VACÍO]"",TO_TEXT(valor))
)
))))
),""ERROR EN FÓRMULA""))"),"OK")</f>
        <v>OK</v>
      </c>
    </row>
    <row r="5220">
      <c r="A5220" s="83" t="s">
        <v>4899</v>
      </c>
      <c r="B5220" s="83" t="s">
        <v>4900</v>
      </c>
      <c r="C5220" s="81" t="s">
        <v>4621</v>
      </c>
      <c r="D5220" s="83" t="s">
        <v>4828</v>
      </c>
      <c r="E5220" s="81" t="s">
        <v>3935</v>
      </c>
      <c r="F5220" s="81">
        <v>771.0</v>
      </c>
      <c r="G5220" s="81" t="s">
        <v>3</v>
      </c>
      <c r="H5220" s="81" t="s">
        <v>376</v>
      </c>
      <c r="I5220" s="81" t="s">
        <v>344</v>
      </c>
      <c r="J5220" s="81" t="s">
        <v>224</v>
      </c>
      <c r="K5220" s="81" t="str">
        <f>IFERROR(__xludf.DUMMYFUNCTION("IF(OR(D5220="""",G5220=""""),"""",IFERROR(LET(
campo,XLOOKUP(TRIM(G5220),ARRAYFORMULA(TRIM('indice columnas'!$A$2:$A$100)),'indice columnas'!$B$2:$B$100,""""),
col,IFERROR(MATCH(campo,Referencia!$A$1:$AZ$1,0),0),
fila,IFERROR(MATCH(TO_TEXT(D5220),ARRAYFOR"&amp;"MULA(TO_TEXT(Referencia!$A$2:$A6238)),0),0),
IF(OR(campo="""",campo=""-""),""NO APLICA"",
IF(col=0,""REVISAR EQUIVALENCIA"",
IF(fila=0,""SKU NO ENCONTRADO"",
LET(
valor,INDEX(Referencia!$A$2:$AZ6238,fila,col),
IF(TRIM(TO_TEXT(valor))=TRIM(TO_TEXT(I5220)),"&amp;"
""OK"",
""NO COINCIDE. Valor verdadero: ""&amp;IF(valor="""",""[VACÍO]"",TO_TEXT(valor))
)
))))
),""ERROR EN FÓRMULA""))"),"OK")</f>
        <v>OK</v>
      </c>
    </row>
    <row r="5221">
      <c r="A5221" s="83" t="s">
        <v>4899</v>
      </c>
      <c r="B5221" s="83" t="s">
        <v>4900</v>
      </c>
      <c r="C5221" s="81" t="s">
        <v>4621</v>
      </c>
      <c r="D5221" s="83" t="s">
        <v>4829</v>
      </c>
      <c r="E5221" s="81" t="s">
        <v>3936</v>
      </c>
      <c r="F5221" s="81">
        <v>772.0</v>
      </c>
      <c r="G5221" s="81" t="s">
        <v>3</v>
      </c>
      <c r="H5221" s="81" t="s">
        <v>376</v>
      </c>
      <c r="I5221" s="81" t="s">
        <v>344</v>
      </c>
      <c r="J5221" s="81" t="s">
        <v>224</v>
      </c>
      <c r="K5221" s="81" t="str">
        <f>IFERROR(__xludf.DUMMYFUNCTION("IF(OR(D5221="""",G5221=""""),"""",IFERROR(LET(
campo,XLOOKUP(TRIM(G5221),ARRAYFORMULA(TRIM('indice columnas'!$A$2:$A$100)),'indice columnas'!$B$2:$B$100,""""),
col,IFERROR(MATCH(campo,Referencia!$A$1:$AZ$1,0),0),
fila,IFERROR(MATCH(TO_TEXT(D5221),ARRAYFOR"&amp;"MULA(TO_TEXT(Referencia!$A$2:$A6238)),0),0),
IF(OR(campo="""",campo=""-""),""NO APLICA"",
IF(col=0,""REVISAR EQUIVALENCIA"",
IF(fila=0,""SKU NO ENCONTRADO"",
LET(
valor,INDEX(Referencia!$A$2:$AZ6238,fila,col),
IF(TRIM(TO_TEXT(valor))=TRIM(TO_TEXT(I5221)),"&amp;"
""OK"",
""NO COINCIDE. Valor verdadero: ""&amp;IF(valor="""",""[VACÍO]"",TO_TEXT(valor))
)
))))
),""ERROR EN FÓRMULA""))"),"OK")</f>
        <v>OK</v>
      </c>
    </row>
    <row r="5222">
      <c r="A5222" s="83" t="s">
        <v>4899</v>
      </c>
      <c r="B5222" s="83" t="s">
        <v>4900</v>
      </c>
      <c r="C5222" s="81" t="s">
        <v>4621</v>
      </c>
      <c r="D5222" s="83" t="s">
        <v>4830</v>
      </c>
      <c r="E5222" s="81" t="s">
        <v>3939</v>
      </c>
      <c r="F5222" s="81">
        <v>773.0</v>
      </c>
      <c r="G5222" s="81" t="s">
        <v>3</v>
      </c>
      <c r="H5222" s="81" t="s">
        <v>376</v>
      </c>
      <c r="I5222" s="81" t="s">
        <v>344</v>
      </c>
      <c r="J5222" s="81" t="s">
        <v>224</v>
      </c>
      <c r="K5222" s="81" t="str">
        <f>IFERROR(__xludf.DUMMYFUNCTION("IF(OR(D5222="""",G5222=""""),"""",IFERROR(LET(
campo,XLOOKUP(TRIM(G5222),ARRAYFORMULA(TRIM('indice columnas'!$A$2:$A$100)),'indice columnas'!$B$2:$B$100,""""),
col,IFERROR(MATCH(campo,Referencia!$A$1:$AZ$1,0),0),
fila,IFERROR(MATCH(TO_TEXT(D5222),ARRAYFOR"&amp;"MULA(TO_TEXT(Referencia!$A$2:$A6238)),0),0),
IF(OR(campo="""",campo=""-""),""NO APLICA"",
IF(col=0,""REVISAR EQUIVALENCIA"",
IF(fila=0,""SKU NO ENCONTRADO"",
LET(
valor,INDEX(Referencia!$A$2:$AZ6238,fila,col),
IF(TRIM(TO_TEXT(valor))=TRIM(TO_TEXT(I5222)),"&amp;"
""OK"",
""NO COINCIDE. Valor verdadero: ""&amp;IF(valor="""",""[VACÍO]"",TO_TEXT(valor))
)
))))
),""ERROR EN FÓRMULA""))"),"OK")</f>
        <v>OK</v>
      </c>
    </row>
    <row r="5223">
      <c r="A5223" s="83" t="s">
        <v>4899</v>
      </c>
      <c r="B5223" s="83" t="s">
        <v>4900</v>
      </c>
      <c r="C5223" s="81" t="s">
        <v>4621</v>
      </c>
      <c r="D5223" s="83" t="s">
        <v>4831</v>
      </c>
      <c r="E5223" s="81" t="s">
        <v>3942</v>
      </c>
      <c r="F5223" s="81">
        <v>774.0</v>
      </c>
      <c r="G5223" s="81" t="s">
        <v>3</v>
      </c>
      <c r="H5223" s="81" t="s">
        <v>376</v>
      </c>
      <c r="I5223" s="81" t="s">
        <v>344</v>
      </c>
      <c r="J5223" s="81" t="s">
        <v>224</v>
      </c>
      <c r="K5223" s="81" t="str">
        <f>IFERROR(__xludf.DUMMYFUNCTION("IF(OR(D5223="""",G5223=""""),"""",IFERROR(LET(
campo,XLOOKUP(TRIM(G5223),ARRAYFORMULA(TRIM('indice columnas'!$A$2:$A$100)),'indice columnas'!$B$2:$B$100,""""),
col,IFERROR(MATCH(campo,Referencia!$A$1:$AZ$1,0),0),
fila,IFERROR(MATCH(TO_TEXT(D5223),ARRAYFOR"&amp;"MULA(TO_TEXT(Referencia!$A$2:$A6238)),0),0),
IF(OR(campo="""",campo=""-""),""NO APLICA"",
IF(col=0,""REVISAR EQUIVALENCIA"",
IF(fila=0,""SKU NO ENCONTRADO"",
LET(
valor,INDEX(Referencia!$A$2:$AZ6238,fila,col),
IF(TRIM(TO_TEXT(valor))=TRIM(TO_TEXT(I5223)),"&amp;"
""OK"",
""NO COINCIDE. Valor verdadero: ""&amp;IF(valor="""",""[VACÍO]"",TO_TEXT(valor))
)
))))
),""ERROR EN FÓRMULA""))"),"OK")</f>
        <v>OK</v>
      </c>
    </row>
    <row r="5224">
      <c r="A5224" s="83" t="s">
        <v>4899</v>
      </c>
      <c r="B5224" s="83" t="s">
        <v>4900</v>
      </c>
      <c r="C5224" s="81" t="s">
        <v>4621</v>
      </c>
      <c r="D5224" s="83" t="s">
        <v>4844</v>
      </c>
      <c r="E5224" s="81" t="s">
        <v>3998</v>
      </c>
      <c r="F5224" s="81">
        <v>792.0</v>
      </c>
      <c r="G5224" s="81" t="s">
        <v>1</v>
      </c>
      <c r="H5224" s="81" t="s">
        <v>224</v>
      </c>
      <c r="I5224" s="81" t="s">
        <v>49</v>
      </c>
      <c r="J5224" s="81" t="s">
        <v>224</v>
      </c>
      <c r="K5224" s="81" t="str">
        <f>IFERROR(__xludf.DUMMYFUNCTION("IF(OR(D5224="""",G5224=""""),"""",IFERROR(LET(
campo,XLOOKUP(TRIM(G5224),ARRAYFORMULA(TRIM('indice columnas'!$A$2:$A$100)),'indice columnas'!$B$2:$B$100,""""),
col,IFERROR(MATCH(campo,Referencia!$A$1:$AZ$1,0),0),
fila,IFERROR(MATCH(TO_TEXT(D5224),ARRAYFOR"&amp;"MULA(TO_TEXT(Referencia!$A$2:$A6238)),0),0),
IF(OR(campo="""",campo=""-""),""NO APLICA"",
IF(col=0,""REVISAR EQUIVALENCIA"",
IF(fila=0,""SKU NO ENCONTRADO"",
LET(
valor,INDEX(Referencia!$A$2:$AZ6238,fila,col),
IF(TRIM(TO_TEXT(valor))=TRIM(TO_TEXT(I5224)),"&amp;"
""OK"",
""NO COINCIDE. Valor verdadero: ""&amp;IF(valor="""",""[VACÍO]"",TO_TEXT(valor))
)
))))
),""ERROR EN FÓRMULA""))"),"OK")</f>
        <v>OK</v>
      </c>
    </row>
    <row r="5225">
      <c r="A5225" s="83" t="s">
        <v>4899</v>
      </c>
      <c r="B5225" s="83" t="s">
        <v>4900</v>
      </c>
      <c r="C5225" s="81" t="s">
        <v>4621</v>
      </c>
      <c r="D5225" s="83" t="s">
        <v>4845</v>
      </c>
      <c r="E5225" s="81" t="s">
        <v>4002</v>
      </c>
      <c r="F5225" s="81">
        <v>793.0</v>
      </c>
      <c r="G5225" s="81" t="s">
        <v>1</v>
      </c>
      <c r="H5225" s="81" t="s">
        <v>224</v>
      </c>
      <c r="I5225" s="81" t="s">
        <v>49</v>
      </c>
      <c r="J5225" s="81" t="s">
        <v>224</v>
      </c>
      <c r="K5225" s="81" t="str">
        <f>IFERROR(__xludf.DUMMYFUNCTION("IF(OR(D5225="""",G5225=""""),"""",IFERROR(LET(
campo,XLOOKUP(TRIM(G5225),ARRAYFORMULA(TRIM('indice columnas'!$A$2:$A$100)),'indice columnas'!$B$2:$B$100,""""),
col,IFERROR(MATCH(campo,Referencia!$A$1:$AZ$1,0),0),
fila,IFERROR(MATCH(TO_TEXT(D5225),ARRAYFOR"&amp;"MULA(TO_TEXT(Referencia!$A$2:$A6238)),0),0),
IF(OR(campo="""",campo=""-""),""NO APLICA"",
IF(col=0,""REVISAR EQUIVALENCIA"",
IF(fila=0,""SKU NO ENCONTRADO"",
LET(
valor,INDEX(Referencia!$A$2:$AZ6238,fila,col),
IF(TRIM(TO_TEXT(valor))=TRIM(TO_TEXT(I5225)),"&amp;"
""OK"",
""NO COINCIDE. Valor verdadero: ""&amp;IF(valor="""",""[VACÍO]"",TO_TEXT(valor))
)
))))
),""ERROR EN FÓRMULA""))"),"OK")</f>
        <v>OK</v>
      </c>
    </row>
    <row r="5226">
      <c r="A5226" s="83" t="s">
        <v>4899</v>
      </c>
      <c r="B5226" s="83" t="s">
        <v>4900</v>
      </c>
      <c r="C5226" s="81" t="s">
        <v>4621</v>
      </c>
      <c r="D5226" s="83" t="s">
        <v>4846</v>
      </c>
      <c r="E5226" s="81" t="s">
        <v>1133</v>
      </c>
      <c r="F5226" s="81">
        <v>794.0</v>
      </c>
      <c r="G5226" s="81" t="s">
        <v>1</v>
      </c>
      <c r="H5226" s="81" t="s">
        <v>224</v>
      </c>
      <c r="I5226" s="81" t="s">
        <v>49</v>
      </c>
      <c r="J5226" s="81" t="s">
        <v>224</v>
      </c>
      <c r="K5226" s="81" t="str">
        <f>IFERROR(__xludf.DUMMYFUNCTION("IF(OR(D5226="""",G5226=""""),"""",IFERROR(LET(
campo,XLOOKUP(TRIM(G5226),ARRAYFORMULA(TRIM('indice columnas'!$A$2:$A$100)),'indice columnas'!$B$2:$B$100,""""),
col,IFERROR(MATCH(campo,Referencia!$A$1:$AZ$1,0),0),
fila,IFERROR(MATCH(TO_TEXT(D5226),ARRAYFOR"&amp;"MULA(TO_TEXT(Referencia!$A$2:$A6238)),0),0),
IF(OR(campo="""",campo=""-""),""NO APLICA"",
IF(col=0,""REVISAR EQUIVALENCIA"",
IF(fila=0,""SKU NO ENCONTRADO"",
LET(
valor,INDEX(Referencia!$A$2:$AZ6238,fila,col),
IF(TRIM(TO_TEXT(valor))=TRIM(TO_TEXT(I5226)),"&amp;"
""OK"",
""NO COINCIDE. Valor verdadero: ""&amp;IF(valor="""",""[VACÍO]"",TO_TEXT(valor))
)
))))
),""ERROR EN FÓRMULA""))"),"OK")</f>
        <v>OK</v>
      </c>
    </row>
    <row r="5227">
      <c r="A5227" s="83" t="s">
        <v>4899</v>
      </c>
      <c r="B5227" s="83" t="s">
        <v>4900</v>
      </c>
      <c r="C5227" s="81" t="s">
        <v>4621</v>
      </c>
      <c r="D5227" s="83" t="s">
        <v>4847</v>
      </c>
      <c r="E5227" s="81" t="s">
        <v>4005</v>
      </c>
      <c r="F5227" s="81">
        <v>795.0</v>
      </c>
      <c r="G5227" s="81" t="s">
        <v>1</v>
      </c>
      <c r="H5227" s="81" t="s">
        <v>224</v>
      </c>
      <c r="I5227" s="81" t="s">
        <v>49</v>
      </c>
      <c r="J5227" s="81" t="s">
        <v>224</v>
      </c>
      <c r="K5227" s="81" t="str">
        <f>IFERROR(__xludf.DUMMYFUNCTION("IF(OR(D5227="""",G5227=""""),"""",IFERROR(LET(
campo,XLOOKUP(TRIM(G5227),ARRAYFORMULA(TRIM('indice columnas'!$A$2:$A$100)),'indice columnas'!$B$2:$B$100,""""),
col,IFERROR(MATCH(campo,Referencia!$A$1:$AZ$1,0),0),
fila,IFERROR(MATCH(TO_TEXT(D5227),ARRAYFOR"&amp;"MULA(TO_TEXT(Referencia!$A$2:$A6238)),0),0),
IF(OR(campo="""",campo=""-""),""NO APLICA"",
IF(col=0,""REVISAR EQUIVALENCIA"",
IF(fila=0,""SKU NO ENCONTRADO"",
LET(
valor,INDEX(Referencia!$A$2:$AZ6238,fila,col),
IF(TRIM(TO_TEXT(valor))=TRIM(TO_TEXT(I5227)),"&amp;"
""OK"",
""NO COINCIDE. Valor verdadero: ""&amp;IF(valor="""",""[VACÍO]"",TO_TEXT(valor))
)
))))
),""ERROR EN FÓRMULA""))"),"OK")</f>
        <v>OK</v>
      </c>
    </row>
    <row r="5228">
      <c r="A5228" s="83" t="s">
        <v>4899</v>
      </c>
      <c r="B5228" s="83" t="s">
        <v>4900</v>
      </c>
      <c r="C5228" s="81" t="s">
        <v>4621</v>
      </c>
      <c r="D5228" s="83" t="s">
        <v>4848</v>
      </c>
      <c r="E5228" s="81" t="s">
        <v>1142</v>
      </c>
      <c r="F5228" s="81">
        <v>796.0</v>
      </c>
      <c r="G5228" s="81" t="s">
        <v>1</v>
      </c>
      <c r="H5228" s="81" t="s">
        <v>224</v>
      </c>
      <c r="I5228" s="81" t="s">
        <v>49</v>
      </c>
      <c r="J5228" s="81" t="s">
        <v>224</v>
      </c>
      <c r="K5228" s="81" t="str">
        <f>IFERROR(__xludf.DUMMYFUNCTION("IF(OR(D5228="""",G5228=""""),"""",IFERROR(LET(
campo,XLOOKUP(TRIM(G5228),ARRAYFORMULA(TRIM('indice columnas'!$A$2:$A$100)),'indice columnas'!$B$2:$B$100,""""),
col,IFERROR(MATCH(campo,Referencia!$A$1:$AZ$1,0),0),
fila,IFERROR(MATCH(TO_TEXT(D5228),ARRAYFOR"&amp;"MULA(TO_TEXT(Referencia!$A$2:$A6238)),0),0),
IF(OR(campo="""",campo=""-""),""NO APLICA"",
IF(col=0,""REVISAR EQUIVALENCIA"",
IF(fila=0,""SKU NO ENCONTRADO"",
LET(
valor,INDEX(Referencia!$A$2:$AZ6238,fila,col),
IF(TRIM(TO_TEXT(valor))=TRIM(TO_TEXT(I5228)),"&amp;"
""OK"",
""NO COINCIDE. Valor verdadero: ""&amp;IF(valor="""",""[VACÍO]"",TO_TEXT(valor))
)
))))
),""ERROR EN FÓRMULA""))"),"OK")</f>
        <v>OK</v>
      </c>
    </row>
    <row r="5229">
      <c r="A5229" s="83" t="s">
        <v>4899</v>
      </c>
      <c r="B5229" s="83" t="s">
        <v>4900</v>
      </c>
      <c r="C5229" s="81" t="s">
        <v>4621</v>
      </c>
      <c r="D5229" s="83" t="s">
        <v>4850</v>
      </c>
      <c r="E5229" s="81" t="s">
        <v>1138</v>
      </c>
      <c r="F5229" s="81">
        <v>797.0</v>
      </c>
      <c r="G5229" s="81" t="s">
        <v>1</v>
      </c>
      <c r="H5229" s="81" t="s">
        <v>224</v>
      </c>
      <c r="I5229" s="81" t="s">
        <v>49</v>
      </c>
      <c r="J5229" s="81" t="s">
        <v>224</v>
      </c>
      <c r="K5229" s="81" t="str">
        <f>IFERROR(__xludf.DUMMYFUNCTION("IF(OR(D5229="""",G5229=""""),"""",IFERROR(LET(
campo,XLOOKUP(TRIM(G5229),ARRAYFORMULA(TRIM('indice columnas'!$A$2:$A$100)),'indice columnas'!$B$2:$B$100,""""),
col,IFERROR(MATCH(campo,Referencia!$A$1:$AZ$1,0),0),
fila,IFERROR(MATCH(TO_TEXT(D5229),ARRAYFOR"&amp;"MULA(TO_TEXT(Referencia!$A$2:$A6238)),0),0),
IF(OR(campo="""",campo=""-""),""NO APLICA"",
IF(col=0,""REVISAR EQUIVALENCIA"",
IF(fila=0,""SKU NO ENCONTRADO"",
LET(
valor,INDEX(Referencia!$A$2:$AZ6238,fila,col),
IF(TRIM(TO_TEXT(valor))=TRIM(TO_TEXT(I5229)),"&amp;"
""OK"",
""NO COINCIDE. Valor verdadero: ""&amp;IF(valor="""",""[VACÍO]"",TO_TEXT(valor))
)
))))
),""ERROR EN FÓRMULA""))"),"OK")</f>
        <v>OK</v>
      </c>
    </row>
    <row r="5230">
      <c r="A5230" s="83" t="s">
        <v>4899</v>
      </c>
      <c r="B5230" s="83" t="s">
        <v>4900</v>
      </c>
      <c r="C5230" s="81" t="s">
        <v>4621</v>
      </c>
      <c r="D5230" s="83" t="s">
        <v>4861</v>
      </c>
      <c r="E5230" s="81" t="s">
        <v>4007</v>
      </c>
      <c r="F5230" s="81">
        <v>798.0</v>
      </c>
      <c r="G5230" s="81" t="s">
        <v>3</v>
      </c>
      <c r="H5230" s="81" t="s">
        <v>376</v>
      </c>
      <c r="I5230" s="81" t="s">
        <v>344</v>
      </c>
      <c r="J5230" s="81" t="s">
        <v>224</v>
      </c>
      <c r="K5230" s="81" t="str">
        <f>IFERROR(__xludf.DUMMYFUNCTION("IF(OR(D5230="""",G5230=""""),"""",IFERROR(LET(
campo,XLOOKUP(TRIM(G5230),ARRAYFORMULA(TRIM('indice columnas'!$A$2:$A$100)),'indice columnas'!$B$2:$B$100,""""),
col,IFERROR(MATCH(campo,Referencia!$A$1:$AZ$1,0),0),
fila,IFERROR(MATCH(TO_TEXT(D5230),ARRAYFOR"&amp;"MULA(TO_TEXT(Referencia!$A$2:$A6238)),0),0),
IF(OR(campo="""",campo=""-""),""NO APLICA"",
IF(col=0,""REVISAR EQUIVALENCIA"",
IF(fila=0,""SKU NO ENCONTRADO"",
LET(
valor,INDEX(Referencia!$A$2:$AZ6238,fila,col),
IF(TRIM(TO_TEXT(valor))=TRIM(TO_TEXT(I5230)),"&amp;"
""OK"",
""NO COINCIDE. Valor verdadero: ""&amp;IF(valor="""",""[VACÍO]"",TO_TEXT(valor))
)
))))
),""ERROR EN FÓRMULA""))"),"OK")</f>
        <v>OK</v>
      </c>
    </row>
    <row r="5231">
      <c r="A5231" s="83" t="s">
        <v>4899</v>
      </c>
      <c r="B5231" s="83" t="s">
        <v>4900</v>
      </c>
      <c r="C5231" s="81" t="s">
        <v>4621</v>
      </c>
      <c r="D5231" s="83" t="s">
        <v>4868</v>
      </c>
      <c r="E5231" s="81" t="s">
        <v>4020</v>
      </c>
      <c r="F5231" s="81">
        <v>806.0</v>
      </c>
      <c r="G5231" s="81" t="s">
        <v>3</v>
      </c>
      <c r="H5231" s="81" t="s">
        <v>214</v>
      </c>
      <c r="I5231" s="81" t="s">
        <v>51</v>
      </c>
      <c r="J5231" s="81" t="s">
        <v>224</v>
      </c>
      <c r="K5231" s="81" t="str">
        <f>IFERROR(__xludf.DUMMYFUNCTION("IF(OR(D5231="""",G5231=""""),"""",IFERROR(LET(
campo,XLOOKUP(TRIM(G5231),ARRAYFORMULA(TRIM('indice columnas'!$A$2:$A$100)),'indice columnas'!$B$2:$B$100,""""),
col,IFERROR(MATCH(campo,Referencia!$A$1:$AZ$1,0),0),
fila,IFERROR(MATCH(TO_TEXT(D5231),ARRAYFOR"&amp;"MULA(TO_TEXT(Referencia!$A$2:$A6238)),0),0),
IF(OR(campo="""",campo=""-""),""NO APLICA"",
IF(col=0,""REVISAR EQUIVALENCIA"",
IF(fila=0,""SKU NO ENCONTRADO"",
LET(
valor,INDEX(Referencia!$A$2:$AZ6238,fila,col),
IF(TRIM(TO_TEXT(valor))=TRIM(TO_TEXT(I5231)),"&amp;"
""OK"",
""NO COINCIDE. Valor verdadero: ""&amp;IF(valor="""",""[VACÍO]"",TO_TEXT(valor))
)
))))
),""ERROR EN FÓRMULA""))"),"OK")</f>
        <v>OK</v>
      </c>
    </row>
    <row r="5232">
      <c r="A5232" s="83" t="s">
        <v>4899</v>
      </c>
      <c r="B5232" s="83" t="s">
        <v>4900</v>
      </c>
      <c r="C5232" s="81" t="s">
        <v>4621</v>
      </c>
      <c r="D5232" s="83" t="s">
        <v>4869</v>
      </c>
      <c r="E5232" s="81" t="s">
        <v>4032</v>
      </c>
      <c r="F5232" s="81">
        <v>807.0</v>
      </c>
      <c r="G5232" s="81" t="s">
        <v>3</v>
      </c>
      <c r="H5232" s="81" t="s">
        <v>214</v>
      </c>
      <c r="I5232" s="81" t="s">
        <v>51</v>
      </c>
      <c r="J5232" s="81" t="s">
        <v>224</v>
      </c>
      <c r="K5232" s="81" t="str">
        <f>IFERROR(__xludf.DUMMYFUNCTION("IF(OR(D5232="""",G5232=""""),"""",IFERROR(LET(
campo,XLOOKUP(TRIM(G5232),ARRAYFORMULA(TRIM('indice columnas'!$A$2:$A$100)),'indice columnas'!$B$2:$B$100,""""),
col,IFERROR(MATCH(campo,Referencia!$A$1:$AZ$1,0),0),
fila,IFERROR(MATCH(TO_TEXT(D5232),ARRAYFOR"&amp;"MULA(TO_TEXT(Referencia!$A$2:$A6238)),0),0),
IF(OR(campo="""",campo=""-""),""NO APLICA"",
IF(col=0,""REVISAR EQUIVALENCIA"",
IF(fila=0,""SKU NO ENCONTRADO"",
LET(
valor,INDEX(Referencia!$A$2:$AZ6238,fila,col),
IF(TRIM(TO_TEXT(valor))=TRIM(TO_TEXT(I5232)),"&amp;"
""OK"",
""NO COINCIDE. Valor verdadero: ""&amp;IF(valor="""",""[VACÍO]"",TO_TEXT(valor))
)
))))
),""ERROR EN FÓRMULA""))"),"OK")</f>
        <v>OK</v>
      </c>
    </row>
    <row r="5233">
      <c r="A5233" s="83" t="s">
        <v>4902</v>
      </c>
      <c r="B5233" s="83" t="s">
        <v>4903</v>
      </c>
      <c r="C5233" s="81" t="s">
        <v>4080</v>
      </c>
      <c r="D5233" s="81" t="s">
        <v>224</v>
      </c>
      <c r="E5233" s="81" t="s">
        <v>224</v>
      </c>
      <c r="F5233" s="81" t="s">
        <v>224</v>
      </c>
      <c r="G5233" s="81" t="s">
        <v>224</v>
      </c>
      <c r="H5233" s="81" t="s">
        <v>224</v>
      </c>
      <c r="I5233" s="81" t="s">
        <v>224</v>
      </c>
      <c r="J5233" s="81" t="s">
        <v>4904</v>
      </c>
      <c r="K5233" s="81"/>
    </row>
    <row r="5234">
      <c r="A5234" s="83" t="s">
        <v>4902</v>
      </c>
      <c r="B5234" s="83" t="s">
        <v>4903</v>
      </c>
      <c r="C5234" s="81" t="s">
        <v>4082</v>
      </c>
      <c r="D5234" s="81" t="s">
        <v>224</v>
      </c>
      <c r="E5234" s="81" t="s">
        <v>224</v>
      </c>
      <c r="F5234" s="81" t="s">
        <v>224</v>
      </c>
      <c r="G5234" s="81" t="s">
        <v>8</v>
      </c>
      <c r="H5234" s="81" t="s">
        <v>224</v>
      </c>
      <c r="I5234" s="81" t="s">
        <v>224</v>
      </c>
      <c r="J5234" s="81" t="s">
        <v>4083</v>
      </c>
      <c r="K5234" s="81"/>
    </row>
    <row r="5235">
      <c r="A5235" s="83" t="s">
        <v>4902</v>
      </c>
      <c r="B5235" s="83" t="s">
        <v>4903</v>
      </c>
      <c r="C5235" s="81" t="s">
        <v>4084</v>
      </c>
      <c r="D5235" s="81" t="s">
        <v>224</v>
      </c>
      <c r="E5235" s="81" t="s">
        <v>224</v>
      </c>
      <c r="F5235" s="81" t="s">
        <v>224</v>
      </c>
      <c r="G5235" s="81" t="s">
        <v>9</v>
      </c>
      <c r="H5235" s="81" t="s">
        <v>224</v>
      </c>
      <c r="I5235" s="81" t="s">
        <v>224</v>
      </c>
      <c r="J5235" s="81" t="s">
        <v>4085</v>
      </c>
      <c r="K5235" s="81"/>
    </row>
    <row r="5236">
      <c r="A5236" s="83" t="s">
        <v>4905</v>
      </c>
      <c r="B5236" s="83" t="s">
        <v>4906</v>
      </c>
      <c r="C5236" s="81" t="s">
        <v>4080</v>
      </c>
      <c r="D5236" s="81" t="s">
        <v>224</v>
      </c>
      <c r="E5236" s="81" t="s">
        <v>224</v>
      </c>
      <c r="F5236" s="81" t="s">
        <v>224</v>
      </c>
      <c r="G5236" s="81" t="s">
        <v>224</v>
      </c>
      <c r="H5236" s="81" t="s">
        <v>224</v>
      </c>
      <c r="I5236" s="81" t="s">
        <v>224</v>
      </c>
      <c r="J5236" s="81" t="s">
        <v>4904</v>
      </c>
      <c r="K5236" s="81"/>
    </row>
    <row r="5237">
      <c r="A5237" s="83" t="s">
        <v>4905</v>
      </c>
      <c r="B5237" s="83" t="s">
        <v>4906</v>
      </c>
      <c r="C5237" s="81" t="s">
        <v>4082</v>
      </c>
      <c r="D5237" s="81" t="s">
        <v>224</v>
      </c>
      <c r="E5237" s="81" t="s">
        <v>224</v>
      </c>
      <c r="F5237" s="81" t="s">
        <v>224</v>
      </c>
      <c r="G5237" s="81" t="s">
        <v>8</v>
      </c>
      <c r="H5237" s="81" t="s">
        <v>224</v>
      </c>
      <c r="I5237" s="81" t="s">
        <v>224</v>
      </c>
      <c r="J5237" s="81" t="s">
        <v>4083</v>
      </c>
      <c r="K5237" s="81"/>
    </row>
    <row r="5238">
      <c r="A5238" s="83" t="s">
        <v>4905</v>
      </c>
      <c r="B5238" s="83" t="s">
        <v>4906</v>
      </c>
      <c r="C5238" s="81" t="s">
        <v>4084</v>
      </c>
      <c r="D5238" s="81" t="s">
        <v>224</v>
      </c>
      <c r="E5238" s="81" t="s">
        <v>224</v>
      </c>
      <c r="F5238" s="81" t="s">
        <v>224</v>
      </c>
      <c r="G5238" s="81" t="s">
        <v>9</v>
      </c>
      <c r="H5238" s="81" t="s">
        <v>224</v>
      </c>
      <c r="I5238" s="81" t="s">
        <v>224</v>
      </c>
      <c r="J5238" s="81" t="s">
        <v>4085</v>
      </c>
      <c r="K5238" s="81"/>
    </row>
  </sheetData>
  <autoFilter ref="$A$1:$K$5232"/>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5"/>
    <col customWidth="1" min="2" max="2" width="37.38"/>
    <col customWidth="1" min="3" max="3" width="15.38"/>
    <col customWidth="1" min="4" max="4" width="53.75"/>
    <col customWidth="1" min="5" max="6" width="12.63"/>
  </cols>
  <sheetData>
    <row r="1" ht="15.75" customHeight="1">
      <c r="A1" s="85" t="s">
        <v>4907</v>
      </c>
      <c r="B1" s="85" t="s">
        <v>4908</v>
      </c>
      <c r="C1" s="85" t="s">
        <v>4909</v>
      </c>
      <c r="D1" s="85" t="s">
        <v>4910</v>
      </c>
      <c r="E1" s="86"/>
      <c r="F1" s="86"/>
      <c r="G1" s="86"/>
      <c r="H1" s="86"/>
      <c r="I1" s="86"/>
      <c r="J1" s="86"/>
      <c r="K1" s="86"/>
      <c r="L1" s="86"/>
      <c r="M1" s="86"/>
      <c r="N1" s="86"/>
      <c r="O1" s="86"/>
      <c r="P1" s="86"/>
      <c r="Q1" s="86"/>
      <c r="R1" s="86"/>
      <c r="S1" s="86"/>
      <c r="T1" s="86"/>
      <c r="U1" s="86"/>
      <c r="V1" s="86"/>
      <c r="W1" s="86"/>
      <c r="X1" s="86"/>
      <c r="Y1" s="86"/>
      <c r="Z1" s="86"/>
    </row>
    <row r="2" ht="15.75" customHeight="1">
      <c r="A2" s="87" t="s">
        <v>7</v>
      </c>
      <c r="B2" s="88" t="s">
        <v>7</v>
      </c>
      <c r="C2" s="89"/>
      <c r="D2" s="90"/>
      <c r="H2" s="86"/>
      <c r="I2" s="86"/>
      <c r="J2" s="86"/>
      <c r="K2" s="86"/>
      <c r="L2" s="86"/>
      <c r="M2" s="86"/>
      <c r="N2" s="86"/>
      <c r="O2" s="86"/>
      <c r="P2" s="86"/>
      <c r="Q2" s="86"/>
      <c r="R2" s="86"/>
      <c r="S2" s="86"/>
      <c r="T2" s="86"/>
      <c r="U2" s="86"/>
      <c r="V2" s="86"/>
      <c r="W2" s="86"/>
      <c r="X2" s="86"/>
      <c r="Y2" s="86"/>
      <c r="Z2" s="86"/>
    </row>
    <row r="3" ht="15.75" customHeight="1">
      <c r="A3" s="91" t="s">
        <v>8</v>
      </c>
      <c r="B3" s="88" t="s">
        <v>49</v>
      </c>
      <c r="C3" s="89"/>
      <c r="D3" s="90"/>
      <c r="H3" s="86"/>
      <c r="I3" s="86"/>
      <c r="J3" s="86"/>
      <c r="K3" s="86"/>
      <c r="L3" s="86"/>
      <c r="M3" s="86"/>
      <c r="N3" s="86"/>
      <c r="O3" s="86"/>
      <c r="P3" s="86"/>
      <c r="Q3" s="86"/>
      <c r="R3" s="86"/>
      <c r="S3" s="86"/>
      <c r="T3" s="86"/>
      <c r="U3" s="86"/>
      <c r="V3" s="86"/>
      <c r="W3" s="86"/>
      <c r="X3" s="86"/>
      <c r="Y3" s="86"/>
      <c r="Z3" s="86"/>
    </row>
    <row r="4" ht="15.75" customHeight="1">
      <c r="A4" s="87" t="s">
        <v>9</v>
      </c>
      <c r="B4" s="92" t="s">
        <v>9</v>
      </c>
      <c r="C4" s="89"/>
      <c r="D4" s="89" t="s">
        <v>4911</v>
      </c>
      <c r="H4" s="86"/>
      <c r="I4" s="86"/>
      <c r="J4" s="86"/>
      <c r="K4" s="86"/>
      <c r="L4" s="86"/>
      <c r="M4" s="86"/>
      <c r="N4" s="86"/>
      <c r="O4" s="86"/>
      <c r="P4" s="86"/>
      <c r="Q4" s="86"/>
      <c r="R4" s="86"/>
      <c r="S4" s="86"/>
      <c r="T4" s="86"/>
      <c r="U4" s="86"/>
      <c r="V4" s="86"/>
      <c r="W4" s="86"/>
      <c r="X4" s="86"/>
      <c r="Y4" s="86"/>
      <c r="Z4" s="86"/>
    </row>
    <row r="5" ht="15.75" customHeight="1">
      <c r="A5" s="91" t="s">
        <v>10</v>
      </c>
      <c r="B5" s="88" t="s">
        <v>10</v>
      </c>
      <c r="C5" s="89"/>
      <c r="D5" s="90"/>
      <c r="H5" s="86"/>
      <c r="I5" s="86"/>
      <c r="J5" s="86"/>
      <c r="K5" s="86"/>
      <c r="L5" s="86"/>
      <c r="M5" s="86"/>
      <c r="N5" s="86"/>
      <c r="O5" s="86"/>
      <c r="P5" s="86"/>
      <c r="Q5" s="86"/>
      <c r="R5" s="86"/>
      <c r="S5" s="86"/>
      <c r="T5" s="86"/>
      <c r="U5" s="86"/>
      <c r="V5" s="86"/>
      <c r="W5" s="86"/>
      <c r="X5" s="86"/>
      <c r="Y5" s="86"/>
      <c r="Z5" s="86"/>
    </row>
    <row r="6" ht="15.75" customHeight="1">
      <c r="A6" s="91" t="s">
        <v>11</v>
      </c>
      <c r="B6" s="88" t="s">
        <v>11</v>
      </c>
      <c r="C6" s="89"/>
      <c r="D6" s="90"/>
      <c r="H6" s="86"/>
      <c r="I6" s="86"/>
      <c r="J6" s="86"/>
      <c r="K6" s="86"/>
      <c r="L6" s="86"/>
      <c r="M6" s="86"/>
      <c r="N6" s="86"/>
      <c r="O6" s="86"/>
      <c r="P6" s="86"/>
      <c r="Q6" s="86"/>
      <c r="R6" s="86"/>
      <c r="S6" s="86"/>
      <c r="T6" s="86"/>
      <c r="U6" s="86"/>
      <c r="V6" s="86"/>
      <c r="W6" s="86"/>
      <c r="X6" s="86"/>
      <c r="Y6" s="86"/>
      <c r="Z6" s="86"/>
    </row>
    <row r="7" ht="15.75" customHeight="1">
      <c r="A7" s="87" t="s">
        <v>12</v>
      </c>
      <c r="B7" s="87" t="s">
        <v>12</v>
      </c>
      <c r="C7" s="89"/>
      <c r="D7" s="90"/>
      <c r="H7" s="86"/>
      <c r="I7" s="86"/>
      <c r="J7" s="86"/>
      <c r="K7" s="86"/>
      <c r="L7" s="86"/>
      <c r="M7" s="86"/>
      <c r="N7" s="86"/>
      <c r="O7" s="86"/>
      <c r="P7" s="86"/>
      <c r="Q7" s="86"/>
      <c r="R7" s="86"/>
      <c r="S7" s="86"/>
      <c r="T7" s="86"/>
      <c r="U7" s="86"/>
      <c r="V7" s="86"/>
      <c r="W7" s="86"/>
      <c r="X7" s="86"/>
      <c r="Y7" s="86"/>
      <c r="Z7" s="86"/>
    </row>
    <row r="8" ht="15.75" customHeight="1">
      <c r="A8" s="91" t="s">
        <v>13</v>
      </c>
      <c r="B8" s="88" t="s">
        <v>13</v>
      </c>
      <c r="C8" s="89" t="s">
        <v>49</v>
      </c>
      <c r="D8" s="90"/>
      <c r="H8" s="86"/>
      <c r="I8" s="86"/>
      <c r="J8" s="86"/>
      <c r="K8" s="86"/>
      <c r="L8" s="86"/>
      <c r="M8" s="86"/>
      <c r="N8" s="86"/>
      <c r="O8" s="86"/>
      <c r="P8" s="86"/>
      <c r="Q8" s="86"/>
      <c r="R8" s="86"/>
      <c r="S8" s="86"/>
      <c r="T8" s="86"/>
      <c r="U8" s="86"/>
      <c r="V8" s="86"/>
      <c r="W8" s="86"/>
      <c r="X8" s="86"/>
      <c r="Y8" s="86"/>
      <c r="Z8" s="86"/>
    </row>
    <row r="9" ht="15.75" customHeight="1">
      <c r="A9" s="91" t="s">
        <v>14</v>
      </c>
      <c r="B9" s="88" t="s">
        <v>4912</v>
      </c>
      <c r="C9" s="89" t="s">
        <v>4913</v>
      </c>
      <c r="D9" s="89" t="s">
        <v>4914</v>
      </c>
      <c r="H9" s="86"/>
      <c r="I9" s="86"/>
      <c r="J9" s="86"/>
      <c r="K9" s="86"/>
      <c r="L9" s="86"/>
      <c r="M9" s="86"/>
      <c r="N9" s="86"/>
      <c r="O9" s="86"/>
      <c r="P9" s="86"/>
      <c r="Q9" s="86"/>
      <c r="R9" s="86"/>
      <c r="S9" s="86"/>
      <c r="T9" s="86"/>
      <c r="U9" s="86"/>
      <c r="V9" s="86"/>
      <c r="W9" s="86"/>
      <c r="X9" s="86"/>
      <c r="Y9" s="86"/>
      <c r="Z9" s="86"/>
    </row>
    <row r="10" ht="15.75" customHeight="1">
      <c r="A10" s="91" t="s">
        <v>15</v>
      </c>
      <c r="B10" s="88" t="s">
        <v>4915</v>
      </c>
      <c r="C10" s="89" t="s">
        <v>4916</v>
      </c>
      <c r="D10" s="90"/>
      <c r="H10" s="86"/>
      <c r="I10" s="86"/>
      <c r="J10" s="86"/>
      <c r="K10" s="86"/>
      <c r="L10" s="86"/>
      <c r="M10" s="86"/>
      <c r="N10" s="86"/>
      <c r="O10" s="86"/>
      <c r="P10" s="86"/>
      <c r="Q10" s="86"/>
      <c r="R10" s="86"/>
      <c r="S10" s="86"/>
      <c r="T10" s="86"/>
      <c r="U10" s="86"/>
      <c r="V10" s="86"/>
      <c r="W10" s="86"/>
      <c r="X10" s="86"/>
      <c r="Y10" s="86"/>
      <c r="Z10" s="86"/>
    </row>
    <row r="11" ht="15.75" customHeight="1">
      <c r="A11" s="91" t="s">
        <v>16</v>
      </c>
      <c r="B11" s="88" t="s">
        <v>4917</v>
      </c>
      <c r="C11" s="90" t="s">
        <v>4918</v>
      </c>
      <c r="D11" s="90"/>
      <c r="H11" s="86"/>
      <c r="I11" s="86"/>
      <c r="J11" s="86"/>
      <c r="K11" s="86"/>
      <c r="L11" s="86"/>
      <c r="M11" s="86"/>
      <c r="N11" s="86"/>
      <c r="O11" s="86"/>
      <c r="P11" s="86"/>
      <c r="Q11" s="86"/>
      <c r="R11" s="86"/>
      <c r="S11" s="86"/>
      <c r="T11" s="86"/>
      <c r="U11" s="86"/>
      <c r="V11" s="86"/>
      <c r="W11" s="86"/>
      <c r="X11" s="86"/>
      <c r="Y11" s="86"/>
      <c r="Z11" s="86"/>
    </row>
    <row r="12" ht="15.75" customHeight="1">
      <c r="A12" s="91" t="s">
        <v>17</v>
      </c>
      <c r="B12" s="88" t="s">
        <v>4919</v>
      </c>
      <c r="C12" s="89"/>
      <c r="D12" s="93"/>
      <c r="E12" s="86"/>
      <c r="F12" s="86"/>
      <c r="G12" s="86"/>
      <c r="H12" s="86"/>
      <c r="I12" s="86"/>
      <c r="J12" s="86"/>
      <c r="K12" s="86"/>
      <c r="L12" s="86"/>
      <c r="M12" s="86"/>
      <c r="N12" s="86"/>
      <c r="O12" s="86"/>
      <c r="P12" s="86"/>
      <c r="Q12" s="86"/>
      <c r="R12" s="86"/>
      <c r="S12" s="86"/>
      <c r="T12" s="86"/>
      <c r="U12" s="86"/>
      <c r="V12" s="86"/>
      <c r="W12" s="86"/>
      <c r="X12" s="86"/>
      <c r="Y12" s="86"/>
      <c r="Z12" s="86"/>
    </row>
    <row r="13" ht="15.75" customHeight="1">
      <c r="A13" s="91" t="s">
        <v>18</v>
      </c>
      <c r="B13" s="88" t="s">
        <v>4920</v>
      </c>
      <c r="C13" s="90" t="s">
        <v>4921</v>
      </c>
      <c r="D13" s="90"/>
      <c r="H13" s="86"/>
      <c r="I13" s="86"/>
      <c r="J13" s="86"/>
      <c r="K13" s="86"/>
      <c r="L13" s="86"/>
      <c r="M13" s="86"/>
      <c r="N13" s="86"/>
      <c r="O13" s="86"/>
      <c r="P13" s="86"/>
      <c r="Q13" s="86"/>
      <c r="R13" s="86"/>
      <c r="S13" s="86"/>
      <c r="T13" s="86"/>
      <c r="U13" s="86"/>
      <c r="V13" s="86"/>
      <c r="W13" s="86"/>
      <c r="X13" s="86"/>
      <c r="Y13" s="86"/>
      <c r="Z13" s="86"/>
    </row>
    <row r="14" ht="15.75" customHeight="1">
      <c r="A14" s="91" t="s">
        <v>19</v>
      </c>
      <c r="B14" s="88" t="s">
        <v>4922</v>
      </c>
      <c r="C14" s="90" t="s">
        <v>4923</v>
      </c>
      <c r="D14" s="90"/>
      <c r="H14" s="86"/>
      <c r="I14" s="86"/>
      <c r="J14" s="86"/>
      <c r="K14" s="86"/>
      <c r="L14" s="86"/>
      <c r="M14" s="86"/>
      <c r="N14" s="86"/>
      <c r="O14" s="86"/>
      <c r="P14" s="86"/>
      <c r="Q14" s="86"/>
      <c r="R14" s="86"/>
      <c r="S14" s="86"/>
      <c r="T14" s="86"/>
      <c r="U14" s="86"/>
      <c r="V14" s="86"/>
      <c r="W14" s="86"/>
      <c r="X14" s="86"/>
      <c r="Y14" s="86"/>
      <c r="Z14" s="86"/>
    </row>
    <row r="15" ht="15.75" customHeight="1">
      <c r="A15" s="91" t="s">
        <v>20</v>
      </c>
      <c r="B15" s="88" t="s">
        <v>4924</v>
      </c>
      <c r="C15" s="90" t="s">
        <v>4921</v>
      </c>
      <c r="D15" s="90"/>
      <c r="H15" s="86"/>
      <c r="I15" s="86"/>
      <c r="J15" s="86"/>
      <c r="K15" s="86"/>
      <c r="L15" s="86"/>
      <c r="M15" s="86"/>
      <c r="N15" s="86"/>
      <c r="O15" s="86"/>
      <c r="P15" s="86"/>
      <c r="Q15" s="86"/>
      <c r="R15" s="86"/>
      <c r="S15" s="86"/>
      <c r="T15" s="86"/>
      <c r="U15" s="86"/>
      <c r="V15" s="86"/>
      <c r="W15" s="86"/>
      <c r="X15" s="86"/>
      <c r="Y15" s="86"/>
      <c r="Z15" s="86"/>
    </row>
    <row r="16" ht="15.75" customHeight="1">
      <c r="A16" s="91" t="s">
        <v>21</v>
      </c>
      <c r="B16" s="88" t="s">
        <v>4925</v>
      </c>
      <c r="C16" s="90" t="s">
        <v>4923</v>
      </c>
      <c r="D16" s="90"/>
      <c r="H16" s="86"/>
      <c r="I16" s="86"/>
      <c r="J16" s="86"/>
      <c r="K16" s="86"/>
      <c r="L16" s="86"/>
      <c r="M16" s="86"/>
      <c r="N16" s="86"/>
      <c r="O16" s="86"/>
      <c r="P16" s="86"/>
      <c r="Q16" s="86"/>
      <c r="R16" s="86"/>
      <c r="S16" s="86"/>
      <c r="T16" s="86"/>
      <c r="U16" s="86"/>
      <c r="V16" s="86"/>
      <c r="W16" s="86"/>
      <c r="X16" s="86"/>
      <c r="Y16" s="86"/>
      <c r="Z16" s="86"/>
    </row>
    <row r="17" ht="15.75" customHeight="1">
      <c r="A17" s="91" t="s">
        <v>22</v>
      </c>
      <c r="B17" s="88" t="s">
        <v>4926</v>
      </c>
      <c r="C17" s="90" t="s">
        <v>4927</v>
      </c>
      <c r="D17" s="90"/>
      <c r="H17" s="86"/>
      <c r="I17" s="86"/>
      <c r="J17" s="86"/>
      <c r="K17" s="86"/>
      <c r="L17" s="86"/>
      <c r="M17" s="86"/>
      <c r="N17" s="86"/>
      <c r="O17" s="86"/>
      <c r="P17" s="86"/>
      <c r="Q17" s="86"/>
      <c r="R17" s="86"/>
      <c r="S17" s="86"/>
      <c r="T17" s="86"/>
      <c r="U17" s="86"/>
      <c r="V17" s="86"/>
      <c r="W17" s="86"/>
      <c r="X17" s="86"/>
      <c r="Y17" s="86"/>
      <c r="Z17" s="86"/>
    </row>
    <row r="18" ht="15.75" customHeight="1">
      <c r="A18" s="91" t="s">
        <v>23</v>
      </c>
      <c r="B18" s="88" t="s">
        <v>4928</v>
      </c>
      <c r="C18" s="90" t="s">
        <v>4929</v>
      </c>
      <c r="D18" s="90"/>
      <c r="H18" s="86"/>
      <c r="I18" s="86"/>
      <c r="J18" s="86"/>
      <c r="K18" s="86"/>
      <c r="L18" s="86"/>
      <c r="M18" s="86"/>
      <c r="N18" s="86"/>
      <c r="O18" s="86"/>
      <c r="P18" s="86"/>
      <c r="Q18" s="86"/>
      <c r="R18" s="86"/>
      <c r="S18" s="86"/>
      <c r="T18" s="86"/>
      <c r="U18" s="86"/>
      <c r="V18" s="86"/>
      <c r="W18" s="86"/>
      <c r="X18" s="86"/>
      <c r="Y18" s="86"/>
      <c r="Z18" s="86"/>
    </row>
    <row r="19" ht="15.75" customHeight="1">
      <c r="A19" s="91" t="s">
        <v>24</v>
      </c>
      <c r="B19" s="88" t="s">
        <v>4930</v>
      </c>
      <c r="C19" s="90" t="s">
        <v>4931</v>
      </c>
      <c r="D19" s="90"/>
      <c r="H19" s="86"/>
      <c r="I19" s="86"/>
      <c r="J19" s="86"/>
      <c r="K19" s="86"/>
      <c r="L19" s="86"/>
      <c r="M19" s="86"/>
      <c r="N19" s="86"/>
      <c r="O19" s="86"/>
      <c r="P19" s="86"/>
      <c r="Q19" s="86"/>
      <c r="R19" s="86"/>
      <c r="S19" s="86"/>
      <c r="T19" s="86"/>
      <c r="U19" s="86"/>
      <c r="V19" s="86"/>
      <c r="W19" s="86"/>
      <c r="X19" s="86"/>
      <c r="Y19" s="86"/>
      <c r="Z19" s="86"/>
    </row>
    <row r="20" ht="15.75" customHeight="1">
      <c r="A20" s="87" t="s">
        <v>25</v>
      </c>
      <c r="B20" s="88" t="s">
        <v>4932</v>
      </c>
      <c r="C20" s="89"/>
      <c r="D20" s="90"/>
      <c r="H20" s="86"/>
      <c r="I20" s="86"/>
      <c r="J20" s="86"/>
      <c r="K20" s="86"/>
      <c r="L20" s="86"/>
      <c r="M20" s="86"/>
      <c r="N20" s="86"/>
      <c r="O20" s="86"/>
      <c r="P20" s="86"/>
      <c r="Q20" s="86"/>
      <c r="R20" s="86"/>
      <c r="S20" s="86"/>
      <c r="T20" s="86"/>
      <c r="U20" s="86"/>
      <c r="V20" s="86"/>
      <c r="W20" s="86"/>
      <c r="X20" s="86"/>
      <c r="Y20" s="86"/>
      <c r="Z20" s="86"/>
    </row>
    <row r="21" ht="15.75" customHeight="1">
      <c r="A21" s="91" t="s">
        <v>26</v>
      </c>
      <c r="B21" s="88" t="s">
        <v>4933</v>
      </c>
      <c r="C21" s="89"/>
      <c r="D21" s="90"/>
      <c r="H21" s="86"/>
      <c r="I21" s="86"/>
      <c r="J21" s="86"/>
      <c r="K21" s="86"/>
      <c r="L21" s="86"/>
      <c r="M21" s="86"/>
      <c r="N21" s="86"/>
      <c r="O21" s="86"/>
      <c r="P21" s="86"/>
      <c r="Q21" s="86"/>
      <c r="R21" s="86"/>
      <c r="S21" s="86"/>
      <c r="T21" s="86"/>
      <c r="U21" s="86"/>
      <c r="V21" s="86"/>
      <c r="W21" s="86"/>
      <c r="X21" s="86"/>
      <c r="Y21" s="86"/>
      <c r="Z21" s="86"/>
    </row>
    <row r="22" ht="15.75" customHeight="1">
      <c r="A22" s="91" t="s">
        <v>27</v>
      </c>
      <c r="B22" s="88" t="s">
        <v>4934</v>
      </c>
      <c r="C22" s="89"/>
      <c r="D22" s="90"/>
      <c r="H22" s="86"/>
      <c r="I22" s="86"/>
      <c r="J22" s="86"/>
      <c r="K22" s="86"/>
      <c r="L22" s="86"/>
      <c r="M22" s="86"/>
      <c r="N22" s="86"/>
      <c r="O22" s="86"/>
      <c r="P22" s="86"/>
      <c r="Q22" s="86"/>
      <c r="R22" s="86"/>
      <c r="S22" s="86"/>
      <c r="T22" s="86"/>
      <c r="U22" s="86"/>
      <c r="V22" s="86"/>
      <c r="W22" s="86"/>
      <c r="X22" s="86"/>
      <c r="Y22" s="86"/>
      <c r="Z22" s="86"/>
    </row>
    <row r="23" ht="15.75" customHeight="1">
      <c r="A23" s="91" t="s">
        <v>28</v>
      </c>
      <c r="B23" s="88" t="s">
        <v>28</v>
      </c>
      <c r="C23" s="89"/>
      <c r="D23" s="90"/>
      <c r="H23" s="86"/>
      <c r="I23" s="86"/>
      <c r="J23" s="86"/>
      <c r="K23" s="86"/>
      <c r="L23" s="86"/>
      <c r="M23" s="86"/>
      <c r="N23" s="86"/>
      <c r="O23" s="86"/>
      <c r="P23" s="86"/>
      <c r="Q23" s="86"/>
      <c r="R23" s="86"/>
      <c r="S23" s="86"/>
      <c r="T23" s="86"/>
      <c r="U23" s="86"/>
      <c r="V23" s="86"/>
      <c r="W23" s="86"/>
      <c r="X23" s="86"/>
      <c r="Y23" s="86"/>
      <c r="Z23" s="86"/>
    </row>
    <row r="24" ht="15.75" customHeight="1">
      <c r="A24" s="91" t="s">
        <v>29</v>
      </c>
      <c r="B24" s="88" t="s">
        <v>4935</v>
      </c>
      <c r="C24" s="90" t="s">
        <v>4936</v>
      </c>
      <c r="D24" s="90"/>
      <c r="H24" s="86"/>
      <c r="I24" s="86"/>
      <c r="J24" s="86"/>
      <c r="K24" s="86"/>
      <c r="L24" s="86"/>
      <c r="M24" s="86"/>
      <c r="N24" s="86"/>
      <c r="O24" s="86"/>
      <c r="P24" s="86"/>
      <c r="Q24" s="86"/>
      <c r="R24" s="86"/>
      <c r="S24" s="86"/>
      <c r="T24" s="86"/>
      <c r="U24" s="86"/>
      <c r="V24" s="86"/>
      <c r="W24" s="86"/>
      <c r="X24" s="86"/>
      <c r="Y24" s="86"/>
      <c r="Z24" s="86"/>
    </row>
    <row r="25" ht="15.75" customHeight="1">
      <c r="A25" s="91" t="s">
        <v>30</v>
      </c>
      <c r="B25" s="88" t="s">
        <v>4937</v>
      </c>
      <c r="C25" s="90" t="s">
        <v>4936</v>
      </c>
      <c r="D25" s="90"/>
      <c r="H25" s="86"/>
      <c r="I25" s="86"/>
      <c r="J25" s="86"/>
      <c r="K25" s="86"/>
      <c r="L25" s="86"/>
      <c r="M25" s="86"/>
      <c r="N25" s="86"/>
      <c r="O25" s="86"/>
      <c r="P25" s="86"/>
      <c r="Q25" s="86"/>
      <c r="R25" s="86"/>
      <c r="S25" s="86"/>
      <c r="T25" s="86"/>
      <c r="U25" s="86"/>
      <c r="V25" s="86"/>
      <c r="W25" s="86"/>
      <c r="X25" s="86"/>
      <c r="Y25" s="86"/>
      <c r="Z25" s="86"/>
    </row>
    <row r="26" ht="15.75" customHeight="1">
      <c r="A26" s="91" t="s">
        <v>31</v>
      </c>
      <c r="B26" s="88" t="s">
        <v>4938</v>
      </c>
      <c r="C26" s="90" t="s">
        <v>4936</v>
      </c>
      <c r="D26" s="90"/>
      <c r="H26" s="86"/>
      <c r="I26" s="86"/>
      <c r="J26" s="86"/>
      <c r="K26" s="86"/>
      <c r="L26" s="86"/>
      <c r="M26" s="86"/>
      <c r="N26" s="86"/>
      <c r="O26" s="86"/>
      <c r="P26" s="86"/>
      <c r="Q26" s="86"/>
      <c r="R26" s="86"/>
      <c r="S26" s="86"/>
      <c r="T26" s="86"/>
      <c r="U26" s="86"/>
      <c r="V26" s="86"/>
      <c r="W26" s="86"/>
      <c r="X26" s="86"/>
      <c r="Y26" s="86"/>
      <c r="Z26" s="86"/>
    </row>
    <row r="27" ht="15.75" customHeight="1">
      <c r="A27" s="87" t="s">
        <v>32</v>
      </c>
      <c r="B27" s="88" t="s">
        <v>4939</v>
      </c>
      <c r="C27" s="90"/>
      <c r="D27" s="90"/>
      <c r="H27" s="86"/>
      <c r="I27" s="86"/>
      <c r="J27" s="86"/>
      <c r="K27" s="86"/>
      <c r="L27" s="86"/>
      <c r="M27" s="86"/>
      <c r="N27" s="86"/>
      <c r="O27" s="86"/>
      <c r="P27" s="86"/>
      <c r="Q27" s="86"/>
      <c r="R27" s="86"/>
      <c r="S27" s="86"/>
      <c r="T27" s="86"/>
      <c r="U27" s="86"/>
      <c r="V27" s="86"/>
      <c r="W27" s="86"/>
      <c r="X27" s="86"/>
      <c r="Y27" s="86"/>
      <c r="Z27" s="86"/>
    </row>
    <row r="28" ht="15.75" customHeight="1">
      <c r="A28" s="91" t="s">
        <v>33</v>
      </c>
      <c r="B28" s="88" t="s">
        <v>33</v>
      </c>
      <c r="C28" s="90"/>
      <c r="D28" s="90"/>
      <c r="H28" s="86"/>
      <c r="I28" s="86"/>
      <c r="J28" s="86"/>
      <c r="K28" s="86"/>
      <c r="L28" s="86"/>
      <c r="M28" s="86"/>
      <c r="N28" s="86"/>
      <c r="O28" s="86"/>
      <c r="P28" s="86"/>
      <c r="Q28" s="86"/>
      <c r="R28" s="86"/>
      <c r="S28" s="86"/>
      <c r="T28" s="86"/>
      <c r="U28" s="86"/>
      <c r="V28" s="86"/>
      <c r="W28" s="86"/>
      <c r="X28" s="86"/>
      <c r="Y28" s="86"/>
      <c r="Z28" s="86"/>
    </row>
    <row r="29" ht="15.75" customHeight="1">
      <c r="A29" s="91" t="s">
        <v>34</v>
      </c>
      <c r="B29" s="88" t="s">
        <v>4940</v>
      </c>
      <c r="C29" s="90"/>
      <c r="D29" s="89" t="s">
        <v>4941</v>
      </c>
      <c r="H29" s="86"/>
      <c r="I29" s="86"/>
      <c r="J29" s="86"/>
      <c r="K29" s="86"/>
      <c r="L29" s="86"/>
      <c r="M29" s="86"/>
      <c r="N29" s="86"/>
      <c r="O29" s="86"/>
      <c r="P29" s="86"/>
      <c r="Q29" s="86"/>
      <c r="R29" s="86"/>
      <c r="S29" s="86"/>
      <c r="T29" s="86"/>
      <c r="U29" s="86"/>
      <c r="V29" s="86"/>
      <c r="W29" s="86"/>
      <c r="X29" s="86"/>
      <c r="Y29" s="86"/>
      <c r="Z29" s="86"/>
    </row>
    <row r="30" ht="15.75" customHeight="1">
      <c r="A30" s="91" t="s">
        <v>35</v>
      </c>
      <c r="B30" s="88" t="s">
        <v>4942</v>
      </c>
      <c r="C30" s="90" t="s">
        <v>4943</v>
      </c>
      <c r="D30" s="90"/>
      <c r="H30" s="86"/>
      <c r="I30" s="86"/>
      <c r="J30" s="86"/>
      <c r="K30" s="86"/>
      <c r="L30" s="86"/>
      <c r="M30" s="86"/>
      <c r="N30" s="86"/>
      <c r="O30" s="86"/>
      <c r="P30" s="86"/>
      <c r="Q30" s="86"/>
      <c r="R30" s="86"/>
      <c r="S30" s="86"/>
      <c r="T30" s="86"/>
      <c r="U30" s="86"/>
      <c r="V30" s="86"/>
      <c r="W30" s="86"/>
      <c r="X30" s="86"/>
      <c r="Y30" s="86"/>
      <c r="Z30" s="86"/>
    </row>
    <row r="31" ht="15.75" customHeight="1">
      <c r="A31" s="91" t="s">
        <v>36</v>
      </c>
      <c r="B31" s="88" t="s">
        <v>4944</v>
      </c>
      <c r="C31" s="90"/>
      <c r="D31" s="90"/>
      <c r="H31" s="86"/>
      <c r="I31" s="86"/>
      <c r="J31" s="86"/>
      <c r="K31" s="86"/>
      <c r="L31" s="86"/>
      <c r="M31" s="86"/>
      <c r="N31" s="86"/>
      <c r="O31" s="86"/>
      <c r="P31" s="86"/>
      <c r="Q31" s="86"/>
      <c r="R31" s="86"/>
      <c r="S31" s="86"/>
      <c r="T31" s="86"/>
      <c r="U31" s="86"/>
      <c r="V31" s="86"/>
      <c r="W31" s="86"/>
      <c r="X31" s="86"/>
      <c r="Y31" s="86"/>
      <c r="Z31" s="86"/>
    </row>
    <row r="32" ht="15.75" customHeight="1">
      <c r="A32" s="91" t="s">
        <v>37</v>
      </c>
      <c r="B32" s="94" t="s">
        <v>4945</v>
      </c>
      <c r="C32" s="90"/>
      <c r="D32" s="90"/>
      <c r="H32" s="86"/>
      <c r="I32" s="86"/>
      <c r="J32" s="86"/>
      <c r="K32" s="86"/>
      <c r="L32" s="86"/>
      <c r="M32" s="86"/>
      <c r="N32" s="86"/>
      <c r="O32" s="86"/>
      <c r="P32" s="86"/>
      <c r="Q32" s="86"/>
      <c r="R32" s="86"/>
      <c r="S32" s="86"/>
      <c r="T32" s="86"/>
      <c r="U32" s="86"/>
      <c r="V32" s="86"/>
      <c r="W32" s="86"/>
      <c r="X32" s="86"/>
      <c r="Y32" s="86"/>
      <c r="Z32" s="86"/>
    </row>
    <row r="33" ht="15.75" customHeight="1">
      <c r="A33" s="89" t="s">
        <v>41</v>
      </c>
      <c r="B33" s="89" t="s">
        <v>4946</v>
      </c>
      <c r="C33" s="90"/>
      <c r="D33" s="90"/>
      <c r="H33" s="86"/>
      <c r="I33" s="86"/>
      <c r="J33" s="86"/>
      <c r="K33" s="86"/>
      <c r="L33" s="86"/>
      <c r="M33" s="86"/>
      <c r="N33" s="86"/>
      <c r="O33" s="86"/>
      <c r="P33" s="86"/>
      <c r="Q33" s="86"/>
      <c r="R33" s="86"/>
      <c r="S33" s="86"/>
      <c r="T33" s="86"/>
      <c r="U33" s="86"/>
      <c r="V33" s="86"/>
      <c r="W33" s="86"/>
      <c r="X33" s="86"/>
      <c r="Y33" s="86"/>
      <c r="Z33" s="86"/>
    </row>
    <row r="34" ht="15.75" customHeight="1">
      <c r="A34" s="89" t="s">
        <v>3</v>
      </c>
      <c r="B34" s="90" t="s">
        <v>4947</v>
      </c>
      <c r="C34" s="90"/>
      <c r="D34" s="90"/>
      <c r="H34" s="86"/>
      <c r="I34" s="86"/>
      <c r="J34" s="86"/>
      <c r="K34" s="86"/>
      <c r="L34" s="86"/>
      <c r="M34" s="86"/>
      <c r="N34" s="86"/>
      <c r="O34" s="86"/>
      <c r="P34" s="86"/>
      <c r="Q34" s="86"/>
      <c r="R34" s="86"/>
      <c r="S34" s="86"/>
      <c r="T34" s="86"/>
      <c r="U34" s="86"/>
      <c r="V34" s="86"/>
      <c r="W34" s="86"/>
      <c r="X34" s="86"/>
      <c r="Y34" s="86"/>
      <c r="Z34" s="86"/>
    </row>
    <row r="35" ht="15.75" customHeight="1">
      <c r="A35" s="95" t="s">
        <v>2</v>
      </c>
      <c r="B35" s="90" t="s">
        <v>4948</v>
      </c>
      <c r="C35" s="90"/>
      <c r="D35" s="90"/>
      <c r="H35" s="86"/>
      <c r="I35" s="86"/>
      <c r="J35" s="86"/>
      <c r="K35" s="86"/>
      <c r="L35" s="86"/>
      <c r="M35" s="86"/>
      <c r="N35" s="86"/>
      <c r="O35" s="86"/>
      <c r="P35" s="86"/>
      <c r="Q35" s="86"/>
      <c r="R35" s="86"/>
      <c r="S35" s="86"/>
      <c r="T35" s="86"/>
      <c r="U35" s="86"/>
      <c r="V35" s="86"/>
      <c r="W35" s="86"/>
      <c r="X35" s="86"/>
      <c r="Y35" s="86"/>
      <c r="Z35" s="86"/>
    </row>
    <row r="36" ht="15.75" customHeight="1">
      <c r="A36" s="95" t="s">
        <v>1</v>
      </c>
      <c r="B36" s="90" t="s">
        <v>1</v>
      </c>
      <c r="C36" s="90"/>
      <c r="D36" s="90"/>
      <c r="H36" s="86"/>
      <c r="I36" s="86"/>
      <c r="J36" s="86"/>
      <c r="K36" s="86"/>
      <c r="L36" s="86"/>
      <c r="M36" s="86"/>
      <c r="N36" s="86"/>
      <c r="O36" s="86"/>
      <c r="P36" s="86"/>
      <c r="Q36" s="86"/>
      <c r="R36" s="86"/>
      <c r="S36" s="86"/>
      <c r="T36" s="86"/>
      <c r="U36" s="86"/>
      <c r="V36" s="86"/>
      <c r="W36" s="86"/>
      <c r="X36" s="86"/>
      <c r="Y36" s="86"/>
      <c r="Z36" s="86"/>
    </row>
    <row r="37" ht="15.75" customHeight="1">
      <c r="A37" s="96"/>
      <c r="H37" s="86"/>
      <c r="I37" s="86"/>
      <c r="J37" s="86"/>
      <c r="K37" s="86"/>
      <c r="L37" s="86"/>
      <c r="M37" s="86"/>
      <c r="N37" s="86"/>
      <c r="O37" s="86"/>
      <c r="P37" s="86"/>
      <c r="Q37" s="86"/>
      <c r="R37" s="86"/>
      <c r="S37" s="86"/>
      <c r="T37" s="86"/>
      <c r="U37" s="86"/>
      <c r="V37" s="86"/>
      <c r="W37" s="86"/>
      <c r="X37" s="86"/>
      <c r="Y37" s="86"/>
      <c r="Z37" s="86"/>
    </row>
    <row r="38" ht="15.75" customHeight="1">
      <c r="H38" s="86"/>
      <c r="I38" s="86"/>
      <c r="J38" s="86"/>
      <c r="K38" s="86"/>
      <c r="L38" s="86"/>
      <c r="M38" s="86"/>
      <c r="N38" s="86"/>
      <c r="O38" s="86"/>
      <c r="P38" s="86"/>
      <c r="Q38" s="86"/>
      <c r="R38" s="86"/>
      <c r="S38" s="86"/>
      <c r="T38" s="86"/>
      <c r="U38" s="86"/>
      <c r="V38" s="86"/>
      <c r="W38" s="86"/>
      <c r="X38" s="86"/>
      <c r="Y38" s="86"/>
      <c r="Z38" s="86"/>
    </row>
    <row r="39" ht="15.75" customHeight="1">
      <c r="H39" s="86"/>
      <c r="I39" s="86"/>
      <c r="J39" s="86"/>
      <c r="K39" s="86"/>
      <c r="L39" s="86"/>
      <c r="M39" s="86"/>
      <c r="N39" s="86"/>
      <c r="O39" s="86"/>
      <c r="P39" s="86"/>
      <c r="Q39" s="86"/>
      <c r="R39" s="86"/>
      <c r="S39" s="86"/>
      <c r="T39" s="86"/>
      <c r="U39" s="86"/>
      <c r="V39" s="86"/>
      <c r="W39" s="86"/>
      <c r="X39" s="86"/>
      <c r="Y39" s="86"/>
      <c r="Z39" s="86"/>
    </row>
    <row r="40" ht="15.75" customHeight="1">
      <c r="H40" s="86"/>
      <c r="I40" s="86"/>
      <c r="J40" s="86"/>
      <c r="K40" s="86"/>
      <c r="L40" s="86"/>
      <c r="M40" s="86"/>
      <c r="N40" s="86"/>
      <c r="O40" s="86"/>
      <c r="P40" s="86"/>
      <c r="Q40" s="86"/>
      <c r="R40" s="86"/>
      <c r="S40" s="86"/>
      <c r="T40" s="86"/>
      <c r="U40" s="86"/>
      <c r="V40" s="86"/>
      <c r="W40" s="86"/>
      <c r="X40" s="86"/>
      <c r="Y40" s="86"/>
      <c r="Z40" s="86"/>
    </row>
    <row r="41" ht="15.75" customHeight="1">
      <c r="H41" s="86"/>
      <c r="I41" s="86"/>
      <c r="J41" s="86"/>
      <c r="K41" s="86"/>
      <c r="L41" s="86"/>
      <c r="M41" s="86"/>
      <c r="N41" s="86"/>
      <c r="O41" s="86"/>
      <c r="P41" s="86"/>
      <c r="Q41" s="86"/>
      <c r="R41" s="86"/>
      <c r="S41" s="86"/>
      <c r="T41" s="86"/>
      <c r="U41" s="86"/>
      <c r="V41" s="86"/>
      <c r="W41" s="86"/>
      <c r="X41" s="86"/>
      <c r="Y41" s="86"/>
      <c r="Z41" s="86"/>
    </row>
    <row r="42" ht="15.75" customHeight="1">
      <c r="H42" s="86"/>
      <c r="I42" s="86"/>
      <c r="J42" s="86"/>
      <c r="K42" s="86"/>
      <c r="L42" s="86"/>
      <c r="M42" s="86"/>
      <c r="N42" s="86"/>
      <c r="O42" s="86"/>
      <c r="P42" s="86"/>
      <c r="Q42" s="86"/>
      <c r="R42" s="86"/>
      <c r="S42" s="86"/>
      <c r="T42" s="86"/>
      <c r="U42" s="86"/>
      <c r="V42" s="86"/>
      <c r="W42" s="86"/>
      <c r="X42" s="86"/>
      <c r="Y42" s="86"/>
      <c r="Z42" s="86"/>
    </row>
    <row r="43" ht="15.75" customHeight="1">
      <c r="H43" s="86"/>
      <c r="I43" s="86"/>
      <c r="J43" s="86"/>
      <c r="K43" s="86"/>
      <c r="L43" s="86"/>
      <c r="M43" s="86"/>
      <c r="N43" s="86"/>
      <c r="O43" s="86"/>
      <c r="P43" s="86"/>
      <c r="Q43" s="86"/>
      <c r="R43" s="86"/>
      <c r="S43" s="86"/>
      <c r="T43" s="86"/>
      <c r="U43" s="86"/>
      <c r="V43" s="86"/>
      <c r="W43" s="86"/>
      <c r="X43" s="86"/>
      <c r="Y43" s="86"/>
      <c r="Z43" s="86"/>
    </row>
    <row r="44" ht="15.75" customHeight="1">
      <c r="H44" s="86"/>
      <c r="I44" s="86"/>
      <c r="J44" s="86"/>
      <c r="K44" s="86"/>
      <c r="L44" s="86"/>
      <c r="M44" s="86"/>
      <c r="N44" s="86"/>
      <c r="O44" s="86"/>
      <c r="P44" s="86"/>
      <c r="Q44" s="86"/>
      <c r="R44" s="86"/>
      <c r="S44" s="86"/>
      <c r="T44" s="86"/>
      <c r="U44" s="86"/>
      <c r="V44" s="86"/>
      <c r="W44" s="86"/>
      <c r="X44" s="86"/>
      <c r="Y44" s="86"/>
      <c r="Z44" s="86"/>
    </row>
    <row r="45" ht="15.75" customHeight="1">
      <c r="H45" s="86"/>
      <c r="I45" s="86"/>
      <c r="J45" s="86"/>
      <c r="K45" s="86"/>
      <c r="L45" s="86"/>
      <c r="M45" s="86"/>
      <c r="N45" s="86"/>
      <c r="O45" s="86"/>
      <c r="P45" s="86"/>
      <c r="Q45" s="86"/>
      <c r="R45" s="86"/>
      <c r="S45" s="86"/>
      <c r="T45" s="86"/>
      <c r="U45" s="86"/>
      <c r="V45" s="86"/>
      <c r="W45" s="86"/>
      <c r="X45" s="86"/>
      <c r="Y45" s="86"/>
      <c r="Z45" s="86"/>
    </row>
    <row r="46" ht="15.75" customHeight="1">
      <c r="H46" s="86"/>
      <c r="I46" s="86"/>
      <c r="J46" s="86"/>
      <c r="K46" s="86"/>
      <c r="L46" s="86"/>
      <c r="M46" s="86"/>
      <c r="N46" s="86"/>
      <c r="O46" s="86"/>
      <c r="P46" s="86"/>
      <c r="Q46" s="86"/>
      <c r="R46" s="86"/>
      <c r="S46" s="86"/>
      <c r="T46" s="86"/>
      <c r="U46" s="86"/>
      <c r="V46" s="86"/>
      <c r="W46" s="86"/>
      <c r="X46" s="86"/>
      <c r="Y46" s="86"/>
      <c r="Z46" s="86"/>
    </row>
    <row r="47" ht="15.75" customHeight="1">
      <c r="H47" s="86"/>
      <c r="I47" s="86"/>
      <c r="J47" s="86"/>
      <c r="K47" s="86"/>
      <c r="L47" s="86"/>
      <c r="M47" s="86"/>
      <c r="N47" s="86"/>
      <c r="O47" s="86"/>
      <c r="P47" s="86"/>
      <c r="Q47" s="86"/>
      <c r="R47" s="86"/>
      <c r="S47" s="86"/>
      <c r="T47" s="86"/>
      <c r="U47" s="86"/>
      <c r="V47" s="86"/>
      <c r="W47" s="86"/>
      <c r="X47" s="86"/>
      <c r="Y47" s="86"/>
      <c r="Z47" s="86"/>
    </row>
    <row r="48" ht="15.75" customHeight="1">
      <c r="H48" s="86"/>
      <c r="I48" s="86"/>
      <c r="J48" s="86"/>
      <c r="K48" s="86"/>
      <c r="L48" s="86"/>
      <c r="M48" s="86"/>
      <c r="N48" s="86"/>
      <c r="O48" s="86"/>
      <c r="P48" s="86"/>
      <c r="Q48" s="86"/>
      <c r="R48" s="86"/>
      <c r="S48" s="86"/>
      <c r="T48" s="86"/>
      <c r="U48" s="86"/>
      <c r="V48" s="86"/>
      <c r="W48" s="86"/>
      <c r="X48" s="86"/>
      <c r="Y48" s="86"/>
      <c r="Z48" s="86"/>
    </row>
    <row r="49" ht="15.75" customHeight="1">
      <c r="H49" s="86"/>
      <c r="I49" s="86"/>
      <c r="J49" s="86"/>
      <c r="K49" s="86"/>
      <c r="L49" s="86"/>
      <c r="M49" s="86"/>
      <c r="N49" s="86"/>
      <c r="O49" s="86"/>
      <c r="P49" s="86"/>
      <c r="Q49" s="86"/>
      <c r="R49" s="86"/>
      <c r="S49" s="86"/>
      <c r="T49" s="86"/>
      <c r="U49" s="86"/>
      <c r="V49" s="86"/>
      <c r="W49" s="86"/>
      <c r="X49" s="86"/>
      <c r="Y49" s="86"/>
      <c r="Z49" s="86"/>
    </row>
    <row r="50" ht="15.75" customHeight="1">
      <c r="H50" s="86"/>
      <c r="I50" s="86"/>
      <c r="J50" s="86"/>
      <c r="K50" s="86"/>
      <c r="L50" s="86"/>
      <c r="M50" s="86"/>
      <c r="N50" s="86"/>
      <c r="O50" s="86"/>
      <c r="P50" s="86"/>
      <c r="Q50" s="86"/>
      <c r="R50" s="86"/>
      <c r="S50" s="86"/>
      <c r="T50" s="86"/>
      <c r="U50" s="86"/>
      <c r="V50" s="86"/>
      <c r="W50" s="86"/>
      <c r="X50" s="86"/>
      <c r="Y50" s="86"/>
      <c r="Z50" s="86"/>
    </row>
    <row r="51" ht="15.75" customHeight="1">
      <c r="H51" s="86"/>
      <c r="I51" s="86"/>
      <c r="J51" s="86"/>
      <c r="K51" s="86"/>
      <c r="L51" s="86"/>
      <c r="M51" s="86"/>
      <c r="N51" s="86"/>
      <c r="O51" s="86"/>
      <c r="P51" s="86"/>
      <c r="Q51" s="86"/>
      <c r="R51" s="86"/>
      <c r="S51" s="86"/>
      <c r="T51" s="86"/>
      <c r="U51" s="86"/>
      <c r="V51" s="86"/>
      <c r="W51" s="86"/>
      <c r="X51" s="86"/>
      <c r="Y51" s="86"/>
      <c r="Z51" s="86"/>
    </row>
    <row r="52" ht="15.75" customHeight="1">
      <c r="H52" s="86"/>
      <c r="I52" s="86"/>
      <c r="J52" s="86"/>
      <c r="K52" s="86"/>
      <c r="L52" s="86"/>
      <c r="M52" s="86"/>
      <c r="N52" s="86"/>
      <c r="O52" s="86"/>
      <c r="P52" s="86"/>
      <c r="Q52" s="86"/>
      <c r="R52" s="86"/>
      <c r="S52" s="86"/>
      <c r="T52" s="86"/>
      <c r="U52" s="86"/>
      <c r="V52" s="86"/>
      <c r="W52" s="86"/>
      <c r="X52" s="86"/>
      <c r="Y52" s="86"/>
      <c r="Z52" s="86"/>
    </row>
    <row r="53" ht="15.75" customHeight="1">
      <c r="H53" s="86"/>
      <c r="I53" s="86"/>
      <c r="J53" s="86"/>
      <c r="K53" s="86"/>
      <c r="L53" s="86"/>
      <c r="M53" s="86"/>
      <c r="N53" s="86"/>
      <c r="O53" s="86"/>
      <c r="P53" s="86"/>
      <c r="Q53" s="86"/>
      <c r="R53" s="86"/>
      <c r="S53" s="86"/>
      <c r="T53" s="86"/>
      <c r="U53" s="86"/>
      <c r="V53" s="86"/>
      <c r="W53" s="86"/>
      <c r="X53" s="86"/>
      <c r="Y53" s="86"/>
      <c r="Z53" s="86"/>
    </row>
    <row r="54" ht="15.75" customHeight="1">
      <c r="H54" s="86"/>
      <c r="I54" s="86"/>
      <c r="J54" s="86"/>
      <c r="K54" s="86"/>
      <c r="L54" s="86"/>
      <c r="M54" s="86"/>
      <c r="N54" s="86"/>
      <c r="O54" s="86"/>
      <c r="P54" s="86"/>
      <c r="Q54" s="86"/>
      <c r="R54" s="86"/>
      <c r="S54" s="86"/>
      <c r="T54" s="86"/>
      <c r="U54" s="86"/>
      <c r="V54" s="86"/>
      <c r="W54" s="86"/>
      <c r="X54" s="86"/>
      <c r="Y54" s="86"/>
      <c r="Z54" s="86"/>
    </row>
    <row r="55" ht="15.75" customHeight="1">
      <c r="H55" s="86"/>
      <c r="I55" s="86"/>
      <c r="J55" s="86"/>
      <c r="K55" s="86"/>
      <c r="L55" s="86"/>
      <c r="M55" s="86"/>
      <c r="N55" s="86"/>
      <c r="O55" s="86"/>
      <c r="P55" s="86"/>
      <c r="Q55" s="86"/>
      <c r="R55" s="86"/>
      <c r="S55" s="86"/>
      <c r="T55" s="86"/>
      <c r="U55" s="86"/>
      <c r="V55" s="86"/>
      <c r="W55" s="86"/>
      <c r="X55" s="86"/>
      <c r="Y55" s="86"/>
      <c r="Z55" s="86"/>
    </row>
    <row r="56" ht="15.75" customHeight="1">
      <c r="H56" s="86"/>
      <c r="I56" s="86"/>
      <c r="J56" s="86"/>
      <c r="K56" s="86"/>
      <c r="L56" s="86"/>
      <c r="M56" s="86"/>
      <c r="N56" s="86"/>
      <c r="O56" s="86"/>
      <c r="P56" s="86"/>
      <c r="Q56" s="86"/>
      <c r="R56" s="86"/>
      <c r="S56" s="86"/>
      <c r="T56" s="86"/>
      <c r="U56" s="86"/>
      <c r="V56" s="86"/>
      <c r="W56" s="86"/>
      <c r="X56" s="86"/>
      <c r="Y56" s="86"/>
      <c r="Z56" s="86"/>
    </row>
    <row r="57" ht="15.75" customHeight="1">
      <c r="H57" s="86"/>
      <c r="I57" s="86"/>
      <c r="J57" s="86"/>
      <c r="K57" s="86"/>
      <c r="L57" s="86"/>
      <c r="M57" s="86"/>
      <c r="N57" s="86"/>
      <c r="O57" s="86"/>
      <c r="P57" s="86"/>
      <c r="Q57" s="86"/>
      <c r="R57" s="86"/>
      <c r="S57" s="86"/>
      <c r="T57" s="86"/>
      <c r="U57" s="86"/>
      <c r="V57" s="86"/>
      <c r="W57" s="86"/>
      <c r="X57" s="86"/>
      <c r="Y57" s="86"/>
      <c r="Z57" s="86"/>
    </row>
    <row r="58" ht="15.75" customHeight="1">
      <c r="H58" s="86"/>
      <c r="I58" s="86"/>
      <c r="J58" s="86"/>
      <c r="K58" s="86"/>
      <c r="L58" s="86"/>
      <c r="M58" s="86"/>
      <c r="N58" s="86"/>
      <c r="O58" s="86"/>
      <c r="P58" s="86"/>
      <c r="Q58" s="86"/>
      <c r="R58" s="86"/>
      <c r="S58" s="86"/>
      <c r="T58" s="86"/>
      <c r="U58" s="86"/>
      <c r="V58" s="86"/>
      <c r="W58" s="86"/>
      <c r="X58" s="86"/>
      <c r="Y58" s="86"/>
      <c r="Z58" s="86"/>
    </row>
    <row r="59" ht="15.75" customHeight="1">
      <c r="H59" s="86"/>
      <c r="I59" s="86"/>
      <c r="J59" s="86"/>
      <c r="K59" s="86"/>
      <c r="L59" s="86"/>
      <c r="M59" s="86"/>
      <c r="N59" s="86"/>
      <c r="O59" s="86"/>
      <c r="P59" s="86"/>
      <c r="Q59" s="86"/>
      <c r="R59" s="86"/>
      <c r="S59" s="86"/>
      <c r="T59" s="86"/>
      <c r="U59" s="86"/>
      <c r="V59" s="86"/>
      <c r="W59" s="86"/>
      <c r="X59" s="86"/>
      <c r="Y59" s="86"/>
      <c r="Z59" s="86"/>
    </row>
    <row r="60" ht="15.75" customHeight="1">
      <c r="H60" s="86"/>
      <c r="I60" s="86"/>
      <c r="J60" s="86"/>
      <c r="K60" s="86"/>
      <c r="L60" s="86"/>
      <c r="M60" s="86"/>
      <c r="N60" s="86"/>
      <c r="O60" s="86"/>
      <c r="P60" s="86"/>
      <c r="Q60" s="86"/>
      <c r="R60" s="86"/>
      <c r="S60" s="86"/>
      <c r="T60" s="86"/>
      <c r="U60" s="86"/>
      <c r="V60" s="86"/>
      <c r="W60" s="86"/>
      <c r="X60" s="86"/>
      <c r="Y60" s="86"/>
      <c r="Z60" s="86"/>
    </row>
    <row r="61" ht="15.75" customHeight="1">
      <c r="H61" s="86"/>
      <c r="I61" s="86"/>
      <c r="J61" s="86"/>
      <c r="K61" s="86"/>
      <c r="L61" s="86"/>
      <c r="M61" s="86"/>
      <c r="N61" s="86"/>
      <c r="O61" s="86"/>
      <c r="P61" s="86"/>
      <c r="Q61" s="86"/>
      <c r="R61" s="86"/>
      <c r="S61" s="86"/>
      <c r="T61" s="86"/>
      <c r="U61" s="86"/>
      <c r="V61" s="86"/>
      <c r="W61" s="86"/>
      <c r="X61" s="86"/>
      <c r="Y61" s="86"/>
      <c r="Z61" s="86"/>
    </row>
    <row r="62" ht="15.75" customHeight="1">
      <c r="H62" s="86"/>
      <c r="I62" s="86"/>
      <c r="J62" s="86"/>
      <c r="K62" s="86"/>
      <c r="L62" s="86"/>
      <c r="M62" s="86"/>
      <c r="N62" s="86"/>
      <c r="O62" s="86"/>
      <c r="P62" s="86"/>
      <c r="Q62" s="86"/>
      <c r="R62" s="86"/>
      <c r="S62" s="86"/>
      <c r="T62" s="86"/>
      <c r="U62" s="86"/>
      <c r="V62" s="86"/>
      <c r="W62" s="86"/>
      <c r="X62" s="86"/>
      <c r="Y62" s="86"/>
      <c r="Z62" s="86"/>
    </row>
    <row r="63" ht="15.75" customHeight="1">
      <c r="H63" s="86"/>
      <c r="I63" s="86"/>
      <c r="J63" s="86"/>
      <c r="K63" s="86"/>
      <c r="L63" s="86"/>
      <c r="M63" s="86"/>
      <c r="N63" s="86"/>
      <c r="O63" s="86"/>
      <c r="P63" s="86"/>
      <c r="Q63" s="86"/>
      <c r="R63" s="86"/>
      <c r="S63" s="86"/>
      <c r="T63" s="86"/>
      <c r="U63" s="86"/>
      <c r="V63" s="86"/>
      <c r="W63" s="86"/>
      <c r="X63" s="86"/>
      <c r="Y63" s="86"/>
      <c r="Z63" s="86"/>
    </row>
    <row r="64" ht="15.75" customHeight="1">
      <c r="H64" s="86"/>
      <c r="I64" s="86"/>
      <c r="J64" s="86"/>
      <c r="K64" s="86"/>
      <c r="L64" s="86"/>
      <c r="M64" s="86"/>
      <c r="N64" s="86"/>
      <c r="O64" s="86"/>
      <c r="P64" s="86"/>
      <c r="Q64" s="86"/>
      <c r="R64" s="86"/>
      <c r="S64" s="86"/>
      <c r="T64" s="86"/>
      <c r="U64" s="86"/>
      <c r="V64" s="86"/>
      <c r="W64" s="86"/>
      <c r="X64" s="86"/>
      <c r="Y64" s="86"/>
      <c r="Z64" s="86"/>
    </row>
    <row r="65" ht="15.75" customHeight="1">
      <c r="H65" s="86"/>
      <c r="I65" s="86"/>
      <c r="J65" s="86"/>
      <c r="K65" s="86"/>
      <c r="L65" s="86"/>
      <c r="M65" s="86"/>
      <c r="N65" s="86"/>
      <c r="O65" s="86"/>
      <c r="P65" s="86"/>
      <c r="Q65" s="86"/>
      <c r="R65" s="86"/>
      <c r="S65" s="86"/>
      <c r="T65" s="86"/>
      <c r="U65" s="86"/>
      <c r="V65" s="86"/>
      <c r="W65" s="86"/>
      <c r="X65" s="86"/>
      <c r="Y65" s="86"/>
      <c r="Z65" s="86"/>
    </row>
    <row r="66" ht="15.75" customHeight="1">
      <c r="H66" s="86"/>
      <c r="I66" s="86"/>
      <c r="J66" s="86"/>
      <c r="K66" s="86"/>
      <c r="L66" s="86"/>
      <c r="M66" s="86"/>
      <c r="N66" s="86"/>
      <c r="O66" s="86"/>
      <c r="P66" s="86"/>
      <c r="Q66" s="86"/>
      <c r="R66" s="86"/>
      <c r="S66" s="86"/>
      <c r="T66" s="86"/>
      <c r="U66" s="86"/>
      <c r="V66" s="86"/>
      <c r="W66" s="86"/>
      <c r="X66" s="86"/>
      <c r="Y66" s="86"/>
      <c r="Z66" s="86"/>
    </row>
    <row r="67" ht="15.75" customHeight="1">
      <c r="H67" s="86"/>
      <c r="I67" s="86"/>
      <c r="J67" s="86"/>
      <c r="K67" s="86"/>
      <c r="L67" s="86"/>
      <c r="M67" s="86"/>
      <c r="N67" s="86"/>
      <c r="O67" s="86"/>
      <c r="P67" s="86"/>
      <c r="Q67" s="86"/>
      <c r="R67" s="86"/>
      <c r="S67" s="86"/>
      <c r="T67" s="86"/>
      <c r="U67" s="86"/>
      <c r="V67" s="86"/>
      <c r="W67" s="86"/>
      <c r="X67" s="86"/>
      <c r="Y67" s="86"/>
      <c r="Z67" s="86"/>
    </row>
    <row r="68" ht="15.75" customHeight="1">
      <c r="H68" s="86"/>
      <c r="I68" s="86"/>
      <c r="J68" s="86"/>
      <c r="K68" s="86"/>
      <c r="L68" s="86"/>
      <c r="M68" s="86"/>
      <c r="N68" s="86"/>
      <c r="O68" s="86"/>
      <c r="P68" s="86"/>
      <c r="Q68" s="86"/>
      <c r="R68" s="86"/>
      <c r="S68" s="86"/>
      <c r="T68" s="86"/>
      <c r="U68" s="86"/>
      <c r="V68" s="86"/>
      <c r="W68" s="86"/>
      <c r="X68" s="86"/>
      <c r="Y68" s="86"/>
      <c r="Z68" s="86"/>
    </row>
    <row r="69" ht="15.75" customHeight="1">
      <c r="H69" s="86"/>
      <c r="I69" s="86"/>
      <c r="J69" s="86"/>
      <c r="K69" s="86"/>
      <c r="L69" s="86"/>
      <c r="M69" s="86"/>
      <c r="N69" s="86"/>
      <c r="O69" s="86"/>
      <c r="P69" s="86"/>
      <c r="Q69" s="86"/>
      <c r="R69" s="86"/>
      <c r="S69" s="86"/>
      <c r="T69" s="86"/>
      <c r="U69" s="86"/>
      <c r="V69" s="86"/>
      <c r="W69" s="86"/>
      <c r="X69" s="86"/>
      <c r="Y69" s="86"/>
      <c r="Z69" s="86"/>
    </row>
    <row r="70" ht="15.75" customHeight="1">
      <c r="H70" s="86"/>
      <c r="I70" s="86"/>
      <c r="J70" s="86"/>
      <c r="K70" s="86"/>
      <c r="L70" s="86"/>
      <c r="M70" s="86"/>
      <c r="N70" s="86"/>
      <c r="O70" s="86"/>
      <c r="P70" s="86"/>
      <c r="Q70" s="86"/>
      <c r="R70" s="86"/>
      <c r="S70" s="86"/>
      <c r="T70" s="86"/>
      <c r="U70" s="86"/>
      <c r="V70" s="86"/>
      <c r="W70" s="86"/>
      <c r="X70" s="86"/>
      <c r="Y70" s="86"/>
      <c r="Z70" s="86"/>
    </row>
    <row r="71" ht="15.75" customHeight="1">
      <c r="H71" s="86"/>
      <c r="I71" s="86"/>
      <c r="J71" s="86"/>
      <c r="K71" s="86"/>
      <c r="L71" s="86"/>
      <c r="M71" s="86"/>
      <c r="N71" s="86"/>
      <c r="O71" s="86"/>
      <c r="P71" s="86"/>
      <c r="Q71" s="86"/>
      <c r="R71" s="86"/>
      <c r="S71" s="86"/>
      <c r="T71" s="86"/>
      <c r="U71" s="86"/>
      <c r="V71" s="86"/>
      <c r="W71" s="86"/>
      <c r="X71" s="86"/>
      <c r="Y71" s="86"/>
      <c r="Z71" s="86"/>
    </row>
    <row r="72" ht="15.75" customHeight="1">
      <c r="H72" s="86"/>
      <c r="I72" s="86"/>
      <c r="J72" s="86"/>
      <c r="K72" s="86"/>
      <c r="L72" s="86"/>
      <c r="M72" s="86"/>
      <c r="N72" s="86"/>
      <c r="O72" s="86"/>
      <c r="P72" s="86"/>
      <c r="Q72" s="86"/>
      <c r="R72" s="86"/>
      <c r="S72" s="86"/>
      <c r="T72" s="86"/>
      <c r="U72" s="86"/>
      <c r="V72" s="86"/>
      <c r="W72" s="86"/>
      <c r="X72" s="86"/>
      <c r="Y72" s="86"/>
      <c r="Z72" s="86"/>
    </row>
    <row r="73" ht="15.75" customHeight="1">
      <c r="H73" s="86"/>
      <c r="I73" s="86"/>
      <c r="J73" s="86"/>
      <c r="K73" s="86"/>
      <c r="L73" s="86"/>
      <c r="M73" s="86"/>
      <c r="N73" s="86"/>
      <c r="O73" s="86"/>
      <c r="P73" s="86"/>
      <c r="Q73" s="86"/>
      <c r="R73" s="86"/>
      <c r="S73" s="86"/>
      <c r="T73" s="86"/>
      <c r="U73" s="86"/>
      <c r="V73" s="86"/>
      <c r="W73" s="86"/>
      <c r="X73" s="86"/>
      <c r="Y73" s="86"/>
      <c r="Z73" s="86"/>
    </row>
    <row r="74" ht="15.75" customHeight="1">
      <c r="H74" s="86"/>
      <c r="I74" s="86"/>
      <c r="J74" s="86"/>
      <c r="K74" s="86"/>
      <c r="L74" s="86"/>
      <c r="M74" s="86"/>
      <c r="N74" s="86"/>
      <c r="O74" s="86"/>
      <c r="P74" s="86"/>
      <c r="Q74" s="86"/>
      <c r="R74" s="86"/>
      <c r="S74" s="86"/>
      <c r="T74" s="86"/>
      <c r="U74" s="86"/>
      <c r="V74" s="86"/>
      <c r="W74" s="86"/>
      <c r="X74" s="86"/>
      <c r="Y74" s="86"/>
      <c r="Z74" s="86"/>
    </row>
    <row r="75" ht="15.75" customHeight="1">
      <c r="H75" s="86"/>
      <c r="I75" s="86"/>
      <c r="J75" s="86"/>
      <c r="K75" s="86"/>
      <c r="L75" s="86"/>
      <c r="M75" s="86"/>
      <c r="N75" s="86"/>
      <c r="O75" s="86"/>
      <c r="P75" s="86"/>
      <c r="Q75" s="86"/>
      <c r="R75" s="86"/>
      <c r="S75" s="86"/>
      <c r="T75" s="86"/>
      <c r="U75" s="86"/>
      <c r="V75" s="86"/>
      <c r="W75" s="86"/>
      <c r="X75" s="86"/>
      <c r="Y75" s="86"/>
      <c r="Z75" s="86"/>
    </row>
    <row r="76" ht="15.75" customHeight="1">
      <c r="H76" s="86"/>
      <c r="I76" s="86"/>
      <c r="J76" s="86"/>
      <c r="K76" s="86"/>
      <c r="L76" s="86"/>
      <c r="M76" s="86"/>
      <c r="N76" s="86"/>
      <c r="O76" s="86"/>
      <c r="P76" s="86"/>
      <c r="Q76" s="86"/>
      <c r="R76" s="86"/>
      <c r="S76" s="86"/>
      <c r="T76" s="86"/>
      <c r="U76" s="86"/>
      <c r="V76" s="86"/>
      <c r="W76" s="86"/>
      <c r="X76" s="86"/>
      <c r="Y76" s="86"/>
      <c r="Z76" s="86"/>
    </row>
    <row r="77" ht="15.75" customHeight="1">
      <c r="H77" s="86"/>
      <c r="I77" s="86"/>
      <c r="J77" s="86"/>
      <c r="K77" s="86"/>
      <c r="L77" s="86"/>
      <c r="M77" s="86"/>
      <c r="N77" s="86"/>
      <c r="O77" s="86"/>
      <c r="P77" s="86"/>
      <c r="Q77" s="86"/>
      <c r="R77" s="86"/>
      <c r="S77" s="86"/>
      <c r="T77" s="86"/>
      <c r="U77" s="86"/>
      <c r="V77" s="86"/>
      <c r="W77" s="86"/>
      <c r="X77" s="86"/>
      <c r="Y77" s="86"/>
      <c r="Z77" s="86"/>
    </row>
    <row r="78" ht="15.75" customHeight="1">
      <c r="H78" s="86"/>
      <c r="I78" s="86"/>
      <c r="J78" s="86"/>
      <c r="K78" s="86"/>
      <c r="L78" s="86"/>
      <c r="M78" s="86"/>
      <c r="N78" s="86"/>
      <c r="O78" s="86"/>
      <c r="P78" s="86"/>
      <c r="Q78" s="86"/>
      <c r="R78" s="86"/>
      <c r="S78" s="86"/>
      <c r="T78" s="86"/>
      <c r="U78" s="86"/>
      <c r="V78" s="86"/>
      <c r="W78" s="86"/>
      <c r="X78" s="86"/>
      <c r="Y78" s="86"/>
      <c r="Z78" s="86"/>
    </row>
    <row r="79" ht="15.75" customHeight="1">
      <c r="H79" s="86"/>
      <c r="I79" s="86"/>
      <c r="J79" s="86"/>
      <c r="K79" s="86"/>
      <c r="L79" s="86"/>
      <c r="M79" s="86"/>
      <c r="N79" s="86"/>
      <c r="O79" s="86"/>
      <c r="P79" s="86"/>
      <c r="Q79" s="86"/>
      <c r="R79" s="86"/>
      <c r="S79" s="86"/>
      <c r="T79" s="86"/>
      <c r="U79" s="86"/>
      <c r="V79" s="86"/>
      <c r="W79" s="86"/>
      <c r="X79" s="86"/>
      <c r="Y79" s="86"/>
      <c r="Z79" s="86"/>
    </row>
    <row r="80" ht="15.75" customHeight="1">
      <c r="H80" s="86"/>
      <c r="I80" s="86"/>
      <c r="J80" s="86"/>
      <c r="K80" s="86"/>
      <c r="L80" s="86"/>
      <c r="M80" s="86"/>
      <c r="N80" s="86"/>
      <c r="O80" s="86"/>
      <c r="P80" s="86"/>
      <c r="Q80" s="86"/>
      <c r="R80" s="86"/>
      <c r="S80" s="86"/>
      <c r="T80" s="86"/>
      <c r="U80" s="86"/>
      <c r="V80" s="86"/>
      <c r="W80" s="86"/>
      <c r="X80" s="86"/>
      <c r="Y80" s="86"/>
      <c r="Z80" s="86"/>
    </row>
    <row r="81" ht="15.75" customHeight="1">
      <c r="H81" s="86"/>
      <c r="I81" s="86"/>
      <c r="J81" s="86"/>
      <c r="K81" s="86"/>
      <c r="L81" s="86"/>
      <c r="M81" s="86"/>
      <c r="N81" s="86"/>
      <c r="O81" s="86"/>
      <c r="P81" s="86"/>
      <c r="Q81" s="86"/>
      <c r="R81" s="86"/>
      <c r="S81" s="86"/>
      <c r="T81" s="86"/>
      <c r="U81" s="86"/>
      <c r="V81" s="86"/>
      <c r="W81" s="86"/>
      <c r="X81" s="86"/>
      <c r="Y81" s="86"/>
      <c r="Z81" s="86"/>
    </row>
    <row r="82" ht="15.75" customHeight="1">
      <c r="H82" s="86"/>
      <c r="I82" s="86"/>
      <c r="J82" s="86"/>
      <c r="K82" s="86"/>
      <c r="L82" s="86"/>
      <c r="M82" s="86"/>
      <c r="N82" s="86"/>
      <c r="O82" s="86"/>
      <c r="P82" s="86"/>
      <c r="Q82" s="86"/>
      <c r="R82" s="86"/>
      <c r="S82" s="86"/>
      <c r="T82" s="86"/>
      <c r="U82" s="86"/>
      <c r="V82" s="86"/>
      <c r="W82" s="86"/>
      <c r="X82" s="86"/>
      <c r="Y82" s="86"/>
      <c r="Z82" s="86"/>
    </row>
    <row r="83" ht="15.75" customHeight="1">
      <c r="H83" s="86"/>
      <c r="I83" s="86"/>
      <c r="J83" s="86"/>
      <c r="K83" s="86"/>
      <c r="L83" s="86"/>
      <c r="M83" s="86"/>
      <c r="N83" s="86"/>
      <c r="O83" s="86"/>
      <c r="P83" s="86"/>
      <c r="Q83" s="86"/>
      <c r="R83" s="86"/>
      <c r="S83" s="86"/>
      <c r="T83" s="86"/>
      <c r="U83" s="86"/>
      <c r="V83" s="86"/>
      <c r="W83" s="86"/>
      <c r="X83" s="86"/>
      <c r="Y83" s="86"/>
      <c r="Z83" s="86"/>
    </row>
    <row r="84" ht="15.75" customHeight="1">
      <c r="H84" s="86"/>
      <c r="I84" s="86"/>
      <c r="J84" s="86"/>
      <c r="K84" s="86"/>
      <c r="L84" s="86"/>
      <c r="M84" s="86"/>
      <c r="N84" s="86"/>
      <c r="O84" s="86"/>
      <c r="P84" s="86"/>
      <c r="Q84" s="86"/>
      <c r="R84" s="86"/>
      <c r="S84" s="86"/>
      <c r="T84" s="86"/>
      <c r="U84" s="86"/>
      <c r="V84" s="86"/>
      <c r="W84" s="86"/>
      <c r="X84" s="86"/>
      <c r="Y84" s="86"/>
      <c r="Z84" s="86"/>
    </row>
    <row r="85" ht="15.75" customHeight="1">
      <c r="H85" s="86"/>
      <c r="I85" s="86"/>
      <c r="J85" s="86"/>
      <c r="K85" s="86"/>
      <c r="L85" s="86"/>
      <c r="M85" s="86"/>
      <c r="N85" s="86"/>
      <c r="O85" s="86"/>
      <c r="P85" s="86"/>
      <c r="Q85" s="86"/>
      <c r="R85" s="86"/>
      <c r="S85" s="86"/>
      <c r="T85" s="86"/>
      <c r="U85" s="86"/>
      <c r="V85" s="86"/>
      <c r="W85" s="86"/>
      <c r="X85" s="86"/>
      <c r="Y85" s="86"/>
      <c r="Z85" s="86"/>
    </row>
    <row r="86" ht="15.75" customHeight="1">
      <c r="H86" s="86"/>
      <c r="I86" s="86"/>
      <c r="J86" s="86"/>
      <c r="K86" s="86"/>
      <c r="L86" s="86"/>
      <c r="M86" s="86"/>
      <c r="N86" s="86"/>
      <c r="O86" s="86"/>
      <c r="P86" s="86"/>
      <c r="Q86" s="86"/>
      <c r="R86" s="86"/>
      <c r="S86" s="86"/>
      <c r="T86" s="86"/>
      <c r="U86" s="86"/>
      <c r="V86" s="86"/>
      <c r="W86" s="86"/>
      <c r="X86" s="86"/>
      <c r="Y86" s="86"/>
      <c r="Z86" s="86"/>
    </row>
    <row r="87" ht="15.75" customHeight="1">
      <c r="H87" s="86"/>
      <c r="I87" s="86"/>
      <c r="J87" s="86"/>
      <c r="K87" s="86"/>
      <c r="L87" s="86"/>
      <c r="M87" s="86"/>
      <c r="N87" s="86"/>
      <c r="O87" s="86"/>
      <c r="P87" s="86"/>
      <c r="Q87" s="86"/>
      <c r="R87" s="86"/>
      <c r="S87" s="86"/>
      <c r="T87" s="86"/>
      <c r="U87" s="86"/>
      <c r="V87" s="86"/>
      <c r="W87" s="86"/>
      <c r="X87" s="86"/>
      <c r="Y87" s="86"/>
      <c r="Z87" s="86"/>
    </row>
    <row r="88" ht="15.75" customHeight="1">
      <c r="H88" s="86"/>
      <c r="I88" s="86"/>
      <c r="J88" s="86"/>
      <c r="K88" s="86"/>
      <c r="L88" s="86"/>
      <c r="M88" s="86"/>
      <c r="N88" s="86"/>
      <c r="O88" s="86"/>
      <c r="P88" s="86"/>
      <c r="Q88" s="86"/>
      <c r="R88" s="86"/>
      <c r="S88" s="86"/>
      <c r="T88" s="86"/>
      <c r="U88" s="86"/>
      <c r="V88" s="86"/>
      <c r="W88" s="86"/>
      <c r="X88" s="86"/>
      <c r="Y88" s="86"/>
      <c r="Z88" s="86"/>
    </row>
    <row r="89" ht="15.75" customHeight="1">
      <c r="H89" s="86"/>
      <c r="I89" s="86"/>
      <c r="J89" s="86"/>
      <c r="K89" s="86"/>
      <c r="L89" s="86"/>
      <c r="M89" s="86"/>
      <c r="N89" s="86"/>
      <c r="O89" s="86"/>
      <c r="P89" s="86"/>
      <c r="Q89" s="86"/>
      <c r="R89" s="86"/>
      <c r="S89" s="86"/>
      <c r="T89" s="86"/>
      <c r="U89" s="86"/>
      <c r="V89" s="86"/>
      <c r="W89" s="86"/>
      <c r="X89" s="86"/>
      <c r="Y89" s="86"/>
      <c r="Z89" s="86"/>
    </row>
    <row r="90" ht="15.75" customHeight="1">
      <c r="H90" s="86"/>
      <c r="I90" s="86"/>
      <c r="J90" s="86"/>
      <c r="K90" s="86"/>
      <c r="L90" s="86"/>
      <c r="M90" s="86"/>
      <c r="N90" s="86"/>
      <c r="O90" s="86"/>
      <c r="P90" s="86"/>
      <c r="Q90" s="86"/>
      <c r="R90" s="86"/>
      <c r="S90" s="86"/>
      <c r="T90" s="86"/>
      <c r="U90" s="86"/>
      <c r="V90" s="86"/>
      <c r="W90" s="86"/>
      <c r="X90" s="86"/>
      <c r="Y90" s="86"/>
      <c r="Z90" s="86"/>
    </row>
    <row r="91" ht="15.75" customHeight="1">
      <c r="H91" s="86"/>
      <c r="I91" s="86"/>
      <c r="J91" s="86"/>
      <c r="K91" s="86"/>
      <c r="L91" s="86"/>
      <c r="M91" s="86"/>
      <c r="N91" s="86"/>
      <c r="O91" s="86"/>
      <c r="P91" s="86"/>
      <c r="Q91" s="86"/>
      <c r="R91" s="86"/>
      <c r="S91" s="86"/>
      <c r="T91" s="86"/>
      <c r="U91" s="86"/>
      <c r="V91" s="86"/>
      <c r="W91" s="86"/>
      <c r="X91" s="86"/>
      <c r="Y91" s="86"/>
      <c r="Z91" s="86"/>
    </row>
    <row r="92" ht="15.75" customHeight="1">
      <c r="H92" s="86"/>
      <c r="I92" s="86"/>
      <c r="J92" s="86"/>
      <c r="K92" s="86"/>
      <c r="L92" s="86"/>
      <c r="M92" s="86"/>
      <c r="N92" s="86"/>
      <c r="O92" s="86"/>
      <c r="P92" s="86"/>
      <c r="Q92" s="86"/>
      <c r="R92" s="86"/>
      <c r="S92" s="86"/>
      <c r="T92" s="86"/>
      <c r="U92" s="86"/>
      <c r="V92" s="86"/>
      <c r="W92" s="86"/>
      <c r="X92" s="86"/>
      <c r="Y92" s="86"/>
      <c r="Z92" s="86"/>
    </row>
    <row r="93" ht="15.75" customHeight="1">
      <c r="H93" s="86"/>
      <c r="I93" s="86"/>
      <c r="J93" s="86"/>
      <c r="K93" s="86"/>
      <c r="L93" s="86"/>
      <c r="M93" s="86"/>
      <c r="N93" s="86"/>
      <c r="O93" s="86"/>
      <c r="P93" s="86"/>
      <c r="Q93" s="86"/>
      <c r="R93" s="86"/>
      <c r="S93" s="86"/>
      <c r="T93" s="86"/>
      <c r="U93" s="86"/>
      <c r="V93" s="86"/>
      <c r="W93" s="86"/>
      <c r="X93" s="86"/>
      <c r="Y93" s="86"/>
      <c r="Z93" s="86"/>
    </row>
    <row r="94" ht="15.75" customHeight="1">
      <c r="H94" s="86"/>
      <c r="I94" s="86"/>
      <c r="J94" s="86"/>
      <c r="K94" s="86"/>
      <c r="L94" s="86"/>
      <c r="M94" s="86"/>
      <c r="N94" s="86"/>
      <c r="O94" s="86"/>
      <c r="P94" s="86"/>
      <c r="Q94" s="86"/>
      <c r="R94" s="86"/>
      <c r="S94" s="86"/>
      <c r="T94" s="86"/>
      <c r="U94" s="86"/>
      <c r="V94" s="86"/>
      <c r="W94" s="86"/>
      <c r="X94" s="86"/>
      <c r="Y94" s="86"/>
      <c r="Z94" s="86"/>
    </row>
    <row r="95" ht="15.75" customHeight="1">
      <c r="H95" s="86"/>
      <c r="I95" s="86"/>
      <c r="J95" s="86"/>
      <c r="K95" s="86"/>
      <c r="L95" s="86"/>
      <c r="M95" s="86"/>
      <c r="N95" s="86"/>
      <c r="O95" s="86"/>
      <c r="P95" s="86"/>
      <c r="Q95" s="86"/>
      <c r="R95" s="86"/>
      <c r="S95" s="86"/>
      <c r="T95" s="86"/>
      <c r="U95" s="86"/>
      <c r="V95" s="86"/>
      <c r="W95" s="86"/>
      <c r="X95" s="86"/>
      <c r="Y95" s="86"/>
      <c r="Z95" s="86"/>
    </row>
    <row r="96" ht="15.75" customHeight="1">
      <c r="H96" s="86"/>
      <c r="I96" s="86"/>
      <c r="J96" s="86"/>
      <c r="K96" s="86"/>
      <c r="L96" s="86"/>
      <c r="M96" s="86"/>
      <c r="N96" s="86"/>
      <c r="O96" s="86"/>
      <c r="P96" s="86"/>
      <c r="Q96" s="86"/>
      <c r="R96" s="86"/>
      <c r="S96" s="86"/>
      <c r="T96" s="86"/>
      <c r="U96" s="86"/>
      <c r="V96" s="86"/>
      <c r="W96" s="86"/>
      <c r="X96" s="86"/>
      <c r="Y96" s="86"/>
      <c r="Z96" s="86"/>
    </row>
    <row r="97" ht="15.75" customHeight="1">
      <c r="H97" s="86"/>
      <c r="I97" s="86"/>
      <c r="J97" s="86"/>
      <c r="K97" s="86"/>
      <c r="L97" s="86"/>
      <c r="M97" s="86"/>
      <c r="N97" s="86"/>
      <c r="O97" s="86"/>
      <c r="P97" s="86"/>
      <c r="Q97" s="86"/>
      <c r="R97" s="86"/>
      <c r="S97" s="86"/>
      <c r="T97" s="86"/>
      <c r="U97" s="86"/>
      <c r="V97" s="86"/>
      <c r="W97" s="86"/>
      <c r="X97" s="86"/>
      <c r="Y97" s="86"/>
      <c r="Z97" s="86"/>
    </row>
    <row r="98" ht="15.75" customHeight="1">
      <c r="H98" s="86"/>
      <c r="I98" s="86"/>
      <c r="J98" s="86"/>
      <c r="K98" s="86"/>
      <c r="L98" s="86"/>
      <c r="M98" s="86"/>
      <c r="N98" s="86"/>
      <c r="O98" s="86"/>
      <c r="P98" s="86"/>
      <c r="Q98" s="86"/>
      <c r="R98" s="86"/>
      <c r="S98" s="86"/>
      <c r="T98" s="86"/>
      <c r="U98" s="86"/>
      <c r="V98" s="86"/>
      <c r="W98" s="86"/>
      <c r="X98" s="86"/>
      <c r="Y98" s="86"/>
      <c r="Z98" s="86"/>
    </row>
    <row r="99" ht="15.75" customHeight="1">
      <c r="H99" s="86"/>
      <c r="I99" s="86"/>
      <c r="J99" s="86"/>
      <c r="K99" s="86"/>
      <c r="L99" s="86"/>
      <c r="M99" s="86"/>
      <c r="N99" s="86"/>
      <c r="O99" s="86"/>
      <c r="P99" s="86"/>
      <c r="Q99" s="86"/>
      <c r="R99" s="86"/>
      <c r="S99" s="86"/>
      <c r="T99" s="86"/>
      <c r="U99" s="86"/>
      <c r="V99" s="86"/>
      <c r="W99" s="86"/>
      <c r="X99" s="86"/>
      <c r="Y99" s="86"/>
      <c r="Z99" s="86"/>
    </row>
    <row r="100" ht="15.75" customHeight="1">
      <c r="H100" s="86"/>
      <c r="I100" s="86"/>
      <c r="J100" s="86"/>
      <c r="K100" s="86"/>
      <c r="L100" s="86"/>
      <c r="M100" s="86"/>
      <c r="N100" s="86"/>
      <c r="O100" s="86"/>
      <c r="P100" s="86"/>
      <c r="Q100" s="86"/>
      <c r="R100" s="86"/>
      <c r="S100" s="86"/>
      <c r="T100" s="86"/>
      <c r="U100" s="86"/>
      <c r="V100" s="86"/>
      <c r="W100" s="86"/>
      <c r="X100" s="86"/>
      <c r="Y100" s="86"/>
      <c r="Z100" s="86"/>
    </row>
    <row r="101" ht="15.75" customHeight="1">
      <c r="H101" s="86"/>
      <c r="I101" s="86"/>
      <c r="J101" s="86"/>
      <c r="K101" s="86"/>
      <c r="L101" s="86"/>
      <c r="M101" s="86"/>
      <c r="N101" s="86"/>
      <c r="O101" s="86"/>
      <c r="P101" s="86"/>
      <c r="Q101" s="86"/>
      <c r="R101" s="86"/>
      <c r="S101" s="86"/>
      <c r="T101" s="86"/>
      <c r="U101" s="86"/>
      <c r="V101" s="86"/>
      <c r="W101" s="86"/>
      <c r="X101" s="86"/>
      <c r="Y101" s="86"/>
      <c r="Z101" s="86"/>
    </row>
    <row r="102" ht="15.75" customHeight="1">
      <c r="H102" s="86"/>
      <c r="I102" s="86"/>
      <c r="J102" s="86"/>
      <c r="K102" s="86"/>
      <c r="L102" s="86"/>
      <c r="M102" s="86"/>
      <c r="N102" s="86"/>
      <c r="O102" s="86"/>
      <c r="P102" s="86"/>
      <c r="Q102" s="86"/>
      <c r="R102" s="86"/>
      <c r="S102" s="86"/>
      <c r="T102" s="86"/>
      <c r="U102" s="86"/>
      <c r="V102" s="86"/>
      <c r="W102" s="86"/>
      <c r="X102" s="86"/>
      <c r="Y102" s="86"/>
      <c r="Z102" s="86"/>
    </row>
    <row r="103" ht="15.75" customHeight="1">
      <c r="H103" s="86"/>
      <c r="I103" s="86"/>
      <c r="J103" s="86"/>
      <c r="K103" s="86"/>
      <c r="L103" s="86"/>
      <c r="M103" s="86"/>
      <c r="N103" s="86"/>
      <c r="O103" s="86"/>
      <c r="P103" s="86"/>
      <c r="Q103" s="86"/>
      <c r="R103" s="86"/>
      <c r="S103" s="86"/>
      <c r="T103" s="86"/>
      <c r="U103" s="86"/>
      <c r="V103" s="86"/>
      <c r="W103" s="86"/>
      <c r="X103" s="86"/>
      <c r="Y103" s="86"/>
      <c r="Z103" s="86"/>
    </row>
    <row r="104" ht="15.75" customHeight="1">
      <c r="H104" s="86"/>
      <c r="I104" s="86"/>
      <c r="J104" s="86"/>
      <c r="K104" s="86"/>
      <c r="L104" s="86"/>
      <c r="M104" s="86"/>
      <c r="N104" s="86"/>
      <c r="O104" s="86"/>
      <c r="P104" s="86"/>
      <c r="Q104" s="86"/>
      <c r="R104" s="86"/>
      <c r="S104" s="86"/>
      <c r="T104" s="86"/>
      <c r="U104" s="86"/>
      <c r="V104" s="86"/>
      <c r="W104" s="86"/>
      <c r="X104" s="86"/>
      <c r="Y104" s="86"/>
      <c r="Z104" s="86"/>
    </row>
    <row r="105" ht="15.75" customHeight="1">
      <c r="H105" s="86"/>
      <c r="I105" s="86"/>
      <c r="J105" s="86"/>
      <c r="K105" s="86"/>
      <c r="L105" s="86"/>
      <c r="M105" s="86"/>
      <c r="N105" s="86"/>
      <c r="O105" s="86"/>
      <c r="P105" s="86"/>
      <c r="Q105" s="86"/>
      <c r="R105" s="86"/>
      <c r="S105" s="86"/>
      <c r="T105" s="86"/>
      <c r="U105" s="86"/>
      <c r="V105" s="86"/>
      <c r="W105" s="86"/>
      <c r="X105" s="86"/>
      <c r="Y105" s="86"/>
      <c r="Z105" s="86"/>
    </row>
    <row r="106" ht="15.75" customHeight="1">
      <c r="H106" s="86"/>
      <c r="I106" s="86"/>
      <c r="J106" s="86"/>
      <c r="K106" s="86"/>
      <c r="L106" s="86"/>
      <c r="M106" s="86"/>
      <c r="N106" s="86"/>
      <c r="O106" s="86"/>
      <c r="P106" s="86"/>
      <c r="Q106" s="86"/>
      <c r="R106" s="86"/>
      <c r="S106" s="86"/>
      <c r="T106" s="86"/>
      <c r="U106" s="86"/>
      <c r="V106" s="86"/>
      <c r="W106" s="86"/>
      <c r="X106" s="86"/>
      <c r="Y106" s="86"/>
      <c r="Z106" s="86"/>
    </row>
    <row r="107" ht="15.75" customHeight="1">
      <c r="H107" s="86"/>
      <c r="I107" s="86"/>
      <c r="J107" s="86"/>
      <c r="K107" s="86"/>
      <c r="L107" s="86"/>
      <c r="M107" s="86"/>
      <c r="N107" s="86"/>
      <c r="O107" s="86"/>
      <c r="P107" s="86"/>
      <c r="Q107" s="86"/>
      <c r="R107" s="86"/>
      <c r="S107" s="86"/>
      <c r="T107" s="86"/>
      <c r="U107" s="86"/>
      <c r="V107" s="86"/>
      <c r="W107" s="86"/>
      <c r="X107" s="86"/>
      <c r="Y107" s="86"/>
      <c r="Z107" s="86"/>
    </row>
    <row r="108" ht="15.75" customHeight="1">
      <c r="H108" s="86"/>
      <c r="I108" s="86"/>
      <c r="J108" s="86"/>
      <c r="K108" s="86"/>
      <c r="L108" s="86"/>
      <c r="M108" s="86"/>
      <c r="N108" s="86"/>
      <c r="O108" s="86"/>
      <c r="P108" s="86"/>
      <c r="Q108" s="86"/>
      <c r="R108" s="86"/>
      <c r="S108" s="86"/>
      <c r="T108" s="86"/>
      <c r="U108" s="86"/>
      <c r="V108" s="86"/>
      <c r="W108" s="86"/>
      <c r="X108" s="86"/>
      <c r="Y108" s="86"/>
      <c r="Z108" s="86"/>
    </row>
    <row r="109" ht="15.75" customHeight="1">
      <c r="H109" s="86"/>
      <c r="I109" s="86"/>
      <c r="J109" s="86"/>
      <c r="K109" s="86"/>
      <c r="L109" s="86"/>
      <c r="M109" s="86"/>
      <c r="N109" s="86"/>
      <c r="O109" s="86"/>
      <c r="P109" s="86"/>
      <c r="Q109" s="86"/>
      <c r="R109" s="86"/>
      <c r="S109" s="86"/>
      <c r="T109" s="86"/>
      <c r="U109" s="86"/>
      <c r="V109" s="86"/>
      <c r="W109" s="86"/>
      <c r="X109" s="86"/>
      <c r="Y109" s="86"/>
      <c r="Z109" s="86"/>
    </row>
    <row r="110" ht="15.75" customHeight="1">
      <c r="H110" s="86"/>
      <c r="I110" s="86"/>
      <c r="J110" s="86"/>
      <c r="K110" s="86"/>
      <c r="L110" s="86"/>
      <c r="M110" s="86"/>
      <c r="N110" s="86"/>
      <c r="O110" s="86"/>
      <c r="P110" s="86"/>
      <c r="Q110" s="86"/>
      <c r="R110" s="86"/>
      <c r="S110" s="86"/>
      <c r="T110" s="86"/>
      <c r="U110" s="86"/>
      <c r="V110" s="86"/>
      <c r="W110" s="86"/>
      <c r="X110" s="86"/>
      <c r="Y110" s="86"/>
      <c r="Z110" s="86"/>
    </row>
    <row r="111" ht="15.75" customHeight="1">
      <c r="H111" s="86"/>
      <c r="I111" s="86"/>
      <c r="J111" s="86"/>
      <c r="K111" s="86"/>
      <c r="L111" s="86"/>
      <c r="M111" s="86"/>
      <c r="N111" s="86"/>
      <c r="O111" s="86"/>
      <c r="P111" s="86"/>
      <c r="Q111" s="86"/>
      <c r="R111" s="86"/>
      <c r="S111" s="86"/>
      <c r="T111" s="86"/>
      <c r="U111" s="86"/>
      <c r="V111" s="86"/>
      <c r="W111" s="86"/>
      <c r="X111" s="86"/>
      <c r="Y111" s="86"/>
      <c r="Z111" s="86"/>
    </row>
    <row r="112" ht="15.75" customHeight="1">
      <c r="H112" s="86"/>
      <c r="I112" s="86"/>
      <c r="J112" s="86"/>
      <c r="K112" s="86"/>
      <c r="L112" s="86"/>
      <c r="M112" s="86"/>
      <c r="N112" s="86"/>
      <c r="O112" s="86"/>
      <c r="P112" s="86"/>
      <c r="Q112" s="86"/>
      <c r="R112" s="86"/>
      <c r="S112" s="86"/>
      <c r="T112" s="86"/>
      <c r="U112" s="86"/>
      <c r="V112" s="86"/>
      <c r="W112" s="86"/>
      <c r="X112" s="86"/>
      <c r="Y112" s="86"/>
      <c r="Z112" s="86"/>
    </row>
    <row r="113" ht="15.75" customHeight="1">
      <c r="H113" s="86"/>
      <c r="I113" s="86"/>
      <c r="J113" s="86"/>
      <c r="K113" s="86"/>
      <c r="L113" s="86"/>
      <c r="M113" s="86"/>
      <c r="N113" s="86"/>
      <c r="O113" s="86"/>
      <c r="P113" s="86"/>
      <c r="Q113" s="86"/>
      <c r="R113" s="86"/>
      <c r="S113" s="86"/>
      <c r="T113" s="86"/>
      <c r="U113" s="86"/>
      <c r="V113" s="86"/>
      <c r="W113" s="86"/>
      <c r="X113" s="86"/>
      <c r="Y113" s="86"/>
      <c r="Z113" s="86"/>
    </row>
    <row r="114" ht="15.75" customHeight="1">
      <c r="H114" s="86"/>
      <c r="I114" s="86"/>
      <c r="J114" s="86"/>
      <c r="K114" s="86"/>
      <c r="L114" s="86"/>
      <c r="M114" s="86"/>
      <c r="N114" s="86"/>
      <c r="O114" s="86"/>
      <c r="P114" s="86"/>
      <c r="Q114" s="86"/>
      <c r="R114" s="86"/>
      <c r="S114" s="86"/>
      <c r="T114" s="86"/>
      <c r="U114" s="86"/>
      <c r="V114" s="86"/>
      <c r="W114" s="86"/>
      <c r="X114" s="86"/>
      <c r="Y114" s="86"/>
      <c r="Z114" s="86"/>
    </row>
    <row r="115" ht="15.75" customHeight="1">
      <c r="H115" s="86"/>
      <c r="I115" s="86"/>
      <c r="J115" s="86"/>
      <c r="K115" s="86"/>
      <c r="L115" s="86"/>
      <c r="M115" s="86"/>
      <c r="N115" s="86"/>
      <c r="O115" s="86"/>
      <c r="P115" s="86"/>
      <c r="Q115" s="86"/>
      <c r="R115" s="86"/>
      <c r="S115" s="86"/>
      <c r="T115" s="86"/>
      <c r="U115" s="86"/>
      <c r="V115" s="86"/>
      <c r="W115" s="86"/>
      <c r="X115" s="86"/>
      <c r="Y115" s="86"/>
      <c r="Z115" s="86"/>
    </row>
    <row r="116" ht="15.75" customHeight="1">
      <c r="H116" s="86"/>
      <c r="I116" s="86"/>
      <c r="J116" s="86"/>
      <c r="K116" s="86"/>
      <c r="L116" s="86"/>
      <c r="M116" s="86"/>
      <c r="N116" s="86"/>
      <c r="O116" s="86"/>
      <c r="P116" s="86"/>
      <c r="Q116" s="86"/>
      <c r="R116" s="86"/>
      <c r="S116" s="86"/>
      <c r="T116" s="86"/>
      <c r="U116" s="86"/>
      <c r="V116" s="86"/>
      <c r="W116" s="86"/>
      <c r="X116" s="86"/>
      <c r="Y116" s="86"/>
      <c r="Z116" s="86"/>
    </row>
    <row r="117" ht="15.75" customHeight="1">
      <c r="H117" s="86"/>
      <c r="I117" s="86"/>
      <c r="J117" s="86"/>
      <c r="K117" s="86"/>
      <c r="L117" s="86"/>
      <c r="M117" s="86"/>
      <c r="N117" s="86"/>
      <c r="O117" s="86"/>
      <c r="P117" s="86"/>
      <c r="Q117" s="86"/>
      <c r="R117" s="86"/>
      <c r="S117" s="86"/>
      <c r="T117" s="86"/>
      <c r="U117" s="86"/>
      <c r="V117" s="86"/>
      <c r="W117" s="86"/>
      <c r="X117" s="86"/>
      <c r="Y117" s="86"/>
      <c r="Z117" s="86"/>
    </row>
    <row r="118" ht="15.75" customHeight="1">
      <c r="H118" s="86"/>
      <c r="I118" s="86"/>
      <c r="J118" s="86"/>
      <c r="K118" s="86"/>
      <c r="L118" s="86"/>
      <c r="M118" s="86"/>
      <c r="N118" s="86"/>
      <c r="O118" s="86"/>
      <c r="P118" s="86"/>
      <c r="Q118" s="86"/>
      <c r="R118" s="86"/>
      <c r="S118" s="86"/>
      <c r="T118" s="86"/>
      <c r="U118" s="86"/>
      <c r="V118" s="86"/>
      <c r="W118" s="86"/>
      <c r="X118" s="86"/>
      <c r="Y118" s="86"/>
      <c r="Z118" s="86"/>
    </row>
    <row r="119" ht="15.75" customHeight="1">
      <c r="H119" s="86"/>
      <c r="I119" s="86"/>
      <c r="J119" s="86"/>
      <c r="K119" s="86"/>
      <c r="L119" s="86"/>
      <c r="M119" s="86"/>
      <c r="N119" s="86"/>
      <c r="O119" s="86"/>
      <c r="P119" s="86"/>
      <c r="Q119" s="86"/>
      <c r="R119" s="86"/>
      <c r="S119" s="86"/>
      <c r="T119" s="86"/>
      <c r="U119" s="86"/>
      <c r="V119" s="86"/>
      <c r="W119" s="86"/>
      <c r="X119" s="86"/>
      <c r="Y119" s="86"/>
      <c r="Z119" s="86"/>
    </row>
    <row r="120" ht="15.75" customHeight="1">
      <c r="H120" s="86"/>
      <c r="I120" s="86"/>
      <c r="J120" s="86"/>
      <c r="K120" s="86"/>
      <c r="L120" s="86"/>
      <c r="M120" s="86"/>
      <c r="N120" s="86"/>
      <c r="O120" s="86"/>
      <c r="P120" s="86"/>
      <c r="Q120" s="86"/>
      <c r="R120" s="86"/>
      <c r="S120" s="86"/>
      <c r="T120" s="86"/>
      <c r="U120" s="86"/>
      <c r="V120" s="86"/>
      <c r="W120" s="86"/>
      <c r="X120" s="86"/>
      <c r="Y120" s="86"/>
      <c r="Z120" s="86"/>
    </row>
    <row r="121" ht="15.75" customHeight="1">
      <c r="H121" s="86"/>
      <c r="I121" s="86"/>
      <c r="J121" s="86"/>
      <c r="K121" s="86"/>
      <c r="L121" s="86"/>
      <c r="M121" s="86"/>
      <c r="N121" s="86"/>
      <c r="O121" s="86"/>
      <c r="P121" s="86"/>
      <c r="Q121" s="86"/>
      <c r="R121" s="86"/>
      <c r="S121" s="86"/>
      <c r="T121" s="86"/>
      <c r="U121" s="86"/>
      <c r="V121" s="86"/>
      <c r="W121" s="86"/>
      <c r="X121" s="86"/>
      <c r="Y121" s="86"/>
      <c r="Z121" s="86"/>
    </row>
    <row r="122" ht="15.75" customHeight="1">
      <c r="H122" s="86"/>
      <c r="I122" s="86"/>
      <c r="J122" s="86"/>
      <c r="K122" s="86"/>
      <c r="L122" s="86"/>
      <c r="M122" s="86"/>
      <c r="N122" s="86"/>
      <c r="O122" s="86"/>
      <c r="P122" s="86"/>
      <c r="Q122" s="86"/>
      <c r="R122" s="86"/>
      <c r="S122" s="86"/>
      <c r="T122" s="86"/>
      <c r="U122" s="86"/>
      <c r="V122" s="86"/>
      <c r="W122" s="86"/>
      <c r="X122" s="86"/>
      <c r="Y122" s="86"/>
      <c r="Z122" s="86"/>
    </row>
    <row r="123" ht="15.75" customHeight="1">
      <c r="H123" s="86"/>
      <c r="I123" s="86"/>
      <c r="J123" s="86"/>
      <c r="K123" s="86"/>
      <c r="L123" s="86"/>
      <c r="M123" s="86"/>
      <c r="N123" s="86"/>
      <c r="O123" s="86"/>
      <c r="P123" s="86"/>
      <c r="Q123" s="86"/>
      <c r="R123" s="86"/>
      <c r="S123" s="86"/>
      <c r="T123" s="86"/>
      <c r="U123" s="86"/>
      <c r="V123" s="86"/>
      <c r="W123" s="86"/>
      <c r="X123" s="86"/>
      <c r="Y123" s="86"/>
      <c r="Z123" s="86"/>
    </row>
    <row r="124" ht="15.75" customHeight="1">
      <c r="H124" s="86"/>
      <c r="I124" s="86"/>
      <c r="J124" s="86"/>
      <c r="K124" s="86"/>
      <c r="L124" s="86"/>
      <c r="M124" s="86"/>
      <c r="N124" s="86"/>
      <c r="O124" s="86"/>
      <c r="P124" s="86"/>
      <c r="Q124" s="86"/>
      <c r="R124" s="86"/>
      <c r="S124" s="86"/>
      <c r="T124" s="86"/>
      <c r="U124" s="86"/>
      <c r="V124" s="86"/>
      <c r="W124" s="86"/>
      <c r="X124" s="86"/>
      <c r="Y124" s="86"/>
      <c r="Z124" s="86"/>
    </row>
    <row r="125" ht="15.75" customHeight="1">
      <c r="H125" s="86"/>
      <c r="I125" s="86"/>
      <c r="J125" s="86"/>
      <c r="K125" s="86"/>
      <c r="L125" s="86"/>
      <c r="M125" s="86"/>
      <c r="N125" s="86"/>
      <c r="O125" s="86"/>
      <c r="P125" s="86"/>
      <c r="Q125" s="86"/>
      <c r="R125" s="86"/>
      <c r="S125" s="86"/>
      <c r="T125" s="86"/>
      <c r="U125" s="86"/>
      <c r="V125" s="86"/>
      <c r="W125" s="86"/>
      <c r="X125" s="86"/>
      <c r="Y125" s="86"/>
      <c r="Z125" s="86"/>
    </row>
    <row r="126" ht="15.75" customHeight="1">
      <c r="H126" s="86"/>
      <c r="I126" s="86"/>
      <c r="J126" s="86"/>
      <c r="K126" s="86"/>
      <c r="L126" s="86"/>
      <c r="M126" s="86"/>
      <c r="N126" s="86"/>
      <c r="O126" s="86"/>
      <c r="P126" s="86"/>
      <c r="Q126" s="86"/>
      <c r="R126" s="86"/>
      <c r="S126" s="86"/>
      <c r="T126" s="86"/>
      <c r="U126" s="86"/>
      <c r="V126" s="86"/>
      <c r="W126" s="86"/>
      <c r="X126" s="86"/>
      <c r="Y126" s="86"/>
      <c r="Z126" s="86"/>
    </row>
    <row r="127" ht="15.75" customHeight="1">
      <c r="H127" s="86"/>
      <c r="I127" s="86"/>
      <c r="J127" s="86"/>
      <c r="K127" s="86"/>
      <c r="L127" s="86"/>
      <c r="M127" s="86"/>
      <c r="N127" s="86"/>
      <c r="O127" s="86"/>
      <c r="P127" s="86"/>
      <c r="Q127" s="86"/>
      <c r="R127" s="86"/>
      <c r="S127" s="86"/>
      <c r="T127" s="86"/>
      <c r="U127" s="86"/>
      <c r="V127" s="86"/>
      <c r="W127" s="86"/>
      <c r="X127" s="86"/>
      <c r="Y127" s="86"/>
      <c r="Z127" s="86"/>
    </row>
    <row r="128" ht="15.75" customHeight="1">
      <c r="H128" s="86"/>
      <c r="I128" s="86"/>
      <c r="J128" s="86"/>
      <c r="K128" s="86"/>
      <c r="L128" s="86"/>
      <c r="M128" s="86"/>
      <c r="N128" s="86"/>
      <c r="O128" s="86"/>
      <c r="P128" s="86"/>
      <c r="Q128" s="86"/>
      <c r="R128" s="86"/>
      <c r="S128" s="86"/>
      <c r="T128" s="86"/>
      <c r="U128" s="86"/>
      <c r="V128" s="86"/>
      <c r="W128" s="86"/>
      <c r="X128" s="86"/>
      <c r="Y128" s="86"/>
      <c r="Z128" s="86"/>
    </row>
    <row r="129" ht="15.75" customHeight="1">
      <c r="H129" s="86"/>
      <c r="I129" s="86"/>
      <c r="J129" s="86"/>
      <c r="K129" s="86"/>
      <c r="L129" s="86"/>
      <c r="M129" s="86"/>
      <c r="N129" s="86"/>
      <c r="O129" s="86"/>
      <c r="P129" s="86"/>
      <c r="Q129" s="86"/>
      <c r="R129" s="86"/>
      <c r="S129" s="86"/>
      <c r="T129" s="86"/>
      <c r="U129" s="86"/>
      <c r="V129" s="86"/>
      <c r="W129" s="86"/>
      <c r="X129" s="86"/>
      <c r="Y129" s="86"/>
      <c r="Z129" s="86"/>
    </row>
    <row r="130" ht="15.75" customHeight="1">
      <c r="H130" s="86"/>
      <c r="I130" s="86"/>
      <c r="J130" s="86"/>
      <c r="K130" s="86"/>
      <c r="L130" s="86"/>
      <c r="M130" s="86"/>
      <c r="N130" s="86"/>
      <c r="O130" s="86"/>
      <c r="P130" s="86"/>
      <c r="Q130" s="86"/>
      <c r="R130" s="86"/>
      <c r="S130" s="86"/>
      <c r="T130" s="86"/>
      <c r="U130" s="86"/>
      <c r="V130" s="86"/>
      <c r="W130" s="86"/>
      <c r="X130" s="86"/>
      <c r="Y130" s="86"/>
      <c r="Z130" s="86"/>
    </row>
    <row r="131" ht="15.75" customHeight="1">
      <c r="H131" s="86"/>
      <c r="I131" s="86"/>
      <c r="J131" s="86"/>
      <c r="K131" s="86"/>
      <c r="L131" s="86"/>
      <c r="M131" s="86"/>
      <c r="N131" s="86"/>
      <c r="O131" s="86"/>
      <c r="P131" s="86"/>
      <c r="Q131" s="86"/>
      <c r="R131" s="86"/>
      <c r="S131" s="86"/>
      <c r="T131" s="86"/>
      <c r="U131" s="86"/>
      <c r="V131" s="86"/>
      <c r="W131" s="86"/>
      <c r="X131" s="86"/>
      <c r="Y131" s="86"/>
      <c r="Z131" s="86"/>
    </row>
    <row r="132" ht="15.75" customHeight="1">
      <c r="H132" s="86"/>
      <c r="I132" s="86"/>
      <c r="J132" s="86"/>
      <c r="K132" s="86"/>
      <c r="L132" s="86"/>
      <c r="M132" s="86"/>
      <c r="N132" s="86"/>
      <c r="O132" s="86"/>
      <c r="P132" s="86"/>
      <c r="Q132" s="86"/>
      <c r="R132" s="86"/>
      <c r="S132" s="86"/>
      <c r="T132" s="86"/>
      <c r="U132" s="86"/>
      <c r="V132" s="86"/>
      <c r="W132" s="86"/>
      <c r="X132" s="86"/>
      <c r="Y132" s="86"/>
      <c r="Z132" s="86"/>
    </row>
    <row r="133" ht="15.75" customHeight="1">
      <c r="H133" s="86"/>
      <c r="I133" s="86"/>
      <c r="J133" s="86"/>
      <c r="K133" s="86"/>
      <c r="L133" s="86"/>
      <c r="M133" s="86"/>
      <c r="N133" s="86"/>
      <c r="O133" s="86"/>
      <c r="P133" s="86"/>
      <c r="Q133" s="86"/>
      <c r="R133" s="86"/>
      <c r="S133" s="86"/>
      <c r="T133" s="86"/>
      <c r="U133" s="86"/>
      <c r="V133" s="86"/>
      <c r="W133" s="86"/>
      <c r="X133" s="86"/>
      <c r="Y133" s="86"/>
      <c r="Z133" s="86"/>
    </row>
    <row r="134" ht="15.75" customHeight="1">
      <c r="H134" s="86"/>
      <c r="I134" s="86"/>
      <c r="J134" s="86"/>
      <c r="K134" s="86"/>
      <c r="L134" s="86"/>
      <c r="M134" s="86"/>
      <c r="N134" s="86"/>
      <c r="O134" s="86"/>
      <c r="P134" s="86"/>
      <c r="Q134" s="86"/>
      <c r="R134" s="86"/>
      <c r="S134" s="86"/>
      <c r="T134" s="86"/>
      <c r="U134" s="86"/>
      <c r="V134" s="86"/>
      <c r="W134" s="86"/>
      <c r="X134" s="86"/>
      <c r="Y134" s="86"/>
      <c r="Z134" s="86"/>
    </row>
    <row r="135" ht="15.75" customHeight="1">
      <c r="H135" s="86"/>
      <c r="I135" s="86"/>
      <c r="J135" s="86"/>
      <c r="K135" s="86"/>
      <c r="L135" s="86"/>
      <c r="M135" s="86"/>
      <c r="N135" s="86"/>
      <c r="O135" s="86"/>
      <c r="P135" s="86"/>
      <c r="Q135" s="86"/>
      <c r="R135" s="86"/>
      <c r="S135" s="86"/>
      <c r="T135" s="86"/>
      <c r="U135" s="86"/>
      <c r="V135" s="86"/>
      <c r="W135" s="86"/>
      <c r="X135" s="86"/>
      <c r="Y135" s="86"/>
      <c r="Z135" s="86"/>
    </row>
    <row r="136" ht="15.75" customHeight="1">
      <c r="H136" s="86"/>
      <c r="I136" s="86"/>
      <c r="J136" s="86"/>
      <c r="K136" s="86"/>
      <c r="L136" s="86"/>
      <c r="M136" s="86"/>
      <c r="N136" s="86"/>
      <c r="O136" s="86"/>
      <c r="P136" s="86"/>
      <c r="Q136" s="86"/>
      <c r="R136" s="86"/>
      <c r="S136" s="86"/>
      <c r="T136" s="86"/>
      <c r="U136" s="86"/>
      <c r="V136" s="86"/>
      <c r="W136" s="86"/>
      <c r="X136" s="86"/>
      <c r="Y136" s="86"/>
      <c r="Z136" s="86"/>
    </row>
    <row r="137" ht="15.75" customHeight="1">
      <c r="H137" s="86"/>
      <c r="I137" s="86"/>
      <c r="J137" s="86"/>
      <c r="K137" s="86"/>
      <c r="L137" s="86"/>
      <c r="M137" s="86"/>
      <c r="N137" s="86"/>
      <c r="O137" s="86"/>
      <c r="P137" s="86"/>
      <c r="Q137" s="86"/>
      <c r="R137" s="86"/>
      <c r="S137" s="86"/>
      <c r="T137" s="86"/>
      <c r="U137" s="86"/>
      <c r="V137" s="86"/>
      <c r="W137" s="86"/>
      <c r="X137" s="86"/>
      <c r="Y137" s="86"/>
      <c r="Z137" s="86"/>
    </row>
    <row r="138" ht="15.75" customHeight="1">
      <c r="H138" s="86"/>
      <c r="I138" s="86"/>
      <c r="J138" s="86"/>
      <c r="K138" s="86"/>
      <c r="L138" s="86"/>
      <c r="M138" s="86"/>
      <c r="N138" s="86"/>
      <c r="O138" s="86"/>
      <c r="P138" s="86"/>
      <c r="Q138" s="86"/>
      <c r="R138" s="86"/>
      <c r="S138" s="86"/>
      <c r="T138" s="86"/>
      <c r="U138" s="86"/>
      <c r="V138" s="86"/>
      <c r="W138" s="86"/>
      <c r="X138" s="86"/>
      <c r="Y138" s="86"/>
      <c r="Z138" s="86"/>
    </row>
    <row r="139" ht="15.75" customHeight="1">
      <c r="H139" s="86"/>
      <c r="I139" s="86"/>
      <c r="J139" s="86"/>
      <c r="K139" s="86"/>
      <c r="L139" s="86"/>
      <c r="M139" s="86"/>
      <c r="N139" s="86"/>
      <c r="O139" s="86"/>
      <c r="P139" s="86"/>
      <c r="Q139" s="86"/>
      <c r="R139" s="86"/>
      <c r="S139" s="86"/>
      <c r="T139" s="86"/>
      <c r="U139" s="86"/>
      <c r="V139" s="86"/>
      <c r="W139" s="86"/>
      <c r="X139" s="86"/>
      <c r="Y139" s="86"/>
      <c r="Z139" s="86"/>
    </row>
    <row r="140" ht="15.75" customHeight="1">
      <c r="H140" s="86"/>
      <c r="I140" s="86"/>
      <c r="J140" s="86"/>
      <c r="K140" s="86"/>
      <c r="L140" s="86"/>
      <c r="M140" s="86"/>
      <c r="N140" s="86"/>
      <c r="O140" s="86"/>
      <c r="P140" s="86"/>
      <c r="Q140" s="86"/>
      <c r="R140" s="86"/>
      <c r="S140" s="86"/>
      <c r="T140" s="86"/>
      <c r="U140" s="86"/>
      <c r="V140" s="86"/>
      <c r="W140" s="86"/>
      <c r="X140" s="86"/>
      <c r="Y140" s="86"/>
      <c r="Z140" s="86"/>
    </row>
    <row r="141" ht="15.75" customHeight="1">
      <c r="H141" s="86"/>
      <c r="I141" s="86"/>
      <c r="J141" s="86"/>
      <c r="K141" s="86"/>
      <c r="L141" s="86"/>
      <c r="M141" s="86"/>
      <c r="N141" s="86"/>
      <c r="O141" s="86"/>
      <c r="P141" s="86"/>
      <c r="Q141" s="86"/>
      <c r="R141" s="86"/>
      <c r="S141" s="86"/>
      <c r="T141" s="86"/>
      <c r="U141" s="86"/>
      <c r="V141" s="86"/>
      <c r="W141" s="86"/>
      <c r="X141" s="86"/>
      <c r="Y141" s="86"/>
      <c r="Z141" s="86"/>
    </row>
    <row r="142" ht="15.75" customHeight="1">
      <c r="H142" s="86"/>
      <c r="I142" s="86"/>
      <c r="J142" s="86"/>
      <c r="K142" s="86"/>
      <c r="L142" s="86"/>
      <c r="M142" s="86"/>
      <c r="N142" s="86"/>
      <c r="O142" s="86"/>
      <c r="P142" s="86"/>
      <c r="Q142" s="86"/>
      <c r="R142" s="86"/>
      <c r="S142" s="86"/>
      <c r="T142" s="86"/>
      <c r="U142" s="86"/>
      <c r="V142" s="86"/>
      <c r="W142" s="86"/>
      <c r="X142" s="86"/>
      <c r="Y142" s="86"/>
      <c r="Z142" s="86"/>
    </row>
    <row r="143" ht="15.75" customHeight="1">
      <c r="H143" s="86"/>
      <c r="I143" s="86"/>
      <c r="J143" s="86"/>
      <c r="K143" s="86"/>
      <c r="L143" s="86"/>
      <c r="M143" s="86"/>
      <c r="N143" s="86"/>
      <c r="O143" s="86"/>
      <c r="P143" s="86"/>
      <c r="Q143" s="86"/>
      <c r="R143" s="86"/>
      <c r="S143" s="86"/>
      <c r="T143" s="86"/>
      <c r="U143" s="86"/>
      <c r="V143" s="86"/>
      <c r="W143" s="86"/>
      <c r="X143" s="86"/>
      <c r="Y143" s="86"/>
      <c r="Z143" s="86"/>
    </row>
    <row r="144" ht="15.75" customHeight="1">
      <c r="H144" s="86"/>
      <c r="I144" s="86"/>
      <c r="J144" s="86"/>
      <c r="K144" s="86"/>
      <c r="L144" s="86"/>
      <c r="M144" s="86"/>
      <c r="N144" s="86"/>
      <c r="O144" s="86"/>
      <c r="P144" s="86"/>
      <c r="Q144" s="86"/>
      <c r="R144" s="86"/>
      <c r="S144" s="86"/>
      <c r="T144" s="86"/>
      <c r="U144" s="86"/>
      <c r="V144" s="86"/>
      <c r="W144" s="86"/>
      <c r="X144" s="86"/>
      <c r="Y144" s="86"/>
      <c r="Z144" s="86"/>
    </row>
    <row r="145" ht="15.75" customHeight="1">
      <c r="H145" s="86"/>
      <c r="I145" s="86"/>
      <c r="J145" s="86"/>
      <c r="K145" s="86"/>
      <c r="L145" s="86"/>
      <c r="M145" s="86"/>
      <c r="N145" s="86"/>
      <c r="O145" s="86"/>
      <c r="P145" s="86"/>
      <c r="Q145" s="86"/>
      <c r="R145" s="86"/>
      <c r="S145" s="86"/>
      <c r="T145" s="86"/>
      <c r="U145" s="86"/>
      <c r="V145" s="86"/>
      <c r="W145" s="86"/>
      <c r="X145" s="86"/>
      <c r="Y145" s="86"/>
      <c r="Z145" s="86"/>
    </row>
    <row r="146" ht="15.75" customHeight="1">
      <c r="H146" s="86"/>
      <c r="I146" s="86"/>
      <c r="J146" s="86"/>
      <c r="K146" s="86"/>
      <c r="L146" s="86"/>
      <c r="M146" s="86"/>
      <c r="N146" s="86"/>
      <c r="O146" s="86"/>
      <c r="P146" s="86"/>
      <c r="Q146" s="86"/>
      <c r="R146" s="86"/>
      <c r="S146" s="86"/>
      <c r="T146" s="86"/>
      <c r="U146" s="86"/>
      <c r="V146" s="86"/>
      <c r="W146" s="86"/>
      <c r="X146" s="86"/>
      <c r="Y146" s="86"/>
      <c r="Z146" s="86"/>
    </row>
    <row r="147" ht="15.75" customHeight="1">
      <c r="H147" s="86"/>
      <c r="I147" s="86"/>
      <c r="J147" s="86"/>
      <c r="K147" s="86"/>
      <c r="L147" s="86"/>
      <c r="M147" s="86"/>
      <c r="N147" s="86"/>
      <c r="O147" s="86"/>
      <c r="P147" s="86"/>
      <c r="Q147" s="86"/>
      <c r="R147" s="86"/>
      <c r="S147" s="86"/>
      <c r="T147" s="86"/>
      <c r="U147" s="86"/>
      <c r="V147" s="86"/>
      <c r="W147" s="86"/>
      <c r="X147" s="86"/>
      <c r="Y147" s="86"/>
      <c r="Z147" s="86"/>
    </row>
    <row r="148" ht="15.75" customHeight="1">
      <c r="H148" s="86"/>
      <c r="I148" s="86"/>
      <c r="J148" s="86"/>
      <c r="K148" s="86"/>
      <c r="L148" s="86"/>
      <c r="M148" s="86"/>
      <c r="N148" s="86"/>
      <c r="O148" s="86"/>
      <c r="P148" s="86"/>
      <c r="Q148" s="86"/>
      <c r="R148" s="86"/>
      <c r="S148" s="86"/>
      <c r="T148" s="86"/>
      <c r="U148" s="86"/>
      <c r="V148" s="86"/>
      <c r="W148" s="86"/>
      <c r="X148" s="86"/>
      <c r="Y148" s="86"/>
      <c r="Z148" s="86"/>
    </row>
    <row r="149" ht="15.75" customHeight="1">
      <c r="H149" s="86"/>
      <c r="I149" s="86"/>
      <c r="J149" s="86"/>
      <c r="K149" s="86"/>
      <c r="L149" s="86"/>
      <c r="M149" s="86"/>
      <c r="N149" s="86"/>
      <c r="O149" s="86"/>
      <c r="P149" s="86"/>
      <c r="Q149" s="86"/>
      <c r="R149" s="86"/>
      <c r="S149" s="86"/>
      <c r="T149" s="86"/>
      <c r="U149" s="86"/>
      <c r="V149" s="86"/>
      <c r="W149" s="86"/>
      <c r="X149" s="86"/>
      <c r="Y149" s="86"/>
      <c r="Z149" s="86"/>
    </row>
    <row r="150" ht="15.75" customHeight="1">
      <c r="H150" s="86"/>
      <c r="I150" s="86"/>
      <c r="J150" s="86"/>
      <c r="K150" s="86"/>
      <c r="L150" s="86"/>
      <c r="M150" s="86"/>
      <c r="N150" s="86"/>
      <c r="O150" s="86"/>
      <c r="P150" s="86"/>
      <c r="Q150" s="86"/>
      <c r="R150" s="86"/>
      <c r="S150" s="86"/>
      <c r="T150" s="86"/>
      <c r="U150" s="86"/>
      <c r="V150" s="86"/>
      <c r="W150" s="86"/>
      <c r="X150" s="86"/>
      <c r="Y150" s="86"/>
      <c r="Z150" s="86"/>
    </row>
    <row r="151" ht="15.75" customHeight="1">
      <c r="H151" s="86"/>
      <c r="I151" s="86"/>
      <c r="J151" s="86"/>
      <c r="K151" s="86"/>
      <c r="L151" s="86"/>
      <c r="M151" s="86"/>
      <c r="N151" s="86"/>
      <c r="O151" s="86"/>
      <c r="P151" s="86"/>
      <c r="Q151" s="86"/>
      <c r="R151" s="86"/>
      <c r="S151" s="86"/>
      <c r="T151" s="86"/>
      <c r="U151" s="86"/>
      <c r="V151" s="86"/>
      <c r="W151" s="86"/>
      <c r="X151" s="86"/>
      <c r="Y151" s="86"/>
      <c r="Z151" s="86"/>
    </row>
    <row r="152" ht="15.75" customHeight="1">
      <c r="H152" s="86"/>
      <c r="I152" s="86"/>
      <c r="J152" s="86"/>
      <c r="K152" s="86"/>
      <c r="L152" s="86"/>
      <c r="M152" s="86"/>
      <c r="N152" s="86"/>
      <c r="O152" s="86"/>
      <c r="P152" s="86"/>
      <c r="Q152" s="86"/>
      <c r="R152" s="86"/>
      <c r="S152" s="86"/>
      <c r="T152" s="86"/>
      <c r="U152" s="86"/>
      <c r="V152" s="86"/>
      <c r="W152" s="86"/>
      <c r="X152" s="86"/>
      <c r="Y152" s="86"/>
      <c r="Z152" s="86"/>
    </row>
    <row r="153" ht="15.75" customHeight="1">
      <c r="H153" s="86"/>
      <c r="I153" s="86"/>
      <c r="J153" s="86"/>
      <c r="K153" s="86"/>
      <c r="L153" s="86"/>
      <c r="M153" s="86"/>
      <c r="N153" s="86"/>
      <c r="O153" s="86"/>
      <c r="P153" s="86"/>
      <c r="Q153" s="86"/>
      <c r="R153" s="86"/>
      <c r="S153" s="86"/>
      <c r="T153" s="86"/>
      <c r="U153" s="86"/>
      <c r="V153" s="86"/>
      <c r="W153" s="86"/>
      <c r="X153" s="86"/>
      <c r="Y153" s="86"/>
      <c r="Z153" s="86"/>
    </row>
    <row r="154" ht="15.75" customHeight="1">
      <c r="H154" s="86"/>
      <c r="I154" s="86"/>
      <c r="J154" s="86"/>
      <c r="K154" s="86"/>
      <c r="L154" s="86"/>
      <c r="M154" s="86"/>
      <c r="N154" s="86"/>
      <c r="O154" s="86"/>
      <c r="P154" s="86"/>
      <c r="Q154" s="86"/>
      <c r="R154" s="86"/>
      <c r="S154" s="86"/>
      <c r="T154" s="86"/>
      <c r="U154" s="86"/>
      <c r="V154" s="86"/>
      <c r="W154" s="86"/>
      <c r="X154" s="86"/>
      <c r="Y154" s="86"/>
      <c r="Z154" s="86"/>
    </row>
    <row r="155" ht="15.75" customHeight="1">
      <c r="H155" s="86"/>
      <c r="I155" s="86"/>
      <c r="J155" s="86"/>
      <c r="K155" s="86"/>
      <c r="L155" s="86"/>
      <c r="M155" s="86"/>
      <c r="N155" s="86"/>
      <c r="O155" s="86"/>
      <c r="P155" s="86"/>
      <c r="Q155" s="86"/>
      <c r="R155" s="86"/>
      <c r="S155" s="86"/>
      <c r="T155" s="86"/>
      <c r="U155" s="86"/>
      <c r="V155" s="86"/>
      <c r="W155" s="86"/>
      <c r="X155" s="86"/>
      <c r="Y155" s="86"/>
      <c r="Z155" s="86"/>
    </row>
    <row r="156" ht="15.75" customHeight="1">
      <c r="H156" s="86"/>
      <c r="I156" s="86"/>
      <c r="J156" s="86"/>
      <c r="K156" s="86"/>
      <c r="L156" s="86"/>
      <c r="M156" s="86"/>
      <c r="N156" s="86"/>
      <c r="O156" s="86"/>
      <c r="P156" s="86"/>
      <c r="Q156" s="86"/>
      <c r="R156" s="86"/>
      <c r="S156" s="86"/>
      <c r="T156" s="86"/>
      <c r="U156" s="86"/>
      <c r="V156" s="86"/>
      <c r="W156" s="86"/>
      <c r="X156" s="86"/>
      <c r="Y156" s="86"/>
      <c r="Z156" s="86"/>
    </row>
    <row r="157" ht="15.75" customHeight="1">
      <c r="H157" s="86"/>
      <c r="I157" s="86"/>
      <c r="J157" s="86"/>
      <c r="K157" s="86"/>
      <c r="L157" s="86"/>
      <c r="M157" s="86"/>
      <c r="N157" s="86"/>
      <c r="O157" s="86"/>
      <c r="P157" s="86"/>
      <c r="Q157" s="86"/>
      <c r="R157" s="86"/>
      <c r="S157" s="86"/>
      <c r="T157" s="86"/>
      <c r="U157" s="86"/>
      <c r="V157" s="86"/>
      <c r="W157" s="86"/>
      <c r="X157" s="86"/>
      <c r="Y157" s="86"/>
      <c r="Z157" s="86"/>
    </row>
    <row r="158" ht="15.75" customHeight="1">
      <c r="H158" s="86"/>
      <c r="I158" s="86"/>
      <c r="J158" s="86"/>
      <c r="K158" s="86"/>
      <c r="L158" s="86"/>
      <c r="M158" s="86"/>
      <c r="N158" s="86"/>
      <c r="O158" s="86"/>
      <c r="P158" s="86"/>
      <c r="Q158" s="86"/>
      <c r="R158" s="86"/>
      <c r="S158" s="86"/>
      <c r="T158" s="86"/>
      <c r="U158" s="86"/>
      <c r="V158" s="86"/>
      <c r="W158" s="86"/>
      <c r="X158" s="86"/>
      <c r="Y158" s="86"/>
      <c r="Z158" s="86"/>
    </row>
    <row r="159" ht="15.75" customHeight="1">
      <c r="H159" s="86"/>
      <c r="I159" s="86"/>
      <c r="J159" s="86"/>
      <c r="K159" s="86"/>
      <c r="L159" s="86"/>
      <c r="M159" s="86"/>
      <c r="N159" s="86"/>
      <c r="O159" s="86"/>
      <c r="P159" s="86"/>
      <c r="Q159" s="86"/>
      <c r="R159" s="86"/>
      <c r="S159" s="86"/>
      <c r="T159" s="86"/>
      <c r="U159" s="86"/>
      <c r="V159" s="86"/>
      <c r="W159" s="86"/>
      <c r="X159" s="86"/>
      <c r="Y159" s="86"/>
      <c r="Z159" s="86"/>
    </row>
    <row r="160" ht="15.75" customHeight="1">
      <c r="H160" s="86"/>
      <c r="I160" s="86"/>
      <c r="J160" s="86"/>
      <c r="K160" s="86"/>
      <c r="L160" s="86"/>
      <c r="M160" s="86"/>
      <c r="N160" s="86"/>
      <c r="O160" s="86"/>
      <c r="P160" s="86"/>
      <c r="Q160" s="86"/>
      <c r="R160" s="86"/>
      <c r="S160" s="86"/>
      <c r="T160" s="86"/>
      <c r="U160" s="86"/>
      <c r="V160" s="86"/>
      <c r="W160" s="86"/>
      <c r="X160" s="86"/>
      <c r="Y160" s="86"/>
      <c r="Z160" s="86"/>
    </row>
    <row r="161" ht="15.75" customHeight="1">
      <c r="H161" s="86"/>
      <c r="I161" s="86"/>
      <c r="J161" s="86"/>
      <c r="K161" s="86"/>
      <c r="L161" s="86"/>
      <c r="M161" s="86"/>
      <c r="N161" s="86"/>
      <c r="O161" s="86"/>
      <c r="P161" s="86"/>
      <c r="Q161" s="86"/>
      <c r="R161" s="86"/>
      <c r="S161" s="86"/>
      <c r="T161" s="86"/>
      <c r="U161" s="86"/>
      <c r="V161" s="86"/>
      <c r="W161" s="86"/>
      <c r="X161" s="86"/>
      <c r="Y161" s="86"/>
      <c r="Z161" s="86"/>
    </row>
    <row r="162" ht="15.75" customHeight="1">
      <c r="H162" s="86"/>
      <c r="I162" s="86"/>
      <c r="J162" s="86"/>
      <c r="K162" s="86"/>
      <c r="L162" s="86"/>
      <c r="M162" s="86"/>
      <c r="N162" s="86"/>
      <c r="O162" s="86"/>
      <c r="P162" s="86"/>
      <c r="Q162" s="86"/>
      <c r="R162" s="86"/>
      <c r="S162" s="86"/>
      <c r="T162" s="86"/>
      <c r="U162" s="86"/>
      <c r="V162" s="86"/>
      <c r="W162" s="86"/>
      <c r="X162" s="86"/>
      <c r="Y162" s="86"/>
      <c r="Z162" s="86"/>
    </row>
    <row r="163" ht="15.75" customHeight="1">
      <c r="H163" s="86"/>
      <c r="I163" s="86"/>
      <c r="J163" s="86"/>
      <c r="K163" s="86"/>
      <c r="L163" s="86"/>
      <c r="M163" s="86"/>
      <c r="N163" s="86"/>
      <c r="O163" s="86"/>
      <c r="P163" s="86"/>
      <c r="Q163" s="86"/>
      <c r="R163" s="86"/>
      <c r="S163" s="86"/>
      <c r="T163" s="86"/>
      <c r="U163" s="86"/>
      <c r="V163" s="86"/>
      <c r="W163" s="86"/>
      <c r="X163" s="86"/>
      <c r="Y163" s="86"/>
      <c r="Z163" s="86"/>
    </row>
    <row r="164" ht="15.75" customHeight="1">
      <c r="H164" s="86"/>
      <c r="I164" s="86"/>
      <c r="J164" s="86"/>
      <c r="K164" s="86"/>
      <c r="L164" s="86"/>
      <c r="M164" s="86"/>
      <c r="N164" s="86"/>
      <c r="O164" s="86"/>
      <c r="P164" s="86"/>
      <c r="Q164" s="86"/>
      <c r="R164" s="86"/>
      <c r="S164" s="86"/>
      <c r="T164" s="86"/>
      <c r="U164" s="86"/>
      <c r="V164" s="86"/>
      <c r="W164" s="86"/>
      <c r="X164" s="86"/>
      <c r="Y164" s="86"/>
      <c r="Z164" s="86"/>
    </row>
    <row r="165" ht="15.75" customHeight="1">
      <c r="H165" s="86"/>
      <c r="I165" s="86"/>
      <c r="J165" s="86"/>
      <c r="K165" s="86"/>
      <c r="L165" s="86"/>
      <c r="M165" s="86"/>
      <c r="N165" s="86"/>
      <c r="O165" s="86"/>
      <c r="P165" s="86"/>
      <c r="Q165" s="86"/>
      <c r="R165" s="86"/>
      <c r="S165" s="86"/>
      <c r="T165" s="86"/>
      <c r="U165" s="86"/>
      <c r="V165" s="86"/>
      <c r="W165" s="86"/>
      <c r="X165" s="86"/>
      <c r="Y165" s="86"/>
      <c r="Z165" s="86"/>
    </row>
    <row r="166" ht="15.75" customHeight="1">
      <c r="H166" s="86"/>
      <c r="I166" s="86"/>
      <c r="J166" s="86"/>
      <c r="K166" s="86"/>
      <c r="L166" s="86"/>
      <c r="M166" s="86"/>
      <c r="N166" s="86"/>
      <c r="O166" s="86"/>
      <c r="P166" s="86"/>
      <c r="Q166" s="86"/>
      <c r="R166" s="86"/>
      <c r="S166" s="86"/>
      <c r="T166" s="86"/>
      <c r="U166" s="86"/>
      <c r="V166" s="86"/>
      <c r="W166" s="86"/>
      <c r="X166" s="86"/>
      <c r="Y166" s="86"/>
      <c r="Z166" s="86"/>
    </row>
    <row r="167" ht="15.75" customHeight="1">
      <c r="H167" s="86"/>
      <c r="I167" s="86"/>
      <c r="J167" s="86"/>
      <c r="K167" s="86"/>
      <c r="L167" s="86"/>
      <c r="M167" s="86"/>
      <c r="N167" s="86"/>
      <c r="O167" s="86"/>
      <c r="P167" s="86"/>
      <c r="Q167" s="86"/>
      <c r="R167" s="86"/>
      <c r="S167" s="86"/>
      <c r="T167" s="86"/>
      <c r="U167" s="86"/>
      <c r="V167" s="86"/>
      <c r="W167" s="86"/>
      <c r="X167" s="86"/>
      <c r="Y167" s="86"/>
      <c r="Z167" s="86"/>
    </row>
    <row r="168" ht="15.75" customHeight="1">
      <c r="H168" s="86"/>
      <c r="I168" s="86"/>
      <c r="J168" s="86"/>
      <c r="K168" s="86"/>
      <c r="L168" s="86"/>
      <c r="M168" s="86"/>
      <c r="N168" s="86"/>
      <c r="O168" s="86"/>
      <c r="P168" s="86"/>
      <c r="Q168" s="86"/>
      <c r="R168" s="86"/>
      <c r="S168" s="86"/>
      <c r="T168" s="86"/>
      <c r="U168" s="86"/>
      <c r="V168" s="86"/>
      <c r="W168" s="86"/>
      <c r="X168" s="86"/>
      <c r="Y168" s="86"/>
      <c r="Z168" s="86"/>
    </row>
    <row r="169" ht="15.75" customHeight="1">
      <c r="H169" s="86"/>
      <c r="I169" s="86"/>
      <c r="J169" s="86"/>
      <c r="K169" s="86"/>
      <c r="L169" s="86"/>
      <c r="M169" s="86"/>
      <c r="N169" s="86"/>
      <c r="O169" s="86"/>
      <c r="P169" s="86"/>
      <c r="Q169" s="86"/>
      <c r="R169" s="86"/>
      <c r="S169" s="86"/>
      <c r="T169" s="86"/>
      <c r="U169" s="86"/>
      <c r="V169" s="86"/>
      <c r="W169" s="86"/>
      <c r="X169" s="86"/>
      <c r="Y169" s="86"/>
      <c r="Z169" s="86"/>
    </row>
    <row r="170" ht="15.75" customHeight="1">
      <c r="H170" s="86"/>
      <c r="I170" s="86"/>
      <c r="J170" s="86"/>
      <c r="K170" s="86"/>
      <c r="L170" s="86"/>
      <c r="M170" s="86"/>
      <c r="N170" s="86"/>
      <c r="O170" s="86"/>
      <c r="P170" s="86"/>
      <c r="Q170" s="86"/>
      <c r="R170" s="86"/>
      <c r="S170" s="86"/>
      <c r="T170" s="86"/>
      <c r="U170" s="86"/>
      <c r="V170" s="86"/>
      <c r="W170" s="86"/>
      <c r="X170" s="86"/>
      <c r="Y170" s="86"/>
      <c r="Z170" s="86"/>
    </row>
    <row r="171" ht="15.75" customHeight="1">
      <c r="H171" s="86"/>
      <c r="I171" s="86"/>
      <c r="J171" s="86"/>
      <c r="K171" s="86"/>
      <c r="L171" s="86"/>
      <c r="M171" s="86"/>
      <c r="N171" s="86"/>
      <c r="O171" s="86"/>
      <c r="P171" s="86"/>
      <c r="Q171" s="86"/>
      <c r="R171" s="86"/>
      <c r="S171" s="86"/>
      <c r="T171" s="86"/>
      <c r="U171" s="86"/>
      <c r="V171" s="86"/>
      <c r="W171" s="86"/>
      <c r="X171" s="86"/>
      <c r="Y171" s="86"/>
      <c r="Z171" s="86"/>
    </row>
    <row r="172" ht="15.75" customHeight="1">
      <c r="H172" s="86"/>
      <c r="I172" s="86"/>
      <c r="J172" s="86"/>
      <c r="K172" s="86"/>
      <c r="L172" s="86"/>
      <c r="M172" s="86"/>
      <c r="N172" s="86"/>
      <c r="O172" s="86"/>
      <c r="P172" s="86"/>
      <c r="Q172" s="86"/>
      <c r="R172" s="86"/>
      <c r="S172" s="86"/>
      <c r="T172" s="86"/>
      <c r="U172" s="86"/>
      <c r="V172" s="86"/>
      <c r="W172" s="86"/>
      <c r="X172" s="86"/>
      <c r="Y172" s="86"/>
      <c r="Z172" s="86"/>
    </row>
    <row r="173" ht="15.75" customHeight="1">
      <c r="H173" s="86"/>
      <c r="I173" s="86"/>
      <c r="J173" s="86"/>
      <c r="K173" s="86"/>
      <c r="L173" s="86"/>
      <c r="M173" s="86"/>
      <c r="N173" s="86"/>
      <c r="O173" s="86"/>
      <c r="P173" s="86"/>
      <c r="Q173" s="86"/>
      <c r="R173" s="86"/>
      <c r="S173" s="86"/>
      <c r="T173" s="86"/>
      <c r="U173" s="86"/>
      <c r="V173" s="86"/>
      <c r="W173" s="86"/>
      <c r="X173" s="86"/>
      <c r="Y173" s="86"/>
      <c r="Z173" s="86"/>
    </row>
    <row r="174" ht="15.75" customHeight="1">
      <c r="H174" s="86"/>
      <c r="I174" s="86"/>
      <c r="J174" s="86"/>
      <c r="K174" s="86"/>
      <c r="L174" s="86"/>
      <c r="M174" s="86"/>
      <c r="N174" s="86"/>
      <c r="O174" s="86"/>
      <c r="P174" s="86"/>
      <c r="Q174" s="86"/>
      <c r="R174" s="86"/>
      <c r="S174" s="86"/>
      <c r="T174" s="86"/>
      <c r="U174" s="86"/>
      <c r="V174" s="86"/>
      <c r="W174" s="86"/>
      <c r="X174" s="86"/>
      <c r="Y174" s="86"/>
      <c r="Z174" s="86"/>
    </row>
    <row r="175" ht="15.75" customHeight="1">
      <c r="H175" s="86"/>
      <c r="I175" s="86"/>
      <c r="J175" s="86"/>
      <c r="K175" s="86"/>
      <c r="L175" s="86"/>
      <c r="M175" s="86"/>
      <c r="N175" s="86"/>
      <c r="O175" s="86"/>
      <c r="P175" s="86"/>
      <c r="Q175" s="86"/>
      <c r="R175" s="86"/>
      <c r="S175" s="86"/>
      <c r="T175" s="86"/>
      <c r="U175" s="86"/>
      <c r="V175" s="86"/>
      <c r="W175" s="86"/>
      <c r="X175" s="86"/>
      <c r="Y175" s="86"/>
      <c r="Z175" s="86"/>
    </row>
    <row r="176" ht="15.75" customHeight="1">
      <c r="H176" s="86"/>
      <c r="I176" s="86"/>
      <c r="J176" s="86"/>
      <c r="K176" s="86"/>
      <c r="L176" s="86"/>
      <c r="M176" s="86"/>
      <c r="N176" s="86"/>
      <c r="O176" s="86"/>
      <c r="P176" s="86"/>
      <c r="Q176" s="86"/>
      <c r="R176" s="86"/>
      <c r="S176" s="86"/>
      <c r="T176" s="86"/>
      <c r="U176" s="86"/>
      <c r="V176" s="86"/>
      <c r="W176" s="86"/>
      <c r="X176" s="86"/>
      <c r="Y176" s="86"/>
      <c r="Z176" s="86"/>
    </row>
    <row r="177" ht="15.75" customHeight="1">
      <c r="H177" s="86"/>
      <c r="I177" s="86"/>
      <c r="J177" s="86"/>
      <c r="K177" s="86"/>
      <c r="L177" s="86"/>
      <c r="M177" s="86"/>
      <c r="N177" s="86"/>
      <c r="O177" s="86"/>
      <c r="P177" s="86"/>
      <c r="Q177" s="86"/>
      <c r="R177" s="86"/>
      <c r="S177" s="86"/>
      <c r="T177" s="86"/>
      <c r="U177" s="86"/>
      <c r="V177" s="86"/>
      <c r="W177" s="86"/>
      <c r="X177" s="86"/>
      <c r="Y177" s="86"/>
      <c r="Z177" s="86"/>
    </row>
    <row r="178" ht="15.75" customHeight="1">
      <c r="H178" s="86"/>
      <c r="I178" s="86"/>
      <c r="J178" s="86"/>
      <c r="K178" s="86"/>
      <c r="L178" s="86"/>
      <c r="M178" s="86"/>
      <c r="N178" s="86"/>
      <c r="O178" s="86"/>
      <c r="P178" s="86"/>
      <c r="Q178" s="86"/>
      <c r="R178" s="86"/>
      <c r="S178" s="86"/>
      <c r="T178" s="86"/>
      <c r="U178" s="86"/>
      <c r="V178" s="86"/>
      <c r="W178" s="86"/>
      <c r="X178" s="86"/>
      <c r="Y178" s="86"/>
      <c r="Z178" s="86"/>
    </row>
    <row r="179" ht="15.75" customHeight="1">
      <c r="H179" s="86"/>
      <c r="I179" s="86"/>
      <c r="J179" s="86"/>
      <c r="K179" s="86"/>
      <c r="L179" s="86"/>
      <c r="M179" s="86"/>
      <c r="N179" s="86"/>
      <c r="O179" s="86"/>
      <c r="P179" s="86"/>
      <c r="Q179" s="86"/>
      <c r="R179" s="86"/>
      <c r="S179" s="86"/>
      <c r="T179" s="86"/>
      <c r="U179" s="86"/>
      <c r="V179" s="86"/>
      <c r="W179" s="86"/>
      <c r="X179" s="86"/>
      <c r="Y179" s="86"/>
      <c r="Z179" s="86"/>
    </row>
    <row r="180" ht="15.75" customHeight="1">
      <c r="H180" s="86"/>
      <c r="I180" s="86"/>
      <c r="J180" s="86"/>
      <c r="K180" s="86"/>
      <c r="L180" s="86"/>
      <c r="M180" s="86"/>
      <c r="N180" s="86"/>
      <c r="O180" s="86"/>
      <c r="P180" s="86"/>
      <c r="Q180" s="86"/>
      <c r="R180" s="86"/>
      <c r="S180" s="86"/>
      <c r="T180" s="86"/>
      <c r="U180" s="86"/>
      <c r="V180" s="86"/>
      <c r="W180" s="86"/>
      <c r="X180" s="86"/>
      <c r="Y180" s="86"/>
      <c r="Z180" s="86"/>
    </row>
    <row r="181" ht="15.75" customHeight="1">
      <c r="H181" s="86"/>
      <c r="I181" s="86"/>
      <c r="J181" s="86"/>
      <c r="K181" s="86"/>
      <c r="L181" s="86"/>
      <c r="M181" s="86"/>
      <c r="N181" s="86"/>
      <c r="O181" s="86"/>
      <c r="P181" s="86"/>
      <c r="Q181" s="86"/>
      <c r="R181" s="86"/>
      <c r="S181" s="86"/>
      <c r="T181" s="86"/>
      <c r="U181" s="86"/>
      <c r="V181" s="86"/>
      <c r="W181" s="86"/>
      <c r="X181" s="86"/>
      <c r="Y181" s="86"/>
      <c r="Z181" s="86"/>
    </row>
    <row r="182" ht="15.75" customHeight="1">
      <c r="H182" s="86"/>
      <c r="I182" s="86"/>
      <c r="J182" s="86"/>
      <c r="K182" s="86"/>
      <c r="L182" s="86"/>
      <c r="M182" s="86"/>
      <c r="N182" s="86"/>
      <c r="O182" s="86"/>
      <c r="P182" s="86"/>
      <c r="Q182" s="86"/>
      <c r="R182" s="86"/>
      <c r="S182" s="86"/>
      <c r="T182" s="86"/>
      <c r="U182" s="86"/>
      <c r="V182" s="86"/>
      <c r="W182" s="86"/>
      <c r="X182" s="86"/>
      <c r="Y182" s="86"/>
      <c r="Z182" s="86"/>
    </row>
    <row r="183" ht="15.75" customHeight="1">
      <c r="H183" s="86"/>
      <c r="I183" s="86"/>
      <c r="J183" s="86"/>
      <c r="K183" s="86"/>
      <c r="L183" s="86"/>
      <c r="M183" s="86"/>
      <c r="N183" s="86"/>
      <c r="O183" s="86"/>
      <c r="P183" s="86"/>
      <c r="Q183" s="86"/>
      <c r="R183" s="86"/>
      <c r="S183" s="86"/>
      <c r="T183" s="86"/>
      <c r="U183" s="86"/>
      <c r="V183" s="86"/>
      <c r="W183" s="86"/>
      <c r="X183" s="86"/>
      <c r="Y183" s="86"/>
      <c r="Z183" s="86"/>
    </row>
    <row r="184" ht="15.75" customHeight="1">
      <c r="H184" s="86"/>
      <c r="I184" s="86"/>
      <c r="J184" s="86"/>
      <c r="K184" s="86"/>
      <c r="L184" s="86"/>
      <c r="M184" s="86"/>
      <c r="N184" s="86"/>
      <c r="O184" s="86"/>
      <c r="P184" s="86"/>
      <c r="Q184" s="86"/>
      <c r="R184" s="86"/>
      <c r="S184" s="86"/>
      <c r="T184" s="86"/>
      <c r="U184" s="86"/>
      <c r="V184" s="86"/>
      <c r="W184" s="86"/>
      <c r="X184" s="86"/>
      <c r="Y184" s="86"/>
      <c r="Z184" s="86"/>
    </row>
    <row r="185" ht="15.75" customHeight="1">
      <c r="H185" s="86"/>
      <c r="I185" s="86"/>
      <c r="J185" s="86"/>
      <c r="K185" s="86"/>
      <c r="L185" s="86"/>
      <c r="M185" s="86"/>
      <c r="N185" s="86"/>
      <c r="O185" s="86"/>
      <c r="P185" s="86"/>
      <c r="Q185" s="86"/>
      <c r="R185" s="86"/>
      <c r="S185" s="86"/>
      <c r="T185" s="86"/>
      <c r="U185" s="86"/>
      <c r="V185" s="86"/>
      <c r="W185" s="86"/>
      <c r="X185" s="86"/>
      <c r="Y185" s="86"/>
      <c r="Z185" s="86"/>
    </row>
    <row r="186" ht="15.75" customHeight="1">
      <c r="H186" s="86"/>
      <c r="I186" s="86"/>
      <c r="J186" s="86"/>
      <c r="K186" s="86"/>
      <c r="L186" s="86"/>
      <c r="M186" s="86"/>
      <c r="N186" s="86"/>
      <c r="O186" s="86"/>
      <c r="P186" s="86"/>
      <c r="Q186" s="86"/>
      <c r="R186" s="86"/>
      <c r="S186" s="86"/>
      <c r="T186" s="86"/>
      <c r="U186" s="86"/>
      <c r="V186" s="86"/>
      <c r="W186" s="86"/>
      <c r="X186" s="86"/>
      <c r="Y186" s="86"/>
      <c r="Z186" s="86"/>
    </row>
    <row r="187" ht="15.75" customHeight="1">
      <c r="H187" s="86"/>
      <c r="I187" s="86"/>
      <c r="J187" s="86"/>
      <c r="K187" s="86"/>
      <c r="L187" s="86"/>
      <c r="M187" s="86"/>
      <c r="N187" s="86"/>
      <c r="O187" s="86"/>
      <c r="P187" s="86"/>
      <c r="Q187" s="86"/>
      <c r="R187" s="86"/>
      <c r="S187" s="86"/>
      <c r="T187" s="86"/>
      <c r="U187" s="86"/>
      <c r="V187" s="86"/>
      <c r="W187" s="86"/>
      <c r="X187" s="86"/>
      <c r="Y187" s="86"/>
      <c r="Z187" s="86"/>
    </row>
    <row r="188" ht="15.75" customHeight="1">
      <c r="H188" s="86"/>
      <c r="I188" s="86"/>
      <c r="J188" s="86"/>
      <c r="K188" s="86"/>
      <c r="L188" s="86"/>
      <c r="M188" s="86"/>
      <c r="N188" s="86"/>
      <c r="O188" s="86"/>
      <c r="P188" s="86"/>
      <c r="Q188" s="86"/>
      <c r="R188" s="86"/>
      <c r="S188" s="86"/>
      <c r="T188" s="86"/>
      <c r="U188" s="86"/>
      <c r="V188" s="86"/>
      <c r="W188" s="86"/>
      <c r="X188" s="86"/>
      <c r="Y188" s="86"/>
      <c r="Z188" s="86"/>
    </row>
    <row r="189" ht="15.75" customHeight="1">
      <c r="H189" s="86"/>
      <c r="I189" s="86"/>
      <c r="J189" s="86"/>
      <c r="K189" s="86"/>
      <c r="L189" s="86"/>
      <c r="M189" s="86"/>
      <c r="N189" s="86"/>
      <c r="O189" s="86"/>
      <c r="P189" s="86"/>
      <c r="Q189" s="86"/>
      <c r="R189" s="86"/>
      <c r="S189" s="86"/>
      <c r="T189" s="86"/>
      <c r="U189" s="86"/>
      <c r="V189" s="86"/>
      <c r="W189" s="86"/>
      <c r="X189" s="86"/>
      <c r="Y189" s="86"/>
      <c r="Z189" s="86"/>
    </row>
    <row r="190" ht="15.75" customHeight="1">
      <c r="H190" s="86"/>
      <c r="I190" s="86"/>
      <c r="J190" s="86"/>
      <c r="K190" s="86"/>
      <c r="L190" s="86"/>
      <c r="M190" s="86"/>
      <c r="N190" s="86"/>
      <c r="O190" s="86"/>
      <c r="P190" s="86"/>
      <c r="Q190" s="86"/>
      <c r="R190" s="86"/>
      <c r="S190" s="86"/>
      <c r="T190" s="86"/>
      <c r="U190" s="86"/>
      <c r="V190" s="86"/>
      <c r="W190" s="86"/>
      <c r="X190" s="86"/>
      <c r="Y190" s="86"/>
      <c r="Z190" s="86"/>
    </row>
    <row r="191" ht="15.75" customHeight="1">
      <c r="H191" s="86"/>
      <c r="I191" s="86"/>
      <c r="J191" s="86"/>
      <c r="K191" s="86"/>
      <c r="L191" s="86"/>
      <c r="M191" s="86"/>
      <c r="N191" s="86"/>
      <c r="O191" s="86"/>
      <c r="P191" s="86"/>
      <c r="Q191" s="86"/>
      <c r="R191" s="86"/>
      <c r="S191" s="86"/>
      <c r="T191" s="86"/>
      <c r="U191" s="86"/>
      <c r="V191" s="86"/>
      <c r="W191" s="86"/>
      <c r="X191" s="86"/>
      <c r="Y191" s="86"/>
      <c r="Z191" s="86"/>
    </row>
    <row r="192" ht="15.75" customHeight="1">
      <c r="H192" s="86"/>
      <c r="I192" s="86"/>
      <c r="J192" s="86"/>
      <c r="K192" s="86"/>
      <c r="L192" s="86"/>
      <c r="M192" s="86"/>
      <c r="N192" s="86"/>
      <c r="O192" s="86"/>
      <c r="P192" s="86"/>
      <c r="Q192" s="86"/>
      <c r="R192" s="86"/>
      <c r="S192" s="86"/>
      <c r="T192" s="86"/>
      <c r="U192" s="86"/>
      <c r="V192" s="86"/>
      <c r="W192" s="86"/>
      <c r="X192" s="86"/>
      <c r="Y192" s="86"/>
      <c r="Z192" s="86"/>
    </row>
    <row r="193" ht="15.75" customHeight="1">
      <c r="H193" s="86"/>
      <c r="I193" s="86"/>
      <c r="J193" s="86"/>
      <c r="K193" s="86"/>
      <c r="L193" s="86"/>
      <c r="M193" s="86"/>
      <c r="N193" s="86"/>
      <c r="O193" s="86"/>
      <c r="P193" s="86"/>
      <c r="Q193" s="86"/>
      <c r="R193" s="86"/>
      <c r="S193" s="86"/>
      <c r="T193" s="86"/>
      <c r="U193" s="86"/>
      <c r="V193" s="86"/>
      <c r="W193" s="86"/>
      <c r="X193" s="86"/>
      <c r="Y193" s="86"/>
      <c r="Z193" s="86"/>
    </row>
    <row r="194" ht="15.75" customHeight="1">
      <c r="H194" s="86"/>
      <c r="I194" s="86"/>
      <c r="J194" s="86"/>
      <c r="K194" s="86"/>
      <c r="L194" s="86"/>
      <c r="M194" s="86"/>
      <c r="N194" s="86"/>
      <c r="O194" s="86"/>
      <c r="P194" s="86"/>
      <c r="Q194" s="86"/>
      <c r="R194" s="86"/>
      <c r="S194" s="86"/>
      <c r="T194" s="86"/>
      <c r="U194" s="86"/>
      <c r="V194" s="86"/>
      <c r="W194" s="86"/>
      <c r="X194" s="86"/>
      <c r="Y194" s="86"/>
      <c r="Z194" s="86"/>
    </row>
    <row r="195" ht="15.75" customHeight="1">
      <c r="H195" s="86"/>
      <c r="I195" s="86"/>
      <c r="J195" s="86"/>
      <c r="K195" s="86"/>
      <c r="L195" s="86"/>
      <c r="M195" s="86"/>
      <c r="N195" s="86"/>
      <c r="O195" s="86"/>
      <c r="P195" s="86"/>
      <c r="Q195" s="86"/>
      <c r="R195" s="86"/>
      <c r="S195" s="86"/>
      <c r="T195" s="86"/>
      <c r="U195" s="86"/>
      <c r="V195" s="86"/>
      <c r="W195" s="86"/>
      <c r="X195" s="86"/>
      <c r="Y195" s="86"/>
      <c r="Z195" s="86"/>
    </row>
    <row r="196" ht="15.75" customHeight="1">
      <c r="H196" s="86"/>
      <c r="I196" s="86"/>
      <c r="J196" s="86"/>
      <c r="K196" s="86"/>
      <c r="L196" s="86"/>
      <c r="M196" s="86"/>
      <c r="N196" s="86"/>
      <c r="O196" s="86"/>
      <c r="P196" s="86"/>
      <c r="Q196" s="86"/>
      <c r="R196" s="86"/>
      <c r="S196" s="86"/>
      <c r="T196" s="86"/>
      <c r="U196" s="86"/>
      <c r="V196" s="86"/>
      <c r="W196" s="86"/>
      <c r="X196" s="86"/>
      <c r="Y196" s="86"/>
      <c r="Z196" s="86"/>
    </row>
    <row r="197" ht="15.75" customHeight="1">
      <c r="H197" s="86"/>
      <c r="I197" s="86"/>
      <c r="J197" s="86"/>
      <c r="K197" s="86"/>
      <c r="L197" s="86"/>
      <c r="M197" s="86"/>
      <c r="N197" s="86"/>
      <c r="O197" s="86"/>
      <c r="P197" s="86"/>
      <c r="Q197" s="86"/>
      <c r="R197" s="86"/>
      <c r="S197" s="86"/>
      <c r="T197" s="86"/>
      <c r="U197" s="86"/>
      <c r="V197" s="86"/>
      <c r="W197" s="86"/>
      <c r="X197" s="86"/>
      <c r="Y197" s="86"/>
      <c r="Z197" s="86"/>
    </row>
    <row r="198" ht="15.75" customHeight="1">
      <c r="H198" s="86"/>
      <c r="I198" s="86"/>
      <c r="J198" s="86"/>
      <c r="K198" s="86"/>
      <c r="L198" s="86"/>
      <c r="M198" s="86"/>
      <c r="N198" s="86"/>
      <c r="O198" s="86"/>
      <c r="P198" s="86"/>
      <c r="Q198" s="86"/>
      <c r="R198" s="86"/>
      <c r="S198" s="86"/>
      <c r="T198" s="86"/>
      <c r="U198" s="86"/>
      <c r="V198" s="86"/>
      <c r="W198" s="86"/>
      <c r="X198" s="86"/>
      <c r="Y198" s="86"/>
      <c r="Z198" s="86"/>
    </row>
    <row r="199" ht="15.75" customHeight="1">
      <c r="H199" s="86"/>
      <c r="I199" s="86"/>
      <c r="J199" s="86"/>
      <c r="K199" s="86"/>
      <c r="L199" s="86"/>
      <c r="M199" s="86"/>
      <c r="N199" s="86"/>
      <c r="O199" s="86"/>
      <c r="P199" s="86"/>
      <c r="Q199" s="86"/>
      <c r="R199" s="86"/>
      <c r="S199" s="86"/>
      <c r="T199" s="86"/>
      <c r="U199" s="86"/>
      <c r="V199" s="86"/>
      <c r="W199" s="86"/>
      <c r="X199" s="86"/>
      <c r="Y199" s="86"/>
      <c r="Z199" s="86"/>
    </row>
    <row r="200" ht="15.75" customHeight="1">
      <c r="H200" s="86"/>
      <c r="I200" s="86"/>
      <c r="J200" s="86"/>
      <c r="K200" s="86"/>
      <c r="L200" s="86"/>
      <c r="M200" s="86"/>
      <c r="N200" s="86"/>
      <c r="O200" s="86"/>
      <c r="P200" s="86"/>
      <c r="Q200" s="86"/>
      <c r="R200" s="86"/>
      <c r="S200" s="86"/>
      <c r="T200" s="86"/>
      <c r="U200" s="86"/>
      <c r="V200" s="86"/>
      <c r="W200" s="86"/>
      <c r="X200" s="86"/>
      <c r="Y200" s="86"/>
      <c r="Z200" s="86"/>
    </row>
    <row r="201" ht="15.75" customHeight="1">
      <c r="H201" s="86"/>
      <c r="I201" s="86"/>
      <c r="J201" s="86"/>
      <c r="K201" s="86"/>
      <c r="L201" s="86"/>
      <c r="M201" s="86"/>
      <c r="N201" s="86"/>
      <c r="O201" s="86"/>
      <c r="P201" s="86"/>
      <c r="Q201" s="86"/>
      <c r="R201" s="86"/>
      <c r="S201" s="86"/>
      <c r="T201" s="86"/>
      <c r="U201" s="86"/>
      <c r="V201" s="86"/>
      <c r="W201" s="86"/>
      <c r="X201" s="86"/>
      <c r="Y201" s="86"/>
      <c r="Z201" s="86"/>
    </row>
    <row r="202" ht="15.75" customHeight="1">
      <c r="H202" s="86"/>
      <c r="I202" s="86"/>
      <c r="J202" s="86"/>
      <c r="K202" s="86"/>
      <c r="L202" s="86"/>
      <c r="M202" s="86"/>
      <c r="N202" s="86"/>
      <c r="O202" s="86"/>
      <c r="P202" s="86"/>
      <c r="Q202" s="86"/>
      <c r="R202" s="86"/>
      <c r="S202" s="86"/>
      <c r="T202" s="86"/>
      <c r="U202" s="86"/>
      <c r="V202" s="86"/>
      <c r="W202" s="86"/>
      <c r="X202" s="86"/>
      <c r="Y202" s="86"/>
      <c r="Z202" s="86"/>
    </row>
    <row r="203" ht="15.75" customHeight="1">
      <c r="H203" s="86"/>
      <c r="I203" s="86"/>
      <c r="J203" s="86"/>
      <c r="K203" s="86"/>
      <c r="L203" s="86"/>
      <c r="M203" s="86"/>
      <c r="N203" s="86"/>
      <c r="O203" s="86"/>
      <c r="P203" s="86"/>
      <c r="Q203" s="86"/>
      <c r="R203" s="86"/>
      <c r="S203" s="86"/>
      <c r="T203" s="86"/>
      <c r="U203" s="86"/>
      <c r="V203" s="86"/>
      <c r="W203" s="86"/>
      <c r="X203" s="86"/>
      <c r="Y203" s="86"/>
      <c r="Z203" s="86"/>
    </row>
    <row r="204" ht="15.75" customHeight="1">
      <c r="H204" s="86"/>
      <c r="I204" s="86"/>
      <c r="J204" s="86"/>
      <c r="K204" s="86"/>
      <c r="L204" s="86"/>
      <c r="M204" s="86"/>
      <c r="N204" s="86"/>
      <c r="O204" s="86"/>
      <c r="P204" s="86"/>
      <c r="Q204" s="86"/>
      <c r="R204" s="86"/>
      <c r="S204" s="86"/>
      <c r="T204" s="86"/>
      <c r="U204" s="86"/>
      <c r="V204" s="86"/>
      <c r="W204" s="86"/>
      <c r="X204" s="86"/>
      <c r="Y204" s="86"/>
      <c r="Z204" s="86"/>
    </row>
    <row r="205" ht="15.75" customHeight="1">
      <c r="H205" s="86"/>
      <c r="I205" s="86"/>
      <c r="J205" s="86"/>
      <c r="K205" s="86"/>
      <c r="L205" s="86"/>
      <c r="M205" s="86"/>
      <c r="N205" s="86"/>
      <c r="O205" s="86"/>
      <c r="P205" s="86"/>
      <c r="Q205" s="86"/>
      <c r="R205" s="86"/>
      <c r="S205" s="86"/>
      <c r="T205" s="86"/>
      <c r="U205" s="86"/>
      <c r="V205" s="86"/>
      <c r="W205" s="86"/>
      <c r="X205" s="86"/>
      <c r="Y205" s="86"/>
      <c r="Z205" s="86"/>
    </row>
    <row r="206" ht="15.75" customHeight="1">
      <c r="H206" s="86"/>
      <c r="I206" s="86"/>
      <c r="J206" s="86"/>
      <c r="K206" s="86"/>
      <c r="L206" s="86"/>
      <c r="M206" s="86"/>
      <c r="N206" s="86"/>
      <c r="O206" s="86"/>
      <c r="P206" s="86"/>
      <c r="Q206" s="86"/>
      <c r="R206" s="86"/>
      <c r="S206" s="86"/>
      <c r="T206" s="86"/>
      <c r="U206" s="86"/>
      <c r="V206" s="86"/>
      <c r="W206" s="86"/>
      <c r="X206" s="86"/>
      <c r="Y206" s="86"/>
      <c r="Z206" s="86"/>
    </row>
    <row r="207" ht="15.75" customHeight="1">
      <c r="H207" s="86"/>
      <c r="I207" s="86"/>
      <c r="J207" s="86"/>
      <c r="K207" s="86"/>
      <c r="L207" s="86"/>
      <c r="M207" s="86"/>
      <c r="N207" s="86"/>
      <c r="O207" s="86"/>
      <c r="P207" s="86"/>
      <c r="Q207" s="86"/>
      <c r="R207" s="86"/>
      <c r="S207" s="86"/>
      <c r="T207" s="86"/>
      <c r="U207" s="86"/>
      <c r="V207" s="86"/>
      <c r="W207" s="86"/>
      <c r="X207" s="86"/>
      <c r="Y207" s="86"/>
      <c r="Z207" s="86"/>
    </row>
    <row r="208" ht="15.75" customHeight="1">
      <c r="H208" s="86"/>
      <c r="I208" s="86"/>
      <c r="J208" s="86"/>
      <c r="K208" s="86"/>
      <c r="L208" s="86"/>
      <c r="M208" s="86"/>
      <c r="N208" s="86"/>
      <c r="O208" s="86"/>
      <c r="P208" s="86"/>
      <c r="Q208" s="86"/>
      <c r="R208" s="86"/>
      <c r="S208" s="86"/>
      <c r="T208" s="86"/>
      <c r="U208" s="86"/>
      <c r="V208" s="86"/>
      <c r="W208" s="86"/>
      <c r="X208" s="86"/>
      <c r="Y208" s="86"/>
      <c r="Z208" s="86"/>
    </row>
    <row r="209" ht="15.75" customHeight="1">
      <c r="H209" s="86"/>
      <c r="I209" s="86"/>
      <c r="J209" s="86"/>
      <c r="K209" s="86"/>
      <c r="L209" s="86"/>
      <c r="M209" s="86"/>
      <c r="N209" s="86"/>
      <c r="O209" s="86"/>
      <c r="P209" s="86"/>
      <c r="Q209" s="86"/>
      <c r="R209" s="86"/>
      <c r="S209" s="86"/>
      <c r="T209" s="86"/>
      <c r="U209" s="86"/>
      <c r="V209" s="86"/>
      <c r="W209" s="86"/>
      <c r="X209" s="86"/>
      <c r="Y209" s="86"/>
      <c r="Z209" s="86"/>
    </row>
    <row r="210" ht="15.75" customHeight="1">
      <c r="H210" s="86"/>
      <c r="I210" s="86"/>
      <c r="J210" s="86"/>
      <c r="K210" s="86"/>
      <c r="L210" s="86"/>
      <c r="M210" s="86"/>
      <c r="N210" s="86"/>
      <c r="O210" s="86"/>
      <c r="P210" s="86"/>
      <c r="Q210" s="86"/>
      <c r="R210" s="86"/>
      <c r="S210" s="86"/>
      <c r="T210" s="86"/>
      <c r="U210" s="86"/>
      <c r="V210" s="86"/>
      <c r="W210" s="86"/>
      <c r="X210" s="86"/>
      <c r="Y210" s="86"/>
      <c r="Z210" s="86"/>
    </row>
    <row r="211" ht="15.75" customHeight="1">
      <c r="H211" s="86"/>
      <c r="I211" s="86"/>
      <c r="J211" s="86"/>
      <c r="K211" s="86"/>
      <c r="L211" s="86"/>
      <c r="M211" s="86"/>
      <c r="N211" s="86"/>
      <c r="O211" s="86"/>
      <c r="P211" s="86"/>
      <c r="Q211" s="86"/>
      <c r="R211" s="86"/>
      <c r="S211" s="86"/>
      <c r="T211" s="86"/>
      <c r="U211" s="86"/>
      <c r="V211" s="86"/>
      <c r="W211" s="86"/>
      <c r="X211" s="86"/>
      <c r="Y211" s="86"/>
      <c r="Z211" s="86"/>
    </row>
    <row r="212" ht="15.75" customHeight="1">
      <c r="H212" s="86"/>
      <c r="I212" s="86"/>
      <c r="J212" s="86"/>
      <c r="K212" s="86"/>
      <c r="L212" s="86"/>
      <c r="M212" s="86"/>
      <c r="N212" s="86"/>
      <c r="O212" s="86"/>
      <c r="P212" s="86"/>
      <c r="Q212" s="86"/>
      <c r="R212" s="86"/>
      <c r="S212" s="86"/>
      <c r="T212" s="86"/>
      <c r="U212" s="86"/>
      <c r="V212" s="86"/>
      <c r="W212" s="86"/>
      <c r="X212" s="86"/>
      <c r="Y212" s="86"/>
      <c r="Z212" s="86"/>
    </row>
    <row r="213" ht="15.75" customHeight="1">
      <c r="H213" s="86"/>
      <c r="I213" s="86"/>
      <c r="J213" s="86"/>
      <c r="K213" s="86"/>
      <c r="L213" s="86"/>
      <c r="M213" s="86"/>
      <c r="N213" s="86"/>
      <c r="O213" s="86"/>
      <c r="P213" s="86"/>
      <c r="Q213" s="86"/>
      <c r="R213" s="86"/>
      <c r="S213" s="86"/>
      <c r="T213" s="86"/>
      <c r="U213" s="86"/>
      <c r="V213" s="86"/>
      <c r="W213" s="86"/>
      <c r="X213" s="86"/>
      <c r="Y213" s="86"/>
      <c r="Z213" s="86"/>
    </row>
    <row r="214" ht="15.75" customHeight="1">
      <c r="H214" s="86"/>
      <c r="I214" s="86"/>
      <c r="J214" s="86"/>
      <c r="K214" s="86"/>
      <c r="L214" s="86"/>
      <c r="M214" s="86"/>
      <c r="N214" s="86"/>
      <c r="O214" s="86"/>
      <c r="P214" s="86"/>
      <c r="Q214" s="86"/>
      <c r="R214" s="86"/>
      <c r="S214" s="86"/>
      <c r="T214" s="86"/>
      <c r="U214" s="86"/>
      <c r="V214" s="86"/>
      <c r="W214" s="86"/>
      <c r="X214" s="86"/>
      <c r="Y214" s="86"/>
      <c r="Z214" s="86"/>
    </row>
    <row r="215" ht="15.75" customHeight="1">
      <c r="H215" s="86"/>
      <c r="I215" s="86"/>
      <c r="J215" s="86"/>
      <c r="K215" s="86"/>
      <c r="L215" s="86"/>
      <c r="M215" s="86"/>
      <c r="N215" s="86"/>
      <c r="O215" s="86"/>
      <c r="P215" s="86"/>
      <c r="Q215" s="86"/>
      <c r="R215" s="86"/>
      <c r="S215" s="86"/>
      <c r="T215" s="86"/>
      <c r="U215" s="86"/>
      <c r="V215" s="86"/>
      <c r="W215" s="86"/>
      <c r="X215" s="86"/>
      <c r="Y215" s="86"/>
      <c r="Z215" s="86"/>
    </row>
    <row r="216" ht="15.75" customHeight="1">
      <c r="H216" s="86"/>
      <c r="I216" s="86"/>
      <c r="J216" s="86"/>
      <c r="K216" s="86"/>
      <c r="L216" s="86"/>
      <c r="M216" s="86"/>
      <c r="N216" s="86"/>
      <c r="O216" s="86"/>
      <c r="P216" s="86"/>
      <c r="Q216" s="86"/>
      <c r="R216" s="86"/>
      <c r="S216" s="86"/>
      <c r="T216" s="86"/>
      <c r="U216" s="86"/>
      <c r="V216" s="86"/>
      <c r="W216" s="86"/>
      <c r="X216" s="86"/>
      <c r="Y216" s="86"/>
      <c r="Z216" s="86"/>
    </row>
    <row r="217" ht="15.75" customHeight="1">
      <c r="H217" s="86"/>
      <c r="I217" s="86"/>
      <c r="J217" s="86"/>
      <c r="K217" s="86"/>
      <c r="L217" s="86"/>
      <c r="M217" s="86"/>
      <c r="N217" s="86"/>
      <c r="O217" s="86"/>
      <c r="P217" s="86"/>
      <c r="Q217" s="86"/>
      <c r="R217" s="86"/>
      <c r="S217" s="86"/>
      <c r="T217" s="86"/>
      <c r="U217" s="86"/>
      <c r="V217" s="86"/>
      <c r="W217" s="86"/>
      <c r="X217" s="86"/>
      <c r="Y217" s="86"/>
      <c r="Z217" s="86"/>
    </row>
    <row r="218" ht="15.75" customHeight="1">
      <c r="H218" s="86"/>
      <c r="I218" s="86"/>
      <c r="J218" s="86"/>
      <c r="K218" s="86"/>
      <c r="L218" s="86"/>
      <c r="M218" s="86"/>
      <c r="N218" s="86"/>
      <c r="O218" s="86"/>
      <c r="P218" s="86"/>
      <c r="Q218" s="86"/>
      <c r="R218" s="86"/>
      <c r="S218" s="86"/>
      <c r="T218" s="86"/>
      <c r="U218" s="86"/>
      <c r="V218" s="86"/>
      <c r="W218" s="86"/>
      <c r="X218" s="86"/>
      <c r="Y218" s="86"/>
      <c r="Z218" s="86"/>
    </row>
    <row r="219" ht="15.75" customHeight="1">
      <c r="H219" s="86"/>
      <c r="I219" s="86"/>
      <c r="J219" s="86"/>
      <c r="K219" s="86"/>
      <c r="L219" s="86"/>
      <c r="M219" s="86"/>
      <c r="N219" s="86"/>
      <c r="O219" s="86"/>
      <c r="P219" s="86"/>
      <c r="Q219" s="86"/>
      <c r="R219" s="86"/>
      <c r="S219" s="86"/>
      <c r="T219" s="86"/>
      <c r="U219" s="86"/>
      <c r="V219" s="86"/>
      <c r="W219" s="86"/>
      <c r="X219" s="86"/>
      <c r="Y219" s="86"/>
      <c r="Z219" s="86"/>
    </row>
    <row r="220" ht="15.75" customHeight="1">
      <c r="H220" s="86"/>
      <c r="I220" s="86"/>
      <c r="J220" s="86"/>
      <c r="K220" s="86"/>
      <c r="L220" s="86"/>
      <c r="M220" s="86"/>
      <c r="N220" s="86"/>
      <c r="O220" s="86"/>
      <c r="P220" s="86"/>
      <c r="Q220" s="86"/>
      <c r="R220" s="86"/>
      <c r="S220" s="86"/>
      <c r="T220" s="86"/>
      <c r="U220" s="86"/>
      <c r="V220" s="86"/>
      <c r="W220" s="86"/>
      <c r="X220" s="86"/>
      <c r="Y220" s="86"/>
      <c r="Z220" s="86"/>
    </row>
    <row r="221" ht="15.75" customHeight="1">
      <c r="H221" s="86"/>
      <c r="I221" s="86"/>
      <c r="J221" s="86"/>
      <c r="K221" s="86"/>
      <c r="L221" s="86"/>
      <c r="M221" s="86"/>
      <c r="N221" s="86"/>
      <c r="O221" s="86"/>
      <c r="P221" s="86"/>
      <c r="Q221" s="86"/>
      <c r="R221" s="86"/>
      <c r="S221" s="86"/>
      <c r="T221" s="86"/>
      <c r="U221" s="86"/>
      <c r="V221" s="86"/>
      <c r="W221" s="86"/>
      <c r="X221" s="86"/>
      <c r="Y221" s="86"/>
      <c r="Z221" s="86"/>
    </row>
    <row r="222" ht="15.75" customHeight="1">
      <c r="H222" s="86"/>
      <c r="I222" s="86"/>
      <c r="J222" s="86"/>
      <c r="K222" s="86"/>
      <c r="L222" s="86"/>
      <c r="M222" s="86"/>
      <c r="N222" s="86"/>
      <c r="O222" s="86"/>
      <c r="P222" s="86"/>
      <c r="Q222" s="86"/>
      <c r="R222" s="86"/>
      <c r="S222" s="86"/>
      <c r="T222" s="86"/>
      <c r="U222" s="86"/>
      <c r="V222" s="86"/>
      <c r="W222" s="86"/>
      <c r="X222" s="86"/>
      <c r="Y222" s="86"/>
      <c r="Z222" s="86"/>
    </row>
    <row r="223" ht="15.75" customHeight="1">
      <c r="H223" s="86"/>
      <c r="I223" s="86"/>
      <c r="J223" s="86"/>
      <c r="K223" s="86"/>
      <c r="L223" s="86"/>
      <c r="M223" s="86"/>
      <c r="N223" s="86"/>
      <c r="O223" s="86"/>
      <c r="P223" s="86"/>
      <c r="Q223" s="86"/>
      <c r="R223" s="86"/>
      <c r="S223" s="86"/>
      <c r="T223" s="86"/>
      <c r="U223" s="86"/>
      <c r="V223" s="86"/>
      <c r="W223" s="86"/>
      <c r="X223" s="86"/>
      <c r="Y223" s="86"/>
      <c r="Z223" s="86"/>
    </row>
    <row r="224" ht="15.75" customHeight="1">
      <c r="H224" s="86"/>
      <c r="I224" s="86"/>
      <c r="J224" s="86"/>
      <c r="K224" s="86"/>
      <c r="L224" s="86"/>
      <c r="M224" s="86"/>
      <c r="N224" s="86"/>
      <c r="O224" s="86"/>
      <c r="P224" s="86"/>
      <c r="Q224" s="86"/>
      <c r="R224" s="86"/>
      <c r="S224" s="86"/>
      <c r="T224" s="86"/>
      <c r="U224" s="86"/>
      <c r="V224" s="86"/>
      <c r="W224" s="86"/>
      <c r="X224" s="86"/>
      <c r="Y224" s="86"/>
      <c r="Z224" s="86"/>
    </row>
    <row r="225" ht="15.75" customHeight="1">
      <c r="H225" s="86"/>
      <c r="I225" s="86"/>
      <c r="J225" s="86"/>
      <c r="K225" s="86"/>
      <c r="L225" s="86"/>
      <c r="M225" s="86"/>
      <c r="N225" s="86"/>
      <c r="O225" s="86"/>
      <c r="P225" s="86"/>
      <c r="Q225" s="86"/>
      <c r="R225" s="86"/>
      <c r="S225" s="86"/>
      <c r="T225" s="86"/>
      <c r="U225" s="86"/>
      <c r="V225" s="86"/>
      <c r="W225" s="86"/>
      <c r="X225" s="86"/>
      <c r="Y225" s="86"/>
      <c r="Z225" s="86"/>
    </row>
    <row r="226" ht="15.75" customHeight="1">
      <c r="H226" s="86"/>
      <c r="I226" s="86"/>
      <c r="J226" s="86"/>
      <c r="K226" s="86"/>
      <c r="L226" s="86"/>
      <c r="M226" s="86"/>
      <c r="N226" s="86"/>
      <c r="O226" s="86"/>
      <c r="P226" s="86"/>
      <c r="Q226" s="86"/>
      <c r="R226" s="86"/>
      <c r="S226" s="86"/>
      <c r="T226" s="86"/>
      <c r="U226" s="86"/>
      <c r="V226" s="86"/>
      <c r="W226" s="86"/>
      <c r="X226" s="86"/>
      <c r="Y226" s="86"/>
      <c r="Z226" s="86"/>
    </row>
    <row r="227" ht="15.75" customHeight="1">
      <c r="H227" s="86"/>
      <c r="I227" s="86"/>
      <c r="J227" s="86"/>
      <c r="K227" s="86"/>
      <c r="L227" s="86"/>
      <c r="M227" s="86"/>
      <c r="N227" s="86"/>
      <c r="O227" s="86"/>
      <c r="P227" s="86"/>
      <c r="Q227" s="86"/>
      <c r="R227" s="86"/>
      <c r="S227" s="86"/>
      <c r="T227" s="86"/>
      <c r="U227" s="86"/>
      <c r="V227" s="86"/>
      <c r="W227" s="86"/>
      <c r="X227" s="86"/>
      <c r="Y227" s="86"/>
      <c r="Z227" s="86"/>
    </row>
    <row r="228" ht="15.75" customHeight="1">
      <c r="H228" s="86"/>
      <c r="I228" s="86"/>
      <c r="J228" s="86"/>
      <c r="K228" s="86"/>
      <c r="L228" s="86"/>
      <c r="M228" s="86"/>
      <c r="N228" s="86"/>
      <c r="O228" s="86"/>
      <c r="P228" s="86"/>
      <c r="Q228" s="86"/>
      <c r="R228" s="86"/>
      <c r="S228" s="86"/>
      <c r="T228" s="86"/>
      <c r="U228" s="86"/>
      <c r="V228" s="86"/>
      <c r="W228" s="86"/>
      <c r="X228" s="86"/>
      <c r="Y228" s="86"/>
      <c r="Z228" s="86"/>
    </row>
    <row r="229" ht="15.75" customHeight="1">
      <c r="H229" s="86"/>
      <c r="I229" s="86"/>
      <c r="J229" s="86"/>
      <c r="K229" s="86"/>
      <c r="L229" s="86"/>
      <c r="M229" s="86"/>
      <c r="N229" s="86"/>
      <c r="O229" s="86"/>
      <c r="P229" s="86"/>
      <c r="Q229" s="86"/>
      <c r="R229" s="86"/>
      <c r="S229" s="86"/>
      <c r="T229" s="86"/>
      <c r="U229" s="86"/>
      <c r="V229" s="86"/>
      <c r="W229" s="86"/>
      <c r="X229" s="86"/>
      <c r="Y229" s="86"/>
      <c r="Z229" s="86"/>
    </row>
    <row r="230" ht="15.75" customHeight="1">
      <c r="H230" s="86"/>
      <c r="I230" s="86"/>
      <c r="J230" s="86"/>
      <c r="K230" s="86"/>
      <c r="L230" s="86"/>
      <c r="M230" s="86"/>
      <c r="N230" s="86"/>
      <c r="O230" s="86"/>
      <c r="P230" s="86"/>
      <c r="Q230" s="86"/>
      <c r="R230" s="86"/>
      <c r="S230" s="86"/>
      <c r="T230" s="86"/>
      <c r="U230" s="86"/>
      <c r="V230" s="86"/>
      <c r="W230" s="86"/>
      <c r="X230" s="86"/>
      <c r="Y230" s="86"/>
      <c r="Z230" s="86"/>
    </row>
    <row r="231" ht="15.75" customHeight="1">
      <c r="H231" s="86"/>
      <c r="I231" s="86"/>
      <c r="J231" s="86"/>
      <c r="K231" s="86"/>
      <c r="L231" s="86"/>
      <c r="M231" s="86"/>
      <c r="N231" s="86"/>
      <c r="O231" s="86"/>
      <c r="P231" s="86"/>
      <c r="Q231" s="86"/>
      <c r="R231" s="86"/>
      <c r="S231" s="86"/>
      <c r="T231" s="86"/>
      <c r="U231" s="86"/>
      <c r="V231" s="86"/>
      <c r="W231" s="86"/>
      <c r="X231" s="86"/>
      <c r="Y231" s="86"/>
      <c r="Z231" s="86"/>
    </row>
    <row r="232" ht="15.75" customHeight="1">
      <c r="H232" s="86"/>
      <c r="I232" s="86"/>
      <c r="J232" s="86"/>
      <c r="K232" s="86"/>
      <c r="L232" s="86"/>
      <c r="M232" s="86"/>
      <c r="N232" s="86"/>
      <c r="O232" s="86"/>
      <c r="P232" s="86"/>
      <c r="Q232" s="86"/>
      <c r="R232" s="86"/>
      <c r="S232" s="86"/>
      <c r="T232" s="86"/>
      <c r="U232" s="86"/>
      <c r="V232" s="86"/>
      <c r="W232" s="86"/>
      <c r="X232" s="86"/>
      <c r="Y232" s="86"/>
      <c r="Z232" s="86"/>
    </row>
    <row r="233" ht="15.75" customHeight="1">
      <c r="H233" s="86"/>
      <c r="I233" s="86"/>
      <c r="J233" s="86"/>
      <c r="K233" s="86"/>
      <c r="L233" s="86"/>
      <c r="M233" s="86"/>
      <c r="N233" s="86"/>
      <c r="O233" s="86"/>
      <c r="P233" s="86"/>
      <c r="Q233" s="86"/>
      <c r="R233" s="86"/>
      <c r="S233" s="86"/>
      <c r="T233" s="86"/>
      <c r="U233" s="86"/>
      <c r="V233" s="86"/>
      <c r="W233" s="86"/>
      <c r="X233" s="86"/>
      <c r="Y233" s="86"/>
      <c r="Z233" s="86"/>
    </row>
    <row r="234" ht="15.75" customHeight="1">
      <c r="H234" s="86"/>
      <c r="I234" s="86"/>
      <c r="J234" s="86"/>
      <c r="K234" s="86"/>
      <c r="L234" s="86"/>
      <c r="M234" s="86"/>
      <c r="N234" s="86"/>
      <c r="O234" s="86"/>
      <c r="P234" s="86"/>
      <c r="Q234" s="86"/>
      <c r="R234" s="86"/>
      <c r="S234" s="86"/>
      <c r="T234" s="86"/>
      <c r="U234" s="86"/>
      <c r="V234" s="86"/>
      <c r="W234" s="86"/>
      <c r="X234" s="86"/>
      <c r="Y234" s="86"/>
      <c r="Z234" s="86"/>
    </row>
    <row r="235" ht="15.75" customHeight="1">
      <c r="H235" s="86"/>
      <c r="I235" s="86"/>
      <c r="J235" s="86"/>
      <c r="K235" s="86"/>
      <c r="L235" s="86"/>
      <c r="M235" s="86"/>
      <c r="N235" s="86"/>
      <c r="O235" s="86"/>
      <c r="P235" s="86"/>
      <c r="Q235" s="86"/>
      <c r="R235" s="86"/>
      <c r="S235" s="86"/>
      <c r="T235" s="86"/>
      <c r="U235" s="86"/>
      <c r="V235" s="86"/>
      <c r="W235" s="86"/>
      <c r="X235" s="86"/>
      <c r="Y235" s="86"/>
      <c r="Z235" s="86"/>
    </row>
    <row r="236" ht="15.75" customHeight="1">
      <c r="H236" s="86"/>
      <c r="I236" s="86"/>
      <c r="J236" s="86"/>
      <c r="K236" s="86"/>
      <c r="L236" s="86"/>
      <c r="M236" s="86"/>
      <c r="N236" s="86"/>
      <c r="O236" s="86"/>
      <c r="P236" s="86"/>
      <c r="Q236" s="86"/>
      <c r="R236" s="86"/>
      <c r="S236" s="86"/>
      <c r="T236" s="86"/>
      <c r="U236" s="86"/>
      <c r="V236" s="86"/>
      <c r="W236" s="86"/>
      <c r="X236" s="86"/>
      <c r="Y236" s="86"/>
      <c r="Z236" s="86"/>
    </row>
    <row r="237" ht="15.75" customHeight="1">
      <c r="H237" s="86"/>
      <c r="I237" s="86"/>
      <c r="J237" s="86"/>
      <c r="K237" s="86"/>
      <c r="L237" s="86"/>
      <c r="M237" s="86"/>
      <c r="N237" s="86"/>
      <c r="O237" s="86"/>
      <c r="P237" s="86"/>
      <c r="Q237" s="86"/>
      <c r="R237" s="86"/>
      <c r="S237" s="86"/>
      <c r="T237" s="86"/>
      <c r="U237" s="86"/>
      <c r="V237" s="86"/>
      <c r="W237" s="86"/>
      <c r="X237" s="86"/>
      <c r="Y237" s="86"/>
      <c r="Z237" s="86"/>
    </row>
    <row r="238" ht="15.75" customHeight="1">
      <c r="H238" s="86"/>
      <c r="I238" s="86"/>
      <c r="J238" s="86"/>
      <c r="K238" s="86"/>
      <c r="L238" s="86"/>
      <c r="M238" s="86"/>
      <c r="N238" s="86"/>
      <c r="O238" s="86"/>
      <c r="P238" s="86"/>
      <c r="Q238" s="86"/>
      <c r="R238" s="86"/>
      <c r="S238" s="86"/>
      <c r="T238" s="86"/>
      <c r="U238" s="86"/>
      <c r="V238" s="86"/>
      <c r="W238" s="86"/>
      <c r="X238" s="86"/>
      <c r="Y238" s="86"/>
      <c r="Z238" s="86"/>
    </row>
    <row r="239" ht="15.75" customHeight="1">
      <c r="H239" s="86"/>
      <c r="I239" s="86"/>
      <c r="J239" s="86"/>
      <c r="K239" s="86"/>
      <c r="L239" s="86"/>
      <c r="M239" s="86"/>
      <c r="N239" s="86"/>
      <c r="O239" s="86"/>
      <c r="P239" s="86"/>
      <c r="Q239" s="86"/>
      <c r="R239" s="86"/>
      <c r="S239" s="86"/>
      <c r="T239" s="86"/>
      <c r="U239" s="86"/>
      <c r="V239" s="86"/>
      <c r="W239" s="86"/>
      <c r="X239" s="86"/>
      <c r="Y239" s="86"/>
      <c r="Z239" s="86"/>
    </row>
    <row r="240" ht="15.75" customHeight="1">
      <c r="H240" s="86"/>
      <c r="I240" s="86"/>
      <c r="J240" s="86"/>
      <c r="K240" s="86"/>
      <c r="L240" s="86"/>
      <c r="M240" s="86"/>
      <c r="N240" s="86"/>
      <c r="O240" s="86"/>
      <c r="P240" s="86"/>
      <c r="Q240" s="86"/>
      <c r="R240" s="86"/>
      <c r="S240" s="86"/>
      <c r="T240" s="86"/>
      <c r="U240" s="86"/>
      <c r="V240" s="86"/>
      <c r="W240" s="86"/>
      <c r="X240" s="86"/>
      <c r="Y240" s="86"/>
      <c r="Z240" s="86"/>
    </row>
    <row r="241" ht="15.75" customHeight="1">
      <c r="H241" s="86"/>
      <c r="I241" s="86"/>
      <c r="J241" s="86"/>
      <c r="K241" s="86"/>
      <c r="L241" s="86"/>
      <c r="M241" s="86"/>
      <c r="N241" s="86"/>
      <c r="O241" s="86"/>
      <c r="P241" s="86"/>
      <c r="Q241" s="86"/>
      <c r="R241" s="86"/>
      <c r="S241" s="86"/>
      <c r="T241" s="86"/>
      <c r="U241" s="86"/>
      <c r="V241" s="86"/>
      <c r="W241" s="86"/>
      <c r="X241" s="86"/>
      <c r="Y241" s="86"/>
      <c r="Z241" s="86"/>
    </row>
    <row r="242" ht="15.75" customHeight="1">
      <c r="H242" s="86"/>
      <c r="I242" s="86"/>
      <c r="J242" s="86"/>
      <c r="K242" s="86"/>
      <c r="L242" s="86"/>
      <c r="M242" s="86"/>
      <c r="N242" s="86"/>
      <c r="O242" s="86"/>
      <c r="P242" s="86"/>
      <c r="Q242" s="86"/>
      <c r="R242" s="86"/>
      <c r="S242" s="86"/>
      <c r="T242" s="86"/>
      <c r="U242" s="86"/>
      <c r="V242" s="86"/>
      <c r="W242" s="86"/>
      <c r="X242" s="86"/>
      <c r="Y242" s="86"/>
      <c r="Z242" s="86"/>
    </row>
    <row r="243" ht="15.75" customHeight="1">
      <c r="H243" s="86"/>
      <c r="I243" s="86"/>
      <c r="J243" s="86"/>
      <c r="K243" s="86"/>
      <c r="L243" s="86"/>
      <c r="M243" s="86"/>
      <c r="N243" s="86"/>
      <c r="O243" s="86"/>
      <c r="P243" s="86"/>
      <c r="Q243" s="86"/>
      <c r="R243" s="86"/>
      <c r="S243" s="86"/>
      <c r="T243" s="86"/>
      <c r="U243" s="86"/>
      <c r="V243" s="86"/>
      <c r="W243" s="86"/>
      <c r="X243" s="86"/>
      <c r="Y243" s="86"/>
      <c r="Z243" s="86"/>
    </row>
    <row r="244" ht="15.75" customHeight="1">
      <c r="H244" s="86"/>
      <c r="I244" s="86"/>
      <c r="J244" s="86"/>
      <c r="K244" s="86"/>
      <c r="L244" s="86"/>
      <c r="M244" s="86"/>
      <c r="N244" s="86"/>
      <c r="O244" s="86"/>
      <c r="P244" s="86"/>
      <c r="Q244" s="86"/>
      <c r="R244" s="86"/>
      <c r="S244" s="86"/>
      <c r="T244" s="86"/>
      <c r="U244" s="86"/>
      <c r="V244" s="86"/>
      <c r="W244" s="86"/>
      <c r="X244" s="86"/>
      <c r="Y244" s="86"/>
      <c r="Z244" s="86"/>
    </row>
    <row r="245" ht="15.75" customHeight="1">
      <c r="H245" s="86"/>
      <c r="I245" s="86"/>
      <c r="J245" s="86"/>
      <c r="K245" s="86"/>
      <c r="L245" s="86"/>
      <c r="M245" s="86"/>
      <c r="N245" s="86"/>
      <c r="O245" s="86"/>
      <c r="P245" s="86"/>
      <c r="Q245" s="86"/>
      <c r="R245" s="86"/>
      <c r="S245" s="86"/>
      <c r="T245" s="86"/>
      <c r="U245" s="86"/>
      <c r="V245" s="86"/>
      <c r="W245" s="86"/>
      <c r="X245" s="86"/>
      <c r="Y245" s="86"/>
      <c r="Z245" s="86"/>
    </row>
    <row r="246" ht="15.75" customHeight="1">
      <c r="H246" s="86"/>
      <c r="I246" s="86"/>
      <c r="J246" s="86"/>
      <c r="K246" s="86"/>
      <c r="L246" s="86"/>
      <c r="M246" s="86"/>
      <c r="N246" s="86"/>
      <c r="O246" s="86"/>
      <c r="P246" s="86"/>
      <c r="Q246" s="86"/>
      <c r="R246" s="86"/>
      <c r="S246" s="86"/>
      <c r="T246" s="86"/>
      <c r="U246" s="86"/>
      <c r="V246" s="86"/>
      <c r="W246" s="86"/>
      <c r="X246" s="86"/>
      <c r="Y246" s="86"/>
      <c r="Z246" s="86"/>
    </row>
    <row r="247" ht="15.75" customHeight="1">
      <c r="H247" s="86"/>
      <c r="I247" s="86"/>
      <c r="J247" s="86"/>
      <c r="K247" s="86"/>
      <c r="L247" s="86"/>
      <c r="M247" s="86"/>
      <c r="N247" s="86"/>
      <c r="O247" s="86"/>
      <c r="P247" s="86"/>
      <c r="Q247" s="86"/>
      <c r="R247" s="86"/>
      <c r="S247" s="86"/>
      <c r="T247" s="86"/>
      <c r="U247" s="86"/>
      <c r="V247" s="86"/>
      <c r="W247" s="86"/>
      <c r="X247" s="86"/>
      <c r="Y247" s="86"/>
      <c r="Z247" s="86"/>
    </row>
    <row r="248" ht="15.75" customHeight="1">
      <c r="H248" s="86"/>
      <c r="I248" s="86"/>
      <c r="J248" s="86"/>
      <c r="K248" s="86"/>
      <c r="L248" s="86"/>
      <c r="M248" s="86"/>
      <c r="N248" s="86"/>
      <c r="O248" s="86"/>
      <c r="P248" s="86"/>
      <c r="Q248" s="86"/>
      <c r="R248" s="86"/>
      <c r="S248" s="86"/>
      <c r="T248" s="86"/>
      <c r="U248" s="86"/>
      <c r="V248" s="86"/>
      <c r="W248" s="86"/>
      <c r="X248" s="86"/>
      <c r="Y248" s="86"/>
      <c r="Z248" s="86"/>
    </row>
    <row r="249" ht="15.75" customHeight="1">
      <c r="H249" s="86"/>
      <c r="I249" s="86"/>
      <c r="J249" s="86"/>
      <c r="K249" s="86"/>
      <c r="L249" s="86"/>
      <c r="M249" s="86"/>
      <c r="N249" s="86"/>
      <c r="O249" s="86"/>
      <c r="P249" s="86"/>
      <c r="Q249" s="86"/>
      <c r="R249" s="86"/>
      <c r="S249" s="86"/>
      <c r="T249" s="86"/>
      <c r="U249" s="86"/>
      <c r="V249" s="86"/>
      <c r="W249" s="86"/>
      <c r="X249" s="86"/>
      <c r="Y249" s="86"/>
      <c r="Z249" s="86"/>
    </row>
    <row r="250" ht="15.75" customHeight="1">
      <c r="H250" s="86"/>
      <c r="I250" s="86"/>
      <c r="J250" s="86"/>
      <c r="K250" s="86"/>
      <c r="L250" s="86"/>
      <c r="M250" s="86"/>
      <c r="N250" s="86"/>
      <c r="O250" s="86"/>
      <c r="P250" s="86"/>
      <c r="Q250" s="86"/>
      <c r="R250" s="86"/>
      <c r="S250" s="86"/>
      <c r="T250" s="86"/>
      <c r="U250" s="86"/>
      <c r="V250" s="86"/>
      <c r="W250" s="86"/>
      <c r="X250" s="86"/>
      <c r="Y250" s="86"/>
      <c r="Z250" s="86"/>
    </row>
    <row r="251" ht="15.75" customHeight="1">
      <c r="H251" s="86"/>
      <c r="I251" s="86"/>
      <c r="J251" s="86"/>
      <c r="K251" s="86"/>
      <c r="L251" s="86"/>
      <c r="M251" s="86"/>
      <c r="N251" s="86"/>
      <c r="O251" s="86"/>
      <c r="P251" s="86"/>
      <c r="Q251" s="86"/>
      <c r="R251" s="86"/>
      <c r="S251" s="86"/>
      <c r="T251" s="86"/>
      <c r="U251" s="86"/>
      <c r="V251" s="86"/>
      <c r="W251" s="86"/>
      <c r="X251" s="86"/>
      <c r="Y251" s="86"/>
      <c r="Z251" s="86"/>
    </row>
    <row r="252" ht="15.75" customHeight="1">
      <c r="H252" s="86"/>
      <c r="I252" s="86"/>
      <c r="J252" s="86"/>
      <c r="K252" s="86"/>
      <c r="L252" s="86"/>
      <c r="M252" s="86"/>
      <c r="N252" s="86"/>
      <c r="O252" s="86"/>
      <c r="P252" s="86"/>
      <c r="Q252" s="86"/>
      <c r="R252" s="86"/>
      <c r="S252" s="86"/>
      <c r="T252" s="86"/>
      <c r="U252" s="86"/>
      <c r="V252" s="86"/>
      <c r="W252" s="86"/>
      <c r="X252" s="86"/>
      <c r="Y252" s="86"/>
      <c r="Z252" s="86"/>
    </row>
    <row r="253" ht="15.75" customHeight="1">
      <c r="H253" s="86"/>
      <c r="I253" s="86"/>
      <c r="J253" s="86"/>
      <c r="K253" s="86"/>
      <c r="L253" s="86"/>
      <c r="M253" s="86"/>
      <c r="N253" s="86"/>
      <c r="O253" s="86"/>
      <c r="P253" s="86"/>
      <c r="Q253" s="86"/>
      <c r="R253" s="86"/>
      <c r="S253" s="86"/>
      <c r="T253" s="86"/>
      <c r="U253" s="86"/>
      <c r="V253" s="86"/>
      <c r="W253" s="86"/>
      <c r="X253" s="86"/>
      <c r="Y253" s="86"/>
      <c r="Z253" s="86"/>
    </row>
    <row r="254" ht="15.75" customHeight="1">
      <c r="H254" s="86"/>
      <c r="I254" s="86"/>
      <c r="J254" s="86"/>
      <c r="K254" s="86"/>
      <c r="L254" s="86"/>
      <c r="M254" s="86"/>
      <c r="N254" s="86"/>
      <c r="O254" s="86"/>
      <c r="P254" s="86"/>
      <c r="Q254" s="86"/>
      <c r="R254" s="86"/>
      <c r="S254" s="86"/>
      <c r="T254" s="86"/>
      <c r="U254" s="86"/>
      <c r="V254" s="86"/>
      <c r="W254" s="86"/>
      <c r="X254" s="86"/>
      <c r="Y254" s="86"/>
      <c r="Z254" s="86"/>
    </row>
    <row r="255" ht="15.75" customHeight="1">
      <c r="H255" s="86"/>
      <c r="I255" s="86"/>
      <c r="J255" s="86"/>
      <c r="K255" s="86"/>
      <c r="L255" s="86"/>
      <c r="M255" s="86"/>
      <c r="N255" s="86"/>
      <c r="O255" s="86"/>
      <c r="P255" s="86"/>
      <c r="Q255" s="86"/>
      <c r="R255" s="86"/>
      <c r="S255" s="86"/>
      <c r="T255" s="86"/>
      <c r="U255" s="86"/>
      <c r="V255" s="86"/>
      <c r="W255" s="86"/>
      <c r="X255" s="86"/>
      <c r="Y255" s="86"/>
      <c r="Z255" s="86"/>
    </row>
    <row r="256" ht="15.75" customHeight="1">
      <c r="H256" s="86"/>
      <c r="I256" s="86"/>
      <c r="J256" s="86"/>
      <c r="K256" s="86"/>
      <c r="L256" s="86"/>
      <c r="M256" s="86"/>
      <c r="N256" s="86"/>
      <c r="O256" s="86"/>
      <c r="P256" s="86"/>
      <c r="Q256" s="86"/>
      <c r="R256" s="86"/>
      <c r="S256" s="86"/>
      <c r="T256" s="86"/>
      <c r="U256" s="86"/>
      <c r="V256" s="86"/>
      <c r="W256" s="86"/>
      <c r="X256" s="86"/>
      <c r="Y256" s="86"/>
      <c r="Z256" s="86"/>
    </row>
    <row r="257" ht="15.75" customHeight="1">
      <c r="H257" s="86"/>
      <c r="I257" s="86"/>
      <c r="J257" s="86"/>
      <c r="K257" s="86"/>
      <c r="L257" s="86"/>
      <c r="M257" s="86"/>
      <c r="N257" s="86"/>
      <c r="O257" s="86"/>
      <c r="P257" s="86"/>
      <c r="Q257" s="86"/>
      <c r="R257" s="86"/>
      <c r="S257" s="86"/>
      <c r="T257" s="86"/>
      <c r="U257" s="86"/>
      <c r="V257" s="86"/>
      <c r="W257" s="86"/>
      <c r="X257" s="86"/>
      <c r="Y257" s="86"/>
      <c r="Z257" s="86"/>
    </row>
    <row r="258" ht="15.75" customHeight="1">
      <c r="H258" s="86"/>
      <c r="I258" s="86"/>
      <c r="J258" s="86"/>
      <c r="K258" s="86"/>
      <c r="L258" s="86"/>
      <c r="M258" s="86"/>
      <c r="N258" s="86"/>
      <c r="O258" s="86"/>
      <c r="P258" s="86"/>
      <c r="Q258" s="86"/>
      <c r="R258" s="86"/>
      <c r="S258" s="86"/>
      <c r="T258" s="86"/>
      <c r="U258" s="86"/>
      <c r="V258" s="86"/>
      <c r="W258" s="86"/>
      <c r="X258" s="86"/>
      <c r="Y258" s="86"/>
      <c r="Z258" s="86"/>
    </row>
    <row r="259" ht="15.75" customHeight="1">
      <c r="H259" s="86"/>
      <c r="I259" s="86"/>
      <c r="J259" s="86"/>
      <c r="K259" s="86"/>
      <c r="L259" s="86"/>
      <c r="M259" s="86"/>
      <c r="N259" s="86"/>
      <c r="O259" s="86"/>
      <c r="P259" s="86"/>
      <c r="Q259" s="86"/>
      <c r="R259" s="86"/>
      <c r="S259" s="86"/>
      <c r="T259" s="86"/>
      <c r="U259" s="86"/>
      <c r="V259" s="86"/>
      <c r="W259" s="86"/>
      <c r="X259" s="86"/>
      <c r="Y259" s="86"/>
      <c r="Z259" s="86"/>
    </row>
    <row r="260" ht="15.75" customHeight="1">
      <c r="H260" s="86"/>
      <c r="I260" s="86"/>
      <c r="J260" s="86"/>
      <c r="K260" s="86"/>
      <c r="L260" s="86"/>
      <c r="M260" s="86"/>
      <c r="N260" s="86"/>
      <c r="O260" s="86"/>
      <c r="P260" s="86"/>
      <c r="Q260" s="86"/>
      <c r="R260" s="86"/>
      <c r="S260" s="86"/>
      <c r="T260" s="86"/>
      <c r="U260" s="86"/>
      <c r="V260" s="86"/>
      <c r="W260" s="86"/>
      <c r="X260" s="86"/>
      <c r="Y260" s="86"/>
      <c r="Z260" s="86"/>
    </row>
    <row r="261" ht="15.75" customHeight="1">
      <c r="H261" s="86"/>
      <c r="I261" s="86"/>
      <c r="J261" s="86"/>
      <c r="K261" s="86"/>
      <c r="L261" s="86"/>
      <c r="M261" s="86"/>
      <c r="N261" s="86"/>
      <c r="O261" s="86"/>
      <c r="P261" s="86"/>
      <c r="Q261" s="86"/>
      <c r="R261" s="86"/>
      <c r="S261" s="86"/>
      <c r="T261" s="86"/>
      <c r="U261" s="86"/>
      <c r="V261" s="86"/>
      <c r="W261" s="86"/>
      <c r="X261" s="86"/>
      <c r="Y261" s="86"/>
      <c r="Z261" s="86"/>
    </row>
    <row r="262" ht="15.75" customHeight="1">
      <c r="H262" s="86"/>
      <c r="I262" s="86"/>
      <c r="J262" s="86"/>
      <c r="K262" s="86"/>
      <c r="L262" s="86"/>
      <c r="M262" s="86"/>
      <c r="N262" s="86"/>
      <c r="O262" s="86"/>
      <c r="P262" s="86"/>
      <c r="Q262" s="86"/>
      <c r="R262" s="86"/>
      <c r="S262" s="86"/>
      <c r="T262" s="86"/>
      <c r="U262" s="86"/>
      <c r="V262" s="86"/>
      <c r="W262" s="86"/>
      <c r="X262" s="86"/>
      <c r="Y262" s="86"/>
      <c r="Z262" s="86"/>
    </row>
    <row r="263" ht="15.75" customHeight="1">
      <c r="H263" s="86"/>
      <c r="I263" s="86"/>
      <c r="J263" s="86"/>
      <c r="K263" s="86"/>
      <c r="L263" s="86"/>
      <c r="M263" s="86"/>
      <c r="N263" s="86"/>
      <c r="O263" s="86"/>
      <c r="P263" s="86"/>
      <c r="Q263" s="86"/>
      <c r="R263" s="86"/>
      <c r="S263" s="86"/>
      <c r="T263" s="86"/>
      <c r="U263" s="86"/>
      <c r="V263" s="86"/>
      <c r="W263" s="86"/>
      <c r="X263" s="86"/>
      <c r="Y263" s="86"/>
      <c r="Z263" s="86"/>
    </row>
    <row r="264" ht="15.75" customHeight="1">
      <c r="H264" s="86"/>
      <c r="I264" s="86"/>
      <c r="J264" s="86"/>
      <c r="K264" s="86"/>
      <c r="L264" s="86"/>
      <c r="M264" s="86"/>
      <c r="N264" s="86"/>
      <c r="O264" s="86"/>
      <c r="P264" s="86"/>
      <c r="Q264" s="86"/>
      <c r="R264" s="86"/>
      <c r="S264" s="86"/>
      <c r="T264" s="86"/>
      <c r="U264" s="86"/>
      <c r="V264" s="86"/>
      <c r="W264" s="86"/>
      <c r="X264" s="86"/>
      <c r="Y264" s="86"/>
      <c r="Z264" s="86"/>
    </row>
    <row r="265" ht="15.75" customHeight="1">
      <c r="H265" s="86"/>
      <c r="I265" s="86"/>
      <c r="J265" s="86"/>
      <c r="K265" s="86"/>
      <c r="L265" s="86"/>
      <c r="M265" s="86"/>
      <c r="N265" s="86"/>
      <c r="O265" s="86"/>
      <c r="P265" s="86"/>
      <c r="Q265" s="86"/>
      <c r="R265" s="86"/>
      <c r="S265" s="86"/>
      <c r="T265" s="86"/>
      <c r="U265" s="86"/>
      <c r="V265" s="86"/>
      <c r="W265" s="86"/>
      <c r="X265" s="86"/>
      <c r="Y265" s="86"/>
      <c r="Z265" s="86"/>
    </row>
    <row r="266" ht="15.75" customHeight="1">
      <c r="H266" s="86"/>
      <c r="I266" s="86"/>
      <c r="J266" s="86"/>
      <c r="K266" s="86"/>
      <c r="L266" s="86"/>
      <c r="M266" s="86"/>
      <c r="N266" s="86"/>
      <c r="O266" s="86"/>
      <c r="P266" s="86"/>
      <c r="Q266" s="86"/>
      <c r="R266" s="86"/>
      <c r="S266" s="86"/>
      <c r="T266" s="86"/>
      <c r="U266" s="86"/>
      <c r="V266" s="86"/>
      <c r="W266" s="86"/>
      <c r="X266" s="86"/>
      <c r="Y266" s="86"/>
      <c r="Z266" s="86"/>
    </row>
    <row r="267" ht="15.75" customHeight="1">
      <c r="H267" s="86"/>
      <c r="I267" s="86"/>
      <c r="J267" s="86"/>
      <c r="K267" s="86"/>
      <c r="L267" s="86"/>
      <c r="M267" s="86"/>
      <c r="N267" s="86"/>
      <c r="O267" s="86"/>
      <c r="P267" s="86"/>
      <c r="Q267" s="86"/>
      <c r="R267" s="86"/>
      <c r="S267" s="86"/>
      <c r="T267" s="86"/>
      <c r="U267" s="86"/>
      <c r="V267" s="86"/>
      <c r="W267" s="86"/>
      <c r="X267" s="86"/>
      <c r="Y267" s="86"/>
      <c r="Z267" s="86"/>
    </row>
    <row r="268" ht="15.75" customHeight="1">
      <c r="H268" s="86"/>
      <c r="I268" s="86"/>
      <c r="J268" s="86"/>
      <c r="K268" s="86"/>
      <c r="L268" s="86"/>
      <c r="M268" s="86"/>
      <c r="N268" s="86"/>
      <c r="O268" s="86"/>
      <c r="P268" s="86"/>
      <c r="Q268" s="86"/>
      <c r="R268" s="86"/>
      <c r="S268" s="86"/>
      <c r="T268" s="86"/>
      <c r="U268" s="86"/>
      <c r="V268" s="86"/>
      <c r="W268" s="86"/>
      <c r="X268" s="86"/>
      <c r="Y268" s="86"/>
      <c r="Z268" s="86"/>
    </row>
    <row r="269" ht="15.75" customHeight="1">
      <c r="H269" s="86"/>
      <c r="I269" s="86"/>
      <c r="J269" s="86"/>
      <c r="K269" s="86"/>
      <c r="L269" s="86"/>
      <c r="M269" s="86"/>
      <c r="N269" s="86"/>
      <c r="O269" s="86"/>
      <c r="P269" s="86"/>
      <c r="Q269" s="86"/>
      <c r="R269" s="86"/>
      <c r="S269" s="86"/>
      <c r="T269" s="86"/>
      <c r="U269" s="86"/>
      <c r="V269" s="86"/>
      <c r="W269" s="86"/>
      <c r="X269" s="86"/>
      <c r="Y269" s="86"/>
      <c r="Z269" s="86"/>
    </row>
    <row r="270" ht="15.75" customHeight="1">
      <c r="H270" s="86"/>
      <c r="I270" s="86"/>
      <c r="J270" s="86"/>
      <c r="K270" s="86"/>
      <c r="L270" s="86"/>
      <c r="M270" s="86"/>
      <c r="N270" s="86"/>
      <c r="O270" s="86"/>
      <c r="P270" s="86"/>
      <c r="Q270" s="86"/>
      <c r="R270" s="86"/>
      <c r="S270" s="86"/>
      <c r="T270" s="86"/>
      <c r="U270" s="86"/>
      <c r="V270" s="86"/>
      <c r="W270" s="86"/>
      <c r="X270" s="86"/>
      <c r="Y270" s="86"/>
      <c r="Z270" s="86"/>
    </row>
    <row r="271" ht="15.75" customHeight="1">
      <c r="H271" s="86"/>
      <c r="I271" s="86"/>
      <c r="J271" s="86"/>
      <c r="K271" s="86"/>
      <c r="L271" s="86"/>
      <c r="M271" s="86"/>
      <c r="N271" s="86"/>
      <c r="O271" s="86"/>
      <c r="P271" s="86"/>
      <c r="Q271" s="86"/>
      <c r="R271" s="86"/>
      <c r="S271" s="86"/>
      <c r="T271" s="86"/>
      <c r="U271" s="86"/>
      <c r="V271" s="86"/>
      <c r="W271" s="86"/>
      <c r="X271" s="86"/>
      <c r="Y271" s="86"/>
      <c r="Z271" s="86"/>
    </row>
    <row r="272" ht="15.75" customHeight="1">
      <c r="H272" s="86"/>
      <c r="I272" s="86"/>
      <c r="J272" s="86"/>
      <c r="K272" s="86"/>
      <c r="L272" s="86"/>
      <c r="M272" s="86"/>
      <c r="N272" s="86"/>
      <c r="O272" s="86"/>
      <c r="P272" s="86"/>
      <c r="Q272" s="86"/>
      <c r="R272" s="86"/>
      <c r="S272" s="86"/>
      <c r="T272" s="86"/>
      <c r="U272" s="86"/>
      <c r="V272" s="86"/>
      <c r="W272" s="86"/>
      <c r="X272" s="86"/>
      <c r="Y272" s="86"/>
      <c r="Z272" s="86"/>
    </row>
    <row r="273" ht="15.75" customHeight="1">
      <c r="H273" s="86"/>
      <c r="I273" s="86"/>
      <c r="J273" s="86"/>
      <c r="K273" s="86"/>
      <c r="L273" s="86"/>
      <c r="M273" s="86"/>
      <c r="N273" s="86"/>
      <c r="O273" s="86"/>
      <c r="P273" s="86"/>
      <c r="Q273" s="86"/>
      <c r="R273" s="86"/>
      <c r="S273" s="86"/>
      <c r="T273" s="86"/>
      <c r="U273" s="86"/>
      <c r="V273" s="86"/>
      <c r="W273" s="86"/>
      <c r="X273" s="86"/>
      <c r="Y273" s="86"/>
      <c r="Z273" s="86"/>
    </row>
    <row r="274" ht="15.75" customHeight="1">
      <c r="H274" s="86"/>
      <c r="I274" s="86"/>
      <c r="J274" s="86"/>
      <c r="K274" s="86"/>
      <c r="L274" s="86"/>
      <c r="M274" s="86"/>
      <c r="N274" s="86"/>
      <c r="O274" s="86"/>
      <c r="P274" s="86"/>
      <c r="Q274" s="86"/>
      <c r="R274" s="86"/>
      <c r="S274" s="86"/>
      <c r="T274" s="86"/>
      <c r="U274" s="86"/>
      <c r="V274" s="86"/>
      <c r="W274" s="86"/>
      <c r="X274" s="86"/>
      <c r="Y274" s="86"/>
      <c r="Z274" s="86"/>
    </row>
    <row r="275" ht="15.75" customHeight="1">
      <c r="H275" s="86"/>
      <c r="I275" s="86"/>
      <c r="J275" s="86"/>
      <c r="K275" s="86"/>
      <c r="L275" s="86"/>
      <c r="M275" s="86"/>
      <c r="N275" s="86"/>
      <c r="O275" s="86"/>
      <c r="P275" s="86"/>
      <c r="Q275" s="86"/>
      <c r="R275" s="86"/>
      <c r="S275" s="86"/>
      <c r="T275" s="86"/>
      <c r="U275" s="86"/>
      <c r="V275" s="86"/>
      <c r="W275" s="86"/>
      <c r="X275" s="86"/>
      <c r="Y275" s="86"/>
      <c r="Z275" s="86"/>
    </row>
    <row r="276" ht="15.75" customHeight="1">
      <c r="H276" s="86"/>
      <c r="I276" s="86"/>
      <c r="J276" s="86"/>
      <c r="K276" s="86"/>
      <c r="L276" s="86"/>
      <c r="M276" s="86"/>
      <c r="N276" s="86"/>
      <c r="O276" s="86"/>
      <c r="P276" s="86"/>
      <c r="Q276" s="86"/>
      <c r="R276" s="86"/>
      <c r="S276" s="86"/>
      <c r="T276" s="86"/>
      <c r="U276" s="86"/>
      <c r="V276" s="86"/>
      <c r="W276" s="86"/>
      <c r="X276" s="86"/>
      <c r="Y276" s="86"/>
      <c r="Z276" s="86"/>
    </row>
    <row r="277" ht="15.75" customHeight="1">
      <c r="H277" s="86"/>
      <c r="I277" s="86"/>
      <c r="J277" s="86"/>
      <c r="K277" s="86"/>
      <c r="L277" s="86"/>
      <c r="M277" s="86"/>
      <c r="N277" s="86"/>
      <c r="O277" s="86"/>
      <c r="P277" s="86"/>
      <c r="Q277" s="86"/>
      <c r="R277" s="86"/>
      <c r="S277" s="86"/>
      <c r="T277" s="86"/>
      <c r="U277" s="86"/>
      <c r="V277" s="86"/>
      <c r="W277" s="86"/>
      <c r="X277" s="86"/>
      <c r="Y277" s="86"/>
      <c r="Z277" s="86"/>
    </row>
    <row r="278" ht="15.75" customHeight="1">
      <c r="H278" s="86"/>
      <c r="I278" s="86"/>
      <c r="J278" s="86"/>
      <c r="K278" s="86"/>
      <c r="L278" s="86"/>
      <c r="M278" s="86"/>
      <c r="N278" s="86"/>
      <c r="O278" s="86"/>
      <c r="P278" s="86"/>
      <c r="Q278" s="86"/>
      <c r="R278" s="86"/>
      <c r="S278" s="86"/>
      <c r="T278" s="86"/>
      <c r="U278" s="86"/>
      <c r="V278" s="86"/>
      <c r="W278" s="86"/>
      <c r="X278" s="86"/>
      <c r="Y278" s="86"/>
      <c r="Z278" s="86"/>
    </row>
    <row r="279" ht="15.75" customHeight="1">
      <c r="H279" s="86"/>
      <c r="I279" s="86"/>
      <c r="J279" s="86"/>
      <c r="K279" s="86"/>
      <c r="L279" s="86"/>
      <c r="M279" s="86"/>
      <c r="N279" s="86"/>
      <c r="O279" s="86"/>
      <c r="P279" s="86"/>
      <c r="Q279" s="86"/>
      <c r="R279" s="86"/>
      <c r="S279" s="86"/>
      <c r="T279" s="86"/>
      <c r="U279" s="86"/>
      <c r="V279" s="86"/>
      <c r="W279" s="86"/>
      <c r="X279" s="86"/>
      <c r="Y279" s="86"/>
      <c r="Z279" s="86"/>
    </row>
    <row r="280" ht="15.75" customHeight="1">
      <c r="H280" s="86"/>
      <c r="I280" s="86"/>
      <c r="J280" s="86"/>
      <c r="K280" s="86"/>
      <c r="L280" s="86"/>
      <c r="M280" s="86"/>
      <c r="N280" s="86"/>
      <c r="O280" s="86"/>
      <c r="P280" s="86"/>
      <c r="Q280" s="86"/>
      <c r="R280" s="86"/>
      <c r="S280" s="86"/>
      <c r="T280" s="86"/>
      <c r="U280" s="86"/>
      <c r="V280" s="86"/>
      <c r="W280" s="86"/>
      <c r="X280" s="86"/>
      <c r="Y280" s="86"/>
      <c r="Z280" s="86"/>
    </row>
    <row r="281" ht="15.75" customHeight="1">
      <c r="H281" s="86"/>
      <c r="I281" s="86"/>
      <c r="J281" s="86"/>
      <c r="K281" s="86"/>
      <c r="L281" s="86"/>
      <c r="M281" s="86"/>
      <c r="N281" s="86"/>
      <c r="O281" s="86"/>
      <c r="P281" s="86"/>
      <c r="Q281" s="86"/>
      <c r="R281" s="86"/>
      <c r="S281" s="86"/>
      <c r="T281" s="86"/>
      <c r="U281" s="86"/>
      <c r="V281" s="86"/>
      <c r="W281" s="86"/>
      <c r="X281" s="86"/>
      <c r="Y281" s="86"/>
      <c r="Z281" s="86"/>
    </row>
    <row r="282" ht="15.75" customHeight="1">
      <c r="H282" s="86"/>
      <c r="I282" s="86"/>
      <c r="J282" s="86"/>
      <c r="K282" s="86"/>
      <c r="L282" s="86"/>
      <c r="M282" s="86"/>
      <c r="N282" s="86"/>
      <c r="O282" s="86"/>
      <c r="P282" s="86"/>
      <c r="Q282" s="86"/>
      <c r="R282" s="86"/>
      <c r="S282" s="86"/>
      <c r="T282" s="86"/>
      <c r="U282" s="86"/>
      <c r="V282" s="86"/>
      <c r="W282" s="86"/>
      <c r="X282" s="86"/>
      <c r="Y282" s="86"/>
      <c r="Z282" s="86"/>
    </row>
    <row r="283" ht="15.75" customHeight="1">
      <c r="H283" s="86"/>
      <c r="I283" s="86"/>
      <c r="J283" s="86"/>
      <c r="K283" s="86"/>
      <c r="L283" s="86"/>
      <c r="M283" s="86"/>
      <c r="N283" s="86"/>
      <c r="O283" s="86"/>
      <c r="P283" s="86"/>
      <c r="Q283" s="86"/>
      <c r="R283" s="86"/>
      <c r="S283" s="86"/>
      <c r="T283" s="86"/>
      <c r="U283" s="86"/>
      <c r="V283" s="86"/>
      <c r="W283" s="86"/>
      <c r="X283" s="86"/>
      <c r="Y283" s="86"/>
      <c r="Z283" s="86"/>
    </row>
    <row r="284" ht="15.75" customHeight="1">
      <c r="H284" s="86"/>
      <c r="I284" s="86"/>
      <c r="J284" s="86"/>
      <c r="K284" s="86"/>
      <c r="L284" s="86"/>
      <c r="M284" s="86"/>
      <c r="N284" s="86"/>
      <c r="O284" s="86"/>
      <c r="P284" s="86"/>
      <c r="Q284" s="86"/>
      <c r="R284" s="86"/>
      <c r="S284" s="86"/>
      <c r="T284" s="86"/>
      <c r="U284" s="86"/>
      <c r="V284" s="86"/>
      <c r="W284" s="86"/>
      <c r="X284" s="86"/>
      <c r="Y284" s="86"/>
      <c r="Z284" s="86"/>
    </row>
    <row r="285" ht="15.75" customHeight="1">
      <c r="H285" s="86"/>
      <c r="I285" s="86"/>
      <c r="J285" s="86"/>
      <c r="K285" s="86"/>
      <c r="L285" s="86"/>
      <c r="M285" s="86"/>
      <c r="N285" s="86"/>
      <c r="O285" s="86"/>
      <c r="P285" s="86"/>
      <c r="Q285" s="86"/>
      <c r="R285" s="86"/>
      <c r="S285" s="86"/>
      <c r="T285" s="86"/>
      <c r="U285" s="86"/>
      <c r="V285" s="86"/>
      <c r="W285" s="86"/>
      <c r="X285" s="86"/>
      <c r="Y285" s="86"/>
      <c r="Z285" s="86"/>
    </row>
    <row r="286" ht="15.75" customHeight="1">
      <c r="H286" s="86"/>
      <c r="I286" s="86"/>
      <c r="J286" s="86"/>
      <c r="K286" s="86"/>
      <c r="L286" s="86"/>
      <c r="M286" s="86"/>
      <c r="N286" s="86"/>
      <c r="O286" s="86"/>
      <c r="P286" s="86"/>
      <c r="Q286" s="86"/>
      <c r="R286" s="86"/>
      <c r="S286" s="86"/>
      <c r="T286" s="86"/>
      <c r="U286" s="86"/>
      <c r="V286" s="86"/>
      <c r="W286" s="86"/>
      <c r="X286" s="86"/>
      <c r="Y286" s="86"/>
      <c r="Z286" s="86"/>
    </row>
    <row r="287" ht="15.75" customHeight="1">
      <c r="H287" s="86"/>
      <c r="I287" s="86"/>
      <c r="J287" s="86"/>
      <c r="K287" s="86"/>
      <c r="L287" s="86"/>
      <c r="M287" s="86"/>
      <c r="N287" s="86"/>
      <c r="O287" s="86"/>
      <c r="P287" s="86"/>
      <c r="Q287" s="86"/>
      <c r="R287" s="86"/>
      <c r="S287" s="86"/>
      <c r="T287" s="86"/>
      <c r="U287" s="86"/>
      <c r="V287" s="86"/>
      <c r="W287" s="86"/>
      <c r="X287" s="86"/>
      <c r="Y287" s="86"/>
      <c r="Z287" s="86"/>
    </row>
    <row r="288" ht="15.75" customHeight="1">
      <c r="H288" s="86"/>
      <c r="I288" s="86"/>
      <c r="J288" s="86"/>
      <c r="K288" s="86"/>
      <c r="L288" s="86"/>
      <c r="M288" s="86"/>
      <c r="N288" s="86"/>
      <c r="O288" s="86"/>
      <c r="P288" s="86"/>
      <c r="Q288" s="86"/>
      <c r="R288" s="86"/>
      <c r="S288" s="86"/>
      <c r="T288" s="86"/>
      <c r="U288" s="86"/>
      <c r="V288" s="86"/>
      <c r="W288" s="86"/>
      <c r="X288" s="86"/>
      <c r="Y288" s="86"/>
      <c r="Z288" s="86"/>
    </row>
    <row r="289" ht="15.75" customHeight="1">
      <c r="H289" s="86"/>
      <c r="I289" s="86"/>
      <c r="J289" s="86"/>
      <c r="K289" s="86"/>
      <c r="L289" s="86"/>
      <c r="M289" s="86"/>
      <c r="N289" s="86"/>
      <c r="O289" s="86"/>
      <c r="P289" s="86"/>
      <c r="Q289" s="86"/>
      <c r="R289" s="86"/>
      <c r="S289" s="86"/>
      <c r="T289" s="86"/>
      <c r="U289" s="86"/>
      <c r="V289" s="86"/>
      <c r="W289" s="86"/>
      <c r="X289" s="86"/>
      <c r="Y289" s="86"/>
      <c r="Z289" s="86"/>
    </row>
    <row r="290" ht="15.75" customHeight="1">
      <c r="H290" s="86"/>
      <c r="I290" s="86"/>
      <c r="J290" s="86"/>
      <c r="K290" s="86"/>
      <c r="L290" s="86"/>
      <c r="M290" s="86"/>
      <c r="N290" s="86"/>
      <c r="O290" s="86"/>
      <c r="P290" s="86"/>
      <c r="Q290" s="86"/>
      <c r="R290" s="86"/>
      <c r="S290" s="86"/>
      <c r="T290" s="86"/>
      <c r="U290" s="86"/>
      <c r="V290" s="86"/>
      <c r="W290" s="86"/>
      <c r="X290" s="86"/>
      <c r="Y290" s="86"/>
      <c r="Z290" s="86"/>
    </row>
    <row r="291" ht="15.75" customHeight="1">
      <c r="H291" s="86"/>
      <c r="I291" s="86"/>
      <c r="J291" s="86"/>
      <c r="K291" s="86"/>
      <c r="L291" s="86"/>
      <c r="M291" s="86"/>
      <c r="N291" s="86"/>
      <c r="O291" s="86"/>
      <c r="P291" s="86"/>
      <c r="Q291" s="86"/>
      <c r="R291" s="86"/>
      <c r="S291" s="86"/>
      <c r="T291" s="86"/>
      <c r="U291" s="86"/>
      <c r="V291" s="86"/>
      <c r="W291" s="86"/>
      <c r="X291" s="86"/>
      <c r="Y291" s="86"/>
      <c r="Z291" s="86"/>
    </row>
    <row r="292" ht="15.75" customHeight="1">
      <c r="H292" s="86"/>
      <c r="I292" s="86"/>
      <c r="J292" s="86"/>
      <c r="K292" s="86"/>
      <c r="L292" s="86"/>
      <c r="M292" s="86"/>
      <c r="N292" s="86"/>
      <c r="O292" s="86"/>
      <c r="P292" s="86"/>
      <c r="Q292" s="86"/>
      <c r="R292" s="86"/>
      <c r="S292" s="86"/>
      <c r="T292" s="86"/>
      <c r="U292" s="86"/>
      <c r="V292" s="86"/>
      <c r="W292" s="86"/>
      <c r="X292" s="86"/>
      <c r="Y292" s="86"/>
      <c r="Z292" s="86"/>
    </row>
    <row r="293" ht="15.75" customHeight="1">
      <c r="H293" s="86"/>
      <c r="I293" s="86"/>
      <c r="J293" s="86"/>
      <c r="K293" s="86"/>
      <c r="L293" s="86"/>
      <c r="M293" s="86"/>
      <c r="N293" s="86"/>
      <c r="O293" s="86"/>
      <c r="P293" s="86"/>
      <c r="Q293" s="86"/>
      <c r="R293" s="86"/>
      <c r="S293" s="86"/>
      <c r="T293" s="86"/>
      <c r="U293" s="86"/>
      <c r="V293" s="86"/>
      <c r="W293" s="86"/>
      <c r="X293" s="86"/>
      <c r="Y293" s="86"/>
      <c r="Z293" s="86"/>
    </row>
    <row r="294" ht="15.75" customHeight="1">
      <c r="H294" s="86"/>
      <c r="I294" s="86"/>
      <c r="J294" s="86"/>
      <c r="K294" s="86"/>
      <c r="L294" s="86"/>
      <c r="M294" s="86"/>
      <c r="N294" s="86"/>
      <c r="O294" s="86"/>
      <c r="P294" s="86"/>
      <c r="Q294" s="86"/>
      <c r="R294" s="86"/>
      <c r="S294" s="86"/>
      <c r="T294" s="86"/>
      <c r="U294" s="86"/>
      <c r="V294" s="86"/>
      <c r="W294" s="86"/>
      <c r="X294" s="86"/>
      <c r="Y294" s="86"/>
      <c r="Z294" s="86"/>
    </row>
    <row r="295" ht="15.75" customHeight="1">
      <c r="H295" s="86"/>
      <c r="I295" s="86"/>
      <c r="J295" s="86"/>
      <c r="K295" s="86"/>
      <c r="L295" s="86"/>
      <c r="M295" s="86"/>
      <c r="N295" s="86"/>
      <c r="O295" s="86"/>
      <c r="P295" s="86"/>
      <c r="Q295" s="86"/>
      <c r="R295" s="86"/>
      <c r="S295" s="86"/>
      <c r="T295" s="86"/>
      <c r="U295" s="86"/>
      <c r="V295" s="86"/>
      <c r="W295" s="86"/>
      <c r="X295" s="86"/>
      <c r="Y295" s="86"/>
      <c r="Z295" s="86"/>
    </row>
    <row r="296" ht="15.75" customHeight="1">
      <c r="H296" s="86"/>
      <c r="I296" s="86"/>
      <c r="J296" s="86"/>
      <c r="K296" s="86"/>
      <c r="L296" s="86"/>
      <c r="M296" s="86"/>
      <c r="N296" s="86"/>
      <c r="O296" s="86"/>
      <c r="P296" s="86"/>
      <c r="Q296" s="86"/>
      <c r="R296" s="86"/>
      <c r="S296" s="86"/>
      <c r="T296" s="86"/>
      <c r="U296" s="86"/>
      <c r="V296" s="86"/>
      <c r="W296" s="86"/>
      <c r="X296" s="86"/>
      <c r="Y296" s="86"/>
      <c r="Z296" s="86"/>
    </row>
    <row r="297" ht="15.75" customHeight="1">
      <c r="H297" s="86"/>
      <c r="I297" s="86"/>
      <c r="J297" s="86"/>
      <c r="K297" s="86"/>
      <c r="L297" s="86"/>
      <c r="M297" s="86"/>
      <c r="N297" s="86"/>
      <c r="O297" s="86"/>
      <c r="P297" s="86"/>
      <c r="Q297" s="86"/>
      <c r="R297" s="86"/>
      <c r="S297" s="86"/>
      <c r="T297" s="86"/>
      <c r="U297" s="86"/>
      <c r="V297" s="86"/>
      <c r="W297" s="86"/>
      <c r="X297" s="86"/>
      <c r="Y297" s="86"/>
      <c r="Z297" s="86"/>
    </row>
    <row r="298" ht="15.75" customHeight="1">
      <c r="H298" s="86"/>
      <c r="I298" s="86"/>
      <c r="J298" s="86"/>
      <c r="K298" s="86"/>
      <c r="L298" s="86"/>
      <c r="M298" s="86"/>
      <c r="N298" s="86"/>
      <c r="O298" s="86"/>
      <c r="P298" s="86"/>
      <c r="Q298" s="86"/>
      <c r="R298" s="86"/>
      <c r="S298" s="86"/>
      <c r="T298" s="86"/>
      <c r="U298" s="86"/>
      <c r="V298" s="86"/>
      <c r="W298" s="86"/>
      <c r="X298" s="86"/>
      <c r="Y298" s="86"/>
      <c r="Z298" s="86"/>
    </row>
    <row r="299" ht="15.75" customHeight="1">
      <c r="H299" s="86"/>
      <c r="I299" s="86"/>
      <c r="J299" s="86"/>
      <c r="K299" s="86"/>
      <c r="L299" s="86"/>
      <c r="M299" s="86"/>
      <c r="N299" s="86"/>
      <c r="O299" s="86"/>
      <c r="P299" s="86"/>
      <c r="Q299" s="86"/>
      <c r="R299" s="86"/>
      <c r="S299" s="86"/>
      <c r="T299" s="86"/>
      <c r="U299" s="86"/>
      <c r="V299" s="86"/>
      <c r="W299" s="86"/>
      <c r="X299" s="86"/>
      <c r="Y299" s="86"/>
      <c r="Z299" s="86"/>
    </row>
    <row r="300" ht="15.75" customHeight="1">
      <c r="H300" s="86"/>
      <c r="I300" s="86"/>
      <c r="J300" s="86"/>
      <c r="K300" s="86"/>
      <c r="L300" s="86"/>
      <c r="M300" s="86"/>
      <c r="N300" s="86"/>
      <c r="O300" s="86"/>
      <c r="P300" s="86"/>
      <c r="Q300" s="86"/>
      <c r="R300" s="86"/>
      <c r="S300" s="86"/>
      <c r="T300" s="86"/>
      <c r="U300" s="86"/>
      <c r="V300" s="86"/>
      <c r="W300" s="86"/>
      <c r="X300" s="86"/>
      <c r="Y300" s="86"/>
      <c r="Z300" s="86"/>
    </row>
    <row r="301" ht="15.75" customHeight="1">
      <c r="H301" s="86"/>
      <c r="I301" s="86"/>
      <c r="J301" s="86"/>
      <c r="K301" s="86"/>
      <c r="L301" s="86"/>
      <c r="M301" s="86"/>
      <c r="N301" s="86"/>
      <c r="O301" s="86"/>
      <c r="P301" s="86"/>
      <c r="Q301" s="86"/>
      <c r="R301" s="86"/>
      <c r="S301" s="86"/>
      <c r="T301" s="86"/>
      <c r="U301" s="86"/>
      <c r="V301" s="86"/>
      <c r="W301" s="86"/>
      <c r="X301" s="86"/>
      <c r="Y301" s="86"/>
      <c r="Z301" s="86"/>
    </row>
    <row r="302" ht="15.75" customHeight="1">
      <c r="H302" s="86"/>
      <c r="I302" s="86"/>
      <c r="J302" s="86"/>
      <c r="K302" s="86"/>
      <c r="L302" s="86"/>
      <c r="M302" s="86"/>
      <c r="N302" s="86"/>
      <c r="O302" s="86"/>
      <c r="P302" s="86"/>
      <c r="Q302" s="86"/>
      <c r="R302" s="86"/>
      <c r="S302" s="86"/>
      <c r="T302" s="86"/>
      <c r="U302" s="86"/>
      <c r="V302" s="86"/>
      <c r="W302" s="86"/>
      <c r="X302" s="86"/>
      <c r="Y302" s="86"/>
      <c r="Z302" s="86"/>
    </row>
    <row r="303" ht="15.75" customHeight="1">
      <c r="H303" s="86"/>
      <c r="I303" s="86"/>
      <c r="J303" s="86"/>
      <c r="K303" s="86"/>
      <c r="L303" s="86"/>
      <c r="M303" s="86"/>
      <c r="N303" s="86"/>
      <c r="O303" s="86"/>
      <c r="P303" s="86"/>
      <c r="Q303" s="86"/>
      <c r="R303" s="86"/>
      <c r="S303" s="86"/>
      <c r="T303" s="86"/>
      <c r="U303" s="86"/>
      <c r="V303" s="86"/>
      <c r="W303" s="86"/>
      <c r="X303" s="86"/>
      <c r="Y303" s="86"/>
      <c r="Z303" s="86"/>
    </row>
    <row r="304" ht="15.75" customHeight="1">
      <c r="H304" s="86"/>
      <c r="I304" s="86"/>
      <c r="J304" s="86"/>
      <c r="K304" s="86"/>
      <c r="L304" s="86"/>
      <c r="M304" s="86"/>
      <c r="N304" s="86"/>
      <c r="O304" s="86"/>
      <c r="P304" s="86"/>
      <c r="Q304" s="86"/>
      <c r="R304" s="86"/>
      <c r="S304" s="86"/>
      <c r="T304" s="86"/>
      <c r="U304" s="86"/>
      <c r="V304" s="86"/>
      <c r="W304" s="86"/>
      <c r="X304" s="86"/>
      <c r="Y304" s="86"/>
      <c r="Z304" s="86"/>
    </row>
    <row r="305" ht="15.75" customHeight="1">
      <c r="H305" s="86"/>
      <c r="I305" s="86"/>
      <c r="J305" s="86"/>
      <c r="K305" s="86"/>
      <c r="L305" s="86"/>
      <c r="M305" s="86"/>
      <c r="N305" s="86"/>
      <c r="O305" s="86"/>
      <c r="P305" s="86"/>
      <c r="Q305" s="86"/>
      <c r="R305" s="86"/>
      <c r="S305" s="86"/>
      <c r="T305" s="86"/>
      <c r="U305" s="86"/>
      <c r="V305" s="86"/>
      <c r="W305" s="86"/>
      <c r="X305" s="86"/>
      <c r="Y305" s="86"/>
      <c r="Z305" s="86"/>
    </row>
    <row r="306" ht="15.75" customHeight="1">
      <c r="H306" s="86"/>
      <c r="I306" s="86"/>
      <c r="J306" s="86"/>
      <c r="K306" s="86"/>
      <c r="L306" s="86"/>
      <c r="M306" s="86"/>
      <c r="N306" s="86"/>
      <c r="O306" s="86"/>
      <c r="P306" s="86"/>
      <c r="Q306" s="86"/>
      <c r="R306" s="86"/>
      <c r="S306" s="86"/>
      <c r="T306" s="86"/>
      <c r="U306" s="86"/>
      <c r="V306" s="86"/>
      <c r="W306" s="86"/>
      <c r="X306" s="86"/>
      <c r="Y306" s="86"/>
      <c r="Z306" s="86"/>
    </row>
    <row r="307" ht="15.75" customHeight="1">
      <c r="H307" s="86"/>
      <c r="I307" s="86"/>
      <c r="J307" s="86"/>
      <c r="K307" s="86"/>
      <c r="L307" s="86"/>
      <c r="M307" s="86"/>
      <c r="N307" s="86"/>
      <c r="O307" s="86"/>
      <c r="P307" s="86"/>
      <c r="Q307" s="86"/>
      <c r="R307" s="86"/>
      <c r="S307" s="86"/>
      <c r="T307" s="86"/>
      <c r="U307" s="86"/>
      <c r="V307" s="86"/>
      <c r="W307" s="86"/>
      <c r="X307" s="86"/>
      <c r="Y307" s="86"/>
      <c r="Z307" s="86"/>
    </row>
    <row r="308" ht="15.75" customHeight="1">
      <c r="H308" s="86"/>
      <c r="I308" s="86"/>
      <c r="J308" s="86"/>
      <c r="K308" s="86"/>
      <c r="L308" s="86"/>
      <c r="M308" s="86"/>
      <c r="N308" s="86"/>
      <c r="O308" s="86"/>
      <c r="P308" s="86"/>
      <c r="Q308" s="86"/>
      <c r="R308" s="86"/>
      <c r="S308" s="86"/>
      <c r="T308" s="86"/>
      <c r="U308" s="86"/>
      <c r="V308" s="86"/>
      <c r="W308" s="86"/>
      <c r="X308" s="86"/>
      <c r="Y308" s="86"/>
      <c r="Z308" s="86"/>
    </row>
    <row r="309" ht="15.75" customHeight="1">
      <c r="H309" s="86"/>
      <c r="I309" s="86"/>
      <c r="J309" s="86"/>
      <c r="K309" s="86"/>
      <c r="L309" s="86"/>
      <c r="M309" s="86"/>
      <c r="N309" s="86"/>
      <c r="O309" s="86"/>
      <c r="P309" s="86"/>
      <c r="Q309" s="86"/>
      <c r="R309" s="86"/>
      <c r="S309" s="86"/>
      <c r="T309" s="86"/>
      <c r="U309" s="86"/>
      <c r="V309" s="86"/>
      <c r="W309" s="86"/>
      <c r="X309" s="86"/>
      <c r="Y309" s="86"/>
      <c r="Z309" s="86"/>
    </row>
    <row r="310" ht="15.75" customHeight="1">
      <c r="H310" s="86"/>
      <c r="I310" s="86"/>
      <c r="J310" s="86"/>
      <c r="K310" s="86"/>
      <c r="L310" s="86"/>
      <c r="M310" s="86"/>
      <c r="N310" s="86"/>
      <c r="O310" s="86"/>
      <c r="P310" s="86"/>
      <c r="Q310" s="86"/>
      <c r="R310" s="86"/>
      <c r="S310" s="86"/>
      <c r="T310" s="86"/>
      <c r="U310" s="86"/>
      <c r="V310" s="86"/>
      <c r="W310" s="86"/>
      <c r="X310" s="86"/>
      <c r="Y310" s="86"/>
      <c r="Z310" s="86"/>
    </row>
    <row r="311" ht="15.75" customHeight="1">
      <c r="H311" s="86"/>
      <c r="I311" s="86"/>
      <c r="J311" s="86"/>
      <c r="K311" s="86"/>
      <c r="L311" s="86"/>
      <c r="M311" s="86"/>
      <c r="N311" s="86"/>
      <c r="O311" s="86"/>
      <c r="P311" s="86"/>
      <c r="Q311" s="86"/>
      <c r="R311" s="86"/>
      <c r="S311" s="86"/>
      <c r="T311" s="86"/>
      <c r="U311" s="86"/>
      <c r="V311" s="86"/>
      <c r="W311" s="86"/>
      <c r="X311" s="86"/>
      <c r="Y311" s="86"/>
      <c r="Z311" s="86"/>
    </row>
    <row r="312" ht="15.75" customHeight="1">
      <c r="H312" s="86"/>
      <c r="I312" s="86"/>
      <c r="J312" s="86"/>
      <c r="K312" s="86"/>
      <c r="L312" s="86"/>
      <c r="M312" s="86"/>
      <c r="N312" s="86"/>
      <c r="O312" s="86"/>
      <c r="P312" s="86"/>
      <c r="Q312" s="86"/>
      <c r="R312" s="86"/>
      <c r="S312" s="86"/>
      <c r="T312" s="86"/>
      <c r="U312" s="86"/>
      <c r="V312" s="86"/>
      <c r="W312" s="86"/>
      <c r="X312" s="86"/>
      <c r="Y312" s="86"/>
      <c r="Z312" s="86"/>
    </row>
    <row r="313" ht="15.75" customHeight="1">
      <c r="H313" s="86"/>
      <c r="I313" s="86"/>
      <c r="J313" s="86"/>
      <c r="K313" s="86"/>
      <c r="L313" s="86"/>
      <c r="M313" s="86"/>
      <c r="N313" s="86"/>
      <c r="O313" s="86"/>
      <c r="P313" s="86"/>
      <c r="Q313" s="86"/>
      <c r="R313" s="86"/>
      <c r="S313" s="86"/>
      <c r="T313" s="86"/>
      <c r="U313" s="86"/>
      <c r="V313" s="86"/>
      <c r="W313" s="86"/>
      <c r="X313" s="86"/>
      <c r="Y313" s="86"/>
      <c r="Z313" s="86"/>
    </row>
    <row r="314" ht="15.75" customHeight="1">
      <c r="H314" s="86"/>
      <c r="I314" s="86"/>
      <c r="J314" s="86"/>
      <c r="K314" s="86"/>
      <c r="L314" s="86"/>
      <c r="M314" s="86"/>
      <c r="N314" s="86"/>
      <c r="O314" s="86"/>
      <c r="P314" s="86"/>
      <c r="Q314" s="86"/>
      <c r="R314" s="86"/>
      <c r="S314" s="86"/>
      <c r="T314" s="86"/>
      <c r="U314" s="86"/>
      <c r="V314" s="86"/>
      <c r="W314" s="86"/>
      <c r="X314" s="86"/>
      <c r="Y314" s="86"/>
      <c r="Z314" s="86"/>
    </row>
    <row r="315" ht="15.75" customHeight="1">
      <c r="H315" s="86"/>
      <c r="I315" s="86"/>
      <c r="J315" s="86"/>
      <c r="K315" s="86"/>
      <c r="L315" s="86"/>
      <c r="M315" s="86"/>
      <c r="N315" s="86"/>
      <c r="O315" s="86"/>
      <c r="P315" s="86"/>
      <c r="Q315" s="86"/>
      <c r="R315" s="86"/>
      <c r="S315" s="86"/>
      <c r="T315" s="86"/>
      <c r="U315" s="86"/>
      <c r="V315" s="86"/>
      <c r="W315" s="86"/>
      <c r="X315" s="86"/>
      <c r="Y315" s="86"/>
      <c r="Z315" s="86"/>
    </row>
    <row r="316" ht="15.75" customHeight="1">
      <c r="H316" s="86"/>
      <c r="I316" s="86"/>
      <c r="J316" s="86"/>
      <c r="K316" s="86"/>
      <c r="L316" s="86"/>
      <c r="M316" s="86"/>
      <c r="N316" s="86"/>
      <c r="O316" s="86"/>
      <c r="P316" s="86"/>
      <c r="Q316" s="86"/>
      <c r="R316" s="86"/>
      <c r="S316" s="86"/>
      <c r="T316" s="86"/>
      <c r="U316" s="86"/>
      <c r="V316" s="86"/>
      <c r="W316" s="86"/>
      <c r="X316" s="86"/>
      <c r="Y316" s="86"/>
      <c r="Z316" s="86"/>
    </row>
    <row r="317" ht="15.75" customHeight="1">
      <c r="H317" s="86"/>
      <c r="I317" s="86"/>
      <c r="J317" s="86"/>
      <c r="K317" s="86"/>
      <c r="L317" s="86"/>
      <c r="M317" s="86"/>
      <c r="N317" s="86"/>
      <c r="O317" s="86"/>
      <c r="P317" s="86"/>
      <c r="Q317" s="86"/>
      <c r="R317" s="86"/>
      <c r="S317" s="86"/>
      <c r="T317" s="86"/>
      <c r="U317" s="86"/>
      <c r="V317" s="86"/>
      <c r="W317" s="86"/>
      <c r="X317" s="86"/>
      <c r="Y317" s="86"/>
      <c r="Z317" s="86"/>
    </row>
    <row r="318" ht="15.75" customHeight="1">
      <c r="H318" s="86"/>
      <c r="I318" s="86"/>
      <c r="J318" s="86"/>
      <c r="K318" s="86"/>
      <c r="L318" s="86"/>
      <c r="M318" s="86"/>
      <c r="N318" s="86"/>
      <c r="O318" s="86"/>
      <c r="P318" s="86"/>
      <c r="Q318" s="86"/>
      <c r="R318" s="86"/>
      <c r="S318" s="86"/>
      <c r="T318" s="86"/>
      <c r="U318" s="86"/>
      <c r="V318" s="86"/>
      <c r="W318" s="86"/>
      <c r="X318" s="86"/>
      <c r="Y318" s="86"/>
      <c r="Z318" s="86"/>
    </row>
    <row r="319" ht="15.75" customHeight="1">
      <c r="H319" s="86"/>
      <c r="I319" s="86"/>
      <c r="J319" s="86"/>
      <c r="K319" s="86"/>
      <c r="L319" s="86"/>
      <c r="M319" s="86"/>
      <c r="N319" s="86"/>
      <c r="O319" s="86"/>
      <c r="P319" s="86"/>
      <c r="Q319" s="86"/>
      <c r="R319" s="86"/>
      <c r="S319" s="86"/>
      <c r="T319" s="86"/>
      <c r="U319" s="86"/>
      <c r="V319" s="86"/>
      <c r="W319" s="86"/>
      <c r="X319" s="86"/>
      <c r="Y319" s="86"/>
      <c r="Z319" s="86"/>
    </row>
    <row r="320" ht="15.75" customHeight="1">
      <c r="H320" s="86"/>
      <c r="I320" s="86"/>
      <c r="J320" s="86"/>
      <c r="K320" s="86"/>
      <c r="L320" s="86"/>
      <c r="M320" s="86"/>
      <c r="N320" s="86"/>
      <c r="O320" s="86"/>
      <c r="P320" s="86"/>
      <c r="Q320" s="86"/>
      <c r="R320" s="86"/>
      <c r="S320" s="86"/>
      <c r="T320" s="86"/>
      <c r="U320" s="86"/>
      <c r="V320" s="86"/>
      <c r="W320" s="86"/>
      <c r="X320" s="86"/>
      <c r="Y320" s="86"/>
      <c r="Z320" s="86"/>
    </row>
    <row r="321" ht="15.75" customHeight="1">
      <c r="H321" s="86"/>
      <c r="I321" s="86"/>
      <c r="J321" s="86"/>
      <c r="K321" s="86"/>
      <c r="L321" s="86"/>
      <c r="M321" s="86"/>
      <c r="N321" s="86"/>
      <c r="O321" s="86"/>
      <c r="P321" s="86"/>
      <c r="Q321" s="86"/>
      <c r="R321" s="86"/>
      <c r="S321" s="86"/>
      <c r="T321" s="86"/>
      <c r="U321" s="86"/>
      <c r="V321" s="86"/>
      <c r="W321" s="86"/>
      <c r="X321" s="86"/>
      <c r="Y321" s="86"/>
      <c r="Z321" s="86"/>
    </row>
    <row r="322" ht="15.75" customHeight="1">
      <c r="H322" s="86"/>
      <c r="I322" s="86"/>
      <c r="J322" s="86"/>
      <c r="K322" s="86"/>
      <c r="L322" s="86"/>
      <c r="M322" s="86"/>
      <c r="N322" s="86"/>
      <c r="O322" s="86"/>
      <c r="P322" s="86"/>
      <c r="Q322" s="86"/>
      <c r="R322" s="86"/>
      <c r="S322" s="86"/>
      <c r="T322" s="86"/>
      <c r="U322" s="86"/>
      <c r="V322" s="86"/>
      <c r="W322" s="86"/>
      <c r="X322" s="86"/>
      <c r="Y322" s="86"/>
      <c r="Z322" s="86"/>
    </row>
    <row r="323" ht="15.75" customHeight="1">
      <c r="H323" s="86"/>
      <c r="I323" s="86"/>
      <c r="J323" s="86"/>
      <c r="K323" s="86"/>
      <c r="L323" s="86"/>
      <c r="M323" s="86"/>
      <c r="N323" s="86"/>
      <c r="O323" s="86"/>
      <c r="P323" s="86"/>
      <c r="Q323" s="86"/>
      <c r="R323" s="86"/>
      <c r="S323" s="86"/>
      <c r="T323" s="86"/>
      <c r="U323" s="86"/>
      <c r="V323" s="86"/>
      <c r="W323" s="86"/>
      <c r="X323" s="86"/>
      <c r="Y323" s="86"/>
      <c r="Z323" s="86"/>
    </row>
    <row r="324" ht="15.75" customHeight="1">
      <c r="H324" s="86"/>
      <c r="I324" s="86"/>
      <c r="J324" s="86"/>
      <c r="K324" s="86"/>
      <c r="L324" s="86"/>
      <c r="M324" s="86"/>
      <c r="N324" s="86"/>
      <c r="O324" s="86"/>
      <c r="P324" s="86"/>
      <c r="Q324" s="86"/>
      <c r="R324" s="86"/>
      <c r="S324" s="86"/>
      <c r="T324" s="86"/>
      <c r="U324" s="86"/>
      <c r="V324" s="86"/>
      <c r="W324" s="86"/>
      <c r="X324" s="86"/>
      <c r="Y324" s="86"/>
      <c r="Z324" s="86"/>
    </row>
    <row r="325" ht="15.75" customHeight="1">
      <c r="H325" s="86"/>
      <c r="I325" s="86"/>
      <c r="J325" s="86"/>
      <c r="K325" s="86"/>
      <c r="L325" s="86"/>
      <c r="M325" s="86"/>
      <c r="N325" s="86"/>
      <c r="O325" s="86"/>
      <c r="P325" s="86"/>
      <c r="Q325" s="86"/>
      <c r="R325" s="86"/>
      <c r="S325" s="86"/>
      <c r="T325" s="86"/>
      <c r="U325" s="86"/>
      <c r="V325" s="86"/>
      <c r="W325" s="86"/>
      <c r="X325" s="86"/>
      <c r="Y325" s="86"/>
      <c r="Z325" s="86"/>
    </row>
    <row r="326" ht="15.75" customHeight="1">
      <c r="H326" s="86"/>
      <c r="I326" s="86"/>
      <c r="J326" s="86"/>
      <c r="K326" s="86"/>
      <c r="L326" s="86"/>
      <c r="M326" s="86"/>
      <c r="N326" s="86"/>
      <c r="O326" s="86"/>
      <c r="P326" s="86"/>
      <c r="Q326" s="86"/>
      <c r="R326" s="86"/>
      <c r="S326" s="86"/>
      <c r="T326" s="86"/>
      <c r="U326" s="86"/>
      <c r="V326" s="86"/>
      <c r="W326" s="86"/>
      <c r="X326" s="86"/>
      <c r="Y326" s="86"/>
      <c r="Z326" s="86"/>
    </row>
    <row r="327" ht="15.75" customHeight="1">
      <c r="H327" s="86"/>
      <c r="I327" s="86"/>
      <c r="J327" s="86"/>
      <c r="K327" s="86"/>
      <c r="L327" s="86"/>
      <c r="M327" s="86"/>
      <c r="N327" s="86"/>
      <c r="O327" s="86"/>
      <c r="P327" s="86"/>
      <c r="Q327" s="86"/>
      <c r="R327" s="86"/>
      <c r="S327" s="86"/>
      <c r="T327" s="86"/>
      <c r="U327" s="86"/>
      <c r="V327" s="86"/>
      <c r="W327" s="86"/>
      <c r="X327" s="86"/>
      <c r="Y327" s="86"/>
      <c r="Z327" s="86"/>
    </row>
    <row r="328" ht="15.75" customHeight="1">
      <c r="H328" s="86"/>
      <c r="I328" s="86"/>
      <c r="J328" s="86"/>
      <c r="K328" s="86"/>
      <c r="L328" s="86"/>
      <c r="M328" s="86"/>
      <c r="N328" s="86"/>
      <c r="O328" s="86"/>
      <c r="P328" s="86"/>
      <c r="Q328" s="86"/>
      <c r="R328" s="86"/>
      <c r="S328" s="86"/>
      <c r="T328" s="86"/>
      <c r="U328" s="86"/>
      <c r="V328" s="86"/>
      <c r="W328" s="86"/>
      <c r="X328" s="86"/>
      <c r="Y328" s="86"/>
      <c r="Z328" s="86"/>
    </row>
    <row r="329" ht="15.75" customHeight="1">
      <c r="H329" s="86"/>
      <c r="I329" s="86"/>
      <c r="J329" s="86"/>
      <c r="K329" s="86"/>
      <c r="L329" s="86"/>
      <c r="M329" s="86"/>
      <c r="N329" s="86"/>
      <c r="O329" s="86"/>
      <c r="P329" s="86"/>
      <c r="Q329" s="86"/>
      <c r="R329" s="86"/>
      <c r="S329" s="86"/>
      <c r="T329" s="86"/>
      <c r="U329" s="86"/>
      <c r="V329" s="86"/>
      <c r="W329" s="86"/>
      <c r="X329" s="86"/>
      <c r="Y329" s="86"/>
      <c r="Z329" s="86"/>
    </row>
    <row r="330" ht="15.75" customHeight="1">
      <c r="H330" s="86"/>
      <c r="I330" s="86"/>
      <c r="J330" s="86"/>
      <c r="K330" s="86"/>
      <c r="L330" s="86"/>
      <c r="M330" s="86"/>
      <c r="N330" s="86"/>
      <c r="O330" s="86"/>
      <c r="P330" s="86"/>
      <c r="Q330" s="86"/>
      <c r="R330" s="86"/>
      <c r="S330" s="86"/>
      <c r="T330" s="86"/>
      <c r="U330" s="86"/>
      <c r="V330" s="86"/>
      <c r="W330" s="86"/>
      <c r="X330" s="86"/>
      <c r="Y330" s="86"/>
      <c r="Z330" s="86"/>
    </row>
    <row r="331" ht="15.75" customHeight="1">
      <c r="H331" s="86"/>
      <c r="I331" s="86"/>
      <c r="J331" s="86"/>
      <c r="K331" s="86"/>
      <c r="L331" s="86"/>
      <c r="M331" s="86"/>
      <c r="N331" s="86"/>
      <c r="O331" s="86"/>
      <c r="P331" s="86"/>
      <c r="Q331" s="86"/>
      <c r="R331" s="86"/>
      <c r="S331" s="86"/>
      <c r="T331" s="86"/>
      <c r="U331" s="86"/>
      <c r="V331" s="86"/>
      <c r="W331" s="86"/>
      <c r="X331" s="86"/>
      <c r="Y331" s="86"/>
      <c r="Z331" s="86"/>
    </row>
    <row r="332" ht="15.75" customHeight="1">
      <c r="H332" s="86"/>
      <c r="I332" s="86"/>
      <c r="J332" s="86"/>
      <c r="K332" s="86"/>
      <c r="L332" s="86"/>
      <c r="M332" s="86"/>
      <c r="N332" s="86"/>
      <c r="O332" s="86"/>
      <c r="P332" s="86"/>
      <c r="Q332" s="86"/>
      <c r="R332" s="86"/>
      <c r="S332" s="86"/>
      <c r="T332" s="86"/>
      <c r="U332" s="86"/>
      <c r="V332" s="86"/>
      <c r="W332" s="86"/>
      <c r="X332" s="86"/>
      <c r="Y332" s="86"/>
      <c r="Z332" s="86"/>
    </row>
    <row r="333" ht="15.75" customHeight="1">
      <c r="H333" s="86"/>
      <c r="I333" s="86"/>
      <c r="J333" s="86"/>
      <c r="K333" s="86"/>
      <c r="L333" s="86"/>
      <c r="M333" s="86"/>
      <c r="N333" s="86"/>
      <c r="O333" s="86"/>
      <c r="P333" s="86"/>
      <c r="Q333" s="86"/>
      <c r="R333" s="86"/>
      <c r="S333" s="86"/>
      <c r="T333" s="86"/>
      <c r="U333" s="86"/>
      <c r="V333" s="86"/>
      <c r="W333" s="86"/>
      <c r="X333" s="86"/>
      <c r="Y333" s="86"/>
      <c r="Z333" s="86"/>
    </row>
    <row r="334" ht="15.75" customHeight="1">
      <c r="H334" s="86"/>
      <c r="I334" s="86"/>
      <c r="J334" s="86"/>
      <c r="K334" s="86"/>
      <c r="L334" s="86"/>
      <c r="M334" s="86"/>
      <c r="N334" s="86"/>
      <c r="O334" s="86"/>
      <c r="P334" s="86"/>
      <c r="Q334" s="86"/>
      <c r="R334" s="86"/>
      <c r="S334" s="86"/>
      <c r="T334" s="86"/>
      <c r="U334" s="86"/>
      <c r="V334" s="86"/>
      <c r="W334" s="86"/>
      <c r="X334" s="86"/>
      <c r="Y334" s="86"/>
      <c r="Z334" s="86"/>
    </row>
    <row r="335" ht="15.75" customHeight="1">
      <c r="H335" s="86"/>
      <c r="I335" s="86"/>
      <c r="J335" s="86"/>
      <c r="K335" s="86"/>
      <c r="L335" s="86"/>
      <c r="M335" s="86"/>
      <c r="N335" s="86"/>
      <c r="O335" s="86"/>
      <c r="P335" s="86"/>
      <c r="Q335" s="86"/>
      <c r="R335" s="86"/>
      <c r="S335" s="86"/>
      <c r="T335" s="86"/>
      <c r="U335" s="86"/>
      <c r="V335" s="86"/>
      <c r="W335" s="86"/>
      <c r="X335" s="86"/>
      <c r="Y335" s="86"/>
      <c r="Z335" s="86"/>
    </row>
    <row r="336" ht="15.75" customHeight="1">
      <c r="H336" s="86"/>
      <c r="I336" s="86"/>
      <c r="J336" s="86"/>
      <c r="K336" s="86"/>
      <c r="L336" s="86"/>
      <c r="M336" s="86"/>
      <c r="N336" s="86"/>
      <c r="O336" s="86"/>
      <c r="P336" s="86"/>
      <c r="Q336" s="86"/>
      <c r="R336" s="86"/>
      <c r="S336" s="86"/>
      <c r="T336" s="86"/>
      <c r="U336" s="86"/>
      <c r="V336" s="86"/>
      <c r="W336" s="86"/>
      <c r="X336" s="86"/>
      <c r="Y336" s="86"/>
      <c r="Z336" s="86"/>
    </row>
    <row r="337" ht="15.75" customHeight="1">
      <c r="H337" s="86"/>
      <c r="I337" s="86"/>
      <c r="J337" s="86"/>
      <c r="K337" s="86"/>
      <c r="L337" s="86"/>
      <c r="M337" s="86"/>
      <c r="N337" s="86"/>
      <c r="O337" s="86"/>
      <c r="P337" s="86"/>
      <c r="Q337" s="86"/>
      <c r="R337" s="86"/>
      <c r="S337" s="86"/>
      <c r="T337" s="86"/>
      <c r="U337" s="86"/>
      <c r="V337" s="86"/>
      <c r="W337" s="86"/>
      <c r="X337" s="86"/>
      <c r="Y337" s="86"/>
      <c r="Z337" s="86"/>
    </row>
    <row r="338" ht="15.75" customHeight="1">
      <c r="H338" s="86"/>
      <c r="I338" s="86"/>
      <c r="J338" s="86"/>
      <c r="K338" s="86"/>
      <c r="L338" s="86"/>
      <c r="M338" s="86"/>
      <c r="N338" s="86"/>
      <c r="O338" s="86"/>
      <c r="P338" s="86"/>
      <c r="Q338" s="86"/>
      <c r="R338" s="86"/>
      <c r="S338" s="86"/>
      <c r="T338" s="86"/>
      <c r="U338" s="86"/>
      <c r="V338" s="86"/>
      <c r="W338" s="86"/>
      <c r="X338" s="86"/>
      <c r="Y338" s="86"/>
      <c r="Z338" s="86"/>
    </row>
    <row r="339" ht="15.75" customHeight="1">
      <c r="H339" s="86"/>
      <c r="I339" s="86"/>
      <c r="J339" s="86"/>
      <c r="K339" s="86"/>
      <c r="L339" s="86"/>
      <c r="M339" s="86"/>
      <c r="N339" s="86"/>
      <c r="O339" s="86"/>
      <c r="P339" s="86"/>
      <c r="Q339" s="86"/>
      <c r="R339" s="86"/>
      <c r="S339" s="86"/>
      <c r="T339" s="86"/>
      <c r="U339" s="86"/>
      <c r="V339" s="86"/>
      <c r="W339" s="86"/>
      <c r="X339" s="86"/>
      <c r="Y339" s="86"/>
      <c r="Z339" s="86"/>
    </row>
    <row r="340" ht="15.75" customHeight="1">
      <c r="H340" s="86"/>
      <c r="I340" s="86"/>
      <c r="J340" s="86"/>
      <c r="K340" s="86"/>
      <c r="L340" s="86"/>
      <c r="M340" s="86"/>
      <c r="N340" s="86"/>
      <c r="O340" s="86"/>
      <c r="P340" s="86"/>
      <c r="Q340" s="86"/>
      <c r="R340" s="86"/>
      <c r="S340" s="86"/>
      <c r="T340" s="86"/>
      <c r="U340" s="86"/>
      <c r="V340" s="86"/>
      <c r="W340" s="86"/>
      <c r="X340" s="86"/>
      <c r="Y340" s="86"/>
      <c r="Z340" s="86"/>
    </row>
    <row r="341" ht="15.75" customHeight="1">
      <c r="H341" s="86"/>
      <c r="I341" s="86"/>
      <c r="J341" s="86"/>
      <c r="K341" s="86"/>
      <c r="L341" s="86"/>
      <c r="M341" s="86"/>
      <c r="N341" s="86"/>
      <c r="O341" s="86"/>
      <c r="P341" s="86"/>
      <c r="Q341" s="86"/>
      <c r="R341" s="86"/>
      <c r="S341" s="86"/>
      <c r="T341" s="86"/>
      <c r="U341" s="86"/>
      <c r="V341" s="86"/>
      <c r="W341" s="86"/>
      <c r="X341" s="86"/>
      <c r="Y341" s="86"/>
      <c r="Z341" s="86"/>
    </row>
    <row r="342" ht="15.75" customHeight="1">
      <c r="H342" s="86"/>
      <c r="I342" s="86"/>
      <c r="J342" s="86"/>
      <c r="K342" s="86"/>
      <c r="L342" s="86"/>
      <c r="M342" s="86"/>
      <c r="N342" s="86"/>
      <c r="O342" s="86"/>
      <c r="P342" s="86"/>
      <c r="Q342" s="86"/>
      <c r="R342" s="86"/>
      <c r="S342" s="86"/>
      <c r="T342" s="86"/>
      <c r="U342" s="86"/>
      <c r="V342" s="86"/>
      <c r="W342" s="86"/>
      <c r="X342" s="86"/>
      <c r="Y342" s="86"/>
      <c r="Z342" s="86"/>
    </row>
    <row r="343" ht="15.75" customHeight="1">
      <c r="H343" s="86"/>
      <c r="I343" s="86"/>
      <c r="J343" s="86"/>
      <c r="K343" s="86"/>
      <c r="L343" s="86"/>
      <c r="M343" s="86"/>
      <c r="N343" s="86"/>
      <c r="O343" s="86"/>
      <c r="P343" s="86"/>
      <c r="Q343" s="86"/>
      <c r="R343" s="86"/>
      <c r="S343" s="86"/>
      <c r="T343" s="86"/>
      <c r="U343" s="86"/>
      <c r="V343" s="86"/>
      <c r="W343" s="86"/>
      <c r="X343" s="86"/>
      <c r="Y343" s="86"/>
      <c r="Z343" s="86"/>
    </row>
    <row r="344" ht="15.75" customHeight="1">
      <c r="H344" s="86"/>
      <c r="I344" s="86"/>
      <c r="J344" s="86"/>
      <c r="K344" s="86"/>
      <c r="L344" s="86"/>
      <c r="M344" s="86"/>
      <c r="N344" s="86"/>
      <c r="O344" s="86"/>
      <c r="P344" s="86"/>
      <c r="Q344" s="86"/>
      <c r="R344" s="86"/>
      <c r="S344" s="86"/>
      <c r="T344" s="86"/>
      <c r="U344" s="86"/>
      <c r="V344" s="86"/>
      <c r="W344" s="86"/>
      <c r="X344" s="86"/>
      <c r="Y344" s="86"/>
      <c r="Z344" s="86"/>
    </row>
    <row r="345" ht="15.75" customHeight="1">
      <c r="H345" s="86"/>
      <c r="I345" s="86"/>
      <c r="J345" s="86"/>
      <c r="K345" s="86"/>
      <c r="L345" s="86"/>
      <c r="M345" s="86"/>
      <c r="N345" s="86"/>
      <c r="O345" s="86"/>
      <c r="P345" s="86"/>
      <c r="Q345" s="86"/>
      <c r="R345" s="86"/>
      <c r="S345" s="86"/>
      <c r="T345" s="86"/>
      <c r="U345" s="86"/>
      <c r="V345" s="86"/>
      <c r="W345" s="86"/>
      <c r="X345" s="86"/>
      <c r="Y345" s="86"/>
      <c r="Z345" s="86"/>
    </row>
    <row r="346" ht="15.75" customHeight="1">
      <c r="H346" s="86"/>
      <c r="I346" s="86"/>
      <c r="J346" s="86"/>
      <c r="K346" s="86"/>
      <c r="L346" s="86"/>
      <c r="M346" s="86"/>
      <c r="N346" s="86"/>
      <c r="O346" s="86"/>
      <c r="P346" s="86"/>
      <c r="Q346" s="86"/>
      <c r="R346" s="86"/>
      <c r="S346" s="86"/>
      <c r="T346" s="86"/>
      <c r="U346" s="86"/>
      <c r="V346" s="86"/>
      <c r="W346" s="86"/>
      <c r="X346" s="86"/>
      <c r="Y346" s="86"/>
      <c r="Z346" s="86"/>
    </row>
    <row r="347" ht="15.75" customHeight="1">
      <c r="H347" s="86"/>
      <c r="I347" s="86"/>
      <c r="J347" s="86"/>
      <c r="K347" s="86"/>
      <c r="L347" s="86"/>
      <c r="M347" s="86"/>
      <c r="N347" s="86"/>
      <c r="O347" s="86"/>
      <c r="P347" s="86"/>
      <c r="Q347" s="86"/>
      <c r="R347" s="86"/>
      <c r="S347" s="86"/>
      <c r="T347" s="86"/>
      <c r="U347" s="86"/>
      <c r="V347" s="86"/>
      <c r="W347" s="86"/>
      <c r="X347" s="86"/>
      <c r="Y347" s="86"/>
      <c r="Z347" s="86"/>
    </row>
    <row r="348" ht="15.75" customHeight="1">
      <c r="H348" s="86"/>
      <c r="I348" s="86"/>
      <c r="J348" s="86"/>
      <c r="K348" s="86"/>
      <c r="L348" s="86"/>
      <c r="M348" s="86"/>
      <c r="N348" s="86"/>
      <c r="O348" s="86"/>
      <c r="P348" s="86"/>
      <c r="Q348" s="86"/>
      <c r="R348" s="86"/>
      <c r="S348" s="86"/>
      <c r="T348" s="86"/>
      <c r="U348" s="86"/>
      <c r="V348" s="86"/>
      <c r="W348" s="86"/>
      <c r="X348" s="86"/>
      <c r="Y348" s="86"/>
      <c r="Z348" s="86"/>
    </row>
    <row r="349" ht="15.75" customHeight="1">
      <c r="H349" s="86"/>
      <c r="I349" s="86"/>
      <c r="J349" s="86"/>
      <c r="K349" s="86"/>
      <c r="L349" s="86"/>
      <c r="M349" s="86"/>
      <c r="N349" s="86"/>
      <c r="O349" s="86"/>
      <c r="P349" s="86"/>
      <c r="Q349" s="86"/>
      <c r="R349" s="86"/>
      <c r="S349" s="86"/>
      <c r="T349" s="86"/>
      <c r="U349" s="86"/>
      <c r="V349" s="86"/>
      <c r="W349" s="86"/>
      <c r="X349" s="86"/>
      <c r="Y349" s="86"/>
      <c r="Z349" s="86"/>
    </row>
    <row r="350" ht="15.75" customHeight="1">
      <c r="H350" s="86"/>
      <c r="I350" s="86"/>
      <c r="J350" s="86"/>
      <c r="K350" s="86"/>
      <c r="L350" s="86"/>
      <c r="M350" s="86"/>
      <c r="N350" s="86"/>
      <c r="O350" s="86"/>
      <c r="P350" s="86"/>
      <c r="Q350" s="86"/>
      <c r="R350" s="86"/>
      <c r="S350" s="86"/>
      <c r="T350" s="86"/>
      <c r="U350" s="86"/>
      <c r="V350" s="86"/>
      <c r="W350" s="86"/>
      <c r="X350" s="86"/>
      <c r="Y350" s="86"/>
      <c r="Z350" s="86"/>
    </row>
    <row r="351" ht="15.75" customHeight="1">
      <c r="H351" s="86"/>
      <c r="I351" s="86"/>
      <c r="J351" s="86"/>
      <c r="K351" s="86"/>
      <c r="L351" s="86"/>
      <c r="M351" s="86"/>
      <c r="N351" s="86"/>
      <c r="O351" s="86"/>
      <c r="P351" s="86"/>
      <c r="Q351" s="86"/>
      <c r="R351" s="86"/>
      <c r="S351" s="86"/>
      <c r="T351" s="86"/>
      <c r="U351" s="86"/>
      <c r="V351" s="86"/>
      <c r="W351" s="86"/>
      <c r="X351" s="86"/>
      <c r="Y351" s="86"/>
      <c r="Z351" s="86"/>
    </row>
    <row r="352" ht="15.75" customHeight="1">
      <c r="H352" s="86"/>
      <c r="I352" s="86"/>
      <c r="J352" s="86"/>
      <c r="K352" s="86"/>
      <c r="L352" s="86"/>
      <c r="M352" s="86"/>
      <c r="N352" s="86"/>
      <c r="O352" s="86"/>
      <c r="P352" s="86"/>
      <c r="Q352" s="86"/>
      <c r="R352" s="86"/>
      <c r="S352" s="86"/>
      <c r="T352" s="86"/>
      <c r="U352" s="86"/>
      <c r="V352" s="86"/>
      <c r="W352" s="86"/>
      <c r="X352" s="86"/>
      <c r="Y352" s="86"/>
      <c r="Z352" s="86"/>
    </row>
    <row r="353" ht="15.75" customHeight="1">
      <c r="H353" s="86"/>
      <c r="I353" s="86"/>
      <c r="J353" s="86"/>
      <c r="K353" s="86"/>
      <c r="L353" s="86"/>
      <c r="M353" s="86"/>
      <c r="N353" s="86"/>
      <c r="O353" s="86"/>
      <c r="P353" s="86"/>
      <c r="Q353" s="86"/>
      <c r="R353" s="86"/>
      <c r="S353" s="86"/>
      <c r="T353" s="86"/>
      <c r="U353" s="86"/>
      <c r="V353" s="86"/>
      <c r="W353" s="86"/>
      <c r="X353" s="86"/>
      <c r="Y353" s="86"/>
      <c r="Z353" s="86"/>
    </row>
    <row r="354" ht="15.75" customHeight="1">
      <c r="H354" s="86"/>
      <c r="I354" s="86"/>
      <c r="J354" s="86"/>
      <c r="K354" s="86"/>
      <c r="L354" s="86"/>
      <c r="M354" s="86"/>
      <c r="N354" s="86"/>
      <c r="O354" s="86"/>
      <c r="P354" s="86"/>
      <c r="Q354" s="86"/>
      <c r="R354" s="86"/>
      <c r="S354" s="86"/>
      <c r="T354" s="86"/>
      <c r="U354" s="86"/>
      <c r="V354" s="86"/>
      <c r="W354" s="86"/>
      <c r="X354" s="86"/>
      <c r="Y354" s="86"/>
      <c r="Z354" s="86"/>
    </row>
    <row r="355" ht="15.75" customHeight="1">
      <c r="H355" s="86"/>
      <c r="I355" s="86"/>
      <c r="J355" s="86"/>
      <c r="K355" s="86"/>
      <c r="L355" s="86"/>
      <c r="M355" s="86"/>
      <c r="N355" s="86"/>
      <c r="O355" s="86"/>
      <c r="P355" s="86"/>
      <c r="Q355" s="86"/>
      <c r="R355" s="86"/>
      <c r="S355" s="86"/>
      <c r="T355" s="86"/>
      <c r="U355" s="86"/>
      <c r="V355" s="86"/>
      <c r="W355" s="86"/>
      <c r="X355" s="86"/>
      <c r="Y355" s="86"/>
      <c r="Z355" s="86"/>
    </row>
    <row r="356" ht="15.75" customHeight="1">
      <c r="H356" s="86"/>
      <c r="I356" s="86"/>
      <c r="J356" s="86"/>
      <c r="K356" s="86"/>
      <c r="L356" s="86"/>
      <c r="M356" s="86"/>
      <c r="N356" s="86"/>
      <c r="O356" s="86"/>
      <c r="P356" s="86"/>
      <c r="Q356" s="86"/>
      <c r="R356" s="86"/>
      <c r="S356" s="86"/>
      <c r="T356" s="86"/>
      <c r="U356" s="86"/>
      <c r="V356" s="86"/>
      <c r="W356" s="86"/>
      <c r="X356" s="86"/>
      <c r="Y356" s="86"/>
      <c r="Z356" s="86"/>
    </row>
    <row r="357" ht="15.75" customHeight="1">
      <c r="H357" s="86"/>
      <c r="I357" s="86"/>
      <c r="J357" s="86"/>
      <c r="K357" s="86"/>
      <c r="L357" s="86"/>
      <c r="M357" s="86"/>
      <c r="N357" s="86"/>
      <c r="O357" s="86"/>
      <c r="P357" s="86"/>
      <c r="Q357" s="86"/>
      <c r="R357" s="86"/>
      <c r="S357" s="86"/>
      <c r="T357" s="86"/>
      <c r="U357" s="86"/>
      <c r="V357" s="86"/>
      <c r="W357" s="86"/>
      <c r="X357" s="86"/>
      <c r="Y357" s="86"/>
      <c r="Z357" s="86"/>
    </row>
    <row r="358" ht="15.75" customHeight="1">
      <c r="H358" s="86"/>
      <c r="I358" s="86"/>
      <c r="J358" s="86"/>
      <c r="K358" s="86"/>
      <c r="L358" s="86"/>
      <c r="M358" s="86"/>
      <c r="N358" s="86"/>
      <c r="O358" s="86"/>
      <c r="P358" s="86"/>
      <c r="Q358" s="86"/>
      <c r="R358" s="86"/>
      <c r="S358" s="86"/>
      <c r="T358" s="86"/>
      <c r="U358" s="86"/>
      <c r="V358" s="86"/>
      <c r="W358" s="86"/>
      <c r="X358" s="86"/>
      <c r="Y358" s="86"/>
      <c r="Z358" s="86"/>
    </row>
    <row r="359" ht="15.75" customHeight="1">
      <c r="H359" s="86"/>
      <c r="I359" s="86"/>
      <c r="J359" s="86"/>
      <c r="K359" s="86"/>
      <c r="L359" s="86"/>
      <c r="M359" s="86"/>
      <c r="N359" s="86"/>
      <c r="O359" s="86"/>
      <c r="P359" s="86"/>
      <c r="Q359" s="86"/>
      <c r="R359" s="86"/>
      <c r="S359" s="86"/>
      <c r="T359" s="86"/>
      <c r="U359" s="86"/>
      <c r="V359" s="86"/>
      <c r="W359" s="86"/>
      <c r="X359" s="86"/>
      <c r="Y359" s="86"/>
      <c r="Z359" s="86"/>
    </row>
    <row r="360" ht="15.75" customHeight="1">
      <c r="H360" s="86"/>
      <c r="I360" s="86"/>
      <c r="J360" s="86"/>
      <c r="K360" s="86"/>
      <c r="L360" s="86"/>
      <c r="M360" s="86"/>
      <c r="N360" s="86"/>
      <c r="O360" s="86"/>
      <c r="P360" s="86"/>
      <c r="Q360" s="86"/>
      <c r="R360" s="86"/>
      <c r="S360" s="86"/>
      <c r="T360" s="86"/>
      <c r="U360" s="86"/>
      <c r="V360" s="86"/>
      <c r="W360" s="86"/>
      <c r="X360" s="86"/>
      <c r="Y360" s="86"/>
      <c r="Z360" s="86"/>
    </row>
    <row r="361" ht="15.75" customHeight="1">
      <c r="H361" s="86"/>
      <c r="I361" s="86"/>
      <c r="J361" s="86"/>
      <c r="K361" s="86"/>
      <c r="L361" s="86"/>
      <c r="M361" s="86"/>
      <c r="N361" s="86"/>
      <c r="O361" s="86"/>
      <c r="P361" s="86"/>
      <c r="Q361" s="86"/>
      <c r="R361" s="86"/>
      <c r="S361" s="86"/>
      <c r="T361" s="86"/>
      <c r="U361" s="86"/>
      <c r="V361" s="86"/>
      <c r="W361" s="86"/>
      <c r="X361" s="86"/>
      <c r="Y361" s="86"/>
      <c r="Z361" s="86"/>
    </row>
    <row r="362" ht="15.75" customHeight="1">
      <c r="H362" s="86"/>
      <c r="I362" s="86"/>
      <c r="J362" s="86"/>
      <c r="K362" s="86"/>
      <c r="L362" s="86"/>
      <c r="M362" s="86"/>
      <c r="N362" s="86"/>
      <c r="O362" s="86"/>
      <c r="P362" s="86"/>
      <c r="Q362" s="86"/>
      <c r="R362" s="86"/>
      <c r="S362" s="86"/>
      <c r="T362" s="86"/>
      <c r="U362" s="86"/>
      <c r="V362" s="86"/>
      <c r="W362" s="86"/>
      <c r="X362" s="86"/>
      <c r="Y362" s="86"/>
      <c r="Z362" s="86"/>
    </row>
    <row r="363" ht="15.75" customHeight="1">
      <c r="H363" s="86"/>
      <c r="I363" s="86"/>
      <c r="J363" s="86"/>
      <c r="K363" s="86"/>
      <c r="L363" s="86"/>
      <c r="M363" s="86"/>
      <c r="N363" s="86"/>
      <c r="O363" s="86"/>
      <c r="P363" s="86"/>
      <c r="Q363" s="86"/>
      <c r="R363" s="86"/>
      <c r="S363" s="86"/>
      <c r="T363" s="86"/>
      <c r="U363" s="86"/>
      <c r="V363" s="86"/>
      <c r="W363" s="86"/>
      <c r="X363" s="86"/>
      <c r="Y363" s="86"/>
      <c r="Z363" s="86"/>
    </row>
    <row r="364" ht="15.75" customHeight="1">
      <c r="H364" s="86"/>
      <c r="I364" s="86"/>
      <c r="J364" s="86"/>
      <c r="K364" s="86"/>
      <c r="L364" s="86"/>
      <c r="M364" s="86"/>
      <c r="N364" s="86"/>
      <c r="O364" s="86"/>
      <c r="P364" s="86"/>
      <c r="Q364" s="86"/>
      <c r="R364" s="86"/>
      <c r="S364" s="86"/>
      <c r="T364" s="86"/>
      <c r="U364" s="86"/>
      <c r="V364" s="86"/>
      <c r="W364" s="86"/>
      <c r="X364" s="86"/>
      <c r="Y364" s="86"/>
      <c r="Z364" s="86"/>
    </row>
    <row r="365" ht="15.75" customHeight="1">
      <c r="H365" s="86"/>
      <c r="I365" s="86"/>
      <c r="J365" s="86"/>
      <c r="K365" s="86"/>
      <c r="L365" s="86"/>
      <c r="M365" s="86"/>
      <c r="N365" s="86"/>
      <c r="O365" s="86"/>
      <c r="P365" s="86"/>
      <c r="Q365" s="86"/>
      <c r="R365" s="86"/>
      <c r="S365" s="86"/>
      <c r="T365" s="86"/>
      <c r="U365" s="86"/>
      <c r="V365" s="86"/>
      <c r="W365" s="86"/>
      <c r="X365" s="86"/>
      <c r="Y365" s="86"/>
      <c r="Z365" s="86"/>
    </row>
    <row r="366" ht="15.75" customHeight="1">
      <c r="H366" s="86"/>
      <c r="I366" s="86"/>
      <c r="J366" s="86"/>
      <c r="K366" s="86"/>
      <c r="L366" s="86"/>
      <c r="M366" s="86"/>
      <c r="N366" s="86"/>
      <c r="O366" s="86"/>
      <c r="P366" s="86"/>
      <c r="Q366" s="86"/>
      <c r="R366" s="86"/>
      <c r="S366" s="86"/>
      <c r="T366" s="86"/>
      <c r="U366" s="86"/>
      <c r="V366" s="86"/>
      <c r="W366" s="86"/>
      <c r="X366" s="86"/>
      <c r="Y366" s="86"/>
      <c r="Z366" s="86"/>
    </row>
    <row r="367" ht="15.75" customHeight="1">
      <c r="H367" s="86"/>
      <c r="I367" s="86"/>
      <c r="J367" s="86"/>
      <c r="K367" s="86"/>
      <c r="L367" s="86"/>
      <c r="M367" s="86"/>
      <c r="N367" s="86"/>
      <c r="O367" s="86"/>
      <c r="P367" s="86"/>
      <c r="Q367" s="86"/>
      <c r="R367" s="86"/>
      <c r="S367" s="86"/>
      <c r="T367" s="86"/>
      <c r="U367" s="86"/>
      <c r="V367" s="86"/>
      <c r="W367" s="86"/>
      <c r="X367" s="86"/>
      <c r="Y367" s="86"/>
      <c r="Z367" s="86"/>
    </row>
    <row r="368" ht="15.75" customHeight="1">
      <c r="H368" s="86"/>
      <c r="I368" s="86"/>
      <c r="J368" s="86"/>
      <c r="K368" s="86"/>
      <c r="L368" s="86"/>
      <c r="M368" s="86"/>
      <c r="N368" s="86"/>
      <c r="O368" s="86"/>
      <c r="P368" s="86"/>
      <c r="Q368" s="86"/>
      <c r="R368" s="86"/>
      <c r="S368" s="86"/>
      <c r="T368" s="86"/>
      <c r="U368" s="86"/>
      <c r="V368" s="86"/>
      <c r="W368" s="86"/>
      <c r="X368" s="86"/>
      <c r="Y368" s="86"/>
      <c r="Z368" s="86"/>
    </row>
    <row r="369" ht="15.75" customHeight="1">
      <c r="H369" s="86"/>
      <c r="I369" s="86"/>
      <c r="J369" s="86"/>
      <c r="K369" s="86"/>
      <c r="L369" s="86"/>
      <c r="M369" s="86"/>
      <c r="N369" s="86"/>
      <c r="O369" s="86"/>
      <c r="P369" s="86"/>
      <c r="Q369" s="86"/>
      <c r="R369" s="86"/>
      <c r="S369" s="86"/>
      <c r="T369" s="86"/>
      <c r="U369" s="86"/>
      <c r="V369" s="86"/>
      <c r="W369" s="86"/>
      <c r="X369" s="86"/>
      <c r="Y369" s="86"/>
      <c r="Z369" s="86"/>
    </row>
    <row r="370" ht="15.75" customHeight="1">
      <c r="H370" s="86"/>
      <c r="I370" s="86"/>
      <c r="J370" s="86"/>
      <c r="K370" s="86"/>
      <c r="L370" s="86"/>
      <c r="M370" s="86"/>
      <c r="N370" s="86"/>
      <c r="O370" s="86"/>
      <c r="P370" s="86"/>
      <c r="Q370" s="86"/>
      <c r="R370" s="86"/>
      <c r="S370" s="86"/>
      <c r="T370" s="86"/>
      <c r="U370" s="86"/>
      <c r="V370" s="86"/>
      <c r="W370" s="86"/>
      <c r="X370" s="86"/>
      <c r="Y370" s="86"/>
      <c r="Z370" s="86"/>
    </row>
    <row r="371" ht="15.75" customHeight="1">
      <c r="H371" s="86"/>
      <c r="I371" s="86"/>
      <c r="J371" s="86"/>
      <c r="K371" s="86"/>
      <c r="L371" s="86"/>
      <c r="M371" s="86"/>
      <c r="N371" s="86"/>
      <c r="O371" s="86"/>
      <c r="P371" s="86"/>
      <c r="Q371" s="86"/>
      <c r="R371" s="86"/>
      <c r="S371" s="86"/>
      <c r="T371" s="86"/>
      <c r="U371" s="86"/>
      <c r="V371" s="86"/>
      <c r="W371" s="86"/>
      <c r="X371" s="86"/>
      <c r="Y371" s="86"/>
      <c r="Z371" s="86"/>
    </row>
    <row r="372" ht="15.75" customHeight="1">
      <c r="H372" s="86"/>
      <c r="I372" s="86"/>
      <c r="J372" s="86"/>
      <c r="K372" s="86"/>
      <c r="L372" s="86"/>
      <c r="M372" s="86"/>
      <c r="N372" s="86"/>
      <c r="O372" s="86"/>
      <c r="P372" s="86"/>
      <c r="Q372" s="86"/>
      <c r="R372" s="86"/>
      <c r="S372" s="86"/>
      <c r="T372" s="86"/>
      <c r="U372" s="86"/>
      <c r="V372" s="86"/>
      <c r="W372" s="86"/>
      <c r="X372" s="86"/>
      <c r="Y372" s="86"/>
      <c r="Z372" s="86"/>
    </row>
    <row r="373" ht="15.75" customHeight="1">
      <c r="H373" s="86"/>
      <c r="I373" s="86"/>
      <c r="J373" s="86"/>
      <c r="K373" s="86"/>
      <c r="L373" s="86"/>
      <c r="M373" s="86"/>
      <c r="N373" s="86"/>
      <c r="O373" s="86"/>
      <c r="P373" s="86"/>
      <c r="Q373" s="86"/>
      <c r="R373" s="86"/>
      <c r="S373" s="86"/>
      <c r="T373" s="86"/>
      <c r="U373" s="86"/>
      <c r="V373" s="86"/>
      <c r="W373" s="86"/>
      <c r="X373" s="86"/>
      <c r="Y373" s="86"/>
      <c r="Z373" s="86"/>
    </row>
    <row r="374" ht="15.75" customHeight="1">
      <c r="H374" s="86"/>
      <c r="I374" s="86"/>
      <c r="J374" s="86"/>
      <c r="K374" s="86"/>
      <c r="L374" s="86"/>
      <c r="M374" s="86"/>
      <c r="N374" s="86"/>
      <c r="O374" s="86"/>
      <c r="P374" s="86"/>
      <c r="Q374" s="86"/>
      <c r="R374" s="86"/>
      <c r="S374" s="86"/>
      <c r="T374" s="86"/>
      <c r="U374" s="86"/>
      <c r="V374" s="86"/>
      <c r="W374" s="86"/>
      <c r="X374" s="86"/>
      <c r="Y374" s="86"/>
      <c r="Z374" s="86"/>
    </row>
    <row r="375" ht="15.75" customHeight="1">
      <c r="H375" s="86"/>
      <c r="I375" s="86"/>
      <c r="J375" s="86"/>
      <c r="K375" s="86"/>
      <c r="L375" s="86"/>
      <c r="M375" s="86"/>
      <c r="N375" s="86"/>
      <c r="O375" s="86"/>
      <c r="P375" s="86"/>
      <c r="Q375" s="86"/>
      <c r="R375" s="86"/>
      <c r="S375" s="86"/>
      <c r="T375" s="86"/>
      <c r="U375" s="86"/>
      <c r="V375" s="86"/>
      <c r="W375" s="86"/>
      <c r="X375" s="86"/>
      <c r="Y375" s="86"/>
      <c r="Z375" s="86"/>
    </row>
    <row r="376" ht="15.75" customHeight="1">
      <c r="H376" s="86"/>
      <c r="I376" s="86"/>
      <c r="J376" s="86"/>
      <c r="K376" s="86"/>
      <c r="L376" s="86"/>
      <c r="M376" s="86"/>
      <c r="N376" s="86"/>
      <c r="O376" s="86"/>
      <c r="P376" s="86"/>
      <c r="Q376" s="86"/>
      <c r="R376" s="86"/>
      <c r="S376" s="86"/>
      <c r="T376" s="86"/>
      <c r="U376" s="86"/>
      <c r="V376" s="86"/>
      <c r="W376" s="86"/>
      <c r="X376" s="86"/>
      <c r="Y376" s="86"/>
      <c r="Z376" s="86"/>
    </row>
    <row r="377" ht="15.75" customHeight="1">
      <c r="H377" s="86"/>
      <c r="I377" s="86"/>
      <c r="J377" s="86"/>
      <c r="K377" s="86"/>
      <c r="L377" s="86"/>
      <c r="M377" s="86"/>
      <c r="N377" s="86"/>
      <c r="O377" s="86"/>
      <c r="P377" s="86"/>
      <c r="Q377" s="86"/>
      <c r="R377" s="86"/>
      <c r="S377" s="86"/>
      <c r="T377" s="86"/>
      <c r="U377" s="86"/>
      <c r="V377" s="86"/>
      <c r="W377" s="86"/>
      <c r="X377" s="86"/>
      <c r="Y377" s="86"/>
      <c r="Z377" s="86"/>
    </row>
    <row r="378" ht="15.75" customHeight="1">
      <c r="H378" s="86"/>
      <c r="I378" s="86"/>
      <c r="J378" s="86"/>
      <c r="K378" s="86"/>
      <c r="L378" s="86"/>
      <c r="M378" s="86"/>
      <c r="N378" s="86"/>
      <c r="O378" s="86"/>
      <c r="P378" s="86"/>
      <c r="Q378" s="86"/>
      <c r="R378" s="86"/>
      <c r="S378" s="86"/>
      <c r="T378" s="86"/>
      <c r="U378" s="86"/>
      <c r="V378" s="86"/>
      <c r="W378" s="86"/>
      <c r="X378" s="86"/>
      <c r="Y378" s="86"/>
      <c r="Z378" s="86"/>
    </row>
    <row r="379" ht="15.75" customHeight="1">
      <c r="H379" s="86"/>
      <c r="I379" s="86"/>
      <c r="J379" s="86"/>
      <c r="K379" s="86"/>
      <c r="L379" s="86"/>
      <c r="M379" s="86"/>
      <c r="N379" s="86"/>
      <c r="O379" s="86"/>
      <c r="P379" s="86"/>
      <c r="Q379" s="86"/>
      <c r="R379" s="86"/>
      <c r="S379" s="86"/>
      <c r="T379" s="86"/>
      <c r="U379" s="86"/>
      <c r="V379" s="86"/>
      <c r="W379" s="86"/>
      <c r="X379" s="86"/>
      <c r="Y379" s="86"/>
      <c r="Z379" s="86"/>
    </row>
    <row r="380" ht="15.75" customHeight="1">
      <c r="H380" s="86"/>
      <c r="I380" s="86"/>
      <c r="J380" s="86"/>
      <c r="K380" s="86"/>
      <c r="L380" s="86"/>
      <c r="M380" s="86"/>
      <c r="N380" s="86"/>
      <c r="O380" s="86"/>
      <c r="P380" s="86"/>
      <c r="Q380" s="86"/>
      <c r="R380" s="86"/>
      <c r="S380" s="86"/>
      <c r="T380" s="86"/>
      <c r="U380" s="86"/>
      <c r="V380" s="86"/>
      <c r="W380" s="86"/>
      <c r="X380" s="86"/>
      <c r="Y380" s="86"/>
      <c r="Z380" s="86"/>
    </row>
    <row r="381" ht="15.75" customHeight="1">
      <c r="H381" s="86"/>
      <c r="I381" s="86"/>
      <c r="J381" s="86"/>
      <c r="K381" s="86"/>
      <c r="L381" s="86"/>
      <c r="M381" s="86"/>
      <c r="N381" s="86"/>
      <c r="O381" s="86"/>
      <c r="P381" s="86"/>
      <c r="Q381" s="86"/>
      <c r="R381" s="86"/>
      <c r="S381" s="86"/>
      <c r="T381" s="86"/>
      <c r="U381" s="86"/>
      <c r="V381" s="86"/>
      <c r="W381" s="86"/>
      <c r="X381" s="86"/>
      <c r="Y381" s="86"/>
      <c r="Z381" s="86"/>
    </row>
    <row r="382" ht="15.75" customHeight="1">
      <c r="H382" s="86"/>
      <c r="I382" s="86"/>
      <c r="J382" s="86"/>
      <c r="K382" s="86"/>
      <c r="L382" s="86"/>
      <c r="M382" s="86"/>
      <c r="N382" s="86"/>
      <c r="O382" s="86"/>
      <c r="P382" s="86"/>
      <c r="Q382" s="86"/>
      <c r="R382" s="86"/>
      <c r="S382" s="86"/>
      <c r="T382" s="86"/>
      <c r="U382" s="86"/>
      <c r="V382" s="86"/>
      <c r="W382" s="86"/>
      <c r="X382" s="86"/>
      <c r="Y382" s="86"/>
      <c r="Z382" s="86"/>
    </row>
    <row r="383" ht="15.75" customHeight="1">
      <c r="H383" s="86"/>
      <c r="I383" s="86"/>
      <c r="J383" s="86"/>
      <c r="K383" s="86"/>
      <c r="L383" s="86"/>
      <c r="M383" s="86"/>
      <c r="N383" s="86"/>
      <c r="O383" s="86"/>
      <c r="P383" s="86"/>
      <c r="Q383" s="86"/>
      <c r="R383" s="86"/>
      <c r="S383" s="86"/>
      <c r="T383" s="86"/>
      <c r="U383" s="86"/>
      <c r="V383" s="86"/>
      <c r="W383" s="86"/>
      <c r="X383" s="86"/>
      <c r="Y383" s="86"/>
      <c r="Z383" s="86"/>
    </row>
    <row r="384" ht="15.75" customHeight="1">
      <c r="H384" s="86"/>
      <c r="I384" s="86"/>
      <c r="J384" s="86"/>
      <c r="K384" s="86"/>
      <c r="L384" s="86"/>
      <c r="M384" s="86"/>
      <c r="N384" s="86"/>
      <c r="O384" s="86"/>
      <c r="P384" s="86"/>
      <c r="Q384" s="86"/>
      <c r="R384" s="86"/>
      <c r="S384" s="86"/>
      <c r="T384" s="86"/>
      <c r="U384" s="86"/>
      <c r="V384" s="86"/>
      <c r="W384" s="86"/>
      <c r="X384" s="86"/>
      <c r="Y384" s="86"/>
      <c r="Z384" s="86"/>
    </row>
    <row r="385" ht="15.75" customHeight="1">
      <c r="H385" s="86"/>
      <c r="I385" s="86"/>
      <c r="J385" s="86"/>
      <c r="K385" s="86"/>
      <c r="L385" s="86"/>
      <c r="M385" s="86"/>
      <c r="N385" s="86"/>
      <c r="O385" s="86"/>
      <c r="P385" s="86"/>
      <c r="Q385" s="86"/>
      <c r="R385" s="86"/>
      <c r="S385" s="86"/>
      <c r="T385" s="86"/>
      <c r="U385" s="86"/>
      <c r="V385" s="86"/>
      <c r="W385" s="86"/>
      <c r="X385" s="86"/>
      <c r="Y385" s="86"/>
      <c r="Z385" s="86"/>
    </row>
    <row r="386" ht="15.75" customHeight="1">
      <c r="H386" s="86"/>
      <c r="I386" s="86"/>
      <c r="J386" s="86"/>
      <c r="K386" s="86"/>
      <c r="L386" s="86"/>
      <c r="M386" s="86"/>
      <c r="N386" s="86"/>
      <c r="O386" s="86"/>
      <c r="P386" s="86"/>
      <c r="Q386" s="86"/>
      <c r="R386" s="86"/>
      <c r="S386" s="86"/>
      <c r="T386" s="86"/>
      <c r="U386" s="86"/>
      <c r="V386" s="86"/>
      <c r="W386" s="86"/>
      <c r="X386" s="86"/>
      <c r="Y386" s="86"/>
      <c r="Z386" s="86"/>
    </row>
    <row r="387" ht="15.75" customHeight="1">
      <c r="H387" s="86"/>
      <c r="I387" s="86"/>
      <c r="J387" s="86"/>
      <c r="K387" s="86"/>
      <c r="L387" s="86"/>
      <c r="M387" s="86"/>
      <c r="N387" s="86"/>
      <c r="O387" s="86"/>
      <c r="P387" s="86"/>
      <c r="Q387" s="86"/>
      <c r="R387" s="86"/>
      <c r="S387" s="86"/>
      <c r="T387" s="86"/>
      <c r="U387" s="86"/>
      <c r="V387" s="86"/>
      <c r="W387" s="86"/>
      <c r="X387" s="86"/>
      <c r="Y387" s="86"/>
      <c r="Z387" s="86"/>
    </row>
    <row r="388" ht="15.75" customHeight="1">
      <c r="H388" s="86"/>
      <c r="I388" s="86"/>
      <c r="J388" s="86"/>
      <c r="K388" s="86"/>
      <c r="L388" s="86"/>
      <c r="M388" s="86"/>
      <c r="N388" s="86"/>
      <c r="O388" s="86"/>
      <c r="P388" s="86"/>
      <c r="Q388" s="86"/>
      <c r="R388" s="86"/>
      <c r="S388" s="86"/>
      <c r="T388" s="86"/>
      <c r="U388" s="86"/>
      <c r="V388" s="86"/>
      <c r="W388" s="86"/>
      <c r="X388" s="86"/>
      <c r="Y388" s="86"/>
      <c r="Z388" s="86"/>
    </row>
    <row r="389" ht="15.75" customHeight="1">
      <c r="H389" s="86"/>
      <c r="I389" s="86"/>
      <c r="J389" s="86"/>
      <c r="K389" s="86"/>
      <c r="L389" s="86"/>
      <c r="M389" s="86"/>
      <c r="N389" s="86"/>
      <c r="O389" s="86"/>
      <c r="P389" s="86"/>
      <c r="Q389" s="86"/>
      <c r="R389" s="86"/>
      <c r="S389" s="86"/>
      <c r="T389" s="86"/>
      <c r="U389" s="86"/>
      <c r="V389" s="86"/>
      <c r="W389" s="86"/>
      <c r="X389" s="86"/>
      <c r="Y389" s="86"/>
      <c r="Z389" s="86"/>
    </row>
    <row r="390" ht="15.75" customHeight="1">
      <c r="H390" s="86"/>
      <c r="I390" s="86"/>
      <c r="J390" s="86"/>
      <c r="K390" s="86"/>
      <c r="L390" s="86"/>
      <c r="M390" s="86"/>
      <c r="N390" s="86"/>
      <c r="O390" s="86"/>
      <c r="P390" s="86"/>
      <c r="Q390" s="86"/>
      <c r="R390" s="86"/>
      <c r="S390" s="86"/>
      <c r="T390" s="86"/>
      <c r="U390" s="86"/>
      <c r="V390" s="86"/>
      <c r="W390" s="86"/>
      <c r="X390" s="86"/>
      <c r="Y390" s="86"/>
      <c r="Z390" s="86"/>
    </row>
    <row r="391" ht="15.75" customHeight="1">
      <c r="H391" s="86"/>
      <c r="I391" s="86"/>
      <c r="J391" s="86"/>
      <c r="K391" s="86"/>
      <c r="L391" s="86"/>
      <c r="M391" s="86"/>
      <c r="N391" s="86"/>
      <c r="O391" s="86"/>
      <c r="P391" s="86"/>
      <c r="Q391" s="86"/>
      <c r="R391" s="86"/>
      <c r="S391" s="86"/>
      <c r="T391" s="86"/>
      <c r="U391" s="86"/>
      <c r="V391" s="86"/>
      <c r="W391" s="86"/>
      <c r="X391" s="86"/>
      <c r="Y391" s="86"/>
      <c r="Z391" s="86"/>
    </row>
    <row r="392" ht="15.75" customHeight="1">
      <c r="H392" s="86"/>
      <c r="I392" s="86"/>
      <c r="J392" s="86"/>
      <c r="K392" s="86"/>
      <c r="L392" s="86"/>
      <c r="M392" s="86"/>
      <c r="N392" s="86"/>
      <c r="O392" s="86"/>
      <c r="P392" s="86"/>
      <c r="Q392" s="86"/>
      <c r="R392" s="86"/>
      <c r="S392" s="86"/>
      <c r="T392" s="86"/>
      <c r="U392" s="86"/>
      <c r="V392" s="86"/>
      <c r="W392" s="86"/>
      <c r="X392" s="86"/>
      <c r="Y392" s="86"/>
      <c r="Z392" s="86"/>
    </row>
    <row r="393" ht="15.75" customHeight="1">
      <c r="H393" s="86"/>
      <c r="I393" s="86"/>
      <c r="J393" s="86"/>
      <c r="K393" s="86"/>
      <c r="L393" s="86"/>
      <c r="M393" s="86"/>
      <c r="N393" s="86"/>
      <c r="O393" s="86"/>
      <c r="P393" s="86"/>
      <c r="Q393" s="86"/>
      <c r="R393" s="86"/>
      <c r="S393" s="86"/>
      <c r="T393" s="86"/>
      <c r="U393" s="86"/>
      <c r="V393" s="86"/>
      <c r="W393" s="86"/>
      <c r="X393" s="86"/>
      <c r="Y393" s="86"/>
      <c r="Z393" s="86"/>
    </row>
    <row r="394" ht="15.75" customHeight="1">
      <c r="H394" s="86"/>
      <c r="I394" s="86"/>
      <c r="J394" s="86"/>
      <c r="K394" s="86"/>
      <c r="L394" s="86"/>
      <c r="M394" s="86"/>
      <c r="N394" s="86"/>
      <c r="O394" s="86"/>
      <c r="P394" s="86"/>
      <c r="Q394" s="86"/>
      <c r="R394" s="86"/>
      <c r="S394" s="86"/>
      <c r="T394" s="86"/>
      <c r="U394" s="86"/>
      <c r="V394" s="86"/>
      <c r="W394" s="86"/>
      <c r="X394" s="86"/>
      <c r="Y394" s="86"/>
      <c r="Z394" s="86"/>
    </row>
    <row r="395" ht="15.75" customHeight="1">
      <c r="H395" s="86"/>
      <c r="I395" s="86"/>
      <c r="J395" s="86"/>
      <c r="K395" s="86"/>
      <c r="L395" s="86"/>
      <c r="M395" s="86"/>
      <c r="N395" s="86"/>
      <c r="O395" s="86"/>
      <c r="P395" s="86"/>
      <c r="Q395" s="86"/>
      <c r="R395" s="86"/>
      <c r="S395" s="86"/>
      <c r="T395" s="86"/>
      <c r="U395" s="86"/>
      <c r="V395" s="86"/>
      <c r="W395" s="86"/>
      <c r="X395" s="86"/>
      <c r="Y395" s="86"/>
      <c r="Z395" s="86"/>
    </row>
    <row r="396" ht="15.75" customHeight="1">
      <c r="H396" s="86"/>
      <c r="I396" s="86"/>
      <c r="J396" s="86"/>
      <c r="K396" s="86"/>
      <c r="L396" s="86"/>
      <c r="M396" s="86"/>
      <c r="N396" s="86"/>
      <c r="O396" s="86"/>
      <c r="P396" s="86"/>
      <c r="Q396" s="86"/>
      <c r="R396" s="86"/>
      <c r="S396" s="86"/>
      <c r="T396" s="86"/>
      <c r="U396" s="86"/>
      <c r="V396" s="86"/>
      <c r="W396" s="86"/>
      <c r="X396" s="86"/>
      <c r="Y396" s="86"/>
      <c r="Z396" s="86"/>
    </row>
    <row r="397" ht="15.75" customHeight="1">
      <c r="H397" s="86"/>
      <c r="I397" s="86"/>
      <c r="J397" s="86"/>
      <c r="K397" s="86"/>
      <c r="L397" s="86"/>
      <c r="M397" s="86"/>
      <c r="N397" s="86"/>
      <c r="O397" s="86"/>
      <c r="P397" s="86"/>
      <c r="Q397" s="86"/>
      <c r="R397" s="86"/>
      <c r="S397" s="86"/>
      <c r="T397" s="86"/>
      <c r="U397" s="86"/>
      <c r="V397" s="86"/>
      <c r="W397" s="86"/>
      <c r="X397" s="86"/>
      <c r="Y397" s="86"/>
      <c r="Z397" s="86"/>
    </row>
    <row r="398" ht="15.75" customHeight="1">
      <c r="H398" s="86"/>
      <c r="I398" s="86"/>
      <c r="J398" s="86"/>
      <c r="K398" s="86"/>
      <c r="L398" s="86"/>
      <c r="M398" s="86"/>
      <c r="N398" s="86"/>
      <c r="O398" s="86"/>
      <c r="P398" s="86"/>
      <c r="Q398" s="86"/>
      <c r="R398" s="86"/>
      <c r="S398" s="86"/>
      <c r="T398" s="86"/>
      <c r="U398" s="86"/>
      <c r="V398" s="86"/>
      <c r="W398" s="86"/>
      <c r="X398" s="86"/>
      <c r="Y398" s="86"/>
      <c r="Z398" s="86"/>
    </row>
    <row r="399" ht="15.75" customHeight="1">
      <c r="H399" s="86"/>
      <c r="I399" s="86"/>
      <c r="J399" s="86"/>
      <c r="K399" s="86"/>
      <c r="L399" s="86"/>
      <c r="M399" s="86"/>
      <c r="N399" s="86"/>
      <c r="O399" s="86"/>
      <c r="P399" s="86"/>
      <c r="Q399" s="86"/>
      <c r="R399" s="86"/>
      <c r="S399" s="86"/>
      <c r="T399" s="86"/>
      <c r="U399" s="86"/>
      <c r="V399" s="86"/>
      <c r="W399" s="86"/>
      <c r="X399" s="86"/>
      <c r="Y399" s="86"/>
      <c r="Z399" s="86"/>
    </row>
    <row r="400" ht="15.75" customHeight="1">
      <c r="H400" s="86"/>
      <c r="I400" s="86"/>
      <c r="J400" s="86"/>
      <c r="K400" s="86"/>
      <c r="L400" s="86"/>
      <c r="M400" s="86"/>
      <c r="N400" s="86"/>
      <c r="O400" s="86"/>
      <c r="P400" s="86"/>
      <c r="Q400" s="86"/>
      <c r="R400" s="86"/>
      <c r="S400" s="86"/>
      <c r="T400" s="86"/>
      <c r="U400" s="86"/>
      <c r="V400" s="86"/>
      <c r="W400" s="86"/>
      <c r="X400" s="86"/>
      <c r="Y400" s="86"/>
      <c r="Z400" s="86"/>
    </row>
    <row r="401" ht="15.75" customHeight="1">
      <c r="H401" s="86"/>
      <c r="I401" s="86"/>
      <c r="J401" s="86"/>
      <c r="K401" s="86"/>
      <c r="L401" s="86"/>
      <c r="M401" s="86"/>
      <c r="N401" s="86"/>
      <c r="O401" s="86"/>
      <c r="P401" s="86"/>
      <c r="Q401" s="86"/>
      <c r="R401" s="86"/>
      <c r="S401" s="86"/>
      <c r="T401" s="86"/>
      <c r="U401" s="86"/>
      <c r="V401" s="86"/>
      <c r="W401" s="86"/>
      <c r="X401" s="86"/>
      <c r="Y401" s="86"/>
      <c r="Z401" s="86"/>
    </row>
    <row r="402" ht="15.75" customHeight="1">
      <c r="H402" s="86"/>
      <c r="I402" s="86"/>
      <c r="J402" s="86"/>
      <c r="K402" s="86"/>
      <c r="L402" s="86"/>
      <c r="M402" s="86"/>
      <c r="N402" s="86"/>
      <c r="O402" s="86"/>
      <c r="P402" s="86"/>
      <c r="Q402" s="86"/>
      <c r="R402" s="86"/>
      <c r="S402" s="86"/>
      <c r="T402" s="86"/>
      <c r="U402" s="86"/>
      <c r="V402" s="86"/>
      <c r="W402" s="86"/>
      <c r="X402" s="86"/>
      <c r="Y402" s="86"/>
      <c r="Z402" s="86"/>
    </row>
    <row r="403" ht="15.75" customHeight="1">
      <c r="H403" s="86"/>
      <c r="I403" s="86"/>
      <c r="J403" s="86"/>
      <c r="K403" s="86"/>
      <c r="L403" s="86"/>
      <c r="M403" s="86"/>
      <c r="N403" s="86"/>
      <c r="O403" s="86"/>
      <c r="P403" s="86"/>
      <c r="Q403" s="86"/>
      <c r="R403" s="86"/>
      <c r="S403" s="86"/>
      <c r="T403" s="86"/>
      <c r="U403" s="86"/>
      <c r="V403" s="86"/>
      <c r="W403" s="86"/>
      <c r="X403" s="86"/>
      <c r="Y403" s="86"/>
      <c r="Z403" s="86"/>
    </row>
    <row r="404" ht="15.75" customHeight="1">
      <c r="H404" s="86"/>
      <c r="I404" s="86"/>
      <c r="J404" s="86"/>
      <c r="K404" s="86"/>
      <c r="L404" s="86"/>
      <c r="M404" s="86"/>
      <c r="N404" s="86"/>
      <c r="O404" s="86"/>
      <c r="P404" s="86"/>
      <c r="Q404" s="86"/>
      <c r="R404" s="86"/>
      <c r="S404" s="86"/>
      <c r="T404" s="86"/>
      <c r="U404" s="86"/>
      <c r="V404" s="86"/>
      <c r="W404" s="86"/>
      <c r="X404" s="86"/>
      <c r="Y404" s="86"/>
      <c r="Z404" s="86"/>
    </row>
    <row r="405" ht="15.75" customHeight="1">
      <c r="H405" s="86"/>
      <c r="I405" s="86"/>
      <c r="J405" s="86"/>
      <c r="K405" s="86"/>
      <c r="L405" s="86"/>
      <c r="M405" s="86"/>
      <c r="N405" s="86"/>
      <c r="O405" s="86"/>
      <c r="P405" s="86"/>
      <c r="Q405" s="86"/>
      <c r="R405" s="86"/>
      <c r="S405" s="86"/>
      <c r="T405" s="86"/>
      <c r="U405" s="86"/>
      <c r="V405" s="86"/>
      <c r="W405" s="86"/>
      <c r="X405" s="86"/>
      <c r="Y405" s="86"/>
      <c r="Z405" s="86"/>
    </row>
    <row r="406" ht="15.75" customHeight="1">
      <c r="H406" s="86"/>
      <c r="I406" s="86"/>
      <c r="J406" s="86"/>
      <c r="K406" s="86"/>
      <c r="L406" s="86"/>
      <c r="M406" s="86"/>
      <c r="N406" s="86"/>
      <c r="O406" s="86"/>
      <c r="P406" s="86"/>
      <c r="Q406" s="86"/>
      <c r="R406" s="86"/>
      <c r="S406" s="86"/>
      <c r="T406" s="86"/>
      <c r="U406" s="86"/>
      <c r="V406" s="86"/>
      <c r="W406" s="86"/>
      <c r="X406" s="86"/>
      <c r="Y406" s="86"/>
      <c r="Z406" s="86"/>
    </row>
    <row r="407" ht="15.75" customHeight="1">
      <c r="H407" s="86"/>
      <c r="I407" s="86"/>
      <c r="J407" s="86"/>
      <c r="K407" s="86"/>
      <c r="L407" s="86"/>
      <c r="M407" s="86"/>
      <c r="N407" s="86"/>
      <c r="O407" s="86"/>
      <c r="P407" s="86"/>
      <c r="Q407" s="86"/>
      <c r="R407" s="86"/>
      <c r="S407" s="86"/>
      <c r="T407" s="86"/>
      <c r="U407" s="86"/>
      <c r="V407" s="86"/>
      <c r="W407" s="86"/>
      <c r="X407" s="86"/>
      <c r="Y407" s="86"/>
      <c r="Z407" s="86"/>
    </row>
    <row r="408" ht="15.75" customHeight="1">
      <c r="H408" s="86"/>
      <c r="I408" s="86"/>
      <c r="J408" s="86"/>
      <c r="K408" s="86"/>
      <c r="L408" s="86"/>
      <c r="M408" s="86"/>
      <c r="N408" s="86"/>
      <c r="O408" s="86"/>
      <c r="P408" s="86"/>
      <c r="Q408" s="86"/>
      <c r="R408" s="86"/>
      <c r="S408" s="86"/>
      <c r="T408" s="86"/>
      <c r="U408" s="86"/>
      <c r="V408" s="86"/>
      <c r="W408" s="86"/>
      <c r="X408" s="86"/>
      <c r="Y408" s="86"/>
      <c r="Z408" s="86"/>
    </row>
    <row r="409" ht="15.75" customHeight="1">
      <c r="H409" s="86"/>
      <c r="I409" s="86"/>
      <c r="J409" s="86"/>
      <c r="K409" s="86"/>
      <c r="L409" s="86"/>
      <c r="M409" s="86"/>
      <c r="N409" s="86"/>
      <c r="O409" s="86"/>
      <c r="P409" s="86"/>
      <c r="Q409" s="86"/>
      <c r="R409" s="86"/>
      <c r="S409" s="86"/>
      <c r="T409" s="86"/>
      <c r="U409" s="86"/>
      <c r="V409" s="86"/>
      <c r="W409" s="86"/>
      <c r="X409" s="86"/>
      <c r="Y409" s="86"/>
      <c r="Z409" s="86"/>
    </row>
    <row r="410" ht="15.75" customHeight="1">
      <c r="H410" s="86"/>
      <c r="I410" s="86"/>
      <c r="J410" s="86"/>
      <c r="K410" s="86"/>
      <c r="L410" s="86"/>
      <c r="M410" s="86"/>
      <c r="N410" s="86"/>
      <c r="O410" s="86"/>
      <c r="P410" s="86"/>
      <c r="Q410" s="86"/>
      <c r="R410" s="86"/>
      <c r="S410" s="86"/>
      <c r="T410" s="86"/>
      <c r="U410" s="86"/>
      <c r="V410" s="86"/>
      <c r="W410" s="86"/>
      <c r="X410" s="86"/>
      <c r="Y410" s="86"/>
      <c r="Z410" s="86"/>
    </row>
    <row r="411" ht="15.75" customHeight="1">
      <c r="H411" s="86"/>
      <c r="I411" s="86"/>
      <c r="J411" s="86"/>
      <c r="K411" s="86"/>
      <c r="L411" s="86"/>
      <c r="M411" s="86"/>
      <c r="N411" s="86"/>
      <c r="O411" s="86"/>
      <c r="P411" s="86"/>
      <c r="Q411" s="86"/>
      <c r="R411" s="86"/>
      <c r="S411" s="86"/>
      <c r="T411" s="86"/>
      <c r="U411" s="86"/>
      <c r="V411" s="86"/>
      <c r="W411" s="86"/>
      <c r="X411" s="86"/>
      <c r="Y411" s="86"/>
      <c r="Z411" s="86"/>
    </row>
    <row r="412" ht="15.75" customHeight="1">
      <c r="H412" s="86"/>
      <c r="I412" s="86"/>
      <c r="J412" s="86"/>
      <c r="K412" s="86"/>
      <c r="L412" s="86"/>
      <c r="M412" s="86"/>
      <c r="N412" s="86"/>
      <c r="O412" s="86"/>
      <c r="P412" s="86"/>
      <c r="Q412" s="86"/>
      <c r="R412" s="86"/>
      <c r="S412" s="86"/>
      <c r="T412" s="86"/>
      <c r="U412" s="86"/>
      <c r="V412" s="86"/>
      <c r="W412" s="86"/>
      <c r="X412" s="86"/>
      <c r="Y412" s="86"/>
      <c r="Z412" s="86"/>
    </row>
    <row r="413" ht="15.75" customHeight="1">
      <c r="H413" s="86"/>
      <c r="I413" s="86"/>
      <c r="J413" s="86"/>
      <c r="K413" s="86"/>
      <c r="L413" s="86"/>
      <c r="M413" s="86"/>
      <c r="N413" s="86"/>
      <c r="O413" s="86"/>
      <c r="P413" s="86"/>
      <c r="Q413" s="86"/>
      <c r="R413" s="86"/>
      <c r="S413" s="86"/>
      <c r="T413" s="86"/>
      <c r="U413" s="86"/>
      <c r="V413" s="86"/>
      <c r="W413" s="86"/>
      <c r="X413" s="86"/>
      <c r="Y413" s="86"/>
      <c r="Z413" s="86"/>
    </row>
    <row r="414" ht="15.75" customHeight="1">
      <c r="H414" s="86"/>
      <c r="I414" s="86"/>
      <c r="J414" s="86"/>
      <c r="K414" s="86"/>
      <c r="L414" s="86"/>
      <c r="M414" s="86"/>
      <c r="N414" s="86"/>
      <c r="O414" s="86"/>
      <c r="P414" s="86"/>
      <c r="Q414" s="86"/>
      <c r="R414" s="86"/>
      <c r="S414" s="86"/>
      <c r="T414" s="86"/>
      <c r="U414" s="86"/>
      <c r="V414" s="86"/>
      <c r="W414" s="86"/>
      <c r="X414" s="86"/>
      <c r="Y414" s="86"/>
      <c r="Z414" s="86"/>
    </row>
    <row r="415" ht="15.75" customHeight="1">
      <c r="H415" s="86"/>
      <c r="I415" s="86"/>
      <c r="J415" s="86"/>
      <c r="K415" s="86"/>
      <c r="L415" s="86"/>
      <c r="M415" s="86"/>
      <c r="N415" s="86"/>
      <c r="O415" s="86"/>
      <c r="P415" s="86"/>
      <c r="Q415" s="86"/>
      <c r="R415" s="86"/>
      <c r="S415" s="86"/>
      <c r="T415" s="86"/>
      <c r="U415" s="86"/>
      <c r="V415" s="86"/>
      <c r="W415" s="86"/>
      <c r="X415" s="86"/>
      <c r="Y415" s="86"/>
      <c r="Z415" s="86"/>
    </row>
    <row r="416" ht="15.75" customHeight="1">
      <c r="H416" s="86"/>
      <c r="I416" s="86"/>
      <c r="J416" s="86"/>
      <c r="K416" s="86"/>
      <c r="L416" s="86"/>
      <c r="M416" s="86"/>
      <c r="N416" s="86"/>
      <c r="O416" s="86"/>
      <c r="P416" s="86"/>
      <c r="Q416" s="86"/>
      <c r="R416" s="86"/>
      <c r="S416" s="86"/>
      <c r="T416" s="86"/>
      <c r="U416" s="86"/>
      <c r="V416" s="86"/>
      <c r="W416" s="86"/>
      <c r="X416" s="86"/>
      <c r="Y416" s="86"/>
      <c r="Z416" s="86"/>
    </row>
    <row r="417" ht="15.75" customHeight="1">
      <c r="H417" s="86"/>
      <c r="I417" s="86"/>
      <c r="J417" s="86"/>
      <c r="K417" s="86"/>
      <c r="L417" s="86"/>
      <c r="M417" s="86"/>
      <c r="N417" s="86"/>
      <c r="O417" s="86"/>
      <c r="P417" s="86"/>
      <c r="Q417" s="86"/>
      <c r="R417" s="86"/>
      <c r="S417" s="86"/>
      <c r="T417" s="86"/>
      <c r="U417" s="86"/>
      <c r="V417" s="86"/>
      <c r="W417" s="86"/>
      <c r="X417" s="86"/>
      <c r="Y417" s="86"/>
      <c r="Z417" s="86"/>
    </row>
    <row r="418" ht="15.75" customHeight="1">
      <c r="H418" s="86"/>
      <c r="I418" s="86"/>
      <c r="J418" s="86"/>
      <c r="K418" s="86"/>
      <c r="L418" s="86"/>
      <c r="M418" s="86"/>
      <c r="N418" s="86"/>
      <c r="O418" s="86"/>
      <c r="P418" s="86"/>
      <c r="Q418" s="86"/>
      <c r="R418" s="86"/>
      <c r="S418" s="86"/>
      <c r="T418" s="86"/>
      <c r="U418" s="86"/>
      <c r="V418" s="86"/>
      <c r="W418" s="86"/>
      <c r="X418" s="86"/>
      <c r="Y418" s="86"/>
      <c r="Z418" s="86"/>
    </row>
    <row r="419" ht="15.75" customHeight="1">
      <c r="H419" s="86"/>
      <c r="I419" s="86"/>
      <c r="J419" s="86"/>
      <c r="K419" s="86"/>
      <c r="L419" s="86"/>
      <c r="M419" s="86"/>
      <c r="N419" s="86"/>
      <c r="O419" s="86"/>
      <c r="P419" s="86"/>
      <c r="Q419" s="86"/>
      <c r="R419" s="86"/>
      <c r="S419" s="86"/>
      <c r="T419" s="86"/>
      <c r="U419" s="86"/>
      <c r="V419" s="86"/>
      <c r="W419" s="86"/>
      <c r="X419" s="86"/>
      <c r="Y419" s="86"/>
      <c r="Z419" s="86"/>
    </row>
    <row r="420" ht="15.75" customHeight="1">
      <c r="H420" s="86"/>
      <c r="I420" s="86"/>
      <c r="J420" s="86"/>
      <c r="K420" s="86"/>
      <c r="L420" s="86"/>
      <c r="M420" s="86"/>
      <c r="N420" s="86"/>
      <c r="O420" s="86"/>
      <c r="P420" s="86"/>
      <c r="Q420" s="86"/>
      <c r="R420" s="86"/>
      <c r="S420" s="86"/>
      <c r="T420" s="86"/>
      <c r="U420" s="86"/>
      <c r="V420" s="86"/>
      <c r="W420" s="86"/>
      <c r="X420" s="86"/>
      <c r="Y420" s="86"/>
      <c r="Z420" s="86"/>
    </row>
    <row r="421" ht="15.75" customHeight="1">
      <c r="H421" s="86"/>
      <c r="I421" s="86"/>
      <c r="J421" s="86"/>
      <c r="K421" s="86"/>
      <c r="L421" s="86"/>
      <c r="M421" s="86"/>
      <c r="N421" s="86"/>
      <c r="O421" s="86"/>
      <c r="P421" s="86"/>
      <c r="Q421" s="86"/>
      <c r="R421" s="86"/>
      <c r="S421" s="86"/>
      <c r="T421" s="86"/>
      <c r="U421" s="86"/>
      <c r="V421" s="86"/>
      <c r="W421" s="86"/>
      <c r="X421" s="86"/>
      <c r="Y421" s="86"/>
      <c r="Z421" s="86"/>
    </row>
    <row r="422" ht="15.75" customHeight="1">
      <c r="H422" s="86"/>
      <c r="I422" s="86"/>
      <c r="J422" s="86"/>
      <c r="K422" s="86"/>
      <c r="L422" s="86"/>
      <c r="M422" s="86"/>
      <c r="N422" s="86"/>
      <c r="O422" s="86"/>
      <c r="P422" s="86"/>
      <c r="Q422" s="86"/>
      <c r="R422" s="86"/>
      <c r="S422" s="86"/>
      <c r="T422" s="86"/>
      <c r="U422" s="86"/>
      <c r="V422" s="86"/>
      <c r="W422" s="86"/>
      <c r="X422" s="86"/>
      <c r="Y422" s="86"/>
      <c r="Z422" s="86"/>
    </row>
    <row r="423" ht="15.75" customHeight="1">
      <c r="H423" s="86"/>
      <c r="I423" s="86"/>
      <c r="J423" s="86"/>
      <c r="K423" s="86"/>
      <c r="L423" s="86"/>
      <c r="M423" s="86"/>
      <c r="N423" s="86"/>
      <c r="O423" s="86"/>
      <c r="P423" s="86"/>
      <c r="Q423" s="86"/>
      <c r="R423" s="86"/>
      <c r="S423" s="86"/>
      <c r="T423" s="86"/>
      <c r="U423" s="86"/>
      <c r="V423" s="86"/>
      <c r="W423" s="86"/>
      <c r="X423" s="86"/>
      <c r="Y423" s="86"/>
      <c r="Z423" s="86"/>
    </row>
    <row r="424" ht="15.75" customHeight="1">
      <c r="H424" s="86"/>
      <c r="I424" s="86"/>
      <c r="J424" s="86"/>
      <c r="K424" s="86"/>
      <c r="L424" s="86"/>
      <c r="M424" s="86"/>
      <c r="N424" s="86"/>
      <c r="O424" s="86"/>
      <c r="P424" s="86"/>
      <c r="Q424" s="86"/>
      <c r="R424" s="86"/>
      <c r="S424" s="86"/>
      <c r="T424" s="86"/>
      <c r="U424" s="86"/>
      <c r="V424" s="86"/>
      <c r="W424" s="86"/>
      <c r="X424" s="86"/>
      <c r="Y424" s="86"/>
      <c r="Z424" s="86"/>
    </row>
    <row r="425" ht="15.75" customHeight="1">
      <c r="H425" s="86"/>
      <c r="I425" s="86"/>
      <c r="J425" s="86"/>
      <c r="K425" s="86"/>
      <c r="L425" s="86"/>
      <c r="M425" s="86"/>
      <c r="N425" s="86"/>
      <c r="O425" s="86"/>
      <c r="P425" s="86"/>
      <c r="Q425" s="86"/>
      <c r="R425" s="86"/>
      <c r="S425" s="86"/>
      <c r="T425" s="86"/>
      <c r="U425" s="86"/>
      <c r="V425" s="86"/>
      <c r="W425" s="86"/>
      <c r="X425" s="86"/>
      <c r="Y425" s="86"/>
      <c r="Z425" s="86"/>
    </row>
    <row r="426" ht="15.75" customHeight="1">
      <c r="H426" s="86"/>
      <c r="I426" s="86"/>
      <c r="J426" s="86"/>
      <c r="K426" s="86"/>
      <c r="L426" s="86"/>
      <c r="M426" s="86"/>
      <c r="N426" s="86"/>
      <c r="O426" s="86"/>
      <c r="P426" s="86"/>
      <c r="Q426" s="86"/>
      <c r="R426" s="86"/>
      <c r="S426" s="86"/>
      <c r="T426" s="86"/>
      <c r="U426" s="86"/>
      <c r="V426" s="86"/>
      <c r="W426" s="86"/>
      <c r="X426" s="86"/>
      <c r="Y426" s="86"/>
      <c r="Z426" s="86"/>
    </row>
    <row r="427" ht="15.75" customHeight="1">
      <c r="H427" s="86"/>
      <c r="I427" s="86"/>
      <c r="J427" s="86"/>
      <c r="K427" s="86"/>
      <c r="L427" s="86"/>
      <c r="M427" s="86"/>
      <c r="N427" s="86"/>
      <c r="O427" s="86"/>
      <c r="P427" s="86"/>
      <c r="Q427" s="86"/>
      <c r="R427" s="86"/>
      <c r="S427" s="86"/>
      <c r="T427" s="86"/>
      <c r="U427" s="86"/>
      <c r="V427" s="86"/>
      <c r="W427" s="86"/>
      <c r="X427" s="86"/>
      <c r="Y427" s="86"/>
      <c r="Z427" s="86"/>
    </row>
    <row r="428" ht="15.75" customHeight="1">
      <c r="H428" s="86"/>
      <c r="I428" s="86"/>
      <c r="J428" s="86"/>
      <c r="K428" s="86"/>
      <c r="L428" s="86"/>
      <c r="M428" s="86"/>
      <c r="N428" s="86"/>
      <c r="O428" s="86"/>
      <c r="P428" s="86"/>
      <c r="Q428" s="86"/>
      <c r="R428" s="86"/>
      <c r="S428" s="86"/>
      <c r="T428" s="86"/>
      <c r="U428" s="86"/>
      <c r="V428" s="86"/>
      <c r="W428" s="86"/>
      <c r="X428" s="86"/>
      <c r="Y428" s="86"/>
      <c r="Z428" s="86"/>
    </row>
    <row r="429" ht="15.75" customHeight="1">
      <c r="H429" s="86"/>
      <c r="I429" s="86"/>
      <c r="J429" s="86"/>
      <c r="K429" s="86"/>
      <c r="L429" s="86"/>
      <c r="M429" s="86"/>
      <c r="N429" s="86"/>
      <c r="O429" s="86"/>
      <c r="P429" s="86"/>
      <c r="Q429" s="86"/>
      <c r="R429" s="86"/>
      <c r="S429" s="86"/>
      <c r="T429" s="86"/>
      <c r="U429" s="86"/>
      <c r="V429" s="86"/>
      <c r="W429" s="86"/>
      <c r="X429" s="86"/>
      <c r="Y429" s="86"/>
      <c r="Z429" s="86"/>
    </row>
    <row r="430" ht="15.75" customHeight="1">
      <c r="H430" s="86"/>
      <c r="I430" s="86"/>
      <c r="J430" s="86"/>
      <c r="K430" s="86"/>
      <c r="L430" s="86"/>
      <c r="M430" s="86"/>
      <c r="N430" s="86"/>
      <c r="O430" s="86"/>
      <c r="P430" s="86"/>
      <c r="Q430" s="86"/>
      <c r="R430" s="86"/>
      <c r="S430" s="86"/>
      <c r="T430" s="86"/>
      <c r="U430" s="86"/>
      <c r="V430" s="86"/>
      <c r="W430" s="86"/>
      <c r="X430" s="86"/>
      <c r="Y430" s="86"/>
      <c r="Z430" s="86"/>
    </row>
    <row r="431" ht="15.75" customHeight="1">
      <c r="H431" s="86"/>
      <c r="I431" s="86"/>
      <c r="J431" s="86"/>
      <c r="K431" s="86"/>
      <c r="L431" s="86"/>
      <c r="M431" s="86"/>
      <c r="N431" s="86"/>
      <c r="O431" s="86"/>
      <c r="P431" s="86"/>
      <c r="Q431" s="86"/>
      <c r="R431" s="86"/>
      <c r="S431" s="86"/>
      <c r="T431" s="86"/>
      <c r="U431" s="86"/>
      <c r="V431" s="86"/>
      <c r="W431" s="86"/>
      <c r="X431" s="86"/>
      <c r="Y431" s="86"/>
      <c r="Z431" s="86"/>
    </row>
    <row r="432" ht="15.75" customHeight="1">
      <c r="H432" s="86"/>
      <c r="I432" s="86"/>
      <c r="J432" s="86"/>
      <c r="K432" s="86"/>
      <c r="L432" s="86"/>
      <c r="M432" s="86"/>
      <c r="N432" s="86"/>
      <c r="O432" s="86"/>
      <c r="P432" s="86"/>
      <c r="Q432" s="86"/>
      <c r="R432" s="86"/>
      <c r="S432" s="86"/>
      <c r="T432" s="86"/>
      <c r="U432" s="86"/>
      <c r="V432" s="86"/>
      <c r="W432" s="86"/>
      <c r="X432" s="86"/>
      <c r="Y432" s="86"/>
      <c r="Z432" s="86"/>
    </row>
    <row r="433" ht="15.75" customHeight="1">
      <c r="H433" s="86"/>
      <c r="I433" s="86"/>
      <c r="J433" s="86"/>
      <c r="K433" s="86"/>
      <c r="L433" s="86"/>
      <c r="M433" s="86"/>
      <c r="N433" s="86"/>
      <c r="O433" s="86"/>
      <c r="P433" s="86"/>
      <c r="Q433" s="86"/>
      <c r="R433" s="86"/>
      <c r="S433" s="86"/>
      <c r="T433" s="86"/>
      <c r="U433" s="86"/>
      <c r="V433" s="86"/>
      <c r="W433" s="86"/>
      <c r="X433" s="86"/>
      <c r="Y433" s="86"/>
      <c r="Z433" s="86"/>
    </row>
    <row r="434" ht="15.75" customHeight="1">
      <c r="H434" s="86"/>
      <c r="I434" s="86"/>
      <c r="J434" s="86"/>
      <c r="K434" s="86"/>
      <c r="L434" s="86"/>
      <c r="M434" s="86"/>
      <c r="N434" s="86"/>
      <c r="O434" s="86"/>
      <c r="P434" s="86"/>
      <c r="Q434" s="86"/>
      <c r="R434" s="86"/>
      <c r="S434" s="86"/>
      <c r="T434" s="86"/>
      <c r="U434" s="86"/>
      <c r="V434" s="86"/>
      <c r="W434" s="86"/>
      <c r="X434" s="86"/>
      <c r="Y434" s="86"/>
      <c r="Z434" s="86"/>
    </row>
    <row r="435" ht="15.75" customHeight="1">
      <c r="H435" s="86"/>
      <c r="I435" s="86"/>
      <c r="J435" s="86"/>
      <c r="K435" s="86"/>
      <c r="L435" s="86"/>
      <c r="M435" s="86"/>
      <c r="N435" s="86"/>
      <c r="O435" s="86"/>
      <c r="P435" s="86"/>
      <c r="Q435" s="86"/>
      <c r="R435" s="86"/>
      <c r="S435" s="86"/>
      <c r="T435" s="86"/>
      <c r="U435" s="86"/>
      <c r="V435" s="86"/>
      <c r="W435" s="86"/>
      <c r="X435" s="86"/>
      <c r="Y435" s="86"/>
      <c r="Z435" s="86"/>
    </row>
    <row r="436" ht="15.75" customHeight="1">
      <c r="H436" s="86"/>
      <c r="I436" s="86"/>
      <c r="J436" s="86"/>
      <c r="K436" s="86"/>
      <c r="L436" s="86"/>
      <c r="M436" s="86"/>
      <c r="N436" s="86"/>
      <c r="O436" s="86"/>
      <c r="P436" s="86"/>
      <c r="Q436" s="86"/>
      <c r="R436" s="86"/>
      <c r="S436" s="86"/>
      <c r="T436" s="86"/>
      <c r="U436" s="86"/>
      <c r="V436" s="86"/>
      <c r="W436" s="86"/>
      <c r="X436" s="86"/>
      <c r="Y436" s="86"/>
      <c r="Z436" s="86"/>
    </row>
    <row r="437" ht="15.75" customHeight="1">
      <c r="H437" s="86"/>
      <c r="I437" s="86"/>
      <c r="J437" s="86"/>
      <c r="K437" s="86"/>
      <c r="L437" s="86"/>
      <c r="M437" s="86"/>
      <c r="N437" s="86"/>
      <c r="O437" s="86"/>
      <c r="P437" s="86"/>
      <c r="Q437" s="86"/>
      <c r="R437" s="86"/>
      <c r="S437" s="86"/>
      <c r="T437" s="86"/>
      <c r="U437" s="86"/>
      <c r="V437" s="86"/>
      <c r="W437" s="86"/>
      <c r="X437" s="86"/>
      <c r="Y437" s="86"/>
      <c r="Z437" s="86"/>
    </row>
    <row r="438" ht="15.75" customHeight="1">
      <c r="H438" s="86"/>
      <c r="I438" s="86"/>
      <c r="J438" s="86"/>
      <c r="K438" s="86"/>
      <c r="L438" s="86"/>
      <c r="M438" s="86"/>
      <c r="N438" s="86"/>
      <c r="O438" s="86"/>
      <c r="P438" s="86"/>
      <c r="Q438" s="86"/>
      <c r="R438" s="86"/>
      <c r="S438" s="86"/>
      <c r="T438" s="86"/>
      <c r="U438" s="86"/>
      <c r="V438" s="86"/>
      <c r="W438" s="86"/>
      <c r="X438" s="86"/>
      <c r="Y438" s="86"/>
      <c r="Z438" s="86"/>
    </row>
    <row r="439" ht="15.75" customHeight="1">
      <c r="H439" s="86"/>
      <c r="I439" s="86"/>
      <c r="J439" s="86"/>
      <c r="K439" s="86"/>
      <c r="L439" s="86"/>
      <c r="M439" s="86"/>
      <c r="N439" s="86"/>
      <c r="O439" s="86"/>
      <c r="P439" s="86"/>
      <c r="Q439" s="86"/>
      <c r="R439" s="86"/>
      <c r="S439" s="86"/>
      <c r="T439" s="86"/>
      <c r="U439" s="86"/>
      <c r="V439" s="86"/>
      <c r="W439" s="86"/>
      <c r="X439" s="86"/>
      <c r="Y439" s="86"/>
      <c r="Z439" s="86"/>
    </row>
    <row r="440" ht="15.75" customHeight="1">
      <c r="H440" s="86"/>
      <c r="I440" s="86"/>
      <c r="J440" s="86"/>
      <c r="K440" s="86"/>
      <c r="L440" s="86"/>
      <c r="M440" s="86"/>
      <c r="N440" s="86"/>
      <c r="O440" s="86"/>
      <c r="P440" s="86"/>
      <c r="Q440" s="86"/>
      <c r="R440" s="86"/>
      <c r="S440" s="86"/>
      <c r="T440" s="86"/>
      <c r="U440" s="86"/>
      <c r="V440" s="86"/>
      <c r="W440" s="86"/>
      <c r="X440" s="86"/>
      <c r="Y440" s="86"/>
      <c r="Z440" s="86"/>
    </row>
    <row r="441" ht="15.75" customHeight="1">
      <c r="H441" s="86"/>
      <c r="I441" s="86"/>
      <c r="J441" s="86"/>
      <c r="K441" s="86"/>
      <c r="L441" s="86"/>
      <c r="M441" s="86"/>
      <c r="N441" s="86"/>
      <c r="O441" s="86"/>
      <c r="P441" s="86"/>
      <c r="Q441" s="86"/>
      <c r="R441" s="86"/>
      <c r="S441" s="86"/>
      <c r="T441" s="86"/>
      <c r="U441" s="86"/>
      <c r="V441" s="86"/>
      <c r="W441" s="86"/>
      <c r="X441" s="86"/>
      <c r="Y441" s="86"/>
      <c r="Z441" s="86"/>
    </row>
    <row r="442" ht="15.75" customHeight="1">
      <c r="H442" s="86"/>
      <c r="I442" s="86"/>
      <c r="J442" s="86"/>
      <c r="K442" s="86"/>
      <c r="L442" s="86"/>
      <c r="M442" s="86"/>
      <c r="N442" s="86"/>
      <c r="O442" s="86"/>
      <c r="P442" s="86"/>
      <c r="Q442" s="86"/>
      <c r="R442" s="86"/>
      <c r="S442" s="86"/>
      <c r="T442" s="86"/>
      <c r="U442" s="86"/>
      <c r="V442" s="86"/>
      <c r="W442" s="86"/>
      <c r="X442" s="86"/>
      <c r="Y442" s="86"/>
      <c r="Z442" s="86"/>
    </row>
    <row r="443" ht="15.75" customHeight="1">
      <c r="H443" s="86"/>
      <c r="I443" s="86"/>
      <c r="J443" s="86"/>
      <c r="K443" s="86"/>
      <c r="L443" s="86"/>
      <c r="M443" s="86"/>
      <c r="N443" s="86"/>
      <c r="O443" s="86"/>
      <c r="P443" s="86"/>
      <c r="Q443" s="86"/>
      <c r="R443" s="86"/>
      <c r="S443" s="86"/>
      <c r="T443" s="86"/>
      <c r="U443" s="86"/>
      <c r="V443" s="86"/>
      <c r="W443" s="86"/>
      <c r="X443" s="86"/>
      <c r="Y443" s="86"/>
      <c r="Z443" s="86"/>
    </row>
    <row r="444" ht="15.75" customHeight="1">
      <c r="H444" s="86"/>
      <c r="I444" s="86"/>
      <c r="J444" s="86"/>
      <c r="K444" s="86"/>
      <c r="L444" s="86"/>
      <c r="M444" s="86"/>
      <c r="N444" s="86"/>
      <c r="O444" s="86"/>
      <c r="P444" s="86"/>
      <c r="Q444" s="86"/>
      <c r="R444" s="86"/>
      <c r="S444" s="86"/>
      <c r="T444" s="86"/>
      <c r="U444" s="86"/>
      <c r="V444" s="86"/>
      <c r="W444" s="86"/>
      <c r="X444" s="86"/>
      <c r="Y444" s="86"/>
      <c r="Z444" s="86"/>
    </row>
    <row r="445" ht="15.75" customHeight="1">
      <c r="H445" s="86"/>
      <c r="I445" s="86"/>
      <c r="J445" s="86"/>
      <c r="K445" s="86"/>
      <c r="L445" s="86"/>
      <c r="M445" s="86"/>
      <c r="N445" s="86"/>
      <c r="O445" s="86"/>
      <c r="P445" s="86"/>
      <c r="Q445" s="86"/>
      <c r="R445" s="86"/>
      <c r="S445" s="86"/>
      <c r="T445" s="86"/>
      <c r="U445" s="86"/>
      <c r="V445" s="86"/>
      <c r="W445" s="86"/>
      <c r="X445" s="86"/>
      <c r="Y445" s="86"/>
      <c r="Z445" s="86"/>
    </row>
    <row r="446" ht="15.75" customHeight="1">
      <c r="H446" s="86"/>
      <c r="I446" s="86"/>
      <c r="J446" s="86"/>
      <c r="K446" s="86"/>
      <c r="L446" s="86"/>
      <c r="M446" s="86"/>
      <c r="N446" s="86"/>
      <c r="O446" s="86"/>
      <c r="P446" s="86"/>
      <c r="Q446" s="86"/>
      <c r="R446" s="86"/>
      <c r="S446" s="86"/>
      <c r="T446" s="86"/>
      <c r="U446" s="86"/>
      <c r="V446" s="86"/>
      <c r="W446" s="86"/>
      <c r="X446" s="86"/>
      <c r="Y446" s="86"/>
      <c r="Z446" s="86"/>
    </row>
    <row r="447" ht="15.75" customHeight="1">
      <c r="H447" s="86"/>
      <c r="I447" s="86"/>
      <c r="J447" s="86"/>
      <c r="K447" s="86"/>
      <c r="L447" s="86"/>
      <c r="M447" s="86"/>
      <c r="N447" s="86"/>
      <c r="O447" s="86"/>
      <c r="P447" s="86"/>
      <c r="Q447" s="86"/>
      <c r="R447" s="86"/>
      <c r="S447" s="86"/>
      <c r="T447" s="86"/>
      <c r="U447" s="86"/>
      <c r="V447" s="86"/>
      <c r="W447" s="86"/>
      <c r="X447" s="86"/>
      <c r="Y447" s="86"/>
      <c r="Z447" s="86"/>
    </row>
    <row r="448" ht="15.75" customHeight="1">
      <c r="H448" s="86"/>
      <c r="I448" s="86"/>
      <c r="J448" s="86"/>
      <c r="K448" s="86"/>
      <c r="L448" s="86"/>
      <c r="M448" s="86"/>
      <c r="N448" s="86"/>
      <c r="O448" s="86"/>
      <c r="P448" s="86"/>
      <c r="Q448" s="86"/>
      <c r="R448" s="86"/>
      <c r="S448" s="86"/>
      <c r="T448" s="86"/>
      <c r="U448" s="86"/>
      <c r="V448" s="86"/>
      <c r="W448" s="86"/>
      <c r="X448" s="86"/>
      <c r="Y448" s="86"/>
      <c r="Z448" s="86"/>
    </row>
    <row r="449" ht="15.75" customHeight="1">
      <c r="H449" s="86"/>
      <c r="I449" s="86"/>
      <c r="J449" s="86"/>
      <c r="K449" s="86"/>
      <c r="L449" s="86"/>
      <c r="M449" s="86"/>
      <c r="N449" s="86"/>
      <c r="O449" s="86"/>
      <c r="P449" s="86"/>
      <c r="Q449" s="86"/>
      <c r="R449" s="86"/>
      <c r="S449" s="86"/>
      <c r="T449" s="86"/>
      <c r="U449" s="86"/>
      <c r="V449" s="86"/>
      <c r="W449" s="86"/>
      <c r="X449" s="86"/>
      <c r="Y449" s="86"/>
      <c r="Z449" s="86"/>
    </row>
    <row r="450" ht="15.75" customHeight="1">
      <c r="H450" s="86"/>
      <c r="I450" s="86"/>
      <c r="J450" s="86"/>
      <c r="K450" s="86"/>
      <c r="L450" s="86"/>
      <c r="M450" s="86"/>
      <c r="N450" s="86"/>
      <c r="O450" s="86"/>
      <c r="P450" s="86"/>
      <c r="Q450" s="86"/>
      <c r="R450" s="86"/>
      <c r="S450" s="86"/>
      <c r="T450" s="86"/>
      <c r="U450" s="86"/>
      <c r="V450" s="86"/>
      <c r="W450" s="86"/>
      <c r="X450" s="86"/>
      <c r="Y450" s="86"/>
      <c r="Z450" s="86"/>
    </row>
    <row r="451" ht="15.75" customHeight="1">
      <c r="H451" s="86"/>
      <c r="I451" s="86"/>
      <c r="J451" s="86"/>
      <c r="K451" s="86"/>
      <c r="L451" s="86"/>
      <c r="M451" s="86"/>
      <c r="N451" s="86"/>
      <c r="O451" s="86"/>
      <c r="P451" s="86"/>
      <c r="Q451" s="86"/>
      <c r="R451" s="86"/>
      <c r="S451" s="86"/>
      <c r="T451" s="86"/>
      <c r="U451" s="86"/>
      <c r="V451" s="86"/>
      <c r="W451" s="86"/>
      <c r="X451" s="86"/>
      <c r="Y451" s="86"/>
      <c r="Z451" s="86"/>
    </row>
    <row r="452" ht="15.75" customHeight="1">
      <c r="H452" s="86"/>
      <c r="I452" s="86"/>
      <c r="J452" s="86"/>
      <c r="K452" s="86"/>
      <c r="L452" s="86"/>
      <c r="M452" s="86"/>
      <c r="N452" s="86"/>
      <c r="O452" s="86"/>
      <c r="P452" s="86"/>
      <c r="Q452" s="86"/>
      <c r="R452" s="86"/>
      <c r="S452" s="86"/>
      <c r="T452" s="86"/>
      <c r="U452" s="86"/>
      <c r="V452" s="86"/>
      <c r="W452" s="86"/>
      <c r="X452" s="86"/>
      <c r="Y452" s="86"/>
      <c r="Z452" s="86"/>
    </row>
    <row r="453" ht="15.75" customHeight="1">
      <c r="H453" s="86"/>
      <c r="I453" s="86"/>
      <c r="J453" s="86"/>
      <c r="K453" s="86"/>
      <c r="L453" s="86"/>
      <c r="M453" s="86"/>
      <c r="N453" s="86"/>
      <c r="O453" s="86"/>
      <c r="P453" s="86"/>
      <c r="Q453" s="86"/>
      <c r="R453" s="86"/>
      <c r="S453" s="86"/>
      <c r="T453" s="86"/>
      <c r="U453" s="86"/>
      <c r="V453" s="86"/>
      <c r="W453" s="86"/>
      <c r="X453" s="86"/>
      <c r="Y453" s="86"/>
      <c r="Z453" s="86"/>
    </row>
    <row r="454" ht="15.75" customHeight="1">
      <c r="H454" s="86"/>
      <c r="I454" s="86"/>
      <c r="J454" s="86"/>
      <c r="K454" s="86"/>
      <c r="L454" s="86"/>
      <c r="M454" s="86"/>
      <c r="N454" s="86"/>
      <c r="O454" s="86"/>
      <c r="P454" s="86"/>
      <c r="Q454" s="86"/>
      <c r="R454" s="86"/>
      <c r="S454" s="86"/>
      <c r="T454" s="86"/>
      <c r="U454" s="86"/>
      <c r="V454" s="86"/>
      <c r="W454" s="86"/>
      <c r="X454" s="86"/>
      <c r="Y454" s="86"/>
      <c r="Z454" s="86"/>
    </row>
    <row r="455" ht="15.75" customHeight="1">
      <c r="H455" s="86"/>
      <c r="I455" s="86"/>
      <c r="J455" s="86"/>
      <c r="K455" s="86"/>
      <c r="L455" s="86"/>
      <c r="M455" s="86"/>
      <c r="N455" s="86"/>
      <c r="O455" s="86"/>
      <c r="P455" s="86"/>
      <c r="Q455" s="86"/>
      <c r="R455" s="86"/>
      <c r="S455" s="86"/>
      <c r="T455" s="86"/>
      <c r="U455" s="86"/>
      <c r="V455" s="86"/>
      <c r="W455" s="86"/>
      <c r="X455" s="86"/>
      <c r="Y455" s="86"/>
      <c r="Z455" s="86"/>
    </row>
    <row r="456" ht="15.75" customHeight="1">
      <c r="H456" s="86"/>
      <c r="I456" s="86"/>
      <c r="J456" s="86"/>
      <c r="K456" s="86"/>
      <c r="L456" s="86"/>
      <c r="M456" s="86"/>
      <c r="N456" s="86"/>
      <c r="O456" s="86"/>
      <c r="P456" s="86"/>
      <c r="Q456" s="86"/>
      <c r="R456" s="86"/>
      <c r="S456" s="86"/>
      <c r="T456" s="86"/>
      <c r="U456" s="86"/>
      <c r="V456" s="86"/>
      <c r="W456" s="86"/>
      <c r="X456" s="86"/>
      <c r="Y456" s="86"/>
      <c r="Z456" s="86"/>
    </row>
    <row r="457" ht="15.75" customHeight="1">
      <c r="H457" s="86"/>
      <c r="I457" s="86"/>
      <c r="J457" s="86"/>
      <c r="K457" s="86"/>
      <c r="L457" s="86"/>
      <c r="M457" s="86"/>
      <c r="N457" s="86"/>
      <c r="O457" s="86"/>
      <c r="P457" s="86"/>
      <c r="Q457" s="86"/>
      <c r="R457" s="86"/>
      <c r="S457" s="86"/>
      <c r="T457" s="86"/>
      <c r="U457" s="86"/>
      <c r="V457" s="86"/>
      <c r="W457" s="86"/>
      <c r="X457" s="86"/>
      <c r="Y457" s="86"/>
      <c r="Z457" s="86"/>
    </row>
    <row r="458" ht="15.75" customHeight="1">
      <c r="H458" s="86"/>
      <c r="I458" s="86"/>
      <c r="J458" s="86"/>
      <c r="K458" s="86"/>
      <c r="L458" s="86"/>
      <c r="M458" s="86"/>
      <c r="N458" s="86"/>
      <c r="O458" s="86"/>
      <c r="P458" s="86"/>
      <c r="Q458" s="86"/>
      <c r="R458" s="86"/>
      <c r="S458" s="86"/>
      <c r="T458" s="86"/>
      <c r="U458" s="86"/>
      <c r="V458" s="86"/>
      <c r="W458" s="86"/>
      <c r="X458" s="86"/>
      <c r="Y458" s="86"/>
      <c r="Z458" s="86"/>
    </row>
    <row r="459" ht="15.75" customHeight="1">
      <c r="H459" s="86"/>
      <c r="I459" s="86"/>
      <c r="J459" s="86"/>
      <c r="K459" s="86"/>
      <c r="L459" s="86"/>
      <c r="M459" s="86"/>
      <c r="N459" s="86"/>
      <c r="O459" s="86"/>
      <c r="P459" s="86"/>
      <c r="Q459" s="86"/>
      <c r="R459" s="86"/>
      <c r="S459" s="86"/>
      <c r="T459" s="86"/>
      <c r="U459" s="86"/>
      <c r="V459" s="86"/>
      <c r="W459" s="86"/>
      <c r="X459" s="86"/>
      <c r="Y459" s="86"/>
      <c r="Z459" s="86"/>
    </row>
    <row r="460" ht="15.75" customHeight="1">
      <c r="H460" s="86"/>
      <c r="I460" s="86"/>
      <c r="J460" s="86"/>
      <c r="K460" s="86"/>
      <c r="L460" s="86"/>
      <c r="M460" s="86"/>
      <c r="N460" s="86"/>
      <c r="O460" s="86"/>
      <c r="P460" s="86"/>
      <c r="Q460" s="86"/>
      <c r="R460" s="86"/>
      <c r="S460" s="86"/>
      <c r="T460" s="86"/>
      <c r="U460" s="86"/>
      <c r="V460" s="86"/>
      <c r="W460" s="86"/>
      <c r="X460" s="86"/>
      <c r="Y460" s="86"/>
      <c r="Z460" s="86"/>
    </row>
    <row r="461" ht="15.75" customHeight="1">
      <c r="H461" s="86"/>
      <c r="I461" s="86"/>
      <c r="J461" s="86"/>
      <c r="K461" s="86"/>
      <c r="L461" s="86"/>
      <c r="M461" s="86"/>
      <c r="N461" s="86"/>
      <c r="O461" s="86"/>
      <c r="P461" s="86"/>
      <c r="Q461" s="86"/>
      <c r="R461" s="86"/>
      <c r="S461" s="86"/>
      <c r="T461" s="86"/>
      <c r="U461" s="86"/>
      <c r="V461" s="86"/>
      <c r="W461" s="86"/>
      <c r="X461" s="86"/>
      <c r="Y461" s="86"/>
      <c r="Z461" s="86"/>
    </row>
    <row r="462" ht="15.75" customHeight="1">
      <c r="H462" s="86"/>
      <c r="I462" s="86"/>
      <c r="J462" s="86"/>
      <c r="K462" s="86"/>
      <c r="L462" s="86"/>
      <c r="M462" s="86"/>
      <c r="N462" s="86"/>
      <c r="O462" s="86"/>
      <c r="P462" s="86"/>
      <c r="Q462" s="86"/>
      <c r="R462" s="86"/>
      <c r="S462" s="86"/>
      <c r="T462" s="86"/>
      <c r="U462" s="86"/>
      <c r="V462" s="86"/>
      <c r="W462" s="86"/>
      <c r="X462" s="86"/>
      <c r="Y462" s="86"/>
      <c r="Z462" s="86"/>
    </row>
    <row r="463" ht="15.75" customHeight="1">
      <c r="H463" s="86"/>
      <c r="I463" s="86"/>
      <c r="J463" s="86"/>
      <c r="K463" s="86"/>
      <c r="L463" s="86"/>
      <c r="M463" s="86"/>
      <c r="N463" s="86"/>
      <c r="O463" s="86"/>
      <c r="P463" s="86"/>
      <c r="Q463" s="86"/>
      <c r="R463" s="86"/>
      <c r="S463" s="86"/>
      <c r="T463" s="86"/>
      <c r="U463" s="86"/>
      <c r="V463" s="86"/>
      <c r="W463" s="86"/>
      <c r="X463" s="86"/>
      <c r="Y463" s="86"/>
      <c r="Z463" s="86"/>
    </row>
    <row r="464" ht="15.75" customHeight="1">
      <c r="H464" s="86"/>
      <c r="I464" s="86"/>
      <c r="J464" s="86"/>
      <c r="K464" s="86"/>
      <c r="L464" s="86"/>
      <c r="M464" s="86"/>
      <c r="N464" s="86"/>
      <c r="O464" s="86"/>
      <c r="P464" s="86"/>
      <c r="Q464" s="86"/>
      <c r="R464" s="86"/>
      <c r="S464" s="86"/>
      <c r="T464" s="86"/>
      <c r="U464" s="86"/>
      <c r="V464" s="86"/>
      <c r="W464" s="86"/>
      <c r="X464" s="86"/>
      <c r="Y464" s="86"/>
      <c r="Z464" s="86"/>
    </row>
    <row r="465" ht="15.75" customHeight="1">
      <c r="H465" s="86"/>
      <c r="I465" s="86"/>
      <c r="J465" s="86"/>
      <c r="K465" s="86"/>
      <c r="L465" s="86"/>
      <c r="M465" s="86"/>
      <c r="N465" s="86"/>
      <c r="O465" s="86"/>
      <c r="P465" s="86"/>
      <c r="Q465" s="86"/>
      <c r="R465" s="86"/>
      <c r="S465" s="86"/>
      <c r="T465" s="86"/>
      <c r="U465" s="86"/>
      <c r="V465" s="86"/>
      <c r="W465" s="86"/>
      <c r="X465" s="86"/>
      <c r="Y465" s="86"/>
      <c r="Z465" s="86"/>
    </row>
    <row r="466" ht="15.75" customHeight="1">
      <c r="H466" s="86"/>
      <c r="I466" s="86"/>
      <c r="J466" s="86"/>
      <c r="K466" s="86"/>
      <c r="L466" s="86"/>
      <c r="M466" s="86"/>
      <c r="N466" s="86"/>
      <c r="O466" s="86"/>
      <c r="P466" s="86"/>
      <c r="Q466" s="86"/>
      <c r="R466" s="86"/>
      <c r="S466" s="86"/>
      <c r="T466" s="86"/>
      <c r="U466" s="86"/>
      <c r="V466" s="86"/>
      <c r="W466" s="86"/>
      <c r="X466" s="86"/>
      <c r="Y466" s="86"/>
      <c r="Z466" s="86"/>
    </row>
    <row r="467" ht="15.75" customHeight="1">
      <c r="H467" s="86"/>
      <c r="I467" s="86"/>
      <c r="J467" s="86"/>
      <c r="K467" s="86"/>
      <c r="L467" s="86"/>
      <c r="M467" s="86"/>
      <c r="N467" s="86"/>
      <c r="O467" s="86"/>
      <c r="P467" s="86"/>
      <c r="Q467" s="86"/>
      <c r="R467" s="86"/>
      <c r="S467" s="86"/>
      <c r="T467" s="86"/>
      <c r="U467" s="86"/>
      <c r="V467" s="86"/>
      <c r="W467" s="86"/>
      <c r="X467" s="86"/>
      <c r="Y467" s="86"/>
      <c r="Z467" s="86"/>
    </row>
    <row r="468" ht="15.75" customHeight="1">
      <c r="H468" s="86"/>
      <c r="I468" s="86"/>
      <c r="J468" s="86"/>
      <c r="K468" s="86"/>
      <c r="L468" s="86"/>
      <c r="M468" s="86"/>
      <c r="N468" s="86"/>
      <c r="O468" s="86"/>
      <c r="P468" s="86"/>
      <c r="Q468" s="86"/>
      <c r="R468" s="86"/>
      <c r="S468" s="86"/>
      <c r="T468" s="86"/>
      <c r="U468" s="86"/>
      <c r="V468" s="86"/>
      <c r="W468" s="86"/>
      <c r="X468" s="86"/>
      <c r="Y468" s="86"/>
      <c r="Z468" s="86"/>
    </row>
    <row r="469" ht="15.75" customHeight="1">
      <c r="H469" s="86"/>
      <c r="I469" s="86"/>
      <c r="J469" s="86"/>
      <c r="K469" s="86"/>
      <c r="L469" s="86"/>
      <c r="M469" s="86"/>
      <c r="N469" s="86"/>
      <c r="O469" s="86"/>
      <c r="P469" s="86"/>
      <c r="Q469" s="86"/>
      <c r="R469" s="86"/>
      <c r="S469" s="86"/>
      <c r="T469" s="86"/>
      <c r="U469" s="86"/>
      <c r="V469" s="86"/>
      <c r="W469" s="86"/>
      <c r="X469" s="86"/>
      <c r="Y469" s="86"/>
      <c r="Z469" s="86"/>
    </row>
    <row r="470" ht="15.75" customHeight="1">
      <c r="H470" s="86"/>
      <c r="I470" s="86"/>
      <c r="J470" s="86"/>
      <c r="K470" s="86"/>
      <c r="L470" s="86"/>
      <c r="M470" s="86"/>
      <c r="N470" s="86"/>
      <c r="O470" s="86"/>
      <c r="P470" s="86"/>
      <c r="Q470" s="86"/>
      <c r="R470" s="86"/>
      <c r="S470" s="86"/>
      <c r="T470" s="86"/>
      <c r="U470" s="86"/>
      <c r="V470" s="86"/>
      <c r="W470" s="86"/>
      <c r="X470" s="86"/>
      <c r="Y470" s="86"/>
      <c r="Z470" s="86"/>
    </row>
    <row r="471" ht="15.75" customHeight="1">
      <c r="H471" s="86"/>
      <c r="I471" s="86"/>
      <c r="J471" s="86"/>
      <c r="K471" s="86"/>
      <c r="L471" s="86"/>
      <c r="M471" s="86"/>
      <c r="N471" s="86"/>
      <c r="O471" s="86"/>
      <c r="P471" s="86"/>
      <c r="Q471" s="86"/>
      <c r="R471" s="86"/>
      <c r="S471" s="86"/>
      <c r="T471" s="86"/>
      <c r="U471" s="86"/>
      <c r="V471" s="86"/>
      <c r="W471" s="86"/>
      <c r="X471" s="86"/>
      <c r="Y471" s="86"/>
      <c r="Z471" s="86"/>
    </row>
    <row r="472" ht="15.75" customHeight="1">
      <c r="H472" s="86"/>
      <c r="I472" s="86"/>
      <c r="J472" s="86"/>
      <c r="K472" s="86"/>
      <c r="L472" s="86"/>
      <c r="M472" s="86"/>
      <c r="N472" s="86"/>
      <c r="O472" s="86"/>
      <c r="P472" s="86"/>
      <c r="Q472" s="86"/>
      <c r="R472" s="86"/>
      <c r="S472" s="86"/>
      <c r="T472" s="86"/>
      <c r="U472" s="86"/>
      <c r="V472" s="86"/>
      <c r="W472" s="86"/>
      <c r="X472" s="86"/>
      <c r="Y472" s="86"/>
      <c r="Z472" s="86"/>
    </row>
    <row r="473" ht="15.75" customHeight="1">
      <c r="H473" s="86"/>
      <c r="I473" s="86"/>
      <c r="J473" s="86"/>
      <c r="K473" s="86"/>
      <c r="L473" s="86"/>
      <c r="M473" s="86"/>
      <c r="N473" s="86"/>
      <c r="O473" s="86"/>
      <c r="P473" s="86"/>
      <c r="Q473" s="86"/>
      <c r="R473" s="86"/>
      <c r="S473" s="86"/>
      <c r="T473" s="86"/>
      <c r="U473" s="86"/>
      <c r="V473" s="86"/>
      <c r="W473" s="86"/>
      <c r="X473" s="86"/>
      <c r="Y473" s="86"/>
      <c r="Z473" s="86"/>
    </row>
    <row r="474" ht="15.75" customHeight="1">
      <c r="H474" s="86"/>
      <c r="I474" s="86"/>
      <c r="J474" s="86"/>
      <c r="K474" s="86"/>
      <c r="L474" s="86"/>
      <c r="M474" s="86"/>
      <c r="N474" s="86"/>
      <c r="O474" s="86"/>
      <c r="P474" s="86"/>
      <c r="Q474" s="86"/>
      <c r="R474" s="86"/>
      <c r="S474" s="86"/>
      <c r="T474" s="86"/>
      <c r="U474" s="86"/>
      <c r="V474" s="86"/>
      <c r="W474" s="86"/>
      <c r="X474" s="86"/>
      <c r="Y474" s="86"/>
      <c r="Z474" s="86"/>
    </row>
    <row r="475" ht="15.75" customHeight="1">
      <c r="H475" s="86"/>
      <c r="I475" s="86"/>
      <c r="J475" s="86"/>
      <c r="K475" s="86"/>
      <c r="L475" s="86"/>
      <c r="M475" s="86"/>
      <c r="N475" s="86"/>
      <c r="O475" s="86"/>
      <c r="P475" s="86"/>
      <c r="Q475" s="86"/>
      <c r="R475" s="86"/>
      <c r="S475" s="86"/>
      <c r="T475" s="86"/>
      <c r="U475" s="86"/>
      <c r="V475" s="86"/>
      <c r="W475" s="86"/>
      <c r="X475" s="86"/>
      <c r="Y475" s="86"/>
      <c r="Z475" s="86"/>
    </row>
    <row r="476" ht="15.75" customHeight="1">
      <c r="H476" s="86"/>
      <c r="I476" s="86"/>
      <c r="J476" s="86"/>
      <c r="K476" s="86"/>
      <c r="L476" s="86"/>
      <c r="M476" s="86"/>
      <c r="N476" s="86"/>
      <c r="O476" s="86"/>
      <c r="P476" s="86"/>
      <c r="Q476" s="86"/>
      <c r="R476" s="86"/>
      <c r="S476" s="86"/>
      <c r="T476" s="86"/>
      <c r="U476" s="86"/>
      <c r="V476" s="86"/>
      <c r="W476" s="86"/>
      <c r="X476" s="86"/>
      <c r="Y476" s="86"/>
      <c r="Z476" s="86"/>
    </row>
    <row r="477" ht="15.75" customHeight="1">
      <c r="H477" s="86"/>
      <c r="I477" s="86"/>
      <c r="J477" s="86"/>
      <c r="K477" s="86"/>
      <c r="L477" s="86"/>
      <c r="M477" s="86"/>
      <c r="N477" s="86"/>
      <c r="O477" s="86"/>
      <c r="P477" s="86"/>
      <c r="Q477" s="86"/>
      <c r="R477" s="86"/>
      <c r="S477" s="86"/>
      <c r="T477" s="86"/>
      <c r="U477" s="86"/>
      <c r="V477" s="86"/>
      <c r="W477" s="86"/>
      <c r="X477" s="86"/>
      <c r="Y477" s="86"/>
      <c r="Z477" s="86"/>
    </row>
    <row r="478" ht="15.75" customHeight="1">
      <c r="H478" s="86"/>
      <c r="I478" s="86"/>
      <c r="J478" s="86"/>
      <c r="K478" s="86"/>
      <c r="L478" s="86"/>
      <c r="M478" s="86"/>
      <c r="N478" s="86"/>
      <c r="O478" s="86"/>
      <c r="P478" s="86"/>
      <c r="Q478" s="86"/>
      <c r="R478" s="86"/>
      <c r="S478" s="86"/>
      <c r="T478" s="86"/>
      <c r="U478" s="86"/>
      <c r="V478" s="86"/>
      <c r="W478" s="86"/>
      <c r="X478" s="86"/>
      <c r="Y478" s="86"/>
      <c r="Z478" s="86"/>
    </row>
    <row r="479" ht="15.75" customHeight="1">
      <c r="H479" s="86"/>
      <c r="I479" s="86"/>
      <c r="J479" s="86"/>
      <c r="K479" s="86"/>
      <c r="L479" s="86"/>
      <c r="M479" s="86"/>
      <c r="N479" s="86"/>
      <c r="O479" s="86"/>
      <c r="P479" s="86"/>
      <c r="Q479" s="86"/>
      <c r="R479" s="86"/>
      <c r="S479" s="86"/>
      <c r="T479" s="86"/>
      <c r="U479" s="86"/>
      <c r="V479" s="86"/>
      <c r="W479" s="86"/>
      <c r="X479" s="86"/>
      <c r="Y479" s="86"/>
      <c r="Z479" s="86"/>
    </row>
    <row r="480" ht="15.75" customHeight="1">
      <c r="H480" s="86"/>
      <c r="I480" s="86"/>
      <c r="J480" s="86"/>
      <c r="K480" s="86"/>
      <c r="L480" s="86"/>
      <c r="M480" s="86"/>
      <c r="N480" s="86"/>
      <c r="O480" s="86"/>
      <c r="P480" s="86"/>
      <c r="Q480" s="86"/>
      <c r="R480" s="86"/>
      <c r="S480" s="86"/>
      <c r="T480" s="86"/>
      <c r="U480" s="86"/>
      <c r="V480" s="86"/>
      <c r="W480" s="86"/>
      <c r="X480" s="86"/>
      <c r="Y480" s="86"/>
      <c r="Z480" s="86"/>
    </row>
    <row r="481" ht="15.75" customHeight="1">
      <c r="H481" s="86"/>
      <c r="I481" s="86"/>
      <c r="J481" s="86"/>
      <c r="K481" s="86"/>
      <c r="L481" s="86"/>
      <c r="M481" s="86"/>
      <c r="N481" s="86"/>
      <c r="O481" s="86"/>
      <c r="P481" s="86"/>
      <c r="Q481" s="86"/>
      <c r="R481" s="86"/>
      <c r="S481" s="86"/>
      <c r="T481" s="86"/>
      <c r="U481" s="86"/>
      <c r="V481" s="86"/>
      <c r="W481" s="86"/>
      <c r="X481" s="86"/>
      <c r="Y481" s="86"/>
      <c r="Z481" s="86"/>
    </row>
    <row r="482" ht="15.75" customHeight="1">
      <c r="H482" s="86"/>
      <c r="I482" s="86"/>
      <c r="J482" s="86"/>
      <c r="K482" s="86"/>
      <c r="L482" s="86"/>
      <c r="M482" s="86"/>
      <c r="N482" s="86"/>
      <c r="O482" s="86"/>
      <c r="P482" s="86"/>
      <c r="Q482" s="86"/>
      <c r="R482" s="86"/>
      <c r="S482" s="86"/>
      <c r="T482" s="86"/>
      <c r="U482" s="86"/>
      <c r="V482" s="86"/>
      <c r="W482" s="86"/>
      <c r="X482" s="86"/>
      <c r="Y482" s="86"/>
      <c r="Z482" s="86"/>
    </row>
    <row r="483" ht="15.75" customHeight="1">
      <c r="H483" s="86"/>
      <c r="I483" s="86"/>
      <c r="J483" s="86"/>
      <c r="K483" s="86"/>
      <c r="L483" s="86"/>
      <c r="M483" s="86"/>
      <c r="N483" s="86"/>
      <c r="O483" s="86"/>
      <c r="P483" s="86"/>
      <c r="Q483" s="86"/>
      <c r="R483" s="86"/>
      <c r="S483" s="86"/>
      <c r="T483" s="86"/>
      <c r="U483" s="86"/>
      <c r="V483" s="86"/>
      <c r="W483" s="86"/>
      <c r="X483" s="86"/>
      <c r="Y483" s="86"/>
      <c r="Z483" s="86"/>
    </row>
    <row r="484" ht="15.75" customHeight="1">
      <c r="H484" s="86"/>
      <c r="I484" s="86"/>
      <c r="J484" s="86"/>
      <c r="K484" s="86"/>
      <c r="L484" s="86"/>
      <c r="M484" s="86"/>
      <c r="N484" s="86"/>
      <c r="O484" s="86"/>
      <c r="P484" s="86"/>
      <c r="Q484" s="86"/>
      <c r="R484" s="86"/>
      <c r="S484" s="86"/>
      <c r="T484" s="86"/>
      <c r="U484" s="86"/>
      <c r="V484" s="86"/>
      <c r="W484" s="86"/>
      <c r="X484" s="86"/>
      <c r="Y484" s="86"/>
      <c r="Z484" s="86"/>
    </row>
    <row r="485" ht="15.75" customHeight="1">
      <c r="H485" s="86"/>
      <c r="I485" s="86"/>
      <c r="J485" s="86"/>
      <c r="K485" s="86"/>
      <c r="L485" s="86"/>
      <c r="M485" s="86"/>
      <c r="N485" s="86"/>
      <c r="O485" s="86"/>
      <c r="P485" s="86"/>
      <c r="Q485" s="86"/>
      <c r="R485" s="86"/>
      <c r="S485" s="86"/>
      <c r="T485" s="86"/>
      <c r="U485" s="86"/>
      <c r="V485" s="86"/>
      <c r="W485" s="86"/>
      <c r="X485" s="86"/>
      <c r="Y485" s="86"/>
      <c r="Z485" s="86"/>
    </row>
    <row r="486" ht="15.75" customHeight="1">
      <c r="H486" s="86"/>
      <c r="I486" s="86"/>
      <c r="J486" s="86"/>
      <c r="K486" s="86"/>
      <c r="L486" s="86"/>
      <c r="M486" s="86"/>
      <c r="N486" s="86"/>
      <c r="O486" s="86"/>
      <c r="P486" s="86"/>
      <c r="Q486" s="86"/>
      <c r="R486" s="86"/>
      <c r="S486" s="86"/>
      <c r="T486" s="86"/>
      <c r="U486" s="86"/>
      <c r="V486" s="86"/>
      <c r="W486" s="86"/>
      <c r="X486" s="86"/>
      <c r="Y486" s="86"/>
      <c r="Z486" s="86"/>
    </row>
    <row r="487" ht="15.75" customHeight="1">
      <c r="H487" s="86"/>
      <c r="I487" s="86"/>
      <c r="J487" s="86"/>
      <c r="K487" s="86"/>
      <c r="L487" s="86"/>
      <c r="M487" s="86"/>
      <c r="N487" s="86"/>
      <c r="O487" s="86"/>
      <c r="P487" s="86"/>
      <c r="Q487" s="86"/>
      <c r="R487" s="86"/>
      <c r="S487" s="86"/>
      <c r="T487" s="86"/>
      <c r="U487" s="86"/>
      <c r="V487" s="86"/>
      <c r="W487" s="86"/>
      <c r="X487" s="86"/>
      <c r="Y487" s="86"/>
      <c r="Z487" s="86"/>
    </row>
    <row r="488" ht="15.75" customHeight="1">
      <c r="H488" s="86"/>
      <c r="I488" s="86"/>
      <c r="J488" s="86"/>
      <c r="K488" s="86"/>
      <c r="L488" s="86"/>
      <c r="M488" s="86"/>
      <c r="N488" s="86"/>
      <c r="O488" s="86"/>
      <c r="P488" s="86"/>
      <c r="Q488" s="86"/>
      <c r="R488" s="86"/>
      <c r="S488" s="86"/>
      <c r="T488" s="86"/>
      <c r="U488" s="86"/>
      <c r="V488" s="86"/>
      <c r="W488" s="86"/>
      <c r="X488" s="86"/>
      <c r="Y488" s="86"/>
      <c r="Z488" s="86"/>
    </row>
    <row r="489" ht="15.75" customHeight="1">
      <c r="H489" s="86"/>
      <c r="I489" s="86"/>
      <c r="J489" s="86"/>
      <c r="K489" s="86"/>
      <c r="L489" s="86"/>
      <c r="M489" s="86"/>
      <c r="N489" s="86"/>
      <c r="O489" s="86"/>
      <c r="P489" s="86"/>
      <c r="Q489" s="86"/>
      <c r="R489" s="86"/>
      <c r="S489" s="86"/>
      <c r="T489" s="86"/>
      <c r="U489" s="86"/>
      <c r="V489" s="86"/>
      <c r="W489" s="86"/>
      <c r="X489" s="86"/>
      <c r="Y489" s="86"/>
      <c r="Z489" s="86"/>
    </row>
    <row r="490" ht="15.75" customHeight="1">
      <c r="H490" s="86"/>
      <c r="I490" s="86"/>
      <c r="J490" s="86"/>
      <c r="K490" s="86"/>
      <c r="L490" s="86"/>
      <c r="M490" s="86"/>
      <c r="N490" s="86"/>
      <c r="O490" s="86"/>
      <c r="P490" s="86"/>
      <c r="Q490" s="86"/>
      <c r="R490" s="86"/>
      <c r="S490" s="86"/>
      <c r="T490" s="86"/>
      <c r="U490" s="86"/>
      <c r="V490" s="86"/>
      <c r="W490" s="86"/>
      <c r="X490" s="86"/>
      <c r="Y490" s="86"/>
      <c r="Z490" s="86"/>
    </row>
    <row r="491" ht="15.75" customHeight="1">
      <c r="H491" s="86"/>
      <c r="I491" s="86"/>
      <c r="J491" s="86"/>
      <c r="K491" s="86"/>
      <c r="L491" s="86"/>
      <c r="M491" s="86"/>
      <c r="N491" s="86"/>
      <c r="O491" s="86"/>
      <c r="P491" s="86"/>
      <c r="Q491" s="86"/>
      <c r="R491" s="86"/>
      <c r="S491" s="86"/>
      <c r="T491" s="86"/>
      <c r="U491" s="86"/>
      <c r="V491" s="86"/>
      <c r="W491" s="86"/>
      <c r="X491" s="86"/>
      <c r="Y491" s="86"/>
      <c r="Z491" s="86"/>
    </row>
    <row r="492" ht="15.75" customHeight="1">
      <c r="H492" s="86"/>
      <c r="I492" s="86"/>
      <c r="J492" s="86"/>
      <c r="K492" s="86"/>
      <c r="L492" s="86"/>
      <c r="M492" s="86"/>
      <c r="N492" s="86"/>
      <c r="O492" s="86"/>
      <c r="P492" s="86"/>
      <c r="Q492" s="86"/>
      <c r="R492" s="86"/>
      <c r="S492" s="86"/>
      <c r="T492" s="86"/>
      <c r="U492" s="86"/>
      <c r="V492" s="86"/>
      <c r="W492" s="86"/>
      <c r="X492" s="86"/>
      <c r="Y492" s="86"/>
      <c r="Z492" s="86"/>
    </row>
    <row r="493" ht="15.75" customHeight="1">
      <c r="H493" s="86"/>
      <c r="I493" s="86"/>
      <c r="J493" s="86"/>
      <c r="K493" s="86"/>
      <c r="L493" s="86"/>
      <c r="M493" s="86"/>
      <c r="N493" s="86"/>
      <c r="O493" s="86"/>
      <c r="P493" s="86"/>
      <c r="Q493" s="86"/>
      <c r="R493" s="86"/>
      <c r="S493" s="86"/>
      <c r="T493" s="86"/>
      <c r="U493" s="86"/>
      <c r="V493" s="86"/>
      <c r="W493" s="86"/>
      <c r="X493" s="86"/>
      <c r="Y493" s="86"/>
      <c r="Z493" s="86"/>
    </row>
    <row r="494" ht="15.75" customHeight="1">
      <c r="H494" s="86"/>
      <c r="I494" s="86"/>
      <c r="J494" s="86"/>
      <c r="K494" s="86"/>
      <c r="L494" s="86"/>
      <c r="M494" s="86"/>
      <c r="N494" s="86"/>
      <c r="O494" s="86"/>
      <c r="P494" s="86"/>
      <c r="Q494" s="86"/>
      <c r="R494" s="86"/>
      <c r="S494" s="86"/>
      <c r="T494" s="86"/>
      <c r="U494" s="86"/>
      <c r="V494" s="86"/>
      <c r="W494" s="86"/>
      <c r="X494" s="86"/>
      <c r="Y494" s="86"/>
      <c r="Z494" s="86"/>
    </row>
    <row r="495" ht="15.75" customHeight="1">
      <c r="H495" s="86"/>
      <c r="I495" s="86"/>
      <c r="J495" s="86"/>
      <c r="K495" s="86"/>
      <c r="L495" s="86"/>
      <c r="M495" s="86"/>
      <c r="N495" s="86"/>
      <c r="O495" s="86"/>
      <c r="P495" s="86"/>
      <c r="Q495" s="86"/>
      <c r="R495" s="86"/>
      <c r="S495" s="86"/>
      <c r="T495" s="86"/>
      <c r="U495" s="86"/>
      <c r="V495" s="86"/>
      <c r="W495" s="86"/>
      <c r="X495" s="86"/>
      <c r="Y495" s="86"/>
      <c r="Z495" s="86"/>
    </row>
    <row r="496" ht="15.75" customHeight="1">
      <c r="H496" s="86"/>
      <c r="I496" s="86"/>
      <c r="J496" s="86"/>
      <c r="K496" s="86"/>
      <c r="L496" s="86"/>
      <c r="M496" s="86"/>
      <c r="N496" s="86"/>
      <c r="O496" s="86"/>
      <c r="P496" s="86"/>
      <c r="Q496" s="86"/>
      <c r="R496" s="86"/>
      <c r="S496" s="86"/>
      <c r="T496" s="86"/>
      <c r="U496" s="86"/>
      <c r="V496" s="86"/>
      <c r="W496" s="86"/>
      <c r="X496" s="86"/>
      <c r="Y496" s="86"/>
      <c r="Z496" s="86"/>
    </row>
    <row r="497" ht="15.75" customHeight="1">
      <c r="H497" s="86"/>
      <c r="I497" s="86"/>
      <c r="J497" s="86"/>
      <c r="K497" s="86"/>
      <c r="L497" s="86"/>
      <c r="M497" s="86"/>
      <c r="N497" s="86"/>
      <c r="O497" s="86"/>
      <c r="P497" s="86"/>
      <c r="Q497" s="86"/>
      <c r="R497" s="86"/>
      <c r="S497" s="86"/>
      <c r="T497" s="86"/>
      <c r="U497" s="86"/>
      <c r="V497" s="86"/>
      <c r="W497" s="86"/>
      <c r="X497" s="86"/>
      <c r="Y497" s="86"/>
      <c r="Z497" s="86"/>
    </row>
    <row r="498" ht="15.75" customHeight="1">
      <c r="H498" s="86"/>
      <c r="I498" s="86"/>
      <c r="J498" s="86"/>
      <c r="K498" s="86"/>
      <c r="L498" s="86"/>
      <c r="M498" s="86"/>
      <c r="N498" s="86"/>
      <c r="O498" s="86"/>
      <c r="P498" s="86"/>
      <c r="Q498" s="86"/>
      <c r="R498" s="86"/>
      <c r="S498" s="86"/>
      <c r="T498" s="86"/>
      <c r="U498" s="86"/>
      <c r="V498" s="86"/>
      <c r="W498" s="86"/>
      <c r="X498" s="86"/>
      <c r="Y498" s="86"/>
      <c r="Z498" s="86"/>
    </row>
    <row r="499" ht="15.75" customHeight="1">
      <c r="H499" s="86"/>
      <c r="I499" s="86"/>
      <c r="J499" s="86"/>
      <c r="K499" s="86"/>
      <c r="L499" s="86"/>
      <c r="M499" s="86"/>
      <c r="N499" s="86"/>
      <c r="O499" s="86"/>
      <c r="P499" s="86"/>
      <c r="Q499" s="86"/>
      <c r="R499" s="86"/>
      <c r="S499" s="86"/>
      <c r="T499" s="86"/>
      <c r="U499" s="86"/>
      <c r="V499" s="86"/>
      <c r="W499" s="86"/>
      <c r="X499" s="86"/>
      <c r="Y499" s="86"/>
      <c r="Z499" s="86"/>
    </row>
    <row r="500" ht="15.75" customHeight="1">
      <c r="H500" s="86"/>
      <c r="I500" s="86"/>
      <c r="J500" s="86"/>
      <c r="K500" s="86"/>
      <c r="L500" s="86"/>
      <c r="M500" s="86"/>
      <c r="N500" s="86"/>
      <c r="O500" s="86"/>
      <c r="P500" s="86"/>
      <c r="Q500" s="86"/>
      <c r="R500" s="86"/>
      <c r="S500" s="86"/>
      <c r="T500" s="86"/>
      <c r="U500" s="86"/>
      <c r="V500" s="86"/>
      <c r="W500" s="86"/>
      <c r="X500" s="86"/>
      <c r="Y500" s="86"/>
      <c r="Z500" s="86"/>
    </row>
    <row r="501" ht="15.75" customHeight="1">
      <c r="H501" s="86"/>
      <c r="I501" s="86"/>
      <c r="J501" s="86"/>
      <c r="K501" s="86"/>
      <c r="L501" s="86"/>
      <c r="M501" s="86"/>
      <c r="N501" s="86"/>
      <c r="O501" s="86"/>
      <c r="P501" s="86"/>
      <c r="Q501" s="86"/>
      <c r="R501" s="86"/>
      <c r="S501" s="86"/>
      <c r="T501" s="86"/>
      <c r="U501" s="86"/>
      <c r="V501" s="86"/>
      <c r="W501" s="86"/>
      <c r="X501" s="86"/>
      <c r="Y501" s="86"/>
      <c r="Z501" s="86"/>
    </row>
    <row r="502" ht="15.75" customHeight="1">
      <c r="H502" s="86"/>
      <c r="I502" s="86"/>
      <c r="J502" s="86"/>
      <c r="K502" s="86"/>
      <c r="L502" s="86"/>
      <c r="M502" s="86"/>
      <c r="N502" s="86"/>
      <c r="O502" s="86"/>
      <c r="P502" s="86"/>
      <c r="Q502" s="86"/>
      <c r="R502" s="86"/>
      <c r="S502" s="86"/>
      <c r="T502" s="86"/>
      <c r="U502" s="86"/>
      <c r="V502" s="86"/>
      <c r="W502" s="86"/>
      <c r="X502" s="86"/>
      <c r="Y502" s="86"/>
      <c r="Z502" s="86"/>
    </row>
    <row r="503" ht="15.75" customHeight="1">
      <c r="H503" s="86"/>
      <c r="I503" s="86"/>
      <c r="J503" s="86"/>
      <c r="K503" s="86"/>
      <c r="L503" s="86"/>
      <c r="M503" s="86"/>
      <c r="N503" s="86"/>
      <c r="O503" s="86"/>
      <c r="P503" s="86"/>
      <c r="Q503" s="86"/>
      <c r="R503" s="86"/>
      <c r="S503" s="86"/>
      <c r="T503" s="86"/>
      <c r="U503" s="86"/>
      <c r="V503" s="86"/>
      <c r="W503" s="86"/>
      <c r="X503" s="86"/>
      <c r="Y503" s="86"/>
      <c r="Z503" s="86"/>
    </row>
    <row r="504" ht="15.75" customHeight="1">
      <c r="H504" s="86"/>
      <c r="I504" s="86"/>
      <c r="J504" s="86"/>
      <c r="K504" s="86"/>
      <c r="L504" s="86"/>
      <c r="M504" s="86"/>
      <c r="N504" s="86"/>
      <c r="O504" s="86"/>
      <c r="P504" s="86"/>
      <c r="Q504" s="86"/>
      <c r="R504" s="86"/>
      <c r="S504" s="86"/>
      <c r="T504" s="86"/>
      <c r="U504" s="86"/>
      <c r="V504" s="86"/>
      <c r="W504" s="86"/>
      <c r="X504" s="86"/>
      <c r="Y504" s="86"/>
      <c r="Z504" s="86"/>
    </row>
    <row r="505" ht="15.75" customHeight="1">
      <c r="H505" s="86"/>
      <c r="I505" s="86"/>
      <c r="J505" s="86"/>
      <c r="K505" s="86"/>
      <c r="L505" s="86"/>
      <c r="M505" s="86"/>
      <c r="N505" s="86"/>
      <c r="O505" s="86"/>
      <c r="P505" s="86"/>
      <c r="Q505" s="86"/>
      <c r="R505" s="86"/>
      <c r="S505" s="86"/>
      <c r="T505" s="86"/>
      <c r="U505" s="86"/>
      <c r="V505" s="86"/>
      <c r="W505" s="86"/>
      <c r="X505" s="86"/>
      <c r="Y505" s="86"/>
      <c r="Z505" s="86"/>
    </row>
    <row r="506" ht="15.75" customHeight="1">
      <c r="H506" s="86"/>
      <c r="I506" s="86"/>
      <c r="J506" s="86"/>
      <c r="K506" s="86"/>
      <c r="L506" s="86"/>
      <c r="M506" s="86"/>
      <c r="N506" s="86"/>
      <c r="O506" s="86"/>
      <c r="P506" s="86"/>
      <c r="Q506" s="86"/>
      <c r="R506" s="86"/>
      <c r="S506" s="86"/>
      <c r="T506" s="86"/>
      <c r="U506" s="86"/>
      <c r="V506" s="86"/>
      <c r="W506" s="86"/>
      <c r="X506" s="86"/>
      <c r="Y506" s="86"/>
      <c r="Z506" s="86"/>
    </row>
    <row r="507" ht="15.75" customHeight="1">
      <c r="H507" s="86"/>
      <c r="I507" s="86"/>
      <c r="J507" s="86"/>
      <c r="K507" s="86"/>
      <c r="L507" s="86"/>
      <c r="M507" s="86"/>
      <c r="N507" s="86"/>
      <c r="O507" s="86"/>
      <c r="P507" s="86"/>
      <c r="Q507" s="86"/>
      <c r="R507" s="86"/>
      <c r="S507" s="86"/>
      <c r="T507" s="86"/>
      <c r="U507" s="86"/>
      <c r="V507" s="86"/>
      <c r="W507" s="86"/>
      <c r="X507" s="86"/>
      <c r="Y507" s="86"/>
      <c r="Z507" s="86"/>
    </row>
    <row r="508" ht="15.75" customHeight="1">
      <c r="H508" s="86"/>
      <c r="I508" s="86"/>
      <c r="J508" s="86"/>
      <c r="K508" s="86"/>
      <c r="L508" s="86"/>
      <c r="M508" s="86"/>
      <c r="N508" s="86"/>
      <c r="O508" s="86"/>
      <c r="P508" s="86"/>
      <c r="Q508" s="86"/>
      <c r="R508" s="86"/>
      <c r="S508" s="86"/>
      <c r="T508" s="86"/>
      <c r="U508" s="86"/>
      <c r="V508" s="86"/>
      <c r="W508" s="86"/>
      <c r="X508" s="86"/>
      <c r="Y508" s="86"/>
      <c r="Z508" s="86"/>
    </row>
    <row r="509" ht="15.75" customHeight="1">
      <c r="H509" s="86"/>
      <c r="I509" s="86"/>
      <c r="J509" s="86"/>
      <c r="K509" s="86"/>
      <c r="L509" s="86"/>
      <c r="M509" s="86"/>
      <c r="N509" s="86"/>
      <c r="O509" s="86"/>
      <c r="P509" s="86"/>
      <c r="Q509" s="86"/>
      <c r="R509" s="86"/>
      <c r="S509" s="86"/>
      <c r="T509" s="86"/>
      <c r="U509" s="86"/>
      <c r="V509" s="86"/>
      <c r="W509" s="86"/>
      <c r="X509" s="86"/>
      <c r="Y509" s="86"/>
      <c r="Z509" s="86"/>
    </row>
    <row r="510" ht="15.75" customHeight="1">
      <c r="H510" s="86"/>
      <c r="I510" s="86"/>
      <c r="J510" s="86"/>
      <c r="K510" s="86"/>
      <c r="L510" s="86"/>
      <c r="M510" s="86"/>
      <c r="N510" s="86"/>
      <c r="O510" s="86"/>
      <c r="P510" s="86"/>
      <c r="Q510" s="86"/>
      <c r="R510" s="86"/>
      <c r="S510" s="86"/>
      <c r="T510" s="86"/>
      <c r="U510" s="86"/>
      <c r="V510" s="86"/>
      <c r="W510" s="86"/>
      <c r="X510" s="86"/>
      <c r="Y510" s="86"/>
      <c r="Z510" s="86"/>
    </row>
    <row r="511" ht="15.75" customHeight="1">
      <c r="H511" s="86"/>
      <c r="I511" s="86"/>
      <c r="J511" s="86"/>
      <c r="K511" s="86"/>
      <c r="L511" s="86"/>
      <c r="M511" s="86"/>
      <c r="N511" s="86"/>
      <c r="O511" s="86"/>
      <c r="P511" s="86"/>
      <c r="Q511" s="86"/>
      <c r="R511" s="86"/>
      <c r="S511" s="86"/>
      <c r="T511" s="86"/>
      <c r="U511" s="86"/>
      <c r="V511" s="86"/>
      <c r="W511" s="86"/>
      <c r="X511" s="86"/>
      <c r="Y511" s="86"/>
      <c r="Z511" s="86"/>
    </row>
    <row r="512" ht="15.75" customHeight="1">
      <c r="H512" s="86"/>
      <c r="I512" s="86"/>
      <c r="J512" s="86"/>
      <c r="K512" s="86"/>
      <c r="L512" s="86"/>
      <c r="M512" s="86"/>
      <c r="N512" s="86"/>
      <c r="O512" s="86"/>
      <c r="P512" s="86"/>
      <c r="Q512" s="86"/>
      <c r="R512" s="86"/>
      <c r="S512" s="86"/>
      <c r="T512" s="86"/>
      <c r="U512" s="86"/>
      <c r="V512" s="86"/>
      <c r="W512" s="86"/>
      <c r="X512" s="86"/>
      <c r="Y512" s="86"/>
      <c r="Z512" s="86"/>
    </row>
    <row r="513" ht="15.75" customHeight="1">
      <c r="H513" s="86"/>
      <c r="I513" s="86"/>
      <c r="J513" s="86"/>
      <c r="K513" s="86"/>
      <c r="L513" s="86"/>
      <c r="M513" s="86"/>
      <c r="N513" s="86"/>
      <c r="O513" s="86"/>
      <c r="P513" s="86"/>
      <c r="Q513" s="86"/>
      <c r="R513" s="86"/>
      <c r="S513" s="86"/>
      <c r="T513" s="86"/>
      <c r="U513" s="86"/>
      <c r="V513" s="86"/>
      <c r="W513" s="86"/>
      <c r="X513" s="86"/>
      <c r="Y513" s="86"/>
      <c r="Z513" s="86"/>
    </row>
    <row r="514" ht="15.75" customHeight="1">
      <c r="H514" s="86"/>
      <c r="I514" s="86"/>
      <c r="J514" s="86"/>
      <c r="K514" s="86"/>
      <c r="L514" s="86"/>
      <c r="M514" s="86"/>
      <c r="N514" s="86"/>
      <c r="O514" s="86"/>
      <c r="P514" s="86"/>
      <c r="Q514" s="86"/>
      <c r="R514" s="86"/>
      <c r="S514" s="86"/>
      <c r="T514" s="86"/>
      <c r="U514" s="86"/>
      <c r="V514" s="86"/>
      <c r="W514" s="86"/>
      <c r="X514" s="86"/>
      <c r="Y514" s="86"/>
      <c r="Z514" s="86"/>
    </row>
    <row r="515" ht="15.75" customHeight="1">
      <c r="H515" s="86"/>
      <c r="I515" s="86"/>
      <c r="J515" s="86"/>
      <c r="K515" s="86"/>
      <c r="L515" s="86"/>
      <c r="M515" s="86"/>
      <c r="N515" s="86"/>
      <c r="O515" s="86"/>
      <c r="P515" s="86"/>
      <c r="Q515" s="86"/>
      <c r="R515" s="86"/>
      <c r="S515" s="86"/>
      <c r="T515" s="86"/>
      <c r="U515" s="86"/>
      <c r="V515" s="86"/>
      <c r="W515" s="86"/>
      <c r="X515" s="86"/>
      <c r="Y515" s="86"/>
      <c r="Z515" s="86"/>
    </row>
    <row r="516" ht="15.75" customHeight="1">
      <c r="H516" s="86"/>
      <c r="I516" s="86"/>
      <c r="J516" s="86"/>
      <c r="K516" s="86"/>
      <c r="L516" s="86"/>
      <c r="M516" s="86"/>
      <c r="N516" s="86"/>
      <c r="O516" s="86"/>
      <c r="P516" s="86"/>
      <c r="Q516" s="86"/>
      <c r="R516" s="86"/>
      <c r="S516" s="86"/>
      <c r="T516" s="86"/>
      <c r="U516" s="86"/>
      <c r="V516" s="86"/>
      <c r="W516" s="86"/>
      <c r="X516" s="86"/>
      <c r="Y516" s="86"/>
      <c r="Z516" s="86"/>
    </row>
    <row r="517" ht="15.75" customHeight="1">
      <c r="H517" s="86"/>
      <c r="I517" s="86"/>
      <c r="J517" s="86"/>
      <c r="K517" s="86"/>
      <c r="L517" s="86"/>
      <c r="M517" s="86"/>
      <c r="N517" s="86"/>
      <c r="O517" s="86"/>
      <c r="P517" s="86"/>
      <c r="Q517" s="86"/>
      <c r="R517" s="86"/>
      <c r="S517" s="86"/>
      <c r="T517" s="86"/>
      <c r="U517" s="86"/>
      <c r="V517" s="86"/>
      <c r="W517" s="86"/>
      <c r="X517" s="86"/>
      <c r="Y517" s="86"/>
      <c r="Z517" s="86"/>
    </row>
    <row r="518" ht="15.75" customHeight="1">
      <c r="H518" s="86"/>
      <c r="I518" s="86"/>
      <c r="J518" s="86"/>
      <c r="K518" s="86"/>
      <c r="L518" s="86"/>
      <c r="M518" s="86"/>
      <c r="N518" s="86"/>
      <c r="O518" s="86"/>
      <c r="P518" s="86"/>
      <c r="Q518" s="86"/>
      <c r="R518" s="86"/>
      <c r="S518" s="86"/>
      <c r="T518" s="86"/>
      <c r="U518" s="86"/>
      <c r="V518" s="86"/>
      <c r="W518" s="86"/>
      <c r="X518" s="86"/>
      <c r="Y518" s="86"/>
      <c r="Z518" s="86"/>
    </row>
    <row r="519" ht="15.75" customHeight="1">
      <c r="H519" s="86"/>
      <c r="I519" s="86"/>
      <c r="J519" s="86"/>
      <c r="K519" s="86"/>
      <c r="L519" s="86"/>
      <c r="M519" s="86"/>
      <c r="N519" s="86"/>
      <c r="O519" s="86"/>
      <c r="P519" s="86"/>
      <c r="Q519" s="86"/>
      <c r="R519" s="86"/>
      <c r="S519" s="86"/>
      <c r="T519" s="86"/>
      <c r="U519" s="86"/>
      <c r="V519" s="86"/>
      <c r="W519" s="86"/>
      <c r="X519" s="86"/>
      <c r="Y519" s="86"/>
      <c r="Z519" s="86"/>
    </row>
    <row r="520" ht="15.75" customHeight="1">
      <c r="H520" s="86"/>
      <c r="I520" s="86"/>
      <c r="J520" s="86"/>
      <c r="K520" s="86"/>
      <c r="L520" s="86"/>
      <c r="M520" s="86"/>
      <c r="N520" s="86"/>
      <c r="O520" s="86"/>
      <c r="P520" s="86"/>
      <c r="Q520" s="86"/>
      <c r="R520" s="86"/>
      <c r="S520" s="86"/>
      <c r="T520" s="86"/>
      <c r="U520" s="86"/>
      <c r="V520" s="86"/>
      <c r="W520" s="86"/>
      <c r="X520" s="86"/>
      <c r="Y520" s="86"/>
      <c r="Z520" s="86"/>
    </row>
    <row r="521" ht="15.75" customHeight="1">
      <c r="H521" s="86"/>
      <c r="I521" s="86"/>
      <c r="J521" s="86"/>
      <c r="K521" s="86"/>
      <c r="L521" s="86"/>
      <c r="M521" s="86"/>
      <c r="N521" s="86"/>
      <c r="O521" s="86"/>
      <c r="P521" s="86"/>
      <c r="Q521" s="86"/>
      <c r="R521" s="86"/>
      <c r="S521" s="86"/>
      <c r="T521" s="86"/>
      <c r="U521" s="86"/>
      <c r="V521" s="86"/>
      <c r="W521" s="86"/>
      <c r="X521" s="86"/>
      <c r="Y521" s="86"/>
      <c r="Z521" s="86"/>
    </row>
    <row r="522" ht="15.75" customHeight="1">
      <c r="H522" s="86"/>
      <c r="I522" s="86"/>
      <c r="J522" s="86"/>
      <c r="K522" s="86"/>
      <c r="L522" s="86"/>
      <c r="M522" s="86"/>
      <c r="N522" s="86"/>
      <c r="O522" s="86"/>
      <c r="P522" s="86"/>
      <c r="Q522" s="86"/>
      <c r="R522" s="86"/>
      <c r="S522" s="86"/>
      <c r="T522" s="86"/>
      <c r="U522" s="86"/>
      <c r="V522" s="86"/>
      <c r="W522" s="86"/>
      <c r="X522" s="86"/>
      <c r="Y522" s="86"/>
      <c r="Z522" s="86"/>
    </row>
    <row r="523" ht="15.75" customHeight="1">
      <c r="H523" s="86"/>
      <c r="I523" s="86"/>
      <c r="J523" s="86"/>
      <c r="K523" s="86"/>
      <c r="L523" s="86"/>
      <c r="M523" s="86"/>
      <c r="N523" s="86"/>
      <c r="O523" s="86"/>
      <c r="P523" s="86"/>
      <c r="Q523" s="86"/>
      <c r="R523" s="86"/>
      <c r="S523" s="86"/>
      <c r="T523" s="86"/>
      <c r="U523" s="86"/>
      <c r="V523" s="86"/>
      <c r="W523" s="86"/>
      <c r="X523" s="86"/>
      <c r="Y523" s="86"/>
      <c r="Z523" s="86"/>
    </row>
    <row r="524" ht="15.75" customHeight="1">
      <c r="H524" s="86"/>
      <c r="I524" s="86"/>
      <c r="J524" s="86"/>
      <c r="K524" s="86"/>
      <c r="L524" s="86"/>
      <c r="M524" s="86"/>
      <c r="N524" s="86"/>
      <c r="O524" s="86"/>
      <c r="P524" s="86"/>
      <c r="Q524" s="86"/>
      <c r="R524" s="86"/>
      <c r="S524" s="86"/>
      <c r="T524" s="86"/>
      <c r="U524" s="86"/>
      <c r="V524" s="86"/>
      <c r="W524" s="86"/>
      <c r="X524" s="86"/>
      <c r="Y524" s="86"/>
      <c r="Z524" s="86"/>
    </row>
    <row r="525" ht="15.75" customHeight="1">
      <c r="H525" s="86"/>
      <c r="I525" s="86"/>
      <c r="J525" s="86"/>
      <c r="K525" s="86"/>
      <c r="L525" s="86"/>
      <c r="M525" s="86"/>
      <c r="N525" s="86"/>
      <c r="O525" s="86"/>
      <c r="P525" s="86"/>
      <c r="Q525" s="86"/>
      <c r="R525" s="86"/>
      <c r="S525" s="86"/>
      <c r="T525" s="86"/>
      <c r="U525" s="86"/>
      <c r="V525" s="86"/>
      <c r="W525" s="86"/>
      <c r="X525" s="86"/>
      <c r="Y525" s="86"/>
      <c r="Z525" s="86"/>
    </row>
    <row r="526" ht="15.75" customHeight="1">
      <c r="H526" s="86"/>
      <c r="I526" s="86"/>
      <c r="J526" s="86"/>
      <c r="K526" s="86"/>
      <c r="L526" s="86"/>
      <c r="M526" s="86"/>
      <c r="N526" s="86"/>
      <c r="O526" s="86"/>
      <c r="P526" s="86"/>
      <c r="Q526" s="86"/>
      <c r="R526" s="86"/>
      <c r="S526" s="86"/>
      <c r="T526" s="86"/>
      <c r="U526" s="86"/>
      <c r="V526" s="86"/>
      <c r="W526" s="86"/>
      <c r="X526" s="86"/>
      <c r="Y526" s="86"/>
      <c r="Z526" s="86"/>
    </row>
    <row r="527" ht="15.75" customHeight="1">
      <c r="H527" s="86"/>
      <c r="I527" s="86"/>
      <c r="J527" s="86"/>
      <c r="K527" s="86"/>
      <c r="L527" s="86"/>
      <c r="M527" s="86"/>
      <c r="N527" s="86"/>
      <c r="O527" s="86"/>
      <c r="P527" s="86"/>
      <c r="Q527" s="86"/>
      <c r="R527" s="86"/>
      <c r="S527" s="86"/>
      <c r="T527" s="86"/>
      <c r="U527" s="86"/>
      <c r="V527" s="86"/>
      <c r="W527" s="86"/>
      <c r="X527" s="86"/>
      <c r="Y527" s="86"/>
      <c r="Z527" s="86"/>
    </row>
    <row r="528" ht="15.75" customHeight="1">
      <c r="H528" s="86"/>
      <c r="I528" s="86"/>
      <c r="J528" s="86"/>
      <c r="K528" s="86"/>
      <c r="L528" s="86"/>
      <c r="M528" s="86"/>
      <c r="N528" s="86"/>
      <c r="O528" s="86"/>
      <c r="P528" s="86"/>
      <c r="Q528" s="86"/>
      <c r="R528" s="86"/>
      <c r="S528" s="86"/>
      <c r="T528" s="86"/>
      <c r="U528" s="86"/>
      <c r="V528" s="86"/>
      <c r="W528" s="86"/>
      <c r="X528" s="86"/>
      <c r="Y528" s="86"/>
      <c r="Z528" s="86"/>
    </row>
    <row r="529" ht="15.75" customHeight="1">
      <c r="H529" s="86"/>
      <c r="I529" s="86"/>
      <c r="J529" s="86"/>
      <c r="K529" s="86"/>
      <c r="L529" s="86"/>
      <c r="M529" s="86"/>
      <c r="N529" s="86"/>
      <c r="O529" s="86"/>
      <c r="P529" s="86"/>
      <c r="Q529" s="86"/>
      <c r="R529" s="86"/>
      <c r="S529" s="86"/>
      <c r="T529" s="86"/>
      <c r="U529" s="86"/>
      <c r="V529" s="86"/>
      <c r="W529" s="86"/>
      <c r="X529" s="86"/>
      <c r="Y529" s="86"/>
      <c r="Z529" s="86"/>
    </row>
    <row r="530" ht="15.75" customHeight="1">
      <c r="H530" s="86"/>
      <c r="I530" s="86"/>
      <c r="J530" s="86"/>
      <c r="K530" s="86"/>
      <c r="L530" s="86"/>
      <c r="M530" s="86"/>
      <c r="N530" s="86"/>
      <c r="O530" s="86"/>
      <c r="P530" s="86"/>
      <c r="Q530" s="86"/>
      <c r="R530" s="86"/>
      <c r="S530" s="86"/>
      <c r="T530" s="86"/>
      <c r="U530" s="86"/>
      <c r="V530" s="86"/>
      <c r="W530" s="86"/>
      <c r="X530" s="86"/>
      <c r="Y530" s="86"/>
      <c r="Z530" s="86"/>
    </row>
    <row r="531" ht="15.75" customHeight="1">
      <c r="H531" s="86"/>
      <c r="I531" s="86"/>
      <c r="J531" s="86"/>
      <c r="K531" s="86"/>
      <c r="L531" s="86"/>
      <c r="M531" s="86"/>
      <c r="N531" s="86"/>
      <c r="O531" s="86"/>
      <c r="P531" s="86"/>
      <c r="Q531" s="86"/>
      <c r="R531" s="86"/>
      <c r="S531" s="86"/>
      <c r="T531" s="86"/>
      <c r="U531" s="86"/>
      <c r="V531" s="86"/>
      <c r="W531" s="86"/>
      <c r="X531" s="86"/>
      <c r="Y531" s="86"/>
      <c r="Z531" s="86"/>
    </row>
    <row r="532" ht="15.75" customHeight="1">
      <c r="H532" s="86"/>
      <c r="I532" s="86"/>
      <c r="J532" s="86"/>
      <c r="K532" s="86"/>
      <c r="L532" s="86"/>
      <c r="M532" s="86"/>
      <c r="N532" s="86"/>
      <c r="O532" s="86"/>
      <c r="P532" s="86"/>
      <c r="Q532" s="86"/>
      <c r="R532" s="86"/>
      <c r="S532" s="86"/>
      <c r="T532" s="86"/>
      <c r="U532" s="86"/>
      <c r="V532" s="86"/>
      <c r="W532" s="86"/>
      <c r="X532" s="86"/>
      <c r="Y532" s="86"/>
      <c r="Z532" s="86"/>
    </row>
    <row r="533" ht="15.75" customHeight="1">
      <c r="H533" s="86"/>
      <c r="I533" s="86"/>
      <c r="J533" s="86"/>
      <c r="K533" s="86"/>
      <c r="L533" s="86"/>
      <c r="M533" s="86"/>
      <c r="N533" s="86"/>
      <c r="O533" s="86"/>
      <c r="P533" s="86"/>
      <c r="Q533" s="86"/>
      <c r="R533" s="86"/>
      <c r="S533" s="86"/>
      <c r="T533" s="86"/>
      <c r="U533" s="86"/>
      <c r="V533" s="86"/>
      <c r="W533" s="86"/>
      <c r="X533" s="86"/>
      <c r="Y533" s="86"/>
      <c r="Z533" s="86"/>
    </row>
    <row r="534" ht="15.75" customHeight="1">
      <c r="H534" s="86"/>
      <c r="I534" s="86"/>
      <c r="J534" s="86"/>
      <c r="K534" s="86"/>
      <c r="L534" s="86"/>
      <c r="M534" s="86"/>
      <c r="N534" s="86"/>
      <c r="O534" s="86"/>
      <c r="P534" s="86"/>
      <c r="Q534" s="86"/>
      <c r="R534" s="86"/>
      <c r="S534" s="86"/>
      <c r="T534" s="86"/>
      <c r="U534" s="86"/>
      <c r="V534" s="86"/>
      <c r="W534" s="86"/>
      <c r="X534" s="86"/>
      <c r="Y534" s="86"/>
      <c r="Z534" s="86"/>
    </row>
    <row r="535" ht="15.75" customHeight="1">
      <c r="H535" s="86"/>
      <c r="I535" s="86"/>
      <c r="J535" s="86"/>
      <c r="K535" s="86"/>
      <c r="L535" s="86"/>
      <c r="M535" s="86"/>
      <c r="N535" s="86"/>
      <c r="O535" s="86"/>
      <c r="P535" s="86"/>
      <c r="Q535" s="86"/>
      <c r="R535" s="86"/>
      <c r="S535" s="86"/>
      <c r="T535" s="86"/>
      <c r="U535" s="86"/>
      <c r="V535" s="86"/>
      <c r="W535" s="86"/>
      <c r="X535" s="86"/>
      <c r="Y535" s="86"/>
      <c r="Z535" s="86"/>
    </row>
    <row r="536" ht="15.75" customHeight="1">
      <c r="H536" s="86"/>
      <c r="I536" s="86"/>
      <c r="J536" s="86"/>
      <c r="K536" s="86"/>
      <c r="L536" s="86"/>
      <c r="M536" s="86"/>
      <c r="N536" s="86"/>
      <c r="O536" s="86"/>
      <c r="P536" s="86"/>
      <c r="Q536" s="86"/>
      <c r="R536" s="86"/>
      <c r="S536" s="86"/>
      <c r="T536" s="86"/>
      <c r="U536" s="86"/>
      <c r="V536" s="86"/>
      <c r="W536" s="86"/>
      <c r="X536" s="86"/>
      <c r="Y536" s="86"/>
      <c r="Z536" s="86"/>
    </row>
    <row r="537" ht="15.75" customHeight="1">
      <c r="H537" s="86"/>
      <c r="I537" s="86"/>
      <c r="J537" s="86"/>
      <c r="K537" s="86"/>
      <c r="L537" s="86"/>
      <c r="M537" s="86"/>
      <c r="N537" s="86"/>
      <c r="O537" s="86"/>
      <c r="P537" s="86"/>
      <c r="Q537" s="86"/>
      <c r="R537" s="86"/>
      <c r="S537" s="86"/>
      <c r="T537" s="86"/>
      <c r="U537" s="86"/>
      <c r="V537" s="86"/>
      <c r="W537" s="86"/>
      <c r="X537" s="86"/>
      <c r="Y537" s="86"/>
      <c r="Z537" s="86"/>
    </row>
    <row r="538" ht="15.75" customHeight="1">
      <c r="H538" s="86"/>
      <c r="I538" s="86"/>
      <c r="J538" s="86"/>
      <c r="K538" s="86"/>
      <c r="L538" s="86"/>
      <c r="M538" s="86"/>
      <c r="N538" s="86"/>
      <c r="O538" s="86"/>
      <c r="P538" s="86"/>
      <c r="Q538" s="86"/>
      <c r="R538" s="86"/>
      <c r="S538" s="86"/>
      <c r="T538" s="86"/>
      <c r="U538" s="86"/>
      <c r="V538" s="86"/>
      <c r="W538" s="86"/>
      <c r="X538" s="86"/>
      <c r="Y538" s="86"/>
      <c r="Z538" s="86"/>
    </row>
    <row r="539" ht="15.75" customHeight="1">
      <c r="H539" s="86"/>
      <c r="I539" s="86"/>
      <c r="J539" s="86"/>
      <c r="K539" s="86"/>
      <c r="L539" s="86"/>
      <c r="M539" s="86"/>
      <c r="N539" s="86"/>
      <c r="O539" s="86"/>
      <c r="P539" s="86"/>
      <c r="Q539" s="86"/>
      <c r="R539" s="86"/>
      <c r="S539" s="86"/>
      <c r="T539" s="86"/>
      <c r="U539" s="86"/>
      <c r="V539" s="86"/>
      <c r="W539" s="86"/>
      <c r="X539" s="86"/>
      <c r="Y539" s="86"/>
      <c r="Z539" s="86"/>
    </row>
    <row r="540" ht="15.75" customHeight="1">
      <c r="H540" s="86"/>
      <c r="I540" s="86"/>
      <c r="J540" s="86"/>
      <c r="K540" s="86"/>
      <c r="L540" s="86"/>
      <c r="M540" s="86"/>
      <c r="N540" s="86"/>
      <c r="O540" s="86"/>
      <c r="P540" s="86"/>
      <c r="Q540" s="86"/>
      <c r="R540" s="86"/>
      <c r="S540" s="86"/>
      <c r="T540" s="86"/>
      <c r="U540" s="86"/>
      <c r="V540" s="86"/>
      <c r="W540" s="86"/>
      <c r="X540" s="86"/>
      <c r="Y540" s="86"/>
      <c r="Z540" s="86"/>
    </row>
    <row r="541" ht="15.75" customHeight="1">
      <c r="H541" s="86"/>
      <c r="I541" s="86"/>
      <c r="J541" s="86"/>
      <c r="K541" s="86"/>
      <c r="L541" s="86"/>
      <c r="M541" s="86"/>
      <c r="N541" s="86"/>
      <c r="O541" s="86"/>
      <c r="P541" s="86"/>
      <c r="Q541" s="86"/>
      <c r="R541" s="86"/>
      <c r="S541" s="86"/>
      <c r="T541" s="86"/>
      <c r="U541" s="86"/>
      <c r="V541" s="86"/>
      <c r="W541" s="86"/>
      <c r="X541" s="86"/>
      <c r="Y541" s="86"/>
      <c r="Z541" s="86"/>
    </row>
    <row r="542" ht="15.75" customHeight="1">
      <c r="H542" s="86"/>
      <c r="I542" s="86"/>
      <c r="J542" s="86"/>
      <c r="K542" s="86"/>
      <c r="L542" s="86"/>
      <c r="M542" s="86"/>
      <c r="N542" s="86"/>
      <c r="O542" s="86"/>
      <c r="P542" s="86"/>
      <c r="Q542" s="86"/>
      <c r="R542" s="86"/>
      <c r="S542" s="86"/>
      <c r="T542" s="86"/>
      <c r="U542" s="86"/>
      <c r="V542" s="86"/>
      <c r="W542" s="86"/>
      <c r="X542" s="86"/>
      <c r="Y542" s="86"/>
      <c r="Z542" s="86"/>
    </row>
    <row r="543" ht="15.75" customHeight="1">
      <c r="H543" s="86"/>
      <c r="I543" s="86"/>
      <c r="J543" s="86"/>
      <c r="K543" s="86"/>
      <c r="L543" s="86"/>
      <c r="M543" s="86"/>
      <c r="N543" s="86"/>
      <c r="O543" s="86"/>
      <c r="P543" s="86"/>
      <c r="Q543" s="86"/>
      <c r="R543" s="86"/>
      <c r="S543" s="86"/>
      <c r="T543" s="86"/>
      <c r="U543" s="86"/>
      <c r="V543" s="86"/>
      <c r="W543" s="86"/>
      <c r="X543" s="86"/>
      <c r="Y543" s="86"/>
      <c r="Z543" s="86"/>
    </row>
    <row r="544" ht="15.75" customHeight="1">
      <c r="H544" s="86"/>
      <c r="I544" s="86"/>
      <c r="J544" s="86"/>
      <c r="K544" s="86"/>
      <c r="L544" s="86"/>
      <c r="M544" s="86"/>
      <c r="N544" s="86"/>
      <c r="O544" s="86"/>
      <c r="P544" s="86"/>
      <c r="Q544" s="86"/>
      <c r="R544" s="86"/>
      <c r="S544" s="86"/>
      <c r="T544" s="86"/>
      <c r="U544" s="86"/>
      <c r="V544" s="86"/>
      <c r="W544" s="86"/>
      <c r="X544" s="86"/>
      <c r="Y544" s="86"/>
      <c r="Z544" s="86"/>
    </row>
    <row r="545" ht="15.75" customHeight="1">
      <c r="H545" s="86"/>
      <c r="I545" s="86"/>
      <c r="J545" s="86"/>
      <c r="K545" s="86"/>
      <c r="L545" s="86"/>
      <c r="M545" s="86"/>
      <c r="N545" s="86"/>
      <c r="O545" s="86"/>
      <c r="P545" s="86"/>
      <c r="Q545" s="86"/>
      <c r="R545" s="86"/>
      <c r="S545" s="86"/>
      <c r="T545" s="86"/>
      <c r="U545" s="86"/>
      <c r="V545" s="86"/>
      <c r="W545" s="86"/>
      <c r="X545" s="86"/>
      <c r="Y545" s="86"/>
      <c r="Z545" s="86"/>
    </row>
    <row r="546" ht="15.75" customHeight="1">
      <c r="H546" s="86"/>
      <c r="I546" s="86"/>
      <c r="J546" s="86"/>
      <c r="K546" s="86"/>
      <c r="L546" s="86"/>
      <c r="M546" s="86"/>
      <c r="N546" s="86"/>
      <c r="O546" s="86"/>
      <c r="P546" s="86"/>
      <c r="Q546" s="86"/>
      <c r="R546" s="86"/>
      <c r="S546" s="86"/>
      <c r="T546" s="86"/>
      <c r="U546" s="86"/>
      <c r="V546" s="86"/>
      <c r="W546" s="86"/>
      <c r="X546" s="86"/>
      <c r="Y546" s="86"/>
      <c r="Z546" s="86"/>
    </row>
    <row r="547" ht="15.75" customHeight="1">
      <c r="H547" s="86"/>
      <c r="I547" s="86"/>
      <c r="J547" s="86"/>
      <c r="K547" s="86"/>
      <c r="L547" s="86"/>
      <c r="M547" s="86"/>
      <c r="N547" s="86"/>
      <c r="O547" s="86"/>
      <c r="P547" s="86"/>
      <c r="Q547" s="86"/>
      <c r="R547" s="86"/>
      <c r="S547" s="86"/>
      <c r="T547" s="86"/>
      <c r="U547" s="86"/>
      <c r="V547" s="86"/>
      <c r="W547" s="86"/>
      <c r="X547" s="86"/>
      <c r="Y547" s="86"/>
      <c r="Z547" s="86"/>
    </row>
    <row r="548" ht="15.75" customHeight="1">
      <c r="H548" s="86"/>
      <c r="I548" s="86"/>
      <c r="J548" s="86"/>
      <c r="K548" s="86"/>
      <c r="L548" s="86"/>
      <c r="M548" s="86"/>
      <c r="N548" s="86"/>
      <c r="O548" s="86"/>
      <c r="P548" s="86"/>
      <c r="Q548" s="86"/>
      <c r="R548" s="86"/>
      <c r="S548" s="86"/>
      <c r="T548" s="86"/>
      <c r="U548" s="86"/>
      <c r="V548" s="86"/>
      <c r="W548" s="86"/>
      <c r="X548" s="86"/>
      <c r="Y548" s="86"/>
      <c r="Z548" s="86"/>
    </row>
    <row r="549" ht="15.75" customHeight="1">
      <c r="H549" s="86"/>
      <c r="I549" s="86"/>
      <c r="J549" s="86"/>
      <c r="K549" s="86"/>
      <c r="L549" s="86"/>
      <c r="M549" s="86"/>
      <c r="N549" s="86"/>
      <c r="O549" s="86"/>
      <c r="P549" s="86"/>
      <c r="Q549" s="86"/>
      <c r="R549" s="86"/>
      <c r="S549" s="86"/>
      <c r="T549" s="86"/>
      <c r="U549" s="86"/>
      <c r="V549" s="86"/>
      <c r="W549" s="86"/>
      <c r="X549" s="86"/>
      <c r="Y549" s="86"/>
      <c r="Z549" s="86"/>
    </row>
    <row r="550" ht="15.75" customHeight="1">
      <c r="H550" s="86"/>
      <c r="I550" s="86"/>
      <c r="J550" s="86"/>
      <c r="K550" s="86"/>
      <c r="L550" s="86"/>
      <c r="M550" s="86"/>
      <c r="N550" s="86"/>
      <c r="O550" s="86"/>
      <c r="P550" s="86"/>
      <c r="Q550" s="86"/>
      <c r="R550" s="86"/>
      <c r="S550" s="86"/>
      <c r="T550" s="86"/>
      <c r="U550" s="86"/>
      <c r="V550" s="86"/>
      <c r="W550" s="86"/>
      <c r="X550" s="86"/>
      <c r="Y550" s="86"/>
      <c r="Z550" s="86"/>
    </row>
    <row r="551" ht="15.75" customHeight="1">
      <c r="H551" s="86"/>
      <c r="I551" s="86"/>
      <c r="J551" s="86"/>
      <c r="K551" s="86"/>
      <c r="L551" s="86"/>
      <c r="M551" s="86"/>
      <c r="N551" s="86"/>
      <c r="O551" s="86"/>
      <c r="P551" s="86"/>
      <c r="Q551" s="86"/>
      <c r="R551" s="86"/>
      <c r="S551" s="86"/>
      <c r="T551" s="86"/>
      <c r="U551" s="86"/>
      <c r="V551" s="86"/>
      <c r="W551" s="86"/>
      <c r="X551" s="86"/>
      <c r="Y551" s="86"/>
      <c r="Z551" s="86"/>
    </row>
    <row r="552" ht="15.75" customHeight="1">
      <c r="H552" s="86"/>
      <c r="I552" s="86"/>
      <c r="J552" s="86"/>
      <c r="K552" s="86"/>
      <c r="L552" s="86"/>
      <c r="M552" s="86"/>
      <c r="N552" s="86"/>
      <c r="O552" s="86"/>
      <c r="P552" s="86"/>
      <c r="Q552" s="86"/>
      <c r="R552" s="86"/>
      <c r="S552" s="86"/>
      <c r="T552" s="86"/>
      <c r="U552" s="86"/>
      <c r="V552" s="86"/>
      <c r="W552" s="86"/>
      <c r="X552" s="86"/>
      <c r="Y552" s="86"/>
      <c r="Z552" s="86"/>
    </row>
    <row r="553" ht="15.75" customHeight="1">
      <c r="H553" s="86"/>
      <c r="I553" s="86"/>
      <c r="J553" s="86"/>
      <c r="K553" s="86"/>
      <c r="L553" s="86"/>
      <c r="M553" s="86"/>
      <c r="N553" s="86"/>
      <c r="O553" s="86"/>
      <c r="P553" s="86"/>
      <c r="Q553" s="86"/>
      <c r="R553" s="86"/>
      <c r="S553" s="86"/>
      <c r="T553" s="86"/>
      <c r="U553" s="86"/>
      <c r="V553" s="86"/>
      <c r="W553" s="86"/>
      <c r="X553" s="86"/>
      <c r="Y553" s="86"/>
      <c r="Z553" s="86"/>
    </row>
    <row r="554" ht="15.75" customHeight="1">
      <c r="H554" s="86"/>
      <c r="I554" s="86"/>
      <c r="J554" s="86"/>
      <c r="K554" s="86"/>
      <c r="L554" s="86"/>
      <c r="M554" s="86"/>
      <c r="N554" s="86"/>
      <c r="O554" s="86"/>
      <c r="P554" s="86"/>
      <c r="Q554" s="86"/>
      <c r="R554" s="86"/>
      <c r="S554" s="86"/>
      <c r="T554" s="86"/>
      <c r="U554" s="86"/>
      <c r="V554" s="86"/>
      <c r="W554" s="86"/>
      <c r="X554" s="86"/>
      <c r="Y554" s="86"/>
      <c r="Z554" s="86"/>
    </row>
    <row r="555" ht="15.75" customHeight="1">
      <c r="H555" s="86"/>
      <c r="I555" s="86"/>
      <c r="J555" s="86"/>
      <c r="K555" s="86"/>
      <c r="L555" s="86"/>
      <c r="M555" s="86"/>
      <c r="N555" s="86"/>
      <c r="O555" s="86"/>
      <c r="P555" s="86"/>
      <c r="Q555" s="86"/>
      <c r="R555" s="86"/>
      <c r="S555" s="86"/>
      <c r="T555" s="86"/>
      <c r="U555" s="86"/>
      <c r="V555" s="86"/>
      <c r="W555" s="86"/>
      <c r="X555" s="86"/>
      <c r="Y555" s="86"/>
      <c r="Z555" s="86"/>
    </row>
    <row r="556" ht="15.75" customHeight="1">
      <c r="H556" s="86"/>
      <c r="I556" s="86"/>
      <c r="J556" s="86"/>
      <c r="K556" s="86"/>
      <c r="L556" s="86"/>
      <c r="M556" s="86"/>
      <c r="N556" s="86"/>
      <c r="O556" s="86"/>
      <c r="P556" s="86"/>
      <c r="Q556" s="86"/>
      <c r="R556" s="86"/>
      <c r="S556" s="86"/>
      <c r="T556" s="86"/>
      <c r="U556" s="86"/>
      <c r="V556" s="86"/>
      <c r="W556" s="86"/>
      <c r="X556" s="86"/>
      <c r="Y556" s="86"/>
      <c r="Z556" s="86"/>
    </row>
    <row r="557" ht="15.75" customHeight="1">
      <c r="H557" s="86"/>
      <c r="I557" s="86"/>
      <c r="J557" s="86"/>
      <c r="K557" s="86"/>
      <c r="L557" s="86"/>
      <c r="M557" s="86"/>
      <c r="N557" s="86"/>
      <c r="O557" s="86"/>
      <c r="P557" s="86"/>
      <c r="Q557" s="86"/>
      <c r="R557" s="86"/>
      <c r="S557" s="86"/>
      <c r="T557" s="86"/>
      <c r="U557" s="86"/>
      <c r="V557" s="86"/>
      <c r="W557" s="86"/>
      <c r="X557" s="86"/>
      <c r="Y557" s="86"/>
      <c r="Z557" s="86"/>
    </row>
    <row r="558" ht="15.75" customHeight="1">
      <c r="H558" s="86"/>
      <c r="I558" s="86"/>
      <c r="J558" s="86"/>
      <c r="K558" s="86"/>
      <c r="L558" s="86"/>
      <c r="M558" s="86"/>
      <c r="N558" s="86"/>
      <c r="O558" s="86"/>
      <c r="P558" s="86"/>
      <c r="Q558" s="86"/>
      <c r="R558" s="86"/>
      <c r="S558" s="86"/>
      <c r="T558" s="86"/>
      <c r="U558" s="86"/>
      <c r="V558" s="86"/>
      <c r="W558" s="86"/>
      <c r="X558" s="86"/>
      <c r="Y558" s="86"/>
      <c r="Z558" s="86"/>
    </row>
    <row r="559" ht="15.75" customHeight="1">
      <c r="H559" s="86"/>
      <c r="I559" s="86"/>
      <c r="J559" s="86"/>
      <c r="K559" s="86"/>
      <c r="L559" s="86"/>
      <c r="M559" s="86"/>
      <c r="N559" s="86"/>
      <c r="O559" s="86"/>
      <c r="P559" s="86"/>
      <c r="Q559" s="86"/>
      <c r="R559" s="86"/>
      <c r="S559" s="86"/>
      <c r="T559" s="86"/>
      <c r="U559" s="86"/>
      <c r="V559" s="86"/>
      <c r="W559" s="86"/>
      <c r="X559" s="86"/>
      <c r="Y559" s="86"/>
      <c r="Z559" s="86"/>
    </row>
    <row r="560" ht="15.75" customHeight="1">
      <c r="H560" s="86"/>
      <c r="I560" s="86"/>
      <c r="J560" s="86"/>
      <c r="K560" s="86"/>
      <c r="L560" s="86"/>
      <c r="M560" s="86"/>
      <c r="N560" s="86"/>
      <c r="O560" s="86"/>
      <c r="P560" s="86"/>
      <c r="Q560" s="86"/>
      <c r="R560" s="86"/>
      <c r="S560" s="86"/>
      <c r="T560" s="86"/>
      <c r="U560" s="86"/>
      <c r="V560" s="86"/>
      <c r="W560" s="86"/>
      <c r="X560" s="86"/>
      <c r="Y560" s="86"/>
      <c r="Z560" s="86"/>
    </row>
    <row r="561" ht="15.75" customHeight="1">
      <c r="H561" s="86"/>
      <c r="I561" s="86"/>
      <c r="J561" s="86"/>
      <c r="K561" s="86"/>
      <c r="L561" s="86"/>
      <c r="M561" s="86"/>
      <c r="N561" s="86"/>
      <c r="O561" s="86"/>
      <c r="P561" s="86"/>
      <c r="Q561" s="86"/>
      <c r="R561" s="86"/>
      <c r="S561" s="86"/>
      <c r="T561" s="86"/>
      <c r="U561" s="86"/>
      <c r="V561" s="86"/>
      <c r="W561" s="86"/>
      <c r="X561" s="86"/>
      <c r="Y561" s="86"/>
      <c r="Z561" s="86"/>
    </row>
    <row r="562" ht="15.75" customHeight="1">
      <c r="H562" s="86"/>
      <c r="I562" s="86"/>
      <c r="J562" s="86"/>
      <c r="K562" s="86"/>
      <c r="L562" s="86"/>
      <c r="M562" s="86"/>
      <c r="N562" s="86"/>
      <c r="O562" s="86"/>
      <c r="P562" s="86"/>
      <c r="Q562" s="86"/>
      <c r="R562" s="86"/>
      <c r="S562" s="86"/>
      <c r="T562" s="86"/>
      <c r="U562" s="86"/>
      <c r="V562" s="86"/>
      <c r="W562" s="86"/>
      <c r="X562" s="86"/>
      <c r="Y562" s="86"/>
      <c r="Z562" s="86"/>
    </row>
    <row r="563" ht="15.75" customHeight="1">
      <c r="H563" s="86"/>
      <c r="I563" s="86"/>
      <c r="J563" s="86"/>
      <c r="K563" s="86"/>
      <c r="L563" s="86"/>
      <c r="M563" s="86"/>
      <c r="N563" s="86"/>
      <c r="O563" s="86"/>
      <c r="P563" s="86"/>
      <c r="Q563" s="86"/>
      <c r="R563" s="86"/>
      <c r="S563" s="86"/>
      <c r="T563" s="86"/>
      <c r="U563" s="86"/>
      <c r="V563" s="86"/>
      <c r="W563" s="86"/>
      <c r="X563" s="86"/>
      <c r="Y563" s="86"/>
      <c r="Z563" s="86"/>
    </row>
    <row r="564" ht="15.75" customHeight="1">
      <c r="H564" s="86"/>
      <c r="I564" s="86"/>
      <c r="J564" s="86"/>
      <c r="K564" s="86"/>
      <c r="L564" s="86"/>
      <c r="M564" s="86"/>
      <c r="N564" s="86"/>
      <c r="O564" s="86"/>
      <c r="P564" s="86"/>
      <c r="Q564" s="86"/>
      <c r="R564" s="86"/>
      <c r="S564" s="86"/>
      <c r="T564" s="86"/>
      <c r="U564" s="86"/>
      <c r="V564" s="86"/>
      <c r="W564" s="86"/>
      <c r="X564" s="86"/>
      <c r="Y564" s="86"/>
      <c r="Z564" s="86"/>
    </row>
    <row r="565" ht="15.75" customHeight="1">
      <c r="H565" s="86"/>
      <c r="I565" s="86"/>
      <c r="J565" s="86"/>
      <c r="K565" s="86"/>
      <c r="L565" s="86"/>
      <c r="M565" s="86"/>
      <c r="N565" s="86"/>
      <c r="O565" s="86"/>
      <c r="P565" s="86"/>
      <c r="Q565" s="86"/>
      <c r="R565" s="86"/>
      <c r="S565" s="86"/>
      <c r="T565" s="86"/>
      <c r="U565" s="86"/>
      <c r="V565" s="86"/>
      <c r="W565" s="86"/>
      <c r="X565" s="86"/>
      <c r="Y565" s="86"/>
      <c r="Z565" s="86"/>
    </row>
    <row r="566" ht="15.75" customHeight="1">
      <c r="H566" s="86"/>
      <c r="I566" s="86"/>
      <c r="J566" s="86"/>
      <c r="K566" s="86"/>
      <c r="L566" s="86"/>
      <c r="M566" s="86"/>
      <c r="N566" s="86"/>
      <c r="O566" s="86"/>
      <c r="P566" s="86"/>
      <c r="Q566" s="86"/>
      <c r="R566" s="86"/>
      <c r="S566" s="86"/>
      <c r="T566" s="86"/>
      <c r="U566" s="86"/>
      <c r="V566" s="86"/>
      <c r="W566" s="86"/>
      <c r="X566" s="86"/>
      <c r="Y566" s="86"/>
      <c r="Z566" s="86"/>
    </row>
    <row r="567" ht="15.75" customHeight="1">
      <c r="H567" s="86"/>
      <c r="I567" s="86"/>
      <c r="J567" s="86"/>
      <c r="K567" s="86"/>
      <c r="L567" s="86"/>
      <c r="M567" s="86"/>
      <c r="N567" s="86"/>
      <c r="O567" s="86"/>
      <c r="P567" s="86"/>
      <c r="Q567" s="86"/>
      <c r="R567" s="86"/>
      <c r="S567" s="86"/>
      <c r="T567" s="86"/>
      <c r="U567" s="86"/>
      <c r="V567" s="86"/>
      <c r="W567" s="86"/>
      <c r="X567" s="86"/>
      <c r="Y567" s="86"/>
      <c r="Z567" s="86"/>
    </row>
    <row r="568" ht="15.75" customHeight="1">
      <c r="H568" s="86"/>
      <c r="I568" s="86"/>
      <c r="J568" s="86"/>
      <c r="K568" s="86"/>
      <c r="L568" s="86"/>
      <c r="M568" s="86"/>
      <c r="N568" s="86"/>
      <c r="O568" s="86"/>
      <c r="P568" s="86"/>
      <c r="Q568" s="86"/>
      <c r="R568" s="86"/>
      <c r="S568" s="86"/>
      <c r="T568" s="86"/>
      <c r="U568" s="86"/>
      <c r="V568" s="86"/>
      <c r="W568" s="86"/>
      <c r="X568" s="86"/>
      <c r="Y568" s="86"/>
      <c r="Z568" s="86"/>
    </row>
    <row r="569" ht="15.75" customHeight="1">
      <c r="H569" s="86"/>
      <c r="I569" s="86"/>
      <c r="J569" s="86"/>
      <c r="K569" s="86"/>
      <c r="L569" s="86"/>
      <c r="M569" s="86"/>
      <c r="N569" s="86"/>
      <c r="O569" s="86"/>
      <c r="P569" s="86"/>
      <c r="Q569" s="86"/>
      <c r="R569" s="86"/>
      <c r="S569" s="86"/>
      <c r="T569" s="86"/>
      <c r="U569" s="86"/>
      <c r="V569" s="86"/>
      <c r="W569" s="86"/>
      <c r="X569" s="86"/>
      <c r="Y569" s="86"/>
      <c r="Z569" s="86"/>
    </row>
    <row r="570" ht="15.75" customHeight="1">
      <c r="H570" s="86"/>
      <c r="I570" s="86"/>
      <c r="J570" s="86"/>
      <c r="K570" s="86"/>
      <c r="L570" s="86"/>
      <c r="M570" s="86"/>
      <c r="N570" s="86"/>
      <c r="O570" s="86"/>
      <c r="P570" s="86"/>
      <c r="Q570" s="86"/>
      <c r="R570" s="86"/>
      <c r="S570" s="86"/>
      <c r="T570" s="86"/>
      <c r="U570" s="86"/>
      <c r="V570" s="86"/>
      <c r="W570" s="86"/>
      <c r="X570" s="86"/>
      <c r="Y570" s="86"/>
      <c r="Z570" s="86"/>
    </row>
    <row r="571" ht="15.75" customHeight="1">
      <c r="H571" s="86"/>
      <c r="I571" s="86"/>
      <c r="J571" s="86"/>
      <c r="K571" s="86"/>
      <c r="L571" s="86"/>
      <c r="M571" s="86"/>
      <c r="N571" s="86"/>
      <c r="O571" s="86"/>
      <c r="P571" s="86"/>
      <c r="Q571" s="86"/>
      <c r="R571" s="86"/>
      <c r="S571" s="86"/>
      <c r="T571" s="86"/>
      <c r="U571" s="86"/>
      <c r="V571" s="86"/>
      <c r="W571" s="86"/>
      <c r="X571" s="86"/>
      <c r="Y571" s="86"/>
      <c r="Z571" s="86"/>
    </row>
    <row r="572" ht="15.75" customHeight="1">
      <c r="H572" s="86"/>
      <c r="I572" s="86"/>
      <c r="J572" s="86"/>
      <c r="K572" s="86"/>
      <c r="L572" s="86"/>
      <c r="M572" s="86"/>
      <c r="N572" s="86"/>
      <c r="O572" s="86"/>
      <c r="P572" s="86"/>
      <c r="Q572" s="86"/>
      <c r="R572" s="86"/>
      <c r="S572" s="86"/>
      <c r="T572" s="86"/>
      <c r="U572" s="86"/>
      <c r="V572" s="86"/>
      <c r="W572" s="86"/>
      <c r="X572" s="86"/>
      <c r="Y572" s="86"/>
      <c r="Z572" s="86"/>
    </row>
    <row r="573" ht="15.75" customHeight="1">
      <c r="H573" s="86"/>
      <c r="I573" s="86"/>
      <c r="J573" s="86"/>
      <c r="K573" s="86"/>
      <c r="L573" s="86"/>
      <c r="M573" s="86"/>
      <c r="N573" s="86"/>
      <c r="O573" s="86"/>
      <c r="P573" s="86"/>
      <c r="Q573" s="86"/>
      <c r="R573" s="86"/>
      <c r="S573" s="86"/>
      <c r="T573" s="86"/>
      <c r="U573" s="86"/>
      <c r="V573" s="86"/>
      <c r="W573" s="86"/>
      <c r="X573" s="86"/>
      <c r="Y573" s="86"/>
      <c r="Z573" s="86"/>
    </row>
    <row r="574" ht="15.75" customHeight="1">
      <c r="H574" s="86"/>
      <c r="I574" s="86"/>
      <c r="J574" s="86"/>
      <c r="K574" s="86"/>
      <c r="L574" s="86"/>
      <c r="M574" s="86"/>
      <c r="N574" s="86"/>
      <c r="O574" s="86"/>
      <c r="P574" s="86"/>
      <c r="Q574" s="86"/>
      <c r="R574" s="86"/>
      <c r="S574" s="86"/>
      <c r="T574" s="86"/>
      <c r="U574" s="86"/>
      <c r="V574" s="86"/>
      <c r="W574" s="86"/>
      <c r="X574" s="86"/>
      <c r="Y574" s="86"/>
      <c r="Z574" s="86"/>
    </row>
    <row r="575" ht="15.75" customHeight="1">
      <c r="H575" s="86"/>
      <c r="I575" s="86"/>
      <c r="J575" s="86"/>
      <c r="K575" s="86"/>
      <c r="L575" s="86"/>
      <c r="M575" s="86"/>
      <c r="N575" s="86"/>
      <c r="O575" s="86"/>
      <c r="P575" s="86"/>
      <c r="Q575" s="86"/>
      <c r="R575" s="86"/>
      <c r="S575" s="86"/>
      <c r="T575" s="86"/>
      <c r="U575" s="86"/>
      <c r="V575" s="86"/>
      <c r="W575" s="86"/>
      <c r="X575" s="86"/>
      <c r="Y575" s="86"/>
      <c r="Z575" s="86"/>
    </row>
    <row r="576" ht="15.75" customHeight="1">
      <c r="H576" s="86"/>
      <c r="I576" s="86"/>
      <c r="J576" s="86"/>
      <c r="K576" s="86"/>
      <c r="L576" s="86"/>
      <c r="M576" s="86"/>
      <c r="N576" s="86"/>
      <c r="O576" s="86"/>
      <c r="P576" s="86"/>
      <c r="Q576" s="86"/>
      <c r="R576" s="86"/>
      <c r="S576" s="86"/>
      <c r="T576" s="86"/>
      <c r="U576" s="86"/>
      <c r="V576" s="86"/>
      <c r="W576" s="86"/>
      <c r="X576" s="86"/>
      <c r="Y576" s="86"/>
      <c r="Z576" s="86"/>
    </row>
    <row r="577" ht="15.75" customHeight="1">
      <c r="H577" s="86"/>
      <c r="I577" s="86"/>
      <c r="J577" s="86"/>
      <c r="K577" s="86"/>
      <c r="L577" s="86"/>
      <c r="M577" s="86"/>
      <c r="N577" s="86"/>
      <c r="O577" s="86"/>
      <c r="P577" s="86"/>
      <c r="Q577" s="86"/>
      <c r="R577" s="86"/>
      <c r="S577" s="86"/>
      <c r="T577" s="86"/>
      <c r="U577" s="86"/>
      <c r="V577" s="86"/>
      <c r="W577" s="86"/>
      <c r="X577" s="86"/>
      <c r="Y577" s="86"/>
      <c r="Z577" s="86"/>
    </row>
    <row r="578" ht="15.75" customHeight="1">
      <c r="H578" s="86"/>
      <c r="I578" s="86"/>
      <c r="J578" s="86"/>
      <c r="K578" s="86"/>
      <c r="L578" s="86"/>
      <c r="M578" s="86"/>
      <c r="N578" s="86"/>
      <c r="O578" s="86"/>
      <c r="P578" s="86"/>
      <c r="Q578" s="86"/>
      <c r="R578" s="86"/>
      <c r="S578" s="86"/>
      <c r="T578" s="86"/>
      <c r="U578" s="86"/>
      <c r="V578" s="86"/>
      <c r="W578" s="86"/>
      <c r="X578" s="86"/>
      <c r="Y578" s="86"/>
      <c r="Z578" s="86"/>
    </row>
    <row r="579" ht="15.75" customHeight="1">
      <c r="H579" s="86"/>
      <c r="I579" s="86"/>
      <c r="J579" s="86"/>
      <c r="K579" s="86"/>
      <c r="L579" s="86"/>
      <c r="M579" s="86"/>
      <c r="N579" s="86"/>
      <c r="O579" s="86"/>
      <c r="P579" s="86"/>
      <c r="Q579" s="86"/>
      <c r="R579" s="86"/>
      <c r="S579" s="86"/>
      <c r="T579" s="86"/>
      <c r="U579" s="86"/>
      <c r="V579" s="86"/>
      <c r="W579" s="86"/>
      <c r="X579" s="86"/>
      <c r="Y579" s="86"/>
      <c r="Z579" s="86"/>
    </row>
    <row r="580" ht="15.75" customHeight="1">
      <c r="H580" s="86"/>
      <c r="I580" s="86"/>
      <c r="J580" s="86"/>
      <c r="K580" s="86"/>
      <c r="L580" s="86"/>
      <c r="M580" s="86"/>
      <c r="N580" s="86"/>
      <c r="O580" s="86"/>
      <c r="P580" s="86"/>
      <c r="Q580" s="86"/>
      <c r="R580" s="86"/>
      <c r="S580" s="86"/>
      <c r="T580" s="86"/>
      <c r="U580" s="86"/>
      <c r="V580" s="86"/>
      <c r="W580" s="86"/>
      <c r="X580" s="86"/>
      <c r="Y580" s="86"/>
      <c r="Z580" s="86"/>
    </row>
    <row r="581" ht="15.75" customHeight="1">
      <c r="H581" s="86"/>
      <c r="I581" s="86"/>
      <c r="J581" s="86"/>
      <c r="K581" s="86"/>
      <c r="L581" s="86"/>
      <c r="M581" s="86"/>
      <c r="N581" s="86"/>
      <c r="O581" s="86"/>
      <c r="P581" s="86"/>
      <c r="Q581" s="86"/>
      <c r="R581" s="86"/>
      <c r="S581" s="86"/>
      <c r="T581" s="86"/>
      <c r="U581" s="86"/>
      <c r="V581" s="86"/>
      <c r="W581" s="86"/>
      <c r="X581" s="86"/>
      <c r="Y581" s="86"/>
      <c r="Z581" s="86"/>
    </row>
    <row r="582" ht="15.75" customHeight="1">
      <c r="H582" s="86"/>
      <c r="I582" s="86"/>
      <c r="J582" s="86"/>
      <c r="K582" s="86"/>
      <c r="L582" s="86"/>
      <c r="M582" s="86"/>
      <c r="N582" s="86"/>
      <c r="O582" s="86"/>
      <c r="P582" s="86"/>
      <c r="Q582" s="86"/>
      <c r="R582" s="86"/>
      <c r="S582" s="86"/>
      <c r="T582" s="86"/>
      <c r="U582" s="86"/>
      <c r="V582" s="86"/>
      <c r="W582" s="86"/>
      <c r="X582" s="86"/>
      <c r="Y582" s="86"/>
      <c r="Z582" s="86"/>
    </row>
    <row r="583" ht="15.75" customHeight="1">
      <c r="H583" s="86"/>
      <c r="I583" s="86"/>
      <c r="J583" s="86"/>
      <c r="K583" s="86"/>
      <c r="L583" s="86"/>
      <c r="M583" s="86"/>
      <c r="N583" s="86"/>
      <c r="O583" s="86"/>
      <c r="P583" s="86"/>
      <c r="Q583" s="86"/>
      <c r="R583" s="86"/>
      <c r="S583" s="86"/>
      <c r="T583" s="86"/>
      <c r="U583" s="86"/>
      <c r="V583" s="86"/>
      <c r="W583" s="86"/>
      <c r="X583" s="86"/>
      <c r="Y583" s="86"/>
      <c r="Z583" s="86"/>
    </row>
    <row r="584" ht="15.75" customHeight="1">
      <c r="H584" s="86"/>
      <c r="I584" s="86"/>
      <c r="J584" s="86"/>
      <c r="K584" s="86"/>
      <c r="L584" s="86"/>
      <c r="M584" s="86"/>
      <c r="N584" s="86"/>
      <c r="O584" s="86"/>
      <c r="P584" s="86"/>
      <c r="Q584" s="86"/>
      <c r="R584" s="86"/>
      <c r="S584" s="86"/>
      <c r="T584" s="86"/>
      <c r="U584" s="86"/>
      <c r="V584" s="86"/>
      <c r="W584" s="86"/>
      <c r="X584" s="86"/>
      <c r="Y584" s="86"/>
      <c r="Z584" s="86"/>
    </row>
    <row r="585" ht="15.75" customHeight="1">
      <c r="H585" s="86"/>
      <c r="I585" s="86"/>
      <c r="J585" s="86"/>
      <c r="K585" s="86"/>
      <c r="L585" s="86"/>
      <c r="M585" s="86"/>
      <c r="N585" s="86"/>
      <c r="O585" s="86"/>
      <c r="P585" s="86"/>
      <c r="Q585" s="86"/>
      <c r="R585" s="86"/>
      <c r="S585" s="86"/>
      <c r="T585" s="86"/>
      <c r="U585" s="86"/>
      <c r="V585" s="86"/>
      <c r="W585" s="86"/>
      <c r="X585" s="86"/>
      <c r="Y585" s="86"/>
      <c r="Z585" s="86"/>
    </row>
    <row r="586" ht="15.75" customHeight="1">
      <c r="H586" s="86"/>
      <c r="I586" s="86"/>
      <c r="J586" s="86"/>
      <c r="K586" s="86"/>
      <c r="L586" s="86"/>
      <c r="M586" s="86"/>
      <c r="N586" s="86"/>
      <c r="O586" s="86"/>
      <c r="P586" s="86"/>
      <c r="Q586" s="86"/>
      <c r="R586" s="86"/>
      <c r="S586" s="86"/>
      <c r="T586" s="86"/>
      <c r="U586" s="86"/>
      <c r="V586" s="86"/>
      <c r="W586" s="86"/>
      <c r="X586" s="86"/>
      <c r="Y586" s="86"/>
      <c r="Z586" s="86"/>
    </row>
    <row r="587" ht="15.75" customHeight="1">
      <c r="H587" s="86"/>
      <c r="I587" s="86"/>
      <c r="J587" s="86"/>
      <c r="K587" s="86"/>
      <c r="L587" s="86"/>
      <c r="M587" s="86"/>
      <c r="N587" s="86"/>
      <c r="O587" s="86"/>
      <c r="P587" s="86"/>
      <c r="Q587" s="86"/>
      <c r="R587" s="86"/>
      <c r="S587" s="86"/>
      <c r="T587" s="86"/>
      <c r="U587" s="86"/>
      <c r="V587" s="86"/>
      <c r="W587" s="86"/>
      <c r="X587" s="86"/>
      <c r="Y587" s="86"/>
      <c r="Z587" s="86"/>
    </row>
    <row r="588" ht="15.75" customHeight="1">
      <c r="H588" s="86"/>
      <c r="I588" s="86"/>
      <c r="J588" s="86"/>
      <c r="K588" s="86"/>
      <c r="L588" s="86"/>
      <c r="M588" s="86"/>
      <c r="N588" s="86"/>
      <c r="O588" s="86"/>
      <c r="P588" s="86"/>
      <c r="Q588" s="86"/>
      <c r="R588" s="86"/>
      <c r="S588" s="86"/>
      <c r="T588" s="86"/>
      <c r="U588" s="86"/>
      <c r="V588" s="86"/>
      <c r="W588" s="86"/>
      <c r="X588" s="86"/>
      <c r="Y588" s="86"/>
      <c r="Z588" s="86"/>
    </row>
    <row r="589" ht="15.75" customHeight="1">
      <c r="H589" s="86"/>
      <c r="I589" s="86"/>
      <c r="J589" s="86"/>
      <c r="K589" s="86"/>
      <c r="L589" s="86"/>
      <c r="M589" s="86"/>
      <c r="N589" s="86"/>
      <c r="O589" s="86"/>
      <c r="P589" s="86"/>
      <c r="Q589" s="86"/>
      <c r="R589" s="86"/>
      <c r="S589" s="86"/>
      <c r="T589" s="86"/>
      <c r="U589" s="86"/>
      <c r="V589" s="86"/>
      <c r="W589" s="86"/>
      <c r="X589" s="86"/>
      <c r="Y589" s="86"/>
      <c r="Z589" s="86"/>
    </row>
    <row r="590" ht="15.75" customHeight="1">
      <c r="H590" s="86"/>
      <c r="I590" s="86"/>
      <c r="J590" s="86"/>
      <c r="K590" s="86"/>
      <c r="L590" s="86"/>
      <c r="M590" s="86"/>
      <c r="N590" s="86"/>
      <c r="O590" s="86"/>
      <c r="P590" s="86"/>
      <c r="Q590" s="86"/>
      <c r="R590" s="86"/>
      <c r="S590" s="86"/>
      <c r="T590" s="86"/>
      <c r="U590" s="86"/>
      <c r="V590" s="86"/>
      <c r="W590" s="86"/>
      <c r="X590" s="86"/>
      <c r="Y590" s="86"/>
      <c r="Z590" s="86"/>
    </row>
    <row r="591" ht="15.75" customHeight="1">
      <c r="H591" s="86"/>
      <c r="I591" s="86"/>
      <c r="J591" s="86"/>
      <c r="K591" s="86"/>
      <c r="L591" s="86"/>
      <c r="M591" s="86"/>
      <c r="N591" s="86"/>
      <c r="O591" s="86"/>
      <c r="P591" s="86"/>
      <c r="Q591" s="86"/>
      <c r="R591" s="86"/>
      <c r="S591" s="86"/>
      <c r="T591" s="86"/>
      <c r="U591" s="86"/>
      <c r="V591" s="86"/>
      <c r="W591" s="86"/>
      <c r="X591" s="86"/>
      <c r="Y591" s="86"/>
      <c r="Z591" s="86"/>
    </row>
    <row r="592" ht="15.75" customHeight="1">
      <c r="H592" s="86"/>
      <c r="I592" s="86"/>
      <c r="J592" s="86"/>
      <c r="K592" s="86"/>
      <c r="L592" s="86"/>
      <c r="M592" s="86"/>
      <c r="N592" s="86"/>
      <c r="O592" s="86"/>
      <c r="P592" s="86"/>
      <c r="Q592" s="86"/>
      <c r="R592" s="86"/>
      <c r="S592" s="86"/>
      <c r="T592" s="86"/>
      <c r="U592" s="86"/>
      <c r="V592" s="86"/>
      <c r="W592" s="86"/>
      <c r="X592" s="86"/>
      <c r="Y592" s="86"/>
      <c r="Z592" s="86"/>
    </row>
    <row r="593" ht="15.75" customHeight="1">
      <c r="H593" s="86"/>
      <c r="I593" s="86"/>
      <c r="J593" s="86"/>
      <c r="K593" s="86"/>
      <c r="L593" s="86"/>
      <c r="M593" s="86"/>
      <c r="N593" s="86"/>
      <c r="O593" s="86"/>
      <c r="P593" s="86"/>
      <c r="Q593" s="86"/>
      <c r="R593" s="86"/>
      <c r="S593" s="86"/>
      <c r="T593" s="86"/>
      <c r="U593" s="86"/>
      <c r="V593" s="86"/>
      <c r="W593" s="86"/>
      <c r="X593" s="86"/>
      <c r="Y593" s="86"/>
      <c r="Z593" s="86"/>
    </row>
    <row r="594" ht="15.75" customHeight="1">
      <c r="H594" s="86"/>
      <c r="I594" s="86"/>
      <c r="J594" s="86"/>
      <c r="K594" s="86"/>
      <c r="L594" s="86"/>
      <c r="M594" s="86"/>
      <c r="N594" s="86"/>
      <c r="O594" s="86"/>
      <c r="P594" s="86"/>
      <c r="Q594" s="86"/>
      <c r="R594" s="86"/>
      <c r="S594" s="86"/>
      <c r="T594" s="86"/>
      <c r="U594" s="86"/>
      <c r="V594" s="86"/>
      <c r="W594" s="86"/>
      <c r="X594" s="86"/>
      <c r="Y594" s="86"/>
      <c r="Z594" s="86"/>
    </row>
    <row r="595" ht="15.75" customHeight="1">
      <c r="H595" s="86"/>
      <c r="I595" s="86"/>
      <c r="J595" s="86"/>
      <c r="K595" s="86"/>
      <c r="L595" s="86"/>
      <c r="M595" s="86"/>
      <c r="N595" s="86"/>
      <c r="O595" s="86"/>
      <c r="P595" s="86"/>
      <c r="Q595" s="86"/>
      <c r="R595" s="86"/>
      <c r="S595" s="86"/>
      <c r="T595" s="86"/>
      <c r="U595" s="86"/>
      <c r="V595" s="86"/>
      <c r="W595" s="86"/>
      <c r="X595" s="86"/>
      <c r="Y595" s="86"/>
      <c r="Z595" s="86"/>
    </row>
    <row r="596" ht="15.75" customHeight="1">
      <c r="H596" s="86"/>
      <c r="I596" s="86"/>
      <c r="J596" s="86"/>
      <c r="K596" s="86"/>
      <c r="L596" s="86"/>
      <c r="M596" s="86"/>
      <c r="N596" s="86"/>
      <c r="O596" s="86"/>
      <c r="P596" s="86"/>
      <c r="Q596" s="86"/>
      <c r="R596" s="86"/>
      <c r="S596" s="86"/>
      <c r="T596" s="86"/>
      <c r="U596" s="86"/>
      <c r="V596" s="86"/>
      <c r="W596" s="86"/>
      <c r="X596" s="86"/>
      <c r="Y596" s="86"/>
      <c r="Z596" s="86"/>
    </row>
    <row r="597" ht="15.75" customHeight="1">
      <c r="H597" s="86"/>
      <c r="I597" s="86"/>
      <c r="J597" s="86"/>
      <c r="K597" s="86"/>
      <c r="L597" s="86"/>
      <c r="M597" s="86"/>
      <c r="N597" s="86"/>
      <c r="O597" s="86"/>
      <c r="P597" s="86"/>
      <c r="Q597" s="86"/>
      <c r="R597" s="86"/>
      <c r="S597" s="86"/>
      <c r="T597" s="86"/>
      <c r="U597" s="86"/>
      <c r="V597" s="86"/>
      <c r="W597" s="86"/>
      <c r="X597" s="86"/>
      <c r="Y597" s="86"/>
      <c r="Z597" s="86"/>
    </row>
    <row r="598" ht="15.75" customHeight="1">
      <c r="H598" s="86"/>
      <c r="I598" s="86"/>
      <c r="J598" s="86"/>
      <c r="K598" s="86"/>
      <c r="L598" s="86"/>
      <c r="M598" s="86"/>
      <c r="N598" s="86"/>
      <c r="O598" s="86"/>
      <c r="P598" s="86"/>
      <c r="Q598" s="86"/>
      <c r="R598" s="86"/>
      <c r="S598" s="86"/>
      <c r="T598" s="86"/>
      <c r="U598" s="86"/>
      <c r="V598" s="86"/>
      <c r="W598" s="86"/>
      <c r="X598" s="86"/>
      <c r="Y598" s="86"/>
      <c r="Z598" s="86"/>
    </row>
    <row r="599" ht="15.75" customHeight="1">
      <c r="H599" s="86"/>
      <c r="I599" s="86"/>
      <c r="J599" s="86"/>
      <c r="K599" s="86"/>
      <c r="L599" s="86"/>
      <c r="M599" s="86"/>
      <c r="N599" s="86"/>
      <c r="O599" s="86"/>
      <c r="P599" s="86"/>
      <c r="Q599" s="86"/>
      <c r="R599" s="86"/>
      <c r="S599" s="86"/>
      <c r="T599" s="86"/>
      <c r="U599" s="86"/>
      <c r="V599" s="86"/>
      <c r="W599" s="86"/>
      <c r="X599" s="86"/>
      <c r="Y599" s="86"/>
      <c r="Z599" s="86"/>
    </row>
    <row r="600" ht="15.75" customHeight="1">
      <c r="H600" s="86"/>
      <c r="I600" s="86"/>
      <c r="J600" s="86"/>
      <c r="K600" s="86"/>
      <c r="L600" s="86"/>
      <c r="M600" s="86"/>
      <c r="N600" s="86"/>
      <c r="O600" s="86"/>
      <c r="P600" s="86"/>
      <c r="Q600" s="86"/>
      <c r="R600" s="86"/>
      <c r="S600" s="86"/>
      <c r="T600" s="86"/>
      <c r="U600" s="86"/>
      <c r="V600" s="86"/>
      <c r="W600" s="86"/>
      <c r="X600" s="86"/>
      <c r="Y600" s="86"/>
      <c r="Z600" s="86"/>
    </row>
    <row r="601" ht="15.75" customHeight="1">
      <c r="H601" s="86"/>
      <c r="I601" s="86"/>
      <c r="J601" s="86"/>
      <c r="K601" s="86"/>
      <c r="L601" s="86"/>
      <c r="M601" s="86"/>
      <c r="N601" s="86"/>
      <c r="O601" s="86"/>
      <c r="P601" s="86"/>
      <c r="Q601" s="86"/>
      <c r="R601" s="86"/>
      <c r="S601" s="86"/>
      <c r="T601" s="86"/>
      <c r="U601" s="86"/>
      <c r="V601" s="86"/>
      <c r="W601" s="86"/>
      <c r="X601" s="86"/>
      <c r="Y601" s="86"/>
      <c r="Z601" s="86"/>
    </row>
    <row r="602" ht="15.75" customHeight="1">
      <c r="H602" s="86"/>
      <c r="I602" s="86"/>
      <c r="J602" s="86"/>
      <c r="K602" s="86"/>
      <c r="L602" s="86"/>
      <c r="M602" s="86"/>
      <c r="N602" s="86"/>
      <c r="O602" s="86"/>
      <c r="P602" s="86"/>
      <c r="Q602" s="86"/>
      <c r="R602" s="86"/>
      <c r="S602" s="86"/>
      <c r="T602" s="86"/>
      <c r="U602" s="86"/>
      <c r="V602" s="86"/>
      <c r="W602" s="86"/>
      <c r="X602" s="86"/>
      <c r="Y602" s="86"/>
      <c r="Z602" s="86"/>
    </row>
    <row r="603" ht="15.75" customHeight="1">
      <c r="H603" s="86"/>
      <c r="I603" s="86"/>
      <c r="J603" s="86"/>
      <c r="K603" s="86"/>
      <c r="L603" s="86"/>
      <c r="M603" s="86"/>
      <c r="N603" s="86"/>
      <c r="O603" s="86"/>
      <c r="P603" s="86"/>
      <c r="Q603" s="86"/>
      <c r="R603" s="86"/>
      <c r="S603" s="86"/>
      <c r="T603" s="86"/>
      <c r="U603" s="86"/>
      <c r="V603" s="86"/>
      <c r="W603" s="86"/>
      <c r="X603" s="86"/>
      <c r="Y603" s="86"/>
      <c r="Z603" s="86"/>
    </row>
    <row r="604" ht="15.75" customHeight="1">
      <c r="H604" s="86"/>
      <c r="I604" s="86"/>
      <c r="J604" s="86"/>
      <c r="K604" s="86"/>
      <c r="L604" s="86"/>
      <c r="M604" s="86"/>
      <c r="N604" s="86"/>
      <c r="O604" s="86"/>
      <c r="P604" s="86"/>
      <c r="Q604" s="86"/>
      <c r="R604" s="86"/>
      <c r="S604" s="86"/>
      <c r="T604" s="86"/>
      <c r="U604" s="86"/>
      <c r="V604" s="86"/>
      <c r="W604" s="86"/>
      <c r="X604" s="86"/>
      <c r="Y604" s="86"/>
      <c r="Z604" s="86"/>
    </row>
    <row r="605" ht="15.75" customHeight="1">
      <c r="H605" s="86"/>
      <c r="I605" s="86"/>
      <c r="J605" s="86"/>
      <c r="K605" s="86"/>
      <c r="L605" s="86"/>
      <c r="M605" s="86"/>
      <c r="N605" s="86"/>
      <c r="O605" s="86"/>
      <c r="P605" s="86"/>
      <c r="Q605" s="86"/>
      <c r="R605" s="86"/>
      <c r="S605" s="86"/>
      <c r="T605" s="86"/>
      <c r="U605" s="86"/>
      <c r="V605" s="86"/>
      <c r="W605" s="86"/>
      <c r="X605" s="86"/>
      <c r="Y605" s="86"/>
      <c r="Z605" s="86"/>
    </row>
    <row r="606" ht="15.75" customHeight="1">
      <c r="H606" s="86"/>
      <c r="I606" s="86"/>
      <c r="J606" s="86"/>
      <c r="K606" s="86"/>
      <c r="L606" s="86"/>
      <c r="M606" s="86"/>
      <c r="N606" s="86"/>
      <c r="O606" s="86"/>
      <c r="P606" s="86"/>
      <c r="Q606" s="86"/>
      <c r="R606" s="86"/>
      <c r="S606" s="86"/>
      <c r="T606" s="86"/>
      <c r="U606" s="86"/>
      <c r="V606" s="86"/>
      <c r="W606" s="86"/>
      <c r="X606" s="86"/>
      <c r="Y606" s="86"/>
      <c r="Z606" s="86"/>
    </row>
    <row r="607" ht="15.75" customHeight="1">
      <c r="H607" s="86"/>
      <c r="I607" s="86"/>
      <c r="J607" s="86"/>
      <c r="K607" s="86"/>
      <c r="L607" s="86"/>
      <c r="M607" s="86"/>
      <c r="N607" s="86"/>
      <c r="O607" s="86"/>
      <c r="P607" s="86"/>
      <c r="Q607" s="86"/>
      <c r="R607" s="86"/>
      <c r="S607" s="86"/>
      <c r="T607" s="86"/>
      <c r="U607" s="86"/>
      <c r="V607" s="86"/>
      <c r="W607" s="86"/>
      <c r="X607" s="86"/>
      <c r="Y607" s="86"/>
      <c r="Z607" s="86"/>
    </row>
    <row r="608" ht="15.75" customHeight="1">
      <c r="H608" s="86"/>
      <c r="I608" s="86"/>
      <c r="J608" s="86"/>
      <c r="K608" s="86"/>
      <c r="L608" s="86"/>
      <c r="M608" s="86"/>
      <c r="N608" s="86"/>
      <c r="O608" s="86"/>
      <c r="P608" s="86"/>
      <c r="Q608" s="86"/>
      <c r="R608" s="86"/>
      <c r="S608" s="86"/>
      <c r="T608" s="86"/>
      <c r="U608" s="86"/>
      <c r="V608" s="86"/>
      <c r="W608" s="86"/>
      <c r="X608" s="86"/>
      <c r="Y608" s="86"/>
      <c r="Z608" s="86"/>
    </row>
    <row r="609" ht="15.75" customHeight="1">
      <c r="H609" s="86"/>
      <c r="I609" s="86"/>
      <c r="J609" s="86"/>
      <c r="K609" s="86"/>
      <c r="L609" s="86"/>
      <c r="M609" s="86"/>
      <c r="N609" s="86"/>
      <c r="O609" s="86"/>
      <c r="P609" s="86"/>
      <c r="Q609" s="86"/>
      <c r="R609" s="86"/>
      <c r="S609" s="86"/>
      <c r="T609" s="86"/>
      <c r="U609" s="86"/>
      <c r="V609" s="86"/>
      <c r="W609" s="86"/>
      <c r="X609" s="86"/>
      <c r="Y609" s="86"/>
      <c r="Z609" s="86"/>
    </row>
    <row r="610" ht="15.75" customHeight="1">
      <c r="H610" s="86"/>
      <c r="I610" s="86"/>
      <c r="J610" s="86"/>
      <c r="K610" s="86"/>
      <c r="L610" s="86"/>
      <c r="M610" s="86"/>
      <c r="N610" s="86"/>
      <c r="O610" s="86"/>
      <c r="P610" s="86"/>
      <c r="Q610" s="86"/>
      <c r="R610" s="86"/>
      <c r="S610" s="86"/>
      <c r="T610" s="86"/>
      <c r="U610" s="86"/>
      <c r="V610" s="86"/>
      <c r="W610" s="86"/>
      <c r="X610" s="86"/>
      <c r="Y610" s="86"/>
      <c r="Z610" s="86"/>
    </row>
    <row r="611" ht="15.75" customHeight="1">
      <c r="H611" s="86"/>
      <c r="I611" s="86"/>
      <c r="J611" s="86"/>
      <c r="K611" s="86"/>
      <c r="L611" s="86"/>
      <c r="M611" s="86"/>
      <c r="N611" s="86"/>
      <c r="O611" s="86"/>
      <c r="P611" s="86"/>
      <c r="Q611" s="86"/>
      <c r="R611" s="86"/>
      <c r="S611" s="86"/>
      <c r="T611" s="86"/>
      <c r="U611" s="86"/>
      <c r="V611" s="86"/>
      <c r="W611" s="86"/>
      <c r="X611" s="86"/>
      <c r="Y611" s="86"/>
      <c r="Z611" s="86"/>
    </row>
    <row r="612" ht="15.75" customHeight="1">
      <c r="H612" s="86"/>
      <c r="I612" s="86"/>
      <c r="J612" s="86"/>
      <c r="K612" s="86"/>
      <c r="L612" s="86"/>
      <c r="M612" s="86"/>
      <c r="N612" s="86"/>
      <c r="O612" s="86"/>
      <c r="P612" s="86"/>
      <c r="Q612" s="86"/>
      <c r="R612" s="86"/>
      <c r="S612" s="86"/>
      <c r="T612" s="86"/>
      <c r="U612" s="86"/>
      <c r="V612" s="86"/>
      <c r="W612" s="86"/>
      <c r="X612" s="86"/>
      <c r="Y612" s="86"/>
      <c r="Z612" s="86"/>
    </row>
    <row r="613" ht="15.75" customHeight="1">
      <c r="H613" s="86"/>
      <c r="I613" s="86"/>
      <c r="J613" s="86"/>
      <c r="K613" s="86"/>
      <c r="L613" s="86"/>
      <c r="M613" s="86"/>
      <c r="N613" s="86"/>
      <c r="O613" s="86"/>
      <c r="P613" s="86"/>
      <c r="Q613" s="86"/>
      <c r="R613" s="86"/>
      <c r="S613" s="86"/>
      <c r="T613" s="86"/>
      <c r="U613" s="86"/>
      <c r="V613" s="86"/>
      <c r="W613" s="86"/>
      <c r="X613" s="86"/>
      <c r="Y613" s="86"/>
      <c r="Z613" s="86"/>
    </row>
    <row r="614" ht="15.75" customHeight="1">
      <c r="H614" s="86"/>
      <c r="I614" s="86"/>
      <c r="J614" s="86"/>
      <c r="K614" s="86"/>
      <c r="L614" s="86"/>
      <c r="M614" s="86"/>
      <c r="N614" s="86"/>
      <c r="O614" s="86"/>
      <c r="P614" s="86"/>
      <c r="Q614" s="86"/>
      <c r="R614" s="86"/>
      <c r="S614" s="86"/>
      <c r="T614" s="86"/>
      <c r="U614" s="86"/>
      <c r="V614" s="86"/>
      <c r="W614" s="86"/>
      <c r="X614" s="86"/>
      <c r="Y614" s="86"/>
      <c r="Z614" s="86"/>
    </row>
    <row r="615" ht="15.75" customHeight="1">
      <c r="H615" s="86"/>
      <c r="I615" s="86"/>
      <c r="J615" s="86"/>
      <c r="K615" s="86"/>
      <c r="L615" s="86"/>
      <c r="M615" s="86"/>
      <c r="N615" s="86"/>
      <c r="O615" s="86"/>
      <c r="P615" s="86"/>
      <c r="Q615" s="86"/>
      <c r="R615" s="86"/>
      <c r="S615" s="86"/>
      <c r="T615" s="86"/>
      <c r="U615" s="86"/>
      <c r="V615" s="86"/>
      <c r="W615" s="86"/>
      <c r="X615" s="86"/>
      <c r="Y615" s="86"/>
      <c r="Z615" s="86"/>
    </row>
    <row r="616" ht="15.75" customHeight="1">
      <c r="H616" s="86"/>
      <c r="I616" s="86"/>
      <c r="J616" s="86"/>
      <c r="K616" s="86"/>
      <c r="L616" s="86"/>
      <c r="M616" s="86"/>
      <c r="N616" s="86"/>
      <c r="O616" s="86"/>
      <c r="P616" s="86"/>
      <c r="Q616" s="86"/>
      <c r="R616" s="86"/>
      <c r="S616" s="86"/>
      <c r="T616" s="86"/>
      <c r="U616" s="86"/>
      <c r="V616" s="86"/>
      <c r="W616" s="86"/>
      <c r="X616" s="86"/>
      <c r="Y616" s="86"/>
      <c r="Z616" s="86"/>
    </row>
    <row r="617" ht="15.75" customHeight="1">
      <c r="H617" s="86"/>
      <c r="I617" s="86"/>
      <c r="J617" s="86"/>
      <c r="K617" s="86"/>
      <c r="L617" s="86"/>
      <c r="M617" s="86"/>
      <c r="N617" s="86"/>
      <c r="O617" s="86"/>
      <c r="P617" s="86"/>
      <c r="Q617" s="86"/>
      <c r="R617" s="86"/>
      <c r="S617" s="86"/>
      <c r="T617" s="86"/>
      <c r="U617" s="86"/>
      <c r="V617" s="86"/>
      <c r="W617" s="86"/>
      <c r="X617" s="86"/>
      <c r="Y617" s="86"/>
      <c r="Z617" s="86"/>
    </row>
    <row r="618" ht="15.75" customHeight="1">
      <c r="H618" s="86"/>
      <c r="I618" s="86"/>
      <c r="J618" s="86"/>
      <c r="K618" s="86"/>
      <c r="L618" s="86"/>
      <c r="M618" s="86"/>
      <c r="N618" s="86"/>
      <c r="O618" s="86"/>
      <c r="P618" s="86"/>
      <c r="Q618" s="86"/>
      <c r="R618" s="86"/>
      <c r="S618" s="86"/>
      <c r="T618" s="86"/>
      <c r="U618" s="86"/>
      <c r="V618" s="86"/>
      <c r="W618" s="86"/>
      <c r="X618" s="86"/>
      <c r="Y618" s="86"/>
      <c r="Z618" s="86"/>
    </row>
    <row r="619" ht="15.75" customHeight="1">
      <c r="H619" s="86"/>
      <c r="I619" s="86"/>
      <c r="J619" s="86"/>
      <c r="K619" s="86"/>
      <c r="L619" s="86"/>
      <c r="M619" s="86"/>
      <c r="N619" s="86"/>
      <c r="O619" s="86"/>
      <c r="P619" s="86"/>
      <c r="Q619" s="86"/>
      <c r="R619" s="86"/>
      <c r="S619" s="86"/>
      <c r="T619" s="86"/>
      <c r="U619" s="86"/>
      <c r="V619" s="86"/>
      <c r="W619" s="86"/>
      <c r="X619" s="86"/>
      <c r="Y619" s="86"/>
      <c r="Z619" s="86"/>
    </row>
    <row r="620" ht="15.75" customHeight="1">
      <c r="H620" s="86"/>
      <c r="I620" s="86"/>
      <c r="J620" s="86"/>
      <c r="K620" s="86"/>
      <c r="L620" s="86"/>
      <c r="M620" s="86"/>
      <c r="N620" s="86"/>
      <c r="O620" s="86"/>
      <c r="P620" s="86"/>
      <c r="Q620" s="86"/>
      <c r="R620" s="86"/>
      <c r="S620" s="86"/>
      <c r="T620" s="86"/>
      <c r="U620" s="86"/>
      <c r="V620" s="86"/>
      <c r="W620" s="86"/>
      <c r="X620" s="86"/>
      <c r="Y620" s="86"/>
      <c r="Z620" s="86"/>
    </row>
    <row r="621" ht="15.75" customHeight="1">
      <c r="H621" s="86"/>
      <c r="I621" s="86"/>
      <c r="J621" s="86"/>
      <c r="K621" s="86"/>
      <c r="L621" s="86"/>
      <c r="M621" s="86"/>
      <c r="N621" s="86"/>
      <c r="O621" s="86"/>
      <c r="P621" s="86"/>
      <c r="Q621" s="86"/>
      <c r="R621" s="86"/>
      <c r="S621" s="86"/>
      <c r="T621" s="86"/>
      <c r="U621" s="86"/>
      <c r="V621" s="86"/>
      <c r="W621" s="86"/>
      <c r="X621" s="86"/>
      <c r="Y621" s="86"/>
      <c r="Z621" s="86"/>
    </row>
    <row r="622" ht="15.75" customHeight="1">
      <c r="H622" s="86"/>
      <c r="I622" s="86"/>
      <c r="J622" s="86"/>
      <c r="K622" s="86"/>
      <c r="L622" s="86"/>
      <c r="M622" s="86"/>
      <c r="N622" s="86"/>
      <c r="O622" s="86"/>
      <c r="P622" s="86"/>
      <c r="Q622" s="86"/>
      <c r="R622" s="86"/>
      <c r="S622" s="86"/>
      <c r="T622" s="86"/>
      <c r="U622" s="86"/>
      <c r="V622" s="86"/>
      <c r="W622" s="86"/>
      <c r="X622" s="86"/>
      <c r="Y622" s="86"/>
      <c r="Z622" s="86"/>
    </row>
    <row r="623" ht="15.75" customHeight="1">
      <c r="H623" s="86"/>
      <c r="I623" s="86"/>
      <c r="J623" s="86"/>
      <c r="K623" s="86"/>
      <c r="L623" s="86"/>
      <c r="M623" s="86"/>
      <c r="N623" s="86"/>
      <c r="O623" s="86"/>
      <c r="P623" s="86"/>
      <c r="Q623" s="86"/>
      <c r="R623" s="86"/>
      <c r="S623" s="86"/>
      <c r="T623" s="86"/>
      <c r="U623" s="86"/>
      <c r="V623" s="86"/>
      <c r="W623" s="86"/>
      <c r="X623" s="86"/>
      <c r="Y623" s="86"/>
      <c r="Z623" s="86"/>
    </row>
    <row r="624" ht="15.75" customHeight="1">
      <c r="H624" s="86"/>
      <c r="I624" s="86"/>
      <c r="J624" s="86"/>
      <c r="K624" s="86"/>
      <c r="L624" s="86"/>
      <c r="M624" s="86"/>
      <c r="N624" s="86"/>
      <c r="O624" s="86"/>
      <c r="P624" s="86"/>
      <c r="Q624" s="86"/>
      <c r="R624" s="86"/>
      <c r="S624" s="86"/>
      <c r="T624" s="86"/>
      <c r="U624" s="86"/>
      <c r="V624" s="86"/>
      <c r="W624" s="86"/>
      <c r="X624" s="86"/>
      <c r="Y624" s="86"/>
      <c r="Z624" s="86"/>
    </row>
    <row r="625" ht="15.75" customHeight="1">
      <c r="H625" s="86"/>
      <c r="I625" s="86"/>
      <c r="J625" s="86"/>
      <c r="K625" s="86"/>
      <c r="L625" s="86"/>
      <c r="M625" s="86"/>
      <c r="N625" s="86"/>
      <c r="O625" s="86"/>
      <c r="P625" s="86"/>
      <c r="Q625" s="86"/>
      <c r="R625" s="86"/>
      <c r="S625" s="86"/>
      <c r="T625" s="86"/>
      <c r="U625" s="86"/>
      <c r="V625" s="86"/>
      <c r="W625" s="86"/>
      <c r="X625" s="86"/>
      <c r="Y625" s="86"/>
      <c r="Z625" s="86"/>
    </row>
    <row r="626" ht="15.75" customHeight="1">
      <c r="H626" s="86"/>
      <c r="I626" s="86"/>
      <c r="J626" s="86"/>
      <c r="K626" s="86"/>
      <c r="L626" s="86"/>
      <c r="M626" s="86"/>
      <c r="N626" s="86"/>
      <c r="O626" s="86"/>
      <c r="P626" s="86"/>
      <c r="Q626" s="86"/>
      <c r="R626" s="86"/>
      <c r="S626" s="86"/>
      <c r="T626" s="86"/>
      <c r="U626" s="86"/>
      <c r="V626" s="86"/>
      <c r="W626" s="86"/>
      <c r="X626" s="86"/>
      <c r="Y626" s="86"/>
      <c r="Z626" s="86"/>
    </row>
    <row r="627" ht="15.75" customHeight="1">
      <c r="H627" s="86"/>
      <c r="I627" s="86"/>
      <c r="J627" s="86"/>
      <c r="K627" s="86"/>
      <c r="L627" s="86"/>
      <c r="M627" s="86"/>
      <c r="N627" s="86"/>
      <c r="O627" s="86"/>
      <c r="P627" s="86"/>
      <c r="Q627" s="86"/>
      <c r="R627" s="86"/>
      <c r="S627" s="86"/>
      <c r="T627" s="86"/>
      <c r="U627" s="86"/>
      <c r="V627" s="86"/>
      <c r="W627" s="86"/>
      <c r="X627" s="86"/>
      <c r="Y627" s="86"/>
      <c r="Z627" s="86"/>
    </row>
    <row r="628" ht="15.75" customHeight="1">
      <c r="H628" s="86"/>
      <c r="I628" s="86"/>
      <c r="J628" s="86"/>
      <c r="K628" s="86"/>
      <c r="L628" s="86"/>
      <c r="M628" s="86"/>
      <c r="N628" s="86"/>
      <c r="O628" s="86"/>
      <c r="P628" s="86"/>
      <c r="Q628" s="86"/>
      <c r="R628" s="86"/>
      <c r="S628" s="86"/>
      <c r="T628" s="86"/>
      <c r="U628" s="86"/>
      <c r="V628" s="86"/>
      <c r="W628" s="86"/>
      <c r="X628" s="86"/>
      <c r="Y628" s="86"/>
      <c r="Z628" s="86"/>
    </row>
    <row r="629" ht="15.75" customHeight="1">
      <c r="H629" s="86"/>
      <c r="I629" s="86"/>
      <c r="J629" s="86"/>
      <c r="K629" s="86"/>
      <c r="L629" s="86"/>
      <c r="M629" s="86"/>
      <c r="N629" s="86"/>
      <c r="O629" s="86"/>
      <c r="P629" s="86"/>
      <c r="Q629" s="86"/>
      <c r="R629" s="86"/>
      <c r="S629" s="86"/>
      <c r="T629" s="86"/>
      <c r="U629" s="86"/>
      <c r="V629" s="86"/>
      <c r="W629" s="86"/>
      <c r="X629" s="86"/>
      <c r="Y629" s="86"/>
      <c r="Z629" s="86"/>
    </row>
    <row r="630" ht="15.75" customHeight="1">
      <c r="H630" s="86"/>
      <c r="I630" s="86"/>
      <c r="J630" s="86"/>
      <c r="K630" s="86"/>
      <c r="L630" s="86"/>
      <c r="M630" s="86"/>
      <c r="N630" s="86"/>
      <c r="O630" s="86"/>
      <c r="P630" s="86"/>
      <c r="Q630" s="86"/>
      <c r="R630" s="86"/>
      <c r="S630" s="86"/>
      <c r="T630" s="86"/>
      <c r="U630" s="86"/>
      <c r="V630" s="86"/>
      <c r="W630" s="86"/>
      <c r="X630" s="86"/>
      <c r="Y630" s="86"/>
      <c r="Z630" s="86"/>
    </row>
    <row r="631" ht="15.75" customHeight="1">
      <c r="H631" s="86"/>
      <c r="I631" s="86"/>
      <c r="J631" s="86"/>
      <c r="K631" s="86"/>
      <c r="L631" s="86"/>
      <c r="M631" s="86"/>
      <c r="N631" s="86"/>
      <c r="O631" s="86"/>
      <c r="P631" s="86"/>
      <c r="Q631" s="86"/>
      <c r="R631" s="86"/>
      <c r="S631" s="86"/>
      <c r="T631" s="86"/>
      <c r="U631" s="86"/>
      <c r="V631" s="86"/>
      <c r="W631" s="86"/>
      <c r="X631" s="86"/>
      <c r="Y631" s="86"/>
      <c r="Z631" s="86"/>
    </row>
    <row r="632" ht="15.75" customHeight="1">
      <c r="H632" s="86"/>
      <c r="I632" s="86"/>
      <c r="J632" s="86"/>
      <c r="K632" s="86"/>
      <c r="L632" s="86"/>
      <c r="M632" s="86"/>
      <c r="N632" s="86"/>
      <c r="O632" s="86"/>
      <c r="P632" s="86"/>
      <c r="Q632" s="86"/>
      <c r="R632" s="86"/>
      <c r="S632" s="86"/>
      <c r="T632" s="86"/>
      <c r="U632" s="86"/>
      <c r="V632" s="86"/>
      <c r="W632" s="86"/>
      <c r="X632" s="86"/>
      <c r="Y632" s="86"/>
      <c r="Z632" s="86"/>
    </row>
    <row r="633" ht="15.75" customHeight="1">
      <c r="H633" s="86"/>
      <c r="I633" s="86"/>
      <c r="J633" s="86"/>
      <c r="K633" s="86"/>
      <c r="L633" s="86"/>
      <c r="M633" s="86"/>
      <c r="N633" s="86"/>
      <c r="O633" s="86"/>
      <c r="P633" s="86"/>
      <c r="Q633" s="86"/>
      <c r="R633" s="86"/>
      <c r="S633" s="86"/>
      <c r="T633" s="86"/>
      <c r="U633" s="86"/>
      <c r="V633" s="86"/>
      <c r="W633" s="86"/>
      <c r="X633" s="86"/>
      <c r="Y633" s="86"/>
      <c r="Z633" s="86"/>
    </row>
    <row r="634" ht="15.75" customHeight="1">
      <c r="H634" s="86"/>
      <c r="I634" s="86"/>
      <c r="J634" s="86"/>
      <c r="K634" s="86"/>
      <c r="L634" s="86"/>
      <c r="M634" s="86"/>
      <c r="N634" s="86"/>
      <c r="O634" s="86"/>
      <c r="P634" s="86"/>
      <c r="Q634" s="86"/>
      <c r="R634" s="86"/>
      <c r="S634" s="86"/>
      <c r="T634" s="86"/>
      <c r="U634" s="86"/>
      <c r="V634" s="86"/>
      <c r="W634" s="86"/>
      <c r="X634" s="86"/>
      <c r="Y634" s="86"/>
      <c r="Z634" s="86"/>
    </row>
    <row r="635" ht="15.75" customHeight="1">
      <c r="H635" s="86"/>
      <c r="I635" s="86"/>
      <c r="J635" s="86"/>
      <c r="K635" s="86"/>
      <c r="L635" s="86"/>
      <c r="M635" s="86"/>
      <c r="N635" s="86"/>
      <c r="O635" s="86"/>
      <c r="P635" s="86"/>
      <c r="Q635" s="86"/>
      <c r="R635" s="86"/>
      <c r="S635" s="86"/>
      <c r="T635" s="86"/>
      <c r="U635" s="86"/>
      <c r="V635" s="86"/>
      <c r="W635" s="86"/>
      <c r="X635" s="86"/>
      <c r="Y635" s="86"/>
      <c r="Z635" s="86"/>
    </row>
    <row r="636" ht="15.75" customHeight="1">
      <c r="H636" s="86"/>
      <c r="I636" s="86"/>
      <c r="J636" s="86"/>
      <c r="K636" s="86"/>
      <c r="L636" s="86"/>
      <c r="M636" s="86"/>
      <c r="N636" s="86"/>
      <c r="O636" s="86"/>
      <c r="P636" s="86"/>
      <c r="Q636" s="86"/>
      <c r="R636" s="86"/>
      <c r="S636" s="86"/>
      <c r="T636" s="86"/>
      <c r="U636" s="86"/>
      <c r="V636" s="86"/>
      <c r="W636" s="86"/>
      <c r="X636" s="86"/>
      <c r="Y636" s="86"/>
      <c r="Z636" s="86"/>
    </row>
    <row r="637" ht="15.75" customHeight="1">
      <c r="H637" s="86"/>
      <c r="I637" s="86"/>
      <c r="J637" s="86"/>
      <c r="K637" s="86"/>
      <c r="L637" s="86"/>
      <c r="M637" s="86"/>
      <c r="N637" s="86"/>
      <c r="O637" s="86"/>
      <c r="P637" s="86"/>
      <c r="Q637" s="86"/>
      <c r="R637" s="86"/>
      <c r="S637" s="86"/>
      <c r="T637" s="86"/>
      <c r="U637" s="86"/>
      <c r="V637" s="86"/>
      <c r="W637" s="86"/>
      <c r="X637" s="86"/>
      <c r="Y637" s="86"/>
      <c r="Z637" s="86"/>
    </row>
    <row r="638" ht="15.75" customHeight="1">
      <c r="H638" s="86"/>
      <c r="I638" s="86"/>
      <c r="J638" s="86"/>
      <c r="K638" s="86"/>
      <c r="L638" s="86"/>
      <c r="M638" s="86"/>
      <c r="N638" s="86"/>
      <c r="O638" s="86"/>
      <c r="P638" s="86"/>
      <c r="Q638" s="86"/>
      <c r="R638" s="86"/>
      <c r="S638" s="86"/>
      <c r="T638" s="86"/>
      <c r="U638" s="86"/>
      <c r="V638" s="86"/>
      <c r="W638" s="86"/>
      <c r="X638" s="86"/>
      <c r="Y638" s="86"/>
      <c r="Z638" s="86"/>
    </row>
    <row r="639" ht="15.75" customHeight="1">
      <c r="H639" s="86"/>
      <c r="I639" s="86"/>
      <c r="J639" s="86"/>
      <c r="K639" s="86"/>
      <c r="L639" s="86"/>
      <c r="M639" s="86"/>
      <c r="N639" s="86"/>
      <c r="O639" s="86"/>
      <c r="P639" s="86"/>
      <c r="Q639" s="86"/>
      <c r="R639" s="86"/>
      <c r="S639" s="86"/>
      <c r="T639" s="86"/>
      <c r="U639" s="86"/>
      <c r="V639" s="86"/>
      <c r="W639" s="86"/>
      <c r="X639" s="86"/>
      <c r="Y639" s="86"/>
      <c r="Z639" s="86"/>
    </row>
    <row r="640" ht="15.75" customHeight="1">
      <c r="H640" s="86"/>
      <c r="I640" s="86"/>
      <c r="J640" s="86"/>
      <c r="K640" s="86"/>
      <c r="L640" s="86"/>
      <c r="M640" s="86"/>
      <c r="N640" s="86"/>
      <c r="O640" s="86"/>
      <c r="P640" s="86"/>
      <c r="Q640" s="86"/>
      <c r="R640" s="86"/>
      <c r="S640" s="86"/>
      <c r="T640" s="86"/>
      <c r="U640" s="86"/>
      <c r="V640" s="86"/>
      <c r="W640" s="86"/>
      <c r="X640" s="86"/>
      <c r="Y640" s="86"/>
      <c r="Z640" s="86"/>
    </row>
    <row r="641" ht="15.75" customHeight="1">
      <c r="H641" s="86"/>
      <c r="I641" s="86"/>
      <c r="J641" s="86"/>
      <c r="K641" s="86"/>
      <c r="L641" s="86"/>
      <c r="M641" s="86"/>
      <c r="N641" s="86"/>
      <c r="O641" s="86"/>
      <c r="P641" s="86"/>
      <c r="Q641" s="86"/>
      <c r="R641" s="86"/>
      <c r="S641" s="86"/>
      <c r="T641" s="86"/>
      <c r="U641" s="86"/>
      <c r="V641" s="86"/>
      <c r="W641" s="86"/>
      <c r="X641" s="86"/>
      <c r="Y641" s="86"/>
      <c r="Z641" s="86"/>
    </row>
    <row r="642" ht="15.75" customHeight="1">
      <c r="H642" s="86"/>
      <c r="I642" s="86"/>
      <c r="J642" s="86"/>
      <c r="K642" s="86"/>
      <c r="L642" s="86"/>
      <c r="M642" s="86"/>
      <c r="N642" s="86"/>
      <c r="O642" s="86"/>
      <c r="P642" s="86"/>
      <c r="Q642" s="86"/>
      <c r="R642" s="86"/>
      <c r="S642" s="86"/>
      <c r="T642" s="86"/>
      <c r="U642" s="86"/>
      <c r="V642" s="86"/>
      <c r="W642" s="86"/>
      <c r="X642" s="86"/>
      <c r="Y642" s="86"/>
      <c r="Z642" s="86"/>
    </row>
    <row r="643" ht="15.75" customHeight="1">
      <c r="H643" s="86"/>
      <c r="I643" s="86"/>
      <c r="J643" s="86"/>
      <c r="K643" s="86"/>
      <c r="L643" s="86"/>
      <c r="M643" s="86"/>
      <c r="N643" s="86"/>
      <c r="O643" s="86"/>
      <c r="P643" s="86"/>
      <c r="Q643" s="86"/>
      <c r="R643" s="86"/>
      <c r="S643" s="86"/>
      <c r="T643" s="86"/>
      <c r="U643" s="86"/>
      <c r="V643" s="86"/>
      <c r="W643" s="86"/>
      <c r="X643" s="86"/>
      <c r="Y643" s="86"/>
      <c r="Z643" s="86"/>
    </row>
    <row r="644" ht="15.75" customHeight="1">
      <c r="H644" s="86"/>
      <c r="I644" s="86"/>
      <c r="J644" s="86"/>
      <c r="K644" s="86"/>
      <c r="L644" s="86"/>
      <c r="M644" s="86"/>
      <c r="N644" s="86"/>
      <c r="O644" s="86"/>
      <c r="P644" s="86"/>
      <c r="Q644" s="86"/>
      <c r="R644" s="86"/>
      <c r="S644" s="86"/>
      <c r="T644" s="86"/>
      <c r="U644" s="86"/>
      <c r="V644" s="86"/>
      <c r="W644" s="86"/>
      <c r="X644" s="86"/>
      <c r="Y644" s="86"/>
      <c r="Z644" s="86"/>
    </row>
    <row r="645" ht="15.75" customHeight="1">
      <c r="H645" s="86"/>
      <c r="I645" s="86"/>
      <c r="J645" s="86"/>
      <c r="K645" s="86"/>
      <c r="L645" s="86"/>
      <c r="M645" s="86"/>
      <c r="N645" s="86"/>
      <c r="O645" s="86"/>
      <c r="P645" s="86"/>
      <c r="Q645" s="86"/>
      <c r="R645" s="86"/>
      <c r="S645" s="86"/>
      <c r="T645" s="86"/>
      <c r="U645" s="86"/>
      <c r="V645" s="86"/>
      <c r="W645" s="86"/>
      <c r="X645" s="86"/>
      <c r="Y645" s="86"/>
      <c r="Z645" s="86"/>
    </row>
    <row r="646" ht="15.75" customHeight="1">
      <c r="H646" s="86"/>
      <c r="I646" s="86"/>
      <c r="J646" s="86"/>
      <c r="K646" s="86"/>
      <c r="L646" s="86"/>
      <c r="M646" s="86"/>
      <c r="N646" s="86"/>
      <c r="O646" s="86"/>
      <c r="P646" s="86"/>
      <c r="Q646" s="86"/>
      <c r="R646" s="86"/>
      <c r="S646" s="86"/>
      <c r="T646" s="86"/>
      <c r="U646" s="86"/>
      <c r="V646" s="86"/>
      <c r="W646" s="86"/>
      <c r="X646" s="86"/>
      <c r="Y646" s="86"/>
      <c r="Z646" s="86"/>
    </row>
    <row r="647" ht="15.75" customHeight="1">
      <c r="H647" s="86"/>
      <c r="I647" s="86"/>
      <c r="J647" s="86"/>
      <c r="K647" s="86"/>
      <c r="L647" s="86"/>
      <c r="M647" s="86"/>
      <c r="N647" s="86"/>
      <c r="O647" s="86"/>
      <c r="P647" s="86"/>
      <c r="Q647" s="86"/>
      <c r="R647" s="86"/>
      <c r="S647" s="86"/>
      <c r="T647" s="86"/>
      <c r="U647" s="86"/>
      <c r="V647" s="86"/>
      <c r="W647" s="86"/>
      <c r="X647" s="86"/>
      <c r="Y647" s="86"/>
      <c r="Z647" s="86"/>
    </row>
    <row r="648" ht="15.75" customHeight="1">
      <c r="H648" s="86"/>
      <c r="I648" s="86"/>
      <c r="J648" s="86"/>
      <c r="K648" s="86"/>
      <c r="L648" s="86"/>
      <c r="M648" s="86"/>
      <c r="N648" s="86"/>
      <c r="O648" s="86"/>
      <c r="P648" s="86"/>
      <c r="Q648" s="86"/>
      <c r="R648" s="86"/>
      <c r="S648" s="86"/>
      <c r="T648" s="86"/>
      <c r="U648" s="86"/>
      <c r="V648" s="86"/>
      <c r="W648" s="86"/>
      <c r="X648" s="86"/>
      <c r="Y648" s="86"/>
      <c r="Z648" s="86"/>
    </row>
    <row r="649" ht="15.75" customHeight="1">
      <c r="H649" s="86"/>
      <c r="I649" s="86"/>
      <c r="J649" s="86"/>
      <c r="K649" s="86"/>
      <c r="L649" s="86"/>
      <c r="M649" s="86"/>
      <c r="N649" s="86"/>
      <c r="O649" s="86"/>
      <c r="P649" s="86"/>
      <c r="Q649" s="86"/>
      <c r="R649" s="86"/>
      <c r="S649" s="86"/>
      <c r="T649" s="86"/>
      <c r="U649" s="86"/>
      <c r="V649" s="86"/>
      <c r="W649" s="86"/>
      <c r="X649" s="86"/>
      <c r="Y649" s="86"/>
      <c r="Z649" s="86"/>
    </row>
    <row r="650" ht="15.75" customHeight="1">
      <c r="H650" s="86"/>
      <c r="I650" s="86"/>
      <c r="J650" s="86"/>
      <c r="K650" s="86"/>
      <c r="L650" s="86"/>
      <c r="M650" s="86"/>
      <c r="N650" s="86"/>
      <c r="O650" s="86"/>
      <c r="P650" s="86"/>
      <c r="Q650" s="86"/>
      <c r="R650" s="86"/>
      <c r="S650" s="86"/>
      <c r="T650" s="86"/>
      <c r="U650" s="86"/>
      <c r="V650" s="86"/>
      <c r="W650" s="86"/>
      <c r="X650" s="86"/>
      <c r="Y650" s="86"/>
      <c r="Z650" s="86"/>
    </row>
    <row r="651" ht="15.75" customHeight="1">
      <c r="H651" s="86"/>
      <c r="I651" s="86"/>
      <c r="J651" s="86"/>
      <c r="K651" s="86"/>
      <c r="L651" s="86"/>
      <c r="M651" s="86"/>
      <c r="N651" s="86"/>
      <c r="O651" s="86"/>
      <c r="P651" s="86"/>
      <c r="Q651" s="86"/>
      <c r="R651" s="86"/>
      <c r="S651" s="86"/>
      <c r="T651" s="86"/>
      <c r="U651" s="86"/>
      <c r="V651" s="86"/>
      <c r="W651" s="86"/>
      <c r="X651" s="86"/>
      <c r="Y651" s="86"/>
      <c r="Z651" s="86"/>
    </row>
    <row r="652" ht="15.75" customHeight="1">
      <c r="H652" s="86"/>
      <c r="I652" s="86"/>
      <c r="J652" s="86"/>
      <c r="K652" s="86"/>
      <c r="L652" s="86"/>
      <c r="M652" s="86"/>
      <c r="N652" s="86"/>
      <c r="O652" s="86"/>
      <c r="P652" s="86"/>
      <c r="Q652" s="86"/>
      <c r="R652" s="86"/>
      <c r="S652" s="86"/>
      <c r="T652" s="86"/>
      <c r="U652" s="86"/>
      <c r="V652" s="86"/>
      <c r="W652" s="86"/>
      <c r="X652" s="86"/>
      <c r="Y652" s="86"/>
      <c r="Z652" s="86"/>
    </row>
    <row r="653" ht="15.75" customHeight="1">
      <c r="H653" s="86"/>
      <c r="I653" s="86"/>
      <c r="J653" s="86"/>
      <c r="K653" s="86"/>
      <c r="L653" s="86"/>
      <c r="M653" s="86"/>
      <c r="N653" s="86"/>
      <c r="O653" s="86"/>
      <c r="P653" s="86"/>
      <c r="Q653" s="86"/>
      <c r="R653" s="86"/>
      <c r="S653" s="86"/>
      <c r="T653" s="86"/>
      <c r="U653" s="86"/>
      <c r="V653" s="86"/>
      <c r="W653" s="86"/>
      <c r="X653" s="86"/>
      <c r="Y653" s="86"/>
      <c r="Z653" s="86"/>
    </row>
    <row r="654" ht="15.75" customHeight="1">
      <c r="H654" s="86"/>
      <c r="I654" s="86"/>
      <c r="J654" s="86"/>
      <c r="K654" s="86"/>
      <c r="L654" s="86"/>
      <c r="M654" s="86"/>
      <c r="N654" s="86"/>
      <c r="O654" s="86"/>
      <c r="P654" s="86"/>
      <c r="Q654" s="86"/>
      <c r="R654" s="86"/>
      <c r="S654" s="86"/>
      <c r="T654" s="86"/>
      <c r="U654" s="86"/>
      <c r="V654" s="86"/>
      <c r="W654" s="86"/>
      <c r="X654" s="86"/>
      <c r="Y654" s="86"/>
      <c r="Z654" s="86"/>
    </row>
    <row r="655" ht="15.75" customHeight="1">
      <c r="H655" s="86"/>
      <c r="I655" s="86"/>
      <c r="J655" s="86"/>
      <c r="K655" s="86"/>
      <c r="L655" s="86"/>
      <c r="M655" s="86"/>
      <c r="N655" s="86"/>
      <c r="O655" s="86"/>
      <c r="P655" s="86"/>
      <c r="Q655" s="86"/>
      <c r="R655" s="86"/>
      <c r="S655" s="86"/>
      <c r="T655" s="86"/>
      <c r="U655" s="86"/>
      <c r="V655" s="86"/>
      <c r="W655" s="86"/>
      <c r="X655" s="86"/>
      <c r="Y655" s="86"/>
      <c r="Z655" s="86"/>
    </row>
    <row r="656" ht="15.75" customHeight="1">
      <c r="H656" s="86"/>
      <c r="I656" s="86"/>
      <c r="J656" s="86"/>
      <c r="K656" s="86"/>
      <c r="L656" s="86"/>
      <c r="M656" s="86"/>
      <c r="N656" s="86"/>
      <c r="O656" s="86"/>
      <c r="P656" s="86"/>
      <c r="Q656" s="86"/>
      <c r="R656" s="86"/>
      <c r="S656" s="86"/>
      <c r="T656" s="86"/>
      <c r="U656" s="86"/>
      <c r="V656" s="86"/>
      <c r="W656" s="86"/>
      <c r="X656" s="86"/>
      <c r="Y656" s="86"/>
      <c r="Z656" s="86"/>
    </row>
    <row r="657" ht="15.75" customHeight="1">
      <c r="H657" s="86"/>
      <c r="I657" s="86"/>
      <c r="J657" s="86"/>
      <c r="K657" s="86"/>
      <c r="L657" s="86"/>
      <c r="M657" s="86"/>
      <c r="N657" s="86"/>
      <c r="O657" s="86"/>
      <c r="P657" s="86"/>
      <c r="Q657" s="86"/>
      <c r="R657" s="86"/>
      <c r="S657" s="86"/>
      <c r="T657" s="86"/>
      <c r="U657" s="86"/>
      <c r="V657" s="86"/>
      <c r="W657" s="86"/>
      <c r="X657" s="86"/>
      <c r="Y657" s="86"/>
      <c r="Z657" s="86"/>
    </row>
    <row r="658" ht="15.75" customHeight="1">
      <c r="H658" s="86"/>
      <c r="I658" s="86"/>
      <c r="J658" s="86"/>
      <c r="K658" s="86"/>
      <c r="L658" s="86"/>
      <c r="M658" s="86"/>
      <c r="N658" s="86"/>
      <c r="O658" s="86"/>
      <c r="P658" s="86"/>
      <c r="Q658" s="86"/>
      <c r="R658" s="86"/>
      <c r="S658" s="86"/>
      <c r="T658" s="86"/>
      <c r="U658" s="86"/>
      <c r="V658" s="86"/>
      <c r="W658" s="86"/>
      <c r="X658" s="86"/>
      <c r="Y658" s="86"/>
      <c r="Z658" s="86"/>
    </row>
    <row r="659" ht="15.75" customHeight="1">
      <c r="H659" s="86"/>
      <c r="I659" s="86"/>
      <c r="J659" s="86"/>
      <c r="K659" s="86"/>
      <c r="L659" s="86"/>
      <c r="M659" s="86"/>
      <c r="N659" s="86"/>
      <c r="O659" s="86"/>
      <c r="P659" s="86"/>
      <c r="Q659" s="86"/>
      <c r="R659" s="86"/>
      <c r="S659" s="86"/>
      <c r="T659" s="86"/>
      <c r="U659" s="86"/>
      <c r="V659" s="86"/>
      <c r="W659" s="86"/>
      <c r="X659" s="86"/>
      <c r="Y659" s="86"/>
      <c r="Z659" s="86"/>
    </row>
    <row r="660" ht="15.75" customHeight="1">
      <c r="H660" s="86"/>
      <c r="I660" s="86"/>
      <c r="J660" s="86"/>
      <c r="K660" s="86"/>
      <c r="L660" s="86"/>
      <c r="M660" s="86"/>
      <c r="N660" s="86"/>
      <c r="O660" s="86"/>
      <c r="P660" s="86"/>
      <c r="Q660" s="86"/>
      <c r="R660" s="86"/>
      <c r="S660" s="86"/>
      <c r="T660" s="86"/>
      <c r="U660" s="86"/>
      <c r="V660" s="86"/>
      <c r="W660" s="86"/>
      <c r="X660" s="86"/>
      <c r="Y660" s="86"/>
      <c r="Z660" s="86"/>
    </row>
    <row r="661" ht="15.75" customHeight="1">
      <c r="H661" s="86"/>
      <c r="I661" s="86"/>
      <c r="J661" s="86"/>
      <c r="K661" s="86"/>
      <c r="L661" s="86"/>
      <c r="M661" s="86"/>
      <c r="N661" s="86"/>
      <c r="O661" s="86"/>
      <c r="P661" s="86"/>
      <c r="Q661" s="86"/>
      <c r="R661" s="86"/>
      <c r="S661" s="86"/>
      <c r="T661" s="86"/>
      <c r="U661" s="86"/>
      <c r="V661" s="86"/>
      <c r="W661" s="86"/>
      <c r="X661" s="86"/>
      <c r="Y661" s="86"/>
      <c r="Z661" s="86"/>
    </row>
    <row r="662" ht="15.75" customHeight="1">
      <c r="H662" s="86"/>
      <c r="I662" s="86"/>
      <c r="J662" s="86"/>
      <c r="K662" s="86"/>
      <c r="L662" s="86"/>
      <c r="M662" s="86"/>
      <c r="N662" s="86"/>
      <c r="O662" s="86"/>
      <c r="P662" s="86"/>
      <c r="Q662" s="86"/>
      <c r="R662" s="86"/>
      <c r="S662" s="86"/>
      <c r="T662" s="86"/>
      <c r="U662" s="86"/>
      <c r="V662" s="86"/>
      <c r="W662" s="86"/>
      <c r="X662" s="86"/>
      <c r="Y662" s="86"/>
      <c r="Z662" s="86"/>
    </row>
    <row r="663" ht="15.75" customHeight="1">
      <c r="H663" s="86"/>
      <c r="I663" s="86"/>
      <c r="J663" s="86"/>
      <c r="K663" s="86"/>
      <c r="L663" s="86"/>
      <c r="M663" s="86"/>
      <c r="N663" s="86"/>
      <c r="O663" s="86"/>
      <c r="P663" s="86"/>
      <c r="Q663" s="86"/>
      <c r="R663" s="86"/>
      <c r="S663" s="86"/>
      <c r="T663" s="86"/>
      <c r="U663" s="86"/>
      <c r="V663" s="86"/>
      <c r="W663" s="86"/>
      <c r="X663" s="86"/>
      <c r="Y663" s="86"/>
      <c r="Z663" s="86"/>
    </row>
    <row r="664" ht="15.75" customHeight="1">
      <c r="H664" s="86"/>
      <c r="I664" s="86"/>
      <c r="J664" s="86"/>
      <c r="K664" s="86"/>
      <c r="L664" s="86"/>
      <c r="M664" s="86"/>
      <c r="N664" s="86"/>
      <c r="O664" s="86"/>
      <c r="P664" s="86"/>
      <c r="Q664" s="86"/>
      <c r="R664" s="86"/>
      <c r="S664" s="86"/>
      <c r="T664" s="86"/>
      <c r="U664" s="86"/>
      <c r="V664" s="86"/>
      <c r="W664" s="86"/>
      <c r="X664" s="86"/>
      <c r="Y664" s="86"/>
      <c r="Z664" s="86"/>
    </row>
    <row r="665" ht="15.75" customHeight="1">
      <c r="H665" s="86"/>
      <c r="I665" s="86"/>
      <c r="J665" s="86"/>
      <c r="K665" s="86"/>
      <c r="L665" s="86"/>
      <c r="M665" s="86"/>
      <c r="N665" s="86"/>
      <c r="O665" s="86"/>
      <c r="P665" s="86"/>
      <c r="Q665" s="86"/>
      <c r="R665" s="86"/>
      <c r="S665" s="86"/>
      <c r="T665" s="86"/>
      <c r="U665" s="86"/>
      <c r="V665" s="86"/>
      <c r="W665" s="86"/>
      <c r="X665" s="86"/>
      <c r="Y665" s="86"/>
      <c r="Z665" s="86"/>
    </row>
    <row r="666" ht="15.75" customHeight="1">
      <c r="H666" s="86"/>
      <c r="I666" s="86"/>
      <c r="J666" s="86"/>
      <c r="K666" s="86"/>
      <c r="L666" s="86"/>
      <c r="M666" s="86"/>
      <c r="N666" s="86"/>
      <c r="O666" s="86"/>
      <c r="P666" s="86"/>
      <c r="Q666" s="86"/>
      <c r="R666" s="86"/>
      <c r="S666" s="86"/>
      <c r="T666" s="86"/>
      <c r="U666" s="86"/>
      <c r="V666" s="86"/>
      <c r="W666" s="86"/>
      <c r="X666" s="86"/>
      <c r="Y666" s="86"/>
      <c r="Z666" s="86"/>
    </row>
    <row r="667" ht="15.75" customHeight="1">
      <c r="H667" s="86"/>
      <c r="I667" s="86"/>
      <c r="J667" s="86"/>
      <c r="K667" s="86"/>
      <c r="L667" s="86"/>
      <c r="M667" s="86"/>
      <c r="N667" s="86"/>
      <c r="O667" s="86"/>
      <c r="P667" s="86"/>
      <c r="Q667" s="86"/>
      <c r="R667" s="86"/>
      <c r="S667" s="86"/>
      <c r="T667" s="86"/>
      <c r="U667" s="86"/>
      <c r="V667" s="86"/>
      <c r="W667" s="86"/>
      <c r="X667" s="86"/>
      <c r="Y667" s="86"/>
      <c r="Z667" s="86"/>
    </row>
    <row r="668" ht="15.75" customHeight="1">
      <c r="H668" s="86"/>
      <c r="I668" s="86"/>
      <c r="J668" s="86"/>
      <c r="K668" s="86"/>
      <c r="L668" s="86"/>
      <c r="M668" s="86"/>
      <c r="N668" s="86"/>
      <c r="O668" s="86"/>
      <c r="P668" s="86"/>
      <c r="Q668" s="86"/>
      <c r="R668" s="86"/>
      <c r="S668" s="86"/>
      <c r="T668" s="86"/>
      <c r="U668" s="86"/>
      <c r="V668" s="86"/>
      <c r="W668" s="86"/>
      <c r="X668" s="86"/>
      <c r="Y668" s="86"/>
      <c r="Z668" s="86"/>
    </row>
    <row r="669" ht="15.75" customHeight="1">
      <c r="H669" s="86"/>
      <c r="I669" s="86"/>
      <c r="J669" s="86"/>
      <c r="K669" s="86"/>
      <c r="L669" s="86"/>
      <c r="M669" s="86"/>
      <c r="N669" s="86"/>
      <c r="O669" s="86"/>
      <c r="P669" s="86"/>
      <c r="Q669" s="86"/>
      <c r="R669" s="86"/>
      <c r="S669" s="86"/>
      <c r="T669" s="86"/>
      <c r="U669" s="86"/>
      <c r="V669" s="86"/>
      <c r="W669" s="86"/>
      <c r="X669" s="86"/>
      <c r="Y669" s="86"/>
      <c r="Z669" s="86"/>
    </row>
    <row r="670" ht="15.75" customHeight="1">
      <c r="H670" s="86"/>
      <c r="I670" s="86"/>
      <c r="J670" s="86"/>
      <c r="K670" s="86"/>
      <c r="L670" s="86"/>
      <c r="M670" s="86"/>
      <c r="N670" s="86"/>
      <c r="O670" s="86"/>
      <c r="P670" s="86"/>
      <c r="Q670" s="86"/>
      <c r="R670" s="86"/>
      <c r="S670" s="86"/>
      <c r="T670" s="86"/>
      <c r="U670" s="86"/>
      <c r="V670" s="86"/>
      <c r="W670" s="86"/>
      <c r="X670" s="86"/>
      <c r="Y670" s="86"/>
      <c r="Z670" s="86"/>
    </row>
    <row r="671" ht="15.75" customHeight="1">
      <c r="H671" s="86"/>
      <c r="I671" s="86"/>
      <c r="J671" s="86"/>
      <c r="K671" s="86"/>
      <c r="L671" s="86"/>
      <c r="M671" s="86"/>
      <c r="N671" s="86"/>
      <c r="O671" s="86"/>
      <c r="P671" s="86"/>
      <c r="Q671" s="86"/>
      <c r="R671" s="86"/>
      <c r="S671" s="86"/>
      <c r="T671" s="86"/>
      <c r="U671" s="86"/>
      <c r="V671" s="86"/>
      <c r="W671" s="86"/>
      <c r="X671" s="86"/>
      <c r="Y671" s="86"/>
      <c r="Z671" s="86"/>
    </row>
    <row r="672" ht="15.75" customHeight="1">
      <c r="H672" s="86"/>
      <c r="I672" s="86"/>
      <c r="J672" s="86"/>
      <c r="K672" s="86"/>
      <c r="L672" s="86"/>
      <c r="M672" s="86"/>
      <c r="N672" s="86"/>
      <c r="O672" s="86"/>
      <c r="P672" s="86"/>
      <c r="Q672" s="86"/>
      <c r="R672" s="86"/>
      <c r="S672" s="86"/>
      <c r="T672" s="86"/>
      <c r="U672" s="86"/>
      <c r="V672" s="86"/>
      <c r="W672" s="86"/>
      <c r="X672" s="86"/>
      <c r="Y672" s="86"/>
      <c r="Z672" s="86"/>
    </row>
    <row r="673" ht="15.75" customHeight="1">
      <c r="H673" s="86"/>
      <c r="I673" s="86"/>
      <c r="J673" s="86"/>
      <c r="K673" s="86"/>
      <c r="L673" s="86"/>
      <c r="M673" s="86"/>
      <c r="N673" s="86"/>
      <c r="O673" s="86"/>
      <c r="P673" s="86"/>
      <c r="Q673" s="86"/>
      <c r="R673" s="86"/>
      <c r="S673" s="86"/>
      <c r="T673" s="86"/>
      <c r="U673" s="86"/>
      <c r="V673" s="86"/>
      <c r="W673" s="86"/>
      <c r="X673" s="86"/>
      <c r="Y673" s="86"/>
      <c r="Z673" s="86"/>
    </row>
    <row r="674" ht="15.75" customHeight="1">
      <c r="H674" s="86"/>
      <c r="I674" s="86"/>
      <c r="J674" s="86"/>
      <c r="K674" s="86"/>
      <c r="L674" s="86"/>
      <c r="M674" s="86"/>
      <c r="N674" s="86"/>
      <c r="O674" s="86"/>
      <c r="P674" s="86"/>
      <c r="Q674" s="86"/>
      <c r="R674" s="86"/>
      <c r="S674" s="86"/>
      <c r="T674" s="86"/>
      <c r="U674" s="86"/>
      <c r="V674" s="86"/>
      <c r="W674" s="86"/>
      <c r="X674" s="86"/>
      <c r="Y674" s="86"/>
      <c r="Z674" s="86"/>
    </row>
    <row r="675" ht="15.75" customHeight="1">
      <c r="H675" s="86"/>
      <c r="I675" s="86"/>
      <c r="J675" s="86"/>
      <c r="K675" s="86"/>
      <c r="L675" s="86"/>
      <c r="M675" s="86"/>
      <c r="N675" s="86"/>
      <c r="O675" s="86"/>
      <c r="P675" s="86"/>
      <c r="Q675" s="86"/>
      <c r="R675" s="86"/>
      <c r="S675" s="86"/>
      <c r="T675" s="86"/>
      <c r="U675" s="86"/>
      <c r="V675" s="86"/>
      <c r="W675" s="86"/>
      <c r="X675" s="86"/>
      <c r="Y675" s="86"/>
      <c r="Z675" s="86"/>
    </row>
    <row r="676" ht="15.75" customHeight="1">
      <c r="H676" s="86"/>
      <c r="I676" s="86"/>
      <c r="J676" s="86"/>
      <c r="K676" s="86"/>
      <c r="L676" s="86"/>
      <c r="M676" s="86"/>
      <c r="N676" s="86"/>
      <c r="O676" s="86"/>
      <c r="P676" s="86"/>
      <c r="Q676" s="86"/>
      <c r="R676" s="86"/>
      <c r="S676" s="86"/>
      <c r="T676" s="86"/>
      <c r="U676" s="86"/>
      <c r="V676" s="86"/>
      <c r="W676" s="86"/>
      <c r="X676" s="86"/>
      <c r="Y676" s="86"/>
      <c r="Z676" s="86"/>
    </row>
    <row r="677" ht="15.75" customHeight="1">
      <c r="H677" s="86"/>
      <c r="I677" s="86"/>
      <c r="J677" s="86"/>
      <c r="K677" s="86"/>
      <c r="L677" s="86"/>
      <c r="M677" s="86"/>
      <c r="N677" s="86"/>
      <c r="O677" s="86"/>
      <c r="P677" s="86"/>
      <c r="Q677" s="86"/>
      <c r="R677" s="86"/>
      <c r="S677" s="86"/>
      <c r="T677" s="86"/>
      <c r="U677" s="86"/>
      <c r="V677" s="86"/>
      <c r="W677" s="86"/>
      <c r="X677" s="86"/>
      <c r="Y677" s="86"/>
      <c r="Z677" s="86"/>
    </row>
    <row r="678" ht="15.75" customHeight="1">
      <c r="H678" s="86"/>
      <c r="I678" s="86"/>
      <c r="J678" s="86"/>
      <c r="K678" s="86"/>
      <c r="L678" s="86"/>
      <c r="M678" s="86"/>
      <c r="N678" s="86"/>
      <c r="O678" s="86"/>
      <c r="P678" s="86"/>
      <c r="Q678" s="86"/>
      <c r="R678" s="86"/>
      <c r="S678" s="86"/>
      <c r="T678" s="86"/>
      <c r="U678" s="86"/>
      <c r="V678" s="86"/>
      <c r="W678" s="86"/>
      <c r="X678" s="86"/>
      <c r="Y678" s="86"/>
      <c r="Z678" s="86"/>
    </row>
    <row r="679" ht="15.75" customHeight="1">
      <c r="H679" s="86"/>
      <c r="I679" s="86"/>
      <c r="J679" s="86"/>
      <c r="K679" s="86"/>
      <c r="L679" s="86"/>
      <c r="M679" s="86"/>
      <c r="N679" s="86"/>
      <c r="O679" s="86"/>
      <c r="P679" s="86"/>
      <c r="Q679" s="86"/>
      <c r="R679" s="86"/>
      <c r="S679" s="86"/>
      <c r="T679" s="86"/>
      <c r="U679" s="86"/>
      <c r="V679" s="86"/>
      <c r="W679" s="86"/>
      <c r="X679" s="86"/>
      <c r="Y679" s="86"/>
      <c r="Z679" s="86"/>
    </row>
    <row r="680" ht="15.75" customHeight="1">
      <c r="H680" s="86"/>
      <c r="I680" s="86"/>
      <c r="J680" s="86"/>
      <c r="K680" s="86"/>
      <c r="L680" s="86"/>
      <c r="M680" s="86"/>
      <c r="N680" s="86"/>
      <c r="O680" s="86"/>
      <c r="P680" s="86"/>
      <c r="Q680" s="86"/>
      <c r="R680" s="86"/>
      <c r="S680" s="86"/>
      <c r="T680" s="86"/>
      <c r="U680" s="86"/>
      <c r="V680" s="86"/>
      <c r="W680" s="86"/>
      <c r="X680" s="86"/>
      <c r="Y680" s="86"/>
      <c r="Z680" s="86"/>
    </row>
    <row r="681" ht="15.75" customHeight="1">
      <c r="H681" s="86"/>
      <c r="I681" s="86"/>
      <c r="J681" s="86"/>
      <c r="K681" s="86"/>
      <c r="L681" s="86"/>
      <c r="M681" s="86"/>
      <c r="N681" s="86"/>
      <c r="O681" s="86"/>
      <c r="P681" s="86"/>
      <c r="Q681" s="86"/>
      <c r="R681" s="86"/>
      <c r="S681" s="86"/>
      <c r="T681" s="86"/>
      <c r="U681" s="86"/>
      <c r="V681" s="86"/>
      <c r="W681" s="86"/>
      <c r="X681" s="86"/>
      <c r="Y681" s="86"/>
      <c r="Z681" s="86"/>
    </row>
    <row r="682" ht="15.75" customHeight="1">
      <c r="H682" s="86"/>
      <c r="I682" s="86"/>
      <c r="J682" s="86"/>
      <c r="K682" s="86"/>
      <c r="L682" s="86"/>
      <c r="M682" s="86"/>
      <c r="N682" s="86"/>
      <c r="O682" s="86"/>
      <c r="P682" s="86"/>
      <c r="Q682" s="86"/>
      <c r="R682" s="86"/>
      <c r="S682" s="86"/>
      <c r="T682" s="86"/>
      <c r="U682" s="86"/>
      <c r="V682" s="86"/>
      <c r="W682" s="86"/>
      <c r="X682" s="86"/>
      <c r="Y682" s="86"/>
      <c r="Z682" s="86"/>
    </row>
    <row r="683" ht="15.75" customHeight="1">
      <c r="H683" s="86"/>
      <c r="I683" s="86"/>
      <c r="J683" s="86"/>
      <c r="K683" s="86"/>
      <c r="L683" s="86"/>
      <c r="M683" s="86"/>
      <c r="N683" s="86"/>
      <c r="O683" s="86"/>
      <c r="P683" s="86"/>
      <c r="Q683" s="86"/>
      <c r="R683" s="86"/>
      <c r="S683" s="86"/>
      <c r="T683" s="86"/>
      <c r="U683" s="86"/>
      <c r="V683" s="86"/>
      <c r="W683" s="86"/>
      <c r="X683" s="86"/>
      <c r="Y683" s="86"/>
      <c r="Z683" s="86"/>
    </row>
    <row r="684" ht="15.75" customHeight="1">
      <c r="H684" s="86"/>
      <c r="I684" s="86"/>
      <c r="J684" s="86"/>
      <c r="K684" s="86"/>
      <c r="L684" s="86"/>
      <c r="M684" s="86"/>
      <c r="N684" s="86"/>
      <c r="O684" s="86"/>
      <c r="P684" s="86"/>
      <c r="Q684" s="86"/>
      <c r="R684" s="86"/>
      <c r="S684" s="86"/>
      <c r="T684" s="86"/>
      <c r="U684" s="86"/>
      <c r="V684" s="86"/>
      <c r="W684" s="86"/>
      <c r="X684" s="86"/>
      <c r="Y684" s="86"/>
      <c r="Z684" s="86"/>
    </row>
    <row r="685" ht="15.75" customHeight="1">
      <c r="H685" s="86"/>
      <c r="I685" s="86"/>
      <c r="J685" s="86"/>
      <c r="K685" s="86"/>
      <c r="L685" s="86"/>
      <c r="M685" s="86"/>
      <c r="N685" s="86"/>
      <c r="O685" s="86"/>
      <c r="P685" s="86"/>
      <c r="Q685" s="86"/>
      <c r="R685" s="86"/>
      <c r="S685" s="86"/>
      <c r="T685" s="86"/>
      <c r="U685" s="86"/>
      <c r="V685" s="86"/>
      <c r="W685" s="86"/>
      <c r="X685" s="86"/>
      <c r="Y685" s="86"/>
      <c r="Z685" s="86"/>
    </row>
    <row r="686" ht="15.75" customHeight="1">
      <c r="H686" s="86"/>
      <c r="I686" s="86"/>
      <c r="J686" s="86"/>
      <c r="K686" s="86"/>
      <c r="L686" s="86"/>
      <c r="M686" s="86"/>
      <c r="N686" s="86"/>
      <c r="O686" s="86"/>
      <c r="P686" s="86"/>
      <c r="Q686" s="86"/>
      <c r="R686" s="86"/>
      <c r="S686" s="86"/>
      <c r="T686" s="86"/>
      <c r="U686" s="86"/>
      <c r="V686" s="86"/>
      <c r="W686" s="86"/>
      <c r="X686" s="86"/>
      <c r="Y686" s="86"/>
      <c r="Z686" s="86"/>
    </row>
    <row r="687" ht="15.75" customHeight="1">
      <c r="H687" s="86"/>
      <c r="I687" s="86"/>
      <c r="J687" s="86"/>
      <c r="K687" s="86"/>
      <c r="L687" s="86"/>
      <c r="M687" s="86"/>
      <c r="N687" s="86"/>
      <c r="O687" s="86"/>
      <c r="P687" s="86"/>
      <c r="Q687" s="86"/>
      <c r="R687" s="86"/>
      <c r="S687" s="86"/>
      <c r="T687" s="86"/>
      <c r="U687" s="86"/>
      <c r="V687" s="86"/>
      <c r="W687" s="86"/>
      <c r="X687" s="86"/>
      <c r="Y687" s="86"/>
      <c r="Z687" s="86"/>
    </row>
    <row r="688" ht="15.75" customHeight="1">
      <c r="H688" s="86"/>
      <c r="I688" s="86"/>
      <c r="J688" s="86"/>
      <c r="K688" s="86"/>
      <c r="L688" s="86"/>
      <c r="M688" s="86"/>
      <c r="N688" s="86"/>
      <c r="O688" s="86"/>
      <c r="P688" s="86"/>
      <c r="Q688" s="86"/>
      <c r="R688" s="86"/>
      <c r="S688" s="86"/>
      <c r="T688" s="86"/>
      <c r="U688" s="86"/>
      <c r="V688" s="86"/>
      <c r="W688" s="86"/>
      <c r="X688" s="86"/>
      <c r="Y688" s="86"/>
      <c r="Z688" s="86"/>
    </row>
    <row r="689" ht="15.75" customHeight="1">
      <c r="H689" s="86"/>
      <c r="I689" s="86"/>
      <c r="J689" s="86"/>
      <c r="K689" s="86"/>
      <c r="L689" s="86"/>
      <c r="M689" s="86"/>
      <c r="N689" s="86"/>
      <c r="O689" s="86"/>
      <c r="P689" s="86"/>
      <c r="Q689" s="86"/>
      <c r="R689" s="86"/>
      <c r="S689" s="86"/>
      <c r="T689" s="86"/>
      <c r="U689" s="86"/>
      <c r="V689" s="86"/>
      <c r="W689" s="86"/>
      <c r="X689" s="86"/>
      <c r="Y689" s="86"/>
      <c r="Z689" s="86"/>
    </row>
    <row r="690" ht="15.75" customHeight="1">
      <c r="H690" s="86"/>
      <c r="I690" s="86"/>
      <c r="J690" s="86"/>
      <c r="K690" s="86"/>
      <c r="L690" s="86"/>
      <c r="M690" s="86"/>
      <c r="N690" s="86"/>
      <c r="O690" s="86"/>
      <c r="P690" s="86"/>
      <c r="Q690" s="86"/>
      <c r="R690" s="86"/>
      <c r="S690" s="86"/>
      <c r="T690" s="86"/>
      <c r="U690" s="86"/>
      <c r="V690" s="86"/>
      <c r="W690" s="86"/>
      <c r="X690" s="86"/>
      <c r="Y690" s="86"/>
      <c r="Z690" s="86"/>
    </row>
    <row r="691" ht="15.75" customHeight="1">
      <c r="H691" s="86"/>
      <c r="I691" s="86"/>
      <c r="J691" s="86"/>
      <c r="K691" s="86"/>
      <c r="L691" s="86"/>
      <c r="M691" s="86"/>
      <c r="N691" s="86"/>
      <c r="O691" s="86"/>
      <c r="P691" s="86"/>
      <c r="Q691" s="86"/>
      <c r="R691" s="86"/>
      <c r="S691" s="86"/>
      <c r="T691" s="86"/>
      <c r="U691" s="86"/>
      <c r="V691" s="86"/>
      <c r="W691" s="86"/>
      <c r="X691" s="86"/>
      <c r="Y691" s="86"/>
      <c r="Z691" s="86"/>
    </row>
    <row r="692" ht="15.75" customHeight="1">
      <c r="H692" s="86"/>
      <c r="I692" s="86"/>
      <c r="J692" s="86"/>
      <c r="K692" s="86"/>
      <c r="L692" s="86"/>
      <c r="M692" s="86"/>
      <c r="N692" s="86"/>
      <c r="O692" s="86"/>
      <c r="P692" s="86"/>
      <c r="Q692" s="86"/>
      <c r="R692" s="86"/>
      <c r="S692" s="86"/>
      <c r="T692" s="86"/>
      <c r="U692" s="86"/>
      <c r="V692" s="86"/>
      <c r="W692" s="86"/>
      <c r="X692" s="86"/>
      <c r="Y692" s="86"/>
      <c r="Z692" s="86"/>
    </row>
    <row r="693" ht="15.75" customHeight="1">
      <c r="H693" s="86"/>
      <c r="I693" s="86"/>
      <c r="J693" s="86"/>
      <c r="K693" s="86"/>
      <c r="L693" s="86"/>
      <c r="M693" s="86"/>
      <c r="N693" s="86"/>
      <c r="O693" s="86"/>
      <c r="P693" s="86"/>
      <c r="Q693" s="86"/>
      <c r="R693" s="86"/>
      <c r="S693" s="86"/>
      <c r="T693" s="86"/>
      <c r="U693" s="86"/>
      <c r="V693" s="86"/>
      <c r="W693" s="86"/>
      <c r="X693" s="86"/>
      <c r="Y693" s="86"/>
      <c r="Z693" s="86"/>
    </row>
    <row r="694" ht="15.75" customHeight="1">
      <c r="H694" s="86"/>
      <c r="I694" s="86"/>
      <c r="J694" s="86"/>
      <c r="K694" s="86"/>
      <c r="L694" s="86"/>
      <c r="M694" s="86"/>
      <c r="N694" s="86"/>
      <c r="O694" s="86"/>
      <c r="P694" s="86"/>
      <c r="Q694" s="86"/>
      <c r="R694" s="86"/>
      <c r="S694" s="86"/>
      <c r="T694" s="86"/>
      <c r="U694" s="86"/>
      <c r="V694" s="86"/>
      <c r="W694" s="86"/>
      <c r="X694" s="86"/>
      <c r="Y694" s="86"/>
      <c r="Z694" s="86"/>
    </row>
    <row r="695" ht="15.75" customHeight="1">
      <c r="H695" s="86"/>
      <c r="I695" s="86"/>
      <c r="J695" s="86"/>
      <c r="K695" s="86"/>
      <c r="L695" s="86"/>
      <c r="M695" s="86"/>
      <c r="N695" s="86"/>
      <c r="O695" s="86"/>
      <c r="P695" s="86"/>
      <c r="Q695" s="86"/>
      <c r="R695" s="86"/>
      <c r="S695" s="86"/>
      <c r="T695" s="86"/>
      <c r="U695" s="86"/>
      <c r="V695" s="86"/>
      <c r="W695" s="86"/>
      <c r="X695" s="86"/>
      <c r="Y695" s="86"/>
      <c r="Z695" s="86"/>
    </row>
    <row r="696" ht="15.75" customHeight="1">
      <c r="H696" s="86"/>
      <c r="I696" s="86"/>
      <c r="J696" s="86"/>
      <c r="K696" s="86"/>
      <c r="L696" s="86"/>
      <c r="M696" s="86"/>
      <c r="N696" s="86"/>
      <c r="O696" s="86"/>
      <c r="P696" s="86"/>
      <c r="Q696" s="86"/>
      <c r="R696" s="86"/>
      <c r="S696" s="86"/>
      <c r="T696" s="86"/>
      <c r="U696" s="86"/>
      <c r="V696" s="86"/>
      <c r="W696" s="86"/>
      <c r="X696" s="86"/>
      <c r="Y696" s="86"/>
      <c r="Z696" s="86"/>
    </row>
    <row r="697" ht="15.75" customHeight="1">
      <c r="H697" s="86"/>
      <c r="I697" s="86"/>
      <c r="J697" s="86"/>
      <c r="K697" s="86"/>
      <c r="L697" s="86"/>
      <c r="M697" s="86"/>
      <c r="N697" s="86"/>
      <c r="O697" s="86"/>
      <c r="P697" s="86"/>
      <c r="Q697" s="86"/>
      <c r="R697" s="86"/>
      <c r="S697" s="86"/>
      <c r="T697" s="86"/>
      <c r="U697" s="86"/>
      <c r="V697" s="86"/>
      <c r="W697" s="86"/>
      <c r="X697" s="86"/>
      <c r="Y697" s="86"/>
      <c r="Z697" s="86"/>
    </row>
    <row r="698" ht="15.75" customHeight="1">
      <c r="H698" s="86"/>
      <c r="I698" s="86"/>
      <c r="J698" s="86"/>
      <c r="K698" s="86"/>
      <c r="L698" s="86"/>
      <c r="M698" s="86"/>
      <c r="N698" s="86"/>
      <c r="O698" s="86"/>
      <c r="P698" s="86"/>
      <c r="Q698" s="86"/>
      <c r="R698" s="86"/>
      <c r="S698" s="86"/>
      <c r="T698" s="86"/>
      <c r="U698" s="86"/>
      <c r="V698" s="86"/>
      <c r="W698" s="86"/>
      <c r="X698" s="86"/>
      <c r="Y698" s="86"/>
      <c r="Z698" s="86"/>
    </row>
    <row r="699" ht="15.75" customHeight="1">
      <c r="H699" s="86"/>
      <c r="I699" s="86"/>
      <c r="J699" s="86"/>
      <c r="K699" s="86"/>
      <c r="L699" s="86"/>
      <c r="M699" s="86"/>
      <c r="N699" s="86"/>
      <c r="O699" s="86"/>
      <c r="P699" s="86"/>
      <c r="Q699" s="86"/>
      <c r="R699" s="86"/>
      <c r="S699" s="86"/>
      <c r="T699" s="86"/>
      <c r="U699" s="86"/>
      <c r="V699" s="86"/>
      <c r="W699" s="86"/>
      <c r="X699" s="86"/>
      <c r="Y699" s="86"/>
      <c r="Z699" s="86"/>
    </row>
    <row r="700" ht="15.75" customHeight="1">
      <c r="H700" s="86"/>
      <c r="I700" s="86"/>
      <c r="J700" s="86"/>
      <c r="K700" s="86"/>
      <c r="L700" s="86"/>
      <c r="M700" s="86"/>
      <c r="N700" s="86"/>
      <c r="O700" s="86"/>
      <c r="P700" s="86"/>
      <c r="Q700" s="86"/>
      <c r="R700" s="86"/>
      <c r="S700" s="86"/>
      <c r="T700" s="86"/>
      <c r="U700" s="86"/>
      <c r="V700" s="86"/>
      <c r="W700" s="86"/>
      <c r="X700" s="86"/>
      <c r="Y700" s="86"/>
      <c r="Z700" s="86"/>
    </row>
    <row r="701" ht="15.75" customHeight="1">
      <c r="H701" s="86"/>
      <c r="I701" s="86"/>
      <c r="J701" s="86"/>
      <c r="K701" s="86"/>
      <c r="L701" s="86"/>
      <c r="M701" s="86"/>
      <c r="N701" s="86"/>
      <c r="O701" s="86"/>
      <c r="P701" s="86"/>
      <c r="Q701" s="86"/>
      <c r="R701" s="86"/>
      <c r="S701" s="86"/>
      <c r="T701" s="86"/>
      <c r="U701" s="86"/>
      <c r="V701" s="86"/>
      <c r="W701" s="86"/>
      <c r="X701" s="86"/>
      <c r="Y701" s="86"/>
      <c r="Z701" s="86"/>
    </row>
    <row r="702" ht="15.75" customHeight="1">
      <c r="H702" s="86"/>
      <c r="I702" s="86"/>
      <c r="J702" s="86"/>
      <c r="K702" s="86"/>
      <c r="L702" s="86"/>
      <c r="M702" s="86"/>
      <c r="N702" s="86"/>
      <c r="O702" s="86"/>
      <c r="P702" s="86"/>
      <c r="Q702" s="86"/>
      <c r="R702" s="86"/>
      <c r="S702" s="86"/>
      <c r="T702" s="86"/>
      <c r="U702" s="86"/>
      <c r="V702" s="86"/>
      <c r="W702" s="86"/>
      <c r="X702" s="86"/>
      <c r="Y702" s="86"/>
      <c r="Z702" s="86"/>
    </row>
    <row r="703" ht="15.75" customHeight="1">
      <c r="H703" s="86"/>
      <c r="I703" s="86"/>
      <c r="J703" s="86"/>
      <c r="K703" s="86"/>
      <c r="L703" s="86"/>
      <c r="M703" s="86"/>
      <c r="N703" s="86"/>
      <c r="O703" s="86"/>
      <c r="P703" s="86"/>
      <c r="Q703" s="86"/>
      <c r="R703" s="86"/>
      <c r="S703" s="86"/>
      <c r="T703" s="86"/>
      <c r="U703" s="86"/>
      <c r="V703" s="86"/>
      <c r="W703" s="86"/>
      <c r="X703" s="86"/>
      <c r="Y703" s="86"/>
      <c r="Z703" s="86"/>
    </row>
    <row r="704" ht="15.75" customHeight="1">
      <c r="H704" s="86"/>
      <c r="I704" s="86"/>
      <c r="J704" s="86"/>
      <c r="K704" s="86"/>
      <c r="L704" s="86"/>
      <c r="M704" s="86"/>
      <c r="N704" s="86"/>
      <c r="O704" s="86"/>
      <c r="P704" s="86"/>
      <c r="Q704" s="86"/>
      <c r="R704" s="86"/>
      <c r="S704" s="86"/>
      <c r="T704" s="86"/>
      <c r="U704" s="86"/>
      <c r="V704" s="86"/>
      <c r="W704" s="86"/>
      <c r="X704" s="86"/>
      <c r="Y704" s="86"/>
      <c r="Z704" s="86"/>
    </row>
    <row r="705" ht="15.75" customHeight="1">
      <c r="H705" s="86"/>
      <c r="I705" s="86"/>
      <c r="J705" s="86"/>
      <c r="K705" s="86"/>
      <c r="L705" s="86"/>
      <c r="M705" s="86"/>
      <c r="N705" s="86"/>
      <c r="O705" s="86"/>
      <c r="P705" s="86"/>
      <c r="Q705" s="86"/>
      <c r="R705" s="86"/>
      <c r="S705" s="86"/>
      <c r="T705" s="86"/>
      <c r="U705" s="86"/>
      <c r="V705" s="86"/>
      <c r="W705" s="86"/>
      <c r="X705" s="86"/>
      <c r="Y705" s="86"/>
      <c r="Z705" s="86"/>
    </row>
    <row r="706" ht="15.75" customHeight="1">
      <c r="H706" s="86"/>
      <c r="I706" s="86"/>
      <c r="J706" s="86"/>
      <c r="K706" s="86"/>
      <c r="L706" s="86"/>
      <c r="M706" s="86"/>
      <c r="N706" s="86"/>
      <c r="O706" s="86"/>
      <c r="P706" s="86"/>
      <c r="Q706" s="86"/>
      <c r="R706" s="86"/>
      <c r="S706" s="86"/>
      <c r="T706" s="86"/>
      <c r="U706" s="86"/>
      <c r="V706" s="86"/>
      <c r="W706" s="86"/>
      <c r="X706" s="86"/>
      <c r="Y706" s="86"/>
      <c r="Z706" s="86"/>
    </row>
    <row r="707" ht="15.75" customHeight="1">
      <c r="H707" s="86"/>
      <c r="I707" s="86"/>
      <c r="J707" s="86"/>
      <c r="K707" s="86"/>
      <c r="L707" s="86"/>
      <c r="M707" s="86"/>
      <c r="N707" s="86"/>
      <c r="O707" s="86"/>
      <c r="P707" s="86"/>
      <c r="Q707" s="86"/>
      <c r="R707" s="86"/>
      <c r="S707" s="86"/>
      <c r="T707" s="86"/>
      <c r="U707" s="86"/>
      <c r="V707" s="86"/>
      <c r="W707" s="86"/>
      <c r="X707" s="86"/>
      <c r="Y707" s="86"/>
      <c r="Z707" s="86"/>
    </row>
    <row r="708" ht="15.75" customHeight="1">
      <c r="H708" s="86"/>
      <c r="I708" s="86"/>
      <c r="J708" s="86"/>
      <c r="K708" s="86"/>
      <c r="L708" s="86"/>
      <c r="M708" s="86"/>
      <c r="N708" s="86"/>
      <c r="O708" s="86"/>
      <c r="P708" s="86"/>
      <c r="Q708" s="86"/>
      <c r="R708" s="86"/>
      <c r="S708" s="86"/>
      <c r="T708" s="86"/>
      <c r="U708" s="86"/>
      <c r="V708" s="86"/>
      <c r="W708" s="86"/>
      <c r="X708" s="86"/>
      <c r="Y708" s="86"/>
      <c r="Z708" s="86"/>
    </row>
    <row r="709" ht="15.75" customHeight="1">
      <c r="H709" s="86"/>
      <c r="I709" s="86"/>
      <c r="J709" s="86"/>
      <c r="K709" s="86"/>
      <c r="L709" s="86"/>
      <c r="M709" s="86"/>
      <c r="N709" s="86"/>
      <c r="O709" s="86"/>
      <c r="P709" s="86"/>
      <c r="Q709" s="86"/>
      <c r="R709" s="86"/>
      <c r="S709" s="86"/>
      <c r="T709" s="86"/>
      <c r="U709" s="86"/>
      <c r="V709" s="86"/>
      <c r="W709" s="86"/>
      <c r="X709" s="86"/>
      <c r="Y709" s="86"/>
      <c r="Z709" s="86"/>
    </row>
    <row r="710" ht="15.75" customHeight="1">
      <c r="H710" s="86"/>
      <c r="I710" s="86"/>
      <c r="J710" s="86"/>
      <c r="K710" s="86"/>
      <c r="L710" s="86"/>
      <c r="M710" s="86"/>
      <c r="N710" s="86"/>
      <c r="O710" s="86"/>
      <c r="P710" s="86"/>
      <c r="Q710" s="86"/>
      <c r="R710" s="86"/>
      <c r="S710" s="86"/>
      <c r="T710" s="86"/>
      <c r="U710" s="86"/>
      <c r="V710" s="86"/>
      <c r="W710" s="86"/>
      <c r="X710" s="86"/>
      <c r="Y710" s="86"/>
      <c r="Z710" s="86"/>
    </row>
    <row r="711" ht="15.75" customHeight="1">
      <c r="H711" s="86"/>
      <c r="I711" s="86"/>
      <c r="J711" s="86"/>
      <c r="K711" s="86"/>
      <c r="L711" s="86"/>
      <c r="M711" s="86"/>
      <c r="N711" s="86"/>
      <c r="O711" s="86"/>
      <c r="P711" s="86"/>
      <c r="Q711" s="86"/>
      <c r="R711" s="86"/>
      <c r="S711" s="86"/>
      <c r="T711" s="86"/>
      <c r="U711" s="86"/>
      <c r="V711" s="86"/>
      <c r="W711" s="86"/>
      <c r="X711" s="86"/>
      <c r="Y711" s="86"/>
      <c r="Z711" s="86"/>
    </row>
    <row r="712" ht="15.75" customHeight="1">
      <c r="H712" s="86"/>
      <c r="I712" s="86"/>
      <c r="J712" s="86"/>
      <c r="K712" s="86"/>
      <c r="L712" s="86"/>
      <c r="M712" s="86"/>
      <c r="N712" s="86"/>
      <c r="O712" s="86"/>
      <c r="P712" s="86"/>
      <c r="Q712" s="86"/>
      <c r="R712" s="86"/>
      <c r="S712" s="86"/>
      <c r="T712" s="86"/>
      <c r="U712" s="86"/>
      <c r="V712" s="86"/>
      <c r="W712" s="86"/>
      <c r="X712" s="86"/>
      <c r="Y712" s="86"/>
      <c r="Z712" s="86"/>
    </row>
    <row r="713" ht="15.75" customHeight="1">
      <c r="H713" s="86"/>
      <c r="I713" s="86"/>
      <c r="J713" s="86"/>
      <c r="K713" s="86"/>
      <c r="L713" s="86"/>
      <c r="M713" s="86"/>
      <c r="N713" s="86"/>
      <c r="O713" s="86"/>
      <c r="P713" s="86"/>
      <c r="Q713" s="86"/>
      <c r="R713" s="86"/>
      <c r="S713" s="86"/>
      <c r="T713" s="86"/>
      <c r="U713" s="86"/>
      <c r="V713" s="86"/>
      <c r="W713" s="86"/>
      <c r="X713" s="86"/>
      <c r="Y713" s="86"/>
      <c r="Z713" s="86"/>
    </row>
    <row r="714" ht="15.75" customHeight="1">
      <c r="H714" s="86"/>
      <c r="I714" s="86"/>
      <c r="J714" s="86"/>
      <c r="K714" s="86"/>
      <c r="L714" s="86"/>
      <c r="M714" s="86"/>
      <c r="N714" s="86"/>
      <c r="O714" s="86"/>
      <c r="P714" s="86"/>
      <c r="Q714" s="86"/>
      <c r="R714" s="86"/>
      <c r="S714" s="86"/>
      <c r="T714" s="86"/>
      <c r="U714" s="86"/>
      <c r="V714" s="86"/>
      <c r="W714" s="86"/>
      <c r="X714" s="86"/>
      <c r="Y714" s="86"/>
      <c r="Z714" s="86"/>
    </row>
    <row r="715" ht="15.75" customHeight="1">
      <c r="H715" s="86"/>
      <c r="I715" s="86"/>
      <c r="J715" s="86"/>
      <c r="K715" s="86"/>
      <c r="L715" s="86"/>
      <c r="M715" s="86"/>
      <c r="N715" s="86"/>
      <c r="O715" s="86"/>
      <c r="P715" s="86"/>
      <c r="Q715" s="86"/>
      <c r="R715" s="86"/>
      <c r="S715" s="86"/>
      <c r="T715" s="86"/>
      <c r="U715" s="86"/>
      <c r="V715" s="86"/>
      <c r="W715" s="86"/>
      <c r="X715" s="86"/>
      <c r="Y715" s="86"/>
      <c r="Z715" s="86"/>
    </row>
    <row r="716" ht="15.75" customHeight="1">
      <c r="H716" s="86"/>
      <c r="I716" s="86"/>
      <c r="J716" s="86"/>
      <c r="K716" s="86"/>
      <c r="L716" s="86"/>
      <c r="M716" s="86"/>
      <c r="N716" s="86"/>
      <c r="O716" s="86"/>
      <c r="P716" s="86"/>
      <c r="Q716" s="86"/>
      <c r="R716" s="86"/>
      <c r="S716" s="86"/>
      <c r="T716" s="86"/>
      <c r="U716" s="86"/>
      <c r="V716" s="86"/>
      <c r="W716" s="86"/>
      <c r="X716" s="86"/>
      <c r="Y716" s="86"/>
      <c r="Z716" s="86"/>
    </row>
    <row r="717" ht="15.75" customHeight="1">
      <c r="H717" s="86"/>
      <c r="I717" s="86"/>
      <c r="J717" s="86"/>
      <c r="K717" s="86"/>
      <c r="L717" s="86"/>
      <c r="M717" s="86"/>
      <c r="N717" s="86"/>
      <c r="O717" s="86"/>
      <c r="P717" s="86"/>
      <c r="Q717" s="86"/>
      <c r="R717" s="86"/>
      <c r="S717" s="86"/>
      <c r="T717" s="86"/>
      <c r="U717" s="86"/>
      <c r="V717" s="86"/>
      <c r="W717" s="86"/>
      <c r="X717" s="86"/>
      <c r="Y717" s="86"/>
      <c r="Z717" s="86"/>
    </row>
    <row r="718" ht="15.75" customHeight="1">
      <c r="H718" s="86"/>
      <c r="I718" s="86"/>
      <c r="J718" s="86"/>
      <c r="K718" s="86"/>
      <c r="L718" s="86"/>
      <c r="M718" s="86"/>
      <c r="N718" s="86"/>
      <c r="O718" s="86"/>
      <c r="P718" s="86"/>
      <c r="Q718" s="86"/>
      <c r="R718" s="86"/>
      <c r="S718" s="86"/>
      <c r="T718" s="86"/>
      <c r="U718" s="86"/>
      <c r="V718" s="86"/>
      <c r="W718" s="86"/>
      <c r="X718" s="86"/>
      <c r="Y718" s="86"/>
      <c r="Z718" s="86"/>
    </row>
    <row r="719" ht="15.75" customHeight="1">
      <c r="H719" s="86"/>
      <c r="I719" s="86"/>
      <c r="J719" s="86"/>
      <c r="K719" s="86"/>
      <c r="L719" s="86"/>
      <c r="M719" s="86"/>
      <c r="N719" s="86"/>
      <c r="O719" s="86"/>
      <c r="P719" s="86"/>
      <c r="Q719" s="86"/>
      <c r="R719" s="86"/>
      <c r="S719" s="86"/>
      <c r="T719" s="86"/>
      <c r="U719" s="86"/>
      <c r="V719" s="86"/>
      <c r="W719" s="86"/>
      <c r="X719" s="86"/>
      <c r="Y719" s="86"/>
      <c r="Z719" s="86"/>
    </row>
    <row r="720" ht="15.75" customHeight="1">
      <c r="H720" s="86"/>
      <c r="I720" s="86"/>
      <c r="J720" s="86"/>
      <c r="K720" s="86"/>
      <c r="L720" s="86"/>
      <c r="M720" s="86"/>
      <c r="N720" s="86"/>
      <c r="O720" s="86"/>
      <c r="P720" s="86"/>
      <c r="Q720" s="86"/>
      <c r="R720" s="86"/>
      <c r="S720" s="86"/>
      <c r="T720" s="86"/>
      <c r="U720" s="86"/>
      <c r="V720" s="86"/>
      <c r="W720" s="86"/>
      <c r="X720" s="86"/>
      <c r="Y720" s="86"/>
      <c r="Z720" s="86"/>
    </row>
    <row r="721" ht="15.75" customHeight="1">
      <c r="H721" s="86"/>
      <c r="I721" s="86"/>
      <c r="J721" s="86"/>
      <c r="K721" s="86"/>
      <c r="L721" s="86"/>
      <c r="M721" s="86"/>
      <c r="N721" s="86"/>
      <c r="O721" s="86"/>
      <c r="P721" s="86"/>
      <c r="Q721" s="86"/>
      <c r="R721" s="86"/>
      <c r="S721" s="86"/>
      <c r="T721" s="86"/>
      <c r="U721" s="86"/>
      <c r="V721" s="86"/>
      <c r="W721" s="86"/>
      <c r="X721" s="86"/>
      <c r="Y721" s="86"/>
      <c r="Z721" s="86"/>
    </row>
    <row r="722" ht="15.75" customHeight="1">
      <c r="H722" s="86"/>
      <c r="I722" s="86"/>
      <c r="J722" s="86"/>
      <c r="K722" s="86"/>
      <c r="L722" s="86"/>
      <c r="M722" s="86"/>
      <c r="N722" s="86"/>
      <c r="O722" s="86"/>
      <c r="P722" s="86"/>
      <c r="Q722" s="86"/>
      <c r="R722" s="86"/>
      <c r="S722" s="86"/>
      <c r="T722" s="86"/>
      <c r="U722" s="86"/>
      <c r="V722" s="86"/>
      <c r="W722" s="86"/>
      <c r="X722" s="86"/>
      <c r="Y722" s="86"/>
      <c r="Z722" s="86"/>
    </row>
    <row r="723" ht="15.75" customHeight="1">
      <c r="H723" s="86"/>
      <c r="I723" s="86"/>
      <c r="J723" s="86"/>
      <c r="K723" s="86"/>
      <c r="L723" s="86"/>
      <c r="M723" s="86"/>
      <c r="N723" s="86"/>
      <c r="O723" s="86"/>
      <c r="P723" s="86"/>
      <c r="Q723" s="86"/>
      <c r="R723" s="86"/>
      <c r="S723" s="86"/>
      <c r="T723" s="86"/>
      <c r="U723" s="86"/>
      <c r="V723" s="86"/>
      <c r="W723" s="86"/>
      <c r="X723" s="86"/>
      <c r="Y723" s="86"/>
      <c r="Z723" s="86"/>
    </row>
    <row r="724" ht="15.75" customHeight="1">
      <c r="H724" s="86"/>
      <c r="I724" s="86"/>
      <c r="J724" s="86"/>
      <c r="K724" s="86"/>
      <c r="L724" s="86"/>
      <c r="M724" s="86"/>
      <c r="N724" s="86"/>
      <c r="O724" s="86"/>
      <c r="P724" s="86"/>
      <c r="Q724" s="86"/>
      <c r="R724" s="86"/>
      <c r="S724" s="86"/>
      <c r="T724" s="86"/>
      <c r="U724" s="86"/>
      <c r="V724" s="86"/>
      <c r="W724" s="86"/>
      <c r="X724" s="86"/>
      <c r="Y724" s="86"/>
      <c r="Z724" s="86"/>
    </row>
    <row r="725" ht="15.75" customHeight="1">
      <c r="H725" s="86"/>
      <c r="I725" s="86"/>
      <c r="J725" s="86"/>
      <c r="K725" s="86"/>
      <c r="L725" s="86"/>
      <c r="M725" s="86"/>
      <c r="N725" s="86"/>
      <c r="O725" s="86"/>
      <c r="P725" s="86"/>
      <c r="Q725" s="86"/>
      <c r="R725" s="86"/>
      <c r="S725" s="86"/>
      <c r="T725" s="86"/>
      <c r="U725" s="86"/>
      <c r="V725" s="86"/>
      <c r="W725" s="86"/>
      <c r="X725" s="86"/>
      <c r="Y725" s="86"/>
      <c r="Z725" s="86"/>
    </row>
    <row r="726" ht="15.75" customHeight="1">
      <c r="H726" s="86"/>
      <c r="I726" s="86"/>
      <c r="J726" s="86"/>
      <c r="K726" s="86"/>
      <c r="L726" s="86"/>
      <c r="M726" s="86"/>
      <c r="N726" s="86"/>
      <c r="O726" s="86"/>
      <c r="P726" s="86"/>
      <c r="Q726" s="86"/>
      <c r="R726" s="86"/>
      <c r="S726" s="86"/>
      <c r="T726" s="86"/>
      <c r="U726" s="86"/>
      <c r="V726" s="86"/>
      <c r="W726" s="86"/>
      <c r="X726" s="86"/>
      <c r="Y726" s="86"/>
      <c r="Z726" s="86"/>
    </row>
    <row r="727" ht="15.75" customHeight="1">
      <c r="H727" s="86"/>
      <c r="I727" s="86"/>
      <c r="J727" s="86"/>
      <c r="K727" s="86"/>
      <c r="L727" s="86"/>
      <c r="M727" s="86"/>
      <c r="N727" s="86"/>
      <c r="O727" s="86"/>
      <c r="P727" s="86"/>
      <c r="Q727" s="86"/>
      <c r="R727" s="86"/>
      <c r="S727" s="86"/>
      <c r="T727" s="86"/>
      <c r="U727" s="86"/>
      <c r="V727" s="86"/>
      <c r="W727" s="86"/>
      <c r="X727" s="86"/>
      <c r="Y727" s="86"/>
      <c r="Z727" s="86"/>
    </row>
    <row r="728" ht="15.75" customHeight="1">
      <c r="H728" s="86"/>
      <c r="I728" s="86"/>
      <c r="J728" s="86"/>
      <c r="K728" s="86"/>
      <c r="L728" s="86"/>
      <c r="M728" s="86"/>
      <c r="N728" s="86"/>
      <c r="O728" s="86"/>
      <c r="P728" s="86"/>
      <c r="Q728" s="86"/>
      <c r="R728" s="86"/>
      <c r="S728" s="86"/>
      <c r="T728" s="86"/>
      <c r="U728" s="86"/>
      <c r="V728" s="86"/>
      <c r="W728" s="86"/>
      <c r="X728" s="86"/>
      <c r="Y728" s="86"/>
      <c r="Z728" s="86"/>
    </row>
    <row r="729" ht="15.75" customHeight="1">
      <c r="H729" s="86"/>
      <c r="I729" s="86"/>
      <c r="J729" s="86"/>
      <c r="K729" s="86"/>
      <c r="L729" s="86"/>
      <c r="M729" s="86"/>
      <c r="N729" s="86"/>
      <c r="O729" s="86"/>
      <c r="P729" s="86"/>
      <c r="Q729" s="86"/>
      <c r="R729" s="86"/>
      <c r="S729" s="86"/>
      <c r="T729" s="86"/>
      <c r="U729" s="86"/>
      <c r="V729" s="86"/>
      <c r="W729" s="86"/>
      <c r="X729" s="86"/>
      <c r="Y729" s="86"/>
      <c r="Z729" s="86"/>
    </row>
    <row r="730" ht="15.75" customHeight="1">
      <c r="H730" s="86"/>
      <c r="I730" s="86"/>
      <c r="J730" s="86"/>
      <c r="K730" s="86"/>
      <c r="L730" s="86"/>
      <c r="M730" s="86"/>
      <c r="N730" s="86"/>
      <c r="O730" s="86"/>
      <c r="P730" s="86"/>
      <c r="Q730" s="86"/>
      <c r="R730" s="86"/>
      <c r="S730" s="86"/>
      <c r="T730" s="86"/>
      <c r="U730" s="86"/>
      <c r="V730" s="86"/>
      <c r="W730" s="86"/>
      <c r="X730" s="86"/>
      <c r="Y730" s="86"/>
      <c r="Z730" s="86"/>
    </row>
    <row r="731" ht="15.75" customHeight="1">
      <c r="H731" s="86"/>
      <c r="I731" s="86"/>
      <c r="J731" s="86"/>
      <c r="K731" s="86"/>
      <c r="L731" s="86"/>
      <c r="M731" s="86"/>
      <c r="N731" s="86"/>
      <c r="O731" s="86"/>
      <c r="P731" s="86"/>
      <c r="Q731" s="86"/>
      <c r="R731" s="86"/>
      <c r="S731" s="86"/>
      <c r="T731" s="86"/>
      <c r="U731" s="86"/>
      <c r="V731" s="86"/>
      <c r="W731" s="86"/>
      <c r="X731" s="86"/>
      <c r="Y731" s="86"/>
      <c r="Z731" s="86"/>
    </row>
    <row r="732" ht="15.75" customHeight="1">
      <c r="H732" s="86"/>
      <c r="I732" s="86"/>
      <c r="J732" s="86"/>
      <c r="K732" s="86"/>
      <c r="L732" s="86"/>
      <c r="M732" s="86"/>
      <c r="N732" s="86"/>
      <c r="O732" s="86"/>
      <c r="P732" s="86"/>
      <c r="Q732" s="86"/>
      <c r="R732" s="86"/>
      <c r="S732" s="86"/>
      <c r="T732" s="86"/>
      <c r="U732" s="86"/>
      <c r="V732" s="86"/>
      <c r="W732" s="86"/>
      <c r="X732" s="86"/>
      <c r="Y732" s="86"/>
      <c r="Z732" s="86"/>
    </row>
    <row r="733" ht="15.75" customHeight="1">
      <c r="H733" s="86"/>
      <c r="I733" s="86"/>
      <c r="J733" s="86"/>
      <c r="K733" s="86"/>
      <c r="L733" s="86"/>
      <c r="M733" s="86"/>
      <c r="N733" s="86"/>
      <c r="O733" s="86"/>
      <c r="P733" s="86"/>
      <c r="Q733" s="86"/>
      <c r="R733" s="86"/>
      <c r="S733" s="86"/>
      <c r="T733" s="86"/>
      <c r="U733" s="86"/>
      <c r="V733" s="86"/>
      <c r="W733" s="86"/>
      <c r="X733" s="86"/>
      <c r="Y733" s="86"/>
      <c r="Z733" s="86"/>
    </row>
    <row r="734" ht="15.75" customHeight="1">
      <c r="H734" s="86"/>
      <c r="I734" s="86"/>
      <c r="J734" s="86"/>
      <c r="K734" s="86"/>
      <c r="L734" s="86"/>
      <c r="M734" s="86"/>
      <c r="N734" s="86"/>
      <c r="O734" s="86"/>
      <c r="P734" s="86"/>
      <c r="Q734" s="86"/>
      <c r="R734" s="86"/>
      <c r="S734" s="86"/>
      <c r="T734" s="86"/>
      <c r="U734" s="86"/>
      <c r="V734" s="86"/>
      <c r="W734" s="86"/>
      <c r="X734" s="86"/>
      <c r="Y734" s="86"/>
      <c r="Z734" s="86"/>
    </row>
    <row r="735" ht="15.75" customHeight="1">
      <c r="H735" s="86"/>
      <c r="I735" s="86"/>
      <c r="J735" s="86"/>
      <c r="K735" s="86"/>
      <c r="L735" s="86"/>
      <c r="M735" s="86"/>
      <c r="N735" s="86"/>
      <c r="O735" s="86"/>
      <c r="P735" s="86"/>
      <c r="Q735" s="86"/>
      <c r="R735" s="86"/>
      <c r="S735" s="86"/>
      <c r="T735" s="86"/>
      <c r="U735" s="86"/>
      <c r="V735" s="86"/>
      <c r="W735" s="86"/>
      <c r="X735" s="86"/>
      <c r="Y735" s="86"/>
      <c r="Z735" s="86"/>
    </row>
    <row r="736" ht="15.75" customHeight="1">
      <c r="H736" s="86"/>
      <c r="I736" s="86"/>
      <c r="J736" s="86"/>
      <c r="K736" s="86"/>
      <c r="L736" s="86"/>
      <c r="M736" s="86"/>
      <c r="N736" s="86"/>
      <c r="O736" s="86"/>
      <c r="P736" s="86"/>
      <c r="Q736" s="86"/>
      <c r="R736" s="86"/>
      <c r="S736" s="86"/>
      <c r="T736" s="86"/>
      <c r="U736" s="86"/>
      <c r="V736" s="86"/>
      <c r="W736" s="86"/>
      <c r="X736" s="86"/>
      <c r="Y736" s="86"/>
      <c r="Z736" s="86"/>
    </row>
    <row r="737" ht="15.75" customHeight="1">
      <c r="H737" s="86"/>
      <c r="I737" s="86"/>
      <c r="J737" s="86"/>
      <c r="K737" s="86"/>
      <c r="L737" s="86"/>
      <c r="M737" s="86"/>
      <c r="N737" s="86"/>
      <c r="O737" s="86"/>
      <c r="P737" s="86"/>
      <c r="Q737" s="86"/>
      <c r="R737" s="86"/>
      <c r="S737" s="86"/>
      <c r="T737" s="86"/>
      <c r="U737" s="86"/>
      <c r="V737" s="86"/>
      <c r="W737" s="86"/>
      <c r="X737" s="86"/>
      <c r="Y737" s="86"/>
      <c r="Z737" s="86"/>
    </row>
    <row r="738" ht="15.75" customHeight="1">
      <c r="H738" s="86"/>
      <c r="I738" s="86"/>
      <c r="J738" s="86"/>
      <c r="K738" s="86"/>
      <c r="L738" s="86"/>
      <c r="M738" s="86"/>
      <c r="N738" s="86"/>
      <c r="O738" s="86"/>
      <c r="P738" s="86"/>
      <c r="Q738" s="86"/>
      <c r="R738" s="86"/>
      <c r="S738" s="86"/>
      <c r="T738" s="86"/>
      <c r="U738" s="86"/>
      <c r="V738" s="86"/>
      <c r="W738" s="86"/>
      <c r="X738" s="86"/>
      <c r="Y738" s="86"/>
      <c r="Z738" s="86"/>
    </row>
    <row r="739" ht="15.75" customHeight="1">
      <c r="H739" s="86"/>
      <c r="I739" s="86"/>
      <c r="J739" s="86"/>
      <c r="K739" s="86"/>
      <c r="L739" s="86"/>
      <c r="M739" s="86"/>
      <c r="N739" s="86"/>
      <c r="O739" s="86"/>
      <c r="P739" s="86"/>
      <c r="Q739" s="86"/>
      <c r="R739" s="86"/>
      <c r="S739" s="86"/>
      <c r="T739" s="86"/>
      <c r="U739" s="86"/>
      <c r="V739" s="86"/>
      <c r="W739" s="86"/>
      <c r="X739" s="86"/>
      <c r="Y739" s="86"/>
      <c r="Z739" s="86"/>
    </row>
    <row r="740" ht="15.75" customHeight="1">
      <c r="H740" s="86"/>
      <c r="I740" s="86"/>
      <c r="J740" s="86"/>
      <c r="K740" s="86"/>
      <c r="L740" s="86"/>
      <c r="M740" s="86"/>
      <c r="N740" s="86"/>
      <c r="O740" s="86"/>
      <c r="P740" s="86"/>
      <c r="Q740" s="86"/>
      <c r="R740" s="86"/>
      <c r="S740" s="86"/>
      <c r="T740" s="86"/>
      <c r="U740" s="86"/>
      <c r="V740" s="86"/>
      <c r="W740" s="86"/>
      <c r="X740" s="86"/>
      <c r="Y740" s="86"/>
      <c r="Z740" s="86"/>
    </row>
    <row r="741" ht="15.75" customHeight="1">
      <c r="H741" s="86"/>
      <c r="I741" s="86"/>
      <c r="J741" s="86"/>
      <c r="K741" s="86"/>
      <c r="L741" s="86"/>
      <c r="M741" s="86"/>
      <c r="N741" s="86"/>
      <c r="O741" s="86"/>
      <c r="P741" s="86"/>
      <c r="Q741" s="86"/>
      <c r="R741" s="86"/>
      <c r="S741" s="86"/>
      <c r="T741" s="86"/>
      <c r="U741" s="86"/>
      <c r="V741" s="86"/>
      <c r="W741" s="86"/>
      <c r="X741" s="86"/>
      <c r="Y741" s="86"/>
      <c r="Z741" s="86"/>
    </row>
    <row r="742" ht="15.75" customHeight="1">
      <c r="H742" s="86"/>
      <c r="I742" s="86"/>
      <c r="J742" s="86"/>
      <c r="K742" s="86"/>
      <c r="L742" s="86"/>
      <c r="M742" s="86"/>
      <c r="N742" s="86"/>
      <c r="O742" s="86"/>
      <c r="P742" s="86"/>
      <c r="Q742" s="86"/>
      <c r="R742" s="86"/>
      <c r="S742" s="86"/>
      <c r="T742" s="86"/>
      <c r="U742" s="86"/>
      <c r="V742" s="86"/>
      <c r="W742" s="86"/>
      <c r="X742" s="86"/>
      <c r="Y742" s="86"/>
      <c r="Z742" s="86"/>
    </row>
    <row r="743" ht="15.75" customHeight="1">
      <c r="H743" s="86"/>
      <c r="I743" s="86"/>
      <c r="J743" s="86"/>
      <c r="K743" s="86"/>
      <c r="L743" s="86"/>
      <c r="M743" s="86"/>
      <c r="N743" s="86"/>
      <c r="O743" s="86"/>
      <c r="P743" s="86"/>
      <c r="Q743" s="86"/>
      <c r="R743" s="86"/>
      <c r="S743" s="86"/>
      <c r="T743" s="86"/>
      <c r="U743" s="86"/>
      <c r="V743" s="86"/>
      <c r="W743" s="86"/>
      <c r="X743" s="86"/>
      <c r="Y743" s="86"/>
      <c r="Z743" s="86"/>
    </row>
    <row r="744" ht="15.75" customHeight="1">
      <c r="H744" s="86"/>
      <c r="I744" s="86"/>
      <c r="J744" s="86"/>
      <c r="K744" s="86"/>
      <c r="L744" s="86"/>
      <c r="M744" s="86"/>
      <c r="N744" s="86"/>
      <c r="O744" s="86"/>
      <c r="P744" s="86"/>
      <c r="Q744" s="86"/>
      <c r="R744" s="86"/>
      <c r="S744" s="86"/>
      <c r="T744" s="86"/>
      <c r="U744" s="86"/>
      <c r="V744" s="86"/>
      <c r="W744" s="86"/>
      <c r="X744" s="86"/>
      <c r="Y744" s="86"/>
      <c r="Z744" s="86"/>
    </row>
    <row r="745" ht="15.75" customHeight="1">
      <c r="H745" s="86"/>
      <c r="I745" s="86"/>
      <c r="J745" s="86"/>
      <c r="K745" s="86"/>
      <c r="L745" s="86"/>
      <c r="M745" s="86"/>
      <c r="N745" s="86"/>
      <c r="O745" s="86"/>
      <c r="P745" s="86"/>
      <c r="Q745" s="86"/>
      <c r="R745" s="86"/>
      <c r="S745" s="86"/>
      <c r="T745" s="86"/>
      <c r="U745" s="86"/>
      <c r="V745" s="86"/>
      <c r="W745" s="86"/>
      <c r="X745" s="86"/>
      <c r="Y745" s="86"/>
      <c r="Z745" s="86"/>
    </row>
    <row r="746" ht="15.75" customHeight="1">
      <c r="H746" s="86"/>
      <c r="I746" s="86"/>
      <c r="J746" s="86"/>
      <c r="K746" s="86"/>
      <c r="L746" s="86"/>
      <c r="M746" s="86"/>
      <c r="N746" s="86"/>
      <c r="O746" s="86"/>
      <c r="P746" s="86"/>
      <c r="Q746" s="86"/>
      <c r="R746" s="86"/>
      <c r="S746" s="86"/>
      <c r="T746" s="86"/>
      <c r="U746" s="86"/>
      <c r="V746" s="86"/>
      <c r="W746" s="86"/>
      <c r="X746" s="86"/>
      <c r="Y746" s="86"/>
      <c r="Z746" s="86"/>
    </row>
    <row r="747" ht="15.75" customHeight="1">
      <c r="H747" s="86"/>
      <c r="I747" s="86"/>
      <c r="J747" s="86"/>
      <c r="K747" s="86"/>
      <c r="L747" s="86"/>
      <c r="M747" s="86"/>
      <c r="N747" s="86"/>
      <c r="O747" s="86"/>
      <c r="P747" s="86"/>
      <c r="Q747" s="86"/>
      <c r="R747" s="86"/>
      <c r="S747" s="86"/>
      <c r="T747" s="86"/>
      <c r="U747" s="86"/>
      <c r="V747" s="86"/>
      <c r="W747" s="86"/>
      <c r="X747" s="86"/>
      <c r="Y747" s="86"/>
      <c r="Z747" s="86"/>
    </row>
    <row r="748" ht="15.75" customHeight="1">
      <c r="H748" s="86"/>
      <c r="I748" s="86"/>
      <c r="J748" s="86"/>
      <c r="K748" s="86"/>
      <c r="L748" s="86"/>
      <c r="M748" s="86"/>
      <c r="N748" s="86"/>
      <c r="O748" s="86"/>
      <c r="P748" s="86"/>
      <c r="Q748" s="86"/>
      <c r="R748" s="86"/>
      <c r="S748" s="86"/>
      <c r="T748" s="86"/>
      <c r="U748" s="86"/>
      <c r="V748" s="86"/>
      <c r="W748" s="86"/>
      <c r="X748" s="86"/>
      <c r="Y748" s="86"/>
      <c r="Z748" s="86"/>
    </row>
    <row r="749" ht="15.75" customHeight="1">
      <c r="H749" s="86"/>
      <c r="I749" s="86"/>
      <c r="J749" s="86"/>
      <c r="K749" s="86"/>
      <c r="L749" s="86"/>
      <c r="M749" s="86"/>
      <c r="N749" s="86"/>
      <c r="O749" s="86"/>
      <c r="P749" s="86"/>
      <c r="Q749" s="86"/>
      <c r="R749" s="86"/>
      <c r="S749" s="86"/>
      <c r="T749" s="86"/>
      <c r="U749" s="86"/>
      <c r="V749" s="86"/>
      <c r="W749" s="86"/>
      <c r="X749" s="86"/>
      <c r="Y749" s="86"/>
      <c r="Z749" s="86"/>
    </row>
    <row r="750" ht="15.75" customHeight="1">
      <c r="H750" s="86"/>
      <c r="I750" s="86"/>
      <c r="J750" s="86"/>
      <c r="K750" s="86"/>
      <c r="L750" s="86"/>
      <c r="M750" s="86"/>
      <c r="N750" s="86"/>
      <c r="O750" s="86"/>
      <c r="P750" s="86"/>
      <c r="Q750" s="86"/>
      <c r="R750" s="86"/>
      <c r="S750" s="86"/>
      <c r="T750" s="86"/>
      <c r="U750" s="86"/>
      <c r="V750" s="86"/>
      <c r="W750" s="86"/>
      <c r="X750" s="86"/>
      <c r="Y750" s="86"/>
      <c r="Z750" s="86"/>
    </row>
    <row r="751" ht="15.75" customHeight="1">
      <c r="H751" s="86"/>
      <c r="I751" s="86"/>
      <c r="J751" s="86"/>
      <c r="K751" s="86"/>
      <c r="L751" s="86"/>
      <c r="M751" s="86"/>
      <c r="N751" s="86"/>
      <c r="O751" s="86"/>
      <c r="P751" s="86"/>
      <c r="Q751" s="86"/>
      <c r="R751" s="86"/>
      <c r="S751" s="86"/>
      <c r="T751" s="86"/>
      <c r="U751" s="86"/>
      <c r="V751" s="86"/>
      <c r="W751" s="86"/>
      <c r="X751" s="86"/>
      <c r="Y751" s="86"/>
      <c r="Z751" s="86"/>
    </row>
    <row r="752" ht="15.75" customHeight="1">
      <c r="H752" s="86"/>
      <c r="I752" s="86"/>
      <c r="J752" s="86"/>
      <c r="K752" s="86"/>
      <c r="L752" s="86"/>
      <c r="M752" s="86"/>
      <c r="N752" s="86"/>
      <c r="O752" s="86"/>
      <c r="P752" s="86"/>
      <c r="Q752" s="86"/>
      <c r="R752" s="86"/>
      <c r="S752" s="86"/>
      <c r="T752" s="86"/>
      <c r="U752" s="86"/>
      <c r="V752" s="86"/>
      <c r="W752" s="86"/>
      <c r="X752" s="86"/>
      <c r="Y752" s="86"/>
      <c r="Z752" s="86"/>
    </row>
    <row r="753" ht="15.75" customHeight="1">
      <c r="H753" s="86"/>
      <c r="I753" s="86"/>
      <c r="J753" s="86"/>
      <c r="K753" s="86"/>
      <c r="L753" s="86"/>
      <c r="M753" s="86"/>
      <c r="N753" s="86"/>
      <c r="O753" s="86"/>
      <c r="P753" s="86"/>
      <c r="Q753" s="86"/>
      <c r="R753" s="86"/>
      <c r="S753" s="86"/>
      <c r="T753" s="86"/>
      <c r="U753" s="86"/>
      <c r="V753" s="86"/>
      <c r="W753" s="86"/>
      <c r="X753" s="86"/>
      <c r="Y753" s="86"/>
      <c r="Z753" s="86"/>
    </row>
    <row r="754" ht="15.75" customHeight="1">
      <c r="H754" s="86"/>
      <c r="I754" s="86"/>
      <c r="J754" s="86"/>
      <c r="K754" s="86"/>
      <c r="L754" s="86"/>
      <c r="M754" s="86"/>
      <c r="N754" s="86"/>
      <c r="O754" s="86"/>
      <c r="P754" s="86"/>
      <c r="Q754" s="86"/>
      <c r="R754" s="86"/>
      <c r="S754" s="86"/>
      <c r="T754" s="86"/>
      <c r="U754" s="86"/>
      <c r="V754" s="86"/>
      <c r="W754" s="86"/>
      <c r="X754" s="86"/>
      <c r="Y754" s="86"/>
      <c r="Z754" s="86"/>
    </row>
    <row r="755" ht="15.75" customHeight="1">
      <c r="H755" s="86"/>
      <c r="I755" s="86"/>
      <c r="J755" s="86"/>
      <c r="K755" s="86"/>
      <c r="L755" s="86"/>
      <c r="M755" s="86"/>
      <c r="N755" s="86"/>
      <c r="O755" s="86"/>
      <c r="P755" s="86"/>
      <c r="Q755" s="86"/>
      <c r="R755" s="86"/>
      <c r="S755" s="86"/>
      <c r="T755" s="86"/>
      <c r="U755" s="86"/>
      <c r="V755" s="86"/>
      <c r="W755" s="86"/>
      <c r="X755" s="86"/>
      <c r="Y755" s="86"/>
      <c r="Z755" s="86"/>
    </row>
    <row r="756" ht="15.75" customHeight="1">
      <c r="H756" s="86"/>
      <c r="I756" s="86"/>
      <c r="J756" s="86"/>
      <c r="K756" s="86"/>
      <c r="L756" s="86"/>
      <c r="M756" s="86"/>
      <c r="N756" s="86"/>
      <c r="O756" s="86"/>
      <c r="P756" s="86"/>
      <c r="Q756" s="86"/>
      <c r="R756" s="86"/>
      <c r="S756" s="86"/>
      <c r="T756" s="86"/>
      <c r="U756" s="86"/>
      <c r="V756" s="86"/>
      <c r="W756" s="86"/>
      <c r="X756" s="86"/>
      <c r="Y756" s="86"/>
      <c r="Z756" s="86"/>
    </row>
    <row r="757" ht="15.75" customHeight="1">
      <c r="H757" s="86"/>
      <c r="I757" s="86"/>
      <c r="J757" s="86"/>
      <c r="K757" s="86"/>
      <c r="L757" s="86"/>
      <c r="M757" s="86"/>
      <c r="N757" s="86"/>
      <c r="O757" s="86"/>
      <c r="P757" s="86"/>
      <c r="Q757" s="86"/>
      <c r="R757" s="86"/>
      <c r="S757" s="86"/>
      <c r="T757" s="86"/>
      <c r="U757" s="86"/>
      <c r="V757" s="86"/>
      <c r="W757" s="86"/>
      <c r="X757" s="86"/>
      <c r="Y757" s="86"/>
      <c r="Z757" s="86"/>
    </row>
    <row r="758" ht="15.75" customHeight="1">
      <c r="H758" s="86"/>
      <c r="I758" s="86"/>
      <c r="J758" s="86"/>
      <c r="K758" s="86"/>
      <c r="L758" s="86"/>
      <c r="M758" s="86"/>
      <c r="N758" s="86"/>
      <c r="O758" s="86"/>
      <c r="P758" s="86"/>
      <c r="Q758" s="86"/>
      <c r="R758" s="86"/>
      <c r="S758" s="86"/>
      <c r="T758" s="86"/>
      <c r="U758" s="86"/>
      <c r="V758" s="86"/>
      <c r="W758" s="86"/>
      <c r="X758" s="86"/>
      <c r="Y758" s="86"/>
      <c r="Z758" s="86"/>
    </row>
    <row r="759" ht="15.75" customHeight="1">
      <c r="H759" s="86"/>
      <c r="I759" s="86"/>
      <c r="J759" s="86"/>
      <c r="K759" s="86"/>
      <c r="L759" s="86"/>
      <c r="M759" s="86"/>
      <c r="N759" s="86"/>
      <c r="O759" s="86"/>
      <c r="P759" s="86"/>
      <c r="Q759" s="86"/>
      <c r="R759" s="86"/>
      <c r="S759" s="86"/>
      <c r="T759" s="86"/>
      <c r="U759" s="86"/>
      <c r="V759" s="86"/>
      <c r="W759" s="86"/>
      <c r="X759" s="86"/>
      <c r="Y759" s="86"/>
      <c r="Z759" s="86"/>
    </row>
    <row r="760" ht="15.75" customHeight="1">
      <c r="H760" s="86"/>
      <c r="I760" s="86"/>
      <c r="J760" s="86"/>
      <c r="K760" s="86"/>
      <c r="L760" s="86"/>
      <c r="M760" s="86"/>
      <c r="N760" s="86"/>
      <c r="O760" s="86"/>
      <c r="P760" s="86"/>
      <c r="Q760" s="86"/>
      <c r="R760" s="86"/>
      <c r="S760" s="86"/>
      <c r="T760" s="86"/>
      <c r="U760" s="86"/>
      <c r="V760" s="86"/>
      <c r="W760" s="86"/>
      <c r="X760" s="86"/>
      <c r="Y760" s="86"/>
      <c r="Z760" s="86"/>
    </row>
    <row r="761" ht="15.75" customHeight="1">
      <c r="H761" s="86"/>
      <c r="I761" s="86"/>
      <c r="J761" s="86"/>
      <c r="K761" s="86"/>
      <c r="L761" s="86"/>
      <c r="M761" s="86"/>
      <c r="N761" s="86"/>
      <c r="O761" s="86"/>
      <c r="P761" s="86"/>
      <c r="Q761" s="86"/>
      <c r="R761" s="86"/>
      <c r="S761" s="86"/>
      <c r="T761" s="86"/>
      <c r="U761" s="86"/>
      <c r="V761" s="86"/>
      <c r="W761" s="86"/>
      <c r="X761" s="86"/>
      <c r="Y761" s="86"/>
      <c r="Z761" s="86"/>
    </row>
    <row r="762" ht="15.75" customHeight="1">
      <c r="H762" s="86"/>
      <c r="I762" s="86"/>
      <c r="J762" s="86"/>
      <c r="K762" s="86"/>
      <c r="L762" s="86"/>
      <c r="M762" s="86"/>
      <c r="N762" s="86"/>
      <c r="O762" s="86"/>
      <c r="P762" s="86"/>
      <c r="Q762" s="86"/>
      <c r="R762" s="86"/>
      <c r="S762" s="86"/>
      <c r="T762" s="86"/>
      <c r="U762" s="86"/>
      <c r="V762" s="86"/>
      <c r="W762" s="86"/>
      <c r="X762" s="86"/>
      <c r="Y762" s="86"/>
      <c r="Z762" s="86"/>
    </row>
    <row r="763" ht="15.75" customHeight="1">
      <c r="H763" s="86"/>
      <c r="I763" s="86"/>
      <c r="J763" s="86"/>
      <c r="K763" s="86"/>
      <c r="L763" s="86"/>
      <c r="M763" s="86"/>
      <c r="N763" s="86"/>
      <c r="O763" s="86"/>
      <c r="P763" s="86"/>
      <c r="Q763" s="86"/>
      <c r="R763" s="86"/>
      <c r="S763" s="86"/>
      <c r="T763" s="86"/>
      <c r="U763" s="86"/>
      <c r="V763" s="86"/>
      <c r="W763" s="86"/>
      <c r="X763" s="86"/>
      <c r="Y763" s="86"/>
      <c r="Z763" s="86"/>
    </row>
    <row r="764" ht="15.75" customHeight="1">
      <c r="H764" s="86"/>
      <c r="I764" s="86"/>
      <c r="J764" s="86"/>
      <c r="K764" s="86"/>
      <c r="L764" s="86"/>
      <c r="M764" s="86"/>
      <c r="N764" s="86"/>
      <c r="O764" s="86"/>
      <c r="P764" s="86"/>
      <c r="Q764" s="86"/>
      <c r="R764" s="86"/>
      <c r="S764" s="86"/>
      <c r="T764" s="86"/>
      <c r="U764" s="86"/>
      <c r="V764" s="86"/>
      <c r="W764" s="86"/>
      <c r="X764" s="86"/>
      <c r="Y764" s="86"/>
      <c r="Z764" s="86"/>
    </row>
    <row r="765" ht="15.75" customHeight="1">
      <c r="H765" s="86"/>
      <c r="I765" s="86"/>
      <c r="J765" s="86"/>
      <c r="K765" s="86"/>
      <c r="L765" s="86"/>
      <c r="M765" s="86"/>
      <c r="N765" s="86"/>
      <c r="O765" s="86"/>
      <c r="P765" s="86"/>
      <c r="Q765" s="86"/>
      <c r="R765" s="86"/>
      <c r="S765" s="86"/>
      <c r="T765" s="86"/>
      <c r="U765" s="86"/>
      <c r="V765" s="86"/>
      <c r="W765" s="86"/>
      <c r="X765" s="86"/>
      <c r="Y765" s="86"/>
      <c r="Z765" s="86"/>
    </row>
    <row r="766" ht="15.75" customHeight="1">
      <c r="H766" s="86"/>
      <c r="I766" s="86"/>
      <c r="J766" s="86"/>
      <c r="K766" s="86"/>
      <c r="L766" s="86"/>
      <c r="M766" s="86"/>
      <c r="N766" s="86"/>
      <c r="O766" s="86"/>
      <c r="P766" s="86"/>
      <c r="Q766" s="86"/>
      <c r="R766" s="86"/>
      <c r="S766" s="86"/>
      <c r="T766" s="86"/>
      <c r="U766" s="86"/>
      <c r="V766" s="86"/>
      <c r="W766" s="86"/>
      <c r="X766" s="86"/>
      <c r="Y766" s="86"/>
      <c r="Z766" s="86"/>
    </row>
    <row r="767" ht="15.75" customHeight="1">
      <c r="H767" s="86"/>
      <c r="I767" s="86"/>
      <c r="J767" s="86"/>
      <c r="K767" s="86"/>
      <c r="L767" s="86"/>
      <c r="M767" s="86"/>
      <c r="N767" s="86"/>
      <c r="O767" s="86"/>
      <c r="P767" s="86"/>
      <c r="Q767" s="86"/>
      <c r="R767" s="86"/>
      <c r="S767" s="86"/>
      <c r="T767" s="86"/>
      <c r="U767" s="86"/>
      <c r="V767" s="86"/>
      <c r="W767" s="86"/>
      <c r="X767" s="86"/>
      <c r="Y767" s="86"/>
      <c r="Z767" s="86"/>
    </row>
    <row r="768" ht="15.75" customHeight="1">
      <c r="H768" s="86"/>
      <c r="I768" s="86"/>
      <c r="J768" s="86"/>
      <c r="K768" s="86"/>
      <c r="L768" s="86"/>
      <c r="M768" s="86"/>
      <c r="N768" s="86"/>
      <c r="O768" s="86"/>
      <c r="P768" s="86"/>
      <c r="Q768" s="86"/>
      <c r="R768" s="86"/>
      <c r="S768" s="86"/>
      <c r="T768" s="86"/>
      <c r="U768" s="86"/>
      <c r="V768" s="86"/>
      <c r="W768" s="86"/>
      <c r="X768" s="86"/>
      <c r="Y768" s="86"/>
      <c r="Z768" s="86"/>
    </row>
    <row r="769" ht="15.75" customHeight="1">
      <c r="H769" s="86"/>
      <c r="I769" s="86"/>
      <c r="J769" s="86"/>
      <c r="K769" s="86"/>
      <c r="L769" s="86"/>
      <c r="M769" s="86"/>
      <c r="N769" s="86"/>
      <c r="O769" s="86"/>
      <c r="P769" s="86"/>
      <c r="Q769" s="86"/>
      <c r="R769" s="86"/>
      <c r="S769" s="86"/>
      <c r="T769" s="86"/>
      <c r="U769" s="86"/>
      <c r="V769" s="86"/>
      <c r="W769" s="86"/>
      <c r="X769" s="86"/>
      <c r="Y769" s="86"/>
      <c r="Z769" s="86"/>
    </row>
    <row r="770" ht="15.75" customHeight="1">
      <c r="H770" s="86"/>
      <c r="I770" s="86"/>
      <c r="J770" s="86"/>
      <c r="K770" s="86"/>
      <c r="L770" s="86"/>
      <c r="M770" s="86"/>
      <c r="N770" s="86"/>
      <c r="O770" s="86"/>
      <c r="P770" s="86"/>
      <c r="Q770" s="86"/>
      <c r="R770" s="86"/>
      <c r="S770" s="86"/>
      <c r="T770" s="86"/>
      <c r="U770" s="86"/>
      <c r="V770" s="86"/>
      <c r="W770" s="86"/>
      <c r="X770" s="86"/>
      <c r="Y770" s="86"/>
      <c r="Z770" s="86"/>
    </row>
    <row r="771" ht="15.75" customHeight="1">
      <c r="H771" s="86"/>
      <c r="I771" s="86"/>
      <c r="J771" s="86"/>
      <c r="K771" s="86"/>
      <c r="L771" s="86"/>
      <c r="M771" s="86"/>
      <c r="N771" s="86"/>
      <c r="O771" s="86"/>
      <c r="P771" s="86"/>
      <c r="Q771" s="86"/>
      <c r="R771" s="86"/>
      <c r="S771" s="86"/>
      <c r="T771" s="86"/>
      <c r="U771" s="86"/>
      <c r="V771" s="86"/>
      <c r="W771" s="86"/>
      <c r="X771" s="86"/>
      <c r="Y771" s="86"/>
      <c r="Z771" s="86"/>
    </row>
    <row r="772" ht="15.75" customHeight="1">
      <c r="H772" s="86"/>
      <c r="I772" s="86"/>
      <c r="J772" s="86"/>
      <c r="K772" s="86"/>
      <c r="L772" s="86"/>
      <c r="M772" s="86"/>
      <c r="N772" s="86"/>
      <c r="O772" s="86"/>
      <c r="P772" s="86"/>
      <c r="Q772" s="86"/>
      <c r="R772" s="86"/>
      <c r="S772" s="86"/>
      <c r="T772" s="86"/>
      <c r="U772" s="86"/>
      <c r="V772" s="86"/>
      <c r="W772" s="86"/>
      <c r="X772" s="86"/>
      <c r="Y772" s="86"/>
      <c r="Z772" s="86"/>
    </row>
    <row r="773" ht="15.75" customHeight="1">
      <c r="H773" s="86"/>
      <c r="I773" s="86"/>
      <c r="J773" s="86"/>
      <c r="K773" s="86"/>
      <c r="L773" s="86"/>
      <c r="M773" s="86"/>
      <c r="N773" s="86"/>
      <c r="O773" s="86"/>
      <c r="P773" s="86"/>
      <c r="Q773" s="86"/>
      <c r="R773" s="86"/>
      <c r="S773" s="86"/>
      <c r="T773" s="86"/>
      <c r="U773" s="86"/>
      <c r="V773" s="86"/>
      <c r="W773" s="86"/>
      <c r="X773" s="86"/>
      <c r="Y773" s="86"/>
      <c r="Z773" s="86"/>
    </row>
    <row r="774" ht="15.75" customHeight="1">
      <c r="H774" s="86"/>
      <c r="I774" s="86"/>
      <c r="J774" s="86"/>
      <c r="K774" s="86"/>
      <c r="L774" s="86"/>
      <c r="M774" s="86"/>
      <c r="N774" s="86"/>
      <c r="O774" s="86"/>
      <c r="P774" s="86"/>
      <c r="Q774" s="86"/>
      <c r="R774" s="86"/>
      <c r="S774" s="86"/>
      <c r="T774" s="86"/>
      <c r="U774" s="86"/>
      <c r="V774" s="86"/>
      <c r="W774" s="86"/>
      <c r="X774" s="86"/>
      <c r="Y774" s="86"/>
      <c r="Z774" s="86"/>
    </row>
    <row r="775" ht="15.75" customHeight="1">
      <c r="H775" s="86"/>
      <c r="I775" s="86"/>
      <c r="J775" s="86"/>
      <c r="K775" s="86"/>
      <c r="L775" s="86"/>
      <c r="M775" s="86"/>
      <c r="N775" s="86"/>
      <c r="O775" s="86"/>
      <c r="P775" s="86"/>
      <c r="Q775" s="86"/>
      <c r="R775" s="86"/>
      <c r="S775" s="86"/>
      <c r="T775" s="86"/>
      <c r="U775" s="86"/>
      <c r="V775" s="86"/>
      <c r="W775" s="86"/>
      <c r="X775" s="86"/>
      <c r="Y775" s="86"/>
      <c r="Z775" s="86"/>
    </row>
    <row r="776" ht="15.75" customHeight="1">
      <c r="H776" s="86"/>
      <c r="I776" s="86"/>
      <c r="J776" s="86"/>
      <c r="K776" s="86"/>
      <c r="L776" s="86"/>
      <c r="M776" s="86"/>
      <c r="N776" s="86"/>
      <c r="O776" s="86"/>
      <c r="P776" s="86"/>
      <c r="Q776" s="86"/>
      <c r="R776" s="86"/>
      <c r="S776" s="86"/>
      <c r="T776" s="86"/>
      <c r="U776" s="86"/>
      <c r="V776" s="86"/>
      <c r="W776" s="86"/>
      <c r="X776" s="86"/>
      <c r="Y776" s="86"/>
      <c r="Z776" s="86"/>
    </row>
    <row r="777" ht="15.75" customHeight="1">
      <c r="H777" s="86"/>
      <c r="I777" s="86"/>
      <c r="J777" s="86"/>
      <c r="K777" s="86"/>
      <c r="L777" s="86"/>
      <c r="M777" s="86"/>
      <c r="N777" s="86"/>
      <c r="O777" s="86"/>
      <c r="P777" s="86"/>
      <c r="Q777" s="86"/>
      <c r="R777" s="86"/>
      <c r="S777" s="86"/>
      <c r="T777" s="86"/>
      <c r="U777" s="86"/>
      <c r="V777" s="86"/>
      <c r="W777" s="86"/>
      <c r="X777" s="86"/>
      <c r="Y777" s="86"/>
      <c r="Z777" s="86"/>
    </row>
    <row r="778" ht="15.75" customHeight="1">
      <c r="H778" s="86"/>
      <c r="I778" s="86"/>
      <c r="J778" s="86"/>
      <c r="K778" s="86"/>
      <c r="L778" s="86"/>
      <c r="M778" s="86"/>
      <c r="N778" s="86"/>
      <c r="O778" s="86"/>
      <c r="P778" s="86"/>
      <c r="Q778" s="86"/>
      <c r="R778" s="86"/>
      <c r="S778" s="86"/>
      <c r="T778" s="86"/>
      <c r="U778" s="86"/>
      <c r="V778" s="86"/>
      <c r="W778" s="86"/>
      <c r="X778" s="86"/>
      <c r="Y778" s="86"/>
      <c r="Z778" s="86"/>
    </row>
    <row r="779" ht="15.75" customHeight="1">
      <c r="H779" s="86"/>
      <c r="I779" s="86"/>
      <c r="J779" s="86"/>
      <c r="K779" s="86"/>
      <c r="L779" s="86"/>
      <c r="M779" s="86"/>
      <c r="N779" s="86"/>
      <c r="O779" s="86"/>
      <c r="P779" s="86"/>
      <c r="Q779" s="86"/>
      <c r="R779" s="86"/>
      <c r="S779" s="86"/>
      <c r="T779" s="86"/>
      <c r="U779" s="86"/>
      <c r="V779" s="86"/>
      <c r="W779" s="86"/>
      <c r="X779" s="86"/>
      <c r="Y779" s="86"/>
      <c r="Z779" s="86"/>
    </row>
    <row r="780" ht="15.75" customHeight="1">
      <c r="H780" s="86"/>
      <c r="I780" s="86"/>
      <c r="J780" s="86"/>
      <c r="K780" s="86"/>
      <c r="L780" s="86"/>
      <c r="M780" s="86"/>
      <c r="N780" s="86"/>
      <c r="O780" s="86"/>
      <c r="P780" s="86"/>
      <c r="Q780" s="86"/>
      <c r="R780" s="86"/>
      <c r="S780" s="86"/>
      <c r="T780" s="86"/>
      <c r="U780" s="86"/>
      <c r="V780" s="86"/>
      <c r="W780" s="86"/>
      <c r="X780" s="86"/>
      <c r="Y780" s="86"/>
      <c r="Z780" s="86"/>
    </row>
    <row r="781" ht="15.75" customHeight="1">
      <c r="H781" s="86"/>
      <c r="I781" s="86"/>
      <c r="J781" s="86"/>
      <c r="K781" s="86"/>
      <c r="L781" s="86"/>
      <c r="M781" s="86"/>
      <c r="N781" s="86"/>
      <c r="O781" s="86"/>
      <c r="P781" s="86"/>
      <c r="Q781" s="86"/>
      <c r="R781" s="86"/>
      <c r="S781" s="86"/>
      <c r="T781" s="86"/>
      <c r="U781" s="86"/>
      <c r="V781" s="86"/>
      <c r="W781" s="86"/>
      <c r="X781" s="86"/>
      <c r="Y781" s="86"/>
      <c r="Z781" s="86"/>
    </row>
    <row r="782" ht="15.75" customHeight="1">
      <c r="H782" s="86"/>
      <c r="I782" s="86"/>
      <c r="J782" s="86"/>
      <c r="K782" s="86"/>
      <c r="L782" s="86"/>
      <c r="M782" s="86"/>
      <c r="N782" s="86"/>
      <c r="O782" s="86"/>
      <c r="P782" s="86"/>
      <c r="Q782" s="86"/>
      <c r="R782" s="86"/>
      <c r="S782" s="86"/>
      <c r="T782" s="86"/>
      <c r="U782" s="86"/>
      <c r="V782" s="86"/>
      <c r="W782" s="86"/>
      <c r="X782" s="86"/>
      <c r="Y782" s="86"/>
      <c r="Z782" s="86"/>
    </row>
    <row r="783" ht="15.75" customHeight="1">
      <c r="H783" s="86"/>
      <c r="I783" s="86"/>
      <c r="J783" s="86"/>
      <c r="K783" s="86"/>
      <c r="L783" s="86"/>
      <c r="M783" s="86"/>
      <c r="N783" s="86"/>
      <c r="O783" s="86"/>
      <c r="P783" s="86"/>
      <c r="Q783" s="86"/>
      <c r="R783" s="86"/>
      <c r="S783" s="86"/>
      <c r="T783" s="86"/>
      <c r="U783" s="86"/>
      <c r="V783" s="86"/>
      <c r="W783" s="86"/>
      <c r="X783" s="86"/>
      <c r="Y783" s="86"/>
      <c r="Z783" s="86"/>
    </row>
    <row r="784" ht="15.75" customHeight="1">
      <c r="H784" s="86"/>
      <c r="I784" s="86"/>
      <c r="J784" s="86"/>
      <c r="K784" s="86"/>
      <c r="L784" s="86"/>
      <c r="M784" s="86"/>
      <c r="N784" s="86"/>
      <c r="O784" s="86"/>
      <c r="P784" s="86"/>
      <c r="Q784" s="86"/>
      <c r="R784" s="86"/>
      <c r="S784" s="86"/>
      <c r="T784" s="86"/>
      <c r="U784" s="86"/>
      <c r="V784" s="86"/>
      <c r="W784" s="86"/>
      <c r="X784" s="86"/>
      <c r="Y784" s="86"/>
      <c r="Z784" s="86"/>
    </row>
    <row r="785" ht="15.75" customHeight="1">
      <c r="H785" s="86"/>
      <c r="I785" s="86"/>
      <c r="J785" s="86"/>
      <c r="K785" s="86"/>
      <c r="L785" s="86"/>
      <c r="M785" s="86"/>
      <c r="N785" s="86"/>
      <c r="O785" s="86"/>
      <c r="P785" s="86"/>
      <c r="Q785" s="86"/>
      <c r="R785" s="86"/>
      <c r="S785" s="86"/>
      <c r="T785" s="86"/>
      <c r="U785" s="86"/>
      <c r="V785" s="86"/>
      <c r="W785" s="86"/>
      <c r="X785" s="86"/>
      <c r="Y785" s="86"/>
      <c r="Z785" s="86"/>
    </row>
    <row r="786" ht="15.75" customHeight="1">
      <c r="H786" s="86"/>
      <c r="I786" s="86"/>
      <c r="J786" s="86"/>
      <c r="K786" s="86"/>
      <c r="L786" s="86"/>
      <c r="M786" s="86"/>
      <c r="N786" s="86"/>
      <c r="O786" s="86"/>
      <c r="P786" s="86"/>
      <c r="Q786" s="86"/>
      <c r="R786" s="86"/>
      <c r="S786" s="86"/>
      <c r="T786" s="86"/>
      <c r="U786" s="86"/>
      <c r="V786" s="86"/>
      <c r="W786" s="86"/>
      <c r="X786" s="86"/>
      <c r="Y786" s="86"/>
      <c r="Z786" s="86"/>
    </row>
    <row r="787" ht="15.75" customHeight="1">
      <c r="H787" s="86"/>
      <c r="I787" s="86"/>
      <c r="J787" s="86"/>
      <c r="K787" s="86"/>
      <c r="L787" s="86"/>
      <c r="M787" s="86"/>
      <c r="N787" s="86"/>
      <c r="O787" s="86"/>
      <c r="P787" s="86"/>
      <c r="Q787" s="86"/>
      <c r="R787" s="86"/>
      <c r="S787" s="86"/>
      <c r="T787" s="86"/>
      <c r="U787" s="86"/>
      <c r="V787" s="86"/>
      <c r="W787" s="86"/>
      <c r="X787" s="86"/>
      <c r="Y787" s="86"/>
      <c r="Z787" s="86"/>
    </row>
    <row r="788" ht="15.75" customHeight="1">
      <c r="H788" s="86"/>
      <c r="I788" s="86"/>
      <c r="J788" s="86"/>
      <c r="K788" s="86"/>
      <c r="L788" s="86"/>
      <c r="M788" s="86"/>
      <c r="N788" s="86"/>
      <c r="O788" s="86"/>
      <c r="P788" s="86"/>
      <c r="Q788" s="86"/>
      <c r="R788" s="86"/>
      <c r="S788" s="86"/>
      <c r="T788" s="86"/>
      <c r="U788" s="86"/>
      <c r="V788" s="86"/>
      <c r="W788" s="86"/>
      <c r="X788" s="86"/>
      <c r="Y788" s="86"/>
      <c r="Z788" s="86"/>
    </row>
    <row r="789" ht="15.75" customHeight="1">
      <c r="H789" s="86"/>
      <c r="I789" s="86"/>
      <c r="J789" s="86"/>
      <c r="K789" s="86"/>
      <c r="L789" s="86"/>
      <c r="M789" s="86"/>
      <c r="N789" s="86"/>
      <c r="O789" s="86"/>
      <c r="P789" s="86"/>
      <c r="Q789" s="86"/>
      <c r="R789" s="86"/>
      <c r="S789" s="86"/>
      <c r="T789" s="86"/>
      <c r="U789" s="86"/>
      <c r="V789" s="86"/>
      <c r="W789" s="86"/>
      <c r="X789" s="86"/>
      <c r="Y789" s="86"/>
      <c r="Z789" s="86"/>
    </row>
    <row r="790" ht="15.75" customHeight="1">
      <c r="H790" s="86"/>
      <c r="I790" s="86"/>
      <c r="J790" s="86"/>
      <c r="K790" s="86"/>
      <c r="L790" s="86"/>
      <c r="M790" s="86"/>
      <c r="N790" s="86"/>
      <c r="O790" s="86"/>
      <c r="P790" s="86"/>
      <c r="Q790" s="86"/>
      <c r="R790" s="86"/>
      <c r="S790" s="86"/>
      <c r="T790" s="86"/>
      <c r="U790" s="86"/>
      <c r="V790" s="86"/>
      <c r="W790" s="86"/>
      <c r="X790" s="86"/>
      <c r="Y790" s="86"/>
      <c r="Z790" s="86"/>
    </row>
    <row r="791" ht="15.75" customHeight="1">
      <c r="H791" s="86"/>
      <c r="I791" s="86"/>
      <c r="J791" s="86"/>
      <c r="K791" s="86"/>
      <c r="L791" s="86"/>
      <c r="M791" s="86"/>
      <c r="N791" s="86"/>
      <c r="O791" s="86"/>
      <c r="P791" s="86"/>
      <c r="Q791" s="86"/>
      <c r="R791" s="86"/>
      <c r="S791" s="86"/>
      <c r="T791" s="86"/>
      <c r="U791" s="86"/>
      <c r="V791" s="86"/>
      <c r="W791" s="86"/>
      <c r="X791" s="86"/>
      <c r="Y791" s="86"/>
      <c r="Z791" s="86"/>
    </row>
    <row r="792" ht="15.75" customHeight="1">
      <c r="H792" s="86"/>
      <c r="I792" s="86"/>
      <c r="J792" s="86"/>
      <c r="K792" s="86"/>
      <c r="L792" s="86"/>
      <c r="M792" s="86"/>
      <c r="N792" s="86"/>
      <c r="O792" s="86"/>
      <c r="P792" s="86"/>
      <c r="Q792" s="86"/>
      <c r="R792" s="86"/>
      <c r="S792" s="86"/>
      <c r="T792" s="86"/>
      <c r="U792" s="86"/>
      <c r="V792" s="86"/>
      <c r="W792" s="86"/>
      <c r="X792" s="86"/>
      <c r="Y792" s="86"/>
      <c r="Z792" s="86"/>
    </row>
    <row r="793" ht="15.75" customHeight="1">
      <c r="H793" s="86"/>
      <c r="I793" s="86"/>
      <c r="J793" s="86"/>
      <c r="K793" s="86"/>
      <c r="L793" s="86"/>
      <c r="M793" s="86"/>
      <c r="N793" s="86"/>
      <c r="O793" s="86"/>
      <c r="P793" s="86"/>
      <c r="Q793" s="86"/>
      <c r="R793" s="86"/>
      <c r="S793" s="86"/>
      <c r="T793" s="86"/>
      <c r="U793" s="86"/>
      <c r="V793" s="86"/>
      <c r="W793" s="86"/>
      <c r="X793" s="86"/>
      <c r="Y793" s="86"/>
      <c r="Z793" s="86"/>
    </row>
    <row r="794" ht="15.75" customHeight="1">
      <c r="H794" s="86"/>
      <c r="I794" s="86"/>
      <c r="J794" s="86"/>
      <c r="K794" s="86"/>
      <c r="L794" s="86"/>
      <c r="M794" s="86"/>
      <c r="N794" s="86"/>
      <c r="O794" s="86"/>
      <c r="P794" s="86"/>
      <c r="Q794" s="86"/>
      <c r="R794" s="86"/>
      <c r="S794" s="86"/>
      <c r="T794" s="86"/>
      <c r="U794" s="86"/>
      <c r="V794" s="86"/>
      <c r="W794" s="86"/>
      <c r="X794" s="86"/>
      <c r="Y794" s="86"/>
      <c r="Z794" s="86"/>
    </row>
    <row r="795" ht="15.75" customHeight="1">
      <c r="H795" s="86"/>
      <c r="I795" s="86"/>
      <c r="J795" s="86"/>
      <c r="K795" s="86"/>
      <c r="L795" s="86"/>
      <c r="M795" s="86"/>
      <c r="N795" s="86"/>
      <c r="O795" s="86"/>
      <c r="P795" s="86"/>
      <c r="Q795" s="86"/>
      <c r="R795" s="86"/>
      <c r="S795" s="86"/>
      <c r="T795" s="86"/>
      <c r="U795" s="86"/>
      <c r="V795" s="86"/>
      <c r="W795" s="86"/>
      <c r="X795" s="86"/>
      <c r="Y795" s="86"/>
      <c r="Z795" s="86"/>
    </row>
    <row r="796" ht="15.75" customHeight="1">
      <c r="H796" s="86"/>
      <c r="I796" s="86"/>
      <c r="J796" s="86"/>
      <c r="K796" s="86"/>
      <c r="L796" s="86"/>
      <c r="M796" s="86"/>
      <c r="N796" s="86"/>
      <c r="O796" s="86"/>
      <c r="P796" s="86"/>
      <c r="Q796" s="86"/>
      <c r="R796" s="86"/>
      <c r="S796" s="86"/>
      <c r="T796" s="86"/>
      <c r="U796" s="86"/>
      <c r="V796" s="86"/>
      <c r="W796" s="86"/>
      <c r="X796" s="86"/>
      <c r="Y796" s="86"/>
      <c r="Z796" s="86"/>
    </row>
    <row r="797" ht="15.75" customHeight="1">
      <c r="H797" s="86"/>
      <c r="I797" s="86"/>
      <c r="J797" s="86"/>
      <c r="K797" s="86"/>
      <c r="L797" s="86"/>
      <c r="M797" s="86"/>
      <c r="N797" s="86"/>
      <c r="O797" s="86"/>
      <c r="P797" s="86"/>
      <c r="Q797" s="86"/>
      <c r="R797" s="86"/>
      <c r="S797" s="86"/>
      <c r="T797" s="86"/>
      <c r="U797" s="86"/>
      <c r="V797" s="86"/>
      <c r="W797" s="86"/>
      <c r="X797" s="86"/>
      <c r="Y797" s="86"/>
      <c r="Z797" s="86"/>
    </row>
    <row r="798" ht="15.75" customHeight="1">
      <c r="H798" s="86"/>
      <c r="I798" s="86"/>
      <c r="J798" s="86"/>
      <c r="K798" s="86"/>
      <c r="L798" s="86"/>
      <c r="M798" s="86"/>
      <c r="N798" s="86"/>
      <c r="O798" s="86"/>
      <c r="P798" s="86"/>
      <c r="Q798" s="86"/>
      <c r="R798" s="86"/>
      <c r="S798" s="86"/>
      <c r="T798" s="86"/>
      <c r="U798" s="86"/>
      <c r="V798" s="86"/>
      <c r="W798" s="86"/>
      <c r="X798" s="86"/>
      <c r="Y798" s="86"/>
      <c r="Z798" s="86"/>
    </row>
    <row r="799" ht="15.75" customHeight="1">
      <c r="H799" s="86"/>
      <c r="I799" s="86"/>
      <c r="J799" s="86"/>
      <c r="K799" s="86"/>
      <c r="L799" s="86"/>
      <c r="M799" s="86"/>
      <c r="N799" s="86"/>
      <c r="O799" s="86"/>
      <c r="P799" s="86"/>
      <c r="Q799" s="86"/>
      <c r="R799" s="86"/>
      <c r="S799" s="86"/>
      <c r="T799" s="86"/>
      <c r="U799" s="86"/>
      <c r="V799" s="86"/>
      <c r="W799" s="86"/>
      <c r="X799" s="86"/>
      <c r="Y799" s="86"/>
      <c r="Z799" s="86"/>
    </row>
    <row r="800" ht="15.75" customHeight="1">
      <c r="H800" s="86"/>
      <c r="I800" s="86"/>
      <c r="J800" s="86"/>
      <c r="K800" s="86"/>
      <c r="L800" s="86"/>
      <c r="M800" s="86"/>
      <c r="N800" s="86"/>
      <c r="O800" s="86"/>
      <c r="P800" s="86"/>
      <c r="Q800" s="86"/>
      <c r="R800" s="86"/>
      <c r="S800" s="86"/>
      <c r="T800" s="86"/>
      <c r="U800" s="86"/>
      <c r="V800" s="86"/>
      <c r="W800" s="86"/>
      <c r="X800" s="86"/>
      <c r="Y800" s="86"/>
      <c r="Z800" s="86"/>
    </row>
    <row r="801" ht="15.75" customHeight="1">
      <c r="H801" s="86"/>
      <c r="I801" s="86"/>
      <c r="J801" s="86"/>
      <c r="K801" s="86"/>
      <c r="L801" s="86"/>
      <c r="M801" s="86"/>
      <c r="N801" s="86"/>
      <c r="O801" s="86"/>
      <c r="P801" s="86"/>
      <c r="Q801" s="86"/>
      <c r="R801" s="86"/>
      <c r="S801" s="86"/>
      <c r="T801" s="86"/>
      <c r="U801" s="86"/>
      <c r="V801" s="86"/>
      <c r="W801" s="86"/>
      <c r="X801" s="86"/>
      <c r="Y801" s="86"/>
      <c r="Z801" s="86"/>
    </row>
    <row r="802" ht="15.75" customHeight="1">
      <c r="H802" s="86"/>
      <c r="I802" s="86"/>
      <c r="J802" s="86"/>
      <c r="K802" s="86"/>
      <c r="L802" s="86"/>
      <c r="M802" s="86"/>
      <c r="N802" s="86"/>
      <c r="O802" s="86"/>
      <c r="P802" s="86"/>
      <c r="Q802" s="86"/>
      <c r="R802" s="86"/>
      <c r="S802" s="86"/>
      <c r="T802" s="86"/>
      <c r="U802" s="86"/>
      <c r="V802" s="86"/>
      <c r="W802" s="86"/>
      <c r="X802" s="86"/>
      <c r="Y802" s="86"/>
      <c r="Z802" s="86"/>
    </row>
    <row r="803" ht="15.75" customHeight="1">
      <c r="H803" s="86"/>
      <c r="I803" s="86"/>
      <c r="J803" s="86"/>
      <c r="K803" s="86"/>
      <c r="L803" s="86"/>
      <c r="M803" s="86"/>
      <c r="N803" s="86"/>
      <c r="O803" s="86"/>
      <c r="P803" s="86"/>
      <c r="Q803" s="86"/>
      <c r="R803" s="86"/>
      <c r="S803" s="86"/>
      <c r="T803" s="86"/>
      <c r="U803" s="86"/>
      <c r="V803" s="86"/>
      <c r="W803" s="86"/>
      <c r="X803" s="86"/>
      <c r="Y803" s="86"/>
      <c r="Z803" s="86"/>
    </row>
    <row r="804" ht="15.75" customHeight="1">
      <c r="H804" s="86"/>
      <c r="I804" s="86"/>
      <c r="J804" s="86"/>
      <c r="K804" s="86"/>
      <c r="L804" s="86"/>
      <c r="M804" s="86"/>
      <c r="N804" s="86"/>
      <c r="O804" s="86"/>
      <c r="P804" s="86"/>
      <c r="Q804" s="86"/>
      <c r="R804" s="86"/>
      <c r="S804" s="86"/>
      <c r="T804" s="86"/>
      <c r="U804" s="86"/>
      <c r="V804" s="86"/>
      <c r="W804" s="86"/>
      <c r="X804" s="86"/>
      <c r="Y804" s="86"/>
      <c r="Z804" s="86"/>
    </row>
    <row r="805" ht="15.75" customHeight="1">
      <c r="H805" s="86"/>
      <c r="I805" s="86"/>
      <c r="J805" s="86"/>
      <c r="K805" s="86"/>
      <c r="L805" s="86"/>
      <c r="M805" s="86"/>
      <c r="N805" s="86"/>
      <c r="O805" s="86"/>
      <c r="P805" s="86"/>
      <c r="Q805" s="86"/>
      <c r="R805" s="86"/>
      <c r="S805" s="86"/>
      <c r="T805" s="86"/>
      <c r="U805" s="86"/>
      <c r="V805" s="86"/>
      <c r="W805" s="86"/>
      <c r="X805" s="86"/>
      <c r="Y805" s="86"/>
      <c r="Z805" s="86"/>
    </row>
    <row r="806" ht="15.75" customHeight="1">
      <c r="H806" s="86"/>
      <c r="I806" s="86"/>
      <c r="J806" s="86"/>
      <c r="K806" s="86"/>
      <c r="L806" s="86"/>
      <c r="M806" s="86"/>
      <c r="N806" s="86"/>
      <c r="O806" s="86"/>
      <c r="P806" s="86"/>
      <c r="Q806" s="86"/>
      <c r="R806" s="86"/>
      <c r="S806" s="86"/>
      <c r="T806" s="86"/>
      <c r="U806" s="86"/>
      <c r="V806" s="86"/>
      <c r="W806" s="86"/>
      <c r="X806" s="86"/>
      <c r="Y806" s="86"/>
      <c r="Z806" s="86"/>
    </row>
    <row r="807" ht="15.75" customHeight="1">
      <c r="H807" s="86"/>
      <c r="I807" s="86"/>
      <c r="J807" s="86"/>
      <c r="K807" s="86"/>
      <c r="L807" s="86"/>
      <c r="M807" s="86"/>
      <c r="N807" s="86"/>
      <c r="O807" s="86"/>
      <c r="P807" s="86"/>
      <c r="Q807" s="86"/>
      <c r="R807" s="86"/>
      <c r="S807" s="86"/>
      <c r="T807" s="86"/>
      <c r="U807" s="86"/>
      <c r="V807" s="86"/>
      <c r="W807" s="86"/>
      <c r="X807" s="86"/>
      <c r="Y807" s="86"/>
      <c r="Z807" s="86"/>
    </row>
    <row r="808" ht="15.75" customHeight="1">
      <c r="H808" s="86"/>
      <c r="I808" s="86"/>
      <c r="J808" s="86"/>
      <c r="K808" s="86"/>
      <c r="L808" s="86"/>
      <c r="M808" s="86"/>
      <c r="N808" s="86"/>
      <c r="O808" s="86"/>
      <c r="P808" s="86"/>
      <c r="Q808" s="86"/>
      <c r="R808" s="86"/>
      <c r="S808" s="86"/>
      <c r="T808" s="86"/>
      <c r="U808" s="86"/>
      <c r="V808" s="86"/>
      <c r="W808" s="86"/>
      <c r="X808" s="86"/>
      <c r="Y808" s="86"/>
      <c r="Z808" s="86"/>
    </row>
    <row r="809" ht="15.75" customHeight="1">
      <c r="H809" s="86"/>
      <c r="I809" s="86"/>
      <c r="J809" s="86"/>
      <c r="K809" s="86"/>
      <c r="L809" s="86"/>
      <c r="M809" s="86"/>
      <c r="N809" s="86"/>
      <c r="O809" s="86"/>
      <c r="P809" s="86"/>
      <c r="Q809" s="86"/>
      <c r="R809" s="86"/>
      <c r="S809" s="86"/>
      <c r="T809" s="86"/>
      <c r="U809" s="86"/>
      <c r="V809" s="86"/>
      <c r="W809" s="86"/>
      <c r="X809" s="86"/>
      <c r="Y809" s="86"/>
      <c r="Z809" s="86"/>
    </row>
    <row r="810" ht="15.75" customHeight="1">
      <c r="H810" s="86"/>
      <c r="I810" s="86"/>
      <c r="J810" s="86"/>
      <c r="K810" s="86"/>
      <c r="L810" s="86"/>
      <c r="M810" s="86"/>
      <c r="N810" s="86"/>
      <c r="O810" s="86"/>
      <c r="P810" s="86"/>
      <c r="Q810" s="86"/>
      <c r="R810" s="86"/>
      <c r="S810" s="86"/>
      <c r="T810" s="86"/>
      <c r="U810" s="86"/>
      <c r="V810" s="86"/>
      <c r="W810" s="86"/>
      <c r="X810" s="86"/>
      <c r="Y810" s="86"/>
      <c r="Z810" s="86"/>
    </row>
    <row r="811" ht="15.75" customHeight="1">
      <c r="H811" s="86"/>
      <c r="I811" s="86"/>
      <c r="J811" s="86"/>
      <c r="K811" s="86"/>
      <c r="L811" s="86"/>
      <c r="M811" s="86"/>
      <c r="N811" s="86"/>
      <c r="O811" s="86"/>
      <c r="P811" s="86"/>
      <c r="Q811" s="86"/>
      <c r="R811" s="86"/>
      <c r="S811" s="86"/>
      <c r="T811" s="86"/>
      <c r="U811" s="86"/>
      <c r="V811" s="86"/>
      <c r="W811" s="86"/>
      <c r="X811" s="86"/>
      <c r="Y811" s="86"/>
      <c r="Z811" s="86"/>
    </row>
    <row r="812" ht="15.75" customHeight="1">
      <c r="H812" s="86"/>
      <c r="I812" s="86"/>
      <c r="J812" s="86"/>
      <c r="K812" s="86"/>
      <c r="L812" s="86"/>
      <c r="M812" s="86"/>
      <c r="N812" s="86"/>
      <c r="O812" s="86"/>
      <c r="P812" s="86"/>
      <c r="Q812" s="86"/>
      <c r="R812" s="86"/>
      <c r="S812" s="86"/>
      <c r="T812" s="86"/>
      <c r="U812" s="86"/>
      <c r="V812" s="86"/>
      <c r="W812" s="86"/>
      <c r="X812" s="86"/>
      <c r="Y812" s="86"/>
      <c r="Z812" s="86"/>
    </row>
    <row r="813" ht="15.75" customHeight="1">
      <c r="H813" s="86"/>
      <c r="I813" s="86"/>
      <c r="J813" s="86"/>
      <c r="K813" s="86"/>
      <c r="L813" s="86"/>
      <c r="M813" s="86"/>
      <c r="N813" s="86"/>
      <c r="O813" s="86"/>
      <c r="P813" s="86"/>
      <c r="Q813" s="86"/>
      <c r="R813" s="86"/>
      <c r="S813" s="86"/>
      <c r="T813" s="86"/>
      <c r="U813" s="86"/>
      <c r="V813" s="86"/>
      <c r="W813" s="86"/>
      <c r="X813" s="86"/>
      <c r="Y813" s="86"/>
      <c r="Z813" s="86"/>
    </row>
    <row r="814" ht="15.75" customHeight="1">
      <c r="H814" s="86"/>
      <c r="I814" s="86"/>
      <c r="J814" s="86"/>
      <c r="K814" s="86"/>
      <c r="L814" s="86"/>
      <c r="M814" s="86"/>
      <c r="N814" s="86"/>
      <c r="O814" s="86"/>
      <c r="P814" s="86"/>
      <c r="Q814" s="86"/>
      <c r="R814" s="86"/>
      <c r="S814" s="86"/>
      <c r="T814" s="86"/>
      <c r="U814" s="86"/>
      <c r="V814" s="86"/>
      <c r="W814" s="86"/>
      <c r="X814" s="86"/>
      <c r="Y814" s="86"/>
      <c r="Z814" s="86"/>
    </row>
    <row r="815" ht="15.75" customHeight="1">
      <c r="H815" s="86"/>
      <c r="I815" s="86"/>
      <c r="J815" s="86"/>
      <c r="K815" s="86"/>
      <c r="L815" s="86"/>
      <c r="M815" s="86"/>
      <c r="N815" s="86"/>
      <c r="O815" s="86"/>
      <c r="P815" s="86"/>
      <c r="Q815" s="86"/>
      <c r="R815" s="86"/>
      <c r="S815" s="86"/>
      <c r="T815" s="86"/>
      <c r="U815" s="86"/>
      <c r="V815" s="86"/>
      <c r="W815" s="86"/>
      <c r="X815" s="86"/>
      <c r="Y815" s="86"/>
      <c r="Z815" s="86"/>
    </row>
    <row r="816" ht="15.75" customHeight="1">
      <c r="H816" s="86"/>
      <c r="I816" s="86"/>
      <c r="J816" s="86"/>
      <c r="K816" s="86"/>
      <c r="L816" s="86"/>
      <c r="M816" s="86"/>
      <c r="N816" s="86"/>
      <c r="O816" s="86"/>
      <c r="P816" s="86"/>
      <c r="Q816" s="86"/>
      <c r="R816" s="86"/>
      <c r="S816" s="86"/>
      <c r="T816" s="86"/>
      <c r="U816" s="86"/>
      <c r="V816" s="86"/>
      <c r="W816" s="86"/>
      <c r="X816" s="86"/>
      <c r="Y816" s="86"/>
      <c r="Z816" s="86"/>
    </row>
    <row r="817" ht="15.75" customHeight="1">
      <c r="H817" s="86"/>
      <c r="I817" s="86"/>
      <c r="J817" s="86"/>
      <c r="K817" s="86"/>
      <c r="L817" s="86"/>
      <c r="M817" s="86"/>
      <c r="N817" s="86"/>
      <c r="O817" s="86"/>
      <c r="P817" s="86"/>
      <c r="Q817" s="86"/>
      <c r="R817" s="86"/>
      <c r="S817" s="86"/>
      <c r="T817" s="86"/>
      <c r="U817" s="86"/>
      <c r="V817" s="86"/>
      <c r="W817" s="86"/>
      <c r="X817" s="86"/>
      <c r="Y817" s="86"/>
      <c r="Z817" s="86"/>
    </row>
    <row r="818" ht="15.75" customHeight="1">
      <c r="H818" s="86"/>
      <c r="I818" s="86"/>
      <c r="J818" s="86"/>
      <c r="K818" s="86"/>
      <c r="L818" s="86"/>
      <c r="M818" s="86"/>
      <c r="N818" s="86"/>
      <c r="O818" s="86"/>
      <c r="P818" s="86"/>
      <c r="Q818" s="86"/>
      <c r="R818" s="86"/>
      <c r="S818" s="86"/>
      <c r="T818" s="86"/>
      <c r="U818" s="86"/>
      <c r="V818" s="86"/>
      <c r="W818" s="86"/>
      <c r="X818" s="86"/>
      <c r="Y818" s="86"/>
      <c r="Z818" s="86"/>
    </row>
    <row r="819" ht="15.75" customHeight="1">
      <c r="H819" s="86"/>
      <c r="I819" s="86"/>
      <c r="J819" s="86"/>
      <c r="K819" s="86"/>
      <c r="L819" s="86"/>
      <c r="M819" s="86"/>
      <c r="N819" s="86"/>
      <c r="O819" s="86"/>
      <c r="P819" s="86"/>
      <c r="Q819" s="86"/>
      <c r="R819" s="86"/>
      <c r="S819" s="86"/>
      <c r="T819" s="86"/>
      <c r="U819" s="86"/>
      <c r="V819" s="86"/>
      <c r="W819" s="86"/>
      <c r="X819" s="86"/>
      <c r="Y819" s="86"/>
      <c r="Z819" s="86"/>
    </row>
    <row r="820" ht="15.75" customHeight="1">
      <c r="H820" s="86"/>
      <c r="I820" s="86"/>
      <c r="J820" s="86"/>
      <c r="K820" s="86"/>
      <c r="L820" s="86"/>
      <c r="M820" s="86"/>
      <c r="N820" s="86"/>
      <c r="O820" s="86"/>
      <c r="P820" s="86"/>
      <c r="Q820" s="86"/>
      <c r="R820" s="86"/>
      <c r="S820" s="86"/>
      <c r="T820" s="86"/>
      <c r="U820" s="86"/>
      <c r="V820" s="86"/>
      <c r="W820" s="86"/>
      <c r="X820" s="86"/>
      <c r="Y820" s="86"/>
      <c r="Z820" s="86"/>
    </row>
    <row r="821" ht="15.75" customHeight="1">
      <c r="H821" s="86"/>
      <c r="I821" s="86"/>
      <c r="J821" s="86"/>
      <c r="K821" s="86"/>
      <c r="L821" s="86"/>
      <c r="M821" s="86"/>
      <c r="N821" s="86"/>
      <c r="O821" s="86"/>
      <c r="P821" s="86"/>
      <c r="Q821" s="86"/>
      <c r="R821" s="86"/>
      <c r="S821" s="86"/>
      <c r="T821" s="86"/>
      <c r="U821" s="86"/>
      <c r="V821" s="86"/>
      <c r="W821" s="86"/>
      <c r="X821" s="86"/>
      <c r="Y821" s="86"/>
      <c r="Z821" s="86"/>
    </row>
    <row r="822" ht="15.75" customHeight="1">
      <c r="H822" s="86"/>
      <c r="I822" s="86"/>
      <c r="J822" s="86"/>
      <c r="K822" s="86"/>
      <c r="L822" s="86"/>
      <c r="M822" s="86"/>
      <c r="N822" s="86"/>
      <c r="O822" s="86"/>
      <c r="P822" s="86"/>
      <c r="Q822" s="86"/>
      <c r="R822" s="86"/>
      <c r="S822" s="86"/>
      <c r="T822" s="86"/>
      <c r="U822" s="86"/>
      <c r="V822" s="86"/>
      <c r="W822" s="86"/>
      <c r="X822" s="86"/>
      <c r="Y822" s="86"/>
      <c r="Z822" s="86"/>
    </row>
    <row r="823" ht="15.75" customHeight="1">
      <c r="H823" s="86"/>
      <c r="I823" s="86"/>
      <c r="J823" s="86"/>
      <c r="K823" s="86"/>
      <c r="L823" s="86"/>
      <c r="M823" s="86"/>
      <c r="N823" s="86"/>
      <c r="O823" s="86"/>
      <c r="P823" s="86"/>
      <c r="Q823" s="86"/>
      <c r="R823" s="86"/>
      <c r="S823" s="86"/>
      <c r="T823" s="86"/>
      <c r="U823" s="86"/>
      <c r="V823" s="86"/>
      <c r="W823" s="86"/>
      <c r="X823" s="86"/>
      <c r="Y823" s="86"/>
      <c r="Z823" s="86"/>
    </row>
    <row r="824" ht="15.75" customHeight="1">
      <c r="H824" s="86"/>
      <c r="I824" s="86"/>
      <c r="J824" s="86"/>
      <c r="K824" s="86"/>
      <c r="L824" s="86"/>
      <c r="M824" s="86"/>
      <c r="N824" s="86"/>
      <c r="O824" s="86"/>
      <c r="P824" s="86"/>
      <c r="Q824" s="86"/>
      <c r="R824" s="86"/>
      <c r="S824" s="86"/>
      <c r="T824" s="86"/>
      <c r="U824" s="86"/>
      <c r="V824" s="86"/>
      <c r="W824" s="86"/>
      <c r="X824" s="86"/>
      <c r="Y824" s="86"/>
      <c r="Z824" s="86"/>
    </row>
    <row r="825" ht="15.75" customHeight="1">
      <c r="H825" s="86"/>
      <c r="I825" s="86"/>
      <c r="J825" s="86"/>
      <c r="K825" s="86"/>
      <c r="L825" s="86"/>
      <c r="M825" s="86"/>
      <c r="N825" s="86"/>
      <c r="O825" s="86"/>
      <c r="P825" s="86"/>
      <c r="Q825" s="86"/>
      <c r="R825" s="86"/>
      <c r="S825" s="86"/>
      <c r="T825" s="86"/>
      <c r="U825" s="86"/>
      <c r="V825" s="86"/>
      <c r="W825" s="86"/>
      <c r="X825" s="86"/>
      <c r="Y825" s="86"/>
      <c r="Z825" s="86"/>
    </row>
    <row r="826" ht="15.75" customHeight="1">
      <c r="H826" s="86"/>
      <c r="I826" s="86"/>
      <c r="J826" s="86"/>
      <c r="K826" s="86"/>
      <c r="L826" s="86"/>
      <c r="M826" s="86"/>
      <c r="N826" s="86"/>
      <c r="O826" s="86"/>
      <c r="P826" s="86"/>
      <c r="Q826" s="86"/>
      <c r="R826" s="86"/>
      <c r="S826" s="86"/>
      <c r="T826" s="86"/>
      <c r="U826" s="86"/>
      <c r="V826" s="86"/>
      <c r="W826" s="86"/>
      <c r="X826" s="86"/>
      <c r="Y826" s="86"/>
      <c r="Z826" s="86"/>
    </row>
    <row r="827" ht="15.75" customHeight="1">
      <c r="H827" s="86"/>
      <c r="I827" s="86"/>
      <c r="J827" s="86"/>
      <c r="K827" s="86"/>
      <c r="L827" s="86"/>
      <c r="M827" s="86"/>
      <c r="N827" s="86"/>
      <c r="O827" s="86"/>
      <c r="P827" s="86"/>
      <c r="Q827" s="86"/>
      <c r="R827" s="86"/>
      <c r="S827" s="86"/>
      <c r="T827" s="86"/>
      <c r="U827" s="86"/>
      <c r="V827" s="86"/>
      <c r="W827" s="86"/>
      <c r="X827" s="86"/>
      <c r="Y827" s="86"/>
      <c r="Z827" s="86"/>
    </row>
    <row r="828" ht="15.75" customHeight="1">
      <c r="H828" s="86"/>
      <c r="I828" s="86"/>
      <c r="J828" s="86"/>
      <c r="K828" s="86"/>
      <c r="L828" s="86"/>
      <c r="M828" s="86"/>
      <c r="N828" s="86"/>
      <c r="O828" s="86"/>
      <c r="P828" s="86"/>
      <c r="Q828" s="86"/>
      <c r="R828" s="86"/>
      <c r="S828" s="86"/>
      <c r="T828" s="86"/>
      <c r="U828" s="86"/>
      <c r="V828" s="86"/>
      <c r="W828" s="86"/>
      <c r="X828" s="86"/>
      <c r="Y828" s="86"/>
      <c r="Z828" s="86"/>
    </row>
    <row r="829" ht="15.75" customHeight="1">
      <c r="H829" s="86"/>
      <c r="I829" s="86"/>
      <c r="J829" s="86"/>
      <c r="K829" s="86"/>
      <c r="L829" s="86"/>
      <c r="M829" s="86"/>
      <c r="N829" s="86"/>
      <c r="O829" s="86"/>
      <c r="P829" s="86"/>
      <c r="Q829" s="86"/>
      <c r="R829" s="86"/>
      <c r="S829" s="86"/>
      <c r="T829" s="86"/>
      <c r="U829" s="86"/>
      <c r="V829" s="86"/>
      <c r="W829" s="86"/>
      <c r="X829" s="86"/>
      <c r="Y829" s="86"/>
      <c r="Z829" s="86"/>
    </row>
    <row r="830" ht="15.75" customHeight="1">
      <c r="H830" s="86"/>
      <c r="I830" s="86"/>
      <c r="J830" s="86"/>
      <c r="K830" s="86"/>
      <c r="L830" s="86"/>
      <c r="M830" s="86"/>
      <c r="N830" s="86"/>
      <c r="O830" s="86"/>
      <c r="P830" s="86"/>
      <c r="Q830" s="86"/>
      <c r="R830" s="86"/>
      <c r="S830" s="86"/>
      <c r="T830" s="86"/>
      <c r="U830" s="86"/>
      <c r="V830" s="86"/>
      <c r="W830" s="86"/>
      <c r="X830" s="86"/>
      <c r="Y830" s="86"/>
      <c r="Z830" s="86"/>
    </row>
    <row r="831" ht="15.75" customHeight="1">
      <c r="H831" s="86"/>
      <c r="I831" s="86"/>
      <c r="J831" s="86"/>
      <c r="K831" s="86"/>
      <c r="L831" s="86"/>
      <c r="M831" s="86"/>
      <c r="N831" s="86"/>
      <c r="O831" s="86"/>
      <c r="P831" s="86"/>
      <c r="Q831" s="86"/>
      <c r="R831" s="86"/>
      <c r="S831" s="86"/>
      <c r="T831" s="86"/>
      <c r="U831" s="86"/>
      <c r="V831" s="86"/>
      <c r="W831" s="86"/>
      <c r="X831" s="86"/>
      <c r="Y831" s="86"/>
      <c r="Z831" s="86"/>
    </row>
    <row r="832" ht="15.75" customHeight="1">
      <c r="H832" s="86"/>
      <c r="I832" s="86"/>
      <c r="J832" s="86"/>
      <c r="K832" s="86"/>
      <c r="L832" s="86"/>
      <c r="M832" s="86"/>
      <c r="N832" s="86"/>
      <c r="O832" s="86"/>
      <c r="P832" s="86"/>
      <c r="Q832" s="86"/>
      <c r="R832" s="86"/>
      <c r="S832" s="86"/>
      <c r="T832" s="86"/>
      <c r="U832" s="86"/>
      <c r="V832" s="86"/>
      <c r="W832" s="86"/>
      <c r="X832" s="86"/>
      <c r="Y832" s="86"/>
      <c r="Z832" s="86"/>
    </row>
    <row r="833" ht="15.75" customHeight="1">
      <c r="H833" s="86"/>
      <c r="I833" s="86"/>
      <c r="J833" s="86"/>
      <c r="K833" s="86"/>
      <c r="L833" s="86"/>
      <c r="M833" s="86"/>
      <c r="N833" s="86"/>
      <c r="O833" s="86"/>
      <c r="P833" s="86"/>
      <c r="Q833" s="86"/>
      <c r="R833" s="86"/>
      <c r="S833" s="86"/>
      <c r="T833" s="86"/>
      <c r="U833" s="86"/>
      <c r="V833" s="86"/>
      <c r="W833" s="86"/>
      <c r="X833" s="86"/>
      <c r="Y833" s="86"/>
      <c r="Z833" s="86"/>
    </row>
    <row r="834" ht="15.75" customHeight="1">
      <c r="H834" s="86"/>
      <c r="I834" s="86"/>
      <c r="J834" s="86"/>
      <c r="K834" s="86"/>
      <c r="L834" s="86"/>
      <c r="M834" s="86"/>
      <c r="N834" s="86"/>
      <c r="O834" s="86"/>
      <c r="P834" s="86"/>
      <c r="Q834" s="86"/>
      <c r="R834" s="86"/>
      <c r="S834" s="86"/>
      <c r="T834" s="86"/>
      <c r="U834" s="86"/>
      <c r="V834" s="86"/>
      <c r="W834" s="86"/>
      <c r="X834" s="86"/>
      <c r="Y834" s="86"/>
      <c r="Z834" s="86"/>
    </row>
    <row r="835" ht="15.75" customHeight="1">
      <c r="H835" s="86"/>
      <c r="I835" s="86"/>
      <c r="J835" s="86"/>
      <c r="K835" s="86"/>
      <c r="L835" s="86"/>
      <c r="M835" s="86"/>
      <c r="N835" s="86"/>
      <c r="O835" s="86"/>
      <c r="P835" s="86"/>
      <c r="Q835" s="86"/>
      <c r="R835" s="86"/>
      <c r="S835" s="86"/>
      <c r="T835" s="86"/>
      <c r="U835" s="86"/>
      <c r="V835" s="86"/>
      <c r="W835" s="86"/>
      <c r="X835" s="86"/>
      <c r="Y835" s="86"/>
      <c r="Z835" s="86"/>
    </row>
    <row r="836" ht="15.75" customHeight="1">
      <c r="H836" s="86"/>
      <c r="I836" s="86"/>
      <c r="J836" s="86"/>
      <c r="K836" s="86"/>
      <c r="L836" s="86"/>
      <c r="M836" s="86"/>
      <c r="N836" s="86"/>
      <c r="O836" s="86"/>
      <c r="P836" s="86"/>
      <c r="Q836" s="86"/>
      <c r="R836" s="86"/>
      <c r="S836" s="86"/>
      <c r="T836" s="86"/>
      <c r="U836" s="86"/>
      <c r="V836" s="86"/>
      <c r="W836" s="86"/>
      <c r="X836" s="86"/>
      <c r="Y836" s="86"/>
      <c r="Z836" s="86"/>
    </row>
    <row r="837" ht="15.75" customHeight="1">
      <c r="H837" s="86"/>
      <c r="I837" s="86"/>
      <c r="J837" s="86"/>
      <c r="K837" s="86"/>
      <c r="L837" s="86"/>
      <c r="M837" s="86"/>
      <c r="N837" s="86"/>
      <c r="O837" s="86"/>
      <c r="P837" s="86"/>
      <c r="Q837" s="86"/>
      <c r="R837" s="86"/>
      <c r="S837" s="86"/>
      <c r="T837" s="86"/>
      <c r="U837" s="86"/>
      <c r="V837" s="86"/>
      <c r="W837" s="86"/>
      <c r="X837" s="86"/>
      <c r="Y837" s="86"/>
      <c r="Z837" s="86"/>
    </row>
    <row r="838" ht="15.75" customHeight="1">
      <c r="H838" s="86"/>
      <c r="I838" s="86"/>
      <c r="J838" s="86"/>
      <c r="K838" s="86"/>
      <c r="L838" s="86"/>
      <c r="M838" s="86"/>
      <c r="N838" s="86"/>
      <c r="O838" s="86"/>
      <c r="P838" s="86"/>
      <c r="Q838" s="86"/>
      <c r="R838" s="86"/>
      <c r="S838" s="86"/>
      <c r="T838" s="86"/>
      <c r="U838" s="86"/>
      <c r="V838" s="86"/>
      <c r="W838" s="86"/>
      <c r="X838" s="86"/>
      <c r="Y838" s="86"/>
      <c r="Z838" s="86"/>
    </row>
    <row r="839" ht="15.75" customHeight="1">
      <c r="H839" s="86"/>
      <c r="I839" s="86"/>
      <c r="J839" s="86"/>
      <c r="K839" s="86"/>
      <c r="L839" s="86"/>
      <c r="M839" s="86"/>
      <c r="N839" s="86"/>
      <c r="O839" s="86"/>
      <c r="P839" s="86"/>
      <c r="Q839" s="86"/>
      <c r="R839" s="86"/>
      <c r="S839" s="86"/>
      <c r="T839" s="86"/>
      <c r="U839" s="86"/>
      <c r="V839" s="86"/>
      <c r="W839" s="86"/>
      <c r="X839" s="86"/>
      <c r="Y839" s="86"/>
      <c r="Z839" s="86"/>
    </row>
    <row r="840" ht="15.75" customHeight="1">
      <c r="H840" s="86"/>
      <c r="I840" s="86"/>
      <c r="J840" s="86"/>
      <c r="K840" s="86"/>
      <c r="L840" s="86"/>
      <c r="M840" s="86"/>
      <c r="N840" s="86"/>
      <c r="O840" s="86"/>
      <c r="P840" s="86"/>
      <c r="Q840" s="86"/>
      <c r="R840" s="86"/>
      <c r="S840" s="86"/>
      <c r="T840" s="86"/>
      <c r="U840" s="86"/>
      <c r="V840" s="86"/>
      <c r="W840" s="86"/>
      <c r="X840" s="86"/>
      <c r="Y840" s="86"/>
      <c r="Z840" s="86"/>
    </row>
    <row r="841" ht="15.75" customHeight="1">
      <c r="H841" s="86"/>
      <c r="I841" s="86"/>
      <c r="J841" s="86"/>
      <c r="K841" s="86"/>
      <c r="L841" s="86"/>
      <c r="M841" s="86"/>
      <c r="N841" s="86"/>
      <c r="O841" s="86"/>
      <c r="P841" s="86"/>
      <c r="Q841" s="86"/>
      <c r="R841" s="86"/>
      <c r="S841" s="86"/>
      <c r="T841" s="86"/>
      <c r="U841" s="86"/>
      <c r="V841" s="86"/>
      <c r="W841" s="86"/>
      <c r="X841" s="86"/>
      <c r="Y841" s="86"/>
      <c r="Z841" s="86"/>
    </row>
    <row r="842" ht="15.75" customHeight="1">
      <c r="H842" s="86"/>
      <c r="I842" s="86"/>
      <c r="J842" s="86"/>
      <c r="K842" s="86"/>
      <c r="L842" s="86"/>
      <c r="M842" s="86"/>
      <c r="N842" s="86"/>
      <c r="O842" s="86"/>
      <c r="P842" s="86"/>
      <c r="Q842" s="86"/>
      <c r="R842" s="86"/>
      <c r="S842" s="86"/>
      <c r="T842" s="86"/>
      <c r="U842" s="86"/>
      <c r="V842" s="86"/>
      <c r="W842" s="86"/>
      <c r="X842" s="86"/>
      <c r="Y842" s="86"/>
      <c r="Z842" s="86"/>
    </row>
    <row r="843" ht="15.75" customHeight="1">
      <c r="H843" s="86"/>
      <c r="I843" s="86"/>
      <c r="J843" s="86"/>
      <c r="K843" s="86"/>
      <c r="L843" s="86"/>
      <c r="M843" s="86"/>
      <c r="N843" s="86"/>
      <c r="O843" s="86"/>
      <c r="P843" s="86"/>
      <c r="Q843" s="86"/>
      <c r="R843" s="86"/>
      <c r="S843" s="86"/>
      <c r="T843" s="86"/>
      <c r="U843" s="86"/>
      <c r="V843" s="86"/>
      <c r="W843" s="86"/>
      <c r="X843" s="86"/>
      <c r="Y843" s="86"/>
      <c r="Z843" s="86"/>
    </row>
    <row r="844" ht="15.75" customHeight="1">
      <c r="H844" s="86"/>
      <c r="I844" s="86"/>
      <c r="J844" s="86"/>
      <c r="K844" s="86"/>
      <c r="L844" s="86"/>
      <c r="M844" s="86"/>
      <c r="N844" s="86"/>
      <c r="O844" s="86"/>
      <c r="P844" s="86"/>
      <c r="Q844" s="86"/>
      <c r="R844" s="86"/>
      <c r="S844" s="86"/>
      <c r="T844" s="86"/>
      <c r="U844" s="86"/>
      <c r="V844" s="86"/>
      <c r="W844" s="86"/>
      <c r="X844" s="86"/>
      <c r="Y844" s="86"/>
      <c r="Z844" s="86"/>
    </row>
    <row r="845" ht="15.75" customHeight="1">
      <c r="H845" s="86"/>
      <c r="I845" s="86"/>
      <c r="J845" s="86"/>
      <c r="K845" s="86"/>
      <c r="L845" s="86"/>
      <c r="M845" s="86"/>
      <c r="N845" s="86"/>
      <c r="O845" s="86"/>
      <c r="P845" s="86"/>
      <c r="Q845" s="86"/>
      <c r="R845" s="86"/>
      <c r="S845" s="86"/>
      <c r="T845" s="86"/>
      <c r="U845" s="86"/>
      <c r="V845" s="86"/>
      <c r="W845" s="86"/>
      <c r="X845" s="86"/>
      <c r="Y845" s="86"/>
      <c r="Z845" s="86"/>
    </row>
    <row r="846" ht="15.75" customHeight="1">
      <c r="H846" s="86"/>
      <c r="I846" s="86"/>
      <c r="J846" s="86"/>
      <c r="K846" s="86"/>
      <c r="L846" s="86"/>
      <c r="M846" s="86"/>
      <c r="N846" s="86"/>
      <c r="O846" s="86"/>
      <c r="P846" s="86"/>
      <c r="Q846" s="86"/>
      <c r="R846" s="86"/>
      <c r="S846" s="86"/>
      <c r="T846" s="86"/>
      <c r="U846" s="86"/>
      <c r="V846" s="86"/>
      <c r="W846" s="86"/>
      <c r="X846" s="86"/>
      <c r="Y846" s="86"/>
      <c r="Z846" s="86"/>
    </row>
    <row r="847" ht="15.75" customHeight="1">
      <c r="H847" s="86"/>
      <c r="I847" s="86"/>
      <c r="J847" s="86"/>
      <c r="K847" s="86"/>
      <c r="L847" s="86"/>
      <c r="M847" s="86"/>
      <c r="N847" s="86"/>
      <c r="O847" s="86"/>
      <c r="P847" s="86"/>
      <c r="Q847" s="86"/>
      <c r="R847" s="86"/>
      <c r="S847" s="86"/>
      <c r="T847" s="86"/>
      <c r="U847" s="86"/>
      <c r="V847" s="86"/>
      <c r="W847" s="86"/>
      <c r="X847" s="86"/>
      <c r="Y847" s="86"/>
      <c r="Z847" s="86"/>
    </row>
    <row r="848" ht="15.75" customHeight="1">
      <c r="H848" s="86"/>
      <c r="I848" s="86"/>
      <c r="J848" s="86"/>
      <c r="K848" s="86"/>
      <c r="L848" s="86"/>
      <c r="M848" s="86"/>
      <c r="N848" s="86"/>
      <c r="O848" s="86"/>
      <c r="P848" s="86"/>
      <c r="Q848" s="86"/>
      <c r="R848" s="86"/>
      <c r="S848" s="86"/>
      <c r="T848" s="86"/>
      <c r="U848" s="86"/>
      <c r="V848" s="86"/>
      <c r="W848" s="86"/>
      <c r="X848" s="86"/>
      <c r="Y848" s="86"/>
      <c r="Z848" s="86"/>
    </row>
    <row r="849" ht="15.75" customHeight="1">
      <c r="H849" s="86"/>
      <c r="I849" s="86"/>
      <c r="J849" s="86"/>
      <c r="K849" s="86"/>
      <c r="L849" s="86"/>
      <c r="M849" s="86"/>
      <c r="N849" s="86"/>
      <c r="O849" s="86"/>
      <c r="P849" s="86"/>
      <c r="Q849" s="86"/>
      <c r="R849" s="86"/>
      <c r="S849" s="86"/>
      <c r="T849" s="86"/>
      <c r="U849" s="86"/>
      <c r="V849" s="86"/>
      <c r="W849" s="86"/>
      <c r="X849" s="86"/>
      <c r="Y849" s="86"/>
      <c r="Z849" s="86"/>
    </row>
    <row r="850" ht="15.75" customHeight="1">
      <c r="H850" s="86"/>
      <c r="I850" s="86"/>
      <c r="J850" s="86"/>
      <c r="K850" s="86"/>
      <c r="L850" s="86"/>
      <c r="M850" s="86"/>
      <c r="N850" s="86"/>
      <c r="O850" s="86"/>
      <c r="P850" s="86"/>
      <c r="Q850" s="86"/>
      <c r="R850" s="86"/>
      <c r="S850" s="86"/>
      <c r="T850" s="86"/>
      <c r="U850" s="86"/>
      <c r="V850" s="86"/>
      <c r="W850" s="86"/>
      <c r="X850" s="86"/>
      <c r="Y850" s="86"/>
      <c r="Z850" s="86"/>
    </row>
    <row r="851" ht="15.75" customHeight="1">
      <c r="H851" s="86"/>
      <c r="I851" s="86"/>
      <c r="J851" s="86"/>
      <c r="K851" s="86"/>
      <c r="L851" s="86"/>
      <c r="M851" s="86"/>
      <c r="N851" s="86"/>
      <c r="O851" s="86"/>
      <c r="P851" s="86"/>
      <c r="Q851" s="86"/>
      <c r="R851" s="86"/>
      <c r="S851" s="86"/>
      <c r="T851" s="86"/>
      <c r="U851" s="86"/>
      <c r="V851" s="86"/>
      <c r="W851" s="86"/>
      <c r="X851" s="86"/>
      <c r="Y851" s="86"/>
      <c r="Z851" s="86"/>
    </row>
    <row r="852" ht="15.75" customHeight="1">
      <c r="H852" s="86"/>
      <c r="I852" s="86"/>
      <c r="J852" s="86"/>
      <c r="K852" s="86"/>
      <c r="L852" s="86"/>
      <c r="M852" s="86"/>
      <c r="N852" s="86"/>
      <c r="O852" s="86"/>
      <c r="P852" s="86"/>
      <c r="Q852" s="86"/>
      <c r="R852" s="86"/>
      <c r="S852" s="86"/>
      <c r="T852" s="86"/>
      <c r="U852" s="86"/>
      <c r="V852" s="86"/>
      <c r="W852" s="86"/>
      <c r="X852" s="86"/>
      <c r="Y852" s="86"/>
      <c r="Z852" s="86"/>
    </row>
    <row r="853" ht="15.75" customHeight="1">
      <c r="H853" s="86"/>
      <c r="I853" s="86"/>
      <c r="J853" s="86"/>
      <c r="K853" s="86"/>
      <c r="L853" s="86"/>
      <c r="M853" s="86"/>
      <c r="N853" s="86"/>
      <c r="O853" s="86"/>
      <c r="P853" s="86"/>
      <c r="Q853" s="86"/>
      <c r="R853" s="86"/>
      <c r="S853" s="86"/>
      <c r="T853" s="86"/>
      <c r="U853" s="86"/>
      <c r="V853" s="86"/>
      <c r="W853" s="86"/>
      <c r="X853" s="86"/>
      <c r="Y853" s="86"/>
      <c r="Z853" s="86"/>
    </row>
    <row r="854" ht="15.75" customHeight="1">
      <c r="H854" s="86"/>
      <c r="I854" s="86"/>
      <c r="J854" s="86"/>
      <c r="K854" s="86"/>
      <c r="L854" s="86"/>
      <c r="M854" s="86"/>
      <c r="N854" s="86"/>
      <c r="O854" s="86"/>
      <c r="P854" s="86"/>
      <c r="Q854" s="86"/>
      <c r="R854" s="86"/>
      <c r="S854" s="86"/>
      <c r="T854" s="86"/>
      <c r="U854" s="86"/>
      <c r="V854" s="86"/>
      <c r="W854" s="86"/>
      <c r="X854" s="86"/>
      <c r="Y854" s="86"/>
      <c r="Z854" s="86"/>
    </row>
    <row r="855" ht="15.75" customHeight="1">
      <c r="H855" s="86"/>
      <c r="I855" s="86"/>
      <c r="J855" s="86"/>
      <c r="K855" s="86"/>
      <c r="L855" s="86"/>
      <c r="M855" s="86"/>
      <c r="N855" s="86"/>
      <c r="O855" s="86"/>
      <c r="P855" s="86"/>
      <c r="Q855" s="86"/>
      <c r="R855" s="86"/>
      <c r="S855" s="86"/>
      <c r="T855" s="86"/>
      <c r="U855" s="86"/>
      <c r="V855" s="86"/>
      <c r="W855" s="86"/>
      <c r="X855" s="86"/>
      <c r="Y855" s="86"/>
      <c r="Z855" s="86"/>
    </row>
    <row r="856" ht="15.75" customHeight="1">
      <c r="H856" s="86"/>
      <c r="I856" s="86"/>
      <c r="J856" s="86"/>
      <c r="K856" s="86"/>
      <c r="L856" s="86"/>
      <c r="M856" s="86"/>
      <c r="N856" s="86"/>
      <c r="O856" s="86"/>
      <c r="P856" s="86"/>
      <c r="Q856" s="86"/>
      <c r="R856" s="86"/>
      <c r="S856" s="86"/>
      <c r="T856" s="86"/>
      <c r="U856" s="86"/>
      <c r="V856" s="86"/>
      <c r="W856" s="86"/>
      <c r="X856" s="86"/>
      <c r="Y856" s="86"/>
      <c r="Z856" s="86"/>
    </row>
    <row r="857" ht="15.75" customHeight="1">
      <c r="H857" s="86"/>
      <c r="I857" s="86"/>
      <c r="J857" s="86"/>
      <c r="K857" s="86"/>
      <c r="L857" s="86"/>
      <c r="M857" s="86"/>
      <c r="N857" s="86"/>
      <c r="O857" s="86"/>
      <c r="P857" s="86"/>
      <c r="Q857" s="86"/>
      <c r="R857" s="86"/>
      <c r="S857" s="86"/>
      <c r="T857" s="86"/>
      <c r="U857" s="86"/>
      <c r="V857" s="86"/>
      <c r="W857" s="86"/>
      <c r="X857" s="86"/>
      <c r="Y857" s="86"/>
      <c r="Z857" s="86"/>
    </row>
    <row r="858" ht="15.75" customHeight="1">
      <c r="H858" s="86"/>
      <c r="I858" s="86"/>
      <c r="J858" s="86"/>
      <c r="K858" s="86"/>
      <c r="L858" s="86"/>
      <c r="M858" s="86"/>
      <c r="N858" s="86"/>
      <c r="O858" s="86"/>
      <c r="P858" s="86"/>
      <c r="Q858" s="86"/>
      <c r="R858" s="86"/>
      <c r="S858" s="86"/>
      <c r="T858" s="86"/>
      <c r="U858" s="86"/>
      <c r="V858" s="86"/>
      <c r="W858" s="86"/>
      <c r="X858" s="86"/>
      <c r="Y858" s="86"/>
      <c r="Z858" s="86"/>
    </row>
    <row r="859" ht="15.75" customHeight="1">
      <c r="H859" s="86"/>
      <c r="I859" s="86"/>
      <c r="J859" s="86"/>
      <c r="K859" s="86"/>
      <c r="L859" s="86"/>
      <c r="M859" s="86"/>
      <c r="N859" s="86"/>
      <c r="O859" s="86"/>
      <c r="P859" s="86"/>
      <c r="Q859" s="86"/>
      <c r="R859" s="86"/>
      <c r="S859" s="86"/>
      <c r="T859" s="86"/>
      <c r="U859" s="86"/>
      <c r="V859" s="86"/>
      <c r="W859" s="86"/>
      <c r="X859" s="86"/>
      <c r="Y859" s="86"/>
      <c r="Z859" s="86"/>
    </row>
    <row r="860" ht="15.75" customHeight="1">
      <c r="H860" s="86"/>
      <c r="I860" s="86"/>
      <c r="J860" s="86"/>
      <c r="K860" s="86"/>
      <c r="L860" s="86"/>
      <c r="M860" s="86"/>
      <c r="N860" s="86"/>
      <c r="O860" s="86"/>
      <c r="P860" s="86"/>
      <c r="Q860" s="86"/>
      <c r="R860" s="86"/>
      <c r="S860" s="86"/>
      <c r="T860" s="86"/>
      <c r="U860" s="86"/>
      <c r="V860" s="86"/>
      <c r="W860" s="86"/>
      <c r="X860" s="86"/>
      <c r="Y860" s="86"/>
      <c r="Z860" s="86"/>
    </row>
    <row r="861" ht="15.75" customHeight="1">
      <c r="H861" s="86"/>
      <c r="I861" s="86"/>
      <c r="J861" s="86"/>
      <c r="K861" s="86"/>
      <c r="L861" s="86"/>
      <c r="M861" s="86"/>
      <c r="N861" s="86"/>
      <c r="O861" s="86"/>
      <c r="P861" s="86"/>
      <c r="Q861" s="86"/>
      <c r="R861" s="86"/>
      <c r="S861" s="86"/>
      <c r="T861" s="86"/>
      <c r="U861" s="86"/>
      <c r="V861" s="86"/>
      <c r="W861" s="86"/>
      <c r="X861" s="86"/>
      <c r="Y861" s="86"/>
      <c r="Z861" s="86"/>
    </row>
    <row r="862" ht="15.75" customHeight="1">
      <c r="H862" s="86"/>
      <c r="I862" s="86"/>
      <c r="J862" s="86"/>
      <c r="K862" s="86"/>
      <c r="L862" s="86"/>
      <c r="M862" s="86"/>
      <c r="N862" s="86"/>
      <c r="O862" s="86"/>
      <c r="P862" s="86"/>
      <c r="Q862" s="86"/>
      <c r="R862" s="86"/>
      <c r="S862" s="86"/>
      <c r="T862" s="86"/>
      <c r="U862" s="86"/>
      <c r="V862" s="86"/>
      <c r="W862" s="86"/>
      <c r="X862" s="86"/>
      <c r="Y862" s="86"/>
      <c r="Z862" s="86"/>
    </row>
    <row r="863" ht="15.75" customHeight="1">
      <c r="H863" s="86"/>
      <c r="I863" s="86"/>
      <c r="J863" s="86"/>
      <c r="K863" s="86"/>
      <c r="L863" s="86"/>
      <c r="M863" s="86"/>
      <c r="N863" s="86"/>
      <c r="O863" s="86"/>
      <c r="P863" s="86"/>
      <c r="Q863" s="86"/>
      <c r="R863" s="86"/>
      <c r="S863" s="86"/>
      <c r="T863" s="86"/>
      <c r="U863" s="86"/>
      <c r="V863" s="86"/>
      <c r="W863" s="86"/>
      <c r="X863" s="86"/>
      <c r="Y863" s="86"/>
      <c r="Z863" s="86"/>
    </row>
    <row r="864" ht="15.75" customHeight="1">
      <c r="H864" s="86"/>
      <c r="I864" s="86"/>
      <c r="J864" s="86"/>
      <c r="K864" s="86"/>
      <c r="L864" s="86"/>
      <c r="M864" s="86"/>
      <c r="N864" s="86"/>
      <c r="O864" s="86"/>
      <c r="P864" s="86"/>
      <c r="Q864" s="86"/>
      <c r="R864" s="86"/>
      <c r="S864" s="86"/>
      <c r="T864" s="86"/>
      <c r="U864" s="86"/>
      <c r="V864" s="86"/>
      <c r="W864" s="86"/>
      <c r="X864" s="86"/>
      <c r="Y864" s="86"/>
      <c r="Z864" s="86"/>
    </row>
    <row r="865" ht="15.75" customHeight="1">
      <c r="H865" s="86"/>
      <c r="I865" s="86"/>
      <c r="J865" s="86"/>
      <c r="K865" s="86"/>
      <c r="L865" s="86"/>
      <c r="M865" s="86"/>
      <c r="N865" s="86"/>
      <c r="O865" s="86"/>
      <c r="P865" s="86"/>
      <c r="Q865" s="86"/>
      <c r="R865" s="86"/>
      <c r="S865" s="86"/>
      <c r="T865" s="86"/>
      <c r="U865" s="86"/>
      <c r="V865" s="86"/>
      <c r="W865" s="86"/>
      <c r="X865" s="86"/>
      <c r="Y865" s="86"/>
      <c r="Z865" s="86"/>
    </row>
    <row r="866" ht="15.75" customHeight="1">
      <c r="H866" s="86"/>
      <c r="I866" s="86"/>
      <c r="J866" s="86"/>
      <c r="K866" s="86"/>
      <c r="L866" s="86"/>
      <c r="M866" s="86"/>
      <c r="N866" s="86"/>
      <c r="O866" s="86"/>
      <c r="P866" s="86"/>
      <c r="Q866" s="86"/>
      <c r="R866" s="86"/>
      <c r="S866" s="86"/>
      <c r="T866" s="86"/>
      <c r="U866" s="86"/>
      <c r="V866" s="86"/>
      <c r="W866" s="86"/>
      <c r="X866" s="86"/>
      <c r="Y866" s="86"/>
      <c r="Z866" s="86"/>
    </row>
    <row r="867" ht="15.75" customHeight="1">
      <c r="H867" s="86"/>
      <c r="I867" s="86"/>
      <c r="J867" s="86"/>
      <c r="K867" s="86"/>
      <c r="L867" s="86"/>
      <c r="M867" s="86"/>
      <c r="N867" s="86"/>
      <c r="O867" s="86"/>
      <c r="P867" s="86"/>
      <c r="Q867" s="86"/>
      <c r="R867" s="86"/>
      <c r="S867" s="86"/>
      <c r="T867" s="86"/>
      <c r="U867" s="86"/>
      <c r="V867" s="86"/>
      <c r="W867" s="86"/>
      <c r="X867" s="86"/>
      <c r="Y867" s="86"/>
      <c r="Z867" s="86"/>
    </row>
    <row r="868" ht="15.75" customHeight="1">
      <c r="H868" s="86"/>
      <c r="I868" s="86"/>
      <c r="J868" s="86"/>
      <c r="K868" s="86"/>
      <c r="L868" s="86"/>
      <c r="M868" s="86"/>
      <c r="N868" s="86"/>
      <c r="O868" s="86"/>
      <c r="P868" s="86"/>
      <c r="Q868" s="86"/>
      <c r="R868" s="86"/>
      <c r="S868" s="86"/>
      <c r="T868" s="86"/>
      <c r="U868" s="86"/>
      <c r="V868" s="86"/>
      <c r="W868" s="86"/>
      <c r="X868" s="86"/>
      <c r="Y868" s="86"/>
      <c r="Z868" s="86"/>
    </row>
    <row r="869" ht="15.75" customHeight="1">
      <c r="H869" s="86"/>
      <c r="I869" s="86"/>
      <c r="J869" s="86"/>
      <c r="K869" s="86"/>
      <c r="L869" s="86"/>
      <c r="M869" s="86"/>
      <c r="N869" s="86"/>
      <c r="O869" s="86"/>
      <c r="P869" s="86"/>
      <c r="Q869" s="86"/>
      <c r="R869" s="86"/>
      <c r="S869" s="86"/>
      <c r="T869" s="86"/>
      <c r="U869" s="86"/>
      <c r="V869" s="86"/>
      <c r="W869" s="86"/>
      <c r="X869" s="86"/>
      <c r="Y869" s="86"/>
      <c r="Z869" s="86"/>
    </row>
    <row r="870" ht="15.75" customHeight="1">
      <c r="H870" s="86"/>
      <c r="I870" s="86"/>
      <c r="J870" s="86"/>
      <c r="K870" s="86"/>
      <c r="L870" s="86"/>
      <c r="M870" s="86"/>
      <c r="N870" s="86"/>
      <c r="O870" s="86"/>
      <c r="P870" s="86"/>
      <c r="Q870" s="86"/>
      <c r="R870" s="86"/>
      <c r="S870" s="86"/>
      <c r="T870" s="86"/>
      <c r="U870" s="86"/>
      <c r="V870" s="86"/>
      <c r="W870" s="86"/>
      <c r="X870" s="86"/>
      <c r="Y870" s="86"/>
      <c r="Z870" s="86"/>
    </row>
    <row r="871" ht="15.75" customHeight="1">
      <c r="H871" s="86"/>
      <c r="I871" s="86"/>
      <c r="J871" s="86"/>
      <c r="K871" s="86"/>
      <c r="L871" s="86"/>
      <c r="M871" s="86"/>
      <c r="N871" s="86"/>
      <c r="O871" s="86"/>
      <c r="P871" s="86"/>
      <c r="Q871" s="86"/>
      <c r="R871" s="86"/>
      <c r="S871" s="86"/>
      <c r="T871" s="86"/>
      <c r="U871" s="86"/>
      <c r="V871" s="86"/>
      <c r="W871" s="86"/>
      <c r="X871" s="86"/>
      <c r="Y871" s="86"/>
      <c r="Z871" s="86"/>
    </row>
    <row r="872" ht="15.75" customHeight="1">
      <c r="H872" s="86"/>
      <c r="I872" s="86"/>
      <c r="J872" s="86"/>
      <c r="K872" s="86"/>
      <c r="L872" s="86"/>
      <c r="M872" s="86"/>
      <c r="N872" s="86"/>
      <c r="O872" s="86"/>
      <c r="P872" s="86"/>
      <c r="Q872" s="86"/>
      <c r="R872" s="86"/>
      <c r="S872" s="86"/>
      <c r="T872" s="86"/>
      <c r="U872" s="86"/>
      <c r="V872" s="86"/>
      <c r="W872" s="86"/>
      <c r="X872" s="86"/>
      <c r="Y872" s="86"/>
      <c r="Z872" s="86"/>
    </row>
    <row r="873" ht="15.75" customHeight="1">
      <c r="H873" s="86"/>
      <c r="I873" s="86"/>
      <c r="J873" s="86"/>
      <c r="K873" s="86"/>
      <c r="L873" s="86"/>
      <c r="M873" s="86"/>
      <c r="N873" s="86"/>
      <c r="O873" s="86"/>
      <c r="P873" s="86"/>
      <c r="Q873" s="86"/>
      <c r="R873" s="86"/>
      <c r="S873" s="86"/>
      <c r="T873" s="86"/>
      <c r="U873" s="86"/>
      <c r="V873" s="86"/>
      <c r="W873" s="86"/>
      <c r="X873" s="86"/>
      <c r="Y873" s="86"/>
      <c r="Z873" s="86"/>
    </row>
    <row r="874" ht="15.75" customHeight="1">
      <c r="H874" s="86"/>
      <c r="I874" s="86"/>
      <c r="J874" s="86"/>
      <c r="K874" s="86"/>
      <c r="L874" s="86"/>
      <c r="M874" s="86"/>
      <c r="N874" s="86"/>
      <c r="O874" s="86"/>
      <c r="P874" s="86"/>
      <c r="Q874" s="86"/>
      <c r="R874" s="86"/>
      <c r="S874" s="86"/>
      <c r="T874" s="86"/>
      <c r="U874" s="86"/>
      <c r="V874" s="86"/>
      <c r="W874" s="86"/>
      <c r="X874" s="86"/>
      <c r="Y874" s="86"/>
      <c r="Z874" s="86"/>
    </row>
    <row r="875" ht="15.75" customHeight="1">
      <c r="H875" s="86"/>
      <c r="I875" s="86"/>
      <c r="J875" s="86"/>
      <c r="K875" s="86"/>
      <c r="L875" s="86"/>
      <c r="M875" s="86"/>
      <c r="N875" s="86"/>
      <c r="O875" s="86"/>
      <c r="P875" s="86"/>
      <c r="Q875" s="86"/>
      <c r="R875" s="86"/>
      <c r="S875" s="86"/>
      <c r="T875" s="86"/>
      <c r="U875" s="86"/>
      <c r="V875" s="86"/>
      <c r="W875" s="86"/>
      <c r="X875" s="86"/>
      <c r="Y875" s="86"/>
      <c r="Z875" s="86"/>
    </row>
    <row r="876" ht="15.75" customHeight="1">
      <c r="H876" s="86"/>
      <c r="I876" s="86"/>
      <c r="J876" s="86"/>
      <c r="K876" s="86"/>
      <c r="L876" s="86"/>
      <c r="M876" s="86"/>
      <c r="N876" s="86"/>
      <c r="O876" s="86"/>
      <c r="P876" s="86"/>
      <c r="Q876" s="86"/>
      <c r="R876" s="86"/>
      <c r="S876" s="86"/>
      <c r="T876" s="86"/>
      <c r="U876" s="86"/>
      <c r="V876" s="86"/>
      <c r="W876" s="86"/>
      <c r="X876" s="86"/>
      <c r="Y876" s="86"/>
      <c r="Z876" s="86"/>
    </row>
    <row r="877" ht="15.75" customHeight="1">
      <c r="H877" s="86"/>
      <c r="I877" s="86"/>
      <c r="J877" s="86"/>
      <c r="K877" s="86"/>
      <c r="L877" s="86"/>
      <c r="M877" s="86"/>
      <c r="N877" s="86"/>
      <c r="O877" s="86"/>
      <c r="P877" s="86"/>
      <c r="Q877" s="86"/>
      <c r="R877" s="86"/>
      <c r="S877" s="86"/>
      <c r="T877" s="86"/>
      <c r="U877" s="86"/>
      <c r="V877" s="86"/>
      <c r="W877" s="86"/>
      <c r="X877" s="86"/>
      <c r="Y877" s="86"/>
      <c r="Z877" s="86"/>
    </row>
    <row r="878" ht="15.75" customHeight="1">
      <c r="H878" s="86"/>
      <c r="I878" s="86"/>
      <c r="J878" s="86"/>
      <c r="K878" s="86"/>
      <c r="L878" s="86"/>
      <c r="M878" s="86"/>
      <c r="N878" s="86"/>
      <c r="O878" s="86"/>
      <c r="P878" s="86"/>
      <c r="Q878" s="86"/>
      <c r="R878" s="86"/>
      <c r="S878" s="86"/>
      <c r="T878" s="86"/>
      <c r="U878" s="86"/>
      <c r="V878" s="86"/>
      <c r="W878" s="86"/>
      <c r="X878" s="86"/>
      <c r="Y878" s="86"/>
      <c r="Z878" s="86"/>
    </row>
    <row r="879" ht="15.75" customHeight="1">
      <c r="H879" s="86"/>
      <c r="I879" s="86"/>
      <c r="J879" s="86"/>
      <c r="K879" s="86"/>
      <c r="L879" s="86"/>
      <c r="M879" s="86"/>
      <c r="N879" s="86"/>
      <c r="O879" s="86"/>
      <c r="P879" s="86"/>
      <c r="Q879" s="86"/>
      <c r="R879" s="86"/>
      <c r="S879" s="86"/>
      <c r="T879" s="86"/>
      <c r="U879" s="86"/>
      <c r="V879" s="86"/>
      <c r="W879" s="86"/>
      <c r="X879" s="86"/>
      <c r="Y879" s="86"/>
      <c r="Z879" s="86"/>
    </row>
    <row r="880" ht="15.75" customHeight="1">
      <c r="H880" s="86"/>
      <c r="I880" s="86"/>
      <c r="J880" s="86"/>
      <c r="K880" s="86"/>
      <c r="L880" s="86"/>
      <c r="M880" s="86"/>
      <c r="N880" s="86"/>
      <c r="O880" s="86"/>
      <c r="P880" s="86"/>
      <c r="Q880" s="86"/>
      <c r="R880" s="86"/>
      <c r="S880" s="86"/>
      <c r="T880" s="86"/>
      <c r="U880" s="86"/>
      <c r="V880" s="86"/>
      <c r="W880" s="86"/>
      <c r="X880" s="86"/>
      <c r="Y880" s="86"/>
      <c r="Z880" s="86"/>
    </row>
    <row r="881" ht="15.75" customHeight="1">
      <c r="H881" s="86"/>
      <c r="I881" s="86"/>
      <c r="J881" s="86"/>
      <c r="K881" s="86"/>
      <c r="L881" s="86"/>
      <c r="M881" s="86"/>
      <c r="N881" s="86"/>
      <c r="O881" s="86"/>
      <c r="P881" s="86"/>
      <c r="Q881" s="86"/>
      <c r="R881" s="86"/>
      <c r="S881" s="86"/>
      <c r="T881" s="86"/>
      <c r="U881" s="86"/>
      <c r="V881" s="86"/>
      <c r="W881" s="86"/>
      <c r="X881" s="86"/>
      <c r="Y881" s="86"/>
      <c r="Z881" s="86"/>
    </row>
    <row r="882" ht="15.75" customHeight="1">
      <c r="H882" s="86"/>
      <c r="I882" s="86"/>
      <c r="J882" s="86"/>
      <c r="K882" s="86"/>
      <c r="L882" s="86"/>
      <c r="M882" s="86"/>
      <c r="N882" s="86"/>
      <c r="O882" s="86"/>
      <c r="P882" s="86"/>
      <c r="Q882" s="86"/>
      <c r="R882" s="86"/>
      <c r="S882" s="86"/>
      <c r="T882" s="86"/>
      <c r="U882" s="86"/>
      <c r="V882" s="86"/>
      <c r="W882" s="86"/>
      <c r="X882" s="86"/>
      <c r="Y882" s="86"/>
      <c r="Z882" s="86"/>
    </row>
    <row r="883" ht="15.75" customHeight="1">
      <c r="H883" s="86"/>
      <c r="I883" s="86"/>
      <c r="J883" s="86"/>
      <c r="K883" s="86"/>
      <c r="L883" s="86"/>
      <c r="M883" s="86"/>
      <c r="N883" s="86"/>
      <c r="O883" s="86"/>
      <c r="P883" s="86"/>
      <c r="Q883" s="86"/>
      <c r="R883" s="86"/>
      <c r="S883" s="86"/>
      <c r="T883" s="86"/>
      <c r="U883" s="86"/>
      <c r="V883" s="86"/>
      <c r="W883" s="86"/>
      <c r="X883" s="86"/>
      <c r="Y883" s="86"/>
      <c r="Z883" s="86"/>
    </row>
    <row r="884" ht="15.75" customHeight="1">
      <c r="H884" s="86"/>
      <c r="I884" s="86"/>
      <c r="J884" s="86"/>
      <c r="K884" s="86"/>
      <c r="L884" s="86"/>
      <c r="M884" s="86"/>
      <c r="N884" s="86"/>
      <c r="O884" s="86"/>
      <c r="P884" s="86"/>
      <c r="Q884" s="86"/>
      <c r="R884" s="86"/>
      <c r="S884" s="86"/>
      <c r="T884" s="86"/>
      <c r="U884" s="86"/>
      <c r="V884" s="86"/>
      <c r="W884" s="86"/>
      <c r="X884" s="86"/>
      <c r="Y884" s="86"/>
      <c r="Z884" s="86"/>
    </row>
    <row r="885" ht="15.75" customHeight="1">
      <c r="H885" s="86"/>
      <c r="I885" s="86"/>
      <c r="J885" s="86"/>
      <c r="K885" s="86"/>
      <c r="L885" s="86"/>
      <c r="M885" s="86"/>
      <c r="N885" s="86"/>
      <c r="O885" s="86"/>
      <c r="P885" s="86"/>
      <c r="Q885" s="86"/>
      <c r="R885" s="86"/>
      <c r="S885" s="86"/>
      <c r="T885" s="86"/>
      <c r="U885" s="86"/>
      <c r="V885" s="86"/>
      <c r="W885" s="86"/>
      <c r="X885" s="86"/>
      <c r="Y885" s="86"/>
      <c r="Z885" s="86"/>
    </row>
    <row r="886" ht="15.75" customHeight="1">
      <c r="H886" s="86"/>
      <c r="I886" s="86"/>
      <c r="J886" s="86"/>
      <c r="K886" s="86"/>
      <c r="L886" s="86"/>
      <c r="M886" s="86"/>
      <c r="N886" s="86"/>
      <c r="O886" s="86"/>
      <c r="P886" s="86"/>
      <c r="Q886" s="86"/>
      <c r="R886" s="86"/>
      <c r="S886" s="86"/>
      <c r="T886" s="86"/>
      <c r="U886" s="86"/>
      <c r="V886" s="86"/>
      <c r="W886" s="86"/>
      <c r="X886" s="86"/>
      <c r="Y886" s="86"/>
      <c r="Z886" s="86"/>
    </row>
    <row r="887" ht="15.75" customHeight="1">
      <c r="H887" s="86"/>
      <c r="I887" s="86"/>
      <c r="J887" s="86"/>
      <c r="K887" s="86"/>
      <c r="L887" s="86"/>
      <c r="M887" s="86"/>
      <c r="N887" s="86"/>
      <c r="O887" s="86"/>
      <c r="P887" s="86"/>
      <c r="Q887" s="86"/>
      <c r="R887" s="86"/>
      <c r="S887" s="86"/>
      <c r="T887" s="86"/>
      <c r="U887" s="86"/>
      <c r="V887" s="86"/>
      <c r="W887" s="86"/>
      <c r="X887" s="86"/>
      <c r="Y887" s="86"/>
      <c r="Z887" s="86"/>
    </row>
    <row r="888" ht="15.75" customHeight="1">
      <c r="H888" s="86"/>
      <c r="I888" s="86"/>
      <c r="J888" s="86"/>
      <c r="K888" s="86"/>
      <c r="L888" s="86"/>
      <c r="M888" s="86"/>
      <c r="N888" s="86"/>
      <c r="O888" s="86"/>
      <c r="P888" s="86"/>
      <c r="Q888" s="86"/>
      <c r="R888" s="86"/>
      <c r="S888" s="86"/>
      <c r="T888" s="86"/>
      <c r="U888" s="86"/>
      <c r="V888" s="86"/>
      <c r="W888" s="86"/>
      <c r="X888" s="86"/>
      <c r="Y888" s="86"/>
      <c r="Z888" s="86"/>
    </row>
    <row r="889" ht="15.75" customHeight="1">
      <c r="H889" s="86"/>
      <c r="I889" s="86"/>
      <c r="J889" s="86"/>
      <c r="K889" s="86"/>
      <c r="L889" s="86"/>
      <c r="M889" s="86"/>
      <c r="N889" s="86"/>
      <c r="O889" s="86"/>
      <c r="P889" s="86"/>
      <c r="Q889" s="86"/>
      <c r="R889" s="86"/>
      <c r="S889" s="86"/>
      <c r="T889" s="86"/>
      <c r="U889" s="86"/>
      <c r="V889" s="86"/>
      <c r="W889" s="86"/>
      <c r="X889" s="86"/>
      <c r="Y889" s="86"/>
      <c r="Z889" s="86"/>
    </row>
    <row r="890" ht="15.75" customHeight="1">
      <c r="H890" s="86"/>
      <c r="I890" s="86"/>
      <c r="J890" s="86"/>
      <c r="K890" s="86"/>
      <c r="L890" s="86"/>
      <c r="M890" s="86"/>
      <c r="N890" s="86"/>
      <c r="O890" s="86"/>
      <c r="P890" s="86"/>
      <c r="Q890" s="86"/>
      <c r="R890" s="86"/>
      <c r="S890" s="86"/>
      <c r="T890" s="86"/>
      <c r="U890" s="86"/>
      <c r="V890" s="86"/>
      <c r="W890" s="86"/>
      <c r="X890" s="86"/>
      <c r="Y890" s="86"/>
      <c r="Z890" s="86"/>
    </row>
    <row r="891" ht="15.75" customHeight="1">
      <c r="H891" s="86"/>
      <c r="I891" s="86"/>
      <c r="J891" s="86"/>
      <c r="K891" s="86"/>
      <c r="L891" s="86"/>
      <c r="M891" s="86"/>
      <c r="N891" s="86"/>
      <c r="O891" s="86"/>
      <c r="P891" s="86"/>
      <c r="Q891" s="86"/>
      <c r="R891" s="86"/>
      <c r="S891" s="86"/>
      <c r="T891" s="86"/>
      <c r="U891" s="86"/>
      <c r="V891" s="86"/>
      <c r="W891" s="86"/>
      <c r="X891" s="86"/>
      <c r="Y891" s="86"/>
      <c r="Z891" s="86"/>
    </row>
    <row r="892" ht="15.75" customHeight="1">
      <c r="H892" s="86"/>
      <c r="I892" s="86"/>
      <c r="J892" s="86"/>
      <c r="K892" s="86"/>
      <c r="L892" s="86"/>
      <c r="M892" s="86"/>
      <c r="N892" s="86"/>
      <c r="O892" s="86"/>
      <c r="P892" s="86"/>
      <c r="Q892" s="86"/>
      <c r="R892" s="86"/>
      <c r="S892" s="86"/>
      <c r="T892" s="86"/>
      <c r="U892" s="86"/>
      <c r="V892" s="86"/>
      <c r="W892" s="86"/>
      <c r="X892" s="86"/>
      <c r="Y892" s="86"/>
      <c r="Z892" s="86"/>
    </row>
    <row r="893" ht="15.75" customHeight="1">
      <c r="H893" s="86"/>
      <c r="I893" s="86"/>
      <c r="J893" s="86"/>
      <c r="K893" s="86"/>
      <c r="L893" s="86"/>
      <c r="M893" s="86"/>
      <c r="N893" s="86"/>
      <c r="O893" s="86"/>
      <c r="P893" s="86"/>
      <c r="Q893" s="86"/>
      <c r="R893" s="86"/>
      <c r="S893" s="86"/>
      <c r="T893" s="86"/>
      <c r="U893" s="86"/>
      <c r="V893" s="86"/>
      <c r="W893" s="86"/>
      <c r="X893" s="86"/>
      <c r="Y893" s="86"/>
      <c r="Z893" s="86"/>
    </row>
    <row r="894" ht="15.75" customHeight="1">
      <c r="H894" s="86"/>
      <c r="I894" s="86"/>
      <c r="J894" s="86"/>
      <c r="K894" s="86"/>
      <c r="L894" s="86"/>
      <c r="M894" s="86"/>
      <c r="N894" s="86"/>
      <c r="O894" s="86"/>
      <c r="P894" s="86"/>
      <c r="Q894" s="86"/>
      <c r="R894" s="86"/>
      <c r="S894" s="86"/>
      <c r="T894" s="86"/>
      <c r="U894" s="86"/>
      <c r="V894" s="86"/>
      <c r="W894" s="86"/>
      <c r="X894" s="86"/>
      <c r="Y894" s="86"/>
      <c r="Z894" s="86"/>
    </row>
    <row r="895" ht="15.75" customHeight="1">
      <c r="H895" s="86"/>
      <c r="I895" s="86"/>
      <c r="J895" s="86"/>
      <c r="K895" s="86"/>
      <c r="L895" s="86"/>
      <c r="M895" s="86"/>
      <c r="N895" s="86"/>
      <c r="O895" s="86"/>
      <c r="P895" s="86"/>
      <c r="Q895" s="86"/>
      <c r="R895" s="86"/>
      <c r="S895" s="86"/>
      <c r="T895" s="86"/>
      <c r="U895" s="86"/>
      <c r="V895" s="86"/>
      <c r="W895" s="86"/>
      <c r="X895" s="86"/>
      <c r="Y895" s="86"/>
      <c r="Z895" s="86"/>
    </row>
    <row r="896" ht="15.75" customHeight="1">
      <c r="H896" s="86"/>
      <c r="I896" s="86"/>
      <c r="J896" s="86"/>
      <c r="K896" s="86"/>
      <c r="L896" s="86"/>
      <c r="M896" s="86"/>
      <c r="N896" s="86"/>
      <c r="O896" s="86"/>
      <c r="P896" s="86"/>
      <c r="Q896" s="86"/>
      <c r="R896" s="86"/>
      <c r="S896" s="86"/>
      <c r="T896" s="86"/>
      <c r="U896" s="86"/>
      <c r="V896" s="86"/>
      <c r="W896" s="86"/>
      <c r="X896" s="86"/>
      <c r="Y896" s="86"/>
      <c r="Z896" s="86"/>
    </row>
    <row r="897" ht="15.75" customHeight="1">
      <c r="H897" s="86"/>
      <c r="I897" s="86"/>
      <c r="J897" s="86"/>
      <c r="K897" s="86"/>
      <c r="L897" s="86"/>
      <c r="M897" s="86"/>
      <c r="N897" s="86"/>
      <c r="O897" s="86"/>
      <c r="P897" s="86"/>
      <c r="Q897" s="86"/>
      <c r="R897" s="86"/>
      <c r="S897" s="86"/>
      <c r="T897" s="86"/>
      <c r="U897" s="86"/>
      <c r="V897" s="86"/>
      <c r="W897" s="86"/>
      <c r="X897" s="86"/>
      <c r="Y897" s="86"/>
      <c r="Z897" s="86"/>
    </row>
    <row r="898" ht="15.75" customHeight="1">
      <c r="H898" s="86"/>
      <c r="I898" s="86"/>
      <c r="J898" s="86"/>
      <c r="K898" s="86"/>
      <c r="L898" s="86"/>
      <c r="M898" s="86"/>
      <c r="N898" s="86"/>
      <c r="O898" s="86"/>
      <c r="P898" s="86"/>
      <c r="Q898" s="86"/>
      <c r="R898" s="86"/>
      <c r="S898" s="86"/>
      <c r="T898" s="86"/>
      <c r="U898" s="86"/>
      <c r="V898" s="86"/>
      <c r="W898" s="86"/>
      <c r="X898" s="86"/>
      <c r="Y898" s="86"/>
      <c r="Z898" s="86"/>
    </row>
    <row r="899" ht="15.75" customHeight="1">
      <c r="H899" s="86"/>
      <c r="I899" s="86"/>
      <c r="J899" s="86"/>
      <c r="K899" s="86"/>
      <c r="L899" s="86"/>
      <c r="M899" s="86"/>
      <c r="N899" s="86"/>
      <c r="O899" s="86"/>
      <c r="P899" s="86"/>
      <c r="Q899" s="86"/>
      <c r="R899" s="86"/>
      <c r="S899" s="86"/>
      <c r="T899" s="86"/>
      <c r="U899" s="86"/>
      <c r="V899" s="86"/>
      <c r="W899" s="86"/>
      <c r="X899" s="86"/>
      <c r="Y899" s="86"/>
      <c r="Z899" s="86"/>
    </row>
    <row r="900" ht="15.75" customHeight="1">
      <c r="H900" s="86"/>
      <c r="I900" s="86"/>
      <c r="J900" s="86"/>
      <c r="K900" s="86"/>
      <c r="L900" s="86"/>
      <c r="M900" s="86"/>
      <c r="N900" s="86"/>
      <c r="O900" s="86"/>
      <c r="P900" s="86"/>
      <c r="Q900" s="86"/>
      <c r="R900" s="86"/>
      <c r="S900" s="86"/>
      <c r="T900" s="86"/>
      <c r="U900" s="86"/>
      <c r="V900" s="86"/>
      <c r="W900" s="86"/>
      <c r="X900" s="86"/>
      <c r="Y900" s="86"/>
      <c r="Z900" s="86"/>
    </row>
    <row r="901" ht="15.75" customHeight="1">
      <c r="H901" s="86"/>
      <c r="I901" s="86"/>
      <c r="J901" s="86"/>
      <c r="K901" s="86"/>
      <c r="L901" s="86"/>
      <c r="M901" s="86"/>
      <c r="N901" s="86"/>
      <c r="O901" s="86"/>
      <c r="P901" s="86"/>
      <c r="Q901" s="86"/>
      <c r="R901" s="86"/>
      <c r="S901" s="86"/>
      <c r="T901" s="86"/>
      <c r="U901" s="86"/>
      <c r="V901" s="86"/>
      <c r="W901" s="86"/>
      <c r="X901" s="86"/>
      <c r="Y901" s="86"/>
      <c r="Z901" s="86"/>
    </row>
    <row r="902" ht="15.75" customHeight="1">
      <c r="H902" s="86"/>
      <c r="I902" s="86"/>
      <c r="J902" s="86"/>
      <c r="K902" s="86"/>
      <c r="L902" s="86"/>
      <c r="M902" s="86"/>
      <c r="N902" s="86"/>
      <c r="O902" s="86"/>
      <c r="P902" s="86"/>
      <c r="Q902" s="86"/>
      <c r="R902" s="86"/>
      <c r="S902" s="86"/>
      <c r="T902" s="86"/>
      <c r="U902" s="86"/>
      <c r="V902" s="86"/>
      <c r="W902" s="86"/>
      <c r="X902" s="86"/>
      <c r="Y902" s="86"/>
      <c r="Z902" s="86"/>
    </row>
    <row r="903" ht="15.75" customHeight="1">
      <c r="H903" s="86"/>
      <c r="I903" s="86"/>
      <c r="J903" s="86"/>
      <c r="K903" s="86"/>
      <c r="L903" s="86"/>
      <c r="M903" s="86"/>
      <c r="N903" s="86"/>
      <c r="O903" s="86"/>
      <c r="P903" s="86"/>
      <c r="Q903" s="86"/>
      <c r="R903" s="86"/>
      <c r="S903" s="86"/>
      <c r="T903" s="86"/>
      <c r="U903" s="86"/>
      <c r="V903" s="86"/>
      <c r="W903" s="86"/>
      <c r="X903" s="86"/>
      <c r="Y903" s="86"/>
      <c r="Z903" s="86"/>
    </row>
    <row r="904" ht="15.75" customHeight="1">
      <c r="H904" s="86"/>
      <c r="I904" s="86"/>
      <c r="J904" s="86"/>
      <c r="K904" s="86"/>
      <c r="L904" s="86"/>
      <c r="M904" s="86"/>
      <c r="N904" s="86"/>
      <c r="O904" s="86"/>
      <c r="P904" s="86"/>
      <c r="Q904" s="86"/>
      <c r="R904" s="86"/>
      <c r="S904" s="86"/>
      <c r="T904" s="86"/>
      <c r="U904" s="86"/>
      <c r="V904" s="86"/>
      <c r="W904" s="86"/>
      <c r="X904" s="86"/>
      <c r="Y904" s="86"/>
      <c r="Z904" s="86"/>
    </row>
    <row r="905" ht="15.75" customHeight="1">
      <c r="H905" s="86"/>
      <c r="I905" s="86"/>
      <c r="J905" s="86"/>
      <c r="K905" s="86"/>
      <c r="L905" s="86"/>
      <c r="M905" s="86"/>
      <c r="N905" s="86"/>
      <c r="O905" s="86"/>
      <c r="P905" s="86"/>
      <c r="Q905" s="86"/>
      <c r="R905" s="86"/>
      <c r="S905" s="86"/>
      <c r="T905" s="86"/>
      <c r="U905" s="86"/>
      <c r="V905" s="86"/>
      <c r="W905" s="86"/>
      <c r="X905" s="86"/>
      <c r="Y905" s="86"/>
      <c r="Z905" s="86"/>
    </row>
    <row r="906" ht="15.75" customHeight="1">
      <c r="H906" s="86"/>
      <c r="I906" s="86"/>
      <c r="J906" s="86"/>
      <c r="K906" s="86"/>
      <c r="L906" s="86"/>
      <c r="M906" s="86"/>
      <c r="N906" s="86"/>
      <c r="O906" s="86"/>
      <c r="P906" s="86"/>
      <c r="Q906" s="86"/>
      <c r="R906" s="86"/>
      <c r="S906" s="86"/>
      <c r="T906" s="86"/>
      <c r="U906" s="86"/>
      <c r="V906" s="86"/>
      <c r="W906" s="86"/>
      <c r="X906" s="86"/>
      <c r="Y906" s="86"/>
      <c r="Z906" s="86"/>
    </row>
    <row r="907" ht="15.75" customHeight="1">
      <c r="H907" s="86"/>
      <c r="I907" s="86"/>
      <c r="J907" s="86"/>
      <c r="K907" s="86"/>
      <c r="L907" s="86"/>
      <c r="M907" s="86"/>
      <c r="N907" s="86"/>
      <c r="O907" s="86"/>
      <c r="P907" s="86"/>
      <c r="Q907" s="86"/>
      <c r="R907" s="86"/>
      <c r="S907" s="86"/>
      <c r="T907" s="86"/>
      <c r="U907" s="86"/>
      <c r="V907" s="86"/>
      <c r="W907" s="86"/>
      <c r="X907" s="86"/>
      <c r="Y907" s="86"/>
      <c r="Z907" s="86"/>
    </row>
    <row r="908" ht="15.75" customHeight="1">
      <c r="H908" s="86"/>
      <c r="I908" s="86"/>
      <c r="J908" s="86"/>
      <c r="K908" s="86"/>
      <c r="L908" s="86"/>
      <c r="M908" s="86"/>
      <c r="N908" s="86"/>
      <c r="O908" s="86"/>
      <c r="P908" s="86"/>
      <c r="Q908" s="86"/>
      <c r="R908" s="86"/>
      <c r="S908" s="86"/>
      <c r="T908" s="86"/>
      <c r="U908" s="86"/>
      <c r="V908" s="86"/>
      <c r="W908" s="86"/>
      <c r="X908" s="86"/>
      <c r="Y908" s="86"/>
      <c r="Z908" s="86"/>
    </row>
    <row r="909" ht="15.75" customHeight="1">
      <c r="H909" s="86"/>
      <c r="I909" s="86"/>
      <c r="J909" s="86"/>
      <c r="K909" s="86"/>
      <c r="L909" s="86"/>
      <c r="M909" s="86"/>
      <c r="N909" s="86"/>
      <c r="O909" s="86"/>
      <c r="P909" s="86"/>
      <c r="Q909" s="86"/>
      <c r="R909" s="86"/>
      <c r="S909" s="86"/>
      <c r="T909" s="86"/>
      <c r="U909" s="86"/>
      <c r="V909" s="86"/>
      <c r="W909" s="86"/>
      <c r="X909" s="86"/>
      <c r="Y909" s="86"/>
      <c r="Z909" s="86"/>
    </row>
    <row r="910" ht="15.75" customHeight="1">
      <c r="H910" s="86"/>
      <c r="I910" s="86"/>
      <c r="J910" s="86"/>
      <c r="K910" s="86"/>
      <c r="L910" s="86"/>
      <c r="M910" s="86"/>
      <c r="N910" s="86"/>
      <c r="O910" s="86"/>
      <c r="P910" s="86"/>
      <c r="Q910" s="86"/>
      <c r="R910" s="86"/>
      <c r="S910" s="86"/>
      <c r="T910" s="86"/>
      <c r="U910" s="86"/>
      <c r="V910" s="86"/>
      <c r="W910" s="86"/>
      <c r="X910" s="86"/>
      <c r="Y910" s="86"/>
      <c r="Z910" s="86"/>
    </row>
    <row r="911" ht="15.75" customHeight="1">
      <c r="H911" s="86"/>
      <c r="I911" s="86"/>
      <c r="J911" s="86"/>
      <c r="K911" s="86"/>
      <c r="L911" s="86"/>
      <c r="M911" s="86"/>
      <c r="N911" s="86"/>
      <c r="O911" s="86"/>
      <c r="P911" s="86"/>
      <c r="Q911" s="86"/>
      <c r="R911" s="86"/>
      <c r="S911" s="86"/>
      <c r="T911" s="86"/>
      <c r="U911" s="86"/>
      <c r="V911" s="86"/>
      <c r="W911" s="86"/>
      <c r="X911" s="86"/>
      <c r="Y911" s="86"/>
      <c r="Z911" s="86"/>
    </row>
    <row r="912" ht="15.75" customHeight="1">
      <c r="H912" s="86"/>
      <c r="I912" s="86"/>
      <c r="J912" s="86"/>
      <c r="K912" s="86"/>
      <c r="L912" s="86"/>
      <c r="M912" s="86"/>
      <c r="N912" s="86"/>
      <c r="O912" s="86"/>
      <c r="P912" s="86"/>
      <c r="Q912" s="86"/>
      <c r="R912" s="86"/>
      <c r="S912" s="86"/>
      <c r="T912" s="86"/>
      <c r="U912" s="86"/>
      <c r="V912" s="86"/>
      <c r="W912" s="86"/>
      <c r="X912" s="86"/>
      <c r="Y912" s="86"/>
      <c r="Z912" s="86"/>
    </row>
    <row r="913" ht="15.75" customHeight="1">
      <c r="H913" s="86"/>
      <c r="I913" s="86"/>
      <c r="J913" s="86"/>
      <c r="K913" s="86"/>
      <c r="L913" s="86"/>
      <c r="M913" s="86"/>
      <c r="N913" s="86"/>
      <c r="O913" s="86"/>
      <c r="P913" s="86"/>
      <c r="Q913" s="86"/>
      <c r="R913" s="86"/>
      <c r="S913" s="86"/>
      <c r="T913" s="86"/>
      <c r="U913" s="86"/>
      <c r="V913" s="86"/>
      <c r="W913" s="86"/>
      <c r="X913" s="86"/>
      <c r="Y913" s="86"/>
      <c r="Z913" s="86"/>
    </row>
    <row r="914" ht="15.75" customHeight="1">
      <c r="H914" s="86"/>
      <c r="I914" s="86"/>
      <c r="J914" s="86"/>
      <c r="K914" s="86"/>
      <c r="L914" s="86"/>
      <c r="M914" s="86"/>
      <c r="N914" s="86"/>
      <c r="O914" s="86"/>
      <c r="P914" s="86"/>
      <c r="Q914" s="86"/>
      <c r="R914" s="86"/>
      <c r="S914" s="86"/>
      <c r="T914" s="86"/>
      <c r="U914" s="86"/>
      <c r="V914" s="86"/>
      <c r="W914" s="86"/>
      <c r="X914" s="86"/>
      <c r="Y914" s="86"/>
      <c r="Z914" s="86"/>
    </row>
    <row r="915" ht="15.75" customHeight="1">
      <c r="H915" s="86"/>
      <c r="I915" s="86"/>
      <c r="J915" s="86"/>
      <c r="K915" s="86"/>
      <c r="L915" s="86"/>
      <c r="M915" s="86"/>
      <c r="N915" s="86"/>
      <c r="O915" s="86"/>
      <c r="P915" s="86"/>
      <c r="Q915" s="86"/>
      <c r="R915" s="86"/>
      <c r="S915" s="86"/>
      <c r="T915" s="86"/>
      <c r="U915" s="86"/>
      <c r="V915" s="86"/>
      <c r="W915" s="86"/>
      <c r="X915" s="86"/>
      <c r="Y915" s="86"/>
      <c r="Z915" s="86"/>
    </row>
    <row r="916" ht="15.75" customHeight="1">
      <c r="H916" s="86"/>
      <c r="I916" s="86"/>
      <c r="J916" s="86"/>
      <c r="K916" s="86"/>
      <c r="L916" s="86"/>
      <c r="M916" s="86"/>
      <c r="N916" s="86"/>
      <c r="O916" s="86"/>
      <c r="P916" s="86"/>
      <c r="Q916" s="86"/>
      <c r="R916" s="86"/>
      <c r="S916" s="86"/>
      <c r="T916" s="86"/>
      <c r="U916" s="86"/>
      <c r="V916" s="86"/>
      <c r="W916" s="86"/>
      <c r="X916" s="86"/>
      <c r="Y916" s="86"/>
      <c r="Z916" s="86"/>
    </row>
    <row r="917" ht="15.75" customHeight="1">
      <c r="H917" s="86"/>
      <c r="I917" s="86"/>
      <c r="J917" s="86"/>
      <c r="K917" s="86"/>
      <c r="L917" s="86"/>
      <c r="M917" s="86"/>
      <c r="N917" s="86"/>
      <c r="O917" s="86"/>
      <c r="P917" s="86"/>
      <c r="Q917" s="86"/>
      <c r="R917" s="86"/>
      <c r="S917" s="86"/>
      <c r="T917" s="86"/>
      <c r="U917" s="86"/>
      <c r="V917" s="86"/>
      <c r="W917" s="86"/>
      <c r="X917" s="86"/>
      <c r="Y917" s="86"/>
      <c r="Z917" s="86"/>
    </row>
    <row r="918" ht="15.75" customHeight="1">
      <c r="H918" s="86"/>
      <c r="I918" s="86"/>
      <c r="J918" s="86"/>
      <c r="K918" s="86"/>
      <c r="L918" s="86"/>
      <c r="M918" s="86"/>
      <c r="N918" s="86"/>
      <c r="O918" s="86"/>
      <c r="P918" s="86"/>
      <c r="Q918" s="86"/>
      <c r="R918" s="86"/>
      <c r="S918" s="86"/>
      <c r="T918" s="86"/>
      <c r="U918" s="86"/>
      <c r="V918" s="86"/>
      <c r="W918" s="86"/>
      <c r="X918" s="86"/>
      <c r="Y918" s="86"/>
      <c r="Z918" s="86"/>
    </row>
    <row r="919" ht="15.75" customHeight="1">
      <c r="H919" s="86"/>
      <c r="I919" s="86"/>
      <c r="J919" s="86"/>
      <c r="K919" s="86"/>
      <c r="L919" s="86"/>
      <c r="M919" s="86"/>
      <c r="N919" s="86"/>
      <c r="O919" s="86"/>
      <c r="P919" s="86"/>
      <c r="Q919" s="86"/>
      <c r="R919" s="86"/>
      <c r="S919" s="86"/>
      <c r="T919" s="86"/>
      <c r="U919" s="86"/>
      <c r="V919" s="86"/>
      <c r="W919" s="86"/>
      <c r="X919" s="86"/>
      <c r="Y919" s="86"/>
      <c r="Z919" s="86"/>
    </row>
    <row r="920" ht="15.75" customHeight="1">
      <c r="H920" s="86"/>
      <c r="I920" s="86"/>
      <c r="J920" s="86"/>
      <c r="K920" s="86"/>
      <c r="L920" s="86"/>
      <c r="M920" s="86"/>
      <c r="N920" s="86"/>
      <c r="O920" s="86"/>
      <c r="P920" s="86"/>
      <c r="Q920" s="86"/>
      <c r="R920" s="86"/>
      <c r="S920" s="86"/>
      <c r="T920" s="86"/>
      <c r="U920" s="86"/>
      <c r="V920" s="86"/>
      <c r="W920" s="86"/>
      <c r="X920" s="86"/>
      <c r="Y920" s="86"/>
      <c r="Z920" s="86"/>
    </row>
    <row r="921" ht="15.75" customHeight="1">
      <c r="H921" s="86"/>
      <c r="I921" s="86"/>
      <c r="J921" s="86"/>
      <c r="K921" s="86"/>
      <c r="L921" s="86"/>
      <c r="M921" s="86"/>
      <c r="N921" s="86"/>
      <c r="O921" s="86"/>
      <c r="P921" s="86"/>
      <c r="Q921" s="86"/>
      <c r="R921" s="86"/>
      <c r="S921" s="86"/>
      <c r="T921" s="86"/>
      <c r="U921" s="86"/>
      <c r="V921" s="86"/>
      <c r="W921" s="86"/>
      <c r="X921" s="86"/>
      <c r="Y921" s="86"/>
      <c r="Z921" s="86"/>
    </row>
    <row r="922" ht="15.75" customHeight="1">
      <c r="H922" s="86"/>
      <c r="I922" s="86"/>
      <c r="J922" s="86"/>
      <c r="K922" s="86"/>
      <c r="L922" s="86"/>
      <c r="M922" s="86"/>
      <c r="N922" s="86"/>
      <c r="O922" s="86"/>
      <c r="P922" s="86"/>
      <c r="Q922" s="86"/>
      <c r="R922" s="86"/>
      <c r="S922" s="86"/>
      <c r="T922" s="86"/>
      <c r="U922" s="86"/>
      <c r="V922" s="86"/>
      <c r="W922" s="86"/>
      <c r="X922" s="86"/>
      <c r="Y922" s="86"/>
      <c r="Z922" s="86"/>
    </row>
    <row r="923" ht="15.75" customHeight="1">
      <c r="H923" s="86"/>
      <c r="I923" s="86"/>
      <c r="J923" s="86"/>
      <c r="K923" s="86"/>
      <c r="L923" s="86"/>
      <c r="M923" s="86"/>
      <c r="N923" s="86"/>
      <c r="O923" s="86"/>
      <c r="P923" s="86"/>
      <c r="Q923" s="86"/>
      <c r="R923" s="86"/>
      <c r="S923" s="86"/>
      <c r="T923" s="86"/>
      <c r="U923" s="86"/>
      <c r="V923" s="86"/>
      <c r="W923" s="86"/>
      <c r="X923" s="86"/>
      <c r="Y923" s="86"/>
      <c r="Z923" s="86"/>
    </row>
    <row r="924" ht="15.75" customHeight="1">
      <c r="H924" s="86"/>
      <c r="I924" s="86"/>
      <c r="J924" s="86"/>
      <c r="K924" s="86"/>
      <c r="L924" s="86"/>
      <c r="M924" s="86"/>
      <c r="N924" s="86"/>
      <c r="O924" s="86"/>
      <c r="P924" s="86"/>
      <c r="Q924" s="86"/>
      <c r="R924" s="86"/>
      <c r="S924" s="86"/>
      <c r="T924" s="86"/>
      <c r="U924" s="86"/>
      <c r="V924" s="86"/>
      <c r="W924" s="86"/>
      <c r="X924" s="86"/>
      <c r="Y924" s="86"/>
      <c r="Z924" s="86"/>
    </row>
    <row r="925" ht="15.75" customHeight="1">
      <c r="H925" s="86"/>
      <c r="I925" s="86"/>
      <c r="J925" s="86"/>
      <c r="K925" s="86"/>
      <c r="L925" s="86"/>
      <c r="M925" s="86"/>
      <c r="N925" s="86"/>
      <c r="O925" s="86"/>
      <c r="P925" s="86"/>
      <c r="Q925" s="86"/>
      <c r="R925" s="86"/>
      <c r="S925" s="86"/>
      <c r="T925" s="86"/>
      <c r="U925" s="86"/>
      <c r="V925" s="86"/>
      <c r="W925" s="86"/>
      <c r="X925" s="86"/>
      <c r="Y925" s="86"/>
      <c r="Z925" s="86"/>
    </row>
    <row r="926" ht="15.75" customHeight="1">
      <c r="H926" s="86"/>
      <c r="I926" s="86"/>
      <c r="J926" s="86"/>
      <c r="K926" s="86"/>
      <c r="L926" s="86"/>
      <c r="M926" s="86"/>
      <c r="N926" s="86"/>
      <c r="O926" s="86"/>
      <c r="P926" s="86"/>
      <c r="Q926" s="86"/>
      <c r="R926" s="86"/>
      <c r="S926" s="86"/>
      <c r="T926" s="86"/>
      <c r="U926" s="86"/>
      <c r="V926" s="86"/>
      <c r="W926" s="86"/>
      <c r="X926" s="86"/>
      <c r="Y926" s="86"/>
      <c r="Z926" s="86"/>
    </row>
    <row r="927" ht="15.75" customHeight="1">
      <c r="H927" s="86"/>
      <c r="I927" s="86"/>
      <c r="J927" s="86"/>
      <c r="K927" s="86"/>
      <c r="L927" s="86"/>
      <c r="M927" s="86"/>
      <c r="N927" s="86"/>
      <c r="O927" s="86"/>
      <c r="P927" s="86"/>
      <c r="Q927" s="86"/>
      <c r="R927" s="86"/>
      <c r="S927" s="86"/>
      <c r="T927" s="86"/>
      <c r="U927" s="86"/>
      <c r="V927" s="86"/>
      <c r="W927" s="86"/>
      <c r="X927" s="86"/>
      <c r="Y927" s="86"/>
      <c r="Z927" s="86"/>
    </row>
    <row r="928" ht="15.75" customHeight="1">
      <c r="H928" s="86"/>
      <c r="I928" s="86"/>
      <c r="J928" s="86"/>
      <c r="K928" s="86"/>
      <c r="L928" s="86"/>
      <c r="M928" s="86"/>
      <c r="N928" s="86"/>
      <c r="O928" s="86"/>
      <c r="P928" s="86"/>
      <c r="Q928" s="86"/>
      <c r="R928" s="86"/>
      <c r="S928" s="86"/>
      <c r="T928" s="86"/>
      <c r="U928" s="86"/>
      <c r="V928" s="86"/>
      <c r="W928" s="86"/>
      <c r="X928" s="86"/>
      <c r="Y928" s="86"/>
      <c r="Z928" s="86"/>
    </row>
    <row r="929" ht="15.75" customHeight="1">
      <c r="H929" s="86"/>
      <c r="I929" s="86"/>
      <c r="J929" s="86"/>
      <c r="K929" s="86"/>
      <c r="L929" s="86"/>
      <c r="M929" s="86"/>
      <c r="N929" s="86"/>
      <c r="O929" s="86"/>
      <c r="P929" s="86"/>
      <c r="Q929" s="86"/>
      <c r="R929" s="86"/>
      <c r="S929" s="86"/>
      <c r="T929" s="86"/>
      <c r="U929" s="86"/>
      <c r="V929" s="86"/>
      <c r="W929" s="86"/>
      <c r="X929" s="86"/>
      <c r="Y929" s="86"/>
      <c r="Z929" s="86"/>
    </row>
    <row r="930" ht="15.75" customHeight="1">
      <c r="H930" s="86"/>
      <c r="I930" s="86"/>
      <c r="J930" s="86"/>
      <c r="K930" s="86"/>
      <c r="L930" s="86"/>
      <c r="M930" s="86"/>
      <c r="N930" s="86"/>
      <c r="O930" s="86"/>
      <c r="P930" s="86"/>
      <c r="Q930" s="86"/>
      <c r="R930" s="86"/>
      <c r="S930" s="86"/>
      <c r="T930" s="86"/>
      <c r="U930" s="86"/>
      <c r="V930" s="86"/>
      <c r="W930" s="86"/>
      <c r="X930" s="86"/>
      <c r="Y930" s="86"/>
      <c r="Z930" s="86"/>
    </row>
    <row r="931" ht="15.75" customHeight="1">
      <c r="H931" s="86"/>
      <c r="I931" s="86"/>
      <c r="J931" s="86"/>
      <c r="K931" s="86"/>
      <c r="L931" s="86"/>
      <c r="M931" s="86"/>
      <c r="N931" s="86"/>
      <c r="O931" s="86"/>
      <c r="P931" s="86"/>
      <c r="Q931" s="86"/>
      <c r="R931" s="86"/>
      <c r="S931" s="86"/>
      <c r="T931" s="86"/>
      <c r="U931" s="86"/>
      <c r="V931" s="86"/>
      <c r="W931" s="86"/>
      <c r="X931" s="86"/>
      <c r="Y931" s="86"/>
      <c r="Z931" s="86"/>
    </row>
    <row r="932" ht="15.75" customHeight="1">
      <c r="H932" s="86"/>
      <c r="I932" s="86"/>
      <c r="J932" s="86"/>
      <c r="K932" s="86"/>
      <c r="L932" s="86"/>
      <c r="M932" s="86"/>
      <c r="N932" s="86"/>
      <c r="O932" s="86"/>
      <c r="P932" s="86"/>
      <c r="Q932" s="86"/>
      <c r="R932" s="86"/>
      <c r="S932" s="86"/>
      <c r="T932" s="86"/>
      <c r="U932" s="86"/>
      <c r="V932" s="86"/>
      <c r="W932" s="86"/>
      <c r="X932" s="86"/>
      <c r="Y932" s="86"/>
      <c r="Z932" s="86"/>
    </row>
    <row r="933" ht="15.75" customHeight="1">
      <c r="H933" s="86"/>
      <c r="I933" s="86"/>
      <c r="J933" s="86"/>
      <c r="K933" s="86"/>
      <c r="L933" s="86"/>
      <c r="M933" s="86"/>
      <c r="N933" s="86"/>
      <c r="O933" s="86"/>
      <c r="P933" s="86"/>
      <c r="Q933" s="86"/>
      <c r="R933" s="86"/>
      <c r="S933" s="86"/>
      <c r="T933" s="86"/>
      <c r="U933" s="86"/>
      <c r="V933" s="86"/>
      <c r="W933" s="86"/>
      <c r="X933" s="86"/>
      <c r="Y933" s="86"/>
      <c r="Z933" s="86"/>
    </row>
    <row r="934" ht="15.75" customHeight="1">
      <c r="H934" s="86"/>
      <c r="I934" s="86"/>
      <c r="J934" s="86"/>
      <c r="K934" s="86"/>
      <c r="L934" s="86"/>
      <c r="M934" s="86"/>
      <c r="N934" s="86"/>
      <c r="O934" s="86"/>
      <c r="P934" s="86"/>
      <c r="Q934" s="86"/>
      <c r="R934" s="86"/>
      <c r="S934" s="86"/>
      <c r="T934" s="86"/>
      <c r="U934" s="86"/>
      <c r="V934" s="86"/>
      <c r="W934" s="86"/>
      <c r="X934" s="86"/>
      <c r="Y934" s="86"/>
      <c r="Z934" s="86"/>
    </row>
    <row r="935" ht="15.75" customHeight="1">
      <c r="H935" s="86"/>
      <c r="I935" s="86"/>
      <c r="J935" s="86"/>
      <c r="K935" s="86"/>
      <c r="L935" s="86"/>
      <c r="M935" s="86"/>
      <c r="N935" s="86"/>
      <c r="O935" s="86"/>
      <c r="P935" s="86"/>
      <c r="Q935" s="86"/>
      <c r="R935" s="86"/>
      <c r="S935" s="86"/>
      <c r="T935" s="86"/>
      <c r="U935" s="86"/>
      <c r="V935" s="86"/>
      <c r="W935" s="86"/>
      <c r="X935" s="86"/>
      <c r="Y935" s="86"/>
      <c r="Z935" s="86"/>
    </row>
    <row r="936" ht="15.75" customHeight="1">
      <c r="H936" s="86"/>
      <c r="I936" s="86"/>
      <c r="J936" s="86"/>
      <c r="K936" s="86"/>
      <c r="L936" s="86"/>
      <c r="M936" s="86"/>
      <c r="N936" s="86"/>
      <c r="O936" s="86"/>
      <c r="P936" s="86"/>
      <c r="Q936" s="86"/>
      <c r="R936" s="86"/>
      <c r="S936" s="86"/>
      <c r="T936" s="86"/>
      <c r="U936" s="86"/>
      <c r="V936" s="86"/>
      <c r="W936" s="86"/>
      <c r="X936" s="86"/>
      <c r="Y936" s="86"/>
      <c r="Z936" s="86"/>
    </row>
    <row r="937" ht="15.75" customHeight="1">
      <c r="H937" s="86"/>
      <c r="I937" s="86"/>
      <c r="J937" s="86"/>
      <c r="K937" s="86"/>
      <c r="L937" s="86"/>
      <c r="M937" s="86"/>
      <c r="N937" s="86"/>
      <c r="O937" s="86"/>
      <c r="P937" s="86"/>
      <c r="Q937" s="86"/>
      <c r="R937" s="86"/>
      <c r="S937" s="86"/>
      <c r="T937" s="86"/>
      <c r="U937" s="86"/>
      <c r="V937" s="86"/>
      <c r="W937" s="86"/>
      <c r="X937" s="86"/>
      <c r="Y937" s="86"/>
      <c r="Z937" s="86"/>
    </row>
    <row r="938" ht="15.75" customHeight="1">
      <c r="H938" s="86"/>
      <c r="I938" s="86"/>
      <c r="J938" s="86"/>
      <c r="K938" s="86"/>
      <c r="L938" s="86"/>
      <c r="M938" s="86"/>
      <c r="N938" s="86"/>
      <c r="O938" s="86"/>
      <c r="P938" s="86"/>
      <c r="Q938" s="86"/>
      <c r="R938" s="86"/>
      <c r="S938" s="86"/>
      <c r="T938" s="86"/>
      <c r="U938" s="86"/>
      <c r="V938" s="86"/>
      <c r="W938" s="86"/>
      <c r="X938" s="86"/>
      <c r="Y938" s="86"/>
      <c r="Z938" s="86"/>
    </row>
    <row r="939" ht="15.75" customHeight="1">
      <c r="H939" s="86"/>
      <c r="I939" s="86"/>
      <c r="J939" s="86"/>
      <c r="K939" s="86"/>
      <c r="L939" s="86"/>
      <c r="M939" s="86"/>
      <c r="N939" s="86"/>
      <c r="O939" s="86"/>
      <c r="P939" s="86"/>
      <c r="Q939" s="86"/>
      <c r="R939" s="86"/>
      <c r="S939" s="86"/>
      <c r="T939" s="86"/>
      <c r="U939" s="86"/>
      <c r="V939" s="86"/>
      <c r="W939" s="86"/>
      <c r="X939" s="86"/>
      <c r="Y939" s="86"/>
      <c r="Z939" s="86"/>
    </row>
    <row r="940" ht="15.75" customHeight="1">
      <c r="H940" s="86"/>
      <c r="I940" s="86"/>
      <c r="J940" s="86"/>
      <c r="K940" s="86"/>
      <c r="L940" s="86"/>
      <c r="M940" s="86"/>
      <c r="N940" s="86"/>
      <c r="O940" s="86"/>
      <c r="P940" s="86"/>
      <c r="Q940" s="86"/>
      <c r="R940" s="86"/>
      <c r="S940" s="86"/>
      <c r="T940" s="86"/>
      <c r="U940" s="86"/>
      <c r="V940" s="86"/>
      <c r="W940" s="86"/>
      <c r="X940" s="86"/>
      <c r="Y940" s="86"/>
      <c r="Z940" s="86"/>
    </row>
    <row r="941" ht="15.75" customHeight="1">
      <c r="H941" s="86"/>
      <c r="I941" s="86"/>
      <c r="J941" s="86"/>
      <c r="K941" s="86"/>
      <c r="L941" s="86"/>
      <c r="M941" s="86"/>
      <c r="N941" s="86"/>
      <c r="O941" s="86"/>
      <c r="P941" s="86"/>
      <c r="Q941" s="86"/>
      <c r="R941" s="86"/>
      <c r="S941" s="86"/>
      <c r="T941" s="86"/>
      <c r="U941" s="86"/>
      <c r="V941" s="86"/>
      <c r="W941" s="86"/>
      <c r="X941" s="86"/>
      <c r="Y941" s="86"/>
      <c r="Z941" s="86"/>
    </row>
    <row r="942" ht="15.75" customHeight="1">
      <c r="H942" s="86"/>
      <c r="I942" s="86"/>
      <c r="J942" s="86"/>
      <c r="K942" s="86"/>
      <c r="L942" s="86"/>
      <c r="M942" s="86"/>
      <c r="N942" s="86"/>
      <c r="O942" s="86"/>
      <c r="P942" s="86"/>
      <c r="Q942" s="86"/>
      <c r="R942" s="86"/>
      <c r="S942" s="86"/>
      <c r="T942" s="86"/>
      <c r="U942" s="86"/>
      <c r="V942" s="86"/>
      <c r="W942" s="86"/>
      <c r="X942" s="86"/>
      <c r="Y942" s="86"/>
      <c r="Z942" s="86"/>
    </row>
    <row r="943" ht="15.75" customHeight="1">
      <c r="H943" s="86"/>
      <c r="I943" s="86"/>
      <c r="J943" s="86"/>
      <c r="K943" s="86"/>
      <c r="L943" s="86"/>
      <c r="M943" s="86"/>
      <c r="N943" s="86"/>
      <c r="O943" s="86"/>
      <c r="P943" s="86"/>
      <c r="Q943" s="86"/>
      <c r="R943" s="86"/>
      <c r="S943" s="86"/>
      <c r="T943" s="86"/>
      <c r="U943" s="86"/>
      <c r="V943" s="86"/>
      <c r="W943" s="86"/>
      <c r="X943" s="86"/>
      <c r="Y943" s="86"/>
      <c r="Z943" s="86"/>
    </row>
    <row r="944" ht="15.75" customHeight="1">
      <c r="H944" s="86"/>
      <c r="I944" s="86"/>
      <c r="J944" s="86"/>
      <c r="K944" s="86"/>
      <c r="L944" s="86"/>
      <c r="M944" s="86"/>
      <c r="N944" s="86"/>
      <c r="O944" s="86"/>
      <c r="P944" s="86"/>
      <c r="Q944" s="86"/>
      <c r="R944" s="86"/>
      <c r="S944" s="86"/>
      <c r="T944" s="86"/>
      <c r="U944" s="86"/>
      <c r="V944" s="86"/>
      <c r="W944" s="86"/>
      <c r="X944" s="86"/>
      <c r="Y944" s="86"/>
      <c r="Z944" s="86"/>
    </row>
    <row r="945" ht="15.75" customHeight="1">
      <c r="H945" s="86"/>
      <c r="I945" s="86"/>
      <c r="J945" s="86"/>
      <c r="K945" s="86"/>
      <c r="L945" s="86"/>
      <c r="M945" s="86"/>
      <c r="N945" s="86"/>
      <c r="O945" s="86"/>
      <c r="P945" s="86"/>
      <c r="Q945" s="86"/>
      <c r="R945" s="86"/>
      <c r="S945" s="86"/>
      <c r="T945" s="86"/>
      <c r="U945" s="86"/>
      <c r="V945" s="86"/>
      <c r="W945" s="86"/>
      <c r="X945" s="86"/>
      <c r="Y945" s="86"/>
      <c r="Z945" s="86"/>
    </row>
    <row r="946" ht="15.75" customHeight="1">
      <c r="H946" s="86"/>
      <c r="I946" s="86"/>
      <c r="J946" s="86"/>
      <c r="K946" s="86"/>
      <c r="L946" s="86"/>
      <c r="M946" s="86"/>
      <c r="N946" s="86"/>
      <c r="O946" s="86"/>
      <c r="P946" s="86"/>
      <c r="Q946" s="86"/>
      <c r="R946" s="86"/>
      <c r="S946" s="86"/>
      <c r="T946" s="86"/>
      <c r="U946" s="86"/>
      <c r="V946" s="86"/>
      <c r="W946" s="86"/>
      <c r="X946" s="86"/>
      <c r="Y946" s="86"/>
      <c r="Z946" s="86"/>
    </row>
    <row r="947" ht="15.75" customHeight="1">
      <c r="H947" s="86"/>
      <c r="I947" s="86"/>
      <c r="J947" s="86"/>
      <c r="K947" s="86"/>
      <c r="L947" s="86"/>
      <c r="M947" s="86"/>
      <c r="N947" s="86"/>
      <c r="O947" s="86"/>
      <c r="P947" s="86"/>
      <c r="Q947" s="86"/>
      <c r="R947" s="86"/>
      <c r="S947" s="86"/>
      <c r="T947" s="86"/>
      <c r="U947" s="86"/>
      <c r="V947" s="86"/>
      <c r="W947" s="86"/>
      <c r="X947" s="86"/>
      <c r="Y947" s="86"/>
      <c r="Z947" s="86"/>
    </row>
    <row r="948" ht="15.75" customHeight="1">
      <c r="H948" s="86"/>
      <c r="I948" s="86"/>
      <c r="J948" s="86"/>
      <c r="K948" s="86"/>
      <c r="L948" s="86"/>
      <c r="M948" s="86"/>
      <c r="N948" s="86"/>
      <c r="O948" s="86"/>
      <c r="P948" s="86"/>
      <c r="Q948" s="86"/>
      <c r="R948" s="86"/>
      <c r="S948" s="86"/>
      <c r="T948" s="86"/>
      <c r="U948" s="86"/>
      <c r="V948" s="86"/>
      <c r="W948" s="86"/>
      <c r="X948" s="86"/>
      <c r="Y948" s="86"/>
      <c r="Z948" s="86"/>
    </row>
    <row r="949" ht="15.75" customHeight="1">
      <c r="H949" s="86"/>
      <c r="I949" s="86"/>
      <c r="J949" s="86"/>
      <c r="K949" s="86"/>
      <c r="L949" s="86"/>
      <c r="M949" s="86"/>
      <c r="N949" s="86"/>
      <c r="O949" s="86"/>
      <c r="P949" s="86"/>
      <c r="Q949" s="86"/>
      <c r="R949" s="86"/>
      <c r="S949" s="86"/>
      <c r="T949" s="86"/>
      <c r="U949" s="86"/>
      <c r="V949" s="86"/>
      <c r="W949" s="86"/>
      <c r="X949" s="86"/>
      <c r="Y949" s="86"/>
      <c r="Z949" s="86"/>
    </row>
    <row r="950" ht="15.75" customHeight="1">
      <c r="H950" s="86"/>
      <c r="I950" s="86"/>
      <c r="J950" s="86"/>
      <c r="K950" s="86"/>
      <c r="L950" s="86"/>
      <c r="M950" s="86"/>
      <c r="N950" s="86"/>
      <c r="O950" s="86"/>
      <c r="P950" s="86"/>
      <c r="Q950" s="86"/>
      <c r="R950" s="86"/>
      <c r="S950" s="86"/>
      <c r="T950" s="86"/>
      <c r="U950" s="86"/>
      <c r="V950" s="86"/>
      <c r="W950" s="86"/>
      <c r="X950" s="86"/>
      <c r="Y950" s="86"/>
      <c r="Z950" s="86"/>
    </row>
    <row r="951" ht="15.75" customHeight="1">
      <c r="H951" s="86"/>
      <c r="I951" s="86"/>
      <c r="J951" s="86"/>
      <c r="K951" s="86"/>
      <c r="L951" s="86"/>
      <c r="M951" s="86"/>
      <c r="N951" s="86"/>
      <c r="O951" s="86"/>
      <c r="P951" s="86"/>
      <c r="Q951" s="86"/>
      <c r="R951" s="86"/>
      <c r="S951" s="86"/>
      <c r="T951" s="86"/>
      <c r="U951" s="86"/>
      <c r="V951" s="86"/>
      <c r="W951" s="86"/>
      <c r="X951" s="86"/>
      <c r="Y951" s="86"/>
      <c r="Z951" s="86"/>
    </row>
    <row r="952" ht="15.75" customHeight="1">
      <c r="H952" s="86"/>
      <c r="I952" s="86"/>
      <c r="J952" s="86"/>
      <c r="K952" s="86"/>
      <c r="L952" s="86"/>
      <c r="M952" s="86"/>
      <c r="N952" s="86"/>
      <c r="O952" s="86"/>
      <c r="P952" s="86"/>
      <c r="Q952" s="86"/>
      <c r="R952" s="86"/>
      <c r="S952" s="86"/>
      <c r="T952" s="86"/>
      <c r="U952" s="86"/>
      <c r="V952" s="86"/>
      <c r="W952" s="86"/>
      <c r="X952" s="86"/>
      <c r="Y952" s="86"/>
      <c r="Z952" s="86"/>
    </row>
    <row r="953" ht="15.75" customHeight="1">
      <c r="H953" s="86"/>
      <c r="I953" s="86"/>
      <c r="J953" s="86"/>
      <c r="K953" s="86"/>
      <c r="L953" s="86"/>
      <c r="M953" s="86"/>
      <c r="N953" s="86"/>
      <c r="O953" s="86"/>
      <c r="P953" s="86"/>
      <c r="Q953" s="86"/>
      <c r="R953" s="86"/>
      <c r="S953" s="86"/>
      <c r="T953" s="86"/>
      <c r="U953" s="86"/>
      <c r="V953" s="86"/>
      <c r="W953" s="86"/>
      <c r="X953" s="86"/>
      <c r="Y953" s="86"/>
      <c r="Z953" s="86"/>
    </row>
    <row r="954" ht="15.75" customHeight="1">
      <c r="H954" s="86"/>
      <c r="I954" s="86"/>
      <c r="J954" s="86"/>
      <c r="K954" s="86"/>
      <c r="L954" s="86"/>
      <c r="M954" s="86"/>
      <c r="N954" s="86"/>
      <c r="O954" s="86"/>
      <c r="P954" s="86"/>
      <c r="Q954" s="86"/>
      <c r="R954" s="86"/>
      <c r="S954" s="86"/>
      <c r="T954" s="86"/>
      <c r="U954" s="86"/>
      <c r="V954" s="86"/>
      <c r="W954" s="86"/>
      <c r="X954" s="86"/>
      <c r="Y954" s="86"/>
      <c r="Z954" s="86"/>
    </row>
    <row r="955" ht="15.75" customHeight="1">
      <c r="H955" s="86"/>
      <c r="I955" s="86"/>
      <c r="J955" s="86"/>
      <c r="K955" s="86"/>
      <c r="L955" s="86"/>
      <c r="M955" s="86"/>
      <c r="N955" s="86"/>
      <c r="O955" s="86"/>
      <c r="P955" s="86"/>
      <c r="Q955" s="86"/>
      <c r="R955" s="86"/>
      <c r="S955" s="86"/>
      <c r="T955" s="86"/>
      <c r="U955" s="86"/>
      <c r="V955" s="86"/>
      <c r="W955" s="86"/>
      <c r="X955" s="86"/>
      <c r="Y955" s="86"/>
      <c r="Z955" s="86"/>
    </row>
    <row r="956" ht="15.75" customHeight="1">
      <c r="H956" s="86"/>
      <c r="I956" s="86"/>
      <c r="J956" s="86"/>
      <c r="K956" s="86"/>
      <c r="L956" s="86"/>
      <c r="M956" s="86"/>
      <c r="N956" s="86"/>
      <c r="O956" s="86"/>
      <c r="P956" s="86"/>
      <c r="Q956" s="86"/>
      <c r="R956" s="86"/>
      <c r="S956" s="86"/>
      <c r="T956" s="86"/>
      <c r="U956" s="86"/>
      <c r="V956" s="86"/>
      <c r="W956" s="86"/>
      <c r="X956" s="86"/>
      <c r="Y956" s="86"/>
      <c r="Z956" s="86"/>
    </row>
    <row r="957" ht="15.75" customHeight="1">
      <c r="H957" s="86"/>
      <c r="I957" s="86"/>
      <c r="J957" s="86"/>
      <c r="K957" s="86"/>
      <c r="L957" s="86"/>
      <c r="M957" s="86"/>
      <c r="N957" s="86"/>
      <c r="O957" s="86"/>
      <c r="P957" s="86"/>
      <c r="Q957" s="86"/>
      <c r="R957" s="86"/>
      <c r="S957" s="86"/>
      <c r="T957" s="86"/>
      <c r="U957" s="86"/>
      <c r="V957" s="86"/>
      <c r="W957" s="86"/>
      <c r="X957" s="86"/>
      <c r="Y957" s="86"/>
      <c r="Z957" s="86"/>
    </row>
    <row r="958" ht="15.75" customHeight="1">
      <c r="H958" s="86"/>
      <c r="I958" s="86"/>
      <c r="J958" s="86"/>
      <c r="K958" s="86"/>
      <c r="L958" s="86"/>
      <c r="M958" s="86"/>
      <c r="N958" s="86"/>
      <c r="O958" s="86"/>
      <c r="P958" s="86"/>
      <c r="Q958" s="86"/>
      <c r="R958" s="86"/>
      <c r="S958" s="86"/>
      <c r="T958" s="86"/>
      <c r="U958" s="86"/>
      <c r="V958" s="86"/>
      <c r="W958" s="86"/>
      <c r="X958" s="86"/>
      <c r="Y958" s="86"/>
      <c r="Z958" s="86"/>
    </row>
    <row r="959" ht="15.75" customHeight="1">
      <c r="H959" s="86"/>
      <c r="I959" s="86"/>
      <c r="J959" s="86"/>
      <c r="K959" s="86"/>
      <c r="L959" s="86"/>
      <c r="M959" s="86"/>
      <c r="N959" s="86"/>
      <c r="O959" s="86"/>
      <c r="P959" s="86"/>
      <c r="Q959" s="86"/>
      <c r="R959" s="86"/>
      <c r="S959" s="86"/>
      <c r="T959" s="86"/>
      <c r="U959" s="86"/>
      <c r="V959" s="86"/>
      <c r="W959" s="86"/>
      <c r="X959" s="86"/>
      <c r="Y959" s="86"/>
      <c r="Z959" s="86"/>
    </row>
    <row r="960" ht="15.75" customHeight="1">
      <c r="H960" s="86"/>
      <c r="I960" s="86"/>
      <c r="J960" s="86"/>
      <c r="K960" s="86"/>
      <c r="L960" s="86"/>
      <c r="M960" s="86"/>
      <c r="N960" s="86"/>
      <c r="O960" s="86"/>
      <c r="P960" s="86"/>
      <c r="Q960" s="86"/>
      <c r="R960" s="86"/>
      <c r="S960" s="86"/>
      <c r="T960" s="86"/>
      <c r="U960" s="86"/>
      <c r="V960" s="86"/>
      <c r="W960" s="86"/>
      <c r="X960" s="86"/>
      <c r="Y960" s="86"/>
      <c r="Z960" s="86"/>
    </row>
    <row r="961" ht="15.75" customHeight="1">
      <c r="H961" s="86"/>
      <c r="I961" s="86"/>
      <c r="J961" s="86"/>
      <c r="K961" s="86"/>
      <c r="L961" s="86"/>
      <c r="M961" s="86"/>
      <c r="N961" s="86"/>
      <c r="O961" s="86"/>
      <c r="P961" s="86"/>
      <c r="Q961" s="86"/>
      <c r="R961" s="86"/>
      <c r="S961" s="86"/>
      <c r="T961" s="86"/>
      <c r="U961" s="86"/>
      <c r="V961" s="86"/>
      <c r="W961" s="86"/>
      <c r="X961" s="86"/>
      <c r="Y961" s="86"/>
      <c r="Z961" s="86"/>
    </row>
    <row r="962" ht="15.75" customHeight="1">
      <c r="H962" s="86"/>
      <c r="I962" s="86"/>
      <c r="J962" s="86"/>
      <c r="K962" s="86"/>
      <c r="L962" s="86"/>
      <c r="M962" s="86"/>
      <c r="N962" s="86"/>
      <c r="O962" s="86"/>
      <c r="P962" s="86"/>
      <c r="Q962" s="86"/>
      <c r="R962" s="86"/>
      <c r="S962" s="86"/>
      <c r="T962" s="86"/>
      <c r="U962" s="86"/>
      <c r="V962" s="86"/>
      <c r="W962" s="86"/>
      <c r="X962" s="86"/>
      <c r="Y962" s="86"/>
      <c r="Z962" s="86"/>
    </row>
    <row r="963" ht="15.75" customHeight="1">
      <c r="H963" s="86"/>
      <c r="I963" s="86"/>
      <c r="J963" s="86"/>
      <c r="K963" s="86"/>
      <c r="L963" s="86"/>
      <c r="M963" s="86"/>
      <c r="N963" s="86"/>
      <c r="O963" s="86"/>
      <c r="P963" s="86"/>
      <c r="Q963" s="86"/>
      <c r="R963" s="86"/>
      <c r="S963" s="86"/>
      <c r="T963" s="86"/>
      <c r="U963" s="86"/>
      <c r="V963" s="86"/>
      <c r="W963" s="86"/>
      <c r="X963" s="86"/>
      <c r="Y963" s="86"/>
      <c r="Z963" s="86"/>
    </row>
    <row r="964" ht="15.75" customHeight="1">
      <c r="H964" s="86"/>
      <c r="I964" s="86"/>
      <c r="J964" s="86"/>
      <c r="K964" s="86"/>
      <c r="L964" s="86"/>
      <c r="M964" s="86"/>
      <c r="N964" s="86"/>
      <c r="O964" s="86"/>
      <c r="P964" s="86"/>
      <c r="Q964" s="86"/>
      <c r="R964" s="86"/>
      <c r="S964" s="86"/>
      <c r="T964" s="86"/>
      <c r="U964" s="86"/>
      <c r="V964" s="86"/>
      <c r="W964" s="86"/>
      <c r="X964" s="86"/>
      <c r="Y964" s="86"/>
      <c r="Z964" s="86"/>
    </row>
    <row r="965" ht="15.75" customHeight="1">
      <c r="H965" s="86"/>
      <c r="I965" s="86"/>
      <c r="J965" s="86"/>
      <c r="K965" s="86"/>
      <c r="L965" s="86"/>
      <c r="M965" s="86"/>
      <c r="N965" s="86"/>
      <c r="O965" s="86"/>
      <c r="P965" s="86"/>
      <c r="Q965" s="86"/>
      <c r="R965" s="86"/>
      <c r="S965" s="86"/>
      <c r="T965" s="86"/>
      <c r="U965" s="86"/>
      <c r="V965" s="86"/>
      <c r="W965" s="86"/>
      <c r="X965" s="86"/>
      <c r="Y965" s="86"/>
      <c r="Z965" s="86"/>
    </row>
    <row r="966" ht="15.75" customHeight="1">
      <c r="H966" s="86"/>
      <c r="I966" s="86"/>
      <c r="J966" s="86"/>
      <c r="K966" s="86"/>
      <c r="L966" s="86"/>
      <c r="M966" s="86"/>
      <c r="N966" s="86"/>
      <c r="O966" s="86"/>
      <c r="P966" s="86"/>
      <c r="Q966" s="86"/>
      <c r="R966" s="86"/>
      <c r="S966" s="86"/>
      <c r="T966" s="86"/>
      <c r="U966" s="86"/>
      <c r="V966" s="86"/>
      <c r="W966" s="86"/>
      <c r="X966" s="86"/>
      <c r="Y966" s="86"/>
      <c r="Z966" s="86"/>
    </row>
    <row r="967" ht="15.75" customHeight="1">
      <c r="H967" s="86"/>
      <c r="I967" s="86"/>
      <c r="J967" s="86"/>
      <c r="K967" s="86"/>
      <c r="L967" s="86"/>
      <c r="M967" s="86"/>
      <c r="N967" s="86"/>
      <c r="O967" s="86"/>
      <c r="P967" s="86"/>
      <c r="Q967" s="86"/>
      <c r="R967" s="86"/>
      <c r="S967" s="86"/>
      <c r="T967" s="86"/>
      <c r="U967" s="86"/>
      <c r="V967" s="86"/>
      <c r="W967" s="86"/>
      <c r="X967" s="86"/>
      <c r="Y967" s="86"/>
      <c r="Z967" s="86"/>
    </row>
    <row r="968" ht="15.75" customHeight="1">
      <c r="H968" s="86"/>
      <c r="I968" s="86"/>
      <c r="J968" s="86"/>
      <c r="K968" s="86"/>
      <c r="L968" s="86"/>
      <c r="M968" s="86"/>
      <c r="N968" s="86"/>
      <c r="O968" s="86"/>
      <c r="P968" s="86"/>
      <c r="Q968" s="86"/>
      <c r="R968" s="86"/>
      <c r="S968" s="86"/>
      <c r="T968" s="86"/>
      <c r="U968" s="86"/>
      <c r="V968" s="86"/>
      <c r="W968" s="86"/>
      <c r="X968" s="86"/>
      <c r="Y968" s="86"/>
      <c r="Z968" s="86"/>
    </row>
    <row r="969" ht="15.75" customHeight="1">
      <c r="H969" s="86"/>
      <c r="I969" s="86"/>
      <c r="J969" s="86"/>
      <c r="K969" s="86"/>
      <c r="L969" s="86"/>
      <c r="M969" s="86"/>
      <c r="N969" s="86"/>
      <c r="O969" s="86"/>
      <c r="P969" s="86"/>
      <c r="Q969" s="86"/>
      <c r="R969" s="86"/>
      <c r="S969" s="86"/>
      <c r="T969" s="86"/>
      <c r="U969" s="86"/>
      <c r="V969" s="86"/>
      <c r="W969" s="86"/>
      <c r="X969" s="86"/>
      <c r="Y969" s="86"/>
      <c r="Z969" s="86"/>
    </row>
    <row r="970" ht="15.75" customHeight="1">
      <c r="H970" s="86"/>
      <c r="I970" s="86"/>
      <c r="J970" s="86"/>
      <c r="K970" s="86"/>
      <c r="L970" s="86"/>
      <c r="M970" s="86"/>
      <c r="N970" s="86"/>
      <c r="O970" s="86"/>
      <c r="P970" s="86"/>
      <c r="Q970" s="86"/>
      <c r="R970" s="86"/>
      <c r="S970" s="86"/>
      <c r="T970" s="86"/>
      <c r="U970" s="86"/>
      <c r="V970" s="86"/>
      <c r="W970" s="86"/>
      <c r="X970" s="86"/>
      <c r="Y970" s="86"/>
      <c r="Z970" s="86"/>
    </row>
    <row r="971" ht="15.75" customHeight="1">
      <c r="H971" s="86"/>
      <c r="I971" s="86"/>
      <c r="J971" s="86"/>
      <c r="K971" s="86"/>
      <c r="L971" s="86"/>
      <c r="M971" s="86"/>
      <c r="N971" s="86"/>
      <c r="O971" s="86"/>
      <c r="P971" s="86"/>
      <c r="Q971" s="86"/>
      <c r="R971" s="86"/>
      <c r="S971" s="86"/>
      <c r="T971" s="86"/>
      <c r="U971" s="86"/>
      <c r="V971" s="86"/>
      <c r="W971" s="86"/>
      <c r="X971" s="86"/>
      <c r="Y971" s="86"/>
      <c r="Z971" s="86"/>
    </row>
    <row r="972" ht="15.75" customHeight="1">
      <c r="H972" s="86"/>
      <c r="I972" s="86"/>
      <c r="J972" s="86"/>
      <c r="K972" s="86"/>
      <c r="L972" s="86"/>
      <c r="M972" s="86"/>
      <c r="N972" s="86"/>
      <c r="O972" s="86"/>
      <c r="P972" s="86"/>
      <c r="Q972" s="86"/>
      <c r="R972" s="86"/>
      <c r="S972" s="86"/>
      <c r="T972" s="86"/>
      <c r="U972" s="86"/>
      <c r="V972" s="86"/>
      <c r="W972" s="86"/>
      <c r="X972" s="86"/>
      <c r="Y972" s="86"/>
      <c r="Z972" s="86"/>
    </row>
    <row r="973" ht="15.75" customHeight="1">
      <c r="H973" s="86"/>
      <c r="I973" s="86"/>
      <c r="J973" s="86"/>
      <c r="K973" s="86"/>
      <c r="L973" s="86"/>
      <c r="M973" s="86"/>
      <c r="N973" s="86"/>
      <c r="O973" s="86"/>
      <c r="P973" s="86"/>
      <c r="Q973" s="86"/>
      <c r="R973" s="86"/>
      <c r="S973" s="86"/>
      <c r="T973" s="86"/>
      <c r="U973" s="86"/>
      <c r="V973" s="86"/>
      <c r="W973" s="86"/>
      <c r="X973" s="86"/>
      <c r="Y973" s="86"/>
      <c r="Z973" s="86"/>
    </row>
    <row r="974" ht="15.75" customHeight="1">
      <c r="H974" s="86"/>
      <c r="I974" s="86"/>
      <c r="J974" s="86"/>
      <c r="K974" s="86"/>
      <c r="L974" s="86"/>
      <c r="M974" s="86"/>
      <c r="N974" s="86"/>
      <c r="O974" s="86"/>
      <c r="P974" s="86"/>
      <c r="Q974" s="86"/>
      <c r="R974" s="86"/>
      <c r="S974" s="86"/>
      <c r="T974" s="86"/>
      <c r="U974" s="86"/>
      <c r="V974" s="86"/>
      <c r="W974" s="86"/>
      <c r="X974" s="86"/>
      <c r="Y974" s="86"/>
      <c r="Z974" s="86"/>
    </row>
    <row r="975" ht="15.75" customHeight="1">
      <c r="H975" s="86"/>
      <c r="I975" s="86"/>
      <c r="J975" s="86"/>
      <c r="K975" s="86"/>
      <c r="L975" s="86"/>
      <c r="M975" s="86"/>
      <c r="N975" s="86"/>
      <c r="O975" s="86"/>
      <c r="P975" s="86"/>
      <c r="Q975" s="86"/>
      <c r="R975" s="86"/>
      <c r="S975" s="86"/>
      <c r="T975" s="86"/>
      <c r="U975" s="86"/>
      <c r="V975" s="86"/>
      <c r="W975" s="86"/>
      <c r="X975" s="86"/>
      <c r="Y975" s="86"/>
      <c r="Z975" s="86"/>
    </row>
    <row r="976" ht="15.75" customHeight="1">
      <c r="H976" s="86"/>
      <c r="I976" s="86"/>
      <c r="J976" s="86"/>
      <c r="K976" s="86"/>
      <c r="L976" s="86"/>
      <c r="M976" s="86"/>
      <c r="N976" s="86"/>
      <c r="O976" s="86"/>
      <c r="P976" s="86"/>
      <c r="Q976" s="86"/>
      <c r="R976" s="86"/>
      <c r="S976" s="86"/>
      <c r="T976" s="86"/>
      <c r="U976" s="86"/>
      <c r="V976" s="86"/>
      <c r="W976" s="86"/>
      <c r="X976" s="86"/>
      <c r="Y976" s="86"/>
      <c r="Z976" s="86"/>
    </row>
    <row r="977" ht="15.75" customHeight="1">
      <c r="H977" s="86"/>
      <c r="I977" s="86"/>
      <c r="J977" s="86"/>
      <c r="K977" s="86"/>
      <c r="L977" s="86"/>
      <c r="M977" s="86"/>
      <c r="N977" s="86"/>
      <c r="O977" s="86"/>
      <c r="P977" s="86"/>
      <c r="Q977" s="86"/>
      <c r="R977" s="86"/>
      <c r="S977" s="86"/>
      <c r="T977" s="86"/>
      <c r="U977" s="86"/>
      <c r="V977" s="86"/>
      <c r="W977" s="86"/>
      <c r="X977" s="86"/>
      <c r="Y977" s="86"/>
      <c r="Z977" s="86"/>
    </row>
    <row r="978" ht="15.75" customHeight="1">
      <c r="H978" s="86"/>
      <c r="I978" s="86"/>
      <c r="J978" s="86"/>
      <c r="K978" s="86"/>
      <c r="L978" s="86"/>
      <c r="M978" s="86"/>
      <c r="N978" s="86"/>
      <c r="O978" s="86"/>
      <c r="P978" s="86"/>
      <c r="Q978" s="86"/>
      <c r="R978" s="86"/>
      <c r="S978" s="86"/>
      <c r="T978" s="86"/>
      <c r="U978" s="86"/>
      <c r="V978" s="86"/>
      <c r="W978" s="86"/>
      <c r="X978" s="86"/>
      <c r="Y978" s="86"/>
      <c r="Z978" s="86"/>
    </row>
    <row r="979" ht="15.75" customHeight="1">
      <c r="H979" s="86"/>
      <c r="I979" s="86"/>
      <c r="J979" s="86"/>
      <c r="K979" s="86"/>
      <c r="L979" s="86"/>
      <c r="M979" s="86"/>
      <c r="N979" s="86"/>
      <c r="O979" s="86"/>
      <c r="P979" s="86"/>
      <c r="Q979" s="86"/>
      <c r="R979" s="86"/>
      <c r="S979" s="86"/>
      <c r="T979" s="86"/>
      <c r="U979" s="86"/>
      <c r="V979" s="86"/>
      <c r="W979" s="86"/>
      <c r="X979" s="86"/>
      <c r="Y979" s="86"/>
      <c r="Z979" s="86"/>
    </row>
    <row r="980" ht="15.75" customHeight="1">
      <c r="H980" s="86"/>
      <c r="I980" s="86"/>
      <c r="J980" s="86"/>
      <c r="K980" s="86"/>
      <c r="L980" s="86"/>
      <c r="M980" s="86"/>
      <c r="N980" s="86"/>
      <c r="O980" s="86"/>
      <c r="P980" s="86"/>
      <c r="Q980" s="86"/>
      <c r="R980" s="86"/>
      <c r="S980" s="86"/>
      <c r="T980" s="86"/>
      <c r="U980" s="86"/>
      <c r="V980" s="86"/>
      <c r="W980" s="86"/>
      <c r="X980" s="86"/>
      <c r="Y980" s="86"/>
      <c r="Z980" s="86"/>
    </row>
    <row r="981" ht="15.75" customHeight="1">
      <c r="H981" s="86"/>
      <c r="I981" s="86"/>
      <c r="J981" s="86"/>
      <c r="K981" s="86"/>
      <c r="L981" s="86"/>
      <c r="M981" s="86"/>
      <c r="N981" s="86"/>
      <c r="O981" s="86"/>
      <c r="P981" s="86"/>
      <c r="Q981" s="86"/>
      <c r="R981" s="86"/>
      <c r="S981" s="86"/>
      <c r="T981" s="86"/>
      <c r="U981" s="86"/>
      <c r="V981" s="86"/>
      <c r="W981" s="86"/>
      <c r="X981" s="86"/>
      <c r="Y981" s="86"/>
      <c r="Z981" s="86"/>
    </row>
    <row r="982" ht="15.75" customHeight="1">
      <c r="H982" s="86"/>
      <c r="I982" s="86"/>
      <c r="J982" s="86"/>
      <c r="K982" s="86"/>
      <c r="L982" s="86"/>
      <c r="M982" s="86"/>
      <c r="N982" s="86"/>
      <c r="O982" s="86"/>
      <c r="P982" s="86"/>
      <c r="Q982" s="86"/>
      <c r="R982" s="86"/>
      <c r="S982" s="86"/>
      <c r="T982" s="86"/>
      <c r="U982" s="86"/>
      <c r="V982" s="86"/>
      <c r="W982" s="86"/>
      <c r="X982" s="86"/>
      <c r="Y982" s="86"/>
      <c r="Z982" s="86"/>
    </row>
    <row r="983" ht="15.75" customHeight="1">
      <c r="H983" s="86"/>
      <c r="I983" s="86"/>
      <c r="J983" s="86"/>
      <c r="K983" s="86"/>
      <c r="L983" s="86"/>
      <c r="M983" s="86"/>
      <c r="N983" s="86"/>
      <c r="O983" s="86"/>
      <c r="P983" s="86"/>
      <c r="Q983" s="86"/>
      <c r="R983" s="86"/>
      <c r="S983" s="86"/>
      <c r="T983" s="86"/>
      <c r="U983" s="86"/>
      <c r="V983" s="86"/>
      <c r="W983" s="86"/>
      <c r="X983" s="86"/>
      <c r="Y983" s="86"/>
      <c r="Z983" s="86"/>
    </row>
    <row r="984" ht="15.75" customHeight="1">
      <c r="H984" s="86"/>
      <c r="I984" s="86"/>
      <c r="J984" s="86"/>
      <c r="K984" s="86"/>
      <c r="L984" s="86"/>
      <c r="M984" s="86"/>
      <c r="N984" s="86"/>
      <c r="O984" s="86"/>
      <c r="P984" s="86"/>
      <c r="Q984" s="86"/>
      <c r="R984" s="86"/>
      <c r="S984" s="86"/>
      <c r="T984" s="86"/>
      <c r="U984" s="86"/>
      <c r="V984" s="86"/>
      <c r="W984" s="86"/>
      <c r="X984" s="86"/>
      <c r="Y984" s="86"/>
      <c r="Z984" s="86"/>
    </row>
    <row r="985" ht="15.75" customHeight="1">
      <c r="H985" s="86"/>
      <c r="I985" s="86"/>
      <c r="J985" s="86"/>
      <c r="K985" s="86"/>
      <c r="L985" s="86"/>
      <c r="M985" s="86"/>
      <c r="N985" s="86"/>
      <c r="O985" s="86"/>
      <c r="P985" s="86"/>
      <c r="Q985" s="86"/>
      <c r="R985" s="86"/>
      <c r="S985" s="86"/>
      <c r="T985" s="86"/>
      <c r="U985" s="86"/>
      <c r="V985" s="86"/>
      <c r="W985" s="86"/>
      <c r="X985" s="86"/>
      <c r="Y985" s="86"/>
      <c r="Z985" s="86"/>
    </row>
    <row r="986" ht="15.75" customHeight="1">
      <c r="H986" s="86"/>
      <c r="I986" s="86"/>
      <c r="J986" s="86"/>
      <c r="K986" s="86"/>
      <c r="L986" s="86"/>
      <c r="M986" s="86"/>
      <c r="N986" s="86"/>
      <c r="O986" s="86"/>
      <c r="P986" s="86"/>
      <c r="Q986" s="86"/>
      <c r="R986" s="86"/>
      <c r="S986" s="86"/>
      <c r="T986" s="86"/>
      <c r="U986" s="86"/>
      <c r="V986" s="86"/>
      <c r="W986" s="86"/>
      <c r="X986" s="86"/>
      <c r="Y986" s="86"/>
      <c r="Z986" s="86"/>
    </row>
    <row r="987" ht="15.75" customHeight="1">
      <c r="H987" s="86"/>
      <c r="I987" s="86"/>
      <c r="J987" s="86"/>
      <c r="K987" s="86"/>
      <c r="L987" s="86"/>
      <c r="M987" s="86"/>
      <c r="N987" s="86"/>
      <c r="O987" s="86"/>
      <c r="P987" s="86"/>
      <c r="Q987" s="86"/>
      <c r="R987" s="86"/>
      <c r="S987" s="86"/>
      <c r="T987" s="86"/>
      <c r="U987" s="86"/>
      <c r="V987" s="86"/>
      <c r="W987" s="86"/>
      <c r="X987" s="86"/>
      <c r="Y987" s="86"/>
      <c r="Z987" s="86"/>
    </row>
    <row r="988" ht="15.75" customHeight="1">
      <c r="H988" s="86"/>
      <c r="I988" s="86"/>
      <c r="J988" s="86"/>
      <c r="K988" s="86"/>
      <c r="L988" s="86"/>
      <c r="M988" s="86"/>
      <c r="N988" s="86"/>
      <c r="O988" s="86"/>
      <c r="P988" s="86"/>
      <c r="Q988" s="86"/>
      <c r="R988" s="86"/>
      <c r="S988" s="86"/>
      <c r="T988" s="86"/>
      <c r="U988" s="86"/>
      <c r="V988" s="86"/>
      <c r="W988" s="86"/>
      <c r="X988" s="86"/>
      <c r="Y988" s="86"/>
      <c r="Z988" s="86"/>
    </row>
    <row r="989" ht="15.75" customHeight="1">
      <c r="H989" s="86"/>
      <c r="I989" s="86"/>
      <c r="J989" s="86"/>
      <c r="K989" s="86"/>
      <c r="L989" s="86"/>
      <c r="M989" s="86"/>
      <c r="N989" s="86"/>
      <c r="O989" s="86"/>
      <c r="P989" s="86"/>
      <c r="Q989" s="86"/>
      <c r="R989" s="86"/>
      <c r="S989" s="86"/>
      <c r="T989" s="86"/>
      <c r="U989" s="86"/>
      <c r="V989" s="86"/>
      <c r="W989" s="86"/>
      <c r="X989" s="86"/>
      <c r="Y989" s="86"/>
      <c r="Z989" s="86"/>
    </row>
    <row r="990" ht="15.75" customHeight="1">
      <c r="H990" s="86"/>
      <c r="I990" s="86"/>
      <c r="J990" s="86"/>
      <c r="K990" s="86"/>
      <c r="L990" s="86"/>
      <c r="M990" s="86"/>
      <c r="N990" s="86"/>
      <c r="O990" s="86"/>
      <c r="P990" s="86"/>
      <c r="Q990" s="86"/>
      <c r="R990" s="86"/>
      <c r="S990" s="86"/>
      <c r="T990" s="86"/>
      <c r="U990" s="86"/>
      <c r="V990" s="86"/>
      <c r="W990" s="86"/>
      <c r="X990" s="86"/>
      <c r="Y990" s="86"/>
      <c r="Z990" s="86"/>
    </row>
    <row r="991" ht="15.75" customHeight="1">
      <c r="H991" s="86"/>
      <c r="I991" s="86"/>
      <c r="J991" s="86"/>
      <c r="K991" s="86"/>
      <c r="L991" s="86"/>
      <c r="M991" s="86"/>
      <c r="N991" s="86"/>
      <c r="O991" s="86"/>
      <c r="P991" s="86"/>
      <c r="Q991" s="86"/>
      <c r="R991" s="86"/>
      <c r="S991" s="86"/>
      <c r="T991" s="86"/>
      <c r="U991" s="86"/>
      <c r="V991" s="86"/>
      <c r="W991" s="86"/>
      <c r="X991" s="86"/>
      <c r="Y991" s="86"/>
      <c r="Z991" s="86"/>
    </row>
    <row r="992" ht="15.75" customHeight="1">
      <c r="H992" s="86"/>
      <c r="I992" s="86"/>
      <c r="J992" s="86"/>
      <c r="K992" s="86"/>
      <c r="L992" s="86"/>
      <c r="M992" s="86"/>
      <c r="N992" s="86"/>
      <c r="O992" s="86"/>
      <c r="P992" s="86"/>
      <c r="Q992" s="86"/>
      <c r="R992" s="86"/>
      <c r="S992" s="86"/>
      <c r="T992" s="86"/>
      <c r="U992" s="86"/>
      <c r="V992" s="86"/>
      <c r="W992" s="86"/>
      <c r="X992" s="86"/>
      <c r="Y992" s="86"/>
      <c r="Z992" s="86"/>
    </row>
    <row r="993" ht="15.75" customHeight="1">
      <c r="H993" s="86"/>
      <c r="I993" s="86"/>
      <c r="J993" s="86"/>
      <c r="K993" s="86"/>
      <c r="L993" s="86"/>
      <c r="M993" s="86"/>
      <c r="N993" s="86"/>
      <c r="O993" s="86"/>
      <c r="P993" s="86"/>
      <c r="Q993" s="86"/>
      <c r="R993" s="86"/>
      <c r="S993" s="86"/>
      <c r="T993" s="86"/>
      <c r="U993" s="86"/>
      <c r="V993" s="86"/>
      <c r="W993" s="86"/>
      <c r="X993" s="86"/>
      <c r="Y993" s="86"/>
      <c r="Z993" s="86"/>
    </row>
    <row r="994" ht="15.75" customHeight="1">
      <c r="H994" s="86"/>
      <c r="I994" s="86"/>
      <c r="J994" s="86"/>
      <c r="K994" s="86"/>
      <c r="L994" s="86"/>
      <c r="M994" s="86"/>
      <c r="N994" s="86"/>
      <c r="O994" s="86"/>
      <c r="P994" s="86"/>
      <c r="Q994" s="86"/>
      <c r="R994" s="86"/>
      <c r="S994" s="86"/>
      <c r="T994" s="86"/>
      <c r="U994" s="86"/>
      <c r="V994" s="86"/>
      <c r="W994" s="86"/>
      <c r="X994" s="86"/>
      <c r="Y994" s="86"/>
      <c r="Z994" s="86"/>
    </row>
    <row r="995" ht="15.75" customHeight="1">
      <c r="H995" s="86"/>
      <c r="I995" s="86"/>
      <c r="J995" s="86"/>
      <c r="K995" s="86"/>
      <c r="L995" s="86"/>
      <c r="M995" s="86"/>
      <c r="N995" s="86"/>
      <c r="O995" s="86"/>
      <c r="P995" s="86"/>
      <c r="Q995" s="86"/>
      <c r="R995" s="86"/>
      <c r="S995" s="86"/>
      <c r="T995" s="86"/>
      <c r="U995" s="86"/>
      <c r="V995" s="86"/>
      <c r="W995" s="86"/>
      <c r="X995" s="86"/>
      <c r="Y995" s="86"/>
      <c r="Z995" s="86"/>
    </row>
    <row r="996" ht="15.75" customHeight="1">
      <c r="H996" s="86"/>
      <c r="I996" s="86"/>
      <c r="J996" s="86"/>
      <c r="K996" s="86"/>
      <c r="L996" s="86"/>
      <c r="M996" s="86"/>
      <c r="N996" s="86"/>
      <c r="O996" s="86"/>
      <c r="P996" s="86"/>
      <c r="Q996" s="86"/>
      <c r="R996" s="86"/>
      <c r="S996" s="86"/>
      <c r="T996" s="86"/>
      <c r="U996" s="86"/>
      <c r="V996" s="86"/>
      <c r="W996" s="86"/>
      <c r="X996" s="86"/>
      <c r="Y996" s="86"/>
      <c r="Z996" s="86"/>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7.13"/>
    <col customWidth="1" min="8" max="8" width="18.75"/>
  </cols>
  <sheetData>
    <row r="1">
      <c r="A1" s="81" t="s">
        <v>4069</v>
      </c>
      <c r="B1" s="81" t="s">
        <v>4070</v>
      </c>
      <c r="C1" s="81" t="s">
        <v>4071</v>
      </c>
      <c r="D1" s="81" t="s">
        <v>5</v>
      </c>
      <c r="E1" s="81" t="s">
        <v>0</v>
      </c>
      <c r="F1" s="81" t="s">
        <v>4072</v>
      </c>
      <c r="G1" s="81" t="s">
        <v>4073</v>
      </c>
      <c r="H1" s="81" t="s">
        <v>4074</v>
      </c>
      <c r="I1" s="81" t="s">
        <v>4075</v>
      </c>
      <c r="J1" s="81" t="s">
        <v>4076</v>
      </c>
    </row>
    <row r="2" hidden="1">
      <c r="A2" s="83" t="s">
        <v>4949</v>
      </c>
      <c r="B2" s="83" t="s">
        <v>4950</v>
      </c>
      <c r="C2" s="81" t="s">
        <v>4080</v>
      </c>
      <c r="D2" s="81" t="s">
        <v>224</v>
      </c>
      <c r="E2" s="81" t="s">
        <v>224</v>
      </c>
      <c r="F2" s="81" t="s">
        <v>224</v>
      </c>
      <c r="G2" s="81" t="s">
        <v>224</v>
      </c>
      <c r="H2" s="81" t="s">
        <v>224</v>
      </c>
      <c r="I2" s="81" t="s">
        <v>224</v>
      </c>
      <c r="J2" s="81" t="s">
        <v>4951</v>
      </c>
    </row>
    <row r="3" hidden="1">
      <c r="A3" s="83" t="s">
        <v>4949</v>
      </c>
      <c r="B3" s="83" t="s">
        <v>4950</v>
      </c>
      <c r="C3" s="81" t="s">
        <v>4084</v>
      </c>
      <c r="D3" s="81" t="s">
        <v>224</v>
      </c>
      <c r="E3" s="81" t="s">
        <v>224</v>
      </c>
      <c r="F3" s="81" t="s">
        <v>224</v>
      </c>
      <c r="G3" s="81" t="s">
        <v>224</v>
      </c>
      <c r="H3" s="81" t="s">
        <v>224</v>
      </c>
      <c r="I3" s="81" t="s">
        <v>224</v>
      </c>
      <c r="J3" s="81" t="s">
        <v>4952</v>
      </c>
    </row>
    <row r="4" hidden="1">
      <c r="A4" s="83" t="s">
        <v>4949</v>
      </c>
      <c r="B4" s="83" t="s">
        <v>4950</v>
      </c>
      <c r="C4" s="81" t="s">
        <v>4082</v>
      </c>
      <c r="D4" s="81" t="s">
        <v>224</v>
      </c>
      <c r="E4" s="81" t="s">
        <v>4953</v>
      </c>
      <c r="F4" s="81" t="s">
        <v>224</v>
      </c>
      <c r="G4" s="81" t="s">
        <v>224</v>
      </c>
      <c r="H4" s="81" t="s">
        <v>224</v>
      </c>
      <c r="I4" s="81" t="s">
        <v>224</v>
      </c>
      <c r="J4" s="81" t="s">
        <v>4954</v>
      </c>
    </row>
    <row r="5" hidden="1">
      <c r="A5" s="83" t="s">
        <v>4949</v>
      </c>
      <c r="B5" s="83" t="s">
        <v>4950</v>
      </c>
      <c r="C5" s="81" t="s">
        <v>4082</v>
      </c>
      <c r="D5" s="81" t="s">
        <v>224</v>
      </c>
      <c r="E5" s="81" t="s">
        <v>4955</v>
      </c>
      <c r="F5" s="81" t="s">
        <v>224</v>
      </c>
      <c r="G5" s="81" t="s">
        <v>224</v>
      </c>
      <c r="H5" s="81" t="s">
        <v>224</v>
      </c>
      <c r="I5" s="81" t="s">
        <v>224</v>
      </c>
      <c r="J5" s="81" t="s">
        <v>4954</v>
      </c>
    </row>
    <row r="6" hidden="1">
      <c r="A6" s="83" t="s">
        <v>4949</v>
      </c>
      <c r="B6" s="83" t="s">
        <v>4950</v>
      </c>
      <c r="C6" s="81" t="s">
        <v>4082</v>
      </c>
      <c r="D6" s="81" t="s">
        <v>224</v>
      </c>
      <c r="E6" s="81" t="s">
        <v>4009</v>
      </c>
      <c r="F6" s="81" t="s">
        <v>224</v>
      </c>
      <c r="G6" s="81" t="s">
        <v>224</v>
      </c>
      <c r="H6" s="81" t="s">
        <v>224</v>
      </c>
      <c r="I6" s="81" t="s">
        <v>224</v>
      </c>
      <c r="J6" s="81" t="s">
        <v>4954</v>
      </c>
    </row>
    <row r="7" hidden="1">
      <c r="A7" s="83" t="s">
        <v>4949</v>
      </c>
      <c r="B7" s="83" t="s">
        <v>4950</v>
      </c>
      <c r="C7" s="81" t="s">
        <v>4082</v>
      </c>
      <c r="D7" s="81" t="s">
        <v>224</v>
      </c>
      <c r="E7" s="81" t="s">
        <v>4956</v>
      </c>
      <c r="F7" s="81" t="s">
        <v>224</v>
      </c>
      <c r="G7" s="81" t="s">
        <v>224</v>
      </c>
      <c r="H7" s="81" t="s">
        <v>224</v>
      </c>
      <c r="I7" s="81" t="s">
        <v>224</v>
      </c>
      <c r="J7" s="81" t="s">
        <v>4957</v>
      </c>
    </row>
    <row r="8" hidden="1">
      <c r="A8" s="83" t="s">
        <v>4949</v>
      </c>
      <c r="B8" s="83" t="s">
        <v>4950</v>
      </c>
      <c r="C8" s="81" t="s">
        <v>4082</v>
      </c>
      <c r="D8" s="81" t="s">
        <v>224</v>
      </c>
      <c r="E8" s="81" t="s">
        <v>4958</v>
      </c>
      <c r="F8" s="81" t="s">
        <v>224</v>
      </c>
      <c r="G8" s="81" t="s">
        <v>224</v>
      </c>
      <c r="H8" s="81" t="s">
        <v>224</v>
      </c>
      <c r="I8" s="81" t="s">
        <v>224</v>
      </c>
      <c r="J8" s="81" t="s">
        <v>4959</v>
      </c>
    </row>
    <row r="9" hidden="1">
      <c r="A9" s="83" t="s">
        <v>4949</v>
      </c>
      <c r="B9" s="83" t="s">
        <v>4950</v>
      </c>
      <c r="C9" s="81" t="s">
        <v>4082</v>
      </c>
      <c r="D9" s="81" t="s">
        <v>224</v>
      </c>
      <c r="E9" s="81" t="s">
        <v>4960</v>
      </c>
      <c r="F9" s="81" t="s">
        <v>224</v>
      </c>
      <c r="G9" s="81" t="s">
        <v>224</v>
      </c>
      <c r="H9" s="81" t="s">
        <v>224</v>
      </c>
      <c r="I9" s="81" t="s">
        <v>224</v>
      </c>
      <c r="J9" s="81" t="s">
        <v>4961</v>
      </c>
    </row>
    <row r="10" hidden="1">
      <c r="A10" s="83" t="s">
        <v>4949</v>
      </c>
      <c r="B10" s="83" t="s">
        <v>4950</v>
      </c>
      <c r="C10" s="81" t="s">
        <v>4082</v>
      </c>
      <c r="D10" s="81" t="s">
        <v>224</v>
      </c>
      <c r="E10" s="81" t="s">
        <v>4962</v>
      </c>
      <c r="F10" s="81" t="s">
        <v>224</v>
      </c>
      <c r="G10" s="81" t="s">
        <v>224</v>
      </c>
      <c r="H10" s="81" t="s">
        <v>224</v>
      </c>
      <c r="I10" s="81" t="s">
        <v>224</v>
      </c>
      <c r="J10" s="81" t="s">
        <v>4963</v>
      </c>
    </row>
    <row r="11" hidden="1">
      <c r="A11" s="83" t="s">
        <v>4949</v>
      </c>
      <c r="B11" s="83" t="s">
        <v>4950</v>
      </c>
      <c r="C11" s="81" t="s">
        <v>4082</v>
      </c>
      <c r="D11" s="81" t="s">
        <v>224</v>
      </c>
      <c r="E11" s="81" t="s">
        <v>4964</v>
      </c>
      <c r="F11" s="81" t="s">
        <v>224</v>
      </c>
      <c r="G11" s="81" t="s">
        <v>224</v>
      </c>
      <c r="H11" s="81" t="s">
        <v>224</v>
      </c>
      <c r="I11" s="81" t="s">
        <v>224</v>
      </c>
      <c r="J11" s="81" t="s">
        <v>4963</v>
      </c>
    </row>
    <row r="12" hidden="1">
      <c r="A12" s="83" t="s">
        <v>4949</v>
      </c>
      <c r="B12" s="83" t="s">
        <v>4950</v>
      </c>
      <c r="C12" s="81" t="s">
        <v>4082</v>
      </c>
      <c r="D12" s="81" t="s">
        <v>224</v>
      </c>
      <c r="E12" s="81" t="s">
        <v>4965</v>
      </c>
      <c r="F12" s="81" t="s">
        <v>224</v>
      </c>
      <c r="G12" s="81" t="s">
        <v>224</v>
      </c>
      <c r="H12" s="81" t="s">
        <v>224</v>
      </c>
      <c r="I12" s="81" t="s">
        <v>224</v>
      </c>
      <c r="J12" s="81" t="s">
        <v>4966</v>
      </c>
    </row>
    <row r="13" hidden="1">
      <c r="A13" s="83" t="s">
        <v>4949</v>
      </c>
      <c r="B13" s="83" t="s">
        <v>4950</v>
      </c>
      <c r="C13" s="81" t="s">
        <v>4082</v>
      </c>
      <c r="D13" s="81" t="s">
        <v>224</v>
      </c>
      <c r="E13" s="81" t="s">
        <v>4967</v>
      </c>
      <c r="F13" s="81" t="s">
        <v>224</v>
      </c>
      <c r="G13" s="81" t="s">
        <v>224</v>
      </c>
      <c r="H13" s="81" t="s">
        <v>224</v>
      </c>
      <c r="I13" s="81" t="s">
        <v>224</v>
      </c>
      <c r="J13" s="81" t="s">
        <v>4966</v>
      </c>
    </row>
    <row r="14" hidden="1">
      <c r="A14" s="83" t="s">
        <v>4949</v>
      </c>
      <c r="B14" s="83" t="s">
        <v>4950</v>
      </c>
      <c r="C14" s="81" t="s">
        <v>4082</v>
      </c>
      <c r="D14" s="81" t="s">
        <v>224</v>
      </c>
      <c r="E14" s="81" t="s">
        <v>4968</v>
      </c>
      <c r="F14" s="81" t="s">
        <v>224</v>
      </c>
      <c r="G14" s="81" t="s">
        <v>224</v>
      </c>
      <c r="H14" s="81" t="s">
        <v>224</v>
      </c>
      <c r="I14" s="81" t="s">
        <v>224</v>
      </c>
      <c r="J14" s="81" t="s">
        <v>4966</v>
      </c>
    </row>
    <row r="15" hidden="1">
      <c r="A15" s="83" t="s">
        <v>4949</v>
      </c>
      <c r="B15" s="83" t="s">
        <v>4950</v>
      </c>
      <c r="C15" s="81" t="s">
        <v>4082</v>
      </c>
      <c r="D15" s="81" t="s">
        <v>224</v>
      </c>
      <c r="E15" s="81" t="s">
        <v>4969</v>
      </c>
      <c r="F15" s="81" t="s">
        <v>224</v>
      </c>
      <c r="G15" s="81" t="s">
        <v>224</v>
      </c>
      <c r="H15" s="81" t="s">
        <v>224</v>
      </c>
      <c r="I15" s="81" t="s">
        <v>224</v>
      </c>
      <c r="J15" s="81" t="s">
        <v>4966</v>
      </c>
    </row>
    <row r="16" hidden="1">
      <c r="A16" s="83" t="s">
        <v>4949</v>
      </c>
      <c r="B16" s="83" t="s">
        <v>4950</v>
      </c>
      <c r="C16" s="81" t="s">
        <v>4082</v>
      </c>
      <c r="D16" s="81" t="s">
        <v>224</v>
      </c>
      <c r="E16" s="81" t="s">
        <v>4970</v>
      </c>
      <c r="F16" s="81" t="s">
        <v>224</v>
      </c>
      <c r="G16" s="81" t="s">
        <v>224</v>
      </c>
      <c r="H16" s="81" t="s">
        <v>224</v>
      </c>
      <c r="I16" s="81" t="s">
        <v>224</v>
      </c>
      <c r="J16" s="81" t="s">
        <v>4966</v>
      </c>
    </row>
    <row r="17" hidden="1">
      <c r="A17" s="83" t="s">
        <v>4949</v>
      </c>
      <c r="B17" s="83" t="s">
        <v>4950</v>
      </c>
      <c r="C17" s="81" t="s">
        <v>4082</v>
      </c>
      <c r="D17" s="81" t="s">
        <v>224</v>
      </c>
      <c r="E17" s="81" t="s">
        <v>4971</v>
      </c>
      <c r="F17" s="81" t="s">
        <v>224</v>
      </c>
      <c r="G17" s="81" t="s">
        <v>224</v>
      </c>
      <c r="H17" s="81" t="s">
        <v>224</v>
      </c>
      <c r="I17" s="81" t="s">
        <v>224</v>
      </c>
      <c r="J17" s="81" t="s">
        <v>4966</v>
      </c>
    </row>
    <row r="18" hidden="1">
      <c r="A18" s="83" t="s">
        <v>4949</v>
      </c>
      <c r="B18" s="83" t="s">
        <v>4950</v>
      </c>
      <c r="C18" s="81" t="s">
        <v>4082</v>
      </c>
      <c r="D18" s="81" t="s">
        <v>224</v>
      </c>
      <c r="E18" s="81" t="s">
        <v>4972</v>
      </c>
      <c r="F18" s="81" t="s">
        <v>224</v>
      </c>
      <c r="G18" s="81" t="s">
        <v>224</v>
      </c>
      <c r="H18" s="81" t="s">
        <v>224</v>
      </c>
      <c r="I18" s="81" t="s">
        <v>224</v>
      </c>
      <c r="J18" s="81" t="s">
        <v>4966</v>
      </c>
    </row>
    <row r="19" hidden="1">
      <c r="A19" s="83" t="s">
        <v>4949</v>
      </c>
      <c r="B19" s="83" t="s">
        <v>4950</v>
      </c>
      <c r="C19" s="81" t="s">
        <v>4082</v>
      </c>
      <c r="D19" s="81" t="s">
        <v>224</v>
      </c>
      <c r="E19" s="81" t="s">
        <v>4973</v>
      </c>
      <c r="F19" s="81" t="s">
        <v>224</v>
      </c>
      <c r="G19" s="81" t="s">
        <v>224</v>
      </c>
      <c r="H19" s="81" t="s">
        <v>224</v>
      </c>
      <c r="I19" s="81" t="s">
        <v>224</v>
      </c>
      <c r="J19" s="81" t="s">
        <v>4974</v>
      </c>
    </row>
    <row r="20" hidden="1">
      <c r="A20" s="83" t="s">
        <v>4949</v>
      </c>
      <c r="B20" s="83" t="s">
        <v>4950</v>
      </c>
      <c r="C20" s="81" t="s">
        <v>4082</v>
      </c>
      <c r="D20" s="81" t="s">
        <v>224</v>
      </c>
      <c r="E20" s="81" t="s">
        <v>4975</v>
      </c>
      <c r="F20" s="81" t="s">
        <v>224</v>
      </c>
      <c r="G20" s="81" t="s">
        <v>224</v>
      </c>
      <c r="H20" s="81" t="s">
        <v>224</v>
      </c>
      <c r="I20" s="81" t="s">
        <v>224</v>
      </c>
      <c r="J20" s="81" t="s">
        <v>4976</v>
      </c>
    </row>
    <row r="21" hidden="1">
      <c r="A21" s="83" t="s">
        <v>4949</v>
      </c>
      <c r="B21" s="83" t="s">
        <v>4950</v>
      </c>
      <c r="C21" s="81" t="s">
        <v>4082</v>
      </c>
      <c r="D21" s="81" t="s">
        <v>224</v>
      </c>
      <c r="E21" s="81" t="s">
        <v>4025</v>
      </c>
      <c r="F21" s="81" t="s">
        <v>224</v>
      </c>
      <c r="G21" s="81" t="s">
        <v>224</v>
      </c>
      <c r="H21" s="81" t="s">
        <v>224</v>
      </c>
      <c r="I21" s="81" t="s">
        <v>224</v>
      </c>
      <c r="J21" s="81" t="s">
        <v>4977</v>
      </c>
    </row>
    <row r="22" hidden="1">
      <c r="A22" s="83" t="s">
        <v>4949</v>
      </c>
      <c r="B22" s="83" t="s">
        <v>4950</v>
      </c>
      <c r="C22" s="81" t="s">
        <v>4082</v>
      </c>
      <c r="D22" s="81" t="s">
        <v>224</v>
      </c>
      <c r="E22" s="81" t="s">
        <v>4033</v>
      </c>
      <c r="F22" s="81" t="s">
        <v>224</v>
      </c>
      <c r="G22" s="81" t="s">
        <v>224</v>
      </c>
      <c r="H22" s="81" t="s">
        <v>224</v>
      </c>
      <c r="I22" s="81" t="s">
        <v>224</v>
      </c>
      <c r="J22" s="81" t="s">
        <v>4978</v>
      </c>
    </row>
    <row r="23" hidden="1">
      <c r="A23" s="83" t="s">
        <v>4949</v>
      </c>
      <c r="B23" s="83" t="s">
        <v>4950</v>
      </c>
      <c r="C23" s="81" t="s">
        <v>4082</v>
      </c>
      <c r="D23" s="81" t="s">
        <v>224</v>
      </c>
      <c r="E23" s="81" t="s">
        <v>4979</v>
      </c>
      <c r="F23" s="81" t="s">
        <v>224</v>
      </c>
      <c r="G23" s="81" t="s">
        <v>224</v>
      </c>
      <c r="H23" s="81" t="s">
        <v>224</v>
      </c>
      <c r="I23" s="81" t="s">
        <v>224</v>
      </c>
      <c r="J23" s="81" t="s">
        <v>4980</v>
      </c>
    </row>
    <row r="24" hidden="1">
      <c r="A24" s="83" t="s">
        <v>4949</v>
      </c>
      <c r="B24" s="83" t="s">
        <v>4950</v>
      </c>
      <c r="C24" s="81" t="s">
        <v>4082</v>
      </c>
      <c r="D24" s="81" t="s">
        <v>224</v>
      </c>
      <c r="E24" s="81" t="s">
        <v>4981</v>
      </c>
      <c r="F24" s="81" t="s">
        <v>224</v>
      </c>
      <c r="G24" s="81" t="s">
        <v>224</v>
      </c>
      <c r="H24" s="81" t="s">
        <v>224</v>
      </c>
      <c r="I24" s="81" t="s">
        <v>224</v>
      </c>
      <c r="J24" s="81" t="s">
        <v>4982</v>
      </c>
    </row>
    <row r="25" hidden="1">
      <c r="A25" s="83" t="s">
        <v>4949</v>
      </c>
      <c r="B25" s="83" t="s">
        <v>4950</v>
      </c>
      <c r="C25" s="81" t="s">
        <v>4082</v>
      </c>
      <c r="D25" s="81" t="s">
        <v>224</v>
      </c>
      <c r="E25" s="81" t="s">
        <v>4983</v>
      </c>
      <c r="F25" s="81" t="s">
        <v>224</v>
      </c>
      <c r="G25" s="81" t="s">
        <v>224</v>
      </c>
      <c r="H25" s="81" t="s">
        <v>224</v>
      </c>
      <c r="I25" s="81" t="s">
        <v>224</v>
      </c>
      <c r="J25" s="81" t="s">
        <v>4984</v>
      </c>
    </row>
    <row r="26" hidden="1">
      <c r="A26" s="83" t="s">
        <v>4949</v>
      </c>
      <c r="B26" s="83" t="s">
        <v>4950</v>
      </c>
      <c r="C26" s="81" t="s">
        <v>4082</v>
      </c>
      <c r="D26" s="81" t="s">
        <v>224</v>
      </c>
      <c r="E26" s="81" t="s">
        <v>4985</v>
      </c>
      <c r="F26" s="81" t="s">
        <v>224</v>
      </c>
      <c r="G26" s="81" t="s">
        <v>224</v>
      </c>
      <c r="H26" s="81" t="s">
        <v>224</v>
      </c>
      <c r="I26" s="81" t="s">
        <v>224</v>
      </c>
      <c r="J26" s="81" t="s">
        <v>4986</v>
      </c>
    </row>
    <row r="27" hidden="1">
      <c r="A27" s="83" t="s">
        <v>4949</v>
      </c>
      <c r="B27" s="83" t="s">
        <v>4950</v>
      </c>
      <c r="C27" s="81" t="s">
        <v>4082</v>
      </c>
      <c r="D27" s="81" t="s">
        <v>224</v>
      </c>
      <c r="E27" s="81" t="s">
        <v>4987</v>
      </c>
      <c r="F27" s="81" t="s">
        <v>224</v>
      </c>
      <c r="G27" s="81" t="s">
        <v>224</v>
      </c>
      <c r="H27" s="81" t="s">
        <v>224</v>
      </c>
      <c r="I27" s="81" t="s">
        <v>224</v>
      </c>
      <c r="J27" s="81" t="s">
        <v>4988</v>
      </c>
    </row>
    <row r="28" hidden="1">
      <c r="A28" s="83" t="s">
        <v>4949</v>
      </c>
      <c r="B28" s="83" t="s">
        <v>4950</v>
      </c>
      <c r="C28" s="81" t="s">
        <v>4082</v>
      </c>
      <c r="D28" s="81" t="s">
        <v>224</v>
      </c>
      <c r="E28" s="81" t="s">
        <v>4989</v>
      </c>
      <c r="F28" s="81" t="s">
        <v>224</v>
      </c>
      <c r="G28" s="81" t="s">
        <v>224</v>
      </c>
      <c r="H28" s="81" t="s">
        <v>224</v>
      </c>
      <c r="I28" s="81" t="s">
        <v>224</v>
      </c>
      <c r="J28" s="81" t="s">
        <v>4990</v>
      </c>
    </row>
    <row r="29" hidden="1">
      <c r="A29" s="83" t="s">
        <v>4949</v>
      </c>
      <c r="B29" s="83" t="s">
        <v>4950</v>
      </c>
      <c r="C29" s="81" t="s">
        <v>4082</v>
      </c>
      <c r="D29" s="81" t="s">
        <v>224</v>
      </c>
      <c r="E29" s="81" t="s">
        <v>4991</v>
      </c>
      <c r="F29" s="81" t="s">
        <v>224</v>
      </c>
      <c r="G29" s="81" t="s">
        <v>224</v>
      </c>
      <c r="H29" s="81" t="s">
        <v>224</v>
      </c>
      <c r="I29" s="81" t="s">
        <v>224</v>
      </c>
      <c r="J29" s="81" t="s">
        <v>4992</v>
      </c>
    </row>
    <row r="30" hidden="1">
      <c r="A30" s="83" t="s">
        <v>4949</v>
      </c>
      <c r="B30" s="83" t="s">
        <v>4950</v>
      </c>
      <c r="C30" s="81" t="s">
        <v>4082</v>
      </c>
      <c r="D30" s="81" t="s">
        <v>224</v>
      </c>
      <c r="E30" s="81" t="s">
        <v>4993</v>
      </c>
      <c r="F30" s="81" t="s">
        <v>224</v>
      </c>
      <c r="G30" s="81" t="s">
        <v>224</v>
      </c>
      <c r="H30" s="81" t="s">
        <v>224</v>
      </c>
      <c r="I30" s="81" t="s">
        <v>224</v>
      </c>
      <c r="J30" s="81" t="s">
        <v>4994</v>
      </c>
    </row>
    <row r="31" hidden="1">
      <c r="A31" s="83" t="s">
        <v>4949</v>
      </c>
      <c r="B31" s="83" t="s">
        <v>4950</v>
      </c>
      <c r="C31" s="81" t="s">
        <v>4082</v>
      </c>
      <c r="D31" s="81" t="s">
        <v>224</v>
      </c>
      <c r="E31" s="81" t="s">
        <v>4995</v>
      </c>
      <c r="F31" s="81" t="s">
        <v>224</v>
      </c>
      <c r="G31" s="81" t="s">
        <v>224</v>
      </c>
      <c r="H31" s="81" t="s">
        <v>224</v>
      </c>
      <c r="I31" s="81" t="s">
        <v>224</v>
      </c>
      <c r="J31" s="81" t="s">
        <v>4996</v>
      </c>
    </row>
    <row r="32" hidden="1">
      <c r="A32" s="83" t="s">
        <v>4949</v>
      </c>
      <c r="B32" s="83" t="s">
        <v>4950</v>
      </c>
      <c r="C32" s="81" t="s">
        <v>4082</v>
      </c>
      <c r="D32" s="81" t="s">
        <v>224</v>
      </c>
      <c r="E32" s="81" t="s">
        <v>4997</v>
      </c>
      <c r="F32" s="81" t="s">
        <v>224</v>
      </c>
      <c r="G32" s="81" t="s">
        <v>224</v>
      </c>
      <c r="H32" s="81" t="s">
        <v>224</v>
      </c>
      <c r="I32" s="81" t="s">
        <v>224</v>
      </c>
      <c r="J32" s="81" t="s">
        <v>4998</v>
      </c>
    </row>
    <row r="33" hidden="1">
      <c r="A33" s="83" t="s">
        <v>4949</v>
      </c>
      <c r="B33" s="83" t="s">
        <v>4950</v>
      </c>
      <c r="C33" s="81" t="s">
        <v>4082</v>
      </c>
      <c r="D33" s="81" t="s">
        <v>224</v>
      </c>
      <c r="E33" s="81" t="s">
        <v>4999</v>
      </c>
      <c r="F33" s="81" t="s">
        <v>224</v>
      </c>
      <c r="G33" s="81" t="s">
        <v>224</v>
      </c>
      <c r="H33" s="81" t="s">
        <v>224</v>
      </c>
      <c r="I33" s="81" t="s">
        <v>224</v>
      </c>
      <c r="J33" s="81" t="s">
        <v>5000</v>
      </c>
    </row>
    <row r="34" hidden="1">
      <c r="A34" s="83" t="s">
        <v>4949</v>
      </c>
      <c r="B34" s="83" t="s">
        <v>4950</v>
      </c>
      <c r="C34" s="81" t="s">
        <v>4082</v>
      </c>
      <c r="D34" s="81" t="s">
        <v>224</v>
      </c>
      <c r="E34" s="81" t="s">
        <v>5001</v>
      </c>
      <c r="F34" s="81" t="s">
        <v>224</v>
      </c>
      <c r="G34" s="81" t="s">
        <v>224</v>
      </c>
      <c r="H34" s="81" t="s">
        <v>224</v>
      </c>
      <c r="I34" s="81" t="s">
        <v>224</v>
      </c>
      <c r="J34" s="81" t="s">
        <v>5002</v>
      </c>
    </row>
    <row r="35" hidden="1">
      <c r="A35" s="83" t="s">
        <v>4949</v>
      </c>
      <c r="B35" s="83" t="s">
        <v>4950</v>
      </c>
      <c r="C35" s="81" t="s">
        <v>4082</v>
      </c>
      <c r="D35" s="81" t="s">
        <v>224</v>
      </c>
      <c r="E35" s="81" t="s">
        <v>5003</v>
      </c>
      <c r="F35" s="81" t="s">
        <v>224</v>
      </c>
      <c r="G35" s="81" t="s">
        <v>224</v>
      </c>
      <c r="H35" s="81" t="s">
        <v>224</v>
      </c>
      <c r="I35" s="81" t="s">
        <v>224</v>
      </c>
      <c r="J35" s="81" t="s">
        <v>5004</v>
      </c>
    </row>
    <row r="36" hidden="1">
      <c r="A36" s="83" t="s">
        <v>4949</v>
      </c>
      <c r="B36" s="83" t="s">
        <v>4950</v>
      </c>
      <c r="C36" s="81" t="s">
        <v>4082</v>
      </c>
      <c r="D36" s="81" t="s">
        <v>224</v>
      </c>
      <c r="E36" s="81" t="s">
        <v>5005</v>
      </c>
      <c r="F36" s="81" t="s">
        <v>224</v>
      </c>
      <c r="G36" s="81" t="s">
        <v>224</v>
      </c>
      <c r="H36" s="81" t="s">
        <v>224</v>
      </c>
      <c r="I36" s="81" t="s">
        <v>224</v>
      </c>
      <c r="J36" s="81" t="s">
        <v>5006</v>
      </c>
    </row>
    <row r="37" hidden="1">
      <c r="A37" s="83" t="s">
        <v>4949</v>
      </c>
      <c r="B37" s="83" t="s">
        <v>4950</v>
      </c>
      <c r="C37" s="81" t="s">
        <v>4082</v>
      </c>
      <c r="D37" s="81" t="s">
        <v>224</v>
      </c>
      <c r="E37" s="81" t="s">
        <v>5007</v>
      </c>
      <c r="F37" s="81" t="s">
        <v>224</v>
      </c>
      <c r="G37" s="81" t="s">
        <v>224</v>
      </c>
      <c r="H37" s="81" t="s">
        <v>224</v>
      </c>
      <c r="I37" s="81" t="s">
        <v>224</v>
      </c>
      <c r="J37" s="81" t="s">
        <v>5008</v>
      </c>
    </row>
    <row r="38" hidden="1">
      <c r="A38" s="83" t="s">
        <v>4949</v>
      </c>
      <c r="B38" s="83" t="s">
        <v>4950</v>
      </c>
      <c r="C38" s="81" t="s">
        <v>4082</v>
      </c>
      <c r="D38" s="81" t="s">
        <v>224</v>
      </c>
      <c r="E38" s="81" t="s">
        <v>5009</v>
      </c>
      <c r="F38" s="81" t="s">
        <v>224</v>
      </c>
      <c r="G38" s="81" t="s">
        <v>224</v>
      </c>
      <c r="H38" s="81" t="s">
        <v>224</v>
      </c>
      <c r="I38" s="81" t="s">
        <v>224</v>
      </c>
      <c r="J38" s="81" t="s">
        <v>5010</v>
      </c>
    </row>
    <row r="39" hidden="1">
      <c r="A39" s="83" t="s">
        <v>4949</v>
      </c>
      <c r="B39" s="83" t="s">
        <v>4950</v>
      </c>
      <c r="C39" s="81" t="s">
        <v>4082</v>
      </c>
      <c r="D39" s="81" t="s">
        <v>224</v>
      </c>
      <c r="E39" s="81" t="s">
        <v>5011</v>
      </c>
      <c r="F39" s="81" t="s">
        <v>224</v>
      </c>
      <c r="G39" s="81" t="s">
        <v>224</v>
      </c>
      <c r="H39" s="81" t="s">
        <v>224</v>
      </c>
      <c r="I39" s="81" t="s">
        <v>224</v>
      </c>
      <c r="J39" s="81" t="s">
        <v>5012</v>
      </c>
    </row>
    <row r="40" hidden="1">
      <c r="A40" s="83" t="s">
        <v>4949</v>
      </c>
      <c r="B40" s="83" t="s">
        <v>4950</v>
      </c>
      <c r="C40" s="81" t="s">
        <v>4082</v>
      </c>
      <c r="D40" s="81" t="s">
        <v>224</v>
      </c>
      <c r="E40" s="81" t="s">
        <v>5013</v>
      </c>
      <c r="F40" s="81" t="s">
        <v>224</v>
      </c>
      <c r="G40" s="81" t="s">
        <v>224</v>
      </c>
      <c r="H40" s="81" t="s">
        <v>224</v>
      </c>
      <c r="I40" s="81" t="s">
        <v>224</v>
      </c>
      <c r="J40" s="81" t="s">
        <v>5014</v>
      </c>
    </row>
    <row r="41" hidden="1">
      <c r="A41" s="83" t="s">
        <v>4949</v>
      </c>
      <c r="B41" s="83" t="s">
        <v>4950</v>
      </c>
      <c r="C41" s="81" t="s">
        <v>4082</v>
      </c>
      <c r="D41" s="81" t="s">
        <v>224</v>
      </c>
      <c r="E41" s="81" t="s">
        <v>5015</v>
      </c>
      <c r="F41" s="81" t="s">
        <v>224</v>
      </c>
      <c r="G41" s="81" t="s">
        <v>224</v>
      </c>
      <c r="H41" s="81" t="s">
        <v>224</v>
      </c>
      <c r="I41" s="81" t="s">
        <v>224</v>
      </c>
      <c r="J41" s="81" t="s">
        <v>5016</v>
      </c>
    </row>
    <row r="42" hidden="1">
      <c r="A42" s="83" t="s">
        <v>4949</v>
      </c>
      <c r="B42" s="83" t="s">
        <v>4950</v>
      </c>
      <c r="C42" s="81" t="s">
        <v>4082</v>
      </c>
      <c r="D42" s="81" t="s">
        <v>224</v>
      </c>
      <c r="E42" s="81" t="s">
        <v>5017</v>
      </c>
      <c r="F42" s="81" t="s">
        <v>224</v>
      </c>
      <c r="G42" s="81" t="s">
        <v>224</v>
      </c>
      <c r="H42" s="81" t="s">
        <v>224</v>
      </c>
      <c r="I42" s="81" t="s">
        <v>224</v>
      </c>
      <c r="J42" s="81" t="s">
        <v>5018</v>
      </c>
    </row>
    <row r="43" hidden="1">
      <c r="A43" s="83" t="s">
        <v>4949</v>
      </c>
      <c r="B43" s="83" t="s">
        <v>4950</v>
      </c>
      <c r="C43" s="81" t="s">
        <v>4082</v>
      </c>
      <c r="D43" s="81" t="s">
        <v>224</v>
      </c>
      <c r="E43" s="81" t="s">
        <v>5019</v>
      </c>
      <c r="F43" s="81" t="s">
        <v>224</v>
      </c>
      <c r="G43" s="81" t="s">
        <v>224</v>
      </c>
      <c r="H43" s="81" t="s">
        <v>224</v>
      </c>
      <c r="I43" s="81" t="s">
        <v>224</v>
      </c>
      <c r="J43" s="81" t="s">
        <v>5020</v>
      </c>
    </row>
    <row r="44" hidden="1">
      <c r="A44" s="83" t="s">
        <v>4949</v>
      </c>
      <c r="B44" s="83" t="s">
        <v>4950</v>
      </c>
      <c r="C44" s="81" t="s">
        <v>4082</v>
      </c>
      <c r="D44" s="81" t="s">
        <v>224</v>
      </c>
      <c r="E44" s="81" t="s">
        <v>5021</v>
      </c>
      <c r="F44" s="81" t="s">
        <v>224</v>
      </c>
      <c r="G44" s="81" t="s">
        <v>224</v>
      </c>
      <c r="H44" s="81" t="s">
        <v>224</v>
      </c>
      <c r="I44" s="81" t="s">
        <v>224</v>
      </c>
      <c r="J44" s="81" t="s">
        <v>5022</v>
      </c>
    </row>
    <row r="45" hidden="1">
      <c r="A45" s="83" t="s">
        <v>4949</v>
      </c>
      <c r="B45" s="83" t="s">
        <v>4950</v>
      </c>
      <c r="C45" s="81" t="s">
        <v>4082</v>
      </c>
      <c r="D45" s="81" t="s">
        <v>224</v>
      </c>
      <c r="E45" s="81" t="s">
        <v>5023</v>
      </c>
      <c r="F45" s="81" t="s">
        <v>224</v>
      </c>
      <c r="G45" s="81" t="s">
        <v>224</v>
      </c>
      <c r="H45" s="81" t="s">
        <v>224</v>
      </c>
      <c r="I45" s="81" t="s">
        <v>224</v>
      </c>
      <c r="J45" s="81" t="s">
        <v>5024</v>
      </c>
    </row>
    <row r="46" hidden="1">
      <c r="A46" s="83" t="s">
        <v>4949</v>
      </c>
      <c r="B46" s="83" t="s">
        <v>4950</v>
      </c>
      <c r="C46" s="81" t="s">
        <v>4082</v>
      </c>
      <c r="D46" s="81" t="s">
        <v>224</v>
      </c>
      <c r="E46" s="81" t="s">
        <v>5025</v>
      </c>
      <c r="F46" s="81" t="s">
        <v>224</v>
      </c>
      <c r="G46" s="81" t="s">
        <v>224</v>
      </c>
      <c r="H46" s="81" t="s">
        <v>224</v>
      </c>
      <c r="I46" s="81" t="s">
        <v>224</v>
      </c>
      <c r="J46" s="81" t="s">
        <v>5026</v>
      </c>
    </row>
    <row r="47" hidden="1">
      <c r="A47" s="83" t="s">
        <v>4949</v>
      </c>
      <c r="B47" s="83" t="s">
        <v>4950</v>
      </c>
      <c r="C47" s="81" t="s">
        <v>4082</v>
      </c>
      <c r="D47" s="81" t="s">
        <v>224</v>
      </c>
      <c r="E47" s="81" t="s">
        <v>5027</v>
      </c>
      <c r="F47" s="81" t="s">
        <v>224</v>
      </c>
      <c r="G47" s="81" t="s">
        <v>224</v>
      </c>
      <c r="H47" s="81" t="s">
        <v>224</v>
      </c>
      <c r="I47" s="81" t="s">
        <v>224</v>
      </c>
      <c r="J47" s="81" t="s">
        <v>5028</v>
      </c>
    </row>
    <row r="48" hidden="1">
      <c r="A48" s="83" t="s">
        <v>4949</v>
      </c>
      <c r="B48" s="83" t="s">
        <v>4950</v>
      </c>
      <c r="C48" s="81" t="s">
        <v>4082</v>
      </c>
      <c r="D48" s="81" t="s">
        <v>224</v>
      </c>
      <c r="E48" s="81" t="s">
        <v>5029</v>
      </c>
      <c r="F48" s="81" t="s">
        <v>224</v>
      </c>
      <c r="G48" s="81" t="s">
        <v>224</v>
      </c>
      <c r="H48" s="81" t="s">
        <v>224</v>
      </c>
      <c r="I48" s="81" t="s">
        <v>224</v>
      </c>
      <c r="J48" s="81" t="s">
        <v>5030</v>
      </c>
    </row>
    <row r="49" hidden="1">
      <c r="A49" s="83" t="s">
        <v>4949</v>
      </c>
      <c r="B49" s="83" t="s">
        <v>4950</v>
      </c>
      <c r="C49" s="81" t="s">
        <v>4082</v>
      </c>
      <c r="D49" s="81" t="s">
        <v>224</v>
      </c>
      <c r="E49" s="81" t="s">
        <v>5031</v>
      </c>
      <c r="F49" s="81" t="s">
        <v>224</v>
      </c>
      <c r="G49" s="81" t="s">
        <v>224</v>
      </c>
      <c r="H49" s="81" t="s">
        <v>224</v>
      </c>
      <c r="I49" s="81" t="s">
        <v>224</v>
      </c>
      <c r="J49" s="81" t="s">
        <v>5032</v>
      </c>
    </row>
    <row r="50" hidden="1">
      <c r="A50" s="83" t="s">
        <v>4949</v>
      </c>
      <c r="B50" s="83" t="s">
        <v>4950</v>
      </c>
      <c r="C50" s="81" t="s">
        <v>4082</v>
      </c>
      <c r="D50" s="81" t="s">
        <v>224</v>
      </c>
      <c r="E50" s="81" t="s">
        <v>5033</v>
      </c>
      <c r="F50" s="81" t="s">
        <v>224</v>
      </c>
      <c r="G50" s="81" t="s">
        <v>224</v>
      </c>
      <c r="H50" s="81" t="s">
        <v>224</v>
      </c>
      <c r="I50" s="81" t="s">
        <v>224</v>
      </c>
      <c r="J50" s="81" t="s">
        <v>5034</v>
      </c>
    </row>
    <row r="51" hidden="1">
      <c r="A51" s="83" t="s">
        <v>4949</v>
      </c>
      <c r="B51" s="83" t="s">
        <v>4950</v>
      </c>
      <c r="C51" s="81" t="s">
        <v>4082</v>
      </c>
      <c r="D51" s="81" t="s">
        <v>224</v>
      </c>
      <c r="E51" s="81" t="s">
        <v>5035</v>
      </c>
      <c r="F51" s="81" t="s">
        <v>224</v>
      </c>
      <c r="G51" s="81" t="s">
        <v>224</v>
      </c>
      <c r="H51" s="81" t="s">
        <v>224</v>
      </c>
      <c r="I51" s="81" t="s">
        <v>224</v>
      </c>
      <c r="J51" s="81" t="s">
        <v>5036</v>
      </c>
    </row>
    <row r="52" hidden="1">
      <c r="A52" s="83" t="s">
        <v>4949</v>
      </c>
      <c r="B52" s="83" t="s">
        <v>4950</v>
      </c>
      <c r="C52" s="81" t="s">
        <v>4082</v>
      </c>
      <c r="D52" s="81" t="s">
        <v>224</v>
      </c>
      <c r="E52" s="81" t="s">
        <v>5037</v>
      </c>
      <c r="F52" s="81" t="s">
        <v>224</v>
      </c>
      <c r="G52" s="81" t="s">
        <v>224</v>
      </c>
      <c r="H52" s="81" t="s">
        <v>224</v>
      </c>
      <c r="I52" s="81" t="s">
        <v>224</v>
      </c>
      <c r="J52" s="81" t="s">
        <v>5038</v>
      </c>
    </row>
    <row r="53" hidden="1">
      <c r="A53" s="83" t="s">
        <v>4949</v>
      </c>
      <c r="B53" s="83" t="s">
        <v>4950</v>
      </c>
      <c r="C53" s="81" t="s">
        <v>4082</v>
      </c>
      <c r="D53" s="81" t="s">
        <v>224</v>
      </c>
      <c r="E53" s="81" t="s">
        <v>5039</v>
      </c>
      <c r="F53" s="81" t="s">
        <v>224</v>
      </c>
      <c r="G53" s="81" t="s">
        <v>224</v>
      </c>
      <c r="H53" s="81" t="s">
        <v>224</v>
      </c>
      <c r="I53" s="81" t="s">
        <v>224</v>
      </c>
      <c r="J53" s="81" t="s">
        <v>5040</v>
      </c>
    </row>
    <row r="54" hidden="1">
      <c r="A54" s="83" t="s">
        <v>4949</v>
      </c>
      <c r="B54" s="83" t="s">
        <v>4950</v>
      </c>
      <c r="C54" s="81" t="s">
        <v>4082</v>
      </c>
      <c r="D54" s="81" t="s">
        <v>224</v>
      </c>
      <c r="E54" s="81" t="s">
        <v>5041</v>
      </c>
      <c r="F54" s="81" t="s">
        <v>224</v>
      </c>
      <c r="G54" s="81" t="s">
        <v>224</v>
      </c>
      <c r="H54" s="81" t="s">
        <v>224</v>
      </c>
      <c r="I54" s="81" t="s">
        <v>224</v>
      </c>
      <c r="J54" s="81" t="s">
        <v>5042</v>
      </c>
    </row>
    <row r="55" hidden="1">
      <c r="A55" s="83" t="s">
        <v>4949</v>
      </c>
      <c r="B55" s="83" t="s">
        <v>4950</v>
      </c>
      <c r="C55" s="81" t="s">
        <v>4082</v>
      </c>
      <c r="D55" s="81" t="s">
        <v>224</v>
      </c>
      <c r="E55" s="81" t="s">
        <v>5043</v>
      </c>
      <c r="F55" s="81" t="s">
        <v>224</v>
      </c>
      <c r="G55" s="81" t="s">
        <v>224</v>
      </c>
      <c r="H55" s="81" t="s">
        <v>224</v>
      </c>
      <c r="I55" s="81" t="s">
        <v>224</v>
      </c>
      <c r="J55" s="81" t="s">
        <v>5044</v>
      </c>
    </row>
    <row r="56" hidden="1">
      <c r="A56" s="83" t="s">
        <v>4949</v>
      </c>
      <c r="B56" s="83" t="s">
        <v>4950</v>
      </c>
      <c r="C56" s="81" t="s">
        <v>4082</v>
      </c>
      <c r="D56" s="81" t="s">
        <v>224</v>
      </c>
      <c r="E56" s="81" t="s">
        <v>5045</v>
      </c>
      <c r="F56" s="81" t="s">
        <v>224</v>
      </c>
      <c r="G56" s="81" t="s">
        <v>224</v>
      </c>
      <c r="H56" s="81" t="s">
        <v>224</v>
      </c>
      <c r="I56" s="81" t="s">
        <v>224</v>
      </c>
      <c r="J56" s="81" t="s">
        <v>5046</v>
      </c>
    </row>
    <row r="57" hidden="1">
      <c r="A57" s="83" t="s">
        <v>4949</v>
      </c>
      <c r="B57" s="83" t="s">
        <v>4950</v>
      </c>
      <c r="C57" s="81" t="s">
        <v>4082</v>
      </c>
      <c r="D57" s="81" t="s">
        <v>224</v>
      </c>
      <c r="E57" s="81" t="s">
        <v>5047</v>
      </c>
      <c r="F57" s="81" t="s">
        <v>224</v>
      </c>
      <c r="G57" s="81" t="s">
        <v>224</v>
      </c>
      <c r="H57" s="81" t="s">
        <v>224</v>
      </c>
      <c r="I57" s="81" t="s">
        <v>224</v>
      </c>
      <c r="J57" s="81" t="s">
        <v>5048</v>
      </c>
    </row>
    <row r="58" hidden="1">
      <c r="A58" s="83" t="s">
        <v>4949</v>
      </c>
      <c r="B58" s="83" t="s">
        <v>4950</v>
      </c>
      <c r="C58" s="81" t="s">
        <v>4082</v>
      </c>
      <c r="D58" s="81" t="s">
        <v>224</v>
      </c>
      <c r="E58" s="81" t="s">
        <v>5049</v>
      </c>
      <c r="F58" s="81" t="s">
        <v>224</v>
      </c>
      <c r="G58" s="81" t="s">
        <v>224</v>
      </c>
      <c r="H58" s="81" t="s">
        <v>224</v>
      </c>
      <c r="I58" s="81" t="s">
        <v>224</v>
      </c>
      <c r="J58" s="81" t="s">
        <v>5050</v>
      </c>
    </row>
    <row r="59" hidden="1">
      <c r="A59" s="83" t="s">
        <v>4949</v>
      </c>
      <c r="B59" s="83" t="s">
        <v>4950</v>
      </c>
      <c r="C59" s="81" t="s">
        <v>4082</v>
      </c>
      <c r="D59" s="81" t="s">
        <v>224</v>
      </c>
      <c r="E59" s="81" t="s">
        <v>5051</v>
      </c>
      <c r="F59" s="81" t="s">
        <v>224</v>
      </c>
      <c r="G59" s="81" t="s">
        <v>224</v>
      </c>
      <c r="H59" s="81" t="s">
        <v>224</v>
      </c>
      <c r="I59" s="81" t="s">
        <v>224</v>
      </c>
      <c r="J59" s="81" t="s">
        <v>5052</v>
      </c>
    </row>
    <row r="60" hidden="1">
      <c r="A60" s="83" t="s">
        <v>4949</v>
      </c>
      <c r="B60" s="83" t="s">
        <v>4950</v>
      </c>
      <c r="C60" s="81" t="s">
        <v>4082</v>
      </c>
      <c r="D60" s="81" t="s">
        <v>224</v>
      </c>
      <c r="E60" s="81" t="s">
        <v>5053</v>
      </c>
      <c r="F60" s="81" t="s">
        <v>224</v>
      </c>
      <c r="G60" s="81" t="s">
        <v>224</v>
      </c>
      <c r="H60" s="81" t="s">
        <v>224</v>
      </c>
      <c r="I60" s="81" t="s">
        <v>224</v>
      </c>
      <c r="J60" s="81" t="s">
        <v>5054</v>
      </c>
    </row>
    <row r="61" hidden="1">
      <c r="A61" s="83" t="s">
        <v>4949</v>
      </c>
      <c r="B61" s="83" t="s">
        <v>4950</v>
      </c>
      <c r="C61" s="81" t="s">
        <v>4082</v>
      </c>
      <c r="D61" s="81" t="s">
        <v>224</v>
      </c>
      <c r="E61" s="81" t="s">
        <v>5055</v>
      </c>
      <c r="F61" s="81" t="s">
        <v>224</v>
      </c>
      <c r="G61" s="81" t="s">
        <v>224</v>
      </c>
      <c r="H61" s="81" t="s">
        <v>224</v>
      </c>
      <c r="I61" s="81" t="s">
        <v>224</v>
      </c>
      <c r="J61" s="81" t="s">
        <v>5056</v>
      </c>
    </row>
    <row r="62" hidden="1">
      <c r="A62" s="83" t="s">
        <v>4949</v>
      </c>
      <c r="B62" s="83" t="s">
        <v>4950</v>
      </c>
      <c r="C62" s="81" t="s">
        <v>4082</v>
      </c>
      <c r="D62" s="81" t="s">
        <v>224</v>
      </c>
      <c r="E62" s="81" t="s">
        <v>5057</v>
      </c>
      <c r="F62" s="81" t="s">
        <v>224</v>
      </c>
      <c r="G62" s="81" t="s">
        <v>224</v>
      </c>
      <c r="H62" s="81" t="s">
        <v>224</v>
      </c>
      <c r="I62" s="81" t="s">
        <v>224</v>
      </c>
      <c r="J62" s="81" t="s">
        <v>5058</v>
      </c>
    </row>
    <row r="63" hidden="1">
      <c r="A63" s="83" t="s">
        <v>4949</v>
      </c>
      <c r="B63" s="83" t="s">
        <v>4950</v>
      </c>
      <c r="C63" s="81" t="s">
        <v>4082</v>
      </c>
      <c r="D63" s="81" t="s">
        <v>224</v>
      </c>
      <c r="E63" s="81" t="s">
        <v>5059</v>
      </c>
      <c r="F63" s="81" t="s">
        <v>224</v>
      </c>
      <c r="G63" s="81" t="s">
        <v>224</v>
      </c>
      <c r="H63" s="81" t="s">
        <v>224</v>
      </c>
      <c r="I63" s="81" t="s">
        <v>224</v>
      </c>
      <c r="J63" s="81" t="s">
        <v>5060</v>
      </c>
    </row>
    <row r="64" hidden="1">
      <c r="A64" s="83" t="s">
        <v>4949</v>
      </c>
      <c r="B64" s="83" t="s">
        <v>4950</v>
      </c>
      <c r="C64" s="81" t="s">
        <v>4082</v>
      </c>
      <c r="D64" s="81" t="s">
        <v>224</v>
      </c>
      <c r="E64" s="81" t="s">
        <v>5061</v>
      </c>
      <c r="F64" s="81" t="s">
        <v>224</v>
      </c>
      <c r="G64" s="81" t="s">
        <v>224</v>
      </c>
      <c r="H64" s="81" t="s">
        <v>224</v>
      </c>
      <c r="I64" s="81" t="s">
        <v>224</v>
      </c>
      <c r="J64" s="81" t="s">
        <v>5062</v>
      </c>
    </row>
    <row r="65" hidden="1">
      <c r="A65" s="83" t="s">
        <v>4949</v>
      </c>
      <c r="B65" s="83" t="s">
        <v>4950</v>
      </c>
      <c r="C65" s="81" t="s">
        <v>4082</v>
      </c>
      <c r="D65" s="81" t="s">
        <v>224</v>
      </c>
      <c r="E65" s="81" t="s">
        <v>5063</v>
      </c>
      <c r="F65" s="81" t="s">
        <v>224</v>
      </c>
      <c r="G65" s="81" t="s">
        <v>224</v>
      </c>
      <c r="H65" s="81" t="s">
        <v>224</v>
      </c>
      <c r="I65" s="81" t="s">
        <v>224</v>
      </c>
      <c r="J65" s="81" t="s">
        <v>5064</v>
      </c>
    </row>
    <row r="66" hidden="1">
      <c r="A66" s="83" t="s">
        <v>4949</v>
      </c>
      <c r="B66" s="83" t="s">
        <v>4950</v>
      </c>
      <c r="C66" s="81" t="s">
        <v>4082</v>
      </c>
      <c r="D66" s="81" t="s">
        <v>224</v>
      </c>
      <c r="E66" s="81" t="s">
        <v>5065</v>
      </c>
      <c r="F66" s="81" t="s">
        <v>224</v>
      </c>
      <c r="G66" s="81" t="s">
        <v>224</v>
      </c>
      <c r="H66" s="81" t="s">
        <v>224</v>
      </c>
      <c r="I66" s="81" t="s">
        <v>224</v>
      </c>
      <c r="J66" s="81" t="s">
        <v>5066</v>
      </c>
    </row>
    <row r="67" hidden="1">
      <c r="A67" s="83" t="s">
        <v>4949</v>
      </c>
      <c r="B67" s="83" t="s">
        <v>4950</v>
      </c>
      <c r="C67" s="81" t="s">
        <v>4082</v>
      </c>
      <c r="D67" s="81" t="s">
        <v>224</v>
      </c>
      <c r="E67" s="81" t="s">
        <v>5067</v>
      </c>
      <c r="F67" s="81" t="s">
        <v>224</v>
      </c>
      <c r="G67" s="81" t="s">
        <v>224</v>
      </c>
      <c r="H67" s="81" t="s">
        <v>224</v>
      </c>
      <c r="I67" s="81" t="s">
        <v>224</v>
      </c>
      <c r="J67" s="81" t="s">
        <v>5068</v>
      </c>
    </row>
    <row r="68" hidden="1">
      <c r="A68" s="83" t="s">
        <v>4949</v>
      </c>
      <c r="B68" s="83" t="s">
        <v>4950</v>
      </c>
      <c r="C68" s="81" t="s">
        <v>4082</v>
      </c>
      <c r="D68" s="81" t="s">
        <v>224</v>
      </c>
      <c r="E68" s="81" t="s">
        <v>5069</v>
      </c>
      <c r="F68" s="81" t="s">
        <v>224</v>
      </c>
      <c r="G68" s="81" t="s">
        <v>224</v>
      </c>
      <c r="H68" s="81" t="s">
        <v>224</v>
      </c>
      <c r="I68" s="81" t="s">
        <v>224</v>
      </c>
      <c r="J68" s="81" t="s">
        <v>5070</v>
      </c>
    </row>
    <row r="69" hidden="1">
      <c r="A69" s="83" t="s">
        <v>4949</v>
      </c>
      <c r="B69" s="83" t="s">
        <v>4950</v>
      </c>
      <c r="C69" s="81" t="s">
        <v>4082</v>
      </c>
      <c r="D69" s="81" t="s">
        <v>224</v>
      </c>
      <c r="E69" s="81" t="s">
        <v>5071</v>
      </c>
      <c r="F69" s="81" t="s">
        <v>224</v>
      </c>
      <c r="G69" s="81" t="s">
        <v>224</v>
      </c>
      <c r="H69" s="81" t="s">
        <v>224</v>
      </c>
      <c r="I69" s="81" t="s">
        <v>224</v>
      </c>
      <c r="J69" s="81" t="s">
        <v>5072</v>
      </c>
    </row>
    <row r="70" hidden="1">
      <c r="A70" s="83" t="s">
        <v>4949</v>
      </c>
      <c r="B70" s="83" t="s">
        <v>4950</v>
      </c>
      <c r="C70" s="81" t="s">
        <v>4082</v>
      </c>
      <c r="D70" s="81" t="s">
        <v>224</v>
      </c>
      <c r="E70" s="81" t="s">
        <v>5073</v>
      </c>
      <c r="F70" s="81" t="s">
        <v>224</v>
      </c>
      <c r="G70" s="81" t="s">
        <v>224</v>
      </c>
      <c r="H70" s="81" t="s">
        <v>224</v>
      </c>
      <c r="I70" s="81" t="s">
        <v>224</v>
      </c>
      <c r="J70" s="81" t="s">
        <v>5074</v>
      </c>
    </row>
    <row r="71" hidden="1">
      <c r="A71" s="83" t="s">
        <v>4949</v>
      </c>
      <c r="B71" s="83" t="s">
        <v>4950</v>
      </c>
      <c r="C71" s="81" t="s">
        <v>4082</v>
      </c>
      <c r="D71" s="81" t="s">
        <v>224</v>
      </c>
      <c r="E71" s="81" t="s">
        <v>5075</v>
      </c>
      <c r="F71" s="81" t="s">
        <v>224</v>
      </c>
      <c r="G71" s="81" t="s">
        <v>224</v>
      </c>
      <c r="H71" s="81" t="s">
        <v>224</v>
      </c>
      <c r="I71" s="81" t="s">
        <v>224</v>
      </c>
      <c r="J71" s="81" t="s">
        <v>5076</v>
      </c>
    </row>
    <row r="72" hidden="1">
      <c r="A72" s="83" t="s">
        <v>4949</v>
      </c>
      <c r="B72" s="83" t="s">
        <v>4950</v>
      </c>
      <c r="C72" s="81" t="s">
        <v>4082</v>
      </c>
      <c r="D72" s="81" t="s">
        <v>224</v>
      </c>
      <c r="E72" s="81" t="s">
        <v>5077</v>
      </c>
      <c r="F72" s="81" t="s">
        <v>224</v>
      </c>
      <c r="G72" s="81" t="s">
        <v>224</v>
      </c>
      <c r="H72" s="81" t="s">
        <v>224</v>
      </c>
      <c r="I72" s="81" t="s">
        <v>224</v>
      </c>
      <c r="J72" s="81" t="s">
        <v>5078</v>
      </c>
    </row>
    <row r="73" hidden="1">
      <c r="A73" s="83" t="s">
        <v>4949</v>
      </c>
      <c r="B73" s="83" t="s">
        <v>4950</v>
      </c>
      <c r="C73" s="81" t="s">
        <v>4082</v>
      </c>
      <c r="D73" s="81" t="s">
        <v>224</v>
      </c>
      <c r="E73" s="81" t="s">
        <v>5079</v>
      </c>
      <c r="F73" s="81" t="s">
        <v>224</v>
      </c>
      <c r="G73" s="81" t="s">
        <v>224</v>
      </c>
      <c r="H73" s="81" t="s">
        <v>224</v>
      </c>
      <c r="I73" s="81" t="s">
        <v>224</v>
      </c>
      <c r="J73" s="81" t="s">
        <v>4974</v>
      </c>
    </row>
    <row r="74" hidden="1">
      <c r="A74" s="83" t="s">
        <v>4949</v>
      </c>
      <c r="B74" s="83" t="s">
        <v>4950</v>
      </c>
      <c r="C74" s="81" t="s">
        <v>4082</v>
      </c>
      <c r="D74" s="81" t="s">
        <v>224</v>
      </c>
      <c r="E74" s="81" t="s">
        <v>5080</v>
      </c>
      <c r="F74" s="81" t="s">
        <v>224</v>
      </c>
      <c r="G74" s="81" t="s">
        <v>224</v>
      </c>
      <c r="H74" s="81" t="s">
        <v>224</v>
      </c>
      <c r="I74" s="81" t="s">
        <v>224</v>
      </c>
      <c r="J74" s="81" t="s">
        <v>4974</v>
      </c>
    </row>
    <row r="75" hidden="1">
      <c r="A75" s="83" t="s">
        <v>4949</v>
      </c>
      <c r="B75" s="83" t="s">
        <v>4950</v>
      </c>
      <c r="C75" s="81" t="s">
        <v>4082</v>
      </c>
      <c r="D75" s="81" t="s">
        <v>224</v>
      </c>
      <c r="E75" s="81" t="s">
        <v>5081</v>
      </c>
      <c r="F75" s="81" t="s">
        <v>224</v>
      </c>
      <c r="G75" s="81" t="s">
        <v>224</v>
      </c>
      <c r="H75" s="81" t="s">
        <v>224</v>
      </c>
      <c r="I75" s="81" t="s">
        <v>224</v>
      </c>
      <c r="J75" s="81" t="s">
        <v>5082</v>
      </c>
    </row>
    <row r="76" hidden="1">
      <c r="A76" s="83" t="s">
        <v>4949</v>
      </c>
      <c r="B76" s="83" t="s">
        <v>4950</v>
      </c>
      <c r="C76" s="81" t="s">
        <v>4082</v>
      </c>
      <c r="D76" s="81" t="s">
        <v>224</v>
      </c>
      <c r="E76" s="81" t="s">
        <v>5083</v>
      </c>
      <c r="F76" s="81" t="s">
        <v>224</v>
      </c>
      <c r="G76" s="81" t="s">
        <v>224</v>
      </c>
      <c r="H76" s="81" t="s">
        <v>224</v>
      </c>
      <c r="I76" s="81" t="s">
        <v>224</v>
      </c>
      <c r="J76" s="81" t="s">
        <v>4984</v>
      </c>
    </row>
    <row r="77" hidden="1">
      <c r="A77" s="83" t="s">
        <v>4949</v>
      </c>
      <c r="B77" s="83" t="s">
        <v>4950</v>
      </c>
      <c r="C77" s="81" t="s">
        <v>4082</v>
      </c>
      <c r="D77" s="81" t="s">
        <v>224</v>
      </c>
      <c r="E77" s="81" t="s">
        <v>5084</v>
      </c>
      <c r="F77" s="81" t="s">
        <v>224</v>
      </c>
      <c r="G77" s="81" t="s">
        <v>224</v>
      </c>
      <c r="H77" s="81" t="s">
        <v>224</v>
      </c>
      <c r="I77" s="81" t="s">
        <v>224</v>
      </c>
      <c r="J77" s="81" t="s">
        <v>5026</v>
      </c>
    </row>
    <row r="78" hidden="1">
      <c r="A78" s="83" t="s">
        <v>4949</v>
      </c>
      <c r="B78" s="83" t="s">
        <v>4950</v>
      </c>
      <c r="C78" s="81" t="s">
        <v>4082</v>
      </c>
      <c r="D78" s="81" t="s">
        <v>224</v>
      </c>
      <c r="E78" s="81" t="s">
        <v>5085</v>
      </c>
      <c r="F78" s="81" t="s">
        <v>224</v>
      </c>
      <c r="G78" s="81" t="s">
        <v>224</v>
      </c>
      <c r="H78" s="81" t="s">
        <v>224</v>
      </c>
      <c r="I78" s="81" t="s">
        <v>224</v>
      </c>
      <c r="J78" s="81" t="s">
        <v>5006</v>
      </c>
    </row>
    <row r="79" hidden="1">
      <c r="A79" s="83" t="s">
        <v>4949</v>
      </c>
      <c r="B79" s="83" t="s">
        <v>4950</v>
      </c>
      <c r="C79" s="81" t="s">
        <v>4082</v>
      </c>
      <c r="D79" s="81" t="s">
        <v>224</v>
      </c>
      <c r="E79" s="81" t="s">
        <v>5086</v>
      </c>
      <c r="F79" s="81" t="s">
        <v>224</v>
      </c>
      <c r="G79" s="81" t="s">
        <v>224</v>
      </c>
      <c r="H79" s="81" t="s">
        <v>224</v>
      </c>
      <c r="I79" s="81" t="s">
        <v>224</v>
      </c>
      <c r="J79" s="81" t="s">
        <v>5006</v>
      </c>
    </row>
    <row r="80" hidden="1">
      <c r="A80" s="83" t="s">
        <v>4949</v>
      </c>
      <c r="B80" s="83" t="s">
        <v>4950</v>
      </c>
      <c r="C80" s="81" t="s">
        <v>4082</v>
      </c>
      <c r="D80" s="81" t="s">
        <v>224</v>
      </c>
      <c r="E80" s="81" t="s">
        <v>5087</v>
      </c>
      <c r="F80" s="81" t="s">
        <v>224</v>
      </c>
      <c r="G80" s="81" t="s">
        <v>224</v>
      </c>
      <c r="H80" s="81" t="s">
        <v>224</v>
      </c>
      <c r="I80" s="81" t="s">
        <v>224</v>
      </c>
      <c r="J80" s="81" t="s">
        <v>4984</v>
      </c>
    </row>
    <row r="81" hidden="1">
      <c r="A81" s="83" t="s">
        <v>4949</v>
      </c>
      <c r="B81" s="83" t="s">
        <v>4950</v>
      </c>
      <c r="C81" s="81" t="s">
        <v>4082</v>
      </c>
      <c r="D81" s="81" t="s">
        <v>224</v>
      </c>
      <c r="E81" s="81" t="s">
        <v>5088</v>
      </c>
      <c r="F81" s="81" t="s">
        <v>224</v>
      </c>
      <c r="G81" s="81" t="s">
        <v>224</v>
      </c>
      <c r="H81" s="81" t="s">
        <v>224</v>
      </c>
      <c r="I81" s="81" t="s">
        <v>224</v>
      </c>
      <c r="J81" s="81" t="s">
        <v>5026</v>
      </c>
    </row>
    <row r="82" hidden="1">
      <c r="A82" s="83" t="s">
        <v>4949</v>
      </c>
      <c r="B82" s="83" t="s">
        <v>4950</v>
      </c>
      <c r="C82" s="81" t="s">
        <v>4082</v>
      </c>
      <c r="D82" s="81" t="s">
        <v>224</v>
      </c>
      <c r="E82" s="81" t="s">
        <v>5089</v>
      </c>
      <c r="F82" s="81" t="s">
        <v>224</v>
      </c>
      <c r="G82" s="81" t="s">
        <v>224</v>
      </c>
      <c r="H82" s="81" t="s">
        <v>224</v>
      </c>
      <c r="I82" s="81" t="s">
        <v>224</v>
      </c>
      <c r="J82" s="81" t="s">
        <v>4984</v>
      </c>
    </row>
    <row r="83" hidden="1">
      <c r="A83" s="83" t="s">
        <v>4949</v>
      </c>
      <c r="B83" s="83" t="s">
        <v>4950</v>
      </c>
      <c r="C83" s="81" t="s">
        <v>4082</v>
      </c>
      <c r="D83" s="81" t="s">
        <v>224</v>
      </c>
      <c r="E83" s="81" t="s">
        <v>5090</v>
      </c>
      <c r="F83" s="81" t="s">
        <v>224</v>
      </c>
      <c r="G83" s="81" t="s">
        <v>224</v>
      </c>
      <c r="H83" s="81" t="s">
        <v>224</v>
      </c>
      <c r="I83" s="81" t="s">
        <v>224</v>
      </c>
      <c r="J83" s="81" t="s">
        <v>4984</v>
      </c>
    </row>
    <row r="84" hidden="1">
      <c r="A84" s="83" t="s">
        <v>4949</v>
      </c>
      <c r="B84" s="83" t="s">
        <v>4950</v>
      </c>
      <c r="C84" s="81" t="s">
        <v>4082</v>
      </c>
      <c r="D84" s="81" t="s">
        <v>224</v>
      </c>
      <c r="E84" s="81" t="s">
        <v>5091</v>
      </c>
      <c r="F84" s="81" t="s">
        <v>224</v>
      </c>
      <c r="G84" s="81" t="s">
        <v>224</v>
      </c>
      <c r="H84" s="81" t="s">
        <v>224</v>
      </c>
      <c r="I84" s="81" t="s">
        <v>224</v>
      </c>
      <c r="J84" s="81" t="s">
        <v>5006</v>
      </c>
    </row>
    <row r="85" hidden="1">
      <c r="A85" s="83" t="s">
        <v>4949</v>
      </c>
      <c r="B85" s="83" t="s">
        <v>4950</v>
      </c>
      <c r="C85" s="81" t="s">
        <v>4082</v>
      </c>
      <c r="D85" s="81" t="s">
        <v>224</v>
      </c>
      <c r="E85" s="81" t="s">
        <v>5092</v>
      </c>
      <c r="F85" s="81" t="s">
        <v>224</v>
      </c>
      <c r="G85" s="81" t="s">
        <v>224</v>
      </c>
      <c r="H85" s="81" t="s">
        <v>224</v>
      </c>
      <c r="I85" s="81" t="s">
        <v>224</v>
      </c>
      <c r="J85" s="81" t="s">
        <v>5006</v>
      </c>
    </row>
    <row r="86" hidden="1">
      <c r="A86" s="83" t="s">
        <v>4949</v>
      </c>
      <c r="B86" s="83" t="s">
        <v>4950</v>
      </c>
      <c r="C86" s="81" t="s">
        <v>4082</v>
      </c>
      <c r="D86" s="81" t="s">
        <v>224</v>
      </c>
      <c r="E86" s="81" t="s">
        <v>5093</v>
      </c>
      <c r="F86" s="81" t="s">
        <v>224</v>
      </c>
      <c r="G86" s="81" t="s">
        <v>224</v>
      </c>
      <c r="H86" s="81" t="s">
        <v>224</v>
      </c>
      <c r="I86" s="81" t="s">
        <v>224</v>
      </c>
      <c r="J86" s="81" t="s">
        <v>5026</v>
      </c>
    </row>
    <row r="87" hidden="1">
      <c r="A87" s="83" t="s">
        <v>4949</v>
      </c>
      <c r="B87" s="83" t="s">
        <v>4950</v>
      </c>
      <c r="C87" s="81" t="s">
        <v>4082</v>
      </c>
      <c r="D87" s="81" t="s">
        <v>224</v>
      </c>
      <c r="E87" s="81" t="s">
        <v>5094</v>
      </c>
      <c r="F87" s="81" t="s">
        <v>224</v>
      </c>
      <c r="G87" s="81" t="s">
        <v>224</v>
      </c>
      <c r="H87" s="81" t="s">
        <v>224</v>
      </c>
      <c r="I87" s="81" t="s">
        <v>224</v>
      </c>
      <c r="J87" s="81" t="s">
        <v>5026</v>
      </c>
    </row>
    <row r="88" hidden="1">
      <c r="A88" s="83" t="s">
        <v>4949</v>
      </c>
      <c r="B88" s="83" t="s">
        <v>4950</v>
      </c>
      <c r="C88" s="81" t="s">
        <v>4082</v>
      </c>
      <c r="D88" s="81" t="s">
        <v>224</v>
      </c>
      <c r="E88" s="81" t="s">
        <v>5095</v>
      </c>
      <c r="F88" s="81" t="s">
        <v>224</v>
      </c>
      <c r="G88" s="81" t="s">
        <v>224</v>
      </c>
      <c r="H88" s="81" t="s">
        <v>224</v>
      </c>
      <c r="I88" s="81" t="s">
        <v>224</v>
      </c>
      <c r="J88" s="81" t="s">
        <v>5006</v>
      </c>
    </row>
    <row r="89" hidden="1">
      <c r="A89" s="83" t="s">
        <v>4949</v>
      </c>
      <c r="B89" s="83" t="s">
        <v>4950</v>
      </c>
      <c r="C89" s="81" t="s">
        <v>4082</v>
      </c>
      <c r="D89" s="81" t="s">
        <v>224</v>
      </c>
      <c r="E89" s="81" t="s">
        <v>5096</v>
      </c>
      <c r="F89" s="81" t="s">
        <v>224</v>
      </c>
      <c r="G89" s="81" t="s">
        <v>224</v>
      </c>
      <c r="H89" s="81" t="s">
        <v>224</v>
      </c>
      <c r="I89" s="81" t="s">
        <v>224</v>
      </c>
      <c r="J89" s="81" t="s">
        <v>5006</v>
      </c>
    </row>
    <row r="90" hidden="1">
      <c r="A90" s="83" t="s">
        <v>4949</v>
      </c>
      <c r="B90" s="83" t="s">
        <v>4950</v>
      </c>
      <c r="C90" s="81" t="s">
        <v>4082</v>
      </c>
      <c r="D90" s="81" t="s">
        <v>224</v>
      </c>
      <c r="E90" s="81" t="s">
        <v>5097</v>
      </c>
      <c r="F90" s="81" t="s">
        <v>224</v>
      </c>
      <c r="G90" s="81" t="s">
        <v>224</v>
      </c>
      <c r="H90" s="81" t="s">
        <v>224</v>
      </c>
      <c r="I90" s="81" t="s">
        <v>224</v>
      </c>
      <c r="J90" s="81" t="s">
        <v>5006</v>
      </c>
    </row>
    <row r="91" hidden="1">
      <c r="A91" s="83" t="s">
        <v>4949</v>
      </c>
      <c r="B91" s="83" t="s">
        <v>4950</v>
      </c>
      <c r="C91" s="81" t="s">
        <v>4082</v>
      </c>
      <c r="D91" s="81" t="s">
        <v>224</v>
      </c>
      <c r="E91" s="81" t="s">
        <v>5098</v>
      </c>
      <c r="F91" s="81" t="s">
        <v>224</v>
      </c>
      <c r="G91" s="81" t="s">
        <v>224</v>
      </c>
      <c r="H91" s="81" t="s">
        <v>224</v>
      </c>
      <c r="I91" s="81" t="s">
        <v>224</v>
      </c>
      <c r="J91" s="81" t="s">
        <v>4984</v>
      </c>
    </row>
    <row r="92" hidden="1">
      <c r="A92" s="83" t="s">
        <v>4949</v>
      </c>
      <c r="B92" s="83" t="s">
        <v>4950</v>
      </c>
      <c r="C92" s="81" t="s">
        <v>4082</v>
      </c>
      <c r="D92" s="81" t="s">
        <v>224</v>
      </c>
      <c r="E92" s="81" t="s">
        <v>5099</v>
      </c>
      <c r="F92" s="81" t="s">
        <v>224</v>
      </c>
      <c r="G92" s="81" t="s">
        <v>224</v>
      </c>
      <c r="H92" s="81" t="s">
        <v>224</v>
      </c>
      <c r="I92" s="81" t="s">
        <v>224</v>
      </c>
      <c r="J92" s="81" t="s">
        <v>4984</v>
      </c>
    </row>
    <row r="93" hidden="1">
      <c r="A93" s="83" t="s">
        <v>4949</v>
      </c>
      <c r="B93" s="83" t="s">
        <v>4950</v>
      </c>
      <c r="C93" s="81" t="s">
        <v>4082</v>
      </c>
      <c r="D93" s="81" t="s">
        <v>224</v>
      </c>
      <c r="E93" s="81" t="s">
        <v>5100</v>
      </c>
      <c r="F93" s="81" t="s">
        <v>224</v>
      </c>
      <c r="G93" s="81" t="s">
        <v>224</v>
      </c>
      <c r="H93" s="81" t="s">
        <v>224</v>
      </c>
      <c r="I93" s="81" t="s">
        <v>224</v>
      </c>
      <c r="J93" s="81" t="s">
        <v>4984</v>
      </c>
    </row>
    <row r="94" hidden="1">
      <c r="A94" s="83" t="s">
        <v>4949</v>
      </c>
      <c r="B94" s="83" t="s">
        <v>4950</v>
      </c>
      <c r="C94" s="81" t="s">
        <v>4082</v>
      </c>
      <c r="D94" s="81" t="s">
        <v>224</v>
      </c>
      <c r="E94" s="81" t="s">
        <v>5101</v>
      </c>
      <c r="F94" s="81" t="s">
        <v>224</v>
      </c>
      <c r="G94" s="81" t="s">
        <v>224</v>
      </c>
      <c r="H94" s="81" t="s">
        <v>224</v>
      </c>
      <c r="I94" s="81" t="s">
        <v>224</v>
      </c>
      <c r="J94" s="81" t="s">
        <v>5006</v>
      </c>
    </row>
    <row r="95" hidden="1">
      <c r="A95" s="83" t="s">
        <v>4949</v>
      </c>
      <c r="B95" s="83" t="s">
        <v>4950</v>
      </c>
      <c r="C95" s="81" t="s">
        <v>4082</v>
      </c>
      <c r="D95" s="81" t="s">
        <v>224</v>
      </c>
      <c r="E95" s="81" t="s">
        <v>5102</v>
      </c>
      <c r="F95" s="81" t="s">
        <v>224</v>
      </c>
      <c r="G95" s="81" t="s">
        <v>224</v>
      </c>
      <c r="H95" s="81" t="s">
        <v>224</v>
      </c>
      <c r="I95" s="81" t="s">
        <v>224</v>
      </c>
      <c r="J95" s="81" t="s">
        <v>4984</v>
      </c>
    </row>
    <row r="96" hidden="1">
      <c r="A96" s="83" t="s">
        <v>4949</v>
      </c>
      <c r="B96" s="83" t="s">
        <v>4950</v>
      </c>
      <c r="C96" s="81" t="s">
        <v>4082</v>
      </c>
      <c r="D96" s="81" t="s">
        <v>224</v>
      </c>
      <c r="E96" s="81" t="s">
        <v>5103</v>
      </c>
      <c r="F96" s="81" t="s">
        <v>224</v>
      </c>
      <c r="G96" s="81" t="s">
        <v>224</v>
      </c>
      <c r="H96" s="81" t="s">
        <v>224</v>
      </c>
      <c r="I96" s="81" t="s">
        <v>224</v>
      </c>
      <c r="J96" s="81" t="s">
        <v>5026</v>
      </c>
    </row>
    <row r="97" hidden="1">
      <c r="A97" s="83" t="s">
        <v>4949</v>
      </c>
      <c r="B97" s="83" t="s">
        <v>4950</v>
      </c>
      <c r="C97" s="81" t="s">
        <v>4082</v>
      </c>
      <c r="D97" s="81" t="s">
        <v>224</v>
      </c>
      <c r="E97" s="81" t="s">
        <v>5104</v>
      </c>
      <c r="F97" s="81" t="s">
        <v>224</v>
      </c>
      <c r="G97" s="81" t="s">
        <v>224</v>
      </c>
      <c r="H97" s="81" t="s">
        <v>224</v>
      </c>
      <c r="I97" s="81" t="s">
        <v>224</v>
      </c>
      <c r="J97" s="81" t="s">
        <v>5026</v>
      </c>
    </row>
    <row r="98" hidden="1">
      <c r="A98" s="83" t="s">
        <v>4949</v>
      </c>
      <c r="B98" s="83" t="s">
        <v>4950</v>
      </c>
      <c r="C98" s="81" t="s">
        <v>4082</v>
      </c>
      <c r="D98" s="81" t="s">
        <v>224</v>
      </c>
      <c r="E98" s="81" t="s">
        <v>5105</v>
      </c>
      <c r="F98" s="81" t="s">
        <v>224</v>
      </c>
      <c r="G98" s="81" t="s">
        <v>224</v>
      </c>
      <c r="H98" s="81" t="s">
        <v>224</v>
      </c>
      <c r="I98" s="81" t="s">
        <v>224</v>
      </c>
      <c r="J98" s="81" t="s">
        <v>5028</v>
      </c>
    </row>
    <row r="99" hidden="1">
      <c r="A99" s="83" t="s">
        <v>4949</v>
      </c>
      <c r="B99" s="83" t="s">
        <v>4950</v>
      </c>
      <c r="C99" s="81" t="s">
        <v>4082</v>
      </c>
      <c r="D99" s="81" t="s">
        <v>224</v>
      </c>
      <c r="E99" s="81" t="s">
        <v>5106</v>
      </c>
      <c r="F99" s="81" t="s">
        <v>224</v>
      </c>
      <c r="G99" s="81" t="s">
        <v>224</v>
      </c>
      <c r="H99" s="81" t="s">
        <v>224</v>
      </c>
      <c r="I99" s="81" t="s">
        <v>224</v>
      </c>
      <c r="J99" s="81" t="s">
        <v>5028</v>
      </c>
    </row>
    <row r="100" hidden="1">
      <c r="A100" s="83" t="s">
        <v>4949</v>
      </c>
      <c r="B100" s="83" t="s">
        <v>4950</v>
      </c>
      <c r="C100" s="81" t="s">
        <v>4082</v>
      </c>
      <c r="D100" s="81" t="s">
        <v>224</v>
      </c>
      <c r="E100" s="81" t="s">
        <v>5107</v>
      </c>
      <c r="F100" s="81" t="s">
        <v>224</v>
      </c>
      <c r="G100" s="81" t="s">
        <v>224</v>
      </c>
      <c r="H100" s="81" t="s">
        <v>224</v>
      </c>
      <c r="I100" s="81" t="s">
        <v>224</v>
      </c>
      <c r="J100" s="81" t="s">
        <v>5028</v>
      </c>
    </row>
    <row r="101" hidden="1">
      <c r="A101" s="83" t="s">
        <v>4949</v>
      </c>
      <c r="B101" s="83" t="s">
        <v>4950</v>
      </c>
      <c r="C101" s="81" t="s">
        <v>4082</v>
      </c>
      <c r="D101" s="81" t="s">
        <v>224</v>
      </c>
      <c r="E101" s="81" t="s">
        <v>5108</v>
      </c>
      <c r="F101" s="81" t="s">
        <v>224</v>
      </c>
      <c r="G101" s="81" t="s">
        <v>224</v>
      </c>
      <c r="H101" s="81" t="s">
        <v>224</v>
      </c>
      <c r="I101" s="81" t="s">
        <v>224</v>
      </c>
      <c r="J101" s="81" t="s">
        <v>5028</v>
      </c>
    </row>
    <row r="102" hidden="1">
      <c r="A102" s="83" t="s">
        <v>4949</v>
      </c>
      <c r="B102" s="83" t="s">
        <v>4950</v>
      </c>
      <c r="C102" s="81" t="s">
        <v>4082</v>
      </c>
      <c r="D102" s="81" t="s">
        <v>224</v>
      </c>
      <c r="E102" s="81" t="s">
        <v>5109</v>
      </c>
      <c r="F102" s="81" t="s">
        <v>224</v>
      </c>
      <c r="G102" s="81" t="s">
        <v>224</v>
      </c>
      <c r="H102" s="81" t="s">
        <v>224</v>
      </c>
      <c r="I102" s="81" t="s">
        <v>224</v>
      </c>
      <c r="J102" s="81" t="s">
        <v>5028</v>
      </c>
    </row>
    <row r="103" hidden="1">
      <c r="A103" s="83" t="s">
        <v>4949</v>
      </c>
      <c r="B103" s="83" t="s">
        <v>4950</v>
      </c>
      <c r="C103" s="81" t="s">
        <v>4082</v>
      </c>
      <c r="D103" s="81" t="s">
        <v>224</v>
      </c>
      <c r="E103" s="81" t="s">
        <v>5110</v>
      </c>
      <c r="F103" s="81" t="s">
        <v>224</v>
      </c>
      <c r="G103" s="81" t="s">
        <v>224</v>
      </c>
      <c r="H103" s="81" t="s">
        <v>224</v>
      </c>
      <c r="I103" s="81" t="s">
        <v>224</v>
      </c>
      <c r="J103" s="81" t="s">
        <v>5028</v>
      </c>
    </row>
    <row r="104" hidden="1">
      <c r="A104" s="83" t="s">
        <v>4949</v>
      </c>
      <c r="B104" s="83" t="s">
        <v>4950</v>
      </c>
      <c r="C104" s="81" t="s">
        <v>4082</v>
      </c>
      <c r="D104" s="81" t="s">
        <v>224</v>
      </c>
      <c r="E104" s="81" t="s">
        <v>224</v>
      </c>
      <c r="F104" s="81" t="s">
        <v>224</v>
      </c>
      <c r="G104" s="81" t="s">
        <v>224</v>
      </c>
      <c r="H104" s="81" t="s">
        <v>224</v>
      </c>
      <c r="I104" s="81" t="s">
        <v>224</v>
      </c>
      <c r="J104" s="81" t="s">
        <v>5111</v>
      </c>
    </row>
    <row r="105" hidden="1">
      <c r="A105" s="83" t="s">
        <v>4949</v>
      </c>
      <c r="B105" s="83" t="s">
        <v>4950</v>
      </c>
      <c r="C105" s="81" t="s">
        <v>4086</v>
      </c>
      <c r="D105" s="83" t="s">
        <v>4087</v>
      </c>
      <c r="E105" s="81" t="s">
        <v>48</v>
      </c>
      <c r="F105" s="84">
        <v>2.0</v>
      </c>
      <c r="G105" s="81" t="s">
        <v>39</v>
      </c>
      <c r="H105" s="81" t="s">
        <v>5112</v>
      </c>
      <c r="I105" s="81" t="s">
        <v>68</v>
      </c>
      <c r="J105" s="81" t="s">
        <v>224</v>
      </c>
    </row>
    <row r="106" hidden="1">
      <c r="A106" s="83" t="s">
        <v>4949</v>
      </c>
      <c r="B106" s="83" t="s">
        <v>4950</v>
      </c>
      <c r="C106" s="81" t="s">
        <v>4086</v>
      </c>
      <c r="D106" s="83" t="s">
        <v>4087</v>
      </c>
      <c r="E106" s="81" t="s">
        <v>48</v>
      </c>
      <c r="F106" s="84">
        <v>2.0</v>
      </c>
      <c r="G106" s="81" t="s">
        <v>40</v>
      </c>
      <c r="H106" s="81" t="s">
        <v>5113</v>
      </c>
      <c r="I106" s="81" t="s">
        <v>5114</v>
      </c>
      <c r="J106" s="81" t="s">
        <v>224</v>
      </c>
    </row>
    <row r="107" hidden="1">
      <c r="A107" s="83" t="s">
        <v>4949</v>
      </c>
      <c r="B107" s="83" t="s">
        <v>4950</v>
      </c>
      <c r="C107" s="81" t="s">
        <v>4086</v>
      </c>
      <c r="D107" s="83" t="s">
        <v>4087</v>
      </c>
      <c r="E107" s="81" t="s">
        <v>73</v>
      </c>
      <c r="F107" s="84">
        <v>3.0</v>
      </c>
      <c r="G107" s="81" t="s">
        <v>39</v>
      </c>
      <c r="H107" s="81" t="s">
        <v>5115</v>
      </c>
      <c r="I107" s="81" t="s">
        <v>68</v>
      </c>
      <c r="J107" s="81" t="s">
        <v>224</v>
      </c>
    </row>
    <row r="108" hidden="1">
      <c r="A108" s="83" t="s">
        <v>4949</v>
      </c>
      <c r="B108" s="83" t="s">
        <v>4950</v>
      </c>
      <c r="C108" s="81" t="s">
        <v>4086</v>
      </c>
      <c r="D108" s="83" t="s">
        <v>4087</v>
      </c>
      <c r="E108" s="81" t="s">
        <v>73</v>
      </c>
      <c r="F108" s="84">
        <v>3.0</v>
      </c>
      <c r="G108" s="81" t="s">
        <v>40</v>
      </c>
      <c r="H108" s="81" t="s">
        <v>5116</v>
      </c>
      <c r="I108" s="81" t="s">
        <v>5114</v>
      </c>
      <c r="J108" s="81" t="s">
        <v>224</v>
      </c>
    </row>
    <row r="109" hidden="1">
      <c r="A109" s="83" t="s">
        <v>4949</v>
      </c>
      <c r="B109" s="83" t="s">
        <v>4950</v>
      </c>
      <c r="C109" s="81" t="s">
        <v>4086</v>
      </c>
      <c r="D109" s="83" t="s">
        <v>4089</v>
      </c>
      <c r="E109" s="81" t="s">
        <v>75</v>
      </c>
      <c r="F109" s="84">
        <v>4.0</v>
      </c>
      <c r="G109" s="81" t="s">
        <v>39</v>
      </c>
      <c r="H109" s="81" t="s">
        <v>5117</v>
      </c>
      <c r="I109" s="81" t="s">
        <v>79</v>
      </c>
      <c r="J109" s="81" t="s">
        <v>224</v>
      </c>
    </row>
    <row r="110" hidden="1">
      <c r="A110" s="83" t="s">
        <v>4949</v>
      </c>
      <c r="B110" s="83" t="s">
        <v>4950</v>
      </c>
      <c r="C110" s="81" t="s">
        <v>4086</v>
      </c>
      <c r="D110" s="83" t="s">
        <v>4089</v>
      </c>
      <c r="E110" s="81" t="s">
        <v>75</v>
      </c>
      <c r="F110" s="84">
        <v>4.0</v>
      </c>
      <c r="G110" s="81" t="s">
        <v>40</v>
      </c>
      <c r="H110" s="81" t="s">
        <v>5118</v>
      </c>
      <c r="I110" s="81" t="s">
        <v>80</v>
      </c>
      <c r="J110" s="81" t="s">
        <v>224</v>
      </c>
    </row>
    <row r="111" hidden="1">
      <c r="A111" s="83" t="s">
        <v>4949</v>
      </c>
      <c r="B111" s="83" t="s">
        <v>4950</v>
      </c>
      <c r="C111" s="81" t="s">
        <v>4086</v>
      </c>
      <c r="D111" s="83" t="s">
        <v>4090</v>
      </c>
      <c r="E111" s="81" t="s">
        <v>83</v>
      </c>
      <c r="F111" s="84">
        <v>5.0</v>
      </c>
      <c r="G111" s="81" t="s">
        <v>39</v>
      </c>
      <c r="H111" s="81" t="s">
        <v>5119</v>
      </c>
      <c r="I111" s="81" t="s">
        <v>97</v>
      </c>
      <c r="J111" s="81" t="s">
        <v>224</v>
      </c>
    </row>
    <row r="112" hidden="1">
      <c r="A112" s="83" t="s">
        <v>4949</v>
      </c>
      <c r="B112" s="83" t="s">
        <v>4950</v>
      </c>
      <c r="C112" s="81" t="s">
        <v>4086</v>
      </c>
      <c r="D112" s="83" t="s">
        <v>4090</v>
      </c>
      <c r="E112" s="81" t="s">
        <v>83</v>
      </c>
      <c r="F112" s="84">
        <v>5.0</v>
      </c>
      <c r="G112" s="81" t="s">
        <v>40</v>
      </c>
      <c r="H112" s="81" t="s">
        <v>5120</v>
      </c>
      <c r="I112" s="81" t="s">
        <v>98</v>
      </c>
      <c r="J112" s="81" t="s">
        <v>224</v>
      </c>
    </row>
    <row r="113" hidden="1">
      <c r="A113" s="83" t="s">
        <v>4949</v>
      </c>
      <c r="B113" s="83" t="s">
        <v>4950</v>
      </c>
      <c r="C113" s="81" t="s">
        <v>4086</v>
      </c>
      <c r="D113" s="83" t="s">
        <v>4091</v>
      </c>
      <c r="E113" s="81" t="s">
        <v>104</v>
      </c>
      <c r="F113" s="84">
        <v>6.0</v>
      </c>
      <c r="G113" s="81" t="s">
        <v>39</v>
      </c>
      <c r="H113" s="81" t="s">
        <v>5121</v>
      </c>
      <c r="I113" s="81" t="s">
        <v>114</v>
      </c>
      <c r="J113" s="81" t="s">
        <v>224</v>
      </c>
    </row>
    <row r="114" hidden="1">
      <c r="A114" s="83" t="s">
        <v>4949</v>
      </c>
      <c r="B114" s="83" t="s">
        <v>4950</v>
      </c>
      <c r="C114" s="81" t="s">
        <v>4086</v>
      </c>
      <c r="D114" s="83" t="s">
        <v>4091</v>
      </c>
      <c r="E114" s="81" t="s">
        <v>104</v>
      </c>
      <c r="F114" s="84">
        <v>6.0</v>
      </c>
      <c r="G114" s="81" t="s">
        <v>40</v>
      </c>
      <c r="H114" s="81" t="s">
        <v>5122</v>
      </c>
      <c r="I114" s="81" t="s">
        <v>115</v>
      </c>
      <c r="J114" s="81" t="s">
        <v>224</v>
      </c>
    </row>
    <row r="115" hidden="1">
      <c r="A115" s="83" t="s">
        <v>4949</v>
      </c>
      <c r="B115" s="83" t="s">
        <v>4950</v>
      </c>
      <c r="C115" s="81" t="s">
        <v>4086</v>
      </c>
      <c r="D115" s="83" t="s">
        <v>4091</v>
      </c>
      <c r="E115" s="81" t="s">
        <v>121</v>
      </c>
      <c r="F115" s="84">
        <v>7.0</v>
      </c>
      <c r="G115" s="81" t="s">
        <v>39</v>
      </c>
      <c r="H115" s="81" t="s">
        <v>5121</v>
      </c>
      <c r="I115" s="81" t="s">
        <v>114</v>
      </c>
      <c r="J115" s="81" t="s">
        <v>224</v>
      </c>
    </row>
    <row r="116" hidden="1">
      <c r="A116" s="83" t="s">
        <v>4949</v>
      </c>
      <c r="B116" s="83" t="s">
        <v>4950</v>
      </c>
      <c r="C116" s="81" t="s">
        <v>4086</v>
      </c>
      <c r="D116" s="83" t="s">
        <v>4091</v>
      </c>
      <c r="E116" s="81" t="s">
        <v>121</v>
      </c>
      <c r="F116" s="84">
        <v>7.0</v>
      </c>
      <c r="G116" s="81" t="s">
        <v>40</v>
      </c>
      <c r="H116" s="81" t="s">
        <v>5122</v>
      </c>
      <c r="I116" s="81" t="s">
        <v>115</v>
      </c>
      <c r="J116" s="81" t="s">
        <v>224</v>
      </c>
    </row>
    <row r="117" hidden="1">
      <c r="A117" s="83" t="s">
        <v>4949</v>
      </c>
      <c r="B117" s="83" t="s">
        <v>4950</v>
      </c>
      <c r="C117" s="81" t="s">
        <v>4086</v>
      </c>
      <c r="D117" s="83" t="s">
        <v>4092</v>
      </c>
      <c r="E117" s="81" t="s">
        <v>122</v>
      </c>
      <c r="F117" s="84">
        <v>8.0</v>
      </c>
      <c r="G117" s="81" t="s">
        <v>39</v>
      </c>
      <c r="H117" s="81" t="s">
        <v>5123</v>
      </c>
      <c r="I117" s="81" t="s">
        <v>123</v>
      </c>
      <c r="J117" s="81" t="s">
        <v>224</v>
      </c>
    </row>
    <row r="118" hidden="1">
      <c r="A118" s="83" t="s">
        <v>4949</v>
      </c>
      <c r="B118" s="83" t="s">
        <v>4950</v>
      </c>
      <c r="C118" s="81" t="s">
        <v>4086</v>
      </c>
      <c r="D118" s="83" t="s">
        <v>4092</v>
      </c>
      <c r="E118" s="81" t="s">
        <v>122</v>
      </c>
      <c r="F118" s="84">
        <v>8.0</v>
      </c>
      <c r="G118" s="81" t="s">
        <v>40</v>
      </c>
      <c r="H118" s="81" t="s">
        <v>5124</v>
      </c>
      <c r="I118" s="81" t="s">
        <v>124</v>
      </c>
      <c r="J118" s="81" t="s">
        <v>224</v>
      </c>
    </row>
    <row r="119" hidden="1">
      <c r="A119" s="83" t="s">
        <v>4949</v>
      </c>
      <c r="B119" s="83" t="s">
        <v>4950</v>
      </c>
      <c r="C119" s="81" t="s">
        <v>4086</v>
      </c>
      <c r="D119" s="83" t="s">
        <v>4093</v>
      </c>
      <c r="E119" s="81" t="s">
        <v>125</v>
      </c>
      <c r="F119" s="84">
        <v>9.0</v>
      </c>
      <c r="G119" s="81" t="s">
        <v>40</v>
      </c>
      <c r="H119" s="81" t="s">
        <v>5125</v>
      </c>
      <c r="I119" s="81" t="s">
        <v>133</v>
      </c>
      <c r="J119" s="81" t="s">
        <v>224</v>
      </c>
    </row>
    <row r="120" hidden="1">
      <c r="A120" s="83" t="s">
        <v>4949</v>
      </c>
      <c r="B120" s="83" t="s">
        <v>4950</v>
      </c>
      <c r="C120" s="81" t="s">
        <v>4086</v>
      </c>
      <c r="D120" s="83" t="s">
        <v>4094</v>
      </c>
      <c r="E120" s="81" t="s">
        <v>139</v>
      </c>
      <c r="F120" s="84">
        <v>10.0</v>
      </c>
      <c r="G120" s="81" t="s">
        <v>39</v>
      </c>
      <c r="H120" s="81" t="s">
        <v>5126</v>
      </c>
      <c r="I120" s="81" t="s">
        <v>147</v>
      </c>
      <c r="J120" s="81" t="s">
        <v>224</v>
      </c>
    </row>
    <row r="121" hidden="1">
      <c r="A121" s="83" t="s">
        <v>4949</v>
      </c>
      <c r="B121" s="83" t="s">
        <v>4950</v>
      </c>
      <c r="C121" s="81" t="s">
        <v>4086</v>
      </c>
      <c r="D121" s="83" t="s">
        <v>4094</v>
      </c>
      <c r="E121" s="81" t="s">
        <v>139</v>
      </c>
      <c r="F121" s="84">
        <v>10.0</v>
      </c>
      <c r="G121" s="81" t="s">
        <v>40</v>
      </c>
      <c r="H121" s="81" t="s">
        <v>5127</v>
      </c>
      <c r="I121" s="81" t="s">
        <v>5128</v>
      </c>
      <c r="J121" s="81" t="s">
        <v>224</v>
      </c>
    </row>
    <row r="122" hidden="1">
      <c r="A122" s="83" t="s">
        <v>4949</v>
      </c>
      <c r="B122" s="83" t="s">
        <v>4950</v>
      </c>
      <c r="C122" s="81" t="s">
        <v>4086</v>
      </c>
      <c r="D122" s="83" t="s">
        <v>4094</v>
      </c>
      <c r="E122" s="81" t="s">
        <v>154</v>
      </c>
      <c r="F122" s="84">
        <v>11.0</v>
      </c>
      <c r="G122" s="81" t="s">
        <v>40</v>
      </c>
      <c r="H122" s="81" t="s">
        <v>5127</v>
      </c>
      <c r="I122" s="81" t="s">
        <v>5128</v>
      </c>
      <c r="J122" s="81" t="s">
        <v>224</v>
      </c>
    </row>
    <row r="123" hidden="1">
      <c r="A123" s="83" t="s">
        <v>4949</v>
      </c>
      <c r="B123" s="83" t="s">
        <v>4950</v>
      </c>
      <c r="C123" s="81" t="s">
        <v>4086</v>
      </c>
      <c r="D123" s="83" t="s">
        <v>4095</v>
      </c>
      <c r="E123" s="81" t="s">
        <v>155</v>
      </c>
      <c r="F123" s="84">
        <v>12.0</v>
      </c>
      <c r="G123" s="81" t="s">
        <v>40</v>
      </c>
      <c r="H123" s="81" t="s">
        <v>5129</v>
      </c>
      <c r="I123" s="81" t="s">
        <v>157</v>
      </c>
      <c r="J123" s="81" t="s">
        <v>224</v>
      </c>
    </row>
    <row r="124" hidden="1">
      <c r="A124" s="83" t="s">
        <v>4949</v>
      </c>
      <c r="B124" s="83" t="s">
        <v>4950</v>
      </c>
      <c r="C124" s="81" t="s">
        <v>4086</v>
      </c>
      <c r="D124" s="83" t="s">
        <v>4096</v>
      </c>
      <c r="E124" s="81" t="s">
        <v>158</v>
      </c>
      <c r="F124" s="84">
        <v>13.0</v>
      </c>
      <c r="G124" s="81" t="s">
        <v>39</v>
      </c>
      <c r="H124" s="81" t="s">
        <v>5130</v>
      </c>
      <c r="I124" s="81" t="s">
        <v>163</v>
      </c>
      <c r="J124" s="81" t="s">
        <v>224</v>
      </c>
    </row>
    <row r="125" hidden="1">
      <c r="A125" s="83" t="s">
        <v>4949</v>
      </c>
      <c r="B125" s="83" t="s">
        <v>4950</v>
      </c>
      <c r="C125" s="81" t="s">
        <v>4086</v>
      </c>
      <c r="D125" s="83" t="s">
        <v>4096</v>
      </c>
      <c r="E125" s="81" t="s">
        <v>158</v>
      </c>
      <c r="F125" s="84">
        <v>13.0</v>
      </c>
      <c r="G125" s="81" t="s">
        <v>40</v>
      </c>
      <c r="H125" s="81" t="s">
        <v>5131</v>
      </c>
      <c r="I125" s="81" t="s">
        <v>164</v>
      </c>
      <c r="J125" s="81" t="s">
        <v>224</v>
      </c>
    </row>
    <row r="126" hidden="1">
      <c r="A126" s="83" t="s">
        <v>4949</v>
      </c>
      <c r="B126" s="83" t="s">
        <v>4950</v>
      </c>
      <c r="C126" s="81" t="s">
        <v>4086</v>
      </c>
      <c r="D126" s="83" t="s">
        <v>4096</v>
      </c>
      <c r="E126" s="81" t="s">
        <v>170</v>
      </c>
      <c r="F126" s="84">
        <v>14.0</v>
      </c>
      <c r="G126" s="81" t="s">
        <v>40</v>
      </c>
      <c r="H126" s="81" t="s">
        <v>5131</v>
      </c>
      <c r="I126" s="81" t="s">
        <v>164</v>
      </c>
      <c r="J126" s="81" t="s">
        <v>224</v>
      </c>
    </row>
    <row r="127" hidden="1">
      <c r="A127" s="83" t="s">
        <v>4949</v>
      </c>
      <c r="B127" s="83" t="s">
        <v>4950</v>
      </c>
      <c r="C127" s="81" t="s">
        <v>4086</v>
      </c>
      <c r="D127" s="83" t="s">
        <v>4097</v>
      </c>
      <c r="E127" s="81" t="s">
        <v>172</v>
      </c>
      <c r="F127" s="84">
        <v>15.0</v>
      </c>
      <c r="G127" s="81" t="s">
        <v>40</v>
      </c>
      <c r="H127" s="81" t="s">
        <v>5132</v>
      </c>
      <c r="I127" s="81" t="s">
        <v>174</v>
      </c>
      <c r="J127" s="81" t="s">
        <v>224</v>
      </c>
    </row>
    <row r="128" hidden="1">
      <c r="A128" s="83" t="s">
        <v>4949</v>
      </c>
      <c r="B128" s="83" t="s">
        <v>4950</v>
      </c>
      <c r="C128" s="81" t="s">
        <v>4086</v>
      </c>
      <c r="D128" s="83" t="s">
        <v>4098</v>
      </c>
      <c r="E128" s="81" t="s">
        <v>175</v>
      </c>
      <c r="F128" s="84">
        <v>16.0</v>
      </c>
      <c r="G128" s="81" t="s">
        <v>39</v>
      </c>
      <c r="H128" s="81" t="s">
        <v>5133</v>
      </c>
      <c r="I128" s="81" t="s">
        <v>180</v>
      </c>
      <c r="J128" s="81" t="s">
        <v>224</v>
      </c>
    </row>
    <row r="129" hidden="1">
      <c r="A129" s="83" t="s">
        <v>4949</v>
      </c>
      <c r="B129" s="83" t="s">
        <v>4950</v>
      </c>
      <c r="C129" s="81" t="s">
        <v>4086</v>
      </c>
      <c r="D129" s="83" t="s">
        <v>4098</v>
      </c>
      <c r="E129" s="81" t="s">
        <v>175</v>
      </c>
      <c r="F129" s="84">
        <v>16.0</v>
      </c>
      <c r="G129" s="81" t="s">
        <v>40</v>
      </c>
      <c r="H129" s="81" t="s">
        <v>5134</v>
      </c>
      <c r="I129" s="81" t="s">
        <v>181</v>
      </c>
      <c r="J129" s="81" t="s">
        <v>224</v>
      </c>
    </row>
    <row r="130" hidden="1">
      <c r="A130" s="83" t="s">
        <v>4949</v>
      </c>
      <c r="B130" s="83" t="s">
        <v>4950</v>
      </c>
      <c r="C130" s="81" t="s">
        <v>4086</v>
      </c>
      <c r="D130" s="83" t="s">
        <v>4099</v>
      </c>
      <c r="E130" s="81" t="s">
        <v>187</v>
      </c>
      <c r="F130" s="84">
        <v>17.0</v>
      </c>
      <c r="G130" s="81" t="s">
        <v>39</v>
      </c>
      <c r="H130" s="81" t="s">
        <v>5135</v>
      </c>
      <c r="I130" s="81" t="s">
        <v>193</v>
      </c>
      <c r="J130" s="81" t="s">
        <v>224</v>
      </c>
    </row>
    <row r="131" hidden="1">
      <c r="A131" s="83" t="s">
        <v>4949</v>
      </c>
      <c r="B131" s="83" t="s">
        <v>4950</v>
      </c>
      <c r="C131" s="81" t="s">
        <v>4086</v>
      </c>
      <c r="D131" s="83" t="s">
        <v>4099</v>
      </c>
      <c r="E131" s="81" t="s">
        <v>187</v>
      </c>
      <c r="F131" s="84">
        <v>17.0</v>
      </c>
      <c r="G131" s="81" t="s">
        <v>40</v>
      </c>
      <c r="H131" s="81" t="s">
        <v>5136</v>
      </c>
      <c r="I131" s="81" t="s">
        <v>194</v>
      </c>
      <c r="J131" s="81" t="s">
        <v>224</v>
      </c>
    </row>
    <row r="132" hidden="1">
      <c r="A132" s="83" t="s">
        <v>4949</v>
      </c>
      <c r="B132" s="83" t="s">
        <v>4950</v>
      </c>
      <c r="C132" s="81" t="s">
        <v>4086</v>
      </c>
      <c r="D132" s="83" t="s">
        <v>4100</v>
      </c>
      <c r="E132" s="81" t="s">
        <v>200</v>
      </c>
      <c r="F132" s="84">
        <v>18.0</v>
      </c>
      <c r="G132" s="81" t="s">
        <v>39</v>
      </c>
      <c r="H132" s="81" t="s">
        <v>5137</v>
      </c>
      <c r="I132" s="81" t="s">
        <v>205</v>
      </c>
      <c r="J132" s="81" t="s">
        <v>224</v>
      </c>
    </row>
    <row r="133" hidden="1">
      <c r="A133" s="83" t="s">
        <v>4949</v>
      </c>
      <c r="B133" s="83" t="s">
        <v>4950</v>
      </c>
      <c r="C133" s="81" t="s">
        <v>4086</v>
      </c>
      <c r="D133" s="83" t="s">
        <v>4100</v>
      </c>
      <c r="E133" s="81" t="s">
        <v>200</v>
      </c>
      <c r="F133" s="84">
        <v>18.0</v>
      </c>
      <c r="G133" s="81" t="s">
        <v>40</v>
      </c>
      <c r="H133" s="81" t="s">
        <v>5138</v>
      </c>
      <c r="I133" s="81" t="s">
        <v>5139</v>
      </c>
      <c r="J133" s="81" t="s">
        <v>224</v>
      </c>
    </row>
    <row r="134" hidden="1">
      <c r="A134" s="83" t="s">
        <v>4949</v>
      </c>
      <c r="B134" s="83" t="s">
        <v>4950</v>
      </c>
      <c r="C134" s="81" t="s">
        <v>4086</v>
      </c>
      <c r="D134" s="83" t="s">
        <v>4101</v>
      </c>
      <c r="E134" s="81" t="s">
        <v>212</v>
      </c>
      <c r="F134" s="84">
        <v>19.0</v>
      </c>
      <c r="G134" s="81" t="s">
        <v>39</v>
      </c>
      <c r="H134" s="81" t="s">
        <v>5140</v>
      </c>
      <c r="I134" s="81" t="s">
        <v>223</v>
      </c>
      <c r="J134" s="81" t="s">
        <v>224</v>
      </c>
    </row>
    <row r="135" hidden="1">
      <c r="A135" s="83" t="s">
        <v>4949</v>
      </c>
      <c r="B135" s="83" t="s">
        <v>4950</v>
      </c>
      <c r="C135" s="81" t="s">
        <v>5141</v>
      </c>
      <c r="D135" s="83" t="s">
        <v>4101</v>
      </c>
      <c r="E135" s="81" t="s">
        <v>212</v>
      </c>
      <c r="F135" s="84">
        <v>19.0</v>
      </c>
      <c r="G135" s="81" t="s">
        <v>40</v>
      </c>
      <c r="H135" s="81" t="s">
        <v>5142</v>
      </c>
      <c r="I135" s="81" t="s">
        <v>224</v>
      </c>
      <c r="J135" s="81" t="s">
        <v>5143</v>
      </c>
    </row>
    <row r="136" hidden="1">
      <c r="A136" s="83" t="s">
        <v>4949</v>
      </c>
      <c r="B136" s="83" t="s">
        <v>4950</v>
      </c>
      <c r="C136" s="81" t="s">
        <v>4086</v>
      </c>
      <c r="D136" s="83" t="s">
        <v>4102</v>
      </c>
      <c r="E136" s="81" t="s">
        <v>226</v>
      </c>
      <c r="F136" s="84">
        <v>20.0</v>
      </c>
      <c r="G136" s="81" t="s">
        <v>39</v>
      </c>
      <c r="H136" s="81" t="s">
        <v>5144</v>
      </c>
      <c r="I136" s="81" t="s">
        <v>234</v>
      </c>
      <c r="J136" s="81" t="s">
        <v>224</v>
      </c>
    </row>
    <row r="137" hidden="1">
      <c r="A137" s="83" t="s">
        <v>4949</v>
      </c>
      <c r="B137" s="83" t="s">
        <v>4950</v>
      </c>
      <c r="C137" s="81" t="s">
        <v>4086</v>
      </c>
      <c r="D137" s="83" t="s">
        <v>4102</v>
      </c>
      <c r="E137" s="81" t="s">
        <v>226</v>
      </c>
      <c r="F137" s="84">
        <v>20.0</v>
      </c>
      <c r="G137" s="81" t="s">
        <v>40</v>
      </c>
      <c r="H137" s="81" t="s">
        <v>5145</v>
      </c>
      <c r="I137" s="81" t="s">
        <v>235</v>
      </c>
      <c r="J137" s="81" t="s">
        <v>224</v>
      </c>
    </row>
    <row r="138" hidden="1">
      <c r="A138" s="83" t="s">
        <v>4949</v>
      </c>
      <c r="B138" s="83" t="s">
        <v>4950</v>
      </c>
      <c r="C138" s="81" t="s">
        <v>4086</v>
      </c>
      <c r="D138" s="83" t="s">
        <v>4102</v>
      </c>
      <c r="E138" s="81" t="s">
        <v>239</v>
      </c>
      <c r="F138" s="84">
        <v>21.0</v>
      </c>
      <c r="G138" s="81" t="s">
        <v>39</v>
      </c>
      <c r="H138" s="81" t="s">
        <v>5144</v>
      </c>
      <c r="I138" s="81" t="s">
        <v>234</v>
      </c>
      <c r="J138" s="81" t="s">
        <v>224</v>
      </c>
    </row>
    <row r="139" hidden="1">
      <c r="A139" s="83" t="s">
        <v>4949</v>
      </c>
      <c r="B139" s="83" t="s">
        <v>4950</v>
      </c>
      <c r="C139" s="81" t="s">
        <v>4086</v>
      </c>
      <c r="D139" s="83" t="s">
        <v>4102</v>
      </c>
      <c r="E139" s="81" t="s">
        <v>239</v>
      </c>
      <c r="F139" s="84">
        <v>21.0</v>
      </c>
      <c r="G139" s="81" t="s">
        <v>40</v>
      </c>
      <c r="H139" s="81" t="s">
        <v>5145</v>
      </c>
      <c r="I139" s="81" t="s">
        <v>235</v>
      </c>
      <c r="J139" s="81" t="s">
        <v>224</v>
      </c>
    </row>
    <row r="140" hidden="1">
      <c r="A140" s="83" t="s">
        <v>4949</v>
      </c>
      <c r="B140" s="83" t="s">
        <v>4950</v>
      </c>
      <c r="C140" s="81" t="s">
        <v>4086</v>
      </c>
      <c r="D140" s="83" t="s">
        <v>4104</v>
      </c>
      <c r="E140" s="81" t="s">
        <v>241</v>
      </c>
      <c r="F140" s="84">
        <v>22.0</v>
      </c>
      <c r="G140" s="81" t="s">
        <v>39</v>
      </c>
      <c r="H140" s="81" t="s">
        <v>5146</v>
      </c>
      <c r="I140" s="81" t="s">
        <v>242</v>
      </c>
      <c r="J140" s="81" t="s">
        <v>224</v>
      </c>
    </row>
    <row r="141" hidden="1">
      <c r="A141" s="83" t="s">
        <v>4949</v>
      </c>
      <c r="B141" s="83" t="s">
        <v>4950</v>
      </c>
      <c r="C141" s="81" t="s">
        <v>4086</v>
      </c>
      <c r="D141" s="83" t="s">
        <v>4104</v>
      </c>
      <c r="E141" s="81" t="s">
        <v>241</v>
      </c>
      <c r="F141" s="84">
        <v>22.0</v>
      </c>
      <c r="G141" s="81" t="s">
        <v>40</v>
      </c>
      <c r="H141" s="81" t="s">
        <v>5147</v>
      </c>
      <c r="I141" s="81" t="s">
        <v>243</v>
      </c>
      <c r="J141" s="81" t="s">
        <v>224</v>
      </c>
    </row>
    <row r="142" hidden="1">
      <c r="A142" s="83" t="s">
        <v>4949</v>
      </c>
      <c r="B142" s="83" t="s">
        <v>4950</v>
      </c>
      <c r="C142" s="81" t="s">
        <v>4086</v>
      </c>
      <c r="D142" s="83" t="s">
        <v>4105</v>
      </c>
      <c r="E142" s="81" t="s">
        <v>244</v>
      </c>
      <c r="F142" s="84">
        <v>23.0</v>
      </c>
      <c r="G142" s="81" t="s">
        <v>39</v>
      </c>
      <c r="H142" s="81" t="s">
        <v>5148</v>
      </c>
      <c r="I142" s="81" t="s">
        <v>247</v>
      </c>
      <c r="J142" s="81" t="s">
        <v>224</v>
      </c>
    </row>
    <row r="143" hidden="1">
      <c r="A143" s="83" t="s">
        <v>4949</v>
      </c>
      <c r="B143" s="83" t="s">
        <v>4950</v>
      </c>
      <c r="C143" s="81" t="s">
        <v>4086</v>
      </c>
      <c r="D143" s="83" t="s">
        <v>4105</v>
      </c>
      <c r="E143" s="81" t="s">
        <v>244</v>
      </c>
      <c r="F143" s="84">
        <v>23.0</v>
      </c>
      <c r="G143" s="81" t="s">
        <v>40</v>
      </c>
      <c r="H143" s="81" t="s">
        <v>5149</v>
      </c>
      <c r="I143" s="81" t="s">
        <v>248</v>
      </c>
      <c r="J143" s="81" t="s">
        <v>224</v>
      </c>
    </row>
    <row r="144" hidden="1">
      <c r="A144" s="83" t="s">
        <v>4949</v>
      </c>
      <c r="B144" s="83" t="s">
        <v>4950</v>
      </c>
      <c r="C144" s="81" t="s">
        <v>4086</v>
      </c>
      <c r="D144" s="83" t="s">
        <v>4106</v>
      </c>
      <c r="E144" s="81" t="s">
        <v>251</v>
      </c>
      <c r="F144" s="84">
        <v>24.0</v>
      </c>
      <c r="G144" s="81" t="s">
        <v>39</v>
      </c>
      <c r="H144" s="81" t="s">
        <v>5150</v>
      </c>
      <c r="I144" s="81" t="s">
        <v>252</v>
      </c>
      <c r="J144" s="81" t="s">
        <v>224</v>
      </c>
    </row>
    <row r="145" hidden="1">
      <c r="A145" s="83" t="s">
        <v>4949</v>
      </c>
      <c r="B145" s="83" t="s">
        <v>4950</v>
      </c>
      <c r="C145" s="81" t="s">
        <v>4086</v>
      </c>
      <c r="D145" s="83" t="s">
        <v>4106</v>
      </c>
      <c r="E145" s="81" t="s">
        <v>251</v>
      </c>
      <c r="F145" s="84">
        <v>24.0</v>
      </c>
      <c r="G145" s="81" t="s">
        <v>40</v>
      </c>
      <c r="H145" s="81" t="s">
        <v>5151</v>
      </c>
      <c r="I145" s="81" t="s">
        <v>253</v>
      </c>
      <c r="J145" s="81" t="s">
        <v>224</v>
      </c>
    </row>
    <row r="146" hidden="1">
      <c r="A146" s="83" t="s">
        <v>4949</v>
      </c>
      <c r="B146" s="83" t="s">
        <v>4950</v>
      </c>
      <c r="C146" s="81" t="s">
        <v>4086</v>
      </c>
      <c r="D146" s="83" t="s">
        <v>4107</v>
      </c>
      <c r="E146" s="81" t="s">
        <v>254</v>
      </c>
      <c r="F146" s="84">
        <v>25.0</v>
      </c>
      <c r="G146" s="81" t="s">
        <v>39</v>
      </c>
      <c r="H146" s="81" t="s">
        <v>5152</v>
      </c>
      <c r="I146" s="81" t="s">
        <v>258</v>
      </c>
      <c r="J146" s="81" t="s">
        <v>224</v>
      </c>
    </row>
    <row r="147" hidden="1">
      <c r="A147" s="83" t="s">
        <v>4949</v>
      </c>
      <c r="B147" s="83" t="s">
        <v>4950</v>
      </c>
      <c r="C147" s="81" t="s">
        <v>4086</v>
      </c>
      <c r="D147" s="83" t="s">
        <v>4107</v>
      </c>
      <c r="E147" s="81" t="s">
        <v>254</v>
      </c>
      <c r="F147" s="84">
        <v>25.0</v>
      </c>
      <c r="G147" s="81" t="s">
        <v>40</v>
      </c>
      <c r="H147" s="81" t="s">
        <v>5153</v>
      </c>
      <c r="I147" s="81" t="s">
        <v>259</v>
      </c>
      <c r="J147" s="81" t="s">
        <v>224</v>
      </c>
    </row>
    <row r="148" hidden="1">
      <c r="A148" s="83" t="s">
        <v>4949</v>
      </c>
      <c r="B148" s="83" t="s">
        <v>4950</v>
      </c>
      <c r="C148" s="81" t="s">
        <v>4086</v>
      </c>
      <c r="D148" s="83" t="s">
        <v>4108</v>
      </c>
      <c r="E148" s="81" t="s">
        <v>262</v>
      </c>
      <c r="F148" s="84">
        <v>26.0</v>
      </c>
      <c r="G148" s="81" t="s">
        <v>39</v>
      </c>
      <c r="H148" s="81" t="s">
        <v>5154</v>
      </c>
      <c r="I148" s="81" t="s">
        <v>263</v>
      </c>
      <c r="J148" s="81" t="s">
        <v>224</v>
      </c>
    </row>
    <row r="149" hidden="1">
      <c r="A149" s="83" t="s">
        <v>4949</v>
      </c>
      <c r="B149" s="83" t="s">
        <v>4950</v>
      </c>
      <c r="C149" s="81" t="s">
        <v>4086</v>
      </c>
      <c r="D149" s="83" t="s">
        <v>4108</v>
      </c>
      <c r="E149" s="81" t="s">
        <v>262</v>
      </c>
      <c r="F149" s="84">
        <v>26.0</v>
      </c>
      <c r="G149" s="81" t="s">
        <v>40</v>
      </c>
      <c r="H149" s="81" t="s">
        <v>5155</v>
      </c>
      <c r="I149" s="81" t="s">
        <v>264</v>
      </c>
      <c r="J149" s="81" t="s">
        <v>224</v>
      </c>
    </row>
    <row r="150" hidden="1">
      <c r="A150" s="83" t="s">
        <v>4949</v>
      </c>
      <c r="B150" s="83" t="s">
        <v>4950</v>
      </c>
      <c r="C150" s="81" t="s">
        <v>4086</v>
      </c>
      <c r="D150" s="83" t="s">
        <v>4109</v>
      </c>
      <c r="E150" s="81" t="s">
        <v>265</v>
      </c>
      <c r="F150" s="84">
        <v>27.0</v>
      </c>
      <c r="G150" s="81" t="s">
        <v>39</v>
      </c>
      <c r="H150" s="81" t="s">
        <v>5156</v>
      </c>
      <c r="I150" s="81" t="s">
        <v>269</v>
      </c>
      <c r="J150" s="81" t="s">
        <v>224</v>
      </c>
    </row>
    <row r="151" hidden="1">
      <c r="A151" s="83" t="s">
        <v>4949</v>
      </c>
      <c r="B151" s="83" t="s">
        <v>4950</v>
      </c>
      <c r="C151" s="81" t="s">
        <v>4086</v>
      </c>
      <c r="D151" s="83" t="s">
        <v>4109</v>
      </c>
      <c r="E151" s="81" t="s">
        <v>265</v>
      </c>
      <c r="F151" s="84">
        <v>27.0</v>
      </c>
      <c r="G151" s="81" t="s">
        <v>40</v>
      </c>
      <c r="H151" s="81" t="s">
        <v>5157</v>
      </c>
      <c r="I151" s="81" t="s">
        <v>270</v>
      </c>
      <c r="J151" s="81" t="s">
        <v>224</v>
      </c>
    </row>
    <row r="152" hidden="1">
      <c r="A152" s="83" t="s">
        <v>4949</v>
      </c>
      <c r="B152" s="83" t="s">
        <v>4950</v>
      </c>
      <c r="C152" s="81" t="s">
        <v>4086</v>
      </c>
      <c r="D152" s="83" t="s">
        <v>4110</v>
      </c>
      <c r="E152" s="81" t="s">
        <v>273</v>
      </c>
      <c r="F152" s="84">
        <v>28.0</v>
      </c>
      <c r="G152" s="81" t="s">
        <v>39</v>
      </c>
      <c r="H152" s="81" t="s">
        <v>5158</v>
      </c>
      <c r="I152" s="81" t="s">
        <v>274</v>
      </c>
      <c r="J152" s="81" t="s">
        <v>224</v>
      </c>
    </row>
    <row r="153" hidden="1">
      <c r="A153" s="83" t="s">
        <v>4949</v>
      </c>
      <c r="B153" s="83" t="s">
        <v>4950</v>
      </c>
      <c r="C153" s="81" t="s">
        <v>4086</v>
      </c>
      <c r="D153" s="83" t="s">
        <v>4110</v>
      </c>
      <c r="E153" s="81" t="s">
        <v>273</v>
      </c>
      <c r="F153" s="84">
        <v>28.0</v>
      </c>
      <c r="G153" s="81" t="s">
        <v>40</v>
      </c>
      <c r="H153" s="81" t="s">
        <v>5159</v>
      </c>
      <c r="I153" s="81" t="s">
        <v>5160</v>
      </c>
      <c r="J153" s="81" t="s">
        <v>224</v>
      </c>
    </row>
    <row r="154" hidden="1">
      <c r="A154" s="83" t="s">
        <v>4949</v>
      </c>
      <c r="B154" s="83" t="s">
        <v>4950</v>
      </c>
      <c r="C154" s="81" t="s">
        <v>4086</v>
      </c>
      <c r="D154" s="83" t="s">
        <v>4111</v>
      </c>
      <c r="E154" s="81" t="s">
        <v>276</v>
      </c>
      <c r="F154" s="84">
        <v>29.0</v>
      </c>
      <c r="G154" s="81" t="s">
        <v>40</v>
      </c>
      <c r="H154" s="81" t="s">
        <v>5161</v>
      </c>
      <c r="I154" s="81" t="s">
        <v>280</v>
      </c>
      <c r="J154" s="81" t="s">
        <v>224</v>
      </c>
    </row>
    <row r="155" hidden="1">
      <c r="A155" s="83" t="s">
        <v>4949</v>
      </c>
      <c r="B155" s="83" t="s">
        <v>4950</v>
      </c>
      <c r="C155" s="81" t="s">
        <v>4086</v>
      </c>
      <c r="D155" s="83" t="s">
        <v>4111</v>
      </c>
      <c r="E155" s="81" t="s">
        <v>283</v>
      </c>
      <c r="F155" s="84">
        <v>30.0</v>
      </c>
      <c r="G155" s="81" t="s">
        <v>40</v>
      </c>
      <c r="H155" s="81" t="s">
        <v>5161</v>
      </c>
      <c r="I155" s="81" t="s">
        <v>280</v>
      </c>
      <c r="J155" s="81" t="s">
        <v>224</v>
      </c>
    </row>
    <row r="156" hidden="1">
      <c r="A156" s="83" t="s">
        <v>4949</v>
      </c>
      <c r="B156" s="83" t="s">
        <v>4950</v>
      </c>
      <c r="C156" s="81" t="s">
        <v>4086</v>
      </c>
      <c r="D156" s="83" t="s">
        <v>4113</v>
      </c>
      <c r="E156" s="81" t="s">
        <v>284</v>
      </c>
      <c r="F156" s="84">
        <v>31.0</v>
      </c>
      <c r="G156" s="81" t="s">
        <v>40</v>
      </c>
      <c r="H156" s="81" t="s">
        <v>5162</v>
      </c>
      <c r="I156" s="81" t="s">
        <v>286</v>
      </c>
      <c r="J156" s="81" t="s">
        <v>224</v>
      </c>
    </row>
    <row r="157" hidden="1">
      <c r="A157" s="83" t="s">
        <v>4949</v>
      </c>
      <c r="B157" s="83" t="s">
        <v>4950</v>
      </c>
      <c r="C157" s="81" t="s">
        <v>4086</v>
      </c>
      <c r="D157" s="83" t="s">
        <v>4114</v>
      </c>
      <c r="E157" s="81" t="s">
        <v>287</v>
      </c>
      <c r="F157" s="84">
        <v>32.0</v>
      </c>
      <c r="G157" s="81" t="s">
        <v>39</v>
      </c>
      <c r="H157" s="81" t="s">
        <v>5163</v>
      </c>
      <c r="I157" s="81" t="s">
        <v>291</v>
      </c>
      <c r="J157" s="81" t="s">
        <v>224</v>
      </c>
    </row>
    <row r="158" hidden="1">
      <c r="A158" s="83" t="s">
        <v>4949</v>
      </c>
      <c r="B158" s="83" t="s">
        <v>4950</v>
      </c>
      <c r="C158" s="81" t="s">
        <v>4086</v>
      </c>
      <c r="D158" s="83" t="s">
        <v>4114</v>
      </c>
      <c r="E158" s="81" t="s">
        <v>287</v>
      </c>
      <c r="F158" s="84">
        <v>32.0</v>
      </c>
      <c r="G158" s="81" t="s">
        <v>40</v>
      </c>
      <c r="H158" s="81" t="s">
        <v>5164</v>
      </c>
      <c r="I158" s="81" t="s">
        <v>5165</v>
      </c>
      <c r="J158" s="81" t="s">
        <v>224</v>
      </c>
    </row>
    <row r="159" hidden="1">
      <c r="A159" s="83" t="s">
        <v>4949</v>
      </c>
      <c r="B159" s="83" t="s">
        <v>4950</v>
      </c>
      <c r="C159" s="81" t="s">
        <v>4086</v>
      </c>
      <c r="D159" s="83" t="s">
        <v>4115</v>
      </c>
      <c r="E159" s="81" t="s">
        <v>297</v>
      </c>
      <c r="F159" s="84">
        <v>33.0</v>
      </c>
      <c r="G159" s="81" t="s">
        <v>39</v>
      </c>
      <c r="H159" s="81" t="s">
        <v>5166</v>
      </c>
      <c r="I159" s="81" t="s">
        <v>300</v>
      </c>
      <c r="J159" s="81" t="s">
        <v>224</v>
      </c>
    </row>
    <row r="160" hidden="1">
      <c r="A160" s="83" t="s">
        <v>4949</v>
      </c>
      <c r="B160" s="83" t="s">
        <v>4950</v>
      </c>
      <c r="C160" s="81" t="s">
        <v>4086</v>
      </c>
      <c r="D160" s="83" t="s">
        <v>4115</v>
      </c>
      <c r="E160" s="81" t="s">
        <v>297</v>
      </c>
      <c r="F160" s="84">
        <v>33.0</v>
      </c>
      <c r="G160" s="81" t="s">
        <v>40</v>
      </c>
      <c r="H160" s="81" t="s">
        <v>5167</v>
      </c>
      <c r="I160" s="81" t="s">
        <v>301</v>
      </c>
      <c r="J160" s="81" t="s">
        <v>224</v>
      </c>
    </row>
    <row r="161" hidden="1">
      <c r="A161" s="83" t="s">
        <v>4949</v>
      </c>
      <c r="B161" s="83" t="s">
        <v>4950</v>
      </c>
      <c r="C161" s="81" t="s">
        <v>4086</v>
      </c>
      <c r="D161" s="83" t="s">
        <v>4115</v>
      </c>
      <c r="E161" s="81" t="s">
        <v>304</v>
      </c>
      <c r="F161" s="84">
        <v>34.0</v>
      </c>
      <c r="G161" s="81" t="s">
        <v>39</v>
      </c>
      <c r="H161" s="81" t="s">
        <v>5166</v>
      </c>
      <c r="I161" s="81" t="s">
        <v>300</v>
      </c>
      <c r="J161" s="81" t="s">
        <v>224</v>
      </c>
    </row>
    <row r="162" hidden="1">
      <c r="A162" s="83" t="s">
        <v>4949</v>
      </c>
      <c r="B162" s="83" t="s">
        <v>4950</v>
      </c>
      <c r="C162" s="81" t="s">
        <v>4086</v>
      </c>
      <c r="D162" s="83" t="s">
        <v>4115</v>
      </c>
      <c r="E162" s="81" t="s">
        <v>304</v>
      </c>
      <c r="F162" s="84">
        <v>34.0</v>
      </c>
      <c r="G162" s="81" t="s">
        <v>40</v>
      </c>
      <c r="H162" s="81" t="s">
        <v>5167</v>
      </c>
      <c r="I162" s="81" t="s">
        <v>301</v>
      </c>
      <c r="J162" s="81" t="s">
        <v>224</v>
      </c>
    </row>
    <row r="163" hidden="1">
      <c r="A163" s="83" t="s">
        <v>4949</v>
      </c>
      <c r="B163" s="83" t="s">
        <v>4950</v>
      </c>
      <c r="C163" s="81" t="s">
        <v>4086</v>
      </c>
      <c r="D163" s="83" t="s">
        <v>4117</v>
      </c>
      <c r="E163" s="81" t="s">
        <v>305</v>
      </c>
      <c r="F163" s="84">
        <v>35.0</v>
      </c>
      <c r="G163" s="81" t="s">
        <v>39</v>
      </c>
      <c r="H163" s="81" t="s">
        <v>5168</v>
      </c>
      <c r="I163" s="81" t="s">
        <v>306</v>
      </c>
      <c r="J163" s="81" t="s">
        <v>224</v>
      </c>
    </row>
    <row r="164" hidden="1">
      <c r="A164" s="83" t="s">
        <v>4949</v>
      </c>
      <c r="B164" s="83" t="s">
        <v>4950</v>
      </c>
      <c r="C164" s="81" t="s">
        <v>4086</v>
      </c>
      <c r="D164" s="83" t="s">
        <v>4117</v>
      </c>
      <c r="E164" s="81" t="s">
        <v>305</v>
      </c>
      <c r="F164" s="84">
        <v>35.0</v>
      </c>
      <c r="G164" s="81" t="s">
        <v>40</v>
      </c>
      <c r="H164" s="81" t="s">
        <v>5169</v>
      </c>
      <c r="I164" s="81" t="s">
        <v>307</v>
      </c>
      <c r="J164" s="81" t="s">
        <v>224</v>
      </c>
    </row>
    <row r="165" hidden="1">
      <c r="A165" s="83" t="s">
        <v>4949</v>
      </c>
      <c r="B165" s="83" t="s">
        <v>4950</v>
      </c>
      <c r="C165" s="81" t="s">
        <v>4086</v>
      </c>
      <c r="D165" s="83" t="s">
        <v>4118</v>
      </c>
      <c r="E165" s="81" t="s">
        <v>308</v>
      </c>
      <c r="F165" s="84">
        <v>36.0</v>
      </c>
      <c r="G165" s="81" t="s">
        <v>39</v>
      </c>
      <c r="H165" s="81" t="s">
        <v>5170</v>
      </c>
      <c r="I165" s="81" t="s">
        <v>313</v>
      </c>
      <c r="J165" s="81" t="s">
        <v>224</v>
      </c>
    </row>
    <row r="166" hidden="1">
      <c r="A166" s="83" t="s">
        <v>4949</v>
      </c>
      <c r="B166" s="83" t="s">
        <v>4950</v>
      </c>
      <c r="C166" s="81" t="s">
        <v>4086</v>
      </c>
      <c r="D166" s="83" t="s">
        <v>4118</v>
      </c>
      <c r="E166" s="81" t="s">
        <v>308</v>
      </c>
      <c r="F166" s="84">
        <v>36.0</v>
      </c>
      <c r="G166" s="81" t="s">
        <v>40</v>
      </c>
      <c r="H166" s="81" t="s">
        <v>5171</v>
      </c>
      <c r="I166" s="81" t="s">
        <v>5172</v>
      </c>
      <c r="J166" s="81" t="s">
        <v>224</v>
      </c>
    </row>
    <row r="167" hidden="1">
      <c r="A167" s="83" t="s">
        <v>4949</v>
      </c>
      <c r="B167" s="83" t="s">
        <v>4950</v>
      </c>
      <c r="C167" s="81" t="s">
        <v>4086</v>
      </c>
      <c r="D167" s="83" t="s">
        <v>4119</v>
      </c>
      <c r="E167" s="81" t="s">
        <v>320</v>
      </c>
      <c r="F167" s="84">
        <v>37.0</v>
      </c>
      <c r="G167" s="81" t="s">
        <v>39</v>
      </c>
      <c r="H167" s="81" t="s">
        <v>5173</v>
      </c>
      <c r="I167" s="81" t="s">
        <v>324</v>
      </c>
      <c r="J167" s="81" t="s">
        <v>224</v>
      </c>
    </row>
    <row r="168" hidden="1">
      <c r="A168" s="83" t="s">
        <v>4949</v>
      </c>
      <c r="B168" s="83" t="s">
        <v>4950</v>
      </c>
      <c r="C168" s="81" t="s">
        <v>4086</v>
      </c>
      <c r="D168" s="83" t="s">
        <v>4119</v>
      </c>
      <c r="E168" s="81" t="s">
        <v>320</v>
      </c>
      <c r="F168" s="84">
        <v>37.0</v>
      </c>
      <c r="G168" s="81" t="s">
        <v>40</v>
      </c>
      <c r="H168" s="81" t="s">
        <v>5174</v>
      </c>
      <c r="I168" s="81" t="s">
        <v>325</v>
      </c>
      <c r="J168" s="81" t="s">
        <v>224</v>
      </c>
    </row>
    <row r="169" hidden="1">
      <c r="A169" s="83" t="s">
        <v>4949</v>
      </c>
      <c r="B169" s="83" t="s">
        <v>4950</v>
      </c>
      <c r="C169" s="81" t="s">
        <v>4086</v>
      </c>
      <c r="D169" s="83" t="s">
        <v>4120</v>
      </c>
      <c r="E169" s="81" t="s">
        <v>331</v>
      </c>
      <c r="F169" s="84">
        <v>38.0</v>
      </c>
      <c r="G169" s="81" t="s">
        <v>39</v>
      </c>
      <c r="H169" s="81" t="s">
        <v>5175</v>
      </c>
      <c r="I169" s="81" t="s">
        <v>341</v>
      </c>
      <c r="J169" s="81" t="s">
        <v>224</v>
      </c>
    </row>
    <row r="170" hidden="1">
      <c r="A170" s="83" t="s">
        <v>4949</v>
      </c>
      <c r="B170" s="83" t="s">
        <v>4950</v>
      </c>
      <c r="C170" s="81" t="s">
        <v>5141</v>
      </c>
      <c r="D170" s="83" t="s">
        <v>4120</v>
      </c>
      <c r="E170" s="81" t="s">
        <v>331</v>
      </c>
      <c r="F170" s="84">
        <v>38.0</v>
      </c>
      <c r="G170" s="81" t="s">
        <v>40</v>
      </c>
      <c r="H170" s="81" t="s">
        <v>5176</v>
      </c>
      <c r="I170" s="81" t="s">
        <v>224</v>
      </c>
      <c r="J170" s="81" t="s">
        <v>5143</v>
      </c>
    </row>
    <row r="171" hidden="1">
      <c r="A171" s="83" t="s">
        <v>4949</v>
      </c>
      <c r="B171" s="83" t="s">
        <v>4950</v>
      </c>
      <c r="C171" s="81" t="s">
        <v>4086</v>
      </c>
      <c r="D171" s="83" t="s">
        <v>4121</v>
      </c>
      <c r="E171" s="81" t="s">
        <v>343</v>
      </c>
      <c r="F171" s="84">
        <v>39.0</v>
      </c>
      <c r="G171" s="81" t="s">
        <v>40</v>
      </c>
      <c r="H171" s="81" t="s">
        <v>5177</v>
      </c>
      <c r="I171" s="81" t="s">
        <v>356</v>
      </c>
      <c r="J171" s="81" t="s">
        <v>224</v>
      </c>
    </row>
    <row r="172" hidden="1">
      <c r="A172" s="83" t="s">
        <v>4949</v>
      </c>
      <c r="B172" s="83" t="s">
        <v>4950</v>
      </c>
      <c r="C172" s="81" t="s">
        <v>5141</v>
      </c>
      <c r="D172" s="83" t="s">
        <v>4122</v>
      </c>
      <c r="E172" s="81" t="s">
        <v>362</v>
      </c>
      <c r="F172" s="84">
        <v>40.0</v>
      </c>
      <c r="G172" s="81" t="s">
        <v>40</v>
      </c>
      <c r="H172" s="81" t="s">
        <v>5178</v>
      </c>
      <c r="I172" s="81" t="s">
        <v>224</v>
      </c>
      <c r="J172" s="81" t="s">
        <v>5143</v>
      </c>
    </row>
    <row r="173" hidden="1">
      <c r="A173" s="83" t="s">
        <v>4949</v>
      </c>
      <c r="B173" s="83" t="s">
        <v>4950</v>
      </c>
      <c r="C173" s="81" t="s">
        <v>4086</v>
      </c>
      <c r="D173" s="83" t="s">
        <v>4124</v>
      </c>
      <c r="E173" s="81" t="s">
        <v>375</v>
      </c>
      <c r="F173" s="84">
        <v>41.0</v>
      </c>
      <c r="G173" s="81" t="s">
        <v>39</v>
      </c>
      <c r="H173" s="81" t="s">
        <v>5179</v>
      </c>
      <c r="I173" s="81" t="s">
        <v>385</v>
      </c>
      <c r="J173" s="81" t="s">
        <v>224</v>
      </c>
    </row>
    <row r="174" hidden="1">
      <c r="A174" s="83" t="s">
        <v>4949</v>
      </c>
      <c r="B174" s="83" t="s">
        <v>4950</v>
      </c>
      <c r="C174" s="81" t="s">
        <v>4086</v>
      </c>
      <c r="D174" s="83" t="s">
        <v>4124</v>
      </c>
      <c r="E174" s="81" t="s">
        <v>375</v>
      </c>
      <c r="F174" s="84">
        <v>41.0</v>
      </c>
      <c r="G174" s="81" t="s">
        <v>40</v>
      </c>
      <c r="H174" s="81" t="s">
        <v>5180</v>
      </c>
      <c r="I174" s="81" t="s">
        <v>5181</v>
      </c>
      <c r="J174" s="81" t="s">
        <v>224</v>
      </c>
    </row>
    <row r="175" hidden="1">
      <c r="A175" s="83" t="s">
        <v>4949</v>
      </c>
      <c r="B175" s="83" t="s">
        <v>4950</v>
      </c>
      <c r="C175" s="81" t="s">
        <v>4086</v>
      </c>
      <c r="D175" s="83" t="s">
        <v>4124</v>
      </c>
      <c r="E175" s="81" t="s">
        <v>392</v>
      </c>
      <c r="F175" s="84">
        <v>42.0</v>
      </c>
      <c r="G175" s="81" t="s">
        <v>39</v>
      </c>
      <c r="H175" s="81" t="s">
        <v>5179</v>
      </c>
      <c r="I175" s="81" t="s">
        <v>385</v>
      </c>
      <c r="J175" s="81" t="s">
        <v>224</v>
      </c>
    </row>
    <row r="176" hidden="1">
      <c r="A176" s="83" t="s">
        <v>4949</v>
      </c>
      <c r="B176" s="83" t="s">
        <v>4950</v>
      </c>
      <c r="C176" s="81" t="s">
        <v>4086</v>
      </c>
      <c r="D176" s="83" t="s">
        <v>4124</v>
      </c>
      <c r="E176" s="81" t="s">
        <v>392</v>
      </c>
      <c r="F176" s="84">
        <v>42.0</v>
      </c>
      <c r="G176" s="81" t="s">
        <v>40</v>
      </c>
      <c r="H176" s="81" t="s">
        <v>5182</v>
      </c>
      <c r="I176" s="81" t="s">
        <v>5181</v>
      </c>
      <c r="J176" s="81" t="s">
        <v>224</v>
      </c>
    </row>
    <row r="177" hidden="1">
      <c r="A177" s="83" t="s">
        <v>4949</v>
      </c>
      <c r="B177" s="83" t="s">
        <v>4950</v>
      </c>
      <c r="C177" s="81" t="s">
        <v>4086</v>
      </c>
      <c r="D177" s="83" t="s">
        <v>4125</v>
      </c>
      <c r="E177" s="81" t="s">
        <v>393</v>
      </c>
      <c r="F177" s="84">
        <v>43.0</v>
      </c>
      <c r="G177" s="81" t="s">
        <v>40</v>
      </c>
      <c r="H177" s="81" t="s">
        <v>5183</v>
      </c>
      <c r="I177" s="81" t="s">
        <v>395</v>
      </c>
      <c r="J177" s="81" t="s">
        <v>224</v>
      </c>
    </row>
    <row r="178" hidden="1">
      <c r="A178" s="83" t="s">
        <v>4949</v>
      </c>
      <c r="B178" s="83" t="s">
        <v>4950</v>
      </c>
      <c r="C178" s="81" t="s">
        <v>5141</v>
      </c>
      <c r="D178" s="83" t="s">
        <v>4126</v>
      </c>
      <c r="E178" s="81" t="s">
        <v>396</v>
      </c>
      <c r="F178" s="84">
        <v>44.0</v>
      </c>
      <c r="G178" s="81" t="s">
        <v>40</v>
      </c>
      <c r="H178" s="81" t="s">
        <v>5184</v>
      </c>
      <c r="I178" s="81" t="s">
        <v>224</v>
      </c>
      <c r="J178" s="81" t="s">
        <v>5143</v>
      </c>
    </row>
    <row r="179" hidden="1">
      <c r="A179" s="83" t="s">
        <v>4949</v>
      </c>
      <c r="B179" s="83" t="s">
        <v>4950</v>
      </c>
      <c r="C179" s="81" t="s">
        <v>4086</v>
      </c>
      <c r="D179" s="83" t="s">
        <v>4127</v>
      </c>
      <c r="E179" s="81" t="s">
        <v>404</v>
      </c>
      <c r="F179" s="84">
        <v>45.0</v>
      </c>
      <c r="G179" s="81" t="s">
        <v>39</v>
      </c>
      <c r="H179" s="81" t="s">
        <v>5185</v>
      </c>
      <c r="I179" s="81" t="s">
        <v>407</v>
      </c>
      <c r="J179" s="81" t="s">
        <v>224</v>
      </c>
    </row>
    <row r="180" hidden="1">
      <c r="A180" s="83" t="s">
        <v>4949</v>
      </c>
      <c r="B180" s="83" t="s">
        <v>4950</v>
      </c>
      <c r="C180" s="81" t="s">
        <v>4086</v>
      </c>
      <c r="D180" s="83" t="s">
        <v>4127</v>
      </c>
      <c r="E180" s="81" t="s">
        <v>404</v>
      </c>
      <c r="F180" s="84">
        <v>45.0</v>
      </c>
      <c r="G180" s="81" t="s">
        <v>40</v>
      </c>
      <c r="H180" s="81" t="s">
        <v>5186</v>
      </c>
      <c r="I180" s="81" t="s">
        <v>408</v>
      </c>
      <c r="J180" s="81" t="s">
        <v>224</v>
      </c>
    </row>
    <row r="181" hidden="1">
      <c r="A181" s="83" t="s">
        <v>4949</v>
      </c>
      <c r="B181" s="83" t="s">
        <v>4950</v>
      </c>
      <c r="C181" s="81" t="s">
        <v>4086</v>
      </c>
      <c r="D181" s="83" t="s">
        <v>4128</v>
      </c>
      <c r="E181" s="81" t="s">
        <v>412</v>
      </c>
      <c r="F181" s="84">
        <v>46.0</v>
      </c>
      <c r="G181" s="81" t="s">
        <v>40</v>
      </c>
      <c r="H181" s="81" t="s">
        <v>5187</v>
      </c>
      <c r="I181" s="81" t="s">
        <v>422</v>
      </c>
      <c r="J181" s="81" t="s">
        <v>224</v>
      </c>
    </row>
    <row r="182" hidden="1">
      <c r="A182" s="83" t="s">
        <v>4949</v>
      </c>
      <c r="B182" s="83" t="s">
        <v>4950</v>
      </c>
      <c r="C182" s="81" t="s">
        <v>4086</v>
      </c>
      <c r="D182" s="83" t="s">
        <v>4129</v>
      </c>
      <c r="E182" s="81" t="s">
        <v>428</v>
      </c>
      <c r="F182" s="84">
        <v>47.0</v>
      </c>
      <c r="G182" s="81" t="s">
        <v>39</v>
      </c>
      <c r="H182" s="81" t="s">
        <v>5188</v>
      </c>
      <c r="I182" s="81" t="s">
        <v>434</v>
      </c>
      <c r="J182" s="81" t="s">
        <v>224</v>
      </c>
    </row>
    <row r="183" hidden="1">
      <c r="A183" s="83" t="s">
        <v>4949</v>
      </c>
      <c r="B183" s="83" t="s">
        <v>4950</v>
      </c>
      <c r="C183" s="81" t="s">
        <v>4086</v>
      </c>
      <c r="D183" s="83" t="s">
        <v>4129</v>
      </c>
      <c r="E183" s="81" t="s">
        <v>428</v>
      </c>
      <c r="F183" s="84">
        <v>47.0</v>
      </c>
      <c r="G183" s="81" t="s">
        <v>40</v>
      </c>
      <c r="H183" s="81" t="s">
        <v>5189</v>
      </c>
      <c r="I183" s="81" t="s">
        <v>435</v>
      </c>
      <c r="J183" s="81" t="s">
        <v>224</v>
      </c>
    </row>
    <row r="184" hidden="1">
      <c r="A184" s="83" t="s">
        <v>4949</v>
      </c>
      <c r="B184" s="83" t="s">
        <v>4950</v>
      </c>
      <c r="C184" s="81" t="s">
        <v>4086</v>
      </c>
      <c r="D184" s="83" t="s">
        <v>4130</v>
      </c>
      <c r="E184" s="81" t="s">
        <v>441</v>
      </c>
      <c r="F184" s="84">
        <v>48.0</v>
      </c>
      <c r="G184" s="81" t="s">
        <v>39</v>
      </c>
      <c r="H184" s="81" t="s">
        <v>5190</v>
      </c>
      <c r="I184" s="81" t="s">
        <v>448</v>
      </c>
      <c r="J184" s="81" t="s">
        <v>224</v>
      </c>
    </row>
    <row r="185" hidden="1">
      <c r="A185" s="83" t="s">
        <v>4949</v>
      </c>
      <c r="B185" s="83" t="s">
        <v>4950</v>
      </c>
      <c r="C185" s="81" t="s">
        <v>4086</v>
      </c>
      <c r="D185" s="83" t="s">
        <v>4130</v>
      </c>
      <c r="E185" s="81" t="s">
        <v>441</v>
      </c>
      <c r="F185" s="84">
        <v>48.0</v>
      </c>
      <c r="G185" s="81" t="s">
        <v>40</v>
      </c>
      <c r="H185" s="81" t="s">
        <v>5191</v>
      </c>
      <c r="I185" s="81" t="s">
        <v>449</v>
      </c>
      <c r="J185" s="81" t="s">
        <v>224</v>
      </c>
    </row>
    <row r="186" hidden="1">
      <c r="A186" s="83" t="s">
        <v>4949</v>
      </c>
      <c r="B186" s="83" t="s">
        <v>4950</v>
      </c>
      <c r="C186" s="81" t="s">
        <v>4086</v>
      </c>
      <c r="D186" s="83" t="s">
        <v>4130</v>
      </c>
      <c r="E186" s="81" t="s">
        <v>455</v>
      </c>
      <c r="F186" s="84">
        <v>49.0</v>
      </c>
      <c r="G186" s="81" t="s">
        <v>39</v>
      </c>
      <c r="H186" s="81" t="s">
        <v>5190</v>
      </c>
      <c r="I186" s="81" t="s">
        <v>448</v>
      </c>
      <c r="J186" s="81" t="s">
        <v>224</v>
      </c>
    </row>
    <row r="187" hidden="1">
      <c r="A187" s="83" t="s">
        <v>4949</v>
      </c>
      <c r="B187" s="83" t="s">
        <v>4950</v>
      </c>
      <c r="C187" s="81" t="s">
        <v>4086</v>
      </c>
      <c r="D187" s="83" t="s">
        <v>4130</v>
      </c>
      <c r="E187" s="81" t="s">
        <v>455</v>
      </c>
      <c r="F187" s="84">
        <v>49.0</v>
      </c>
      <c r="G187" s="81" t="s">
        <v>40</v>
      </c>
      <c r="H187" s="81" t="s">
        <v>5191</v>
      </c>
      <c r="I187" s="81" t="s">
        <v>449</v>
      </c>
      <c r="J187" s="81" t="s">
        <v>224</v>
      </c>
    </row>
    <row r="188" hidden="1">
      <c r="A188" s="83" t="s">
        <v>4949</v>
      </c>
      <c r="B188" s="83" t="s">
        <v>4950</v>
      </c>
      <c r="C188" s="81" t="s">
        <v>4086</v>
      </c>
      <c r="D188" s="83" t="s">
        <v>4132</v>
      </c>
      <c r="E188" s="81" t="s">
        <v>456</v>
      </c>
      <c r="F188" s="84">
        <v>50.0</v>
      </c>
      <c r="G188" s="81" t="s">
        <v>39</v>
      </c>
      <c r="H188" s="81" t="s">
        <v>5192</v>
      </c>
      <c r="I188" s="81" t="s">
        <v>457</v>
      </c>
      <c r="J188" s="81" t="s">
        <v>224</v>
      </c>
    </row>
    <row r="189" hidden="1">
      <c r="A189" s="83" t="s">
        <v>4949</v>
      </c>
      <c r="B189" s="83" t="s">
        <v>4950</v>
      </c>
      <c r="C189" s="81" t="s">
        <v>4086</v>
      </c>
      <c r="D189" s="83" t="s">
        <v>4132</v>
      </c>
      <c r="E189" s="81" t="s">
        <v>456</v>
      </c>
      <c r="F189" s="84">
        <v>50.0</v>
      </c>
      <c r="G189" s="81" t="s">
        <v>40</v>
      </c>
      <c r="H189" s="81" t="s">
        <v>5193</v>
      </c>
      <c r="I189" s="81" t="s">
        <v>458</v>
      </c>
      <c r="J189" s="81" t="s">
        <v>224</v>
      </c>
    </row>
    <row r="190" hidden="1">
      <c r="A190" s="83" t="s">
        <v>4949</v>
      </c>
      <c r="B190" s="83" t="s">
        <v>4950</v>
      </c>
      <c r="C190" s="81" t="s">
        <v>4086</v>
      </c>
      <c r="D190" s="83" t="s">
        <v>4133</v>
      </c>
      <c r="E190" s="81" t="s">
        <v>459</v>
      </c>
      <c r="F190" s="84">
        <v>51.0</v>
      </c>
      <c r="G190" s="81" t="s">
        <v>39</v>
      </c>
      <c r="H190" s="81" t="s">
        <v>5194</v>
      </c>
      <c r="I190" s="81" t="s">
        <v>466</v>
      </c>
      <c r="J190" s="81" t="s">
        <v>224</v>
      </c>
    </row>
    <row r="191" hidden="1">
      <c r="A191" s="83" t="s">
        <v>4949</v>
      </c>
      <c r="B191" s="83" t="s">
        <v>4950</v>
      </c>
      <c r="C191" s="81" t="s">
        <v>5141</v>
      </c>
      <c r="D191" s="83" t="s">
        <v>4133</v>
      </c>
      <c r="E191" s="81" t="s">
        <v>459</v>
      </c>
      <c r="F191" s="84">
        <v>51.0</v>
      </c>
      <c r="G191" s="81" t="s">
        <v>40</v>
      </c>
      <c r="H191" s="81" t="s">
        <v>5195</v>
      </c>
      <c r="I191" s="81" t="s">
        <v>224</v>
      </c>
      <c r="J191" s="81" t="s">
        <v>5143</v>
      </c>
    </row>
    <row r="192" hidden="1">
      <c r="A192" s="83" t="s">
        <v>4949</v>
      </c>
      <c r="B192" s="83" t="s">
        <v>4950</v>
      </c>
      <c r="C192" s="81" t="s">
        <v>4086</v>
      </c>
      <c r="D192" s="83" t="s">
        <v>4133</v>
      </c>
      <c r="E192" s="81" t="s">
        <v>468</v>
      </c>
      <c r="F192" s="84">
        <v>52.0</v>
      </c>
      <c r="G192" s="81" t="s">
        <v>39</v>
      </c>
      <c r="H192" s="81" t="s">
        <v>5194</v>
      </c>
      <c r="I192" s="81" t="s">
        <v>466</v>
      </c>
      <c r="J192" s="81" t="s">
        <v>224</v>
      </c>
    </row>
    <row r="193" hidden="1">
      <c r="A193" s="83" t="s">
        <v>4949</v>
      </c>
      <c r="B193" s="83" t="s">
        <v>4950</v>
      </c>
      <c r="C193" s="81" t="s">
        <v>5141</v>
      </c>
      <c r="D193" s="83" t="s">
        <v>4133</v>
      </c>
      <c r="E193" s="81" t="s">
        <v>468</v>
      </c>
      <c r="F193" s="84">
        <v>52.0</v>
      </c>
      <c r="G193" s="81" t="s">
        <v>40</v>
      </c>
      <c r="H193" s="81" t="s">
        <v>5195</v>
      </c>
      <c r="I193" s="81" t="s">
        <v>224</v>
      </c>
      <c r="J193" s="81" t="s">
        <v>5143</v>
      </c>
    </row>
    <row r="194" hidden="1">
      <c r="A194" s="83" t="s">
        <v>4949</v>
      </c>
      <c r="B194" s="83" t="s">
        <v>4950</v>
      </c>
      <c r="C194" s="81" t="s">
        <v>4086</v>
      </c>
      <c r="D194" s="83" t="s">
        <v>4134</v>
      </c>
      <c r="E194" s="81" t="s">
        <v>470</v>
      </c>
      <c r="F194" s="84">
        <v>53.0</v>
      </c>
      <c r="G194" s="81" t="s">
        <v>39</v>
      </c>
      <c r="H194" s="81" t="s">
        <v>5196</v>
      </c>
      <c r="I194" s="81" t="s">
        <v>473</v>
      </c>
      <c r="J194" s="81" t="s">
        <v>224</v>
      </c>
    </row>
    <row r="195" hidden="1">
      <c r="A195" s="83" t="s">
        <v>4949</v>
      </c>
      <c r="B195" s="83" t="s">
        <v>4950</v>
      </c>
      <c r="C195" s="81" t="s">
        <v>5141</v>
      </c>
      <c r="D195" s="83" t="s">
        <v>4134</v>
      </c>
      <c r="E195" s="81" t="s">
        <v>470</v>
      </c>
      <c r="F195" s="84">
        <v>53.0</v>
      </c>
      <c r="G195" s="81" t="s">
        <v>40</v>
      </c>
      <c r="H195" s="81" t="s">
        <v>5197</v>
      </c>
      <c r="I195" s="81" t="s">
        <v>224</v>
      </c>
      <c r="J195" s="81" t="s">
        <v>5143</v>
      </c>
    </row>
    <row r="196" hidden="1">
      <c r="A196" s="83" t="s">
        <v>4949</v>
      </c>
      <c r="B196" s="83" t="s">
        <v>4950</v>
      </c>
      <c r="C196" s="81" t="s">
        <v>4086</v>
      </c>
      <c r="D196" s="83" t="s">
        <v>4134</v>
      </c>
      <c r="E196" s="81" t="s">
        <v>475</v>
      </c>
      <c r="F196" s="84">
        <v>54.0</v>
      </c>
      <c r="G196" s="81" t="s">
        <v>39</v>
      </c>
      <c r="H196" s="81" t="s">
        <v>5196</v>
      </c>
      <c r="I196" s="81" t="s">
        <v>473</v>
      </c>
      <c r="J196" s="81" t="s">
        <v>224</v>
      </c>
    </row>
    <row r="197" hidden="1">
      <c r="A197" s="83" t="s">
        <v>4949</v>
      </c>
      <c r="B197" s="83" t="s">
        <v>4950</v>
      </c>
      <c r="C197" s="81" t="s">
        <v>5141</v>
      </c>
      <c r="D197" s="83" t="s">
        <v>4134</v>
      </c>
      <c r="E197" s="81" t="s">
        <v>475</v>
      </c>
      <c r="F197" s="84">
        <v>54.0</v>
      </c>
      <c r="G197" s="81" t="s">
        <v>40</v>
      </c>
      <c r="H197" s="81" t="s">
        <v>5197</v>
      </c>
      <c r="I197" s="81" t="s">
        <v>224</v>
      </c>
      <c r="J197" s="81" t="s">
        <v>5143</v>
      </c>
    </row>
    <row r="198" hidden="1">
      <c r="A198" s="83" t="s">
        <v>4949</v>
      </c>
      <c r="B198" s="83" t="s">
        <v>4950</v>
      </c>
      <c r="C198" s="81" t="s">
        <v>4086</v>
      </c>
      <c r="D198" s="83" t="s">
        <v>4135</v>
      </c>
      <c r="E198" s="81" t="s">
        <v>476</v>
      </c>
      <c r="F198" s="84">
        <v>55.0</v>
      </c>
      <c r="G198" s="81" t="s">
        <v>39</v>
      </c>
      <c r="H198" s="81" t="s">
        <v>5198</v>
      </c>
      <c r="I198" s="81" t="s">
        <v>477</v>
      </c>
      <c r="J198" s="81" t="s">
        <v>224</v>
      </c>
    </row>
    <row r="199" hidden="1">
      <c r="A199" s="83" t="s">
        <v>4949</v>
      </c>
      <c r="B199" s="83" t="s">
        <v>4950</v>
      </c>
      <c r="C199" s="81" t="s">
        <v>5141</v>
      </c>
      <c r="D199" s="83" t="s">
        <v>4135</v>
      </c>
      <c r="E199" s="81" t="s">
        <v>476</v>
      </c>
      <c r="F199" s="84">
        <v>55.0</v>
      </c>
      <c r="G199" s="81" t="s">
        <v>40</v>
      </c>
      <c r="H199" s="81" t="s">
        <v>5199</v>
      </c>
      <c r="I199" s="81" t="s">
        <v>224</v>
      </c>
      <c r="J199" s="81" t="s">
        <v>5143</v>
      </c>
    </row>
    <row r="200" hidden="1">
      <c r="A200" s="83" t="s">
        <v>4949</v>
      </c>
      <c r="B200" s="83" t="s">
        <v>4950</v>
      </c>
      <c r="C200" s="81" t="s">
        <v>4086</v>
      </c>
      <c r="D200" s="83" t="s">
        <v>4136</v>
      </c>
      <c r="E200" s="81" t="s">
        <v>478</v>
      </c>
      <c r="F200" s="84">
        <v>56.0</v>
      </c>
      <c r="G200" s="81" t="s">
        <v>39</v>
      </c>
      <c r="H200" s="81" t="s">
        <v>5200</v>
      </c>
      <c r="I200" s="81" t="s">
        <v>483</v>
      </c>
      <c r="J200" s="81" t="s">
        <v>224</v>
      </c>
    </row>
    <row r="201" hidden="1">
      <c r="A201" s="83" t="s">
        <v>4949</v>
      </c>
      <c r="B201" s="83" t="s">
        <v>4950</v>
      </c>
      <c r="C201" s="81" t="s">
        <v>5141</v>
      </c>
      <c r="D201" s="83" t="s">
        <v>4136</v>
      </c>
      <c r="E201" s="81" t="s">
        <v>478</v>
      </c>
      <c r="F201" s="84">
        <v>56.0</v>
      </c>
      <c r="G201" s="81" t="s">
        <v>40</v>
      </c>
      <c r="H201" s="81" t="s">
        <v>5201</v>
      </c>
      <c r="I201" s="81" t="s">
        <v>224</v>
      </c>
      <c r="J201" s="81" t="s">
        <v>5143</v>
      </c>
    </row>
    <row r="202" hidden="1">
      <c r="A202" s="83" t="s">
        <v>4949</v>
      </c>
      <c r="B202" s="83" t="s">
        <v>4950</v>
      </c>
      <c r="C202" s="81" t="s">
        <v>4086</v>
      </c>
      <c r="D202" s="83" t="s">
        <v>4136</v>
      </c>
      <c r="E202" s="81" t="s">
        <v>487</v>
      </c>
      <c r="F202" s="84">
        <v>57.0</v>
      </c>
      <c r="G202" s="81" t="s">
        <v>39</v>
      </c>
      <c r="H202" s="81" t="s">
        <v>5200</v>
      </c>
      <c r="I202" s="81" t="s">
        <v>483</v>
      </c>
      <c r="J202" s="81" t="s">
        <v>224</v>
      </c>
    </row>
    <row r="203" hidden="1">
      <c r="A203" s="83" t="s">
        <v>4949</v>
      </c>
      <c r="B203" s="83" t="s">
        <v>4950</v>
      </c>
      <c r="C203" s="81" t="s">
        <v>5141</v>
      </c>
      <c r="D203" s="83" t="s">
        <v>4136</v>
      </c>
      <c r="E203" s="81" t="s">
        <v>487</v>
      </c>
      <c r="F203" s="84">
        <v>57.0</v>
      </c>
      <c r="G203" s="81" t="s">
        <v>40</v>
      </c>
      <c r="H203" s="81" t="s">
        <v>5201</v>
      </c>
      <c r="I203" s="81" t="s">
        <v>224</v>
      </c>
      <c r="J203" s="81" t="s">
        <v>5143</v>
      </c>
    </row>
    <row r="204" hidden="1">
      <c r="A204" s="83" t="s">
        <v>4949</v>
      </c>
      <c r="B204" s="83" t="s">
        <v>4950</v>
      </c>
      <c r="C204" s="81" t="s">
        <v>4086</v>
      </c>
      <c r="D204" s="83" t="s">
        <v>4137</v>
      </c>
      <c r="E204" s="81" t="s">
        <v>489</v>
      </c>
      <c r="F204" s="84">
        <v>58.0</v>
      </c>
      <c r="G204" s="81" t="s">
        <v>39</v>
      </c>
      <c r="H204" s="81" t="s">
        <v>5202</v>
      </c>
      <c r="I204" s="81" t="s">
        <v>491</v>
      </c>
      <c r="J204" s="81" t="s">
        <v>224</v>
      </c>
    </row>
    <row r="205" hidden="1">
      <c r="A205" s="83" t="s">
        <v>4949</v>
      </c>
      <c r="B205" s="83" t="s">
        <v>4950</v>
      </c>
      <c r="C205" s="81" t="s">
        <v>5141</v>
      </c>
      <c r="D205" s="83" t="s">
        <v>4137</v>
      </c>
      <c r="E205" s="81" t="s">
        <v>489</v>
      </c>
      <c r="F205" s="84">
        <v>58.0</v>
      </c>
      <c r="G205" s="81" t="s">
        <v>40</v>
      </c>
      <c r="H205" s="81" t="s">
        <v>5203</v>
      </c>
      <c r="I205" s="81" t="s">
        <v>224</v>
      </c>
      <c r="J205" s="81" t="s">
        <v>5143</v>
      </c>
    </row>
    <row r="206" hidden="1">
      <c r="A206" s="83" t="s">
        <v>4949</v>
      </c>
      <c r="B206" s="83" t="s">
        <v>4950</v>
      </c>
      <c r="C206" s="81" t="s">
        <v>4086</v>
      </c>
      <c r="D206" s="83" t="s">
        <v>4138</v>
      </c>
      <c r="E206" s="81" t="s">
        <v>492</v>
      </c>
      <c r="F206" s="84">
        <v>59.0</v>
      </c>
      <c r="G206" s="81" t="s">
        <v>39</v>
      </c>
      <c r="H206" s="81" t="s">
        <v>5204</v>
      </c>
      <c r="I206" s="81" t="s">
        <v>493</v>
      </c>
      <c r="J206" s="81" t="s">
        <v>224</v>
      </c>
    </row>
    <row r="207" hidden="1">
      <c r="A207" s="83" t="s">
        <v>4949</v>
      </c>
      <c r="B207" s="83" t="s">
        <v>4950</v>
      </c>
      <c r="C207" s="81" t="s">
        <v>5141</v>
      </c>
      <c r="D207" s="83" t="s">
        <v>4138</v>
      </c>
      <c r="E207" s="81" t="s">
        <v>492</v>
      </c>
      <c r="F207" s="84">
        <v>59.0</v>
      </c>
      <c r="G207" s="81" t="s">
        <v>40</v>
      </c>
      <c r="H207" s="81" t="s">
        <v>5205</v>
      </c>
      <c r="I207" s="81" t="s">
        <v>224</v>
      </c>
      <c r="J207" s="81" t="s">
        <v>5143</v>
      </c>
    </row>
    <row r="208" hidden="1">
      <c r="A208" s="83" t="s">
        <v>4949</v>
      </c>
      <c r="B208" s="83" t="s">
        <v>4950</v>
      </c>
      <c r="C208" s="81" t="s">
        <v>4086</v>
      </c>
      <c r="D208" s="83" t="s">
        <v>4139</v>
      </c>
      <c r="E208" s="81" t="s">
        <v>494</v>
      </c>
      <c r="F208" s="84">
        <v>60.0</v>
      </c>
      <c r="G208" s="81" t="s">
        <v>39</v>
      </c>
      <c r="H208" s="81" t="s">
        <v>5206</v>
      </c>
      <c r="I208" s="81" t="s">
        <v>499</v>
      </c>
      <c r="J208" s="81" t="s">
        <v>224</v>
      </c>
    </row>
    <row r="209" hidden="1">
      <c r="A209" s="83" t="s">
        <v>4949</v>
      </c>
      <c r="B209" s="83" t="s">
        <v>4950</v>
      </c>
      <c r="C209" s="81" t="s">
        <v>5141</v>
      </c>
      <c r="D209" s="83" t="s">
        <v>4139</v>
      </c>
      <c r="E209" s="81" t="s">
        <v>494</v>
      </c>
      <c r="F209" s="84">
        <v>60.0</v>
      </c>
      <c r="G209" s="81" t="s">
        <v>40</v>
      </c>
      <c r="H209" s="81" t="s">
        <v>5207</v>
      </c>
      <c r="I209" s="81" t="s">
        <v>224</v>
      </c>
      <c r="J209" s="81" t="s">
        <v>5143</v>
      </c>
    </row>
    <row r="210" hidden="1">
      <c r="A210" s="83" t="s">
        <v>4949</v>
      </c>
      <c r="B210" s="83" t="s">
        <v>4950</v>
      </c>
      <c r="C210" s="81" t="s">
        <v>4086</v>
      </c>
      <c r="D210" s="83" t="s">
        <v>4139</v>
      </c>
      <c r="E210" s="81" t="s">
        <v>503</v>
      </c>
      <c r="F210" s="84">
        <v>61.0</v>
      </c>
      <c r="G210" s="81" t="s">
        <v>39</v>
      </c>
      <c r="H210" s="81" t="s">
        <v>5206</v>
      </c>
      <c r="I210" s="81" t="s">
        <v>499</v>
      </c>
      <c r="J210" s="81" t="s">
        <v>224</v>
      </c>
    </row>
    <row r="211" hidden="1">
      <c r="A211" s="83" t="s">
        <v>4949</v>
      </c>
      <c r="B211" s="83" t="s">
        <v>4950</v>
      </c>
      <c r="C211" s="81" t="s">
        <v>5141</v>
      </c>
      <c r="D211" s="83" t="s">
        <v>4139</v>
      </c>
      <c r="E211" s="81" t="s">
        <v>503</v>
      </c>
      <c r="F211" s="84">
        <v>61.0</v>
      </c>
      <c r="G211" s="81" t="s">
        <v>40</v>
      </c>
      <c r="H211" s="81" t="s">
        <v>5207</v>
      </c>
      <c r="I211" s="81" t="s">
        <v>224</v>
      </c>
      <c r="J211" s="81" t="s">
        <v>5143</v>
      </c>
    </row>
    <row r="212" hidden="1">
      <c r="A212" s="83" t="s">
        <v>4949</v>
      </c>
      <c r="B212" s="83" t="s">
        <v>4950</v>
      </c>
      <c r="C212" s="81" t="s">
        <v>4086</v>
      </c>
      <c r="D212" s="83" t="s">
        <v>4140</v>
      </c>
      <c r="E212" s="81" t="s">
        <v>505</v>
      </c>
      <c r="F212" s="84">
        <v>62.0</v>
      </c>
      <c r="G212" s="81" t="s">
        <v>39</v>
      </c>
      <c r="H212" s="81" t="s">
        <v>5208</v>
      </c>
      <c r="I212" s="81" t="s">
        <v>506</v>
      </c>
      <c r="J212" s="81" t="s">
        <v>224</v>
      </c>
    </row>
    <row r="213" hidden="1">
      <c r="A213" s="83" t="s">
        <v>4949</v>
      </c>
      <c r="B213" s="83" t="s">
        <v>4950</v>
      </c>
      <c r="C213" s="81" t="s">
        <v>5141</v>
      </c>
      <c r="D213" s="83" t="s">
        <v>4140</v>
      </c>
      <c r="E213" s="81" t="s">
        <v>505</v>
      </c>
      <c r="F213" s="84">
        <v>62.0</v>
      </c>
      <c r="G213" s="81" t="s">
        <v>40</v>
      </c>
      <c r="H213" s="81" t="s">
        <v>5209</v>
      </c>
      <c r="I213" s="81" t="s">
        <v>224</v>
      </c>
      <c r="J213" s="81" t="s">
        <v>5143</v>
      </c>
    </row>
    <row r="214" hidden="1">
      <c r="A214" s="83" t="s">
        <v>4949</v>
      </c>
      <c r="B214" s="83" t="s">
        <v>4950</v>
      </c>
      <c r="C214" s="81" t="s">
        <v>4086</v>
      </c>
      <c r="D214" s="83" t="s">
        <v>4141</v>
      </c>
      <c r="E214" s="81" t="s">
        <v>507</v>
      </c>
      <c r="F214" s="84">
        <v>63.0</v>
      </c>
      <c r="G214" s="81" t="s">
        <v>39</v>
      </c>
      <c r="H214" s="81" t="s">
        <v>5210</v>
      </c>
      <c r="I214" s="81" t="s">
        <v>512</v>
      </c>
      <c r="J214" s="81" t="s">
        <v>224</v>
      </c>
    </row>
    <row r="215" hidden="1">
      <c r="A215" s="83" t="s">
        <v>4949</v>
      </c>
      <c r="B215" s="83" t="s">
        <v>4950</v>
      </c>
      <c r="C215" s="81" t="s">
        <v>5141</v>
      </c>
      <c r="D215" s="83" t="s">
        <v>4141</v>
      </c>
      <c r="E215" s="81" t="s">
        <v>507</v>
      </c>
      <c r="F215" s="84">
        <v>63.0</v>
      </c>
      <c r="G215" s="81" t="s">
        <v>40</v>
      </c>
      <c r="H215" s="81" t="s">
        <v>5211</v>
      </c>
      <c r="I215" s="81" t="s">
        <v>224</v>
      </c>
      <c r="J215" s="81" t="s">
        <v>5143</v>
      </c>
    </row>
    <row r="216" hidden="1">
      <c r="A216" s="83" t="s">
        <v>4949</v>
      </c>
      <c r="B216" s="83" t="s">
        <v>4950</v>
      </c>
      <c r="C216" s="81" t="s">
        <v>4086</v>
      </c>
      <c r="D216" s="83" t="s">
        <v>4141</v>
      </c>
      <c r="E216" s="81" t="s">
        <v>516</v>
      </c>
      <c r="F216" s="84">
        <v>64.0</v>
      </c>
      <c r="G216" s="81" t="s">
        <v>39</v>
      </c>
      <c r="H216" s="81" t="s">
        <v>5210</v>
      </c>
      <c r="I216" s="81" t="s">
        <v>512</v>
      </c>
      <c r="J216" s="81" t="s">
        <v>224</v>
      </c>
    </row>
    <row r="217" hidden="1">
      <c r="A217" s="83" t="s">
        <v>4949</v>
      </c>
      <c r="B217" s="83" t="s">
        <v>4950</v>
      </c>
      <c r="C217" s="81" t="s">
        <v>5141</v>
      </c>
      <c r="D217" s="83" t="s">
        <v>4141</v>
      </c>
      <c r="E217" s="81" t="s">
        <v>516</v>
      </c>
      <c r="F217" s="84">
        <v>64.0</v>
      </c>
      <c r="G217" s="81" t="s">
        <v>40</v>
      </c>
      <c r="H217" s="81" t="s">
        <v>5211</v>
      </c>
      <c r="I217" s="81" t="s">
        <v>224</v>
      </c>
      <c r="J217" s="81" t="s">
        <v>5143</v>
      </c>
    </row>
    <row r="218" hidden="1">
      <c r="A218" s="83" t="s">
        <v>4949</v>
      </c>
      <c r="B218" s="83" t="s">
        <v>4950</v>
      </c>
      <c r="C218" s="81" t="s">
        <v>4086</v>
      </c>
      <c r="D218" s="83" t="s">
        <v>4142</v>
      </c>
      <c r="E218" s="81" t="s">
        <v>518</v>
      </c>
      <c r="F218" s="84">
        <v>65.0</v>
      </c>
      <c r="G218" s="81" t="s">
        <v>39</v>
      </c>
      <c r="H218" s="81" t="s">
        <v>5212</v>
      </c>
      <c r="I218" s="81" t="s">
        <v>521</v>
      </c>
      <c r="J218" s="81" t="s">
        <v>224</v>
      </c>
    </row>
    <row r="219" hidden="1">
      <c r="A219" s="83" t="s">
        <v>4949</v>
      </c>
      <c r="B219" s="83" t="s">
        <v>4950</v>
      </c>
      <c r="C219" s="81" t="s">
        <v>5141</v>
      </c>
      <c r="D219" s="83" t="s">
        <v>4142</v>
      </c>
      <c r="E219" s="81" t="s">
        <v>518</v>
      </c>
      <c r="F219" s="84">
        <v>65.0</v>
      </c>
      <c r="G219" s="81" t="s">
        <v>40</v>
      </c>
      <c r="H219" s="81" t="s">
        <v>5213</v>
      </c>
      <c r="I219" s="81" t="s">
        <v>224</v>
      </c>
      <c r="J219" s="81" t="s">
        <v>5143</v>
      </c>
    </row>
    <row r="220" hidden="1">
      <c r="A220" s="83" t="s">
        <v>4949</v>
      </c>
      <c r="B220" s="83" t="s">
        <v>4950</v>
      </c>
      <c r="C220" s="81" t="s">
        <v>4086</v>
      </c>
      <c r="D220" s="83" t="s">
        <v>4144</v>
      </c>
      <c r="E220" s="81" t="s">
        <v>523</v>
      </c>
      <c r="F220" s="84">
        <v>66.0</v>
      </c>
      <c r="G220" s="81" t="s">
        <v>39</v>
      </c>
      <c r="H220" s="81" t="s">
        <v>5214</v>
      </c>
      <c r="I220" s="81" t="s">
        <v>526</v>
      </c>
      <c r="J220" s="81" t="s">
        <v>224</v>
      </c>
    </row>
    <row r="221" hidden="1">
      <c r="A221" s="83" t="s">
        <v>4949</v>
      </c>
      <c r="B221" s="83" t="s">
        <v>4950</v>
      </c>
      <c r="C221" s="81" t="s">
        <v>5141</v>
      </c>
      <c r="D221" s="83" t="s">
        <v>4144</v>
      </c>
      <c r="E221" s="81" t="s">
        <v>523</v>
      </c>
      <c r="F221" s="84">
        <v>66.0</v>
      </c>
      <c r="G221" s="81" t="s">
        <v>40</v>
      </c>
      <c r="H221" s="81" t="s">
        <v>5215</v>
      </c>
      <c r="I221" s="81" t="s">
        <v>224</v>
      </c>
      <c r="J221" s="81" t="s">
        <v>5143</v>
      </c>
    </row>
    <row r="222" hidden="1">
      <c r="A222" s="83" t="s">
        <v>4949</v>
      </c>
      <c r="B222" s="83" t="s">
        <v>4950</v>
      </c>
      <c r="C222" s="81" t="s">
        <v>4086</v>
      </c>
      <c r="D222" s="83" t="s">
        <v>4144</v>
      </c>
      <c r="E222" s="81" t="s">
        <v>530</v>
      </c>
      <c r="F222" s="84">
        <v>67.0</v>
      </c>
      <c r="G222" s="81" t="s">
        <v>39</v>
      </c>
      <c r="H222" s="81" t="s">
        <v>5214</v>
      </c>
      <c r="I222" s="81" t="s">
        <v>526</v>
      </c>
      <c r="J222" s="81" t="s">
        <v>224</v>
      </c>
    </row>
    <row r="223" hidden="1">
      <c r="A223" s="83" t="s">
        <v>4949</v>
      </c>
      <c r="B223" s="83" t="s">
        <v>4950</v>
      </c>
      <c r="C223" s="81" t="s">
        <v>5141</v>
      </c>
      <c r="D223" s="83" t="s">
        <v>4144</v>
      </c>
      <c r="E223" s="81" t="s">
        <v>530</v>
      </c>
      <c r="F223" s="84">
        <v>67.0</v>
      </c>
      <c r="G223" s="81" t="s">
        <v>40</v>
      </c>
      <c r="H223" s="81" t="s">
        <v>5215</v>
      </c>
      <c r="I223" s="81" t="s">
        <v>224</v>
      </c>
      <c r="J223" s="81" t="s">
        <v>5143</v>
      </c>
    </row>
    <row r="224" hidden="1">
      <c r="A224" s="83" t="s">
        <v>4949</v>
      </c>
      <c r="B224" s="83" t="s">
        <v>4950</v>
      </c>
      <c r="C224" s="81" t="s">
        <v>4086</v>
      </c>
      <c r="D224" s="83" t="s">
        <v>4145</v>
      </c>
      <c r="E224" s="81" t="s">
        <v>531</v>
      </c>
      <c r="F224" s="84">
        <v>68.0</v>
      </c>
      <c r="G224" s="81" t="s">
        <v>39</v>
      </c>
      <c r="H224" s="81" t="s">
        <v>5216</v>
      </c>
      <c r="I224" s="81" t="s">
        <v>532</v>
      </c>
      <c r="J224" s="81" t="s">
        <v>224</v>
      </c>
    </row>
    <row r="225" hidden="1">
      <c r="A225" s="83" t="s">
        <v>4949</v>
      </c>
      <c r="B225" s="83" t="s">
        <v>4950</v>
      </c>
      <c r="C225" s="81" t="s">
        <v>5141</v>
      </c>
      <c r="D225" s="83" t="s">
        <v>4145</v>
      </c>
      <c r="E225" s="81" t="s">
        <v>531</v>
      </c>
      <c r="F225" s="84">
        <v>68.0</v>
      </c>
      <c r="G225" s="81" t="s">
        <v>40</v>
      </c>
      <c r="H225" s="81" t="s">
        <v>5217</v>
      </c>
      <c r="I225" s="81" t="s">
        <v>224</v>
      </c>
      <c r="J225" s="81" t="s">
        <v>5143</v>
      </c>
    </row>
    <row r="226" hidden="1">
      <c r="A226" s="83" t="s">
        <v>4949</v>
      </c>
      <c r="B226" s="83" t="s">
        <v>4950</v>
      </c>
      <c r="C226" s="81" t="s">
        <v>4086</v>
      </c>
      <c r="D226" s="83" t="s">
        <v>4146</v>
      </c>
      <c r="E226" s="81" t="s">
        <v>533</v>
      </c>
      <c r="F226" s="84">
        <v>69.0</v>
      </c>
      <c r="G226" s="81" t="s">
        <v>39</v>
      </c>
      <c r="H226" s="81" t="s">
        <v>5218</v>
      </c>
      <c r="I226" s="81" t="s">
        <v>538</v>
      </c>
      <c r="J226" s="81" t="s">
        <v>224</v>
      </c>
    </row>
    <row r="227" hidden="1">
      <c r="A227" s="83" t="s">
        <v>4949</v>
      </c>
      <c r="B227" s="83" t="s">
        <v>4950</v>
      </c>
      <c r="C227" s="81" t="s">
        <v>5141</v>
      </c>
      <c r="D227" s="83" t="s">
        <v>4146</v>
      </c>
      <c r="E227" s="81" t="s">
        <v>533</v>
      </c>
      <c r="F227" s="84">
        <v>69.0</v>
      </c>
      <c r="G227" s="81" t="s">
        <v>40</v>
      </c>
      <c r="H227" s="81" t="s">
        <v>5219</v>
      </c>
      <c r="I227" s="81" t="s">
        <v>224</v>
      </c>
      <c r="J227" s="81" t="s">
        <v>5143</v>
      </c>
    </row>
    <row r="228" hidden="1">
      <c r="A228" s="83" t="s">
        <v>4949</v>
      </c>
      <c r="B228" s="83" t="s">
        <v>4950</v>
      </c>
      <c r="C228" s="81" t="s">
        <v>4086</v>
      </c>
      <c r="D228" s="83" t="s">
        <v>4147</v>
      </c>
      <c r="E228" s="81" t="s">
        <v>542</v>
      </c>
      <c r="F228" s="84">
        <v>70.0</v>
      </c>
      <c r="G228" s="81" t="s">
        <v>39</v>
      </c>
      <c r="H228" s="81" t="s">
        <v>5220</v>
      </c>
      <c r="I228" s="81" t="s">
        <v>544</v>
      </c>
      <c r="J228" s="81" t="s">
        <v>224</v>
      </c>
    </row>
    <row r="229" hidden="1">
      <c r="A229" s="83" t="s">
        <v>4949</v>
      </c>
      <c r="B229" s="83" t="s">
        <v>4950</v>
      </c>
      <c r="C229" s="81" t="s">
        <v>5141</v>
      </c>
      <c r="D229" s="83" t="s">
        <v>4147</v>
      </c>
      <c r="E229" s="81" t="s">
        <v>542</v>
      </c>
      <c r="F229" s="84">
        <v>70.0</v>
      </c>
      <c r="G229" s="81" t="s">
        <v>40</v>
      </c>
      <c r="H229" s="81" t="s">
        <v>5221</v>
      </c>
      <c r="I229" s="81" t="s">
        <v>224</v>
      </c>
      <c r="J229" s="81" t="s">
        <v>5143</v>
      </c>
    </row>
    <row r="230" hidden="1">
      <c r="A230" s="83" t="s">
        <v>4949</v>
      </c>
      <c r="B230" s="83" t="s">
        <v>4950</v>
      </c>
      <c r="C230" s="81" t="s">
        <v>4086</v>
      </c>
      <c r="D230" s="83" t="s">
        <v>4148</v>
      </c>
      <c r="E230" s="81" t="s">
        <v>545</v>
      </c>
      <c r="F230" s="84">
        <v>71.0</v>
      </c>
      <c r="G230" s="81" t="s">
        <v>39</v>
      </c>
      <c r="H230" s="81" t="s">
        <v>5222</v>
      </c>
      <c r="I230" s="81" t="s">
        <v>550</v>
      </c>
      <c r="J230" s="81" t="s">
        <v>224</v>
      </c>
    </row>
    <row r="231" hidden="1">
      <c r="A231" s="83" t="s">
        <v>4949</v>
      </c>
      <c r="B231" s="83" t="s">
        <v>4950</v>
      </c>
      <c r="C231" s="81" t="s">
        <v>5141</v>
      </c>
      <c r="D231" s="83" t="s">
        <v>4148</v>
      </c>
      <c r="E231" s="81" t="s">
        <v>545</v>
      </c>
      <c r="F231" s="84">
        <v>71.0</v>
      </c>
      <c r="G231" s="81" t="s">
        <v>40</v>
      </c>
      <c r="H231" s="81" t="s">
        <v>5223</v>
      </c>
      <c r="I231" s="81" t="s">
        <v>224</v>
      </c>
      <c r="J231" s="81" t="s">
        <v>5143</v>
      </c>
    </row>
    <row r="232" hidden="1">
      <c r="A232" s="83" t="s">
        <v>4949</v>
      </c>
      <c r="B232" s="83" t="s">
        <v>4950</v>
      </c>
      <c r="C232" s="81" t="s">
        <v>4086</v>
      </c>
      <c r="D232" s="83" t="s">
        <v>4148</v>
      </c>
      <c r="E232" s="81" t="s">
        <v>552</v>
      </c>
      <c r="F232" s="84">
        <v>72.0</v>
      </c>
      <c r="G232" s="81" t="s">
        <v>39</v>
      </c>
      <c r="H232" s="81" t="s">
        <v>5222</v>
      </c>
      <c r="I232" s="81" t="s">
        <v>550</v>
      </c>
      <c r="J232" s="81" t="s">
        <v>224</v>
      </c>
    </row>
    <row r="233" hidden="1">
      <c r="A233" s="83" t="s">
        <v>4949</v>
      </c>
      <c r="B233" s="83" t="s">
        <v>4950</v>
      </c>
      <c r="C233" s="81" t="s">
        <v>5141</v>
      </c>
      <c r="D233" s="83" t="s">
        <v>4148</v>
      </c>
      <c r="E233" s="81" t="s">
        <v>552</v>
      </c>
      <c r="F233" s="84">
        <v>72.0</v>
      </c>
      <c r="G233" s="81" t="s">
        <v>40</v>
      </c>
      <c r="H233" s="81" t="s">
        <v>5223</v>
      </c>
      <c r="I233" s="81" t="s">
        <v>224</v>
      </c>
      <c r="J233" s="81" t="s">
        <v>5143</v>
      </c>
    </row>
    <row r="234" hidden="1">
      <c r="A234" s="83" t="s">
        <v>4949</v>
      </c>
      <c r="B234" s="83" t="s">
        <v>4950</v>
      </c>
      <c r="C234" s="81" t="s">
        <v>4086</v>
      </c>
      <c r="D234" s="83" t="s">
        <v>4149</v>
      </c>
      <c r="E234" s="81" t="s">
        <v>554</v>
      </c>
      <c r="F234" s="84">
        <v>73.0</v>
      </c>
      <c r="G234" s="81" t="s">
        <v>39</v>
      </c>
      <c r="H234" s="81" t="s">
        <v>5224</v>
      </c>
      <c r="I234" s="81" t="s">
        <v>555</v>
      </c>
      <c r="J234" s="81" t="s">
        <v>224</v>
      </c>
    </row>
    <row r="235" hidden="1">
      <c r="A235" s="83" t="s">
        <v>4949</v>
      </c>
      <c r="B235" s="83" t="s">
        <v>4950</v>
      </c>
      <c r="C235" s="81" t="s">
        <v>5141</v>
      </c>
      <c r="D235" s="83" t="s">
        <v>4149</v>
      </c>
      <c r="E235" s="81" t="s">
        <v>554</v>
      </c>
      <c r="F235" s="84">
        <v>73.0</v>
      </c>
      <c r="G235" s="81" t="s">
        <v>40</v>
      </c>
      <c r="H235" s="81" t="s">
        <v>5225</v>
      </c>
      <c r="I235" s="81" t="s">
        <v>224</v>
      </c>
      <c r="J235" s="81" t="s">
        <v>5143</v>
      </c>
    </row>
    <row r="236" hidden="1">
      <c r="A236" s="83" t="s">
        <v>4949</v>
      </c>
      <c r="B236" s="83" t="s">
        <v>4950</v>
      </c>
      <c r="C236" s="81" t="s">
        <v>4086</v>
      </c>
      <c r="D236" s="83" t="s">
        <v>4150</v>
      </c>
      <c r="E236" s="81" t="s">
        <v>556</v>
      </c>
      <c r="F236" s="84">
        <v>74.0</v>
      </c>
      <c r="G236" s="81" t="s">
        <v>39</v>
      </c>
      <c r="H236" s="81" t="s">
        <v>5226</v>
      </c>
      <c r="I236" s="81" t="s">
        <v>561</v>
      </c>
      <c r="J236" s="81" t="s">
        <v>224</v>
      </c>
    </row>
    <row r="237" hidden="1">
      <c r="A237" s="83" t="s">
        <v>4949</v>
      </c>
      <c r="B237" s="83" t="s">
        <v>4950</v>
      </c>
      <c r="C237" s="81" t="s">
        <v>5141</v>
      </c>
      <c r="D237" s="83" t="s">
        <v>4150</v>
      </c>
      <c r="E237" s="81" t="s">
        <v>556</v>
      </c>
      <c r="F237" s="84">
        <v>74.0</v>
      </c>
      <c r="G237" s="81" t="s">
        <v>40</v>
      </c>
      <c r="H237" s="81" t="s">
        <v>5227</v>
      </c>
      <c r="I237" s="81" t="s">
        <v>224</v>
      </c>
      <c r="J237" s="81" t="s">
        <v>5143</v>
      </c>
    </row>
    <row r="238" hidden="1">
      <c r="A238" s="83" t="s">
        <v>4949</v>
      </c>
      <c r="B238" s="83" t="s">
        <v>4950</v>
      </c>
      <c r="C238" s="81" t="s">
        <v>4086</v>
      </c>
      <c r="D238" s="83" t="s">
        <v>4150</v>
      </c>
      <c r="E238" s="81" t="s">
        <v>565</v>
      </c>
      <c r="F238" s="84">
        <v>75.0</v>
      </c>
      <c r="G238" s="81" t="s">
        <v>39</v>
      </c>
      <c r="H238" s="81" t="s">
        <v>5226</v>
      </c>
      <c r="I238" s="81" t="s">
        <v>561</v>
      </c>
      <c r="J238" s="81" t="s">
        <v>224</v>
      </c>
    </row>
    <row r="239" hidden="1">
      <c r="A239" s="83" t="s">
        <v>4949</v>
      </c>
      <c r="B239" s="83" t="s">
        <v>4950</v>
      </c>
      <c r="C239" s="81" t="s">
        <v>5141</v>
      </c>
      <c r="D239" s="83" t="s">
        <v>4150</v>
      </c>
      <c r="E239" s="81" t="s">
        <v>565</v>
      </c>
      <c r="F239" s="84">
        <v>75.0</v>
      </c>
      <c r="G239" s="81" t="s">
        <v>40</v>
      </c>
      <c r="H239" s="81" t="s">
        <v>5227</v>
      </c>
      <c r="I239" s="81" t="s">
        <v>224</v>
      </c>
      <c r="J239" s="81" t="s">
        <v>5143</v>
      </c>
    </row>
    <row r="240" hidden="1">
      <c r="A240" s="83" t="s">
        <v>4949</v>
      </c>
      <c r="B240" s="83" t="s">
        <v>4950</v>
      </c>
      <c r="C240" s="81" t="s">
        <v>4086</v>
      </c>
      <c r="D240" s="83" t="s">
        <v>4151</v>
      </c>
      <c r="E240" s="81" t="s">
        <v>567</v>
      </c>
      <c r="F240" s="84">
        <v>76.0</v>
      </c>
      <c r="G240" s="81" t="s">
        <v>39</v>
      </c>
      <c r="H240" s="81" t="s">
        <v>5228</v>
      </c>
      <c r="I240" s="81" t="s">
        <v>568</v>
      </c>
      <c r="J240" s="81" t="s">
        <v>224</v>
      </c>
    </row>
    <row r="241" hidden="1">
      <c r="A241" s="83" t="s">
        <v>4949</v>
      </c>
      <c r="B241" s="83" t="s">
        <v>4950</v>
      </c>
      <c r="C241" s="81" t="s">
        <v>5141</v>
      </c>
      <c r="D241" s="83" t="s">
        <v>4151</v>
      </c>
      <c r="E241" s="81" t="s">
        <v>567</v>
      </c>
      <c r="F241" s="84">
        <v>76.0</v>
      </c>
      <c r="G241" s="81" t="s">
        <v>40</v>
      </c>
      <c r="H241" s="81" t="s">
        <v>5229</v>
      </c>
      <c r="I241" s="81" t="s">
        <v>224</v>
      </c>
      <c r="J241" s="81" t="s">
        <v>5143</v>
      </c>
    </row>
    <row r="242" hidden="1">
      <c r="A242" s="83" t="s">
        <v>4949</v>
      </c>
      <c r="B242" s="83" t="s">
        <v>4950</v>
      </c>
      <c r="C242" s="81" t="s">
        <v>4086</v>
      </c>
      <c r="D242" s="83" t="s">
        <v>4152</v>
      </c>
      <c r="E242" s="81" t="s">
        <v>569</v>
      </c>
      <c r="F242" s="84">
        <v>77.0</v>
      </c>
      <c r="G242" s="81" t="s">
        <v>39</v>
      </c>
      <c r="H242" s="81" t="s">
        <v>5230</v>
      </c>
      <c r="I242" s="81" t="s">
        <v>570</v>
      </c>
      <c r="J242" s="81" t="s">
        <v>224</v>
      </c>
    </row>
    <row r="243" hidden="1">
      <c r="A243" s="83" t="s">
        <v>4949</v>
      </c>
      <c r="B243" s="83" t="s">
        <v>4950</v>
      </c>
      <c r="C243" s="81" t="s">
        <v>5141</v>
      </c>
      <c r="D243" s="83" t="s">
        <v>4152</v>
      </c>
      <c r="E243" s="81" t="s">
        <v>569</v>
      </c>
      <c r="F243" s="84">
        <v>77.0</v>
      </c>
      <c r="G243" s="81" t="s">
        <v>40</v>
      </c>
      <c r="H243" s="81" t="s">
        <v>5231</v>
      </c>
      <c r="I243" s="81" t="s">
        <v>224</v>
      </c>
      <c r="J243" s="81" t="s">
        <v>5143</v>
      </c>
    </row>
    <row r="244" hidden="1">
      <c r="A244" s="83" t="s">
        <v>4949</v>
      </c>
      <c r="B244" s="83" t="s">
        <v>4950</v>
      </c>
      <c r="C244" s="81" t="s">
        <v>4086</v>
      </c>
      <c r="D244" s="83" t="s">
        <v>4153</v>
      </c>
      <c r="E244" s="81" t="s">
        <v>571</v>
      </c>
      <c r="F244" s="84">
        <v>78.0</v>
      </c>
      <c r="G244" s="81" t="s">
        <v>39</v>
      </c>
      <c r="H244" s="81" t="s">
        <v>5232</v>
      </c>
      <c r="I244" s="81" t="s">
        <v>575</v>
      </c>
      <c r="J244" s="81" t="s">
        <v>224</v>
      </c>
    </row>
    <row r="245" hidden="1">
      <c r="A245" s="83" t="s">
        <v>4949</v>
      </c>
      <c r="B245" s="83" t="s">
        <v>4950</v>
      </c>
      <c r="C245" s="81" t="s">
        <v>5141</v>
      </c>
      <c r="D245" s="83" t="s">
        <v>4153</v>
      </c>
      <c r="E245" s="81" t="s">
        <v>571</v>
      </c>
      <c r="F245" s="84">
        <v>78.0</v>
      </c>
      <c r="G245" s="81" t="s">
        <v>40</v>
      </c>
      <c r="H245" s="81" t="s">
        <v>5233</v>
      </c>
      <c r="I245" s="81" t="s">
        <v>224</v>
      </c>
      <c r="J245" s="81" t="s">
        <v>5143</v>
      </c>
    </row>
    <row r="246" hidden="1">
      <c r="A246" s="83" t="s">
        <v>4949</v>
      </c>
      <c r="B246" s="83" t="s">
        <v>4950</v>
      </c>
      <c r="C246" s="81" t="s">
        <v>4086</v>
      </c>
      <c r="D246" s="83" t="s">
        <v>4154</v>
      </c>
      <c r="E246" s="81" t="s">
        <v>576</v>
      </c>
      <c r="F246" s="84">
        <v>79.0</v>
      </c>
      <c r="G246" s="81" t="s">
        <v>39</v>
      </c>
      <c r="H246" s="81" t="s">
        <v>5234</v>
      </c>
      <c r="I246" s="81" t="s">
        <v>579</v>
      </c>
      <c r="J246" s="81" t="s">
        <v>224</v>
      </c>
    </row>
    <row r="247" hidden="1">
      <c r="A247" s="83" t="s">
        <v>4949</v>
      </c>
      <c r="B247" s="83" t="s">
        <v>4950</v>
      </c>
      <c r="C247" s="81" t="s">
        <v>5141</v>
      </c>
      <c r="D247" s="83" t="s">
        <v>4154</v>
      </c>
      <c r="E247" s="81" t="s">
        <v>576</v>
      </c>
      <c r="F247" s="84">
        <v>79.0</v>
      </c>
      <c r="G247" s="81" t="s">
        <v>40</v>
      </c>
      <c r="H247" s="81" t="s">
        <v>5235</v>
      </c>
      <c r="I247" s="81" t="s">
        <v>224</v>
      </c>
      <c r="J247" s="81" t="s">
        <v>5143</v>
      </c>
    </row>
    <row r="248" hidden="1">
      <c r="A248" s="83" t="s">
        <v>4949</v>
      </c>
      <c r="B248" s="83" t="s">
        <v>4950</v>
      </c>
      <c r="C248" s="81" t="s">
        <v>4086</v>
      </c>
      <c r="D248" s="83" t="s">
        <v>4155</v>
      </c>
      <c r="E248" s="81" t="s">
        <v>581</v>
      </c>
      <c r="F248" s="84">
        <v>80.0</v>
      </c>
      <c r="G248" s="81" t="s">
        <v>39</v>
      </c>
      <c r="H248" s="81" t="s">
        <v>5236</v>
      </c>
      <c r="I248" s="81" t="s">
        <v>582</v>
      </c>
      <c r="J248" s="81" t="s">
        <v>224</v>
      </c>
    </row>
    <row r="249" hidden="1">
      <c r="A249" s="83" t="s">
        <v>4949</v>
      </c>
      <c r="B249" s="83" t="s">
        <v>4950</v>
      </c>
      <c r="C249" s="81" t="s">
        <v>5141</v>
      </c>
      <c r="D249" s="83" t="s">
        <v>4155</v>
      </c>
      <c r="E249" s="81" t="s">
        <v>581</v>
      </c>
      <c r="F249" s="84">
        <v>80.0</v>
      </c>
      <c r="G249" s="81" t="s">
        <v>40</v>
      </c>
      <c r="H249" s="81" t="s">
        <v>5237</v>
      </c>
      <c r="I249" s="81" t="s">
        <v>224</v>
      </c>
      <c r="J249" s="81" t="s">
        <v>5143</v>
      </c>
    </row>
    <row r="250" hidden="1">
      <c r="A250" s="83" t="s">
        <v>4949</v>
      </c>
      <c r="B250" s="83" t="s">
        <v>4950</v>
      </c>
      <c r="C250" s="81" t="s">
        <v>4086</v>
      </c>
      <c r="D250" s="83" t="s">
        <v>4156</v>
      </c>
      <c r="E250" s="81" t="s">
        <v>583</v>
      </c>
      <c r="F250" s="84">
        <v>81.0</v>
      </c>
      <c r="G250" s="81" t="s">
        <v>39</v>
      </c>
      <c r="H250" s="81" t="s">
        <v>5238</v>
      </c>
      <c r="I250" s="81" t="s">
        <v>584</v>
      </c>
      <c r="J250" s="81" t="s">
        <v>224</v>
      </c>
    </row>
    <row r="251" hidden="1">
      <c r="A251" s="83" t="s">
        <v>4949</v>
      </c>
      <c r="B251" s="83" t="s">
        <v>4950</v>
      </c>
      <c r="C251" s="81" t="s">
        <v>5141</v>
      </c>
      <c r="D251" s="83" t="s">
        <v>4156</v>
      </c>
      <c r="E251" s="81" t="s">
        <v>583</v>
      </c>
      <c r="F251" s="84">
        <v>81.0</v>
      </c>
      <c r="G251" s="81" t="s">
        <v>40</v>
      </c>
      <c r="H251" s="81" t="s">
        <v>5239</v>
      </c>
      <c r="I251" s="81" t="s">
        <v>224</v>
      </c>
      <c r="J251" s="81" t="s">
        <v>5143</v>
      </c>
    </row>
    <row r="252" hidden="1">
      <c r="A252" s="83" t="s">
        <v>4949</v>
      </c>
      <c r="B252" s="83" t="s">
        <v>4950</v>
      </c>
      <c r="C252" s="81" t="s">
        <v>4086</v>
      </c>
      <c r="D252" s="83" t="s">
        <v>4157</v>
      </c>
      <c r="E252" s="81" t="s">
        <v>585</v>
      </c>
      <c r="F252" s="84">
        <v>82.0</v>
      </c>
      <c r="G252" s="81" t="s">
        <v>39</v>
      </c>
      <c r="H252" s="81" t="s">
        <v>5240</v>
      </c>
      <c r="I252" s="81" t="s">
        <v>588</v>
      </c>
      <c r="J252" s="81" t="s">
        <v>224</v>
      </c>
    </row>
    <row r="253" hidden="1">
      <c r="A253" s="83" t="s">
        <v>4949</v>
      </c>
      <c r="B253" s="83" t="s">
        <v>4950</v>
      </c>
      <c r="C253" s="81" t="s">
        <v>5141</v>
      </c>
      <c r="D253" s="83" t="s">
        <v>4157</v>
      </c>
      <c r="E253" s="81" t="s">
        <v>585</v>
      </c>
      <c r="F253" s="84">
        <v>82.0</v>
      </c>
      <c r="G253" s="81" t="s">
        <v>40</v>
      </c>
      <c r="H253" s="81" t="s">
        <v>5241</v>
      </c>
      <c r="I253" s="81" t="s">
        <v>224</v>
      </c>
      <c r="J253" s="81" t="s">
        <v>5143</v>
      </c>
    </row>
    <row r="254" hidden="1">
      <c r="A254" s="83" t="s">
        <v>4949</v>
      </c>
      <c r="B254" s="83" t="s">
        <v>4950</v>
      </c>
      <c r="C254" s="81" t="s">
        <v>4086</v>
      </c>
      <c r="D254" s="83" t="s">
        <v>4158</v>
      </c>
      <c r="E254" s="81" t="s">
        <v>589</v>
      </c>
      <c r="F254" s="84">
        <v>83.0</v>
      </c>
      <c r="G254" s="81" t="s">
        <v>39</v>
      </c>
      <c r="H254" s="81" t="s">
        <v>5242</v>
      </c>
      <c r="I254" s="81" t="s">
        <v>590</v>
      </c>
      <c r="J254" s="81" t="s">
        <v>224</v>
      </c>
    </row>
    <row r="255" hidden="1">
      <c r="A255" s="83" t="s">
        <v>4949</v>
      </c>
      <c r="B255" s="83" t="s">
        <v>4950</v>
      </c>
      <c r="C255" s="81" t="s">
        <v>5141</v>
      </c>
      <c r="D255" s="83" t="s">
        <v>4158</v>
      </c>
      <c r="E255" s="81" t="s">
        <v>589</v>
      </c>
      <c r="F255" s="84">
        <v>83.0</v>
      </c>
      <c r="G255" s="81" t="s">
        <v>40</v>
      </c>
      <c r="H255" s="81" t="s">
        <v>5243</v>
      </c>
      <c r="I255" s="81" t="s">
        <v>224</v>
      </c>
      <c r="J255" s="81" t="s">
        <v>5143</v>
      </c>
    </row>
    <row r="256" hidden="1">
      <c r="A256" s="83" t="s">
        <v>4949</v>
      </c>
      <c r="B256" s="83" t="s">
        <v>4950</v>
      </c>
      <c r="C256" s="81" t="s">
        <v>4086</v>
      </c>
      <c r="D256" s="83" t="s">
        <v>4159</v>
      </c>
      <c r="E256" s="81" t="s">
        <v>591</v>
      </c>
      <c r="F256" s="84">
        <v>84.0</v>
      </c>
      <c r="G256" s="81" t="s">
        <v>39</v>
      </c>
      <c r="H256" s="81" t="s">
        <v>5244</v>
      </c>
      <c r="I256" s="81" t="s">
        <v>592</v>
      </c>
      <c r="J256" s="81" t="s">
        <v>224</v>
      </c>
    </row>
    <row r="257" hidden="1">
      <c r="A257" s="83" t="s">
        <v>4949</v>
      </c>
      <c r="B257" s="83" t="s">
        <v>4950</v>
      </c>
      <c r="C257" s="81" t="s">
        <v>5141</v>
      </c>
      <c r="D257" s="83" t="s">
        <v>4159</v>
      </c>
      <c r="E257" s="81" t="s">
        <v>591</v>
      </c>
      <c r="F257" s="84">
        <v>84.0</v>
      </c>
      <c r="G257" s="81" t="s">
        <v>40</v>
      </c>
      <c r="H257" s="81" t="s">
        <v>5245</v>
      </c>
      <c r="I257" s="81" t="s">
        <v>224</v>
      </c>
      <c r="J257" s="81" t="s">
        <v>5143</v>
      </c>
    </row>
    <row r="258" hidden="1">
      <c r="A258" s="83" t="s">
        <v>4949</v>
      </c>
      <c r="B258" s="83" t="s">
        <v>4950</v>
      </c>
      <c r="C258" s="81" t="s">
        <v>4086</v>
      </c>
      <c r="D258" s="83" t="s">
        <v>4160</v>
      </c>
      <c r="E258" s="81" t="s">
        <v>593</v>
      </c>
      <c r="F258" s="84">
        <v>85.0</v>
      </c>
      <c r="G258" s="81" t="s">
        <v>39</v>
      </c>
      <c r="H258" s="81" t="s">
        <v>5246</v>
      </c>
      <c r="I258" s="81" t="s">
        <v>595</v>
      </c>
      <c r="J258" s="81" t="s">
        <v>224</v>
      </c>
    </row>
    <row r="259" hidden="1">
      <c r="A259" s="83" t="s">
        <v>4949</v>
      </c>
      <c r="B259" s="83" t="s">
        <v>4950</v>
      </c>
      <c r="C259" s="81" t="s">
        <v>5141</v>
      </c>
      <c r="D259" s="83" t="s">
        <v>4160</v>
      </c>
      <c r="E259" s="81" t="s">
        <v>593</v>
      </c>
      <c r="F259" s="84">
        <v>85.0</v>
      </c>
      <c r="G259" s="81" t="s">
        <v>40</v>
      </c>
      <c r="H259" s="81" t="s">
        <v>5247</v>
      </c>
      <c r="I259" s="81" t="s">
        <v>224</v>
      </c>
      <c r="J259" s="81" t="s">
        <v>5143</v>
      </c>
    </row>
    <row r="260" hidden="1">
      <c r="A260" s="83" t="s">
        <v>4949</v>
      </c>
      <c r="B260" s="83" t="s">
        <v>4950</v>
      </c>
      <c r="C260" s="81" t="s">
        <v>4086</v>
      </c>
      <c r="D260" s="83" t="s">
        <v>4162</v>
      </c>
      <c r="E260" s="81" t="s">
        <v>599</v>
      </c>
      <c r="F260" s="84">
        <v>86.0</v>
      </c>
      <c r="G260" s="81" t="s">
        <v>39</v>
      </c>
      <c r="H260" s="81" t="s">
        <v>5248</v>
      </c>
      <c r="I260" s="81" t="s">
        <v>602</v>
      </c>
      <c r="J260" s="81" t="s">
        <v>224</v>
      </c>
    </row>
    <row r="261" hidden="1">
      <c r="A261" s="83" t="s">
        <v>4949</v>
      </c>
      <c r="B261" s="83" t="s">
        <v>4950</v>
      </c>
      <c r="C261" s="81" t="s">
        <v>5141</v>
      </c>
      <c r="D261" s="83" t="s">
        <v>4162</v>
      </c>
      <c r="E261" s="81" t="s">
        <v>599</v>
      </c>
      <c r="F261" s="84">
        <v>86.0</v>
      </c>
      <c r="G261" s="81" t="s">
        <v>40</v>
      </c>
      <c r="H261" s="81" t="s">
        <v>5249</v>
      </c>
      <c r="I261" s="81" t="s">
        <v>224</v>
      </c>
      <c r="J261" s="81" t="s">
        <v>5143</v>
      </c>
    </row>
    <row r="262" hidden="1">
      <c r="A262" s="83" t="s">
        <v>4949</v>
      </c>
      <c r="B262" s="83" t="s">
        <v>4950</v>
      </c>
      <c r="C262" s="81" t="s">
        <v>4086</v>
      </c>
      <c r="D262" s="83" t="s">
        <v>4162</v>
      </c>
      <c r="E262" s="81" t="s">
        <v>604</v>
      </c>
      <c r="F262" s="84">
        <v>87.0</v>
      </c>
      <c r="G262" s="81" t="s">
        <v>39</v>
      </c>
      <c r="H262" s="81" t="s">
        <v>5248</v>
      </c>
      <c r="I262" s="81" t="s">
        <v>602</v>
      </c>
      <c r="J262" s="81" t="s">
        <v>224</v>
      </c>
    </row>
    <row r="263" hidden="1">
      <c r="A263" s="83" t="s">
        <v>4949</v>
      </c>
      <c r="B263" s="83" t="s">
        <v>4950</v>
      </c>
      <c r="C263" s="81" t="s">
        <v>5141</v>
      </c>
      <c r="D263" s="83" t="s">
        <v>4162</v>
      </c>
      <c r="E263" s="81" t="s">
        <v>604</v>
      </c>
      <c r="F263" s="84">
        <v>87.0</v>
      </c>
      <c r="G263" s="81" t="s">
        <v>40</v>
      </c>
      <c r="H263" s="81" t="s">
        <v>5249</v>
      </c>
      <c r="I263" s="81" t="s">
        <v>224</v>
      </c>
      <c r="J263" s="81" t="s">
        <v>5143</v>
      </c>
    </row>
    <row r="264" hidden="1">
      <c r="A264" s="83" t="s">
        <v>4949</v>
      </c>
      <c r="B264" s="83" t="s">
        <v>4950</v>
      </c>
      <c r="C264" s="81" t="s">
        <v>4086</v>
      </c>
      <c r="D264" s="83" t="s">
        <v>4163</v>
      </c>
      <c r="E264" s="81" t="s">
        <v>605</v>
      </c>
      <c r="F264" s="84">
        <v>88.0</v>
      </c>
      <c r="G264" s="81" t="s">
        <v>39</v>
      </c>
      <c r="H264" s="81" t="s">
        <v>5250</v>
      </c>
      <c r="I264" s="81" t="s">
        <v>606</v>
      </c>
      <c r="J264" s="81" t="s">
        <v>224</v>
      </c>
    </row>
    <row r="265" hidden="1">
      <c r="A265" s="83" t="s">
        <v>4949</v>
      </c>
      <c r="B265" s="83" t="s">
        <v>4950</v>
      </c>
      <c r="C265" s="81" t="s">
        <v>5141</v>
      </c>
      <c r="D265" s="83" t="s">
        <v>4163</v>
      </c>
      <c r="E265" s="81" t="s">
        <v>605</v>
      </c>
      <c r="F265" s="84">
        <v>88.0</v>
      </c>
      <c r="G265" s="81" t="s">
        <v>40</v>
      </c>
      <c r="H265" s="81" t="s">
        <v>5251</v>
      </c>
      <c r="I265" s="81" t="s">
        <v>224</v>
      </c>
      <c r="J265" s="81" t="s">
        <v>5143</v>
      </c>
    </row>
    <row r="266" hidden="1">
      <c r="A266" s="83" t="s">
        <v>4949</v>
      </c>
      <c r="B266" s="83" t="s">
        <v>4950</v>
      </c>
      <c r="C266" s="81" t="s">
        <v>4086</v>
      </c>
      <c r="D266" s="83" t="s">
        <v>4164</v>
      </c>
      <c r="E266" s="81" t="s">
        <v>607</v>
      </c>
      <c r="F266" s="84">
        <v>89.0</v>
      </c>
      <c r="G266" s="81" t="s">
        <v>39</v>
      </c>
      <c r="H266" s="81" t="s">
        <v>5252</v>
      </c>
      <c r="I266" s="81" t="s">
        <v>611</v>
      </c>
      <c r="J266" s="81" t="s">
        <v>224</v>
      </c>
    </row>
    <row r="267" hidden="1">
      <c r="A267" s="83" t="s">
        <v>4949</v>
      </c>
      <c r="B267" s="83" t="s">
        <v>4950</v>
      </c>
      <c r="C267" s="81" t="s">
        <v>5141</v>
      </c>
      <c r="D267" s="83" t="s">
        <v>4164</v>
      </c>
      <c r="E267" s="81" t="s">
        <v>607</v>
      </c>
      <c r="F267" s="84">
        <v>89.0</v>
      </c>
      <c r="G267" s="81" t="s">
        <v>40</v>
      </c>
      <c r="H267" s="81" t="s">
        <v>5253</v>
      </c>
      <c r="I267" s="81" t="s">
        <v>224</v>
      </c>
      <c r="J267" s="81" t="s">
        <v>5143</v>
      </c>
    </row>
    <row r="268" hidden="1">
      <c r="A268" s="83" t="s">
        <v>4949</v>
      </c>
      <c r="B268" s="83" t="s">
        <v>4950</v>
      </c>
      <c r="C268" s="81" t="s">
        <v>4086</v>
      </c>
      <c r="D268" s="83" t="s">
        <v>4165</v>
      </c>
      <c r="E268" s="81" t="s">
        <v>615</v>
      </c>
      <c r="F268" s="84">
        <v>90.0</v>
      </c>
      <c r="G268" s="81" t="s">
        <v>39</v>
      </c>
      <c r="H268" s="81" t="s">
        <v>5254</v>
      </c>
      <c r="I268" s="81" t="s">
        <v>616</v>
      </c>
      <c r="J268" s="81" t="s">
        <v>224</v>
      </c>
    </row>
    <row r="269" hidden="1">
      <c r="A269" s="83" t="s">
        <v>4949</v>
      </c>
      <c r="B269" s="83" t="s">
        <v>4950</v>
      </c>
      <c r="C269" s="81" t="s">
        <v>5141</v>
      </c>
      <c r="D269" s="83" t="s">
        <v>4165</v>
      </c>
      <c r="E269" s="81" t="s">
        <v>615</v>
      </c>
      <c r="F269" s="84">
        <v>90.0</v>
      </c>
      <c r="G269" s="81" t="s">
        <v>40</v>
      </c>
      <c r="H269" s="81" t="s">
        <v>5255</v>
      </c>
      <c r="I269" s="81" t="s">
        <v>224</v>
      </c>
      <c r="J269" s="81" t="s">
        <v>5143</v>
      </c>
    </row>
    <row r="270" hidden="1">
      <c r="A270" s="83" t="s">
        <v>4949</v>
      </c>
      <c r="B270" s="83" t="s">
        <v>4950</v>
      </c>
      <c r="C270" s="81" t="s">
        <v>4086</v>
      </c>
      <c r="D270" s="83" t="s">
        <v>4166</v>
      </c>
      <c r="E270" s="81" t="s">
        <v>617</v>
      </c>
      <c r="F270" s="84">
        <v>91.0</v>
      </c>
      <c r="G270" s="81" t="s">
        <v>39</v>
      </c>
      <c r="H270" s="81" t="s">
        <v>5256</v>
      </c>
      <c r="I270" s="81" t="s">
        <v>618</v>
      </c>
      <c r="J270" s="81" t="s">
        <v>224</v>
      </c>
    </row>
    <row r="271" hidden="1">
      <c r="A271" s="83" t="s">
        <v>4949</v>
      </c>
      <c r="B271" s="83" t="s">
        <v>4950</v>
      </c>
      <c r="C271" s="81" t="s">
        <v>5141</v>
      </c>
      <c r="D271" s="83" t="s">
        <v>4166</v>
      </c>
      <c r="E271" s="81" t="s">
        <v>617</v>
      </c>
      <c r="F271" s="84">
        <v>91.0</v>
      </c>
      <c r="G271" s="81" t="s">
        <v>40</v>
      </c>
      <c r="H271" s="81" t="s">
        <v>5257</v>
      </c>
      <c r="I271" s="81" t="s">
        <v>224</v>
      </c>
      <c r="J271" s="81" t="s">
        <v>5143</v>
      </c>
    </row>
    <row r="272" hidden="1">
      <c r="A272" s="83" t="s">
        <v>4949</v>
      </c>
      <c r="B272" s="83" t="s">
        <v>4950</v>
      </c>
      <c r="C272" s="81" t="s">
        <v>4086</v>
      </c>
      <c r="D272" s="83" t="s">
        <v>4167</v>
      </c>
      <c r="E272" s="81" t="s">
        <v>619</v>
      </c>
      <c r="F272" s="84">
        <v>92.0</v>
      </c>
      <c r="G272" s="81" t="s">
        <v>39</v>
      </c>
      <c r="H272" s="81" t="s">
        <v>5258</v>
      </c>
      <c r="I272" s="81" t="s">
        <v>622</v>
      </c>
      <c r="J272" s="81" t="s">
        <v>224</v>
      </c>
    </row>
    <row r="273" hidden="1">
      <c r="A273" s="83" t="s">
        <v>4949</v>
      </c>
      <c r="B273" s="83" t="s">
        <v>4950</v>
      </c>
      <c r="C273" s="81" t="s">
        <v>5141</v>
      </c>
      <c r="D273" s="83" t="s">
        <v>4167</v>
      </c>
      <c r="E273" s="81" t="s">
        <v>619</v>
      </c>
      <c r="F273" s="84">
        <v>92.0</v>
      </c>
      <c r="G273" s="81" t="s">
        <v>40</v>
      </c>
      <c r="H273" s="81" t="s">
        <v>5259</v>
      </c>
      <c r="I273" s="81" t="s">
        <v>224</v>
      </c>
      <c r="J273" s="81" t="s">
        <v>5143</v>
      </c>
    </row>
    <row r="274" hidden="1">
      <c r="A274" s="83" t="s">
        <v>4949</v>
      </c>
      <c r="B274" s="83" t="s">
        <v>4950</v>
      </c>
      <c r="C274" s="81" t="s">
        <v>4086</v>
      </c>
      <c r="D274" s="83" t="s">
        <v>4169</v>
      </c>
      <c r="E274" s="81" t="s">
        <v>624</v>
      </c>
      <c r="F274" s="84">
        <v>93.0</v>
      </c>
      <c r="G274" s="81" t="s">
        <v>39</v>
      </c>
      <c r="H274" s="81" t="s">
        <v>5260</v>
      </c>
      <c r="I274" s="81" t="s">
        <v>626</v>
      </c>
      <c r="J274" s="81" t="s">
        <v>224</v>
      </c>
    </row>
    <row r="275" hidden="1">
      <c r="A275" s="83" t="s">
        <v>4949</v>
      </c>
      <c r="B275" s="83" t="s">
        <v>4950</v>
      </c>
      <c r="C275" s="81" t="s">
        <v>5141</v>
      </c>
      <c r="D275" s="83" t="s">
        <v>4169</v>
      </c>
      <c r="E275" s="81" t="s">
        <v>624</v>
      </c>
      <c r="F275" s="84">
        <v>93.0</v>
      </c>
      <c r="G275" s="81" t="s">
        <v>40</v>
      </c>
      <c r="H275" s="81" t="s">
        <v>5261</v>
      </c>
      <c r="I275" s="81" t="s">
        <v>224</v>
      </c>
      <c r="J275" s="81" t="s">
        <v>5143</v>
      </c>
    </row>
    <row r="276" hidden="1">
      <c r="A276" s="83" t="s">
        <v>4949</v>
      </c>
      <c r="B276" s="83" t="s">
        <v>4950</v>
      </c>
      <c r="C276" s="81" t="s">
        <v>4086</v>
      </c>
      <c r="D276" s="83" t="s">
        <v>4170</v>
      </c>
      <c r="E276" s="81" t="s">
        <v>627</v>
      </c>
      <c r="F276" s="84">
        <v>94.0</v>
      </c>
      <c r="G276" s="81" t="s">
        <v>39</v>
      </c>
      <c r="H276" s="81" t="s">
        <v>5262</v>
      </c>
      <c r="I276" s="81" t="s">
        <v>628</v>
      </c>
      <c r="J276" s="81" t="s">
        <v>224</v>
      </c>
    </row>
    <row r="277" hidden="1">
      <c r="A277" s="83" t="s">
        <v>4949</v>
      </c>
      <c r="B277" s="83" t="s">
        <v>4950</v>
      </c>
      <c r="C277" s="81" t="s">
        <v>5141</v>
      </c>
      <c r="D277" s="83" t="s">
        <v>4170</v>
      </c>
      <c r="E277" s="81" t="s">
        <v>627</v>
      </c>
      <c r="F277" s="84">
        <v>94.0</v>
      </c>
      <c r="G277" s="81" t="s">
        <v>40</v>
      </c>
      <c r="H277" s="81" t="s">
        <v>5263</v>
      </c>
      <c r="I277" s="81" t="s">
        <v>224</v>
      </c>
      <c r="J277" s="81" t="s">
        <v>5143</v>
      </c>
    </row>
    <row r="278" hidden="1">
      <c r="A278" s="83" t="s">
        <v>4949</v>
      </c>
      <c r="B278" s="83" t="s">
        <v>4950</v>
      </c>
      <c r="C278" s="81" t="s">
        <v>4086</v>
      </c>
      <c r="D278" s="83" t="s">
        <v>4171</v>
      </c>
      <c r="E278" s="81" t="s">
        <v>629</v>
      </c>
      <c r="F278" s="84">
        <v>95.0</v>
      </c>
      <c r="G278" s="81" t="s">
        <v>39</v>
      </c>
      <c r="H278" s="81" t="s">
        <v>5264</v>
      </c>
      <c r="I278" s="81" t="s">
        <v>631</v>
      </c>
      <c r="J278" s="81" t="s">
        <v>224</v>
      </c>
    </row>
    <row r="279" hidden="1">
      <c r="A279" s="83" t="s">
        <v>4949</v>
      </c>
      <c r="B279" s="83" t="s">
        <v>4950</v>
      </c>
      <c r="C279" s="81" t="s">
        <v>5141</v>
      </c>
      <c r="D279" s="83" t="s">
        <v>4171</v>
      </c>
      <c r="E279" s="81" t="s">
        <v>629</v>
      </c>
      <c r="F279" s="84">
        <v>95.0</v>
      </c>
      <c r="G279" s="81" t="s">
        <v>40</v>
      </c>
      <c r="H279" s="81" t="s">
        <v>5265</v>
      </c>
      <c r="I279" s="81" t="s">
        <v>224</v>
      </c>
      <c r="J279" s="81" t="s">
        <v>5143</v>
      </c>
    </row>
    <row r="280" hidden="1">
      <c r="A280" s="83" t="s">
        <v>4949</v>
      </c>
      <c r="B280" s="83" t="s">
        <v>4950</v>
      </c>
      <c r="C280" s="81" t="s">
        <v>4086</v>
      </c>
      <c r="D280" s="83" t="s">
        <v>4172</v>
      </c>
      <c r="E280" s="81" t="s">
        <v>632</v>
      </c>
      <c r="F280" s="84">
        <v>96.0</v>
      </c>
      <c r="G280" s="81" t="s">
        <v>39</v>
      </c>
      <c r="H280" s="81" t="s">
        <v>5266</v>
      </c>
      <c r="I280" s="81" t="s">
        <v>638</v>
      </c>
      <c r="J280" s="81" t="s">
        <v>224</v>
      </c>
    </row>
    <row r="281" hidden="1">
      <c r="A281" s="83" t="s">
        <v>4949</v>
      </c>
      <c r="B281" s="83" t="s">
        <v>4950</v>
      </c>
      <c r="C281" s="81" t="s">
        <v>5141</v>
      </c>
      <c r="D281" s="83" t="s">
        <v>4172</v>
      </c>
      <c r="E281" s="81" t="s">
        <v>632</v>
      </c>
      <c r="F281" s="84">
        <v>96.0</v>
      </c>
      <c r="G281" s="81" t="s">
        <v>40</v>
      </c>
      <c r="H281" s="81" t="s">
        <v>5267</v>
      </c>
      <c r="I281" s="81" t="s">
        <v>224</v>
      </c>
      <c r="J281" s="81" t="s">
        <v>5143</v>
      </c>
    </row>
    <row r="282" hidden="1">
      <c r="A282" s="83" t="s">
        <v>4949</v>
      </c>
      <c r="B282" s="83" t="s">
        <v>4950</v>
      </c>
      <c r="C282" s="81" t="s">
        <v>4086</v>
      </c>
      <c r="D282" s="83" t="s">
        <v>4172</v>
      </c>
      <c r="E282" s="81" t="s">
        <v>642</v>
      </c>
      <c r="F282" s="84">
        <v>97.0</v>
      </c>
      <c r="G282" s="81" t="s">
        <v>39</v>
      </c>
      <c r="H282" s="81" t="s">
        <v>5266</v>
      </c>
      <c r="I282" s="81" t="s">
        <v>638</v>
      </c>
      <c r="J282" s="81" t="s">
        <v>224</v>
      </c>
    </row>
    <row r="283" hidden="1">
      <c r="A283" s="83" t="s">
        <v>4949</v>
      </c>
      <c r="B283" s="83" t="s">
        <v>4950</v>
      </c>
      <c r="C283" s="81" t="s">
        <v>5141</v>
      </c>
      <c r="D283" s="83" t="s">
        <v>4172</v>
      </c>
      <c r="E283" s="81" t="s">
        <v>642</v>
      </c>
      <c r="F283" s="84">
        <v>97.0</v>
      </c>
      <c r="G283" s="81" t="s">
        <v>40</v>
      </c>
      <c r="H283" s="81" t="s">
        <v>5267</v>
      </c>
      <c r="I283" s="81" t="s">
        <v>224</v>
      </c>
      <c r="J283" s="81" t="s">
        <v>5143</v>
      </c>
    </row>
    <row r="284" hidden="1">
      <c r="A284" s="83" t="s">
        <v>4949</v>
      </c>
      <c r="B284" s="83" t="s">
        <v>4950</v>
      </c>
      <c r="C284" s="81" t="s">
        <v>4086</v>
      </c>
      <c r="D284" s="83" t="s">
        <v>4173</v>
      </c>
      <c r="E284" s="81" t="s">
        <v>644</v>
      </c>
      <c r="F284" s="84">
        <v>98.0</v>
      </c>
      <c r="G284" s="81" t="s">
        <v>39</v>
      </c>
      <c r="H284" s="81" t="s">
        <v>5268</v>
      </c>
      <c r="I284" s="81" t="s">
        <v>645</v>
      </c>
      <c r="J284" s="81" t="s">
        <v>224</v>
      </c>
    </row>
    <row r="285" hidden="1">
      <c r="A285" s="83" t="s">
        <v>4949</v>
      </c>
      <c r="B285" s="83" t="s">
        <v>4950</v>
      </c>
      <c r="C285" s="81" t="s">
        <v>5141</v>
      </c>
      <c r="D285" s="83" t="s">
        <v>4173</v>
      </c>
      <c r="E285" s="81" t="s">
        <v>644</v>
      </c>
      <c r="F285" s="84">
        <v>98.0</v>
      </c>
      <c r="G285" s="81" t="s">
        <v>40</v>
      </c>
      <c r="H285" s="81" t="s">
        <v>5269</v>
      </c>
      <c r="I285" s="81" t="s">
        <v>224</v>
      </c>
      <c r="J285" s="81" t="s">
        <v>5143</v>
      </c>
    </row>
    <row r="286" hidden="1">
      <c r="A286" s="83" t="s">
        <v>4949</v>
      </c>
      <c r="B286" s="83" t="s">
        <v>4950</v>
      </c>
      <c r="C286" s="81" t="s">
        <v>4086</v>
      </c>
      <c r="D286" s="83" t="s">
        <v>4174</v>
      </c>
      <c r="E286" s="81" t="s">
        <v>646</v>
      </c>
      <c r="F286" s="84">
        <v>99.0</v>
      </c>
      <c r="G286" s="81" t="s">
        <v>39</v>
      </c>
      <c r="H286" s="81" t="s">
        <v>5270</v>
      </c>
      <c r="I286" s="81" t="s">
        <v>651</v>
      </c>
      <c r="J286" s="81" t="s">
        <v>224</v>
      </c>
    </row>
    <row r="287" hidden="1">
      <c r="A287" s="83" t="s">
        <v>4949</v>
      </c>
      <c r="B287" s="83" t="s">
        <v>4950</v>
      </c>
      <c r="C287" s="81" t="s">
        <v>5141</v>
      </c>
      <c r="D287" s="83" t="s">
        <v>4174</v>
      </c>
      <c r="E287" s="81" t="s">
        <v>646</v>
      </c>
      <c r="F287" s="84">
        <v>99.0</v>
      </c>
      <c r="G287" s="81" t="s">
        <v>40</v>
      </c>
      <c r="H287" s="81" t="s">
        <v>5271</v>
      </c>
      <c r="I287" s="81" t="s">
        <v>224</v>
      </c>
      <c r="J287" s="81" t="s">
        <v>5143</v>
      </c>
    </row>
    <row r="288" hidden="1">
      <c r="A288" s="83" t="s">
        <v>4949</v>
      </c>
      <c r="B288" s="83" t="s">
        <v>4950</v>
      </c>
      <c r="C288" s="81" t="s">
        <v>4086</v>
      </c>
      <c r="D288" s="83" t="s">
        <v>4176</v>
      </c>
      <c r="E288" s="81" t="s">
        <v>653</v>
      </c>
      <c r="F288" s="84">
        <v>100.0</v>
      </c>
      <c r="G288" s="81" t="s">
        <v>39</v>
      </c>
      <c r="H288" s="81" t="s">
        <v>5272</v>
      </c>
      <c r="I288" s="81" t="s">
        <v>654</v>
      </c>
      <c r="J288" s="81" t="s">
        <v>224</v>
      </c>
    </row>
    <row r="289" hidden="1">
      <c r="A289" s="83" t="s">
        <v>4949</v>
      </c>
      <c r="B289" s="83" t="s">
        <v>4950</v>
      </c>
      <c r="C289" s="81" t="s">
        <v>5141</v>
      </c>
      <c r="D289" s="83" t="s">
        <v>4176</v>
      </c>
      <c r="E289" s="81" t="s">
        <v>653</v>
      </c>
      <c r="F289" s="84">
        <v>100.0</v>
      </c>
      <c r="G289" s="81" t="s">
        <v>40</v>
      </c>
      <c r="H289" s="81" t="s">
        <v>5273</v>
      </c>
      <c r="I289" s="81" t="s">
        <v>224</v>
      </c>
      <c r="J289" s="81" t="s">
        <v>5143</v>
      </c>
    </row>
    <row r="290" hidden="1">
      <c r="A290" s="83" t="s">
        <v>4949</v>
      </c>
      <c r="B290" s="83" t="s">
        <v>4950</v>
      </c>
      <c r="C290" s="81" t="s">
        <v>4086</v>
      </c>
      <c r="D290" s="83" t="s">
        <v>4177</v>
      </c>
      <c r="E290" s="81" t="s">
        <v>655</v>
      </c>
      <c r="F290" s="84">
        <v>101.0</v>
      </c>
      <c r="G290" s="81" t="s">
        <v>39</v>
      </c>
      <c r="H290" s="81" t="s">
        <v>5274</v>
      </c>
      <c r="I290" s="81" t="s">
        <v>658</v>
      </c>
      <c r="J290" s="81" t="s">
        <v>224</v>
      </c>
    </row>
    <row r="291" hidden="1">
      <c r="A291" s="83" t="s">
        <v>4949</v>
      </c>
      <c r="B291" s="83" t="s">
        <v>4950</v>
      </c>
      <c r="C291" s="81" t="s">
        <v>5141</v>
      </c>
      <c r="D291" s="83" t="s">
        <v>4177</v>
      </c>
      <c r="E291" s="81" t="s">
        <v>655</v>
      </c>
      <c r="F291" s="84">
        <v>101.0</v>
      </c>
      <c r="G291" s="81" t="s">
        <v>40</v>
      </c>
      <c r="H291" s="81" t="s">
        <v>5275</v>
      </c>
      <c r="I291" s="81" t="s">
        <v>224</v>
      </c>
      <c r="J291" s="81" t="s">
        <v>5143</v>
      </c>
    </row>
    <row r="292" hidden="1">
      <c r="A292" s="83" t="s">
        <v>4949</v>
      </c>
      <c r="B292" s="83" t="s">
        <v>4950</v>
      </c>
      <c r="C292" s="81" t="s">
        <v>4086</v>
      </c>
      <c r="D292" s="83" t="s">
        <v>4177</v>
      </c>
      <c r="E292" s="81" t="s">
        <v>660</v>
      </c>
      <c r="F292" s="84">
        <v>102.0</v>
      </c>
      <c r="G292" s="81" t="s">
        <v>39</v>
      </c>
      <c r="H292" s="81" t="s">
        <v>5274</v>
      </c>
      <c r="I292" s="81" t="s">
        <v>658</v>
      </c>
      <c r="J292" s="81" t="s">
        <v>224</v>
      </c>
    </row>
    <row r="293" hidden="1">
      <c r="A293" s="83" t="s">
        <v>4949</v>
      </c>
      <c r="B293" s="83" t="s">
        <v>4950</v>
      </c>
      <c r="C293" s="81" t="s">
        <v>5141</v>
      </c>
      <c r="D293" s="83" t="s">
        <v>4177</v>
      </c>
      <c r="E293" s="81" t="s">
        <v>660</v>
      </c>
      <c r="F293" s="84">
        <v>102.0</v>
      </c>
      <c r="G293" s="81" t="s">
        <v>40</v>
      </c>
      <c r="H293" s="81" t="s">
        <v>5275</v>
      </c>
      <c r="I293" s="81" t="s">
        <v>224</v>
      </c>
      <c r="J293" s="81" t="s">
        <v>5143</v>
      </c>
    </row>
    <row r="294" hidden="1">
      <c r="A294" s="83" t="s">
        <v>4949</v>
      </c>
      <c r="B294" s="83" t="s">
        <v>4950</v>
      </c>
      <c r="C294" s="81" t="s">
        <v>4086</v>
      </c>
      <c r="D294" s="83" t="s">
        <v>4178</v>
      </c>
      <c r="E294" s="81" t="s">
        <v>661</v>
      </c>
      <c r="F294" s="84">
        <v>103.0</v>
      </c>
      <c r="G294" s="81" t="s">
        <v>39</v>
      </c>
      <c r="H294" s="81" t="s">
        <v>5276</v>
      </c>
      <c r="I294" s="81" t="s">
        <v>662</v>
      </c>
      <c r="J294" s="81" t="s">
        <v>224</v>
      </c>
    </row>
    <row r="295" hidden="1">
      <c r="A295" s="83" t="s">
        <v>4949</v>
      </c>
      <c r="B295" s="83" t="s">
        <v>4950</v>
      </c>
      <c r="C295" s="81" t="s">
        <v>5141</v>
      </c>
      <c r="D295" s="83" t="s">
        <v>4178</v>
      </c>
      <c r="E295" s="81" t="s">
        <v>661</v>
      </c>
      <c r="F295" s="84">
        <v>103.0</v>
      </c>
      <c r="G295" s="81" t="s">
        <v>40</v>
      </c>
      <c r="H295" s="81" t="s">
        <v>5277</v>
      </c>
      <c r="I295" s="81" t="s">
        <v>224</v>
      </c>
      <c r="J295" s="81" t="s">
        <v>5143</v>
      </c>
    </row>
    <row r="296" hidden="1">
      <c r="A296" s="83" t="s">
        <v>4949</v>
      </c>
      <c r="B296" s="83" t="s">
        <v>4950</v>
      </c>
      <c r="C296" s="81" t="s">
        <v>4086</v>
      </c>
      <c r="D296" s="83" t="s">
        <v>4179</v>
      </c>
      <c r="E296" s="81" t="s">
        <v>663</v>
      </c>
      <c r="F296" s="84">
        <v>104.0</v>
      </c>
      <c r="G296" s="81" t="s">
        <v>39</v>
      </c>
      <c r="H296" s="81" t="s">
        <v>5278</v>
      </c>
      <c r="I296" s="81" t="s">
        <v>664</v>
      </c>
      <c r="J296" s="81" t="s">
        <v>224</v>
      </c>
    </row>
    <row r="297" hidden="1">
      <c r="A297" s="83" t="s">
        <v>4949</v>
      </c>
      <c r="B297" s="83" t="s">
        <v>4950</v>
      </c>
      <c r="C297" s="81" t="s">
        <v>4086</v>
      </c>
      <c r="D297" s="83" t="s">
        <v>4179</v>
      </c>
      <c r="E297" s="81" t="s">
        <v>663</v>
      </c>
      <c r="F297" s="84">
        <v>104.0</v>
      </c>
      <c r="G297" s="81" t="s">
        <v>40</v>
      </c>
      <c r="H297" s="81" t="s">
        <v>5279</v>
      </c>
      <c r="I297" s="81" t="s">
        <v>665</v>
      </c>
      <c r="J297" s="81" t="s">
        <v>224</v>
      </c>
    </row>
    <row r="298" hidden="1">
      <c r="A298" s="83" t="s">
        <v>4949</v>
      </c>
      <c r="B298" s="83" t="s">
        <v>4950</v>
      </c>
      <c r="C298" s="81" t="s">
        <v>4086</v>
      </c>
      <c r="D298" s="83" t="s">
        <v>4180</v>
      </c>
      <c r="E298" s="81" t="s">
        <v>666</v>
      </c>
      <c r="F298" s="84">
        <v>105.0</v>
      </c>
      <c r="G298" s="81" t="s">
        <v>39</v>
      </c>
      <c r="H298" s="81" t="s">
        <v>5280</v>
      </c>
      <c r="I298" s="81" t="s">
        <v>670</v>
      </c>
      <c r="J298" s="81" t="s">
        <v>224</v>
      </c>
    </row>
    <row r="299" hidden="1">
      <c r="A299" s="83" t="s">
        <v>4949</v>
      </c>
      <c r="B299" s="83" t="s">
        <v>4950</v>
      </c>
      <c r="C299" s="81" t="s">
        <v>5141</v>
      </c>
      <c r="D299" s="83" t="s">
        <v>4180</v>
      </c>
      <c r="E299" s="81" t="s">
        <v>666</v>
      </c>
      <c r="F299" s="84">
        <v>105.0</v>
      </c>
      <c r="G299" s="81" t="s">
        <v>40</v>
      </c>
      <c r="H299" s="81" t="s">
        <v>5281</v>
      </c>
      <c r="I299" s="81" t="s">
        <v>224</v>
      </c>
      <c r="J299" s="81" t="s">
        <v>5143</v>
      </c>
    </row>
    <row r="300" hidden="1">
      <c r="A300" s="83" t="s">
        <v>4949</v>
      </c>
      <c r="B300" s="83" t="s">
        <v>4950</v>
      </c>
      <c r="C300" s="81" t="s">
        <v>4086</v>
      </c>
      <c r="D300" s="83" t="s">
        <v>4181</v>
      </c>
      <c r="E300" s="81" t="s">
        <v>671</v>
      </c>
      <c r="F300" s="84">
        <v>106.0</v>
      </c>
      <c r="G300" s="81" t="s">
        <v>39</v>
      </c>
      <c r="H300" s="81" t="s">
        <v>5282</v>
      </c>
      <c r="I300" s="81" t="s">
        <v>672</v>
      </c>
      <c r="J300" s="81" t="s">
        <v>224</v>
      </c>
    </row>
    <row r="301" hidden="1">
      <c r="A301" s="83" t="s">
        <v>4949</v>
      </c>
      <c r="B301" s="83" t="s">
        <v>4950</v>
      </c>
      <c r="C301" s="81" t="s">
        <v>5141</v>
      </c>
      <c r="D301" s="83" t="s">
        <v>4181</v>
      </c>
      <c r="E301" s="81" t="s">
        <v>671</v>
      </c>
      <c r="F301" s="84">
        <v>106.0</v>
      </c>
      <c r="G301" s="81" t="s">
        <v>40</v>
      </c>
      <c r="H301" s="81" t="s">
        <v>5283</v>
      </c>
      <c r="I301" s="81" t="s">
        <v>224</v>
      </c>
      <c r="J301" s="81" t="s">
        <v>5143</v>
      </c>
    </row>
    <row r="302" hidden="1">
      <c r="A302" s="83" t="s">
        <v>4949</v>
      </c>
      <c r="B302" s="83" t="s">
        <v>4950</v>
      </c>
      <c r="C302" s="81" t="s">
        <v>4086</v>
      </c>
      <c r="D302" s="83" t="s">
        <v>4182</v>
      </c>
      <c r="E302" s="81" t="s">
        <v>673</v>
      </c>
      <c r="F302" s="84">
        <v>107.0</v>
      </c>
      <c r="G302" s="81" t="s">
        <v>39</v>
      </c>
      <c r="H302" s="81" t="s">
        <v>5284</v>
      </c>
      <c r="I302" s="81" t="s">
        <v>674</v>
      </c>
      <c r="J302" s="81" t="s">
        <v>224</v>
      </c>
    </row>
    <row r="303" hidden="1">
      <c r="A303" s="83" t="s">
        <v>4949</v>
      </c>
      <c r="B303" s="83" t="s">
        <v>4950</v>
      </c>
      <c r="C303" s="81" t="s">
        <v>5141</v>
      </c>
      <c r="D303" s="83" t="s">
        <v>4182</v>
      </c>
      <c r="E303" s="81" t="s">
        <v>673</v>
      </c>
      <c r="F303" s="84">
        <v>107.0</v>
      </c>
      <c r="G303" s="81" t="s">
        <v>40</v>
      </c>
      <c r="H303" s="81" t="s">
        <v>5285</v>
      </c>
      <c r="I303" s="81" t="s">
        <v>224</v>
      </c>
      <c r="J303" s="81" t="s">
        <v>5143</v>
      </c>
    </row>
    <row r="304" hidden="1">
      <c r="A304" s="83" t="s">
        <v>4949</v>
      </c>
      <c r="B304" s="83" t="s">
        <v>4950</v>
      </c>
      <c r="C304" s="81" t="s">
        <v>4086</v>
      </c>
      <c r="D304" s="83" t="s">
        <v>4183</v>
      </c>
      <c r="E304" s="81" t="s">
        <v>675</v>
      </c>
      <c r="F304" s="84">
        <v>108.0</v>
      </c>
      <c r="G304" s="81" t="s">
        <v>39</v>
      </c>
      <c r="H304" s="81" t="s">
        <v>5286</v>
      </c>
      <c r="I304" s="81" t="s">
        <v>679</v>
      </c>
      <c r="J304" s="81" t="s">
        <v>224</v>
      </c>
    </row>
    <row r="305" hidden="1">
      <c r="A305" s="83" t="s">
        <v>4949</v>
      </c>
      <c r="B305" s="83" t="s">
        <v>4950</v>
      </c>
      <c r="C305" s="81" t="s">
        <v>5141</v>
      </c>
      <c r="D305" s="83" t="s">
        <v>4183</v>
      </c>
      <c r="E305" s="81" t="s">
        <v>675</v>
      </c>
      <c r="F305" s="84">
        <v>108.0</v>
      </c>
      <c r="G305" s="81" t="s">
        <v>40</v>
      </c>
      <c r="H305" s="81" t="s">
        <v>5287</v>
      </c>
      <c r="I305" s="81" t="s">
        <v>224</v>
      </c>
      <c r="J305" s="81" t="s">
        <v>5143</v>
      </c>
    </row>
    <row r="306" hidden="1">
      <c r="A306" s="83" t="s">
        <v>4949</v>
      </c>
      <c r="B306" s="83" t="s">
        <v>4950</v>
      </c>
      <c r="C306" s="81" t="s">
        <v>4086</v>
      </c>
      <c r="D306" s="83" t="s">
        <v>4183</v>
      </c>
      <c r="E306" s="81" t="s">
        <v>681</v>
      </c>
      <c r="F306" s="84">
        <v>109.0</v>
      </c>
      <c r="G306" s="81" t="s">
        <v>39</v>
      </c>
      <c r="H306" s="81" t="s">
        <v>5286</v>
      </c>
      <c r="I306" s="81" t="s">
        <v>679</v>
      </c>
      <c r="J306" s="81" t="s">
        <v>224</v>
      </c>
    </row>
    <row r="307" hidden="1">
      <c r="A307" s="83" t="s">
        <v>4949</v>
      </c>
      <c r="B307" s="83" t="s">
        <v>4950</v>
      </c>
      <c r="C307" s="81" t="s">
        <v>5141</v>
      </c>
      <c r="D307" s="83" t="s">
        <v>4183</v>
      </c>
      <c r="E307" s="81" t="s">
        <v>681</v>
      </c>
      <c r="F307" s="84">
        <v>109.0</v>
      </c>
      <c r="G307" s="81" t="s">
        <v>40</v>
      </c>
      <c r="H307" s="81" t="s">
        <v>5287</v>
      </c>
      <c r="I307" s="81" t="s">
        <v>224</v>
      </c>
      <c r="J307" s="81" t="s">
        <v>5143</v>
      </c>
    </row>
    <row r="308" hidden="1">
      <c r="A308" s="83" t="s">
        <v>4949</v>
      </c>
      <c r="B308" s="83" t="s">
        <v>4950</v>
      </c>
      <c r="C308" s="81" t="s">
        <v>4086</v>
      </c>
      <c r="D308" s="83" t="s">
        <v>4184</v>
      </c>
      <c r="E308" s="81" t="s">
        <v>683</v>
      </c>
      <c r="F308" s="84">
        <v>110.0</v>
      </c>
      <c r="G308" s="81" t="s">
        <v>39</v>
      </c>
      <c r="H308" s="81" t="s">
        <v>5288</v>
      </c>
      <c r="I308" s="81" t="s">
        <v>684</v>
      </c>
      <c r="J308" s="81" t="s">
        <v>224</v>
      </c>
    </row>
    <row r="309" hidden="1">
      <c r="A309" s="83" t="s">
        <v>4949</v>
      </c>
      <c r="B309" s="83" t="s">
        <v>4950</v>
      </c>
      <c r="C309" s="81" t="s">
        <v>5141</v>
      </c>
      <c r="D309" s="83" t="s">
        <v>4184</v>
      </c>
      <c r="E309" s="81" t="s">
        <v>683</v>
      </c>
      <c r="F309" s="84">
        <v>110.0</v>
      </c>
      <c r="G309" s="81" t="s">
        <v>40</v>
      </c>
      <c r="H309" s="81" t="s">
        <v>5289</v>
      </c>
      <c r="I309" s="81" t="s">
        <v>224</v>
      </c>
      <c r="J309" s="81" t="s">
        <v>5143</v>
      </c>
    </row>
    <row r="310" hidden="1">
      <c r="A310" s="83" t="s">
        <v>4949</v>
      </c>
      <c r="B310" s="83" t="s">
        <v>4950</v>
      </c>
      <c r="C310" s="81" t="s">
        <v>4086</v>
      </c>
      <c r="D310" s="83" t="s">
        <v>4185</v>
      </c>
      <c r="E310" s="81" t="s">
        <v>685</v>
      </c>
      <c r="F310" s="84">
        <v>111.0</v>
      </c>
      <c r="G310" s="81" t="s">
        <v>39</v>
      </c>
      <c r="H310" s="81" t="s">
        <v>5290</v>
      </c>
      <c r="I310" s="81" t="s">
        <v>688</v>
      </c>
      <c r="J310" s="81" t="s">
        <v>224</v>
      </c>
    </row>
    <row r="311" hidden="1">
      <c r="A311" s="83" t="s">
        <v>4949</v>
      </c>
      <c r="B311" s="83" t="s">
        <v>4950</v>
      </c>
      <c r="C311" s="81" t="s">
        <v>5141</v>
      </c>
      <c r="D311" s="83" t="s">
        <v>4185</v>
      </c>
      <c r="E311" s="81" t="s">
        <v>685</v>
      </c>
      <c r="F311" s="84">
        <v>111.0</v>
      </c>
      <c r="G311" s="81" t="s">
        <v>40</v>
      </c>
      <c r="H311" s="81" t="s">
        <v>5291</v>
      </c>
      <c r="I311" s="81" t="s">
        <v>224</v>
      </c>
      <c r="J311" s="81" t="s">
        <v>5143</v>
      </c>
    </row>
    <row r="312" hidden="1">
      <c r="A312" s="83" t="s">
        <v>4949</v>
      </c>
      <c r="B312" s="83" t="s">
        <v>4950</v>
      </c>
      <c r="C312" s="81" t="s">
        <v>4086</v>
      </c>
      <c r="D312" s="83" t="s">
        <v>4185</v>
      </c>
      <c r="E312" s="81" t="s">
        <v>690</v>
      </c>
      <c r="F312" s="84">
        <v>112.0</v>
      </c>
      <c r="G312" s="81" t="s">
        <v>39</v>
      </c>
      <c r="H312" s="81" t="s">
        <v>5290</v>
      </c>
      <c r="I312" s="81" t="s">
        <v>688</v>
      </c>
      <c r="J312" s="81" t="s">
        <v>224</v>
      </c>
    </row>
    <row r="313" hidden="1">
      <c r="A313" s="83" t="s">
        <v>4949</v>
      </c>
      <c r="B313" s="83" t="s">
        <v>4950</v>
      </c>
      <c r="C313" s="81" t="s">
        <v>5141</v>
      </c>
      <c r="D313" s="83" t="s">
        <v>4185</v>
      </c>
      <c r="E313" s="81" t="s">
        <v>690</v>
      </c>
      <c r="F313" s="84">
        <v>112.0</v>
      </c>
      <c r="G313" s="81" t="s">
        <v>40</v>
      </c>
      <c r="H313" s="81" t="s">
        <v>5291</v>
      </c>
      <c r="I313" s="81" t="s">
        <v>224</v>
      </c>
      <c r="J313" s="81" t="s">
        <v>5143</v>
      </c>
    </row>
    <row r="314" hidden="1">
      <c r="A314" s="83" t="s">
        <v>4949</v>
      </c>
      <c r="B314" s="83" t="s">
        <v>4950</v>
      </c>
      <c r="C314" s="81" t="s">
        <v>4086</v>
      </c>
      <c r="D314" s="83" t="s">
        <v>4186</v>
      </c>
      <c r="E314" s="81" t="s">
        <v>691</v>
      </c>
      <c r="F314" s="84">
        <v>113.0</v>
      </c>
      <c r="G314" s="81" t="s">
        <v>39</v>
      </c>
      <c r="H314" s="81" t="s">
        <v>5292</v>
      </c>
      <c r="I314" s="81" t="s">
        <v>692</v>
      </c>
      <c r="J314" s="81" t="s">
        <v>224</v>
      </c>
    </row>
    <row r="315" hidden="1">
      <c r="A315" s="83" t="s">
        <v>4949</v>
      </c>
      <c r="B315" s="83" t="s">
        <v>4950</v>
      </c>
      <c r="C315" s="81" t="s">
        <v>5141</v>
      </c>
      <c r="D315" s="83" t="s">
        <v>4186</v>
      </c>
      <c r="E315" s="81" t="s">
        <v>691</v>
      </c>
      <c r="F315" s="84">
        <v>113.0</v>
      </c>
      <c r="G315" s="81" t="s">
        <v>40</v>
      </c>
      <c r="H315" s="81" t="s">
        <v>5293</v>
      </c>
      <c r="I315" s="81" t="s">
        <v>224</v>
      </c>
      <c r="J315" s="81" t="s">
        <v>5143</v>
      </c>
    </row>
    <row r="316" hidden="1">
      <c r="A316" s="83" t="s">
        <v>4949</v>
      </c>
      <c r="B316" s="83" t="s">
        <v>4950</v>
      </c>
      <c r="C316" s="81" t="s">
        <v>4086</v>
      </c>
      <c r="D316" s="83" t="s">
        <v>4187</v>
      </c>
      <c r="E316" s="81" t="s">
        <v>693</v>
      </c>
      <c r="F316" s="84">
        <v>114.0</v>
      </c>
      <c r="G316" s="81" t="s">
        <v>39</v>
      </c>
      <c r="H316" s="81" t="s">
        <v>5294</v>
      </c>
      <c r="I316" s="81" t="s">
        <v>696</v>
      </c>
      <c r="J316" s="81" t="s">
        <v>224</v>
      </c>
    </row>
    <row r="317" hidden="1">
      <c r="A317" s="83" t="s">
        <v>4949</v>
      </c>
      <c r="B317" s="83" t="s">
        <v>4950</v>
      </c>
      <c r="C317" s="81" t="s">
        <v>5141</v>
      </c>
      <c r="D317" s="83" t="s">
        <v>4187</v>
      </c>
      <c r="E317" s="81" t="s">
        <v>693</v>
      </c>
      <c r="F317" s="84">
        <v>114.0</v>
      </c>
      <c r="G317" s="81" t="s">
        <v>40</v>
      </c>
      <c r="H317" s="81" t="s">
        <v>5295</v>
      </c>
      <c r="I317" s="81" t="s">
        <v>224</v>
      </c>
      <c r="J317" s="81" t="s">
        <v>5143</v>
      </c>
    </row>
    <row r="318" hidden="1">
      <c r="A318" s="83" t="s">
        <v>4949</v>
      </c>
      <c r="B318" s="83" t="s">
        <v>4950</v>
      </c>
      <c r="C318" s="81" t="s">
        <v>4086</v>
      </c>
      <c r="D318" s="83" t="s">
        <v>4187</v>
      </c>
      <c r="E318" s="81" t="s">
        <v>700</v>
      </c>
      <c r="F318" s="84">
        <v>115.0</v>
      </c>
      <c r="G318" s="81" t="s">
        <v>39</v>
      </c>
      <c r="H318" s="81" t="s">
        <v>5294</v>
      </c>
      <c r="I318" s="81" t="s">
        <v>696</v>
      </c>
      <c r="J318" s="81" t="s">
        <v>224</v>
      </c>
    </row>
    <row r="319" hidden="1">
      <c r="A319" s="83" t="s">
        <v>4949</v>
      </c>
      <c r="B319" s="83" t="s">
        <v>4950</v>
      </c>
      <c r="C319" s="81" t="s">
        <v>5141</v>
      </c>
      <c r="D319" s="83" t="s">
        <v>4187</v>
      </c>
      <c r="E319" s="81" t="s">
        <v>700</v>
      </c>
      <c r="F319" s="84">
        <v>115.0</v>
      </c>
      <c r="G319" s="81" t="s">
        <v>40</v>
      </c>
      <c r="H319" s="81" t="s">
        <v>5295</v>
      </c>
      <c r="I319" s="81" t="s">
        <v>224</v>
      </c>
      <c r="J319" s="81" t="s">
        <v>5143</v>
      </c>
    </row>
    <row r="320" hidden="1">
      <c r="A320" s="83" t="s">
        <v>4949</v>
      </c>
      <c r="B320" s="83" t="s">
        <v>4950</v>
      </c>
      <c r="C320" s="81" t="s">
        <v>4086</v>
      </c>
      <c r="D320" s="83" t="s">
        <v>4188</v>
      </c>
      <c r="E320" s="81" t="s">
        <v>701</v>
      </c>
      <c r="F320" s="84">
        <v>116.0</v>
      </c>
      <c r="G320" s="81" t="s">
        <v>39</v>
      </c>
      <c r="H320" s="81" t="s">
        <v>5296</v>
      </c>
      <c r="I320" s="81" t="s">
        <v>702</v>
      </c>
      <c r="J320" s="81" t="s">
        <v>224</v>
      </c>
    </row>
    <row r="321" hidden="1">
      <c r="A321" s="83" t="s">
        <v>4949</v>
      </c>
      <c r="B321" s="83" t="s">
        <v>4950</v>
      </c>
      <c r="C321" s="81" t="s">
        <v>5141</v>
      </c>
      <c r="D321" s="83" t="s">
        <v>4188</v>
      </c>
      <c r="E321" s="81" t="s">
        <v>701</v>
      </c>
      <c r="F321" s="84">
        <v>116.0</v>
      </c>
      <c r="G321" s="81" t="s">
        <v>40</v>
      </c>
      <c r="H321" s="81" t="s">
        <v>5297</v>
      </c>
      <c r="I321" s="81" t="s">
        <v>224</v>
      </c>
      <c r="J321" s="81" t="s">
        <v>5143</v>
      </c>
    </row>
    <row r="322" hidden="1">
      <c r="A322" s="83" t="s">
        <v>4949</v>
      </c>
      <c r="B322" s="83" t="s">
        <v>4950</v>
      </c>
      <c r="C322" s="81" t="s">
        <v>4086</v>
      </c>
      <c r="D322" s="83" t="s">
        <v>4189</v>
      </c>
      <c r="E322" s="81" t="s">
        <v>703</v>
      </c>
      <c r="F322" s="84">
        <v>117.0</v>
      </c>
      <c r="G322" s="81" t="s">
        <v>39</v>
      </c>
      <c r="H322" s="81" t="s">
        <v>5298</v>
      </c>
      <c r="I322" s="81" t="s">
        <v>708</v>
      </c>
      <c r="J322" s="81" t="s">
        <v>224</v>
      </c>
    </row>
    <row r="323" hidden="1">
      <c r="A323" s="83" t="s">
        <v>4949</v>
      </c>
      <c r="B323" s="83" t="s">
        <v>4950</v>
      </c>
      <c r="C323" s="81" t="s">
        <v>5141</v>
      </c>
      <c r="D323" s="83" t="s">
        <v>4189</v>
      </c>
      <c r="E323" s="81" t="s">
        <v>703</v>
      </c>
      <c r="F323" s="84">
        <v>117.0</v>
      </c>
      <c r="G323" s="81" t="s">
        <v>40</v>
      </c>
      <c r="H323" s="81" t="s">
        <v>5299</v>
      </c>
      <c r="I323" s="81" t="s">
        <v>224</v>
      </c>
      <c r="J323" s="81" t="s">
        <v>5143</v>
      </c>
    </row>
    <row r="324" hidden="1">
      <c r="A324" s="83" t="s">
        <v>4949</v>
      </c>
      <c r="B324" s="83" t="s">
        <v>4950</v>
      </c>
      <c r="C324" s="81" t="s">
        <v>4086</v>
      </c>
      <c r="D324" s="83" t="s">
        <v>4191</v>
      </c>
      <c r="E324" s="81" t="s">
        <v>710</v>
      </c>
      <c r="F324" s="84">
        <v>118.0</v>
      </c>
      <c r="G324" s="81" t="s">
        <v>39</v>
      </c>
      <c r="H324" s="81" t="s">
        <v>5300</v>
      </c>
      <c r="I324" s="81" t="s">
        <v>714</v>
      </c>
      <c r="J324" s="81" t="s">
        <v>224</v>
      </c>
    </row>
    <row r="325" hidden="1">
      <c r="A325" s="83" t="s">
        <v>4949</v>
      </c>
      <c r="B325" s="83" t="s">
        <v>4950</v>
      </c>
      <c r="C325" s="81" t="s">
        <v>5141</v>
      </c>
      <c r="D325" s="83" t="s">
        <v>4191</v>
      </c>
      <c r="E325" s="81" t="s">
        <v>710</v>
      </c>
      <c r="F325" s="84">
        <v>118.0</v>
      </c>
      <c r="G325" s="81" t="s">
        <v>40</v>
      </c>
      <c r="H325" s="81" t="s">
        <v>5301</v>
      </c>
      <c r="I325" s="81" t="s">
        <v>224</v>
      </c>
      <c r="J325" s="81" t="s">
        <v>5143</v>
      </c>
    </row>
    <row r="326" hidden="1">
      <c r="A326" s="83" t="s">
        <v>4949</v>
      </c>
      <c r="B326" s="83" t="s">
        <v>4950</v>
      </c>
      <c r="C326" s="81" t="s">
        <v>4086</v>
      </c>
      <c r="D326" s="83" t="s">
        <v>4193</v>
      </c>
      <c r="E326" s="81" t="s">
        <v>716</v>
      </c>
      <c r="F326" s="84">
        <v>119.0</v>
      </c>
      <c r="G326" s="81" t="s">
        <v>40</v>
      </c>
      <c r="H326" s="81" t="s">
        <v>5302</v>
      </c>
      <c r="I326" s="81" t="s">
        <v>723</v>
      </c>
      <c r="J326" s="81" t="s">
        <v>224</v>
      </c>
    </row>
    <row r="327" hidden="1">
      <c r="A327" s="83" t="s">
        <v>4949</v>
      </c>
      <c r="B327" s="83" t="s">
        <v>4950</v>
      </c>
      <c r="C327" s="81" t="s">
        <v>4086</v>
      </c>
      <c r="D327" s="83" t="s">
        <v>4193</v>
      </c>
      <c r="E327" s="81" t="s">
        <v>727</v>
      </c>
      <c r="F327" s="84">
        <v>120.0</v>
      </c>
      <c r="G327" s="81" t="s">
        <v>39</v>
      </c>
      <c r="H327" s="81" t="s">
        <v>5303</v>
      </c>
      <c r="I327" s="81" t="s">
        <v>722</v>
      </c>
      <c r="J327" s="81" t="s">
        <v>224</v>
      </c>
    </row>
    <row r="328" hidden="1">
      <c r="A328" s="83" t="s">
        <v>4949</v>
      </c>
      <c r="B328" s="83" t="s">
        <v>4950</v>
      </c>
      <c r="C328" s="81" t="s">
        <v>4086</v>
      </c>
      <c r="D328" s="83" t="s">
        <v>4193</v>
      </c>
      <c r="E328" s="81" t="s">
        <v>727</v>
      </c>
      <c r="F328" s="84">
        <v>120.0</v>
      </c>
      <c r="G328" s="81" t="s">
        <v>40</v>
      </c>
      <c r="H328" s="81" t="s">
        <v>49</v>
      </c>
      <c r="I328" s="81" t="s">
        <v>723</v>
      </c>
      <c r="J328" s="81" t="s">
        <v>224</v>
      </c>
    </row>
    <row r="329" hidden="1">
      <c r="A329" s="83" t="s">
        <v>4949</v>
      </c>
      <c r="B329" s="83" t="s">
        <v>4950</v>
      </c>
      <c r="C329" s="81" t="s">
        <v>4086</v>
      </c>
      <c r="D329" s="83" t="s">
        <v>4195</v>
      </c>
      <c r="E329" s="81" t="s">
        <v>728</v>
      </c>
      <c r="F329" s="84">
        <v>121.0</v>
      </c>
      <c r="G329" s="81" t="s">
        <v>40</v>
      </c>
      <c r="H329" s="81" t="s">
        <v>5304</v>
      </c>
      <c r="I329" s="81" t="s">
        <v>730</v>
      </c>
      <c r="J329" s="81" t="s">
        <v>224</v>
      </c>
    </row>
    <row r="330" hidden="1">
      <c r="A330" s="83" t="s">
        <v>4949</v>
      </c>
      <c r="B330" s="83" t="s">
        <v>4950</v>
      </c>
      <c r="C330" s="81" t="s">
        <v>4086</v>
      </c>
      <c r="D330" s="83" t="s">
        <v>4196</v>
      </c>
      <c r="E330" s="81" t="s">
        <v>731</v>
      </c>
      <c r="F330" s="84">
        <v>122.0</v>
      </c>
      <c r="G330" s="81" t="s">
        <v>39</v>
      </c>
      <c r="H330" s="81" t="s">
        <v>5305</v>
      </c>
      <c r="I330" s="81" t="s">
        <v>736</v>
      </c>
      <c r="J330" s="81" t="s">
        <v>224</v>
      </c>
    </row>
    <row r="331" hidden="1">
      <c r="A331" s="83" t="s">
        <v>4949</v>
      </c>
      <c r="B331" s="83" t="s">
        <v>4950</v>
      </c>
      <c r="C331" s="81" t="s">
        <v>4086</v>
      </c>
      <c r="D331" s="83" t="s">
        <v>4196</v>
      </c>
      <c r="E331" s="81" t="s">
        <v>731</v>
      </c>
      <c r="F331" s="84">
        <v>122.0</v>
      </c>
      <c r="G331" s="81" t="s">
        <v>40</v>
      </c>
      <c r="H331" s="81" t="s">
        <v>5306</v>
      </c>
      <c r="I331" s="81" t="s">
        <v>737</v>
      </c>
      <c r="J331" s="81" t="s">
        <v>224</v>
      </c>
    </row>
    <row r="332" hidden="1">
      <c r="A332" s="83" t="s">
        <v>4949</v>
      </c>
      <c r="B332" s="83" t="s">
        <v>4950</v>
      </c>
      <c r="C332" s="81" t="s">
        <v>4086</v>
      </c>
      <c r="D332" s="83" t="s">
        <v>4196</v>
      </c>
      <c r="E332" s="81" t="s">
        <v>741</v>
      </c>
      <c r="F332" s="84">
        <v>123.0</v>
      </c>
      <c r="G332" s="81" t="s">
        <v>40</v>
      </c>
      <c r="H332" s="81" t="s">
        <v>5306</v>
      </c>
      <c r="I332" s="81" t="s">
        <v>737</v>
      </c>
      <c r="J332" s="81" t="s">
        <v>224</v>
      </c>
    </row>
    <row r="333" hidden="1">
      <c r="A333" s="83" t="s">
        <v>4949</v>
      </c>
      <c r="B333" s="83" t="s">
        <v>4950</v>
      </c>
      <c r="C333" s="81" t="s">
        <v>4086</v>
      </c>
      <c r="D333" s="83" t="s">
        <v>4198</v>
      </c>
      <c r="E333" s="81" t="s">
        <v>742</v>
      </c>
      <c r="F333" s="84">
        <v>124.0</v>
      </c>
      <c r="G333" s="81" t="s">
        <v>40</v>
      </c>
      <c r="H333" s="81" t="s">
        <v>5307</v>
      </c>
      <c r="I333" s="81" t="s">
        <v>744</v>
      </c>
      <c r="J333" s="81" t="s">
        <v>224</v>
      </c>
    </row>
    <row r="334" hidden="1">
      <c r="A334" s="83" t="s">
        <v>4949</v>
      </c>
      <c r="B334" s="83" t="s">
        <v>4950</v>
      </c>
      <c r="C334" s="81" t="s">
        <v>4086</v>
      </c>
      <c r="D334" s="83" t="s">
        <v>4199</v>
      </c>
      <c r="E334" s="81" t="s">
        <v>745</v>
      </c>
      <c r="F334" s="84">
        <v>125.0</v>
      </c>
      <c r="G334" s="81" t="s">
        <v>39</v>
      </c>
      <c r="H334" s="81" t="s">
        <v>5308</v>
      </c>
      <c r="I334" s="81" t="s">
        <v>748</v>
      </c>
      <c r="J334" s="81" t="s">
        <v>224</v>
      </c>
    </row>
    <row r="335" hidden="1">
      <c r="A335" s="83" t="s">
        <v>4949</v>
      </c>
      <c r="B335" s="83" t="s">
        <v>4950</v>
      </c>
      <c r="C335" s="81" t="s">
        <v>4086</v>
      </c>
      <c r="D335" s="83" t="s">
        <v>4199</v>
      </c>
      <c r="E335" s="81" t="s">
        <v>745</v>
      </c>
      <c r="F335" s="84">
        <v>125.0</v>
      </c>
      <c r="G335" s="81" t="s">
        <v>40</v>
      </c>
      <c r="H335" s="81" t="s">
        <v>5309</v>
      </c>
      <c r="I335" s="81" t="s">
        <v>749</v>
      </c>
      <c r="J335" s="81" t="s">
        <v>224</v>
      </c>
    </row>
    <row r="336" hidden="1">
      <c r="A336" s="83" t="s">
        <v>4949</v>
      </c>
      <c r="B336" s="83" t="s">
        <v>4950</v>
      </c>
      <c r="C336" s="81" t="s">
        <v>4086</v>
      </c>
      <c r="D336" s="83" t="s">
        <v>4199</v>
      </c>
      <c r="E336" s="81" t="s">
        <v>753</v>
      </c>
      <c r="F336" s="84">
        <v>126.0</v>
      </c>
      <c r="G336" s="81" t="s">
        <v>40</v>
      </c>
      <c r="H336" s="81" t="s">
        <v>5310</v>
      </c>
      <c r="I336" s="81" t="s">
        <v>749</v>
      </c>
      <c r="J336" s="81" t="s">
        <v>224</v>
      </c>
    </row>
    <row r="337" hidden="1">
      <c r="A337" s="83" t="s">
        <v>4949</v>
      </c>
      <c r="B337" s="83" t="s">
        <v>4950</v>
      </c>
      <c r="C337" s="81" t="s">
        <v>4082</v>
      </c>
      <c r="D337" s="83" t="s">
        <v>4201</v>
      </c>
      <c r="E337" s="81" t="s">
        <v>754</v>
      </c>
      <c r="F337" s="84">
        <v>127.0</v>
      </c>
      <c r="G337" s="81" t="s">
        <v>39</v>
      </c>
      <c r="H337" s="81" t="s">
        <v>224</v>
      </c>
      <c r="I337" s="81" t="s">
        <v>224</v>
      </c>
      <c r="J337" s="81" t="s">
        <v>5311</v>
      </c>
    </row>
    <row r="338" hidden="1">
      <c r="A338" s="83" t="s">
        <v>4949</v>
      </c>
      <c r="B338" s="83" t="s">
        <v>4950</v>
      </c>
      <c r="C338" s="81" t="s">
        <v>5141</v>
      </c>
      <c r="D338" s="83" t="s">
        <v>4201</v>
      </c>
      <c r="E338" s="81" t="s">
        <v>754</v>
      </c>
      <c r="F338" s="84">
        <v>127.0</v>
      </c>
      <c r="G338" s="81" t="s">
        <v>39</v>
      </c>
      <c r="H338" s="81" t="s">
        <v>5312</v>
      </c>
      <c r="I338" s="81" t="s">
        <v>224</v>
      </c>
      <c r="J338" s="81" t="s">
        <v>5143</v>
      </c>
    </row>
    <row r="339" hidden="1">
      <c r="A339" s="83" t="s">
        <v>4949</v>
      </c>
      <c r="B339" s="83" t="s">
        <v>4950</v>
      </c>
      <c r="C339" s="81" t="s">
        <v>4086</v>
      </c>
      <c r="D339" s="83" t="s">
        <v>4201</v>
      </c>
      <c r="E339" s="81" t="s">
        <v>754</v>
      </c>
      <c r="F339" s="84">
        <v>127.0</v>
      </c>
      <c r="G339" s="81" t="s">
        <v>40</v>
      </c>
      <c r="H339" s="81" t="s">
        <v>5313</v>
      </c>
      <c r="I339" s="81" t="s">
        <v>755</v>
      </c>
      <c r="J339" s="81" t="s">
        <v>224</v>
      </c>
    </row>
    <row r="340" hidden="1">
      <c r="A340" s="83" t="s">
        <v>4949</v>
      </c>
      <c r="B340" s="83" t="s">
        <v>4950</v>
      </c>
      <c r="C340" s="81" t="s">
        <v>4086</v>
      </c>
      <c r="D340" s="83" t="s">
        <v>4202</v>
      </c>
      <c r="E340" s="81" t="s">
        <v>756</v>
      </c>
      <c r="F340" s="84">
        <v>128.0</v>
      </c>
      <c r="G340" s="81" t="s">
        <v>39</v>
      </c>
      <c r="H340" s="81" t="s">
        <v>5314</v>
      </c>
      <c r="I340" s="81" t="s">
        <v>761</v>
      </c>
      <c r="J340" s="81" t="s">
        <v>224</v>
      </c>
    </row>
    <row r="341" hidden="1">
      <c r="A341" s="83" t="s">
        <v>4949</v>
      </c>
      <c r="B341" s="83" t="s">
        <v>4950</v>
      </c>
      <c r="C341" s="81" t="s">
        <v>4086</v>
      </c>
      <c r="D341" s="83" t="s">
        <v>4202</v>
      </c>
      <c r="E341" s="81" t="s">
        <v>756</v>
      </c>
      <c r="F341" s="84">
        <v>128.0</v>
      </c>
      <c r="G341" s="81" t="s">
        <v>40</v>
      </c>
      <c r="H341" s="81" t="s">
        <v>5315</v>
      </c>
      <c r="I341" s="81" t="s">
        <v>762</v>
      </c>
      <c r="J341" s="81" t="s">
        <v>224</v>
      </c>
    </row>
    <row r="342" hidden="1">
      <c r="A342" s="83" t="s">
        <v>4949</v>
      </c>
      <c r="B342" s="83" t="s">
        <v>4950</v>
      </c>
      <c r="C342" s="81" t="s">
        <v>4086</v>
      </c>
      <c r="D342" s="83" t="s">
        <v>4202</v>
      </c>
      <c r="E342" s="81" t="s">
        <v>766</v>
      </c>
      <c r="F342" s="84">
        <v>129.0</v>
      </c>
      <c r="G342" s="81" t="s">
        <v>40</v>
      </c>
      <c r="H342" s="81" t="s">
        <v>5315</v>
      </c>
      <c r="I342" s="81" t="s">
        <v>762</v>
      </c>
      <c r="J342" s="81" t="s">
        <v>224</v>
      </c>
    </row>
    <row r="343" hidden="1">
      <c r="A343" s="83" t="s">
        <v>4949</v>
      </c>
      <c r="B343" s="83" t="s">
        <v>4950</v>
      </c>
      <c r="C343" s="81" t="s">
        <v>4086</v>
      </c>
      <c r="D343" s="83" t="s">
        <v>4204</v>
      </c>
      <c r="E343" s="81" t="s">
        <v>767</v>
      </c>
      <c r="F343" s="84">
        <v>130.0</v>
      </c>
      <c r="G343" s="81" t="s">
        <v>40</v>
      </c>
      <c r="H343" s="81" t="s">
        <v>5316</v>
      </c>
      <c r="I343" s="81" t="s">
        <v>769</v>
      </c>
      <c r="J343" s="81" t="s">
        <v>224</v>
      </c>
    </row>
    <row r="344" hidden="1">
      <c r="A344" s="83" t="s">
        <v>4949</v>
      </c>
      <c r="B344" s="83" t="s">
        <v>4950</v>
      </c>
      <c r="C344" s="81" t="s">
        <v>4086</v>
      </c>
      <c r="D344" s="83" t="s">
        <v>4205</v>
      </c>
      <c r="E344" s="81" t="s">
        <v>770</v>
      </c>
      <c r="F344" s="84">
        <v>131.0</v>
      </c>
      <c r="G344" s="81" t="s">
        <v>39</v>
      </c>
      <c r="H344" s="81" t="s">
        <v>5317</v>
      </c>
      <c r="I344" s="81" t="s">
        <v>772</v>
      </c>
      <c r="J344" s="81" t="s">
        <v>224</v>
      </c>
    </row>
    <row r="345" hidden="1">
      <c r="A345" s="83" t="s">
        <v>4949</v>
      </c>
      <c r="B345" s="83" t="s">
        <v>4950</v>
      </c>
      <c r="C345" s="81" t="s">
        <v>4086</v>
      </c>
      <c r="D345" s="83" t="s">
        <v>4205</v>
      </c>
      <c r="E345" s="81" t="s">
        <v>770</v>
      </c>
      <c r="F345" s="84">
        <v>131.0</v>
      </c>
      <c r="G345" s="81" t="s">
        <v>40</v>
      </c>
      <c r="H345" s="81" t="s">
        <v>5318</v>
      </c>
      <c r="I345" s="81" t="s">
        <v>773</v>
      </c>
      <c r="J345" s="81" t="s">
        <v>224</v>
      </c>
    </row>
    <row r="346" hidden="1">
      <c r="A346" s="83" t="s">
        <v>4949</v>
      </c>
      <c r="B346" s="83" t="s">
        <v>4950</v>
      </c>
      <c r="C346" s="81" t="s">
        <v>4086</v>
      </c>
      <c r="D346" s="83" t="s">
        <v>4206</v>
      </c>
      <c r="E346" s="81" t="s">
        <v>776</v>
      </c>
      <c r="F346" s="84">
        <v>132.0</v>
      </c>
      <c r="G346" s="81" t="s">
        <v>40</v>
      </c>
      <c r="H346" s="81" t="s">
        <v>5319</v>
      </c>
      <c r="I346" s="81" t="s">
        <v>778</v>
      </c>
      <c r="J346" s="81" t="s">
        <v>224</v>
      </c>
    </row>
    <row r="347" hidden="1">
      <c r="A347" s="83" t="s">
        <v>4949</v>
      </c>
      <c r="B347" s="83" t="s">
        <v>4950</v>
      </c>
      <c r="C347" s="81" t="s">
        <v>4086</v>
      </c>
      <c r="D347" s="83" t="s">
        <v>4207</v>
      </c>
      <c r="E347" s="81" t="s">
        <v>779</v>
      </c>
      <c r="F347" s="84">
        <v>133.0</v>
      </c>
      <c r="G347" s="81" t="s">
        <v>39</v>
      </c>
      <c r="H347" s="81" t="s">
        <v>5320</v>
      </c>
      <c r="I347" s="81" t="s">
        <v>782</v>
      </c>
      <c r="J347" s="81" t="s">
        <v>224</v>
      </c>
    </row>
    <row r="348" hidden="1">
      <c r="A348" s="83" t="s">
        <v>4949</v>
      </c>
      <c r="B348" s="83" t="s">
        <v>4950</v>
      </c>
      <c r="C348" s="81" t="s">
        <v>4086</v>
      </c>
      <c r="D348" s="83" t="s">
        <v>4207</v>
      </c>
      <c r="E348" s="81" t="s">
        <v>779</v>
      </c>
      <c r="F348" s="84">
        <v>133.0</v>
      </c>
      <c r="G348" s="81" t="s">
        <v>40</v>
      </c>
      <c r="H348" s="81" t="s">
        <v>5321</v>
      </c>
      <c r="I348" s="81" t="s">
        <v>783</v>
      </c>
      <c r="J348" s="81" t="s">
        <v>224</v>
      </c>
    </row>
    <row r="349" hidden="1">
      <c r="A349" s="83" t="s">
        <v>4949</v>
      </c>
      <c r="B349" s="83" t="s">
        <v>4950</v>
      </c>
      <c r="C349" s="81" t="s">
        <v>4082</v>
      </c>
      <c r="D349" s="83" t="s">
        <v>4208</v>
      </c>
      <c r="E349" s="81" t="s">
        <v>786</v>
      </c>
      <c r="F349" s="84">
        <v>134.0</v>
      </c>
      <c r="G349" s="81" t="s">
        <v>39</v>
      </c>
      <c r="H349" s="81" t="s">
        <v>224</v>
      </c>
      <c r="I349" s="81" t="s">
        <v>224</v>
      </c>
      <c r="J349" s="81" t="s">
        <v>5322</v>
      </c>
    </row>
    <row r="350" hidden="1">
      <c r="A350" s="83" t="s">
        <v>4949</v>
      </c>
      <c r="B350" s="83" t="s">
        <v>4950</v>
      </c>
      <c r="C350" s="81" t="s">
        <v>5141</v>
      </c>
      <c r="D350" s="83" t="s">
        <v>4208</v>
      </c>
      <c r="E350" s="81" t="s">
        <v>786</v>
      </c>
      <c r="F350" s="84">
        <v>134.0</v>
      </c>
      <c r="G350" s="81" t="s">
        <v>39</v>
      </c>
      <c r="H350" s="81" t="s">
        <v>5323</v>
      </c>
      <c r="I350" s="81" t="s">
        <v>224</v>
      </c>
      <c r="J350" s="81" t="s">
        <v>5143</v>
      </c>
    </row>
    <row r="351" hidden="1">
      <c r="A351" s="83" t="s">
        <v>4949</v>
      </c>
      <c r="B351" s="83" t="s">
        <v>4950</v>
      </c>
      <c r="C351" s="81" t="s">
        <v>4086</v>
      </c>
      <c r="D351" s="83" t="s">
        <v>4208</v>
      </c>
      <c r="E351" s="81" t="s">
        <v>786</v>
      </c>
      <c r="F351" s="84">
        <v>134.0</v>
      </c>
      <c r="G351" s="81" t="s">
        <v>40</v>
      </c>
      <c r="H351" s="81" t="s">
        <v>5324</v>
      </c>
      <c r="I351" s="81" t="s">
        <v>787</v>
      </c>
      <c r="J351" s="81" t="s">
        <v>224</v>
      </c>
    </row>
    <row r="352" hidden="1">
      <c r="A352" s="83" t="s">
        <v>4949</v>
      </c>
      <c r="B352" s="83" t="s">
        <v>4950</v>
      </c>
      <c r="C352" s="81" t="s">
        <v>4086</v>
      </c>
      <c r="D352" s="83" t="s">
        <v>4209</v>
      </c>
      <c r="E352" s="81" t="s">
        <v>788</v>
      </c>
      <c r="F352" s="84">
        <v>135.0</v>
      </c>
      <c r="G352" s="81" t="s">
        <v>40</v>
      </c>
      <c r="H352" s="81" t="s">
        <v>5325</v>
      </c>
      <c r="I352" s="81" t="s">
        <v>792</v>
      </c>
      <c r="J352" s="81" t="s">
        <v>224</v>
      </c>
    </row>
    <row r="353" hidden="1">
      <c r="A353" s="83" t="s">
        <v>4949</v>
      </c>
      <c r="B353" s="83" t="s">
        <v>4950</v>
      </c>
      <c r="C353" s="81" t="s">
        <v>4086</v>
      </c>
      <c r="D353" s="83" t="s">
        <v>4210</v>
      </c>
      <c r="E353" s="81" t="s">
        <v>795</v>
      </c>
      <c r="F353" s="84">
        <v>136.0</v>
      </c>
      <c r="G353" s="81" t="s">
        <v>40</v>
      </c>
      <c r="H353" s="81" t="s">
        <v>5326</v>
      </c>
      <c r="I353" s="81" t="s">
        <v>797</v>
      </c>
      <c r="J353" s="81" t="s">
        <v>224</v>
      </c>
    </row>
    <row r="354" hidden="1">
      <c r="A354" s="83" t="s">
        <v>4949</v>
      </c>
      <c r="B354" s="83" t="s">
        <v>4950</v>
      </c>
      <c r="C354" s="81" t="s">
        <v>4082</v>
      </c>
      <c r="D354" s="83" t="s">
        <v>4211</v>
      </c>
      <c r="E354" s="81" t="s">
        <v>798</v>
      </c>
      <c r="F354" s="84">
        <v>137.0</v>
      </c>
      <c r="G354" s="81" t="s">
        <v>39</v>
      </c>
      <c r="H354" s="81" t="s">
        <v>224</v>
      </c>
      <c r="I354" s="81" t="s">
        <v>224</v>
      </c>
      <c r="J354" s="81" t="s">
        <v>5327</v>
      </c>
    </row>
    <row r="355" hidden="1">
      <c r="A355" s="83" t="s">
        <v>4949</v>
      </c>
      <c r="B355" s="83" t="s">
        <v>4950</v>
      </c>
      <c r="C355" s="81" t="s">
        <v>5141</v>
      </c>
      <c r="D355" s="83" t="s">
        <v>4211</v>
      </c>
      <c r="E355" s="81" t="s">
        <v>798</v>
      </c>
      <c r="F355" s="84">
        <v>137.0</v>
      </c>
      <c r="G355" s="81" t="s">
        <v>39</v>
      </c>
      <c r="H355" s="81" t="s">
        <v>5328</v>
      </c>
      <c r="I355" s="81" t="s">
        <v>224</v>
      </c>
      <c r="J355" s="81" t="s">
        <v>5143</v>
      </c>
    </row>
    <row r="356" hidden="1">
      <c r="A356" s="83" t="s">
        <v>4949</v>
      </c>
      <c r="B356" s="83" t="s">
        <v>4950</v>
      </c>
      <c r="C356" s="81" t="s">
        <v>4086</v>
      </c>
      <c r="D356" s="83" t="s">
        <v>4211</v>
      </c>
      <c r="E356" s="81" t="s">
        <v>798</v>
      </c>
      <c r="F356" s="84">
        <v>137.0</v>
      </c>
      <c r="G356" s="81" t="s">
        <v>40</v>
      </c>
      <c r="H356" s="81" t="s">
        <v>5329</v>
      </c>
      <c r="I356" s="81" t="s">
        <v>801</v>
      </c>
      <c r="J356" s="81" t="s">
        <v>224</v>
      </c>
    </row>
    <row r="357" hidden="1">
      <c r="A357" s="83" t="s">
        <v>4949</v>
      </c>
      <c r="B357" s="83" t="s">
        <v>4950</v>
      </c>
      <c r="C357" s="81" t="s">
        <v>4082</v>
      </c>
      <c r="D357" s="83" t="s">
        <v>4212</v>
      </c>
      <c r="E357" s="81" t="s">
        <v>804</v>
      </c>
      <c r="F357" s="84">
        <v>138.0</v>
      </c>
      <c r="G357" s="81" t="s">
        <v>39</v>
      </c>
      <c r="H357" s="81" t="s">
        <v>224</v>
      </c>
      <c r="I357" s="81" t="s">
        <v>224</v>
      </c>
      <c r="J357" s="81" t="s">
        <v>5330</v>
      </c>
    </row>
    <row r="358" hidden="1">
      <c r="A358" s="83" t="s">
        <v>4949</v>
      </c>
      <c r="B358" s="83" t="s">
        <v>4950</v>
      </c>
      <c r="C358" s="81" t="s">
        <v>5141</v>
      </c>
      <c r="D358" s="83" t="s">
        <v>4212</v>
      </c>
      <c r="E358" s="81" t="s">
        <v>804</v>
      </c>
      <c r="F358" s="84">
        <v>138.0</v>
      </c>
      <c r="G358" s="81" t="s">
        <v>39</v>
      </c>
      <c r="H358" s="81" t="s">
        <v>5331</v>
      </c>
      <c r="I358" s="81" t="s">
        <v>224</v>
      </c>
      <c r="J358" s="81" t="s">
        <v>5143</v>
      </c>
    </row>
    <row r="359" hidden="1">
      <c r="A359" s="83" t="s">
        <v>4949</v>
      </c>
      <c r="B359" s="83" t="s">
        <v>4950</v>
      </c>
      <c r="C359" s="81" t="s">
        <v>4086</v>
      </c>
      <c r="D359" s="83" t="s">
        <v>4212</v>
      </c>
      <c r="E359" s="81" t="s">
        <v>804</v>
      </c>
      <c r="F359" s="84">
        <v>138.0</v>
      </c>
      <c r="G359" s="81" t="s">
        <v>40</v>
      </c>
      <c r="H359" s="81" t="s">
        <v>5332</v>
      </c>
      <c r="I359" s="81" t="s">
        <v>805</v>
      </c>
      <c r="J359" s="81" t="s">
        <v>224</v>
      </c>
    </row>
    <row r="360" hidden="1">
      <c r="A360" s="83" t="s">
        <v>4949</v>
      </c>
      <c r="B360" s="83" t="s">
        <v>4950</v>
      </c>
      <c r="C360" s="81" t="s">
        <v>4086</v>
      </c>
      <c r="D360" s="83" t="s">
        <v>4213</v>
      </c>
      <c r="E360" s="81" t="s">
        <v>806</v>
      </c>
      <c r="F360" s="84">
        <v>139.0</v>
      </c>
      <c r="G360" s="81" t="s">
        <v>40</v>
      </c>
      <c r="H360" s="81" t="s">
        <v>5333</v>
      </c>
      <c r="I360" s="81" t="s">
        <v>809</v>
      </c>
      <c r="J360" s="81" t="s">
        <v>224</v>
      </c>
    </row>
    <row r="361" hidden="1">
      <c r="A361" s="83" t="s">
        <v>4949</v>
      </c>
      <c r="B361" s="83" t="s">
        <v>4950</v>
      </c>
      <c r="C361" s="81" t="s">
        <v>4086</v>
      </c>
      <c r="D361" s="83" t="s">
        <v>4214</v>
      </c>
      <c r="E361" s="81" t="s">
        <v>812</v>
      </c>
      <c r="F361" s="84">
        <v>140.0</v>
      </c>
      <c r="G361" s="81" t="s">
        <v>39</v>
      </c>
      <c r="H361" s="81" t="s">
        <v>5334</v>
      </c>
      <c r="I361" s="81" t="s">
        <v>813</v>
      </c>
      <c r="J361" s="81" t="s">
        <v>224</v>
      </c>
    </row>
    <row r="362" hidden="1">
      <c r="A362" s="83" t="s">
        <v>4949</v>
      </c>
      <c r="B362" s="83" t="s">
        <v>4950</v>
      </c>
      <c r="C362" s="81" t="s">
        <v>4086</v>
      </c>
      <c r="D362" s="83" t="s">
        <v>4214</v>
      </c>
      <c r="E362" s="81" t="s">
        <v>812</v>
      </c>
      <c r="F362" s="84">
        <v>140.0</v>
      </c>
      <c r="G362" s="81" t="s">
        <v>40</v>
      </c>
      <c r="H362" s="81" t="s">
        <v>5335</v>
      </c>
      <c r="I362" s="81" t="s">
        <v>814</v>
      </c>
      <c r="J362" s="81" t="s">
        <v>224</v>
      </c>
    </row>
    <row r="363" hidden="1">
      <c r="A363" s="83" t="s">
        <v>4949</v>
      </c>
      <c r="B363" s="83" t="s">
        <v>4950</v>
      </c>
      <c r="C363" s="81" t="s">
        <v>4086</v>
      </c>
      <c r="D363" s="83" t="s">
        <v>4215</v>
      </c>
      <c r="E363" s="81" t="s">
        <v>815</v>
      </c>
      <c r="F363" s="84">
        <v>141.0</v>
      </c>
      <c r="G363" s="81" t="s">
        <v>40</v>
      </c>
      <c r="H363" s="81" t="s">
        <v>5336</v>
      </c>
      <c r="I363" s="81" t="s">
        <v>819</v>
      </c>
      <c r="J363" s="81" t="s">
        <v>224</v>
      </c>
    </row>
    <row r="364" hidden="1">
      <c r="A364" s="83" t="s">
        <v>4949</v>
      </c>
      <c r="B364" s="83" t="s">
        <v>4950</v>
      </c>
      <c r="C364" s="81" t="s">
        <v>4086</v>
      </c>
      <c r="D364" s="83" t="s">
        <v>4216</v>
      </c>
      <c r="E364" s="81" t="s">
        <v>822</v>
      </c>
      <c r="F364" s="84">
        <v>142.0</v>
      </c>
      <c r="G364" s="81" t="s">
        <v>40</v>
      </c>
      <c r="H364" s="81" t="s">
        <v>5337</v>
      </c>
      <c r="I364" s="81" t="s">
        <v>824</v>
      </c>
      <c r="J364" s="81" t="s">
        <v>224</v>
      </c>
    </row>
    <row r="365" hidden="1">
      <c r="A365" s="83" t="s">
        <v>4949</v>
      </c>
      <c r="B365" s="83" t="s">
        <v>4950</v>
      </c>
      <c r="C365" s="81" t="s">
        <v>4086</v>
      </c>
      <c r="D365" s="83" t="s">
        <v>4217</v>
      </c>
      <c r="E365" s="81" t="s">
        <v>825</v>
      </c>
      <c r="F365" s="84">
        <v>143.0</v>
      </c>
      <c r="G365" s="81" t="s">
        <v>40</v>
      </c>
      <c r="H365" s="81" t="s">
        <v>5338</v>
      </c>
      <c r="I365" s="81" t="s">
        <v>829</v>
      </c>
      <c r="J365" s="81" t="s">
        <v>224</v>
      </c>
    </row>
    <row r="366" hidden="1">
      <c r="A366" s="83" t="s">
        <v>4949</v>
      </c>
      <c r="B366" s="83" t="s">
        <v>4950</v>
      </c>
      <c r="C366" s="81" t="s">
        <v>4086</v>
      </c>
      <c r="D366" s="83" t="s">
        <v>4218</v>
      </c>
      <c r="E366" s="81" t="s">
        <v>832</v>
      </c>
      <c r="F366" s="84">
        <v>144.0</v>
      </c>
      <c r="G366" s="81" t="s">
        <v>40</v>
      </c>
      <c r="H366" s="81" t="s">
        <v>5339</v>
      </c>
      <c r="I366" s="81" t="s">
        <v>834</v>
      </c>
      <c r="J366" s="81" t="s">
        <v>224</v>
      </c>
    </row>
    <row r="367" hidden="1">
      <c r="A367" s="83" t="s">
        <v>4949</v>
      </c>
      <c r="B367" s="83" t="s">
        <v>4950</v>
      </c>
      <c r="C367" s="81" t="s">
        <v>4086</v>
      </c>
      <c r="D367" s="83" t="s">
        <v>4219</v>
      </c>
      <c r="E367" s="81" t="s">
        <v>835</v>
      </c>
      <c r="F367" s="84">
        <v>145.0</v>
      </c>
      <c r="G367" s="81" t="s">
        <v>40</v>
      </c>
      <c r="H367" s="81" t="s">
        <v>5340</v>
      </c>
      <c r="I367" s="81" t="s">
        <v>839</v>
      </c>
      <c r="J367" s="81" t="s">
        <v>224</v>
      </c>
    </row>
    <row r="368" hidden="1">
      <c r="A368" s="83" t="s">
        <v>4949</v>
      </c>
      <c r="B368" s="83" t="s">
        <v>4950</v>
      </c>
      <c r="C368" s="81" t="s">
        <v>4086</v>
      </c>
      <c r="D368" s="83" t="s">
        <v>4220</v>
      </c>
      <c r="E368" s="81" t="s">
        <v>842</v>
      </c>
      <c r="F368" s="84">
        <v>146.0</v>
      </c>
      <c r="G368" s="81" t="s">
        <v>40</v>
      </c>
      <c r="H368" s="81" t="s">
        <v>5341</v>
      </c>
      <c r="I368" s="81" t="s">
        <v>844</v>
      </c>
      <c r="J368" s="81" t="s">
        <v>224</v>
      </c>
    </row>
    <row r="369" hidden="1">
      <c r="A369" s="83" t="s">
        <v>4949</v>
      </c>
      <c r="B369" s="83" t="s">
        <v>4950</v>
      </c>
      <c r="C369" s="81" t="s">
        <v>4086</v>
      </c>
      <c r="D369" s="83" t="s">
        <v>4221</v>
      </c>
      <c r="E369" s="81" t="s">
        <v>845</v>
      </c>
      <c r="F369" s="84">
        <v>147.0</v>
      </c>
      <c r="G369" s="81" t="s">
        <v>40</v>
      </c>
      <c r="H369" s="81" t="s">
        <v>5342</v>
      </c>
      <c r="I369" s="81" t="s">
        <v>848</v>
      </c>
      <c r="J369" s="81" t="s">
        <v>224</v>
      </c>
    </row>
    <row r="370" hidden="1">
      <c r="A370" s="83" t="s">
        <v>4949</v>
      </c>
      <c r="B370" s="83" t="s">
        <v>4950</v>
      </c>
      <c r="C370" s="81" t="s">
        <v>4086</v>
      </c>
      <c r="D370" s="83" t="s">
        <v>4222</v>
      </c>
      <c r="E370" s="81" t="s">
        <v>851</v>
      </c>
      <c r="F370" s="84">
        <v>148.0</v>
      </c>
      <c r="G370" s="81" t="s">
        <v>40</v>
      </c>
      <c r="H370" s="81" t="s">
        <v>5343</v>
      </c>
      <c r="I370" s="81" t="s">
        <v>853</v>
      </c>
      <c r="J370" s="81" t="s">
        <v>224</v>
      </c>
    </row>
    <row r="371" hidden="1">
      <c r="A371" s="83" t="s">
        <v>4949</v>
      </c>
      <c r="B371" s="83" t="s">
        <v>4950</v>
      </c>
      <c r="C371" s="81" t="s">
        <v>4086</v>
      </c>
      <c r="D371" s="83" t="s">
        <v>4223</v>
      </c>
      <c r="E371" s="81" t="s">
        <v>854</v>
      </c>
      <c r="F371" s="84">
        <v>149.0</v>
      </c>
      <c r="G371" s="81" t="s">
        <v>40</v>
      </c>
      <c r="H371" s="81" t="s">
        <v>5344</v>
      </c>
      <c r="I371" s="81" t="s">
        <v>858</v>
      </c>
      <c r="J371" s="81" t="s">
        <v>224</v>
      </c>
    </row>
    <row r="372" hidden="1">
      <c r="A372" s="83" t="s">
        <v>4949</v>
      </c>
      <c r="B372" s="83" t="s">
        <v>4950</v>
      </c>
      <c r="C372" s="81" t="s">
        <v>4086</v>
      </c>
      <c r="D372" s="83" t="s">
        <v>4224</v>
      </c>
      <c r="E372" s="81" t="s">
        <v>861</v>
      </c>
      <c r="F372" s="84">
        <v>150.0</v>
      </c>
      <c r="G372" s="81" t="s">
        <v>40</v>
      </c>
      <c r="H372" s="81" t="s">
        <v>5345</v>
      </c>
      <c r="I372" s="81" t="s">
        <v>863</v>
      </c>
      <c r="J372" s="81" t="s">
        <v>224</v>
      </c>
    </row>
    <row r="373" hidden="1">
      <c r="A373" s="83" t="s">
        <v>4949</v>
      </c>
      <c r="B373" s="83" t="s">
        <v>4950</v>
      </c>
      <c r="C373" s="81" t="s">
        <v>4086</v>
      </c>
      <c r="D373" s="83" t="s">
        <v>4225</v>
      </c>
      <c r="E373" s="81" t="s">
        <v>864</v>
      </c>
      <c r="F373" s="84">
        <v>151.0</v>
      </c>
      <c r="G373" s="81" t="s">
        <v>40</v>
      </c>
      <c r="H373" s="81" t="s">
        <v>5346</v>
      </c>
      <c r="I373" s="81" t="s">
        <v>868</v>
      </c>
      <c r="J373" s="81" t="s">
        <v>224</v>
      </c>
    </row>
    <row r="374" hidden="1">
      <c r="A374" s="83" t="s">
        <v>4949</v>
      </c>
      <c r="B374" s="83" t="s">
        <v>4950</v>
      </c>
      <c r="C374" s="81" t="s">
        <v>4086</v>
      </c>
      <c r="D374" s="83" t="s">
        <v>4226</v>
      </c>
      <c r="E374" s="81" t="s">
        <v>871</v>
      </c>
      <c r="F374" s="84">
        <v>152.0</v>
      </c>
      <c r="G374" s="81" t="s">
        <v>40</v>
      </c>
      <c r="H374" s="81" t="s">
        <v>5347</v>
      </c>
      <c r="I374" s="81" t="s">
        <v>873</v>
      </c>
      <c r="J374" s="81" t="s">
        <v>224</v>
      </c>
    </row>
    <row r="375" hidden="1">
      <c r="A375" s="83" t="s">
        <v>4949</v>
      </c>
      <c r="B375" s="83" t="s">
        <v>4950</v>
      </c>
      <c r="C375" s="81" t="s">
        <v>4086</v>
      </c>
      <c r="D375" s="83" t="s">
        <v>4227</v>
      </c>
      <c r="E375" s="81" t="s">
        <v>874</v>
      </c>
      <c r="F375" s="84">
        <v>153.0</v>
      </c>
      <c r="G375" s="81" t="s">
        <v>40</v>
      </c>
      <c r="H375" s="81" t="s">
        <v>5348</v>
      </c>
      <c r="I375" s="81" t="s">
        <v>878</v>
      </c>
      <c r="J375" s="81" t="s">
        <v>224</v>
      </c>
    </row>
    <row r="376" hidden="1">
      <c r="A376" s="83" t="s">
        <v>4949</v>
      </c>
      <c r="B376" s="83" t="s">
        <v>4950</v>
      </c>
      <c r="C376" s="81" t="s">
        <v>4086</v>
      </c>
      <c r="D376" s="83" t="s">
        <v>4228</v>
      </c>
      <c r="E376" s="81" t="s">
        <v>881</v>
      </c>
      <c r="F376" s="84">
        <v>154.0</v>
      </c>
      <c r="G376" s="81" t="s">
        <v>40</v>
      </c>
      <c r="H376" s="81" t="s">
        <v>5349</v>
      </c>
      <c r="I376" s="81" t="s">
        <v>883</v>
      </c>
      <c r="J376" s="81" t="s">
        <v>224</v>
      </c>
    </row>
    <row r="377" hidden="1">
      <c r="A377" s="83" t="s">
        <v>4949</v>
      </c>
      <c r="B377" s="83" t="s">
        <v>4950</v>
      </c>
      <c r="C377" s="81" t="s">
        <v>4086</v>
      </c>
      <c r="D377" s="83" t="s">
        <v>4229</v>
      </c>
      <c r="E377" s="81" t="s">
        <v>884</v>
      </c>
      <c r="F377" s="84">
        <v>155.0</v>
      </c>
      <c r="G377" s="81" t="s">
        <v>39</v>
      </c>
      <c r="H377" s="81" t="s">
        <v>5350</v>
      </c>
      <c r="I377" s="81" t="s">
        <v>891</v>
      </c>
      <c r="J377" s="81" t="s">
        <v>224</v>
      </c>
    </row>
    <row r="378" hidden="1">
      <c r="A378" s="83" t="s">
        <v>4949</v>
      </c>
      <c r="B378" s="83" t="s">
        <v>4950</v>
      </c>
      <c r="C378" s="81" t="s">
        <v>5141</v>
      </c>
      <c r="D378" s="83" t="s">
        <v>4229</v>
      </c>
      <c r="E378" s="81" t="s">
        <v>884</v>
      </c>
      <c r="F378" s="84">
        <v>155.0</v>
      </c>
      <c r="G378" s="81" t="s">
        <v>40</v>
      </c>
      <c r="H378" s="81" t="s">
        <v>5351</v>
      </c>
      <c r="I378" s="81" t="s">
        <v>224</v>
      </c>
      <c r="J378" s="81" t="s">
        <v>5143</v>
      </c>
    </row>
    <row r="379" hidden="1">
      <c r="A379" s="83" t="s">
        <v>4949</v>
      </c>
      <c r="B379" s="83" t="s">
        <v>4950</v>
      </c>
      <c r="C379" s="81" t="s">
        <v>4086</v>
      </c>
      <c r="D379" s="83" t="s">
        <v>4229</v>
      </c>
      <c r="E379" s="81" t="s">
        <v>895</v>
      </c>
      <c r="F379" s="84">
        <v>156.0</v>
      </c>
      <c r="G379" s="81" t="s">
        <v>39</v>
      </c>
      <c r="H379" s="81" t="s">
        <v>5350</v>
      </c>
      <c r="I379" s="81" t="s">
        <v>891</v>
      </c>
      <c r="J379" s="81" t="s">
        <v>224</v>
      </c>
    </row>
    <row r="380" hidden="1">
      <c r="A380" s="83" t="s">
        <v>4949</v>
      </c>
      <c r="B380" s="83" t="s">
        <v>4950</v>
      </c>
      <c r="C380" s="81" t="s">
        <v>5141</v>
      </c>
      <c r="D380" s="83" t="s">
        <v>4229</v>
      </c>
      <c r="E380" s="81" t="s">
        <v>895</v>
      </c>
      <c r="F380" s="84">
        <v>156.0</v>
      </c>
      <c r="G380" s="81" t="s">
        <v>40</v>
      </c>
      <c r="H380" s="81" t="s">
        <v>5351</v>
      </c>
      <c r="I380" s="81" t="s">
        <v>224</v>
      </c>
      <c r="J380" s="81" t="s">
        <v>5143</v>
      </c>
    </row>
    <row r="381" hidden="1">
      <c r="A381" s="83" t="s">
        <v>4949</v>
      </c>
      <c r="B381" s="83" t="s">
        <v>4950</v>
      </c>
      <c r="C381" s="81" t="s">
        <v>4086</v>
      </c>
      <c r="D381" s="83" t="s">
        <v>4231</v>
      </c>
      <c r="E381" s="81" t="s">
        <v>897</v>
      </c>
      <c r="F381" s="84">
        <v>157.0</v>
      </c>
      <c r="G381" s="81" t="s">
        <v>39</v>
      </c>
      <c r="H381" s="81" t="s">
        <v>5352</v>
      </c>
      <c r="I381" s="81" t="s">
        <v>898</v>
      </c>
      <c r="J381" s="81" t="s">
        <v>224</v>
      </c>
    </row>
    <row r="382" hidden="1">
      <c r="A382" s="83" t="s">
        <v>4949</v>
      </c>
      <c r="B382" s="83" t="s">
        <v>4950</v>
      </c>
      <c r="C382" s="81" t="s">
        <v>5141</v>
      </c>
      <c r="D382" s="83" t="s">
        <v>4231</v>
      </c>
      <c r="E382" s="81" t="s">
        <v>897</v>
      </c>
      <c r="F382" s="84">
        <v>157.0</v>
      </c>
      <c r="G382" s="81" t="s">
        <v>40</v>
      </c>
      <c r="H382" s="81" t="s">
        <v>5353</v>
      </c>
      <c r="I382" s="81" t="s">
        <v>224</v>
      </c>
      <c r="J382" s="81" t="s">
        <v>5143</v>
      </c>
    </row>
    <row r="383" hidden="1">
      <c r="A383" s="83" t="s">
        <v>4949</v>
      </c>
      <c r="B383" s="83" t="s">
        <v>4950</v>
      </c>
      <c r="C383" s="81" t="s">
        <v>4086</v>
      </c>
      <c r="D383" s="83" t="s">
        <v>4232</v>
      </c>
      <c r="E383" s="81" t="s">
        <v>899</v>
      </c>
      <c r="F383" s="84">
        <v>158.0</v>
      </c>
      <c r="G383" s="81" t="s">
        <v>39</v>
      </c>
      <c r="H383" s="81" t="s">
        <v>5354</v>
      </c>
      <c r="I383" s="81" t="s">
        <v>901</v>
      </c>
      <c r="J383" s="81" t="s">
        <v>224</v>
      </c>
    </row>
    <row r="384" hidden="1">
      <c r="A384" s="83" t="s">
        <v>4949</v>
      </c>
      <c r="B384" s="83" t="s">
        <v>4950</v>
      </c>
      <c r="C384" s="81" t="s">
        <v>5141</v>
      </c>
      <c r="D384" s="83" t="s">
        <v>4232</v>
      </c>
      <c r="E384" s="81" t="s">
        <v>899</v>
      </c>
      <c r="F384" s="84">
        <v>158.0</v>
      </c>
      <c r="G384" s="81" t="s">
        <v>40</v>
      </c>
      <c r="H384" s="81" t="s">
        <v>5355</v>
      </c>
      <c r="I384" s="81" t="s">
        <v>224</v>
      </c>
      <c r="J384" s="81" t="s">
        <v>5143</v>
      </c>
    </row>
    <row r="385" hidden="1">
      <c r="A385" s="83" t="s">
        <v>4949</v>
      </c>
      <c r="B385" s="83" t="s">
        <v>4950</v>
      </c>
      <c r="C385" s="81" t="s">
        <v>4086</v>
      </c>
      <c r="D385" s="83" t="s">
        <v>4233</v>
      </c>
      <c r="E385" s="81" t="s">
        <v>902</v>
      </c>
      <c r="F385" s="84">
        <v>159.0</v>
      </c>
      <c r="G385" s="81" t="s">
        <v>39</v>
      </c>
      <c r="H385" s="81" t="s">
        <v>5356</v>
      </c>
      <c r="I385" s="81" t="s">
        <v>904</v>
      </c>
      <c r="J385" s="81" t="s">
        <v>224</v>
      </c>
    </row>
    <row r="386" hidden="1">
      <c r="A386" s="83" t="s">
        <v>4949</v>
      </c>
      <c r="B386" s="83" t="s">
        <v>4950</v>
      </c>
      <c r="C386" s="81" t="s">
        <v>5141</v>
      </c>
      <c r="D386" s="83" t="s">
        <v>4233</v>
      </c>
      <c r="E386" s="81" t="s">
        <v>902</v>
      </c>
      <c r="F386" s="84">
        <v>159.0</v>
      </c>
      <c r="G386" s="81" t="s">
        <v>40</v>
      </c>
      <c r="H386" s="81" t="s">
        <v>5357</v>
      </c>
      <c r="I386" s="81" t="s">
        <v>224</v>
      </c>
      <c r="J386" s="81" t="s">
        <v>5143</v>
      </c>
    </row>
    <row r="387" hidden="1">
      <c r="A387" s="83" t="s">
        <v>4949</v>
      </c>
      <c r="B387" s="83" t="s">
        <v>4950</v>
      </c>
      <c r="C387" s="81" t="s">
        <v>4086</v>
      </c>
      <c r="D387" s="83" t="s">
        <v>4234</v>
      </c>
      <c r="E387" s="81" t="s">
        <v>905</v>
      </c>
      <c r="F387" s="84">
        <v>160.0</v>
      </c>
      <c r="G387" s="81" t="s">
        <v>39</v>
      </c>
      <c r="H387" s="81" t="s">
        <v>5358</v>
      </c>
      <c r="I387" s="81" t="s">
        <v>907</v>
      </c>
      <c r="J387" s="81" t="s">
        <v>224</v>
      </c>
    </row>
    <row r="388" hidden="1">
      <c r="A388" s="83" t="s">
        <v>4949</v>
      </c>
      <c r="B388" s="83" t="s">
        <v>4950</v>
      </c>
      <c r="C388" s="81" t="s">
        <v>5141</v>
      </c>
      <c r="D388" s="83" t="s">
        <v>4234</v>
      </c>
      <c r="E388" s="81" t="s">
        <v>905</v>
      </c>
      <c r="F388" s="84">
        <v>160.0</v>
      </c>
      <c r="G388" s="81" t="s">
        <v>40</v>
      </c>
      <c r="H388" s="81" t="s">
        <v>5359</v>
      </c>
      <c r="I388" s="81" t="s">
        <v>224</v>
      </c>
      <c r="J388" s="81" t="s">
        <v>5143</v>
      </c>
    </row>
    <row r="389" hidden="1">
      <c r="A389" s="83" t="s">
        <v>4949</v>
      </c>
      <c r="B389" s="83" t="s">
        <v>4950</v>
      </c>
      <c r="C389" s="81" t="s">
        <v>4086</v>
      </c>
      <c r="D389" s="83" t="s">
        <v>4235</v>
      </c>
      <c r="E389" s="81" t="s">
        <v>908</v>
      </c>
      <c r="F389" s="84">
        <v>161.0</v>
      </c>
      <c r="G389" s="81" t="s">
        <v>39</v>
      </c>
      <c r="H389" s="81" t="s">
        <v>5360</v>
      </c>
      <c r="I389" s="81" t="s">
        <v>912</v>
      </c>
      <c r="J389" s="81" t="s">
        <v>224</v>
      </c>
    </row>
    <row r="390" hidden="1">
      <c r="A390" s="83" t="s">
        <v>4949</v>
      </c>
      <c r="B390" s="83" t="s">
        <v>4950</v>
      </c>
      <c r="C390" s="81" t="s">
        <v>5141</v>
      </c>
      <c r="D390" s="83" t="s">
        <v>4235</v>
      </c>
      <c r="E390" s="81" t="s">
        <v>908</v>
      </c>
      <c r="F390" s="84">
        <v>161.0</v>
      </c>
      <c r="G390" s="81" t="s">
        <v>40</v>
      </c>
      <c r="H390" s="81" t="s">
        <v>5361</v>
      </c>
      <c r="I390" s="81" t="s">
        <v>224</v>
      </c>
      <c r="J390" s="81" t="s">
        <v>5143</v>
      </c>
    </row>
    <row r="391" hidden="1">
      <c r="A391" s="83" t="s">
        <v>4949</v>
      </c>
      <c r="B391" s="83" t="s">
        <v>4950</v>
      </c>
      <c r="C391" s="81" t="s">
        <v>4086</v>
      </c>
      <c r="D391" s="83" t="s">
        <v>4237</v>
      </c>
      <c r="E391" s="81" t="s">
        <v>916</v>
      </c>
      <c r="F391" s="84">
        <v>162.0</v>
      </c>
      <c r="G391" s="81" t="s">
        <v>39</v>
      </c>
      <c r="H391" s="81" t="s">
        <v>5362</v>
      </c>
      <c r="I391" s="81" t="s">
        <v>917</v>
      </c>
      <c r="J391" s="81" t="s">
        <v>224</v>
      </c>
    </row>
    <row r="392" hidden="1">
      <c r="A392" s="83" t="s">
        <v>4949</v>
      </c>
      <c r="B392" s="83" t="s">
        <v>4950</v>
      </c>
      <c r="C392" s="81" t="s">
        <v>5141</v>
      </c>
      <c r="D392" s="83" t="s">
        <v>4237</v>
      </c>
      <c r="E392" s="81" t="s">
        <v>916</v>
      </c>
      <c r="F392" s="84">
        <v>162.0</v>
      </c>
      <c r="G392" s="81" t="s">
        <v>40</v>
      </c>
      <c r="H392" s="81" t="s">
        <v>5363</v>
      </c>
      <c r="I392" s="81" t="s">
        <v>224</v>
      </c>
      <c r="J392" s="81" t="s">
        <v>5143</v>
      </c>
    </row>
    <row r="393" hidden="1">
      <c r="A393" s="83" t="s">
        <v>4949</v>
      </c>
      <c r="B393" s="83" t="s">
        <v>4950</v>
      </c>
      <c r="C393" s="81" t="s">
        <v>4086</v>
      </c>
      <c r="D393" s="83" t="s">
        <v>4238</v>
      </c>
      <c r="E393" s="81" t="s">
        <v>918</v>
      </c>
      <c r="F393" s="84">
        <v>163.0</v>
      </c>
      <c r="G393" s="81" t="s">
        <v>40</v>
      </c>
      <c r="H393" s="81" t="s">
        <v>5364</v>
      </c>
      <c r="I393" s="81" t="s">
        <v>923</v>
      </c>
      <c r="J393" s="81" t="s">
        <v>224</v>
      </c>
    </row>
    <row r="394" hidden="1">
      <c r="A394" s="83" t="s">
        <v>4949</v>
      </c>
      <c r="B394" s="83" t="s">
        <v>4950</v>
      </c>
      <c r="C394" s="81" t="s">
        <v>4086</v>
      </c>
      <c r="D394" s="83" t="s">
        <v>4239</v>
      </c>
      <c r="E394" s="81" t="s">
        <v>925</v>
      </c>
      <c r="F394" s="84">
        <v>164.0</v>
      </c>
      <c r="G394" s="81" t="s">
        <v>39</v>
      </c>
      <c r="H394" s="81" t="s">
        <v>5365</v>
      </c>
      <c r="I394" s="81" t="s">
        <v>929</v>
      </c>
      <c r="J394" s="81" t="s">
        <v>224</v>
      </c>
    </row>
    <row r="395" hidden="1">
      <c r="A395" s="83" t="s">
        <v>4949</v>
      </c>
      <c r="B395" s="83" t="s">
        <v>4950</v>
      </c>
      <c r="C395" s="81" t="s">
        <v>4086</v>
      </c>
      <c r="D395" s="83" t="s">
        <v>4239</v>
      </c>
      <c r="E395" s="81" t="s">
        <v>925</v>
      </c>
      <c r="F395" s="84">
        <v>164.0</v>
      </c>
      <c r="G395" s="81" t="s">
        <v>40</v>
      </c>
      <c r="H395" s="81" t="s">
        <v>5366</v>
      </c>
      <c r="I395" s="81" t="s">
        <v>930</v>
      </c>
      <c r="J395" s="81" t="s">
        <v>224</v>
      </c>
    </row>
    <row r="396" hidden="1">
      <c r="A396" s="83" t="s">
        <v>4949</v>
      </c>
      <c r="B396" s="83" t="s">
        <v>4950</v>
      </c>
      <c r="C396" s="81" t="s">
        <v>4086</v>
      </c>
      <c r="D396" s="83" t="s">
        <v>4239</v>
      </c>
      <c r="E396" s="81" t="s">
        <v>934</v>
      </c>
      <c r="F396" s="84">
        <v>165.0</v>
      </c>
      <c r="G396" s="81" t="s">
        <v>39</v>
      </c>
      <c r="H396" s="81" t="s">
        <v>5365</v>
      </c>
      <c r="I396" s="81" t="s">
        <v>929</v>
      </c>
      <c r="J396" s="81" t="s">
        <v>224</v>
      </c>
    </row>
    <row r="397" hidden="1">
      <c r="A397" s="83" t="s">
        <v>4949</v>
      </c>
      <c r="B397" s="83" t="s">
        <v>4950</v>
      </c>
      <c r="C397" s="81" t="s">
        <v>4086</v>
      </c>
      <c r="D397" s="83" t="s">
        <v>4239</v>
      </c>
      <c r="E397" s="81" t="s">
        <v>934</v>
      </c>
      <c r="F397" s="84">
        <v>165.0</v>
      </c>
      <c r="G397" s="81" t="s">
        <v>40</v>
      </c>
      <c r="H397" s="81" t="s">
        <v>5366</v>
      </c>
      <c r="I397" s="81" t="s">
        <v>930</v>
      </c>
      <c r="J397" s="81" t="s">
        <v>224</v>
      </c>
    </row>
    <row r="398" hidden="1">
      <c r="A398" s="83" t="s">
        <v>4949</v>
      </c>
      <c r="B398" s="83" t="s">
        <v>4950</v>
      </c>
      <c r="C398" s="81" t="s">
        <v>4086</v>
      </c>
      <c r="D398" s="83" t="s">
        <v>4240</v>
      </c>
      <c r="E398" s="81" t="s">
        <v>935</v>
      </c>
      <c r="F398" s="84">
        <v>166.0</v>
      </c>
      <c r="G398" s="81" t="s">
        <v>40</v>
      </c>
      <c r="H398" s="81" t="s">
        <v>5367</v>
      </c>
      <c r="I398" s="81" t="s">
        <v>937</v>
      </c>
      <c r="J398" s="81" t="s">
        <v>224</v>
      </c>
    </row>
    <row r="399" hidden="1">
      <c r="A399" s="83" t="s">
        <v>4949</v>
      </c>
      <c r="B399" s="83" t="s">
        <v>4950</v>
      </c>
      <c r="C399" s="81" t="s">
        <v>4086</v>
      </c>
      <c r="D399" s="83" t="s">
        <v>4241</v>
      </c>
      <c r="E399" s="81" t="s">
        <v>938</v>
      </c>
      <c r="F399" s="84">
        <v>167.0</v>
      </c>
      <c r="G399" s="81" t="s">
        <v>39</v>
      </c>
      <c r="H399" s="81" t="s">
        <v>945</v>
      </c>
      <c r="I399" s="81" t="s">
        <v>940</v>
      </c>
      <c r="J399" s="81" t="s">
        <v>224</v>
      </c>
    </row>
    <row r="400" hidden="1">
      <c r="A400" s="83" t="s">
        <v>4949</v>
      </c>
      <c r="B400" s="83" t="s">
        <v>4950</v>
      </c>
      <c r="C400" s="81" t="s">
        <v>4086</v>
      </c>
      <c r="D400" s="83" t="s">
        <v>4241</v>
      </c>
      <c r="E400" s="81" t="s">
        <v>938</v>
      </c>
      <c r="F400" s="84">
        <v>167.0</v>
      </c>
      <c r="G400" s="81" t="s">
        <v>40</v>
      </c>
      <c r="H400" s="81" t="s">
        <v>5368</v>
      </c>
      <c r="I400" s="81" t="s">
        <v>941</v>
      </c>
      <c r="J400" s="81" t="s">
        <v>224</v>
      </c>
    </row>
    <row r="401" hidden="1">
      <c r="A401" s="83" t="s">
        <v>4949</v>
      </c>
      <c r="B401" s="83" t="s">
        <v>4950</v>
      </c>
      <c r="C401" s="81" t="s">
        <v>4086</v>
      </c>
      <c r="D401" s="83" t="s">
        <v>4241</v>
      </c>
      <c r="E401" s="81" t="s">
        <v>943</v>
      </c>
      <c r="F401" s="84">
        <v>168.0</v>
      </c>
      <c r="G401" s="81" t="s">
        <v>40</v>
      </c>
      <c r="H401" s="81" t="s">
        <v>5369</v>
      </c>
      <c r="I401" s="81" t="s">
        <v>941</v>
      </c>
      <c r="J401" s="81" t="s">
        <v>224</v>
      </c>
    </row>
    <row r="402" hidden="1">
      <c r="A402" s="83" t="s">
        <v>4949</v>
      </c>
      <c r="B402" s="83" t="s">
        <v>4950</v>
      </c>
      <c r="C402" s="81" t="s">
        <v>4086</v>
      </c>
      <c r="D402" s="83" t="s">
        <v>4242</v>
      </c>
      <c r="E402" s="81" t="s">
        <v>944</v>
      </c>
      <c r="F402" s="84">
        <v>169.0</v>
      </c>
      <c r="G402" s="81" t="s">
        <v>39</v>
      </c>
      <c r="H402" s="81" t="s">
        <v>5370</v>
      </c>
      <c r="I402" s="81" t="s">
        <v>945</v>
      </c>
      <c r="J402" s="81" t="s">
        <v>224</v>
      </c>
    </row>
    <row r="403" hidden="1">
      <c r="A403" s="83" t="s">
        <v>4949</v>
      </c>
      <c r="B403" s="83" t="s">
        <v>4950</v>
      </c>
      <c r="C403" s="81" t="s">
        <v>4086</v>
      </c>
      <c r="D403" s="83" t="s">
        <v>4242</v>
      </c>
      <c r="E403" s="81" t="s">
        <v>944</v>
      </c>
      <c r="F403" s="84">
        <v>169.0</v>
      </c>
      <c r="G403" s="81" t="s">
        <v>40</v>
      </c>
      <c r="H403" s="81" t="s">
        <v>5371</v>
      </c>
      <c r="I403" s="81" t="s">
        <v>946</v>
      </c>
      <c r="J403" s="81" t="s">
        <v>224</v>
      </c>
    </row>
    <row r="404" hidden="1">
      <c r="A404" s="83" t="s">
        <v>4949</v>
      </c>
      <c r="B404" s="83" t="s">
        <v>4950</v>
      </c>
      <c r="C404" s="81" t="s">
        <v>4086</v>
      </c>
      <c r="D404" s="83" t="s">
        <v>4243</v>
      </c>
      <c r="E404" s="81" t="s">
        <v>947</v>
      </c>
      <c r="F404" s="84">
        <v>170.0</v>
      </c>
      <c r="G404" s="81" t="s">
        <v>39</v>
      </c>
      <c r="H404" s="81" t="s">
        <v>5372</v>
      </c>
      <c r="I404" s="81" t="s">
        <v>949</v>
      </c>
      <c r="J404" s="81" t="s">
        <v>224</v>
      </c>
    </row>
    <row r="405" hidden="1">
      <c r="A405" s="83" t="s">
        <v>4949</v>
      </c>
      <c r="B405" s="83" t="s">
        <v>4950</v>
      </c>
      <c r="C405" s="81" t="s">
        <v>4086</v>
      </c>
      <c r="D405" s="83" t="s">
        <v>4243</v>
      </c>
      <c r="E405" s="81" t="s">
        <v>947</v>
      </c>
      <c r="F405" s="84">
        <v>170.0</v>
      </c>
      <c r="G405" s="81" t="s">
        <v>40</v>
      </c>
      <c r="H405" s="81" t="s">
        <v>224</v>
      </c>
      <c r="I405" s="81" t="s">
        <v>950</v>
      </c>
      <c r="J405" s="81" t="s">
        <v>224</v>
      </c>
    </row>
    <row r="406" hidden="1">
      <c r="A406" s="83" t="s">
        <v>4949</v>
      </c>
      <c r="B406" s="83" t="s">
        <v>4950</v>
      </c>
      <c r="C406" s="81" t="s">
        <v>4086</v>
      </c>
      <c r="D406" s="83" t="s">
        <v>4243</v>
      </c>
      <c r="E406" s="81" t="s">
        <v>951</v>
      </c>
      <c r="F406" s="84">
        <v>171.0</v>
      </c>
      <c r="G406" s="81" t="s">
        <v>39</v>
      </c>
      <c r="H406" s="81" t="s">
        <v>5372</v>
      </c>
      <c r="I406" s="81" t="s">
        <v>949</v>
      </c>
      <c r="J406" s="81" t="s">
        <v>224</v>
      </c>
    </row>
    <row r="407" hidden="1">
      <c r="A407" s="83" t="s">
        <v>4949</v>
      </c>
      <c r="B407" s="83" t="s">
        <v>4950</v>
      </c>
      <c r="C407" s="81" t="s">
        <v>4086</v>
      </c>
      <c r="D407" s="83" t="s">
        <v>4243</v>
      </c>
      <c r="E407" s="81" t="s">
        <v>951</v>
      </c>
      <c r="F407" s="84">
        <v>171.0</v>
      </c>
      <c r="G407" s="81" t="s">
        <v>40</v>
      </c>
      <c r="H407" s="81" t="s">
        <v>5373</v>
      </c>
      <c r="I407" s="81" t="s">
        <v>950</v>
      </c>
      <c r="J407" s="81" t="s">
        <v>224</v>
      </c>
    </row>
    <row r="408" hidden="1">
      <c r="A408" s="83" t="s">
        <v>4949</v>
      </c>
      <c r="B408" s="83" t="s">
        <v>4950</v>
      </c>
      <c r="C408" s="81" t="s">
        <v>4086</v>
      </c>
      <c r="D408" s="83" t="s">
        <v>4244</v>
      </c>
      <c r="E408" s="81" t="s">
        <v>952</v>
      </c>
      <c r="F408" s="84">
        <v>172.0</v>
      </c>
      <c r="G408" s="81" t="s">
        <v>40</v>
      </c>
      <c r="H408" s="81" t="s">
        <v>5374</v>
      </c>
      <c r="I408" s="81" t="s">
        <v>954</v>
      </c>
      <c r="J408" s="81" t="s">
        <v>224</v>
      </c>
    </row>
    <row r="409" hidden="1">
      <c r="A409" s="83" t="s">
        <v>4949</v>
      </c>
      <c r="B409" s="83" t="s">
        <v>4950</v>
      </c>
      <c r="C409" s="81" t="s">
        <v>4086</v>
      </c>
      <c r="D409" s="83" t="s">
        <v>4245</v>
      </c>
      <c r="E409" s="81" t="s">
        <v>955</v>
      </c>
      <c r="F409" s="84">
        <v>173.0</v>
      </c>
      <c r="G409" s="81" t="s">
        <v>39</v>
      </c>
      <c r="H409" s="81" t="s">
        <v>5375</v>
      </c>
      <c r="I409" s="81" t="s">
        <v>957</v>
      </c>
      <c r="J409" s="81" t="s">
        <v>224</v>
      </c>
    </row>
    <row r="410" hidden="1">
      <c r="A410" s="83" t="s">
        <v>4949</v>
      </c>
      <c r="B410" s="83" t="s">
        <v>4950</v>
      </c>
      <c r="C410" s="81" t="s">
        <v>4086</v>
      </c>
      <c r="D410" s="83" t="s">
        <v>4245</v>
      </c>
      <c r="E410" s="81" t="s">
        <v>955</v>
      </c>
      <c r="F410" s="84">
        <v>173.0</v>
      </c>
      <c r="G410" s="81" t="s">
        <v>40</v>
      </c>
      <c r="H410" s="81" t="s">
        <v>5376</v>
      </c>
      <c r="I410" s="81" t="s">
        <v>958</v>
      </c>
      <c r="J410" s="81" t="s">
        <v>224</v>
      </c>
    </row>
    <row r="411" hidden="1">
      <c r="A411" s="83" t="s">
        <v>4949</v>
      </c>
      <c r="B411" s="83" t="s">
        <v>4950</v>
      </c>
      <c r="C411" s="81" t="s">
        <v>4086</v>
      </c>
      <c r="D411" s="83" t="s">
        <v>4245</v>
      </c>
      <c r="E411" s="81" t="s">
        <v>961</v>
      </c>
      <c r="F411" s="84">
        <v>174.0</v>
      </c>
      <c r="G411" s="81" t="s">
        <v>39</v>
      </c>
      <c r="H411" s="81" t="s">
        <v>5375</v>
      </c>
      <c r="I411" s="81" t="s">
        <v>957</v>
      </c>
      <c r="J411" s="81" t="s">
        <v>224</v>
      </c>
    </row>
    <row r="412" hidden="1">
      <c r="A412" s="83" t="s">
        <v>4949</v>
      </c>
      <c r="B412" s="83" t="s">
        <v>4950</v>
      </c>
      <c r="C412" s="81" t="s">
        <v>4086</v>
      </c>
      <c r="D412" s="83" t="s">
        <v>4245</v>
      </c>
      <c r="E412" s="81" t="s">
        <v>961</v>
      </c>
      <c r="F412" s="84">
        <v>174.0</v>
      </c>
      <c r="G412" s="81" t="s">
        <v>40</v>
      </c>
      <c r="H412" s="81" t="s">
        <v>5376</v>
      </c>
      <c r="I412" s="81" t="s">
        <v>958</v>
      </c>
      <c r="J412" s="81" t="s">
        <v>224</v>
      </c>
    </row>
    <row r="413" hidden="1">
      <c r="A413" s="83" t="s">
        <v>4949</v>
      </c>
      <c r="B413" s="83" t="s">
        <v>4950</v>
      </c>
      <c r="C413" s="81" t="s">
        <v>4086</v>
      </c>
      <c r="D413" s="83" t="s">
        <v>4246</v>
      </c>
      <c r="E413" s="81" t="s">
        <v>962</v>
      </c>
      <c r="F413" s="84">
        <v>175.0</v>
      </c>
      <c r="G413" s="81" t="s">
        <v>39</v>
      </c>
      <c r="H413" s="81" t="s">
        <v>5377</v>
      </c>
      <c r="I413" s="81" t="s">
        <v>963</v>
      </c>
      <c r="J413" s="81" t="s">
        <v>224</v>
      </c>
    </row>
    <row r="414" hidden="1">
      <c r="A414" s="83" t="s">
        <v>4949</v>
      </c>
      <c r="B414" s="83" t="s">
        <v>4950</v>
      </c>
      <c r="C414" s="81" t="s">
        <v>4086</v>
      </c>
      <c r="D414" s="83" t="s">
        <v>4246</v>
      </c>
      <c r="E414" s="81" t="s">
        <v>962</v>
      </c>
      <c r="F414" s="84">
        <v>175.0</v>
      </c>
      <c r="G414" s="81" t="s">
        <v>40</v>
      </c>
      <c r="H414" s="81" t="s">
        <v>5378</v>
      </c>
      <c r="I414" s="81" t="s">
        <v>964</v>
      </c>
      <c r="J414" s="81" t="s">
        <v>224</v>
      </c>
    </row>
    <row r="415" hidden="1">
      <c r="A415" s="83" t="s">
        <v>4949</v>
      </c>
      <c r="B415" s="83" t="s">
        <v>4950</v>
      </c>
      <c r="C415" s="81" t="s">
        <v>4086</v>
      </c>
      <c r="D415" s="83" t="s">
        <v>4247</v>
      </c>
      <c r="E415" s="81" t="s">
        <v>965</v>
      </c>
      <c r="F415" s="84">
        <v>176.0</v>
      </c>
      <c r="G415" s="81" t="s">
        <v>39</v>
      </c>
      <c r="H415" s="81" t="s">
        <v>5379</v>
      </c>
      <c r="I415" s="81" t="s">
        <v>967</v>
      </c>
      <c r="J415" s="81" t="s">
        <v>224</v>
      </c>
    </row>
    <row r="416" hidden="1">
      <c r="A416" s="83" t="s">
        <v>4949</v>
      </c>
      <c r="B416" s="83" t="s">
        <v>4950</v>
      </c>
      <c r="C416" s="81" t="s">
        <v>4086</v>
      </c>
      <c r="D416" s="83" t="s">
        <v>4247</v>
      </c>
      <c r="E416" s="81" t="s">
        <v>965</v>
      </c>
      <c r="F416" s="84">
        <v>176.0</v>
      </c>
      <c r="G416" s="81" t="s">
        <v>40</v>
      </c>
      <c r="H416" s="81" t="s">
        <v>5380</v>
      </c>
      <c r="I416" s="81" t="s">
        <v>968</v>
      </c>
      <c r="J416" s="81" t="s">
        <v>224</v>
      </c>
    </row>
    <row r="417" hidden="1">
      <c r="A417" s="83" t="s">
        <v>4949</v>
      </c>
      <c r="B417" s="83" t="s">
        <v>4950</v>
      </c>
      <c r="C417" s="81" t="s">
        <v>4086</v>
      </c>
      <c r="D417" s="83" t="s">
        <v>4247</v>
      </c>
      <c r="E417" s="81" t="s">
        <v>971</v>
      </c>
      <c r="F417" s="84">
        <v>177.0</v>
      </c>
      <c r="G417" s="81" t="s">
        <v>39</v>
      </c>
      <c r="H417" s="81" t="s">
        <v>5379</v>
      </c>
      <c r="I417" s="81" t="s">
        <v>967</v>
      </c>
      <c r="J417" s="81" t="s">
        <v>224</v>
      </c>
    </row>
    <row r="418" hidden="1">
      <c r="A418" s="83" t="s">
        <v>4949</v>
      </c>
      <c r="B418" s="83" t="s">
        <v>4950</v>
      </c>
      <c r="C418" s="81" t="s">
        <v>4086</v>
      </c>
      <c r="D418" s="83" t="s">
        <v>4247</v>
      </c>
      <c r="E418" s="81" t="s">
        <v>971</v>
      </c>
      <c r="F418" s="84">
        <v>177.0</v>
      </c>
      <c r="G418" s="81" t="s">
        <v>40</v>
      </c>
      <c r="H418" s="81" t="s">
        <v>5380</v>
      </c>
      <c r="I418" s="81" t="s">
        <v>968</v>
      </c>
      <c r="J418" s="81" t="s">
        <v>224</v>
      </c>
    </row>
    <row r="419" hidden="1">
      <c r="A419" s="83" t="s">
        <v>4949</v>
      </c>
      <c r="B419" s="83" t="s">
        <v>4950</v>
      </c>
      <c r="C419" s="81" t="s">
        <v>4086</v>
      </c>
      <c r="D419" s="83" t="s">
        <v>4248</v>
      </c>
      <c r="E419" s="81" t="s">
        <v>972</v>
      </c>
      <c r="F419" s="84">
        <v>178.0</v>
      </c>
      <c r="G419" s="81" t="s">
        <v>39</v>
      </c>
      <c r="H419" s="81" t="s">
        <v>5381</v>
      </c>
      <c r="I419" s="81" t="s">
        <v>973</v>
      </c>
      <c r="J419" s="81" t="s">
        <v>224</v>
      </c>
    </row>
    <row r="420" hidden="1">
      <c r="A420" s="83" t="s">
        <v>4949</v>
      </c>
      <c r="B420" s="83" t="s">
        <v>4950</v>
      </c>
      <c r="C420" s="81" t="s">
        <v>4086</v>
      </c>
      <c r="D420" s="83" t="s">
        <v>4248</v>
      </c>
      <c r="E420" s="81" t="s">
        <v>972</v>
      </c>
      <c r="F420" s="84">
        <v>178.0</v>
      </c>
      <c r="G420" s="81" t="s">
        <v>40</v>
      </c>
      <c r="H420" s="81" t="s">
        <v>5382</v>
      </c>
      <c r="I420" s="81" t="s">
        <v>974</v>
      </c>
      <c r="J420" s="81" t="s">
        <v>224</v>
      </c>
    </row>
    <row r="421" hidden="1">
      <c r="A421" s="83" t="s">
        <v>4949</v>
      </c>
      <c r="B421" s="83" t="s">
        <v>4950</v>
      </c>
      <c r="C421" s="81" t="s">
        <v>4086</v>
      </c>
      <c r="D421" s="83" t="s">
        <v>4249</v>
      </c>
      <c r="E421" s="81" t="s">
        <v>975</v>
      </c>
      <c r="F421" s="84">
        <v>179.0</v>
      </c>
      <c r="G421" s="81" t="s">
        <v>39</v>
      </c>
      <c r="H421" s="81" t="s">
        <v>5383</v>
      </c>
      <c r="I421" s="81" t="s">
        <v>977</v>
      </c>
      <c r="J421" s="81" t="s">
        <v>224</v>
      </c>
    </row>
    <row r="422" hidden="1">
      <c r="A422" s="83" t="s">
        <v>4949</v>
      </c>
      <c r="B422" s="83" t="s">
        <v>4950</v>
      </c>
      <c r="C422" s="81" t="s">
        <v>4086</v>
      </c>
      <c r="D422" s="83" t="s">
        <v>4249</v>
      </c>
      <c r="E422" s="81" t="s">
        <v>975</v>
      </c>
      <c r="F422" s="84">
        <v>179.0</v>
      </c>
      <c r="G422" s="81" t="s">
        <v>40</v>
      </c>
      <c r="H422" s="81" t="s">
        <v>5384</v>
      </c>
      <c r="I422" s="81" t="s">
        <v>978</v>
      </c>
      <c r="J422" s="81" t="s">
        <v>224</v>
      </c>
    </row>
    <row r="423" hidden="1">
      <c r="A423" s="83" t="s">
        <v>4949</v>
      </c>
      <c r="B423" s="83" t="s">
        <v>4950</v>
      </c>
      <c r="C423" s="81" t="s">
        <v>4086</v>
      </c>
      <c r="D423" s="83" t="s">
        <v>4249</v>
      </c>
      <c r="E423" s="81" t="s">
        <v>981</v>
      </c>
      <c r="F423" s="84">
        <v>180.0</v>
      </c>
      <c r="G423" s="81" t="s">
        <v>39</v>
      </c>
      <c r="H423" s="81" t="s">
        <v>5383</v>
      </c>
      <c r="I423" s="81" t="s">
        <v>977</v>
      </c>
      <c r="J423" s="81" t="s">
        <v>224</v>
      </c>
    </row>
    <row r="424" hidden="1">
      <c r="A424" s="83" t="s">
        <v>4949</v>
      </c>
      <c r="B424" s="83" t="s">
        <v>4950</v>
      </c>
      <c r="C424" s="81" t="s">
        <v>4086</v>
      </c>
      <c r="D424" s="83" t="s">
        <v>4249</v>
      </c>
      <c r="E424" s="81" t="s">
        <v>981</v>
      </c>
      <c r="F424" s="84">
        <v>180.0</v>
      </c>
      <c r="G424" s="81" t="s">
        <v>40</v>
      </c>
      <c r="H424" s="81" t="s">
        <v>5384</v>
      </c>
      <c r="I424" s="81" t="s">
        <v>978</v>
      </c>
      <c r="J424" s="81" t="s">
        <v>224</v>
      </c>
    </row>
    <row r="425" hidden="1">
      <c r="A425" s="83" t="s">
        <v>4949</v>
      </c>
      <c r="B425" s="83" t="s">
        <v>4950</v>
      </c>
      <c r="C425" s="81" t="s">
        <v>4086</v>
      </c>
      <c r="D425" s="83" t="s">
        <v>4250</v>
      </c>
      <c r="E425" s="81" t="s">
        <v>982</v>
      </c>
      <c r="F425" s="84">
        <v>181.0</v>
      </c>
      <c r="G425" s="81" t="s">
        <v>40</v>
      </c>
      <c r="H425" s="81" t="s">
        <v>5385</v>
      </c>
      <c r="I425" s="81" t="s">
        <v>984</v>
      </c>
      <c r="J425" s="81" t="s">
        <v>224</v>
      </c>
    </row>
    <row r="426" hidden="1">
      <c r="A426" s="83" t="s">
        <v>4949</v>
      </c>
      <c r="B426" s="83" t="s">
        <v>4950</v>
      </c>
      <c r="C426" s="81" t="s">
        <v>4086</v>
      </c>
      <c r="D426" s="83" t="s">
        <v>4251</v>
      </c>
      <c r="E426" s="81" t="s">
        <v>985</v>
      </c>
      <c r="F426" s="84">
        <v>182.0</v>
      </c>
      <c r="G426" s="81" t="s">
        <v>39</v>
      </c>
      <c r="H426" s="81" t="s">
        <v>5386</v>
      </c>
      <c r="I426" s="81" t="s">
        <v>987</v>
      </c>
      <c r="J426" s="81" t="s">
        <v>224</v>
      </c>
    </row>
    <row r="427" hidden="1">
      <c r="A427" s="83" t="s">
        <v>4949</v>
      </c>
      <c r="B427" s="83" t="s">
        <v>4950</v>
      </c>
      <c r="C427" s="81" t="s">
        <v>4086</v>
      </c>
      <c r="D427" s="83" t="s">
        <v>4251</v>
      </c>
      <c r="E427" s="81" t="s">
        <v>985</v>
      </c>
      <c r="F427" s="84">
        <v>182.0</v>
      </c>
      <c r="G427" s="81" t="s">
        <v>40</v>
      </c>
      <c r="H427" s="81" t="s">
        <v>5387</v>
      </c>
      <c r="I427" s="81" t="s">
        <v>988</v>
      </c>
      <c r="J427" s="81" t="s">
        <v>224</v>
      </c>
    </row>
    <row r="428" hidden="1">
      <c r="A428" s="83" t="s">
        <v>4949</v>
      </c>
      <c r="B428" s="83" t="s">
        <v>4950</v>
      </c>
      <c r="C428" s="81" t="s">
        <v>4086</v>
      </c>
      <c r="D428" s="83" t="s">
        <v>4251</v>
      </c>
      <c r="E428" s="81" t="s">
        <v>991</v>
      </c>
      <c r="F428" s="84">
        <v>183.0</v>
      </c>
      <c r="G428" s="81" t="s">
        <v>40</v>
      </c>
      <c r="H428" s="81" t="s">
        <v>5388</v>
      </c>
      <c r="I428" s="81" t="s">
        <v>988</v>
      </c>
      <c r="J428" s="81" t="s">
        <v>224</v>
      </c>
    </row>
    <row r="429" hidden="1">
      <c r="A429" s="83" t="s">
        <v>4949</v>
      </c>
      <c r="B429" s="83" t="s">
        <v>4950</v>
      </c>
      <c r="C429" s="81" t="s">
        <v>4086</v>
      </c>
      <c r="D429" s="83" t="s">
        <v>4252</v>
      </c>
      <c r="E429" s="81" t="s">
        <v>992</v>
      </c>
      <c r="F429" s="84">
        <v>184.0</v>
      </c>
      <c r="G429" s="81" t="s">
        <v>40</v>
      </c>
      <c r="H429" s="81" t="s">
        <v>5389</v>
      </c>
      <c r="I429" s="81" t="s">
        <v>994</v>
      </c>
      <c r="J429" s="81" t="s">
        <v>224</v>
      </c>
    </row>
    <row r="430" hidden="1">
      <c r="A430" s="83" t="s">
        <v>4949</v>
      </c>
      <c r="B430" s="83" t="s">
        <v>4950</v>
      </c>
      <c r="C430" s="81" t="s">
        <v>4086</v>
      </c>
      <c r="D430" s="83" t="s">
        <v>4253</v>
      </c>
      <c r="E430" s="81" t="s">
        <v>995</v>
      </c>
      <c r="F430" s="84">
        <v>185.0</v>
      </c>
      <c r="G430" s="81" t="s">
        <v>39</v>
      </c>
      <c r="H430" s="81" t="s">
        <v>5390</v>
      </c>
      <c r="I430" s="81" t="s">
        <v>997</v>
      </c>
      <c r="J430" s="81" t="s">
        <v>224</v>
      </c>
    </row>
    <row r="431" hidden="1">
      <c r="A431" s="83" t="s">
        <v>4949</v>
      </c>
      <c r="B431" s="83" t="s">
        <v>4950</v>
      </c>
      <c r="C431" s="81" t="s">
        <v>4086</v>
      </c>
      <c r="D431" s="83" t="s">
        <v>4253</v>
      </c>
      <c r="E431" s="81" t="s">
        <v>995</v>
      </c>
      <c r="F431" s="84">
        <v>185.0</v>
      </c>
      <c r="G431" s="81" t="s">
        <v>40</v>
      </c>
      <c r="H431" s="81" t="s">
        <v>5391</v>
      </c>
      <c r="I431" s="81" t="s">
        <v>998</v>
      </c>
      <c r="J431" s="81" t="s">
        <v>224</v>
      </c>
    </row>
    <row r="432" hidden="1">
      <c r="A432" s="83" t="s">
        <v>4949</v>
      </c>
      <c r="B432" s="83" t="s">
        <v>4950</v>
      </c>
      <c r="C432" s="81" t="s">
        <v>4086</v>
      </c>
      <c r="D432" s="83" t="s">
        <v>4253</v>
      </c>
      <c r="E432" s="81" t="s">
        <v>1001</v>
      </c>
      <c r="F432" s="84">
        <v>186.0</v>
      </c>
      <c r="G432" s="81" t="s">
        <v>39</v>
      </c>
      <c r="H432" s="81" t="s">
        <v>5390</v>
      </c>
      <c r="I432" s="81" t="s">
        <v>997</v>
      </c>
      <c r="J432" s="81" t="s">
        <v>224</v>
      </c>
    </row>
    <row r="433" hidden="1">
      <c r="A433" s="83" t="s">
        <v>4949</v>
      </c>
      <c r="B433" s="83" t="s">
        <v>4950</v>
      </c>
      <c r="C433" s="81" t="s">
        <v>4086</v>
      </c>
      <c r="D433" s="83" t="s">
        <v>4253</v>
      </c>
      <c r="E433" s="81" t="s">
        <v>1001</v>
      </c>
      <c r="F433" s="84">
        <v>186.0</v>
      </c>
      <c r="G433" s="81" t="s">
        <v>40</v>
      </c>
      <c r="H433" s="81" t="s">
        <v>5391</v>
      </c>
      <c r="I433" s="81" t="s">
        <v>998</v>
      </c>
      <c r="J433" s="81" t="s">
        <v>224</v>
      </c>
    </row>
    <row r="434" hidden="1">
      <c r="A434" s="83" t="s">
        <v>4949</v>
      </c>
      <c r="B434" s="83" t="s">
        <v>4950</v>
      </c>
      <c r="C434" s="81" t="s">
        <v>4086</v>
      </c>
      <c r="D434" s="83" t="s">
        <v>4254</v>
      </c>
      <c r="E434" s="81" t="s">
        <v>1002</v>
      </c>
      <c r="F434" s="84">
        <v>187.0</v>
      </c>
      <c r="G434" s="81" t="s">
        <v>39</v>
      </c>
      <c r="H434" s="81" t="s">
        <v>5392</v>
      </c>
      <c r="I434" s="81" t="s">
        <v>1003</v>
      </c>
      <c r="J434" s="81" t="s">
        <v>224</v>
      </c>
    </row>
    <row r="435" hidden="1">
      <c r="A435" s="83" t="s">
        <v>4949</v>
      </c>
      <c r="B435" s="83" t="s">
        <v>4950</v>
      </c>
      <c r="C435" s="81" t="s">
        <v>4086</v>
      </c>
      <c r="D435" s="83" t="s">
        <v>4254</v>
      </c>
      <c r="E435" s="81" t="s">
        <v>1002</v>
      </c>
      <c r="F435" s="84">
        <v>187.0</v>
      </c>
      <c r="G435" s="81" t="s">
        <v>40</v>
      </c>
      <c r="H435" s="81" t="s">
        <v>5393</v>
      </c>
      <c r="I435" s="81" t="s">
        <v>1004</v>
      </c>
      <c r="J435" s="81" t="s">
        <v>224</v>
      </c>
    </row>
    <row r="436" hidden="1">
      <c r="A436" s="83" t="s">
        <v>4949</v>
      </c>
      <c r="B436" s="83" t="s">
        <v>4950</v>
      </c>
      <c r="C436" s="81" t="s">
        <v>4086</v>
      </c>
      <c r="D436" s="83" t="s">
        <v>4255</v>
      </c>
      <c r="E436" s="81" t="s">
        <v>1005</v>
      </c>
      <c r="F436" s="84">
        <v>188.0</v>
      </c>
      <c r="G436" s="81" t="s">
        <v>39</v>
      </c>
      <c r="H436" s="81" t="s">
        <v>5394</v>
      </c>
      <c r="I436" s="81" t="s">
        <v>1007</v>
      </c>
      <c r="J436" s="81" t="s">
        <v>224</v>
      </c>
    </row>
    <row r="437" hidden="1">
      <c r="A437" s="83" t="s">
        <v>4949</v>
      </c>
      <c r="B437" s="83" t="s">
        <v>4950</v>
      </c>
      <c r="C437" s="81" t="s">
        <v>4086</v>
      </c>
      <c r="D437" s="83" t="s">
        <v>4255</v>
      </c>
      <c r="E437" s="81" t="s">
        <v>1005</v>
      </c>
      <c r="F437" s="84">
        <v>188.0</v>
      </c>
      <c r="G437" s="81" t="s">
        <v>40</v>
      </c>
      <c r="H437" s="81" t="s">
        <v>5395</v>
      </c>
      <c r="I437" s="81" t="s">
        <v>1008</v>
      </c>
      <c r="J437" s="81" t="s">
        <v>224</v>
      </c>
    </row>
    <row r="438" hidden="1">
      <c r="A438" s="83" t="s">
        <v>4949</v>
      </c>
      <c r="B438" s="83" t="s">
        <v>4950</v>
      </c>
      <c r="C438" s="81" t="s">
        <v>4086</v>
      </c>
      <c r="D438" s="83" t="s">
        <v>4255</v>
      </c>
      <c r="E438" s="81" t="s">
        <v>1011</v>
      </c>
      <c r="F438" s="84">
        <v>189.0</v>
      </c>
      <c r="G438" s="81" t="s">
        <v>39</v>
      </c>
      <c r="H438" s="81" t="s">
        <v>5394</v>
      </c>
      <c r="I438" s="81" t="s">
        <v>1007</v>
      </c>
      <c r="J438" s="81" t="s">
        <v>224</v>
      </c>
    </row>
    <row r="439" hidden="1">
      <c r="A439" s="83" t="s">
        <v>4949</v>
      </c>
      <c r="B439" s="83" t="s">
        <v>4950</v>
      </c>
      <c r="C439" s="81" t="s">
        <v>4086</v>
      </c>
      <c r="D439" s="83" t="s">
        <v>4255</v>
      </c>
      <c r="E439" s="81" t="s">
        <v>1011</v>
      </c>
      <c r="F439" s="84">
        <v>189.0</v>
      </c>
      <c r="G439" s="81" t="s">
        <v>40</v>
      </c>
      <c r="H439" s="81" t="s">
        <v>5395</v>
      </c>
      <c r="I439" s="81" t="s">
        <v>1008</v>
      </c>
      <c r="J439" s="81" t="s">
        <v>224</v>
      </c>
    </row>
    <row r="440" hidden="1">
      <c r="A440" s="83" t="s">
        <v>4949</v>
      </c>
      <c r="B440" s="83" t="s">
        <v>4950</v>
      </c>
      <c r="C440" s="81" t="s">
        <v>4086</v>
      </c>
      <c r="D440" s="83" t="s">
        <v>4256</v>
      </c>
      <c r="E440" s="81" t="s">
        <v>1012</v>
      </c>
      <c r="F440" s="84">
        <v>190.0</v>
      </c>
      <c r="G440" s="81" t="s">
        <v>39</v>
      </c>
      <c r="H440" s="81" t="s">
        <v>5396</v>
      </c>
      <c r="I440" s="81" t="s">
        <v>1013</v>
      </c>
      <c r="J440" s="81" t="s">
        <v>224</v>
      </c>
    </row>
    <row r="441" hidden="1">
      <c r="A441" s="83" t="s">
        <v>4949</v>
      </c>
      <c r="B441" s="83" t="s">
        <v>4950</v>
      </c>
      <c r="C441" s="81" t="s">
        <v>4086</v>
      </c>
      <c r="D441" s="83" t="s">
        <v>4256</v>
      </c>
      <c r="E441" s="81" t="s">
        <v>1012</v>
      </c>
      <c r="F441" s="84">
        <v>190.0</v>
      </c>
      <c r="G441" s="81" t="s">
        <v>40</v>
      </c>
      <c r="H441" s="81" t="s">
        <v>5397</v>
      </c>
      <c r="I441" s="81" t="s">
        <v>1014</v>
      </c>
      <c r="J441" s="81" t="s">
        <v>224</v>
      </c>
    </row>
    <row r="442" hidden="1">
      <c r="A442" s="83" t="s">
        <v>4949</v>
      </c>
      <c r="B442" s="83" t="s">
        <v>4950</v>
      </c>
      <c r="C442" s="81" t="s">
        <v>4086</v>
      </c>
      <c r="D442" s="83" t="s">
        <v>4257</v>
      </c>
      <c r="E442" s="81" t="s">
        <v>1015</v>
      </c>
      <c r="F442" s="84">
        <v>191.0</v>
      </c>
      <c r="G442" s="81" t="s">
        <v>39</v>
      </c>
      <c r="H442" s="81" t="s">
        <v>5398</v>
      </c>
      <c r="I442" s="81" t="s">
        <v>5399</v>
      </c>
      <c r="J442" s="81" t="s">
        <v>224</v>
      </c>
    </row>
    <row r="443" hidden="1">
      <c r="A443" s="83" t="s">
        <v>4949</v>
      </c>
      <c r="B443" s="83" t="s">
        <v>4950</v>
      </c>
      <c r="C443" s="81" t="s">
        <v>4086</v>
      </c>
      <c r="D443" s="83" t="s">
        <v>4257</v>
      </c>
      <c r="E443" s="81" t="s">
        <v>1015</v>
      </c>
      <c r="F443" s="84">
        <v>191.0</v>
      </c>
      <c r="G443" s="81" t="s">
        <v>40</v>
      </c>
      <c r="H443" s="81" t="s">
        <v>5400</v>
      </c>
      <c r="I443" s="81" t="s">
        <v>5401</v>
      </c>
      <c r="J443" s="81" t="s">
        <v>224</v>
      </c>
    </row>
    <row r="444" hidden="1">
      <c r="A444" s="83" t="s">
        <v>4949</v>
      </c>
      <c r="B444" s="83" t="s">
        <v>4950</v>
      </c>
      <c r="C444" s="81" t="s">
        <v>4086</v>
      </c>
      <c r="D444" s="83" t="s">
        <v>4257</v>
      </c>
      <c r="E444" s="81" t="s">
        <v>1025</v>
      </c>
      <c r="F444" s="84">
        <v>192.0</v>
      </c>
      <c r="G444" s="81" t="s">
        <v>39</v>
      </c>
      <c r="H444" s="81" t="s">
        <v>5402</v>
      </c>
      <c r="I444" s="81" t="s">
        <v>5399</v>
      </c>
      <c r="J444" s="81" t="s">
        <v>224</v>
      </c>
    </row>
    <row r="445" hidden="1">
      <c r="A445" s="83" t="s">
        <v>4949</v>
      </c>
      <c r="B445" s="83" t="s">
        <v>4950</v>
      </c>
      <c r="C445" s="81" t="s">
        <v>4086</v>
      </c>
      <c r="D445" s="83" t="s">
        <v>4257</v>
      </c>
      <c r="E445" s="81" t="s">
        <v>1025</v>
      </c>
      <c r="F445" s="84">
        <v>192.0</v>
      </c>
      <c r="G445" s="81" t="s">
        <v>40</v>
      </c>
      <c r="H445" s="81" t="s">
        <v>5403</v>
      </c>
      <c r="I445" s="81" t="s">
        <v>5401</v>
      </c>
      <c r="J445" s="81" t="s">
        <v>224</v>
      </c>
    </row>
    <row r="446" hidden="1">
      <c r="A446" s="83" t="s">
        <v>4949</v>
      </c>
      <c r="B446" s="83" t="s">
        <v>4950</v>
      </c>
      <c r="C446" s="81" t="s">
        <v>4086</v>
      </c>
      <c r="D446" s="83" t="s">
        <v>4260</v>
      </c>
      <c r="E446" s="81" t="s">
        <v>1028</v>
      </c>
      <c r="F446" s="84">
        <v>193.0</v>
      </c>
      <c r="G446" s="81" t="s">
        <v>39</v>
      </c>
      <c r="H446" s="81" t="s">
        <v>5404</v>
      </c>
      <c r="I446" s="81" t="s">
        <v>5405</v>
      </c>
      <c r="J446" s="81" t="s">
        <v>224</v>
      </c>
    </row>
    <row r="447" hidden="1">
      <c r="A447" s="83" t="s">
        <v>4949</v>
      </c>
      <c r="B447" s="83" t="s">
        <v>4950</v>
      </c>
      <c r="C447" s="81" t="s">
        <v>4086</v>
      </c>
      <c r="D447" s="83" t="s">
        <v>4260</v>
      </c>
      <c r="E447" s="81" t="s">
        <v>1028</v>
      </c>
      <c r="F447" s="84">
        <v>193.0</v>
      </c>
      <c r="G447" s="81" t="s">
        <v>40</v>
      </c>
      <c r="H447" s="81" t="s">
        <v>5406</v>
      </c>
      <c r="I447" s="81" t="s">
        <v>5407</v>
      </c>
      <c r="J447" s="81" t="s">
        <v>224</v>
      </c>
    </row>
    <row r="448" hidden="1">
      <c r="A448" s="83" t="s">
        <v>4949</v>
      </c>
      <c r="B448" s="83" t="s">
        <v>4950</v>
      </c>
      <c r="C448" s="81" t="s">
        <v>4086</v>
      </c>
      <c r="D448" s="83" t="s">
        <v>4261</v>
      </c>
      <c r="E448" s="81" t="s">
        <v>1032</v>
      </c>
      <c r="F448" s="84">
        <v>194.0</v>
      </c>
      <c r="G448" s="81" t="s">
        <v>40</v>
      </c>
      <c r="H448" s="81" t="s">
        <v>5408</v>
      </c>
      <c r="I448" s="81" t="s">
        <v>5409</v>
      </c>
      <c r="J448" s="81" t="s">
        <v>224</v>
      </c>
    </row>
    <row r="449" hidden="1">
      <c r="A449" s="83" t="s">
        <v>4949</v>
      </c>
      <c r="B449" s="83" t="s">
        <v>4950</v>
      </c>
      <c r="C449" s="81" t="s">
        <v>4086</v>
      </c>
      <c r="D449" s="83" t="s">
        <v>4263</v>
      </c>
      <c r="E449" s="81" t="s">
        <v>1036</v>
      </c>
      <c r="F449" s="84">
        <v>195.0</v>
      </c>
      <c r="G449" s="81" t="s">
        <v>39</v>
      </c>
      <c r="H449" s="81" t="s">
        <v>5410</v>
      </c>
      <c r="I449" s="81" t="s">
        <v>5411</v>
      </c>
      <c r="J449" s="81" t="s">
        <v>224</v>
      </c>
    </row>
    <row r="450" hidden="1">
      <c r="A450" s="83" t="s">
        <v>4949</v>
      </c>
      <c r="B450" s="83" t="s">
        <v>4950</v>
      </c>
      <c r="C450" s="81" t="s">
        <v>4086</v>
      </c>
      <c r="D450" s="83" t="s">
        <v>4263</v>
      </c>
      <c r="E450" s="81" t="s">
        <v>1036</v>
      </c>
      <c r="F450" s="84">
        <v>195.0</v>
      </c>
      <c r="G450" s="81" t="s">
        <v>40</v>
      </c>
      <c r="H450" s="81" t="s">
        <v>5412</v>
      </c>
      <c r="I450" s="81" t="s">
        <v>5413</v>
      </c>
      <c r="J450" s="81" t="s">
        <v>224</v>
      </c>
    </row>
    <row r="451" hidden="1">
      <c r="A451" s="83" t="s">
        <v>4949</v>
      </c>
      <c r="B451" s="83" t="s">
        <v>4950</v>
      </c>
      <c r="C451" s="81" t="s">
        <v>4086</v>
      </c>
      <c r="D451" s="83" t="s">
        <v>4264</v>
      </c>
      <c r="E451" s="81" t="s">
        <v>1037</v>
      </c>
      <c r="F451" s="84">
        <v>196.0</v>
      </c>
      <c r="G451" s="81" t="s">
        <v>40</v>
      </c>
      <c r="H451" s="81" t="s">
        <v>5414</v>
      </c>
      <c r="I451" s="81" t="s">
        <v>5415</v>
      </c>
      <c r="J451" s="81" t="s">
        <v>224</v>
      </c>
    </row>
    <row r="452" hidden="1">
      <c r="A452" s="83" t="s">
        <v>4949</v>
      </c>
      <c r="B452" s="83" t="s">
        <v>4950</v>
      </c>
      <c r="C452" s="81" t="s">
        <v>4086</v>
      </c>
      <c r="D452" s="83" t="s">
        <v>4266</v>
      </c>
      <c r="E452" s="81" t="s">
        <v>1041</v>
      </c>
      <c r="F452" s="84">
        <v>197.0</v>
      </c>
      <c r="G452" s="81" t="s">
        <v>40</v>
      </c>
      <c r="H452" s="81" t="s">
        <v>5416</v>
      </c>
      <c r="I452" s="81" t="s">
        <v>5417</v>
      </c>
      <c r="J452" s="81" t="s">
        <v>224</v>
      </c>
    </row>
    <row r="453" hidden="1">
      <c r="A453" s="83" t="s">
        <v>4949</v>
      </c>
      <c r="B453" s="83" t="s">
        <v>4950</v>
      </c>
      <c r="C453" s="81" t="s">
        <v>4086</v>
      </c>
      <c r="D453" s="83" t="s">
        <v>4267</v>
      </c>
      <c r="E453" s="81" t="s">
        <v>1042</v>
      </c>
      <c r="F453" s="84">
        <v>198.0</v>
      </c>
      <c r="G453" s="81" t="s">
        <v>39</v>
      </c>
      <c r="H453" s="81" t="s">
        <v>5418</v>
      </c>
      <c r="I453" s="81" t="s">
        <v>1045</v>
      </c>
      <c r="J453" s="81" t="s">
        <v>224</v>
      </c>
    </row>
    <row r="454" hidden="1">
      <c r="A454" s="83" t="s">
        <v>4949</v>
      </c>
      <c r="B454" s="83" t="s">
        <v>4950</v>
      </c>
      <c r="C454" s="81" t="s">
        <v>4086</v>
      </c>
      <c r="D454" s="83" t="s">
        <v>4267</v>
      </c>
      <c r="E454" s="81" t="s">
        <v>1042</v>
      </c>
      <c r="F454" s="84">
        <v>198.0</v>
      </c>
      <c r="G454" s="81" t="s">
        <v>40</v>
      </c>
      <c r="H454" s="81" t="s">
        <v>5419</v>
      </c>
      <c r="I454" s="81" t="s">
        <v>1046</v>
      </c>
      <c r="J454" s="81" t="s">
        <v>224</v>
      </c>
    </row>
    <row r="455" hidden="1">
      <c r="A455" s="83" t="s">
        <v>4949</v>
      </c>
      <c r="B455" s="83" t="s">
        <v>4950</v>
      </c>
      <c r="C455" s="81" t="s">
        <v>4086</v>
      </c>
      <c r="D455" s="83" t="s">
        <v>4267</v>
      </c>
      <c r="E455" s="81" t="s">
        <v>1050</v>
      </c>
      <c r="F455" s="84">
        <v>199.0</v>
      </c>
      <c r="G455" s="81" t="s">
        <v>40</v>
      </c>
      <c r="H455" s="81" t="s">
        <v>5420</v>
      </c>
      <c r="I455" s="81" t="s">
        <v>1046</v>
      </c>
      <c r="J455" s="81" t="s">
        <v>224</v>
      </c>
    </row>
    <row r="456" hidden="1">
      <c r="A456" s="83" t="s">
        <v>4949</v>
      </c>
      <c r="B456" s="83" t="s">
        <v>4950</v>
      </c>
      <c r="C456" s="81" t="s">
        <v>4086</v>
      </c>
      <c r="D456" s="83" t="s">
        <v>4268</v>
      </c>
      <c r="E456" s="81" t="s">
        <v>1052</v>
      </c>
      <c r="F456" s="84">
        <v>200.0</v>
      </c>
      <c r="G456" s="81" t="s">
        <v>39</v>
      </c>
      <c r="H456" s="81" t="s">
        <v>5421</v>
      </c>
      <c r="I456" s="81" t="s">
        <v>1053</v>
      </c>
      <c r="J456" s="81" t="s">
        <v>224</v>
      </c>
    </row>
    <row r="457" hidden="1">
      <c r="A457" s="83" t="s">
        <v>4949</v>
      </c>
      <c r="B457" s="83" t="s">
        <v>4950</v>
      </c>
      <c r="C457" s="81" t="s">
        <v>4086</v>
      </c>
      <c r="D457" s="83" t="s">
        <v>4268</v>
      </c>
      <c r="E457" s="81" t="s">
        <v>1052</v>
      </c>
      <c r="F457" s="84">
        <v>200.0</v>
      </c>
      <c r="G457" s="81" t="s">
        <v>40</v>
      </c>
      <c r="H457" s="81" t="s">
        <v>5422</v>
      </c>
      <c r="I457" s="81" t="s">
        <v>1054</v>
      </c>
      <c r="J457" s="81" t="s">
        <v>224</v>
      </c>
    </row>
    <row r="458" hidden="1">
      <c r="A458" s="83" t="s">
        <v>4949</v>
      </c>
      <c r="B458" s="83" t="s">
        <v>4950</v>
      </c>
      <c r="C458" s="81" t="s">
        <v>4086</v>
      </c>
      <c r="D458" s="83" t="s">
        <v>4269</v>
      </c>
      <c r="E458" s="81" t="s">
        <v>1055</v>
      </c>
      <c r="F458" s="84">
        <v>201.0</v>
      </c>
      <c r="G458" s="81" t="s">
        <v>39</v>
      </c>
      <c r="H458" s="81" t="s">
        <v>5423</v>
      </c>
      <c r="I458" s="81" t="s">
        <v>1057</v>
      </c>
      <c r="J458" s="81" t="s">
        <v>224</v>
      </c>
    </row>
    <row r="459" hidden="1">
      <c r="A459" s="83" t="s">
        <v>4949</v>
      </c>
      <c r="B459" s="83" t="s">
        <v>4950</v>
      </c>
      <c r="C459" s="81" t="s">
        <v>4086</v>
      </c>
      <c r="D459" s="83" t="s">
        <v>4269</v>
      </c>
      <c r="E459" s="81" t="s">
        <v>1055</v>
      </c>
      <c r="F459" s="84">
        <v>201.0</v>
      </c>
      <c r="G459" s="81" t="s">
        <v>40</v>
      </c>
      <c r="H459" s="81" t="s">
        <v>5424</v>
      </c>
      <c r="I459" s="81" t="s">
        <v>1058</v>
      </c>
      <c r="J459" s="81" t="s">
        <v>224</v>
      </c>
    </row>
    <row r="460" hidden="1">
      <c r="A460" s="83" t="s">
        <v>4949</v>
      </c>
      <c r="B460" s="83" t="s">
        <v>4950</v>
      </c>
      <c r="C460" s="81" t="s">
        <v>4086</v>
      </c>
      <c r="D460" s="83" t="s">
        <v>4269</v>
      </c>
      <c r="E460" s="81" t="s">
        <v>1060</v>
      </c>
      <c r="F460" s="84">
        <v>202.0</v>
      </c>
      <c r="G460" s="81" t="s">
        <v>39</v>
      </c>
      <c r="H460" s="81" t="s">
        <v>5423</v>
      </c>
      <c r="I460" s="81" t="s">
        <v>1057</v>
      </c>
      <c r="J460" s="81" t="s">
        <v>224</v>
      </c>
    </row>
    <row r="461" hidden="1">
      <c r="A461" s="83" t="s">
        <v>4949</v>
      </c>
      <c r="B461" s="83" t="s">
        <v>4950</v>
      </c>
      <c r="C461" s="81" t="s">
        <v>4086</v>
      </c>
      <c r="D461" s="83" t="s">
        <v>4269</v>
      </c>
      <c r="E461" s="81" t="s">
        <v>1060</v>
      </c>
      <c r="F461" s="84">
        <v>202.0</v>
      </c>
      <c r="G461" s="81" t="s">
        <v>40</v>
      </c>
      <c r="H461" s="81" t="s">
        <v>5424</v>
      </c>
      <c r="I461" s="81" t="s">
        <v>1058</v>
      </c>
      <c r="J461" s="81" t="s">
        <v>224</v>
      </c>
    </row>
    <row r="462" hidden="1">
      <c r="A462" s="83" t="s">
        <v>4949</v>
      </c>
      <c r="B462" s="83" t="s">
        <v>4950</v>
      </c>
      <c r="C462" s="81" t="s">
        <v>4086</v>
      </c>
      <c r="D462" s="83" t="s">
        <v>4270</v>
      </c>
      <c r="E462" s="81" t="s">
        <v>1062</v>
      </c>
      <c r="F462" s="84">
        <v>203.0</v>
      </c>
      <c r="G462" s="81" t="s">
        <v>39</v>
      </c>
      <c r="H462" s="81" t="s">
        <v>5425</v>
      </c>
      <c r="I462" s="81" t="s">
        <v>1063</v>
      </c>
      <c r="J462" s="81" t="s">
        <v>224</v>
      </c>
    </row>
    <row r="463" hidden="1">
      <c r="A463" s="83" t="s">
        <v>4949</v>
      </c>
      <c r="B463" s="83" t="s">
        <v>4950</v>
      </c>
      <c r="C463" s="81" t="s">
        <v>4086</v>
      </c>
      <c r="D463" s="83" t="s">
        <v>4270</v>
      </c>
      <c r="E463" s="81" t="s">
        <v>1062</v>
      </c>
      <c r="F463" s="84">
        <v>203.0</v>
      </c>
      <c r="G463" s="81" t="s">
        <v>40</v>
      </c>
      <c r="H463" s="81" t="s">
        <v>5426</v>
      </c>
      <c r="I463" s="81" t="s">
        <v>1064</v>
      </c>
      <c r="J463" s="81" t="s">
        <v>224</v>
      </c>
    </row>
    <row r="464" hidden="1">
      <c r="A464" s="83" t="s">
        <v>4949</v>
      </c>
      <c r="B464" s="83" t="s">
        <v>4950</v>
      </c>
      <c r="C464" s="81" t="s">
        <v>4086</v>
      </c>
      <c r="D464" s="83" t="s">
        <v>4271</v>
      </c>
      <c r="E464" s="81" t="s">
        <v>1065</v>
      </c>
      <c r="F464" s="84">
        <v>204.0</v>
      </c>
      <c r="G464" s="81" t="s">
        <v>39</v>
      </c>
      <c r="H464" s="81" t="s">
        <v>5427</v>
      </c>
      <c r="I464" s="81" t="s">
        <v>1067</v>
      </c>
      <c r="J464" s="81" t="s">
        <v>224</v>
      </c>
    </row>
    <row r="465" hidden="1">
      <c r="A465" s="83" t="s">
        <v>4949</v>
      </c>
      <c r="B465" s="83" t="s">
        <v>4950</v>
      </c>
      <c r="C465" s="81" t="s">
        <v>4086</v>
      </c>
      <c r="D465" s="83" t="s">
        <v>4271</v>
      </c>
      <c r="E465" s="81" t="s">
        <v>1065</v>
      </c>
      <c r="F465" s="84">
        <v>204.0</v>
      </c>
      <c r="G465" s="81" t="s">
        <v>40</v>
      </c>
      <c r="H465" s="81" t="s">
        <v>5428</v>
      </c>
      <c r="I465" s="81" t="s">
        <v>1068</v>
      </c>
      <c r="J465" s="81" t="s">
        <v>224</v>
      </c>
    </row>
    <row r="466" hidden="1">
      <c r="A466" s="83" t="s">
        <v>4949</v>
      </c>
      <c r="B466" s="83" t="s">
        <v>4950</v>
      </c>
      <c r="C466" s="81" t="s">
        <v>4086</v>
      </c>
      <c r="D466" s="83" t="s">
        <v>4271</v>
      </c>
      <c r="E466" s="81" t="s">
        <v>1069</v>
      </c>
      <c r="F466" s="84">
        <v>205.0</v>
      </c>
      <c r="G466" s="81" t="s">
        <v>39</v>
      </c>
      <c r="H466" s="81" t="s">
        <v>5427</v>
      </c>
      <c r="I466" s="81" t="s">
        <v>1067</v>
      </c>
      <c r="J466" s="81" t="s">
        <v>224</v>
      </c>
    </row>
    <row r="467" hidden="1">
      <c r="A467" s="83" t="s">
        <v>4949</v>
      </c>
      <c r="B467" s="83" t="s">
        <v>4950</v>
      </c>
      <c r="C467" s="81" t="s">
        <v>4086</v>
      </c>
      <c r="D467" s="83" t="s">
        <v>4271</v>
      </c>
      <c r="E467" s="81" t="s">
        <v>1069</v>
      </c>
      <c r="F467" s="84">
        <v>205.0</v>
      </c>
      <c r="G467" s="81" t="s">
        <v>40</v>
      </c>
      <c r="H467" s="81" t="s">
        <v>5428</v>
      </c>
      <c r="I467" s="81" t="s">
        <v>1068</v>
      </c>
      <c r="J467" s="81" t="s">
        <v>224</v>
      </c>
    </row>
    <row r="468" hidden="1">
      <c r="A468" s="83" t="s">
        <v>4949</v>
      </c>
      <c r="B468" s="83" t="s">
        <v>4950</v>
      </c>
      <c r="C468" s="81" t="s">
        <v>4086</v>
      </c>
      <c r="D468" s="83" t="s">
        <v>4272</v>
      </c>
      <c r="E468" s="81" t="s">
        <v>1070</v>
      </c>
      <c r="F468" s="84">
        <v>206.0</v>
      </c>
      <c r="G468" s="81" t="s">
        <v>39</v>
      </c>
      <c r="H468" s="81" t="s">
        <v>5429</v>
      </c>
      <c r="I468" s="81" t="s">
        <v>1071</v>
      </c>
      <c r="J468" s="81" t="s">
        <v>224</v>
      </c>
    </row>
    <row r="469" hidden="1">
      <c r="A469" s="83" t="s">
        <v>4949</v>
      </c>
      <c r="B469" s="83" t="s">
        <v>4950</v>
      </c>
      <c r="C469" s="81" t="s">
        <v>4086</v>
      </c>
      <c r="D469" s="83" t="s">
        <v>4272</v>
      </c>
      <c r="E469" s="81" t="s">
        <v>1070</v>
      </c>
      <c r="F469" s="84">
        <v>206.0</v>
      </c>
      <c r="G469" s="81" t="s">
        <v>40</v>
      </c>
      <c r="H469" s="81" t="s">
        <v>5430</v>
      </c>
      <c r="I469" s="81" t="s">
        <v>1072</v>
      </c>
      <c r="J469" s="81" t="s">
        <v>224</v>
      </c>
    </row>
    <row r="470" hidden="1">
      <c r="A470" s="83" t="s">
        <v>4949</v>
      </c>
      <c r="B470" s="83" t="s">
        <v>4950</v>
      </c>
      <c r="C470" s="81" t="s">
        <v>4086</v>
      </c>
      <c r="D470" s="83" t="s">
        <v>4273</v>
      </c>
      <c r="E470" s="81" t="s">
        <v>1073</v>
      </c>
      <c r="F470" s="84">
        <v>207.0</v>
      </c>
      <c r="G470" s="81" t="s">
        <v>39</v>
      </c>
      <c r="H470" s="81" t="s">
        <v>5431</v>
      </c>
      <c r="I470" s="81" t="s">
        <v>1075</v>
      </c>
      <c r="J470" s="81" t="s">
        <v>224</v>
      </c>
    </row>
    <row r="471" hidden="1">
      <c r="A471" s="83" t="s">
        <v>4949</v>
      </c>
      <c r="B471" s="83" t="s">
        <v>4950</v>
      </c>
      <c r="C471" s="81" t="s">
        <v>4086</v>
      </c>
      <c r="D471" s="83" t="s">
        <v>4273</v>
      </c>
      <c r="E471" s="81" t="s">
        <v>1073</v>
      </c>
      <c r="F471" s="84">
        <v>207.0</v>
      </c>
      <c r="G471" s="81" t="s">
        <v>40</v>
      </c>
      <c r="H471" s="81" t="s">
        <v>5432</v>
      </c>
      <c r="I471" s="81" t="s">
        <v>1076</v>
      </c>
      <c r="J471" s="81" t="s">
        <v>224</v>
      </c>
    </row>
    <row r="472" hidden="1">
      <c r="A472" s="83" t="s">
        <v>4949</v>
      </c>
      <c r="B472" s="83" t="s">
        <v>4950</v>
      </c>
      <c r="C472" s="81" t="s">
        <v>4086</v>
      </c>
      <c r="D472" s="83" t="s">
        <v>4273</v>
      </c>
      <c r="E472" s="81" t="s">
        <v>1079</v>
      </c>
      <c r="F472" s="84">
        <v>208.0</v>
      </c>
      <c r="G472" s="81" t="s">
        <v>39</v>
      </c>
      <c r="H472" s="81" t="s">
        <v>5431</v>
      </c>
      <c r="I472" s="81" t="s">
        <v>1075</v>
      </c>
      <c r="J472" s="81" t="s">
        <v>224</v>
      </c>
    </row>
    <row r="473" hidden="1">
      <c r="A473" s="83" t="s">
        <v>4949</v>
      </c>
      <c r="B473" s="83" t="s">
        <v>4950</v>
      </c>
      <c r="C473" s="81" t="s">
        <v>4086</v>
      </c>
      <c r="D473" s="83" t="s">
        <v>4273</v>
      </c>
      <c r="E473" s="81" t="s">
        <v>1079</v>
      </c>
      <c r="F473" s="84">
        <v>208.0</v>
      </c>
      <c r="G473" s="81" t="s">
        <v>40</v>
      </c>
      <c r="H473" s="81" t="s">
        <v>5432</v>
      </c>
      <c r="I473" s="81" t="s">
        <v>1076</v>
      </c>
      <c r="J473" s="81" t="s">
        <v>224</v>
      </c>
    </row>
    <row r="474" hidden="1">
      <c r="A474" s="83" t="s">
        <v>4949</v>
      </c>
      <c r="B474" s="83" t="s">
        <v>4950</v>
      </c>
      <c r="C474" s="81" t="s">
        <v>4086</v>
      </c>
      <c r="D474" s="83" t="s">
        <v>4274</v>
      </c>
      <c r="E474" s="81" t="s">
        <v>1080</v>
      </c>
      <c r="F474" s="84">
        <v>209.0</v>
      </c>
      <c r="G474" s="81" t="s">
        <v>39</v>
      </c>
      <c r="H474" s="81" t="s">
        <v>5433</v>
      </c>
      <c r="I474" s="81" t="s">
        <v>1081</v>
      </c>
      <c r="J474" s="81" t="s">
        <v>224</v>
      </c>
    </row>
    <row r="475" hidden="1">
      <c r="A475" s="83" t="s">
        <v>4949</v>
      </c>
      <c r="B475" s="83" t="s">
        <v>4950</v>
      </c>
      <c r="C475" s="81" t="s">
        <v>4086</v>
      </c>
      <c r="D475" s="83" t="s">
        <v>4274</v>
      </c>
      <c r="E475" s="81" t="s">
        <v>1080</v>
      </c>
      <c r="F475" s="84">
        <v>209.0</v>
      </c>
      <c r="G475" s="81" t="s">
        <v>40</v>
      </c>
      <c r="H475" s="81" t="s">
        <v>5434</v>
      </c>
      <c r="I475" s="81" t="s">
        <v>1082</v>
      </c>
      <c r="J475" s="81" t="s">
        <v>224</v>
      </c>
    </row>
    <row r="476" hidden="1">
      <c r="A476" s="83" t="s">
        <v>4949</v>
      </c>
      <c r="B476" s="83" t="s">
        <v>4950</v>
      </c>
      <c r="C476" s="81" t="s">
        <v>4086</v>
      </c>
      <c r="D476" s="83" t="s">
        <v>4275</v>
      </c>
      <c r="E476" s="81" t="s">
        <v>1083</v>
      </c>
      <c r="F476" s="84">
        <v>210.0</v>
      </c>
      <c r="G476" s="81" t="s">
        <v>39</v>
      </c>
      <c r="H476" s="81" t="s">
        <v>5435</v>
      </c>
      <c r="I476" s="81" t="s">
        <v>1085</v>
      </c>
      <c r="J476" s="81" t="s">
        <v>224</v>
      </c>
    </row>
    <row r="477" hidden="1">
      <c r="A477" s="83" t="s">
        <v>4949</v>
      </c>
      <c r="B477" s="83" t="s">
        <v>4950</v>
      </c>
      <c r="C477" s="81" t="s">
        <v>4086</v>
      </c>
      <c r="D477" s="83" t="s">
        <v>4275</v>
      </c>
      <c r="E477" s="81" t="s">
        <v>1083</v>
      </c>
      <c r="F477" s="84">
        <v>210.0</v>
      </c>
      <c r="G477" s="81" t="s">
        <v>40</v>
      </c>
      <c r="H477" s="81" t="s">
        <v>5436</v>
      </c>
      <c r="I477" s="81" t="s">
        <v>1086</v>
      </c>
      <c r="J477" s="81" t="s">
        <v>224</v>
      </c>
    </row>
    <row r="478" hidden="1">
      <c r="A478" s="83" t="s">
        <v>4949</v>
      </c>
      <c r="B478" s="83" t="s">
        <v>4950</v>
      </c>
      <c r="C478" s="81" t="s">
        <v>4086</v>
      </c>
      <c r="D478" s="83" t="s">
        <v>4275</v>
      </c>
      <c r="E478" s="81" t="s">
        <v>1089</v>
      </c>
      <c r="F478" s="84">
        <v>211.0</v>
      </c>
      <c r="G478" s="81" t="s">
        <v>39</v>
      </c>
      <c r="H478" s="81" t="s">
        <v>5435</v>
      </c>
      <c r="I478" s="81" t="s">
        <v>1085</v>
      </c>
      <c r="J478" s="81" t="s">
        <v>224</v>
      </c>
    </row>
    <row r="479" hidden="1">
      <c r="A479" s="83" t="s">
        <v>4949</v>
      </c>
      <c r="B479" s="83" t="s">
        <v>4950</v>
      </c>
      <c r="C479" s="81" t="s">
        <v>4086</v>
      </c>
      <c r="D479" s="83" t="s">
        <v>4275</v>
      </c>
      <c r="E479" s="81" t="s">
        <v>1089</v>
      </c>
      <c r="F479" s="84">
        <v>211.0</v>
      </c>
      <c r="G479" s="81" t="s">
        <v>40</v>
      </c>
      <c r="H479" s="81" t="s">
        <v>5436</v>
      </c>
      <c r="I479" s="81" t="s">
        <v>1086</v>
      </c>
      <c r="J479" s="81" t="s">
        <v>224</v>
      </c>
    </row>
    <row r="480" hidden="1">
      <c r="A480" s="83" t="s">
        <v>4949</v>
      </c>
      <c r="B480" s="83" t="s">
        <v>4950</v>
      </c>
      <c r="C480" s="81" t="s">
        <v>4086</v>
      </c>
      <c r="D480" s="83" t="s">
        <v>4276</v>
      </c>
      <c r="E480" s="81" t="s">
        <v>1090</v>
      </c>
      <c r="F480" s="84">
        <v>212.0</v>
      </c>
      <c r="G480" s="81" t="s">
        <v>39</v>
      </c>
      <c r="H480" s="81" t="s">
        <v>5437</v>
      </c>
      <c r="I480" s="81" t="s">
        <v>1091</v>
      </c>
      <c r="J480" s="81" t="s">
        <v>224</v>
      </c>
    </row>
    <row r="481" hidden="1">
      <c r="A481" s="83" t="s">
        <v>4949</v>
      </c>
      <c r="B481" s="83" t="s">
        <v>4950</v>
      </c>
      <c r="C481" s="81" t="s">
        <v>4086</v>
      </c>
      <c r="D481" s="83" t="s">
        <v>4276</v>
      </c>
      <c r="E481" s="81" t="s">
        <v>1090</v>
      </c>
      <c r="F481" s="84">
        <v>212.0</v>
      </c>
      <c r="G481" s="81" t="s">
        <v>40</v>
      </c>
      <c r="H481" s="81" t="s">
        <v>5438</v>
      </c>
      <c r="I481" s="81" t="s">
        <v>1092</v>
      </c>
      <c r="J481" s="81" t="s">
        <v>224</v>
      </c>
    </row>
    <row r="482" hidden="1">
      <c r="A482" s="83" t="s">
        <v>4949</v>
      </c>
      <c r="B482" s="83" t="s">
        <v>4950</v>
      </c>
      <c r="C482" s="81" t="s">
        <v>4086</v>
      </c>
      <c r="D482" s="83" t="s">
        <v>4277</v>
      </c>
      <c r="E482" s="81" t="s">
        <v>1093</v>
      </c>
      <c r="F482" s="84">
        <v>213.0</v>
      </c>
      <c r="G482" s="81" t="s">
        <v>39</v>
      </c>
      <c r="H482" s="81" t="s">
        <v>5439</v>
      </c>
      <c r="I482" s="81" t="s">
        <v>1095</v>
      </c>
      <c r="J482" s="81" t="s">
        <v>224</v>
      </c>
    </row>
    <row r="483" hidden="1">
      <c r="A483" s="83" t="s">
        <v>4949</v>
      </c>
      <c r="B483" s="83" t="s">
        <v>4950</v>
      </c>
      <c r="C483" s="81" t="s">
        <v>4086</v>
      </c>
      <c r="D483" s="83" t="s">
        <v>4277</v>
      </c>
      <c r="E483" s="81" t="s">
        <v>1093</v>
      </c>
      <c r="F483" s="84">
        <v>213.0</v>
      </c>
      <c r="G483" s="81" t="s">
        <v>40</v>
      </c>
      <c r="H483" s="81" t="s">
        <v>5440</v>
      </c>
      <c r="I483" s="81" t="s">
        <v>1096</v>
      </c>
      <c r="J483" s="81" t="s">
        <v>224</v>
      </c>
    </row>
    <row r="484" hidden="1">
      <c r="A484" s="83" t="s">
        <v>4949</v>
      </c>
      <c r="B484" s="83" t="s">
        <v>4950</v>
      </c>
      <c r="C484" s="81" t="s">
        <v>4086</v>
      </c>
      <c r="D484" s="83" t="s">
        <v>4277</v>
      </c>
      <c r="E484" s="81" t="s">
        <v>1099</v>
      </c>
      <c r="F484" s="84">
        <v>214.0</v>
      </c>
      <c r="G484" s="81" t="s">
        <v>40</v>
      </c>
      <c r="H484" s="81" t="s">
        <v>5441</v>
      </c>
      <c r="I484" s="81" t="s">
        <v>1096</v>
      </c>
      <c r="J484" s="81" t="s">
        <v>224</v>
      </c>
    </row>
    <row r="485" hidden="1">
      <c r="A485" s="83" t="s">
        <v>4949</v>
      </c>
      <c r="B485" s="83" t="s">
        <v>4950</v>
      </c>
      <c r="C485" s="81" t="s">
        <v>4086</v>
      </c>
      <c r="D485" s="83" t="s">
        <v>4278</v>
      </c>
      <c r="E485" s="81" t="s">
        <v>1100</v>
      </c>
      <c r="F485" s="84">
        <v>215.0</v>
      </c>
      <c r="G485" s="81" t="s">
        <v>39</v>
      </c>
      <c r="H485" s="81" t="s">
        <v>5442</v>
      </c>
      <c r="I485" s="81" t="s">
        <v>1101</v>
      </c>
      <c r="J485" s="81" t="s">
        <v>224</v>
      </c>
    </row>
    <row r="486" hidden="1">
      <c r="A486" s="83" t="s">
        <v>4949</v>
      </c>
      <c r="B486" s="83" t="s">
        <v>4950</v>
      </c>
      <c r="C486" s="81" t="s">
        <v>4086</v>
      </c>
      <c r="D486" s="83" t="s">
        <v>4278</v>
      </c>
      <c r="E486" s="81" t="s">
        <v>1100</v>
      </c>
      <c r="F486" s="84">
        <v>215.0</v>
      </c>
      <c r="G486" s="81" t="s">
        <v>40</v>
      </c>
      <c r="H486" s="81" t="s">
        <v>5443</v>
      </c>
      <c r="I486" s="81" t="s">
        <v>1102</v>
      </c>
      <c r="J486" s="81" t="s">
        <v>224</v>
      </c>
    </row>
    <row r="487" hidden="1">
      <c r="A487" s="83" t="s">
        <v>4949</v>
      </c>
      <c r="B487" s="83" t="s">
        <v>4950</v>
      </c>
      <c r="C487" s="81" t="s">
        <v>4086</v>
      </c>
      <c r="D487" s="83" t="s">
        <v>4279</v>
      </c>
      <c r="E487" s="81" t="s">
        <v>1103</v>
      </c>
      <c r="F487" s="84">
        <v>216.0</v>
      </c>
      <c r="G487" s="81" t="s">
        <v>39</v>
      </c>
      <c r="H487" s="81" t="s">
        <v>5444</v>
      </c>
      <c r="I487" s="81" t="s">
        <v>1105</v>
      </c>
      <c r="J487" s="81" t="s">
        <v>224</v>
      </c>
    </row>
    <row r="488" hidden="1">
      <c r="A488" s="83" t="s">
        <v>4949</v>
      </c>
      <c r="B488" s="83" t="s">
        <v>4950</v>
      </c>
      <c r="C488" s="81" t="s">
        <v>4086</v>
      </c>
      <c r="D488" s="83" t="s">
        <v>4279</v>
      </c>
      <c r="E488" s="81" t="s">
        <v>1103</v>
      </c>
      <c r="F488" s="84">
        <v>216.0</v>
      </c>
      <c r="G488" s="81" t="s">
        <v>40</v>
      </c>
      <c r="H488" s="81" t="s">
        <v>5445</v>
      </c>
      <c r="I488" s="81" t="s">
        <v>1106</v>
      </c>
      <c r="J488" s="81" t="s">
        <v>224</v>
      </c>
    </row>
    <row r="489" hidden="1">
      <c r="A489" s="83" t="s">
        <v>4949</v>
      </c>
      <c r="B489" s="83" t="s">
        <v>4950</v>
      </c>
      <c r="C489" s="81" t="s">
        <v>4086</v>
      </c>
      <c r="D489" s="83" t="s">
        <v>4279</v>
      </c>
      <c r="E489" s="81" t="s">
        <v>1109</v>
      </c>
      <c r="F489" s="84">
        <v>217.0</v>
      </c>
      <c r="G489" s="81" t="s">
        <v>39</v>
      </c>
      <c r="H489" s="81" t="s">
        <v>5444</v>
      </c>
      <c r="I489" s="81" t="s">
        <v>1105</v>
      </c>
      <c r="J489" s="81" t="s">
        <v>224</v>
      </c>
    </row>
    <row r="490" hidden="1">
      <c r="A490" s="83" t="s">
        <v>4949</v>
      </c>
      <c r="B490" s="83" t="s">
        <v>4950</v>
      </c>
      <c r="C490" s="81" t="s">
        <v>4086</v>
      </c>
      <c r="D490" s="83" t="s">
        <v>4279</v>
      </c>
      <c r="E490" s="81" t="s">
        <v>1109</v>
      </c>
      <c r="F490" s="84">
        <v>217.0</v>
      </c>
      <c r="G490" s="81" t="s">
        <v>40</v>
      </c>
      <c r="H490" s="81" t="s">
        <v>5445</v>
      </c>
      <c r="I490" s="81" t="s">
        <v>1106</v>
      </c>
      <c r="J490" s="81" t="s">
        <v>224</v>
      </c>
    </row>
    <row r="491" hidden="1">
      <c r="A491" s="83" t="s">
        <v>4949</v>
      </c>
      <c r="B491" s="83" t="s">
        <v>4950</v>
      </c>
      <c r="C491" s="81" t="s">
        <v>4086</v>
      </c>
      <c r="D491" s="83" t="s">
        <v>4280</v>
      </c>
      <c r="E491" s="81" t="s">
        <v>1110</v>
      </c>
      <c r="F491" s="84">
        <v>218.0</v>
      </c>
      <c r="G491" s="81" t="s">
        <v>39</v>
      </c>
      <c r="H491" s="81" t="s">
        <v>5446</v>
      </c>
      <c r="I491" s="81" t="s">
        <v>1111</v>
      </c>
      <c r="J491" s="81" t="s">
        <v>224</v>
      </c>
    </row>
    <row r="492" hidden="1">
      <c r="A492" s="83" t="s">
        <v>4949</v>
      </c>
      <c r="B492" s="83" t="s">
        <v>4950</v>
      </c>
      <c r="C492" s="81" t="s">
        <v>4086</v>
      </c>
      <c r="D492" s="83" t="s">
        <v>4280</v>
      </c>
      <c r="E492" s="81" t="s">
        <v>1110</v>
      </c>
      <c r="F492" s="84">
        <v>218.0</v>
      </c>
      <c r="G492" s="81" t="s">
        <v>40</v>
      </c>
      <c r="H492" s="81" t="s">
        <v>5447</v>
      </c>
      <c r="I492" s="81" t="s">
        <v>1112</v>
      </c>
      <c r="J492" s="81" t="s">
        <v>224</v>
      </c>
    </row>
    <row r="493" hidden="1">
      <c r="A493" s="83" t="s">
        <v>4949</v>
      </c>
      <c r="B493" s="83" t="s">
        <v>4950</v>
      </c>
      <c r="C493" s="81" t="s">
        <v>4086</v>
      </c>
      <c r="D493" s="83" t="s">
        <v>4281</v>
      </c>
      <c r="E493" s="81" t="s">
        <v>1113</v>
      </c>
      <c r="F493" s="84">
        <v>219.0</v>
      </c>
      <c r="G493" s="81" t="s">
        <v>39</v>
      </c>
      <c r="H493" s="81" t="s">
        <v>5448</v>
      </c>
      <c r="I493" s="81" t="s">
        <v>1115</v>
      </c>
      <c r="J493" s="81" t="s">
        <v>224</v>
      </c>
    </row>
    <row r="494" hidden="1">
      <c r="A494" s="83" t="s">
        <v>4949</v>
      </c>
      <c r="B494" s="83" t="s">
        <v>4950</v>
      </c>
      <c r="C494" s="81" t="s">
        <v>4086</v>
      </c>
      <c r="D494" s="83" t="s">
        <v>4281</v>
      </c>
      <c r="E494" s="81" t="s">
        <v>1113</v>
      </c>
      <c r="F494" s="84">
        <v>219.0</v>
      </c>
      <c r="G494" s="81" t="s">
        <v>40</v>
      </c>
      <c r="H494" s="81" t="s">
        <v>5449</v>
      </c>
      <c r="I494" s="81" t="s">
        <v>1116</v>
      </c>
      <c r="J494" s="81" t="s">
        <v>224</v>
      </c>
    </row>
    <row r="495" hidden="1">
      <c r="A495" s="83" t="s">
        <v>4949</v>
      </c>
      <c r="B495" s="83" t="s">
        <v>4950</v>
      </c>
      <c r="C495" s="81" t="s">
        <v>4086</v>
      </c>
      <c r="D495" s="83" t="s">
        <v>4281</v>
      </c>
      <c r="E495" s="81" t="s">
        <v>1119</v>
      </c>
      <c r="F495" s="84">
        <v>220.0</v>
      </c>
      <c r="G495" s="81" t="s">
        <v>40</v>
      </c>
      <c r="H495" s="81" t="s">
        <v>5450</v>
      </c>
      <c r="I495" s="81" t="s">
        <v>1116</v>
      </c>
      <c r="J495" s="81" t="s">
        <v>224</v>
      </c>
    </row>
    <row r="496" hidden="1">
      <c r="A496" s="83" t="s">
        <v>4949</v>
      </c>
      <c r="B496" s="83" t="s">
        <v>4950</v>
      </c>
      <c r="C496" s="81" t="s">
        <v>4086</v>
      </c>
      <c r="D496" s="83" t="s">
        <v>4282</v>
      </c>
      <c r="E496" s="81" t="s">
        <v>1120</v>
      </c>
      <c r="F496" s="84">
        <v>221.0</v>
      </c>
      <c r="G496" s="81" t="s">
        <v>39</v>
      </c>
      <c r="H496" s="81" t="s">
        <v>5451</v>
      </c>
      <c r="I496" s="81" t="s">
        <v>1121</v>
      </c>
      <c r="J496" s="81" t="s">
        <v>224</v>
      </c>
    </row>
    <row r="497" hidden="1">
      <c r="A497" s="83" t="s">
        <v>4949</v>
      </c>
      <c r="B497" s="83" t="s">
        <v>4950</v>
      </c>
      <c r="C497" s="81" t="s">
        <v>4086</v>
      </c>
      <c r="D497" s="83" t="s">
        <v>4282</v>
      </c>
      <c r="E497" s="81" t="s">
        <v>1120</v>
      </c>
      <c r="F497" s="84">
        <v>221.0</v>
      </c>
      <c r="G497" s="81" t="s">
        <v>40</v>
      </c>
      <c r="H497" s="81" t="s">
        <v>5452</v>
      </c>
      <c r="I497" s="81" t="s">
        <v>1122</v>
      </c>
      <c r="J497" s="81" t="s">
        <v>224</v>
      </c>
    </row>
    <row r="498" hidden="1">
      <c r="A498" s="83" t="s">
        <v>4949</v>
      </c>
      <c r="B498" s="83" t="s">
        <v>4950</v>
      </c>
      <c r="C498" s="81" t="s">
        <v>4086</v>
      </c>
      <c r="D498" s="83" t="s">
        <v>4283</v>
      </c>
      <c r="E498" s="81" t="s">
        <v>1123</v>
      </c>
      <c r="F498" s="84">
        <v>222.0</v>
      </c>
      <c r="G498" s="81" t="s">
        <v>39</v>
      </c>
      <c r="H498" s="81" t="s">
        <v>5453</v>
      </c>
      <c r="I498" s="81" t="s">
        <v>1125</v>
      </c>
      <c r="J498" s="81" t="s">
        <v>224</v>
      </c>
    </row>
    <row r="499" hidden="1">
      <c r="A499" s="83" t="s">
        <v>4949</v>
      </c>
      <c r="B499" s="83" t="s">
        <v>4950</v>
      </c>
      <c r="C499" s="81" t="s">
        <v>4086</v>
      </c>
      <c r="D499" s="83" t="s">
        <v>4283</v>
      </c>
      <c r="E499" s="81" t="s">
        <v>1123</v>
      </c>
      <c r="F499" s="84">
        <v>222.0</v>
      </c>
      <c r="G499" s="81" t="s">
        <v>40</v>
      </c>
      <c r="H499" s="81" t="s">
        <v>5454</v>
      </c>
      <c r="I499" s="81" t="s">
        <v>1126</v>
      </c>
      <c r="J499" s="81" t="s">
        <v>224</v>
      </c>
    </row>
    <row r="500" hidden="1">
      <c r="A500" s="83" t="s">
        <v>4949</v>
      </c>
      <c r="B500" s="83" t="s">
        <v>4950</v>
      </c>
      <c r="C500" s="81" t="s">
        <v>4086</v>
      </c>
      <c r="D500" s="83" t="s">
        <v>4283</v>
      </c>
      <c r="E500" s="81" t="s">
        <v>1129</v>
      </c>
      <c r="F500" s="84">
        <v>223.0</v>
      </c>
      <c r="G500" s="81" t="s">
        <v>40</v>
      </c>
      <c r="H500" s="81" t="s">
        <v>5455</v>
      </c>
      <c r="I500" s="81" t="s">
        <v>1126</v>
      </c>
      <c r="J500" s="81" t="s">
        <v>224</v>
      </c>
    </row>
    <row r="501" hidden="1">
      <c r="A501" s="83" t="s">
        <v>4949</v>
      </c>
      <c r="B501" s="83" t="s">
        <v>4950</v>
      </c>
      <c r="C501" s="81" t="s">
        <v>4086</v>
      </c>
      <c r="D501" s="83" t="s">
        <v>4284</v>
      </c>
      <c r="E501" s="81" t="s">
        <v>1130</v>
      </c>
      <c r="F501" s="84">
        <v>224.0</v>
      </c>
      <c r="G501" s="81" t="s">
        <v>40</v>
      </c>
      <c r="H501" s="81" t="s">
        <v>5456</v>
      </c>
      <c r="I501" s="81" t="s">
        <v>1132</v>
      </c>
      <c r="J501" s="81" t="s">
        <v>224</v>
      </c>
    </row>
    <row r="502" hidden="1">
      <c r="A502" s="83" t="s">
        <v>4949</v>
      </c>
      <c r="B502" s="83" t="s">
        <v>4950</v>
      </c>
      <c r="C502" s="81" t="s">
        <v>4086</v>
      </c>
      <c r="D502" s="83" t="s">
        <v>4285</v>
      </c>
      <c r="E502" s="81" t="s">
        <v>1133</v>
      </c>
      <c r="F502" s="84">
        <v>225.0</v>
      </c>
      <c r="G502" s="81" t="s">
        <v>39</v>
      </c>
      <c r="H502" s="81" t="s">
        <v>5457</v>
      </c>
      <c r="I502" s="81" t="s">
        <v>5458</v>
      </c>
      <c r="J502" s="81" t="s">
        <v>224</v>
      </c>
    </row>
    <row r="503" hidden="1">
      <c r="A503" s="83" t="s">
        <v>4949</v>
      </c>
      <c r="B503" s="83" t="s">
        <v>4950</v>
      </c>
      <c r="C503" s="81" t="s">
        <v>4086</v>
      </c>
      <c r="D503" s="83" t="s">
        <v>4285</v>
      </c>
      <c r="E503" s="81" t="s">
        <v>1133</v>
      </c>
      <c r="F503" s="84">
        <v>225.0</v>
      </c>
      <c r="G503" s="81" t="s">
        <v>40</v>
      </c>
      <c r="H503" s="81" t="s">
        <v>5459</v>
      </c>
      <c r="I503" s="81" t="s">
        <v>5460</v>
      </c>
      <c r="J503" s="81" t="s">
        <v>224</v>
      </c>
    </row>
    <row r="504" hidden="1">
      <c r="A504" s="83" t="s">
        <v>4949</v>
      </c>
      <c r="B504" s="83" t="s">
        <v>4950</v>
      </c>
      <c r="C504" s="81" t="s">
        <v>4086</v>
      </c>
      <c r="D504" s="83" t="s">
        <v>4287</v>
      </c>
      <c r="E504" s="81" t="s">
        <v>1138</v>
      </c>
      <c r="F504" s="84">
        <v>226.0</v>
      </c>
      <c r="G504" s="81" t="s">
        <v>39</v>
      </c>
      <c r="H504" s="81" t="s">
        <v>5461</v>
      </c>
      <c r="I504" s="81" t="s">
        <v>5462</v>
      </c>
      <c r="J504" s="81" t="s">
        <v>224</v>
      </c>
    </row>
    <row r="505" hidden="1">
      <c r="A505" s="83" t="s">
        <v>4949</v>
      </c>
      <c r="B505" s="83" t="s">
        <v>4950</v>
      </c>
      <c r="C505" s="81" t="s">
        <v>4086</v>
      </c>
      <c r="D505" s="83" t="s">
        <v>4287</v>
      </c>
      <c r="E505" s="81" t="s">
        <v>1138</v>
      </c>
      <c r="F505" s="84">
        <v>226.0</v>
      </c>
      <c r="G505" s="81" t="s">
        <v>40</v>
      </c>
      <c r="H505" s="81" t="s">
        <v>5463</v>
      </c>
      <c r="I505" s="81" t="s">
        <v>5464</v>
      </c>
      <c r="J505" s="81" t="s">
        <v>224</v>
      </c>
    </row>
    <row r="506" hidden="1">
      <c r="A506" s="83" t="s">
        <v>4949</v>
      </c>
      <c r="B506" s="83" t="s">
        <v>4950</v>
      </c>
      <c r="C506" s="81" t="s">
        <v>4086</v>
      </c>
      <c r="D506" s="83" t="s">
        <v>4289</v>
      </c>
      <c r="E506" s="81" t="s">
        <v>1142</v>
      </c>
      <c r="F506" s="84">
        <v>227.0</v>
      </c>
      <c r="G506" s="81" t="s">
        <v>39</v>
      </c>
      <c r="H506" s="81" t="s">
        <v>5465</v>
      </c>
      <c r="I506" s="81" t="s">
        <v>5466</v>
      </c>
      <c r="J506" s="81" t="s">
        <v>224</v>
      </c>
    </row>
    <row r="507" hidden="1">
      <c r="A507" s="83" t="s">
        <v>4949</v>
      </c>
      <c r="B507" s="83" t="s">
        <v>4950</v>
      </c>
      <c r="C507" s="81" t="s">
        <v>4086</v>
      </c>
      <c r="D507" s="83" t="s">
        <v>4289</v>
      </c>
      <c r="E507" s="81" t="s">
        <v>1142</v>
      </c>
      <c r="F507" s="84">
        <v>227.0</v>
      </c>
      <c r="G507" s="81" t="s">
        <v>40</v>
      </c>
      <c r="H507" s="81" t="s">
        <v>5467</v>
      </c>
      <c r="I507" s="81" t="s">
        <v>5468</v>
      </c>
      <c r="J507" s="81" t="s">
        <v>224</v>
      </c>
    </row>
    <row r="508" hidden="1">
      <c r="A508" s="83" t="s">
        <v>4949</v>
      </c>
      <c r="B508" s="83" t="s">
        <v>4950</v>
      </c>
      <c r="C508" s="81" t="s">
        <v>4086</v>
      </c>
      <c r="D508" s="83" t="s">
        <v>4290</v>
      </c>
      <c r="E508" s="81" t="s">
        <v>1143</v>
      </c>
      <c r="F508" s="84">
        <v>228.0</v>
      </c>
      <c r="G508" s="81" t="s">
        <v>39</v>
      </c>
      <c r="H508" s="81" t="s">
        <v>5469</v>
      </c>
      <c r="I508" s="81" t="s">
        <v>1148</v>
      </c>
      <c r="J508" s="81" t="s">
        <v>224</v>
      </c>
    </row>
    <row r="509" hidden="1">
      <c r="A509" s="83" t="s">
        <v>4949</v>
      </c>
      <c r="B509" s="83" t="s">
        <v>4950</v>
      </c>
      <c r="C509" s="81" t="s">
        <v>4086</v>
      </c>
      <c r="D509" s="83" t="s">
        <v>4290</v>
      </c>
      <c r="E509" s="81" t="s">
        <v>1143</v>
      </c>
      <c r="F509" s="84">
        <v>228.0</v>
      </c>
      <c r="G509" s="81" t="s">
        <v>40</v>
      </c>
      <c r="H509" s="81" t="s">
        <v>5470</v>
      </c>
      <c r="I509" s="81" t="s">
        <v>1149</v>
      </c>
      <c r="J509" s="81" t="s">
        <v>224</v>
      </c>
    </row>
    <row r="510" hidden="1">
      <c r="A510" s="83" t="s">
        <v>4949</v>
      </c>
      <c r="B510" s="83" t="s">
        <v>4950</v>
      </c>
      <c r="C510" s="81" t="s">
        <v>4086</v>
      </c>
      <c r="D510" s="83" t="s">
        <v>4290</v>
      </c>
      <c r="E510" s="81" t="s">
        <v>1153</v>
      </c>
      <c r="F510" s="84">
        <v>229.0</v>
      </c>
      <c r="G510" s="81" t="s">
        <v>39</v>
      </c>
      <c r="H510" s="81" t="s">
        <v>5469</v>
      </c>
      <c r="I510" s="81" t="s">
        <v>1148</v>
      </c>
      <c r="J510" s="81" t="s">
        <v>224</v>
      </c>
    </row>
    <row r="511" hidden="1">
      <c r="A511" s="83" t="s">
        <v>4949</v>
      </c>
      <c r="B511" s="83" t="s">
        <v>4950</v>
      </c>
      <c r="C511" s="81" t="s">
        <v>4086</v>
      </c>
      <c r="D511" s="83" t="s">
        <v>4290</v>
      </c>
      <c r="E511" s="81" t="s">
        <v>1153</v>
      </c>
      <c r="F511" s="84">
        <v>229.0</v>
      </c>
      <c r="G511" s="81" t="s">
        <v>40</v>
      </c>
      <c r="H511" s="81" t="s">
        <v>5470</v>
      </c>
      <c r="I511" s="81" t="s">
        <v>1149</v>
      </c>
      <c r="J511" s="81" t="s">
        <v>224</v>
      </c>
    </row>
    <row r="512" hidden="1">
      <c r="A512" s="83" t="s">
        <v>4949</v>
      </c>
      <c r="B512" s="83" t="s">
        <v>4950</v>
      </c>
      <c r="C512" s="81" t="s">
        <v>4086</v>
      </c>
      <c r="D512" s="83" t="s">
        <v>4291</v>
      </c>
      <c r="E512" s="81" t="s">
        <v>1155</v>
      </c>
      <c r="F512" s="84">
        <v>230.0</v>
      </c>
      <c r="G512" s="81" t="s">
        <v>39</v>
      </c>
      <c r="H512" s="81" t="s">
        <v>5471</v>
      </c>
      <c r="I512" s="81" t="s">
        <v>1156</v>
      </c>
      <c r="J512" s="81" t="s">
        <v>224</v>
      </c>
    </row>
    <row r="513" hidden="1">
      <c r="A513" s="83" t="s">
        <v>4949</v>
      </c>
      <c r="B513" s="83" t="s">
        <v>4950</v>
      </c>
      <c r="C513" s="81" t="s">
        <v>4086</v>
      </c>
      <c r="D513" s="83" t="s">
        <v>4291</v>
      </c>
      <c r="E513" s="81" t="s">
        <v>1155</v>
      </c>
      <c r="F513" s="84">
        <v>230.0</v>
      </c>
      <c r="G513" s="81" t="s">
        <v>40</v>
      </c>
      <c r="H513" s="81" t="s">
        <v>5472</v>
      </c>
      <c r="I513" s="81" t="s">
        <v>1157</v>
      </c>
      <c r="J513" s="81" t="s">
        <v>224</v>
      </c>
    </row>
    <row r="514" hidden="1">
      <c r="A514" s="83" t="s">
        <v>4949</v>
      </c>
      <c r="B514" s="83" t="s">
        <v>4950</v>
      </c>
      <c r="C514" s="81" t="s">
        <v>4086</v>
      </c>
      <c r="D514" s="83" t="s">
        <v>4292</v>
      </c>
      <c r="E514" s="81" t="s">
        <v>1158</v>
      </c>
      <c r="F514" s="84">
        <v>231.0</v>
      </c>
      <c r="G514" s="81" t="s">
        <v>39</v>
      </c>
      <c r="H514" s="81" t="s">
        <v>5473</v>
      </c>
      <c r="I514" s="81" t="s">
        <v>1168</v>
      </c>
      <c r="J514" s="81" t="s">
        <v>224</v>
      </c>
    </row>
    <row r="515" hidden="1">
      <c r="A515" s="83" t="s">
        <v>4949</v>
      </c>
      <c r="B515" s="83" t="s">
        <v>4950</v>
      </c>
      <c r="C515" s="81" t="s">
        <v>4086</v>
      </c>
      <c r="D515" s="83" t="s">
        <v>4292</v>
      </c>
      <c r="E515" s="81" t="s">
        <v>1158</v>
      </c>
      <c r="F515" s="84">
        <v>231.0</v>
      </c>
      <c r="G515" s="81" t="s">
        <v>40</v>
      </c>
      <c r="H515" s="81" t="s">
        <v>5474</v>
      </c>
      <c r="I515" s="81" t="s">
        <v>5475</v>
      </c>
      <c r="J515" s="81" t="s">
        <v>224</v>
      </c>
    </row>
    <row r="516" hidden="1">
      <c r="A516" s="83" t="s">
        <v>4949</v>
      </c>
      <c r="B516" s="83" t="s">
        <v>4950</v>
      </c>
      <c r="C516" s="81" t="s">
        <v>4086</v>
      </c>
      <c r="D516" s="83" t="s">
        <v>4292</v>
      </c>
      <c r="E516" s="81" t="s">
        <v>1175</v>
      </c>
      <c r="F516" s="84">
        <v>232.0</v>
      </c>
      <c r="G516" s="81" t="s">
        <v>39</v>
      </c>
      <c r="H516" s="81" t="s">
        <v>5476</v>
      </c>
      <c r="I516" s="81" t="s">
        <v>1168</v>
      </c>
      <c r="J516" s="81" t="s">
        <v>224</v>
      </c>
    </row>
    <row r="517" hidden="1">
      <c r="A517" s="83" t="s">
        <v>4949</v>
      </c>
      <c r="B517" s="83" t="s">
        <v>4950</v>
      </c>
      <c r="C517" s="81" t="s">
        <v>4086</v>
      </c>
      <c r="D517" s="83" t="s">
        <v>4292</v>
      </c>
      <c r="E517" s="81" t="s">
        <v>1175</v>
      </c>
      <c r="F517" s="84">
        <v>232.0</v>
      </c>
      <c r="G517" s="81" t="s">
        <v>40</v>
      </c>
      <c r="H517" s="81" t="s">
        <v>5477</v>
      </c>
      <c r="I517" s="81" t="s">
        <v>5475</v>
      </c>
      <c r="J517" s="81" t="s">
        <v>224</v>
      </c>
    </row>
    <row r="518" hidden="1">
      <c r="A518" s="83" t="s">
        <v>4949</v>
      </c>
      <c r="B518" s="83" t="s">
        <v>4950</v>
      </c>
      <c r="C518" s="81" t="s">
        <v>4086</v>
      </c>
      <c r="D518" s="83" t="s">
        <v>4294</v>
      </c>
      <c r="E518" s="81" t="s">
        <v>1176</v>
      </c>
      <c r="F518" s="84">
        <v>233.0</v>
      </c>
      <c r="G518" s="81" t="s">
        <v>39</v>
      </c>
      <c r="H518" s="81" t="s">
        <v>5478</v>
      </c>
      <c r="I518" s="81" t="s">
        <v>1178</v>
      </c>
      <c r="J518" s="81" t="s">
        <v>224</v>
      </c>
    </row>
    <row r="519" hidden="1">
      <c r="A519" s="83" t="s">
        <v>4949</v>
      </c>
      <c r="B519" s="83" t="s">
        <v>4950</v>
      </c>
      <c r="C519" s="81" t="s">
        <v>4086</v>
      </c>
      <c r="D519" s="83" t="s">
        <v>4294</v>
      </c>
      <c r="E519" s="81" t="s">
        <v>1176</v>
      </c>
      <c r="F519" s="84">
        <v>233.0</v>
      </c>
      <c r="G519" s="81" t="s">
        <v>40</v>
      </c>
      <c r="H519" s="81" t="s">
        <v>5479</v>
      </c>
      <c r="I519" s="81" t="s">
        <v>5480</v>
      </c>
      <c r="J519" s="81" t="s">
        <v>224</v>
      </c>
    </row>
    <row r="520" hidden="1">
      <c r="A520" s="83" t="s">
        <v>4949</v>
      </c>
      <c r="B520" s="83" t="s">
        <v>4950</v>
      </c>
      <c r="C520" s="81" t="s">
        <v>4086</v>
      </c>
      <c r="D520" s="83" t="s">
        <v>4295</v>
      </c>
      <c r="E520" s="81" t="s">
        <v>1180</v>
      </c>
      <c r="F520" s="84">
        <v>234.0</v>
      </c>
      <c r="G520" s="81" t="s">
        <v>39</v>
      </c>
      <c r="H520" s="81" t="s">
        <v>5481</v>
      </c>
      <c r="I520" s="81" t="s">
        <v>1184</v>
      </c>
      <c r="J520" s="81" t="s">
        <v>224</v>
      </c>
    </row>
    <row r="521" hidden="1">
      <c r="A521" s="83" t="s">
        <v>4949</v>
      </c>
      <c r="B521" s="83" t="s">
        <v>4950</v>
      </c>
      <c r="C521" s="81" t="s">
        <v>4086</v>
      </c>
      <c r="D521" s="83" t="s">
        <v>4295</v>
      </c>
      <c r="E521" s="81" t="s">
        <v>1180</v>
      </c>
      <c r="F521" s="84">
        <v>234.0</v>
      </c>
      <c r="G521" s="81" t="s">
        <v>40</v>
      </c>
      <c r="H521" s="81" t="s">
        <v>5482</v>
      </c>
      <c r="I521" s="81" t="s">
        <v>5483</v>
      </c>
      <c r="J521" s="81" t="s">
        <v>224</v>
      </c>
    </row>
    <row r="522" hidden="1">
      <c r="A522" s="83" t="s">
        <v>4949</v>
      </c>
      <c r="B522" s="83" t="s">
        <v>4950</v>
      </c>
      <c r="C522" s="81" t="s">
        <v>4086</v>
      </c>
      <c r="D522" s="83" t="s">
        <v>4297</v>
      </c>
      <c r="E522" s="81" t="s">
        <v>1191</v>
      </c>
      <c r="F522" s="84">
        <v>235.0</v>
      </c>
      <c r="G522" s="81" t="s">
        <v>39</v>
      </c>
      <c r="H522" s="81" t="s">
        <v>5484</v>
      </c>
      <c r="I522" s="81" t="s">
        <v>1194</v>
      </c>
      <c r="J522" s="81" t="s">
        <v>224</v>
      </c>
    </row>
    <row r="523" hidden="1">
      <c r="A523" s="83" t="s">
        <v>4949</v>
      </c>
      <c r="B523" s="83" t="s">
        <v>4950</v>
      </c>
      <c r="C523" s="81" t="s">
        <v>4086</v>
      </c>
      <c r="D523" s="83" t="s">
        <v>4297</v>
      </c>
      <c r="E523" s="81" t="s">
        <v>1191</v>
      </c>
      <c r="F523" s="84">
        <v>235.0</v>
      </c>
      <c r="G523" s="81" t="s">
        <v>40</v>
      </c>
      <c r="H523" s="81" t="s">
        <v>5485</v>
      </c>
      <c r="I523" s="81" t="s">
        <v>5486</v>
      </c>
      <c r="J523" s="81" t="s">
        <v>224</v>
      </c>
    </row>
    <row r="524" hidden="1">
      <c r="A524" s="83" t="s">
        <v>4949</v>
      </c>
      <c r="B524" s="83" t="s">
        <v>4950</v>
      </c>
      <c r="C524" s="81" t="s">
        <v>4086</v>
      </c>
      <c r="D524" s="83" t="s">
        <v>4297</v>
      </c>
      <c r="E524" s="81" t="s">
        <v>1201</v>
      </c>
      <c r="F524" s="84">
        <v>236.0</v>
      </c>
      <c r="G524" s="81" t="s">
        <v>39</v>
      </c>
      <c r="H524" s="81" t="s">
        <v>5487</v>
      </c>
      <c r="I524" s="81" t="s">
        <v>1194</v>
      </c>
      <c r="J524" s="81" t="s">
        <v>224</v>
      </c>
    </row>
    <row r="525" hidden="1">
      <c r="A525" s="83" t="s">
        <v>4949</v>
      </c>
      <c r="B525" s="83" t="s">
        <v>4950</v>
      </c>
      <c r="C525" s="81" t="s">
        <v>4086</v>
      </c>
      <c r="D525" s="83" t="s">
        <v>4297</v>
      </c>
      <c r="E525" s="81" t="s">
        <v>1201</v>
      </c>
      <c r="F525" s="84">
        <v>236.0</v>
      </c>
      <c r="G525" s="81" t="s">
        <v>40</v>
      </c>
      <c r="H525" s="81" t="s">
        <v>5488</v>
      </c>
      <c r="I525" s="81" t="s">
        <v>5486</v>
      </c>
      <c r="J525" s="81" t="s">
        <v>224</v>
      </c>
    </row>
    <row r="526" hidden="1">
      <c r="A526" s="83" t="s">
        <v>4949</v>
      </c>
      <c r="B526" s="83" t="s">
        <v>4950</v>
      </c>
      <c r="C526" s="81" t="s">
        <v>4086</v>
      </c>
      <c r="D526" s="83" t="s">
        <v>4298</v>
      </c>
      <c r="E526" s="81" t="s">
        <v>1202</v>
      </c>
      <c r="F526" s="84">
        <v>237.0</v>
      </c>
      <c r="G526" s="81" t="s">
        <v>39</v>
      </c>
      <c r="H526" s="81" t="s">
        <v>5489</v>
      </c>
      <c r="I526" s="81" t="s">
        <v>1205</v>
      </c>
      <c r="J526" s="81" t="s">
        <v>224</v>
      </c>
    </row>
    <row r="527" hidden="1">
      <c r="A527" s="83" t="s">
        <v>4949</v>
      </c>
      <c r="B527" s="83" t="s">
        <v>4950</v>
      </c>
      <c r="C527" s="81" t="s">
        <v>4086</v>
      </c>
      <c r="D527" s="83" t="s">
        <v>4298</v>
      </c>
      <c r="E527" s="81" t="s">
        <v>1202</v>
      </c>
      <c r="F527" s="84">
        <v>237.0</v>
      </c>
      <c r="G527" s="81" t="s">
        <v>40</v>
      </c>
      <c r="H527" s="81" t="s">
        <v>5490</v>
      </c>
      <c r="I527" s="81" t="s">
        <v>1206</v>
      </c>
      <c r="J527" s="81" t="s">
        <v>224</v>
      </c>
    </row>
    <row r="528" hidden="1">
      <c r="A528" s="83" t="s">
        <v>4949</v>
      </c>
      <c r="B528" s="83" t="s">
        <v>4950</v>
      </c>
      <c r="C528" s="81" t="s">
        <v>4086</v>
      </c>
      <c r="D528" s="83" t="s">
        <v>4298</v>
      </c>
      <c r="E528" s="81" t="s">
        <v>1210</v>
      </c>
      <c r="F528" s="84">
        <v>238.0</v>
      </c>
      <c r="G528" s="81" t="s">
        <v>39</v>
      </c>
      <c r="H528" s="81" t="s">
        <v>5489</v>
      </c>
      <c r="I528" s="81" t="s">
        <v>1205</v>
      </c>
      <c r="J528" s="81" t="s">
        <v>224</v>
      </c>
    </row>
    <row r="529" hidden="1">
      <c r="A529" s="83" t="s">
        <v>4949</v>
      </c>
      <c r="B529" s="83" t="s">
        <v>4950</v>
      </c>
      <c r="C529" s="81" t="s">
        <v>4086</v>
      </c>
      <c r="D529" s="83" t="s">
        <v>4298</v>
      </c>
      <c r="E529" s="81" t="s">
        <v>1210</v>
      </c>
      <c r="F529" s="84">
        <v>238.0</v>
      </c>
      <c r="G529" s="81" t="s">
        <v>40</v>
      </c>
      <c r="H529" s="81" t="s">
        <v>5491</v>
      </c>
      <c r="I529" s="81" t="s">
        <v>1206</v>
      </c>
      <c r="J529" s="81" t="s">
        <v>224</v>
      </c>
    </row>
    <row r="530" hidden="1">
      <c r="A530" s="83" t="s">
        <v>4949</v>
      </c>
      <c r="B530" s="83" t="s">
        <v>4950</v>
      </c>
      <c r="C530" s="81" t="s">
        <v>4086</v>
      </c>
      <c r="D530" s="83" t="s">
        <v>4300</v>
      </c>
      <c r="E530" s="81" t="s">
        <v>1211</v>
      </c>
      <c r="F530" s="84">
        <v>239.0</v>
      </c>
      <c r="G530" s="81" t="s">
        <v>40</v>
      </c>
      <c r="H530" s="81" t="s">
        <v>5492</v>
      </c>
      <c r="I530" s="81" t="s">
        <v>1213</v>
      </c>
      <c r="J530" s="81" t="s">
        <v>224</v>
      </c>
    </row>
    <row r="531" hidden="1">
      <c r="A531" s="83" t="s">
        <v>4949</v>
      </c>
      <c r="B531" s="83" t="s">
        <v>4950</v>
      </c>
      <c r="C531" s="81" t="s">
        <v>4086</v>
      </c>
      <c r="D531" s="83" t="s">
        <v>4301</v>
      </c>
      <c r="E531" s="81" t="s">
        <v>1214</v>
      </c>
      <c r="F531" s="84">
        <v>240.0</v>
      </c>
      <c r="G531" s="81" t="s">
        <v>39</v>
      </c>
      <c r="H531" s="81" t="s">
        <v>5493</v>
      </c>
      <c r="I531" s="81" t="s">
        <v>1216</v>
      </c>
      <c r="J531" s="81" t="s">
        <v>224</v>
      </c>
    </row>
    <row r="532" hidden="1">
      <c r="A532" s="83" t="s">
        <v>4949</v>
      </c>
      <c r="B532" s="83" t="s">
        <v>4950</v>
      </c>
      <c r="C532" s="81" t="s">
        <v>4086</v>
      </c>
      <c r="D532" s="83" t="s">
        <v>4301</v>
      </c>
      <c r="E532" s="81" t="s">
        <v>1214</v>
      </c>
      <c r="F532" s="84">
        <v>240.0</v>
      </c>
      <c r="G532" s="81" t="s">
        <v>40</v>
      </c>
      <c r="H532" s="81" t="s">
        <v>5494</v>
      </c>
      <c r="I532" s="81" t="s">
        <v>1217</v>
      </c>
      <c r="J532" s="81" t="s">
        <v>224</v>
      </c>
    </row>
    <row r="533" hidden="1">
      <c r="A533" s="83" t="s">
        <v>4949</v>
      </c>
      <c r="B533" s="83" t="s">
        <v>4950</v>
      </c>
      <c r="C533" s="81" t="s">
        <v>4086</v>
      </c>
      <c r="D533" s="83" t="s">
        <v>4301</v>
      </c>
      <c r="E533" s="81" t="s">
        <v>1221</v>
      </c>
      <c r="F533" s="84">
        <v>241.0</v>
      </c>
      <c r="G533" s="81" t="s">
        <v>39</v>
      </c>
      <c r="H533" s="81" t="s">
        <v>5493</v>
      </c>
      <c r="I533" s="81" t="s">
        <v>1216</v>
      </c>
      <c r="J533" s="81" t="s">
        <v>224</v>
      </c>
    </row>
    <row r="534" hidden="1">
      <c r="A534" s="83" t="s">
        <v>4949</v>
      </c>
      <c r="B534" s="83" t="s">
        <v>4950</v>
      </c>
      <c r="C534" s="81" t="s">
        <v>4086</v>
      </c>
      <c r="D534" s="83" t="s">
        <v>4301</v>
      </c>
      <c r="E534" s="81" t="s">
        <v>1221</v>
      </c>
      <c r="F534" s="84">
        <v>241.0</v>
      </c>
      <c r="G534" s="81" t="s">
        <v>40</v>
      </c>
      <c r="H534" s="81" t="s">
        <v>5494</v>
      </c>
      <c r="I534" s="81" t="s">
        <v>1217</v>
      </c>
      <c r="J534" s="81" t="s">
        <v>224</v>
      </c>
    </row>
    <row r="535" hidden="1">
      <c r="A535" s="83" t="s">
        <v>4949</v>
      </c>
      <c r="B535" s="83" t="s">
        <v>4950</v>
      </c>
      <c r="C535" s="81" t="s">
        <v>4086</v>
      </c>
      <c r="D535" s="83" t="s">
        <v>4303</v>
      </c>
      <c r="E535" s="81" t="s">
        <v>1222</v>
      </c>
      <c r="F535" s="84">
        <v>242.0</v>
      </c>
      <c r="G535" s="81" t="s">
        <v>39</v>
      </c>
      <c r="H535" s="81" t="s">
        <v>5495</v>
      </c>
      <c r="I535" s="81" t="s">
        <v>1223</v>
      </c>
      <c r="J535" s="81" t="s">
        <v>224</v>
      </c>
    </row>
    <row r="536" hidden="1">
      <c r="A536" s="83" t="s">
        <v>4949</v>
      </c>
      <c r="B536" s="83" t="s">
        <v>4950</v>
      </c>
      <c r="C536" s="81" t="s">
        <v>4086</v>
      </c>
      <c r="D536" s="83" t="s">
        <v>4303</v>
      </c>
      <c r="E536" s="81" t="s">
        <v>1222</v>
      </c>
      <c r="F536" s="84">
        <v>242.0</v>
      </c>
      <c r="G536" s="81" t="s">
        <v>40</v>
      </c>
      <c r="H536" s="81" t="s">
        <v>5496</v>
      </c>
      <c r="I536" s="81" t="s">
        <v>1224</v>
      </c>
      <c r="J536" s="81" t="s">
        <v>224</v>
      </c>
    </row>
    <row r="537" hidden="1">
      <c r="A537" s="83" t="s">
        <v>4949</v>
      </c>
      <c r="B537" s="83" t="s">
        <v>4950</v>
      </c>
      <c r="C537" s="81" t="s">
        <v>4086</v>
      </c>
      <c r="D537" s="83" t="s">
        <v>4304</v>
      </c>
      <c r="E537" s="81" t="s">
        <v>1225</v>
      </c>
      <c r="F537" s="84">
        <v>243.0</v>
      </c>
      <c r="G537" s="81" t="s">
        <v>39</v>
      </c>
      <c r="H537" s="81" t="s">
        <v>5497</v>
      </c>
      <c r="I537" s="81" t="s">
        <v>1227</v>
      </c>
      <c r="J537" s="81" t="s">
        <v>224</v>
      </c>
    </row>
    <row r="538" hidden="1">
      <c r="A538" s="83" t="s">
        <v>4949</v>
      </c>
      <c r="B538" s="83" t="s">
        <v>4950</v>
      </c>
      <c r="C538" s="81" t="s">
        <v>4086</v>
      </c>
      <c r="D538" s="83" t="s">
        <v>4304</v>
      </c>
      <c r="E538" s="81" t="s">
        <v>1225</v>
      </c>
      <c r="F538" s="84">
        <v>243.0</v>
      </c>
      <c r="G538" s="81" t="s">
        <v>40</v>
      </c>
      <c r="H538" s="81" t="s">
        <v>5498</v>
      </c>
      <c r="I538" s="81" t="s">
        <v>1228</v>
      </c>
      <c r="J538" s="81" t="s">
        <v>224</v>
      </c>
    </row>
    <row r="539" hidden="1">
      <c r="A539" s="83" t="s">
        <v>4949</v>
      </c>
      <c r="B539" s="83" t="s">
        <v>4950</v>
      </c>
      <c r="C539" s="81" t="s">
        <v>4086</v>
      </c>
      <c r="D539" s="83" t="s">
        <v>4304</v>
      </c>
      <c r="E539" s="81" t="s">
        <v>1232</v>
      </c>
      <c r="F539" s="84">
        <v>244.0</v>
      </c>
      <c r="G539" s="81" t="s">
        <v>39</v>
      </c>
      <c r="H539" s="81" t="s">
        <v>5497</v>
      </c>
      <c r="I539" s="81" t="s">
        <v>1227</v>
      </c>
      <c r="J539" s="81" t="s">
        <v>224</v>
      </c>
    </row>
    <row r="540" hidden="1">
      <c r="A540" s="83" t="s">
        <v>4949</v>
      </c>
      <c r="B540" s="83" t="s">
        <v>4950</v>
      </c>
      <c r="C540" s="81" t="s">
        <v>4086</v>
      </c>
      <c r="D540" s="83" t="s">
        <v>4304</v>
      </c>
      <c r="E540" s="81" t="s">
        <v>1232</v>
      </c>
      <c r="F540" s="84">
        <v>244.0</v>
      </c>
      <c r="G540" s="81" t="s">
        <v>40</v>
      </c>
      <c r="H540" s="81" t="s">
        <v>5498</v>
      </c>
      <c r="I540" s="81" t="s">
        <v>1228</v>
      </c>
      <c r="J540" s="81" t="s">
        <v>224</v>
      </c>
    </row>
    <row r="541" hidden="1">
      <c r="A541" s="83" t="s">
        <v>4949</v>
      </c>
      <c r="B541" s="83" t="s">
        <v>4950</v>
      </c>
      <c r="C541" s="81" t="s">
        <v>4086</v>
      </c>
      <c r="D541" s="83" t="s">
        <v>4305</v>
      </c>
      <c r="E541" s="81" t="s">
        <v>1234</v>
      </c>
      <c r="F541" s="84">
        <v>245.0</v>
      </c>
      <c r="G541" s="81" t="s">
        <v>39</v>
      </c>
      <c r="H541" s="81" t="s">
        <v>5499</v>
      </c>
      <c r="I541" s="81" t="s">
        <v>1235</v>
      </c>
      <c r="J541" s="81" t="s">
        <v>224</v>
      </c>
    </row>
    <row r="542" hidden="1">
      <c r="A542" s="83" t="s">
        <v>4949</v>
      </c>
      <c r="B542" s="83" t="s">
        <v>4950</v>
      </c>
      <c r="C542" s="81" t="s">
        <v>4086</v>
      </c>
      <c r="D542" s="83" t="s">
        <v>4305</v>
      </c>
      <c r="E542" s="81" t="s">
        <v>1234</v>
      </c>
      <c r="F542" s="84">
        <v>245.0</v>
      </c>
      <c r="G542" s="81" t="s">
        <v>40</v>
      </c>
      <c r="H542" s="81" t="s">
        <v>5500</v>
      </c>
      <c r="I542" s="81" t="s">
        <v>1236</v>
      </c>
      <c r="J542" s="81" t="s">
        <v>224</v>
      </c>
    </row>
    <row r="543" hidden="1">
      <c r="A543" s="83" t="s">
        <v>4949</v>
      </c>
      <c r="B543" s="83" t="s">
        <v>4950</v>
      </c>
      <c r="C543" s="81" t="s">
        <v>4086</v>
      </c>
      <c r="D543" s="83" t="s">
        <v>4306</v>
      </c>
      <c r="E543" s="81" t="s">
        <v>1237</v>
      </c>
      <c r="F543" s="84">
        <v>246.0</v>
      </c>
      <c r="G543" s="81" t="s">
        <v>39</v>
      </c>
      <c r="H543" s="81" t="s">
        <v>5501</v>
      </c>
      <c r="I543" s="81" t="s">
        <v>1244</v>
      </c>
      <c r="J543" s="81" t="s">
        <v>224</v>
      </c>
    </row>
    <row r="544" hidden="1">
      <c r="A544" s="83" t="s">
        <v>4949</v>
      </c>
      <c r="B544" s="83" t="s">
        <v>4950</v>
      </c>
      <c r="C544" s="81" t="s">
        <v>4086</v>
      </c>
      <c r="D544" s="83" t="s">
        <v>4306</v>
      </c>
      <c r="E544" s="81" t="s">
        <v>1237</v>
      </c>
      <c r="F544" s="84">
        <v>246.0</v>
      </c>
      <c r="G544" s="81" t="s">
        <v>40</v>
      </c>
      <c r="H544" s="81" t="s">
        <v>5502</v>
      </c>
      <c r="I544" s="81" t="s">
        <v>1245</v>
      </c>
      <c r="J544" s="81" t="s">
        <v>224</v>
      </c>
    </row>
    <row r="545" hidden="1">
      <c r="A545" s="83" t="s">
        <v>4949</v>
      </c>
      <c r="B545" s="83" t="s">
        <v>4950</v>
      </c>
      <c r="C545" s="81" t="s">
        <v>4086</v>
      </c>
      <c r="D545" s="83" t="s">
        <v>4308</v>
      </c>
      <c r="E545" s="81" t="s">
        <v>1247</v>
      </c>
      <c r="F545" s="84">
        <v>247.0</v>
      </c>
      <c r="G545" s="81" t="s">
        <v>39</v>
      </c>
      <c r="H545" s="81" t="s">
        <v>5503</v>
      </c>
      <c r="I545" s="81" t="s">
        <v>1249</v>
      </c>
      <c r="J545" s="81" t="s">
        <v>224</v>
      </c>
    </row>
    <row r="546" hidden="1">
      <c r="A546" s="83" t="s">
        <v>4949</v>
      </c>
      <c r="B546" s="83" t="s">
        <v>4950</v>
      </c>
      <c r="C546" s="81" t="s">
        <v>4086</v>
      </c>
      <c r="D546" s="83" t="s">
        <v>4308</v>
      </c>
      <c r="E546" s="81" t="s">
        <v>1247</v>
      </c>
      <c r="F546" s="84">
        <v>247.0</v>
      </c>
      <c r="G546" s="81" t="s">
        <v>40</v>
      </c>
      <c r="H546" s="81" t="s">
        <v>5504</v>
      </c>
      <c r="I546" s="81" t="s">
        <v>1250</v>
      </c>
      <c r="J546" s="81" t="s">
        <v>224</v>
      </c>
    </row>
    <row r="547" hidden="1">
      <c r="A547" s="83" t="s">
        <v>4949</v>
      </c>
      <c r="B547" s="83" t="s">
        <v>4950</v>
      </c>
      <c r="C547" s="81" t="s">
        <v>4086</v>
      </c>
      <c r="D547" s="83" t="s">
        <v>4309</v>
      </c>
      <c r="E547" s="81" t="s">
        <v>1251</v>
      </c>
      <c r="F547" s="84">
        <v>248.0</v>
      </c>
      <c r="G547" s="81" t="s">
        <v>39</v>
      </c>
      <c r="H547" s="81" t="s">
        <v>5505</v>
      </c>
      <c r="I547" s="81" t="s">
        <v>1260</v>
      </c>
      <c r="J547" s="81" t="s">
        <v>224</v>
      </c>
    </row>
    <row r="548" hidden="1">
      <c r="A548" s="83" t="s">
        <v>4949</v>
      </c>
      <c r="B548" s="83" t="s">
        <v>4950</v>
      </c>
      <c r="C548" s="81" t="s">
        <v>4086</v>
      </c>
      <c r="D548" s="83" t="s">
        <v>4309</v>
      </c>
      <c r="E548" s="81" t="s">
        <v>1251</v>
      </c>
      <c r="F548" s="84">
        <v>248.0</v>
      </c>
      <c r="G548" s="81" t="s">
        <v>40</v>
      </c>
      <c r="H548" s="81" t="s">
        <v>5506</v>
      </c>
      <c r="I548" s="81" t="s">
        <v>5507</v>
      </c>
      <c r="J548" s="81" t="s">
        <v>224</v>
      </c>
    </row>
    <row r="549" hidden="1">
      <c r="A549" s="83" t="s">
        <v>4949</v>
      </c>
      <c r="B549" s="83" t="s">
        <v>4950</v>
      </c>
      <c r="C549" s="81" t="s">
        <v>4086</v>
      </c>
      <c r="D549" s="83" t="s">
        <v>4309</v>
      </c>
      <c r="E549" s="81" t="s">
        <v>1267</v>
      </c>
      <c r="F549" s="84">
        <v>249.0</v>
      </c>
      <c r="G549" s="81" t="s">
        <v>40</v>
      </c>
      <c r="H549" s="81" t="s">
        <v>5508</v>
      </c>
      <c r="I549" s="81" t="s">
        <v>5507</v>
      </c>
      <c r="J549" s="81" t="s">
        <v>224</v>
      </c>
    </row>
    <row r="550" hidden="1">
      <c r="A550" s="83" t="s">
        <v>4949</v>
      </c>
      <c r="B550" s="83" t="s">
        <v>4950</v>
      </c>
      <c r="C550" s="81" t="s">
        <v>4086</v>
      </c>
      <c r="D550" s="83" t="s">
        <v>4310</v>
      </c>
      <c r="E550" s="81" t="s">
        <v>1268</v>
      </c>
      <c r="F550" s="84">
        <v>250.0</v>
      </c>
      <c r="G550" s="81" t="s">
        <v>40</v>
      </c>
      <c r="H550" s="81" t="s">
        <v>5509</v>
      </c>
      <c r="I550" s="81" t="s">
        <v>1270</v>
      </c>
      <c r="J550" s="81" t="s">
        <v>224</v>
      </c>
    </row>
    <row r="551" hidden="1">
      <c r="A551" s="83" t="s">
        <v>4949</v>
      </c>
      <c r="B551" s="83" t="s">
        <v>4950</v>
      </c>
      <c r="C551" s="81" t="s">
        <v>4086</v>
      </c>
      <c r="D551" s="83" t="s">
        <v>4311</v>
      </c>
      <c r="E551" s="81" t="s">
        <v>1271</v>
      </c>
      <c r="F551" s="84">
        <v>251.0</v>
      </c>
      <c r="G551" s="81" t="s">
        <v>39</v>
      </c>
      <c r="H551" s="81" t="s">
        <v>5510</v>
      </c>
      <c r="I551" s="81" t="s">
        <v>1278</v>
      </c>
      <c r="J551" s="81" t="s">
        <v>224</v>
      </c>
    </row>
    <row r="552" hidden="1">
      <c r="A552" s="83" t="s">
        <v>4949</v>
      </c>
      <c r="B552" s="83" t="s">
        <v>4950</v>
      </c>
      <c r="C552" s="81" t="s">
        <v>4086</v>
      </c>
      <c r="D552" s="83" t="s">
        <v>4311</v>
      </c>
      <c r="E552" s="81" t="s">
        <v>1271</v>
      </c>
      <c r="F552" s="84">
        <v>251.0</v>
      </c>
      <c r="G552" s="81" t="s">
        <v>40</v>
      </c>
      <c r="H552" s="81" t="s">
        <v>5511</v>
      </c>
      <c r="I552" s="81" t="s">
        <v>1279</v>
      </c>
      <c r="J552" s="81" t="s">
        <v>224</v>
      </c>
    </row>
    <row r="553" hidden="1">
      <c r="A553" s="83" t="s">
        <v>4949</v>
      </c>
      <c r="B553" s="83" t="s">
        <v>4950</v>
      </c>
      <c r="C553" s="81" t="s">
        <v>4086</v>
      </c>
      <c r="D553" s="83" t="s">
        <v>4311</v>
      </c>
      <c r="E553" s="81" t="s">
        <v>1285</v>
      </c>
      <c r="F553" s="84">
        <v>252.0</v>
      </c>
      <c r="G553" s="81" t="s">
        <v>40</v>
      </c>
      <c r="H553" s="81" t="s">
        <v>5511</v>
      </c>
      <c r="I553" s="81" t="s">
        <v>1279</v>
      </c>
      <c r="J553" s="81" t="s">
        <v>224</v>
      </c>
    </row>
    <row r="554" hidden="1">
      <c r="A554" s="83" t="s">
        <v>4949</v>
      </c>
      <c r="B554" s="83" t="s">
        <v>4950</v>
      </c>
      <c r="C554" s="81" t="s">
        <v>4086</v>
      </c>
      <c r="D554" s="83" t="s">
        <v>4313</v>
      </c>
      <c r="E554" s="81" t="s">
        <v>1286</v>
      </c>
      <c r="F554" s="84">
        <v>253.0</v>
      </c>
      <c r="G554" s="81" t="s">
        <v>40</v>
      </c>
      <c r="H554" s="81" t="s">
        <v>5512</v>
      </c>
      <c r="I554" s="81" t="s">
        <v>1288</v>
      </c>
      <c r="J554" s="81" t="s">
        <v>224</v>
      </c>
    </row>
    <row r="555" hidden="1">
      <c r="A555" s="83" t="s">
        <v>4949</v>
      </c>
      <c r="B555" s="83" t="s">
        <v>4950</v>
      </c>
      <c r="C555" s="81" t="s">
        <v>4086</v>
      </c>
      <c r="D555" s="83" t="s">
        <v>4315</v>
      </c>
      <c r="E555" s="81" t="s">
        <v>1297</v>
      </c>
      <c r="F555" s="84">
        <v>255.0</v>
      </c>
      <c r="G555" s="81" t="s">
        <v>39</v>
      </c>
      <c r="H555" s="81" t="s">
        <v>5513</v>
      </c>
      <c r="I555" s="81" t="s">
        <v>1306</v>
      </c>
      <c r="J555" s="81" t="s">
        <v>224</v>
      </c>
    </row>
    <row r="556" hidden="1">
      <c r="A556" s="83" t="s">
        <v>4949</v>
      </c>
      <c r="B556" s="83" t="s">
        <v>4950</v>
      </c>
      <c r="C556" s="81" t="s">
        <v>4086</v>
      </c>
      <c r="D556" s="83" t="s">
        <v>4315</v>
      </c>
      <c r="E556" s="81" t="s">
        <v>1297</v>
      </c>
      <c r="F556" s="84">
        <v>255.0</v>
      </c>
      <c r="G556" s="81" t="s">
        <v>40</v>
      </c>
      <c r="H556" s="81" t="s">
        <v>5514</v>
      </c>
      <c r="I556" s="81" t="s">
        <v>1307</v>
      </c>
      <c r="J556" s="81" t="s">
        <v>224</v>
      </c>
    </row>
    <row r="557" hidden="1">
      <c r="A557" s="83" t="s">
        <v>4949</v>
      </c>
      <c r="B557" s="83" t="s">
        <v>4950</v>
      </c>
      <c r="C557" s="81" t="s">
        <v>4082</v>
      </c>
      <c r="D557" s="83" t="s">
        <v>4316</v>
      </c>
      <c r="E557" s="81" t="s">
        <v>1313</v>
      </c>
      <c r="F557" s="84">
        <v>256.0</v>
      </c>
      <c r="G557" s="81" t="s">
        <v>39</v>
      </c>
      <c r="H557" s="81" t="s">
        <v>224</v>
      </c>
      <c r="I557" s="81" t="s">
        <v>224</v>
      </c>
      <c r="J557" s="81" t="s">
        <v>5515</v>
      </c>
    </row>
    <row r="558" hidden="1">
      <c r="A558" s="83" t="s">
        <v>4949</v>
      </c>
      <c r="B558" s="83" t="s">
        <v>4950</v>
      </c>
      <c r="C558" s="81" t="s">
        <v>5141</v>
      </c>
      <c r="D558" s="83" t="s">
        <v>4316</v>
      </c>
      <c r="E558" s="81" t="s">
        <v>1313</v>
      </c>
      <c r="F558" s="84">
        <v>256.0</v>
      </c>
      <c r="G558" s="81" t="s">
        <v>39</v>
      </c>
      <c r="H558" s="81" t="s">
        <v>5516</v>
      </c>
      <c r="I558" s="81" t="s">
        <v>224</v>
      </c>
      <c r="J558" s="81" t="s">
        <v>5143</v>
      </c>
    </row>
    <row r="559" hidden="1">
      <c r="A559" s="83" t="s">
        <v>4949</v>
      </c>
      <c r="B559" s="83" t="s">
        <v>4950</v>
      </c>
      <c r="C559" s="81" t="s">
        <v>4086</v>
      </c>
      <c r="D559" s="83" t="s">
        <v>4316</v>
      </c>
      <c r="E559" s="81" t="s">
        <v>1313</v>
      </c>
      <c r="F559" s="84">
        <v>256.0</v>
      </c>
      <c r="G559" s="81" t="s">
        <v>40</v>
      </c>
      <c r="H559" s="81" t="s">
        <v>5517</v>
      </c>
      <c r="I559" s="81" t="s">
        <v>1319</v>
      </c>
      <c r="J559" s="81" t="s">
        <v>224</v>
      </c>
    </row>
    <row r="560" hidden="1">
      <c r="A560" s="83" t="s">
        <v>4949</v>
      </c>
      <c r="B560" s="83" t="s">
        <v>4950</v>
      </c>
      <c r="C560" s="81" t="s">
        <v>4086</v>
      </c>
      <c r="D560" s="83" t="s">
        <v>4317</v>
      </c>
      <c r="E560" s="81" t="s">
        <v>1325</v>
      </c>
      <c r="F560" s="84">
        <v>257.0</v>
      </c>
      <c r="G560" s="81" t="s">
        <v>40</v>
      </c>
      <c r="H560" s="81" t="s">
        <v>5518</v>
      </c>
      <c r="I560" s="81" t="s">
        <v>5519</v>
      </c>
      <c r="J560" s="81" t="s">
        <v>224</v>
      </c>
    </row>
    <row r="561" hidden="1">
      <c r="A561" s="83" t="s">
        <v>4949</v>
      </c>
      <c r="B561" s="83" t="s">
        <v>4950</v>
      </c>
      <c r="C561" s="81" t="s">
        <v>4086</v>
      </c>
      <c r="D561" s="83" t="s">
        <v>4318</v>
      </c>
      <c r="E561" s="81" t="s">
        <v>1336</v>
      </c>
      <c r="F561" s="84">
        <v>258.0</v>
      </c>
      <c r="G561" s="81" t="s">
        <v>40</v>
      </c>
      <c r="H561" s="81" t="s">
        <v>5520</v>
      </c>
      <c r="I561" s="81" t="s">
        <v>1344</v>
      </c>
      <c r="J561" s="81" t="s">
        <v>224</v>
      </c>
    </row>
    <row r="562" hidden="1">
      <c r="A562" s="83" t="s">
        <v>4949</v>
      </c>
      <c r="B562" s="83" t="s">
        <v>4950</v>
      </c>
      <c r="C562" s="81" t="s">
        <v>4086</v>
      </c>
      <c r="D562" s="83" t="s">
        <v>4319</v>
      </c>
      <c r="E562" s="81" t="s">
        <v>1350</v>
      </c>
      <c r="F562" s="84">
        <v>259.0</v>
      </c>
      <c r="G562" s="81" t="s">
        <v>39</v>
      </c>
      <c r="H562" s="81" t="s">
        <v>5521</v>
      </c>
      <c r="I562" s="81" t="s">
        <v>1353</v>
      </c>
      <c r="J562" s="81" t="s">
        <v>224</v>
      </c>
    </row>
    <row r="563" hidden="1">
      <c r="A563" s="83" t="s">
        <v>4949</v>
      </c>
      <c r="B563" s="83" t="s">
        <v>4950</v>
      </c>
      <c r="C563" s="81" t="s">
        <v>4086</v>
      </c>
      <c r="D563" s="83" t="s">
        <v>4319</v>
      </c>
      <c r="E563" s="81" t="s">
        <v>1350</v>
      </c>
      <c r="F563" s="84">
        <v>259.0</v>
      </c>
      <c r="G563" s="81" t="s">
        <v>40</v>
      </c>
      <c r="H563" s="81" t="s">
        <v>5522</v>
      </c>
      <c r="I563" s="81" t="s">
        <v>1354</v>
      </c>
      <c r="J563" s="81" t="s">
        <v>224</v>
      </c>
    </row>
    <row r="564" hidden="1">
      <c r="A564" s="83" t="s">
        <v>4949</v>
      </c>
      <c r="B564" s="83" t="s">
        <v>4950</v>
      </c>
      <c r="C564" s="81" t="s">
        <v>4082</v>
      </c>
      <c r="D564" s="83" t="s">
        <v>4320</v>
      </c>
      <c r="E564" s="81" t="s">
        <v>1357</v>
      </c>
      <c r="F564" s="84">
        <v>260.0</v>
      </c>
      <c r="G564" s="81" t="s">
        <v>39</v>
      </c>
      <c r="H564" s="81" t="s">
        <v>224</v>
      </c>
      <c r="I564" s="81" t="s">
        <v>224</v>
      </c>
      <c r="J564" s="81" t="s">
        <v>5523</v>
      </c>
    </row>
    <row r="565" hidden="1">
      <c r="A565" s="83" t="s">
        <v>4949</v>
      </c>
      <c r="B565" s="83" t="s">
        <v>4950</v>
      </c>
      <c r="C565" s="81" t="s">
        <v>5141</v>
      </c>
      <c r="D565" s="83" t="s">
        <v>4320</v>
      </c>
      <c r="E565" s="81" t="s">
        <v>1357</v>
      </c>
      <c r="F565" s="84">
        <v>260.0</v>
      </c>
      <c r="G565" s="81" t="s">
        <v>39</v>
      </c>
      <c r="H565" s="81" t="s">
        <v>5524</v>
      </c>
      <c r="I565" s="81" t="s">
        <v>224</v>
      </c>
      <c r="J565" s="81" t="s">
        <v>5143</v>
      </c>
    </row>
    <row r="566" hidden="1">
      <c r="A566" s="83" t="s">
        <v>4949</v>
      </c>
      <c r="B566" s="83" t="s">
        <v>4950</v>
      </c>
      <c r="C566" s="81" t="s">
        <v>4086</v>
      </c>
      <c r="D566" s="83" t="s">
        <v>4320</v>
      </c>
      <c r="E566" s="81" t="s">
        <v>1357</v>
      </c>
      <c r="F566" s="84">
        <v>260.0</v>
      </c>
      <c r="G566" s="81" t="s">
        <v>40</v>
      </c>
      <c r="H566" s="81" t="s">
        <v>5525</v>
      </c>
      <c r="I566" s="81" t="s">
        <v>5526</v>
      </c>
      <c r="J566" s="81" t="s">
        <v>224</v>
      </c>
    </row>
    <row r="567" hidden="1">
      <c r="A567" s="83" t="s">
        <v>4949</v>
      </c>
      <c r="B567" s="83" t="s">
        <v>4950</v>
      </c>
      <c r="C567" s="81" t="s">
        <v>5141</v>
      </c>
      <c r="D567" s="83" t="s">
        <v>4320</v>
      </c>
      <c r="E567" s="81" t="s">
        <v>1365</v>
      </c>
      <c r="F567" s="84">
        <v>261.0</v>
      </c>
      <c r="G567" s="81" t="s">
        <v>39</v>
      </c>
      <c r="H567" s="81" t="s">
        <v>5524</v>
      </c>
      <c r="I567" s="81" t="s">
        <v>224</v>
      </c>
      <c r="J567" s="81" t="s">
        <v>5143</v>
      </c>
    </row>
    <row r="568" hidden="1">
      <c r="A568" s="83" t="s">
        <v>4949</v>
      </c>
      <c r="B568" s="83" t="s">
        <v>4950</v>
      </c>
      <c r="C568" s="81" t="s">
        <v>4086</v>
      </c>
      <c r="D568" s="83" t="s">
        <v>4320</v>
      </c>
      <c r="E568" s="81" t="s">
        <v>1365</v>
      </c>
      <c r="F568" s="84">
        <v>261.0</v>
      </c>
      <c r="G568" s="81" t="s">
        <v>40</v>
      </c>
      <c r="H568" s="81" t="s">
        <v>5525</v>
      </c>
      <c r="I568" s="81" t="s">
        <v>5526</v>
      </c>
      <c r="J568" s="81" t="s">
        <v>224</v>
      </c>
    </row>
    <row r="569" hidden="1">
      <c r="A569" s="83" t="s">
        <v>4949</v>
      </c>
      <c r="B569" s="83" t="s">
        <v>4950</v>
      </c>
      <c r="C569" s="81" t="s">
        <v>4082</v>
      </c>
      <c r="D569" s="83" t="s">
        <v>4322</v>
      </c>
      <c r="E569" s="81" t="s">
        <v>1367</v>
      </c>
      <c r="F569" s="84">
        <v>262.0</v>
      </c>
      <c r="G569" s="81" t="s">
        <v>39</v>
      </c>
      <c r="H569" s="81" t="s">
        <v>224</v>
      </c>
      <c r="I569" s="81" t="s">
        <v>224</v>
      </c>
      <c r="J569" s="81" t="s">
        <v>5527</v>
      </c>
    </row>
    <row r="570" hidden="1">
      <c r="A570" s="83" t="s">
        <v>4949</v>
      </c>
      <c r="B570" s="83" t="s">
        <v>4950</v>
      </c>
      <c r="C570" s="81" t="s">
        <v>5141</v>
      </c>
      <c r="D570" s="83" t="s">
        <v>4322</v>
      </c>
      <c r="E570" s="81" t="s">
        <v>1367</v>
      </c>
      <c r="F570" s="84">
        <v>262.0</v>
      </c>
      <c r="G570" s="81" t="s">
        <v>39</v>
      </c>
      <c r="H570" s="81" t="s">
        <v>5528</v>
      </c>
      <c r="I570" s="81" t="s">
        <v>224</v>
      </c>
      <c r="J570" s="81" t="s">
        <v>5143</v>
      </c>
    </row>
    <row r="571" hidden="1">
      <c r="A571" s="83" t="s">
        <v>4949</v>
      </c>
      <c r="B571" s="83" t="s">
        <v>4950</v>
      </c>
      <c r="C571" s="81" t="s">
        <v>4086</v>
      </c>
      <c r="D571" s="83" t="s">
        <v>4322</v>
      </c>
      <c r="E571" s="81" t="s">
        <v>1367</v>
      </c>
      <c r="F571" s="84">
        <v>262.0</v>
      </c>
      <c r="G571" s="81" t="s">
        <v>40</v>
      </c>
      <c r="H571" s="81" t="s">
        <v>5529</v>
      </c>
      <c r="I571" s="81" t="s">
        <v>5530</v>
      </c>
      <c r="J571" s="81" t="s">
        <v>224</v>
      </c>
    </row>
    <row r="572" hidden="1">
      <c r="A572" s="83" t="s">
        <v>4949</v>
      </c>
      <c r="B572" s="83" t="s">
        <v>4950</v>
      </c>
      <c r="C572" s="81" t="s">
        <v>5141</v>
      </c>
      <c r="D572" s="83" t="s">
        <v>4323</v>
      </c>
      <c r="E572" s="81" t="s">
        <v>1370</v>
      </c>
      <c r="F572" s="84">
        <v>263.0</v>
      </c>
      <c r="G572" s="81" t="s">
        <v>39</v>
      </c>
      <c r="H572" s="81" t="s">
        <v>5531</v>
      </c>
      <c r="I572" s="81" t="s">
        <v>224</v>
      </c>
      <c r="J572" s="81" t="s">
        <v>5143</v>
      </c>
    </row>
    <row r="573" hidden="1">
      <c r="A573" s="83" t="s">
        <v>4949</v>
      </c>
      <c r="B573" s="83" t="s">
        <v>4950</v>
      </c>
      <c r="C573" s="81" t="s">
        <v>5141</v>
      </c>
      <c r="D573" s="83" t="s">
        <v>4323</v>
      </c>
      <c r="E573" s="81" t="s">
        <v>1370</v>
      </c>
      <c r="F573" s="84">
        <v>263.0</v>
      </c>
      <c r="G573" s="81" t="s">
        <v>40</v>
      </c>
      <c r="H573" s="81" t="s">
        <v>5532</v>
      </c>
      <c r="I573" s="81" t="s">
        <v>224</v>
      </c>
      <c r="J573" s="81" t="s">
        <v>5143</v>
      </c>
    </row>
    <row r="574" hidden="1">
      <c r="A574" s="83" t="s">
        <v>4949</v>
      </c>
      <c r="B574" s="83" t="s">
        <v>4950</v>
      </c>
      <c r="C574" s="81" t="s">
        <v>5141</v>
      </c>
      <c r="D574" s="83" t="s">
        <v>4325</v>
      </c>
      <c r="E574" s="81" t="s">
        <v>1374</v>
      </c>
      <c r="F574" s="84">
        <v>264.0</v>
      </c>
      <c r="G574" s="81" t="s">
        <v>39</v>
      </c>
      <c r="H574" s="81" t="s">
        <v>5533</v>
      </c>
      <c r="I574" s="81" t="s">
        <v>224</v>
      </c>
      <c r="J574" s="81" t="s">
        <v>5143</v>
      </c>
    </row>
    <row r="575" hidden="1">
      <c r="A575" s="83" t="s">
        <v>4949</v>
      </c>
      <c r="B575" s="83" t="s">
        <v>4950</v>
      </c>
      <c r="C575" s="81" t="s">
        <v>5141</v>
      </c>
      <c r="D575" s="83" t="s">
        <v>4325</v>
      </c>
      <c r="E575" s="81" t="s">
        <v>1374</v>
      </c>
      <c r="F575" s="84">
        <v>264.0</v>
      </c>
      <c r="G575" s="81" t="s">
        <v>40</v>
      </c>
      <c r="H575" s="81" t="s">
        <v>5534</v>
      </c>
      <c r="I575" s="81" t="s">
        <v>224</v>
      </c>
      <c r="J575" s="81" t="s">
        <v>5143</v>
      </c>
    </row>
    <row r="576" hidden="1">
      <c r="A576" s="83" t="s">
        <v>4949</v>
      </c>
      <c r="B576" s="83" t="s">
        <v>4950</v>
      </c>
      <c r="C576" s="81" t="s">
        <v>5141</v>
      </c>
      <c r="D576" s="83" t="s">
        <v>4326</v>
      </c>
      <c r="E576" s="81" t="s">
        <v>1375</v>
      </c>
      <c r="F576" s="84">
        <v>265.0</v>
      </c>
      <c r="G576" s="81" t="s">
        <v>39</v>
      </c>
      <c r="H576" s="81" t="s">
        <v>5535</v>
      </c>
      <c r="I576" s="81" t="s">
        <v>224</v>
      </c>
      <c r="J576" s="81" t="s">
        <v>5143</v>
      </c>
    </row>
    <row r="577" hidden="1">
      <c r="A577" s="83" t="s">
        <v>4949</v>
      </c>
      <c r="B577" s="83" t="s">
        <v>4950</v>
      </c>
      <c r="C577" s="81" t="s">
        <v>5141</v>
      </c>
      <c r="D577" s="83" t="s">
        <v>4326</v>
      </c>
      <c r="E577" s="81" t="s">
        <v>1375</v>
      </c>
      <c r="F577" s="84">
        <v>265.0</v>
      </c>
      <c r="G577" s="81" t="s">
        <v>40</v>
      </c>
      <c r="H577" s="81" t="s">
        <v>5536</v>
      </c>
      <c r="I577" s="81" t="s">
        <v>224</v>
      </c>
      <c r="J577" s="81" t="s">
        <v>5143</v>
      </c>
    </row>
    <row r="578" hidden="1">
      <c r="A578" s="83" t="s">
        <v>4949</v>
      </c>
      <c r="B578" s="83" t="s">
        <v>4950</v>
      </c>
      <c r="C578" s="81" t="s">
        <v>5141</v>
      </c>
      <c r="D578" s="83" t="s">
        <v>4328</v>
      </c>
      <c r="E578" s="81" t="s">
        <v>1379</v>
      </c>
      <c r="F578" s="84">
        <v>266.0</v>
      </c>
      <c r="G578" s="81" t="s">
        <v>39</v>
      </c>
      <c r="H578" s="81" t="s">
        <v>5537</v>
      </c>
      <c r="I578" s="81" t="s">
        <v>224</v>
      </c>
      <c r="J578" s="81" t="s">
        <v>5143</v>
      </c>
    </row>
    <row r="579" hidden="1">
      <c r="A579" s="83" t="s">
        <v>4949</v>
      </c>
      <c r="B579" s="83" t="s">
        <v>4950</v>
      </c>
      <c r="C579" s="81" t="s">
        <v>5141</v>
      </c>
      <c r="D579" s="83" t="s">
        <v>4328</v>
      </c>
      <c r="E579" s="81" t="s">
        <v>1379</v>
      </c>
      <c r="F579" s="84">
        <v>266.0</v>
      </c>
      <c r="G579" s="81" t="s">
        <v>40</v>
      </c>
      <c r="H579" s="81" t="s">
        <v>5538</v>
      </c>
      <c r="I579" s="81" t="s">
        <v>224</v>
      </c>
      <c r="J579" s="81" t="s">
        <v>5143</v>
      </c>
    </row>
    <row r="580" hidden="1">
      <c r="A580" s="83" t="s">
        <v>4949</v>
      </c>
      <c r="B580" s="83" t="s">
        <v>4950</v>
      </c>
      <c r="C580" s="81" t="s">
        <v>4082</v>
      </c>
      <c r="D580" s="83" t="s">
        <v>4329</v>
      </c>
      <c r="E580" s="81" t="s">
        <v>1380</v>
      </c>
      <c r="F580" s="84">
        <v>267.0</v>
      </c>
      <c r="G580" s="81" t="s">
        <v>39</v>
      </c>
      <c r="H580" s="81" t="s">
        <v>224</v>
      </c>
      <c r="I580" s="81" t="s">
        <v>224</v>
      </c>
      <c r="J580" s="81" t="s">
        <v>5539</v>
      </c>
    </row>
    <row r="581" hidden="1">
      <c r="A581" s="83" t="s">
        <v>4949</v>
      </c>
      <c r="B581" s="83" t="s">
        <v>4950</v>
      </c>
      <c r="C581" s="81" t="s">
        <v>5141</v>
      </c>
      <c r="D581" s="83" t="s">
        <v>4329</v>
      </c>
      <c r="E581" s="81" t="s">
        <v>1380</v>
      </c>
      <c r="F581" s="84">
        <v>267.0</v>
      </c>
      <c r="G581" s="81" t="s">
        <v>39</v>
      </c>
      <c r="H581" s="81" t="s">
        <v>1384</v>
      </c>
      <c r="I581" s="81" t="s">
        <v>224</v>
      </c>
      <c r="J581" s="81" t="s">
        <v>5143</v>
      </c>
    </row>
    <row r="582" hidden="1">
      <c r="A582" s="83" t="s">
        <v>4949</v>
      </c>
      <c r="B582" s="83" t="s">
        <v>4950</v>
      </c>
      <c r="C582" s="81" t="s">
        <v>4086</v>
      </c>
      <c r="D582" s="83" t="s">
        <v>4329</v>
      </c>
      <c r="E582" s="81" t="s">
        <v>1380</v>
      </c>
      <c r="F582" s="84">
        <v>267.0</v>
      </c>
      <c r="G582" s="81" t="s">
        <v>40</v>
      </c>
      <c r="H582" s="81" t="s">
        <v>5540</v>
      </c>
      <c r="I582" s="81" t="s">
        <v>5541</v>
      </c>
      <c r="J582" s="81" t="s">
        <v>224</v>
      </c>
    </row>
    <row r="583" hidden="1">
      <c r="A583" s="83" t="s">
        <v>4949</v>
      </c>
      <c r="B583" s="83" t="s">
        <v>4950</v>
      </c>
      <c r="C583" s="81" t="s">
        <v>5141</v>
      </c>
      <c r="D583" s="83" t="s">
        <v>4329</v>
      </c>
      <c r="E583" s="81" t="s">
        <v>1387</v>
      </c>
      <c r="F583" s="84">
        <v>268.0</v>
      </c>
      <c r="G583" s="81" t="s">
        <v>39</v>
      </c>
      <c r="H583" s="81" t="s">
        <v>1384</v>
      </c>
      <c r="I583" s="81" t="s">
        <v>224</v>
      </c>
      <c r="J583" s="81" t="s">
        <v>5143</v>
      </c>
    </row>
    <row r="584" hidden="1">
      <c r="A584" s="83" t="s">
        <v>4949</v>
      </c>
      <c r="B584" s="83" t="s">
        <v>4950</v>
      </c>
      <c r="C584" s="81" t="s">
        <v>4086</v>
      </c>
      <c r="D584" s="83" t="s">
        <v>4329</v>
      </c>
      <c r="E584" s="81" t="s">
        <v>1387</v>
      </c>
      <c r="F584" s="84">
        <v>268.0</v>
      </c>
      <c r="G584" s="81" t="s">
        <v>40</v>
      </c>
      <c r="H584" s="81" t="s">
        <v>5540</v>
      </c>
      <c r="I584" s="81" t="s">
        <v>5541</v>
      </c>
      <c r="J584" s="81" t="s">
        <v>224</v>
      </c>
    </row>
    <row r="585" hidden="1">
      <c r="A585" s="83" t="s">
        <v>4949</v>
      </c>
      <c r="B585" s="83" t="s">
        <v>4950</v>
      </c>
      <c r="C585" s="81" t="s">
        <v>4082</v>
      </c>
      <c r="D585" s="83" t="s">
        <v>4331</v>
      </c>
      <c r="E585" s="81" t="s">
        <v>1388</v>
      </c>
      <c r="F585" s="84">
        <v>269.0</v>
      </c>
      <c r="G585" s="81" t="s">
        <v>39</v>
      </c>
      <c r="H585" s="81" t="s">
        <v>224</v>
      </c>
      <c r="I585" s="81" t="s">
        <v>224</v>
      </c>
      <c r="J585" s="81" t="s">
        <v>5542</v>
      </c>
    </row>
    <row r="586" hidden="1">
      <c r="A586" s="83" t="s">
        <v>4949</v>
      </c>
      <c r="B586" s="83" t="s">
        <v>4950</v>
      </c>
      <c r="C586" s="81" t="s">
        <v>5141</v>
      </c>
      <c r="D586" s="83" t="s">
        <v>4331</v>
      </c>
      <c r="E586" s="81" t="s">
        <v>1388</v>
      </c>
      <c r="F586" s="84">
        <v>269.0</v>
      </c>
      <c r="G586" s="81" t="s">
        <v>39</v>
      </c>
      <c r="H586" s="81" t="s">
        <v>1389</v>
      </c>
      <c r="I586" s="81" t="s">
        <v>224</v>
      </c>
      <c r="J586" s="81" t="s">
        <v>5143</v>
      </c>
    </row>
    <row r="587" hidden="1">
      <c r="A587" s="83" t="s">
        <v>4949</v>
      </c>
      <c r="B587" s="83" t="s">
        <v>4950</v>
      </c>
      <c r="C587" s="81" t="s">
        <v>4086</v>
      </c>
      <c r="D587" s="83" t="s">
        <v>4331</v>
      </c>
      <c r="E587" s="81" t="s">
        <v>1388</v>
      </c>
      <c r="F587" s="84">
        <v>269.0</v>
      </c>
      <c r="G587" s="81" t="s">
        <v>40</v>
      </c>
      <c r="H587" s="81" t="s">
        <v>5543</v>
      </c>
      <c r="I587" s="81" t="s">
        <v>5544</v>
      </c>
      <c r="J587" s="81" t="s">
        <v>224</v>
      </c>
    </row>
    <row r="588" hidden="1">
      <c r="A588" s="83" t="s">
        <v>4949</v>
      </c>
      <c r="B588" s="83" t="s">
        <v>4950</v>
      </c>
      <c r="C588" s="81" t="s">
        <v>5141</v>
      </c>
      <c r="D588" s="83" t="s">
        <v>4332</v>
      </c>
      <c r="E588" s="81" t="s">
        <v>1391</v>
      </c>
      <c r="F588" s="84">
        <v>270.0</v>
      </c>
      <c r="G588" s="81" t="s">
        <v>39</v>
      </c>
      <c r="H588" s="81" t="s">
        <v>1384</v>
      </c>
      <c r="I588" s="81" t="s">
        <v>224</v>
      </c>
      <c r="J588" s="81" t="s">
        <v>5143</v>
      </c>
    </row>
    <row r="589" hidden="1">
      <c r="A589" s="83" t="s">
        <v>4949</v>
      </c>
      <c r="B589" s="83" t="s">
        <v>4950</v>
      </c>
      <c r="C589" s="81" t="s">
        <v>5141</v>
      </c>
      <c r="D589" s="83" t="s">
        <v>4332</v>
      </c>
      <c r="E589" s="81" t="s">
        <v>1391</v>
      </c>
      <c r="F589" s="84">
        <v>270.0</v>
      </c>
      <c r="G589" s="81" t="s">
        <v>40</v>
      </c>
      <c r="H589" s="81" t="s">
        <v>5545</v>
      </c>
      <c r="I589" s="81" t="s">
        <v>224</v>
      </c>
      <c r="J589" s="81" t="s">
        <v>5143</v>
      </c>
    </row>
    <row r="590" hidden="1">
      <c r="A590" s="83" t="s">
        <v>4949</v>
      </c>
      <c r="B590" s="83" t="s">
        <v>4950</v>
      </c>
      <c r="C590" s="81" t="s">
        <v>5141</v>
      </c>
      <c r="D590" s="83" t="s">
        <v>4334</v>
      </c>
      <c r="E590" s="81" t="s">
        <v>1395</v>
      </c>
      <c r="F590" s="84">
        <v>271.0</v>
      </c>
      <c r="G590" s="81" t="s">
        <v>39</v>
      </c>
      <c r="H590" s="81" t="s">
        <v>1389</v>
      </c>
      <c r="I590" s="81" t="s">
        <v>224</v>
      </c>
      <c r="J590" s="81" t="s">
        <v>5143</v>
      </c>
    </row>
    <row r="591" hidden="1">
      <c r="A591" s="83" t="s">
        <v>4949</v>
      </c>
      <c r="B591" s="83" t="s">
        <v>4950</v>
      </c>
      <c r="C591" s="81" t="s">
        <v>5141</v>
      </c>
      <c r="D591" s="83" t="s">
        <v>4334</v>
      </c>
      <c r="E591" s="81" t="s">
        <v>1395</v>
      </c>
      <c r="F591" s="84">
        <v>271.0</v>
      </c>
      <c r="G591" s="81" t="s">
        <v>40</v>
      </c>
      <c r="H591" s="81" t="s">
        <v>5546</v>
      </c>
      <c r="I591" s="81" t="s">
        <v>224</v>
      </c>
      <c r="J591" s="81" t="s">
        <v>5143</v>
      </c>
    </row>
    <row r="592" hidden="1">
      <c r="A592" s="83" t="s">
        <v>4949</v>
      </c>
      <c r="B592" s="83" t="s">
        <v>4950</v>
      </c>
      <c r="C592" s="81" t="s">
        <v>5141</v>
      </c>
      <c r="D592" s="83" t="s">
        <v>4335</v>
      </c>
      <c r="E592" s="81" t="s">
        <v>1396</v>
      </c>
      <c r="F592" s="84">
        <v>272.0</v>
      </c>
      <c r="G592" s="81" t="s">
        <v>39</v>
      </c>
      <c r="H592" s="81" t="s">
        <v>1384</v>
      </c>
      <c r="I592" s="81" t="s">
        <v>224</v>
      </c>
      <c r="J592" s="81" t="s">
        <v>5143</v>
      </c>
    </row>
    <row r="593" hidden="1">
      <c r="A593" s="83" t="s">
        <v>4949</v>
      </c>
      <c r="B593" s="83" t="s">
        <v>4950</v>
      </c>
      <c r="C593" s="81" t="s">
        <v>5141</v>
      </c>
      <c r="D593" s="83" t="s">
        <v>4335</v>
      </c>
      <c r="E593" s="81" t="s">
        <v>1396</v>
      </c>
      <c r="F593" s="84">
        <v>272.0</v>
      </c>
      <c r="G593" s="81" t="s">
        <v>40</v>
      </c>
      <c r="H593" s="81" t="s">
        <v>5547</v>
      </c>
      <c r="I593" s="81" t="s">
        <v>224</v>
      </c>
      <c r="J593" s="81" t="s">
        <v>5143</v>
      </c>
    </row>
    <row r="594" hidden="1">
      <c r="A594" s="83" t="s">
        <v>4949</v>
      </c>
      <c r="B594" s="83" t="s">
        <v>4950</v>
      </c>
      <c r="C594" s="81" t="s">
        <v>5141</v>
      </c>
      <c r="D594" s="83" t="s">
        <v>4337</v>
      </c>
      <c r="E594" s="81" t="s">
        <v>1400</v>
      </c>
      <c r="F594" s="84">
        <v>273.0</v>
      </c>
      <c r="G594" s="81" t="s">
        <v>39</v>
      </c>
      <c r="H594" s="81" t="s">
        <v>1389</v>
      </c>
      <c r="I594" s="81" t="s">
        <v>224</v>
      </c>
      <c r="J594" s="81" t="s">
        <v>5143</v>
      </c>
    </row>
    <row r="595" hidden="1">
      <c r="A595" s="83" t="s">
        <v>4949</v>
      </c>
      <c r="B595" s="83" t="s">
        <v>4950</v>
      </c>
      <c r="C595" s="81" t="s">
        <v>5141</v>
      </c>
      <c r="D595" s="83" t="s">
        <v>4337</v>
      </c>
      <c r="E595" s="81" t="s">
        <v>1400</v>
      </c>
      <c r="F595" s="84">
        <v>273.0</v>
      </c>
      <c r="G595" s="81" t="s">
        <v>40</v>
      </c>
      <c r="H595" s="81" t="s">
        <v>5548</v>
      </c>
      <c r="I595" s="81" t="s">
        <v>224</v>
      </c>
      <c r="J595" s="81" t="s">
        <v>5143</v>
      </c>
    </row>
    <row r="596" hidden="1">
      <c r="A596" s="83" t="s">
        <v>4949</v>
      </c>
      <c r="B596" s="83" t="s">
        <v>4950</v>
      </c>
      <c r="C596" s="81" t="s">
        <v>4086</v>
      </c>
      <c r="D596" s="83" t="s">
        <v>4338</v>
      </c>
      <c r="E596" s="81" t="s">
        <v>1401</v>
      </c>
      <c r="F596" s="84">
        <v>274.0</v>
      </c>
      <c r="G596" s="81" t="s">
        <v>39</v>
      </c>
      <c r="H596" s="81" t="s">
        <v>5549</v>
      </c>
      <c r="I596" s="81" t="s">
        <v>1413</v>
      </c>
      <c r="J596" s="81" t="s">
        <v>224</v>
      </c>
    </row>
    <row r="597" hidden="1">
      <c r="A597" s="83" t="s">
        <v>4949</v>
      </c>
      <c r="B597" s="83" t="s">
        <v>4950</v>
      </c>
      <c r="C597" s="81" t="s">
        <v>4086</v>
      </c>
      <c r="D597" s="83" t="s">
        <v>4338</v>
      </c>
      <c r="E597" s="81" t="s">
        <v>1401</v>
      </c>
      <c r="F597" s="84">
        <v>274.0</v>
      </c>
      <c r="G597" s="81" t="s">
        <v>40</v>
      </c>
      <c r="H597" s="81" t="s">
        <v>5550</v>
      </c>
      <c r="I597" s="81" t="s">
        <v>1414</v>
      </c>
      <c r="J597" s="81" t="s">
        <v>224</v>
      </c>
    </row>
    <row r="598" hidden="1">
      <c r="A598" s="83" t="s">
        <v>4949</v>
      </c>
      <c r="B598" s="83" t="s">
        <v>4950</v>
      </c>
      <c r="C598" s="81" t="s">
        <v>4086</v>
      </c>
      <c r="D598" s="83" t="s">
        <v>4338</v>
      </c>
      <c r="E598" s="81" t="s">
        <v>1419</v>
      </c>
      <c r="F598" s="84">
        <v>275.0</v>
      </c>
      <c r="G598" s="81" t="s">
        <v>39</v>
      </c>
      <c r="H598" s="81" t="s">
        <v>5549</v>
      </c>
      <c r="I598" s="81" t="s">
        <v>1413</v>
      </c>
      <c r="J598" s="81" t="s">
        <v>224</v>
      </c>
    </row>
    <row r="599" hidden="1">
      <c r="A599" s="83" t="s">
        <v>4949</v>
      </c>
      <c r="B599" s="83" t="s">
        <v>4950</v>
      </c>
      <c r="C599" s="81" t="s">
        <v>4086</v>
      </c>
      <c r="D599" s="83" t="s">
        <v>4338</v>
      </c>
      <c r="E599" s="81" t="s">
        <v>1419</v>
      </c>
      <c r="F599" s="84">
        <v>275.0</v>
      </c>
      <c r="G599" s="81" t="s">
        <v>40</v>
      </c>
      <c r="H599" s="81" t="s">
        <v>5550</v>
      </c>
      <c r="I599" s="81" t="s">
        <v>1414</v>
      </c>
      <c r="J599" s="81" t="s">
        <v>224</v>
      </c>
    </row>
    <row r="600" hidden="1">
      <c r="A600" s="83" t="s">
        <v>4949</v>
      </c>
      <c r="B600" s="83" t="s">
        <v>4950</v>
      </c>
      <c r="C600" s="81" t="s">
        <v>4086</v>
      </c>
      <c r="D600" s="83" t="s">
        <v>4341</v>
      </c>
      <c r="E600" s="81" t="s">
        <v>1423</v>
      </c>
      <c r="F600" s="84">
        <v>276.0</v>
      </c>
      <c r="G600" s="81" t="s">
        <v>39</v>
      </c>
      <c r="H600" s="81" t="s">
        <v>5551</v>
      </c>
      <c r="I600" s="81" t="s">
        <v>1424</v>
      </c>
      <c r="J600" s="81" t="s">
        <v>224</v>
      </c>
    </row>
    <row r="601" hidden="1">
      <c r="A601" s="83" t="s">
        <v>4949</v>
      </c>
      <c r="B601" s="83" t="s">
        <v>4950</v>
      </c>
      <c r="C601" s="81" t="s">
        <v>4086</v>
      </c>
      <c r="D601" s="83" t="s">
        <v>4341</v>
      </c>
      <c r="E601" s="81" t="s">
        <v>1423</v>
      </c>
      <c r="F601" s="84">
        <v>276.0</v>
      </c>
      <c r="G601" s="81" t="s">
        <v>40</v>
      </c>
      <c r="H601" s="81" t="s">
        <v>5552</v>
      </c>
      <c r="I601" s="81" t="s">
        <v>5553</v>
      </c>
      <c r="J601" s="81" t="s">
        <v>224</v>
      </c>
    </row>
    <row r="602" hidden="1">
      <c r="A602" s="83" t="s">
        <v>4949</v>
      </c>
      <c r="B602" s="83" t="s">
        <v>4950</v>
      </c>
      <c r="C602" s="81" t="s">
        <v>4086</v>
      </c>
      <c r="D602" s="83" t="s">
        <v>4342</v>
      </c>
      <c r="E602" s="81" t="s">
        <v>1426</v>
      </c>
      <c r="F602" s="84">
        <v>277.0</v>
      </c>
      <c r="G602" s="81" t="s">
        <v>40</v>
      </c>
      <c r="H602" s="81" t="s">
        <v>5554</v>
      </c>
      <c r="I602" s="81" t="s">
        <v>1433</v>
      </c>
      <c r="J602" s="81" t="s">
        <v>224</v>
      </c>
    </row>
    <row r="603" hidden="1">
      <c r="A603" s="83" t="s">
        <v>4949</v>
      </c>
      <c r="B603" s="83" t="s">
        <v>4950</v>
      </c>
      <c r="C603" s="81" t="s">
        <v>4086</v>
      </c>
      <c r="D603" s="83" t="s">
        <v>4344</v>
      </c>
      <c r="E603" s="81" t="s">
        <v>1438</v>
      </c>
      <c r="F603" s="84">
        <v>278.0</v>
      </c>
      <c r="G603" s="81" t="s">
        <v>40</v>
      </c>
      <c r="H603" s="81" t="s">
        <v>5555</v>
      </c>
      <c r="I603" s="81" t="s">
        <v>1440</v>
      </c>
      <c r="J603" s="81" t="s">
        <v>224</v>
      </c>
    </row>
    <row r="604" hidden="1">
      <c r="A604" s="83" t="s">
        <v>4949</v>
      </c>
      <c r="B604" s="83" t="s">
        <v>4950</v>
      </c>
      <c r="C604" s="81" t="s">
        <v>4086</v>
      </c>
      <c r="D604" s="83" t="s">
        <v>4345</v>
      </c>
      <c r="E604" s="81" t="s">
        <v>1441</v>
      </c>
      <c r="F604" s="84">
        <v>279.0</v>
      </c>
      <c r="G604" s="81" t="s">
        <v>39</v>
      </c>
      <c r="H604" s="81" t="s">
        <v>5556</v>
      </c>
      <c r="I604" s="81" t="s">
        <v>1447</v>
      </c>
      <c r="J604" s="81" t="s">
        <v>224</v>
      </c>
    </row>
    <row r="605" hidden="1">
      <c r="A605" s="83" t="s">
        <v>4949</v>
      </c>
      <c r="B605" s="83" t="s">
        <v>4950</v>
      </c>
      <c r="C605" s="81" t="s">
        <v>4086</v>
      </c>
      <c r="D605" s="83" t="s">
        <v>4345</v>
      </c>
      <c r="E605" s="81" t="s">
        <v>1441</v>
      </c>
      <c r="F605" s="84">
        <v>279.0</v>
      </c>
      <c r="G605" s="81" t="s">
        <v>40</v>
      </c>
      <c r="H605" s="81" t="s">
        <v>5557</v>
      </c>
      <c r="I605" s="81" t="s">
        <v>5558</v>
      </c>
      <c r="J605" s="81" t="s">
        <v>224</v>
      </c>
    </row>
    <row r="606" hidden="1">
      <c r="A606" s="83" t="s">
        <v>4949</v>
      </c>
      <c r="B606" s="83" t="s">
        <v>4950</v>
      </c>
      <c r="C606" s="81" t="s">
        <v>4086</v>
      </c>
      <c r="D606" s="83" t="s">
        <v>4347</v>
      </c>
      <c r="E606" s="81" t="s">
        <v>1453</v>
      </c>
      <c r="F606" s="84">
        <v>280.0</v>
      </c>
      <c r="G606" s="81" t="s">
        <v>40</v>
      </c>
      <c r="H606" s="81" t="s">
        <v>5559</v>
      </c>
      <c r="I606" s="81" t="s">
        <v>1455</v>
      </c>
      <c r="J606" s="81" t="s">
        <v>224</v>
      </c>
    </row>
    <row r="607" hidden="1">
      <c r="A607" s="83" t="s">
        <v>4949</v>
      </c>
      <c r="B607" s="83" t="s">
        <v>4950</v>
      </c>
      <c r="C607" s="81" t="s">
        <v>4086</v>
      </c>
      <c r="D607" s="83" t="s">
        <v>4348</v>
      </c>
      <c r="E607" s="81" t="s">
        <v>1456</v>
      </c>
      <c r="F607" s="84">
        <v>281.0</v>
      </c>
      <c r="G607" s="81" t="s">
        <v>39</v>
      </c>
      <c r="H607" s="81" t="s">
        <v>5560</v>
      </c>
      <c r="I607" s="81" t="s">
        <v>1462</v>
      </c>
      <c r="J607" s="81" t="s">
        <v>224</v>
      </c>
    </row>
    <row r="608" hidden="1">
      <c r="A608" s="83" t="s">
        <v>4949</v>
      </c>
      <c r="B608" s="83" t="s">
        <v>4950</v>
      </c>
      <c r="C608" s="81" t="s">
        <v>4086</v>
      </c>
      <c r="D608" s="83" t="s">
        <v>4348</v>
      </c>
      <c r="E608" s="81" t="s">
        <v>1456</v>
      </c>
      <c r="F608" s="84">
        <v>281.0</v>
      </c>
      <c r="G608" s="81" t="s">
        <v>40</v>
      </c>
      <c r="H608" s="81" t="s">
        <v>5561</v>
      </c>
      <c r="I608" s="81" t="s">
        <v>1463</v>
      </c>
      <c r="J608" s="81" t="s">
        <v>224</v>
      </c>
    </row>
    <row r="609" hidden="1">
      <c r="A609" s="83" t="s">
        <v>4949</v>
      </c>
      <c r="B609" s="83" t="s">
        <v>4950</v>
      </c>
      <c r="C609" s="81" t="s">
        <v>4086</v>
      </c>
      <c r="D609" s="83" t="s">
        <v>4350</v>
      </c>
      <c r="E609" s="81" t="s">
        <v>1467</v>
      </c>
      <c r="F609" s="84">
        <v>282.0</v>
      </c>
      <c r="G609" s="81" t="s">
        <v>40</v>
      </c>
      <c r="H609" s="81" t="s">
        <v>5562</v>
      </c>
      <c r="I609" s="81" t="s">
        <v>1469</v>
      </c>
      <c r="J609" s="81" t="s">
        <v>224</v>
      </c>
    </row>
    <row r="610" hidden="1">
      <c r="A610" s="83" t="s">
        <v>4949</v>
      </c>
      <c r="B610" s="83" t="s">
        <v>4950</v>
      </c>
      <c r="C610" s="81" t="s">
        <v>4086</v>
      </c>
      <c r="D610" s="83" t="s">
        <v>4351</v>
      </c>
      <c r="E610" s="81" t="s">
        <v>1470</v>
      </c>
      <c r="F610" s="84">
        <v>283.0</v>
      </c>
      <c r="G610" s="81" t="s">
        <v>39</v>
      </c>
      <c r="H610" s="81" t="s">
        <v>5563</v>
      </c>
      <c r="I610" s="81" t="s">
        <v>1472</v>
      </c>
      <c r="J610" s="81" t="s">
        <v>224</v>
      </c>
    </row>
    <row r="611" hidden="1">
      <c r="A611" s="83" t="s">
        <v>4949</v>
      </c>
      <c r="B611" s="83" t="s">
        <v>4950</v>
      </c>
      <c r="C611" s="81" t="s">
        <v>4086</v>
      </c>
      <c r="D611" s="83" t="s">
        <v>4351</v>
      </c>
      <c r="E611" s="81" t="s">
        <v>1470</v>
      </c>
      <c r="F611" s="84">
        <v>283.0</v>
      </c>
      <c r="G611" s="81" t="s">
        <v>40</v>
      </c>
      <c r="H611" s="81" t="s">
        <v>5564</v>
      </c>
      <c r="I611" s="81" t="s">
        <v>1473</v>
      </c>
      <c r="J611" s="81" t="s">
        <v>224</v>
      </c>
    </row>
    <row r="612" hidden="1">
      <c r="A612" s="83" t="s">
        <v>4949</v>
      </c>
      <c r="B612" s="83" t="s">
        <v>4950</v>
      </c>
      <c r="C612" s="81" t="s">
        <v>4086</v>
      </c>
      <c r="D612" s="83" t="s">
        <v>4351</v>
      </c>
      <c r="E612" s="81" t="s">
        <v>1474</v>
      </c>
      <c r="F612" s="84">
        <v>284.0</v>
      </c>
      <c r="G612" s="81" t="s">
        <v>39</v>
      </c>
      <c r="H612" s="81" t="s">
        <v>5563</v>
      </c>
      <c r="I612" s="81" t="s">
        <v>1472</v>
      </c>
      <c r="J612" s="81" t="s">
        <v>224</v>
      </c>
    </row>
    <row r="613" hidden="1">
      <c r="A613" s="83" t="s">
        <v>4949</v>
      </c>
      <c r="B613" s="83" t="s">
        <v>4950</v>
      </c>
      <c r="C613" s="81" t="s">
        <v>4086</v>
      </c>
      <c r="D613" s="83" t="s">
        <v>4351</v>
      </c>
      <c r="E613" s="81" t="s">
        <v>1474</v>
      </c>
      <c r="F613" s="84">
        <v>284.0</v>
      </c>
      <c r="G613" s="81" t="s">
        <v>40</v>
      </c>
      <c r="H613" s="81" t="s">
        <v>5564</v>
      </c>
      <c r="I613" s="81" t="s">
        <v>1473</v>
      </c>
      <c r="J613" s="81" t="s">
        <v>224</v>
      </c>
    </row>
    <row r="614" hidden="1">
      <c r="A614" s="83" t="s">
        <v>4949</v>
      </c>
      <c r="B614" s="83" t="s">
        <v>4950</v>
      </c>
      <c r="C614" s="81" t="s">
        <v>4086</v>
      </c>
      <c r="D614" s="83" t="s">
        <v>4353</v>
      </c>
      <c r="E614" s="81" t="s">
        <v>1477</v>
      </c>
      <c r="F614" s="84">
        <v>285.0</v>
      </c>
      <c r="G614" s="81" t="s">
        <v>39</v>
      </c>
      <c r="H614" s="81" t="s">
        <v>5565</v>
      </c>
      <c r="I614" s="81" t="s">
        <v>1478</v>
      </c>
      <c r="J614" s="81" t="s">
        <v>224</v>
      </c>
    </row>
    <row r="615" hidden="1">
      <c r="A615" s="83" t="s">
        <v>4949</v>
      </c>
      <c r="B615" s="83" t="s">
        <v>4950</v>
      </c>
      <c r="C615" s="81" t="s">
        <v>4086</v>
      </c>
      <c r="D615" s="83" t="s">
        <v>4353</v>
      </c>
      <c r="E615" s="81" t="s">
        <v>1477</v>
      </c>
      <c r="F615" s="84">
        <v>285.0</v>
      </c>
      <c r="G615" s="81" t="s">
        <v>40</v>
      </c>
      <c r="H615" s="81" t="s">
        <v>5566</v>
      </c>
      <c r="I615" s="81" t="s">
        <v>1479</v>
      </c>
      <c r="J615" s="81" t="s">
        <v>224</v>
      </c>
    </row>
    <row r="616" hidden="1">
      <c r="A616" s="83" t="s">
        <v>4949</v>
      </c>
      <c r="B616" s="83" t="s">
        <v>4950</v>
      </c>
      <c r="C616" s="81" t="s">
        <v>4086</v>
      </c>
      <c r="D616" s="83" t="s">
        <v>4354</v>
      </c>
      <c r="E616" s="81" t="s">
        <v>1480</v>
      </c>
      <c r="F616" s="84">
        <v>286.0</v>
      </c>
      <c r="G616" s="81" t="s">
        <v>39</v>
      </c>
      <c r="H616" s="81" t="s">
        <v>5567</v>
      </c>
      <c r="I616" s="81" t="s">
        <v>1482</v>
      </c>
      <c r="J616" s="81" t="s">
        <v>224</v>
      </c>
    </row>
    <row r="617" hidden="1">
      <c r="A617" s="83" t="s">
        <v>4949</v>
      </c>
      <c r="B617" s="83" t="s">
        <v>4950</v>
      </c>
      <c r="C617" s="81" t="s">
        <v>5141</v>
      </c>
      <c r="D617" s="83" t="s">
        <v>4354</v>
      </c>
      <c r="E617" s="81" t="s">
        <v>1480</v>
      </c>
      <c r="F617" s="84">
        <v>286.0</v>
      </c>
      <c r="G617" s="81" t="s">
        <v>40</v>
      </c>
      <c r="H617" s="81" t="s">
        <v>5568</v>
      </c>
      <c r="I617" s="81" t="s">
        <v>224</v>
      </c>
      <c r="J617" s="81" t="s">
        <v>5143</v>
      </c>
    </row>
    <row r="618" hidden="1">
      <c r="A618" s="83" t="s">
        <v>4949</v>
      </c>
      <c r="B618" s="83" t="s">
        <v>4950</v>
      </c>
      <c r="C618" s="81" t="s">
        <v>4086</v>
      </c>
      <c r="D618" s="83" t="s">
        <v>4355</v>
      </c>
      <c r="E618" s="81" t="s">
        <v>1483</v>
      </c>
      <c r="F618" s="84">
        <v>287.0</v>
      </c>
      <c r="G618" s="81" t="s">
        <v>39</v>
      </c>
      <c r="H618" s="81" t="s">
        <v>5569</v>
      </c>
      <c r="I618" s="81" t="s">
        <v>1484</v>
      </c>
      <c r="J618" s="81" t="s">
        <v>224</v>
      </c>
    </row>
    <row r="619" hidden="1">
      <c r="A619" s="83" t="s">
        <v>4949</v>
      </c>
      <c r="B619" s="83" t="s">
        <v>4950</v>
      </c>
      <c r="C619" s="81" t="s">
        <v>4086</v>
      </c>
      <c r="D619" s="83" t="s">
        <v>4355</v>
      </c>
      <c r="E619" s="81" t="s">
        <v>1483</v>
      </c>
      <c r="F619" s="84">
        <v>287.0</v>
      </c>
      <c r="G619" s="81" t="s">
        <v>40</v>
      </c>
      <c r="H619" s="81" t="s">
        <v>5570</v>
      </c>
      <c r="I619" s="81" t="s">
        <v>1485</v>
      </c>
      <c r="J619" s="81" t="s">
        <v>224</v>
      </c>
    </row>
    <row r="620" hidden="1">
      <c r="A620" s="83" t="s">
        <v>4949</v>
      </c>
      <c r="B620" s="83" t="s">
        <v>4950</v>
      </c>
      <c r="C620" s="81" t="s">
        <v>4086</v>
      </c>
      <c r="D620" s="83" t="s">
        <v>4356</v>
      </c>
      <c r="E620" s="81" t="s">
        <v>1486</v>
      </c>
      <c r="F620" s="84">
        <v>288.0</v>
      </c>
      <c r="G620" s="81" t="s">
        <v>39</v>
      </c>
      <c r="H620" s="81" t="s">
        <v>5571</v>
      </c>
      <c r="I620" s="81" t="s">
        <v>1487</v>
      </c>
      <c r="J620" s="81" t="s">
        <v>224</v>
      </c>
    </row>
    <row r="621" hidden="1">
      <c r="A621" s="83" t="s">
        <v>4949</v>
      </c>
      <c r="B621" s="83" t="s">
        <v>4950</v>
      </c>
      <c r="C621" s="81" t="s">
        <v>4086</v>
      </c>
      <c r="D621" s="83" t="s">
        <v>4356</v>
      </c>
      <c r="E621" s="81" t="s">
        <v>1486</v>
      </c>
      <c r="F621" s="84">
        <v>288.0</v>
      </c>
      <c r="G621" s="81" t="s">
        <v>40</v>
      </c>
      <c r="H621" s="81" t="s">
        <v>5572</v>
      </c>
      <c r="I621" s="81" t="s">
        <v>1488</v>
      </c>
      <c r="J621" s="81" t="s">
        <v>224</v>
      </c>
    </row>
    <row r="622" hidden="1">
      <c r="A622" s="83" t="s">
        <v>4949</v>
      </c>
      <c r="B622" s="83" t="s">
        <v>4950</v>
      </c>
      <c r="C622" s="81" t="s">
        <v>4086</v>
      </c>
      <c r="D622" s="83" t="s">
        <v>4357</v>
      </c>
      <c r="E622" s="81" t="s">
        <v>1489</v>
      </c>
      <c r="F622" s="84">
        <v>289.0</v>
      </c>
      <c r="G622" s="81" t="s">
        <v>39</v>
      </c>
      <c r="H622" s="81" t="s">
        <v>5573</v>
      </c>
      <c r="I622" s="81" t="s">
        <v>1495</v>
      </c>
      <c r="J622" s="81" t="s">
        <v>224</v>
      </c>
    </row>
    <row r="623" hidden="1">
      <c r="A623" s="83" t="s">
        <v>4949</v>
      </c>
      <c r="B623" s="83" t="s">
        <v>4950</v>
      </c>
      <c r="C623" s="81" t="s">
        <v>4086</v>
      </c>
      <c r="D623" s="83" t="s">
        <v>4357</v>
      </c>
      <c r="E623" s="81" t="s">
        <v>1489</v>
      </c>
      <c r="F623" s="84">
        <v>289.0</v>
      </c>
      <c r="G623" s="81" t="s">
        <v>40</v>
      </c>
      <c r="H623" s="81" t="s">
        <v>5574</v>
      </c>
      <c r="I623" s="81" t="s">
        <v>1496</v>
      </c>
      <c r="J623" s="81" t="s">
        <v>224</v>
      </c>
    </row>
    <row r="624" hidden="1">
      <c r="A624" s="83" t="s">
        <v>4949</v>
      </c>
      <c r="B624" s="83" t="s">
        <v>4950</v>
      </c>
      <c r="C624" s="81" t="s">
        <v>4086</v>
      </c>
      <c r="D624" s="83" t="s">
        <v>4357</v>
      </c>
      <c r="E624" s="81" t="s">
        <v>1501</v>
      </c>
      <c r="F624" s="84">
        <v>290.0</v>
      </c>
      <c r="G624" s="81" t="s">
        <v>39</v>
      </c>
      <c r="H624" s="81" t="s">
        <v>5573</v>
      </c>
      <c r="I624" s="81" t="s">
        <v>1495</v>
      </c>
      <c r="J624" s="81" t="s">
        <v>224</v>
      </c>
    </row>
    <row r="625" hidden="1">
      <c r="A625" s="83" t="s">
        <v>4949</v>
      </c>
      <c r="B625" s="83" t="s">
        <v>4950</v>
      </c>
      <c r="C625" s="81" t="s">
        <v>4086</v>
      </c>
      <c r="D625" s="83" t="s">
        <v>4357</v>
      </c>
      <c r="E625" s="81" t="s">
        <v>1501</v>
      </c>
      <c r="F625" s="84">
        <v>290.0</v>
      </c>
      <c r="G625" s="81" t="s">
        <v>40</v>
      </c>
      <c r="H625" s="81" t="s">
        <v>5574</v>
      </c>
      <c r="I625" s="81" t="s">
        <v>1496</v>
      </c>
      <c r="J625" s="81" t="s">
        <v>224</v>
      </c>
    </row>
    <row r="626" hidden="1">
      <c r="A626" s="83" t="s">
        <v>4949</v>
      </c>
      <c r="B626" s="83" t="s">
        <v>4950</v>
      </c>
      <c r="C626" s="81" t="s">
        <v>4086</v>
      </c>
      <c r="D626" s="83" t="s">
        <v>4358</v>
      </c>
      <c r="E626" s="81" t="s">
        <v>1502</v>
      </c>
      <c r="F626" s="84">
        <v>291.0</v>
      </c>
      <c r="G626" s="81" t="s">
        <v>39</v>
      </c>
      <c r="H626" s="81" t="s">
        <v>5575</v>
      </c>
      <c r="I626" s="81" t="s">
        <v>1503</v>
      </c>
      <c r="J626" s="81" t="s">
        <v>224</v>
      </c>
    </row>
    <row r="627" hidden="1">
      <c r="A627" s="83" t="s">
        <v>4949</v>
      </c>
      <c r="B627" s="83" t="s">
        <v>4950</v>
      </c>
      <c r="C627" s="81" t="s">
        <v>4086</v>
      </c>
      <c r="D627" s="83" t="s">
        <v>4358</v>
      </c>
      <c r="E627" s="81" t="s">
        <v>1502</v>
      </c>
      <c r="F627" s="84">
        <v>291.0</v>
      </c>
      <c r="G627" s="81" t="s">
        <v>40</v>
      </c>
      <c r="H627" s="81" t="s">
        <v>5576</v>
      </c>
      <c r="I627" s="81" t="s">
        <v>1504</v>
      </c>
      <c r="J627" s="81" t="s">
        <v>224</v>
      </c>
    </row>
    <row r="628" hidden="1">
      <c r="A628" s="83" t="s">
        <v>4949</v>
      </c>
      <c r="B628" s="83" t="s">
        <v>4950</v>
      </c>
      <c r="C628" s="81" t="s">
        <v>4086</v>
      </c>
      <c r="D628" s="83" t="s">
        <v>4359</v>
      </c>
      <c r="E628" s="81" t="s">
        <v>1505</v>
      </c>
      <c r="F628" s="84">
        <v>292.0</v>
      </c>
      <c r="G628" s="81" t="s">
        <v>39</v>
      </c>
      <c r="H628" s="81" t="s">
        <v>5577</v>
      </c>
      <c r="I628" s="81" t="s">
        <v>1509</v>
      </c>
      <c r="J628" s="81" t="s">
        <v>224</v>
      </c>
    </row>
    <row r="629" hidden="1">
      <c r="A629" s="83" t="s">
        <v>4949</v>
      </c>
      <c r="B629" s="83" t="s">
        <v>4950</v>
      </c>
      <c r="C629" s="81" t="s">
        <v>4086</v>
      </c>
      <c r="D629" s="83" t="s">
        <v>4359</v>
      </c>
      <c r="E629" s="81" t="s">
        <v>1505</v>
      </c>
      <c r="F629" s="84">
        <v>292.0</v>
      </c>
      <c r="G629" s="81" t="s">
        <v>40</v>
      </c>
      <c r="H629" s="81" t="s">
        <v>5578</v>
      </c>
      <c r="I629" s="81" t="s">
        <v>1510</v>
      </c>
      <c r="J629" s="81" t="s">
        <v>224</v>
      </c>
    </row>
    <row r="630" hidden="1">
      <c r="A630" s="83" t="s">
        <v>4949</v>
      </c>
      <c r="B630" s="83" t="s">
        <v>4950</v>
      </c>
      <c r="C630" s="81" t="s">
        <v>4086</v>
      </c>
      <c r="D630" s="83" t="s">
        <v>4359</v>
      </c>
      <c r="E630" s="81" t="s">
        <v>1515</v>
      </c>
      <c r="F630" s="84">
        <v>293.0</v>
      </c>
      <c r="G630" s="81" t="s">
        <v>39</v>
      </c>
      <c r="H630" s="81" t="s">
        <v>5577</v>
      </c>
      <c r="I630" s="81" t="s">
        <v>1509</v>
      </c>
      <c r="J630" s="81" t="s">
        <v>224</v>
      </c>
    </row>
    <row r="631" hidden="1">
      <c r="A631" s="83" t="s">
        <v>4949</v>
      </c>
      <c r="B631" s="83" t="s">
        <v>4950</v>
      </c>
      <c r="C631" s="81" t="s">
        <v>4086</v>
      </c>
      <c r="D631" s="83" t="s">
        <v>4359</v>
      </c>
      <c r="E631" s="81" t="s">
        <v>1515</v>
      </c>
      <c r="F631" s="84">
        <v>293.0</v>
      </c>
      <c r="G631" s="81" t="s">
        <v>40</v>
      </c>
      <c r="H631" s="81" t="s">
        <v>5578</v>
      </c>
      <c r="I631" s="81" t="s">
        <v>1510</v>
      </c>
      <c r="J631" s="81" t="s">
        <v>224</v>
      </c>
    </row>
    <row r="632" hidden="1">
      <c r="A632" s="83" t="s">
        <v>4949</v>
      </c>
      <c r="B632" s="83" t="s">
        <v>4950</v>
      </c>
      <c r="C632" s="81" t="s">
        <v>4086</v>
      </c>
      <c r="D632" s="83" t="s">
        <v>4360</v>
      </c>
      <c r="E632" s="81" t="s">
        <v>1516</v>
      </c>
      <c r="F632" s="84">
        <v>294.0</v>
      </c>
      <c r="G632" s="81" t="s">
        <v>39</v>
      </c>
      <c r="H632" s="81" t="s">
        <v>5579</v>
      </c>
      <c r="I632" s="81" t="s">
        <v>1517</v>
      </c>
      <c r="J632" s="81" t="s">
        <v>224</v>
      </c>
    </row>
    <row r="633" hidden="1">
      <c r="A633" s="83" t="s">
        <v>4949</v>
      </c>
      <c r="B633" s="83" t="s">
        <v>4950</v>
      </c>
      <c r="C633" s="81" t="s">
        <v>4086</v>
      </c>
      <c r="D633" s="83" t="s">
        <v>4360</v>
      </c>
      <c r="E633" s="81" t="s">
        <v>1516</v>
      </c>
      <c r="F633" s="84">
        <v>294.0</v>
      </c>
      <c r="G633" s="81" t="s">
        <v>40</v>
      </c>
      <c r="H633" s="81" t="s">
        <v>5580</v>
      </c>
      <c r="I633" s="81" t="s">
        <v>1518</v>
      </c>
      <c r="J633" s="81" t="s">
        <v>224</v>
      </c>
    </row>
    <row r="634" hidden="1">
      <c r="A634" s="83" t="s">
        <v>4949</v>
      </c>
      <c r="B634" s="83" t="s">
        <v>4950</v>
      </c>
      <c r="C634" s="81" t="s">
        <v>4086</v>
      </c>
      <c r="D634" s="83" t="s">
        <v>4361</v>
      </c>
      <c r="E634" s="81" t="s">
        <v>1519</v>
      </c>
      <c r="F634" s="84">
        <v>295.0</v>
      </c>
      <c r="G634" s="81" t="s">
        <v>39</v>
      </c>
      <c r="H634" s="81" t="s">
        <v>5581</v>
      </c>
      <c r="I634" s="81" t="s">
        <v>1523</v>
      </c>
      <c r="J634" s="81" t="s">
        <v>224</v>
      </c>
    </row>
    <row r="635" hidden="1">
      <c r="A635" s="83" t="s">
        <v>4949</v>
      </c>
      <c r="B635" s="83" t="s">
        <v>4950</v>
      </c>
      <c r="C635" s="81" t="s">
        <v>4086</v>
      </c>
      <c r="D635" s="83" t="s">
        <v>4361</v>
      </c>
      <c r="E635" s="81" t="s">
        <v>1519</v>
      </c>
      <c r="F635" s="84">
        <v>295.0</v>
      </c>
      <c r="G635" s="81" t="s">
        <v>40</v>
      </c>
      <c r="H635" s="81" t="s">
        <v>5582</v>
      </c>
      <c r="I635" s="81" t="s">
        <v>1524</v>
      </c>
      <c r="J635" s="81" t="s">
        <v>224</v>
      </c>
    </row>
    <row r="636" hidden="1">
      <c r="A636" s="83" t="s">
        <v>4949</v>
      </c>
      <c r="B636" s="83" t="s">
        <v>4950</v>
      </c>
      <c r="C636" s="81" t="s">
        <v>4086</v>
      </c>
      <c r="D636" s="83" t="s">
        <v>4361</v>
      </c>
      <c r="E636" s="81" t="s">
        <v>1529</v>
      </c>
      <c r="F636" s="84">
        <v>296.0</v>
      </c>
      <c r="G636" s="81" t="s">
        <v>39</v>
      </c>
      <c r="H636" s="81" t="s">
        <v>5581</v>
      </c>
      <c r="I636" s="81" t="s">
        <v>1523</v>
      </c>
      <c r="J636" s="81" t="s">
        <v>224</v>
      </c>
    </row>
    <row r="637" hidden="1">
      <c r="A637" s="83" t="s">
        <v>4949</v>
      </c>
      <c r="B637" s="83" t="s">
        <v>4950</v>
      </c>
      <c r="C637" s="81" t="s">
        <v>4086</v>
      </c>
      <c r="D637" s="83" t="s">
        <v>4361</v>
      </c>
      <c r="E637" s="81" t="s">
        <v>1529</v>
      </c>
      <c r="F637" s="84">
        <v>296.0</v>
      </c>
      <c r="G637" s="81" t="s">
        <v>40</v>
      </c>
      <c r="H637" s="81" t="s">
        <v>5582</v>
      </c>
      <c r="I637" s="81" t="s">
        <v>1524</v>
      </c>
      <c r="J637" s="81" t="s">
        <v>224</v>
      </c>
    </row>
    <row r="638" hidden="1">
      <c r="A638" s="83" t="s">
        <v>4949</v>
      </c>
      <c r="B638" s="83" t="s">
        <v>4950</v>
      </c>
      <c r="C638" s="81" t="s">
        <v>4086</v>
      </c>
      <c r="D638" s="83" t="s">
        <v>4362</v>
      </c>
      <c r="E638" s="81" t="s">
        <v>1530</v>
      </c>
      <c r="F638" s="84">
        <v>297.0</v>
      </c>
      <c r="G638" s="81" t="s">
        <v>39</v>
      </c>
      <c r="H638" s="81" t="s">
        <v>5583</v>
      </c>
      <c r="I638" s="81" t="s">
        <v>1531</v>
      </c>
      <c r="J638" s="81" t="s">
        <v>224</v>
      </c>
    </row>
    <row r="639" hidden="1">
      <c r="A639" s="83" t="s">
        <v>4949</v>
      </c>
      <c r="B639" s="83" t="s">
        <v>4950</v>
      </c>
      <c r="C639" s="81" t="s">
        <v>4086</v>
      </c>
      <c r="D639" s="83" t="s">
        <v>4362</v>
      </c>
      <c r="E639" s="81" t="s">
        <v>1530</v>
      </c>
      <c r="F639" s="84">
        <v>297.0</v>
      </c>
      <c r="G639" s="81" t="s">
        <v>40</v>
      </c>
      <c r="H639" s="81" t="s">
        <v>5584</v>
      </c>
      <c r="I639" s="81" t="s">
        <v>1532</v>
      </c>
      <c r="J639" s="81" t="s">
        <v>224</v>
      </c>
    </row>
    <row r="640" hidden="1">
      <c r="A640" s="83" t="s">
        <v>4949</v>
      </c>
      <c r="B640" s="83" t="s">
        <v>4950</v>
      </c>
      <c r="C640" s="81" t="s">
        <v>4086</v>
      </c>
      <c r="D640" s="83" t="s">
        <v>4363</v>
      </c>
      <c r="E640" s="81" t="s">
        <v>1533</v>
      </c>
      <c r="F640" s="84">
        <v>298.0</v>
      </c>
      <c r="G640" s="81" t="s">
        <v>39</v>
      </c>
      <c r="H640" s="81" t="s">
        <v>5585</v>
      </c>
      <c r="I640" s="81" t="s">
        <v>1541</v>
      </c>
      <c r="J640" s="81" t="s">
        <v>224</v>
      </c>
    </row>
    <row r="641" hidden="1">
      <c r="A641" s="83" t="s">
        <v>4949</v>
      </c>
      <c r="B641" s="83" t="s">
        <v>4950</v>
      </c>
      <c r="C641" s="81" t="s">
        <v>4086</v>
      </c>
      <c r="D641" s="83" t="s">
        <v>4363</v>
      </c>
      <c r="E641" s="81" t="s">
        <v>1533</v>
      </c>
      <c r="F641" s="84">
        <v>298.0</v>
      </c>
      <c r="G641" s="81" t="s">
        <v>40</v>
      </c>
      <c r="H641" s="81" t="s">
        <v>5586</v>
      </c>
      <c r="I641" s="81" t="s">
        <v>1542</v>
      </c>
      <c r="J641" s="81" t="s">
        <v>224</v>
      </c>
    </row>
    <row r="642" hidden="1">
      <c r="A642" s="83" t="s">
        <v>4949</v>
      </c>
      <c r="B642" s="83" t="s">
        <v>4950</v>
      </c>
      <c r="C642" s="81" t="s">
        <v>4086</v>
      </c>
      <c r="D642" s="83" t="s">
        <v>4363</v>
      </c>
      <c r="E642" s="81" t="s">
        <v>1548</v>
      </c>
      <c r="F642" s="84">
        <v>299.0</v>
      </c>
      <c r="G642" s="81" t="s">
        <v>39</v>
      </c>
      <c r="H642" s="81" t="s">
        <v>5585</v>
      </c>
      <c r="I642" s="81" t="s">
        <v>1541</v>
      </c>
      <c r="J642" s="81" t="s">
        <v>224</v>
      </c>
    </row>
    <row r="643" hidden="1">
      <c r="A643" s="83" t="s">
        <v>4949</v>
      </c>
      <c r="B643" s="83" t="s">
        <v>4950</v>
      </c>
      <c r="C643" s="81" t="s">
        <v>4086</v>
      </c>
      <c r="D643" s="83" t="s">
        <v>4363</v>
      </c>
      <c r="E643" s="81" t="s">
        <v>1548</v>
      </c>
      <c r="F643" s="84">
        <v>299.0</v>
      </c>
      <c r="G643" s="81" t="s">
        <v>40</v>
      </c>
      <c r="H643" s="81" t="s">
        <v>5587</v>
      </c>
      <c r="I643" s="81" t="s">
        <v>1542</v>
      </c>
      <c r="J643" s="81" t="s">
        <v>224</v>
      </c>
    </row>
    <row r="644" hidden="1">
      <c r="A644" s="83" t="s">
        <v>4949</v>
      </c>
      <c r="B644" s="83" t="s">
        <v>4950</v>
      </c>
      <c r="C644" s="81" t="s">
        <v>4086</v>
      </c>
      <c r="D644" s="83" t="s">
        <v>4364</v>
      </c>
      <c r="E644" s="81" t="s">
        <v>1551</v>
      </c>
      <c r="F644" s="84">
        <v>300.0</v>
      </c>
      <c r="G644" s="81" t="s">
        <v>39</v>
      </c>
      <c r="H644" s="81" t="s">
        <v>5588</v>
      </c>
      <c r="I644" s="81" t="s">
        <v>1552</v>
      </c>
      <c r="J644" s="81" t="s">
        <v>224</v>
      </c>
    </row>
    <row r="645" hidden="1">
      <c r="A645" s="83" t="s">
        <v>4949</v>
      </c>
      <c r="B645" s="83" t="s">
        <v>4950</v>
      </c>
      <c r="C645" s="81" t="s">
        <v>4086</v>
      </c>
      <c r="D645" s="83" t="s">
        <v>4364</v>
      </c>
      <c r="E645" s="81" t="s">
        <v>1551</v>
      </c>
      <c r="F645" s="84">
        <v>300.0</v>
      </c>
      <c r="G645" s="81" t="s">
        <v>40</v>
      </c>
      <c r="H645" s="81" t="s">
        <v>5589</v>
      </c>
      <c r="I645" s="81" t="s">
        <v>1553</v>
      </c>
      <c r="J645" s="81" t="s">
        <v>224</v>
      </c>
    </row>
    <row r="646" hidden="1">
      <c r="A646" s="83" t="s">
        <v>4949</v>
      </c>
      <c r="B646" s="83" t="s">
        <v>4950</v>
      </c>
      <c r="C646" s="81" t="s">
        <v>4086</v>
      </c>
      <c r="D646" s="83" t="s">
        <v>4365</v>
      </c>
      <c r="E646" s="81" t="s">
        <v>1554</v>
      </c>
      <c r="F646" s="84">
        <v>301.0</v>
      </c>
      <c r="G646" s="81" t="s">
        <v>39</v>
      </c>
      <c r="H646" s="81" t="s">
        <v>5590</v>
      </c>
      <c r="I646" s="81" t="s">
        <v>1558</v>
      </c>
      <c r="J646" s="81" t="s">
        <v>224</v>
      </c>
    </row>
    <row r="647" hidden="1">
      <c r="A647" s="83" t="s">
        <v>4949</v>
      </c>
      <c r="B647" s="83" t="s">
        <v>4950</v>
      </c>
      <c r="C647" s="81" t="s">
        <v>5141</v>
      </c>
      <c r="D647" s="83" t="s">
        <v>4365</v>
      </c>
      <c r="E647" s="81" t="s">
        <v>1554</v>
      </c>
      <c r="F647" s="84">
        <v>301.0</v>
      </c>
      <c r="G647" s="81" t="s">
        <v>40</v>
      </c>
      <c r="H647" s="81" t="s">
        <v>5591</v>
      </c>
      <c r="I647" s="81" t="s">
        <v>224</v>
      </c>
      <c r="J647" s="81" t="s">
        <v>5143</v>
      </c>
    </row>
    <row r="648" hidden="1">
      <c r="A648" s="83" t="s">
        <v>4949</v>
      </c>
      <c r="B648" s="83" t="s">
        <v>4950</v>
      </c>
      <c r="C648" s="81" t="s">
        <v>4086</v>
      </c>
      <c r="D648" s="83" t="s">
        <v>4365</v>
      </c>
      <c r="E648" s="81" t="s">
        <v>1560</v>
      </c>
      <c r="F648" s="84">
        <v>302.0</v>
      </c>
      <c r="G648" s="81" t="s">
        <v>39</v>
      </c>
      <c r="H648" s="81" t="s">
        <v>5590</v>
      </c>
      <c r="I648" s="81" t="s">
        <v>1558</v>
      </c>
      <c r="J648" s="81" t="s">
        <v>224</v>
      </c>
    </row>
    <row r="649" hidden="1">
      <c r="A649" s="83" t="s">
        <v>4949</v>
      </c>
      <c r="B649" s="83" t="s">
        <v>4950</v>
      </c>
      <c r="C649" s="81" t="s">
        <v>5141</v>
      </c>
      <c r="D649" s="83" t="s">
        <v>4365</v>
      </c>
      <c r="E649" s="81" t="s">
        <v>1560</v>
      </c>
      <c r="F649" s="84">
        <v>302.0</v>
      </c>
      <c r="G649" s="81" t="s">
        <v>40</v>
      </c>
      <c r="H649" s="81" t="s">
        <v>5591</v>
      </c>
      <c r="I649" s="81" t="s">
        <v>224</v>
      </c>
      <c r="J649" s="81" t="s">
        <v>5143</v>
      </c>
    </row>
    <row r="650" hidden="1">
      <c r="A650" s="83" t="s">
        <v>4949</v>
      </c>
      <c r="B650" s="83" t="s">
        <v>4950</v>
      </c>
      <c r="C650" s="81" t="s">
        <v>4086</v>
      </c>
      <c r="D650" s="83" t="s">
        <v>4366</v>
      </c>
      <c r="E650" s="81" t="s">
        <v>1562</v>
      </c>
      <c r="F650" s="84">
        <v>303.0</v>
      </c>
      <c r="G650" s="81" t="s">
        <v>39</v>
      </c>
      <c r="H650" s="81" t="s">
        <v>5592</v>
      </c>
      <c r="I650" s="81" t="s">
        <v>1563</v>
      </c>
      <c r="J650" s="81" t="s">
        <v>224</v>
      </c>
    </row>
    <row r="651" hidden="1">
      <c r="A651" s="83" t="s">
        <v>4949</v>
      </c>
      <c r="B651" s="83" t="s">
        <v>4950</v>
      </c>
      <c r="C651" s="81" t="s">
        <v>5141</v>
      </c>
      <c r="D651" s="83" t="s">
        <v>4366</v>
      </c>
      <c r="E651" s="81" t="s">
        <v>1562</v>
      </c>
      <c r="F651" s="84">
        <v>303.0</v>
      </c>
      <c r="G651" s="81" t="s">
        <v>40</v>
      </c>
      <c r="H651" s="81" t="s">
        <v>5593</v>
      </c>
      <c r="I651" s="81" t="s">
        <v>224</v>
      </c>
      <c r="J651" s="81" t="s">
        <v>5143</v>
      </c>
    </row>
    <row r="652" hidden="1">
      <c r="A652" s="83" t="s">
        <v>4949</v>
      </c>
      <c r="B652" s="83" t="s">
        <v>4950</v>
      </c>
      <c r="C652" s="81" t="s">
        <v>4086</v>
      </c>
      <c r="D652" s="83" t="s">
        <v>4367</v>
      </c>
      <c r="E652" s="81" t="s">
        <v>1564</v>
      </c>
      <c r="F652" s="84">
        <v>304.0</v>
      </c>
      <c r="G652" s="81" t="s">
        <v>39</v>
      </c>
      <c r="H652" s="81" t="s">
        <v>5594</v>
      </c>
      <c r="I652" s="81" t="s">
        <v>1565</v>
      </c>
      <c r="J652" s="81" t="s">
        <v>224</v>
      </c>
    </row>
    <row r="653" hidden="1">
      <c r="A653" s="83" t="s">
        <v>4949</v>
      </c>
      <c r="B653" s="83" t="s">
        <v>4950</v>
      </c>
      <c r="C653" s="81" t="s">
        <v>5141</v>
      </c>
      <c r="D653" s="83" t="s">
        <v>4367</v>
      </c>
      <c r="E653" s="81" t="s">
        <v>1564</v>
      </c>
      <c r="F653" s="84">
        <v>304.0</v>
      </c>
      <c r="G653" s="81" t="s">
        <v>40</v>
      </c>
      <c r="H653" s="81" t="s">
        <v>5595</v>
      </c>
      <c r="I653" s="81" t="s">
        <v>224</v>
      </c>
      <c r="J653" s="81" t="s">
        <v>5143</v>
      </c>
    </row>
    <row r="654" hidden="1">
      <c r="A654" s="83" t="s">
        <v>4949</v>
      </c>
      <c r="B654" s="83" t="s">
        <v>4950</v>
      </c>
      <c r="C654" s="81" t="s">
        <v>4086</v>
      </c>
      <c r="D654" s="83" t="s">
        <v>4368</v>
      </c>
      <c r="E654" s="81" t="s">
        <v>1566</v>
      </c>
      <c r="F654" s="84">
        <v>305.0</v>
      </c>
      <c r="G654" s="81" t="s">
        <v>39</v>
      </c>
      <c r="H654" s="81" t="s">
        <v>5596</v>
      </c>
      <c r="I654" s="81" t="s">
        <v>1568</v>
      </c>
      <c r="J654" s="81" t="s">
        <v>224</v>
      </c>
    </row>
    <row r="655" hidden="1">
      <c r="A655" s="83" t="s">
        <v>4949</v>
      </c>
      <c r="B655" s="83" t="s">
        <v>4950</v>
      </c>
      <c r="C655" s="81" t="s">
        <v>5141</v>
      </c>
      <c r="D655" s="83" t="s">
        <v>4368</v>
      </c>
      <c r="E655" s="81" t="s">
        <v>1566</v>
      </c>
      <c r="F655" s="84">
        <v>305.0</v>
      </c>
      <c r="G655" s="81" t="s">
        <v>40</v>
      </c>
      <c r="H655" s="81" t="s">
        <v>5597</v>
      </c>
      <c r="I655" s="81" t="s">
        <v>224</v>
      </c>
      <c r="J655" s="81" t="s">
        <v>5143</v>
      </c>
    </row>
    <row r="656" hidden="1">
      <c r="A656" s="83" t="s">
        <v>4949</v>
      </c>
      <c r="B656" s="83" t="s">
        <v>4950</v>
      </c>
      <c r="C656" s="81" t="s">
        <v>4086</v>
      </c>
      <c r="D656" s="83" t="s">
        <v>4368</v>
      </c>
      <c r="E656" s="81" t="s">
        <v>1570</v>
      </c>
      <c r="F656" s="84">
        <v>306.0</v>
      </c>
      <c r="G656" s="81" t="s">
        <v>39</v>
      </c>
      <c r="H656" s="81" t="s">
        <v>5596</v>
      </c>
      <c r="I656" s="81" t="s">
        <v>1568</v>
      </c>
      <c r="J656" s="81" t="s">
        <v>224</v>
      </c>
    </row>
    <row r="657" hidden="1">
      <c r="A657" s="83" t="s">
        <v>4949</v>
      </c>
      <c r="B657" s="83" t="s">
        <v>4950</v>
      </c>
      <c r="C657" s="81" t="s">
        <v>5141</v>
      </c>
      <c r="D657" s="83" t="s">
        <v>4368</v>
      </c>
      <c r="E657" s="81" t="s">
        <v>1570</v>
      </c>
      <c r="F657" s="84">
        <v>306.0</v>
      </c>
      <c r="G657" s="81" t="s">
        <v>40</v>
      </c>
      <c r="H657" s="81" t="s">
        <v>5597</v>
      </c>
      <c r="I657" s="81" t="s">
        <v>224</v>
      </c>
      <c r="J657" s="81" t="s">
        <v>5143</v>
      </c>
    </row>
    <row r="658" hidden="1">
      <c r="A658" s="83" t="s">
        <v>4949</v>
      </c>
      <c r="B658" s="83" t="s">
        <v>4950</v>
      </c>
      <c r="C658" s="81" t="s">
        <v>4086</v>
      </c>
      <c r="D658" s="83" t="s">
        <v>4369</v>
      </c>
      <c r="E658" s="81" t="s">
        <v>1571</v>
      </c>
      <c r="F658" s="84">
        <v>307.0</v>
      </c>
      <c r="G658" s="81" t="s">
        <v>39</v>
      </c>
      <c r="H658" s="81" t="s">
        <v>5598</v>
      </c>
      <c r="I658" s="81" t="s">
        <v>1572</v>
      </c>
      <c r="J658" s="81" t="s">
        <v>224</v>
      </c>
    </row>
    <row r="659" hidden="1">
      <c r="A659" s="83" t="s">
        <v>4949</v>
      </c>
      <c r="B659" s="83" t="s">
        <v>4950</v>
      </c>
      <c r="C659" s="81" t="s">
        <v>5141</v>
      </c>
      <c r="D659" s="83" t="s">
        <v>4369</v>
      </c>
      <c r="E659" s="81" t="s">
        <v>1571</v>
      </c>
      <c r="F659" s="84">
        <v>307.0</v>
      </c>
      <c r="G659" s="81" t="s">
        <v>40</v>
      </c>
      <c r="H659" s="81" t="s">
        <v>5599</v>
      </c>
      <c r="I659" s="81" t="s">
        <v>224</v>
      </c>
      <c r="J659" s="81" t="s">
        <v>5143</v>
      </c>
    </row>
    <row r="660" hidden="1">
      <c r="A660" s="83" t="s">
        <v>4949</v>
      </c>
      <c r="B660" s="83" t="s">
        <v>4950</v>
      </c>
      <c r="C660" s="81" t="s">
        <v>4086</v>
      </c>
      <c r="D660" s="83" t="s">
        <v>4370</v>
      </c>
      <c r="E660" s="81" t="s">
        <v>1573</v>
      </c>
      <c r="F660" s="84">
        <v>308.0</v>
      </c>
      <c r="G660" s="81" t="s">
        <v>39</v>
      </c>
      <c r="H660" s="81" t="s">
        <v>5600</v>
      </c>
      <c r="I660" s="81" t="s">
        <v>1574</v>
      </c>
      <c r="J660" s="81" t="s">
        <v>224</v>
      </c>
    </row>
    <row r="661" hidden="1">
      <c r="A661" s="83" t="s">
        <v>4949</v>
      </c>
      <c r="B661" s="83" t="s">
        <v>4950</v>
      </c>
      <c r="C661" s="81" t="s">
        <v>5141</v>
      </c>
      <c r="D661" s="83" t="s">
        <v>4370</v>
      </c>
      <c r="E661" s="81" t="s">
        <v>1573</v>
      </c>
      <c r="F661" s="84">
        <v>308.0</v>
      </c>
      <c r="G661" s="81" t="s">
        <v>40</v>
      </c>
      <c r="H661" s="81" t="s">
        <v>5601</v>
      </c>
      <c r="I661" s="81" t="s">
        <v>224</v>
      </c>
      <c r="J661" s="81" t="s">
        <v>5143</v>
      </c>
    </row>
    <row r="662" hidden="1">
      <c r="A662" s="83" t="s">
        <v>4949</v>
      </c>
      <c r="B662" s="83" t="s">
        <v>4950</v>
      </c>
      <c r="C662" s="81" t="s">
        <v>4086</v>
      </c>
      <c r="D662" s="83" t="s">
        <v>4371</v>
      </c>
      <c r="E662" s="81" t="s">
        <v>1575</v>
      </c>
      <c r="F662" s="84">
        <v>309.0</v>
      </c>
      <c r="G662" s="81" t="s">
        <v>39</v>
      </c>
      <c r="H662" s="81" t="s">
        <v>5602</v>
      </c>
      <c r="I662" s="81" t="s">
        <v>1576</v>
      </c>
      <c r="J662" s="81" t="s">
        <v>224</v>
      </c>
    </row>
    <row r="663" hidden="1">
      <c r="A663" s="83" t="s">
        <v>4949</v>
      </c>
      <c r="B663" s="83" t="s">
        <v>4950</v>
      </c>
      <c r="C663" s="81" t="s">
        <v>5141</v>
      </c>
      <c r="D663" s="83" t="s">
        <v>4371</v>
      </c>
      <c r="E663" s="81" t="s">
        <v>1575</v>
      </c>
      <c r="F663" s="84">
        <v>309.0</v>
      </c>
      <c r="G663" s="81" t="s">
        <v>40</v>
      </c>
      <c r="H663" s="81" t="s">
        <v>5603</v>
      </c>
      <c r="I663" s="81" t="s">
        <v>224</v>
      </c>
      <c r="J663" s="81" t="s">
        <v>5143</v>
      </c>
    </row>
    <row r="664" hidden="1">
      <c r="A664" s="83" t="s">
        <v>4949</v>
      </c>
      <c r="B664" s="83" t="s">
        <v>4950</v>
      </c>
      <c r="C664" s="81" t="s">
        <v>4086</v>
      </c>
      <c r="D664" s="83" t="s">
        <v>4372</v>
      </c>
      <c r="E664" s="81" t="s">
        <v>1577</v>
      </c>
      <c r="F664" s="84">
        <v>310.0</v>
      </c>
      <c r="G664" s="81" t="s">
        <v>39</v>
      </c>
      <c r="H664" s="81" t="s">
        <v>5604</v>
      </c>
      <c r="I664" s="81" t="s">
        <v>1579</v>
      </c>
      <c r="J664" s="81" t="s">
        <v>224</v>
      </c>
    </row>
    <row r="665" hidden="1">
      <c r="A665" s="83" t="s">
        <v>4949</v>
      </c>
      <c r="B665" s="83" t="s">
        <v>4950</v>
      </c>
      <c r="C665" s="81" t="s">
        <v>4086</v>
      </c>
      <c r="D665" s="83" t="s">
        <v>4372</v>
      </c>
      <c r="E665" s="81" t="s">
        <v>1577</v>
      </c>
      <c r="F665" s="84">
        <v>310.0</v>
      </c>
      <c r="G665" s="81" t="s">
        <v>40</v>
      </c>
      <c r="H665" s="81" t="s">
        <v>5605</v>
      </c>
      <c r="I665" s="81" t="s">
        <v>1580</v>
      </c>
      <c r="J665" s="81" t="s">
        <v>224</v>
      </c>
    </row>
    <row r="666" hidden="1">
      <c r="A666" s="83" t="s">
        <v>4949</v>
      </c>
      <c r="B666" s="83" t="s">
        <v>4950</v>
      </c>
      <c r="C666" s="81" t="s">
        <v>4086</v>
      </c>
      <c r="D666" s="83" t="s">
        <v>4372</v>
      </c>
      <c r="E666" s="81" t="s">
        <v>1581</v>
      </c>
      <c r="F666" s="84">
        <v>311.0</v>
      </c>
      <c r="G666" s="81" t="s">
        <v>39</v>
      </c>
      <c r="H666" s="81" t="s">
        <v>5604</v>
      </c>
      <c r="I666" s="81" t="s">
        <v>1579</v>
      </c>
      <c r="J666" s="81" t="s">
        <v>224</v>
      </c>
    </row>
    <row r="667" hidden="1">
      <c r="A667" s="83" t="s">
        <v>4949</v>
      </c>
      <c r="B667" s="83" t="s">
        <v>4950</v>
      </c>
      <c r="C667" s="81" t="s">
        <v>4086</v>
      </c>
      <c r="D667" s="83" t="s">
        <v>4372</v>
      </c>
      <c r="E667" s="81" t="s">
        <v>1581</v>
      </c>
      <c r="F667" s="84">
        <v>311.0</v>
      </c>
      <c r="G667" s="81" t="s">
        <v>40</v>
      </c>
      <c r="H667" s="81" t="s">
        <v>5605</v>
      </c>
      <c r="I667" s="81" t="s">
        <v>1580</v>
      </c>
      <c r="J667" s="81" t="s">
        <v>224</v>
      </c>
    </row>
    <row r="668" hidden="1">
      <c r="A668" s="83" t="s">
        <v>4949</v>
      </c>
      <c r="B668" s="83" t="s">
        <v>4950</v>
      </c>
      <c r="C668" s="81" t="s">
        <v>4086</v>
      </c>
      <c r="D668" s="83" t="s">
        <v>4374</v>
      </c>
      <c r="E668" s="81" t="s">
        <v>1583</v>
      </c>
      <c r="F668" s="84">
        <v>312.0</v>
      </c>
      <c r="G668" s="81" t="s">
        <v>39</v>
      </c>
      <c r="H668" s="81" t="s">
        <v>5606</v>
      </c>
      <c r="I668" s="81" t="s">
        <v>1584</v>
      </c>
      <c r="J668" s="81" t="s">
        <v>224</v>
      </c>
    </row>
    <row r="669" hidden="1">
      <c r="A669" s="83" t="s">
        <v>4949</v>
      </c>
      <c r="B669" s="83" t="s">
        <v>4950</v>
      </c>
      <c r="C669" s="81" t="s">
        <v>4086</v>
      </c>
      <c r="D669" s="83" t="s">
        <v>4374</v>
      </c>
      <c r="E669" s="81" t="s">
        <v>1583</v>
      </c>
      <c r="F669" s="84">
        <v>312.0</v>
      </c>
      <c r="G669" s="81" t="s">
        <v>40</v>
      </c>
      <c r="H669" s="81" t="s">
        <v>5607</v>
      </c>
      <c r="I669" s="81" t="s">
        <v>1585</v>
      </c>
      <c r="J669" s="81" t="s">
        <v>224</v>
      </c>
    </row>
    <row r="670" hidden="1">
      <c r="A670" s="83" t="s">
        <v>4949</v>
      </c>
      <c r="B670" s="83" t="s">
        <v>4950</v>
      </c>
      <c r="C670" s="81" t="s">
        <v>4086</v>
      </c>
      <c r="D670" s="83" t="s">
        <v>4375</v>
      </c>
      <c r="E670" s="81" t="s">
        <v>1586</v>
      </c>
      <c r="F670" s="84">
        <v>313.0</v>
      </c>
      <c r="G670" s="81" t="s">
        <v>39</v>
      </c>
      <c r="H670" s="81" t="s">
        <v>5608</v>
      </c>
      <c r="I670" s="81" t="s">
        <v>1588</v>
      </c>
      <c r="J670" s="81" t="s">
        <v>224</v>
      </c>
    </row>
    <row r="671" hidden="1">
      <c r="A671" s="83" t="s">
        <v>4949</v>
      </c>
      <c r="B671" s="83" t="s">
        <v>4950</v>
      </c>
      <c r="C671" s="81" t="s">
        <v>4086</v>
      </c>
      <c r="D671" s="83" t="s">
        <v>4375</v>
      </c>
      <c r="E671" s="81" t="s">
        <v>1586</v>
      </c>
      <c r="F671" s="84">
        <v>313.0</v>
      </c>
      <c r="G671" s="81" t="s">
        <v>40</v>
      </c>
      <c r="H671" s="81" t="s">
        <v>5609</v>
      </c>
      <c r="I671" s="81" t="s">
        <v>1589</v>
      </c>
      <c r="J671" s="81" t="s">
        <v>224</v>
      </c>
    </row>
    <row r="672" hidden="1">
      <c r="A672" s="83" t="s">
        <v>4949</v>
      </c>
      <c r="B672" s="83" t="s">
        <v>4950</v>
      </c>
      <c r="C672" s="81" t="s">
        <v>4086</v>
      </c>
      <c r="D672" s="83" t="s">
        <v>4375</v>
      </c>
      <c r="E672" s="81" t="s">
        <v>1590</v>
      </c>
      <c r="F672" s="84">
        <v>314.0</v>
      </c>
      <c r="G672" s="81" t="s">
        <v>39</v>
      </c>
      <c r="H672" s="81" t="s">
        <v>5608</v>
      </c>
      <c r="I672" s="81" t="s">
        <v>1588</v>
      </c>
      <c r="J672" s="81" t="s">
        <v>224</v>
      </c>
    </row>
    <row r="673" hidden="1">
      <c r="A673" s="83" t="s">
        <v>4949</v>
      </c>
      <c r="B673" s="83" t="s">
        <v>4950</v>
      </c>
      <c r="C673" s="81" t="s">
        <v>4086</v>
      </c>
      <c r="D673" s="83" t="s">
        <v>4375</v>
      </c>
      <c r="E673" s="81" t="s">
        <v>1590</v>
      </c>
      <c r="F673" s="84">
        <v>314.0</v>
      </c>
      <c r="G673" s="81" t="s">
        <v>40</v>
      </c>
      <c r="H673" s="81" t="s">
        <v>5609</v>
      </c>
      <c r="I673" s="81" t="s">
        <v>1589</v>
      </c>
      <c r="J673" s="81" t="s">
        <v>224</v>
      </c>
    </row>
    <row r="674" hidden="1">
      <c r="A674" s="83" t="s">
        <v>4949</v>
      </c>
      <c r="B674" s="83" t="s">
        <v>4950</v>
      </c>
      <c r="C674" s="81" t="s">
        <v>4086</v>
      </c>
      <c r="D674" s="83" t="s">
        <v>4376</v>
      </c>
      <c r="E674" s="81" t="s">
        <v>1591</v>
      </c>
      <c r="F674" s="84">
        <v>315.0</v>
      </c>
      <c r="G674" s="81" t="s">
        <v>39</v>
      </c>
      <c r="H674" s="81" t="s">
        <v>5610</v>
      </c>
      <c r="I674" s="81" t="s">
        <v>1592</v>
      </c>
      <c r="J674" s="81" t="s">
        <v>224</v>
      </c>
    </row>
    <row r="675" hidden="1">
      <c r="A675" s="83" t="s">
        <v>4949</v>
      </c>
      <c r="B675" s="83" t="s">
        <v>4950</v>
      </c>
      <c r="C675" s="81" t="s">
        <v>4086</v>
      </c>
      <c r="D675" s="83" t="s">
        <v>4376</v>
      </c>
      <c r="E675" s="81" t="s">
        <v>1591</v>
      </c>
      <c r="F675" s="84">
        <v>315.0</v>
      </c>
      <c r="G675" s="81" t="s">
        <v>40</v>
      </c>
      <c r="H675" s="81" t="s">
        <v>5611</v>
      </c>
      <c r="I675" s="81" t="s">
        <v>1593</v>
      </c>
      <c r="J675" s="81" t="s">
        <v>224</v>
      </c>
    </row>
    <row r="676" hidden="1">
      <c r="A676" s="83" t="s">
        <v>4949</v>
      </c>
      <c r="B676" s="83" t="s">
        <v>4950</v>
      </c>
      <c r="C676" s="81" t="s">
        <v>4086</v>
      </c>
      <c r="D676" s="83" t="s">
        <v>4377</v>
      </c>
      <c r="E676" s="81" t="s">
        <v>1594</v>
      </c>
      <c r="F676" s="84">
        <v>316.0</v>
      </c>
      <c r="G676" s="81" t="s">
        <v>39</v>
      </c>
      <c r="H676" s="81" t="s">
        <v>5612</v>
      </c>
      <c r="I676" s="81" t="s">
        <v>1602</v>
      </c>
      <c r="J676" s="81" t="s">
        <v>224</v>
      </c>
    </row>
    <row r="677" hidden="1">
      <c r="A677" s="83" t="s">
        <v>4949</v>
      </c>
      <c r="B677" s="83" t="s">
        <v>4950</v>
      </c>
      <c r="C677" s="81" t="s">
        <v>4086</v>
      </c>
      <c r="D677" s="83" t="s">
        <v>4377</v>
      </c>
      <c r="E677" s="81" t="s">
        <v>1594</v>
      </c>
      <c r="F677" s="84">
        <v>316.0</v>
      </c>
      <c r="G677" s="81" t="s">
        <v>40</v>
      </c>
      <c r="H677" s="81" t="s">
        <v>5613</v>
      </c>
      <c r="I677" s="81" t="s">
        <v>1603</v>
      </c>
      <c r="J677" s="81" t="s">
        <v>224</v>
      </c>
    </row>
    <row r="678" hidden="1">
      <c r="A678" s="83" t="s">
        <v>4949</v>
      </c>
      <c r="B678" s="83" t="s">
        <v>4950</v>
      </c>
      <c r="C678" s="81" t="s">
        <v>4086</v>
      </c>
      <c r="D678" s="83" t="s">
        <v>4378</v>
      </c>
      <c r="E678" s="81" t="s">
        <v>1609</v>
      </c>
      <c r="F678" s="84">
        <v>317.0</v>
      </c>
      <c r="G678" s="81" t="s">
        <v>39</v>
      </c>
      <c r="H678" s="81" t="s">
        <v>5614</v>
      </c>
      <c r="I678" s="81" t="s">
        <v>1614</v>
      </c>
      <c r="J678" s="81" t="s">
        <v>224</v>
      </c>
    </row>
    <row r="679" hidden="1">
      <c r="A679" s="83" t="s">
        <v>4949</v>
      </c>
      <c r="B679" s="83" t="s">
        <v>4950</v>
      </c>
      <c r="C679" s="81" t="s">
        <v>5141</v>
      </c>
      <c r="D679" s="83" t="s">
        <v>4378</v>
      </c>
      <c r="E679" s="81" t="s">
        <v>1609</v>
      </c>
      <c r="F679" s="84">
        <v>317.0</v>
      </c>
      <c r="G679" s="81" t="s">
        <v>40</v>
      </c>
      <c r="H679" s="81" t="s">
        <v>5615</v>
      </c>
      <c r="I679" s="81" t="s">
        <v>224</v>
      </c>
      <c r="J679" s="81" t="s">
        <v>5143</v>
      </c>
    </row>
    <row r="680" hidden="1">
      <c r="A680" s="83" t="s">
        <v>4949</v>
      </c>
      <c r="B680" s="83" t="s">
        <v>4950</v>
      </c>
      <c r="C680" s="81" t="s">
        <v>4086</v>
      </c>
      <c r="D680" s="83" t="s">
        <v>4378</v>
      </c>
      <c r="E680" s="81" t="s">
        <v>1616</v>
      </c>
      <c r="F680" s="84">
        <v>318.0</v>
      </c>
      <c r="G680" s="81" t="s">
        <v>39</v>
      </c>
      <c r="H680" s="81" t="s">
        <v>5614</v>
      </c>
      <c r="I680" s="81" t="s">
        <v>1614</v>
      </c>
      <c r="J680" s="81" t="s">
        <v>224</v>
      </c>
    </row>
    <row r="681" hidden="1">
      <c r="A681" s="83" t="s">
        <v>4949</v>
      </c>
      <c r="B681" s="83" t="s">
        <v>4950</v>
      </c>
      <c r="C681" s="81" t="s">
        <v>5141</v>
      </c>
      <c r="D681" s="83" t="s">
        <v>4378</v>
      </c>
      <c r="E681" s="81" t="s">
        <v>1616</v>
      </c>
      <c r="F681" s="84">
        <v>318.0</v>
      </c>
      <c r="G681" s="81" t="s">
        <v>40</v>
      </c>
      <c r="H681" s="81" t="s">
        <v>5615</v>
      </c>
      <c r="I681" s="81" t="s">
        <v>224</v>
      </c>
      <c r="J681" s="81" t="s">
        <v>5143</v>
      </c>
    </row>
    <row r="682" hidden="1">
      <c r="A682" s="83" t="s">
        <v>4949</v>
      </c>
      <c r="B682" s="83" t="s">
        <v>4950</v>
      </c>
      <c r="C682" s="81" t="s">
        <v>4082</v>
      </c>
      <c r="D682" s="83" t="s">
        <v>4380</v>
      </c>
      <c r="E682" s="81" t="s">
        <v>1617</v>
      </c>
      <c r="F682" s="84">
        <v>319.0</v>
      </c>
      <c r="G682" s="81" t="s">
        <v>39</v>
      </c>
      <c r="H682" s="81" t="s">
        <v>224</v>
      </c>
      <c r="I682" s="81" t="s">
        <v>224</v>
      </c>
      <c r="J682" s="81" t="s">
        <v>5616</v>
      </c>
    </row>
    <row r="683" hidden="1">
      <c r="A683" s="83" t="s">
        <v>4949</v>
      </c>
      <c r="B683" s="83" t="s">
        <v>4950</v>
      </c>
      <c r="C683" s="81" t="s">
        <v>5141</v>
      </c>
      <c r="D683" s="83" t="s">
        <v>4380</v>
      </c>
      <c r="E683" s="81" t="s">
        <v>1617</v>
      </c>
      <c r="F683" s="84">
        <v>319.0</v>
      </c>
      <c r="G683" s="81" t="s">
        <v>39</v>
      </c>
      <c r="H683" s="81" t="s">
        <v>5617</v>
      </c>
      <c r="I683" s="81" t="s">
        <v>224</v>
      </c>
      <c r="J683" s="81" t="s">
        <v>5143</v>
      </c>
    </row>
    <row r="684" hidden="1">
      <c r="A684" s="83" t="s">
        <v>4949</v>
      </c>
      <c r="B684" s="83" t="s">
        <v>4950</v>
      </c>
      <c r="C684" s="81" t="s">
        <v>4086</v>
      </c>
      <c r="D684" s="83" t="s">
        <v>4380</v>
      </c>
      <c r="E684" s="81" t="s">
        <v>1617</v>
      </c>
      <c r="F684" s="84">
        <v>319.0</v>
      </c>
      <c r="G684" s="81" t="s">
        <v>40</v>
      </c>
      <c r="H684" s="81" t="s">
        <v>5618</v>
      </c>
      <c r="I684" s="81" t="s">
        <v>1619</v>
      </c>
      <c r="J684" s="81" t="s">
        <v>224</v>
      </c>
    </row>
    <row r="685" hidden="1">
      <c r="A685" s="83" t="s">
        <v>4949</v>
      </c>
      <c r="B685" s="83" t="s">
        <v>4950</v>
      </c>
      <c r="C685" s="81" t="s">
        <v>4086</v>
      </c>
      <c r="D685" s="83" t="s">
        <v>4381</v>
      </c>
      <c r="E685" s="81" t="s">
        <v>1620</v>
      </c>
      <c r="F685" s="84">
        <v>320.0</v>
      </c>
      <c r="G685" s="81" t="s">
        <v>39</v>
      </c>
      <c r="H685" s="81" t="s">
        <v>5619</v>
      </c>
      <c r="I685" s="81" t="s">
        <v>1621</v>
      </c>
      <c r="J685" s="81" t="s">
        <v>224</v>
      </c>
    </row>
    <row r="686" hidden="1">
      <c r="A686" s="83" t="s">
        <v>4949</v>
      </c>
      <c r="B686" s="83" t="s">
        <v>4950</v>
      </c>
      <c r="C686" s="81" t="s">
        <v>4086</v>
      </c>
      <c r="D686" s="83" t="s">
        <v>4381</v>
      </c>
      <c r="E686" s="81" t="s">
        <v>1620</v>
      </c>
      <c r="F686" s="84">
        <v>320.0</v>
      </c>
      <c r="G686" s="81" t="s">
        <v>40</v>
      </c>
      <c r="H686" s="81" t="s">
        <v>5620</v>
      </c>
      <c r="I686" s="81" t="s">
        <v>1622</v>
      </c>
      <c r="J686" s="81" t="s">
        <v>224</v>
      </c>
    </row>
    <row r="687" hidden="1">
      <c r="A687" s="83" t="s">
        <v>4949</v>
      </c>
      <c r="B687" s="83" t="s">
        <v>4950</v>
      </c>
      <c r="C687" s="81" t="s">
        <v>4086</v>
      </c>
      <c r="D687" s="83" t="s">
        <v>4382</v>
      </c>
      <c r="E687" s="81" t="s">
        <v>1623</v>
      </c>
      <c r="F687" s="84">
        <v>321.0</v>
      </c>
      <c r="G687" s="81" t="s">
        <v>40</v>
      </c>
      <c r="H687" s="81" t="s">
        <v>5621</v>
      </c>
      <c r="I687" s="81" t="s">
        <v>1626</v>
      </c>
      <c r="J687" s="81" t="s">
        <v>224</v>
      </c>
    </row>
    <row r="688" hidden="1">
      <c r="A688" s="83" t="s">
        <v>4949</v>
      </c>
      <c r="B688" s="83" t="s">
        <v>4950</v>
      </c>
      <c r="C688" s="81" t="s">
        <v>4086</v>
      </c>
      <c r="D688" s="83" t="s">
        <v>4383</v>
      </c>
      <c r="E688" s="81" t="s">
        <v>1629</v>
      </c>
      <c r="F688" s="84">
        <v>322.0</v>
      </c>
      <c r="G688" s="81" t="s">
        <v>39</v>
      </c>
      <c r="H688" s="81" t="s">
        <v>5622</v>
      </c>
      <c r="I688" s="81" t="s">
        <v>1638</v>
      </c>
      <c r="J688" s="81" t="s">
        <v>224</v>
      </c>
    </row>
    <row r="689" hidden="1">
      <c r="A689" s="83" t="s">
        <v>4949</v>
      </c>
      <c r="B689" s="83" t="s">
        <v>4950</v>
      </c>
      <c r="C689" s="81" t="s">
        <v>4086</v>
      </c>
      <c r="D689" s="83" t="s">
        <v>4383</v>
      </c>
      <c r="E689" s="81" t="s">
        <v>1629</v>
      </c>
      <c r="F689" s="84">
        <v>322.0</v>
      </c>
      <c r="G689" s="81" t="s">
        <v>40</v>
      </c>
      <c r="H689" s="81" t="s">
        <v>5623</v>
      </c>
      <c r="I689" s="81" t="s">
        <v>1639</v>
      </c>
      <c r="J689" s="81" t="s">
        <v>224</v>
      </c>
    </row>
    <row r="690" hidden="1">
      <c r="A690" s="83" t="s">
        <v>4949</v>
      </c>
      <c r="B690" s="83" t="s">
        <v>4950</v>
      </c>
      <c r="C690" s="81" t="s">
        <v>4086</v>
      </c>
      <c r="D690" s="83" t="s">
        <v>4383</v>
      </c>
      <c r="E690" s="81" t="s">
        <v>1645</v>
      </c>
      <c r="F690" s="84">
        <v>323.0</v>
      </c>
      <c r="G690" s="81" t="s">
        <v>40</v>
      </c>
      <c r="H690" s="81" t="s">
        <v>5623</v>
      </c>
      <c r="I690" s="81" t="s">
        <v>1639</v>
      </c>
      <c r="J690" s="81" t="s">
        <v>224</v>
      </c>
    </row>
    <row r="691" hidden="1">
      <c r="A691" s="83" t="s">
        <v>4949</v>
      </c>
      <c r="B691" s="83" t="s">
        <v>4950</v>
      </c>
      <c r="C691" s="81" t="s">
        <v>4086</v>
      </c>
      <c r="D691" s="83" t="s">
        <v>4384</v>
      </c>
      <c r="E691" s="81" t="s">
        <v>1646</v>
      </c>
      <c r="F691" s="84">
        <v>324.0</v>
      </c>
      <c r="G691" s="81" t="s">
        <v>39</v>
      </c>
      <c r="H691" s="81" t="s">
        <v>5624</v>
      </c>
      <c r="I691" s="81" t="s">
        <v>1647</v>
      </c>
      <c r="J691" s="81" t="s">
        <v>224</v>
      </c>
    </row>
    <row r="692" hidden="1">
      <c r="A692" s="83" t="s">
        <v>4949</v>
      </c>
      <c r="B692" s="83" t="s">
        <v>4950</v>
      </c>
      <c r="C692" s="81" t="s">
        <v>4086</v>
      </c>
      <c r="D692" s="83" t="s">
        <v>4384</v>
      </c>
      <c r="E692" s="81" t="s">
        <v>1646</v>
      </c>
      <c r="F692" s="84">
        <v>324.0</v>
      </c>
      <c r="G692" s="81" t="s">
        <v>40</v>
      </c>
      <c r="H692" s="81" t="s">
        <v>5625</v>
      </c>
      <c r="I692" s="81" t="s">
        <v>1648</v>
      </c>
      <c r="J692" s="81" t="s">
        <v>224</v>
      </c>
    </row>
    <row r="693" hidden="1">
      <c r="A693" s="83" t="s">
        <v>4949</v>
      </c>
      <c r="B693" s="83" t="s">
        <v>4950</v>
      </c>
      <c r="C693" s="81" t="s">
        <v>4086</v>
      </c>
      <c r="D693" s="83" t="s">
        <v>4385</v>
      </c>
      <c r="E693" s="81" t="s">
        <v>1649</v>
      </c>
      <c r="F693" s="84">
        <v>325.0</v>
      </c>
      <c r="G693" s="81" t="s">
        <v>39</v>
      </c>
      <c r="H693" s="81" t="s">
        <v>5626</v>
      </c>
      <c r="I693" s="81" t="s">
        <v>1651</v>
      </c>
      <c r="J693" s="81" t="s">
        <v>224</v>
      </c>
    </row>
    <row r="694" hidden="1">
      <c r="A694" s="83" t="s">
        <v>4949</v>
      </c>
      <c r="B694" s="83" t="s">
        <v>4950</v>
      </c>
      <c r="C694" s="81" t="s">
        <v>5141</v>
      </c>
      <c r="D694" s="83" t="s">
        <v>4385</v>
      </c>
      <c r="E694" s="81" t="s">
        <v>1649</v>
      </c>
      <c r="F694" s="84">
        <v>325.0</v>
      </c>
      <c r="G694" s="81" t="s">
        <v>40</v>
      </c>
      <c r="H694" s="81" t="s">
        <v>5627</v>
      </c>
      <c r="I694" s="81" t="s">
        <v>224</v>
      </c>
      <c r="J694" s="81" t="s">
        <v>5143</v>
      </c>
    </row>
    <row r="695" hidden="1">
      <c r="A695" s="83" t="s">
        <v>4949</v>
      </c>
      <c r="B695" s="83" t="s">
        <v>4950</v>
      </c>
      <c r="C695" s="81" t="s">
        <v>5141</v>
      </c>
      <c r="D695" s="83" t="s">
        <v>4385</v>
      </c>
      <c r="E695" s="81" t="s">
        <v>1652</v>
      </c>
      <c r="F695" s="84">
        <v>326.0</v>
      </c>
      <c r="G695" s="81" t="s">
        <v>40</v>
      </c>
      <c r="H695" s="81" t="s">
        <v>49</v>
      </c>
      <c r="I695" s="81" t="s">
        <v>224</v>
      </c>
      <c r="J695" s="81" t="s">
        <v>5143</v>
      </c>
    </row>
    <row r="696" hidden="1">
      <c r="A696" s="83" t="s">
        <v>4949</v>
      </c>
      <c r="B696" s="83" t="s">
        <v>4950</v>
      </c>
      <c r="C696" s="81" t="s">
        <v>4086</v>
      </c>
      <c r="D696" s="83" t="s">
        <v>4386</v>
      </c>
      <c r="E696" s="81" t="s">
        <v>1653</v>
      </c>
      <c r="F696" s="84">
        <v>327.0</v>
      </c>
      <c r="G696" s="81" t="s">
        <v>39</v>
      </c>
      <c r="H696" s="81" t="s">
        <v>5628</v>
      </c>
      <c r="I696" s="81" t="s">
        <v>1654</v>
      </c>
      <c r="J696" s="81" t="s">
        <v>224</v>
      </c>
    </row>
    <row r="697" hidden="1">
      <c r="A697" s="83" t="s">
        <v>4949</v>
      </c>
      <c r="B697" s="83" t="s">
        <v>4950</v>
      </c>
      <c r="C697" s="81" t="s">
        <v>5141</v>
      </c>
      <c r="D697" s="83" t="s">
        <v>4386</v>
      </c>
      <c r="E697" s="81" t="s">
        <v>1653</v>
      </c>
      <c r="F697" s="84">
        <v>327.0</v>
      </c>
      <c r="G697" s="81" t="s">
        <v>40</v>
      </c>
      <c r="H697" s="81" t="s">
        <v>5629</v>
      </c>
      <c r="I697" s="81" t="s">
        <v>224</v>
      </c>
      <c r="J697" s="81" t="s">
        <v>5143</v>
      </c>
    </row>
    <row r="698" hidden="1">
      <c r="A698" s="83" t="s">
        <v>4949</v>
      </c>
      <c r="B698" s="83" t="s">
        <v>4950</v>
      </c>
      <c r="C698" s="81" t="s">
        <v>4086</v>
      </c>
      <c r="D698" s="83" t="s">
        <v>4387</v>
      </c>
      <c r="E698" s="81" t="s">
        <v>1655</v>
      </c>
      <c r="F698" s="84">
        <v>328.0</v>
      </c>
      <c r="G698" s="81" t="s">
        <v>39</v>
      </c>
      <c r="H698" s="81" t="s">
        <v>5630</v>
      </c>
      <c r="I698" s="81" t="s">
        <v>1660</v>
      </c>
      <c r="J698" s="81" t="s">
        <v>224</v>
      </c>
    </row>
    <row r="699" hidden="1">
      <c r="A699" s="83" t="s">
        <v>4949</v>
      </c>
      <c r="B699" s="83" t="s">
        <v>4950</v>
      </c>
      <c r="C699" s="81" t="s">
        <v>4086</v>
      </c>
      <c r="D699" s="83" t="s">
        <v>4387</v>
      </c>
      <c r="E699" s="81" t="s">
        <v>1655</v>
      </c>
      <c r="F699" s="84">
        <v>328.0</v>
      </c>
      <c r="G699" s="81" t="s">
        <v>40</v>
      </c>
      <c r="H699" s="81" t="s">
        <v>5631</v>
      </c>
      <c r="I699" s="81" t="s">
        <v>1661</v>
      </c>
      <c r="J699" s="81" t="s">
        <v>224</v>
      </c>
    </row>
    <row r="700" hidden="1">
      <c r="A700" s="83" t="s">
        <v>4949</v>
      </c>
      <c r="B700" s="83" t="s">
        <v>4950</v>
      </c>
      <c r="C700" s="81" t="s">
        <v>4086</v>
      </c>
      <c r="D700" s="83" t="s">
        <v>4387</v>
      </c>
      <c r="E700" s="81" t="s">
        <v>1665</v>
      </c>
      <c r="F700" s="84">
        <v>329.0</v>
      </c>
      <c r="G700" s="81" t="s">
        <v>39</v>
      </c>
      <c r="H700" s="81" t="s">
        <v>5630</v>
      </c>
      <c r="I700" s="81" t="s">
        <v>1660</v>
      </c>
      <c r="J700" s="81" t="s">
        <v>224</v>
      </c>
    </row>
    <row r="701" hidden="1">
      <c r="A701" s="83" t="s">
        <v>4949</v>
      </c>
      <c r="B701" s="83" t="s">
        <v>4950</v>
      </c>
      <c r="C701" s="81" t="s">
        <v>4086</v>
      </c>
      <c r="D701" s="83" t="s">
        <v>4387</v>
      </c>
      <c r="E701" s="81" t="s">
        <v>1665</v>
      </c>
      <c r="F701" s="84">
        <v>329.0</v>
      </c>
      <c r="G701" s="81" t="s">
        <v>40</v>
      </c>
      <c r="H701" s="81" t="s">
        <v>5631</v>
      </c>
      <c r="I701" s="81" t="s">
        <v>1661</v>
      </c>
      <c r="J701" s="81" t="s">
        <v>224</v>
      </c>
    </row>
    <row r="702" hidden="1">
      <c r="A702" s="83" t="s">
        <v>4949</v>
      </c>
      <c r="B702" s="83" t="s">
        <v>4950</v>
      </c>
      <c r="C702" s="81" t="s">
        <v>4086</v>
      </c>
      <c r="D702" s="83" t="s">
        <v>4388</v>
      </c>
      <c r="E702" s="81" t="s">
        <v>1666</v>
      </c>
      <c r="F702" s="84">
        <v>330.0</v>
      </c>
      <c r="G702" s="81" t="s">
        <v>39</v>
      </c>
      <c r="H702" s="81" t="s">
        <v>5632</v>
      </c>
      <c r="I702" s="81" t="s">
        <v>1668</v>
      </c>
      <c r="J702" s="81" t="s">
        <v>224</v>
      </c>
    </row>
    <row r="703" hidden="1">
      <c r="A703" s="83" t="s">
        <v>4949</v>
      </c>
      <c r="B703" s="83" t="s">
        <v>4950</v>
      </c>
      <c r="C703" s="81" t="s">
        <v>4086</v>
      </c>
      <c r="D703" s="83" t="s">
        <v>4388</v>
      </c>
      <c r="E703" s="81" t="s">
        <v>1666</v>
      </c>
      <c r="F703" s="84">
        <v>330.0</v>
      </c>
      <c r="G703" s="81" t="s">
        <v>40</v>
      </c>
      <c r="H703" s="81" t="s">
        <v>5633</v>
      </c>
      <c r="I703" s="81" t="s">
        <v>1669</v>
      </c>
      <c r="J703" s="81" t="s">
        <v>224</v>
      </c>
    </row>
    <row r="704" hidden="1">
      <c r="A704" s="83" t="s">
        <v>4949</v>
      </c>
      <c r="B704" s="83" t="s">
        <v>4950</v>
      </c>
      <c r="C704" s="81" t="s">
        <v>4086</v>
      </c>
      <c r="D704" s="83" t="s">
        <v>4389</v>
      </c>
      <c r="E704" s="81" t="s">
        <v>1670</v>
      </c>
      <c r="F704" s="84">
        <v>331.0</v>
      </c>
      <c r="G704" s="81" t="s">
        <v>39</v>
      </c>
      <c r="H704" s="81" t="s">
        <v>5634</v>
      </c>
      <c r="I704" s="81" t="s">
        <v>1673</v>
      </c>
      <c r="J704" s="81" t="s">
        <v>224</v>
      </c>
    </row>
    <row r="705" hidden="1">
      <c r="A705" s="83" t="s">
        <v>4949</v>
      </c>
      <c r="B705" s="83" t="s">
        <v>4950</v>
      </c>
      <c r="C705" s="81" t="s">
        <v>4086</v>
      </c>
      <c r="D705" s="83" t="s">
        <v>4389</v>
      </c>
      <c r="E705" s="81" t="s">
        <v>1670</v>
      </c>
      <c r="F705" s="84">
        <v>331.0</v>
      </c>
      <c r="G705" s="81" t="s">
        <v>40</v>
      </c>
      <c r="H705" s="81" t="s">
        <v>5635</v>
      </c>
      <c r="I705" s="81" t="s">
        <v>1674</v>
      </c>
      <c r="J705" s="81" t="s">
        <v>224</v>
      </c>
    </row>
    <row r="706" hidden="1">
      <c r="A706" s="83" t="s">
        <v>4949</v>
      </c>
      <c r="B706" s="83" t="s">
        <v>4950</v>
      </c>
      <c r="C706" s="81" t="s">
        <v>4086</v>
      </c>
      <c r="D706" s="83" t="s">
        <v>4389</v>
      </c>
      <c r="E706" s="81" t="s">
        <v>1678</v>
      </c>
      <c r="F706" s="84">
        <v>332.0</v>
      </c>
      <c r="G706" s="81" t="s">
        <v>39</v>
      </c>
      <c r="H706" s="81" t="s">
        <v>5636</v>
      </c>
      <c r="I706" s="81" t="s">
        <v>1673</v>
      </c>
      <c r="J706" s="81" t="s">
        <v>224</v>
      </c>
    </row>
    <row r="707" hidden="1">
      <c r="A707" s="83" t="s">
        <v>4949</v>
      </c>
      <c r="B707" s="83" t="s">
        <v>4950</v>
      </c>
      <c r="C707" s="81" t="s">
        <v>4086</v>
      </c>
      <c r="D707" s="83" t="s">
        <v>4389</v>
      </c>
      <c r="E707" s="81" t="s">
        <v>1678</v>
      </c>
      <c r="F707" s="84">
        <v>332.0</v>
      </c>
      <c r="G707" s="81" t="s">
        <v>40</v>
      </c>
      <c r="H707" s="81" t="s">
        <v>5635</v>
      </c>
      <c r="I707" s="81" t="s">
        <v>1674</v>
      </c>
      <c r="J707" s="81" t="s">
        <v>224</v>
      </c>
    </row>
    <row r="708" hidden="1">
      <c r="A708" s="83" t="s">
        <v>4949</v>
      </c>
      <c r="B708" s="83" t="s">
        <v>4950</v>
      </c>
      <c r="C708" s="81" t="s">
        <v>4086</v>
      </c>
      <c r="D708" s="83" t="s">
        <v>4390</v>
      </c>
      <c r="E708" s="81" t="s">
        <v>1679</v>
      </c>
      <c r="F708" s="84">
        <v>333.0</v>
      </c>
      <c r="G708" s="81" t="s">
        <v>39</v>
      </c>
      <c r="H708" s="81" t="s">
        <v>5637</v>
      </c>
      <c r="I708" s="81" t="s">
        <v>1680</v>
      </c>
      <c r="J708" s="81" t="s">
        <v>224</v>
      </c>
    </row>
    <row r="709" hidden="1">
      <c r="A709" s="83" t="s">
        <v>4949</v>
      </c>
      <c r="B709" s="83" t="s">
        <v>4950</v>
      </c>
      <c r="C709" s="81" t="s">
        <v>4086</v>
      </c>
      <c r="D709" s="83" t="s">
        <v>4390</v>
      </c>
      <c r="E709" s="81" t="s">
        <v>1679</v>
      </c>
      <c r="F709" s="84">
        <v>333.0</v>
      </c>
      <c r="G709" s="81" t="s">
        <v>40</v>
      </c>
      <c r="H709" s="81" t="s">
        <v>5638</v>
      </c>
      <c r="I709" s="81" t="s">
        <v>1681</v>
      </c>
      <c r="J709" s="81" t="s">
        <v>224</v>
      </c>
    </row>
    <row r="710" hidden="1">
      <c r="A710" s="83" t="s">
        <v>4949</v>
      </c>
      <c r="B710" s="83" t="s">
        <v>4950</v>
      </c>
      <c r="C710" s="81" t="s">
        <v>4086</v>
      </c>
      <c r="D710" s="83" t="s">
        <v>4391</v>
      </c>
      <c r="E710" s="81" t="s">
        <v>1682</v>
      </c>
      <c r="F710" s="84">
        <v>334.0</v>
      </c>
      <c r="G710" s="81" t="s">
        <v>39</v>
      </c>
      <c r="H710" s="81" t="s">
        <v>5484</v>
      </c>
      <c r="I710" s="81" t="s">
        <v>1686</v>
      </c>
      <c r="J710" s="81" t="s">
        <v>224</v>
      </c>
    </row>
    <row r="711" hidden="1">
      <c r="A711" s="83" t="s">
        <v>4949</v>
      </c>
      <c r="B711" s="83" t="s">
        <v>4950</v>
      </c>
      <c r="C711" s="81" t="s">
        <v>5141</v>
      </c>
      <c r="D711" s="83" t="s">
        <v>4391</v>
      </c>
      <c r="E711" s="81" t="s">
        <v>1682</v>
      </c>
      <c r="F711" s="84">
        <v>334.0</v>
      </c>
      <c r="G711" s="81" t="s">
        <v>40</v>
      </c>
      <c r="H711" s="81" t="s">
        <v>5485</v>
      </c>
      <c r="I711" s="81" t="s">
        <v>224</v>
      </c>
      <c r="J711" s="81" t="s">
        <v>5143</v>
      </c>
    </row>
    <row r="712" hidden="1">
      <c r="A712" s="83" t="s">
        <v>4949</v>
      </c>
      <c r="B712" s="83" t="s">
        <v>4950</v>
      </c>
      <c r="C712" s="81" t="s">
        <v>4086</v>
      </c>
      <c r="D712" s="83" t="s">
        <v>4393</v>
      </c>
      <c r="E712" s="81" t="s">
        <v>1690</v>
      </c>
      <c r="F712" s="84">
        <v>335.0</v>
      </c>
      <c r="G712" s="81" t="s">
        <v>39</v>
      </c>
      <c r="H712" s="81" t="s">
        <v>5478</v>
      </c>
      <c r="I712" s="81" t="s">
        <v>1693</v>
      </c>
      <c r="J712" s="81" t="s">
        <v>224</v>
      </c>
    </row>
    <row r="713" hidden="1">
      <c r="A713" s="83" t="s">
        <v>4949</v>
      </c>
      <c r="B713" s="83" t="s">
        <v>4950</v>
      </c>
      <c r="C713" s="81" t="s">
        <v>5141</v>
      </c>
      <c r="D713" s="83" t="s">
        <v>4393</v>
      </c>
      <c r="E713" s="81" t="s">
        <v>1690</v>
      </c>
      <c r="F713" s="84">
        <v>335.0</v>
      </c>
      <c r="G713" s="81" t="s">
        <v>40</v>
      </c>
      <c r="H713" s="81" t="s">
        <v>49</v>
      </c>
      <c r="I713" s="81" t="s">
        <v>224</v>
      </c>
      <c r="J713" s="81" t="s">
        <v>5143</v>
      </c>
    </row>
    <row r="714" hidden="1">
      <c r="A714" s="83" t="s">
        <v>4949</v>
      </c>
      <c r="B714" s="83" t="s">
        <v>4950</v>
      </c>
      <c r="C714" s="81" t="s">
        <v>4086</v>
      </c>
      <c r="D714" s="83" t="s">
        <v>4394</v>
      </c>
      <c r="E714" s="81" t="s">
        <v>1698</v>
      </c>
      <c r="F714" s="84">
        <v>336.0</v>
      </c>
      <c r="G714" s="81" t="s">
        <v>39</v>
      </c>
      <c r="H714" s="81" t="s">
        <v>5473</v>
      </c>
      <c r="I714" s="81" t="s">
        <v>1701</v>
      </c>
      <c r="J714" s="81" t="s">
        <v>224</v>
      </c>
    </row>
    <row r="715" hidden="1">
      <c r="A715" s="83" t="s">
        <v>4949</v>
      </c>
      <c r="B715" s="83" t="s">
        <v>4950</v>
      </c>
      <c r="C715" s="81" t="s">
        <v>5141</v>
      </c>
      <c r="D715" s="83" t="s">
        <v>4394</v>
      </c>
      <c r="E715" s="81" t="s">
        <v>1698</v>
      </c>
      <c r="F715" s="84">
        <v>336.0</v>
      </c>
      <c r="G715" s="81" t="s">
        <v>40</v>
      </c>
      <c r="H715" s="81" t="s">
        <v>5474</v>
      </c>
      <c r="I715" s="81" t="s">
        <v>224</v>
      </c>
      <c r="J715" s="81" t="s">
        <v>5143</v>
      </c>
    </row>
    <row r="716" hidden="1">
      <c r="A716" s="83" t="s">
        <v>4949</v>
      </c>
      <c r="B716" s="83" t="s">
        <v>4950</v>
      </c>
      <c r="C716" s="81" t="s">
        <v>4086</v>
      </c>
      <c r="D716" s="83" t="s">
        <v>4395</v>
      </c>
      <c r="E716" s="81" t="s">
        <v>1702</v>
      </c>
      <c r="F716" s="84">
        <v>337.0</v>
      </c>
      <c r="G716" s="81" t="s">
        <v>39</v>
      </c>
      <c r="H716" s="81" t="s">
        <v>5639</v>
      </c>
      <c r="I716" s="81" t="s">
        <v>1704</v>
      </c>
      <c r="J716" s="81" t="s">
        <v>224</v>
      </c>
    </row>
    <row r="717" hidden="1">
      <c r="A717" s="83" t="s">
        <v>4949</v>
      </c>
      <c r="B717" s="83" t="s">
        <v>4950</v>
      </c>
      <c r="C717" s="81" t="s">
        <v>5141</v>
      </c>
      <c r="D717" s="83" t="s">
        <v>4395</v>
      </c>
      <c r="E717" s="81" t="s">
        <v>1702</v>
      </c>
      <c r="F717" s="84">
        <v>337.0</v>
      </c>
      <c r="G717" s="81" t="s">
        <v>40</v>
      </c>
      <c r="H717" s="81" t="s">
        <v>5640</v>
      </c>
      <c r="I717" s="81" t="s">
        <v>224</v>
      </c>
      <c r="J717" s="81" t="s">
        <v>5143</v>
      </c>
    </row>
    <row r="718" hidden="1">
      <c r="A718" s="83" t="s">
        <v>4949</v>
      </c>
      <c r="B718" s="83" t="s">
        <v>4950</v>
      </c>
      <c r="C718" s="81" t="s">
        <v>4086</v>
      </c>
      <c r="D718" s="83" t="s">
        <v>4395</v>
      </c>
      <c r="E718" s="81" t="s">
        <v>1706</v>
      </c>
      <c r="F718" s="84">
        <v>338.0</v>
      </c>
      <c r="G718" s="81" t="s">
        <v>39</v>
      </c>
      <c r="H718" s="81" t="s">
        <v>5639</v>
      </c>
      <c r="I718" s="81" t="s">
        <v>1704</v>
      </c>
      <c r="J718" s="81" t="s">
        <v>224</v>
      </c>
    </row>
    <row r="719" hidden="1">
      <c r="A719" s="83" t="s">
        <v>4949</v>
      </c>
      <c r="B719" s="83" t="s">
        <v>4950</v>
      </c>
      <c r="C719" s="81" t="s">
        <v>5141</v>
      </c>
      <c r="D719" s="83" t="s">
        <v>4395</v>
      </c>
      <c r="E719" s="81" t="s">
        <v>1706</v>
      </c>
      <c r="F719" s="84">
        <v>338.0</v>
      </c>
      <c r="G719" s="81" t="s">
        <v>40</v>
      </c>
      <c r="H719" s="81" t="s">
        <v>5640</v>
      </c>
      <c r="I719" s="81" t="s">
        <v>224</v>
      </c>
      <c r="J719" s="81" t="s">
        <v>5143</v>
      </c>
    </row>
    <row r="720" hidden="1">
      <c r="A720" s="83" t="s">
        <v>4949</v>
      </c>
      <c r="B720" s="83" t="s">
        <v>4950</v>
      </c>
      <c r="C720" s="81" t="s">
        <v>4086</v>
      </c>
      <c r="D720" s="83" t="s">
        <v>4397</v>
      </c>
      <c r="E720" s="81" t="s">
        <v>1708</v>
      </c>
      <c r="F720" s="84">
        <v>339.0</v>
      </c>
      <c r="G720" s="81" t="s">
        <v>39</v>
      </c>
      <c r="H720" s="81" t="s">
        <v>5641</v>
      </c>
      <c r="I720" s="81" t="s">
        <v>1715</v>
      </c>
      <c r="J720" s="81" t="s">
        <v>224</v>
      </c>
    </row>
    <row r="721" hidden="1">
      <c r="A721" s="83" t="s">
        <v>4949</v>
      </c>
      <c r="B721" s="83" t="s">
        <v>4950</v>
      </c>
      <c r="C721" s="81" t="s">
        <v>4086</v>
      </c>
      <c r="D721" s="83" t="s">
        <v>4397</v>
      </c>
      <c r="E721" s="81" t="s">
        <v>1708</v>
      </c>
      <c r="F721" s="84">
        <v>339.0</v>
      </c>
      <c r="G721" s="81" t="s">
        <v>40</v>
      </c>
      <c r="H721" s="81" t="s">
        <v>5642</v>
      </c>
      <c r="I721" s="81" t="s">
        <v>1716</v>
      </c>
      <c r="J721" s="81" t="s">
        <v>224</v>
      </c>
    </row>
    <row r="722" hidden="1">
      <c r="A722" s="83" t="s">
        <v>4949</v>
      </c>
      <c r="B722" s="83" t="s">
        <v>4950</v>
      </c>
      <c r="C722" s="81" t="s">
        <v>4086</v>
      </c>
      <c r="D722" s="83" t="s">
        <v>4397</v>
      </c>
      <c r="E722" s="81" t="s">
        <v>1722</v>
      </c>
      <c r="F722" s="84">
        <v>340.0</v>
      </c>
      <c r="G722" s="81" t="s">
        <v>39</v>
      </c>
      <c r="H722" s="81" t="s">
        <v>5641</v>
      </c>
      <c r="I722" s="81" t="s">
        <v>1715</v>
      </c>
      <c r="J722" s="81" t="s">
        <v>224</v>
      </c>
    </row>
    <row r="723" hidden="1">
      <c r="A723" s="83" t="s">
        <v>4949</v>
      </c>
      <c r="B723" s="83" t="s">
        <v>4950</v>
      </c>
      <c r="C723" s="81" t="s">
        <v>4086</v>
      </c>
      <c r="D723" s="83" t="s">
        <v>4397</v>
      </c>
      <c r="E723" s="81" t="s">
        <v>1722</v>
      </c>
      <c r="F723" s="84">
        <v>340.0</v>
      </c>
      <c r="G723" s="81" t="s">
        <v>40</v>
      </c>
      <c r="H723" s="81" t="s">
        <v>5642</v>
      </c>
      <c r="I723" s="81" t="s">
        <v>1716</v>
      </c>
      <c r="J723" s="81" t="s">
        <v>224</v>
      </c>
    </row>
    <row r="724" hidden="1">
      <c r="A724" s="83" t="s">
        <v>4949</v>
      </c>
      <c r="B724" s="83" t="s">
        <v>4950</v>
      </c>
      <c r="C724" s="81" t="s">
        <v>4086</v>
      </c>
      <c r="D724" s="83" t="s">
        <v>4399</v>
      </c>
      <c r="E724" s="81" t="s">
        <v>1723</v>
      </c>
      <c r="F724" s="84">
        <v>341.0</v>
      </c>
      <c r="G724" s="81" t="s">
        <v>39</v>
      </c>
      <c r="H724" s="81" t="s">
        <v>5643</v>
      </c>
      <c r="I724" s="81" t="s">
        <v>1724</v>
      </c>
      <c r="J724" s="81" t="s">
        <v>224</v>
      </c>
    </row>
    <row r="725" hidden="1">
      <c r="A725" s="83" t="s">
        <v>4949</v>
      </c>
      <c r="B725" s="83" t="s">
        <v>4950</v>
      </c>
      <c r="C725" s="81" t="s">
        <v>4086</v>
      </c>
      <c r="D725" s="83" t="s">
        <v>4399</v>
      </c>
      <c r="E725" s="81" t="s">
        <v>1723</v>
      </c>
      <c r="F725" s="84">
        <v>341.0</v>
      </c>
      <c r="G725" s="81" t="s">
        <v>40</v>
      </c>
      <c r="H725" s="81" t="s">
        <v>5644</v>
      </c>
      <c r="I725" s="81" t="s">
        <v>1725</v>
      </c>
      <c r="J725" s="81" t="s">
        <v>224</v>
      </c>
    </row>
    <row r="726" hidden="1">
      <c r="A726" s="83" t="s">
        <v>4949</v>
      </c>
      <c r="B726" s="83" t="s">
        <v>4950</v>
      </c>
      <c r="C726" s="81" t="s">
        <v>4086</v>
      </c>
      <c r="D726" s="83" t="s">
        <v>4400</v>
      </c>
      <c r="E726" s="81" t="s">
        <v>1726</v>
      </c>
      <c r="F726" s="84">
        <v>342.0</v>
      </c>
      <c r="G726" s="81" t="s">
        <v>39</v>
      </c>
      <c r="H726" s="81" t="s">
        <v>5645</v>
      </c>
      <c r="I726" s="81" t="s">
        <v>1730</v>
      </c>
      <c r="J726" s="81" t="s">
        <v>224</v>
      </c>
    </row>
    <row r="727" hidden="1">
      <c r="A727" s="83" t="s">
        <v>4949</v>
      </c>
      <c r="B727" s="83" t="s">
        <v>4950</v>
      </c>
      <c r="C727" s="81" t="s">
        <v>4086</v>
      </c>
      <c r="D727" s="83" t="s">
        <v>4400</v>
      </c>
      <c r="E727" s="81" t="s">
        <v>1726</v>
      </c>
      <c r="F727" s="84">
        <v>342.0</v>
      </c>
      <c r="G727" s="81" t="s">
        <v>40</v>
      </c>
      <c r="H727" s="81" t="s">
        <v>5646</v>
      </c>
      <c r="I727" s="81" t="s">
        <v>1731</v>
      </c>
      <c r="J727" s="81" t="s">
        <v>224</v>
      </c>
    </row>
    <row r="728" hidden="1">
      <c r="A728" s="83" t="s">
        <v>4949</v>
      </c>
      <c r="B728" s="83" t="s">
        <v>4950</v>
      </c>
      <c r="C728" s="81" t="s">
        <v>4086</v>
      </c>
      <c r="D728" s="83" t="s">
        <v>4401</v>
      </c>
      <c r="E728" s="81" t="s">
        <v>1736</v>
      </c>
      <c r="F728" s="84">
        <v>343.0</v>
      </c>
      <c r="G728" s="81" t="s">
        <v>39</v>
      </c>
      <c r="H728" s="81" t="s">
        <v>5647</v>
      </c>
      <c r="I728" s="81" t="s">
        <v>1737</v>
      </c>
      <c r="J728" s="81" t="s">
        <v>224</v>
      </c>
    </row>
    <row r="729" hidden="1">
      <c r="A729" s="83" t="s">
        <v>4949</v>
      </c>
      <c r="B729" s="83" t="s">
        <v>4950</v>
      </c>
      <c r="C729" s="81" t="s">
        <v>4086</v>
      </c>
      <c r="D729" s="83" t="s">
        <v>4401</v>
      </c>
      <c r="E729" s="81" t="s">
        <v>1736</v>
      </c>
      <c r="F729" s="84">
        <v>343.0</v>
      </c>
      <c r="G729" s="81" t="s">
        <v>40</v>
      </c>
      <c r="H729" s="81" t="s">
        <v>5648</v>
      </c>
      <c r="I729" s="81" t="s">
        <v>1738</v>
      </c>
      <c r="J729" s="81" t="s">
        <v>224</v>
      </c>
    </row>
    <row r="730" hidden="1">
      <c r="A730" s="83" t="s">
        <v>4949</v>
      </c>
      <c r="B730" s="83" t="s">
        <v>4950</v>
      </c>
      <c r="C730" s="81" t="s">
        <v>4086</v>
      </c>
      <c r="D730" s="83" t="s">
        <v>4402</v>
      </c>
      <c r="E730" s="81" t="s">
        <v>1739</v>
      </c>
      <c r="F730" s="84">
        <v>344.0</v>
      </c>
      <c r="G730" s="81" t="s">
        <v>39</v>
      </c>
      <c r="H730" s="81" t="s">
        <v>5649</v>
      </c>
      <c r="I730" s="81" t="s">
        <v>1740</v>
      </c>
      <c r="J730" s="81" t="s">
        <v>224</v>
      </c>
    </row>
    <row r="731" hidden="1">
      <c r="A731" s="83" t="s">
        <v>4949</v>
      </c>
      <c r="B731" s="83" t="s">
        <v>4950</v>
      </c>
      <c r="C731" s="81" t="s">
        <v>5141</v>
      </c>
      <c r="D731" s="83" t="s">
        <v>4402</v>
      </c>
      <c r="E731" s="81" t="s">
        <v>1739</v>
      </c>
      <c r="F731" s="84">
        <v>344.0</v>
      </c>
      <c r="G731" s="81" t="s">
        <v>40</v>
      </c>
      <c r="H731" s="81" t="s">
        <v>5650</v>
      </c>
      <c r="I731" s="81" t="s">
        <v>224</v>
      </c>
      <c r="J731" s="81" t="s">
        <v>5143</v>
      </c>
    </row>
    <row r="732" hidden="1">
      <c r="A732" s="83" t="s">
        <v>4949</v>
      </c>
      <c r="B732" s="83" t="s">
        <v>4950</v>
      </c>
      <c r="C732" s="81" t="s">
        <v>4086</v>
      </c>
      <c r="D732" s="83" t="s">
        <v>4402</v>
      </c>
      <c r="E732" s="81" t="s">
        <v>1741</v>
      </c>
      <c r="F732" s="84">
        <v>345.0</v>
      </c>
      <c r="G732" s="81" t="s">
        <v>39</v>
      </c>
      <c r="H732" s="81" t="s">
        <v>5649</v>
      </c>
      <c r="I732" s="81" t="s">
        <v>1740</v>
      </c>
      <c r="J732" s="81" t="s">
        <v>224</v>
      </c>
    </row>
    <row r="733" hidden="1">
      <c r="A733" s="83" t="s">
        <v>4949</v>
      </c>
      <c r="B733" s="83" t="s">
        <v>4950</v>
      </c>
      <c r="C733" s="81" t="s">
        <v>5141</v>
      </c>
      <c r="D733" s="83" t="s">
        <v>4402</v>
      </c>
      <c r="E733" s="81" t="s">
        <v>1741</v>
      </c>
      <c r="F733" s="84">
        <v>345.0</v>
      </c>
      <c r="G733" s="81" t="s">
        <v>40</v>
      </c>
      <c r="H733" s="81" t="s">
        <v>5650</v>
      </c>
      <c r="I733" s="81" t="s">
        <v>224</v>
      </c>
      <c r="J733" s="81" t="s">
        <v>5143</v>
      </c>
    </row>
    <row r="734" hidden="1">
      <c r="A734" s="83" t="s">
        <v>4949</v>
      </c>
      <c r="B734" s="83" t="s">
        <v>4950</v>
      </c>
      <c r="C734" s="81" t="s">
        <v>4086</v>
      </c>
      <c r="D734" s="83" t="s">
        <v>4403</v>
      </c>
      <c r="E734" s="81" t="s">
        <v>1742</v>
      </c>
      <c r="F734" s="84">
        <v>346.0</v>
      </c>
      <c r="G734" s="81" t="s">
        <v>39</v>
      </c>
      <c r="H734" s="81" t="s">
        <v>5651</v>
      </c>
      <c r="I734" s="81" t="s">
        <v>1743</v>
      </c>
      <c r="J734" s="81" t="s">
        <v>224</v>
      </c>
    </row>
    <row r="735" hidden="1">
      <c r="A735" s="83" t="s">
        <v>4949</v>
      </c>
      <c r="B735" s="83" t="s">
        <v>4950</v>
      </c>
      <c r="C735" s="81" t="s">
        <v>5141</v>
      </c>
      <c r="D735" s="83" t="s">
        <v>4403</v>
      </c>
      <c r="E735" s="81" t="s">
        <v>1742</v>
      </c>
      <c r="F735" s="84">
        <v>346.0</v>
      </c>
      <c r="G735" s="81" t="s">
        <v>40</v>
      </c>
      <c r="H735" s="81" t="s">
        <v>5652</v>
      </c>
      <c r="I735" s="81" t="s">
        <v>224</v>
      </c>
      <c r="J735" s="81" t="s">
        <v>5143</v>
      </c>
    </row>
    <row r="736" hidden="1">
      <c r="A736" s="83" t="s">
        <v>4949</v>
      </c>
      <c r="B736" s="83" t="s">
        <v>4950</v>
      </c>
      <c r="C736" s="81" t="s">
        <v>4086</v>
      </c>
      <c r="D736" s="83" t="s">
        <v>4404</v>
      </c>
      <c r="E736" s="81" t="s">
        <v>1744</v>
      </c>
      <c r="F736" s="84">
        <v>347.0</v>
      </c>
      <c r="G736" s="81" t="s">
        <v>39</v>
      </c>
      <c r="H736" s="81" t="s">
        <v>5653</v>
      </c>
      <c r="I736" s="81" t="s">
        <v>1747</v>
      </c>
      <c r="J736" s="81" t="s">
        <v>224</v>
      </c>
    </row>
    <row r="737" hidden="1">
      <c r="A737" s="83" t="s">
        <v>4949</v>
      </c>
      <c r="B737" s="83" t="s">
        <v>4950</v>
      </c>
      <c r="C737" s="81" t="s">
        <v>4086</v>
      </c>
      <c r="D737" s="83" t="s">
        <v>4404</v>
      </c>
      <c r="E737" s="81" t="s">
        <v>1744</v>
      </c>
      <c r="F737" s="84">
        <v>347.0</v>
      </c>
      <c r="G737" s="81" t="s">
        <v>40</v>
      </c>
      <c r="H737" s="81" t="s">
        <v>5654</v>
      </c>
      <c r="I737" s="81" t="s">
        <v>1748</v>
      </c>
      <c r="J737" s="81" t="s">
        <v>224</v>
      </c>
    </row>
    <row r="738" hidden="1">
      <c r="A738" s="83" t="s">
        <v>4949</v>
      </c>
      <c r="B738" s="83" t="s">
        <v>4950</v>
      </c>
      <c r="C738" s="81" t="s">
        <v>4086</v>
      </c>
      <c r="D738" s="83" t="s">
        <v>4405</v>
      </c>
      <c r="E738" s="81" t="s">
        <v>1753</v>
      </c>
      <c r="F738" s="84">
        <v>348.0</v>
      </c>
      <c r="G738" s="81" t="s">
        <v>39</v>
      </c>
      <c r="H738" s="81" t="s">
        <v>5655</v>
      </c>
      <c r="I738" s="81" t="s">
        <v>1754</v>
      </c>
      <c r="J738" s="81" t="s">
        <v>224</v>
      </c>
    </row>
    <row r="739" hidden="1">
      <c r="A739" s="83" t="s">
        <v>4949</v>
      </c>
      <c r="B739" s="83" t="s">
        <v>4950</v>
      </c>
      <c r="C739" s="81" t="s">
        <v>4086</v>
      </c>
      <c r="D739" s="83" t="s">
        <v>4405</v>
      </c>
      <c r="E739" s="81" t="s">
        <v>1753</v>
      </c>
      <c r="F739" s="84">
        <v>348.0</v>
      </c>
      <c r="G739" s="81" t="s">
        <v>40</v>
      </c>
      <c r="H739" s="81" t="s">
        <v>5656</v>
      </c>
      <c r="I739" s="81" t="s">
        <v>1755</v>
      </c>
      <c r="J739" s="81" t="s">
        <v>224</v>
      </c>
    </row>
    <row r="740" hidden="1">
      <c r="A740" s="83" t="s">
        <v>4949</v>
      </c>
      <c r="B740" s="83" t="s">
        <v>4950</v>
      </c>
      <c r="C740" s="81" t="s">
        <v>4086</v>
      </c>
      <c r="D740" s="83" t="s">
        <v>4406</v>
      </c>
      <c r="E740" s="81" t="s">
        <v>1756</v>
      </c>
      <c r="F740" s="84">
        <v>349.0</v>
      </c>
      <c r="G740" s="81" t="s">
        <v>39</v>
      </c>
      <c r="H740" s="81" t="s">
        <v>5657</v>
      </c>
      <c r="I740" s="81" t="s">
        <v>1758</v>
      </c>
      <c r="J740" s="81" t="s">
        <v>224</v>
      </c>
    </row>
    <row r="741" hidden="1">
      <c r="A741" s="83" t="s">
        <v>4949</v>
      </c>
      <c r="B741" s="83" t="s">
        <v>4950</v>
      </c>
      <c r="C741" s="81" t="s">
        <v>4086</v>
      </c>
      <c r="D741" s="83" t="s">
        <v>4406</v>
      </c>
      <c r="E741" s="81" t="s">
        <v>1756</v>
      </c>
      <c r="F741" s="84">
        <v>349.0</v>
      </c>
      <c r="G741" s="81" t="s">
        <v>40</v>
      </c>
      <c r="H741" s="81" t="s">
        <v>5658</v>
      </c>
      <c r="I741" s="81" t="s">
        <v>1759</v>
      </c>
      <c r="J741" s="81" t="s">
        <v>224</v>
      </c>
    </row>
    <row r="742" hidden="1">
      <c r="A742" s="83" t="s">
        <v>4949</v>
      </c>
      <c r="B742" s="83" t="s">
        <v>4950</v>
      </c>
      <c r="C742" s="81" t="s">
        <v>4086</v>
      </c>
      <c r="D742" s="83" t="s">
        <v>4406</v>
      </c>
      <c r="E742" s="81" t="s">
        <v>1760</v>
      </c>
      <c r="F742" s="84">
        <v>350.0</v>
      </c>
      <c r="G742" s="81" t="s">
        <v>39</v>
      </c>
      <c r="H742" s="81" t="s">
        <v>5659</v>
      </c>
      <c r="I742" s="81" t="s">
        <v>1758</v>
      </c>
      <c r="J742" s="81" t="s">
        <v>224</v>
      </c>
    </row>
    <row r="743" hidden="1">
      <c r="A743" s="83" t="s">
        <v>4949</v>
      </c>
      <c r="B743" s="83" t="s">
        <v>4950</v>
      </c>
      <c r="C743" s="81" t="s">
        <v>4086</v>
      </c>
      <c r="D743" s="83" t="s">
        <v>4406</v>
      </c>
      <c r="E743" s="81" t="s">
        <v>1760</v>
      </c>
      <c r="F743" s="84">
        <v>350.0</v>
      </c>
      <c r="G743" s="81" t="s">
        <v>40</v>
      </c>
      <c r="H743" s="81" t="s">
        <v>5658</v>
      </c>
      <c r="I743" s="81" t="s">
        <v>1759</v>
      </c>
      <c r="J743" s="81" t="s">
        <v>224</v>
      </c>
    </row>
    <row r="744" hidden="1">
      <c r="A744" s="83" t="s">
        <v>4949</v>
      </c>
      <c r="B744" s="83" t="s">
        <v>4950</v>
      </c>
      <c r="C744" s="81" t="s">
        <v>4086</v>
      </c>
      <c r="D744" s="83" t="s">
        <v>4407</v>
      </c>
      <c r="E744" s="81" t="s">
        <v>1762</v>
      </c>
      <c r="F744" s="84">
        <v>351.0</v>
      </c>
      <c r="G744" s="81" t="s">
        <v>39</v>
      </c>
      <c r="H744" s="81" t="s">
        <v>5660</v>
      </c>
      <c r="I744" s="81" t="s">
        <v>1763</v>
      </c>
      <c r="J744" s="81" t="s">
        <v>224</v>
      </c>
    </row>
    <row r="745" hidden="1">
      <c r="A745" s="83" t="s">
        <v>4949</v>
      </c>
      <c r="B745" s="83" t="s">
        <v>4950</v>
      </c>
      <c r="C745" s="81" t="s">
        <v>4086</v>
      </c>
      <c r="D745" s="83" t="s">
        <v>4407</v>
      </c>
      <c r="E745" s="81" t="s">
        <v>1762</v>
      </c>
      <c r="F745" s="84">
        <v>351.0</v>
      </c>
      <c r="G745" s="81" t="s">
        <v>40</v>
      </c>
      <c r="H745" s="81" t="s">
        <v>5661</v>
      </c>
      <c r="I745" s="81" t="s">
        <v>1764</v>
      </c>
      <c r="J745" s="81" t="s">
        <v>224</v>
      </c>
    </row>
    <row r="746" hidden="1">
      <c r="A746" s="83" t="s">
        <v>4949</v>
      </c>
      <c r="B746" s="83" t="s">
        <v>4950</v>
      </c>
      <c r="C746" s="81" t="s">
        <v>4086</v>
      </c>
      <c r="D746" s="83" t="s">
        <v>4408</v>
      </c>
      <c r="E746" s="81" t="s">
        <v>1765</v>
      </c>
      <c r="F746" s="84">
        <v>352.0</v>
      </c>
      <c r="G746" s="81" t="s">
        <v>39</v>
      </c>
      <c r="H746" s="81" t="s">
        <v>5662</v>
      </c>
      <c r="I746" s="81" t="s">
        <v>1767</v>
      </c>
      <c r="J746" s="81" t="s">
        <v>224</v>
      </c>
    </row>
    <row r="747" hidden="1">
      <c r="A747" s="83" t="s">
        <v>4949</v>
      </c>
      <c r="B747" s="83" t="s">
        <v>4950</v>
      </c>
      <c r="C747" s="81" t="s">
        <v>4086</v>
      </c>
      <c r="D747" s="83" t="s">
        <v>4408</v>
      </c>
      <c r="E747" s="81" t="s">
        <v>1765</v>
      </c>
      <c r="F747" s="84">
        <v>352.0</v>
      </c>
      <c r="G747" s="81" t="s">
        <v>40</v>
      </c>
      <c r="H747" s="81" t="s">
        <v>5663</v>
      </c>
      <c r="I747" s="81" t="s">
        <v>1768</v>
      </c>
      <c r="J747" s="81" t="s">
        <v>224</v>
      </c>
    </row>
    <row r="748" hidden="1">
      <c r="A748" s="83" t="s">
        <v>4949</v>
      </c>
      <c r="B748" s="83" t="s">
        <v>4950</v>
      </c>
      <c r="C748" s="81" t="s">
        <v>4086</v>
      </c>
      <c r="D748" s="83" t="s">
        <v>4408</v>
      </c>
      <c r="E748" s="81" t="s">
        <v>1770</v>
      </c>
      <c r="F748" s="84">
        <v>353.0</v>
      </c>
      <c r="G748" s="81" t="s">
        <v>39</v>
      </c>
      <c r="H748" s="81" t="s">
        <v>5662</v>
      </c>
      <c r="I748" s="81" t="s">
        <v>1767</v>
      </c>
      <c r="J748" s="81" t="s">
        <v>224</v>
      </c>
    </row>
    <row r="749" hidden="1">
      <c r="A749" s="83" t="s">
        <v>4949</v>
      </c>
      <c r="B749" s="83" t="s">
        <v>4950</v>
      </c>
      <c r="C749" s="81" t="s">
        <v>4086</v>
      </c>
      <c r="D749" s="83" t="s">
        <v>4408</v>
      </c>
      <c r="E749" s="81" t="s">
        <v>1770</v>
      </c>
      <c r="F749" s="84">
        <v>353.0</v>
      </c>
      <c r="G749" s="81" t="s">
        <v>40</v>
      </c>
      <c r="H749" s="81" t="s">
        <v>5663</v>
      </c>
      <c r="I749" s="81" t="s">
        <v>1768</v>
      </c>
      <c r="J749" s="81" t="s">
        <v>224</v>
      </c>
    </row>
    <row r="750" hidden="1">
      <c r="A750" s="83" t="s">
        <v>4949</v>
      </c>
      <c r="B750" s="83" t="s">
        <v>4950</v>
      </c>
      <c r="C750" s="81" t="s">
        <v>4086</v>
      </c>
      <c r="D750" s="83" t="s">
        <v>4410</v>
      </c>
      <c r="E750" s="81" t="s">
        <v>1772</v>
      </c>
      <c r="F750" s="84">
        <v>354.0</v>
      </c>
      <c r="G750" s="81" t="s">
        <v>39</v>
      </c>
      <c r="H750" s="81" t="s">
        <v>5664</v>
      </c>
      <c r="I750" s="81" t="s">
        <v>1773</v>
      </c>
      <c r="J750" s="81" t="s">
        <v>224</v>
      </c>
    </row>
    <row r="751" hidden="1">
      <c r="A751" s="83" t="s">
        <v>4949</v>
      </c>
      <c r="B751" s="83" t="s">
        <v>4950</v>
      </c>
      <c r="C751" s="81" t="s">
        <v>4086</v>
      </c>
      <c r="D751" s="83" t="s">
        <v>4410</v>
      </c>
      <c r="E751" s="81" t="s">
        <v>1772</v>
      </c>
      <c r="F751" s="84">
        <v>354.0</v>
      </c>
      <c r="G751" s="81" t="s">
        <v>40</v>
      </c>
      <c r="H751" s="81" t="s">
        <v>5665</v>
      </c>
      <c r="I751" s="81" t="s">
        <v>1774</v>
      </c>
      <c r="J751" s="81" t="s">
        <v>224</v>
      </c>
    </row>
    <row r="752" hidden="1">
      <c r="A752" s="83" t="s">
        <v>4949</v>
      </c>
      <c r="B752" s="83" t="s">
        <v>4950</v>
      </c>
      <c r="C752" s="81" t="s">
        <v>4086</v>
      </c>
      <c r="D752" s="83" t="s">
        <v>4411</v>
      </c>
      <c r="E752" s="81" t="s">
        <v>1775</v>
      </c>
      <c r="F752" s="84">
        <v>355.0</v>
      </c>
      <c r="G752" s="81" t="s">
        <v>39</v>
      </c>
      <c r="H752" s="81" t="s">
        <v>5666</v>
      </c>
      <c r="I752" s="81" t="s">
        <v>1782</v>
      </c>
      <c r="J752" s="81" t="s">
        <v>224</v>
      </c>
    </row>
    <row r="753" hidden="1">
      <c r="A753" s="83" t="s">
        <v>4949</v>
      </c>
      <c r="B753" s="83" t="s">
        <v>4950</v>
      </c>
      <c r="C753" s="81" t="s">
        <v>4086</v>
      </c>
      <c r="D753" s="83" t="s">
        <v>4411</v>
      </c>
      <c r="E753" s="81" t="s">
        <v>1775</v>
      </c>
      <c r="F753" s="84">
        <v>355.0</v>
      </c>
      <c r="G753" s="81" t="s">
        <v>40</v>
      </c>
      <c r="H753" s="81" t="s">
        <v>5667</v>
      </c>
      <c r="I753" s="81" t="s">
        <v>1783</v>
      </c>
      <c r="J753" s="81" t="s">
        <v>224</v>
      </c>
    </row>
    <row r="754" hidden="1">
      <c r="A754" s="83" t="s">
        <v>4949</v>
      </c>
      <c r="B754" s="83" t="s">
        <v>4950</v>
      </c>
      <c r="C754" s="81" t="s">
        <v>4086</v>
      </c>
      <c r="D754" s="83" t="s">
        <v>4411</v>
      </c>
      <c r="E754" s="81" t="s">
        <v>1789</v>
      </c>
      <c r="F754" s="84">
        <v>356.0</v>
      </c>
      <c r="G754" s="81" t="s">
        <v>40</v>
      </c>
      <c r="H754" s="81" t="s">
        <v>5668</v>
      </c>
      <c r="I754" s="81" t="s">
        <v>1783</v>
      </c>
      <c r="J754" s="81" t="s">
        <v>224</v>
      </c>
    </row>
    <row r="755" hidden="1">
      <c r="A755" s="83" t="s">
        <v>4949</v>
      </c>
      <c r="B755" s="83" t="s">
        <v>4950</v>
      </c>
      <c r="C755" s="81" t="s">
        <v>4086</v>
      </c>
      <c r="D755" s="83" t="s">
        <v>4412</v>
      </c>
      <c r="E755" s="81" t="s">
        <v>1790</v>
      </c>
      <c r="F755" s="84">
        <v>357.0</v>
      </c>
      <c r="G755" s="81" t="s">
        <v>39</v>
      </c>
      <c r="H755" s="81" t="s">
        <v>5669</v>
      </c>
      <c r="I755" s="81" t="s">
        <v>1792</v>
      </c>
      <c r="J755" s="81" t="s">
        <v>224</v>
      </c>
    </row>
    <row r="756" hidden="1">
      <c r="A756" s="83" t="s">
        <v>4949</v>
      </c>
      <c r="B756" s="83" t="s">
        <v>4950</v>
      </c>
      <c r="C756" s="81" t="s">
        <v>4086</v>
      </c>
      <c r="D756" s="83" t="s">
        <v>4412</v>
      </c>
      <c r="E756" s="81" t="s">
        <v>1790</v>
      </c>
      <c r="F756" s="84">
        <v>357.0</v>
      </c>
      <c r="G756" s="81" t="s">
        <v>40</v>
      </c>
      <c r="H756" s="81" t="s">
        <v>5670</v>
      </c>
      <c r="I756" s="81" t="s">
        <v>1793</v>
      </c>
      <c r="J756" s="81" t="s">
        <v>224</v>
      </c>
    </row>
    <row r="757" hidden="1">
      <c r="A757" s="83" t="s">
        <v>4949</v>
      </c>
      <c r="B757" s="83" t="s">
        <v>4950</v>
      </c>
      <c r="C757" s="81" t="s">
        <v>4086</v>
      </c>
      <c r="D757" s="83" t="s">
        <v>4413</v>
      </c>
      <c r="E757" s="81" t="s">
        <v>1794</v>
      </c>
      <c r="F757" s="84">
        <v>358.0</v>
      </c>
      <c r="G757" s="81" t="s">
        <v>39</v>
      </c>
      <c r="H757" s="81" t="s">
        <v>5671</v>
      </c>
      <c r="I757" s="81" t="s">
        <v>1801</v>
      </c>
      <c r="J757" s="81" t="s">
        <v>224</v>
      </c>
    </row>
    <row r="758" hidden="1">
      <c r="A758" s="83" t="s">
        <v>4949</v>
      </c>
      <c r="B758" s="83" t="s">
        <v>4950</v>
      </c>
      <c r="C758" s="81" t="s">
        <v>4086</v>
      </c>
      <c r="D758" s="83" t="s">
        <v>4413</v>
      </c>
      <c r="E758" s="81" t="s">
        <v>1794</v>
      </c>
      <c r="F758" s="84">
        <v>358.0</v>
      </c>
      <c r="G758" s="81" t="s">
        <v>40</v>
      </c>
      <c r="H758" s="81" t="s">
        <v>5672</v>
      </c>
      <c r="I758" s="81" t="s">
        <v>5673</v>
      </c>
      <c r="J758" s="81" t="s">
        <v>224</v>
      </c>
    </row>
    <row r="759" hidden="1">
      <c r="A759" s="83" t="s">
        <v>4949</v>
      </c>
      <c r="B759" s="83" t="s">
        <v>4950</v>
      </c>
      <c r="C759" s="81" t="s">
        <v>4086</v>
      </c>
      <c r="D759" s="83" t="s">
        <v>4413</v>
      </c>
      <c r="E759" s="81" t="s">
        <v>1808</v>
      </c>
      <c r="F759" s="84">
        <v>359.0</v>
      </c>
      <c r="G759" s="81" t="s">
        <v>39</v>
      </c>
      <c r="H759" s="81" t="s">
        <v>5671</v>
      </c>
      <c r="I759" s="81" t="s">
        <v>1801</v>
      </c>
      <c r="J759" s="81" t="s">
        <v>224</v>
      </c>
    </row>
    <row r="760" hidden="1">
      <c r="A760" s="83" t="s">
        <v>4949</v>
      </c>
      <c r="B760" s="83" t="s">
        <v>4950</v>
      </c>
      <c r="C760" s="81" t="s">
        <v>4086</v>
      </c>
      <c r="D760" s="83" t="s">
        <v>4413</v>
      </c>
      <c r="E760" s="81" t="s">
        <v>1808</v>
      </c>
      <c r="F760" s="84">
        <v>359.0</v>
      </c>
      <c r="G760" s="81" t="s">
        <v>40</v>
      </c>
      <c r="H760" s="81" t="s">
        <v>5672</v>
      </c>
      <c r="I760" s="81" t="s">
        <v>5673</v>
      </c>
      <c r="J760" s="81" t="s">
        <v>224</v>
      </c>
    </row>
    <row r="761" hidden="1">
      <c r="A761" s="83" t="s">
        <v>4949</v>
      </c>
      <c r="B761" s="83" t="s">
        <v>4950</v>
      </c>
      <c r="C761" s="81" t="s">
        <v>4086</v>
      </c>
      <c r="D761" s="83" t="s">
        <v>4414</v>
      </c>
      <c r="E761" s="81" t="s">
        <v>1810</v>
      </c>
      <c r="F761" s="84">
        <v>360.0</v>
      </c>
      <c r="G761" s="81" t="s">
        <v>39</v>
      </c>
      <c r="H761" s="81" t="s">
        <v>5674</v>
      </c>
      <c r="I761" s="81" t="s">
        <v>1811</v>
      </c>
      <c r="J761" s="81" t="s">
        <v>224</v>
      </c>
    </row>
    <row r="762" hidden="1">
      <c r="A762" s="83" t="s">
        <v>4949</v>
      </c>
      <c r="B762" s="83" t="s">
        <v>4950</v>
      </c>
      <c r="C762" s="81" t="s">
        <v>4086</v>
      </c>
      <c r="D762" s="83" t="s">
        <v>4414</v>
      </c>
      <c r="E762" s="81" t="s">
        <v>1810</v>
      </c>
      <c r="F762" s="84">
        <v>360.0</v>
      </c>
      <c r="G762" s="81" t="s">
        <v>40</v>
      </c>
      <c r="H762" s="81" t="s">
        <v>5675</v>
      </c>
      <c r="I762" s="81" t="s">
        <v>1812</v>
      </c>
      <c r="J762" s="81" t="s">
        <v>224</v>
      </c>
    </row>
    <row r="763" hidden="1">
      <c r="A763" s="83" t="s">
        <v>4949</v>
      </c>
      <c r="B763" s="83" t="s">
        <v>4950</v>
      </c>
      <c r="C763" s="81" t="s">
        <v>4086</v>
      </c>
      <c r="D763" s="83" t="s">
        <v>4415</v>
      </c>
      <c r="E763" s="81" t="s">
        <v>1813</v>
      </c>
      <c r="F763" s="84">
        <v>361.0</v>
      </c>
      <c r="G763" s="81" t="s">
        <v>39</v>
      </c>
      <c r="H763" s="81" t="s">
        <v>5676</v>
      </c>
      <c r="I763" s="81" t="s">
        <v>1816</v>
      </c>
      <c r="J763" s="81" t="s">
        <v>224</v>
      </c>
    </row>
    <row r="764" hidden="1">
      <c r="A764" s="83" t="s">
        <v>4949</v>
      </c>
      <c r="B764" s="83" t="s">
        <v>4950</v>
      </c>
      <c r="C764" s="81" t="s">
        <v>4086</v>
      </c>
      <c r="D764" s="83" t="s">
        <v>4415</v>
      </c>
      <c r="E764" s="81" t="s">
        <v>1813</v>
      </c>
      <c r="F764" s="84">
        <v>361.0</v>
      </c>
      <c r="G764" s="81" t="s">
        <v>40</v>
      </c>
      <c r="H764" s="81" t="s">
        <v>5677</v>
      </c>
      <c r="I764" s="81" t="s">
        <v>5678</v>
      </c>
      <c r="J764" s="81" t="s">
        <v>224</v>
      </c>
    </row>
    <row r="765" hidden="1">
      <c r="A765" s="83" t="s">
        <v>4949</v>
      </c>
      <c r="B765" s="83" t="s">
        <v>4950</v>
      </c>
      <c r="C765" s="81" t="s">
        <v>4086</v>
      </c>
      <c r="D765" s="83" t="s">
        <v>4416</v>
      </c>
      <c r="E765" s="81" t="s">
        <v>1822</v>
      </c>
      <c r="F765" s="84">
        <v>362.0</v>
      </c>
      <c r="G765" s="81" t="s">
        <v>39</v>
      </c>
      <c r="H765" s="81" t="s">
        <v>5679</v>
      </c>
      <c r="I765" s="81" t="s">
        <v>1823</v>
      </c>
      <c r="J765" s="81" t="s">
        <v>224</v>
      </c>
    </row>
    <row r="766" hidden="1">
      <c r="A766" s="83" t="s">
        <v>4949</v>
      </c>
      <c r="B766" s="83" t="s">
        <v>4950</v>
      </c>
      <c r="C766" s="81" t="s">
        <v>4086</v>
      </c>
      <c r="D766" s="83" t="s">
        <v>4416</v>
      </c>
      <c r="E766" s="81" t="s">
        <v>1822</v>
      </c>
      <c r="F766" s="84">
        <v>362.0</v>
      </c>
      <c r="G766" s="81" t="s">
        <v>40</v>
      </c>
      <c r="H766" s="81" t="s">
        <v>5680</v>
      </c>
      <c r="I766" s="81" t="s">
        <v>1824</v>
      </c>
      <c r="J766" s="81" t="s">
        <v>224</v>
      </c>
    </row>
    <row r="767" hidden="1">
      <c r="A767" s="83" t="s">
        <v>4949</v>
      </c>
      <c r="B767" s="83" t="s">
        <v>4950</v>
      </c>
      <c r="C767" s="81" t="s">
        <v>4082</v>
      </c>
      <c r="D767" s="83" t="s">
        <v>4417</v>
      </c>
      <c r="E767" s="81" t="s">
        <v>1825</v>
      </c>
      <c r="F767" s="84">
        <v>363.0</v>
      </c>
      <c r="G767" s="81" t="s">
        <v>39</v>
      </c>
      <c r="H767" s="81" t="s">
        <v>224</v>
      </c>
      <c r="I767" s="81" t="s">
        <v>224</v>
      </c>
      <c r="J767" s="81" t="s">
        <v>5681</v>
      </c>
    </row>
    <row r="768" hidden="1">
      <c r="A768" s="83" t="s">
        <v>4949</v>
      </c>
      <c r="B768" s="83" t="s">
        <v>4950</v>
      </c>
      <c r="C768" s="81" t="s">
        <v>5141</v>
      </c>
      <c r="D768" s="83" t="s">
        <v>4417</v>
      </c>
      <c r="E768" s="81" t="s">
        <v>1825</v>
      </c>
      <c r="F768" s="84">
        <v>363.0</v>
      </c>
      <c r="G768" s="81" t="s">
        <v>39</v>
      </c>
      <c r="H768" s="81" t="s">
        <v>5682</v>
      </c>
      <c r="I768" s="81" t="s">
        <v>224</v>
      </c>
      <c r="J768" s="81" t="s">
        <v>5143</v>
      </c>
    </row>
    <row r="769" hidden="1">
      <c r="A769" s="83" t="s">
        <v>4949</v>
      </c>
      <c r="B769" s="83" t="s">
        <v>4950</v>
      </c>
      <c r="C769" s="81" t="s">
        <v>4086</v>
      </c>
      <c r="D769" s="83" t="s">
        <v>4417</v>
      </c>
      <c r="E769" s="81" t="s">
        <v>1825</v>
      </c>
      <c r="F769" s="84">
        <v>363.0</v>
      </c>
      <c r="G769" s="81" t="s">
        <v>40</v>
      </c>
      <c r="H769" s="81" t="s">
        <v>5683</v>
      </c>
      <c r="I769" s="81" t="s">
        <v>5684</v>
      </c>
      <c r="J769" s="81" t="s">
        <v>224</v>
      </c>
    </row>
    <row r="770" hidden="1">
      <c r="A770" s="83" t="s">
        <v>4949</v>
      </c>
      <c r="B770" s="83" t="s">
        <v>4950</v>
      </c>
      <c r="C770" s="81" t="s">
        <v>5141</v>
      </c>
      <c r="D770" s="83" t="s">
        <v>4417</v>
      </c>
      <c r="E770" s="81" t="s">
        <v>1842</v>
      </c>
      <c r="F770" s="84">
        <v>364.0</v>
      </c>
      <c r="G770" s="81" t="s">
        <v>39</v>
      </c>
      <c r="H770" s="81" t="s">
        <v>5685</v>
      </c>
      <c r="I770" s="81" t="s">
        <v>224</v>
      </c>
      <c r="J770" s="81" t="s">
        <v>5143</v>
      </c>
    </row>
    <row r="771" hidden="1">
      <c r="A771" s="83" t="s">
        <v>4949</v>
      </c>
      <c r="B771" s="83" t="s">
        <v>4950</v>
      </c>
      <c r="C771" s="81" t="s">
        <v>4086</v>
      </c>
      <c r="D771" s="83" t="s">
        <v>4417</v>
      </c>
      <c r="E771" s="81" t="s">
        <v>1842</v>
      </c>
      <c r="F771" s="84">
        <v>364.0</v>
      </c>
      <c r="G771" s="81" t="s">
        <v>40</v>
      </c>
      <c r="H771" s="81" t="s">
        <v>5686</v>
      </c>
      <c r="I771" s="81" t="s">
        <v>5684</v>
      </c>
      <c r="J771" s="81" t="s">
        <v>224</v>
      </c>
    </row>
    <row r="772" hidden="1">
      <c r="A772" s="83" t="s">
        <v>4949</v>
      </c>
      <c r="B772" s="83" t="s">
        <v>4950</v>
      </c>
      <c r="C772" s="81" t="s">
        <v>5141</v>
      </c>
      <c r="D772" s="83" t="s">
        <v>4419</v>
      </c>
      <c r="E772" s="81" t="s">
        <v>1843</v>
      </c>
      <c r="F772" s="84">
        <v>365.0</v>
      </c>
      <c r="G772" s="81" t="s">
        <v>39</v>
      </c>
      <c r="H772" s="81" t="s">
        <v>5687</v>
      </c>
      <c r="I772" s="81" t="s">
        <v>224</v>
      </c>
      <c r="J772" s="81" t="s">
        <v>5143</v>
      </c>
    </row>
    <row r="773" hidden="1">
      <c r="A773" s="83" t="s">
        <v>4949</v>
      </c>
      <c r="B773" s="83" t="s">
        <v>4950</v>
      </c>
      <c r="C773" s="81" t="s">
        <v>5141</v>
      </c>
      <c r="D773" s="83" t="s">
        <v>4419</v>
      </c>
      <c r="E773" s="81" t="s">
        <v>1843</v>
      </c>
      <c r="F773" s="84">
        <v>365.0</v>
      </c>
      <c r="G773" s="81" t="s">
        <v>40</v>
      </c>
      <c r="H773" s="81" t="s">
        <v>5688</v>
      </c>
      <c r="I773" s="81" t="s">
        <v>224</v>
      </c>
      <c r="J773" s="81" t="s">
        <v>5143</v>
      </c>
    </row>
    <row r="774" hidden="1">
      <c r="A774" s="83" t="s">
        <v>4949</v>
      </c>
      <c r="B774" s="83" t="s">
        <v>4950</v>
      </c>
      <c r="C774" s="81" t="s">
        <v>5141</v>
      </c>
      <c r="D774" s="83" t="s">
        <v>4420</v>
      </c>
      <c r="E774" s="81" t="s">
        <v>1844</v>
      </c>
      <c r="F774" s="84">
        <v>366.0</v>
      </c>
      <c r="G774" s="81" t="s">
        <v>39</v>
      </c>
      <c r="H774" s="81" t="s">
        <v>5689</v>
      </c>
      <c r="I774" s="81" t="s">
        <v>224</v>
      </c>
      <c r="J774" s="81" t="s">
        <v>5143</v>
      </c>
    </row>
    <row r="775" hidden="1">
      <c r="A775" s="83" t="s">
        <v>4949</v>
      </c>
      <c r="B775" s="83" t="s">
        <v>4950</v>
      </c>
      <c r="C775" s="81" t="s">
        <v>5141</v>
      </c>
      <c r="D775" s="83" t="s">
        <v>4420</v>
      </c>
      <c r="E775" s="81" t="s">
        <v>1844</v>
      </c>
      <c r="F775" s="84">
        <v>366.0</v>
      </c>
      <c r="G775" s="81" t="s">
        <v>40</v>
      </c>
      <c r="H775" s="81" t="s">
        <v>5690</v>
      </c>
      <c r="I775" s="81" t="s">
        <v>224</v>
      </c>
      <c r="J775" s="81" t="s">
        <v>5143</v>
      </c>
    </row>
    <row r="776" hidden="1">
      <c r="A776" s="83" t="s">
        <v>4949</v>
      </c>
      <c r="B776" s="83" t="s">
        <v>4950</v>
      </c>
      <c r="C776" s="81" t="s">
        <v>5141</v>
      </c>
      <c r="D776" s="83" t="s">
        <v>4421</v>
      </c>
      <c r="E776" s="81" t="s">
        <v>1848</v>
      </c>
      <c r="F776" s="84">
        <v>367.0</v>
      </c>
      <c r="G776" s="81" t="s">
        <v>39</v>
      </c>
      <c r="H776" s="81" t="s">
        <v>5691</v>
      </c>
      <c r="I776" s="81" t="s">
        <v>224</v>
      </c>
      <c r="J776" s="81" t="s">
        <v>5143</v>
      </c>
    </row>
    <row r="777" hidden="1">
      <c r="A777" s="83" t="s">
        <v>4949</v>
      </c>
      <c r="B777" s="83" t="s">
        <v>4950</v>
      </c>
      <c r="C777" s="81" t="s">
        <v>5141</v>
      </c>
      <c r="D777" s="83" t="s">
        <v>4421</v>
      </c>
      <c r="E777" s="81" t="s">
        <v>1848</v>
      </c>
      <c r="F777" s="84">
        <v>367.0</v>
      </c>
      <c r="G777" s="81" t="s">
        <v>40</v>
      </c>
      <c r="H777" s="81" t="s">
        <v>5692</v>
      </c>
      <c r="I777" s="81" t="s">
        <v>224</v>
      </c>
      <c r="J777" s="81" t="s">
        <v>5143</v>
      </c>
    </row>
    <row r="778" hidden="1">
      <c r="A778" s="83" t="s">
        <v>4949</v>
      </c>
      <c r="B778" s="83" t="s">
        <v>4950</v>
      </c>
      <c r="C778" s="81" t="s">
        <v>4082</v>
      </c>
      <c r="D778" s="83" t="s">
        <v>4422</v>
      </c>
      <c r="E778" s="81" t="s">
        <v>1849</v>
      </c>
      <c r="F778" s="84">
        <v>368.0</v>
      </c>
      <c r="G778" s="81" t="s">
        <v>39</v>
      </c>
      <c r="H778" s="81" t="s">
        <v>224</v>
      </c>
      <c r="I778" s="81" t="s">
        <v>224</v>
      </c>
      <c r="J778" s="81" t="s">
        <v>5693</v>
      </c>
    </row>
    <row r="779" hidden="1">
      <c r="A779" s="83" t="s">
        <v>4949</v>
      </c>
      <c r="B779" s="83" t="s">
        <v>4950</v>
      </c>
      <c r="C779" s="81" t="s">
        <v>5141</v>
      </c>
      <c r="D779" s="83" t="s">
        <v>4422</v>
      </c>
      <c r="E779" s="81" t="s">
        <v>1849</v>
      </c>
      <c r="F779" s="84">
        <v>368.0</v>
      </c>
      <c r="G779" s="81" t="s">
        <v>39</v>
      </c>
      <c r="H779" s="81" t="s">
        <v>5694</v>
      </c>
      <c r="I779" s="81" t="s">
        <v>224</v>
      </c>
      <c r="J779" s="81" t="s">
        <v>5143</v>
      </c>
    </row>
    <row r="780" hidden="1">
      <c r="A780" s="83" t="s">
        <v>4949</v>
      </c>
      <c r="B780" s="83" t="s">
        <v>4950</v>
      </c>
      <c r="C780" s="81" t="s">
        <v>4086</v>
      </c>
      <c r="D780" s="83" t="s">
        <v>4422</v>
      </c>
      <c r="E780" s="81" t="s">
        <v>1849</v>
      </c>
      <c r="F780" s="84">
        <v>368.0</v>
      </c>
      <c r="G780" s="81" t="s">
        <v>40</v>
      </c>
      <c r="H780" s="81" t="s">
        <v>5695</v>
      </c>
      <c r="I780" s="81" t="s">
        <v>5696</v>
      </c>
      <c r="J780" s="81" t="s">
        <v>224</v>
      </c>
    </row>
    <row r="781" hidden="1">
      <c r="A781" s="83" t="s">
        <v>4949</v>
      </c>
      <c r="B781" s="83" t="s">
        <v>4950</v>
      </c>
      <c r="C781" s="81" t="s">
        <v>5141</v>
      </c>
      <c r="D781" s="83" t="s">
        <v>4423</v>
      </c>
      <c r="E781" s="81" t="s">
        <v>1860</v>
      </c>
      <c r="F781" s="84">
        <v>369.0</v>
      </c>
      <c r="G781" s="81" t="s">
        <v>39</v>
      </c>
      <c r="H781" s="81" t="s">
        <v>5697</v>
      </c>
      <c r="I781" s="81" t="s">
        <v>224</v>
      </c>
      <c r="J781" s="81" t="s">
        <v>5143</v>
      </c>
    </row>
    <row r="782" hidden="1">
      <c r="A782" s="83" t="s">
        <v>4949</v>
      </c>
      <c r="B782" s="83" t="s">
        <v>4950</v>
      </c>
      <c r="C782" s="81" t="s">
        <v>5141</v>
      </c>
      <c r="D782" s="83" t="s">
        <v>4423</v>
      </c>
      <c r="E782" s="81" t="s">
        <v>1860</v>
      </c>
      <c r="F782" s="84">
        <v>369.0</v>
      </c>
      <c r="G782" s="81" t="s">
        <v>40</v>
      </c>
      <c r="H782" s="81" t="s">
        <v>5698</v>
      </c>
      <c r="I782" s="81" t="s">
        <v>224</v>
      </c>
      <c r="J782" s="81" t="s">
        <v>5143</v>
      </c>
    </row>
    <row r="783" hidden="1">
      <c r="A783" s="83" t="s">
        <v>4949</v>
      </c>
      <c r="B783" s="83" t="s">
        <v>4950</v>
      </c>
      <c r="C783" s="81" t="s">
        <v>5141</v>
      </c>
      <c r="D783" s="83" t="s">
        <v>4424</v>
      </c>
      <c r="E783" s="81" t="s">
        <v>1861</v>
      </c>
      <c r="F783" s="84">
        <v>370.0</v>
      </c>
      <c r="G783" s="81" t="s">
        <v>39</v>
      </c>
      <c r="H783" s="81" t="s">
        <v>5699</v>
      </c>
      <c r="I783" s="81" t="s">
        <v>224</v>
      </c>
      <c r="J783" s="81" t="s">
        <v>5143</v>
      </c>
    </row>
    <row r="784" hidden="1">
      <c r="A784" s="83" t="s">
        <v>4949</v>
      </c>
      <c r="B784" s="83" t="s">
        <v>4950</v>
      </c>
      <c r="C784" s="81" t="s">
        <v>5141</v>
      </c>
      <c r="D784" s="83" t="s">
        <v>4424</v>
      </c>
      <c r="E784" s="81" t="s">
        <v>1861</v>
      </c>
      <c r="F784" s="84">
        <v>370.0</v>
      </c>
      <c r="G784" s="81" t="s">
        <v>40</v>
      </c>
      <c r="H784" s="81" t="s">
        <v>5700</v>
      </c>
      <c r="I784" s="81" t="s">
        <v>224</v>
      </c>
      <c r="J784" s="81" t="s">
        <v>5143</v>
      </c>
    </row>
    <row r="785" hidden="1">
      <c r="A785" s="83" t="s">
        <v>4949</v>
      </c>
      <c r="B785" s="83" t="s">
        <v>4950</v>
      </c>
      <c r="C785" s="81" t="s">
        <v>5141</v>
      </c>
      <c r="D785" s="83" t="s">
        <v>4425</v>
      </c>
      <c r="E785" s="81" t="s">
        <v>1863</v>
      </c>
      <c r="F785" s="84">
        <v>371.0</v>
      </c>
      <c r="G785" s="81" t="s">
        <v>39</v>
      </c>
      <c r="H785" s="81" t="s">
        <v>5701</v>
      </c>
      <c r="I785" s="81" t="s">
        <v>224</v>
      </c>
      <c r="J785" s="81" t="s">
        <v>5143</v>
      </c>
    </row>
    <row r="786" hidden="1">
      <c r="A786" s="83" t="s">
        <v>4949</v>
      </c>
      <c r="B786" s="83" t="s">
        <v>4950</v>
      </c>
      <c r="C786" s="81" t="s">
        <v>5141</v>
      </c>
      <c r="D786" s="83" t="s">
        <v>4425</v>
      </c>
      <c r="E786" s="81" t="s">
        <v>1863</v>
      </c>
      <c r="F786" s="84">
        <v>371.0</v>
      </c>
      <c r="G786" s="81" t="s">
        <v>40</v>
      </c>
      <c r="H786" s="81" t="s">
        <v>5702</v>
      </c>
      <c r="I786" s="81" t="s">
        <v>224</v>
      </c>
      <c r="J786" s="81" t="s">
        <v>5143</v>
      </c>
    </row>
    <row r="787" hidden="1">
      <c r="A787" s="83" t="s">
        <v>4949</v>
      </c>
      <c r="B787" s="83" t="s">
        <v>4950</v>
      </c>
      <c r="C787" s="81" t="s">
        <v>4082</v>
      </c>
      <c r="D787" s="83" t="s">
        <v>4426</v>
      </c>
      <c r="E787" s="81" t="s">
        <v>1864</v>
      </c>
      <c r="F787" s="84">
        <v>372.0</v>
      </c>
      <c r="G787" s="81" t="s">
        <v>39</v>
      </c>
      <c r="H787" s="81" t="s">
        <v>224</v>
      </c>
      <c r="I787" s="81" t="s">
        <v>224</v>
      </c>
      <c r="J787" s="81" t="s">
        <v>5703</v>
      </c>
    </row>
    <row r="788" hidden="1">
      <c r="A788" s="83" t="s">
        <v>4949</v>
      </c>
      <c r="B788" s="83" t="s">
        <v>4950</v>
      </c>
      <c r="C788" s="81" t="s">
        <v>5141</v>
      </c>
      <c r="D788" s="83" t="s">
        <v>4426</v>
      </c>
      <c r="E788" s="81" t="s">
        <v>1864</v>
      </c>
      <c r="F788" s="84">
        <v>372.0</v>
      </c>
      <c r="G788" s="81" t="s">
        <v>39</v>
      </c>
      <c r="H788" s="81" t="s">
        <v>5704</v>
      </c>
      <c r="I788" s="81" t="s">
        <v>224</v>
      </c>
      <c r="J788" s="81" t="s">
        <v>5143</v>
      </c>
    </row>
    <row r="789" hidden="1">
      <c r="A789" s="83" t="s">
        <v>4949</v>
      </c>
      <c r="B789" s="83" t="s">
        <v>4950</v>
      </c>
      <c r="C789" s="81" t="s">
        <v>4086</v>
      </c>
      <c r="D789" s="83" t="s">
        <v>4426</v>
      </c>
      <c r="E789" s="81" t="s">
        <v>1864</v>
      </c>
      <c r="F789" s="84">
        <v>372.0</v>
      </c>
      <c r="G789" s="81" t="s">
        <v>40</v>
      </c>
      <c r="H789" s="81" t="s">
        <v>5705</v>
      </c>
      <c r="I789" s="81" t="s">
        <v>5706</v>
      </c>
      <c r="J789" s="81" t="s">
        <v>224</v>
      </c>
    </row>
    <row r="790" hidden="1">
      <c r="A790" s="83" t="s">
        <v>4949</v>
      </c>
      <c r="B790" s="83" t="s">
        <v>4950</v>
      </c>
      <c r="C790" s="81" t="s">
        <v>4086</v>
      </c>
      <c r="D790" s="83" t="s">
        <v>4427</v>
      </c>
      <c r="E790" s="81" t="s">
        <v>1874</v>
      </c>
      <c r="F790" s="84">
        <v>373.0</v>
      </c>
      <c r="G790" s="81" t="s">
        <v>39</v>
      </c>
      <c r="H790" s="81" t="s">
        <v>5707</v>
      </c>
      <c r="I790" s="81" t="s">
        <v>1879</v>
      </c>
      <c r="J790" s="81" t="s">
        <v>224</v>
      </c>
    </row>
    <row r="791" hidden="1">
      <c r="A791" s="83" t="s">
        <v>4949</v>
      </c>
      <c r="B791" s="83" t="s">
        <v>4950</v>
      </c>
      <c r="C791" s="81" t="s">
        <v>4086</v>
      </c>
      <c r="D791" s="83" t="s">
        <v>4427</v>
      </c>
      <c r="E791" s="81" t="s">
        <v>1874</v>
      </c>
      <c r="F791" s="84">
        <v>373.0</v>
      </c>
      <c r="G791" s="81" t="s">
        <v>40</v>
      </c>
      <c r="H791" s="81" t="s">
        <v>5708</v>
      </c>
      <c r="I791" s="81" t="s">
        <v>1880</v>
      </c>
      <c r="J791" s="81" t="s">
        <v>224</v>
      </c>
    </row>
    <row r="792" hidden="1">
      <c r="A792" s="83" t="s">
        <v>4949</v>
      </c>
      <c r="B792" s="83" t="s">
        <v>4950</v>
      </c>
      <c r="C792" s="81" t="s">
        <v>4086</v>
      </c>
      <c r="D792" s="83" t="s">
        <v>4428</v>
      </c>
      <c r="E792" s="81" t="s">
        <v>1886</v>
      </c>
      <c r="F792" s="84">
        <v>374.0</v>
      </c>
      <c r="G792" s="81" t="s">
        <v>39</v>
      </c>
      <c r="H792" s="81" t="s">
        <v>5709</v>
      </c>
      <c r="I792" s="81" t="s">
        <v>1893</v>
      </c>
      <c r="J792" s="81" t="s">
        <v>224</v>
      </c>
    </row>
    <row r="793" hidden="1">
      <c r="A793" s="83" t="s">
        <v>4949</v>
      </c>
      <c r="B793" s="83" t="s">
        <v>4950</v>
      </c>
      <c r="C793" s="81" t="s">
        <v>4086</v>
      </c>
      <c r="D793" s="83" t="s">
        <v>4428</v>
      </c>
      <c r="E793" s="81" t="s">
        <v>1886</v>
      </c>
      <c r="F793" s="84">
        <v>374.0</v>
      </c>
      <c r="G793" s="81" t="s">
        <v>40</v>
      </c>
      <c r="H793" s="81" t="s">
        <v>5710</v>
      </c>
      <c r="I793" s="81" t="s">
        <v>1894</v>
      </c>
      <c r="J793" s="81" t="s">
        <v>224</v>
      </c>
    </row>
    <row r="794" hidden="1">
      <c r="A794" s="83" t="s">
        <v>4949</v>
      </c>
      <c r="B794" s="83" t="s">
        <v>4950</v>
      </c>
      <c r="C794" s="81" t="s">
        <v>4082</v>
      </c>
      <c r="D794" s="83" t="s">
        <v>4429</v>
      </c>
      <c r="E794" s="81" t="s">
        <v>1900</v>
      </c>
      <c r="F794" s="84">
        <v>375.0</v>
      </c>
      <c r="G794" s="81" t="s">
        <v>39</v>
      </c>
      <c r="H794" s="81" t="s">
        <v>224</v>
      </c>
      <c r="I794" s="81" t="s">
        <v>224</v>
      </c>
      <c r="J794" s="81" t="s">
        <v>5711</v>
      </c>
    </row>
    <row r="795" hidden="1">
      <c r="A795" s="83" t="s">
        <v>4949</v>
      </c>
      <c r="B795" s="83" t="s">
        <v>4950</v>
      </c>
      <c r="C795" s="81" t="s">
        <v>5141</v>
      </c>
      <c r="D795" s="83" t="s">
        <v>4429</v>
      </c>
      <c r="E795" s="81" t="s">
        <v>1900</v>
      </c>
      <c r="F795" s="84">
        <v>375.0</v>
      </c>
      <c r="G795" s="81" t="s">
        <v>39</v>
      </c>
      <c r="H795" s="81" t="s">
        <v>5712</v>
      </c>
      <c r="I795" s="81" t="s">
        <v>224</v>
      </c>
      <c r="J795" s="81" t="s">
        <v>5143</v>
      </c>
    </row>
    <row r="796" hidden="1">
      <c r="A796" s="83" t="s">
        <v>4949</v>
      </c>
      <c r="B796" s="83" t="s">
        <v>4950</v>
      </c>
      <c r="C796" s="81" t="s">
        <v>4086</v>
      </c>
      <c r="D796" s="83" t="s">
        <v>4429</v>
      </c>
      <c r="E796" s="81" t="s">
        <v>1900</v>
      </c>
      <c r="F796" s="84">
        <v>375.0</v>
      </c>
      <c r="G796" s="81" t="s">
        <v>40</v>
      </c>
      <c r="H796" s="81" t="s">
        <v>5713</v>
      </c>
      <c r="I796" s="81" t="s">
        <v>1905</v>
      </c>
      <c r="J796" s="81" t="s">
        <v>224</v>
      </c>
    </row>
    <row r="797" hidden="1">
      <c r="A797" s="83" t="s">
        <v>4949</v>
      </c>
      <c r="B797" s="83" t="s">
        <v>4950</v>
      </c>
      <c r="C797" s="81" t="s">
        <v>4086</v>
      </c>
      <c r="D797" s="83" t="s">
        <v>4430</v>
      </c>
      <c r="E797" s="81" t="s">
        <v>1911</v>
      </c>
      <c r="F797" s="84">
        <v>376.0</v>
      </c>
      <c r="G797" s="81" t="s">
        <v>39</v>
      </c>
      <c r="H797" s="81" t="s">
        <v>5714</v>
      </c>
      <c r="I797" s="81" t="s">
        <v>1916</v>
      </c>
      <c r="J797" s="81" t="s">
        <v>224</v>
      </c>
    </row>
    <row r="798" hidden="1">
      <c r="A798" s="83" t="s">
        <v>4949</v>
      </c>
      <c r="B798" s="83" t="s">
        <v>4950</v>
      </c>
      <c r="C798" s="81" t="s">
        <v>4086</v>
      </c>
      <c r="D798" s="83" t="s">
        <v>4430</v>
      </c>
      <c r="E798" s="81" t="s">
        <v>1911</v>
      </c>
      <c r="F798" s="84">
        <v>376.0</v>
      </c>
      <c r="G798" s="81" t="s">
        <v>40</v>
      </c>
      <c r="H798" s="81" t="s">
        <v>5715</v>
      </c>
      <c r="I798" s="81" t="s">
        <v>1917</v>
      </c>
      <c r="J798" s="81" t="s">
        <v>224</v>
      </c>
    </row>
    <row r="799" hidden="1">
      <c r="A799" s="83" t="s">
        <v>4949</v>
      </c>
      <c r="B799" s="83" t="s">
        <v>4950</v>
      </c>
      <c r="C799" s="81" t="s">
        <v>4082</v>
      </c>
      <c r="D799" s="83" t="s">
        <v>4431</v>
      </c>
      <c r="E799" s="81" t="s">
        <v>1923</v>
      </c>
      <c r="F799" s="84">
        <v>377.0</v>
      </c>
      <c r="G799" s="81" t="s">
        <v>39</v>
      </c>
      <c r="H799" s="81" t="s">
        <v>224</v>
      </c>
      <c r="I799" s="81" t="s">
        <v>224</v>
      </c>
      <c r="J799" s="81" t="s">
        <v>5716</v>
      </c>
    </row>
    <row r="800" hidden="1">
      <c r="A800" s="83" t="s">
        <v>4949</v>
      </c>
      <c r="B800" s="83" t="s">
        <v>4950</v>
      </c>
      <c r="C800" s="81" t="s">
        <v>5141</v>
      </c>
      <c r="D800" s="83" t="s">
        <v>4431</v>
      </c>
      <c r="E800" s="81" t="s">
        <v>1923</v>
      </c>
      <c r="F800" s="84">
        <v>377.0</v>
      </c>
      <c r="G800" s="81" t="s">
        <v>39</v>
      </c>
      <c r="H800" s="81" t="s">
        <v>5717</v>
      </c>
      <c r="I800" s="81" t="s">
        <v>224</v>
      </c>
      <c r="J800" s="81" t="s">
        <v>5143</v>
      </c>
    </row>
    <row r="801" hidden="1">
      <c r="A801" s="83" t="s">
        <v>4949</v>
      </c>
      <c r="B801" s="83" t="s">
        <v>4950</v>
      </c>
      <c r="C801" s="81" t="s">
        <v>4086</v>
      </c>
      <c r="D801" s="83" t="s">
        <v>4431</v>
      </c>
      <c r="E801" s="81" t="s">
        <v>1923</v>
      </c>
      <c r="F801" s="84">
        <v>377.0</v>
      </c>
      <c r="G801" s="81" t="s">
        <v>40</v>
      </c>
      <c r="H801" s="81" t="s">
        <v>5718</v>
      </c>
      <c r="I801" s="81" t="s">
        <v>5719</v>
      </c>
      <c r="J801" s="81" t="s">
        <v>224</v>
      </c>
    </row>
    <row r="802" hidden="1">
      <c r="A802" s="83" t="s">
        <v>4949</v>
      </c>
      <c r="B802" s="83" t="s">
        <v>4950</v>
      </c>
      <c r="C802" s="81" t="s">
        <v>5141</v>
      </c>
      <c r="D802" s="83" t="s">
        <v>4431</v>
      </c>
      <c r="E802" s="81" t="s">
        <v>1934</v>
      </c>
      <c r="F802" s="84">
        <v>378.0</v>
      </c>
      <c r="G802" s="81" t="s">
        <v>39</v>
      </c>
      <c r="H802" s="81" t="s">
        <v>5717</v>
      </c>
      <c r="I802" s="81" t="s">
        <v>224</v>
      </c>
      <c r="J802" s="81" t="s">
        <v>5143</v>
      </c>
    </row>
    <row r="803" hidden="1">
      <c r="A803" s="83" t="s">
        <v>4949</v>
      </c>
      <c r="B803" s="83" t="s">
        <v>4950</v>
      </c>
      <c r="C803" s="81" t="s">
        <v>4086</v>
      </c>
      <c r="D803" s="83" t="s">
        <v>4431</v>
      </c>
      <c r="E803" s="81" t="s">
        <v>1934</v>
      </c>
      <c r="F803" s="84">
        <v>378.0</v>
      </c>
      <c r="G803" s="81" t="s">
        <v>40</v>
      </c>
      <c r="H803" s="81" t="s">
        <v>5720</v>
      </c>
      <c r="I803" s="81" t="s">
        <v>5719</v>
      </c>
      <c r="J803" s="81" t="s">
        <v>224</v>
      </c>
    </row>
    <row r="804" hidden="1">
      <c r="A804" s="83" t="s">
        <v>4949</v>
      </c>
      <c r="B804" s="83" t="s">
        <v>4950</v>
      </c>
      <c r="C804" s="81" t="s">
        <v>4082</v>
      </c>
      <c r="D804" s="83" t="s">
        <v>4432</v>
      </c>
      <c r="E804" s="81" t="s">
        <v>1935</v>
      </c>
      <c r="F804" s="84">
        <v>379.0</v>
      </c>
      <c r="G804" s="81" t="s">
        <v>39</v>
      </c>
      <c r="H804" s="81" t="s">
        <v>224</v>
      </c>
      <c r="I804" s="81" t="s">
        <v>224</v>
      </c>
      <c r="J804" s="81" t="s">
        <v>5721</v>
      </c>
    </row>
    <row r="805" hidden="1">
      <c r="A805" s="83" t="s">
        <v>4949</v>
      </c>
      <c r="B805" s="83" t="s">
        <v>4950</v>
      </c>
      <c r="C805" s="81" t="s">
        <v>5141</v>
      </c>
      <c r="D805" s="83" t="s">
        <v>4432</v>
      </c>
      <c r="E805" s="81" t="s">
        <v>1935</v>
      </c>
      <c r="F805" s="84">
        <v>379.0</v>
      </c>
      <c r="G805" s="81" t="s">
        <v>39</v>
      </c>
      <c r="H805" s="81" t="s">
        <v>5722</v>
      </c>
      <c r="I805" s="81" t="s">
        <v>224</v>
      </c>
      <c r="J805" s="81" t="s">
        <v>5143</v>
      </c>
    </row>
    <row r="806" hidden="1">
      <c r="A806" s="83" t="s">
        <v>4949</v>
      </c>
      <c r="B806" s="83" t="s">
        <v>4950</v>
      </c>
      <c r="C806" s="81" t="s">
        <v>4086</v>
      </c>
      <c r="D806" s="83" t="s">
        <v>4432</v>
      </c>
      <c r="E806" s="81" t="s">
        <v>1935</v>
      </c>
      <c r="F806" s="84">
        <v>379.0</v>
      </c>
      <c r="G806" s="81" t="s">
        <v>40</v>
      </c>
      <c r="H806" s="81" t="s">
        <v>5723</v>
      </c>
      <c r="I806" s="81" t="s">
        <v>5724</v>
      </c>
      <c r="J806" s="81" t="s">
        <v>224</v>
      </c>
    </row>
    <row r="807" hidden="1">
      <c r="A807" s="83" t="s">
        <v>4949</v>
      </c>
      <c r="B807" s="83" t="s">
        <v>4950</v>
      </c>
      <c r="C807" s="81" t="s">
        <v>5141</v>
      </c>
      <c r="D807" s="83" t="s">
        <v>4432</v>
      </c>
      <c r="E807" s="81" t="s">
        <v>1935</v>
      </c>
      <c r="F807" s="84">
        <v>380.0</v>
      </c>
      <c r="G807" s="81" t="s">
        <v>39</v>
      </c>
      <c r="H807" s="81" t="s">
        <v>5722</v>
      </c>
      <c r="I807" s="81" t="s">
        <v>224</v>
      </c>
      <c r="J807" s="81" t="s">
        <v>5143</v>
      </c>
    </row>
    <row r="808" hidden="1">
      <c r="A808" s="83" t="s">
        <v>4949</v>
      </c>
      <c r="B808" s="83" t="s">
        <v>4950</v>
      </c>
      <c r="C808" s="81" t="s">
        <v>4086</v>
      </c>
      <c r="D808" s="83" t="s">
        <v>4432</v>
      </c>
      <c r="E808" s="81" t="s">
        <v>1935</v>
      </c>
      <c r="F808" s="84">
        <v>380.0</v>
      </c>
      <c r="G808" s="81" t="s">
        <v>40</v>
      </c>
      <c r="H808" s="81" t="s">
        <v>5723</v>
      </c>
      <c r="I808" s="81" t="s">
        <v>5724</v>
      </c>
      <c r="J808" s="81" t="s">
        <v>224</v>
      </c>
    </row>
    <row r="809" hidden="1">
      <c r="A809" s="83" t="s">
        <v>4949</v>
      </c>
      <c r="B809" s="83" t="s">
        <v>4950</v>
      </c>
      <c r="C809" s="81" t="s">
        <v>4082</v>
      </c>
      <c r="D809" s="83" t="s">
        <v>4433</v>
      </c>
      <c r="E809" s="81" t="s">
        <v>1950</v>
      </c>
      <c r="F809" s="84">
        <v>381.0</v>
      </c>
      <c r="G809" s="81" t="s">
        <v>39</v>
      </c>
      <c r="H809" s="81" t="s">
        <v>224</v>
      </c>
      <c r="I809" s="81" t="s">
        <v>224</v>
      </c>
      <c r="J809" s="81" t="s">
        <v>5725</v>
      </c>
    </row>
    <row r="810" hidden="1">
      <c r="A810" s="83" t="s">
        <v>4949</v>
      </c>
      <c r="B810" s="83" t="s">
        <v>4950</v>
      </c>
      <c r="C810" s="81" t="s">
        <v>5141</v>
      </c>
      <c r="D810" s="83" t="s">
        <v>4433</v>
      </c>
      <c r="E810" s="81" t="s">
        <v>1950</v>
      </c>
      <c r="F810" s="84">
        <v>381.0</v>
      </c>
      <c r="G810" s="81" t="s">
        <v>39</v>
      </c>
      <c r="H810" s="81" t="s">
        <v>5726</v>
      </c>
      <c r="I810" s="81" t="s">
        <v>224</v>
      </c>
      <c r="J810" s="81" t="s">
        <v>5143</v>
      </c>
    </row>
    <row r="811" hidden="1">
      <c r="A811" s="83" t="s">
        <v>4949</v>
      </c>
      <c r="B811" s="83" t="s">
        <v>4950</v>
      </c>
      <c r="C811" s="81" t="s">
        <v>4086</v>
      </c>
      <c r="D811" s="83" t="s">
        <v>4433</v>
      </c>
      <c r="E811" s="81" t="s">
        <v>1950</v>
      </c>
      <c r="F811" s="84">
        <v>381.0</v>
      </c>
      <c r="G811" s="81" t="s">
        <v>40</v>
      </c>
      <c r="H811" s="81" t="s">
        <v>5727</v>
      </c>
      <c r="I811" s="81" t="s">
        <v>5728</v>
      </c>
      <c r="J811" s="81" t="s">
        <v>224</v>
      </c>
    </row>
    <row r="812" hidden="1">
      <c r="A812" s="83" t="s">
        <v>4949</v>
      </c>
      <c r="B812" s="83" t="s">
        <v>4950</v>
      </c>
      <c r="C812" s="81" t="s">
        <v>5141</v>
      </c>
      <c r="D812" s="83" t="s">
        <v>4433</v>
      </c>
      <c r="E812" s="81" t="s">
        <v>1963</v>
      </c>
      <c r="F812" s="84">
        <v>382.0</v>
      </c>
      <c r="G812" s="81" t="s">
        <v>39</v>
      </c>
      <c r="H812" s="81" t="s">
        <v>5726</v>
      </c>
      <c r="I812" s="81" t="s">
        <v>224</v>
      </c>
      <c r="J812" s="81" t="s">
        <v>5143</v>
      </c>
    </row>
    <row r="813" hidden="1">
      <c r="A813" s="83" t="s">
        <v>4949</v>
      </c>
      <c r="B813" s="83" t="s">
        <v>4950</v>
      </c>
      <c r="C813" s="81" t="s">
        <v>4086</v>
      </c>
      <c r="D813" s="83" t="s">
        <v>4433</v>
      </c>
      <c r="E813" s="81" t="s">
        <v>1963</v>
      </c>
      <c r="F813" s="84">
        <v>382.0</v>
      </c>
      <c r="G813" s="81" t="s">
        <v>40</v>
      </c>
      <c r="H813" s="81" t="s">
        <v>5727</v>
      </c>
      <c r="I813" s="81" t="s">
        <v>5728</v>
      </c>
      <c r="J813" s="81" t="s">
        <v>224</v>
      </c>
    </row>
    <row r="814" hidden="1">
      <c r="A814" s="83" t="s">
        <v>4949</v>
      </c>
      <c r="B814" s="83" t="s">
        <v>4950</v>
      </c>
      <c r="C814" s="81" t="s">
        <v>4082</v>
      </c>
      <c r="D814" s="83" t="s">
        <v>4434</v>
      </c>
      <c r="E814" s="81" t="s">
        <v>1964</v>
      </c>
      <c r="F814" s="84">
        <v>383.0</v>
      </c>
      <c r="G814" s="81" t="s">
        <v>39</v>
      </c>
      <c r="H814" s="81" t="s">
        <v>224</v>
      </c>
      <c r="I814" s="81" t="s">
        <v>224</v>
      </c>
      <c r="J814" s="81" t="s">
        <v>5729</v>
      </c>
    </row>
    <row r="815" hidden="1">
      <c r="A815" s="83" t="s">
        <v>4949</v>
      </c>
      <c r="B815" s="83" t="s">
        <v>4950</v>
      </c>
      <c r="C815" s="81" t="s">
        <v>5141</v>
      </c>
      <c r="D815" s="83" t="s">
        <v>4434</v>
      </c>
      <c r="E815" s="81" t="s">
        <v>1964</v>
      </c>
      <c r="F815" s="84">
        <v>383.0</v>
      </c>
      <c r="G815" s="81" t="s">
        <v>39</v>
      </c>
      <c r="H815" s="81" t="s">
        <v>1968</v>
      </c>
      <c r="I815" s="81" t="s">
        <v>224</v>
      </c>
      <c r="J815" s="81" t="s">
        <v>5143</v>
      </c>
    </row>
    <row r="816" hidden="1">
      <c r="A816" s="83" t="s">
        <v>4949</v>
      </c>
      <c r="B816" s="83" t="s">
        <v>4950</v>
      </c>
      <c r="C816" s="81" t="s">
        <v>4086</v>
      </c>
      <c r="D816" s="83" t="s">
        <v>4434</v>
      </c>
      <c r="E816" s="81" t="s">
        <v>1964</v>
      </c>
      <c r="F816" s="84">
        <v>383.0</v>
      </c>
      <c r="G816" s="81" t="s">
        <v>40</v>
      </c>
      <c r="H816" s="81" t="s">
        <v>5730</v>
      </c>
      <c r="I816" s="81" t="s">
        <v>5731</v>
      </c>
      <c r="J816" s="81" t="s">
        <v>224</v>
      </c>
    </row>
    <row r="817" hidden="1">
      <c r="A817" s="83" t="s">
        <v>4949</v>
      </c>
      <c r="B817" s="83" t="s">
        <v>4950</v>
      </c>
      <c r="C817" s="81" t="s">
        <v>5141</v>
      </c>
      <c r="D817" s="83" t="s">
        <v>4434</v>
      </c>
      <c r="E817" s="81" t="s">
        <v>1964</v>
      </c>
      <c r="F817" s="84">
        <v>384.0</v>
      </c>
      <c r="G817" s="81" t="s">
        <v>39</v>
      </c>
      <c r="H817" s="81" t="s">
        <v>1968</v>
      </c>
      <c r="I817" s="81" t="s">
        <v>224</v>
      </c>
      <c r="J817" s="81" t="s">
        <v>5143</v>
      </c>
    </row>
    <row r="818" hidden="1">
      <c r="A818" s="83" t="s">
        <v>4949</v>
      </c>
      <c r="B818" s="83" t="s">
        <v>4950</v>
      </c>
      <c r="C818" s="81" t="s">
        <v>4086</v>
      </c>
      <c r="D818" s="83" t="s">
        <v>4434</v>
      </c>
      <c r="E818" s="81" t="s">
        <v>1964</v>
      </c>
      <c r="F818" s="84">
        <v>384.0</v>
      </c>
      <c r="G818" s="81" t="s">
        <v>40</v>
      </c>
      <c r="H818" s="81" t="s">
        <v>5732</v>
      </c>
      <c r="I818" s="81" t="s">
        <v>5731</v>
      </c>
      <c r="J818" s="81" t="s">
        <v>224</v>
      </c>
    </row>
    <row r="819" hidden="1">
      <c r="A819" s="83" t="s">
        <v>4949</v>
      </c>
      <c r="B819" s="83" t="s">
        <v>4950</v>
      </c>
      <c r="C819" s="81" t="s">
        <v>4086</v>
      </c>
      <c r="D819" s="83" t="s">
        <v>4435</v>
      </c>
      <c r="E819" s="81" t="s">
        <v>1974</v>
      </c>
      <c r="F819" s="84">
        <v>385.0</v>
      </c>
      <c r="G819" s="81" t="s">
        <v>40</v>
      </c>
      <c r="H819" s="81" t="s">
        <v>5733</v>
      </c>
      <c r="I819" s="81" t="s">
        <v>5734</v>
      </c>
      <c r="J819" s="81" t="s">
        <v>224</v>
      </c>
    </row>
    <row r="820" hidden="1">
      <c r="A820" s="83" t="s">
        <v>4949</v>
      </c>
      <c r="B820" s="83" t="s">
        <v>4950</v>
      </c>
      <c r="C820" s="81" t="s">
        <v>4086</v>
      </c>
      <c r="D820" s="83" t="s">
        <v>4435</v>
      </c>
      <c r="E820" s="81" t="s">
        <v>1987</v>
      </c>
      <c r="F820" s="84">
        <v>386.0</v>
      </c>
      <c r="G820" s="81" t="s">
        <v>40</v>
      </c>
      <c r="H820" s="81" t="s">
        <v>5733</v>
      </c>
      <c r="I820" s="81" t="s">
        <v>5734</v>
      </c>
      <c r="J820" s="81" t="s">
        <v>224</v>
      </c>
    </row>
    <row r="821" hidden="1">
      <c r="A821" s="83" t="s">
        <v>4949</v>
      </c>
      <c r="B821" s="83" t="s">
        <v>4950</v>
      </c>
      <c r="C821" s="81" t="s">
        <v>4086</v>
      </c>
      <c r="D821" s="83" t="s">
        <v>4436</v>
      </c>
      <c r="E821" s="81" t="s">
        <v>1989</v>
      </c>
      <c r="F821" s="84">
        <v>387.0</v>
      </c>
      <c r="G821" s="81" t="s">
        <v>40</v>
      </c>
      <c r="H821" s="81" t="s">
        <v>5735</v>
      </c>
      <c r="I821" s="81" t="s">
        <v>5736</v>
      </c>
      <c r="J821" s="81" t="s">
        <v>224</v>
      </c>
    </row>
    <row r="822" hidden="1">
      <c r="A822" s="83" t="s">
        <v>4949</v>
      </c>
      <c r="B822" s="83" t="s">
        <v>4950</v>
      </c>
      <c r="C822" s="81" t="s">
        <v>4086</v>
      </c>
      <c r="D822" s="83" t="s">
        <v>4437</v>
      </c>
      <c r="E822" s="81" t="s">
        <v>1997</v>
      </c>
      <c r="F822" s="84">
        <v>388.0</v>
      </c>
      <c r="G822" s="81" t="s">
        <v>39</v>
      </c>
      <c r="H822" s="81" t="s">
        <v>5737</v>
      </c>
      <c r="I822" s="81" t="s">
        <v>2000</v>
      </c>
      <c r="J822" s="81" t="s">
        <v>224</v>
      </c>
    </row>
    <row r="823" hidden="1">
      <c r="A823" s="83" t="s">
        <v>4949</v>
      </c>
      <c r="B823" s="83" t="s">
        <v>4950</v>
      </c>
      <c r="C823" s="81" t="s">
        <v>5141</v>
      </c>
      <c r="D823" s="83" t="s">
        <v>4437</v>
      </c>
      <c r="E823" s="81" t="s">
        <v>1997</v>
      </c>
      <c r="F823" s="84">
        <v>388.0</v>
      </c>
      <c r="G823" s="81" t="s">
        <v>40</v>
      </c>
      <c r="H823" s="81" t="s">
        <v>5738</v>
      </c>
      <c r="I823" s="81" t="s">
        <v>224</v>
      </c>
      <c r="J823" s="81" t="s">
        <v>5143</v>
      </c>
    </row>
    <row r="824" hidden="1">
      <c r="A824" s="83" t="s">
        <v>4949</v>
      </c>
      <c r="B824" s="83" t="s">
        <v>4950</v>
      </c>
      <c r="C824" s="81" t="s">
        <v>5141</v>
      </c>
      <c r="D824" s="83" t="s">
        <v>4437</v>
      </c>
      <c r="E824" s="81" t="s">
        <v>2001</v>
      </c>
      <c r="F824" s="84">
        <v>389.0</v>
      </c>
      <c r="G824" s="81" t="s">
        <v>40</v>
      </c>
      <c r="H824" s="81" t="s">
        <v>49</v>
      </c>
      <c r="I824" s="81" t="s">
        <v>224</v>
      </c>
      <c r="J824" s="81" t="s">
        <v>5143</v>
      </c>
    </row>
    <row r="825" hidden="1">
      <c r="A825" s="83" t="s">
        <v>4949</v>
      </c>
      <c r="B825" s="83" t="s">
        <v>4950</v>
      </c>
      <c r="C825" s="81" t="s">
        <v>5141</v>
      </c>
      <c r="D825" s="83" t="s">
        <v>4438</v>
      </c>
      <c r="E825" s="81" t="s">
        <v>2002</v>
      </c>
      <c r="F825" s="84">
        <v>390.0</v>
      </c>
      <c r="G825" s="81" t="s">
        <v>40</v>
      </c>
      <c r="H825" s="81" t="s">
        <v>49</v>
      </c>
      <c r="I825" s="81" t="s">
        <v>224</v>
      </c>
      <c r="J825" s="81" t="s">
        <v>5143</v>
      </c>
    </row>
    <row r="826" hidden="1">
      <c r="A826" s="83" t="s">
        <v>4949</v>
      </c>
      <c r="B826" s="83" t="s">
        <v>4950</v>
      </c>
      <c r="C826" s="81" t="s">
        <v>4086</v>
      </c>
      <c r="D826" s="83" t="s">
        <v>4439</v>
      </c>
      <c r="E826" s="81" t="s">
        <v>2006</v>
      </c>
      <c r="F826" s="84">
        <v>391.0</v>
      </c>
      <c r="G826" s="81" t="s">
        <v>39</v>
      </c>
      <c r="H826" s="81" t="s">
        <v>5739</v>
      </c>
      <c r="I826" s="81" t="s">
        <v>2014</v>
      </c>
      <c r="J826" s="81" t="s">
        <v>224</v>
      </c>
    </row>
    <row r="827" hidden="1">
      <c r="A827" s="83" t="s">
        <v>4949</v>
      </c>
      <c r="B827" s="83" t="s">
        <v>4950</v>
      </c>
      <c r="C827" s="81" t="s">
        <v>4086</v>
      </c>
      <c r="D827" s="83" t="s">
        <v>4439</v>
      </c>
      <c r="E827" s="81" t="s">
        <v>2006</v>
      </c>
      <c r="F827" s="84">
        <v>391.0</v>
      </c>
      <c r="G827" s="81" t="s">
        <v>40</v>
      </c>
      <c r="H827" s="81" t="s">
        <v>5740</v>
      </c>
      <c r="I827" s="81" t="s">
        <v>2015</v>
      </c>
      <c r="J827" s="81" t="s">
        <v>224</v>
      </c>
    </row>
    <row r="828" hidden="1">
      <c r="A828" s="83" t="s">
        <v>4949</v>
      </c>
      <c r="B828" s="83" t="s">
        <v>4950</v>
      </c>
      <c r="C828" s="81" t="s">
        <v>4086</v>
      </c>
      <c r="D828" s="83" t="s">
        <v>4439</v>
      </c>
      <c r="E828" s="81" t="s">
        <v>2021</v>
      </c>
      <c r="F828" s="84">
        <v>392.0</v>
      </c>
      <c r="G828" s="81" t="s">
        <v>40</v>
      </c>
      <c r="H828" s="81" t="s">
        <v>5741</v>
      </c>
      <c r="I828" s="81" t="s">
        <v>2015</v>
      </c>
      <c r="J828" s="81" t="s">
        <v>224</v>
      </c>
    </row>
    <row r="829" hidden="1">
      <c r="A829" s="83" t="s">
        <v>4949</v>
      </c>
      <c r="B829" s="83" t="s">
        <v>4950</v>
      </c>
      <c r="C829" s="81" t="s">
        <v>4086</v>
      </c>
      <c r="D829" s="83" t="s">
        <v>4442</v>
      </c>
      <c r="E829" s="81" t="s">
        <v>2022</v>
      </c>
      <c r="F829" s="84">
        <v>393.0</v>
      </c>
      <c r="G829" s="81" t="s">
        <v>40</v>
      </c>
      <c r="H829" s="81" t="s">
        <v>5742</v>
      </c>
      <c r="I829" s="81" t="s">
        <v>2025</v>
      </c>
      <c r="J829" s="81" t="s">
        <v>224</v>
      </c>
    </row>
    <row r="830" hidden="1">
      <c r="A830" s="83" t="s">
        <v>4949</v>
      </c>
      <c r="B830" s="83" t="s">
        <v>4950</v>
      </c>
      <c r="C830" s="81" t="s">
        <v>4086</v>
      </c>
      <c r="D830" s="83" t="s">
        <v>4443</v>
      </c>
      <c r="E830" s="81" t="s">
        <v>2026</v>
      </c>
      <c r="F830" s="84">
        <v>394.0</v>
      </c>
      <c r="G830" s="81" t="s">
        <v>39</v>
      </c>
      <c r="H830" s="81" t="s">
        <v>5743</v>
      </c>
      <c r="I830" s="81" t="s">
        <v>2030</v>
      </c>
      <c r="J830" s="81" t="s">
        <v>224</v>
      </c>
    </row>
    <row r="831" hidden="1">
      <c r="A831" s="83" t="s">
        <v>4949</v>
      </c>
      <c r="B831" s="83" t="s">
        <v>4950</v>
      </c>
      <c r="C831" s="81" t="s">
        <v>4086</v>
      </c>
      <c r="D831" s="83" t="s">
        <v>4443</v>
      </c>
      <c r="E831" s="81" t="s">
        <v>2026</v>
      </c>
      <c r="F831" s="84">
        <v>394.0</v>
      </c>
      <c r="G831" s="81" t="s">
        <v>40</v>
      </c>
      <c r="H831" s="81" t="s">
        <v>5744</v>
      </c>
      <c r="I831" s="81" t="s">
        <v>5745</v>
      </c>
      <c r="J831" s="81" t="s">
        <v>224</v>
      </c>
    </row>
    <row r="832" hidden="1">
      <c r="A832" s="83" t="s">
        <v>4949</v>
      </c>
      <c r="B832" s="83" t="s">
        <v>4950</v>
      </c>
      <c r="C832" s="81" t="s">
        <v>4086</v>
      </c>
      <c r="D832" s="83" t="s">
        <v>4445</v>
      </c>
      <c r="E832" s="81" t="s">
        <v>2037</v>
      </c>
      <c r="F832" s="84">
        <v>395.0</v>
      </c>
      <c r="G832" s="81" t="s">
        <v>39</v>
      </c>
      <c r="H832" s="81" t="s">
        <v>5746</v>
      </c>
      <c r="I832" s="81" t="s">
        <v>2042</v>
      </c>
      <c r="J832" s="81" t="s">
        <v>224</v>
      </c>
    </row>
    <row r="833" hidden="1">
      <c r="A833" s="83" t="s">
        <v>4949</v>
      </c>
      <c r="B833" s="83" t="s">
        <v>4950</v>
      </c>
      <c r="C833" s="81" t="s">
        <v>4086</v>
      </c>
      <c r="D833" s="83" t="s">
        <v>4445</v>
      </c>
      <c r="E833" s="81" t="s">
        <v>2037</v>
      </c>
      <c r="F833" s="84">
        <v>395.0</v>
      </c>
      <c r="G833" s="81" t="s">
        <v>40</v>
      </c>
      <c r="H833" s="81" t="s">
        <v>5747</v>
      </c>
      <c r="I833" s="81" t="s">
        <v>2043</v>
      </c>
      <c r="J833" s="81" t="s">
        <v>224</v>
      </c>
    </row>
    <row r="834" hidden="1">
      <c r="A834" s="83" t="s">
        <v>4949</v>
      </c>
      <c r="B834" s="83" t="s">
        <v>4950</v>
      </c>
      <c r="C834" s="81" t="s">
        <v>4086</v>
      </c>
      <c r="D834" s="83" t="s">
        <v>4447</v>
      </c>
      <c r="E834" s="81" t="s">
        <v>2049</v>
      </c>
      <c r="F834" s="84">
        <v>396.0</v>
      </c>
      <c r="G834" s="81" t="s">
        <v>39</v>
      </c>
      <c r="H834" s="81" t="s">
        <v>5748</v>
      </c>
      <c r="I834" s="81" t="s">
        <v>2051</v>
      </c>
      <c r="J834" s="81" t="s">
        <v>224</v>
      </c>
    </row>
    <row r="835" hidden="1">
      <c r="A835" s="83" t="s">
        <v>4949</v>
      </c>
      <c r="B835" s="83" t="s">
        <v>4950</v>
      </c>
      <c r="C835" s="81" t="s">
        <v>4086</v>
      </c>
      <c r="D835" s="83" t="s">
        <v>4447</v>
      </c>
      <c r="E835" s="81" t="s">
        <v>2049</v>
      </c>
      <c r="F835" s="84">
        <v>396.0</v>
      </c>
      <c r="G835" s="81" t="s">
        <v>40</v>
      </c>
      <c r="H835" s="81" t="s">
        <v>5749</v>
      </c>
      <c r="I835" s="81" t="s">
        <v>2052</v>
      </c>
      <c r="J835" s="81" t="s">
        <v>224</v>
      </c>
    </row>
    <row r="836" hidden="1">
      <c r="A836" s="83" t="s">
        <v>4949</v>
      </c>
      <c r="B836" s="83" t="s">
        <v>4950</v>
      </c>
      <c r="C836" s="81" t="s">
        <v>4086</v>
      </c>
      <c r="D836" s="83" t="s">
        <v>4447</v>
      </c>
      <c r="E836" s="81" t="s">
        <v>2058</v>
      </c>
      <c r="F836" s="84">
        <v>397.0</v>
      </c>
      <c r="G836" s="81" t="s">
        <v>40</v>
      </c>
      <c r="H836" s="81" t="s">
        <v>5750</v>
      </c>
      <c r="I836" s="81" t="s">
        <v>2052</v>
      </c>
      <c r="J836" s="81" t="s">
        <v>224</v>
      </c>
    </row>
    <row r="837" hidden="1">
      <c r="A837" s="83" t="s">
        <v>4949</v>
      </c>
      <c r="B837" s="83" t="s">
        <v>4950</v>
      </c>
      <c r="C837" s="81" t="s">
        <v>4086</v>
      </c>
      <c r="D837" s="83" t="s">
        <v>4449</v>
      </c>
      <c r="E837" s="81" t="s">
        <v>2059</v>
      </c>
      <c r="F837" s="84">
        <v>398.0</v>
      </c>
      <c r="G837" s="81" t="s">
        <v>40</v>
      </c>
      <c r="H837" s="81" t="s">
        <v>5751</v>
      </c>
      <c r="I837" s="81" t="s">
        <v>2062</v>
      </c>
      <c r="J837" s="81" t="s">
        <v>224</v>
      </c>
    </row>
    <row r="838" hidden="1">
      <c r="A838" s="83" t="s">
        <v>4949</v>
      </c>
      <c r="B838" s="83" t="s">
        <v>4950</v>
      </c>
      <c r="C838" s="81" t="s">
        <v>4086</v>
      </c>
      <c r="D838" s="83" t="s">
        <v>4450</v>
      </c>
      <c r="E838" s="81" t="s">
        <v>2063</v>
      </c>
      <c r="F838" s="84">
        <v>399.0</v>
      </c>
      <c r="G838" s="81" t="s">
        <v>39</v>
      </c>
      <c r="H838" s="81" t="s">
        <v>5752</v>
      </c>
      <c r="I838" s="81" t="s">
        <v>2069</v>
      </c>
      <c r="J838" s="81" t="s">
        <v>224</v>
      </c>
    </row>
    <row r="839" hidden="1">
      <c r="A839" s="83" t="s">
        <v>4949</v>
      </c>
      <c r="B839" s="83" t="s">
        <v>4950</v>
      </c>
      <c r="C839" s="81" t="s">
        <v>4086</v>
      </c>
      <c r="D839" s="83" t="s">
        <v>4450</v>
      </c>
      <c r="E839" s="81" t="s">
        <v>2063</v>
      </c>
      <c r="F839" s="84">
        <v>399.0</v>
      </c>
      <c r="G839" s="81" t="s">
        <v>40</v>
      </c>
      <c r="H839" s="81" t="s">
        <v>5753</v>
      </c>
      <c r="I839" s="81" t="s">
        <v>5754</v>
      </c>
      <c r="J839" s="81" t="s">
        <v>224</v>
      </c>
    </row>
    <row r="840" hidden="1">
      <c r="A840" s="83" t="s">
        <v>4949</v>
      </c>
      <c r="B840" s="83" t="s">
        <v>4950</v>
      </c>
      <c r="C840" s="81" t="s">
        <v>4086</v>
      </c>
      <c r="D840" s="83" t="s">
        <v>4451</v>
      </c>
      <c r="E840" s="81" t="s">
        <v>2076</v>
      </c>
      <c r="F840" s="84">
        <v>400.0</v>
      </c>
      <c r="G840" s="81" t="s">
        <v>39</v>
      </c>
      <c r="H840" s="81" t="s">
        <v>5755</v>
      </c>
      <c r="I840" s="81" t="s">
        <v>2080</v>
      </c>
      <c r="J840" s="81" t="s">
        <v>224</v>
      </c>
    </row>
    <row r="841" hidden="1">
      <c r="A841" s="83" t="s">
        <v>4949</v>
      </c>
      <c r="B841" s="83" t="s">
        <v>4950</v>
      </c>
      <c r="C841" s="81" t="s">
        <v>4086</v>
      </c>
      <c r="D841" s="83" t="s">
        <v>4451</v>
      </c>
      <c r="E841" s="81" t="s">
        <v>2076</v>
      </c>
      <c r="F841" s="84">
        <v>400.0</v>
      </c>
      <c r="G841" s="81" t="s">
        <v>40</v>
      </c>
      <c r="H841" s="81" t="s">
        <v>5756</v>
      </c>
      <c r="I841" s="81" t="s">
        <v>2081</v>
      </c>
      <c r="J841" s="81" t="s">
        <v>224</v>
      </c>
    </row>
    <row r="842" hidden="1">
      <c r="A842" s="83" t="s">
        <v>4949</v>
      </c>
      <c r="B842" s="83" t="s">
        <v>4950</v>
      </c>
      <c r="C842" s="81" t="s">
        <v>4086</v>
      </c>
      <c r="D842" s="83" t="s">
        <v>4453</v>
      </c>
      <c r="E842" s="81" t="s">
        <v>2087</v>
      </c>
      <c r="F842" s="84">
        <v>401.0</v>
      </c>
      <c r="G842" s="81" t="s">
        <v>39</v>
      </c>
      <c r="H842" s="81" t="s">
        <v>5757</v>
      </c>
      <c r="I842" s="81" t="s">
        <v>2091</v>
      </c>
      <c r="J842" s="81" t="s">
        <v>224</v>
      </c>
    </row>
    <row r="843" hidden="1">
      <c r="A843" s="83" t="s">
        <v>4949</v>
      </c>
      <c r="B843" s="83" t="s">
        <v>4950</v>
      </c>
      <c r="C843" s="81" t="s">
        <v>4086</v>
      </c>
      <c r="D843" s="83" t="s">
        <v>4453</v>
      </c>
      <c r="E843" s="81" t="s">
        <v>2087</v>
      </c>
      <c r="F843" s="84">
        <v>401.0</v>
      </c>
      <c r="G843" s="81" t="s">
        <v>40</v>
      </c>
      <c r="H843" s="81" t="s">
        <v>5758</v>
      </c>
      <c r="I843" s="81" t="s">
        <v>2092</v>
      </c>
      <c r="J843" s="81" t="s">
        <v>224</v>
      </c>
    </row>
    <row r="844" hidden="1">
      <c r="A844" s="83" t="s">
        <v>4949</v>
      </c>
      <c r="B844" s="83" t="s">
        <v>4950</v>
      </c>
      <c r="C844" s="81" t="s">
        <v>4086</v>
      </c>
      <c r="D844" s="83" t="s">
        <v>4453</v>
      </c>
      <c r="E844" s="81" t="s">
        <v>2098</v>
      </c>
      <c r="F844" s="84">
        <v>402.0</v>
      </c>
      <c r="G844" s="81" t="s">
        <v>39</v>
      </c>
      <c r="H844" s="81" t="s">
        <v>5757</v>
      </c>
      <c r="I844" s="81" t="s">
        <v>2091</v>
      </c>
      <c r="J844" s="81" t="s">
        <v>224</v>
      </c>
    </row>
    <row r="845" hidden="1">
      <c r="A845" s="83" t="s">
        <v>4949</v>
      </c>
      <c r="B845" s="83" t="s">
        <v>4950</v>
      </c>
      <c r="C845" s="81" t="s">
        <v>4086</v>
      </c>
      <c r="D845" s="83" t="s">
        <v>4453</v>
      </c>
      <c r="E845" s="81" t="s">
        <v>2098</v>
      </c>
      <c r="F845" s="84">
        <v>402.0</v>
      </c>
      <c r="G845" s="81" t="s">
        <v>40</v>
      </c>
      <c r="H845" s="81" t="s">
        <v>5758</v>
      </c>
      <c r="I845" s="81" t="s">
        <v>2092</v>
      </c>
      <c r="J845" s="81" t="s">
        <v>224</v>
      </c>
    </row>
    <row r="846" hidden="1">
      <c r="A846" s="83" t="s">
        <v>4949</v>
      </c>
      <c r="B846" s="83" t="s">
        <v>4950</v>
      </c>
      <c r="C846" s="81" t="s">
        <v>4086</v>
      </c>
      <c r="D846" s="83" t="s">
        <v>4454</v>
      </c>
      <c r="E846" s="81" t="s">
        <v>2099</v>
      </c>
      <c r="F846" s="84">
        <v>403.0</v>
      </c>
      <c r="G846" s="81" t="s">
        <v>39</v>
      </c>
      <c r="H846" s="81" t="s">
        <v>5759</v>
      </c>
      <c r="I846" s="81" t="s">
        <v>2100</v>
      </c>
      <c r="J846" s="81" t="s">
        <v>224</v>
      </c>
    </row>
    <row r="847" hidden="1">
      <c r="A847" s="83" t="s">
        <v>4949</v>
      </c>
      <c r="B847" s="83" t="s">
        <v>4950</v>
      </c>
      <c r="C847" s="81" t="s">
        <v>4086</v>
      </c>
      <c r="D847" s="83" t="s">
        <v>4454</v>
      </c>
      <c r="E847" s="81" t="s">
        <v>2099</v>
      </c>
      <c r="F847" s="84">
        <v>403.0</v>
      </c>
      <c r="G847" s="81" t="s">
        <v>40</v>
      </c>
      <c r="H847" s="81" t="s">
        <v>5760</v>
      </c>
      <c r="I847" s="81" t="s">
        <v>2101</v>
      </c>
      <c r="J847" s="81" t="s">
        <v>224</v>
      </c>
    </row>
    <row r="848" hidden="1">
      <c r="A848" s="83" t="s">
        <v>4949</v>
      </c>
      <c r="B848" s="83" t="s">
        <v>4950</v>
      </c>
      <c r="C848" s="81" t="s">
        <v>4086</v>
      </c>
      <c r="D848" s="83" t="s">
        <v>4455</v>
      </c>
      <c r="E848" s="81" t="s">
        <v>2102</v>
      </c>
      <c r="F848" s="84">
        <v>404.0</v>
      </c>
      <c r="G848" s="81" t="s">
        <v>39</v>
      </c>
      <c r="H848" s="81" t="s">
        <v>5761</v>
      </c>
      <c r="I848" s="81" t="s">
        <v>2105</v>
      </c>
      <c r="J848" s="81" t="s">
        <v>224</v>
      </c>
    </row>
    <row r="849" hidden="1">
      <c r="A849" s="83" t="s">
        <v>4949</v>
      </c>
      <c r="B849" s="83" t="s">
        <v>4950</v>
      </c>
      <c r="C849" s="81" t="s">
        <v>4086</v>
      </c>
      <c r="D849" s="83" t="s">
        <v>4455</v>
      </c>
      <c r="E849" s="81" t="s">
        <v>2102</v>
      </c>
      <c r="F849" s="84">
        <v>404.0</v>
      </c>
      <c r="G849" s="81" t="s">
        <v>40</v>
      </c>
      <c r="H849" s="81" t="s">
        <v>5762</v>
      </c>
      <c r="I849" s="81" t="s">
        <v>2106</v>
      </c>
      <c r="J849" s="81" t="s">
        <v>224</v>
      </c>
    </row>
    <row r="850" hidden="1">
      <c r="A850" s="83" t="s">
        <v>4949</v>
      </c>
      <c r="B850" s="83" t="s">
        <v>4950</v>
      </c>
      <c r="C850" s="81" t="s">
        <v>4086</v>
      </c>
      <c r="D850" s="83" t="s">
        <v>4455</v>
      </c>
      <c r="E850" s="81" t="s">
        <v>2102</v>
      </c>
      <c r="F850" s="84">
        <v>404.0</v>
      </c>
      <c r="G850" s="81" t="s">
        <v>43</v>
      </c>
      <c r="H850" s="81" t="s">
        <v>5763</v>
      </c>
      <c r="I850" s="81" t="s">
        <v>2108</v>
      </c>
      <c r="J850" s="81" t="s">
        <v>224</v>
      </c>
    </row>
    <row r="851" hidden="1">
      <c r="A851" s="83" t="s">
        <v>4949</v>
      </c>
      <c r="B851" s="83" t="s">
        <v>4950</v>
      </c>
      <c r="C851" s="81" t="s">
        <v>4086</v>
      </c>
      <c r="D851" s="83" t="s">
        <v>4456</v>
      </c>
      <c r="E851" s="81" t="s">
        <v>2111</v>
      </c>
      <c r="F851" s="84">
        <v>405.0</v>
      </c>
      <c r="G851" s="81" t="s">
        <v>39</v>
      </c>
      <c r="H851" s="81" t="s">
        <v>5764</v>
      </c>
      <c r="I851" s="81" t="s">
        <v>2112</v>
      </c>
      <c r="J851" s="81" t="s">
        <v>224</v>
      </c>
    </row>
    <row r="852" hidden="1">
      <c r="A852" s="83" t="s">
        <v>4949</v>
      </c>
      <c r="B852" s="83" t="s">
        <v>4950</v>
      </c>
      <c r="C852" s="81" t="s">
        <v>4086</v>
      </c>
      <c r="D852" s="83" t="s">
        <v>4456</v>
      </c>
      <c r="E852" s="81" t="s">
        <v>2111</v>
      </c>
      <c r="F852" s="84">
        <v>405.0</v>
      </c>
      <c r="G852" s="81" t="s">
        <v>40</v>
      </c>
      <c r="H852" s="81" t="s">
        <v>5765</v>
      </c>
      <c r="I852" s="81" t="s">
        <v>2113</v>
      </c>
      <c r="J852" s="81" t="s">
        <v>224</v>
      </c>
    </row>
    <row r="853" hidden="1">
      <c r="A853" s="83" t="s">
        <v>4949</v>
      </c>
      <c r="B853" s="83" t="s">
        <v>4950</v>
      </c>
      <c r="C853" s="81" t="s">
        <v>4086</v>
      </c>
      <c r="D853" s="83" t="s">
        <v>4456</v>
      </c>
      <c r="E853" s="81" t="s">
        <v>2111</v>
      </c>
      <c r="F853" s="84">
        <v>405.0</v>
      </c>
      <c r="G853" s="81" t="s">
        <v>43</v>
      </c>
      <c r="H853" s="81" t="s">
        <v>5763</v>
      </c>
      <c r="I853" s="81" t="s">
        <v>2108</v>
      </c>
      <c r="J853" s="81" t="s">
        <v>224</v>
      </c>
    </row>
    <row r="854" hidden="1">
      <c r="A854" s="83" t="s">
        <v>4949</v>
      </c>
      <c r="B854" s="83" t="s">
        <v>4950</v>
      </c>
      <c r="C854" s="81" t="s">
        <v>4086</v>
      </c>
      <c r="D854" s="83" t="s">
        <v>4457</v>
      </c>
      <c r="E854" s="81" t="s">
        <v>2114</v>
      </c>
      <c r="F854" s="84">
        <v>406.0</v>
      </c>
      <c r="G854" s="81" t="s">
        <v>39</v>
      </c>
      <c r="H854" s="81" t="s">
        <v>5766</v>
      </c>
      <c r="I854" s="81" t="s">
        <v>2118</v>
      </c>
      <c r="J854" s="81" t="s">
        <v>224</v>
      </c>
    </row>
    <row r="855" hidden="1">
      <c r="A855" s="83" t="s">
        <v>4949</v>
      </c>
      <c r="B855" s="83" t="s">
        <v>4950</v>
      </c>
      <c r="C855" s="81" t="s">
        <v>4086</v>
      </c>
      <c r="D855" s="83" t="s">
        <v>4457</v>
      </c>
      <c r="E855" s="81" t="s">
        <v>2114</v>
      </c>
      <c r="F855" s="84">
        <v>406.0</v>
      </c>
      <c r="G855" s="81" t="s">
        <v>40</v>
      </c>
      <c r="H855" s="81" t="s">
        <v>5767</v>
      </c>
      <c r="I855" s="81" t="s">
        <v>2119</v>
      </c>
      <c r="J855" s="81" t="s">
        <v>224</v>
      </c>
    </row>
    <row r="856" hidden="1">
      <c r="A856" s="83" t="s">
        <v>4949</v>
      </c>
      <c r="B856" s="83" t="s">
        <v>4950</v>
      </c>
      <c r="C856" s="81" t="s">
        <v>4086</v>
      </c>
      <c r="D856" s="83" t="s">
        <v>4458</v>
      </c>
      <c r="E856" s="81" t="s">
        <v>2124</v>
      </c>
      <c r="F856" s="84">
        <v>407.0</v>
      </c>
      <c r="G856" s="81" t="s">
        <v>39</v>
      </c>
      <c r="H856" s="81" t="s">
        <v>5768</v>
      </c>
      <c r="I856" s="81" t="s">
        <v>2125</v>
      </c>
      <c r="J856" s="81" t="s">
        <v>224</v>
      </c>
    </row>
    <row r="857" hidden="1">
      <c r="A857" s="83" t="s">
        <v>4949</v>
      </c>
      <c r="B857" s="83" t="s">
        <v>4950</v>
      </c>
      <c r="C857" s="81" t="s">
        <v>4086</v>
      </c>
      <c r="D857" s="83" t="s">
        <v>4458</v>
      </c>
      <c r="E857" s="81" t="s">
        <v>2124</v>
      </c>
      <c r="F857" s="84">
        <v>407.0</v>
      </c>
      <c r="G857" s="81" t="s">
        <v>40</v>
      </c>
      <c r="H857" s="81" t="s">
        <v>5769</v>
      </c>
      <c r="I857" s="81" t="s">
        <v>2126</v>
      </c>
      <c r="J857" s="81" t="s">
        <v>224</v>
      </c>
    </row>
    <row r="858" hidden="1">
      <c r="A858" s="83" t="s">
        <v>4949</v>
      </c>
      <c r="B858" s="83" t="s">
        <v>4950</v>
      </c>
      <c r="C858" s="81" t="s">
        <v>4086</v>
      </c>
      <c r="D858" s="83" t="s">
        <v>4459</v>
      </c>
      <c r="E858" s="81" t="s">
        <v>2127</v>
      </c>
      <c r="F858" s="84">
        <v>408.0</v>
      </c>
      <c r="G858" s="81" t="s">
        <v>39</v>
      </c>
      <c r="H858" s="81" t="s">
        <v>5770</v>
      </c>
      <c r="I858" s="81" t="s">
        <v>2131</v>
      </c>
      <c r="J858" s="81" t="s">
        <v>224</v>
      </c>
    </row>
    <row r="859" hidden="1">
      <c r="A859" s="83" t="s">
        <v>4949</v>
      </c>
      <c r="B859" s="83" t="s">
        <v>4950</v>
      </c>
      <c r="C859" s="81" t="s">
        <v>4086</v>
      </c>
      <c r="D859" s="83" t="s">
        <v>4459</v>
      </c>
      <c r="E859" s="81" t="s">
        <v>2127</v>
      </c>
      <c r="F859" s="84">
        <v>408.0</v>
      </c>
      <c r="G859" s="81" t="s">
        <v>40</v>
      </c>
      <c r="H859" s="81" t="s">
        <v>5771</v>
      </c>
      <c r="I859" s="81" t="s">
        <v>2132</v>
      </c>
      <c r="J859" s="81" t="s">
        <v>224</v>
      </c>
    </row>
    <row r="860" hidden="1">
      <c r="A860" s="83" t="s">
        <v>4949</v>
      </c>
      <c r="B860" s="83" t="s">
        <v>4950</v>
      </c>
      <c r="C860" s="81" t="s">
        <v>4086</v>
      </c>
      <c r="D860" s="83" t="s">
        <v>4459</v>
      </c>
      <c r="E860" s="81" t="s">
        <v>2138</v>
      </c>
      <c r="F860" s="84">
        <v>409.0</v>
      </c>
      <c r="G860" s="81" t="s">
        <v>40</v>
      </c>
      <c r="H860" s="81" t="s">
        <v>5771</v>
      </c>
      <c r="I860" s="81" t="s">
        <v>2132</v>
      </c>
      <c r="J860" s="81" t="s">
        <v>224</v>
      </c>
    </row>
    <row r="861" hidden="1">
      <c r="A861" s="83" t="s">
        <v>4949</v>
      </c>
      <c r="B861" s="83" t="s">
        <v>4950</v>
      </c>
      <c r="C861" s="81" t="s">
        <v>4086</v>
      </c>
      <c r="D861" s="83" t="s">
        <v>4460</v>
      </c>
      <c r="E861" s="81" t="s">
        <v>2139</v>
      </c>
      <c r="F861" s="84">
        <v>410.0</v>
      </c>
      <c r="G861" s="81" t="s">
        <v>40</v>
      </c>
      <c r="H861" s="81" t="s">
        <v>5772</v>
      </c>
      <c r="I861" s="81" t="s">
        <v>2141</v>
      </c>
      <c r="J861" s="81" t="s">
        <v>224</v>
      </c>
    </row>
    <row r="862" hidden="1">
      <c r="A862" s="83" t="s">
        <v>4949</v>
      </c>
      <c r="B862" s="83" t="s">
        <v>4950</v>
      </c>
      <c r="C862" s="81" t="s">
        <v>4086</v>
      </c>
      <c r="D862" s="83" t="s">
        <v>4461</v>
      </c>
      <c r="E862" s="81" t="s">
        <v>2142</v>
      </c>
      <c r="F862" s="84">
        <v>411.0</v>
      </c>
      <c r="G862" s="81" t="s">
        <v>40</v>
      </c>
      <c r="H862" s="81" t="s">
        <v>5773</v>
      </c>
      <c r="I862" s="81" t="s">
        <v>2144</v>
      </c>
      <c r="J862" s="81" t="s">
        <v>224</v>
      </c>
    </row>
    <row r="863" hidden="1">
      <c r="A863" s="83" t="s">
        <v>4949</v>
      </c>
      <c r="B863" s="83" t="s">
        <v>4950</v>
      </c>
      <c r="C863" s="81" t="s">
        <v>4086</v>
      </c>
      <c r="D863" s="83" t="s">
        <v>4462</v>
      </c>
      <c r="E863" s="81" t="s">
        <v>2145</v>
      </c>
      <c r="F863" s="84">
        <v>412.0</v>
      </c>
      <c r="G863" s="81" t="s">
        <v>40</v>
      </c>
      <c r="H863" s="81" t="s">
        <v>5774</v>
      </c>
      <c r="I863" s="81" t="s">
        <v>2147</v>
      </c>
      <c r="J863" s="81" t="s">
        <v>224</v>
      </c>
    </row>
    <row r="864" hidden="1">
      <c r="A864" s="83" t="s">
        <v>4949</v>
      </c>
      <c r="B864" s="83" t="s">
        <v>4950</v>
      </c>
      <c r="C864" s="81" t="s">
        <v>4086</v>
      </c>
      <c r="D864" s="83" t="s">
        <v>4463</v>
      </c>
      <c r="E864" s="81" t="s">
        <v>2148</v>
      </c>
      <c r="F864" s="84">
        <v>413.0</v>
      </c>
      <c r="G864" s="81" t="s">
        <v>39</v>
      </c>
      <c r="H864" s="81" t="s">
        <v>5775</v>
      </c>
      <c r="I864" s="81" t="s">
        <v>2153</v>
      </c>
      <c r="J864" s="81" t="s">
        <v>224</v>
      </c>
    </row>
    <row r="865" hidden="1">
      <c r="A865" s="83" t="s">
        <v>4949</v>
      </c>
      <c r="B865" s="83" t="s">
        <v>4950</v>
      </c>
      <c r="C865" s="81" t="s">
        <v>4086</v>
      </c>
      <c r="D865" s="83" t="s">
        <v>4463</v>
      </c>
      <c r="E865" s="81" t="s">
        <v>2148</v>
      </c>
      <c r="F865" s="84">
        <v>413.0</v>
      </c>
      <c r="G865" s="81" t="s">
        <v>40</v>
      </c>
      <c r="H865" s="81" t="s">
        <v>5776</v>
      </c>
      <c r="I865" s="81" t="s">
        <v>2154</v>
      </c>
      <c r="J865" s="81" t="s">
        <v>224</v>
      </c>
    </row>
    <row r="866" hidden="1">
      <c r="A866" s="83" t="s">
        <v>4949</v>
      </c>
      <c r="B866" s="83" t="s">
        <v>4950</v>
      </c>
      <c r="C866" s="81" t="s">
        <v>4086</v>
      </c>
      <c r="D866" s="83" t="s">
        <v>4463</v>
      </c>
      <c r="E866" s="81" t="s">
        <v>2160</v>
      </c>
      <c r="F866" s="84">
        <v>414.0</v>
      </c>
      <c r="G866" s="81" t="s">
        <v>40</v>
      </c>
      <c r="H866" s="81" t="s">
        <v>5776</v>
      </c>
      <c r="I866" s="81" t="s">
        <v>2154</v>
      </c>
      <c r="J866" s="81" t="s">
        <v>224</v>
      </c>
    </row>
    <row r="867" hidden="1">
      <c r="A867" s="83" t="s">
        <v>4949</v>
      </c>
      <c r="B867" s="83" t="s">
        <v>4950</v>
      </c>
      <c r="C867" s="81" t="s">
        <v>4086</v>
      </c>
      <c r="D867" s="83" t="s">
        <v>4465</v>
      </c>
      <c r="E867" s="81" t="s">
        <v>2161</v>
      </c>
      <c r="F867" s="84">
        <v>415.0</v>
      </c>
      <c r="G867" s="81" t="s">
        <v>40</v>
      </c>
      <c r="H867" s="81" t="s">
        <v>5777</v>
      </c>
      <c r="I867" s="81" t="s">
        <v>2163</v>
      </c>
      <c r="J867" s="81" t="s">
        <v>224</v>
      </c>
    </row>
    <row r="868" hidden="1">
      <c r="A868" s="83" t="s">
        <v>4949</v>
      </c>
      <c r="B868" s="83" t="s">
        <v>4950</v>
      </c>
      <c r="C868" s="81" t="s">
        <v>4086</v>
      </c>
      <c r="D868" s="83" t="s">
        <v>4466</v>
      </c>
      <c r="E868" s="81" t="s">
        <v>2164</v>
      </c>
      <c r="F868" s="84">
        <v>416.0</v>
      </c>
      <c r="G868" s="81" t="s">
        <v>39</v>
      </c>
      <c r="H868" s="81" t="s">
        <v>5778</v>
      </c>
      <c r="I868" s="81" t="s">
        <v>2171</v>
      </c>
      <c r="J868" s="81" t="s">
        <v>224</v>
      </c>
    </row>
    <row r="869" hidden="1">
      <c r="A869" s="83" t="s">
        <v>4949</v>
      </c>
      <c r="B869" s="83" t="s">
        <v>4950</v>
      </c>
      <c r="C869" s="81" t="s">
        <v>4086</v>
      </c>
      <c r="D869" s="83" t="s">
        <v>4466</v>
      </c>
      <c r="E869" s="81" t="s">
        <v>2164</v>
      </c>
      <c r="F869" s="84">
        <v>416.0</v>
      </c>
      <c r="G869" s="81" t="s">
        <v>40</v>
      </c>
      <c r="H869" s="81" t="s">
        <v>5779</v>
      </c>
      <c r="I869" s="81" t="s">
        <v>2172</v>
      </c>
      <c r="J869" s="81" t="s">
        <v>224</v>
      </c>
    </row>
    <row r="870" hidden="1">
      <c r="A870" s="83" t="s">
        <v>4949</v>
      </c>
      <c r="B870" s="83" t="s">
        <v>4950</v>
      </c>
      <c r="C870" s="81" t="s">
        <v>4086</v>
      </c>
      <c r="D870" s="83" t="s">
        <v>4466</v>
      </c>
      <c r="E870" s="81" t="s">
        <v>2178</v>
      </c>
      <c r="F870" s="84">
        <v>417.0</v>
      </c>
      <c r="G870" s="81" t="s">
        <v>40</v>
      </c>
      <c r="H870" s="81" t="s">
        <v>5779</v>
      </c>
      <c r="I870" s="81" t="s">
        <v>2172</v>
      </c>
      <c r="J870" s="81" t="s">
        <v>224</v>
      </c>
    </row>
    <row r="871" hidden="1">
      <c r="A871" s="83" t="s">
        <v>4949</v>
      </c>
      <c r="B871" s="83" t="s">
        <v>4950</v>
      </c>
      <c r="C871" s="81" t="s">
        <v>4086</v>
      </c>
      <c r="D871" s="83" t="s">
        <v>4468</v>
      </c>
      <c r="E871" s="81" t="s">
        <v>2179</v>
      </c>
      <c r="F871" s="84">
        <v>418.0</v>
      </c>
      <c r="G871" s="81" t="s">
        <v>40</v>
      </c>
      <c r="H871" s="81" t="s">
        <v>5780</v>
      </c>
      <c r="I871" s="81" t="s">
        <v>2182</v>
      </c>
      <c r="J871" s="81" t="s">
        <v>224</v>
      </c>
    </row>
    <row r="872" hidden="1">
      <c r="A872" s="83" t="s">
        <v>4949</v>
      </c>
      <c r="B872" s="83" t="s">
        <v>4950</v>
      </c>
      <c r="C872" s="81" t="s">
        <v>4086</v>
      </c>
      <c r="D872" s="83" t="s">
        <v>4469</v>
      </c>
      <c r="E872" s="81" t="s">
        <v>2183</v>
      </c>
      <c r="F872" s="84">
        <v>419.0</v>
      </c>
      <c r="G872" s="81" t="s">
        <v>39</v>
      </c>
      <c r="H872" s="81" t="s">
        <v>5781</v>
      </c>
      <c r="I872" s="81" t="s">
        <v>2188</v>
      </c>
      <c r="J872" s="81" t="s">
        <v>224</v>
      </c>
    </row>
    <row r="873" hidden="1">
      <c r="A873" s="83" t="s">
        <v>4949</v>
      </c>
      <c r="B873" s="83" t="s">
        <v>4950</v>
      </c>
      <c r="C873" s="81" t="s">
        <v>4086</v>
      </c>
      <c r="D873" s="83" t="s">
        <v>4469</v>
      </c>
      <c r="E873" s="81" t="s">
        <v>2183</v>
      </c>
      <c r="F873" s="84">
        <v>419.0</v>
      </c>
      <c r="G873" s="81" t="s">
        <v>40</v>
      </c>
      <c r="H873" s="81" t="s">
        <v>5782</v>
      </c>
      <c r="I873" s="81" t="s">
        <v>2189</v>
      </c>
      <c r="J873" s="81" t="s">
        <v>224</v>
      </c>
    </row>
    <row r="874" hidden="1">
      <c r="A874" s="83" t="s">
        <v>4949</v>
      </c>
      <c r="B874" s="83" t="s">
        <v>4950</v>
      </c>
      <c r="C874" s="81" t="s">
        <v>4086</v>
      </c>
      <c r="D874" s="83" t="s">
        <v>4469</v>
      </c>
      <c r="E874" s="81" t="s">
        <v>2195</v>
      </c>
      <c r="F874" s="84">
        <v>420.0</v>
      </c>
      <c r="G874" s="81" t="s">
        <v>40</v>
      </c>
      <c r="H874" s="81" t="s">
        <v>5783</v>
      </c>
      <c r="I874" s="81" t="s">
        <v>2189</v>
      </c>
      <c r="J874" s="81" t="s">
        <v>224</v>
      </c>
    </row>
    <row r="875" hidden="1">
      <c r="A875" s="83" t="s">
        <v>4949</v>
      </c>
      <c r="B875" s="83" t="s">
        <v>4950</v>
      </c>
      <c r="C875" s="81" t="s">
        <v>4086</v>
      </c>
      <c r="D875" s="83" t="s">
        <v>4471</v>
      </c>
      <c r="E875" s="81" t="s">
        <v>2196</v>
      </c>
      <c r="F875" s="84">
        <v>421.0</v>
      </c>
      <c r="G875" s="81" t="s">
        <v>40</v>
      </c>
      <c r="H875" s="81" t="s">
        <v>5784</v>
      </c>
      <c r="I875" s="81" t="s">
        <v>2198</v>
      </c>
      <c r="J875" s="81" t="s">
        <v>224</v>
      </c>
    </row>
    <row r="876" hidden="1">
      <c r="A876" s="83" t="s">
        <v>4949</v>
      </c>
      <c r="B876" s="83" t="s">
        <v>4950</v>
      </c>
      <c r="C876" s="81" t="s">
        <v>4086</v>
      </c>
      <c r="D876" s="83" t="s">
        <v>4472</v>
      </c>
      <c r="E876" s="81" t="s">
        <v>2199</v>
      </c>
      <c r="F876" s="84">
        <v>422.0</v>
      </c>
      <c r="G876" s="81" t="s">
        <v>39</v>
      </c>
      <c r="H876" s="81" t="s">
        <v>5785</v>
      </c>
      <c r="I876" s="81" t="s">
        <v>2201</v>
      </c>
      <c r="J876" s="81" t="s">
        <v>224</v>
      </c>
    </row>
    <row r="877" hidden="1">
      <c r="A877" s="83" t="s">
        <v>4949</v>
      </c>
      <c r="B877" s="83" t="s">
        <v>4950</v>
      </c>
      <c r="C877" s="81" t="s">
        <v>4086</v>
      </c>
      <c r="D877" s="83" t="s">
        <v>4472</v>
      </c>
      <c r="E877" s="81" t="s">
        <v>2199</v>
      </c>
      <c r="F877" s="84">
        <v>422.0</v>
      </c>
      <c r="G877" s="81" t="s">
        <v>40</v>
      </c>
      <c r="H877" s="81" t="s">
        <v>5786</v>
      </c>
      <c r="I877" s="81" t="s">
        <v>2202</v>
      </c>
      <c r="J877" s="81" t="s">
        <v>224</v>
      </c>
    </row>
    <row r="878" hidden="1">
      <c r="A878" s="83" t="s">
        <v>4949</v>
      </c>
      <c r="B878" s="83" t="s">
        <v>4950</v>
      </c>
      <c r="C878" s="81" t="s">
        <v>4086</v>
      </c>
      <c r="D878" s="83" t="s">
        <v>4472</v>
      </c>
      <c r="E878" s="81" t="s">
        <v>2208</v>
      </c>
      <c r="F878" s="84">
        <v>423.0</v>
      </c>
      <c r="G878" s="81" t="s">
        <v>40</v>
      </c>
      <c r="H878" s="81" t="s">
        <v>5786</v>
      </c>
      <c r="I878" s="81" t="s">
        <v>2202</v>
      </c>
      <c r="J878" s="81" t="s">
        <v>224</v>
      </c>
    </row>
    <row r="879" hidden="1">
      <c r="A879" s="83" t="s">
        <v>4949</v>
      </c>
      <c r="B879" s="83" t="s">
        <v>4950</v>
      </c>
      <c r="C879" s="81" t="s">
        <v>4086</v>
      </c>
      <c r="D879" s="83" t="s">
        <v>4474</v>
      </c>
      <c r="E879" s="81" t="s">
        <v>2209</v>
      </c>
      <c r="F879" s="84">
        <v>424.0</v>
      </c>
      <c r="G879" s="81" t="s">
        <v>40</v>
      </c>
      <c r="H879" s="81" t="s">
        <v>5787</v>
      </c>
      <c r="I879" s="81" t="s">
        <v>2211</v>
      </c>
      <c r="J879" s="81" t="s">
        <v>224</v>
      </c>
    </row>
    <row r="880" hidden="1">
      <c r="A880" s="83" t="s">
        <v>4949</v>
      </c>
      <c r="B880" s="83" t="s">
        <v>4950</v>
      </c>
      <c r="C880" s="81" t="s">
        <v>4086</v>
      </c>
      <c r="D880" s="83" t="s">
        <v>4475</v>
      </c>
      <c r="E880" s="81" t="s">
        <v>2212</v>
      </c>
      <c r="F880" s="84">
        <v>425.0</v>
      </c>
      <c r="G880" s="81" t="s">
        <v>39</v>
      </c>
      <c r="H880" s="81" t="s">
        <v>5788</v>
      </c>
      <c r="I880" s="81" t="s">
        <v>2218</v>
      </c>
      <c r="J880" s="81" t="s">
        <v>224</v>
      </c>
    </row>
    <row r="881" hidden="1">
      <c r="A881" s="83" t="s">
        <v>4949</v>
      </c>
      <c r="B881" s="83" t="s">
        <v>4950</v>
      </c>
      <c r="C881" s="81" t="s">
        <v>4086</v>
      </c>
      <c r="D881" s="83" t="s">
        <v>4475</v>
      </c>
      <c r="E881" s="81" t="s">
        <v>2212</v>
      </c>
      <c r="F881" s="84">
        <v>425.0</v>
      </c>
      <c r="G881" s="81" t="s">
        <v>40</v>
      </c>
      <c r="H881" s="81" t="s">
        <v>5789</v>
      </c>
      <c r="I881" s="81" t="s">
        <v>2219</v>
      </c>
      <c r="J881" s="81" t="s">
        <v>224</v>
      </c>
    </row>
    <row r="882" hidden="1">
      <c r="A882" s="83" t="s">
        <v>4949</v>
      </c>
      <c r="B882" s="83" t="s">
        <v>4950</v>
      </c>
      <c r="C882" s="81" t="s">
        <v>4086</v>
      </c>
      <c r="D882" s="83" t="s">
        <v>4475</v>
      </c>
      <c r="E882" s="81" t="s">
        <v>2225</v>
      </c>
      <c r="F882" s="84">
        <v>426.0</v>
      </c>
      <c r="G882" s="81" t="s">
        <v>39</v>
      </c>
      <c r="H882" s="81" t="s">
        <v>5790</v>
      </c>
      <c r="I882" s="81" t="s">
        <v>2218</v>
      </c>
      <c r="J882" s="81" t="s">
        <v>224</v>
      </c>
    </row>
    <row r="883" hidden="1">
      <c r="A883" s="83" t="s">
        <v>4949</v>
      </c>
      <c r="B883" s="83" t="s">
        <v>4950</v>
      </c>
      <c r="C883" s="81" t="s">
        <v>4086</v>
      </c>
      <c r="D883" s="83" t="s">
        <v>4475</v>
      </c>
      <c r="E883" s="81" t="s">
        <v>2225</v>
      </c>
      <c r="F883" s="84">
        <v>426.0</v>
      </c>
      <c r="G883" s="81" t="s">
        <v>40</v>
      </c>
      <c r="H883" s="81" t="s">
        <v>5789</v>
      </c>
      <c r="I883" s="81" t="s">
        <v>2219</v>
      </c>
      <c r="J883" s="81" t="s">
        <v>224</v>
      </c>
    </row>
    <row r="884" hidden="1">
      <c r="A884" s="83" t="s">
        <v>4949</v>
      </c>
      <c r="B884" s="83" t="s">
        <v>4950</v>
      </c>
      <c r="C884" s="81" t="s">
        <v>4086</v>
      </c>
      <c r="D884" s="83" t="s">
        <v>4477</v>
      </c>
      <c r="E884" s="81" t="s">
        <v>2227</v>
      </c>
      <c r="F884" s="84">
        <v>427.0</v>
      </c>
      <c r="G884" s="81" t="s">
        <v>39</v>
      </c>
      <c r="H884" s="81" t="s">
        <v>5791</v>
      </c>
      <c r="I884" s="81" t="s">
        <v>2228</v>
      </c>
      <c r="J884" s="81" t="s">
        <v>224</v>
      </c>
    </row>
    <row r="885" hidden="1">
      <c r="A885" s="83" t="s">
        <v>4949</v>
      </c>
      <c r="B885" s="83" t="s">
        <v>4950</v>
      </c>
      <c r="C885" s="81" t="s">
        <v>4086</v>
      </c>
      <c r="D885" s="83" t="s">
        <v>4477</v>
      </c>
      <c r="E885" s="81" t="s">
        <v>2227</v>
      </c>
      <c r="F885" s="84">
        <v>427.0</v>
      </c>
      <c r="G885" s="81" t="s">
        <v>40</v>
      </c>
      <c r="H885" s="81" t="s">
        <v>5792</v>
      </c>
      <c r="I885" s="81" t="s">
        <v>2229</v>
      </c>
      <c r="J885" s="81" t="s">
        <v>224</v>
      </c>
    </row>
    <row r="886" hidden="1">
      <c r="A886" s="83" t="s">
        <v>4949</v>
      </c>
      <c r="B886" s="83" t="s">
        <v>4950</v>
      </c>
      <c r="C886" s="81" t="s">
        <v>4086</v>
      </c>
      <c r="D886" s="83" t="s">
        <v>4478</v>
      </c>
      <c r="E886" s="81" t="s">
        <v>2230</v>
      </c>
      <c r="F886" s="84">
        <v>428.0</v>
      </c>
      <c r="G886" s="81" t="s">
        <v>39</v>
      </c>
      <c r="H886" s="81" t="s">
        <v>5793</v>
      </c>
      <c r="I886" s="81" t="s">
        <v>2234</v>
      </c>
      <c r="J886" s="81" t="s">
        <v>224</v>
      </c>
    </row>
    <row r="887" hidden="1">
      <c r="A887" s="83" t="s">
        <v>4949</v>
      </c>
      <c r="B887" s="83" t="s">
        <v>4950</v>
      </c>
      <c r="C887" s="81" t="s">
        <v>4086</v>
      </c>
      <c r="D887" s="83" t="s">
        <v>4478</v>
      </c>
      <c r="E887" s="81" t="s">
        <v>2230</v>
      </c>
      <c r="F887" s="84">
        <v>428.0</v>
      </c>
      <c r="G887" s="81" t="s">
        <v>40</v>
      </c>
      <c r="H887" s="81" t="s">
        <v>5794</v>
      </c>
      <c r="I887" s="81" t="s">
        <v>2235</v>
      </c>
      <c r="J887" s="81" t="s">
        <v>224</v>
      </c>
    </row>
    <row r="888" hidden="1">
      <c r="A888" s="83" t="s">
        <v>4949</v>
      </c>
      <c r="B888" s="83" t="s">
        <v>4950</v>
      </c>
      <c r="C888" s="81" t="s">
        <v>4086</v>
      </c>
      <c r="D888" s="83" t="s">
        <v>4478</v>
      </c>
      <c r="E888" s="81" t="s">
        <v>2241</v>
      </c>
      <c r="F888" s="84">
        <v>429.0</v>
      </c>
      <c r="G888" s="81" t="s">
        <v>39</v>
      </c>
      <c r="H888" s="81" t="s">
        <v>5795</v>
      </c>
      <c r="I888" s="81" t="s">
        <v>2234</v>
      </c>
      <c r="J888" s="81" t="s">
        <v>224</v>
      </c>
    </row>
    <row r="889" hidden="1">
      <c r="A889" s="83" t="s">
        <v>4949</v>
      </c>
      <c r="B889" s="83" t="s">
        <v>4950</v>
      </c>
      <c r="C889" s="81" t="s">
        <v>4086</v>
      </c>
      <c r="D889" s="83" t="s">
        <v>4478</v>
      </c>
      <c r="E889" s="81" t="s">
        <v>2241</v>
      </c>
      <c r="F889" s="84">
        <v>429.0</v>
      </c>
      <c r="G889" s="81" t="s">
        <v>40</v>
      </c>
      <c r="H889" s="81" t="s">
        <v>5794</v>
      </c>
      <c r="I889" s="81" t="s">
        <v>2235</v>
      </c>
      <c r="J889" s="81" t="s">
        <v>224</v>
      </c>
    </row>
    <row r="890" hidden="1">
      <c r="A890" s="83" t="s">
        <v>4949</v>
      </c>
      <c r="B890" s="83" t="s">
        <v>4950</v>
      </c>
      <c r="C890" s="81" t="s">
        <v>4086</v>
      </c>
      <c r="D890" s="83" t="s">
        <v>4481</v>
      </c>
      <c r="E890" s="81" t="s">
        <v>2242</v>
      </c>
      <c r="F890" s="84">
        <v>430.0</v>
      </c>
      <c r="G890" s="81" t="s">
        <v>39</v>
      </c>
      <c r="H890" s="81" t="s">
        <v>5796</v>
      </c>
      <c r="I890" s="81" t="s">
        <v>2243</v>
      </c>
      <c r="J890" s="81" t="s">
        <v>224</v>
      </c>
    </row>
    <row r="891" hidden="1">
      <c r="A891" s="83" t="s">
        <v>4949</v>
      </c>
      <c r="B891" s="83" t="s">
        <v>4950</v>
      </c>
      <c r="C891" s="81" t="s">
        <v>4086</v>
      </c>
      <c r="D891" s="83" t="s">
        <v>4481</v>
      </c>
      <c r="E891" s="81" t="s">
        <v>2242</v>
      </c>
      <c r="F891" s="84">
        <v>430.0</v>
      </c>
      <c r="G891" s="81" t="s">
        <v>40</v>
      </c>
      <c r="H891" s="81" t="s">
        <v>5797</v>
      </c>
      <c r="I891" s="81" t="s">
        <v>2244</v>
      </c>
      <c r="J891" s="81" t="s">
        <v>224</v>
      </c>
    </row>
    <row r="892" hidden="1">
      <c r="A892" s="83" t="s">
        <v>4949</v>
      </c>
      <c r="B892" s="83" t="s">
        <v>4950</v>
      </c>
      <c r="C892" s="81" t="s">
        <v>4086</v>
      </c>
      <c r="D892" s="83" t="s">
        <v>4482</v>
      </c>
      <c r="E892" s="81" t="s">
        <v>2245</v>
      </c>
      <c r="F892" s="84">
        <v>431.0</v>
      </c>
      <c r="G892" s="81" t="s">
        <v>39</v>
      </c>
      <c r="H892" s="81" t="s">
        <v>5795</v>
      </c>
      <c r="I892" s="81" t="s">
        <v>2249</v>
      </c>
      <c r="J892" s="81" t="s">
        <v>224</v>
      </c>
    </row>
    <row r="893" hidden="1">
      <c r="A893" s="83" t="s">
        <v>4949</v>
      </c>
      <c r="B893" s="83" t="s">
        <v>4950</v>
      </c>
      <c r="C893" s="81" t="s">
        <v>5141</v>
      </c>
      <c r="D893" s="83" t="s">
        <v>4482</v>
      </c>
      <c r="E893" s="81" t="s">
        <v>2245</v>
      </c>
      <c r="F893" s="84">
        <v>431.0</v>
      </c>
      <c r="G893" s="81" t="s">
        <v>40</v>
      </c>
      <c r="H893" s="81" t="s">
        <v>5794</v>
      </c>
      <c r="I893" s="81" t="s">
        <v>224</v>
      </c>
      <c r="J893" s="81" t="s">
        <v>5143</v>
      </c>
    </row>
    <row r="894" hidden="1">
      <c r="A894" s="83" t="s">
        <v>4949</v>
      </c>
      <c r="B894" s="83" t="s">
        <v>4950</v>
      </c>
      <c r="C894" s="81" t="s">
        <v>4086</v>
      </c>
      <c r="D894" s="83" t="s">
        <v>4483</v>
      </c>
      <c r="E894" s="81" t="s">
        <v>2254</v>
      </c>
      <c r="F894" s="84">
        <v>432.0</v>
      </c>
      <c r="G894" s="81" t="s">
        <v>39</v>
      </c>
      <c r="H894" s="81" t="s">
        <v>5796</v>
      </c>
      <c r="I894" s="81" t="s">
        <v>2255</v>
      </c>
      <c r="J894" s="81" t="s">
        <v>224</v>
      </c>
    </row>
    <row r="895" hidden="1">
      <c r="A895" s="83" t="s">
        <v>4949</v>
      </c>
      <c r="B895" s="83" t="s">
        <v>4950</v>
      </c>
      <c r="C895" s="81" t="s">
        <v>5141</v>
      </c>
      <c r="D895" s="83" t="s">
        <v>4483</v>
      </c>
      <c r="E895" s="81" t="s">
        <v>2254</v>
      </c>
      <c r="F895" s="84">
        <v>432.0</v>
      </c>
      <c r="G895" s="81" t="s">
        <v>40</v>
      </c>
      <c r="H895" s="81" t="s">
        <v>5797</v>
      </c>
      <c r="I895" s="81" t="s">
        <v>224</v>
      </c>
      <c r="J895" s="81" t="s">
        <v>5143</v>
      </c>
    </row>
    <row r="896" hidden="1">
      <c r="A896" s="83" t="s">
        <v>4949</v>
      </c>
      <c r="B896" s="83" t="s">
        <v>4950</v>
      </c>
      <c r="C896" s="81" t="s">
        <v>4086</v>
      </c>
      <c r="D896" s="83" t="s">
        <v>4484</v>
      </c>
      <c r="E896" s="81" t="s">
        <v>2256</v>
      </c>
      <c r="F896" s="84">
        <v>433.0</v>
      </c>
      <c r="G896" s="81" t="s">
        <v>39</v>
      </c>
      <c r="H896" s="81" t="s">
        <v>5798</v>
      </c>
      <c r="I896" s="81" t="s">
        <v>2260</v>
      </c>
      <c r="J896" s="81" t="s">
        <v>224</v>
      </c>
    </row>
    <row r="897" hidden="1">
      <c r="A897" s="83" t="s">
        <v>4949</v>
      </c>
      <c r="B897" s="83" t="s">
        <v>4950</v>
      </c>
      <c r="C897" s="81" t="s">
        <v>4086</v>
      </c>
      <c r="D897" s="83" t="s">
        <v>4484</v>
      </c>
      <c r="E897" s="81" t="s">
        <v>2256</v>
      </c>
      <c r="F897" s="84">
        <v>433.0</v>
      </c>
      <c r="G897" s="81" t="s">
        <v>40</v>
      </c>
      <c r="H897" s="81" t="s">
        <v>5799</v>
      </c>
      <c r="I897" s="81" t="s">
        <v>2261</v>
      </c>
      <c r="J897" s="81" t="s">
        <v>224</v>
      </c>
    </row>
    <row r="898" hidden="1">
      <c r="A898" s="83" t="s">
        <v>4949</v>
      </c>
      <c r="B898" s="83" t="s">
        <v>4950</v>
      </c>
      <c r="C898" s="81" t="s">
        <v>4086</v>
      </c>
      <c r="D898" s="83" t="s">
        <v>4484</v>
      </c>
      <c r="E898" s="81" t="s">
        <v>2267</v>
      </c>
      <c r="F898" s="84">
        <v>434.0</v>
      </c>
      <c r="G898" s="81" t="s">
        <v>40</v>
      </c>
      <c r="H898" s="81" t="s">
        <v>5799</v>
      </c>
      <c r="I898" s="81" t="s">
        <v>2261</v>
      </c>
      <c r="J898" s="81" t="s">
        <v>224</v>
      </c>
    </row>
    <row r="899" hidden="1">
      <c r="A899" s="83" t="s">
        <v>4949</v>
      </c>
      <c r="B899" s="83" t="s">
        <v>4950</v>
      </c>
      <c r="C899" s="81" t="s">
        <v>4086</v>
      </c>
      <c r="D899" s="83" t="s">
        <v>4486</v>
      </c>
      <c r="E899" s="81" t="s">
        <v>2268</v>
      </c>
      <c r="F899" s="84">
        <v>435.0</v>
      </c>
      <c r="G899" s="81" t="s">
        <v>40</v>
      </c>
      <c r="H899" s="81" t="s">
        <v>5800</v>
      </c>
      <c r="I899" s="81" t="s">
        <v>2270</v>
      </c>
      <c r="J899" s="81" t="s">
        <v>224</v>
      </c>
    </row>
    <row r="900" hidden="1">
      <c r="A900" s="83" t="s">
        <v>4949</v>
      </c>
      <c r="B900" s="83" t="s">
        <v>4950</v>
      </c>
      <c r="C900" s="81" t="s">
        <v>4086</v>
      </c>
      <c r="D900" s="83" t="s">
        <v>4487</v>
      </c>
      <c r="E900" s="81" t="s">
        <v>2271</v>
      </c>
      <c r="F900" s="84">
        <v>436.0</v>
      </c>
      <c r="G900" s="81" t="s">
        <v>39</v>
      </c>
      <c r="H900" s="81" t="s">
        <v>5801</v>
      </c>
      <c r="I900" s="81" t="s">
        <v>2274</v>
      </c>
      <c r="J900" s="81" t="s">
        <v>224</v>
      </c>
    </row>
    <row r="901" hidden="1">
      <c r="A901" s="83" t="s">
        <v>4949</v>
      </c>
      <c r="B901" s="83" t="s">
        <v>4950</v>
      </c>
      <c r="C901" s="81" t="s">
        <v>4086</v>
      </c>
      <c r="D901" s="83" t="s">
        <v>4487</v>
      </c>
      <c r="E901" s="81" t="s">
        <v>2271</v>
      </c>
      <c r="F901" s="84">
        <v>436.0</v>
      </c>
      <c r="G901" s="81" t="s">
        <v>40</v>
      </c>
      <c r="H901" s="81" t="s">
        <v>5802</v>
      </c>
      <c r="I901" s="81" t="s">
        <v>2275</v>
      </c>
      <c r="J901" s="81" t="s">
        <v>224</v>
      </c>
    </row>
    <row r="902" hidden="1">
      <c r="A902" s="83" t="s">
        <v>4949</v>
      </c>
      <c r="B902" s="83" t="s">
        <v>4950</v>
      </c>
      <c r="C902" s="81" t="s">
        <v>4086</v>
      </c>
      <c r="D902" s="83" t="s">
        <v>4487</v>
      </c>
      <c r="E902" s="81" t="s">
        <v>2281</v>
      </c>
      <c r="F902" s="84">
        <v>437.0</v>
      </c>
      <c r="G902" s="81" t="s">
        <v>40</v>
      </c>
      <c r="H902" s="81" t="s">
        <v>5802</v>
      </c>
      <c r="I902" s="81" t="s">
        <v>2275</v>
      </c>
      <c r="J902" s="81" t="s">
        <v>224</v>
      </c>
    </row>
    <row r="903" hidden="1">
      <c r="A903" s="83" t="s">
        <v>4949</v>
      </c>
      <c r="B903" s="83" t="s">
        <v>4950</v>
      </c>
      <c r="C903" s="81" t="s">
        <v>4086</v>
      </c>
      <c r="D903" s="83" t="s">
        <v>4489</v>
      </c>
      <c r="E903" s="81" t="s">
        <v>2282</v>
      </c>
      <c r="F903" s="84">
        <v>438.0</v>
      </c>
      <c r="G903" s="81" t="s">
        <v>40</v>
      </c>
      <c r="H903" s="81" t="s">
        <v>5803</v>
      </c>
      <c r="I903" s="81" t="s">
        <v>2284</v>
      </c>
      <c r="J903" s="81" t="s">
        <v>224</v>
      </c>
    </row>
    <row r="904" hidden="1">
      <c r="A904" s="83" t="s">
        <v>4949</v>
      </c>
      <c r="B904" s="83" t="s">
        <v>4950</v>
      </c>
      <c r="C904" s="81" t="s">
        <v>4086</v>
      </c>
      <c r="D904" s="83" t="s">
        <v>4490</v>
      </c>
      <c r="E904" s="81" t="s">
        <v>2285</v>
      </c>
      <c r="F904" s="84">
        <v>439.0</v>
      </c>
      <c r="G904" s="81" t="s">
        <v>39</v>
      </c>
      <c r="H904" s="81" t="s">
        <v>5804</v>
      </c>
      <c r="I904" s="81" t="s">
        <v>2290</v>
      </c>
      <c r="J904" s="81" t="s">
        <v>224</v>
      </c>
    </row>
    <row r="905" hidden="1">
      <c r="A905" s="83" t="s">
        <v>4949</v>
      </c>
      <c r="B905" s="83" t="s">
        <v>4950</v>
      </c>
      <c r="C905" s="81" t="s">
        <v>4086</v>
      </c>
      <c r="D905" s="83" t="s">
        <v>4490</v>
      </c>
      <c r="E905" s="81" t="s">
        <v>2285</v>
      </c>
      <c r="F905" s="84">
        <v>439.0</v>
      </c>
      <c r="G905" s="81" t="s">
        <v>40</v>
      </c>
      <c r="H905" s="81" t="s">
        <v>5805</v>
      </c>
      <c r="I905" s="81" t="s">
        <v>2291</v>
      </c>
      <c r="J905" s="81" t="s">
        <v>224</v>
      </c>
    </row>
    <row r="906" hidden="1">
      <c r="A906" s="83" t="s">
        <v>4949</v>
      </c>
      <c r="B906" s="83" t="s">
        <v>4950</v>
      </c>
      <c r="C906" s="81" t="s">
        <v>4086</v>
      </c>
      <c r="D906" s="83" t="s">
        <v>4490</v>
      </c>
      <c r="E906" s="81" t="s">
        <v>2295</v>
      </c>
      <c r="F906" s="84">
        <v>440.0</v>
      </c>
      <c r="G906" s="81" t="s">
        <v>40</v>
      </c>
      <c r="H906" s="81" t="s">
        <v>5805</v>
      </c>
      <c r="I906" s="81" t="s">
        <v>2291</v>
      </c>
      <c r="J906" s="81" t="s">
        <v>224</v>
      </c>
    </row>
    <row r="907" hidden="1">
      <c r="A907" s="83" t="s">
        <v>4949</v>
      </c>
      <c r="B907" s="83" t="s">
        <v>4950</v>
      </c>
      <c r="C907" s="81" t="s">
        <v>4086</v>
      </c>
      <c r="D907" s="83" t="s">
        <v>4493</v>
      </c>
      <c r="E907" s="81" t="s">
        <v>2297</v>
      </c>
      <c r="F907" s="84">
        <v>441.0</v>
      </c>
      <c r="G907" s="81" t="s">
        <v>40</v>
      </c>
      <c r="H907" s="81" t="s">
        <v>5806</v>
      </c>
      <c r="I907" s="81" t="s">
        <v>2299</v>
      </c>
      <c r="J907" s="81" t="s">
        <v>224</v>
      </c>
    </row>
    <row r="908" hidden="1">
      <c r="A908" s="83" t="s">
        <v>4949</v>
      </c>
      <c r="B908" s="83" t="s">
        <v>4950</v>
      </c>
      <c r="C908" s="81" t="s">
        <v>4086</v>
      </c>
      <c r="D908" s="83" t="s">
        <v>4494</v>
      </c>
      <c r="E908" s="81" t="s">
        <v>2300</v>
      </c>
      <c r="F908" s="84">
        <v>442.0</v>
      </c>
      <c r="G908" s="81" t="s">
        <v>39</v>
      </c>
      <c r="H908" s="81" t="s">
        <v>5807</v>
      </c>
      <c r="I908" s="81" t="s">
        <v>2303</v>
      </c>
      <c r="J908" s="81" t="s">
        <v>224</v>
      </c>
    </row>
    <row r="909" hidden="1">
      <c r="A909" s="83" t="s">
        <v>4949</v>
      </c>
      <c r="B909" s="83" t="s">
        <v>4950</v>
      </c>
      <c r="C909" s="81" t="s">
        <v>5141</v>
      </c>
      <c r="D909" s="83" t="s">
        <v>4494</v>
      </c>
      <c r="E909" s="81" t="s">
        <v>2300</v>
      </c>
      <c r="F909" s="84">
        <v>442.0</v>
      </c>
      <c r="G909" s="81" t="s">
        <v>40</v>
      </c>
      <c r="H909" s="81" t="s">
        <v>5808</v>
      </c>
      <c r="I909" s="81" t="s">
        <v>224</v>
      </c>
      <c r="J909" s="81" t="s">
        <v>5143</v>
      </c>
    </row>
    <row r="910" hidden="1">
      <c r="A910" s="83" t="s">
        <v>4949</v>
      </c>
      <c r="B910" s="83" t="s">
        <v>4950</v>
      </c>
      <c r="C910" s="81" t="s">
        <v>4086</v>
      </c>
      <c r="D910" s="83" t="s">
        <v>4494</v>
      </c>
      <c r="E910" s="81" t="s">
        <v>2307</v>
      </c>
      <c r="F910" s="84">
        <v>443.0</v>
      </c>
      <c r="G910" s="81" t="s">
        <v>39</v>
      </c>
      <c r="H910" s="81" t="s">
        <v>5809</v>
      </c>
      <c r="I910" s="81" t="s">
        <v>2303</v>
      </c>
      <c r="J910" s="81" t="s">
        <v>224</v>
      </c>
    </row>
    <row r="911" hidden="1">
      <c r="A911" s="83" t="s">
        <v>4949</v>
      </c>
      <c r="B911" s="83" t="s">
        <v>4950</v>
      </c>
      <c r="C911" s="81" t="s">
        <v>5141</v>
      </c>
      <c r="D911" s="83" t="s">
        <v>4494</v>
      </c>
      <c r="E911" s="81" t="s">
        <v>2307</v>
      </c>
      <c r="F911" s="84">
        <v>443.0</v>
      </c>
      <c r="G911" s="81" t="s">
        <v>40</v>
      </c>
      <c r="H911" s="81" t="s">
        <v>5808</v>
      </c>
      <c r="I911" s="81" t="s">
        <v>224</v>
      </c>
      <c r="J911" s="81" t="s">
        <v>5143</v>
      </c>
    </row>
    <row r="912" hidden="1">
      <c r="A912" s="83" t="s">
        <v>4949</v>
      </c>
      <c r="B912" s="83" t="s">
        <v>4950</v>
      </c>
      <c r="C912" s="81" t="s">
        <v>4086</v>
      </c>
      <c r="D912" s="83" t="s">
        <v>4495</v>
      </c>
      <c r="E912" s="81" t="s">
        <v>2308</v>
      </c>
      <c r="F912" s="84">
        <v>444.0</v>
      </c>
      <c r="G912" s="81" t="s">
        <v>39</v>
      </c>
      <c r="H912" s="81" t="s">
        <v>5810</v>
      </c>
      <c r="I912" s="81" t="s">
        <v>2309</v>
      </c>
      <c r="J912" s="81" t="s">
        <v>224</v>
      </c>
    </row>
    <row r="913" hidden="1">
      <c r="A913" s="83" t="s">
        <v>4949</v>
      </c>
      <c r="B913" s="83" t="s">
        <v>4950</v>
      </c>
      <c r="C913" s="81" t="s">
        <v>5141</v>
      </c>
      <c r="D913" s="83" t="s">
        <v>4495</v>
      </c>
      <c r="E913" s="81" t="s">
        <v>2308</v>
      </c>
      <c r="F913" s="84">
        <v>444.0</v>
      </c>
      <c r="G913" s="81" t="s">
        <v>40</v>
      </c>
      <c r="H913" s="81" t="s">
        <v>5811</v>
      </c>
      <c r="I913" s="81" t="s">
        <v>224</v>
      </c>
      <c r="J913" s="81" t="s">
        <v>5143</v>
      </c>
    </row>
    <row r="914" hidden="1">
      <c r="A914" s="83" t="s">
        <v>4949</v>
      </c>
      <c r="B914" s="83" t="s">
        <v>4950</v>
      </c>
      <c r="C914" s="81" t="s">
        <v>4086</v>
      </c>
      <c r="D914" s="83" t="s">
        <v>4496</v>
      </c>
      <c r="E914" s="81" t="s">
        <v>2310</v>
      </c>
      <c r="F914" s="84">
        <v>445.0</v>
      </c>
      <c r="G914" s="81" t="s">
        <v>39</v>
      </c>
      <c r="H914" s="81" t="s">
        <v>5812</v>
      </c>
      <c r="I914" s="81" t="s">
        <v>2313</v>
      </c>
      <c r="J914" s="81" t="s">
        <v>224</v>
      </c>
    </row>
    <row r="915" hidden="1">
      <c r="A915" s="83" t="s">
        <v>4949</v>
      </c>
      <c r="B915" s="83" t="s">
        <v>4950</v>
      </c>
      <c r="C915" s="81" t="s">
        <v>5141</v>
      </c>
      <c r="D915" s="83" t="s">
        <v>4496</v>
      </c>
      <c r="E915" s="81" t="s">
        <v>2310</v>
      </c>
      <c r="F915" s="84">
        <v>445.0</v>
      </c>
      <c r="G915" s="81" t="s">
        <v>40</v>
      </c>
      <c r="H915" s="81" t="s">
        <v>5813</v>
      </c>
      <c r="I915" s="81" t="s">
        <v>224</v>
      </c>
      <c r="J915" s="81" t="s">
        <v>5143</v>
      </c>
    </row>
    <row r="916" hidden="1">
      <c r="A916" s="83" t="s">
        <v>4949</v>
      </c>
      <c r="B916" s="83" t="s">
        <v>4950</v>
      </c>
      <c r="C916" s="81" t="s">
        <v>4086</v>
      </c>
      <c r="D916" s="83" t="s">
        <v>4496</v>
      </c>
      <c r="E916" s="81" t="s">
        <v>2317</v>
      </c>
      <c r="F916" s="84">
        <v>446.0</v>
      </c>
      <c r="G916" s="81" t="s">
        <v>39</v>
      </c>
      <c r="H916" s="81" t="s">
        <v>5812</v>
      </c>
      <c r="I916" s="81" t="s">
        <v>2313</v>
      </c>
      <c r="J916" s="81" t="s">
        <v>224</v>
      </c>
    </row>
    <row r="917" hidden="1">
      <c r="A917" s="83" t="s">
        <v>4949</v>
      </c>
      <c r="B917" s="83" t="s">
        <v>4950</v>
      </c>
      <c r="C917" s="81" t="s">
        <v>5141</v>
      </c>
      <c r="D917" s="83" t="s">
        <v>4496</v>
      </c>
      <c r="E917" s="81" t="s">
        <v>2317</v>
      </c>
      <c r="F917" s="84">
        <v>446.0</v>
      </c>
      <c r="G917" s="81" t="s">
        <v>40</v>
      </c>
      <c r="H917" s="81" t="s">
        <v>5813</v>
      </c>
      <c r="I917" s="81" t="s">
        <v>224</v>
      </c>
      <c r="J917" s="81" t="s">
        <v>5143</v>
      </c>
    </row>
    <row r="918" hidden="1">
      <c r="A918" s="83" t="s">
        <v>4949</v>
      </c>
      <c r="B918" s="83" t="s">
        <v>4950</v>
      </c>
      <c r="C918" s="81" t="s">
        <v>4086</v>
      </c>
      <c r="D918" s="83" t="s">
        <v>4497</v>
      </c>
      <c r="E918" s="81" t="s">
        <v>2318</v>
      </c>
      <c r="F918" s="84">
        <v>447.0</v>
      </c>
      <c r="G918" s="81" t="s">
        <v>39</v>
      </c>
      <c r="H918" s="81" t="s">
        <v>5814</v>
      </c>
      <c r="I918" s="81" t="s">
        <v>2319</v>
      </c>
      <c r="J918" s="81" t="s">
        <v>224</v>
      </c>
    </row>
    <row r="919" hidden="1">
      <c r="A919" s="83" t="s">
        <v>4949</v>
      </c>
      <c r="B919" s="83" t="s">
        <v>4950</v>
      </c>
      <c r="C919" s="81" t="s">
        <v>5141</v>
      </c>
      <c r="D919" s="83" t="s">
        <v>4497</v>
      </c>
      <c r="E919" s="81" t="s">
        <v>2318</v>
      </c>
      <c r="F919" s="84">
        <v>447.0</v>
      </c>
      <c r="G919" s="81" t="s">
        <v>40</v>
      </c>
      <c r="H919" s="81" t="s">
        <v>5815</v>
      </c>
      <c r="I919" s="81" t="s">
        <v>224</v>
      </c>
      <c r="J919" s="81" t="s">
        <v>5143</v>
      </c>
    </row>
    <row r="920" hidden="1">
      <c r="A920" s="83" t="s">
        <v>4949</v>
      </c>
      <c r="B920" s="83" t="s">
        <v>4950</v>
      </c>
      <c r="C920" s="81" t="s">
        <v>4086</v>
      </c>
      <c r="D920" s="83" t="s">
        <v>4498</v>
      </c>
      <c r="E920" s="81" t="s">
        <v>2320</v>
      </c>
      <c r="F920" s="84">
        <v>448.0</v>
      </c>
      <c r="G920" s="81" t="s">
        <v>39</v>
      </c>
      <c r="H920" s="81" t="s">
        <v>5816</v>
      </c>
      <c r="I920" s="81" t="s">
        <v>2322</v>
      </c>
      <c r="J920" s="81" t="s">
        <v>224</v>
      </c>
    </row>
    <row r="921" hidden="1">
      <c r="A921" s="83" t="s">
        <v>4949</v>
      </c>
      <c r="B921" s="83" t="s">
        <v>4950</v>
      </c>
      <c r="C921" s="81" t="s">
        <v>4086</v>
      </c>
      <c r="D921" s="83" t="s">
        <v>4498</v>
      </c>
      <c r="E921" s="81" t="s">
        <v>2320</v>
      </c>
      <c r="F921" s="84">
        <v>448.0</v>
      </c>
      <c r="G921" s="81" t="s">
        <v>40</v>
      </c>
      <c r="H921" s="81" t="s">
        <v>5817</v>
      </c>
      <c r="I921" s="81" t="s">
        <v>2323</v>
      </c>
      <c r="J921" s="81" t="s">
        <v>224</v>
      </c>
    </row>
    <row r="922" hidden="1">
      <c r="A922" s="83" t="s">
        <v>4949</v>
      </c>
      <c r="B922" s="83" t="s">
        <v>4950</v>
      </c>
      <c r="C922" s="81" t="s">
        <v>4086</v>
      </c>
      <c r="D922" s="83" t="s">
        <v>4498</v>
      </c>
      <c r="E922" s="81" t="s">
        <v>2324</v>
      </c>
      <c r="F922" s="84">
        <v>449.0</v>
      </c>
      <c r="G922" s="81" t="s">
        <v>39</v>
      </c>
      <c r="H922" s="81" t="s">
        <v>5818</v>
      </c>
      <c r="I922" s="81" t="s">
        <v>2322</v>
      </c>
      <c r="J922" s="81" t="s">
        <v>224</v>
      </c>
    </row>
    <row r="923" hidden="1">
      <c r="A923" s="83" t="s">
        <v>4949</v>
      </c>
      <c r="B923" s="83" t="s">
        <v>4950</v>
      </c>
      <c r="C923" s="81" t="s">
        <v>4086</v>
      </c>
      <c r="D923" s="83" t="s">
        <v>4498</v>
      </c>
      <c r="E923" s="81" t="s">
        <v>2324</v>
      </c>
      <c r="F923" s="84">
        <v>449.0</v>
      </c>
      <c r="G923" s="81" t="s">
        <v>40</v>
      </c>
      <c r="H923" s="81" t="s">
        <v>5819</v>
      </c>
      <c r="I923" s="81" t="s">
        <v>2323</v>
      </c>
      <c r="J923" s="81" t="s">
        <v>224</v>
      </c>
    </row>
    <row r="924" hidden="1">
      <c r="A924" s="83" t="s">
        <v>4949</v>
      </c>
      <c r="B924" s="83" t="s">
        <v>4950</v>
      </c>
      <c r="C924" s="81" t="s">
        <v>4086</v>
      </c>
      <c r="D924" s="83" t="s">
        <v>4500</v>
      </c>
      <c r="E924" s="81" t="s">
        <v>2326</v>
      </c>
      <c r="F924" s="84">
        <v>450.0</v>
      </c>
      <c r="G924" s="81" t="s">
        <v>39</v>
      </c>
      <c r="H924" s="81" t="s">
        <v>5820</v>
      </c>
      <c r="I924" s="81" t="s">
        <v>2327</v>
      </c>
      <c r="J924" s="81" t="s">
        <v>224</v>
      </c>
    </row>
    <row r="925" hidden="1">
      <c r="A925" s="83" t="s">
        <v>4949</v>
      </c>
      <c r="B925" s="83" t="s">
        <v>4950</v>
      </c>
      <c r="C925" s="81" t="s">
        <v>4086</v>
      </c>
      <c r="D925" s="83" t="s">
        <v>4500</v>
      </c>
      <c r="E925" s="81" t="s">
        <v>2326</v>
      </c>
      <c r="F925" s="84">
        <v>450.0</v>
      </c>
      <c r="G925" s="81" t="s">
        <v>40</v>
      </c>
      <c r="H925" s="81" t="s">
        <v>5821</v>
      </c>
      <c r="I925" s="81" t="s">
        <v>2328</v>
      </c>
      <c r="J925" s="81" t="s">
        <v>224</v>
      </c>
    </row>
    <row r="926" hidden="1">
      <c r="A926" s="83" t="s">
        <v>4949</v>
      </c>
      <c r="B926" s="83" t="s">
        <v>4950</v>
      </c>
      <c r="C926" s="81" t="s">
        <v>4086</v>
      </c>
      <c r="D926" s="83" t="s">
        <v>4501</v>
      </c>
      <c r="E926" s="81" t="s">
        <v>2329</v>
      </c>
      <c r="F926" s="84">
        <v>451.0</v>
      </c>
      <c r="G926" s="81" t="s">
        <v>39</v>
      </c>
      <c r="H926" s="81" t="s">
        <v>5822</v>
      </c>
      <c r="I926" s="81" t="s">
        <v>2332</v>
      </c>
      <c r="J926" s="81" t="s">
        <v>224</v>
      </c>
    </row>
    <row r="927" hidden="1">
      <c r="A927" s="83" t="s">
        <v>4949</v>
      </c>
      <c r="B927" s="83" t="s">
        <v>4950</v>
      </c>
      <c r="C927" s="81" t="s">
        <v>5141</v>
      </c>
      <c r="D927" s="83" t="s">
        <v>4501</v>
      </c>
      <c r="E927" s="81" t="s">
        <v>2329</v>
      </c>
      <c r="F927" s="84">
        <v>451.0</v>
      </c>
      <c r="G927" s="81" t="s">
        <v>40</v>
      </c>
      <c r="H927" s="81" t="s">
        <v>5823</v>
      </c>
      <c r="I927" s="81" t="s">
        <v>224</v>
      </c>
      <c r="J927" s="81" t="s">
        <v>5143</v>
      </c>
    </row>
    <row r="928" hidden="1">
      <c r="A928" s="83" t="s">
        <v>4949</v>
      </c>
      <c r="B928" s="83" t="s">
        <v>4950</v>
      </c>
      <c r="C928" s="81" t="s">
        <v>5141</v>
      </c>
      <c r="D928" s="83" t="s">
        <v>4503</v>
      </c>
      <c r="E928" s="81" t="s">
        <v>2334</v>
      </c>
      <c r="F928" s="84">
        <v>452.0</v>
      </c>
      <c r="G928" s="81" t="s">
        <v>39</v>
      </c>
      <c r="H928" s="81" t="s">
        <v>5824</v>
      </c>
      <c r="I928" s="81" t="s">
        <v>224</v>
      </c>
      <c r="J928" s="81" t="s">
        <v>5143</v>
      </c>
    </row>
    <row r="929" hidden="1">
      <c r="A929" s="83" t="s">
        <v>4949</v>
      </c>
      <c r="B929" s="83" t="s">
        <v>4950</v>
      </c>
      <c r="C929" s="81" t="s">
        <v>5141</v>
      </c>
      <c r="D929" s="83" t="s">
        <v>4503</v>
      </c>
      <c r="E929" s="81" t="s">
        <v>2334</v>
      </c>
      <c r="F929" s="84">
        <v>452.0</v>
      </c>
      <c r="G929" s="81" t="s">
        <v>40</v>
      </c>
      <c r="H929" s="81" t="s">
        <v>5825</v>
      </c>
      <c r="I929" s="81" t="s">
        <v>224</v>
      </c>
      <c r="J929" s="81" t="s">
        <v>5143</v>
      </c>
    </row>
    <row r="930" hidden="1">
      <c r="A930" s="83" t="s">
        <v>4949</v>
      </c>
      <c r="B930" s="83" t="s">
        <v>4950</v>
      </c>
      <c r="C930" s="81" t="s">
        <v>5141</v>
      </c>
      <c r="D930" s="83" t="s">
        <v>4504</v>
      </c>
      <c r="E930" s="81" t="s">
        <v>2335</v>
      </c>
      <c r="F930" s="84">
        <v>453.0</v>
      </c>
      <c r="G930" s="81" t="s">
        <v>39</v>
      </c>
      <c r="H930" s="81" t="s">
        <v>5826</v>
      </c>
      <c r="I930" s="81" t="s">
        <v>224</v>
      </c>
      <c r="J930" s="81" t="s">
        <v>5143</v>
      </c>
    </row>
    <row r="931" hidden="1">
      <c r="A931" s="83" t="s">
        <v>4949</v>
      </c>
      <c r="B931" s="83" t="s">
        <v>4950</v>
      </c>
      <c r="C931" s="81" t="s">
        <v>5141</v>
      </c>
      <c r="D931" s="83" t="s">
        <v>4504</v>
      </c>
      <c r="E931" s="81" t="s">
        <v>2335</v>
      </c>
      <c r="F931" s="84">
        <v>453.0</v>
      </c>
      <c r="G931" s="81" t="s">
        <v>40</v>
      </c>
      <c r="H931" s="81" t="s">
        <v>5827</v>
      </c>
      <c r="I931" s="81" t="s">
        <v>224</v>
      </c>
      <c r="J931" s="81" t="s">
        <v>5143</v>
      </c>
    </row>
    <row r="932" hidden="1">
      <c r="A932" s="83" t="s">
        <v>4949</v>
      </c>
      <c r="B932" s="83" t="s">
        <v>4950</v>
      </c>
      <c r="C932" s="81" t="s">
        <v>5141</v>
      </c>
      <c r="D932" s="83" t="s">
        <v>4505</v>
      </c>
      <c r="E932" s="81" t="s">
        <v>2337</v>
      </c>
      <c r="F932" s="84">
        <v>454.0</v>
      </c>
      <c r="G932" s="81" t="s">
        <v>39</v>
      </c>
      <c r="H932" s="81" t="s">
        <v>5828</v>
      </c>
      <c r="I932" s="81" t="s">
        <v>224</v>
      </c>
      <c r="J932" s="81" t="s">
        <v>5143</v>
      </c>
    </row>
    <row r="933" hidden="1">
      <c r="A933" s="83" t="s">
        <v>4949</v>
      </c>
      <c r="B933" s="83" t="s">
        <v>4950</v>
      </c>
      <c r="C933" s="81" t="s">
        <v>5141</v>
      </c>
      <c r="D933" s="83" t="s">
        <v>4505</v>
      </c>
      <c r="E933" s="81" t="s">
        <v>2337</v>
      </c>
      <c r="F933" s="84">
        <v>454.0</v>
      </c>
      <c r="G933" s="81" t="s">
        <v>40</v>
      </c>
      <c r="H933" s="81" t="s">
        <v>5829</v>
      </c>
      <c r="I933" s="81" t="s">
        <v>224</v>
      </c>
      <c r="J933" s="81" t="s">
        <v>5143</v>
      </c>
    </row>
    <row r="934" hidden="1">
      <c r="A934" s="83" t="s">
        <v>4949</v>
      </c>
      <c r="B934" s="83" t="s">
        <v>4950</v>
      </c>
      <c r="C934" s="81" t="s">
        <v>4086</v>
      </c>
      <c r="D934" s="83" t="s">
        <v>4506</v>
      </c>
      <c r="E934" s="81" t="s">
        <v>2338</v>
      </c>
      <c r="F934" s="84">
        <v>455.0</v>
      </c>
      <c r="G934" s="81" t="s">
        <v>40</v>
      </c>
      <c r="H934" s="81" t="s">
        <v>5830</v>
      </c>
      <c r="I934" s="81" t="s">
        <v>5831</v>
      </c>
      <c r="J934" s="81" t="s">
        <v>224</v>
      </c>
    </row>
    <row r="935" hidden="1">
      <c r="A935" s="83" t="s">
        <v>4949</v>
      </c>
      <c r="B935" s="83" t="s">
        <v>4950</v>
      </c>
      <c r="C935" s="81" t="s">
        <v>5141</v>
      </c>
      <c r="D935" s="83" t="s">
        <v>4507</v>
      </c>
      <c r="E935" s="81" t="s">
        <v>2349</v>
      </c>
      <c r="F935" s="84">
        <v>456.0</v>
      </c>
      <c r="G935" s="81" t="s">
        <v>39</v>
      </c>
      <c r="H935" s="81" t="s">
        <v>5832</v>
      </c>
      <c r="I935" s="81" t="s">
        <v>224</v>
      </c>
      <c r="J935" s="81" t="s">
        <v>5143</v>
      </c>
    </row>
    <row r="936" hidden="1">
      <c r="A936" s="83" t="s">
        <v>4949</v>
      </c>
      <c r="B936" s="83" t="s">
        <v>4950</v>
      </c>
      <c r="C936" s="81" t="s">
        <v>5141</v>
      </c>
      <c r="D936" s="83" t="s">
        <v>4507</v>
      </c>
      <c r="E936" s="81" t="s">
        <v>2349</v>
      </c>
      <c r="F936" s="84">
        <v>456.0</v>
      </c>
      <c r="G936" s="81" t="s">
        <v>40</v>
      </c>
      <c r="H936" s="81" t="s">
        <v>5833</v>
      </c>
      <c r="I936" s="81" t="s">
        <v>224</v>
      </c>
      <c r="J936" s="81" t="s">
        <v>5143</v>
      </c>
    </row>
    <row r="937" hidden="1">
      <c r="A937" s="83" t="s">
        <v>4949</v>
      </c>
      <c r="B937" s="83" t="s">
        <v>4950</v>
      </c>
      <c r="C937" s="81" t="s">
        <v>5141</v>
      </c>
      <c r="D937" s="83" t="s">
        <v>4508</v>
      </c>
      <c r="E937" s="81" t="s">
        <v>2352</v>
      </c>
      <c r="F937" s="84">
        <v>457.0</v>
      </c>
      <c r="G937" s="81" t="s">
        <v>39</v>
      </c>
      <c r="H937" s="81" t="s">
        <v>5834</v>
      </c>
      <c r="I937" s="81" t="s">
        <v>224</v>
      </c>
      <c r="J937" s="81" t="s">
        <v>5143</v>
      </c>
    </row>
    <row r="938" hidden="1">
      <c r="A938" s="83" t="s">
        <v>4949</v>
      </c>
      <c r="B938" s="83" t="s">
        <v>4950</v>
      </c>
      <c r="C938" s="81" t="s">
        <v>5141</v>
      </c>
      <c r="D938" s="83" t="s">
        <v>4508</v>
      </c>
      <c r="E938" s="81" t="s">
        <v>2352</v>
      </c>
      <c r="F938" s="84">
        <v>457.0</v>
      </c>
      <c r="G938" s="81" t="s">
        <v>40</v>
      </c>
      <c r="H938" s="81" t="s">
        <v>5835</v>
      </c>
      <c r="I938" s="81" t="s">
        <v>224</v>
      </c>
      <c r="J938" s="81" t="s">
        <v>5143</v>
      </c>
    </row>
    <row r="939" hidden="1">
      <c r="A939" s="83" t="s">
        <v>4949</v>
      </c>
      <c r="B939" s="83" t="s">
        <v>4950</v>
      </c>
      <c r="C939" s="81" t="s">
        <v>5141</v>
      </c>
      <c r="D939" s="83" t="s">
        <v>4509</v>
      </c>
      <c r="E939" s="81" t="s">
        <v>2355</v>
      </c>
      <c r="F939" s="84">
        <v>458.0</v>
      </c>
      <c r="G939" s="81" t="s">
        <v>39</v>
      </c>
      <c r="H939" s="81" t="s">
        <v>5836</v>
      </c>
      <c r="I939" s="81" t="s">
        <v>224</v>
      </c>
      <c r="J939" s="81" t="s">
        <v>5143</v>
      </c>
    </row>
    <row r="940" hidden="1">
      <c r="A940" s="83" t="s">
        <v>4949</v>
      </c>
      <c r="B940" s="83" t="s">
        <v>4950</v>
      </c>
      <c r="C940" s="81" t="s">
        <v>5141</v>
      </c>
      <c r="D940" s="83" t="s">
        <v>4509</v>
      </c>
      <c r="E940" s="81" t="s">
        <v>2355</v>
      </c>
      <c r="F940" s="84">
        <v>458.0</v>
      </c>
      <c r="G940" s="81" t="s">
        <v>40</v>
      </c>
      <c r="H940" s="81" t="s">
        <v>5837</v>
      </c>
      <c r="I940" s="81" t="s">
        <v>224</v>
      </c>
      <c r="J940" s="81" t="s">
        <v>5143</v>
      </c>
    </row>
    <row r="941" hidden="1">
      <c r="A941" s="83" t="s">
        <v>4949</v>
      </c>
      <c r="B941" s="83" t="s">
        <v>4950</v>
      </c>
      <c r="C941" s="81" t="s">
        <v>5141</v>
      </c>
      <c r="D941" s="83" t="s">
        <v>4510</v>
      </c>
      <c r="E941" s="81" t="s">
        <v>2357</v>
      </c>
      <c r="F941" s="84">
        <v>459.0</v>
      </c>
      <c r="G941" s="81" t="s">
        <v>39</v>
      </c>
      <c r="H941" s="81" t="s">
        <v>5838</v>
      </c>
      <c r="I941" s="81" t="s">
        <v>224</v>
      </c>
      <c r="J941" s="81" t="s">
        <v>5143</v>
      </c>
    </row>
    <row r="942" hidden="1">
      <c r="A942" s="83" t="s">
        <v>4949</v>
      </c>
      <c r="B942" s="83" t="s">
        <v>4950</v>
      </c>
      <c r="C942" s="81" t="s">
        <v>5141</v>
      </c>
      <c r="D942" s="83" t="s">
        <v>4510</v>
      </c>
      <c r="E942" s="81" t="s">
        <v>2357</v>
      </c>
      <c r="F942" s="84">
        <v>459.0</v>
      </c>
      <c r="G942" s="81" t="s">
        <v>40</v>
      </c>
      <c r="H942" s="81" t="s">
        <v>5839</v>
      </c>
      <c r="I942" s="81" t="s">
        <v>224</v>
      </c>
      <c r="J942" s="81" t="s">
        <v>5143</v>
      </c>
    </row>
    <row r="943" hidden="1">
      <c r="A943" s="83" t="s">
        <v>4949</v>
      </c>
      <c r="B943" s="83" t="s">
        <v>4950</v>
      </c>
      <c r="C943" s="81" t="s">
        <v>4086</v>
      </c>
      <c r="D943" s="83" t="s">
        <v>4511</v>
      </c>
      <c r="E943" s="81" t="s">
        <v>2359</v>
      </c>
      <c r="F943" s="84">
        <v>460.0</v>
      </c>
      <c r="G943" s="81" t="s">
        <v>39</v>
      </c>
      <c r="H943" s="81" t="s">
        <v>5840</v>
      </c>
      <c r="I943" s="81" t="s">
        <v>2362</v>
      </c>
      <c r="J943" s="81" t="s">
        <v>224</v>
      </c>
    </row>
    <row r="944" hidden="1">
      <c r="A944" s="83" t="s">
        <v>4949</v>
      </c>
      <c r="B944" s="83" t="s">
        <v>4950</v>
      </c>
      <c r="C944" s="81" t="s">
        <v>5141</v>
      </c>
      <c r="D944" s="83" t="s">
        <v>4511</v>
      </c>
      <c r="E944" s="81" t="s">
        <v>2359</v>
      </c>
      <c r="F944" s="84">
        <v>460.0</v>
      </c>
      <c r="G944" s="81" t="s">
        <v>40</v>
      </c>
      <c r="H944" s="81" t="s">
        <v>5841</v>
      </c>
      <c r="I944" s="81" t="s">
        <v>224</v>
      </c>
      <c r="J944" s="81" t="s">
        <v>5143</v>
      </c>
    </row>
    <row r="945" hidden="1">
      <c r="A945" s="83" t="s">
        <v>4949</v>
      </c>
      <c r="B945" s="83" t="s">
        <v>4950</v>
      </c>
      <c r="C945" s="81" t="s">
        <v>4086</v>
      </c>
      <c r="D945" s="83" t="s">
        <v>4512</v>
      </c>
      <c r="E945" s="81" t="s">
        <v>2363</v>
      </c>
      <c r="F945" s="84">
        <v>461.0</v>
      </c>
      <c r="G945" s="81" t="s">
        <v>39</v>
      </c>
      <c r="H945" s="81" t="s">
        <v>5842</v>
      </c>
      <c r="I945" s="81" t="s">
        <v>2365</v>
      </c>
      <c r="J945" s="81" t="s">
        <v>224</v>
      </c>
    </row>
    <row r="946" hidden="1">
      <c r="A946" s="83" t="s">
        <v>4949</v>
      </c>
      <c r="B946" s="83" t="s">
        <v>4950</v>
      </c>
      <c r="C946" s="81" t="s">
        <v>5141</v>
      </c>
      <c r="D946" s="83" t="s">
        <v>4512</v>
      </c>
      <c r="E946" s="81" t="s">
        <v>2363</v>
      </c>
      <c r="F946" s="84">
        <v>461.0</v>
      </c>
      <c r="G946" s="81" t="s">
        <v>40</v>
      </c>
      <c r="H946" s="81" t="s">
        <v>5843</v>
      </c>
      <c r="I946" s="81" t="s">
        <v>224</v>
      </c>
      <c r="J946" s="81" t="s">
        <v>5143</v>
      </c>
    </row>
    <row r="947" hidden="1">
      <c r="A947" s="83" t="s">
        <v>4949</v>
      </c>
      <c r="B947" s="83" t="s">
        <v>4950</v>
      </c>
      <c r="C947" s="81" t="s">
        <v>5141</v>
      </c>
      <c r="D947" s="83" t="s">
        <v>4516</v>
      </c>
      <c r="E947" s="81" t="s">
        <v>2377</v>
      </c>
      <c r="F947" s="84">
        <v>464.0</v>
      </c>
      <c r="G947" s="81" t="s">
        <v>40</v>
      </c>
      <c r="H947" s="81" t="s">
        <v>49</v>
      </c>
      <c r="I947" s="81" t="s">
        <v>224</v>
      </c>
      <c r="J947" s="81" t="s">
        <v>5143</v>
      </c>
    </row>
    <row r="948" hidden="1">
      <c r="A948" s="83" t="s">
        <v>4949</v>
      </c>
      <c r="B948" s="83" t="s">
        <v>4950</v>
      </c>
      <c r="C948" s="81" t="s">
        <v>4086</v>
      </c>
      <c r="D948" s="83" t="s">
        <v>4517</v>
      </c>
      <c r="E948" s="81" t="s">
        <v>2380</v>
      </c>
      <c r="F948" s="84">
        <v>465.0</v>
      </c>
      <c r="G948" s="81" t="s">
        <v>39</v>
      </c>
      <c r="H948" s="81" t="s">
        <v>5844</v>
      </c>
      <c r="I948" s="81" t="s">
        <v>2385</v>
      </c>
      <c r="J948" s="81" t="s">
        <v>224</v>
      </c>
    </row>
    <row r="949" hidden="1">
      <c r="A949" s="83" t="s">
        <v>4949</v>
      </c>
      <c r="B949" s="83" t="s">
        <v>4950</v>
      </c>
      <c r="C949" s="81" t="s">
        <v>4086</v>
      </c>
      <c r="D949" s="83" t="s">
        <v>4517</v>
      </c>
      <c r="E949" s="81" t="s">
        <v>2380</v>
      </c>
      <c r="F949" s="84">
        <v>465.0</v>
      </c>
      <c r="G949" s="81" t="s">
        <v>40</v>
      </c>
      <c r="H949" s="81" t="s">
        <v>5845</v>
      </c>
      <c r="I949" s="81" t="s">
        <v>5846</v>
      </c>
      <c r="J949" s="81" t="s">
        <v>224</v>
      </c>
    </row>
    <row r="950" hidden="1">
      <c r="A950" s="83" t="s">
        <v>4949</v>
      </c>
      <c r="B950" s="83" t="s">
        <v>4950</v>
      </c>
      <c r="C950" s="81" t="s">
        <v>4086</v>
      </c>
      <c r="D950" s="83" t="s">
        <v>4517</v>
      </c>
      <c r="E950" s="81" t="s">
        <v>2391</v>
      </c>
      <c r="F950" s="84">
        <v>466.0</v>
      </c>
      <c r="G950" s="81" t="s">
        <v>39</v>
      </c>
      <c r="H950" s="81" t="s">
        <v>5844</v>
      </c>
      <c r="I950" s="81" t="s">
        <v>2385</v>
      </c>
      <c r="J950" s="81" t="s">
        <v>224</v>
      </c>
    </row>
    <row r="951" hidden="1">
      <c r="A951" s="83" t="s">
        <v>4949</v>
      </c>
      <c r="B951" s="83" t="s">
        <v>4950</v>
      </c>
      <c r="C951" s="81" t="s">
        <v>4086</v>
      </c>
      <c r="D951" s="83" t="s">
        <v>4517</v>
      </c>
      <c r="E951" s="81" t="s">
        <v>2391</v>
      </c>
      <c r="F951" s="84">
        <v>466.0</v>
      </c>
      <c r="G951" s="81" t="s">
        <v>40</v>
      </c>
      <c r="H951" s="81" t="s">
        <v>5845</v>
      </c>
      <c r="I951" s="81" t="s">
        <v>5846</v>
      </c>
      <c r="J951" s="81" t="s">
        <v>224</v>
      </c>
    </row>
    <row r="952" hidden="1">
      <c r="A952" s="83" t="s">
        <v>4949</v>
      </c>
      <c r="B952" s="83" t="s">
        <v>4950</v>
      </c>
      <c r="C952" s="81" t="s">
        <v>4086</v>
      </c>
      <c r="D952" s="83" t="s">
        <v>4518</v>
      </c>
      <c r="E952" s="81" t="s">
        <v>2393</v>
      </c>
      <c r="F952" s="84">
        <v>467.0</v>
      </c>
      <c r="G952" s="81" t="s">
        <v>39</v>
      </c>
      <c r="H952" s="81" t="s">
        <v>5844</v>
      </c>
      <c r="I952" s="81" t="s">
        <v>2398</v>
      </c>
      <c r="J952" s="81" t="s">
        <v>224</v>
      </c>
    </row>
    <row r="953" hidden="1">
      <c r="A953" s="83" t="s">
        <v>4949</v>
      </c>
      <c r="B953" s="83" t="s">
        <v>4950</v>
      </c>
      <c r="C953" s="81" t="s">
        <v>5141</v>
      </c>
      <c r="D953" s="83" t="s">
        <v>4518</v>
      </c>
      <c r="E953" s="81" t="s">
        <v>2393</v>
      </c>
      <c r="F953" s="84">
        <v>467.0</v>
      </c>
      <c r="G953" s="81" t="s">
        <v>40</v>
      </c>
      <c r="H953" s="81" t="s">
        <v>5845</v>
      </c>
      <c r="I953" s="81" t="s">
        <v>224</v>
      </c>
      <c r="J953" s="81" t="s">
        <v>5143</v>
      </c>
    </row>
    <row r="954" hidden="1">
      <c r="A954" s="83" t="s">
        <v>4949</v>
      </c>
      <c r="B954" s="83" t="s">
        <v>4950</v>
      </c>
      <c r="C954" s="81" t="s">
        <v>4086</v>
      </c>
      <c r="D954" s="83" t="s">
        <v>4519</v>
      </c>
      <c r="E954" s="81" t="s">
        <v>2402</v>
      </c>
      <c r="F954" s="84">
        <v>468.0</v>
      </c>
      <c r="G954" s="81" t="s">
        <v>39</v>
      </c>
      <c r="H954" s="81" t="s">
        <v>5844</v>
      </c>
      <c r="I954" s="81" t="s">
        <v>2405</v>
      </c>
      <c r="J954" s="81" t="s">
        <v>224</v>
      </c>
    </row>
    <row r="955" hidden="1">
      <c r="A955" s="83" t="s">
        <v>4949</v>
      </c>
      <c r="B955" s="83" t="s">
        <v>4950</v>
      </c>
      <c r="C955" s="81" t="s">
        <v>5141</v>
      </c>
      <c r="D955" s="83" t="s">
        <v>4519</v>
      </c>
      <c r="E955" s="81" t="s">
        <v>2402</v>
      </c>
      <c r="F955" s="84">
        <v>468.0</v>
      </c>
      <c r="G955" s="81" t="s">
        <v>40</v>
      </c>
      <c r="H955" s="81" t="s">
        <v>5845</v>
      </c>
      <c r="I955" s="81" t="s">
        <v>224</v>
      </c>
      <c r="J955" s="81" t="s">
        <v>5143</v>
      </c>
    </row>
    <row r="956" hidden="1">
      <c r="A956" s="83" t="s">
        <v>4949</v>
      </c>
      <c r="B956" s="83" t="s">
        <v>4950</v>
      </c>
      <c r="C956" s="81" t="s">
        <v>4086</v>
      </c>
      <c r="D956" s="83" t="s">
        <v>4520</v>
      </c>
      <c r="E956" s="81" t="s">
        <v>2409</v>
      </c>
      <c r="F956" s="84">
        <v>469.0</v>
      </c>
      <c r="G956" s="81" t="s">
        <v>39</v>
      </c>
      <c r="H956" s="81" t="s">
        <v>5847</v>
      </c>
      <c r="I956" s="81" t="s">
        <v>2412</v>
      </c>
      <c r="J956" s="81" t="s">
        <v>224</v>
      </c>
    </row>
    <row r="957" hidden="1">
      <c r="A957" s="83" t="s">
        <v>4949</v>
      </c>
      <c r="B957" s="83" t="s">
        <v>4950</v>
      </c>
      <c r="C957" s="81" t="s">
        <v>4086</v>
      </c>
      <c r="D957" s="83" t="s">
        <v>4520</v>
      </c>
      <c r="E957" s="81" t="s">
        <v>2409</v>
      </c>
      <c r="F957" s="84">
        <v>469.0</v>
      </c>
      <c r="G957" s="81" t="s">
        <v>40</v>
      </c>
      <c r="H957" s="81" t="s">
        <v>5848</v>
      </c>
      <c r="I957" s="81" t="s">
        <v>2413</v>
      </c>
      <c r="J957" s="81" t="s">
        <v>224</v>
      </c>
    </row>
    <row r="958" hidden="1">
      <c r="A958" s="83" t="s">
        <v>4949</v>
      </c>
      <c r="B958" s="83" t="s">
        <v>4950</v>
      </c>
      <c r="C958" s="81" t="s">
        <v>4086</v>
      </c>
      <c r="D958" s="83" t="s">
        <v>4520</v>
      </c>
      <c r="E958" s="81" t="s">
        <v>2414</v>
      </c>
      <c r="F958" s="84">
        <v>470.0</v>
      </c>
      <c r="G958" s="81" t="s">
        <v>39</v>
      </c>
      <c r="H958" s="81" t="s">
        <v>5847</v>
      </c>
      <c r="I958" s="81" t="s">
        <v>2412</v>
      </c>
      <c r="J958" s="81" t="s">
        <v>224</v>
      </c>
    </row>
    <row r="959" hidden="1">
      <c r="A959" s="83" t="s">
        <v>4949</v>
      </c>
      <c r="B959" s="83" t="s">
        <v>4950</v>
      </c>
      <c r="C959" s="81" t="s">
        <v>4086</v>
      </c>
      <c r="D959" s="83" t="s">
        <v>4520</v>
      </c>
      <c r="E959" s="81" t="s">
        <v>2414</v>
      </c>
      <c r="F959" s="84">
        <v>470.0</v>
      </c>
      <c r="G959" s="81" t="s">
        <v>40</v>
      </c>
      <c r="H959" s="81" t="s">
        <v>5848</v>
      </c>
      <c r="I959" s="81" t="s">
        <v>2413</v>
      </c>
      <c r="J959" s="81" t="s">
        <v>224</v>
      </c>
    </row>
    <row r="960" hidden="1">
      <c r="A960" s="83" t="s">
        <v>4949</v>
      </c>
      <c r="B960" s="83" t="s">
        <v>4950</v>
      </c>
      <c r="C960" s="81" t="s">
        <v>4086</v>
      </c>
      <c r="D960" s="83" t="s">
        <v>4523</v>
      </c>
      <c r="E960" s="81" t="s">
        <v>2416</v>
      </c>
      <c r="F960" s="84">
        <v>471.0</v>
      </c>
      <c r="G960" s="81" t="s">
        <v>39</v>
      </c>
      <c r="H960" s="81" t="s">
        <v>5849</v>
      </c>
      <c r="I960" s="81" t="s">
        <v>2417</v>
      </c>
      <c r="J960" s="81" t="s">
        <v>224</v>
      </c>
    </row>
    <row r="961" hidden="1">
      <c r="A961" s="83" t="s">
        <v>4949</v>
      </c>
      <c r="B961" s="83" t="s">
        <v>4950</v>
      </c>
      <c r="C961" s="81" t="s">
        <v>4086</v>
      </c>
      <c r="D961" s="83" t="s">
        <v>4523</v>
      </c>
      <c r="E961" s="81" t="s">
        <v>2416</v>
      </c>
      <c r="F961" s="84">
        <v>471.0</v>
      </c>
      <c r="G961" s="81" t="s">
        <v>40</v>
      </c>
      <c r="H961" s="81" t="s">
        <v>5850</v>
      </c>
      <c r="I961" s="81" t="s">
        <v>2418</v>
      </c>
      <c r="J961" s="81" t="s">
        <v>224</v>
      </c>
    </row>
    <row r="962" hidden="1">
      <c r="A962" s="83" t="s">
        <v>4949</v>
      </c>
      <c r="B962" s="83" t="s">
        <v>4950</v>
      </c>
      <c r="C962" s="81" t="s">
        <v>4086</v>
      </c>
      <c r="D962" s="83" t="s">
        <v>4524</v>
      </c>
      <c r="E962" s="81" t="s">
        <v>2419</v>
      </c>
      <c r="F962" s="84">
        <v>472.0</v>
      </c>
      <c r="G962" s="81" t="s">
        <v>39</v>
      </c>
      <c r="H962" s="81" t="s">
        <v>5851</v>
      </c>
      <c r="I962" s="81" t="s">
        <v>2433</v>
      </c>
      <c r="J962" s="81" t="s">
        <v>224</v>
      </c>
    </row>
    <row r="963" hidden="1">
      <c r="A963" s="83" t="s">
        <v>4949</v>
      </c>
      <c r="B963" s="83" t="s">
        <v>4950</v>
      </c>
      <c r="C963" s="81" t="s">
        <v>4086</v>
      </c>
      <c r="D963" s="83" t="s">
        <v>4524</v>
      </c>
      <c r="E963" s="81" t="s">
        <v>2419</v>
      </c>
      <c r="F963" s="84">
        <v>472.0</v>
      </c>
      <c r="G963" s="81" t="s">
        <v>40</v>
      </c>
      <c r="H963" s="81" t="s">
        <v>5852</v>
      </c>
      <c r="I963" s="81" t="s">
        <v>2434</v>
      </c>
      <c r="J963" s="81" t="s">
        <v>224</v>
      </c>
    </row>
    <row r="964" hidden="1">
      <c r="A964" s="83" t="s">
        <v>4949</v>
      </c>
      <c r="B964" s="83" t="s">
        <v>4950</v>
      </c>
      <c r="C964" s="81" t="s">
        <v>4086</v>
      </c>
      <c r="D964" s="83" t="s">
        <v>4524</v>
      </c>
      <c r="E964" s="81" t="s">
        <v>2440</v>
      </c>
      <c r="F964" s="84">
        <v>473.0</v>
      </c>
      <c r="G964" s="81" t="s">
        <v>39</v>
      </c>
      <c r="H964" s="81" t="s">
        <v>5853</v>
      </c>
      <c r="I964" s="81" t="s">
        <v>2433</v>
      </c>
      <c r="J964" s="81" t="s">
        <v>224</v>
      </c>
    </row>
    <row r="965" hidden="1">
      <c r="A965" s="83" t="s">
        <v>4949</v>
      </c>
      <c r="B965" s="83" t="s">
        <v>4950</v>
      </c>
      <c r="C965" s="81" t="s">
        <v>4086</v>
      </c>
      <c r="D965" s="83" t="s">
        <v>4524</v>
      </c>
      <c r="E965" s="81" t="s">
        <v>2440</v>
      </c>
      <c r="F965" s="84">
        <v>473.0</v>
      </c>
      <c r="G965" s="81" t="s">
        <v>40</v>
      </c>
      <c r="H965" s="81" t="s">
        <v>5854</v>
      </c>
      <c r="I965" s="81" t="s">
        <v>2434</v>
      </c>
      <c r="J965" s="81" t="s">
        <v>224</v>
      </c>
    </row>
    <row r="966" hidden="1">
      <c r="A966" s="83" t="s">
        <v>4949</v>
      </c>
      <c r="B966" s="83" t="s">
        <v>4950</v>
      </c>
      <c r="C966" s="81" t="s">
        <v>4086</v>
      </c>
      <c r="D966" s="83" t="s">
        <v>4527</v>
      </c>
      <c r="E966" s="81" t="s">
        <v>2444</v>
      </c>
      <c r="F966" s="84">
        <v>474.0</v>
      </c>
      <c r="G966" s="81" t="s">
        <v>39</v>
      </c>
      <c r="H966" s="81" t="s">
        <v>5855</v>
      </c>
      <c r="I966" s="81" t="s">
        <v>2450</v>
      </c>
      <c r="J966" s="81" t="s">
        <v>224</v>
      </c>
    </row>
    <row r="967" hidden="1">
      <c r="A967" s="83" t="s">
        <v>4949</v>
      </c>
      <c r="B967" s="83" t="s">
        <v>4950</v>
      </c>
      <c r="C967" s="81" t="s">
        <v>4086</v>
      </c>
      <c r="D967" s="83" t="s">
        <v>4527</v>
      </c>
      <c r="E967" s="81" t="s">
        <v>2444</v>
      </c>
      <c r="F967" s="84">
        <v>474.0</v>
      </c>
      <c r="G967" s="81" t="s">
        <v>40</v>
      </c>
      <c r="H967" s="81" t="s">
        <v>5856</v>
      </c>
      <c r="I967" s="81" t="s">
        <v>2451</v>
      </c>
      <c r="J967" s="81" t="s">
        <v>224</v>
      </c>
    </row>
    <row r="968" hidden="1">
      <c r="A968" s="83" t="s">
        <v>4949</v>
      </c>
      <c r="B968" s="83" t="s">
        <v>4950</v>
      </c>
      <c r="C968" s="81" t="s">
        <v>4086</v>
      </c>
      <c r="D968" s="83" t="s">
        <v>4529</v>
      </c>
      <c r="E968" s="81" t="s">
        <v>2456</v>
      </c>
      <c r="F968" s="84">
        <v>475.0</v>
      </c>
      <c r="G968" s="81" t="s">
        <v>39</v>
      </c>
      <c r="H968" s="81" t="s">
        <v>5857</v>
      </c>
      <c r="I968" s="81" t="s">
        <v>2467</v>
      </c>
      <c r="J968" s="81" t="s">
        <v>224</v>
      </c>
    </row>
    <row r="969" hidden="1">
      <c r="A969" s="83" t="s">
        <v>4949</v>
      </c>
      <c r="B969" s="83" t="s">
        <v>4950</v>
      </c>
      <c r="C969" s="81" t="s">
        <v>4086</v>
      </c>
      <c r="D969" s="83" t="s">
        <v>4529</v>
      </c>
      <c r="E969" s="81" t="s">
        <v>2456</v>
      </c>
      <c r="F969" s="84">
        <v>475.0</v>
      </c>
      <c r="G969" s="81" t="s">
        <v>40</v>
      </c>
      <c r="H969" s="81" t="s">
        <v>5858</v>
      </c>
      <c r="I969" s="81" t="s">
        <v>2468</v>
      </c>
      <c r="J969" s="81" t="s">
        <v>224</v>
      </c>
    </row>
    <row r="970" hidden="1">
      <c r="A970" s="83" t="s">
        <v>4949</v>
      </c>
      <c r="B970" s="83" t="s">
        <v>4950</v>
      </c>
      <c r="C970" s="81" t="s">
        <v>4086</v>
      </c>
      <c r="D970" s="83" t="s">
        <v>4529</v>
      </c>
      <c r="E970" s="81" t="s">
        <v>2474</v>
      </c>
      <c r="F970" s="84">
        <v>476.0</v>
      </c>
      <c r="G970" s="81" t="s">
        <v>39</v>
      </c>
      <c r="H970" s="81" t="s">
        <v>5857</v>
      </c>
      <c r="I970" s="81" t="s">
        <v>2467</v>
      </c>
      <c r="J970" s="81" t="s">
        <v>224</v>
      </c>
    </row>
    <row r="971" hidden="1">
      <c r="A971" s="83" t="s">
        <v>4949</v>
      </c>
      <c r="B971" s="83" t="s">
        <v>4950</v>
      </c>
      <c r="C971" s="81" t="s">
        <v>4086</v>
      </c>
      <c r="D971" s="83" t="s">
        <v>4529</v>
      </c>
      <c r="E971" s="81" t="s">
        <v>2474</v>
      </c>
      <c r="F971" s="84">
        <v>476.0</v>
      </c>
      <c r="G971" s="81" t="s">
        <v>40</v>
      </c>
      <c r="H971" s="81" t="s">
        <v>5858</v>
      </c>
      <c r="I971" s="81" t="s">
        <v>2468</v>
      </c>
      <c r="J971" s="81" t="s">
        <v>224</v>
      </c>
    </row>
    <row r="972" hidden="1">
      <c r="A972" s="83" t="s">
        <v>4949</v>
      </c>
      <c r="B972" s="83" t="s">
        <v>4950</v>
      </c>
      <c r="C972" s="81" t="s">
        <v>4086</v>
      </c>
      <c r="D972" s="83" t="s">
        <v>4530</v>
      </c>
      <c r="E972" s="81" t="s">
        <v>2475</v>
      </c>
      <c r="F972" s="84">
        <v>477.0</v>
      </c>
      <c r="G972" s="81" t="s">
        <v>39</v>
      </c>
      <c r="H972" s="81" t="s">
        <v>5859</v>
      </c>
      <c r="I972" s="81" t="s">
        <v>2483</v>
      </c>
      <c r="J972" s="81" t="s">
        <v>224</v>
      </c>
    </row>
    <row r="973" hidden="1">
      <c r="A973" s="83" t="s">
        <v>4949</v>
      </c>
      <c r="B973" s="83" t="s">
        <v>4950</v>
      </c>
      <c r="C973" s="81" t="s">
        <v>4086</v>
      </c>
      <c r="D973" s="83" t="s">
        <v>4530</v>
      </c>
      <c r="E973" s="81" t="s">
        <v>2475</v>
      </c>
      <c r="F973" s="84">
        <v>477.0</v>
      </c>
      <c r="G973" s="81" t="s">
        <v>40</v>
      </c>
      <c r="H973" s="81" t="s">
        <v>5860</v>
      </c>
      <c r="I973" s="81" t="s">
        <v>2484</v>
      </c>
      <c r="J973" s="81" t="s">
        <v>224</v>
      </c>
    </row>
    <row r="974" hidden="1">
      <c r="A974" s="83" t="s">
        <v>4949</v>
      </c>
      <c r="B974" s="83" t="s">
        <v>4950</v>
      </c>
      <c r="C974" s="81" t="s">
        <v>4086</v>
      </c>
      <c r="D974" s="83" t="s">
        <v>4531</v>
      </c>
      <c r="E974" s="81" t="s">
        <v>2489</v>
      </c>
      <c r="F974" s="84">
        <v>478.0</v>
      </c>
      <c r="G974" s="81" t="s">
        <v>39</v>
      </c>
      <c r="H974" s="81" t="s">
        <v>5861</v>
      </c>
      <c r="I974" s="81" t="s">
        <v>2497</v>
      </c>
      <c r="J974" s="81" t="s">
        <v>224</v>
      </c>
    </row>
    <row r="975" hidden="1">
      <c r="A975" s="83" t="s">
        <v>4949</v>
      </c>
      <c r="B975" s="83" t="s">
        <v>4950</v>
      </c>
      <c r="C975" s="81" t="s">
        <v>4086</v>
      </c>
      <c r="D975" s="83" t="s">
        <v>4531</v>
      </c>
      <c r="E975" s="81" t="s">
        <v>2489</v>
      </c>
      <c r="F975" s="84">
        <v>478.0</v>
      </c>
      <c r="G975" s="81" t="s">
        <v>40</v>
      </c>
      <c r="H975" s="81" t="s">
        <v>5862</v>
      </c>
      <c r="I975" s="81" t="s">
        <v>2498</v>
      </c>
      <c r="J975" s="81" t="s">
        <v>224</v>
      </c>
    </row>
    <row r="976" hidden="1">
      <c r="A976" s="83" t="s">
        <v>4949</v>
      </c>
      <c r="B976" s="83" t="s">
        <v>4950</v>
      </c>
      <c r="C976" s="81" t="s">
        <v>4086</v>
      </c>
      <c r="D976" s="83" t="s">
        <v>4532</v>
      </c>
      <c r="E976" s="81" t="s">
        <v>2504</v>
      </c>
      <c r="F976" s="84">
        <v>479.0</v>
      </c>
      <c r="G976" s="81" t="s">
        <v>39</v>
      </c>
      <c r="H976" s="81" t="s">
        <v>5863</v>
      </c>
      <c r="I976" s="81" t="s">
        <v>2508</v>
      </c>
      <c r="J976" s="81" t="s">
        <v>224</v>
      </c>
    </row>
    <row r="977" hidden="1">
      <c r="A977" s="83" t="s">
        <v>4949</v>
      </c>
      <c r="B977" s="83" t="s">
        <v>4950</v>
      </c>
      <c r="C977" s="81" t="s">
        <v>4086</v>
      </c>
      <c r="D977" s="83" t="s">
        <v>4532</v>
      </c>
      <c r="E977" s="81" t="s">
        <v>2504</v>
      </c>
      <c r="F977" s="84">
        <v>479.0</v>
      </c>
      <c r="G977" s="81" t="s">
        <v>40</v>
      </c>
      <c r="H977" s="81" t="s">
        <v>5864</v>
      </c>
      <c r="I977" s="81" t="s">
        <v>2509</v>
      </c>
      <c r="J977" s="81" t="s">
        <v>224</v>
      </c>
    </row>
    <row r="978" hidden="1">
      <c r="A978" s="83" t="s">
        <v>4949</v>
      </c>
      <c r="B978" s="83" t="s">
        <v>4950</v>
      </c>
      <c r="C978" s="81" t="s">
        <v>4086</v>
      </c>
      <c r="D978" s="83" t="s">
        <v>4532</v>
      </c>
      <c r="E978" s="81" t="s">
        <v>2504</v>
      </c>
      <c r="F978" s="84">
        <v>479.0</v>
      </c>
      <c r="G978" s="81" t="s">
        <v>43</v>
      </c>
      <c r="H978" s="81" t="s">
        <v>2512</v>
      </c>
      <c r="I978" s="81" t="s">
        <v>5865</v>
      </c>
      <c r="J978" s="81" t="s">
        <v>224</v>
      </c>
    </row>
    <row r="979" hidden="1">
      <c r="A979" s="83" t="s">
        <v>4949</v>
      </c>
      <c r="B979" s="83" t="s">
        <v>4950</v>
      </c>
      <c r="C979" s="81" t="s">
        <v>4086</v>
      </c>
      <c r="D979" s="83" t="s">
        <v>4532</v>
      </c>
      <c r="E979" s="81" t="s">
        <v>2515</v>
      </c>
      <c r="F979" s="84">
        <v>480.0</v>
      </c>
      <c r="G979" s="81" t="s">
        <v>39</v>
      </c>
      <c r="H979" s="81" t="s">
        <v>5863</v>
      </c>
      <c r="I979" s="81" t="s">
        <v>2508</v>
      </c>
      <c r="J979" s="81" t="s">
        <v>224</v>
      </c>
    </row>
    <row r="980" hidden="1">
      <c r="A980" s="83" t="s">
        <v>4949</v>
      </c>
      <c r="B980" s="83" t="s">
        <v>4950</v>
      </c>
      <c r="C980" s="81" t="s">
        <v>4086</v>
      </c>
      <c r="D980" s="83" t="s">
        <v>4532</v>
      </c>
      <c r="E980" s="81" t="s">
        <v>2515</v>
      </c>
      <c r="F980" s="84">
        <v>480.0</v>
      </c>
      <c r="G980" s="81" t="s">
        <v>40</v>
      </c>
      <c r="H980" s="81" t="s">
        <v>5864</v>
      </c>
      <c r="I980" s="81" t="s">
        <v>2509</v>
      </c>
      <c r="J980" s="81" t="s">
        <v>224</v>
      </c>
    </row>
    <row r="981" hidden="1">
      <c r="A981" s="83" t="s">
        <v>4949</v>
      </c>
      <c r="B981" s="83" t="s">
        <v>4950</v>
      </c>
      <c r="C981" s="81" t="s">
        <v>4086</v>
      </c>
      <c r="D981" s="83" t="s">
        <v>4532</v>
      </c>
      <c r="E981" s="81" t="s">
        <v>2515</v>
      </c>
      <c r="F981" s="84">
        <v>480.0</v>
      </c>
      <c r="G981" s="81" t="s">
        <v>43</v>
      </c>
      <c r="H981" s="81" t="s">
        <v>2512</v>
      </c>
      <c r="I981" s="81" t="s">
        <v>5865</v>
      </c>
      <c r="J981" s="81" t="s">
        <v>224</v>
      </c>
    </row>
    <row r="982" hidden="1">
      <c r="A982" s="83" t="s">
        <v>4949</v>
      </c>
      <c r="B982" s="83" t="s">
        <v>4950</v>
      </c>
      <c r="C982" s="81" t="s">
        <v>4086</v>
      </c>
      <c r="D982" s="83" t="s">
        <v>4534</v>
      </c>
      <c r="E982" s="81" t="s">
        <v>2516</v>
      </c>
      <c r="F982" s="84">
        <v>481.0</v>
      </c>
      <c r="G982" s="81" t="s">
        <v>39</v>
      </c>
      <c r="H982" s="81" t="s">
        <v>5866</v>
      </c>
      <c r="I982" s="81" t="s">
        <v>2517</v>
      </c>
      <c r="J982" s="81" t="s">
        <v>224</v>
      </c>
    </row>
    <row r="983" hidden="1">
      <c r="A983" s="83" t="s">
        <v>4949</v>
      </c>
      <c r="B983" s="83" t="s">
        <v>4950</v>
      </c>
      <c r="C983" s="81" t="s">
        <v>4086</v>
      </c>
      <c r="D983" s="83" t="s">
        <v>4534</v>
      </c>
      <c r="E983" s="81" t="s">
        <v>2516</v>
      </c>
      <c r="F983" s="84">
        <v>481.0</v>
      </c>
      <c r="G983" s="81" t="s">
        <v>40</v>
      </c>
      <c r="H983" s="81" t="s">
        <v>5867</v>
      </c>
      <c r="I983" s="81" t="s">
        <v>2518</v>
      </c>
      <c r="J983" s="81" t="s">
        <v>224</v>
      </c>
    </row>
    <row r="984" hidden="1">
      <c r="A984" s="83" t="s">
        <v>4949</v>
      </c>
      <c r="B984" s="83" t="s">
        <v>4950</v>
      </c>
      <c r="C984" s="81" t="s">
        <v>5141</v>
      </c>
      <c r="D984" s="83" t="s">
        <v>4534</v>
      </c>
      <c r="E984" s="81" t="s">
        <v>2516</v>
      </c>
      <c r="F984" s="84">
        <v>481.0</v>
      </c>
      <c r="G984" s="81" t="s">
        <v>43</v>
      </c>
      <c r="H984" s="81" t="s">
        <v>2512</v>
      </c>
      <c r="I984" s="81" t="s">
        <v>224</v>
      </c>
      <c r="J984" s="81" t="s">
        <v>5143</v>
      </c>
    </row>
    <row r="985" hidden="1">
      <c r="A985" s="83" t="s">
        <v>4949</v>
      </c>
      <c r="B985" s="83" t="s">
        <v>4950</v>
      </c>
      <c r="C985" s="81" t="s">
        <v>4086</v>
      </c>
      <c r="D985" s="83" t="s">
        <v>4535</v>
      </c>
      <c r="E985" s="81" t="s">
        <v>2519</v>
      </c>
      <c r="F985" s="84">
        <v>482.0</v>
      </c>
      <c r="G985" s="81" t="s">
        <v>39</v>
      </c>
      <c r="H985" s="81" t="s">
        <v>5868</v>
      </c>
      <c r="I985" s="81" t="s">
        <v>2522</v>
      </c>
      <c r="J985" s="81" t="s">
        <v>224</v>
      </c>
    </row>
    <row r="986" hidden="1">
      <c r="A986" s="83" t="s">
        <v>4949</v>
      </c>
      <c r="B986" s="83" t="s">
        <v>4950</v>
      </c>
      <c r="C986" s="81" t="s">
        <v>4086</v>
      </c>
      <c r="D986" s="83" t="s">
        <v>4535</v>
      </c>
      <c r="E986" s="81" t="s">
        <v>2519</v>
      </c>
      <c r="F986" s="84">
        <v>482.0</v>
      </c>
      <c r="G986" s="81" t="s">
        <v>40</v>
      </c>
      <c r="H986" s="81" t="s">
        <v>5869</v>
      </c>
      <c r="I986" s="81" t="s">
        <v>2523</v>
      </c>
      <c r="J986" s="81" t="s">
        <v>224</v>
      </c>
    </row>
    <row r="987" hidden="1">
      <c r="A987" s="83" t="s">
        <v>4949</v>
      </c>
      <c r="B987" s="83" t="s">
        <v>4950</v>
      </c>
      <c r="C987" s="81" t="s">
        <v>4086</v>
      </c>
      <c r="D987" s="83" t="s">
        <v>4535</v>
      </c>
      <c r="E987" s="81" t="s">
        <v>2529</v>
      </c>
      <c r="F987" s="84">
        <v>483.0</v>
      </c>
      <c r="G987" s="81" t="s">
        <v>39</v>
      </c>
      <c r="H987" s="81" t="s">
        <v>5868</v>
      </c>
      <c r="I987" s="81" t="s">
        <v>2522</v>
      </c>
      <c r="J987" s="81" t="s">
        <v>224</v>
      </c>
    </row>
    <row r="988" hidden="1">
      <c r="A988" s="83" t="s">
        <v>4949</v>
      </c>
      <c r="B988" s="83" t="s">
        <v>4950</v>
      </c>
      <c r="C988" s="81" t="s">
        <v>4086</v>
      </c>
      <c r="D988" s="83" t="s">
        <v>4535</v>
      </c>
      <c r="E988" s="81" t="s">
        <v>2529</v>
      </c>
      <c r="F988" s="84">
        <v>483.0</v>
      </c>
      <c r="G988" s="81" t="s">
        <v>40</v>
      </c>
      <c r="H988" s="81" t="s">
        <v>5869</v>
      </c>
      <c r="I988" s="81" t="s">
        <v>2523</v>
      </c>
      <c r="J988" s="81" t="s">
        <v>224</v>
      </c>
    </row>
    <row r="989" hidden="1">
      <c r="A989" s="83" t="s">
        <v>4949</v>
      </c>
      <c r="B989" s="83" t="s">
        <v>4950</v>
      </c>
      <c r="C989" s="81" t="s">
        <v>4086</v>
      </c>
      <c r="D989" s="83" t="s">
        <v>4537</v>
      </c>
      <c r="E989" s="81" t="s">
        <v>2530</v>
      </c>
      <c r="F989" s="84">
        <v>484.0</v>
      </c>
      <c r="G989" s="81" t="s">
        <v>39</v>
      </c>
      <c r="H989" s="81" t="s">
        <v>5870</v>
      </c>
      <c r="I989" s="81" t="s">
        <v>2531</v>
      </c>
      <c r="J989" s="81" t="s">
        <v>224</v>
      </c>
    </row>
    <row r="990" hidden="1">
      <c r="A990" s="83" t="s">
        <v>4949</v>
      </c>
      <c r="B990" s="83" t="s">
        <v>4950</v>
      </c>
      <c r="C990" s="81" t="s">
        <v>4086</v>
      </c>
      <c r="D990" s="83" t="s">
        <v>4537</v>
      </c>
      <c r="E990" s="81" t="s">
        <v>2530</v>
      </c>
      <c r="F990" s="84">
        <v>484.0</v>
      </c>
      <c r="G990" s="81" t="s">
        <v>40</v>
      </c>
      <c r="H990" s="81" t="s">
        <v>5871</v>
      </c>
      <c r="I990" s="81" t="s">
        <v>2532</v>
      </c>
      <c r="J990" s="81" t="s">
        <v>224</v>
      </c>
    </row>
    <row r="991" hidden="1">
      <c r="A991" s="83" t="s">
        <v>4949</v>
      </c>
      <c r="B991" s="83" t="s">
        <v>4950</v>
      </c>
      <c r="C991" s="81" t="s">
        <v>4086</v>
      </c>
      <c r="D991" s="83" t="s">
        <v>4538</v>
      </c>
      <c r="E991" s="81" t="s">
        <v>2533</v>
      </c>
      <c r="F991" s="84">
        <v>485.0</v>
      </c>
      <c r="G991" s="81" t="s">
        <v>39</v>
      </c>
      <c r="H991" s="81" t="s">
        <v>5872</v>
      </c>
      <c r="I991" s="81" t="s">
        <v>2541</v>
      </c>
      <c r="J991" s="81" t="s">
        <v>224</v>
      </c>
    </row>
    <row r="992" hidden="1">
      <c r="A992" s="83" t="s">
        <v>4949</v>
      </c>
      <c r="B992" s="83" t="s">
        <v>4950</v>
      </c>
      <c r="C992" s="81" t="s">
        <v>4086</v>
      </c>
      <c r="D992" s="83" t="s">
        <v>4538</v>
      </c>
      <c r="E992" s="81" t="s">
        <v>2533</v>
      </c>
      <c r="F992" s="84">
        <v>485.0</v>
      </c>
      <c r="G992" s="81" t="s">
        <v>40</v>
      </c>
      <c r="H992" s="81" t="s">
        <v>5873</v>
      </c>
      <c r="I992" s="81" t="s">
        <v>2542</v>
      </c>
      <c r="J992" s="81" t="s">
        <v>224</v>
      </c>
    </row>
    <row r="993" hidden="1">
      <c r="A993" s="83" t="s">
        <v>4949</v>
      </c>
      <c r="B993" s="83" t="s">
        <v>4950</v>
      </c>
      <c r="C993" s="81" t="s">
        <v>4086</v>
      </c>
      <c r="D993" s="83" t="s">
        <v>4538</v>
      </c>
      <c r="E993" s="81" t="s">
        <v>2548</v>
      </c>
      <c r="F993" s="84">
        <v>486.0</v>
      </c>
      <c r="G993" s="81" t="s">
        <v>40</v>
      </c>
      <c r="H993" s="81" t="s">
        <v>5873</v>
      </c>
      <c r="I993" s="81" t="s">
        <v>2542</v>
      </c>
      <c r="J993" s="81" t="s">
        <v>224</v>
      </c>
    </row>
    <row r="994" hidden="1">
      <c r="A994" s="83" t="s">
        <v>4949</v>
      </c>
      <c r="B994" s="83" t="s">
        <v>4950</v>
      </c>
      <c r="C994" s="81" t="s">
        <v>4086</v>
      </c>
      <c r="D994" s="83" t="s">
        <v>4540</v>
      </c>
      <c r="E994" s="81" t="s">
        <v>2549</v>
      </c>
      <c r="F994" s="84">
        <v>487.0</v>
      </c>
      <c r="G994" s="81" t="s">
        <v>40</v>
      </c>
      <c r="H994" s="81" t="s">
        <v>5874</v>
      </c>
      <c r="I994" s="81" t="s">
        <v>5875</v>
      </c>
      <c r="J994" s="81" t="s">
        <v>224</v>
      </c>
    </row>
    <row r="995" hidden="1">
      <c r="A995" s="83" t="s">
        <v>4949</v>
      </c>
      <c r="B995" s="83" t="s">
        <v>4950</v>
      </c>
      <c r="C995" s="81" t="s">
        <v>4086</v>
      </c>
      <c r="D995" s="83" t="s">
        <v>4540</v>
      </c>
      <c r="E995" s="81" t="s">
        <v>2562</v>
      </c>
      <c r="F995" s="84">
        <v>488.0</v>
      </c>
      <c r="G995" s="81" t="s">
        <v>39</v>
      </c>
      <c r="H995" s="81" t="s">
        <v>5876</v>
      </c>
      <c r="I995" s="81" t="s">
        <v>2555</v>
      </c>
      <c r="J995" s="81" t="s">
        <v>224</v>
      </c>
    </row>
    <row r="996" hidden="1">
      <c r="A996" s="83" t="s">
        <v>4949</v>
      </c>
      <c r="B996" s="83" t="s">
        <v>4950</v>
      </c>
      <c r="C996" s="81" t="s">
        <v>4086</v>
      </c>
      <c r="D996" s="83" t="s">
        <v>4540</v>
      </c>
      <c r="E996" s="81" t="s">
        <v>2562</v>
      </c>
      <c r="F996" s="84">
        <v>488.0</v>
      </c>
      <c r="G996" s="81" t="s">
        <v>40</v>
      </c>
      <c r="H996" s="81" t="s">
        <v>5877</v>
      </c>
      <c r="I996" s="81" t="s">
        <v>5875</v>
      </c>
      <c r="J996" s="81" t="s">
        <v>224</v>
      </c>
    </row>
    <row r="997" hidden="1">
      <c r="A997" s="83" t="s">
        <v>4949</v>
      </c>
      <c r="B997" s="83" t="s">
        <v>4950</v>
      </c>
      <c r="C997" s="81" t="s">
        <v>4086</v>
      </c>
      <c r="D997" s="83" t="s">
        <v>4543</v>
      </c>
      <c r="E997" s="81" t="s">
        <v>2563</v>
      </c>
      <c r="F997" s="84">
        <v>489.0</v>
      </c>
      <c r="G997" s="81" t="s">
        <v>39</v>
      </c>
      <c r="H997" s="81" t="s">
        <v>5878</v>
      </c>
      <c r="I997" s="81" t="s">
        <v>2564</v>
      </c>
      <c r="J997" s="81" t="s">
        <v>224</v>
      </c>
    </row>
    <row r="998" hidden="1">
      <c r="A998" s="83" t="s">
        <v>4949</v>
      </c>
      <c r="B998" s="83" t="s">
        <v>4950</v>
      </c>
      <c r="C998" s="81" t="s">
        <v>4086</v>
      </c>
      <c r="D998" s="83" t="s">
        <v>4543</v>
      </c>
      <c r="E998" s="81" t="s">
        <v>2563</v>
      </c>
      <c r="F998" s="84">
        <v>489.0</v>
      </c>
      <c r="G998" s="81" t="s">
        <v>40</v>
      </c>
      <c r="H998" s="81" t="s">
        <v>5879</v>
      </c>
      <c r="I998" s="81" t="s">
        <v>5880</v>
      </c>
      <c r="J998" s="81" t="s">
        <v>224</v>
      </c>
    </row>
    <row r="999" hidden="1">
      <c r="A999" s="83" t="s">
        <v>4949</v>
      </c>
      <c r="B999" s="83" t="s">
        <v>4950</v>
      </c>
      <c r="C999" s="81" t="s">
        <v>4086</v>
      </c>
      <c r="D999" s="83" t="s">
        <v>4544</v>
      </c>
      <c r="E999" s="81" t="s">
        <v>2566</v>
      </c>
      <c r="F999" s="84">
        <v>490.0</v>
      </c>
      <c r="G999" s="81" t="s">
        <v>39</v>
      </c>
      <c r="H999" s="81" t="s">
        <v>5881</v>
      </c>
      <c r="I999" s="81" t="s">
        <v>2568</v>
      </c>
      <c r="J999" s="81" t="s">
        <v>224</v>
      </c>
    </row>
    <row r="1000" hidden="1">
      <c r="A1000" s="83" t="s">
        <v>4949</v>
      </c>
      <c r="B1000" s="83" t="s">
        <v>4950</v>
      </c>
      <c r="C1000" s="81" t="s">
        <v>4086</v>
      </c>
      <c r="D1000" s="83" t="s">
        <v>4544</v>
      </c>
      <c r="E1000" s="81" t="s">
        <v>2566</v>
      </c>
      <c r="F1000" s="84">
        <v>490.0</v>
      </c>
      <c r="G1000" s="81" t="s">
        <v>40</v>
      </c>
      <c r="H1000" s="81" t="s">
        <v>5882</v>
      </c>
      <c r="I1000" s="81" t="s">
        <v>2569</v>
      </c>
      <c r="J1000" s="81" t="s">
        <v>224</v>
      </c>
    </row>
    <row r="1001" hidden="1">
      <c r="A1001" s="83" t="s">
        <v>4949</v>
      </c>
      <c r="B1001" s="83" t="s">
        <v>4950</v>
      </c>
      <c r="C1001" s="81" t="s">
        <v>4086</v>
      </c>
      <c r="D1001" s="83" t="s">
        <v>4544</v>
      </c>
      <c r="E1001" s="81" t="s">
        <v>2573</v>
      </c>
      <c r="F1001" s="84">
        <v>491.0</v>
      </c>
      <c r="G1001" s="81" t="s">
        <v>39</v>
      </c>
      <c r="H1001" s="81" t="s">
        <v>5883</v>
      </c>
      <c r="I1001" s="81" t="s">
        <v>2568</v>
      </c>
      <c r="J1001" s="81" t="s">
        <v>224</v>
      </c>
    </row>
    <row r="1002" hidden="1">
      <c r="A1002" s="83" t="s">
        <v>4949</v>
      </c>
      <c r="B1002" s="83" t="s">
        <v>4950</v>
      </c>
      <c r="C1002" s="81" t="s">
        <v>4086</v>
      </c>
      <c r="D1002" s="83" t="s">
        <v>4544</v>
      </c>
      <c r="E1002" s="81" t="s">
        <v>2573</v>
      </c>
      <c r="F1002" s="84">
        <v>491.0</v>
      </c>
      <c r="G1002" s="81" t="s">
        <v>40</v>
      </c>
      <c r="H1002" s="81" t="s">
        <v>5881</v>
      </c>
      <c r="I1002" s="81" t="s">
        <v>2569</v>
      </c>
      <c r="J1002" s="81" t="s">
        <v>224</v>
      </c>
    </row>
    <row r="1003" hidden="1">
      <c r="A1003" s="83" t="s">
        <v>4949</v>
      </c>
      <c r="B1003" s="83" t="s">
        <v>4950</v>
      </c>
      <c r="C1003" s="81" t="s">
        <v>4086</v>
      </c>
      <c r="D1003" s="83" t="s">
        <v>4546</v>
      </c>
      <c r="E1003" s="81" t="s">
        <v>2574</v>
      </c>
      <c r="F1003" s="84">
        <v>492.0</v>
      </c>
      <c r="G1003" s="81" t="s">
        <v>39</v>
      </c>
      <c r="H1003" s="81" t="s">
        <v>5884</v>
      </c>
      <c r="I1003" s="81" t="s">
        <v>2575</v>
      </c>
      <c r="J1003" s="81" t="s">
        <v>224</v>
      </c>
    </row>
    <row r="1004" hidden="1">
      <c r="A1004" s="83" t="s">
        <v>4949</v>
      </c>
      <c r="B1004" s="83" t="s">
        <v>4950</v>
      </c>
      <c r="C1004" s="81" t="s">
        <v>4086</v>
      </c>
      <c r="D1004" s="83" t="s">
        <v>4546</v>
      </c>
      <c r="E1004" s="81" t="s">
        <v>2574</v>
      </c>
      <c r="F1004" s="84">
        <v>492.0</v>
      </c>
      <c r="G1004" s="81" t="s">
        <v>40</v>
      </c>
      <c r="H1004" s="81" t="s">
        <v>5885</v>
      </c>
      <c r="I1004" s="81" t="s">
        <v>5886</v>
      </c>
      <c r="J1004" s="81" t="s">
        <v>224</v>
      </c>
    </row>
    <row r="1005" hidden="1">
      <c r="A1005" s="83" t="s">
        <v>4949</v>
      </c>
      <c r="B1005" s="83" t="s">
        <v>4950</v>
      </c>
      <c r="C1005" s="81" t="s">
        <v>4086</v>
      </c>
      <c r="D1005" s="83" t="s">
        <v>4547</v>
      </c>
      <c r="E1005" s="81" t="s">
        <v>2577</v>
      </c>
      <c r="F1005" s="84">
        <v>493.0</v>
      </c>
      <c r="G1005" s="81" t="s">
        <v>40</v>
      </c>
      <c r="H1005" s="81" t="s">
        <v>49</v>
      </c>
      <c r="I1005" s="81" t="s">
        <v>2580</v>
      </c>
      <c r="J1005" s="81" t="s">
        <v>224</v>
      </c>
    </row>
    <row r="1006" hidden="1">
      <c r="A1006" s="83" t="s">
        <v>4949</v>
      </c>
      <c r="B1006" s="83" t="s">
        <v>4950</v>
      </c>
      <c r="C1006" s="81" t="s">
        <v>4086</v>
      </c>
      <c r="D1006" s="83" t="s">
        <v>4548</v>
      </c>
      <c r="E1006" s="81" t="s">
        <v>2585</v>
      </c>
      <c r="F1006" s="84">
        <v>494.0</v>
      </c>
      <c r="G1006" s="81" t="s">
        <v>40</v>
      </c>
      <c r="H1006" s="81" t="s">
        <v>49</v>
      </c>
      <c r="I1006" s="81" t="s">
        <v>2587</v>
      </c>
      <c r="J1006" s="81" t="s">
        <v>224</v>
      </c>
    </row>
    <row r="1007" hidden="1">
      <c r="A1007" s="83" t="s">
        <v>4949</v>
      </c>
      <c r="B1007" s="83" t="s">
        <v>4950</v>
      </c>
      <c r="C1007" s="81" t="s">
        <v>4086</v>
      </c>
      <c r="D1007" s="83" t="s">
        <v>4549</v>
      </c>
      <c r="E1007" s="81" t="s">
        <v>2588</v>
      </c>
      <c r="F1007" s="84">
        <v>495.0</v>
      </c>
      <c r="G1007" s="81" t="s">
        <v>40</v>
      </c>
      <c r="H1007" s="81" t="s">
        <v>5887</v>
      </c>
      <c r="I1007" s="81" t="s">
        <v>2590</v>
      </c>
      <c r="J1007" s="81" t="s">
        <v>224</v>
      </c>
    </row>
    <row r="1008" hidden="1">
      <c r="A1008" s="83" t="s">
        <v>4949</v>
      </c>
      <c r="B1008" s="83" t="s">
        <v>4950</v>
      </c>
      <c r="C1008" s="81" t="s">
        <v>4086</v>
      </c>
      <c r="D1008" s="83" t="s">
        <v>4550</v>
      </c>
      <c r="E1008" s="81" t="s">
        <v>2591</v>
      </c>
      <c r="F1008" s="84">
        <v>496.0</v>
      </c>
      <c r="G1008" s="81" t="s">
        <v>39</v>
      </c>
      <c r="H1008" s="81" t="s">
        <v>5888</v>
      </c>
      <c r="I1008" s="81" t="s">
        <v>2592</v>
      </c>
      <c r="J1008" s="81" t="s">
        <v>224</v>
      </c>
    </row>
    <row r="1009" hidden="1">
      <c r="A1009" s="83" t="s">
        <v>4949</v>
      </c>
      <c r="B1009" s="83" t="s">
        <v>4950</v>
      </c>
      <c r="C1009" s="81" t="s">
        <v>4086</v>
      </c>
      <c r="D1009" s="83" t="s">
        <v>4550</v>
      </c>
      <c r="E1009" s="81" t="s">
        <v>2591</v>
      </c>
      <c r="F1009" s="84">
        <v>496.0</v>
      </c>
      <c r="G1009" s="81" t="s">
        <v>40</v>
      </c>
      <c r="H1009" s="81" t="s">
        <v>5889</v>
      </c>
      <c r="I1009" s="81" t="s">
        <v>5890</v>
      </c>
      <c r="J1009" s="81" t="s">
        <v>224</v>
      </c>
    </row>
    <row r="1010" hidden="1">
      <c r="A1010" s="83" t="s">
        <v>4949</v>
      </c>
      <c r="B1010" s="83" t="s">
        <v>4950</v>
      </c>
      <c r="C1010" s="81" t="s">
        <v>5141</v>
      </c>
      <c r="D1010" s="83" t="s">
        <v>4551</v>
      </c>
      <c r="E1010" s="81" t="s">
        <v>2594</v>
      </c>
      <c r="F1010" s="84">
        <v>497.0</v>
      </c>
      <c r="G1010" s="81" t="s">
        <v>40</v>
      </c>
      <c r="H1010" s="81" t="s">
        <v>49</v>
      </c>
      <c r="I1010" s="81" t="s">
        <v>224</v>
      </c>
      <c r="J1010" s="81" t="s">
        <v>5143</v>
      </c>
    </row>
    <row r="1011" hidden="1">
      <c r="A1011" s="83" t="s">
        <v>4949</v>
      </c>
      <c r="B1011" s="83" t="s">
        <v>4950</v>
      </c>
      <c r="C1011" s="81" t="s">
        <v>4086</v>
      </c>
      <c r="D1011" s="83" t="s">
        <v>4552</v>
      </c>
      <c r="E1011" s="81" t="s">
        <v>2596</v>
      </c>
      <c r="F1011" s="84">
        <v>498.0</v>
      </c>
      <c r="G1011" s="81" t="s">
        <v>39</v>
      </c>
      <c r="H1011" s="81" t="s">
        <v>5888</v>
      </c>
      <c r="I1011" s="81" t="s">
        <v>2597</v>
      </c>
      <c r="J1011" s="81" t="s">
        <v>224</v>
      </c>
    </row>
    <row r="1012" hidden="1">
      <c r="A1012" s="83" t="s">
        <v>4949</v>
      </c>
      <c r="B1012" s="83" t="s">
        <v>4950</v>
      </c>
      <c r="C1012" s="81" t="s">
        <v>5141</v>
      </c>
      <c r="D1012" s="83" t="s">
        <v>4552</v>
      </c>
      <c r="E1012" s="81" t="s">
        <v>2596</v>
      </c>
      <c r="F1012" s="84">
        <v>498.0</v>
      </c>
      <c r="G1012" s="81" t="s">
        <v>40</v>
      </c>
      <c r="H1012" s="81" t="s">
        <v>5889</v>
      </c>
      <c r="I1012" s="81" t="s">
        <v>224</v>
      </c>
      <c r="J1012" s="81" t="s">
        <v>5143</v>
      </c>
    </row>
    <row r="1013" hidden="1">
      <c r="A1013" s="83" t="s">
        <v>4949</v>
      </c>
      <c r="B1013" s="83" t="s">
        <v>4950</v>
      </c>
      <c r="C1013" s="81" t="s">
        <v>4086</v>
      </c>
      <c r="D1013" s="83" t="s">
        <v>4553</v>
      </c>
      <c r="E1013" s="81" t="s">
        <v>2598</v>
      </c>
      <c r="F1013" s="84">
        <v>499.0</v>
      </c>
      <c r="G1013" s="81" t="s">
        <v>39</v>
      </c>
      <c r="H1013" s="81" t="s">
        <v>5891</v>
      </c>
      <c r="I1013" s="81" t="s">
        <v>2602</v>
      </c>
      <c r="J1013" s="81" t="s">
        <v>224</v>
      </c>
    </row>
    <row r="1014" hidden="1">
      <c r="A1014" s="83" t="s">
        <v>4949</v>
      </c>
      <c r="B1014" s="83" t="s">
        <v>4950</v>
      </c>
      <c r="C1014" s="81" t="s">
        <v>4086</v>
      </c>
      <c r="D1014" s="83" t="s">
        <v>4553</v>
      </c>
      <c r="E1014" s="81" t="s">
        <v>2598</v>
      </c>
      <c r="F1014" s="84">
        <v>499.0</v>
      </c>
      <c r="G1014" s="81" t="s">
        <v>40</v>
      </c>
      <c r="H1014" s="81" t="s">
        <v>5892</v>
      </c>
      <c r="I1014" s="81" t="s">
        <v>2603</v>
      </c>
      <c r="J1014" s="81" t="s">
        <v>224</v>
      </c>
    </row>
    <row r="1015" hidden="1">
      <c r="A1015" s="83" t="s">
        <v>4949</v>
      </c>
      <c r="B1015" s="83" t="s">
        <v>4950</v>
      </c>
      <c r="C1015" s="81" t="s">
        <v>4086</v>
      </c>
      <c r="D1015" s="83" t="s">
        <v>4553</v>
      </c>
      <c r="E1015" s="81" t="s">
        <v>2608</v>
      </c>
      <c r="F1015" s="84">
        <v>500.0</v>
      </c>
      <c r="G1015" s="81" t="s">
        <v>40</v>
      </c>
      <c r="H1015" s="81" t="s">
        <v>49</v>
      </c>
      <c r="I1015" s="81" t="s">
        <v>2603</v>
      </c>
      <c r="J1015" s="81" t="s">
        <v>224</v>
      </c>
    </row>
    <row r="1016" hidden="1">
      <c r="A1016" s="83" t="s">
        <v>4949</v>
      </c>
      <c r="B1016" s="83" t="s">
        <v>4950</v>
      </c>
      <c r="C1016" s="81" t="s">
        <v>4086</v>
      </c>
      <c r="D1016" s="83" t="s">
        <v>4555</v>
      </c>
      <c r="E1016" s="81" t="s">
        <v>2610</v>
      </c>
      <c r="F1016" s="84">
        <v>501.0</v>
      </c>
      <c r="G1016" s="81" t="s">
        <v>40</v>
      </c>
      <c r="H1016" s="81" t="s">
        <v>49</v>
      </c>
      <c r="I1016" s="81" t="s">
        <v>2612</v>
      </c>
      <c r="J1016" s="81" t="s">
        <v>224</v>
      </c>
    </row>
    <row r="1017" hidden="1">
      <c r="A1017" s="83" t="s">
        <v>4949</v>
      </c>
      <c r="B1017" s="83" t="s">
        <v>4950</v>
      </c>
      <c r="C1017" s="81" t="s">
        <v>4086</v>
      </c>
      <c r="D1017" s="83" t="s">
        <v>4556</v>
      </c>
      <c r="E1017" s="81" t="s">
        <v>2613</v>
      </c>
      <c r="F1017" s="84">
        <v>502.0</v>
      </c>
      <c r="G1017" s="81" t="s">
        <v>40</v>
      </c>
      <c r="H1017" s="81" t="s">
        <v>5893</v>
      </c>
      <c r="I1017" s="81" t="s">
        <v>2615</v>
      </c>
      <c r="J1017" s="81" t="s">
        <v>224</v>
      </c>
    </row>
    <row r="1018" hidden="1">
      <c r="A1018" s="83" t="s">
        <v>4949</v>
      </c>
      <c r="B1018" s="83" t="s">
        <v>4950</v>
      </c>
      <c r="C1018" s="81" t="s">
        <v>4086</v>
      </c>
      <c r="D1018" s="83" t="s">
        <v>4557</v>
      </c>
      <c r="E1018" s="81" t="s">
        <v>2616</v>
      </c>
      <c r="F1018" s="84">
        <v>503.0</v>
      </c>
      <c r="G1018" s="81" t="s">
        <v>40</v>
      </c>
      <c r="H1018" s="81" t="s">
        <v>5894</v>
      </c>
      <c r="I1018" s="81" t="s">
        <v>2618</v>
      </c>
      <c r="J1018" s="81" t="s">
        <v>224</v>
      </c>
    </row>
    <row r="1019" hidden="1">
      <c r="A1019" s="83" t="s">
        <v>4949</v>
      </c>
      <c r="B1019" s="83" t="s">
        <v>4950</v>
      </c>
      <c r="C1019" s="81" t="s">
        <v>4086</v>
      </c>
      <c r="D1019" s="83" t="s">
        <v>4558</v>
      </c>
      <c r="E1019" s="81" t="s">
        <v>2619</v>
      </c>
      <c r="F1019" s="84">
        <v>504.0</v>
      </c>
      <c r="G1019" s="81" t="s">
        <v>39</v>
      </c>
      <c r="H1019" s="81" t="s">
        <v>5895</v>
      </c>
      <c r="I1019" s="81" t="s">
        <v>2627</v>
      </c>
      <c r="J1019" s="81" t="s">
        <v>224</v>
      </c>
    </row>
    <row r="1020" hidden="1">
      <c r="A1020" s="83" t="s">
        <v>4949</v>
      </c>
      <c r="B1020" s="83" t="s">
        <v>4950</v>
      </c>
      <c r="C1020" s="81" t="s">
        <v>4086</v>
      </c>
      <c r="D1020" s="83" t="s">
        <v>4558</v>
      </c>
      <c r="E1020" s="81" t="s">
        <v>2619</v>
      </c>
      <c r="F1020" s="84">
        <v>504.0</v>
      </c>
      <c r="G1020" s="81" t="s">
        <v>40</v>
      </c>
      <c r="H1020" s="81" t="s">
        <v>5896</v>
      </c>
      <c r="I1020" s="81" t="s">
        <v>2628</v>
      </c>
      <c r="J1020" s="81" t="s">
        <v>224</v>
      </c>
    </row>
    <row r="1021" hidden="1">
      <c r="A1021" s="83" t="s">
        <v>4949</v>
      </c>
      <c r="B1021" s="83" t="s">
        <v>4950</v>
      </c>
      <c r="C1021" s="81" t="s">
        <v>4086</v>
      </c>
      <c r="D1021" s="83" t="s">
        <v>4558</v>
      </c>
      <c r="E1021" s="81" t="s">
        <v>2634</v>
      </c>
      <c r="F1021" s="84">
        <v>505.0</v>
      </c>
      <c r="G1021" s="81" t="s">
        <v>39</v>
      </c>
      <c r="H1021" s="81" t="s">
        <v>5895</v>
      </c>
      <c r="I1021" s="81" t="s">
        <v>2627</v>
      </c>
      <c r="J1021" s="81" t="s">
        <v>224</v>
      </c>
    </row>
    <row r="1022" hidden="1">
      <c r="A1022" s="83" t="s">
        <v>4949</v>
      </c>
      <c r="B1022" s="83" t="s">
        <v>4950</v>
      </c>
      <c r="C1022" s="81" t="s">
        <v>4086</v>
      </c>
      <c r="D1022" s="83" t="s">
        <v>4558</v>
      </c>
      <c r="E1022" s="81" t="s">
        <v>2634</v>
      </c>
      <c r="F1022" s="84">
        <v>505.0</v>
      </c>
      <c r="G1022" s="81" t="s">
        <v>40</v>
      </c>
      <c r="H1022" s="81" t="s">
        <v>5896</v>
      </c>
      <c r="I1022" s="81" t="s">
        <v>2628</v>
      </c>
      <c r="J1022" s="81" t="s">
        <v>224</v>
      </c>
    </row>
    <row r="1023" hidden="1">
      <c r="A1023" s="83" t="s">
        <v>4949</v>
      </c>
      <c r="B1023" s="83" t="s">
        <v>4950</v>
      </c>
      <c r="C1023" s="81" t="s">
        <v>4086</v>
      </c>
      <c r="D1023" s="83" t="s">
        <v>4560</v>
      </c>
      <c r="E1023" s="81" t="s">
        <v>2635</v>
      </c>
      <c r="F1023" s="84">
        <v>506.0</v>
      </c>
      <c r="G1023" s="81" t="s">
        <v>39</v>
      </c>
      <c r="H1023" s="81" t="s">
        <v>5897</v>
      </c>
      <c r="I1023" s="81" t="s">
        <v>2636</v>
      </c>
      <c r="J1023" s="81" t="s">
        <v>224</v>
      </c>
    </row>
    <row r="1024" hidden="1">
      <c r="A1024" s="83" t="s">
        <v>4949</v>
      </c>
      <c r="B1024" s="83" t="s">
        <v>4950</v>
      </c>
      <c r="C1024" s="81" t="s">
        <v>4086</v>
      </c>
      <c r="D1024" s="83" t="s">
        <v>4560</v>
      </c>
      <c r="E1024" s="81" t="s">
        <v>2635</v>
      </c>
      <c r="F1024" s="84">
        <v>506.0</v>
      </c>
      <c r="G1024" s="81" t="s">
        <v>40</v>
      </c>
      <c r="H1024" s="81" t="s">
        <v>5898</v>
      </c>
      <c r="I1024" s="81" t="s">
        <v>2637</v>
      </c>
      <c r="J1024" s="81" t="s">
        <v>224</v>
      </c>
    </row>
    <row r="1025" hidden="1">
      <c r="A1025" s="83" t="s">
        <v>4949</v>
      </c>
      <c r="B1025" s="83" t="s">
        <v>4950</v>
      </c>
      <c r="C1025" s="81" t="s">
        <v>4086</v>
      </c>
      <c r="D1025" s="83" t="s">
        <v>4561</v>
      </c>
      <c r="E1025" s="81" t="s">
        <v>2638</v>
      </c>
      <c r="F1025" s="84">
        <v>507.0</v>
      </c>
      <c r="G1025" s="81" t="s">
        <v>39</v>
      </c>
      <c r="H1025" s="81" t="s">
        <v>5899</v>
      </c>
      <c r="I1025" s="81" t="s">
        <v>2642</v>
      </c>
      <c r="J1025" s="81" t="s">
        <v>224</v>
      </c>
    </row>
    <row r="1026" hidden="1">
      <c r="A1026" s="83" t="s">
        <v>4949</v>
      </c>
      <c r="B1026" s="83" t="s">
        <v>4950</v>
      </c>
      <c r="C1026" s="81" t="s">
        <v>4086</v>
      </c>
      <c r="D1026" s="83" t="s">
        <v>4561</v>
      </c>
      <c r="E1026" s="81" t="s">
        <v>2638</v>
      </c>
      <c r="F1026" s="84">
        <v>507.0</v>
      </c>
      <c r="G1026" s="81" t="s">
        <v>40</v>
      </c>
      <c r="H1026" s="81" t="s">
        <v>5900</v>
      </c>
      <c r="I1026" s="81" t="s">
        <v>2643</v>
      </c>
      <c r="J1026" s="81" t="s">
        <v>224</v>
      </c>
    </row>
    <row r="1027" hidden="1">
      <c r="A1027" s="83" t="s">
        <v>4949</v>
      </c>
      <c r="B1027" s="83" t="s">
        <v>4950</v>
      </c>
      <c r="C1027" s="81" t="s">
        <v>4086</v>
      </c>
      <c r="D1027" s="83" t="s">
        <v>4562</v>
      </c>
      <c r="E1027" s="81" t="s">
        <v>2648</v>
      </c>
      <c r="F1027" s="84">
        <v>508.0</v>
      </c>
      <c r="G1027" s="81" t="s">
        <v>39</v>
      </c>
      <c r="H1027" s="81" t="s">
        <v>5901</v>
      </c>
      <c r="I1027" s="81" t="s">
        <v>2649</v>
      </c>
      <c r="J1027" s="81" t="s">
        <v>224</v>
      </c>
    </row>
    <row r="1028" hidden="1">
      <c r="A1028" s="83" t="s">
        <v>4949</v>
      </c>
      <c r="B1028" s="83" t="s">
        <v>4950</v>
      </c>
      <c r="C1028" s="81" t="s">
        <v>4086</v>
      </c>
      <c r="D1028" s="83" t="s">
        <v>4562</v>
      </c>
      <c r="E1028" s="81" t="s">
        <v>2648</v>
      </c>
      <c r="F1028" s="84">
        <v>508.0</v>
      </c>
      <c r="G1028" s="81" t="s">
        <v>40</v>
      </c>
      <c r="H1028" s="81" t="s">
        <v>5902</v>
      </c>
      <c r="I1028" s="81" t="s">
        <v>2650</v>
      </c>
      <c r="J1028" s="81" t="s">
        <v>224</v>
      </c>
    </row>
    <row r="1029" hidden="1">
      <c r="A1029" s="83" t="s">
        <v>4949</v>
      </c>
      <c r="B1029" s="83" t="s">
        <v>4950</v>
      </c>
      <c r="C1029" s="81" t="s">
        <v>5141</v>
      </c>
      <c r="D1029" s="83" t="s">
        <v>4563</v>
      </c>
      <c r="E1029" s="81" t="s">
        <v>2651</v>
      </c>
      <c r="F1029" s="84">
        <v>509.0</v>
      </c>
      <c r="G1029" s="81" t="s">
        <v>40</v>
      </c>
      <c r="H1029" s="81" t="s">
        <v>49</v>
      </c>
      <c r="I1029" s="81" t="s">
        <v>224</v>
      </c>
      <c r="J1029" s="81" t="s">
        <v>5143</v>
      </c>
    </row>
    <row r="1030" hidden="1">
      <c r="A1030" s="83" t="s">
        <v>4949</v>
      </c>
      <c r="B1030" s="83" t="s">
        <v>4950</v>
      </c>
      <c r="C1030" s="81" t="s">
        <v>5141</v>
      </c>
      <c r="D1030" s="83" t="s">
        <v>4564</v>
      </c>
      <c r="E1030" s="81" t="s">
        <v>2659</v>
      </c>
      <c r="F1030" s="84">
        <v>510.0</v>
      </c>
      <c r="G1030" s="81" t="s">
        <v>40</v>
      </c>
      <c r="H1030" s="81" t="s">
        <v>49</v>
      </c>
      <c r="I1030" s="81" t="s">
        <v>224</v>
      </c>
      <c r="J1030" s="81" t="s">
        <v>5143</v>
      </c>
    </row>
    <row r="1031" hidden="1">
      <c r="A1031" s="83" t="s">
        <v>4949</v>
      </c>
      <c r="B1031" s="83" t="s">
        <v>4950</v>
      </c>
      <c r="C1031" s="81" t="s">
        <v>5141</v>
      </c>
      <c r="D1031" s="83" t="s">
        <v>4565</v>
      </c>
      <c r="E1031" s="81" t="s">
        <v>2661</v>
      </c>
      <c r="F1031" s="84">
        <v>511.0</v>
      </c>
      <c r="G1031" s="81" t="s">
        <v>40</v>
      </c>
      <c r="H1031" s="81" t="s">
        <v>49</v>
      </c>
      <c r="I1031" s="81" t="s">
        <v>224</v>
      </c>
      <c r="J1031" s="81" t="s">
        <v>5143</v>
      </c>
    </row>
    <row r="1032" hidden="1">
      <c r="A1032" s="83" t="s">
        <v>4949</v>
      </c>
      <c r="B1032" s="83" t="s">
        <v>4950</v>
      </c>
      <c r="C1032" s="81" t="s">
        <v>4086</v>
      </c>
      <c r="D1032" s="83" t="s">
        <v>4566</v>
      </c>
      <c r="E1032" s="81" t="s">
        <v>2667</v>
      </c>
      <c r="F1032" s="84">
        <v>512.0</v>
      </c>
      <c r="G1032" s="81" t="s">
        <v>39</v>
      </c>
      <c r="H1032" s="81" t="s">
        <v>5884</v>
      </c>
      <c r="I1032" s="81" t="s">
        <v>2668</v>
      </c>
      <c r="J1032" s="81" t="s">
        <v>224</v>
      </c>
    </row>
    <row r="1033" hidden="1">
      <c r="A1033" s="83" t="s">
        <v>4949</v>
      </c>
      <c r="B1033" s="83" t="s">
        <v>4950</v>
      </c>
      <c r="C1033" s="81" t="s">
        <v>5141</v>
      </c>
      <c r="D1033" s="83" t="s">
        <v>4566</v>
      </c>
      <c r="E1033" s="81" t="s">
        <v>2667</v>
      </c>
      <c r="F1033" s="84">
        <v>512.0</v>
      </c>
      <c r="G1033" s="81" t="s">
        <v>40</v>
      </c>
      <c r="H1033" s="81" t="s">
        <v>5885</v>
      </c>
      <c r="I1033" s="81" t="s">
        <v>224</v>
      </c>
      <c r="J1033" s="81" t="s">
        <v>5143</v>
      </c>
    </row>
    <row r="1034" hidden="1">
      <c r="A1034" s="83" t="s">
        <v>4949</v>
      </c>
      <c r="B1034" s="83" t="s">
        <v>4950</v>
      </c>
      <c r="C1034" s="81" t="s">
        <v>5141</v>
      </c>
      <c r="D1034" s="83" t="s">
        <v>4567</v>
      </c>
      <c r="E1034" s="81" t="s">
        <v>2669</v>
      </c>
      <c r="F1034" s="84">
        <v>513.0</v>
      </c>
      <c r="G1034" s="81" t="s">
        <v>39</v>
      </c>
      <c r="H1034" s="81" t="s">
        <v>5903</v>
      </c>
      <c r="I1034" s="81" t="s">
        <v>224</v>
      </c>
      <c r="J1034" s="81" t="s">
        <v>5143</v>
      </c>
    </row>
    <row r="1035" hidden="1">
      <c r="A1035" s="83" t="s">
        <v>4949</v>
      </c>
      <c r="B1035" s="83" t="s">
        <v>4950</v>
      </c>
      <c r="C1035" s="81" t="s">
        <v>5141</v>
      </c>
      <c r="D1035" s="83" t="s">
        <v>4567</v>
      </c>
      <c r="E1035" s="81" t="s">
        <v>2669</v>
      </c>
      <c r="F1035" s="84">
        <v>513.0</v>
      </c>
      <c r="G1035" s="81" t="s">
        <v>40</v>
      </c>
      <c r="H1035" s="81" t="s">
        <v>5904</v>
      </c>
      <c r="I1035" s="81" t="s">
        <v>224</v>
      </c>
      <c r="J1035" s="81" t="s">
        <v>5143</v>
      </c>
    </row>
    <row r="1036" hidden="1">
      <c r="A1036" s="83" t="s">
        <v>4949</v>
      </c>
      <c r="B1036" s="83" t="s">
        <v>4950</v>
      </c>
      <c r="C1036" s="81" t="s">
        <v>5141</v>
      </c>
      <c r="D1036" s="83" t="s">
        <v>4567</v>
      </c>
      <c r="E1036" s="81" t="s">
        <v>2671</v>
      </c>
      <c r="F1036" s="84">
        <v>514.0</v>
      </c>
      <c r="G1036" s="81" t="s">
        <v>39</v>
      </c>
      <c r="H1036" s="81" t="s">
        <v>5903</v>
      </c>
      <c r="I1036" s="81" t="s">
        <v>224</v>
      </c>
      <c r="J1036" s="81" t="s">
        <v>5143</v>
      </c>
    </row>
    <row r="1037" hidden="1">
      <c r="A1037" s="83" t="s">
        <v>4949</v>
      </c>
      <c r="B1037" s="83" t="s">
        <v>4950</v>
      </c>
      <c r="C1037" s="81" t="s">
        <v>5141</v>
      </c>
      <c r="D1037" s="83" t="s">
        <v>4567</v>
      </c>
      <c r="E1037" s="81" t="s">
        <v>2671</v>
      </c>
      <c r="F1037" s="84">
        <v>514.0</v>
      </c>
      <c r="G1037" s="81" t="s">
        <v>40</v>
      </c>
      <c r="H1037" s="81" t="s">
        <v>5904</v>
      </c>
      <c r="I1037" s="81" t="s">
        <v>224</v>
      </c>
      <c r="J1037" s="81" t="s">
        <v>5143</v>
      </c>
    </row>
    <row r="1038" hidden="1">
      <c r="A1038" s="83" t="s">
        <v>4949</v>
      </c>
      <c r="B1038" s="83" t="s">
        <v>4950</v>
      </c>
      <c r="C1038" s="81" t="s">
        <v>5141</v>
      </c>
      <c r="D1038" s="83" t="s">
        <v>4568</v>
      </c>
      <c r="E1038" s="81" t="s">
        <v>2672</v>
      </c>
      <c r="F1038" s="84">
        <v>515.0</v>
      </c>
      <c r="G1038" s="81" t="s">
        <v>39</v>
      </c>
      <c r="H1038" s="81" t="s">
        <v>5905</v>
      </c>
      <c r="I1038" s="81" t="s">
        <v>224</v>
      </c>
      <c r="J1038" s="81" t="s">
        <v>5143</v>
      </c>
    </row>
    <row r="1039" hidden="1">
      <c r="A1039" s="83" t="s">
        <v>4949</v>
      </c>
      <c r="B1039" s="83" t="s">
        <v>4950</v>
      </c>
      <c r="C1039" s="81" t="s">
        <v>5141</v>
      </c>
      <c r="D1039" s="83" t="s">
        <v>4568</v>
      </c>
      <c r="E1039" s="81" t="s">
        <v>2672</v>
      </c>
      <c r="F1039" s="84">
        <v>515.0</v>
      </c>
      <c r="G1039" s="81" t="s">
        <v>40</v>
      </c>
      <c r="H1039" s="81" t="s">
        <v>5906</v>
      </c>
      <c r="I1039" s="81" t="s">
        <v>224</v>
      </c>
      <c r="J1039" s="81" t="s">
        <v>5143</v>
      </c>
    </row>
    <row r="1040" hidden="1">
      <c r="A1040" s="83" t="s">
        <v>4949</v>
      </c>
      <c r="B1040" s="83" t="s">
        <v>4950</v>
      </c>
      <c r="C1040" s="81" t="s">
        <v>4086</v>
      </c>
      <c r="D1040" s="83" t="s">
        <v>4569</v>
      </c>
      <c r="E1040" s="81" t="s">
        <v>2673</v>
      </c>
      <c r="F1040" s="84">
        <v>516.0</v>
      </c>
      <c r="G1040" s="81" t="s">
        <v>39</v>
      </c>
      <c r="H1040" s="81" t="s">
        <v>5907</v>
      </c>
      <c r="I1040" s="81" t="s">
        <v>2677</v>
      </c>
      <c r="J1040" s="81" t="s">
        <v>224</v>
      </c>
    </row>
    <row r="1041" hidden="1">
      <c r="A1041" s="83" t="s">
        <v>4949</v>
      </c>
      <c r="B1041" s="83" t="s">
        <v>4950</v>
      </c>
      <c r="C1041" s="81" t="s">
        <v>4086</v>
      </c>
      <c r="D1041" s="83" t="s">
        <v>4569</v>
      </c>
      <c r="E1041" s="81" t="s">
        <v>2673</v>
      </c>
      <c r="F1041" s="84">
        <v>516.0</v>
      </c>
      <c r="G1041" s="81" t="s">
        <v>40</v>
      </c>
      <c r="H1041" s="81" t="s">
        <v>5908</v>
      </c>
      <c r="I1041" s="81" t="s">
        <v>5909</v>
      </c>
      <c r="J1041" s="81" t="s">
        <v>224</v>
      </c>
    </row>
    <row r="1042" hidden="1">
      <c r="A1042" s="83" t="s">
        <v>4949</v>
      </c>
      <c r="B1042" s="83" t="s">
        <v>4950</v>
      </c>
      <c r="C1042" s="81" t="s">
        <v>4086</v>
      </c>
      <c r="D1042" s="83" t="s">
        <v>4569</v>
      </c>
      <c r="E1042" s="81" t="s">
        <v>2684</v>
      </c>
      <c r="F1042" s="84">
        <v>517.0</v>
      </c>
      <c r="G1042" s="81" t="s">
        <v>39</v>
      </c>
      <c r="H1042" s="81" t="s">
        <v>5907</v>
      </c>
      <c r="I1042" s="81" t="s">
        <v>2677</v>
      </c>
      <c r="J1042" s="81" t="s">
        <v>224</v>
      </c>
    </row>
    <row r="1043" hidden="1">
      <c r="A1043" s="83" t="s">
        <v>4949</v>
      </c>
      <c r="B1043" s="83" t="s">
        <v>4950</v>
      </c>
      <c r="C1043" s="81" t="s">
        <v>4086</v>
      </c>
      <c r="D1043" s="83" t="s">
        <v>4569</v>
      </c>
      <c r="E1043" s="81" t="s">
        <v>2684</v>
      </c>
      <c r="F1043" s="84">
        <v>517.0</v>
      </c>
      <c r="G1043" s="81" t="s">
        <v>40</v>
      </c>
      <c r="H1043" s="81" t="s">
        <v>5908</v>
      </c>
      <c r="I1043" s="81" t="s">
        <v>5909</v>
      </c>
      <c r="J1043" s="81" t="s">
        <v>224</v>
      </c>
    </row>
    <row r="1044" hidden="1">
      <c r="A1044" s="83" t="s">
        <v>4949</v>
      </c>
      <c r="B1044" s="83" t="s">
        <v>4950</v>
      </c>
      <c r="C1044" s="81" t="s">
        <v>4086</v>
      </c>
      <c r="D1044" s="83" t="s">
        <v>4569</v>
      </c>
      <c r="E1044" s="81" t="s">
        <v>2685</v>
      </c>
      <c r="F1044" s="84">
        <v>518.0</v>
      </c>
      <c r="G1044" s="81" t="s">
        <v>39</v>
      </c>
      <c r="H1044" s="81" t="s">
        <v>5907</v>
      </c>
      <c r="I1044" s="81" t="s">
        <v>2677</v>
      </c>
      <c r="J1044" s="81" t="s">
        <v>224</v>
      </c>
    </row>
    <row r="1045" hidden="1">
      <c r="A1045" s="83" t="s">
        <v>4949</v>
      </c>
      <c r="B1045" s="83" t="s">
        <v>4950</v>
      </c>
      <c r="C1045" s="81" t="s">
        <v>4086</v>
      </c>
      <c r="D1045" s="83" t="s">
        <v>4569</v>
      </c>
      <c r="E1045" s="81" t="s">
        <v>2685</v>
      </c>
      <c r="F1045" s="84">
        <v>518.0</v>
      </c>
      <c r="G1045" s="81" t="s">
        <v>40</v>
      </c>
      <c r="H1045" s="81" t="s">
        <v>5908</v>
      </c>
      <c r="I1045" s="81" t="s">
        <v>5909</v>
      </c>
      <c r="J1045" s="81" t="s">
        <v>224</v>
      </c>
    </row>
    <row r="1046" hidden="1">
      <c r="A1046" s="83" t="s">
        <v>4949</v>
      </c>
      <c r="B1046" s="83" t="s">
        <v>4950</v>
      </c>
      <c r="C1046" s="81" t="s">
        <v>4086</v>
      </c>
      <c r="D1046" s="83" t="s">
        <v>4572</v>
      </c>
      <c r="E1046" s="81" t="s">
        <v>2687</v>
      </c>
      <c r="F1046" s="84">
        <v>519.0</v>
      </c>
      <c r="G1046" s="81" t="s">
        <v>39</v>
      </c>
      <c r="H1046" s="81" t="s">
        <v>5910</v>
      </c>
      <c r="I1046" s="81" t="s">
        <v>2688</v>
      </c>
      <c r="J1046" s="81" t="s">
        <v>224</v>
      </c>
    </row>
    <row r="1047" hidden="1">
      <c r="A1047" s="83" t="s">
        <v>4949</v>
      </c>
      <c r="B1047" s="83" t="s">
        <v>4950</v>
      </c>
      <c r="C1047" s="81" t="s">
        <v>4086</v>
      </c>
      <c r="D1047" s="83" t="s">
        <v>4572</v>
      </c>
      <c r="E1047" s="81" t="s">
        <v>2687</v>
      </c>
      <c r="F1047" s="84">
        <v>519.0</v>
      </c>
      <c r="G1047" s="81" t="s">
        <v>40</v>
      </c>
      <c r="H1047" s="81" t="s">
        <v>5911</v>
      </c>
      <c r="I1047" s="81" t="s">
        <v>2689</v>
      </c>
      <c r="J1047" s="81" t="s">
        <v>224</v>
      </c>
    </row>
    <row r="1048" hidden="1">
      <c r="A1048" s="83" t="s">
        <v>4949</v>
      </c>
      <c r="B1048" s="83" t="s">
        <v>4950</v>
      </c>
      <c r="C1048" s="81" t="s">
        <v>4086</v>
      </c>
      <c r="D1048" s="83" t="s">
        <v>4573</v>
      </c>
      <c r="E1048" s="81" t="s">
        <v>2690</v>
      </c>
      <c r="F1048" s="84">
        <v>520.0</v>
      </c>
      <c r="G1048" s="81" t="s">
        <v>39</v>
      </c>
      <c r="H1048" s="81" t="s">
        <v>5912</v>
      </c>
      <c r="I1048" s="81" t="s">
        <v>2693</v>
      </c>
      <c r="J1048" s="81" t="s">
        <v>224</v>
      </c>
    </row>
    <row r="1049" hidden="1">
      <c r="A1049" s="83" t="s">
        <v>4949</v>
      </c>
      <c r="B1049" s="83" t="s">
        <v>4950</v>
      </c>
      <c r="C1049" s="81" t="s">
        <v>4086</v>
      </c>
      <c r="D1049" s="83" t="s">
        <v>4573</v>
      </c>
      <c r="E1049" s="81" t="s">
        <v>2690</v>
      </c>
      <c r="F1049" s="84">
        <v>520.0</v>
      </c>
      <c r="G1049" s="81" t="s">
        <v>40</v>
      </c>
      <c r="H1049" s="81" t="s">
        <v>5913</v>
      </c>
      <c r="I1049" s="81" t="s">
        <v>5914</v>
      </c>
      <c r="J1049" s="81" t="s">
        <v>224</v>
      </c>
    </row>
    <row r="1050" hidden="1">
      <c r="A1050" s="83" t="s">
        <v>4949</v>
      </c>
      <c r="B1050" s="83" t="s">
        <v>4950</v>
      </c>
      <c r="C1050" s="81" t="s">
        <v>4086</v>
      </c>
      <c r="D1050" s="83" t="s">
        <v>4573</v>
      </c>
      <c r="E1050" s="81" t="s">
        <v>2699</v>
      </c>
      <c r="F1050" s="84">
        <v>521.0</v>
      </c>
      <c r="G1050" s="81" t="s">
        <v>39</v>
      </c>
      <c r="H1050" s="81" t="s">
        <v>5912</v>
      </c>
      <c r="I1050" s="81" t="s">
        <v>2693</v>
      </c>
      <c r="J1050" s="81" t="s">
        <v>224</v>
      </c>
    </row>
    <row r="1051" hidden="1">
      <c r="A1051" s="83" t="s">
        <v>4949</v>
      </c>
      <c r="B1051" s="83" t="s">
        <v>4950</v>
      </c>
      <c r="C1051" s="81" t="s">
        <v>4086</v>
      </c>
      <c r="D1051" s="83" t="s">
        <v>4573</v>
      </c>
      <c r="E1051" s="81" t="s">
        <v>2699</v>
      </c>
      <c r="F1051" s="84">
        <v>521.0</v>
      </c>
      <c r="G1051" s="81" t="s">
        <v>40</v>
      </c>
      <c r="H1051" s="81" t="s">
        <v>5913</v>
      </c>
      <c r="I1051" s="81" t="s">
        <v>5914</v>
      </c>
      <c r="J1051" s="81" t="s">
        <v>224</v>
      </c>
    </row>
    <row r="1052" hidden="1">
      <c r="A1052" s="83" t="s">
        <v>4949</v>
      </c>
      <c r="B1052" s="83" t="s">
        <v>4950</v>
      </c>
      <c r="C1052" s="81" t="s">
        <v>4086</v>
      </c>
      <c r="D1052" s="83" t="s">
        <v>4574</v>
      </c>
      <c r="E1052" s="81" t="s">
        <v>2700</v>
      </c>
      <c r="F1052" s="84">
        <v>522.0</v>
      </c>
      <c r="G1052" s="81" t="s">
        <v>39</v>
      </c>
      <c r="H1052" s="81" t="s">
        <v>5915</v>
      </c>
      <c r="I1052" s="81" t="s">
        <v>2701</v>
      </c>
      <c r="J1052" s="81" t="s">
        <v>224</v>
      </c>
    </row>
    <row r="1053" hidden="1">
      <c r="A1053" s="83" t="s">
        <v>4949</v>
      </c>
      <c r="B1053" s="83" t="s">
        <v>4950</v>
      </c>
      <c r="C1053" s="81" t="s">
        <v>4086</v>
      </c>
      <c r="D1053" s="83" t="s">
        <v>4574</v>
      </c>
      <c r="E1053" s="81" t="s">
        <v>2700</v>
      </c>
      <c r="F1053" s="84">
        <v>522.0</v>
      </c>
      <c r="G1053" s="81" t="s">
        <v>40</v>
      </c>
      <c r="H1053" s="81" t="s">
        <v>5916</v>
      </c>
      <c r="I1053" s="81" t="s">
        <v>2702</v>
      </c>
      <c r="J1053" s="81" t="s">
        <v>224</v>
      </c>
    </row>
    <row r="1054" hidden="1">
      <c r="A1054" s="83" t="s">
        <v>4949</v>
      </c>
      <c r="B1054" s="83" t="s">
        <v>4950</v>
      </c>
      <c r="C1054" s="81" t="s">
        <v>4086</v>
      </c>
      <c r="D1054" s="83" t="s">
        <v>4575</v>
      </c>
      <c r="E1054" s="81" t="s">
        <v>2703</v>
      </c>
      <c r="F1054" s="84">
        <v>523.0</v>
      </c>
      <c r="G1054" s="81" t="s">
        <v>39</v>
      </c>
      <c r="H1054" s="81" t="s">
        <v>5917</v>
      </c>
      <c r="I1054" s="81" t="s">
        <v>2706</v>
      </c>
      <c r="J1054" s="81" t="s">
        <v>224</v>
      </c>
    </row>
    <row r="1055" hidden="1">
      <c r="A1055" s="83" t="s">
        <v>4949</v>
      </c>
      <c r="B1055" s="83" t="s">
        <v>4950</v>
      </c>
      <c r="C1055" s="81" t="s">
        <v>4086</v>
      </c>
      <c r="D1055" s="83" t="s">
        <v>4575</v>
      </c>
      <c r="E1055" s="81" t="s">
        <v>2703</v>
      </c>
      <c r="F1055" s="84">
        <v>523.0</v>
      </c>
      <c r="G1055" s="81" t="s">
        <v>40</v>
      </c>
      <c r="H1055" s="81" t="s">
        <v>5918</v>
      </c>
      <c r="I1055" s="81" t="s">
        <v>5919</v>
      </c>
      <c r="J1055" s="81" t="s">
        <v>224</v>
      </c>
    </row>
    <row r="1056" hidden="1">
      <c r="A1056" s="83" t="s">
        <v>4949</v>
      </c>
      <c r="B1056" s="83" t="s">
        <v>4950</v>
      </c>
      <c r="C1056" s="81" t="s">
        <v>4086</v>
      </c>
      <c r="D1056" s="83" t="s">
        <v>4575</v>
      </c>
      <c r="E1056" s="81" t="s">
        <v>2712</v>
      </c>
      <c r="F1056" s="84">
        <v>524.0</v>
      </c>
      <c r="G1056" s="81" t="s">
        <v>39</v>
      </c>
      <c r="H1056" s="81" t="s">
        <v>5917</v>
      </c>
      <c r="I1056" s="81" t="s">
        <v>2706</v>
      </c>
      <c r="J1056" s="81" t="s">
        <v>224</v>
      </c>
    </row>
    <row r="1057" hidden="1">
      <c r="A1057" s="83" t="s">
        <v>4949</v>
      </c>
      <c r="B1057" s="83" t="s">
        <v>4950</v>
      </c>
      <c r="C1057" s="81" t="s">
        <v>4086</v>
      </c>
      <c r="D1057" s="83" t="s">
        <v>4575</v>
      </c>
      <c r="E1057" s="81" t="s">
        <v>2712</v>
      </c>
      <c r="F1057" s="84">
        <v>524.0</v>
      </c>
      <c r="G1057" s="81" t="s">
        <v>40</v>
      </c>
      <c r="H1057" s="81" t="s">
        <v>5918</v>
      </c>
      <c r="I1057" s="81" t="s">
        <v>5919</v>
      </c>
      <c r="J1057" s="81" t="s">
        <v>224</v>
      </c>
    </row>
    <row r="1058" hidden="1">
      <c r="A1058" s="83" t="s">
        <v>4949</v>
      </c>
      <c r="B1058" s="83" t="s">
        <v>4950</v>
      </c>
      <c r="C1058" s="81" t="s">
        <v>4086</v>
      </c>
      <c r="D1058" s="83" t="s">
        <v>4576</v>
      </c>
      <c r="E1058" s="81" t="s">
        <v>2713</v>
      </c>
      <c r="F1058" s="84">
        <v>525.0</v>
      </c>
      <c r="G1058" s="81" t="s">
        <v>39</v>
      </c>
      <c r="H1058" s="81" t="s">
        <v>5920</v>
      </c>
      <c r="I1058" s="81" t="s">
        <v>2714</v>
      </c>
      <c r="J1058" s="81" t="s">
        <v>224</v>
      </c>
    </row>
    <row r="1059" hidden="1">
      <c r="A1059" s="83" t="s">
        <v>4949</v>
      </c>
      <c r="B1059" s="83" t="s">
        <v>4950</v>
      </c>
      <c r="C1059" s="81" t="s">
        <v>4086</v>
      </c>
      <c r="D1059" s="83" t="s">
        <v>4576</v>
      </c>
      <c r="E1059" s="81" t="s">
        <v>2713</v>
      </c>
      <c r="F1059" s="84">
        <v>525.0</v>
      </c>
      <c r="G1059" s="81" t="s">
        <v>40</v>
      </c>
      <c r="H1059" s="81" t="s">
        <v>5921</v>
      </c>
      <c r="I1059" s="81" t="s">
        <v>2715</v>
      </c>
      <c r="J1059" s="81" t="s">
        <v>224</v>
      </c>
    </row>
    <row r="1060" hidden="1">
      <c r="A1060" s="83" t="s">
        <v>4949</v>
      </c>
      <c r="B1060" s="83" t="s">
        <v>4950</v>
      </c>
      <c r="C1060" s="81" t="s">
        <v>4086</v>
      </c>
      <c r="D1060" s="83" t="s">
        <v>4577</v>
      </c>
      <c r="E1060" s="81" t="s">
        <v>2716</v>
      </c>
      <c r="F1060" s="84">
        <v>526.0</v>
      </c>
      <c r="G1060" s="81" t="s">
        <v>39</v>
      </c>
      <c r="H1060" s="81" t="s">
        <v>5922</v>
      </c>
      <c r="I1060" s="81" t="s">
        <v>2719</v>
      </c>
      <c r="J1060" s="81" t="s">
        <v>224</v>
      </c>
    </row>
    <row r="1061" hidden="1">
      <c r="A1061" s="83" t="s">
        <v>4949</v>
      </c>
      <c r="B1061" s="83" t="s">
        <v>4950</v>
      </c>
      <c r="C1061" s="81" t="s">
        <v>4086</v>
      </c>
      <c r="D1061" s="83" t="s">
        <v>4577</v>
      </c>
      <c r="E1061" s="81" t="s">
        <v>2716</v>
      </c>
      <c r="F1061" s="84">
        <v>526.0</v>
      </c>
      <c r="G1061" s="81" t="s">
        <v>40</v>
      </c>
      <c r="H1061" s="81" t="s">
        <v>5923</v>
      </c>
      <c r="I1061" s="81" t="s">
        <v>5924</v>
      </c>
      <c r="J1061" s="81" t="s">
        <v>224</v>
      </c>
    </row>
    <row r="1062" hidden="1">
      <c r="A1062" s="83" t="s">
        <v>4949</v>
      </c>
      <c r="B1062" s="83" t="s">
        <v>4950</v>
      </c>
      <c r="C1062" s="81" t="s">
        <v>4086</v>
      </c>
      <c r="D1062" s="83" t="s">
        <v>4578</v>
      </c>
      <c r="E1062" s="81" t="s">
        <v>2724</v>
      </c>
      <c r="F1062" s="84">
        <v>527.0</v>
      </c>
      <c r="G1062" s="81" t="s">
        <v>39</v>
      </c>
      <c r="H1062" s="81" t="s">
        <v>5922</v>
      </c>
      <c r="I1062" s="81" t="s">
        <v>2725</v>
      </c>
      <c r="J1062" s="81" t="s">
        <v>224</v>
      </c>
    </row>
    <row r="1063" hidden="1">
      <c r="A1063" s="83" t="s">
        <v>4949</v>
      </c>
      <c r="B1063" s="83" t="s">
        <v>4950</v>
      </c>
      <c r="C1063" s="81" t="s">
        <v>4086</v>
      </c>
      <c r="D1063" s="83" t="s">
        <v>4578</v>
      </c>
      <c r="E1063" s="81" t="s">
        <v>2724</v>
      </c>
      <c r="F1063" s="84">
        <v>527.0</v>
      </c>
      <c r="G1063" s="81" t="s">
        <v>40</v>
      </c>
      <c r="H1063" s="81" t="s">
        <v>5923</v>
      </c>
      <c r="I1063" s="81" t="s">
        <v>2726</v>
      </c>
      <c r="J1063" s="81" t="s">
        <v>224</v>
      </c>
    </row>
    <row r="1064" hidden="1">
      <c r="A1064" s="83" t="s">
        <v>4949</v>
      </c>
      <c r="B1064" s="83" t="s">
        <v>4950</v>
      </c>
      <c r="C1064" s="81" t="s">
        <v>4086</v>
      </c>
      <c r="D1064" s="83" t="s">
        <v>4579</v>
      </c>
      <c r="E1064" s="81" t="s">
        <v>2727</v>
      </c>
      <c r="F1064" s="84">
        <v>528.0</v>
      </c>
      <c r="G1064" s="81" t="s">
        <v>39</v>
      </c>
      <c r="H1064" s="81" t="s">
        <v>5925</v>
      </c>
      <c r="I1064" s="81" t="s">
        <v>2730</v>
      </c>
      <c r="J1064" s="81" t="s">
        <v>224</v>
      </c>
    </row>
    <row r="1065" hidden="1">
      <c r="A1065" s="83" t="s">
        <v>4949</v>
      </c>
      <c r="B1065" s="83" t="s">
        <v>4950</v>
      </c>
      <c r="C1065" s="81" t="s">
        <v>4086</v>
      </c>
      <c r="D1065" s="83" t="s">
        <v>4579</v>
      </c>
      <c r="E1065" s="81" t="s">
        <v>2727</v>
      </c>
      <c r="F1065" s="84">
        <v>528.0</v>
      </c>
      <c r="G1065" s="81" t="s">
        <v>40</v>
      </c>
      <c r="H1065" s="81" t="s">
        <v>5926</v>
      </c>
      <c r="I1065" s="81" t="s">
        <v>2731</v>
      </c>
      <c r="J1065" s="81" t="s">
        <v>224</v>
      </c>
    </row>
    <row r="1066" hidden="1">
      <c r="A1066" s="83" t="s">
        <v>4949</v>
      </c>
      <c r="B1066" s="83" t="s">
        <v>4950</v>
      </c>
      <c r="C1066" s="81" t="s">
        <v>4086</v>
      </c>
      <c r="D1066" s="83" t="s">
        <v>4579</v>
      </c>
      <c r="E1066" s="81" t="s">
        <v>2736</v>
      </c>
      <c r="F1066" s="84">
        <v>529.0</v>
      </c>
      <c r="G1066" s="81" t="s">
        <v>39</v>
      </c>
      <c r="H1066" s="81" t="s">
        <v>5925</v>
      </c>
      <c r="I1066" s="81" t="s">
        <v>2730</v>
      </c>
      <c r="J1066" s="81" t="s">
        <v>224</v>
      </c>
    </row>
    <row r="1067" hidden="1">
      <c r="A1067" s="83" t="s">
        <v>4949</v>
      </c>
      <c r="B1067" s="83" t="s">
        <v>4950</v>
      </c>
      <c r="C1067" s="81" t="s">
        <v>4086</v>
      </c>
      <c r="D1067" s="83" t="s">
        <v>4579</v>
      </c>
      <c r="E1067" s="81" t="s">
        <v>2736</v>
      </c>
      <c r="F1067" s="84">
        <v>529.0</v>
      </c>
      <c r="G1067" s="81" t="s">
        <v>40</v>
      </c>
      <c r="H1067" s="81" t="s">
        <v>5926</v>
      </c>
      <c r="I1067" s="81" t="s">
        <v>2731</v>
      </c>
      <c r="J1067" s="81" t="s">
        <v>224</v>
      </c>
    </row>
    <row r="1068" hidden="1">
      <c r="A1068" s="83" t="s">
        <v>4949</v>
      </c>
      <c r="B1068" s="83" t="s">
        <v>4950</v>
      </c>
      <c r="C1068" s="81" t="s">
        <v>4086</v>
      </c>
      <c r="D1068" s="83" t="s">
        <v>4581</v>
      </c>
      <c r="E1068" s="81" t="s">
        <v>2737</v>
      </c>
      <c r="F1068" s="84">
        <v>530.0</v>
      </c>
      <c r="G1068" s="81" t="s">
        <v>39</v>
      </c>
      <c r="H1068" s="81" t="s">
        <v>5927</v>
      </c>
      <c r="I1068" s="81" t="s">
        <v>2738</v>
      </c>
      <c r="J1068" s="81" t="s">
        <v>224</v>
      </c>
    </row>
    <row r="1069" hidden="1">
      <c r="A1069" s="83" t="s">
        <v>4949</v>
      </c>
      <c r="B1069" s="83" t="s">
        <v>4950</v>
      </c>
      <c r="C1069" s="81" t="s">
        <v>4086</v>
      </c>
      <c r="D1069" s="83" t="s">
        <v>4581</v>
      </c>
      <c r="E1069" s="81" t="s">
        <v>2737</v>
      </c>
      <c r="F1069" s="84">
        <v>530.0</v>
      </c>
      <c r="G1069" s="81" t="s">
        <v>40</v>
      </c>
      <c r="H1069" s="81" t="s">
        <v>5928</v>
      </c>
      <c r="I1069" s="81" t="s">
        <v>2739</v>
      </c>
      <c r="J1069" s="81" t="s">
        <v>224</v>
      </c>
    </row>
    <row r="1070" hidden="1">
      <c r="A1070" s="83" t="s">
        <v>4949</v>
      </c>
      <c r="B1070" s="83" t="s">
        <v>4950</v>
      </c>
      <c r="C1070" s="81" t="s">
        <v>4086</v>
      </c>
      <c r="D1070" s="83" t="s">
        <v>4582</v>
      </c>
      <c r="E1070" s="81" t="s">
        <v>2740</v>
      </c>
      <c r="F1070" s="84">
        <v>531.0</v>
      </c>
      <c r="G1070" s="81" t="s">
        <v>39</v>
      </c>
      <c r="H1070" s="81" t="s">
        <v>5929</v>
      </c>
      <c r="I1070" s="81" t="s">
        <v>2742</v>
      </c>
      <c r="J1070" s="81" t="s">
        <v>224</v>
      </c>
    </row>
    <row r="1071" hidden="1">
      <c r="A1071" s="83" t="s">
        <v>4949</v>
      </c>
      <c r="B1071" s="83" t="s">
        <v>4950</v>
      </c>
      <c r="C1071" s="81" t="s">
        <v>4086</v>
      </c>
      <c r="D1071" s="83" t="s">
        <v>4582</v>
      </c>
      <c r="E1071" s="81" t="s">
        <v>2740</v>
      </c>
      <c r="F1071" s="84">
        <v>531.0</v>
      </c>
      <c r="G1071" s="81" t="s">
        <v>40</v>
      </c>
      <c r="H1071" s="81" t="s">
        <v>5930</v>
      </c>
      <c r="I1071" s="81" t="s">
        <v>2743</v>
      </c>
      <c r="J1071" s="81" t="s">
        <v>224</v>
      </c>
    </row>
    <row r="1072" hidden="1">
      <c r="A1072" s="83" t="s">
        <v>4949</v>
      </c>
      <c r="B1072" s="83" t="s">
        <v>4950</v>
      </c>
      <c r="C1072" s="81" t="s">
        <v>4086</v>
      </c>
      <c r="D1072" s="83" t="s">
        <v>4582</v>
      </c>
      <c r="E1072" s="81" t="s">
        <v>2748</v>
      </c>
      <c r="F1072" s="84">
        <v>532.0</v>
      </c>
      <c r="G1072" s="81" t="s">
        <v>39</v>
      </c>
      <c r="H1072" s="81" t="s">
        <v>5929</v>
      </c>
      <c r="I1072" s="81" t="s">
        <v>2742</v>
      </c>
      <c r="J1072" s="81" t="s">
        <v>224</v>
      </c>
    </row>
    <row r="1073" hidden="1">
      <c r="A1073" s="83" t="s">
        <v>4949</v>
      </c>
      <c r="B1073" s="83" t="s">
        <v>4950</v>
      </c>
      <c r="C1073" s="81" t="s">
        <v>4086</v>
      </c>
      <c r="D1073" s="83" t="s">
        <v>4582</v>
      </c>
      <c r="E1073" s="81" t="s">
        <v>2748</v>
      </c>
      <c r="F1073" s="84">
        <v>532.0</v>
      </c>
      <c r="G1073" s="81" t="s">
        <v>40</v>
      </c>
      <c r="H1073" s="81" t="s">
        <v>5930</v>
      </c>
      <c r="I1073" s="81" t="s">
        <v>2743</v>
      </c>
      <c r="J1073" s="81" t="s">
        <v>224</v>
      </c>
    </row>
    <row r="1074" hidden="1">
      <c r="A1074" s="83" t="s">
        <v>4949</v>
      </c>
      <c r="B1074" s="83" t="s">
        <v>4950</v>
      </c>
      <c r="C1074" s="81" t="s">
        <v>4086</v>
      </c>
      <c r="D1074" s="83" t="s">
        <v>4584</v>
      </c>
      <c r="E1074" s="81" t="s">
        <v>2749</v>
      </c>
      <c r="F1074" s="84">
        <v>533.0</v>
      </c>
      <c r="G1074" s="81" t="s">
        <v>39</v>
      </c>
      <c r="H1074" s="81" t="s">
        <v>5931</v>
      </c>
      <c r="I1074" s="81" t="s">
        <v>2750</v>
      </c>
      <c r="J1074" s="81" t="s">
        <v>224</v>
      </c>
    </row>
    <row r="1075" hidden="1">
      <c r="A1075" s="83" t="s">
        <v>4949</v>
      </c>
      <c r="B1075" s="83" t="s">
        <v>4950</v>
      </c>
      <c r="C1075" s="81" t="s">
        <v>4086</v>
      </c>
      <c r="D1075" s="83" t="s">
        <v>4584</v>
      </c>
      <c r="E1075" s="81" t="s">
        <v>2749</v>
      </c>
      <c r="F1075" s="84">
        <v>533.0</v>
      </c>
      <c r="G1075" s="81" t="s">
        <v>40</v>
      </c>
      <c r="H1075" s="81" t="s">
        <v>5932</v>
      </c>
      <c r="I1075" s="81" t="s">
        <v>2751</v>
      </c>
      <c r="J1075" s="81" t="s">
        <v>224</v>
      </c>
    </row>
    <row r="1076" hidden="1">
      <c r="A1076" s="83" t="s">
        <v>4949</v>
      </c>
      <c r="B1076" s="83" t="s">
        <v>4950</v>
      </c>
      <c r="C1076" s="81" t="s">
        <v>4086</v>
      </c>
      <c r="D1076" s="83" t="s">
        <v>4585</v>
      </c>
      <c r="E1076" s="81" t="s">
        <v>2752</v>
      </c>
      <c r="F1076" s="84">
        <v>534.0</v>
      </c>
      <c r="G1076" s="81" t="s">
        <v>39</v>
      </c>
      <c r="H1076" s="81" t="s">
        <v>5933</v>
      </c>
      <c r="I1076" s="81" t="s">
        <v>2755</v>
      </c>
      <c r="J1076" s="81" t="s">
        <v>224</v>
      </c>
    </row>
    <row r="1077" hidden="1">
      <c r="A1077" s="83" t="s">
        <v>4949</v>
      </c>
      <c r="B1077" s="83" t="s">
        <v>4950</v>
      </c>
      <c r="C1077" s="81" t="s">
        <v>4086</v>
      </c>
      <c r="D1077" s="83" t="s">
        <v>4585</v>
      </c>
      <c r="E1077" s="81" t="s">
        <v>2752</v>
      </c>
      <c r="F1077" s="84">
        <v>534.0</v>
      </c>
      <c r="G1077" s="81" t="s">
        <v>40</v>
      </c>
      <c r="H1077" s="81" t="s">
        <v>5934</v>
      </c>
      <c r="I1077" s="81" t="s">
        <v>2756</v>
      </c>
      <c r="J1077" s="81" t="s">
        <v>224</v>
      </c>
    </row>
    <row r="1078" hidden="1">
      <c r="A1078" s="83" t="s">
        <v>4949</v>
      </c>
      <c r="B1078" s="83" t="s">
        <v>4950</v>
      </c>
      <c r="C1078" s="81" t="s">
        <v>4086</v>
      </c>
      <c r="D1078" s="83" t="s">
        <v>4585</v>
      </c>
      <c r="E1078" s="81" t="s">
        <v>2761</v>
      </c>
      <c r="F1078" s="84">
        <v>535.0</v>
      </c>
      <c r="G1078" s="81" t="s">
        <v>39</v>
      </c>
      <c r="H1078" s="81" t="s">
        <v>5933</v>
      </c>
      <c r="I1078" s="81" t="s">
        <v>2755</v>
      </c>
      <c r="J1078" s="81" t="s">
        <v>224</v>
      </c>
    </row>
    <row r="1079" hidden="1">
      <c r="A1079" s="83" t="s">
        <v>4949</v>
      </c>
      <c r="B1079" s="83" t="s">
        <v>4950</v>
      </c>
      <c r="C1079" s="81" t="s">
        <v>4086</v>
      </c>
      <c r="D1079" s="83" t="s">
        <v>4585</v>
      </c>
      <c r="E1079" s="81" t="s">
        <v>2761</v>
      </c>
      <c r="F1079" s="84">
        <v>535.0</v>
      </c>
      <c r="G1079" s="81" t="s">
        <v>40</v>
      </c>
      <c r="H1079" s="81" t="s">
        <v>5934</v>
      </c>
      <c r="I1079" s="81" t="s">
        <v>2756</v>
      </c>
      <c r="J1079" s="81" t="s">
        <v>224</v>
      </c>
    </row>
    <row r="1080" hidden="1">
      <c r="A1080" s="83" t="s">
        <v>4949</v>
      </c>
      <c r="B1080" s="83" t="s">
        <v>4950</v>
      </c>
      <c r="C1080" s="81" t="s">
        <v>4086</v>
      </c>
      <c r="D1080" s="83" t="s">
        <v>4586</v>
      </c>
      <c r="E1080" s="81" t="s">
        <v>2763</v>
      </c>
      <c r="F1080" s="84">
        <v>536.0</v>
      </c>
      <c r="G1080" s="81" t="s">
        <v>39</v>
      </c>
      <c r="H1080" s="81" t="s">
        <v>5935</v>
      </c>
      <c r="I1080" s="81" t="s">
        <v>2764</v>
      </c>
      <c r="J1080" s="81" t="s">
        <v>224</v>
      </c>
    </row>
    <row r="1081" hidden="1">
      <c r="A1081" s="83" t="s">
        <v>4949</v>
      </c>
      <c r="B1081" s="83" t="s">
        <v>4950</v>
      </c>
      <c r="C1081" s="81" t="s">
        <v>4086</v>
      </c>
      <c r="D1081" s="83" t="s">
        <v>4586</v>
      </c>
      <c r="E1081" s="81" t="s">
        <v>2763</v>
      </c>
      <c r="F1081" s="84">
        <v>536.0</v>
      </c>
      <c r="G1081" s="81" t="s">
        <v>40</v>
      </c>
      <c r="H1081" s="81" t="s">
        <v>5936</v>
      </c>
      <c r="I1081" s="81" t="s">
        <v>2765</v>
      </c>
      <c r="J1081" s="81" t="s">
        <v>224</v>
      </c>
    </row>
    <row r="1082" hidden="1">
      <c r="A1082" s="83" t="s">
        <v>4949</v>
      </c>
      <c r="B1082" s="83" t="s">
        <v>4950</v>
      </c>
      <c r="C1082" s="81" t="s">
        <v>4086</v>
      </c>
      <c r="D1082" s="83" t="s">
        <v>4587</v>
      </c>
      <c r="E1082" s="81" t="s">
        <v>2766</v>
      </c>
      <c r="F1082" s="84">
        <v>537.0</v>
      </c>
      <c r="G1082" s="81" t="s">
        <v>39</v>
      </c>
      <c r="H1082" s="81" t="s">
        <v>5937</v>
      </c>
      <c r="I1082" s="81" t="s">
        <v>2771</v>
      </c>
      <c r="J1082" s="81" t="s">
        <v>224</v>
      </c>
    </row>
    <row r="1083" hidden="1">
      <c r="A1083" s="83" t="s">
        <v>4949</v>
      </c>
      <c r="B1083" s="83" t="s">
        <v>4950</v>
      </c>
      <c r="C1083" s="81" t="s">
        <v>4086</v>
      </c>
      <c r="D1083" s="83" t="s">
        <v>4587</v>
      </c>
      <c r="E1083" s="81" t="s">
        <v>2766</v>
      </c>
      <c r="F1083" s="84">
        <v>537.0</v>
      </c>
      <c r="G1083" s="81" t="s">
        <v>40</v>
      </c>
      <c r="H1083" s="81" t="s">
        <v>5938</v>
      </c>
      <c r="I1083" s="81" t="s">
        <v>2772</v>
      </c>
      <c r="J1083" s="81" t="s">
        <v>224</v>
      </c>
    </row>
    <row r="1084" hidden="1">
      <c r="A1084" s="83" t="s">
        <v>4949</v>
      </c>
      <c r="B1084" s="83" t="s">
        <v>4950</v>
      </c>
      <c r="C1084" s="81" t="s">
        <v>4086</v>
      </c>
      <c r="D1084" s="83" t="s">
        <v>4587</v>
      </c>
      <c r="E1084" s="81" t="s">
        <v>2778</v>
      </c>
      <c r="F1084" s="84">
        <v>538.0</v>
      </c>
      <c r="G1084" s="81" t="s">
        <v>39</v>
      </c>
      <c r="H1084" s="81" t="s">
        <v>5937</v>
      </c>
      <c r="I1084" s="81" t="s">
        <v>2771</v>
      </c>
      <c r="J1084" s="81" t="s">
        <v>224</v>
      </c>
    </row>
    <row r="1085" hidden="1">
      <c r="A1085" s="83" t="s">
        <v>4949</v>
      </c>
      <c r="B1085" s="83" t="s">
        <v>4950</v>
      </c>
      <c r="C1085" s="81" t="s">
        <v>4086</v>
      </c>
      <c r="D1085" s="83" t="s">
        <v>4587</v>
      </c>
      <c r="E1085" s="81" t="s">
        <v>2778</v>
      </c>
      <c r="F1085" s="84">
        <v>538.0</v>
      </c>
      <c r="G1085" s="81" t="s">
        <v>40</v>
      </c>
      <c r="H1085" s="81" t="s">
        <v>5938</v>
      </c>
      <c r="I1085" s="81" t="s">
        <v>2772</v>
      </c>
      <c r="J1085" s="81" t="s">
        <v>224</v>
      </c>
    </row>
    <row r="1086" hidden="1">
      <c r="A1086" s="83" t="s">
        <v>4949</v>
      </c>
      <c r="B1086" s="83" t="s">
        <v>4950</v>
      </c>
      <c r="C1086" s="81" t="s">
        <v>4086</v>
      </c>
      <c r="D1086" s="83" t="s">
        <v>4588</v>
      </c>
      <c r="E1086" s="81" t="s">
        <v>2779</v>
      </c>
      <c r="F1086" s="84">
        <v>539.0</v>
      </c>
      <c r="G1086" s="81" t="s">
        <v>39</v>
      </c>
      <c r="H1086" s="81" t="s">
        <v>5939</v>
      </c>
      <c r="I1086" s="81" t="s">
        <v>2780</v>
      </c>
      <c r="J1086" s="81" t="s">
        <v>224</v>
      </c>
    </row>
    <row r="1087" hidden="1">
      <c r="A1087" s="83" t="s">
        <v>4949</v>
      </c>
      <c r="B1087" s="83" t="s">
        <v>4950</v>
      </c>
      <c r="C1087" s="81" t="s">
        <v>4086</v>
      </c>
      <c r="D1087" s="83" t="s">
        <v>4588</v>
      </c>
      <c r="E1087" s="81" t="s">
        <v>2779</v>
      </c>
      <c r="F1087" s="84">
        <v>539.0</v>
      </c>
      <c r="G1087" s="81" t="s">
        <v>40</v>
      </c>
      <c r="H1087" s="81" t="s">
        <v>5940</v>
      </c>
      <c r="I1087" s="81" t="s">
        <v>2781</v>
      </c>
      <c r="J1087" s="81" t="s">
        <v>224</v>
      </c>
    </row>
    <row r="1088" hidden="1">
      <c r="A1088" s="83" t="s">
        <v>4949</v>
      </c>
      <c r="B1088" s="83" t="s">
        <v>4950</v>
      </c>
      <c r="C1088" s="81" t="s">
        <v>4086</v>
      </c>
      <c r="D1088" s="83" t="s">
        <v>4589</v>
      </c>
      <c r="E1088" s="81" t="s">
        <v>2782</v>
      </c>
      <c r="F1088" s="84">
        <v>540.0</v>
      </c>
      <c r="G1088" s="81" t="s">
        <v>40</v>
      </c>
      <c r="H1088" s="81" t="s">
        <v>5941</v>
      </c>
      <c r="I1088" s="81" t="s">
        <v>2787</v>
      </c>
      <c r="J1088" s="81" t="s">
        <v>224</v>
      </c>
    </row>
    <row r="1089" hidden="1">
      <c r="A1089" s="83" t="s">
        <v>4949</v>
      </c>
      <c r="B1089" s="83" t="s">
        <v>4950</v>
      </c>
      <c r="C1089" s="81" t="s">
        <v>4086</v>
      </c>
      <c r="D1089" s="83" t="s">
        <v>4590</v>
      </c>
      <c r="E1089" s="81" t="s">
        <v>2792</v>
      </c>
      <c r="F1089" s="84">
        <v>541.0</v>
      </c>
      <c r="G1089" s="81" t="s">
        <v>39</v>
      </c>
      <c r="H1089" s="81" t="s">
        <v>5942</v>
      </c>
      <c r="I1089" s="81" t="s">
        <v>2793</v>
      </c>
      <c r="J1089" s="81" t="s">
        <v>224</v>
      </c>
    </row>
    <row r="1090" hidden="1">
      <c r="A1090" s="83" t="s">
        <v>4949</v>
      </c>
      <c r="B1090" s="83" t="s">
        <v>4950</v>
      </c>
      <c r="C1090" s="81" t="s">
        <v>4086</v>
      </c>
      <c r="D1090" s="83" t="s">
        <v>4590</v>
      </c>
      <c r="E1090" s="81" t="s">
        <v>2792</v>
      </c>
      <c r="F1090" s="84">
        <v>541.0</v>
      </c>
      <c r="G1090" s="81" t="s">
        <v>40</v>
      </c>
      <c r="H1090" s="81" t="s">
        <v>5943</v>
      </c>
      <c r="I1090" s="81" t="s">
        <v>2794</v>
      </c>
      <c r="J1090" s="81" t="s">
        <v>224</v>
      </c>
    </row>
    <row r="1091" hidden="1">
      <c r="A1091" s="83" t="s">
        <v>4949</v>
      </c>
      <c r="B1091" s="83" t="s">
        <v>4950</v>
      </c>
      <c r="C1091" s="81" t="s">
        <v>4086</v>
      </c>
      <c r="D1091" s="83" t="s">
        <v>4591</v>
      </c>
      <c r="E1091" s="81" t="s">
        <v>2795</v>
      </c>
      <c r="F1091" s="84">
        <v>542.0</v>
      </c>
      <c r="G1091" s="81" t="s">
        <v>39</v>
      </c>
      <c r="H1091" s="81" t="s">
        <v>5484</v>
      </c>
      <c r="I1091" s="81" t="s">
        <v>2800</v>
      </c>
      <c r="J1091" s="81" t="s">
        <v>224</v>
      </c>
    </row>
    <row r="1092" hidden="1">
      <c r="A1092" s="83" t="s">
        <v>4949</v>
      </c>
      <c r="B1092" s="83" t="s">
        <v>4950</v>
      </c>
      <c r="C1092" s="81" t="s">
        <v>5141</v>
      </c>
      <c r="D1092" s="83" t="s">
        <v>4591</v>
      </c>
      <c r="E1092" s="81" t="s">
        <v>2795</v>
      </c>
      <c r="F1092" s="84">
        <v>542.0</v>
      </c>
      <c r="G1092" s="81" t="s">
        <v>40</v>
      </c>
      <c r="H1092" s="81" t="s">
        <v>5485</v>
      </c>
      <c r="I1092" s="81" t="s">
        <v>224</v>
      </c>
      <c r="J1092" s="81" t="s">
        <v>5143</v>
      </c>
    </row>
    <row r="1093" hidden="1">
      <c r="A1093" s="83" t="s">
        <v>4949</v>
      </c>
      <c r="B1093" s="83" t="s">
        <v>4950</v>
      </c>
      <c r="C1093" s="81" t="s">
        <v>4086</v>
      </c>
      <c r="D1093" s="83" t="s">
        <v>4593</v>
      </c>
      <c r="E1093" s="81" t="s">
        <v>2805</v>
      </c>
      <c r="F1093" s="84">
        <v>543.0</v>
      </c>
      <c r="G1093" s="81" t="s">
        <v>39</v>
      </c>
      <c r="H1093" s="81" t="s">
        <v>5484</v>
      </c>
      <c r="I1093" s="81" t="s">
        <v>2809</v>
      </c>
      <c r="J1093" s="81" t="s">
        <v>224</v>
      </c>
    </row>
    <row r="1094" hidden="1">
      <c r="A1094" s="83" t="s">
        <v>4949</v>
      </c>
      <c r="B1094" s="83" t="s">
        <v>4950</v>
      </c>
      <c r="C1094" s="81" t="s">
        <v>5141</v>
      </c>
      <c r="D1094" s="83" t="s">
        <v>4593</v>
      </c>
      <c r="E1094" s="81" t="s">
        <v>2805</v>
      </c>
      <c r="F1094" s="84">
        <v>543.0</v>
      </c>
      <c r="G1094" s="81" t="s">
        <v>40</v>
      </c>
      <c r="H1094" s="81" t="s">
        <v>5485</v>
      </c>
      <c r="I1094" s="81" t="s">
        <v>224</v>
      </c>
      <c r="J1094" s="81" t="s">
        <v>5143</v>
      </c>
    </row>
    <row r="1095" hidden="1">
      <c r="A1095" s="83" t="s">
        <v>4949</v>
      </c>
      <c r="B1095" s="83" t="s">
        <v>4950</v>
      </c>
      <c r="C1095" s="81" t="s">
        <v>4086</v>
      </c>
      <c r="D1095" s="83" t="s">
        <v>4595</v>
      </c>
      <c r="E1095" s="81" t="s">
        <v>2814</v>
      </c>
      <c r="F1095" s="84">
        <v>544.0</v>
      </c>
      <c r="G1095" s="81" t="s">
        <v>39</v>
      </c>
      <c r="H1095" s="81" t="s">
        <v>5944</v>
      </c>
      <c r="I1095" s="81" t="s">
        <v>2820</v>
      </c>
      <c r="J1095" s="81" t="s">
        <v>224</v>
      </c>
    </row>
    <row r="1096" hidden="1">
      <c r="A1096" s="83" t="s">
        <v>4949</v>
      </c>
      <c r="B1096" s="83" t="s">
        <v>4950</v>
      </c>
      <c r="C1096" s="81" t="s">
        <v>4086</v>
      </c>
      <c r="D1096" s="83" t="s">
        <v>4595</v>
      </c>
      <c r="E1096" s="81" t="s">
        <v>2814</v>
      </c>
      <c r="F1096" s="84">
        <v>544.0</v>
      </c>
      <c r="G1096" s="81" t="s">
        <v>40</v>
      </c>
      <c r="H1096" s="81" t="s">
        <v>5945</v>
      </c>
      <c r="I1096" s="81" t="s">
        <v>5946</v>
      </c>
      <c r="J1096" s="81" t="s">
        <v>224</v>
      </c>
    </row>
    <row r="1097" hidden="1">
      <c r="A1097" s="83" t="s">
        <v>4949</v>
      </c>
      <c r="B1097" s="83" t="s">
        <v>4950</v>
      </c>
      <c r="C1097" s="81" t="s">
        <v>4086</v>
      </c>
      <c r="D1097" s="83" t="s">
        <v>4595</v>
      </c>
      <c r="E1097" s="81" t="s">
        <v>2827</v>
      </c>
      <c r="F1097" s="84">
        <v>545.0</v>
      </c>
      <c r="G1097" s="81" t="s">
        <v>39</v>
      </c>
      <c r="H1097" s="81" t="s">
        <v>5944</v>
      </c>
      <c r="I1097" s="81" t="s">
        <v>2820</v>
      </c>
      <c r="J1097" s="81" t="s">
        <v>224</v>
      </c>
    </row>
    <row r="1098" hidden="1">
      <c r="A1098" s="83" t="s">
        <v>4949</v>
      </c>
      <c r="B1098" s="83" t="s">
        <v>4950</v>
      </c>
      <c r="C1098" s="81" t="s">
        <v>4086</v>
      </c>
      <c r="D1098" s="83" t="s">
        <v>4595</v>
      </c>
      <c r="E1098" s="81" t="s">
        <v>2827</v>
      </c>
      <c r="F1098" s="84">
        <v>545.0</v>
      </c>
      <c r="G1098" s="81" t="s">
        <v>40</v>
      </c>
      <c r="H1098" s="81" t="s">
        <v>5945</v>
      </c>
      <c r="I1098" s="81" t="s">
        <v>5946</v>
      </c>
      <c r="J1098" s="81" t="s">
        <v>224</v>
      </c>
    </row>
    <row r="1099" hidden="1">
      <c r="A1099" s="83" t="s">
        <v>4949</v>
      </c>
      <c r="B1099" s="83" t="s">
        <v>4950</v>
      </c>
      <c r="C1099" s="81" t="s">
        <v>4086</v>
      </c>
      <c r="D1099" s="83" t="s">
        <v>4596</v>
      </c>
      <c r="E1099" s="81" t="s">
        <v>2828</v>
      </c>
      <c r="F1099" s="84">
        <v>546.0</v>
      </c>
      <c r="G1099" s="81" t="s">
        <v>39</v>
      </c>
      <c r="H1099" s="81" t="s">
        <v>5944</v>
      </c>
      <c r="I1099" s="81" t="s">
        <v>2831</v>
      </c>
      <c r="J1099" s="81" t="s">
        <v>224</v>
      </c>
    </row>
    <row r="1100" hidden="1">
      <c r="A1100" s="83" t="s">
        <v>4949</v>
      </c>
      <c r="B1100" s="83" t="s">
        <v>4950</v>
      </c>
      <c r="C1100" s="81" t="s">
        <v>4086</v>
      </c>
      <c r="D1100" s="83" t="s">
        <v>4596</v>
      </c>
      <c r="E1100" s="81" t="s">
        <v>2828</v>
      </c>
      <c r="F1100" s="84">
        <v>546.0</v>
      </c>
      <c r="G1100" s="81" t="s">
        <v>40</v>
      </c>
      <c r="H1100" s="81" t="s">
        <v>5945</v>
      </c>
      <c r="I1100" s="81" t="s">
        <v>2832</v>
      </c>
      <c r="J1100" s="81" t="s">
        <v>224</v>
      </c>
    </row>
    <row r="1101" hidden="1">
      <c r="A1101" s="83" t="s">
        <v>4949</v>
      </c>
      <c r="B1101" s="83" t="s">
        <v>4950</v>
      </c>
      <c r="C1101" s="81" t="s">
        <v>4086</v>
      </c>
      <c r="D1101" s="83" t="s">
        <v>4597</v>
      </c>
      <c r="E1101" s="81" t="s">
        <v>2837</v>
      </c>
      <c r="F1101" s="84">
        <v>547.0</v>
      </c>
      <c r="G1101" s="81" t="s">
        <v>39</v>
      </c>
      <c r="H1101" s="81" t="s">
        <v>5947</v>
      </c>
      <c r="I1101" s="81" t="s">
        <v>2840</v>
      </c>
      <c r="J1101" s="81" t="s">
        <v>224</v>
      </c>
    </row>
    <row r="1102" hidden="1">
      <c r="A1102" s="83" t="s">
        <v>4949</v>
      </c>
      <c r="B1102" s="83" t="s">
        <v>4950</v>
      </c>
      <c r="C1102" s="81" t="s">
        <v>4086</v>
      </c>
      <c r="D1102" s="83" t="s">
        <v>4597</v>
      </c>
      <c r="E1102" s="81" t="s">
        <v>2837</v>
      </c>
      <c r="F1102" s="84">
        <v>547.0</v>
      </c>
      <c r="G1102" s="81" t="s">
        <v>40</v>
      </c>
      <c r="H1102" s="81" t="s">
        <v>5948</v>
      </c>
      <c r="I1102" s="81" t="s">
        <v>5949</v>
      </c>
      <c r="J1102" s="81" t="s">
        <v>224</v>
      </c>
    </row>
    <row r="1103" hidden="1">
      <c r="A1103" s="83" t="s">
        <v>4949</v>
      </c>
      <c r="B1103" s="83" t="s">
        <v>4950</v>
      </c>
      <c r="C1103" s="81" t="s">
        <v>4086</v>
      </c>
      <c r="D1103" s="83" t="s">
        <v>4597</v>
      </c>
      <c r="E1103" s="81" t="s">
        <v>2847</v>
      </c>
      <c r="F1103" s="84">
        <v>548.0</v>
      </c>
      <c r="G1103" s="81" t="s">
        <v>39</v>
      </c>
      <c r="H1103" s="81" t="s">
        <v>5947</v>
      </c>
      <c r="I1103" s="81" t="s">
        <v>2840</v>
      </c>
      <c r="J1103" s="81" t="s">
        <v>224</v>
      </c>
    </row>
    <row r="1104" hidden="1">
      <c r="A1104" s="83" t="s">
        <v>4949</v>
      </c>
      <c r="B1104" s="83" t="s">
        <v>4950</v>
      </c>
      <c r="C1104" s="81" t="s">
        <v>4086</v>
      </c>
      <c r="D1104" s="83" t="s">
        <v>4597</v>
      </c>
      <c r="E1104" s="81" t="s">
        <v>2847</v>
      </c>
      <c r="F1104" s="84">
        <v>548.0</v>
      </c>
      <c r="G1104" s="81" t="s">
        <v>40</v>
      </c>
      <c r="H1104" s="81" t="s">
        <v>5948</v>
      </c>
      <c r="I1104" s="81" t="s">
        <v>5949</v>
      </c>
      <c r="J1104" s="81" t="s">
        <v>224</v>
      </c>
    </row>
    <row r="1105" hidden="1">
      <c r="A1105" s="83" t="s">
        <v>4949</v>
      </c>
      <c r="B1105" s="83" t="s">
        <v>4950</v>
      </c>
      <c r="C1105" s="81" t="s">
        <v>4086</v>
      </c>
      <c r="D1105" s="83" t="s">
        <v>4598</v>
      </c>
      <c r="E1105" s="81" t="s">
        <v>2848</v>
      </c>
      <c r="F1105" s="84">
        <v>549.0</v>
      </c>
      <c r="G1105" s="81" t="s">
        <v>39</v>
      </c>
      <c r="H1105" s="81" t="s">
        <v>5947</v>
      </c>
      <c r="I1105" s="81" t="s">
        <v>2851</v>
      </c>
      <c r="J1105" s="81" t="s">
        <v>224</v>
      </c>
    </row>
    <row r="1106" hidden="1">
      <c r="A1106" s="83" t="s">
        <v>4949</v>
      </c>
      <c r="B1106" s="83" t="s">
        <v>4950</v>
      </c>
      <c r="C1106" s="81" t="s">
        <v>4086</v>
      </c>
      <c r="D1106" s="83" t="s">
        <v>4598</v>
      </c>
      <c r="E1106" s="81" t="s">
        <v>2848</v>
      </c>
      <c r="F1106" s="84">
        <v>549.0</v>
      </c>
      <c r="G1106" s="81" t="s">
        <v>40</v>
      </c>
      <c r="H1106" s="81" t="s">
        <v>5948</v>
      </c>
      <c r="I1106" s="81" t="s">
        <v>2852</v>
      </c>
      <c r="J1106" s="81" t="s">
        <v>224</v>
      </c>
    </row>
    <row r="1107" hidden="1">
      <c r="A1107" s="83" t="s">
        <v>4949</v>
      </c>
      <c r="B1107" s="83" t="s">
        <v>4950</v>
      </c>
      <c r="C1107" s="81" t="s">
        <v>4086</v>
      </c>
      <c r="D1107" s="83" t="s">
        <v>4599</v>
      </c>
      <c r="E1107" s="81" t="s">
        <v>2857</v>
      </c>
      <c r="F1107" s="84">
        <v>550.0</v>
      </c>
      <c r="G1107" s="81" t="s">
        <v>39</v>
      </c>
      <c r="H1107" s="81" t="s">
        <v>5950</v>
      </c>
      <c r="I1107" s="81" t="s">
        <v>2862</v>
      </c>
      <c r="J1107" s="81" t="s">
        <v>224</v>
      </c>
    </row>
    <row r="1108" hidden="1">
      <c r="A1108" s="83" t="s">
        <v>4949</v>
      </c>
      <c r="B1108" s="83" t="s">
        <v>4950</v>
      </c>
      <c r="C1108" s="81" t="s">
        <v>4086</v>
      </c>
      <c r="D1108" s="83" t="s">
        <v>4599</v>
      </c>
      <c r="E1108" s="81" t="s">
        <v>2857</v>
      </c>
      <c r="F1108" s="84">
        <v>550.0</v>
      </c>
      <c r="G1108" s="81" t="s">
        <v>40</v>
      </c>
      <c r="H1108" s="81" t="s">
        <v>5951</v>
      </c>
      <c r="I1108" s="81" t="s">
        <v>2863</v>
      </c>
      <c r="J1108" s="81" t="s">
        <v>224</v>
      </c>
    </row>
    <row r="1109" hidden="1">
      <c r="A1109" s="83" t="s">
        <v>4949</v>
      </c>
      <c r="B1109" s="83" t="s">
        <v>4950</v>
      </c>
      <c r="C1109" s="81" t="s">
        <v>4086</v>
      </c>
      <c r="D1109" s="83" t="s">
        <v>4599</v>
      </c>
      <c r="E1109" s="81" t="s">
        <v>2869</v>
      </c>
      <c r="F1109" s="84">
        <v>551.0</v>
      </c>
      <c r="G1109" s="81" t="s">
        <v>40</v>
      </c>
      <c r="H1109" s="81" t="s">
        <v>5951</v>
      </c>
      <c r="I1109" s="81" t="s">
        <v>2863</v>
      </c>
      <c r="J1109" s="81" t="s">
        <v>224</v>
      </c>
    </row>
    <row r="1110" hidden="1">
      <c r="A1110" s="83" t="s">
        <v>4949</v>
      </c>
      <c r="B1110" s="83" t="s">
        <v>4950</v>
      </c>
      <c r="C1110" s="81" t="s">
        <v>4086</v>
      </c>
      <c r="D1110" s="83" t="s">
        <v>4600</v>
      </c>
      <c r="E1110" s="81" t="s">
        <v>2870</v>
      </c>
      <c r="F1110" s="84">
        <v>552.0</v>
      </c>
      <c r="G1110" s="81" t="s">
        <v>39</v>
      </c>
      <c r="H1110" s="81" t="s">
        <v>5952</v>
      </c>
      <c r="I1110" s="81" t="s">
        <v>2872</v>
      </c>
      <c r="J1110" s="81" t="s">
        <v>224</v>
      </c>
    </row>
    <row r="1111" hidden="1">
      <c r="A1111" s="83" t="s">
        <v>4949</v>
      </c>
      <c r="B1111" s="83" t="s">
        <v>4950</v>
      </c>
      <c r="C1111" s="81" t="s">
        <v>4086</v>
      </c>
      <c r="D1111" s="83" t="s">
        <v>4600</v>
      </c>
      <c r="E1111" s="81" t="s">
        <v>2870</v>
      </c>
      <c r="F1111" s="84">
        <v>552.0</v>
      </c>
      <c r="G1111" s="81" t="s">
        <v>40</v>
      </c>
      <c r="H1111" s="81" t="s">
        <v>5953</v>
      </c>
      <c r="I1111" s="81" t="s">
        <v>2873</v>
      </c>
      <c r="J1111" s="81" t="s">
        <v>224</v>
      </c>
    </row>
    <row r="1112" hidden="1">
      <c r="A1112" s="83" t="s">
        <v>4949</v>
      </c>
      <c r="B1112" s="83" t="s">
        <v>4950</v>
      </c>
      <c r="C1112" s="81" t="s">
        <v>4086</v>
      </c>
      <c r="D1112" s="83" t="s">
        <v>4601</v>
      </c>
      <c r="E1112" s="81" t="s">
        <v>2874</v>
      </c>
      <c r="F1112" s="84">
        <v>553.0</v>
      </c>
      <c r="G1112" s="81" t="s">
        <v>39</v>
      </c>
      <c r="H1112" s="81" t="s">
        <v>5888</v>
      </c>
      <c r="I1112" s="81" t="s">
        <v>2877</v>
      </c>
      <c r="J1112" s="81" t="s">
        <v>224</v>
      </c>
    </row>
    <row r="1113" hidden="1">
      <c r="A1113" s="83" t="s">
        <v>4949</v>
      </c>
      <c r="B1113" s="83" t="s">
        <v>4950</v>
      </c>
      <c r="C1113" s="81" t="s">
        <v>5141</v>
      </c>
      <c r="D1113" s="83" t="s">
        <v>4601</v>
      </c>
      <c r="E1113" s="81" t="s">
        <v>2874</v>
      </c>
      <c r="F1113" s="84">
        <v>553.0</v>
      </c>
      <c r="G1113" s="81" t="s">
        <v>40</v>
      </c>
      <c r="H1113" s="81" t="s">
        <v>5889</v>
      </c>
      <c r="I1113" s="81" t="s">
        <v>224</v>
      </c>
      <c r="J1113" s="81" t="s">
        <v>5143</v>
      </c>
    </row>
    <row r="1114" hidden="1">
      <c r="A1114" s="83" t="s">
        <v>4949</v>
      </c>
      <c r="B1114" s="83" t="s">
        <v>4950</v>
      </c>
      <c r="C1114" s="81" t="s">
        <v>4086</v>
      </c>
      <c r="D1114" s="83" t="s">
        <v>4603</v>
      </c>
      <c r="E1114" s="81" t="s">
        <v>2881</v>
      </c>
      <c r="F1114" s="84">
        <v>554.0</v>
      </c>
      <c r="G1114" s="81" t="s">
        <v>39</v>
      </c>
      <c r="H1114" s="81" t="s">
        <v>5888</v>
      </c>
      <c r="I1114" s="81" t="s">
        <v>2882</v>
      </c>
      <c r="J1114" s="81" t="s">
        <v>224</v>
      </c>
    </row>
    <row r="1115" hidden="1">
      <c r="A1115" s="83" t="s">
        <v>4949</v>
      </c>
      <c r="B1115" s="83" t="s">
        <v>4950</v>
      </c>
      <c r="C1115" s="81" t="s">
        <v>5141</v>
      </c>
      <c r="D1115" s="83" t="s">
        <v>4603</v>
      </c>
      <c r="E1115" s="81" t="s">
        <v>2881</v>
      </c>
      <c r="F1115" s="84">
        <v>554.0</v>
      </c>
      <c r="G1115" s="81" t="s">
        <v>40</v>
      </c>
      <c r="H1115" s="81" t="s">
        <v>5889</v>
      </c>
      <c r="I1115" s="81" t="s">
        <v>224</v>
      </c>
      <c r="J1115" s="81" t="s">
        <v>5143</v>
      </c>
    </row>
    <row r="1116" hidden="1">
      <c r="A1116" s="83" t="s">
        <v>4949</v>
      </c>
      <c r="B1116" s="83" t="s">
        <v>4950</v>
      </c>
      <c r="C1116" s="81" t="s">
        <v>4086</v>
      </c>
      <c r="D1116" s="83" t="s">
        <v>4604</v>
      </c>
      <c r="E1116" s="81" t="s">
        <v>2885</v>
      </c>
      <c r="F1116" s="84">
        <v>555.0</v>
      </c>
      <c r="G1116" s="81" t="s">
        <v>39</v>
      </c>
      <c r="H1116" s="81" t="s">
        <v>5888</v>
      </c>
      <c r="I1116" s="81" t="s">
        <v>2886</v>
      </c>
      <c r="J1116" s="81" t="s">
        <v>224</v>
      </c>
    </row>
    <row r="1117" hidden="1">
      <c r="A1117" s="83" t="s">
        <v>4949</v>
      </c>
      <c r="B1117" s="83" t="s">
        <v>4950</v>
      </c>
      <c r="C1117" s="81" t="s">
        <v>5141</v>
      </c>
      <c r="D1117" s="83" t="s">
        <v>4604</v>
      </c>
      <c r="E1117" s="81" t="s">
        <v>2885</v>
      </c>
      <c r="F1117" s="84">
        <v>555.0</v>
      </c>
      <c r="G1117" s="81" t="s">
        <v>40</v>
      </c>
      <c r="H1117" s="81" t="s">
        <v>5889</v>
      </c>
      <c r="I1117" s="81" t="s">
        <v>224</v>
      </c>
      <c r="J1117" s="81" t="s">
        <v>5143</v>
      </c>
    </row>
    <row r="1118" hidden="1">
      <c r="A1118" s="83" t="s">
        <v>4949</v>
      </c>
      <c r="B1118" s="83" t="s">
        <v>4950</v>
      </c>
      <c r="C1118" s="81" t="s">
        <v>4086</v>
      </c>
      <c r="D1118" s="83" t="s">
        <v>4605</v>
      </c>
      <c r="E1118" s="81" t="s">
        <v>2889</v>
      </c>
      <c r="F1118" s="84">
        <v>556.0</v>
      </c>
      <c r="G1118" s="81" t="s">
        <v>39</v>
      </c>
      <c r="H1118" s="81" t="s">
        <v>5844</v>
      </c>
      <c r="I1118" s="81" t="s">
        <v>2890</v>
      </c>
      <c r="J1118" s="81" t="s">
        <v>224</v>
      </c>
    </row>
    <row r="1119" hidden="1">
      <c r="A1119" s="83" t="s">
        <v>4949</v>
      </c>
      <c r="B1119" s="83" t="s">
        <v>4950</v>
      </c>
      <c r="C1119" s="81" t="s">
        <v>5141</v>
      </c>
      <c r="D1119" s="83" t="s">
        <v>4605</v>
      </c>
      <c r="E1119" s="81" t="s">
        <v>2889</v>
      </c>
      <c r="F1119" s="84">
        <v>556.0</v>
      </c>
      <c r="G1119" s="81" t="s">
        <v>40</v>
      </c>
      <c r="H1119" s="81" t="s">
        <v>5845</v>
      </c>
      <c r="I1119" s="81" t="s">
        <v>224</v>
      </c>
      <c r="J1119" s="81" t="s">
        <v>5143</v>
      </c>
    </row>
    <row r="1120" hidden="1">
      <c r="A1120" s="83" t="s">
        <v>4949</v>
      </c>
      <c r="B1120" s="83" t="s">
        <v>4950</v>
      </c>
      <c r="C1120" s="81" t="s">
        <v>4086</v>
      </c>
      <c r="D1120" s="83" t="s">
        <v>4606</v>
      </c>
      <c r="E1120" s="81" t="s">
        <v>2891</v>
      </c>
      <c r="F1120" s="84">
        <v>557.0</v>
      </c>
      <c r="G1120" s="81" t="s">
        <v>39</v>
      </c>
      <c r="H1120" s="81" t="s">
        <v>5844</v>
      </c>
      <c r="I1120" s="81" t="s">
        <v>2892</v>
      </c>
      <c r="J1120" s="81" t="s">
        <v>224</v>
      </c>
    </row>
    <row r="1121" hidden="1">
      <c r="A1121" s="83" t="s">
        <v>4949</v>
      </c>
      <c r="B1121" s="83" t="s">
        <v>4950</v>
      </c>
      <c r="C1121" s="81" t="s">
        <v>5141</v>
      </c>
      <c r="D1121" s="83" t="s">
        <v>4606</v>
      </c>
      <c r="E1121" s="81" t="s">
        <v>2891</v>
      </c>
      <c r="F1121" s="84">
        <v>557.0</v>
      </c>
      <c r="G1121" s="81" t="s">
        <v>40</v>
      </c>
      <c r="H1121" s="81" t="s">
        <v>5845</v>
      </c>
      <c r="I1121" s="81" t="s">
        <v>224</v>
      </c>
      <c r="J1121" s="81" t="s">
        <v>5143</v>
      </c>
    </row>
    <row r="1122" hidden="1">
      <c r="A1122" s="83" t="s">
        <v>4949</v>
      </c>
      <c r="B1122" s="83" t="s">
        <v>4950</v>
      </c>
      <c r="C1122" s="81" t="s">
        <v>5141</v>
      </c>
      <c r="D1122" s="83" t="s">
        <v>4607</v>
      </c>
      <c r="E1122" s="81" t="s">
        <v>2893</v>
      </c>
      <c r="F1122" s="84">
        <v>558.0</v>
      </c>
      <c r="G1122" s="81" t="s">
        <v>40</v>
      </c>
      <c r="H1122" s="81" t="s">
        <v>49</v>
      </c>
      <c r="I1122" s="81" t="s">
        <v>224</v>
      </c>
      <c r="J1122" s="81" t="s">
        <v>5143</v>
      </c>
    </row>
    <row r="1123" hidden="1">
      <c r="A1123" s="83" t="s">
        <v>4949</v>
      </c>
      <c r="B1123" s="83" t="s">
        <v>4950</v>
      </c>
      <c r="C1123" s="81" t="s">
        <v>4086</v>
      </c>
      <c r="D1123" s="83" t="s">
        <v>4608</v>
      </c>
      <c r="E1123" s="81" t="s">
        <v>4609</v>
      </c>
      <c r="F1123" s="84">
        <v>559.0</v>
      </c>
      <c r="G1123" s="81" t="s">
        <v>39</v>
      </c>
      <c r="H1123" s="81" t="s">
        <v>5954</v>
      </c>
      <c r="I1123" s="81" t="s">
        <v>2899</v>
      </c>
      <c r="J1123" s="81" t="s">
        <v>224</v>
      </c>
    </row>
    <row r="1124" hidden="1">
      <c r="A1124" s="83" t="s">
        <v>4949</v>
      </c>
      <c r="B1124" s="83" t="s">
        <v>4950</v>
      </c>
      <c r="C1124" s="81" t="s">
        <v>4086</v>
      </c>
      <c r="D1124" s="83" t="s">
        <v>4608</v>
      </c>
      <c r="E1124" s="81" t="s">
        <v>4609</v>
      </c>
      <c r="F1124" s="84">
        <v>559.0</v>
      </c>
      <c r="G1124" s="81" t="s">
        <v>40</v>
      </c>
      <c r="H1124" s="81" t="s">
        <v>5955</v>
      </c>
      <c r="I1124" s="81" t="s">
        <v>5956</v>
      </c>
      <c r="J1124" s="81" t="s">
        <v>224</v>
      </c>
    </row>
    <row r="1125" hidden="1">
      <c r="A1125" s="83" t="s">
        <v>4949</v>
      </c>
      <c r="B1125" s="83" t="s">
        <v>4950</v>
      </c>
      <c r="C1125" s="81" t="s">
        <v>4086</v>
      </c>
      <c r="D1125" s="83" t="s">
        <v>4608</v>
      </c>
      <c r="E1125" s="81" t="s">
        <v>2906</v>
      </c>
      <c r="F1125" s="84">
        <v>560.0</v>
      </c>
      <c r="G1125" s="81" t="s">
        <v>39</v>
      </c>
      <c r="H1125" s="81" t="s">
        <v>5957</v>
      </c>
      <c r="I1125" s="81" t="s">
        <v>2899</v>
      </c>
      <c r="J1125" s="81" t="s">
        <v>224</v>
      </c>
    </row>
    <row r="1126" hidden="1">
      <c r="A1126" s="83" t="s">
        <v>4949</v>
      </c>
      <c r="B1126" s="83" t="s">
        <v>4950</v>
      </c>
      <c r="C1126" s="81" t="s">
        <v>4086</v>
      </c>
      <c r="D1126" s="83" t="s">
        <v>4608</v>
      </c>
      <c r="E1126" s="81" t="s">
        <v>2906</v>
      </c>
      <c r="F1126" s="84">
        <v>560.0</v>
      </c>
      <c r="G1126" s="81" t="s">
        <v>40</v>
      </c>
      <c r="H1126" s="81" t="s">
        <v>5958</v>
      </c>
      <c r="I1126" s="81" t="s">
        <v>5956</v>
      </c>
      <c r="J1126" s="81" t="s">
        <v>224</v>
      </c>
    </row>
    <row r="1127" hidden="1">
      <c r="A1127" s="83" t="s">
        <v>4949</v>
      </c>
      <c r="B1127" s="83" t="s">
        <v>4950</v>
      </c>
      <c r="C1127" s="81" t="s">
        <v>4086</v>
      </c>
      <c r="D1127" s="83" t="s">
        <v>4611</v>
      </c>
      <c r="E1127" s="81" t="s">
        <v>2908</v>
      </c>
      <c r="F1127" s="84">
        <v>561.0</v>
      </c>
      <c r="G1127" s="81" t="s">
        <v>39</v>
      </c>
      <c r="H1127" s="81" t="s">
        <v>5959</v>
      </c>
      <c r="I1127" s="81" t="s">
        <v>2909</v>
      </c>
      <c r="J1127" s="81" t="s">
        <v>224</v>
      </c>
    </row>
    <row r="1128" hidden="1">
      <c r="A1128" s="83" t="s">
        <v>4949</v>
      </c>
      <c r="B1128" s="83" t="s">
        <v>4950</v>
      </c>
      <c r="C1128" s="81" t="s">
        <v>4086</v>
      </c>
      <c r="D1128" s="83" t="s">
        <v>4611</v>
      </c>
      <c r="E1128" s="81" t="s">
        <v>2908</v>
      </c>
      <c r="F1128" s="84">
        <v>561.0</v>
      </c>
      <c r="G1128" s="81" t="s">
        <v>40</v>
      </c>
      <c r="H1128" s="81" t="s">
        <v>5960</v>
      </c>
      <c r="I1128" s="81" t="s">
        <v>2910</v>
      </c>
      <c r="J1128" s="81" t="s">
        <v>224</v>
      </c>
    </row>
    <row r="1129" hidden="1">
      <c r="A1129" s="83" t="s">
        <v>4949</v>
      </c>
      <c r="B1129" s="83" t="s">
        <v>4950</v>
      </c>
      <c r="C1129" s="81" t="s">
        <v>4086</v>
      </c>
      <c r="D1129" s="83" t="s">
        <v>4612</v>
      </c>
      <c r="E1129" s="81" t="s">
        <v>2911</v>
      </c>
      <c r="F1129" s="84">
        <v>562.0</v>
      </c>
      <c r="G1129" s="81" t="s">
        <v>39</v>
      </c>
      <c r="H1129" s="81" t="s">
        <v>2014</v>
      </c>
      <c r="I1129" s="81" t="s">
        <v>2915</v>
      </c>
      <c r="J1129" s="81" t="s">
        <v>224</v>
      </c>
    </row>
    <row r="1130" hidden="1">
      <c r="A1130" s="83" t="s">
        <v>4949</v>
      </c>
      <c r="B1130" s="83" t="s">
        <v>4950</v>
      </c>
      <c r="C1130" s="81" t="s">
        <v>4086</v>
      </c>
      <c r="D1130" s="83" t="s">
        <v>4612</v>
      </c>
      <c r="E1130" s="81" t="s">
        <v>2911</v>
      </c>
      <c r="F1130" s="84">
        <v>562.0</v>
      </c>
      <c r="G1130" s="81" t="s">
        <v>40</v>
      </c>
      <c r="H1130" s="81" t="s">
        <v>5961</v>
      </c>
      <c r="I1130" s="81" t="s">
        <v>2916</v>
      </c>
      <c r="J1130" s="81" t="s">
        <v>224</v>
      </c>
    </row>
    <row r="1131" hidden="1">
      <c r="A1131" s="83" t="s">
        <v>4949</v>
      </c>
      <c r="B1131" s="83" t="s">
        <v>4950</v>
      </c>
      <c r="C1131" s="81" t="s">
        <v>4086</v>
      </c>
      <c r="D1131" s="83" t="s">
        <v>4612</v>
      </c>
      <c r="E1131" s="81" t="s">
        <v>2921</v>
      </c>
      <c r="F1131" s="84">
        <v>563.0</v>
      </c>
      <c r="G1131" s="81" t="s">
        <v>39</v>
      </c>
      <c r="H1131" s="81" t="s">
        <v>5962</v>
      </c>
      <c r="I1131" s="81" t="s">
        <v>2915</v>
      </c>
      <c r="J1131" s="81" t="s">
        <v>224</v>
      </c>
    </row>
    <row r="1132" hidden="1">
      <c r="A1132" s="83" t="s">
        <v>4949</v>
      </c>
      <c r="B1132" s="83" t="s">
        <v>4950</v>
      </c>
      <c r="C1132" s="81" t="s">
        <v>4086</v>
      </c>
      <c r="D1132" s="83" t="s">
        <v>4612</v>
      </c>
      <c r="E1132" s="81" t="s">
        <v>2921</v>
      </c>
      <c r="F1132" s="84">
        <v>563.0</v>
      </c>
      <c r="G1132" s="81" t="s">
        <v>40</v>
      </c>
      <c r="H1132" s="81" t="s">
        <v>5961</v>
      </c>
      <c r="I1132" s="81" t="s">
        <v>2916</v>
      </c>
      <c r="J1132" s="81" t="s">
        <v>224</v>
      </c>
    </row>
    <row r="1133" hidden="1">
      <c r="A1133" s="83" t="s">
        <v>4949</v>
      </c>
      <c r="B1133" s="83" t="s">
        <v>4950</v>
      </c>
      <c r="C1133" s="81" t="s">
        <v>4086</v>
      </c>
      <c r="D1133" s="83" t="s">
        <v>4614</v>
      </c>
      <c r="E1133" s="81" t="s">
        <v>2922</v>
      </c>
      <c r="F1133" s="84">
        <v>564.0</v>
      </c>
      <c r="G1133" s="81" t="s">
        <v>40</v>
      </c>
      <c r="H1133" s="81" t="s">
        <v>5963</v>
      </c>
      <c r="I1133" s="81" t="s">
        <v>2926</v>
      </c>
      <c r="J1133" s="81" t="s">
        <v>224</v>
      </c>
    </row>
    <row r="1134" hidden="1">
      <c r="A1134" s="83" t="s">
        <v>4949</v>
      </c>
      <c r="B1134" s="83" t="s">
        <v>4950</v>
      </c>
      <c r="C1134" s="81" t="s">
        <v>4086</v>
      </c>
      <c r="D1134" s="83" t="s">
        <v>4616</v>
      </c>
      <c r="E1134" s="81" t="s">
        <v>2930</v>
      </c>
      <c r="F1134" s="84">
        <v>565.0</v>
      </c>
      <c r="G1134" s="81" t="s">
        <v>39</v>
      </c>
      <c r="H1134" s="81" t="s">
        <v>5964</v>
      </c>
      <c r="I1134" s="81" t="s">
        <v>2931</v>
      </c>
      <c r="J1134" s="81" t="s">
        <v>224</v>
      </c>
    </row>
    <row r="1135" hidden="1">
      <c r="A1135" s="83" t="s">
        <v>4949</v>
      </c>
      <c r="B1135" s="83" t="s">
        <v>4950</v>
      </c>
      <c r="C1135" s="81" t="s">
        <v>4086</v>
      </c>
      <c r="D1135" s="83" t="s">
        <v>4616</v>
      </c>
      <c r="E1135" s="81" t="s">
        <v>2930</v>
      </c>
      <c r="F1135" s="84">
        <v>565.0</v>
      </c>
      <c r="G1135" s="81" t="s">
        <v>40</v>
      </c>
      <c r="H1135" s="81" t="s">
        <v>5965</v>
      </c>
      <c r="I1135" s="81" t="s">
        <v>2932</v>
      </c>
      <c r="J1135" s="81" t="s">
        <v>224</v>
      </c>
    </row>
    <row r="1136" hidden="1">
      <c r="A1136" s="83" t="s">
        <v>4949</v>
      </c>
      <c r="B1136" s="83" t="s">
        <v>4950</v>
      </c>
      <c r="C1136" s="81" t="s">
        <v>4086</v>
      </c>
      <c r="D1136" s="83" t="s">
        <v>4617</v>
      </c>
      <c r="E1136" s="81" t="s">
        <v>2933</v>
      </c>
      <c r="F1136" s="84">
        <v>566.0</v>
      </c>
      <c r="G1136" s="81" t="s">
        <v>39</v>
      </c>
      <c r="H1136" s="81" t="s">
        <v>5966</v>
      </c>
      <c r="I1136" s="81" t="s">
        <v>2934</v>
      </c>
      <c r="J1136" s="81" t="s">
        <v>224</v>
      </c>
    </row>
    <row r="1137" hidden="1">
      <c r="A1137" s="83" t="s">
        <v>4949</v>
      </c>
      <c r="B1137" s="83" t="s">
        <v>4950</v>
      </c>
      <c r="C1137" s="81" t="s">
        <v>4086</v>
      </c>
      <c r="D1137" s="83" t="s">
        <v>4617</v>
      </c>
      <c r="E1137" s="81" t="s">
        <v>2933</v>
      </c>
      <c r="F1137" s="84">
        <v>566.0</v>
      </c>
      <c r="G1137" s="81" t="s">
        <v>40</v>
      </c>
      <c r="H1137" s="81" t="s">
        <v>5967</v>
      </c>
      <c r="I1137" s="81" t="s">
        <v>2935</v>
      </c>
      <c r="J1137" s="81" t="s">
        <v>224</v>
      </c>
    </row>
    <row r="1138" hidden="1">
      <c r="A1138" s="83" t="s">
        <v>4949</v>
      </c>
      <c r="B1138" s="83" t="s">
        <v>4950</v>
      </c>
      <c r="C1138" s="81" t="s">
        <v>4086</v>
      </c>
      <c r="D1138" s="83" t="s">
        <v>4622</v>
      </c>
      <c r="E1138" s="81" t="s">
        <v>2936</v>
      </c>
      <c r="F1138" s="84">
        <v>567.0</v>
      </c>
      <c r="G1138" s="81" t="s">
        <v>39</v>
      </c>
      <c r="H1138" s="81" t="s">
        <v>5968</v>
      </c>
      <c r="I1138" s="81" t="s">
        <v>2942</v>
      </c>
      <c r="J1138" s="81" t="s">
        <v>224</v>
      </c>
    </row>
    <row r="1139" hidden="1">
      <c r="A1139" s="83" t="s">
        <v>4949</v>
      </c>
      <c r="B1139" s="83" t="s">
        <v>4950</v>
      </c>
      <c r="C1139" s="81" t="s">
        <v>4086</v>
      </c>
      <c r="D1139" s="83" t="s">
        <v>4622</v>
      </c>
      <c r="E1139" s="81" t="s">
        <v>2936</v>
      </c>
      <c r="F1139" s="84">
        <v>567.0</v>
      </c>
      <c r="G1139" s="81" t="s">
        <v>40</v>
      </c>
      <c r="H1139" s="81" t="s">
        <v>5969</v>
      </c>
      <c r="I1139" s="81" t="s">
        <v>5970</v>
      </c>
      <c r="J1139" s="81" t="s">
        <v>224</v>
      </c>
    </row>
    <row r="1140" hidden="1">
      <c r="A1140" s="83" t="s">
        <v>4949</v>
      </c>
      <c r="B1140" s="83" t="s">
        <v>4950</v>
      </c>
      <c r="C1140" s="81" t="s">
        <v>4086</v>
      </c>
      <c r="D1140" s="83" t="s">
        <v>4625</v>
      </c>
      <c r="E1140" s="81" t="s">
        <v>2949</v>
      </c>
      <c r="F1140" s="84">
        <v>568.0</v>
      </c>
      <c r="G1140" s="81" t="s">
        <v>39</v>
      </c>
      <c r="H1140" s="81" t="s">
        <v>5971</v>
      </c>
      <c r="I1140" s="81" t="s">
        <v>2954</v>
      </c>
      <c r="J1140" s="81" t="s">
        <v>224</v>
      </c>
    </row>
    <row r="1141" hidden="1">
      <c r="A1141" s="83" t="s">
        <v>4949</v>
      </c>
      <c r="B1141" s="83" t="s">
        <v>4950</v>
      </c>
      <c r="C1141" s="81" t="s">
        <v>4086</v>
      </c>
      <c r="D1141" s="83" t="s">
        <v>4625</v>
      </c>
      <c r="E1141" s="81" t="s">
        <v>2949</v>
      </c>
      <c r="F1141" s="84">
        <v>568.0</v>
      </c>
      <c r="G1141" s="81" t="s">
        <v>40</v>
      </c>
      <c r="H1141" s="81" t="s">
        <v>5972</v>
      </c>
      <c r="I1141" s="81" t="s">
        <v>2955</v>
      </c>
      <c r="J1141" s="81" t="s">
        <v>224</v>
      </c>
    </row>
    <row r="1142" hidden="1">
      <c r="A1142" s="83" t="s">
        <v>4949</v>
      </c>
      <c r="B1142" s="83" t="s">
        <v>4950</v>
      </c>
      <c r="C1142" s="81" t="s">
        <v>4086</v>
      </c>
      <c r="D1142" s="83" t="s">
        <v>4625</v>
      </c>
      <c r="E1142" s="81" t="s">
        <v>2961</v>
      </c>
      <c r="F1142" s="84">
        <v>569.0</v>
      </c>
      <c r="G1142" s="81" t="s">
        <v>40</v>
      </c>
      <c r="H1142" s="81" t="s">
        <v>5973</v>
      </c>
      <c r="I1142" s="81" t="s">
        <v>2955</v>
      </c>
      <c r="J1142" s="81" t="s">
        <v>224</v>
      </c>
    </row>
    <row r="1143" hidden="1">
      <c r="A1143" s="83" t="s">
        <v>4949</v>
      </c>
      <c r="B1143" s="83" t="s">
        <v>4950</v>
      </c>
      <c r="C1143" s="81" t="s">
        <v>4086</v>
      </c>
      <c r="D1143" s="83" t="s">
        <v>4627</v>
      </c>
      <c r="E1143" s="81" t="s">
        <v>2962</v>
      </c>
      <c r="F1143" s="84">
        <v>570.0</v>
      </c>
      <c r="G1143" s="81" t="s">
        <v>39</v>
      </c>
      <c r="H1143" s="81" t="s">
        <v>5974</v>
      </c>
      <c r="I1143" s="81" t="s">
        <v>2963</v>
      </c>
      <c r="J1143" s="81" t="s">
        <v>224</v>
      </c>
    </row>
    <row r="1144" hidden="1">
      <c r="A1144" s="83" t="s">
        <v>4949</v>
      </c>
      <c r="B1144" s="83" t="s">
        <v>4950</v>
      </c>
      <c r="C1144" s="81" t="s">
        <v>4086</v>
      </c>
      <c r="D1144" s="83" t="s">
        <v>4627</v>
      </c>
      <c r="E1144" s="81" t="s">
        <v>2962</v>
      </c>
      <c r="F1144" s="84">
        <v>570.0</v>
      </c>
      <c r="G1144" s="81" t="s">
        <v>40</v>
      </c>
      <c r="H1144" s="81" t="s">
        <v>5975</v>
      </c>
      <c r="I1144" s="81" t="s">
        <v>2964</v>
      </c>
      <c r="J1144" s="81" t="s">
        <v>224</v>
      </c>
    </row>
    <row r="1145" hidden="1">
      <c r="A1145" s="83" t="s">
        <v>4949</v>
      </c>
      <c r="B1145" s="83" t="s">
        <v>4950</v>
      </c>
      <c r="C1145" s="81" t="s">
        <v>4086</v>
      </c>
      <c r="D1145" s="83" t="s">
        <v>4628</v>
      </c>
      <c r="E1145" s="81" t="s">
        <v>2965</v>
      </c>
      <c r="F1145" s="84">
        <v>571.0</v>
      </c>
      <c r="G1145" s="81" t="s">
        <v>39</v>
      </c>
      <c r="H1145" s="81" t="s">
        <v>5976</v>
      </c>
      <c r="I1145" s="81" t="s">
        <v>2971</v>
      </c>
      <c r="J1145" s="81" t="s">
        <v>224</v>
      </c>
    </row>
    <row r="1146" hidden="1">
      <c r="A1146" s="83" t="s">
        <v>4949</v>
      </c>
      <c r="B1146" s="83" t="s">
        <v>4950</v>
      </c>
      <c r="C1146" s="81" t="s">
        <v>4086</v>
      </c>
      <c r="D1146" s="83" t="s">
        <v>4628</v>
      </c>
      <c r="E1146" s="81" t="s">
        <v>2965</v>
      </c>
      <c r="F1146" s="84">
        <v>571.0</v>
      </c>
      <c r="G1146" s="81" t="s">
        <v>40</v>
      </c>
      <c r="H1146" s="81" t="s">
        <v>5977</v>
      </c>
      <c r="I1146" s="81" t="s">
        <v>5978</v>
      </c>
      <c r="J1146" s="81" t="s">
        <v>224</v>
      </c>
    </row>
    <row r="1147" hidden="1">
      <c r="A1147" s="83" t="s">
        <v>4949</v>
      </c>
      <c r="B1147" s="83" t="s">
        <v>4950</v>
      </c>
      <c r="C1147" s="81" t="s">
        <v>4086</v>
      </c>
      <c r="D1147" s="83" t="s">
        <v>4628</v>
      </c>
      <c r="E1147" s="81" t="s">
        <v>2978</v>
      </c>
      <c r="F1147" s="84">
        <v>572.0</v>
      </c>
      <c r="G1147" s="81" t="s">
        <v>39</v>
      </c>
      <c r="H1147" s="81" t="s">
        <v>5976</v>
      </c>
      <c r="I1147" s="81" t="s">
        <v>2971</v>
      </c>
      <c r="J1147" s="81" t="s">
        <v>224</v>
      </c>
    </row>
    <row r="1148" hidden="1">
      <c r="A1148" s="83" t="s">
        <v>4949</v>
      </c>
      <c r="B1148" s="83" t="s">
        <v>4950</v>
      </c>
      <c r="C1148" s="81" t="s">
        <v>4086</v>
      </c>
      <c r="D1148" s="83" t="s">
        <v>4628</v>
      </c>
      <c r="E1148" s="81" t="s">
        <v>2978</v>
      </c>
      <c r="F1148" s="84">
        <v>572.0</v>
      </c>
      <c r="G1148" s="81" t="s">
        <v>40</v>
      </c>
      <c r="H1148" s="81" t="s">
        <v>5977</v>
      </c>
      <c r="I1148" s="81" t="s">
        <v>5978</v>
      </c>
      <c r="J1148" s="81" t="s">
        <v>224</v>
      </c>
    </row>
    <row r="1149" hidden="1">
      <c r="A1149" s="83" t="s">
        <v>4949</v>
      </c>
      <c r="B1149" s="83" t="s">
        <v>4950</v>
      </c>
      <c r="C1149" s="81" t="s">
        <v>4086</v>
      </c>
      <c r="D1149" s="83" t="s">
        <v>4630</v>
      </c>
      <c r="E1149" s="81" t="s">
        <v>2979</v>
      </c>
      <c r="F1149" s="84">
        <v>573.0</v>
      </c>
      <c r="G1149" s="81" t="s">
        <v>39</v>
      </c>
      <c r="H1149" s="81" t="s">
        <v>5979</v>
      </c>
      <c r="I1149" s="81" t="s">
        <v>2980</v>
      </c>
      <c r="J1149" s="81" t="s">
        <v>224</v>
      </c>
    </row>
    <row r="1150" hidden="1">
      <c r="A1150" s="83" t="s">
        <v>4949</v>
      </c>
      <c r="B1150" s="83" t="s">
        <v>4950</v>
      </c>
      <c r="C1150" s="81" t="s">
        <v>4086</v>
      </c>
      <c r="D1150" s="83" t="s">
        <v>4630</v>
      </c>
      <c r="E1150" s="81" t="s">
        <v>2979</v>
      </c>
      <c r="F1150" s="84">
        <v>573.0</v>
      </c>
      <c r="G1150" s="81" t="s">
        <v>40</v>
      </c>
      <c r="H1150" s="81" t="s">
        <v>5980</v>
      </c>
      <c r="I1150" s="81" t="s">
        <v>2981</v>
      </c>
      <c r="J1150" s="81" t="s">
        <v>224</v>
      </c>
    </row>
    <row r="1151" hidden="1">
      <c r="A1151" s="83" t="s">
        <v>4949</v>
      </c>
      <c r="B1151" s="83" t="s">
        <v>4950</v>
      </c>
      <c r="C1151" s="81" t="s">
        <v>4086</v>
      </c>
      <c r="D1151" s="83" t="s">
        <v>4631</v>
      </c>
      <c r="E1151" s="81" t="s">
        <v>2982</v>
      </c>
      <c r="F1151" s="84">
        <v>574.0</v>
      </c>
      <c r="G1151" s="81" t="s">
        <v>39</v>
      </c>
      <c r="H1151" s="81" t="s">
        <v>5981</v>
      </c>
      <c r="I1151" s="81" t="s">
        <v>2988</v>
      </c>
      <c r="J1151" s="81" t="s">
        <v>224</v>
      </c>
    </row>
    <row r="1152" hidden="1">
      <c r="A1152" s="83" t="s">
        <v>4949</v>
      </c>
      <c r="B1152" s="83" t="s">
        <v>4950</v>
      </c>
      <c r="C1152" s="81" t="s">
        <v>4086</v>
      </c>
      <c r="D1152" s="83" t="s">
        <v>4631</v>
      </c>
      <c r="E1152" s="81" t="s">
        <v>2982</v>
      </c>
      <c r="F1152" s="84">
        <v>574.0</v>
      </c>
      <c r="G1152" s="81" t="s">
        <v>40</v>
      </c>
      <c r="H1152" s="81" t="s">
        <v>5982</v>
      </c>
      <c r="I1152" s="81" t="s">
        <v>2989</v>
      </c>
      <c r="J1152" s="81" t="s">
        <v>224</v>
      </c>
    </row>
    <row r="1153" hidden="1">
      <c r="A1153" s="83" t="s">
        <v>4949</v>
      </c>
      <c r="B1153" s="83" t="s">
        <v>4950</v>
      </c>
      <c r="C1153" s="81" t="s">
        <v>4086</v>
      </c>
      <c r="D1153" s="83" t="s">
        <v>4631</v>
      </c>
      <c r="E1153" s="81" t="s">
        <v>2995</v>
      </c>
      <c r="F1153" s="84">
        <v>575.0</v>
      </c>
      <c r="G1153" s="81" t="s">
        <v>40</v>
      </c>
      <c r="H1153" s="81" t="s">
        <v>5983</v>
      </c>
      <c r="I1153" s="81" t="s">
        <v>2989</v>
      </c>
      <c r="J1153" s="81" t="s">
        <v>224</v>
      </c>
    </row>
    <row r="1154" hidden="1">
      <c r="A1154" s="83" t="s">
        <v>4949</v>
      </c>
      <c r="B1154" s="83" t="s">
        <v>4950</v>
      </c>
      <c r="C1154" s="81" t="s">
        <v>4086</v>
      </c>
      <c r="D1154" s="83" t="s">
        <v>4633</v>
      </c>
      <c r="E1154" s="81" t="s">
        <v>2996</v>
      </c>
      <c r="F1154" s="84">
        <v>576.0</v>
      </c>
      <c r="G1154" s="81" t="s">
        <v>39</v>
      </c>
      <c r="H1154" s="81" t="s">
        <v>5984</v>
      </c>
      <c r="I1154" s="81" t="s">
        <v>2997</v>
      </c>
      <c r="J1154" s="81" t="s">
        <v>224</v>
      </c>
    </row>
    <row r="1155" hidden="1">
      <c r="A1155" s="83" t="s">
        <v>4949</v>
      </c>
      <c r="B1155" s="83" t="s">
        <v>4950</v>
      </c>
      <c r="C1155" s="81" t="s">
        <v>4086</v>
      </c>
      <c r="D1155" s="83" t="s">
        <v>4633</v>
      </c>
      <c r="E1155" s="81" t="s">
        <v>2996</v>
      </c>
      <c r="F1155" s="84">
        <v>576.0</v>
      </c>
      <c r="G1155" s="81" t="s">
        <v>40</v>
      </c>
      <c r="H1155" s="81" t="s">
        <v>5985</v>
      </c>
      <c r="I1155" s="81" t="s">
        <v>2998</v>
      </c>
      <c r="J1155" s="81" t="s">
        <v>224</v>
      </c>
    </row>
    <row r="1156" hidden="1">
      <c r="A1156" s="83" t="s">
        <v>4949</v>
      </c>
      <c r="B1156" s="83" t="s">
        <v>4950</v>
      </c>
      <c r="C1156" s="81" t="s">
        <v>4086</v>
      </c>
      <c r="D1156" s="83" t="s">
        <v>4634</v>
      </c>
      <c r="E1156" s="81" t="s">
        <v>2999</v>
      </c>
      <c r="F1156" s="84">
        <v>577.0</v>
      </c>
      <c r="G1156" s="81" t="s">
        <v>39</v>
      </c>
      <c r="H1156" s="81" t="s">
        <v>5986</v>
      </c>
      <c r="I1156" s="81" t="s">
        <v>3002</v>
      </c>
      <c r="J1156" s="81" t="s">
        <v>224</v>
      </c>
    </row>
    <row r="1157" hidden="1">
      <c r="A1157" s="83" t="s">
        <v>4949</v>
      </c>
      <c r="B1157" s="83" t="s">
        <v>4950</v>
      </c>
      <c r="C1157" s="81" t="s">
        <v>4086</v>
      </c>
      <c r="D1157" s="83" t="s">
        <v>4634</v>
      </c>
      <c r="E1157" s="81" t="s">
        <v>2999</v>
      </c>
      <c r="F1157" s="84">
        <v>577.0</v>
      </c>
      <c r="G1157" s="81" t="s">
        <v>40</v>
      </c>
      <c r="H1157" s="81" t="s">
        <v>5987</v>
      </c>
      <c r="I1157" s="81" t="s">
        <v>3003</v>
      </c>
      <c r="J1157" s="81" t="s">
        <v>224</v>
      </c>
    </row>
    <row r="1158" hidden="1">
      <c r="A1158" s="83" t="s">
        <v>4949</v>
      </c>
      <c r="B1158" s="83" t="s">
        <v>4950</v>
      </c>
      <c r="C1158" s="81" t="s">
        <v>4086</v>
      </c>
      <c r="D1158" s="83" t="s">
        <v>4634</v>
      </c>
      <c r="E1158" s="81" t="s">
        <v>3009</v>
      </c>
      <c r="F1158" s="84">
        <v>578.0</v>
      </c>
      <c r="G1158" s="81" t="s">
        <v>39</v>
      </c>
      <c r="H1158" s="81" t="s">
        <v>5986</v>
      </c>
      <c r="I1158" s="81" t="s">
        <v>3002</v>
      </c>
      <c r="J1158" s="81" t="s">
        <v>224</v>
      </c>
    </row>
    <row r="1159" hidden="1">
      <c r="A1159" s="83" t="s">
        <v>4949</v>
      </c>
      <c r="B1159" s="83" t="s">
        <v>4950</v>
      </c>
      <c r="C1159" s="81" t="s">
        <v>4086</v>
      </c>
      <c r="D1159" s="83" t="s">
        <v>4634</v>
      </c>
      <c r="E1159" s="81" t="s">
        <v>3009</v>
      </c>
      <c r="F1159" s="84">
        <v>578.0</v>
      </c>
      <c r="G1159" s="81" t="s">
        <v>40</v>
      </c>
      <c r="H1159" s="81" t="s">
        <v>5987</v>
      </c>
      <c r="I1159" s="81" t="s">
        <v>3003</v>
      </c>
      <c r="J1159" s="81" t="s">
        <v>224</v>
      </c>
    </row>
    <row r="1160" hidden="1">
      <c r="A1160" s="83" t="s">
        <v>4949</v>
      </c>
      <c r="B1160" s="83" t="s">
        <v>4950</v>
      </c>
      <c r="C1160" s="81" t="s">
        <v>4086</v>
      </c>
      <c r="D1160" s="83" t="s">
        <v>4636</v>
      </c>
      <c r="E1160" s="81" t="s">
        <v>3010</v>
      </c>
      <c r="F1160" s="84">
        <v>579.0</v>
      </c>
      <c r="G1160" s="81" t="s">
        <v>39</v>
      </c>
      <c r="H1160" s="81" t="s">
        <v>5988</v>
      </c>
      <c r="I1160" s="81" t="s">
        <v>3011</v>
      </c>
      <c r="J1160" s="81" t="s">
        <v>224</v>
      </c>
    </row>
    <row r="1161" hidden="1">
      <c r="A1161" s="83" t="s">
        <v>4949</v>
      </c>
      <c r="B1161" s="83" t="s">
        <v>4950</v>
      </c>
      <c r="C1161" s="81" t="s">
        <v>4086</v>
      </c>
      <c r="D1161" s="83" t="s">
        <v>4636</v>
      </c>
      <c r="E1161" s="81" t="s">
        <v>3010</v>
      </c>
      <c r="F1161" s="84">
        <v>579.0</v>
      </c>
      <c r="G1161" s="81" t="s">
        <v>40</v>
      </c>
      <c r="H1161" s="81" t="s">
        <v>5989</v>
      </c>
      <c r="I1161" s="81" t="s">
        <v>3012</v>
      </c>
      <c r="J1161" s="81" t="s">
        <v>224</v>
      </c>
    </row>
    <row r="1162" hidden="1">
      <c r="A1162" s="83" t="s">
        <v>4949</v>
      </c>
      <c r="B1162" s="83" t="s">
        <v>4950</v>
      </c>
      <c r="C1162" s="81" t="s">
        <v>4086</v>
      </c>
      <c r="D1162" s="83" t="s">
        <v>4637</v>
      </c>
      <c r="E1162" s="81" t="s">
        <v>3013</v>
      </c>
      <c r="F1162" s="84">
        <v>580.0</v>
      </c>
      <c r="G1162" s="81" t="s">
        <v>39</v>
      </c>
      <c r="H1162" s="81" t="s">
        <v>5990</v>
      </c>
      <c r="I1162" s="81" t="s">
        <v>3019</v>
      </c>
      <c r="J1162" s="81" t="s">
        <v>224</v>
      </c>
    </row>
    <row r="1163" hidden="1">
      <c r="A1163" s="83" t="s">
        <v>4949</v>
      </c>
      <c r="B1163" s="83" t="s">
        <v>4950</v>
      </c>
      <c r="C1163" s="81" t="s">
        <v>4086</v>
      </c>
      <c r="D1163" s="83" t="s">
        <v>4637</v>
      </c>
      <c r="E1163" s="81" t="s">
        <v>3013</v>
      </c>
      <c r="F1163" s="84">
        <v>580.0</v>
      </c>
      <c r="G1163" s="81" t="s">
        <v>40</v>
      </c>
      <c r="H1163" s="81" t="s">
        <v>5991</v>
      </c>
      <c r="I1163" s="81" t="s">
        <v>3020</v>
      </c>
      <c r="J1163" s="81" t="s">
        <v>224</v>
      </c>
    </row>
    <row r="1164" hidden="1">
      <c r="A1164" s="83" t="s">
        <v>4949</v>
      </c>
      <c r="B1164" s="83" t="s">
        <v>4950</v>
      </c>
      <c r="C1164" s="81" t="s">
        <v>4086</v>
      </c>
      <c r="D1164" s="83" t="s">
        <v>4637</v>
      </c>
      <c r="E1164" s="81" t="s">
        <v>3013</v>
      </c>
      <c r="F1164" s="84">
        <v>580.0</v>
      </c>
      <c r="G1164" s="81" t="s">
        <v>43</v>
      </c>
      <c r="H1164" s="81" t="s">
        <v>3023</v>
      </c>
      <c r="I1164" s="81" t="s">
        <v>5992</v>
      </c>
      <c r="J1164" s="81" t="s">
        <v>224</v>
      </c>
    </row>
    <row r="1165" hidden="1">
      <c r="A1165" s="83" t="s">
        <v>4949</v>
      </c>
      <c r="B1165" s="83" t="s">
        <v>4950</v>
      </c>
      <c r="C1165" s="81" t="s">
        <v>4086</v>
      </c>
      <c r="D1165" s="83" t="s">
        <v>4637</v>
      </c>
      <c r="E1165" s="81" t="s">
        <v>3026</v>
      </c>
      <c r="F1165" s="84">
        <v>581.0</v>
      </c>
      <c r="G1165" s="81" t="s">
        <v>39</v>
      </c>
      <c r="H1165" s="81" t="s">
        <v>5990</v>
      </c>
      <c r="I1165" s="81" t="s">
        <v>3019</v>
      </c>
      <c r="J1165" s="81" t="s">
        <v>224</v>
      </c>
    </row>
    <row r="1166" hidden="1">
      <c r="A1166" s="83" t="s">
        <v>4949</v>
      </c>
      <c r="B1166" s="83" t="s">
        <v>4950</v>
      </c>
      <c r="C1166" s="81" t="s">
        <v>4086</v>
      </c>
      <c r="D1166" s="83" t="s">
        <v>4637</v>
      </c>
      <c r="E1166" s="81" t="s">
        <v>3026</v>
      </c>
      <c r="F1166" s="84">
        <v>581.0</v>
      </c>
      <c r="G1166" s="81" t="s">
        <v>40</v>
      </c>
      <c r="H1166" s="81" t="s">
        <v>5991</v>
      </c>
      <c r="I1166" s="81" t="s">
        <v>3020</v>
      </c>
      <c r="J1166" s="81" t="s">
        <v>224</v>
      </c>
    </row>
    <row r="1167" hidden="1">
      <c r="A1167" s="83" t="s">
        <v>4949</v>
      </c>
      <c r="B1167" s="83" t="s">
        <v>4950</v>
      </c>
      <c r="C1167" s="81" t="s">
        <v>4086</v>
      </c>
      <c r="D1167" s="83" t="s">
        <v>4637</v>
      </c>
      <c r="E1167" s="81" t="s">
        <v>3026</v>
      </c>
      <c r="F1167" s="84">
        <v>581.0</v>
      </c>
      <c r="G1167" s="81" t="s">
        <v>43</v>
      </c>
      <c r="H1167" s="81" t="s">
        <v>3023</v>
      </c>
      <c r="I1167" s="81" t="s">
        <v>5992</v>
      </c>
      <c r="J1167" s="81" t="s">
        <v>224</v>
      </c>
    </row>
    <row r="1168" hidden="1">
      <c r="A1168" s="83" t="s">
        <v>4949</v>
      </c>
      <c r="B1168" s="83" t="s">
        <v>4950</v>
      </c>
      <c r="C1168" s="81" t="s">
        <v>4086</v>
      </c>
      <c r="D1168" s="83" t="s">
        <v>4639</v>
      </c>
      <c r="E1168" s="81" t="s">
        <v>3027</v>
      </c>
      <c r="F1168" s="84">
        <v>582.0</v>
      </c>
      <c r="G1168" s="81" t="s">
        <v>39</v>
      </c>
      <c r="H1168" s="81" t="s">
        <v>5993</v>
      </c>
      <c r="I1168" s="81" t="s">
        <v>3028</v>
      </c>
      <c r="J1168" s="81" t="s">
        <v>224</v>
      </c>
    </row>
    <row r="1169" hidden="1">
      <c r="A1169" s="83" t="s">
        <v>4949</v>
      </c>
      <c r="B1169" s="83" t="s">
        <v>4950</v>
      </c>
      <c r="C1169" s="81" t="s">
        <v>4086</v>
      </c>
      <c r="D1169" s="83" t="s">
        <v>4639</v>
      </c>
      <c r="E1169" s="81" t="s">
        <v>3027</v>
      </c>
      <c r="F1169" s="84">
        <v>582.0</v>
      </c>
      <c r="G1169" s="81" t="s">
        <v>40</v>
      </c>
      <c r="H1169" s="81" t="s">
        <v>5994</v>
      </c>
      <c r="I1169" s="81" t="s">
        <v>3029</v>
      </c>
      <c r="J1169" s="81" t="s">
        <v>224</v>
      </c>
    </row>
    <row r="1170" hidden="1">
      <c r="A1170" s="83" t="s">
        <v>4949</v>
      </c>
      <c r="B1170" s="83" t="s">
        <v>4950</v>
      </c>
      <c r="C1170" s="81" t="s">
        <v>5141</v>
      </c>
      <c r="D1170" s="83" t="s">
        <v>4639</v>
      </c>
      <c r="E1170" s="81" t="s">
        <v>3027</v>
      </c>
      <c r="F1170" s="84">
        <v>582.0</v>
      </c>
      <c r="G1170" s="81" t="s">
        <v>43</v>
      </c>
      <c r="H1170" s="81" t="s">
        <v>3023</v>
      </c>
      <c r="I1170" s="81" t="s">
        <v>224</v>
      </c>
      <c r="J1170" s="81" t="s">
        <v>5143</v>
      </c>
    </row>
    <row r="1171" hidden="1">
      <c r="A1171" s="83" t="s">
        <v>4949</v>
      </c>
      <c r="B1171" s="83" t="s">
        <v>4950</v>
      </c>
      <c r="C1171" s="81" t="s">
        <v>4086</v>
      </c>
      <c r="D1171" s="83" t="s">
        <v>4640</v>
      </c>
      <c r="E1171" s="81" t="s">
        <v>3030</v>
      </c>
      <c r="F1171" s="84">
        <v>583.0</v>
      </c>
      <c r="G1171" s="81" t="s">
        <v>39</v>
      </c>
      <c r="H1171" s="81" t="s">
        <v>5995</v>
      </c>
      <c r="I1171" s="81" t="s">
        <v>3035</v>
      </c>
      <c r="J1171" s="81" t="s">
        <v>224</v>
      </c>
    </row>
    <row r="1172" hidden="1">
      <c r="A1172" s="83" t="s">
        <v>4949</v>
      </c>
      <c r="B1172" s="83" t="s">
        <v>4950</v>
      </c>
      <c r="C1172" s="81" t="s">
        <v>4086</v>
      </c>
      <c r="D1172" s="83" t="s">
        <v>4640</v>
      </c>
      <c r="E1172" s="81" t="s">
        <v>3030</v>
      </c>
      <c r="F1172" s="84">
        <v>583.0</v>
      </c>
      <c r="G1172" s="81" t="s">
        <v>40</v>
      </c>
      <c r="H1172" s="81" t="s">
        <v>5996</v>
      </c>
      <c r="I1172" s="81" t="s">
        <v>5997</v>
      </c>
      <c r="J1172" s="81" t="s">
        <v>224</v>
      </c>
    </row>
    <row r="1173" hidden="1">
      <c r="A1173" s="83" t="s">
        <v>4949</v>
      </c>
      <c r="B1173" s="83" t="s">
        <v>4950</v>
      </c>
      <c r="C1173" s="81" t="s">
        <v>4086</v>
      </c>
      <c r="D1173" s="83" t="s">
        <v>4642</v>
      </c>
      <c r="E1173" s="81" t="s">
        <v>3042</v>
      </c>
      <c r="F1173" s="84">
        <v>584.0</v>
      </c>
      <c r="G1173" s="81" t="s">
        <v>39</v>
      </c>
      <c r="H1173" s="81" t="s">
        <v>5998</v>
      </c>
      <c r="I1173" s="81" t="s">
        <v>3043</v>
      </c>
      <c r="J1173" s="81" t="s">
        <v>224</v>
      </c>
    </row>
    <row r="1174" hidden="1">
      <c r="A1174" s="83" t="s">
        <v>4949</v>
      </c>
      <c r="B1174" s="83" t="s">
        <v>4950</v>
      </c>
      <c r="C1174" s="81" t="s">
        <v>4086</v>
      </c>
      <c r="D1174" s="83" t="s">
        <v>4642</v>
      </c>
      <c r="E1174" s="81" t="s">
        <v>3042</v>
      </c>
      <c r="F1174" s="84">
        <v>584.0</v>
      </c>
      <c r="G1174" s="81" t="s">
        <v>40</v>
      </c>
      <c r="H1174" s="81" t="s">
        <v>5999</v>
      </c>
      <c r="I1174" s="81" t="s">
        <v>3044</v>
      </c>
      <c r="J1174" s="81" t="s">
        <v>224</v>
      </c>
    </row>
    <row r="1175" hidden="1">
      <c r="A1175" s="83" t="s">
        <v>4949</v>
      </c>
      <c r="B1175" s="83" t="s">
        <v>4950</v>
      </c>
      <c r="C1175" s="81" t="s">
        <v>4086</v>
      </c>
      <c r="D1175" s="83" t="s">
        <v>4642</v>
      </c>
      <c r="E1175" s="81" t="s">
        <v>3045</v>
      </c>
      <c r="F1175" s="84">
        <v>585.0</v>
      </c>
      <c r="G1175" s="81" t="s">
        <v>39</v>
      </c>
      <c r="H1175" s="81" t="s">
        <v>6000</v>
      </c>
      <c r="I1175" s="81" t="s">
        <v>3043</v>
      </c>
      <c r="J1175" s="81" t="s">
        <v>224</v>
      </c>
    </row>
    <row r="1176" hidden="1">
      <c r="A1176" s="83" t="s">
        <v>4949</v>
      </c>
      <c r="B1176" s="83" t="s">
        <v>4950</v>
      </c>
      <c r="C1176" s="81" t="s">
        <v>4086</v>
      </c>
      <c r="D1176" s="83" t="s">
        <v>4642</v>
      </c>
      <c r="E1176" s="81" t="s">
        <v>3045</v>
      </c>
      <c r="F1176" s="84">
        <v>585.0</v>
      </c>
      <c r="G1176" s="81" t="s">
        <v>40</v>
      </c>
      <c r="H1176" s="81" t="s">
        <v>6001</v>
      </c>
      <c r="I1176" s="81" t="s">
        <v>3044</v>
      </c>
      <c r="J1176" s="81" t="s">
        <v>224</v>
      </c>
    </row>
    <row r="1177" hidden="1">
      <c r="A1177" s="83" t="s">
        <v>4949</v>
      </c>
      <c r="B1177" s="83" t="s">
        <v>4950</v>
      </c>
      <c r="C1177" s="81" t="s">
        <v>4086</v>
      </c>
      <c r="D1177" s="83" t="s">
        <v>4643</v>
      </c>
      <c r="E1177" s="81" t="s">
        <v>3046</v>
      </c>
      <c r="F1177" s="84">
        <v>586.0</v>
      </c>
      <c r="G1177" s="81" t="s">
        <v>40</v>
      </c>
      <c r="H1177" s="81" t="s">
        <v>6002</v>
      </c>
      <c r="I1177" s="81" t="s">
        <v>3052</v>
      </c>
      <c r="J1177" s="81" t="s">
        <v>224</v>
      </c>
    </row>
    <row r="1178" hidden="1">
      <c r="A1178" s="83" t="s">
        <v>4949</v>
      </c>
      <c r="B1178" s="83" t="s">
        <v>4950</v>
      </c>
      <c r="C1178" s="81" t="s">
        <v>4086</v>
      </c>
      <c r="D1178" s="83" t="s">
        <v>4643</v>
      </c>
      <c r="E1178" s="81" t="s">
        <v>3046</v>
      </c>
      <c r="F1178" s="84">
        <v>586.0</v>
      </c>
      <c r="G1178" s="81" t="s">
        <v>43</v>
      </c>
      <c r="H1178" s="81" t="s">
        <v>3055</v>
      </c>
      <c r="I1178" s="81" t="s">
        <v>6003</v>
      </c>
      <c r="J1178" s="81" t="s">
        <v>224</v>
      </c>
    </row>
    <row r="1179" hidden="1">
      <c r="A1179" s="83" t="s">
        <v>4949</v>
      </c>
      <c r="B1179" s="83" t="s">
        <v>4950</v>
      </c>
      <c r="C1179" s="81" t="s">
        <v>4086</v>
      </c>
      <c r="D1179" s="83" t="s">
        <v>4643</v>
      </c>
      <c r="E1179" s="81" t="s">
        <v>3058</v>
      </c>
      <c r="F1179" s="84">
        <v>587.0</v>
      </c>
      <c r="G1179" s="81" t="s">
        <v>39</v>
      </c>
      <c r="H1179" s="81" t="s">
        <v>6004</v>
      </c>
      <c r="I1179" s="81" t="s">
        <v>3051</v>
      </c>
      <c r="J1179" s="81" t="s">
        <v>224</v>
      </c>
    </row>
    <row r="1180" hidden="1">
      <c r="A1180" s="83" t="s">
        <v>4949</v>
      </c>
      <c r="B1180" s="83" t="s">
        <v>4950</v>
      </c>
      <c r="C1180" s="81" t="s">
        <v>4086</v>
      </c>
      <c r="D1180" s="83" t="s">
        <v>4643</v>
      </c>
      <c r="E1180" s="81" t="s">
        <v>3058</v>
      </c>
      <c r="F1180" s="84">
        <v>587.0</v>
      </c>
      <c r="G1180" s="81" t="s">
        <v>40</v>
      </c>
      <c r="H1180" s="81" t="s">
        <v>6002</v>
      </c>
      <c r="I1180" s="81" t="s">
        <v>3052</v>
      </c>
      <c r="J1180" s="81" t="s">
        <v>224</v>
      </c>
    </row>
    <row r="1181" hidden="1">
      <c r="A1181" s="83" t="s">
        <v>4949</v>
      </c>
      <c r="B1181" s="83" t="s">
        <v>4950</v>
      </c>
      <c r="C1181" s="81" t="s">
        <v>4086</v>
      </c>
      <c r="D1181" s="83" t="s">
        <v>4643</v>
      </c>
      <c r="E1181" s="81" t="s">
        <v>3058</v>
      </c>
      <c r="F1181" s="84">
        <v>587.0</v>
      </c>
      <c r="G1181" s="81" t="s">
        <v>43</v>
      </c>
      <c r="H1181" s="81" t="s">
        <v>3055</v>
      </c>
      <c r="I1181" s="81" t="s">
        <v>6003</v>
      </c>
      <c r="J1181" s="81" t="s">
        <v>224</v>
      </c>
    </row>
    <row r="1182" hidden="1">
      <c r="A1182" s="83" t="s">
        <v>4949</v>
      </c>
      <c r="B1182" s="83" t="s">
        <v>4950</v>
      </c>
      <c r="C1182" s="81" t="s">
        <v>4086</v>
      </c>
      <c r="D1182" s="83" t="s">
        <v>4644</v>
      </c>
      <c r="E1182" s="81" t="s">
        <v>3059</v>
      </c>
      <c r="F1182" s="84">
        <v>588.0</v>
      </c>
      <c r="G1182" s="81" t="s">
        <v>39</v>
      </c>
      <c r="H1182" s="81" t="s">
        <v>6005</v>
      </c>
      <c r="I1182" s="81" t="s">
        <v>3060</v>
      </c>
      <c r="J1182" s="81" t="s">
        <v>224</v>
      </c>
    </row>
    <row r="1183" hidden="1">
      <c r="A1183" s="83" t="s">
        <v>4949</v>
      </c>
      <c r="B1183" s="83" t="s">
        <v>4950</v>
      </c>
      <c r="C1183" s="81" t="s">
        <v>4086</v>
      </c>
      <c r="D1183" s="83" t="s">
        <v>4644</v>
      </c>
      <c r="E1183" s="81" t="s">
        <v>3059</v>
      </c>
      <c r="F1183" s="84">
        <v>588.0</v>
      </c>
      <c r="G1183" s="81" t="s">
        <v>40</v>
      </c>
      <c r="H1183" s="81" t="s">
        <v>6006</v>
      </c>
      <c r="I1183" s="81" t="s">
        <v>3061</v>
      </c>
      <c r="J1183" s="81" t="s">
        <v>224</v>
      </c>
    </row>
    <row r="1184" hidden="1">
      <c r="A1184" s="83" t="s">
        <v>4949</v>
      </c>
      <c r="B1184" s="83" t="s">
        <v>4950</v>
      </c>
      <c r="C1184" s="81" t="s">
        <v>5141</v>
      </c>
      <c r="D1184" s="83" t="s">
        <v>4644</v>
      </c>
      <c r="E1184" s="81" t="s">
        <v>3059</v>
      </c>
      <c r="F1184" s="84">
        <v>588.0</v>
      </c>
      <c r="G1184" s="81" t="s">
        <v>43</v>
      </c>
      <c r="H1184" s="81" t="s">
        <v>3055</v>
      </c>
      <c r="I1184" s="81" t="s">
        <v>224</v>
      </c>
      <c r="J1184" s="81" t="s">
        <v>5143</v>
      </c>
    </row>
    <row r="1185" hidden="1">
      <c r="A1185" s="83" t="s">
        <v>4949</v>
      </c>
      <c r="B1185" s="83" t="s">
        <v>4950</v>
      </c>
      <c r="C1185" s="81" t="s">
        <v>4086</v>
      </c>
      <c r="D1185" s="83" t="s">
        <v>4645</v>
      </c>
      <c r="E1185" s="81" t="s">
        <v>3062</v>
      </c>
      <c r="F1185" s="84">
        <v>589.0</v>
      </c>
      <c r="G1185" s="81" t="s">
        <v>39</v>
      </c>
      <c r="H1185" s="81" t="s">
        <v>6007</v>
      </c>
      <c r="I1185" s="81" t="s">
        <v>3066</v>
      </c>
      <c r="J1185" s="81" t="s">
        <v>224</v>
      </c>
    </row>
    <row r="1186" hidden="1">
      <c r="A1186" s="83" t="s">
        <v>4949</v>
      </c>
      <c r="B1186" s="83" t="s">
        <v>4950</v>
      </c>
      <c r="C1186" s="81" t="s">
        <v>4086</v>
      </c>
      <c r="D1186" s="83" t="s">
        <v>4645</v>
      </c>
      <c r="E1186" s="81" t="s">
        <v>3062</v>
      </c>
      <c r="F1186" s="84">
        <v>589.0</v>
      </c>
      <c r="G1186" s="81" t="s">
        <v>40</v>
      </c>
      <c r="H1186" s="81" t="s">
        <v>6008</v>
      </c>
      <c r="I1186" s="81" t="s">
        <v>3067</v>
      </c>
      <c r="J1186" s="81" t="s">
        <v>224</v>
      </c>
    </row>
    <row r="1187" hidden="1">
      <c r="A1187" s="83" t="s">
        <v>4949</v>
      </c>
      <c r="B1187" s="83" t="s">
        <v>4950</v>
      </c>
      <c r="C1187" s="81" t="s">
        <v>4086</v>
      </c>
      <c r="D1187" s="83" t="s">
        <v>4645</v>
      </c>
      <c r="E1187" s="81" t="s">
        <v>3073</v>
      </c>
      <c r="F1187" s="84">
        <v>590.0</v>
      </c>
      <c r="G1187" s="81" t="s">
        <v>39</v>
      </c>
      <c r="H1187" s="81" t="s">
        <v>6007</v>
      </c>
      <c r="I1187" s="81" t="s">
        <v>3066</v>
      </c>
      <c r="J1187" s="81" t="s">
        <v>224</v>
      </c>
    </row>
    <row r="1188" hidden="1">
      <c r="A1188" s="83" t="s">
        <v>4949</v>
      </c>
      <c r="B1188" s="83" t="s">
        <v>4950</v>
      </c>
      <c r="C1188" s="81" t="s">
        <v>4086</v>
      </c>
      <c r="D1188" s="83" t="s">
        <v>4645</v>
      </c>
      <c r="E1188" s="81" t="s">
        <v>3073</v>
      </c>
      <c r="F1188" s="84">
        <v>590.0</v>
      </c>
      <c r="G1188" s="81" t="s">
        <v>40</v>
      </c>
      <c r="H1188" s="81" t="s">
        <v>6008</v>
      </c>
      <c r="I1188" s="81" t="s">
        <v>3067</v>
      </c>
      <c r="J1188" s="81" t="s">
        <v>224</v>
      </c>
    </row>
    <row r="1189" hidden="1">
      <c r="A1189" s="83" t="s">
        <v>4949</v>
      </c>
      <c r="B1189" s="83" t="s">
        <v>4950</v>
      </c>
      <c r="C1189" s="81" t="s">
        <v>4086</v>
      </c>
      <c r="D1189" s="83" t="s">
        <v>4647</v>
      </c>
      <c r="E1189" s="81" t="s">
        <v>3074</v>
      </c>
      <c r="F1189" s="84">
        <v>591.0</v>
      </c>
      <c r="G1189" s="81" t="s">
        <v>39</v>
      </c>
      <c r="H1189" s="81" t="s">
        <v>6009</v>
      </c>
      <c r="I1189" s="81" t="s">
        <v>3075</v>
      </c>
      <c r="J1189" s="81" t="s">
        <v>224</v>
      </c>
    </row>
    <row r="1190" hidden="1">
      <c r="A1190" s="83" t="s">
        <v>4949</v>
      </c>
      <c r="B1190" s="83" t="s">
        <v>4950</v>
      </c>
      <c r="C1190" s="81" t="s">
        <v>4086</v>
      </c>
      <c r="D1190" s="83" t="s">
        <v>4647</v>
      </c>
      <c r="E1190" s="81" t="s">
        <v>3074</v>
      </c>
      <c r="F1190" s="84">
        <v>591.0</v>
      </c>
      <c r="G1190" s="81" t="s">
        <v>40</v>
      </c>
      <c r="H1190" s="81" t="s">
        <v>6010</v>
      </c>
      <c r="I1190" s="81" t="s">
        <v>3076</v>
      </c>
      <c r="J1190" s="81" t="s">
        <v>224</v>
      </c>
    </row>
    <row r="1191" hidden="1">
      <c r="A1191" s="83" t="s">
        <v>4949</v>
      </c>
      <c r="B1191" s="83" t="s">
        <v>4950</v>
      </c>
      <c r="C1191" s="81" t="s">
        <v>4086</v>
      </c>
      <c r="D1191" s="83" t="s">
        <v>4648</v>
      </c>
      <c r="E1191" s="81" t="s">
        <v>3077</v>
      </c>
      <c r="F1191" s="84">
        <v>592.0</v>
      </c>
      <c r="G1191" s="81" t="s">
        <v>39</v>
      </c>
      <c r="H1191" s="81" t="s">
        <v>6011</v>
      </c>
      <c r="I1191" s="81" t="s">
        <v>3085</v>
      </c>
      <c r="J1191" s="81" t="s">
        <v>224</v>
      </c>
    </row>
    <row r="1192" hidden="1">
      <c r="A1192" s="83" t="s">
        <v>4949</v>
      </c>
      <c r="B1192" s="83" t="s">
        <v>4950</v>
      </c>
      <c r="C1192" s="81" t="s">
        <v>4086</v>
      </c>
      <c r="D1192" s="83" t="s">
        <v>4648</v>
      </c>
      <c r="E1192" s="81" t="s">
        <v>3077</v>
      </c>
      <c r="F1192" s="84">
        <v>592.0</v>
      </c>
      <c r="G1192" s="81" t="s">
        <v>40</v>
      </c>
      <c r="H1192" s="81" t="s">
        <v>6012</v>
      </c>
      <c r="I1192" s="81" t="s">
        <v>6013</v>
      </c>
      <c r="J1192" s="81" t="s">
        <v>224</v>
      </c>
    </row>
    <row r="1193" hidden="1">
      <c r="A1193" s="83" t="s">
        <v>4949</v>
      </c>
      <c r="B1193" s="83" t="s">
        <v>4950</v>
      </c>
      <c r="C1193" s="81" t="s">
        <v>4086</v>
      </c>
      <c r="D1193" s="83" t="s">
        <v>4648</v>
      </c>
      <c r="E1193" s="81" t="s">
        <v>3090</v>
      </c>
      <c r="F1193" s="84">
        <v>593.0</v>
      </c>
      <c r="G1193" s="81" t="s">
        <v>40</v>
      </c>
      <c r="H1193" s="81" t="s">
        <v>6014</v>
      </c>
      <c r="I1193" s="81" t="s">
        <v>6013</v>
      </c>
      <c r="J1193" s="81" t="s">
        <v>224</v>
      </c>
    </row>
    <row r="1194" hidden="1">
      <c r="A1194" s="83" t="s">
        <v>4949</v>
      </c>
      <c r="B1194" s="83" t="s">
        <v>4950</v>
      </c>
      <c r="C1194" s="81" t="s">
        <v>4086</v>
      </c>
      <c r="D1194" s="83" t="s">
        <v>4650</v>
      </c>
      <c r="E1194" s="81" t="s">
        <v>3091</v>
      </c>
      <c r="F1194" s="84">
        <v>594.0</v>
      </c>
      <c r="G1194" s="81" t="s">
        <v>39</v>
      </c>
      <c r="H1194" s="81" t="s">
        <v>6015</v>
      </c>
      <c r="I1194" s="81" t="s">
        <v>3092</v>
      </c>
      <c r="J1194" s="81" t="s">
        <v>224</v>
      </c>
    </row>
    <row r="1195" hidden="1">
      <c r="A1195" s="83" t="s">
        <v>4949</v>
      </c>
      <c r="B1195" s="83" t="s">
        <v>4950</v>
      </c>
      <c r="C1195" s="81" t="s">
        <v>4086</v>
      </c>
      <c r="D1195" s="83" t="s">
        <v>4650</v>
      </c>
      <c r="E1195" s="81" t="s">
        <v>3091</v>
      </c>
      <c r="F1195" s="84">
        <v>594.0</v>
      </c>
      <c r="G1195" s="81" t="s">
        <v>40</v>
      </c>
      <c r="H1195" s="81" t="s">
        <v>6016</v>
      </c>
      <c r="I1195" s="81" t="s">
        <v>6017</v>
      </c>
      <c r="J1195" s="81" t="s">
        <v>224</v>
      </c>
    </row>
    <row r="1196" hidden="1">
      <c r="A1196" s="83" t="s">
        <v>4949</v>
      </c>
      <c r="B1196" s="83" t="s">
        <v>4950</v>
      </c>
      <c r="C1196" s="81" t="s">
        <v>4086</v>
      </c>
      <c r="D1196" s="83" t="s">
        <v>4651</v>
      </c>
      <c r="E1196" s="81" t="s">
        <v>3094</v>
      </c>
      <c r="F1196" s="84">
        <v>595.0</v>
      </c>
      <c r="G1196" s="81" t="s">
        <v>39</v>
      </c>
      <c r="H1196" s="81" t="s">
        <v>6018</v>
      </c>
      <c r="I1196" s="81" t="s">
        <v>3100</v>
      </c>
      <c r="J1196" s="81" t="s">
        <v>224</v>
      </c>
    </row>
    <row r="1197" hidden="1">
      <c r="A1197" s="83" t="s">
        <v>4949</v>
      </c>
      <c r="B1197" s="83" t="s">
        <v>4950</v>
      </c>
      <c r="C1197" s="81" t="s">
        <v>4086</v>
      </c>
      <c r="D1197" s="83" t="s">
        <v>4651</v>
      </c>
      <c r="E1197" s="81" t="s">
        <v>3094</v>
      </c>
      <c r="F1197" s="84">
        <v>595.0</v>
      </c>
      <c r="G1197" s="81" t="s">
        <v>40</v>
      </c>
      <c r="H1197" s="81" t="s">
        <v>6019</v>
      </c>
      <c r="I1197" s="81" t="s">
        <v>3101</v>
      </c>
      <c r="J1197" s="81" t="s">
        <v>224</v>
      </c>
    </row>
    <row r="1198" hidden="1">
      <c r="A1198" s="83" t="s">
        <v>4949</v>
      </c>
      <c r="B1198" s="83" t="s">
        <v>4950</v>
      </c>
      <c r="C1198" s="81" t="s">
        <v>4086</v>
      </c>
      <c r="D1198" s="83" t="s">
        <v>4654</v>
      </c>
      <c r="E1198" s="81" t="s">
        <v>3107</v>
      </c>
      <c r="F1198" s="84">
        <v>596.0</v>
      </c>
      <c r="G1198" s="81" t="s">
        <v>39</v>
      </c>
      <c r="H1198" s="81" t="s">
        <v>6020</v>
      </c>
      <c r="I1198" s="81" t="s">
        <v>3111</v>
      </c>
      <c r="J1198" s="81" t="s">
        <v>224</v>
      </c>
    </row>
    <row r="1199" hidden="1">
      <c r="A1199" s="83" t="s">
        <v>4949</v>
      </c>
      <c r="B1199" s="83" t="s">
        <v>4950</v>
      </c>
      <c r="C1199" s="81" t="s">
        <v>4086</v>
      </c>
      <c r="D1199" s="83" t="s">
        <v>4654</v>
      </c>
      <c r="E1199" s="81" t="s">
        <v>3107</v>
      </c>
      <c r="F1199" s="84">
        <v>596.0</v>
      </c>
      <c r="G1199" s="81" t="s">
        <v>40</v>
      </c>
      <c r="H1199" s="81" t="s">
        <v>6021</v>
      </c>
      <c r="I1199" s="81" t="s">
        <v>3112</v>
      </c>
      <c r="J1199" s="81" t="s">
        <v>224</v>
      </c>
    </row>
    <row r="1200" hidden="1">
      <c r="A1200" s="83" t="s">
        <v>4949</v>
      </c>
      <c r="B1200" s="83" t="s">
        <v>4950</v>
      </c>
      <c r="C1200" s="81" t="s">
        <v>4086</v>
      </c>
      <c r="D1200" s="83" t="s">
        <v>4657</v>
      </c>
      <c r="E1200" s="81" t="s">
        <v>3118</v>
      </c>
      <c r="F1200" s="84">
        <v>597.0</v>
      </c>
      <c r="G1200" s="81" t="s">
        <v>39</v>
      </c>
      <c r="H1200" s="81" t="s">
        <v>6022</v>
      </c>
      <c r="I1200" s="81" t="s">
        <v>3121</v>
      </c>
      <c r="J1200" s="81" t="s">
        <v>224</v>
      </c>
    </row>
    <row r="1201" hidden="1">
      <c r="A1201" s="83" t="s">
        <v>4949</v>
      </c>
      <c r="B1201" s="83" t="s">
        <v>4950</v>
      </c>
      <c r="C1201" s="81" t="s">
        <v>4086</v>
      </c>
      <c r="D1201" s="83" t="s">
        <v>4657</v>
      </c>
      <c r="E1201" s="81" t="s">
        <v>3118</v>
      </c>
      <c r="F1201" s="84">
        <v>597.0</v>
      </c>
      <c r="G1201" s="81" t="s">
        <v>40</v>
      </c>
      <c r="H1201" s="81" t="s">
        <v>6023</v>
      </c>
      <c r="I1201" s="81" t="s">
        <v>3122</v>
      </c>
      <c r="J1201" s="81" t="s">
        <v>224</v>
      </c>
    </row>
    <row r="1202" hidden="1">
      <c r="A1202" s="83" t="s">
        <v>4949</v>
      </c>
      <c r="B1202" s="83" t="s">
        <v>4950</v>
      </c>
      <c r="C1202" s="81" t="s">
        <v>4086</v>
      </c>
      <c r="D1202" s="83" t="s">
        <v>4660</v>
      </c>
      <c r="E1202" s="81" t="s">
        <v>3128</v>
      </c>
      <c r="F1202" s="84">
        <v>598.0</v>
      </c>
      <c r="G1202" s="81" t="s">
        <v>39</v>
      </c>
      <c r="H1202" s="81" t="s">
        <v>6024</v>
      </c>
      <c r="I1202" s="81" t="s">
        <v>3131</v>
      </c>
      <c r="J1202" s="81" t="s">
        <v>224</v>
      </c>
    </row>
    <row r="1203" hidden="1">
      <c r="A1203" s="83" t="s">
        <v>4949</v>
      </c>
      <c r="B1203" s="83" t="s">
        <v>4950</v>
      </c>
      <c r="C1203" s="81" t="s">
        <v>4086</v>
      </c>
      <c r="D1203" s="83" t="s">
        <v>4660</v>
      </c>
      <c r="E1203" s="81" t="s">
        <v>3128</v>
      </c>
      <c r="F1203" s="84">
        <v>598.0</v>
      </c>
      <c r="G1203" s="81" t="s">
        <v>40</v>
      </c>
      <c r="H1203" s="81" t="s">
        <v>6025</v>
      </c>
      <c r="I1203" s="81" t="s">
        <v>3132</v>
      </c>
      <c r="J1203" s="81" t="s">
        <v>224</v>
      </c>
    </row>
    <row r="1204" hidden="1">
      <c r="A1204" s="83" t="s">
        <v>4949</v>
      </c>
      <c r="B1204" s="83" t="s">
        <v>4950</v>
      </c>
      <c r="C1204" s="81" t="s">
        <v>4086</v>
      </c>
      <c r="D1204" s="83" t="s">
        <v>4663</v>
      </c>
      <c r="E1204" s="81" t="s">
        <v>3138</v>
      </c>
      <c r="F1204" s="84">
        <v>599.0</v>
      </c>
      <c r="G1204" s="81" t="s">
        <v>39</v>
      </c>
      <c r="H1204" s="81" t="s">
        <v>6026</v>
      </c>
      <c r="I1204" s="81" t="s">
        <v>3141</v>
      </c>
      <c r="J1204" s="81" t="s">
        <v>224</v>
      </c>
    </row>
    <row r="1205" hidden="1">
      <c r="A1205" s="83" t="s">
        <v>4949</v>
      </c>
      <c r="B1205" s="83" t="s">
        <v>4950</v>
      </c>
      <c r="C1205" s="81" t="s">
        <v>4086</v>
      </c>
      <c r="D1205" s="83" t="s">
        <v>4663</v>
      </c>
      <c r="E1205" s="81" t="s">
        <v>3138</v>
      </c>
      <c r="F1205" s="84">
        <v>599.0</v>
      </c>
      <c r="G1205" s="81" t="s">
        <v>40</v>
      </c>
      <c r="H1205" s="81" t="s">
        <v>6027</v>
      </c>
      <c r="I1205" s="81" t="s">
        <v>3142</v>
      </c>
      <c r="J1205" s="81" t="s">
        <v>224</v>
      </c>
    </row>
    <row r="1206" hidden="1">
      <c r="A1206" s="83" t="s">
        <v>4949</v>
      </c>
      <c r="B1206" s="83" t="s">
        <v>4950</v>
      </c>
      <c r="C1206" s="81" t="s">
        <v>4086</v>
      </c>
      <c r="D1206" s="83" t="s">
        <v>4666</v>
      </c>
      <c r="E1206" s="81" t="s">
        <v>3148</v>
      </c>
      <c r="F1206" s="84">
        <v>600.0</v>
      </c>
      <c r="G1206" s="81" t="s">
        <v>39</v>
      </c>
      <c r="H1206" s="81" t="s">
        <v>6028</v>
      </c>
      <c r="I1206" s="81" t="s">
        <v>3153</v>
      </c>
      <c r="J1206" s="81" t="s">
        <v>224</v>
      </c>
    </row>
    <row r="1207" hidden="1">
      <c r="A1207" s="83" t="s">
        <v>4949</v>
      </c>
      <c r="B1207" s="83" t="s">
        <v>4950</v>
      </c>
      <c r="C1207" s="81" t="s">
        <v>4086</v>
      </c>
      <c r="D1207" s="83" t="s">
        <v>4666</v>
      </c>
      <c r="E1207" s="81" t="s">
        <v>3148</v>
      </c>
      <c r="F1207" s="84">
        <v>600.0</v>
      </c>
      <c r="G1207" s="81" t="s">
        <v>40</v>
      </c>
      <c r="H1207" s="81" t="s">
        <v>6029</v>
      </c>
      <c r="I1207" s="81" t="s">
        <v>3154</v>
      </c>
      <c r="J1207" s="81" t="s">
        <v>224</v>
      </c>
    </row>
    <row r="1208" hidden="1">
      <c r="A1208" s="83" t="s">
        <v>4949</v>
      </c>
      <c r="B1208" s="83" t="s">
        <v>4950</v>
      </c>
      <c r="C1208" s="81" t="s">
        <v>4086</v>
      </c>
      <c r="D1208" s="83" t="s">
        <v>4669</v>
      </c>
      <c r="E1208" s="81" t="s">
        <v>3160</v>
      </c>
      <c r="F1208" s="84">
        <v>601.0</v>
      </c>
      <c r="G1208" s="81" t="s">
        <v>39</v>
      </c>
      <c r="H1208" s="81" t="s">
        <v>6030</v>
      </c>
      <c r="I1208" s="81" t="s">
        <v>3163</v>
      </c>
      <c r="J1208" s="81" t="s">
        <v>224</v>
      </c>
    </row>
    <row r="1209" hidden="1">
      <c r="A1209" s="83" t="s">
        <v>4949</v>
      </c>
      <c r="B1209" s="83" t="s">
        <v>4950</v>
      </c>
      <c r="C1209" s="81" t="s">
        <v>4086</v>
      </c>
      <c r="D1209" s="83" t="s">
        <v>4669</v>
      </c>
      <c r="E1209" s="81" t="s">
        <v>3160</v>
      </c>
      <c r="F1209" s="84">
        <v>601.0</v>
      </c>
      <c r="G1209" s="81" t="s">
        <v>40</v>
      </c>
      <c r="H1209" s="81" t="s">
        <v>6031</v>
      </c>
      <c r="I1209" s="81" t="s">
        <v>3164</v>
      </c>
      <c r="J1209" s="81" t="s">
        <v>224</v>
      </c>
    </row>
    <row r="1210" hidden="1">
      <c r="A1210" s="83" t="s">
        <v>4949</v>
      </c>
      <c r="B1210" s="83" t="s">
        <v>4950</v>
      </c>
      <c r="C1210" s="81" t="s">
        <v>4086</v>
      </c>
      <c r="D1210" s="83" t="s">
        <v>4672</v>
      </c>
      <c r="E1210" s="81" t="s">
        <v>3170</v>
      </c>
      <c r="F1210" s="84">
        <v>602.0</v>
      </c>
      <c r="G1210" s="81" t="s">
        <v>39</v>
      </c>
      <c r="H1210" s="81" t="s">
        <v>6032</v>
      </c>
      <c r="I1210" s="81" t="s">
        <v>3175</v>
      </c>
      <c r="J1210" s="81" t="s">
        <v>224</v>
      </c>
    </row>
    <row r="1211" hidden="1">
      <c r="A1211" s="83" t="s">
        <v>4949</v>
      </c>
      <c r="B1211" s="83" t="s">
        <v>4950</v>
      </c>
      <c r="C1211" s="81" t="s">
        <v>4086</v>
      </c>
      <c r="D1211" s="83" t="s">
        <v>4672</v>
      </c>
      <c r="E1211" s="81" t="s">
        <v>3170</v>
      </c>
      <c r="F1211" s="84">
        <v>602.0</v>
      </c>
      <c r="G1211" s="81" t="s">
        <v>40</v>
      </c>
      <c r="H1211" s="81" t="s">
        <v>6033</v>
      </c>
      <c r="I1211" s="81" t="s">
        <v>3176</v>
      </c>
      <c r="J1211" s="81" t="s">
        <v>224</v>
      </c>
    </row>
    <row r="1212" hidden="1">
      <c r="A1212" s="83" t="s">
        <v>4949</v>
      </c>
      <c r="B1212" s="83" t="s">
        <v>4950</v>
      </c>
      <c r="C1212" s="81" t="s">
        <v>4086</v>
      </c>
      <c r="D1212" s="83" t="s">
        <v>4672</v>
      </c>
      <c r="E1212" s="81" t="s">
        <v>3170</v>
      </c>
      <c r="F1212" s="84">
        <v>602.0</v>
      </c>
      <c r="G1212" s="81" t="s">
        <v>43</v>
      </c>
      <c r="H1212" s="81" t="s">
        <v>3179</v>
      </c>
      <c r="I1212" s="81" t="s">
        <v>6034</v>
      </c>
      <c r="J1212" s="81" t="s">
        <v>224</v>
      </c>
    </row>
    <row r="1213" hidden="1">
      <c r="A1213" s="83" t="s">
        <v>4949</v>
      </c>
      <c r="B1213" s="83" t="s">
        <v>4950</v>
      </c>
      <c r="C1213" s="81" t="s">
        <v>4086</v>
      </c>
      <c r="D1213" s="83" t="s">
        <v>4672</v>
      </c>
      <c r="E1213" s="81" t="s">
        <v>3182</v>
      </c>
      <c r="F1213" s="84">
        <v>603.0</v>
      </c>
      <c r="G1213" s="81" t="s">
        <v>39</v>
      </c>
      <c r="H1213" s="81" t="s">
        <v>6032</v>
      </c>
      <c r="I1213" s="81" t="s">
        <v>3175</v>
      </c>
      <c r="J1213" s="81" t="s">
        <v>224</v>
      </c>
    </row>
    <row r="1214" hidden="1">
      <c r="A1214" s="83" t="s">
        <v>4949</v>
      </c>
      <c r="B1214" s="83" t="s">
        <v>4950</v>
      </c>
      <c r="C1214" s="81" t="s">
        <v>4086</v>
      </c>
      <c r="D1214" s="83" t="s">
        <v>4672</v>
      </c>
      <c r="E1214" s="81" t="s">
        <v>3182</v>
      </c>
      <c r="F1214" s="84">
        <v>603.0</v>
      </c>
      <c r="G1214" s="81" t="s">
        <v>40</v>
      </c>
      <c r="H1214" s="81" t="s">
        <v>6033</v>
      </c>
      <c r="I1214" s="81" t="s">
        <v>3176</v>
      </c>
      <c r="J1214" s="81" t="s">
        <v>224</v>
      </c>
    </row>
    <row r="1215" hidden="1">
      <c r="A1215" s="83" t="s">
        <v>4949</v>
      </c>
      <c r="B1215" s="83" t="s">
        <v>4950</v>
      </c>
      <c r="C1215" s="81" t="s">
        <v>4086</v>
      </c>
      <c r="D1215" s="83" t="s">
        <v>4672</v>
      </c>
      <c r="E1215" s="81" t="s">
        <v>3182</v>
      </c>
      <c r="F1215" s="84">
        <v>603.0</v>
      </c>
      <c r="G1215" s="81" t="s">
        <v>43</v>
      </c>
      <c r="H1215" s="81" t="s">
        <v>3179</v>
      </c>
      <c r="I1215" s="81" t="s">
        <v>6034</v>
      </c>
      <c r="J1215" s="81" t="s">
        <v>224</v>
      </c>
    </row>
    <row r="1216" hidden="1">
      <c r="A1216" s="83" t="s">
        <v>4949</v>
      </c>
      <c r="B1216" s="83" t="s">
        <v>4950</v>
      </c>
      <c r="C1216" s="81" t="s">
        <v>4086</v>
      </c>
      <c r="D1216" s="83" t="s">
        <v>4674</v>
      </c>
      <c r="E1216" s="81" t="s">
        <v>3183</v>
      </c>
      <c r="F1216" s="84">
        <v>604.0</v>
      </c>
      <c r="G1216" s="81" t="s">
        <v>39</v>
      </c>
      <c r="H1216" s="81" t="s">
        <v>6035</v>
      </c>
      <c r="I1216" s="81" t="s">
        <v>3184</v>
      </c>
      <c r="J1216" s="81" t="s">
        <v>224</v>
      </c>
    </row>
    <row r="1217" hidden="1">
      <c r="A1217" s="83" t="s">
        <v>4949</v>
      </c>
      <c r="B1217" s="83" t="s">
        <v>4950</v>
      </c>
      <c r="C1217" s="81" t="s">
        <v>4086</v>
      </c>
      <c r="D1217" s="83" t="s">
        <v>4674</v>
      </c>
      <c r="E1217" s="81" t="s">
        <v>3183</v>
      </c>
      <c r="F1217" s="84">
        <v>604.0</v>
      </c>
      <c r="G1217" s="81" t="s">
        <v>40</v>
      </c>
      <c r="H1217" s="81" t="s">
        <v>6036</v>
      </c>
      <c r="I1217" s="81" t="s">
        <v>3185</v>
      </c>
      <c r="J1217" s="81" t="s">
        <v>224</v>
      </c>
    </row>
    <row r="1218" hidden="1">
      <c r="A1218" s="83" t="s">
        <v>4949</v>
      </c>
      <c r="B1218" s="83" t="s">
        <v>4950</v>
      </c>
      <c r="C1218" s="81" t="s">
        <v>5141</v>
      </c>
      <c r="D1218" s="83" t="s">
        <v>4674</v>
      </c>
      <c r="E1218" s="81" t="s">
        <v>3183</v>
      </c>
      <c r="F1218" s="84">
        <v>604.0</v>
      </c>
      <c r="G1218" s="81" t="s">
        <v>43</v>
      </c>
      <c r="H1218" s="81" t="s">
        <v>3179</v>
      </c>
      <c r="I1218" s="81" t="s">
        <v>224</v>
      </c>
      <c r="J1218" s="81" t="s">
        <v>5143</v>
      </c>
    </row>
    <row r="1219" hidden="1">
      <c r="A1219" s="83" t="s">
        <v>4949</v>
      </c>
      <c r="B1219" s="83" t="s">
        <v>4950</v>
      </c>
      <c r="C1219" s="81" t="s">
        <v>4086</v>
      </c>
      <c r="D1219" s="83" t="s">
        <v>4675</v>
      </c>
      <c r="E1219" s="81" t="s">
        <v>3186</v>
      </c>
      <c r="F1219" s="84">
        <v>605.0</v>
      </c>
      <c r="G1219" s="81" t="s">
        <v>39</v>
      </c>
      <c r="H1219" s="81" t="s">
        <v>6037</v>
      </c>
      <c r="I1219" s="81" t="s">
        <v>3190</v>
      </c>
      <c r="J1219" s="81" t="s">
        <v>224</v>
      </c>
    </row>
    <row r="1220" hidden="1">
      <c r="A1220" s="83" t="s">
        <v>4949</v>
      </c>
      <c r="B1220" s="83" t="s">
        <v>4950</v>
      </c>
      <c r="C1220" s="81" t="s">
        <v>4086</v>
      </c>
      <c r="D1220" s="83" t="s">
        <v>4675</v>
      </c>
      <c r="E1220" s="81" t="s">
        <v>3186</v>
      </c>
      <c r="F1220" s="84">
        <v>605.0</v>
      </c>
      <c r="G1220" s="81" t="s">
        <v>40</v>
      </c>
      <c r="H1220" s="81" t="s">
        <v>6038</v>
      </c>
      <c r="I1220" s="81" t="s">
        <v>3191</v>
      </c>
      <c r="J1220" s="81" t="s">
        <v>224</v>
      </c>
    </row>
    <row r="1221" hidden="1">
      <c r="A1221" s="83" t="s">
        <v>4949</v>
      </c>
      <c r="B1221" s="83" t="s">
        <v>4950</v>
      </c>
      <c r="C1221" s="81" t="s">
        <v>4086</v>
      </c>
      <c r="D1221" s="83" t="s">
        <v>4677</v>
      </c>
      <c r="E1221" s="81" t="s">
        <v>3196</v>
      </c>
      <c r="F1221" s="84">
        <v>606.0</v>
      </c>
      <c r="G1221" s="81" t="s">
        <v>39</v>
      </c>
      <c r="H1221" s="81" t="s">
        <v>6039</v>
      </c>
      <c r="I1221" s="81" t="s">
        <v>3201</v>
      </c>
      <c r="J1221" s="81" t="s">
        <v>224</v>
      </c>
    </row>
    <row r="1222" hidden="1">
      <c r="A1222" s="83" t="s">
        <v>4949</v>
      </c>
      <c r="B1222" s="83" t="s">
        <v>4950</v>
      </c>
      <c r="C1222" s="81" t="s">
        <v>4086</v>
      </c>
      <c r="D1222" s="83" t="s">
        <v>4677</v>
      </c>
      <c r="E1222" s="81" t="s">
        <v>3196</v>
      </c>
      <c r="F1222" s="84">
        <v>606.0</v>
      </c>
      <c r="G1222" s="81" t="s">
        <v>40</v>
      </c>
      <c r="H1222" s="81" t="s">
        <v>6040</v>
      </c>
      <c r="I1222" s="81" t="s">
        <v>6041</v>
      </c>
      <c r="J1222" s="81" t="s">
        <v>224</v>
      </c>
    </row>
    <row r="1223" hidden="1">
      <c r="A1223" s="83" t="s">
        <v>4949</v>
      </c>
      <c r="B1223" s="83" t="s">
        <v>4950</v>
      </c>
      <c r="C1223" s="81" t="s">
        <v>4086</v>
      </c>
      <c r="D1223" s="83" t="s">
        <v>4677</v>
      </c>
      <c r="E1223" s="81" t="s">
        <v>3208</v>
      </c>
      <c r="F1223" s="84">
        <v>607.0</v>
      </c>
      <c r="G1223" s="81" t="s">
        <v>39</v>
      </c>
      <c r="H1223" s="81" t="s">
        <v>6039</v>
      </c>
      <c r="I1223" s="81" t="s">
        <v>3201</v>
      </c>
      <c r="J1223" s="81" t="s">
        <v>224</v>
      </c>
    </row>
    <row r="1224" hidden="1">
      <c r="A1224" s="83" t="s">
        <v>4949</v>
      </c>
      <c r="B1224" s="83" t="s">
        <v>4950</v>
      </c>
      <c r="C1224" s="81" t="s">
        <v>4086</v>
      </c>
      <c r="D1224" s="83" t="s">
        <v>4677</v>
      </c>
      <c r="E1224" s="81" t="s">
        <v>3208</v>
      </c>
      <c r="F1224" s="84">
        <v>607.0</v>
      </c>
      <c r="G1224" s="81" t="s">
        <v>40</v>
      </c>
      <c r="H1224" s="81" t="s">
        <v>6040</v>
      </c>
      <c r="I1224" s="81" t="s">
        <v>6041</v>
      </c>
      <c r="J1224" s="81" t="s">
        <v>224</v>
      </c>
    </row>
    <row r="1225" hidden="1">
      <c r="A1225" s="83" t="s">
        <v>4949</v>
      </c>
      <c r="B1225" s="83" t="s">
        <v>4950</v>
      </c>
      <c r="C1225" s="81" t="s">
        <v>4086</v>
      </c>
      <c r="D1225" s="83" t="s">
        <v>4678</v>
      </c>
      <c r="E1225" s="81" t="s">
        <v>3209</v>
      </c>
      <c r="F1225" s="84">
        <v>608.0</v>
      </c>
      <c r="G1225" s="81" t="s">
        <v>39</v>
      </c>
      <c r="H1225" s="81" t="s">
        <v>6042</v>
      </c>
      <c r="I1225" s="81" t="s">
        <v>3210</v>
      </c>
      <c r="J1225" s="81" t="s">
        <v>224</v>
      </c>
    </row>
    <row r="1226" hidden="1">
      <c r="A1226" s="83" t="s">
        <v>4949</v>
      </c>
      <c r="B1226" s="83" t="s">
        <v>4950</v>
      </c>
      <c r="C1226" s="81" t="s">
        <v>4086</v>
      </c>
      <c r="D1226" s="83" t="s">
        <v>4678</v>
      </c>
      <c r="E1226" s="81" t="s">
        <v>3209</v>
      </c>
      <c r="F1226" s="84">
        <v>608.0</v>
      </c>
      <c r="G1226" s="81" t="s">
        <v>40</v>
      </c>
      <c r="H1226" s="81" t="s">
        <v>6043</v>
      </c>
      <c r="I1226" s="81" t="s">
        <v>6044</v>
      </c>
      <c r="J1226" s="81" t="s">
        <v>224</v>
      </c>
    </row>
    <row r="1227" hidden="1">
      <c r="A1227" s="83" t="s">
        <v>4949</v>
      </c>
      <c r="B1227" s="83" t="s">
        <v>4950</v>
      </c>
      <c r="C1227" s="81" t="s">
        <v>4086</v>
      </c>
      <c r="D1227" s="83" t="s">
        <v>4679</v>
      </c>
      <c r="E1227" s="81" t="s">
        <v>3212</v>
      </c>
      <c r="F1227" s="84">
        <v>609.0</v>
      </c>
      <c r="G1227" s="81" t="s">
        <v>39</v>
      </c>
      <c r="H1227" s="81" t="s">
        <v>6045</v>
      </c>
      <c r="I1227" s="81" t="s">
        <v>3214</v>
      </c>
      <c r="J1227" s="81" t="s">
        <v>224</v>
      </c>
    </row>
    <row r="1228" hidden="1">
      <c r="A1228" s="83" t="s">
        <v>4949</v>
      </c>
      <c r="B1228" s="83" t="s">
        <v>4950</v>
      </c>
      <c r="C1228" s="81" t="s">
        <v>4086</v>
      </c>
      <c r="D1228" s="83" t="s">
        <v>4679</v>
      </c>
      <c r="E1228" s="81" t="s">
        <v>3212</v>
      </c>
      <c r="F1228" s="84">
        <v>609.0</v>
      </c>
      <c r="G1228" s="81" t="s">
        <v>40</v>
      </c>
      <c r="H1228" s="81" t="s">
        <v>6046</v>
      </c>
      <c r="I1228" s="81" t="s">
        <v>6047</v>
      </c>
      <c r="J1228" s="81" t="s">
        <v>224</v>
      </c>
    </row>
    <row r="1229" hidden="1">
      <c r="A1229" s="83" t="s">
        <v>4949</v>
      </c>
      <c r="B1229" s="83" t="s">
        <v>4950</v>
      </c>
      <c r="C1229" s="81" t="s">
        <v>4086</v>
      </c>
      <c r="D1229" s="83" t="s">
        <v>4679</v>
      </c>
      <c r="E1229" s="81" t="s">
        <v>3219</v>
      </c>
      <c r="F1229" s="84">
        <v>610.0</v>
      </c>
      <c r="G1229" s="81" t="s">
        <v>39</v>
      </c>
      <c r="H1229" s="81" t="s">
        <v>6045</v>
      </c>
      <c r="I1229" s="81" t="s">
        <v>3214</v>
      </c>
      <c r="J1229" s="81" t="s">
        <v>224</v>
      </c>
    </row>
    <row r="1230" hidden="1">
      <c r="A1230" s="83" t="s">
        <v>4949</v>
      </c>
      <c r="B1230" s="83" t="s">
        <v>4950</v>
      </c>
      <c r="C1230" s="81" t="s">
        <v>4086</v>
      </c>
      <c r="D1230" s="83" t="s">
        <v>4679</v>
      </c>
      <c r="E1230" s="81" t="s">
        <v>3219</v>
      </c>
      <c r="F1230" s="84">
        <v>610.0</v>
      </c>
      <c r="G1230" s="81" t="s">
        <v>40</v>
      </c>
      <c r="H1230" s="81" t="s">
        <v>6046</v>
      </c>
      <c r="I1230" s="81" t="s">
        <v>6047</v>
      </c>
      <c r="J1230" s="81" t="s">
        <v>224</v>
      </c>
    </row>
    <row r="1231" hidden="1">
      <c r="A1231" s="83" t="s">
        <v>4949</v>
      </c>
      <c r="B1231" s="83" t="s">
        <v>4950</v>
      </c>
      <c r="C1231" s="81" t="s">
        <v>4086</v>
      </c>
      <c r="D1231" s="83" t="s">
        <v>4680</v>
      </c>
      <c r="E1231" s="81" t="s">
        <v>3220</v>
      </c>
      <c r="F1231" s="84">
        <v>611.0</v>
      </c>
      <c r="G1231" s="81" t="s">
        <v>39</v>
      </c>
      <c r="H1231" s="81" t="s">
        <v>6048</v>
      </c>
      <c r="I1231" s="81" t="s">
        <v>3221</v>
      </c>
      <c r="J1231" s="81" t="s">
        <v>224</v>
      </c>
    </row>
    <row r="1232" hidden="1">
      <c r="A1232" s="83" t="s">
        <v>4949</v>
      </c>
      <c r="B1232" s="83" t="s">
        <v>4950</v>
      </c>
      <c r="C1232" s="81" t="s">
        <v>4086</v>
      </c>
      <c r="D1232" s="83" t="s">
        <v>4680</v>
      </c>
      <c r="E1232" s="81" t="s">
        <v>3220</v>
      </c>
      <c r="F1232" s="84">
        <v>611.0</v>
      </c>
      <c r="G1232" s="81" t="s">
        <v>40</v>
      </c>
      <c r="H1232" s="81" t="s">
        <v>6049</v>
      </c>
      <c r="I1232" s="81" t="s">
        <v>3222</v>
      </c>
      <c r="J1232" s="81" t="s">
        <v>224</v>
      </c>
    </row>
    <row r="1233" hidden="1">
      <c r="A1233" s="83" t="s">
        <v>4949</v>
      </c>
      <c r="B1233" s="83" t="s">
        <v>4950</v>
      </c>
      <c r="C1233" s="81" t="s">
        <v>4086</v>
      </c>
      <c r="D1233" s="83" t="s">
        <v>4681</v>
      </c>
      <c r="E1233" s="81" t="s">
        <v>3223</v>
      </c>
      <c r="F1233" s="84">
        <v>612.0</v>
      </c>
      <c r="G1233" s="81" t="s">
        <v>39</v>
      </c>
      <c r="H1233" s="81" t="s">
        <v>6050</v>
      </c>
      <c r="I1233" s="81" t="s">
        <v>3224</v>
      </c>
      <c r="J1233" s="81" t="s">
        <v>224</v>
      </c>
    </row>
    <row r="1234" hidden="1">
      <c r="A1234" s="83" t="s">
        <v>4949</v>
      </c>
      <c r="B1234" s="83" t="s">
        <v>4950</v>
      </c>
      <c r="C1234" s="81" t="s">
        <v>4086</v>
      </c>
      <c r="D1234" s="83" t="s">
        <v>4681</v>
      </c>
      <c r="E1234" s="81" t="s">
        <v>3223</v>
      </c>
      <c r="F1234" s="84">
        <v>612.0</v>
      </c>
      <c r="G1234" s="81" t="s">
        <v>40</v>
      </c>
      <c r="H1234" s="81" t="s">
        <v>6051</v>
      </c>
      <c r="I1234" s="81" t="s">
        <v>3225</v>
      </c>
      <c r="J1234" s="81" t="s">
        <v>224</v>
      </c>
    </row>
    <row r="1235" hidden="1">
      <c r="A1235" s="83" t="s">
        <v>4949</v>
      </c>
      <c r="B1235" s="83" t="s">
        <v>4950</v>
      </c>
      <c r="C1235" s="81" t="s">
        <v>4082</v>
      </c>
      <c r="D1235" s="83" t="s">
        <v>4682</v>
      </c>
      <c r="E1235" s="81" t="s">
        <v>3226</v>
      </c>
      <c r="F1235" s="84">
        <v>613.0</v>
      </c>
      <c r="G1235" s="81" t="s">
        <v>39</v>
      </c>
      <c r="H1235" s="81" t="s">
        <v>224</v>
      </c>
      <c r="I1235" s="81" t="s">
        <v>224</v>
      </c>
      <c r="J1235" s="81" t="s">
        <v>6052</v>
      </c>
    </row>
    <row r="1236" hidden="1">
      <c r="A1236" s="83" t="s">
        <v>4949</v>
      </c>
      <c r="B1236" s="83" t="s">
        <v>4950</v>
      </c>
      <c r="C1236" s="81" t="s">
        <v>5141</v>
      </c>
      <c r="D1236" s="83" t="s">
        <v>4682</v>
      </c>
      <c r="E1236" s="81" t="s">
        <v>3226</v>
      </c>
      <c r="F1236" s="84">
        <v>613.0</v>
      </c>
      <c r="G1236" s="81" t="s">
        <v>39</v>
      </c>
      <c r="H1236" s="81" t="s">
        <v>6053</v>
      </c>
      <c r="I1236" s="81" t="s">
        <v>224</v>
      </c>
      <c r="J1236" s="81" t="s">
        <v>5143</v>
      </c>
    </row>
    <row r="1237" hidden="1">
      <c r="A1237" s="83" t="s">
        <v>4949</v>
      </c>
      <c r="B1237" s="83" t="s">
        <v>4950</v>
      </c>
      <c r="C1237" s="81" t="s">
        <v>4086</v>
      </c>
      <c r="D1237" s="83" t="s">
        <v>4682</v>
      </c>
      <c r="E1237" s="81" t="s">
        <v>3226</v>
      </c>
      <c r="F1237" s="84">
        <v>613.0</v>
      </c>
      <c r="G1237" s="81" t="s">
        <v>40</v>
      </c>
      <c r="H1237" s="81" t="s">
        <v>6054</v>
      </c>
      <c r="I1237" s="81" t="s">
        <v>6055</v>
      </c>
      <c r="J1237" s="81" t="s">
        <v>224</v>
      </c>
    </row>
    <row r="1238" hidden="1">
      <c r="A1238" s="83" t="s">
        <v>4949</v>
      </c>
      <c r="B1238" s="83" t="s">
        <v>4950</v>
      </c>
      <c r="C1238" s="81" t="s">
        <v>4086</v>
      </c>
      <c r="D1238" s="83" t="s">
        <v>4683</v>
      </c>
      <c r="E1238" s="81" t="s">
        <v>3228</v>
      </c>
      <c r="F1238" s="84">
        <v>614.0</v>
      </c>
      <c r="G1238" s="81" t="s">
        <v>39</v>
      </c>
      <c r="H1238" s="81" t="s">
        <v>6056</v>
      </c>
      <c r="I1238" s="81" t="s">
        <v>3230</v>
      </c>
      <c r="J1238" s="81" t="s">
        <v>224</v>
      </c>
    </row>
    <row r="1239" hidden="1">
      <c r="A1239" s="83" t="s">
        <v>4949</v>
      </c>
      <c r="B1239" s="83" t="s">
        <v>4950</v>
      </c>
      <c r="C1239" s="81" t="s">
        <v>4086</v>
      </c>
      <c r="D1239" s="83" t="s">
        <v>4683</v>
      </c>
      <c r="E1239" s="81" t="s">
        <v>3228</v>
      </c>
      <c r="F1239" s="84">
        <v>614.0</v>
      </c>
      <c r="G1239" s="81" t="s">
        <v>40</v>
      </c>
      <c r="H1239" s="81" t="s">
        <v>6057</v>
      </c>
      <c r="I1239" s="81" t="s">
        <v>6058</v>
      </c>
      <c r="J1239" s="81" t="s">
        <v>224</v>
      </c>
    </row>
    <row r="1240" hidden="1">
      <c r="A1240" s="83" t="s">
        <v>4949</v>
      </c>
      <c r="B1240" s="83" t="s">
        <v>4950</v>
      </c>
      <c r="C1240" s="81" t="s">
        <v>4086</v>
      </c>
      <c r="D1240" s="83" t="s">
        <v>4683</v>
      </c>
      <c r="E1240" s="81" t="s">
        <v>3235</v>
      </c>
      <c r="F1240" s="84">
        <v>615.0</v>
      </c>
      <c r="G1240" s="81" t="s">
        <v>39</v>
      </c>
      <c r="H1240" s="81" t="s">
        <v>6056</v>
      </c>
      <c r="I1240" s="81" t="s">
        <v>3230</v>
      </c>
      <c r="J1240" s="81" t="s">
        <v>224</v>
      </c>
    </row>
    <row r="1241" hidden="1">
      <c r="A1241" s="83" t="s">
        <v>4949</v>
      </c>
      <c r="B1241" s="83" t="s">
        <v>4950</v>
      </c>
      <c r="C1241" s="81" t="s">
        <v>4086</v>
      </c>
      <c r="D1241" s="83" t="s">
        <v>4683</v>
      </c>
      <c r="E1241" s="81" t="s">
        <v>3235</v>
      </c>
      <c r="F1241" s="84">
        <v>615.0</v>
      </c>
      <c r="G1241" s="81" t="s">
        <v>40</v>
      </c>
      <c r="H1241" s="81" t="s">
        <v>6057</v>
      </c>
      <c r="I1241" s="81" t="s">
        <v>6058</v>
      </c>
      <c r="J1241" s="81" t="s">
        <v>224</v>
      </c>
    </row>
    <row r="1242" hidden="1">
      <c r="A1242" s="83" t="s">
        <v>4949</v>
      </c>
      <c r="B1242" s="83" t="s">
        <v>4950</v>
      </c>
      <c r="C1242" s="81" t="s">
        <v>4086</v>
      </c>
      <c r="D1242" s="83" t="s">
        <v>4684</v>
      </c>
      <c r="E1242" s="81" t="s">
        <v>3236</v>
      </c>
      <c r="F1242" s="84">
        <v>616.0</v>
      </c>
      <c r="G1242" s="81" t="s">
        <v>39</v>
      </c>
      <c r="H1242" s="81" t="s">
        <v>6059</v>
      </c>
      <c r="I1242" s="81" t="s">
        <v>3237</v>
      </c>
      <c r="J1242" s="81" t="s">
        <v>224</v>
      </c>
    </row>
    <row r="1243" hidden="1">
      <c r="A1243" s="83" t="s">
        <v>4949</v>
      </c>
      <c r="B1243" s="83" t="s">
        <v>4950</v>
      </c>
      <c r="C1243" s="81" t="s">
        <v>4086</v>
      </c>
      <c r="D1243" s="83" t="s">
        <v>4684</v>
      </c>
      <c r="E1243" s="81" t="s">
        <v>3236</v>
      </c>
      <c r="F1243" s="84">
        <v>616.0</v>
      </c>
      <c r="G1243" s="81" t="s">
        <v>40</v>
      </c>
      <c r="H1243" s="81" t="s">
        <v>6060</v>
      </c>
      <c r="I1243" s="81" t="s">
        <v>6061</v>
      </c>
      <c r="J1243" s="81" t="s">
        <v>224</v>
      </c>
    </row>
    <row r="1244" hidden="1">
      <c r="A1244" s="83" t="s">
        <v>4949</v>
      </c>
      <c r="B1244" s="83" t="s">
        <v>4950</v>
      </c>
      <c r="C1244" s="81" t="s">
        <v>4086</v>
      </c>
      <c r="D1244" s="83" t="s">
        <v>4685</v>
      </c>
      <c r="E1244" s="81" t="s">
        <v>3239</v>
      </c>
      <c r="F1244" s="84">
        <v>617.0</v>
      </c>
      <c r="G1244" s="81" t="s">
        <v>39</v>
      </c>
      <c r="H1244" s="81" t="s">
        <v>6062</v>
      </c>
      <c r="I1244" s="81" t="s">
        <v>3241</v>
      </c>
      <c r="J1244" s="81" t="s">
        <v>224</v>
      </c>
    </row>
    <row r="1245" hidden="1">
      <c r="A1245" s="83" t="s">
        <v>4949</v>
      </c>
      <c r="B1245" s="83" t="s">
        <v>4950</v>
      </c>
      <c r="C1245" s="81" t="s">
        <v>4086</v>
      </c>
      <c r="D1245" s="83" t="s">
        <v>4685</v>
      </c>
      <c r="E1245" s="81" t="s">
        <v>3239</v>
      </c>
      <c r="F1245" s="84">
        <v>617.0</v>
      </c>
      <c r="G1245" s="81" t="s">
        <v>40</v>
      </c>
      <c r="H1245" s="81" t="s">
        <v>6063</v>
      </c>
      <c r="I1245" s="81" t="s">
        <v>6064</v>
      </c>
      <c r="J1245" s="81" t="s">
        <v>224</v>
      </c>
    </row>
    <row r="1246" hidden="1">
      <c r="A1246" s="83" t="s">
        <v>4949</v>
      </c>
      <c r="B1246" s="83" t="s">
        <v>4950</v>
      </c>
      <c r="C1246" s="81" t="s">
        <v>4086</v>
      </c>
      <c r="D1246" s="83" t="s">
        <v>4685</v>
      </c>
      <c r="E1246" s="81" t="s">
        <v>3247</v>
      </c>
      <c r="F1246" s="84">
        <v>618.0</v>
      </c>
      <c r="G1246" s="81" t="s">
        <v>39</v>
      </c>
      <c r="H1246" s="81" t="s">
        <v>6062</v>
      </c>
      <c r="I1246" s="81" t="s">
        <v>3241</v>
      </c>
      <c r="J1246" s="81" t="s">
        <v>224</v>
      </c>
    </row>
    <row r="1247" hidden="1">
      <c r="A1247" s="83" t="s">
        <v>4949</v>
      </c>
      <c r="B1247" s="83" t="s">
        <v>4950</v>
      </c>
      <c r="C1247" s="81" t="s">
        <v>4086</v>
      </c>
      <c r="D1247" s="83" t="s">
        <v>4685</v>
      </c>
      <c r="E1247" s="81" t="s">
        <v>3247</v>
      </c>
      <c r="F1247" s="84">
        <v>618.0</v>
      </c>
      <c r="G1247" s="81" t="s">
        <v>40</v>
      </c>
      <c r="H1247" s="81" t="s">
        <v>6063</v>
      </c>
      <c r="I1247" s="81" t="s">
        <v>6064</v>
      </c>
      <c r="J1247" s="81" t="s">
        <v>224</v>
      </c>
    </row>
    <row r="1248" hidden="1">
      <c r="A1248" s="83" t="s">
        <v>4949</v>
      </c>
      <c r="B1248" s="83" t="s">
        <v>4950</v>
      </c>
      <c r="C1248" s="81" t="s">
        <v>4086</v>
      </c>
      <c r="D1248" s="83" t="s">
        <v>4686</v>
      </c>
      <c r="E1248" s="81" t="s">
        <v>3248</v>
      </c>
      <c r="F1248" s="84">
        <v>619.0</v>
      </c>
      <c r="G1248" s="81" t="s">
        <v>40</v>
      </c>
      <c r="H1248" s="81" t="s">
        <v>6065</v>
      </c>
      <c r="I1248" s="81" t="s">
        <v>6066</v>
      </c>
      <c r="J1248" s="81" t="s">
        <v>224</v>
      </c>
    </row>
    <row r="1249" hidden="1">
      <c r="A1249" s="83" t="s">
        <v>4949</v>
      </c>
      <c r="B1249" s="83" t="s">
        <v>4950</v>
      </c>
      <c r="C1249" s="81" t="s">
        <v>4086</v>
      </c>
      <c r="D1249" s="83" t="s">
        <v>4687</v>
      </c>
      <c r="E1249" s="81" t="s">
        <v>3251</v>
      </c>
      <c r="F1249" s="84">
        <v>620.0</v>
      </c>
      <c r="G1249" s="81" t="s">
        <v>39</v>
      </c>
      <c r="H1249" s="81" t="s">
        <v>6067</v>
      </c>
      <c r="I1249" s="81" t="s">
        <v>3252</v>
      </c>
      <c r="J1249" s="81" t="s">
        <v>224</v>
      </c>
    </row>
    <row r="1250" hidden="1">
      <c r="A1250" s="83" t="s">
        <v>4949</v>
      </c>
      <c r="B1250" s="83" t="s">
        <v>4950</v>
      </c>
      <c r="C1250" s="81" t="s">
        <v>4086</v>
      </c>
      <c r="D1250" s="83" t="s">
        <v>4687</v>
      </c>
      <c r="E1250" s="81" t="s">
        <v>3251</v>
      </c>
      <c r="F1250" s="84">
        <v>620.0</v>
      </c>
      <c r="G1250" s="81" t="s">
        <v>40</v>
      </c>
      <c r="H1250" s="81" t="s">
        <v>6068</v>
      </c>
      <c r="I1250" s="81" t="s">
        <v>6069</v>
      </c>
      <c r="J1250" s="81" t="s">
        <v>224</v>
      </c>
    </row>
    <row r="1251" hidden="1">
      <c r="A1251" s="83" t="s">
        <v>4949</v>
      </c>
      <c r="B1251" s="83" t="s">
        <v>4950</v>
      </c>
      <c r="C1251" s="81" t="s">
        <v>4086</v>
      </c>
      <c r="D1251" s="83" t="s">
        <v>4688</v>
      </c>
      <c r="E1251" s="81" t="s">
        <v>3254</v>
      </c>
      <c r="F1251" s="84">
        <v>621.0</v>
      </c>
      <c r="G1251" s="81" t="s">
        <v>40</v>
      </c>
      <c r="H1251" s="81" t="s">
        <v>6070</v>
      </c>
      <c r="I1251" s="81" t="s">
        <v>6071</v>
      </c>
      <c r="J1251" s="81" t="s">
        <v>224</v>
      </c>
    </row>
    <row r="1252" hidden="1">
      <c r="A1252" s="83" t="s">
        <v>4949</v>
      </c>
      <c r="B1252" s="83" t="s">
        <v>4950</v>
      </c>
      <c r="C1252" s="81" t="s">
        <v>4086</v>
      </c>
      <c r="D1252" s="83" t="s">
        <v>4689</v>
      </c>
      <c r="E1252" s="81" t="s">
        <v>3257</v>
      </c>
      <c r="F1252" s="84">
        <v>622.0</v>
      </c>
      <c r="G1252" s="81" t="s">
        <v>39</v>
      </c>
      <c r="H1252" s="81" t="s">
        <v>6072</v>
      </c>
      <c r="I1252" s="81" t="s">
        <v>3259</v>
      </c>
      <c r="J1252" s="81" t="s">
        <v>224</v>
      </c>
    </row>
    <row r="1253" hidden="1">
      <c r="A1253" s="83" t="s">
        <v>4949</v>
      </c>
      <c r="B1253" s="83" t="s">
        <v>4950</v>
      </c>
      <c r="C1253" s="81" t="s">
        <v>4086</v>
      </c>
      <c r="D1253" s="83" t="s">
        <v>4689</v>
      </c>
      <c r="E1253" s="81" t="s">
        <v>3257</v>
      </c>
      <c r="F1253" s="84">
        <v>622.0</v>
      </c>
      <c r="G1253" s="81" t="s">
        <v>40</v>
      </c>
      <c r="H1253" s="81" t="s">
        <v>6073</v>
      </c>
      <c r="I1253" s="81" t="s">
        <v>3260</v>
      </c>
      <c r="J1253" s="81" t="s">
        <v>224</v>
      </c>
    </row>
    <row r="1254" hidden="1">
      <c r="A1254" s="83" t="s">
        <v>4949</v>
      </c>
      <c r="B1254" s="83" t="s">
        <v>4950</v>
      </c>
      <c r="C1254" s="81" t="s">
        <v>4086</v>
      </c>
      <c r="D1254" s="83" t="s">
        <v>4691</v>
      </c>
      <c r="E1254" s="81" t="s">
        <v>3270</v>
      </c>
      <c r="F1254" s="84">
        <v>625.0</v>
      </c>
      <c r="G1254" s="81" t="s">
        <v>39</v>
      </c>
      <c r="H1254" s="81" t="s">
        <v>6074</v>
      </c>
      <c r="I1254" s="81" t="s">
        <v>3273</v>
      </c>
      <c r="J1254" s="81" t="s">
        <v>224</v>
      </c>
    </row>
    <row r="1255" hidden="1">
      <c r="A1255" s="83" t="s">
        <v>4949</v>
      </c>
      <c r="B1255" s="83" t="s">
        <v>4950</v>
      </c>
      <c r="C1255" s="81" t="s">
        <v>4086</v>
      </c>
      <c r="D1255" s="83" t="s">
        <v>4691</v>
      </c>
      <c r="E1255" s="81" t="s">
        <v>3270</v>
      </c>
      <c r="F1255" s="84">
        <v>625.0</v>
      </c>
      <c r="G1255" s="81" t="s">
        <v>40</v>
      </c>
      <c r="H1255" s="81" t="s">
        <v>6075</v>
      </c>
      <c r="I1255" s="81" t="s">
        <v>3274</v>
      </c>
      <c r="J1255" s="81" t="s">
        <v>224</v>
      </c>
    </row>
    <row r="1256" hidden="1">
      <c r="A1256" s="83" t="s">
        <v>4949</v>
      </c>
      <c r="B1256" s="83" t="s">
        <v>4950</v>
      </c>
      <c r="C1256" s="81" t="s">
        <v>4086</v>
      </c>
      <c r="D1256" s="83" t="s">
        <v>4691</v>
      </c>
      <c r="E1256" s="81" t="s">
        <v>3280</v>
      </c>
      <c r="F1256" s="84">
        <v>626.0</v>
      </c>
      <c r="G1256" s="81" t="s">
        <v>39</v>
      </c>
      <c r="H1256" s="81" t="s">
        <v>6074</v>
      </c>
      <c r="I1256" s="81" t="s">
        <v>3273</v>
      </c>
      <c r="J1256" s="81" t="s">
        <v>224</v>
      </c>
    </row>
    <row r="1257" hidden="1">
      <c r="A1257" s="83" t="s">
        <v>4949</v>
      </c>
      <c r="B1257" s="83" t="s">
        <v>4950</v>
      </c>
      <c r="C1257" s="81" t="s">
        <v>4086</v>
      </c>
      <c r="D1257" s="83" t="s">
        <v>4691</v>
      </c>
      <c r="E1257" s="81" t="s">
        <v>3280</v>
      </c>
      <c r="F1257" s="84">
        <v>626.0</v>
      </c>
      <c r="G1257" s="81" t="s">
        <v>40</v>
      </c>
      <c r="H1257" s="81" t="s">
        <v>6075</v>
      </c>
      <c r="I1257" s="81" t="s">
        <v>3274</v>
      </c>
      <c r="J1257" s="81" t="s">
        <v>224</v>
      </c>
    </row>
    <row r="1258" hidden="1">
      <c r="A1258" s="83" t="s">
        <v>4949</v>
      </c>
      <c r="B1258" s="83" t="s">
        <v>4950</v>
      </c>
      <c r="C1258" s="81" t="s">
        <v>4086</v>
      </c>
      <c r="D1258" s="83" t="s">
        <v>4693</v>
      </c>
      <c r="E1258" s="81" t="s">
        <v>3281</v>
      </c>
      <c r="F1258" s="84">
        <v>627.0</v>
      </c>
      <c r="G1258" s="81" t="s">
        <v>39</v>
      </c>
      <c r="H1258" s="81" t="s">
        <v>6076</v>
      </c>
      <c r="I1258" s="81" t="s">
        <v>3282</v>
      </c>
      <c r="J1258" s="81" t="s">
        <v>224</v>
      </c>
    </row>
    <row r="1259" hidden="1">
      <c r="A1259" s="83" t="s">
        <v>4949</v>
      </c>
      <c r="B1259" s="83" t="s">
        <v>4950</v>
      </c>
      <c r="C1259" s="81" t="s">
        <v>4086</v>
      </c>
      <c r="D1259" s="83" t="s">
        <v>4693</v>
      </c>
      <c r="E1259" s="81" t="s">
        <v>3281</v>
      </c>
      <c r="F1259" s="84">
        <v>627.0</v>
      </c>
      <c r="G1259" s="81" t="s">
        <v>40</v>
      </c>
      <c r="H1259" s="81" t="s">
        <v>6077</v>
      </c>
      <c r="I1259" s="81" t="s">
        <v>3283</v>
      </c>
      <c r="J1259" s="81" t="s">
        <v>224</v>
      </c>
    </row>
    <row r="1260" hidden="1">
      <c r="A1260" s="83" t="s">
        <v>4949</v>
      </c>
      <c r="B1260" s="83" t="s">
        <v>4950</v>
      </c>
      <c r="C1260" s="81" t="s">
        <v>4086</v>
      </c>
      <c r="D1260" s="83" t="s">
        <v>4694</v>
      </c>
      <c r="E1260" s="81" t="s">
        <v>3284</v>
      </c>
      <c r="F1260" s="84">
        <v>628.0</v>
      </c>
      <c r="G1260" s="81" t="s">
        <v>39</v>
      </c>
      <c r="H1260" s="81" t="s">
        <v>6078</v>
      </c>
      <c r="I1260" s="81" t="s">
        <v>3288</v>
      </c>
      <c r="J1260" s="81" t="s">
        <v>224</v>
      </c>
    </row>
    <row r="1261" hidden="1">
      <c r="A1261" s="83" t="s">
        <v>4949</v>
      </c>
      <c r="B1261" s="83" t="s">
        <v>4950</v>
      </c>
      <c r="C1261" s="81" t="s">
        <v>4086</v>
      </c>
      <c r="D1261" s="83" t="s">
        <v>4694</v>
      </c>
      <c r="E1261" s="81" t="s">
        <v>3284</v>
      </c>
      <c r="F1261" s="84">
        <v>628.0</v>
      </c>
      <c r="G1261" s="81" t="s">
        <v>40</v>
      </c>
      <c r="H1261" s="81" t="s">
        <v>6079</v>
      </c>
      <c r="I1261" s="81" t="s">
        <v>6080</v>
      </c>
      <c r="J1261" s="81" t="s">
        <v>224</v>
      </c>
    </row>
    <row r="1262" hidden="1">
      <c r="A1262" s="83" t="s">
        <v>4949</v>
      </c>
      <c r="B1262" s="83" t="s">
        <v>4950</v>
      </c>
      <c r="C1262" s="81" t="s">
        <v>4086</v>
      </c>
      <c r="D1262" s="83" t="s">
        <v>4694</v>
      </c>
      <c r="E1262" s="81" t="s">
        <v>3295</v>
      </c>
      <c r="F1262" s="84">
        <v>629.0</v>
      </c>
      <c r="G1262" s="81" t="s">
        <v>40</v>
      </c>
      <c r="H1262" s="81" t="s">
        <v>6081</v>
      </c>
      <c r="I1262" s="81" t="s">
        <v>6080</v>
      </c>
      <c r="J1262" s="81" t="s">
        <v>224</v>
      </c>
    </row>
    <row r="1263" hidden="1">
      <c r="A1263" s="83" t="s">
        <v>4949</v>
      </c>
      <c r="B1263" s="83" t="s">
        <v>4950</v>
      </c>
      <c r="C1263" s="81" t="s">
        <v>4086</v>
      </c>
      <c r="D1263" s="83" t="s">
        <v>4696</v>
      </c>
      <c r="E1263" s="81" t="s">
        <v>3296</v>
      </c>
      <c r="F1263" s="84">
        <v>630.0</v>
      </c>
      <c r="G1263" s="81" t="s">
        <v>39</v>
      </c>
      <c r="H1263" s="81" t="s">
        <v>6082</v>
      </c>
      <c r="I1263" s="81" t="s">
        <v>3297</v>
      </c>
      <c r="J1263" s="81" t="s">
        <v>224</v>
      </c>
    </row>
    <row r="1264" hidden="1">
      <c r="A1264" s="83" t="s">
        <v>4949</v>
      </c>
      <c r="B1264" s="83" t="s">
        <v>4950</v>
      </c>
      <c r="C1264" s="81" t="s">
        <v>4086</v>
      </c>
      <c r="D1264" s="83" t="s">
        <v>4696</v>
      </c>
      <c r="E1264" s="81" t="s">
        <v>3296</v>
      </c>
      <c r="F1264" s="84">
        <v>630.0</v>
      </c>
      <c r="G1264" s="81" t="s">
        <v>40</v>
      </c>
      <c r="H1264" s="81" t="s">
        <v>6083</v>
      </c>
      <c r="I1264" s="81" t="s">
        <v>6084</v>
      </c>
      <c r="J1264" s="81" t="s">
        <v>224</v>
      </c>
    </row>
    <row r="1265" hidden="1">
      <c r="A1265" s="83" t="s">
        <v>4949</v>
      </c>
      <c r="B1265" s="83" t="s">
        <v>4950</v>
      </c>
      <c r="C1265" s="81" t="s">
        <v>4086</v>
      </c>
      <c r="D1265" s="83" t="s">
        <v>4697</v>
      </c>
      <c r="E1265" s="81" t="s">
        <v>3299</v>
      </c>
      <c r="F1265" s="84">
        <v>631.0</v>
      </c>
      <c r="G1265" s="81" t="s">
        <v>39</v>
      </c>
      <c r="H1265" s="81" t="s">
        <v>6085</v>
      </c>
      <c r="I1265" s="81" t="s">
        <v>3304</v>
      </c>
      <c r="J1265" s="81" t="s">
        <v>224</v>
      </c>
    </row>
    <row r="1266" hidden="1">
      <c r="A1266" s="83" t="s">
        <v>4949</v>
      </c>
      <c r="B1266" s="83" t="s">
        <v>4950</v>
      </c>
      <c r="C1266" s="81" t="s">
        <v>4086</v>
      </c>
      <c r="D1266" s="83" t="s">
        <v>4697</v>
      </c>
      <c r="E1266" s="81" t="s">
        <v>3299</v>
      </c>
      <c r="F1266" s="84">
        <v>631.0</v>
      </c>
      <c r="G1266" s="81" t="s">
        <v>40</v>
      </c>
      <c r="H1266" s="81" t="s">
        <v>6086</v>
      </c>
      <c r="I1266" s="81" t="s">
        <v>6087</v>
      </c>
      <c r="J1266" s="81" t="s">
        <v>224</v>
      </c>
    </row>
    <row r="1267" hidden="1">
      <c r="A1267" s="83" t="s">
        <v>4949</v>
      </c>
      <c r="B1267" s="83" t="s">
        <v>4950</v>
      </c>
      <c r="C1267" s="81" t="s">
        <v>4086</v>
      </c>
      <c r="D1267" s="83" t="s">
        <v>4697</v>
      </c>
      <c r="E1267" s="81" t="s">
        <v>3311</v>
      </c>
      <c r="F1267" s="84">
        <v>632.0</v>
      </c>
      <c r="G1267" s="81" t="s">
        <v>39</v>
      </c>
      <c r="H1267" s="81" t="s">
        <v>6085</v>
      </c>
      <c r="I1267" s="81" t="s">
        <v>3304</v>
      </c>
      <c r="J1267" s="81" t="s">
        <v>224</v>
      </c>
    </row>
    <row r="1268" hidden="1">
      <c r="A1268" s="83" t="s">
        <v>4949</v>
      </c>
      <c r="B1268" s="83" t="s">
        <v>4950</v>
      </c>
      <c r="C1268" s="81" t="s">
        <v>4086</v>
      </c>
      <c r="D1268" s="83" t="s">
        <v>4697</v>
      </c>
      <c r="E1268" s="81" t="s">
        <v>3311</v>
      </c>
      <c r="F1268" s="84">
        <v>632.0</v>
      </c>
      <c r="G1268" s="81" t="s">
        <v>40</v>
      </c>
      <c r="H1268" s="81" t="s">
        <v>6086</v>
      </c>
      <c r="I1268" s="81" t="s">
        <v>6087</v>
      </c>
      <c r="J1268" s="81" t="s">
        <v>224</v>
      </c>
    </row>
    <row r="1269" hidden="1">
      <c r="A1269" s="83" t="s">
        <v>4949</v>
      </c>
      <c r="B1269" s="83" t="s">
        <v>4950</v>
      </c>
      <c r="C1269" s="81" t="s">
        <v>4086</v>
      </c>
      <c r="D1269" s="83" t="s">
        <v>4698</v>
      </c>
      <c r="E1269" s="81" t="s">
        <v>3312</v>
      </c>
      <c r="F1269" s="84">
        <v>633.0</v>
      </c>
      <c r="G1269" s="81" t="s">
        <v>40</v>
      </c>
      <c r="H1269" s="81" t="s">
        <v>6088</v>
      </c>
      <c r="I1269" s="81" t="s">
        <v>3314</v>
      </c>
      <c r="J1269" s="81" t="s">
        <v>224</v>
      </c>
    </row>
    <row r="1270" hidden="1">
      <c r="A1270" s="83" t="s">
        <v>4949</v>
      </c>
      <c r="B1270" s="83" t="s">
        <v>4950</v>
      </c>
      <c r="C1270" s="81" t="s">
        <v>4086</v>
      </c>
      <c r="D1270" s="83" t="s">
        <v>4699</v>
      </c>
      <c r="E1270" s="81" t="s">
        <v>3315</v>
      </c>
      <c r="F1270" s="84">
        <v>634.0</v>
      </c>
      <c r="G1270" s="81" t="s">
        <v>40</v>
      </c>
      <c r="H1270" s="81" t="s">
        <v>6089</v>
      </c>
      <c r="I1270" s="81" t="s">
        <v>3323</v>
      </c>
      <c r="J1270" s="81" t="s">
        <v>224</v>
      </c>
    </row>
    <row r="1271" hidden="1">
      <c r="A1271" s="83" t="s">
        <v>4949</v>
      </c>
      <c r="B1271" s="83" t="s">
        <v>4950</v>
      </c>
      <c r="C1271" s="81" t="s">
        <v>4086</v>
      </c>
      <c r="D1271" s="83" t="s">
        <v>4699</v>
      </c>
      <c r="E1271" s="81" t="s">
        <v>3328</v>
      </c>
      <c r="F1271" s="84">
        <v>635.0</v>
      </c>
      <c r="G1271" s="81" t="s">
        <v>40</v>
      </c>
      <c r="H1271" s="81" t="s">
        <v>6089</v>
      </c>
      <c r="I1271" s="81" t="s">
        <v>3323</v>
      </c>
      <c r="J1271" s="81" t="s">
        <v>224</v>
      </c>
    </row>
    <row r="1272" hidden="1">
      <c r="A1272" s="83" t="s">
        <v>4949</v>
      </c>
      <c r="B1272" s="83" t="s">
        <v>4950</v>
      </c>
      <c r="C1272" s="81" t="s">
        <v>4086</v>
      </c>
      <c r="D1272" s="83" t="s">
        <v>4701</v>
      </c>
      <c r="E1272" s="81" t="s">
        <v>3329</v>
      </c>
      <c r="F1272" s="84">
        <v>636.0</v>
      </c>
      <c r="G1272" s="81" t="s">
        <v>40</v>
      </c>
      <c r="H1272" s="81" t="s">
        <v>6090</v>
      </c>
      <c r="I1272" s="81" t="s">
        <v>3334</v>
      </c>
      <c r="J1272" s="81" t="s">
        <v>224</v>
      </c>
    </row>
    <row r="1273" hidden="1">
      <c r="A1273" s="83" t="s">
        <v>4949</v>
      </c>
      <c r="B1273" s="83" t="s">
        <v>4950</v>
      </c>
      <c r="C1273" s="81" t="s">
        <v>4086</v>
      </c>
      <c r="D1273" s="83" t="s">
        <v>4703</v>
      </c>
      <c r="E1273" s="81" t="s">
        <v>3339</v>
      </c>
      <c r="F1273" s="84">
        <v>637.0</v>
      </c>
      <c r="G1273" s="81" t="s">
        <v>40</v>
      </c>
      <c r="H1273" s="81" t="s">
        <v>6091</v>
      </c>
      <c r="I1273" s="81" t="s">
        <v>3347</v>
      </c>
      <c r="J1273" s="81" t="s">
        <v>224</v>
      </c>
    </row>
    <row r="1274" hidden="1">
      <c r="A1274" s="83" t="s">
        <v>4949</v>
      </c>
      <c r="B1274" s="83" t="s">
        <v>4950</v>
      </c>
      <c r="C1274" s="81" t="s">
        <v>4086</v>
      </c>
      <c r="D1274" s="83" t="s">
        <v>4703</v>
      </c>
      <c r="E1274" s="81" t="s">
        <v>3353</v>
      </c>
      <c r="F1274" s="84">
        <v>638.0</v>
      </c>
      <c r="G1274" s="81" t="s">
        <v>39</v>
      </c>
      <c r="H1274" s="81" t="s">
        <v>6092</v>
      </c>
      <c r="I1274" s="81" t="s">
        <v>3346</v>
      </c>
      <c r="J1274" s="81" t="s">
        <v>224</v>
      </c>
    </row>
    <row r="1275" hidden="1">
      <c r="A1275" s="83" t="s">
        <v>4949</v>
      </c>
      <c r="B1275" s="83" t="s">
        <v>4950</v>
      </c>
      <c r="C1275" s="81" t="s">
        <v>4086</v>
      </c>
      <c r="D1275" s="83" t="s">
        <v>4703</v>
      </c>
      <c r="E1275" s="81" t="s">
        <v>3353</v>
      </c>
      <c r="F1275" s="84">
        <v>638.0</v>
      </c>
      <c r="G1275" s="81" t="s">
        <v>40</v>
      </c>
      <c r="H1275" s="81" t="s">
        <v>6093</v>
      </c>
      <c r="I1275" s="81" t="s">
        <v>3347</v>
      </c>
      <c r="J1275" s="81" t="s">
        <v>224</v>
      </c>
    </row>
    <row r="1276" hidden="1">
      <c r="A1276" s="83" t="s">
        <v>4949</v>
      </c>
      <c r="B1276" s="83" t="s">
        <v>4950</v>
      </c>
      <c r="C1276" s="81" t="s">
        <v>4086</v>
      </c>
      <c r="D1276" s="83" t="s">
        <v>4705</v>
      </c>
      <c r="E1276" s="81" t="s">
        <v>3354</v>
      </c>
      <c r="F1276" s="84">
        <v>639.0</v>
      </c>
      <c r="G1276" s="81" t="s">
        <v>40</v>
      </c>
      <c r="H1276" s="81" t="s">
        <v>6094</v>
      </c>
      <c r="I1276" s="81" t="s">
        <v>3358</v>
      </c>
      <c r="J1276" s="81" t="s">
        <v>224</v>
      </c>
    </row>
    <row r="1277" hidden="1">
      <c r="A1277" s="83" t="s">
        <v>4949</v>
      </c>
      <c r="B1277" s="83" t="s">
        <v>4950</v>
      </c>
      <c r="C1277" s="81" t="s">
        <v>4086</v>
      </c>
      <c r="D1277" s="83" t="s">
        <v>4706</v>
      </c>
      <c r="E1277" s="81" t="s">
        <v>3359</v>
      </c>
      <c r="F1277" s="84">
        <v>640.0</v>
      </c>
      <c r="G1277" s="81" t="s">
        <v>40</v>
      </c>
      <c r="H1277" s="81" t="s">
        <v>6095</v>
      </c>
      <c r="I1277" s="81" t="s">
        <v>3361</v>
      </c>
      <c r="J1277" s="81" t="s">
        <v>224</v>
      </c>
    </row>
    <row r="1278" hidden="1">
      <c r="A1278" s="83" t="s">
        <v>4949</v>
      </c>
      <c r="B1278" s="83" t="s">
        <v>4950</v>
      </c>
      <c r="C1278" s="81" t="s">
        <v>4082</v>
      </c>
      <c r="D1278" s="83" t="s">
        <v>4707</v>
      </c>
      <c r="E1278" s="81" t="s">
        <v>3362</v>
      </c>
      <c r="F1278" s="84">
        <v>641.0</v>
      </c>
      <c r="G1278" s="81" t="s">
        <v>39</v>
      </c>
      <c r="H1278" s="81" t="s">
        <v>224</v>
      </c>
      <c r="I1278" s="81" t="s">
        <v>224</v>
      </c>
      <c r="J1278" s="81" t="s">
        <v>6096</v>
      </c>
    </row>
    <row r="1279" hidden="1">
      <c r="A1279" s="83" t="s">
        <v>4949</v>
      </c>
      <c r="B1279" s="83" t="s">
        <v>4950</v>
      </c>
      <c r="C1279" s="81" t="s">
        <v>5141</v>
      </c>
      <c r="D1279" s="83" t="s">
        <v>4707</v>
      </c>
      <c r="E1279" s="81" t="s">
        <v>3362</v>
      </c>
      <c r="F1279" s="84">
        <v>641.0</v>
      </c>
      <c r="G1279" s="81" t="s">
        <v>39</v>
      </c>
      <c r="H1279" s="81" t="s">
        <v>6097</v>
      </c>
      <c r="I1279" s="81" t="s">
        <v>224</v>
      </c>
      <c r="J1279" s="81" t="s">
        <v>5143</v>
      </c>
    </row>
    <row r="1280" hidden="1">
      <c r="A1280" s="83" t="s">
        <v>4949</v>
      </c>
      <c r="B1280" s="83" t="s">
        <v>4950</v>
      </c>
      <c r="C1280" s="81" t="s">
        <v>4086</v>
      </c>
      <c r="D1280" s="83" t="s">
        <v>4707</v>
      </c>
      <c r="E1280" s="81" t="s">
        <v>3362</v>
      </c>
      <c r="F1280" s="84">
        <v>641.0</v>
      </c>
      <c r="G1280" s="81" t="s">
        <v>40</v>
      </c>
      <c r="H1280" s="81" t="s">
        <v>6098</v>
      </c>
      <c r="I1280" s="81" t="s">
        <v>3364</v>
      </c>
      <c r="J1280" s="81" t="s">
        <v>224</v>
      </c>
    </row>
    <row r="1281" hidden="1">
      <c r="A1281" s="83" t="s">
        <v>4949</v>
      </c>
      <c r="B1281" s="83" t="s">
        <v>4950</v>
      </c>
      <c r="C1281" s="81" t="s">
        <v>5141</v>
      </c>
      <c r="D1281" s="83" t="s">
        <v>4707</v>
      </c>
      <c r="E1281" s="81" t="s">
        <v>3369</v>
      </c>
      <c r="F1281" s="84">
        <v>642.0</v>
      </c>
      <c r="G1281" s="81" t="s">
        <v>39</v>
      </c>
      <c r="H1281" s="81" t="s">
        <v>6099</v>
      </c>
      <c r="I1281" s="81" t="s">
        <v>224</v>
      </c>
      <c r="J1281" s="81" t="s">
        <v>5143</v>
      </c>
    </row>
    <row r="1282" hidden="1">
      <c r="A1282" s="83" t="s">
        <v>4949</v>
      </c>
      <c r="B1282" s="83" t="s">
        <v>4950</v>
      </c>
      <c r="C1282" s="81" t="s">
        <v>4086</v>
      </c>
      <c r="D1282" s="83" t="s">
        <v>4707</v>
      </c>
      <c r="E1282" s="81" t="s">
        <v>3369</v>
      </c>
      <c r="F1282" s="84">
        <v>642.0</v>
      </c>
      <c r="G1282" s="81" t="s">
        <v>40</v>
      </c>
      <c r="H1282" s="81" t="s">
        <v>6100</v>
      </c>
      <c r="I1282" s="81" t="s">
        <v>3364</v>
      </c>
      <c r="J1282" s="81" t="s">
        <v>224</v>
      </c>
    </row>
    <row r="1283" hidden="1">
      <c r="A1283" s="83" t="s">
        <v>4949</v>
      </c>
      <c r="B1283" s="83" t="s">
        <v>4950</v>
      </c>
      <c r="C1283" s="81" t="s">
        <v>4082</v>
      </c>
      <c r="D1283" s="83" t="s">
        <v>4709</v>
      </c>
      <c r="E1283" s="81" t="s">
        <v>3370</v>
      </c>
      <c r="F1283" s="84">
        <v>643.0</v>
      </c>
      <c r="G1283" s="81" t="s">
        <v>39</v>
      </c>
      <c r="H1283" s="81" t="s">
        <v>224</v>
      </c>
      <c r="I1283" s="81" t="s">
        <v>224</v>
      </c>
      <c r="J1283" s="81" t="s">
        <v>6101</v>
      </c>
    </row>
    <row r="1284" hidden="1">
      <c r="A1284" s="83" t="s">
        <v>4949</v>
      </c>
      <c r="B1284" s="83" t="s">
        <v>4950</v>
      </c>
      <c r="C1284" s="81" t="s">
        <v>5141</v>
      </c>
      <c r="D1284" s="83" t="s">
        <v>4709</v>
      </c>
      <c r="E1284" s="81" t="s">
        <v>3370</v>
      </c>
      <c r="F1284" s="84">
        <v>643.0</v>
      </c>
      <c r="G1284" s="81" t="s">
        <v>39</v>
      </c>
      <c r="H1284" s="81" t="s">
        <v>6102</v>
      </c>
      <c r="I1284" s="81" t="s">
        <v>224</v>
      </c>
      <c r="J1284" s="81" t="s">
        <v>5143</v>
      </c>
    </row>
    <row r="1285" hidden="1">
      <c r="A1285" s="83" t="s">
        <v>4949</v>
      </c>
      <c r="B1285" s="83" t="s">
        <v>4950</v>
      </c>
      <c r="C1285" s="81" t="s">
        <v>4086</v>
      </c>
      <c r="D1285" s="83" t="s">
        <v>4709</v>
      </c>
      <c r="E1285" s="81" t="s">
        <v>3370</v>
      </c>
      <c r="F1285" s="84">
        <v>643.0</v>
      </c>
      <c r="G1285" s="81" t="s">
        <v>40</v>
      </c>
      <c r="H1285" s="81" t="s">
        <v>6103</v>
      </c>
      <c r="I1285" s="81" t="s">
        <v>3371</v>
      </c>
      <c r="J1285" s="81" t="s">
        <v>224</v>
      </c>
    </row>
    <row r="1286" hidden="1">
      <c r="A1286" s="83" t="s">
        <v>4949</v>
      </c>
      <c r="B1286" s="83" t="s">
        <v>4950</v>
      </c>
      <c r="C1286" s="81" t="s">
        <v>4086</v>
      </c>
      <c r="D1286" s="83" t="s">
        <v>4710</v>
      </c>
      <c r="E1286" s="81" t="s">
        <v>3372</v>
      </c>
      <c r="F1286" s="84">
        <v>644.0</v>
      </c>
      <c r="G1286" s="81" t="s">
        <v>39</v>
      </c>
      <c r="H1286" s="81" t="s">
        <v>6104</v>
      </c>
      <c r="I1286" s="81" t="s">
        <v>3373</v>
      </c>
      <c r="J1286" s="81" t="s">
        <v>224</v>
      </c>
    </row>
    <row r="1287" hidden="1">
      <c r="A1287" s="83" t="s">
        <v>4949</v>
      </c>
      <c r="B1287" s="83" t="s">
        <v>4950</v>
      </c>
      <c r="C1287" s="81" t="s">
        <v>4086</v>
      </c>
      <c r="D1287" s="83" t="s">
        <v>4710</v>
      </c>
      <c r="E1287" s="81" t="s">
        <v>3372</v>
      </c>
      <c r="F1287" s="84">
        <v>644.0</v>
      </c>
      <c r="G1287" s="81" t="s">
        <v>40</v>
      </c>
      <c r="H1287" s="81" t="s">
        <v>6105</v>
      </c>
      <c r="I1287" s="81" t="s">
        <v>3374</v>
      </c>
      <c r="J1287" s="81" t="s">
        <v>224</v>
      </c>
    </row>
    <row r="1288" hidden="1">
      <c r="A1288" s="83" t="s">
        <v>4949</v>
      </c>
      <c r="B1288" s="83" t="s">
        <v>4950</v>
      </c>
      <c r="C1288" s="81" t="s">
        <v>4086</v>
      </c>
      <c r="D1288" s="83" t="s">
        <v>4711</v>
      </c>
      <c r="E1288" s="81" t="s">
        <v>3375</v>
      </c>
      <c r="F1288" s="84">
        <v>645.0</v>
      </c>
      <c r="G1288" s="81" t="s">
        <v>39</v>
      </c>
      <c r="H1288" s="81" t="s">
        <v>6106</v>
      </c>
      <c r="I1288" s="81" t="s">
        <v>3382</v>
      </c>
      <c r="J1288" s="81" t="s">
        <v>224</v>
      </c>
    </row>
    <row r="1289" hidden="1">
      <c r="A1289" s="83" t="s">
        <v>4949</v>
      </c>
      <c r="B1289" s="83" t="s">
        <v>4950</v>
      </c>
      <c r="C1289" s="81" t="s">
        <v>4086</v>
      </c>
      <c r="D1289" s="83" t="s">
        <v>4711</v>
      </c>
      <c r="E1289" s="81" t="s">
        <v>3375</v>
      </c>
      <c r="F1289" s="84">
        <v>645.0</v>
      </c>
      <c r="G1289" s="81" t="s">
        <v>40</v>
      </c>
      <c r="H1289" s="81" t="s">
        <v>6107</v>
      </c>
      <c r="I1289" s="81" t="s">
        <v>3383</v>
      </c>
      <c r="J1289" s="81" t="s">
        <v>224</v>
      </c>
    </row>
    <row r="1290" hidden="1">
      <c r="A1290" s="83" t="s">
        <v>4949</v>
      </c>
      <c r="B1290" s="83" t="s">
        <v>4950</v>
      </c>
      <c r="C1290" s="81" t="s">
        <v>4086</v>
      </c>
      <c r="D1290" s="83" t="s">
        <v>4711</v>
      </c>
      <c r="E1290" s="81" t="s">
        <v>3389</v>
      </c>
      <c r="F1290" s="84">
        <v>646.0</v>
      </c>
      <c r="G1290" s="81" t="s">
        <v>39</v>
      </c>
      <c r="H1290" s="81" t="s">
        <v>6106</v>
      </c>
      <c r="I1290" s="81" t="s">
        <v>3382</v>
      </c>
      <c r="J1290" s="81" t="s">
        <v>224</v>
      </c>
    </row>
    <row r="1291" hidden="1">
      <c r="A1291" s="83" t="s">
        <v>4949</v>
      </c>
      <c r="B1291" s="83" t="s">
        <v>4950</v>
      </c>
      <c r="C1291" s="81" t="s">
        <v>4086</v>
      </c>
      <c r="D1291" s="83" t="s">
        <v>4711</v>
      </c>
      <c r="E1291" s="81" t="s">
        <v>3389</v>
      </c>
      <c r="F1291" s="84">
        <v>646.0</v>
      </c>
      <c r="G1291" s="81" t="s">
        <v>40</v>
      </c>
      <c r="H1291" s="81" t="s">
        <v>6107</v>
      </c>
      <c r="I1291" s="81" t="s">
        <v>3383</v>
      </c>
      <c r="J1291" s="81" t="s">
        <v>224</v>
      </c>
    </row>
    <row r="1292" hidden="1">
      <c r="A1292" s="83" t="s">
        <v>4949</v>
      </c>
      <c r="B1292" s="83" t="s">
        <v>4950</v>
      </c>
      <c r="C1292" s="81" t="s">
        <v>4086</v>
      </c>
      <c r="D1292" s="83" t="s">
        <v>4713</v>
      </c>
      <c r="E1292" s="81" t="s">
        <v>3390</v>
      </c>
      <c r="F1292" s="84">
        <v>647.0</v>
      </c>
      <c r="G1292" s="81" t="s">
        <v>39</v>
      </c>
      <c r="H1292" s="81" t="s">
        <v>6108</v>
      </c>
      <c r="I1292" s="81" t="s">
        <v>3396</v>
      </c>
      <c r="J1292" s="81" t="s">
        <v>224</v>
      </c>
    </row>
    <row r="1293" hidden="1">
      <c r="A1293" s="83" t="s">
        <v>4949</v>
      </c>
      <c r="B1293" s="83" t="s">
        <v>4950</v>
      </c>
      <c r="C1293" s="81" t="s">
        <v>4086</v>
      </c>
      <c r="D1293" s="83" t="s">
        <v>4713</v>
      </c>
      <c r="E1293" s="81" t="s">
        <v>3390</v>
      </c>
      <c r="F1293" s="84">
        <v>647.0</v>
      </c>
      <c r="G1293" s="81" t="s">
        <v>40</v>
      </c>
      <c r="H1293" s="81" t="s">
        <v>6107</v>
      </c>
      <c r="I1293" s="81" t="s">
        <v>3397</v>
      </c>
      <c r="J1293" s="81" t="s">
        <v>224</v>
      </c>
    </row>
    <row r="1294" hidden="1">
      <c r="A1294" s="83" t="s">
        <v>4949</v>
      </c>
      <c r="B1294" s="83" t="s">
        <v>4950</v>
      </c>
      <c r="C1294" s="81" t="s">
        <v>4086</v>
      </c>
      <c r="D1294" s="83" t="s">
        <v>4715</v>
      </c>
      <c r="E1294" s="81" t="s">
        <v>3402</v>
      </c>
      <c r="F1294" s="84">
        <v>648.0</v>
      </c>
      <c r="G1294" s="81" t="s">
        <v>40</v>
      </c>
      <c r="H1294" s="81" t="s">
        <v>6109</v>
      </c>
      <c r="I1294" s="81" t="s">
        <v>6110</v>
      </c>
      <c r="J1294" s="81" t="s">
        <v>224</v>
      </c>
    </row>
    <row r="1295" hidden="1">
      <c r="A1295" s="83" t="s">
        <v>4949</v>
      </c>
      <c r="B1295" s="83" t="s">
        <v>4950</v>
      </c>
      <c r="C1295" s="81" t="s">
        <v>4086</v>
      </c>
      <c r="D1295" s="83" t="s">
        <v>4717</v>
      </c>
      <c r="E1295" s="81" t="s">
        <v>3414</v>
      </c>
      <c r="F1295" s="84">
        <v>649.0</v>
      </c>
      <c r="G1295" s="81" t="s">
        <v>39</v>
      </c>
      <c r="H1295" s="81" t="s">
        <v>6111</v>
      </c>
      <c r="I1295" s="81" t="s">
        <v>3420</v>
      </c>
      <c r="J1295" s="81" t="s">
        <v>224</v>
      </c>
    </row>
    <row r="1296" hidden="1">
      <c r="A1296" s="83" t="s">
        <v>4949</v>
      </c>
      <c r="B1296" s="83" t="s">
        <v>4950</v>
      </c>
      <c r="C1296" s="81" t="s">
        <v>4086</v>
      </c>
      <c r="D1296" s="83" t="s">
        <v>4717</v>
      </c>
      <c r="E1296" s="81" t="s">
        <v>3414</v>
      </c>
      <c r="F1296" s="84">
        <v>649.0</v>
      </c>
      <c r="G1296" s="81" t="s">
        <v>40</v>
      </c>
      <c r="H1296" s="81" t="s">
        <v>6112</v>
      </c>
      <c r="I1296" s="81" t="s">
        <v>6113</v>
      </c>
      <c r="J1296" s="81" t="s">
        <v>224</v>
      </c>
    </row>
    <row r="1297" hidden="1">
      <c r="A1297" s="83" t="s">
        <v>4949</v>
      </c>
      <c r="B1297" s="83" t="s">
        <v>4950</v>
      </c>
      <c r="C1297" s="81" t="s">
        <v>4086</v>
      </c>
      <c r="D1297" s="83" t="s">
        <v>4719</v>
      </c>
      <c r="E1297" s="81" t="s">
        <v>3427</v>
      </c>
      <c r="F1297" s="84">
        <v>650.0</v>
      </c>
      <c r="G1297" s="81" t="s">
        <v>39</v>
      </c>
      <c r="H1297" s="81" t="s">
        <v>6114</v>
      </c>
      <c r="I1297" s="81" t="s">
        <v>3432</v>
      </c>
      <c r="J1297" s="81" t="s">
        <v>224</v>
      </c>
    </row>
    <row r="1298" hidden="1">
      <c r="A1298" s="83" t="s">
        <v>4949</v>
      </c>
      <c r="B1298" s="83" t="s">
        <v>4950</v>
      </c>
      <c r="C1298" s="81" t="s">
        <v>4086</v>
      </c>
      <c r="D1298" s="83" t="s">
        <v>4719</v>
      </c>
      <c r="E1298" s="81" t="s">
        <v>3427</v>
      </c>
      <c r="F1298" s="84">
        <v>650.0</v>
      </c>
      <c r="G1298" s="81" t="s">
        <v>40</v>
      </c>
      <c r="H1298" s="81" t="s">
        <v>6115</v>
      </c>
      <c r="I1298" s="81" t="s">
        <v>6116</v>
      </c>
      <c r="J1298" s="81" t="s">
        <v>224</v>
      </c>
    </row>
    <row r="1299" hidden="1">
      <c r="A1299" s="83" t="s">
        <v>4949</v>
      </c>
      <c r="B1299" s="83" t="s">
        <v>4950</v>
      </c>
      <c r="C1299" s="81" t="s">
        <v>4086</v>
      </c>
      <c r="D1299" s="83" t="s">
        <v>4721</v>
      </c>
      <c r="E1299" s="81" t="s">
        <v>3439</v>
      </c>
      <c r="F1299" s="84">
        <v>651.0</v>
      </c>
      <c r="G1299" s="81" t="s">
        <v>39</v>
      </c>
      <c r="H1299" s="81" t="s">
        <v>6117</v>
      </c>
      <c r="I1299" s="81" t="s">
        <v>3444</v>
      </c>
      <c r="J1299" s="81" t="s">
        <v>224</v>
      </c>
    </row>
    <row r="1300" hidden="1">
      <c r="A1300" s="83" t="s">
        <v>4949</v>
      </c>
      <c r="B1300" s="83" t="s">
        <v>4950</v>
      </c>
      <c r="C1300" s="81" t="s">
        <v>4086</v>
      </c>
      <c r="D1300" s="83" t="s">
        <v>4721</v>
      </c>
      <c r="E1300" s="81" t="s">
        <v>3439</v>
      </c>
      <c r="F1300" s="84">
        <v>651.0</v>
      </c>
      <c r="G1300" s="81" t="s">
        <v>40</v>
      </c>
      <c r="H1300" s="81" t="s">
        <v>6118</v>
      </c>
      <c r="I1300" s="81" t="s">
        <v>6119</v>
      </c>
      <c r="J1300" s="81" t="s">
        <v>224</v>
      </c>
    </row>
    <row r="1301" hidden="1">
      <c r="A1301" s="83" t="s">
        <v>4949</v>
      </c>
      <c r="B1301" s="83" t="s">
        <v>4950</v>
      </c>
      <c r="C1301" s="81" t="s">
        <v>4086</v>
      </c>
      <c r="D1301" s="83" t="s">
        <v>4721</v>
      </c>
      <c r="E1301" s="81" t="s">
        <v>3451</v>
      </c>
      <c r="F1301" s="84">
        <v>652.0</v>
      </c>
      <c r="G1301" s="81" t="s">
        <v>39</v>
      </c>
      <c r="H1301" s="81" t="s">
        <v>6117</v>
      </c>
      <c r="I1301" s="81" t="s">
        <v>3444</v>
      </c>
      <c r="J1301" s="81" t="s">
        <v>224</v>
      </c>
    </row>
    <row r="1302" hidden="1">
      <c r="A1302" s="83" t="s">
        <v>4949</v>
      </c>
      <c r="B1302" s="83" t="s">
        <v>4950</v>
      </c>
      <c r="C1302" s="81" t="s">
        <v>4086</v>
      </c>
      <c r="D1302" s="83" t="s">
        <v>4721</v>
      </c>
      <c r="E1302" s="81" t="s">
        <v>3451</v>
      </c>
      <c r="F1302" s="84">
        <v>652.0</v>
      </c>
      <c r="G1302" s="81" t="s">
        <v>40</v>
      </c>
      <c r="H1302" s="81" t="s">
        <v>6118</v>
      </c>
      <c r="I1302" s="81" t="s">
        <v>6119</v>
      </c>
      <c r="J1302" s="81" t="s">
        <v>224</v>
      </c>
    </row>
    <row r="1303" hidden="1">
      <c r="A1303" s="83" t="s">
        <v>4949</v>
      </c>
      <c r="B1303" s="83" t="s">
        <v>4950</v>
      </c>
      <c r="C1303" s="81" t="s">
        <v>4086</v>
      </c>
      <c r="D1303" s="83" t="s">
        <v>4723</v>
      </c>
      <c r="E1303" s="81" t="s">
        <v>3452</v>
      </c>
      <c r="F1303" s="84">
        <v>653.0</v>
      </c>
      <c r="G1303" s="81" t="s">
        <v>40</v>
      </c>
      <c r="H1303" s="81" t="s">
        <v>6120</v>
      </c>
      <c r="I1303" s="81" t="s">
        <v>6121</v>
      </c>
      <c r="J1303" s="81" t="s">
        <v>224</v>
      </c>
    </row>
    <row r="1304" hidden="1">
      <c r="A1304" s="83" t="s">
        <v>4949</v>
      </c>
      <c r="B1304" s="83" t="s">
        <v>4950</v>
      </c>
      <c r="C1304" s="81" t="s">
        <v>4086</v>
      </c>
      <c r="D1304" s="83" t="s">
        <v>4724</v>
      </c>
      <c r="E1304" s="81" t="s">
        <v>3462</v>
      </c>
      <c r="F1304" s="84">
        <v>654.0</v>
      </c>
      <c r="G1304" s="81" t="s">
        <v>39</v>
      </c>
      <c r="H1304" s="81" t="s">
        <v>6122</v>
      </c>
      <c r="I1304" s="81" t="s">
        <v>3466</v>
      </c>
      <c r="J1304" s="81" t="s">
        <v>224</v>
      </c>
    </row>
    <row r="1305" hidden="1">
      <c r="A1305" s="83" t="s">
        <v>4949</v>
      </c>
      <c r="B1305" s="83" t="s">
        <v>4950</v>
      </c>
      <c r="C1305" s="81" t="s">
        <v>4086</v>
      </c>
      <c r="D1305" s="83" t="s">
        <v>4724</v>
      </c>
      <c r="E1305" s="81" t="s">
        <v>3462</v>
      </c>
      <c r="F1305" s="84">
        <v>654.0</v>
      </c>
      <c r="G1305" s="81" t="s">
        <v>40</v>
      </c>
      <c r="H1305" s="81" t="s">
        <v>6123</v>
      </c>
      <c r="I1305" s="81" t="s">
        <v>3467</v>
      </c>
      <c r="J1305" s="81" t="s">
        <v>224</v>
      </c>
    </row>
    <row r="1306" hidden="1">
      <c r="A1306" s="83" t="s">
        <v>4949</v>
      </c>
      <c r="B1306" s="83" t="s">
        <v>4950</v>
      </c>
      <c r="C1306" s="81" t="s">
        <v>4086</v>
      </c>
      <c r="D1306" s="83" t="s">
        <v>4724</v>
      </c>
      <c r="E1306" s="81" t="s">
        <v>3473</v>
      </c>
      <c r="F1306" s="84">
        <v>655.0</v>
      </c>
      <c r="G1306" s="81" t="s">
        <v>40</v>
      </c>
      <c r="H1306" s="81" t="s">
        <v>6124</v>
      </c>
      <c r="I1306" s="81" t="s">
        <v>3467</v>
      </c>
      <c r="J1306" s="81" t="s">
        <v>224</v>
      </c>
    </row>
    <row r="1307" hidden="1">
      <c r="A1307" s="83" t="s">
        <v>4949</v>
      </c>
      <c r="B1307" s="83" t="s">
        <v>4950</v>
      </c>
      <c r="C1307" s="81" t="s">
        <v>4086</v>
      </c>
      <c r="D1307" s="83" t="s">
        <v>4726</v>
      </c>
      <c r="E1307" s="81" t="s">
        <v>3474</v>
      </c>
      <c r="F1307" s="84">
        <v>656.0</v>
      </c>
      <c r="G1307" s="81" t="s">
        <v>39</v>
      </c>
      <c r="H1307" s="81" t="s">
        <v>6125</v>
      </c>
      <c r="I1307" s="81" t="s">
        <v>3477</v>
      </c>
      <c r="J1307" s="81" t="s">
        <v>224</v>
      </c>
    </row>
    <row r="1308" hidden="1">
      <c r="A1308" s="83" t="s">
        <v>4949</v>
      </c>
      <c r="B1308" s="83" t="s">
        <v>4950</v>
      </c>
      <c r="C1308" s="81" t="s">
        <v>4086</v>
      </c>
      <c r="D1308" s="83" t="s">
        <v>4726</v>
      </c>
      <c r="E1308" s="81" t="s">
        <v>3474</v>
      </c>
      <c r="F1308" s="84">
        <v>656.0</v>
      </c>
      <c r="G1308" s="81" t="s">
        <v>40</v>
      </c>
      <c r="H1308" s="81" t="s">
        <v>6126</v>
      </c>
      <c r="I1308" s="81" t="s">
        <v>6127</v>
      </c>
      <c r="J1308" s="81" t="s">
        <v>224</v>
      </c>
    </row>
    <row r="1309" hidden="1">
      <c r="A1309" s="83" t="s">
        <v>4949</v>
      </c>
      <c r="B1309" s="83" t="s">
        <v>4950</v>
      </c>
      <c r="C1309" s="81" t="s">
        <v>4086</v>
      </c>
      <c r="D1309" s="83" t="s">
        <v>4727</v>
      </c>
      <c r="E1309" s="81" t="s">
        <v>3483</v>
      </c>
      <c r="F1309" s="84">
        <v>657.0</v>
      </c>
      <c r="G1309" s="81" t="s">
        <v>39</v>
      </c>
      <c r="H1309" s="81" t="s">
        <v>6128</v>
      </c>
      <c r="I1309" s="81" t="s">
        <v>3489</v>
      </c>
      <c r="J1309" s="81" t="s">
        <v>224</v>
      </c>
    </row>
    <row r="1310" hidden="1">
      <c r="A1310" s="83" t="s">
        <v>4949</v>
      </c>
      <c r="B1310" s="83" t="s">
        <v>4950</v>
      </c>
      <c r="C1310" s="81" t="s">
        <v>4086</v>
      </c>
      <c r="D1310" s="83" t="s">
        <v>4727</v>
      </c>
      <c r="E1310" s="81" t="s">
        <v>3483</v>
      </c>
      <c r="F1310" s="84">
        <v>657.0</v>
      </c>
      <c r="G1310" s="81" t="s">
        <v>40</v>
      </c>
      <c r="H1310" s="81" t="s">
        <v>6129</v>
      </c>
      <c r="I1310" s="81" t="s">
        <v>3490</v>
      </c>
      <c r="J1310" s="81" t="s">
        <v>224</v>
      </c>
    </row>
    <row r="1311" hidden="1">
      <c r="A1311" s="83" t="s">
        <v>4949</v>
      </c>
      <c r="B1311" s="83" t="s">
        <v>4950</v>
      </c>
      <c r="C1311" s="81" t="s">
        <v>4086</v>
      </c>
      <c r="D1311" s="83" t="s">
        <v>4727</v>
      </c>
      <c r="E1311" s="81" t="s">
        <v>3496</v>
      </c>
      <c r="F1311" s="84">
        <v>658.0</v>
      </c>
      <c r="G1311" s="81" t="s">
        <v>39</v>
      </c>
      <c r="H1311" s="81" t="s">
        <v>6128</v>
      </c>
      <c r="I1311" s="81" t="s">
        <v>3489</v>
      </c>
      <c r="J1311" s="81" t="s">
        <v>224</v>
      </c>
    </row>
    <row r="1312" hidden="1">
      <c r="A1312" s="83" t="s">
        <v>4949</v>
      </c>
      <c r="B1312" s="83" t="s">
        <v>4950</v>
      </c>
      <c r="C1312" s="81" t="s">
        <v>4086</v>
      </c>
      <c r="D1312" s="83" t="s">
        <v>4727</v>
      </c>
      <c r="E1312" s="81" t="s">
        <v>3496</v>
      </c>
      <c r="F1312" s="84">
        <v>658.0</v>
      </c>
      <c r="G1312" s="81" t="s">
        <v>40</v>
      </c>
      <c r="H1312" s="81" t="s">
        <v>6129</v>
      </c>
      <c r="I1312" s="81" t="s">
        <v>3490</v>
      </c>
      <c r="J1312" s="81" t="s">
        <v>224</v>
      </c>
    </row>
    <row r="1313" hidden="1">
      <c r="A1313" s="83" t="s">
        <v>4949</v>
      </c>
      <c r="B1313" s="83" t="s">
        <v>4950</v>
      </c>
      <c r="C1313" s="81" t="s">
        <v>4086</v>
      </c>
      <c r="D1313" s="83" t="s">
        <v>4729</v>
      </c>
      <c r="E1313" s="81" t="s">
        <v>3497</v>
      </c>
      <c r="F1313" s="84">
        <v>659.0</v>
      </c>
      <c r="G1313" s="81" t="s">
        <v>39</v>
      </c>
      <c r="H1313" s="81" t="s">
        <v>6130</v>
      </c>
      <c r="I1313" s="81" t="s">
        <v>3498</v>
      </c>
      <c r="J1313" s="81" t="s">
        <v>224</v>
      </c>
    </row>
    <row r="1314" hidden="1">
      <c r="A1314" s="83" t="s">
        <v>4949</v>
      </c>
      <c r="B1314" s="83" t="s">
        <v>4950</v>
      </c>
      <c r="C1314" s="81" t="s">
        <v>4086</v>
      </c>
      <c r="D1314" s="83" t="s">
        <v>4729</v>
      </c>
      <c r="E1314" s="81" t="s">
        <v>3497</v>
      </c>
      <c r="F1314" s="84">
        <v>659.0</v>
      </c>
      <c r="G1314" s="81" t="s">
        <v>40</v>
      </c>
      <c r="H1314" s="81" t="s">
        <v>6131</v>
      </c>
      <c r="I1314" s="81" t="s">
        <v>3499</v>
      </c>
      <c r="J1314" s="81" t="s">
        <v>224</v>
      </c>
    </row>
    <row r="1315" hidden="1">
      <c r="A1315" s="83" t="s">
        <v>4949</v>
      </c>
      <c r="B1315" s="83" t="s">
        <v>4950</v>
      </c>
      <c r="C1315" s="81" t="s">
        <v>4086</v>
      </c>
      <c r="D1315" s="83" t="s">
        <v>4730</v>
      </c>
      <c r="E1315" s="81" t="s">
        <v>3500</v>
      </c>
      <c r="F1315" s="84">
        <v>660.0</v>
      </c>
      <c r="G1315" s="81" t="s">
        <v>39</v>
      </c>
      <c r="H1315" s="81" t="s">
        <v>6132</v>
      </c>
      <c r="I1315" s="81" t="s">
        <v>3504</v>
      </c>
      <c r="J1315" s="81" t="s">
        <v>224</v>
      </c>
    </row>
    <row r="1316" hidden="1">
      <c r="A1316" s="83" t="s">
        <v>4949</v>
      </c>
      <c r="B1316" s="83" t="s">
        <v>4950</v>
      </c>
      <c r="C1316" s="81" t="s">
        <v>4086</v>
      </c>
      <c r="D1316" s="83" t="s">
        <v>4730</v>
      </c>
      <c r="E1316" s="81" t="s">
        <v>3500</v>
      </c>
      <c r="F1316" s="84">
        <v>660.0</v>
      </c>
      <c r="G1316" s="81" t="s">
        <v>40</v>
      </c>
      <c r="H1316" s="81" t="s">
        <v>6133</v>
      </c>
      <c r="I1316" s="81" t="s">
        <v>3505</v>
      </c>
      <c r="J1316" s="81" t="s">
        <v>224</v>
      </c>
    </row>
    <row r="1317" hidden="1">
      <c r="A1317" s="83" t="s">
        <v>4949</v>
      </c>
      <c r="B1317" s="83" t="s">
        <v>4950</v>
      </c>
      <c r="C1317" s="81" t="s">
        <v>4086</v>
      </c>
      <c r="D1317" s="83" t="s">
        <v>4731</v>
      </c>
      <c r="E1317" s="81" t="s">
        <v>3510</v>
      </c>
      <c r="F1317" s="84">
        <v>661.0</v>
      </c>
      <c r="G1317" s="81" t="s">
        <v>39</v>
      </c>
      <c r="H1317" s="81" t="s">
        <v>6134</v>
      </c>
      <c r="I1317" s="81" t="s">
        <v>3511</v>
      </c>
      <c r="J1317" s="81" t="s">
        <v>224</v>
      </c>
    </row>
    <row r="1318" hidden="1">
      <c r="A1318" s="83" t="s">
        <v>4949</v>
      </c>
      <c r="B1318" s="83" t="s">
        <v>4950</v>
      </c>
      <c r="C1318" s="81" t="s">
        <v>4086</v>
      </c>
      <c r="D1318" s="83" t="s">
        <v>4731</v>
      </c>
      <c r="E1318" s="81" t="s">
        <v>3510</v>
      </c>
      <c r="F1318" s="84">
        <v>661.0</v>
      </c>
      <c r="G1318" s="81" t="s">
        <v>40</v>
      </c>
      <c r="H1318" s="81" t="s">
        <v>6135</v>
      </c>
      <c r="I1318" s="81" t="s">
        <v>3512</v>
      </c>
      <c r="J1318" s="81" t="s">
        <v>224</v>
      </c>
    </row>
    <row r="1319" hidden="1">
      <c r="A1319" s="83" t="s">
        <v>4949</v>
      </c>
      <c r="B1319" s="83" t="s">
        <v>4950</v>
      </c>
      <c r="C1319" s="81" t="s">
        <v>4086</v>
      </c>
      <c r="D1319" s="83" t="s">
        <v>4732</v>
      </c>
      <c r="E1319" s="81" t="s">
        <v>3513</v>
      </c>
      <c r="F1319" s="84">
        <v>662.0</v>
      </c>
      <c r="G1319" s="81" t="s">
        <v>39</v>
      </c>
      <c r="H1319" s="81" t="s">
        <v>6136</v>
      </c>
      <c r="I1319" s="81" t="s">
        <v>3518</v>
      </c>
      <c r="J1319" s="81" t="s">
        <v>224</v>
      </c>
    </row>
    <row r="1320" hidden="1">
      <c r="A1320" s="83" t="s">
        <v>4949</v>
      </c>
      <c r="B1320" s="83" t="s">
        <v>4950</v>
      </c>
      <c r="C1320" s="81" t="s">
        <v>4086</v>
      </c>
      <c r="D1320" s="83" t="s">
        <v>4732</v>
      </c>
      <c r="E1320" s="81" t="s">
        <v>3513</v>
      </c>
      <c r="F1320" s="84">
        <v>662.0</v>
      </c>
      <c r="G1320" s="81" t="s">
        <v>40</v>
      </c>
      <c r="H1320" s="81" t="s">
        <v>6137</v>
      </c>
      <c r="I1320" s="81" t="s">
        <v>3519</v>
      </c>
      <c r="J1320" s="81" t="s">
        <v>224</v>
      </c>
    </row>
    <row r="1321" hidden="1">
      <c r="A1321" s="83" t="s">
        <v>4949</v>
      </c>
      <c r="B1321" s="83" t="s">
        <v>4950</v>
      </c>
      <c r="C1321" s="81" t="s">
        <v>4086</v>
      </c>
      <c r="D1321" s="83" t="s">
        <v>4732</v>
      </c>
      <c r="E1321" s="81" t="s">
        <v>3523</v>
      </c>
      <c r="F1321" s="84">
        <v>663.0</v>
      </c>
      <c r="G1321" s="81" t="s">
        <v>39</v>
      </c>
      <c r="H1321" s="81" t="s">
        <v>6136</v>
      </c>
      <c r="I1321" s="81" t="s">
        <v>3518</v>
      </c>
      <c r="J1321" s="81" t="s">
        <v>224</v>
      </c>
    </row>
    <row r="1322" hidden="1">
      <c r="A1322" s="83" t="s">
        <v>4949</v>
      </c>
      <c r="B1322" s="83" t="s">
        <v>4950</v>
      </c>
      <c r="C1322" s="81" t="s">
        <v>4086</v>
      </c>
      <c r="D1322" s="83" t="s">
        <v>4732</v>
      </c>
      <c r="E1322" s="81" t="s">
        <v>3523</v>
      </c>
      <c r="F1322" s="84">
        <v>663.0</v>
      </c>
      <c r="G1322" s="81" t="s">
        <v>40</v>
      </c>
      <c r="H1322" s="81" t="s">
        <v>6137</v>
      </c>
      <c r="I1322" s="81" t="s">
        <v>3519</v>
      </c>
      <c r="J1322" s="81" t="s">
        <v>224</v>
      </c>
    </row>
    <row r="1323" hidden="1">
      <c r="A1323" s="83" t="s">
        <v>4949</v>
      </c>
      <c r="B1323" s="83" t="s">
        <v>4950</v>
      </c>
      <c r="C1323" s="81" t="s">
        <v>4086</v>
      </c>
      <c r="D1323" s="83" t="s">
        <v>4734</v>
      </c>
      <c r="E1323" s="81" t="s">
        <v>3526</v>
      </c>
      <c r="F1323" s="84">
        <v>664.0</v>
      </c>
      <c r="G1323" s="81" t="s">
        <v>39</v>
      </c>
      <c r="H1323" s="81" t="s">
        <v>6138</v>
      </c>
      <c r="I1323" s="81" t="s">
        <v>3527</v>
      </c>
      <c r="J1323" s="81" t="s">
        <v>224</v>
      </c>
    </row>
    <row r="1324" hidden="1">
      <c r="A1324" s="83" t="s">
        <v>4949</v>
      </c>
      <c r="B1324" s="83" t="s">
        <v>4950</v>
      </c>
      <c r="C1324" s="81" t="s">
        <v>4086</v>
      </c>
      <c r="D1324" s="83" t="s">
        <v>4734</v>
      </c>
      <c r="E1324" s="81" t="s">
        <v>3526</v>
      </c>
      <c r="F1324" s="84">
        <v>664.0</v>
      </c>
      <c r="G1324" s="81" t="s">
        <v>40</v>
      </c>
      <c r="H1324" s="81" t="s">
        <v>6139</v>
      </c>
      <c r="I1324" s="81" t="s">
        <v>3528</v>
      </c>
      <c r="J1324" s="81" t="s">
        <v>224</v>
      </c>
    </row>
    <row r="1325" hidden="1">
      <c r="A1325" s="83" t="s">
        <v>4949</v>
      </c>
      <c r="B1325" s="83" t="s">
        <v>4950</v>
      </c>
      <c r="C1325" s="81" t="s">
        <v>4086</v>
      </c>
      <c r="D1325" s="83" t="s">
        <v>4735</v>
      </c>
      <c r="E1325" s="81" t="s">
        <v>3529</v>
      </c>
      <c r="F1325" s="84">
        <v>665.0</v>
      </c>
      <c r="G1325" s="81" t="s">
        <v>39</v>
      </c>
      <c r="H1325" s="81" t="s">
        <v>6140</v>
      </c>
      <c r="I1325" s="81" t="s">
        <v>3534</v>
      </c>
      <c r="J1325" s="81" t="s">
        <v>224</v>
      </c>
    </row>
    <row r="1326" hidden="1">
      <c r="A1326" s="83" t="s">
        <v>4949</v>
      </c>
      <c r="B1326" s="83" t="s">
        <v>4950</v>
      </c>
      <c r="C1326" s="81" t="s">
        <v>4086</v>
      </c>
      <c r="D1326" s="83" t="s">
        <v>4735</v>
      </c>
      <c r="E1326" s="81" t="s">
        <v>3529</v>
      </c>
      <c r="F1326" s="84">
        <v>665.0</v>
      </c>
      <c r="G1326" s="81" t="s">
        <v>40</v>
      </c>
      <c r="H1326" s="81" t="s">
        <v>6141</v>
      </c>
      <c r="I1326" s="81" t="s">
        <v>3535</v>
      </c>
      <c r="J1326" s="81" t="s">
        <v>224</v>
      </c>
    </row>
    <row r="1327" hidden="1">
      <c r="A1327" s="83" t="s">
        <v>4949</v>
      </c>
      <c r="B1327" s="83" t="s">
        <v>4950</v>
      </c>
      <c r="C1327" s="81" t="s">
        <v>4086</v>
      </c>
      <c r="D1327" s="83" t="s">
        <v>4735</v>
      </c>
      <c r="E1327" s="81" t="s">
        <v>3539</v>
      </c>
      <c r="F1327" s="84">
        <v>666.0</v>
      </c>
      <c r="G1327" s="81" t="s">
        <v>39</v>
      </c>
      <c r="H1327" s="81" t="s">
        <v>6142</v>
      </c>
      <c r="I1327" s="81" t="s">
        <v>3534</v>
      </c>
      <c r="J1327" s="81" t="s">
        <v>224</v>
      </c>
    </row>
    <row r="1328" hidden="1">
      <c r="A1328" s="83" t="s">
        <v>4949</v>
      </c>
      <c r="B1328" s="83" t="s">
        <v>4950</v>
      </c>
      <c r="C1328" s="81" t="s">
        <v>4086</v>
      </c>
      <c r="D1328" s="83" t="s">
        <v>4735</v>
      </c>
      <c r="E1328" s="81" t="s">
        <v>3539</v>
      </c>
      <c r="F1328" s="84">
        <v>666.0</v>
      </c>
      <c r="G1328" s="81" t="s">
        <v>40</v>
      </c>
      <c r="H1328" s="81" t="s">
        <v>6143</v>
      </c>
      <c r="I1328" s="81" t="s">
        <v>3535</v>
      </c>
      <c r="J1328" s="81" t="s">
        <v>224</v>
      </c>
    </row>
    <row r="1329" hidden="1">
      <c r="A1329" s="83" t="s">
        <v>4949</v>
      </c>
      <c r="B1329" s="83" t="s">
        <v>4950</v>
      </c>
      <c r="C1329" s="81" t="s">
        <v>4086</v>
      </c>
      <c r="D1329" s="83" t="s">
        <v>4737</v>
      </c>
      <c r="E1329" s="81" t="s">
        <v>3540</v>
      </c>
      <c r="F1329" s="84">
        <v>667.0</v>
      </c>
      <c r="G1329" s="81" t="s">
        <v>39</v>
      </c>
      <c r="H1329" s="81" t="s">
        <v>6144</v>
      </c>
      <c r="I1329" s="81" t="s">
        <v>3541</v>
      </c>
      <c r="J1329" s="81" t="s">
        <v>224</v>
      </c>
    </row>
    <row r="1330" hidden="1">
      <c r="A1330" s="83" t="s">
        <v>4949</v>
      </c>
      <c r="B1330" s="83" t="s">
        <v>4950</v>
      </c>
      <c r="C1330" s="81" t="s">
        <v>4086</v>
      </c>
      <c r="D1330" s="83" t="s">
        <v>4737</v>
      </c>
      <c r="E1330" s="81" t="s">
        <v>3540</v>
      </c>
      <c r="F1330" s="84">
        <v>667.0</v>
      </c>
      <c r="G1330" s="81" t="s">
        <v>40</v>
      </c>
      <c r="H1330" s="81" t="s">
        <v>6145</v>
      </c>
      <c r="I1330" s="81" t="s">
        <v>3542</v>
      </c>
      <c r="J1330" s="81" t="s">
        <v>224</v>
      </c>
    </row>
    <row r="1331" hidden="1">
      <c r="A1331" s="83" t="s">
        <v>4949</v>
      </c>
      <c r="B1331" s="83" t="s">
        <v>4950</v>
      </c>
      <c r="C1331" s="81" t="s">
        <v>4086</v>
      </c>
      <c r="D1331" s="83" t="s">
        <v>4738</v>
      </c>
      <c r="E1331" s="81" t="s">
        <v>3543</v>
      </c>
      <c r="F1331" s="84">
        <v>668.0</v>
      </c>
      <c r="G1331" s="81" t="s">
        <v>39</v>
      </c>
      <c r="H1331" s="81" t="s">
        <v>6146</v>
      </c>
      <c r="I1331" s="81" t="s">
        <v>3548</v>
      </c>
      <c r="J1331" s="81" t="s">
        <v>224</v>
      </c>
    </row>
    <row r="1332" hidden="1">
      <c r="A1332" s="83" t="s">
        <v>4949</v>
      </c>
      <c r="B1332" s="83" t="s">
        <v>4950</v>
      </c>
      <c r="C1332" s="81" t="s">
        <v>4086</v>
      </c>
      <c r="D1332" s="83" t="s">
        <v>4738</v>
      </c>
      <c r="E1332" s="81" t="s">
        <v>3543</v>
      </c>
      <c r="F1332" s="84">
        <v>668.0</v>
      </c>
      <c r="G1332" s="81" t="s">
        <v>40</v>
      </c>
      <c r="H1332" s="81" t="s">
        <v>6147</v>
      </c>
      <c r="I1332" s="81" t="s">
        <v>3549</v>
      </c>
      <c r="J1332" s="81" t="s">
        <v>224</v>
      </c>
    </row>
    <row r="1333" hidden="1">
      <c r="A1333" s="83" t="s">
        <v>4949</v>
      </c>
      <c r="B1333" s="83" t="s">
        <v>4950</v>
      </c>
      <c r="C1333" s="81" t="s">
        <v>4086</v>
      </c>
      <c r="D1333" s="83" t="s">
        <v>4738</v>
      </c>
      <c r="E1333" s="81" t="s">
        <v>3553</v>
      </c>
      <c r="F1333" s="84">
        <v>669.0</v>
      </c>
      <c r="G1333" s="81" t="s">
        <v>39</v>
      </c>
      <c r="H1333" s="81" t="s">
        <v>6146</v>
      </c>
      <c r="I1333" s="81" t="s">
        <v>3548</v>
      </c>
      <c r="J1333" s="81" t="s">
        <v>224</v>
      </c>
    </row>
    <row r="1334" hidden="1">
      <c r="A1334" s="83" t="s">
        <v>4949</v>
      </c>
      <c r="B1334" s="83" t="s">
        <v>4950</v>
      </c>
      <c r="C1334" s="81" t="s">
        <v>4086</v>
      </c>
      <c r="D1334" s="83" t="s">
        <v>4738</v>
      </c>
      <c r="E1334" s="81" t="s">
        <v>3553</v>
      </c>
      <c r="F1334" s="84">
        <v>669.0</v>
      </c>
      <c r="G1334" s="81" t="s">
        <v>40</v>
      </c>
      <c r="H1334" s="81" t="s">
        <v>6147</v>
      </c>
      <c r="I1334" s="81" t="s">
        <v>3549</v>
      </c>
      <c r="J1334" s="81" t="s">
        <v>224</v>
      </c>
    </row>
    <row r="1335" hidden="1">
      <c r="A1335" s="83" t="s">
        <v>4949</v>
      </c>
      <c r="B1335" s="83" t="s">
        <v>4950</v>
      </c>
      <c r="C1335" s="81" t="s">
        <v>4086</v>
      </c>
      <c r="D1335" s="83" t="s">
        <v>4740</v>
      </c>
      <c r="E1335" s="81" t="s">
        <v>3555</v>
      </c>
      <c r="F1335" s="84">
        <v>670.0</v>
      </c>
      <c r="G1335" s="81" t="s">
        <v>39</v>
      </c>
      <c r="H1335" s="81" t="s">
        <v>6148</v>
      </c>
      <c r="I1335" s="81" t="s">
        <v>3556</v>
      </c>
      <c r="J1335" s="81" t="s">
        <v>224</v>
      </c>
    </row>
    <row r="1336" hidden="1">
      <c r="A1336" s="83" t="s">
        <v>4949</v>
      </c>
      <c r="B1336" s="83" t="s">
        <v>4950</v>
      </c>
      <c r="C1336" s="81" t="s">
        <v>4086</v>
      </c>
      <c r="D1336" s="83" t="s">
        <v>4740</v>
      </c>
      <c r="E1336" s="81" t="s">
        <v>3555</v>
      </c>
      <c r="F1336" s="84">
        <v>670.0</v>
      </c>
      <c r="G1336" s="81" t="s">
        <v>40</v>
      </c>
      <c r="H1336" s="81" t="s">
        <v>6149</v>
      </c>
      <c r="I1336" s="81" t="s">
        <v>3557</v>
      </c>
      <c r="J1336" s="81" t="s">
        <v>224</v>
      </c>
    </row>
    <row r="1337" hidden="1">
      <c r="A1337" s="83" t="s">
        <v>4949</v>
      </c>
      <c r="B1337" s="83" t="s">
        <v>4950</v>
      </c>
      <c r="C1337" s="81" t="s">
        <v>4086</v>
      </c>
      <c r="D1337" s="83" t="s">
        <v>4741</v>
      </c>
      <c r="E1337" s="81" t="s">
        <v>3558</v>
      </c>
      <c r="F1337" s="84">
        <v>671.0</v>
      </c>
      <c r="G1337" s="81" t="s">
        <v>39</v>
      </c>
      <c r="H1337" s="81" t="s">
        <v>6150</v>
      </c>
      <c r="I1337" s="81" t="s">
        <v>3562</v>
      </c>
      <c r="J1337" s="81" t="s">
        <v>224</v>
      </c>
    </row>
    <row r="1338" hidden="1">
      <c r="A1338" s="83" t="s">
        <v>4949</v>
      </c>
      <c r="B1338" s="83" t="s">
        <v>4950</v>
      </c>
      <c r="C1338" s="81" t="s">
        <v>4086</v>
      </c>
      <c r="D1338" s="83" t="s">
        <v>4741</v>
      </c>
      <c r="E1338" s="81" t="s">
        <v>3558</v>
      </c>
      <c r="F1338" s="84">
        <v>671.0</v>
      </c>
      <c r="G1338" s="81" t="s">
        <v>40</v>
      </c>
      <c r="H1338" s="81" t="s">
        <v>6151</v>
      </c>
      <c r="I1338" s="81" t="s">
        <v>3563</v>
      </c>
      <c r="J1338" s="81" t="s">
        <v>224</v>
      </c>
    </row>
    <row r="1339" hidden="1">
      <c r="A1339" s="83" t="s">
        <v>4949</v>
      </c>
      <c r="B1339" s="83" t="s">
        <v>4950</v>
      </c>
      <c r="C1339" s="81" t="s">
        <v>4086</v>
      </c>
      <c r="D1339" s="83" t="s">
        <v>4741</v>
      </c>
      <c r="E1339" s="81" t="s">
        <v>3567</v>
      </c>
      <c r="F1339" s="84">
        <v>672.0</v>
      </c>
      <c r="G1339" s="81" t="s">
        <v>39</v>
      </c>
      <c r="H1339" s="81" t="s">
        <v>6150</v>
      </c>
      <c r="I1339" s="81" t="s">
        <v>3562</v>
      </c>
      <c r="J1339" s="81" t="s">
        <v>224</v>
      </c>
    </row>
    <row r="1340" hidden="1">
      <c r="A1340" s="83" t="s">
        <v>4949</v>
      </c>
      <c r="B1340" s="83" t="s">
        <v>4950</v>
      </c>
      <c r="C1340" s="81" t="s">
        <v>4086</v>
      </c>
      <c r="D1340" s="83" t="s">
        <v>4741</v>
      </c>
      <c r="E1340" s="81" t="s">
        <v>3567</v>
      </c>
      <c r="F1340" s="84">
        <v>672.0</v>
      </c>
      <c r="G1340" s="81" t="s">
        <v>40</v>
      </c>
      <c r="H1340" s="81" t="s">
        <v>6151</v>
      </c>
      <c r="I1340" s="81" t="s">
        <v>3563</v>
      </c>
      <c r="J1340" s="81" t="s">
        <v>224</v>
      </c>
    </row>
    <row r="1341" hidden="1">
      <c r="A1341" s="83" t="s">
        <v>4949</v>
      </c>
      <c r="B1341" s="83" t="s">
        <v>4950</v>
      </c>
      <c r="C1341" s="81" t="s">
        <v>4086</v>
      </c>
      <c r="D1341" s="83" t="s">
        <v>4743</v>
      </c>
      <c r="E1341" s="81" t="s">
        <v>3568</v>
      </c>
      <c r="F1341" s="84">
        <v>673.0</v>
      </c>
      <c r="G1341" s="81" t="s">
        <v>39</v>
      </c>
      <c r="H1341" s="81" t="s">
        <v>6152</v>
      </c>
      <c r="I1341" s="81" t="s">
        <v>3569</v>
      </c>
      <c r="J1341" s="81" t="s">
        <v>224</v>
      </c>
    </row>
    <row r="1342" hidden="1">
      <c r="A1342" s="83" t="s">
        <v>4949</v>
      </c>
      <c r="B1342" s="83" t="s">
        <v>4950</v>
      </c>
      <c r="C1342" s="81" t="s">
        <v>4086</v>
      </c>
      <c r="D1342" s="83" t="s">
        <v>4743</v>
      </c>
      <c r="E1342" s="81" t="s">
        <v>3568</v>
      </c>
      <c r="F1342" s="84">
        <v>673.0</v>
      </c>
      <c r="G1342" s="81" t="s">
        <v>40</v>
      </c>
      <c r="H1342" s="81" t="s">
        <v>6153</v>
      </c>
      <c r="I1342" s="81" t="s">
        <v>3570</v>
      </c>
      <c r="J1342" s="81" t="s">
        <v>224</v>
      </c>
    </row>
    <row r="1343" hidden="1">
      <c r="A1343" s="83" t="s">
        <v>4949</v>
      </c>
      <c r="B1343" s="83" t="s">
        <v>4950</v>
      </c>
      <c r="C1343" s="81" t="s">
        <v>4086</v>
      </c>
      <c r="D1343" s="83" t="s">
        <v>4744</v>
      </c>
      <c r="E1343" s="81" t="s">
        <v>3571</v>
      </c>
      <c r="F1343" s="84">
        <v>674.0</v>
      </c>
      <c r="G1343" s="81" t="s">
        <v>39</v>
      </c>
      <c r="H1343" s="81" t="s">
        <v>6154</v>
      </c>
      <c r="I1343" s="81" t="s">
        <v>3575</v>
      </c>
      <c r="J1343" s="81" t="s">
        <v>224</v>
      </c>
    </row>
    <row r="1344" hidden="1">
      <c r="A1344" s="83" t="s">
        <v>4949</v>
      </c>
      <c r="B1344" s="83" t="s">
        <v>4950</v>
      </c>
      <c r="C1344" s="81" t="s">
        <v>4086</v>
      </c>
      <c r="D1344" s="83" t="s">
        <v>4744</v>
      </c>
      <c r="E1344" s="81" t="s">
        <v>3571</v>
      </c>
      <c r="F1344" s="84">
        <v>674.0</v>
      </c>
      <c r="G1344" s="81" t="s">
        <v>40</v>
      </c>
      <c r="H1344" s="81" t="s">
        <v>6155</v>
      </c>
      <c r="I1344" s="81" t="s">
        <v>3576</v>
      </c>
      <c r="J1344" s="81" t="s">
        <v>224</v>
      </c>
    </row>
    <row r="1345" hidden="1">
      <c r="A1345" s="83" t="s">
        <v>4949</v>
      </c>
      <c r="B1345" s="83" t="s">
        <v>4950</v>
      </c>
      <c r="C1345" s="81" t="s">
        <v>4086</v>
      </c>
      <c r="D1345" s="83" t="s">
        <v>4744</v>
      </c>
      <c r="E1345" s="81" t="s">
        <v>3580</v>
      </c>
      <c r="F1345" s="84">
        <v>675.0</v>
      </c>
      <c r="G1345" s="81" t="s">
        <v>39</v>
      </c>
      <c r="H1345" s="81" t="s">
        <v>6154</v>
      </c>
      <c r="I1345" s="81" t="s">
        <v>3575</v>
      </c>
      <c r="J1345" s="81" t="s">
        <v>224</v>
      </c>
    </row>
    <row r="1346" hidden="1">
      <c r="A1346" s="83" t="s">
        <v>4949</v>
      </c>
      <c r="B1346" s="83" t="s">
        <v>4950</v>
      </c>
      <c r="C1346" s="81" t="s">
        <v>4086</v>
      </c>
      <c r="D1346" s="83" t="s">
        <v>4744</v>
      </c>
      <c r="E1346" s="81" t="s">
        <v>3580</v>
      </c>
      <c r="F1346" s="84">
        <v>675.0</v>
      </c>
      <c r="G1346" s="81" t="s">
        <v>40</v>
      </c>
      <c r="H1346" s="81" t="s">
        <v>6155</v>
      </c>
      <c r="I1346" s="81" t="s">
        <v>3576</v>
      </c>
      <c r="J1346" s="81" t="s">
        <v>224</v>
      </c>
    </row>
    <row r="1347" hidden="1">
      <c r="A1347" s="83" t="s">
        <v>4949</v>
      </c>
      <c r="B1347" s="83" t="s">
        <v>4950</v>
      </c>
      <c r="C1347" s="81" t="s">
        <v>4086</v>
      </c>
      <c r="D1347" s="83" t="s">
        <v>4747</v>
      </c>
      <c r="E1347" s="81" t="s">
        <v>3581</v>
      </c>
      <c r="F1347" s="84">
        <v>676.0</v>
      </c>
      <c r="G1347" s="81" t="s">
        <v>39</v>
      </c>
      <c r="H1347" s="81" t="s">
        <v>6156</v>
      </c>
      <c r="I1347" s="81" t="s">
        <v>3582</v>
      </c>
      <c r="J1347" s="81" t="s">
        <v>224</v>
      </c>
    </row>
    <row r="1348" hidden="1">
      <c r="A1348" s="83" t="s">
        <v>4949</v>
      </c>
      <c r="B1348" s="83" t="s">
        <v>4950</v>
      </c>
      <c r="C1348" s="81" t="s">
        <v>4086</v>
      </c>
      <c r="D1348" s="83" t="s">
        <v>4747</v>
      </c>
      <c r="E1348" s="81" t="s">
        <v>3581</v>
      </c>
      <c r="F1348" s="84">
        <v>676.0</v>
      </c>
      <c r="G1348" s="81" t="s">
        <v>40</v>
      </c>
      <c r="H1348" s="81" t="s">
        <v>6157</v>
      </c>
      <c r="I1348" s="81" t="s">
        <v>3583</v>
      </c>
      <c r="J1348" s="81" t="s">
        <v>224</v>
      </c>
    </row>
    <row r="1349" hidden="1">
      <c r="A1349" s="83" t="s">
        <v>4949</v>
      </c>
      <c r="B1349" s="83" t="s">
        <v>4950</v>
      </c>
      <c r="C1349" s="81" t="s">
        <v>4086</v>
      </c>
      <c r="D1349" s="83" t="s">
        <v>4748</v>
      </c>
      <c r="E1349" s="81" t="s">
        <v>3584</v>
      </c>
      <c r="F1349" s="84">
        <v>677.0</v>
      </c>
      <c r="G1349" s="81" t="s">
        <v>40</v>
      </c>
      <c r="H1349" s="81" t="s">
        <v>6158</v>
      </c>
      <c r="I1349" s="81" t="s">
        <v>3586</v>
      </c>
      <c r="J1349" s="81" t="s">
        <v>224</v>
      </c>
    </row>
    <row r="1350" hidden="1">
      <c r="A1350" s="83" t="s">
        <v>4949</v>
      </c>
      <c r="B1350" s="83" t="s">
        <v>4950</v>
      </c>
      <c r="C1350" s="81" t="s">
        <v>4082</v>
      </c>
      <c r="D1350" s="83" t="s">
        <v>4749</v>
      </c>
      <c r="E1350" s="81" t="s">
        <v>3588</v>
      </c>
      <c r="F1350" s="84">
        <v>678.0</v>
      </c>
      <c r="G1350" s="81" t="s">
        <v>39</v>
      </c>
      <c r="H1350" s="81" t="s">
        <v>224</v>
      </c>
      <c r="I1350" s="81" t="s">
        <v>224</v>
      </c>
      <c r="J1350" s="81" t="s">
        <v>6159</v>
      </c>
    </row>
    <row r="1351" hidden="1">
      <c r="A1351" s="83" t="s">
        <v>4949</v>
      </c>
      <c r="B1351" s="83" t="s">
        <v>4950</v>
      </c>
      <c r="C1351" s="81" t="s">
        <v>5141</v>
      </c>
      <c r="D1351" s="83" t="s">
        <v>4749</v>
      </c>
      <c r="E1351" s="81" t="s">
        <v>3588</v>
      </c>
      <c r="F1351" s="84">
        <v>678.0</v>
      </c>
      <c r="G1351" s="81" t="s">
        <v>39</v>
      </c>
      <c r="H1351" s="81" t="s">
        <v>6160</v>
      </c>
      <c r="I1351" s="81" t="s">
        <v>224</v>
      </c>
      <c r="J1351" s="81" t="s">
        <v>5143</v>
      </c>
    </row>
    <row r="1352" hidden="1">
      <c r="A1352" s="83" t="s">
        <v>4949</v>
      </c>
      <c r="B1352" s="83" t="s">
        <v>4950</v>
      </c>
      <c r="C1352" s="81" t="s">
        <v>4086</v>
      </c>
      <c r="D1352" s="83" t="s">
        <v>4749</v>
      </c>
      <c r="E1352" s="81" t="s">
        <v>3588</v>
      </c>
      <c r="F1352" s="84">
        <v>678.0</v>
      </c>
      <c r="G1352" s="81" t="s">
        <v>40</v>
      </c>
      <c r="H1352" s="81" t="s">
        <v>6161</v>
      </c>
      <c r="I1352" s="81" t="s">
        <v>6162</v>
      </c>
      <c r="J1352" s="81" t="s">
        <v>224</v>
      </c>
    </row>
    <row r="1353" hidden="1">
      <c r="A1353" s="83" t="s">
        <v>4949</v>
      </c>
      <c r="B1353" s="83" t="s">
        <v>4950</v>
      </c>
      <c r="C1353" s="81" t="s">
        <v>5141</v>
      </c>
      <c r="D1353" s="83" t="s">
        <v>4749</v>
      </c>
      <c r="E1353" s="81" t="s">
        <v>3596</v>
      </c>
      <c r="F1353" s="84">
        <v>679.0</v>
      </c>
      <c r="G1353" s="81" t="s">
        <v>39</v>
      </c>
      <c r="H1353" s="81" t="s">
        <v>6160</v>
      </c>
      <c r="I1353" s="81" t="s">
        <v>224</v>
      </c>
      <c r="J1353" s="81" t="s">
        <v>5143</v>
      </c>
    </row>
    <row r="1354" hidden="1">
      <c r="A1354" s="83" t="s">
        <v>4949</v>
      </c>
      <c r="B1354" s="83" t="s">
        <v>4950</v>
      </c>
      <c r="C1354" s="81" t="s">
        <v>4086</v>
      </c>
      <c r="D1354" s="83" t="s">
        <v>4749</v>
      </c>
      <c r="E1354" s="81" t="s">
        <v>3596</v>
      </c>
      <c r="F1354" s="84">
        <v>679.0</v>
      </c>
      <c r="G1354" s="81" t="s">
        <v>40</v>
      </c>
      <c r="H1354" s="81" t="s">
        <v>6161</v>
      </c>
      <c r="I1354" s="81" t="s">
        <v>6162</v>
      </c>
      <c r="J1354" s="81" t="s">
        <v>224</v>
      </c>
    </row>
    <row r="1355" hidden="1">
      <c r="A1355" s="83" t="s">
        <v>4949</v>
      </c>
      <c r="B1355" s="83" t="s">
        <v>4950</v>
      </c>
      <c r="C1355" s="81" t="s">
        <v>5141</v>
      </c>
      <c r="D1355" s="83" t="s">
        <v>4750</v>
      </c>
      <c r="E1355" s="81" t="s">
        <v>3597</v>
      </c>
      <c r="F1355" s="84">
        <v>680.0</v>
      </c>
      <c r="G1355" s="81" t="s">
        <v>39</v>
      </c>
      <c r="H1355" s="81" t="s">
        <v>6163</v>
      </c>
      <c r="I1355" s="81" t="s">
        <v>224</v>
      </c>
      <c r="J1355" s="81" t="s">
        <v>5143</v>
      </c>
    </row>
    <row r="1356" hidden="1">
      <c r="A1356" s="83" t="s">
        <v>4949</v>
      </c>
      <c r="B1356" s="83" t="s">
        <v>4950</v>
      </c>
      <c r="C1356" s="81" t="s">
        <v>5141</v>
      </c>
      <c r="D1356" s="83" t="s">
        <v>4750</v>
      </c>
      <c r="E1356" s="81" t="s">
        <v>3597</v>
      </c>
      <c r="F1356" s="84">
        <v>680.0</v>
      </c>
      <c r="G1356" s="81" t="s">
        <v>40</v>
      </c>
      <c r="H1356" s="81" t="s">
        <v>6164</v>
      </c>
      <c r="I1356" s="81" t="s">
        <v>224</v>
      </c>
      <c r="J1356" s="81" t="s">
        <v>5143</v>
      </c>
    </row>
    <row r="1357" hidden="1">
      <c r="A1357" s="83" t="s">
        <v>4949</v>
      </c>
      <c r="B1357" s="83" t="s">
        <v>4950</v>
      </c>
      <c r="C1357" s="81" t="s">
        <v>4086</v>
      </c>
      <c r="D1357" s="83" t="s">
        <v>4751</v>
      </c>
      <c r="E1357" s="81" t="s">
        <v>3600</v>
      </c>
      <c r="F1357" s="84">
        <v>681.0</v>
      </c>
      <c r="G1357" s="81" t="s">
        <v>40</v>
      </c>
      <c r="H1357" s="81" t="s">
        <v>49</v>
      </c>
      <c r="I1357" s="81" t="s">
        <v>3604</v>
      </c>
      <c r="J1357" s="81" t="s">
        <v>224</v>
      </c>
    </row>
    <row r="1358" hidden="1">
      <c r="A1358" s="83" t="s">
        <v>4949</v>
      </c>
      <c r="B1358" s="83" t="s">
        <v>4950</v>
      </c>
      <c r="C1358" s="81" t="s">
        <v>4086</v>
      </c>
      <c r="D1358" s="83" t="s">
        <v>4752</v>
      </c>
      <c r="E1358" s="81" t="s">
        <v>3605</v>
      </c>
      <c r="F1358" s="84">
        <v>682.0</v>
      </c>
      <c r="G1358" s="81" t="s">
        <v>40</v>
      </c>
      <c r="H1358" s="81" t="s">
        <v>49</v>
      </c>
      <c r="I1358" s="81" t="s">
        <v>3607</v>
      </c>
      <c r="J1358" s="81" t="s">
        <v>224</v>
      </c>
    </row>
    <row r="1359" hidden="1">
      <c r="A1359" s="83" t="s">
        <v>4949</v>
      </c>
      <c r="B1359" s="83" t="s">
        <v>4950</v>
      </c>
      <c r="C1359" s="81" t="s">
        <v>4086</v>
      </c>
      <c r="D1359" s="83" t="s">
        <v>4753</v>
      </c>
      <c r="E1359" s="81" t="s">
        <v>3608</v>
      </c>
      <c r="F1359" s="84">
        <v>683.0</v>
      </c>
      <c r="G1359" s="81" t="s">
        <v>39</v>
      </c>
      <c r="H1359" s="81" t="s">
        <v>6165</v>
      </c>
      <c r="I1359" s="81" t="s">
        <v>3614</v>
      </c>
      <c r="J1359" s="81" t="s">
        <v>224</v>
      </c>
    </row>
    <row r="1360" hidden="1">
      <c r="A1360" s="83" t="s">
        <v>4949</v>
      </c>
      <c r="B1360" s="83" t="s">
        <v>4950</v>
      </c>
      <c r="C1360" s="81" t="s">
        <v>4086</v>
      </c>
      <c r="D1360" s="83" t="s">
        <v>4753</v>
      </c>
      <c r="E1360" s="81" t="s">
        <v>3608</v>
      </c>
      <c r="F1360" s="84">
        <v>683.0</v>
      </c>
      <c r="G1360" s="81" t="s">
        <v>40</v>
      </c>
      <c r="H1360" s="81" t="s">
        <v>6166</v>
      </c>
      <c r="I1360" s="81" t="s">
        <v>3615</v>
      </c>
      <c r="J1360" s="81" t="s">
        <v>224</v>
      </c>
    </row>
    <row r="1361" hidden="1">
      <c r="A1361" s="83" t="s">
        <v>4949</v>
      </c>
      <c r="B1361" s="83" t="s">
        <v>4950</v>
      </c>
      <c r="C1361" s="81" t="s">
        <v>4086</v>
      </c>
      <c r="D1361" s="83" t="s">
        <v>4754</v>
      </c>
      <c r="E1361" s="81" t="s">
        <v>3621</v>
      </c>
      <c r="F1361" s="84">
        <v>684.0</v>
      </c>
      <c r="G1361" s="81" t="s">
        <v>39</v>
      </c>
      <c r="H1361" s="81" t="s">
        <v>6167</v>
      </c>
      <c r="I1361" s="81" t="s">
        <v>3628</v>
      </c>
      <c r="J1361" s="81" t="s">
        <v>224</v>
      </c>
    </row>
    <row r="1362" hidden="1">
      <c r="A1362" s="83" t="s">
        <v>4949</v>
      </c>
      <c r="B1362" s="83" t="s">
        <v>4950</v>
      </c>
      <c r="C1362" s="81" t="s">
        <v>4086</v>
      </c>
      <c r="D1362" s="83" t="s">
        <v>4754</v>
      </c>
      <c r="E1362" s="81" t="s">
        <v>3621</v>
      </c>
      <c r="F1362" s="84">
        <v>684.0</v>
      </c>
      <c r="G1362" s="81" t="s">
        <v>40</v>
      </c>
      <c r="H1362" s="81" t="s">
        <v>6168</v>
      </c>
      <c r="I1362" s="81" t="s">
        <v>6169</v>
      </c>
      <c r="J1362" s="81" t="s">
        <v>224</v>
      </c>
    </row>
    <row r="1363" hidden="1">
      <c r="A1363" s="83" t="s">
        <v>4949</v>
      </c>
      <c r="B1363" s="83" t="s">
        <v>4950</v>
      </c>
      <c r="C1363" s="81" t="s">
        <v>5141</v>
      </c>
      <c r="D1363" s="83" t="s">
        <v>4754</v>
      </c>
      <c r="E1363" s="81" t="s">
        <v>3621</v>
      </c>
      <c r="F1363" s="84">
        <v>684.0</v>
      </c>
      <c r="G1363" s="81" t="s">
        <v>43</v>
      </c>
      <c r="H1363" s="81" t="s">
        <v>3632</v>
      </c>
      <c r="I1363" s="81" t="s">
        <v>224</v>
      </c>
      <c r="J1363" s="81" t="s">
        <v>5143</v>
      </c>
    </row>
    <row r="1364" hidden="1">
      <c r="A1364" s="83" t="s">
        <v>4949</v>
      </c>
      <c r="B1364" s="83" t="s">
        <v>4950</v>
      </c>
      <c r="C1364" s="81" t="s">
        <v>4086</v>
      </c>
      <c r="D1364" s="83" t="s">
        <v>4755</v>
      </c>
      <c r="E1364" s="81" t="s">
        <v>3633</v>
      </c>
      <c r="F1364" s="84">
        <v>685.0</v>
      </c>
      <c r="G1364" s="81" t="s">
        <v>40</v>
      </c>
      <c r="H1364" s="81" t="s">
        <v>6170</v>
      </c>
      <c r="I1364" s="81" t="s">
        <v>6171</v>
      </c>
      <c r="J1364" s="81" t="s">
        <v>224</v>
      </c>
    </row>
    <row r="1365" hidden="1">
      <c r="A1365" s="83" t="s">
        <v>4949</v>
      </c>
      <c r="B1365" s="83" t="s">
        <v>4950</v>
      </c>
      <c r="C1365" s="81" t="s">
        <v>5141</v>
      </c>
      <c r="D1365" s="83" t="s">
        <v>4755</v>
      </c>
      <c r="E1365" s="81" t="s">
        <v>3633</v>
      </c>
      <c r="F1365" s="84">
        <v>685.0</v>
      </c>
      <c r="G1365" s="81" t="s">
        <v>43</v>
      </c>
      <c r="H1365" s="81" t="s">
        <v>3632</v>
      </c>
      <c r="I1365" s="81" t="s">
        <v>224</v>
      </c>
      <c r="J1365" s="81" t="s">
        <v>5143</v>
      </c>
    </row>
    <row r="1366" hidden="1">
      <c r="A1366" s="83" t="s">
        <v>4949</v>
      </c>
      <c r="B1366" s="83" t="s">
        <v>4950</v>
      </c>
      <c r="C1366" s="81" t="s">
        <v>4086</v>
      </c>
      <c r="D1366" s="83" t="s">
        <v>4754</v>
      </c>
      <c r="E1366" s="81" t="s">
        <v>3636</v>
      </c>
      <c r="F1366" s="84">
        <v>686.0</v>
      </c>
      <c r="G1366" s="81" t="s">
        <v>40</v>
      </c>
      <c r="H1366" s="81" t="s">
        <v>6172</v>
      </c>
      <c r="I1366" s="81" t="s">
        <v>6169</v>
      </c>
      <c r="J1366" s="81" t="s">
        <v>224</v>
      </c>
    </row>
    <row r="1367" hidden="1">
      <c r="A1367" s="83" t="s">
        <v>4949</v>
      </c>
      <c r="B1367" s="83" t="s">
        <v>4950</v>
      </c>
      <c r="C1367" s="81" t="s">
        <v>5141</v>
      </c>
      <c r="D1367" s="83" t="s">
        <v>4754</v>
      </c>
      <c r="E1367" s="81" t="s">
        <v>3636</v>
      </c>
      <c r="F1367" s="84">
        <v>686.0</v>
      </c>
      <c r="G1367" s="81" t="s">
        <v>43</v>
      </c>
      <c r="H1367" s="81" t="s">
        <v>3632</v>
      </c>
      <c r="I1367" s="81" t="s">
        <v>224</v>
      </c>
      <c r="J1367" s="81" t="s">
        <v>5143</v>
      </c>
    </row>
    <row r="1368" hidden="1">
      <c r="A1368" s="83" t="s">
        <v>4949</v>
      </c>
      <c r="B1368" s="83" t="s">
        <v>4950</v>
      </c>
      <c r="C1368" s="81" t="s">
        <v>4086</v>
      </c>
      <c r="D1368" s="83" t="s">
        <v>4756</v>
      </c>
      <c r="E1368" s="81" t="s">
        <v>3637</v>
      </c>
      <c r="F1368" s="84">
        <v>687.0</v>
      </c>
      <c r="G1368" s="81" t="s">
        <v>40</v>
      </c>
      <c r="H1368" s="81" t="s">
        <v>6173</v>
      </c>
      <c r="I1368" s="81" t="s">
        <v>6174</v>
      </c>
      <c r="J1368" s="81" t="s">
        <v>224</v>
      </c>
    </row>
    <row r="1369" hidden="1">
      <c r="A1369" s="83" t="s">
        <v>4949</v>
      </c>
      <c r="B1369" s="83" t="s">
        <v>4950</v>
      </c>
      <c r="C1369" s="81" t="s">
        <v>5141</v>
      </c>
      <c r="D1369" s="83" t="s">
        <v>4756</v>
      </c>
      <c r="E1369" s="81" t="s">
        <v>3637</v>
      </c>
      <c r="F1369" s="84">
        <v>687.0</v>
      </c>
      <c r="G1369" s="81" t="s">
        <v>43</v>
      </c>
      <c r="H1369" s="81" t="s">
        <v>3632</v>
      </c>
      <c r="I1369" s="81" t="s">
        <v>224</v>
      </c>
      <c r="J1369" s="81" t="s">
        <v>5143</v>
      </c>
    </row>
    <row r="1370" hidden="1">
      <c r="A1370" s="83" t="s">
        <v>4949</v>
      </c>
      <c r="B1370" s="83" t="s">
        <v>4950</v>
      </c>
      <c r="C1370" s="81" t="s">
        <v>4086</v>
      </c>
      <c r="D1370" s="83" t="s">
        <v>4757</v>
      </c>
      <c r="E1370" s="81" t="s">
        <v>3640</v>
      </c>
      <c r="F1370" s="84">
        <v>688.0</v>
      </c>
      <c r="G1370" s="81" t="s">
        <v>39</v>
      </c>
      <c r="H1370" s="81" t="s">
        <v>6175</v>
      </c>
      <c r="I1370" s="81" t="s">
        <v>3641</v>
      </c>
      <c r="J1370" s="81" t="s">
        <v>224</v>
      </c>
    </row>
    <row r="1371" hidden="1">
      <c r="A1371" s="83" t="s">
        <v>4949</v>
      </c>
      <c r="B1371" s="83" t="s">
        <v>4950</v>
      </c>
      <c r="C1371" s="81" t="s">
        <v>4086</v>
      </c>
      <c r="D1371" s="83" t="s">
        <v>4757</v>
      </c>
      <c r="E1371" s="81" t="s">
        <v>3640</v>
      </c>
      <c r="F1371" s="84">
        <v>688.0</v>
      </c>
      <c r="G1371" s="81" t="s">
        <v>40</v>
      </c>
      <c r="H1371" s="81" t="s">
        <v>6176</v>
      </c>
      <c r="I1371" s="81" t="s">
        <v>6177</v>
      </c>
      <c r="J1371" s="81" t="s">
        <v>224</v>
      </c>
    </row>
    <row r="1372" hidden="1">
      <c r="A1372" s="83" t="s">
        <v>4949</v>
      </c>
      <c r="B1372" s="83" t="s">
        <v>4950</v>
      </c>
      <c r="C1372" s="81" t="s">
        <v>5141</v>
      </c>
      <c r="D1372" s="83" t="s">
        <v>4757</v>
      </c>
      <c r="E1372" s="81" t="s">
        <v>3640</v>
      </c>
      <c r="F1372" s="84">
        <v>688.0</v>
      </c>
      <c r="G1372" s="81" t="s">
        <v>43</v>
      </c>
      <c r="H1372" s="81" t="s">
        <v>49</v>
      </c>
      <c r="I1372" s="81" t="s">
        <v>224</v>
      </c>
      <c r="J1372" s="81" t="s">
        <v>5143</v>
      </c>
    </row>
    <row r="1373" hidden="1">
      <c r="A1373" s="83" t="s">
        <v>4949</v>
      </c>
      <c r="B1373" s="83" t="s">
        <v>4950</v>
      </c>
      <c r="C1373" s="81" t="s">
        <v>4086</v>
      </c>
      <c r="D1373" s="83" t="s">
        <v>4758</v>
      </c>
      <c r="E1373" s="81" t="s">
        <v>3643</v>
      </c>
      <c r="F1373" s="84">
        <v>689.0</v>
      </c>
      <c r="G1373" s="81" t="s">
        <v>40</v>
      </c>
      <c r="H1373" s="81" t="s">
        <v>49</v>
      </c>
      <c r="I1373" s="81" t="s">
        <v>3645</v>
      </c>
      <c r="J1373" s="81" t="s">
        <v>224</v>
      </c>
    </row>
    <row r="1374" hidden="1">
      <c r="A1374" s="83" t="s">
        <v>4949</v>
      </c>
      <c r="B1374" s="83" t="s">
        <v>4950</v>
      </c>
      <c r="C1374" s="81" t="s">
        <v>5141</v>
      </c>
      <c r="D1374" s="83" t="s">
        <v>4758</v>
      </c>
      <c r="E1374" s="81" t="s">
        <v>3643</v>
      </c>
      <c r="F1374" s="84">
        <v>689.0</v>
      </c>
      <c r="G1374" s="81" t="s">
        <v>43</v>
      </c>
      <c r="H1374" s="81" t="s">
        <v>49</v>
      </c>
      <c r="I1374" s="81" t="s">
        <v>224</v>
      </c>
      <c r="J1374" s="81" t="s">
        <v>5143</v>
      </c>
    </row>
    <row r="1375" hidden="1">
      <c r="A1375" s="83" t="s">
        <v>4949</v>
      </c>
      <c r="B1375" s="83" t="s">
        <v>4950</v>
      </c>
      <c r="C1375" s="81" t="s">
        <v>4086</v>
      </c>
      <c r="D1375" s="83" t="s">
        <v>4759</v>
      </c>
      <c r="E1375" s="81" t="s">
        <v>3646</v>
      </c>
      <c r="F1375" s="84">
        <v>690.0</v>
      </c>
      <c r="G1375" s="81" t="s">
        <v>40</v>
      </c>
      <c r="H1375" s="81" t="s">
        <v>49</v>
      </c>
      <c r="I1375" s="81" t="s">
        <v>3648</v>
      </c>
      <c r="J1375" s="81" t="s">
        <v>224</v>
      </c>
    </row>
    <row r="1376" hidden="1">
      <c r="A1376" s="83" t="s">
        <v>4949</v>
      </c>
      <c r="B1376" s="83" t="s">
        <v>4950</v>
      </c>
      <c r="C1376" s="81" t="s">
        <v>5141</v>
      </c>
      <c r="D1376" s="83" t="s">
        <v>4759</v>
      </c>
      <c r="E1376" s="81" t="s">
        <v>3646</v>
      </c>
      <c r="F1376" s="84">
        <v>690.0</v>
      </c>
      <c r="G1376" s="81" t="s">
        <v>43</v>
      </c>
      <c r="H1376" s="81" t="s">
        <v>49</v>
      </c>
      <c r="I1376" s="81" t="s">
        <v>224</v>
      </c>
      <c r="J1376" s="81" t="s">
        <v>5143</v>
      </c>
    </row>
    <row r="1377" hidden="1">
      <c r="A1377" s="83" t="s">
        <v>4949</v>
      </c>
      <c r="B1377" s="83" t="s">
        <v>4950</v>
      </c>
      <c r="C1377" s="81" t="s">
        <v>4086</v>
      </c>
      <c r="D1377" s="83" t="s">
        <v>4760</v>
      </c>
      <c r="E1377" s="81" t="s">
        <v>3649</v>
      </c>
      <c r="F1377" s="84">
        <v>691.0</v>
      </c>
      <c r="G1377" s="81" t="s">
        <v>40</v>
      </c>
      <c r="H1377" s="81" t="s">
        <v>49</v>
      </c>
      <c r="I1377" s="81" t="s">
        <v>6178</v>
      </c>
      <c r="J1377" s="81" t="s">
        <v>224</v>
      </c>
    </row>
    <row r="1378" hidden="1">
      <c r="A1378" s="83" t="s">
        <v>4949</v>
      </c>
      <c r="B1378" s="83" t="s">
        <v>4950</v>
      </c>
      <c r="C1378" s="81" t="s">
        <v>5141</v>
      </c>
      <c r="D1378" s="83" t="s">
        <v>4760</v>
      </c>
      <c r="E1378" s="81" t="s">
        <v>3649</v>
      </c>
      <c r="F1378" s="84">
        <v>691.0</v>
      </c>
      <c r="G1378" s="81" t="s">
        <v>43</v>
      </c>
      <c r="H1378" s="81" t="s">
        <v>3632</v>
      </c>
      <c r="I1378" s="81" t="s">
        <v>224</v>
      </c>
      <c r="J1378" s="81" t="s">
        <v>5143</v>
      </c>
    </row>
    <row r="1379" hidden="1">
      <c r="A1379" s="83" t="s">
        <v>4949</v>
      </c>
      <c r="B1379" s="83" t="s">
        <v>4950</v>
      </c>
      <c r="C1379" s="81" t="s">
        <v>4086</v>
      </c>
      <c r="D1379" s="83" t="s">
        <v>4760</v>
      </c>
      <c r="E1379" s="81" t="s">
        <v>3652</v>
      </c>
      <c r="F1379" s="84">
        <v>692.0</v>
      </c>
      <c r="G1379" s="81" t="s">
        <v>39</v>
      </c>
      <c r="H1379" s="81" t="s">
        <v>6179</v>
      </c>
      <c r="I1379" s="81" t="s">
        <v>3650</v>
      </c>
      <c r="J1379" s="81" t="s">
        <v>224</v>
      </c>
    </row>
    <row r="1380" hidden="1">
      <c r="A1380" s="83" t="s">
        <v>4949</v>
      </c>
      <c r="B1380" s="83" t="s">
        <v>4950</v>
      </c>
      <c r="C1380" s="81" t="s">
        <v>4086</v>
      </c>
      <c r="D1380" s="83" t="s">
        <v>4760</v>
      </c>
      <c r="E1380" s="81" t="s">
        <v>3652</v>
      </c>
      <c r="F1380" s="84">
        <v>692.0</v>
      </c>
      <c r="G1380" s="81" t="s">
        <v>40</v>
      </c>
      <c r="H1380" s="81" t="s">
        <v>6180</v>
      </c>
      <c r="I1380" s="81" t="s">
        <v>6178</v>
      </c>
      <c r="J1380" s="81" t="s">
        <v>224</v>
      </c>
    </row>
    <row r="1381" hidden="1">
      <c r="A1381" s="83" t="s">
        <v>4949</v>
      </c>
      <c r="B1381" s="83" t="s">
        <v>4950</v>
      </c>
      <c r="C1381" s="81" t="s">
        <v>5141</v>
      </c>
      <c r="D1381" s="83" t="s">
        <v>4760</v>
      </c>
      <c r="E1381" s="81" t="s">
        <v>3652</v>
      </c>
      <c r="F1381" s="84">
        <v>692.0</v>
      </c>
      <c r="G1381" s="81" t="s">
        <v>43</v>
      </c>
      <c r="H1381" s="81" t="s">
        <v>3632</v>
      </c>
      <c r="I1381" s="81" t="s">
        <v>224</v>
      </c>
      <c r="J1381" s="81" t="s">
        <v>5143</v>
      </c>
    </row>
    <row r="1382" hidden="1">
      <c r="A1382" s="83" t="s">
        <v>4949</v>
      </c>
      <c r="B1382" s="83" t="s">
        <v>4950</v>
      </c>
      <c r="C1382" s="81" t="s">
        <v>4086</v>
      </c>
      <c r="D1382" s="83" t="s">
        <v>4761</v>
      </c>
      <c r="E1382" s="81" t="s">
        <v>3653</v>
      </c>
      <c r="F1382" s="84">
        <v>693.0</v>
      </c>
      <c r="G1382" s="81" t="s">
        <v>40</v>
      </c>
      <c r="H1382" s="81" t="s">
        <v>6181</v>
      </c>
      <c r="I1382" s="81" t="s">
        <v>6182</v>
      </c>
      <c r="J1382" s="81" t="s">
        <v>224</v>
      </c>
    </row>
    <row r="1383" hidden="1">
      <c r="A1383" s="83" t="s">
        <v>4949</v>
      </c>
      <c r="B1383" s="83" t="s">
        <v>4950</v>
      </c>
      <c r="C1383" s="81" t="s">
        <v>5141</v>
      </c>
      <c r="D1383" s="83" t="s">
        <v>4761</v>
      </c>
      <c r="E1383" s="81" t="s">
        <v>3653</v>
      </c>
      <c r="F1383" s="84">
        <v>693.0</v>
      </c>
      <c r="G1383" s="81" t="s">
        <v>43</v>
      </c>
      <c r="H1383" s="81" t="s">
        <v>3632</v>
      </c>
      <c r="I1383" s="81" t="s">
        <v>224</v>
      </c>
      <c r="J1383" s="81" t="s">
        <v>5143</v>
      </c>
    </row>
    <row r="1384" hidden="1">
      <c r="A1384" s="83" t="s">
        <v>4949</v>
      </c>
      <c r="B1384" s="83" t="s">
        <v>4950</v>
      </c>
      <c r="C1384" s="81" t="s">
        <v>4086</v>
      </c>
      <c r="D1384" s="83" t="s">
        <v>4762</v>
      </c>
      <c r="E1384" s="81" t="s">
        <v>3656</v>
      </c>
      <c r="F1384" s="84">
        <v>694.0</v>
      </c>
      <c r="G1384" s="81" t="s">
        <v>40</v>
      </c>
      <c r="H1384" s="81" t="s">
        <v>49</v>
      </c>
      <c r="I1384" s="81" t="s">
        <v>3658</v>
      </c>
      <c r="J1384" s="81" t="s">
        <v>224</v>
      </c>
    </row>
    <row r="1385" hidden="1">
      <c r="A1385" s="83" t="s">
        <v>4949</v>
      </c>
      <c r="B1385" s="83" t="s">
        <v>4950</v>
      </c>
      <c r="C1385" s="81" t="s">
        <v>5141</v>
      </c>
      <c r="D1385" s="83" t="s">
        <v>4762</v>
      </c>
      <c r="E1385" s="81" t="s">
        <v>3656</v>
      </c>
      <c r="F1385" s="84">
        <v>694.0</v>
      </c>
      <c r="G1385" s="81" t="s">
        <v>43</v>
      </c>
      <c r="H1385" s="81" t="s">
        <v>49</v>
      </c>
      <c r="I1385" s="81" t="s">
        <v>224</v>
      </c>
      <c r="J1385" s="81" t="s">
        <v>5143</v>
      </c>
    </row>
    <row r="1386" hidden="1">
      <c r="A1386" s="83" t="s">
        <v>4949</v>
      </c>
      <c r="B1386" s="83" t="s">
        <v>4950</v>
      </c>
      <c r="C1386" s="81" t="s">
        <v>4086</v>
      </c>
      <c r="D1386" s="83" t="s">
        <v>4763</v>
      </c>
      <c r="E1386" s="81" t="s">
        <v>3659</v>
      </c>
      <c r="F1386" s="84">
        <v>695.0</v>
      </c>
      <c r="G1386" s="81" t="s">
        <v>40</v>
      </c>
      <c r="H1386" s="81" t="s">
        <v>3660</v>
      </c>
      <c r="I1386" s="81" t="s">
        <v>3661</v>
      </c>
      <c r="J1386" s="81" t="s">
        <v>224</v>
      </c>
    </row>
    <row r="1387" hidden="1">
      <c r="A1387" s="83" t="s">
        <v>4949</v>
      </c>
      <c r="B1387" s="83" t="s">
        <v>4950</v>
      </c>
      <c r="C1387" s="81" t="s">
        <v>5141</v>
      </c>
      <c r="D1387" s="83" t="s">
        <v>4763</v>
      </c>
      <c r="E1387" s="81" t="s">
        <v>3659</v>
      </c>
      <c r="F1387" s="84">
        <v>695.0</v>
      </c>
      <c r="G1387" s="81" t="s">
        <v>43</v>
      </c>
      <c r="H1387" s="81" t="s">
        <v>49</v>
      </c>
      <c r="I1387" s="81" t="s">
        <v>224</v>
      </c>
      <c r="J1387" s="81" t="s">
        <v>5143</v>
      </c>
    </row>
    <row r="1388" hidden="1">
      <c r="A1388" s="83" t="s">
        <v>4949</v>
      </c>
      <c r="B1388" s="83" t="s">
        <v>4950</v>
      </c>
      <c r="C1388" s="81" t="s">
        <v>4086</v>
      </c>
      <c r="D1388" s="83" t="s">
        <v>4764</v>
      </c>
      <c r="E1388" s="81" t="s">
        <v>3662</v>
      </c>
      <c r="F1388" s="84">
        <v>696.0</v>
      </c>
      <c r="G1388" s="81" t="s">
        <v>40</v>
      </c>
      <c r="H1388" s="81" t="s">
        <v>6183</v>
      </c>
      <c r="I1388" s="81" t="s">
        <v>6184</v>
      </c>
      <c r="J1388" s="81" t="s">
        <v>224</v>
      </c>
    </row>
    <row r="1389" hidden="1">
      <c r="A1389" s="83" t="s">
        <v>4949</v>
      </c>
      <c r="B1389" s="83" t="s">
        <v>4950</v>
      </c>
      <c r="C1389" s="81" t="s">
        <v>5141</v>
      </c>
      <c r="D1389" s="83" t="s">
        <v>4764</v>
      </c>
      <c r="E1389" s="81" t="s">
        <v>3662</v>
      </c>
      <c r="F1389" s="84">
        <v>696.0</v>
      </c>
      <c r="G1389" s="81" t="s">
        <v>43</v>
      </c>
      <c r="H1389" s="81" t="s">
        <v>3671</v>
      </c>
      <c r="I1389" s="81" t="s">
        <v>224</v>
      </c>
      <c r="J1389" s="81" t="s">
        <v>5143</v>
      </c>
    </row>
    <row r="1390" hidden="1">
      <c r="A1390" s="83" t="s">
        <v>4949</v>
      </c>
      <c r="B1390" s="83" t="s">
        <v>4950</v>
      </c>
      <c r="C1390" s="81" t="s">
        <v>4086</v>
      </c>
      <c r="D1390" s="83" t="s">
        <v>4764</v>
      </c>
      <c r="E1390" s="81" t="s">
        <v>3672</v>
      </c>
      <c r="F1390" s="84">
        <v>697.0</v>
      </c>
      <c r="G1390" s="81" t="s">
        <v>40</v>
      </c>
      <c r="H1390" s="81" t="s">
        <v>6183</v>
      </c>
      <c r="I1390" s="81" t="s">
        <v>6184</v>
      </c>
      <c r="J1390" s="81" t="s">
        <v>224</v>
      </c>
    </row>
    <row r="1391" hidden="1">
      <c r="A1391" s="83" t="s">
        <v>4949</v>
      </c>
      <c r="B1391" s="83" t="s">
        <v>4950</v>
      </c>
      <c r="C1391" s="81" t="s">
        <v>5141</v>
      </c>
      <c r="D1391" s="83" t="s">
        <v>4764</v>
      </c>
      <c r="E1391" s="81" t="s">
        <v>3672</v>
      </c>
      <c r="F1391" s="84">
        <v>697.0</v>
      </c>
      <c r="G1391" s="81" t="s">
        <v>43</v>
      </c>
      <c r="H1391" s="81" t="s">
        <v>3671</v>
      </c>
      <c r="I1391" s="81" t="s">
        <v>224</v>
      </c>
      <c r="J1391" s="81" t="s">
        <v>5143</v>
      </c>
    </row>
    <row r="1392" hidden="1">
      <c r="A1392" s="83" t="s">
        <v>4949</v>
      </c>
      <c r="B1392" s="83" t="s">
        <v>4950</v>
      </c>
      <c r="C1392" s="81" t="s">
        <v>4086</v>
      </c>
      <c r="D1392" s="83" t="s">
        <v>4765</v>
      </c>
      <c r="E1392" s="81" t="s">
        <v>3673</v>
      </c>
      <c r="F1392" s="84">
        <v>698.0</v>
      </c>
      <c r="G1392" s="81" t="s">
        <v>40</v>
      </c>
      <c r="H1392" s="81" t="s">
        <v>6185</v>
      </c>
      <c r="I1392" s="81" t="s">
        <v>6186</v>
      </c>
      <c r="J1392" s="81" t="s">
        <v>224</v>
      </c>
    </row>
    <row r="1393" hidden="1">
      <c r="A1393" s="83" t="s">
        <v>4949</v>
      </c>
      <c r="B1393" s="83" t="s">
        <v>4950</v>
      </c>
      <c r="C1393" s="81" t="s">
        <v>5141</v>
      </c>
      <c r="D1393" s="83" t="s">
        <v>4765</v>
      </c>
      <c r="E1393" s="81" t="s">
        <v>3673</v>
      </c>
      <c r="F1393" s="84">
        <v>698.0</v>
      </c>
      <c r="G1393" s="81" t="s">
        <v>43</v>
      </c>
      <c r="H1393" s="81" t="s">
        <v>3671</v>
      </c>
      <c r="I1393" s="81" t="s">
        <v>224</v>
      </c>
      <c r="J1393" s="81" t="s">
        <v>5143</v>
      </c>
    </row>
    <row r="1394" hidden="1">
      <c r="A1394" s="83" t="s">
        <v>4949</v>
      </c>
      <c r="B1394" s="83" t="s">
        <v>4950</v>
      </c>
      <c r="C1394" s="81" t="s">
        <v>4086</v>
      </c>
      <c r="D1394" s="83" t="s">
        <v>4766</v>
      </c>
      <c r="E1394" s="81" t="s">
        <v>3676</v>
      </c>
      <c r="F1394" s="84">
        <v>699.0</v>
      </c>
      <c r="G1394" s="81" t="s">
        <v>40</v>
      </c>
      <c r="H1394" s="81" t="s">
        <v>6187</v>
      </c>
      <c r="I1394" s="81" t="s">
        <v>6188</v>
      </c>
      <c r="J1394" s="81" t="s">
        <v>224</v>
      </c>
    </row>
    <row r="1395" hidden="1">
      <c r="A1395" s="83" t="s">
        <v>4949</v>
      </c>
      <c r="B1395" s="83" t="s">
        <v>4950</v>
      </c>
      <c r="C1395" s="81" t="s">
        <v>5141</v>
      </c>
      <c r="D1395" s="83" t="s">
        <v>4766</v>
      </c>
      <c r="E1395" s="81" t="s">
        <v>3676</v>
      </c>
      <c r="F1395" s="84">
        <v>699.0</v>
      </c>
      <c r="G1395" s="81" t="s">
        <v>43</v>
      </c>
      <c r="H1395" s="81" t="s">
        <v>3671</v>
      </c>
      <c r="I1395" s="81" t="s">
        <v>224</v>
      </c>
      <c r="J1395" s="81" t="s">
        <v>5143</v>
      </c>
    </row>
    <row r="1396" hidden="1">
      <c r="A1396" s="83" t="s">
        <v>4949</v>
      </c>
      <c r="B1396" s="83" t="s">
        <v>4950</v>
      </c>
      <c r="C1396" s="81" t="s">
        <v>4086</v>
      </c>
      <c r="D1396" s="83" t="s">
        <v>4767</v>
      </c>
      <c r="E1396" s="81" t="s">
        <v>3679</v>
      </c>
      <c r="F1396" s="84">
        <v>700.0</v>
      </c>
      <c r="G1396" s="81" t="s">
        <v>39</v>
      </c>
      <c r="H1396" s="81" t="s">
        <v>6189</v>
      </c>
      <c r="I1396" s="81" t="s">
        <v>3680</v>
      </c>
      <c r="J1396" s="81" t="s">
        <v>224</v>
      </c>
    </row>
    <row r="1397" hidden="1">
      <c r="A1397" s="83" t="s">
        <v>4949</v>
      </c>
      <c r="B1397" s="83" t="s">
        <v>4950</v>
      </c>
      <c r="C1397" s="81" t="s">
        <v>4086</v>
      </c>
      <c r="D1397" s="83" t="s">
        <v>4767</v>
      </c>
      <c r="E1397" s="81" t="s">
        <v>3679</v>
      </c>
      <c r="F1397" s="84">
        <v>700.0</v>
      </c>
      <c r="G1397" s="81" t="s">
        <v>40</v>
      </c>
      <c r="H1397" s="81" t="s">
        <v>6190</v>
      </c>
      <c r="I1397" s="81" t="s">
        <v>6191</v>
      </c>
      <c r="J1397" s="81" t="s">
        <v>224</v>
      </c>
    </row>
    <row r="1398" hidden="1">
      <c r="A1398" s="83" t="s">
        <v>4949</v>
      </c>
      <c r="B1398" s="83" t="s">
        <v>4950</v>
      </c>
      <c r="C1398" s="81" t="s">
        <v>5141</v>
      </c>
      <c r="D1398" s="83" t="s">
        <v>4767</v>
      </c>
      <c r="E1398" s="81" t="s">
        <v>3679</v>
      </c>
      <c r="F1398" s="84">
        <v>700.0</v>
      </c>
      <c r="G1398" s="81" t="s">
        <v>43</v>
      </c>
      <c r="H1398" s="81" t="s">
        <v>49</v>
      </c>
      <c r="I1398" s="81" t="s">
        <v>224</v>
      </c>
      <c r="J1398" s="81" t="s">
        <v>5143</v>
      </c>
    </row>
    <row r="1399" hidden="1">
      <c r="A1399" s="83" t="s">
        <v>4949</v>
      </c>
      <c r="B1399" s="83" t="s">
        <v>4950</v>
      </c>
      <c r="C1399" s="81" t="s">
        <v>4086</v>
      </c>
      <c r="D1399" s="83" t="s">
        <v>4768</v>
      </c>
      <c r="E1399" s="81" t="s">
        <v>3682</v>
      </c>
      <c r="F1399" s="84">
        <v>701.0</v>
      </c>
      <c r="G1399" s="81" t="s">
        <v>40</v>
      </c>
      <c r="H1399" s="81" t="s">
        <v>49</v>
      </c>
      <c r="I1399" s="81" t="s">
        <v>3684</v>
      </c>
      <c r="J1399" s="81" t="s">
        <v>224</v>
      </c>
    </row>
    <row r="1400" hidden="1">
      <c r="A1400" s="83" t="s">
        <v>4949</v>
      </c>
      <c r="B1400" s="83" t="s">
        <v>4950</v>
      </c>
      <c r="C1400" s="81" t="s">
        <v>5141</v>
      </c>
      <c r="D1400" s="83" t="s">
        <v>4768</v>
      </c>
      <c r="E1400" s="81" t="s">
        <v>3682</v>
      </c>
      <c r="F1400" s="84">
        <v>701.0</v>
      </c>
      <c r="G1400" s="81" t="s">
        <v>43</v>
      </c>
      <c r="H1400" s="81" t="s">
        <v>49</v>
      </c>
      <c r="I1400" s="81" t="s">
        <v>224</v>
      </c>
      <c r="J1400" s="81" t="s">
        <v>5143</v>
      </c>
    </row>
    <row r="1401" hidden="1">
      <c r="A1401" s="83" t="s">
        <v>4949</v>
      </c>
      <c r="B1401" s="83" t="s">
        <v>4950</v>
      </c>
      <c r="C1401" s="81" t="s">
        <v>4086</v>
      </c>
      <c r="D1401" s="83" t="s">
        <v>4769</v>
      </c>
      <c r="E1401" s="81" t="s">
        <v>3685</v>
      </c>
      <c r="F1401" s="84">
        <v>702.0</v>
      </c>
      <c r="G1401" s="81" t="s">
        <v>40</v>
      </c>
      <c r="H1401" s="81" t="s">
        <v>49</v>
      </c>
      <c r="I1401" s="81" t="s">
        <v>3687</v>
      </c>
      <c r="J1401" s="81" t="s">
        <v>224</v>
      </c>
    </row>
    <row r="1402" hidden="1">
      <c r="A1402" s="83" t="s">
        <v>4949</v>
      </c>
      <c r="B1402" s="83" t="s">
        <v>4950</v>
      </c>
      <c r="C1402" s="81" t="s">
        <v>5141</v>
      </c>
      <c r="D1402" s="83" t="s">
        <v>4769</v>
      </c>
      <c r="E1402" s="81" t="s">
        <v>3685</v>
      </c>
      <c r="F1402" s="84">
        <v>702.0</v>
      </c>
      <c r="G1402" s="81" t="s">
        <v>43</v>
      </c>
      <c r="H1402" s="81" t="s">
        <v>49</v>
      </c>
      <c r="I1402" s="81" t="s">
        <v>224</v>
      </c>
      <c r="J1402" s="81" t="s">
        <v>5143</v>
      </c>
    </row>
    <row r="1403" hidden="1">
      <c r="A1403" s="83" t="s">
        <v>4949</v>
      </c>
      <c r="B1403" s="83" t="s">
        <v>4950</v>
      </c>
      <c r="C1403" s="81" t="s">
        <v>4086</v>
      </c>
      <c r="D1403" s="83" t="s">
        <v>4770</v>
      </c>
      <c r="E1403" s="81" t="s">
        <v>3688</v>
      </c>
      <c r="F1403" s="84">
        <v>703.0</v>
      </c>
      <c r="G1403" s="81" t="s">
        <v>39</v>
      </c>
      <c r="H1403" s="81" t="s">
        <v>6192</v>
      </c>
      <c r="I1403" s="81" t="s">
        <v>3693</v>
      </c>
      <c r="J1403" s="81" t="s">
        <v>224</v>
      </c>
    </row>
    <row r="1404" hidden="1">
      <c r="A1404" s="83" t="s">
        <v>4949</v>
      </c>
      <c r="B1404" s="83" t="s">
        <v>4950</v>
      </c>
      <c r="C1404" s="81" t="s">
        <v>4086</v>
      </c>
      <c r="D1404" s="83" t="s">
        <v>4770</v>
      </c>
      <c r="E1404" s="81" t="s">
        <v>3688</v>
      </c>
      <c r="F1404" s="84">
        <v>703.0</v>
      </c>
      <c r="G1404" s="81" t="s">
        <v>40</v>
      </c>
      <c r="H1404" s="81" t="s">
        <v>6193</v>
      </c>
      <c r="I1404" s="81" t="s">
        <v>6194</v>
      </c>
      <c r="J1404" s="81" t="s">
        <v>224</v>
      </c>
    </row>
    <row r="1405" hidden="1">
      <c r="A1405" s="83" t="s">
        <v>4949</v>
      </c>
      <c r="B1405" s="83" t="s">
        <v>4950</v>
      </c>
      <c r="C1405" s="81" t="s">
        <v>5141</v>
      </c>
      <c r="D1405" s="83" t="s">
        <v>4770</v>
      </c>
      <c r="E1405" s="81" t="s">
        <v>3688</v>
      </c>
      <c r="F1405" s="84">
        <v>703.0</v>
      </c>
      <c r="G1405" s="81" t="s">
        <v>43</v>
      </c>
      <c r="H1405" s="81" t="s">
        <v>6195</v>
      </c>
      <c r="I1405" s="81" t="s">
        <v>224</v>
      </c>
      <c r="J1405" s="81" t="s">
        <v>5143</v>
      </c>
    </row>
    <row r="1406" hidden="1">
      <c r="A1406" s="83" t="s">
        <v>4949</v>
      </c>
      <c r="B1406" s="83" t="s">
        <v>4950</v>
      </c>
      <c r="C1406" s="81" t="s">
        <v>4086</v>
      </c>
      <c r="D1406" s="83" t="s">
        <v>4770</v>
      </c>
      <c r="E1406" s="81" t="s">
        <v>3697</v>
      </c>
      <c r="F1406" s="84">
        <v>704.0</v>
      </c>
      <c r="G1406" s="81" t="s">
        <v>39</v>
      </c>
      <c r="H1406" s="81" t="s">
        <v>6192</v>
      </c>
      <c r="I1406" s="81" t="s">
        <v>3693</v>
      </c>
      <c r="J1406" s="81" t="s">
        <v>224</v>
      </c>
    </row>
    <row r="1407" hidden="1">
      <c r="A1407" s="83" t="s">
        <v>4949</v>
      </c>
      <c r="B1407" s="83" t="s">
        <v>4950</v>
      </c>
      <c r="C1407" s="81" t="s">
        <v>4086</v>
      </c>
      <c r="D1407" s="83" t="s">
        <v>4770</v>
      </c>
      <c r="E1407" s="81" t="s">
        <v>3697</v>
      </c>
      <c r="F1407" s="84">
        <v>704.0</v>
      </c>
      <c r="G1407" s="81" t="s">
        <v>40</v>
      </c>
      <c r="H1407" s="81" t="s">
        <v>6193</v>
      </c>
      <c r="I1407" s="81" t="s">
        <v>6194</v>
      </c>
      <c r="J1407" s="81" t="s">
        <v>224</v>
      </c>
    </row>
    <row r="1408" hidden="1">
      <c r="A1408" s="83" t="s">
        <v>4949</v>
      </c>
      <c r="B1408" s="83" t="s">
        <v>4950</v>
      </c>
      <c r="C1408" s="81" t="s">
        <v>5141</v>
      </c>
      <c r="D1408" s="83" t="s">
        <v>4770</v>
      </c>
      <c r="E1408" s="81" t="s">
        <v>3697</v>
      </c>
      <c r="F1408" s="84">
        <v>704.0</v>
      </c>
      <c r="G1408" s="81" t="s">
        <v>43</v>
      </c>
      <c r="H1408" s="81" t="s">
        <v>6195</v>
      </c>
      <c r="I1408" s="81" t="s">
        <v>224</v>
      </c>
      <c r="J1408" s="81" t="s">
        <v>5143</v>
      </c>
    </row>
    <row r="1409" hidden="1">
      <c r="A1409" s="83" t="s">
        <v>4949</v>
      </c>
      <c r="B1409" s="83" t="s">
        <v>4950</v>
      </c>
      <c r="C1409" s="81" t="s">
        <v>4086</v>
      </c>
      <c r="D1409" s="83" t="s">
        <v>4771</v>
      </c>
      <c r="E1409" s="81" t="s">
        <v>3698</v>
      </c>
      <c r="F1409" s="84">
        <v>705.0</v>
      </c>
      <c r="G1409" s="81" t="s">
        <v>39</v>
      </c>
      <c r="H1409" s="81" t="s">
        <v>6196</v>
      </c>
      <c r="I1409" s="81" t="s">
        <v>3699</v>
      </c>
      <c r="J1409" s="81" t="s">
        <v>224</v>
      </c>
    </row>
    <row r="1410" hidden="1">
      <c r="A1410" s="83" t="s">
        <v>4949</v>
      </c>
      <c r="B1410" s="83" t="s">
        <v>4950</v>
      </c>
      <c r="C1410" s="81" t="s">
        <v>4086</v>
      </c>
      <c r="D1410" s="83" t="s">
        <v>4771</v>
      </c>
      <c r="E1410" s="81" t="s">
        <v>3698</v>
      </c>
      <c r="F1410" s="84">
        <v>705.0</v>
      </c>
      <c r="G1410" s="81" t="s">
        <v>40</v>
      </c>
      <c r="H1410" s="81" t="s">
        <v>6197</v>
      </c>
      <c r="I1410" s="81" t="s">
        <v>6198</v>
      </c>
      <c r="J1410" s="81" t="s">
        <v>224</v>
      </c>
    </row>
    <row r="1411" hidden="1">
      <c r="A1411" s="83" t="s">
        <v>4949</v>
      </c>
      <c r="B1411" s="83" t="s">
        <v>4950</v>
      </c>
      <c r="C1411" s="81" t="s">
        <v>5141</v>
      </c>
      <c r="D1411" s="83" t="s">
        <v>4771</v>
      </c>
      <c r="E1411" s="81" t="s">
        <v>3698</v>
      </c>
      <c r="F1411" s="84">
        <v>705.0</v>
      </c>
      <c r="G1411" s="81" t="s">
        <v>43</v>
      </c>
      <c r="H1411" s="81" t="s">
        <v>6195</v>
      </c>
      <c r="I1411" s="81" t="s">
        <v>224</v>
      </c>
      <c r="J1411" s="81" t="s">
        <v>5143</v>
      </c>
    </row>
    <row r="1412" hidden="1">
      <c r="A1412" s="83" t="s">
        <v>4949</v>
      </c>
      <c r="B1412" s="83" t="s">
        <v>4950</v>
      </c>
      <c r="C1412" s="81" t="s">
        <v>4086</v>
      </c>
      <c r="D1412" s="83" t="s">
        <v>4772</v>
      </c>
      <c r="E1412" s="81" t="s">
        <v>3701</v>
      </c>
      <c r="F1412" s="84">
        <v>706.0</v>
      </c>
      <c r="G1412" s="81" t="s">
        <v>39</v>
      </c>
      <c r="H1412" s="81" t="s">
        <v>6199</v>
      </c>
      <c r="I1412" s="81" t="s">
        <v>3702</v>
      </c>
      <c r="J1412" s="81" t="s">
        <v>224</v>
      </c>
    </row>
    <row r="1413" hidden="1">
      <c r="A1413" s="83" t="s">
        <v>4949</v>
      </c>
      <c r="B1413" s="83" t="s">
        <v>4950</v>
      </c>
      <c r="C1413" s="81" t="s">
        <v>4086</v>
      </c>
      <c r="D1413" s="83" t="s">
        <v>4772</v>
      </c>
      <c r="E1413" s="81" t="s">
        <v>3701</v>
      </c>
      <c r="F1413" s="84">
        <v>706.0</v>
      </c>
      <c r="G1413" s="81" t="s">
        <v>40</v>
      </c>
      <c r="H1413" s="81" t="s">
        <v>6200</v>
      </c>
      <c r="I1413" s="81" t="s">
        <v>6201</v>
      </c>
      <c r="J1413" s="81" t="s">
        <v>224</v>
      </c>
    </row>
    <row r="1414" hidden="1">
      <c r="A1414" s="83" t="s">
        <v>4949</v>
      </c>
      <c r="B1414" s="83" t="s">
        <v>4950</v>
      </c>
      <c r="C1414" s="81" t="s">
        <v>5141</v>
      </c>
      <c r="D1414" s="83" t="s">
        <v>4772</v>
      </c>
      <c r="E1414" s="81" t="s">
        <v>3701</v>
      </c>
      <c r="F1414" s="84">
        <v>706.0</v>
      </c>
      <c r="G1414" s="81" t="s">
        <v>43</v>
      </c>
      <c r="H1414" s="81" t="s">
        <v>6195</v>
      </c>
      <c r="I1414" s="81" t="s">
        <v>224</v>
      </c>
      <c r="J1414" s="81" t="s">
        <v>5143</v>
      </c>
    </row>
    <row r="1415" hidden="1">
      <c r="A1415" s="83" t="s">
        <v>4949</v>
      </c>
      <c r="B1415" s="83" t="s">
        <v>4950</v>
      </c>
      <c r="C1415" s="81" t="s">
        <v>4086</v>
      </c>
      <c r="D1415" s="83" t="s">
        <v>4773</v>
      </c>
      <c r="E1415" s="81" t="s">
        <v>3704</v>
      </c>
      <c r="F1415" s="84">
        <v>707.0</v>
      </c>
      <c r="G1415" s="81" t="s">
        <v>39</v>
      </c>
      <c r="H1415" s="81" t="s">
        <v>6202</v>
      </c>
      <c r="I1415" s="81" t="s">
        <v>3705</v>
      </c>
      <c r="J1415" s="81" t="s">
        <v>224</v>
      </c>
    </row>
    <row r="1416" hidden="1">
      <c r="A1416" s="83" t="s">
        <v>4949</v>
      </c>
      <c r="B1416" s="83" t="s">
        <v>4950</v>
      </c>
      <c r="C1416" s="81" t="s">
        <v>4086</v>
      </c>
      <c r="D1416" s="83" t="s">
        <v>4773</v>
      </c>
      <c r="E1416" s="81" t="s">
        <v>3704</v>
      </c>
      <c r="F1416" s="84">
        <v>707.0</v>
      </c>
      <c r="G1416" s="81" t="s">
        <v>40</v>
      </c>
      <c r="H1416" s="81" t="s">
        <v>6203</v>
      </c>
      <c r="I1416" s="81" t="s">
        <v>6204</v>
      </c>
      <c r="J1416" s="81" t="s">
        <v>224</v>
      </c>
    </row>
    <row r="1417" hidden="1">
      <c r="A1417" s="83" t="s">
        <v>4949</v>
      </c>
      <c r="B1417" s="83" t="s">
        <v>4950</v>
      </c>
      <c r="C1417" s="81" t="s">
        <v>5141</v>
      </c>
      <c r="D1417" s="83" t="s">
        <v>4773</v>
      </c>
      <c r="E1417" s="81" t="s">
        <v>3704</v>
      </c>
      <c r="F1417" s="84">
        <v>707.0</v>
      </c>
      <c r="G1417" s="81" t="s">
        <v>43</v>
      </c>
      <c r="H1417" s="81" t="s">
        <v>49</v>
      </c>
      <c r="I1417" s="81" t="s">
        <v>224</v>
      </c>
      <c r="J1417" s="81" t="s">
        <v>5143</v>
      </c>
    </row>
    <row r="1418" hidden="1">
      <c r="A1418" s="83" t="s">
        <v>4949</v>
      </c>
      <c r="B1418" s="83" t="s">
        <v>4950</v>
      </c>
      <c r="C1418" s="81" t="s">
        <v>4086</v>
      </c>
      <c r="D1418" s="83" t="s">
        <v>4774</v>
      </c>
      <c r="E1418" s="81" t="s">
        <v>3707</v>
      </c>
      <c r="F1418" s="84">
        <v>708.0</v>
      </c>
      <c r="G1418" s="81" t="s">
        <v>40</v>
      </c>
      <c r="H1418" s="81" t="s">
        <v>49</v>
      </c>
      <c r="I1418" s="81" t="s">
        <v>3709</v>
      </c>
      <c r="J1418" s="81" t="s">
        <v>224</v>
      </c>
    </row>
    <row r="1419" hidden="1">
      <c r="A1419" s="83" t="s">
        <v>4949</v>
      </c>
      <c r="B1419" s="83" t="s">
        <v>4950</v>
      </c>
      <c r="C1419" s="81" t="s">
        <v>5141</v>
      </c>
      <c r="D1419" s="83" t="s">
        <v>4774</v>
      </c>
      <c r="E1419" s="81" t="s">
        <v>3707</v>
      </c>
      <c r="F1419" s="84">
        <v>708.0</v>
      </c>
      <c r="G1419" s="81" t="s">
        <v>43</v>
      </c>
      <c r="H1419" s="81" t="s">
        <v>49</v>
      </c>
      <c r="I1419" s="81" t="s">
        <v>224</v>
      </c>
      <c r="J1419" s="81" t="s">
        <v>5143</v>
      </c>
    </row>
    <row r="1420" hidden="1">
      <c r="A1420" s="83" t="s">
        <v>4949</v>
      </c>
      <c r="B1420" s="83" t="s">
        <v>4950</v>
      </c>
      <c r="C1420" s="81" t="s">
        <v>4086</v>
      </c>
      <c r="D1420" s="83" t="s">
        <v>4775</v>
      </c>
      <c r="E1420" s="81" t="s">
        <v>3710</v>
      </c>
      <c r="F1420" s="84">
        <v>709.0</v>
      </c>
      <c r="G1420" s="81" t="s">
        <v>40</v>
      </c>
      <c r="H1420" s="81" t="s">
        <v>49</v>
      </c>
      <c r="I1420" s="81" t="s">
        <v>3712</v>
      </c>
      <c r="J1420" s="81" t="s">
        <v>224</v>
      </c>
    </row>
    <row r="1421" hidden="1">
      <c r="A1421" s="83" t="s">
        <v>4949</v>
      </c>
      <c r="B1421" s="83" t="s">
        <v>4950</v>
      </c>
      <c r="C1421" s="81" t="s">
        <v>5141</v>
      </c>
      <c r="D1421" s="83" t="s">
        <v>4775</v>
      </c>
      <c r="E1421" s="81" t="s">
        <v>3710</v>
      </c>
      <c r="F1421" s="84">
        <v>709.0</v>
      </c>
      <c r="G1421" s="81" t="s">
        <v>43</v>
      </c>
      <c r="H1421" s="81" t="s">
        <v>49</v>
      </c>
      <c r="I1421" s="81" t="s">
        <v>224</v>
      </c>
      <c r="J1421" s="81" t="s">
        <v>5143</v>
      </c>
    </row>
    <row r="1422" hidden="1">
      <c r="A1422" s="83" t="s">
        <v>4949</v>
      </c>
      <c r="B1422" s="83" t="s">
        <v>4950</v>
      </c>
      <c r="C1422" s="81" t="s">
        <v>4086</v>
      </c>
      <c r="D1422" s="83" t="s">
        <v>4776</v>
      </c>
      <c r="E1422" s="81" t="s">
        <v>3713</v>
      </c>
      <c r="F1422" s="84">
        <v>710.0</v>
      </c>
      <c r="G1422" s="81" t="s">
        <v>39</v>
      </c>
      <c r="H1422" s="81" t="s">
        <v>6205</v>
      </c>
      <c r="I1422" s="81" t="s">
        <v>3714</v>
      </c>
      <c r="J1422" s="81" t="s">
        <v>224</v>
      </c>
    </row>
    <row r="1423" hidden="1">
      <c r="A1423" s="83" t="s">
        <v>4949</v>
      </c>
      <c r="B1423" s="83" t="s">
        <v>4950</v>
      </c>
      <c r="C1423" s="81" t="s">
        <v>4086</v>
      </c>
      <c r="D1423" s="83" t="s">
        <v>4776</v>
      </c>
      <c r="E1423" s="81" t="s">
        <v>3713</v>
      </c>
      <c r="F1423" s="84">
        <v>710.0</v>
      </c>
      <c r="G1423" s="81" t="s">
        <v>40</v>
      </c>
      <c r="H1423" s="81" t="s">
        <v>6206</v>
      </c>
      <c r="I1423" s="81" t="s">
        <v>6207</v>
      </c>
      <c r="J1423" s="81" t="s">
        <v>224</v>
      </c>
    </row>
    <row r="1424" hidden="1">
      <c r="A1424" s="83" t="s">
        <v>4949</v>
      </c>
      <c r="B1424" s="83" t="s">
        <v>4950</v>
      </c>
      <c r="C1424" s="81" t="s">
        <v>5141</v>
      </c>
      <c r="D1424" s="83" t="s">
        <v>4776</v>
      </c>
      <c r="E1424" s="81" t="s">
        <v>3713</v>
      </c>
      <c r="F1424" s="84">
        <v>710.0</v>
      </c>
      <c r="G1424" s="81" t="s">
        <v>43</v>
      </c>
      <c r="H1424" s="81" t="s">
        <v>6195</v>
      </c>
      <c r="I1424" s="81" t="s">
        <v>224</v>
      </c>
      <c r="J1424" s="81" t="s">
        <v>5143</v>
      </c>
    </row>
    <row r="1425" hidden="1">
      <c r="A1425" s="83" t="s">
        <v>4949</v>
      </c>
      <c r="B1425" s="83" t="s">
        <v>4950</v>
      </c>
      <c r="C1425" s="81" t="s">
        <v>4086</v>
      </c>
      <c r="D1425" s="83" t="s">
        <v>4777</v>
      </c>
      <c r="E1425" s="81" t="s">
        <v>3716</v>
      </c>
      <c r="F1425" s="84">
        <v>711.0</v>
      </c>
      <c r="G1425" s="81" t="s">
        <v>39</v>
      </c>
      <c r="H1425" s="81" t="s">
        <v>6208</v>
      </c>
      <c r="I1425" s="81" t="s">
        <v>3723</v>
      </c>
      <c r="J1425" s="81" t="s">
        <v>224</v>
      </c>
    </row>
    <row r="1426" hidden="1">
      <c r="A1426" s="83" t="s">
        <v>4949</v>
      </c>
      <c r="B1426" s="83" t="s">
        <v>4950</v>
      </c>
      <c r="C1426" s="81" t="s">
        <v>4086</v>
      </c>
      <c r="D1426" s="83" t="s">
        <v>4777</v>
      </c>
      <c r="E1426" s="81" t="s">
        <v>3716</v>
      </c>
      <c r="F1426" s="84">
        <v>711.0</v>
      </c>
      <c r="G1426" s="81" t="s">
        <v>40</v>
      </c>
      <c r="H1426" s="81" t="s">
        <v>6209</v>
      </c>
      <c r="I1426" s="81" t="s">
        <v>6210</v>
      </c>
      <c r="J1426" s="81" t="s">
        <v>224</v>
      </c>
    </row>
    <row r="1427" hidden="1">
      <c r="A1427" s="83" t="s">
        <v>4949</v>
      </c>
      <c r="B1427" s="83" t="s">
        <v>4950</v>
      </c>
      <c r="C1427" s="81" t="s">
        <v>5141</v>
      </c>
      <c r="D1427" s="83" t="s">
        <v>4777</v>
      </c>
      <c r="E1427" s="81" t="s">
        <v>3716</v>
      </c>
      <c r="F1427" s="84">
        <v>711.0</v>
      </c>
      <c r="G1427" s="81" t="s">
        <v>43</v>
      </c>
      <c r="H1427" s="81" t="s">
        <v>3727</v>
      </c>
      <c r="I1427" s="81" t="s">
        <v>224</v>
      </c>
      <c r="J1427" s="81" t="s">
        <v>5143</v>
      </c>
    </row>
    <row r="1428" hidden="1">
      <c r="A1428" s="83" t="s">
        <v>4949</v>
      </c>
      <c r="B1428" s="83" t="s">
        <v>4950</v>
      </c>
      <c r="C1428" s="81" t="s">
        <v>4086</v>
      </c>
      <c r="D1428" s="83" t="s">
        <v>4777</v>
      </c>
      <c r="E1428" s="81" t="s">
        <v>3730</v>
      </c>
      <c r="F1428" s="84">
        <v>712.0</v>
      </c>
      <c r="G1428" s="81" t="s">
        <v>40</v>
      </c>
      <c r="H1428" s="81" t="s">
        <v>6211</v>
      </c>
      <c r="I1428" s="81" t="s">
        <v>6210</v>
      </c>
      <c r="J1428" s="81" t="s">
        <v>224</v>
      </c>
    </row>
    <row r="1429" hidden="1">
      <c r="A1429" s="83" t="s">
        <v>4949</v>
      </c>
      <c r="B1429" s="83" t="s">
        <v>4950</v>
      </c>
      <c r="C1429" s="81" t="s">
        <v>5141</v>
      </c>
      <c r="D1429" s="83" t="s">
        <v>4777</v>
      </c>
      <c r="E1429" s="81" t="s">
        <v>3730</v>
      </c>
      <c r="F1429" s="84">
        <v>712.0</v>
      </c>
      <c r="G1429" s="81" t="s">
        <v>43</v>
      </c>
      <c r="H1429" s="81" t="s">
        <v>3727</v>
      </c>
      <c r="I1429" s="81" t="s">
        <v>224</v>
      </c>
      <c r="J1429" s="81" t="s">
        <v>5143</v>
      </c>
    </row>
    <row r="1430" hidden="1">
      <c r="A1430" s="83" t="s">
        <v>4949</v>
      </c>
      <c r="B1430" s="83" t="s">
        <v>4950</v>
      </c>
      <c r="C1430" s="81" t="s">
        <v>4086</v>
      </c>
      <c r="D1430" s="83" t="s">
        <v>4778</v>
      </c>
      <c r="E1430" s="81" t="s">
        <v>3731</v>
      </c>
      <c r="F1430" s="84">
        <v>713.0</v>
      </c>
      <c r="G1430" s="81" t="s">
        <v>40</v>
      </c>
      <c r="H1430" s="81" t="s">
        <v>6212</v>
      </c>
      <c r="I1430" s="81" t="s">
        <v>6213</v>
      </c>
      <c r="J1430" s="81" t="s">
        <v>224</v>
      </c>
    </row>
    <row r="1431" hidden="1">
      <c r="A1431" s="83" t="s">
        <v>4949</v>
      </c>
      <c r="B1431" s="83" t="s">
        <v>4950</v>
      </c>
      <c r="C1431" s="81" t="s">
        <v>5141</v>
      </c>
      <c r="D1431" s="83" t="s">
        <v>4778</v>
      </c>
      <c r="E1431" s="81" t="s">
        <v>3731</v>
      </c>
      <c r="F1431" s="84">
        <v>713.0</v>
      </c>
      <c r="G1431" s="81" t="s">
        <v>43</v>
      </c>
      <c r="H1431" s="81" t="s">
        <v>3727</v>
      </c>
      <c r="I1431" s="81" t="s">
        <v>224</v>
      </c>
      <c r="J1431" s="81" t="s">
        <v>5143</v>
      </c>
    </row>
    <row r="1432" hidden="1">
      <c r="A1432" s="83" t="s">
        <v>4949</v>
      </c>
      <c r="B1432" s="83" t="s">
        <v>4950</v>
      </c>
      <c r="C1432" s="81" t="s">
        <v>4086</v>
      </c>
      <c r="D1432" s="83" t="s">
        <v>4779</v>
      </c>
      <c r="E1432" s="81" t="s">
        <v>3735</v>
      </c>
      <c r="F1432" s="84">
        <v>714.0</v>
      </c>
      <c r="G1432" s="81" t="s">
        <v>39</v>
      </c>
      <c r="H1432" s="81" t="s">
        <v>6214</v>
      </c>
      <c r="I1432" s="81" t="s">
        <v>3740</v>
      </c>
      <c r="J1432" s="81" t="s">
        <v>224</v>
      </c>
    </row>
    <row r="1433" hidden="1">
      <c r="A1433" s="83" t="s">
        <v>4949</v>
      </c>
      <c r="B1433" s="83" t="s">
        <v>4950</v>
      </c>
      <c r="C1433" s="81" t="s">
        <v>4086</v>
      </c>
      <c r="D1433" s="83" t="s">
        <v>4779</v>
      </c>
      <c r="E1433" s="81" t="s">
        <v>3735</v>
      </c>
      <c r="F1433" s="84">
        <v>714.0</v>
      </c>
      <c r="G1433" s="81" t="s">
        <v>40</v>
      </c>
      <c r="H1433" s="81" t="s">
        <v>6215</v>
      </c>
      <c r="I1433" s="81" t="s">
        <v>6216</v>
      </c>
      <c r="J1433" s="81" t="s">
        <v>224</v>
      </c>
    </row>
    <row r="1434" hidden="1">
      <c r="A1434" s="83" t="s">
        <v>4949</v>
      </c>
      <c r="B1434" s="83" t="s">
        <v>4950</v>
      </c>
      <c r="C1434" s="81" t="s">
        <v>5141</v>
      </c>
      <c r="D1434" s="83" t="s">
        <v>4779</v>
      </c>
      <c r="E1434" s="81" t="s">
        <v>3735</v>
      </c>
      <c r="F1434" s="84">
        <v>714.0</v>
      </c>
      <c r="G1434" s="81" t="s">
        <v>43</v>
      </c>
      <c r="H1434" s="81" t="s">
        <v>3743</v>
      </c>
      <c r="I1434" s="81" t="s">
        <v>224</v>
      </c>
      <c r="J1434" s="81" t="s">
        <v>5143</v>
      </c>
    </row>
    <row r="1435" hidden="1">
      <c r="A1435" s="83" t="s">
        <v>4949</v>
      </c>
      <c r="B1435" s="83" t="s">
        <v>4950</v>
      </c>
      <c r="C1435" s="81" t="s">
        <v>4086</v>
      </c>
      <c r="D1435" s="83" t="s">
        <v>4779</v>
      </c>
      <c r="E1435" s="81" t="s">
        <v>3746</v>
      </c>
      <c r="F1435" s="84">
        <v>715.0</v>
      </c>
      <c r="G1435" s="81" t="s">
        <v>39</v>
      </c>
      <c r="H1435" s="81" t="s">
        <v>6217</v>
      </c>
      <c r="I1435" s="81" t="s">
        <v>3740</v>
      </c>
      <c r="J1435" s="81" t="s">
        <v>224</v>
      </c>
    </row>
    <row r="1436" hidden="1">
      <c r="A1436" s="83" t="s">
        <v>4949</v>
      </c>
      <c r="B1436" s="83" t="s">
        <v>4950</v>
      </c>
      <c r="C1436" s="81" t="s">
        <v>4086</v>
      </c>
      <c r="D1436" s="83" t="s">
        <v>4779</v>
      </c>
      <c r="E1436" s="81" t="s">
        <v>3746</v>
      </c>
      <c r="F1436" s="84">
        <v>715.0</v>
      </c>
      <c r="G1436" s="81" t="s">
        <v>40</v>
      </c>
      <c r="H1436" s="81" t="s">
        <v>6218</v>
      </c>
      <c r="I1436" s="81" t="s">
        <v>6216</v>
      </c>
      <c r="J1436" s="81" t="s">
        <v>224</v>
      </c>
    </row>
    <row r="1437" hidden="1">
      <c r="A1437" s="83" t="s">
        <v>4949</v>
      </c>
      <c r="B1437" s="83" t="s">
        <v>4950</v>
      </c>
      <c r="C1437" s="81" t="s">
        <v>5141</v>
      </c>
      <c r="D1437" s="83" t="s">
        <v>4779</v>
      </c>
      <c r="E1437" s="81" t="s">
        <v>3746</v>
      </c>
      <c r="F1437" s="84">
        <v>715.0</v>
      </c>
      <c r="G1437" s="81" t="s">
        <v>43</v>
      </c>
      <c r="H1437" s="81" t="s">
        <v>3743</v>
      </c>
      <c r="I1437" s="81" t="s">
        <v>224</v>
      </c>
      <c r="J1437" s="81" t="s">
        <v>5143</v>
      </c>
    </row>
    <row r="1438" hidden="1">
      <c r="A1438" s="83" t="s">
        <v>4949</v>
      </c>
      <c r="B1438" s="83" t="s">
        <v>4950</v>
      </c>
      <c r="C1438" s="81" t="s">
        <v>4086</v>
      </c>
      <c r="D1438" s="83" t="s">
        <v>4780</v>
      </c>
      <c r="E1438" s="81" t="s">
        <v>3747</v>
      </c>
      <c r="F1438" s="84">
        <v>716.0</v>
      </c>
      <c r="G1438" s="81" t="s">
        <v>39</v>
      </c>
      <c r="H1438" s="81" t="s">
        <v>6219</v>
      </c>
      <c r="I1438" s="81" t="s">
        <v>3748</v>
      </c>
      <c r="J1438" s="81" t="s">
        <v>224</v>
      </c>
    </row>
    <row r="1439" hidden="1">
      <c r="A1439" s="83" t="s">
        <v>4949</v>
      </c>
      <c r="B1439" s="83" t="s">
        <v>4950</v>
      </c>
      <c r="C1439" s="81" t="s">
        <v>4086</v>
      </c>
      <c r="D1439" s="83" t="s">
        <v>4780</v>
      </c>
      <c r="E1439" s="81" t="s">
        <v>3747</v>
      </c>
      <c r="F1439" s="84">
        <v>716.0</v>
      </c>
      <c r="G1439" s="81" t="s">
        <v>40</v>
      </c>
      <c r="H1439" s="81" t="s">
        <v>6220</v>
      </c>
      <c r="I1439" s="81" t="s">
        <v>6221</v>
      </c>
      <c r="J1439" s="81" t="s">
        <v>224</v>
      </c>
    </row>
    <row r="1440" hidden="1">
      <c r="A1440" s="83" t="s">
        <v>4949</v>
      </c>
      <c r="B1440" s="83" t="s">
        <v>4950</v>
      </c>
      <c r="C1440" s="81" t="s">
        <v>5141</v>
      </c>
      <c r="D1440" s="83" t="s">
        <v>4780</v>
      </c>
      <c r="E1440" s="81" t="s">
        <v>3747</v>
      </c>
      <c r="F1440" s="84">
        <v>716.0</v>
      </c>
      <c r="G1440" s="81" t="s">
        <v>43</v>
      </c>
      <c r="H1440" s="81" t="s">
        <v>3743</v>
      </c>
      <c r="I1440" s="81" t="s">
        <v>224</v>
      </c>
      <c r="J1440" s="81" t="s">
        <v>5143</v>
      </c>
    </row>
    <row r="1441" hidden="1">
      <c r="A1441" s="83" t="s">
        <v>4949</v>
      </c>
      <c r="B1441" s="83" t="s">
        <v>4950</v>
      </c>
      <c r="C1441" s="81" t="s">
        <v>4086</v>
      </c>
      <c r="D1441" s="83" t="s">
        <v>4781</v>
      </c>
      <c r="E1441" s="81" t="s">
        <v>3751</v>
      </c>
      <c r="F1441" s="84">
        <v>717.0</v>
      </c>
      <c r="G1441" s="81" t="s">
        <v>39</v>
      </c>
      <c r="H1441" s="81" t="s">
        <v>6222</v>
      </c>
      <c r="I1441" s="81" t="s">
        <v>3755</v>
      </c>
      <c r="J1441" s="81" t="s">
        <v>224</v>
      </c>
    </row>
    <row r="1442" hidden="1">
      <c r="A1442" s="83" t="s">
        <v>4949</v>
      </c>
      <c r="B1442" s="83" t="s">
        <v>4950</v>
      </c>
      <c r="C1442" s="81" t="s">
        <v>4086</v>
      </c>
      <c r="D1442" s="83" t="s">
        <v>4781</v>
      </c>
      <c r="E1442" s="81" t="s">
        <v>3751</v>
      </c>
      <c r="F1442" s="84">
        <v>717.0</v>
      </c>
      <c r="G1442" s="81" t="s">
        <v>40</v>
      </c>
      <c r="H1442" s="81" t="s">
        <v>6223</v>
      </c>
      <c r="I1442" s="81" t="s">
        <v>3756</v>
      </c>
      <c r="J1442" s="81" t="s">
        <v>224</v>
      </c>
    </row>
    <row r="1443" hidden="1">
      <c r="A1443" s="83" t="s">
        <v>4949</v>
      </c>
      <c r="B1443" s="83" t="s">
        <v>4950</v>
      </c>
      <c r="C1443" s="81" t="s">
        <v>5141</v>
      </c>
      <c r="D1443" s="83" t="s">
        <v>4781</v>
      </c>
      <c r="E1443" s="81" t="s">
        <v>3751</v>
      </c>
      <c r="F1443" s="84">
        <v>717.0</v>
      </c>
      <c r="G1443" s="81" t="s">
        <v>43</v>
      </c>
      <c r="H1443" s="81" t="s">
        <v>3758</v>
      </c>
      <c r="I1443" s="81" t="s">
        <v>224</v>
      </c>
      <c r="J1443" s="81" t="s">
        <v>5143</v>
      </c>
    </row>
    <row r="1444" hidden="1">
      <c r="A1444" s="83" t="s">
        <v>4949</v>
      </c>
      <c r="B1444" s="83" t="s">
        <v>4950</v>
      </c>
      <c r="C1444" s="81" t="s">
        <v>4086</v>
      </c>
      <c r="D1444" s="83" t="s">
        <v>4781</v>
      </c>
      <c r="E1444" s="81" t="s">
        <v>3761</v>
      </c>
      <c r="F1444" s="84">
        <v>718.0</v>
      </c>
      <c r="G1444" s="81" t="s">
        <v>40</v>
      </c>
      <c r="H1444" s="81" t="s">
        <v>6223</v>
      </c>
      <c r="I1444" s="81" t="s">
        <v>3756</v>
      </c>
      <c r="J1444" s="81" t="s">
        <v>224</v>
      </c>
    </row>
    <row r="1445" hidden="1">
      <c r="A1445" s="83" t="s">
        <v>4949</v>
      </c>
      <c r="B1445" s="83" t="s">
        <v>4950</v>
      </c>
      <c r="C1445" s="81" t="s">
        <v>5141</v>
      </c>
      <c r="D1445" s="83" t="s">
        <v>4781</v>
      </c>
      <c r="E1445" s="81" t="s">
        <v>3761</v>
      </c>
      <c r="F1445" s="84">
        <v>718.0</v>
      </c>
      <c r="G1445" s="81" t="s">
        <v>43</v>
      </c>
      <c r="H1445" s="81" t="s">
        <v>3758</v>
      </c>
      <c r="I1445" s="81" t="s">
        <v>224</v>
      </c>
      <c r="J1445" s="81" t="s">
        <v>5143</v>
      </c>
    </row>
    <row r="1446" hidden="1">
      <c r="A1446" s="83" t="s">
        <v>4949</v>
      </c>
      <c r="B1446" s="83" t="s">
        <v>4950</v>
      </c>
      <c r="C1446" s="81" t="s">
        <v>4086</v>
      </c>
      <c r="D1446" s="83" t="s">
        <v>4782</v>
      </c>
      <c r="E1446" s="81" t="s">
        <v>3762</v>
      </c>
      <c r="F1446" s="84">
        <v>719.0</v>
      </c>
      <c r="G1446" s="81" t="s">
        <v>40</v>
      </c>
      <c r="H1446" s="81" t="s">
        <v>6224</v>
      </c>
      <c r="I1446" s="81" t="s">
        <v>3764</v>
      </c>
      <c r="J1446" s="81" t="s">
        <v>224</v>
      </c>
    </row>
    <row r="1447" hidden="1">
      <c r="A1447" s="83" t="s">
        <v>4949</v>
      </c>
      <c r="B1447" s="83" t="s">
        <v>4950</v>
      </c>
      <c r="C1447" s="81" t="s">
        <v>5141</v>
      </c>
      <c r="D1447" s="83" t="s">
        <v>4782</v>
      </c>
      <c r="E1447" s="81" t="s">
        <v>3762</v>
      </c>
      <c r="F1447" s="84">
        <v>719.0</v>
      </c>
      <c r="G1447" s="81" t="s">
        <v>43</v>
      </c>
      <c r="H1447" s="81" t="s">
        <v>3758</v>
      </c>
      <c r="I1447" s="81" t="s">
        <v>224</v>
      </c>
      <c r="J1447" s="81" t="s">
        <v>5143</v>
      </c>
    </row>
    <row r="1448" hidden="1">
      <c r="A1448" s="83" t="s">
        <v>4949</v>
      </c>
      <c r="B1448" s="83" t="s">
        <v>4950</v>
      </c>
      <c r="C1448" s="81" t="s">
        <v>4086</v>
      </c>
      <c r="D1448" s="83" t="s">
        <v>4783</v>
      </c>
      <c r="E1448" s="81" t="s">
        <v>3766</v>
      </c>
      <c r="F1448" s="84">
        <v>720.0</v>
      </c>
      <c r="G1448" s="81" t="s">
        <v>39</v>
      </c>
      <c r="H1448" s="81" t="s">
        <v>5998</v>
      </c>
      <c r="I1448" s="81" t="s">
        <v>3771</v>
      </c>
      <c r="J1448" s="81" t="s">
        <v>224</v>
      </c>
    </row>
    <row r="1449" hidden="1">
      <c r="A1449" s="83" t="s">
        <v>4949</v>
      </c>
      <c r="B1449" s="83" t="s">
        <v>4950</v>
      </c>
      <c r="C1449" s="81" t="s">
        <v>4086</v>
      </c>
      <c r="D1449" s="83" t="s">
        <v>4783</v>
      </c>
      <c r="E1449" s="81" t="s">
        <v>3766</v>
      </c>
      <c r="F1449" s="84">
        <v>720.0</v>
      </c>
      <c r="G1449" s="81" t="s">
        <v>40</v>
      </c>
      <c r="H1449" s="81" t="s">
        <v>5999</v>
      </c>
      <c r="I1449" s="81" t="s">
        <v>6225</v>
      </c>
      <c r="J1449" s="81" t="s">
        <v>224</v>
      </c>
    </row>
    <row r="1450" hidden="1">
      <c r="A1450" s="83" t="s">
        <v>4949</v>
      </c>
      <c r="B1450" s="83" t="s">
        <v>4950</v>
      </c>
      <c r="C1450" s="81" t="s">
        <v>4086</v>
      </c>
      <c r="D1450" s="83" t="s">
        <v>4783</v>
      </c>
      <c r="E1450" s="81" t="s">
        <v>3777</v>
      </c>
      <c r="F1450" s="84">
        <v>721.0</v>
      </c>
      <c r="G1450" s="81" t="s">
        <v>39</v>
      </c>
      <c r="H1450" s="81" t="s">
        <v>5998</v>
      </c>
      <c r="I1450" s="81" t="s">
        <v>3771</v>
      </c>
      <c r="J1450" s="81" t="s">
        <v>224</v>
      </c>
    </row>
    <row r="1451" hidden="1">
      <c r="A1451" s="83" t="s">
        <v>4949</v>
      </c>
      <c r="B1451" s="83" t="s">
        <v>4950</v>
      </c>
      <c r="C1451" s="81" t="s">
        <v>4086</v>
      </c>
      <c r="D1451" s="83" t="s">
        <v>4783</v>
      </c>
      <c r="E1451" s="81" t="s">
        <v>3777</v>
      </c>
      <c r="F1451" s="84">
        <v>721.0</v>
      </c>
      <c r="G1451" s="81" t="s">
        <v>40</v>
      </c>
      <c r="H1451" s="81" t="s">
        <v>5999</v>
      </c>
      <c r="I1451" s="81" t="s">
        <v>6225</v>
      </c>
      <c r="J1451" s="81" t="s">
        <v>224</v>
      </c>
    </row>
    <row r="1452" hidden="1">
      <c r="A1452" s="83" t="s">
        <v>4949</v>
      </c>
      <c r="B1452" s="83" t="s">
        <v>4950</v>
      </c>
      <c r="C1452" s="81" t="s">
        <v>4086</v>
      </c>
      <c r="D1452" s="83" t="s">
        <v>4785</v>
      </c>
      <c r="E1452" s="81" t="s">
        <v>3778</v>
      </c>
      <c r="F1452" s="84">
        <v>722.0</v>
      </c>
      <c r="G1452" s="81" t="s">
        <v>39</v>
      </c>
      <c r="H1452" s="81" t="s">
        <v>6226</v>
      </c>
      <c r="I1452" s="81" t="s">
        <v>3779</v>
      </c>
      <c r="J1452" s="81" t="s">
        <v>224</v>
      </c>
    </row>
    <row r="1453" hidden="1">
      <c r="A1453" s="83" t="s">
        <v>4949</v>
      </c>
      <c r="B1453" s="83" t="s">
        <v>4950</v>
      </c>
      <c r="C1453" s="81" t="s">
        <v>4086</v>
      </c>
      <c r="D1453" s="83" t="s">
        <v>4785</v>
      </c>
      <c r="E1453" s="81" t="s">
        <v>3778</v>
      </c>
      <c r="F1453" s="84">
        <v>722.0</v>
      </c>
      <c r="G1453" s="81" t="s">
        <v>40</v>
      </c>
      <c r="H1453" s="81" t="s">
        <v>6227</v>
      </c>
      <c r="I1453" s="81" t="s">
        <v>3780</v>
      </c>
      <c r="J1453" s="81" t="s">
        <v>224</v>
      </c>
    </row>
    <row r="1454" hidden="1">
      <c r="A1454" s="83" t="s">
        <v>4949</v>
      </c>
      <c r="B1454" s="83" t="s">
        <v>4950</v>
      </c>
      <c r="C1454" s="81" t="s">
        <v>4086</v>
      </c>
      <c r="D1454" s="83" t="s">
        <v>4786</v>
      </c>
      <c r="E1454" s="81" t="s">
        <v>3781</v>
      </c>
      <c r="F1454" s="84">
        <v>723.0</v>
      </c>
      <c r="G1454" s="81" t="s">
        <v>39</v>
      </c>
      <c r="H1454" s="81" t="s">
        <v>5998</v>
      </c>
      <c r="I1454" s="81" t="s">
        <v>3785</v>
      </c>
      <c r="J1454" s="81" t="s">
        <v>224</v>
      </c>
    </row>
    <row r="1455" hidden="1">
      <c r="A1455" s="83" t="s">
        <v>4949</v>
      </c>
      <c r="B1455" s="83" t="s">
        <v>4950</v>
      </c>
      <c r="C1455" s="81" t="s">
        <v>4086</v>
      </c>
      <c r="D1455" s="83" t="s">
        <v>4786</v>
      </c>
      <c r="E1455" s="81" t="s">
        <v>3781</v>
      </c>
      <c r="F1455" s="84">
        <v>723.0</v>
      </c>
      <c r="G1455" s="81" t="s">
        <v>40</v>
      </c>
      <c r="H1455" s="81" t="s">
        <v>5999</v>
      </c>
      <c r="I1455" s="81" t="s">
        <v>6228</v>
      </c>
      <c r="J1455" s="81" t="s">
        <v>224</v>
      </c>
    </row>
    <row r="1456" hidden="1">
      <c r="A1456" s="83" t="s">
        <v>4949</v>
      </c>
      <c r="B1456" s="83" t="s">
        <v>4950</v>
      </c>
      <c r="C1456" s="81" t="s">
        <v>4086</v>
      </c>
      <c r="D1456" s="83" t="s">
        <v>4787</v>
      </c>
      <c r="E1456" s="81" t="s">
        <v>3791</v>
      </c>
      <c r="F1456" s="84">
        <v>724.0</v>
      </c>
      <c r="G1456" s="81" t="s">
        <v>39</v>
      </c>
      <c r="H1456" s="81" t="s">
        <v>6226</v>
      </c>
      <c r="I1456" s="81" t="s">
        <v>3792</v>
      </c>
      <c r="J1456" s="81" t="s">
        <v>224</v>
      </c>
    </row>
    <row r="1457" hidden="1">
      <c r="A1457" s="83" t="s">
        <v>4949</v>
      </c>
      <c r="B1457" s="83" t="s">
        <v>4950</v>
      </c>
      <c r="C1457" s="81" t="s">
        <v>4086</v>
      </c>
      <c r="D1457" s="83" t="s">
        <v>4787</v>
      </c>
      <c r="E1457" s="81" t="s">
        <v>3791</v>
      </c>
      <c r="F1457" s="84">
        <v>724.0</v>
      </c>
      <c r="G1457" s="81" t="s">
        <v>40</v>
      </c>
      <c r="H1457" s="81" t="s">
        <v>6227</v>
      </c>
      <c r="I1457" s="81" t="s">
        <v>3793</v>
      </c>
      <c r="J1457" s="81" t="s">
        <v>224</v>
      </c>
    </row>
    <row r="1458" hidden="1">
      <c r="A1458" s="83" t="s">
        <v>4949</v>
      </c>
      <c r="B1458" s="83" t="s">
        <v>4950</v>
      </c>
      <c r="C1458" s="81" t="s">
        <v>4086</v>
      </c>
      <c r="D1458" s="83" t="s">
        <v>4788</v>
      </c>
      <c r="E1458" s="81" t="s">
        <v>3794</v>
      </c>
      <c r="F1458" s="84">
        <v>725.0</v>
      </c>
      <c r="G1458" s="81" t="s">
        <v>40</v>
      </c>
      <c r="H1458" s="81" t="s">
        <v>6229</v>
      </c>
      <c r="I1458" s="81" t="s">
        <v>3799</v>
      </c>
      <c r="J1458" s="81" t="s">
        <v>224</v>
      </c>
    </row>
    <row r="1459" hidden="1">
      <c r="A1459" s="83" t="s">
        <v>4949</v>
      </c>
      <c r="B1459" s="83" t="s">
        <v>4950</v>
      </c>
      <c r="C1459" s="81" t="s">
        <v>4086</v>
      </c>
      <c r="D1459" s="83" t="s">
        <v>4790</v>
      </c>
      <c r="E1459" s="81" t="s">
        <v>3803</v>
      </c>
      <c r="F1459" s="84">
        <v>726.0</v>
      </c>
      <c r="G1459" s="81" t="s">
        <v>39</v>
      </c>
      <c r="H1459" s="81" t="s">
        <v>6230</v>
      </c>
      <c r="I1459" s="81" t="s">
        <v>3807</v>
      </c>
      <c r="J1459" s="81" t="s">
        <v>224</v>
      </c>
    </row>
    <row r="1460" hidden="1">
      <c r="A1460" s="83" t="s">
        <v>4949</v>
      </c>
      <c r="B1460" s="83" t="s">
        <v>4950</v>
      </c>
      <c r="C1460" s="81" t="s">
        <v>4086</v>
      </c>
      <c r="D1460" s="83" t="s">
        <v>4790</v>
      </c>
      <c r="E1460" s="81" t="s">
        <v>3803</v>
      </c>
      <c r="F1460" s="84">
        <v>726.0</v>
      </c>
      <c r="G1460" s="81" t="s">
        <v>40</v>
      </c>
      <c r="H1460" s="81" t="s">
        <v>6231</v>
      </c>
      <c r="I1460" s="81" t="s">
        <v>3808</v>
      </c>
      <c r="J1460" s="81" t="s">
        <v>224</v>
      </c>
    </row>
    <row r="1461" hidden="1">
      <c r="A1461" s="83" t="s">
        <v>4949</v>
      </c>
      <c r="B1461" s="83" t="s">
        <v>4950</v>
      </c>
      <c r="C1461" s="81" t="s">
        <v>4086</v>
      </c>
      <c r="D1461" s="83" t="s">
        <v>4791</v>
      </c>
      <c r="E1461" s="81" t="s">
        <v>3812</v>
      </c>
      <c r="F1461" s="84">
        <v>727.0</v>
      </c>
      <c r="G1461" s="81" t="s">
        <v>40</v>
      </c>
      <c r="H1461" s="81" t="s">
        <v>6232</v>
      </c>
      <c r="I1461" s="81" t="s">
        <v>3814</v>
      </c>
      <c r="J1461" s="81" t="s">
        <v>224</v>
      </c>
    </row>
    <row r="1462" hidden="1">
      <c r="A1462" s="83" t="s">
        <v>4949</v>
      </c>
      <c r="B1462" s="83" t="s">
        <v>4950</v>
      </c>
      <c r="C1462" s="81" t="s">
        <v>5141</v>
      </c>
      <c r="D1462" s="83" t="s">
        <v>4792</v>
      </c>
      <c r="E1462" s="81" t="s">
        <v>3815</v>
      </c>
      <c r="F1462" s="84">
        <v>728.0</v>
      </c>
      <c r="G1462" s="81" t="s">
        <v>40</v>
      </c>
      <c r="H1462" s="81" t="s">
        <v>49</v>
      </c>
      <c r="I1462" s="81" t="s">
        <v>224</v>
      </c>
      <c r="J1462" s="81" t="s">
        <v>5143</v>
      </c>
    </row>
    <row r="1463" hidden="1">
      <c r="A1463" s="83" t="s">
        <v>4949</v>
      </c>
      <c r="B1463" s="83" t="s">
        <v>4950</v>
      </c>
      <c r="C1463" s="81" t="s">
        <v>5141</v>
      </c>
      <c r="D1463" s="83" t="s">
        <v>4793</v>
      </c>
      <c r="E1463" s="81" t="s">
        <v>3821</v>
      </c>
      <c r="F1463" s="84">
        <v>729.0</v>
      </c>
      <c r="G1463" s="81" t="s">
        <v>40</v>
      </c>
      <c r="H1463" s="81" t="s">
        <v>49</v>
      </c>
      <c r="I1463" s="81" t="s">
        <v>224</v>
      </c>
      <c r="J1463" s="81" t="s">
        <v>5143</v>
      </c>
    </row>
    <row r="1464" hidden="1">
      <c r="A1464" s="83" t="s">
        <v>4949</v>
      </c>
      <c r="B1464" s="83" t="s">
        <v>4950</v>
      </c>
      <c r="C1464" s="81" t="s">
        <v>4086</v>
      </c>
      <c r="D1464" s="83" t="s">
        <v>4794</v>
      </c>
      <c r="E1464" s="81" t="s">
        <v>3823</v>
      </c>
      <c r="F1464" s="84">
        <v>730.0</v>
      </c>
      <c r="G1464" s="81" t="s">
        <v>39</v>
      </c>
      <c r="H1464" s="81" t="s">
        <v>6233</v>
      </c>
      <c r="I1464" s="81" t="s">
        <v>3826</v>
      </c>
      <c r="J1464" s="81" t="s">
        <v>224</v>
      </c>
    </row>
    <row r="1465" hidden="1">
      <c r="A1465" s="83" t="s">
        <v>4949</v>
      </c>
      <c r="B1465" s="83" t="s">
        <v>4950</v>
      </c>
      <c r="C1465" s="81" t="s">
        <v>4086</v>
      </c>
      <c r="D1465" s="83" t="s">
        <v>4794</v>
      </c>
      <c r="E1465" s="81" t="s">
        <v>3823</v>
      </c>
      <c r="F1465" s="84">
        <v>730.0</v>
      </c>
      <c r="G1465" s="81" t="s">
        <v>40</v>
      </c>
      <c r="H1465" s="81" t="s">
        <v>6234</v>
      </c>
      <c r="I1465" s="81" t="s">
        <v>3827</v>
      </c>
      <c r="J1465" s="81" t="s">
        <v>224</v>
      </c>
    </row>
    <row r="1466" hidden="1">
      <c r="A1466" s="83" t="s">
        <v>4949</v>
      </c>
      <c r="B1466" s="83" t="s">
        <v>4950</v>
      </c>
      <c r="C1466" s="81" t="s">
        <v>4086</v>
      </c>
      <c r="D1466" s="83" t="s">
        <v>4794</v>
      </c>
      <c r="E1466" s="81" t="s">
        <v>3829</v>
      </c>
      <c r="F1466" s="84">
        <v>731.0</v>
      </c>
      <c r="G1466" s="81" t="s">
        <v>39</v>
      </c>
      <c r="H1466" s="81" t="s">
        <v>6233</v>
      </c>
      <c r="I1466" s="81" t="s">
        <v>3826</v>
      </c>
      <c r="J1466" s="81" t="s">
        <v>224</v>
      </c>
    </row>
    <row r="1467" hidden="1">
      <c r="A1467" s="83" t="s">
        <v>4949</v>
      </c>
      <c r="B1467" s="83" t="s">
        <v>4950</v>
      </c>
      <c r="C1467" s="81" t="s">
        <v>4086</v>
      </c>
      <c r="D1467" s="83" t="s">
        <v>4794</v>
      </c>
      <c r="E1467" s="81" t="s">
        <v>3829</v>
      </c>
      <c r="F1467" s="84">
        <v>731.0</v>
      </c>
      <c r="G1467" s="81" t="s">
        <v>40</v>
      </c>
      <c r="H1467" s="81" t="s">
        <v>6234</v>
      </c>
      <c r="I1467" s="81" t="s">
        <v>3827</v>
      </c>
      <c r="J1467" s="81" t="s">
        <v>224</v>
      </c>
    </row>
    <row r="1468" hidden="1">
      <c r="A1468" s="83" t="s">
        <v>4949</v>
      </c>
      <c r="B1468" s="83" t="s">
        <v>4950</v>
      </c>
      <c r="C1468" s="81" t="s">
        <v>4086</v>
      </c>
      <c r="D1468" s="83" t="s">
        <v>4795</v>
      </c>
      <c r="E1468" s="81" t="s">
        <v>3831</v>
      </c>
      <c r="F1468" s="84">
        <v>732.0</v>
      </c>
      <c r="G1468" s="81" t="s">
        <v>39</v>
      </c>
      <c r="H1468" s="81" t="s">
        <v>6235</v>
      </c>
      <c r="I1468" s="81" t="s">
        <v>3832</v>
      </c>
      <c r="J1468" s="81" t="s">
        <v>224</v>
      </c>
    </row>
    <row r="1469" hidden="1">
      <c r="A1469" s="83" t="s">
        <v>4949</v>
      </c>
      <c r="B1469" s="83" t="s">
        <v>4950</v>
      </c>
      <c r="C1469" s="81" t="s">
        <v>5141</v>
      </c>
      <c r="D1469" s="83" t="s">
        <v>4795</v>
      </c>
      <c r="E1469" s="81" t="s">
        <v>3831</v>
      </c>
      <c r="F1469" s="84">
        <v>732.0</v>
      </c>
      <c r="G1469" s="81" t="s">
        <v>40</v>
      </c>
      <c r="H1469" s="81" t="s">
        <v>6236</v>
      </c>
      <c r="I1469" s="81" t="s">
        <v>224</v>
      </c>
      <c r="J1469" s="81" t="s">
        <v>5143</v>
      </c>
    </row>
    <row r="1470" hidden="1">
      <c r="A1470" s="83" t="s">
        <v>4949</v>
      </c>
      <c r="B1470" s="83" t="s">
        <v>4950</v>
      </c>
      <c r="C1470" s="81" t="s">
        <v>4086</v>
      </c>
      <c r="D1470" s="83" t="s">
        <v>4796</v>
      </c>
      <c r="E1470" s="81" t="s">
        <v>3833</v>
      </c>
      <c r="F1470" s="84">
        <v>733.0</v>
      </c>
      <c r="G1470" s="81" t="s">
        <v>39</v>
      </c>
      <c r="H1470" s="81" t="s">
        <v>6237</v>
      </c>
      <c r="I1470" s="81" t="s">
        <v>3835</v>
      </c>
      <c r="J1470" s="81" t="s">
        <v>224</v>
      </c>
    </row>
    <row r="1471" hidden="1">
      <c r="A1471" s="83" t="s">
        <v>4949</v>
      </c>
      <c r="B1471" s="83" t="s">
        <v>4950</v>
      </c>
      <c r="C1471" s="81" t="s">
        <v>4086</v>
      </c>
      <c r="D1471" s="83" t="s">
        <v>4796</v>
      </c>
      <c r="E1471" s="81" t="s">
        <v>3833</v>
      </c>
      <c r="F1471" s="84">
        <v>733.0</v>
      </c>
      <c r="G1471" s="81" t="s">
        <v>40</v>
      </c>
      <c r="H1471" s="81" t="s">
        <v>6238</v>
      </c>
      <c r="I1471" s="81" t="s">
        <v>3836</v>
      </c>
      <c r="J1471" s="81" t="s">
        <v>224</v>
      </c>
    </row>
    <row r="1472" hidden="1">
      <c r="A1472" s="83" t="s">
        <v>4949</v>
      </c>
      <c r="B1472" s="83" t="s">
        <v>4950</v>
      </c>
      <c r="C1472" s="81" t="s">
        <v>4086</v>
      </c>
      <c r="D1472" s="83" t="s">
        <v>4796</v>
      </c>
      <c r="E1472" s="81" t="s">
        <v>3838</v>
      </c>
      <c r="F1472" s="84">
        <v>734.0</v>
      </c>
      <c r="G1472" s="81" t="s">
        <v>39</v>
      </c>
      <c r="H1472" s="81" t="s">
        <v>6237</v>
      </c>
      <c r="I1472" s="81" t="s">
        <v>3835</v>
      </c>
      <c r="J1472" s="81" t="s">
        <v>224</v>
      </c>
    </row>
    <row r="1473" hidden="1">
      <c r="A1473" s="83" t="s">
        <v>4949</v>
      </c>
      <c r="B1473" s="83" t="s">
        <v>4950</v>
      </c>
      <c r="C1473" s="81" t="s">
        <v>4086</v>
      </c>
      <c r="D1473" s="83" t="s">
        <v>4796</v>
      </c>
      <c r="E1473" s="81" t="s">
        <v>3838</v>
      </c>
      <c r="F1473" s="84">
        <v>734.0</v>
      </c>
      <c r="G1473" s="81" t="s">
        <v>40</v>
      </c>
      <c r="H1473" s="81" t="s">
        <v>6238</v>
      </c>
      <c r="I1473" s="81" t="s">
        <v>3836</v>
      </c>
      <c r="J1473" s="81" t="s">
        <v>224</v>
      </c>
    </row>
    <row r="1474" hidden="1">
      <c r="A1474" s="83" t="s">
        <v>4949</v>
      </c>
      <c r="B1474" s="83" t="s">
        <v>4950</v>
      </c>
      <c r="C1474" s="81" t="s">
        <v>4086</v>
      </c>
      <c r="D1474" s="83" t="s">
        <v>4797</v>
      </c>
      <c r="E1474" s="81" t="s">
        <v>3839</v>
      </c>
      <c r="F1474" s="84">
        <v>735.0</v>
      </c>
      <c r="G1474" s="81" t="s">
        <v>39</v>
      </c>
      <c r="H1474" s="81" t="s">
        <v>6239</v>
      </c>
      <c r="I1474" s="81" t="s">
        <v>3840</v>
      </c>
      <c r="J1474" s="81" t="s">
        <v>224</v>
      </c>
    </row>
    <row r="1475" hidden="1">
      <c r="A1475" s="83" t="s">
        <v>4949</v>
      </c>
      <c r="B1475" s="83" t="s">
        <v>4950</v>
      </c>
      <c r="C1475" s="81" t="s">
        <v>4086</v>
      </c>
      <c r="D1475" s="83" t="s">
        <v>4797</v>
      </c>
      <c r="E1475" s="81" t="s">
        <v>3839</v>
      </c>
      <c r="F1475" s="84">
        <v>735.0</v>
      </c>
      <c r="G1475" s="81" t="s">
        <v>40</v>
      </c>
      <c r="H1475" s="81" t="s">
        <v>6240</v>
      </c>
      <c r="I1475" s="81" t="s">
        <v>3841</v>
      </c>
      <c r="J1475" s="81" t="s">
        <v>224</v>
      </c>
    </row>
    <row r="1476" hidden="1">
      <c r="A1476" s="83" t="s">
        <v>4949</v>
      </c>
      <c r="B1476" s="83" t="s">
        <v>4950</v>
      </c>
      <c r="C1476" s="81" t="s">
        <v>4086</v>
      </c>
      <c r="D1476" s="83" t="s">
        <v>4798</v>
      </c>
      <c r="E1476" s="81" t="s">
        <v>3842</v>
      </c>
      <c r="F1476" s="84">
        <v>736.0</v>
      </c>
      <c r="G1476" s="81" t="s">
        <v>39</v>
      </c>
      <c r="H1476" s="81" t="s">
        <v>6241</v>
      </c>
      <c r="I1476" s="81" t="s">
        <v>3844</v>
      </c>
      <c r="J1476" s="81" t="s">
        <v>224</v>
      </c>
    </row>
    <row r="1477" hidden="1">
      <c r="A1477" s="83" t="s">
        <v>4949</v>
      </c>
      <c r="B1477" s="83" t="s">
        <v>4950</v>
      </c>
      <c r="C1477" s="81" t="s">
        <v>5141</v>
      </c>
      <c r="D1477" s="83" t="s">
        <v>4798</v>
      </c>
      <c r="E1477" s="81" t="s">
        <v>3842</v>
      </c>
      <c r="F1477" s="84">
        <v>736.0</v>
      </c>
      <c r="G1477" s="81" t="s">
        <v>40</v>
      </c>
      <c r="H1477" s="81" t="s">
        <v>6242</v>
      </c>
      <c r="I1477" s="81" t="s">
        <v>224</v>
      </c>
      <c r="J1477" s="81" t="s">
        <v>5143</v>
      </c>
    </row>
    <row r="1478" hidden="1">
      <c r="A1478" s="83" t="s">
        <v>4949</v>
      </c>
      <c r="B1478" s="83" t="s">
        <v>4950</v>
      </c>
      <c r="C1478" s="81" t="s">
        <v>4086</v>
      </c>
      <c r="D1478" s="83" t="s">
        <v>4799</v>
      </c>
      <c r="E1478" s="81" t="s">
        <v>3845</v>
      </c>
      <c r="F1478" s="84">
        <v>737.0</v>
      </c>
      <c r="G1478" s="81" t="s">
        <v>39</v>
      </c>
      <c r="H1478" s="81" t="s">
        <v>6243</v>
      </c>
      <c r="I1478" s="81" t="s">
        <v>3847</v>
      </c>
      <c r="J1478" s="81" t="s">
        <v>224</v>
      </c>
    </row>
    <row r="1479" hidden="1">
      <c r="A1479" s="83" t="s">
        <v>4949</v>
      </c>
      <c r="B1479" s="83" t="s">
        <v>4950</v>
      </c>
      <c r="C1479" s="81" t="s">
        <v>5141</v>
      </c>
      <c r="D1479" s="83" t="s">
        <v>4799</v>
      </c>
      <c r="E1479" s="81" t="s">
        <v>3845</v>
      </c>
      <c r="F1479" s="84">
        <v>737.0</v>
      </c>
      <c r="G1479" s="81" t="s">
        <v>40</v>
      </c>
      <c r="H1479" s="81" t="s">
        <v>6244</v>
      </c>
      <c r="I1479" s="81" t="s">
        <v>224</v>
      </c>
      <c r="J1479" s="81" t="s">
        <v>5143</v>
      </c>
    </row>
    <row r="1480" hidden="1">
      <c r="A1480" s="83" t="s">
        <v>4949</v>
      </c>
      <c r="B1480" s="83" t="s">
        <v>4950</v>
      </c>
      <c r="C1480" s="81" t="s">
        <v>4086</v>
      </c>
      <c r="D1480" s="83" t="s">
        <v>4800</v>
      </c>
      <c r="E1480" s="81" t="s">
        <v>3848</v>
      </c>
      <c r="F1480" s="84">
        <v>738.0</v>
      </c>
      <c r="G1480" s="81" t="s">
        <v>39</v>
      </c>
      <c r="H1480" s="81" t="s">
        <v>6245</v>
      </c>
      <c r="I1480" s="81" t="s">
        <v>3850</v>
      </c>
      <c r="J1480" s="81" t="s">
        <v>224</v>
      </c>
    </row>
    <row r="1481" hidden="1">
      <c r="A1481" s="83" t="s">
        <v>4949</v>
      </c>
      <c r="B1481" s="83" t="s">
        <v>4950</v>
      </c>
      <c r="C1481" s="81" t="s">
        <v>5141</v>
      </c>
      <c r="D1481" s="83" t="s">
        <v>4800</v>
      </c>
      <c r="E1481" s="81" t="s">
        <v>3848</v>
      </c>
      <c r="F1481" s="84">
        <v>738.0</v>
      </c>
      <c r="G1481" s="81" t="s">
        <v>40</v>
      </c>
      <c r="H1481" s="81" t="s">
        <v>6246</v>
      </c>
      <c r="I1481" s="81" t="s">
        <v>224</v>
      </c>
      <c r="J1481" s="81" t="s">
        <v>5143</v>
      </c>
    </row>
    <row r="1482" hidden="1">
      <c r="A1482" s="83" t="s">
        <v>4949</v>
      </c>
      <c r="B1482" s="83" t="s">
        <v>4950</v>
      </c>
      <c r="C1482" s="81" t="s">
        <v>4086</v>
      </c>
      <c r="D1482" s="83" t="s">
        <v>4800</v>
      </c>
      <c r="E1482" s="81" t="s">
        <v>3851</v>
      </c>
      <c r="F1482" s="84">
        <v>739.0</v>
      </c>
      <c r="G1482" s="81" t="s">
        <v>39</v>
      </c>
      <c r="H1482" s="81" t="s">
        <v>6245</v>
      </c>
      <c r="I1482" s="81" t="s">
        <v>3850</v>
      </c>
      <c r="J1482" s="81" t="s">
        <v>224</v>
      </c>
    </row>
    <row r="1483" hidden="1">
      <c r="A1483" s="83" t="s">
        <v>4949</v>
      </c>
      <c r="B1483" s="83" t="s">
        <v>4950</v>
      </c>
      <c r="C1483" s="81" t="s">
        <v>5141</v>
      </c>
      <c r="D1483" s="83" t="s">
        <v>4800</v>
      </c>
      <c r="E1483" s="81" t="s">
        <v>3851</v>
      </c>
      <c r="F1483" s="84">
        <v>739.0</v>
      </c>
      <c r="G1483" s="81" t="s">
        <v>40</v>
      </c>
      <c r="H1483" s="81" t="s">
        <v>6246</v>
      </c>
      <c r="I1483" s="81" t="s">
        <v>224</v>
      </c>
      <c r="J1483" s="81" t="s">
        <v>5143</v>
      </c>
    </row>
    <row r="1484" hidden="1">
      <c r="A1484" s="83" t="s">
        <v>4949</v>
      </c>
      <c r="B1484" s="83" t="s">
        <v>4950</v>
      </c>
      <c r="C1484" s="81" t="s">
        <v>4086</v>
      </c>
      <c r="D1484" s="83" t="s">
        <v>4802</v>
      </c>
      <c r="E1484" s="81" t="s">
        <v>3852</v>
      </c>
      <c r="F1484" s="84">
        <v>740.0</v>
      </c>
      <c r="G1484" s="81" t="s">
        <v>39</v>
      </c>
      <c r="H1484" s="81" t="s">
        <v>6247</v>
      </c>
      <c r="I1484" s="81" t="s">
        <v>3853</v>
      </c>
      <c r="J1484" s="81" t="s">
        <v>224</v>
      </c>
    </row>
    <row r="1485" hidden="1">
      <c r="A1485" s="83" t="s">
        <v>4949</v>
      </c>
      <c r="B1485" s="83" t="s">
        <v>4950</v>
      </c>
      <c r="C1485" s="81" t="s">
        <v>5141</v>
      </c>
      <c r="D1485" s="83" t="s">
        <v>4802</v>
      </c>
      <c r="E1485" s="81" t="s">
        <v>3852</v>
      </c>
      <c r="F1485" s="84">
        <v>740.0</v>
      </c>
      <c r="G1485" s="81" t="s">
        <v>40</v>
      </c>
      <c r="H1485" s="81" t="s">
        <v>6248</v>
      </c>
      <c r="I1485" s="81" t="s">
        <v>224</v>
      </c>
      <c r="J1485" s="81" t="s">
        <v>5143</v>
      </c>
    </row>
    <row r="1486" hidden="1">
      <c r="A1486" s="83" t="s">
        <v>4949</v>
      </c>
      <c r="B1486" s="83" t="s">
        <v>4950</v>
      </c>
      <c r="C1486" s="81" t="s">
        <v>4086</v>
      </c>
      <c r="D1486" s="83" t="s">
        <v>4803</v>
      </c>
      <c r="E1486" s="81" t="s">
        <v>3854</v>
      </c>
      <c r="F1486" s="84">
        <v>741.0</v>
      </c>
      <c r="G1486" s="81" t="s">
        <v>39</v>
      </c>
      <c r="H1486" s="81" t="s">
        <v>6249</v>
      </c>
      <c r="I1486" s="81" t="s">
        <v>3856</v>
      </c>
      <c r="J1486" s="81" t="s">
        <v>224</v>
      </c>
    </row>
    <row r="1487" hidden="1">
      <c r="A1487" s="83" t="s">
        <v>4949</v>
      </c>
      <c r="B1487" s="83" t="s">
        <v>4950</v>
      </c>
      <c r="C1487" s="81" t="s">
        <v>5141</v>
      </c>
      <c r="D1487" s="83" t="s">
        <v>4803</v>
      </c>
      <c r="E1487" s="81" t="s">
        <v>3854</v>
      </c>
      <c r="F1487" s="84">
        <v>741.0</v>
      </c>
      <c r="G1487" s="81" t="s">
        <v>40</v>
      </c>
      <c r="H1487" s="81" t="s">
        <v>6250</v>
      </c>
      <c r="I1487" s="81" t="s">
        <v>224</v>
      </c>
      <c r="J1487" s="81" t="s">
        <v>5143</v>
      </c>
    </row>
    <row r="1488" hidden="1">
      <c r="A1488" s="83" t="s">
        <v>4949</v>
      </c>
      <c r="B1488" s="83" t="s">
        <v>4950</v>
      </c>
      <c r="C1488" s="81" t="s">
        <v>5141</v>
      </c>
      <c r="D1488" s="83" t="s">
        <v>4804</v>
      </c>
      <c r="E1488" s="81" t="s">
        <v>3857</v>
      </c>
      <c r="F1488" s="84">
        <v>742.0</v>
      </c>
      <c r="G1488" s="81" t="s">
        <v>39</v>
      </c>
      <c r="H1488" s="81" t="s">
        <v>5425</v>
      </c>
      <c r="I1488" s="81" t="s">
        <v>224</v>
      </c>
      <c r="J1488" s="81" t="s">
        <v>5143</v>
      </c>
    </row>
    <row r="1489" hidden="1">
      <c r="A1489" s="83" t="s">
        <v>4949</v>
      </c>
      <c r="B1489" s="83" t="s">
        <v>4950</v>
      </c>
      <c r="C1489" s="81" t="s">
        <v>5141</v>
      </c>
      <c r="D1489" s="83" t="s">
        <v>4804</v>
      </c>
      <c r="E1489" s="81" t="s">
        <v>3857</v>
      </c>
      <c r="F1489" s="84">
        <v>742.0</v>
      </c>
      <c r="G1489" s="81" t="s">
        <v>40</v>
      </c>
      <c r="H1489" s="81" t="s">
        <v>5426</v>
      </c>
      <c r="I1489" s="81" t="s">
        <v>224</v>
      </c>
      <c r="J1489" s="81" t="s">
        <v>5143</v>
      </c>
    </row>
    <row r="1490" hidden="1">
      <c r="A1490" s="83" t="s">
        <v>4949</v>
      </c>
      <c r="B1490" s="83" t="s">
        <v>4950</v>
      </c>
      <c r="C1490" s="81" t="s">
        <v>5141</v>
      </c>
      <c r="D1490" s="83" t="s">
        <v>4804</v>
      </c>
      <c r="E1490" s="81" t="s">
        <v>3858</v>
      </c>
      <c r="F1490" s="84">
        <v>743.0</v>
      </c>
      <c r="G1490" s="81" t="s">
        <v>39</v>
      </c>
      <c r="H1490" s="81" t="s">
        <v>5425</v>
      </c>
      <c r="I1490" s="81" t="s">
        <v>224</v>
      </c>
      <c r="J1490" s="81" t="s">
        <v>5143</v>
      </c>
    </row>
    <row r="1491" hidden="1">
      <c r="A1491" s="83" t="s">
        <v>4949</v>
      </c>
      <c r="B1491" s="83" t="s">
        <v>4950</v>
      </c>
      <c r="C1491" s="81" t="s">
        <v>5141</v>
      </c>
      <c r="D1491" s="83" t="s">
        <v>4804</v>
      </c>
      <c r="E1491" s="81" t="s">
        <v>3858</v>
      </c>
      <c r="F1491" s="84">
        <v>743.0</v>
      </c>
      <c r="G1491" s="81" t="s">
        <v>40</v>
      </c>
      <c r="H1491" s="81" t="s">
        <v>5426</v>
      </c>
      <c r="I1491" s="81" t="s">
        <v>224</v>
      </c>
      <c r="J1491" s="81" t="s">
        <v>5143</v>
      </c>
    </row>
    <row r="1492" hidden="1">
      <c r="A1492" s="83" t="s">
        <v>4949</v>
      </c>
      <c r="B1492" s="83" t="s">
        <v>4950</v>
      </c>
      <c r="C1492" s="81" t="s">
        <v>5141</v>
      </c>
      <c r="D1492" s="83" t="s">
        <v>4805</v>
      </c>
      <c r="E1492" s="81" t="s">
        <v>3859</v>
      </c>
      <c r="F1492" s="84">
        <v>744.0</v>
      </c>
      <c r="G1492" s="81" t="s">
        <v>39</v>
      </c>
      <c r="H1492" s="81" t="s">
        <v>5423</v>
      </c>
      <c r="I1492" s="81" t="s">
        <v>224</v>
      </c>
      <c r="J1492" s="81" t="s">
        <v>5143</v>
      </c>
    </row>
    <row r="1493" hidden="1">
      <c r="A1493" s="83" t="s">
        <v>4949</v>
      </c>
      <c r="B1493" s="83" t="s">
        <v>4950</v>
      </c>
      <c r="C1493" s="81" t="s">
        <v>5141</v>
      </c>
      <c r="D1493" s="83" t="s">
        <v>4805</v>
      </c>
      <c r="E1493" s="81" t="s">
        <v>3859</v>
      </c>
      <c r="F1493" s="84">
        <v>744.0</v>
      </c>
      <c r="G1493" s="81" t="s">
        <v>40</v>
      </c>
      <c r="H1493" s="81" t="s">
        <v>5424</v>
      </c>
      <c r="I1493" s="81" t="s">
        <v>224</v>
      </c>
      <c r="J1493" s="81" t="s">
        <v>5143</v>
      </c>
    </row>
    <row r="1494" hidden="1">
      <c r="A1494" s="83" t="s">
        <v>4949</v>
      </c>
      <c r="B1494" s="83" t="s">
        <v>4950</v>
      </c>
      <c r="C1494" s="81" t="s">
        <v>5141</v>
      </c>
      <c r="D1494" s="83" t="s">
        <v>4806</v>
      </c>
      <c r="E1494" s="81" t="s">
        <v>3860</v>
      </c>
      <c r="F1494" s="84">
        <v>745.0</v>
      </c>
      <c r="G1494" s="81" t="s">
        <v>39</v>
      </c>
      <c r="H1494" s="81" t="s">
        <v>6251</v>
      </c>
      <c r="I1494" s="81" t="s">
        <v>224</v>
      </c>
      <c r="J1494" s="81" t="s">
        <v>5143</v>
      </c>
    </row>
    <row r="1495" hidden="1">
      <c r="A1495" s="83" t="s">
        <v>4949</v>
      </c>
      <c r="B1495" s="83" t="s">
        <v>4950</v>
      </c>
      <c r="C1495" s="81" t="s">
        <v>5141</v>
      </c>
      <c r="D1495" s="83" t="s">
        <v>4806</v>
      </c>
      <c r="E1495" s="81" t="s">
        <v>3860</v>
      </c>
      <c r="F1495" s="84">
        <v>745.0</v>
      </c>
      <c r="G1495" s="81" t="s">
        <v>40</v>
      </c>
      <c r="H1495" s="81" t="s">
        <v>5422</v>
      </c>
      <c r="I1495" s="81" t="s">
        <v>224</v>
      </c>
      <c r="J1495" s="81" t="s">
        <v>5143</v>
      </c>
    </row>
    <row r="1496" hidden="1">
      <c r="A1496" s="83" t="s">
        <v>4949</v>
      </c>
      <c r="B1496" s="83" t="s">
        <v>4950</v>
      </c>
      <c r="C1496" s="81" t="s">
        <v>5141</v>
      </c>
      <c r="D1496" s="83" t="s">
        <v>4806</v>
      </c>
      <c r="E1496" s="81" t="s">
        <v>3861</v>
      </c>
      <c r="F1496" s="84">
        <v>746.0</v>
      </c>
      <c r="G1496" s="81" t="s">
        <v>39</v>
      </c>
      <c r="H1496" s="81" t="s">
        <v>6251</v>
      </c>
      <c r="I1496" s="81" t="s">
        <v>224</v>
      </c>
      <c r="J1496" s="81" t="s">
        <v>5143</v>
      </c>
    </row>
    <row r="1497" hidden="1">
      <c r="A1497" s="83" t="s">
        <v>4949</v>
      </c>
      <c r="B1497" s="83" t="s">
        <v>4950</v>
      </c>
      <c r="C1497" s="81" t="s">
        <v>5141</v>
      </c>
      <c r="D1497" s="83" t="s">
        <v>4806</v>
      </c>
      <c r="E1497" s="81" t="s">
        <v>3861</v>
      </c>
      <c r="F1497" s="84">
        <v>746.0</v>
      </c>
      <c r="G1497" s="81" t="s">
        <v>40</v>
      </c>
      <c r="H1497" s="81" t="s">
        <v>5422</v>
      </c>
      <c r="I1497" s="81" t="s">
        <v>224</v>
      </c>
      <c r="J1497" s="81" t="s">
        <v>5143</v>
      </c>
    </row>
    <row r="1498" hidden="1">
      <c r="A1498" s="83" t="s">
        <v>4949</v>
      </c>
      <c r="B1498" s="83" t="s">
        <v>4950</v>
      </c>
      <c r="C1498" s="81" t="s">
        <v>5141</v>
      </c>
      <c r="D1498" s="83" t="s">
        <v>4807</v>
      </c>
      <c r="E1498" s="81" t="s">
        <v>3862</v>
      </c>
      <c r="F1498" s="84">
        <v>747.0</v>
      </c>
      <c r="G1498" s="81" t="s">
        <v>39</v>
      </c>
      <c r="H1498" s="81" t="s">
        <v>6252</v>
      </c>
      <c r="I1498" s="81" t="s">
        <v>224</v>
      </c>
      <c r="J1498" s="81" t="s">
        <v>5143</v>
      </c>
    </row>
    <row r="1499" hidden="1">
      <c r="A1499" s="83" t="s">
        <v>4949</v>
      </c>
      <c r="B1499" s="83" t="s">
        <v>4950</v>
      </c>
      <c r="C1499" s="81" t="s">
        <v>5141</v>
      </c>
      <c r="D1499" s="83" t="s">
        <v>4807</v>
      </c>
      <c r="E1499" s="81" t="s">
        <v>3862</v>
      </c>
      <c r="F1499" s="84">
        <v>747.0</v>
      </c>
      <c r="G1499" s="81" t="s">
        <v>40</v>
      </c>
      <c r="H1499" s="81" t="s">
        <v>5419</v>
      </c>
      <c r="I1499" s="81" t="s">
        <v>224</v>
      </c>
      <c r="J1499" s="81" t="s">
        <v>5143</v>
      </c>
    </row>
    <row r="1500" hidden="1">
      <c r="A1500" s="83" t="s">
        <v>4949</v>
      </c>
      <c r="B1500" s="83" t="s">
        <v>4950</v>
      </c>
      <c r="C1500" s="81" t="s">
        <v>4086</v>
      </c>
      <c r="D1500" s="83" t="s">
        <v>4808</v>
      </c>
      <c r="E1500" s="81" t="s">
        <v>3863</v>
      </c>
      <c r="F1500" s="84">
        <v>748.0</v>
      </c>
      <c r="G1500" s="81" t="s">
        <v>39</v>
      </c>
      <c r="H1500" s="81" t="s">
        <v>6253</v>
      </c>
      <c r="I1500" s="81" t="s">
        <v>3864</v>
      </c>
      <c r="J1500" s="81" t="s">
        <v>224</v>
      </c>
    </row>
    <row r="1501" hidden="1">
      <c r="A1501" s="83" t="s">
        <v>4949</v>
      </c>
      <c r="B1501" s="83" t="s">
        <v>4950</v>
      </c>
      <c r="C1501" s="81" t="s">
        <v>4086</v>
      </c>
      <c r="D1501" s="83" t="s">
        <v>4808</v>
      </c>
      <c r="E1501" s="81" t="s">
        <v>3863</v>
      </c>
      <c r="F1501" s="84">
        <v>748.0</v>
      </c>
      <c r="G1501" s="81" t="s">
        <v>40</v>
      </c>
      <c r="H1501" s="81" t="s">
        <v>6254</v>
      </c>
      <c r="I1501" s="81" t="s">
        <v>3865</v>
      </c>
      <c r="J1501" s="81" t="s">
        <v>224</v>
      </c>
    </row>
    <row r="1502" hidden="1">
      <c r="A1502" s="83" t="s">
        <v>4949</v>
      </c>
      <c r="B1502" s="83" t="s">
        <v>4950</v>
      </c>
      <c r="C1502" s="81" t="s">
        <v>4086</v>
      </c>
      <c r="D1502" s="83" t="s">
        <v>4808</v>
      </c>
      <c r="E1502" s="81" t="s">
        <v>3867</v>
      </c>
      <c r="F1502" s="84">
        <v>749.0</v>
      </c>
      <c r="G1502" s="81" t="s">
        <v>39</v>
      </c>
      <c r="H1502" s="81" t="s">
        <v>6253</v>
      </c>
      <c r="I1502" s="81" t="s">
        <v>3864</v>
      </c>
      <c r="J1502" s="81" t="s">
        <v>224</v>
      </c>
    </row>
    <row r="1503" hidden="1">
      <c r="A1503" s="83" t="s">
        <v>4949</v>
      </c>
      <c r="B1503" s="83" t="s">
        <v>4950</v>
      </c>
      <c r="C1503" s="81" t="s">
        <v>4086</v>
      </c>
      <c r="D1503" s="83" t="s">
        <v>4808</v>
      </c>
      <c r="E1503" s="81" t="s">
        <v>3867</v>
      </c>
      <c r="F1503" s="84">
        <v>749.0</v>
      </c>
      <c r="G1503" s="81" t="s">
        <v>40</v>
      </c>
      <c r="H1503" s="81" t="s">
        <v>6254</v>
      </c>
      <c r="I1503" s="81" t="s">
        <v>3865</v>
      </c>
      <c r="J1503" s="81" t="s">
        <v>224</v>
      </c>
    </row>
    <row r="1504" hidden="1">
      <c r="A1504" s="83" t="s">
        <v>4949</v>
      </c>
      <c r="B1504" s="83" t="s">
        <v>4950</v>
      </c>
      <c r="C1504" s="81" t="s">
        <v>4086</v>
      </c>
      <c r="D1504" s="83" t="s">
        <v>4809</v>
      </c>
      <c r="E1504" s="81" t="s">
        <v>3868</v>
      </c>
      <c r="F1504" s="84">
        <v>750.0</v>
      </c>
      <c r="G1504" s="81" t="s">
        <v>39</v>
      </c>
      <c r="H1504" s="81" t="s">
        <v>6255</v>
      </c>
      <c r="I1504" s="81" t="s">
        <v>3869</v>
      </c>
      <c r="J1504" s="81" t="s">
        <v>224</v>
      </c>
    </row>
    <row r="1505" hidden="1">
      <c r="A1505" s="83" t="s">
        <v>4949</v>
      </c>
      <c r="B1505" s="83" t="s">
        <v>4950</v>
      </c>
      <c r="C1505" s="81" t="s">
        <v>4086</v>
      </c>
      <c r="D1505" s="83" t="s">
        <v>4809</v>
      </c>
      <c r="E1505" s="81" t="s">
        <v>3868</v>
      </c>
      <c r="F1505" s="84">
        <v>750.0</v>
      </c>
      <c r="G1505" s="81" t="s">
        <v>40</v>
      </c>
      <c r="H1505" s="81" t="s">
        <v>6256</v>
      </c>
      <c r="I1505" s="81" t="s">
        <v>3870</v>
      </c>
      <c r="J1505" s="81" t="s">
        <v>224</v>
      </c>
    </row>
    <row r="1506" hidden="1">
      <c r="A1506" s="83" t="s">
        <v>4949</v>
      </c>
      <c r="B1506" s="83" t="s">
        <v>4950</v>
      </c>
      <c r="C1506" s="81" t="s">
        <v>4086</v>
      </c>
      <c r="D1506" s="83" t="s">
        <v>4810</v>
      </c>
      <c r="E1506" s="81" t="s">
        <v>3871</v>
      </c>
      <c r="F1506" s="84">
        <v>751.0</v>
      </c>
      <c r="G1506" s="81" t="s">
        <v>40</v>
      </c>
      <c r="H1506" s="81" t="s">
        <v>49</v>
      </c>
      <c r="I1506" s="81" t="s">
        <v>3873</v>
      </c>
      <c r="J1506" s="81" t="s">
        <v>224</v>
      </c>
    </row>
    <row r="1507" hidden="1">
      <c r="A1507" s="83" t="s">
        <v>4949</v>
      </c>
      <c r="B1507" s="83" t="s">
        <v>4950</v>
      </c>
      <c r="C1507" s="81" t="s">
        <v>5141</v>
      </c>
      <c r="D1507" s="83" t="s">
        <v>4810</v>
      </c>
      <c r="E1507" s="81" t="s">
        <v>3871</v>
      </c>
      <c r="F1507" s="84">
        <v>751.0</v>
      </c>
      <c r="G1507" s="81" t="s">
        <v>43</v>
      </c>
      <c r="H1507" s="81" t="s">
        <v>49</v>
      </c>
      <c r="I1507" s="81" t="s">
        <v>224</v>
      </c>
      <c r="J1507" s="81" t="s">
        <v>5143</v>
      </c>
    </row>
    <row r="1508" hidden="1">
      <c r="A1508" s="83" t="s">
        <v>4949</v>
      </c>
      <c r="B1508" s="83" t="s">
        <v>4950</v>
      </c>
      <c r="C1508" s="81" t="s">
        <v>4086</v>
      </c>
      <c r="D1508" s="83" t="s">
        <v>4811</v>
      </c>
      <c r="E1508" s="81" t="s">
        <v>3874</v>
      </c>
      <c r="F1508" s="84">
        <v>752.0</v>
      </c>
      <c r="G1508" s="81" t="s">
        <v>40</v>
      </c>
      <c r="H1508" s="81" t="s">
        <v>6257</v>
      </c>
      <c r="I1508" s="81" t="s">
        <v>3876</v>
      </c>
      <c r="J1508" s="81" t="s">
        <v>224</v>
      </c>
    </row>
    <row r="1509" hidden="1">
      <c r="A1509" s="83" t="s">
        <v>4949</v>
      </c>
      <c r="B1509" s="83" t="s">
        <v>4950</v>
      </c>
      <c r="C1509" s="81" t="s">
        <v>5141</v>
      </c>
      <c r="D1509" s="83" t="s">
        <v>4811</v>
      </c>
      <c r="E1509" s="81" t="s">
        <v>3874</v>
      </c>
      <c r="F1509" s="84">
        <v>752.0</v>
      </c>
      <c r="G1509" s="81" t="s">
        <v>43</v>
      </c>
      <c r="H1509" s="81" t="s">
        <v>49</v>
      </c>
      <c r="I1509" s="81" t="s">
        <v>224</v>
      </c>
      <c r="J1509" s="81" t="s">
        <v>5143</v>
      </c>
    </row>
    <row r="1510" hidden="1">
      <c r="A1510" s="83" t="s">
        <v>4949</v>
      </c>
      <c r="B1510" s="83" t="s">
        <v>4950</v>
      </c>
      <c r="C1510" s="81" t="s">
        <v>5141</v>
      </c>
      <c r="D1510" s="83" t="s">
        <v>4813</v>
      </c>
      <c r="E1510" s="81" t="s">
        <v>3877</v>
      </c>
      <c r="F1510" s="84">
        <v>753.0</v>
      </c>
      <c r="G1510" s="81" t="s">
        <v>40</v>
      </c>
      <c r="H1510" s="81" t="s">
        <v>6258</v>
      </c>
      <c r="I1510" s="81" t="s">
        <v>224</v>
      </c>
      <c r="J1510" s="81" t="s">
        <v>5143</v>
      </c>
    </row>
    <row r="1511" hidden="1">
      <c r="A1511" s="83" t="s">
        <v>4949</v>
      </c>
      <c r="B1511" s="83" t="s">
        <v>4950</v>
      </c>
      <c r="C1511" s="81" t="s">
        <v>5141</v>
      </c>
      <c r="D1511" s="83" t="s">
        <v>4813</v>
      </c>
      <c r="E1511" s="81" t="s">
        <v>3877</v>
      </c>
      <c r="F1511" s="84">
        <v>753.0</v>
      </c>
      <c r="G1511" s="81" t="s">
        <v>43</v>
      </c>
      <c r="H1511" s="81" t="s">
        <v>49</v>
      </c>
      <c r="I1511" s="81" t="s">
        <v>224</v>
      </c>
      <c r="J1511" s="81" t="s">
        <v>5143</v>
      </c>
    </row>
    <row r="1512" hidden="1">
      <c r="A1512" s="83" t="s">
        <v>4949</v>
      </c>
      <c r="B1512" s="83" t="s">
        <v>4950</v>
      </c>
      <c r="C1512" s="81" t="s">
        <v>4086</v>
      </c>
      <c r="D1512" s="83" t="s">
        <v>4814</v>
      </c>
      <c r="E1512" s="81" t="s">
        <v>3879</v>
      </c>
      <c r="F1512" s="84">
        <v>754.0</v>
      </c>
      <c r="G1512" s="81" t="s">
        <v>40</v>
      </c>
      <c r="H1512" s="81" t="s">
        <v>6259</v>
      </c>
      <c r="I1512" s="81" t="s">
        <v>3881</v>
      </c>
      <c r="J1512" s="81" t="s">
        <v>224</v>
      </c>
    </row>
    <row r="1513" hidden="1">
      <c r="A1513" s="83" t="s">
        <v>4949</v>
      </c>
      <c r="B1513" s="83" t="s">
        <v>4950</v>
      </c>
      <c r="C1513" s="81" t="s">
        <v>5141</v>
      </c>
      <c r="D1513" s="83" t="s">
        <v>4814</v>
      </c>
      <c r="E1513" s="81" t="s">
        <v>3879</v>
      </c>
      <c r="F1513" s="84">
        <v>754.0</v>
      </c>
      <c r="G1513" s="81" t="s">
        <v>43</v>
      </c>
      <c r="H1513" s="81" t="s">
        <v>49</v>
      </c>
      <c r="I1513" s="81" t="s">
        <v>224</v>
      </c>
      <c r="J1513" s="81" t="s">
        <v>5143</v>
      </c>
    </row>
    <row r="1514" hidden="1">
      <c r="A1514" s="83" t="s">
        <v>4949</v>
      </c>
      <c r="B1514" s="83" t="s">
        <v>4950</v>
      </c>
      <c r="C1514" s="81" t="s">
        <v>4086</v>
      </c>
      <c r="D1514" s="83" t="s">
        <v>4815</v>
      </c>
      <c r="E1514" s="81" t="s">
        <v>3882</v>
      </c>
      <c r="F1514" s="84">
        <v>755.0</v>
      </c>
      <c r="G1514" s="81" t="s">
        <v>40</v>
      </c>
      <c r="H1514" s="81" t="s">
        <v>6260</v>
      </c>
      <c r="I1514" s="81" t="s">
        <v>3884</v>
      </c>
      <c r="J1514" s="81" t="s">
        <v>224</v>
      </c>
    </row>
    <row r="1515" hidden="1">
      <c r="A1515" s="83" t="s">
        <v>4949</v>
      </c>
      <c r="B1515" s="83" t="s">
        <v>4950</v>
      </c>
      <c r="C1515" s="81" t="s">
        <v>5141</v>
      </c>
      <c r="D1515" s="83" t="s">
        <v>4815</v>
      </c>
      <c r="E1515" s="81" t="s">
        <v>3882</v>
      </c>
      <c r="F1515" s="84">
        <v>755.0</v>
      </c>
      <c r="G1515" s="81" t="s">
        <v>43</v>
      </c>
      <c r="H1515" s="81" t="s">
        <v>49</v>
      </c>
      <c r="I1515" s="81" t="s">
        <v>224</v>
      </c>
      <c r="J1515" s="81" t="s">
        <v>5143</v>
      </c>
    </row>
    <row r="1516" hidden="1">
      <c r="A1516" s="83" t="s">
        <v>4949</v>
      </c>
      <c r="B1516" s="83" t="s">
        <v>4950</v>
      </c>
      <c r="C1516" s="81" t="s">
        <v>4086</v>
      </c>
      <c r="D1516" s="83" t="s">
        <v>4816</v>
      </c>
      <c r="E1516" s="81" t="s">
        <v>3885</v>
      </c>
      <c r="F1516" s="84">
        <v>756.0</v>
      </c>
      <c r="G1516" s="81" t="s">
        <v>40</v>
      </c>
      <c r="H1516" s="81" t="s">
        <v>6261</v>
      </c>
      <c r="I1516" s="81" t="s">
        <v>3890</v>
      </c>
      <c r="J1516" s="81" t="s">
        <v>224</v>
      </c>
    </row>
    <row r="1517" hidden="1">
      <c r="A1517" s="83" t="s">
        <v>4949</v>
      </c>
      <c r="B1517" s="83" t="s">
        <v>4950</v>
      </c>
      <c r="C1517" s="81" t="s">
        <v>5141</v>
      </c>
      <c r="D1517" s="83" t="s">
        <v>4816</v>
      </c>
      <c r="E1517" s="81" t="s">
        <v>3885</v>
      </c>
      <c r="F1517" s="84">
        <v>756.0</v>
      </c>
      <c r="G1517" s="81" t="s">
        <v>43</v>
      </c>
      <c r="H1517" s="81" t="s">
        <v>3892</v>
      </c>
      <c r="I1517" s="81" t="s">
        <v>224</v>
      </c>
      <c r="J1517" s="81" t="s">
        <v>5143</v>
      </c>
    </row>
    <row r="1518" hidden="1">
      <c r="A1518" s="83" t="s">
        <v>4949</v>
      </c>
      <c r="B1518" s="83" t="s">
        <v>4950</v>
      </c>
      <c r="C1518" s="81" t="s">
        <v>4086</v>
      </c>
      <c r="D1518" s="83" t="s">
        <v>4816</v>
      </c>
      <c r="E1518" s="81" t="s">
        <v>3895</v>
      </c>
      <c r="F1518" s="84">
        <v>757.0</v>
      </c>
      <c r="G1518" s="81" t="s">
        <v>40</v>
      </c>
      <c r="H1518" s="81" t="s">
        <v>6261</v>
      </c>
      <c r="I1518" s="81" t="s">
        <v>3890</v>
      </c>
      <c r="J1518" s="81" t="s">
        <v>224</v>
      </c>
    </row>
    <row r="1519" hidden="1">
      <c r="A1519" s="83" t="s">
        <v>4949</v>
      </c>
      <c r="B1519" s="83" t="s">
        <v>4950</v>
      </c>
      <c r="C1519" s="81" t="s">
        <v>5141</v>
      </c>
      <c r="D1519" s="83" t="s">
        <v>4816</v>
      </c>
      <c r="E1519" s="81" t="s">
        <v>3895</v>
      </c>
      <c r="F1519" s="84">
        <v>757.0</v>
      </c>
      <c r="G1519" s="81" t="s">
        <v>43</v>
      </c>
      <c r="H1519" s="81" t="s">
        <v>3892</v>
      </c>
      <c r="I1519" s="81" t="s">
        <v>224</v>
      </c>
      <c r="J1519" s="81" t="s">
        <v>5143</v>
      </c>
    </row>
    <row r="1520" hidden="1">
      <c r="A1520" s="83" t="s">
        <v>4949</v>
      </c>
      <c r="B1520" s="83" t="s">
        <v>4950</v>
      </c>
      <c r="C1520" s="81" t="s">
        <v>4086</v>
      </c>
      <c r="D1520" s="83" t="s">
        <v>4818</v>
      </c>
      <c r="E1520" s="81" t="s">
        <v>3896</v>
      </c>
      <c r="F1520" s="84">
        <v>758.0</v>
      </c>
      <c r="G1520" s="81" t="s">
        <v>39</v>
      </c>
      <c r="H1520" s="81" t="s">
        <v>6262</v>
      </c>
      <c r="I1520" s="81" t="s">
        <v>3897</v>
      </c>
      <c r="J1520" s="81" t="s">
        <v>224</v>
      </c>
    </row>
    <row r="1521" hidden="1">
      <c r="A1521" s="83" t="s">
        <v>4949</v>
      </c>
      <c r="B1521" s="83" t="s">
        <v>4950</v>
      </c>
      <c r="C1521" s="81" t="s">
        <v>4086</v>
      </c>
      <c r="D1521" s="83" t="s">
        <v>4818</v>
      </c>
      <c r="E1521" s="81" t="s">
        <v>3896</v>
      </c>
      <c r="F1521" s="84">
        <v>758.0</v>
      </c>
      <c r="G1521" s="81" t="s">
        <v>40</v>
      </c>
      <c r="H1521" s="81" t="s">
        <v>6263</v>
      </c>
      <c r="I1521" s="81" t="s">
        <v>6264</v>
      </c>
      <c r="J1521" s="81" t="s">
        <v>224</v>
      </c>
    </row>
    <row r="1522" hidden="1">
      <c r="A1522" s="83" t="s">
        <v>4949</v>
      </c>
      <c r="B1522" s="83" t="s">
        <v>4950</v>
      </c>
      <c r="C1522" s="81" t="s">
        <v>5141</v>
      </c>
      <c r="D1522" s="83" t="s">
        <v>4818</v>
      </c>
      <c r="E1522" s="81" t="s">
        <v>3896</v>
      </c>
      <c r="F1522" s="84">
        <v>758.0</v>
      </c>
      <c r="G1522" s="81" t="s">
        <v>43</v>
      </c>
      <c r="H1522" s="81" t="s">
        <v>3892</v>
      </c>
      <c r="I1522" s="81" t="s">
        <v>224</v>
      </c>
      <c r="J1522" s="81" t="s">
        <v>5143</v>
      </c>
    </row>
    <row r="1523" hidden="1">
      <c r="A1523" s="83" t="s">
        <v>4949</v>
      </c>
      <c r="B1523" s="83" t="s">
        <v>4950</v>
      </c>
      <c r="C1523" s="81" t="s">
        <v>4086</v>
      </c>
      <c r="D1523" s="83" t="s">
        <v>4776</v>
      </c>
      <c r="E1523" s="81" t="s">
        <v>3899</v>
      </c>
      <c r="F1523" s="84">
        <v>759.0</v>
      </c>
      <c r="G1523" s="81" t="s">
        <v>39</v>
      </c>
      <c r="H1523" s="81" t="s">
        <v>6205</v>
      </c>
      <c r="I1523" s="81" t="s">
        <v>3714</v>
      </c>
      <c r="J1523" s="81" t="s">
        <v>224</v>
      </c>
    </row>
    <row r="1524" hidden="1">
      <c r="A1524" s="83" t="s">
        <v>4949</v>
      </c>
      <c r="B1524" s="83" t="s">
        <v>4950</v>
      </c>
      <c r="C1524" s="81" t="s">
        <v>4086</v>
      </c>
      <c r="D1524" s="83" t="s">
        <v>4776</v>
      </c>
      <c r="E1524" s="81" t="s">
        <v>3899</v>
      </c>
      <c r="F1524" s="84">
        <v>759.0</v>
      </c>
      <c r="G1524" s="81" t="s">
        <v>40</v>
      </c>
      <c r="H1524" s="81" t="s">
        <v>6206</v>
      </c>
      <c r="I1524" s="81" t="s">
        <v>6207</v>
      </c>
      <c r="J1524" s="81" t="s">
        <v>224</v>
      </c>
    </row>
    <row r="1525" hidden="1">
      <c r="A1525" s="83" t="s">
        <v>4949</v>
      </c>
      <c r="B1525" s="83" t="s">
        <v>4950</v>
      </c>
      <c r="C1525" s="81" t="s">
        <v>5141</v>
      </c>
      <c r="D1525" s="83" t="s">
        <v>4776</v>
      </c>
      <c r="E1525" s="81" t="s">
        <v>3899</v>
      </c>
      <c r="F1525" s="84">
        <v>759.0</v>
      </c>
      <c r="G1525" s="81" t="s">
        <v>43</v>
      </c>
      <c r="H1525" s="81" t="s">
        <v>6195</v>
      </c>
      <c r="I1525" s="81" t="s">
        <v>224</v>
      </c>
      <c r="J1525" s="81" t="s">
        <v>5143</v>
      </c>
    </row>
    <row r="1526" hidden="1">
      <c r="A1526" s="83" t="s">
        <v>4949</v>
      </c>
      <c r="B1526" s="83" t="s">
        <v>4950</v>
      </c>
      <c r="C1526" s="81" t="s">
        <v>4086</v>
      </c>
      <c r="D1526" s="83" t="s">
        <v>4819</v>
      </c>
      <c r="E1526" s="81" t="s">
        <v>3900</v>
      </c>
      <c r="F1526" s="84">
        <v>760.0</v>
      </c>
      <c r="G1526" s="81" t="s">
        <v>39</v>
      </c>
      <c r="H1526" s="81" t="s">
        <v>6265</v>
      </c>
      <c r="I1526" s="81" t="s">
        <v>3901</v>
      </c>
      <c r="J1526" s="81" t="s">
        <v>224</v>
      </c>
    </row>
    <row r="1527" hidden="1">
      <c r="A1527" s="83" t="s">
        <v>4949</v>
      </c>
      <c r="B1527" s="83" t="s">
        <v>4950</v>
      </c>
      <c r="C1527" s="81" t="s">
        <v>4086</v>
      </c>
      <c r="D1527" s="83" t="s">
        <v>4819</v>
      </c>
      <c r="E1527" s="81" t="s">
        <v>3900</v>
      </c>
      <c r="F1527" s="84">
        <v>760.0</v>
      </c>
      <c r="G1527" s="81" t="s">
        <v>40</v>
      </c>
      <c r="H1527" s="81" t="s">
        <v>6266</v>
      </c>
      <c r="I1527" s="81" t="s">
        <v>6267</v>
      </c>
      <c r="J1527" s="81" t="s">
        <v>224</v>
      </c>
    </row>
    <row r="1528" hidden="1">
      <c r="A1528" s="83" t="s">
        <v>4949</v>
      </c>
      <c r="B1528" s="83" t="s">
        <v>4950</v>
      </c>
      <c r="C1528" s="81" t="s">
        <v>5141</v>
      </c>
      <c r="D1528" s="83" t="s">
        <v>4819</v>
      </c>
      <c r="E1528" s="81" t="s">
        <v>3900</v>
      </c>
      <c r="F1528" s="84">
        <v>760.0</v>
      </c>
      <c r="G1528" s="81" t="s">
        <v>43</v>
      </c>
      <c r="H1528" s="81" t="s">
        <v>6195</v>
      </c>
      <c r="I1528" s="81" t="s">
        <v>224</v>
      </c>
      <c r="J1528" s="81" t="s">
        <v>5143</v>
      </c>
    </row>
    <row r="1529" hidden="1">
      <c r="A1529" s="83" t="s">
        <v>4949</v>
      </c>
      <c r="B1529" s="83" t="s">
        <v>4950</v>
      </c>
      <c r="C1529" s="81" t="s">
        <v>4086</v>
      </c>
      <c r="D1529" s="83" t="s">
        <v>4820</v>
      </c>
      <c r="E1529" s="81" t="s">
        <v>3903</v>
      </c>
      <c r="F1529" s="84">
        <v>761.0</v>
      </c>
      <c r="G1529" s="81" t="s">
        <v>40</v>
      </c>
      <c r="H1529" s="81" t="s">
        <v>49</v>
      </c>
      <c r="I1529" s="81" t="s">
        <v>3905</v>
      </c>
      <c r="J1529" s="81" t="s">
        <v>224</v>
      </c>
    </row>
    <row r="1530" hidden="1">
      <c r="A1530" s="83" t="s">
        <v>4949</v>
      </c>
      <c r="B1530" s="83" t="s">
        <v>4950</v>
      </c>
      <c r="C1530" s="81" t="s">
        <v>5141</v>
      </c>
      <c r="D1530" s="83" t="s">
        <v>4820</v>
      </c>
      <c r="E1530" s="81" t="s">
        <v>3903</v>
      </c>
      <c r="F1530" s="84">
        <v>761.0</v>
      </c>
      <c r="G1530" s="81" t="s">
        <v>43</v>
      </c>
      <c r="H1530" s="81" t="s">
        <v>49</v>
      </c>
      <c r="I1530" s="81" t="s">
        <v>224</v>
      </c>
      <c r="J1530" s="81" t="s">
        <v>5143</v>
      </c>
    </row>
    <row r="1531" hidden="1">
      <c r="A1531" s="83" t="s">
        <v>4949</v>
      </c>
      <c r="B1531" s="83" t="s">
        <v>4950</v>
      </c>
      <c r="C1531" s="81" t="s">
        <v>4086</v>
      </c>
      <c r="D1531" s="83" t="s">
        <v>4821</v>
      </c>
      <c r="E1531" s="81" t="s">
        <v>3906</v>
      </c>
      <c r="F1531" s="84">
        <v>762.0</v>
      </c>
      <c r="G1531" s="81" t="s">
        <v>40</v>
      </c>
      <c r="H1531" s="81" t="s">
        <v>49</v>
      </c>
      <c r="I1531" s="81" t="s">
        <v>3908</v>
      </c>
      <c r="J1531" s="81" t="s">
        <v>224</v>
      </c>
    </row>
    <row r="1532" hidden="1">
      <c r="A1532" s="83" t="s">
        <v>4949</v>
      </c>
      <c r="B1532" s="83" t="s">
        <v>4950</v>
      </c>
      <c r="C1532" s="81" t="s">
        <v>5141</v>
      </c>
      <c r="D1532" s="83" t="s">
        <v>4821</v>
      </c>
      <c r="E1532" s="81" t="s">
        <v>3906</v>
      </c>
      <c r="F1532" s="84">
        <v>762.0</v>
      </c>
      <c r="G1532" s="81" t="s">
        <v>43</v>
      </c>
      <c r="H1532" s="81" t="s">
        <v>49</v>
      </c>
      <c r="I1532" s="81" t="s">
        <v>224</v>
      </c>
      <c r="J1532" s="81" t="s">
        <v>5143</v>
      </c>
    </row>
    <row r="1533" hidden="1">
      <c r="A1533" s="83" t="s">
        <v>4949</v>
      </c>
      <c r="B1533" s="83" t="s">
        <v>4950</v>
      </c>
      <c r="C1533" s="81" t="s">
        <v>4086</v>
      </c>
      <c r="D1533" s="83" t="s">
        <v>4822</v>
      </c>
      <c r="E1533" s="81" t="s">
        <v>3909</v>
      </c>
      <c r="F1533" s="84">
        <v>763.0</v>
      </c>
      <c r="G1533" s="81" t="s">
        <v>39</v>
      </c>
      <c r="H1533" s="81" t="s">
        <v>6268</v>
      </c>
      <c r="I1533" s="81" t="s">
        <v>3912</v>
      </c>
      <c r="J1533" s="81" t="s">
        <v>224</v>
      </c>
    </row>
    <row r="1534" hidden="1">
      <c r="A1534" s="83" t="s">
        <v>4949</v>
      </c>
      <c r="B1534" s="83" t="s">
        <v>4950</v>
      </c>
      <c r="C1534" s="81" t="s">
        <v>4086</v>
      </c>
      <c r="D1534" s="83" t="s">
        <v>4822</v>
      </c>
      <c r="E1534" s="81" t="s">
        <v>3909</v>
      </c>
      <c r="F1534" s="84">
        <v>763.0</v>
      </c>
      <c r="G1534" s="81" t="s">
        <v>40</v>
      </c>
      <c r="H1534" s="81" t="s">
        <v>6269</v>
      </c>
      <c r="I1534" s="81" t="s">
        <v>3913</v>
      </c>
      <c r="J1534" s="81" t="s">
        <v>224</v>
      </c>
    </row>
    <row r="1535" hidden="1">
      <c r="A1535" s="83" t="s">
        <v>4949</v>
      </c>
      <c r="B1535" s="83" t="s">
        <v>4950</v>
      </c>
      <c r="C1535" s="81" t="s">
        <v>5141</v>
      </c>
      <c r="D1535" s="83" t="s">
        <v>4822</v>
      </c>
      <c r="E1535" s="81" t="s">
        <v>3909</v>
      </c>
      <c r="F1535" s="84">
        <v>763.0</v>
      </c>
      <c r="G1535" s="81" t="s">
        <v>43</v>
      </c>
      <c r="H1535" s="81" t="s">
        <v>6270</v>
      </c>
      <c r="I1535" s="81" t="s">
        <v>224</v>
      </c>
      <c r="J1535" s="81" t="s">
        <v>5143</v>
      </c>
    </row>
    <row r="1536" hidden="1">
      <c r="A1536" s="83" t="s">
        <v>4949</v>
      </c>
      <c r="B1536" s="83" t="s">
        <v>4950</v>
      </c>
      <c r="C1536" s="81" t="s">
        <v>4086</v>
      </c>
      <c r="D1536" s="83" t="s">
        <v>4822</v>
      </c>
      <c r="E1536" s="81" t="s">
        <v>3916</v>
      </c>
      <c r="F1536" s="84">
        <v>764.0</v>
      </c>
      <c r="G1536" s="81" t="s">
        <v>39</v>
      </c>
      <c r="H1536" s="81" t="s">
        <v>6268</v>
      </c>
      <c r="I1536" s="81" t="s">
        <v>3912</v>
      </c>
      <c r="J1536" s="81" t="s">
        <v>224</v>
      </c>
    </row>
    <row r="1537" hidden="1">
      <c r="A1537" s="83" t="s">
        <v>4949</v>
      </c>
      <c r="B1537" s="83" t="s">
        <v>4950</v>
      </c>
      <c r="C1537" s="81" t="s">
        <v>4086</v>
      </c>
      <c r="D1537" s="83" t="s">
        <v>4822</v>
      </c>
      <c r="E1537" s="81" t="s">
        <v>3916</v>
      </c>
      <c r="F1537" s="84">
        <v>764.0</v>
      </c>
      <c r="G1537" s="81" t="s">
        <v>40</v>
      </c>
      <c r="H1537" s="81" t="s">
        <v>6269</v>
      </c>
      <c r="I1537" s="81" t="s">
        <v>3913</v>
      </c>
      <c r="J1537" s="81" t="s">
        <v>224</v>
      </c>
    </row>
    <row r="1538" hidden="1">
      <c r="A1538" s="83" t="s">
        <v>4949</v>
      </c>
      <c r="B1538" s="83" t="s">
        <v>4950</v>
      </c>
      <c r="C1538" s="81" t="s">
        <v>5141</v>
      </c>
      <c r="D1538" s="83" t="s">
        <v>4822</v>
      </c>
      <c r="E1538" s="81" t="s">
        <v>3916</v>
      </c>
      <c r="F1538" s="84">
        <v>764.0</v>
      </c>
      <c r="G1538" s="81" t="s">
        <v>43</v>
      </c>
      <c r="H1538" s="81" t="s">
        <v>6270</v>
      </c>
      <c r="I1538" s="81" t="s">
        <v>224</v>
      </c>
      <c r="J1538" s="81" t="s">
        <v>5143</v>
      </c>
    </row>
    <row r="1539" hidden="1">
      <c r="A1539" s="83" t="s">
        <v>4949</v>
      </c>
      <c r="B1539" s="83" t="s">
        <v>4950</v>
      </c>
      <c r="C1539" s="81" t="s">
        <v>4086</v>
      </c>
      <c r="D1539" s="83" t="s">
        <v>4823</v>
      </c>
      <c r="E1539" s="81" t="s">
        <v>3917</v>
      </c>
      <c r="F1539" s="84">
        <v>765.0</v>
      </c>
      <c r="G1539" s="81" t="s">
        <v>39</v>
      </c>
      <c r="H1539" s="81" t="s">
        <v>6271</v>
      </c>
      <c r="I1539" s="81" t="s">
        <v>3918</v>
      </c>
      <c r="J1539" s="81" t="s">
        <v>224</v>
      </c>
    </row>
    <row r="1540" hidden="1">
      <c r="A1540" s="83" t="s">
        <v>4949</v>
      </c>
      <c r="B1540" s="83" t="s">
        <v>4950</v>
      </c>
      <c r="C1540" s="81" t="s">
        <v>4086</v>
      </c>
      <c r="D1540" s="83" t="s">
        <v>4823</v>
      </c>
      <c r="E1540" s="81" t="s">
        <v>3917</v>
      </c>
      <c r="F1540" s="84">
        <v>765.0</v>
      </c>
      <c r="G1540" s="81" t="s">
        <v>40</v>
      </c>
      <c r="H1540" s="81" t="s">
        <v>6272</v>
      </c>
      <c r="I1540" s="81" t="s">
        <v>6273</v>
      </c>
      <c r="J1540" s="81" t="s">
        <v>224</v>
      </c>
    </row>
    <row r="1541" hidden="1">
      <c r="A1541" s="83" t="s">
        <v>4949</v>
      </c>
      <c r="B1541" s="83" t="s">
        <v>4950</v>
      </c>
      <c r="C1541" s="81" t="s">
        <v>5141</v>
      </c>
      <c r="D1541" s="83" t="s">
        <v>4823</v>
      </c>
      <c r="E1541" s="81" t="s">
        <v>3917</v>
      </c>
      <c r="F1541" s="84">
        <v>765.0</v>
      </c>
      <c r="G1541" s="81" t="s">
        <v>43</v>
      </c>
      <c r="H1541" s="81" t="s">
        <v>6270</v>
      </c>
      <c r="I1541" s="81" t="s">
        <v>224</v>
      </c>
      <c r="J1541" s="81" t="s">
        <v>5143</v>
      </c>
    </row>
    <row r="1542" hidden="1">
      <c r="A1542" s="83" t="s">
        <v>4949</v>
      </c>
      <c r="B1542" s="83" t="s">
        <v>4950</v>
      </c>
      <c r="C1542" s="81" t="s">
        <v>4086</v>
      </c>
      <c r="D1542" s="83" t="s">
        <v>4824</v>
      </c>
      <c r="E1542" s="81" t="s">
        <v>3920</v>
      </c>
      <c r="F1542" s="84">
        <v>766.0</v>
      </c>
      <c r="G1542" s="81" t="s">
        <v>39</v>
      </c>
      <c r="H1542" s="81" t="s">
        <v>6274</v>
      </c>
      <c r="I1542" s="81" t="s">
        <v>3921</v>
      </c>
      <c r="J1542" s="81" t="s">
        <v>224</v>
      </c>
    </row>
    <row r="1543" hidden="1">
      <c r="A1543" s="83" t="s">
        <v>4949</v>
      </c>
      <c r="B1543" s="83" t="s">
        <v>4950</v>
      </c>
      <c r="C1543" s="81" t="s">
        <v>4086</v>
      </c>
      <c r="D1543" s="83" t="s">
        <v>4824</v>
      </c>
      <c r="E1543" s="81" t="s">
        <v>3920</v>
      </c>
      <c r="F1543" s="84">
        <v>766.0</v>
      </c>
      <c r="G1543" s="81" t="s">
        <v>40</v>
      </c>
      <c r="H1543" s="81" t="s">
        <v>6275</v>
      </c>
      <c r="I1543" s="81" t="s">
        <v>6276</v>
      </c>
      <c r="J1543" s="81" t="s">
        <v>224</v>
      </c>
    </row>
    <row r="1544" hidden="1">
      <c r="A1544" s="83" t="s">
        <v>4949</v>
      </c>
      <c r="B1544" s="83" t="s">
        <v>4950</v>
      </c>
      <c r="C1544" s="81" t="s">
        <v>5141</v>
      </c>
      <c r="D1544" s="83" t="s">
        <v>4824</v>
      </c>
      <c r="E1544" s="81" t="s">
        <v>3920</v>
      </c>
      <c r="F1544" s="84">
        <v>766.0</v>
      </c>
      <c r="G1544" s="81" t="s">
        <v>43</v>
      </c>
      <c r="H1544" s="81" t="s">
        <v>6270</v>
      </c>
      <c r="I1544" s="81" t="s">
        <v>224</v>
      </c>
      <c r="J1544" s="81" t="s">
        <v>5143</v>
      </c>
    </row>
    <row r="1545" hidden="1">
      <c r="A1545" s="83" t="s">
        <v>4949</v>
      </c>
      <c r="B1545" s="83" t="s">
        <v>4950</v>
      </c>
      <c r="C1545" s="81" t="s">
        <v>4086</v>
      </c>
      <c r="D1545" s="83" t="s">
        <v>4825</v>
      </c>
      <c r="E1545" s="81" t="s">
        <v>3923</v>
      </c>
      <c r="F1545" s="84">
        <v>767.0</v>
      </c>
      <c r="G1545" s="81" t="s">
        <v>39</v>
      </c>
      <c r="H1545" s="81" t="s">
        <v>6277</v>
      </c>
      <c r="I1545" s="81" t="s">
        <v>3924</v>
      </c>
      <c r="J1545" s="81" t="s">
        <v>224</v>
      </c>
    </row>
    <row r="1546" hidden="1">
      <c r="A1546" s="83" t="s">
        <v>4949</v>
      </c>
      <c r="B1546" s="83" t="s">
        <v>4950</v>
      </c>
      <c r="C1546" s="81" t="s">
        <v>4086</v>
      </c>
      <c r="D1546" s="83" t="s">
        <v>4825</v>
      </c>
      <c r="E1546" s="81" t="s">
        <v>3923</v>
      </c>
      <c r="F1546" s="84">
        <v>767.0</v>
      </c>
      <c r="G1546" s="81" t="s">
        <v>40</v>
      </c>
      <c r="H1546" s="81" t="s">
        <v>6278</v>
      </c>
      <c r="I1546" s="81" t="s">
        <v>3925</v>
      </c>
      <c r="J1546" s="81" t="s">
        <v>224</v>
      </c>
    </row>
    <row r="1547" hidden="1">
      <c r="A1547" s="83" t="s">
        <v>4949</v>
      </c>
      <c r="B1547" s="83" t="s">
        <v>4950</v>
      </c>
      <c r="C1547" s="81" t="s">
        <v>5141</v>
      </c>
      <c r="D1547" s="83" t="s">
        <v>4825</v>
      </c>
      <c r="E1547" s="81" t="s">
        <v>3923</v>
      </c>
      <c r="F1547" s="84">
        <v>767.0</v>
      </c>
      <c r="G1547" s="81" t="s">
        <v>43</v>
      </c>
      <c r="H1547" s="81" t="s">
        <v>49</v>
      </c>
      <c r="I1547" s="81" t="s">
        <v>224</v>
      </c>
      <c r="J1547" s="81" t="s">
        <v>5143</v>
      </c>
    </row>
    <row r="1548" hidden="1">
      <c r="A1548" s="83" t="s">
        <v>4949</v>
      </c>
      <c r="B1548" s="83" t="s">
        <v>4950</v>
      </c>
      <c r="C1548" s="81" t="s">
        <v>4086</v>
      </c>
      <c r="D1548" s="83" t="s">
        <v>4826</v>
      </c>
      <c r="E1548" s="81" t="s">
        <v>3926</v>
      </c>
      <c r="F1548" s="84">
        <v>768.0</v>
      </c>
      <c r="G1548" s="81" t="s">
        <v>40</v>
      </c>
      <c r="H1548" s="81" t="s">
        <v>6279</v>
      </c>
      <c r="I1548" s="81" t="s">
        <v>3928</v>
      </c>
      <c r="J1548" s="81" t="s">
        <v>224</v>
      </c>
    </row>
    <row r="1549" hidden="1">
      <c r="A1549" s="83" t="s">
        <v>4949</v>
      </c>
      <c r="B1549" s="83" t="s">
        <v>4950</v>
      </c>
      <c r="C1549" s="81" t="s">
        <v>5141</v>
      </c>
      <c r="D1549" s="83" t="s">
        <v>4826</v>
      </c>
      <c r="E1549" s="81" t="s">
        <v>3926</v>
      </c>
      <c r="F1549" s="84">
        <v>768.0</v>
      </c>
      <c r="G1549" s="81" t="s">
        <v>43</v>
      </c>
      <c r="H1549" s="81" t="s">
        <v>49</v>
      </c>
      <c r="I1549" s="81" t="s">
        <v>224</v>
      </c>
      <c r="J1549" s="81" t="s">
        <v>5143</v>
      </c>
    </row>
    <row r="1550" hidden="1">
      <c r="A1550" s="83" t="s">
        <v>4949</v>
      </c>
      <c r="B1550" s="83" t="s">
        <v>4950</v>
      </c>
      <c r="C1550" s="81" t="s">
        <v>4086</v>
      </c>
      <c r="D1550" s="83" t="s">
        <v>4827</v>
      </c>
      <c r="E1550" s="81" t="s">
        <v>3929</v>
      </c>
      <c r="F1550" s="84">
        <v>769.0</v>
      </c>
      <c r="G1550" s="81" t="s">
        <v>40</v>
      </c>
      <c r="H1550" s="81" t="s">
        <v>6280</v>
      </c>
      <c r="I1550" s="81" t="s">
        <v>3931</v>
      </c>
      <c r="J1550" s="81" t="s">
        <v>224</v>
      </c>
    </row>
    <row r="1551" hidden="1">
      <c r="A1551" s="83" t="s">
        <v>4949</v>
      </c>
      <c r="B1551" s="83" t="s">
        <v>4950</v>
      </c>
      <c r="C1551" s="81" t="s">
        <v>5141</v>
      </c>
      <c r="D1551" s="83" t="s">
        <v>4827</v>
      </c>
      <c r="E1551" s="81" t="s">
        <v>3929</v>
      </c>
      <c r="F1551" s="84">
        <v>769.0</v>
      </c>
      <c r="G1551" s="81" t="s">
        <v>43</v>
      </c>
      <c r="H1551" s="81" t="s">
        <v>49</v>
      </c>
      <c r="I1551" s="81" t="s">
        <v>224</v>
      </c>
      <c r="J1551" s="81" t="s">
        <v>5143</v>
      </c>
    </row>
    <row r="1552" hidden="1">
      <c r="A1552" s="83" t="s">
        <v>4949</v>
      </c>
      <c r="B1552" s="83" t="s">
        <v>4950</v>
      </c>
      <c r="C1552" s="81" t="s">
        <v>4086</v>
      </c>
      <c r="D1552" s="83" t="s">
        <v>4828</v>
      </c>
      <c r="E1552" s="81" t="s">
        <v>3932</v>
      </c>
      <c r="F1552" s="84">
        <v>770.0</v>
      </c>
      <c r="G1552" s="81" t="s">
        <v>39</v>
      </c>
      <c r="H1552" s="81" t="s">
        <v>6281</v>
      </c>
      <c r="I1552" s="81" t="s">
        <v>3933</v>
      </c>
      <c r="J1552" s="81" t="s">
        <v>224</v>
      </c>
    </row>
    <row r="1553" hidden="1">
      <c r="A1553" s="83" t="s">
        <v>4949</v>
      </c>
      <c r="B1553" s="83" t="s">
        <v>4950</v>
      </c>
      <c r="C1553" s="81" t="s">
        <v>4086</v>
      </c>
      <c r="D1553" s="83" t="s">
        <v>4828</v>
      </c>
      <c r="E1553" s="81" t="s">
        <v>3932</v>
      </c>
      <c r="F1553" s="84">
        <v>770.0</v>
      </c>
      <c r="G1553" s="81" t="s">
        <v>40</v>
      </c>
      <c r="H1553" s="81" t="s">
        <v>6282</v>
      </c>
      <c r="I1553" s="81" t="s">
        <v>6283</v>
      </c>
      <c r="J1553" s="81" t="s">
        <v>224</v>
      </c>
    </row>
    <row r="1554" hidden="1">
      <c r="A1554" s="83" t="s">
        <v>4949</v>
      </c>
      <c r="B1554" s="83" t="s">
        <v>4950</v>
      </c>
      <c r="C1554" s="81" t="s">
        <v>5141</v>
      </c>
      <c r="D1554" s="83" t="s">
        <v>4828</v>
      </c>
      <c r="E1554" s="81" t="s">
        <v>3932</v>
      </c>
      <c r="F1554" s="84">
        <v>770.0</v>
      </c>
      <c r="G1554" s="81" t="s">
        <v>43</v>
      </c>
      <c r="H1554" s="81" t="s">
        <v>6270</v>
      </c>
      <c r="I1554" s="81" t="s">
        <v>224</v>
      </c>
      <c r="J1554" s="81" t="s">
        <v>5143</v>
      </c>
    </row>
    <row r="1555" hidden="1">
      <c r="A1555" s="83" t="s">
        <v>4949</v>
      </c>
      <c r="B1555" s="83" t="s">
        <v>4950</v>
      </c>
      <c r="C1555" s="81" t="s">
        <v>4086</v>
      </c>
      <c r="D1555" s="83" t="s">
        <v>4828</v>
      </c>
      <c r="E1555" s="81" t="s">
        <v>3935</v>
      </c>
      <c r="F1555" s="84">
        <v>771.0</v>
      </c>
      <c r="G1555" s="81" t="s">
        <v>39</v>
      </c>
      <c r="H1555" s="81" t="s">
        <v>6281</v>
      </c>
      <c r="I1555" s="81" t="s">
        <v>3933</v>
      </c>
      <c r="J1555" s="81" t="s">
        <v>224</v>
      </c>
    </row>
    <row r="1556" hidden="1">
      <c r="A1556" s="83" t="s">
        <v>4949</v>
      </c>
      <c r="B1556" s="83" t="s">
        <v>4950</v>
      </c>
      <c r="C1556" s="81" t="s">
        <v>4086</v>
      </c>
      <c r="D1556" s="83" t="s">
        <v>4828</v>
      </c>
      <c r="E1556" s="81" t="s">
        <v>3935</v>
      </c>
      <c r="F1556" s="84">
        <v>771.0</v>
      </c>
      <c r="G1556" s="81" t="s">
        <v>40</v>
      </c>
      <c r="H1556" s="81" t="s">
        <v>6282</v>
      </c>
      <c r="I1556" s="81" t="s">
        <v>6283</v>
      </c>
      <c r="J1556" s="81" t="s">
        <v>224</v>
      </c>
    </row>
    <row r="1557" hidden="1">
      <c r="A1557" s="83" t="s">
        <v>4949</v>
      </c>
      <c r="B1557" s="83" t="s">
        <v>4950</v>
      </c>
      <c r="C1557" s="81" t="s">
        <v>5141</v>
      </c>
      <c r="D1557" s="83" t="s">
        <v>4828</v>
      </c>
      <c r="E1557" s="81" t="s">
        <v>3935</v>
      </c>
      <c r="F1557" s="84">
        <v>771.0</v>
      </c>
      <c r="G1557" s="81" t="s">
        <v>43</v>
      </c>
      <c r="H1557" s="81" t="s">
        <v>6270</v>
      </c>
      <c r="I1557" s="81" t="s">
        <v>224</v>
      </c>
      <c r="J1557" s="81" t="s">
        <v>5143</v>
      </c>
    </row>
    <row r="1558" hidden="1">
      <c r="A1558" s="83" t="s">
        <v>4949</v>
      </c>
      <c r="B1558" s="83" t="s">
        <v>4950</v>
      </c>
      <c r="C1558" s="81" t="s">
        <v>4086</v>
      </c>
      <c r="D1558" s="83" t="s">
        <v>4829</v>
      </c>
      <c r="E1558" s="81" t="s">
        <v>3936</v>
      </c>
      <c r="F1558" s="84">
        <v>772.0</v>
      </c>
      <c r="G1558" s="81" t="s">
        <v>39</v>
      </c>
      <c r="H1558" s="81" t="s">
        <v>6284</v>
      </c>
      <c r="I1558" s="81" t="s">
        <v>3937</v>
      </c>
      <c r="J1558" s="81" t="s">
        <v>224</v>
      </c>
    </row>
    <row r="1559" hidden="1">
      <c r="A1559" s="83" t="s">
        <v>4949</v>
      </c>
      <c r="B1559" s="83" t="s">
        <v>4950</v>
      </c>
      <c r="C1559" s="81" t="s">
        <v>4086</v>
      </c>
      <c r="D1559" s="83" t="s">
        <v>4829</v>
      </c>
      <c r="E1559" s="81" t="s">
        <v>3936</v>
      </c>
      <c r="F1559" s="84">
        <v>772.0</v>
      </c>
      <c r="G1559" s="81" t="s">
        <v>40</v>
      </c>
      <c r="H1559" s="81" t="s">
        <v>6285</v>
      </c>
      <c r="I1559" s="81" t="s">
        <v>6286</v>
      </c>
      <c r="J1559" s="81" t="s">
        <v>224</v>
      </c>
    </row>
    <row r="1560" hidden="1">
      <c r="A1560" s="83" t="s">
        <v>4949</v>
      </c>
      <c r="B1560" s="83" t="s">
        <v>4950</v>
      </c>
      <c r="C1560" s="81" t="s">
        <v>5141</v>
      </c>
      <c r="D1560" s="83" t="s">
        <v>4829</v>
      </c>
      <c r="E1560" s="81" t="s">
        <v>3936</v>
      </c>
      <c r="F1560" s="84">
        <v>772.0</v>
      </c>
      <c r="G1560" s="81" t="s">
        <v>43</v>
      </c>
      <c r="H1560" s="81" t="s">
        <v>6270</v>
      </c>
      <c r="I1560" s="81" t="s">
        <v>224</v>
      </c>
      <c r="J1560" s="81" t="s">
        <v>5143</v>
      </c>
    </row>
    <row r="1561" hidden="1">
      <c r="A1561" s="83" t="s">
        <v>4949</v>
      </c>
      <c r="B1561" s="83" t="s">
        <v>4950</v>
      </c>
      <c r="C1561" s="81" t="s">
        <v>4086</v>
      </c>
      <c r="D1561" s="83" t="s">
        <v>4830</v>
      </c>
      <c r="E1561" s="81" t="s">
        <v>3939</v>
      </c>
      <c r="F1561" s="84">
        <v>773.0</v>
      </c>
      <c r="G1561" s="81" t="s">
        <v>40</v>
      </c>
      <c r="H1561" s="81" t="s">
        <v>6287</v>
      </c>
      <c r="I1561" s="81" t="s">
        <v>3941</v>
      </c>
      <c r="J1561" s="81" t="s">
        <v>224</v>
      </c>
    </row>
    <row r="1562" hidden="1">
      <c r="A1562" s="83" t="s">
        <v>4949</v>
      </c>
      <c r="B1562" s="83" t="s">
        <v>4950</v>
      </c>
      <c r="C1562" s="81" t="s">
        <v>5141</v>
      </c>
      <c r="D1562" s="83" t="s">
        <v>4830</v>
      </c>
      <c r="E1562" s="81" t="s">
        <v>3939</v>
      </c>
      <c r="F1562" s="84">
        <v>773.0</v>
      </c>
      <c r="G1562" s="81" t="s">
        <v>43</v>
      </c>
      <c r="H1562" s="81" t="s">
        <v>49</v>
      </c>
      <c r="I1562" s="81" t="s">
        <v>224</v>
      </c>
      <c r="J1562" s="81" t="s">
        <v>5143</v>
      </c>
    </row>
    <row r="1563" hidden="1">
      <c r="A1563" s="83" t="s">
        <v>4949</v>
      </c>
      <c r="B1563" s="83" t="s">
        <v>4950</v>
      </c>
      <c r="C1563" s="81" t="s">
        <v>4086</v>
      </c>
      <c r="D1563" s="83" t="s">
        <v>4831</v>
      </c>
      <c r="E1563" s="81" t="s">
        <v>3942</v>
      </c>
      <c r="F1563" s="84">
        <v>774.0</v>
      </c>
      <c r="G1563" s="81" t="s">
        <v>40</v>
      </c>
      <c r="H1563" s="81" t="s">
        <v>6288</v>
      </c>
      <c r="I1563" s="81" t="s">
        <v>3944</v>
      </c>
      <c r="J1563" s="81" t="s">
        <v>224</v>
      </c>
    </row>
    <row r="1564" hidden="1">
      <c r="A1564" s="83" t="s">
        <v>4949</v>
      </c>
      <c r="B1564" s="83" t="s">
        <v>4950</v>
      </c>
      <c r="C1564" s="81" t="s">
        <v>5141</v>
      </c>
      <c r="D1564" s="83" t="s">
        <v>4831</v>
      </c>
      <c r="E1564" s="81" t="s">
        <v>3942</v>
      </c>
      <c r="F1564" s="84">
        <v>774.0</v>
      </c>
      <c r="G1564" s="81" t="s">
        <v>43</v>
      </c>
      <c r="H1564" s="81" t="s">
        <v>49</v>
      </c>
      <c r="I1564" s="81" t="s">
        <v>224</v>
      </c>
      <c r="J1564" s="81" t="s">
        <v>5143</v>
      </c>
    </row>
    <row r="1565" hidden="1">
      <c r="A1565" s="83" t="s">
        <v>4949</v>
      </c>
      <c r="B1565" s="83" t="s">
        <v>4950</v>
      </c>
      <c r="C1565" s="81" t="s">
        <v>4086</v>
      </c>
      <c r="D1565" s="83" t="s">
        <v>4832</v>
      </c>
      <c r="E1565" s="81" t="s">
        <v>3945</v>
      </c>
      <c r="F1565" s="84">
        <v>775.0</v>
      </c>
      <c r="G1565" s="81" t="s">
        <v>39</v>
      </c>
      <c r="H1565" s="81" t="s">
        <v>6289</v>
      </c>
      <c r="I1565" s="81" t="s">
        <v>3949</v>
      </c>
      <c r="J1565" s="81" t="s">
        <v>224</v>
      </c>
    </row>
    <row r="1566" hidden="1">
      <c r="A1566" s="83" t="s">
        <v>4949</v>
      </c>
      <c r="B1566" s="83" t="s">
        <v>4950</v>
      </c>
      <c r="C1566" s="81" t="s">
        <v>4086</v>
      </c>
      <c r="D1566" s="83" t="s">
        <v>4832</v>
      </c>
      <c r="E1566" s="81" t="s">
        <v>3945</v>
      </c>
      <c r="F1566" s="84">
        <v>775.0</v>
      </c>
      <c r="G1566" s="81" t="s">
        <v>40</v>
      </c>
      <c r="H1566" s="81" t="s">
        <v>6290</v>
      </c>
      <c r="I1566" s="81" t="s">
        <v>3950</v>
      </c>
      <c r="J1566" s="81" t="s">
        <v>224</v>
      </c>
    </row>
    <row r="1567" hidden="1">
      <c r="A1567" s="83" t="s">
        <v>4949</v>
      </c>
      <c r="B1567" s="83" t="s">
        <v>4950</v>
      </c>
      <c r="C1567" s="81" t="s">
        <v>5141</v>
      </c>
      <c r="D1567" s="83" t="s">
        <v>4832</v>
      </c>
      <c r="E1567" s="81" t="s">
        <v>3945</v>
      </c>
      <c r="F1567" s="84">
        <v>775.0</v>
      </c>
      <c r="G1567" s="81" t="s">
        <v>43</v>
      </c>
      <c r="H1567" s="81" t="s">
        <v>6291</v>
      </c>
      <c r="I1567" s="81" t="s">
        <v>224</v>
      </c>
      <c r="J1567" s="81" t="s">
        <v>5143</v>
      </c>
    </row>
    <row r="1568" hidden="1">
      <c r="A1568" s="83" t="s">
        <v>4949</v>
      </c>
      <c r="B1568" s="83" t="s">
        <v>4950</v>
      </c>
      <c r="C1568" s="81" t="s">
        <v>4086</v>
      </c>
      <c r="D1568" s="83" t="s">
        <v>4832</v>
      </c>
      <c r="E1568" s="81" t="s">
        <v>3955</v>
      </c>
      <c r="F1568" s="84">
        <v>776.0</v>
      </c>
      <c r="G1568" s="81" t="s">
        <v>40</v>
      </c>
      <c r="H1568" s="81" t="s">
        <v>6292</v>
      </c>
      <c r="I1568" s="81" t="s">
        <v>3950</v>
      </c>
      <c r="J1568" s="81" t="s">
        <v>224</v>
      </c>
    </row>
    <row r="1569" hidden="1">
      <c r="A1569" s="83" t="s">
        <v>4949</v>
      </c>
      <c r="B1569" s="83" t="s">
        <v>4950</v>
      </c>
      <c r="C1569" s="81" t="s">
        <v>5141</v>
      </c>
      <c r="D1569" s="83" t="s">
        <v>4832</v>
      </c>
      <c r="E1569" s="81" t="s">
        <v>3955</v>
      </c>
      <c r="F1569" s="84">
        <v>776.0</v>
      </c>
      <c r="G1569" s="81" t="s">
        <v>43</v>
      </c>
      <c r="H1569" s="81" t="s">
        <v>6291</v>
      </c>
      <c r="I1569" s="81" t="s">
        <v>224</v>
      </c>
      <c r="J1569" s="81" t="s">
        <v>5143</v>
      </c>
    </row>
    <row r="1570" hidden="1">
      <c r="A1570" s="83" t="s">
        <v>4949</v>
      </c>
      <c r="B1570" s="83" t="s">
        <v>4950</v>
      </c>
      <c r="C1570" s="81" t="s">
        <v>4086</v>
      </c>
      <c r="D1570" s="83" t="s">
        <v>4833</v>
      </c>
      <c r="E1570" s="81" t="s">
        <v>3956</v>
      </c>
      <c r="F1570" s="84">
        <v>777.0</v>
      </c>
      <c r="G1570" s="81" t="s">
        <v>40</v>
      </c>
      <c r="H1570" s="81" t="s">
        <v>6293</v>
      </c>
      <c r="I1570" s="81" t="s">
        <v>6294</v>
      </c>
      <c r="J1570" s="81" t="s">
        <v>224</v>
      </c>
    </row>
    <row r="1571" hidden="1">
      <c r="A1571" s="83" t="s">
        <v>4949</v>
      </c>
      <c r="B1571" s="83" t="s">
        <v>4950</v>
      </c>
      <c r="C1571" s="81" t="s">
        <v>5141</v>
      </c>
      <c r="D1571" s="83" t="s">
        <v>4833</v>
      </c>
      <c r="E1571" s="81" t="s">
        <v>3956</v>
      </c>
      <c r="F1571" s="84">
        <v>777.0</v>
      </c>
      <c r="G1571" s="81" t="s">
        <v>43</v>
      </c>
      <c r="H1571" s="81" t="s">
        <v>6291</v>
      </c>
      <c r="I1571" s="81" t="s">
        <v>224</v>
      </c>
      <c r="J1571" s="81" t="s">
        <v>5143</v>
      </c>
    </row>
    <row r="1572" hidden="1">
      <c r="A1572" s="83" t="s">
        <v>4949</v>
      </c>
      <c r="B1572" s="83" t="s">
        <v>4950</v>
      </c>
      <c r="C1572" s="81" t="s">
        <v>4086</v>
      </c>
      <c r="D1572" s="83" t="s">
        <v>4834</v>
      </c>
      <c r="E1572" s="81" t="s">
        <v>3959</v>
      </c>
      <c r="F1572" s="84">
        <v>778.0</v>
      </c>
      <c r="G1572" s="81" t="s">
        <v>39</v>
      </c>
      <c r="H1572" s="81" t="s">
        <v>6295</v>
      </c>
      <c r="I1572" s="81" t="s">
        <v>3960</v>
      </c>
      <c r="J1572" s="81" t="s">
        <v>224</v>
      </c>
    </row>
    <row r="1573" hidden="1">
      <c r="A1573" s="83" t="s">
        <v>4949</v>
      </c>
      <c r="B1573" s="83" t="s">
        <v>4950</v>
      </c>
      <c r="C1573" s="81" t="s">
        <v>4086</v>
      </c>
      <c r="D1573" s="83" t="s">
        <v>4834</v>
      </c>
      <c r="E1573" s="81" t="s">
        <v>3959</v>
      </c>
      <c r="F1573" s="84">
        <v>778.0</v>
      </c>
      <c r="G1573" s="81" t="s">
        <v>40</v>
      </c>
      <c r="H1573" s="81" t="s">
        <v>6296</v>
      </c>
      <c r="I1573" s="81" t="s">
        <v>6297</v>
      </c>
      <c r="J1573" s="81" t="s">
        <v>224</v>
      </c>
    </row>
    <row r="1574" hidden="1">
      <c r="A1574" s="83" t="s">
        <v>4949</v>
      </c>
      <c r="B1574" s="83" t="s">
        <v>4950</v>
      </c>
      <c r="C1574" s="81" t="s">
        <v>5141</v>
      </c>
      <c r="D1574" s="83" t="s">
        <v>4834</v>
      </c>
      <c r="E1574" s="81" t="s">
        <v>3959</v>
      </c>
      <c r="F1574" s="84">
        <v>778.0</v>
      </c>
      <c r="G1574" s="81" t="s">
        <v>43</v>
      </c>
      <c r="H1574" s="81" t="s">
        <v>6291</v>
      </c>
      <c r="I1574" s="81" t="s">
        <v>224</v>
      </c>
      <c r="J1574" s="81" t="s">
        <v>5143</v>
      </c>
    </row>
    <row r="1575" hidden="1">
      <c r="A1575" s="83" t="s">
        <v>4949</v>
      </c>
      <c r="B1575" s="83" t="s">
        <v>4950</v>
      </c>
      <c r="C1575" s="81" t="s">
        <v>4086</v>
      </c>
      <c r="D1575" s="83" t="s">
        <v>4835</v>
      </c>
      <c r="E1575" s="81" t="s">
        <v>3962</v>
      </c>
      <c r="F1575" s="84">
        <v>779.0</v>
      </c>
      <c r="G1575" s="81" t="s">
        <v>40</v>
      </c>
      <c r="H1575" s="81" t="s">
        <v>6298</v>
      </c>
      <c r="I1575" s="81" t="s">
        <v>3964</v>
      </c>
      <c r="J1575" s="81" t="s">
        <v>224</v>
      </c>
    </row>
    <row r="1576" hidden="1">
      <c r="A1576" s="83" t="s">
        <v>4949</v>
      </c>
      <c r="B1576" s="83" t="s">
        <v>4950</v>
      </c>
      <c r="C1576" s="81" t="s">
        <v>5141</v>
      </c>
      <c r="D1576" s="83" t="s">
        <v>4835</v>
      </c>
      <c r="E1576" s="81" t="s">
        <v>3962</v>
      </c>
      <c r="F1576" s="84">
        <v>779.0</v>
      </c>
      <c r="G1576" s="81" t="s">
        <v>43</v>
      </c>
      <c r="H1576" s="81" t="s">
        <v>49</v>
      </c>
      <c r="I1576" s="81" t="s">
        <v>224</v>
      </c>
      <c r="J1576" s="81" t="s">
        <v>5143</v>
      </c>
    </row>
    <row r="1577" hidden="1">
      <c r="A1577" s="83" t="s">
        <v>4949</v>
      </c>
      <c r="B1577" s="83" t="s">
        <v>4950</v>
      </c>
      <c r="C1577" s="81" t="s">
        <v>4086</v>
      </c>
      <c r="D1577" s="83" t="s">
        <v>4836</v>
      </c>
      <c r="E1577" s="81" t="s">
        <v>3965</v>
      </c>
      <c r="F1577" s="84">
        <v>780.0</v>
      </c>
      <c r="G1577" s="81" t="s">
        <v>39</v>
      </c>
      <c r="H1577" s="81" t="s">
        <v>6299</v>
      </c>
      <c r="I1577" s="81" t="s">
        <v>3966</v>
      </c>
      <c r="J1577" s="81" t="s">
        <v>224</v>
      </c>
    </row>
    <row r="1578" hidden="1">
      <c r="A1578" s="83" t="s">
        <v>4949</v>
      </c>
      <c r="B1578" s="83" t="s">
        <v>4950</v>
      </c>
      <c r="C1578" s="81" t="s">
        <v>4086</v>
      </c>
      <c r="D1578" s="83" t="s">
        <v>4836</v>
      </c>
      <c r="E1578" s="81" t="s">
        <v>3965</v>
      </c>
      <c r="F1578" s="84">
        <v>780.0</v>
      </c>
      <c r="G1578" s="81" t="s">
        <v>40</v>
      </c>
      <c r="H1578" s="81" t="s">
        <v>49</v>
      </c>
      <c r="I1578" s="81" t="s">
        <v>3967</v>
      </c>
      <c r="J1578" s="81" t="s">
        <v>224</v>
      </c>
    </row>
    <row r="1579" hidden="1">
      <c r="A1579" s="83" t="s">
        <v>4949</v>
      </c>
      <c r="B1579" s="83" t="s">
        <v>4950</v>
      </c>
      <c r="C1579" s="81" t="s">
        <v>5141</v>
      </c>
      <c r="D1579" s="83" t="s">
        <v>4836</v>
      </c>
      <c r="E1579" s="81" t="s">
        <v>3965</v>
      </c>
      <c r="F1579" s="84">
        <v>780.0</v>
      </c>
      <c r="G1579" s="81" t="s">
        <v>43</v>
      </c>
      <c r="H1579" s="81" t="s">
        <v>49</v>
      </c>
      <c r="I1579" s="81" t="s">
        <v>224</v>
      </c>
      <c r="J1579" s="81" t="s">
        <v>5143</v>
      </c>
    </row>
    <row r="1580" hidden="1">
      <c r="A1580" s="83" t="s">
        <v>4949</v>
      </c>
      <c r="B1580" s="83" t="s">
        <v>4950</v>
      </c>
      <c r="C1580" s="81" t="s">
        <v>4086</v>
      </c>
      <c r="D1580" s="83" t="s">
        <v>4837</v>
      </c>
      <c r="E1580" s="81" t="s">
        <v>3968</v>
      </c>
      <c r="F1580" s="84">
        <v>781.0</v>
      </c>
      <c r="G1580" s="81" t="s">
        <v>39</v>
      </c>
      <c r="H1580" s="81" t="s">
        <v>6299</v>
      </c>
      <c r="I1580" s="81" t="s">
        <v>3969</v>
      </c>
      <c r="J1580" s="81" t="s">
        <v>224</v>
      </c>
    </row>
    <row r="1581" hidden="1">
      <c r="A1581" s="83" t="s">
        <v>4949</v>
      </c>
      <c r="B1581" s="83" t="s">
        <v>4950</v>
      </c>
      <c r="C1581" s="81" t="s">
        <v>4086</v>
      </c>
      <c r="D1581" s="83" t="s">
        <v>4837</v>
      </c>
      <c r="E1581" s="81" t="s">
        <v>3968</v>
      </c>
      <c r="F1581" s="84">
        <v>781.0</v>
      </c>
      <c r="G1581" s="81" t="s">
        <v>40</v>
      </c>
      <c r="H1581" s="81" t="s">
        <v>49</v>
      </c>
      <c r="I1581" s="81" t="s">
        <v>3970</v>
      </c>
      <c r="J1581" s="81" t="s">
        <v>224</v>
      </c>
    </row>
    <row r="1582" hidden="1">
      <c r="A1582" s="83" t="s">
        <v>4949</v>
      </c>
      <c r="B1582" s="83" t="s">
        <v>4950</v>
      </c>
      <c r="C1582" s="81" t="s">
        <v>5141</v>
      </c>
      <c r="D1582" s="83" t="s">
        <v>4837</v>
      </c>
      <c r="E1582" s="81" t="s">
        <v>3968</v>
      </c>
      <c r="F1582" s="84">
        <v>781.0</v>
      </c>
      <c r="G1582" s="81" t="s">
        <v>43</v>
      </c>
      <c r="H1582" s="81" t="s">
        <v>49</v>
      </c>
      <c r="I1582" s="81" t="s">
        <v>224</v>
      </c>
      <c r="J1582" s="81" t="s">
        <v>5143</v>
      </c>
    </row>
    <row r="1583" hidden="1">
      <c r="A1583" s="83" t="s">
        <v>4949</v>
      </c>
      <c r="B1583" s="83" t="s">
        <v>4950</v>
      </c>
      <c r="C1583" s="81" t="s">
        <v>4086</v>
      </c>
      <c r="D1583" s="83" t="s">
        <v>4838</v>
      </c>
      <c r="E1583" s="81" t="s">
        <v>3971</v>
      </c>
      <c r="F1583" s="84">
        <v>782.0</v>
      </c>
      <c r="G1583" s="81" t="s">
        <v>40</v>
      </c>
      <c r="H1583" s="81" t="s">
        <v>6300</v>
      </c>
      <c r="I1583" s="81" t="s">
        <v>3976</v>
      </c>
      <c r="J1583" s="81" t="s">
        <v>224</v>
      </c>
    </row>
    <row r="1584" hidden="1">
      <c r="A1584" s="83" t="s">
        <v>4949</v>
      </c>
      <c r="B1584" s="83" t="s">
        <v>4950</v>
      </c>
      <c r="C1584" s="81" t="s">
        <v>5141</v>
      </c>
      <c r="D1584" s="83" t="s">
        <v>4838</v>
      </c>
      <c r="E1584" s="81" t="s">
        <v>3971</v>
      </c>
      <c r="F1584" s="84">
        <v>782.0</v>
      </c>
      <c r="G1584" s="81" t="s">
        <v>43</v>
      </c>
      <c r="H1584" s="81" t="s">
        <v>6301</v>
      </c>
      <c r="I1584" s="81" t="s">
        <v>224</v>
      </c>
      <c r="J1584" s="81" t="s">
        <v>5143</v>
      </c>
    </row>
    <row r="1585" hidden="1">
      <c r="A1585" s="83" t="s">
        <v>4949</v>
      </c>
      <c r="B1585" s="83" t="s">
        <v>4950</v>
      </c>
      <c r="C1585" s="81" t="s">
        <v>4086</v>
      </c>
      <c r="D1585" s="83" t="s">
        <v>4838</v>
      </c>
      <c r="E1585" s="81" t="s">
        <v>3981</v>
      </c>
      <c r="F1585" s="84">
        <v>783.0</v>
      </c>
      <c r="G1585" s="81" t="s">
        <v>40</v>
      </c>
      <c r="H1585" s="81" t="s">
        <v>6300</v>
      </c>
      <c r="I1585" s="81" t="s">
        <v>3976</v>
      </c>
      <c r="J1585" s="81" t="s">
        <v>224</v>
      </c>
    </row>
    <row r="1586" hidden="1">
      <c r="A1586" s="83" t="s">
        <v>4949</v>
      </c>
      <c r="B1586" s="83" t="s">
        <v>4950</v>
      </c>
      <c r="C1586" s="81" t="s">
        <v>5141</v>
      </c>
      <c r="D1586" s="83" t="s">
        <v>4838</v>
      </c>
      <c r="E1586" s="81" t="s">
        <v>3981</v>
      </c>
      <c r="F1586" s="84">
        <v>783.0</v>
      </c>
      <c r="G1586" s="81" t="s">
        <v>43</v>
      </c>
      <c r="H1586" s="81" t="s">
        <v>6301</v>
      </c>
      <c r="I1586" s="81" t="s">
        <v>224</v>
      </c>
      <c r="J1586" s="81" t="s">
        <v>5143</v>
      </c>
    </row>
    <row r="1587" hidden="1">
      <c r="A1587" s="83" t="s">
        <v>4949</v>
      </c>
      <c r="B1587" s="83" t="s">
        <v>4950</v>
      </c>
      <c r="C1587" s="81" t="s">
        <v>4086</v>
      </c>
      <c r="D1587" s="83" t="s">
        <v>4839</v>
      </c>
      <c r="E1587" s="81" t="s">
        <v>3982</v>
      </c>
      <c r="F1587" s="84">
        <v>784.0</v>
      </c>
      <c r="G1587" s="81" t="s">
        <v>39</v>
      </c>
      <c r="H1587" s="81" t="s">
        <v>6302</v>
      </c>
      <c r="I1587" s="81" t="s">
        <v>3983</v>
      </c>
      <c r="J1587" s="81" t="s">
        <v>224</v>
      </c>
    </row>
    <row r="1588" hidden="1">
      <c r="A1588" s="83" t="s">
        <v>4949</v>
      </c>
      <c r="B1588" s="83" t="s">
        <v>4950</v>
      </c>
      <c r="C1588" s="81" t="s">
        <v>4086</v>
      </c>
      <c r="D1588" s="83" t="s">
        <v>4839</v>
      </c>
      <c r="E1588" s="81" t="s">
        <v>3982</v>
      </c>
      <c r="F1588" s="84">
        <v>784.0</v>
      </c>
      <c r="G1588" s="81" t="s">
        <v>40</v>
      </c>
      <c r="H1588" s="81" t="s">
        <v>6303</v>
      </c>
      <c r="I1588" s="81" t="s">
        <v>6304</v>
      </c>
      <c r="J1588" s="81" t="s">
        <v>224</v>
      </c>
    </row>
    <row r="1589" hidden="1">
      <c r="A1589" s="83" t="s">
        <v>4949</v>
      </c>
      <c r="B1589" s="83" t="s">
        <v>4950</v>
      </c>
      <c r="C1589" s="81" t="s">
        <v>5141</v>
      </c>
      <c r="D1589" s="83" t="s">
        <v>4839</v>
      </c>
      <c r="E1589" s="81" t="s">
        <v>3982</v>
      </c>
      <c r="F1589" s="84">
        <v>784.0</v>
      </c>
      <c r="G1589" s="81" t="s">
        <v>43</v>
      </c>
      <c r="H1589" s="81" t="s">
        <v>6301</v>
      </c>
      <c r="I1589" s="81" t="s">
        <v>224</v>
      </c>
      <c r="J1589" s="81" t="s">
        <v>5143</v>
      </c>
    </row>
    <row r="1590" hidden="1">
      <c r="A1590" s="83" t="s">
        <v>4949</v>
      </c>
      <c r="B1590" s="83" t="s">
        <v>4950</v>
      </c>
      <c r="C1590" s="81" t="s">
        <v>4086</v>
      </c>
      <c r="D1590" s="83" t="s">
        <v>4840</v>
      </c>
      <c r="E1590" s="81" t="s">
        <v>3985</v>
      </c>
      <c r="F1590" s="84">
        <v>785.0</v>
      </c>
      <c r="G1590" s="81" t="s">
        <v>39</v>
      </c>
      <c r="H1590" s="81" t="s">
        <v>6305</v>
      </c>
      <c r="I1590" s="81" t="s">
        <v>3986</v>
      </c>
      <c r="J1590" s="81" t="s">
        <v>224</v>
      </c>
    </row>
    <row r="1591" hidden="1">
      <c r="A1591" s="83" t="s">
        <v>4949</v>
      </c>
      <c r="B1591" s="83" t="s">
        <v>4950</v>
      </c>
      <c r="C1591" s="81" t="s">
        <v>4086</v>
      </c>
      <c r="D1591" s="83" t="s">
        <v>4840</v>
      </c>
      <c r="E1591" s="81" t="s">
        <v>3985</v>
      </c>
      <c r="F1591" s="84">
        <v>785.0</v>
      </c>
      <c r="G1591" s="81" t="s">
        <v>40</v>
      </c>
      <c r="H1591" s="81" t="s">
        <v>6306</v>
      </c>
      <c r="I1591" s="81" t="s">
        <v>6307</v>
      </c>
      <c r="J1591" s="81" t="s">
        <v>224</v>
      </c>
    </row>
    <row r="1592" hidden="1">
      <c r="A1592" s="83" t="s">
        <v>4949</v>
      </c>
      <c r="B1592" s="83" t="s">
        <v>4950</v>
      </c>
      <c r="C1592" s="81" t="s">
        <v>5141</v>
      </c>
      <c r="D1592" s="83" t="s">
        <v>4840</v>
      </c>
      <c r="E1592" s="81" t="s">
        <v>3985</v>
      </c>
      <c r="F1592" s="84">
        <v>785.0</v>
      </c>
      <c r="G1592" s="81" t="s">
        <v>43</v>
      </c>
      <c r="H1592" s="81" t="s">
        <v>6301</v>
      </c>
      <c r="I1592" s="81" t="s">
        <v>224</v>
      </c>
      <c r="J1592" s="81" t="s">
        <v>5143</v>
      </c>
    </row>
    <row r="1593" hidden="1">
      <c r="A1593" s="83" t="s">
        <v>4949</v>
      </c>
      <c r="B1593" s="83" t="s">
        <v>4950</v>
      </c>
      <c r="C1593" s="81" t="s">
        <v>4086</v>
      </c>
      <c r="D1593" s="83" t="s">
        <v>4841</v>
      </c>
      <c r="E1593" s="81" t="s">
        <v>3988</v>
      </c>
      <c r="F1593" s="84">
        <v>786.0</v>
      </c>
      <c r="G1593" s="81" t="s">
        <v>40</v>
      </c>
      <c r="H1593" s="81" t="s">
        <v>6308</v>
      </c>
      <c r="I1593" s="81" t="s">
        <v>3990</v>
      </c>
      <c r="J1593" s="81" t="s">
        <v>224</v>
      </c>
    </row>
    <row r="1594" hidden="1">
      <c r="A1594" s="83" t="s">
        <v>4949</v>
      </c>
      <c r="B1594" s="83" t="s">
        <v>4950</v>
      </c>
      <c r="C1594" s="81" t="s">
        <v>5141</v>
      </c>
      <c r="D1594" s="83" t="s">
        <v>4841</v>
      </c>
      <c r="E1594" s="81" t="s">
        <v>3988</v>
      </c>
      <c r="F1594" s="84">
        <v>786.0</v>
      </c>
      <c r="G1594" s="81" t="s">
        <v>43</v>
      </c>
      <c r="H1594" s="81" t="s">
        <v>49</v>
      </c>
      <c r="I1594" s="81" t="s">
        <v>224</v>
      </c>
      <c r="J1594" s="81" t="s">
        <v>5143</v>
      </c>
    </row>
    <row r="1595" hidden="1">
      <c r="A1595" s="83" t="s">
        <v>4949</v>
      </c>
      <c r="B1595" s="83" t="s">
        <v>4950</v>
      </c>
      <c r="C1595" s="81" t="s">
        <v>4086</v>
      </c>
      <c r="D1595" s="83" t="s">
        <v>4842</v>
      </c>
      <c r="E1595" s="81" t="s">
        <v>3991</v>
      </c>
      <c r="F1595" s="84">
        <v>787.0</v>
      </c>
      <c r="G1595" s="81" t="s">
        <v>39</v>
      </c>
      <c r="H1595" s="81" t="s">
        <v>6309</v>
      </c>
      <c r="I1595" s="81" t="s">
        <v>3992</v>
      </c>
      <c r="J1595" s="81" t="s">
        <v>224</v>
      </c>
    </row>
    <row r="1596" hidden="1">
      <c r="A1596" s="83" t="s">
        <v>4949</v>
      </c>
      <c r="B1596" s="83" t="s">
        <v>4950</v>
      </c>
      <c r="C1596" s="81" t="s">
        <v>4086</v>
      </c>
      <c r="D1596" s="83" t="s">
        <v>4842</v>
      </c>
      <c r="E1596" s="81" t="s">
        <v>3991</v>
      </c>
      <c r="F1596" s="84">
        <v>787.0</v>
      </c>
      <c r="G1596" s="81" t="s">
        <v>40</v>
      </c>
      <c r="H1596" s="81" t="s">
        <v>224</v>
      </c>
      <c r="I1596" s="81" t="s">
        <v>3993</v>
      </c>
      <c r="J1596" s="81" t="s">
        <v>224</v>
      </c>
    </row>
    <row r="1597" hidden="1">
      <c r="A1597" s="83" t="s">
        <v>4949</v>
      </c>
      <c r="B1597" s="83" t="s">
        <v>4950</v>
      </c>
      <c r="C1597" s="81" t="s">
        <v>5141</v>
      </c>
      <c r="D1597" s="83" t="s">
        <v>4842</v>
      </c>
      <c r="E1597" s="81" t="s">
        <v>3991</v>
      </c>
      <c r="F1597" s="84">
        <v>787.0</v>
      </c>
      <c r="G1597" s="81" t="s">
        <v>43</v>
      </c>
      <c r="H1597" s="81" t="s">
        <v>49</v>
      </c>
      <c r="I1597" s="81" t="s">
        <v>224</v>
      </c>
      <c r="J1597" s="81" t="s">
        <v>5143</v>
      </c>
    </row>
    <row r="1598" hidden="1">
      <c r="A1598" s="83" t="s">
        <v>4949</v>
      </c>
      <c r="B1598" s="83" t="s">
        <v>4950</v>
      </c>
      <c r="C1598" s="81" t="s">
        <v>4086</v>
      </c>
      <c r="D1598" s="83" t="s">
        <v>4843</v>
      </c>
      <c r="E1598" s="81" t="s">
        <v>3994</v>
      </c>
      <c r="F1598" s="84">
        <v>788.0</v>
      </c>
      <c r="G1598" s="81" t="s">
        <v>39</v>
      </c>
      <c r="H1598" s="81" t="s">
        <v>6309</v>
      </c>
      <c r="I1598" s="81" t="s">
        <v>3995</v>
      </c>
      <c r="J1598" s="81" t="s">
        <v>224</v>
      </c>
    </row>
    <row r="1599" hidden="1">
      <c r="A1599" s="83" t="s">
        <v>4949</v>
      </c>
      <c r="B1599" s="83" t="s">
        <v>4950</v>
      </c>
      <c r="C1599" s="81" t="s">
        <v>4086</v>
      </c>
      <c r="D1599" s="83" t="s">
        <v>4843</v>
      </c>
      <c r="E1599" s="81" t="s">
        <v>3994</v>
      </c>
      <c r="F1599" s="84">
        <v>788.0</v>
      </c>
      <c r="G1599" s="81" t="s">
        <v>40</v>
      </c>
      <c r="H1599" s="81" t="s">
        <v>224</v>
      </c>
      <c r="I1599" s="81" t="s">
        <v>3996</v>
      </c>
      <c r="J1599" s="81" t="s">
        <v>224</v>
      </c>
    </row>
    <row r="1600" hidden="1">
      <c r="A1600" s="83" t="s">
        <v>4949</v>
      </c>
      <c r="B1600" s="83" t="s">
        <v>4950</v>
      </c>
      <c r="C1600" s="81" t="s">
        <v>5141</v>
      </c>
      <c r="D1600" s="83" t="s">
        <v>4843</v>
      </c>
      <c r="E1600" s="81" t="s">
        <v>3994</v>
      </c>
      <c r="F1600" s="84">
        <v>788.0</v>
      </c>
      <c r="G1600" s="81" t="s">
        <v>43</v>
      </c>
      <c r="H1600" s="81" t="s">
        <v>49</v>
      </c>
      <c r="I1600" s="81" t="s">
        <v>224</v>
      </c>
      <c r="J1600" s="81" t="s">
        <v>5143</v>
      </c>
    </row>
    <row r="1601" hidden="1">
      <c r="A1601" s="83" t="s">
        <v>4949</v>
      </c>
      <c r="B1601" s="83" t="s">
        <v>4950</v>
      </c>
      <c r="C1601" s="81" t="s">
        <v>4086</v>
      </c>
      <c r="D1601" s="83" t="s">
        <v>4257</v>
      </c>
      <c r="E1601" s="81" t="s">
        <v>1025</v>
      </c>
      <c r="F1601" s="84">
        <v>789.0</v>
      </c>
      <c r="G1601" s="81" t="s">
        <v>39</v>
      </c>
      <c r="H1601" s="81" t="s">
        <v>224</v>
      </c>
      <c r="I1601" s="81" t="s">
        <v>5399</v>
      </c>
      <c r="J1601" s="81" t="s">
        <v>224</v>
      </c>
    </row>
    <row r="1602" hidden="1">
      <c r="A1602" s="83" t="s">
        <v>4949</v>
      </c>
      <c r="B1602" s="83" t="s">
        <v>4950</v>
      </c>
      <c r="C1602" s="81" t="s">
        <v>4086</v>
      </c>
      <c r="D1602" s="83" t="s">
        <v>4257</v>
      </c>
      <c r="E1602" s="81" t="s">
        <v>1025</v>
      </c>
      <c r="F1602" s="84">
        <v>789.0</v>
      </c>
      <c r="G1602" s="81" t="s">
        <v>40</v>
      </c>
      <c r="H1602" s="81" t="s">
        <v>224</v>
      </c>
      <c r="I1602" s="81" t="s">
        <v>5401</v>
      </c>
      <c r="J1602" s="81" t="s">
        <v>224</v>
      </c>
    </row>
    <row r="1603" hidden="1">
      <c r="A1603" s="83" t="s">
        <v>4949</v>
      </c>
      <c r="B1603" s="83" t="s">
        <v>4950</v>
      </c>
      <c r="C1603" s="81" t="s">
        <v>4086</v>
      </c>
      <c r="D1603" s="83" t="s">
        <v>4257</v>
      </c>
      <c r="E1603" s="81" t="s">
        <v>1025</v>
      </c>
      <c r="F1603" s="84">
        <v>789.0</v>
      </c>
      <c r="G1603" s="81" t="s">
        <v>43</v>
      </c>
      <c r="H1603" s="81" t="s">
        <v>224</v>
      </c>
      <c r="I1603" s="81" t="s">
        <v>1023</v>
      </c>
      <c r="J1603" s="81" t="s">
        <v>224</v>
      </c>
    </row>
    <row r="1604" hidden="1">
      <c r="A1604" s="83" t="s">
        <v>4949</v>
      </c>
      <c r="B1604" s="83" t="s">
        <v>4950</v>
      </c>
      <c r="C1604" s="81" t="s">
        <v>4086</v>
      </c>
      <c r="D1604" s="83" t="s">
        <v>4498</v>
      </c>
      <c r="E1604" s="81" t="s">
        <v>2324</v>
      </c>
      <c r="F1604" s="84">
        <v>790.0</v>
      </c>
      <c r="G1604" s="81" t="s">
        <v>39</v>
      </c>
      <c r="H1604" s="81" t="s">
        <v>224</v>
      </c>
      <c r="I1604" s="81" t="s">
        <v>2322</v>
      </c>
      <c r="J1604" s="81" t="s">
        <v>224</v>
      </c>
    </row>
    <row r="1605" hidden="1">
      <c r="A1605" s="83" t="s">
        <v>4949</v>
      </c>
      <c r="B1605" s="83" t="s">
        <v>4950</v>
      </c>
      <c r="C1605" s="81" t="s">
        <v>4086</v>
      </c>
      <c r="D1605" s="83" t="s">
        <v>4498</v>
      </c>
      <c r="E1605" s="81" t="s">
        <v>2324</v>
      </c>
      <c r="F1605" s="84">
        <v>790.0</v>
      </c>
      <c r="G1605" s="81" t="s">
        <v>40</v>
      </c>
      <c r="H1605" s="81" t="s">
        <v>224</v>
      </c>
      <c r="I1605" s="81" t="s">
        <v>2323</v>
      </c>
      <c r="J1605" s="81" t="s">
        <v>224</v>
      </c>
    </row>
    <row r="1606" hidden="1">
      <c r="A1606" s="83" t="s">
        <v>4949</v>
      </c>
      <c r="B1606" s="83" t="s">
        <v>4950</v>
      </c>
      <c r="C1606" s="81" t="s">
        <v>4086</v>
      </c>
      <c r="D1606" s="83" t="s">
        <v>4844</v>
      </c>
      <c r="E1606" s="81" t="s">
        <v>3998</v>
      </c>
      <c r="F1606" s="84">
        <v>791.0</v>
      </c>
      <c r="G1606" s="81" t="s">
        <v>39</v>
      </c>
      <c r="H1606" s="81" t="s">
        <v>224</v>
      </c>
      <c r="I1606" s="81" t="s">
        <v>6310</v>
      </c>
      <c r="J1606" s="81" t="s">
        <v>224</v>
      </c>
    </row>
    <row r="1607" hidden="1">
      <c r="A1607" s="83" t="s">
        <v>4949</v>
      </c>
      <c r="B1607" s="83" t="s">
        <v>4950</v>
      </c>
      <c r="C1607" s="81" t="s">
        <v>4086</v>
      </c>
      <c r="D1607" s="83" t="s">
        <v>4844</v>
      </c>
      <c r="E1607" s="81" t="s">
        <v>3998</v>
      </c>
      <c r="F1607" s="84">
        <v>791.0</v>
      </c>
      <c r="G1607" s="81" t="s">
        <v>40</v>
      </c>
      <c r="H1607" s="81" t="s">
        <v>224</v>
      </c>
      <c r="I1607" s="81" t="s">
        <v>6311</v>
      </c>
      <c r="J1607" s="81" t="s">
        <v>224</v>
      </c>
    </row>
    <row r="1608" hidden="1">
      <c r="A1608" s="83" t="s">
        <v>4949</v>
      </c>
      <c r="B1608" s="83" t="s">
        <v>4950</v>
      </c>
      <c r="C1608" s="81" t="s">
        <v>4086</v>
      </c>
      <c r="D1608" s="83" t="s">
        <v>4845</v>
      </c>
      <c r="E1608" s="81" t="s">
        <v>4002</v>
      </c>
      <c r="F1608" s="84">
        <v>792.0</v>
      </c>
      <c r="G1608" s="81" t="s">
        <v>39</v>
      </c>
      <c r="H1608" s="81" t="s">
        <v>224</v>
      </c>
      <c r="I1608" s="81" t="s">
        <v>6312</v>
      </c>
      <c r="J1608" s="81" t="s">
        <v>224</v>
      </c>
    </row>
    <row r="1609" hidden="1">
      <c r="A1609" s="83" t="s">
        <v>4949</v>
      </c>
      <c r="B1609" s="83" t="s">
        <v>4950</v>
      </c>
      <c r="C1609" s="81" t="s">
        <v>4086</v>
      </c>
      <c r="D1609" s="83" t="s">
        <v>4845</v>
      </c>
      <c r="E1609" s="81" t="s">
        <v>4002</v>
      </c>
      <c r="F1609" s="84">
        <v>792.0</v>
      </c>
      <c r="G1609" s="81" t="s">
        <v>40</v>
      </c>
      <c r="H1609" s="81" t="s">
        <v>224</v>
      </c>
      <c r="I1609" s="81" t="s">
        <v>6313</v>
      </c>
      <c r="J1609" s="81" t="s">
        <v>224</v>
      </c>
    </row>
    <row r="1610" hidden="1">
      <c r="A1610" s="83" t="s">
        <v>4949</v>
      </c>
      <c r="B1610" s="83" t="s">
        <v>4950</v>
      </c>
      <c r="C1610" s="81" t="s">
        <v>4086</v>
      </c>
      <c r="D1610" s="83" t="s">
        <v>4846</v>
      </c>
      <c r="E1610" s="81" t="s">
        <v>1133</v>
      </c>
      <c r="F1610" s="84">
        <v>793.0</v>
      </c>
      <c r="G1610" s="81" t="s">
        <v>39</v>
      </c>
      <c r="H1610" s="81" t="s">
        <v>224</v>
      </c>
      <c r="I1610" s="81" t="s">
        <v>6314</v>
      </c>
      <c r="J1610" s="81" t="s">
        <v>224</v>
      </c>
    </row>
    <row r="1611" hidden="1">
      <c r="A1611" s="83" t="s">
        <v>4949</v>
      </c>
      <c r="B1611" s="83" t="s">
        <v>4950</v>
      </c>
      <c r="C1611" s="81" t="s">
        <v>4086</v>
      </c>
      <c r="D1611" s="83" t="s">
        <v>4846</v>
      </c>
      <c r="E1611" s="81" t="s">
        <v>1133</v>
      </c>
      <c r="F1611" s="84">
        <v>793.0</v>
      </c>
      <c r="G1611" s="81" t="s">
        <v>40</v>
      </c>
      <c r="H1611" s="81" t="s">
        <v>224</v>
      </c>
      <c r="I1611" s="81" t="s">
        <v>6315</v>
      </c>
      <c r="J1611" s="81" t="s">
        <v>224</v>
      </c>
    </row>
    <row r="1612" hidden="1">
      <c r="A1612" s="83" t="s">
        <v>4949</v>
      </c>
      <c r="B1612" s="83" t="s">
        <v>4950</v>
      </c>
      <c r="C1612" s="81" t="s">
        <v>4082</v>
      </c>
      <c r="D1612" s="83" t="s">
        <v>4847</v>
      </c>
      <c r="E1612" s="81" t="s">
        <v>4005</v>
      </c>
      <c r="F1612" s="84">
        <v>794.0</v>
      </c>
      <c r="G1612" s="81" t="s">
        <v>39</v>
      </c>
      <c r="H1612" s="81" t="s">
        <v>224</v>
      </c>
      <c r="I1612" s="81" t="s">
        <v>224</v>
      </c>
      <c r="J1612" s="81" t="s">
        <v>6316</v>
      </c>
    </row>
    <row r="1613" hidden="1">
      <c r="A1613" s="83" t="s">
        <v>6317</v>
      </c>
      <c r="B1613" s="83" t="s">
        <v>6318</v>
      </c>
      <c r="C1613" s="81" t="s">
        <v>4080</v>
      </c>
      <c r="D1613" s="81" t="s">
        <v>224</v>
      </c>
      <c r="E1613" s="81" t="s">
        <v>224</v>
      </c>
      <c r="F1613" s="81" t="s">
        <v>224</v>
      </c>
      <c r="G1613" s="81" t="s">
        <v>224</v>
      </c>
      <c r="H1613" s="81" t="s">
        <v>224</v>
      </c>
      <c r="I1613" s="81" t="s">
        <v>224</v>
      </c>
      <c r="J1613" s="81" t="s">
        <v>6319</v>
      </c>
    </row>
    <row r="1614" hidden="1">
      <c r="A1614" s="83" t="s">
        <v>6317</v>
      </c>
      <c r="B1614" s="83" t="s">
        <v>6318</v>
      </c>
      <c r="C1614" s="81" t="s">
        <v>4084</v>
      </c>
      <c r="D1614" s="81" t="s">
        <v>224</v>
      </c>
      <c r="E1614" s="81" t="s">
        <v>224</v>
      </c>
      <c r="F1614" s="81" t="s">
        <v>224</v>
      </c>
      <c r="G1614" s="81" t="s">
        <v>224</v>
      </c>
      <c r="H1614" s="81" t="s">
        <v>224</v>
      </c>
      <c r="I1614" s="81" t="s">
        <v>224</v>
      </c>
      <c r="J1614" s="81" t="s">
        <v>6320</v>
      </c>
    </row>
    <row r="1615" hidden="1">
      <c r="A1615" s="83" t="s">
        <v>6317</v>
      </c>
      <c r="B1615" s="83" t="s">
        <v>6318</v>
      </c>
      <c r="C1615" s="81" t="s">
        <v>4082</v>
      </c>
      <c r="D1615" s="81" t="s">
        <v>224</v>
      </c>
      <c r="E1615" s="81" t="s">
        <v>4953</v>
      </c>
      <c r="F1615" s="81" t="s">
        <v>224</v>
      </c>
      <c r="G1615" s="81" t="s">
        <v>224</v>
      </c>
      <c r="H1615" s="81" t="s">
        <v>224</v>
      </c>
      <c r="I1615" s="81" t="s">
        <v>224</v>
      </c>
      <c r="J1615" s="81" t="s">
        <v>4954</v>
      </c>
    </row>
    <row r="1616" hidden="1">
      <c r="A1616" s="83" t="s">
        <v>6317</v>
      </c>
      <c r="B1616" s="83" t="s">
        <v>6318</v>
      </c>
      <c r="C1616" s="81" t="s">
        <v>4082</v>
      </c>
      <c r="D1616" s="81" t="s">
        <v>224</v>
      </c>
      <c r="E1616" s="81" t="s">
        <v>4955</v>
      </c>
      <c r="F1616" s="81" t="s">
        <v>224</v>
      </c>
      <c r="G1616" s="81" t="s">
        <v>224</v>
      </c>
      <c r="H1616" s="81" t="s">
        <v>224</v>
      </c>
      <c r="I1616" s="81" t="s">
        <v>224</v>
      </c>
      <c r="J1616" s="81" t="s">
        <v>4954</v>
      </c>
    </row>
    <row r="1617" hidden="1">
      <c r="A1617" s="83" t="s">
        <v>6317</v>
      </c>
      <c r="B1617" s="83" t="s">
        <v>6318</v>
      </c>
      <c r="C1617" s="81" t="s">
        <v>4082</v>
      </c>
      <c r="D1617" s="81" t="s">
        <v>224</v>
      </c>
      <c r="E1617" s="81" t="s">
        <v>4009</v>
      </c>
      <c r="F1617" s="81" t="s">
        <v>224</v>
      </c>
      <c r="G1617" s="81" t="s">
        <v>224</v>
      </c>
      <c r="H1617" s="81" t="s">
        <v>224</v>
      </c>
      <c r="I1617" s="81" t="s">
        <v>224</v>
      </c>
      <c r="J1617" s="81" t="s">
        <v>4954</v>
      </c>
    </row>
    <row r="1618" hidden="1">
      <c r="A1618" s="83" t="s">
        <v>6317</v>
      </c>
      <c r="B1618" s="83" t="s">
        <v>6318</v>
      </c>
      <c r="C1618" s="81" t="s">
        <v>4082</v>
      </c>
      <c r="D1618" s="81" t="s">
        <v>224</v>
      </c>
      <c r="E1618" s="81" t="s">
        <v>4956</v>
      </c>
      <c r="F1618" s="81" t="s">
        <v>224</v>
      </c>
      <c r="G1618" s="81" t="s">
        <v>224</v>
      </c>
      <c r="H1618" s="81" t="s">
        <v>224</v>
      </c>
      <c r="I1618" s="81" t="s">
        <v>224</v>
      </c>
      <c r="J1618" s="81" t="s">
        <v>4957</v>
      </c>
    </row>
    <row r="1619" hidden="1">
      <c r="A1619" s="83" t="s">
        <v>6317</v>
      </c>
      <c r="B1619" s="83" t="s">
        <v>6318</v>
      </c>
      <c r="C1619" s="81" t="s">
        <v>4082</v>
      </c>
      <c r="D1619" s="81" t="s">
        <v>224</v>
      </c>
      <c r="E1619" s="81" t="s">
        <v>4958</v>
      </c>
      <c r="F1619" s="81" t="s">
        <v>224</v>
      </c>
      <c r="G1619" s="81" t="s">
        <v>224</v>
      </c>
      <c r="H1619" s="81" t="s">
        <v>224</v>
      </c>
      <c r="I1619" s="81" t="s">
        <v>224</v>
      </c>
      <c r="J1619" s="81" t="s">
        <v>4959</v>
      </c>
    </row>
    <row r="1620" hidden="1">
      <c r="A1620" s="83" t="s">
        <v>6317</v>
      </c>
      <c r="B1620" s="83" t="s">
        <v>6318</v>
      </c>
      <c r="C1620" s="81" t="s">
        <v>4082</v>
      </c>
      <c r="D1620" s="81" t="s">
        <v>224</v>
      </c>
      <c r="E1620" s="81" t="s">
        <v>4960</v>
      </c>
      <c r="F1620" s="81" t="s">
        <v>224</v>
      </c>
      <c r="G1620" s="81" t="s">
        <v>224</v>
      </c>
      <c r="H1620" s="81" t="s">
        <v>224</v>
      </c>
      <c r="I1620" s="81" t="s">
        <v>224</v>
      </c>
      <c r="J1620" s="81" t="s">
        <v>4961</v>
      </c>
    </row>
    <row r="1621" hidden="1">
      <c r="A1621" s="83" t="s">
        <v>6317</v>
      </c>
      <c r="B1621" s="83" t="s">
        <v>6318</v>
      </c>
      <c r="C1621" s="81" t="s">
        <v>4082</v>
      </c>
      <c r="D1621" s="81" t="s">
        <v>224</v>
      </c>
      <c r="E1621" s="81" t="s">
        <v>4962</v>
      </c>
      <c r="F1621" s="81" t="s">
        <v>224</v>
      </c>
      <c r="G1621" s="81" t="s">
        <v>224</v>
      </c>
      <c r="H1621" s="81" t="s">
        <v>224</v>
      </c>
      <c r="I1621" s="81" t="s">
        <v>224</v>
      </c>
      <c r="J1621" s="81" t="s">
        <v>4963</v>
      </c>
    </row>
    <row r="1622" hidden="1">
      <c r="A1622" s="83" t="s">
        <v>6317</v>
      </c>
      <c r="B1622" s="83" t="s">
        <v>6318</v>
      </c>
      <c r="C1622" s="81" t="s">
        <v>4082</v>
      </c>
      <c r="D1622" s="81" t="s">
        <v>224</v>
      </c>
      <c r="E1622" s="81" t="s">
        <v>4964</v>
      </c>
      <c r="F1622" s="81" t="s">
        <v>224</v>
      </c>
      <c r="G1622" s="81" t="s">
        <v>224</v>
      </c>
      <c r="H1622" s="81" t="s">
        <v>224</v>
      </c>
      <c r="I1622" s="81" t="s">
        <v>224</v>
      </c>
      <c r="J1622" s="81" t="s">
        <v>4963</v>
      </c>
    </row>
    <row r="1623" hidden="1">
      <c r="A1623" s="83" t="s">
        <v>6317</v>
      </c>
      <c r="B1623" s="83" t="s">
        <v>6318</v>
      </c>
      <c r="C1623" s="81" t="s">
        <v>4082</v>
      </c>
      <c r="D1623" s="81" t="s">
        <v>224</v>
      </c>
      <c r="E1623" s="81" t="s">
        <v>4965</v>
      </c>
      <c r="F1623" s="81" t="s">
        <v>224</v>
      </c>
      <c r="G1623" s="81" t="s">
        <v>224</v>
      </c>
      <c r="H1623" s="81" t="s">
        <v>224</v>
      </c>
      <c r="I1623" s="81" t="s">
        <v>224</v>
      </c>
      <c r="J1623" s="81" t="s">
        <v>4966</v>
      </c>
    </row>
    <row r="1624" hidden="1">
      <c r="A1624" s="83" t="s">
        <v>6317</v>
      </c>
      <c r="B1624" s="83" t="s">
        <v>6318</v>
      </c>
      <c r="C1624" s="81" t="s">
        <v>4082</v>
      </c>
      <c r="D1624" s="81" t="s">
        <v>224</v>
      </c>
      <c r="E1624" s="81" t="s">
        <v>4967</v>
      </c>
      <c r="F1624" s="81" t="s">
        <v>224</v>
      </c>
      <c r="G1624" s="81" t="s">
        <v>224</v>
      </c>
      <c r="H1624" s="81" t="s">
        <v>224</v>
      </c>
      <c r="I1624" s="81" t="s">
        <v>224</v>
      </c>
      <c r="J1624" s="81" t="s">
        <v>4966</v>
      </c>
    </row>
    <row r="1625" hidden="1">
      <c r="A1625" s="83" t="s">
        <v>6317</v>
      </c>
      <c r="B1625" s="83" t="s">
        <v>6318</v>
      </c>
      <c r="C1625" s="81" t="s">
        <v>4082</v>
      </c>
      <c r="D1625" s="81" t="s">
        <v>224</v>
      </c>
      <c r="E1625" s="81" t="s">
        <v>4968</v>
      </c>
      <c r="F1625" s="81" t="s">
        <v>224</v>
      </c>
      <c r="G1625" s="81" t="s">
        <v>224</v>
      </c>
      <c r="H1625" s="81" t="s">
        <v>224</v>
      </c>
      <c r="I1625" s="81" t="s">
        <v>224</v>
      </c>
      <c r="J1625" s="81" t="s">
        <v>4966</v>
      </c>
    </row>
    <row r="1626" hidden="1">
      <c r="A1626" s="83" t="s">
        <v>6317</v>
      </c>
      <c r="B1626" s="83" t="s">
        <v>6318</v>
      </c>
      <c r="C1626" s="81" t="s">
        <v>4082</v>
      </c>
      <c r="D1626" s="81" t="s">
        <v>224</v>
      </c>
      <c r="E1626" s="81" t="s">
        <v>4969</v>
      </c>
      <c r="F1626" s="81" t="s">
        <v>224</v>
      </c>
      <c r="G1626" s="81" t="s">
        <v>224</v>
      </c>
      <c r="H1626" s="81" t="s">
        <v>224</v>
      </c>
      <c r="I1626" s="81" t="s">
        <v>224</v>
      </c>
      <c r="J1626" s="81" t="s">
        <v>4966</v>
      </c>
    </row>
    <row r="1627" hidden="1">
      <c r="A1627" s="83" t="s">
        <v>6317</v>
      </c>
      <c r="B1627" s="83" t="s">
        <v>6318</v>
      </c>
      <c r="C1627" s="81" t="s">
        <v>4082</v>
      </c>
      <c r="D1627" s="81" t="s">
        <v>224</v>
      </c>
      <c r="E1627" s="81" t="s">
        <v>4970</v>
      </c>
      <c r="F1627" s="81" t="s">
        <v>224</v>
      </c>
      <c r="G1627" s="81" t="s">
        <v>224</v>
      </c>
      <c r="H1627" s="81" t="s">
        <v>224</v>
      </c>
      <c r="I1627" s="81" t="s">
        <v>224</v>
      </c>
      <c r="J1627" s="81" t="s">
        <v>4966</v>
      </c>
    </row>
    <row r="1628" hidden="1">
      <c r="A1628" s="83" t="s">
        <v>6317</v>
      </c>
      <c r="B1628" s="83" t="s">
        <v>6318</v>
      </c>
      <c r="C1628" s="81" t="s">
        <v>4082</v>
      </c>
      <c r="D1628" s="81" t="s">
        <v>224</v>
      </c>
      <c r="E1628" s="81" t="s">
        <v>4971</v>
      </c>
      <c r="F1628" s="81" t="s">
        <v>224</v>
      </c>
      <c r="G1628" s="81" t="s">
        <v>224</v>
      </c>
      <c r="H1628" s="81" t="s">
        <v>224</v>
      </c>
      <c r="I1628" s="81" t="s">
        <v>224</v>
      </c>
      <c r="J1628" s="81" t="s">
        <v>4966</v>
      </c>
    </row>
    <row r="1629" hidden="1">
      <c r="A1629" s="83" t="s">
        <v>6317</v>
      </c>
      <c r="B1629" s="83" t="s">
        <v>6318</v>
      </c>
      <c r="C1629" s="81" t="s">
        <v>4082</v>
      </c>
      <c r="D1629" s="81" t="s">
        <v>224</v>
      </c>
      <c r="E1629" s="81" t="s">
        <v>4972</v>
      </c>
      <c r="F1629" s="81" t="s">
        <v>224</v>
      </c>
      <c r="G1629" s="81" t="s">
        <v>224</v>
      </c>
      <c r="H1629" s="81" t="s">
        <v>224</v>
      </c>
      <c r="I1629" s="81" t="s">
        <v>224</v>
      </c>
      <c r="J1629" s="81" t="s">
        <v>4966</v>
      </c>
    </row>
    <row r="1630" hidden="1">
      <c r="A1630" s="83" t="s">
        <v>6317</v>
      </c>
      <c r="B1630" s="83" t="s">
        <v>6318</v>
      </c>
      <c r="C1630" s="81" t="s">
        <v>4082</v>
      </c>
      <c r="D1630" s="81" t="s">
        <v>224</v>
      </c>
      <c r="E1630" s="81" t="s">
        <v>4973</v>
      </c>
      <c r="F1630" s="81" t="s">
        <v>224</v>
      </c>
      <c r="G1630" s="81" t="s">
        <v>224</v>
      </c>
      <c r="H1630" s="81" t="s">
        <v>224</v>
      </c>
      <c r="I1630" s="81" t="s">
        <v>224</v>
      </c>
      <c r="J1630" s="81" t="s">
        <v>4974</v>
      </c>
    </row>
    <row r="1631" hidden="1">
      <c r="A1631" s="83" t="s">
        <v>6317</v>
      </c>
      <c r="B1631" s="83" t="s">
        <v>6318</v>
      </c>
      <c r="C1631" s="81" t="s">
        <v>4082</v>
      </c>
      <c r="D1631" s="81" t="s">
        <v>224</v>
      </c>
      <c r="E1631" s="81" t="s">
        <v>4975</v>
      </c>
      <c r="F1631" s="81" t="s">
        <v>224</v>
      </c>
      <c r="G1631" s="81" t="s">
        <v>224</v>
      </c>
      <c r="H1631" s="81" t="s">
        <v>224</v>
      </c>
      <c r="I1631" s="81" t="s">
        <v>224</v>
      </c>
      <c r="J1631" s="81" t="s">
        <v>4976</v>
      </c>
    </row>
    <row r="1632" hidden="1">
      <c r="A1632" s="83" t="s">
        <v>6317</v>
      </c>
      <c r="B1632" s="83" t="s">
        <v>6318</v>
      </c>
      <c r="C1632" s="81" t="s">
        <v>4082</v>
      </c>
      <c r="D1632" s="81" t="s">
        <v>224</v>
      </c>
      <c r="E1632" s="81" t="s">
        <v>4025</v>
      </c>
      <c r="F1632" s="81" t="s">
        <v>224</v>
      </c>
      <c r="G1632" s="81" t="s">
        <v>224</v>
      </c>
      <c r="H1632" s="81" t="s">
        <v>224</v>
      </c>
      <c r="I1632" s="81" t="s">
        <v>224</v>
      </c>
      <c r="J1632" s="81" t="s">
        <v>4977</v>
      </c>
    </row>
    <row r="1633" hidden="1">
      <c r="A1633" s="83" t="s">
        <v>6317</v>
      </c>
      <c r="B1633" s="83" t="s">
        <v>6318</v>
      </c>
      <c r="C1633" s="81" t="s">
        <v>4082</v>
      </c>
      <c r="D1633" s="81" t="s">
        <v>224</v>
      </c>
      <c r="E1633" s="81" t="s">
        <v>4033</v>
      </c>
      <c r="F1633" s="81" t="s">
        <v>224</v>
      </c>
      <c r="G1633" s="81" t="s">
        <v>224</v>
      </c>
      <c r="H1633" s="81" t="s">
        <v>224</v>
      </c>
      <c r="I1633" s="81" t="s">
        <v>224</v>
      </c>
      <c r="J1633" s="81" t="s">
        <v>4978</v>
      </c>
    </row>
    <row r="1634" hidden="1">
      <c r="A1634" s="83" t="s">
        <v>6317</v>
      </c>
      <c r="B1634" s="83" t="s">
        <v>6318</v>
      </c>
      <c r="C1634" s="81" t="s">
        <v>4082</v>
      </c>
      <c r="D1634" s="81" t="s">
        <v>224</v>
      </c>
      <c r="E1634" s="81" t="s">
        <v>4979</v>
      </c>
      <c r="F1634" s="81" t="s">
        <v>224</v>
      </c>
      <c r="G1634" s="81" t="s">
        <v>224</v>
      </c>
      <c r="H1634" s="81" t="s">
        <v>224</v>
      </c>
      <c r="I1634" s="81" t="s">
        <v>224</v>
      </c>
      <c r="J1634" s="81" t="s">
        <v>4980</v>
      </c>
    </row>
    <row r="1635" hidden="1">
      <c r="A1635" s="83" t="s">
        <v>6317</v>
      </c>
      <c r="B1635" s="83" t="s">
        <v>6318</v>
      </c>
      <c r="C1635" s="81" t="s">
        <v>4082</v>
      </c>
      <c r="D1635" s="81" t="s">
        <v>224</v>
      </c>
      <c r="E1635" s="81" t="s">
        <v>4981</v>
      </c>
      <c r="F1635" s="81" t="s">
        <v>224</v>
      </c>
      <c r="G1635" s="81" t="s">
        <v>224</v>
      </c>
      <c r="H1635" s="81" t="s">
        <v>224</v>
      </c>
      <c r="I1635" s="81" t="s">
        <v>224</v>
      </c>
      <c r="J1635" s="81" t="s">
        <v>4982</v>
      </c>
    </row>
    <row r="1636" hidden="1">
      <c r="A1636" s="83" t="s">
        <v>6317</v>
      </c>
      <c r="B1636" s="83" t="s">
        <v>6318</v>
      </c>
      <c r="C1636" s="81" t="s">
        <v>4082</v>
      </c>
      <c r="D1636" s="81" t="s">
        <v>224</v>
      </c>
      <c r="E1636" s="81" t="s">
        <v>4983</v>
      </c>
      <c r="F1636" s="81" t="s">
        <v>224</v>
      </c>
      <c r="G1636" s="81" t="s">
        <v>224</v>
      </c>
      <c r="H1636" s="81" t="s">
        <v>224</v>
      </c>
      <c r="I1636" s="81" t="s">
        <v>224</v>
      </c>
      <c r="J1636" s="81" t="s">
        <v>4984</v>
      </c>
    </row>
    <row r="1637" hidden="1">
      <c r="A1637" s="83" t="s">
        <v>6317</v>
      </c>
      <c r="B1637" s="83" t="s">
        <v>6318</v>
      </c>
      <c r="C1637" s="81" t="s">
        <v>4082</v>
      </c>
      <c r="D1637" s="81" t="s">
        <v>224</v>
      </c>
      <c r="E1637" s="81" t="s">
        <v>4985</v>
      </c>
      <c r="F1637" s="81" t="s">
        <v>224</v>
      </c>
      <c r="G1637" s="81" t="s">
        <v>224</v>
      </c>
      <c r="H1637" s="81" t="s">
        <v>224</v>
      </c>
      <c r="I1637" s="81" t="s">
        <v>224</v>
      </c>
      <c r="J1637" s="81" t="s">
        <v>4986</v>
      </c>
    </row>
    <row r="1638" hidden="1">
      <c r="A1638" s="83" t="s">
        <v>6317</v>
      </c>
      <c r="B1638" s="83" t="s">
        <v>6318</v>
      </c>
      <c r="C1638" s="81" t="s">
        <v>4082</v>
      </c>
      <c r="D1638" s="81" t="s">
        <v>224</v>
      </c>
      <c r="E1638" s="81" t="s">
        <v>4987</v>
      </c>
      <c r="F1638" s="81" t="s">
        <v>224</v>
      </c>
      <c r="G1638" s="81" t="s">
        <v>224</v>
      </c>
      <c r="H1638" s="81" t="s">
        <v>224</v>
      </c>
      <c r="I1638" s="81" t="s">
        <v>224</v>
      </c>
      <c r="J1638" s="81" t="s">
        <v>4988</v>
      </c>
    </row>
    <row r="1639" hidden="1">
      <c r="A1639" s="83" t="s">
        <v>6317</v>
      </c>
      <c r="B1639" s="83" t="s">
        <v>6318</v>
      </c>
      <c r="C1639" s="81" t="s">
        <v>4082</v>
      </c>
      <c r="D1639" s="81" t="s">
        <v>224</v>
      </c>
      <c r="E1639" s="81" t="s">
        <v>4989</v>
      </c>
      <c r="F1639" s="81" t="s">
        <v>224</v>
      </c>
      <c r="G1639" s="81" t="s">
        <v>224</v>
      </c>
      <c r="H1639" s="81" t="s">
        <v>224</v>
      </c>
      <c r="I1639" s="81" t="s">
        <v>224</v>
      </c>
      <c r="J1639" s="81" t="s">
        <v>4990</v>
      </c>
    </row>
    <row r="1640" hidden="1">
      <c r="A1640" s="83" t="s">
        <v>6317</v>
      </c>
      <c r="B1640" s="83" t="s">
        <v>6318</v>
      </c>
      <c r="C1640" s="81" t="s">
        <v>4082</v>
      </c>
      <c r="D1640" s="81" t="s">
        <v>224</v>
      </c>
      <c r="E1640" s="81" t="s">
        <v>4991</v>
      </c>
      <c r="F1640" s="81" t="s">
        <v>224</v>
      </c>
      <c r="G1640" s="81" t="s">
        <v>224</v>
      </c>
      <c r="H1640" s="81" t="s">
        <v>224</v>
      </c>
      <c r="I1640" s="81" t="s">
        <v>224</v>
      </c>
      <c r="J1640" s="81" t="s">
        <v>4992</v>
      </c>
    </row>
    <row r="1641" hidden="1">
      <c r="A1641" s="83" t="s">
        <v>6317</v>
      </c>
      <c r="B1641" s="83" t="s">
        <v>6318</v>
      </c>
      <c r="C1641" s="81" t="s">
        <v>4082</v>
      </c>
      <c r="D1641" s="81" t="s">
        <v>224</v>
      </c>
      <c r="E1641" s="81" t="s">
        <v>4993</v>
      </c>
      <c r="F1641" s="81" t="s">
        <v>224</v>
      </c>
      <c r="G1641" s="81" t="s">
        <v>224</v>
      </c>
      <c r="H1641" s="81" t="s">
        <v>224</v>
      </c>
      <c r="I1641" s="81" t="s">
        <v>224</v>
      </c>
      <c r="J1641" s="81" t="s">
        <v>4994</v>
      </c>
    </row>
    <row r="1642" hidden="1">
      <c r="A1642" s="83" t="s">
        <v>6317</v>
      </c>
      <c r="B1642" s="83" t="s">
        <v>6318</v>
      </c>
      <c r="C1642" s="81" t="s">
        <v>4082</v>
      </c>
      <c r="D1642" s="81" t="s">
        <v>224</v>
      </c>
      <c r="E1642" s="81" t="s">
        <v>4995</v>
      </c>
      <c r="F1642" s="81" t="s">
        <v>224</v>
      </c>
      <c r="G1642" s="81" t="s">
        <v>224</v>
      </c>
      <c r="H1642" s="81" t="s">
        <v>224</v>
      </c>
      <c r="I1642" s="81" t="s">
        <v>224</v>
      </c>
      <c r="J1642" s="81" t="s">
        <v>4996</v>
      </c>
    </row>
    <row r="1643" hidden="1">
      <c r="A1643" s="83" t="s">
        <v>6317</v>
      </c>
      <c r="B1643" s="83" t="s">
        <v>6318</v>
      </c>
      <c r="C1643" s="81" t="s">
        <v>4082</v>
      </c>
      <c r="D1643" s="81" t="s">
        <v>224</v>
      </c>
      <c r="E1643" s="81" t="s">
        <v>4997</v>
      </c>
      <c r="F1643" s="81" t="s">
        <v>224</v>
      </c>
      <c r="G1643" s="81" t="s">
        <v>224</v>
      </c>
      <c r="H1643" s="81" t="s">
        <v>224</v>
      </c>
      <c r="I1643" s="81" t="s">
        <v>224</v>
      </c>
      <c r="J1643" s="81" t="s">
        <v>4998</v>
      </c>
    </row>
    <row r="1644" hidden="1">
      <c r="A1644" s="83" t="s">
        <v>6317</v>
      </c>
      <c r="B1644" s="83" t="s">
        <v>6318</v>
      </c>
      <c r="C1644" s="81" t="s">
        <v>4082</v>
      </c>
      <c r="D1644" s="81" t="s">
        <v>224</v>
      </c>
      <c r="E1644" s="81" t="s">
        <v>4999</v>
      </c>
      <c r="F1644" s="81" t="s">
        <v>224</v>
      </c>
      <c r="G1644" s="81" t="s">
        <v>224</v>
      </c>
      <c r="H1644" s="81" t="s">
        <v>224</v>
      </c>
      <c r="I1644" s="81" t="s">
        <v>224</v>
      </c>
      <c r="J1644" s="81" t="s">
        <v>5000</v>
      </c>
    </row>
    <row r="1645" hidden="1">
      <c r="A1645" s="83" t="s">
        <v>6317</v>
      </c>
      <c r="B1645" s="83" t="s">
        <v>6318</v>
      </c>
      <c r="C1645" s="81" t="s">
        <v>4082</v>
      </c>
      <c r="D1645" s="81" t="s">
        <v>224</v>
      </c>
      <c r="E1645" s="81" t="s">
        <v>5001</v>
      </c>
      <c r="F1645" s="81" t="s">
        <v>224</v>
      </c>
      <c r="G1645" s="81" t="s">
        <v>224</v>
      </c>
      <c r="H1645" s="81" t="s">
        <v>224</v>
      </c>
      <c r="I1645" s="81" t="s">
        <v>224</v>
      </c>
      <c r="J1645" s="81" t="s">
        <v>5002</v>
      </c>
    </row>
    <row r="1646" hidden="1">
      <c r="A1646" s="83" t="s">
        <v>6317</v>
      </c>
      <c r="B1646" s="83" t="s">
        <v>6318</v>
      </c>
      <c r="C1646" s="81" t="s">
        <v>4082</v>
      </c>
      <c r="D1646" s="81" t="s">
        <v>224</v>
      </c>
      <c r="E1646" s="81" t="s">
        <v>5003</v>
      </c>
      <c r="F1646" s="81" t="s">
        <v>224</v>
      </c>
      <c r="G1646" s="81" t="s">
        <v>224</v>
      </c>
      <c r="H1646" s="81" t="s">
        <v>224</v>
      </c>
      <c r="I1646" s="81" t="s">
        <v>224</v>
      </c>
      <c r="J1646" s="81" t="s">
        <v>5004</v>
      </c>
    </row>
    <row r="1647" hidden="1">
      <c r="A1647" s="83" t="s">
        <v>6317</v>
      </c>
      <c r="B1647" s="83" t="s">
        <v>6318</v>
      </c>
      <c r="C1647" s="81" t="s">
        <v>4082</v>
      </c>
      <c r="D1647" s="81" t="s">
        <v>224</v>
      </c>
      <c r="E1647" s="81" t="s">
        <v>5005</v>
      </c>
      <c r="F1647" s="81" t="s">
        <v>224</v>
      </c>
      <c r="G1647" s="81" t="s">
        <v>224</v>
      </c>
      <c r="H1647" s="81" t="s">
        <v>224</v>
      </c>
      <c r="I1647" s="81" t="s">
        <v>224</v>
      </c>
      <c r="J1647" s="81" t="s">
        <v>5006</v>
      </c>
    </row>
    <row r="1648" hidden="1">
      <c r="A1648" s="83" t="s">
        <v>6317</v>
      </c>
      <c r="B1648" s="83" t="s">
        <v>6318</v>
      </c>
      <c r="C1648" s="81" t="s">
        <v>4082</v>
      </c>
      <c r="D1648" s="81" t="s">
        <v>224</v>
      </c>
      <c r="E1648" s="81" t="s">
        <v>5007</v>
      </c>
      <c r="F1648" s="81" t="s">
        <v>224</v>
      </c>
      <c r="G1648" s="81" t="s">
        <v>224</v>
      </c>
      <c r="H1648" s="81" t="s">
        <v>224</v>
      </c>
      <c r="I1648" s="81" t="s">
        <v>224</v>
      </c>
      <c r="J1648" s="81" t="s">
        <v>5008</v>
      </c>
    </row>
    <row r="1649" hidden="1">
      <c r="A1649" s="83" t="s">
        <v>6317</v>
      </c>
      <c r="B1649" s="83" t="s">
        <v>6318</v>
      </c>
      <c r="C1649" s="81" t="s">
        <v>4082</v>
      </c>
      <c r="D1649" s="81" t="s">
        <v>224</v>
      </c>
      <c r="E1649" s="81" t="s">
        <v>5009</v>
      </c>
      <c r="F1649" s="81" t="s">
        <v>224</v>
      </c>
      <c r="G1649" s="81" t="s">
        <v>224</v>
      </c>
      <c r="H1649" s="81" t="s">
        <v>224</v>
      </c>
      <c r="I1649" s="81" t="s">
        <v>224</v>
      </c>
      <c r="J1649" s="81" t="s">
        <v>5010</v>
      </c>
    </row>
    <row r="1650" hidden="1">
      <c r="A1650" s="83" t="s">
        <v>6317</v>
      </c>
      <c r="B1650" s="83" t="s">
        <v>6318</v>
      </c>
      <c r="C1650" s="81" t="s">
        <v>4082</v>
      </c>
      <c r="D1650" s="81" t="s">
        <v>224</v>
      </c>
      <c r="E1650" s="81" t="s">
        <v>5011</v>
      </c>
      <c r="F1650" s="81" t="s">
        <v>224</v>
      </c>
      <c r="G1650" s="81" t="s">
        <v>224</v>
      </c>
      <c r="H1650" s="81" t="s">
        <v>224</v>
      </c>
      <c r="I1650" s="81" t="s">
        <v>224</v>
      </c>
      <c r="J1650" s="81" t="s">
        <v>5012</v>
      </c>
    </row>
    <row r="1651" hidden="1">
      <c r="A1651" s="83" t="s">
        <v>6317</v>
      </c>
      <c r="B1651" s="83" t="s">
        <v>6318</v>
      </c>
      <c r="C1651" s="81" t="s">
        <v>4082</v>
      </c>
      <c r="D1651" s="81" t="s">
        <v>224</v>
      </c>
      <c r="E1651" s="81" t="s">
        <v>5013</v>
      </c>
      <c r="F1651" s="81" t="s">
        <v>224</v>
      </c>
      <c r="G1651" s="81" t="s">
        <v>224</v>
      </c>
      <c r="H1651" s="81" t="s">
        <v>224</v>
      </c>
      <c r="I1651" s="81" t="s">
        <v>224</v>
      </c>
      <c r="J1651" s="81" t="s">
        <v>5014</v>
      </c>
    </row>
    <row r="1652" hidden="1">
      <c r="A1652" s="83" t="s">
        <v>6317</v>
      </c>
      <c r="B1652" s="83" t="s">
        <v>6318</v>
      </c>
      <c r="C1652" s="81" t="s">
        <v>4082</v>
      </c>
      <c r="D1652" s="81" t="s">
        <v>224</v>
      </c>
      <c r="E1652" s="81" t="s">
        <v>5015</v>
      </c>
      <c r="F1652" s="81" t="s">
        <v>224</v>
      </c>
      <c r="G1652" s="81" t="s">
        <v>224</v>
      </c>
      <c r="H1652" s="81" t="s">
        <v>224</v>
      </c>
      <c r="I1652" s="81" t="s">
        <v>224</v>
      </c>
      <c r="J1652" s="81" t="s">
        <v>5016</v>
      </c>
    </row>
    <row r="1653" hidden="1">
      <c r="A1653" s="83" t="s">
        <v>6317</v>
      </c>
      <c r="B1653" s="83" t="s">
        <v>6318</v>
      </c>
      <c r="C1653" s="81" t="s">
        <v>4082</v>
      </c>
      <c r="D1653" s="81" t="s">
        <v>224</v>
      </c>
      <c r="E1653" s="81" t="s">
        <v>5017</v>
      </c>
      <c r="F1653" s="81" t="s">
        <v>224</v>
      </c>
      <c r="G1653" s="81" t="s">
        <v>224</v>
      </c>
      <c r="H1653" s="81" t="s">
        <v>224</v>
      </c>
      <c r="I1653" s="81" t="s">
        <v>224</v>
      </c>
      <c r="J1653" s="81" t="s">
        <v>5018</v>
      </c>
    </row>
    <row r="1654" hidden="1">
      <c r="A1654" s="83" t="s">
        <v>6317</v>
      </c>
      <c r="B1654" s="83" t="s">
        <v>6318</v>
      </c>
      <c r="C1654" s="81" t="s">
        <v>4082</v>
      </c>
      <c r="D1654" s="81" t="s">
        <v>224</v>
      </c>
      <c r="E1654" s="81" t="s">
        <v>5019</v>
      </c>
      <c r="F1654" s="81" t="s">
        <v>224</v>
      </c>
      <c r="G1654" s="81" t="s">
        <v>224</v>
      </c>
      <c r="H1654" s="81" t="s">
        <v>224</v>
      </c>
      <c r="I1654" s="81" t="s">
        <v>224</v>
      </c>
      <c r="J1654" s="81" t="s">
        <v>5020</v>
      </c>
    </row>
    <row r="1655" hidden="1">
      <c r="A1655" s="83" t="s">
        <v>6317</v>
      </c>
      <c r="B1655" s="83" t="s">
        <v>6318</v>
      </c>
      <c r="C1655" s="81" t="s">
        <v>4082</v>
      </c>
      <c r="D1655" s="81" t="s">
        <v>224</v>
      </c>
      <c r="E1655" s="81" t="s">
        <v>5021</v>
      </c>
      <c r="F1655" s="81" t="s">
        <v>224</v>
      </c>
      <c r="G1655" s="81" t="s">
        <v>224</v>
      </c>
      <c r="H1655" s="81" t="s">
        <v>224</v>
      </c>
      <c r="I1655" s="81" t="s">
        <v>224</v>
      </c>
      <c r="J1655" s="81" t="s">
        <v>5022</v>
      </c>
    </row>
    <row r="1656" hidden="1">
      <c r="A1656" s="83" t="s">
        <v>6317</v>
      </c>
      <c r="B1656" s="83" t="s">
        <v>6318</v>
      </c>
      <c r="C1656" s="81" t="s">
        <v>4082</v>
      </c>
      <c r="D1656" s="81" t="s">
        <v>224</v>
      </c>
      <c r="E1656" s="81" t="s">
        <v>5023</v>
      </c>
      <c r="F1656" s="81" t="s">
        <v>224</v>
      </c>
      <c r="G1656" s="81" t="s">
        <v>224</v>
      </c>
      <c r="H1656" s="81" t="s">
        <v>224</v>
      </c>
      <c r="I1656" s="81" t="s">
        <v>224</v>
      </c>
      <c r="J1656" s="81" t="s">
        <v>5024</v>
      </c>
    </row>
    <row r="1657" hidden="1">
      <c r="A1657" s="83" t="s">
        <v>6317</v>
      </c>
      <c r="B1657" s="83" t="s">
        <v>6318</v>
      </c>
      <c r="C1657" s="81" t="s">
        <v>4082</v>
      </c>
      <c r="D1657" s="81" t="s">
        <v>224</v>
      </c>
      <c r="E1657" s="81" t="s">
        <v>5025</v>
      </c>
      <c r="F1657" s="81" t="s">
        <v>224</v>
      </c>
      <c r="G1657" s="81" t="s">
        <v>224</v>
      </c>
      <c r="H1657" s="81" t="s">
        <v>224</v>
      </c>
      <c r="I1657" s="81" t="s">
        <v>224</v>
      </c>
      <c r="J1657" s="81" t="s">
        <v>5026</v>
      </c>
    </row>
    <row r="1658" hidden="1">
      <c r="A1658" s="83" t="s">
        <v>6317</v>
      </c>
      <c r="B1658" s="83" t="s">
        <v>6318</v>
      </c>
      <c r="C1658" s="81" t="s">
        <v>4082</v>
      </c>
      <c r="D1658" s="81" t="s">
        <v>224</v>
      </c>
      <c r="E1658" s="81" t="s">
        <v>5027</v>
      </c>
      <c r="F1658" s="81" t="s">
        <v>224</v>
      </c>
      <c r="G1658" s="81" t="s">
        <v>224</v>
      </c>
      <c r="H1658" s="81" t="s">
        <v>224</v>
      </c>
      <c r="I1658" s="81" t="s">
        <v>224</v>
      </c>
      <c r="J1658" s="81" t="s">
        <v>5028</v>
      </c>
    </row>
    <row r="1659" hidden="1">
      <c r="A1659" s="83" t="s">
        <v>6317</v>
      </c>
      <c r="B1659" s="83" t="s">
        <v>6318</v>
      </c>
      <c r="C1659" s="81" t="s">
        <v>4082</v>
      </c>
      <c r="D1659" s="81" t="s">
        <v>224</v>
      </c>
      <c r="E1659" s="81" t="s">
        <v>5029</v>
      </c>
      <c r="F1659" s="81" t="s">
        <v>224</v>
      </c>
      <c r="G1659" s="81" t="s">
        <v>224</v>
      </c>
      <c r="H1659" s="81" t="s">
        <v>224</v>
      </c>
      <c r="I1659" s="81" t="s">
        <v>224</v>
      </c>
      <c r="J1659" s="81" t="s">
        <v>5030</v>
      </c>
    </row>
    <row r="1660" hidden="1">
      <c r="A1660" s="83" t="s">
        <v>6317</v>
      </c>
      <c r="B1660" s="83" t="s">
        <v>6318</v>
      </c>
      <c r="C1660" s="81" t="s">
        <v>4082</v>
      </c>
      <c r="D1660" s="81" t="s">
        <v>224</v>
      </c>
      <c r="E1660" s="81" t="s">
        <v>5031</v>
      </c>
      <c r="F1660" s="81" t="s">
        <v>224</v>
      </c>
      <c r="G1660" s="81" t="s">
        <v>224</v>
      </c>
      <c r="H1660" s="81" t="s">
        <v>224</v>
      </c>
      <c r="I1660" s="81" t="s">
        <v>224</v>
      </c>
      <c r="J1660" s="81" t="s">
        <v>5032</v>
      </c>
    </row>
    <row r="1661" hidden="1">
      <c r="A1661" s="83" t="s">
        <v>6317</v>
      </c>
      <c r="B1661" s="83" t="s">
        <v>6318</v>
      </c>
      <c r="C1661" s="81" t="s">
        <v>4082</v>
      </c>
      <c r="D1661" s="81" t="s">
        <v>224</v>
      </c>
      <c r="E1661" s="81" t="s">
        <v>5033</v>
      </c>
      <c r="F1661" s="81" t="s">
        <v>224</v>
      </c>
      <c r="G1661" s="81" t="s">
        <v>224</v>
      </c>
      <c r="H1661" s="81" t="s">
        <v>224</v>
      </c>
      <c r="I1661" s="81" t="s">
        <v>224</v>
      </c>
      <c r="J1661" s="81" t="s">
        <v>5034</v>
      </c>
    </row>
    <row r="1662" hidden="1">
      <c r="A1662" s="83" t="s">
        <v>6317</v>
      </c>
      <c r="B1662" s="83" t="s">
        <v>6318</v>
      </c>
      <c r="C1662" s="81" t="s">
        <v>4082</v>
      </c>
      <c r="D1662" s="81" t="s">
        <v>224</v>
      </c>
      <c r="E1662" s="81" t="s">
        <v>5035</v>
      </c>
      <c r="F1662" s="81" t="s">
        <v>224</v>
      </c>
      <c r="G1662" s="81" t="s">
        <v>224</v>
      </c>
      <c r="H1662" s="81" t="s">
        <v>224</v>
      </c>
      <c r="I1662" s="81" t="s">
        <v>224</v>
      </c>
      <c r="J1662" s="81" t="s">
        <v>5036</v>
      </c>
    </row>
    <row r="1663" hidden="1">
      <c r="A1663" s="83" t="s">
        <v>6317</v>
      </c>
      <c r="B1663" s="83" t="s">
        <v>6318</v>
      </c>
      <c r="C1663" s="81" t="s">
        <v>4082</v>
      </c>
      <c r="D1663" s="81" t="s">
        <v>224</v>
      </c>
      <c r="E1663" s="81" t="s">
        <v>5037</v>
      </c>
      <c r="F1663" s="81" t="s">
        <v>224</v>
      </c>
      <c r="G1663" s="81" t="s">
        <v>224</v>
      </c>
      <c r="H1663" s="81" t="s">
        <v>224</v>
      </c>
      <c r="I1663" s="81" t="s">
        <v>224</v>
      </c>
      <c r="J1663" s="81" t="s">
        <v>5038</v>
      </c>
    </row>
    <row r="1664" hidden="1">
      <c r="A1664" s="83" t="s">
        <v>6317</v>
      </c>
      <c r="B1664" s="83" t="s">
        <v>6318</v>
      </c>
      <c r="C1664" s="81" t="s">
        <v>4082</v>
      </c>
      <c r="D1664" s="81" t="s">
        <v>224</v>
      </c>
      <c r="E1664" s="81" t="s">
        <v>5039</v>
      </c>
      <c r="F1664" s="81" t="s">
        <v>224</v>
      </c>
      <c r="G1664" s="81" t="s">
        <v>224</v>
      </c>
      <c r="H1664" s="81" t="s">
        <v>224</v>
      </c>
      <c r="I1664" s="81" t="s">
        <v>224</v>
      </c>
      <c r="J1664" s="81" t="s">
        <v>5040</v>
      </c>
    </row>
    <row r="1665" hidden="1">
      <c r="A1665" s="83" t="s">
        <v>6317</v>
      </c>
      <c r="B1665" s="83" t="s">
        <v>6318</v>
      </c>
      <c r="C1665" s="81" t="s">
        <v>4082</v>
      </c>
      <c r="D1665" s="81" t="s">
        <v>224</v>
      </c>
      <c r="E1665" s="81" t="s">
        <v>5041</v>
      </c>
      <c r="F1665" s="81" t="s">
        <v>224</v>
      </c>
      <c r="G1665" s="81" t="s">
        <v>224</v>
      </c>
      <c r="H1665" s="81" t="s">
        <v>224</v>
      </c>
      <c r="I1665" s="81" t="s">
        <v>224</v>
      </c>
      <c r="J1665" s="81" t="s">
        <v>5042</v>
      </c>
    </row>
    <row r="1666" hidden="1">
      <c r="A1666" s="83" t="s">
        <v>6317</v>
      </c>
      <c r="B1666" s="83" t="s">
        <v>6318</v>
      </c>
      <c r="C1666" s="81" t="s">
        <v>4082</v>
      </c>
      <c r="D1666" s="81" t="s">
        <v>224</v>
      </c>
      <c r="E1666" s="81" t="s">
        <v>5043</v>
      </c>
      <c r="F1666" s="81" t="s">
        <v>224</v>
      </c>
      <c r="G1666" s="81" t="s">
        <v>224</v>
      </c>
      <c r="H1666" s="81" t="s">
        <v>224</v>
      </c>
      <c r="I1666" s="81" t="s">
        <v>224</v>
      </c>
      <c r="J1666" s="81" t="s">
        <v>5044</v>
      </c>
    </row>
    <row r="1667" hidden="1">
      <c r="A1667" s="83" t="s">
        <v>6317</v>
      </c>
      <c r="B1667" s="83" t="s">
        <v>6318</v>
      </c>
      <c r="C1667" s="81" t="s">
        <v>4082</v>
      </c>
      <c r="D1667" s="81" t="s">
        <v>224</v>
      </c>
      <c r="E1667" s="81" t="s">
        <v>5045</v>
      </c>
      <c r="F1667" s="81" t="s">
        <v>224</v>
      </c>
      <c r="G1667" s="81" t="s">
        <v>224</v>
      </c>
      <c r="H1667" s="81" t="s">
        <v>224</v>
      </c>
      <c r="I1667" s="81" t="s">
        <v>224</v>
      </c>
      <c r="J1667" s="81" t="s">
        <v>5046</v>
      </c>
    </row>
    <row r="1668" hidden="1">
      <c r="A1668" s="83" t="s">
        <v>6317</v>
      </c>
      <c r="B1668" s="83" t="s">
        <v>6318</v>
      </c>
      <c r="C1668" s="81" t="s">
        <v>4082</v>
      </c>
      <c r="D1668" s="81" t="s">
        <v>224</v>
      </c>
      <c r="E1668" s="81" t="s">
        <v>5047</v>
      </c>
      <c r="F1668" s="81" t="s">
        <v>224</v>
      </c>
      <c r="G1668" s="81" t="s">
        <v>224</v>
      </c>
      <c r="H1668" s="81" t="s">
        <v>224</v>
      </c>
      <c r="I1668" s="81" t="s">
        <v>224</v>
      </c>
      <c r="J1668" s="81" t="s">
        <v>5048</v>
      </c>
    </row>
    <row r="1669" hidden="1">
      <c r="A1669" s="83" t="s">
        <v>6317</v>
      </c>
      <c r="B1669" s="83" t="s">
        <v>6318</v>
      </c>
      <c r="C1669" s="81" t="s">
        <v>4082</v>
      </c>
      <c r="D1669" s="81" t="s">
        <v>224</v>
      </c>
      <c r="E1669" s="81" t="s">
        <v>5049</v>
      </c>
      <c r="F1669" s="81" t="s">
        <v>224</v>
      </c>
      <c r="G1669" s="81" t="s">
        <v>224</v>
      </c>
      <c r="H1669" s="81" t="s">
        <v>224</v>
      </c>
      <c r="I1669" s="81" t="s">
        <v>224</v>
      </c>
      <c r="J1669" s="81" t="s">
        <v>5050</v>
      </c>
    </row>
    <row r="1670" hidden="1">
      <c r="A1670" s="83" t="s">
        <v>6317</v>
      </c>
      <c r="B1670" s="83" t="s">
        <v>6318</v>
      </c>
      <c r="C1670" s="81" t="s">
        <v>4082</v>
      </c>
      <c r="D1670" s="81" t="s">
        <v>224</v>
      </c>
      <c r="E1670" s="81" t="s">
        <v>5051</v>
      </c>
      <c r="F1670" s="81" t="s">
        <v>224</v>
      </c>
      <c r="G1670" s="81" t="s">
        <v>224</v>
      </c>
      <c r="H1670" s="81" t="s">
        <v>224</v>
      </c>
      <c r="I1670" s="81" t="s">
        <v>224</v>
      </c>
      <c r="J1670" s="81" t="s">
        <v>5052</v>
      </c>
    </row>
    <row r="1671" hidden="1">
      <c r="A1671" s="83" t="s">
        <v>6317</v>
      </c>
      <c r="B1671" s="83" t="s">
        <v>6318</v>
      </c>
      <c r="C1671" s="81" t="s">
        <v>4082</v>
      </c>
      <c r="D1671" s="81" t="s">
        <v>224</v>
      </c>
      <c r="E1671" s="81" t="s">
        <v>5053</v>
      </c>
      <c r="F1671" s="81" t="s">
        <v>224</v>
      </c>
      <c r="G1671" s="81" t="s">
        <v>224</v>
      </c>
      <c r="H1671" s="81" t="s">
        <v>224</v>
      </c>
      <c r="I1671" s="81" t="s">
        <v>224</v>
      </c>
      <c r="J1671" s="81" t="s">
        <v>5054</v>
      </c>
    </row>
    <row r="1672" hidden="1">
      <c r="A1672" s="83" t="s">
        <v>6317</v>
      </c>
      <c r="B1672" s="83" t="s">
        <v>6318</v>
      </c>
      <c r="C1672" s="81" t="s">
        <v>4082</v>
      </c>
      <c r="D1672" s="81" t="s">
        <v>224</v>
      </c>
      <c r="E1672" s="81" t="s">
        <v>5055</v>
      </c>
      <c r="F1672" s="81" t="s">
        <v>224</v>
      </c>
      <c r="G1672" s="81" t="s">
        <v>224</v>
      </c>
      <c r="H1672" s="81" t="s">
        <v>224</v>
      </c>
      <c r="I1672" s="81" t="s">
        <v>224</v>
      </c>
      <c r="J1672" s="81" t="s">
        <v>5056</v>
      </c>
    </row>
    <row r="1673" hidden="1">
      <c r="A1673" s="83" t="s">
        <v>6317</v>
      </c>
      <c r="B1673" s="83" t="s">
        <v>6318</v>
      </c>
      <c r="C1673" s="81" t="s">
        <v>4082</v>
      </c>
      <c r="D1673" s="81" t="s">
        <v>224</v>
      </c>
      <c r="E1673" s="81" t="s">
        <v>5057</v>
      </c>
      <c r="F1673" s="81" t="s">
        <v>224</v>
      </c>
      <c r="G1673" s="81" t="s">
        <v>224</v>
      </c>
      <c r="H1673" s="81" t="s">
        <v>224</v>
      </c>
      <c r="I1673" s="81" t="s">
        <v>224</v>
      </c>
      <c r="J1673" s="81" t="s">
        <v>5058</v>
      </c>
    </row>
    <row r="1674" hidden="1">
      <c r="A1674" s="83" t="s">
        <v>6317</v>
      </c>
      <c r="B1674" s="83" t="s">
        <v>6318</v>
      </c>
      <c r="C1674" s="81" t="s">
        <v>4082</v>
      </c>
      <c r="D1674" s="81" t="s">
        <v>224</v>
      </c>
      <c r="E1674" s="81" t="s">
        <v>5059</v>
      </c>
      <c r="F1674" s="81" t="s">
        <v>224</v>
      </c>
      <c r="G1674" s="81" t="s">
        <v>224</v>
      </c>
      <c r="H1674" s="81" t="s">
        <v>224</v>
      </c>
      <c r="I1674" s="81" t="s">
        <v>224</v>
      </c>
      <c r="J1674" s="81" t="s">
        <v>5060</v>
      </c>
    </row>
    <row r="1675" hidden="1">
      <c r="A1675" s="83" t="s">
        <v>6317</v>
      </c>
      <c r="B1675" s="83" t="s">
        <v>6318</v>
      </c>
      <c r="C1675" s="81" t="s">
        <v>4082</v>
      </c>
      <c r="D1675" s="81" t="s">
        <v>224</v>
      </c>
      <c r="E1675" s="81" t="s">
        <v>5061</v>
      </c>
      <c r="F1675" s="81" t="s">
        <v>224</v>
      </c>
      <c r="G1675" s="81" t="s">
        <v>224</v>
      </c>
      <c r="H1675" s="81" t="s">
        <v>224</v>
      </c>
      <c r="I1675" s="81" t="s">
        <v>224</v>
      </c>
      <c r="J1675" s="81" t="s">
        <v>5062</v>
      </c>
    </row>
    <row r="1676" hidden="1">
      <c r="A1676" s="83" t="s">
        <v>6317</v>
      </c>
      <c r="B1676" s="83" t="s">
        <v>6318</v>
      </c>
      <c r="C1676" s="81" t="s">
        <v>4082</v>
      </c>
      <c r="D1676" s="81" t="s">
        <v>224</v>
      </c>
      <c r="E1676" s="81" t="s">
        <v>5063</v>
      </c>
      <c r="F1676" s="81" t="s">
        <v>224</v>
      </c>
      <c r="G1676" s="81" t="s">
        <v>224</v>
      </c>
      <c r="H1676" s="81" t="s">
        <v>224</v>
      </c>
      <c r="I1676" s="81" t="s">
        <v>224</v>
      </c>
      <c r="J1676" s="81" t="s">
        <v>5064</v>
      </c>
    </row>
    <row r="1677" hidden="1">
      <c r="A1677" s="83" t="s">
        <v>6317</v>
      </c>
      <c r="B1677" s="83" t="s">
        <v>6318</v>
      </c>
      <c r="C1677" s="81" t="s">
        <v>4082</v>
      </c>
      <c r="D1677" s="81" t="s">
        <v>224</v>
      </c>
      <c r="E1677" s="81" t="s">
        <v>5065</v>
      </c>
      <c r="F1677" s="81" t="s">
        <v>224</v>
      </c>
      <c r="G1677" s="81" t="s">
        <v>224</v>
      </c>
      <c r="H1677" s="81" t="s">
        <v>224</v>
      </c>
      <c r="I1677" s="81" t="s">
        <v>224</v>
      </c>
      <c r="J1677" s="81" t="s">
        <v>5066</v>
      </c>
    </row>
    <row r="1678" hidden="1">
      <c r="A1678" s="83" t="s">
        <v>6317</v>
      </c>
      <c r="B1678" s="83" t="s">
        <v>6318</v>
      </c>
      <c r="C1678" s="81" t="s">
        <v>4082</v>
      </c>
      <c r="D1678" s="81" t="s">
        <v>224</v>
      </c>
      <c r="E1678" s="81" t="s">
        <v>5067</v>
      </c>
      <c r="F1678" s="81" t="s">
        <v>224</v>
      </c>
      <c r="G1678" s="81" t="s">
        <v>224</v>
      </c>
      <c r="H1678" s="81" t="s">
        <v>224</v>
      </c>
      <c r="I1678" s="81" t="s">
        <v>224</v>
      </c>
      <c r="J1678" s="81" t="s">
        <v>5068</v>
      </c>
    </row>
    <row r="1679" hidden="1">
      <c r="A1679" s="83" t="s">
        <v>6317</v>
      </c>
      <c r="B1679" s="83" t="s">
        <v>6318</v>
      </c>
      <c r="C1679" s="81" t="s">
        <v>4082</v>
      </c>
      <c r="D1679" s="81" t="s">
        <v>224</v>
      </c>
      <c r="E1679" s="81" t="s">
        <v>5069</v>
      </c>
      <c r="F1679" s="81" t="s">
        <v>224</v>
      </c>
      <c r="G1679" s="81" t="s">
        <v>224</v>
      </c>
      <c r="H1679" s="81" t="s">
        <v>224</v>
      </c>
      <c r="I1679" s="81" t="s">
        <v>224</v>
      </c>
      <c r="J1679" s="81" t="s">
        <v>5070</v>
      </c>
    </row>
    <row r="1680" hidden="1">
      <c r="A1680" s="83" t="s">
        <v>6317</v>
      </c>
      <c r="B1680" s="83" t="s">
        <v>6318</v>
      </c>
      <c r="C1680" s="81" t="s">
        <v>4082</v>
      </c>
      <c r="D1680" s="81" t="s">
        <v>224</v>
      </c>
      <c r="E1680" s="81" t="s">
        <v>5071</v>
      </c>
      <c r="F1680" s="81" t="s">
        <v>224</v>
      </c>
      <c r="G1680" s="81" t="s">
        <v>224</v>
      </c>
      <c r="H1680" s="81" t="s">
        <v>224</v>
      </c>
      <c r="I1680" s="81" t="s">
        <v>224</v>
      </c>
      <c r="J1680" s="81" t="s">
        <v>5072</v>
      </c>
    </row>
    <row r="1681" hidden="1">
      <c r="A1681" s="83" t="s">
        <v>6317</v>
      </c>
      <c r="B1681" s="83" t="s">
        <v>6318</v>
      </c>
      <c r="C1681" s="81" t="s">
        <v>4082</v>
      </c>
      <c r="D1681" s="81" t="s">
        <v>224</v>
      </c>
      <c r="E1681" s="81" t="s">
        <v>5073</v>
      </c>
      <c r="F1681" s="81" t="s">
        <v>224</v>
      </c>
      <c r="G1681" s="81" t="s">
        <v>224</v>
      </c>
      <c r="H1681" s="81" t="s">
        <v>224</v>
      </c>
      <c r="I1681" s="81" t="s">
        <v>224</v>
      </c>
      <c r="J1681" s="81" t="s">
        <v>5074</v>
      </c>
    </row>
    <row r="1682" hidden="1">
      <c r="A1682" s="83" t="s">
        <v>6317</v>
      </c>
      <c r="B1682" s="83" t="s">
        <v>6318</v>
      </c>
      <c r="C1682" s="81" t="s">
        <v>4082</v>
      </c>
      <c r="D1682" s="81" t="s">
        <v>224</v>
      </c>
      <c r="E1682" s="81" t="s">
        <v>5075</v>
      </c>
      <c r="F1682" s="81" t="s">
        <v>224</v>
      </c>
      <c r="G1682" s="81" t="s">
        <v>224</v>
      </c>
      <c r="H1682" s="81" t="s">
        <v>224</v>
      </c>
      <c r="I1682" s="81" t="s">
        <v>224</v>
      </c>
      <c r="J1682" s="81" t="s">
        <v>5076</v>
      </c>
    </row>
    <row r="1683" hidden="1">
      <c r="A1683" s="83" t="s">
        <v>6317</v>
      </c>
      <c r="B1683" s="83" t="s">
        <v>6318</v>
      </c>
      <c r="C1683" s="81" t="s">
        <v>4082</v>
      </c>
      <c r="D1683" s="81" t="s">
        <v>224</v>
      </c>
      <c r="E1683" s="81" t="s">
        <v>5077</v>
      </c>
      <c r="F1683" s="81" t="s">
        <v>224</v>
      </c>
      <c r="G1683" s="81" t="s">
        <v>224</v>
      </c>
      <c r="H1683" s="81" t="s">
        <v>224</v>
      </c>
      <c r="I1683" s="81" t="s">
        <v>224</v>
      </c>
      <c r="J1683" s="81" t="s">
        <v>5078</v>
      </c>
    </row>
    <row r="1684" hidden="1">
      <c r="A1684" s="83" t="s">
        <v>6317</v>
      </c>
      <c r="B1684" s="83" t="s">
        <v>6318</v>
      </c>
      <c r="C1684" s="81" t="s">
        <v>4082</v>
      </c>
      <c r="D1684" s="81" t="s">
        <v>224</v>
      </c>
      <c r="E1684" s="81" t="s">
        <v>5079</v>
      </c>
      <c r="F1684" s="81" t="s">
        <v>224</v>
      </c>
      <c r="G1684" s="81" t="s">
        <v>224</v>
      </c>
      <c r="H1684" s="81" t="s">
        <v>224</v>
      </c>
      <c r="I1684" s="81" t="s">
        <v>224</v>
      </c>
      <c r="J1684" s="81" t="s">
        <v>4974</v>
      </c>
    </row>
    <row r="1685" hidden="1">
      <c r="A1685" s="83" t="s">
        <v>6317</v>
      </c>
      <c r="B1685" s="83" t="s">
        <v>6318</v>
      </c>
      <c r="C1685" s="81" t="s">
        <v>4082</v>
      </c>
      <c r="D1685" s="81" t="s">
        <v>224</v>
      </c>
      <c r="E1685" s="81" t="s">
        <v>5080</v>
      </c>
      <c r="F1685" s="81" t="s">
        <v>224</v>
      </c>
      <c r="G1685" s="81" t="s">
        <v>224</v>
      </c>
      <c r="H1685" s="81" t="s">
        <v>224</v>
      </c>
      <c r="I1685" s="81" t="s">
        <v>224</v>
      </c>
      <c r="J1685" s="81" t="s">
        <v>4974</v>
      </c>
    </row>
    <row r="1686" hidden="1">
      <c r="A1686" s="83" t="s">
        <v>6317</v>
      </c>
      <c r="B1686" s="83" t="s">
        <v>6318</v>
      </c>
      <c r="C1686" s="81" t="s">
        <v>4082</v>
      </c>
      <c r="D1686" s="81" t="s">
        <v>224</v>
      </c>
      <c r="E1686" s="81" t="s">
        <v>5081</v>
      </c>
      <c r="F1686" s="81" t="s">
        <v>224</v>
      </c>
      <c r="G1686" s="81" t="s">
        <v>224</v>
      </c>
      <c r="H1686" s="81" t="s">
        <v>224</v>
      </c>
      <c r="I1686" s="81" t="s">
        <v>224</v>
      </c>
      <c r="J1686" s="81" t="s">
        <v>5082</v>
      </c>
    </row>
    <row r="1687" hidden="1">
      <c r="A1687" s="83" t="s">
        <v>6317</v>
      </c>
      <c r="B1687" s="83" t="s">
        <v>6318</v>
      </c>
      <c r="C1687" s="81" t="s">
        <v>4082</v>
      </c>
      <c r="D1687" s="81" t="s">
        <v>224</v>
      </c>
      <c r="E1687" s="81" t="s">
        <v>5083</v>
      </c>
      <c r="F1687" s="81" t="s">
        <v>224</v>
      </c>
      <c r="G1687" s="81" t="s">
        <v>224</v>
      </c>
      <c r="H1687" s="81" t="s">
        <v>224</v>
      </c>
      <c r="I1687" s="81" t="s">
        <v>224</v>
      </c>
      <c r="J1687" s="81" t="s">
        <v>4984</v>
      </c>
    </row>
    <row r="1688" hidden="1">
      <c r="A1688" s="83" t="s">
        <v>6317</v>
      </c>
      <c r="B1688" s="83" t="s">
        <v>6318</v>
      </c>
      <c r="C1688" s="81" t="s">
        <v>4082</v>
      </c>
      <c r="D1688" s="81" t="s">
        <v>224</v>
      </c>
      <c r="E1688" s="81" t="s">
        <v>5084</v>
      </c>
      <c r="F1688" s="81" t="s">
        <v>224</v>
      </c>
      <c r="G1688" s="81" t="s">
        <v>224</v>
      </c>
      <c r="H1688" s="81" t="s">
        <v>224</v>
      </c>
      <c r="I1688" s="81" t="s">
        <v>224</v>
      </c>
      <c r="J1688" s="81" t="s">
        <v>5026</v>
      </c>
    </row>
    <row r="1689" hidden="1">
      <c r="A1689" s="83" t="s">
        <v>6317</v>
      </c>
      <c r="B1689" s="83" t="s">
        <v>6318</v>
      </c>
      <c r="C1689" s="81" t="s">
        <v>4082</v>
      </c>
      <c r="D1689" s="81" t="s">
        <v>224</v>
      </c>
      <c r="E1689" s="81" t="s">
        <v>5085</v>
      </c>
      <c r="F1689" s="81" t="s">
        <v>224</v>
      </c>
      <c r="G1689" s="81" t="s">
        <v>224</v>
      </c>
      <c r="H1689" s="81" t="s">
        <v>224</v>
      </c>
      <c r="I1689" s="81" t="s">
        <v>224</v>
      </c>
      <c r="J1689" s="81" t="s">
        <v>5006</v>
      </c>
    </row>
    <row r="1690" hidden="1">
      <c r="A1690" s="83" t="s">
        <v>6317</v>
      </c>
      <c r="B1690" s="83" t="s">
        <v>6318</v>
      </c>
      <c r="C1690" s="81" t="s">
        <v>4082</v>
      </c>
      <c r="D1690" s="81" t="s">
        <v>224</v>
      </c>
      <c r="E1690" s="81" t="s">
        <v>5086</v>
      </c>
      <c r="F1690" s="81" t="s">
        <v>224</v>
      </c>
      <c r="G1690" s="81" t="s">
        <v>224</v>
      </c>
      <c r="H1690" s="81" t="s">
        <v>224</v>
      </c>
      <c r="I1690" s="81" t="s">
        <v>224</v>
      </c>
      <c r="J1690" s="81" t="s">
        <v>5006</v>
      </c>
    </row>
    <row r="1691" hidden="1">
      <c r="A1691" s="83" t="s">
        <v>6317</v>
      </c>
      <c r="B1691" s="83" t="s">
        <v>6318</v>
      </c>
      <c r="C1691" s="81" t="s">
        <v>4082</v>
      </c>
      <c r="D1691" s="81" t="s">
        <v>224</v>
      </c>
      <c r="E1691" s="81" t="s">
        <v>5087</v>
      </c>
      <c r="F1691" s="81" t="s">
        <v>224</v>
      </c>
      <c r="G1691" s="81" t="s">
        <v>224</v>
      </c>
      <c r="H1691" s="81" t="s">
        <v>224</v>
      </c>
      <c r="I1691" s="81" t="s">
        <v>224</v>
      </c>
      <c r="J1691" s="81" t="s">
        <v>4984</v>
      </c>
    </row>
    <row r="1692" hidden="1">
      <c r="A1692" s="83" t="s">
        <v>6317</v>
      </c>
      <c r="B1692" s="83" t="s">
        <v>6318</v>
      </c>
      <c r="C1692" s="81" t="s">
        <v>4082</v>
      </c>
      <c r="D1692" s="81" t="s">
        <v>224</v>
      </c>
      <c r="E1692" s="81" t="s">
        <v>5088</v>
      </c>
      <c r="F1692" s="81" t="s">
        <v>224</v>
      </c>
      <c r="G1692" s="81" t="s">
        <v>224</v>
      </c>
      <c r="H1692" s="81" t="s">
        <v>224</v>
      </c>
      <c r="I1692" s="81" t="s">
        <v>224</v>
      </c>
      <c r="J1692" s="81" t="s">
        <v>5026</v>
      </c>
    </row>
    <row r="1693" hidden="1">
      <c r="A1693" s="83" t="s">
        <v>6317</v>
      </c>
      <c r="B1693" s="83" t="s">
        <v>6318</v>
      </c>
      <c r="C1693" s="81" t="s">
        <v>4082</v>
      </c>
      <c r="D1693" s="81" t="s">
        <v>224</v>
      </c>
      <c r="E1693" s="81" t="s">
        <v>5089</v>
      </c>
      <c r="F1693" s="81" t="s">
        <v>224</v>
      </c>
      <c r="G1693" s="81" t="s">
        <v>224</v>
      </c>
      <c r="H1693" s="81" t="s">
        <v>224</v>
      </c>
      <c r="I1693" s="81" t="s">
        <v>224</v>
      </c>
      <c r="J1693" s="81" t="s">
        <v>4984</v>
      </c>
    </row>
    <row r="1694" hidden="1">
      <c r="A1694" s="83" t="s">
        <v>6317</v>
      </c>
      <c r="B1694" s="83" t="s">
        <v>6318</v>
      </c>
      <c r="C1694" s="81" t="s">
        <v>4082</v>
      </c>
      <c r="D1694" s="81" t="s">
        <v>224</v>
      </c>
      <c r="E1694" s="81" t="s">
        <v>5090</v>
      </c>
      <c r="F1694" s="81" t="s">
        <v>224</v>
      </c>
      <c r="G1694" s="81" t="s">
        <v>224</v>
      </c>
      <c r="H1694" s="81" t="s">
        <v>224</v>
      </c>
      <c r="I1694" s="81" t="s">
        <v>224</v>
      </c>
      <c r="J1694" s="81" t="s">
        <v>4984</v>
      </c>
    </row>
    <row r="1695" hidden="1">
      <c r="A1695" s="83" t="s">
        <v>6317</v>
      </c>
      <c r="B1695" s="83" t="s">
        <v>6318</v>
      </c>
      <c r="C1695" s="81" t="s">
        <v>4082</v>
      </c>
      <c r="D1695" s="81" t="s">
        <v>224</v>
      </c>
      <c r="E1695" s="81" t="s">
        <v>5091</v>
      </c>
      <c r="F1695" s="81" t="s">
        <v>224</v>
      </c>
      <c r="G1695" s="81" t="s">
        <v>224</v>
      </c>
      <c r="H1695" s="81" t="s">
        <v>224</v>
      </c>
      <c r="I1695" s="81" t="s">
        <v>224</v>
      </c>
      <c r="J1695" s="81" t="s">
        <v>5006</v>
      </c>
    </row>
    <row r="1696" hidden="1">
      <c r="A1696" s="83" t="s">
        <v>6317</v>
      </c>
      <c r="B1696" s="83" t="s">
        <v>6318</v>
      </c>
      <c r="C1696" s="81" t="s">
        <v>4082</v>
      </c>
      <c r="D1696" s="81" t="s">
        <v>224</v>
      </c>
      <c r="E1696" s="81" t="s">
        <v>5092</v>
      </c>
      <c r="F1696" s="81" t="s">
        <v>224</v>
      </c>
      <c r="G1696" s="81" t="s">
        <v>224</v>
      </c>
      <c r="H1696" s="81" t="s">
        <v>224</v>
      </c>
      <c r="I1696" s="81" t="s">
        <v>224</v>
      </c>
      <c r="J1696" s="81" t="s">
        <v>5006</v>
      </c>
    </row>
    <row r="1697" hidden="1">
      <c r="A1697" s="83" t="s">
        <v>6317</v>
      </c>
      <c r="B1697" s="83" t="s">
        <v>6318</v>
      </c>
      <c r="C1697" s="81" t="s">
        <v>4082</v>
      </c>
      <c r="D1697" s="81" t="s">
        <v>224</v>
      </c>
      <c r="E1697" s="81" t="s">
        <v>5093</v>
      </c>
      <c r="F1697" s="81" t="s">
        <v>224</v>
      </c>
      <c r="G1697" s="81" t="s">
        <v>224</v>
      </c>
      <c r="H1697" s="81" t="s">
        <v>224</v>
      </c>
      <c r="I1697" s="81" t="s">
        <v>224</v>
      </c>
      <c r="J1697" s="81" t="s">
        <v>5026</v>
      </c>
    </row>
    <row r="1698" hidden="1">
      <c r="A1698" s="83" t="s">
        <v>6317</v>
      </c>
      <c r="B1698" s="83" t="s">
        <v>6318</v>
      </c>
      <c r="C1698" s="81" t="s">
        <v>4082</v>
      </c>
      <c r="D1698" s="81" t="s">
        <v>224</v>
      </c>
      <c r="E1698" s="81" t="s">
        <v>5094</v>
      </c>
      <c r="F1698" s="81" t="s">
        <v>224</v>
      </c>
      <c r="G1698" s="81" t="s">
        <v>224</v>
      </c>
      <c r="H1698" s="81" t="s">
        <v>224</v>
      </c>
      <c r="I1698" s="81" t="s">
        <v>224</v>
      </c>
      <c r="J1698" s="81" t="s">
        <v>5026</v>
      </c>
    </row>
    <row r="1699" hidden="1">
      <c r="A1699" s="83" t="s">
        <v>6317</v>
      </c>
      <c r="B1699" s="83" t="s">
        <v>6318</v>
      </c>
      <c r="C1699" s="81" t="s">
        <v>4082</v>
      </c>
      <c r="D1699" s="81" t="s">
        <v>224</v>
      </c>
      <c r="E1699" s="81" t="s">
        <v>5095</v>
      </c>
      <c r="F1699" s="81" t="s">
        <v>224</v>
      </c>
      <c r="G1699" s="81" t="s">
        <v>224</v>
      </c>
      <c r="H1699" s="81" t="s">
        <v>224</v>
      </c>
      <c r="I1699" s="81" t="s">
        <v>224</v>
      </c>
      <c r="J1699" s="81" t="s">
        <v>5006</v>
      </c>
    </row>
    <row r="1700" hidden="1">
      <c r="A1700" s="83" t="s">
        <v>6317</v>
      </c>
      <c r="B1700" s="83" t="s">
        <v>6318</v>
      </c>
      <c r="C1700" s="81" t="s">
        <v>4082</v>
      </c>
      <c r="D1700" s="81" t="s">
        <v>224</v>
      </c>
      <c r="E1700" s="81" t="s">
        <v>5096</v>
      </c>
      <c r="F1700" s="81" t="s">
        <v>224</v>
      </c>
      <c r="G1700" s="81" t="s">
        <v>224</v>
      </c>
      <c r="H1700" s="81" t="s">
        <v>224</v>
      </c>
      <c r="I1700" s="81" t="s">
        <v>224</v>
      </c>
      <c r="J1700" s="81" t="s">
        <v>5006</v>
      </c>
    </row>
    <row r="1701" hidden="1">
      <c r="A1701" s="83" t="s">
        <v>6317</v>
      </c>
      <c r="B1701" s="83" t="s">
        <v>6318</v>
      </c>
      <c r="C1701" s="81" t="s">
        <v>4082</v>
      </c>
      <c r="D1701" s="81" t="s">
        <v>224</v>
      </c>
      <c r="E1701" s="81" t="s">
        <v>5097</v>
      </c>
      <c r="F1701" s="81" t="s">
        <v>224</v>
      </c>
      <c r="G1701" s="81" t="s">
        <v>224</v>
      </c>
      <c r="H1701" s="81" t="s">
        <v>224</v>
      </c>
      <c r="I1701" s="81" t="s">
        <v>224</v>
      </c>
      <c r="J1701" s="81" t="s">
        <v>5006</v>
      </c>
    </row>
    <row r="1702" hidden="1">
      <c r="A1702" s="83" t="s">
        <v>6317</v>
      </c>
      <c r="B1702" s="83" t="s">
        <v>6318</v>
      </c>
      <c r="C1702" s="81" t="s">
        <v>4082</v>
      </c>
      <c r="D1702" s="81" t="s">
        <v>224</v>
      </c>
      <c r="E1702" s="81" t="s">
        <v>5098</v>
      </c>
      <c r="F1702" s="81" t="s">
        <v>224</v>
      </c>
      <c r="G1702" s="81" t="s">
        <v>224</v>
      </c>
      <c r="H1702" s="81" t="s">
        <v>224</v>
      </c>
      <c r="I1702" s="81" t="s">
        <v>224</v>
      </c>
      <c r="J1702" s="81" t="s">
        <v>4984</v>
      </c>
    </row>
    <row r="1703" hidden="1">
      <c r="A1703" s="83" t="s">
        <v>6317</v>
      </c>
      <c r="B1703" s="83" t="s">
        <v>6318</v>
      </c>
      <c r="C1703" s="81" t="s">
        <v>4082</v>
      </c>
      <c r="D1703" s="81" t="s">
        <v>224</v>
      </c>
      <c r="E1703" s="81" t="s">
        <v>5099</v>
      </c>
      <c r="F1703" s="81" t="s">
        <v>224</v>
      </c>
      <c r="G1703" s="81" t="s">
        <v>224</v>
      </c>
      <c r="H1703" s="81" t="s">
        <v>224</v>
      </c>
      <c r="I1703" s="81" t="s">
        <v>224</v>
      </c>
      <c r="J1703" s="81" t="s">
        <v>4984</v>
      </c>
    </row>
    <row r="1704" hidden="1">
      <c r="A1704" s="83" t="s">
        <v>6317</v>
      </c>
      <c r="B1704" s="83" t="s">
        <v>6318</v>
      </c>
      <c r="C1704" s="81" t="s">
        <v>4082</v>
      </c>
      <c r="D1704" s="81" t="s">
        <v>224</v>
      </c>
      <c r="E1704" s="81" t="s">
        <v>5100</v>
      </c>
      <c r="F1704" s="81" t="s">
        <v>224</v>
      </c>
      <c r="G1704" s="81" t="s">
        <v>224</v>
      </c>
      <c r="H1704" s="81" t="s">
        <v>224</v>
      </c>
      <c r="I1704" s="81" t="s">
        <v>224</v>
      </c>
      <c r="J1704" s="81" t="s">
        <v>4984</v>
      </c>
    </row>
    <row r="1705" hidden="1">
      <c r="A1705" s="83" t="s">
        <v>6317</v>
      </c>
      <c r="B1705" s="83" t="s">
        <v>6318</v>
      </c>
      <c r="C1705" s="81" t="s">
        <v>4082</v>
      </c>
      <c r="D1705" s="81" t="s">
        <v>224</v>
      </c>
      <c r="E1705" s="81" t="s">
        <v>5101</v>
      </c>
      <c r="F1705" s="81" t="s">
        <v>224</v>
      </c>
      <c r="G1705" s="81" t="s">
        <v>224</v>
      </c>
      <c r="H1705" s="81" t="s">
        <v>224</v>
      </c>
      <c r="I1705" s="81" t="s">
        <v>224</v>
      </c>
      <c r="J1705" s="81" t="s">
        <v>5006</v>
      </c>
    </row>
    <row r="1706" hidden="1">
      <c r="A1706" s="83" t="s">
        <v>6317</v>
      </c>
      <c r="B1706" s="83" t="s">
        <v>6318</v>
      </c>
      <c r="C1706" s="81" t="s">
        <v>4082</v>
      </c>
      <c r="D1706" s="81" t="s">
        <v>224</v>
      </c>
      <c r="E1706" s="81" t="s">
        <v>5102</v>
      </c>
      <c r="F1706" s="81" t="s">
        <v>224</v>
      </c>
      <c r="G1706" s="81" t="s">
        <v>224</v>
      </c>
      <c r="H1706" s="81" t="s">
        <v>224</v>
      </c>
      <c r="I1706" s="81" t="s">
        <v>224</v>
      </c>
      <c r="J1706" s="81" t="s">
        <v>4984</v>
      </c>
    </row>
    <row r="1707" hidden="1">
      <c r="A1707" s="83" t="s">
        <v>6317</v>
      </c>
      <c r="B1707" s="83" t="s">
        <v>6318</v>
      </c>
      <c r="C1707" s="81" t="s">
        <v>4082</v>
      </c>
      <c r="D1707" s="81" t="s">
        <v>224</v>
      </c>
      <c r="E1707" s="81" t="s">
        <v>5103</v>
      </c>
      <c r="F1707" s="81" t="s">
        <v>224</v>
      </c>
      <c r="G1707" s="81" t="s">
        <v>224</v>
      </c>
      <c r="H1707" s="81" t="s">
        <v>224</v>
      </c>
      <c r="I1707" s="81" t="s">
        <v>224</v>
      </c>
      <c r="J1707" s="81" t="s">
        <v>5026</v>
      </c>
    </row>
    <row r="1708" hidden="1">
      <c r="A1708" s="83" t="s">
        <v>6317</v>
      </c>
      <c r="B1708" s="83" t="s">
        <v>6318</v>
      </c>
      <c r="C1708" s="81" t="s">
        <v>4082</v>
      </c>
      <c r="D1708" s="81" t="s">
        <v>224</v>
      </c>
      <c r="E1708" s="81" t="s">
        <v>5104</v>
      </c>
      <c r="F1708" s="81" t="s">
        <v>224</v>
      </c>
      <c r="G1708" s="81" t="s">
        <v>224</v>
      </c>
      <c r="H1708" s="81" t="s">
        <v>224</v>
      </c>
      <c r="I1708" s="81" t="s">
        <v>224</v>
      </c>
      <c r="J1708" s="81" t="s">
        <v>5026</v>
      </c>
    </row>
    <row r="1709" hidden="1">
      <c r="A1709" s="83" t="s">
        <v>6317</v>
      </c>
      <c r="B1709" s="83" t="s">
        <v>6318</v>
      </c>
      <c r="C1709" s="81" t="s">
        <v>4082</v>
      </c>
      <c r="D1709" s="81" t="s">
        <v>224</v>
      </c>
      <c r="E1709" s="81" t="s">
        <v>5105</v>
      </c>
      <c r="F1709" s="81" t="s">
        <v>224</v>
      </c>
      <c r="G1709" s="81" t="s">
        <v>224</v>
      </c>
      <c r="H1709" s="81" t="s">
        <v>224</v>
      </c>
      <c r="I1709" s="81" t="s">
        <v>224</v>
      </c>
      <c r="J1709" s="81" t="s">
        <v>5028</v>
      </c>
    </row>
    <row r="1710" hidden="1">
      <c r="A1710" s="83" t="s">
        <v>6317</v>
      </c>
      <c r="B1710" s="83" t="s">
        <v>6318</v>
      </c>
      <c r="C1710" s="81" t="s">
        <v>4082</v>
      </c>
      <c r="D1710" s="81" t="s">
        <v>224</v>
      </c>
      <c r="E1710" s="81" t="s">
        <v>5106</v>
      </c>
      <c r="F1710" s="81" t="s">
        <v>224</v>
      </c>
      <c r="G1710" s="81" t="s">
        <v>224</v>
      </c>
      <c r="H1710" s="81" t="s">
        <v>224</v>
      </c>
      <c r="I1710" s="81" t="s">
        <v>224</v>
      </c>
      <c r="J1710" s="81" t="s">
        <v>5028</v>
      </c>
    </row>
    <row r="1711" hidden="1">
      <c r="A1711" s="83" t="s">
        <v>6317</v>
      </c>
      <c r="B1711" s="83" t="s">
        <v>6318</v>
      </c>
      <c r="C1711" s="81" t="s">
        <v>4082</v>
      </c>
      <c r="D1711" s="81" t="s">
        <v>224</v>
      </c>
      <c r="E1711" s="81" t="s">
        <v>5107</v>
      </c>
      <c r="F1711" s="81" t="s">
        <v>224</v>
      </c>
      <c r="G1711" s="81" t="s">
        <v>224</v>
      </c>
      <c r="H1711" s="81" t="s">
        <v>224</v>
      </c>
      <c r="I1711" s="81" t="s">
        <v>224</v>
      </c>
      <c r="J1711" s="81" t="s">
        <v>5028</v>
      </c>
    </row>
    <row r="1712" hidden="1">
      <c r="A1712" s="83" t="s">
        <v>6317</v>
      </c>
      <c r="B1712" s="83" t="s">
        <v>6318</v>
      </c>
      <c r="C1712" s="81" t="s">
        <v>4082</v>
      </c>
      <c r="D1712" s="81" t="s">
        <v>224</v>
      </c>
      <c r="E1712" s="81" t="s">
        <v>5108</v>
      </c>
      <c r="F1712" s="81" t="s">
        <v>224</v>
      </c>
      <c r="G1712" s="81" t="s">
        <v>224</v>
      </c>
      <c r="H1712" s="81" t="s">
        <v>224</v>
      </c>
      <c r="I1712" s="81" t="s">
        <v>224</v>
      </c>
      <c r="J1712" s="81" t="s">
        <v>5028</v>
      </c>
    </row>
    <row r="1713" hidden="1">
      <c r="A1713" s="83" t="s">
        <v>6317</v>
      </c>
      <c r="B1713" s="83" t="s">
        <v>6318</v>
      </c>
      <c r="C1713" s="81" t="s">
        <v>4082</v>
      </c>
      <c r="D1713" s="81" t="s">
        <v>224</v>
      </c>
      <c r="E1713" s="81" t="s">
        <v>5109</v>
      </c>
      <c r="F1713" s="81" t="s">
        <v>224</v>
      </c>
      <c r="G1713" s="81" t="s">
        <v>224</v>
      </c>
      <c r="H1713" s="81" t="s">
        <v>224</v>
      </c>
      <c r="I1713" s="81" t="s">
        <v>224</v>
      </c>
      <c r="J1713" s="81" t="s">
        <v>5028</v>
      </c>
    </row>
    <row r="1714" hidden="1">
      <c r="A1714" s="83" t="s">
        <v>6317</v>
      </c>
      <c r="B1714" s="83" t="s">
        <v>6318</v>
      </c>
      <c r="C1714" s="81" t="s">
        <v>4082</v>
      </c>
      <c r="D1714" s="81" t="s">
        <v>224</v>
      </c>
      <c r="E1714" s="81" t="s">
        <v>5110</v>
      </c>
      <c r="F1714" s="81" t="s">
        <v>224</v>
      </c>
      <c r="G1714" s="81" t="s">
        <v>224</v>
      </c>
      <c r="H1714" s="81" t="s">
        <v>224</v>
      </c>
      <c r="I1714" s="81" t="s">
        <v>224</v>
      </c>
      <c r="J1714" s="81" t="s">
        <v>5028</v>
      </c>
    </row>
    <row r="1715" hidden="1">
      <c r="A1715" s="83" t="s">
        <v>6317</v>
      </c>
      <c r="B1715" s="83" t="s">
        <v>6318</v>
      </c>
      <c r="C1715" s="81" t="s">
        <v>4082</v>
      </c>
      <c r="D1715" s="81" t="s">
        <v>224</v>
      </c>
      <c r="E1715" s="81" t="s">
        <v>224</v>
      </c>
      <c r="F1715" s="81" t="s">
        <v>224</v>
      </c>
      <c r="G1715" s="81" t="s">
        <v>224</v>
      </c>
      <c r="H1715" s="81" t="s">
        <v>224</v>
      </c>
      <c r="I1715" s="81" t="s">
        <v>224</v>
      </c>
      <c r="J1715" s="81" t="s">
        <v>5111</v>
      </c>
    </row>
    <row r="1716" hidden="1">
      <c r="A1716" s="83" t="s">
        <v>6317</v>
      </c>
      <c r="B1716" s="83" t="s">
        <v>6318</v>
      </c>
      <c r="C1716" s="81" t="s">
        <v>4086</v>
      </c>
      <c r="D1716" s="83" t="s">
        <v>4087</v>
      </c>
      <c r="E1716" s="81" t="s">
        <v>48</v>
      </c>
      <c r="F1716" s="84">
        <v>2.0</v>
      </c>
      <c r="G1716" s="81" t="s">
        <v>39</v>
      </c>
      <c r="H1716" s="81" t="s">
        <v>5112</v>
      </c>
      <c r="I1716" s="81" t="s">
        <v>68</v>
      </c>
      <c r="J1716" s="81" t="s">
        <v>224</v>
      </c>
    </row>
    <row r="1717" hidden="1">
      <c r="A1717" s="83" t="s">
        <v>6317</v>
      </c>
      <c r="B1717" s="83" t="s">
        <v>6318</v>
      </c>
      <c r="C1717" s="81" t="s">
        <v>4086</v>
      </c>
      <c r="D1717" s="83" t="s">
        <v>4087</v>
      </c>
      <c r="E1717" s="81" t="s">
        <v>48</v>
      </c>
      <c r="F1717" s="84">
        <v>2.0</v>
      </c>
      <c r="G1717" s="81" t="s">
        <v>40</v>
      </c>
      <c r="H1717" s="81" t="s">
        <v>5113</v>
      </c>
      <c r="I1717" s="81" t="s">
        <v>5114</v>
      </c>
      <c r="J1717" s="81" t="s">
        <v>224</v>
      </c>
    </row>
    <row r="1718" hidden="1">
      <c r="A1718" s="83" t="s">
        <v>6317</v>
      </c>
      <c r="B1718" s="83" t="s">
        <v>6318</v>
      </c>
      <c r="C1718" s="81" t="s">
        <v>4086</v>
      </c>
      <c r="D1718" s="83" t="s">
        <v>4087</v>
      </c>
      <c r="E1718" s="81" t="s">
        <v>73</v>
      </c>
      <c r="F1718" s="84">
        <v>3.0</v>
      </c>
      <c r="G1718" s="81" t="s">
        <v>39</v>
      </c>
      <c r="H1718" s="81" t="s">
        <v>5115</v>
      </c>
      <c r="I1718" s="81" t="s">
        <v>68</v>
      </c>
      <c r="J1718" s="81" t="s">
        <v>224</v>
      </c>
    </row>
    <row r="1719" hidden="1">
      <c r="A1719" s="83" t="s">
        <v>6317</v>
      </c>
      <c r="B1719" s="83" t="s">
        <v>6318</v>
      </c>
      <c r="C1719" s="81" t="s">
        <v>4086</v>
      </c>
      <c r="D1719" s="83" t="s">
        <v>4087</v>
      </c>
      <c r="E1719" s="81" t="s">
        <v>73</v>
      </c>
      <c r="F1719" s="84">
        <v>3.0</v>
      </c>
      <c r="G1719" s="81" t="s">
        <v>40</v>
      </c>
      <c r="H1719" s="81" t="s">
        <v>5116</v>
      </c>
      <c r="I1719" s="81" t="s">
        <v>5114</v>
      </c>
      <c r="J1719" s="81" t="s">
        <v>224</v>
      </c>
    </row>
    <row r="1720" hidden="1">
      <c r="A1720" s="83" t="s">
        <v>6317</v>
      </c>
      <c r="B1720" s="83" t="s">
        <v>6318</v>
      </c>
      <c r="C1720" s="81" t="s">
        <v>4086</v>
      </c>
      <c r="D1720" s="83" t="s">
        <v>4089</v>
      </c>
      <c r="E1720" s="81" t="s">
        <v>75</v>
      </c>
      <c r="F1720" s="84">
        <v>4.0</v>
      </c>
      <c r="G1720" s="81" t="s">
        <v>39</v>
      </c>
      <c r="H1720" s="81" t="s">
        <v>5117</v>
      </c>
      <c r="I1720" s="81" t="s">
        <v>79</v>
      </c>
      <c r="J1720" s="81" t="s">
        <v>224</v>
      </c>
    </row>
    <row r="1721" hidden="1">
      <c r="A1721" s="83" t="s">
        <v>6317</v>
      </c>
      <c r="B1721" s="83" t="s">
        <v>6318</v>
      </c>
      <c r="C1721" s="81" t="s">
        <v>4086</v>
      </c>
      <c r="D1721" s="83" t="s">
        <v>4089</v>
      </c>
      <c r="E1721" s="81" t="s">
        <v>75</v>
      </c>
      <c r="F1721" s="84">
        <v>4.0</v>
      </c>
      <c r="G1721" s="81" t="s">
        <v>40</v>
      </c>
      <c r="H1721" s="81" t="s">
        <v>5118</v>
      </c>
      <c r="I1721" s="81" t="s">
        <v>80</v>
      </c>
      <c r="J1721" s="81" t="s">
        <v>224</v>
      </c>
    </row>
    <row r="1722" hidden="1">
      <c r="A1722" s="83" t="s">
        <v>6317</v>
      </c>
      <c r="B1722" s="83" t="s">
        <v>6318</v>
      </c>
      <c r="C1722" s="81" t="s">
        <v>4086</v>
      </c>
      <c r="D1722" s="83" t="s">
        <v>4090</v>
      </c>
      <c r="E1722" s="81" t="s">
        <v>83</v>
      </c>
      <c r="F1722" s="84">
        <v>5.0</v>
      </c>
      <c r="G1722" s="81" t="s">
        <v>39</v>
      </c>
      <c r="H1722" s="81" t="s">
        <v>5119</v>
      </c>
      <c r="I1722" s="81" t="s">
        <v>97</v>
      </c>
      <c r="J1722" s="81" t="s">
        <v>224</v>
      </c>
    </row>
    <row r="1723" hidden="1">
      <c r="A1723" s="83" t="s">
        <v>6317</v>
      </c>
      <c r="B1723" s="83" t="s">
        <v>6318</v>
      </c>
      <c r="C1723" s="81" t="s">
        <v>4086</v>
      </c>
      <c r="D1723" s="83" t="s">
        <v>4090</v>
      </c>
      <c r="E1723" s="81" t="s">
        <v>83</v>
      </c>
      <c r="F1723" s="84">
        <v>5.0</v>
      </c>
      <c r="G1723" s="81" t="s">
        <v>40</v>
      </c>
      <c r="H1723" s="81" t="s">
        <v>5120</v>
      </c>
      <c r="I1723" s="81" t="s">
        <v>98</v>
      </c>
      <c r="J1723" s="81" t="s">
        <v>224</v>
      </c>
    </row>
    <row r="1724" hidden="1">
      <c r="A1724" s="83" t="s">
        <v>6317</v>
      </c>
      <c r="B1724" s="83" t="s">
        <v>6318</v>
      </c>
      <c r="C1724" s="81" t="s">
        <v>4086</v>
      </c>
      <c r="D1724" s="83" t="s">
        <v>4091</v>
      </c>
      <c r="E1724" s="81" t="s">
        <v>104</v>
      </c>
      <c r="F1724" s="84">
        <v>6.0</v>
      </c>
      <c r="G1724" s="81" t="s">
        <v>39</v>
      </c>
      <c r="H1724" s="81" t="s">
        <v>5121</v>
      </c>
      <c r="I1724" s="81" t="s">
        <v>114</v>
      </c>
      <c r="J1724" s="81" t="s">
        <v>224</v>
      </c>
    </row>
    <row r="1725" hidden="1">
      <c r="A1725" s="83" t="s">
        <v>6317</v>
      </c>
      <c r="B1725" s="83" t="s">
        <v>6318</v>
      </c>
      <c r="C1725" s="81" t="s">
        <v>4086</v>
      </c>
      <c r="D1725" s="83" t="s">
        <v>4091</v>
      </c>
      <c r="E1725" s="81" t="s">
        <v>104</v>
      </c>
      <c r="F1725" s="84">
        <v>6.0</v>
      </c>
      <c r="G1725" s="81" t="s">
        <v>40</v>
      </c>
      <c r="H1725" s="81" t="s">
        <v>5122</v>
      </c>
      <c r="I1725" s="81" t="s">
        <v>115</v>
      </c>
      <c r="J1725" s="81" t="s">
        <v>224</v>
      </c>
    </row>
    <row r="1726" hidden="1">
      <c r="A1726" s="83" t="s">
        <v>6317</v>
      </c>
      <c r="B1726" s="83" t="s">
        <v>6318</v>
      </c>
      <c r="C1726" s="81" t="s">
        <v>4086</v>
      </c>
      <c r="D1726" s="83" t="s">
        <v>4091</v>
      </c>
      <c r="E1726" s="81" t="s">
        <v>121</v>
      </c>
      <c r="F1726" s="84">
        <v>7.0</v>
      </c>
      <c r="G1726" s="81" t="s">
        <v>39</v>
      </c>
      <c r="H1726" s="81" t="s">
        <v>5121</v>
      </c>
      <c r="I1726" s="81" t="s">
        <v>114</v>
      </c>
      <c r="J1726" s="81" t="s">
        <v>224</v>
      </c>
    </row>
    <row r="1727" hidden="1">
      <c r="A1727" s="83" t="s">
        <v>6317</v>
      </c>
      <c r="B1727" s="83" t="s">
        <v>6318</v>
      </c>
      <c r="C1727" s="81" t="s">
        <v>4086</v>
      </c>
      <c r="D1727" s="83" t="s">
        <v>4091</v>
      </c>
      <c r="E1727" s="81" t="s">
        <v>121</v>
      </c>
      <c r="F1727" s="84">
        <v>7.0</v>
      </c>
      <c r="G1727" s="81" t="s">
        <v>40</v>
      </c>
      <c r="H1727" s="81" t="s">
        <v>5122</v>
      </c>
      <c r="I1727" s="81" t="s">
        <v>115</v>
      </c>
      <c r="J1727" s="81" t="s">
        <v>224</v>
      </c>
    </row>
    <row r="1728" hidden="1">
      <c r="A1728" s="83" t="s">
        <v>6317</v>
      </c>
      <c r="B1728" s="83" t="s">
        <v>6318</v>
      </c>
      <c r="C1728" s="81" t="s">
        <v>4086</v>
      </c>
      <c r="D1728" s="83" t="s">
        <v>4092</v>
      </c>
      <c r="E1728" s="81" t="s">
        <v>122</v>
      </c>
      <c r="F1728" s="84">
        <v>8.0</v>
      </c>
      <c r="G1728" s="81" t="s">
        <v>39</v>
      </c>
      <c r="H1728" s="81" t="s">
        <v>5123</v>
      </c>
      <c r="I1728" s="81" t="s">
        <v>123</v>
      </c>
      <c r="J1728" s="81" t="s">
        <v>224</v>
      </c>
    </row>
    <row r="1729" hidden="1">
      <c r="A1729" s="83" t="s">
        <v>6317</v>
      </c>
      <c r="B1729" s="83" t="s">
        <v>6318</v>
      </c>
      <c r="C1729" s="81" t="s">
        <v>4086</v>
      </c>
      <c r="D1729" s="83" t="s">
        <v>4092</v>
      </c>
      <c r="E1729" s="81" t="s">
        <v>122</v>
      </c>
      <c r="F1729" s="84">
        <v>8.0</v>
      </c>
      <c r="G1729" s="81" t="s">
        <v>40</v>
      </c>
      <c r="H1729" s="81" t="s">
        <v>5124</v>
      </c>
      <c r="I1729" s="81" t="s">
        <v>124</v>
      </c>
      <c r="J1729" s="81" t="s">
        <v>224</v>
      </c>
    </row>
    <row r="1730" hidden="1">
      <c r="A1730" s="83" t="s">
        <v>6317</v>
      </c>
      <c r="B1730" s="83" t="s">
        <v>6318</v>
      </c>
      <c r="C1730" s="81" t="s">
        <v>4086</v>
      </c>
      <c r="D1730" s="83" t="s">
        <v>4093</v>
      </c>
      <c r="E1730" s="81" t="s">
        <v>125</v>
      </c>
      <c r="F1730" s="84">
        <v>9.0</v>
      </c>
      <c r="G1730" s="81" t="s">
        <v>40</v>
      </c>
      <c r="H1730" s="81" t="s">
        <v>5125</v>
      </c>
      <c r="I1730" s="81" t="s">
        <v>133</v>
      </c>
      <c r="J1730" s="81" t="s">
        <v>224</v>
      </c>
    </row>
    <row r="1731" hidden="1">
      <c r="A1731" s="83" t="s">
        <v>6317</v>
      </c>
      <c r="B1731" s="83" t="s">
        <v>6318</v>
      </c>
      <c r="C1731" s="81" t="s">
        <v>4086</v>
      </c>
      <c r="D1731" s="83" t="s">
        <v>4094</v>
      </c>
      <c r="E1731" s="81" t="s">
        <v>139</v>
      </c>
      <c r="F1731" s="84">
        <v>10.0</v>
      </c>
      <c r="G1731" s="81" t="s">
        <v>39</v>
      </c>
      <c r="H1731" s="81" t="s">
        <v>5126</v>
      </c>
      <c r="I1731" s="81" t="s">
        <v>147</v>
      </c>
      <c r="J1731" s="81" t="s">
        <v>224</v>
      </c>
    </row>
    <row r="1732" hidden="1">
      <c r="A1732" s="83" t="s">
        <v>6317</v>
      </c>
      <c r="B1732" s="83" t="s">
        <v>6318</v>
      </c>
      <c r="C1732" s="81" t="s">
        <v>4086</v>
      </c>
      <c r="D1732" s="83" t="s">
        <v>4094</v>
      </c>
      <c r="E1732" s="81" t="s">
        <v>139</v>
      </c>
      <c r="F1732" s="84">
        <v>10.0</v>
      </c>
      <c r="G1732" s="81" t="s">
        <v>40</v>
      </c>
      <c r="H1732" s="81" t="s">
        <v>5127</v>
      </c>
      <c r="I1732" s="81" t="s">
        <v>5128</v>
      </c>
      <c r="J1732" s="81" t="s">
        <v>224</v>
      </c>
    </row>
    <row r="1733" hidden="1">
      <c r="A1733" s="83" t="s">
        <v>6317</v>
      </c>
      <c r="B1733" s="83" t="s">
        <v>6318</v>
      </c>
      <c r="C1733" s="81" t="s">
        <v>4086</v>
      </c>
      <c r="D1733" s="83" t="s">
        <v>4094</v>
      </c>
      <c r="E1733" s="81" t="s">
        <v>154</v>
      </c>
      <c r="F1733" s="84">
        <v>11.0</v>
      </c>
      <c r="G1733" s="81" t="s">
        <v>40</v>
      </c>
      <c r="H1733" s="81" t="s">
        <v>5127</v>
      </c>
      <c r="I1733" s="81" t="s">
        <v>5128</v>
      </c>
      <c r="J1733" s="81" t="s">
        <v>224</v>
      </c>
    </row>
    <row r="1734" hidden="1">
      <c r="A1734" s="83" t="s">
        <v>6317</v>
      </c>
      <c r="B1734" s="83" t="s">
        <v>6318</v>
      </c>
      <c r="C1734" s="81" t="s">
        <v>4086</v>
      </c>
      <c r="D1734" s="83" t="s">
        <v>4095</v>
      </c>
      <c r="E1734" s="81" t="s">
        <v>155</v>
      </c>
      <c r="F1734" s="84">
        <v>12.0</v>
      </c>
      <c r="G1734" s="81" t="s">
        <v>40</v>
      </c>
      <c r="H1734" s="81" t="s">
        <v>5129</v>
      </c>
      <c r="I1734" s="81" t="s">
        <v>157</v>
      </c>
      <c r="J1734" s="81" t="s">
        <v>224</v>
      </c>
    </row>
    <row r="1735" hidden="1">
      <c r="A1735" s="83" t="s">
        <v>6317</v>
      </c>
      <c r="B1735" s="83" t="s">
        <v>6318</v>
      </c>
      <c r="C1735" s="81" t="s">
        <v>4086</v>
      </c>
      <c r="D1735" s="83" t="s">
        <v>4096</v>
      </c>
      <c r="E1735" s="81" t="s">
        <v>158</v>
      </c>
      <c r="F1735" s="84">
        <v>13.0</v>
      </c>
      <c r="G1735" s="81" t="s">
        <v>39</v>
      </c>
      <c r="H1735" s="81" t="s">
        <v>5130</v>
      </c>
      <c r="I1735" s="81" t="s">
        <v>163</v>
      </c>
      <c r="J1735" s="81" t="s">
        <v>224</v>
      </c>
    </row>
    <row r="1736" hidden="1">
      <c r="A1736" s="83" t="s">
        <v>6317</v>
      </c>
      <c r="B1736" s="83" t="s">
        <v>6318</v>
      </c>
      <c r="C1736" s="81" t="s">
        <v>4086</v>
      </c>
      <c r="D1736" s="83" t="s">
        <v>4096</v>
      </c>
      <c r="E1736" s="81" t="s">
        <v>158</v>
      </c>
      <c r="F1736" s="84">
        <v>13.0</v>
      </c>
      <c r="G1736" s="81" t="s">
        <v>40</v>
      </c>
      <c r="H1736" s="81" t="s">
        <v>5131</v>
      </c>
      <c r="I1736" s="81" t="s">
        <v>164</v>
      </c>
      <c r="J1736" s="81" t="s">
        <v>224</v>
      </c>
    </row>
    <row r="1737" hidden="1">
      <c r="A1737" s="83" t="s">
        <v>6317</v>
      </c>
      <c r="B1737" s="83" t="s">
        <v>6318</v>
      </c>
      <c r="C1737" s="81" t="s">
        <v>4086</v>
      </c>
      <c r="D1737" s="83" t="s">
        <v>4096</v>
      </c>
      <c r="E1737" s="81" t="s">
        <v>170</v>
      </c>
      <c r="F1737" s="84">
        <v>14.0</v>
      </c>
      <c r="G1737" s="81" t="s">
        <v>40</v>
      </c>
      <c r="H1737" s="81" t="s">
        <v>5131</v>
      </c>
      <c r="I1737" s="81" t="s">
        <v>164</v>
      </c>
      <c r="J1737" s="81" t="s">
        <v>224</v>
      </c>
    </row>
    <row r="1738" hidden="1">
      <c r="A1738" s="83" t="s">
        <v>6317</v>
      </c>
      <c r="B1738" s="83" t="s">
        <v>6318</v>
      </c>
      <c r="C1738" s="81" t="s">
        <v>4086</v>
      </c>
      <c r="D1738" s="83" t="s">
        <v>4097</v>
      </c>
      <c r="E1738" s="81" t="s">
        <v>172</v>
      </c>
      <c r="F1738" s="84">
        <v>15.0</v>
      </c>
      <c r="G1738" s="81" t="s">
        <v>40</v>
      </c>
      <c r="H1738" s="81" t="s">
        <v>5132</v>
      </c>
      <c r="I1738" s="81" t="s">
        <v>174</v>
      </c>
      <c r="J1738" s="81" t="s">
        <v>224</v>
      </c>
    </row>
    <row r="1739" hidden="1">
      <c r="A1739" s="83" t="s">
        <v>6317</v>
      </c>
      <c r="B1739" s="83" t="s">
        <v>6318</v>
      </c>
      <c r="C1739" s="81" t="s">
        <v>4086</v>
      </c>
      <c r="D1739" s="83" t="s">
        <v>4098</v>
      </c>
      <c r="E1739" s="81" t="s">
        <v>175</v>
      </c>
      <c r="F1739" s="84">
        <v>16.0</v>
      </c>
      <c r="G1739" s="81" t="s">
        <v>39</v>
      </c>
      <c r="H1739" s="81" t="s">
        <v>5133</v>
      </c>
      <c r="I1739" s="81" t="s">
        <v>180</v>
      </c>
      <c r="J1739" s="81" t="s">
        <v>224</v>
      </c>
    </row>
    <row r="1740" hidden="1">
      <c r="A1740" s="83" t="s">
        <v>6317</v>
      </c>
      <c r="B1740" s="83" t="s">
        <v>6318</v>
      </c>
      <c r="C1740" s="81" t="s">
        <v>4086</v>
      </c>
      <c r="D1740" s="83" t="s">
        <v>4098</v>
      </c>
      <c r="E1740" s="81" t="s">
        <v>175</v>
      </c>
      <c r="F1740" s="84">
        <v>16.0</v>
      </c>
      <c r="G1740" s="81" t="s">
        <v>40</v>
      </c>
      <c r="H1740" s="81" t="s">
        <v>5134</v>
      </c>
      <c r="I1740" s="81" t="s">
        <v>181</v>
      </c>
      <c r="J1740" s="81" t="s">
        <v>224</v>
      </c>
    </row>
    <row r="1741" hidden="1">
      <c r="A1741" s="83" t="s">
        <v>6317</v>
      </c>
      <c r="B1741" s="83" t="s">
        <v>6318</v>
      </c>
      <c r="C1741" s="81" t="s">
        <v>4086</v>
      </c>
      <c r="D1741" s="83" t="s">
        <v>4099</v>
      </c>
      <c r="E1741" s="81" t="s">
        <v>187</v>
      </c>
      <c r="F1741" s="84">
        <v>17.0</v>
      </c>
      <c r="G1741" s="81" t="s">
        <v>39</v>
      </c>
      <c r="H1741" s="81" t="s">
        <v>5135</v>
      </c>
      <c r="I1741" s="81" t="s">
        <v>193</v>
      </c>
      <c r="J1741" s="81" t="s">
        <v>224</v>
      </c>
    </row>
    <row r="1742" hidden="1">
      <c r="A1742" s="83" t="s">
        <v>6317</v>
      </c>
      <c r="B1742" s="83" t="s">
        <v>6318</v>
      </c>
      <c r="C1742" s="81" t="s">
        <v>4086</v>
      </c>
      <c r="D1742" s="83" t="s">
        <v>4099</v>
      </c>
      <c r="E1742" s="81" t="s">
        <v>187</v>
      </c>
      <c r="F1742" s="84">
        <v>17.0</v>
      </c>
      <c r="G1742" s="81" t="s">
        <v>40</v>
      </c>
      <c r="H1742" s="81" t="s">
        <v>5136</v>
      </c>
      <c r="I1742" s="81" t="s">
        <v>194</v>
      </c>
      <c r="J1742" s="81" t="s">
        <v>224</v>
      </c>
    </row>
    <row r="1743" hidden="1">
      <c r="A1743" s="83" t="s">
        <v>6317</v>
      </c>
      <c r="B1743" s="83" t="s">
        <v>6318</v>
      </c>
      <c r="C1743" s="81" t="s">
        <v>4086</v>
      </c>
      <c r="D1743" s="83" t="s">
        <v>4100</v>
      </c>
      <c r="E1743" s="81" t="s">
        <v>200</v>
      </c>
      <c r="F1743" s="84">
        <v>18.0</v>
      </c>
      <c r="G1743" s="81" t="s">
        <v>39</v>
      </c>
      <c r="H1743" s="81" t="s">
        <v>5137</v>
      </c>
      <c r="I1743" s="81" t="s">
        <v>205</v>
      </c>
      <c r="J1743" s="81" t="s">
        <v>224</v>
      </c>
    </row>
    <row r="1744" hidden="1">
      <c r="A1744" s="83" t="s">
        <v>6317</v>
      </c>
      <c r="B1744" s="83" t="s">
        <v>6318</v>
      </c>
      <c r="C1744" s="81" t="s">
        <v>4086</v>
      </c>
      <c r="D1744" s="83" t="s">
        <v>4100</v>
      </c>
      <c r="E1744" s="81" t="s">
        <v>200</v>
      </c>
      <c r="F1744" s="84">
        <v>18.0</v>
      </c>
      <c r="G1744" s="81" t="s">
        <v>40</v>
      </c>
      <c r="H1744" s="81" t="s">
        <v>5138</v>
      </c>
      <c r="I1744" s="81" t="s">
        <v>5139</v>
      </c>
      <c r="J1744" s="81" t="s">
        <v>224</v>
      </c>
    </row>
    <row r="1745" hidden="1">
      <c r="A1745" s="83" t="s">
        <v>6317</v>
      </c>
      <c r="B1745" s="83" t="s">
        <v>6318</v>
      </c>
      <c r="C1745" s="81" t="s">
        <v>4086</v>
      </c>
      <c r="D1745" s="83" t="s">
        <v>4101</v>
      </c>
      <c r="E1745" s="81" t="s">
        <v>212</v>
      </c>
      <c r="F1745" s="84">
        <v>19.0</v>
      </c>
      <c r="G1745" s="81" t="s">
        <v>39</v>
      </c>
      <c r="H1745" s="81" t="s">
        <v>5140</v>
      </c>
      <c r="I1745" s="81" t="s">
        <v>223</v>
      </c>
      <c r="J1745" s="81" t="s">
        <v>224</v>
      </c>
    </row>
    <row r="1746" hidden="1">
      <c r="A1746" s="83" t="s">
        <v>6317</v>
      </c>
      <c r="B1746" s="83" t="s">
        <v>6318</v>
      </c>
      <c r="C1746" s="81" t="s">
        <v>5141</v>
      </c>
      <c r="D1746" s="83" t="s">
        <v>4101</v>
      </c>
      <c r="E1746" s="81" t="s">
        <v>212</v>
      </c>
      <c r="F1746" s="84">
        <v>19.0</v>
      </c>
      <c r="G1746" s="81" t="s">
        <v>40</v>
      </c>
      <c r="H1746" s="81" t="s">
        <v>5142</v>
      </c>
      <c r="I1746" s="81" t="s">
        <v>224</v>
      </c>
      <c r="J1746" s="81" t="s">
        <v>5143</v>
      </c>
    </row>
    <row r="1747" hidden="1">
      <c r="A1747" s="83" t="s">
        <v>6317</v>
      </c>
      <c r="B1747" s="83" t="s">
        <v>6318</v>
      </c>
      <c r="C1747" s="81" t="s">
        <v>4086</v>
      </c>
      <c r="D1747" s="83" t="s">
        <v>4102</v>
      </c>
      <c r="E1747" s="81" t="s">
        <v>226</v>
      </c>
      <c r="F1747" s="84">
        <v>20.0</v>
      </c>
      <c r="G1747" s="81" t="s">
        <v>39</v>
      </c>
      <c r="H1747" s="81" t="s">
        <v>5144</v>
      </c>
      <c r="I1747" s="81" t="s">
        <v>234</v>
      </c>
      <c r="J1747" s="81" t="s">
        <v>224</v>
      </c>
    </row>
    <row r="1748" hidden="1">
      <c r="A1748" s="83" t="s">
        <v>6317</v>
      </c>
      <c r="B1748" s="83" t="s">
        <v>6318</v>
      </c>
      <c r="C1748" s="81" t="s">
        <v>4086</v>
      </c>
      <c r="D1748" s="83" t="s">
        <v>4102</v>
      </c>
      <c r="E1748" s="81" t="s">
        <v>226</v>
      </c>
      <c r="F1748" s="84">
        <v>20.0</v>
      </c>
      <c r="G1748" s="81" t="s">
        <v>40</v>
      </c>
      <c r="H1748" s="81" t="s">
        <v>5145</v>
      </c>
      <c r="I1748" s="81" t="s">
        <v>235</v>
      </c>
      <c r="J1748" s="81" t="s">
        <v>224</v>
      </c>
    </row>
    <row r="1749" hidden="1">
      <c r="A1749" s="83" t="s">
        <v>6317</v>
      </c>
      <c r="B1749" s="83" t="s">
        <v>6318</v>
      </c>
      <c r="C1749" s="81" t="s">
        <v>4086</v>
      </c>
      <c r="D1749" s="83" t="s">
        <v>4102</v>
      </c>
      <c r="E1749" s="81" t="s">
        <v>239</v>
      </c>
      <c r="F1749" s="84">
        <v>21.0</v>
      </c>
      <c r="G1749" s="81" t="s">
        <v>39</v>
      </c>
      <c r="H1749" s="81" t="s">
        <v>5144</v>
      </c>
      <c r="I1749" s="81" t="s">
        <v>234</v>
      </c>
      <c r="J1749" s="81" t="s">
        <v>224</v>
      </c>
    </row>
    <row r="1750" hidden="1">
      <c r="A1750" s="83" t="s">
        <v>6317</v>
      </c>
      <c r="B1750" s="83" t="s">
        <v>6318</v>
      </c>
      <c r="C1750" s="81" t="s">
        <v>4086</v>
      </c>
      <c r="D1750" s="83" t="s">
        <v>4102</v>
      </c>
      <c r="E1750" s="81" t="s">
        <v>239</v>
      </c>
      <c r="F1750" s="84">
        <v>21.0</v>
      </c>
      <c r="G1750" s="81" t="s">
        <v>40</v>
      </c>
      <c r="H1750" s="81" t="s">
        <v>5145</v>
      </c>
      <c r="I1750" s="81" t="s">
        <v>235</v>
      </c>
      <c r="J1750" s="81" t="s">
        <v>224</v>
      </c>
    </row>
    <row r="1751" hidden="1">
      <c r="A1751" s="83" t="s">
        <v>6317</v>
      </c>
      <c r="B1751" s="83" t="s">
        <v>6318</v>
      </c>
      <c r="C1751" s="81" t="s">
        <v>4086</v>
      </c>
      <c r="D1751" s="83" t="s">
        <v>4104</v>
      </c>
      <c r="E1751" s="81" t="s">
        <v>241</v>
      </c>
      <c r="F1751" s="84">
        <v>22.0</v>
      </c>
      <c r="G1751" s="81" t="s">
        <v>39</v>
      </c>
      <c r="H1751" s="81" t="s">
        <v>5146</v>
      </c>
      <c r="I1751" s="81" t="s">
        <v>242</v>
      </c>
      <c r="J1751" s="81" t="s">
        <v>224</v>
      </c>
    </row>
    <row r="1752" hidden="1">
      <c r="A1752" s="83" t="s">
        <v>6317</v>
      </c>
      <c r="B1752" s="83" t="s">
        <v>6318</v>
      </c>
      <c r="C1752" s="81" t="s">
        <v>4086</v>
      </c>
      <c r="D1752" s="83" t="s">
        <v>4104</v>
      </c>
      <c r="E1752" s="81" t="s">
        <v>241</v>
      </c>
      <c r="F1752" s="84">
        <v>22.0</v>
      </c>
      <c r="G1752" s="81" t="s">
        <v>40</v>
      </c>
      <c r="H1752" s="81" t="s">
        <v>5147</v>
      </c>
      <c r="I1752" s="81" t="s">
        <v>243</v>
      </c>
      <c r="J1752" s="81" t="s">
        <v>224</v>
      </c>
    </row>
    <row r="1753" hidden="1">
      <c r="A1753" s="83" t="s">
        <v>6317</v>
      </c>
      <c r="B1753" s="83" t="s">
        <v>6318</v>
      </c>
      <c r="C1753" s="81" t="s">
        <v>4086</v>
      </c>
      <c r="D1753" s="83" t="s">
        <v>4105</v>
      </c>
      <c r="E1753" s="81" t="s">
        <v>244</v>
      </c>
      <c r="F1753" s="84">
        <v>23.0</v>
      </c>
      <c r="G1753" s="81" t="s">
        <v>39</v>
      </c>
      <c r="H1753" s="81" t="s">
        <v>5148</v>
      </c>
      <c r="I1753" s="81" t="s">
        <v>247</v>
      </c>
      <c r="J1753" s="81" t="s">
        <v>224</v>
      </c>
    </row>
    <row r="1754" hidden="1">
      <c r="A1754" s="83" t="s">
        <v>6317</v>
      </c>
      <c r="B1754" s="83" t="s">
        <v>6318</v>
      </c>
      <c r="C1754" s="81" t="s">
        <v>4086</v>
      </c>
      <c r="D1754" s="83" t="s">
        <v>4105</v>
      </c>
      <c r="E1754" s="81" t="s">
        <v>244</v>
      </c>
      <c r="F1754" s="84">
        <v>23.0</v>
      </c>
      <c r="G1754" s="81" t="s">
        <v>40</v>
      </c>
      <c r="H1754" s="81" t="s">
        <v>5149</v>
      </c>
      <c r="I1754" s="81" t="s">
        <v>248</v>
      </c>
      <c r="J1754" s="81" t="s">
        <v>224</v>
      </c>
    </row>
    <row r="1755" hidden="1">
      <c r="A1755" s="83" t="s">
        <v>6317</v>
      </c>
      <c r="B1755" s="83" t="s">
        <v>6318</v>
      </c>
      <c r="C1755" s="81" t="s">
        <v>4086</v>
      </c>
      <c r="D1755" s="83" t="s">
        <v>4106</v>
      </c>
      <c r="E1755" s="81" t="s">
        <v>251</v>
      </c>
      <c r="F1755" s="84">
        <v>24.0</v>
      </c>
      <c r="G1755" s="81" t="s">
        <v>39</v>
      </c>
      <c r="H1755" s="81" t="s">
        <v>5150</v>
      </c>
      <c r="I1755" s="81" t="s">
        <v>252</v>
      </c>
      <c r="J1755" s="81" t="s">
        <v>224</v>
      </c>
    </row>
    <row r="1756" hidden="1">
      <c r="A1756" s="83" t="s">
        <v>6317</v>
      </c>
      <c r="B1756" s="83" t="s">
        <v>6318</v>
      </c>
      <c r="C1756" s="81" t="s">
        <v>4086</v>
      </c>
      <c r="D1756" s="83" t="s">
        <v>4106</v>
      </c>
      <c r="E1756" s="81" t="s">
        <v>251</v>
      </c>
      <c r="F1756" s="84">
        <v>24.0</v>
      </c>
      <c r="G1756" s="81" t="s">
        <v>40</v>
      </c>
      <c r="H1756" s="81" t="s">
        <v>5151</v>
      </c>
      <c r="I1756" s="81" t="s">
        <v>253</v>
      </c>
      <c r="J1756" s="81" t="s">
        <v>224</v>
      </c>
    </row>
    <row r="1757" hidden="1">
      <c r="A1757" s="83" t="s">
        <v>6317</v>
      </c>
      <c r="B1757" s="83" t="s">
        <v>6318</v>
      </c>
      <c r="C1757" s="81" t="s">
        <v>4086</v>
      </c>
      <c r="D1757" s="83" t="s">
        <v>4107</v>
      </c>
      <c r="E1757" s="81" t="s">
        <v>254</v>
      </c>
      <c r="F1757" s="84">
        <v>25.0</v>
      </c>
      <c r="G1757" s="81" t="s">
        <v>39</v>
      </c>
      <c r="H1757" s="81" t="s">
        <v>5152</v>
      </c>
      <c r="I1757" s="81" t="s">
        <v>258</v>
      </c>
      <c r="J1757" s="81" t="s">
        <v>224</v>
      </c>
    </row>
    <row r="1758" hidden="1">
      <c r="A1758" s="83" t="s">
        <v>6317</v>
      </c>
      <c r="B1758" s="83" t="s">
        <v>6318</v>
      </c>
      <c r="C1758" s="81" t="s">
        <v>4086</v>
      </c>
      <c r="D1758" s="83" t="s">
        <v>4107</v>
      </c>
      <c r="E1758" s="81" t="s">
        <v>254</v>
      </c>
      <c r="F1758" s="84">
        <v>25.0</v>
      </c>
      <c r="G1758" s="81" t="s">
        <v>40</v>
      </c>
      <c r="H1758" s="81" t="s">
        <v>5153</v>
      </c>
      <c r="I1758" s="81" t="s">
        <v>259</v>
      </c>
      <c r="J1758" s="81" t="s">
        <v>224</v>
      </c>
    </row>
    <row r="1759" hidden="1">
      <c r="A1759" s="83" t="s">
        <v>6317</v>
      </c>
      <c r="B1759" s="83" t="s">
        <v>6318</v>
      </c>
      <c r="C1759" s="81" t="s">
        <v>4086</v>
      </c>
      <c r="D1759" s="83" t="s">
        <v>4108</v>
      </c>
      <c r="E1759" s="81" t="s">
        <v>262</v>
      </c>
      <c r="F1759" s="84">
        <v>26.0</v>
      </c>
      <c r="G1759" s="81" t="s">
        <v>39</v>
      </c>
      <c r="H1759" s="81" t="s">
        <v>5154</v>
      </c>
      <c r="I1759" s="81" t="s">
        <v>263</v>
      </c>
      <c r="J1759" s="81" t="s">
        <v>224</v>
      </c>
    </row>
    <row r="1760" hidden="1">
      <c r="A1760" s="83" t="s">
        <v>6317</v>
      </c>
      <c r="B1760" s="83" t="s">
        <v>6318</v>
      </c>
      <c r="C1760" s="81" t="s">
        <v>4086</v>
      </c>
      <c r="D1760" s="83" t="s">
        <v>4108</v>
      </c>
      <c r="E1760" s="81" t="s">
        <v>262</v>
      </c>
      <c r="F1760" s="84">
        <v>26.0</v>
      </c>
      <c r="G1760" s="81" t="s">
        <v>40</v>
      </c>
      <c r="H1760" s="81" t="s">
        <v>5155</v>
      </c>
      <c r="I1760" s="81" t="s">
        <v>264</v>
      </c>
      <c r="J1760" s="81" t="s">
        <v>224</v>
      </c>
    </row>
    <row r="1761" hidden="1">
      <c r="A1761" s="83" t="s">
        <v>6317</v>
      </c>
      <c r="B1761" s="83" t="s">
        <v>6318</v>
      </c>
      <c r="C1761" s="81" t="s">
        <v>4086</v>
      </c>
      <c r="D1761" s="83" t="s">
        <v>4109</v>
      </c>
      <c r="E1761" s="81" t="s">
        <v>265</v>
      </c>
      <c r="F1761" s="84">
        <v>27.0</v>
      </c>
      <c r="G1761" s="81" t="s">
        <v>39</v>
      </c>
      <c r="H1761" s="81" t="s">
        <v>5156</v>
      </c>
      <c r="I1761" s="81" t="s">
        <v>269</v>
      </c>
      <c r="J1761" s="81" t="s">
        <v>224</v>
      </c>
    </row>
    <row r="1762" hidden="1">
      <c r="A1762" s="83" t="s">
        <v>6317</v>
      </c>
      <c r="B1762" s="83" t="s">
        <v>6318</v>
      </c>
      <c r="C1762" s="81" t="s">
        <v>4086</v>
      </c>
      <c r="D1762" s="83" t="s">
        <v>4109</v>
      </c>
      <c r="E1762" s="81" t="s">
        <v>265</v>
      </c>
      <c r="F1762" s="84">
        <v>27.0</v>
      </c>
      <c r="G1762" s="81" t="s">
        <v>40</v>
      </c>
      <c r="H1762" s="81" t="s">
        <v>5157</v>
      </c>
      <c r="I1762" s="81" t="s">
        <v>270</v>
      </c>
      <c r="J1762" s="81" t="s">
        <v>224</v>
      </c>
    </row>
    <row r="1763" hidden="1">
      <c r="A1763" s="83" t="s">
        <v>6317</v>
      </c>
      <c r="B1763" s="83" t="s">
        <v>6318</v>
      </c>
      <c r="C1763" s="81" t="s">
        <v>4086</v>
      </c>
      <c r="D1763" s="83" t="s">
        <v>4110</v>
      </c>
      <c r="E1763" s="81" t="s">
        <v>273</v>
      </c>
      <c r="F1763" s="84">
        <v>28.0</v>
      </c>
      <c r="G1763" s="81" t="s">
        <v>39</v>
      </c>
      <c r="H1763" s="81" t="s">
        <v>5158</v>
      </c>
      <c r="I1763" s="81" t="s">
        <v>274</v>
      </c>
      <c r="J1763" s="81" t="s">
        <v>224</v>
      </c>
    </row>
    <row r="1764" hidden="1">
      <c r="A1764" s="83" t="s">
        <v>6317</v>
      </c>
      <c r="B1764" s="83" t="s">
        <v>6318</v>
      </c>
      <c r="C1764" s="81" t="s">
        <v>4086</v>
      </c>
      <c r="D1764" s="83" t="s">
        <v>4110</v>
      </c>
      <c r="E1764" s="81" t="s">
        <v>273</v>
      </c>
      <c r="F1764" s="84">
        <v>28.0</v>
      </c>
      <c r="G1764" s="81" t="s">
        <v>40</v>
      </c>
      <c r="H1764" s="81" t="s">
        <v>5159</v>
      </c>
      <c r="I1764" s="81" t="s">
        <v>5160</v>
      </c>
      <c r="J1764" s="81" t="s">
        <v>224</v>
      </c>
    </row>
    <row r="1765" hidden="1">
      <c r="A1765" s="83" t="s">
        <v>6317</v>
      </c>
      <c r="B1765" s="83" t="s">
        <v>6318</v>
      </c>
      <c r="C1765" s="81" t="s">
        <v>4086</v>
      </c>
      <c r="D1765" s="83" t="s">
        <v>4111</v>
      </c>
      <c r="E1765" s="81" t="s">
        <v>276</v>
      </c>
      <c r="F1765" s="84">
        <v>29.0</v>
      </c>
      <c r="G1765" s="81" t="s">
        <v>40</v>
      </c>
      <c r="H1765" s="81" t="s">
        <v>5161</v>
      </c>
      <c r="I1765" s="81" t="s">
        <v>280</v>
      </c>
      <c r="J1765" s="81" t="s">
        <v>224</v>
      </c>
    </row>
    <row r="1766" hidden="1">
      <c r="A1766" s="83" t="s">
        <v>6317</v>
      </c>
      <c r="B1766" s="83" t="s">
        <v>6318</v>
      </c>
      <c r="C1766" s="81" t="s">
        <v>4086</v>
      </c>
      <c r="D1766" s="83" t="s">
        <v>4111</v>
      </c>
      <c r="E1766" s="81" t="s">
        <v>283</v>
      </c>
      <c r="F1766" s="84">
        <v>30.0</v>
      </c>
      <c r="G1766" s="81" t="s">
        <v>40</v>
      </c>
      <c r="H1766" s="81" t="s">
        <v>5161</v>
      </c>
      <c r="I1766" s="81" t="s">
        <v>280</v>
      </c>
      <c r="J1766" s="81" t="s">
        <v>224</v>
      </c>
    </row>
    <row r="1767" hidden="1">
      <c r="A1767" s="83" t="s">
        <v>6317</v>
      </c>
      <c r="B1767" s="83" t="s">
        <v>6318</v>
      </c>
      <c r="C1767" s="81" t="s">
        <v>4086</v>
      </c>
      <c r="D1767" s="83" t="s">
        <v>4113</v>
      </c>
      <c r="E1767" s="81" t="s">
        <v>284</v>
      </c>
      <c r="F1767" s="84">
        <v>31.0</v>
      </c>
      <c r="G1767" s="81" t="s">
        <v>40</v>
      </c>
      <c r="H1767" s="81" t="s">
        <v>5162</v>
      </c>
      <c r="I1767" s="81" t="s">
        <v>286</v>
      </c>
      <c r="J1767" s="81" t="s">
        <v>224</v>
      </c>
    </row>
    <row r="1768" hidden="1">
      <c r="A1768" s="83" t="s">
        <v>6317</v>
      </c>
      <c r="B1768" s="83" t="s">
        <v>6318</v>
      </c>
      <c r="C1768" s="81" t="s">
        <v>4086</v>
      </c>
      <c r="D1768" s="83" t="s">
        <v>4114</v>
      </c>
      <c r="E1768" s="81" t="s">
        <v>287</v>
      </c>
      <c r="F1768" s="84">
        <v>32.0</v>
      </c>
      <c r="G1768" s="81" t="s">
        <v>39</v>
      </c>
      <c r="H1768" s="81" t="s">
        <v>5163</v>
      </c>
      <c r="I1768" s="81" t="s">
        <v>291</v>
      </c>
      <c r="J1768" s="81" t="s">
        <v>224</v>
      </c>
    </row>
    <row r="1769" hidden="1">
      <c r="A1769" s="83" t="s">
        <v>6317</v>
      </c>
      <c r="B1769" s="83" t="s">
        <v>6318</v>
      </c>
      <c r="C1769" s="81" t="s">
        <v>4086</v>
      </c>
      <c r="D1769" s="83" t="s">
        <v>4114</v>
      </c>
      <c r="E1769" s="81" t="s">
        <v>287</v>
      </c>
      <c r="F1769" s="84">
        <v>32.0</v>
      </c>
      <c r="G1769" s="81" t="s">
        <v>40</v>
      </c>
      <c r="H1769" s="81" t="s">
        <v>5164</v>
      </c>
      <c r="I1769" s="81" t="s">
        <v>5165</v>
      </c>
      <c r="J1769" s="81" t="s">
        <v>224</v>
      </c>
    </row>
    <row r="1770" hidden="1">
      <c r="A1770" s="83" t="s">
        <v>6317</v>
      </c>
      <c r="B1770" s="83" t="s">
        <v>6318</v>
      </c>
      <c r="C1770" s="81" t="s">
        <v>4086</v>
      </c>
      <c r="D1770" s="83" t="s">
        <v>4115</v>
      </c>
      <c r="E1770" s="81" t="s">
        <v>297</v>
      </c>
      <c r="F1770" s="84">
        <v>33.0</v>
      </c>
      <c r="G1770" s="81" t="s">
        <v>39</v>
      </c>
      <c r="H1770" s="81" t="s">
        <v>5166</v>
      </c>
      <c r="I1770" s="81" t="s">
        <v>300</v>
      </c>
      <c r="J1770" s="81" t="s">
        <v>224</v>
      </c>
    </row>
    <row r="1771" hidden="1">
      <c r="A1771" s="83" t="s">
        <v>6317</v>
      </c>
      <c r="B1771" s="83" t="s">
        <v>6318</v>
      </c>
      <c r="C1771" s="81" t="s">
        <v>4086</v>
      </c>
      <c r="D1771" s="83" t="s">
        <v>4115</v>
      </c>
      <c r="E1771" s="81" t="s">
        <v>297</v>
      </c>
      <c r="F1771" s="84">
        <v>33.0</v>
      </c>
      <c r="G1771" s="81" t="s">
        <v>40</v>
      </c>
      <c r="H1771" s="81" t="s">
        <v>5167</v>
      </c>
      <c r="I1771" s="81" t="s">
        <v>301</v>
      </c>
      <c r="J1771" s="81" t="s">
        <v>224</v>
      </c>
    </row>
    <row r="1772" hidden="1">
      <c r="A1772" s="83" t="s">
        <v>6317</v>
      </c>
      <c r="B1772" s="83" t="s">
        <v>6318</v>
      </c>
      <c r="C1772" s="81" t="s">
        <v>4086</v>
      </c>
      <c r="D1772" s="83" t="s">
        <v>4115</v>
      </c>
      <c r="E1772" s="81" t="s">
        <v>304</v>
      </c>
      <c r="F1772" s="84">
        <v>34.0</v>
      </c>
      <c r="G1772" s="81" t="s">
        <v>39</v>
      </c>
      <c r="H1772" s="81" t="s">
        <v>5166</v>
      </c>
      <c r="I1772" s="81" t="s">
        <v>300</v>
      </c>
      <c r="J1772" s="81" t="s">
        <v>224</v>
      </c>
    </row>
    <row r="1773" hidden="1">
      <c r="A1773" s="83" t="s">
        <v>6317</v>
      </c>
      <c r="B1773" s="83" t="s">
        <v>6318</v>
      </c>
      <c r="C1773" s="81" t="s">
        <v>4086</v>
      </c>
      <c r="D1773" s="83" t="s">
        <v>4115</v>
      </c>
      <c r="E1773" s="81" t="s">
        <v>304</v>
      </c>
      <c r="F1773" s="84">
        <v>34.0</v>
      </c>
      <c r="G1773" s="81" t="s">
        <v>40</v>
      </c>
      <c r="H1773" s="81" t="s">
        <v>5167</v>
      </c>
      <c r="I1773" s="81" t="s">
        <v>301</v>
      </c>
      <c r="J1773" s="81" t="s">
        <v>224</v>
      </c>
    </row>
    <row r="1774" hidden="1">
      <c r="A1774" s="83" t="s">
        <v>6317</v>
      </c>
      <c r="B1774" s="83" t="s">
        <v>6318</v>
      </c>
      <c r="C1774" s="81" t="s">
        <v>4086</v>
      </c>
      <c r="D1774" s="83" t="s">
        <v>4117</v>
      </c>
      <c r="E1774" s="81" t="s">
        <v>305</v>
      </c>
      <c r="F1774" s="84">
        <v>35.0</v>
      </c>
      <c r="G1774" s="81" t="s">
        <v>39</v>
      </c>
      <c r="H1774" s="81" t="s">
        <v>5168</v>
      </c>
      <c r="I1774" s="81" t="s">
        <v>306</v>
      </c>
      <c r="J1774" s="81" t="s">
        <v>224</v>
      </c>
    </row>
    <row r="1775" hidden="1">
      <c r="A1775" s="83" t="s">
        <v>6317</v>
      </c>
      <c r="B1775" s="83" t="s">
        <v>6318</v>
      </c>
      <c r="C1775" s="81" t="s">
        <v>4086</v>
      </c>
      <c r="D1775" s="83" t="s">
        <v>4117</v>
      </c>
      <c r="E1775" s="81" t="s">
        <v>305</v>
      </c>
      <c r="F1775" s="84">
        <v>35.0</v>
      </c>
      <c r="G1775" s="81" t="s">
        <v>40</v>
      </c>
      <c r="H1775" s="81" t="s">
        <v>5169</v>
      </c>
      <c r="I1775" s="81" t="s">
        <v>307</v>
      </c>
      <c r="J1775" s="81" t="s">
        <v>224</v>
      </c>
    </row>
    <row r="1776" hidden="1">
      <c r="A1776" s="83" t="s">
        <v>6317</v>
      </c>
      <c r="B1776" s="83" t="s">
        <v>6318</v>
      </c>
      <c r="C1776" s="81" t="s">
        <v>4086</v>
      </c>
      <c r="D1776" s="83" t="s">
        <v>4118</v>
      </c>
      <c r="E1776" s="81" t="s">
        <v>308</v>
      </c>
      <c r="F1776" s="84">
        <v>36.0</v>
      </c>
      <c r="G1776" s="81" t="s">
        <v>39</v>
      </c>
      <c r="H1776" s="81" t="s">
        <v>5170</v>
      </c>
      <c r="I1776" s="81" t="s">
        <v>313</v>
      </c>
      <c r="J1776" s="81" t="s">
        <v>224</v>
      </c>
    </row>
    <row r="1777" hidden="1">
      <c r="A1777" s="83" t="s">
        <v>6317</v>
      </c>
      <c r="B1777" s="83" t="s">
        <v>6318</v>
      </c>
      <c r="C1777" s="81" t="s">
        <v>4086</v>
      </c>
      <c r="D1777" s="83" t="s">
        <v>4118</v>
      </c>
      <c r="E1777" s="81" t="s">
        <v>308</v>
      </c>
      <c r="F1777" s="84">
        <v>36.0</v>
      </c>
      <c r="G1777" s="81" t="s">
        <v>40</v>
      </c>
      <c r="H1777" s="81" t="s">
        <v>5171</v>
      </c>
      <c r="I1777" s="81" t="s">
        <v>5172</v>
      </c>
      <c r="J1777" s="81" t="s">
        <v>224</v>
      </c>
    </row>
    <row r="1778" hidden="1">
      <c r="A1778" s="83" t="s">
        <v>6317</v>
      </c>
      <c r="B1778" s="83" t="s">
        <v>6318</v>
      </c>
      <c r="C1778" s="81" t="s">
        <v>4086</v>
      </c>
      <c r="D1778" s="83" t="s">
        <v>4119</v>
      </c>
      <c r="E1778" s="81" t="s">
        <v>320</v>
      </c>
      <c r="F1778" s="84">
        <v>37.0</v>
      </c>
      <c r="G1778" s="81" t="s">
        <v>39</v>
      </c>
      <c r="H1778" s="81" t="s">
        <v>5173</v>
      </c>
      <c r="I1778" s="81" t="s">
        <v>324</v>
      </c>
      <c r="J1778" s="81" t="s">
        <v>224</v>
      </c>
    </row>
    <row r="1779" hidden="1">
      <c r="A1779" s="83" t="s">
        <v>6317</v>
      </c>
      <c r="B1779" s="83" t="s">
        <v>6318</v>
      </c>
      <c r="C1779" s="81" t="s">
        <v>4086</v>
      </c>
      <c r="D1779" s="83" t="s">
        <v>4119</v>
      </c>
      <c r="E1779" s="81" t="s">
        <v>320</v>
      </c>
      <c r="F1779" s="84">
        <v>37.0</v>
      </c>
      <c r="G1779" s="81" t="s">
        <v>40</v>
      </c>
      <c r="H1779" s="81" t="s">
        <v>5174</v>
      </c>
      <c r="I1779" s="81" t="s">
        <v>325</v>
      </c>
      <c r="J1779" s="81" t="s">
        <v>224</v>
      </c>
    </row>
    <row r="1780" hidden="1">
      <c r="A1780" s="83" t="s">
        <v>6317</v>
      </c>
      <c r="B1780" s="83" t="s">
        <v>6318</v>
      </c>
      <c r="C1780" s="81" t="s">
        <v>4086</v>
      </c>
      <c r="D1780" s="83" t="s">
        <v>4120</v>
      </c>
      <c r="E1780" s="81" t="s">
        <v>331</v>
      </c>
      <c r="F1780" s="84">
        <v>38.0</v>
      </c>
      <c r="G1780" s="81" t="s">
        <v>39</v>
      </c>
      <c r="H1780" s="81" t="s">
        <v>5175</v>
      </c>
      <c r="I1780" s="81" t="s">
        <v>341</v>
      </c>
      <c r="J1780" s="81" t="s">
        <v>224</v>
      </c>
    </row>
    <row r="1781" hidden="1">
      <c r="A1781" s="83" t="s">
        <v>6317</v>
      </c>
      <c r="B1781" s="83" t="s">
        <v>6318</v>
      </c>
      <c r="C1781" s="81" t="s">
        <v>5141</v>
      </c>
      <c r="D1781" s="83" t="s">
        <v>4120</v>
      </c>
      <c r="E1781" s="81" t="s">
        <v>331</v>
      </c>
      <c r="F1781" s="84">
        <v>38.0</v>
      </c>
      <c r="G1781" s="81" t="s">
        <v>40</v>
      </c>
      <c r="H1781" s="81" t="s">
        <v>5176</v>
      </c>
      <c r="I1781" s="81" t="s">
        <v>224</v>
      </c>
      <c r="J1781" s="81" t="s">
        <v>5143</v>
      </c>
    </row>
    <row r="1782" hidden="1">
      <c r="A1782" s="83" t="s">
        <v>6317</v>
      </c>
      <c r="B1782" s="83" t="s">
        <v>6318</v>
      </c>
      <c r="C1782" s="81" t="s">
        <v>4086</v>
      </c>
      <c r="D1782" s="83" t="s">
        <v>4121</v>
      </c>
      <c r="E1782" s="81" t="s">
        <v>343</v>
      </c>
      <c r="F1782" s="84">
        <v>39.0</v>
      </c>
      <c r="G1782" s="81" t="s">
        <v>40</v>
      </c>
      <c r="H1782" s="81" t="s">
        <v>5177</v>
      </c>
      <c r="I1782" s="81" t="s">
        <v>356</v>
      </c>
      <c r="J1782" s="81" t="s">
        <v>224</v>
      </c>
    </row>
    <row r="1783" hidden="1">
      <c r="A1783" s="83" t="s">
        <v>6317</v>
      </c>
      <c r="B1783" s="83" t="s">
        <v>6318</v>
      </c>
      <c r="C1783" s="81" t="s">
        <v>5141</v>
      </c>
      <c r="D1783" s="83" t="s">
        <v>4122</v>
      </c>
      <c r="E1783" s="81" t="s">
        <v>362</v>
      </c>
      <c r="F1783" s="84">
        <v>40.0</v>
      </c>
      <c r="G1783" s="81" t="s">
        <v>40</v>
      </c>
      <c r="H1783" s="81" t="s">
        <v>5178</v>
      </c>
      <c r="I1783" s="81" t="s">
        <v>224</v>
      </c>
      <c r="J1783" s="81" t="s">
        <v>5143</v>
      </c>
    </row>
    <row r="1784" hidden="1">
      <c r="A1784" s="83" t="s">
        <v>6317</v>
      </c>
      <c r="B1784" s="83" t="s">
        <v>6318</v>
      </c>
      <c r="C1784" s="81" t="s">
        <v>4086</v>
      </c>
      <c r="D1784" s="83" t="s">
        <v>4124</v>
      </c>
      <c r="E1784" s="81" t="s">
        <v>375</v>
      </c>
      <c r="F1784" s="84">
        <v>41.0</v>
      </c>
      <c r="G1784" s="81" t="s">
        <v>39</v>
      </c>
      <c r="H1784" s="81" t="s">
        <v>5179</v>
      </c>
      <c r="I1784" s="81" t="s">
        <v>385</v>
      </c>
      <c r="J1784" s="81" t="s">
        <v>224</v>
      </c>
    </row>
    <row r="1785" hidden="1">
      <c r="A1785" s="83" t="s">
        <v>6317</v>
      </c>
      <c r="B1785" s="83" t="s">
        <v>6318</v>
      </c>
      <c r="C1785" s="81" t="s">
        <v>4086</v>
      </c>
      <c r="D1785" s="83" t="s">
        <v>4124</v>
      </c>
      <c r="E1785" s="81" t="s">
        <v>375</v>
      </c>
      <c r="F1785" s="84">
        <v>41.0</v>
      </c>
      <c r="G1785" s="81" t="s">
        <v>40</v>
      </c>
      <c r="H1785" s="81" t="s">
        <v>5180</v>
      </c>
      <c r="I1785" s="81" t="s">
        <v>5181</v>
      </c>
      <c r="J1785" s="81" t="s">
        <v>224</v>
      </c>
    </row>
    <row r="1786" hidden="1">
      <c r="A1786" s="83" t="s">
        <v>6317</v>
      </c>
      <c r="B1786" s="83" t="s">
        <v>6318</v>
      </c>
      <c r="C1786" s="81" t="s">
        <v>4086</v>
      </c>
      <c r="D1786" s="83" t="s">
        <v>4124</v>
      </c>
      <c r="E1786" s="81" t="s">
        <v>392</v>
      </c>
      <c r="F1786" s="84">
        <v>42.0</v>
      </c>
      <c r="G1786" s="81" t="s">
        <v>39</v>
      </c>
      <c r="H1786" s="81" t="s">
        <v>5179</v>
      </c>
      <c r="I1786" s="81" t="s">
        <v>385</v>
      </c>
      <c r="J1786" s="81" t="s">
        <v>224</v>
      </c>
    </row>
    <row r="1787" hidden="1">
      <c r="A1787" s="83" t="s">
        <v>6317</v>
      </c>
      <c r="B1787" s="83" t="s">
        <v>6318</v>
      </c>
      <c r="C1787" s="81" t="s">
        <v>4086</v>
      </c>
      <c r="D1787" s="83" t="s">
        <v>4124</v>
      </c>
      <c r="E1787" s="81" t="s">
        <v>392</v>
      </c>
      <c r="F1787" s="84">
        <v>42.0</v>
      </c>
      <c r="G1787" s="81" t="s">
        <v>40</v>
      </c>
      <c r="H1787" s="81" t="s">
        <v>5182</v>
      </c>
      <c r="I1787" s="81" t="s">
        <v>5181</v>
      </c>
      <c r="J1787" s="81" t="s">
        <v>224</v>
      </c>
    </row>
    <row r="1788" hidden="1">
      <c r="A1788" s="83" t="s">
        <v>6317</v>
      </c>
      <c r="B1788" s="83" t="s">
        <v>6318</v>
      </c>
      <c r="C1788" s="81" t="s">
        <v>4086</v>
      </c>
      <c r="D1788" s="83" t="s">
        <v>4125</v>
      </c>
      <c r="E1788" s="81" t="s">
        <v>393</v>
      </c>
      <c r="F1788" s="84">
        <v>43.0</v>
      </c>
      <c r="G1788" s="81" t="s">
        <v>40</v>
      </c>
      <c r="H1788" s="81" t="s">
        <v>5183</v>
      </c>
      <c r="I1788" s="81" t="s">
        <v>395</v>
      </c>
      <c r="J1788" s="81" t="s">
        <v>224</v>
      </c>
    </row>
    <row r="1789" hidden="1">
      <c r="A1789" s="83" t="s">
        <v>6317</v>
      </c>
      <c r="B1789" s="83" t="s">
        <v>6318</v>
      </c>
      <c r="C1789" s="81" t="s">
        <v>5141</v>
      </c>
      <c r="D1789" s="83" t="s">
        <v>4126</v>
      </c>
      <c r="E1789" s="81" t="s">
        <v>396</v>
      </c>
      <c r="F1789" s="84">
        <v>44.0</v>
      </c>
      <c r="G1789" s="81" t="s">
        <v>40</v>
      </c>
      <c r="H1789" s="81" t="s">
        <v>5184</v>
      </c>
      <c r="I1789" s="81" t="s">
        <v>224</v>
      </c>
      <c r="J1789" s="81" t="s">
        <v>5143</v>
      </c>
    </row>
    <row r="1790" hidden="1">
      <c r="A1790" s="83" t="s">
        <v>6317</v>
      </c>
      <c r="B1790" s="83" t="s">
        <v>6318</v>
      </c>
      <c r="C1790" s="81" t="s">
        <v>4086</v>
      </c>
      <c r="D1790" s="83" t="s">
        <v>4127</v>
      </c>
      <c r="E1790" s="81" t="s">
        <v>404</v>
      </c>
      <c r="F1790" s="84">
        <v>45.0</v>
      </c>
      <c r="G1790" s="81" t="s">
        <v>39</v>
      </c>
      <c r="H1790" s="81" t="s">
        <v>5185</v>
      </c>
      <c r="I1790" s="81" t="s">
        <v>407</v>
      </c>
      <c r="J1790" s="81" t="s">
        <v>224</v>
      </c>
    </row>
    <row r="1791" hidden="1">
      <c r="A1791" s="83" t="s">
        <v>6317</v>
      </c>
      <c r="B1791" s="83" t="s">
        <v>6318</v>
      </c>
      <c r="C1791" s="81" t="s">
        <v>4086</v>
      </c>
      <c r="D1791" s="83" t="s">
        <v>4127</v>
      </c>
      <c r="E1791" s="81" t="s">
        <v>404</v>
      </c>
      <c r="F1791" s="84">
        <v>45.0</v>
      </c>
      <c r="G1791" s="81" t="s">
        <v>40</v>
      </c>
      <c r="H1791" s="81" t="s">
        <v>5186</v>
      </c>
      <c r="I1791" s="81" t="s">
        <v>408</v>
      </c>
      <c r="J1791" s="81" t="s">
        <v>224</v>
      </c>
    </row>
    <row r="1792" hidden="1">
      <c r="A1792" s="83" t="s">
        <v>6317</v>
      </c>
      <c r="B1792" s="83" t="s">
        <v>6318</v>
      </c>
      <c r="C1792" s="81" t="s">
        <v>4086</v>
      </c>
      <c r="D1792" s="83" t="s">
        <v>4128</v>
      </c>
      <c r="E1792" s="81" t="s">
        <v>412</v>
      </c>
      <c r="F1792" s="84">
        <v>46.0</v>
      </c>
      <c r="G1792" s="81" t="s">
        <v>40</v>
      </c>
      <c r="H1792" s="81" t="s">
        <v>5187</v>
      </c>
      <c r="I1792" s="81" t="s">
        <v>422</v>
      </c>
      <c r="J1792" s="81" t="s">
        <v>224</v>
      </c>
    </row>
    <row r="1793" hidden="1">
      <c r="A1793" s="83" t="s">
        <v>6317</v>
      </c>
      <c r="B1793" s="83" t="s">
        <v>6318</v>
      </c>
      <c r="C1793" s="81" t="s">
        <v>4086</v>
      </c>
      <c r="D1793" s="83" t="s">
        <v>4129</v>
      </c>
      <c r="E1793" s="81" t="s">
        <v>428</v>
      </c>
      <c r="F1793" s="84">
        <v>47.0</v>
      </c>
      <c r="G1793" s="81" t="s">
        <v>39</v>
      </c>
      <c r="H1793" s="81" t="s">
        <v>5188</v>
      </c>
      <c r="I1793" s="81" t="s">
        <v>434</v>
      </c>
      <c r="J1793" s="81" t="s">
        <v>224</v>
      </c>
    </row>
    <row r="1794" hidden="1">
      <c r="A1794" s="83" t="s">
        <v>6317</v>
      </c>
      <c r="B1794" s="83" t="s">
        <v>6318</v>
      </c>
      <c r="C1794" s="81" t="s">
        <v>4086</v>
      </c>
      <c r="D1794" s="83" t="s">
        <v>4129</v>
      </c>
      <c r="E1794" s="81" t="s">
        <v>428</v>
      </c>
      <c r="F1794" s="84">
        <v>47.0</v>
      </c>
      <c r="G1794" s="81" t="s">
        <v>40</v>
      </c>
      <c r="H1794" s="81" t="s">
        <v>5189</v>
      </c>
      <c r="I1794" s="81" t="s">
        <v>435</v>
      </c>
      <c r="J1794" s="81" t="s">
        <v>224</v>
      </c>
    </row>
    <row r="1795" hidden="1">
      <c r="A1795" s="83" t="s">
        <v>6317</v>
      </c>
      <c r="B1795" s="83" t="s">
        <v>6318</v>
      </c>
      <c r="C1795" s="81" t="s">
        <v>4086</v>
      </c>
      <c r="D1795" s="83" t="s">
        <v>4130</v>
      </c>
      <c r="E1795" s="81" t="s">
        <v>441</v>
      </c>
      <c r="F1795" s="84">
        <v>48.0</v>
      </c>
      <c r="G1795" s="81" t="s">
        <v>39</v>
      </c>
      <c r="H1795" s="81" t="s">
        <v>5190</v>
      </c>
      <c r="I1795" s="81" t="s">
        <v>448</v>
      </c>
      <c r="J1795" s="81" t="s">
        <v>224</v>
      </c>
    </row>
    <row r="1796" hidden="1">
      <c r="A1796" s="83" t="s">
        <v>6317</v>
      </c>
      <c r="B1796" s="83" t="s">
        <v>6318</v>
      </c>
      <c r="C1796" s="81" t="s">
        <v>4086</v>
      </c>
      <c r="D1796" s="83" t="s">
        <v>4130</v>
      </c>
      <c r="E1796" s="81" t="s">
        <v>441</v>
      </c>
      <c r="F1796" s="84">
        <v>48.0</v>
      </c>
      <c r="G1796" s="81" t="s">
        <v>40</v>
      </c>
      <c r="H1796" s="81" t="s">
        <v>5191</v>
      </c>
      <c r="I1796" s="81" t="s">
        <v>449</v>
      </c>
      <c r="J1796" s="81" t="s">
        <v>224</v>
      </c>
    </row>
    <row r="1797" hidden="1">
      <c r="A1797" s="83" t="s">
        <v>6317</v>
      </c>
      <c r="B1797" s="83" t="s">
        <v>6318</v>
      </c>
      <c r="C1797" s="81" t="s">
        <v>4086</v>
      </c>
      <c r="D1797" s="83" t="s">
        <v>4130</v>
      </c>
      <c r="E1797" s="81" t="s">
        <v>455</v>
      </c>
      <c r="F1797" s="84">
        <v>49.0</v>
      </c>
      <c r="G1797" s="81" t="s">
        <v>39</v>
      </c>
      <c r="H1797" s="81" t="s">
        <v>5190</v>
      </c>
      <c r="I1797" s="81" t="s">
        <v>448</v>
      </c>
      <c r="J1797" s="81" t="s">
        <v>224</v>
      </c>
    </row>
    <row r="1798" hidden="1">
      <c r="A1798" s="83" t="s">
        <v>6317</v>
      </c>
      <c r="B1798" s="83" t="s">
        <v>6318</v>
      </c>
      <c r="C1798" s="81" t="s">
        <v>4086</v>
      </c>
      <c r="D1798" s="83" t="s">
        <v>4130</v>
      </c>
      <c r="E1798" s="81" t="s">
        <v>455</v>
      </c>
      <c r="F1798" s="84">
        <v>49.0</v>
      </c>
      <c r="G1798" s="81" t="s">
        <v>40</v>
      </c>
      <c r="H1798" s="81" t="s">
        <v>5191</v>
      </c>
      <c r="I1798" s="81" t="s">
        <v>449</v>
      </c>
      <c r="J1798" s="81" t="s">
        <v>224</v>
      </c>
    </row>
    <row r="1799" hidden="1">
      <c r="A1799" s="83" t="s">
        <v>6317</v>
      </c>
      <c r="B1799" s="83" t="s">
        <v>6318</v>
      </c>
      <c r="C1799" s="81" t="s">
        <v>4086</v>
      </c>
      <c r="D1799" s="83" t="s">
        <v>4132</v>
      </c>
      <c r="E1799" s="81" t="s">
        <v>456</v>
      </c>
      <c r="F1799" s="84">
        <v>50.0</v>
      </c>
      <c r="G1799" s="81" t="s">
        <v>39</v>
      </c>
      <c r="H1799" s="81" t="s">
        <v>5192</v>
      </c>
      <c r="I1799" s="81" t="s">
        <v>457</v>
      </c>
      <c r="J1799" s="81" t="s">
        <v>224</v>
      </c>
    </row>
    <row r="1800" hidden="1">
      <c r="A1800" s="83" t="s">
        <v>6317</v>
      </c>
      <c r="B1800" s="83" t="s">
        <v>6318</v>
      </c>
      <c r="C1800" s="81" t="s">
        <v>4086</v>
      </c>
      <c r="D1800" s="83" t="s">
        <v>4132</v>
      </c>
      <c r="E1800" s="81" t="s">
        <v>456</v>
      </c>
      <c r="F1800" s="84">
        <v>50.0</v>
      </c>
      <c r="G1800" s="81" t="s">
        <v>40</v>
      </c>
      <c r="H1800" s="81" t="s">
        <v>5193</v>
      </c>
      <c r="I1800" s="81" t="s">
        <v>458</v>
      </c>
      <c r="J1800" s="81" t="s">
        <v>224</v>
      </c>
    </row>
    <row r="1801" hidden="1">
      <c r="A1801" s="83" t="s">
        <v>6317</v>
      </c>
      <c r="B1801" s="83" t="s">
        <v>6318</v>
      </c>
      <c r="C1801" s="81" t="s">
        <v>4086</v>
      </c>
      <c r="D1801" s="83" t="s">
        <v>4133</v>
      </c>
      <c r="E1801" s="81" t="s">
        <v>459</v>
      </c>
      <c r="F1801" s="84">
        <v>51.0</v>
      </c>
      <c r="G1801" s="81" t="s">
        <v>39</v>
      </c>
      <c r="H1801" s="81" t="s">
        <v>5194</v>
      </c>
      <c r="I1801" s="81" t="s">
        <v>466</v>
      </c>
      <c r="J1801" s="81" t="s">
        <v>224</v>
      </c>
    </row>
    <row r="1802" hidden="1">
      <c r="A1802" s="83" t="s">
        <v>6317</v>
      </c>
      <c r="B1802" s="83" t="s">
        <v>6318</v>
      </c>
      <c r="C1802" s="81" t="s">
        <v>5141</v>
      </c>
      <c r="D1802" s="83" t="s">
        <v>4133</v>
      </c>
      <c r="E1802" s="81" t="s">
        <v>459</v>
      </c>
      <c r="F1802" s="84">
        <v>51.0</v>
      </c>
      <c r="G1802" s="81" t="s">
        <v>40</v>
      </c>
      <c r="H1802" s="81" t="s">
        <v>5195</v>
      </c>
      <c r="I1802" s="81" t="s">
        <v>224</v>
      </c>
      <c r="J1802" s="81" t="s">
        <v>5143</v>
      </c>
    </row>
    <row r="1803" hidden="1">
      <c r="A1803" s="83" t="s">
        <v>6317</v>
      </c>
      <c r="B1803" s="83" t="s">
        <v>6318</v>
      </c>
      <c r="C1803" s="81" t="s">
        <v>4086</v>
      </c>
      <c r="D1803" s="83" t="s">
        <v>4133</v>
      </c>
      <c r="E1803" s="81" t="s">
        <v>468</v>
      </c>
      <c r="F1803" s="84">
        <v>52.0</v>
      </c>
      <c r="G1803" s="81" t="s">
        <v>39</v>
      </c>
      <c r="H1803" s="81" t="s">
        <v>5194</v>
      </c>
      <c r="I1803" s="81" t="s">
        <v>466</v>
      </c>
      <c r="J1803" s="81" t="s">
        <v>224</v>
      </c>
    </row>
    <row r="1804" hidden="1">
      <c r="A1804" s="83" t="s">
        <v>6317</v>
      </c>
      <c r="B1804" s="83" t="s">
        <v>6318</v>
      </c>
      <c r="C1804" s="81" t="s">
        <v>5141</v>
      </c>
      <c r="D1804" s="83" t="s">
        <v>4133</v>
      </c>
      <c r="E1804" s="81" t="s">
        <v>468</v>
      </c>
      <c r="F1804" s="84">
        <v>52.0</v>
      </c>
      <c r="G1804" s="81" t="s">
        <v>40</v>
      </c>
      <c r="H1804" s="81" t="s">
        <v>5195</v>
      </c>
      <c r="I1804" s="81" t="s">
        <v>224</v>
      </c>
      <c r="J1804" s="81" t="s">
        <v>5143</v>
      </c>
    </row>
    <row r="1805" hidden="1">
      <c r="A1805" s="83" t="s">
        <v>6317</v>
      </c>
      <c r="B1805" s="83" t="s">
        <v>6318</v>
      </c>
      <c r="C1805" s="81" t="s">
        <v>4086</v>
      </c>
      <c r="D1805" s="83" t="s">
        <v>4134</v>
      </c>
      <c r="E1805" s="81" t="s">
        <v>470</v>
      </c>
      <c r="F1805" s="84">
        <v>53.0</v>
      </c>
      <c r="G1805" s="81" t="s">
        <v>39</v>
      </c>
      <c r="H1805" s="81" t="s">
        <v>5196</v>
      </c>
      <c r="I1805" s="81" t="s">
        <v>473</v>
      </c>
      <c r="J1805" s="81" t="s">
        <v>224</v>
      </c>
    </row>
    <row r="1806" hidden="1">
      <c r="A1806" s="83" t="s">
        <v>6317</v>
      </c>
      <c r="B1806" s="83" t="s">
        <v>6318</v>
      </c>
      <c r="C1806" s="81" t="s">
        <v>5141</v>
      </c>
      <c r="D1806" s="83" t="s">
        <v>4134</v>
      </c>
      <c r="E1806" s="81" t="s">
        <v>470</v>
      </c>
      <c r="F1806" s="84">
        <v>53.0</v>
      </c>
      <c r="G1806" s="81" t="s">
        <v>40</v>
      </c>
      <c r="H1806" s="81" t="s">
        <v>5197</v>
      </c>
      <c r="I1806" s="81" t="s">
        <v>224</v>
      </c>
      <c r="J1806" s="81" t="s">
        <v>5143</v>
      </c>
    </row>
    <row r="1807" hidden="1">
      <c r="A1807" s="83" t="s">
        <v>6317</v>
      </c>
      <c r="B1807" s="83" t="s">
        <v>6318</v>
      </c>
      <c r="C1807" s="81" t="s">
        <v>4086</v>
      </c>
      <c r="D1807" s="83" t="s">
        <v>4134</v>
      </c>
      <c r="E1807" s="81" t="s">
        <v>475</v>
      </c>
      <c r="F1807" s="84">
        <v>54.0</v>
      </c>
      <c r="G1807" s="81" t="s">
        <v>39</v>
      </c>
      <c r="H1807" s="81" t="s">
        <v>5196</v>
      </c>
      <c r="I1807" s="81" t="s">
        <v>473</v>
      </c>
      <c r="J1807" s="81" t="s">
        <v>224</v>
      </c>
    </row>
    <row r="1808" hidden="1">
      <c r="A1808" s="83" t="s">
        <v>6317</v>
      </c>
      <c r="B1808" s="83" t="s">
        <v>6318</v>
      </c>
      <c r="C1808" s="81" t="s">
        <v>5141</v>
      </c>
      <c r="D1808" s="83" t="s">
        <v>4134</v>
      </c>
      <c r="E1808" s="81" t="s">
        <v>475</v>
      </c>
      <c r="F1808" s="84">
        <v>54.0</v>
      </c>
      <c r="G1808" s="81" t="s">
        <v>40</v>
      </c>
      <c r="H1808" s="81" t="s">
        <v>5197</v>
      </c>
      <c r="I1808" s="81" t="s">
        <v>224</v>
      </c>
      <c r="J1808" s="81" t="s">
        <v>5143</v>
      </c>
    </row>
    <row r="1809" hidden="1">
      <c r="A1809" s="83" t="s">
        <v>6317</v>
      </c>
      <c r="B1809" s="83" t="s">
        <v>6318</v>
      </c>
      <c r="C1809" s="81" t="s">
        <v>4086</v>
      </c>
      <c r="D1809" s="83" t="s">
        <v>4135</v>
      </c>
      <c r="E1809" s="81" t="s">
        <v>476</v>
      </c>
      <c r="F1809" s="84">
        <v>55.0</v>
      </c>
      <c r="G1809" s="81" t="s">
        <v>39</v>
      </c>
      <c r="H1809" s="81" t="s">
        <v>5198</v>
      </c>
      <c r="I1809" s="81" t="s">
        <v>477</v>
      </c>
      <c r="J1809" s="81" t="s">
        <v>224</v>
      </c>
    </row>
    <row r="1810" hidden="1">
      <c r="A1810" s="83" t="s">
        <v>6317</v>
      </c>
      <c r="B1810" s="83" t="s">
        <v>6318</v>
      </c>
      <c r="C1810" s="81" t="s">
        <v>5141</v>
      </c>
      <c r="D1810" s="83" t="s">
        <v>4135</v>
      </c>
      <c r="E1810" s="81" t="s">
        <v>476</v>
      </c>
      <c r="F1810" s="84">
        <v>55.0</v>
      </c>
      <c r="G1810" s="81" t="s">
        <v>40</v>
      </c>
      <c r="H1810" s="81" t="s">
        <v>5199</v>
      </c>
      <c r="I1810" s="81" t="s">
        <v>224</v>
      </c>
      <c r="J1810" s="81" t="s">
        <v>5143</v>
      </c>
    </row>
    <row r="1811" hidden="1">
      <c r="A1811" s="83" t="s">
        <v>6317</v>
      </c>
      <c r="B1811" s="83" t="s">
        <v>6318</v>
      </c>
      <c r="C1811" s="81" t="s">
        <v>4086</v>
      </c>
      <c r="D1811" s="83" t="s">
        <v>4136</v>
      </c>
      <c r="E1811" s="81" t="s">
        <v>478</v>
      </c>
      <c r="F1811" s="84">
        <v>56.0</v>
      </c>
      <c r="G1811" s="81" t="s">
        <v>39</v>
      </c>
      <c r="H1811" s="81" t="s">
        <v>5200</v>
      </c>
      <c r="I1811" s="81" t="s">
        <v>483</v>
      </c>
      <c r="J1811" s="81" t="s">
        <v>224</v>
      </c>
    </row>
    <row r="1812" hidden="1">
      <c r="A1812" s="83" t="s">
        <v>6317</v>
      </c>
      <c r="B1812" s="83" t="s">
        <v>6318</v>
      </c>
      <c r="C1812" s="81" t="s">
        <v>5141</v>
      </c>
      <c r="D1812" s="83" t="s">
        <v>4136</v>
      </c>
      <c r="E1812" s="81" t="s">
        <v>478</v>
      </c>
      <c r="F1812" s="84">
        <v>56.0</v>
      </c>
      <c r="G1812" s="81" t="s">
        <v>40</v>
      </c>
      <c r="H1812" s="81" t="s">
        <v>5201</v>
      </c>
      <c r="I1812" s="81" t="s">
        <v>224</v>
      </c>
      <c r="J1812" s="81" t="s">
        <v>5143</v>
      </c>
    </row>
    <row r="1813" hidden="1">
      <c r="A1813" s="83" t="s">
        <v>6317</v>
      </c>
      <c r="B1813" s="83" t="s">
        <v>6318</v>
      </c>
      <c r="C1813" s="81" t="s">
        <v>4086</v>
      </c>
      <c r="D1813" s="83" t="s">
        <v>4136</v>
      </c>
      <c r="E1813" s="81" t="s">
        <v>487</v>
      </c>
      <c r="F1813" s="84">
        <v>57.0</v>
      </c>
      <c r="G1813" s="81" t="s">
        <v>39</v>
      </c>
      <c r="H1813" s="81" t="s">
        <v>5200</v>
      </c>
      <c r="I1813" s="81" t="s">
        <v>483</v>
      </c>
      <c r="J1813" s="81" t="s">
        <v>224</v>
      </c>
    </row>
    <row r="1814" hidden="1">
      <c r="A1814" s="83" t="s">
        <v>6317</v>
      </c>
      <c r="B1814" s="83" t="s">
        <v>6318</v>
      </c>
      <c r="C1814" s="81" t="s">
        <v>5141</v>
      </c>
      <c r="D1814" s="83" t="s">
        <v>4136</v>
      </c>
      <c r="E1814" s="81" t="s">
        <v>487</v>
      </c>
      <c r="F1814" s="84">
        <v>57.0</v>
      </c>
      <c r="G1814" s="81" t="s">
        <v>40</v>
      </c>
      <c r="H1814" s="81" t="s">
        <v>5201</v>
      </c>
      <c r="I1814" s="81" t="s">
        <v>224</v>
      </c>
      <c r="J1814" s="81" t="s">
        <v>5143</v>
      </c>
    </row>
    <row r="1815" hidden="1">
      <c r="A1815" s="83" t="s">
        <v>6317</v>
      </c>
      <c r="B1815" s="83" t="s">
        <v>6318</v>
      </c>
      <c r="C1815" s="81" t="s">
        <v>4086</v>
      </c>
      <c r="D1815" s="83" t="s">
        <v>4137</v>
      </c>
      <c r="E1815" s="81" t="s">
        <v>489</v>
      </c>
      <c r="F1815" s="84">
        <v>58.0</v>
      </c>
      <c r="G1815" s="81" t="s">
        <v>39</v>
      </c>
      <c r="H1815" s="81" t="s">
        <v>5202</v>
      </c>
      <c r="I1815" s="81" t="s">
        <v>491</v>
      </c>
      <c r="J1815" s="81" t="s">
        <v>224</v>
      </c>
    </row>
    <row r="1816" hidden="1">
      <c r="A1816" s="83" t="s">
        <v>6317</v>
      </c>
      <c r="B1816" s="83" t="s">
        <v>6318</v>
      </c>
      <c r="C1816" s="81" t="s">
        <v>5141</v>
      </c>
      <c r="D1816" s="83" t="s">
        <v>4137</v>
      </c>
      <c r="E1816" s="81" t="s">
        <v>489</v>
      </c>
      <c r="F1816" s="84">
        <v>58.0</v>
      </c>
      <c r="G1816" s="81" t="s">
        <v>40</v>
      </c>
      <c r="H1816" s="81" t="s">
        <v>5203</v>
      </c>
      <c r="I1816" s="81" t="s">
        <v>224</v>
      </c>
      <c r="J1816" s="81" t="s">
        <v>5143</v>
      </c>
    </row>
    <row r="1817" hidden="1">
      <c r="A1817" s="83" t="s">
        <v>6317</v>
      </c>
      <c r="B1817" s="83" t="s">
        <v>6318</v>
      </c>
      <c r="C1817" s="81" t="s">
        <v>4086</v>
      </c>
      <c r="D1817" s="83" t="s">
        <v>4138</v>
      </c>
      <c r="E1817" s="81" t="s">
        <v>492</v>
      </c>
      <c r="F1817" s="84">
        <v>59.0</v>
      </c>
      <c r="G1817" s="81" t="s">
        <v>39</v>
      </c>
      <c r="H1817" s="81" t="s">
        <v>5204</v>
      </c>
      <c r="I1817" s="81" t="s">
        <v>493</v>
      </c>
      <c r="J1817" s="81" t="s">
        <v>224</v>
      </c>
    </row>
    <row r="1818" hidden="1">
      <c r="A1818" s="83" t="s">
        <v>6317</v>
      </c>
      <c r="B1818" s="83" t="s">
        <v>6318</v>
      </c>
      <c r="C1818" s="81" t="s">
        <v>5141</v>
      </c>
      <c r="D1818" s="83" t="s">
        <v>4138</v>
      </c>
      <c r="E1818" s="81" t="s">
        <v>492</v>
      </c>
      <c r="F1818" s="84">
        <v>59.0</v>
      </c>
      <c r="G1818" s="81" t="s">
        <v>40</v>
      </c>
      <c r="H1818" s="81" t="s">
        <v>5205</v>
      </c>
      <c r="I1818" s="81" t="s">
        <v>224</v>
      </c>
      <c r="J1818" s="81" t="s">
        <v>5143</v>
      </c>
    </row>
    <row r="1819" hidden="1">
      <c r="A1819" s="83" t="s">
        <v>6317</v>
      </c>
      <c r="B1819" s="83" t="s">
        <v>6318</v>
      </c>
      <c r="C1819" s="81" t="s">
        <v>4086</v>
      </c>
      <c r="D1819" s="83" t="s">
        <v>4139</v>
      </c>
      <c r="E1819" s="81" t="s">
        <v>494</v>
      </c>
      <c r="F1819" s="84">
        <v>60.0</v>
      </c>
      <c r="G1819" s="81" t="s">
        <v>39</v>
      </c>
      <c r="H1819" s="81" t="s">
        <v>5206</v>
      </c>
      <c r="I1819" s="81" t="s">
        <v>499</v>
      </c>
      <c r="J1819" s="81" t="s">
        <v>224</v>
      </c>
    </row>
    <row r="1820" hidden="1">
      <c r="A1820" s="83" t="s">
        <v>6317</v>
      </c>
      <c r="B1820" s="83" t="s">
        <v>6318</v>
      </c>
      <c r="C1820" s="81" t="s">
        <v>5141</v>
      </c>
      <c r="D1820" s="83" t="s">
        <v>4139</v>
      </c>
      <c r="E1820" s="81" t="s">
        <v>494</v>
      </c>
      <c r="F1820" s="84">
        <v>60.0</v>
      </c>
      <c r="G1820" s="81" t="s">
        <v>40</v>
      </c>
      <c r="H1820" s="81" t="s">
        <v>5207</v>
      </c>
      <c r="I1820" s="81" t="s">
        <v>224</v>
      </c>
      <c r="J1820" s="81" t="s">
        <v>5143</v>
      </c>
    </row>
    <row r="1821" hidden="1">
      <c r="A1821" s="83" t="s">
        <v>6317</v>
      </c>
      <c r="B1821" s="83" t="s">
        <v>6318</v>
      </c>
      <c r="C1821" s="81" t="s">
        <v>4086</v>
      </c>
      <c r="D1821" s="83" t="s">
        <v>4139</v>
      </c>
      <c r="E1821" s="81" t="s">
        <v>503</v>
      </c>
      <c r="F1821" s="84">
        <v>61.0</v>
      </c>
      <c r="G1821" s="81" t="s">
        <v>39</v>
      </c>
      <c r="H1821" s="81" t="s">
        <v>5206</v>
      </c>
      <c r="I1821" s="81" t="s">
        <v>499</v>
      </c>
      <c r="J1821" s="81" t="s">
        <v>224</v>
      </c>
    </row>
    <row r="1822" hidden="1">
      <c r="A1822" s="83" t="s">
        <v>6317</v>
      </c>
      <c r="B1822" s="83" t="s">
        <v>6318</v>
      </c>
      <c r="C1822" s="81" t="s">
        <v>5141</v>
      </c>
      <c r="D1822" s="83" t="s">
        <v>4139</v>
      </c>
      <c r="E1822" s="81" t="s">
        <v>503</v>
      </c>
      <c r="F1822" s="84">
        <v>61.0</v>
      </c>
      <c r="G1822" s="81" t="s">
        <v>40</v>
      </c>
      <c r="H1822" s="81" t="s">
        <v>5207</v>
      </c>
      <c r="I1822" s="81" t="s">
        <v>224</v>
      </c>
      <c r="J1822" s="81" t="s">
        <v>5143</v>
      </c>
    </row>
    <row r="1823" hidden="1">
      <c r="A1823" s="83" t="s">
        <v>6317</v>
      </c>
      <c r="B1823" s="83" t="s">
        <v>6318</v>
      </c>
      <c r="C1823" s="81" t="s">
        <v>4086</v>
      </c>
      <c r="D1823" s="83" t="s">
        <v>4140</v>
      </c>
      <c r="E1823" s="81" t="s">
        <v>505</v>
      </c>
      <c r="F1823" s="84">
        <v>62.0</v>
      </c>
      <c r="G1823" s="81" t="s">
        <v>39</v>
      </c>
      <c r="H1823" s="81" t="s">
        <v>5208</v>
      </c>
      <c r="I1823" s="81" t="s">
        <v>506</v>
      </c>
      <c r="J1823" s="81" t="s">
        <v>224</v>
      </c>
    </row>
    <row r="1824" hidden="1">
      <c r="A1824" s="83" t="s">
        <v>6317</v>
      </c>
      <c r="B1824" s="83" t="s">
        <v>6318</v>
      </c>
      <c r="C1824" s="81" t="s">
        <v>5141</v>
      </c>
      <c r="D1824" s="83" t="s">
        <v>4140</v>
      </c>
      <c r="E1824" s="81" t="s">
        <v>505</v>
      </c>
      <c r="F1824" s="84">
        <v>62.0</v>
      </c>
      <c r="G1824" s="81" t="s">
        <v>40</v>
      </c>
      <c r="H1824" s="81" t="s">
        <v>5209</v>
      </c>
      <c r="I1824" s="81" t="s">
        <v>224</v>
      </c>
      <c r="J1824" s="81" t="s">
        <v>5143</v>
      </c>
    </row>
    <row r="1825" hidden="1">
      <c r="A1825" s="83" t="s">
        <v>6317</v>
      </c>
      <c r="B1825" s="83" t="s">
        <v>6318</v>
      </c>
      <c r="C1825" s="81" t="s">
        <v>4086</v>
      </c>
      <c r="D1825" s="83" t="s">
        <v>4141</v>
      </c>
      <c r="E1825" s="81" t="s">
        <v>507</v>
      </c>
      <c r="F1825" s="84">
        <v>63.0</v>
      </c>
      <c r="G1825" s="81" t="s">
        <v>39</v>
      </c>
      <c r="H1825" s="81" t="s">
        <v>5210</v>
      </c>
      <c r="I1825" s="81" t="s">
        <v>512</v>
      </c>
      <c r="J1825" s="81" t="s">
        <v>224</v>
      </c>
    </row>
    <row r="1826" hidden="1">
      <c r="A1826" s="83" t="s">
        <v>6317</v>
      </c>
      <c r="B1826" s="83" t="s">
        <v>6318</v>
      </c>
      <c r="C1826" s="81" t="s">
        <v>5141</v>
      </c>
      <c r="D1826" s="83" t="s">
        <v>4141</v>
      </c>
      <c r="E1826" s="81" t="s">
        <v>507</v>
      </c>
      <c r="F1826" s="84">
        <v>63.0</v>
      </c>
      <c r="G1826" s="81" t="s">
        <v>40</v>
      </c>
      <c r="H1826" s="81" t="s">
        <v>5211</v>
      </c>
      <c r="I1826" s="81" t="s">
        <v>224</v>
      </c>
      <c r="J1826" s="81" t="s">
        <v>5143</v>
      </c>
    </row>
    <row r="1827" hidden="1">
      <c r="A1827" s="83" t="s">
        <v>6317</v>
      </c>
      <c r="B1827" s="83" t="s">
        <v>6318</v>
      </c>
      <c r="C1827" s="81" t="s">
        <v>4086</v>
      </c>
      <c r="D1827" s="83" t="s">
        <v>4141</v>
      </c>
      <c r="E1827" s="81" t="s">
        <v>516</v>
      </c>
      <c r="F1827" s="84">
        <v>64.0</v>
      </c>
      <c r="G1827" s="81" t="s">
        <v>39</v>
      </c>
      <c r="H1827" s="81" t="s">
        <v>5210</v>
      </c>
      <c r="I1827" s="81" t="s">
        <v>512</v>
      </c>
      <c r="J1827" s="81" t="s">
        <v>224</v>
      </c>
    </row>
    <row r="1828" hidden="1">
      <c r="A1828" s="83" t="s">
        <v>6317</v>
      </c>
      <c r="B1828" s="83" t="s">
        <v>6318</v>
      </c>
      <c r="C1828" s="81" t="s">
        <v>5141</v>
      </c>
      <c r="D1828" s="83" t="s">
        <v>4141</v>
      </c>
      <c r="E1828" s="81" t="s">
        <v>516</v>
      </c>
      <c r="F1828" s="84">
        <v>64.0</v>
      </c>
      <c r="G1828" s="81" t="s">
        <v>40</v>
      </c>
      <c r="H1828" s="81" t="s">
        <v>5211</v>
      </c>
      <c r="I1828" s="81" t="s">
        <v>224</v>
      </c>
      <c r="J1828" s="81" t="s">
        <v>5143</v>
      </c>
    </row>
    <row r="1829" hidden="1">
      <c r="A1829" s="83" t="s">
        <v>6317</v>
      </c>
      <c r="B1829" s="83" t="s">
        <v>6318</v>
      </c>
      <c r="C1829" s="81" t="s">
        <v>4086</v>
      </c>
      <c r="D1829" s="83" t="s">
        <v>4142</v>
      </c>
      <c r="E1829" s="81" t="s">
        <v>518</v>
      </c>
      <c r="F1829" s="84">
        <v>65.0</v>
      </c>
      <c r="G1829" s="81" t="s">
        <v>39</v>
      </c>
      <c r="H1829" s="81" t="s">
        <v>5212</v>
      </c>
      <c r="I1829" s="81" t="s">
        <v>521</v>
      </c>
      <c r="J1829" s="81" t="s">
        <v>224</v>
      </c>
    </row>
    <row r="1830" hidden="1">
      <c r="A1830" s="83" t="s">
        <v>6317</v>
      </c>
      <c r="B1830" s="83" t="s">
        <v>6318</v>
      </c>
      <c r="C1830" s="81" t="s">
        <v>5141</v>
      </c>
      <c r="D1830" s="83" t="s">
        <v>4142</v>
      </c>
      <c r="E1830" s="81" t="s">
        <v>518</v>
      </c>
      <c r="F1830" s="84">
        <v>65.0</v>
      </c>
      <c r="G1830" s="81" t="s">
        <v>40</v>
      </c>
      <c r="H1830" s="81" t="s">
        <v>5213</v>
      </c>
      <c r="I1830" s="81" t="s">
        <v>224</v>
      </c>
      <c r="J1830" s="81" t="s">
        <v>5143</v>
      </c>
    </row>
    <row r="1831" hidden="1">
      <c r="A1831" s="83" t="s">
        <v>6317</v>
      </c>
      <c r="B1831" s="83" t="s">
        <v>6318</v>
      </c>
      <c r="C1831" s="81" t="s">
        <v>4086</v>
      </c>
      <c r="D1831" s="83" t="s">
        <v>4144</v>
      </c>
      <c r="E1831" s="81" t="s">
        <v>523</v>
      </c>
      <c r="F1831" s="84">
        <v>66.0</v>
      </c>
      <c r="G1831" s="81" t="s">
        <v>39</v>
      </c>
      <c r="H1831" s="81" t="s">
        <v>5214</v>
      </c>
      <c r="I1831" s="81" t="s">
        <v>526</v>
      </c>
      <c r="J1831" s="81" t="s">
        <v>224</v>
      </c>
    </row>
    <row r="1832" hidden="1">
      <c r="A1832" s="83" t="s">
        <v>6317</v>
      </c>
      <c r="B1832" s="83" t="s">
        <v>6318</v>
      </c>
      <c r="C1832" s="81" t="s">
        <v>5141</v>
      </c>
      <c r="D1832" s="83" t="s">
        <v>4144</v>
      </c>
      <c r="E1832" s="81" t="s">
        <v>523</v>
      </c>
      <c r="F1832" s="84">
        <v>66.0</v>
      </c>
      <c r="G1832" s="81" t="s">
        <v>40</v>
      </c>
      <c r="H1832" s="81" t="s">
        <v>5215</v>
      </c>
      <c r="I1832" s="81" t="s">
        <v>224</v>
      </c>
      <c r="J1832" s="81" t="s">
        <v>5143</v>
      </c>
    </row>
    <row r="1833" hidden="1">
      <c r="A1833" s="83" t="s">
        <v>6317</v>
      </c>
      <c r="B1833" s="83" t="s">
        <v>6318</v>
      </c>
      <c r="C1833" s="81" t="s">
        <v>4086</v>
      </c>
      <c r="D1833" s="83" t="s">
        <v>4144</v>
      </c>
      <c r="E1833" s="81" t="s">
        <v>530</v>
      </c>
      <c r="F1833" s="84">
        <v>67.0</v>
      </c>
      <c r="G1833" s="81" t="s">
        <v>39</v>
      </c>
      <c r="H1833" s="81" t="s">
        <v>5214</v>
      </c>
      <c r="I1833" s="81" t="s">
        <v>526</v>
      </c>
      <c r="J1833" s="81" t="s">
        <v>224</v>
      </c>
    </row>
    <row r="1834" hidden="1">
      <c r="A1834" s="83" t="s">
        <v>6317</v>
      </c>
      <c r="B1834" s="83" t="s">
        <v>6318</v>
      </c>
      <c r="C1834" s="81" t="s">
        <v>5141</v>
      </c>
      <c r="D1834" s="83" t="s">
        <v>4144</v>
      </c>
      <c r="E1834" s="81" t="s">
        <v>530</v>
      </c>
      <c r="F1834" s="84">
        <v>67.0</v>
      </c>
      <c r="G1834" s="81" t="s">
        <v>40</v>
      </c>
      <c r="H1834" s="81" t="s">
        <v>5215</v>
      </c>
      <c r="I1834" s="81" t="s">
        <v>224</v>
      </c>
      <c r="J1834" s="81" t="s">
        <v>5143</v>
      </c>
    </row>
    <row r="1835" hidden="1">
      <c r="A1835" s="83" t="s">
        <v>6317</v>
      </c>
      <c r="B1835" s="83" t="s">
        <v>6318</v>
      </c>
      <c r="C1835" s="81" t="s">
        <v>4086</v>
      </c>
      <c r="D1835" s="83" t="s">
        <v>4145</v>
      </c>
      <c r="E1835" s="81" t="s">
        <v>531</v>
      </c>
      <c r="F1835" s="84">
        <v>68.0</v>
      </c>
      <c r="G1835" s="81" t="s">
        <v>39</v>
      </c>
      <c r="H1835" s="81" t="s">
        <v>5216</v>
      </c>
      <c r="I1835" s="81" t="s">
        <v>532</v>
      </c>
      <c r="J1835" s="81" t="s">
        <v>224</v>
      </c>
    </row>
    <row r="1836" hidden="1">
      <c r="A1836" s="83" t="s">
        <v>6317</v>
      </c>
      <c r="B1836" s="83" t="s">
        <v>6318</v>
      </c>
      <c r="C1836" s="81" t="s">
        <v>5141</v>
      </c>
      <c r="D1836" s="83" t="s">
        <v>4145</v>
      </c>
      <c r="E1836" s="81" t="s">
        <v>531</v>
      </c>
      <c r="F1836" s="84">
        <v>68.0</v>
      </c>
      <c r="G1836" s="81" t="s">
        <v>40</v>
      </c>
      <c r="H1836" s="81" t="s">
        <v>5217</v>
      </c>
      <c r="I1836" s="81" t="s">
        <v>224</v>
      </c>
      <c r="J1836" s="81" t="s">
        <v>5143</v>
      </c>
    </row>
    <row r="1837" hidden="1">
      <c r="A1837" s="83" t="s">
        <v>6317</v>
      </c>
      <c r="B1837" s="83" t="s">
        <v>6318</v>
      </c>
      <c r="C1837" s="81" t="s">
        <v>4086</v>
      </c>
      <c r="D1837" s="83" t="s">
        <v>4146</v>
      </c>
      <c r="E1837" s="81" t="s">
        <v>533</v>
      </c>
      <c r="F1837" s="84">
        <v>69.0</v>
      </c>
      <c r="G1837" s="81" t="s">
        <v>39</v>
      </c>
      <c r="H1837" s="81" t="s">
        <v>5218</v>
      </c>
      <c r="I1837" s="81" t="s">
        <v>538</v>
      </c>
      <c r="J1837" s="81" t="s">
        <v>224</v>
      </c>
    </row>
    <row r="1838" hidden="1">
      <c r="A1838" s="83" t="s">
        <v>6317</v>
      </c>
      <c r="B1838" s="83" t="s">
        <v>6318</v>
      </c>
      <c r="C1838" s="81" t="s">
        <v>5141</v>
      </c>
      <c r="D1838" s="83" t="s">
        <v>4146</v>
      </c>
      <c r="E1838" s="81" t="s">
        <v>533</v>
      </c>
      <c r="F1838" s="84">
        <v>69.0</v>
      </c>
      <c r="G1838" s="81" t="s">
        <v>40</v>
      </c>
      <c r="H1838" s="81" t="s">
        <v>5219</v>
      </c>
      <c r="I1838" s="81" t="s">
        <v>224</v>
      </c>
      <c r="J1838" s="81" t="s">
        <v>5143</v>
      </c>
    </row>
    <row r="1839" hidden="1">
      <c r="A1839" s="83" t="s">
        <v>6317</v>
      </c>
      <c r="B1839" s="83" t="s">
        <v>6318</v>
      </c>
      <c r="C1839" s="81" t="s">
        <v>4086</v>
      </c>
      <c r="D1839" s="83" t="s">
        <v>4147</v>
      </c>
      <c r="E1839" s="81" t="s">
        <v>542</v>
      </c>
      <c r="F1839" s="84">
        <v>70.0</v>
      </c>
      <c r="G1839" s="81" t="s">
        <v>39</v>
      </c>
      <c r="H1839" s="81" t="s">
        <v>5220</v>
      </c>
      <c r="I1839" s="81" t="s">
        <v>544</v>
      </c>
      <c r="J1839" s="81" t="s">
        <v>224</v>
      </c>
    </row>
    <row r="1840" hidden="1">
      <c r="A1840" s="83" t="s">
        <v>6317</v>
      </c>
      <c r="B1840" s="83" t="s">
        <v>6318</v>
      </c>
      <c r="C1840" s="81" t="s">
        <v>5141</v>
      </c>
      <c r="D1840" s="83" t="s">
        <v>4147</v>
      </c>
      <c r="E1840" s="81" t="s">
        <v>542</v>
      </c>
      <c r="F1840" s="84">
        <v>70.0</v>
      </c>
      <c r="G1840" s="81" t="s">
        <v>40</v>
      </c>
      <c r="H1840" s="81" t="s">
        <v>5221</v>
      </c>
      <c r="I1840" s="81" t="s">
        <v>224</v>
      </c>
      <c r="J1840" s="81" t="s">
        <v>5143</v>
      </c>
    </row>
    <row r="1841" hidden="1">
      <c r="A1841" s="83" t="s">
        <v>6317</v>
      </c>
      <c r="B1841" s="83" t="s">
        <v>6318</v>
      </c>
      <c r="C1841" s="81" t="s">
        <v>4086</v>
      </c>
      <c r="D1841" s="83" t="s">
        <v>4148</v>
      </c>
      <c r="E1841" s="81" t="s">
        <v>545</v>
      </c>
      <c r="F1841" s="84">
        <v>71.0</v>
      </c>
      <c r="G1841" s="81" t="s">
        <v>39</v>
      </c>
      <c r="H1841" s="81" t="s">
        <v>5222</v>
      </c>
      <c r="I1841" s="81" t="s">
        <v>550</v>
      </c>
      <c r="J1841" s="81" t="s">
        <v>224</v>
      </c>
    </row>
    <row r="1842" hidden="1">
      <c r="A1842" s="83" t="s">
        <v>6317</v>
      </c>
      <c r="B1842" s="83" t="s">
        <v>6318</v>
      </c>
      <c r="C1842" s="81" t="s">
        <v>5141</v>
      </c>
      <c r="D1842" s="83" t="s">
        <v>4148</v>
      </c>
      <c r="E1842" s="81" t="s">
        <v>545</v>
      </c>
      <c r="F1842" s="84">
        <v>71.0</v>
      </c>
      <c r="G1842" s="81" t="s">
        <v>40</v>
      </c>
      <c r="H1842" s="81" t="s">
        <v>5223</v>
      </c>
      <c r="I1842" s="81" t="s">
        <v>224</v>
      </c>
      <c r="J1842" s="81" t="s">
        <v>5143</v>
      </c>
    </row>
    <row r="1843" hidden="1">
      <c r="A1843" s="83" t="s">
        <v>6317</v>
      </c>
      <c r="B1843" s="83" t="s">
        <v>6318</v>
      </c>
      <c r="C1843" s="81" t="s">
        <v>4086</v>
      </c>
      <c r="D1843" s="83" t="s">
        <v>4148</v>
      </c>
      <c r="E1843" s="81" t="s">
        <v>552</v>
      </c>
      <c r="F1843" s="84">
        <v>72.0</v>
      </c>
      <c r="G1843" s="81" t="s">
        <v>39</v>
      </c>
      <c r="H1843" s="81" t="s">
        <v>5222</v>
      </c>
      <c r="I1843" s="81" t="s">
        <v>550</v>
      </c>
      <c r="J1843" s="81" t="s">
        <v>224</v>
      </c>
    </row>
    <row r="1844" hidden="1">
      <c r="A1844" s="83" t="s">
        <v>6317</v>
      </c>
      <c r="B1844" s="83" t="s">
        <v>6318</v>
      </c>
      <c r="C1844" s="81" t="s">
        <v>5141</v>
      </c>
      <c r="D1844" s="83" t="s">
        <v>4148</v>
      </c>
      <c r="E1844" s="81" t="s">
        <v>552</v>
      </c>
      <c r="F1844" s="84">
        <v>72.0</v>
      </c>
      <c r="G1844" s="81" t="s">
        <v>40</v>
      </c>
      <c r="H1844" s="81" t="s">
        <v>5223</v>
      </c>
      <c r="I1844" s="81" t="s">
        <v>224</v>
      </c>
      <c r="J1844" s="81" t="s">
        <v>5143</v>
      </c>
    </row>
    <row r="1845" hidden="1">
      <c r="A1845" s="83" t="s">
        <v>6317</v>
      </c>
      <c r="B1845" s="83" t="s">
        <v>6318</v>
      </c>
      <c r="C1845" s="81" t="s">
        <v>4086</v>
      </c>
      <c r="D1845" s="83" t="s">
        <v>4149</v>
      </c>
      <c r="E1845" s="81" t="s">
        <v>554</v>
      </c>
      <c r="F1845" s="84">
        <v>73.0</v>
      </c>
      <c r="G1845" s="81" t="s">
        <v>39</v>
      </c>
      <c r="H1845" s="81" t="s">
        <v>5224</v>
      </c>
      <c r="I1845" s="81" t="s">
        <v>555</v>
      </c>
      <c r="J1845" s="81" t="s">
        <v>224</v>
      </c>
    </row>
    <row r="1846" hidden="1">
      <c r="A1846" s="83" t="s">
        <v>6317</v>
      </c>
      <c r="B1846" s="83" t="s">
        <v>6318</v>
      </c>
      <c r="C1846" s="81" t="s">
        <v>5141</v>
      </c>
      <c r="D1846" s="83" t="s">
        <v>4149</v>
      </c>
      <c r="E1846" s="81" t="s">
        <v>554</v>
      </c>
      <c r="F1846" s="84">
        <v>73.0</v>
      </c>
      <c r="G1846" s="81" t="s">
        <v>40</v>
      </c>
      <c r="H1846" s="81" t="s">
        <v>5225</v>
      </c>
      <c r="I1846" s="81" t="s">
        <v>224</v>
      </c>
      <c r="J1846" s="81" t="s">
        <v>5143</v>
      </c>
    </row>
    <row r="1847" hidden="1">
      <c r="A1847" s="83" t="s">
        <v>6317</v>
      </c>
      <c r="B1847" s="83" t="s">
        <v>6318</v>
      </c>
      <c r="C1847" s="81" t="s">
        <v>4086</v>
      </c>
      <c r="D1847" s="83" t="s">
        <v>4150</v>
      </c>
      <c r="E1847" s="81" t="s">
        <v>556</v>
      </c>
      <c r="F1847" s="84">
        <v>74.0</v>
      </c>
      <c r="G1847" s="81" t="s">
        <v>39</v>
      </c>
      <c r="H1847" s="81" t="s">
        <v>5226</v>
      </c>
      <c r="I1847" s="81" t="s">
        <v>561</v>
      </c>
      <c r="J1847" s="81" t="s">
        <v>224</v>
      </c>
    </row>
    <row r="1848" hidden="1">
      <c r="A1848" s="83" t="s">
        <v>6317</v>
      </c>
      <c r="B1848" s="83" t="s">
        <v>6318</v>
      </c>
      <c r="C1848" s="81" t="s">
        <v>5141</v>
      </c>
      <c r="D1848" s="83" t="s">
        <v>4150</v>
      </c>
      <c r="E1848" s="81" t="s">
        <v>556</v>
      </c>
      <c r="F1848" s="84">
        <v>74.0</v>
      </c>
      <c r="G1848" s="81" t="s">
        <v>40</v>
      </c>
      <c r="H1848" s="81" t="s">
        <v>5227</v>
      </c>
      <c r="I1848" s="81" t="s">
        <v>224</v>
      </c>
      <c r="J1848" s="81" t="s">
        <v>5143</v>
      </c>
    </row>
    <row r="1849" hidden="1">
      <c r="A1849" s="83" t="s">
        <v>6317</v>
      </c>
      <c r="B1849" s="83" t="s">
        <v>6318</v>
      </c>
      <c r="C1849" s="81" t="s">
        <v>4086</v>
      </c>
      <c r="D1849" s="83" t="s">
        <v>4150</v>
      </c>
      <c r="E1849" s="81" t="s">
        <v>565</v>
      </c>
      <c r="F1849" s="84">
        <v>75.0</v>
      </c>
      <c r="G1849" s="81" t="s">
        <v>39</v>
      </c>
      <c r="H1849" s="81" t="s">
        <v>5226</v>
      </c>
      <c r="I1849" s="81" t="s">
        <v>561</v>
      </c>
      <c r="J1849" s="81" t="s">
        <v>224</v>
      </c>
    </row>
    <row r="1850" hidden="1">
      <c r="A1850" s="83" t="s">
        <v>6317</v>
      </c>
      <c r="B1850" s="83" t="s">
        <v>6318</v>
      </c>
      <c r="C1850" s="81" t="s">
        <v>5141</v>
      </c>
      <c r="D1850" s="83" t="s">
        <v>4150</v>
      </c>
      <c r="E1850" s="81" t="s">
        <v>565</v>
      </c>
      <c r="F1850" s="84">
        <v>75.0</v>
      </c>
      <c r="G1850" s="81" t="s">
        <v>40</v>
      </c>
      <c r="H1850" s="81" t="s">
        <v>5227</v>
      </c>
      <c r="I1850" s="81" t="s">
        <v>224</v>
      </c>
      <c r="J1850" s="81" t="s">
        <v>5143</v>
      </c>
    </row>
    <row r="1851" hidden="1">
      <c r="A1851" s="83" t="s">
        <v>6317</v>
      </c>
      <c r="B1851" s="83" t="s">
        <v>6318</v>
      </c>
      <c r="C1851" s="81" t="s">
        <v>4086</v>
      </c>
      <c r="D1851" s="83" t="s">
        <v>4151</v>
      </c>
      <c r="E1851" s="81" t="s">
        <v>567</v>
      </c>
      <c r="F1851" s="84">
        <v>76.0</v>
      </c>
      <c r="G1851" s="81" t="s">
        <v>39</v>
      </c>
      <c r="H1851" s="81" t="s">
        <v>5228</v>
      </c>
      <c r="I1851" s="81" t="s">
        <v>568</v>
      </c>
      <c r="J1851" s="81" t="s">
        <v>224</v>
      </c>
    </row>
    <row r="1852" hidden="1">
      <c r="A1852" s="83" t="s">
        <v>6317</v>
      </c>
      <c r="B1852" s="83" t="s">
        <v>6318</v>
      </c>
      <c r="C1852" s="81" t="s">
        <v>5141</v>
      </c>
      <c r="D1852" s="83" t="s">
        <v>4151</v>
      </c>
      <c r="E1852" s="81" t="s">
        <v>567</v>
      </c>
      <c r="F1852" s="84">
        <v>76.0</v>
      </c>
      <c r="G1852" s="81" t="s">
        <v>40</v>
      </c>
      <c r="H1852" s="81" t="s">
        <v>5229</v>
      </c>
      <c r="I1852" s="81" t="s">
        <v>224</v>
      </c>
      <c r="J1852" s="81" t="s">
        <v>5143</v>
      </c>
    </row>
    <row r="1853" hidden="1">
      <c r="A1853" s="83" t="s">
        <v>6317</v>
      </c>
      <c r="B1853" s="83" t="s">
        <v>6318</v>
      </c>
      <c r="C1853" s="81" t="s">
        <v>4086</v>
      </c>
      <c r="D1853" s="83" t="s">
        <v>4152</v>
      </c>
      <c r="E1853" s="81" t="s">
        <v>569</v>
      </c>
      <c r="F1853" s="84">
        <v>77.0</v>
      </c>
      <c r="G1853" s="81" t="s">
        <v>39</v>
      </c>
      <c r="H1853" s="81" t="s">
        <v>5230</v>
      </c>
      <c r="I1853" s="81" t="s">
        <v>570</v>
      </c>
      <c r="J1853" s="81" t="s">
        <v>224</v>
      </c>
    </row>
    <row r="1854" hidden="1">
      <c r="A1854" s="83" t="s">
        <v>6317</v>
      </c>
      <c r="B1854" s="83" t="s">
        <v>6318</v>
      </c>
      <c r="C1854" s="81" t="s">
        <v>5141</v>
      </c>
      <c r="D1854" s="83" t="s">
        <v>4152</v>
      </c>
      <c r="E1854" s="81" t="s">
        <v>569</v>
      </c>
      <c r="F1854" s="84">
        <v>77.0</v>
      </c>
      <c r="G1854" s="81" t="s">
        <v>40</v>
      </c>
      <c r="H1854" s="81" t="s">
        <v>5231</v>
      </c>
      <c r="I1854" s="81" t="s">
        <v>224</v>
      </c>
      <c r="J1854" s="81" t="s">
        <v>5143</v>
      </c>
    </row>
    <row r="1855" hidden="1">
      <c r="A1855" s="83" t="s">
        <v>6317</v>
      </c>
      <c r="B1855" s="83" t="s">
        <v>6318</v>
      </c>
      <c r="C1855" s="81" t="s">
        <v>4086</v>
      </c>
      <c r="D1855" s="83" t="s">
        <v>4153</v>
      </c>
      <c r="E1855" s="81" t="s">
        <v>571</v>
      </c>
      <c r="F1855" s="84">
        <v>78.0</v>
      </c>
      <c r="G1855" s="81" t="s">
        <v>39</v>
      </c>
      <c r="H1855" s="81" t="s">
        <v>5232</v>
      </c>
      <c r="I1855" s="81" t="s">
        <v>575</v>
      </c>
      <c r="J1855" s="81" t="s">
        <v>224</v>
      </c>
    </row>
    <row r="1856" hidden="1">
      <c r="A1856" s="83" t="s">
        <v>6317</v>
      </c>
      <c r="B1856" s="83" t="s">
        <v>6318</v>
      </c>
      <c r="C1856" s="81" t="s">
        <v>5141</v>
      </c>
      <c r="D1856" s="83" t="s">
        <v>4153</v>
      </c>
      <c r="E1856" s="81" t="s">
        <v>571</v>
      </c>
      <c r="F1856" s="84">
        <v>78.0</v>
      </c>
      <c r="G1856" s="81" t="s">
        <v>40</v>
      </c>
      <c r="H1856" s="81" t="s">
        <v>5233</v>
      </c>
      <c r="I1856" s="81" t="s">
        <v>224</v>
      </c>
      <c r="J1856" s="81" t="s">
        <v>5143</v>
      </c>
    </row>
    <row r="1857" hidden="1">
      <c r="A1857" s="83" t="s">
        <v>6317</v>
      </c>
      <c r="B1857" s="83" t="s">
        <v>6318</v>
      </c>
      <c r="C1857" s="81" t="s">
        <v>4086</v>
      </c>
      <c r="D1857" s="83" t="s">
        <v>4154</v>
      </c>
      <c r="E1857" s="81" t="s">
        <v>576</v>
      </c>
      <c r="F1857" s="84">
        <v>79.0</v>
      </c>
      <c r="G1857" s="81" t="s">
        <v>39</v>
      </c>
      <c r="H1857" s="81" t="s">
        <v>5234</v>
      </c>
      <c r="I1857" s="81" t="s">
        <v>579</v>
      </c>
      <c r="J1857" s="81" t="s">
        <v>224</v>
      </c>
    </row>
    <row r="1858" hidden="1">
      <c r="A1858" s="83" t="s">
        <v>6317</v>
      </c>
      <c r="B1858" s="83" t="s">
        <v>6318</v>
      </c>
      <c r="C1858" s="81" t="s">
        <v>5141</v>
      </c>
      <c r="D1858" s="83" t="s">
        <v>4154</v>
      </c>
      <c r="E1858" s="81" t="s">
        <v>576</v>
      </c>
      <c r="F1858" s="84">
        <v>79.0</v>
      </c>
      <c r="G1858" s="81" t="s">
        <v>40</v>
      </c>
      <c r="H1858" s="81" t="s">
        <v>5235</v>
      </c>
      <c r="I1858" s="81" t="s">
        <v>224</v>
      </c>
      <c r="J1858" s="81" t="s">
        <v>5143</v>
      </c>
    </row>
    <row r="1859" hidden="1">
      <c r="A1859" s="83" t="s">
        <v>6317</v>
      </c>
      <c r="B1859" s="83" t="s">
        <v>6318</v>
      </c>
      <c r="C1859" s="81" t="s">
        <v>4086</v>
      </c>
      <c r="D1859" s="83" t="s">
        <v>4155</v>
      </c>
      <c r="E1859" s="81" t="s">
        <v>581</v>
      </c>
      <c r="F1859" s="84">
        <v>80.0</v>
      </c>
      <c r="G1859" s="81" t="s">
        <v>39</v>
      </c>
      <c r="H1859" s="81" t="s">
        <v>5236</v>
      </c>
      <c r="I1859" s="81" t="s">
        <v>582</v>
      </c>
      <c r="J1859" s="81" t="s">
        <v>224</v>
      </c>
    </row>
    <row r="1860" hidden="1">
      <c r="A1860" s="83" t="s">
        <v>6317</v>
      </c>
      <c r="B1860" s="83" t="s">
        <v>6318</v>
      </c>
      <c r="C1860" s="81" t="s">
        <v>5141</v>
      </c>
      <c r="D1860" s="83" t="s">
        <v>4155</v>
      </c>
      <c r="E1860" s="81" t="s">
        <v>581</v>
      </c>
      <c r="F1860" s="84">
        <v>80.0</v>
      </c>
      <c r="G1860" s="81" t="s">
        <v>40</v>
      </c>
      <c r="H1860" s="81" t="s">
        <v>5237</v>
      </c>
      <c r="I1860" s="81" t="s">
        <v>224</v>
      </c>
      <c r="J1860" s="81" t="s">
        <v>5143</v>
      </c>
    </row>
    <row r="1861" hidden="1">
      <c r="A1861" s="83" t="s">
        <v>6317</v>
      </c>
      <c r="B1861" s="83" t="s">
        <v>6318</v>
      </c>
      <c r="C1861" s="81" t="s">
        <v>4086</v>
      </c>
      <c r="D1861" s="83" t="s">
        <v>4156</v>
      </c>
      <c r="E1861" s="81" t="s">
        <v>583</v>
      </c>
      <c r="F1861" s="84">
        <v>81.0</v>
      </c>
      <c r="G1861" s="81" t="s">
        <v>39</v>
      </c>
      <c r="H1861" s="81" t="s">
        <v>5238</v>
      </c>
      <c r="I1861" s="81" t="s">
        <v>584</v>
      </c>
      <c r="J1861" s="81" t="s">
        <v>224</v>
      </c>
    </row>
    <row r="1862" hidden="1">
      <c r="A1862" s="83" t="s">
        <v>6317</v>
      </c>
      <c r="B1862" s="83" t="s">
        <v>6318</v>
      </c>
      <c r="C1862" s="81" t="s">
        <v>5141</v>
      </c>
      <c r="D1862" s="83" t="s">
        <v>4156</v>
      </c>
      <c r="E1862" s="81" t="s">
        <v>583</v>
      </c>
      <c r="F1862" s="84">
        <v>81.0</v>
      </c>
      <c r="G1862" s="81" t="s">
        <v>40</v>
      </c>
      <c r="H1862" s="81" t="s">
        <v>5239</v>
      </c>
      <c r="I1862" s="81" t="s">
        <v>224</v>
      </c>
      <c r="J1862" s="81" t="s">
        <v>5143</v>
      </c>
    </row>
    <row r="1863" hidden="1">
      <c r="A1863" s="83" t="s">
        <v>6317</v>
      </c>
      <c r="B1863" s="83" t="s">
        <v>6318</v>
      </c>
      <c r="C1863" s="81" t="s">
        <v>4086</v>
      </c>
      <c r="D1863" s="83" t="s">
        <v>4157</v>
      </c>
      <c r="E1863" s="81" t="s">
        <v>585</v>
      </c>
      <c r="F1863" s="84">
        <v>82.0</v>
      </c>
      <c r="G1863" s="81" t="s">
        <v>39</v>
      </c>
      <c r="H1863" s="81" t="s">
        <v>5240</v>
      </c>
      <c r="I1863" s="81" t="s">
        <v>588</v>
      </c>
      <c r="J1863" s="81" t="s">
        <v>224</v>
      </c>
    </row>
    <row r="1864" hidden="1">
      <c r="A1864" s="83" t="s">
        <v>6317</v>
      </c>
      <c r="B1864" s="83" t="s">
        <v>6318</v>
      </c>
      <c r="C1864" s="81" t="s">
        <v>5141</v>
      </c>
      <c r="D1864" s="83" t="s">
        <v>4157</v>
      </c>
      <c r="E1864" s="81" t="s">
        <v>585</v>
      </c>
      <c r="F1864" s="84">
        <v>82.0</v>
      </c>
      <c r="G1864" s="81" t="s">
        <v>40</v>
      </c>
      <c r="H1864" s="81" t="s">
        <v>5241</v>
      </c>
      <c r="I1864" s="81" t="s">
        <v>224</v>
      </c>
      <c r="J1864" s="81" t="s">
        <v>5143</v>
      </c>
    </row>
    <row r="1865" hidden="1">
      <c r="A1865" s="83" t="s">
        <v>6317</v>
      </c>
      <c r="B1865" s="83" t="s">
        <v>6318</v>
      </c>
      <c r="C1865" s="81" t="s">
        <v>4086</v>
      </c>
      <c r="D1865" s="83" t="s">
        <v>4158</v>
      </c>
      <c r="E1865" s="81" t="s">
        <v>589</v>
      </c>
      <c r="F1865" s="84">
        <v>83.0</v>
      </c>
      <c r="G1865" s="81" t="s">
        <v>39</v>
      </c>
      <c r="H1865" s="81" t="s">
        <v>5242</v>
      </c>
      <c r="I1865" s="81" t="s">
        <v>590</v>
      </c>
      <c r="J1865" s="81" t="s">
        <v>224</v>
      </c>
    </row>
    <row r="1866" hidden="1">
      <c r="A1866" s="83" t="s">
        <v>6317</v>
      </c>
      <c r="B1866" s="83" t="s">
        <v>6318</v>
      </c>
      <c r="C1866" s="81" t="s">
        <v>5141</v>
      </c>
      <c r="D1866" s="83" t="s">
        <v>4158</v>
      </c>
      <c r="E1866" s="81" t="s">
        <v>589</v>
      </c>
      <c r="F1866" s="84">
        <v>83.0</v>
      </c>
      <c r="G1866" s="81" t="s">
        <v>40</v>
      </c>
      <c r="H1866" s="81" t="s">
        <v>5243</v>
      </c>
      <c r="I1866" s="81" t="s">
        <v>224</v>
      </c>
      <c r="J1866" s="81" t="s">
        <v>5143</v>
      </c>
    </row>
    <row r="1867" hidden="1">
      <c r="A1867" s="83" t="s">
        <v>6317</v>
      </c>
      <c r="B1867" s="83" t="s">
        <v>6318</v>
      </c>
      <c r="C1867" s="81" t="s">
        <v>4086</v>
      </c>
      <c r="D1867" s="83" t="s">
        <v>4159</v>
      </c>
      <c r="E1867" s="81" t="s">
        <v>591</v>
      </c>
      <c r="F1867" s="84">
        <v>84.0</v>
      </c>
      <c r="G1867" s="81" t="s">
        <v>39</v>
      </c>
      <c r="H1867" s="81" t="s">
        <v>5244</v>
      </c>
      <c r="I1867" s="81" t="s">
        <v>592</v>
      </c>
      <c r="J1867" s="81" t="s">
        <v>224</v>
      </c>
    </row>
    <row r="1868" hidden="1">
      <c r="A1868" s="83" t="s">
        <v>6317</v>
      </c>
      <c r="B1868" s="83" t="s">
        <v>6318</v>
      </c>
      <c r="C1868" s="81" t="s">
        <v>5141</v>
      </c>
      <c r="D1868" s="83" t="s">
        <v>4159</v>
      </c>
      <c r="E1868" s="81" t="s">
        <v>591</v>
      </c>
      <c r="F1868" s="84">
        <v>84.0</v>
      </c>
      <c r="G1868" s="81" t="s">
        <v>40</v>
      </c>
      <c r="H1868" s="81" t="s">
        <v>5245</v>
      </c>
      <c r="I1868" s="81" t="s">
        <v>224</v>
      </c>
      <c r="J1868" s="81" t="s">
        <v>5143</v>
      </c>
    </row>
    <row r="1869" hidden="1">
      <c r="A1869" s="83" t="s">
        <v>6317</v>
      </c>
      <c r="B1869" s="83" t="s">
        <v>6318</v>
      </c>
      <c r="C1869" s="81" t="s">
        <v>4086</v>
      </c>
      <c r="D1869" s="83" t="s">
        <v>4160</v>
      </c>
      <c r="E1869" s="81" t="s">
        <v>593</v>
      </c>
      <c r="F1869" s="84">
        <v>85.0</v>
      </c>
      <c r="G1869" s="81" t="s">
        <v>39</v>
      </c>
      <c r="H1869" s="81" t="s">
        <v>5246</v>
      </c>
      <c r="I1869" s="81" t="s">
        <v>595</v>
      </c>
      <c r="J1869" s="81" t="s">
        <v>224</v>
      </c>
    </row>
    <row r="1870" hidden="1">
      <c r="A1870" s="83" t="s">
        <v>6317</v>
      </c>
      <c r="B1870" s="83" t="s">
        <v>6318</v>
      </c>
      <c r="C1870" s="81" t="s">
        <v>5141</v>
      </c>
      <c r="D1870" s="83" t="s">
        <v>4160</v>
      </c>
      <c r="E1870" s="81" t="s">
        <v>593</v>
      </c>
      <c r="F1870" s="84">
        <v>85.0</v>
      </c>
      <c r="G1870" s="81" t="s">
        <v>40</v>
      </c>
      <c r="H1870" s="81" t="s">
        <v>5247</v>
      </c>
      <c r="I1870" s="81" t="s">
        <v>224</v>
      </c>
      <c r="J1870" s="81" t="s">
        <v>5143</v>
      </c>
    </row>
    <row r="1871" hidden="1">
      <c r="A1871" s="83" t="s">
        <v>6317</v>
      </c>
      <c r="B1871" s="83" t="s">
        <v>6318</v>
      </c>
      <c r="C1871" s="81" t="s">
        <v>4086</v>
      </c>
      <c r="D1871" s="83" t="s">
        <v>4162</v>
      </c>
      <c r="E1871" s="81" t="s">
        <v>599</v>
      </c>
      <c r="F1871" s="84">
        <v>86.0</v>
      </c>
      <c r="G1871" s="81" t="s">
        <v>39</v>
      </c>
      <c r="H1871" s="81" t="s">
        <v>5248</v>
      </c>
      <c r="I1871" s="81" t="s">
        <v>602</v>
      </c>
      <c r="J1871" s="81" t="s">
        <v>224</v>
      </c>
    </row>
    <row r="1872" hidden="1">
      <c r="A1872" s="83" t="s">
        <v>6317</v>
      </c>
      <c r="B1872" s="83" t="s">
        <v>6318</v>
      </c>
      <c r="C1872" s="81" t="s">
        <v>5141</v>
      </c>
      <c r="D1872" s="83" t="s">
        <v>4162</v>
      </c>
      <c r="E1872" s="81" t="s">
        <v>599</v>
      </c>
      <c r="F1872" s="84">
        <v>86.0</v>
      </c>
      <c r="G1872" s="81" t="s">
        <v>40</v>
      </c>
      <c r="H1872" s="81" t="s">
        <v>5249</v>
      </c>
      <c r="I1872" s="81" t="s">
        <v>224</v>
      </c>
      <c r="J1872" s="81" t="s">
        <v>5143</v>
      </c>
    </row>
    <row r="1873" hidden="1">
      <c r="A1873" s="83" t="s">
        <v>6317</v>
      </c>
      <c r="B1873" s="83" t="s">
        <v>6318</v>
      </c>
      <c r="C1873" s="81" t="s">
        <v>4086</v>
      </c>
      <c r="D1873" s="83" t="s">
        <v>4162</v>
      </c>
      <c r="E1873" s="81" t="s">
        <v>604</v>
      </c>
      <c r="F1873" s="84">
        <v>87.0</v>
      </c>
      <c r="G1873" s="81" t="s">
        <v>39</v>
      </c>
      <c r="H1873" s="81" t="s">
        <v>5248</v>
      </c>
      <c r="I1873" s="81" t="s">
        <v>602</v>
      </c>
      <c r="J1873" s="81" t="s">
        <v>224</v>
      </c>
    </row>
    <row r="1874" hidden="1">
      <c r="A1874" s="83" t="s">
        <v>6317</v>
      </c>
      <c r="B1874" s="83" t="s">
        <v>6318</v>
      </c>
      <c r="C1874" s="81" t="s">
        <v>5141</v>
      </c>
      <c r="D1874" s="83" t="s">
        <v>4162</v>
      </c>
      <c r="E1874" s="81" t="s">
        <v>604</v>
      </c>
      <c r="F1874" s="84">
        <v>87.0</v>
      </c>
      <c r="G1874" s="81" t="s">
        <v>40</v>
      </c>
      <c r="H1874" s="81" t="s">
        <v>5249</v>
      </c>
      <c r="I1874" s="81" t="s">
        <v>224</v>
      </c>
      <c r="J1874" s="81" t="s">
        <v>5143</v>
      </c>
    </row>
    <row r="1875" hidden="1">
      <c r="A1875" s="83" t="s">
        <v>6317</v>
      </c>
      <c r="B1875" s="83" t="s">
        <v>6318</v>
      </c>
      <c r="C1875" s="81" t="s">
        <v>4086</v>
      </c>
      <c r="D1875" s="83" t="s">
        <v>4163</v>
      </c>
      <c r="E1875" s="81" t="s">
        <v>605</v>
      </c>
      <c r="F1875" s="84">
        <v>88.0</v>
      </c>
      <c r="G1875" s="81" t="s">
        <v>39</v>
      </c>
      <c r="H1875" s="81" t="s">
        <v>5250</v>
      </c>
      <c r="I1875" s="81" t="s">
        <v>606</v>
      </c>
      <c r="J1875" s="81" t="s">
        <v>224</v>
      </c>
    </row>
    <row r="1876" hidden="1">
      <c r="A1876" s="83" t="s">
        <v>6317</v>
      </c>
      <c r="B1876" s="83" t="s">
        <v>6318</v>
      </c>
      <c r="C1876" s="81" t="s">
        <v>5141</v>
      </c>
      <c r="D1876" s="83" t="s">
        <v>4163</v>
      </c>
      <c r="E1876" s="81" t="s">
        <v>605</v>
      </c>
      <c r="F1876" s="84">
        <v>88.0</v>
      </c>
      <c r="G1876" s="81" t="s">
        <v>40</v>
      </c>
      <c r="H1876" s="81" t="s">
        <v>5251</v>
      </c>
      <c r="I1876" s="81" t="s">
        <v>224</v>
      </c>
      <c r="J1876" s="81" t="s">
        <v>5143</v>
      </c>
    </row>
    <row r="1877" hidden="1">
      <c r="A1877" s="83" t="s">
        <v>6317</v>
      </c>
      <c r="B1877" s="83" t="s">
        <v>6318</v>
      </c>
      <c r="C1877" s="81" t="s">
        <v>4086</v>
      </c>
      <c r="D1877" s="83" t="s">
        <v>4164</v>
      </c>
      <c r="E1877" s="81" t="s">
        <v>607</v>
      </c>
      <c r="F1877" s="84">
        <v>89.0</v>
      </c>
      <c r="G1877" s="81" t="s">
        <v>39</v>
      </c>
      <c r="H1877" s="81" t="s">
        <v>5252</v>
      </c>
      <c r="I1877" s="81" t="s">
        <v>611</v>
      </c>
      <c r="J1877" s="81" t="s">
        <v>224</v>
      </c>
    </row>
    <row r="1878" hidden="1">
      <c r="A1878" s="83" t="s">
        <v>6317</v>
      </c>
      <c r="B1878" s="83" t="s">
        <v>6318</v>
      </c>
      <c r="C1878" s="81" t="s">
        <v>5141</v>
      </c>
      <c r="D1878" s="83" t="s">
        <v>4164</v>
      </c>
      <c r="E1878" s="81" t="s">
        <v>607</v>
      </c>
      <c r="F1878" s="84">
        <v>89.0</v>
      </c>
      <c r="G1878" s="81" t="s">
        <v>40</v>
      </c>
      <c r="H1878" s="81" t="s">
        <v>5253</v>
      </c>
      <c r="I1878" s="81" t="s">
        <v>224</v>
      </c>
      <c r="J1878" s="81" t="s">
        <v>5143</v>
      </c>
    </row>
    <row r="1879" hidden="1">
      <c r="A1879" s="83" t="s">
        <v>6317</v>
      </c>
      <c r="B1879" s="83" t="s">
        <v>6318</v>
      </c>
      <c r="C1879" s="81" t="s">
        <v>4086</v>
      </c>
      <c r="D1879" s="83" t="s">
        <v>4165</v>
      </c>
      <c r="E1879" s="81" t="s">
        <v>615</v>
      </c>
      <c r="F1879" s="84">
        <v>90.0</v>
      </c>
      <c r="G1879" s="81" t="s">
        <v>39</v>
      </c>
      <c r="H1879" s="81" t="s">
        <v>5254</v>
      </c>
      <c r="I1879" s="81" t="s">
        <v>616</v>
      </c>
      <c r="J1879" s="81" t="s">
        <v>224</v>
      </c>
    </row>
    <row r="1880" hidden="1">
      <c r="A1880" s="83" t="s">
        <v>6317</v>
      </c>
      <c r="B1880" s="83" t="s">
        <v>6318</v>
      </c>
      <c r="C1880" s="81" t="s">
        <v>5141</v>
      </c>
      <c r="D1880" s="83" t="s">
        <v>4165</v>
      </c>
      <c r="E1880" s="81" t="s">
        <v>615</v>
      </c>
      <c r="F1880" s="84">
        <v>90.0</v>
      </c>
      <c r="G1880" s="81" t="s">
        <v>40</v>
      </c>
      <c r="H1880" s="81" t="s">
        <v>5255</v>
      </c>
      <c r="I1880" s="81" t="s">
        <v>224</v>
      </c>
      <c r="J1880" s="81" t="s">
        <v>5143</v>
      </c>
    </row>
    <row r="1881" hidden="1">
      <c r="A1881" s="83" t="s">
        <v>6317</v>
      </c>
      <c r="B1881" s="83" t="s">
        <v>6318</v>
      </c>
      <c r="C1881" s="81" t="s">
        <v>4086</v>
      </c>
      <c r="D1881" s="83" t="s">
        <v>4166</v>
      </c>
      <c r="E1881" s="81" t="s">
        <v>617</v>
      </c>
      <c r="F1881" s="84">
        <v>91.0</v>
      </c>
      <c r="G1881" s="81" t="s">
        <v>39</v>
      </c>
      <c r="H1881" s="81" t="s">
        <v>5256</v>
      </c>
      <c r="I1881" s="81" t="s">
        <v>618</v>
      </c>
      <c r="J1881" s="81" t="s">
        <v>224</v>
      </c>
    </row>
    <row r="1882" hidden="1">
      <c r="A1882" s="83" t="s">
        <v>6317</v>
      </c>
      <c r="B1882" s="83" t="s">
        <v>6318</v>
      </c>
      <c r="C1882" s="81" t="s">
        <v>5141</v>
      </c>
      <c r="D1882" s="83" t="s">
        <v>4166</v>
      </c>
      <c r="E1882" s="81" t="s">
        <v>617</v>
      </c>
      <c r="F1882" s="84">
        <v>91.0</v>
      </c>
      <c r="G1882" s="81" t="s">
        <v>40</v>
      </c>
      <c r="H1882" s="81" t="s">
        <v>5257</v>
      </c>
      <c r="I1882" s="81" t="s">
        <v>224</v>
      </c>
      <c r="J1882" s="81" t="s">
        <v>5143</v>
      </c>
    </row>
    <row r="1883" hidden="1">
      <c r="A1883" s="83" t="s">
        <v>6317</v>
      </c>
      <c r="B1883" s="83" t="s">
        <v>6318</v>
      </c>
      <c r="C1883" s="81" t="s">
        <v>4086</v>
      </c>
      <c r="D1883" s="83" t="s">
        <v>4167</v>
      </c>
      <c r="E1883" s="81" t="s">
        <v>619</v>
      </c>
      <c r="F1883" s="84">
        <v>92.0</v>
      </c>
      <c r="G1883" s="81" t="s">
        <v>39</v>
      </c>
      <c r="H1883" s="81" t="s">
        <v>5258</v>
      </c>
      <c r="I1883" s="81" t="s">
        <v>622</v>
      </c>
      <c r="J1883" s="81" t="s">
        <v>224</v>
      </c>
    </row>
    <row r="1884" hidden="1">
      <c r="A1884" s="83" t="s">
        <v>6317</v>
      </c>
      <c r="B1884" s="83" t="s">
        <v>6318</v>
      </c>
      <c r="C1884" s="81" t="s">
        <v>5141</v>
      </c>
      <c r="D1884" s="83" t="s">
        <v>4167</v>
      </c>
      <c r="E1884" s="81" t="s">
        <v>619</v>
      </c>
      <c r="F1884" s="84">
        <v>92.0</v>
      </c>
      <c r="G1884" s="81" t="s">
        <v>40</v>
      </c>
      <c r="H1884" s="81" t="s">
        <v>5259</v>
      </c>
      <c r="I1884" s="81" t="s">
        <v>224</v>
      </c>
      <c r="J1884" s="81" t="s">
        <v>5143</v>
      </c>
    </row>
    <row r="1885" hidden="1">
      <c r="A1885" s="83" t="s">
        <v>6317</v>
      </c>
      <c r="B1885" s="83" t="s">
        <v>6318</v>
      </c>
      <c r="C1885" s="81" t="s">
        <v>4086</v>
      </c>
      <c r="D1885" s="83" t="s">
        <v>4169</v>
      </c>
      <c r="E1885" s="81" t="s">
        <v>624</v>
      </c>
      <c r="F1885" s="84">
        <v>93.0</v>
      </c>
      <c r="G1885" s="81" t="s">
        <v>39</v>
      </c>
      <c r="H1885" s="81" t="s">
        <v>5260</v>
      </c>
      <c r="I1885" s="81" t="s">
        <v>626</v>
      </c>
      <c r="J1885" s="81" t="s">
        <v>224</v>
      </c>
    </row>
    <row r="1886" hidden="1">
      <c r="A1886" s="83" t="s">
        <v>6317</v>
      </c>
      <c r="B1886" s="83" t="s">
        <v>6318</v>
      </c>
      <c r="C1886" s="81" t="s">
        <v>5141</v>
      </c>
      <c r="D1886" s="83" t="s">
        <v>4169</v>
      </c>
      <c r="E1886" s="81" t="s">
        <v>624</v>
      </c>
      <c r="F1886" s="84">
        <v>93.0</v>
      </c>
      <c r="G1886" s="81" t="s">
        <v>40</v>
      </c>
      <c r="H1886" s="81" t="s">
        <v>5261</v>
      </c>
      <c r="I1886" s="81" t="s">
        <v>224</v>
      </c>
      <c r="J1886" s="81" t="s">
        <v>5143</v>
      </c>
    </row>
    <row r="1887" hidden="1">
      <c r="A1887" s="83" t="s">
        <v>6317</v>
      </c>
      <c r="B1887" s="83" t="s">
        <v>6318</v>
      </c>
      <c r="C1887" s="81" t="s">
        <v>4086</v>
      </c>
      <c r="D1887" s="83" t="s">
        <v>4170</v>
      </c>
      <c r="E1887" s="81" t="s">
        <v>627</v>
      </c>
      <c r="F1887" s="84">
        <v>94.0</v>
      </c>
      <c r="G1887" s="81" t="s">
        <v>39</v>
      </c>
      <c r="H1887" s="81" t="s">
        <v>5262</v>
      </c>
      <c r="I1887" s="81" t="s">
        <v>628</v>
      </c>
      <c r="J1887" s="81" t="s">
        <v>224</v>
      </c>
    </row>
    <row r="1888" hidden="1">
      <c r="A1888" s="83" t="s">
        <v>6317</v>
      </c>
      <c r="B1888" s="83" t="s">
        <v>6318</v>
      </c>
      <c r="C1888" s="81" t="s">
        <v>5141</v>
      </c>
      <c r="D1888" s="83" t="s">
        <v>4170</v>
      </c>
      <c r="E1888" s="81" t="s">
        <v>627</v>
      </c>
      <c r="F1888" s="84">
        <v>94.0</v>
      </c>
      <c r="G1888" s="81" t="s">
        <v>40</v>
      </c>
      <c r="H1888" s="81" t="s">
        <v>5263</v>
      </c>
      <c r="I1888" s="81" t="s">
        <v>224</v>
      </c>
      <c r="J1888" s="81" t="s">
        <v>5143</v>
      </c>
    </row>
    <row r="1889" hidden="1">
      <c r="A1889" s="83" t="s">
        <v>6317</v>
      </c>
      <c r="B1889" s="83" t="s">
        <v>6318</v>
      </c>
      <c r="C1889" s="81" t="s">
        <v>4086</v>
      </c>
      <c r="D1889" s="83" t="s">
        <v>4171</v>
      </c>
      <c r="E1889" s="81" t="s">
        <v>629</v>
      </c>
      <c r="F1889" s="84">
        <v>95.0</v>
      </c>
      <c r="G1889" s="81" t="s">
        <v>39</v>
      </c>
      <c r="H1889" s="81" t="s">
        <v>5264</v>
      </c>
      <c r="I1889" s="81" t="s">
        <v>631</v>
      </c>
      <c r="J1889" s="81" t="s">
        <v>224</v>
      </c>
    </row>
    <row r="1890" hidden="1">
      <c r="A1890" s="83" t="s">
        <v>6317</v>
      </c>
      <c r="B1890" s="83" t="s">
        <v>6318</v>
      </c>
      <c r="C1890" s="81" t="s">
        <v>5141</v>
      </c>
      <c r="D1890" s="83" t="s">
        <v>4171</v>
      </c>
      <c r="E1890" s="81" t="s">
        <v>629</v>
      </c>
      <c r="F1890" s="84">
        <v>95.0</v>
      </c>
      <c r="G1890" s="81" t="s">
        <v>40</v>
      </c>
      <c r="H1890" s="81" t="s">
        <v>5265</v>
      </c>
      <c r="I1890" s="81" t="s">
        <v>224</v>
      </c>
      <c r="J1890" s="81" t="s">
        <v>5143</v>
      </c>
    </row>
    <row r="1891" hidden="1">
      <c r="A1891" s="83" t="s">
        <v>6317</v>
      </c>
      <c r="B1891" s="83" t="s">
        <v>6318</v>
      </c>
      <c r="C1891" s="81" t="s">
        <v>4086</v>
      </c>
      <c r="D1891" s="83" t="s">
        <v>4172</v>
      </c>
      <c r="E1891" s="81" t="s">
        <v>632</v>
      </c>
      <c r="F1891" s="84">
        <v>96.0</v>
      </c>
      <c r="G1891" s="81" t="s">
        <v>39</v>
      </c>
      <c r="H1891" s="81" t="s">
        <v>5266</v>
      </c>
      <c r="I1891" s="81" t="s">
        <v>638</v>
      </c>
      <c r="J1891" s="81" t="s">
        <v>224</v>
      </c>
    </row>
    <row r="1892" hidden="1">
      <c r="A1892" s="83" t="s">
        <v>6317</v>
      </c>
      <c r="B1892" s="83" t="s">
        <v>6318</v>
      </c>
      <c r="C1892" s="81" t="s">
        <v>5141</v>
      </c>
      <c r="D1892" s="83" t="s">
        <v>4172</v>
      </c>
      <c r="E1892" s="81" t="s">
        <v>632</v>
      </c>
      <c r="F1892" s="84">
        <v>96.0</v>
      </c>
      <c r="G1892" s="81" t="s">
        <v>40</v>
      </c>
      <c r="H1892" s="81" t="s">
        <v>5267</v>
      </c>
      <c r="I1892" s="81" t="s">
        <v>224</v>
      </c>
      <c r="J1892" s="81" t="s">
        <v>5143</v>
      </c>
    </row>
    <row r="1893" hidden="1">
      <c r="A1893" s="83" t="s">
        <v>6317</v>
      </c>
      <c r="B1893" s="83" t="s">
        <v>6318</v>
      </c>
      <c r="C1893" s="81" t="s">
        <v>4086</v>
      </c>
      <c r="D1893" s="83" t="s">
        <v>4172</v>
      </c>
      <c r="E1893" s="81" t="s">
        <v>642</v>
      </c>
      <c r="F1893" s="84">
        <v>97.0</v>
      </c>
      <c r="G1893" s="81" t="s">
        <v>39</v>
      </c>
      <c r="H1893" s="81" t="s">
        <v>5266</v>
      </c>
      <c r="I1893" s="81" t="s">
        <v>638</v>
      </c>
      <c r="J1893" s="81" t="s">
        <v>224</v>
      </c>
    </row>
    <row r="1894" hidden="1">
      <c r="A1894" s="83" t="s">
        <v>6317</v>
      </c>
      <c r="B1894" s="83" t="s">
        <v>6318</v>
      </c>
      <c r="C1894" s="81" t="s">
        <v>5141</v>
      </c>
      <c r="D1894" s="83" t="s">
        <v>4172</v>
      </c>
      <c r="E1894" s="81" t="s">
        <v>642</v>
      </c>
      <c r="F1894" s="84">
        <v>97.0</v>
      </c>
      <c r="G1894" s="81" t="s">
        <v>40</v>
      </c>
      <c r="H1894" s="81" t="s">
        <v>5267</v>
      </c>
      <c r="I1894" s="81" t="s">
        <v>224</v>
      </c>
      <c r="J1894" s="81" t="s">
        <v>5143</v>
      </c>
    </row>
    <row r="1895" hidden="1">
      <c r="A1895" s="83" t="s">
        <v>6317</v>
      </c>
      <c r="B1895" s="83" t="s">
        <v>6318</v>
      </c>
      <c r="C1895" s="81" t="s">
        <v>4086</v>
      </c>
      <c r="D1895" s="83" t="s">
        <v>4173</v>
      </c>
      <c r="E1895" s="81" t="s">
        <v>644</v>
      </c>
      <c r="F1895" s="84">
        <v>98.0</v>
      </c>
      <c r="G1895" s="81" t="s">
        <v>39</v>
      </c>
      <c r="H1895" s="81" t="s">
        <v>5268</v>
      </c>
      <c r="I1895" s="81" t="s">
        <v>645</v>
      </c>
      <c r="J1895" s="81" t="s">
        <v>224</v>
      </c>
    </row>
    <row r="1896" hidden="1">
      <c r="A1896" s="83" t="s">
        <v>6317</v>
      </c>
      <c r="B1896" s="83" t="s">
        <v>6318</v>
      </c>
      <c r="C1896" s="81" t="s">
        <v>5141</v>
      </c>
      <c r="D1896" s="83" t="s">
        <v>4173</v>
      </c>
      <c r="E1896" s="81" t="s">
        <v>644</v>
      </c>
      <c r="F1896" s="84">
        <v>98.0</v>
      </c>
      <c r="G1896" s="81" t="s">
        <v>40</v>
      </c>
      <c r="H1896" s="81" t="s">
        <v>5269</v>
      </c>
      <c r="I1896" s="81" t="s">
        <v>224</v>
      </c>
      <c r="J1896" s="81" t="s">
        <v>5143</v>
      </c>
    </row>
    <row r="1897" hidden="1">
      <c r="A1897" s="83" t="s">
        <v>6317</v>
      </c>
      <c r="B1897" s="83" t="s">
        <v>6318</v>
      </c>
      <c r="C1897" s="81" t="s">
        <v>4086</v>
      </c>
      <c r="D1897" s="83" t="s">
        <v>4174</v>
      </c>
      <c r="E1897" s="81" t="s">
        <v>646</v>
      </c>
      <c r="F1897" s="84">
        <v>99.0</v>
      </c>
      <c r="G1897" s="81" t="s">
        <v>39</v>
      </c>
      <c r="H1897" s="81" t="s">
        <v>5270</v>
      </c>
      <c r="I1897" s="81" t="s">
        <v>651</v>
      </c>
      <c r="J1897" s="81" t="s">
        <v>224</v>
      </c>
    </row>
    <row r="1898" hidden="1">
      <c r="A1898" s="83" t="s">
        <v>6317</v>
      </c>
      <c r="B1898" s="83" t="s">
        <v>6318</v>
      </c>
      <c r="C1898" s="81" t="s">
        <v>5141</v>
      </c>
      <c r="D1898" s="83" t="s">
        <v>4174</v>
      </c>
      <c r="E1898" s="81" t="s">
        <v>646</v>
      </c>
      <c r="F1898" s="84">
        <v>99.0</v>
      </c>
      <c r="G1898" s="81" t="s">
        <v>40</v>
      </c>
      <c r="H1898" s="81" t="s">
        <v>5271</v>
      </c>
      <c r="I1898" s="81" t="s">
        <v>224</v>
      </c>
      <c r="J1898" s="81" t="s">
        <v>5143</v>
      </c>
    </row>
    <row r="1899" hidden="1">
      <c r="A1899" s="83" t="s">
        <v>6317</v>
      </c>
      <c r="B1899" s="83" t="s">
        <v>6318</v>
      </c>
      <c r="C1899" s="81" t="s">
        <v>4086</v>
      </c>
      <c r="D1899" s="83" t="s">
        <v>4176</v>
      </c>
      <c r="E1899" s="81" t="s">
        <v>653</v>
      </c>
      <c r="F1899" s="84">
        <v>100.0</v>
      </c>
      <c r="G1899" s="81" t="s">
        <v>39</v>
      </c>
      <c r="H1899" s="81" t="s">
        <v>5272</v>
      </c>
      <c r="I1899" s="81" t="s">
        <v>654</v>
      </c>
      <c r="J1899" s="81" t="s">
        <v>224</v>
      </c>
    </row>
    <row r="1900" hidden="1">
      <c r="A1900" s="83" t="s">
        <v>6317</v>
      </c>
      <c r="B1900" s="83" t="s">
        <v>6318</v>
      </c>
      <c r="C1900" s="81" t="s">
        <v>5141</v>
      </c>
      <c r="D1900" s="83" t="s">
        <v>4176</v>
      </c>
      <c r="E1900" s="81" t="s">
        <v>653</v>
      </c>
      <c r="F1900" s="84">
        <v>100.0</v>
      </c>
      <c r="G1900" s="81" t="s">
        <v>40</v>
      </c>
      <c r="H1900" s="81" t="s">
        <v>5273</v>
      </c>
      <c r="I1900" s="81" t="s">
        <v>224</v>
      </c>
      <c r="J1900" s="81" t="s">
        <v>5143</v>
      </c>
    </row>
    <row r="1901" hidden="1">
      <c r="A1901" s="83" t="s">
        <v>6317</v>
      </c>
      <c r="B1901" s="83" t="s">
        <v>6318</v>
      </c>
      <c r="C1901" s="81" t="s">
        <v>4086</v>
      </c>
      <c r="D1901" s="83" t="s">
        <v>4177</v>
      </c>
      <c r="E1901" s="81" t="s">
        <v>655</v>
      </c>
      <c r="F1901" s="84">
        <v>101.0</v>
      </c>
      <c r="G1901" s="81" t="s">
        <v>39</v>
      </c>
      <c r="H1901" s="81" t="s">
        <v>5274</v>
      </c>
      <c r="I1901" s="81" t="s">
        <v>658</v>
      </c>
      <c r="J1901" s="81" t="s">
        <v>224</v>
      </c>
    </row>
    <row r="1902" hidden="1">
      <c r="A1902" s="83" t="s">
        <v>6317</v>
      </c>
      <c r="B1902" s="83" t="s">
        <v>6318</v>
      </c>
      <c r="C1902" s="81" t="s">
        <v>5141</v>
      </c>
      <c r="D1902" s="83" t="s">
        <v>4177</v>
      </c>
      <c r="E1902" s="81" t="s">
        <v>655</v>
      </c>
      <c r="F1902" s="84">
        <v>101.0</v>
      </c>
      <c r="G1902" s="81" t="s">
        <v>40</v>
      </c>
      <c r="H1902" s="81" t="s">
        <v>5275</v>
      </c>
      <c r="I1902" s="81" t="s">
        <v>224</v>
      </c>
      <c r="J1902" s="81" t="s">
        <v>5143</v>
      </c>
    </row>
    <row r="1903" hidden="1">
      <c r="A1903" s="83" t="s">
        <v>6317</v>
      </c>
      <c r="B1903" s="83" t="s">
        <v>6318</v>
      </c>
      <c r="C1903" s="81" t="s">
        <v>4086</v>
      </c>
      <c r="D1903" s="83" t="s">
        <v>4177</v>
      </c>
      <c r="E1903" s="81" t="s">
        <v>660</v>
      </c>
      <c r="F1903" s="84">
        <v>102.0</v>
      </c>
      <c r="G1903" s="81" t="s">
        <v>39</v>
      </c>
      <c r="H1903" s="81" t="s">
        <v>5274</v>
      </c>
      <c r="I1903" s="81" t="s">
        <v>658</v>
      </c>
      <c r="J1903" s="81" t="s">
        <v>224</v>
      </c>
    </row>
    <row r="1904" hidden="1">
      <c r="A1904" s="83" t="s">
        <v>6317</v>
      </c>
      <c r="B1904" s="83" t="s">
        <v>6318</v>
      </c>
      <c r="C1904" s="81" t="s">
        <v>5141</v>
      </c>
      <c r="D1904" s="83" t="s">
        <v>4177</v>
      </c>
      <c r="E1904" s="81" t="s">
        <v>660</v>
      </c>
      <c r="F1904" s="84">
        <v>102.0</v>
      </c>
      <c r="G1904" s="81" t="s">
        <v>40</v>
      </c>
      <c r="H1904" s="81" t="s">
        <v>5275</v>
      </c>
      <c r="I1904" s="81" t="s">
        <v>224</v>
      </c>
      <c r="J1904" s="81" t="s">
        <v>5143</v>
      </c>
    </row>
    <row r="1905" hidden="1">
      <c r="A1905" s="83" t="s">
        <v>6317</v>
      </c>
      <c r="B1905" s="83" t="s">
        <v>6318</v>
      </c>
      <c r="C1905" s="81" t="s">
        <v>4086</v>
      </c>
      <c r="D1905" s="83" t="s">
        <v>4178</v>
      </c>
      <c r="E1905" s="81" t="s">
        <v>661</v>
      </c>
      <c r="F1905" s="84">
        <v>103.0</v>
      </c>
      <c r="G1905" s="81" t="s">
        <v>39</v>
      </c>
      <c r="H1905" s="81" t="s">
        <v>5276</v>
      </c>
      <c r="I1905" s="81" t="s">
        <v>662</v>
      </c>
      <c r="J1905" s="81" t="s">
        <v>224</v>
      </c>
    </row>
    <row r="1906" hidden="1">
      <c r="A1906" s="83" t="s">
        <v>6317</v>
      </c>
      <c r="B1906" s="83" t="s">
        <v>6318</v>
      </c>
      <c r="C1906" s="81" t="s">
        <v>5141</v>
      </c>
      <c r="D1906" s="83" t="s">
        <v>4178</v>
      </c>
      <c r="E1906" s="81" t="s">
        <v>661</v>
      </c>
      <c r="F1906" s="84">
        <v>103.0</v>
      </c>
      <c r="G1906" s="81" t="s">
        <v>40</v>
      </c>
      <c r="H1906" s="81" t="s">
        <v>5277</v>
      </c>
      <c r="I1906" s="81" t="s">
        <v>224</v>
      </c>
      <c r="J1906" s="81" t="s">
        <v>5143</v>
      </c>
    </row>
    <row r="1907" hidden="1">
      <c r="A1907" s="83" t="s">
        <v>6317</v>
      </c>
      <c r="B1907" s="83" t="s">
        <v>6318</v>
      </c>
      <c r="C1907" s="81" t="s">
        <v>4086</v>
      </c>
      <c r="D1907" s="83" t="s">
        <v>4179</v>
      </c>
      <c r="E1907" s="81" t="s">
        <v>663</v>
      </c>
      <c r="F1907" s="84">
        <v>104.0</v>
      </c>
      <c r="G1907" s="81" t="s">
        <v>39</v>
      </c>
      <c r="H1907" s="81" t="s">
        <v>5278</v>
      </c>
      <c r="I1907" s="81" t="s">
        <v>664</v>
      </c>
      <c r="J1907" s="81" t="s">
        <v>224</v>
      </c>
    </row>
    <row r="1908" hidden="1">
      <c r="A1908" s="83" t="s">
        <v>6317</v>
      </c>
      <c r="B1908" s="83" t="s">
        <v>6318</v>
      </c>
      <c r="C1908" s="81" t="s">
        <v>4086</v>
      </c>
      <c r="D1908" s="83" t="s">
        <v>4179</v>
      </c>
      <c r="E1908" s="81" t="s">
        <v>663</v>
      </c>
      <c r="F1908" s="84">
        <v>104.0</v>
      </c>
      <c r="G1908" s="81" t="s">
        <v>40</v>
      </c>
      <c r="H1908" s="81" t="s">
        <v>5279</v>
      </c>
      <c r="I1908" s="81" t="s">
        <v>665</v>
      </c>
      <c r="J1908" s="81" t="s">
        <v>224</v>
      </c>
    </row>
    <row r="1909" hidden="1">
      <c r="A1909" s="83" t="s">
        <v>6317</v>
      </c>
      <c r="B1909" s="83" t="s">
        <v>6318</v>
      </c>
      <c r="C1909" s="81" t="s">
        <v>4086</v>
      </c>
      <c r="D1909" s="83" t="s">
        <v>4180</v>
      </c>
      <c r="E1909" s="81" t="s">
        <v>666</v>
      </c>
      <c r="F1909" s="84">
        <v>105.0</v>
      </c>
      <c r="G1909" s="81" t="s">
        <v>39</v>
      </c>
      <c r="H1909" s="81" t="s">
        <v>5280</v>
      </c>
      <c r="I1909" s="81" t="s">
        <v>670</v>
      </c>
      <c r="J1909" s="81" t="s">
        <v>224</v>
      </c>
    </row>
    <row r="1910" hidden="1">
      <c r="A1910" s="83" t="s">
        <v>6317</v>
      </c>
      <c r="B1910" s="83" t="s">
        <v>6318</v>
      </c>
      <c r="C1910" s="81" t="s">
        <v>5141</v>
      </c>
      <c r="D1910" s="83" t="s">
        <v>4180</v>
      </c>
      <c r="E1910" s="81" t="s">
        <v>666</v>
      </c>
      <c r="F1910" s="84">
        <v>105.0</v>
      </c>
      <c r="G1910" s="81" t="s">
        <v>40</v>
      </c>
      <c r="H1910" s="81" t="s">
        <v>5281</v>
      </c>
      <c r="I1910" s="81" t="s">
        <v>224</v>
      </c>
      <c r="J1910" s="81" t="s">
        <v>5143</v>
      </c>
    </row>
    <row r="1911" hidden="1">
      <c r="A1911" s="83" t="s">
        <v>6317</v>
      </c>
      <c r="B1911" s="83" t="s">
        <v>6318</v>
      </c>
      <c r="C1911" s="81" t="s">
        <v>4086</v>
      </c>
      <c r="D1911" s="83" t="s">
        <v>4181</v>
      </c>
      <c r="E1911" s="81" t="s">
        <v>671</v>
      </c>
      <c r="F1911" s="84">
        <v>106.0</v>
      </c>
      <c r="G1911" s="81" t="s">
        <v>39</v>
      </c>
      <c r="H1911" s="81" t="s">
        <v>5282</v>
      </c>
      <c r="I1911" s="81" t="s">
        <v>672</v>
      </c>
      <c r="J1911" s="81" t="s">
        <v>224</v>
      </c>
    </row>
    <row r="1912" hidden="1">
      <c r="A1912" s="83" t="s">
        <v>6317</v>
      </c>
      <c r="B1912" s="83" t="s">
        <v>6318</v>
      </c>
      <c r="C1912" s="81" t="s">
        <v>5141</v>
      </c>
      <c r="D1912" s="83" t="s">
        <v>4181</v>
      </c>
      <c r="E1912" s="81" t="s">
        <v>671</v>
      </c>
      <c r="F1912" s="84">
        <v>106.0</v>
      </c>
      <c r="G1912" s="81" t="s">
        <v>40</v>
      </c>
      <c r="H1912" s="81" t="s">
        <v>5283</v>
      </c>
      <c r="I1912" s="81" t="s">
        <v>224</v>
      </c>
      <c r="J1912" s="81" t="s">
        <v>5143</v>
      </c>
    </row>
    <row r="1913" hidden="1">
      <c r="A1913" s="83" t="s">
        <v>6317</v>
      </c>
      <c r="B1913" s="83" t="s">
        <v>6318</v>
      </c>
      <c r="C1913" s="81" t="s">
        <v>4086</v>
      </c>
      <c r="D1913" s="83" t="s">
        <v>4182</v>
      </c>
      <c r="E1913" s="81" t="s">
        <v>673</v>
      </c>
      <c r="F1913" s="84">
        <v>107.0</v>
      </c>
      <c r="G1913" s="81" t="s">
        <v>39</v>
      </c>
      <c r="H1913" s="81" t="s">
        <v>5284</v>
      </c>
      <c r="I1913" s="81" t="s">
        <v>674</v>
      </c>
      <c r="J1913" s="81" t="s">
        <v>224</v>
      </c>
    </row>
    <row r="1914" hidden="1">
      <c r="A1914" s="83" t="s">
        <v>6317</v>
      </c>
      <c r="B1914" s="83" t="s">
        <v>6318</v>
      </c>
      <c r="C1914" s="81" t="s">
        <v>5141</v>
      </c>
      <c r="D1914" s="83" t="s">
        <v>4182</v>
      </c>
      <c r="E1914" s="81" t="s">
        <v>673</v>
      </c>
      <c r="F1914" s="84">
        <v>107.0</v>
      </c>
      <c r="G1914" s="81" t="s">
        <v>40</v>
      </c>
      <c r="H1914" s="81" t="s">
        <v>5285</v>
      </c>
      <c r="I1914" s="81" t="s">
        <v>224</v>
      </c>
      <c r="J1914" s="81" t="s">
        <v>5143</v>
      </c>
    </row>
    <row r="1915" hidden="1">
      <c r="A1915" s="83" t="s">
        <v>6317</v>
      </c>
      <c r="B1915" s="83" t="s">
        <v>6318</v>
      </c>
      <c r="C1915" s="81" t="s">
        <v>4086</v>
      </c>
      <c r="D1915" s="83" t="s">
        <v>4183</v>
      </c>
      <c r="E1915" s="81" t="s">
        <v>675</v>
      </c>
      <c r="F1915" s="84">
        <v>108.0</v>
      </c>
      <c r="G1915" s="81" t="s">
        <v>39</v>
      </c>
      <c r="H1915" s="81" t="s">
        <v>5286</v>
      </c>
      <c r="I1915" s="81" t="s">
        <v>679</v>
      </c>
      <c r="J1915" s="81" t="s">
        <v>224</v>
      </c>
    </row>
    <row r="1916" hidden="1">
      <c r="A1916" s="83" t="s">
        <v>6317</v>
      </c>
      <c r="B1916" s="83" t="s">
        <v>6318</v>
      </c>
      <c r="C1916" s="81" t="s">
        <v>5141</v>
      </c>
      <c r="D1916" s="83" t="s">
        <v>4183</v>
      </c>
      <c r="E1916" s="81" t="s">
        <v>675</v>
      </c>
      <c r="F1916" s="84">
        <v>108.0</v>
      </c>
      <c r="G1916" s="81" t="s">
        <v>40</v>
      </c>
      <c r="H1916" s="81" t="s">
        <v>5287</v>
      </c>
      <c r="I1916" s="81" t="s">
        <v>224</v>
      </c>
      <c r="J1916" s="81" t="s">
        <v>5143</v>
      </c>
    </row>
    <row r="1917" hidden="1">
      <c r="A1917" s="83" t="s">
        <v>6317</v>
      </c>
      <c r="B1917" s="83" t="s">
        <v>6318</v>
      </c>
      <c r="C1917" s="81" t="s">
        <v>4086</v>
      </c>
      <c r="D1917" s="83" t="s">
        <v>4183</v>
      </c>
      <c r="E1917" s="81" t="s">
        <v>681</v>
      </c>
      <c r="F1917" s="84">
        <v>109.0</v>
      </c>
      <c r="G1917" s="81" t="s">
        <v>39</v>
      </c>
      <c r="H1917" s="81" t="s">
        <v>5286</v>
      </c>
      <c r="I1917" s="81" t="s">
        <v>679</v>
      </c>
      <c r="J1917" s="81" t="s">
        <v>224</v>
      </c>
    </row>
    <row r="1918" hidden="1">
      <c r="A1918" s="83" t="s">
        <v>6317</v>
      </c>
      <c r="B1918" s="83" t="s">
        <v>6318</v>
      </c>
      <c r="C1918" s="81" t="s">
        <v>5141</v>
      </c>
      <c r="D1918" s="83" t="s">
        <v>4183</v>
      </c>
      <c r="E1918" s="81" t="s">
        <v>681</v>
      </c>
      <c r="F1918" s="84">
        <v>109.0</v>
      </c>
      <c r="G1918" s="81" t="s">
        <v>40</v>
      </c>
      <c r="H1918" s="81" t="s">
        <v>5287</v>
      </c>
      <c r="I1918" s="81" t="s">
        <v>224</v>
      </c>
      <c r="J1918" s="81" t="s">
        <v>5143</v>
      </c>
    </row>
    <row r="1919" hidden="1">
      <c r="A1919" s="83" t="s">
        <v>6317</v>
      </c>
      <c r="B1919" s="83" t="s">
        <v>6318</v>
      </c>
      <c r="C1919" s="81" t="s">
        <v>4086</v>
      </c>
      <c r="D1919" s="83" t="s">
        <v>4184</v>
      </c>
      <c r="E1919" s="81" t="s">
        <v>683</v>
      </c>
      <c r="F1919" s="84">
        <v>110.0</v>
      </c>
      <c r="G1919" s="81" t="s">
        <v>39</v>
      </c>
      <c r="H1919" s="81" t="s">
        <v>5288</v>
      </c>
      <c r="I1919" s="81" t="s">
        <v>684</v>
      </c>
      <c r="J1919" s="81" t="s">
        <v>224</v>
      </c>
    </row>
    <row r="1920" hidden="1">
      <c r="A1920" s="83" t="s">
        <v>6317</v>
      </c>
      <c r="B1920" s="83" t="s">
        <v>6318</v>
      </c>
      <c r="C1920" s="81" t="s">
        <v>5141</v>
      </c>
      <c r="D1920" s="83" t="s">
        <v>4184</v>
      </c>
      <c r="E1920" s="81" t="s">
        <v>683</v>
      </c>
      <c r="F1920" s="84">
        <v>110.0</v>
      </c>
      <c r="G1920" s="81" t="s">
        <v>40</v>
      </c>
      <c r="H1920" s="81" t="s">
        <v>5289</v>
      </c>
      <c r="I1920" s="81" t="s">
        <v>224</v>
      </c>
      <c r="J1920" s="81" t="s">
        <v>5143</v>
      </c>
    </row>
    <row r="1921" hidden="1">
      <c r="A1921" s="83" t="s">
        <v>6317</v>
      </c>
      <c r="B1921" s="83" t="s">
        <v>6318</v>
      </c>
      <c r="C1921" s="81" t="s">
        <v>4086</v>
      </c>
      <c r="D1921" s="83" t="s">
        <v>4185</v>
      </c>
      <c r="E1921" s="81" t="s">
        <v>685</v>
      </c>
      <c r="F1921" s="84">
        <v>111.0</v>
      </c>
      <c r="G1921" s="81" t="s">
        <v>39</v>
      </c>
      <c r="H1921" s="81" t="s">
        <v>5290</v>
      </c>
      <c r="I1921" s="81" t="s">
        <v>688</v>
      </c>
      <c r="J1921" s="81" t="s">
        <v>224</v>
      </c>
    </row>
    <row r="1922" hidden="1">
      <c r="A1922" s="83" t="s">
        <v>6317</v>
      </c>
      <c r="B1922" s="83" t="s">
        <v>6318</v>
      </c>
      <c r="C1922" s="81" t="s">
        <v>5141</v>
      </c>
      <c r="D1922" s="83" t="s">
        <v>4185</v>
      </c>
      <c r="E1922" s="81" t="s">
        <v>685</v>
      </c>
      <c r="F1922" s="84">
        <v>111.0</v>
      </c>
      <c r="G1922" s="81" t="s">
        <v>40</v>
      </c>
      <c r="H1922" s="81" t="s">
        <v>5291</v>
      </c>
      <c r="I1922" s="81" t="s">
        <v>224</v>
      </c>
      <c r="J1922" s="81" t="s">
        <v>5143</v>
      </c>
    </row>
    <row r="1923" hidden="1">
      <c r="A1923" s="83" t="s">
        <v>6317</v>
      </c>
      <c r="B1923" s="83" t="s">
        <v>6318</v>
      </c>
      <c r="C1923" s="81" t="s">
        <v>4086</v>
      </c>
      <c r="D1923" s="83" t="s">
        <v>4185</v>
      </c>
      <c r="E1923" s="81" t="s">
        <v>690</v>
      </c>
      <c r="F1923" s="84">
        <v>112.0</v>
      </c>
      <c r="G1923" s="81" t="s">
        <v>39</v>
      </c>
      <c r="H1923" s="81" t="s">
        <v>5290</v>
      </c>
      <c r="I1923" s="81" t="s">
        <v>688</v>
      </c>
      <c r="J1923" s="81" t="s">
        <v>224</v>
      </c>
    </row>
    <row r="1924" hidden="1">
      <c r="A1924" s="83" t="s">
        <v>6317</v>
      </c>
      <c r="B1924" s="83" t="s">
        <v>6318</v>
      </c>
      <c r="C1924" s="81" t="s">
        <v>5141</v>
      </c>
      <c r="D1924" s="83" t="s">
        <v>4185</v>
      </c>
      <c r="E1924" s="81" t="s">
        <v>690</v>
      </c>
      <c r="F1924" s="84">
        <v>112.0</v>
      </c>
      <c r="G1924" s="81" t="s">
        <v>40</v>
      </c>
      <c r="H1924" s="81" t="s">
        <v>5291</v>
      </c>
      <c r="I1924" s="81" t="s">
        <v>224</v>
      </c>
      <c r="J1924" s="81" t="s">
        <v>5143</v>
      </c>
    </row>
    <row r="1925" hidden="1">
      <c r="A1925" s="83" t="s">
        <v>6317</v>
      </c>
      <c r="B1925" s="83" t="s">
        <v>6318</v>
      </c>
      <c r="C1925" s="81" t="s">
        <v>4086</v>
      </c>
      <c r="D1925" s="83" t="s">
        <v>4186</v>
      </c>
      <c r="E1925" s="81" t="s">
        <v>691</v>
      </c>
      <c r="F1925" s="84">
        <v>113.0</v>
      </c>
      <c r="G1925" s="81" t="s">
        <v>39</v>
      </c>
      <c r="H1925" s="81" t="s">
        <v>5292</v>
      </c>
      <c r="I1925" s="81" t="s">
        <v>692</v>
      </c>
      <c r="J1925" s="81" t="s">
        <v>224</v>
      </c>
    </row>
    <row r="1926" hidden="1">
      <c r="A1926" s="83" t="s">
        <v>6317</v>
      </c>
      <c r="B1926" s="83" t="s">
        <v>6318</v>
      </c>
      <c r="C1926" s="81" t="s">
        <v>5141</v>
      </c>
      <c r="D1926" s="83" t="s">
        <v>4186</v>
      </c>
      <c r="E1926" s="81" t="s">
        <v>691</v>
      </c>
      <c r="F1926" s="84">
        <v>113.0</v>
      </c>
      <c r="G1926" s="81" t="s">
        <v>40</v>
      </c>
      <c r="H1926" s="81" t="s">
        <v>5293</v>
      </c>
      <c r="I1926" s="81" t="s">
        <v>224</v>
      </c>
      <c r="J1926" s="81" t="s">
        <v>5143</v>
      </c>
    </row>
    <row r="1927" hidden="1">
      <c r="A1927" s="83" t="s">
        <v>6317</v>
      </c>
      <c r="B1927" s="83" t="s">
        <v>6318</v>
      </c>
      <c r="C1927" s="81" t="s">
        <v>4086</v>
      </c>
      <c r="D1927" s="83" t="s">
        <v>4187</v>
      </c>
      <c r="E1927" s="81" t="s">
        <v>693</v>
      </c>
      <c r="F1927" s="84">
        <v>114.0</v>
      </c>
      <c r="G1927" s="81" t="s">
        <v>39</v>
      </c>
      <c r="H1927" s="81" t="s">
        <v>5294</v>
      </c>
      <c r="I1927" s="81" t="s">
        <v>696</v>
      </c>
      <c r="J1927" s="81" t="s">
        <v>224</v>
      </c>
    </row>
    <row r="1928" hidden="1">
      <c r="A1928" s="83" t="s">
        <v>6317</v>
      </c>
      <c r="B1928" s="83" t="s">
        <v>6318</v>
      </c>
      <c r="C1928" s="81" t="s">
        <v>5141</v>
      </c>
      <c r="D1928" s="83" t="s">
        <v>4187</v>
      </c>
      <c r="E1928" s="81" t="s">
        <v>693</v>
      </c>
      <c r="F1928" s="84">
        <v>114.0</v>
      </c>
      <c r="G1928" s="81" t="s">
        <v>40</v>
      </c>
      <c r="H1928" s="81" t="s">
        <v>5295</v>
      </c>
      <c r="I1928" s="81" t="s">
        <v>224</v>
      </c>
      <c r="J1928" s="81" t="s">
        <v>5143</v>
      </c>
    </row>
    <row r="1929" hidden="1">
      <c r="A1929" s="83" t="s">
        <v>6317</v>
      </c>
      <c r="B1929" s="83" t="s">
        <v>6318</v>
      </c>
      <c r="C1929" s="81" t="s">
        <v>4086</v>
      </c>
      <c r="D1929" s="83" t="s">
        <v>4187</v>
      </c>
      <c r="E1929" s="81" t="s">
        <v>700</v>
      </c>
      <c r="F1929" s="84">
        <v>115.0</v>
      </c>
      <c r="G1929" s="81" t="s">
        <v>39</v>
      </c>
      <c r="H1929" s="81" t="s">
        <v>5294</v>
      </c>
      <c r="I1929" s="81" t="s">
        <v>696</v>
      </c>
      <c r="J1929" s="81" t="s">
        <v>224</v>
      </c>
    </row>
    <row r="1930" hidden="1">
      <c r="A1930" s="83" t="s">
        <v>6317</v>
      </c>
      <c r="B1930" s="83" t="s">
        <v>6318</v>
      </c>
      <c r="C1930" s="81" t="s">
        <v>5141</v>
      </c>
      <c r="D1930" s="83" t="s">
        <v>4187</v>
      </c>
      <c r="E1930" s="81" t="s">
        <v>700</v>
      </c>
      <c r="F1930" s="84">
        <v>115.0</v>
      </c>
      <c r="G1930" s="81" t="s">
        <v>40</v>
      </c>
      <c r="H1930" s="81" t="s">
        <v>5295</v>
      </c>
      <c r="I1930" s="81" t="s">
        <v>224</v>
      </c>
      <c r="J1930" s="81" t="s">
        <v>5143</v>
      </c>
    </row>
    <row r="1931" hidden="1">
      <c r="A1931" s="83" t="s">
        <v>6317</v>
      </c>
      <c r="B1931" s="83" t="s">
        <v>6318</v>
      </c>
      <c r="C1931" s="81" t="s">
        <v>4086</v>
      </c>
      <c r="D1931" s="83" t="s">
        <v>4188</v>
      </c>
      <c r="E1931" s="81" t="s">
        <v>701</v>
      </c>
      <c r="F1931" s="84">
        <v>116.0</v>
      </c>
      <c r="G1931" s="81" t="s">
        <v>39</v>
      </c>
      <c r="H1931" s="81" t="s">
        <v>5296</v>
      </c>
      <c r="I1931" s="81" t="s">
        <v>702</v>
      </c>
      <c r="J1931" s="81" t="s">
        <v>224</v>
      </c>
    </row>
    <row r="1932" hidden="1">
      <c r="A1932" s="83" t="s">
        <v>6317</v>
      </c>
      <c r="B1932" s="83" t="s">
        <v>6318</v>
      </c>
      <c r="C1932" s="81" t="s">
        <v>5141</v>
      </c>
      <c r="D1932" s="83" t="s">
        <v>4188</v>
      </c>
      <c r="E1932" s="81" t="s">
        <v>701</v>
      </c>
      <c r="F1932" s="84">
        <v>116.0</v>
      </c>
      <c r="G1932" s="81" t="s">
        <v>40</v>
      </c>
      <c r="H1932" s="81" t="s">
        <v>5297</v>
      </c>
      <c r="I1932" s="81" t="s">
        <v>224</v>
      </c>
      <c r="J1932" s="81" t="s">
        <v>5143</v>
      </c>
    </row>
    <row r="1933" hidden="1">
      <c r="A1933" s="83" t="s">
        <v>6317</v>
      </c>
      <c r="B1933" s="83" t="s">
        <v>6318</v>
      </c>
      <c r="C1933" s="81" t="s">
        <v>4086</v>
      </c>
      <c r="D1933" s="83" t="s">
        <v>4189</v>
      </c>
      <c r="E1933" s="81" t="s">
        <v>703</v>
      </c>
      <c r="F1933" s="84">
        <v>117.0</v>
      </c>
      <c r="G1933" s="81" t="s">
        <v>39</v>
      </c>
      <c r="H1933" s="81" t="s">
        <v>5298</v>
      </c>
      <c r="I1933" s="81" t="s">
        <v>708</v>
      </c>
      <c r="J1933" s="81" t="s">
        <v>224</v>
      </c>
    </row>
    <row r="1934" hidden="1">
      <c r="A1934" s="83" t="s">
        <v>6317</v>
      </c>
      <c r="B1934" s="83" t="s">
        <v>6318</v>
      </c>
      <c r="C1934" s="81" t="s">
        <v>5141</v>
      </c>
      <c r="D1934" s="83" t="s">
        <v>4189</v>
      </c>
      <c r="E1934" s="81" t="s">
        <v>703</v>
      </c>
      <c r="F1934" s="84">
        <v>117.0</v>
      </c>
      <c r="G1934" s="81" t="s">
        <v>40</v>
      </c>
      <c r="H1934" s="81" t="s">
        <v>5299</v>
      </c>
      <c r="I1934" s="81" t="s">
        <v>224</v>
      </c>
      <c r="J1934" s="81" t="s">
        <v>5143</v>
      </c>
    </row>
    <row r="1935" hidden="1">
      <c r="A1935" s="83" t="s">
        <v>6317</v>
      </c>
      <c r="B1935" s="83" t="s">
        <v>6318</v>
      </c>
      <c r="C1935" s="81" t="s">
        <v>4086</v>
      </c>
      <c r="D1935" s="83" t="s">
        <v>4191</v>
      </c>
      <c r="E1935" s="81" t="s">
        <v>710</v>
      </c>
      <c r="F1935" s="84">
        <v>118.0</v>
      </c>
      <c r="G1935" s="81" t="s">
        <v>39</v>
      </c>
      <c r="H1935" s="81" t="s">
        <v>5300</v>
      </c>
      <c r="I1935" s="81" t="s">
        <v>714</v>
      </c>
      <c r="J1935" s="81" t="s">
        <v>224</v>
      </c>
    </row>
    <row r="1936" hidden="1">
      <c r="A1936" s="83" t="s">
        <v>6317</v>
      </c>
      <c r="B1936" s="83" t="s">
        <v>6318</v>
      </c>
      <c r="C1936" s="81" t="s">
        <v>5141</v>
      </c>
      <c r="D1936" s="83" t="s">
        <v>4191</v>
      </c>
      <c r="E1936" s="81" t="s">
        <v>710</v>
      </c>
      <c r="F1936" s="84">
        <v>118.0</v>
      </c>
      <c r="G1936" s="81" t="s">
        <v>40</v>
      </c>
      <c r="H1936" s="81" t="s">
        <v>5301</v>
      </c>
      <c r="I1936" s="81" t="s">
        <v>224</v>
      </c>
      <c r="J1936" s="81" t="s">
        <v>5143</v>
      </c>
    </row>
    <row r="1937" hidden="1">
      <c r="A1937" s="83" t="s">
        <v>6317</v>
      </c>
      <c r="B1937" s="83" t="s">
        <v>6318</v>
      </c>
      <c r="C1937" s="81" t="s">
        <v>4086</v>
      </c>
      <c r="D1937" s="83" t="s">
        <v>4193</v>
      </c>
      <c r="E1937" s="81" t="s">
        <v>716</v>
      </c>
      <c r="F1937" s="84">
        <v>119.0</v>
      </c>
      <c r="G1937" s="81" t="s">
        <v>40</v>
      </c>
      <c r="H1937" s="81" t="s">
        <v>5302</v>
      </c>
      <c r="I1937" s="81" t="s">
        <v>723</v>
      </c>
      <c r="J1937" s="81" t="s">
        <v>224</v>
      </c>
    </row>
    <row r="1938" hidden="1">
      <c r="A1938" s="83" t="s">
        <v>6317</v>
      </c>
      <c r="B1938" s="83" t="s">
        <v>6318</v>
      </c>
      <c r="C1938" s="81" t="s">
        <v>4086</v>
      </c>
      <c r="D1938" s="83" t="s">
        <v>4193</v>
      </c>
      <c r="E1938" s="81" t="s">
        <v>727</v>
      </c>
      <c r="F1938" s="84">
        <v>120.0</v>
      </c>
      <c r="G1938" s="81" t="s">
        <v>39</v>
      </c>
      <c r="H1938" s="81" t="s">
        <v>5303</v>
      </c>
      <c r="I1938" s="81" t="s">
        <v>722</v>
      </c>
      <c r="J1938" s="81" t="s">
        <v>224</v>
      </c>
    </row>
    <row r="1939" hidden="1">
      <c r="A1939" s="83" t="s">
        <v>6317</v>
      </c>
      <c r="B1939" s="83" t="s">
        <v>6318</v>
      </c>
      <c r="C1939" s="81" t="s">
        <v>4086</v>
      </c>
      <c r="D1939" s="83" t="s">
        <v>4193</v>
      </c>
      <c r="E1939" s="81" t="s">
        <v>727</v>
      </c>
      <c r="F1939" s="84">
        <v>120.0</v>
      </c>
      <c r="G1939" s="81" t="s">
        <v>40</v>
      </c>
      <c r="H1939" s="81" t="s">
        <v>49</v>
      </c>
      <c r="I1939" s="81" t="s">
        <v>723</v>
      </c>
      <c r="J1939" s="81" t="s">
        <v>224</v>
      </c>
    </row>
    <row r="1940" hidden="1">
      <c r="A1940" s="83" t="s">
        <v>6317</v>
      </c>
      <c r="B1940" s="83" t="s">
        <v>6318</v>
      </c>
      <c r="C1940" s="81" t="s">
        <v>4086</v>
      </c>
      <c r="D1940" s="83" t="s">
        <v>4195</v>
      </c>
      <c r="E1940" s="81" t="s">
        <v>728</v>
      </c>
      <c r="F1940" s="84">
        <v>121.0</v>
      </c>
      <c r="G1940" s="81" t="s">
        <v>40</v>
      </c>
      <c r="H1940" s="81" t="s">
        <v>5304</v>
      </c>
      <c r="I1940" s="81" t="s">
        <v>730</v>
      </c>
      <c r="J1940" s="81" t="s">
        <v>224</v>
      </c>
    </row>
    <row r="1941" hidden="1">
      <c r="A1941" s="83" t="s">
        <v>6317</v>
      </c>
      <c r="B1941" s="83" t="s">
        <v>6318</v>
      </c>
      <c r="C1941" s="81" t="s">
        <v>4086</v>
      </c>
      <c r="D1941" s="83" t="s">
        <v>4196</v>
      </c>
      <c r="E1941" s="81" t="s">
        <v>731</v>
      </c>
      <c r="F1941" s="84">
        <v>122.0</v>
      </c>
      <c r="G1941" s="81" t="s">
        <v>39</v>
      </c>
      <c r="H1941" s="81" t="s">
        <v>5305</v>
      </c>
      <c r="I1941" s="81" t="s">
        <v>736</v>
      </c>
      <c r="J1941" s="81" t="s">
        <v>224</v>
      </c>
    </row>
    <row r="1942" hidden="1">
      <c r="A1942" s="83" t="s">
        <v>6317</v>
      </c>
      <c r="B1942" s="83" t="s">
        <v>6318</v>
      </c>
      <c r="C1942" s="81" t="s">
        <v>4086</v>
      </c>
      <c r="D1942" s="83" t="s">
        <v>4196</v>
      </c>
      <c r="E1942" s="81" t="s">
        <v>731</v>
      </c>
      <c r="F1942" s="84">
        <v>122.0</v>
      </c>
      <c r="G1942" s="81" t="s">
        <v>40</v>
      </c>
      <c r="H1942" s="81" t="s">
        <v>5306</v>
      </c>
      <c r="I1942" s="81" t="s">
        <v>737</v>
      </c>
      <c r="J1942" s="81" t="s">
        <v>224</v>
      </c>
    </row>
    <row r="1943" hidden="1">
      <c r="A1943" s="83" t="s">
        <v>6317</v>
      </c>
      <c r="B1943" s="83" t="s">
        <v>6318</v>
      </c>
      <c r="C1943" s="81" t="s">
        <v>4086</v>
      </c>
      <c r="D1943" s="83" t="s">
        <v>4196</v>
      </c>
      <c r="E1943" s="81" t="s">
        <v>741</v>
      </c>
      <c r="F1943" s="84">
        <v>123.0</v>
      </c>
      <c r="G1943" s="81" t="s">
        <v>40</v>
      </c>
      <c r="H1943" s="81" t="s">
        <v>5306</v>
      </c>
      <c r="I1943" s="81" t="s">
        <v>737</v>
      </c>
      <c r="J1943" s="81" t="s">
        <v>224</v>
      </c>
    </row>
    <row r="1944" hidden="1">
      <c r="A1944" s="83" t="s">
        <v>6317</v>
      </c>
      <c r="B1944" s="83" t="s">
        <v>6318</v>
      </c>
      <c r="C1944" s="81" t="s">
        <v>4086</v>
      </c>
      <c r="D1944" s="83" t="s">
        <v>4198</v>
      </c>
      <c r="E1944" s="81" t="s">
        <v>742</v>
      </c>
      <c r="F1944" s="84">
        <v>124.0</v>
      </c>
      <c r="G1944" s="81" t="s">
        <v>40</v>
      </c>
      <c r="H1944" s="81" t="s">
        <v>5307</v>
      </c>
      <c r="I1944" s="81" t="s">
        <v>744</v>
      </c>
      <c r="J1944" s="81" t="s">
        <v>224</v>
      </c>
    </row>
    <row r="1945" hidden="1">
      <c r="A1945" s="83" t="s">
        <v>6317</v>
      </c>
      <c r="B1945" s="83" t="s">
        <v>6318</v>
      </c>
      <c r="C1945" s="81" t="s">
        <v>4086</v>
      </c>
      <c r="D1945" s="83" t="s">
        <v>4199</v>
      </c>
      <c r="E1945" s="81" t="s">
        <v>745</v>
      </c>
      <c r="F1945" s="84">
        <v>125.0</v>
      </c>
      <c r="G1945" s="81" t="s">
        <v>39</v>
      </c>
      <c r="H1945" s="81" t="s">
        <v>5308</v>
      </c>
      <c r="I1945" s="81" t="s">
        <v>748</v>
      </c>
      <c r="J1945" s="81" t="s">
        <v>224</v>
      </c>
    </row>
    <row r="1946" hidden="1">
      <c r="A1946" s="83" t="s">
        <v>6317</v>
      </c>
      <c r="B1946" s="83" t="s">
        <v>6318</v>
      </c>
      <c r="C1946" s="81" t="s">
        <v>4086</v>
      </c>
      <c r="D1946" s="83" t="s">
        <v>4199</v>
      </c>
      <c r="E1946" s="81" t="s">
        <v>745</v>
      </c>
      <c r="F1946" s="84">
        <v>125.0</v>
      </c>
      <c r="G1946" s="81" t="s">
        <v>40</v>
      </c>
      <c r="H1946" s="81" t="s">
        <v>5309</v>
      </c>
      <c r="I1946" s="81" t="s">
        <v>749</v>
      </c>
      <c r="J1946" s="81" t="s">
        <v>224</v>
      </c>
    </row>
    <row r="1947" hidden="1">
      <c r="A1947" s="83" t="s">
        <v>6317</v>
      </c>
      <c r="B1947" s="83" t="s">
        <v>6318</v>
      </c>
      <c r="C1947" s="81" t="s">
        <v>4086</v>
      </c>
      <c r="D1947" s="83" t="s">
        <v>4199</v>
      </c>
      <c r="E1947" s="81" t="s">
        <v>753</v>
      </c>
      <c r="F1947" s="84">
        <v>126.0</v>
      </c>
      <c r="G1947" s="81" t="s">
        <v>40</v>
      </c>
      <c r="H1947" s="81" t="s">
        <v>5310</v>
      </c>
      <c r="I1947" s="81" t="s">
        <v>749</v>
      </c>
      <c r="J1947" s="81" t="s">
        <v>224</v>
      </c>
    </row>
    <row r="1948" hidden="1">
      <c r="A1948" s="83" t="s">
        <v>6317</v>
      </c>
      <c r="B1948" s="83" t="s">
        <v>6318</v>
      </c>
      <c r="C1948" s="81" t="s">
        <v>4082</v>
      </c>
      <c r="D1948" s="83" t="s">
        <v>4201</v>
      </c>
      <c r="E1948" s="81" t="s">
        <v>754</v>
      </c>
      <c r="F1948" s="84">
        <v>127.0</v>
      </c>
      <c r="G1948" s="81" t="s">
        <v>39</v>
      </c>
      <c r="H1948" s="81" t="s">
        <v>224</v>
      </c>
      <c r="I1948" s="81" t="s">
        <v>224</v>
      </c>
      <c r="J1948" s="81" t="s">
        <v>5311</v>
      </c>
    </row>
    <row r="1949" hidden="1">
      <c r="A1949" s="83" t="s">
        <v>6317</v>
      </c>
      <c r="B1949" s="83" t="s">
        <v>6318</v>
      </c>
      <c r="C1949" s="81" t="s">
        <v>5141</v>
      </c>
      <c r="D1949" s="83" t="s">
        <v>4201</v>
      </c>
      <c r="E1949" s="81" t="s">
        <v>754</v>
      </c>
      <c r="F1949" s="84">
        <v>127.0</v>
      </c>
      <c r="G1949" s="81" t="s">
        <v>39</v>
      </c>
      <c r="H1949" s="81" t="s">
        <v>5312</v>
      </c>
      <c r="I1949" s="81" t="s">
        <v>224</v>
      </c>
      <c r="J1949" s="81" t="s">
        <v>5143</v>
      </c>
    </row>
    <row r="1950" hidden="1">
      <c r="A1950" s="83" t="s">
        <v>6317</v>
      </c>
      <c r="B1950" s="83" t="s">
        <v>6318</v>
      </c>
      <c r="C1950" s="81" t="s">
        <v>4086</v>
      </c>
      <c r="D1950" s="83" t="s">
        <v>4201</v>
      </c>
      <c r="E1950" s="81" t="s">
        <v>754</v>
      </c>
      <c r="F1950" s="84">
        <v>127.0</v>
      </c>
      <c r="G1950" s="81" t="s">
        <v>40</v>
      </c>
      <c r="H1950" s="81" t="s">
        <v>5313</v>
      </c>
      <c r="I1950" s="81" t="s">
        <v>755</v>
      </c>
      <c r="J1950" s="81" t="s">
        <v>224</v>
      </c>
    </row>
    <row r="1951" hidden="1">
      <c r="A1951" s="83" t="s">
        <v>6317</v>
      </c>
      <c r="B1951" s="83" t="s">
        <v>6318</v>
      </c>
      <c r="C1951" s="81" t="s">
        <v>4086</v>
      </c>
      <c r="D1951" s="83" t="s">
        <v>4202</v>
      </c>
      <c r="E1951" s="81" t="s">
        <v>756</v>
      </c>
      <c r="F1951" s="84">
        <v>128.0</v>
      </c>
      <c r="G1951" s="81" t="s">
        <v>39</v>
      </c>
      <c r="H1951" s="81" t="s">
        <v>5314</v>
      </c>
      <c r="I1951" s="81" t="s">
        <v>761</v>
      </c>
      <c r="J1951" s="81" t="s">
        <v>224</v>
      </c>
    </row>
    <row r="1952" hidden="1">
      <c r="A1952" s="83" t="s">
        <v>6317</v>
      </c>
      <c r="B1952" s="83" t="s">
        <v>6318</v>
      </c>
      <c r="C1952" s="81" t="s">
        <v>4086</v>
      </c>
      <c r="D1952" s="83" t="s">
        <v>4202</v>
      </c>
      <c r="E1952" s="81" t="s">
        <v>756</v>
      </c>
      <c r="F1952" s="84">
        <v>128.0</v>
      </c>
      <c r="G1952" s="81" t="s">
        <v>40</v>
      </c>
      <c r="H1952" s="81" t="s">
        <v>5315</v>
      </c>
      <c r="I1952" s="81" t="s">
        <v>762</v>
      </c>
      <c r="J1952" s="81" t="s">
        <v>224</v>
      </c>
    </row>
    <row r="1953" hidden="1">
      <c r="A1953" s="83" t="s">
        <v>6317</v>
      </c>
      <c r="B1953" s="83" t="s">
        <v>6318</v>
      </c>
      <c r="C1953" s="81" t="s">
        <v>4086</v>
      </c>
      <c r="D1953" s="83" t="s">
        <v>4202</v>
      </c>
      <c r="E1953" s="81" t="s">
        <v>766</v>
      </c>
      <c r="F1953" s="84">
        <v>129.0</v>
      </c>
      <c r="G1953" s="81" t="s">
        <v>40</v>
      </c>
      <c r="H1953" s="81" t="s">
        <v>5315</v>
      </c>
      <c r="I1953" s="81" t="s">
        <v>762</v>
      </c>
      <c r="J1953" s="81" t="s">
        <v>224</v>
      </c>
    </row>
    <row r="1954" hidden="1">
      <c r="A1954" s="83" t="s">
        <v>6317</v>
      </c>
      <c r="B1954" s="83" t="s">
        <v>6318</v>
      </c>
      <c r="C1954" s="81" t="s">
        <v>4086</v>
      </c>
      <c r="D1954" s="83" t="s">
        <v>4204</v>
      </c>
      <c r="E1954" s="81" t="s">
        <v>767</v>
      </c>
      <c r="F1954" s="84">
        <v>130.0</v>
      </c>
      <c r="G1954" s="81" t="s">
        <v>40</v>
      </c>
      <c r="H1954" s="81" t="s">
        <v>5316</v>
      </c>
      <c r="I1954" s="81" t="s">
        <v>769</v>
      </c>
      <c r="J1954" s="81" t="s">
        <v>224</v>
      </c>
    </row>
    <row r="1955" hidden="1">
      <c r="A1955" s="83" t="s">
        <v>6317</v>
      </c>
      <c r="B1955" s="83" t="s">
        <v>6318</v>
      </c>
      <c r="C1955" s="81" t="s">
        <v>4086</v>
      </c>
      <c r="D1955" s="83" t="s">
        <v>4205</v>
      </c>
      <c r="E1955" s="81" t="s">
        <v>770</v>
      </c>
      <c r="F1955" s="84">
        <v>131.0</v>
      </c>
      <c r="G1955" s="81" t="s">
        <v>39</v>
      </c>
      <c r="H1955" s="81" t="s">
        <v>5317</v>
      </c>
      <c r="I1955" s="81" t="s">
        <v>772</v>
      </c>
      <c r="J1955" s="81" t="s">
        <v>224</v>
      </c>
    </row>
    <row r="1956" hidden="1">
      <c r="A1956" s="83" t="s">
        <v>6317</v>
      </c>
      <c r="B1956" s="83" t="s">
        <v>6318</v>
      </c>
      <c r="C1956" s="81" t="s">
        <v>4086</v>
      </c>
      <c r="D1956" s="83" t="s">
        <v>4205</v>
      </c>
      <c r="E1956" s="81" t="s">
        <v>770</v>
      </c>
      <c r="F1956" s="84">
        <v>131.0</v>
      </c>
      <c r="G1956" s="81" t="s">
        <v>40</v>
      </c>
      <c r="H1956" s="81" t="s">
        <v>5318</v>
      </c>
      <c r="I1956" s="81" t="s">
        <v>773</v>
      </c>
      <c r="J1956" s="81" t="s">
        <v>224</v>
      </c>
    </row>
    <row r="1957" hidden="1">
      <c r="A1957" s="83" t="s">
        <v>6317</v>
      </c>
      <c r="B1957" s="83" t="s">
        <v>6318</v>
      </c>
      <c r="C1957" s="81" t="s">
        <v>4086</v>
      </c>
      <c r="D1957" s="83" t="s">
        <v>4206</v>
      </c>
      <c r="E1957" s="81" t="s">
        <v>776</v>
      </c>
      <c r="F1957" s="84">
        <v>132.0</v>
      </c>
      <c r="G1957" s="81" t="s">
        <v>40</v>
      </c>
      <c r="H1957" s="81" t="s">
        <v>5319</v>
      </c>
      <c r="I1957" s="81" t="s">
        <v>778</v>
      </c>
      <c r="J1957" s="81" t="s">
        <v>224</v>
      </c>
    </row>
    <row r="1958" hidden="1">
      <c r="A1958" s="83" t="s">
        <v>6317</v>
      </c>
      <c r="B1958" s="83" t="s">
        <v>6318</v>
      </c>
      <c r="C1958" s="81" t="s">
        <v>4086</v>
      </c>
      <c r="D1958" s="83" t="s">
        <v>4207</v>
      </c>
      <c r="E1958" s="81" t="s">
        <v>779</v>
      </c>
      <c r="F1958" s="84">
        <v>133.0</v>
      </c>
      <c r="G1958" s="81" t="s">
        <v>39</v>
      </c>
      <c r="H1958" s="81" t="s">
        <v>5320</v>
      </c>
      <c r="I1958" s="81" t="s">
        <v>782</v>
      </c>
      <c r="J1958" s="81" t="s">
        <v>224</v>
      </c>
    </row>
    <row r="1959" hidden="1">
      <c r="A1959" s="83" t="s">
        <v>6317</v>
      </c>
      <c r="B1959" s="83" t="s">
        <v>6318</v>
      </c>
      <c r="C1959" s="81" t="s">
        <v>4086</v>
      </c>
      <c r="D1959" s="83" t="s">
        <v>4207</v>
      </c>
      <c r="E1959" s="81" t="s">
        <v>779</v>
      </c>
      <c r="F1959" s="84">
        <v>133.0</v>
      </c>
      <c r="G1959" s="81" t="s">
        <v>40</v>
      </c>
      <c r="H1959" s="81" t="s">
        <v>5321</v>
      </c>
      <c r="I1959" s="81" t="s">
        <v>783</v>
      </c>
      <c r="J1959" s="81" t="s">
        <v>224</v>
      </c>
    </row>
    <row r="1960" hidden="1">
      <c r="A1960" s="83" t="s">
        <v>6317</v>
      </c>
      <c r="B1960" s="83" t="s">
        <v>6318</v>
      </c>
      <c r="C1960" s="81" t="s">
        <v>4082</v>
      </c>
      <c r="D1960" s="83" t="s">
        <v>4208</v>
      </c>
      <c r="E1960" s="81" t="s">
        <v>786</v>
      </c>
      <c r="F1960" s="84">
        <v>134.0</v>
      </c>
      <c r="G1960" s="81" t="s">
        <v>39</v>
      </c>
      <c r="H1960" s="81" t="s">
        <v>224</v>
      </c>
      <c r="I1960" s="81" t="s">
        <v>224</v>
      </c>
      <c r="J1960" s="81" t="s">
        <v>5322</v>
      </c>
    </row>
    <row r="1961" hidden="1">
      <c r="A1961" s="83" t="s">
        <v>6317</v>
      </c>
      <c r="B1961" s="83" t="s">
        <v>6318</v>
      </c>
      <c r="C1961" s="81" t="s">
        <v>5141</v>
      </c>
      <c r="D1961" s="83" t="s">
        <v>4208</v>
      </c>
      <c r="E1961" s="81" t="s">
        <v>786</v>
      </c>
      <c r="F1961" s="84">
        <v>134.0</v>
      </c>
      <c r="G1961" s="81" t="s">
        <v>39</v>
      </c>
      <c r="H1961" s="81" t="s">
        <v>5323</v>
      </c>
      <c r="I1961" s="81" t="s">
        <v>224</v>
      </c>
      <c r="J1961" s="81" t="s">
        <v>5143</v>
      </c>
    </row>
    <row r="1962" hidden="1">
      <c r="A1962" s="83" t="s">
        <v>6317</v>
      </c>
      <c r="B1962" s="83" t="s">
        <v>6318</v>
      </c>
      <c r="C1962" s="81" t="s">
        <v>4086</v>
      </c>
      <c r="D1962" s="83" t="s">
        <v>4208</v>
      </c>
      <c r="E1962" s="81" t="s">
        <v>786</v>
      </c>
      <c r="F1962" s="84">
        <v>134.0</v>
      </c>
      <c r="G1962" s="81" t="s">
        <v>40</v>
      </c>
      <c r="H1962" s="81" t="s">
        <v>5324</v>
      </c>
      <c r="I1962" s="81" t="s">
        <v>787</v>
      </c>
      <c r="J1962" s="81" t="s">
        <v>224</v>
      </c>
    </row>
    <row r="1963" hidden="1">
      <c r="A1963" s="83" t="s">
        <v>6317</v>
      </c>
      <c r="B1963" s="83" t="s">
        <v>6318</v>
      </c>
      <c r="C1963" s="81" t="s">
        <v>4086</v>
      </c>
      <c r="D1963" s="83" t="s">
        <v>4209</v>
      </c>
      <c r="E1963" s="81" t="s">
        <v>788</v>
      </c>
      <c r="F1963" s="84">
        <v>135.0</v>
      </c>
      <c r="G1963" s="81" t="s">
        <v>40</v>
      </c>
      <c r="H1963" s="81" t="s">
        <v>5325</v>
      </c>
      <c r="I1963" s="81" t="s">
        <v>792</v>
      </c>
      <c r="J1963" s="81" t="s">
        <v>224</v>
      </c>
    </row>
    <row r="1964" hidden="1">
      <c r="A1964" s="83" t="s">
        <v>6317</v>
      </c>
      <c r="B1964" s="83" t="s">
        <v>6318</v>
      </c>
      <c r="C1964" s="81" t="s">
        <v>4086</v>
      </c>
      <c r="D1964" s="83" t="s">
        <v>4210</v>
      </c>
      <c r="E1964" s="81" t="s">
        <v>795</v>
      </c>
      <c r="F1964" s="84">
        <v>136.0</v>
      </c>
      <c r="G1964" s="81" t="s">
        <v>40</v>
      </c>
      <c r="H1964" s="81" t="s">
        <v>5326</v>
      </c>
      <c r="I1964" s="81" t="s">
        <v>797</v>
      </c>
      <c r="J1964" s="81" t="s">
        <v>224</v>
      </c>
    </row>
    <row r="1965" hidden="1">
      <c r="A1965" s="83" t="s">
        <v>6317</v>
      </c>
      <c r="B1965" s="83" t="s">
        <v>6318</v>
      </c>
      <c r="C1965" s="81" t="s">
        <v>4082</v>
      </c>
      <c r="D1965" s="83" t="s">
        <v>4211</v>
      </c>
      <c r="E1965" s="81" t="s">
        <v>798</v>
      </c>
      <c r="F1965" s="84">
        <v>137.0</v>
      </c>
      <c r="G1965" s="81" t="s">
        <v>39</v>
      </c>
      <c r="H1965" s="81" t="s">
        <v>224</v>
      </c>
      <c r="I1965" s="81" t="s">
        <v>224</v>
      </c>
      <c r="J1965" s="81" t="s">
        <v>5327</v>
      </c>
    </row>
    <row r="1966" hidden="1">
      <c r="A1966" s="83" t="s">
        <v>6317</v>
      </c>
      <c r="B1966" s="83" t="s">
        <v>6318</v>
      </c>
      <c r="C1966" s="81" t="s">
        <v>5141</v>
      </c>
      <c r="D1966" s="83" t="s">
        <v>4211</v>
      </c>
      <c r="E1966" s="81" t="s">
        <v>798</v>
      </c>
      <c r="F1966" s="84">
        <v>137.0</v>
      </c>
      <c r="G1966" s="81" t="s">
        <v>39</v>
      </c>
      <c r="H1966" s="81" t="s">
        <v>5328</v>
      </c>
      <c r="I1966" s="81" t="s">
        <v>224</v>
      </c>
      <c r="J1966" s="81" t="s">
        <v>5143</v>
      </c>
    </row>
    <row r="1967" hidden="1">
      <c r="A1967" s="83" t="s">
        <v>6317</v>
      </c>
      <c r="B1967" s="83" t="s">
        <v>6318</v>
      </c>
      <c r="C1967" s="81" t="s">
        <v>4086</v>
      </c>
      <c r="D1967" s="83" t="s">
        <v>4211</v>
      </c>
      <c r="E1967" s="81" t="s">
        <v>798</v>
      </c>
      <c r="F1967" s="84">
        <v>137.0</v>
      </c>
      <c r="G1967" s="81" t="s">
        <v>40</v>
      </c>
      <c r="H1967" s="81" t="s">
        <v>5329</v>
      </c>
      <c r="I1967" s="81" t="s">
        <v>801</v>
      </c>
      <c r="J1967" s="81" t="s">
        <v>224</v>
      </c>
    </row>
    <row r="1968" hidden="1">
      <c r="A1968" s="83" t="s">
        <v>6317</v>
      </c>
      <c r="B1968" s="83" t="s">
        <v>6318</v>
      </c>
      <c r="C1968" s="81" t="s">
        <v>4082</v>
      </c>
      <c r="D1968" s="83" t="s">
        <v>4212</v>
      </c>
      <c r="E1968" s="81" t="s">
        <v>804</v>
      </c>
      <c r="F1968" s="84">
        <v>138.0</v>
      </c>
      <c r="G1968" s="81" t="s">
        <v>39</v>
      </c>
      <c r="H1968" s="81" t="s">
        <v>224</v>
      </c>
      <c r="I1968" s="81" t="s">
        <v>224</v>
      </c>
      <c r="J1968" s="81" t="s">
        <v>5330</v>
      </c>
    </row>
    <row r="1969" hidden="1">
      <c r="A1969" s="83" t="s">
        <v>6317</v>
      </c>
      <c r="B1969" s="83" t="s">
        <v>6318</v>
      </c>
      <c r="C1969" s="81" t="s">
        <v>5141</v>
      </c>
      <c r="D1969" s="83" t="s">
        <v>4212</v>
      </c>
      <c r="E1969" s="81" t="s">
        <v>804</v>
      </c>
      <c r="F1969" s="84">
        <v>138.0</v>
      </c>
      <c r="G1969" s="81" t="s">
        <v>39</v>
      </c>
      <c r="H1969" s="81" t="s">
        <v>5331</v>
      </c>
      <c r="I1969" s="81" t="s">
        <v>224</v>
      </c>
      <c r="J1969" s="81" t="s">
        <v>5143</v>
      </c>
    </row>
    <row r="1970" hidden="1">
      <c r="A1970" s="83" t="s">
        <v>6317</v>
      </c>
      <c r="B1970" s="83" t="s">
        <v>6318</v>
      </c>
      <c r="C1970" s="81" t="s">
        <v>4086</v>
      </c>
      <c r="D1970" s="83" t="s">
        <v>4212</v>
      </c>
      <c r="E1970" s="81" t="s">
        <v>804</v>
      </c>
      <c r="F1970" s="84">
        <v>138.0</v>
      </c>
      <c r="G1970" s="81" t="s">
        <v>40</v>
      </c>
      <c r="H1970" s="81" t="s">
        <v>5332</v>
      </c>
      <c r="I1970" s="81" t="s">
        <v>805</v>
      </c>
      <c r="J1970" s="81" t="s">
        <v>224</v>
      </c>
    </row>
    <row r="1971" hidden="1">
      <c r="A1971" s="83" t="s">
        <v>6317</v>
      </c>
      <c r="B1971" s="83" t="s">
        <v>6318</v>
      </c>
      <c r="C1971" s="81" t="s">
        <v>4086</v>
      </c>
      <c r="D1971" s="83" t="s">
        <v>4213</v>
      </c>
      <c r="E1971" s="81" t="s">
        <v>806</v>
      </c>
      <c r="F1971" s="84">
        <v>139.0</v>
      </c>
      <c r="G1971" s="81" t="s">
        <v>40</v>
      </c>
      <c r="H1971" s="81" t="s">
        <v>5333</v>
      </c>
      <c r="I1971" s="81" t="s">
        <v>809</v>
      </c>
      <c r="J1971" s="81" t="s">
        <v>224</v>
      </c>
    </row>
    <row r="1972" hidden="1">
      <c r="A1972" s="83" t="s">
        <v>6317</v>
      </c>
      <c r="B1972" s="83" t="s">
        <v>6318</v>
      </c>
      <c r="C1972" s="81" t="s">
        <v>4086</v>
      </c>
      <c r="D1972" s="83" t="s">
        <v>4214</v>
      </c>
      <c r="E1972" s="81" t="s">
        <v>812</v>
      </c>
      <c r="F1972" s="84">
        <v>140.0</v>
      </c>
      <c r="G1972" s="81" t="s">
        <v>39</v>
      </c>
      <c r="H1972" s="81" t="s">
        <v>5334</v>
      </c>
      <c r="I1972" s="81" t="s">
        <v>813</v>
      </c>
      <c r="J1972" s="81" t="s">
        <v>224</v>
      </c>
    </row>
    <row r="1973" hidden="1">
      <c r="A1973" s="83" t="s">
        <v>6317</v>
      </c>
      <c r="B1973" s="83" t="s">
        <v>6318</v>
      </c>
      <c r="C1973" s="81" t="s">
        <v>4086</v>
      </c>
      <c r="D1973" s="83" t="s">
        <v>4214</v>
      </c>
      <c r="E1973" s="81" t="s">
        <v>812</v>
      </c>
      <c r="F1973" s="84">
        <v>140.0</v>
      </c>
      <c r="G1973" s="81" t="s">
        <v>40</v>
      </c>
      <c r="H1973" s="81" t="s">
        <v>5335</v>
      </c>
      <c r="I1973" s="81" t="s">
        <v>814</v>
      </c>
      <c r="J1973" s="81" t="s">
        <v>224</v>
      </c>
    </row>
    <row r="1974" hidden="1">
      <c r="A1974" s="83" t="s">
        <v>6317</v>
      </c>
      <c r="B1974" s="83" t="s">
        <v>6318</v>
      </c>
      <c r="C1974" s="81" t="s">
        <v>4086</v>
      </c>
      <c r="D1974" s="83" t="s">
        <v>4215</v>
      </c>
      <c r="E1974" s="81" t="s">
        <v>815</v>
      </c>
      <c r="F1974" s="84">
        <v>141.0</v>
      </c>
      <c r="G1974" s="81" t="s">
        <v>40</v>
      </c>
      <c r="H1974" s="81" t="s">
        <v>5336</v>
      </c>
      <c r="I1974" s="81" t="s">
        <v>819</v>
      </c>
      <c r="J1974" s="81" t="s">
        <v>224</v>
      </c>
    </row>
    <row r="1975" hidden="1">
      <c r="A1975" s="83" t="s">
        <v>6317</v>
      </c>
      <c r="B1975" s="83" t="s">
        <v>6318</v>
      </c>
      <c r="C1975" s="81" t="s">
        <v>4086</v>
      </c>
      <c r="D1975" s="83" t="s">
        <v>4216</v>
      </c>
      <c r="E1975" s="81" t="s">
        <v>822</v>
      </c>
      <c r="F1975" s="84">
        <v>142.0</v>
      </c>
      <c r="G1975" s="81" t="s">
        <v>40</v>
      </c>
      <c r="H1975" s="81" t="s">
        <v>5337</v>
      </c>
      <c r="I1975" s="81" t="s">
        <v>824</v>
      </c>
      <c r="J1975" s="81" t="s">
        <v>224</v>
      </c>
    </row>
    <row r="1976" hidden="1">
      <c r="A1976" s="83" t="s">
        <v>6317</v>
      </c>
      <c r="B1976" s="83" t="s">
        <v>6318</v>
      </c>
      <c r="C1976" s="81" t="s">
        <v>4086</v>
      </c>
      <c r="D1976" s="83" t="s">
        <v>4217</v>
      </c>
      <c r="E1976" s="81" t="s">
        <v>825</v>
      </c>
      <c r="F1976" s="84">
        <v>143.0</v>
      </c>
      <c r="G1976" s="81" t="s">
        <v>40</v>
      </c>
      <c r="H1976" s="81" t="s">
        <v>5338</v>
      </c>
      <c r="I1976" s="81" t="s">
        <v>829</v>
      </c>
      <c r="J1976" s="81" t="s">
        <v>224</v>
      </c>
    </row>
    <row r="1977" hidden="1">
      <c r="A1977" s="83" t="s">
        <v>6317</v>
      </c>
      <c r="B1977" s="83" t="s">
        <v>6318</v>
      </c>
      <c r="C1977" s="81" t="s">
        <v>4086</v>
      </c>
      <c r="D1977" s="83" t="s">
        <v>4218</v>
      </c>
      <c r="E1977" s="81" t="s">
        <v>832</v>
      </c>
      <c r="F1977" s="84">
        <v>144.0</v>
      </c>
      <c r="G1977" s="81" t="s">
        <v>40</v>
      </c>
      <c r="H1977" s="81" t="s">
        <v>5339</v>
      </c>
      <c r="I1977" s="81" t="s">
        <v>834</v>
      </c>
      <c r="J1977" s="81" t="s">
        <v>224</v>
      </c>
    </row>
    <row r="1978" hidden="1">
      <c r="A1978" s="83" t="s">
        <v>6317</v>
      </c>
      <c r="B1978" s="83" t="s">
        <v>6318</v>
      </c>
      <c r="C1978" s="81" t="s">
        <v>4086</v>
      </c>
      <c r="D1978" s="83" t="s">
        <v>4219</v>
      </c>
      <c r="E1978" s="81" t="s">
        <v>835</v>
      </c>
      <c r="F1978" s="84">
        <v>145.0</v>
      </c>
      <c r="G1978" s="81" t="s">
        <v>40</v>
      </c>
      <c r="H1978" s="81" t="s">
        <v>5340</v>
      </c>
      <c r="I1978" s="81" t="s">
        <v>839</v>
      </c>
      <c r="J1978" s="81" t="s">
        <v>224</v>
      </c>
    </row>
    <row r="1979" hidden="1">
      <c r="A1979" s="83" t="s">
        <v>6317</v>
      </c>
      <c r="B1979" s="83" t="s">
        <v>6318</v>
      </c>
      <c r="C1979" s="81" t="s">
        <v>4086</v>
      </c>
      <c r="D1979" s="83" t="s">
        <v>4220</v>
      </c>
      <c r="E1979" s="81" t="s">
        <v>842</v>
      </c>
      <c r="F1979" s="84">
        <v>146.0</v>
      </c>
      <c r="G1979" s="81" t="s">
        <v>40</v>
      </c>
      <c r="H1979" s="81" t="s">
        <v>5341</v>
      </c>
      <c r="I1979" s="81" t="s">
        <v>844</v>
      </c>
      <c r="J1979" s="81" t="s">
        <v>224</v>
      </c>
    </row>
    <row r="1980" hidden="1">
      <c r="A1980" s="83" t="s">
        <v>6317</v>
      </c>
      <c r="B1980" s="83" t="s">
        <v>6318</v>
      </c>
      <c r="C1980" s="81" t="s">
        <v>4086</v>
      </c>
      <c r="D1980" s="83" t="s">
        <v>4221</v>
      </c>
      <c r="E1980" s="81" t="s">
        <v>845</v>
      </c>
      <c r="F1980" s="84">
        <v>147.0</v>
      </c>
      <c r="G1980" s="81" t="s">
        <v>40</v>
      </c>
      <c r="H1980" s="81" t="s">
        <v>5342</v>
      </c>
      <c r="I1980" s="81" t="s">
        <v>848</v>
      </c>
      <c r="J1980" s="81" t="s">
        <v>224</v>
      </c>
    </row>
    <row r="1981" hidden="1">
      <c r="A1981" s="83" t="s">
        <v>6317</v>
      </c>
      <c r="B1981" s="83" t="s">
        <v>6318</v>
      </c>
      <c r="C1981" s="81" t="s">
        <v>4086</v>
      </c>
      <c r="D1981" s="83" t="s">
        <v>4222</v>
      </c>
      <c r="E1981" s="81" t="s">
        <v>851</v>
      </c>
      <c r="F1981" s="84">
        <v>148.0</v>
      </c>
      <c r="G1981" s="81" t="s">
        <v>40</v>
      </c>
      <c r="H1981" s="81" t="s">
        <v>5343</v>
      </c>
      <c r="I1981" s="81" t="s">
        <v>853</v>
      </c>
      <c r="J1981" s="81" t="s">
        <v>224</v>
      </c>
    </row>
    <row r="1982" hidden="1">
      <c r="A1982" s="83" t="s">
        <v>6317</v>
      </c>
      <c r="B1982" s="83" t="s">
        <v>6318</v>
      </c>
      <c r="C1982" s="81" t="s">
        <v>4086</v>
      </c>
      <c r="D1982" s="83" t="s">
        <v>4223</v>
      </c>
      <c r="E1982" s="81" t="s">
        <v>854</v>
      </c>
      <c r="F1982" s="84">
        <v>149.0</v>
      </c>
      <c r="G1982" s="81" t="s">
        <v>40</v>
      </c>
      <c r="H1982" s="81" t="s">
        <v>5344</v>
      </c>
      <c r="I1982" s="81" t="s">
        <v>858</v>
      </c>
      <c r="J1982" s="81" t="s">
        <v>224</v>
      </c>
    </row>
    <row r="1983" hidden="1">
      <c r="A1983" s="83" t="s">
        <v>6317</v>
      </c>
      <c r="B1983" s="83" t="s">
        <v>6318</v>
      </c>
      <c r="C1983" s="81" t="s">
        <v>4086</v>
      </c>
      <c r="D1983" s="83" t="s">
        <v>4224</v>
      </c>
      <c r="E1983" s="81" t="s">
        <v>861</v>
      </c>
      <c r="F1983" s="84">
        <v>150.0</v>
      </c>
      <c r="G1983" s="81" t="s">
        <v>40</v>
      </c>
      <c r="H1983" s="81" t="s">
        <v>5345</v>
      </c>
      <c r="I1983" s="81" t="s">
        <v>863</v>
      </c>
      <c r="J1983" s="81" t="s">
        <v>224</v>
      </c>
    </row>
    <row r="1984" hidden="1">
      <c r="A1984" s="83" t="s">
        <v>6317</v>
      </c>
      <c r="B1984" s="83" t="s">
        <v>6318</v>
      </c>
      <c r="C1984" s="81" t="s">
        <v>4086</v>
      </c>
      <c r="D1984" s="83" t="s">
        <v>4225</v>
      </c>
      <c r="E1984" s="81" t="s">
        <v>864</v>
      </c>
      <c r="F1984" s="84">
        <v>151.0</v>
      </c>
      <c r="G1984" s="81" t="s">
        <v>40</v>
      </c>
      <c r="H1984" s="81" t="s">
        <v>5346</v>
      </c>
      <c r="I1984" s="81" t="s">
        <v>868</v>
      </c>
      <c r="J1984" s="81" t="s">
        <v>224</v>
      </c>
    </row>
    <row r="1985" hidden="1">
      <c r="A1985" s="83" t="s">
        <v>6317</v>
      </c>
      <c r="B1985" s="83" t="s">
        <v>6318</v>
      </c>
      <c r="C1985" s="81" t="s">
        <v>4086</v>
      </c>
      <c r="D1985" s="83" t="s">
        <v>4226</v>
      </c>
      <c r="E1985" s="81" t="s">
        <v>871</v>
      </c>
      <c r="F1985" s="84">
        <v>152.0</v>
      </c>
      <c r="G1985" s="81" t="s">
        <v>40</v>
      </c>
      <c r="H1985" s="81" t="s">
        <v>5347</v>
      </c>
      <c r="I1985" s="81" t="s">
        <v>873</v>
      </c>
      <c r="J1985" s="81" t="s">
        <v>224</v>
      </c>
    </row>
    <row r="1986" hidden="1">
      <c r="A1986" s="83" t="s">
        <v>6317</v>
      </c>
      <c r="B1986" s="83" t="s">
        <v>6318</v>
      </c>
      <c r="C1986" s="81" t="s">
        <v>4086</v>
      </c>
      <c r="D1986" s="83" t="s">
        <v>4227</v>
      </c>
      <c r="E1986" s="81" t="s">
        <v>874</v>
      </c>
      <c r="F1986" s="84">
        <v>153.0</v>
      </c>
      <c r="G1986" s="81" t="s">
        <v>40</v>
      </c>
      <c r="H1986" s="81" t="s">
        <v>5348</v>
      </c>
      <c r="I1986" s="81" t="s">
        <v>878</v>
      </c>
      <c r="J1986" s="81" t="s">
        <v>224</v>
      </c>
    </row>
    <row r="1987" hidden="1">
      <c r="A1987" s="83" t="s">
        <v>6317</v>
      </c>
      <c r="B1987" s="83" t="s">
        <v>6318</v>
      </c>
      <c r="C1987" s="81" t="s">
        <v>4086</v>
      </c>
      <c r="D1987" s="83" t="s">
        <v>4228</v>
      </c>
      <c r="E1987" s="81" t="s">
        <v>881</v>
      </c>
      <c r="F1987" s="84">
        <v>154.0</v>
      </c>
      <c r="G1987" s="81" t="s">
        <v>40</v>
      </c>
      <c r="H1987" s="81" t="s">
        <v>5349</v>
      </c>
      <c r="I1987" s="81" t="s">
        <v>883</v>
      </c>
      <c r="J1987" s="81" t="s">
        <v>224</v>
      </c>
    </row>
    <row r="1988" hidden="1">
      <c r="A1988" s="83" t="s">
        <v>6317</v>
      </c>
      <c r="B1988" s="83" t="s">
        <v>6318</v>
      </c>
      <c r="C1988" s="81" t="s">
        <v>4086</v>
      </c>
      <c r="D1988" s="83" t="s">
        <v>4229</v>
      </c>
      <c r="E1988" s="81" t="s">
        <v>884</v>
      </c>
      <c r="F1988" s="84">
        <v>155.0</v>
      </c>
      <c r="G1988" s="81" t="s">
        <v>39</v>
      </c>
      <c r="H1988" s="81" t="s">
        <v>5350</v>
      </c>
      <c r="I1988" s="81" t="s">
        <v>891</v>
      </c>
      <c r="J1988" s="81" t="s">
        <v>224</v>
      </c>
    </row>
    <row r="1989" hidden="1">
      <c r="A1989" s="83" t="s">
        <v>6317</v>
      </c>
      <c r="B1989" s="83" t="s">
        <v>6318</v>
      </c>
      <c r="C1989" s="81" t="s">
        <v>5141</v>
      </c>
      <c r="D1989" s="83" t="s">
        <v>4229</v>
      </c>
      <c r="E1989" s="81" t="s">
        <v>884</v>
      </c>
      <c r="F1989" s="84">
        <v>155.0</v>
      </c>
      <c r="G1989" s="81" t="s">
        <v>40</v>
      </c>
      <c r="H1989" s="81" t="s">
        <v>5351</v>
      </c>
      <c r="I1989" s="81" t="s">
        <v>224</v>
      </c>
      <c r="J1989" s="81" t="s">
        <v>5143</v>
      </c>
    </row>
    <row r="1990" hidden="1">
      <c r="A1990" s="83" t="s">
        <v>6317</v>
      </c>
      <c r="B1990" s="83" t="s">
        <v>6318</v>
      </c>
      <c r="C1990" s="81" t="s">
        <v>4086</v>
      </c>
      <c r="D1990" s="83" t="s">
        <v>4229</v>
      </c>
      <c r="E1990" s="81" t="s">
        <v>895</v>
      </c>
      <c r="F1990" s="84">
        <v>156.0</v>
      </c>
      <c r="G1990" s="81" t="s">
        <v>39</v>
      </c>
      <c r="H1990" s="81" t="s">
        <v>5350</v>
      </c>
      <c r="I1990" s="81" t="s">
        <v>891</v>
      </c>
      <c r="J1990" s="81" t="s">
        <v>224</v>
      </c>
    </row>
    <row r="1991" hidden="1">
      <c r="A1991" s="83" t="s">
        <v>6317</v>
      </c>
      <c r="B1991" s="83" t="s">
        <v>6318</v>
      </c>
      <c r="C1991" s="81" t="s">
        <v>5141</v>
      </c>
      <c r="D1991" s="83" t="s">
        <v>4229</v>
      </c>
      <c r="E1991" s="81" t="s">
        <v>895</v>
      </c>
      <c r="F1991" s="84">
        <v>156.0</v>
      </c>
      <c r="G1991" s="81" t="s">
        <v>40</v>
      </c>
      <c r="H1991" s="81" t="s">
        <v>5351</v>
      </c>
      <c r="I1991" s="81" t="s">
        <v>224</v>
      </c>
      <c r="J1991" s="81" t="s">
        <v>5143</v>
      </c>
    </row>
    <row r="1992" hidden="1">
      <c r="A1992" s="83" t="s">
        <v>6317</v>
      </c>
      <c r="B1992" s="83" t="s">
        <v>6318</v>
      </c>
      <c r="C1992" s="81" t="s">
        <v>4086</v>
      </c>
      <c r="D1992" s="83" t="s">
        <v>4231</v>
      </c>
      <c r="E1992" s="81" t="s">
        <v>897</v>
      </c>
      <c r="F1992" s="84">
        <v>157.0</v>
      </c>
      <c r="G1992" s="81" t="s">
        <v>39</v>
      </c>
      <c r="H1992" s="81" t="s">
        <v>5352</v>
      </c>
      <c r="I1992" s="81" t="s">
        <v>898</v>
      </c>
      <c r="J1992" s="81" t="s">
        <v>224</v>
      </c>
    </row>
    <row r="1993" hidden="1">
      <c r="A1993" s="83" t="s">
        <v>6317</v>
      </c>
      <c r="B1993" s="83" t="s">
        <v>6318</v>
      </c>
      <c r="C1993" s="81" t="s">
        <v>5141</v>
      </c>
      <c r="D1993" s="83" t="s">
        <v>4231</v>
      </c>
      <c r="E1993" s="81" t="s">
        <v>897</v>
      </c>
      <c r="F1993" s="84">
        <v>157.0</v>
      </c>
      <c r="G1993" s="81" t="s">
        <v>40</v>
      </c>
      <c r="H1993" s="81" t="s">
        <v>5353</v>
      </c>
      <c r="I1993" s="81" t="s">
        <v>224</v>
      </c>
      <c r="J1993" s="81" t="s">
        <v>5143</v>
      </c>
    </row>
    <row r="1994" hidden="1">
      <c r="A1994" s="83" t="s">
        <v>6317</v>
      </c>
      <c r="B1994" s="83" t="s">
        <v>6318</v>
      </c>
      <c r="C1994" s="81" t="s">
        <v>4086</v>
      </c>
      <c r="D1994" s="83" t="s">
        <v>4232</v>
      </c>
      <c r="E1994" s="81" t="s">
        <v>899</v>
      </c>
      <c r="F1994" s="84">
        <v>158.0</v>
      </c>
      <c r="G1994" s="81" t="s">
        <v>39</v>
      </c>
      <c r="H1994" s="81" t="s">
        <v>5354</v>
      </c>
      <c r="I1994" s="81" t="s">
        <v>901</v>
      </c>
      <c r="J1994" s="81" t="s">
        <v>224</v>
      </c>
    </row>
    <row r="1995" hidden="1">
      <c r="A1995" s="83" t="s">
        <v>6317</v>
      </c>
      <c r="B1995" s="83" t="s">
        <v>6318</v>
      </c>
      <c r="C1995" s="81" t="s">
        <v>5141</v>
      </c>
      <c r="D1995" s="83" t="s">
        <v>4232</v>
      </c>
      <c r="E1995" s="81" t="s">
        <v>899</v>
      </c>
      <c r="F1995" s="84">
        <v>158.0</v>
      </c>
      <c r="G1995" s="81" t="s">
        <v>40</v>
      </c>
      <c r="H1995" s="81" t="s">
        <v>5355</v>
      </c>
      <c r="I1995" s="81" t="s">
        <v>224</v>
      </c>
      <c r="J1995" s="81" t="s">
        <v>5143</v>
      </c>
    </row>
    <row r="1996" hidden="1">
      <c r="A1996" s="83" t="s">
        <v>6317</v>
      </c>
      <c r="B1996" s="83" t="s">
        <v>6318</v>
      </c>
      <c r="C1996" s="81" t="s">
        <v>4086</v>
      </c>
      <c r="D1996" s="83" t="s">
        <v>4233</v>
      </c>
      <c r="E1996" s="81" t="s">
        <v>902</v>
      </c>
      <c r="F1996" s="84">
        <v>159.0</v>
      </c>
      <c r="G1996" s="81" t="s">
        <v>39</v>
      </c>
      <c r="H1996" s="81" t="s">
        <v>5356</v>
      </c>
      <c r="I1996" s="81" t="s">
        <v>904</v>
      </c>
      <c r="J1996" s="81" t="s">
        <v>224</v>
      </c>
    </row>
    <row r="1997" hidden="1">
      <c r="A1997" s="83" t="s">
        <v>6317</v>
      </c>
      <c r="B1997" s="83" t="s">
        <v>6318</v>
      </c>
      <c r="C1997" s="81" t="s">
        <v>5141</v>
      </c>
      <c r="D1997" s="83" t="s">
        <v>4233</v>
      </c>
      <c r="E1997" s="81" t="s">
        <v>902</v>
      </c>
      <c r="F1997" s="84">
        <v>159.0</v>
      </c>
      <c r="G1997" s="81" t="s">
        <v>40</v>
      </c>
      <c r="H1997" s="81" t="s">
        <v>5357</v>
      </c>
      <c r="I1997" s="81" t="s">
        <v>224</v>
      </c>
      <c r="J1997" s="81" t="s">
        <v>5143</v>
      </c>
    </row>
    <row r="1998" hidden="1">
      <c r="A1998" s="83" t="s">
        <v>6317</v>
      </c>
      <c r="B1998" s="83" t="s">
        <v>6318</v>
      </c>
      <c r="C1998" s="81" t="s">
        <v>4086</v>
      </c>
      <c r="D1998" s="83" t="s">
        <v>4234</v>
      </c>
      <c r="E1998" s="81" t="s">
        <v>905</v>
      </c>
      <c r="F1998" s="84">
        <v>160.0</v>
      </c>
      <c r="G1998" s="81" t="s">
        <v>39</v>
      </c>
      <c r="H1998" s="81" t="s">
        <v>5358</v>
      </c>
      <c r="I1998" s="81" t="s">
        <v>907</v>
      </c>
      <c r="J1998" s="81" t="s">
        <v>224</v>
      </c>
    </row>
    <row r="1999" hidden="1">
      <c r="A1999" s="83" t="s">
        <v>6317</v>
      </c>
      <c r="B1999" s="83" t="s">
        <v>6318</v>
      </c>
      <c r="C1999" s="81" t="s">
        <v>5141</v>
      </c>
      <c r="D1999" s="83" t="s">
        <v>4234</v>
      </c>
      <c r="E1999" s="81" t="s">
        <v>905</v>
      </c>
      <c r="F1999" s="84">
        <v>160.0</v>
      </c>
      <c r="G1999" s="81" t="s">
        <v>40</v>
      </c>
      <c r="H1999" s="81" t="s">
        <v>5359</v>
      </c>
      <c r="I1999" s="81" t="s">
        <v>224</v>
      </c>
      <c r="J1999" s="81" t="s">
        <v>5143</v>
      </c>
    </row>
    <row r="2000" hidden="1">
      <c r="A2000" s="83" t="s">
        <v>6317</v>
      </c>
      <c r="B2000" s="83" t="s">
        <v>6318</v>
      </c>
      <c r="C2000" s="81" t="s">
        <v>4086</v>
      </c>
      <c r="D2000" s="83" t="s">
        <v>4235</v>
      </c>
      <c r="E2000" s="81" t="s">
        <v>908</v>
      </c>
      <c r="F2000" s="84">
        <v>161.0</v>
      </c>
      <c r="G2000" s="81" t="s">
        <v>39</v>
      </c>
      <c r="H2000" s="81" t="s">
        <v>5360</v>
      </c>
      <c r="I2000" s="81" t="s">
        <v>912</v>
      </c>
      <c r="J2000" s="81" t="s">
        <v>224</v>
      </c>
    </row>
    <row r="2001" hidden="1">
      <c r="A2001" s="83" t="s">
        <v>6317</v>
      </c>
      <c r="B2001" s="83" t="s">
        <v>6318</v>
      </c>
      <c r="C2001" s="81" t="s">
        <v>5141</v>
      </c>
      <c r="D2001" s="83" t="s">
        <v>4235</v>
      </c>
      <c r="E2001" s="81" t="s">
        <v>908</v>
      </c>
      <c r="F2001" s="84">
        <v>161.0</v>
      </c>
      <c r="G2001" s="81" t="s">
        <v>40</v>
      </c>
      <c r="H2001" s="81" t="s">
        <v>5361</v>
      </c>
      <c r="I2001" s="81" t="s">
        <v>224</v>
      </c>
      <c r="J2001" s="81" t="s">
        <v>5143</v>
      </c>
    </row>
    <row r="2002" hidden="1">
      <c r="A2002" s="83" t="s">
        <v>6317</v>
      </c>
      <c r="B2002" s="83" t="s">
        <v>6318</v>
      </c>
      <c r="C2002" s="81" t="s">
        <v>4086</v>
      </c>
      <c r="D2002" s="83" t="s">
        <v>4237</v>
      </c>
      <c r="E2002" s="81" t="s">
        <v>916</v>
      </c>
      <c r="F2002" s="84">
        <v>162.0</v>
      </c>
      <c r="G2002" s="81" t="s">
        <v>39</v>
      </c>
      <c r="H2002" s="81" t="s">
        <v>5362</v>
      </c>
      <c r="I2002" s="81" t="s">
        <v>917</v>
      </c>
      <c r="J2002" s="81" t="s">
        <v>224</v>
      </c>
    </row>
    <row r="2003" hidden="1">
      <c r="A2003" s="83" t="s">
        <v>6317</v>
      </c>
      <c r="B2003" s="83" t="s">
        <v>6318</v>
      </c>
      <c r="C2003" s="81" t="s">
        <v>5141</v>
      </c>
      <c r="D2003" s="83" t="s">
        <v>4237</v>
      </c>
      <c r="E2003" s="81" t="s">
        <v>916</v>
      </c>
      <c r="F2003" s="84">
        <v>162.0</v>
      </c>
      <c r="G2003" s="81" t="s">
        <v>40</v>
      </c>
      <c r="H2003" s="81" t="s">
        <v>5363</v>
      </c>
      <c r="I2003" s="81" t="s">
        <v>224</v>
      </c>
      <c r="J2003" s="81" t="s">
        <v>5143</v>
      </c>
    </row>
    <row r="2004" hidden="1">
      <c r="A2004" s="83" t="s">
        <v>6317</v>
      </c>
      <c r="B2004" s="83" t="s">
        <v>6318</v>
      </c>
      <c r="C2004" s="81" t="s">
        <v>4086</v>
      </c>
      <c r="D2004" s="83" t="s">
        <v>4238</v>
      </c>
      <c r="E2004" s="81" t="s">
        <v>918</v>
      </c>
      <c r="F2004" s="84">
        <v>163.0</v>
      </c>
      <c r="G2004" s="81" t="s">
        <v>40</v>
      </c>
      <c r="H2004" s="81" t="s">
        <v>5364</v>
      </c>
      <c r="I2004" s="81" t="s">
        <v>923</v>
      </c>
      <c r="J2004" s="81" t="s">
        <v>224</v>
      </c>
    </row>
    <row r="2005" hidden="1">
      <c r="A2005" s="83" t="s">
        <v>6317</v>
      </c>
      <c r="B2005" s="83" t="s">
        <v>6318</v>
      </c>
      <c r="C2005" s="81" t="s">
        <v>4086</v>
      </c>
      <c r="D2005" s="83" t="s">
        <v>4239</v>
      </c>
      <c r="E2005" s="81" t="s">
        <v>925</v>
      </c>
      <c r="F2005" s="84">
        <v>164.0</v>
      </c>
      <c r="G2005" s="81" t="s">
        <v>39</v>
      </c>
      <c r="H2005" s="81" t="s">
        <v>5365</v>
      </c>
      <c r="I2005" s="81" t="s">
        <v>929</v>
      </c>
      <c r="J2005" s="81" t="s">
        <v>224</v>
      </c>
    </row>
    <row r="2006" hidden="1">
      <c r="A2006" s="83" t="s">
        <v>6317</v>
      </c>
      <c r="B2006" s="83" t="s">
        <v>6318</v>
      </c>
      <c r="C2006" s="81" t="s">
        <v>4086</v>
      </c>
      <c r="D2006" s="83" t="s">
        <v>4239</v>
      </c>
      <c r="E2006" s="81" t="s">
        <v>925</v>
      </c>
      <c r="F2006" s="84">
        <v>164.0</v>
      </c>
      <c r="G2006" s="81" t="s">
        <v>40</v>
      </c>
      <c r="H2006" s="81" t="s">
        <v>5366</v>
      </c>
      <c r="I2006" s="81" t="s">
        <v>930</v>
      </c>
      <c r="J2006" s="81" t="s">
        <v>224</v>
      </c>
    </row>
    <row r="2007" hidden="1">
      <c r="A2007" s="83" t="s">
        <v>6317</v>
      </c>
      <c r="B2007" s="83" t="s">
        <v>6318</v>
      </c>
      <c r="C2007" s="81" t="s">
        <v>4086</v>
      </c>
      <c r="D2007" s="83" t="s">
        <v>4239</v>
      </c>
      <c r="E2007" s="81" t="s">
        <v>934</v>
      </c>
      <c r="F2007" s="84">
        <v>165.0</v>
      </c>
      <c r="G2007" s="81" t="s">
        <v>39</v>
      </c>
      <c r="H2007" s="81" t="s">
        <v>5365</v>
      </c>
      <c r="I2007" s="81" t="s">
        <v>929</v>
      </c>
      <c r="J2007" s="81" t="s">
        <v>224</v>
      </c>
    </row>
    <row r="2008" hidden="1">
      <c r="A2008" s="83" t="s">
        <v>6317</v>
      </c>
      <c r="B2008" s="83" t="s">
        <v>6318</v>
      </c>
      <c r="C2008" s="81" t="s">
        <v>4086</v>
      </c>
      <c r="D2008" s="83" t="s">
        <v>4239</v>
      </c>
      <c r="E2008" s="81" t="s">
        <v>934</v>
      </c>
      <c r="F2008" s="84">
        <v>165.0</v>
      </c>
      <c r="G2008" s="81" t="s">
        <v>40</v>
      </c>
      <c r="H2008" s="81" t="s">
        <v>5366</v>
      </c>
      <c r="I2008" s="81" t="s">
        <v>930</v>
      </c>
      <c r="J2008" s="81" t="s">
        <v>224</v>
      </c>
    </row>
    <row r="2009" hidden="1">
      <c r="A2009" s="83" t="s">
        <v>6317</v>
      </c>
      <c r="B2009" s="83" t="s">
        <v>6318</v>
      </c>
      <c r="C2009" s="81" t="s">
        <v>4086</v>
      </c>
      <c r="D2009" s="83" t="s">
        <v>4240</v>
      </c>
      <c r="E2009" s="81" t="s">
        <v>935</v>
      </c>
      <c r="F2009" s="84">
        <v>166.0</v>
      </c>
      <c r="G2009" s="81" t="s">
        <v>40</v>
      </c>
      <c r="H2009" s="81" t="s">
        <v>5367</v>
      </c>
      <c r="I2009" s="81" t="s">
        <v>937</v>
      </c>
      <c r="J2009" s="81" t="s">
        <v>224</v>
      </c>
    </row>
    <row r="2010" hidden="1">
      <c r="A2010" s="83" t="s">
        <v>6317</v>
      </c>
      <c r="B2010" s="83" t="s">
        <v>6318</v>
      </c>
      <c r="C2010" s="81" t="s">
        <v>4086</v>
      </c>
      <c r="D2010" s="83" t="s">
        <v>4241</v>
      </c>
      <c r="E2010" s="81" t="s">
        <v>938</v>
      </c>
      <c r="F2010" s="84">
        <v>167.0</v>
      </c>
      <c r="G2010" s="81" t="s">
        <v>39</v>
      </c>
      <c r="H2010" s="81" t="s">
        <v>945</v>
      </c>
      <c r="I2010" s="81" t="s">
        <v>940</v>
      </c>
      <c r="J2010" s="81" t="s">
        <v>224</v>
      </c>
    </row>
    <row r="2011" hidden="1">
      <c r="A2011" s="83" t="s">
        <v>6317</v>
      </c>
      <c r="B2011" s="83" t="s">
        <v>6318</v>
      </c>
      <c r="C2011" s="81" t="s">
        <v>4086</v>
      </c>
      <c r="D2011" s="83" t="s">
        <v>4241</v>
      </c>
      <c r="E2011" s="81" t="s">
        <v>938</v>
      </c>
      <c r="F2011" s="84">
        <v>167.0</v>
      </c>
      <c r="G2011" s="81" t="s">
        <v>40</v>
      </c>
      <c r="H2011" s="81" t="s">
        <v>5368</v>
      </c>
      <c r="I2011" s="81" t="s">
        <v>941</v>
      </c>
      <c r="J2011" s="81" t="s">
        <v>224</v>
      </c>
    </row>
    <row r="2012" hidden="1">
      <c r="A2012" s="83" t="s">
        <v>6317</v>
      </c>
      <c r="B2012" s="83" t="s">
        <v>6318</v>
      </c>
      <c r="C2012" s="81" t="s">
        <v>4086</v>
      </c>
      <c r="D2012" s="83" t="s">
        <v>4241</v>
      </c>
      <c r="E2012" s="81" t="s">
        <v>943</v>
      </c>
      <c r="F2012" s="84">
        <v>168.0</v>
      </c>
      <c r="G2012" s="81" t="s">
        <v>40</v>
      </c>
      <c r="H2012" s="81" t="s">
        <v>5369</v>
      </c>
      <c r="I2012" s="81" t="s">
        <v>941</v>
      </c>
      <c r="J2012" s="81" t="s">
        <v>224</v>
      </c>
    </row>
    <row r="2013" hidden="1">
      <c r="A2013" s="83" t="s">
        <v>6317</v>
      </c>
      <c r="B2013" s="83" t="s">
        <v>6318</v>
      </c>
      <c r="C2013" s="81" t="s">
        <v>4086</v>
      </c>
      <c r="D2013" s="83" t="s">
        <v>4242</v>
      </c>
      <c r="E2013" s="81" t="s">
        <v>944</v>
      </c>
      <c r="F2013" s="84">
        <v>169.0</v>
      </c>
      <c r="G2013" s="81" t="s">
        <v>39</v>
      </c>
      <c r="H2013" s="81" t="s">
        <v>5370</v>
      </c>
      <c r="I2013" s="81" t="s">
        <v>945</v>
      </c>
      <c r="J2013" s="81" t="s">
        <v>224</v>
      </c>
    </row>
    <row r="2014" hidden="1">
      <c r="A2014" s="83" t="s">
        <v>6317</v>
      </c>
      <c r="B2014" s="83" t="s">
        <v>6318</v>
      </c>
      <c r="C2014" s="81" t="s">
        <v>4086</v>
      </c>
      <c r="D2014" s="83" t="s">
        <v>4242</v>
      </c>
      <c r="E2014" s="81" t="s">
        <v>944</v>
      </c>
      <c r="F2014" s="84">
        <v>169.0</v>
      </c>
      <c r="G2014" s="81" t="s">
        <v>40</v>
      </c>
      <c r="H2014" s="81" t="s">
        <v>5371</v>
      </c>
      <c r="I2014" s="81" t="s">
        <v>946</v>
      </c>
      <c r="J2014" s="81" t="s">
        <v>224</v>
      </c>
    </row>
    <row r="2015" hidden="1">
      <c r="A2015" s="83" t="s">
        <v>6317</v>
      </c>
      <c r="B2015" s="83" t="s">
        <v>6318</v>
      </c>
      <c r="C2015" s="81" t="s">
        <v>4086</v>
      </c>
      <c r="D2015" s="83" t="s">
        <v>4243</v>
      </c>
      <c r="E2015" s="81" t="s">
        <v>947</v>
      </c>
      <c r="F2015" s="84">
        <v>170.0</v>
      </c>
      <c r="G2015" s="81" t="s">
        <v>39</v>
      </c>
      <c r="H2015" s="81" t="s">
        <v>5372</v>
      </c>
      <c r="I2015" s="81" t="s">
        <v>949</v>
      </c>
      <c r="J2015" s="81" t="s">
        <v>224</v>
      </c>
    </row>
    <row r="2016" hidden="1">
      <c r="A2016" s="83" t="s">
        <v>6317</v>
      </c>
      <c r="B2016" s="83" t="s">
        <v>6318</v>
      </c>
      <c r="C2016" s="81" t="s">
        <v>4086</v>
      </c>
      <c r="D2016" s="83" t="s">
        <v>4243</v>
      </c>
      <c r="E2016" s="81" t="s">
        <v>947</v>
      </c>
      <c r="F2016" s="84">
        <v>170.0</v>
      </c>
      <c r="G2016" s="81" t="s">
        <v>40</v>
      </c>
      <c r="H2016" s="81" t="s">
        <v>224</v>
      </c>
      <c r="I2016" s="81" t="s">
        <v>950</v>
      </c>
      <c r="J2016" s="81" t="s">
        <v>224</v>
      </c>
    </row>
    <row r="2017" hidden="1">
      <c r="A2017" s="83" t="s">
        <v>6317</v>
      </c>
      <c r="B2017" s="83" t="s">
        <v>6318</v>
      </c>
      <c r="C2017" s="81" t="s">
        <v>4086</v>
      </c>
      <c r="D2017" s="83" t="s">
        <v>4243</v>
      </c>
      <c r="E2017" s="81" t="s">
        <v>951</v>
      </c>
      <c r="F2017" s="84">
        <v>171.0</v>
      </c>
      <c r="G2017" s="81" t="s">
        <v>39</v>
      </c>
      <c r="H2017" s="81" t="s">
        <v>5372</v>
      </c>
      <c r="I2017" s="81" t="s">
        <v>949</v>
      </c>
      <c r="J2017" s="81" t="s">
        <v>224</v>
      </c>
    </row>
    <row r="2018" hidden="1">
      <c r="A2018" s="83" t="s">
        <v>6317</v>
      </c>
      <c r="B2018" s="83" t="s">
        <v>6318</v>
      </c>
      <c r="C2018" s="81" t="s">
        <v>4086</v>
      </c>
      <c r="D2018" s="83" t="s">
        <v>4243</v>
      </c>
      <c r="E2018" s="81" t="s">
        <v>951</v>
      </c>
      <c r="F2018" s="84">
        <v>171.0</v>
      </c>
      <c r="G2018" s="81" t="s">
        <v>40</v>
      </c>
      <c r="H2018" s="81" t="s">
        <v>5373</v>
      </c>
      <c r="I2018" s="81" t="s">
        <v>950</v>
      </c>
      <c r="J2018" s="81" t="s">
        <v>224</v>
      </c>
    </row>
    <row r="2019" hidden="1">
      <c r="A2019" s="83" t="s">
        <v>6317</v>
      </c>
      <c r="B2019" s="83" t="s">
        <v>6318</v>
      </c>
      <c r="C2019" s="81" t="s">
        <v>4086</v>
      </c>
      <c r="D2019" s="83" t="s">
        <v>4244</v>
      </c>
      <c r="E2019" s="81" t="s">
        <v>952</v>
      </c>
      <c r="F2019" s="84">
        <v>172.0</v>
      </c>
      <c r="G2019" s="81" t="s">
        <v>40</v>
      </c>
      <c r="H2019" s="81" t="s">
        <v>5374</v>
      </c>
      <c r="I2019" s="81" t="s">
        <v>954</v>
      </c>
      <c r="J2019" s="81" t="s">
        <v>224</v>
      </c>
    </row>
    <row r="2020" hidden="1">
      <c r="A2020" s="83" t="s">
        <v>6317</v>
      </c>
      <c r="B2020" s="83" t="s">
        <v>6318</v>
      </c>
      <c r="C2020" s="81" t="s">
        <v>4086</v>
      </c>
      <c r="D2020" s="83" t="s">
        <v>4245</v>
      </c>
      <c r="E2020" s="81" t="s">
        <v>955</v>
      </c>
      <c r="F2020" s="84">
        <v>173.0</v>
      </c>
      <c r="G2020" s="81" t="s">
        <v>39</v>
      </c>
      <c r="H2020" s="81" t="s">
        <v>5375</v>
      </c>
      <c r="I2020" s="81" t="s">
        <v>957</v>
      </c>
      <c r="J2020" s="81" t="s">
        <v>224</v>
      </c>
    </row>
    <row r="2021" hidden="1">
      <c r="A2021" s="83" t="s">
        <v>6317</v>
      </c>
      <c r="B2021" s="83" t="s">
        <v>6318</v>
      </c>
      <c r="C2021" s="81" t="s">
        <v>4086</v>
      </c>
      <c r="D2021" s="83" t="s">
        <v>4245</v>
      </c>
      <c r="E2021" s="81" t="s">
        <v>955</v>
      </c>
      <c r="F2021" s="84">
        <v>173.0</v>
      </c>
      <c r="G2021" s="81" t="s">
        <v>40</v>
      </c>
      <c r="H2021" s="81" t="s">
        <v>5376</v>
      </c>
      <c r="I2021" s="81" t="s">
        <v>958</v>
      </c>
      <c r="J2021" s="81" t="s">
        <v>224</v>
      </c>
    </row>
    <row r="2022" hidden="1">
      <c r="A2022" s="83" t="s">
        <v>6317</v>
      </c>
      <c r="B2022" s="83" t="s">
        <v>6318</v>
      </c>
      <c r="C2022" s="81" t="s">
        <v>4086</v>
      </c>
      <c r="D2022" s="83" t="s">
        <v>4245</v>
      </c>
      <c r="E2022" s="81" t="s">
        <v>961</v>
      </c>
      <c r="F2022" s="84">
        <v>174.0</v>
      </c>
      <c r="G2022" s="81" t="s">
        <v>39</v>
      </c>
      <c r="H2022" s="81" t="s">
        <v>5375</v>
      </c>
      <c r="I2022" s="81" t="s">
        <v>957</v>
      </c>
      <c r="J2022" s="81" t="s">
        <v>224</v>
      </c>
    </row>
    <row r="2023" hidden="1">
      <c r="A2023" s="83" t="s">
        <v>6317</v>
      </c>
      <c r="B2023" s="83" t="s">
        <v>6318</v>
      </c>
      <c r="C2023" s="81" t="s">
        <v>4086</v>
      </c>
      <c r="D2023" s="83" t="s">
        <v>4245</v>
      </c>
      <c r="E2023" s="81" t="s">
        <v>961</v>
      </c>
      <c r="F2023" s="84">
        <v>174.0</v>
      </c>
      <c r="G2023" s="81" t="s">
        <v>40</v>
      </c>
      <c r="H2023" s="81" t="s">
        <v>5376</v>
      </c>
      <c r="I2023" s="81" t="s">
        <v>958</v>
      </c>
      <c r="J2023" s="81" t="s">
        <v>224</v>
      </c>
    </row>
    <row r="2024" hidden="1">
      <c r="A2024" s="83" t="s">
        <v>6317</v>
      </c>
      <c r="B2024" s="83" t="s">
        <v>6318</v>
      </c>
      <c r="C2024" s="81" t="s">
        <v>4086</v>
      </c>
      <c r="D2024" s="83" t="s">
        <v>4246</v>
      </c>
      <c r="E2024" s="81" t="s">
        <v>962</v>
      </c>
      <c r="F2024" s="84">
        <v>175.0</v>
      </c>
      <c r="G2024" s="81" t="s">
        <v>39</v>
      </c>
      <c r="H2024" s="81" t="s">
        <v>5377</v>
      </c>
      <c r="I2024" s="81" t="s">
        <v>963</v>
      </c>
      <c r="J2024" s="81" t="s">
        <v>224</v>
      </c>
    </row>
    <row r="2025" hidden="1">
      <c r="A2025" s="83" t="s">
        <v>6317</v>
      </c>
      <c r="B2025" s="83" t="s">
        <v>6318</v>
      </c>
      <c r="C2025" s="81" t="s">
        <v>4086</v>
      </c>
      <c r="D2025" s="83" t="s">
        <v>4246</v>
      </c>
      <c r="E2025" s="81" t="s">
        <v>962</v>
      </c>
      <c r="F2025" s="84">
        <v>175.0</v>
      </c>
      <c r="G2025" s="81" t="s">
        <v>40</v>
      </c>
      <c r="H2025" s="81" t="s">
        <v>5378</v>
      </c>
      <c r="I2025" s="81" t="s">
        <v>964</v>
      </c>
      <c r="J2025" s="81" t="s">
        <v>224</v>
      </c>
    </row>
    <row r="2026" hidden="1">
      <c r="A2026" s="83" t="s">
        <v>6317</v>
      </c>
      <c r="B2026" s="83" t="s">
        <v>6318</v>
      </c>
      <c r="C2026" s="81" t="s">
        <v>4086</v>
      </c>
      <c r="D2026" s="83" t="s">
        <v>4247</v>
      </c>
      <c r="E2026" s="81" t="s">
        <v>965</v>
      </c>
      <c r="F2026" s="84">
        <v>176.0</v>
      </c>
      <c r="G2026" s="81" t="s">
        <v>39</v>
      </c>
      <c r="H2026" s="81" t="s">
        <v>5379</v>
      </c>
      <c r="I2026" s="81" t="s">
        <v>967</v>
      </c>
      <c r="J2026" s="81" t="s">
        <v>224</v>
      </c>
    </row>
    <row r="2027" hidden="1">
      <c r="A2027" s="83" t="s">
        <v>6317</v>
      </c>
      <c r="B2027" s="83" t="s">
        <v>6318</v>
      </c>
      <c r="C2027" s="81" t="s">
        <v>4086</v>
      </c>
      <c r="D2027" s="83" t="s">
        <v>4247</v>
      </c>
      <c r="E2027" s="81" t="s">
        <v>965</v>
      </c>
      <c r="F2027" s="84">
        <v>176.0</v>
      </c>
      <c r="G2027" s="81" t="s">
        <v>40</v>
      </c>
      <c r="H2027" s="81" t="s">
        <v>5380</v>
      </c>
      <c r="I2027" s="81" t="s">
        <v>968</v>
      </c>
      <c r="J2027" s="81" t="s">
        <v>224</v>
      </c>
    </row>
    <row r="2028" hidden="1">
      <c r="A2028" s="83" t="s">
        <v>6317</v>
      </c>
      <c r="B2028" s="83" t="s">
        <v>6318</v>
      </c>
      <c r="C2028" s="81" t="s">
        <v>4086</v>
      </c>
      <c r="D2028" s="83" t="s">
        <v>4247</v>
      </c>
      <c r="E2028" s="81" t="s">
        <v>971</v>
      </c>
      <c r="F2028" s="84">
        <v>177.0</v>
      </c>
      <c r="G2028" s="81" t="s">
        <v>39</v>
      </c>
      <c r="H2028" s="81" t="s">
        <v>5379</v>
      </c>
      <c r="I2028" s="81" t="s">
        <v>967</v>
      </c>
      <c r="J2028" s="81" t="s">
        <v>224</v>
      </c>
    </row>
    <row r="2029" hidden="1">
      <c r="A2029" s="83" t="s">
        <v>6317</v>
      </c>
      <c r="B2029" s="83" t="s">
        <v>6318</v>
      </c>
      <c r="C2029" s="81" t="s">
        <v>4086</v>
      </c>
      <c r="D2029" s="83" t="s">
        <v>4247</v>
      </c>
      <c r="E2029" s="81" t="s">
        <v>971</v>
      </c>
      <c r="F2029" s="84">
        <v>177.0</v>
      </c>
      <c r="G2029" s="81" t="s">
        <v>40</v>
      </c>
      <c r="H2029" s="81" t="s">
        <v>5380</v>
      </c>
      <c r="I2029" s="81" t="s">
        <v>968</v>
      </c>
      <c r="J2029" s="81" t="s">
        <v>224</v>
      </c>
    </row>
    <row r="2030" hidden="1">
      <c r="A2030" s="83" t="s">
        <v>6317</v>
      </c>
      <c r="B2030" s="83" t="s">
        <v>6318</v>
      </c>
      <c r="C2030" s="81" t="s">
        <v>4086</v>
      </c>
      <c r="D2030" s="83" t="s">
        <v>4248</v>
      </c>
      <c r="E2030" s="81" t="s">
        <v>972</v>
      </c>
      <c r="F2030" s="84">
        <v>178.0</v>
      </c>
      <c r="G2030" s="81" t="s">
        <v>39</v>
      </c>
      <c r="H2030" s="81" t="s">
        <v>5381</v>
      </c>
      <c r="I2030" s="81" t="s">
        <v>973</v>
      </c>
      <c r="J2030" s="81" t="s">
        <v>224</v>
      </c>
    </row>
    <row r="2031" hidden="1">
      <c r="A2031" s="83" t="s">
        <v>6317</v>
      </c>
      <c r="B2031" s="83" t="s">
        <v>6318</v>
      </c>
      <c r="C2031" s="81" t="s">
        <v>4086</v>
      </c>
      <c r="D2031" s="83" t="s">
        <v>4248</v>
      </c>
      <c r="E2031" s="81" t="s">
        <v>972</v>
      </c>
      <c r="F2031" s="84">
        <v>178.0</v>
      </c>
      <c r="G2031" s="81" t="s">
        <v>40</v>
      </c>
      <c r="H2031" s="81" t="s">
        <v>5382</v>
      </c>
      <c r="I2031" s="81" t="s">
        <v>974</v>
      </c>
      <c r="J2031" s="81" t="s">
        <v>224</v>
      </c>
    </row>
    <row r="2032" hidden="1">
      <c r="A2032" s="83" t="s">
        <v>6317</v>
      </c>
      <c r="B2032" s="83" t="s">
        <v>6318</v>
      </c>
      <c r="C2032" s="81" t="s">
        <v>4086</v>
      </c>
      <c r="D2032" s="83" t="s">
        <v>4249</v>
      </c>
      <c r="E2032" s="81" t="s">
        <v>975</v>
      </c>
      <c r="F2032" s="84">
        <v>179.0</v>
      </c>
      <c r="G2032" s="81" t="s">
        <v>39</v>
      </c>
      <c r="H2032" s="81" t="s">
        <v>5383</v>
      </c>
      <c r="I2032" s="81" t="s">
        <v>977</v>
      </c>
      <c r="J2032" s="81" t="s">
        <v>224</v>
      </c>
    </row>
    <row r="2033" hidden="1">
      <c r="A2033" s="83" t="s">
        <v>6317</v>
      </c>
      <c r="B2033" s="83" t="s">
        <v>6318</v>
      </c>
      <c r="C2033" s="81" t="s">
        <v>4086</v>
      </c>
      <c r="D2033" s="83" t="s">
        <v>4249</v>
      </c>
      <c r="E2033" s="81" t="s">
        <v>975</v>
      </c>
      <c r="F2033" s="84">
        <v>179.0</v>
      </c>
      <c r="G2033" s="81" t="s">
        <v>40</v>
      </c>
      <c r="H2033" s="81" t="s">
        <v>5384</v>
      </c>
      <c r="I2033" s="81" t="s">
        <v>978</v>
      </c>
      <c r="J2033" s="81" t="s">
        <v>224</v>
      </c>
    </row>
    <row r="2034" hidden="1">
      <c r="A2034" s="83" t="s">
        <v>6317</v>
      </c>
      <c r="B2034" s="83" t="s">
        <v>6318</v>
      </c>
      <c r="C2034" s="81" t="s">
        <v>4086</v>
      </c>
      <c r="D2034" s="83" t="s">
        <v>4249</v>
      </c>
      <c r="E2034" s="81" t="s">
        <v>981</v>
      </c>
      <c r="F2034" s="84">
        <v>180.0</v>
      </c>
      <c r="G2034" s="81" t="s">
        <v>39</v>
      </c>
      <c r="H2034" s="81" t="s">
        <v>5383</v>
      </c>
      <c r="I2034" s="81" t="s">
        <v>977</v>
      </c>
      <c r="J2034" s="81" t="s">
        <v>224</v>
      </c>
    </row>
    <row r="2035" hidden="1">
      <c r="A2035" s="83" t="s">
        <v>6317</v>
      </c>
      <c r="B2035" s="83" t="s">
        <v>6318</v>
      </c>
      <c r="C2035" s="81" t="s">
        <v>4086</v>
      </c>
      <c r="D2035" s="83" t="s">
        <v>4249</v>
      </c>
      <c r="E2035" s="81" t="s">
        <v>981</v>
      </c>
      <c r="F2035" s="84">
        <v>180.0</v>
      </c>
      <c r="G2035" s="81" t="s">
        <v>40</v>
      </c>
      <c r="H2035" s="81" t="s">
        <v>5384</v>
      </c>
      <c r="I2035" s="81" t="s">
        <v>978</v>
      </c>
      <c r="J2035" s="81" t="s">
        <v>224</v>
      </c>
    </row>
    <row r="2036" hidden="1">
      <c r="A2036" s="83" t="s">
        <v>6317</v>
      </c>
      <c r="B2036" s="83" t="s">
        <v>6318</v>
      </c>
      <c r="C2036" s="81" t="s">
        <v>4086</v>
      </c>
      <c r="D2036" s="83" t="s">
        <v>4250</v>
      </c>
      <c r="E2036" s="81" t="s">
        <v>982</v>
      </c>
      <c r="F2036" s="84">
        <v>181.0</v>
      </c>
      <c r="G2036" s="81" t="s">
        <v>40</v>
      </c>
      <c r="H2036" s="81" t="s">
        <v>5385</v>
      </c>
      <c r="I2036" s="81" t="s">
        <v>984</v>
      </c>
      <c r="J2036" s="81" t="s">
        <v>224</v>
      </c>
    </row>
    <row r="2037" hidden="1">
      <c r="A2037" s="83" t="s">
        <v>6317</v>
      </c>
      <c r="B2037" s="83" t="s">
        <v>6318</v>
      </c>
      <c r="C2037" s="81" t="s">
        <v>4086</v>
      </c>
      <c r="D2037" s="83" t="s">
        <v>4251</v>
      </c>
      <c r="E2037" s="81" t="s">
        <v>985</v>
      </c>
      <c r="F2037" s="84">
        <v>182.0</v>
      </c>
      <c r="G2037" s="81" t="s">
        <v>39</v>
      </c>
      <c r="H2037" s="81" t="s">
        <v>5386</v>
      </c>
      <c r="I2037" s="81" t="s">
        <v>987</v>
      </c>
      <c r="J2037" s="81" t="s">
        <v>224</v>
      </c>
    </row>
    <row r="2038" hidden="1">
      <c r="A2038" s="83" t="s">
        <v>6317</v>
      </c>
      <c r="B2038" s="83" t="s">
        <v>6318</v>
      </c>
      <c r="C2038" s="81" t="s">
        <v>4086</v>
      </c>
      <c r="D2038" s="83" t="s">
        <v>4251</v>
      </c>
      <c r="E2038" s="81" t="s">
        <v>985</v>
      </c>
      <c r="F2038" s="84">
        <v>182.0</v>
      </c>
      <c r="G2038" s="81" t="s">
        <v>40</v>
      </c>
      <c r="H2038" s="81" t="s">
        <v>5387</v>
      </c>
      <c r="I2038" s="81" t="s">
        <v>988</v>
      </c>
      <c r="J2038" s="81" t="s">
        <v>224</v>
      </c>
    </row>
    <row r="2039" hidden="1">
      <c r="A2039" s="83" t="s">
        <v>6317</v>
      </c>
      <c r="B2039" s="83" t="s">
        <v>6318</v>
      </c>
      <c r="C2039" s="81" t="s">
        <v>4086</v>
      </c>
      <c r="D2039" s="83" t="s">
        <v>4251</v>
      </c>
      <c r="E2039" s="81" t="s">
        <v>991</v>
      </c>
      <c r="F2039" s="84">
        <v>183.0</v>
      </c>
      <c r="G2039" s="81" t="s">
        <v>40</v>
      </c>
      <c r="H2039" s="81" t="s">
        <v>5388</v>
      </c>
      <c r="I2039" s="81" t="s">
        <v>988</v>
      </c>
      <c r="J2039" s="81" t="s">
        <v>224</v>
      </c>
    </row>
    <row r="2040" hidden="1">
      <c r="A2040" s="83" t="s">
        <v>6317</v>
      </c>
      <c r="B2040" s="83" t="s">
        <v>6318</v>
      </c>
      <c r="C2040" s="81" t="s">
        <v>4086</v>
      </c>
      <c r="D2040" s="83" t="s">
        <v>4252</v>
      </c>
      <c r="E2040" s="81" t="s">
        <v>992</v>
      </c>
      <c r="F2040" s="84">
        <v>184.0</v>
      </c>
      <c r="G2040" s="81" t="s">
        <v>40</v>
      </c>
      <c r="H2040" s="81" t="s">
        <v>5389</v>
      </c>
      <c r="I2040" s="81" t="s">
        <v>994</v>
      </c>
      <c r="J2040" s="81" t="s">
        <v>224</v>
      </c>
    </row>
    <row r="2041" hidden="1">
      <c r="A2041" s="83" t="s">
        <v>6317</v>
      </c>
      <c r="B2041" s="83" t="s">
        <v>6318</v>
      </c>
      <c r="C2041" s="81" t="s">
        <v>4086</v>
      </c>
      <c r="D2041" s="83" t="s">
        <v>4253</v>
      </c>
      <c r="E2041" s="81" t="s">
        <v>995</v>
      </c>
      <c r="F2041" s="84">
        <v>185.0</v>
      </c>
      <c r="G2041" s="81" t="s">
        <v>39</v>
      </c>
      <c r="H2041" s="81" t="s">
        <v>5390</v>
      </c>
      <c r="I2041" s="81" t="s">
        <v>997</v>
      </c>
      <c r="J2041" s="81" t="s">
        <v>224</v>
      </c>
    </row>
    <row r="2042" hidden="1">
      <c r="A2042" s="83" t="s">
        <v>6317</v>
      </c>
      <c r="B2042" s="83" t="s">
        <v>6318</v>
      </c>
      <c r="C2042" s="81" t="s">
        <v>4086</v>
      </c>
      <c r="D2042" s="83" t="s">
        <v>4253</v>
      </c>
      <c r="E2042" s="81" t="s">
        <v>995</v>
      </c>
      <c r="F2042" s="84">
        <v>185.0</v>
      </c>
      <c r="G2042" s="81" t="s">
        <v>40</v>
      </c>
      <c r="H2042" s="81" t="s">
        <v>5391</v>
      </c>
      <c r="I2042" s="81" t="s">
        <v>998</v>
      </c>
      <c r="J2042" s="81" t="s">
        <v>224</v>
      </c>
    </row>
    <row r="2043" hidden="1">
      <c r="A2043" s="83" t="s">
        <v>6317</v>
      </c>
      <c r="B2043" s="83" t="s">
        <v>6318</v>
      </c>
      <c r="C2043" s="81" t="s">
        <v>4086</v>
      </c>
      <c r="D2043" s="83" t="s">
        <v>4253</v>
      </c>
      <c r="E2043" s="81" t="s">
        <v>1001</v>
      </c>
      <c r="F2043" s="84">
        <v>186.0</v>
      </c>
      <c r="G2043" s="81" t="s">
        <v>39</v>
      </c>
      <c r="H2043" s="81" t="s">
        <v>5390</v>
      </c>
      <c r="I2043" s="81" t="s">
        <v>997</v>
      </c>
      <c r="J2043" s="81" t="s">
        <v>224</v>
      </c>
    </row>
    <row r="2044" hidden="1">
      <c r="A2044" s="83" t="s">
        <v>6317</v>
      </c>
      <c r="B2044" s="83" t="s">
        <v>6318</v>
      </c>
      <c r="C2044" s="81" t="s">
        <v>4086</v>
      </c>
      <c r="D2044" s="83" t="s">
        <v>4253</v>
      </c>
      <c r="E2044" s="81" t="s">
        <v>1001</v>
      </c>
      <c r="F2044" s="84">
        <v>186.0</v>
      </c>
      <c r="G2044" s="81" t="s">
        <v>40</v>
      </c>
      <c r="H2044" s="81" t="s">
        <v>5391</v>
      </c>
      <c r="I2044" s="81" t="s">
        <v>998</v>
      </c>
      <c r="J2044" s="81" t="s">
        <v>224</v>
      </c>
    </row>
    <row r="2045" hidden="1">
      <c r="A2045" s="83" t="s">
        <v>6317</v>
      </c>
      <c r="B2045" s="83" t="s">
        <v>6318</v>
      </c>
      <c r="C2045" s="81" t="s">
        <v>4086</v>
      </c>
      <c r="D2045" s="83" t="s">
        <v>4254</v>
      </c>
      <c r="E2045" s="81" t="s">
        <v>1002</v>
      </c>
      <c r="F2045" s="84">
        <v>187.0</v>
      </c>
      <c r="G2045" s="81" t="s">
        <v>39</v>
      </c>
      <c r="H2045" s="81" t="s">
        <v>5392</v>
      </c>
      <c r="I2045" s="81" t="s">
        <v>1003</v>
      </c>
      <c r="J2045" s="81" t="s">
        <v>224</v>
      </c>
    </row>
    <row r="2046" hidden="1">
      <c r="A2046" s="83" t="s">
        <v>6317</v>
      </c>
      <c r="B2046" s="83" t="s">
        <v>6318</v>
      </c>
      <c r="C2046" s="81" t="s">
        <v>4086</v>
      </c>
      <c r="D2046" s="83" t="s">
        <v>4254</v>
      </c>
      <c r="E2046" s="81" t="s">
        <v>1002</v>
      </c>
      <c r="F2046" s="84">
        <v>187.0</v>
      </c>
      <c r="G2046" s="81" t="s">
        <v>40</v>
      </c>
      <c r="H2046" s="81" t="s">
        <v>5393</v>
      </c>
      <c r="I2046" s="81" t="s">
        <v>1004</v>
      </c>
      <c r="J2046" s="81" t="s">
        <v>224</v>
      </c>
    </row>
    <row r="2047" hidden="1">
      <c r="A2047" s="83" t="s">
        <v>6317</v>
      </c>
      <c r="B2047" s="83" t="s">
        <v>6318</v>
      </c>
      <c r="C2047" s="81" t="s">
        <v>4086</v>
      </c>
      <c r="D2047" s="83" t="s">
        <v>4255</v>
      </c>
      <c r="E2047" s="81" t="s">
        <v>1005</v>
      </c>
      <c r="F2047" s="84">
        <v>188.0</v>
      </c>
      <c r="G2047" s="81" t="s">
        <v>39</v>
      </c>
      <c r="H2047" s="81" t="s">
        <v>5394</v>
      </c>
      <c r="I2047" s="81" t="s">
        <v>1007</v>
      </c>
      <c r="J2047" s="81" t="s">
        <v>224</v>
      </c>
    </row>
    <row r="2048" hidden="1">
      <c r="A2048" s="83" t="s">
        <v>6317</v>
      </c>
      <c r="B2048" s="83" t="s">
        <v>6318</v>
      </c>
      <c r="C2048" s="81" t="s">
        <v>4086</v>
      </c>
      <c r="D2048" s="83" t="s">
        <v>4255</v>
      </c>
      <c r="E2048" s="81" t="s">
        <v>1005</v>
      </c>
      <c r="F2048" s="84">
        <v>188.0</v>
      </c>
      <c r="G2048" s="81" t="s">
        <v>40</v>
      </c>
      <c r="H2048" s="81" t="s">
        <v>5395</v>
      </c>
      <c r="I2048" s="81" t="s">
        <v>1008</v>
      </c>
      <c r="J2048" s="81" t="s">
        <v>224</v>
      </c>
    </row>
    <row r="2049" hidden="1">
      <c r="A2049" s="83" t="s">
        <v>6317</v>
      </c>
      <c r="B2049" s="83" t="s">
        <v>6318</v>
      </c>
      <c r="C2049" s="81" t="s">
        <v>4086</v>
      </c>
      <c r="D2049" s="83" t="s">
        <v>4255</v>
      </c>
      <c r="E2049" s="81" t="s">
        <v>1011</v>
      </c>
      <c r="F2049" s="84">
        <v>189.0</v>
      </c>
      <c r="G2049" s="81" t="s">
        <v>39</v>
      </c>
      <c r="H2049" s="81" t="s">
        <v>5394</v>
      </c>
      <c r="I2049" s="81" t="s">
        <v>1007</v>
      </c>
      <c r="J2049" s="81" t="s">
        <v>224</v>
      </c>
    </row>
    <row r="2050" hidden="1">
      <c r="A2050" s="83" t="s">
        <v>6317</v>
      </c>
      <c r="B2050" s="83" t="s">
        <v>6318</v>
      </c>
      <c r="C2050" s="81" t="s">
        <v>4086</v>
      </c>
      <c r="D2050" s="83" t="s">
        <v>4255</v>
      </c>
      <c r="E2050" s="81" t="s">
        <v>1011</v>
      </c>
      <c r="F2050" s="84">
        <v>189.0</v>
      </c>
      <c r="G2050" s="81" t="s">
        <v>40</v>
      </c>
      <c r="H2050" s="81" t="s">
        <v>5395</v>
      </c>
      <c r="I2050" s="81" t="s">
        <v>1008</v>
      </c>
      <c r="J2050" s="81" t="s">
        <v>224</v>
      </c>
    </row>
    <row r="2051" hidden="1">
      <c r="A2051" s="83" t="s">
        <v>6317</v>
      </c>
      <c r="B2051" s="83" t="s">
        <v>6318</v>
      </c>
      <c r="C2051" s="81" t="s">
        <v>4086</v>
      </c>
      <c r="D2051" s="83" t="s">
        <v>4256</v>
      </c>
      <c r="E2051" s="81" t="s">
        <v>1012</v>
      </c>
      <c r="F2051" s="84">
        <v>190.0</v>
      </c>
      <c r="G2051" s="81" t="s">
        <v>39</v>
      </c>
      <c r="H2051" s="81" t="s">
        <v>5396</v>
      </c>
      <c r="I2051" s="81" t="s">
        <v>1013</v>
      </c>
      <c r="J2051" s="81" t="s">
        <v>224</v>
      </c>
    </row>
    <row r="2052" hidden="1">
      <c r="A2052" s="83" t="s">
        <v>6317</v>
      </c>
      <c r="B2052" s="83" t="s">
        <v>6318</v>
      </c>
      <c r="C2052" s="81" t="s">
        <v>4086</v>
      </c>
      <c r="D2052" s="83" t="s">
        <v>4256</v>
      </c>
      <c r="E2052" s="81" t="s">
        <v>1012</v>
      </c>
      <c r="F2052" s="84">
        <v>190.0</v>
      </c>
      <c r="G2052" s="81" t="s">
        <v>40</v>
      </c>
      <c r="H2052" s="81" t="s">
        <v>5397</v>
      </c>
      <c r="I2052" s="81" t="s">
        <v>1014</v>
      </c>
      <c r="J2052" s="81" t="s">
        <v>224</v>
      </c>
    </row>
    <row r="2053" hidden="1">
      <c r="A2053" s="83" t="s">
        <v>6317</v>
      </c>
      <c r="B2053" s="83" t="s">
        <v>6318</v>
      </c>
      <c r="C2053" s="81" t="s">
        <v>4086</v>
      </c>
      <c r="D2053" s="83" t="s">
        <v>4257</v>
      </c>
      <c r="E2053" s="81" t="s">
        <v>1015</v>
      </c>
      <c r="F2053" s="84">
        <v>191.0</v>
      </c>
      <c r="G2053" s="81" t="s">
        <v>39</v>
      </c>
      <c r="H2053" s="81" t="s">
        <v>5398</v>
      </c>
      <c r="I2053" s="81" t="s">
        <v>5399</v>
      </c>
      <c r="J2053" s="81" t="s">
        <v>224</v>
      </c>
    </row>
    <row r="2054" hidden="1">
      <c r="A2054" s="83" t="s">
        <v>6317</v>
      </c>
      <c r="B2054" s="83" t="s">
        <v>6318</v>
      </c>
      <c r="C2054" s="81" t="s">
        <v>4086</v>
      </c>
      <c r="D2054" s="83" t="s">
        <v>4257</v>
      </c>
      <c r="E2054" s="81" t="s">
        <v>1015</v>
      </c>
      <c r="F2054" s="84">
        <v>191.0</v>
      </c>
      <c r="G2054" s="81" t="s">
        <v>40</v>
      </c>
      <c r="H2054" s="81" t="s">
        <v>5400</v>
      </c>
      <c r="I2054" s="81" t="s">
        <v>5401</v>
      </c>
      <c r="J2054" s="81" t="s">
        <v>224</v>
      </c>
    </row>
    <row r="2055" hidden="1">
      <c r="A2055" s="83" t="s">
        <v>6317</v>
      </c>
      <c r="B2055" s="83" t="s">
        <v>6318</v>
      </c>
      <c r="C2055" s="81" t="s">
        <v>4086</v>
      </c>
      <c r="D2055" s="83" t="s">
        <v>4257</v>
      </c>
      <c r="E2055" s="81" t="s">
        <v>1025</v>
      </c>
      <c r="F2055" s="84">
        <v>192.0</v>
      </c>
      <c r="G2055" s="81" t="s">
        <v>39</v>
      </c>
      <c r="H2055" s="81" t="s">
        <v>5402</v>
      </c>
      <c r="I2055" s="81" t="s">
        <v>5399</v>
      </c>
      <c r="J2055" s="81" t="s">
        <v>224</v>
      </c>
    </row>
    <row r="2056" hidden="1">
      <c r="A2056" s="83" t="s">
        <v>6317</v>
      </c>
      <c r="B2056" s="83" t="s">
        <v>6318</v>
      </c>
      <c r="C2056" s="81" t="s">
        <v>4086</v>
      </c>
      <c r="D2056" s="83" t="s">
        <v>4257</v>
      </c>
      <c r="E2056" s="81" t="s">
        <v>1025</v>
      </c>
      <c r="F2056" s="84">
        <v>192.0</v>
      </c>
      <c r="G2056" s="81" t="s">
        <v>40</v>
      </c>
      <c r="H2056" s="81" t="s">
        <v>5403</v>
      </c>
      <c r="I2056" s="81" t="s">
        <v>5401</v>
      </c>
      <c r="J2056" s="81" t="s">
        <v>224</v>
      </c>
    </row>
    <row r="2057" hidden="1">
      <c r="A2057" s="83" t="s">
        <v>6317</v>
      </c>
      <c r="B2057" s="83" t="s">
        <v>6318</v>
      </c>
      <c r="C2057" s="81" t="s">
        <v>4086</v>
      </c>
      <c r="D2057" s="83" t="s">
        <v>4260</v>
      </c>
      <c r="E2057" s="81" t="s">
        <v>1028</v>
      </c>
      <c r="F2057" s="84">
        <v>193.0</v>
      </c>
      <c r="G2057" s="81" t="s">
        <v>39</v>
      </c>
      <c r="H2057" s="81" t="s">
        <v>5404</v>
      </c>
      <c r="I2057" s="81" t="s">
        <v>5405</v>
      </c>
      <c r="J2057" s="81" t="s">
        <v>224</v>
      </c>
    </row>
    <row r="2058" hidden="1">
      <c r="A2058" s="83" t="s">
        <v>6317</v>
      </c>
      <c r="B2058" s="83" t="s">
        <v>6318</v>
      </c>
      <c r="C2058" s="81" t="s">
        <v>4086</v>
      </c>
      <c r="D2058" s="83" t="s">
        <v>4260</v>
      </c>
      <c r="E2058" s="81" t="s">
        <v>1028</v>
      </c>
      <c r="F2058" s="84">
        <v>193.0</v>
      </c>
      <c r="G2058" s="81" t="s">
        <v>40</v>
      </c>
      <c r="H2058" s="81" t="s">
        <v>5406</v>
      </c>
      <c r="I2058" s="81" t="s">
        <v>5407</v>
      </c>
      <c r="J2058" s="81" t="s">
        <v>224</v>
      </c>
    </row>
    <row r="2059" hidden="1">
      <c r="A2059" s="83" t="s">
        <v>6317</v>
      </c>
      <c r="B2059" s="83" t="s">
        <v>6318</v>
      </c>
      <c r="C2059" s="81" t="s">
        <v>4086</v>
      </c>
      <c r="D2059" s="83" t="s">
        <v>4261</v>
      </c>
      <c r="E2059" s="81" t="s">
        <v>1032</v>
      </c>
      <c r="F2059" s="84">
        <v>194.0</v>
      </c>
      <c r="G2059" s="81" t="s">
        <v>40</v>
      </c>
      <c r="H2059" s="81" t="s">
        <v>5408</v>
      </c>
      <c r="I2059" s="81" t="s">
        <v>5409</v>
      </c>
      <c r="J2059" s="81" t="s">
        <v>224</v>
      </c>
    </row>
    <row r="2060" hidden="1">
      <c r="A2060" s="83" t="s">
        <v>6317</v>
      </c>
      <c r="B2060" s="83" t="s">
        <v>6318</v>
      </c>
      <c r="C2060" s="81" t="s">
        <v>4086</v>
      </c>
      <c r="D2060" s="83" t="s">
        <v>4263</v>
      </c>
      <c r="E2060" s="81" t="s">
        <v>1036</v>
      </c>
      <c r="F2060" s="84">
        <v>195.0</v>
      </c>
      <c r="G2060" s="81" t="s">
        <v>39</v>
      </c>
      <c r="H2060" s="81" t="s">
        <v>5410</v>
      </c>
      <c r="I2060" s="81" t="s">
        <v>5411</v>
      </c>
      <c r="J2060" s="81" t="s">
        <v>224</v>
      </c>
    </row>
    <row r="2061" hidden="1">
      <c r="A2061" s="83" t="s">
        <v>6317</v>
      </c>
      <c r="B2061" s="83" t="s">
        <v>6318</v>
      </c>
      <c r="C2061" s="81" t="s">
        <v>4086</v>
      </c>
      <c r="D2061" s="83" t="s">
        <v>4263</v>
      </c>
      <c r="E2061" s="81" t="s">
        <v>1036</v>
      </c>
      <c r="F2061" s="84">
        <v>195.0</v>
      </c>
      <c r="G2061" s="81" t="s">
        <v>40</v>
      </c>
      <c r="H2061" s="81" t="s">
        <v>5412</v>
      </c>
      <c r="I2061" s="81" t="s">
        <v>5413</v>
      </c>
      <c r="J2061" s="81" t="s">
        <v>224</v>
      </c>
    </row>
    <row r="2062" hidden="1">
      <c r="A2062" s="83" t="s">
        <v>6317</v>
      </c>
      <c r="B2062" s="83" t="s">
        <v>6318</v>
      </c>
      <c r="C2062" s="81" t="s">
        <v>4086</v>
      </c>
      <c r="D2062" s="83" t="s">
        <v>4264</v>
      </c>
      <c r="E2062" s="81" t="s">
        <v>1037</v>
      </c>
      <c r="F2062" s="84">
        <v>196.0</v>
      </c>
      <c r="G2062" s="81" t="s">
        <v>40</v>
      </c>
      <c r="H2062" s="81" t="s">
        <v>5414</v>
      </c>
      <c r="I2062" s="81" t="s">
        <v>5415</v>
      </c>
      <c r="J2062" s="81" t="s">
        <v>224</v>
      </c>
    </row>
    <row r="2063" hidden="1">
      <c r="A2063" s="83" t="s">
        <v>6317</v>
      </c>
      <c r="B2063" s="83" t="s">
        <v>6318</v>
      </c>
      <c r="C2063" s="81" t="s">
        <v>4086</v>
      </c>
      <c r="D2063" s="83" t="s">
        <v>4266</v>
      </c>
      <c r="E2063" s="81" t="s">
        <v>1041</v>
      </c>
      <c r="F2063" s="84">
        <v>197.0</v>
      </c>
      <c r="G2063" s="81" t="s">
        <v>40</v>
      </c>
      <c r="H2063" s="81" t="s">
        <v>5416</v>
      </c>
      <c r="I2063" s="81" t="s">
        <v>5417</v>
      </c>
      <c r="J2063" s="81" t="s">
        <v>224</v>
      </c>
    </row>
    <row r="2064" hidden="1">
      <c r="A2064" s="83" t="s">
        <v>6317</v>
      </c>
      <c r="B2064" s="83" t="s">
        <v>6318</v>
      </c>
      <c r="C2064" s="81" t="s">
        <v>4086</v>
      </c>
      <c r="D2064" s="83" t="s">
        <v>4267</v>
      </c>
      <c r="E2064" s="81" t="s">
        <v>1042</v>
      </c>
      <c r="F2064" s="84">
        <v>198.0</v>
      </c>
      <c r="G2064" s="81" t="s">
        <v>39</v>
      </c>
      <c r="H2064" s="81" t="s">
        <v>5418</v>
      </c>
      <c r="I2064" s="81" t="s">
        <v>1045</v>
      </c>
      <c r="J2064" s="81" t="s">
        <v>224</v>
      </c>
    </row>
    <row r="2065" hidden="1">
      <c r="A2065" s="83" t="s">
        <v>6317</v>
      </c>
      <c r="B2065" s="83" t="s">
        <v>6318</v>
      </c>
      <c r="C2065" s="81" t="s">
        <v>4086</v>
      </c>
      <c r="D2065" s="83" t="s">
        <v>4267</v>
      </c>
      <c r="E2065" s="81" t="s">
        <v>1042</v>
      </c>
      <c r="F2065" s="84">
        <v>198.0</v>
      </c>
      <c r="G2065" s="81" t="s">
        <v>40</v>
      </c>
      <c r="H2065" s="81" t="s">
        <v>5419</v>
      </c>
      <c r="I2065" s="81" t="s">
        <v>1046</v>
      </c>
      <c r="J2065" s="81" t="s">
        <v>224</v>
      </c>
    </row>
    <row r="2066" hidden="1">
      <c r="A2066" s="83" t="s">
        <v>6317</v>
      </c>
      <c r="B2066" s="83" t="s">
        <v>6318</v>
      </c>
      <c r="C2066" s="81" t="s">
        <v>4086</v>
      </c>
      <c r="D2066" s="83" t="s">
        <v>4267</v>
      </c>
      <c r="E2066" s="81" t="s">
        <v>1050</v>
      </c>
      <c r="F2066" s="84">
        <v>199.0</v>
      </c>
      <c r="G2066" s="81" t="s">
        <v>40</v>
      </c>
      <c r="H2066" s="81" t="s">
        <v>5420</v>
      </c>
      <c r="I2066" s="81" t="s">
        <v>1046</v>
      </c>
      <c r="J2066" s="81" t="s">
        <v>224</v>
      </c>
    </row>
    <row r="2067" hidden="1">
      <c r="A2067" s="83" t="s">
        <v>6317</v>
      </c>
      <c r="B2067" s="83" t="s">
        <v>6318</v>
      </c>
      <c r="C2067" s="81" t="s">
        <v>4086</v>
      </c>
      <c r="D2067" s="83" t="s">
        <v>4268</v>
      </c>
      <c r="E2067" s="81" t="s">
        <v>1052</v>
      </c>
      <c r="F2067" s="84">
        <v>200.0</v>
      </c>
      <c r="G2067" s="81" t="s">
        <v>39</v>
      </c>
      <c r="H2067" s="81" t="s">
        <v>5421</v>
      </c>
      <c r="I2067" s="81" t="s">
        <v>1053</v>
      </c>
      <c r="J2067" s="81" t="s">
        <v>224</v>
      </c>
    </row>
    <row r="2068" hidden="1">
      <c r="A2068" s="83" t="s">
        <v>6317</v>
      </c>
      <c r="B2068" s="83" t="s">
        <v>6318</v>
      </c>
      <c r="C2068" s="81" t="s">
        <v>4086</v>
      </c>
      <c r="D2068" s="83" t="s">
        <v>4268</v>
      </c>
      <c r="E2068" s="81" t="s">
        <v>1052</v>
      </c>
      <c r="F2068" s="84">
        <v>200.0</v>
      </c>
      <c r="G2068" s="81" t="s">
        <v>40</v>
      </c>
      <c r="H2068" s="81" t="s">
        <v>5422</v>
      </c>
      <c r="I2068" s="81" t="s">
        <v>1054</v>
      </c>
      <c r="J2068" s="81" t="s">
        <v>224</v>
      </c>
    </row>
    <row r="2069" hidden="1">
      <c r="A2069" s="83" t="s">
        <v>6317</v>
      </c>
      <c r="B2069" s="83" t="s">
        <v>6318</v>
      </c>
      <c r="C2069" s="81" t="s">
        <v>4086</v>
      </c>
      <c r="D2069" s="83" t="s">
        <v>4269</v>
      </c>
      <c r="E2069" s="81" t="s">
        <v>1055</v>
      </c>
      <c r="F2069" s="84">
        <v>201.0</v>
      </c>
      <c r="G2069" s="81" t="s">
        <v>39</v>
      </c>
      <c r="H2069" s="81" t="s">
        <v>5423</v>
      </c>
      <c r="I2069" s="81" t="s">
        <v>1057</v>
      </c>
      <c r="J2069" s="81" t="s">
        <v>224</v>
      </c>
    </row>
    <row r="2070" hidden="1">
      <c r="A2070" s="83" t="s">
        <v>6317</v>
      </c>
      <c r="B2070" s="83" t="s">
        <v>6318</v>
      </c>
      <c r="C2070" s="81" t="s">
        <v>4086</v>
      </c>
      <c r="D2070" s="83" t="s">
        <v>4269</v>
      </c>
      <c r="E2070" s="81" t="s">
        <v>1055</v>
      </c>
      <c r="F2070" s="84">
        <v>201.0</v>
      </c>
      <c r="G2070" s="81" t="s">
        <v>40</v>
      </c>
      <c r="H2070" s="81" t="s">
        <v>5424</v>
      </c>
      <c r="I2070" s="81" t="s">
        <v>1058</v>
      </c>
      <c r="J2070" s="81" t="s">
        <v>224</v>
      </c>
    </row>
    <row r="2071" hidden="1">
      <c r="A2071" s="83" t="s">
        <v>6317</v>
      </c>
      <c r="B2071" s="83" t="s">
        <v>6318</v>
      </c>
      <c r="C2071" s="81" t="s">
        <v>4086</v>
      </c>
      <c r="D2071" s="83" t="s">
        <v>4269</v>
      </c>
      <c r="E2071" s="81" t="s">
        <v>1060</v>
      </c>
      <c r="F2071" s="84">
        <v>202.0</v>
      </c>
      <c r="G2071" s="81" t="s">
        <v>39</v>
      </c>
      <c r="H2071" s="81" t="s">
        <v>5423</v>
      </c>
      <c r="I2071" s="81" t="s">
        <v>1057</v>
      </c>
      <c r="J2071" s="81" t="s">
        <v>224</v>
      </c>
    </row>
    <row r="2072" hidden="1">
      <c r="A2072" s="83" t="s">
        <v>6317</v>
      </c>
      <c r="B2072" s="83" t="s">
        <v>6318</v>
      </c>
      <c r="C2072" s="81" t="s">
        <v>4086</v>
      </c>
      <c r="D2072" s="83" t="s">
        <v>4269</v>
      </c>
      <c r="E2072" s="81" t="s">
        <v>1060</v>
      </c>
      <c r="F2072" s="84">
        <v>202.0</v>
      </c>
      <c r="G2072" s="81" t="s">
        <v>40</v>
      </c>
      <c r="H2072" s="81" t="s">
        <v>5424</v>
      </c>
      <c r="I2072" s="81" t="s">
        <v>1058</v>
      </c>
      <c r="J2072" s="81" t="s">
        <v>224</v>
      </c>
    </row>
    <row r="2073" hidden="1">
      <c r="A2073" s="83" t="s">
        <v>6317</v>
      </c>
      <c r="B2073" s="83" t="s">
        <v>6318</v>
      </c>
      <c r="C2073" s="81" t="s">
        <v>4086</v>
      </c>
      <c r="D2073" s="83" t="s">
        <v>4270</v>
      </c>
      <c r="E2073" s="81" t="s">
        <v>1062</v>
      </c>
      <c r="F2073" s="84">
        <v>203.0</v>
      </c>
      <c r="G2073" s="81" t="s">
        <v>39</v>
      </c>
      <c r="H2073" s="81" t="s">
        <v>5425</v>
      </c>
      <c r="I2073" s="81" t="s">
        <v>1063</v>
      </c>
      <c r="J2073" s="81" t="s">
        <v>224</v>
      </c>
    </row>
    <row r="2074" hidden="1">
      <c r="A2074" s="83" t="s">
        <v>6317</v>
      </c>
      <c r="B2074" s="83" t="s">
        <v>6318</v>
      </c>
      <c r="C2074" s="81" t="s">
        <v>4086</v>
      </c>
      <c r="D2074" s="83" t="s">
        <v>4270</v>
      </c>
      <c r="E2074" s="81" t="s">
        <v>1062</v>
      </c>
      <c r="F2074" s="84">
        <v>203.0</v>
      </c>
      <c r="G2074" s="81" t="s">
        <v>40</v>
      </c>
      <c r="H2074" s="81" t="s">
        <v>5426</v>
      </c>
      <c r="I2074" s="81" t="s">
        <v>1064</v>
      </c>
      <c r="J2074" s="81" t="s">
        <v>224</v>
      </c>
    </row>
    <row r="2075" hidden="1">
      <c r="A2075" s="83" t="s">
        <v>6317</v>
      </c>
      <c r="B2075" s="83" t="s">
        <v>6318</v>
      </c>
      <c r="C2075" s="81" t="s">
        <v>4086</v>
      </c>
      <c r="D2075" s="83" t="s">
        <v>4271</v>
      </c>
      <c r="E2075" s="81" t="s">
        <v>1065</v>
      </c>
      <c r="F2075" s="84">
        <v>204.0</v>
      </c>
      <c r="G2075" s="81" t="s">
        <v>39</v>
      </c>
      <c r="H2075" s="81" t="s">
        <v>5427</v>
      </c>
      <c r="I2075" s="81" t="s">
        <v>1067</v>
      </c>
      <c r="J2075" s="81" t="s">
        <v>224</v>
      </c>
    </row>
    <row r="2076" hidden="1">
      <c r="A2076" s="83" t="s">
        <v>6317</v>
      </c>
      <c r="B2076" s="83" t="s">
        <v>6318</v>
      </c>
      <c r="C2076" s="81" t="s">
        <v>4086</v>
      </c>
      <c r="D2076" s="83" t="s">
        <v>4271</v>
      </c>
      <c r="E2076" s="81" t="s">
        <v>1065</v>
      </c>
      <c r="F2076" s="84">
        <v>204.0</v>
      </c>
      <c r="G2076" s="81" t="s">
        <v>40</v>
      </c>
      <c r="H2076" s="81" t="s">
        <v>5428</v>
      </c>
      <c r="I2076" s="81" t="s">
        <v>1068</v>
      </c>
      <c r="J2076" s="81" t="s">
        <v>224</v>
      </c>
    </row>
    <row r="2077" hidden="1">
      <c r="A2077" s="83" t="s">
        <v>6317</v>
      </c>
      <c r="B2077" s="83" t="s">
        <v>6318</v>
      </c>
      <c r="C2077" s="81" t="s">
        <v>4086</v>
      </c>
      <c r="D2077" s="83" t="s">
        <v>4271</v>
      </c>
      <c r="E2077" s="81" t="s">
        <v>1069</v>
      </c>
      <c r="F2077" s="84">
        <v>205.0</v>
      </c>
      <c r="G2077" s="81" t="s">
        <v>39</v>
      </c>
      <c r="H2077" s="81" t="s">
        <v>5427</v>
      </c>
      <c r="I2077" s="81" t="s">
        <v>1067</v>
      </c>
      <c r="J2077" s="81" t="s">
        <v>224</v>
      </c>
    </row>
    <row r="2078" hidden="1">
      <c r="A2078" s="83" t="s">
        <v>6317</v>
      </c>
      <c r="B2078" s="83" t="s">
        <v>6318</v>
      </c>
      <c r="C2078" s="81" t="s">
        <v>4086</v>
      </c>
      <c r="D2078" s="83" t="s">
        <v>4271</v>
      </c>
      <c r="E2078" s="81" t="s">
        <v>1069</v>
      </c>
      <c r="F2078" s="84">
        <v>205.0</v>
      </c>
      <c r="G2078" s="81" t="s">
        <v>40</v>
      </c>
      <c r="H2078" s="81" t="s">
        <v>5428</v>
      </c>
      <c r="I2078" s="81" t="s">
        <v>1068</v>
      </c>
      <c r="J2078" s="81" t="s">
        <v>224</v>
      </c>
    </row>
    <row r="2079" hidden="1">
      <c r="A2079" s="83" t="s">
        <v>6317</v>
      </c>
      <c r="B2079" s="83" t="s">
        <v>6318</v>
      </c>
      <c r="C2079" s="81" t="s">
        <v>4086</v>
      </c>
      <c r="D2079" s="83" t="s">
        <v>4272</v>
      </c>
      <c r="E2079" s="81" t="s">
        <v>1070</v>
      </c>
      <c r="F2079" s="84">
        <v>206.0</v>
      </c>
      <c r="G2079" s="81" t="s">
        <v>39</v>
      </c>
      <c r="H2079" s="81" t="s">
        <v>5429</v>
      </c>
      <c r="I2079" s="81" t="s">
        <v>1071</v>
      </c>
      <c r="J2079" s="81" t="s">
        <v>224</v>
      </c>
    </row>
    <row r="2080" hidden="1">
      <c r="A2080" s="83" t="s">
        <v>6317</v>
      </c>
      <c r="B2080" s="83" t="s">
        <v>6318</v>
      </c>
      <c r="C2080" s="81" t="s">
        <v>4086</v>
      </c>
      <c r="D2080" s="83" t="s">
        <v>4272</v>
      </c>
      <c r="E2080" s="81" t="s">
        <v>1070</v>
      </c>
      <c r="F2080" s="84">
        <v>206.0</v>
      </c>
      <c r="G2080" s="81" t="s">
        <v>40</v>
      </c>
      <c r="H2080" s="81" t="s">
        <v>5430</v>
      </c>
      <c r="I2080" s="81" t="s">
        <v>1072</v>
      </c>
      <c r="J2080" s="81" t="s">
        <v>224</v>
      </c>
    </row>
    <row r="2081" hidden="1">
      <c r="A2081" s="83" t="s">
        <v>6317</v>
      </c>
      <c r="B2081" s="83" t="s">
        <v>6318</v>
      </c>
      <c r="C2081" s="81" t="s">
        <v>4086</v>
      </c>
      <c r="D2081" s="83" t="s">
        <v>4273</v>
      </c>
      <c r="E2081" s="81" t="s">
        <v>1073</v>
      </c>
      <c r="F2081" s="84">
        <v>207.0</v>
      </c>
      <c r="G2081" s="81" t="s">
        <v>39</v>
      </c>
      <c r="H2081" s="81" t="s">
        <v>5431</v>
      </c>
      <c r="I2081" s="81" t="s">
        <v>1075</v>
      </c>
      <c r="J2081" s="81" t="s">
        <v>224</v>
      </c>
    </row>
    <row r="2082" hidden="1">
      <c r="A2082" s="83" t="s">
        <v>6317</v>
      </c>
      <c r="B2082" s="83" t="s">
        <v>6318</v>
      </c>
      <c r="C2082" s="81" t="s">
        <v>4086</v>
      </c>
      <c r="D2082" s="83" t="s">
        <v>4273</v>
      </c>
      <c r="E2082" s="81" t="s">
        <v>1073</v>
      </c>
      <c r="F2082" s="84">
        <v>207.0</v>
      </c>
      <c r="G2082" s="81" t="s">
        <v>40</v>
      </c>
      <c r="H2082" s="81" t="s">
        <v>5432</v>
      </c>
      <c r="I2082" s="81" t="s">
        <v>1076</v>
      </c>
      <c r="J2082" s="81" t="s">
        <v>224</v>
      </c>
    </row>
    <row r="2083" hidden="1">
      <c r="A2083" s="83" t="s">
        <v>6317</v>
      </c>
      <c r="B2083" s="83" t="s">
        <v>6318</v>
      </c>
      <c r="C2083" s="81" t="s">
        <v>4086</v>
      </c>
      <c r="D2083" s="83" t="s">
        <v>4273</v>
      </c>
      <c r="E2083" s="81" t="s">
        <v>1079</v>
      </c>
      <c r="F2083" s="84">
        <v>208.0</v>
      </c>
      <c r="G2083" s="81" t="s">
        <v>39</v>
      </c>
      <c r="H2083" s="81" t="s">
        <v>5431</v>
      </c>
      <c r="I2083" s="81" t="s">
        <v>1075</v>
      </c>
      <c r="J2083" s="81" t="s">
        <v>224</v>
      </c>
    </row>
    <row r="2084" hidden="1">
      <c r="A2084" s="83" t="s">
        <v>6317</v>
      </c>
      <c r="B2084" s="83" t="s">
        <v>6318</v>
      </c>
      <c r="C2084" s="81" t="s">
        <v>4086</v>
      </c>
      <c r="D2084" s="83" t="s">
        <v>4273</v>
      </c>
      <c r="E2084" s="81" t="s">
        <v>1079</v>
      </c>
      <c r="F2084" s="84">
        <v>208.0</v>
      </c>
      <c r="G2084" s="81" t="s">
        <v>40</v>
      </c>
      <c r="H2084" s="81" t="s">
        <v>5432</v>
      </c>
      <c r="I2084" s="81" t="s">
        <v>1076</v>
      </c>
      <c r="J2084" s="81" t="s">
        <v>224</v>
      </c>
    </row>
    <row r="2085" hidden="1">
      <c r="A2085" s="83" t="s">
        <v>6317</v>
      </c>
      <c r="B2085" s="83" t="s">
        <v>6318</v>
      </c>
      <c r="C2085" s="81" t="s">
        <v>4086</v>
      </c>
      <c r="D2085" s="83" t="s">
        <v>4274</v>
      </c>
      <c r="E2085" s="81" t="s">
        <v>1080</v>
      </c>
      <c r="F2085" s="84">
        <v>209.0</v>
      </c>
      <c r="G2085" s="81" t="s">
        <v>39</v>
      </c>
      <c r="H2085" s="81" t="s">
        <v>5433</v>
      </c>
      <c r="I2085" s="81" t="s">
        <v>1081</v>
      </c>
      <c r="J2085" s="81" t="s">
        <v>224</v>
      </c>
    </row>
    <row r="2086" hidden="1">
      <c r="A2086" s="83" t="s">
        <v>6317</v>
      </c>
      <c r="B2086" s="83" t="s">
        <v>6318</v>
      </c>
      <c r="C2086" s="81" t="s">
        <v>4086</v>
      </c>
      <c r="D2086" s="83" t="s">
        <v>4274</v>
      </c>
      <c r="E2086" s="81" t="s">
        <v>1080</v>
      </c>
      <c r="F2086" s="84">
        <v>209.0</v>
      </c>
      <c r="G2086" s="81" t="s">
        <v>40</v>
      </c>
      <c r="H2086" s="81" t="s">
        <v>5434</v>
      </c>
      <c r="I2086" s="81" t="s">
        <v>1082</v>
      </c>
      <c r="J2086" s="81" t="s">
        <v>224</v>
      </c>
    </row>
    <row r="2087" hidden="1">
      <c r="A2087" s="83" t="s">
        <v>6317</v>
      </c>
      <c r="B2087" s="83" t="s">
        <v>6318</v>
      </c>
      <c r="C2087" s="81" t="s">
        <v>4086</v>
      </c>
      <c r="D2087" s="83" t="s">
        <v>4275</v>
      </c>
      <c r="E2087" s="81" t="s">
        <v>1083</v>
      </c>
      <c r="F2087" s="84">
        <v>210.0</v>
      </c>
      <c r="G2087" s="81" t="s">
        <v>39</v>
      </c>
      <c r="H2087" s="81" t="s">
        <v>5435</v>
      </c>
      <c r="I2087" s="81" t="s">
        <v>1085</v>
      </c>
      <c r="J2087" s="81" t="s">
        <v>224</v>
      </c>
    </row>
    <row r="2088" hidden="1">
      <c r="A2088" s="83" t="s">
        <v>6317</v>
      </c>
      <c r="B2088" s="83" t="s">
        <v>6318</v>
      </c>
      <c r="C2088" s="81" t="s">
        <v>4086</v>
      </c>
      <c r="D2088" s="83" t="s">
        <v>4275</v>
      </c>
      <c r="E2088" s="81" t="s">
        <v>1083</v>
      </c>
      <c r="F2088" s="84">
        <v>210.0</v>
      </c>
      <c r="G2088" s="81" t="s">
        <v>40</v>
      </c>
      <c r="H2088" s="81" t="s">
        <v>5436</v>
      </c>
      <c r="I2088" s="81" t="s">
        <v>1086</v>
      </c>
      <c r="J2088" s="81" t="s">
        <v>224</v>
      </c>
    </row>
    <row r="2089" hidden="1">
      <c r="A2089" s="83" t="s">
        <v>6317</v>
      </c>
      <c r="B2089" s="83" t="s">
        <v>6318</v>
      </c>
      <c r="C2089" s="81" t="s">
        <v>4086</v>
      </c>
      <c r="D2089" s="83" t="s">
        <v>4275</v>
      </c>
      <c r="E2089" s="81" t="s">
        <v>1089</v>
      </c>
      <c r="F2089" s="84">
        <v>211.0</v>
      </c>
      <c r="G2089" s="81" t="s">
        <v>39</v>
      </c>
      <c r="H2089" s="81" t="s">
        <v>5435</v>
      </c>
      <c r="I2089" s="81" t="s">
        <v>1085</v>
      </c>
      <c r="J2089" s="81" t="s">
        <v>224</v>
      </c>
    </row>
    <row r="2090" hidden="1">
      <c r="A2090" s="83" t="s">
        <v>6317</v>
      </c>
      <c r="B2090" s="83" t="s">
        <v>6318</v>
      </c>
      <c r="C2090" s="81" t="s">
        <v>4086</v>
      </c>
      <c r="D2090" s="83" t="s">
        <v>4275</v>
      </c>
      <c r="E2090" s="81" t="s">
        <v>1089</v>
      </c>
      <c r="F2090" s="84">
        <v>211.0</v>
      </c>
      <c r="G2090" s="81" t="s">
        <v>40</v>
      </c>
      <c r="H2090" s="81" t="s">
        <v>5436</v>
      </c>
      <c r="I2090" s="81" t="s">
        <v>1086</v>
      </c>
      <c r="J2090" s="81" t="s">
        <v>224</v>
      </c>
    </row>
    <row r="2091" hidden="1">
      <c r="A2091" s="83" t="s">
        <v>6317</v>
      </c>
      <c r="B2091" s="83" t="s">
        <v>6318</v>
      </c>
      <c r="C2091" s="81" t="s">
        <v>4086</v>
      </c>
      <c r="D2091" s="83" t="s">
        <v>4276</v>
      </c>
      <c r="E2091" s="81" t="s">
        <v>1090</v>
      </c>
      <c r="F2091" s="84">
        <v>212.0</v>
      </c>
      <c r="G2091" s="81" t="s">
        <v>39</v>
      </c>
      <c r="H2091" s="81" t="s">
        <v>5437</v>
      </c>
      <c r="I2091" s="81" t="s">
        <v>1091</v>
      </c>
      <c r="J2091" s="81" t="s">
        <v>224</v>
      </c>
    </row>
    <row r="2092" hidden="1">
      <c r="A2092" s="83" t="s">
        <v>6317</v>
      </c>
      <c r="B2092" s="83" t="s">
        <v>6318</v>
      </c>
      <c r="C2092" s="81" t="s">
        <v>4086</v>
      </c>
      <c r="D2092" s="83" t="s">
        <v>4276</v>
      </c>
      <c r="E2092" s="81" t="s">
        <v>1090</v>
      </c>
      <c r="F2092" s="84">
        <v>212.0</v>
      </c>
      <c r="G2092" s="81" t="s">
        <v>40</v>
      </c>
      <c r="H2092" s="81" t="s">
        <v>5438</v>
      </c>
      <c r="I2092" s="81" t="s">
        <v>1092</v>
      </c>
      <c r="J2092" s="81" t="s">
        <v>224</v>
      </c>
    </row>
    <row r="2093" hidden="1">
      <c r="A2093" s="83" t="s">
        <v>6317</v>
      </c>
      <c r="B2093" s="83" t="s">
        <v>6318</v>
      </c>
      <c r="C2093" s="81" t="s">
        <v>4086</v>
      </c>
      <c r="D2093" s="83" t="s">
        <v>4277</v>
      </c>
      <c r="E2093" s="81" t="s">
        <v>1093</v>
      </c>
      <c r="F2093" s="84">
        <v>213.0</v>
      </c>
      <c r="G2093" s="81" t="s">
        <v>39</v>
      </c>
      <c r="H2093" s="81" t="s">
        <v>5439</v>
      </c>
      <c r="I2093" s="81" t="s">
        <v>1095</v>
      </c>
      <c r="J2093" s="81" t="s">
        <v>224</v>
      </c>
    </row>
    <row r="2094" hidden="1">
      <c r="A2094" s="83" t="s">
        <v>6317</v>
      </c>
      <c r="B2094" s="83" t="s">
        <v>6318</v>
      </c>
      <c r="C2094" s="81" t="s">
        <v>4086</v>
      </c>
      <c r="D2094" s="83" t="s">
        <v>4277</v>
      </c>
      <c r="E2094" s="81" t="s">
        <v>1093</v>
      </c>
      <c r="F2094" s="84">
        <v>213.0</v>
      </c>
      <c r="G2094" s="81" t="s">
        <v>40</v>
      </c>
      <c r="H2094" s="81" t="s">
        <v>5440</v>
      </c>
      <c r="I2094" s="81" t="s">
        <v>1096</v>
      </c>
      <c r="J2094" s="81" t="s">
        <v>224</v>
      </c>
    </row>
    <row r="2095" hidden="1">
      <c r="A2095" s="83" t="s">
        <v>6317</v>
      </c>
      <c r="B2095" s="83" t="s">
        <v>6318</v>
      </c>
      <c r="C2095" s="81" t="s">
        <v>4086</v>
      </c>
      <c r="D2095" s="83" t="s">
        <v>4277</v>
      </c>
      <c r="E2095" s="81" t="s">
        <v>1099</v>
      </c>
      <c r="F2095" s="84">
        <v>214.0</v>
      </c>
      <c r="G2095" s="81" t="s">
        <v>40</v>
      </c>
      <c r="H2095" s="81" t="s">
        <v>5441</v>
      </c>
      <c r="I2095" s="81" t="s">
        <v>1096</v>
      </c>
      <c r="J2095" s="81" t="s">
        <v>224</v>
      </c>
    </row>
    <row r="2096" hidden="1">
      <c r="A2096" s="83" t="s">
        <v>6317</v>
      </c>
      <c r="B2096" s="83" t="s">
        <v>6318</v>
      </c>
      <c r="C2096" s="81" t="s">
        <v>4086</v>
      </c>
      <c r="D2096" s="83" t="s">
        <v>4278</v>
      </c>
      <c r="E2096" s="81" t="s">
        <v>1100</v>
      </c>
      <c r="F2096" s="84">
        <v>215.0</v>
      </c>
      <c r="G2096" s="81" t="s">
        <v>39</v>
      </c>
      <c r="H2096" s="81" t="s">
        <v>5442</v>
      </c>
      <c r="I2096" s="81" t="s">
        <v>1101</v>
      </c>
      <c r="J2096" s="81" t="s">
        <v>224</v>
      </c>
    </row>
    <row r="2097" hidden="1">
      <c r="A2097" s="83" t="s">
        <v>6317</v>
      </c>
      <c r="B2097" s="83" t="s">
        <v>6318</v>
      </c>
      <c r="C2097" s="81" t="s">
        <v>4086</v>
      </c>
      <c r="D2097" s="83" t="s">
        <v>4278</v>
      </c>
      <c r="E2097" s="81" t="s">
        <v>1100</v>
      </c>
      <c r="F2097" s="84">
        <v>215.0</v>
      </c>
      <c r="G2097" s="81" t="s">
        <v>40</v>
      </c>
      <c r="H2097" s="81" t="s">
        <v>5443</v>
      </c>
      <c r="I2097" s="81" t="s">
        <v>1102</v>
      </c>
      <c r="J2097" s="81" t="s">
        <v>224</v>
      </c>
    </row>
    <row r="2098" hidden="1">
      <c r="A2098" s="83" t="s">
        <v>6317</v>
      </c>
      <c r="B2098" s="83" t="s">
        <v>6318</v>
      </c>
      <c r="C2098" s="81" t="s">
        <v>4086</v>
      </c>
      <c r="D2098" s="83" t="s">
        <v>4279</v>
      </c>
      <c r="E2098" s="81" t="s">
        <v>1103</v>
      </c>
      <c r="F2098" s="84">
        <v>216.0</v>
      </c>
      <c r="G2098" s="81" t="s">
        <v>39</v>
      </c>
      <c r="H2098" s="81" t="s">
        <v>5444</v>
      </c>
      <c r="I2098" s="81" t="s">
        <v>1105</v>
      </c>
      <c r="J2098" s="81" t="s">
        <v>224</v>
      </c>
    </row>
    <row r="2099" hidden="1">
      <c r="A2099" s="83" t="s">
        <v>6317</v>
      </c>
      <c r="B2099" s="83" t="s">
        <v>6318</v>
      </c>
      <c r="C2099" s="81" t="s">
        <v>4086</v>
      </c>
      <c r="D2099" s="83" t="s">
        <v>4279</v>
      </c>
      <c r="E2099" s="81" t="s">
        <v>1103</v>
      </c>
      <c r="F2099" s="84">
        <v>216.0</v>
      </c>
      <c r="G2099" s="81" t="s">
        <v>40</v>
      </c>
      <c r="H2099" s="81" t="s">
        <v>5445</v>
      </c>
      <c r="I2099" s="81" t="s">
        <v>1106</v>
      </c>
      <c r="J2099" s="81" t="s">
        <v>224</v>
      </c>
    </row>
    <row r="2100" hidden="1">
      <c r="A2100" s="83" t="s">
        <v>6317</v>
      </c>
      <c r="B2100" s="83" t="s">
        <v>6318</v>
      </c>
      <c r="C2100" s="81" t="s">
        <v>4086</v>
      </c>
      <c r="D2100" s="83" t="s">
        <v>4279</v>
      </c>
      <c r="E2100" s="81" t="s">
        <v>1109</v>
      </c>
      <c r="F2100" s="84">
        <v>217.0</v>
      </c>
      <c r="G2100" s="81" t="s">
        <v>39</v>
      </c>
      <c r="H2100" s="81" t="s">
        <v>5444</v>
      </c>
      <c r="I2100" s="81" t="s">
        <v>1105</v>
      </c>
      <c r="J2100" s="81" t="s">
        <v>224</v>
      </c>
    </row>
    <row r="2101" hidden="1">
      <c r="A2101" s="83" t="s">
        <v>6317</v>
      </c>
      <c r="B2101" s="83" t="s">
        <v>6318</v>
      </c>
      <c r="C2101" s="81" t="s">
        <v>4086</v>
      </c>
      <c r="D2101" s="83" t="s">
        <v>4279</v>
      </c>
      <c r="E2101" s="81" t="s">
        <v>1109</v>
      </c>
      <c r="F2101" s="84">
        <v>217.0</v>
      </c>
      <c r="G2101" s="81" t="s">
        <v>40</v>
      </c>
      <c r="H2101" s="81" t="s">
        <v>5445</v>
      </c>
      <c r="I2101" s="81" t="s">
        <v>1106</v>
      </c>
      <c r="J2101" s="81" t="s">
        <v>224</v>
      </c>
    </row>
    <row r="2102" hidden="1">
      <c r="A2102" s="83" t="s">
        <v>6317</v>
      </c>
      <c r="B2102" s="83" t="s">
        <v>6318</v>
      </c>
      <c r="C2102" s="81" t="s">
        <v>4086</v>
      </c>
      <c r="D2102" s="83" t="s">
        <v>4280</v>
      </c>
      <c r="E2102" s="81" t="s">
        <v>1110</v>
      </c>
      <c r="F2102" s="84">
        <v>218.0</v>
      </c>
      <c r="G2102" s="81" t="s">
        <v>39</v>
      </c>
      <c r="H2102" s="81" t="s">
        <v>5446</v>
      </c>
      <c r="I2102" s="81" t="s">
        <v>1111</v>
      </c>
      <c r="J2102" s="81" t="s">
        <v>224</v>
      </c>
    </row>
    <row r="2103" hidden="1">
      <c r="A2103" s="83" t="s">
        <v>6317</v>
      </c>
      <c r="B2103" s="83" t="s">
        <v>6318</v>
      </c>
      <c r="C2103" s="81" t="s">
        <v>4086</v>
      </c>
      <c r="D2103" s="83" t="s">
        <v>4280</v>
      </c>
      <c r="E2103" s="81" t="s">
        <v>1110</v>
      </c>
      <c r="F2103" s="84">
        <v>218.0</v>
      </c>
      <c r="G2103" s="81" t="s">
        <v>40</v>
      </c>
      <c r="H2103" s="81" t="s">
        <v>5447</v>
      </c>
      <c r="I2103" s="81" t="s">
        <v>1112</v>
      </c>
      <c r="J2103" s="81" t="s">
        <v>224</v>
      </c>
    </row>
    <row r="2104" hidden="1">
      <c r="A2104" s="83" t="s">
        <v>6317</v>
      </c>
      <c r="B2104" s="83" t="s">
        <v>6318</v>
      </c>
      <c r="C2104" s="81" t="s">
        <v>4086</v>
      </c>
      <c r="D2104" s="83" t="s">
        <v>4281</v>
      </c>
      <c r="E2104" s="81" t="s">
        <v>1113</v>
      </c>
      <c r="F2104" s="84">
        <v>219.0</v>
      </c>
      <c r="G2104" s="81" t="s">
        <v>39</v>
      </c>
      <c r="H2104" s="81" t="s">
        <v>5448</v>
      </c>
      <c r="I2104" s="81" t="s">
        <v>1115</v>
      </c>
      <c r="J2104" s="81" t="s">
        <v>224</v>
      </c>
    </row>
    <row r="2105" hidden="1">
      <c r="A2105" s="83" t="s">
        <v>6317</v>
      </c>
      <c r="B2105" s="83" t="s">
        <v>6318</v>
      </c>
      <c r="C2105" s="81" t="s">
        <v>4086</v>
      </c>
      <c r="D2105" s="83" t="s">
        <v>4281</v>
      </c>
      <c r="E2105" s="81" t="s">
        <v>1113</v>
      </c>
      <c r="F2105" s="84">
        <v>219.0</v>
      </c>
      <c r="G2105" s="81" t="s">
        <v>40</v>
      </c>
      <c r="H2105" s="81" t="s">
        <v>5449</v>
      </c>
      <c r="I2105" s="81" t="s">
        <v>1116</v>
      </c>
      <c r="J2105" s="81" t="s">
        <v>224</v>
      </c>
    </row>
    <row r="2106" hidden="1">
      <c r="A2106" s="83" t="s">
        <v>6317</v>
      </c>
      <c r="B2106" s="83" t="s">
        <v>6318</v>
      </c>
      <c r="C2106" s="81" t="s">
        <v>4086</v>
      </c>
      <c r="D2106" s="83" t="s">
        <v>4281</v>
      </c>
      <c r="E2106" s="81" t="s">
        <v>1119</v>
      </c>
      <c r="F2106" s="84">
        <v>220.0</v>
      </c>
      <c r="G2106" s="81" t="s">
        <v>40</v>
      </c>
      <c r="H2106" s="81" t="s">
        <v>5450</v>
      </c>
      <c r="I2106" s="81" t="s">
        <v>1116</v>
      </c>
      <c r="J2106" s="81" t="s">
        <v>224</v>
      </c>
    </row>
    <row r="2107" hidden="1">
      <c r="A2107" s="83" t="s">
        <v>6317</v>
      </c>
      <c r="B2107" s="83" t="s">
        <v>6318</v>
      </c>
      <c r="C2107" s="81" t="s">
        <v>4086</v>
      </c>
      <c r="D2107" s="83" t="s">
        <v>4282</v>
      </c>
      <c r="E2107" s="81" t="s">
        <v>1120</v>
      </c>
      <c r="F2107" s="84">
        <v>221.0</v>
      </c>
      <c r="G2107" s="81" t="s">
        <v>39</v>
      </c>
      <c r="H2107" s="81" t="s">
        <v>5451</v>
      </c>
      <c r="I2107" s="81" t="s">
        <v>1121</v>
      </c>
      <c r="J2107" s="81" t="s">
        <v>224</v>
      </c>
    </row>
    <row r="2108" hidden="1">
      <c r="A2108" s="83" t="s">
        <v>6317</v>
      </c>
      <c r="B2108" s="83" t="s">
        <v>6318</v>
      </c>
      <c r="C2108" s="81" t="s">
        <v>4086</v>
      </c>
      <c r="D2108" s="83" t="s">
        <v>4282</v>
      </c>
      <c r="E2108" s="81" t="s">
        <v>1120</v>
      </c>
      <c r="F2108" s="84">
        <v>221.0</v>
      </c>
      <c r="G2108" s="81" t="s">
        <v>40</v>
      </c>
      <c r="H2108" s="81" t="s">
        <v>5452</v>
      </c>
      <c r="I2108" s="81" t="s">
        <v>1122</v>
      </c>
      <c r="J2108" s="81" t="s">
        <v>224</v>
      </c>
    </row>
    <row r="2109" hidden="1">
      <c r="A2109" s="83" t="s">
        <v>6317</v>
      </c>
      <c r="B2109" s="83" t="s">
        <v>6318</v>
      </c>
      <c r="C2109" s="81" t="s">
        <v>4086</v>
      </c>
      <c r="D2109" s="83" t="s">
        <v>4283</v>
      </c>
      <c r="E2109" s="81" t="s">
        <v>1123</v>
      </c>
      <c r="F2109" s="84">
        <v>222.0</v>
      </c>
      <c r="G2109" s="81" t="s">
        <v>39</v>
      </c>
      <c r="H2109" s="81" t="s">
        <v>5453</v>
      </c>
      <c r="I2109" s="81" t="s">
        <v>1125</v>
      </c>
      <c r="J2109" s="81" t="s">
        <v>224</v>
      </c>
    </row>
    <row r="2110" hidden="1">
      <c r="A2110" s="83" t="s">
        <v>6317</v>
      </c>
      <c r="B2110" s="83" t="s">
        <v>6318</v>
      </c>
      <c r="C2110" s="81" t="s">
        <v>4086</v>
      </c>
      <c r="D2110" s="83" t="s">
        <v>4283</v>
      </c>
      <c r="E2110" s="81" t="s">
        <v>1123</v>
      </c>
      <c r="F2110" s="84">
        <v>222.0</v>
      </c>
      <c r="G2110" s="81" t="s">
        <v>40</v>
      </c>
      <c r="H2110" s="81" t="s">
        <v>5454</v>
      </c>
      <c r="I2110" s="81" t="s">
        <v>1126</v>
      </c>
      <c r="J2110" s="81" t="s">
        <v>224</v>
      </c>
    </row>
    <row r="2111" hidden="1">
      <c r="A2111" s="83" t="s">
        <v>6317</v>
      </c>
      <c r="B2111" s="83" t="s">
        <v>6318</v>
      </c>
      <c r="C2111" s="81" t="s">
        <v>4086</v>
      </c>
      <c r="D2111" s="83" t="s">
        <v>4283</v>
      </c>
      <c r="E2111" s="81" t="s">
        <v>1129</v>
      </c>
      <c r="F2111" s="84">
        <v>223.0</v>
      </c>
      <c r="G2111" s="81" t="s">
        <v>40</v>
      </c>
      <c r="H2111" s="81" t="s">
        <v>5455</v>
      </c>
      <c r="I2111" s="81" t="s">
        <v>1126</v>
      </c>
      <c r="J2111" s="81" t="s">
        <v>224</v>
      </c>
    </row>
    <row r="2112" hidden="1">
      <c r="A2112" s="83" t="s">
        <v>6317</v>
      </c>
      <c r="B2112" s="83" t="s">
        <v>6318</v>
      </c>
      <c r="C2112" s="81" t="s">
        <v>4086</v>
      </c>
      <c r="D2112" s="83" t="s">
        <v>4284</v>
      </c>
      <c r="E2112" s="81" t="s">
        <v>1130</v>
      </c>
      <c r="F2112" s="84">
        <v>224.0</v>
      </c>
      <c r="G2112" s="81" t="s">
        <v>40</v>
      </c>
      <c r="H2112" s="81" t="s">
        <v>5456</v>
      </c>
      <c r="I2112" s="81" t="s">
        <v>1132</v>
      </c>
      <c r="J2112" s="81" t="s">
        <v>224</v>
      </c>
    </row>
    <row r="2113" hidden="1">
      <c r="A2113" s="83" t="s">
        <v>6317</v>
      </c>
      <c r="B2113" s="83" t="s">
        <v>6318</v>
      </c>
      <c r="C2113" s="81" t="s">
        <v>4086</v>
      </c>
      <c r="D2113" s="83" t="s">
        <v>4285</v>
      </c>
      <c r="E2113" s="81" t="s">
        <v>1133</v>
      </c>
      <c r="F2113" s="84">
        <v>225.0</v>
      </c>
      <c r="G2113" s="81" t="s">
        <v>39</v>
      </c>
      <c r="H2113" s="81" t="s">
        <v>5457</v>
      </c>
      <c r="I2113" s="81" t="s">
        <v>5458</v>
      </c>
      <c r="J2113" s="81" t="s">
        <v>224</v>
      </c>
    </row>
    <row r="2114" hidden="1">
      <c r="A2114" s="83" t="s">
        <v>6317</v>
      </c>
      <c r="B2114" s="83" t="s">
        <v>6318</v>
      </c>
      <c r="C2114" s="81" t="s">
        <v>4086</v>
      </c>
      <c r="D2114" s="83" t="s">
        <v>4285</v>
      </c>
      <c r="E2114" s="81" t="s">
        <v>1133</v>
      </c>
      <c r="F2114" s="84">
        <v>225.0</v>
      </c>
      <c r="G2114" s="81" t="s">
        <v>40</v>
      </c>
      <c r="H2114" s="81" t="s">
        <v>5459</v>
      </c>
      <c r="I2114" s="81" t="s">
        <v>5460</v>
      </c>
      <c r="J2114" s="81" t="s">
        <v>224</v>
      </c>
    </row>
    <row r="2115" hidden="1">
      <c r="A2115" s="83" t="s">
        <v>6317</v>
      </c>
      <c r="B2115" s="83" t="s">
        <v>6318</v>
      </c>
      <c r="C2115" s="81" t="s">
        <v>4086</v>
      </c>
      <c r="D2115" s="83" t="s">
        <v>4287</v>
      </c>
      <c r="E2115" s="81" t="s">
        <v>1138</v>
      </c>
      <c r="F2115" s="84">
        <v>226.0</v>
      </c>
      <c r="G2115" s="81" t="s">
        <v>39</v>
      </c>
      <c r="H2115" s="81" t="s">
        <v>5461</v>
      </c>
      <c r="I2115" s="81" t="s">
        <v>5462</v>
      </c>
      <c r="J2115" s="81" t="s">
        <v>224</v>
      </c>
    </row>
    <row r="2116" hidden="1">
      <c r="A2116" s="83" t="s">
        <v>6317</v>
      </c>
      <c r="B2116" s="83" t="s">
        <v>6318</v>
      </c>
      <c r="C2116" s="81" t="s">
        <v>4086</v>
      </c>
      <c r="D2116" s="83" t="s">
        <v>4287</v>
      </c>
      <c r="E2116" s="81" t="s">
        <v>1138</v>
      </c>
      <c r="F2116" s="84">
        <v>226.0</v>
      </c>
      <c r="G2116" s="81" t="s">
        <v>40</v>
      </c>
      <c r="H2116" s="81" t="s">
        <v>5463</v>
      </c>
      <c r="I2116" s="81" t="s">
        <v>5464</v>
      </c>
      <c r="J2116" s="81" t="s">
        <v>224</v>
      </c>
    </row>
    <row r="2117" hidden="1">
      <c r="A2117" s="83" t="s">
        <v>6317</v>
      </c>
      <c r="B2117" s="83" t="s">
        <v>6318</v>
      </c>
      <c r="C2117" s="81" t="s">
        <v>4086</v>
      </c>
      <c r="D2117" s="83" t="s">
        <v>4289</v>
      </c>
      <c r="E2117" s="81" t="s">
        <v>1142</v>
      </c>
      <c r="F2117" s="84">
        <v>227.0</v>
      </c>
      <c r="G2117" s="81" t="s">
        <v>39</v>
      </c>
      <c r="H2117" s="81" t="s">
        <v>5465</v>
      </c>
      <c r="I2117" s="81" t="s">
        <v>5466</v>
      </c>
      <c r="J2117" s="81" t="s">
        <v>224</v>
      </c>
    </row>
    <row r="2118" hidden="1">
      <c r="A2118" s="83" t="s">
        <v>6317</v>
      </c>
      <c r="B2118" s="83" t="s">
        <v>6318</v>
      </c>
      <c r="C2118" s="81" t="s">
        <v>4086</v>
      </c>
      <c r="D2118" s="83" t="s">
        <v>4289</v>
      </c>
      <c r="E2118" s="81" t="s">
        <v>1142</v>
      </c>
      <c r="F2118" s="84">
        <v>227.0</v>
      </c>
      <c r="G2118" s="81" t="s">
        <v>40</v>
      </c>
      <c r="H2118" s="81" t="s">
        <v>5467</v>
      </c>
      <c r="I2118" s="81" t="s">
        <v>5468</v>
      </c>
      <c r="J2118" s="81" t="s">
        <v>224</v>
      </c>
    </row>
    <row r="2119" hidden="1">
      <c r="A2119" s="83" t="s">
        <v>6317</v>
      </c>
      <c r="B2119" s="83" t="s">
        <v>6318</v>
      </c>
      <c r="C2119" s="81" t="s">
        <v>4086</v>
      </c>
      <c r="D2119" s="83" t="s">
        <v>4290</v>
      </c>
      <c r="E2119" s="81" t="s">
        <v>1143</v>
      </c>
      <c r="F2119" s="84">
        <v>228.0</v>
      </c>
      <c r="G2119" s="81" t="s">
        <v>39</v>
      </c>
      <c r="H2119" s="81" t="s">
        <v>5469</v>
      </c>
      <c r="I2119" s="81" t="s">
        <v>1148</v>
      </c>
      <c r="J2119" s="81" t="s">
        <v>224</v>
      </c>
    </row>
    <row r="2120" hidden="1">
      <c r="A2120" s="83" t="s">
        <v>6317</v>
      </c>
      <c r="B2120" s="83" t="s">
        <v>6318</v>
      </c>
      <c r="C2120" s="81" t="s">
        <v>4086</v>
      </c>
      <c r="D2120" s="83" t="s">
        <v>4290</v>
      </c>
      <c r="E2120" s="81" t="s">
        <v>1143</v>
      </c>
      <c r="F2120" s="84">
        <v>228.0</v>
      </c>
      <c r="G2120" s="81" t="s">
        <v>40</v>
      </c>
      <c r="H2120" s="81" t="s">
        <v>5470</v>
      </c>
      <c r="I2120" s="81" t="s">
        <v>1149</v>
      </c>
      <c r="J2120" s="81" t="s">
        <v>224</v>
      </c>
    </row>
    <row r="2121" hidden="1">
      <c r="A2121" s="83" t="s">
        <v>6317</v>
      </c>
      <c r="B2121" s="83" t="s">
        <v>6318</v>
      </c>
      <c r="C2121" s="81" t="s">
        <v>4086</v>
      </c>
      <c r="D2121" s="83" t="s">
        <v>4290</v>
      </c>
      <c r="E2121" s="81" t="s">
        <v>1153</v>
      </c>
      <c r="F2121" s="84">
        <v>229.0</v>
      </c>
      <c r="G2121" s="81" t="s">
        <v>39</v>
      </c>
      <c r="H2121" s="81" t="s">
        <v>5469</v>
      </c>
      <c r="I2121" s="81" t="s">
        <v>1148</v>
      </c>
      <c r="J2121" s="81" t="s">
        <v>224</v>
      </c>
    </row>
    <row r="2122" hidden="1">
      <c r="A2122" s="83" t="s">
        <v>6317</v>
      </c>
      <c r="B2122" s="83" t="s">
        <v>6318</v>
      </c>
      <c r="C2122" s="81" t="s">
        <v>4086</v>
      </c>
      <c r="D2122" s="83" t="s">
        <v>4290</v>
      </c>
      <c r="E2122" s="81" t="s">
        <v>1153</v>
      </c>
      <c r="F2122" s="84">
        <v>229.0</v>
      </c>
      <c r="G2122" s="81" t="s">
        <v>40</v>
      </c>
      <c r="H2122" s="81" t="s">
        <v>5470</v>
      </c>
      <c r="I2122" s="81" t="s">
        <v>1149</v>
      </c>
      <c r="J2122" s="81" t="s">
        <v>224</v>
      </c>
    </row>
    <row r="2123" hidden="1">
      <c r="A2123" s="83" t="s">
        <v>6317</v>
      </c>
      <c r="B2123" s="83" t="s">
        <v>6318</v>
      </c>
      <c r="C2123" s="81" t="s">
        <v>4086</v>
      </c>
      <c r="D2123" s="83" t="s">
        <v>4291</v>
      </c>
      <c r="E2123" s="81" t="s">
        <v>1155</v>
      </c>
      <c r="F2123" s="84">
        <v>230.0</v>
      </c>
      <c r="G2123" s="81" t="s">
        <v>39</v>
      </c>
      <c r="H2123" s="81" t="s">
        <v>5471</v>
      </c>
      <c r="I2123" s="81" t="s">
        <v>1156</v>
      </c>
      <c r="J2123" s="81" t="s">
        <v>224</v>
      </c>
    </row>
    <row r="2124" hidden="1">
      <c r="A2124" s="83" t="s">
        <v>6317</v>
      </c>
      <c r="B2124" s="83" t="s">
        <v>6318</v>
      </c>
      <c r="C2124" s="81" t="s">
        <v>4086</v>
      </c>
      <c r="D2124" s="83" t="s">
        <v>4291</v>
      </c>
      <c r="E2124" s="81" t="s">
        <v>1155</v>
      </c>
      <c r="F2124" s="84">
        <v>230.0</v>
      </c>
      <c r="G2124" s="81" t="s">
        <v>40</v>
      </c>
      <c r="H2124" s="81" t="s">
        <v>5472</v>
      </c>
      <c r="I2124" s="81" t="s">
        <v>1157</v>
      </c>
      <c r="J2124" s="81" t="s">
        <v>224</v>
      </c>
    </row>
    <row r="2125" hidden="1">
      <c r="A2125" s="83" t="s">
        <v>6317</v>
      </c>
      <c r="B2125" s="83" t="s">
        <v>6318</v>
      </c>
      <c r="C2125" s="81" t="s">
        <v>4086</v>
      </c>
      <c r="D2125" s="83" t="s">
        <v>4292</v>
      </c>
      <c r="E2125" s="81" t="s">
        <v>1158</v>
      </c>
      <c r="F2125" s="84">
        <v>231.0</v>
      </c>
      <c r="G2125" s="81" t="s">
        <v>39</v>
      </c>
      <c r="H2125" s="81" t="s">
        <v>5473</v>
      </c>
      <c r="I2125" s="81" t="s">
        <v>1168</v>
      </c>
      <c r="J2125" s="81" t="s">
        <v>224</v>
      </c>
    </row>
    <row r="2126" hidden="1">
      <c r="A2126" s="83" t="s">
        <v>6317</v>
      </c>
      <c r="B2126" s="83" t="s">
        <v>6318</v>
      </c>
      <c r="C2126" s="81" t="s">
        <v>4086</v>
      </c>
      <c r="D2126" s="83" t="s">
        <v>4292</v>
      </c>
      <c r="E2126" s="81" t="s">
        <v>1158</v>
      </c>
      <c r="F2126" s="84">
        <v>231.0</v>
      </c>
      <c r="G2126" s="81" t="s">
        <v>40</v>
      </c>
      <c r="H2126" s="81" t="s">
        <v>5474</v>
      </c>
      <c r="I2126" s="81" t="s">
        <v>5475</v>
      </c>
      <c r="J2126" s="81" t="s">
        <v>224</v>
      </c>
    </row>
    <row r="2127" hidden="1">
      <c r="A2127" s="83" t="s">
        <v>6317</v>
      </c>
      <c r="B2127" s="83" t="s">
        <v>6318</v>
      </c>
      <c r="C2127" s="81" t="s">
        <v>4086</v>
      </c>
      <c r="D2127" s="83" t="s">
        <v>4292</v>
      </c>
      <c r="E2127" s="81" t="s">
        <v>1175</v>
      </c>
      <c r="F2127" s="84">
        <v>232.0</v>
      </c>
      <c r="G2127" s="81" t="s">
        <v>39</v>
      </c>
      <c r="H2127" s="81" t="s">
        <v>5476</v>
      </c>
      <c r="I2127" s="81" t="s">
        <v>1168</v>
      </c>
      <c r="J2127" s="81" t="s">
        <v>224</v>
      </c>
    </row>
    <row r="2128" hidden="1">
      <c r="A2128" s="83" t="s">
        <v>6317</v>
      </c>
      <c r="B2128" s="83" t="s">
        <v>6318</v>
      </c>
      <c r="C2128" s="81" t="s">
        <v>4086</v>
      </c>
      <c r="D2128" s="83" t="s">
        <v>4292</v>
      </c>
      <c r="E2128" s="81" t="s">
        <v>1175</v>
      </c>
      <c r="F2128" s="84">
        <v>232.0</v>
      </c>
      <c r="G2128" s="81" t="s">
        <v>40</v>
      </c>
      <c r="H2128" s="81" t="s">
        <v>5477</v>
      </c>
      <c r="I2128" s="81" t="s">
        <v>5475</v>
      </c>
      <c r="J2128" s="81" t="s">
        <v>224</v>
      </c>
    </row>
    <row r="2129" hidden="1">
      <c r="A2129" s="83" t="s">
        <v>6317</v>
      </c>
      <c r="B2129" s="83" t="s">
        <v>6318</v>
      </c>
      <c r="C2129" s="81" t="s">
        <v>4086</v>
      </c>
      <c r="D2129" s="83" t="s">
        <v>4294</v>
      </c>
      <c r="E2129" s="81" t="s">
        <v>1176</v>
      </c>
      <c r="F2129" s="84">
        <v>233.0</v>
      </c>
      <c r="G2129" s="81" t="s">
        <v>39</v>
      </c>
      <c r="H2129" s="81" t="s">
        <v>5478</v>
      </c>
      <c r="I2129" s="81" t="s">
        <v>1178</v>
      </c>
      <c r="J2129" s="81" t="s">
        <v>224</v>
      </c>
    </row>
    <row r="2130" hidden="1">
      <c r="A2130" s="83" t="s">
        <v>6317</v>
      </c>
      <c r="B2130" s="83" t="s">
        <v>6318</v>
      </c>
      <c r="C2130" s="81" t="s">
        <v>4086</v>
      </c>
      <c r="D2130" s="83" t="s">
        <v>4294</v>
      </c>
      <c r="E2130" s="81" t="s">
        <v>1176</v>
      </c>
      <c r="F2130" s="84">
        <v>233.0</v>
      </c>
      <c r="G2130" s="81" t="s">
        <v>40</v>
      </c>
      <c r="H2130" s="81" t="s">
        <v>5479</v>
      </c>
      <c r="I2130" s="81" t="s">
        <v>5480</v>
      </c>
      <c r="J2130" s="81" t="s">
        <v>224</v>
      </c>
    </row>
    <row r="2131" hidden="1">
      <c r="A2131" s="83" t="s">
        <v>6317</v>
      </c>
      <c r="B2131" s="83" t="s">
        <v>6318</v>
      </c>
      <c r="C2131" s="81" t="s">
        <v>4086</v>
      </c>
      <c r="D2131" s="83" t="s">
        <v>4295</v>
      </c>
      <c r="E2131" s="81" t="s">
        <v>1180</v>
      </c>
      <c r="F2131" s="84">
        <v>234.0</v>
      </c>
      <c r="G2131" s="81" t="s">
        <v>39</v>
      </c>
      <c r="H2131" s="81" t="s">
        <v>5481</v>
      </c>
      <c r="I2131" s="81" t="s">
        <v>1184</v>
      </c>
      <c r="J2131" s="81" t="s">
        <v>224</v>
      </c>
    </row>
    <row r="2132" hidden="1">
      <c r="A2132" s="83" t="s">
        <v>6317</v>
      </c>
      <c r="B2132" s="83" t="s">
        <v>6318</v>
      </c>
      <c r="C2132" s="81" t="s">
        <v>4086</v>
      </c>
      <c r="D2132" s="83" t="s">
        <v>4295</v>
      </c>
      <c r="E2132" s="81" t="s">
        <v>1180</v>
      </c>
      <c r="F2132" s="84">
        <v>234.0</v>
      </c>
      <c r="G2132" s="81" t="s">
        <v>40</v>
      </c>
      <c r="H2132" s="81" t="s">
        <v>5482</v>
      </c>
      <c r="I2132" s="81" t="s">
        <v>5483</v>
      </c>
      <c r="J2132" s="81" t="s">
        <v>224</v>
      </c>
    </row>
    <row r="2133" hidden="1">
      <c r="A2133" s="83" t="s">
        <v>6317</v>
      </c>
      <c r="B2133" s="83" t="s">
        <v>6318</v>
      </c>
      <c r="C2133" s="81" t="s">
        <v>4086</v>
      </c>
      <c r="D2133" s="83" t="s">
        <v>4297</v>
      </c>
      <c r="E2133" s="81" t="s">
        <v>1191</v>
      </c>
      <c r="F2133" s="84">
        <v>235.0</v>
      </c>
      <c r="G2133" s="81" t="s">
        <v>39</v>
      </c>
      <c r="H2133" s="81" t="s">
        <v>5484</v>
      </c>
      <c r="I2133" s="81" t="s">
        <v>1194</v>
      </c>
      <c r="J2133" s="81" t="s">
        <v>224</v>
      </c>
    </row>
    <row r="2134" hidden="1">
      <c r="A2134" s="83" t="s">
        <v>6317</v>
      </c>
      <c r="B2134" s="83" t="s">
        <v>6318</v>
      </c>
      <c r="C2134" s="81" t="s">
        <v>4086</v>
      </c>
      <c r="D2134" s="83" t="s">
        <v>4297</v>
      </c>
      <c r="E2134" s="81" t="s">
        <v>1191</v>
      </c>
      <c r="F2134" s="84">
        <v>235.0</v>
      </c>
      <c r="G2134" s="81" t="s">
        <v>40</v>
      </c>
      <c r="H2134" s="81" t="s">
        <v>5485</v>
      </c>
      <c r="I2134" s="81" t="s">
        <v>5486</v>
      </c>
      <c r="J2134" s="81" t="s">
        <v>224</v>
      </c>
    </row>
    <row r="2135" hidden="1">
      <c r="A2135" s="83" t="s">
        <v>6317</v>
      </c>
      <c r="B2135" s="83" t="s">
        <v>6318</v>
      </c>
      <c r="C2135" s="81" t="s">
        <v>4086</v>
      </c>
      <c r="D2135" s="83" t="s">
        <v>4297</v>
      </c>
      <c r="E2135" s="81" t="s">
        <v>1201</v>
      </c>
      <c r="F2135" s="84">
        <v>236.0</v>
      </c>
      <c r="G2135" s="81" t="s">
        <v>39</v>
      </c>
      <c r="H2135" s="81" t="s">
        <v>5487</v>
      </c>
      <c r="I2135" s="81" t="s">
        <v>1194</v>
      </c>
      <c r="J2135" s="81" t="s">
        <v>224</v>
      </c>
    </row>
    <row r="2136" hidden="1">
      <c r="A2136" s="83" t="s">
        <v>6317</v>
      </c>
      <c r="B2136" s="83" t="s">
        <v>6318</v>
      </c>
      <c r="C2136" s="81" t="s">
        <v>4086</v>
      </c>
      <c r="D2136" s="83" t="s">
        <v>4297</v>
      </c>
      <c r="E2136" s="81" t="s">
        <v>1201</v>
      </c>
      <c r="F2136" s="84">
        <v>236.0</v>
      </c>
      <c r="G2136" s="81" t="s">
        <v>40</v>
      </c>
      <c r="H2136" s="81" t="s">
        <v>5488</v>
      </c>
      <c r="I2136" s="81" t="s">
        <v>5486</v>
      </c>
      <c r="J2136" s="81" t="s">
        <v>224</v>
      </c>
    </row>
    <row r="2137" hidden="1">
      <c r="A2137" s="83" t="s">
        <v>6317</v>
      </c>
      <c r="B2137" s="83" t="s">
        <v>6318</v>
      </c>
      <c r="C2137" s="81" t="s">
        <v>4086</v>
      </c>
      <c r="D2137" s="83" t="s">
        <v>4298</v>
      </c>
      <c r="E2137" s="81" t="s">
        <v>1202</v>
      </c>
      <c r="F2137" s="84">
        <v>237.0</v>
      </c>
      <c r="G2137" s="81" t="s">
        <v>39</v>
      </c>
      <c r="H2137" s="81" t="s">
        <v>5489</v>
      </c>
      <c r="I2137" s="81" t="s">
        <v>1205</v>
      </c>
      <c r="J2137" s="81" t="s">
        <v>224</v>
      </c>
    </row>
    <row r="2138" hidden="1">
      <c r="A2138" s="83" t="s">
        <v>6317</v>
      </c>
      <c r="B2138" s="83" t="s">
        <v>6318</v>
      </c>
      <c r="C2138" s="81" t="s">
        <v>4086</v>
      </c>
      <c r="D2138" s="83" t="s">
        <v>4298</v>
      </c>
      <c r="E2138" s="81" t="s">
        <v>1202</v>
      </c>
      <c r="F2138" s="84">
        <v>237.0</v>
      </c>
      <c r="G2138" s="81" t="s">
        <v>40</v>
      </c>
      <c r="H2138" s="81" t="s">
        <v>5490</v>
      </c>
      <c r="I2138" s="81" t="s">
        <v>1206</v>
      </c>
      <c r="J2138" s="81" t="s">
        <v>224</v>
      </c>
    </row>
    <row r="2139" hidden="1">
      <c r="A2139" s="83" t="s">
        <v>6317</v>
      </c>
      <c r="B2139" s="83" t="s">
        <v>6318</v>
      </c>
      <c r="C2139" s="81" t="s">
        <v>4086</v>
      </c>
      <c r="D2139" s="83" t="s">
        <v>4298</v>
      </c>
      <c r="E2139" s="81" t="s">
        <v>1210</v>
      </c>
      <c r="F2139" s="84">
        <v>238.0</v>
      </c>
      <c r="G2139" s="81" t="s">
        <v>39</v>
      </c>
      <c r="H2139" s="81" t="s">
        <v>5489</v>
      </c>
      <c r="I2139" s="81" t="s">
        <v>1205</v>
      </c>
      <c r="J2139" s="81" t="s">
        <v>224</v>
      </c>
    </row>
    <row r="2140" hidden="1">
      <c r="A2140" s="83" t="s">
        <v>6317</v>
      </c>
      <c r="B2140" s="83" t="s">
        <v>6318</v>
      </c>
      <c r="C2140" s="81" t="s">
        <v>4086</v>
      </c>
      <c r="D2140" s="83" t="s">
        <v>4298</v>
      </c>
      <c r="E2140" s="81" t="s">
        <v>1210</v>
      </c>
      <c r="F2140" s="84">
        <v>238.0</v>
      </c>
      <c r="G2140" s="81" t="s">
        <v>40</v>
      </c>
      <c r="H2140" s="81" t="s">
        <v>5491</v>
      </c>
      <c r="I2140" s="81" t="s">
        <v>1206</v>
      </c>
      <c r="J2140" s="81" t="s">
        <v>224</v>
      </c>
    </row>
    <row r="2141" hidden="1">
      <c r="A2141" s="83" t="s">
        <v>6317</v>
      </c>
      <c r="B2141" s="83" t="s">
        <v>6318</v>
      </c>
      <c r="C2141" s="81" t="s">
        <v>4086</v>
      </c>
      <c r="D2141" s="83" t="s">
        <v>4300</v>
      </c>
      <c r="E2141" s="81" t="s">
        <v>1211</v>
      </c>
      <c r="F2141" s="84">
        <v>239.0</v>
      </c>
      <c r="G2141" s="81" t="s">
        <v>40</v>
      </c>
      <c r="H2141" s="81" t="s">
        <v>5492</v>
      </c>
      <c r="I2141" s="81" t="s">
        <v>1213</v>
      </c>
      <c r="J2141" s="81" t="s">
        <v>224</v>
      </c>
    </row>
    <row r="2142" hidden="1">
      <c r="A2142" s="83" t="s">
        <v>6317</v>
      </c>
      <c r="B2142" s="83" t="s">
        <v>6318</v>
      </c>
      <c r="C2142" s="81" t="s">
        <v>4086</v>
      </c>
      <c r="D2142" s="83" t="s">
        <v>4301</v>
      </c>
      <c r="E2142" s="81" t="s">
        <v>1214</v>
      </c>
      <c r="F2142" s="84">
        <v>240.0</v>
      </c>
      <c r="G2142" s="81" t="s">
        <v>39</v>
      </c>
      <c r="H2142" s="81" t="s">
        <v>5493</v>
      </c>
      <c r="I2142" s="81" t="s">
        <v>1216</v>
      </c>
      <c r="J2142" s="81" t="s">
        <v>224</v>
      </c>
    </row>
    <row r="2143" hidden="1">
      <c r="A2143" s="83" t="s">
        <v>6317</v>
      </c>
      <c r="B2143" s="83" t="s">
        <v>6318</v>
      </c>
      <c r="C2143" s="81" t="s">
        <v>4086</v>
      </c>
      <c r="D2143" s="83" t="s">
        <v>4301</v>
      </c>
      <c r="E2143" s="81" t="s">
        <v>1214</v>
      </c>
      <c r="F2143" s="84">
        <v>240.0</v>
      </c>
      <c r="G2143" s="81" t="s">
        <v>40</v>
      </c>
      <c r="H2143" s="81" t="s">
        <v>5494</v>
      </c>
      <c r="I2143" s="81" t="s">
        <v>1217</v>
      </c>
      <c r="J2143" s="81" t="s">
        <v>224</v>
      </c>
    </row>
    <row r="2144" hidden="1">
      <c r="A2144" s="83" t="s">
        <v>6317</v>
      </c>
      <c r="B2144" s="83" t="s">
        <v>6318</v>
      </c>
      <c r="C2144" s="81" t="s">
        <v>4086</v>
      </c>
      <c r="D2144" s="83" t="s">
        <v>4301</v>
      </c>
      <c r="E2144" s="81" t="s">
        <v>1221</v>
      </c>
      <c r="F2144" s="84">
        <v>241.0</v>
      </c>
      <c r="G2144" s="81" t="s">
        <v>39</v>
      </c>
      <c r="H2144" s="81" t="s">
        <v>5493</v>
      </c>
      <c r="I2144" s="81" t="s">
        <v>1216</v>
      </c>
      <c r="J2144" s="81" t="s">
        <v>224</v>
      </c>
    </row>
    <row r="2145" hidden="1">
      <c r="A2145" s="83" t="s">
        <v>6317</v>
      </c>
      <c r="B2145" s="83" t="s">
        <v>6318</v>
      </c>
      <c r="C2145" s="81" t="s">
        <v>4086</v>
      </c>
      <c r="D2145" s="83" t="s">
        <v>4301</v>
      </c>
      <c r="E2145" s="81" t="s">
        <v>1221</v>
      </c>
      <c r="F2145" s="84">
        <v>241.0</v>
      </c>
      <c r="G2145" s="81" t="s">
        <v>40</v>
      </c>
      <c r="H2145" s="81" t="s">
        <v>5494</v>
      </c>
      <c r="I2145" s="81" t="s">
        <v>1217</v>
      </c>
      <c r="J2145" s="81" t="s">
        <v>224</v>
      </c>
    </row>
    <row r="2146" hidden="1">
      <c r="A2146" s="83" t="s">
        <v>6317</v>
      </c>
      <c r="B2146" s="83" t="s">
        <v>6318</v>
      </c>
      <c r="C2146" s="81" t="s">
        <v>4086</v>
      </c>
      <c r="D2146" s="83" t="s">
        <v>4303</v>
      </c>
      <c r="E2146" s="81" t="s">
        <v>1222</v>
      </c>
      <c r="F2146" s="84">
        <v>242.0</v>
      </c>
      <c r="G2146" s="81" t="s">
        <v>39</v>
      </c>
      <c r="H2146" s="81" t="s">
        <v>5495</v>
      </c>
      <c r="I2146" s="81" t="s">
        <v>1223</v>
      </c>
      <c r="J2146" s="81" t="s">
        <v>224</v>
      </c>
    </row>
    <row r="2147" hidden="1">
      <c r="A2147" s="83" t="s">
        <v>6317</v>
      </c>
      <c r="B2147" s="83" t="s">
        <v>6318</v>
      </c>
      <c r="C2147" s="81" t="s">
        <v>4086</v>
      </c>
      <c r="D2147" s="83" t="s">
        <v>4303</v>
      </c>
      <c r="E2147" s="81" t="s">
        <v>1222</v>
      </c>
      <c r="F2147" s="84">
        <v>242.0</v>
      </c>
      <c r="G2147" s="81" t="s">
        <v>40</v>
      </c>
      <c r="H2147" s="81" t="s">
        <v>5496</v>
      </c>
      <c r="I2147" s="81" t="s">
        <v>1224</v>
      </c>
      <c r="J2147" s="81" t="s">
        <v>224</v>
      </c>
    </row>
    <row r="2148" hidden="1">
      <c r="A2148" s="83" t="s">
        <v>6317</v>
      </c>
      <c r="B2148" s="83" t="s">
        <v>6318</v>
      </c>
      <c r="C2148" s="81" t="s">
        <v>4086</v>
      </c>
      <c r="D2148" s="83" t="s">
        <v>4304</v>
      </c>
      <c r="E2148" s="81" t="s">
        <v>1225</v>
      </c>
      <c r="F2148" s="84">
        <v>243.0</v>
      </c>
      <c r="G2148" s="81" t="s">
        <v>39</v>
      </c>
      <c r="H2148" s="81" t="s">
        <v>5497</v>
      </c>
      <c r="I2148" s="81" t="s">
        <v>1227</v>
      </c>
      <c r="J2148" s="81" t="s">
        <v>224</v>
      </c>
    </row>
    <row r="2149" hidden="1">
      <c r="A2149" s="83" t="s">
        <v>6317</v>
      </c>
      <c r="B2149" s="83" t="s">
        <v>6318</v>
      </c>
      <c r="C2149" s="81" t="s">
        <v>4086</v>
      </c>
      <c r="D2149" s="83" t="s">
        <v>4304</v>
      </c>
      <c r="E2149" s="81" t="s">
        <v>1225</v>
      </c>
      <c r="F2149" s="84">
        <v>243.0</v>
      </c>
      <c r="G2149" s="81" t="s">
        <v>40</v>
      </c>
      <c r="H2149" s="81" t="s">
        <v>5498</v>
      </c>
      <c r="I2149" s="81" t="s">
        <v>1228</v>
      </c>
      <c r="J2149" s="81" t="s">
        <v>224</v>
      </c>
    </row>
    <row r="2150" hidden="1">
      <c r="A2150" s="83" t="s">
        <v>6317</v>
      </c>
      <c r="B2150" s="83" t="s">
        <v>6318</v>
      </c>
      <c r="C2150" s="81" t="s">
        <v>4086</v>
      </c>
      <c r="D2150" s="83" t="s">
        <v>4304</v>
      </c>
      <c r="E2150" s="81" t="s">
        <v>1232</v>
      </c>
      <c r="F2150" s="84">
        <v>244.0</v>
      </c>
      <c r="G2150" s="81" t="s">
        <v>39</v>
      </c>
      <c r="H2150" s="81" t="s">
        <v>5497</v>
      </c>
      <c r="I2150" s="81" t="s">
        <v>1227</v>
      </c>
      <c r="J2150" s="81" t="s">
        <v>224</v>
      </c>
    </row>
    <row r="2151" hidden="1">
      <c r="A2151" s="83" t="s">
        <v>6317</v>
      </c>
      <c r="B2151" s="83" t="s">
        <v>6318</v>
      </c>
      <c r="C2151" s="81" t="s">
        <v>4086</v>
      </c>
      <c r="D2151" s="83" t="s">
        <v>4304</v>
      </c>
      <c r="E2151" s="81" t="s">
        <v>1232</v>
      </c>
      <c r="F2151" s="84">
        <v>244.0</v>
      </c>
      <c r="G2151" s="81" t="s">
        <v>40</v>
      </c>
      <c r="H2151" s="81" t="s">
        <v>5498</v>
      </c>
      <c r="I2151" s="81" t="s">
        <v>1228</v>
      </c>
      <c r="J2151" s="81" t="s">
        <v>224</v>
      </c>
    </row>
    <row r="2152" hidden="1">
      <c r="A2152" s="83" t="s">
        <v>6317</v>
      </c>
      <c r="B2152" s="83" t="s">
        <v>6318</v>
      </c>
      <c r="C2152" s="81" t="s">
        <v>4086</v>
      </c>
      <c r="D2152" s="83" t="s">
        <v>4305</v>
      </c>
      <c r="E2152" s="81" t="s">
        <v>1234</v>
      </c>
      <c r="F2152" s="84">
        <v>245.0</v>
      </c>
      <c r="G2152" s="81" t="s">
        <v>39</v>
      </c>
      <c r="H2152" s="81" t="s">
        <v>5499</v>
      </c>
      <c r="I2152" s="81" t="s">
        <v>1235</v>
      </c>
      <c r="J2152" s="81" t="s">
        <v>224</v>
      </c>
    </row>
    <row r="2153" hidden="1">
      <c r="A2153" s="83" t="s">
        <v>6317</v>
      </c>
      <c r="B2153" s="83" t="s">
        <v>6318</v>
      </c>
      <c r="C2153" s="81" t="s">
        <v>4086</v>
      </c>
      <c r="D2153" s="83" t="s">
        <v>4305</v>
      </c>
      <c r="E2153" s="81" t="s">
        <v>1234</v>
      </c>
      <c r="F2153" s="84">
        <v>245.0</v>
      </c>
      <c r="G2153" s="81" t="s">
        <v>40</v>
      </c>
      <c r="H2153" s="81" t="s">
        <v>5500</v>
      </c>
      <c r="I2153" s="81" t="s">
        <v>1236</v>
      </c>
      <c r="J2153" s="81" t="s">
        <v>224</v>
      </c>
    </row>
    <row r="2154" hidden="1">
      <c r="A2154" s="83" t="s">
        <v>6317</v>
      </c>
      <c r="B2154" s="83" t="s">
        <v>6318</v>
      </c>
      <c r="C2154" s="81" t="s">
        <v>4086</v>
      </c>
      <c r="D2154" s="83" t="s">
        <v>4306</v>
      </c>
      <c r="E2154" s="81" t="s">
        <v>1237</v>
      </c>
      <c r="F2154" s="84">
        <v>246.0</v>
      </c>
      <c r="G2154" s="81" t="s">
        <v>39</v>
      </c>
      <c r="H2154" s="81" t="s">
        <v>5501</v>
      </c>
      <c r="I2154" s="81" t="s">
        <v>1244</v>
      </c>
      <c r="J2154" s="81" t="s">
        <v>224</v>
      </c>
    </row>
    <row r="2155" hidden="1">
      <c r="A2155" s="83" t="s">
        <v>6317</v>
      </c>
      <c r="B2155" s="83" t="s">
        <v>6318</v>
      </c>
      <c r="C2155" s="81" t="s">
        <v>4086</v>
      </c>
      <c r="D2155" s="83" t="s">
        <v>4306</v>
      </c>
      <c r="E2155" s="81" t="s">
        <v>1237</v>
      </c>
      <c r="F2155" s="84">
        <v>246.0</v>
      </c>
      <c r="G2155" s="81" t="s">
        <v>40</v>
      </c>
      <c r="H2155" s="81" t="s">
        <v>5502</v>
      </c>
      <c r="I2155" s="81" t="s">
        <v>1245</v>
      </c>
      <c r="J2155" s="81" t="s">
        <v>224</v>
      </c>
    </row>
    <row r="2156" hidden="1">
      <c r="A2156" s="83" t="s">
        <v>6317</v>
      </c>
      <c r="B2156" s="83" t="s">
        <v>6318</v>
      </c>
      <c r="C2156" s="81" t="s">
        <v>4086</v>
      </c>
      <c r="D2156" s="83" t="s">
        <v>4308</v>
      </c>
      <c r="E2156" s="81" t="s">
        <v>1247</v>
      </c>
      <c r="F2156" s="84">
        <v>247.0</v>
      </c>
      <c r="G2156" s="81" t="s">
        <v>39</v>
      </c>
      <c r="H2156" s="81" t="s">
        <v>5503</v>
      </c>
      <c r="I2156" s="81" t="s">
        <v>1249</v>
      </c>
      <c r="J2156" s="81" t="s">
        <v>224</v>
      </c>
    </row>
    <row r="2157" hidden="1">
      <c r="A2157" s="83" t="s">
        <v>6317</v>
      </c>
      <c r="B2157" s="83" t="s">
        <v>6318</v>
      </c>
      <c r="C2157" s="81" t="s">
        <v>4086</v>
      </c>
      <c r="D2157" s="83" t="s">
        <v>4308</v>
      </c>
      <c r="E2157" s="81" t="s">
        <v>1247</v>
      </c>
      <c r="F2157" s="84">
        <v>247.0</v>
      </c>
      <c r="G2157" s="81" t="s">
        <v>40</v>
      </c>
      <c r="H2157" s="81" t="s">
        <v>5504</v>
      </c>
      <c r="I2157" s="81" t="s">
        <v>1250</v>
      </c>
      <c r="J2157" s="81" t="s">
        <v>224</v>
      </c>
    </row>
    <row r="2158" hidden="1">
      <c r="A2158" s="83" t="s">
        <v>6317</v>
      </c>
      <c r="B2158" s="83" t="s">
        <v>6318</v>
      </c>
      <c r="C2158" s="81" t="s">
        <v>4086</v>
      </c>
      <c r="D2158" s="83" t="s">
        <v>4309</v>
      </c>
      <c r="E2158" s="81" t="s">
        <v>1251</v>
      </c>
      <c r="F2158" s="84">
        <v>248.0</v>
      </c>
      <c r="G2158" s="81" t="s">
        <v>39</v>
      </c>
      <c r="H2158" s="81" t="s">
        <v>5505</v>
      </c>
      <c r="I2158" s="81" t="s">
        <v>1260</v>
      </c>
      <c r="J2158" s="81" t="s">
        <v>224</v>
      </c>
    </row>
    <row r="2159" hidden="1">
      <c r="A2159" s="83" t="s">
        <v>6317</v>
      </c>
      <c r="B2159" s="83" t="s">
        <v>6318</v>
      </c>
      <c r="C2159" s="81" t="s">
        <v>4086</v>
      </c>
      <c r="D2159" s="83" t="s">
        <v>4309</v>
      </c>
      <c r="E2159" s="81" t="s">
        <v>1251</v>
      </c>
      <c r="F2159" s="84">
        <v>248.0</v>
      </c>
      <c r="G2159" s="81" t="s">
        <v>40</v>
      </c>
      <c r="H2159" s="81" t="s">
        <v>5506</v>
      </c>
      <c r="I2159" s="81" t="s">
        <v>5507</v>
      </c>
      <c r="J2159" s="81" t="s">
        <v>224</v>
      </c>
    </row>
    <row r="2160" hidden="1">
      <c r="A2160" s="83" t="s">
        <v>6317</v>
      </c>
      <c r="B2160" s="83" t="s">
        <v>6318</v>
      </c>
      <c r="C2160" s="81" t="s">
        <v>4086</v>
      </c>
      <c r="D2160" s="83" t="s">
        <v>4309</v>
      </c>
      <c r="E2160" s="81" t="s">
        <v>1267</v>
      </c>
      <c r="F2160" s="84">
        <v>249.0</v>
      </c>
      <c r="G2160" s="81" t="s">
        <v>40</v>
      </c>
      <c r="H2160" s="81" t="s">
        <v>5508</v>
      </c>
      <c r="I2160" s="81" t="s">
        <v>5507</v>
      </c>
      <c r="J2160" s="81" t="s">
        <v>224</v>
      </c>
    </row>
    <row r="2161" hidden="1">
      <c r="A2161" s="83" t="s">
        <v>6317</v>
      </c>
      <c r="B2161" s="83" t="s">
        <v>6318</v>
      </c>
      <c r="C2161" s="81" t="s">
        <v>4086</v>
      </c>
      <c r="D2161" s="83" t="s">
        <v>4310</v>
      </c>
      <c r="E2161" s="81" t="s">
        <v>1268</v>
      </c>
      <c r="F2161" s="84">
        <v>250.0</v>
      </c>
      <c r="G2161" s="81" t="s">
        <v>40</v>
      </c>
      <c r="H2161" s="81" t="s">
        <v>5509</v>
      </c>
      <c r="I2161" s="81" t="s">
        <v>1270</v>
      </c>
      <c r="J2161" s="81" t="s">
        <v>224</v>
      </c>
    </row>
    <row r="2162" hidden="1">
      <c r="A2162" s="83" t="s">
        <v>6317</v>
      </c>
      <c r="B2162" s="83" t="s">
        <v>6318</v>
      </c>
      <c r="C2162" s="81" t="s">
        <v>4086</v>
      </c>
      <c r="D2162" s="83" t="s">
        <v>4311</v>
      </c>
      <c r="E2162" s="81" t="s">
        <v>1271</v>
      </c>
      <c r="F2162" s="84">
        <v>251.0</v>
      </c>
      <c r="G2162" s="81" t="s">
        <v>39</v>
      </c>
      <c r="H2162" s="81" t="s">
        <v>5510</v>
      </c>
      <c r="I2162" s="81" t="s">
        <v>1278</v>
      </c>
      <c r="J2162" s="81" t="s">
        <v>224</v>
      </c>
    </row>
    <row r="2163" hidden="1">
      <c r="A2163" s="83" t="s">
        <v>6317</v>
      </c>
      <c r="B2163" s="83" t="s">
        <v>6318</v>
      </c>
      <c r="C2163" s="81" t="s">
        <v>4086</v>
      </c>
      <c r="D2163" s="83" t="s">
        <v>4311</v>
      </c>
      <c r="E2163" s="81" t="s">
        <v>1271</v>
      </c>
      <c r="F2163" s="84">
        <v>251.0</v>
      </c>
      <c r="G2163" s="81" t="s">
        <v>40</v>
      </c>
      <c r="H2163" s="81" t="s">
        <v>5511</v>
      </c>
      <c r="I2163" s="81" t="s">
        <v>1279</v>
      </c>
      <c r="J2163" s="81" t="s">
        <v>224</v>
      </c>
    </row>
    <row r="2164" hidden="1">
      <c r="A2164" s="83" t="s">
        <v>6317</v>
      </c>
      <c r="B2164" s="83" t="s">
        <v>6318</v>
      </c>
      <c r="C2164" s="81" t="s">
        <v>4086</v>
      </c>
      <c r="D2164" s="83" t="s">
        <v>4311</v>
      </c>
      <c r="E2164" s="81" t="s">
        <v>1285</v>
      </c>
      <c r="F2164" s="84">
        <v>252.0</v>
      </c>
      <c r="G2164" s="81" t="s">
        <v>40</v>
      </c>
      <c r="H2164" s="81" t="s">
        <v>5511</v>
      </c>
      <c r="I2164" s="81" t="s">
        <v>1279</v>
      </c>
      <c r="J2164" s="81" t="s">
        <v>224</v>
      </c>
    </row>
    <row r="2165" hidden="1">
      <c r="A2165" s="83" t="s">
        <v>6317</v>
      </c>
      <c r="B2165" s="83" t="s">
        <v>6318</v>
      </c>
      <c r="C2165" s="81" t="s">
        <v>4086</v>
      </c>
      <c r="D2165" s="83" t="s">
        <v>4313</v>
      </c>
      <c r="E2165" s="81" t="s">
        <v>1286</v>
      </c>
      <c r="F2165" s="84">
        <v>253.0</v>
      </c>
      <c r="G2165" s="81" t="s">
        <v>40</v>
      </c>
      <c r="H2165" s="81" t="s">
        <v>5512</v>
      </c>
      <c r="I2165" s="81" t="s">
        <v>1288</v>
      </c>
      <c r="J2165" s="81" t="s">
        <v>224</v>
      </c>
    </row>
    <row r="2166" hidden="1">
      <c r="A2166" s="83" t="s">
        <v>6317</v>
      </c>
      <c r="B2166" s="83" t="s">
        <v>6318</v>
      </c>
      <c r="C2166" s="81" t="s">
        <v>4086</v>
      </c>
      <c r="D2166" s="83" t="s">
        <v>4315</v>
      </c>
      <c r="E2166" s="81" t="s">
        <v>1297</v>
      </c>
      <c r="F2166" s="84">
        <v>255.0</v>
      </c>
      <c r="G2166" s="81" t="s">
        <v>39</v>
      </c>
      <c r="H2166" s="81" t="s">
        <v>5513</v>
      </c>
      <c r="I2166" s="81" t="s">
        <v>1306</v>
      </c>
      <c r="J2166" s="81" t="s">
        <v>224</v>
      </c>
    </row>
    <row r="2167" hidden="1">
      <c r="A2167" s="83" t="s">
        <v>6317</v>
      </c>
      <c r="B2167" s="83" t="s">
        <v>6318</v>
      </c>
      <c r="C2167" s="81" t="s">
        <v>4086</v>
      </c>
      <c r="D2167" s="83" t="s">
        <v>4315</v>
      </c>
      <c r="E2167" s="81" t="s">
        <v>1297</v>
      </c>
      <c r="F2167" s="84">
        <v>255.0</v>
      </c>
      <c r="G2167" s="81" t="s">
        <v>40</v>
      </c>
      <c r="H2167" s="81" t="s">
        <v>5514</v>
      </c>
      <c r="I2167" s="81" t="s">
        <v>1307</v>
      </c>
      <c r="J2167" s="81" t="s">
        <v>224</v>
      </c>
    </row>
    <row r="2168" hidden="1">
      <c r="A2168" s="83" t="s">
        <v>6317</v>
      </c>
      <c r="B2168" s="83" t="s">
        <v>6318</v>
      </c>
      <c r="C2168" s="81" t="s">
        <v>4082</v>
      </c>
      <c r="D2168" s="83" t="s">
        <v>4316</v>
      </c>
      <c r="E2168" s="81" t="s">
        <v>1313</v>
      </c>
      <c r="F2168" s="84">
        <v>256.0</v>
      </c>
      <c r="G2168" s="81" t="s">
        <v>39</v>
      </c>
      <c r="H2168" s="81" t="s">
        <v>224</v>
      </c>
      <c r="I2168" s="81" t="s">
        <v>224</v>
      </c>
      <c r="J2168" s="81" t="s">
        <v>5515</v>
      </c>
    </row>
    <row r="2169" hidden="1">
      <c r="A2169" s="83" t="s">
        <v>6317</v>
      </c>
      <c r="B2169" s="83" t="s">
        <v>6318</v>
      </c>
      <c r="C2169" s="81" t="s">
        <v>5141</v>
      </c>
      <c r="D2169" s="83" t="s">
        <v>4316</v>
      </c>
      <c r="E2169" s="81" t="s">
        <v>1313</v>
      </c>
      <c r="F2169" s="84">
        <v>256.0</v>
      </c>
      <c r="G2169" s="81" t="s">
        <v>39</v>
      </c>
      <c r="H2169" s="81" t="s">
        <v>5516</v>
      </c>
      <c r="I2169" s="81" t="s">
        <v>224</v>
      </c>
      <c r="J2169" s="81" t="s">
        <v>5143</v>
      </c>
    </row>
    <row r="2170" hidden="1">
      <c r="A2170" s="83" t="s">
        <v>6317</v>
      </c>
      <c r="B2170" s="83" t="s">
        <v>6318</v>
      </c>
      <c r="C2170" s="81" t="s">
        <v>4086</v>
      </c>
      <c r="D2170" s="83" t="s">
        <v>4316</v>
      </c>
      <c r="E2170" s="81" t="s">
        <v>1313</v>
      </c>
      <c r="F2170" s="84">
        <v>256.0</v>
      </c>
      <c r="G2170" s="81" t="s">
        <v>40</v>
      </c>
      <c r="H2170" s="81" t="s">
        <v>5517</v>
      </c>
      <c r="I2170" s="81" t="s">
        <v>1319</v>
      </c>
      <c r="J2170" s="81" t="s">
        <v>224</v>
      </c>
    </row>
    <row r="2171" hidden="1">
      <c r="A2171" s="83" t="s">
        <v>6317</v>
      </c>
      <c r="B2171" s="83" t="s">
        <v>6318</v>
      </c>
      <c r="C2171" s="81" t="s">
        <v>4086</v>
      </c>
      <c r="D2171" s="83" t="s">
        <v>4317</v>
      </c>
      <c r="E2171" s="81" t="s">
        <v>1325</v>
      </c>
      <c r="F2171" s="84">
        <v>257.0</v>
      </c>
      <c r="G2171" s="81" t="s">
        <v>40</v>
      </c>
      <c r="H2171" s="81" t="s">
        <v>5518</v>
      </c>
      <c r="I2171" s="81" t="s">
        <v>5519</v>
      </c>
      <c r="J2171" s="81" t="s">
        <v>224</v>
      </c>
    </row>
    <row r="2172" hidden="1">
      <c r="A2172" s="83" t="s">
        <v>6317</v>
      </c>
      <c r="B2172" s="83" t="s">
        <v>6318</v>
      </c>
      <c r="C2172" s="81" t="s">
        <v>4086</v>
      </c>
      <c r="D2172" s="83" t="s">
        <v>4318</v>
      </c>
      <c r="E2172" s="81" t="s">
        <v>1336</v>
      </c>
      <c r="F2172" s="84">
        <v>258.0</v>
      </c>
      <c r="G2172" s="81" t="s">
        <v>40</v>
      </c>
      <c r="H2172" s="81" t="s">
        <v>5520</v>
      </c>
      <c r="I2172" s="81" t="s">
        <v>1344</v>
      </c>
      <c r="J2172" s="81" t="s">
        <v>224</v>
      </c>
    </row>
    <row r="2173" hidden="1">
      <c r="A2173" s="83" t="s">
        <v>6317</v>
      </c>
      <c r="B2173" s="83" t="s">
        <v>6318</v>
      </c>
      <c r="C2173" s="81" t="s">
        <v>4086</v>
      </c>
      <c r="D2173" s="83" t="s">
        <v>4319</v>
      </c>
      <c r="E2173" s="81" t="s">
        <v>1350</v>
      </c>
      <c r="F2173" s="84">
        <v>259.0</v>
      </c>
      <c r="G2173" s="81" t="s">
        <v>39</v>
      </c>
      <c r="H2173" s="81" t="s">
        <v>5521</v>
      </c>
      <c r="I2173" s="81" t="s">
        <v>1353</v>
      </c>
      <c r="J2173" s="81" t="s">
        <v>224</v>
      </c>
    </row>
    <row r="2174" hidden="1">
      <c r="A2174" s="83" t="s">
        <v>6317</v>
      </c>
      <c r="B2174" s="83" t="s">
        <v>6318</v>
      </c>
      <c r="C2174" s="81" t="s">
        <v>4086</v>
      </c>
      <c r="D2174" s="83" t="s">
        <v>4319</v>
      </c>
      <c r="E2174" s="81" t="s">
        <v>1350</v>
      </c>
      <c r="F2174" s="84">
        <v>259.0</v>
      </c>
      <c r="G2174" s="81" t="s">
        <v>40</v>
      </c>
      <c r="H2174" s="81" t="s">
        <v>5522</v>
      </c>
      <c r="I2174" s="81" t="s">
        <v>1354</v>
      </c>
      <c r="J2174" s="81" t="s">
        <v>224</v>
      </c>
    </row>
    <row r="2175" hidden="1">
      <c r="A2175" s="83" t="s">
        <v>6317</v>
      </c>
      <c r="B2175" s="83" t="s">
        <v>6318</v>
      </c>
      <c r="C2175" s="81" t="s">
        <v>4086</v>
      </c>
      <c r="D2175" s="83" t="s">
        <v>4320</v>
      </c>
      <c r="E2175" s="81" t="s">
        <v>1357</v>
      </c>
      <c r="F2175" s="84">
        <v>260.0</v>
      </c>
      <c r="G2175" s="81" t="s">
        <v>39</v>
      </c>
      <c r="H2175" s="81" t="s">
        <v>5524</v>
      </c>
      <c r="I2175" s="81" t="s">
        <v>1362</v>
      </c>
      <c r="J2175" s="81" t="s">
        <v>224</v>
      </c>
    </row>
    <row r="2176" hidden="1">
      <c r="A2176" s="83" t="s">
        <v>6317</v>
      </c>
      <c r="B2176" s="83" t="s">
        <v>6318</v>
      </c>
      <c r="C2176" s="81" t="s">
        <v>4086</v>
      </c>
      <c r="D2176" s="83" t="s">
        <v>4320</v>
      </c>
      <c r="E2176" s="81" t="s">
        <v>1357</v>
      </c>
      <c r="F2176" s="84">
        <v>260.0</v>
      </c>
      <c r="G2176" s="81" t="s">
        <v>40</v>
      </c>
      <c r="H2176" s="81" t="s">
        <v>5525</v>
      </c>
      <c r="I2176" s="81" t="s">
        <v>1363</v>
      </c>
      <c r="J2176" s="81" t="s">
        <v>224</v>
      </c>
    </row>
    <row r="2177" hidden="1">
      <c r="A2177" s="83" t="s">
        <v>6317</v>
      </c>
      <c r="B2177" s="83" t="s">
        <v>6318</v>
      </c>
      <c r="C2177" s="81" t="s">
        <v>4086</v>
      </c>
      <c r="D2177" s="83" t="s">
        <v>4320</v>
      </c>
      <c r="E2177" s="81" t="s">
        <v>1365</v>
      </c>
      <c r="F2177" s="84">
        <v>261.0</v>
      </c>
      <c r="G2177" s="81" t="s">
        <v>39</v>
      </c>
      <c r="H2177" s="81" t="s">
        <v>5524</v>
      </c>
      <c r="I2177" s="81" t="s">
        <v>1362</v>
      </c>
      <c r="J2177" s="81" t="s">
        <v>224</v>
      </c>
    </row>
    <row r="2178" hidden="1">
      <c r="A2178" s="83" t="s">
        <v>6317</v>
      </c>
      <c r="B2178" s="83" t="s">
        <v>6318</v>
      </c>
      <c r="C2178" s="81" t="s">
        <v>4086</v>
      </c>
      <c r="D2178" s="83" t="s">
        <v>4320</v>
      </c>
      <c r="E2178" s="81" t="s">
        <v>1365</v>
      </c>
      <c r="F2178" s="84">
        <v>261.0</v>
      </c>
      <c r="G2178" s="81" t="s">
        <v>40</v>
      </c>
      <c r="H2178" s="81" t="s">
        <v>5525</v>
      </c>
      <c r="I2178" s="81" t="s">
        <v>1363</v>
      </c>
      <c r="J2178" s="81" t="s">
        <v>224</v>
      </c>
    </row>
    <row r="2179" hidden="1">
      <c r="A2179" s="83" t="s">
        <v>6317</v>
      </c>
      <c r="B2179" s="83" t="s">
        <v>6318</v>
      </c>
      <c r="C2179" s="81" t="s">
        <v>4086</v>
      </c>
      <c r="D2179" s="83" t="s">
        <v>4322</v>
      </c>
      <c r="E2179" s="81" t="s">
        <v>1367</v>
      </c>
      <c r="F2179" s="84">
        <v>262.0</v>
      </c>
      <c r="G2179" s="81" t="s">
        <v>39</v>
      </c>
      <c r="H2179" s="81" t="s">
        <v>5528</v>
      </c>
      <c r="I2179" s="81" t="s">
        <v>1368</v>
      </c>
      <c r="J2179" s="81" t="s">
        <v>224</v>
      </c>
    </row>
    <row r="2180" hidden="1">
      <c r="A2180" s="83" t="s">
        <v>6317</v>
      </c>
      <c r="B2180" s="83" t="s">
        <v>6318</v>
      </c>
      <c r="C2180" s="81" t="s">
        <v>4086</v>
      </c>
      <c r="D2180" s="83" t="s">
        <v>4322</v>
      </c>
      <c r="E2180" s="81" t="s">
        <v>1367</v>
      </c>
      <c r="F2180" s="84">
        <v>262.0</v>
      </c>
      <c r="G2180" s="81" t="s">
        <v>40</v>
      </c>
      <c r="H2180" s="81" t="s">
        <v>5529</v>
      </c>
      <c r="I2180" s="81" t="s">
        <v>1369</v>
      </c>
      <c r="J2180" s="81" t="s">
        <v>224</v>
      </c>
    </row>
    <row r="2181" hidden="1">
      <c r="A2181" s="83" t="s">
        <v>6317</v>
      </c>
      <c r="B2181" s="83" t="s">
        <v>6318</v>
      </c>
      <c r="C2181" s="81" t="s">
        <v>4086</v>
      </c>
      <c r="D2181" s="83" t="s">
        <v>4323</v>
      </c>
      <c r="E2181" s="81" t="s">
        <v>1370</v>
      </c>
      <c r="F2181" s="84">
        <v>263.0</v>
      </c>
      <c r="G2181" s="81" t="s">
        <v>39</v>
      </c>
      <c r="H2181" s="81" t="s">
        <v>5531</v>
      </c>
      <c r="I2181" s="81" t="s">
        <v>1362</v>
      </c>
      <c r="J2181" s="81" t="s">
        <v>224</v>
      </c>
    </row>
    <row r="2182" hidden="1">
      <c r="A2182" s="83" t="s">
        <v>6317</v>
      </c>
      <c r="B2182" s="83" t="s">
        <v>6318</v>
      </c>
      <c r="C2182" s="81" t="s">
        <v>4086</v>
      </c>
      <c r="D2182" s="83" t="s">
        <v>4323</v>
      </c>
      <c r="E2182" s="81" t="s">
        <v>1370</v>
      </c>
      <c r="F2182" s="84">
        <v>263.0</v>
      </c>
      <c r="G2182" s="81" t="s">
        <v>40</v>
      </c>
      <c r="H2182" s="81" t="s">
        <v>5532</v>
      </c>
      <c r="I2182" s="81" t="s">
        <v>1363</v>
      </c>
      <c r="J2182" s="81" t="s">
        <v>224</v>
      </c>
    </row>
    <row r="2183" hidden="1">
      <c r="A2183" s="83" t="s">
        <v>6317</v>
      </c>
      <c r="B2183" s="83" t="s">
        <v>6318</v>
      </c>
      <c r="C2183" s="81" t="s">
        <v>4086</v>
      </c>
      <c r="D2183" s="83" t="s">
        <v>4325</v>
      </c>
      <c r="E2183" s="81" t="s">
        <v>1374</v>
      </c>
      <c r="F2183" s="84">
        <v>264.0</v>
      </c>
      <c r="G2183" s="81" t="s">
        <v>39</v>
      </c>
      <c r="H2183" s="81" t="s">
        <v>5533</v>
      </c>
      <c r="I2183" s="81" t="s">
        <v>1368</v>
      </c>
      <c r="J2183" s="81" t="s">
        <v>224</v>
      </c>
    </row>
    <row r="2184" hidden="1">
      <c r="A2184" s="83" t="s">
        <v>6317</v>
      </c>
      <c r="B2184" s="83" t="s">
        <v>6318</v>
      </c>
      <c r="C2184" s="81" t="s">
        <v>4086</v>
      </c>
      <c r="D2184" s="83" t="s">
        <v>4325</v>
      </c>
      <c r="E2184" s="81" t="s">
        <v>1374</v>
      </c>
      <c r="F2184" s="84">
        <v>264.0</v>
      </c>
      <c r="G2184" s="81" t="s">
        <v>40</v>
      </c>
      <c r="H2184" s="81" t="s">
        <v>5534</v>
      </c>
      <c r="I2184" s="81" t="s">
        <v>1369</v>
      </c>
      <c r="J2184" s="81" t="s">
        <v>224</v>
      </c>
    </row>
    <row r="2185" hidden="1">
      <c r="A2185" s="83" t="s">
        <v>6317</v>
      </c>
      <c r="B2185" s="83" t="s">
        <v>6318</v>
      </c>
      <c r="C2185" s="81" t="s">
        <v>4086</v>
      </c>
      <c r="D2185" s="83" t="s">
        <v>4326</v>
      </c>
      <c r="E2185" s="81" t="s">
        <v>1375</v>
      </c>
      <c r="F2185" s="84">
        <v>265.0</v>
      </c>
      <c r="G2185" s="81" t="s">
        <v>39</v>
      </c>
      <c r="H2185" s="81" t="s">
        <v>5535</v>
      </c>
      <c r="I2185" s="81" t="s">
        <v>1362</v>
      </c>
      <c r="J2185" s="81" t="s">
        <v>224</v>
      </c>
    </row>
    <row r="2186" hidden="1">
      <c r="A2186" s="83" t="s">
        <v>6317</v>
      </c>
      <c r="B2186" s="83" t="s">
        <v>6318</v>
      </c>
      <c r="C2186" s="81" t="s">
        <v>4086</v>
      </c>
      <c r="D2186" s="83" t="s">
        <v>4326</v>
      </c>
      <c r="E2186" s="81" t="s">
        <v>1375</v>
      </c>
      <c r="F2186" s="84">
        <v>265.0</v>
      </c>
      <c r="G2186" s="81" t="s">
        <v>40</v>
      </c>
      <c r="H2186" s="81" t="s">
        <v>5536</v>
      </c>
      <c r="I2186" s="81" t="s">
        <v>1363</v>
      </c>
      <c r="J2186" s="81" t="s">
        <v>224</v>
      </c>
    </row>
    <row r="2187" hidden="1">
      <c r="A2187" s="83" t="s">
        <v>6317</v>
      </c>
      <c r="B2187" s="83" t="s">
        <v>6318</v>
      </c>
      <c r="C2187" s="81" t="s">
        <v>4086</v>
      </c>
      <c r="D2187" s="83" t="s">
        <v>4328</v>
      </c>
      <c r="E2187" s="81" t="s">
        <v>1379</v>
      </c>
      <c r="F2187" s="84">
        <v>266.0</v>
      </c>
      <c r="G2187" s="81" t="s">
        <v>39</v>
      </c>
      <c r="H2187" s="81" t="s">
        <v>5537</v>
      </c>
      <c r="I2187" s="81" t="s">
        <v>1368</v>
      </c>
      <c r="J2187" s="81" t="s">
        <v>224</v>
      </c>
    </row>
    <row r="2188" hidden="1">
      <c r="A2188" s="83" t="s">
        <v>6317</v>
      </c>
      <c r="B2188" s="83" t="s">
        <v>6318</v>
      </c>
      <c r="C2188" s="81" t="s">
        <v>4086</v>
      </c>
      <c r="D2188" s="83" t="s">
        <v>4328</v>
      </c>
      <c r="E2188" s="81" t="s">
        <v>1379</v>
      </c>
      <c r="F2188" s="84">
        <v>266.0</v>
      </c>
      <c r="G2188" s="81" t="s">
        <v>40</v>
      </c>
      <c r="H2188" s="81" t="s">
        <v>5538</v>
      </c>
      <c r="I2188" s="81" t="s">
        <v>1369</v>
      </c>
      <c r="J2188" s="81" t="s">
        <v>224</v>
      </c>
    </row>
    <row r="2189" hidden="1">
      <c r="A2189" s="83" t="s">
        <v>6317</v>
      </c>
      <c r="B2189" s="83" t="s">
        <v>6318</v>
      </c>
      <c r="C2189" s="81" t="s">
        <v>4086</v>
      </c>
      <c r="D2189" s="83" t="s">
        <v>4329</v>
      </c>
      <c r="E2189" s="81" t="s">
        <v>1380</v>
      </c>
      <c r="F2189" s="84">
        <v>267.0</v>
      </c>
      <c r="G2189" s="81" t="s">
        <v>40</v>
      </c>
      <c r="H2189" s="81" t="s">
        <v>5540</v>
      </c>
      <c r="I2189" s="81" t="s">
        <v>1385</v>
      </c>
      <c r="J2189" s="81" t="s">
        <v>224</v>
      </c>
    </row>
    <row r="2190" hidden="1">
      <c r="A2190" s="83" t="s">
        <v>6317</v>
      </c>
      <c r="B2190" s="83" t="s">
        <v>6318</v>
      </c>
      <c r="C2190" s="81" t="s">
        <v>4086</v>
      </c>
      <c r="D2190" s="83" t="s">
        <v>4329</v>
      </c>
      <c r="E2190" s="81" t="s">
        <v>1387</v>
      </c>
      <c r="F2190" s="84">
        <v>268.0</v>
      </c>
      <c r="G2190" s="81" t="s">
        <v>40</v>
      </c>
      <c r="H2190" s="81" t="s">
        <v>5540</v>
      </c>
      <c r="I2190" s="81" t="s">
        <v>1385</v>
      </c>
      <c r="J2190" s="81" t="s">
        <v>224</v>
      </c>
    </row>
    <row r="2191" hidden="1">
      <c r="A2191" s="83" t="s">
        <v>6317</v>
      </c>
      <c r="B2191" s="83" t="s">
        <v>6318</v>
      </c>
      <c r="C2191" s="81" t="s">
        <v>4086</v>
      </c>
      <c r="D2191" s="83" t="s">
        <v>4331</v>
      </c>
      <c r="E2191" s="81" t="s">
        <v>1388</v>
      </c>
      <c r="F2191" s="84">
        <v>269.0</v>
      </c>
      <c r="G2191" s="81" t="s">
        <v>40</v>
      </c>
      <c r="H2191" s="81" t="s">
        <v>5543</v>
      </c>
      <c r="I2191" s="81" t="s">
        <v>1390</v>
      </c>
      <c r="J2191" s="81" t="s">
        <v>224</v>
      </c>
    </row>
    <row r="2192" hidden="1">
      <c r="A2192" s="83" t="s">
        <v>6317</v>
      </c>
      <c r="B2192" s="83" t="s">
        <v>6318</v>
      </c>
      <c r="C2192" s="81" t="s">
        <v>4086</v>
      </c>
      <c r="D2192" s="83" t="s">
        <v>4332</v>
      </c>
      <c r="E2192" s="81" t="s">
        <v>1391</v>
      </c>
      <c r="F2192" s="84">
        <v>270.0</v>
      </c>
      <c r="G2192" s="81" t="s">
        <v>40</v>
      </c>
      <c r="H2192" s="81" t="s">
        <v>5545</v>
      </c>
      <c r="I2192" s="81" t="s">
        <v>1385</v>
      </c>
      <c r="J2192" s="81" t="s">
        <v>224</v>
      </c>
    </row>
    <row r="2193" hidden="1">
      <c r="A2193" s="83" t="s">
        <v>6317</v>
      </c>
      <c r="B2193" s="83" t="s">
        <v>6318</v>
      </c>
      <c r="C2193" s="81" t="s">
        <v>4086</v>
      </c>
      <c r="D2193" s="83" t="s">
        <v>4334</v>
      </c>
      <c r="E2193" s="81" t="s">
        <v>1395</v>
      </c>
      <c r="F2193" s="84">
        <v>271.0</v>
      </c>
      <c r="G2193" s="81" t="s">
        <v>40</v>
      </c>
      <c r="H2193" s="81" t="s">
        <v>5546</v>
      </c>
      <c r="I2193" s="81" t="s">
        <v>1390</v>
      </c>
      <c r="J2193" s="81" t="s">
        <v>224</v>
      </c>
    </row>
    <row r="2194" hidden="1">
      <c r="A2194" s="83" t="s">
        <v>6317</v>
      </c>
      <c r="B2194" s="83" t="s">
        <v>6318</v>
      </c>
      <c r="C2194" s="81" t="s">
        <v>4086</v>
      </c>
      <c r="D2194" s="83" t="s">
        <v>4335</v>
      </c>
      <c r="E2194" s="81" t="s">
        <v>1396</v>
      </c>
      <c r="F2194" s="84">
        <v>272.0</v>
      </c>
      <c r="G2194" s="81" t="s">
        <v>40</v>
      </c>
      <c r="H2194" s="81" t="s">
        <v>5547</v>
      </c>
      <c r="I2194" s="81" t="s">
        <v>1385</v>
      </c>
      <c r="J2194" s="81" t="s">
        <v>224</v>
      </c>
    </row>
    <row r="2195" hidden="1">
      <c r="A2195" s="83" t="s">
        <v>6317</v>
      </c>
      <c r="B2195" s="83" t="s">
        <v>6318</v>
      </c>
      <c r="C2195" s="81" t="s">
        <v>4086</v>
      </c>
      <c r="D2195" s="83" t="s">
        <v>4337</v>
      </c>
      <c r="E2195" s="81" t="s">
        <v>1400</v>
      </c>
      <c r="F2195" s="84">
        <v>273.0</v>
      </c>
      <c r="G2195" s="81" t="s">
        <v>40</v>
      </c>
      <c r="H2195" s="81" t="s">
        <v>5548</v>
      </c>
      <c r="I2195" s="81" t="s">
        <v>1390</v>
      </c>
      <c r="J2195" s="81" t="s">
        <v>224</v>
      </c>
    </row>
    <row r="2196" hidden="1">
      <c r="A2196" s="83" t="s">
        <v>6317</v>
      </c>
      <c r="B2196" s="83" t="s">
        <v>6318</v>
      </c>
      <c r="C2196" s="81" t="s">
        <v>4086</v>
      </c>
      <c r="D2196" s="83" t="s">
        <v>4338</v>
      </c>
      <c r="E2196" s="81" t="s">
        <v>1401</v>
      </c>
      <c r="F2196" s="84">
        <v>274.0</v>
      </c>
      <c r="G2196" s="81" t="s">
        <v>39</v>
      </c>
      <c r="H2196" s="81" t="s">
        <v>5549</v>
      </c>
      <c r="I2196" s="81" t="s">
        <v>1413</v>
      </c>
      <c r="J2196" s="81" t="s">
        <v>224</v>
      </c>
    </row>
    <row r="2197" hidden="1">
      <c r="A2197" s="83" t="s">
        <v>6317</v>
      </c>
      <c r="B2197" s="83" t="s">
        <v>6318</v>
      </c>
      <c r="C2197" s="81" t="s">
        <v>4086</v>
      </c>
      <c r="D2197" s="83" t="s">
        <v>4338</v>
      </c>
      <c r="E2197" s="81" t="s">
        <v>1401</v>
      </c>
      <c r="F2197" s="84">
        <v>274.0</v>
      </c>
      <c r="G2197" s="81" t="s">
        <v>40</v>
      </c>
      <c r="H2197" s="81" t="s">
        <v>5550</v>
      </c>
      <c r="I2197" s="81" t="s">
        <v>1414</v>
      </c>
      <c r="J2197" s="81" t="s">
        <v>224</v>
      </c>
    </row>
    <row r="2198" hidden="1">
      <c r="A2198" s="83" t="s">
        <v>6317</v>
      </c>
      <c r="B2198" s="83" t="s">
        <v>6318</v>
      </c>
      <c r="C2198" s="81" t="s">
        <v>4086</v>
      </c>
      <c r="D2198" s="83" t="s">
        <v>4338</v>
      </c>
      <c r="E2198" s="81" t="s">
        <v>1419</v>
      </c>
      <c r="F2198" s="84">
        <v>275.0</v>
      </c>
      <c r="G2198" s="81" t="s">
        <v>39</v>
      </c>
      <c r="H2198" s="81" t="s">
        <v>5549</v>
      </c>
      <c r="I2198" s="81" t="s">
        <v>1413</v>
      </c>
      <c r="J2198" s="81" t="s">
        <v>224</v>
      </c>
    </row>
    <row r="2199" hidden="1">
      <c r="A2199" s="83" t="s">
        <v>6317</v>
      </c>
      <c r="B2199" s="83" t="s">
        <v>6318</v>
      </c>
      <c r="C2199" s="81" t="s">
        <v>4086</v>
      </c>
      <c r="D2199" s="83" t="s">
        <v>4338</v>
      </c>
      <c r="E2199" s="81" t="s">
        <v>1419</v>
      </c>
      <c r="F2199" s="84">
        <v>275.0</v>
      </c>
      <c r="G2199" s="81" t="s">
        <v>40</v>
      </c>
      <c r="H2199" s="81" t="s">
        <v>5550</v>
      </c>
      <c r="I2199" s="81" t="s">
        <v>1414</v>
      </c>
      <c r="J2199" s="81" t="s">
        <v>224</v>
      </c>
    </row>
    <row r="2200" hidden="1">
      <c r="A2200" s="83" t="s">
        <v>6317</v>
      </c>
      <c r="B2200" s="83" t="s">
        <v>6318</v>
      </c>
      <c r="C2200" s="81" t="s">
        <v>4086</v>
      </c>
      <c r="D2200" s="83" t="s">
        <v>4341</v>
      </c>
      <c r="E2200" s="81" t="s">
        <v>1423</v>
      </c>
      <c r="F2200" s="84">
        <v>276.0</v>
      </c>
      <c r="G2200" s="81" t="s">
        <v>39</v>
      </c>
      <c r="H2200" s="81" t="s">
        <v>5551</v>
      </c>
      <c r="I2200" s="81" t="s">
        <v>1424</v>
      </c>
      <c r="J2200" s="81" t="s">
        <v>224</v>
      </c>
    </row>
    <row r="2201" hidden="1">
      <c r="A2201" s="83" t="s">
        <v>6317</v>
      </c>
      <c r="B2201" s="83" t="s">
        <v>6318</v>
      </c>
      <c r="C2201" s="81" t="s">
        <v>4086</v>
      </c>
      <c r="D2201" s="83" t="s">
        <v>4341</v>
      </c>
      <c r="E2201" s="81" t="s">
        <v>1423</v>
      </c>
      <c r="F2201" s="84">
        <v>276.0</v>
      </c>
      <c r="G2201" s="81" t="s">
        <v>40</v>
      </c>
      <c r="H2201" s="81" t="s">
        <v>5552</v>
      </c>
      <c r="I2201" s="81" t="s">
        <v>5553</v>
      </c>
      <c r="J2201" s="81" t="s">
        <v>224</v>
      </c>
    </row>
    <row r="2202" hidden="1">
      <c r="A2202" s="83" t="s">
        <v>6317</v>
      </c>
      <c r="B2202" s="83" t="s">
        <v>6318</v>
      </c>
      <c r="C2202" s="81" t="s">
        <v>4086</v>
      </c>
      <c r="D2202" s="83" t="s">
        <v>4342</v>
      </c>
      <c r="E2202" s="81" t="s">
        <v>1426</v>
      </c>
      <c r="F2202" s="84">
        <v>277.0</v>
      </c>
      <c r="G2202" s="81" t="s">
        <v>40</v>
      </c>
      <c r="H2202" s="81" t="s">
        <v>5554</v>
      </c>
      <c r="I2202" s="81" t="s">
        <v>1433</v>
      </c>
      <c r="J2202" s="81" t="s">
        <v>224</v>
      </c>
    </row>
    <row r="2203" hidden="1">
      <c r="A2203" s="83" t="s">
        <v>6317</v>
      </c>
      <c r="B2203" s="83" t="s">
        <v>6318</v>
      </c>
      <c r="C2203" s="81" t="s">
        <v>4086</v>
      </c>
      <c r="D2203" s="83" t="s">
        <v>4344</v>
      </c>
      <c r="E2203" s="81" t="s">
        <v>1438</v>
      </c>
      <c r="F2203" s="84">
        <v>278.0</v>
      </c>
      <c r="G2203" s="81" t="s">
        <v>40</v>
      </c>
      <c r="H2203" s="81" t="s">
        <v>5555</v>
      </c>
      <c r="I2203" s="81" t="s">
        <v>1440</v>
      </c>
      <c r="J2203" s="81" t="s">
        <v>224</v>
      </c>
    </row>
    <row r="2204" hidden="1">
      <c r="A2204" s="83" t="s">
        <v>6317</v>
      </c>
      <c r="B2204" s="83" t="s">
        <v>6318</v>
      </c>
      <c r="C2204" s="81" t="s">
        <v>4086</v>
      </c>
      <c r="D2204" s="83" t="s">
        <v>4345</v>
      </c>
      <c r="E2204" s="81" t="s">
        <v>1441</v>
      </c>
      <c r="F2204" s="84">
        <v>279.0</v>
      </c>
      <c r="G2204" s="81" t="s">
        <v>39</v>
      </c>
      <c r="H2204" s="81" t="s">
        <v>5556</v>
      </c>
      <c r="I2204" s="81" t="s">
        <v>1447</v>
      </c>
      <c r="J2204" s="81" t="s">
        <v>224</v>
      </c>
    </row>
    <row r="2205" hidden="1">
      <c r="A2205" s="83" t="s">
        <v>6317</v>
      </c>
      <c r="B2205" s="83" t="s">
        <v>6318</v>
      </c>
      <c r="C2205" s="81" t="s">
        <v>4086</v>
      </c>
      <c r="D2205" s="83" t="s">
        <v>4345</v>
      </c>
      <c r="E2205" s="81" t="s">
        <v>1441</v>
      </c>
      <c r="F2205" s="84">
        <v>279.0</v>
      </c>
      <c r="G2205" s="81" t="s">
        <v>40</v>
      </c>
      <c r="H2205" s="81" t="s">
        <v>5557</v>
      </c>
      <c r="I2205" s="81" t="s">
        <v>5558</v>
      </c>
      <c r="J2205" s="81" t="s">
        <v>224</v>
      </c>
    </row>
    <row r="2206" hidden="1">
      <c r="A2206" s="83" t="s">
        <v>6317</v>
      </c>
      <c r="B2206" s="83" t="s">
        <v>6318</v>
      </c>
      <c r="C2206" s="81" t="s">
        <v>4086</v>
      </c>
      <c r="D2206" s="83" t="s">
        <v>4347</v>
      </c>
      <c r="E2206" s="81" t="s">
        <v>1453</v>
      </c>
      <c r="F2206" s="84">
        <v>280.0</v>
      </c>
      <c r="G2206" s="81" t="s">
        <v>40</v>
      </c>
      <c r="H2206" s="81" t="s">
        <v>5559</v>
      </c>
      <c r="I2206" s="81" t="s">
        <v>1455</v>
      </c>
      <c r="J2206" s="81" t="s">
        <v>224</v>
      </c>
    </row>
    <row r="2207" hidden="1">
      <c r="A2207" s="83" t="s">
        <v>6317</v>
      </c>
      <c r="B2207" s="83" t="s">
        <v>6318</v>
      </c>
      <c r="C2207" s="81" t="s">
        <v>4086</v>
      </c>
      <c r="D2207" s="83" t="s">
        <v>4348</v>
      </c>
      <c r="E2207" s="81" t="s">
        <v>1456</v>
      </c>
      <c r="F2207" s="84">
        <v>281.0</v>
      </c>
      <c r="G2207" s="81" t="s">
        <v>39</v>
      </c>
      <c r="H2207" s="81" t="s">
        <v>5560</v>
      </c>
      <c r="I2207" s="81" t="s">
        <v>1462</v>
      </c>
      <c r="J2207" s="81" t="s">
        <v>224</v>
      </c>
    </row>
    <row r="2208" hidden="1">
      <c r="A2208" s="83" t="s">
        <v>6317</v>
      </c>
      <c r="B2208" s="83" t="s">
        <v>6318</v>
      </c>
      <c r="C2208" s="81" t="s">
        <v>4086</v>
      </c>
      <c r="D2208" s="83" t="s">
        <v>4348</v>
      </c>
      <c r="E2208" s="81" t="s">
        <v>1456</v>
      </c>
      <c r="F2208" s="84">
        <v>281.0</v>
      </c>
      <c r="G2208" s="81" t="s">
        <v>40</v>
      </c>
      <c r="H2208" s="81" t="s">
        <v>5561</v>
      </c>
      <c r="I2208" s="81" t="s">
        <v>1463</v>
      </c>
      <c r="J2208" s="81" t="s">
        <v>224</v>
      </c>
    </row>
    <row r="2209" hidden="1">
      <c r="A2209" s="83" t="s">
        <v>6317</v>
      </c>
      <c r="B2209" s="83" t="s">
        <v>6318</v>
      </c>
      <c r="C2209" s="81" t="s">
        <v>4086</v>
      </c>
      <c r="D2209" s="83" t="s">
        <v>4350</v>
      </c>
      <c r="E2209" s="81" t="s">
        <v>1467</v>
      </c>
      <c r="F2209" s="84">
        <v>282.0</v>
      </c>
      <c r="G2209" s="81" t="s">
        <v>40</v>
      </c>
      <c r="H2209" s="81" t="s">
        <v>5562</v>
      </c>
      <c r="I2209" s="81" t="s">
        <v>1469</v>
      </c>
      <c r="J2209" s="81" t="s">
        <v>224</v>
      </c>
    </row>
    <row r="2210" hidden="1">
      <c r="A2210" s="83" t="s">
        <v>6317</v>
      </c>
      <c r="B2210" s="83" t="s">
        <v>6318</v>
      </c>
      <c r="C2210" s="81" t="s">
        <v>4086</v>
      </c>
      <c r="D2210" s="83" t="s">
        <v>4351</v>
      </c>
      <c r="E2210" s="81" t="s">
        <v>1470</v>
      </c>
      <c r="F2210" s="84">
        <v>283.0</v>
      </c>
      <c r="G2210" s="81" t="s">
        <v>39</v>
      </c>
      <c r="H2210" s="81" t="s">
        <v>5563</v>
      </c>
      <c r="I2210" s="81" t="s">
        <v>1472</v>
      </c>
      <c r="J2210" s="81" t="s">
        <v>224</v>
      </c>
    </row>
    <row r="2211" hidden="1">
      <c r="A2211" s="83" t="s">
        <v>6317</v>
      </c>
      <c r="B2211" s="83" t="s">
        <v>6318</v>
      </c>
      <c r="C2211" s="81" t="s">
        <v>4086</v>
      </c>
      <c r="D2211" s="83" t="s">
        <v>4351</v>
      </c>
      <c r="E2211" s="81" t="s">
        <v>1470</v>
      </c>
      <c r="F2211" s="84">
        <v>283.0</v>
      </c>
      <c r="G2211" s="81" t="s">
        <v>40</v>
      </c>
      <c r="H2211" s="81" t="s">
        <v>5564</v>
      </c>
      <c r="I2211" s="81" t="s">
        <v>1473</v>
      </c>
      <c r="J2211" s="81" t="s">
        <v>224</v>
      </c>
    </row>
    <row r="2212" hidden="1">
      <c r="A2212" s="83" t="s">
        <v>6317</v>
      </c>
      <c r="B2212" s="83" t="s">
        <v>6318</v>
      </c>
      <c r="C2212" s="81" t="s">
        <v>4086</v>
      </c>
      <c r="D2212" s="83" t="s">
        <v>4351</v>
      </c>
      <c r="E2212" s="81" t="s">
        <v>1474</v>
      </c>
      <c r="F2212" s="84">
        <v>284.0</v>
      </c>
      <c r="G2212" s="81" t="s">
        <v>39</v>
      </c>
      <c r="H2212" s="81" t="s">
        <v>5563</v>
      </c>
      <c r="I2212" s="81" t="s">
        <v>1472</v>
      </c>
      <c r="J2212" s="81" t="s">
        <v>224</v>
      </c>
    </row>
    <row r="2213" hidden="1">
      <c r="A2213" s="83" t="s">
        <v>6317</v>
      </c>
      <c r="B2213" s="83" t="s">
        <v>6318</v>
      </c>
      <c r="C2213" s="81" t="s">
        <v>4086</v>
      </c>
      <c r="D2213" s="83" t="s">
        <v>4351</v>
      </c>
      <c r="E2213" s="81" t="s">
        <v>1474</v>
      </c>
      <c r="F2213" s="84">
        <v>284.0</v>
      </c>
      <c r="G2213" s="81" t="s">
        <v>40</v>
      </c>
      <c r="H2213" s="81" t="s">
        <v>5564</v>
      </c>
      <c r="I2213" s="81" t="s">
        <v>1473</v>
      </c>
      <c r="J2213" s="81" t="s">
        <v>224</v>
      </c>
    </row>
    <row r="2214" hidden="1">
      <c r="A2214" s="83" t="s">
        <v>6317</v>
      </c>
      <c r="B2214" s="83" t="s">
        <v>6318</v>
      </c>
      <c r="C2214" s="81" t="s">
        <v>4086</v>
      </c>
      <c r="D2214" s="83" t="s">
        <v>4353</v>
      </c>
      <c r="E2214" s="81" t="s">
        <v>1477</v>
      </c>
      <c r="F2214" s="84">
        <v>285.0</v>
      </c>
      <c r="G2214" s="81" t="s">
        <v>39</v>
      </c>
      <c r="H2214" s="81" t="s">
        <v>5565</v>
      </c>
      <c r="I2214" s="81" t="s">
        <v>1478</v>
      </c>
      <c r="J2214" s="81" t="s">
        <v>224</v>
      </c>
    </row>
    <row r="2215" hidden="1">
      <c r="A2215" s="83" t="s">
        <v>6317</v>
      </c>
      <c r="B2215" s="83" t="s">
        <v>6318</v>
      </c>
      <c r="C2215" s="81" t="s">
        <v>4086</v>
      </c>
      <c r="D2215" s="83" t="s">
        <v>4353</v>
      </c>
      <c r="E2215" s="81" t="s">
        <v>1477</v>
      </c>
      <c r="F2215" s="84">
        <v>285.0</v>
      </c>
      <c r="G2215" s="81" t="s">
        <v>40</v>
      </c>
      <c r="H2215" s="81" t="s">
        <v>5566</v>
      </c>
      <c r="I2215" s="81" t="s">
        <v>1479</v>
      </c>
      <c r="J2215" s="81" t="s">
        <v>224</v>
      </c>
    </row>
    <row r="2216" hidden="1">
      <c r="A2216" s="83" t="s">
        <v>6317</v>
      </c>
      <c r="B2216" s="83" t="s">
        <v>6318</v>
      </c>
      <c r="C2216" s="81" t="s">
        <v>4086</v>
      </c>
      <c r="D2216" s="83" t="s">
        <v>4354</v>
      </c>
      <c r="E2216" s="81" t="s">
        <v>1480</v>
      </c>
      <c r="F2216" s="84">
        <v>286.0</v>
      </c>
      <c r="G2216" s="81" t="s">
        <v>39</v>
      </c>
      <c r="H2216" s="81" t="s">
        <v>5567</v>
      </c>
      <c r="I2216" s="81" t="s">
        <v>1482</v>
      </c>
      <c r="J2216" s="81" t="s">
        <v>224</v>
      </c>
    </row>
    <row r="2217" hidden="1">
      <c r="A2217" s="83" t="s">
        <v>6317</v>
      </c>
      <c r="B2217" s="83" t="s">
        <v>6318</v>
      </c>
      <c r="C2217" s="81" t="s">
        <v>5141</v>
      </c>
      <c r="D2217" s="83" t="s">
        <v>4354</v>
      </c>
      <c r="E2217" s="81" t="s">
        <v>1480</v>
      </c>
      <c r="F2217" s="84">
        <v>286.0</v>
      </c>
      <c r="G2217" s="81" t="s">
        <v>40</v>
      </c>
      <c r="H2217" s="81" t="s">
        <v>5568</v>
      </c>
      <c r="I2217" s="81" t="s">
        <v>224</v>
      </c>
      <c r="J2217" s="81" t="s">
        <v>5143</v>
      </c>
    </row>
    <row r="2218" hidden="1">
      <c r="A2218" s="83" t="s">
        <v>6317</v>
      </c>
      <c r="B2218" s="83" t="s">
        <v>6318</v>
      </c>
      <c r="C2218" s="81" t="s">
        <v>4086</v>
      </c>
      <c r="D2218" s="83" t="s">
        <v>4355</v>
      </c>
      <c r="E2218" s="81" t="s">
        <v>1483</v>
      </c>
      <c r="F2218" s="84">
        <v>287.0</v>
      </c>
      <c r="G2218" s="81" t="s">
        <v>39</v>
      </c>
      <c r="H2218" s="81" t="s">
        <v>5569</v>
      </c>
      <c r="I2218" s="81" t="s">
        <v>1484</v>
      </c>
      <c r="J2218" s="81" t="s">
        <v>224</v>
      </c>
    </row>
    <row r="2219" hidden="1">
      <c r="A2219" s="83" t="s">
        <v>6317</v>
      </c>
      <c r="B2219" s="83" t="s">
        <v>6318</v>
      </c>
      <c r="C2219" s="81" t="s">
        <v>4086</v>
      </c>
      <c r="D2219" s="83" t="s">
        <v>4355</v>
      </c>
      <c r="E2219" s="81" t="s">
        <v>1483</v>
      </c>
      <c r="F2219" s="84">
        <v>287.0</v>
      </c>
      <c r="G2219" s="81" t="s">
        <v>40</v>
      </c>
      <c r="H2219" s="81" t="s">
        <v>5570</v>
      </c>
      <c r="I2219" s="81" t="s">
        <v>1485</v>
      </c>
      <c r="J2219" s="81" t="s">
        <v>224</v>
      </c>
    </row>
    <row r="2220" hidden="1">
      <c r="A2220" s="83" t="s">
        <v>6317</v>
      </c>
      <c r="B2220" s="83" t="s">
        <v>6318</v>
      </c>
      <c r="C2220" s="81" t="s">
        <v>4086</v>
      </c>
      <c r="D2220" s="83" t="s">
        <v>4356</v>
      </c>
      <c r="E2220" s="81" t="s">
        <v>1486</v>
      </c>
      <c r="F2220" s="84">
        <v>288.0</v>
      </c>
      <c r="G2220" s="81" t="s">
        <v>39</v>
      </c>
      <c r="H2220" s="81" t="s">
        <v>5571</v>
      </c>
      <c r="I2220" s="81" t="s">
        <v>1487</v>
      </c>
      <c r="J2220" s="81" t="s">
        <v>224</v>
      </c>
    </row>
    <row r="2221" hidden="1">
      <c r="A2221" s="83" t="s">
        <v>6317</v>
      </c>
      <c r="B2221" s="83" t="s">
        <v>6318</v>
      </c>
      <c r="C2221" s="81" t="s">
        <v>4086</v>
      </c>
      <c r="D2221" s="83" t="s">
        <v>4356</v>
      </c>
      <c r="E2221" s="81" t="s">
        <v>1486</v>
      </c>
      <c r="F2221" s="84">
        <v>288.0</v>
      </c>
      <c r="G2221" s="81" t="s">
        <v>40</v>
      </c>
      <c r="H2221" s="81" t="s">
        <v>5572</v>
      </c>
      <c r="I2221" s="81" t="s">
        <v>1488</v>
      </c>
      <c r="J2221" s="81" t="s">
        <v>224</v>
      </c>
    </row>
    <row r="2222" hidden="1">
      <c r="A2222" s="83" t="s">
        <v>6317</v>
      </c>
      <c r="B2222" s="83" t="s">
        <v>6318</v>
      </c>
      <c r="C2222" s="81" t="s">
        <v>4086</v>
      </c>
      <c r="D2222" s="83" t="s">
        <v>4357</v>
      </c>
      <c r="E2222" s="81" t="s">
        <v>1489</v>
      </c>
      <c r="F2222" s="84">
        <v>289.0</v>
      </c>
      <c r="G2222" s="81" t="s">
        <v>39</v>
      </c>
      <c r="H2222" s="81" t="s">
        <v>5573</v>
      </c>
      <c r="I2222" s="81" t="s">
        <v>1495</v>
      </c>
      <c r="J2222" s="81" t="s">
        <v>224</v>
      </c>
    </row>
    <row r="2223" hidden="1">
      <c r="A2223" s="83" t="s">
        <v>6317</v>
      </c>
      <c r="B2223" s="83" t="s">
        <v>6318</v>
      </c>
      <c r="C2223" s="81" t="s">
        <v>4086</v>
      </c>
      <c r="D2223" s="83" t="s">
        <v>4357</v>
      </c>
      <c r="E2223" s="81" t="s">
        <v>1489</v>
      </c>
      <c r="F2223" s="84">
        <v>289.0</v>
      </c>
      <c r="G2223" s="81" t="s">
        <v>40</v>
      </c>
      <c r="H2223" s="81" t="s">
        <v>5574</v>
      </c>
      <c r="I2223" s="81" t="s">
        <v>1496</v>
      </c>
      <c r="J2223" s="81" t="s">
        <v>224</v>
      </c>
    </row>
    <row r="2224" hidden="1">
      <c r="A2224" s="83" t="s">
        <v>6317</v>
      </c>
      <c r="B2224" s="83" t="s">
        <v>6318</v>
      </c>
      <c r="C2224" s="81" t="s">
        <v>4086</v>
      </c>
      <c r="D2224" s="83" t="s">
        <v>4357</v>
      </c>
      <c r="E2224" s="81" t="s">
        <v>1501</v>
      </c>
      <c r="F2224" s="84">
        <v>290.0</v>
      </c>
      <c r="G2224" s="81" t="s">
        <v>39</v>
      </c>
      <c r="H2224" s="81" t="s">
        <v>5573</v>
      </c>
      <c r="I2224" s="81" t="s">
        <v>1495</v>
      </c>
      <c r="J2224" s="81" t="s">
        <v>224</v>
      </c>
    </row>
    <row r="2225" hidden="1">
      <c r="A2225" s="83" t="s">
        <v>6317</v>
      </c>
      <c r="B2225" s="83" t="s">
        <v>6318</v>
      </c>
      <c r="C2225" s="81" t="s">
        <v>4086</v>
      </c>
      <c r="D2225" s="83" t="s">
        <v>4357</v>
      </c>
      <c r="E2225" s="81" t="s">
        <v>1501</v>
      </c>
      <c r="F2225" s="84">
        <v>290.0</v>
      </c>
      <c r="G2225" s="81" t="s">
        <v>40</v>
      </c>
      <c r="H2225" s="81" t="s">
        <v>5574</v>
      </c>
      <c r="I2225" s="81" t="s">
        <v>1496</v>
      </c>
      <c r="J2225" s="81" t="s">
        <v>224</v>
      </c>
    </row>
    <row r="2226" hidden="1">
      <c r="A2226" s="83" t="s">
        <v>6317</v>
      </c>
      <c r="B2226" s="83" t="s">
        <v>6318</v>
      </c>
      <c r="C2226" s="81" t="s">
        <v>4086</v>
      </c>
      <c r="D2226" s="83" t="s">
        <v>4358</v>
      </c>
      <c r="E2226" s="81" t="s">
        <v>1502</v>
      </c>
      <c r="F2226" s="84">
        <v>291.0</v>
      </c>
      <c r="G2226" s="81" t="s">
        <v>39</v>
      </c>
      <c r="H2226" s="81" t="s">
        <v>5575</v>
      </c>
      <c r="I2226" s="81" t="s">
        <v>1503</v>
      </c>
      <c r="J2226" s="81" t="s">
        <v>224</v>
      </c>
    </row>
    <row r="2227" hidden="1">
      <c r="A2227" s="83" t="s">
        <v>6317</v>
      </c>
      <c r="B2227" s="83" t="s">
        <v>6318</v>
      </c>
      <c r="C2227" s="81" t="s">
        <v>4086</v>
      </c>
      <c r="D2227" s="83" t="s">
        <v>4358</v>
      </c>
      <c r="E2227" s="81" t="s">
        <v>1502</v>
      </c>
      <c r="F2227" s="84">
        <v>291.0</v>
      </c>
      <c r="G2227" s="81" t="s">
        <v>40</v>
      </c>
      <c r="H2227" s="81" t="s">
        <v>5576</v>
      </c>
      <c r="I2227" s="81" t="s">
        <v>1504</v>
      </c>
      <c r="J2227" s="81" t="s">
        <v>224</v>
      </c>
    </row>
    <row r="2228" hidden="1">
      <c r="A2228" s="83" t="s">
        <v>6317</v>
      </c>
      <c r="B2228" s="83" t="s">
        <v>6318</v>
      </c>
      <c r="C2228" s="81" t="s">
        <v>4086</v>
      </c>
      <c r="D2228" s="83" t="s">
        <v>4359</v>
      </c>
      <c r="E2228" s="81" t="s">
        <v>1505</v>
      </c>
      <c r="F2228" s="84">
        <v>292.0</v>
      </c>
      <c r="G2228" s="81" t="s">
        <v>39</v>
      </c>
      <c r="H2228" s="81" t="s">
        <v>5577</v>
      </c>
      <c r="I2228" s="81" t="s">
        <v>1509</v>
      </c>
      <c r="J2228" s="81" t="s">
        <v>224</v>
      </c>
    </row>
    <row r="2229" hidden="1">
      <c r="A2229" s="83" t="s">
        <v>6317</v>
      </c>
      <c r="B2229" s="83" t="s">
        <v>6318</v>
      </c>
      <c r="C2229" s="81" t="s">
        <v>4086</v>
      </c>
      <c r="D2229" s="83" t="s">
        <v>4359</v>
      </c>
      <c r="E2229" s="81" t="s">
        <v>1505</v>
      </c>
      <c r="F2229" s="84">
        <v>292.0</v>
      </c>
      <c r="G2229" s="81" t="s">
        <v>40</v>
      </c>
      <c r="H2229" s="81" t="s">
        <v>5578</v>
      </c>
      <c r="I2229" s="81" t="s">
        <v>1510</v>
      </c>
      <c r="J2229" s="81" t="s">
        <v>224</v>
      </c>
    </row>
    <row r="2230" hidden="1">
      <c r="A2230" s="83" t="s">
        <v>6317</v>
      </c>
      <c r="B2230" s="83" t="s">
        <v>6318</v>
      </c>
      <c r="C2230" s="81" t="s">
        <v>4086</v>
      </c>
      <c r="D2230" s="83" t="s">
        <v>4359</v>
      </c>
      <c r="E2230" s="81" t="s">
        <v>1515</v>
      </c>
      <c r="F2230" s="84">
        <v>293.0</v>
      </c>
      <c r="G2230" s="81" t="s">
        <v>39</v>
      </c>
      <c r="H2230" s="81" t="s">
        <v>5577</v>
      </c>
      <c r="I2230" s="81" t="s">
        <v>1509</v>
      </c>
      <c r="J2230" s="81" t="s">
        <v>224</v>
      </c>
    </row>
    <row r="2231" hidden="1">
      <c r="A2231" s="83" t="s">
        <v>6317</v>
      </c>
      <c r="B2231" s="83" t="s">
        <v>6318</v>
      </c>
      <c r="C2231" s="81" t="s">
        <v>4086</v>
      </c>
      <c r="D2231" s="83" t="s">
        <v>4359</v>
      </c>
      <c r="E2231" s="81" t="s">
        <v>1515</v>
      </c>
      <c r="F2231" s="84">
        <v>293.0</v>
      </c>
      <c r="G2231" s="81" t="s">
        <v>40</v>
      </c>
      <c r="H2231" s="81" t="s">
        <v>5578</v>
      </c>
      <c r="I2231" s="81" t="s">
        <v>1510</v>
      </c>
      <c r="J2231" s="81" t="s">
        <v>224</v>
      </c>
    </row>
    <row r="2232" hidden="1">
      <c r="A2232" s="83" t="s">
        <v>6317</v>
      </c>
      <c r="B2232" s="83" t="s">
        <v>6318</v>
      </c>
      <c r="C2232" s="81" t="s">
        <v>4086</v>
      </c>
      <c r="D2232" s="83" t="s">
        <v>4360</v>
      </c>
      <c r="E2232" s="81" t="s">
        <v>1516</v>
      </c>
      <c r="F2232" s="84">
        <v>294.0</v>
      </c>
      <c r="G2232" s="81" t="s">
        <v>39</v>
      </c>
      <c r="H2232" s="81" t="s">
        <v>5579</v>
      </c>
      <c r="I2232" s="81" t="s">
        <v>1517</v>
      </c>
      <c r="J2232" s="81" t="s">
        <v>224</v>
      </c>
    </row>
    <row r="2233" hidden="1">
      <c r="A2233" s="83" t="s">
        <v>6317</v>
      </c>
      <c r="B2233" s="83" t="s">
        <v>6318</v>
      </c>
      <c r="C2233" s="81" t="s">
        <v>4086</v>
      </c>
      <c r="D2233" s="83" t="s">
        <v>4360</v>
      </c>
      <c r="E2233" s="81" t="s">
        <v>1516</v>
      </c>
      <c r="F2233" s="84">
        <v>294.0</v>
      </c>
      <c r="G2233" s="81" t="s">
        <v>40</v>
      </c>
      <c r="H2233" s="81" t="s">
        <v>5580</v>
      </c>
      <c r="I2233" s="81" t="s">
        <v>1518</v>
      </c>
      <c r="J2233" s="81" t="s">
        <v>224</v>
      </c>
    </row>
    <row r="2234" hidden="1">
      <c r="A2234" s="83" t="s">
        <v>6317</v>
      </c>
      <c r="B2234" s="83" t="s">
        <v>6318</v>
      </c>
      <c r="C2234" s="81" t="s">
        <v>4086</v>
      </c>
      <c r="D2234" s="83" t="s">
        <v>4361</v>
      </c>
      <c r="E2234" s="81" t="s">
        <v>1519</v>
      </c>
      <c r="F2234" s="84">
        <v>295.0</v>
      </c>
      <c r="G2234" s="81" t="s">
        <v>39</v>
      </c>
      <c r="H2234" s="81" t="s">
        <v>5581</v>
      </c>
      <c r="I2234" s="81" t="s">
        <v>1523</v>
      </c>
      <c r="J2234" s="81" t="s">
        <v>224</v>
      </c>
    </row>
    <row r="2235" hidden="1">
      <c r="A2235" s="83" t="s">
        <v>6317</v>
      </c>
      <c r="B2235" s="83" t="s">
        <v>6318</v>
      </c>
      <c r="C2235" s="81" t="s">
        <v>4086</v>
      </c>
      <c r="D2235" s="83" t="s">
        <v>4361</v>
      </c>
      <c r="E2235" s="81" t="s">
        <v>1519</v>
      </c>
      <c r="F2235" s="84">
        <v>295.0</v>
      </c>
      <c r="G2235" s="81" t="s">
        <v>40</v>
      </c>
      <c r="H2235" s="81" t="s">
        <v>5582</v>
      </c>
      <c r="I2235" s="81" t="s">
        <v>1524</v>
      </c>
      <c r="J2235" s="81" t="s">
        <v>224</v>
      </c>
    </row>
    <row r="2236" hidden="1">
      <c r="A2236" s="83" t="s">
        <v>6317</v>
      </c>
      <c r="B2236" s="83" t="s">
        <v>6318</v>
      </c>
      <c r="C2236" s="81" t="s">
        <v>4086</v>
      </c>
      <c r="D2236" s="83" t="s">
        <v>4361</v>
      </c>
      <c r="E2236" s="81" t="s">
        <v>1529</v>
      </c>
      <c r="F2236" s="84">
        <v>296.0</v>
      </c>
      <c r="G2236" s="81" t="s">
        <v>39</v>
      </c>
      <c r="H2236" s="81" t="s">
        <v>5581</v>
      </c>
      <c r="I2236" s="81" t="s">
        <v>1523</v>
      </c>
      <c r="J2236" s="81" t="s">
        <v>224</v>
      </c>
    </row>
    <row r="2237" hidden="1">
      <c r="A2237" s="83" t="s">
        <v>6317</v>
      </c>
      <c r="B2237" s="83" t="s">
        <v>6318</v>
      </c>
      <c r="C2237" s="81" t="s">
        <v>4086</v>
      </c>
      <c r="D2237" s="83" t="s">
        <v>4361</v>
      </c>
      <c r="E2237" s="81" t="s">
        <v>1529</v>
      </c>
      <c r="F2237" s="84">
        <v>296.0</v>
      </c>
      <c r="G2237" s="81" t="s">
        <v>40</v>
      </c>
      <c r="H2237" s="81" t="s">
        <v>5582</v>
      </c>
      <c r="I2237" s="81" t="s">
        <v>1524</v>
      </c>
      <c r="J2237" s="81" t="s">
        <v>224</v>
      </c>
    </row>
    <row r="2238" hidden="1">
      <c r="A2238" s="83" t="s">
        <v>6317</v>
      </c>
      <c r="B2238" s="83" t="s">
        <v>6318</v>
      </c>
      <c r="C2238" s="81" t="s">
        <v>4086</v>
      </c>
      <c r="D2238" s="83" t="s">
        <v>4362</v>
      </c>
      <c r="E2238" s="81" t="s">
        <v>1530</v>
      </c>
      <c r="F2238" s="84">
        <v>297.0</v>
      </c>
      <c r="G2238" s="81" t="s">
        <v>39</v>
      </c>
      <c r="H2238" s="81" t="s">
        <v>5583</v>
      </c>
      <c r="I2238" s="81" t="s">
        <v>1531</v>
      </c>
      <c r="J2238" s="81" t="s">
        <v>224</v>
      </c>
    </row>
    <row r="2239" hidden="1">
      <c r="A2239" s="83" t="s">
        <v>6317</v>
      </c>
      <c r="B2239" s="83" t="s">
        <v>6318</v>
      </c>
      <c r="C2239" s="81" t="s">
        <v>4086</v>
      </c>
      <c r="D2239" s="83" t="s">
        <v>4362</v>
      </c>
      <c r="E2239" s="81" t="s">
        <v>1530</v>
      </c>
      <c r="F2239" s="84">
        <v>297.0</v>
      </c>
      <c r="G2239" s="81" t="s">
        <v>40</v>
      </c>
      <c r="H2239" s="81" t="s">
        <v>5584</v>
      </c>
      <c r="I2239" s="81" t="s">
        <v>1532</v>
      </c>
      <c r="J2239" s="81" t="s">
        <v>224</v>
      </c>
    </row>
    <row r="2240" hidden="1">
      <c r="A2240" s="83" t="s">
        <v>6317</v>
      </c>
      <c r="B2240" s="83" t="s">
        <v>6318</v>
      </c>
      <c r="C2240" s="81" t="s">
        <v>4086</v>
      </c>
      <c r="D2240" s="83" t="s">
        <v>4363</v>
      </c>
      <c r="E2240" s="81" t="s">
        <v>1533</v>
      </c>
      <c r="F2240" s="84">
        <v>298.0</v>
      </c>
      <c r="G2240" s="81" t="s">
        <v>39</v>
      </c>
      <c r="H2240" s="81" t="s">
        <v>5585</v>
      </c>
      <c r="I2240" s="81" t="s">
        <v>1541</v>
      </c>
      <c r="J2240" s="81" t="s">
        <v>224</v>
      </c>
    </row>
    <row r="2241" hidden="1">
      <c r="A2241" s="83" t="s">
        <v>6317</v>
      </c>
      <c r="B2241" s="83" t="s">
        <v>6318</v>
      </c>
      <c r="C2241" s="81" t="s">
        <v>4086</v>
      </c>
      <c r="D2241" s="83" t="s">
        <v>4363</v>
      </c>
      <c r="E2241" s="81" t="s">
        <v>1533</v>
      </c>
      <c r="F2241" s="84">
        <v>298.0</v>
      </c>
      <c r="G2241" s="81" t="s">
        <v>40</v>
      </c>
      <c r="H2241" s="81" t="s">
        <v>5586</v>
      </c>
      <c r="I2241" s="81" t="s">
        <v>1542</v>
      </c>
      <c r="J2241" s="81" t="s">
        <v>224</v>
      </c>
    </row>
    <row r="2242" hidden="1">
      <c r="A2242" s="83" t="s">
        <v>6317</v>
      </c>
      <c r="B2242" s="83" t="s">
        <v>6318</v>
      </c>
      <c r="C2242" s="81" t="s">
        <v>4086</v>
      </c>
      <c r="D2242" s="83" t="s">
        <v>4363</v>
      </c>
      <c r="E2242" s="81" t="s">
        <v>1548</v>
      </c>
      <c r="F2242" s="84">
        <v>299.0</v>
      </c>
      <c r="G2242" s="81" t="s">
        <v>39</v>
      </c>
      <c r="H2242" s="81" t="s">
        <v>5585</v>
      </c>
      <c r="I2242" s="81" t="s">
        <v>1541</v>
      </c>
      <c r="J2242" s="81" t="s">
        <v>224</v>
      </c>
    </row>
    <row r="2243" hidden="1">
      <c r="A2243" s="83" t="s">
        <v>6317</v>
      </c>
      <c r="B2243" s="83" t="s">
        <v>6318</v>
      </c>
      <c r="C2243" s="81" t="s">
        <v>4086</v>
      </c>
      <c r="D2243" s="83" t="s">
        <v>4363</v>
      </c>
      <c r="E2243" s="81" t="s">
        <v>1548</v>
      </c>
      <c r="F2243" s="84">
        <v>299.0</v>
      </c>
      <c r="G2243" s="81" t="s">
        <v>40</v>
      </c>
      <c r="H2243" s="81" t="s">
        <v>5587</v>
      </c>
      <c r="I2243" s="81" t="s">
        <v>1542</v>
      </c>
      <c r="J2243" s="81" t="s">
        <v>224</v>
      </c>
    </row>
    <row r="2244" hidden="1">
      <c r="A2244" s="83" t="s">
        <v>6317</v>
      </c>
      <c r="B2244" s="83" t="s">
        <v>6318</v>
      </c>
      <c r="C2244" s="81" t="s">
        <v>4086</v>
      </c>
      <c r="D2244" s="83" t="s">
        <v>4364</v>
      </c>
      <c r="E2244" s="81" t="s">
        <v>1551</v>
      </c>
      <c r="F2244" s="84">
        <v>300.0</v>
      </c>
      <c r="G2244" s="81" t="s">
        <v>39</v>
      </c>
      <c r="H2244" s="81" t="s">
        <v>5588</v>
      </c>
      <c r="I2244" s="81" t="s">
        <v>1552</v>
      </c>
      <c r="J2244" s="81" t="s">
        <v>224</v>
      </c>
    </row>
    <row r="2245" hidden="1">
      <c r="A2245" s="83" t="s">
        <v>6317</v>
      </c>
      <c r="B2245" s="83" t="s">
        <v>6318</v>
      </c>
      <c r="C2245" s="81" t="s">
        <v>4086</v>
      </c>
      <c r="D2245" s="83" t="s">
        <v>4364</v>
      </c>
      <c r="E2245" s="81" t="s">
        <v>1551</v>
      </c>
      <c r="F2245" s="84">
        <v>300.0</v>
      </c>
      <c r="G2245" s="81" t="s">
        <v>40</v>
      </c>
      <c r="H2245" s="81" t="s">
        <v>5589</v>
      </c>
      <c r="I2245" s="81" t="s">
        <v>1553</v>
      </c>
      <c r="J2245" s="81" t="s">
        <v>224</v>
      </c>
    </row>
    <row r="2246" hidden="1">
      <c r="A2246" s="83" t="s">
        <v>6317</v>
      </c>
      <c r="B2246" s="83" t="s">
        <v>6318</v>
      </c>
      <c r="C2246" s="81" t="s">
        <v>4086</v>
      </c>
      <c r="D2246" s="83" t="s">
        <v>4365</v>
      </c>
      <c r="E2246" s="81" t="s">
        <v>1554</v>
      </c>
      <c r="F2246" s="84">
        <v>301.0</v>
      </c>
      <c r="G2246" s="81" t="s">
        <v>39</v>
      </c>
      <c r="H2246" s="81" t="s">
        <v>5590</v>
      </c>
      <c r="I2246" s="81" t="s">
        <v>1558</v>
      </c>
      <c r="J2246" s="81" t="s">
        <v>224</v>
      </c>
    </row>
    <row r="2247" hidden="1">
      <c r="A2247" s="83" t="s">
        <v>6317</v>
      </c>
      <c r="B2247" s="83" t="s">
        <v>6318</v>
      </c>
      <c r="C2247" s="81" t="s">
        <v>5141</v>
      </c>
      <c r="D2247" s="83" t="s">
        <v>4365</v>
      </c>
      <c r="E2247" s="81" t="s">
        <v>1554</v>
      </c>
      <c r="F2247" s="84">
        <v>301.0</v>
      </c>
      <c r="G2247" s="81" t="s">
        <v>40</v>
      </c>
      <c r="H2247" s="81" t="s">
        <v>5591</v>
      </c>
      <c r="I2247" s="81" t="s">
        <v>224</v>
      </c>
      <c r="J2247" s="81" t="s">
        <v>5143</v>
      </c>
    </row>
    <row r="2248" hidden="1">
      <c r="A2248" s="83" t="s">
        <v>6317</v>
      </c>
      <c r="B2248" s="83" t="s">
        <v>6318</v>
      </c>
      <c r="C2248" s="81" t="s">
        <v>4086</v>
      </c>
      <c r="D2248" s="83" t="s">
        <v>4365</v>
      </c>
      <c r="E2248" s="81" t="s">
        <v>1560</v>
      </c>
      <c r="F2248" s="84">
        <v>302.0</v>
      </c>
      <c r="G2248" s="81" t="s">
        <v>39</v>
      </c>
      <c r="H2248" s="81" t="s">
        <v>5590</v>
      </c>
      <c r="I2248" s="81" t="s">
        <v>1558</v>
      </c>
      <c r="J2248" s="81" t="s">
        <v>224</v>
      </c>
    </row>
    <row r="2249" hidden="1">
      <c r="A2249" s="83" t="s">
        <v>6317</v>
      </c>
      <c r="B2249" s="83" t="s">
        <v>6318</v>
      </c>
      <c r="C2249" s="81" t="s">
        <v>5141</v>
      </c>
      <c r="D2249" s="83" t="s">
        <v>4365</v>
      </c>
      <c r="E2249" s="81" t="s">
        <v>1560</v>
      </c>
      <c r="F2249" s="84">
        <v>302.0</v>
      </c>
      <c r="G2249" s="81" t="s">
        <v>40</v>
      </c>
      <c r="H2249" s="81" t="s">
        <v>5591</v>
      </c>
      <c r="I2249" s="81" t="s">
        <v>224</v>
      </c>
      <c r="J2249" s="81" t="s">
        <v>5143</v>
      </c>
    </row>
    <row r="2250" hidden="1">
      <c r="A2250" s="83" t="s">
        <v>6317</v>
      </c>
      <c r="B2250" s="83" t="s">
        <v>6318</v>
      </c>
      <c r="C2250" s="81" t="s">
        <v>4086</v>
      </c>
      <c r="D2250" s="83" t="s">
        <v>4366</v>
      </c>
      <c r="E2250" s="81" t="s">
        <v>1562</v>
      </c>
      <c r="F2250" s="84">
        <v>303.0</v>
      </c>
      <c r="G2250" s="81" t="s">
        <v>39</v>
      </c>
      <c r="H2250" s="81" t="s">
        <v>5592</v>
      </c>
      <c r="I2250" s="81" t="s">
        <v>1563</v>
      </c>
      <c r="J2250" s="81" t="s">
        <v>224</v>
      </c>
    </row>
    <row r="2251" hidden="1">
      <c r="A2251" s="83" t="s">
        <v>6317</v>
      </c>
      <c r="B2251" s="83" t="s">
        <v>6318</v>
      </c>
      <c r="C2251" s="81" t="s">
        <v>5141</v>
      </c>
      <c r="D2251" s="83" t="s">
        <v>4366</v>
      </c>
      <c r="E2251" s="81" t="s">
        <v>1562</v>
      </c>
      <c r="F2251" s="84">
        <v>303.0</v>
      </c>
      <c r="G2251" s="81" t="s">
        <v>40</v>
      </c>
      <c r="H2251" s="81" t="s">
        <v>5593</v>
      </c>
      <c r="I2251" s="81" t="s">
        <v>224</v>
      </c>
      <c r="J2251" s="81" t="s">
        <v>5143</v>
      </c>
    </row>
    <row r="2252" hidden="1">
      <c r="A2252" s="83" t="s">
        <v>6317</v>
      </c>
      <c r="B2252" s="83" t="s">
        <v>6318</v>
      </c>
      <c r="C2252" s="81" t="s">
        <v>4086</v>
      </c>
      <c r="D2252" s="83" t="s">
        <v>4367</v>
      </c>
      <c r="E2252" s="81" t="s">
        <v>1564</v>
      </c>
      <c r="F2252" s="84">
        <v>304.0</v>
      </c>
      <c r="G2252" s="81" t="s">
        <v>39</v>
      </c>
      <c r="H2252" s="81" t="s">
        <v>5594</v>
      </c>
      <c r="I2252" s="81" t="s">
        <v>1565</v>
      </c>
      <c r="J2252" s="81" t="s">
        <v>224</v>
      </c>
    </row>
    <row r="2253" hidden="1">
      <c r="A2253" s="83" t="s">
        <v>6317</v>
      </c>
      <c r="B2253" s="83" t="s">
        <v>6318</v>
      </c>
      <c r="C2253" s="81" t="s">
        <v>5141</v>
      </c>
      <c r="D2253" s="83" t="s">
        <v>4367</v>
      </c>
      <c r="E2253" s="81" t="s">
        <v>1564</v>
      </c>
      <c r="F2253" s="84">
        <v>304.0</v>
      </c>
      <c r="G2253" s="81" t="s">
        <v>40</v>
      </c>
      <c r="H2253" s="81" t="s">
        <v>5595</v>
      </c>
      <c r="I2253" s="81" t="s">
        <v>224</v>
      </c>
      <c r="J2253" s="81" t="s">
        <v>5143</v>
      </c>
    </row>
    <row r="2254" hidden="1">
      <c r="A2254" s="83" t="s">
        <v>6317</v>
      </c>
      <c r="B2254" s="83" t="s">
        <v>6318</v>
      </c>
      <c r="C2254" s="81" t="s">
        <v>4086</v>
      </c>
      <c r="D2254" s="83" t="s">
        <v>4368</v>
      </c>
      <c r="E2254" s="81" t="s">
        <v>1566</v>
      </c>
      <c r="F2254" s="84">
        <v>305.0</v>
      </c>
      <c r="G2254" s="81" t="s">
        <v>39</v>
      </c>
      <c r="H2254" s="81" t="s">
        <v>5596</v>
      </c>
      <c r="I2254" s="81" t="s">
        <v>1568</v>
      </c>
      <c r="J2254" s="81" t="s">
        <v>224</v>
      </c>
    </row>
    <row r="2255" hidden="1">
      <c r="A2255" s="83" t="s">
        <v>6317</v>
      </c>
      <c r="B2255" s="83" t="s">
        <v>6318</v>
      </c>
      <c r="C2255" s="81" t="s">
        <v>5141</v>
      </c>
      <c r="D2255" s="83" t="s">
        <v>4368</v>
      </c>
      <c r="E2255" s="81" t="s">
        <v>1566</v>
      </c>
      <c r="F2255" s="84">
        <v>305.0</v>
      </c>
      <c r="G2255" s="81" t="s">
        <v>40</v>
      </c>
      <c r="H2255" s="81" t="s">
        <v>5597</v>
      </c>
      <c r="I2255" s="81" t="s">
        <v>224</v>
      </c>
      <c r="J2255" s="81" t="s">
        <v>5143</v>
      </c>
    </row>
    <row r="2256" hidden="1">
      <c r="A2256" s="83" t="s">
        <v>6317</v>
      </c>
      <c r="B2256" s="83" t="s">
        <v>6318</v>
      </c>
      <c r="C2256" s="81" t="s">
        <v>4086</v>
      </c>
      <c r="D2256" s="83" t="s">
        <v>4368</v>
      </c>
      <c r="E2256" s="81" t="s">
        <v>1570</v>
      </c>
      <c r="F2256" s="84">
        <v>306.0</v>
      </c>
      <c r="G2256" s="81" t="s">
        <v>39</v>
      </c>
      <c r="H2256" s="81" t="s">
        <v>5596</v>
      </c>
      <c r="I2256" s="81" t="s">
        <v>1568</v>
      </c>
      <c r="J2256" s="81" t="s">
        <v>224</v>
      </c>
    </row>
    <row r="2257" hidden="1">
      <c r="A2257" s="83" t="s">
        <v>6317</v>
      </c>
      <c r="B2257" s="83" t="s">
        <v>6318</v>
      </c>
      <c r="C2257" s="81" t="s">
        <v>5141</v>
      </c>
      <c r="D2257" s="83" t="s">
        <v>4368</v>
      </c>
      <c r="E2257" s="81" t="s">
        <v>1570</v>
      </c>
      <c r="F2257" s="84">
        <v>306.0</v>
      </c>
      <c r="G2257" s="81" t="s">
        <v>40</v>
      </c>
      <c r="H2257" s="81" t="s">
        <v>5597</v>
      </c>
      <c r="I2257" s="81" t="s">
        <v>224</v>
      </c>
      <c r="J2257" s="81" t="s">
        <v>5143</v>
      </c>
    </row>
    <row r="2258" hidden="1">
      <c r="A2258" s="83" t="s">
        <v>6317</v>
      </c>
      <c r="B2258" s="83" t="s">
        <v>6318</v>
      </c>
      <c r="C2258" s="81" t="s">
        <v>4086</v>
      </c>
      <c r="D2258" s="83" t="s">
        <v>4369</v>
      </c>
      <c r="E2258" s="81" t="s">
        <v>1571</v>
      </c>
      <c r="F2258" s="84">
        <v>307.0</v>
      </c>
      <c r="G2258" s="81" t="s">
        <v>39</v>
      </c>
      <c r="H2258" s="81" t="s">
        <v>5598</v>
      </c>
      <c r="I2258" s="81" t="s">
        <v>1572</v>
      </c>
      <c r="J2258" s="81" t="s">
        <v>224</v>
      </c>
    </row>
    <row r="2259" hidden="1">
      <c r="A2259" s="83" t="s">
        <v>6317</v>
      </c>
      <c r="B2259" s="83" t="s">
        <v>6318</v>
      </c>
      <c r="C2259" s="81" t="s">
        <v>5141</v>
      </c>
      <c r="D2259" s="83" t="s">
        <v>4369</v>
      </c>
      <c r="E2259" s="81" t="s">
        <v>1571</v>
      </c>
      <c r="F2259" s="84">
        <v>307.0</v>
      </c>
      <c r="G2259" s="81" t="s">
        <v>40</v>
      </c>
      <c r="H2259" s="81" t="s">
        <v>5599</v>
      </c>
      <c r="I2259" s="81" t="s">
        <v>224</v>
      </c>
      <c r="J2259" s="81" t="s">
        <v>5143</v>
      </c>
    </row>
    <row r="2260" hidden="1">
      <c r="A2260" s="83" t="s">
        <v>6317</v>
      </c>
      <c r="B2260" s="83" t="s">
        <v>6318</v>
      </c>
      <c r="C2260" s="81" t="s">
        <v>4086</v>
      </c>
      <c r="D2260" s="83" t="s">
        <v>4370</v>
      </c>
      <c r="E2260" s="81" t="s">
        <v>1573</v>
      </c>
      <c r="F2260" s="84">
        <v>308.0</v>
      </c>
      <c r="G2260" s="81" t="s">
        <v>39</v>
      </c>
      <c r="H2260" s="81" t="s">
        <v>5600</v>
      </c>
      <c r="I2260" s="81" t="s">
        <v>1574</v>
      </c>
      <c r="J2260" s="81" t="s">
        <v>224</v>
      </c>
    </row>
    <row r="2261" hidden="1">
      <c r="A2261" s="83" t="s">
        <v>6317</v>
      </c>
      <c r="B2261" s="83" t="s">
        <v>6318</v>
      </c>
      <c r="C2261" s="81" t="s">
        <v>5141</v>
      </c>
      <c r="D2261" s="83" t="s">
        <v>4370</v>
      </c>
      <c r="E2261" s="81" t="s">
        <v>1573</v>
      </c>
      <c r="F2261" s="84">
        <v>308.0</v>
      </c>
      <c r="G2261" s="81" t="s">
        <v>40</v>
      </c>
      <c r="H2261" s="81" t="s">
        <v>5601</v>
      </c>
      <c r="I2261" s="81" t="s">
        <v>224</v>
      </c>
      <c r="J2261" s="81" t="s">
        <v>5143</v>
      </c>
    </row>
    <row r="2262" hidden="1">
      <c r="A2262" s="83" t="s">
        <v>6317</v>
      </c>
      <c r="B2262" s="83" t="s">
        <v>6318</v>
      </c>
      <c r="C2262" s="81" t="s">
        <v>4086</v>
      </c>
      <c r="D2262" s="83" t="s">
        <v>4371</v>
      </c>
      <c r="E2262" s="81" t="s">
        <v>1575</v>
      </c>
      <c r="F2262" s="84">
        <v>309.0</v>
      </c>
      <c r="G2262" s="81" t="s">
        <v>39</v>
      </c>
      <c r="H2262" s="81" t="s">
        <v>5602</v>
      </c>
      <c r="I2262" s="81" t="s">
        <v>1576</v>
      </c>
      <c r="J2262" s="81" t="s">
        <v>224</v>
      </c>
    </row>
    <row r="2263" hidden="1">
      <c r="A2263" s="83" t="s">
        <v>6317</v>
      </c>
      <c r="B2263" s="83" t="s">
        <v>6318</v>
      </c>
      <c r="C2263" s="81" t="s">
        <v>5141</v>
      </c>
      <c r="D2263" s="83" t="s">
        <v>4371</v>
      </c>
      <c r="E2263" s="81" t="s">
        <v>1575</v>
      </c>
      <c r="F2263" s="84">
        <v>309.0</v>
      </c>
      <c r="G2263" s="81" t="s">
        <v>40</v>
      </c>
      <c r="H2263" s="81" t="s">
        <v>5603</v>
      </c>
      <c r="I2263" s="81" t="s">
        <v>224</v>
      </c>
      <c r="J2263" s="81" t="s">
        <v>5143</v>
      </c>
    </row>
    <row r="2264" hidden="1">
      <c r="A2264" s="83" t="s">
        <v>6317</v>
      </c>
      <c r="B2264" s="83" t="s">
        <v>6318</v>
      </c>
      <c r="C2264" s="81" t="s">
        <v>4086</v>
      </c>
      <c r="D2264" s="83" t="s">
        <v>4372</v>
      </c>
      <c r="E2264" s="81" t="s">
        <v>1577</v>
      </c>
      <c r="F2264" s="84">
        <v>310.0</v>
      </c>
      <c r="G2264" s="81" t="s">
        <v>39</v>
      </c>
      <c r="H2264" s="81" t="s">
        <v>5604</v>
      </c>
      <c r="I2264" s="81" t="s">
        <v>1579</v>
      </c>
      <c r="J2264" s="81" t="s">
        <v>224</v>
      </c>
    </row>
    <row r="2265" hidden="1">
      <c r="A2265" s="83" t="s">
        <v>6317</v>
      </c>
      <c r="B2265" s="83" t="s">
        <v>6318</v>
      </c>
      <c r="C2265" s="81" t="s">
        <v>4086</v>
      </c>
      <c r="D2265" s="83" t="s">
        <v>4372</v>
      </c>
      <c r="E2265" s="81" t="s">
        <v>1577</v>
      </c>
      <c r="F2265" s="84">
        <v>310.0</v>
      </c>
      <c r="G2265" s="81" t="s">
        <v>40</v>
      </c>
      <c r="H2265" s="81" t="s">
        <v>5605</v>
      </c>
      <c r="I2265" s="81" t="s">
        <v>1580</v>
      </c>
      <c r="J2265" s="81" t="s">
        <v>224</v>
      </c>
    </row>
    <row r="2266" hidden="1">
      <c r="A2266" s="83" t="s">
        <v>6317</v>
      </c>
      <c r="B2266" s="83" t="s">
        <v>6318</v>
      </c>
      <c r="C2266" s="81" t="s">
        <v>4086</v>
      </c>
      <c r="D2266" s="83" t="s">
        <v>4372</v>
      </c>
      <c r="E2266" s="81" t="s">
        <v>1581</v>
      </c>
      <c r="F2266" s="84">
        <v>311.0</v>
      </c>
      <c r="G2266" s="81" t="s">
        <v>39</v>
      </c>
      <c r="H2266" s="81" t="s">
        <v>5604</v>
      </c>
      <c r="I2266" s="81" t="s">
        <v>1579</v>
      </c>
      <c r="J2266" s="81" t="s">
        <v>224</v>
      </c>
    </row>
    <row r="2267" hidden="1">
      <c r="A2267" s="83" t="s">
        <v>6317</v>
      </c>
      <c r="B2267" s="83" t="s">
        <v>6318</v>
      </c>
      <c r="C2267" s="81" t="s">
        <v>4086</v>
      </c>
      <c r="D2267" s="83" t="s">
        <v>4372</v>
      </c>
      <c r="E2267" s="81" t="s">
        <v>1581</v>
      </c>
      <c r="F2267" s="84">
        <v>311.0</v>
      </c>
      <c r="G2267" s="81" t="s">
        <v>40</v>
      </c>
      <c r="H2267" s="81" t="s">
        <v>5605</v>
      </c>
      <c r="I2267" s="81" t="s">
        <v>1580</v>
      </c>
      <c r="J2267" s="81" t="s">
        <v>224</v>
      </c>
    </row>
    <row r="2268" hidden="1">
      <c r="A2268" s="83" t="s">
        <v>6317</v>
      </c>
      <c r="B2268" s="83" t="s">
        <v>6318</v>
      </c>
      <c r="C2268" s="81" t="s">
        <v>4086</v>
      </c>
      <c r="D2268" s="83" t="s">
        <v>4374</v>
      </c>
      <c r="E2268" s="81" t="s">
        <v>1583</v>
      </c>
      <c r="F2268" s="84">
        <v>312.0</v>
      </c>
      <c r="G2268" s="81" t="s">
        <v>39</v>
      </c>
      <c r="H2268" s="81" t="s">
        <v>5606</v>
      </c>
      <c r="I2268" s="81" t="s">
        <v>1584</v>
      </c>
      <c r="J2268" s="81" t="s">
        <v>224</v>
      </c>
    </row>
    <row r="2269" hidden="1">
      <c r="A2269" s="83" t="s">
        <v>6317</v>
      </c>
      <c r="B2269" s="83" t="s">
        <v>6318</v>
      </c>
      <c r="C2269" s="81" t="s">
        <v>4086</v>
      </c>
      <c r="D2269" s="83" t="s">
        <v>4374</v>
      </c>
      <c r="E2269" s="81" t="s">
        <v>1583</v>
      </c>
      <c r="F2269" s="84">
        <v>312.0</v>
      </c>
      <c r="G2269" s="81" t="s">
        <v>40</v>
      </c>
      <c r="H2269" s="81" t="s">
        <v>5607</v>
      </c>
      <c r="I2269" s="81" t="s">
        <v>1585</v>
      </c>
      <c r="J2269" s="81" t="s">
        <v>224</v>
      </c>
    </row>
    <row r="2270" hidden="1">
      <c r="A2270" s="83" t="s">
        <v>6317</v>
      </c>
      <c r="B2270" s="83" t="s">
        <v>6318</v>
      </c>
      <c r="C2270" s="81" t="s">
        <v>4086</v>
      </c>
      <c r="D2270" s="83" t="s">
        <v>4375</v>
      </c>
      <c r="E2270" s="81" t="s">
        <v>1586</v>
      </c>
      <c r="F2270" s="84">
        <v>313.0</v>
      </c>
      <c r="G2270" s="81" t="s">
        <v>39</v>
      </c>
      <c r="H2270" s="81" t="s">
        <v>5608</v>
      </c>
      <c r="I2270" s="81" t="s">
        <v>1588</v>
      </c>
      <c r="J2270" s="81" t="s">
        <v>224</v>
      </c>
    </row>
    <row r="2271" hidden="1">
      <c r="A2271" s="83" t="s">
        <v>6317</v>
      </c>
      <c r="B2271" s="83" t="s">
        <v>6318</v>
      </c>
      <c r="C2271" s="81" t="s">
        <v>4086</v>
      </c>
      <c r="D2271" s="83" t="s">
        <v>4375</v>
      </c>
      <c r="E2271" s="81" t="s">
        <v>1586</v>
      </c>
      <c r="F2271" s="84">
        <v>313.0</v>
      </c>
      <c r="G2271" s="81" t="s">
        <v>40</v>
      </c>
      <c r="H2271" s="81" t="s">
        <v>5609</v>
      </c>
      <c r="I2271" s="81" t="s">
        <v>1589</v>
      </c>
      <c r="J2271" s="81" t="s">
        <v>224</v>
      </c>
    </row>
    <row r="2272" hidden="1">
      <c r="A2272" s="83" t="s">
        <v>6317</v>
      </c>
      <c r="B2272" s="83" t="s">
        <v>6318</v>
      </c>
      <c r="C2272" s="81" t="s">
        <v>4086</v>
      </c>
      <c r="D2272" s="83" t="s">
        <v>4375</v>
      </c>
      <c r="E2272" s="81" t="s">
        <v>1590</v>
      </c>
      <c r="F2272" s="84">
        <v>314.0</v>
      </c>
      <c r="G2272" s="81" t="s">
        <v>39</v>
      </c>
      <c r="H2272" s="81" t="s">
        <v>5608</v>
      </c>
      <c r="I2272" s="81" t="s">
        <v>1588</v>
      </c>
      <c r="J2272" s="81" t="s">
        <v>224</v>
      </c>
    </row>
    <row r="2273" hidden="1">
      <c r="A2273" s="83" t="s">
        <v>6317</v>
      </c>
      <c r="B2273" s="83" t="s">
        <v>6318</v>
      </c>
      <c r="C2273" s="81" t="s">
        <v>4086</v>
      </c>
      <c r="D2273" s="83" t="s">
        <v>4375</v>
      </c>
      <c r="E2273" s="81" t="s">
        <v>1590</v>
      </c>
      <c r="F2273" s="84">
        <v>314.0</v>
      </c>
      <c r="G2273" s="81" t="s">
        <v>40</v>
      </c>
      <c r="H2273" s="81" t="s">
        <v>5609</v>
      </c>
      <c r="I2273" s="81" t="s">
        <v>1589</v>
      </c>
      <c r="J2273" s="81" t="s">
        <v>224</v>
      </c>
    </row>
    <row r="2274" hidden="1">
      <c r="A2274" s="83" t="s">
        <v>6317</v>
      </c>
      <c r="B2274" s="83" t="s">
        <v>6318</v>
      </c>
      <c r="C2274" s="81" t="s">
        <v>4086</v>
      </c>
      <c r="D2274" s="83" t="s">
        <v>4376</v>
      </c>
      <c r="E2274" s="81" t="s">
        <v>1591</v>
      </c>
      <c r="F2274" s="84">
        <v>315.0</v>
      </c>
      <c r="G2274" s="81" t="s">
        <v>39</v>
      </c>
      <c r="H2274" s="81" t="s">
        <v>5610</v>
      </c>
      <c r="I2274" s="81" t="s">
        <v>1592</v>
      </c>
      <c r="J2274" s="81" t="s">
        <v>224</v>
      </c>
    </row>
    <row r="2275" hidden="1">
      <c r="A2275" s="83" t="s">
        <v>6317</v>
      </c>
      <c r="B2275" s="83" t="s">
        <v>6318</v>
      </c>
      <c r="C2275" s="81" t="s">
        <v>4086</v>
      </c>
      <c r="D2275" s="83" t="s">
        <v>4376</v>
      </c>
      <c r="E2275" s="81" t="s">
        <v>1591</v>
      </c>
      <c r="F2275" s="84">
        <v>315.0</v>
      </c>
      <c r="G2275" s="81" t="s">
        <v>40</v>
      </c>
      <c r="H2275" s="81" t="s">
        <v>5611</v>
      </c>
      <c r="I2275" s="81" t="s">
        <v>1593</v>
      </c>
      <c r="J2275" s="81" t="s">
        <v>224</v>
      </c>
    </row>
    <row r="2276" hidden="1">
      <c r="A2276" s="83" t="s">
        <v>6317</v>
      </c>
      <c r="B2276" s="83" t="s">
        <v>6318</v>
      </c>
      <c r="C2276" s="81" t="s">
        <v>4086</v>
      </c>
      <c r="D2276" s="83" t="s">
        <v>4377</v>
      </c>
      <c r="E2276" s="81" t="s">
        <v>1594</v>
      </c>
      <c r="F2276" s="84">
        <v>316.0</v>
      </c>
      <c r="G2276" s="81" t="s">
        <v>39</v>
      </c>
      <c r="H2276" s="81" t="s">
        <v>5612</v>
      </c>
      <c r="I2276" s="81" t="s">
        <v>1602</v>
      </c>
      <c r="J2276" s="81" t="s">
        <v>224</v>
      </c>
    </row>
    <row r="2277" hidden="1">
      <c r="A2277" s="83" t="s">
        <v>6317</v>
      </c>
      <c r="B2277" s="83" t="s">
        <v>6318</v>
      </c>
      <c r="C2277" s="81" t="s">
        <v>4086</v>
      </c>
      <c r="D2277" s="83" t="s">
        <v>4377</v>
      </c>
      <c r="E2277" s="81" t="s">
        <v>1594</v>
      </c>
      <c r="F2277" s="84">
        <v>316.0</v>
      </c>
      <c r="G2277" s="81" t="s">
        <v>40</v>
      </c>
      <c r="H2277" s="81" t="s">
        <v>5613</v>
      </c>
      <c r="I2277" s="81" t="s">
        <v>1603</v>
      </c>
      <c r="J2277" s="81" t="s">
        <v>224</v>
      </c>
    </row>
    <row r="2278" hidden="1">
      <c r="A2278" s="83" t="s">
        <v>6317</v>
      </c>
      <c r="B2278" s="83" t="s">
        <v>6318</v>
      </c>
      <c r="C2278" s="81" t="s">
        <v>4086</v>
      </c>
      <c r="D2278" s="83" t="s">
        <v>4378</v>
      </c>
      <c r="E2278" s="81" t="s">
        <v>1609</v>
      </c>
      <c r="F2278" s="84">
        <v>317.0</v>
      </c>
      <c r="G2278" s="81" t="s">
        <v>39</v>
      </c>
      <c r="H2278" s="81" t="s">
        <v>5614</v>
      </c>
      <c r="I2278" s="81" t="s">
        <v>1614</v>
      </c>
      <c r="J2278" s="81" t="s">
        <v>224</v>
      </c>
    </row>
    <row r="2279" hidden="1">
      <c r="A2279" s="83" t="s">
        <v>6317</v>
      </c>
      <c r="B2279" s="83" t="s">
        <v>6318</v>
      </c>
      <c r="C2279" s="81" t="s">
        <v>5141</v>
      </c>
      <c r="D2279" s="83" t="s">
        <v>4378</v>
      </c>
      <c r="E2279" s="81" t="s">
        <v>1609</v>
      </c>
      <c r="F2279" s="84">
        <v>317.0</v>
      </c>
      <c r="G2279" s="81" t="s">
        <v>40</v>
      </c>
      <c r="H2279" s="81" t="s">
        <v>5615</v>
      </c>
      <c r="I2279" s="81" t="s">
        <v>224</v>
      </c>
      <c r="J2279" s="81" t="s">
        <v>5143</v>
      </c>
    </row>
    <row r="2280" hidden="1">
      <c r="A2280" s="83" t="s">
        <v>6317</v>
      </c>
      <c r="B2280" s="83" t="s">
        <v>6318</v>
      </c>
      <c r="C2280" s="81" t="s">
        <v>4086</v>
      </c>
      <c r="D2280" s="83" t="s">
        <v>4378</v>
      </c>
      <c r="E2280" s="81" t="s">
        <v>1616</v>
      </c>
      <c r="F2280" s="84">
        <v>318.0</v>
      </c>
      <c r="G2280" s="81" t="s">
        <v>39</v>
      </c>
      <c r="H2280" s="81" t="s">
        <v>5614</v>
      </c>
      <c r="I2280" s="81" t="s">
        <v>1614</v>
      </c>
      <c r="J2280" s="81" t="s">
        <v>224</v>
      </c>
    </row>
    <row r="2281" hidden="1">
      <c r="A2281" s="83" t="s">
        <v>6317</v>
      </c>
      <c r="B2281" s="83" t="s">
        <v>6318</v>
      </c>
      <c r="C2281" s="81" t="s">
        <v>5141</v>
      </c>
      <c r="D2281" s="83" t="s">
        <v>4378</v>
      </c>
      <c r="E2281" s="81" t="s">
        <v>1616</v>
      </c>
      <c r="F2281" s="84">
        <v>318.0</v>
      </c>
      <c r="G2281" s="81" t="s">
        <v>40</v>
      </c>
      <c r="H2281" s="81" t="s">
        <v>5615</v>
      </c>
      <c r="I2281" s="81" t="s">
        <v>224</v>
      </c>
      <c r="J2281" s="81" t="s">
        <v>5143</v>
      </c>
    </row>
    <row r="2282" hidden="1">
      <c r="A2282" s="83" t="s">
        <v>6317</v>
      </c>
      <c r="B2282" s="83" t="s">
        <v>6318</v>
      </c>
      <c r="C2282" s="81" t="s">
        <v>4082</v>
      </c>
      <c r="D2282" s="83" t="s">
        <v>4380</v>
      </c>
      <c r="E2282" s="81" t="s">
        <v>1617</v>
      </c>
      <c r="F2282" s="84">
        <v>319.0</v>
      </c>
      <c r="G2282" s="81" t="s">
        <v>39</v>
      </c>
      <c r="H2282" s="81" t="s">
        <v>224</v>
      </c>
      <c r="I2282" s="81" t="s">
        <v>224</v>
      </c>
      <c r="J2282" s="81" t="s">
        <v>5616</v>
      </c>
    </row>
    <row r="2283" hidden="1">
      <c r="A2283" s="83" t="s">
        <v>6317</v>
      </c>
      <c r="B2283" s="83" t="s">
        <v>6318</v>
      </c>
      <c r="C2283" s="81" t="s">
        <v>5141</v>
      </c>
      <c r="D2283" s="83" t="s">
        <v>4380</v>
      </c>
      <c r="E2283" s="81" t="s">
        <v>1617</v>
      </c>
      <c r="F2283" s="84">
        <v>319.0</v>
      </c>
      <c r="G2283" s="81" t="s">
        <v>39</v>
      </c>
      <c r="H2283" s="81" t="s">
        <v>5617</v>
      </c>
      <c r="I2283" s="81" t="s">
        <v>224</v>
      </c>
      <c r="J2283" s="81" t="s">
        <v>5143</v>
      </c>
    </row>
    <row r="2284" hidden="1">
      <c r="A2284" s="83" t="s">
        <v>6317</v>
      </c>
      <c r="B2284" s="83" t="s">
        <v>6318</v>
      </c>
      <c r="C2284" s="81" t="s">
        <v>4086</v>
      </c>
      <c r="D2284" s="83" t="s">
        <v>4380</v>
      </c>
      <c r="E2284" s="81" t="s">
        <v>1617</v>
      </c>
      <c r="F2284" s="84">
        <v>319.0</v>
      </c>
      <c r="G2284" s="81" t="s">
        <v>40</v>
      </c>
      <c r="H2284" s="81" t="s">
        <v>5618</v>
      </c>
      <c r="I2284" s="81" t="s">
        <v>1619</v>
      </c>
      <c r="J2284" s="81" t="s">
        <v>224</v>
      </c>
    </row>
    <row r="2285" hidden="1">
      <c r="A2285" s="83" t="s">
        <v>6317</v>
      </c>
      <c r="B2285" s="83" t="s">
        <v>6318</v>
      </c>
      <c r="C2285" s="81" t="s">
        <v>4086</v>
      </c>
      <c r="D2285" s="83" t="s">
        <v>4381</v>
      </c>
      <c r="E2285" s="81" t="s">
        <v>1620</v>
      </c>
      <c r="F2285" s="84">
        <v>320.0</v>
      </c>
      <c r="G2285" s="81" t="s">
        <v>39</v>
      </c>
      <c r="H2285" s="81" t="s">
        <v>5619</v>
      </c>
      <c r="I2285" s="81" t="s">
        <v>1621</v>
      </c>
      <c r="J2285" s="81" t="s">
        <v>224</v>
      </c>
    </row>
    <row r="2286" hidden="1">
      <c r="A2286" s="83" t="s">
        <v>6317</v>
      </c>
      <c r="B2286" s="83" t="s">
        <v>6318</v>
      </c>
      <c r="C2286" s="81" t="s">
        <v>4086</v>
      </c>
      <c r="D2286" s="83" t="s">
        <v>4381</v>
      </c>
      <c r="E2286" s="81" t="s">
        <v>1620</v>
      </c>
      <c r="F2286" s="84">
        <v>320.0</v>
      </c>
      <c r="G2286" s="81" t="s">
        <v>40</v>
      </c>
      <c r="H2286" s="81" t="s">
        <v>5620</v>
      </c>
      <c r="I2286" s="81" t="s">
        <v>1622</v>
      </c>
      <c r="J2286" s="81" t="s">
        <v>224</v>
      </c>
    </row>
    <row r="2287" hidden="1">
      <c r="A2287" s="83" t="s">
        <v>6317</v>
      </c>
      <c r="B2287" s="83" t="s">
        <v>6318</v>
      </c>
      <c r="C2287" s="81" t="s">
        <v>4086</v>
      </c>
      <c r="D2287" s="83" t="s">
        <v>4382</v>
      </c>
      <c r="E2287" s="81" t="s">
        <v>1623</v>
      </c>
      <c r="F2287" s="84">
        <v>321.0</v>
      </c>
      <c r="G2287" s="81" t="s">
        <v>40</v>
      </c>
      <c r="H2287" s="81" t="s">
        <v>5621</v>
      </c>
      <c r="I2287" s="81" t="s">
        <v>1626</v>
      </c>
      <c r="J2287" s="81" t="s">
        <v>224</v>
      </c>
    </row>
    <row r="2288" hidden="1">
      <c r="A2288" s="83" t="s">
        <v>6317</v>
      </c>
      <c r="B2288" s="83" t="s">
        <v>6318</v>
      </c>
      <c r="C2288" s="81" t="s">
        <v>4086</v>
      </c>
      <c r="D2288" s="83" t="s">
        <v>4383</v>
      </c>
      <c r="E2288" s="81" t="s">
        <v>1629</v>
      </c>
      <c r="F2288" s="84">
        <v>322.0</v>
      </c>
      <c r="G2288" s="81" t="s">
        <v>39</v>
      </c>
      <c r="H2288" s="81" t="s">
        <v>5622</v>
      </c>
      <c r="I2288" s="81" t="s">
        <v>1638</v>
      </c>
      <c r="J2288" s="81" t="s">
        <v>224</v>
      </c>
    </row>
    <row r="2289" hidden="1">
      <c r="A2289" s="83" t="s">
        <v>6317</v>
      </c>
      <c r="B2289" s="83" t="s">
        <v>6318</v>
      </c>
      <c r="C2289" s="81" t="s">
        <v>4086</v>
      </c>
      <c r="D2289" s="83" t="s">
        <v>4383</v>
      </c>
      <c r="E2289" s="81" t="s">
        <v>1629</v>
      </c>
      <c r="F2289" s="84">
        <v>322.0</v>
      </c>
      <c r="G2289" s="81" t="s">
        <v>40</v>
      </c>
      <c r="H2289" s="81" t="s">
        <v>5623</v>
      </c>
      <c r="I2289" s="81" t="s">
        <v>1639</v>
      </c>
      <c r="J2289" s="81" t="s">
        <v>224</v>
      </c>
    </row>
    <row r="2290" hidden="1">
      <c r="A2290" s="83" t="s">
        <v>6317</v>
      </c>
      <c r="B2290" s="83" t="s">
        <v>6318</v>
      </c>
      <c r="C2290" s="81" t="s">
        <v>4086</v>
      </c>
      <c r="D2290" s="83" t="s">
        <v>4383</v>
      </c>
      <c r="E2290" s="81" t="s">
        <v>1645</v>
      </c>
      <c r="F2290" s="84">
        <v>323.0</v>
      </c>
      <c r="G2290" s="81" t="s">
        <v>40</v>
      </c>
      <c r="H2290" s="81" t="s">
        <v>5623</v>
      </c>
      <c r="I2290" s="81" t="s">
        <v>1639</v>
      </c>
      <c r="J2290" s="81" t="s">
        <v>224</v>
      </c>
    </row>
    <row r="2291" hidden="1">
      <c r="A2291" s="83" t="s">
        <v>6317</v>
      </c>
      <c r="B2291" s="83" t="s">
        <v>6318</v>
      </c>
      <c r="C2291" s="81" t="s">
        <v>4086</v>
      </c>
      <c r="D2291" s="83" t="s">
        <v>4384</v>
      </c>
      <c r="E2291" s="81" t="s">
        <v>1646</v>
      </c>
      <c r="F2291" s="84">
        <v>324.0</v>
      </c>
      <c r="G2291" s="81" t="s">
        <v>39</v>
      </c>
      <c r="H2291" s="81" t="s">
        <v>5624</v>
      </c>
      <c r="I2291" s="81" t="s">
        <v>1647</v>
      </c>
      <c r="J2291" s="81" t="s">
        <v>224</v>
      </c>
    </row>
    <row r="2292" hidden="1">
      <c r="A2292" s="83" t="s">
        <v>6317</v>
      </c>
      <c r="B2292" s="83" t="s">
        <v>6318</v>
      </c>
      <c r="C2292" s="81" t="s">
        <v>4086</v>
      </c>
      <c r="D2292" s="83" t="s">
        <v>4384</v>
      </c>
      <c r="E2292" s="81" t="s">
        <v>1646</v>
      </c>
      <c r="F2292" s="84">
        <v>324.0</v>
      </c>
      <c r="G2292" s="81" t="s">
        <v>40</v>
      </c>
      <c r="H2292" s="81" t="s">
        <v>5625</v>
      </c>
      <c r="I2292" s="81" t="s">
        <v>1648</v>
      </c>
      <c r="J2292" s="81" t="s">
        <v>224</v>
      </c>
    </row>
    <row r="2293" hidden="1">
      <c r="A2293" s="83" t="s">
        <v>6317</v>
      </c>
      <c r="B2293" s="83" t="s">
        <v>6318</v>
      </c>
      <c r="C2293" s="81" t="s">
        <v>4086</v>
      </c>
      <c r="D2293" s="83" t="s">
        <v>4385</v>
      </c>
      <c r="E2293" s="81" t="s">
        <v>1649</v>
      </c>
      <c r="F2293" s="84">
        <v>325.0</v>
      </c>
      <c r="G2293" s="81" t="s">
        <v>39</v>
      </c>
      <c r="H2293" s="81" t="s">
        <v>5626</v>
      </c>
      <c r="I2293" s="81" t="s">
        <v>1651</v>
      </c>
      <c r="J2293" s="81" t="s">
        <v>224</v>
      </c>
    </row>
    <row r="2294" hidden="1">
      <c r="A2294" s="83" t="s">
        <v>6317</v>
      </c>
      <c r="B2294" s="83" t="s">
        <v>6318</v>
      </c>
      <c r="C2294" s="81" t="s">
        <v>5141</v>
      </c>
      <c r="D2294" s="83" t="s">
        <v>4385</v>
      </c>
      <c r="E2294" s="81" t="s">
        <v>1649</v>
      </c>
      <c r="F2294" s="84">
        <v>325.0</v>
      </c>
      <c r="G2294" s="81" t="s">
        <v>40</v>
      </c>
      <c r="H2294" s="81" t="s">
        <v>5627</v>
      </c>
      <c r="I2294" s="81" t="s">
        <v>224</v>
      </c>
      <c r="J2294" s="81" t="s">
        <v>5143</v>
      </c>
    </row>
    <row r="2295" hidden="1">
      <c r="A2295" s="83" t="s">
        <v>6317</v>
      </c>
      <c r="B2295" s="83" t="s">
        <v>6318</v>
      </c>
      <c r="C2295" s="81" t="s">
        <v>5141</v>
      </c>
      <c r="D2295" s="83" t="s">
        <v>4385</v>
      </c>
      <c r="E2295" s="81" t="s">
        <v>1652</v>
      </c>
      <c r="F2295" s="84">
        <v>326.0</v>
      </c>
      <c r="G2295" s="81" t="s">
        <v>40</v>
      </c>
      <c r="H2295" s="81" t="s">
        <v>49</v>
      </c>
      <c r="I2295" s="81" t="s">
        <v>224</v>
      </c>
      <c r="J2295" s="81" t="s">
        <v>5143</v>
      </c>
    </row>
    <row r="2296" hidden="1">
      <c r="A2296" s="83" t="s">
        <v>6317</v>
      </c>
      <c r="B2296" s="83" t="s">
        <v>6318</v>
      </c>
      <c r="C2296" s="81" t="s">
        <v>4086</v>
      </c>
      <c r="D2296" s="83" t="s">
        <v>4386</v>
      </c>
      <c r="E2296" s="81" t="s">
        <v>1653</v>
      </c>
      <c r="F2296" s="84">
        <v>327.0</v>
      </c>
      <c r="G2296" s="81" t="s">
        <v>39</v>
      </c>
      <c r="H2296" s="81" t="s">
        <v>5628</v>
      </c>
      <c r="I2296" s="81" t="s">
        <v>1654</v>
      </c>
      <c r="J2296" s="81" t="s">
        <v>224</v>
      </c>
    </row>
    <row r="2297" hidden="1">
      <c r="A2297" s="83" t="s">
        <v>6317</v>
      </c>
      <c r="B2297" s="83" t="s">
        <v>6318</v>
      </c>
      <c r="C2297" s="81" t="s">
        <v>5141</v>
      </c>
      <c r="D2297" s="83" t="s">
        <v>4386</v>
      </c>
      <c r="E2297" s="81" t="s">
        <v>1653</v>
      </c>
      <c r="F2297" s="84">
        <v>327.0</v>
      </c>
      <c r="G2297" s="81" t="s">
        <v>40</v>
      </c>
      <c r="H2297" s="81" t="s">
        <v>5629</v>
      </c>
      <c r="I2297" s="81" t="s">
        <v>224</v>
      </c>
      <c r="J2297" s="81" t="s">
        <v>5143</v>
      </c>
    </row>
    <row r="2298" hidden="1">
      <c r="A2298" s="83" t="s">
        <v>6317</v>
      </c>
      <c r="B2298" s="83" t="s">
        <v>6318</v>
      </c>
      <c r="C2298" s="81" t="s">
        <v>4086</v>
      </c>
      <c r="D2298" s="83" t="s">
        <v>4387</v>
      </c>
      <c r="E2298" s="81" t="s">
        <v>1655</v>
      </c>
      <c r="F2298" s="84">
        <v>328.0</v>
      </c>
      <c r="G2298" s="81" t="s">
        <v>39</v>
      </c>
      <c r="H2298" s="81" t="s">
        <v>5630</v>
      </c>
      <c r="I2298" s="81" t="s">
        <v>1660</v>
      </c>
      <c r="J2298" s="81" t="s">
        <v>224</v>
      </c>
    </row>
    <row r="2299" hidden="1">
      <c r="A2299" s="83" t="s">
        <v>6317</v>
      </c>
      <c r="B2299" s="83" t="s">
        <v>6318</v>
      </c>
      <c r="C2299" s="81" t="s">
        <v>4086</v>
      </c>
      <c r="D2299" s="83" t="s">
        <v>4387</v>
      </c>
      <c r="E2299" s="81" t="s">
        <v>1655</v>
      </c>
      <c r="F2299" s="84">
        <v>328.0</v>
      </c>
      <c r="G2299" s="81" t="s">
        <v>40</v>
      </c>
      <c r="H2299" s="81" t="s">
        <v>5631</v>
      </c>
      <c r="I2299" s="81" t="s">
        <v>1661</v>
      </c>
      <c r="J2299" s="81" t="s">
        <v>224</v>
      </c>
    </row>
    <row r="2300" hidden="1">
      <c r="A2300" s="83" t="s">
        <v>6317</v>
      </c>
      <c r="B2300" s="83" t="s">
        <v>6318</v>
      </c>
      <c r="C2300" s="81" t="s">
        <v>4086</v>
      </c>
      <c r="D2300" s="83" t="s">
        <v>4387</v>
      </c>
      <c r="E2300" s="81" t="s">
        <v>1665</v>
      </c>
      <c r="F2300" s="84">
        <v>329.0</v>
      </c>
      <c r="G2300" s="81" t="s">
        <v>39</v>
      </c>
      <c r="H2300" s="81" t="s">
        <v>5630</v>
      </c>
      <c r="I2300" s="81" t="s">
        <v>1660</v>
      </c>
      <c r="J2300" s="81" t="s">
        <v>224</v>
      </c>
    </row>
    <row r="2301" hidden="1">
      <c r="A2301" s="83" t="s">
        <v>6317</v>
      </c>
      <c r="B2301" s="83" t="s">
        <v>6318</v>
      </c>
      <c r="C2301" s="81" t="s">
        <v>4086</v>
      </c>
      <c r="D2301" s="83" t="s">
        <v>4387</v>
      </c>
      <c r="E2301" s="81" t="s">
        <v>1665</v>
      </c>
      <c r="F2301" s="84">
        <v>329.0</v>
      </c>
      <c r="G2301" s="81" t="s">
        <v>40</v>
      </c>
      <c r="H2301" s="81" t="s">
        <v>5631</v>
      </c>
      <c r="I2301" s="81" t="s">
        <v>1661</v>
      </c>
      <c r="J2301" s="81" t="s">
        <v>224</v>
      </c>
    </row>
    <row r="2302" hidden="1">
      <c r="A2302" s="83" t="s">
        <v>6317</v>
      </c>
      <c r="B2302" s="83" t="s">
        <v>6318</v>
      </c>
      <c r="C2302" s="81" t="s">
        <v>4086</v>
      </c>
      <c r="D2302" s="83" t="s">
        <v>4388</v>
      </c>
      <c r="E2302" s="81" t="s">
        <v>1666</v>
      </c>
      <c r="F2302" s="84">
        <v>330.0</v>
      </c>
      <c r="G2302" s="81" t="s">
        <v>39</v>
      </c>
      <c r="H2302" s="81" t="s">
        <v>5632</v>
      </c>
      <c r="I2302" s="81" t="s">
        <v>1668</v>
      </c>
      <c r="J2302" s="81" t="s">
        <v>224</v>
      </c>
    </row>
    <row r="2303" hidden="1">
      <c r="A2303" s="83" t="s">
        <v>6317</v>
      </c>
      <c r="B2303" s="83" t="s">
        <v>6318</v>
      </c>
      <c r="C2303" s="81" t="s">
        <v>4086</v>
      </c>
      <c r="D2303" s="83" t="s">
        <v>4388</v>
      </c>
      <c r="E2303" s="81" t="s">
        <v>1666</v>
      </c>
      <c r="F2303" s="84">
        <v>330.0</v>
      </c>
      <c r="G2303" s="81" t="s">
        <v>40</v>
      </c>
      <c r="H2303" s="81" t="s">
        <v>5633</v>
      </c>
      <c r="I2303" s="81" t="s">
        <v>1669</v>
      </c>
      <c r="J2303" s="81" t="s">
        <v>224</v>
      </c>
    </row>
    <row r="2304" hidden="1">
      <c r="A2304" s="83" t="s">
        <v>6317</v>
      </c>
      <c r="B2304" s="83" t="s">
        <v>6318</v>
      </c>
      <c r="C2304" s="81" t="s">
        <v>4086</v>
      </c>
      <c r="D2304" s="83" t="s">
        <v>4389</v>
      </c>
      <c r="E2304" s="81" t="s">
        <v>1670</v>
      </c>
      <c r="F2304" s="84">
        <v>331.0</v>
      </c>
      <c r="G2304" s="81" t="s">
        <v>39</v>
      </c>
      <c r="H2304" s="81" t="s">
        <v>5634</v>
      </c>
      <c r="I2304" s="81" t="s">
        <v>1673</v>
      </c>
      <c r="J2304" s="81" t="s">
        <v>224</v>
      </c>
    </row>
    <row r="2305" hidden="1">
      <c r="A2305" s="83" t="s">
        <v>6317</v>
      </c>
      <c r="B2305" s="83" t="s">
        <v>6318</v>
      </c>
      <c r="C2305" s="81" t="s">
        <v>4086</v>
      </c>
      <c r="D2305" s="83" t="s">
        <v>4389</v>
      </c>
      <c r="E2305" s="81" t="s">
        <v>1670</v>
      </c>
      <c r="F2305" s="84">
        <v>331.0</v>
      </c>
      <c r="G2305" s="81" t="s">
        <v>40</v>
      </c>
      <c r="H2305" s="81" t="s">
        <v>5635</v>
      </c>
      <c r="I2305" s="81" t="s">
        <v>1674</v>
      </c>
      <c r="J2305" s="81" t="s">
        <v>224</v>
      </c>
    </row>
    <row r="2306" hidden="1">
      <c r="A2306" s="83" t="s">
        <v>6317</v>
      </c>
      <c r="B2306" s="83" t="s">
        <v>6318</v>
      </c>
      <c r="C2306" s="81" t="s">
        <v>4086</v>
      </c>
      <c r="D2306" s="83" t="s">
        <v>4389</v>
      </c>
      <c r="E2306" s="81" t="s">
        <v>1678</v>
      </c>
      <c r="F2306" s="84">
        <v>332.0</v>
      </c>
      <c r="G2306" s="81" t="s">
        <v>39</v>
      </c>
      <c r="H2306" s="81" t="s">
        <v>5636</v>
      </c>
      <c r="I2306" s="81" t="s">
        <v>1673</v>
      </c>
      <c r="J2306" s="81" t="s">
        <v>224</v>
      </c>
    </row>
    <row r="2307" hidden="1">
      <c r="A2307" s="83" t="s">
        <v>6317</v>
      </c>
      <c r="B2307" s="83" t="s">
        <v>6318</v>
      </c>
      <c r="C2307" s="81" t="s">
        <v>4086</v>
      </c>
      <c r="D2307" s="83" t="s">
        <v>4389</v>
      </c>
      <c r="E2307" s="81" t="s">
        <v>1678</v>
      </c>
      <c r="F2307" s="84">
        <v>332.0</v>
      </c>
      <c r="G2307" s="81" t="s">
        <v>40</v>
      </c>
      <c r="H2307" s="81" t="s">
        <v>5635</v>
      </c>
      <c r="I2307" s="81" t="s">
        <v>1674</v>
      </c>
      <c r="J2307" s="81" t="s">
        <v>224</v>
      </c>
    </row>
    <row r="2308" hidden="1">
      <c r="A2308" s="83" t="s">
        <v>6317</v>
      </c>
      <c r="B2308" s="83" t="s">
        <v>6318</v>
      </c>
      <c r="C2308" s="81" t="s">
        <v>4086</v>
      </c>
      <c r="D2308" s="83" t="s">
        <v>4390</v>
      </c>
      <c r="E2308" s="81" t="s">
        <v>1679</v>
      </c>
      <c r="F2308" s="84">
        <v>333.0</v>
      </c>
      <c r="G2308" s="81" t="s">
        <v>39</v>
      </c>
      <c r="H2308" s="81" t="s">
        <v>5637</v>
      </c>
      <c r="I2308" s="81" t="s">
        <v>1680</v>
      </c>
      <c r="J2308" s="81" t="s">
        <v>224</v>
      </c>
    </row>
    <row r="2309" hidden="1">
      <c r="A2309" s="83" t="s">
        <v>6317</v>
      </c>
      <c r="B2309" s="83" t="s">
        <v>6318</v>
      </c>
      <c r="C2309" s="81" t="s">
        <v>4086</v>
      </c>
      <c r="D2309" s="83" t="s">
        <v>4390</v>
      </c>
      <c r="E2309" s="81" t="s">
        <v>1679</v>
      </c>
      <c r="F2309" s="84">
        <v>333.0</v>
      </c>
      <c r="G2309" s="81" t="s">
        <v>40</v>
      </c>
      <c r="H2309" s="81" t="s">
        <v>5638</v>
      </c>
      <c r="I2309" s="81" t="s">
        <v>1681</v>
      </c>
      <c r="J2309" s="81" t="s">
        <v>224</v>
      </c>
    </row>
    <row r="2310" hidden="1">
      <c r="A2310" s="83" t="s">
        <v>6317</v>
      </c>
      <c r="B2310" s="83" t="s">
        <v>6318</v>
      </c>
      <c r="C2310" s="81" t="s">
        <v>4086</v>
      </c>
      <c r="D2310" s="83" t="s">
        <v>4391</v>
      </c>
      <c r="E2310" s="81" t="s">
        <v>1682</v>
      </c>
      <c r="F2310" s="84">
        <v>334.0</v>
      </c>
      <c r="G2310" s="81" t="s">
        <v>39</v>
      </c>
      <c r="H2310" s="81" t="s">
        <v>5484</v>
      </c>
      <c r="I2310" s="81" t="s">
        <v>1686</v>
      </c>
      <c r="J2310" s="81" t="s">
        <v>224</v>
      </c>
    </row>
    <row r="2311" hidden="1">
      <c r="A2311" s="83" t="s">
        <v>6317</v>
      </c>
      <c r="B2311" s="83" t="s">
        <v>6318</v>
      </c>
      <c r="C2311" s="81" t="s">
        <v>5141</v>
      </c>
      <c r="D2311" s="83" t="s">
        <v>4391</v>
      </c>
      <c r="E2311" s="81" t="s">
        <v>1682</v>
      </c>
      <c r="F2311" s="84">
        <v>334.0</v>
      </c>
      <c r="G2311" s="81" t="s">
        <v>40</v>
      </c>
      <c r="H2311" s="81" t="s">
        <v>5485</v>
      </c>
      <c r="I2311" s="81" t="s">
        <v>224</v>
      </c>
      <c r="J2311" s="81" t="s">
        <v>5143</v>
      </c>
    </row>
    <row r="2312" hidden="1">
      <c r="A2312" s="83" t="s">
        <v>6317</v>
      </c>
      <c r="B2312" s="83" t="s">
        <v>6318</v>
      </c>
      <c r="C2312" s="81" t="s">
        <v>4086</v>
      </c>
      <c r="D2312" s="83" t="s">
        <v>4393</v>
      </c>
      <c r="E2312" s="81" t="s">
        <v>1690</v>
      </c>
      <c r="F2312" s="84">
        <v>335.0</v>
      </c>
      <c r="G2312" s="81" t="s">
        <v>39</v>
      </c>
      <c r="H2312" s="81" t="s">
        <v>5478</v>
      </c>
      <c r="I2312" s="81" t="s">
        <v>1693</v>
      </c>
      <c r="J2312" s="81" t="s">
        <v>224</v>
      </c>
    </row>
    <row r="2313" hidden="1">
      <c r="A2313" s="83" t="s">
        <v>6317</v>
      </c>
      <c r="B2313" s="83" t="s">
        <v>6318</v>
      </c>
      <c r="C2313" s="81" t="s">
        <v>5141</v>
      </c>
      <c r="D2313" s="83" t="s">
        <v>4393</v>
      </c>
      <c r="E2313" s="81" t="s">
        <v>1690</v>
      </c>
      <c r="F2313" s="84">
        <v>335.0</v>
      </c>
      <c r="G2313" s="81" t="s">
        <v>40</v>
      </c>
      <c r="H2313" s="81" t="s">
        <v>49</v>
      </c>
      <c r="I2313" s="81" t="s">
        <v>224</v>
      </c>
      <c r="J2313" s="81" t="s">
        <v>5143</v>
      </c>
    </row>
    <row r="2314" hidden="1">
      <c r="A2314" s="83" t="s">
        <v>6317</v>
      </c>
      <c r="B2314" s="83" t="s">
        <v>6318</v>
      </c>
      <c r="C2314" s="81" t="s">
        <v>4086</v>
      </c>
      <c r="D2314" s="83" t="s">
        <v>4394</v>
      </c>
      <c r="E2314" s="81" t="s">
        <v>1698</v>
      </c>
      <c r="F2314" s="84">
        <v>336.0</v>
      </c>
      <c r="G2314" s="81" t="s">
        <v>39</v>
      </c>
      <c r="H2314" s="81" t="s">
        <v>5473</v>
      </c>
      <c r="I2314" s="81" t="s">
        <v>1701</v>
      </c>
      <c r="J2314" s="81" t="s">
        <v>224</v>
      </c>
    </row>
    <row r="2315" hidden="1">
      <c r="A2315" s="83" t="s">
        <v>6317</v>
      </c>
      <c r="B2315" s="83" t="s">
        <v>6318</v>
      </c>
      <c r="C2315" s="81" t="s">
        <v>5141</v>
      </c>
      <c r="D2315" s="83" t="s">
        <v>4394</v>
      </c>
      <c r="E2315" s="81" t="s">
        <v>1698</v>
      </c>
      <c r="F2315" s="84">
        <v>336.0</v>
      </c>
      <c r="G2315" s="81" t="s">
        <v>40</v>
      </c>
      <c r="H2315" s="81" t="s">
        <v>5474</v>
      </c>
      <c r="I2315" s="81" t="s">
        <v>224</v>
      </c>
      <c r="J2315" s="81" t="s">
        <v>5143</v>
      </c>
    </row>
    <row r="2316" hidden="1">
      <c r="A2316" s="83" t="s">
        <v>6317</v>
      </c>
      <c r="B2316" s="83" t="s">
        <v>6318</v>
      </c>
      <c r="C2316" s="81" t="s">
        <v>4086</v>
      </c>
      <c r="D2316" s="83" t="s">
        <v>4395</v>
      </c>
      <c r="E2316" s="81" t="s">
        <v>1702</v>
      </c>
      <c r="F2316" s="84">
        <v>337.0</v>
      </c>
      <c r="G2316" s="81" t="s">
        <v>39</v>
      </c>
      <c r="H2316" s="81" t="s">
        <v>5639</v>
      </c>
      <c r="I2316" s="81" t="s">
        <v>1704</v>
      </c>
      <c r="J2316" s="81" t="s">
        <v>224</v>
      </c>
    </row>
    <row r="2317" hidden="1">
      <c r="A2317" s="83" t="s">
        <v>6317</v>
      </c>
      <c r="B2317" s="83" t="s">
        <v>6318</v>
      </c>
      <c r="C2317" s="81" t="s">
        <v>5141</v>
      </c>
      <c r="D2317" s="83" t="s">
        <v>4395</v>
      </c>
      <c r="E2317" s="81" t="s">
        <v>1702</v>
      </c>
      <c r="F2317" s="84">
        <v>337.0</v>
      </c>
      <c r="G2317" s="81" t="s">
        <v>40</v>
      </c>
      <c r="H2317" s="81" t="s">
        <v>5640</v>
      </c>
      <c r="I2317" s="81" t="s">
        <v>224</v>
      </c>
      <c r="J2317" s="81" t="s">
        <v>5143</v>
      </c>
    </row>
    <row r="2318" hidden="1">
      <c r="A2318" s="83" t="s">
        <v>6317</v>
      </c>
      <c r="B2318" s="83" t="s">
        <v>6318</v>
      </c>
      <c r="C2318" s="81" t="s">
        <v>4086</v>
      </c>
      <c r="D2318" s="83" t="s">
        <v>4395</v>
      </c>
      <c r="E2318" s="81" t="s">
        <v>1706</v>
      </c>
      <c r="F2318" s="84">
        <v>338.0</v>
      </c>
      <c r="G2318" s="81" t="s">
        <v>39</v>
      </c>
      <c r="H2318" s="81" t="s">
        <v>5639</v>
      </c>
      <c r="I2318" s="81" t="s">
        <v>1704</v>
      </c>
      <c r="J2318" s="81" t="s">
        <v>224</v>
      </c>
    </row>
    <row r="2319" hidden="1">
      <c r="A2319" s="83" t="s">
        <v>6317</v>
      </c>
      <c r="B2319" s="83" t="s">
        <v>6318</v>
      </c>
      <c r="C2319" s="81" t="s">
        <v>5141</v>
      </c>
      <c r="D2319" s="83" t="s">
        <v>4395</v>
      </c>
      <c r="E2319" s="81" t="s">
        <v>1706</v>
      </c>
      <c r="F2319" s="84">
        <v>338.0</v>
      </c>
      <c r="G2319" s="81" t="s">
        <v>40</v>
      </c>
      <c r="H2319" s="81" t="s">
        <v>5640</v>
      </c>
      <c r="I2319" s="81" t="s">
        <v>224</v>
      </c>
      <c r="J2319" s="81" t="s">
        <v>5143</v>
      </c>
    </row>
    <row r="2320" hidden="1">
      <c r="A2320" s="83" t="s">
        <v>6317</v>
      </c>
      <c r="B2320" s="83" t="s">
        <v>6318</v>
      </c>
      <c r="C2320" s="81" t="s">
        <v>4086</v>
      </c>
      <c r="D2320" s="83" t="s">
        <v>4397</v>
      </c>
      <c r="E2320" s="81" t="s">
        <v>1708</v>
      </c>
      <c r="F2320" s="84">
        <v>339.0</v>
      </c>
      <c r="G2320" s="81" t="s">
        <v>39</v>
      </c>
      <c r="H2320" s="81" t="s">
        <v>5641</v>
      </c>
      <c r="I2320" s="81" t="s">
        <v>1715</v>
      </c>
      <c r="J2320" s="81" t="s">
        <v>224</v>
      </c>
    </row>
    <row r="2321" hidden="1">
      <c r="A2321" s="83" t="s">
        <v>6317</v>
      </c>
      <c r="B2321" s="83" t="s">
        <v>6318</v>
      </c>
      <c r="C2321" s="81" t="s">
        <v>4086</v>
      </c>
      <c r="D2321" s="83" t="s">
        <v>4397</v>
      </c>
      <c r="E2321" s="81" t="s">
        <v>1708</v>
      </c>
      <c r="F2321" s="84">
        <v>339.0</v>
      </c>
      <c r="G2321" s="81" t="s">
        <v>40</v>
      </c>
      <c r="H2321" s="81" t="s">
        <v>5642</v>
      </c>
      <c r="I2321" s="81" t="s">
        <v>1716</v>
      </c>
      <c r="J2321" s="81" t="s">
        <v>224</v>
      </c>
    </row>
    <row r="2322" hidden="1">
      <c r="A2322" s="83" t="s">
        <v>6317</v>
      </c>
      <c r="B2322" s="83" t="s">
        <v>6318</v>
      </c>
      <c r="C2322" s="81" t="s">
        <v>4086</v>
      </c>
      <c r="D2322" s="83" t="s">
        <v>4397</v>
      </c>
      <c r="E2322" s="81" t="s">
        <v>1722</v>
      </c>
      <c r="F2322" s="84">
        <v>340.0</v>
      </c>
      <c r="G2322" s="81" t="s">
        <v>39</v>
      </c>
      <c r="H2322" s="81" t="s">
        <v>5641</v>
      </c>
      <c r="I2322" s="81" t="s">
        <v>1715</v>
      </c>
      <c r="J2322" s="81" t="s">
        <v>224</v>
      </c>
    </row>
    <row r="2323" hidden="1">
      <c r="A2323" s="83" t="s">
        <v>6317</v>
      </c>
      <c r="B2323" s="83" t="s">
        <v>6318</v>
      </c>
      <c r="C2323" s="81" t="s">
        <v>4086</v>
      </c>
      <c r="D2323" s="83" t="s">
        <v>4397</v>
      </c>
      <c r="E2323" s="81" t="s">
        <v>1722</v>
      </c>
      <c r="F2323" s="84">
        <v>340.0</v>
      </c>
      <c r="G2323" s="81" t="s">
        <v>40</v>
      </c>
      <c r="H2323" s="81" t="s">
        <v>5642</v>
      </c>
      <c r="I2323" s="81" t="s">
        <v>1716</v>
      </c>
      <c r="J2323" s="81" t="s">
        <v>224</v>
      </c>
    </row>
    <row r="2324" hidden="1">
      <c r="A2324" s="83" t="s">
        <v>6317</v>
      </c>
      <c r="B2324" s="83" t="s">
        <v>6318</v>
      </c>
      <c r="C2324" s="81" t="s">
        <v>4086</v>
      </c>
      <c r="D2324" s="83" t="s">
        <v>4399</v>
      </c>
      <c r="E2324" s="81" t="s">
        <v>1723</v>
      </c>
      <c r="F2324" s="84">
        <v>341.0</v>
      </c>
      <c r="G2324" s="81" t="s">
        <v>39</v>
      </c>
      <c r="H2324" s="81" t="s">
        <v>5643</v>
      </c>
      <c r="I2324" s="81" t="s">
        <v>1724</v>
      </c>
      <c r="J2324" s="81" t="s">
        <v>224</v>
      </c>
    </row>
    <row r="2325" hidden="1">
      <c r="A2325" s="83" t="s">
        <v>6317</v>
      </c>
      <c r="B2325" s="83" t="s">
        <v>6318</v>
      </c>
      <c r="C2325" s="81" t="s">
        <v>4086</v>
      </c>
      <c r="D2325" s="83" t="s">
        <v>4399</v>
      </c>
      <c r="E2325" s="81" t="s">
        <v>1723</v>
      </c>
      <c r="F2325" s="84">
        <v>341.0</v>
      </c>
      <c r="G2325" s="81" t="s">
        <v>40</v>
      </c>
      <c r="H2325" s="81" t="s">
        <v>5644</v>
      </c>
      <c r="I2325" s="81" t="s">
        <v>1725</v>
      </c>
      <c r="J2325" s="81" t="s">
        <v>224</v>
      </c>
    </row>
    <row r="2326" hidden="1">
      <c r="A2326" s="83" t="s">
        <v>6317</v>
      </c>
      <c r="B2326" s="83" t="s">
        <v>6318</v>
      </c>
      <c r="C2326" s="81" t="s">
        <v>4086</v>
      </c>
      <c r="D2326" s="83" t="s">
        <v>4400</v>
      </c>
      <c r="E2326" s="81" t="s">
        <v>1726</v>
      </c>
      <c r="F2326" s="84">
        <v>342.0</v>
      </c>
      <c r="G2326" s="81" t="s">
        <v>39</v>
      </c>
      <c r="H2326" s="81" t="s">
        <v>5645</v>
      </c>
      <c r="I2326" s="81" t="s">
        <v>1730</v>
      </c>
      <c r="J2326" s="81" t="s">
        <v>224</v>
      </c>
    </row>
    <row r="2327" hidden="1">
      <c r="A2327" s="83" t="s">
        <v>6317</v>
      </c>
      <c r="B2327" s="83" t="s">
        <v>6318</v>
      </c>
      <c r="C2327" s="81" t="s">
        <v>4086</v>
      </c>
      <c r="D2327" s="83" t="s">
        <v>4400</v>
      </c>
      <c r="E2327" s="81" t="s">
        <v>1726</v>
      </c>
      <c r="F2327" s="84">
        <v>342.0</v>
      </c>
      <c r="G2327" s="81" t="s">
        <v>40</v>
      </c>
      <c r="H2327" s="81" t="s">
        <v>5646</v>
      </c>
      <c r="I2327" s="81" t="s">
        <v>1731</v>
      </c>
      <c r="J2327" s="81" t="s">
        <v>224</v>
      </c>
    </row>
    <row r="2328" hidden="1">
      <c r="A2328" s="83" t="s">
        <v>6317</v>
      </c>
      <c r="B2328" s="83" t="s">
        <v>6318</v>
      </c>
      <c r="C2328" s="81" t="s">
        <v>4086</v>
      </c>
      <c r="D2328" s="83" t="s">
        <v>4401</v>
      </c>
      <c r="E2328" s="81" t="s">
        <v>1736</v>
      </c>
      <c r="F2328" s="84">
        <v>343.0</v>
      </c>
      <c r="G2328" s="81" t="s">
        <v>39</v>
      </c>
      <c r="H2328" s="81" t="s">
        <v>5647</v>
      </c>
      <c r="I2328" s="81" t="s">
        <v>1737</v>
      </c>
      <c r="J2328" s="81" t="s">
        <v>224</v>
      </c>
    </row>
    <row r="2329" hidden="1">
      <c r="A2329" s="83" t="s">
        <v>6317</v>
      </c>
      <c r="B2329" s="83" t="s">
        <v>6318</v>
      </c>
      <c r="C2329" s="81" t="s">
        <v>4086</v>
      </c>
      <c r="D2329" s="83" t="s">
        <v>4401</v>
      </c>
      <c r="E2329" s="81" t="s">
        <v>1736</v>
      </c>
      <c r="F2329" s="84">
        <v>343.0</v>
      </c>
      <c r="G2329" s="81" t="s">
        <v>40</v>
      </c>
      <c r="H2329" s="81" t="s">
        <v>5648</v>
      </c>
      <c r="I2329" s="81" t="s">
        <v>1738</v>
      </c>
      <c r="J2329" s="81" t="s">
        <v>224</v>
      </c>
    </row>
    <row r="2330" hidden="1">
      <c r="A2330" s="83" t="s">
        <v>6317</v>
      </c>
      <c r="B2330" s="83" t="s">
        <v>6318</v>
      </c>
      <c r="C2330" s="81" t="s">
        <v>4086</v>
      </c>
      <c r="D2330" s="83" t="s">
        <v>4402</v>
      </c>
      <c r="E2330" s="81" t="s">
        <v>1739</v>
      </c>
      <c r="F2330" s="84">
        <v>344.0</v>
      </c>
      <c r="G2330" s="81" t="s">
        <v>39</v>
      </c>
      <c r="H2330" s="81" t="s">
        <v>5649</v>
      </c>
      <c r="I2330" s="81" t="s">
        <v>1740</v>
      </c>
      <c r="J2330" s="81" t="s">
        <v>224</v>
      </c>
    </row>
    <row r="2331" hidden="1">
      <c r="A2331" s="83" t="s">
        <v>6317</v>
      </c>
      <c r="B2331" s="83" t="s">
        <v>6318</v>
      </c>
      <c r="C2331" s="81" t="s">
        <v>5141</v>
      </c>
      <c r="D2331" s="83" t="s">
        <v>4402</v>
      </c>
      <c r="E2331" s="81" t="s">
        <v>1739</v>
      </c>
      <c r="F2331" s="84">
        <v>344.0</v>
      </c>
      <c r="G2331" s="81" t="s">
        <v>40</v>
      </c>
      <c r="H2331" s="81" t="s">
        <v>5650</v>
      </c>
      <c r="I2331" s="81" t="s">
        <v>224</v>
      </c>
      <c r="J2331" s="81" t="s">
        <v>5143</v>
      </c>
    </row>
    <row r="2332" hidden="1">
      <c r="A2332" s="83" t="s">
        <v>6317</v>
      </c>
      <c r="B2332" s="83" t="s">
        <v>6318</v>
      </c>
      <c r="C2332" s="81" t="s">
        <v>4086</v>
      </c>
      <c r="D2332" s="83" t="s">
        <v>4402</v>
      </c>
      <c r="E2332" s="81" t="s">
        <v>1741</v>
      </c>
      <c r="F2332" s="84">
        <v>345.0</v>
      </c>
      <c r="G2332" s="81" t="s">
        <v>39</v>
      </c>
      <c r="H2332" s="81" t="s">
        <v>5649</v>
      </c>
      <c r="I2332" s="81" t="s">
        <v>1740</v>
      </c>
      <c r="J2332" s="81" t="s">
        <v>224</v>
      </c>
    </row>
    <row r="2333" hidden="1">
      <c r="A2333" s="83" t="s">
        <v>6317</v>
      </c>
      <c r="B2333" s="83" t="s">
        <v>6318</v>
      </c>
      <c r="C2333" s="81" t="s">
        <v>5141</v>
      </c>
      <c r="D2333" s="83" t="s">
        <v>4402</v>
      </c>
      <c r="E2333" s="81" t="s">
        <v>1741</v>
      </c>
      <c r="F2333" s="84">
        <v>345.0</v>
      </c>
      <c r="G2333" s="81" t="s">
        <v>40</v>
      </c>
      <c r="H2333" s="81" t="s">
        <v>5650</v>
      </c>
      <c r="I2333" s="81" t="s">
        <v>224</v>
      </c>
      <c r="J2333" s="81" t="s">
        <v>5143</v>
      </c>
    </row>
    <row r="2334" hidden="1">
      <c r="A2334" s="83" t="s">
        <v>6317</v>
      </c>
      <c r="B2334" s="83" t="s">
        <v>6318</v>
      </c>
      <c r="C2334" s="81" t="s">
        <v>4086</v>
      </c>
      <c r="D2334" s="83" t="s">
        <v>4403</v>
      </c>
      <c r="E2334" s="81" t="s">
        <v>1742</v>
      </c>
      <c r="F2334" s="84">
        <v>346.0</v>
      </c>
      <c r="G2334" s="81" t="s">
        <v>39</v>
      </c>
      <c r="H2334" s="81" t="s">
        <v>5651</v>
      </c>
      <c r="I2334" s="81" t="s">
        <v>1743</v>
      </c>
      <c r="J2334" s="81" t="s">
        <v>224</v>
      </c>
    </row>
    <row r="2335" hidden="1">
      <c r="A2335" s="83" t="s">
        <v>6317</v>
      </c>
      <c r="B2335" s="83" t="s">
        <v>6318</v>
      </c>
      <c r="C2335" s="81" t="s">
        <v>5141</v>
      </c>
      <c r="D2335" s="83" t="s">
        <v>4403</v>
      </c>
      <c r="E2335" s="81" t="s">
        <v>1742</v>
      </c>
      <c r="F2335" s="84">
        <v>346.0</v>
      </c>
      <c r="G2335" s="81" t="s">
        <v>40</v>
      </c>
      <c r="H2335" s="81" t="s">
        <v>5652</v>
      </c>
      <c r="I2335" s="81" t="s">
        <v>224</v>
      </c>
      <c r="J2335" s="81" t="s">
        <v>5143</v>
      </c>
    </row>
    <row r="2336" hidden="1">
      <c r="A2336" s="83" t="s">
        <v>6317</v>
      </c>
      <c r="B2336" s="83" t="s">
        <v>6318</v>
      </c>
      <c r="C2336" s="81" t="s">
        <v>4086</v>
      </c>
      <c r="D2336" s="83" t="s">
        <v>4404</v>
      </c>
      <c r="E2336" s="81" t="s">
        <v>1744</v>
      </c>
      <c r="F2336" s="84">
        <v>347.0</v>
      </c>
      <c r="G2336" s="81" t="s">
        <v>39</v>
      </c>
      <c r="H2336" s="81" t="s">
        <v>5653</v>
      </c>
      <c r="I2336" s="81" t="s">
        <v>1747</v>
      </c>
      <c r="J2336" s="81" t="s">
        <v>224</v>
      </c>
    </row>
    <row r="2337" hidden="1">
      <c r="A2337" s="83" t="s">
        <v>6317</v>
      </c>
      <c r="B2337" s="83" t="s">
        <v>6318</v>
      </c>
      <c r="C2337" s="81" t="s">
        <v>4086</v>
      </c>
      <c r="D2337" s="83" t="s">
        <v>4404</v>
      </c>
      <c r="E2337" s="81" t="s">
        <v>1744</v>
      </c>
      <c r="F2337" s="84">
        <v>347.0</v>
      </c>
      <c r="G2337" s="81" t="s">
        <v>40</v>
      </c>
      <c r="H2337" s="81" t="s">
        <v>5654</v>
      </c>
      <c r="I2337" s="81" t="s">
        <v>1748</v>
      </c>
      <c r="J2337" s="81" t="s">
        <v>224</v>
      </c>
    </row>
    <row r="2338" hidden="1">
      <c r="A2338" s="83" t="s">
        <v>6317</v>
      </c>
      <c r="B2338" s="83" t="s">
        <v>6318</v>
      </c>
      <c r="C2338" s="81" t="s">
        <v>4086</v>
      </c>
      <c r="D2338" s="83" t="s">
        <v>4405</v>
      </c>
      <c r="E2338" s="81" t="s">
        <v>1753</v>
      </c>
      <c r="F2338" s="84">
        <v>348.0</v>
      </c>
      <c r="G2338" s="81" t="s">
        <v>39</v>
      </c>
      <c r="H2338" s="81" t="s">
        <v>5655</v>
      </c>
      <c r="I2338" s="81" t="s">
        <v>1754</v>
      </c>
      <c r="J2338" s="81" t="s">
        <v>224</v>
      </c>
    </row>
    <row r="2339" hidden="1">
      <c r="A2339" s="83" t="s">
        <v>6317</v>
      </c>
      <c r="B2339" s="83" t="s">
        <v>6318</v>
      </c>
      <c r="C2339" s="81" t="s">
        <v>4086</v>
      </c>
      <c r="D2339" s="83" t="s">
        <v>4405</v>
      </c>
      <c r="E2339" s="81" t="s">
        <v>1753</v>
      </c>
      <c r="F2339" s="84">
        <v>348.0</v>
      </c>
      <c r="G2339" s="81" t="s">
        <v>40</v>
      </c>
      <c r="H2339" s="81" t="s">
        <v>5656</v>
      </c>
      <c r="I2339" s="81" t="s">
        <v>1755</v>
      </c>
      <c r="J2339" s="81" t="s">
        <v>224</v>
      </c>
    </row>
    <row r="2340" hidden="1">
      <c r="A2340" s="83" t="s">
        <v>6317</v>
      </c>
      <c r="B2340" s="83" t="s">
        <v>6318</v>
      </c>
      <c r="C2340" s="81" t="s">
        <v>4086</v>
      </c>
      <c r="D2340" s="83" t="s">
        <v>4406</v>
      </c>
      <c r="E2340" s="81" t="s">
        <v>1756</v>
      </c>
      <c r="F2340" s="84">
        <v>349.0</v>
      </c>
      <c r="G2340" s="81" t="s">
        <v>39</v>
      </c>
      <c r="H2340" s="81" t="s">
        <v>5657</v>
      </c>
      <c r="I2340" s="81" t="s">
        <v>1758</v>
      </c>
      <c r="J2340" s="81" t="s">
        <v>224</v>
      </c>
    </row>
    <row r="2341" hidden="1">
      <c r="A2341" s="83" t="s">
        <v>6317</v>
      </c>
      <c r="B2341" s="83" t="s">
        <v>6318</v>
      </c>
      <c r="C2341" s="81" t="s">
        <v>4086</v>
      </c>
      <c r="D2341" s="83" t="s">
        <v>4406</v>
      </c>
      <c r="E2341" s="81" t="s">
        <v>1756</v>
      </c>
      <c r="F2341" s="84">
        <v>349.0</v>
      </c>
      <c r="G2341" s="81" t="s">
        <v>40</v>
      </c>
      <c r="H2341" s="81" t="s">
        <v>5658</v>
      </c>
      <c r="I2341" s="81" t="s">
        <v>1759</v>
      </c>
      <c r="J2341" s="81" t="s">
        <v>224</v>
      </c>
    </row>
    <row r="2342" hidden="1">
      <c r="A2342" s="83" t="s">
        <v>6317</v>
      </c>
      <c r="B2342" s="83" t="s">
        <v>6318</v>
      </c>
      <c r="C2342" s="81" t="s">
        <v>4086</v>
      </c>
      <c r="D2342" s="83" t="s">
        <v>4406</v>
      </c>
      <c r="E2342" s="81" t="s">
        <v>1760</v>
      </c>
      <c r="F2342" s="84">
        <v>350.0</v>
      </c>
      <c r="G2342" s="81" t="s">
        <v>39</v>
      </c>
      <c r="H2342" s="81" t="s">
        <v>5659</v>
      </c>
      <c r="I2342" s="81" t="s">
        <v>1758</v>
      </c>
      <c r="J2342" s="81" t="s">
        <v>224</v>
      </c>
    </row>
    <row r="2343" hidden="1">
      <c r="A2343" s="83" t="s">
        <v>6317</v>
      </c>
      <c r="B2343" s="83" t="s">
        <v>6318</v>
      </c>
      <c r="C2343" s="81" t="s">
        <v>4086</v>
      </c>
      <c r="D2343" s="83" t="s">
        <v>4406</v>
      </c>
      <c r="E2343" s="81" t="s">
        <v>1760</v>
      </c>
      <c r="F2343" s="84">
        <v>350.0</v>
      </c>
      <c r="G2343" s="81" t="s">
        <v>40</v>
      </c>
      <c r="H2343" s="81" t="s">
        <v>5658</v>
      </c>
      <c r="I2343" s="81" t="s">
        <v>1759</v>
      </c>
      <c r="J2343" s="81" t="s">
        <v>224</v>
      </c>
    </row>
    <row r="2344" hidden="1">
      <c r="A2344" s="83" t="s">
        <v>6317</v>
      </c>
      <c r="B2344" s="83" t="s">
        <v>6318</v>
      </c>
      <c r="C2344" s="81" t="s">
        <v>4086</v>
      </c>
      <c r="D2344" s="83" t="s">
        <v>4407</v>
      </c>
      <c r="E2344" s="81" t="s">
        <v>1762</v>
      </c>
      <c r="F2344" s="84">
        <v>351.0</v>
      </c>
      <c r="G2344" s="81" t="s">
        <v>39</v>
      </c>
      <c r="H2344" s="81" t="s">
        <v>5660</v>
      </c>
      <c r="I2344" s="81" t="s">
        <v>1763</v>
      </c>
      <c r="J2344" s="81" t="s">
        <v>224</v>
      </c>
    </row>
    <row r="2345" hidden="1">
      <c r="A2345" s="83" t="s">
        <v>6317</v>
      </c>
      <c r="B2345" s="83" t="s">
        <v>6318</v>
      </c>
      <c r="C2345" s="81" t="s">
        <v>4086</v>
      </c>
      <c r="D2345" s="83" t="s">
        <v>4407</v>
      </c>
      <c r="E2345" s="81" t="s">
        <v>1762</v>
      </c>
      <c r="F2345" s="84">
        <v>351.0</v>
      </c>
      <c r="G2345" s="81" t="s">
        <v>40</v>
      </c>
      <c r="H2345" s="81" t="s">
        <v>5661</v>
      </c>
      <c r="I2345" s="81" t="s">
        <v>1764</v>
      </c>
      <c r="J2345" s="81" t="s">
        <v>224</v>
      </c>
    </row>
    <row r="2346" hidden="1">
      <c r="A2346" s="83" t="s">
        <v>6317</v>
      </c>
      <c r="B2346" s="83" t="s">
        <v>6318</v>
      </c>
      <c r="C2346" s="81" t="s">
        <v>4086</v>
      </c>
      <c r="D2346" s="83" t="s">
        <v>4408</v>
      </c>
      <c r="E2346" s="81" t="s">
        <v>1765</v>
      </c>
      <c r="F2346" s="84">
        <v>352.0</v>
      </c>
      <c r="G2346" s="81" t="s">
        <v>39</v>
      </c>
      <c r="H2346" s="81" t="s">
        <v>5662</v>
      </c>
      <c r="I2346" s="81" t="s">
        <v>1767</v>
      </c>
      <c r="J2346" s="81" t="s">
        <v>224</v>
      </c>
    </row>
    <row r="2347" hidden="1">
      <c r="A2347" s="83" t="s">
        <v>6317</v>
      </c>
      <c r="B2347" s="83" t="s">
        <v>6318</v>
      </c>
      <c r="C2347" s="81" t="s">
        <v>4086</v>
      </c>
      <c r="D2347" s="83" t="s">
        <v>4408</v>
      </c>
      <c r="E2347" s="81" t="s">
        <v>1765</v>
      </c>
      <c r="F2347" s="84">
        <v>352.0</v>
      </c>
      <c r="G2347" s="81" t="s">
        <v>40</v>
      </c>
      <c r="H2347" s="81" t="s">
        <v>5663</v>
      </c>
      <c r="I2347" s="81" t="s">
        <v>1768</v>
      </c>
      <c r="J2347" s="81" t="s">
        <v>224</v>
      </c>
    </row>
    <row r="2348" hidden="1">
      <c r="A2348" s="83" t="s">
        <v>6317</v>
      </c>
      <c r="B2348" s="83" t="s">
        <v>6318</v>
      </c>
      <c r="C2348" s="81" t="s">
        <v>4086</v>
      </c>
      <c r="D2348" s="83" t="s">
        <v>4408</v>
      </c>
      <c r="E2348" s="81" t="s">
        <v>1770</v>
      </c>
      <c r="F2348" s="84">
        <v>353.0</v>
      </c>
      <c r="G2348" s="81" t="s">
        <v>39</v>
      </c>
      <c r="H2348" s="81" t="s">
        <v>5662</v>
      </c>
      <c r="I2348" s="81" t="s">
        <v>1767</v>
      </c>
      <c r="J2348" s="81" t="s">
        <v>224</v>
      </c>
    </row>
    <row r="2349" hidden="1">
      <c r="A2349" s="83" t="s">
        <v>6317</v>
      </c>
      <c r="B2349" s="83" t="s">
        <v>6318</v>
      </c>
      <c r="C2349" s="81" t="s">
        <v>4086</v>
      </c>
      <c r="D2349" s="83" t="s">
        <v>4408</v>
      </c>
      <c r="E2349" s="81" t="s">
        <v>1770</v>
      </c>
      <c r="F2349" s="84">
        <v>353.0</v>
      </c>
      <c r="G2349" s="81" t="s">
        <v>40</v>
      </c>
      <c r="H2349" s="81" t="s">
        <v>5663</v>
      </c>
      <c r="I2349" s="81" t="s">
        <v>1768</v>
      </c>
      <c r="J2349" s="81" t="s">
        <v>224</v>
      </c>
    </row>
    <row r="2350" hidden="1">
      <c r="A2350" s="83" t="s">
        <v>6317</v>
      </c>
      <c r="B2350" s="83" t="s">
        <v>6318</v>
      </c>
      <c r="C2350" s="81" t="s">
        <v>4086</v>
      </c>
      <c r="D2350" s="83" t="s">
        <v>4410</v>
      </c>
      <c r="E2350" s="81" t="s">
        <v>1772</v>
      </c>
      <c r="F2350" s="84">
        <v>354.0</v>
      </c>
      <c r="G2350" s="81" t="s">
        <v>39</v>
      </c>
      <c r="H2350" s="81" t="s">
        <v>5664</v>
      </c>
      <c r="I2350" s="81" t="s">
        <v>1773</v>
      </c>
      <c r="J2350" s="81" t="s">
        <v>224</v>
      </c>
    </row>
    <row r="2351" hidden="1">
      <c r="A2351" s="83" t="s">
        <v>6317</v>
      </c>
      <c r="B2351" s="83" t="s">
        <v>6318</v>
      </c>
      <c r="C2351" s="81" t="s">
        <v>4086</v>
      </c>
      <c r="D2351" s="83" t="s">
        <v>4410</v>
      </c>
      <c r="E2351" s="81" t="s">
        <v>1772</v>
      </c>
      <c r="F2351" s="84">
        <v>354.0</v>
      </c>
      <c r="G2351" s="81" t="s">
        <v>40</v>
      </c>
      <c r="H2351" s="81" t="s">
        <v>5665</v>
      </c>
      <c r="I2351" s="81" t="s">
        <v>1774</v>
      </c>
      <c r="J2351" s="81" t="s">
        <v>224</v>
      </c>
    </row>
    <row r="2352" hidden="1">
      <c r="A2352" s="83" t="s">
        <v>6317</v>
      </c>
      <c r="B2352" s="83" t="s">
        <v>6318</v>
      </c>
      <c r="C2352" s="81" t="s">
        <v>4086</v>
      </c>
      <c r="D2352" s="83" t="s">
        <v>4411</v>
      </c>
      <c r="E2352" s="81" t="s">
        <v>1775</v>
      </c>
      <c r="F2352" s="84">
        <v>355.0</v>
      </c>
      <c r="G2352" s="81" t="s">
        <v>39</v>
      </c>
      <c r="H2352" s="81" t="s">
        <v>5666</v>
      </c>
      <c r="I2352" s="81" t="s">
        <v>1782</v>
      </c>
      <c r="J2352" s="81" t="s">
        <v>224</v>
      </c>
    </row>
    <row r="2353" hidden="1">
      <c r="A2353" s="83" t="s">
        <v>6317</v>
      </c>
      <c r="B2353" s="83" t="s">
        <v>6318</v>
      </c>
      <c r="C2353" s="81" t="s">
        <v>4086</v>
      </c>
      <c r="D2353" s="83" t="s">
        <v>4411</v>
      </c>
      <c r="E2353" s="81" t="s">
        <v>1775</v>
      </c>
      <c r="F2353" s="84">
        <v>355.0</v>
      </c>
      <c r="G2353" s="81" t="s">
        <v>40</v>
      </c>
      <c r="H2353" s="81" t="s">
        <v>5667</v>
      </c>
      <c r="I2353" s="81" t="s">
        <v>1783</v>
      </c>
      <c r="J2353" s="81" t="s">
        <v>224</v>
      </c>
    </row>
    <row r="2354" hidden="1">
      <c r="A2354" s="83" t="s">
        <v>6317</v>
      </c>
      <c r="B2354" s="83" t="s">
        <v>6318</v>
      </c>
      <c r="C2354" s="81" t="s">
        <v>4086</v>
      </c>
      <c r="D2354" s="83" t="s">
        <v>4411</v>
      </c>
      <c r="E2354" s="81" t="s">
        <v>1789</v>
      </c>
      <c r="F2354" s="84">
        <v>356.0</v>
      </c>
      <c r="G2354" s="81" t="s">
        <v>40</v>
      </c>
      <c r="H2354" s="81" t="s">
        <v>5668</v>
      </c>
      <c r="I2354" s="81" t="s">
        <v>1783</v>
      </c>
      <c r="J2354" s="81" t="s">
        <v>224</v>
      </c>
    </row>
    <row r="2355" hidden="1">
      <c r="A2355" s="83" t="s">
        <v>6317</v>
      </c>
      <c r="B2355" s="83" t="s">
        <v>6318</v>
      </c>
      <c r="C2355" s="81" t="s">
        <v>4086</v>
      </c>
      <c r="D2355" s="83" t="s">
        <v>4412</v>
      </c>
      <c r="E2355" s="81" t="s">
        <v>1790</v>
      </c>
      <c r="F2355" s="84">
        <v>357.0</v>
      </c>
      <c r="G2355" s="81" t="s">
        <v>39</v>
      </c>
      <c r="H2355" s="81" t="s">
        <v>5669</v>
      </c>
      <c r="I2355" s="81" t="s">
        <v>1792</v>
      </c>
      <c r="J2355" s="81" t="s">
        <v>224</v>
      </c>
    </row>
    <row r="2356" hidden="1">
      <c r="A2356" s="83" t="s">
        <v>6317</v>
      </c>
      <c r="B2356" s="83" t="s">
        <v>6318</v>
      </c>
      <c r="C2356" s="81" t="s">
        <v>4086</v>
      </c>
      <c r="D2356" s="83" t="s">
        <v>4412</v>
      </c>
      <c r="E2356" s="81" t="s">
        <v>1790</v>
      </c>
      <c r="F2356" s="84">
        <v>357.0</v>
      </c>
      <c r="G2356" s="81" t="s">
        <v>40</v>
      </c>
      <c r="H2356" s="81" t="s">
        <v>5670</v>
      </c>
      <c r="I2356" s="81" t="s">
        <v>1793</v>
      </c>
      <c r="J2356" s="81" t="s">
        <v>224</v>
      </c>
    </row>
    <row r="2357" hidden="1">
      <c r="A2357" s="83" t="s">
        <v>6317</v>
      </c>
      <c r="B2357" s="83" t="s">
        <v>6318</v>
      </c>
      <c r="C2357" s="81" t="s">
        <v>4086</v>
      </c>
      <c r="D2357" s="83" t="s">
        <v>4413</v>
      </c>
      <c r="E2357" s="81" t="s">
        <v>1794</v>
      </c>
      <c r="F2357" s="84">
        <v>358.0</v>
      </c>
      <c r="G2357" s="81" t="s">
        <v>39</v>
      </c>
      <c r="H2357" s="81" t="s">
        <v>5671</v>
      </c>
      <c r="I2357" s="81" t="s">
        <v>1801</v>
      </c>
      <c r="J2357" s="81" t="s">
        <v>224</v>
      </c>
    </row>
    <row r="2358" hidden="1">
      <c r="A2358" s="83" t="s">
        <v>6317</v>
      </c>
      <c r="B2358" s="83" t="s">
        <v>6318</v>
      </c>
      <c r="C2358" s="81" t="s">
        <v>4086</v>
      </c>
      <c r="D2358" s="83" t="s">
        <v>4413</v>
      </c>
      <c r="E2358" s="81" t="s">
        <v>1794</v>
      </c>
      <c r="F2358" s="84">
        <v>358.0</v>
      </c>
      <c r="G2358" s="81" t="s">
        <v>40</v>
      </c>
      <c r="H2358" s="81" t="s">
        <v>5672</v>
      </c>
      <c r="I2358" s="81" t="s">
        <v>5673</v>
      </c>
      <c r="J2358" s="81" t="s">
        <v>224</v>
      </c>
    </row>
    <row r="2359" hidden="1">
      <c r="A2359" s="83" t="s">
        <v>6317</v>
      </c>
      <c r="B2359" s="83" t="s">
        <v>6318</v>
      </c>
      <c r="C2359" s="81" t="s">
        <v>4086</v>
      </c>
      <c r="D2359" s="83" t="s">
        <v>4413</v>
      </c>
      <c r="E2359" s="81" t="s">
        <v>1808</v>
      </c>
      <c r="F2359" s="84">
        <v>359.0</v>
      </c>
      <c r="G2359" s="81" t="s">
        <v>39</v>
      </c>
      <c r="H2359" s="81" t="s">
        <v>5671</v>
      </c>
      <c r="I2359" s="81" t="s">
        <v>1801</v>
      </c>
      <c r="J2359" s="81" t="s">
        <v>224</v>
      </c>
    </row>
    <row r="2360" hidden="1">
      <c r="A2360" s="83" t="s">
        <v>6317</v>
      </c>
      <c r="B2360" s="83" t="s">
        <v>6318</v>
      </c>
      <c r="C2360" s="81" t="s">
        <v>4086</v>
      </c>
      <c r="D2360" s="83" t="s">
        <v>4413</v>
      </c>
      <c r="E2360" s="81" t="s">
        <v>1808</v>
      </c>
      <c r="F2360" s="84">
        <v>359.0</v>
      </c>
      <c r="G2360" s="81" t="s">
        <v>40</v>
      </c>
      <c r="H2360" s="81" t="s">
        <v>5672</v>
      </c>
      <c r="I2360" s="81" t="s">
        <v>5673</v>
      </c>
      <c r="J2360" s="81" t="s">
        <v>224</v>
      </c>
    </row>
    <row r="2361" hidden="1">
      <c r="A2361" s="83" t="s">
        <v>6317</v>
      </c>
      <c r="B2361" s="83" t="s">
        <v>6318</v>
      </c>
      <c r="C2361" s="81" t="s">
        <v>4086</v>
      </c>
      <c r="D2361" s="83" t="s">
        <v>4414</v>
      </c>
      <c r="E2361" s="81" t="s">
        <v>1810</v>
      </c>
      <c r="F2361" s="84">
        <v>360.0</v>
      </c>
      <c r="G2361" s="81" t="s">
        <v>39</v>
      </c>
      <c r="H2361" s="81" t="s">
        <v>5674</v>
      </c>
      <c r="I2361" s="81" t="s">
        <v>1811</v>
      </c>
      <c r="J2361" s="81" t="s">
        <v>224</v>
      </c>
    </row>
    <row r="2362" hidden="1">
      <c r="A2362" s="83" t="s">
        <v>6317</v>
      </c>
      <c r="B2362" s="83" t="s">
        <v>6318</v>
      </c>
      <c r="C2362" s="81" t="s">
        <v>4086</v>
      </c>
      <c r="D2362" s="83" t="s">
        <v>4414</v>
      </c>
      <c r="E2362" s="81" t="s">
        <v>1810</v>
      </c>
      <c r="F2362" s="84">
        <v>360.0</v>
      </c>
      <c r="G2362" s="81" t="s">
        <v>40</v>
      </c>
      <c r="H2362" s="81" t="s">
        <v>5675</v>
      </c>
      <c r="I2362" s="81" t="s">
        <v>1812</v>
      </c>
      <c r="J2362" s="81" t="s">
        <v>224</v>
      </c>
    </row>
    <row r="2363" hidden="1">
      <c r="A2363" s="83" t="s">
        <v>6317</v>
      </c>
      <c r="B2363" s="83" t="s">
        <v>6318</v>
      </c>
      <c r="C2363" s="81" t="s">
        <v>4086</v>
      </c>
      <c r="D2363" s="83" t="s">
        <v>4415</v>
      </c>
      <c r="E2363" s="81" t="s">
        <v>1813</v>
      </c>
      <c r="F2363" s="84">
        <v>361.0</v>
      </c>
      <c r="G2363" s="81" t="s">
        <v>39</v>
      </c>
      <c r="H2363" s="81" t="s">
        <v>5676</v>
      </c>
      <c r="I2363" s="81" t="s">
        <v>1816</v>
      </c>
      <c r="J2363" s="81" t="s">
        <v>224</v>
      </c>
    </row>
    <row r="2364" hidden="1">
      <c r="A2364" s="83" t="s">
        <v>6317</v>
      </c>
      <c r="B2364" s="83" t="s">
        <v>6318</v>
      </c>
      <c r="C2364" s="81" t="s">
        <v>4086</v>
      </c>
      <c r="D2364" s="83" t="s">
        <v>4415</v>
      </c>
      <c r="E2364" s="81" t="s">
        <v>1813</v>
      </c>
      <c r="F2364" s="84">
        <v>361.0</v>
      </c>
      <c r="G2364" s="81" t="s">
        <v>40</v>
      </c>
      <c r="H2364" s="81" t="s">
        <v>5677</v>
      </c>
      <c r="I2364" s="81" t="s">
        <v>5678</v>
      </c>
      <c r="J2364" s="81" t="s">
        <v>224</v>
      </c>
    </row>
    <row r="2365" hidden="1">
      <c r="A2365" s="83" t="s">
        <v>6317</v>
      </c>
      <c r="B2365" s="83" t="s">
        <v>6318</v>
      </c>
      <c r="C2365" s="81" t="s">
        <v>4086</v>
      </c>
      <c r="D2365" s="83" t="s">
        <v>4416</v>
      </c>
      <c r="E2365" s="81" t="s">
        <v>1822</v>
      </c>
      <c r="F2365" s="84">
        <v>362.0</v>
      </c>
      <c r="G2365" s="81" t="s">
        <v>39</v>
      </c>
      <c r="H2365" s="81" t="s">
        <v>5679</v>
      </c>
      <c r="I2365" s="81" t="s">
        <v>1823</v>
      </c>
      <c r="J2365" s="81" t="s">
        <v>224</v>
      </c>
    </row>
    <row r="2366" hidden="1">
      <c r="A2366" s="83" t="s">
        <v>6317</v>
      </c>
      <c r="B2366" s="83" t="s">
        <v>6318</v>
      </c>
      <c r="C2366" s="81" t="s">
        <v>4086</v>
      </c>
      <c r="D2366" s="83" t="s">
        <v>4416</v>
      </c>
      <c r="E2366" s="81" t="s">
        <v>1822</v>
      </c>
      <c r="F2366" s="84">
        <v>362.0</v>
      </c>
      <c r="G2366" s="81" t="s">
        <v>40</v>
      </c>
      <c r="H2366" s="81" t="s">
        <v>5680</v>
      </c>
      <c r="I2366" s="81" t="s">
        <v>1824</v>
      </c>
      <c r="J2366" s="81" t="s">
        <v>224</v>
      </c>
    </row>
    <row r="2367" hidden="1">
      <c r="A2367" s="83" t="s">
        <v>6317</v>
      </c>
      <c r="B2367" s="83" t="s">
        <v>6318</v>
      </c>
      <c r="C2367" s="81" t="s">
        <v>4086</v>
      </c>
      <c r="D2367" s="83" t="s">
        <v>4417</v>
      </c>
      <c r="E2367" s="81" t="s">
        <v>1825</v>
      </c>
      <c r="F2367" s="84">
        <v>363.0</v>
      </c>
      <c r="G2367" s="81" t="s">
        <v>39</v>
      </c>
      <c r="H2367" s="81" t="s">
        <v>5682</v>
      </c>
      <c r="I2367" s="81" t="s">
        <v>6321</v>
      </c>
      <c r="J2367" s="81" t="s">
        <v>224</v>
      </c>
    </row>
    <row r="2368" hidden="1">
      <c r="A2368" s="83" t="s">
        <v>6317</v>
      </c>
      <c r="B2368" s="83" t="s">
        <v>6318</v>
      </c>
      <c r="C2368" s="81" t="s">
        <v>4086</v>
      </c>
      <c r="D2368" s="83" t="s">
        <v>4417</v>
      </c>
      <c r="E2368" s="81" t="s">
        <v>1825</v>
      </c>
      <c r="F2368" s="84">
        <v>363.0</v>
      </c>
      <c r="G2368" s="81" t="s">
        <v>40</v>
      </c>
      <c r="H2368" s="81" t="s">
        <v>5683</v>
      </c>
      <c r="I2368" s="81" t="s">
        <v>6322</v>
      </c>
      <c r="J2368" s="81" t="s">
        <v>224</v>
      </c>
    </row>
    <row r="2369" hidden="1">
      <c r="A2369" s="83" t="s">
        <v>6317</v>
      </c>
      <c r="B2369" s="83" t="s">
        <v>6318</v>
      </c>
      <c r="C2369" s="81" t="s">
        <v>4086</v>
      </c>
      <c r="D2369" s="83" t="s">
        <v>4417</v>
      </c>
      <c r="E2369" s="81" t="s">
        <v>1842</v>
      </c>
      <c r="F2369" s="84">
        <v>364.0</v>
      </c>
      <c r="G2369" s="81" t="s">
        <v>39</v>
      </c>
      <c r="H2369" s="81" t="s">
        <v>5685</v>
      </c>
      <c r="I2369" s="81" t="s">
        <v>6321</v>
      </c>
      <c r="J2369" s="81" t="s">
        <v>224</v>
      </c>
    </row>
    <row r="2370" hidden="1">
      <c r="A2370" s="83" t="s">
        <v>6317</v>
      </c>
      <c r="B2370" s="83" t="s">
        <v>6318</v>
      </c>
      <c r="C2370" s="81" t="s">
        <v>4086</v>
      </c>
      <c r="D2370" s="83" t="s">
        <v>4417</v>
      </c>
      <c r="E2370" s="81" t="s">
        <v>1842</v>
      </c>
      <c r="F2370" s="84">
        <v>364.0</v>
      </c>
      <c r="G2370" s="81" t="s">
        <v>40</v>
      </c>
      <c r="H2370" s="81" t="s">
        <v>5686</v>
      </c>
      <c r="I2370" s="81" t="s">
        <v>6322</v>
      </c>
      <c r="J2370" s="81" t="s">
        <v>224</v>
      </c>
    </row>
    <row r="2371" hidden="1">
      <c r="A2371" s="83" t="s">
        <v>6317</v>
      </c>
      <c r="B2371" s="83" t="s">
        <v>6318</v>
      </c>
      <c r="C2371" s="81" t="s">
        <v>4086</v>
      </c>
      <c r="D2371" s="83" t="s">
        <v>4419</v>
      </c>
      <c r="E2371" s="81" t="s">
        <v>1843</v>
      </c>
      <c r="F2371" s="84">
        <v>365.0</v>
      </c>
      <c r="G2371" s="81" t="s">
        <v>39</v>
      </c>
      <c r="H2371" s="81" t="s">
        <v>5687</v>
      </c>
      <c r="I2371" s="81" t="s">
        <v>6321</v>
      </c>
      <c r="J2371" s="81" t="s">
        <v>224</v>
      </c>
    </row>
    <row r="2372" hidden="1">
      <c r="A2372" s="83" t="s">
        <v>6317</v>
      </c>
      <c r="B2372" s="83" t="s">
        <v>6318</v>
      </c>
      <c r="C2372" s="81" t="s">
        <v>4086</v>
      </c>
      <c r="D2372" s="83" t="s">
        <v>4419</v>
      </c>
      <c r="E2372" s="81" t="s">
        <v>1843</v>
      </c>
      <c r="F2372" s="84">
        <v>365.0</v>
      </c>
      <c r="G2372" s="81" t="s">
        <v>40</v>
      </c>
      <c r="H2372" s="81" t="s">
        <v>5688</v>
      </c>
      <c r="I2372" s="81" t="s">
        <v>6322</v>
      </c>
      <c r="J2372" s="81" t="s">
        <v>224</v>
      </c>
    </row>
    <row r="2373" hidden="1">
      <c r="A2373" s="83" t="s">
        <v>6317</v>
      </c>
      <c r="B2373" s="83" t="s">
        <v>6318</v>
      </c>
      <c r="C2373" s="81" t="s">
        <v>4086</v>
      </c>
      <c r="D2373" s="83" t="s">
        <v>4420</v>
      </c>
      <c r="E2373" s="81" t="s">
        <v>1844</v>
      </c>
      <c r="F2373" s="84">
        <v>366.0</v>
      </c>
      <c r="G2373" s="81" t="s">
        <v>39</v>
      </c>
      <c r="H2373" s="81" t="s">
        <v>5689</v>
      </c>
      <c r="I2373" s="81" t="s">
        <v>6321</v>
      </c>
      <c r="J2373" s="81" t="s">
        <v>224</v>
      </c>
    </row>
    <row r="2374" hidden="1">
      <c r="A2374" s="83" t="s">
        <v>6317</v>
      </c>
      <c r="B2374" s="83" t="s">
        <v>6318</v>
      </c>
      <c r="C2374" s="81" t="s">
        <v>4086</v>
      </c>
      <c r="D2374" s="83" t="s">
        <v>4420</v>
      </c>
      <c r="E2374" s="81" t="s">
        <v>1844</v>
      </c>
      <c r="F2374" s="84">
        <v>366.0</v>
      </c>
      <c r="G2374" s="81" t="s">
        <v>40</v>
      </c>
      <c r="H2374" s="81" t="s">
        <v>5690</v>
      </c>
      <c r="I2374" s="81" t="s">
        <v>6322</v>
      </c>
      <c r="J2374" s="81" t="s">
        <v>224</v>
      </c>
    </row>
    <row r="2375" hidden="1">
      <c r="A2375" s="83" t="s">
        <v>6317</v>
      </c>
      <c r="B2375" s="83" t="s">
        <v>6318</v>
      </c>
      <c r="C2375" s="81" t="s">
        <v>4086</v>
      </c>
      <c r="D2375" s="83" t="s">
        <v>4421</v>
      </c>
      <c r="E2375" s="81" t="s">
        <v>1848</v>
      </c>
      <c r="F2375" s="84">
        <v>367.0</v>
      </c>
      <c r="G2375" s="81" t="s">
        <v>39</v>
      </c>
      <c r="H2375" s="81" t="s">
        <v>5691</v>
      </c>
      <c r="I2375" s="81" t="s">
        <v>6321</v>
      </c>
      <c r="J2375" s="81" t="s">
        <v>224</v>
      </c>
    </row>
    <row r="2376" hidden="1">
      <c r="A2376" s="83" t="s">
        <v>6317</v>
      </c>
      <c r="B2376" s="83" t="s">
        <v>6318</v>
      </c>
      <c r="C2376" s="81" t="s">
        <v>4086</v>
      </c>
      <c r="D2376" s="83" t="s">
        <v>4421</v>
      </c>
      <c r="E2376" s="81" t="s">
        <v>1848</v>
      </c>
      <c r="F2376" s="84">
        <v>367.0</v>
      </c>
      <c r="G2376" s="81" t="s">
        <v>40</v>
      </c>
      <c r="H2376" s="81" t="s">
        <v>5692</v>
      </c>
      <c r="I2376" s="81" t="s">
        <v>6322</v>
      </c>
      <c r="J2376" s="81" t="s">
        <v>224</v>
      </c>
    </row>
    <row r="2377" hidden="1">
      <c r="A2377" s="83" t="s">
        <v>6317</v>
      </c>
      <c r="B2377" s="83" t="s">
        <v>6318</v>
      </c>
      <c r="C2377" s="81" t="s">
        <v>4086</v>
      </c>
      <c r="D2377" s="83" t="s">
        <v>4422</v>
      </c>
      <c r="E2377" s="81" t="s">
        <v>1849</v>
      </c>
      <c r="F2377" s="84">
        <v>368.0</v>
      </c>
      <c r="G2377" s="81" t="s">
        <v>39</v>
      </c>
      <c r="H2377" s="81" t="s">
        <v>5694</v>
      </c>
      <c r="I2377" s="81" t="s">
        <v>6323</v>
      </c>
      <c r="J2377" s="81" t="s">
        <v>224</v>
      </c>
    </row>
    <row r="2378" hidden="1">
      <c r="A2378" s="83" t="s">
        <v>6317</v>
      </c>
      <c r="B2378" s="83" t="s">
        <v>6318</v>
      </c>
      <c r="C2378" s="81" t="s">
        <v>4086</v>
      </c>
      <c r="D2378" s="83" t="s">
        <v>4422</v>
      </c>
      <c r="E2378" s="81" t="s">
        <v>1849</v>
      </c>
      <c r="F2378" s="84">
        <v>368.0</v>
      </c>
      <c r="G2378" s="81" t="s">
        <v>40</v>
      </c>
      <c r="H2378" s="81" t="s">
        <v>5695</v>
      </c>
      <c r="I2378" s="81" t="s">
        <v>6324</v>
      </c>
      <c r="J2378" s="81" t="s">
        <v>224</v>
      </c>
    </row>
    <row r="2379" hidden="1">
      <c r="A2379" s="83" t="s">
        <v>6317</v>
      </c>
      <c r="B2379" s="83" t="s">
        <v>6318</v>
      </c>
      <c r="C2379" s="81" t="s">
        <v>4086</v>
      </c>
      <c r="D2379" s="83" t="s">
        <v>4423</v>
      </c>
      <c r="E2379" s="81" t="s">
        <v>1860</v>
      </c>
      <c r="F2379" s="84">
        <v>369.0</v>
      </c>
      <c r="G2379" s="81" t="s">
        <v>39</v>
      </c>
      <c r="H2379" s="81" t="s">
        <v>5697</v>
      </c>
      <c r="I2379" s="81" t="s">
        <v>6323</v>
      </c>
      <c r="J2379" s="81" t="s">
        <v>224</v>
      </c>
    </row>
    <row r="2380" hidden="1">
      <c r="A2380" s="83" t="s">
        <v>6317</v>
      </c>
      <c r="B2380" s="83" t="s">
        <v>6318</v>
      </c>
      <c r="C2380" s="81" t="s">
        <v>4086</v>
      </c>
      <c r="D2380" s="83" t="s">
        <v>4423</v>
      </c>
      <c r="E2380" s="81" t="s">
        <v>1860</v>
      </c>
      <c r="F2380" s="84">
        <v>369.0</v>
      </c>
      <c r="G2380" s="81" t="s">
        <v>40</v>
      </c>
      <c r="H2380" s="81" t="s">
        <v>5698</v>
      </c>
      <c r="I2380" s="81" t="s">
        <v>6324</v>
      </c>
      <c r="J2380" s="81" t="s">
        <v>224</v>
      </c>
    </row>
    <row r="2381" hidden="1">
      <c r="A2381" s="83" t="s">
        <v>6317</v>
      </c>
      <c r="B2381" s="83" t="s">
        <v>6318</v>
      </c>
      <c r="C2381" s="81" t="s">
        <v>4086</v>
      </c>
      <c r="D2381" s="83" t="s">
        <v>4424</v>
      </c>
      <c r="E2381" s="81" t="s">
        <v>1861</v>
      </c>
      <c r="F2381" s="84">
        <v>370.0</v>
      </c>
      <c r="G2381" s="81" t="s">
        <v>39</v>
      </c>
      <c r="H2381" s="81" t="s">
        <v>5699</v>
      </c>
      <c r="I2381" s="81" t="s">
        <v>6323</v>
      </c>
      <c r="J2381" s="81" t="s">
        <v>224</v>
      </c>
    </row>
    <row r="2382" hidden="1">
      <c r="A2382" s="83" t="s">
        <v>6317</v>
      </c>
      <c r="B2382" s="83" t="s">
        <v>6318</v>
      </c>
      <c r="C2382" s="81" t="s">
        <v>4086</v>
      </c>
      <c r="D2382" s="83" t="s">
        <v>4424</v>
      </c>
      <c r="E2382" s="81" t="s">
        <v>1861</v>
      </c>
      <c r="F2382" s="84">
        <v>370.0</v>
      </c>
      <c r="G2382" s="81" t="s">
        <v>40</v>
      </c>
      <c r="H2382" s="81" t="s">
        <v>5700</v>
      </c>
      <c r="I2382" s="81" t="s">
        <v>6324</v>
      </c>
      <c r="J2382" s="81" t="s">
        <v>224</v>
      </c>
    </row>
    <row r="2383" hidden="1">
      <c r="A2383" s="83" t="s">
        <v>6317</v>
      </c>
      <c r="B2383" s="83" t="s">
        <v>6318</v>
      </c>
      <c r="C2383" s="81" t="s">
        <v>4086</v>
      </c>
      <c r="D2383" s="83" t="s">
        <v>4425</v>
      </c>
      <c r="E2383" s="81" t="s">
        <v>1863</v>
      </c>
      <c r="F2383" s="84">
        <v>371.0</v>
      </c>
      <c r="G2383" s="81" t="s">
        <v>39</v>
      </c>
      <c r="H2383" s="81" t="s">
        <v>5701</v>
      </c>
      <c r="I2383" s="81" t="s">
        <v>6323</v>
      </c>
      <c r="J2383" s="81" t="s">
        <v>224</v>
      </c>
    </row>
    <row r="2384" hidden="1">
      <c r="A2384" s="83" t="s">
        <v>6317</v>
      </c>
      <c r="B2384" s="83" t="s">
        <v>6318</v>
      </c>
      <c r="C2384" s="81" t="s">
        <v>4086</v>
      </c>
      <c r="D2384" s="83" t="s">
        <v>4425</v>
      </c>
      <c r="E2384" s="81" t="s">
        <v>1863</v>
      </c>
      <c r="F2384" s="84">
        <v>371.0</v>
      </c>
      <c r="G2384" s="81" t="s">
        <v>40</v>
      </c>
      <c r="H2384" s="81" t="s">
        <v>5702</v>
      </c>
      <c r="I2384" s="81" t="s">
        <v>6324</v>
      </c>
      <c r="J2384" s="81" t="s">
        <v>224</v>
      </c>
    </row>
    <row r="2385" hidden="1">
      <c r="A2385" s="83" t="s">
        <v>6317</v>
      </c>
      <c r="B2385" s="83" t="s">
        <v>6318</v>
      </c>
      <c r="C2385" s="81" t="s">
        <v>4086</v>
      </c>
      <c r="D2385" s="83" t="s">
        <v>4426</v>
      </c>
      <c r="E2385" s="81" t="s">
        <v>1864</v>
      </c>
      <c r="F2385" s="84">
        <v>372.0</v>
      </c>
      <c r="G2385" s="81" t="s">
        <v>39</v>
      </c>
      <c r="H2385" s="81" t="s">
        <v>5704</v>
      </c>
      <c r="I2385" s="81" t="s">
        <v>6325</v>
      </c>
      <c r="J2385" s="81" t="s">
        <v>224</v>
      </c>
    </row>
    <row r="2386" hidden="1">
      <c r="A2386" s="83" t="s">
        <v>6317</v>
      </c>
      <c r="B2386" s="83" t="s">
        <v>6318</v>
      </c>
      <c r="C2386" s="81" t="s">
        <v>4086</v>
      </c>
      <c r="D2386" s="83" t="s">
        <v>4426</v>
      </c>
      <c r="E2386" s="81" t="s">
        <v>1864</v>
      </c>
      <c r="F2386" s="84">
        <v>372.0</v>
      </c>
      <c r="G2386" s="81" t="s">
        <v>40</v>
      </c>
      <c r="H2386" s="81" t="s">
        <v>5705</v>
      </c>
      <c r="I2386" s="81" t="s">
        <v>6326</v>
      </c>
      <c r="J2386" s="81" t="s">
        <v>224</v>
      </c>
    </row>
    <row r="2387" hidden="1">
      <c r="A2387" s="83" t="s">
        <v>6317</v>
      </c>
      <c r="B2387" s="83" t="s">
        <v>6318</v>
      </c>
      <c r="C2387" s="81" t="s">
        <v>4086</v>
      </c>
      <c r="D2387" s="83" t="s">
        <v>4427</v>
      </c>
      <c r="E2387" s="81" t="s">
        <v>1874</v>
      </c>
      <c r="F2387" s="84">
        <v>373.0</v>
      </c>
      <c r="G2387" s="81" t="s">
        <v>39</v>
      </c>
      <c r="H2387" s="81" t="s">
        <v>5707</v>
      </c>
      <c r="I2387" s="81" t="s">
        <v>1879</v>
      </c>
      <c r="J2387" s="81" t="s">
        <v>224</v>
      </c>
    </row>
    <row r="2388" hidden="1">
      <c r="A2388" s="83" t="s">
        <v>6317</v>
      </c>
      <c r="B2388" s="83" t="s">
        <v>6318</v>
      </c>
      <c r="C2388" s="81" t="s">
        <v>4086</v>
      </c>
      <c r="D2388" s="83" t="s">
        <v>4427</v>
      </c>
      <c r="E2388" s="81" t="s">
        <v>1874</v>
      </c>
      <c r="F2388" s="84">
        <v>373.0</v>
      </c>
      <c r="G2388" s="81" t="s">
        <v>40</v>
      </c>
      <c r="H2388" s="81" t="s">
        <v>5708</v>
      </c>
      <c r="I2388" s="81" t="s">
        <v>1880</v>
      </c>
      <c r="J2388" s="81" t="s">
        <v>224</v>
      </c>
    </row>
    <row r="2389" hidden="1">
      <c r="A2389" s="83" t="s">
        <v>6317</v>
      </c>
      <c r="B2389" s="83" t="s">
        <v>6318</v>
      </c>
      <c r="C2389" s="81" t="s">
        <v>4086</v>
      </c>
      <c r="D2389" s="83" t="s">
        <v>4428</v>
      </c>
      <c r="E2389" s="81" t="s">
        <v>1886</v>
      </c>
      <c r="F2389" s="84">
        <v>374.0</v>
      </c>
      <c r="G2389" s="81" t="s">
        <v>39</v>
      </c>
      <c r="H2389" s="81" t="s">
        <v>5709</v>
      </c>
      <c r="I2389" s="81" t="s">
        <v>1893</v>
      </c>
      <c r="J2389" s="81" t="s">
        <v>224</v>
      </c>
    </row>
    <row r="2390" hidden="1">
      <c r="A2390" s="83" t="s">
        <v>6317</v>
      </c>
      <c r="B2390" s="83" t="s">
        <v>6318</v>
      </c>
      <c r="C2390" s="81" t="s">
        <v>4086</v>
      </c>
      <c r="D2390" s="83" t="s">
        <v>4428</v>
      </c>
      <c r="E2390" s="81" t="s">
        <v>1886</v>
      </c>
      <c r="F2390" s="84">
        <v>374.0</v>
      </c>
      <c r="G2390" s="81" t="s">
        <v>40</v>
      </c>
      <c r="H2390" s="81" t="s">
        <v>5710</v>
      </c>
      <c r="I2390" s="81" t="s">
        <v>1894</v>
      </c>
      <c r="J2390" s="81" t="s">
        <v>224</v>
      </c>
    </row>
    <row r="2391" hidden="1">
      <c r="A2391" s="83" t="s">
        <v>6317</v>
      </c>
      <c r="B2391" s="83" t="s">
        <v>6318</v>
      </c>
      <c r="C2391" s="81" t="s">
        <v>4082</v>
      </c>
      <c r="D2391" s="83" t="s">
        <v>4429</v>
      </c>
      <c r="E2391" s="81" t="s">
        <v>1900</v>
      </c>
      <c r="F2391" s="84">
        <v>375.0</v>
      </c>
      <c r="G2391" s="81" t="s">
        <v>39</v>
      </c>
      <c r="H2391" s="81" t="s">
        <v>224</v>
      </c>
      <c r="I2391" s="81" t="s">
        <v>224</v>
      </c>
      <c r="J2391" s="81" t="s">
        <v>5711</v>
      </c>
    </row>
    <row r="2392" hidden="1">
      <c r="A2392" s="83" t="s">
        <v>6317</v>
      </c>
      <c r="B2392" s="83" t="s">
        <v>6318</v>
      </c>
      <c r="C2392" s="81" t="s">
        <v>5141</v>
      </c>
      <c r="D2392" s="83" t="s">
        <v>4429</v>
      </c>
      <c r="E2392" s="81" t="s">
        <v>1900</v>
      </c>
      <c r="F2392" s="84">
        <v>375.0</v>
      </c>
      <c r="G2392" s="81" t="s">
        <v>39</v>
      </c>
      <c r="H2392" s="81" t="s">
        <v>5712</v>
      </c>
      <c r="I2392" s="81" t="s">
        <v>224</v>
      </c>
      <c r="J2392" s="81" t="s">
        <v>5143</v>
      </c>
    </row>
    <row r="2393" hidden="1">
      <c r="A2393" s="83" t="s">
        <v>6317</v>
      </c>
      <c r="B2393" s="83" t="s">
        <v>6318</v>
      </c>
      <c r="C2393" s="81" t="s">
        <v>4086</v>
      </c>
      <c r="D2393" s="83" t="s">
        <v>4429</v>
      </c>
      <c r="E2393" s="81" t="s">
        <v>1900</v>
      </c>
      <c r="F2393" s="84">
        <v>375.0</v>
      </c>
      <c r="G2393" s="81" t="s">
        <v>40</v>
      </c>
      <c r="H2393" s="81" t="s">
        <v>5713</v>
      </c>
      <c r="I2393" s="81" t="s">
        <v>1905</v>
      </c>
      <c r="J2393" s="81" t="s">
        <v>224</v>
      </c>
    </row>
    <row r="2394" hidden="1">
      <c r="A2394" s="83" t="s">
        <v>6317</v>
      </c>
      <c r="B2394" s="83" t="s">
        <v>6318</v>
      </c>
      <c r="C2394" s="81" t="s">
        <v>4086</v>
      </c>
      <c r="D2394" s="83" t="s">
        <v>4430</v>
      </c>
      <c r="E2394" s="81" t="s">
        <v>1911</v>
      </c>
      <c r="F2394" s="84">
        <v>376.0</v>
      </c>
      <c r="G2394" s="81" t="s">
        <v>39</v>
      </c>
      <c r="H2394" s="81" t="s">
        <v>5714</v>
      </c>
      <c r="I2394" s="81" t="s">
        <v>1916</v>
      </c>
      <c r="J2394" s="81" t="s">
        <v>224</v>
      </c>
    </row>
    <row r="2395" hidden="1">
      <c r="A2395" s="83" t="s">
        <v>6317</v>
      </c>
      <c r="B2395" s="83" t="s">
        <v>6318</v>
      </c>
      <c r="C2395" s="81" t="s">
        <v>4086</v>
      </c>
      <c r="D2395" s="83" t="s">
        <v>4430</v>
      </c>
      <c r="E2395" s="81" t="s">
        <v>1911</v>
      </c>
      <c r="F2395" s="84">
        <v>376.0</v>
      </c>
      <c r="G2395" s="81" t="s">
        <v>40</v>
      </c>
      <c r="H2395" s="81" t="s">
        <v>5715</v>
      </c>
      <c r="I2395" s="81" t="s">
        <v>1917</v>
      </c>
      <c r="J2395" s="81" t="s">
        <v>224</v>
      </c>
    </row>
    <row r="2396" hidden="1">
      <c r="A2396" s="83" t="s">
        <v>6317</v>
      </c>
      <c r="B2396" s="83" t="s">
        <v>6318</v>
      </c>
      <c r="C2396" s="81" t="s">
        <v>4086</v>
      </c>
      <c r="D2396" s="83" t="s">
        <v>4431</v>
      </c>
      <c r="E2396" s="81" t="s">
        <v>1923</v>
      </c>
      <c r="F2396" s="84">
        <v>377.0</v>
      </c>
      <c r="G2396" s="81" t="s">
        <v>39</v>
      </c>
      <c r="H2396" s="81" t="s">
        <v>5717</v>
      </c>
      <c r="I2396" s="81" t="s">
        <v>1927</v>
      </c>
      <c r="J2396" s="81" t="s">
        <v>224</v>
      </c>
    </row>
    <row r="2397" hidden="1">
      <c r="A2397" s="83" t="s">
        <v>6317</v>
      </c>
      <c r="B2397" s="83" t="s">
        <v>6318</v>
      </c>
      <c r="C2397" s="81" t="s">
        <v>4086</v>
      </c>
      <c r="D2397" s="83" t="s">
        <v>4431</v>
      </c>
      <c r="E2397" s="81" t="s">
        <v>1923</v>
      </c>
      <c r="F2397" s="84">
        <v>377.0</v>
      </c>
      <c r="G2397" s="81" t="s">
        <v>40</v>
      </c>
      <c r="H2397" s="81" t="s">
        <v>5718</v>
      </c>
      <c r="I2397" s="81" t="s">
        <v>1928</v>
      </c>
      <c r="J2397" s="81" t="s">
        <v>224</v>
      </c>
    </row>
    <row r="2398" hidden="1">
      <c r="A2398" s="83" t="s">
        <v>6317</v>
      </c>
      <c r="B2398" s="83" t="s">
        <v>6318</v>
      </c>
      <c r="C2398" s="81" t="s">
        <v>4086</v>
      </c>
      <c r="D2398" s="83" t="s">
        <v>4431</v>
      </c>
      <c r="E2398" s="81" t="s">
        <v>1934</v>
      </c>
      <c r="F2398" s="84">
        <v>378.0</v>
      </c>
      <c r="G2398" s="81" t="s">
        <v>39</v>
      </c>
      <c r="H2398" s="81" t="s">
        <v>5717</v>
      </c>
      <c r="I2398" s="81" t="s">
        <v>1927</v>
      </c>
      <c r="J2398" s="81" t="s">
        <v>224</v>
      </c>
    </row>
    <row r="2399" hidden="1">
      <c r="A2399" s="83" t="s">
        <v>6317</v>
      </c>
      <c r="B2399" s="83" t="s">
        <v>6318</v>
      </c>
      <c r="C2399" s="81" t="s">
        <v>4086</v>
      </c>
      <c r="D2399" s="83" t="s">
        <v>4431</v>
      </c>
      <c r="E2399" s="81" t="s">
        <v>1934</v>
      </c>
      <c r="F2399" s="84">
        <v>378.0</v>
      </c>
      <c r="G2399" s="81" t="s">
        <v>40</v>
      </c>
      <c r="H2399" s="81" t="s">
        <v>5720</v>
      </c>
      <c r="I2399" s="81" t="s">
        <v>1928</v>
      </c>
      <c r="J2399" s="81" t="s">
        <v>224</v>
      </c>
    </row>
    <row r="2400" hidden="1">
      <c r="A2400" s="83" t="s">
        <v>6317</v>
      </c>
      <c r="B2400" s="83" t="s">
        <v>6318</v>
      </c>
      <c r="C2400" s="81" t="s">
        <v>4086</v>
      </c>
      <c r="D2400" s="83" t="s">
        <v>4432</v>
      </c>
      <c r="E2400" s="81" t="s">
        <v>1935</v>
      </c>
      <c r="F2400" s="84">
        <v>379.0</v>
      </c>
      <c r="G2400" s="81" t="s">
        <v>39</v>
      </c>
      <c r="H2400" s="81" t="s">
        <v>5722</v>
      </c>
      <c r="I2400" s="81" t="s">
        <v>1942</v>
      </c>
      <c r="J2400" s="81" t="s">
        <v>224</v>
      </c>
    </row>
    <row r="2401" hidden="1">
      <c r="A2401" s="83" t="s">
        <v>6317</v>
      </c>
      <c r="B2401" s="83" t="s">
        <v>6318</v>
      </c>
      <c r="C2401" s="81" t="s">
        <v>4086</v>
      </c>
      <c r="D2401" s="83" t="s">
        <v>4432</v>
      </c>
      <c r="E2401" s="81" t="s">
        <v>1935</v>
      </c>
      <c r="F2401" s="84">
        <v>379.0</v>
      </c>
      <c r="G2401" s="81" t="s">
        <v>40</v>
      </c>
      <c r="H2401" s="81" t="s">
        <v>5723</v>
      </c>
      <c r="I2401" s="81" t="s">
        <v>1943</v>
      </c>
      <c r="J2401" s="81" t="s">
        <v>224</v>
      </c>
    </row>
    <row r="2402" hidden="1">
      <c r="A2402" s="83" t="s">
        <v>6317</v>
      </c>
      <c r="B2402" s="83" t="s">
        <v>6318</v>
      </c>
      <c r="C2402" s="81" t="s">
        <v>4086</v>
      </c>
      <c r="D2402" s="83" t="s">
        <v>4432</v>
      </c>
      <c r="E2402" s="81" t="s">
        <v>1935</v>
      </c>
      <c r="F2402" s="84">
        <v>380.0</v>
      </c>
      <c r="G2402" s="81" t="s">
        <v>39</v>
      </c>
      <c r="H2402" s="81" t="s">
        <v>5722</v>
      </c>
      <c r="I2402" s="81" t="s">
        <v>1942</v>
      </c>
      <c r="J2402" s="81" t="s">
        <v>224</v>
      </c>
    </row>
    <row r="2403" hidden="1">
      <c r="A2403" s="83" t="s">
        <v>6317</v>
      </c>
      <c r="B2403" s="83" t="s">
        <v>6318</v>
      </c>
      <c r="C2403" s="81" t="s">
        <v>4086</v>
      </c>
      <c r="D2403" s="83" t="s">
        <v>4432</v>
      </c>
      <c r="E2403" s="81" t="s">
        <v>1935</v>
      </c>
      <c r="F2403" s="84">
        <v>380.0</v>
      </c>
      <c r="G2403" s="81" t="s">
        <v>40</v>
      </c>
      <c r="H2403" s="81" t="s">
        <v>5723</v>
      </c>
      <c r="I2403" s="81" t="s">
        <v>1943</v>
      </c>
      <c r="J2403" s="81" t="s">
        <v>224</v>
      </c>
    </row>
    <row r="2404" hidden="1">
      <c r="A2404" s="83" t="s">
        <v>6317</v>
      </c>
      <c r="B2404" s="83" t="s">
        <v>6318</v>
      </c>
      <c r="C2404" s="81" t="s">
        <v>4086</v>
      </c>
      <c r="D2404" s="83" t="s">
        <v>4433</v>
      </c>
      <c r="E2404" s="81" t="s">
        <v>1950</v>
      </c>
      <c r="F2404" s="84">
        <v>381.0</v>
      </c>
      <c r="G2404" s="81" t="s">
        <v>39</v>
      </c>
      <c r="H2404" s="81" t="s">
        <v>5726</v>
      </c>
      <c r="I2404" s="81" t="s">
        <v>1956</v>
      </c>
      <c r="J2404" s="81" t="s">
        <v>224</v>
      </c>
    </row>
    <row r="2405" hidden="1">
      <c r="A2405" s="83" t="s">
        <v>6317</v>
      </c>
      <c r="B2405" s="83" t="s">
        <v>6318</v>
      </c>
      <c r="C2405" s="81" t="s">
        <v>4086</v>
      </c>
      <c r="D2405" s="83" t="s">
        <v>4433</v>
      </c>
      <c r="E2405" s="81" t="s">
        <v>1950</v>
      </c>
      <c r="F2405" s="84">
        <v>381.0</v>
      </c>
      <c r="G2405" s="81" t="s">
        <v>40</v>
      </c>
      <c r="H2405" s="81" t="s">
        <v>5727</v>
      </c>
      <c r="I2405" s="81" t="s">
        <v>1957</v>
      </c>
      <c r="J2405" s="81" t="s">
        <v>224</v>
      </c>
    </row>
    <row r="2406" hidden="1">
      <c r="A2406" s="83" t="s">
        <v>6317</v>
      </c>
      <c r="B2406" s="83" t="s">
        <v>6318</v>
      </c>
      <c r="C2406" s="81" t="s">
        <v>4086</v>
      </c>
      <c r="D2406" s="83" t="s">
        <v>4433</v>
      </c>
      <c r="E2406" s="81" t="s">
        <v>1963</v>
      </c>
      <c r="F2406" s="84">
        <v>382.0</v>
      </c>
      <c r="G2406" s="81" t="s">
        <v>39</v>
      </c>
      <c r="H2406" s="81" t="s">
        <v>5726</v>
      </c>
      <c r="I2406" s="81" t="s">
        <v>1956</v>
      </c>
      <c r="J2406" s="81" t="s">
        <v>224</v>
      </c>
    </row>
    <row r="2407" hidden="1">
      <c r="A2407" s="83" t="s">
        <v>6317</v>
      </c>
      <c r="B2407" s="83" t="s">
        <v>6318</v>
      </c>
      <c r="C2407" s="81" t="s">
        <v>4086</v>
      </c>
      <c r="D2407" s="83" t="s">
        <v>4433</v>
      </c>
      <c r="E2407" s="81" t="s">
        <v>1963</v>
      </c>
      <c r="F2407" s="84">
        <v>382.0</v>
      </c>
      <c r="G2407" s="81" t="s">
        <v>40</v>
      </c>
      <c r="H2407" s="81" t="s">
        <v>5727</v>
      </c>
      <c r="I2407" s="81" t="s">
        <v>1957</v>
      </c>
      <c r="J2407" s="81" t="s">
        <v>224</v>
      </c>
    </row>
    <row r="2408" hidden="1">
      <c r="A2408" s="83" t="s">
        <v>6317</v>
      </c>
      <c r="B2408" s="83" t="s">
        <v>6318</v>
      </c>
      <c r="C2408" s="81" t="s">
        <v>4086</v>
      </c>
      <c r="D2408" s="83" t="s">
        <v>4434</v>
      </c>
      <c r="E2408" s="81" t="s">
        <v>1964</v>
      </c>
      <c r="F2408" s="84">
        <v>383.0</v>
      </c>
      <c r="G2408" s="81" t="s">
        <v>40</v>
      </c>
      <c r="H2408" s="81" t="s">
        <v>5730</v>
      </c>
      <c r="I2408" s="81" t="s">
        <v>6327</v>
      </c>
      <c r="J2408" s="81" t="s">
        <v>224</v>
      </c>
    </row>
    <row r="2409" hidden="1">
      <c r="A2409" s="83" t="s">
        <v>6317</v>
      </c>
      <c r="B2409" s="83" t="s">
        <v>6318</v>
      </c>
      <c r="C2409" s="81" t="s">
        <v>4086</v>
      </c>
      <c r="D2409" s="83" t="s">
        <v>4434</v>
      </c>
      <c r="E2409" s="81" t="s">
        <v>1964</v>
      </c>
      <c r="F2409" s="84">
        <v>384.0</v>
      </c>
      <c r="G2409" s="81" t="s">
        <v>40</v>
      </c>
      <c r="H2409" s="81" t="s">
        <v>5732</v>
      </c>
      <c r="I2409" s="81" t="s">
        <v>6327</v>
      </c>
      <c r="J2409" s="81" t="s">
        <v>224</v>
      </c>
    </row>
    <row r="2410" hidden="1">
      <c r="A2410" s="83" t="s">
        <v>6317</v>
      </c>
      <c r="B2410" s="83" t="s">
        <v>6318</v>
      </c>
      <c r="C2410" s="81" t="s">
        <v>4086</v>
      </c>
      <c r="D2410" s="83" t="s">
        <v>4435</v>
      </c>
      <c r="E2410" s="81" t="s">
        <v>1974</v>
      </c>
      <c r="F2410" s="84">
        <v>385.0</v>
      </c>
      <c r="G2410" s="81" t="s">
        <v>40</v>
      </c>
      <c r="H2410" s="81" t="s">
        <v>5733</v>
      </c>
      <c r="I2410" s="81" t="s">
        <v>5734</v>
      </c>
      <c r="J2410" s="81" t="s">
        <v>224</v>
      </c>
    </row>
    <row r="2411" hidden="1">
      <c r="A2411" s="83" t="s">
        <v>6317</v>
      </c>
      <c r="B2411" s="83" t="s">
        <v>6318</v>
      </c>
      <c r="C2411" s="81" t="s">
        <v>4086</v>
      </c>
      <c r="D2411" s="83" t="s">
        <v>4435</v>
      </c>
      <c r="E2411" s="81" t="s">
        <v>1987</v>
      </c>
      <c r="F2411" s="84">
        <v>386.0</v>
      </c>
      <c r="G2411" s="81" t="s">
        <v>40</v>
      </c>
      <c r="H2411" s="81" t="s">
        <v>5733</v>
      </c>
      <c r="I2411" s="81" t="s">
        <v>5734</v>
      </c>
      <c r="J2411" s="81" t="s">
        <v>224</v>
      </c>
    </row>
    <row r="2412" hidden="1">
      <c r="A2412" s="83" t="s">
        <v>6317</v>
      </c>
      <c r="B2412" s="83" t="s">
        <v>6318</v>
      </c>
      <c r="C2412" s="81" t="s">
        <v>4086</v>
      </c>
      <c r="D2412" s="83" t="s">
        <v>4436</v>
      </c>
      <c r="E2412" s="81" t="s">
        <v>1989</v>
      </c>
      <c r="F2412" s="84">
        <v>387.0</v>
      </c>
      <c r="G2412" s="81" t="s">
        <v>40</v>
      </c>
      <c r="H2412" s="81" t="s">
        <v>5735</v>
      </c>
      <c r="I2412" s="81" t="s">
        <v>5736</v>
      </c>
      <c r="J2412" s="81" t="s">
        <v>224</v>
      </c>
    </row>
    <row r="2413" hidden="1">
      <c r="A2413" s="83" t="s">
        <v>6317</v>
      </c>
      <c r="B2413" s="83" t="s">
        <v>6318</v>
      </c>
      <c r="C2413" s="81" t="s">
        <v>4086</v>
      </c>
      <c r="D2413" s="83" t="s">
        <v>4437</v>
      </c>
      <c r="E2413" s="81" t="s">
        <v>1997</v>
      </c>
      <c r="F2413" s="84">
        <v>388.0</v>
      </c>
      <c r="G2413" s="81" t="s">
        <v>39</v>
      </c>
      <c r="H2413" s="81" t="s">
        <v>5737</v>
      </c>
      <c r="I2413" s="81" t="s">
        <v>2000</v>
      </c>
      <c r="J2413" s="81" t="s">
        <v>224</v>
      </c>
    </row>
    <row r="2414" hidden="1">
      <c r="A2414" s="83" t="s">
        <v>6317</v>
      </c>
      <c r="B2414" s="83" t="s">
        <v>6318</v>
      </c>
      <c r="C2414" s="81" t="s">
        <v>5141</v>
      </c>
      <c r="D2414" s="83" t="s">
        <v>4437</v>
      </c>
      <c r="E2414" s="81" t="s">
        <v>1997</v>
      </c>
      <c r="F2414" s="84">
        <v>388.0</v>
      </c>
      <c r="G2414" s="81" t="s">
        <v>40</v>
      </c>
      <c r="H2414" s="81" t="s">
        <v>5738</v>
      </c>
      <c r="I2414" s="81" t="s">
        <v>224</v>
      </c>
      <c r="J2414" s="81" t="s">
        <v>5143</v>
      </c>
    </row>
    <row r="2415" hidden="1">
      <c r="A2415" s="83" t="s">
        <v>6317</v>
      </c>
      <c r="B2415" s="83" t="s">
        <v>6318</v>
      </c>
      <c r="C2415" s="81" t="s">
        <v>5141</v>
      </c>
      <c r="D2415" s="83" t="s">
        <v>4437</v>
      </c>
      <c r="E2415" s="81" t="s">
        <v>2001</v>
      </c>
      <c r="F2415" s="84">
        <v>389.0</v>
      </c>
      <c r="G2415" s="81" t="s">
        <v>40</v>
      </c>
      <c r="H2415" s="81" t="s">
        <v>49</v>
      </c>
      <c r="I2415" s="81" t="s">
        <v>224</v>
      </c>
      <c r="J2415" s="81" t="s">
        <v>5143</v>
      </c>
    </row>
    <row r="2416" hidden="1">
      <c r="A2416" s="83" t="s">
        <v>6317</v>
      </c>
      <c r="B2416" s="83" t="s">
        <v>6318</v>
      </c>
      <c r="C2416" s="81" t="s">
        <v>5141</v>
      </c>
      <c r="D2416" s="83" t="s">
        <v>4438</v>
      </c>
      <c r="E2416" s="81" t="s">
        <v>2002</v>
      </c>
      <c r="F2416" s="84">
        <v>390.0</v>
      </c>
      <c r="G2416" s="81" t="s">
        <v>40</v>
      </c>
      <c r="H2416" s="81" t="s">
        <v>49</v>
      </c>
      <c r="I2416" s="81" t="s">
        <v>224</v>
      </c>
      <c r="J2416" s="81" t="s">
        <v>5143</v>
      </c>
    </row>
    <row r="2417" hidden="1">
      <c r="A2417" s="83" t="s">
        <v>6317</v>
      </c>
      <c r="B2417" s="83" t="s">
        <v>6318</v>
      </c>
      <c r="C2417" s="81" t="s">
        <v>4086</v>
      </c>
      <c r="D2417" s="83" t="s">
        <v>4439</v>
      </c>
      <c r="E2417" s="81" t="s">
        <v>2006</v>
      </c>
      <c r="F2417" s="84">
        <v>391.0</v>
      </c>
      <c r="G2417" s="81" t="s">
        <v>39</v>
      </c>
      <c r="H2417" s="81" t="s">
        <v>5739</v>
      </c>
      <c r="I2417" s="81" t="s">
        <v>2014</v>
      </c>
      <c r="J2417" s="81" t="s">
        <v>224</v>
      </c>
    </row>
    <row r="2418" hidden="1">
      <c r="A2418" s="83" t="s">
        <v>6317</v>
      </c>
      <c r="B2418" s="83" t="s">
        <v>6318</v>
      </c>
      <c r="C2418" s="81" t="s">
        <v>4086</v>
      </c>
      <c r="D2418" s="83" t="s">
        <v>4439</v>
      </c>
      <c r="E2418" s="81" t="s">
        <v>2006</v>
      </c>
      <c r="F2418" s="84">
        <v>391.0</v>
      </c>
      <c r="G2418" s="81" t="s">
        <v>40</v>
      </c>
      <c r="H2418" s="81" t="s">
        <v>5740</v>
      </c>
      <c r="I2418" s="81" t="s">
        <v>2015</v>
      </c>
      <c r="J2418" s="81" t="s">
        <v>224</v>
      </c>
    </row>
    <row r="2419" hidden="1">
      <c r="A2419" s="83" t="s">
        <v>6317</v>
      </c>
      <c r="B2419" s="83" t="s">
        <v>6318</v>
      </c>
      <c r="C2419" s="81" t="s">
        <v>4086</v>
      </c>
      <c r="D2419" s="83" t="s">
        <v>4439</v>
      </c>
      <c r="E2419" s="81" t="s">
        <v>2021</v>
      </c>
      <c r="F2419" s="84">
        <v>392.0</v>
      </c>
      <c r="G2419" s="81" t="s">
        <v>40</v>
      </c>
      <c r="H2419" s="81" t="s">
        <v>5741</v>
      </c>
      <c r="I2419" s="81" t="s">
        <v>2015</v>
      </c>
      <c r="J2419" s="81" t="s">
        <v>224</v>
      </c>
    </row>
    <row r="2420" hidden="1">
      <c r="A2420" s="83" t="s">
        <v>6317</v>
      </c>
      <c r="B2420" s="83" t="s">
        <v>6318</v>
      </c>
      <c r="C2420" s="81" t="s">
        <v>4086</v>
      </c>
      <c r="D2420" s="83" t="s">
        <v>4442</v>
      </c>
      <c r="E2420" s="81" t="s">
        <v>2022</v>
      </c>
      <c r="F2420" s="84">
        <v>393.0</v>
      </c>
      <c r="G2420" s="81" t="s">
        <v>40</v>
      </c>
      <c r="H2420" s="81" t="s">
        <v>5742</v>
      </c>
      <c r="I2420" s="81" t="s">
        <v>2025</v>
      </c>
      <c r="J2420" s="81" t="s">
        <v>224</v>
      </c>
    </row>
    <row r="2421" hidden="1">
      <c r="A2421" s="83" t="s">
        <v>6317</v>
      </c>
      <c r="B2421" s="83" t="s">
        <v>6318</v>
      </c>
      <c r="C2421" s="81" t="s">
        <v>4086</v>
      </c>
      <c r="D2421" s="83" t="s">
        <v>4443</v>
      </c>
      <c r="E2421" s="81" t="s">
        <v>2026</v>
      </c>
      <c r="F2421" s="84">
        <v>394.0</v>
      </c>
      <c r="G2421" s="81" t="s">
        <v>39</v>
      </c>
      <c r="H2421" s="81" t="s">
        <v>5743</v>
      </c>
      <c r="I2421" s="81" t="s">
        <v>2030</v>
      </c>
      <c r="J2421" s="81" t="s">
        <v>224</v>
      </c>
    </row>
    <row r="2422" hidden="1">
      <c r="A2422" s="83" t="s">
        <v>6317</v>
      </c>
      <c r="B2422" s="83" t="s">
        <v>6318</v>
      </c>
      <c r="C2422" s="81" t="s">
        <v>4086</v>
      </c>
      <c r="D2422" s="83" t="s">
        <v>4443</v>
      </c>
      <c r="E2422" s="81" t="s">
        <v>2026</v>
      </c>
      <c r="F2422" s="84">
        <v>394.0</v>
      </c>
      <c r="G2422" s="81" t="s">
        <v>40</v>
      </c>
      <c r="H2422" s="81" t="s">
        <v>5744</v>
      </c>
      <c r="I2422" s="81" t="s">
        <v>5745</v>
      </c>
      <c r="J2422" s="81" t="s">
        <v>224</v>
      </c>
    </row>
    <row r="2423" hidden="1">
      <c r="A2423" s="83" t="s">
        <v>6317</v>
      </c>
      <c r="B2423" s="83" t="s">
        <v>6318</v>
      </c>
      <c r="C2423" s="81" t="s">
        <v>4086</v>
      </c>
      <c r="D2423" s="83" t="s">
        <v>4445</v>
      </c>
      <c r="E2423" s="81" t="s">
        <v>2037</v>
      </c>
      <c r="F2423" s="84">
        <v>395.0</v>
      </c>
      <c r="G2423" s="81" t="s">
        <v>39</v>
      </c>
      <c r="H2423" s="81" t="s">
        <v>5746</v>
      </c>
      <c r="I2423" s="81" t="s">
        <v>2042</v>
      </c>
      <c r="J2423" s="81" t="s">
        <v>224</v>
      </c>
    </row>
    <row r="2424" hidden="1">
      <c r="A2424" s="83" t="s">
        <v>6317</v>
      </c>
      <c r="B2424" s="83" t="s">
        <v>6318</v>
      </c>
      <c r="C2424" s="81" t="s">
        <v>4086</v>
      </c>
      <c r="D2424" s="83" t="s">
        <v>4445</v>
      </c>
      <c r="E2424" s="81" t="s">
        <v>2037</v>
      </c>
      <c r="F2424" s="84">
        <v>395.0</v>
      </c>
      <c r="G2424" s="81" t="s">
        <v>40</v>
      </c>
      <c r="H2424" s="81" t="s">
        <v>5747</v>
      </c>
      <c r="I2424" s="81" t="s">
        <v>2043</v>
      </c>
      <c r="J2424" s="81" t="s">
        <v>224</v>
      </c>
    </row>
    <row r="2425" hidden="1">
      <c r="A2425" s="83" t="s">
        <v>6317</v>
      </c>
      <c r="B2425" s="83" t="s">
        <v>6318</v>
      </c>
      <c r="C2425" s="81" t="s">
        <v>4086</v>
      </c>
      <c r="D2425" s="83" t="s">
        <v>4447</v>
      </c>
      <c r="E2425" s="81" t="s">
        <v>2049</v>
      </c>
      <c r="F2425" s="84">
        <v>396.0</v>
      </c>
      <c r="G2425" s="81" t="s">
        <v>39</v>
      </c>
      <c r="H2425" s="81" t="s">
        <v>5748</v>
      </c>
      <c r="I2425" s="81" t="s">
        <v>2051</v>
      </c>
      <c r="J2425" s="81" t="s">
        <v>224</v>
      </c>
    </row>
    <row r="2426" hidden="1">
      <c r="A2426" s="83" t="s">
        <v>6317</v>
      </c>
      <c r="B2426" s="83" t="s">
        <v>6318</v>
      </c>
      <c r="C2426" s="81" t="s">
        <v>4086</v>
      </c>
      <c r="D2426" s="83" t="s">
        <v>4447</v>
      </c>
      <c r="E2426" s="81" t="s">
        <v>2049</v>
      </c>
      <c r="F2426" s="84">
        <v>396.0</v>
      </c>
      <c r="G2426" s="81" t="s">
        <v>40</v>
      </c>
      <c r="H2426" s="81" t="s">
        <v>5749</v>
      </c>
      <c r="I2426" s="81" t="s">
        <v>2052</v>
      </c>
      <c r="J2426" s="81" t="s">
        <v>224</v>
      </c>
    </row>
    <row r="2427" hidden="1">
      <c r="A2427" s="83" t="s">
        <v>6317</v>
      </c>
      <c r="B2427" s="83" t="s">
        <v>6318</v>
      </c>
      <c r="C2427" s="81" t="s">
        <v>4086</v>
      </c>
      <c r="D2427" s="83" t="s">
        <v>4447</v>
      </c>
      <c r="E2427" s="81" t="s">
        <v>2058</v>
      </c>
      <c r="F2427" s="84">
        <v>397.0</v>
      </c>
      <c r="G2427" s="81" t="s">
        <v>40</v>
      </c>
      <c r="H2427" s="81" t="s">
        <v>5750</v>
      </c>
      <c r="I2427" s="81" t="s">
        <v>2052</v>
      </c>
      <c r="J2427" s="81" t="s">
        <v>224</v>
      </c>
    </row>
    <row r="2428" hidden="1">
      <c r="A2428" s="83" t="s">
        <v>6317</v>
      </c>
      <c r="B2428" s="83" t="s">
        <v>6318</v>
      </c>
      <c r="C2428" s="81" t="s">
        <v>4086</v>
      </c>
      <c r="D2428" s="83" t="s">
        <v>4449</v>
      </c>
      <c r="E2428" s="81" t="s">
        <v>2059</v>
      </c>
      <c r="F2428" s="84">
        <v>398.0</v>
      </c>
      <c r="G2428" s="81" t="s">
        <v>40</v>
      </c>
      <c r="H2428" s="81" t="s">
        <v>5751</v>
      </c>
      <c r="I2428" s="81" t="s">
        <v>2062</v>
      </c>
      <c r="J2428" s="81" t="s">
        <v>224</v>
      </c>
    </row>
    <row r="2429" hidden="1">
      <c r="A2429" s="83" t="s">
        <v>6317</v>
      </c>
      <c r="B2429" s="83" t="s">
        <v>6318</v>
      </c>
      <c r="C2429" s="81" t="s">
        <v>4086</v>
      </c>
      <c r="D2429" s="83" t="s">
        <v>4450</v>
      </c>
      <c r="E2429" s="81" t="s">
        <v>2063</v>
      </c>
      <c r="F2429" s="84">
        <v>399.0</v>
      </c>
      <c r="G2429" s="81" t="s">
        <v>39</v>
      </c>
      <c r="H2429" s="81" t="s">
        <v>5752</v>
      </c>
      <c r="I2429" s="81" t="s">
        <v>2069</v>
      </c>
      <c r="J2429" s="81" t="s">
        <v>224</v>
      </c>
    </row>
    <row r="2430" hidden="1">
      <c r="A2430" s="83" t="s">
        <v>6317</v>
      </c>
      <c r="B2430" s="83" t="s">
        <v>6318</v>
      </c>
      <c r="C2430" s="81" t="s">
        <v>4086</v>
      </c>
      <c r="D2430" s="83" t="s">
        <v>4450</v>
      </c>
      <c r="E2430" s="81" t="s">
        <v>2063</v>
      </c>
      <c r="F2430" s="84">
        <v>399.0</v>
      </c>
      <c r="G2430" s="81" t="s">
        <v>40</v>
      </c>
      <c r="H2430" s="81" t="s">
        <v>5753</v>
      </c>
      <c r="I2430" s="81" t="s">
        <v>5754</v>
      </c>
      <c r="J2430" s="81" t="s">
        <v>224</v>
      </c>
    </row>
    <row r="2431" hidden="1">
      <c r="A2431" s="83" t="s">
        <v>6317</v>
      </c>
      <c r="B2431" s="83" t="s">
        <v>6318</v>
      </c>
      <c r="C2431" s="81" t="s">
        <v>4086</v>
      </c>
      <c r="D2431" s="83" t="s">
        <v>4451</v>
      </c>
      <c r="E2431" s="81" t="s">
        <v>2076</v>
      </c>
      <c r="F2431" s="84">
        <v>400.0</v>
      </c>
      <c r="G2431" s="81" t="s">
        <v>39</v>
      </c>
      <c r="H2431" s="81" t="s">
        <v>5755</v>
      </c>
      <c r="I2431" s="81" t="s">
        <v>2080</v>
      </c>
      <c r="J2431" s="81" t="s">
        <v>224</v>
      </c>
    </row>
    <row r="2432" hidden="1">
      <c r="A2432" s="83" t="s">
        <v>6317</v>
      </c>
      <c r="B2432" s="83" t="s">
        <v>6318</v>
      </c>
      <c r="C2432" s="81" t="s">
        <v>4086</v>
      </c>
      <c r="D2432" s="83" t="s">
        <v>4451</v>
      </c>
      <c r="E2432" s="81" t="s">
        <v>2076</v>
      </c>
      <c r="F2432" s="84">
        <v>400.0</v>
      </c>
      <c r="G2432" s="81" t="s">
        <v>40</v>
      </c>
      <c r="H2432" s="81" t="s">
        <v>5756</v>
      </c>
      <c r="I2432" s="81" t="s">
        <v>2081</v>
      </c>
      <c r="J2432" s="81" t="s">
        <v>224</v>
      </c>
    </row>
    <row r="2433" hidden="1">
      <c r="A2433" s="83" t="s">
        <v>6317</v>
      </c>
      <c r="B2433" s="83" t="s">
        <v>6318</v>
      </c>
      <c r="C2433" s="81" t="s">
        <v>4086</v>
      </c>
      <c r="D2433" s="83" t="s">
        <v>4453</v>
      </c>
      <c r="E2433" s="81" t="s">
        <v>2087</v>
      </c>
      <c r="F2433" s="84">
        <v>401.0</v>
      </c>
      <c r="G2433" s="81" t="s">
        <v>39</v>
      </c>
      <c r="H2433" s="81" t="s">
        <v>5757</v>
      </c>
      <c r="I2433" s="81" t="s">
        <v>2091</v>
      </c>
      <c r="J2433" s="81" t="s">
        <v>224</v>
      </c>
    </row>
    <row r="2434" hidden="1">
      <c r="A2434" s="83" t="s">
        <v>6317</v>
      </c>
      <c r="B2434" s="83" t="s">
        <v>6318</v>
      </c>
      <c r="C2434" s="81" t="s">
        <v>4086</v>
      </c>
      <c r="D2434" s="83" t="s">
        <v>4453</v>
      </c>
      <c r="E2434" s="81" t="s">
        <v>2087</v>
      </c>
      <c r="F2434" s="84">
        <v>401.0</v>
      </c>
      <c r="G2434" s="81" t="s">
        <v>40</v>
      </c>
      <c r="H2434" s="81" t="s">
        <v>5758</v>
      </c>
      <c r="I2434" s="81" t="s">
        <v>2092</v>
      </c>
      <c r="J2434" s="81" t="s">
        <v>224</v>
      </c>
    </row>
    <row r="2435" hidden="1">
      <c r="A2435" s="83" t="s">
        <v>6317</v>
      </c>
      <c r="B2435" s="83" t="s">
        <v>6318</v>
      </c>
      <c r="C2435" s="81" t="s">
        <v>4086</v>
      </c>
      <c r="D2435" s="83" t="s">
        <v>4453</v>
      </c>
      <c r="E2435" s="81" t="s">
        <v>2098</v>
      </c>
      <c r="F2435" s="84">
        <v>402.0</v>
      </c>
      <c r="G2435" s="81" t="s">
        <v>39</v>
      </c>
      <c r="H2435" s="81" t="s">
        <v>5757</v>
      </c>
      <c r="I2435" s="81" t="s">
        <v>2091</v>
      </c>
      <c r="J2435" s="81" t="s">
        <v>224</v>
      </c>
    </row>
    <row r="2436" hidden="1">
      <c r="A2436" s="83" t="s">
        <v>6317</v>
      </c>
      <c r="B2436" s="83" t="s">
        <v>6318</v>
      </c>
      <c r="C2436" s="81" t="s">
        <v>4086</v>
      </c>
      <c r="D2436" s="83" t="s">
        <v>4453</v>
      </c>
      <c r="E2436" s="81" t="s">
        <v>2098</v>
      </c>
      <c r="F2436" s="84">
        <v>402.0</v>
      </c>
      <c r="G2436" s="81" t="s">
        <v>40</v>
      </c>
      <c r="H2436" s="81" t="s">
        <v>5758</v>
      </c>
      <c r="I2436" s="81" t="s">
        <v>2092</v>
      </c>
      <c r="J2436" s="81" t="s">
        <v>224</v>
      </c>
    </row>
    <row r="2437" hidden="1">
      <c r="A2437" s="83" t="s">
        <v>6317</v>
      </c>
      <c r="B2437" s="83" t="s">
        <v>6318</v>
      </c>
      <c r="C2437" s="81" t="s">
        <v>4086</v>
      </c>
      <c r="D2437" s="83" t="s">
        <v>4454</v>
      </c>
      <c r="E2437" s="81" t="s">
        <v>2099</v>
      </c>
      <c r="F2437" s="84">
        <v>403.0</v>
      </c>
      <c r="G2437" s="81" t="s">
        <v>39</v>
      </c>
      <c r="H2437" s="81" t="s">
        <v>5759</v>
      </c>
      <c r="I2437" s="81" t="s">
        <v>2100</v>
      </c>
      <c r="J2437" s="81" t="s">
        <v>224</v>
      </c>
    </row>
    <row r="2438" hidden="1">
      <c r="A2438" s="83" t="s">
        <v>6317</v>
      </c>
      <c r="B2438" s="83" t="s">
        <v>6318</v>
      </c>
      <c r="C2438" s="81" t="s">
        <v>4086</v>
      </c>
      <c r="D2438" s="83" t="s">
        <v>4454</v>
      </c>
      <c r="E2438" s="81" t="s">
        <v>2099</v>
      </c>
      <c r="F2438" s="84">
        <v>403.0</v>
      </c>
      <c r="G2438" s="81" t="s">
        <v>40</v>
      </c>
      <c r="H2438" s="81" t="s">
        <v>5760</v>
      </c>
      <c r="I2438" s="81" t="s">
        <v>2101</v>
      </c>
      <c r="J2438" s="81" t="s">
        <v>224</v>
      </c>
    </row>
    <row r="2439" hidden="1">
      <c r="A2439" s="83" t="s">
        <v>6317</v>
      </c>
      <c r="B2439" s="83" t="s">
        <v>6318</v>
      </c>
      <c r="C2439" s="81" t="s">
        <v>4086</v>
      </c>
      <c r="D2439" s="83" t="s">
        <v>4455</v>
      </c>
      <c r="E2439" s="81" t="s">
        <v>2102</v>
      </c>
      <c r="F2439" s="84">
        <v>404.0</v>
      </c>
      <c r="G2439" s="81" t="s">
        <v>39</v>
      </c>
      <c r="H2439" s="81" t="s">
        <v>5761</v>
      </c>
      <c r="I2439" s="81" t="s">
        <v>2105</v>
      </c>
      <c r="J2439" s="81" t="s">
        <v>224</v>
      </c>
    </row>
    <row r="2440" hidden="1">
      <c r="A2440" s="83" t="s">
        <v>6317</v>
      </c>
      <c r="B2440" s="83" t="s">
        <v>6318</v>
      </c>
      <c r="C2440" s="81" t="s">
        <v>4086</v>
      </c>
      <c r="D2440" s="83" t="s">
        <v>4455</v>
      </c>
      <c r="E2440" s="81" t="s">
        <v>2102</v>
      </c>
      <c r="F2440" s="84">
        <v>404.0</v>
      </c>
      <c r="G2440" s="81" t="s">
        <v>40</v>
      </c>
      <c r="H2440" s="81" t="s">
        <v>5762</v>
      </c>
      <c r="I2440" s="81" t="s">
        <v>2106</v>
      </c>
      <c r="J2440" s="81" t="s">
        <v>224</v>
      </c>
    </row>
    <row r="2441" hidden="1">
      <c r="A2441" s="83" t="s">
        <v>6317</v>
      </c>
      <c r="B2441" s="83" t="s">
        <v>6318</v>
      </c>
      <c r="C2441" s="81" t="s">
        <v>4086</v>
      </c>
      <c r="D2441" s="83" t="s">
        <v>4455</v>
      </c>
      <c r="E2441" s="81" t="s">
        <v>2102</v>
      </c>
      <c r="F2441" s="84">
        <v>404.0</v>
      </c>
      <c r="G2441" s="81" t="s">
        <v>43</v>
      </c>
      <c r="H2441" s="81" t="s">
        <v>5763</v>
      </c>
      <c r="I2441" s="81" t="s">
        <v>2108</v>
      </c>
      <c r="J2441" s="81" t="s">
        <v>224</v>
      </c>
    </row>
    <row r="2442" hidden="1">
      <c r="A2442" s="83" t="s">
        <v>6317</v>
      </c>
      <c r="B2442" s="83" t="s">
        <v>6318</v>
      </c>
      <c r="C2442" s="81" t="s">
        <v>4086</v>
      </c>
      <c r="D2442" s="83" t="s">
        <v>4456</v>
      </c>
      <c r="E2442" s="81" t="s">
        <v>2111</v>
      </c>
      <c r="F2442" s="84">
        <v>405.0</v>
      </c>
      <c r="G2442" s="81" t="s">
        <v>39</v>
      </c>
      <c r="H2442" s="81" t="s">
        <v>5764</v>
      </c>
      <c r="I2442" s="81" t="s">
        <v>2112</v>
      </c>
      <c r="J2442" s="81" t="s">
        <v>224</v>
      </c>
    </row>
    <row r="2443" hidden="1">
      <c r="A2443" s="83" t="s">
        <v>6317</v>
      </c>
      <c r="B2443" s="83" t="s">
        <v>6318</v>
      </c>
      <c r="C2443" s="81" t="s">
        <v>4086</v>
      </c>
      <c r="D2443" s="83" t="s">
        <v>4456</v>
      </c>
      <c r="E2443" s="81" t="s">
        <v>2111</v>
      </c>
      <c r="F2443" s="84">
        <v>405.0</v>
      </c>
      <c r="G2443" s="81" t="s">
        <v>40</v>
      </c>
      <c r="H2443" s="81" t="s">
        <v>5765</v>
      </c>
      <c r="I2443" s="81" t="s">
        <v>2113</v>
      </c>
      <c r="J2443" s="81" t="s">
        <v>224</v>
      </c>
    </row>
    <row r="2444" hidden="1">
      <c r="A2444" s="83" t="s">
        <v>6317</v>
      </c>
      <c r="B2444" s="83" t="s">
        <v>6318</v>
      </c>
      <c r="C2444" s="81" t="s">
        <v>4086</v>
      </c>
      <c r="D2444" s="83" t="s">
        <v>4456</v>
      </c>
      <c r="E2444" s="81" t="s">
        <v>2111</v>
      </c>
      <c r="F2444" s="84">
        <v>405.0</v>
      </c>
      <c r="G2444" s="81" t="s">
        <v>43</v>
      </c>
      <c r="H2444" s="81" t="s">
        <v>5763</v>
      </c>
      <c r="I2444" s="81" t="s">
        <v>2108</v>
      </c>
      <c r="J2444" s="81" t="s">
        <v>224</v>
      </c>
    </row>
    <row r="2445" hidden="1">
      <c r="A2445" s="83" t="s">
        <v>6317</v>
      </c>
      <c r="B2445" s="83" t="s">
        <v>6318</v>
      </c>
      <c r="C2445" s="81" t="s">
        <v>4086</v>
      </c>
      <c r="D2445" s="83" t="s">
        <v>4457</v>
      </c>
      <c r="E2445" s="81" t="s">
        <v>2114</v>
      </c>
      <c r="F2445" s="84">
        <v>406.0</v>
      </c>
      <c r="G2445" s="81" t="s">
        <v>39</v>
      </c>
      <c r="H2445" s="81" t="s">
        <v>5766</v>
      </c>
      <c r="I2445" s="81" t="s">
        <v>2118</v>
      </c>
      <c r="J2445" s="81" t="s">
        <v>224</v>
      </c>
    </row>
    <row r="2446" hidden="1">
      <c r="A2446" s="83" t="s">
        <v>6317</v>
      </c>
      <c r="B2446" s="83" t="s">
        <v>6318</v>
      </c>
      <c r="C2446" s="81" t="s">
        <v>4086</v>
      </c>
      <c r="D2446" s="83" t="s">
        <v>4457</v>
      </c>
      <c r="E2446" s="81" t="s">
        <v>2114</v>
      </c>
      <c r="F2446" s="84">
        <v>406.0</v>
      </c>
      <c r="G2446" s="81" t="s">
        <v>40</v>
      </c>
      <c r="H2446" s="81" t="s">
        <v>5767</v>
      </c>
      <c r="I2446" s="81" t="s">
        <v>2119</v>
      </c>
      <c r="J2446" s="81" t="s">
        <v>224</v>
      </c>
    </row>
    <row r="2447" hidden="1">
      <c r="A2447" s="83" t="s">
        <v>6317</v>
      </c>
      <c r="B2447" s="83" t="s">
        <v>6318</v>
      </c>
      <c r="C2447" s="81" t="s">
        <v>4086</v>
      </c>
      <c r="D2447" s="83" t="s">
        <v>4458</v>
      </c>
      <c r="E2447" s="81" t="s">
        <v>2124</v>
      </c>
      <c r="F2447" s="84">
        <v>407.0</v>
      </c>
      <c r="G2447" s="81" t="s">
        <v>39</v>
      </c>
      <c r="H2447" s="81" t="s">
        <v>5768</v>
      </c>
      <c r="I2447" s="81" t="s">
        <v>2125</v>
      </c>
      <c r="J2447" s="81" t="s">
        <v>224</v>
      </c>
    </row>
    <row r="2448" hidden="1">
      <c r="A2448" s="83" t="s">
        <v>6317</v>
      </c>
      <c r="B2448" s="83" t="s">
        <v>6318</v>
      </c>
      <c r="C2448" s="81" t="s">
        <v>4086</v>
      </c>
      <c r="D2448" s="83" t="s">
        <v>4458</v>
      </c>
      <c r="E2448" s="81" t="s">
        <v>2124</v>
      </c>
      <c r="F2448" s="84">
        <v>407.0</v>
      </c>
      <c r="G2448" s="81" t="s">
        <v>40</v>
      </c>
      <c r="H2448" s="81" t="s">
        <v>5769</v>
      </c>
      <c r="I2448" s="81" t="s">
        <v>2126</v>
      </c>
      <c r="J2448" s="81" t="s">
        <v>224</v>
      </c>
    </row>
    <row r="2449" hidden="1">
      <c r="A2449" s="83" t="s">
        <v>6317</v>
      </c>
      <c r="B2449" s="83" t="s">
        <v>6318</v>
      </c>
      <c r="C2449" s="81" t="s">
        <v>4086</v>
      </c>
      <c r="D2449" s="83" t="s">
        <v>4459</v>
      </c>
      <c r="E2449" s="81" t="s">
        <v>2127</v>
      </c>
      <c r="F2449" s="84">
        <v>408.0</v>
      </c>
      <c r="G2449" s="81" t="s">
        <v>39</v>
      </c>
      <c r="H2449" s="81" t="s">
        <v>5770</v>
      </c>
      <c r="I2449" s="81" t="s">
        <v>2131</v>
      </c>
      <c r="J2449" s="81" t="s">
        <v>224</v>
      </c>
    </row>
    <row r="2450" hidden="1">
      <c r="A2450" s="83" t="s">
        <v>6317</v>
      </c>
      <c r="B2450" s="83" t="s">
        <v>6318</v>
      </c>
      <c r="C2450" s="81" t="s">
        <v>4086</v>
      </c>
      <c r="D2450" s="83" t="s">
        <v>4459</v>
      </c>
      <c r="E2450" s="81" t="s">
        <v>2127</v>
      </c>
      <c r="F2450" s="84">
        <v>408.0</v>
      </c>
      <c r="G2450" s="81" t="s">
        <v>40</v>
      </c>
      <c r="H2450" s="81" t="s">
        <v>5771</v>
      </c>
      <c r="I2450" s="81" t="s">
        <v>2132</v>
      </c>
      <c r="J2450" s="81" t="s">
        <v>224</v>
      </c>
    </row>
    <row r="2451" hidden="1">
      <c r="A2451" s="83" t="s">
        <v>6317</v>
      </c>
      <c r="B2451" s="83" t="s">
        <v>6318</v>
      </c>
      <c r="C2451" s="81" t="s">
        <v>4086</v>
      </c>
      <c r="D2451" s="83" t="s">
        <v>4459</v>
      </c>
      <c r="E2451" s="81" t="s">
        <v>2138</v>
      </c>
      <c r="F2451" s="84">
        <v>409.0</v>
      </c>
      <c r="G2451" s="81" t="s">
        <v>40</v>
      </c>
      <c r="H2451" s="81" t="s">
        <v>5771</v>
      </c>
      <c r="I2451" s="81" t="s">
        <v>2132</v>
      </c>
      <c r="J2451" s="81" t="s">
        <v>224</v>
      </c>
    </row>
    <row r="2452" hidden="1">
      <c r="A2452" s="83" t="s">
        <v>6317</v>
      </c>
      <c r="B2452" s="83" t="s">
        <v>6318</v>
      </c>
      <c r="C2452" s="81" t="s">
        <v>4086</v>
      </c>
      <c r="D2452" s="83" t="s">
        <v>4460</v>
      </c>
      <c r="E2452" s="81" t="s">
        <v>2139</v>
      </c>
      <c r="F2452" s="84">
        <v>410.0</v>
      </c>
      <c r="G2452" s="81" t="s">
        <v>40</v>
      </c>
      <c r="H2452" s="81" t="s">
        <v>5772</v>
      </c>
      <c r="I2452" s="81" t="s">
        <v>2141</v>
      </c>
      <c r="J2452" s="81" t="s">
        <v>224</v>
      </c>
    </row>
    <row r="2453" hidden="1">
      <c r="A2453" s="83" t="s">
        <v>6317</v>
      </c>
      <c r="B2453" s="83" t="s">
        <v>6318</v>
      </c>
      <c r="C2453" s="81" t="s">
        <v>4086</v>
      </c>
      <c r="D2453" s="83" t="s">
        <v>4461</v>
      </c>
      <c r="E2453" s="81" t="s">
        <v>2142</v>
      </c>
      <c r="F2453" s="84">
        <v>411.0</v>
      </c>
      <c r="G2453" s="81" t="s">
        <v>40</v>
      </c>
      <c r="H2453" s="81" t="s">
        <v>5773</v>
      </c>
      <c r="I2453" s="81" t="s">
        <v>2144</v>
      </c>
      <c r="J2453" s="81" t="s">
        <v>224</v>
      </c>
    </row>
    <row r="2454" hidden="1">
      <c r="A2454" s="83" t="s">
        <v>6317</v>
      </c>
      <c r="B2454" s="83" t="s">
        <v>6318</v>
      </c>
      <c r="C2454" s="81" t="s">
        <v>4086</v>
      </c>
      <c r="D2454" s="83" t="s">
        <v>4462</v>
      </c>
      <c r="E2454" s="81" t="s">
        <v>2145</v>
      </c>
      <c r="F2454" s="84">
        <v>412.0</v>
      </c>
      <c r="G2454" s="81" t="s">
        <v>40</v>
      </c>
      <c r="H2454" s="81" t="s">
        <v>5774</v>
      </c>
      <c r="I2454" s="81" t="s">
        <v>2147</v>
      </c>
      <c r="J2454" s="81" t="s">
        <v>224</v>
      </c>
    </row>
    <row r="2455" hidden="1">
      <c r="A2455" s="83" t="s">
        <v>6317</v>
      </c>
      <c r="B2455" s="83" t="s">
        <v>6318</v>
      </c>
      <c r="C2455" s="81" t="s">
        <v>4086</v>
      </c>
      <c r="D2455" s="83" t="s">
        <v>4463</v>
      </c>
      <c r="E2455" s="81" t="s">
        <v>2148</v>
      </c>
      <c r="F2455" s="84">
        <v>413.0</v>
      </c>
      <c r="G2455" s="81" t="s">
        <v>39</v>
      </c>
      <c r="H2455" s="81" t="s">
        <v>5775</v>
      </c>
      <c r="I2455" s="81" t="s">
        <v>2153</v>
      </c>
      <c r="J2455" s="81" t="s">
        <v>224</v>
      </c>
    </row>
    <row r="2456" hidden="1">
      <c r="A2456" s="83" t="s">
        <v>6317</v>
      </c>
      <c r="B2456" s="83" t="s">
        <v>6318</v>
      </c>
      <c r="C2456" s="81" t="s">
        <v>4086</v>
      </c>
      <c r="D2456" s="83" t="s">
        <v>4463</v>
      </c>
      <c r="E2456" s="81" t="s">
        <v>2148</v>
      </c>
      <c r="F2456" s="84">
        <v>413.0</v>
      </c>
      <c r="G2456" s="81" t="s">
        <v>40</v>
      </c>
      <c r="H2456" s="81" t="s">
        <v>5776</v>
      </c>
      <c r="I2456" s="81" t="s">
        <v>2154</v>
      </c>
      <c r="J2456" s="81" t="s">
        <v>224</v>
      </c>
    </row>
    <row r="2457" hidden="1">
      <c r="A2457" s="83" t="s">
        <v>6317</v>
      </c>
      <c r="B2457" s="83" t="s">
        <v>6318</v>
      </c>
      <c r="C2457" s="81" t="s">
        <v>4086</v>
      </c>
      <c r="D2457" s="83" t="s">
        <v>4463</v>
      </c>
      <c r="E2457" s="81" t="s">
        <v>2160</v>
      </c>
      <c r="F2457" s="84">
        <v>414.0</v>
      </c>
      <c r="G2457" s="81" t="s">
        <v>40</v>
      </c>
      <c r="H2457" s="81" t="s">
        <v>5776</v>
      </c>
      <c r="I2457" s="81" t="s">
        <v>2154</v>
      </c>
      <c r="J2457" s="81" t="s">
        <v>224</v>
      </c>
    </row>
    <row r="2458" hidden="1">
      <c r="A2458" s="83" t="s">
        <v>6317</v>
      </c>
      <c r="B2458" s="83" t="s">
        <v>6318</v>
      </c>
      <c r="C2458" s="81" t="s">
        <v>4086</v>
      </c>
      <c r="D2458" s="83" t="s">
        <v>4465</v>
      </c>
      <c r="E2458" s="81" t="s">
        <v>2161</v>
      </c>
      <c r="F2458" s="84">
        <v>415.0</v>
      </c>
      <c r="G2458" s="81" t="s">
        <v>40</v>
      </c>
      <c r="H2458" s="81" t="s">
        <v>5777</v>
      </c>
      <c r="I2458" s="81" t="s">
        <v>2163</v>
      </c>
      <c r="J2458" s="81" t="s">
        <v>224</v>
      </c>
    </row>
    <row r="2459" hidden="1">
      <c r="A2459" s="83" t="s">
        <v>6317</v>
      </c>
      <c r="B2459" s="83" t="s">
        <v>6318</v>
      </c>
      <c r="C2459" s="81" t="s">
        <v>4086</v>
      </c>
      <c r="D2459" s="83" t="s">
        <v>4466</v>
      </c>
      <c r="E2459" s="81" t="s">
        <v>2164</v>
      </c>
      <c r="F2459" s="84">
        <v>416.0</v>
      </c>
      <c r="G2459" s="81" t="s">
        <v>39</v>
      </c>
      <c r="H2459" s="81" t="s">
        <v>5778</v>
      </c>
      <c r="I2459" s="81" t="s">
        <v>2171</v>
      </c>
      <c r="J2459" s="81" t="s">
        <v>224</v>
      </c>
    </row>
    <row r="2460" hidden="1">
      <c r="A2460" s="83" t="s">
        <v>6317</v>
      </c>
      <c r="B2460" s="83" t="s">
        <v>6318</v>
      </c>
      <c r="C2460" s="81" t="s">
        <v>4086</v>
      </c>
      <c r="D2460" s="83" t="s">
        <v>4466</v>
      </c>
      <c r="E2460" s="81" t="s">
        <v>2164</v>
      </c>
      <c r="F2460" s="84">
        <v>416.0</v>
      </c>
      <c r="G2460" s="81" t="s">
        <v>40</v>
      </c>
      <c r="H2460" s="81" t="s">
        <v>5779</v>
      </c>
      <c r="I2460" s="81" t="s">
        <v>2172</v>
      </c>
      <c r="J2460" s="81" t="s">
        <v>224</v>
      </c>
    </row>
    <row r="2461" hidden="1">
      <c r="A2461" s="83" t="s">
        <v>6317</v>
      </c>
      <c r="B2461" s="83" t="s">
        <v>6318</v>
      </c>
      <c r="C2461" s="81" t="s">
        <v>4086</v>
      </c>
      <c r="D2461" s="83" t="s">
        <v>4466</v>
      </c>
      <c r="E2461" s="81" t="s">
        <v>2178</v>
      </c>
      <c r="F2461" s="84">
        <v>417.0</v>
      </c>
      <c r="G2461" s="81" t="s">
        <v>40</v>
      </c>
      <c r="H2461" s="81" t="s">
        <v>5779</v>
      </c>
      <c r="I2461" s="81" t="s">
        <v>2172</v>
      </c>
      <c r="J2461" s="81" t="s">
        <v>224</v>
      </c>
    </row>
    <row r="2462" hidden="1">
      <c r="A2462" s="83" t="s">
        <v>6317</v>
      </c>
      <c r="B2462" s="83" t="s">
        <v>6318</v>
      </c>
      <c r="C2462" s="81" t="s">
        <v>4086</v>
      </c>
      <c r="D2462" s="83" t="s">
        <v>4468</v>
      </c>
      <c r="E2462" s="81" t="s">
        <v>2179</v>
      </c>
      <c r="F2462" s="84">
        <v>418.0</v>
      </c>
      <c r="G2462" s="81" t="s">
        <v>40</v>
      </c>
      <c r="H2462" s="81" t="s">
        <v>5780</v>
      </c>
      <c r="I2462" s="81" t="s">
        <v>2182</v>
      </c>
      <c r="J2462" s="81" t="s">
        <v>224</v>
      </c>
    </row>
    <row r="2463" hidden="1">
      <c r="A2463" s="83" t="s">
        <v>6317</v>
      </c>
      <c r="B2463" s="83" t="s">
        <v>6318</v>
      </c>
      <c r="C2463" s="81" t="s">
        <v>4086</v>
      </c>
      <c r="D2463" s="83" t="s">
        <v>4469</v>
      </c>
      <c r="E2463" s="81" t="s">
        <v>2183</v>
      </c>
      <c r="F2463" s="84">
        <v>419.0</v>
      </c>
      <c r="G2463" s="81" t="s">
        <v>39</v>
      </c>
      <c r="H2463" s="81" t="s">
        <v>5781</v>
      </c>
      <c r="I2463" s="81" t="s">
        <v>2188</v>
      </c>
      <c r="J2463" s="81" t="s">
        <v>224</v>
      </c>
    </row>
    <row r="2464" hidden="1">
      <c r="A2464" s="83" t="s">
        <v>6317</v>
      </c>
      <c r="B2464" s="83" t="s">
        <v>6318</v>
      </c>
      <c r="C2464" s="81" t="s">
        <v>4086</v>
      </c>
      <c r="D2464" s="83" t="s">
        <v>4469</v>
      </c>
      <c r="E2464" s="81" t="s">
        <v>2183</v>
      </c>
      <c r="F2464" s="84">
        <v>419.0</v>
      </c>
      <c r="G2464" s="81" t="s">
        <v>40</v>
      </c>
      <c r="H2464" s="81" t="s">
        <v>5782</v>
      </c>
      <c r="I2464" s="81" t="s">
        <v>2189</v>
      </c>
      <c r="J2464" s="81" t="s">
        <v>224</v>
      </c>
    </row>
    <row r="2465" hidden="1">
      <c r="A2465" s="83" t="s">
        <v>6317</v>
      </c>
      <c r="B2465" s="83" t="s">
        <v>6318</v>
      </c>
      <c r="C2465" s="81" t="s">
        <v>4086</v>
      </c>
      <c r="D2465" s="83" t="s">
        <v>4469</v>
      </c>
      <c r="E2465" s="81" t="s">
        <v>2195</v>
      </c>
      <c r="F2465" s="84">
        <v>420.0</v>
      </c>
      <c r="G2465" s="81" t="s">
        <v>40</v>
      </c>
      <c r="H2465" s="81" t="s">
        <v>5783</v>
      </c>
      <c r="I2465" s="81" t="s">
        <v>2189</v>
      </c>
      <c r="J2465" s="81" t="s">
        <v>224</v>
      </c>
    </row>
    <row r="2466" hidden="1">
      <c r="A2466" s="83" t="s">
        <v>6317</v>
      </c>
      <c r="B2466" s="83" t="s">
        <v>6318</v>
      </c>
      <c r="C2466" s="81" t="s">
        <v>4086</v>
      </c>
      <c r="D2466" s="83" t="s">
        <v>4471</v>
      </c>
      <c r="E2466" s="81" t="s">
        <v>2196</v>
      </c>
      <c r="F2466" s="84">
        <v>421.0</v>
      </c>
      <c r="G2466" s="81" t="s">
        <v>40</v>
      </c>
      <c r="H2466" s="81" t="s">
        <v>5784</v>
      </c>
      <c r="I2466" s="81" t="s">
        <v>2198</v>
      </c>
      <c r="J2466" s="81" t="s">
        <v>224</v>
      </c>
    </row>
    <row r="2467" hidden="1">
      <c r="A2467" s="83" t="s">
        <v>6317</v>
      </c>
      <c r="B2467" s="83" t="s">
        <v>6318</v>
      </c>
      <c r="C2467" s="81" t="s">
        <v>4086</v>
      </c>
      <c r="D2467" s="83" t="s">
        <v>4472</v>
      </c>
      <c r="E2467" s="81" t="s">
        <v>2199</v>
      </c>
      <c r="F2467" s="84">
        <v>422.0</v>
      </c>
      <c r="G2467" s="81" t="s">
        <v>39</v>
      </c>
      <c r="H2467" s="81" t="s">
        <v>5785</v>
      </c>
      <c r="I2467" s="81" t="s">
        <v>2201</v>
      </c>
      <c r="J2467" s="81" t="s">
        <v>224</v>
      </c>
    </row>
    <row r="2468" hidden="1">
      <c r="A2468" s="83" t="s">
        <v>6317</v>
      </c>
      <c r="B2468" s="83" t="s">
        <v>6318</v>
      </c>
      <c r="C2468" s="81" t="s">
        <v>4086</v>
      </c>
      <c r="D2468" s="83" t="s">
        <v>4472</v>
      </c>
      <c r="E2468" s="81" t="s">
        <v>2199</v>
      </c>
      <c r="F2468" s="84">
        <v>422.0</v>
      </c>
      <c r="G2468" s="81" t="s">
        <v>40</v>
      </c>
      <c r="H2468" s="81" t="s">
        <v>5786</v>
      </c>
      <c r="I2468" s="81" t="s">
        <v>2202</v>
      </c>
      <c r="J2468" s="81" t="s">
        <v>224</v>
      </c>
    </row>
    <row r="2469" hidden="1">
      <c r="A2469" s="83" t="s">
        <v>6317</v>
      </c>
      <c r="B2469" s="83" t="s">
        <v>6318</v>
      </c>
      <c r="C2469" s="81" t="s">
        <v>4086</v>
      </c>
      <c r="D2469" s="83" t="s">
        <v>4472</v>
      </c>
      <c r="E2469" s="81" t="s">
        <v>2208</v>
      </c>
      <c r="F2469" s="84">
        <v>423.0</v>
      </c>
      <c r="G2469" s="81" t="s">
        <v>40</v>
      </c>
      <c r="H2469" s="81" t="s">
        <v>5786</v>
      </c>
      <c r="I2469" s="81" t="s">
        <v>2202</v>
      </c>
      <c r="J2469" s="81" t="s">
        <v>224</v>
      </c>
    </row>
    <row r="2470" hidden="1">
      <c r="A2470" s="83" t="s">
        <v>6317</v>
      </c>
      <c r="B2470" s="83" t="s">
        <v>6318</v>
      </c>
      <c r="C2470" s="81" t="s">
        <v>4086</v>
      </c>
      <c r="D2470" s="83" t="s">
        <v>4474</v>
      </c>
      <c r="E2470" s="81" t="s">
        <v>2209</v>
      </c>
      <c r="F2470" s="84">
        <v>424.0</v>
      </c>
      <c r="G2470" s="81" t="s">
        <v>40</v>
      </c>
      <c r="H2470" s="81" t="s">
        <v>5787</v>
      </c>
      <c r="I2470" s="81" t="s">
        <v>2211</v>
      </c>
      <c r="J2470" s="81" t="s">
        <v>224</v>
      </c>
    </row>
    <row r="2471" hidden="1">
      <c r="A2471" s="83" t="s">
        <v>6317</v>
      </c>
      <c r="B2471" s="83" t="s">
        <v>6318</v>
      </c>
      <c r="C2471" s="81" t="s">
        <v>4086</v>
      </c>
      <c r="D2471" s="83" t="s">
        <v>4475</v>
      </c>
      <c r="E2471" s="81" t="s">
        <v>2212</v>
      </c>
      <c r="F2471" s="84">
        <v>425.0</v>
      </c>
      <c r="G2471" s="81" t="s">
        <v>39</v>
      </c>
      <c r="H2471" s="81" t="s">
        <v>5788</v>
      </c>
      <c r="I2471" s="81" t="s">
        <v>2218</v>
      </c>
      <c r="J2471" s="81" t="s">
        <v>224</v>
      </c>
    </row>
    <row r="2472" hidden="1">
      <c r="A2472" s="83" t="s">
        <v>6317</v>
      </c>
      <c r="B2472" s="83" t="s">
        <v>6318</v>
      </c>
      <c r="C2472" s="81" t="s">
        <v>4086</v>
      </c>
      <c r="D2472" s="83" t="s">
        <v>4475</v>
      </c>
      <c r="E2472" s="81" t="s">
        <v>2212</v>
      </c>
      <c r="F2472" s="84">
        <v>425.0</v>
      </c>
      <c r="G2472" s="81" t="s">
        <v>40</v>
      </c>
      <c r="H2472" s="81" t="s">
        <v>5789</v>
      </c>
      <c r="I2472" s="81" t="s">
        <v>2219</v>
      </c>
      <c r="J2472" s="81" t="s">
        <v>224</v>
      </c>
    </row>
    <row r="2473" hidden="1">
      <c r="A2473" s="83" t="s">
        <v>6317</v>
      </c>
      <c r="B2473" s="83" t="s">
        <v>6318</v>
      </c>
      <c r="C2473" s="81" t="s">
        <v>4086</v>
      </c>
      <c r="D2473" s="83" t="s">
        <v>4475</v>
      </c>
      <c r="E2473" s="81" t="s">
        <v>2225</v>
      </c>
      <c r="F2473" s="84">
        <v>426.0</v>
      </c>
      <c r="G2473" s="81" t="s">
        <v>39</v>
      </c>
      <c r="H2473" s="81" t="s">
        <v>5790</v>
      </c>
      <c r="I2473" s="81" t="s">
        <v>2218</v>
      </c>
      <c r="J2473" s="81" t="s">
        <v>224</v>
      </c>
    </row>
    <row r="2474" hidden="1">
      <c r="A2474" s="83" t="s">
        <v>6317</v>
      </c>
      <c r="B2474" s="83" t="s">
        <v>6318</v>
      </c>
      <c r="C2474" s="81" t="s">
        <v>4086</v>
      </c>
      <c r="D2474" s="83" t="s">
        <v>4475</v>
      </c>
      <c r="E2474" s="81" t="s">
        <v>2225</v>
      </c>
      <c r="F2474" s="84">
        <v>426.0</v>
      </c>
      <c r="G2474" s="81" t="s">
        <v>40</v>
      </c>
      <c r="H2474" s="81" t="s">
        <v>5789</v>
      </c>
      <c r="I2474" s="81" t="s">
        <v>2219</v>
      </c>
      <c r="J2474" s="81" t="s">
        <v>224</v>
      </c>
    </row>
    <row r="2475" hidden="1">
      <c r="A2475" s="83" t="s">
        <v>6317</v>
      </c>
      <c r="B2475" s="83" t="s">
        <v>6318</v>
      </c>
      <c r="C2475" s="81" t="s">
        <v>4086</v>
      </c>
      <c r="D2475" s="83" t="s">
        <v>4477</v>
      </c>
      <c r="E2475" s="81" t="s">
        <v>2227</v>
      </c>
      <c r="F2475" s="84">
        <v>427.0</v>
      </c>
      <c r="G2475" s="81" t="s">
        <v>39</v>
      </c>
      <c r="H2475" s="81" t="s">
        <v>5791</v>
      </c>
      <c r="I2475" s="81" t="s">
        <v>2228</v>
      </c>
      <c r="J2475" s="81" t="s">
        <v>224</v>
      </c>
    </row>
    <row r="2476" hidden="1">
      <c r="A2476" s="83" t="s">
        <v>6317</v>
      </c>
      <c r="B2476" s="83" t="s">
        <v>6318</v>
      </c>
      <c r="C2476" s="81" t="s">
        <v>4086</v>
      </c>
      <c r="D2476" s="83" t="s">
        <v>4477</v>
      </c>
      <c r="E2476" s="81" t="s">
        <v>2227</v>
      </c>
      <c r="F2476" s="84">
        <v>427.0</v>
      </c>
      <c r="G2476" s="81" t="s">
        <v>40</v>
      </c>
      <c r="H2476" s="81" t="s">
        <v>5792</v>
      </c>
      <c r="I2476" s="81" t="s">
        <v>2229</v>
      </c>
      <c r="J2476" s="81" t="s">
        <v>224</v>
      </c>
    </row>
    <row r="2477" hidden="1">
      <c r="A2477" s="83" t="s">
        <v>6317</v>
      </c>
      <c r="B2477" s="83" t="s">
        <v>6318</v>
      </c>
      <c r="C2477" s="81" t="s">
        <v>4086</v>
      </c>
      <c r="D2477" s="83" t="s">
        <v>4478</v>
      </c>
      <c r="E2477" s="81" t="s">
        <v>2230</v>
      </c>
      <c r="F2477" s="84">
        <v>428.0</v>
      </c>
      <c r="G2477" s="81" t="s">
        <v>39</v>
      </c>
      <c r="H2477" s="81" t="s">
        <v>5793</v>
      </c>
      <c r="I2477" s="81" t="s">
        <v>2234</v>
      </c>
      <c r="J2477" s="81" t="s">
        <v>224</v>
      </c>
    </row>
    <row r="2478" hidden="1">
      <c r="A2478" s="83" t="s">
        <v>6317</v>
      </c>
      <c r="B2478" s="83" t="s">
        <v>6318</v>
      </c>
      <c r="C2478" s="81" t="s">
        <v>4086</v>
      </c>
      <c r="D2478" s="83" t="s">
        <v>4478</v>
      </c>
      <c r="E2478" s="81" t="s">
        <v>2230</v>
      </c>
      <c r="F2478" s="84">
        <v>428.0</v>
      </c>
      <c r="G2478" s="81" t="s">
        <v>40</v>
      </c>
      <c r="H2478" s="81" t="s">
        <v>5794</v>
      </c>
      <c r="I2478" s="81" t="s">
        <v>2235</v>
      </c>
      <c r="J2478" s="81" t="s">
        <v>224</v>
      </c>
    </row>
    <row r="2479" hidden="1">
      <c r="A2479" s="83" t="s">
        <v>6317</v>
      </c>
      <c r="B2479" s="83" t="s">
        <v>6318</v>
      </c>
      <c r="C2479" s="81" t="s">
        <v>4086</v>
      </c>
      <c r="D2479" s="83" t="s">
        <v>4478</v>
      </c>
      <c r="E2479" s="81" t="s">
        <v>2241</v>
      </c>
      <c r="F2479" s="84">
        <v>429.0</v>
      </c>
      <c r="G2479" s="81" t="s">
        <v>39</v>
      </c>
      <c r="H2479" s="81" t="s">
        <v>5795</v>
      </c>
      <c r="I2479" s="81" t="s">
        <v>2234</v>
      </c>
      <c r="J2479" s="81" t="s">
        <v>224</v>
      </c>
    </row>
    <row r="2480" hidden="1">
      <c r="A2480" s="83" t="s">
        <v>6317</v>
      </c>
      <c r="B2480" s="83" t="s">
        <v>6318</v>
      </c>
      <c r="C2480" s="81" t="s">
        <v>4086</v>
      </c>
      <c r="D2480" s="83" t="s">
        <v>4478</v>
      </c>
      <c r="E2480" s="81" t="s">
        <v>2241</v>
      </c>
      <c r="F2480" s="84">
        <v>429.0</v>
      </c>
      <c r="G2480" s="81" t="s">
        <v>40</v>
      </c>
      <c r="H2480" s="81" t="s">
        <v>5794</v>
      </c>
      <c r="I2480" s="81" t="s">
        <v>2235</v>
      </c>
      <c r="J2480" s="81" t="s">
        <v>224</v>
      </c>
    </row>
    <row r="2481" hidden="1">
      <c r="A2481" s="83" t="s">
        <v>6317</v>
      </c>
      <c r="B2481" s="83" t="s">
        <v>6318</v>
      </c>
      <c r="C2481" s="81" t="s">
        <v>4086</v>
      </c>
      <c r="D2481" s="83" t="s">
        <v>4481</v>
      </c>
      <c r="E2481" s="81" t="s">
        <v>2242</v>
      </c>
      <c r="F2481" s="84">
        <v>430.0</v>
      </c>
      <c r="G2481" s="81" t="s">
        <v>39</v>
      </c>
      <c r="H2481" s="81" t="s">
        <v>5796</v>
      </c>
      <c r="I2481" s="81" t="s">
        <v>2243</v>
      </c>
      <c r="J2481" s="81" t="s">
        <v>224</v>
      </c>
    </row>
    <row r="2482" hidden="1">
      <c r="A2482" s="83" t="s">
        <v>6317</v>
      </c>
      <c r="B2482" s="83" t="s">
        <v>6318</v>
      </c>
      <c r="C2482" s="81" t="s">
        <v>4086</v>
      </c>
      <c r="D2482" s="83" t="s">
        <v>4481</v>
      </c>
      <c r="E2482" s="81" t="s">
        <v>2242</v>
      </c>
      <c r="F2482" s="84">
        <v>430.0</v>
      </c>
      <c r="G2482" s="81" t="s">
        <v>40</v>
      </c>
      <c r="H2482" s="81" t="s">
        <v>5797</v>
      </c>
      <c r="I2482" s="81" t="s">
        <v>2244</v>
      </c>
      <c r="J2482" s="81" t="s">
        <v>224</v>
      </c>
    </row>
    <row r="2483" hidden="1">
      <c r="A2483" s="83" t="s">
        <v>6317</v>
      </c>
      <c r="B2483" s="83" t="s">
        <v>6318</v>
      </c>
      <c r="C2483" s="81" t="s">
        <v>4086</v>
      </c>
      <c r="D2483" s="83" t="s">
        <v>4482</v>
      </c>
      <c r="E2483" s="81" t="s">
        <v>2245</v>
      </c>
      <c r="F2483" s="84">
        <v>431.0</v>
      </c>
      <c r="G2483" s="81" t="s">
        <v>39</v>
      </c>
      <c r="H2483" s="81" t="s">
        <v>5795</v>
      </c>
      <c r="I2483" s="81" t="s">
        <v>2249</v>
      </c>
      <c r="J2483" s="81" t="s">
        <v>224</v>
      </c>
    </row>
    <row r="2484" hidden="1">
      <c r="A2484" s="83" t="s">
        <v>6317</v>
      </c>
      <c r="B2484" s="83" t="s">
        <v>6318</v>
      </c>
      <c r="C2484" s="81" t="s">
        <v>5141</v>
      </c>
      <c r="D2484" s="83" t="s">
        <v>4482</v>
      </c>
      <c r="E2484" s="81" t="s">
        <v>2245</v>
      </c>
      <c r="F2484" s="84">
        <v>431.0</v>
      </c>
      <c r="G2484" s="81" t="s">
        <v>40</v>
      </c>
      <c r="H2484" s="81" t="s">
        <v>5794</v>
      </c>
      <c r="I2484" s="81" t="s">
        <v>224</v>
      </c>
      <c r="J2484" s="81" t="s">
        <v>5143</v>
      </c>
    </row>
    <row r="2485" hidden="1">
      <c r="A2485" s="83" t="s">
        <v>6317</v>
      </c>
      <c r="B2485" s="83" t="s">
        <v>6318</v>
      </c>
      <c r="C2485" s="81" t="s">
        <v>4086</v>
      </c>
      <c r="D2485" s="83" t="s">
        <v>4483</v>
      </c>
      <c r="E2485" s="81" t="s">
        <v>2254</v>
      </c>
      <c r="F2485" s="84">
        <v>432.0</v>
      </c>
      <c r="G2485" s="81" t="s">
        <v>39</v>
      </c>
      <c r="H2485" s="81" t="s">
        <v>5796</v>
      </c>
      <c r="I2485" s="81" t="s">
        <v>2255</v>
      </c>
      <c r="J2485" s="81" t="s">
        <v>224</v>
      </c>
    </row>
    <row r="2486" hidden="1">
      <c r="A2486" s="83" t="s">
        <v>6317</v>
      </c>
      <c r="B2486" s="83" t="s">
        <v>6318</v>
      </c>
      <c r="C2486" s="81" t="s">
        <v>5141</v>
      </c>
      <c r="D2486" s="83" t="s">
        <v>4483</v>
      </c>
      <c r="E2486" s="81" t="s">
        <v>2254</v>
      </c>
      <c r="F2486" s="84">
        <v>432.0</v>
      </c>
      <c r="G2486" s="81" t="s">
        <v>40</v>
      </c>
      <c r="H2486" s="81" t="s">
        <v>5797</v>
      </c>
      <c r="I2486" s="81" t="s">
        <v>224</v>
      </c>
      <c r="J2486" s="81" t="s">
        <v>5143</v>
      </c>
    </row>
    <row r="2487" hidden="1">
      <c r="A2487" s="83" t="s">
        <v>6317</v>
      </c>
      <c r="B2487" s="83" t="s">
        <v>6318</v>
      </c>
      <c r="C2487" s="81" t="s">
        <v>4086</v>
      </c>
      <c r="D2487" s="83" t="s">
        <v>4484</v>
      </c>
      <c r="E2487" s="81" t="s">
        <v>2256</v>
      </c>
      <c r="F2487" s="84">
        <v>433.0</v>
      </c>
      <c r="G2487" s="81" t="s">
        <v>39</v>
      </c>
      <c r="H2487" s="81" t="s">
        <v>5798</v>
      </c>
      <c r="I2487" s="81" t="s">
        <v>2260</v>
      </c>
      <c r="J2487" s="81" t="s">
        <v>224</v>
      </c>
    </row>
    <row r="2488" hidden="1">
      <c r="A2488" s="83" t="s">
        <v>6317</v>
      </c>
      <c r="B2488" s="83" t="s">
        <v>6318</v>
      </c>
      <c r="C2488" s="81" t="s">
        <v>4086</v>
      </c>
      <c r="D2488" s="83" t="s">
        <v>4484</v>
      </c>
      <c r="E2488" s="81" t="s">
        <v>2256</v>
      </c>
      <c r="F2488" s="84">
        <v>433.0</v>
      </c>
      <c r="G2488" s="81" t="s">
        <v>40</v>
      </c>
      <c r="H2488" s="81" t="s">
        <v>5799</v>
      </c>
      <c r="I2488" s="81" t="s">
        <v>2261</v>
      </c>
      <c r="J2488" s="81" t="s">
        <v>224</v>
      </c>
    </row>
    <row r="2489" hidden="1">
      <c r="A2489" s="83" t="s">
        <v>6317</v>
      </c>
      <c r="B2489" s="83" t="s">
        <v>6318</v>
      </c>
      <c r="C2489" s="81" t="s">
        <v>4086</v>
      </c>
      <c r="D2489" s="83" t="s">
        <v>4484</v>
      </c>
      <c r="E2489" s="81" t="s">
        <v>2267</v>
      </c>
      <c r="F2489" s="84">
        <v>434.0</v>
      </c>
      <c r="G2489" s="81" t="s">
        <v>40</v>
      </c>
      <c r="H2489" s="81" t="s">
        <v>5799</v>
      </c>
      <c r="I2489" s="81" t="s">
        <v>2261</v>
      </c>
      <c r="J2489" s="81" t="s">
        <v>224</v>
      </c>
    </row>
    <row r="2490" hidden="1">
      <c r="A2490" s="83" t="s">
        <v>6317</v>
      </c>
      <c r="B2490" s="83" t="s">
        <v>6318</v>
      </c>
      <c r="C2490" s="81" t="s">
        <v>4086</v>
      </c>
      <c r="D2490" s="83" t="s">
        <v>4486</v>
      </c>
      <c r="E2490" s="81" t="s">
        <v>2268</v>
      </c>
      <c r="F2490" s="84">
        <v>435.0</v>
      </c>
      <c r="G2490" s="81" t="s">
        <v>40</v>
      </c>
      <c r="H2490" s="81" t="s">
        <v>5800</v>
      </c>
      <c r="I2490" s="81" t="s">
        <v>2270</v>
      </c>
      <c r="J2490" s="81" t="s">
        <v>224</v>
      </c>
    </row>
    <row r="2491" hidden="1">
      <c r="A2491" s="83" t="s">
        <v>6317</v>
      </c>
      <c r="B2491" s="83" t="s">
        <v>6318</v>
      </c>
      <c r="C2491" s="81" t="s">
        <v>4086</v>
      </c>
      <c r="D2491" s="83" t="s">
        <v>4487</v>
      </c>
      <c r="E2491" s="81" t="s">
        <v>2271</v>
      </c>
      <c r="F2491" s="84">
        <v>436.0</v>
      </c>
      <c r="G2491" s="81" t="s">
        <v>39</v>
      </c>
      <c r="H2491" s="81" t="s">
        <v>5801</v>
      </c>
      <c r="I2491" s="81" t="s">
        <v>2274</v>
      </c>
      <c r="J2491" s="81" t="s">
        <v>224</v>
      </c>
    </row>
    <row r="2492" hidden="1">
      <c r="A2492" s="83" t="s">
        <v>6317</v>
      </c>
      <c r="B2492" s="83" t="s">
        <v>6318</v>
      </c>
      <c r="C2492" s="81" t="s">
        <v>4086</v>
      </c>
      <c r="D2492" s="83" t="s">
        <v>4487</v>
      </c>
      <c r="E2492" s="81" t="s">
        <v>2271</v>
      </c>
      <c r="F2492" s="84">
        <v>436.0</v>
      </c>
      <c r="G2492" s="81" t="s">
        <v>40</v>
      </c>
      <c r="H2492" s="81" t="s">
        <v>5802</v>
      </c>
      <c r="I2492" s="81" t="s">
        <v>2275</v>
      </c>
      <c r="J2492" s="81" t="s">
        <v>224</v>
      </c>
    </row>
    <row r="2493" hidden="1">
      <c r="A2493" s="83" t="s">
        <v>6317</v>
      </c>
      <c r="B2493" s="83" t="s">
        <v>6318</v>
      </c>
      <c r="C2493" s="81" t="s">
        <v>4086</v>
      </c>
      <c r="D2493" s="83" t="s">
        <v>4487</v>
      </c>
      <c r="E2493" s="81" t="s">
        <v>2281</v>
      </c>
      <c r="F2493" s="84">
        <v>437.0</v>
      </c>
      <c r="G2493" s="81" t="s">
        <v>40</v>
      </c>
      <c r="H2493" s="81" t="s">
        <v>5802</v>
      </c>
      <c r="I2493" s="81" t="s">
        <v>2275</v>
      </c>
      <c r="J2493" s="81" t="s">
        <v>224</v>
      </c>
    </row>
    <row r="2494" hidden="1">
      <c r="A2494" s="83" t="s">
        <v>6317</v>
      </c>
      <c r="B2494" s="83" t="s">
        <v>6318</v>
      </c>
      <c r="C2494" s="81" t="s">
        <v>4086</v>
      </c>
      <c r="D2494" s="83" t="s">
        <v>4489</v>
      </c>
      <c r="E2494" s="81" t="s">
        <v>2282</v>
      </c>
      <c r="F2494" s="84">
        <v>438.0</v>
      </c>
      <c r="G2494" s="81" t="s">
        <v>40</v>
      </c>
      <c r="H2494" s="81" t="s">
        <v>5803</v>
      </c>
      <c r="I2494" s="81" t="s">
        <v>2284</v>
      </c>
      <c r="J2494" s="81" t="s">
        <v>224</v>
      </c>
    </row>
    <row r="2495" hidden="1">
      <c r="A2495" s="83" t="s">
        <v>6317</v>
      </c>
      <c r="B2495" s="83" t="s">
        <v>6318</v>
      </c>
      <c r="C2495" s="81" t="s">
        <v>4086</v>
      </c>
      <c r="D2495" s="83" t="s">
        <v>4490</v>
      </c>
      <c r="E2495" s="81" t="s">
        <v>2285</v>
      </c>
      <c r="F2495" s="84">
        <v>439.0</v>
      </c>
      <c r="G2495" s="81" t="s">
        <v>39</v>
      </c>
      <c r="H2495" s="81" t="s">
        <v>5804</v>
      </c>
      <c r="I2495" s="81" t="s">
        <v>2290</v>
      </c>
      <c r="J2495" s="81" t="s">
        <v>224</v>
      </c>
    </row>
    <row r="2496" hidden="1">
      <c r="A2496" s="83" t="s">
        <v>6317</v>
      </c>
      <c r="B2496" s="83" t="s">
        <v>6318</v>
      </c>
      <c r="C2496" s="81" t="s">
        <v>4086</v>
      </c>
      <c r="D2496" s="83" t="s">
        <v>4490</v>
      </c>
      <c r="E2496" s="81" t="s">
        <v>2285</v>
      </c>
      <c r="F2496" s="84">
        <v>439.0</v>
      </c>
      <c r="G2496" s="81" t="s">
        <v>40</v>
      </c>
      <c r="H2496" s="81" t="s">
        <v>5805</v>
      </c>
      <c r="I2496" s="81" t="s">
        <v>2291</v>
      </c>
      <c r="J2496" s="81" t="s">
        <v>224</v>
      </c>
    </row>
    <row r="2497" hidden="1">
      <c r="A2497" s="83" t="s">
        <v>6317</v>
      </c>
      <c r="B2497" s="83" t="s">
        <v>6318</v>
      </c>
      <c r="C2497" s="81" t="s">
        <v>4086</v>
      </c>
      <c r="D2497" s="83" t="s">
        <v>4490</v>
      </c>
      <c r="E2497" s="81" t="s">
        <v>2295</v>
      </c>
      <c r="F2497" s="84">
        <v>440.0</v>
      </c>
      <c r="G2497" s="81" t="s">
        <v>40</v>
      </c>
      <c r="H2497" s="81" t="s">
        <v>5805</v>
      </c>
      <c r="I2497" s="81" t="s">
        <v>2291</v>
      </c>
      <c r="J2497" s="81" t="s">
        <v>224</v>
      </c>
    </row>
    <row r="2498" hidden="1">
      <c r="A2498" s="83" t="s">
        <v>6317</v>
      </c>
      <c r="B2498" s="83" t="s">
        <v>6318</v>
      </c>
      <c r="C2498" s="81" t="s">
        <v>4086</v>
      </c>
      <c r="D2498" s="83" t="s">
        <v>4493</v>
      </c>
      <c r="E2498" s="81" t="s">
        <v>2297</v>
      </c>
      <c r="F2498" s="84">
        <v>441.0</v>
      </c>
      <c r="G2498" s="81" t="s">
        <v>40</v>
      </c>
      <c r="H2498" s="81" t="s">
        <v>5806</v>
      </c>
      <c r="I2498" s="81" t="s">
        <v>2299</v>
      </c>
      <c r="J2498" s="81" t="s">
        <v>224</v>
      </c>
    </row>
    <row r="2499" hidden="1">
      <c r="A2499" s="83" t="s">
        <v>6317</v>
      </c>
      <c r="B2499" s="83" t="s">
        <v>6318</v>
      </c>
      <c r="C2499" s="81" t="s">
        <v>4086</v>
      </c>
      <c r="D2499" s="83" t="s">
        <v>4494</v>
      </c>
      <c r="E2499" s="81" t="s">
        <v>2300</v>
      </c>
      <c r="F2499" s="84">
        <v>442.0</v>
      </c>
      <c r="G2499" s="81" t="s">
        <v>39</v>
      </c>
      <c r="H2499" s="81" t="s">
        <v>5807</v>
      </c>
      <c r="I2499" s="81" t="s">
        <v>2303</v>
      </c>
      <c r="J2499" s="81" t="s">
        <v>224</v>
      </c>
    </row>
    <row r="2500" hidden="1">
      <c r="A2500" s="83" t="s">
        <v>6317</v>
      </c>
      <c r="B2500" s="83" t="s">
        <v>6318</v>
      </c>
      <c r="C2500" s="81" t="s">
        <v>5141</v>
      </c>
      <c r="D2500" s="83" t="s">
        <v>4494</v>
      </c>
      <c r="E2500" s="81" t="s">
        <v>2300</v>
      </c>
      <c r="F2500" s="84">
        <v>442.0</v>
      </c>
      <c r="G2500" s="81" t="s">
        <v>40</v>
      </c>
      <c r="H2500" s="81" t="s">
        <v>5808</v>
      </c>
      <c r="I2500" s="81" t="s">
        <v>224</v>
      </c>
      <c r="J2500" s="81" t="s">
        <v>5143</v>
      </c>
    </row>
    <row r="2501" hidden="1">
      <c r="A2501" s="83" t="s">
        <v>6317</v>
      </c>
      <c r="B2501" s="83" t="s">
        <v>6318</v>
      </c>
      <c r="C2501" s="81" t="s">
        <v>4086</v>
      </c>
      <c r="D2501" s="83" t="s">
        <v>4494</v>
      </c>
      <c r="E2501" s="81" t="s">
        <v>2307</v>
      </c>
      <c r="F2501" s="84">
        <v>443.0</v>
      </c>
      <c r="G2501" s="81" t="s">
        <v>39</v>
      </c>
      <c r="H2501" s="81" t="s">
        <v>5809</v>
      </c>
      <c r="I2501" s="81" t="s">
        <v>2303</v>
      </c>
      <c r="J2501" s="81" t="s">
        <v>224</v>
      </c>
    </row>
    <row r="2502" hidden="1">
      <c r="A2502" s="83" t="s">
        <v>6317</v>
      </c>
      <c r="B2502" s="83" t="s">
        <v>6318</v>
      </c>
      <c r="C2502" s="81" t="s">
        <v>5141</v>
      </c>
      <c r="D2502" s="83" t="s">
        <v>4494</v>
      </c>
      <c r="E2502" s="81" t="s">
        <v>2307</v>
      </c>
      <c r="F2502" s="84">
        <v>443.0</v>
      </c>
      <c r="G2502" s="81" t="s">
        <v>40</v>
      </c>
      <c r="H2502" s="81" t="s">
        <v>5808</v>
      </c>
      <c r="I2502" s="81" t="s">
        <v>224</v>
      </c>
      <c r="J2502" s="81" t="s">
        <v>5143</v>
      </c>
    </row>
    <row r="2503" hidden="1">
      <c r="A2503" s="83" t="s">
        <v>6317</v>
      </c>
      <c r="B2503" s="83" t="s">
        <v>6318</v>
      </c>
      <c r="C2503" s="81" t="s">
        <v>4086</v>
      </c>
      <c r="D2503" s="83" t="s">
        <v>4495</v>
      </c>
      <c r="E2503" s="81" t="s">
        <v>2308</v>
      </c>
      <c r="F2503" s="84">
        <v>444.0</v>
      </c>
      <c r="G2503" s="81" t="s">
        <v>39</v>
      </c>
      <c r="H2503" s="81" t="s">
        <v>5810</v>
      </c>
      <c r="I2503" s="81" t="s">
        <v>2309</v>
      </c>
      <c r="J2503" s="81" t="s">
        <v>224</v>
      </c>
    </row>
    <row r="2504" hidden="1">
      <c r="A2504" s="83" t="s">
        <v>6317</v>
      </c>
      <c r="B2504" s="83" t="s">
        <v>6318</v>
      </c>
      <c r="C2504" s="81" t="s">
        <v>5141</v>
      </c>
      <c r="D2504" s="83" t="s">
        <v>4495</v>
      </c>
      <c r="E2504" s="81" t="s">
        <v>2308</v>
      </c>
      <c r="F2504" s="84">
        <v>444.0</v>
      </c>
      <c r="G2504" s="81" t="s">
        <v>40</v>
      </c>
      <c r="H2504" s="81" t="s">
        <v>5811</v>
      </c>
      <c r="I2504" s="81" t="s">
        <v>224</v>
      </c>
      <c r="J2504" s="81" t="s">
        <v>5143</v>
      </c>
    </row>
    <row r="2505" hidden="1">
      <c r="A2505" s="83" t="s">
        <v>6317</v>
      </c>
      <c r="B2505" s="83" t="s">
        <v>6318</v>
      </c>
      <c r="C2505" s="81" t="s">
        <v>4086</v>
      </c>
      <c r="D2505" s="83" t="s">
        <v>4496</v>
      </c>
      <c r="E2505" s="81" t="s">
        <v>2310</v>
      </c>
      <c r="F2505" s="84">
        <v>445.0</v>
      </c>
      <c r="G2505" s="81" t="s">
        <v>39</v>
      </c>
      <c r="H2505" s="81" t="s">
        <v>5812</v>
      </c>
      <c r="I2505" s="81" t="s">
        <v>2313</v>
      </c>
      <c r="J2505" s="81" t="s">
        <v>224</v>
      </c>
    </row>
    <row r="2506" hidden="1">
      <c r="A2506" s="83" t="s">
        <v>6317</v>
      </c>
      <c r="B2506" s="83" t="s">
        <v>6318</v>
      </c>
      <c r="C2506" s="81" t="s">
        <v>5141</v>
      </c>
      <c r="D2506" s="83" t="s">
        <v>4496</v>
      </c>
      <c r="E2506" s="81" t="s">
        <v>2310</v>
      </c>
      <c r="F2506" s="84">
        <v>445.0</v>
      </c>
      <c r="G2506" s="81" t="s">
        <v>40</v>
      </c>
      <c r="H2506" s="81" t="s">
        <v>5813</v>
      </c>
      <c r="I2506" s="81" t="s">
        <v>224</v>
      </c>
      <c r="J2506" s="81" t="s">
        <v>5143</v>
      </c>
    </row>
    <row r="2507" hidden="1">
      <c r="A2507" s="83" t="s">
        <v>6317</v>
      </c>
      <c r="B2507" s="83" t="s">
        <v>6318</v>
      </c>
      <c r="C2507" s="81" t="s">
        <v>4086</v>
      </c>
      <c r="D2507" s="83" t="s">
        <v>4496</v>
      </c>
      <c r="E2507" s="81" t="s">
        <v>2317</v>
      </c>
      <c r="F2507" s="84">
        <v>446.0</v>
      </c>
      <c r="G2507" s="81" t="s">
        <v>39</v>
      </c>
      <c r="H2507" s="81" t="s">
        <v>5812</v>
      </c>
      <c r="I2507" s="81" t="s">
        <v>2313</v>
      </c>
      <c r="J2507" s="81" t="s">
        <v>224</v>
      </c>
    </row>
    <row r="2508" hidden="1">
      <c r="A2508" s="83" t="s">
        <v>6317</v>
      </c>
      <c r="B2508" s="83" t="s">
        <v>6318</v>
      </c>
      <c r="C2508" s="81" t="s">
        <v>5141</v>
      </c>
      <c r="D2508" s="83" t="s">
        <v>4496</v>
      </c>
      <c r="E2508" s="81" t="s">
        <v>2317</v>
      </c>
      <c r="F2508" s="84">
        <v>446.0</v>
      </c>
      <c r="G2508" s="81" t="s">
        <v>40</v>
      </c>
      <c r="H2508" s="81" t="s">
        <v>5813</v>
      </c>
      <c r="I2508" s="81" t="s">
        <v>224</v>
      </c>
      <c r="J2508" s="81" t="s">
        <v>5143</v>
      </c>
    </row>
    <row r="2509" hidden="1">
      <c r="A2509" s="83" t="s">
        <v>6317</v>
      </c>
      <c r="B2509" s="83" t="s">
        <v>6318</v>
      </c>
      <c r="C2509" s="81" t="s">
        <v>4086</v>
      </c>
      <c r="D2509" s="83" t="s">
        <v>4497</v>
      </c>
      <c r="E2509" s="81" t="s">
        <v>2318</v>
      </c>
      <c r="F2509" s="84">
        <v>447.0</v>
      </c>
      <c r="G2509" s="81" t="s">
        <v>39</v>
      </c>
      <c r="H2509" s="81" t="s">
        <v>5814</v>
      </c>
      <c r="I2509" s="81" t="s">
        <v>2319</v>
      </c>
      <c r="J2509" s="81" t="s">
        <v>224</v>
      </c>
    </row>
    <row r="2510" hidden="1">
      <c r="A2510" s="83" t="s">
        <v>6317</v>
      </c>
      <c r="B2510" s="83" t="s">
        <v>6318</v>
      </c>
      <c r="C2510" s="81" t="s">
        <v>5141</v>
      </c>
      <c r="D2510" s="83" t="s">
        <v>4497</v>
      </c>
      <c r="E2510" s="81" t="s">
        <v>2318</v>
      </c>
      <c r="F2510" s="84">
        <v>447.0</v>
      </c>
      <c r="G2510" s="81" t="s">
        <v>40</v>
      </c>
      <c r="H2510" s="81" t="s">
        <v>5815</v>
      </c>
      <c r="I2510" s="81" t="s">
        <v>224</v>
      </c>
      <c r="J2510" s="81" t="s">
        <v>5143</v>
      </c>
    </row>
    <row r="2511" hidden="1">
      <c r="A2511" s="83" t="s">
        <v>6317</v>
      </c>
      <c r="B2511" s="83" t="s">
        <v>6318</v>
      </c>
      <c r="C2511" s="81" t="s">
        <v>4086</v>
      </c>
      <c r="D2511" s="83" t="s">
        <v>4498</v>
      </c>
      <c r="E2511" s="81" t="s">
        <v>2320</v>
      </c>
      <c r="F2511" s="84">
        <v>448.0</v>
      </c>
      <c r="G2511" s="81" t="s">
        <v>39</v>
      </c>
      <c r="H2511" s="81" t="s">
        <v>5816</v>
      </c>
      <c r="I2511" s="81" t="s">
        <v>2322</v>
      </c>
      <c r="J2511" s="81" t="s">
        <v>224</v>
      </c>
    </row>
    <row r="2512" hidden="1">
      <c r="A2512" s="83" t="s">
        <v>6317</v>
      </c>
      <c r="B2512" s="83" t="s">
        <v>6318</v>
      </c>
      <c r="C2512" s="81" t="s">
        <v>4086</v>
      </c>
      <c r="D2512" s="83" t="s">
        <v>4498</v>
      </c>
      <c r="E2512" s="81" t="s">
        <v>2320</v>
      </c>
      <c r="F2512" s="84">
        <v>448.0</v>
      </c>
      <c r="G2512" s="81" t="s">
        <v>40</v>
      </c>
      <c r="H2512" s="81" t="s">
        <v>5817</v>
      </c>
      <c r="I2512" s="81" t="s">
        <v>2323</v>
      </c>
      <c r="J2512" s="81" t="s">
        <v>224</v>
      </c>
    </row>
    <row r="2513" hidden="1">
      <c r="A2513" s="83" t="s">
        <v>6317</v>
      </c>
      <c r="B2513" s="83" t="s">
        <v>6318</v>
      </c>
      <c r="C2513" s="81" t="s">
        <v>4086</v>
      </c>
      <c r="D2513" s="83" t="s">
        <v>4498</v>
      </c>
      <c r="E2513" s="81" t="s">
        <v>2324</v>
      </c>
      <c r="F2513" s="84">
        <v>449.0</v>
      </c>
      <c r="G2513" s="81" t="s">
        <v>39</v>
      </c>
      <c r="H2513" s="81" t="s">
        <v>5818</v>
      </c>
      <c r="I2513" s="81" t="s">
        <v>2322</v>
      </c>
      <c r="J2513" s="81" t="s">
        <v>224</v>
      </c>
    </row>
    <row r="2514" hidden="1">
      <c r="A2514" s="83" t="s">
        <v>6317</v>
      </c>
      <c r="B2514" s="83" t="s">
        <v>6318</v>
      </c>
      <c r="C2514" s="81" t="s">
        <v>4086</v>
      </c>
      <c r="D2514" s="83" t="s">
        <v>4498</v>
      </c>
      <c r="E2514" s="81" t="s">
        <v>2324</v>
      </c>
      <c r="F2514" s="84">
        <v>449.0</v>
      </c>
      <c r="G2514" s="81" t="s">
        <v>40</v>
      </c>
      <c r="H2514" s="81" t="s">
        <v>5819</v>
      </c>
      <c r="I2514" s="81" t="s">
        <v>2323</v>
      </c>
      <c r="J2514" s="81" t="s">
        <v>224</v>
      </c>
    </row>
    <row r="2515" hidden="1">
      <c r="A2515" s="83" t="s">
        <v>6317</v>
      </c>
      <c r="B2515" s="83" t="s">
        <v>6318</v>
      </c>
      <c r="C2515" s="81" t="s">
        <v>4086</v>
      </c>
      <c r="D2515" s="83" t="s">
        <v>4500</v>
      </c>
      <c r="E2515" s="81" t="s">
        <v>2326</v>
      </c>
      <c r="F2515" s="84">
        <v>450.0</v>
      </c>
      <c r="G2515" s="81" t="s">
        <v>39</v>
      </c>
      <c r="H2515" s="81" t="s">
        <v>5820</v>
      </c>
      <c r="I2515" s="81" t="s">
        <v>2327</v>
      </c>
      <c r="J2515" s="81" t="s">
        <v>224</v>
      </c>
    </row>
    <row r="2516" hidden="1">
      <c r="A2516" s="83" t="s">
        <v>6317</v>
      </c>
      <c r="B2516" s="83" t="s">
        <v>6318</v>
      </c>
      <c r="C2516" s="81" t="s">
        <v>4086</v>
      </c>
      <c r="D2516" s="83" t="s">
        <v>4500</v>
      </c>
      <c r="E2516" s="81" t="s">
        <v>2326</v>
      </c>
      <c r="F2516" s="84">
        <v>450.0</v>
      </c>
      <c r="G2516" s="81" t="s">
        <v>40</v>
      </c>
      <c r="H2516" s="81" t="s">
        <v>5821</v>
      </c>
      <c r="I2516" s="81" t="s">
        <v>2328</v>
      </c>
      <c r="J2516" s="81" t="s">
        <v>224</v>
      </c>
    </row>
    <row r="2517" hidden="1">
      <c r="A2517" s="83" t="s">
        <v>6317</v>
      </c>
      <c r="B2517" s="83" t="s">
        <v>6318</v>
      </c>
      <c r="C2517" s="81" t="s">
        <v>4086</v>
      </c>
      <c r="D2517" s="83" t="s">
        <v>4501</v>
      </c>
      <c r="E2517" s="81" t="s">
        <v>2329</v>
      </c>
      <c r="F2517" s="84">
        <v>451.0</v>
      </c>
      <c r="G2517" s="81" t="s">
        <v>39</v>
      </c>
      <c r="H2517" s="81" t="s">
        <v>5822</v>
      </c>
      <c r="I2517" s="81" t="s">
        <v>2332</v>
      </c>
      <c r="J2517" s="81" t="s">
        <v>224</v>
      </c>
    </row>
    <row r="2518" hidden="1">
      <c r="A2518" s="83" t="s">
        <v>6317</v>
      </c>
      <c r="B2518" s="83" t="s">
        <v>6318</v>
      </c>
      <c r="C2518" s="81" t="s">
        <v>5141</v>
      </c>
      <c r="D2518" s="83" t="s">
        <v>4501</v>
      </c>
      <c r="E2518" s="81" t="s">
        <v>2329</v>
      </c>
      <c r="F2518" s="84">
        <v>451.0</v>
      </c>
      <c r="G2518" s="81" t="s">
        <v>40</v>
      </c>
      <c r="H2518" s="81" t="s">
        <v>5823</v>
      </c>
      <c r="I2518" s="81" t="s">
        <v>224</v>
      </c>
      <c r="J2518" s="81" t="s">
        <v>5143</v>
      </c>
    </row>
    <row r="2519" hidden="1">
      <c r="A2519" s="83" t="s">
        <v>6317</v>
      </c>
      <c r="B2519" s="83" t="s">
        <v>6318</v>
      </c>
      <c r="C2519" s="81" t="s">
        <v>4086</v>
      </c>
      <c r="D2519" s="83" t="s">
        <v>4503</v>
      </c>
      <c r="E2519" s="81" t="s">
        <v>2334</v>
      </c>
      <c r="F2519" s="84">
        <v>452.0</v>
      </c>
      <c r="G2519" s="81" t="s">
        <v>39</v>
      </c>
      <c r="H2519" s="81" t="s">
        <v>5824</v>
      </c>
      <c r="I2519" s="81" t="s">
        <v>6325</v>
      </c>
      <c r="J2519" s="81" t="s">
        <v>224</v>
      </c>
    </row>
    <row r="2520" hidden="1">
      <c r="A2520" s="83" t="s">
        <v>6317</v>
      </c>
      <c r="B2520" s="83" t="s">
        <v>6318</v>
      </c>
      <c r="C2520" s="81" t="s">
        <v>4086</v>
      </c>
      <c r="D2520" s="83" t="s">
        <v>4503</v>
      </c>
      <c r="E2520" s="81" t="s">
        <v>2334</v>
      </c>
      <c r="F2520" s="84">
        <v>452.0</v>
      </c>
      <c r="G2520" s="81" t="s">
        <v>40</v>
      </c>
      <c r="H2520" s="81" t="s">
        <v>5825</v>
      </c>
      <c r="I2520" s="81" t="s">
        <v>6326</v>
      </c>
      <c r="J2520" s="81" t="s">
        <v>224</v>
      </c>
    </row>
    <row r="2521" hidden="1">
      <c r="A2521" s="83" t="s">
        <v>6317</v>
      </c>
      <c r="B2521" s="83" t="s">
        <v>6318</v>
      </c>
      <c r="C2521" s="81" t="s">
        <v>4086</v>
      </c>
      <c r="D2521" s="83" t="s">
        <v>4504</v>
      </c>
      <c r="E2521" s="81" t="s">
        <v>2335</v>
      </c>
      <c r="F2521" s="84">
        <v>453.0</v>
      </c>
      <c r="G2521" s="81" t="s">
        <v>39</v>
      </c>
      <c r="H2521" s="81" t="s">
        <v>5826</v>
      </c>
      <c r="I2521" s="81" t="s">
        <v>6325</v>
      </c>
      <c r="J2521" s="81" t="s">
        <v>224</v>
      </c>
    </row>
    <row r="2522" hidden="1">
      <c r="A2522" s="83" t="s">
        <v>6317</v>
      </c>
      <c r="B2522" s="83" t="s">
        <v>6318</v>
      </c>
      <c r="C2522" s="81" t="s">
        <v>4086</v>
      </c>
      <c r="D2522" s="83" t="s">
        <v>4504</v>
      </c>
      <c r="E2522" s="81" t="s">
        <v>2335</v>
      </c>
      <c r="F2522" s="84">
        <v>453.0</v>
      </c>
      <c r="G2522" s="81" t="s">
        <v>40</v>
      </c>
      <c r="H2522" s="81" t="s">
        <v>5827</v>
      </c>
      <c r="I2522" s="81" t="s">
        <v>6326</v>
      </c>
      <c r="J2522" s="81" t="s">
        <v>224</v>
      </c>
    </row>
    <row r="2523" hidden="1">
      <c r="A2523" s="83" t="s">
        <v>6317</v>
      </c>
      <c r="B2523" s="83" t="s">
        <v>6318</v>
      </c>
      <c r="C2523" s="81" t="s">
        <v>4086</v>
      </c>
      <c r="D2523" s="83" t="s">
        <v>4505</v>
      </c>
      <c r="E2523" s="81" t="s">
        <v>2337</v>
      </c>
      <c r="F2523" s="84">
        <v>454.0</v>
      </c>
      <c r="G2523" s="81" t="s">
        <v>39</v>
      </c>
      <c r="H2523" s="81" t="s">
        <v>5828</v>
      </c>
      <c r="I2523" s="81" t="s">
        <v>6325</v>
      </c>
      <c r="J2523" s="81" t="s">
        <v>224</v>
      </c>
    </row>
    <row r="2524" hidden="1">
      <c r="A2524" s="83" t="s">
        <v>6317</v>
      </c>
      <c r="B2524" s="83" t="s">
        <v>6318</v>
      </c>
      <c r="C2524" s="81" t="s">
        <v>4086</v>
      </c>
      <c r="D2524" s="83" t="s">
        <v>4505</v>
      </c>
      <c r="E2524" s="81" t="s">
        <v>2337</v>
      </c>
      <c r="F2524" s="84">
        <v>454.0</v>
      </c>
      <c r="G2524" s="81" t="s">
        <v>40</v>
      </c>
      <c r="H2524" s="81" t="s">
        <v>5829</v>
      </c>
      <c r="I2524" s="81" t="s">
        <v>6326</v>
      </c>
      <c r="J2524" s="81" t="s">
        <v>224</v>
      </c>
    </row>
    <row r="2525" hidden="1">
      <c r="A2525" s="83" t="s">
        <v>6317</v>
      </c>
      <c r="B2525" s="83" t="s">
        <v>6318</v>
      </c>
      <c r="C2525" s="81" t="s">
        <v>4086</v>
      </c>
      <c r="D2525" s="83" t="s">
        <v>4506</v>
      </c>
      <c r="E2525" s="81" t="s">
        <v>2338</v>
      </c>
      <c r="F2525" s="84">
        <v>455.0</v>
      </c>
      <c r="G2525" s="81" t="s">
        <v>40</v>
      </c>
      <c r="H2525" s="81" t="s">
        <v>5830</v>
      </c>
      <c r="I2525" s="81" t="s">
        <v>5831</v>
      </c>
      <c r="J2525" s="81" t="s">
        <v>224</v>
      </c>
    </row>
    <row r="2526" hidden="1">
      <c r="A2526" s="83" t="s">
        <v>6317</v>
      </c>
      <c r="B2526" s="83" t="s">
        <v>6318</v>
      </c>
      <c r="C2526" s="81" t="s">
        <v>4086</v>
      </c>
      <c r="D2526" s="83" t="s">
        <v>4507</v>
      </c>
      <c r="E2526" s="81" t="s">
        <v>2349</v>
      </c>
      <c r="F2526" s="84">
        <v>456.0</v>
      </c>
      <c r="G2526" s="81" t="s">
        <v>39</v>
      </c>
      <c r="H2526" s="81" t="s">
        <v>5832</v>
      </c>
      <c r="I2526" s="81" t="s">
        <v>1927</v>
      </c>
      <c r="J2526" s="81" t="s">
        <v>224</v>
      </c>
    </row>
    <row r="2527" hidden="1">
      <c r="A2527" s="83" t="s">
        <v>6317</v>
      </c>
      <c r="B2527" s="83" t="s">
        <v>6318</v>
      </c>
      <c r="C2527" s="81" t="s">
        <v>4086</v>
      </c>
      <c r="D2527" s="83" t="s">
        <v>4507</v>
      </c>
      <c r="E2527" s="81" t="s">
        <v>2349</v>
      </c>
      <c r="F2527" s="84">
        <v>456.0</v>
      </c>
      <c r="G2527" s="81" t="s">
        <v>40</v>
      </c>
      <c r="H2527" s="81" t="s">
        <v>5833</v>
      </c>
      <c r="I2527" s="81" t="s">
        <v>1928</v>
      </c>
      <c r="J2527" s="81" t="s">
        <v>224</v>
      </c>
    </row>
    <row r="2528" hidden="1">
      <c r="A2528" s="83" t="s">
        <v>6317</v>
      </c>
      <c r="B2528" s="83" t="s">
        <v>6318</v>
      </c>
      <c r="C2528" s="81" t="s">
        <v>4086</v>
      </c>
      <c r="D2528" s="83" t="s">
        <v>4508</v>
      </c>
      <c r="E2528" s="81" t="s">
        <v>2352</v>
      </c>
      <c r="F2528" s="84">
        <v>457.0</v>
      </c>
      <c r="G2528" s="81" t="s">
        <v>39</v>
      </c>
      <c r="H2528" s="81" t="s">
        <v>5834</v>
      </c>
      <c r="I2528" s="81" t="s">
        <v>1942</v>
      </c>
      <c r="J2528" s="81" t="s">
        <v>224</v>
      </c>
    </row>
    <row r="2529" hidden="1">
      <c r="A2529" s="83" t="s">
        <v>6317</v>
      </c>
      <c r="B2529" s="83" t="s">
        <v>6318</v>
      </c>
      <c r="C2529" s="81" t="s">
        <v>4086</v>
      </c>
      <c r="D2529" s="83" t="s">
        <v>4508</v>
      </c>
      <c r="E2529" s="81" t="s">
        <v>2352</v>
      </c>
      <c r="F2529" s="84">
        <v>457.0</v>
      </c>
      <c r="G2529" s="81" t="s">
        <v>40</v>
      </c>
      <c r="H2529" s="81" t="s">
        <v>5835</v>
      </c>
      <c r="I2529" s="81" t="s">
        <v>1943</v>
      </c>
      <c r="J2529" s="81" t="s">
        <v>224</v>
      </c>
    </row>
    <row r="2530" hidden="1">
      <c r="A2530" s="83" t="s">
        <v>6317</v>
      </c>
      <c r="B2530" s="83" t="s">
        <v>6318</v>
      </c>
      <c r="C2530" s="81" t="s">
        <v>4086</v>
      </c>
      <c r="D2530" s="83" t="s">
        <v>4509</v>
      </c>
      <c r="E2530" s="81" t="s">
        <v>2355</v>
      </c>
      <c r="F2530" s="84">
        <v>458.0</v>
      </c>
      <c r="G2530" s="81" t="s">
        <v>39</v>
      </c>
      <c r="H2530" s="81" t="s">
        <v>5836</v>
      </c>
      <c r="I2530" s="81" t="s">
        <v>1956</v>
      </c>
      <c r="J2530" s="81" t="s">
        <v>224</v>
      </c>
    </row>
    <row r="2531" hidden="1">
      <c r="A2531" s="83" t="s">
        <v>6317</v>
      </c>
      <c r="B2531" s="83" t="s">
        <v>6318</v>
      </c>
      <c r="C2531" s="81" t="s">
        <v>4086</v>
      </c>
      <c r="D2531" s="83" t="s">
        <v>4509</v>
      </c>
      <c r="E2531" s="81" t="s">
        <v>2355</v>
      </c>
      <c r="F2531" s="84">
        <v>458.0</v>
      </c>
      <c r="G2531" s="81" t="s">
        <v>40</v>
      </c>
      <c r="H2531" s="81" t="s">
        <v>5837</v>
      </c>
      <c r="I2531" s="81" t="s">
        <v>1957</v>
      </c>
      <c r="J2531" s="81" t="s">
        <v>224</v>
      </c>
    </row>
    <row r="2532" hidden="1">
      <c r="A2532" s="83" t="s">
        <v>6317</v>
      </c>
      <c r="B2532" s="83" t="s">
        <v>6318</v>
      </c>
      <c r="C2532" s="81" t="s">
        <v>4086</v>
      </c>
      <c r="D2532" s="83" t="s">
        <v>4510</v>
      </c>
      <c r="E2532" s="81" t="s">
        <v>2357</v>
      </c>
      <c r="F2532" s="84">
        <v>459.0</v>
      </c>
      <c r="G2532" s="81" t="s">
        <v>39</v>
      </c>
      <c r="H2532" s="81" t="s">
        <v>5838</v>
      </c>
      <c r="I2532" s="81" t="s">
        <v>1968</v>
      </c>
      <c r="J2532" s="81" t="s">
        <v>224</v>
      </c>
    </row>
    <row r="2533" hidden="1">
      <c r="A2533" s="83" t="s">
        <v>6317</v>
      </c>
      <c r="B2533" s="83" t="s">
        <v>6318</v>
      </c>
      <c r="C2533" s="81" t="s">
        <v>4086</v>
      </c>
      <c r="D2533" s="83" t="s">
        <v>4510</v>
      </c>
      <c r="E2533" s="81" t="s">
        <v>2357</v>
      </c>
      <c r="F2533" s="84">
        <v>459.0</v>
      </c>
      <c r="G2533" s="81" t="s">
        <v>40</v>
      </c>
      <c r="H2533" s="81" t="s">
        <v>5839</v>
      </c>
      <c r="I2533" s="81" t="s">
        <v>6327</v>
      </c>
      <c r="J2533" s="81" t="s">
        <v>224</v>
      </c>
    </row>
    <row r="2534" hidden="1">
      <c r="A2534" s="83" t="s">
        <v>6317</v>
      </c>
      <c r="B2534" s="83" t="s">
        <v>6318</v>
      </c>
      <c r="C2534" s="81" t="s">
        <v>4086</v>
      </c>
      <c r="D2534" s="83" t="s">
        <v>4511</v>
      </c>
      <c r="E2534" s="81" t="s">
        <v>2359</v>
      </c>
      <c r="F2534" s="84">
        <v>460.0</v>
      </c>
      <c r="G2534" s="81" t="s">
        <v>39</v>
      </c>
      <c r="H2534" s="81" t="s">
        <v>5840</v>
      </c>
      <c r="I2534" s="81" t="s">
        <v>2362</v>
      </c>
      <c r="J2534" s="81" t="s">
        <v>224</v>
      </c>
    </row>
    <row r="2535" hidden="1">
      <c r="A2535" s="83" t="s">
        <v>6317</v>
      </c>
      <c r="B2535" s="83" t="s">
        <v>6318</v>
      </c>
      <c r="C2535" s="81" t="s">
        <v>5141</v>
      </c>
      <c r="D2535" s="83" t="s">
        <v>4511</v>
      </c>
      <c r="E2535" s="81" t="s">
        <v>2359</v>
      </c>
      <c r="F2535" s="84">
        <v>460.0</v>
      </c>
      <c r="G2535" s="81" t="s">
        <v>40</v>
      </c>
      <c r="H2535" s="81" t="s">
        <v>5841</v>
      </c>
      <c r="I2535" s="81" t="s">
        <v>224</v>
      </c>
      <c r="J2535" s="81" t="s">
        <v>5143</v>
      </c>
    </row>
    <row r="2536" hidden="1">
      <c r="A2536" s="83" t="s">
        <v>6317</v>
      </c>
      <c r="B2536" s="83" t="s">
        <v>6318</v>
      </c>
      <c r="C2536" s="81" t="s">
        <v>4086</v>
      </c>
      <c r="D2536" s="83" t="s">
        <v>4512</v>
      </c>
      <c r="E2536" s="81" t="s">
        <v>2363</v>
      </c>
      <c r="F2536" s="84">
        <v>461.0</v>
      </c>
      <c r="G2536" s="81" t="s">
        <v>39</v>
      </c>
      <c r="H2536" s="81" t="s">
        <v>5842</v>
      </c>
      <c r="I2536" s="81" t="s">
        <v>2365</v>
      </c>
      <c r="J2536" s="81" t="s">
        <v>224</v>
      </c>
    </row>
    <row r="2537" hidden="1">
      <c r="A2537" s="83" t="s">
        <v>6317</v>
      </c>
      <c r="B2537" s="83" t="s">
        <v>6318</v>
      </c>
      <c r="C2537" s="81" t="s">
        <v>5141</v>
      </c>
      <c r="D2537" s="83" t="s">
        <v>4512</v>
      </c>
      <c r="E2537" s="81" t="s">
        <v>2363</v>
      </c>
      <c r="F2537" s="84">
        <v>461.0</v>
      </c>
      <c r="G2537" s="81" t="s">
        <v>40</v>
      </c>
      <c r="H2537" s="81" t="s">
        <v>5843</v>
      </c>
      <c r="I2537" s="81" t="s">
        <v>224</v>
      </c>
      <c r="J2537" s="81" t="s">
        <v>5143</v>
      </c>
    </row>
    <row r="2538" hidden="1">
      <c r="A2538" s="83" t="s">
        <v>6317</v>
      </c>
      <c r="B2538" s="83" t="s">
        <v>6318</v>
      </c>
      <c r="C2538" s="81" t="s">
        <v>5141</v>
      </c>
      <c r="D2538" s="83" t="s">
        <v>4516</v>
      </c>
      <c r="E2538" s="81" t="s">
        <v>2377</v>
      </c>
      <c r="F2538" s="84">
        <v>464.0</v>
      </c>
      <c r="G2538" s="81" t="s">
        <v>40</v>
      </c>
      <c r="H2538" s="81" t="s">
        <v>49</v>
      </c>
      <c r="I2538" s="81" t="s">
        <v>224</v>
      </c>
      <c r="J2538" s="81" t="s">
        <v>5143</v>
      </c>
    </row>
    <row r="2539" hidden="1">
      <c r="A2539" s="83" t="s">
        <v>6317</v>
      </c>
      <c r="B2539" s="83" t="s">
        <v>6318</v>
      </c>
      <c r="C2539" s="81" t="s">
        <v>4086</v>
      </c>
      <c r="D2539" s="83" t="s">
        <v>4517</v>
      </c>
      <c r="E2539" s="81" t="s">
        <v>2380</v>
      </c>
      <c r="F2539" s="84">
        <v>465.0</v>
      </c>
      <c r="G2539" s="81" t="s">
        <v>39</v>
      </c>
      <c r="H2539" s="81" t="s">
        <v>5844</v>
      </c>
      <c r="I2539" s="81" t="s">
        <v>2385</v>
      </c>
      <c r="J2539" s="81" t="s">
        <v>224</v>
      </c>
    </row>
    <row r="2540" hidden="1">
      <c r="A2540" s="83" t="s">
        <v>6317</v>
      </c>
      <c r="B2540" s="83" t="s">
        <v>6318</v>
      </c>
      <c r="C2540" s="81" t="s">
        <v>4086</v>
      </c>
      <c r="D2540" s="83" t="s">
        <v>4517</v>
      </c>
      <c r="E2540" s="81" t="s">
        <v>2380</v>
      </c>
      <c r="F2540" s="84">
        <v>465.0</v>
      </c>
      <c r="G2540" s="81" t="s">
        <v>40</v>
      </c>
      <c r="H2540" s="81" t="s">
        <v>5845</v>
      </c>
      <c r="I2540" s="81" t="s">
        <v>5846</v>
      </c>
      <c r="J2540" s="81" t="s">
        <v>224</v>
      </c>
    </row>
    <row r="2541" hidden="1">
      <c r="A2541" s="83" t="s">
        <v>6317</v>
      </c>
      <c r="B2541" s="83" t="s">
        <v>6318</v>
      </c>
      <c r="C2541" s="81" t="s">
        <v>4086</v>
      </c>
      <c r="D2541" s="83" t="s">
        <v>4517</v>
      </c>
      <c r="E2541" s="81" t="s">
        <v>2391</v>
      </c>
      <c r="F2541" s="84">
        <v>466.0</v>
      </c>
      <c r="G2541" s="81" t="s">
        <v>39</v>
      </c>
      <c r="H2541" s="81" t="s">
        <v>5844</v>
      </c>
      <c r="I2541" s="81" t="s">
        <v>2385</v>
      </c>
      <c r="J2541" s="81" t="s">
        <v>224</v>
      </c>
    </row>
    <row r="2542" hidden="1">
      <c r="A2542" s="83" t="s">
        <v>6317</v>
      </c>
      <c r="B2542" s="83" t="s">
        <v>6318</v>
      </c>
      <c r="C2542" s="81" t="s">
        <v>4086</v>
      </c>
      <c r="D2542" s="83" t="s">
        <v>4517</v>
      </c>
      <c r="E2542" s="81" t="s">
        <v>2391</v>
      </c>
      <c r="F2542" s="84">
        <v>466.0</v>
      </c>
      <c r="G2542" s="81" t="s">
        <v>40</v>
      </c>
      <c r="H2542" s="81" t="s">
        <v>5845</v>
      </c>
      <c r="I2542" s="81" t="s">
        <v>5846</v>
      </c>
      <c r="J2542" s="81" t="s">
        <v>224</v>
      </c>
    </row>
    <row r="2543" hidden="1">
      <c r="A2543" s="83" t="s">
        <v>6317</v>
      </c>
      <c r="B2543" s="83" t="s">
        <v>6318</v>
      </c>
      <c r="C2543" s="81" t="s">
        <v>4086</v>
      </c>
      <c r="D2543" s="83" t="s">
        <v>4518</v>
      </c>
      <c r="E2543" s="81" t="s">
        <v>2393</v>
      </c>
      <c r="F2543" s="84">
        <v>467.0</v>
      </c>
      <c r="G2543" s="81" t="s">
        <v>39</v>
      </c>
      <c r="H2543" s="81" t="s">
        <v>5844</v>
      </c>
      <c r="I2543" s="81" t="s">
        <v>2398</v>
      </c>
      <c r="J2543" s="81" t="s">
        <v>224</v>
      </c>
    </row>
    <row r="2544" hidden="1">
      <c r="A2544" s="83" t="s">
        <v>6317</v>
      </c>
      <c r="B2544" s="83" t="s">
        <v>6318</v>
      </c>
      <c r="C2544" s="81" t="s">
        <v>5141</v>
      </c>
      <c r="D2544" s="83" t="s">
        <v>4518</v>
      </c>
      <c r="E2544" s="81" t="s">
        <v>2393</v>
      </c>
      <c r="F2544" s="84">
        <v>467.0</v>
      </c>
      <c r="G2544" s="81" t="s">
        <v>40</v>
      </c>
      <c r="H2544" s="81" t="s">
        <v>5845</v>
      </c>
      <c r="I2544" s="81" t="s">
        <v>224</v>
      </c>
      <c r="J2544" s="81" t="s">
        <v>5143</v>
      </c>
    </row>
    <row r="2545" hidden="1">
      <c r="A2545" s="83" t="s">
        <v>6317</v>
      </c>
      <c r="B2545" s="83" t="s">
        <v>6318</v>
      </c>
      <c r="C2545" s="81" t="s">
        <v>4086</v>
      </c>
      <c r="D2545" s="83" t="s">
        <v>4519</v>
      </c>
      <c r="E2545" s="81" t="s">
        <v>2402</v>
      </c>
      <c r="F2545" s="84">
        <v>468.0</v>
      </c>
      <c r="G2545" s="81" t="s">
        <v>39</v>
      </c>
      <c r="H2545" s="81" t="s">
        <v>5844</v>
      </c>
      <c r="I2545" s="81" t="s">
        <v>2405</v>
      </c>
      <c r="J2545" s="81" t="s">
        <v>224</v>
      </c>
    </row>
    <row r="2546" hidden="1">
      <c r="A2546" s="83" t="s">
        <v>6317</v>
      </c>
      <c r="B2546" s="83" t="s">
        <v>6318</v>
      </c>
      <c r="C2546" s="81" t="s">
        <v>5141</v>
      </c>
      <c r="D2546" s="83" t="s">
        <v>4519</v>
      </c>
      <c r="E2546" s="81" t="s">
        <v>2402</v>
      </c>
      <c r="F2546" s="84">
        <v>468.0</v>
      </c>
      <c r="G2546" s="81" t="s">
        <v>40</v>
      </c>
      <c r="H2546" s="81" t="s">
        <v>5845</v>
      </c>
      <c r="I2546" s="81" t="s">
        <v>224</v>
      </c>
      <c r="J2546" s="81" t="s">
        <v>5143</v>
      </c>
    </row>
    <row r="2547" hidden="1">
      <c r="A2547" s="83" t="s">
        <v>6317</v>
      </c>
      <c r="B2547" s="83" t="s">
        <v>6318</v>
      </c>
      <c r="C2547" s="81" t="s">
        <v>4086</v>
      </c>
      <c r="D2547" s="83" t="s">
        <v>4520</v>
      </c>
      <c r="E2547" s="81" t="s">
        <v>2409</v>
      </c>
      <c r="F2547" s="84">
        <v>469.0</v>
      </c>
      <c r="G2547" s="81" t="s">
        <v>39</v>
      </c>
      <c r="H2547" s="81" t="s">
        <v>5847</v>
      </c>
      <c r="I2547" s="81" t="s">
        <v>2412</v>
      </c>
      <c r="J2547" s="81" t="s">
        <v>224</v>
      </c>
    </row>
    <row r="2548" hidden="1">
      <c r="A2548" s="83" t="s">
        <v>6317</v>
      </c>
      <c r="B2548" s="83" t="s">
        <v>6318</v>
      </c>
      <c r="C2548" s="81" t="s">
        <v>4086</v>
      </c>
      <c r="D2548" s="83" t="s">
        <v>4520</v>
      </c>
      <c r="E2548" s="81" t="s">
        <v>2409</v>
      </c>
      <c r="F2548" s="84">
        <v>469.0</v>
      </c>
      <c r="G2548" s="81" t="s">
        <v>40</v>
      </c>
      <c r="H2548" s="81" t="s">
        <v>5848</v>
      </c>
      <c r="I2548" s="81" t="s">
        <v>2413</v>
      </c>
      <c r="J2548" s="81" t="s">
        <v>224</v>
      </c>
    </row>
    <row r="2549" hidden="1">
      <c r="A2549" s="83" t="s">
        <v>6317</v>
      </c>
      <c r="B2549" s="83" t="s">
        <v>6318</v>
      </c>
      <c r="C2549" s="81" t="s">
        <v>4086</v>
      </c>
      <c r="D2549" s="83" t="s">
        <v>4520</v>
      </c>
      <c r="E2549" s="81" t="s">
        <v>2414</v>
      </c>
      <c r="F2549" s="84">
        <v>470.0</v>
      </c>
      <c r="G2549" s="81" t="s">
        <v>39</v>
      </c>
      <c r="H2549" s="81" t="s">
        <v>5847</v>
      </c>
      <c r="I2549" s="81" t="s">
        <v>2412</v>
      </c>
      <c r="J2549" s="81" t="s">
        <v>224</v>
      </c>
    </row>
    <row r="2550" hidden="1">
      <c r="A2550" s="83" t="s">
        <v>6317</v>
      </c>
      <c r="B2550" s="83" t="s">
        <v>6318</v>
      </c>
      <c r="C2550" s="81" t="s">
        <v>4086</v>
      </c>
      <c r="D2550" s="83" t="s">
        <v>4520</v>
      </c>
      <c r="E2550" s="81" t="s">
        <v>2414</v>
      </c>
      <c r="F2550" s="84">
        <v>470.0</v>
      </c>
      <c r="G2550" s="81" t="s">
        <v>40</v>
      </c>
      <c r="H2550" s="81" t="s">
        <v>5848</v>
      </c>
      <c r="I2550" s="81" t="s">
        <v>2413</v>
      </c>
      <c r="J2550" s="81" t="s">
        <v>224</v>
      </c>
    </row>
    <row r="2551" hidden="1">
      <c r="A2551" s="83" t="s">
        <v>6317</v>
      </c>
      <c r="B2551" s="83" t="s">
        <v>6318</v>
      </c>
      <c r="C2551" s="81" t="s">
        <v>4086</v>
      </c>
      <c r="D2551" s="83" t="s">
        <v>4523</v>
      </c>
      <c r="E2551" s="81" t="s">
        <v>2416</v>
      </c>
      <c r="F2551" s="84">
        <v>471.0</v>
      </c>
      <c r="G2551" s="81" t="s">
        <v>39</v>
      </c>
      <c r="H2551" s="81" t="s">
        <v>5849</v>
      </c>
      <c r="I2551" s="81" t="s">
        <v>2417</v>
      </c>
      <c r="J2551" s="81" t="s">
        <v>224</v>
      </c>
    </row>
    <row r="2552" hidden="1">
      <c r="A2552" s="83" t="s">
        <v>6317</v>
      </c>
      <c r="B2552" s="83" t="s">
        <v>6318</v>
      </c>
      <c r="C2552" s="81" t="s">
        <v>4086</v>
      </c>
      <c r="D2552" s="83" t="s">
        <v>4523</v>
      </c>
      <c r="E2552" s="81" t="s">
        <v>2416</v>
      </c>
      <c r="F2552" s="84">
        <v>471.0</v>
      </c>
      <c r="G2552" s="81" t="s">
        <v>40</v>
      </c>
      <c r="H2552" s="81" t="s">
        <v>5850</v>
      </c>
      <c r="I2552" s="81" t="s">
        <v>2418</v>
      </c>
      <c r="J2552" s="81" t="s">
        <v>224</v>
      </c>
    </row>
    <row r="2553" hidden="1">
      <c r="A2553" s="83" t="s">
        <v>6317</v>
      </c>
      <c r="B2553" s="83" t="s">
        <v>6318</v>
      </c>
      <c r="C2553" s="81" t="s">
        <v>4086</v>
      </c>
      <c r="D2553" s="83" t="s">
        <v>4524</v>
      </c>
      <c r="E2553" s="81" t="s">
        <v>2419</v>
      </c>
      <c r="F2553" s="84">
        <v>472.0</v>
      </c>
      <c r="G2553" s="81" t="s">
        <v>39</v>
      </c>
      <c r="H2553" s="81" t="s">
        <v>5851</v>
      </c>
      <c r="I2553" s="81" t="s">
        <v>2433</v>
      </c>
      <c r="J2553" s="81" t="s">
        <v>224</v>
      </c>
    </row>
    <row r="2554" hidden="1">
      <c r="A2554" s="83" t="s">
        <v>6317</v>
      </c>
      <c r="B2554" s="83" t="s">
        <v>6318</v>
      </c>
      <c r="C2554" s="81" t="s">
        <v>4086</v>
      </c>
      <c r="D2554" s="83" t="s">
        <v>4524</v>
      </c>
      <c r="E2554" s="81" t="s">
        <v>2419</v>
      </c>
      <c r="F2554" s="84">
        <v>472.0</v>
      </c>
      <c r="G2554" s="81" t="s">
        <v>40</v>
      </c>
      <c r="H2554" s="81" t="s">
        <v>5852</v>
      </c>
      <c r="I2554" s="81" t="s">
        <v>2434</v>
      </c>
      <c r="J2554" s="81" t="s">
        <v>224</v>
      </c>
    </row>
    <row r="2555" hidden="1">
      <c r="A2555" s="83" t="s">
        <v>6317</v>
      </c>
      <c r="B2555" s="83" t="s">
        <v>6318</v>
      </c>
      <c r="C2555" s="81" t="s">
        <v>4086</v>
      </c>
      <c r="D2555" s="83" t="s">
        <v>4524</v>
      </c>
      <c r="E2555" s="81" t="s">
        <v>2440</v>
      </c>
      <c r="F2555" s="84">
        <v>473.0</v>
      </c>
      <c r="G2555" s="81" t="s">
        <v>39</v>
      </c>
      <c r="H2555" s="81" t="s">
        <v>5853</v>
      </c>
      <c r="I2555" s="81" t="s">
        <v>2433</v>
      </c>
      <c r="J2555" s="81" t="s">
        <v>224</v>
      </c>
    </row>
    <row r="2556" hidden="1">
      <c r="A2556" s="83" t="s">
        <v>6317</v>
      </c>
      <c r="B2556" s="83" t="s">
        <v>6318</v>
      </c>
      <c r="C2556" s="81" t="s">
        <v>4086</v>
      </c>
      <c r="D2556" s="83" t="s">
        <v>4524</v>
      </c>
      <c r="E2556" s="81" t="s">
        <v>2440</v>
      </c>
      <c r="F2556" s="84">
        <v>473.0</v>
      </c>
      <c r="G2556" s="81" t="s">
        <v>40</v>
      </c>
      <c r="H2556" s="81" t="s">
        <v>5854</v>
      </c>
      <c r="I2556" s="81" t="s">
        <v>2434</v>
      </c>
      <c r="J2556" s="81" t="s">
        <v>224</v>
      </c>
    </row>
    <row r="2557" hidden="1">
      <c r="A2557" s="83" t="s">
        <v>6317</v>
      </c>
      <c r="B2557" s="83" t="s">
        <v>6318</v>
      </c>
      <c r="C2557" s="81" t="s">
        <v>4086</v>
      </c>
      <c r="D2557" s="83" t="s">
        <v>4527</v>
      </c>
      <c r="E2557" s="81" t="s">
        <v>2444</v>
      </c>
      <c r="F2557" s="84">
        <v>474.0</v>
      </c>
      <c r="G2557" s="81" t="s">
        <v>39</v>
      </c>
      <c r="H2557" s="81" t="s">
        <v>5855</v>
      </c>
      <c r="I2557" s="81" t="s">
        <v>2450</v>
      </c>
      <c r="J2557" s="81" t="s">
        <v>224</v>
      </c>
    </row>
    <row r="2558" hidden="1">
      <c r="A2558" s="83" t="s">
        <v>6317</v>
      </c>
      <c r="B2558" s="83" t="s">
        <v>6318</v>
      </c>
      <c r="C2558" s="81" t="s">
        <v>4086</v>
      </c>
      <c r="D2558" s="83" t="s">
        <v>4527</v>
      </c>
      <c r="E2558" s="81" t="s">
        <v>2444</v>
      </c>
      <c r="F2558" s="84">
        <v>474.0</v>
      </c>
      <c r="G2558" s="81" t="s">
        <v>40</v>
      </c>
      <c r="H2558" s="81" t="s">
        <v>5856</v>
      </c>
      <c r="I2558" s="81" t="s">
        <v>2451</v>
      </c>
      <c r="J2558" s="81" t="s">
        <v>224</v>
      </c>
    </row>
    <row r="2559" hidden="1">
      <c r="A2559" s="83" t="s">
        <v>6317</v>
      </c>
      <c r="B2559" s="83" t="s">
        <v>6318</v>
      </c>
      <c r="C2559" s="81" t="s">
        <v>4086</v>
      </c>
      <c r="D2559" s="83" t="s">
        <v>4529</v>
      </c>
      <c r="E2559" s="81" t="s">
        <v>2456</v>
      </c>
      <c r="F2559" s="84">
        <v>475.0</v>
      </c>
      <c r="G2559" s="81" t="s">
        <v>39</v>
      </c>
      <c r="H2559" s="81" t="s">
        <v>5857</v>
      </c>
      <c r="I2559" s="81" t="s">
        <v>2467</v>
      </c>
      <c r="J2559" s="81" t="s">
        <v>224</v>
      </c>
    </row>
    <row r="2560" hidden="1">
      <c r="A2560" s="83" t="s">
        <v>6317</v>
      </c>
      <c r="B2560" s="83" t="s">
        <v>6318</v>
      </c>
      <c r="C2560" s="81" t="s">
        <v>4086</v>
      </c>
      <c r="D2560" s="83" t="s">
        <v>4529</v>
      </c>
      <c r="E2560" s="81" t="s">
        <v>2456</v>
      </c>
      <c r="F2560" s="84">
        <v>475.0</v>
      </c>
      <c r="G2560" s="81" t="s">
        <v>40</v>
      </c>
      <c r="H2560" s="81" t="s">
        <v>5858</v>
      </c>
      <c r="I2560" s="81" t="s">
        <v>2468</v>
      </c>
      <c r="J2560" s="81" t="s">
        <v>224</v>
      </c>
    </row>
    <row r="2561" hidden="1">
      <c r="A2561" s="83" t="s">
        <v>6317</v>
      </c>
      <c r="B2561" s="83" t="s">
        <v>6318</v>
      </c>
      <c r="C2561" s="81" t="s">
        <v>4086</v>
      </c>
      <c r="D2561" s="83" t="s">
        <v>4529</v>
      </c>
      <c r="E2561" s="81" t="s">
        <v>2474</v>
      </c>
      <c r="F2561" s="84">
        <v>476.0</v>
      </c>
      <c r="G2561" s="81" t="s">
        <v>39</v>
      </c>
      <c r="H2561" s="81" t="s">
        <v>5857</v>
      </c>
      <c r="I2561" s="81" t="s">
        <v>2467</v>
      </c>
      <c r="J2561" s="81" t="s">
        <v>224</v>
      </c>
    </row>
    <row r="2562" hidden="1">
      <c r="A2562" s="83" t="s">
        <v>6317</v>
      </c>
      <c r="B2562" s="83" t="s">
        <v>6318</v>
      </c>
      <c r="C2562" s="81" t="s">
        <v>4086</v>
      </c>
      <c r="D2562" s="83" t="s">
        <v>4529</v>
      </c>
      <c r="E2562" s="81" t="s">
        <v>2474</v>
      </c>
      <c r="F2562" s="84">
        <v>476.0</v>
      </c>
      <c r="G2562" s="81" t="s">
        <v>40</v>
      </c>
      <c r="H2562" s="81" t="s">
        <v>5858</v>
      </c>
      <c r="I2562" s="81" t="s">
        <v>2468</v>
      </c>
      <c r="J2562" s="81" t="s">
        <v>224</v>
      </c>
    </row>
    <row r="2563" hidden="1">
      <c r="A2563" s="83" t="s">
        <v>6317</v>
      </c>
      <c r="B2563" s="83" t="s">
        <v>6318</v>
      </c>
      <c r="C2563" s="81" t="s">
        <v>4086</v>
      </c>
      <c r="D2563" s="83" t="s">
        <v>4530</v>
      </c>
      <c r="E2563" s="81" t="s">
        <v>2475</v>
      </c>
      <c r="F2563" s="84">
        <v>477.0</v>
      </c>
      <c r="G2563" s="81" t="s">
        <v>39</v>
      </c>
      <c r="H2563" s="81" t="s">
        <v>5859</v>
      </c>
      <c r="I2563" s="81" t="s">
        <v>2483</v>
      </c>
      <c r="J2563" s="81" t="s">
        <v>224</v>
      </c>
    </row>
    <row r="2564" hidden="1">
      <c r="A2564" s="83" t="s">
        <v>6317</v>
      </c>
      <c r="B2564" s="83" t="s">
        <v>6318</v>
      </c>
      <c r="C2564" s="81" t="s">
        <v>4086</v>
      </c>
      <c r="D2564" s="83" t="s">
        <v>4530</v>
      </c>
      <c r="E2564" s="81" t="s">
        <v>2475</v>
      </c>
      <c r="F2564" s="84">
        <v>477.0</v>
      </c>
      <c r="G2564" s="81" t="s">
        <v>40</v>
      </c>
      <c r="H2564" s="81" t="s">
        <v>5860</v>
      </c>
      <c r="I2564" s="81" t="s">
        <v>2484</v>
      </c>
      <c r="J2564" s="81" t="s">
        <v>224</v>
      </c>
    </row>
    <row r="2565" hidden="1">
      <c r="A2565" s="83" t="s">
        <v>6317</v>
      </c>
      <c r="B2565" s="83" t="s">
        <v>6318</v>
      </c>
      <c r="C2565" s="81" t="s">
        <v>4086</v>
      </c>
      <c r="D2565" s="83" t="s">
        <v>4531</v>
      </c>
      <c r="E2565" s="81" t="s">
        <v>2489</v>
      </c>
      <c r="F2565" s="84">
        <v>478.0</v>
      </c>
      <c r="G2565" s="81" t="s">
        <v>39</v>
      </c>
      <c r="H2565" s="81" t="s">
        <v>5861</v>
      </c>
      <c r="I2565" s="81" t="s">
        <v>2497</v>
      </c>
      <c r="J2565" s="81" t="s">
        <v>224</v>
      </c>
    </row>
    <row r="2566" hidden="1">
      <c r="A2566" s="83" t="s">
        <v>6317</v>
      </c>
      <c r="B2566" s="83" t="s">
        <v>6318</v>
      </c>
      <c r="C2566" s="81" t="s">
        <v>4086</v>
      </c>
      <c r="D2566" s="83" t="s">
        <v>4531</v>
      </c>
      <c r="E2566" s="81" t="s">
        <v>2489</v>
      </c>
      <c r="F2566" s="84">
        <v>478.0</v>
      </c>
      <c r="G2566" s="81" t="s">
        <v>40</v>
      </c>
      <c r="H2566" s="81" t="s">
        <v>5862</v>
      </c>
      <c r="I2566" s="81" t="s">
        <v>2498</v>
      </c>
      <c r="J2566" s="81" t="s">
        <v>224</v>
      </c>
    </row>
    <row r="2567" hidden="1">
      <c r="A2567" s="83" t="s">
        <v>6317</v>
      </c>
      <c r="B2567" s="83" t="s">
        <v>6318</v>
      </c>
      <c r="C2567" s="81" t="s">
        <v>4086</v>
      </c>
      <c r="D2567" s="83" t="s">
        <v>4532</v>
      </c>
      <c r="E2567" s="81" t="s">
        <v>2504</v>
      </c>
      <c r="F2567" s="84">
        <v>479.0</v>
      </c>
      <c r="G2567" s="81" t="s">
        <v>39</v>
      </c>
      <c r="H2567" s="81" t="s">
        <v>5863</v>
      </c>
      <c r="I2567" s="81" t="s">
        <v>2508</v>
      </c>
      <c r="J2567" s="81" t="s">
        <v>224</v>
      </c>
    </row>
    <row r="2568" hidden="1">
      <c r="A2568" s="83" t="s">
        <v>6317</v>
      </c>
      <c r="B2568" s="83" t="s">
        <v>6318</v>
      </c>
      <c r="C2568" s="81" t="s">
        <v>4086</v>
      </c>
      <c r="D2568" s="83" t="s">
        <v>4532</v>
      </c>
      <c r="E2568" s="81" t="s">
        <v>2504</v>
      </c>
      <c r="F2568" s="84">
        <v>479.0</v>
      </c>
      <c r="G2568" s="81" t="s">
        <v>40</v>
      </c>
      <c r="H2568" s="81" t="s">
        <v>5864</v>
      </c>
      <c r="I2568" s="81" t="s">
        <v>2509</v>
      </c>
      <c r="J2568" s="81" t="s">
        <v>224</v>
      </c>
    </row>
    <row r="2569" hidden="1">
      <c r="A2569" s="83" t="s">
        <v>6317</v>
      </c>
      <c r="B2569" s="83" t="s">
        <v>6318</v>
      </c>
      <c r="C2569" s="81" t="s">
        <v>4086</v>
      </c>
      <c r="D2569" s="83" t="s">
        <v>4532</v>
      </c>
      <c r="E2569" s="81" t="s">
        <v>2504</v>
      </c>
      <c r="F2569" s="84">
        <v>479.0</v>
      </c>
      <c r="G2569" s="81" t="s">
        <v>43</v>
      </c>
      <c r="H2569" s="81" t="s">
        <v>2512</v>
      </c>
      <c r="I2569" s="81" t="s">
        <v>5865</v>
      </c>
      <c r="J2569" s="81" t="s">
        <v>224</v>
      </c>
    </row>
    <row r="2570" hidden="1">
      <c r="A2570" s="83" t="s">
        <v>6317</v>
      </c>
      <c r="B2570" s="83" t="s">
        <v>6318</v>
      </c>
      <c r="C2570" s="81" t="s">
        <v>4086</v>
      </c>
      <c r="D2570" s="83" t="s">
        <v>4532</v>
      </c>
      <c r="E2570" s="81" t="s">
        <v>2515</v>
      </c>
      <c r="F2570" s="84">
        <v>480.0</v>
      </c>
      <c r="G2570" s="81" t="s">
        <v>39</v>
      </c>
      <c r="H2570" s="81" t="s">
        <v>5863</v>
      </c>
      <c r="I2570" s="81" t="s">
        <v>2508</v>
      </c>
      <c r="J2570" s="81" t="s">
        <v>224</v>
      </c>
    </row>
    <row r="2571" hidden="1">
      <c r="A2571" s="83" t="s">
        <v>6317</v>
      </c>
      <c r="B2571" s="83" t="s">
        <v>6318</v>
      </c>
      <c r="C2571" s="81" t="s">
        <v>4086</v>
      </c>
      <c r="D2571" s="83" t="s">
        <v>4532</v>
      </c>
      <c r="E2571" s="81" t="s">
        <v>2515</v>
      </c>
      <c r="F2571" s="84">
        <v>480.0</v>
      </c>
      <c r="G2571" s="81" t="s">
        <v>40</v>
      </c>
      <c r="H2571" s="81" t="s">
        <v>5864</v>
      </c>
      <c r="I2571" s="81" t="s">
        <v>2509</v>
      </c>
      <c r="J2571" s="81" t="s">
        <v>224</v>
      </c>
    </row>
    <row r="2572" hidden="1">
      <c r="A2572" s="83" t="s">
        <v>6317</v>
      </c>
      <c r="B2572" s="83" t="s">
        <v>6318</v>
      </c>
      <c r="C2572" s="81" t="s">
        <v>4086</v>
      </c>
      <c r="D2572" s="83" t="s">
        <v>4532</v>
      </c>
      <c r="E2572" s="81" t="s">
        <v>2515</v>
      </c>
      <c r="F2572" s="84">
        <v>480.0</v>
      </c>
      <c r="G2572" s="81" t="s">
        <v>43</v>
      </c>
      <c r="H2572" s="81" t="s">
        <v>2512</v>
      </c>
      <c r="I2572" s="81" t="s">
        <v>5865</v>
      </c>
      <c r="J2572" s="81" t="s">
        <v>224</v>
      </c>
    </row>
    <row r="2573" hidden="1">
      <c r="A2573" s="83" t="s">
        <v>6317</v>
      </c>
      <c r="B2573" s="83" t="s">
        <v>6318</v>
      </c>
      <c r="C2573" s="81" t="s">
        <v>4086</v>
      </c>
      <c r="D2573" s="83" t="s">
        <v>4534</v>
      </c>
      <c r="E2573" s="81" t="s">
        <v>2516</v>
      </c>
      <c r="F2573" s="84">
        <v>481.0</v>
      </c>
      <c r="G2573" s="81" t="s">
        <v>39</v>
      </c>
      <c r="H2573" s="81" t="s">
        <v>5866</v>
      </c>
      <c r="I2573" s="81" t="s">
        <v>2517</v>
      </c>
      <c r="J2573" s="81" t="s">
        <v>224</v>
      </c>
    </row>
    <row r="2574" hidden="1">
      <c r="A2574" s="83" t="s">
        <v>6317</v>
      </c>
      <c r="B2574" s="83" t="s">
        <v>6318</v>
      </c>
      <c r="C2574" s="81" t="s">
        <v>4086</v>
      </c>
      <c r="D2574" s="83" t="s">
        <v>4534</v>
      </c>
      <c r="E2574" s="81" t="s">
        <v>2516</v>
      </c>
      <c r="F2574" s="84">
        <v>481.0</v>
      </c>
      <c r="G2574" s="81" t="s">
        <v>40</v>
      </c>
      <c r="H2574" s="81" t="s">
        <v>5867</v>
      </c>
      <c r="I2574" s="81" t="s">
        <v>2518</v>
      </c>
      <c r="J2574" s="81" t="s">
        <v>224</v>
      </c>
    </row>
    <row r="2575" hidden="1">
      <c r="A2575" s="83" t="s">
        <v>6317</v>
      </c>
      <c r="B2575" s="83" t="s">
        <v>6318</v>
      </c>
      <c r="C2575" s="81" t="s">
        <v>5141</v>
      </c>
      <c r="D2575" s="83" t="s">
        <v>4534</v>
      </c>
      <c r="E2575" s="81" t="s">
        <v>2516</v>
      </c>
      <c r="F2575" s="84">
        <v>481.0</v>
      </c>
      <c r="G2575" s="81" t="s">
        <v>43</v>
      </c>
      <c r="H2575" s="81" t="s">
        <v>2512</v>
      </c>
      <c r="I2575" s="81" t="s">
        <v>224</v>
      </c>
      <c r="J2575" s="81" t="s">
        <v>5143</v>
      </c>
    </row>
    <row r="2576" hidden="1">
      <c r="A2576" s="83" t="s">
        <v>6317</v>
      </c>
      <c r="B2576" s="83" t="s">
        <v>6318</v>
      </c>
      <c r="C2576" s="81" t="s">
        <v>4086</v>
      </c>
      <c r="D2576" s="83" t="s">
        <v>4535</v>
      </c>
      <c r="E2576" s="81" t="s">
        <v>2519</v>
      </c>
      <c r="F2576" s="84">
        <v>482.0</v>
      </c>
      <c r="G2576" s="81" t="s">
        <v>39</v>
      </c>
      <c r="H2576" s="81" t="s">
        <v>5868</v>
      </c>
      <c r="I2576" s="81" t="s">
        <v>2522</v>
      </c>
      <c r="J2576" s="81" t="s">
        <v>224</v>
      </c>
    </row>
    <row r="2577" hidden="1">
      <c r="A2577" s="83" t="s">
        <v>6317</v>
      </c>
      <c r="B2577" s="83" t="s">
        <v>6318</v>
      </c>
      <c r="C2577" s="81" t="s">
        <v>4086</v>
      </c>
      <c r="D2577" s="83" t="s">
        <v>4535</v>
      </c>
      <c r="E2577" s="81" t="s">
        <v>2519</v>
      </c>
      <c r="F2577" s="84">
        <v>482.0</v>
      </c>
      <c r="G2577" s="81" t="s">
        <v>40</v>
      </c>
      <c r="H2577" s="81" t="s">
        <v>5869</v>
      </c>
      <c r="I2577" s="81" t="s">
        <v>2523</v>
      </c>
      <c r="J2577" s="81" t="s">
        <v>224</v>
      </c>
    </row>
    <row r="2578" hidden="1">
      <c r="A2578" s="83" t="s">
        <v>6317</v>
      </c>
      <c r="B2578" s="83" t="s">
        <v>6318</v>
      </c>
      <c r="C2578" s="81" t="s">
        <v>4086</v>
      </c>
      <c r="D2578" s="83" t="s">
        <v>4535</v>
      </c>
      <c r="E2578" s="81" t="s">
        <v>2529</v>
      </c>
      <c r="F2578" s="84">
        <v>483.0</v>
      </c>
      <c r="G2578" s="81" t="s">
        <v>39</v>
      </c>
      <c r="H2578" s="81" t="s">
        <v>5868</v>
      </c>
      <c r="I2578" s="81" t="s">
        <v>2522</v>
      </c>
      <c r="J2578" s="81" t="s">
        <v>224</v>
      </c>
    </row>
    <row r="2579" hidden="1">
      <c r="A2579" s="83" t="s">
        <v>6317</v>
      </c>
      <c r="B2579" s="83" t="s">
        <v>6318</v>
      </c>
      <c r="C2579" s="81" t="s">
        <v>4086</v>
      </c>
      <c r="D2579" s="83" t="s">
        <v>4535</v>
      </c>
      <c r="E2579" s="81" t="s">
        <v>2529</v>
      </c>
      <c r="F2579" s="84">
        <v>483.0</v>
      </c>
      <c r="G2579" s="81" t="s">
        <v>40</v>
      </c>
      <c r="H2579" s="81" t="s">
        <v>5869</v>
      </c>
      <c r="I2579" s="81" t="s">
        <v>2523</v>
      </c>
      <c r="J2579" s="81" t="s">
        <v>224</v>
      </c>
    </row>
    <row r="2580" hidden="1">
      <c r="A2580" s="83" t="s">
        <v>6317</v>
      </c>
      <c r="B2580" s="83" t="s">
        <v>6318</v>
      </c>
      <c r="C2580" s="81" t="s">
        <v>4086</v>
      </c>
      <c r="D2580" s="83" t="s">
        <v>4537</v>
      </c>
      <c r="E2580" s="81" t="s">
        <v>2530</v>
      </c>
      <c r="F2580" s="84">
        <v>484.0</v>
      </c>
      <c r="G2580" s="81" t="s">
        <v>39</v>
      </c>
      <c r="H2580" s="81" t="s">
        <v>5870</v>
      </c>
      <c r="I2580" s="81" t="s">
        <v>2531</v>
      </c>
      <c r="J2580" s="81" t="s">
        <v>224</v>
      </c>
    </row>
    <row r="2581" hidden="1">
      <c r="A2581" s="83" t="s">
        <v>6317</v>
      </c>
      <c r="B2581" s="83" t="s">
        <v>6318</v>
      </c>
      <c r="C2581" s="81" t="s">
        <v>4086</v>
      </c>
      <c r="D2581" s="83" t="s">
        <v>4537</v>
      </c>
      <c r="E2581" s="81" t="s">
        <v>2530</v>
      </c>
      <c r="F2581" s="84">
        <v>484.0</v>
      </c>
      <c r="G2581" s="81" t="s">
        <v>40</v>
      </c>
      <c r="H2581" s="81" t="s">
        <v>5871</v>
      </c>
      <c r="I2581" s="81" t="s">
        <v>2532</v>
      </c>
      <c r="J2581" s="81" t="s">
        <v>224</v>
      </c>
    </row>
    <row r="2582" hidden="1">
      <c r="A2582" s="83" t="s">
        <v>6317</v>
      </c>
      <c r="B2582" s="83" t="s">
        <v>6318</v>
      </c>
      <c r="C2582" s="81" t="s">
        <v>4086</v>
      </c>
      <c r="D2582" s="83" t="s">
        <v>4538</v>
      </c>
      <c r="E2582" s="81" t="s">
        <v>2533</v>
      </c>
      <c r="F2582" s="84">
        <v>485.0</v>
      </c>
      <c r="G2582" s="81" t="s">
        <v>39</v>
      </c>
      <c r="H2582" s="81" t="s">
        <v>5872</v>
      </c>
      <c r="I2582" s="81" t="s">
        <v>2541</v>
      </c>
      <c r="J2582" s="81" t="s">
        <v>224</v>
      </c>
    </row>
    <row r="2583" hidden="1">
      <c r="A2583" s="83" t="s">
        <v>6317</v>
      </c>
      <c r="B2583" s="83" t="s">
        <v>6318</v>
      </c>
      <c r="C2583" s="81" t="s">
        <v>4086</v>
      </c>
      <c r="D2583" s="83" t="s">
        <v>4538</v>
      </c>
      <c r="E2583" s="81" t="s">
        <v>2533</v>
      </c>
      <c r="F2583" s="84">
        <v>485.0</v>
      </c>
      <c r="G2583" s="81" t="s">
        <v>40</v>
      </c>
      <c r="H2583" s="81" t="s">
        <v>5873</v>
      </c>
      <c r="I2583" s="81" t="s">
        <v>2542</v>
      </c>
      <c r="J2583" s="81" t="s">
        <v>224</v>
      </c>
    </row>
    <row r="2584" hidden="1">
      <c r="A2584" s="83" t="s">
        <v>6317</v>
      </c>
      <c r="B2584" s="83" t="s">
        <v>6318</v>
      </c>
      <c r="C2584" s="81" t="s">
        <v>4086</v>
      </c>
      <c r="D2584" s="83" t="s">
        <v>4538</v>
      </c>
      <c r="E2584" s="81" t="s">
        <v>2548</v>
      </c>
      <c r="F2584" s="84">
        <v>486.0</v>
      </c>
      <c r="G2584" s="81" t="s">
        <v>40</v>
      </c>
      <c r="H2584" s="81" t="s">
        <v>5873</v>
      </c>
      <c r="I2584" s="81" t="s">
        <v>2542</v>
      </c>
      <c r="J2584" s="81" t="s">
        <v>224</v>
      </c>
    </row>
    <row r="2585" hidden="1">
      <c r="A2585" s="83" t="s">
        <v>6317</v>
      </c>
      <c r="B2585" s="83" t="s">
        <v>6318</v>
      </c>
      <c r="C2585" s="81" t="s">
        <v>4086</v>
      </c>
      <c r="D2585" s="83" t="s">
        <v>4540</v>
      </c>
      <c r="E2585" s="81" t="s">
        <v>2549</v>
      </c>
      <c r="F2585" s="84">
        <v>487.0</v>
      </c>
      <c r="G2585" s="81" t="s">
        <v>40</v>
      </c>
      <c r="H2585" s="81" t="s">
        <v>5874</v>
      </c>
      <c r="I2585" s="81" t="s">
        <v>5875</v>
      </c>
      <c r="J2585" s="81" t="s">
        <v>224</v>
      </c>
    </row>
    <row r="2586" hidden="1">
      <c r="A2586" s="83" t="s">
        <v>6317</v>
      </c>
      <c r="B2586" s="83" t="s">
        <v>6318</v>
      </c>
      <c r="C2586" s="81" t="s">
        <v>4086</v>
      </c>
      <c r="D2586" s="83" t="s">
        <v>4540</v>
      </c>
      <c r="E2586" s="81" t="s">
        <v>2562</v>
      </c>
      <c r="F2586" s="84">
        <v>488.0</v>
      </c>
      <c r="G2586" s="81" t="s">
        <v>39</v>
      </c>
      <c r="H2586" s="81" t="s">
        <v>5876</v>
      </c>
      <c r="I2586" s="81" t="s">
        <v>2555</v>
      </c>
      <c r="J2586" s="81" t="s">
        <v>224</v>
      </c>
    </row>
    <row r="2587" hidden="1">
      <c r="A2587" s="83" t="s">
        <v>6317</v>
      </c>
      <c r="B2587" s="83" t="s">
        <v>6318</v>
      </c>
      <c r="C2587" s="81" t="s">
        <v>4086</v>
      </c>
      <c r="D2587" s="83" t="s">
        <v>4540</v>
      </c>
      <c r="E2587" s="81" t="s">
        <v>2562</v>
      </c>
      <c r="F2587" s="84">
        <v>488.0</v>
      </c>
      <c r="G2587" s="81" t="s">
        <v>40</v>
      </c>
      <c r="H2587" s="81" t="s">
        <v>5877</v>
      </c>
      <c r="I2587" s="81" t="s">
        <v>5875</v>
      </c>
      <c r="J2587" s="81" t="s">
        <v>224</v>
      </c>
    </row>
    <row r="2588" hidden="1">
      <c r="A2588" s="83" t="s">
        <v>6317</v>
      </c>
      <c r="B2588" s="83" t="s">
        <v>6318</v>
      </c>
      <c r="C2588" s="81" t="s">
        <v>4086</v>
      </c>
      <c r="D2588" s="83" t="s">
        <v>4543</v>
      </c>
      <c r="E2588" s="81" t="s">
        <v>2563</v>
      </c>
      <c r="F2588" s="84">
        <v>489.0</v>
      </c>
      <c r="G2588" s="81" t="s">
        <v>39</v>
      </c>
      <c r="H2588" s="81" t="s">
        <v>5878</v>
      </c>
      <c r="I2588" s="81" t="s">
        <v>2564</v>
      </c>
      <c r="J2588" s="81" t="s">
        <v>224</v>
      </c>
    </row>
    <row r="2589" hidden="1">
      <c r="A2589" s="83" t="s">
        <v>6317</v>
      </c>
      <c r="B2589" s="83" t="s">
        <v>6318</v>
      </c>
      <c r="C2589" s="81" t="s">
        <v>4086</v>
      </c>
      <c r="D2589" s="83" t="s">
        <v>4543</v>
      </c>
      <c r="E2589" s="81" t="s">
        <v>2563</v>
      </c>
      <c r="F2589" s="84">
        <v>489.0</v>
      </c>
      <c r="G2589" s="81" t="s">
        <v>40</v>
      </c>
      <c r="H2589" s="81" t="s">
        <v>5879</v>
      </c>
      <c r="I2589" s="81" t="s">
        <v>5880</v>
      </c>
      <c r="J2589" s="81" t="s">
        <v>224</v>
      </c>
    </row>
    <row r="2590" hidden="1">
      <c r="A2590" s="83" t="s">
        <v>6317</v>
      </c>
      <c r="B2590" s="83" t="s">
        <v>6318</v>
      </c>
      <c r="C2590" s="81" t="s">
        <v>4086</v>
      </c>
      <c r="D2590" s="83" t="s">
        <v>4544</v>
      </c>
      <c r="E2590" s="81" t="s">
        <v>2566</v>
      </c>
      <c r="F2590" s="84">
        <v>490.0</v>
      </c>
      <c r="G2590" s="81" t="s">
        <v>39</v>
      </c>
      <c r="H2590" s="81" t="s">
        <v>5881</v>
      </c>
      <c r="I2590" s="81" t="s">
        <v>2568</v>
      </c>
      <c r="J2590" s="81" t="s">
        <v>224</v>
      </c>
    </row>
    <row r="2591" hidden="1">
      <c r="A2591" s="83" t="s">
        <v>6317</v>
      </c>
      <c r="B2591" s="83" t="s">
        <v>6318</v>
      </c>
      <c r="C2591" s="81" t="s">
        <v>4086</v>
      </c>
      <c r="D2591" s="83" t="s">
        <v>4544</v>
      </c>
      <c r="E2591" s="81" t="s">
        <v>2566</v>
      </c>
      <c r="F2591" s="84">
        <v>490.0</v>
      </c>
      <c r="G2591" s="81" t="s">
        <v>40</v>
      </c>
      <c r="H2591" s="81" t="s">
        <v>5882</v>
      </c>
      <c r="I2591" s="81" t="s">
        <v>2569</v>
      </c>
      <c r="J2591" s="81" t="s">
        <v>224</v>
      </c>
    </row>
    <row r="2592" hidden="1">
      <c r="A2592" s="83" t="s">
        <v>6317</v>
      </c>
      <c r="B2592" s="83" t="s">
        <v>6318</v>
      </c>
      <c r="C2592" s="81" t="s">
        <v>4086</v>
      </c>
      <c r="D2592" s="83" t="s">
        <v>4544</v>
      </c>
      <c r="E2592" s="81" t="s">
        <v>2573</v>
      </c>
      <c r="F2592" s="84">
        <v>491.0</v>
      </c>
      <c r="G2592" s="81" t="s">
        <v>39</v>
      </c>
      <c r="H2592" s="81" t="s">
        <v>5883</v>
      </c>
      <c r="I2592" s="81" t="s">
        <v>2568</v>
      </c>
      <c r="J2592" s="81" t="s">
        <v>224</v>
      </c>
    </row>
    <row r="2593" hidden="1">
      <c r="A2593" s="83" t="s">
        <v>6317</v>
      </c>
      <c r="B2593" s="83" t="s">
        <v>6318</v>
      </c>
      <c r="C2593" s="81" t="s">
        <v>4086</v>
      </c>
      <c r="D2593" s="83" t="s">
        <v>4544</v>
      </c>
      <c r="E2593" s="81" t="s">
        <v>2573</v>
      </c>
      <c r="F2593" s="84">
        <v>491.0</v>
      </c>
      <c r="G2593" s="81" t="s">
        <v>40</v>
      </c>
      <c r="H2593" s="81" t="s">
        <v>5881</v>
      </c>
      <c r="I2593" s="81" t="s">
        <v>2569</v>
      </c>
      <c r="J2593" s="81" t="s">
        <v>224</v>
      </c>
    </row>
    <row r="2594" hidden="1">
      <c r="A2594" s="83" t="s">
        <v>6317</v>
      </c>
      <c r="B2594" s="83" t="s">
        <v>6318</v>
      </c>
      <c r="C2594" s="81" t="s">
        <v>4086</v>
      </c>
      <c r="D2594" s="83" t="s">
        <v>4546</v>
      </c>
      <c r="E2594" s="81" t="s">
        <v>2574</v>
      </c>
      <c r="F2594" s="84">
        <v>492.0</v>
      </c>
      <c r="G2594" s="81" t="s">
        <v>39</v>
      </c>
      <c r="H2594" s="81" t="s">
        <v>5884</v>
      </c>
      <c r="I2594" s="81" t="s">
        <v>2575</v>
      </c>
      <c r="J2594" s="81" t="s">
        <v>224</v>
      </c>
    </row>
    <row r="2595" hidden="1">
      <c r="A2595" s="83" t="s">
        <v>6317</v>
      </c>
      <c r="B2595" s="83" t="s">
        <v>6318</v>
      </c>
      <c r="C2595" s="81" t="s">
        <v>4086</v>
      </c>
      <c r="D2595" s="83" t="s">
        <v>4546</v>
      </c>
      <c r="E2595" s="81" t="s">
        <v>2574</v>
      </c>
      <c r="F2595" s="84">
        <v>492.0</v>
      </c>
      <c r="G2595" s="81" t="s">
        <v>40</v>
      </c>
      <c r="H2595" s="81" t="s">
        <v>5885</v>
      </c>
      <c r="I2595" s="81" t="s">
        <v>5886</v>
      </c>
      <c r="J2595" s="81" t="s">
        <v>224</v>
      </c>
    </row>
    <row r="2596" hidden="1">
      <c r="A2596" s="83" t="s">
        <v>6317</v>
      </c>
      <c r="B2596" s="83" t="s">
        <v>6318</v>
      </c>
      <c r="C2596" s="81" t="s">
        <v>4086</v>
      </c>
      <c r="D2596" s="83" t="s">
        <v>4547</v>
      </c>
      <c r="E2596" s="81" t="s">
        <v>2577</v>
      </c>
      <c r="F2596" s="84">
        <v>493.0</v>
      </c>
      <c r="G2596" s="81" t="s">
        <v>40</v>
      </c>
      <c r="H2596" s="81" t="s">
        <v>49</v>
      </c>
      <c r="I2596" s="81" t="s">
        <v>2580</v>
      </c>
      <c r="J2596" s="81" t="s">
        <v>224</v>
      </c>
    </row>
    <row r="2597" hidden="1">
      <c r="A2597" s="83" t="s">
        <v>6317</v>
      </c>
      <c r="B2597" s="83" t="s">
        <v>6318</v>
      </c>
      <c r="C2597" s="81" t="s">
        <v>4086</v>
      </c>
      <c r="D2597" s="83" t="s">
        <v>4548</v>
      </c>
      <c r="E2597" s="81" t="s">
        <v>2585</v>
      </c>
      <c r="F2597" s="84">
        <v>494.0</v>
      </c>
      <c r="G2597" s="81" t="s">
        <v>40</v>
      </c>
      <c r="H2597" s="81" t="s">
        <v>49</v>
      </c>
      <c r="I2597" s="81" t="s">
        <v>2587</v>
      </c>
      <c r="J2597" s="81" t="s">
        <v>224</v>
      </c>
    </row>
    <row r="2598" hidden="1">
      <c r="A2598" s="83" t="s">
        <v>6317</v>
      </c>
      <c r="B2598" s="83" t="s">
        <v>6318</v>
      </c>
      <c r="C2598" s="81" t="s">
        <v>4086</v>
      </c>
      <c r="D2598" s="83" t="s">
        <v>4549</v>
      </c>
      <c r="E2598" s="81" t="s">
        <v>2588</v>
      </c>
      <c r="F2598" s="84">
        <v>495.0</v>
      </c>
      <c r="G2598" s="81" t="s">
        <v>40</v>
      </c>
      <c r="H2598" s="81" t="s">
        <v>5887</v>
      </c>
      <c r="I2598" s="81" t="s">
        <v>2590</v>
      </c>
      <c r="J2598" s="81" t="s">
        <v>224</v>
      </c>
    </row>
    <row r="2599" hidden="1">
      <c r="A2599" s="83" t="s">
        <v>6317</v>
      </c>
      <c r="B2599" s="83" t="s">
        <v>6318</v>
      </c>
      <c r="C2599" s="81" t="s">
        <v>4086</v>
      </c>
      <c r="D2599" s="83" t="s">
        <v>4550</v>
      </c>
      <c r="E2599" s="81" t="s">
        <v>2591</v>
      </c>
      <c r="F2599" s="84">
        <v>496.0</v>
      </c>
      <c r="G2599" s="81" t="s">
        <v>39</v>
      </c>
      <c r="H2599" s="81" t="s">
        <v>5888</v>
      </c>
      <c r="I2599" s="81" t="s">
        <v>2592</v>
      </c>
      <c r="J2599" s="81" t="s">
        <v>224</v>
      </c>
    </row>
    <row r="2600" hidden="1">
      <c r="A2600" s="83" t="s">
        <v>6317</v>
      </c>
      <c r="B2600" s="83" t="s">
        <v>6318</v>
      </c>
      <c r="C2600" s="81" t="s">
        <v>4086</v>
      </c>
      <c r="D2600" s="83" t="s">
        <v>4550</v>
      </c>
      <c r="E2600" s="81" t="s">
        <v>2591</v>
      </c>
      <c r="F2600" s="84">
        <v>496.0</v>
      </c>
      <c r="G2600" s="81" t="s">
        <v>40</v>
      </c>
      <c r="H2600" s="81" t="s">
        <v>5889</v>
      </c>
      <c r="I2600" s="81" t="s">
        <v>5890</v>
      </c>
      <c r="J2600" s="81" t="s">
        <v>224</v>
      </c>
    </row>
    <row r="2601" hidden="1">
      <c r="A2601" s="83" t="s">
        <v>6317</v>
      </c>
      <c r="B2601" s="83" t="s">
        <v>6318</v>
      </c>
      <c r="C2601" s="81" t="s">
        <v>5141</v>
      </c>
      <c r="D2601" s="83" t="s">
        <v>4551</v>
      </c>
      <c r="E2601" s="81" t="s">
        <v>2594</v>
      </c>
      <c r="F2601" s="84">
        <v>497.0</v>
      </c>
      <c r="G2601" s="81" t="s">
        <v>40</v>
      </c>
      <c r="H2601" s="81" t="s">
        <v>49</v>
      </c>
      <c r="I2601" s="81" t="s">
        <v>224</v>
      </c>
      <c r="J2601" s="81" t="s">
        <v>5143</v>
      </c>
    </row>
    <row r="2602" hidden="1">
      <c r="A2602" s="83" t="s">
        <v>6317</v>
      </c>
      <c r="B2602" s="83" t="s">
        <v>6318</v>
      </c>
      <c r="C2602" s="81" t="s">
        <v>4086</v>
      </c>
      <c r="D2602" s="83" t="s">
        <v>4552</v>
      </c>
      <c r="E2602" s="81" t="s">
        <v>2596</v>
      </c>
      <c r="F2602" s="84">
        <v>498.0</v>
      </c>
      <c r="G2602" s="81" t="s">
        <v>39</v>
      </c>
      <c r="H2602" s="81" t="s">
        <v>5888</v>
      </c>
      <c r="I2602" s="81" t="s">
        <v>2597</v>
      </c>
      <c r="J2602" s="81" t="s">
        <v>224</v>
      </c>
    </row>
    <row r="2603" hidden="1">
      <c r="A2603" s="83" t="s">
        <v>6317</v>
      </c>
      <c r="B2603" s="83" t="s">
        <v>6318</v>
      </c>
      <c r="C2603" s="81" t="s">
        <v>5141</v>
      </c>
      <c r="D2603" s="83" t="s">
        <v>4552</v>
      </c>
      <c r="E2603" s="81" t="s">
        <v>2596</v>
      </c>
      <c r="F2603" s="84">
        <v>498.0</v>
      </c>
      <c r="G2603" s="81" t="s">
        <v>40</v>
      </c>
      <c r="H2603" s="81" t="s">
        <v>5889</v>
      </c>
      <c r="I2603" s="81" t="s">
        <v>224</v>
      </c>
      <c r="J2603" s="81" t="s">
        <v>5143</v>
      </c>
    </row>
    <row r="2604" hidden="1">
      <c r="A2604" s="83" t="s">
        <v>6317</v>
      </c>
      <c r="B2604" s="83" t="s">
        <v>6318</v>
      </c>
      <c r="C2604" s="81" t="s">
        <v>4086</v>
      </c>
      <c r="D2604" s="83" t="s">
        <v>4553</v>
      </c>
      <c r="E2604" s="81" t="s">
        <v>2598</v>
      </c>
      <c r="F2604" s="84">
        <v>499.0</v>
      </c>
      <c r="G2604" s="81" t="s">
        <v>39</v>
      </c>
      <c r="H2604" s="81" t="s">
        <v>5891</v>
      </c>
      <c r="I2604" s="81" t="s">
        <v>2602</v>
      </c>
      <c r="J2604" s="81" t="s">
        <v>224</v>
      </c>
    </row>
    <row r="2605" hidden="1">
      <c r="A2605" s="83" t="s">
        <v>6317</v>
      </c>
      <c r="B2605" s="83" t="s">
        <v>6318</v>
      </c>
      <c r="C2605" s="81" t="s">
        <v>4086</v>
      </c>
      <c r="D2605" s="83" t="s">
        <v>4553</v>
      </c>
      <c r="E2605" s="81" t="s">
        <v>2598</v>
      </c>
      <c r="F2605" s="84">
        <v>499.0</v>
      </c>
      <c r="G2605" s="81" t="s">
        <v>40</v>
      </c>
      <c r="H2605" s="81" t="s">
        <v>5892</v>
      </c>
      <c r="I2605" s="81" t="s">
        <v>2603</v>
      </c>
      <c r="J2605" s="81" t="s">
        <v>224</v>
      </c>
    </row>
    <row r="2606" hidden="1">
      <c r="A2606" s="83" t="s">
        <v>6317</v>
      </c>
      <c r="B2606" s="83" t="s">
        <v>6318</v>
      </c>
      <c r="C2606" s="81" t="s">
        <v>4086</v>
      </c>
      <c r="D2606" s="83" t="s">
        <v>4553</v>
      </c>
      <c r="E2606" s="81" t="s">
        <v>2608</v>
      </c>
      <c r="F2606" s="84">
        <v>500.0</v>
      </c>
      <c r="G2606" s="81" t="s">
        <v>40</v>
      </c>
      <c r="H2606" s="81" t="s">
        <v>49</v>
      </c>
      <c r="I2606" s="81" t="s">
        <v>2603</v>
      </c>
      <c r="J2606" s="81" t="s">
        <v>224</v>
      </c>
    </row>
    <row r="2607" hidden="1">
      <c r="A2607" s="83" t="s">
        <v>6317</v>
      </c>
      <c r="B2607" s="83" t="s">
        <v>6318</v>
      </c>
      <c r="C2607" s="81" t="s">
        <v>4086</v>
      </c>
      <c r="D2607" s="83" t="s">
        <v>4555</v>
      </c>
      <c r="E2607" s="81" t="s">
        <v>2610</v>
      </c>
      <c r="F2607" s="84">
        <v>501.0</v>
      </c>
      <c r="G2607" s="81" t="s">
        <v>40</v>
      </c>
      <c r="H2607" s="81" t="s">
        <v>49</v>
      </c>
      <c r="I2607" s="81" t="s">
        <v>2612</v>
      </c>
      <c r="J2607" s="81" t="s">
        <v>224</v>
      </c>
    </row>
    <row r="2608" hidden="1">
      <c r="A2608" s="83" t="s">
        <v>6317</v>
      </c>
      <c r="B2608" s="83" t="s">
        <v>6318</v>
      </c>
      <c r="C2608" s="81" t="s">
        <v>4086</v>
      </c>
      <c r="D2608" s="83" t="s">
        <v>4556</v>
      </c>
      <c r="E2608" s="81" t="s">
        <v>2613</v>
      </c>
      <c r="F2608" s="84">
        <v>502.0</v>
      </c>
      <c r="G2608" s="81" t="s">
        <v>40</v>
      </c>
      <c r="H2608" s="81" t="s">
        <v>5893</v>
      </c>
      <c r="I2608" s="81" t="s">
        <v>2615</v>
      </c>
      <c r="J2608" s="81" t="s">
        <v>224</v>
      </c>
    </row>
    <row r="2609" hidden="1">
      <c r="A2609" s="83" t="s">
        <v>6317</v>
      </c>
      <c r="B2609" s="83" t="s">
        <v>6318</v>
      </c>
      <c r="C2609" s="81" t="s">
        <v>4086</v>
      </c>
      <c r="D2609" s="83" t="s">
        <v>4557</v>
      </c>
      <c r="E2609" s="81" t="s">
        <v>2616</v>
      </c>
      <c r="F2609" s="84">
        <v>503.0</v>
      </c>
      <c r="G2609" s="81" t="s">
        <v>40</v>
      </c>
      <c r="H2609" s="81" t="s">
        <v>5894</v>
      </c>
      <c r="I2609" s="81" t="s">
        <v>2618</v>
      </c>
      <c r="J2609" s="81" t="s">
        <v>224</v>
      </c>
    </row>
    <row r="2610" hidden="1">
      <c r="A2610" s="83" t="s">
        <v>6317</v>
      </c>
      <c r="B2610" s="83" t="s">
        <v>6318</v>
      </c>
      <c r="C2610" s="81" t="s">
        <v>4086</v>
      </c>
      <c r="D2610" s="83" t="s">
        <v>4558</v>
      </c>
      <c r="E2610" s="81" t="s">
        <v>2619</v>
      </c>
      <c r="F2610" s="84">
        <v>504.0</v>
      </c>
      <c r="G2610" s="81" t="s">
        <v>39</v>
      </c>
      <c r="H2610" s="81" t="s">
        <v>5895</v>
      </c>
      <c r="I2610" s="81" t="s">
        <v>2627</v>
      </c>
      <c r="J2610" s="81" t="s">
        <v>224</v>
      </c>
    </row>
    <row r="2611" hidden="1">
      <c r="A2611" s="83" t="s">
        <v>6317</v>
      </c>
      <c r="B2611" s="83" t="s">
        <v>6318</v>
      </c>
      <c r="C2611" s="81" t="s">
        <v>4086</v>
      </c>
      <c r="D2611" s="83" t="s">
        <v>4558</v>
      </c>
      <c r="E2611" s="81" t="s">
        <v>2619</v>
      </c>
      <c r="F2611" s="84">
        <v>504.0</v>
      </c>
      <c r="G2611" s="81" t="s">
        <v>40</v>
      </c>
      <c r="H2611" s="81" t="s">
        <v>5896</v>
      </c>
      <c r="I2611" s="81" t="s">
        <v>2628</v>
      </c>
      <c r="J2611" s="81" t="s">
        <v>224</v>
      </c>
    </row>
    <row r="2612" hidden="1">
      <c r="A2612" s="83" t="s">
        <v>6317</v>
      </c>
      <c r="B2612" s="83" t="s">
        <v>6318</v>
      </c>
      <c r="C2612" s="81" t="s">
        <v>4086</v>
      </c>
      <c r="D2612" s="83" t="s">
        <v>4558</v>
      </c>
      <c r="E2612" s="81" t="s">
        <v>2634</v>
      </c>
      <c r="F2612" s="84">
        <v>505.0</v>
      </c>
      <c r="G2612" s="81" t="s">
        <v>39</v>
      </c>
      <c r="H2612" s="81" t="s">
        <v>5895</v>
      </c>
      <c r="I2612" s="81" t="s">
        <v>2627</v>
      </c>
      <c r="J2612" s="81" t="s">
        <v>224</v>
      </c>
    </row>
    <row r="2613" hidden="1">
      <c r="A2613" s="83" t="s">
        <v>6317</v>
      </c>
      <c r="B2613" s="83" t="s">
        <v>6318</v>
      </c>
      <c r="C2613" s="81" t="s">
        <v>4086</v>
      </c>
      <c r="D2613" s="83" t="s">
        <v>4558</v>
      </c>
      <c r="E2613" s="81" t="s">
        <v>2634</v>
      </c>
      <c r="F2613" s="84">
        <v>505.0</v>
      </c>
      <c r="G2613" s="81" t="s">
        <v>40</v>
      </c>
      <c r="H2613" s="81" t="s">
        <v>5896</v>
      </c>
      <c r="I2613" s="81" t="s">
        <v>2628</v>
      </c>
      <c r="J2613" s="81" t="s">
        <v>224</v>
      </c>
    </row>
    <row r="2614" hidden="1">
      <c r="A2614" s="83" t="s">
        <v>6317</v>
      </c>
      <c r="B2614" s="83" t="s">
        <v>6318</v>
      </c>
      <c r="C2614" s="81" t="s">
        <v>4086</v>
      </c>
      <c r="D2614" s="83" t="s">
        <v>4560</v>
      </c>
      <c r="E2614" s="81" t="s">
        <v>2635</v>
      </c>
      <c r="F2614" s="84">
        <v>506.0</v>
      </c>
      <c r="G2614" s="81" t="s">
        <v>39</v>
      </c>
      <c r="H2614" s="81" t="s">
        <v>5897</v>
      </c>
      <c r="I2614" s="81" t="s">
        <v>2636</v>
      </c>
      <c r="J2614" s="81" t="s">
        <v>224</v>
      </c>
    </row>
    <row r="2615" hidden="1">
      <c r="A2615" s="83" t="s">
        <v>6317</v>
      </c>
      <c r="B2615" s="83" t="s">
        <v>6318</v>
      </c>
      <c r="C2615" s="81" t="s">
        <v>4086</v>
      </c>
      <c r="D2615" s="83" t="s">
        <v>4560</v>
      </c>
      <c r="E2615" s="81" t="s">
        <v>2635</v>
      </c>
      <c r="F2615" s="84">
        <v>506.0</v>
      </c>
      <c r="G2615" s="81" t="s">
        <v>40</v>
      </c>
      <c r="H2615" s="81" t="s">
        <v>5898</v>
      </c>
      <c r="I2615" s="81" t="s">
        <v>2637</v>
      </c>
      <c r="J2615" s="81" t="s">
        <v>224</v>
      </c>
    </row>
    <row r="2616" hidden="1">
      <c r="A2616" s="83" t="s">
        <v>6317</v>
      </c>
      <c r="B2616" s="83" t="s">
        <v>6318</v>
      </c>
      <c r="C2616" s="81" t="s">
        <v>4086</v>
      </c>
      <c r="D2616" s="83" t="s">
        <v>4561</v>
      </c>
      <c r="E2616" s="81" t="s">
        <v>2638</v>
      </c>
      <c r="F2616" s="84">
        <v>507.0</v>
      </c>
      <c r="G2616" s="81" t="s">
        <v>39</v>
      </c>
      <c r="H2616" s="81" t="s">
        <v>5899</v>
      </c>
      <c r="I2616" s="81" t="s">
        <v>2642</v>
      </c>
      <c r="J2616" s="81" t="s">
        <v>224</v>
      </c>
    </row>
    <row r="2617" hidden="1">
      <c r="A2617" s="83" t="s">
        <v>6317</v>
      </c>
      <c r="B2617" s="83" t="s">
        <v>6318</v>
      </c>
      <c r="C2617" s="81" t="s">
        <v>4086</v>
      </c>
      <c r="D2617" s="83" t="s">
        <v>4561</v>
      </c>
      <c r="E2617" s="81" t="s">
        <v>2638</v>
      </c>
      <c r="F2617" s="84">
        <v>507.0</v>
      </c>
      <c r="G2617" s="81" t="s">
        <v>40</v>
      </c>
      <c r="H2617" s="81" t="s">
        <v>5900</v>
      </c>
      <c r="I2617" s="81" t="s">
        <v>2643</v>
      </c>
      <c r="J2617" s="81" t="s">
        <v>224</v>
      </c>
    </row>
    <row r="2618" hidden="1">
      <c r="A2618" s="83" t="s">
        <v>6317</v>
      </c>
      <c r="B2618" s="83" t="s">
        <v>6318</v>
      </c>
      <c r="C2618" s="81" t="s">
        <v>4086</v>
      </c>
      <c r="D2618" s="83" t="s">
        <v>4562</v>
      </c>
      <c r="E2618" s="81" t="s">
        <v>2648</v>
      </c>
      <c r="F2618" s="84">
        <v>508.0</v>
      </c>
      <c r="G2618" s="81" t="s">
        <v>39</v>
      </c>
      <c r="H2618" s="81" t="s">
        <v>5901</v>
      </c>
      <c r="I2618" s="81" t="s">
        <v>2649</v>
      </c>
      <c r="J2618" s="81" t="s">
        <v>224</v>
      </c>
    </row>
    <row r="2619" hidden="1">
      <c r="A2619" s="83" t="s">
        <v>6317</v>
      </c>
      <c r="B2619" s="83" t="s">
        <v>6318</v>
      </c>
      <c r="C2619" s="81" t="s">
        <v>4086</v>
      </c>
      <c r="D2619" s="83" t="s">
        <v>4562</v>
      </c>
      <c r="E2619" s="81" t="s">
        <v>2648</v>
      </c>
      <c r="F2619" s="84">
        <v>508.0</v>
      </c>
      <c r="G2619" s="81" t="s">
        <v>40</v>
      </c>
      <c r="H2619" s="81" t="s">
        <v>5902</v>
      </c>
      <c r="I2619" s="81" t="s">
        <v>2650</v>
      </c>
      <c r="J2619" s="81" t="s">
        <v>224</v>
      </c>
    </row>
    <row r="2620" hidden="1">
      <c r="A2620" s="83" t="s">
        <v>6317</v>
      </c>
      <c r="B2620" s="83" t="s">
        <v>6318</v>
      </c>
      <c r="C2620" s="81" t="s">
        <v>5141</v>
      </c>
      <c r="D2620" s="83" t="s">
        <v>4563</v>
      </c>
      <c r="E2620" s="81" t="s">
        <v>2651</v>
      </c>
      <c r="F2620" s="84">
        <v>509.0</v>
      </c>
      <c r="G2620" s="81" t="s">
        <v>40</v>
      </c>
      <c r="H2620" s="81" t="s">
        <v>49</v>
      </c>
      <c r="I2620" s="81" t="s">
        <v>224</v>
      </c>
      <c r="J2620" s="81" t="s">
        <v>5143</v>
      </c>
    </row>
    <row r="2621" hidden="1">
      <c r="A2621" s="83" t="s">
        <v>6317</v>
      </c>
      <c r="B2621" s="83" t="s">
        <v>6318</v>
      </c>
      <c r="C2621" s="81" t="s">
        <v>5141</v>
      </c>
      <c r="D2621" s="83" t="s">
        <v>4564</v>
      </c>
      <c r="E2621" s="81" t="s">
        <v>2659</v>
      </c>
      <c r="F2621" s="84">
        <v>510.0</v>
      </c>
      <c r="G2621" s="81" t="s">
        <v>40</v>
      </c>
      <c r="H2621" s="81" t="s">
        <v>49</v>
      </c>
      <c r="I2621" s="81" t="s">
        <v>224</v>
      </c>
      <c r="J2621" s="81" t="s">
        <v>5143</v>
      </c>
    </row>
    <row r="2622" hidden="1">
      <c r="A2622" s="83" t="s">
        <v>6317</v>
      </c>
      <c r="B2622" s="83" t="s">
        <v>6318</v>
      </c>
      <c r="C2622" s="81" t="s">
        <v>5141</v>
      </c>
      <c r="D2622" s="83" t="s">
        <v>4565</v>
      </c>
      <c r="E2622" s="81" t="s">
        <v>2661</v>
      </c>
      <c r="F2622" s="84">
        <v>511.0</v>
      </c>
      <c r="G2622" s="81" t="s">
        <v>40</v>
      </c>
      <c r="H2622" s="81" t="s">
        <v>49</v>
      </c>
      <c r="I2622" s="81" t="s">
        <v>224</v>
      </c>
      <c r="J2622" s="81" t="s">
        <v>5143</v>
      </c>
    </row>
    <row r="2623" hidden="1">
      <c r="A2623" s="83" t="s">
        <v>6317</v>
      </c>
      <c r="B2623" s="83" t="s">
        <v>6318</v>
      </c>
      <c r="C2623" s="81" t="s">
        <v>4086</v>
      </c>
      <c r="D2623" s="83" t="s">
        <v>4566</v>
      </c>
      <c r="E2623" s="81" t="s">
        <v>2667</v>
      </c>
      <c r="F2623" s="84">
        <v>512.0</v>
      </c>
      <c r="G2623" s="81" t="s">
        <v>39</v>
      </c>
      <c r="H2623" s="81" t="s">
        <v>5884</v>
      </c>
      <c r="I2623" s="81" t="s">
        <v>2668</v>
      </c>
      <c r="J2623" s="81" t="s">
        <v>224</v>
      </c>
    </row>
    <row r="2624" hidden="1">
      <c r="A2624" s="83" t="s">
        <v>6317</v>
      </c>
      <c r="B2624" s="83" t="s">
        <v>6318</v>
      </c>
      <c r="C2624" s="81" t="s">
        <v>5141</v>
      </c>
      <c r="D2624" s="83" t="s">
        <v>4566</v>
      </c>
      <c r="E2624" s="81" t="s">
        <v>2667</v>
      </c>
      <c r="F2624" s="84">
        <v>512.0</v>
      </c>
      <c r="G2624" s="81" t="s">
        <v>40</v>
      </c>
      <c r="H2624" s="81" t="s">
        <v>5885</v>
      </c>
      <c r="I2624" s="81" t="s">
        <v>224</v>
      </c>
      <c r="J2624" s="81" t="s">
        <v>5143</v>
      </c>
    </row>
    <row r="2625" hidden="1">
      <c r="A2625" s="83" t="s">
        <v>6317</v>
      </c>
      <c r="B2625" s="83" t="s">
        <v>6318</v>
      </c>
      <c r="C2625" s="81" t="s">
        <v>5141</v>
      </c>
      <c r="D2625" s="83" t="s">
        <v>4567</v>
      </c>
      <c r="E2625" s="81" t="s">
        <v>2669</v>
      </c>
      <c r="F2625" s="84">
        <v>513.0</v>
      </c>
      <c r="G2625" s="81" t="s">
        <v>39</v>
      </c>
      <c r="H2625" s="81" t="s">
        <v>5903</v>
      </c>
      <c r="I2625" s="81" t="s">
        <v>224</v>
      </c>
      <c r="J2625" s="81" t="s">
        <v>5143</v>
      </c>
    </row>
    <row r="2626" hidden="1">
      <c r="A2626" s="83" t="s">
        <v>6317</v>
      </c>
      <c r="B2626" s="83" t="s">
        <v>6318</v>
      </c>
      <c r="C2626" s="81" t="s">
        <v>5141</v>
      </c>
      <c r="D2626" s="83" t="s">
        <v>4567</v>
      </c>
      <c r="E2626" s="81" t="s">
        <v>2669</v>
      </c>
      <c r="F2626" s="84">
        <v>513.0</v>
      </c>
      <c r="G2626" s="81" t="s">
        <v>40</v>
      </c>
      <c r="H2626" s="81" t="s">
        <v>5904</v>
      </c>
      <c r="I2626" s="81" t="s">
        <v>224</v>
      </c>
      <c r="J2626" s="81" t="s">
        <v>5143</v>
      </c>
    </row>
    <row r="2627" hidden="1">
      <c r="A2627" s="83" t="s">
        <v>6317</v>
      </c>
      <c r="B2627" s="83" t="s">
        <v>6318</v>
      </c>
      <c r="C2627" s="81" t="s">
        <v>5141</v>
      </c>
      <c r="D2627" s="83" t="s">
        <v>4567</v>
      </c>
      <c r="E2627" s="81" t="s">
        <v>2671</v>
      </c>
      <c r="F2627" s="84">
        <v>514.0</v>
      </c>
      <c r="G2627" s="81" t="s">
        <v>39</v>
      </c>
      <c r="H2627" s="81" t="s">
        <v>5903</v>
      </c>
      <c r="I2627" s="81" t="s">
        <v>224</v>
      </c>
      <c r="J2627" s="81" t="s">
        <v>5143</v>
      </c>
    </row>
    <row r="2628" hidden="1">
      <c r="A2628" s="83" t="s">
        <v>6317</v>
      </c>
      <c r="B2628" s="83" t="s">
        <v>6318</v>
      </c>
      <c r="C2628" s="81" t="s">
        <v>5141</v>
      </c>
      <c r="D2628" s="83" t="s">
        <v>4567</v>
      </c>
      <c r="E2628" s="81" t="s">
        <v>2671</v>
      </c>
      <c r="F2628" s="84">
        <v>514.0</v>
      </c>
      <c r="G2628" s="81" t="s">
        <v>40</v>
      </c>
      <c r="H2628" s="81" t="s">
        <v>5904</v>
      </c>
      <c r="I2628" s="81" t="s">
        <v>224</v>
      </c>
      <c r="J2628" s="81" t="s">
        <v>5143</v>
      </c>
    </row>
    <row r="2629" hidden="1">
      <c r="A2629" s="83" t="s">
        <v>6317</v>
      </c>
      <c r="B2629" s="83" t="s">
        <v>6318</v>
      </c>
      <c r="C2629" s="81" t="s">
        <v>5141</v>
      </c>
      <c r="D2629" s="83" t="s">
        <v>4568</v>
      </c>
      <c r="E2629" s="81" t="s">
        <v>2672</v>
      </c>
      <c r="F2629" s="84">
        <v>515.0</v>
      </c>
      <c r="G2629" s="81" t="s">
        <v>39</v>
      </c>
      <c r="H2629" s="81" t="s">
        <v>5905</v>
      </c>
      <c r="I2629" s="81" t="s">
        <v>224</v>
      </c>
      <c r="J2629" s="81" t="s">
        <v>5143</v>
      </c>
    </row>
    <row r="2630" hidden="1">
      <c r="A2630" s="83" t="s">
        <v>6317</v>
      </c>
      <c r="B2630" s="83" t="s">
        <v>6318</v>
      </c>
      <c r="C2630" s="81" t="s">
        <v>5141</v>
      </c>
      <c r="D2630" s="83" t="s">
        <v>4568</v>
      </c>
      <c r="E2630" s="81" t="s">
        <v>2672</v>
      </c>
      <c r="F2630" s="84">
        <v>515.0</v>
      </c>
      <c r="G2630" s="81" t="s">
        <v>40</v>
      </c>
      <c r="H2630" s="81" t="s">
        <v>5906</v>
      </c>
      <c r="I2630" s="81" t="s">
        <v>224</v>
      </c>
      <c r="J2630" s="81" t="s">
        <v>5143</v>
      </c>
    </row>
    <row r="2631" hidden="1">
      <c r="A2631" s="83" t="s">
        <v>6317</v>
      </c>
      <c r="B2631" s="83" t="s">
        <v>6318</v>
      </c>
      <c r="C2631" s="81" t="s">
        <v>4086</v>
      </c>
      <c r="D2631" s="83" t="s">
        <v>4569</v>
      </c>
      <c r="E2631" s="81" t="s">
        <v>2673</v>
      </c>
      <c r="F2631" s="84">
        <v>516.0</v>
      </c>
      <c r="G2631" s="81" t="s">
        <v>39</v>
      </c>
      <c r="H2631" s="81" t="s">
        <v>5907</v>
      </c>
      <c r="I2631" s="81" t="s">
        <v>2677</v>
      </c>
      <c r="J2631" s="81" t="s">
        <v>224</v>
      </c>
    </row>
    <row r="2632" hidden="1">
      <c r="A2632" s="83" t="s">
        <v>6317</v>
      </c>
      <c r="B2632" s="83" t="s">
        <v>6318</v>
      </c>
      <c r="C2632" s="81" t="s">
        <v>4086</v>
      </c>
      <c r="D2632" s="83" t="s">
        <v>4569</v>
      </c>
      <c r="E2632" s="81" t="s">
        <v>2673</v>
      </c>
      <c r="F2632" s="84">
        <v>516.0</v>
      </c>
      <c r="G2632" s="81" t="s">
        <v>40</v>
      </c>
      <c r="H2632" s="81" t="s">
        <v>5908</v>
      </c>
      <c r="I2632" s="81" t="s">
        <v>5909</v>
      </c>
      <c r="J2632" s="81" t="s">
        <v>224</v>
      </c>
    </row>
    <row r="2633" hidden="1">
      <c r="A2633" s="83" t="s">
        <v>6317</v>
      </c>
      <c r="B2633" s="83" t="s">
        <v>6318</v>
      </c>
      <c r="C2633" s="81" t="s">
        <v>4086</v>
      </c>
      <c r="D2633" s="83" t="s">
        <v>4569</v>
      </c>
      <c r="E2633" s="81" t="s">
        <v>2684</v>
      </c>
      <c r="F2633" s="84">
        <v>517.0</v>
      </c>
      <c r="G2633" s="81" t="s">
        <v>39</v>
      </c>
      <c r="H2633" s="81" t="s">
        <v>5907</v>
      </c>
      <c r="I2633" s="81" t="s">
        <v>2677</v>
      </c>
      <c r="J2633" s="81" t="s">
        <v>224</v>
      </c>
    </row>
    <row r="2634" hidden="1">
      <c r="A2634" s="83" t="s">
        <v>6317</v>
      </c>
      <c r="B2634" s="83" t="s">
        <v>6318</v>
      </c>
      <c r="C2634" s="81" t="s">
        <v>4086</v>
      </c>
      <c r="D2634" s="83" t="s">
        <v>4569</v>
      </c>
      <c r="E2634" s="81" t="s">
        <v>2684</v>
      </c>
      <c r="F2634" s="84">
        <v>517.0</v>
      </c>
      <c r="G2634" s="81" t="s">
        <v>40</v>
      </c>
      <c r="H2634" s="81" t="s">
        <v>5908</v>
      </c>
      <c r="I2634" s="81" t="s">
        <v>5909</v>
      </c>
      <c r="J2634" s="81" t="s">
        <v>224</v>
      </c>
    </row>
    <row r="2635" hidden="1">
      <c r="A2635" s="83" t="s">
        <v>6317</v>
      </c>
      <c r="B2635" s="83" t="s">
        <v>6318</v>
      </c>
      <c r="C2635" s="81" t="s">
        <v>4086</v>
      </c>
      <c r="D2635" s="83" t="s">
        <v>4569</v>
      </c>
      <c r="E2635" s="81" t="s">
        <v>2685</v>
      </c>
      <c r="F2635" s="84">
        <v>518.0</v>
      </c>
      <c r="G2635" s="81" t="s">
        <v>39</v>
      </c>
      <c r="H2635" s="81" t="s">
        <v>5907</v>
      </c>
      <c r="I2635" s="81" t="s">
        <v>2677</v>
      </c>
      <c r="J2635" s="81" t="s">
        <v>224</v>
      </c>
    </row>
    <row r="2636" hidden="1">
      <c r="A2636" s="83" t="s">
        <v>6317</v>
      </c>
      <c r="B2636" s="83" t="s">
        <v>6318</v>
      </c>
      <c r="C2636" s="81" t="s">
        <v>4086</v>
      </c>
      <c r="D2636" s="83" t="s">
        <v>4569</v>
      </c>
      <c r="E2636" s="81" t="s">
        <v>2685</v>
      </c>
      <c r="F2636" s="84">
        <v>518.0</v>
      </c>
      <c r="G2636" s="81" t="s">
        <v>40</v>
      </c>
      <c r="H2636" s="81" t="s">
        <v>5908</v>
      </c>
      <c r="I2636" s="81" t="s">
        <v>5909</v>
      </c>
      <c r="J2636" s="81" t="s">
        <v>224</v>
      </c>
    </row>
    <row r="2637" hidden="1">
      <c r="A2637" s="83" t="s">
        <v>6317</v>
      </c>
      <c r="B2637" s="83" t="s">
        <v>6318</v>
      </c>
      <c r="C2637" s="81" t="s">
        <v>4086</v>
      </c>
      <c r="D2637" s="83" t="s">
        <v>4572</v>
      </c>
      <c r="E2637" s="81" t="s">
        <v>2687</v>
      </c>
      <c r="F2637" s="84">
        <v>519.0</v>
      </c>
      <c r="G2637" s="81" t="s">
        <v>39</v>
      </c>
      <c r="H2637" s="81" t="s">
        <v>5910</v>
      </c>
      <c r="I2637" s="81" t="s">
        <v>2688</v>
      </c>
      <c r="J2637" s="81" t="s">
        <v>224</v>
      </c>
    </row>
    <row r="2638" hidden="1">
      <c r="A2638" s="83" t="s">
        <v>6317</v>
      </c>
      <c r="B2638" s="83" t="s">
        <v>6318</v>
      </c>
      <c r="C2638" s="81" t="s">
        <v>4086</v>
      </c>
      <c r="D2638" s="83" t="s">
        <v>4572</v>
      </c>
      <c r="E2638" s="81" t="s">
        <v>2687</v>
      </c>
      <c r="F2638" s="84">
        <v>519.0</v>
      </c>
      <c r="G2638" s="81" t="s">
        <v>40</v>
      </c>
      <c r="H2638" s="81" t="s">
        <v>5911</v>
      </c>
      <c r="I2638" s="81" t="s">
        <v>2689</v>
      </c>
      <c r="J2638" s="81" t="s">
        <v>224</v>
      </c>
    </row>
    <row r="2639" hidden="1">
      <c r="A2639" s="83" t="s">
        <v>6317</v>
      </c>
      <c r="B2639" s="83" t="s">
        <v>6318</v>
      </c>
      <c r="C2639" s="81" t="s">
        <v>4086</v>
      </c>
      <c r="D2639" s="83" t="s">
        <v>4573</v>
      </c>
      <c r="E2639" s="81" t="s">
        <v>2690</v>
      </c>
      <c r="F2639" s="84">
        <v>520.0</v>
      </c>
      <c r="G2639" s="81" t="s">
        <v>39</v>
      </c>
      <c r="H2639" s="81" t="s">
        <v>5912</v>
      </c>
      <c r="I2639" s="81" t="s">
        <v>2693</v>
      </c>
      <c r="J2639" s="81" t="s">
        <v>224</v>
      </c>
    </row>
    <row r="2640" hidden="1">
      <c r="A2640" s="83" t="s">
        <v>6317</v>
      </c>
      <c r="B2640" s="83" t="s">
        <v>6318</v>
      </c>
      <c r="C2640" s="81" t="s">
        <v>4086</v>
      </c>
      <c r="D2640" s="83" t="s">
        <v>4573</v>
      </c>
      <c r="E2640" s="81" t="s">
        <v>2690</v>
      </c>
      <c r="F2640" s="84">
        <v>520.0</v>
      </c>
      <c r="G2640" s="81" t="s">
        <v>40</v>
      </c>
      <c r="H2640" s="81" t="s">
        <v>5913</v>
      </c>
      <c r="I2640" s="81" t="s">
        <v>5914</v>
      </c>
      <c r="J2640" s="81" t="s">
        <v>224</v>
      </c>
    </row>
    <row r="2641" hidden="1">
      <c r="A2641" s="83" t="s">
        <v>6317</v>
      </c>
      <c r="B2641" s="83" t="s">
        <v>6318</v>
      </c>
      <c r="C2641" s="81" t="s">
        <v>4086</v>
      </c>
      <c r="D2641" s="83" t="s">
        <v>4573</v>
      </c>
      <c r="E2641" s="81" t="s">
        <v>2699</v>
      </c>
      <c r="F2641" s="84">
        <v>521.0</v>
      </c>
      <c r="G2641" s="81" t="s">
        <v>39</v>
      </c>
      <c r="H2641" s="81" t="s">
        <v>5912</v>
      </c>
      <c r="I2641" s="81" t="s">
        <v>2693</v>
      </c>
      <c r="J2641" s="81" t="s">
        <v>224</v>
      </c>
    </row>
    <row r="2642" hidden="1">
      <c r="A2642" s="83" t="s">
        <v>6317</v>
      </c>
      <c r="B2642" s="83" t="s">
        <v>6318</v>
      </c>
      <c r="C2642" s="81" t="s">
        <v>4086</v>
      </c>
      <c r="D2642" s="83" t="s">
        <v>4573</v>
      </c>
      <c r="E2642" s="81" t="s">
        <v>2699</v>
      </c>
      <c r="F2642" s="84">
        <v>521.0</v>
      </c>
      <c r="G2642" s="81" t="s">
        <v>40</v>
      </c>
      <c r="H2642" s="81" t="s">
        <v>5913</v>
      </c>
      <c r="I2642" s="81" t="s">
        <v>5914</v>
      </c>
      <c r="J2642" s="81" t="s">
        <v>224</v>
      </c>
    </row>
    <row r="2643" hidden="1">
      <c r="A2643" s="83" t="s">
        <v>6317</v>
      </c>
      <c r="B2643" s="83" t="s">
        <v>6318</v>
      </c>
      <c r="C2643" s="81" t="s">
        <v>4086</v>
      </c>
      <c r="D2643" s="83" t="s">
        <v>4574</v>
      </c>
      <c r="E2643" s="81" t="s">
        <v>2700</v>
      </c>
      <c r="F2643" s="84">
        <v>522.0</v>
      </c>
      <c r="G2643" s="81" t="s">
        <v>39</v>
      </c>
      <c r="H2643" s="81" t="s">
        <v>5915</v>
      </c>
      <c r="I2643" s="81" t="s">
        <v>2701</v>
      </c>
      <c r="J2643" s="81" t="s">
        <v>224</v>
      </c>
    </row>
    <row r="2644" hidden="1">
      <c r="A2644" s="83" t="s">
        <v>6317</v>
      </c>
      <c r="B2644" s="83" t="s">
        <v>6318</v>
      </c>
      <c r="C2644" s="81" t="s">
        <v>4086</v>
      </c>
      <c r="D2644" s="83" t="s">
        <v>4574</v>
      </c>
      <c r="E2644" s="81" t="s">
        <v>2700</v>
      </c>
      <c r="F2644" s="84">
        <v>522.0</v>
      </c>
      <c r="G2644" s="81" t="s">
        <v>40</v>
      </c>
      <c r="H2644" s="81" t="s">
        <v>5916</v>
      </c>
      <c r="I2644" s="81" t="s">
        <v>2702</v>
      </c>
      <c r="J2644" s="81" t="s">
        <v>224</v>
      </c>
    </row>
    <row r="2645" hidden="1">
      <c r="A2645" s="83" t="s">
        <v>6317</v>
      </c>
      <c r="B2645" s="83" t="s">
        <v>6318</v>
      </c>
      <c r="C2645" s="81" t="s">
        <v>4086</v>
      </c>
      <c r="D2645" s="83" t="s">
        <v>4575</v>
      </c>
      <c r="E2645" s="81" t="s">
        <v>2703</v>
      </c>
      <c r="F2645" s="84">
        <v>523.0</v>
      </c>
      <c r="G2645" s="81" t="s">
        <v>39</v>
      </c>
      <c r="H2645" s="81" t="s">
        <v>5917</v>
      </c>
      <c r="I2645" s="81" t="s">
        <v>2706</v>
      </c>
      <c r="J2645" s="81" t="s">
        <v>224</v>
      </c>
    </row>
    <row r="2646" hidden="1">
      <c r="A2646" s="83" t="s">
        <v>6317</v>
      </c>
      <c r="B2646" s="83" t="s">
        <v>6318</v>
      </c>
      <c r="C2646" s="81" t="s">
        <v>4086</v>
      </c>
      <c r="D2646" s="83" t="s">
        <v>4575</v>
      </c>
      <c r="E2646" s="81" t="s">
        <v>2703</v>
      </c>
      <c r="F2646" s="84">
        <v>523.0</v>
      </c>
      <c r="G2646" s="81" t="s">
        <v>40</v>
      </c>
      <c r="H2646" s="81" t="s">
        <v>5918</v>
      </c>
      <c r="I2646" s="81" t="s">
        <v>5919</v>
      </c>
      <c r="J2646" s="81" t="s">
        <v>224</v>
      </c>
    </row>
    <row r="2647" hidden="1">
      <c r="A2647" s="83" t="s">
        <v>6317</v>
      </c>
      <c r="B2647" s="83" t="s">
        <v>6318</v>
      </c>
      <c r="C2647" s="81" t="s">
        <v>4086</v>
      </c>
      <c r="D2647" s="83" t="s">
        <v>4575</v>
      </c>
      <c r="E2647" s="81" t="s">
        <v>2712</v>
      </c>
      <c r="F2647" s="84">
        <v>524.0</v>
      </c>
      <c r="G2647" s="81" t="s">
        <v>39</v>
      </c>
      <c r="H2647" s="81" t="s">
        <v>5917</v>
      </c>
      <c r="I2647" s="81" t="s">
        <v>2706</v>
      </c>
      <c r="J2647" s="81" t="s">
        <v>224</v>
      </c>
    </row>
    <row r="2648" hidden="1">
      <c r="A2648" s="83" t="s">
        <v>6317</v>
      </c>
      <c r="B2648" s="83" t="s">
        <v>6318</v>
      </c>
      <c r="C2648" s="81" t="s">
        <v>4086</v>
      </c>
      <c r="D2648" s="83" t="s">
        <v>4575</v>
      </c>
      <c r="E2648" s="81" t="s">
        <v>2712</v>
      </c>
      <c r="F2648" s="84">
        <v>524.0</v>
      </c>
      <c r="G2648" s="81" t="s">
        <v>40</v>
      </c>
      <c r="H2648" s="81" t="s">
        <v>5918</v>
      </c>
      <c r="I2648" s="81" t="s">
        <v>5919</v>
      </c>
      <c r="J2648" s="81" t="s">
        <v>224</v>
      </c>
    </row>
    <row r="2649" hidden="1">
      <c r="A2649" s="83" t="s">
        <v>6317</v>
      </c>
      <c r="B2649" s="83" t="s">
        <v>6318</v>
      </c>
      <c r="C2649" s="81" t="s">
        <v>4086</v>
      </c>
      <c r="D2649" s="83" t="s">
        <v>4576</v>
      </c>
      <c r="E2649" s="81" t="s">
        <v>2713</v>
      </c>
      <c r="F2649" s="84">
        <v>525.0</v>
      </c>
      <c r="G2649" s="81" t="s">
        <v>39</v>
      </c>
      <c r="H2649" s="81" t="s">
        <v>5920</v>
      </c>
      <c r="I2649" s="81" t="s">
        <v>2714</v>
      </c>
      <c r="J2649" s="81" t="s">
        <v>224</v>
      </c>
    </row>
    <row r="2650" hidden="1">
      <c r="A2650" s="83" t="s">
        <v>6317</v>
      </c>
      <c r="B2650" s="83" t="s">
        <v>6318</v>
      </c>
      <c r="C2650" s="81" t="s">
        <v>4086</v>
      </c>
      <c r="D2650" s="83" t="s">
        <v>4576</v>
      </c>
      <c r="E2650" s="81" t="s">
        <v>2713</v>
      </c>
      <c r="F2650" s="84">
        <v>525.0</v>
      </c>
      <c r="G2650" s="81" t="s">
        <v>40</v>
      </c>
      <c r="H2650" s="81" t="s">
        <v>5921</v>
      </c>
      <c r="I2650" s="81" t="s">
        <v>2715</v>
      </c>
      <c r="J2650" s="81" t="s">
        <v>224</v>
      </c>
    </row>
    <row r="2651" hidden="1">
      <c r="A2651" s="83" t="s">
        <v>6317</v>
      </c>
      <c r="B2651" s="83" t="s">
        <v>6318</v>
      </c>
      <c r="C2651" s="81" t="s">
        <v>4086</v>
      </c>
      <c r="D2651" s="83" t="s">
        <v>4577</v>
      </c>
      <c r="E2651" s="81" t="s">
        <v>2716</v>
      </c>
      <c r="F2651" s="84">
        <v>526.0</v>
      </c>
      <c r="G2651" s="81" t="s">
        <v>39</v>
      </c>
      <c r="H2651" s="81" t="s">
        <v>5922</v>
      </c>
      <c r="I2651" s="81" t="s">
        <v>2719</v>
      </c>
      <c r="J2651" s="81" t="s">
        <v>224</v>
      </c>
    </row>
    <row r="2652" hidden="1">
      <c r="A2652" s="83" t="s">
        <v>6317</v>
      </c>
      <c r="B2652" s="83" t="s">
        <v>6318</v>
      </c>
      <c r="C2652" s="81" t="s">
        <v>4086</v>
      </c>
      <c r="D2652" s="83" t="s">
        <v>4577</v>
      </c>
      <c r="E2652" s="81" t="s">
        <v>2716</v>
      </c>
      <c r="F2652" s="84">
        <v>526.0</v>
      </c>
      <c r="G2652" s="81" t="s">
        <v>40</v>
      </c>
      <c r="H2652" s="81" t="s">
        <v>5923</v>
      </c>
      <c r="I2652" s="81" t="s">
        <v>5924</v>
      </c>
      <c r="J2652" s="81" t="s">
        <v>224</v>
      </c>
    </row>
    <row r="2653" hidden="1">
      <c r="A2653" s="83" t="s">
        <v>6317</v>
      </c>
      <c r="B2653" s="83" t="s">
        <v>6318</v>
      </c>
      <c r="C2653" s="81" t="s">
        <v>4086</v>
      </c>
      <c r="D2653" s="83" t="s">
        <v>4578</v>
      </c>
      <c r="E2653" s="81" t="s">
        <v>2724</v>
      </c>
      <c r="F2653" s="84">
        <v>527.0</v>
      </c>
      <c r="G2653" s="81" t="s">
        <v>39</v>
      </c>
      <c r="H2653" s="81" t="s">
        <v>5922</v>
      </c>
      <c r="I2653" s="81" t="s">
        <v>2725</v>
      </c>
      <c r="J2653" s="81" t="s">
        <v>224</v>
      </c>
    </row>
    <row r="2654" hidden="1">
      <c r="A2654" s="83" t="s">
        <v>6317</v>
      </c>
      <c r="B2654" s="83" t="s">
        <v>6318</v>
      </c>
      <c r="C2654" s="81" t="s">
        <v>4086</v>
      </c>
      <c r="D2654" s="83" t="s">
        <v>4578</v>
      </c>
      <c r="E2654" s="81" t="s">
        <v>2724</v>
      </c>
      <c r="F2654" s="84">
        <v>527.0</v>
      </c>
      <c r="G2654" s="81" t="s">
        <v>40</v>
      </c>
      <c r="H2654" s="81" t="s">
        <v>5923</v>
      </c>
      <c r="I2654" s="81" t="s">
        <v>2726</v>
      </c>
      <c r="J2654" s="81" t="s">
        <v>224</v>
      </c>
    </row>
    <row r="2655" hidden="1">
      <c r="A2655" s="83" t="s">
        <v>6317</v>
      </c>
      <c r="B2655" s="83" t="s">
        <v>6318</v>
      </c>
      <c r="C2655" s="81" t="s">
        <v>4086</v>
      </c>
      <c r="D2655" s="83" t="s">
        <v>4579</v>
      </c>
      <c r="E2655" s="81" t="s">
        <v>2727</v>
      </c>
      <c r="F2655" s="84">
        <v>528.0</v>
      </c>
      <c r="G2655" s="81" t="s">
        <v>39</v>
      </c>
      <c r="H2655" s="81" t="s">
        <v>5925</v>
      </c>
      <c r="I2655" s="81" t="s">
        <v>2730</v>
      </c>
      <c r="J2655" s="81" t="s">
        <v>224</v>
      </c>
    </row>
    <row r="2656" hidden="1">
      <c r="A2656" s="83" t="s">
        <v>6317</v>
      </c>
      <c r="B2656" s="83" t="s">
        <v>6318</v>
      </c>
      <c r="C2656" s="81" t="s">
        <v>4086</v>
      </c>
      <c r="D2656" s="83" t="s">
        <v>4579</v>
      </c>
      <c r="E2656" s="81" t="s">
        <v>2727</v>
      </c>
      <c r="F2656" s="84">
        <v>528.0</v>
      </c>
      <c r="G2656" s="81" t="s">
        <v>40</v>
      </c>
      <c r="H2656" s="81" t="s">
        <v>5926</v>
      </c>
      <c r="I2656" s="81" t="s">
        <v>2731</v>
      </c>
      <c r="J2656" s="81" t="s">
        <v>224</v>
      </c>
    </row>
    <row r="2657" hidden="1">
      <c r="A2657" s="83" t="s">
        <v>6317</v>
      </c>
      <c r="B2657" s="83" t="s">
        <v>6318</v>
      </c>
      <c r="C2657" s="81" t="s">
        <v>4086</v>
      </c>
      <c r="D2657" s="83" t="s">
        <v>4579</v>
      </c>
      <c r="E2657" s="81" t="s">
        <v>2736</v>
      </c>
      <c r="F2657" s="84">
        <v>529.0</v>
      </c>
      <c r="G2657" s="81" t="s">
        <v>39</v>
      </c>
      <c r="H2657" s="81" t="s">
        <v>5925</v>
      </c>
      <c r="I2657" s="81" t="s">
        <v>2730</v>
      </c>
      <c r="J2657" s="81" t="s">
        <v>224</v>
      </c>
    </row>
    <row r="2658" hidden="1">
      <c r="A2658" s="83" t="s">
        <v>6317</v>
      </c>
      <c r="B2658" s="83" t="s">
        <v>6318</v>
      </c>
      <c r="C2658" s="81" t="s">
        <v>4086</v>
      </c>
      <c r="D2658" s="83" t="s">
        <v>4579</v>
      </c>
      <c r="E2658" s="81" t="s">
        <v>2736</v>
      </c>
      <c r="F2658" s="84">
        <v>529.0</v>
      </c>
      <c r="G2658" s="81" t="s">
        <v>40</v>
      </c>
      <c r="H2658" s="81" t="s">
        <v>5926</v>
      </c>
      <c r="I2658" s="81" t="s">
        <v>2731</v>
      </c>
      <c r="J2658" s="81" t="s">
        <v>224</v>
      </c>
    </row>
    <row r="2659" hidden="1">
      <c r="A2659" s="83" t="s">
        <v>6317</v>
      </c>
      <c r="B2659" s="83" t="s">
        <v>6318</v>
      </c>
      <c r="C2659" s="81" t="s">
        <v>4086</v>
      </c>
      <c r="D2659" s="83" t="s">
        <v>4581</v>
      </c>
      <c r="E2659" s="81" t="s">
        <v>2737</v>
      </c>
      <c r="F2659" s="84">
        <v>530.0</v>
      </c>
      <c r="G2659" s="81" t="s">
        <v>39</v>
      </c>
      <c r="H2659" s="81" t="s">
        <v>5927</v>
      </c>
      <c r="I2659" s="81" t="s">
        <v>2738</v>
      </c>
      <c r="J2659" s="81" t="s">
        <v>224</v>
      </c>
    </row>
    <row r="2660" hidden="1">
      <c r="A2660" s="83" t="s">
        <v>6317</v>
      </c>
      <c r="B2660" s="83" t="s">
        <v>6318</v>
      </c>
      <c r="C2660" s="81" t="s">
        <v>4086</v>
      </c>
      <c r="D2660" s="83" t="s">
        <v>4581</v>
      </c>
      <c r="E2660" s="81" t="s">
        <v>2737</v>
      </c>
      <c r="F2660" s="84">
        <v>530.0</v>
      </c>
      <c r="G2660" s="81" t="s">
        <v>40</v>
      </c>
      <c r="H2660" s="81" t="s">
        <v>5928</v>
      </c>
      <c r="I2660" s="81" t="s">
        <v>2739</v>
      </c>
      <c r="J2660" s="81" t="s">
        <v>224</v>
      </c>
    </row>
    <row r="2661" hidden="1">
      <c r="A2661" s="83" t="s">
        <v>6317</v>
      </c>
      <c r="B2661" s="83" t="s">
        <v>6318</v>
      </c>
      <c r="C2661" s="81" t="s">
        <v>4086</v>
      </c>
      <c r="D2661" s="83" t="s">
        <v>4582</v>
      </c>
      <c r="E2661" s="81" t="s">
        <v>2740</v>
      </c>
      <c r="F2661" s="84">
        <v>531.0</v>
      </c>
      <c r="G2661" s="81" t="s">
        <v>39</v>
      </c>
      <c r="H2661" s="81" t="s">
        <v>5929</v>
      </c>
      <c r="I2661" s="81" t="s">
        <v>2742</v>
      </c>
      <c r="J2661" s="81" t="s">
        <v>224</v>
      </c>
    </row>
    <row r="2662" hidden="1">
      <c r="A2662" s="83" t="s">
        <v>6317</v>
      </c>
      <c r="B2662" s="83" t="s">
        <v>6318</v>
      </c>
      <c r="C2662" s="81" t="s">
        <v>4086</v>
      </c>
      <c r="D2662" s="83" t="s">
        <v>4582</v>
      </c>
      <c r="E2662" s="81" t="s">
        <v>2740</v>
      </c>
      <c r="F2662" s="84">
        <v>531.0</v>
      </c>
      <c r="G2662" s="81" t="s">
        <v>40</v>
      </c>
      <c r="H2662" s="81" t="s">
        <v>5930</v>
      </c>
      <c r="I2662" s="81" t="s">
        <v>2743</v>
      </c>
      <c r="J2662" s="81" t="s">
        <v>224</v>
      </c>
    </row>
    <row r="2663" hidden="1">
      <c r="A2663" s="83" t="s">
        <v>6317</v>
      </c>
      <c r="B2663" s="83" t="s">
        <v>6318</v>
      </c>
      <c r="C2663" s="81" t="s">
        <v>4086</v>
      </c>
      <c r="D2663" s="83" t="s">
        <v>4582</v>
      </c>
      <c r="E2663" s="81" t="s">
        <v>2748</v>
      </c>
      <c r="F2663" s="84">
        <v>532.0</v>
      </c>
      <c r="G2663" s="81" t="s">
        <v>39</v>
      </c>
      <c r="H2663" s="81" t="s">
        <v>5929</v>
      </c>
      <c r="I2663" s="81" t="s">
        <v>2742</v>
      </c>
      <c r="J2663" s="81" t="s">
        <v>224</v>
      </c>
    </row>
    <row r="2664" hidden="1">
      <c r="A2664" s="83" t="s">
        <v>6317</v>
      </c>
      <c r="B2664" s="83" t="s">
        <v>6318</v>
      </c>
      <c r="C2664" s="81" t="s">
        <v>4086</v>
      </c>
      <c r="D2664" s="83" t="s">
        <v>4582</v>
      </c>
      <c r="E2664" s="81" t="s">
        <v>2748</v>
      </c>
      <c r="F2664" s="84">
        <v>532.0</v>
      </c>
      <c r="G2664" s="81" t="s">
        <v>40</v>
      </c>
      <c r="H2664" s="81" t="s">
        <v>5930</v>
      </c>
      <c r="I2664" s="81" t="s">
        <v>2743</v>
      </c>
      <c r="J2664" s="81" t="s">
        <v>224</v>
      </c>
    </row>
    <row r="2665" hidden="1">
      <c r="A2665" s="83" t="s">
        <v>6317</v>
      </c>
      <c r="B2665" s="83" t="s">
        <v>6318</v>
      </c>
      <c r="C2665" s="81" t="s">
        <v>4086</v>
      </c>
      <c r="D2665" s="83" t="s">
        <v>4584</v>
      </c>
      <c r="E2665" s="81" t="s">
        <v>2749</v>
      </c>
      <c r="F2665" s="84">
        <v>533.0</v>
      </c>
      <c r="G2665" s="81" t="s">
        <v>39</v>
      </c>
      <c r="H2665" s="81" t="s">
        <v>5931</v>
      </c>
      <c r="I2665" s="81" t="s">
        <v>2750</v>
      </c>
      <c r="J2665" s="81" t="s">
        <v>224</v>
      </c>
    </row>
    <row r="2666" hidden="1">
      <c r="A2666" s="83" t="s">
        <v>6317</v>
      </c>
      <c r="B2666" s="83" t="s">
        <v>6318</v>
      </c>
      <c r="C2666" s="81" t="s">
        <v>4086</v>
      </c>
      <c r="D2666" s="83" t="s">
        <v>4584</v>
      </c>
      <c r="E2666" s="81" t="s">
        <v>2749</v>
      </c>
      <c r="F2666" s="84">
        <v>533.0</v>
      </c>
      <c r="G2666" s="81" t="s">
        <v>40</v>
      </c>
      <c r="H2666" s="81" t="s">
        <v>5932</v>
      </c>
      <c r="I2666" s="81" t="s">
        <v>2751</v>
      </c>
      <c r="J2666" s="81" t="s">
        <v>224</v>
      </c>
    </row>
    <row r="2667" hidden="1">
      <c r="A2667" s="83" t="s">
        <v>6317</v>
      </c>
      <c r="B2667" s="83" t="s">
        <v>6318</v>
      </c>
      <c r="C2667" s="81" t="s">
        <v>4086</v>
      </c>
      <c r="D2667" s="83" t="s">
        <v>4585</v>
      </c>
      <c r="E2667" s="81" t="s">
        <v>2752</v>
      </c>
      <c r="F2667" s="84">
        <v>534.0</v>
      </c>
      <c r="G2667" s="81" t="s">
        <v>39</v>
      </c>
      <c r="H2667" s="81" t="s">
        <v>5933</v>
      </c>
      <c r="I2667" s="81" t="s">
        <v>2755</v>
      </c>
      <c r="J2667" s="81" t="s">
        <v>224</v>
      </c>
    </row>
    <row r="2668" hidden="1">
      <c r="A2668" s="83" t="s">
        <v>6317</v>
      </c>
      <c r="B2668" s="83" t="s">
        <v>6318</v>
      </c>
      <c r="C2668" s="81" t="s">
        <v>4086</v>
      </c>
      <c r="D2668" s="83" t="s">
        <v>4585</v>
      </c>
      <c r="E2668" s="81" t="s">
        <v>2752</v>
      </c>
      <c r="F2668" s="84">
        <v>534.0</v>
      </c>
      <c r="G2668" s="81" t="s">
        <v>40</v>
      </c>
      <c r="H2668" s="81" t="s">
        <v>5934</v>
      </c>
      <c r="I2668" s="81" t="s">
        <v>2756</v>
      </c>
      <c r="J2668" s="81" t="s">
        <v>224</v>
      </c>
    </row>
    <row r="2669" hidden="1">
      <c r="A2669" s="83" t="s">
        <v>6317</v>
      </c>
      <c r="B2669" s="83" t="s">
        <v>6318</v>
      </c>
      <c r="C2669" s="81" t="s">
        <v>4086</v>
      </c>
      <c r="D2669" s="83" t="s">
        <v>4585</v>
      </c>
      <c r="E2669" s="81" t="s">
        <v>2761</v>
      </c>
      <c r="F2669" s="84">
        <v>535.0</v>
      </c>
      <c r="G2669" s="81" t="s">
        <v>39</v>
      </c>
      <c r="H2669" s="81" t="s">
        <v>5933</v>
      </c>
      <c r="I2669" s="81" t="s">
        <v>2755</v>
      </c>
      <c r="J2669" s="81" t="s">
        <v>224</v>
      </c>
    </row>
    <row r="2670" hidden="1">
      <c r="A2670" s="83" t="s">
        <v>6317</v>
      </c>
      <c r="B2670" s="83" t="s">
        <v>6318</v>
      </c>
      <c r="C2670" s="81" t="s">
        <v>4086</v>
      </c>
      <c r="D2670" s="83" t="s">
        <v>4585</v>
      </c>
      <c r="E2670" s="81" t="s">
        <v>2761</v>
      </c>
      <c r="F2670" s="84">
        <v>535.0</v>
      </c>
      <c r="G2670" s="81" t="s">
        <v>40</v>
      </c>
      <c r="H2670" s="81" t="s">
        <v>5934</v>
      </c>
      <c r="I2670" s="81" t="s">
        <v>2756</v>
      </c>
      <c r="J2670" s="81" t="s">
        <v>224</v>
      </c>
    </row>
    <row r="2671" hidden="1">
      <c r="A2671" s="83" t="s">
        <v>6317</v>
      </c>
      <c r="B2671" s="83" t="s">
        <v>6318</v>
      </c>
      <c r="C2671" s="81" t="s">
        <v>4086</v>
      </c>
      <c r="D2671" s="83" t="s">
        <v>4586</v>
      </c>
      <c r="E2671" s="81" t="s">
        <v>2763</v>
      </c>
      <c r="F2671" s="84">
        <v>536.0</v>
      </c>
      <c r="G2671" s="81" t="s">
        <v>39</v>
      </c>
      <c r="H2671" s="81" t="s">
        <v>5935</v>
      </c>
      <c r="I2671" s="81" t="s">
        <v>2764</v>
      </c>
      <c r="J2671" s="81" t="s">
        <v>224</v>
      </c>
    </row>
    <row r="2672" hidden="1">
      <c r="A2672" s="83" t="s">
        <v>6317</v>
      </c>
      <c r="B2672" s="83" t="s">
        <v>6318</v>
      </c>
      <c r="C2672" s="81" t="s">
        <v>4086</v>
      </c>
      <c r="D2672" s="83" t="s">
        <v>4586</v>
      </c>
      <c r="E2672" s="81" t="s">
        <v>2763</v>
      </c>
      <c r="F2672" s="84">
        <v>536.0</v>
      </c>
      <c r="G2672" s="81" t="s">
        <v>40</v>
      </c>
      <c r="H2672" s="81" t="s">
        <v>5936</v>
      </c>
      <c r="I2672" s="81" t="s">
        <v>2765</v>
      </c>
      <c r="J2672" s="81" t="s">
        <v>224</v>
      </c>
    </row>
    <row r="2673" hidden="1">
      <c r="A2673" s="83" t="s">
        <v>6317</v>
      </c>
      <c r="B2673" s="83" t="s">
        <v>6318</v>
      </c>
      <c r="C2673" s="81" t="s">
        <v>4086</v>
      </c>
      <c r="D2673" s="83" t="s">
        <v>4587</v>
      </c>
      <c r="E2673" s="81" t="s">
        <v>2766</v>
      </c>
      <c r="F2673" s="84">
        <v>537.0</v>
      </c>
      <c r="G2673" s="81" t="s">
        <v>39</v>
      </c>
      <c r="H2673" s="81" t="s">
        <v>5937</v>
      </c>
      <c r="I2673" s="81" t="s">
        <v>2771</v>
      </c>
      <c r="J2673" s="81" t="s">
        <v>224</v>
      </c>
    </row>
    <row r="2674" hidden="1">
      <c r="A2674" s="83" t="s">
        <v>6317</v>
      </c>
      <c r="B2674" s="83" t="s">
        <v>6318</v>
      </c>
      <c r="C2674" s="81" t="s">
        <v>4086</v>
      </c>
      <c r="D2674" s="83" t="s">
        <v>4587</v>
      </c>
      <c r="E2674" s="81" t="s">
        <v>2766</v>
      </c>
      <c r="F2674" s="84">
        <v>537.0</v>
      </c>
      <c r="G2674" s="81" t="s">
        <v>40</v>
      </c>
      <c r="H2674" s="81" t="s">
        <v>5938</v>
      </c>
      <c r="I2674" s="81" t="s">
        <v>2772</v>
      </c>
      <c r="J2674" s="81" t="s">
        <v>224</v>
      </c>
    </row>
    <row r="2675" hidden="1">
      <c r="A2675" s="83" t="s">
        <v>6317</v>
      </c>
      <c r="B2675" s="83" t="s">
        <v>6318</v>
      </c>
      <c r="C2675" s="81" t="s">
        <v>4086</v>
      </c>
      <c r="D2675" s="83" t="s">
        <v>4587</v>
      </c>
      <c r="E2675" s="81" t="s">
        <v>2778</v>
      </c>
      <c r="F2675" s="84">
        <v>538.0</v>
      </c>
      <c r="G2675" s="81" t="s">
        <v>39</v>
      </c>
      <c r="H2675" s="81" t="s">
        <v>5937</v>
      </c>
      <c r="I2675" s="81" t="s">
        <v>2771</v>
      </c>
      <c r="J2675" s="81" t="s">
        <v>224</v>
      </c>
    </row>
    <row r="2676" hidden="1">
      <c r="A2676" s="83" t="s">
        <v>6317</v>
      </c>
      <c r="B2676" s="83" t="s">
        <v>6318</v>
      </c>
      <c r="C2676" s="81" t="s">
        <v>4086</v>
      </c>
      <c r="D2676" s="83" t="s">
        <v>4587</v>
      </c>
      <c r="E2676" s="81" t="s">
        <v>2778</v>
      </c>
      <c r="F2676" s="84">
        <v>538.0</v>
      </c>
      <c r="G2676" s="81" t="s">
        <v>40</v>
      </c>
      <c r="H2676" s="81" t="s">
        <v>5938</v>
      </c>
      <c r="I2676" s="81" t="s">
        <v>2772</v>
      </c>
      <c r="J2676" s="81" t="s">
        <v>224</v>
      </c>
    </row>
    <row r="2677" hidden="1">
      <c r="A2677" s="83" t="s">
        <v>6317</v>
      </c>
      <c r="B2677" s="83" t="s">
        <v>6318</v>
      </c>
      <c r="C2677" s="81" t="s">
        <v>4086</v>
      </c>
      <c r="D2677" s="83" t="s">
        <v>4588</v>
      </c>
      <c r="E2677" s="81" t="s">
        <v>2779</v>
      </c>
      <c r="F2677" s="84">
        <v>539.0</v>
      </c>
      <c r="G2677" s="81" t="s">
        <v>39</v>
      </c>
      <c r="H2677" s="81" t="s">
        <v>5939</v>
      </c>
      <c r="I2677" s="81" t="s">
        <v>2780</v>
      </c>
      <c r="J2677" s="81" t="s">
        <v>224</v>
      </c>
    </row>
    <row r="2678" hidden="1">
      <c r="A2678" s="83" t="s">
        <v>6317</v>
      </c>
      <c r="B2678" s="83" t="s">
        <v>6318</v>
      </c>
      <c r="C2678" s="81" t="s">
        <v>4086</v>
      </c>
      <c r="D2678" s="83" t="s">
        <v>4588</v>
      </c>
      <c r="E2678" s="81" t="s">
        <v>2779</v>
      </c>
      <c r="F2678" s="84">
        <v>539.0</v>
      </c>
      <c r="G2678" s="81" t="s">
        <v>40</v>
      </c>
      <c r="H2678" s="81" t="s">
        <v>5940</v>
      </c>
      <c r="I2678" s="81" t="s">
        <v>2781</v>
      </c>
      <c r="J2678" s="81" t="s">
        <v>224</v>
      </c>
    </row>
    <row r="2679" hidden="1">
      <c r="A2679" s="83" t="s">
        <v>6317</v>
      </c>
      <c r="B2679" s="83" t="s">
        <v>6318</v>
      </c>
      <c r="C2679" s="81" t="s">
        <v>4086</v>
      </c>
      <c r="D2679" s="83" t="s">
        <v>4589</v>
      </c>
      <c r="E2679" s="81" t="s">
        <v>2782</v>
      </c>
      <c r="F2679" s="84">
        <v>540.0</v>
      </c>
      <c r="G2679" s="81" t="s">
        <v>40</v>
      </c>
      <c r="H2679" s="81" t="s">
        <v>5941</v>
      </c>
      <c r="I2679" s="81" t="s">
        <v>2787</v>
      </c>
      <c r="J2679" s="81" t="s">
        <v>224</v>
      </c>
    </row>
    <row r="2680" hidden="1">
      <c r="A2680" s="83" t="s">
        <v>6317</v>
      </c>
      <c r="B2680" s="83" t="s">
        <v>6318</v>
      </c>
      <c r="C2680" s="81" t="s">
        <v>4086</v>
      </c>
      <c r="D2680" s="83" t="s">
        <v>4590</v>
      </c>
      <c r="E2680" s="81" t="s">
        <v>2792</v>
      </c>
      <c r="F2680" s="84">
        <v>541.0</v>
      </c>
      <c r="G2680" s="81" t="s">
        <v>39</v>
      </c>
      <c r="H2680" s="81" t="s">
        <v>5942</v>
      </c>
      <c r="I2680" s="81" t="s">
        <v>2793</v>
      </c>
      <c r="J2680" s="81" t="s">
        <v>224</v>
      </c>
    </row>
    <row r="2681" hidden="1">
      <c r="A2681" s="83" t="s">
        <v>6317</v>
      </c>
      <c r="B2681" s="83" t="s">
        <v>6318</v>
      </c>
      <c r="C2681" s="81" t="s">
        <v>4086</v>
      </c>
      <c r="D2681" s="83" t="s">
        <v>4590</v>
      </c>
      <c r="E2681" s="81" t="s">
        <v>2792</v>
      </c>
      <c r="F2681" s="84">
        <v>541.0</v>
      </c>
      <c r="G2681" s="81" t="s">
        <v>40</v>
      </c>
      <c r="H2681" s="81" t="s">
        <v>5943</v>
      </c>
      <c r="I2681" s="81" t="s">
        <v>2794</v>
      </c>
      <c r="J2681" s="81" t="s">
        <v>224</v>
      </c>
    </row>
    <row r="2682" hidden="1">
      <c r="A2682" s="83" t="s">
        <v>6317</v>
      </c>
      <c r="B2682" s="83" t="s">
        <v>6318</v>
      </c>
      <c r="C2682" s="81" t="s">
        <v>4086</v>
      </c>
      <c r="D2682" s="83" t="s">
        <v>4591</v>
      </c>
      <c r="E2682" s="81" t="s">
        <v>2795</v>
      </c>
      <c r="F2682" s="84">
        <v>542.0</v>
      </c>
      <c r="G2682" s="81" t="s">
        <v>39</v>
      </c>
      <c r="H2682" s="81" t="s">
        <v>5484</v>
      </c>
      <c r="I2682" s="81" t="s">
        <v>2800</v>
      </c>
      <c r="J2682" s="81" t="s">
        <v>224</v>
      </c>
    </row>
    <row r="2683" hidden="1">
      <c r="A2683" s="83" t="s">
        <v>6317</v>
      </c>
      <c r="B2683" s="83" t="s">
        <v>6318</v>
      </c>
      <c r="C2683" s="81" t="s">
        <v>5141</v>
      </c>
      <c r="D2683" s="83" t="s">
        <v>4591</v>
      </c>
      <c r="E2683" s="81" t="s">
        <v>2795</v>
      </c>
      <c r="F2683" s="84">
        <v>542.0</v>
      </c>
      <c r="G2683" s="81" t="s">
        <v>40</v>
      </c>
      <c r="H2683" s="81" t="s">
        <v>5485</v>
      </c>
      <c r="I2683" s="81" t="s">
        <v>224</v>
      </c>
      <c r="J2683" s="81" t="s">
        <v>5143</v>
      </c>
    </row>
    <row r="2684" hidden="1">
      <c r="A2684" s="83" t="s">
        <v>6317</v>
      </c>
      <c r="B2684" s="83" t="s">
        <v>6318</v>
      </c>
      <c r="C2684" s="81" t="s">
        <v>4086</v>
      </c>
      <c r="D2684" s="83" t="s">
        <v>4593</v>
      </c>
      <c r="E2684" s="81" t="s">
        <v>2805</v>
      </c>
      <c r="F2684" s="84">
        <v>543.0</v>
      </c>
      <c r="G2684" s="81" t="s">
        <v>39</v>
      </c>
      <c r="H2684" s="81" t="s">
        <v>5484</v>
      </c>
      <c r="I2684" s="81" t="s">
        <v>2809</v>
      </c>
      <c r="J2684" s="81" t="s">
        <v>224</v>
      </c>
    </row>
    <row r="2685" hidden="1">
      <c r="A2685" s="83" t="s">
        <v>6317</v>
      </c>
      <c r="B2685" s="83" t="s">
        <v>6318</v>
      </c>
      <c r="C2685" s="81" t="s">
        <v>5141</v>
      </c>
      <c r="D2685" s="83" t="s">
        <v>4593</v>
      </c>
      <c r="E2685" s="81" t="s">
        <v>2805</v>
      </c>
      <c r="F2685" s="84">
        <v>543.0</v>
      </c>
      <c r="G2685" s="81" t="s">
        <v>40</v>
      </c>
      <c r="H2685" s="81" t="s">
        <v>5485</v>
      </c>
      <c r="I2685" s="81" t="s">
        <v>224</v>
      </c>
      <c r="J2685" s="81" t="s">
        <v>5143</v>
      </c>
    </row>
    <row r="2686" hidden="1">
      <c r="A2686" s="83" t="s">
        <v>6317</v>
      </c>
      <c r="B2686" s="83" t="s">
        <v>6318</v>
      </c>
      <c r="C2686" s="81" t="s">
        <v>4086</v>
      </c>
      <c r="D2686" s="83" t="s">
        <v>4595</v>
      </c>
      <c r="E2686" s="81" t="s">
        <v>2814</v>
      </c>
      <c r="F2686" s="84">
        <v>544.0</v>
      </c>
      <c r="G2686" s="81" t="s">
        <v>39</v>
      </c>
      <c r="H2686" s="81" t="s">
        <v>5944</v>
      </c>
      <c r="I2686" s="81" t="s">
        <v>2820</v>
      </c>
      <c r="J2686" s="81" t="s">
        <v>224</v>
      </c>
    </row>
    <row r="2687" hidden="1">
      <c r="A2687" s="83" t="s">
        <v>6317</v>
      </c>
      <c r="B2687" s="83" t="s">
        <v>6318</v>
      </c>
      <c r="C2687" s="81" t="s">
        <v>4086</v>
      </c>
      <c r="D2687" s="83" t="s">
        <v>4595</v>
      </c>
      <c r="E2687" s="81" t="s">
        <v>2814</v>
      </c>
      <c r="F2687" s="84">
        <v>544.0</v>
      </c>
      <c r="G2687" s="81" t="s">
        <v>40</v>
      </c>
      <c r="H2687" s="81" t="s">
        <v>5945</v>
      </c>
      <c r="I2687" s="81" t="s">
        <v>5946</v>
      </c>
      <c r="J2687" s="81" t="s">
        <v>224</v>
      </c>
    </row>
    <row r="2688" hidden="1">
      <c r="A2688" s="83" t="s">
        <v>6317</v>
      </c>
      <c r="B2688" s="83" t="s">
        <v>6318</v>
      </c>
      <c r="C2688" s="81" t="s">
        <v>4086</v>
      </c>
      <c r="D2688" s="83" t="s">
        <v>4595</v>
      </c>
      <c r="E2688" s="81" t="s">
        <v>2827</v>
      </c>
      <c r="F2688" s="84">
        <v>545.0</v>
      </c>
      <c r="G2688" s="81" t="s">
        <v>39</v>
      </c>
      <c r="H2688" s="81" t="s">
        <v>5944</v>
      </c>
      <c r="I2688" s="81" t="s">
        <v>2820</v>
      </c>
      <c r="J2688" s="81" t="s">
        <v>224</v>
      </c>
    </row>
    <row r="2689" hidden="1">
      <c r="A2689" s="83" t="s">
        <v>6317</v>
      </c>
      <c r="B2689" s="83" t="s">
        <v>6318</v>
      </c>
      <c r="C2689" s="81" t="s">
        <v>4086</v>
      </c>
      <c r="D2689" s="83" t="s">
        <v>4595</v>
      </c>
      <c r="E2689" s="81" t="s">
        <v>2827</v>
      </c>
      <c r="F2689" s="84">
        <v>545.0</v>
      </c>
      <c r="G2689" s="81" t="s">
        <v>40</v>
      </c>
      <c r="H2689" s="81" t="s">
        <v>5945</v>
      </c>
      <c r="I2689" s="81" t="s">
        <v>5946</v>
      </c>
      <c r="J2689" s="81" t="s">
        <v>224</v>
      </c>
    </row>
    <row r="2690" hidden="1">
      <c r="A2690" s="83" t="s">
        <v>6317</v>
      </c>
      <c r="B2690" s="83" t="s">
        <v>6318</v>
      </c>
      <c r="C2690" s="81" t="s">
        <v>4086</v>
      </c>
      <c r="D2690" s="83" t="s">
        <v>4596</v>
      </c>
      <c r="E2690" s="81" t="s">
        <v>2828</v>
      </c>
      <c r="F2690" s="84">
        <v>546.0</v>
      </c>
      <c r="G2690" s="81" t="s">
        <v>39</v>
      </c>
      <c r="H2690" s="81" t="s">
        <v>5944</v>
      </c>
      <c r="I2690" s="81" t="s">
        <v>2831</v>
      </c>
      <c r="J2690" s="81" t="s">
        <v>224</v>
      </c>
    </row>
    <row r="2691" hidden="1">
      <c r="A2691" s="83" t="s">
        <v>6317</v>
      </c>
      <c r="B2691" s="83" t="s">
        <v>6318</v>
      </c>
      <c r="C2691" s="81" t="s">
        <v>4086</v>
      </c>
      <c r="D2691" s="83" t="s">
        <v>4596</v>
      </c>
      <c r="E2691" s="81" t="s">
        <v>2828</v>
      </c>
      <c r="F2691" s="84">
        <v>546.0</v>
      </c>
      <c r="G2691" s="81" t="s">
        <v>40</v>
      </c>
      <c r="H2691" s="81" t="s">
        <v>5945</v>
      </c>
      <c r="I2691" s="81" t="s">
        <v>2832</v>
      </c>
      <c r="J2691" s="81" t="s">
        <v>224</v>
      </c>
    </row>
    <row r="2692" hidden="1">
      <c r="A2692" s="83" t="s">
        <v>6317</v>
      </c>
      <c r="B2692" s="83" t="s">
        <v>6318</v>
      </c>
      <c r="C2692" s="81" t="s">
        <v>4086</v>
      </c>
      <c r="D2692" s="83" t="s">
        <v>4597</v>
      </c>
      <c r="E2692" s="81" t="s">
        <v>2837</v>
      </c>
      <c r="F2692" s="84">
        <v>547.0</v>
      </c>
      <c r="G2692" s="81" t="s">
        <v>39</v>
      </c>
      <c r="H2692" s="81" t="s">
        <v>5947</v>
      </c>
      <c r="I2692" s="81" t="s">
        <v>2840</v>
      </c>
      <c r="J2692" s="81" t="s">
        <v>224</v>
      </c>
    </row>
    <row r="2693" hidden="1">
      <c r="A2693" s="83" t="s">
        <v>6317</v>
      </c>
      <c r="B2693" s="83" t="s">
        <v>6318</v>
      </c>
      <c r="C2693" s="81" t="s">
        <v>4086</v>
      </c>
      <c r="D2693" s="83" t="s">
        <v>4597</v>
      </c>
      <c r="E2693" s="81" t="s">
        <v>2837</v>
      </c>
      <c r="F2693" s="84">
        <v>547.0</v>
      </c>
      <c r="G2693" s="81" t="s">
        <v>40</v>
      </c>
      <c r="H2693" s="81" t="s">
        <v>5948</v>
      </c>
      <c r="I2693" s="81" t="s">
        <v>5949</v>
      </c>
      <c r="J2693" s="81" t="s">
        <v>224</v>
      </c>
    </row>
    <row r="2694" hidden="1">
      <c r="A2694" s="83" t="s">
        <v>6317</v>
      </c>
      <c r="B2694" s="83" t="s">
        <v>6318</v>
      </c>
      <c r="C2694" s="81" t="s">
        <v>4086</v>
      </c>
      <c r="D2694" s="83" t="s">
        <v>4597</v>
      </c>
      <c r="E2694" s="81" t="s">
        <v>2847</v>
      </c>
      <c r="F2694" s="84">
        <v>548.0</v>
      </c>
      <c r="G2694" s="81" t="s">
        <v>39</v>
      </c>
      <c r="H2694" s="81" t="s">
        <v>5947</v>
      </c>
      <c r="I2694" s="81" t="s">
        <v>2840</v>
      </c>
      <c r="J2694" s="81" t="s">
        <v>224</v>
      </c>
    </row>
    <row r="2695" hidden="1">
      <c r="A2695" s="83" t="s">
        <v>6317</v>
      </c>
      <c r="B2695" s="83" t="s">
        <v>6318</v>
      </c>
      <c r="C2695" s="81" t="s">
        <v>4086</v>
      </c>
      <c r="D2695" s="83" t="s">
        <v>4597</v>
      </c>
      <c r="E2695" s="81" t="s">
        <v>2847</v>
      </c>
      <c r="F2695" s="84">
        <v>548.0</v>
      </c>
      <c r="G2695" s="81" t="s">
        <v>40</v>
      </c>
      <c r="H2695" s="81" t="s">
        <v>5948</v>
      </c>
      <c r="I2695" s="81" t="s">
        <v>5949</v>
      </c>
      <c r="J2695" s="81" t="s">
        <v>224</v>
      </c>
    </row>
    <row r="2696" hidden="1">
      <c r="A2696" s="83" t="s">
        <v>6317</v>
      </c>
      <c r="B2696" s="83" t="s">
        <v>6318</v>
      </c>
      <c r="C2696" s="81" t="s">
        <v>4086</v>
      </c>
      <c r="D2696" s="83" t="s">
        <v>4598</v>
      </c>
      <c r="E2696" s="81" t="s">
        <v>2848</v>
      </c>
      <c r="F2696" s="84">
        <v>549.0</v>
      </c>
      <c r="G2696" s="81" t="s">
        <v>39</v>
      </c>
      <c r="H2696" s="81" t="s">
        <v>5947</v>
      </c>
      <c r="I2696" s="81" t="s">
        <v>2851</v>
      </c>
      <c r="J2696" s="81" t="s">
        <v>224</v>
      </c>
    </row>
    <row r="2697" hidden="1">
      <c r="A2697" s="83" t="s">
        <v>6317</v>
      </c>
      <c r="B2697" s="83" t="s">
        <v>6318</v>
      </c>
      <c r="C2697" s="81" t="s">
        <v>4086</v>
      </c>
      <c r="D2697" s="83" t="s">
        <v>4598</v>
      </c>
      <c r="E2697" s="81" t="s">
        <v>2848</v>
      </c>
      <c r="F2697" s="84">
        <v>549.0</v>
      </c>
      <c r="G2697" s="81" t="s">
        <v>40</v>
      </c>
      <c r="H2697" s="81" t="s">
        <v>5948</v>
      </c>
      <c r="I2697" s="81" t="s">
        <v>2852</v>
      </c>
      <c r="J2697" s="81" t="s">
        <v>224</v>
      </c>
    </row>
    <row r="2698" hidden="1">
      <c r="A2698" s="83" t="s">
        <v>6317</v>
      </c>
      <c r="B2698" s="83" t="s">
        <v>6318</v>
      </c>
      <c r="C2698" s="81" t="s">
        <v>4086</v>
      </c>
      <c r="D2698" s="83" t="s">
        <v>4599</v>
      </c>
      <c r="E2698" s="81" t="s">
        <v>2857</v>
      </c>
      <c r="F2698" s="84">
        <v>550.0</v>
      </c>
      <c r="G2698" s="81" t="s">
        <v>39</v>
      </c>
      <c r="H2698" s="81" t="s">
        <v>5950</v>
      </c>
      <c r="I2698" s="81" t="s">
        <v>2862</v>
      </c>
      <c r="J2698" s="81" t="s">
        <v>224</v>
      </c>
    </row>
    <row r="2699" hidden="1">
      <c r="A2699" s="83" t="s">
        <v>6317</v>
      </c>
      <c r="B2699" s="83" t="s">
        <v>6318</v>
      </c>
      <c r="C2699" s="81" t="s">
        <v>4086</v>
      </c>
      <c r="D2699" s="83" t="s">
        <v>4599</v>
      </c>
      <c r="E2699" s="81" t="s">
        <v>2857</v>
      </c>
      <c r="F2699" s="84">
        <v>550.0</v>
      </c>
      <c r="G2699" s="81" t="s">
        <v>40</v>
      </c>
      <c r="H2699" s="81" t="s">
        <v>5951</v>
      </c>
      <c r="I2699" s="81" t="s">
        <v>2863</v>
      </c>
      <c r="J2699" s="81" t="s">
        <v>224</v>
      </c>
    </row>
    <row r="2700" hidden="1">
      <c r="A2700" s="83" t="s">
        <v>6317</v>
      </c>
      <c r="B2700" s="83" t="s">
        <v>6318</v>
      </c>
      <c r="C2700" s="81" t="s">
        <v>4086</v>
      </c>
      <c r="D2700" s="83" t="s">
        <v>4599</v>
      </c>
      <c r="E2700" s="81" t="s">
        <v>2869</v>
      </c>
      <c r="F2700" s="84">
        <v>551.0</v>
      </c>
      <c r="G2700" s="81" t="s">
        <v>40</v>
      </c>
      <c r="H2700" s="81" t="s">
        <v>5951</v>
      </c>
      <c r="I2700" s="81" t="s">
        <v>2863</v>
      </c>
      <c r="J2700" s="81" t="s">
        <v>224</v>
      </c>
    </row>
    <row r="2701" hidden="1">
      <c r="A2701" s="83" t="s">
        <v>6317</v>
      </c>
      <c r="B2701" s="83" t="s">
        <v>6318</v>
      </c>
      <c r="C2701" s="81" t="s">
        <v>4086</v>
      </c>
      <c r="D2701" s="83" t="s">
        <v>4600</v>
      </c>
      <c r="E2701" s="81" t="s">
        <v>2870</v>
      </c>
      <c r="F2701" s="84">
        <v>552.0</v>
      </c>
      <c r="G2701" s="81" t="s">
        <v>39</v>
      </c>
      <c r="H2701" s="81" t="s">
        <v>5952</v>
      </c>
      <c r="I2701" s="81" t="s">
        <v>2872</v>
      </c>
      <c r="J2701" s="81" t="s">
        <v>224</v>
      </c>
    </row>
    <row r="2702" hidden="1">
      <c r="A2702" s="83" t="s">
        <v>6317</v>
      </c>
      <c r="B2702" s="83" t="s">
        <v>6318</v>
      </c>
      <c r="C2702" s="81" t="s">
        <v>4086</v>
      </c>
      <c r="D2702" s="83" t="s">
        <v>4600</v>
      </c>
      <c r="E2702" s="81" t="s">
        <v>2870</v>
      </c>
      <c r="F2702" s="84">
        <v>552.0</v>
      </c>
      <c r="G2702" s="81" t="s">
        <v>40</v>
      </c>
      <c r="H2702" s="81" t="s">
        <v>5953</v>
      </c>
      <c r="I2702" s="81" t="s">
        <v>2873</v>
      </c>
      <c r="J2702" s="81" t="s">
        <v>224</v>
      </c>
    </row>
    <row r="2703" hidden="1">
      <c r="A2703" s="83" t="s">
        <v>6317</v>
      </c>
      <c r="B2703" s="83" t="s">
        <v>6318</v>
      </c>
      <c r="C2703" s="81" t="s">
        <v>4086</v>
      </c>
      <c r="D2703" s="83" t="s">
        <v>4601</v>
      </c>
      <c r="E2703" s="81" t="s">
        <v>2874</v>
      </c>
      <c r="F2703" s="84">
        <v>553.0</v>
      </c>
      <c r="G2703" s="81" t="s">
        <v>39</v>
      </c>
      <c r="H2703" s="81" t="s">
        <v>5888</v>
      </c>
      <c r="I2703" s="81" t="s">
        <v>2877</v>
      </c>
      <c r="J2703" s="81" t="s">
        <v>224</v>
      </c>
    </row>
    <row r="2704" hidden="1">
      <c r="A2704" s="83" t="s">
        <v>6317</v>
      </c>
      <c r="B2704" s="83" t="s">
        <v>6318</v>
      </c>
      <c r="C2704" s="81" t="s">
        <v>5141</v>
      </c>
      <c r="D2704" s="83" t="s">
        <v>4601</v>
      </c>
      <c r="E2704" s="81" t="s">
        <v>2874</v>
      </c>
      <c r="F2704" s="84">
        <v>553.0</v>
      </c>
      <c r="G2704" s="81" t="s">
        <v>40</v>
      </c>
      <c r="H2704" s="81" t="s">
        <v>5889</v>
      </c>
      <c r="I2704" s="81" t="s">
        <v>224</v>
      </c>
      <c r="J2704" s="81" t="s">
        <v>5143</v>
      </c>
    </row>
    <row r="2705" hidden="1">
      <c r="A2705" s="83" t="s">
        <v>6317</v>
      </c>
      <c r="B2705" s="83" t="s">
        <v>6318</v>
      </c>
      <c r="C2705" s="81" t="s">
        <v>4086</v>
      </c>
      <c r="D2705" s="83" t="s">
        <v>4603</v>
      </c>
      <c r="E2705" s="81" t="s">
        <v>2881</v>
      </c>
      <c r="F2705" s="84">
        <v>554.0</v>
      </c>
      <c r="G2705" s="81" t="s">
        <v>39</v>
      </c>
      <c r="H2705" s="81" t="s">
        <v>5888</v>
      </c>
      <c r="I2705" s="81" t="s">
        <v>2882</v>
      </c>
      <c r="J2705" s="81" t="s">
        <v>224</v>
      </c>
    </row>
    <row r="2706" hidden="1">
      <c r="A2706" s="83" t="s">
        <v>6317</v>
      </c>
      <c r="B2706" s="83" t="s">
        <v>6318</v>
      </c>
      <c r="C2706" s="81" t="s">
        <v>5141</v>
      </c>
      <c r="D2706" s="83" t="s">
        <v>4603</v>
      </c>
      <c r="E2706" s="81" t="s">
        <v>2881</v>
      </c>
      <c r="F2706" s="84">
        <v>554.0</v>
      </c>
      <c r="G2706" s="81" t="s">
        <v>40</v>
      </c>
      <c r="H2706" s="81" t="s">
        <v>5889</v>
      </c>
      <c r="I2706" s="81" t="s">
        <v>224</v>
      </c>
      <c r="J2706" s="81" t="s">
        <v>5143</v>
      </c>
    </row>
    <row r="2707" hidden="1">
      <c r="A2707" s="83" t="s">
        <v>6317</v>
      </c>
      <c r="B2707" s="83" t="s">
        <v>6318</v>
      </c>
      <c r="C2707" s="81" t="s">
        <v>4086</v>
      </c>
      <c r="D2707" s="83" t="s">
        <v>4604</v>
      </c>
      <c r="E2707" s="81" t="s">
        <v>2885</v>
      </c>
      <c r="F2707" s="84">
        <v>555.0</v>
      </c>
      <c r="G2707" s="81" t="s">
        <v>39</v>
      </c>
      <c r="H2707" s="81" t="s">
        <v>5888</v>
      </c>
      <c r="I2707" s="81" t="s">
        <v>2886</v>
      </c>
      <c r="J2707" s="81" t="s">
        <v>224</v>
      </c>
    </row>
    <row r="2708" hidden="1">
      <c r="A2708" s="83" t="s">
        <v>6317</v>
      </c>
      <c r="B2708" s="83" t="s">
        <v>6318</v>
      </c>
      <c r="C2708" s="81" t="s">
        <v>5141</v>
      </c>
      <c r="D2708" s="83" t="s">
        <v>4604</v>
      </c>
      <c r="E2708" s="81" t="s">
        <v>2885</v>
      </c>
      <c r="F2708" s="84">
        <v>555.0</v>
      </c>
      <c r="G2708" s="81" t="s">
        <v>40</v>
      </c>
      <c r="H2708" s="81" t="s">
        <v>5889</v>
      </c>
      <c r="I2708" s="81" t="s">
        <v>224</v>
      </c>
      <c r="J2708" s="81" t="s">
        <v>5143</v>
      </c>
    </row>
    <row r="2709" hidden="1">
      <c r="A2709" s="83" t="s">
        <v>6317</v>
      </c>
      <c r="B2709" s="83" t="s">
        <v>6318</v>
      </c>
      <c r="C2709" s="81" t="s">
        <v>4086</v>
      </c>
      <c r="D2709" s="83" t="s">
        <v>4605</v>
      </c>
      <c r="E2709" s="81" t="s">
        <v>2889</v>
      </c>
      <c r="F2709" s="84">
        <v>556.0</v>
      </c>
      <c r="G2709" s="81" t="s">
        <v>39</v>
      </c>
      <c r="H2709" s="81" t="s">
        <v>5844</v>
      </c>
      <c r="I2709" s="81" t="s">
        <v>2890</v>
      </c>
      <c r="J2709" s="81" t="s">
        <v>224</v>
      </c>
    </row>
    <row r="2710" hidden="1">
      <c r="A2710" s="83" t="s">
        <v>6317</v>
      </c>
      <c r="B2710" s="83" t="s">
        <v>6318</v>
      </c>
      <c r="C2710" s="81" t="s">
        <v>5141</v>
      </c>
      <c r="D2710" s="83" t="s">
        <v>4605</v>
      </c>
      <c r="E2710" s="81" t="s">
        <v>2889</v>
      </c>
      <c r="F2710" s="84">
        <v>556.0</v>
      </c>
      <c r="G2710" s="81" t="s">
        <v>40</v>
      </c>
      <c r="H2710" s="81" t="s">
        <v>5845</v>
      </c>
      <c r="I2710" s="81" t="s">
        <v>224</v>
      </c>
      <c r="J2710" s="81" t="s">
        <v>5143</v>
      </c>
    </row>
    <row r="2711" hidden="1">
      <c r="A2711" s="83" t="s">
        <v>6317</v>
      </c>
      <c r="B2711" s="83" t="s">
        <v>6318</v>
      </c>
      <c r="C2711" s="81" t="s">
        <v>4086</v>
      </c>
      <c r="D2711" s="83" t="s">
        <v>4606</v>
      </c>
      <c r="E2711" s="81" t="s">
        <v>2891</v>
      </c>
      <c r="F2711" s="84">
        <v>557.0</v>
      </c>
      <c r="G2711" s="81" t="s">
        <v>39</v>
      </c>
      <c r="H2711" s="81" t="s">
        <v>5844</v>
      </c>
      <c r="I2711" s="81" t="s">
        <v>2892</v>
      </c>
      <c r="J2711" s="81" t="s">
        <v>224</v>
      </c>
    </row>
    <row r="2712" hidden="1">
      <c r="A2712" s="83" t="s">
        <v>6317</v>
      </c>
      <c r="B2712" s="83" t="s">
        <v>6318</v>
      </c>
      <c r="C2712" s="81" t="s">
        <v>5141</v>
      </c>
      <c r="D2712" s="83" t="s">
        <v>4606</v>
      </c>
      <c r="E2712" s="81" t="s">
        <v>2891</v>
      </c>
      <c r="F2712" s="84">
        <v>557.0</v>
      </c>
      <c r="G2712" s="81" t="s">
        <v>40</v>
      </c>
      <c r="H2712" s="81" t="s">
        <v>5845</v>
      </c>
      <c r="I2712" s="81" t="s">
        <v>224</v>
      </c>
      <c r="J2712" s="81" t="s">
        <v>5143</v>
      </c>
    </row>
    <row r="2713" hidden="1">
      <c r="A2713" s="83" t="s">
        <v>6317</v>
      </c>
      <c r="B2713" s="83" t="s">
        <v>6318</v>
      </c>
      <c r="C2713" s="81" t="s">
        <v>5141</v>
      </c>
      <c r="D2713" s="83" t="s">
        <v>4607</v>
      </c>
      <c r="E2713" s="81" t="s">
        <v>2893</v>
      </c>
      <c r="F2713" s="84">
        <v>558.0</v>
      </c>
      <c r="G2713" s="81" t="s">
        <v>40</v>
      </c>
      <c r="H2713" s="81" t="s">
        <v>49</v>
      </c>
      <c r="I2713" s="81" t="s">
        <v>224</v>
      </c>
      <c r="J2713" s="81" t="s">
        <v>5143</v>
      </c>
    </row>
    <row r="2714" hidden="1">
      <c r="A2714" s="83" t="s">
        <v>6317</v>
      </c>
      <c r="B2714" s="83" t="s">
        <v>6318</v>
      </c>
      <c r="C2714" s="81" t="s">
        <v>4086</v>
      </c>
      <c r="D2714" s="83" t="s">
        <v>4608</v>
      </c>
      <c r="E2714" s="81" t="s">
        <v>4609</v>
      </c>
      <c r="F2714" s="84">
        <v>559.0</v>
      </c>
      <c r="G2714" s="81" t="s">
        <v>39</v>
      </c>
      <c r="H2714" s="81" t="s">
        <v>5954</v>
      </c>
      <c r="I2714" s="81" t="s">
        <v>2899</v>
      </c>
      <c r="J2714" s="81" t="s">
        <v>224</v>
      </c>
    </row>
    <row r="2715" hidden="1">
      <c r="A2715" s="83" t="s">
        <v>6317</v>
      </c>
      <c r="B2715" s="83" t="s">
        <v>6318</v>
      </c>
      <c r="C2715" s="81" t="s">
        <v>4086</v>
      </c>
      <c r="D2715" s="83" t="s">
        <v>4608</v>
      </c>
      <c r="E2715" s="81" t="s">
        <v>4609</v>
      </c>
      <c r="F2715" s="84">
        <v>559.0</v>
      </c>
      <c r="G2715" s="81" t="s">
        <v>40</v>
      </c>
      <c r="H2715" s="81" t="s">
        <v>5955</v>
      </c>
      <c r="I2715" s="81" t="s">
        <v>5956</v>
      </c>
      <c r="J2715" s="81" t="s">
        <v>224</v>
      </c>
    </row>
    <row r="2716" hidden="1">
      <c r="A2716" s="83" t="s">
        <v>6317</v>
      </c>
      <c r="B2716" s="83" t="s">
        <v>6318</v>
      </c>
      <c r="C2716" s="81" t="s">
        <v>4086</v>
      </c>
      <c r="D2716" s="83" t="s">
        <v>4608</v>
      </c>
      <c r="E2716" s="81" t="s">
        <v>2906</v>
      </c>
      <c r="F2716" s="84">
        <v>560.0</v>
      </c>
      <c r="G2716" s="81" t="s">
        <v>39</v>
      </c>
      <c r="H2716" s="81" t="s">
        <v>5957</v>
      </c>
      <c r="I2716" s="81" t="s">
        <v>2899</v>
      </c>
      <c r="J2716" s="81" t="s">
        <v>224</v>
      </c>
    </row>
    <row r="2717" hidden="1">
      <c r="A2717" s="83" t="s">
        <v>6317</v>
      </c>
      <c r="B2717" s="83" t="s">
        <v>6318</v>
      </c>
      <c r="C2717" s="81" t="s">
        <v>4086</v>
      </c>
      <c r="D2717" s="83" t="s">
        <v>4608</v>
      </c>
      <c r="E2717" s="81" t="s">
        <v>2906</v>
      </c>
      <c r="F2717" s="84">
        <v>560.0</v>
      </c>
      <c r="G2717" s="81" t="s">
        <v>40</v>
      </c>
      <c r="H2717" s="81" t="s">
        <v>5958</v>
      </c>
      <c r="I2717" s="81" t="s">
        <v>5956</v>
      </c>
      <c r="J2717" s="81" t="s">
        <v>224</v>
      </c>
    </row>
    <row r="2718" hidden="1">
      <c r="A2718" s="83" t="s">
        <v>6317</v>
      </c>
      <c r="B2718" s="83" t="s">
        <v>6318</v>
      </c>
      <c r="C2718" s="81" t="s">
        <v>4086</v>
      </c>
      <c r="D2718" s="83" t="s">
        <v>4611</v>
      </c>
      <c r="E2718" s="81" t="s">
        <v>2908</v>
      </c>
      <c r="F2718" s="84">
        <v>561.0</v>
      </c>
      <c r="G2718" s="81" t="s">
        <v>39</v>
      </c>
      <c r="H2718" s="81" t="s">
        <v>5959</v>
      </c>
      <c r="I2718" s="81" t="s">
        <v>2909</v>
      </c>
      <c r="J2718" s="81" t="s">
        <v>224</v>
      </c>
    </row>
    <row r="2719" hidden="1">
      <c r="A2719" s="83" t="s">
        <v>6317</v>
      </c>
      <c r="B2719" s="83" t="s">
        <v>6318</v>
      </c>
      <c r="C2719" s="81" t="s">
        <v>4086</v>
      </c>
      <c r="D2719" s="83" t="s">
        <v>4611</v>
      </c>
      <c r="E2719" s="81" t="s">
        <v>2908</v>
      </c>
      <c r="F2719" s="84">
        <v>561.0</v>
      </c>
      <c r="G2719" s="81" t="s">
        <v>40</v>
      </c>
      <c r="H2719" s="81" t="s">
        <v>5960</v>
      </c>
      <c r="I2719" s="81" t="s">
        <v>2910</v>
      </c>
      <c r="J2719" s="81" t="s">
        <v>224</v>
      </c>
    </row>
    <row r="2720" hidden="1">
      <c r="A2720" s="83" t="s">
        <v>6317</v>
      </c>
      <c r="B2720" s="83" t="s">
        <v>6318</v>
      </c>
      <c r="C2720" s="81" t="s">
        <v>4086</v>
      </c>
      <c r="D2720" s="83" t="s">
        <v>4612</v>
      </c>
      <c r="E2720" s="81" t="s">
        <v>2911</v>
      </c>
      <c r="F2720" s="84">
        <v>562.0</v>
      </c>
      <c r="G2720" s="81" t="s">
        <v>39</v>
      </c>
      <c r="H2720" s="81" t="s">
        <v>2014</v>
      </c>
      <c r="I2720" s="81" t="s">
        <v>2915</v>
      </c>
      <c r="J2720" s="81" t="s">
        <v>224</v>
      </c>
    </row>
    <row r="2721" hidden="1">
      <c r="A2721" s="83" t="s">
        <v>6317</v>
      </c>
      <c r="B2721" s="83" t="s">
        <v>6318</v>
      </c>
      <c r="C2721" s="81" t="s">
        <v>4086</v>
      </c>
      <c r="D2721" s="83" t="s">
        <v>4612</v>
      </c>
      <c r="E2721" s="81" t="s">
        <v>2911</v>
      </c>
      <c r="F2721" s="84">
        <v>562.0</v>
      </c>
      <c r="G2721" s="81" t="s">
        <v>40</v>
      </c>
      <c r="H2721" s="81" t="s">
        <v>5961</v>
      </c>
      <c r="I2721" s="81" t="s">
        <v>2916</v>
      </c>
      <c r="J2721" s="81" t="s">
        <v>224</v>
      </c>
    </row>
    <row r="2722" hidden="1">
      <c r="A2722" s="83" t="s">
        <v>6317</v>
      </c>
      <c r="B2722" s="83" t="s">
        <v>6318</v>
      </c>
      <c r="C2722" s="81" t="s">
        <v>4086</v>
      </c>
      <c r="D2722" s="83" t="s">
        <v>4612</v>
      </c>
      <c r="E2722" s="81" t="s">
        <v>2921</v>
      </c>
      <c r="F2722" s="84">
        <v>563.0</v>
      </c>
      <c r="G2722" s="81" t="s">
        <v>39</v>
      </c>
      <c r="H2722" s="81" t="s">
        <v>5962</v>
      </c>
      <c r="I2722" s="81" t="s">
        <v>2915</v>
      </c>
      <c r="J2722" s="81" t="s">
        <v>224</v>
      </c>
    </row>
    <row r="2723" hidden="1">
      <c r="A2723" s="83" t="s">
        <v>6317</v>
      </c>
      <c r="B2723" s="83" t="s">
        <v>6318</v>
      </c>
      <c r="C2723" s="81" t="s">
        <v>4086</v>
      </c>
      <c r="D2723" s="83" t="s">
        <v>4612</v>
      </c>
      <c r="E2723" s="81" t="s">
        <v>2921</v>
      </c>
      <c r="F2723" s="84">
        <v>563.0</v>
      </c>
      <c r="G2723" s="81" t="s">
        <v>40</v>
      </c>
      <c r="H2723" s="81" t="s">
        <v>5961</v>
      </c>
      <c r="I2723" s="81" t="s">
        <v>2916</v>
      </c>
      <c r="J2723" s="81" t="s">
        <v>224</v>
      </c>
    </row>
    <row r="2724" hidden="1">
      <c r="A2724" s="83" t="s">
        <v>6317</v>
      </c>
      <c r="B2724" s="83" t="s">
        <v>6318</v>
      </c>
      <c r="C2724" s="81" t="s">
        <v>4086</v>
      </c>
      <c r="D2724" s="83" t="s">
        <v>4614</v>
      </c>
      <c r="E2724" s="81" t="s">
        <v>2922</v>
      </c>
      <c r="F2724" s="84">
        <v>564.0</v>
      </c>
      <c r="G2724" s="81" t="s">
        <v>40</v>
      </c>
      <c r="H2724" s="81" t="s">
        <v>5963</v>
      </c>
      <c r="I2724" s="81" t="s">
        <v>2926</v>
      </c>
      <c r="J2724" s="81" t="s">
        <v>224</v>
      </c>
    </row>
    <row r="2725" hidden="1">
      <c r="A2725" s="83" t="s">
        <v>6317</v>
      </c>
      <c r="B2725" s="83" t="s">
        <v>6318</v>
      </c>
      <c r="C2725" s="81" t="s">
        <v>4086</v>
      </c>
      <c r="D2725" s="83" t="s">
        <v>4616</v>
      </c>
      <c r="E2725" s="81" t="s">
        <v>2930</v>
      </c>
      <c r="F2725" s="84">
        <v>565.0</v>
      </c>
      <c r="G2725" s="81" t="s">
        <v>39</v>
      </c>
      <c r="H2725" s="81" t="s">
        <v>5964</v>
      </c>
      <c r="I2725" s="81" t="s">
        <v>2931</v>
      </c>
      <c r="J2725" s="81" t="s">
        <v>224</v>
      </c>
    </row>
    <row r="2726" hidden="1">
      <c r="A2726" s="83" t="s">
        <v>6317</v>
      </c>
      <c r="B2726" s="83" t="s">
        <v>6318</v>
      </c>
      <c r="C2726" s="81" t="s">
        <v>4086</v>
      </c>
      <c r="D2726" s="83" t="s">
        <v>4616</v>
      </c>
      <c r="E2726" s="81" t="s">
        <v>2930</v>
      </c>
      <c r="F2726" s="84">
        <v>565.0</v>
      </c>
      <c r="G2726" s="81" t="s">
        <v>40</v>
      </c>
      <c r="H2726" s="81" t="s">
        <v>5965</v>
      </c>
      <c r="I2726" s="81" t="s">
        <v>2932</v>
      </c>
      <c r="J2726" s="81" t="s">
        <v>224</v>
      </c>
    </row>
    <row r="2727" hidden="1">
      <c r="A2727" s="83" t="s">
        <v>6317</v>
      </c>
      <c r="B2727" s="83" t="s">
        <v>6318</v>
      </c>
      <c r="C2727" s="81" t="s">
        <v>4086</v>
      </c>
      <c r="D2727" s="83" t="s">
        <v>4617</v>
      </c>
      <c r="E2727" s="81" t="s">
        <v>2933</v>
      </c>
      <c r="F2727" s="84">
        <v>566.0</v>
      </c>
      <c r="G2727" s="81" t="s">
        <v>39</v>
      </c>
      <c r="H2727" s="81" t="s">
        <v>5966</v>
      </c>
      <c r="I2727" s="81" t="s">
        <v>2934</v>
      </c>
      <c r="J2727" s="81" t="s">
        <v>224</v>
      </c>
    </row>
    <row r="2728" hidden="1">
      <c r="A2728" s="83" t="s">
        <v>6317</v>
      </c>
      <c r="B2728" s="83" t="s">
        <v>6318</v>
      </c>
      <c r="C2728" s="81" t="s">
        <v>4086</v>
      </c>
      <c r="D2728" s="83" t="s">
        <v>4617</v>
      </c>
      <c r="E2728" s="81" t="s">
        <v>2933</v>
      </c>
      <c r="F2728" s="84">
        <v>566.0</v>
      </c>
      <c r="G2728" s="81" t="s">
        <v>40</v>
      </c>
      <c r="H2728" s="81" t="s">
        <v>5967</v>
      </c>
      <c r="I2728" s="81" t="s">
        <v>2935</v>
      </c>
      <c r="J2728" s="81" t="s">
        <v>224</v>
      </c>
    </row>
    <row r="2729" hidden="1">
      <c r="A2729" s="83" t="s">
        <v>6317</v>
      </c>
      <c r="B2729" s="83" t="s">
        <v>6318</v>
      </c>
      <c r="C2729" s="81" t="s">
        <v>4086</v>
      </c>
      <c r="D2729" s="83" t="s">
        <v>4622</v>
      </c>
      <c r="E2729" s="81" t="s">
        <v>2936</v>
      </c>
      <c r="F2729" s="84">
        <v>567.0</v>
      </c>
      <c r="G2729" s="81" t="s">
        <v>39</v>
      </c>
      <c r="H2729" s="81" t="s">
        <v>5968</v>
      </c>
      <c r="I2729" s="81" t="s">
        <v>2942</v>
      </c>
      <c r="J2729" s="81" t="s">
        <v>224</v>
      </c>
    </row>
    <row r="2730" hidden="1">
      <c r="A2730" s="83" t="s">
        <v>6317</v>
      </c>
      <c r="B2730" s="83" t="s">
        <v>6318</v>
      </c>
      <c r="C2730" s="81" t="s">
        <v>4086</v>
      </c>
      <c r="D2730" s="83" t="s">
        <v>4622</v>
      </c>
      <c r="E2730" s="81" t="s">
        <v>2936</v>
      </c>
      <c r="F2730" s="84">
        <v>567.0</v>
      </c>
      <c r="G2730" s="81" t="s">
        <v>40</v>
      </c>
      <c r="H2730" s="81" t="s">
        <v>5969</v>
      </c>
      <c r="I2730" s="81" t="s">
        <v>5970</v>
      </c>
      <c r="J2730" s="81" t="s">
        <v>224</v>
      </c>
    </row>
    <row r="2731" hidden="1">
      <c r="A2731" s="83" t="s">
        <v>6317</v>
      </c>
      <c r="B2731" s="83" t="s">
        <v>6318</v>
      </c>
      <c r="C2731" s="81" t="s">
        <v>4086</v>
      </c>
      <c r="D2731" s="83" t="s">
        <v>4625</v>
      </c>
      <c r="E2731" s="81" t="s">
        <v>2949</v>
      </c>
      <c r="F2731" s="84">
        <v>568.0</v>
      </c>
      <c r="G2731" s="81" t="s">
        <v>39</v>
      </c>
      <c r="H2731" s="81" t="s">
        <v>5971</v>
      </c>
      <c r="I2731" s="81" t="s">
        <v>2954</v>
      </c>
      <c r="J2731" s="81" t="s">
        <v>224</v>
      </c>
    </row>
    <row r="2732" hidden="1">
      <c r="A2732" s="83" t="s">
        <v>6317</v>
      </c>
      <c r="B2732" s="83" t="s">
        <v>6318</v>
      </c>
      <c r="C2732" s="81" t="s">
        <v>4086</v>
      </c>
      <c r="D2732" s="83" t="s">
        <v>4625</v>
      </c>
      <c r="E2732" s="81" t="s">
        <v>2949</v>
      </c>
      <c r="F2732" s="84">
        <v>568.0</v>
      </c>
      <c r="G2732" s="81" t="s">
        <v>40</v>
      </c>
      <c r="H2732" s="81" t="s">
        <v>5972</v>
      </c>
      <c r="I2732" s="81" t="s">
        <v>2955</v>
      </c>
      <c r="J2732" s="81" t="s">
        <v>224</v>
      </c>
    </row>
    <row r="2733" hidden="1">
      <c r="A2733" s="83" t="s">
        <v>6317</v>
      </c>
      <c r="B2733" s="83" t="s">
        <v>6318</v>
      </c>
      <c r="C2733" s="81" t="s">
        <v>4086</v>
      </c>
      <c r="D2733" s="83" t="s">
        <v>4625</v>
      </c>
      <c r="E2733" s="81" t="s">
        <v>2961</v>
      </c>
      <c r="F2733" s="84">
        <v>569.0</v>
      </c>
      <c r="G2733" s="81" t="s">
        <v>40</v>
      </c>
      <c r="H2733" s="81" t="s">
        <v>5973</v>
      </c>
      <c r="I2733" s="81" t="s">
        <v>2955</v>
      </c>
      <c r="J2733" s="81" t="s">
        <v>224</v>
      </c>
    </row>
    <row r="2734" hidden="1">
      <c r="A2734" s="83" t="s">
        <v>6317</v>
      </c>
      <c r="B2734" s="83" t="s">
        <v>6318</v>
      </c>
      <c r="C2734" s="81" t="s">
        <v>4086</v>
      </c>
      <c r="D2734" s="83" t="s">
        <v>4627</v>
      </c>
      <c r="E2734" s="81" t="s">
        <v>2962</v>
      </c>
      <c r="F2734" s="84">
        <v>570.0</v>
      </c>
      <c r="G2734" s="81" t="s">
        <v>39</v>
      </c>
      <c r="H2734" s="81" t="s">
        <v>5974</v>
      </c>
      <c r="I2734" s="81" t="s">
        <v>2963</v>
      </c>
      <c r="J2734" s="81" t="s">
        <v>224</v>
      </c>
    </row>
    <row r="2735" hidden="1">
      <c r="A2735" s="83" t="s">
        <v>6317</v>
      </c>
      <c r="B2735" s="83" t="s">
        <v>6318</v>
      </c>
      <c r="C2735" s="81" t="s">
        <v>4086</v>
      </c>
      <c r="D2735" s="83" t="s">
        <v>4627</v>
      </c>
      <c r="E2735" s="81" t="s">
        <v>2962</v>
      </c>
      <c r="F2735" s="84">
        <v>570.0</v>
      </c>
      <c r="G2735" s="81" t="s">
        <v>40</v>
      </c>
      <c r="H2735" s="81" t="s">
        <v>5975</v>
      </c>
      <c r="I2735" s="81" t="s">
        <v>2964</v>
      </c>
      <c r="J2735" s="81" t="s">
        <v>224</v>
      </c>
    </row>
    <row r="2736" hidden="1">
      <c r="A2736" s="83" t="s">
        <v>6317</v>
      </c>
      <c r="B2736" s="83" t="s">
        <v>6318</v>
      </c>
      <c r="C2736" s="81" t="s">
        <v>4086</v>
      </c>
      <c r="D2736" s="83" t="s">
        <v>4628</v>
      </c>
      <c r="E2736" s="81" t="s">
        <v>2965</v>
      </c>
      <c r="F2736" s="84">
        <v>571.0</v>
      </c>
      <c r="G2736" s="81" t="s">
        <v>39</v>
      </c>
      <c r="H2736" s="81" t="s">
        <v>5976</v>
      </c>
      <c r="I2736" s="81" t="s">
        <v>2971</v>
      </c>
      <c r="J2736" s="81" t="s">
        <v>224</v>
      </c>
    </row>
    <row r="2737" hidden="1">
      <c r="A2737" s="83" t="s">
        <v>6317</v>
      </c>
      <c r="B2737" s="83" t="s">
        <v>6318</v>
      </c>
      <c r="C2737" s="81" t="s">
        <v>4086</v>
      </c>
      <c r="D2737" s="83" t="s">
        <v>4628</v>
      </c>
      <c r="E2737" s="81" t="s">
        <v>2965</v>
      </c>
      <c r="F2737" s="84">
        <v>571.0</v>
      </c>
      <c r="G2737" s="81" t="s">
        <v>40</v>
      </c>
      <c r="H2737" s="81" t="s">
        <v>5977</v>
      </c>
      <c r="I2737" s="81" t="s">
        <v>5978</v>
      </c>
      <c r="J2737" s="81" t="s">
        <v>224</v>
      </c>
    </row>
    <row r="2738" hidden="1">
      <c r="A2738" s="83" t="s">
        <v>6317</v>
      </c>
      <c r="B2738" s="83" t="s">
        <v>6318</v>
      </c>
      <c r="C2738" s="81" t="s">
        <v>4086</v>
      </c>
      <c r="D2738" s="83" t="s">
        <v>4628</v>
      </c>
      <c r="E2738" s="81" t="s">
        <v>2978</v>
      </c>
      <c r="F2738" s="84">
        <v>572.0</v>
      </c>
      <c r="G2738" s="81" t="s">
        <v>39</v>
      </c>
      <c r="H2738" s="81" t="s">
        <v>5976</v>
      </c>
      <c r="I2738" s="81" t="s">
        <v>2971</v>
      </c>
      <c r="J2738" s="81" t="s">
        <v>224</v>
      </c>
    </row>
    <row r="2739" hidden="1">
      <c r="A2739" s="83" t="s">
        <v>6317</v>
      </c>
      <c r="B2739" s="83" t="s">
        <v>6318</v>
      </c>
      <c r="C2739" s="81" t="s">
        <v>4086</v>
      </c>
      <c r="D2739" s="83" t="s">
        <v>4628</v>
      </c>
      <c r="E2739" s="81" t="s">
        <v>2978</v>
      </c>
      <c r="F2739" s="84">
        <v>572.0</v>
      </c>
      <c r="G2739" s="81" t="s">
        <v>40</v>
      </c>
      <c r="H2739" s="81" t="s">
        <v>5977</v>
      </c>
      <c r="I2739" s="81" t="s">
        <v>5978</v>
      </c>
      <c r="J2739" s="81" t="s">
        <v>224</v>
      </c>
    </row>
    <row r="2740" hidden="1">
      <c r="A2740" s="83" t="s">
        <v>6317</v>
      </c>
      <c r="B2740" s="83" t="s">
        <v>6318</v>
      </c>
      <c r="C2740" s="81" t="s">
        <v>4086</v>
      </c>
      <c r="D2740" s="83" t="s">
        <v>4630</v>
      </c>
      <c r="E2740" s="81" t="s">
        <v>2979</v>
      </c>
      <c r="F2740" s="84">
        <v>573.0</v>
      </c>
      <c r="G2740" s="81" t="s">
        <v>39</v>
      </c>
      <c r="H2740" s="81" t="s">
        <v>5979</v>
      </c>
      <c r="I2740" s="81" t="s">
        <v>2980</v>
      </c>
      <c r="J2740" s="81" t="s">
        <v>224</v>
      </c>
    </row>
    <row r="2741" hidden="1">
      <c r="A2741" s="83" t="s">
        <v>6317</v>
      </c>
      <c r="B2741" s="83" t="s">
        <v>6318</v>
      </c>
      <c r="C2741" s="81" t="s">
        <v>4086</v>
      </c>
      <c r="D2741" s="83" t="s">
        <v>4630</v>
      </c>
      <c r="E2741" s="81" t="s">
        <v>2979</v>
      </c>
      <c r="F2741" s="84">
        <v>573.0</v>
      </c>
      <c r="G2741" s="81" t="s">
        <v>40</v>
      </c>
      <c r="H2741" s="81" t="s">
        <v>5980</v>
      </c>
      <c r="I2741" s="81" t="s">
        <v>2981</v>
      </c>
      <c r="J2741" s="81" t="s">
        <v>224</v>
      </c>
    </row>
    <row r="2742" hidden="1">
      <c r="A2742" s="83" t="s">
        <v>6317</v>
      </c>
      <c r="B2742" s="83" t="s">
        <v>6318</v>
      </c>
      <c r="C2742" s="81" t="s">
        <v>4086</v>
      </c>
      <c r="D2742" s="83" t="s">
        <v>4631</v>
      </c>
      <c r="E2742" s="81" t="s">
        <v>2982</v>
      </c>
      <c r="F2742" s="84">
        <v>574.0</v>
      </c>
      <c r="G2742" s="81" t="s">
        <v>39</v>
      </c>
      <c r="H2742" s="81" t="s">
        <v>5981</v>
      </c>
      <c r="I2742" s="81" t="s">
        <v>2988</v>
      </c>
      <c r="J2742" s="81" t="s">
        <v>224</v>
      </c>
    </row>
    <row r="2743" hidden="1">
      <c r="A2743" s="83" t="s">
        <v>6317</v>
      </c>
      <c r="B2743" s="83" t="s">
        <v>6318</v>
      </c>
      <c r="C2743" s="81" t="s">
        <v>4086</v>
      </c>
      <c r="D2743" s="83" t="s">
        <v>4631</v>
      </c>
      <c r="E2743" s="81" t="s">
        <v>2982</v>
      </c>
      <c r="F2743" s="84">
        <v>574.0</v>
      </c>
      <c r="G2743" s="81" t="s">
        <v>40</v>
      </c>
      <c r="H2743" s="81" t="s">
        <v>5982</v>
      </c>
      <c r="I2743" s="81" t="s">
        <v>2989</v>
      </c>
      <c r="J2743" s="81" t="s">
        <v>224</v>
      </c>
    </row>
    <row r="2744" hidden="1">
      <c r="A2744" s="83" t="s">
        <v>6317</v>
      </c>
      <c r="B2744" s="83" t="s">
        <v>6318</v>
      </c>
      <c r="C2744" s="81" t="s">
        <v>4086</v>
      </c>
      <c r="D2744" s="83" t="s">
        <v>4631</v>
      </c>
      <c r="E2744" s="81" t="s">
        <v>2995</v>
      </c>
      <c r="F2744" s="84">
        <v>575.0</v>
      </c>
      <c r="G2744" s="81" t="s">
        <v>40</v>
      </c>
      <c r="H2744" s="81" t="s">
        <v>5983</v>
      </c>
      <c r="I2744" s="81" t="s">
        <v>2989</v>
      </c>
      <c r="J2744" s="81" t="s">
        <v>224</v>
      </c>
    </row>
    <row r="2745" hidden="1">
      <c r="A2745" s="83" t="s">
        <v>6317</v>
      </c>
      <c r="B2745" s="83" t="s">
        <v>6318</v>
      </c>
      <c r="C2745" s="81" t="s">
        <v>4086</v>
      </c>
      <c r="D2745" s="83" t="s">
        <v>4633</v>
      </c>
      <c r="E2745" s="81" t="s">
        <v>2996</v>
      </c>
      <c r="F2745" s="84">
        <v>576.0</v>
      </c>
      <c r="G2745" s="81" t="s">
        <v>39</v>
      </c>
      <c r="H2745" s="81" t="s">
        <v>5984</v>
      </c>
      <c r="I2745" s="81" t="s">
        <v>2997</v>
      </c>
      <c r="J2745" s="81" t="s">
        <v>224</v>
      </c>
    </row>
    <row r="2746" hidden="1">
      <c r="A2746" s="83" t="s">
        <v>6317</v>
      </c>
      <c r="B2746" s="83" t="s">
        <v>6318</v>
      </c>
      <c r="C2746" s="81" t="s">
        <v>4086</v>
      </c>
      <c r="D2746" s="83" t="s">
        <v>4633</v>
      </c>
      <c r="E2746" s="81" t="s">
        <v>2996</v>
      </c>
      <c r="F2746" s="84">
        <v>576.0</v>
      </c>
      <c r="G2746" s="81" t="s">
        <v>40</v>
      </c>
      <c r="H2746" s="81" t="s">
        <v>5985</v>
      </c>
      <c r="I2746" s="81" t="s">
        <v>2998</v>
      </c>
      <c r="J2746" s="81" t="s">
        <v>224</v>
      </c>
    </row>
    <row r="2747" hidden="1">
      <c r="A2747" s="83" t="s">
        <v>6317</v>
      </c>
      <c r="B2747" s="83" t="s">
        <v>6318</v>
      </c>
      <c r="C2747" s="81" t="s">
        <v>4086</v>
      </c>
      <c r="D2747" s="83" t="s">
        <v>4634</v>
      </c>
      <c r="E2747" s="81" t="s">
        <v>2999</v>
      </c>
      <c r="F2747" s="84">
        <v>577.0</v>
      </c>
      <c r="G2747" s="81" t="s">
        <v>39</v>
      </c>
      <c r="H2747" s="81" t="s">
        <v>5986</v>
      </c>
      <c r="I2747" s="81" t="s">
        <v>3002</v>
      </c>
      <c r="J2747" s="81" t="s">
        <v>224</v>
      </c>
    </row>
    <row r="2748" hidden="1">
      <c r="A2748" s="83" t="s">
        <v>6317</v>
      </c>
      <c r="B2748" s="83" t="s">
        <v>6318</v>
      </c>
      <c r="C2748" s="81" t="s">
        <v>4086</v>
      </c>
      <c r="D2748" s="83" t="s">
        <v>4634</v>
      </c>
      <c r="E2748" s="81" t="s">
        <v>2999</v>
      </c>
      <c r="F2748" s="84">
        <v>577.0</v>
      </c>
      <c r="G2748" s="81" t="s">
        <v>40</v>
      </c>
      <c r="H2748" s="81" t="s">
        <v>5987</v>
      </c>
      <c r="I2748" s="81" t="s">
        <v>3003</v>
      </c>
      <c r="J2748" s="81" t="s">
        <v>224</v>
      </c>
    </row>
    <row r="2749" hidden="1">
      <c r="A2749" s="83" t="s">
        <v>6317</v>
      </c>
      <c r="B2749" s="83" t="s">
        <v>6318</v>
      </c>
      <c r="C2749" s="81" t="s">
        <v>4086</v>
      </c>
      <c r="D2749" s="83" t="s">
        <v>4634</v>
      </c>
      <c r="E2749" s="81" t="s">
        <v>3009</v>
      </c>
      <c r="F2749" s="84">
        <v>578.0</v>
      </c>
      <c r="G2749" s="81" t="s">
        <v>39</v>
      </c>
      <c r="H2749" s="81" t="s">
        <v>5986</v>
      </c>
      <c r="I2749" s="81" t="s">
        <v>3002</v>
      </c>
      <c r="J2749" s="81" t="s">
        <v>224</v>
      </c>
    </row>
    <row r="2750" hidden="1">
      <c r="A2750" s="83" t="s">
        <v>6317</v>
      </c>
      <c r="B2750" s="83" t="s">
        <v>6318</v>
      </c>
      <c r="C2750" s="81" t="s">
        <v>4086</v>
      </c>
      <c r="D2750" s="83" t="s">
        <v>4634</v>
      </c>
      <c r="E2750" s="81" t="s">
        <v>3009</v>
      </c>
      <c r="F2750" s="84">
        <v>578.0</v>
      </c>
      <c r="G2750" s="81" t="s">
        <v>40</v>
      </c>
      <c r="H2750" s="81" t="s">
        <v>5987</v>
      </c>
      <c r="I2750" s="81" t="s">
        <v>3003</v>
      </c>
      <c r="J2750" s="81" t="s">
        <v>224</v>
      </c>
    </row>
    <row r="2751" hidden="1">
      <c r="A2751" s="83" t="s">
        <v>6317</v>
      </c>
      <c r="B2751" s="83" t="s">
        <v>6318</v>
      </c>
      <c r="C2751" s="81" t="s">
        <v>4086</v>
      </c>
      <c r="D2751" s="83" t="s">
        <v>4636</v>
      </c>
      <c r="E2751" s="81" t="s">
        <v>3010</v>
      </c>
      <c r="F2751" s="84">
        <v>579.0</v>
      </c>
      <c r="G2751" s="81" t="s">
        <v>39</v>
      </c>
      <c r="H2751" s="81" t="s">
        <v>5988</v>
      </c>
      <c r="I2751" s="81" t="s">
        <v>3011</v>
      </c>
      <c r="J2751" s="81" t="s">
        <v>224</v>
      </c>
    </row>
    <row r="2752" hidden="1">
      <c r="A2752" s="83" t="s">
        <v>6317</v>
      </c>
      <c r="B2752" s="83" t="s">
        <v>6318</v>
      </c>
      <c r="C2752" s="81" t="s">
        <v>4086</v>
      </c>
      <c r="D2752" s="83" t="s">
        <v>4636</v>
      </c>
      <c r="E2752" s="81" t="s">
        <v>3010</v>
      </c>
      <c r="F2752" s="84">
        <v>579.0</v>
      </c>
      <c r="G2752" s="81" t="s">
        <v>40</v>
      </c>
      <c r="H2752" s="81" t="s">
        <v>5989</v>
      </c>
      <c r="I2752" s="81" t="s">
        <v>3012</v>
      </c>
      <c r="J2752" s="81" t="s">
        <v>224</v>
      </c>
    </row>
    <row r="2753" hidden="1">
      <c r="A2753" s="83" t="s">
        <v>6317</v>
      </c>
      <c r="B2753" s="83" t="s">
        <v>6318</v>
      </c>
      <c r="C2753" s="81" t="s">
        <v>4086</v>
      </c>
      <c r="D2753" s="83" t="s">
        <v>4637</v>
      </c>
      <c r="E2753" s="81" t="s">
        <v>3013</v>
      </c>
      <c r="F2753" s="84">
        <v>580.0</v>
      </c>
      <c r="G2753" s="81" t="s">
        <v>39</v>
      </c>
      <c r="H2753" s="81" t="s">
        <v>5990</v>
      </c>
      <c r="I2753" s="81" t="s">
        <v>3019</v>
      </c>
      <c r="J2753" s="81" t="s">
        <v>224</v>
      </c>
    </row>
    <row r="2754" hidden="1">
      <c r="A2754" s="83" t="s">
        <v>6317</v>
      </c>
      <c r="B2754" s="83" t="s">
        <v>6318</v>
      </c>
      <c r="C2754" s="81" t="s">
        <v>4086</v>
      </c>
      <c r="D2754" s="83" t="s">
        <v>4637</v>
      </c>
      <c r="E2754" s="81" t="s">
        <v>3013</v>
      </c>
      <c r="F2754" s="84">
        <v>580.0</v>
      </c>
      <c r="G2754" s="81" t="s">
        <v>40</v>
      </c>
      <c r="H2754" s="81" t="s">
        <v>5991</v>
      </c>
      <c r="I2754" s="81" t="s">
        <v>3020</v>
      </c>
      <c r="J2754" s="81" t="s">
        <v>224</v>
      </c>
    </row>
    <row r="2755" hidden="1">
      <c r="A2755" s="83" t="s">
        <v>6317</v>
      </c>
      <c r="B2755" s="83" t="s">
        <v>6318</v>
      </c>
      <c r="C2755" s="81" t="s">
        <v>4086</v>
      </c>
      <c r="D2755" s="83" t="s">
        <v>4637</v>
      </c>
      <c r="E2755" s="81" t="s">
        <v>3013</v>
      </c>
      <c r="F2755" s="84">
        <v>580.0</v>
      </c>
      <c r="G2755" s="81" t="s">
        <v>43</v>
      </c>
      <c r="H2755" s="81" t="s">
        <v>3023</v>
      </c>
      <c r="I2755" s="81" t="s">
        <v>5992</v>
      </c>
      <c r="J2755" s="81" t="s">
        <v>224</v>
      </c>
    </row>
    <row r="2756" hidden="1">
      <c r="A2756" s="83" t="s">
        <v>6317</v>
      </c>
      <c r="B2756" s="83" t="s">
        <v>6318</v>
      </c>
      <c r="C2756" s="81" t="s">
        <v>4086</v>
      </c>
      <c r="D2756" s="83" t="s">
        <v>4637</v>
      </c>
      <c r="E2756" s="81" t="s">
        <v>3026</v>
      </c>
      <c r="F2756" s="84">
        <v>581.0</v>
      </c>
      <c r="G2756" s="81" t="s">
        <v>39</v>
      </c>
      <c r="H2756" s="81" t="s">
        <v>5990</v>
      </c>
      <c r="I2756" s="81" t="s">
        <v>3019</v>
      </c>
      <c r="J2756" s="81" t="s">
        <v>224</v>
      </c>
    </row>
    <row r="2757" hidden="1">
      <c r="A2757" s="83" t="s">
        <v>6317</v>
      </c>
      <c r="B2757" s="83" t="s">
        <v>6318</v>
      </c>
      <c r="C2757" s="81" t="s">
        <v>4086</v>
      </c>
      <c r="D2757" s="83" t="s">
        <v>4637</v>
      </c>
      <c r="E2757" s="81" t="s">
        <v>3026</v>
      </c>
      <c r="F2757" s="84">
        <v>581.0</v>
      </c>
      <c r="G2757" s="81" t="s">
        <v>40</v>
      </c>
      <c r="H2757" s="81" t="s">
        <v>5991</v>
      </c>
      <c r="I2757" s="81" t="s">
        <v>3020</v>
      </c>
      <c r="J2757" s="81" t="s">
        <v>224</v>
      </c>
    </row>
    <row r="2758" hidden="1">
      <c r="A2758" s="83" t="s">
        <v>6317</v>
      </c>
      <c r="B2758" s="83" t="s">
        <v>6318</v>
      </c>
      <c r="C2758" s="81" t="s">
        <v>4086</v>
      </c>
      <c r="D2758" s="83" t="s">
        <v>4637</v>
      </c>
      <c r="E2758" s="81" t="s">
        <v>3026</v>
      </c>
      <c r="F2758" s="84">
        <v>581.0</v>
      </c>
      <c r="G2758" s="81" t="s">
        <v>43</v>
      </c>
      <c r="H2758" s="81" t="s">
        <v>3023</v>
      </c>
      <c r="I2758" s="81" t="s">
        <v>5992</v>
      </c>
      <c r="J2758" s="81" t="s">
        <v>224</v>
      </c>
    </row>
    <row r="2759" hidden="1">
      <c r="A2759" s="83" t="s">
        <v>6317</v>
      </c>
      <c r="B2759" s="83" t="s">
        <v>6318</v>
      </c>
      <c r="C2759" s="81" t="s">
        <v>4086</v>
      </c>
      <c r="D2759" s="83" t="s">
        <v>4639</v>
      </c>
      <c r="E2759" s="81" t="s">
        <v>3027</v>
      </c>
      <c r="F2759" s="84">
        <v>582.0</v>
      </c>
      <c r="G2759" s="81" t="s">
        <v>39</v>
      </c>
      <c r="H2759" s="81" t="s">
        <v>5993</v>
      </c>
      <c r="I2759" s="81" t="s">
        <v>3028</v>
      </c>
      <c r="J2759" s="81" t="s">
        <v>224</v>
      </c>
    </row>
    <row r="2760" hidden="1">
      <c r="A2760" s="83" t="s">
        <v>6317</v>
      </c>
      <c r="B2760" s="83" t="s">
        <v>6318</v>
      </c>
      <c r="C2760" s="81" t="s">
        <v>4086</v>
      </c>
      <c r="D2760" s="83" t="s">
        <v>4639</v>
      </c>
      <c r="E2760" s="81" t="s">
        <v>3027</v>
      </c>
      <c r="F2760" s="84">
        <v>582.0</v>
      </c>
      <c r="G2760" s="81" t="s">
        <v>40</v>
      </c>
      <c r="H2760" s="81" t="s">
        <v>5994</v>
      </c>
      <c r="I2760" s="81" t="s">
        <v>3029</v>
      </c>
      <c r="J2760" s="81" t="s">
        <v>224</v>
      </c>
    </row>
    <row r="2761" hidden="1">
      <c r="A2761" s="83" t="s">
        <v>6317</v>
      </c>
      <c r="B2761" s="83" t="s">
        <v>6318</v>
      </c>
      <c r="C2761" s="81" t="s">
        <v>5141</v>
      </c>
      <c r="D2761" s="83" t="s">
        <v>4639</v>
      </c>
      <c r="E2761" s="81" t="s">
        <v>3027</v>
      </c>
      <c r="F2761" s="84">
        <v>582.0</v>
      </c>
      <c r="G2761" s="81" t="s">
        <v>43</v>
      </c>
      <c r="H2761" s="81" t="s">
        <v>3023</v>
      </c>
      <c r="I2761" s="81" t="s">
        <v>224</v>
      </c>
      <c r="J2761" s="81" t="s">
        <v>5143</v>
      </c>
    </row>
    <row r="2762" hidden="1">
      <c r="A2762" s="83" t="s">
        <v>6317</v>
      </c>
      <c r="B2762" s="83" t="s">
        <v>6318</v>
      </c>
      <c r="C2762" s="81" t="s">
        <v>4086</v>
      </c>
      <c r="D2762" s="83" t="s">
        <v>4640</v>
      </c>
      <c r="E2762" s="81" t="s">
        <v>3030</v>
      </c>
      <c r="F2762" s="84">
        <v>583.0</v>
      </c>
      <c r="G2762" s="81" t="s">
        <v>39</v>
      </c>
      <c r="H2762" s="81" t="s">
        <v>5995</v>
      </c>
      <c r="I2762" s="81" t="s">
        <v>3035</v>
      </c>
      <c r="J2762" s="81" t="s">
        <v>224</v>
      </c>
    </row>
    <row r="2763" hidden="1">
      <c r="A2763" s="83" t="s">
        <v>6317</v>
      </c>
      <c r="B2763" s="83" t="s">
        <v>6318</v>
      </c>
      <c r="C2763" s="81" t="s">
        <v>4086</v>
      </c>
      <c r="D2763" s="83" t="s">
        <v>4640</v>
      </c>
      <c r="E2763" s="81" t="s">
        <v>3030</v>
      </c>
      <c r="F2763" s="84">
        <v>583.0</v>
      </c>
      <c r="G2763" s="81" t="s">
        <v>40</v>
      </c>
      <c r="H2763" s="81" t="s">
        <v>5996</v>
      </c>
      <c r="I2763" s="81" t="s">
        <v>5997</v>
      </c>
      <c r="J2763" s="81" t="s">
        <v>224</v>
      </c>
    </row>
    <row r="2764" hidden="1">
      <c r="A2764" s="83" t="s">
        <v>6317</v>
      </c>
      <c r="B2764" s="83" t="s">
        <v>6318</v>
      </c>
      <c r="C2764" s="81" t="s">
        <v>4086</v>
      </c>
      <c r="D2764" s="83" t="s">
        <v>4642</v>
      </c>
      <c r="E2764" s="81" t="s">
        <v>3042</v>
      </c>
      <c r="F2764" s="84">
        <v>584.0</v>
      </c>
      <c r="G2764" s="81" t="s">
        <v>39</v>
      </c>
      <c r="H2764" s="81" t="s">
        <v>5998</v>
      </c>
      <c r="I2764" s="81" t="s">
        <v>3043</v>
      </c>
      <c r="J2764" s="81" t="s">
        <v>224</v>
      </c>
    </row>
    <row r="2765" hidden="1">
      <c r="A2765" s="83" t="s">
        <v>6317</v>
      </c>
      <c r="B2765" s="83" t="s">
        <v>6318</v>
      </c>
      <c r="C2765" s="81" t="s">
        <v>4086</v>
      </c>
      <c r="D2765" s="83" t="s">
        <v>4642</v>
      </c>
      <c r="E2765" s="81" t="s">
        <v>3042</v>
      </c>
      <c r="F2765" s="84">
        <v>584.0</v>
      </c>
      <c r="G2765" s="81" t="s">
        <v>40</v>
      </c>
      <c r="H2765" s="81" t="s">
        <v>5999</v>
      </c>
      <c r="I2765" s="81" t="s">
        <v>3044</v>
      </c>
      <c r="J2765" s="81" t="s">
        <v>224</v>
      </c>
    </row>
    <row r="2766" hidden="1">
      <c r="A2766" s="83" t="s">
        <v>6317</v>
      </c>
      <c r="B2766" s="83" t="s">
        <v>6318</v>
      </c>
      <c r="C2766" s="81" t="s">
        <v>4086</v>
      </c>
      <c r="D2766" s="83" t="s">
        <v>4642</v>
      </c>
      <c r="E2766" s="81" t="s">
        <v>3045</v>
      </c>
      <c r="F2766" s="84">
        <v>585.0</v>
      </c>
      <c r="G2766" s="81" t="s">
        <v>39</v>
      </c>
      <c r="H2766" s="81" t="s">
        <v>6000</v>
      </c>
      <c r="I2766" s="81" t="s">
        <v>3043</v>
      </c>
      <c r="J2766" s="81" t="s">
        <v>224</v>
      </c>
    </row>
    <row r="2767" hidden="1">
      <c r="A2767" s="83" t="s">
        <v>6317</v>
      </c>
      <c r="B2767" s="83" t="s">
        <v>6318</v>
      </c>
      <c r="C2767" s="81" t="s">
        <v>4086</v>
      </c>
      <c r="D2767" s="83" t="s">
        <v>4642</v>
      </c>
      <c r="E2767" s="81" t="s">
        <v>3045</v>
      </c>
      <c r="F2767" s="84">
        <v>585.0</v>
      </c>
      <c r="G2767" s="81" t="s">
        <v>40</v>
      </c>
      <c r="H2767" s="81" t="s">
        <v>6001</v>
      </c>
      <c r="I2767" s="81" t="s">
        <v>3044</v>
      </c>
      <c r="J2767" s="81" t="s">
        <v>224</v>
      </c>
    </row>
    <row r="2768" hidden="1">
      <c r="A2768" s="83" t="s">
        <v>6317</v>
      </c>
      <c r="B2768" s="83" t="s">
        <v>6318</v>
      </c>
      <c r="C2768" s="81" t="s">
        <v>4086</v>
      </c>
      <c r="D2768" s="83" t="s">
        <v>4643</v>
      </c>
      <c r="E2768" s="81" t="s">
        <v>3046</v>
      </c>
      <c r="F2768" s="84">
        <v>586.0</v>
      </c>
      <c r="G2768" s="81" t="s">
        <v>40</v>
      </c>
      <c r="H2768" s="81" t="s">
        <v>6002</v>
      </c>
      <c r="I2768" s="81" t="s">
        <v>3052</v>
      </c>
      <c r="J2768" s="81" t="s">
        <v>224</v>
      </c>
    </row>
    <row r="2769" hidden="1">
      <c r="A2769" s="83" t="s">
        <v>6317</v>
      </c>
      <c r="B2769" s="83" t="s">
        <v>6318</v>
      </c>
      <c r="C2769" s="81" t="s">
        <v>4086</v>
      </c>
      <c r="D2769" s="83" t="s">
        <v>4643</v>
      </c>
      <c r="E2769" s="81" t="s">
        <v>3046</v>
      </c>
      <c r="F2769" s="84">
        <v>586.0</v>
      </c>
      <c r="G2769" s="81" t="s">
        <v>43</v>
      </c>
      <c r="H2769" s="81" t="s">
        <v>3055</v>
      </c>
      <c r="I2769" s="81" t="s">
        <v>6003</v>
      </c>
      <c r="J2769" s="81" t="s">
        <v>224</v>
      </c>
    </row>
    <row r="2770" hidden="1">
      <c r="A2770" s="83" t="s">
        <v>6317</v>
      </c>
      <c r="B2770" s="83" t="s">
        <v>6318</v>
      </c>
      <c r="C2770" s="81" t="s">
        <v>4086</v>
      </c>
      <c r="D2770" s="83" t="s">
        <v>4643</v>
      </c>
      <c r="E2770" s="81" t="s">
        <v>3058</v>
      </c>
      <c r="F2770" s="84">
        <v>587.0</v>
      </c>
      <c r="G2770" s="81" t="s">
        <v>39</v>
      </c>
      <c r="H2770" s="81" t="s">
        <v>6004</v>
      </c>
      <c r="I2770" s="81" t="s">
        <v>3051</v>
      </c>
      <c r="J2770" s="81" t="s">
        <v>224</v>
      </c>
    </row>
    <row r="2771" hidden="1">
      <c r="A2771" s="83" t="s">
        <v>6317</v>
      </c>
      <c r="B2771" s="83" t="s">
        <v>6318</v>
      </c>
      <c r="C2771" s="81" t="s">
        <v>4086</v>
      </c>
      <c r="D2771" s="83" t="s">
        <v>4643</v>
      </c>
      <c r="E2771" s="81" t="s">
        <v>3058</v>
      </c>
      <c r="F2771" s="84">
        <v>587.0</v>
      </c>
      <c r="G2771" s="81" t="s">
        <v>40</v>
      </c>
      <c r="H2771" s="81" t="s">
        <v>6002</v>
      </c>
      <c r="I2771" s="81" t="s">
        <v>3052</v>
      </c>
      <c r="J2771" s="81" t="s">
        <v>224</v>
      </c>
    </row>
    <row r="2772" hidden="1">
      <c r="A2772" s="83" t="s">
        <v>6317</v>
      </c>
      <c r="B2772" s="83" t="s">
        <v>6318</v>
      </c>
      <c r="C2772" s="81" t="s">
        <v>4086</v>
      </c>
      <c r="D2772" s="83" t="s">
        <v>4643</v>
      </c>
      <c r="E2772" s="81" t="s">
        <v>3058</v>
      </c>
      <c r="F2772" s="84">
        <v>587.0</v>
      </c>
      <c r="G2772" s="81" t="s">
        <v>43</v>
      </c>
      <c r="H2772" s="81" t="s">
        <v>3055</v>
      </c>
      <c r="I2772" s="81" t="s">
        <v>6003</v>
      </c>
      <c r="J2772" s="81" t="s">
        <v>224</v>
      </c>
    </row>
    <row r="2773" hidden="1">
      <c r="A2773" s="83" t="s">
        <v>6317</v>
      </c>
      <c r="B2773" s="83" t="s">
        <v>6318</v>
      </c>
      <c r="C2773" s="81" t="s">
        <v>4086</v>
      </c>
      <c r="D2773" s="83" t="s">
        <v>4644</v>
      </c>
      <c r="E2773" s="81" t="s">
        <v>3059</v>
      </c>
      <c r="F2773" s="84">
        <v>588.0</v>
      </c>
      <c r="G2773" s="81" t="s">
        <v>39</v>
      </c>
      <c r="H2773" s="81" t="s">
        <v>6005</v>
      </c>
      <c r="I2773" s="81" t="s">
        <v>3060</v>
      </c>
      <c r="J2773" s="81" t="s">
        <v>224</v>
      </c>
    </row>
    <row r="2774" hidden="1">
      <c r="A2774" s="83" t="s">
        <v>6317</v>
      </c>
      <c r="B2774" s="83" t="s">
        <v>6318</v>
      </c>
      <c r="C2774" s="81" t="s">
        <v>4086</v>
      </c>
      <c r="D2774" s="83" t="s">
        <v>4644</v>
      </c>
      <c r="E2774" s="81" t="s">
        <v>3059</v>
      </c>
      <c r="F2774" s="84">
        <v>588.0</v>
      </c>
      <c r="G2774" s="81" t="s">
        <v>40</v>
      </c>
      <c r="H2774" s="81" t="s">
        <v>6006</v>
      </c>
      <c r="I2774" s="81" t="s">
        <v>3061</v>
      </c>
      <c r="J2774" s="81" t="s">
        <v>224</v>
      </c>
    </row>
    <row r="2775" hidden="1">
      <c r="A2775" s="83" t="s">
        <v>6317</v>
      </c>
      <c r="B2775" s="83" t="s">
        <v>6318</v>
      </c>
      <c r="C2775" s="81" t="s">
        <v>5141</v>
      </c>
      <c r="D2775" s="83" t="s">
        <v>4644</v>
      </c>
      <c r="E2775" s="81" t="s">
        <v>3059</v>
      </c>
      <c r="F2775" s="84">
        <v>588.0</v>
      </c>
      <c r="G2775" s="81" t="s">
        <v>43</v>
      </c>
      <c r="H2775" s="81" t="s">
        <v>3055</v>
      </c>
      <c r="I2775" s="81" t="s">
        <v>224</v>
      </c>
      <c r="J2775" s="81" t="s">
        <v>5143</v>
      </c>
    </row>
    <row r="2776" hidden="1">
      <c r="A2776" s="83" t="s">
        <v>6317</v>
      </c>
      <c r="B2776" s="83" t="s">
        <v>6318</v>
      </c>
      <c r="C2776" s="81" t="s">
        <v>4086</v>
      </c>
      <c r="D2776" s="83" t="s">
        <v>4645</v>
      </c>
      <c r="E2776" s="81" t="s">
        <v>3062</v>
      </c>
      <c r="F2776" s="84">
        <v>589.0</v>
      </c>
      <c r="G2776" s="81" t="s">
        <v>39</v>
      </c>
      <c r="H2776" s="81" t="s">
        <v>6007</v>
      </c>
      <c r="I2776" s="81" t="s">
        <v>3066</v>
      </c>
      <c r="J2776" s="81" t="s">
        <v>224</v>
      </c>
    </row>
    <row r="2777" hidden="1">
      <c r="A2777" s="83" t="s">
        <v>6317</v>
      </c>
      <c r="B2777" s="83" t="s">
        <v>6318</v>
      </c>
      <c r="C2777" s="81" t="s">
        <v>4086</v>
      </c>
      <c r="D2777" s="83" t="s">
        <v>4645</v>
      </c>
      <c r="E2777" s="81" t="s">
        <v>3062</v>
      </c>
      <c r="F2777" s="84">
        <v>589.0</v>
      </c>
      <c r="G2777" s="81" t="s">
        <v>40</v>
      </c>
      <c r="H2777" s="81" t="s">
        <v>6008</v>
      </c>
      <c r="I2777" s="81" t="s">
        <v>3067</v>
      </c>
      <c r="J2777" s="81" t="s">
        <v>224</v>
      </c>
    </row>
    <row r="2778" hidden="1">
      <c r="A2778" s="83" t="s">
        <v>6317</v>
      </c>
      <c r="B2778" s="83" t="s">
        <v>6318</v>
      </c>
      <c r="C2778" s="81" t="s">
        <v>4086</v>
      </c>
      <c r="D2778" s="83" t="s">
        <v>4645</v>
      </c>
      <c r="E2778" s="81" t="s">
        <v>3073</v>
      </c>
      <c r="F2778" s="84">
        <v>590.0</v>
      </c>
      <c r="G2778" s="81" t="s">
        <v>39</v>
      </c>
      <c r="H2778" s="81" t="s">
        <v>6007</v>
      </c>
      <c r="I2778" s="81" t="s">
        <v>3066</v>
      </c>
      <c r="J2778" s="81" t="s">
        <v>224</v>
      </c>
    </row>
    <row r="2779" hidden="1">
      <c r="A2779" s="83" t="s">
        <v>6317</v>
      </c>
      <c r="B2779" s="83" t="s">
        <v>6318</v>
      </c>
      <c r="C2779" s="81" t="s">
        <v>4086</v>
      </c>
      <c r="D2779" s="83" t="s">
        <v>4645</v>
      </c>
      <c r="E2779" s="81" t="s">
        <v>3073</v>
      </c>
      <c r="F2779" s="84">
        <v>590.0</v>
      </c>
      <c r="G2779" s="81" t="s">
        <v>40</v>
      </c>
      <c r="H2779" s="81" t="s">
        <v>6008</v>
      </c>
      <c r="I2779" s="81" t="s">
        <v>3067</v>
      </c>
      <c r="J2779" s="81" t="s">
        <v>224</v>
      </c>
    </row>
    <row r="2780" hidden="1">
      <c r="A2780" s="83" t="s">
        <v>6317</v>
      </c>
      <c r="B2780" s="83" t="s">
        <v>6318</v>
      </c>
      <c r="C2780" s="81" t="s">
        <v>4086</v>
      </c>
      <c r="D2780" s="83" t="s">
        <v>4647</v>
      </c>
      <c r="E2780" s="81" t="s">
        <v>3074</v>
      </c>
      <c r="F2780" s="84">
        <v>591.0</v>
      </c>
      <c r="G2780" s="81" t="s">
        <v>39</v>
      </c>
      <c r="H2780" s="81" t="s">
        <v>6009</v>
      </c>
      <c r="I2780" s="81" t="s">
        <v>3075</v>
      </c>
      <c r="J2780" s="81" t="s">
        <v>224</v>
      </c>
    </row>
    <row r="2781" hidden="1">
      <c r="A2781" s="83" t="s">
        <v>6317</v>
      </c>
      <c r="B2781" s="83" t="s">
        <v>6318</v>
      </c>
      <c r="C2781" s="81" t="s">
        <v>4086</v>
      </c>
      <c r="D2781" s="83" t="s">
        <v>4647</v>
      </c>
      <c r="E2781" s="81" t="s">
        <v>3074</v>
      </c>
      <c r="F2781" s="84">
        <v>591.0</v>
      </c>
      <c r="G2781" s="81" t="s">
        <v>40</v>
      </c>
      <c r="H2781" s="81" t="s">
        <v>6010</v>
      </c>
      <c r="I2781" s="81" t="s">
        <v>3076</v>
      </c>
      <c r="J2781" s="81" t="s">
        <v>224</v>
      </c>
    </row>
    <row r="2782" hidden="1">
      <c r="A2782" s="83" t="s">
        <v>6317</v>
      </c>
      <c r="B2782" s="83" t="s">
        <v>6318</v>
      </c>
      <c r="C2782" s="81" t="s">
        <v>4086</v>
      </c>
      <c r="D2782" s="83" t="s">
        <v>4648</v>
      </c>
      <c r="E2782" s="81" t="s">
        <v>3077</v>
      </c>
      <c r="F2782" s="84">
        <v>592.0</v>
      </c>
      <c r="G2782" s="81" t="s">
        <v>39</v>
      </c>
      <c r="H2782" s="81" t="s">
        <v>6011</v>
      </c>
      <c r="I2782" s="81" t="s">
        <v>3085</v>
      </c>
      <c r="J2782" s="81" t="s">
        <v>224</v>
      </c>
    </row>
    <row r="2783" hidden="1">
      <c r="A2783" s="83" t="s">
        <v>6317</v>
      </c>
      <c r="B2783" s="83" t="s">
        <v>6318</v>
      </c>
      <c r="C2783" s="81" t="s">
        <v>4086</v>
      </c>
      <c r="D2783" s="83" t="s">
        <v>4648</v>
      </c>
      <c r="E2783" s="81" t="s">
        <v>3077</v>
      </c>
      <c r="F2783" s="84">
        <v>592.0</v>
      </c>
      <c r="G2783" s="81" t="s">
        <v>40</v>
      </c>
      <c r="H2783" s="81" t="s">
        <v>6012</v>
      </c>
      <c r="I2783" s="81" t="s">
        <v>6013</v>
      </c>
      <c r="J2783" s="81" t="s">
        <v>224</v>
      </c>
    </row>
    <row r="2784" hidden="1">
      <c r="A2784" s="83" t="s">
        <v>6317</v>
      </c>
      <c r="B2784" s="83" t="s">
        <v>6318</v>
      </c>
      <c r="C2784" s="81" t="s">
        <v>4086</v>
      </c>
      <c r="D2784" s="83" t="s">
        <v>4648</v>
      </c>
      <c r="E2784" s="81" t="s">
        <v>3090</v>
      </c>
      <c r="F2784" s="84">
        <v>593.0</v>
      </c>
      <c r="G2784" s="81" t="s">
        <v>40</v>
      </c>
      <c r="H2784" s="81" t="s">
        <v>6014</v>
      </c>
      <c r="I2784" s="81" t="s">
        <v>6013</v>
      </c>
      <c r="J2784" s="81" t="s">
        <v>224</v>
      </c>
    </row>
    <row r="2785" hidden="1">
      <c r="A2785" s="83" t="s">
        <v>6317</v>
      </c>
      <c r="B2785" s="83" t="s">
        <v>6318</v>
      </c>
      <c r="C2785" s="81" t="s">
        <v>4086</v>
      </c>
      <c r="D2785" s="83" t="s">
        <v>4650</v>
      </c>
      <c r="E2785" s="81" t="s">
        <v>3091</v>
      </c>
      <c r="F2785" s="84">
        <v>594.0</v>
      </c>
      <c r="G2785" s="81" t="s">
        <v>39</v>
      </c>
      <c r="H2785" s="81" t="s">
        <v>6015</v>
      </c>
      <c r="I2785" s="81" t="s">
        <v>3092</v>
      </c>
      <c r="J2785" s="81" t="s">
        <v>224</v>
      </c>
    </row>
    <row r="2786" hidden="1">
      <c r="A2786" s="83" t="s">
        <v>6317</v>
      </c>
      <c r="B2786" s="83" t="s">
        <v>6318</v>
      </c>
      <c r="C2786" s="81" t="s">
        <v>4086</v>
      </c>
      <c r="D2786" s="83" t="s">
        <v>4650</v>
      </c>
      <c r="E2786" s="81" t="s">
        <v>3091</v>
      </c>
      <c r="F2786" s="84">
        <v>594.0</v>
      </c>
      <c r="G2786" s="81" t="s">
        <v>40</v>
      </c>
      <c r="H2786" s="81" t="s">
        <v>6016</v>
      </c>
      <c r="I2786" s="81" t="s">
        <v>6017</v>
      </c>
      <c r="J2786" s="81" t="s">
        <v>224</v>
      </c>
    </row>
    <row r="2787" hidden="1">
      <c r="A2787" s="83" t="s">
        <v>6317</v>
      </c>
      <c r="B2787" s="83" t="s">
        <v>6318</v>
      </c>
      <c r="C2787" s="81" t="s">
        <v>4086</v>
      </c>
      <c r="D2787" s="83" t="s">
        <v>4651</v>
      </c>
      <c r="E2787" s="81" t="s">
        <v>3094</v>
      </c>
      <c r="F2787" s="84">
        <v>595.0</v>
      </c>
      <c r="G2787" s="81" t="s">
        <v>39</v>
      </c>
      <c r="H2787" s="81" t="s">
        <v>6018</v>
      </c>
      <c r="I2787" s="81" t="s">
        <v>3100</v>
      </c>
      <c r="J2787" s="81" t="s">
        <v>224</v>
      </c>
    </row>
    <row r="2788" hidden="1">
      <c r="A2788" s="83" t="s">
        <v>6317</v>
      </c>
      <c r="B2788" s="83" t="s">
        <v>6318</v>
      </c>
      <c r="C2788" s="81" t="s">
        <v>4086</v>
      </c>
      <c r="D2788" s="83" t="s">
        <v>4651</v>
      </c>
      <c r="E2788" s="81" t="s">
        <v>3094</v>
      </c>
      <c r="F2788" s="84">
        <v>595.0</v>
      </c>
      <c r="G2788" s="81" t="s">
        <v>40</v>
      </c>
      <c r="H2788" s="81" t="s">
        <v>6019</v>
      </c>
      <c r="I2788" s="81" t="s">
        <v>3101</v>
      </c>
      <c r="J2788" s="81" t="s">
        <v>224</v>
      </c>
    </row>
    <row r="2789" hidden="1">
      <c r="A2789" s="83" t="s">
        <v>6317</v>
      </c>
      <c r="B2789" s="83" t="s">
        <v>6318</v>
      </c>
      <c r="C2789" s="81" t="s">
        <v>4086</v>
      </c>
      <c r="D2789" s="83" t="s">
        <v>4654</v>
      </c>
      <c r="E2789" s="81" t="s">
        <v>3107</v>
      </c>
      <c r="F2789" s="84">
        <v>596.0</v>
      </c>
      <c r="G2789" s="81" t="s">
        <v>39</v>
      </c>
      <c r="H2789" s="81" t="s">
        <v>6020</v>
      </c>
      <c r="I2789" s="81" t="s">
        <v>3111</v>
      </c>
      <c r="J2789" s="81" t="s">
        <v>224</v>
      </c>
    </row>
    <row r="2790" hidden="1">
      <c r="A2790" s="83" t="s">
        <v>6317</v>
      </c>
      <c r="B2790" s="83" t="s">
        <v>6318</v>
      </c>
      <c r="C2790" s="81" t="s">
        <v>4086</v>
      </c>
      <c r="D2790" s="83" t="s">
        <v>4654</v>
      </c>
      <c r="E2790" s="81" t="s">
        <v>3107</v>
      </c>
      <c r="F2790" s="84">
        <v>596.0</v>
      </c>
      <c r="G2790" s="81" t="s">
        <v>40</v>
      </c>
      <c r="H2790" s="81" t="s">
        <v>6021</v>
      </c>
      <c r="I2790" s="81" t="s">
        <v>3112</v>
      </c>
      <c r="J2790" s="81" t="s">
        <v>224</v>
      </c>
    </row>
    <row r="2791" hidden="1">
      <c r="A2791" s="83" t="s">
        <v>6317</v>
      </c>
      <c r="B2791" s="83" t="s">
        <v>6318</v>
      </c>
      <c r="C2791" s="81" t="s">
        <v>4086</v>
      </c>
      <c r="D2791" s="83" t="s">
        <v>4657</v>
      </c>
      <c r="E2791" s="81" t="s">
        <v>3118</v>
      </c>
      <c r="F2791" s="84">
        <v>597.0</v>
      </c>
      <c r="G2791" s="81" t="s">
        <v>39</v>
      </c>
      <c r="H2791" s="81" t="s">
        <v>6022</v>
      </c>
      <c r="I2791" s="81" t="s">
        <v>3121</v>
      </c>
      <c r="J2791" s="81" t="s">
        <v>224</v>
      </c>
    </row>
    <row r="2792" hidden="1">
      <c r="A2792" s="83" t="s">
        <v>6317</v>
      </c>
      <c r="B2792" s="83" t="s">
        <v>6318</v>
      </c>
      <c r="C2792" s="81" t="s">
        <v>4086</v>
      </c>
      <c r="D2792" s="83" t="s">
        <v>4657</v>
      </c>
      <c r="E2792" s="81" t="s">
        <v>3118</v>
      </c>
      <c r="F2792" s="84">
        <v>597.0</v>
      </c>
      <c r="G2792" s="81" t="s">
        <v>40</v>
      </c>
      <c r="H2792" s="81" t="s">
        <v>6023</v>
      </c>
      <c r="I2792" s="81" t="s">
        <v>3122</v>
      </c>
      <c r="J2792" s="81" t="s">
        <v>224</v>
      </c>
    </row>
    <row r="2793" hidden="1">
      <c r="A2793" s="83" t="s">
        <v>6317</v>
      </c>
      <c r="B2793" s="83" t="s">
        <v>6318</v>
      </c>
      <c r="C2793" s="81" t="s">
        <v>4086</v>
      </c>
      <c r="D2793" s="83" t="s">
        <v>4660</v>
      </c>
      <c r="E2793" s="81" t="s">
        <v>3128</v>
      </c>
      <c r="F2793" s="84">
        <v>598.0</v>
      </c>
      <c r="G2793" s="81" t="s">
        <v>39</v>
      </c>
      <c r="H2793" s="81" t="s">
        <v>6024</v>
      </c>
      <c r="I2793" s="81" t="s">
        <v>3131</v>
      </c>
      <c r="J2793" s="81" t="s">
        <v>224</v>
      </c>
    </row>
    <row r="2794" hidden="1">
      <c r="A2794" s="83" t="s">
        <v>6317</v>
      </c>
      <c r="B2794" s="83" t="s">
        <v>6318</v>
      </c>
      <c r="C2794" s="81" t="s">
        <v>4086</v>
      </c>
      <c r="D2794" s="83" t="s">
        <v>4660</v>
      </c>
      <c r="E2794" s="81" t="s">
        <v>3128</v>
      </c>
      <c r="F2794" s="84">
        <v>598.0</v>
      </c>
      <c r="G2794" s="81" t="s">
        <v>40</v>
      </c>
      <c r="H2794" s="81" t="s">
        <v>6025</v>
      </c>
      <c r="I2794" s="81" t="s">
        <v>3132</v>
      </c>
      <c r="J2794" s="81" t="s">
        <v>224</v>
      </c>
    </row>
    <row r="2795" hidden="1">
      <c r="A2795" s="83" t="s">
        <v>6317</v>
      </c>
      <c r="B2795" s="83" t="s">
        <v>6318</v>
      </c>
      <c r="C2795" s="81" t="s">
        <v>4086</v>
      </c>
      <c r="D2795" s="83" t="s">
        <v>4663</v>
      </c>
      <c r="E2795" s="81" t="s">
        <v>3138</v>
      </c>
      <c r="F2795" s="84">
        <v>599.0</v>
      </c>
      <c r="G2795" s="81" t="s">
        <v>39</v>
      </c>
      <c r="H2795" s="81" t="s">
        <v>6026</v>
      </c>
      <c r="I2795" s="81" t="s">
        <v>3141</v>
      </c>
      <c r="J2795" s="81" t="s">
        <v>224</v>
      </c>
    </row>
    <row r="2796" hidden="1">
      <c r="A2796" s="83" t="s">
        <v>6317</v>
      </c>
      <c r="B2796" s="83" t="s">
        <v>6318</v>
      </c>
      <c r="C2796" s="81" t="s">
        <v>4086</v>
      </c>
      <c r="D2796" s="83" t="s">
        <v>4663</v>
      </c>
      <c r="E2796" s="81" t="s">
        <v>3138</v>
      </c>
      <c r="F2796" s="84">
        <v>599.0</v>
      </c>
      <c r="G2796" s="81" t="s">
        <v>40</v>
      </c>
      <c r="H2796" s="81" t="s">
        <v>6027</v>
      </c>
      <c r="I2796" s="81" t="s">
        <v>3142</v>
      </c>
      <c r="J2796" s="81" t="s">
        <v>224</v>
      </c>
    </row>
    <row r="2797" hidden="1">
      <c r="A2797" s="83" t="s">
        <v>6317</v>
      </c>
      <c r="B2797" s="83" t="s">
        <v>6318</v>
      </c>
      <c r="C2797" s="81" t="s">
        <v>4086</v>
      </c>
      <c r="D2797" s="83" t="s">
        <v>4666</v>
      </c>
      <c r="E2797" s="81" t="s">
        <v>3148</v>
      </c>
      <c r="F2797" s="84">
        <v>600.0</v>
      </c>
      <c r="G2797" s="81" t="s">
        <v>39</v>
      </c>
      <c r="H2797" s="81" t="s">
        <v>6028</v>
      </c>
      <c r="I2797" s="81" t="s">
        <v>3153</v>
      </c>
      <c r="J2797" s="81" t="s">
        <v>224</v>
      </c>
    </row>
    <row r="2798" hidden="1">
      <c r="A2798" s="83" t="s">
        <v>6317</v>
      </c>
      <c r="B2798" s="83" t="s">
        <v>6318</v>
      </c>
      <c r="C2798" s="81" t="s">
        <v>4086</v>
      </c>
      <c r="D2798" s="83" t="s">
        <v>4666</v>
      </c>
      <c r="E2798" s="81" t="s">
        <v>3148</v>
      </c>
      <c r="F2798" s="84">
        <v>600.0</v>
      </c>
      <c r="G2798" s="81" t="s">
        <v>40</v>
      </c>
      <c r="H2798" s="81" t="s">
        <v>6029</v>
      </c>
      <c r="I2798" s="81" t="s">
        <v>3154</v>
      </c>
      <c r="J2798" s="81" t="s">
        <v>224</v>
      </c>
    </row>
    <row r="2799" hidden="1">
      <c r="A2799" s="83" t="s">
        <v>6317</v>
      </c>
      <c r="B2799" s="83" t="s">
        <v>6318</v>
      </c>
      <c r="C2799" s="81" t="s">
        <v>4086</v>
      </c>
      <c r="D2799" s="83" t="s">
        <v>4669</v>
      </c>
      <c r="E2799" s="81" t="s">
        <v>3160</v>
      </c>
      <c r="F2799" s="84">
        <v>601.0</v>
      </c>
      <c r="G2799" s="81" t="s">
        <v>39</v>
      </c>
      <c r="H2799" s="81" t="s">
        <v>6030</v>
      </c>
      <c r="I2799" s="81" t="s">
        <v>3163</v>
      </c>
      <c r="J2799" s="81" t="s">
        <v>224</v>
      </c>
    </row>
    <row r="2800" hidden="1">
      <c r="A2800" s="83" t="s">
        <v>6317</v>
      </c>
      <c r="B2800" s="83" t="s">
        <v>6318</v>
      </c>
      <c r="C2800" s="81" t="s">
        <v>4086</v>
      </c>
      <c r="D2800" s="83" t="s">
        <v>4669</v>
      </c>
      <c r="E2800" s="81" t="s">
        <v>3160</v>
      </c>
      <c r="F2800" s="84">
        <v>601.0</v>
      </c>
      <c r="G2800" s="81" t="s">
        <v>40</v>
      </c>
      <c r="H2800" s="81" t="s">
        <v>6031</v>
      </c>
      <c r="I2800" s="81" t="s">
        <v>3164</v>
      </c>
      <c r="J2800" s="81" t="s">
        <v>224</v>
      </c>
    </row>
    <row r="2801" hidden="1">
      <c r="A2801" s="83" t="s">
        <v>6317</v>
      </c>
      <c r="B2801" s="83" t="s">
        <v>6318</v>
      </c>
      <c r="C2801" s="81" t="s">
        <v>4086</v>
      </c>
      <c r="D2801" s="83" t="s">
        <v>4672</v>
      </c>
      <c r="E2801" s="81" t="s">
        <v>3170</v>
      </c>
      <c r="F2801" s="84">
        <v>602.0</v>
      </c>
      <c r="G2801" s="81" t="s">
        <v>39</v>
      </c>
      <c r="H2801" s="81" t="s">
        <v>6032</v>
      </c>
      <c r="I2801" s="81" t="s">
        <v>3175</v>
      </c>
      <c r="J2801" s="81" t="s">
        <v>224</v>
      </c>
    </row>
    <row r="2802" hidden="1">
      <c r="A2802" s="83" t="s">
        <v>6317</v>
      </c>
      <c r="B2802" s="83" t="s">
        <v>6318</v>
      </c>
      <c r="C2802" s="81" t="s">
        <v>4086</v>
      </c>
      <c r="D2802" s="83" t="s">
        <v>4672</v>
      </c>
      <c r="E2802" s="81" t="s">
        <v>3170</v>
      </c>
      <c r="F2802" s="84">
        <v>602.0</v>
      </c>
      <c r="G2802" s="81" t="s">
        <v>40</v>
      </c>
      <c r="H2802" s="81" t="s">
        <v>6033</v>
      </c>
      <c r="I2802" s="81" t="s">
        <v>3176</v>
      </c>
      <c r="J2802" s="81" t="s">
        <v>224</v>
      </c>
    </row>
    <row r="2803" hidden="1">
      <c r="A2803" s="83" t="s">
        <v>6317</v>
      </c>
      <c r="B2803" s="83" t="s">
        <v>6318</v>
      </c>
      <c r="C2803" s="81" t="s">
        <v>4086</v>
      </c>
      <c r="D2803" s="83" t="s">
        <v>4672</v>
      </c>
      <c r="E2803" s="81" t="s">
        <v>3170</v>
      </c>
      <c r="F2803" s="84">
        <v>602.0</v>
      </c>
      <c r="G2803" s="81" t="s">
        <v>43</v>
      </c>
      <c r="H2803" s="81" t="s">
        <v>3179</v>
      </c>
      <c r="I2803" s="81" t="s">
        <v>6034</v>
      </c>
      <c r="J2803" s="81" t="s">
        <v>224</v>
      </c>
    </row>
    <row r="2804" hidden="1">
      <c r="A2804" s="83" t="s">
        <v>6317</v>
      </c>
      <c r="B2804" s="83" t="s">
        <v>6318</v>
      </c>
      <c r="C2804" s="81" t="s">
        <v>4086</v>
      </c>
      <c r="D2804" s="83" t="s">
        <v>4672</v>
      </c>
      <c r="E2804" s="81" t="s">
        <v>3182</v>
      </c>
      <c r="F2804" s="84">
        <v>603.0</v>
      </c>
      <c r="G2804" s="81" t="s">
        <v>39</v>
      </c>
      <c r="H2804" s="81" t="s">
        <v>6032</v>
      </c>
      <c r="I2804" s="81" t="s">
        <v>3175</v>
      </c>
      <c r="J2804" s="81" t="s">
        <v>224</v>
      </c>
    </row>
    <row r="2805" hidden="1">
      <c r="A2805" s="83" t="s">
        <v>6317</v>
      </c>
      <c r="B2805" s="83" t="s">
        <v>6318</v>
      </c>
      <c r="C2805" s="81" t="s">
        <v>4086</v>
      </c>
      <c r="D2805" s="83" t="s">
        <v>4672</v>
      </c>
      <c r="E2805" s="81" t="s">
        <v>3182</v>
      </c>
      <c r="F2805" s="84">
        <v>603.0</v>
      </c>
      <c r="G2805" s="81" t="s">
        <v>40</v>
      </c>
      <c r="H2805" s="81" t="s">
        <v>6033</v>
      </c>
      <c r="I2805" s="81" t="s">
        <v>3176</v>
      </c>
      <c r="J2805" s="81" t="s">
        <v>224</v>
      </c>
    </row>
    <row r="2806" hidden="1">
      <c r="A2806" s="83" t="s">
        <v>6317</v>
      </c>
      <c r="B2806" s="83" t="s">
        <v>6318</v>
      </c>
      <c r="C2806" s="81" t="s">
        <v>4086</v>
      </c>
      <c r="D2806" s="83" t="s">
        <v>4672</v>
      </c>
      <c r="E2806" s="81" t="s">
        <v>3182</v>
      </c>
      <c r="F2806" s="84">
        <v>603.0</v>
      </c>
      <c r="G2806" s="81" t="s">
        <v>43</v>
      </c>
      <c r="H2806" s="81" t="s">
        <v>3179</v>
      </c>
      <c r="I2806" s="81" t="s">
        <v>6034</v>
      </c>
      <c r="J2806" s="81" t="s">
        <v>224</v>
      </c>
    </row>
    <row r="2807" hidden="1">
      <c r="A2807" s="83" t="s">
        <v>6317</v>
      </c>
      <c r="B2807" s="83" t="s">
        <v>6318</v>
      </c>
      <c r="C2807" s="81" t="s">
        <v>4086</v>
      </c>
      <c r="D2807" s="83" t="s">
        <v>4674</v>
      </c>
      <c r="E2807" s="81" t="s">
        <v>3183</v>
      </c>
      <c r="F2807" s="84">
        <v>604.0</v>
      </c>
      <c r="G2807" s="81" t="s">
        <v>39</v>
      </c>
      <c r="H2807" s="81" t="s">
        <v>6035</v>
      </c>
      <c r="I2807" s="81" t="s">
        <v>3184</v>
      </c>
      <c r="J2807" s="81" t="s">
        <v>224</v>
      </c>
    </row>
    <row r="2808" hidden="1">
      <c r="A2808" s="83" t="s">
        <v>6317</v>
      </c>
      <c r="B2808" s="83" t="s">
        <v>6318</v>
      </c>
      <c r="C2808" s="81" t="s">
        <v>4086</v>
      </c>
      <c r="D2808" s="83" t="s">
        <v>4674</v>
      </c>
      <c r="E2808" s="81" t="s">
        <v>3183</v>
      </c>
      <c r="F2808" s="84">
        <v>604.0</v>
      </c>
      <c r="G2808" s="81" t="s">
        <v>40</v>
      </c>
      <c r="H2808" s="81" t="s">
        <v>6036</v>
      </c>
      <c r="I2808" s="81" t="s">
        <v>3185</v>
      </c>
      <c r="J2808" s="81" t="s">
        <v>224</v>
      </c>
    </row>
    <row r="2809" hidden="1">
      <c r="A2809" s="83" t="s">
        <v>6317</v>
      </c>
      <c r="B2809" s="83" t="s">
        <v>6318</v>
      </c>
      <c r="C2809" s="81" t="s">
        <v>5141</v>
      </c>
      <c r="D2809" s="83" t="s">
        <v>4674</v>
      </c>
      <c r="E2809" s="81" t="s">
        <v>3183</v>
      </c>
      <c r="F2809" s="84">
        <v>604.0</v>
      </c>
      <c r="G2809" s="81" t="s">
        <v>43</v>
      </c>
      <c r="H2809" s="81" t="s">
        <v>3179</v>
      </c>
      <c r="I2809" s="81" t="s">
        <v>224</v>
      </c>
      <c r="J2809" s="81" t="s">
        <v>5143</v>
      </c>
    </row>
    <row r="2810" hidden="1">
      <c r="A2810" s="83" t="s">
        <v>6317</v>
      </c>
      <c r="B2810" s="83" t="s">
        <v>6318</v>
      </c>
      <c r="C2810" s="81" t="s">
        <v>4086</v>
      </c>
      <c r="D2810" s="83" t="s">
        <v>4675</v>
      </c>
      <c r="E2810" s="81" t="s">
        <v>3186</v>
      </c>
      <c r="F2810" s="84">
        <v>605.0</v>
      </c>
      <c r="G2810" s="81" t="s">
        <v>39</v>
      </c>
      <c r="H2810" s="81" t="s">
        <v>6037</v>
      </c>
      <c r="I2810" s="81" t="s">
        <v>3190</v>
      </c>
      <c r="J2810" s="81" t="s">
        <v>224</v>
      </c>
    </row>
    <row r="2811" hidden="1">
      <c r="A2811" s="83" t="s">
        <v>6317</v>
      </c>
      <c r="B2811" s="83" t="s">
        <v>6318</v>
      </c>
      <c r="C2811" s="81" t="s">
        <v>4086</v>
      </c>
      <c r="D2811" s="83" t="s">
        <v>4675</v>
      </c>
      <c r="E2811" s="81" t="s">
        <v>3186</v>
      </c>
      <c r="F2811" s="84">
        <v>605.0</v>
      </c>
      <c r="G2811" s="81" t="s">
        <v>40</v>
      </c>
      <c r="H2811" s="81" t="s">
        <v>6038</v>
      </c>
      <c r="I2811" s="81" t="s">
        <v>3191</v>
      </c>
      <c r="J2811" s="81" t="s">
        <v>224</v>
      </c>
    </row>
    <row r="2812" hidden="1">
      <c r="A2812" s="83" t="s">
        <v>6317</v>
      </c>
      <c r="B2812" s="83" t="s">
        <v>6318</v>
      </c>
      <c r="C2812" s="81" t="s">
        <v>4086</v>
      </c>
      <c r="D2812" s="83" t="s">
        <v>4677</v>
      </c>
      <c r="E2812" s="81" t="s">
        <v>3196</v>
      </c>
      <c r="F2812" s="84">
        <v>606.0</v>
      </c>
      <c r="G2812" s="81" t="s">
        <v>39</v>
      </c>
      <c r="H2812" s="81" t="s">
        <v>6039</v>
      </c>
      <c r="I2812" s="81" t="s">
        <v>3201</v>
      </c>
      <c r="J2812" s="81" t="s">
        <v>224</v>
      </c>
    </row>
    <row r="2813" hidden="1">
      <c r="A2813" s="83" t="s">
        <v>6317</v>
      </c>
      <c r="B2813" s="83" t="s">
        <v>6318</v>
      </c>
      <c r="C2813" s="81" t="s">
        <v>4086</v>
      </c>
      <c r="D2813" s="83" t="s">
        <v>4677</v>
      </c>
      <c r="E2813" s="81" t="s">
        <v>3196</v>
      </c>
      <c r="F2813" s="84">
        <v>606.0</v>
      </c>
      <c r="G2813" s="81" t="s">
        <v>40</v>
      </c>
      <c r="H2813" s="81" t="s">
        <v>6040</v>
      </c>
      <c r="I2813" s="81" t="s">
        <v>6041</v>
      </c>
      <c r="J2813" s="81" t="s">
        <v>224</v>
      </c>
    </row>
    <row r="2814" hidden="1">
      <c r="A2814" s="83" t="s">
        <v>6317</v>
      </c>
      <c r="B2814" s="83" t="s">
        <v>6318</v>
      </c>
      <c r="C2814" s="81" t="s">
        <v>4086</v>
      </c>
      <c r="D2814" s="83" t="s">
        <v>4677</v>
      </c>
      <c r="E2814" s="81" t="s">
        <v>3208</v>
      </c>
      <c r="F2814" s="84">
        <v>607.0</v>
      </c>
      <c r="G2814" s="81" t="s">
        <v>39</v>
      </c>
      <c r="H2814" s="81" t="s">
        <v>6039</v>
      </c>
      <c r="I2814" s="81" t="s">
        <v>3201</v>
      </c>
      <c r="J2814" s="81" t="s">
        <v>224</v>
      </c>
    </row>
    <row r="2815" hidden="1">
      <c r="A2815" s="83" t="s">
        <v>6317</v>
      </c>
      <c r="B2815" s="83" t="s">
        <v>6318</v>
      </c>
      <c r="C2815" s="81" t="s">
        <v>4086</v>
      </c>
      <c r="D2815" s="83" t="s">
        <v>4677</v>
      </c>
      <c r="E2815" s="81" t="s">
        <v>3208</v>
      </c>
      <c r="F2815" s="84">
        <v>607.0</v>
      </c>
      <c r="G2815" s="81" t="s">
        <v>40</v>
      </c>
      <c r="H2815" s="81" t="s">
        <v>6040</v>
      </c>
      <c r="I2815" s="81" t="s">
        <v>6041</v>
      </c>
      <c r="J2815" s="81" t="s">
        <v>224</v>
      </c>
    </row>
    <row r="2816" hidden="1">
      <c r="A2816" s="83" t="s">
        <v>6317</v>
      </c>
      <c r="B2816" s="83" t="s">
        <v>6318</v>
      </c>
      <c r="C2816" s="81" t="s">
        <v>4086</v>
      </c>
      <c r="D2816" s="83" t="s">
        <v>4678</v>
      </c>
      <c r="E2816" s="81" t="s">
        <v>3209</v>
      </c>
      <c r="F2816" s="84">
        <v>608.0</v>
      </c>
      <c r="G2816" s="81" t="s">
        <v>39</v>
      </c>
      <c r="H2816" s="81" t="s">
        <v>6042</v>
      </c>
      <c r="I2816" s="81" t="s">
        <v>3210</v>
      </c>
      <c r="J2816" s="81" t="s">
        <v>224</v>
      </c>
    </row>
    <row r="2817" hidden="1">
      <c r="A2817" s="83" t="s">
        <v>6317</v>
      </c>
      <c r="B2817" s="83" t="s">
        <v>6318</v>
      </c>
      <c r="C2817" s="81" t="s">
        <v>4086</v>
      </c>
      <c r="D2817" s="83" t="s">
        <v>4678</v>
      </c>
      <c r="E2817" s="81" t="s">
        <v>3209</v>
      </c>
      <c r="F2817" s="84">
        <v>608.0</v>
      </c>
      <c r="G2817" s="81" t="s">
        <v>40</v>
      </c>
      <c r="H2817" s="81" t="s">
        <v>6043</v>
      </c>
      <c r="I2817" s="81" t="s">
        <v>6044</v>
      </c>
      <c r="J2817" s="81" t="s">
        <v>224</v>
      </c>
    </row>
    <row r="2818" hidden="1">
      <c r="A2818" s="83" t="s">
        <v>6317</v>
      </c>
      <c r="B2818" s="83" t="s">
        <v>6318</v>
      </c>
      <c r="C2818" s="81" t="s">
        <v>4086</v>
      </c>
      <c r="D2818" s="83" t="s">
        <v>4679</v>
      </c>
      <c r="E2818" s="81" t="s">
        <v>3212</v>
      </c>
      <c r="F2818" s="84">
        <v>609.0</v>
      </c>
      <c r="G2818" s="81" t="s">
        <v>39</v>
      </c>
      <c r="H2818" s="81" t="s">
        <v>6045</v>
      </c>
      <c r="I2818" s="81" t="s">
        <v>3214</v>
      </c>
      <c r="J2818" s="81" t="s">
        <v>224</v>
      </c>
    </row>
    <row r="2819" hidden="1">
      <c r="A2819" s="83" t="s">
        <v>6317</v>
      </c>
      <c r="B2819" s="83" t="s">
        <v>6318</v>
      </c>
      <c r="C2819" s="81" t="s">
        <v>4086</v>
      </c>
      <c r="D2819" s="83" t="s">
        <v>4679</v>
      </c>
      <c r="E2819" s="81" t="s">
        <v>3212</v>
      </c>
      <c r="F2819" s="84">
        <v>609.0</v>
      </c>
      <c r="G2819" s="81" t="s">
        <v>40</v>
      </c>
      <c r="H2819" s="81" t="s">
        <v>6046</v>
      </c>
      <c r="I2819" s="81" t="s">
        <v>6047</v>
      </c>
      <c r="J2819" s="81" t="s">
        <v>224</v>
      </c>
    </row>
    <row r="2820" hidden="1">
      <c r="A2820" s="83" t="s">
        <v>6317</v>
      </c>
      <c r="B2820" s="83" t="s">
        <v>6318</v>
      </c>
      <c r="C2820" s="81" t="s">
        <v>4086</v>
      </c>
      <c r="D2820" s="83" t="s">
        <v>4679</v>
      </c>
      <c r="E2820" s="81" t="s">
        <v>3219</v>
      </c>
      <c r="F2820" s="84">
        <v>610.0</v>
      </c>
      <c r="G2820" s="81" t="s">
        <v>39</v>
      </c>
      <c r="H2820" s="81" t="s">
        <v>6045</v>
      </c>
      <c r="I2820" s="81" t="s">
        <v>3214</v>
      </c>
      <c r="J2820" s="81" t="s">
        <v>224</v>
      </c>
    </row>
    <row r="2821" hidden="1">
      <c r="A2821" s="83" t="s">
        <v>6317</v>
      </c>
      <c r="B2821" s="83" t="s">
        <v>6318</v>
      </c>
      <c r="C2821" s="81" t="s">
        <v>4086</v>
      </c>
      <c r="D2821" s="83" t="s">
        <v>4679</v>
      </c>
      <c r="E2821" s="81" t="s">
        <v>3219</v>
      </c>
      <c r="F2821" s="84">
        <v>610.0</v>
      </c>
      <c r="G2821" s="81" t="s">
        <v>40</v>
      </c>
      <c r="H2821" s="81" t="s">
        <v>6046</v>
      </c>
      <c r="I2821" s="81" t="s">
        <v>6047</v>
      </c>
      <c r="J2821" s="81" t="s">
        <v>224</v>
      </c>
    </row>
    <row r="2822" hidden="1">
      <c r="A2822" s="83" t="s">
        <v>6317</v>
      </c>
      <c r="B2822" s="83" t="s">
        <v>6318</v>
      </c>
      <c r="C2822" s="81" t="s">
        <v>4086</v>
      </c>
      <c r="D2822" s="83" t="s">
        <v>4680</v>
      </c>
      <c r="E2822" s="81" t="s">
        <v>3220</v>
      </c>
      <c r="F2822" s="84">
        <v>611.0</v>
      </c>
      <c r="G2822" s="81" t="s">
        <v>39</v>
      </c>
      <c r="H2822" s="81" t="s">
        <v>6048</v>
      </c>
      <c r="I2822" s="81" t="s">
        <v>3221</v>
      </c>
      <c r="J2822" s="81" t="s">
        <v>224</v>
      </c>
    </row>
    <row r="2823" hidden="1">
      <c r="A2823" s="83" t="s">
        <v>6317</v>
      </c>
      <c r="B2823" s="83" t="s">
        <v>6318</v>
      </c>
      <c r="C2823" s="81" t="s">
        <v>4086</v>
      </c>
      <c r="D2823" s="83" t="s">
        <v>4680</v>
      </c>
      <c r="E2823" s="81" t="s">
        <v>3220</v>
      </c>
      <c r="F2823" s="84">
        <v>611.0</v>
      </c>
      <c r="G2823" s="81" t="s">
        <v>40</v>
      </c>
      <c r="H2823" s="81" t="s">
        <v>6049</v>
      </c>
      <c r="I2823" s="81" t="s">
        <v>3222</v>
      </c>
      <c r="J2823" s="81" t="s">
        <v>224</v>
      </c>
    </row>
    <row r="2824" hidden="1">
      <c r="A2824" s="83" t="s">
        <v>6317</v>
      </c>
      <c r="B2824" s="83" t="s">
        <v>6318</v>
      </c>
      <c r="C2824" s="81" t="s">
        <v>4086</v>
      </c>
      <c r="D2824" s="83" t="s">
        <v>4681</v>
      </c>
      <c r="E2824" s="81" t="s">
        <v>3223</v>
      </c>
      <c r="F2824" s="84">
        <v>612.0</v>
      </c>
      <c r="G2824" s="81" t="s">
        <v>39</v>
      </c>
      <c r="H2824" s="81" t="s">
        <v>6050</v>
      </c>
      <c r="I2824" s="81" t="s">
        <v>3224</v>
      </c>
      <c r="J2824" s="81" t="s">
        <v>224</v>
      </c>
    </row>
    <row r="2825" hidden="1">
      <c r="A2825" s="83" t="s">
        <v>6317</v>
      </c>
      <c r="B2825" s="83" t="s">
        <v>6318</v>
      </c>
      <c r="C2825" s="81" t="s">
        <v>4086</v>
      </c>
      <c r="D2825" s="83" t="s">
        <v>4681</v>
      </c>
      <c r="E2825" s="81" t="s">
        <v>3223</v>
      </c>
      <c r="F2825" s="84">
        <v>612.0</v>
      </c>
      <c r="G2825" s="81" t="s">
        <v>40</v>
      </c>
      <c r="H2825" s="81" t="s">
        <v>6051</v>
      </c>
      <c r="I2825" s="81" t="s">
        <v>3225</v>
      </c>
      <c r="J2825" s="81" t="s">
        <v>224</v>
      </c>
    </row>
    <row r="2826" hidden="1">
      <c r="A2826" s="83" t="s">
        <v>6317</v>
      </c>
      <c r="B2826" s="83" t="s">
        <v>6318</v>
      </c>
      <c r="C2826" s="81" t="s">
        <v>4082</v>
      </c>
      <c r="D2826" s="83" t="s">
        <v>4682</v>
      </c>
      <c r="E2826" s="81" t="s">
        <v>3226</v>
      </c>
      <c r="F2826" s="84">
        <v>613.0</v>
      </c>
      <c r="G2826" s="81" t="s">
        <v>39</v>
      </c>
      <c r="H2826" s="81" t="s">
        <v>224</v>
      </c>
      <c r="I2826" s="81" t="s">
        <v>224</v>
      </c>
      <c r="J2826" s="81" t="s">
        <v>6052</v>
      </c>
    </row>
    <row r="2827" hidden="1">
      <c r="A2827" s="83" t="s">
        <v>6317</v>
      </c>
      <c r="B2827" s="83" t="s">
        <v>6318</v>
      </c>
      <c r="C2827" s="81" t="s">
        <v>5141</v>
      </c>
      <c r="D2827" s="83" t="s">
        <v>4682</v>
      </c>
      <c r="E2827" s="81" t="s">
        <v>3226</v>
      </c>
      <c r="F2827" s="84">
        <v>613.0</v>
      </c>
      <c r="G2827" s="81" t="s">
        <v>39</v>
      </c>
      <c r="H2827" s="81" t="s">
        <v>6053</v>
      </c>
      <c r="I2827" s="81" t="s">
        <v>224</v>
      </c>
      <c r="J2827" s="81" t="s">
        <v>5143</v>
      </c>
    </row>
    <row r="2828" hidden="1">
      <c r="A2828" s="83" t="s">
        <v>6317</v>
      </c>
      <c r="B2828" s="83" t="s">
        <v>6318</v>
      </c>
      <c r="C2828" s="81" t="s">
        <v>4086</v>
      </c>
      <c r="D2828" s="83" t="s">
        <v>4682</v>
      </c>
      <c r="E2828" s="81" t="s">
        <v>3226</v>
      </c>
      <c r="F2828" s="84">
        <v>613.0</v>
      </c>
      <c r="G2828" s="81" t="s">
        <v>40</v>
      </c>
      <c r="H2828" s="81" t="s">
        <v>6054</v>
      </c>
      <c r="I2828" s="81" t="s">
        <v>6055</v>
      </c>
      <c r="J2828" s="81" t="s">
        <v>224</v>
      </c>
    </row>
    <row r="2829" hidden="1">
      <c r="A2829" s="83" t="s">
        <v>6317</v>
      </c>
      <c r="B2829" s="83" t="s">
        <v>6318</v>
      </c>
      <c r="C2829" s="81" t="s">
        <v>4086</v>
      </c>
      <c r="D2829" s="83" t="s">
        <v>4683</v>
      </c>
      <c r="E2829" s="81" t="s">
        <v>3228</v>
      </c>
      <c r="F2829" s="84">
        <v>614.0</v>
      </c>
      <c r="G2829" s="81" t="s">
        <v>39</v>
      </c>
      <c r="H2829" s="81" t="s">
        <v>6056</v>
      </c>
      <c r="I2829" s="81" t="s">
        <v>3230</v>
      </c>
      <c r="J2829" s="81" t="s">
        <v>224</v>
      </c>
    </row>
    <row r="2830" hidden="1">
      <c r="A2830" s="83" t="s">
        <v>6317</v>
      </c>
      <c r="B2830" s="83" t="s">
        <v>6318</v>
      </c>
      <c r="C2830" s="81" t="s">
        <v>4086</v>
      </c>
      <c r="D2830" s="83" t="s">
        <v>4683</v>
      </c>
      <c r="E2830" s="81" t="s">
        <v>3228</v>
      </c>
      <c r="F2830" s="84">
        <v>614.0</v>
      </c>
      <c r="G2830" s="81" t="s">
        <v>40</v>
      </c>
      <c r="H2830" s="81" t="s">
        <v>6057</v>
      </c>
      <c r="I2830" s="81" t="s">
        <v>6058</v>
      </c>
      <c r="J2830" s="81" t="s">
        <v>224</v>
      </c>
    </row>
    <row r="2831" hidden="1">
      <c r="A2831" s="83" t="s">
        <v>6317</v>
      </c>
      <c r="B2831" s="83" t="s">
        <v>6318</v>
      </c>
      <c r="C2831" s="81" t="s">
        <v>4086</v>
      </c>
      <c r="D2831" s="83" t="s">
        <v>4683</v>
      </c>
      <c r="E2831" s="81" t="s">
        <v>3235</v>
      </c>
      <c r="F2831" s="84">
        <v>615.0</v>
      </c>
      <c r="G2831" s="81" t="s">
        <v>39</v>
      </c>
      <c r="H2831" s="81" t="s">
        <v>6056</v>
      </c>
      <c r="I2831" s="81" t="s">
        <v>3230</v>
      </c>
      <c r="J2831" s="81" t="s">
        <v>224</v>
      </c>
    </row>
    <row r="2832" hidden="1">
      <c r="A2832" s="83" t="s">
        <v>6317</v>
      </c>
      <c r="B2832" s="83" t="s">
        <v>6318</v>
      </c>
      <c r="C2832" s="81" t="s">
        <v>4086</v>
      </c>
      <c r="D2832" s="83" t="s">
        <v>4683</v>
      </c>
      <c r="E2832" s="81" t="s">
        <v>3235</v>
      </c>
      <c r="F2832" s="84">
        <v>615.0</v>
      </c>
      <c r="G2832" s="81" t="s">
        <v>40</v>
      </c>
      <c r="H2832" s="81" t="s">
        <v>6057</v>
      </c>
      <c r="I2832" s="81" t="s">
        <v>6058</v>
      </c>
      <c r="J2832" s="81" t="s">
        <v>224</v>
      </c>
    </row>
    <row r="2833" hidden="1">
      <c r="A2833" s="83" t="s">
        <v>6317</v>
      </c>
      <c r="B2833" s="83" t="s">
        <v>6318</v>
      </c>
      <c r="C2833" s="81" t="s">
        <v>4086</v>
      </c>
      <c r="D2833" s="83" t="s">
        <v>4684</v>
      </c>
      <c r="E2833" s="81" t="s">
        <v>3236</v>
      </c>
      <c r="F2833" s="84">
        <v>616.0</v>
      </c>
      <c r="G2833" s="81" t="s">
        <v>39</v>
      </c>
      <c r="H2833" s="81" t="s">
        <v>6059</v>
      </c>
      <c r="I2833" s="81" t="s">
        <v>3237</v>
      </c>
      <c r="J2833" s="81" t="s">
        <v>224</v>
      </c>
    </row>
    <row r="2834" hidden="1">
      <c r="A2834" s="83" t="s">
        <v>6317</v>
      </c>
      <c r="B2834" s="83" t="s">
        <v>6318</v>
      </c>
      <c r="C2834" s="81" t="s">
        <v>4086</v>
      </c>
      <c r="D2834" s="83" t="s">
        <v>4684</v>
      </c>
      <c r="E2834" s="81" t="s">
        <v>3236</v>
      </c>
      <c r="F2834" s="84">
        <v>616.0</v>
      </c>
      <c r="G2834" s="81" t="s">
        <v>40</v>
      </c>
      <c r="H2834" s="81" t="s">
        <v>6060</v>
      </c>
      <c r="I2834" s="81" t="s">
        <v>6061</v>
      </c>
      <c r="J2834" s="81" t="s">
        <v>224</v>
      </c>
    </row>
    <row r="2835" hidden="1">
      <c r="A2835" s="83" t="s">
        <v>6317</v>
      </c>
      <c r="B2835" s="83" t="s">
        <v>6318</v>
      </c>
      <c r="C2835" s="81" t="s">
        <v>4086</v>
      </c>
      <c r="D2835" s="83" t="s">
        <v>4685</v>
      </c>
      <c r="E2835" s="81" t="s">
        <v>3239</v>
      </c>
      <c r="F2835" s="84">
        <v>617.0</v>
      </c>
      <c r="G2835" s="81" t="s">
        <v>39</v>
      </c>
      <c r="H2835" s="81" t="s">
        <v>6062</v>
      </c>
      <c r="I2835" s="81" t="s">
        <v>3241</v>
      </c>
      <c r="J2835" s="81" t="s">
        <v>224</v>
      </c>
    </row>
    <row r="2836" hidden="1">
      <c r="A2836" s="83" t="s">
        <v>6317</v>
      </c>
      <c r="B2836" s="83" t="s">
        <v>6318</v>
      </c>
      <c r="C2836" s="81" t="s">
        <v>4086</v>
      </c>
      <c r="D2836" s="83" t="s">
        <v>4685</v>
      </c>
      <c r="E2836" s="81" t="s">
        <v>3239</v>
      </c>
      <c r="F2836" s="84">
        <v>617.0</v>
      </c>
      <c r="G2836" s="81" t="s">
        <v>40</v>
      </c>
      <c r="H2836" s="81" t="s">
        <v>6063</v>
      </c>
      <c r="I2836" s="81" t="s">
        <v>6064</v>
      </c>
      <c r="J2836" s="81" t="s">
        <v>224</v>
      </c>
    </row>
    <row r="2837" hidden="1">
      <c r="A2837" s="83" t="s">
        <v>6317</v>
      </c>
      <c r="B2837" s="83" t="s">
        <v>6318</v>
      </c>
      <c r="C2837" s="81" t="s">
        <v>4086</v>
      </c>
      <c r="D2837" s="83" t="s">
        <v>4685</v>
      </c>
      <c r="E2837" s="81" t="s">
        <v>3247</v>
      </c>
      <c r="F2837" s="84">
        <v>618.0</v>
      </c>
      <c r="G2837" s="81" t="s">
        <v>39</v>
      </c>
      <c r="H2837" s="81" t="s">
        <v>6062</v>
      </c>
      <c r="I2837" s="81" t="s">
        <v>3241</v>
      </c>
      <c r="J2837" s="81" t="s">
        <v>224</v>
      </c>
    </row>
    <row r="2838" hidden="1">
      <c r="A2838" s="83" t="s">
        <v>6317</v>
      </c>
      <c r="B2838" s="83" t="s">
        <v>6318</v>
      </c>
      <c r="C2838" s="81" t="s">
        <v>4086</v>
      </c>
      <c r="D2838" s="83" t="s">
        <v>4685</v>
      </c>
      <c r="E2838" s="81" t="s">
        <v>3247</v>
      </c>
      <c r="F2838" s="84">
        <v>618.0</v>
      </c>
      <c r="G2838" s="81" t="s">
        <v>40</v>
      </c>
      <c r="H2838" s="81" t="s">
        <v>6063</v>
      </c>
      <c r="I2838" s="81" t="s">
        <v>6064</v>
      </c>
      <c r="J2838" s="81" t="s">
        <v>224</v>
      </c>
    </row>
    <row r="2839" hidden="1">
      <c r="A2839" s="83" t="s">
        <v>6317</v>
      </c>
      <c r="B2839" s="83" t="s">
        <v>6318</v>
      </c>
      <c r="C2839" s="81" t="s">
        <v>4086</v>
      </c>
      <c r="D2839" s="83" t="s">
        <v>4686</v>
      </c>
      <c r="E2839" s="81" t="s">
        <v>3248</v>
      </c>
      <c r="F2839" s="84">
        <v>619.0</v>
      </c>
      <c r="G2839" s="81" t="s">
        <v>40</v>
      </c>
      <c r="H2839" s="81" t="s">
        <v>6065</v>
      </c>
      <c r="I2839" s="81" t="s">
        <v>6066</v>
      </c>
      <c r="J2839" s="81" t="s">
        <v>224</v>
      </c>
    </row>
    <row r="2840" hidden="1">
      <c r="A2840" s="83" t="s">
        <v>6317</v>
      </c>
      <c r="B2840" s="83" t="s">
        <v>6318</v>
      </c>
      <c r="C2840" s="81" t="s">
        <v>4086</v>
      </c>
      <c r="D2840" s="83" t="s">
        <v>4687</v>
      </c>
      <c r="E2840" s="81" t="s">
        <v>3251</v>
      </c>
      <c r="F2840" s="84">
        <v>620.0</v>
      </c>
      <c r="G2840" s="81" t="s">
        <v>39</v>
      </c>
      <c r="H2840" s="81" t="s">
        <v>6067</v>
      </c>
      <c r="I2840" s="81" t="s">
        <v>3252</v>
      </c>
      <c r="J2840" s="81" t="s">
        <v>224</v>
      </c>
    </row>
    <row r="2841" hidden="1">
      <c r="A2841" s="83" t="s">
        <v>6317</v>
      </c>
      <c r="B2841" s="83" t="s">
        <v>6318</v>
      </c>
      <c r="C2841" s="81" t="s">
        <v>4086</v>
      </c>
      <c r="D2841" s="83" t="s">
        <v>4687</v>
      </c>
      <c r="E2841" s="81" t="s">
        <v>3251</v>
      </c>
      <c r="F2841" s="84">
        <v>620.0</v>
      </c>
      <c r="G2841" s="81" t="s">
        <v>40</v>
      </c>
      <c r="H2841" s="81" t="s">
        <v>6068</v>
      </c>
      <c r="I2841" s="81" t="s">
        <v>6069</v>
      </c>
      <c r="J2841" s="81" t="s">
        <v>224</v>
      </c>
    </row>
    <row r="2842" hidden="1">
      <c r="A2842" s="83" t="s">
        <v>6317</v>
      </c>
      <c r="B2842" s="83" t="s">
        <v>6318</v>
      </c>
      <c r="C2842" s="81" t="s">
        <v>4086</v>
      </c>
      <c r="D2842" s="83" t="s">
        <v>4688</v>
      </c>
      <c r="E2842" s="81" t="s">
        <v>3254</v>
      </c>
      <c r="F2842" s="84">
        <v>621.0</v>
      </c>
      <c r="G2842" s="81" t="s">
        <v>40</v>
      </c>
      <c r="H2842" s="81" t="s">
        <v>6070</v>
      </c>
      <c r="I2842" s="81" t="s">
        <v>6071</v>
      </c>
      <c r="J2842" s="81" t="s">
        <v>224</v>
      </c>
    </row>
    <row r="2843" hidden="1">
      <c r="A2843" s="83" t="s">
        <v>6317</v>
      </c>
      <c r="B2843" s="83" t="s">
        <v>6318</v>
      </c>
      <c r="C2843" s="81" t="s">
        <v>4086</v>
      </c>
      <c r="D2843" s="83" t="s">
        <v>4689</v>
      </c>
      <c r="E2843" s="81" t="s">
        <v>3257</v>
      </c>
      <c r="F2843" s="84">
        <v>622.0</v>
      </c>
      <c r="G2843" s="81" t="s">
        <v>39</v>
      </c>
      <c r="H2843" s="81" t="s">
        <v>6072</v>
      </c>
      <c r="I2843" s="81" t="s">
        <v>3259</v>
      </c>
      <c r="J2843" s="81" t="s">
        <v>224</v>
      </c>
    </row>
    <row r="2844" hidden="1">
      <c r="A2844" s="83" t="s">
        <v>6317</v>
      </c>
      <c r="B2844" s="83" t="s">
        <v>6318</v>
      </c>
      <c r="C2844" s="81" t="s">
        <v>4086</v>
      </c>
      <c r="D2844" s="83" t="s">
        <v>4689</v>
      </c>
      <c r="E2844" s="81" t="s">
        <v>3257</v>
      </c>
      <c r="F2844" s="84">
        <v>622.0</v>
      </c>
      <c r="G2844" s="81" t="s">
        <v>40</v>
      </c>
      <c r="H2844" s="81" t="s">
        <v>6073</v>
      </c>
      <c r="I2844" s="81" t="s">
        <v>3260</v>
      </c>
      <c r="J2844" s="81" t="s">
        <v>224</v>
      </c>
    </row>
    <row r="2845" hidden="1">
      <c r="A2845" s="83" t="s">
        <v>6317</v>
      </c>
      <c r="B2845" s="83" t="s">
        <v>6318</v>
      </c>
      <c r="C2845" s="81" t="s">
        <v>4086</v>
      </c>
      <c r="D2845" s="83" t="s">
        <v>4691</v>
      </c>
      <c r="E2845" s="81" t="s">
        <v>3270</v>
      </c>
      <c r="F2845" s="84">
        <v>625.0</v>
      </c>
      <c r="G2845" s="81" t="s">
        <v>39</v>
      </c>
      <c r="H2845" s="81" t="s">
        <v>6074</v>
      </c>
      <c r="I2845" s="81" t="s">
        <v>3273</v>
      </c>
      <c r="J2845" s="81" t="s">
        <v>224</v>
      </c>
    </row>
    <row r="2846" hidden="1">
      <c r="A2846" s="83" t="s">
        <v>6317</v>
      </c>
      <c r="B2846" s="83" t="s">
        <v>6318</v>
      </c>
      <c r="C2846" s="81" t="s">
        <v>4086</v>
      </c>
      <c r="D2846" s="83" t="s">
        <v>4691</v>
      </c>
      <c r="E2846" s="81" t="s">
        <v>3270</v>
      </c>
      <c r="F2846" s="84">
        <v>625.0</v>
      </c>
      <c r="G2846" s="81" t="s">
        <v>40</v>
      </c>
      <c r="H2846" s="81" t="s">
        <v>6075</v>
      </c>
      <c r="I2846" s="81" t="s">
        <v>3274</v>
      </c>
      <c r="J2846" s="81" t="s">
        <v>224</v>
      </c>
    </row>
    <row r="2847" hidden="1">
      <c r="A2847" s="83" t="s">
        <v>6317</v>
      </c>
      <c r="B2847" s="83" t="s">
        <v>6318</v>
      </c>
      <c r="C2847" s="81" t="s">
        <v>4086</v>
      </c>
      <c r="D2847" s="83" t="s">
        <v>4691</v>
      </c>
      <c r="E2847" s="81" t="s">
        <v>3280</v>
      </c>
      <c r="F2847" s="84">
        <v>626.0</v>
      </c>
      <c r="G2847" s="81" t="s">
        <v>39</v>
      </c>
      <c r="H2847" s="81" t="s">
        <v>6074</v>
      </c>
      <c r="I2847" s="81" t="s">
        <v>3273</v>
      </c>
      <c r="J2847" s="81" t="s">
        <v>224</v>
      </c>
    </row>
    <row r="2848" hidden="1">
      <c r="A2848" s="83" t="s">
        <v>6317</v>
      </c>
      <c r="B2848" s="83" t="s">
        <v>6318</v>
      </c>
      <c r="C2848" s="81" t="s">
        <v>4086</v>
      </c>
      <c r="D2848" s="83" t="s">
        <v>4691</v>
      </c>
      <c r="E2848" s="81" t="s">
        <v>3280</v>
      </c>
      <c r="F2848" s="84">
        <v>626.0</v>
      </c>
      <c r="G2848" s="81" t="s">
        <v>40</v>
      </c>
      <c r="H2848" s="81" t="s">
        <v>6075</v>
      </c>
      <c r="I2848" s="81" t="s">
        <v>3274</v>
      </c>
      <c r="J2848" s="81" t="s">
        <v>224</v>
      </c>
    </row>
    <row r="2849" hidden="1">
      <c r="A2849" s="83" t="s">
        <v>6317</v>
      </c>
      <c r="B2849" s="83" t="s">
        <v>6318</v>
      </c>
      <c r="C2849" s="81" t="s">
        <v>4086</v>
      </c>
      <c r="D2849" s="83" t="s">
        <v>4693</v>
      </c>
      <c r="E2849" s="81" t="s">
        <v>3281</v>
      </c>
      <c r="F2849" s="84">
        <v>627.0</v>
      </c>
      <c r="G2849" s="81" t="s">
        <v>39</v>
      </c>
      <c r="H2849" s="81" t="s">
        <v>6076</v>
      </c>
      <c r="I2849" s="81" t="s">
        <v>3282</v>
      </c>
      <c r="J2849" s="81" t="s">
        <v>224</v>
      </c>
    </row>
    <row r="2850" hidden="1">
      <c r="A2850" s="83" t="s">
        <v>6317</v>
      </c>
      <c r="B2850" s="83" t="s">
        <v>6318</v>
      </c>
      <c r="C2850" s="81" t="s">
        <v>4086</v>
      </c>
      <c r="D2850" s="83" t="s">
        <v>4693</v>
      </c>
      <c r="E2850" s="81" t="s">
        <v>3281</v>
      </c>
      <c r="F2850" s="84">
        <v>627.0</v>
      </c>
      <c r="G2850" s="81" t="s">
        <v>40</v>
      </c>
      <c r="H2850" s="81" t="s">
        <v>6077</v>
      </c>
      <c r="I2850" s="81" t="s">
        <v>3283</v>
      </c>
      <c r="J2850" s="81" t="s">
        <v>224</v>
      </c>
    </row>
    <row r="2851" hidden="1">
      <c r="A2851" s="83" t="s">
        <v>6317</v>
      </c>
      <c r="B2851" s="83" t="s">
        <v>6318</v>
      </c>
      <c r="C2851" s="81" t="s">
        <v>4086</v>
      </c>
      <c r="D2851" s="83" t="s">
        <v>4694</v>
      </c>
      <c r="E2851" s="81" t="s">
        <v>3284</v>
      </c>
      <c r="F2851" s="84">
        <v>628.0</v>
      </c>
      <c r="G2851" s="81" t="s">
        <v>39</v>
      </c>
      <c r="H2851" s="81" t="s">
        <v>6078</v>
      </c>
      <c r="I2851" s="81" t="s">
        <v>3288</v>
      </c>
      <c r="J2851" s="81" t="s">
        <v>224</v>
      </c>
    </row>
    <row r="2852" hidden="1">
      <c r="A2852" s="83" t="s">
        <v>6317</v>
      </c>
      <c r="B2852" s="83" t="s">
        <v>6318</v>
      </c>
      <c r="C2852" s="81" t="s">
        <v>4086</v>
      </c>
      <c r="D2852" s="83" t="s">
        <v>4694</v>
      </c>
      <c r="E2852" s="81" t="s">
        <v>3284</v>
      </c>
      <c r="F2852" s="84">
        <v>628.0</v>
      </c>
      <c r="G2852" s="81" t="s">
        <v>40</v>
      </c>
      <c r="H2852" s="81" t="s">
        <v>6079</v>
      </c>
      <c r="I2852" s="81" t="s">
        <v>6080</v>
      </c>
      <c r="J2852" s="81" t="s">
        <v>224</v>
      </c>
    </row>
    <row r="2853" hidden="1">
      <c r="A2853" s="83" t="s">
        <v>6317</v>
      </c>
      <c r="B2853" s="83" t="s">
        <v>6318</v>
      </c>
      <c r="C2853" s="81" t="s">
        <v>4086</v>
      </c>
      <c r="D2853" s="83" t="s">
        <v>4694</v>
      </c>
      <c r="E2853" s="81" t="s">
        <v>3295</v>
      </c>
      <c r="F2853" s="84">
        <v>629.0</v>
      </c>
      <c r="G2853" s="81" t="s">
        <v>40</v>
      </c>
      <c r="H2853" s="81" t="s">
        <v>6081</v>
      </c>
      <c r="I2853" s="81" t="s">
        <v>6080</v>
      </c>
      <c r="J2853" s="81" t="s">
        <v>224</v>
      </c>
    </row>
    <row r="2854" hidden="1">
      <c r="A2854" s="83" t="s">
        <v>6317</v>
      </c>
      <c r="B2854" s="83" t="s">
        <v>6318</v>
      </c>
      <c r="C2854" s="81" t="s">
        <v>4086</v>
      </c>
      <c r="D2854" s="83" t="s">
        <v>4696</v>
      </c>
      <c r="E2854" s="81" t="s">
        <v>3296</v>
      </c>
      <c r="F2854" s="84">
        <v>630.0</v>
      </c>
      <c r="G2854" s="81" t="s">
        <v>39</v>
      </c>
      <c r="H2854" s="81" t="s">
        <v>6082</v>
      </c>
      <c r="I2854" s="81" t="s">
        <v>3297</v>
      </c>
      <c r="J2854" s="81" t="s">
        <v>224</v>
      </c>
    </row>
    <row r="2855" hidden="1">
      <c r="A2855" s="83" t="s">
        <v>6317</v>
      </c>
      <c r="B2855" s="83" t="s">
        <v>6318</v>
      </c>
      <c r="C2855" s="81" t="s">
        <v>4086</v>
      </c>
      <c r="D2855" s="83" t="s">
        <v>4696</v>
      </c>
      <c r="E2855" s="81" t="s">
        <v>3296</v>
      </c>
      <c r="F2855" s="84">
        <v>630.0</v>
      </c>
      <c r="G2855" s="81" t="s">
        <v>40</v>
      </c>
      <c r="H2855" s="81" t="s">
        <v>6083</v>
      </c>
      <c r="I2855" s="81" t="s">
        <v>6084</v>
      </c>
      <c r="J2855" s="81" t="s">
        <v>224</v>
      </c>
    </row>
    <row r="2856" hidden="1">
      <c r="A2856" s="83" t="s">
        <v>6317</v>
      </c>
      <c r="B2856" s="83" t="s">
        <v>6318</v>
      </c>
      <c r="C2856" s="81" t="s">
        <v>4086</v>
      </c>
      <c r="D2856" s="83" t="s">
        <v>4697</v>
      </c>
      <c r="E2856" s="81" t="s">
        <v>3299</v>
      </c>
      <c r="F2856" s="84">
        <v>631.0</v>
      </c>
      <c r="G2856" s="81" t="s">
        <v>39</v>
      </c>
      <c r="H2856" s="81" t="s">
        <v>6085</v>
      </c>
      <c r="I2856" s="81" t="s">
        <v>3304</v>
      </c>
      <c r="J2856" s="81" t="s">
        <v>224</v>
      </c>
    </row>
    <row r="2857" hidden="1">
      <c r="A2857" s="83" t="s">
        <v>6317</v>
      </c>
      <c r="B2857" s="83" t="s">
        <v>6318</v>
      </c>
      <c r="C2857" s="81" t="s">
        <v>4086</v>
      </c>
      <c r="D2857" s="83" t="s">
        <v>4697</v>
      </c>
      <c r="E2857" s="81" t="s">
        <v>3299</v>
      </c>
      <c r="F2857" s="84">
        <v>631.0</v>
      </c>
      <c r="G2857" s="81" t="s">
        <v>40</v>
      </c>
      <c r="H2857" s="81" t="s">
        <v>6086</v>
      </c>
      <c r="I2857" s="81" t="s">
        <v>6087</v>
      </c>
      <c r="J2857" s="81" t="s">
        <v>224</v>
      </c>
    </row>
    <row r="2858" hidden="1">
      <c r="A2858" s="83" t="s">
        <v>6317</v>
      </c>
      <c r="B2858" s="83" t="s">
        <v>6318</v>
      </c>
      <c r="C2858" s="81" t="s">
        <v>4086</v>
      </c>
      <c r="D2858" s="83" t="s">
        <v>4697</v>
      </c>
      <c r="E2858" s="81" t="s">
        <v>3311</v>
      </c>
      <c r="F2858" s="84">
        <v>632.0</v>
      </c>
      <c r="G2858" s="81" t="s">
        <v>39</v>
      </c>
      <c r="H2858" s="81" t="s">
        <v>6085</v>
      </c>
      <c r="I2858" s="81" t="s">
        <v>3304</v>
      </c>
      <c r="J2858" s="81" t="s">
        <v>224</v>
      </c>
    </row>
    <row r="2859" hidden="1">
      <c r="A2859" s="83" t="s">
        <v>6317</v>
      </c>
      <c r="B2859" s="83" t="s">
        <v>6318</v>
      </c>
      <c r="C2859" s="81" t="s">
        <v>4086</v>
      </c>
      <c r="D2859" s="83" t="s">
        <v>4697</v>
      </c>
      <c r="E2859" s="81" t="s">
        <v>3311</v>
      </c>
      <c r="F2859" s="84">
        <v>632.0</v>
      </c>
      <c r="G2859" s="81" t="s">
        <v>40</v>
      </c>
      <c r="H2859" s="81" t="s">
        <v>6086</v>
      </c>
      <c r="I2859" s="81" t="s">
        <v>6087</v>
      </c>
      <c r="J2859" s="81" t="s">
        <v>224</v>
      </c>
    </row>
    <row r="2860" hidden="1">
      <c r="A2860" s="83" t="s">
        <v>6317</v>
      </c>
      <c r="B2860" s="83" t="s">
        <v>6318</v>
      </c>
      <c r="C2860" s="81" t="s">
        <v>4086</v>
      </c>
      <c r="D2860" s="83" t="s">
        <v>4698</v>
      </c>
      <c r="E2860" s="81" t="s">
        <v>3312</v>
      </c>
      <c r="F2860" s="84">
        <v>633.0</v>
      </c>
      <c r="G2860" s="81" t="s">
        <v>40</v>
      </c>
      <c r="H2860" s="81" t="s">
        <v>6088</v>
      </c>
      <c r="I2860" s="81" t="s">
        <v>3314</v>
      </c>
      <c r="J2860" s="81" t="s">
        <v>224</v>
      </c>
    </row>
    <row r="2861" hidden="1">
      <c r="A2861" s="83" t="s">
        <v>6317</v>
      </c>
      <c r="B2861" s="83" t="s">
        <v>6318</v>
      </c>
      <c r="C2861" s="81" t="s">
        <v>4086</v>
      </c>
      <c r="D2861" s="83" t="s">
        <v>4699</v>
      </c>
      <c r="E2861" s="81" t="s">
        <v>3315</v>
      </c>
      <c r="F2861" s="84">
        <v>634.0</v>
      </c>
      <c r="G2861" s="81" t="s">
        <v>40</v>
      </c>
      <c r="H2861" s="81" t="s">
        <v>6089</v>
      </c>
      <c r="I2861" s="81" t="s">
        <v>3323</v>
      </c>
      <c r="J2861" s="81" t="s">
        <v>224</v>
      </c>
    </row>
    <row r="2862" hidden="1">
      <c r="A2862" s="83" t="s">
        <v>6317</v>
      </c>
      <c r="B2862" s="83" t="s">
        <v>6318</v>
      </c>
      <c r="C2862" s="81" t="s">
        <v>4086</v>
      </c>
      <c r="D2862" s="83" t="s">
        <v>4699</v>
      </c>
      <c r="E2862" s="81" t="s">
        <v>3328</v>
      </c>
      <c r="F2862" s="84">
        <v>635.0</v>
      </c>
      <c r="G2862" s="81" t="s">
        <v>40</v>
      </c>
      <c r="H2862" s="81" t="s">
        <v>6089</v>
      </c>
      <c r="I2862" s="81" t="s">
        <v>3323</v>
      </c>
      <c r="J2862" s="81" t="s">
        <v>224</v>
      </c>
    </row>
    <row r="2863" hidden="1">
      <c r="A2863" s="83" t="s">
        <v>6317</v>
      </c>
      <c r="B2863" s="83" t="s">
        <v>6318</v>
      </c>
      <c r="C2863" s="81" t="s">
        <v>4086</v>
      </c>
      <c r="D2863" s="83" t="s">
        <v>4701</v>
      </c>
      <c r="E2863" s="81" t="s">
        <v>3329</v>
      </c>
      <c r="F2863" s="84">
        <v>636.0</v>
      </c>
      <c r="G2863" s="81" t="s">
        <v>40</v>
      </c>
      <c r="H2863" s="81" t="s">
        <v>6090</v>
      </c>
      <c r="I2863" s="81" t="s">
        <v>3334</v>
      </c>
      <c r="J2863" s="81" t="s">
        <v>224</v>
      </c>
    </row>
    <row r="2864" hidden="1">
      <c r="A2864" s="83" t="s">
        <v>6317</v>
      </c>
      <c r="B2864" s="83" t="s">
        <v>6318</v>
      </c>
      <c r="C2864" s="81" t="s">
        <v>4086</v>
      </c>
      <c r="D2864" s="83" t="s">
        <v>4703</v>
      </c>
      <c r="E2864" s="81" t="s">
        <v>3339</v>
      </c>
      <c r="F2864" s="84">
        <v>637.0</v>
      </c>
      <c r="G2864" s="81" t="s">
        <v>40</v>
      </c>
      <c r="H2864" s="81" t="s">
        <v>6091</v>
      </c>
      <c r="I2864" s="81" t="s">
        <v>3347</v>
      </c>
      <c r="J2864" s="81" t="s">
        <v>224</v>
      </c>
    </row>
    <row r="2865" hidden="1">
      <c r="A2865" s="83" t="s">
        <v>6317</v>
      </c>
      <c r="B2865" s="83" t="s">
        <v>6318</v>
      </c>
      <c r="C2865" s="81" t="s">
        <v>4086</v>
      </c>
      <c r="D2865" s="83" t="s">
        <v>4703</v>
      </c>
      <c r="E2865" s="81" t="s">
        <v>3353</v>
      </c>
      <c r="F2865" s="84">
        <v>638.0</v>
      </c>
      <c r="G2865" s="81" t="s">
        <v>39</v>
      </c>
      <c r="H2865" s="81" t="s">
        <v>6092</v>
      </c>
      <c r="I2865" s="81" t="s">
        <v>3346</v>
      </c>
      <c r="J2865" s="81" t="s">
        <v>224</v>
      </c>
    </row>
    <row r="2866" hidden="1">
      <c r="A2866" s="83" t="s">
        <v>6317</v>
      </c>
      <c r="B2866" s="83" t="s">
        <v>6318</v>
      </c>
      <c r="C2866" s="81" t="s">
        <v>4086</v>
      </c>
      <c r="D2866" s="83" t="s">
        <v>4703</v>
      </c>
      <c r="E2866" s="81" t="s">
        <v>3353</v>
      </c>
      <c r="F2866" s="84">
        <v>638.0</v>
      </c>
      <c r="G2866" s="81" t="s">
        <v>40</v>
      </c>
      <c r="H2866" s="81" t="s">
        <v>6093</v>
      </c>
      <c r="I2866" s="81" t="s">
        <v>3347</v>
      </c>
      <c r="J2866" s="81" t="s">
        <v>224</v>
      </c>
    </row>
    <row r="2867" hidden="1">
      <c r="A2867" s="83" t="s">
        <v>6317</v>
      </c>
      <c r="B2867" s="83" t="s">
        <v>6318</v>
      </c>
      <c r="C2867" s="81" t="s">
        <v>4086</v>
      </c>
      <c r="D2867" s="83" t="s">
        <v>4705</v>
      </c>
      <c r="E2867" s="81" t="s">
        <v>3354</v>
      </c>
      <c r="F2867" s="84">
        <v>639.0</v>
      </c>
      <c r="G2867" s="81" t="s">
        <v>40</v>
      </c>
      <c r="H2867" s="81" t="s">
        <v>6094</v>
      </c>
      <c r="I2867" s="81" t="s">
        <v>3358</v>
      </c>
      <c r="J2867" s="81" t="s">
        <v>224</v>
      </c>
    </row>
    <row r="2868" hidden="1">
      <c r="A2868" s="83" t="s">
        <v>6317</v>
      </c>
      <c r="B2868" s="83" t="s">
        <v>6318</v>
      </c>
      <c r="C2868" s="81" t="s">
        <v>4086</v>
      </c>
      <c r="D2868" s="83" t="s">
        <v>4706</v>
      </c>
      <c r="E2868" s="81" t="s">
        <v>3359</v>
      </c>
      <c r="F2868" s="84">
        <v>640.0</v>
      </c>
      <c r="G2868" s="81" t="s">
        <v>40</v>
      </c>
      <c r="H2868" s="81" t="s">
        <v>6095</v>
      </c>
      <c r="I2868" s="81" t="s">
        <v>3361</v>
      </c>
      <c r="J2868" s="81" t="s">
        <v>224</v>
      </c>
    </row>
    <row r="2869" hidden="1">
      <c r="A2869" s="83" t="s">
        <v>6317</v>
      </c>
      <c r="B2869" s="83" t="s">
        <v>6318</v>
      </c>
      <c r="C2869" s="81" t="s">
        <v>4082</v>
      </c>
      <c r="D2869" s="83" t="s">
        <v>4707</v>
      </c>
      <c r="E2869" s="81" t="s">
        <v>3362</v>
      </c>
      <c r="F2869" s="84">
        <v>641.0</v>
      </c>
      <c r="G2869" s="81" t="s">
        <v>39</v>
      </c>
      <c r="H2869" s="81" t="s">
        <v>224</v>
      </c>
      <c r="I2869" s="81" t="s">
        <v>224</v>
      </c>
      <c r="J2869" s="81" t="s">
        <v>6096</v>
      </c>
    </row>
    <row r="2870" hidden="1">
      <c r="A2870" s="83" t="s">
        <v>6317</v>
      </c>
      <c r="B2870" s="83" t="s">
        <v>6318</v>
      </c>
      <c r="C2870" s="81" t="s">
        <v>5141</v>
      </c>
      <c r="D2870" s="83" t="s">
        <v>4707</v>
      </c>
      <c r="E2870" s="81" t="s">
        <v>3362</v>
      </c>
      <c r="F2870" s="84">
        <v>641.0</v>
      </c>
      <c r="G2870" s="81" t="s">
        <v>39</v>
      </c>
      <c r="H2870" s="81" t="s">
        <v>6097</v>
      </c>
      <c r="I2870" s="81" t="s">
        <v>224</v>
      </c>
      <c r="J2870" s="81" t="s">
        <v>5143</v>
      </c>
    </row>
    <row r="2871" hidden="1">
      <c r="A2871" s="83" t="s">
        <v>6317</v>
      </c>
      <c r="B2871" s="83" t="s">
        <v>6318</v>
      </c>
      <c r="C2871" s="81" t="s">
        <v>4086</v>
      </c>
      <c r="D2871" s="83" t="s">
        <v>4707</v>
      </c>
      <c r="E2871" s="81" t="s">
        <v>3362</v>
      </c>
      <c r="F2871" s="84">
        <v>641.0</v>
      </c>
      <c r="G2871" s="81" t="s">
        <v>40</v>
      </c>
      <c r="H2871" s="81" t="s">
        <v>6098</v>
      </c>
      <c r="I2871" s="81" t="s">
        <v>3364</v>
      </c>
      <c r="J2871" s="81" t="s">
        <v>224</v>
      </c>
    </row>
    <row r="2872" hidden="1">
      <c r="A2872" s="83" t="s">
        <v>6317</v>
      </c>
      <c r="B2872" s="83" t="s">
        <v>6318</v>
      </c>
      <c r="C2872" s="81" t="s">
        <v>5141</v>
      </c>
      <c r="D2872" s="83" t="s">
        <v>4707</v>
      </c>
      <c r="E2872" s="81" t="s">
        <v>3369</v>
      </c>
      <c r="F2872" s="84">
        <v>642.0</v>
      </c>
      <c r="G2872" s="81" t="s">
        <v>39</v>
      </c>
      <c r="H2872" s="81" t="s">
        <v>6099</v>
      </c>
      <c r="I2872" s="81" t="s">
        <v>224</v>
      </c>
      <c r="J2872" s="81" t="s">
        <v>5143</v>
      </c>
    </row>
    <row r="2873" hidden="1">
      <c r="A2873" s="83" t="s">
        <v>6317</v>
      </c>
      <c r="B2873" s="83" t="s">
        <v>6318</v>
      </c>
      <c r="C2873" s="81" t="s">
        <v>4086</v>
      </c>
      <c r="D2873" s="83" t="s">
        <v>4707</v>
      </c>
      <c r="E2873" s="81" t="s">
        <v>3369</v>
      </c>
      <c r="F2873" s="84">
        <v>642.0</v>
      </c>
      <c r="G2873" s="81" t="s">
        <v>40</v>
      </c>
      <c r="H2873" s="81" t="s">
        <v>6100</v>
      </c>
      <c r="I2873" s="81" t="s">
        <v>3364</v>
      </c>
      <c r="J2873" s="81" t="s">
        <v>224</v>
      </c>
    </row>
    <row r="2874" hidden="1">
      <c r="A2874" s="83" t="s">
        <v>6317</v>
      </c>
      <c r="B2874" s="83" t="s">
        <v>6318</v>
      </c>
      <c r="C2874" s="81" t="s">
        <v>4082</v>
      </c>
      <c r="D2874" s="83" t="s">
        <v>4709</v>
      </c>
      <c r="E2874" s="81" t="s">
        <v>3370</v>
      </c>
      <c r="F2874" s="84">
        <v>643.0</v>
      </c>
      <c r="G2874" s="81" t="s">
        <v>39</v>
      </c>
      <c r="H2874" s="81" t="s">
        <v>224</v>
      </c>
      <c r="I2874" s="81" t="s">
        <v>224</v>
      </c>
      <c r="J2874" s="81" t="s">
        <v>6101</v>
      </c>
    </row>
    <row r="2875" hidden="1">
      <c r="A2875" s="83" t="s">
        <v>6317</v>
      </c>
      <c r="B2875" s="83" t="s">
        <v>6318</v>
      </c>
      <c r="C2875" s="81" t="s">
        <v>5141</v>
      </c>
      <c r="D2875" s="83" t="s">
        <v>4709</v>
      </c>
      <c r="E2875" s="81" t="s">
        <v>3370</v>
      </c>
      <c r="F2875" s="84">
        <v>643.0</v>
      </c>
      <c r="G2875" s="81" t="s">
        <v>39</v>
      </c>
      <c r="H2875" s="81" t="s">
        <v>6102</v>
      </c>
      <c r="I2875" s="81" t="s">
        <v>224</v>
      </c>
      <c r="J2875" s="81" t="s">
        <v>5143</v>
      </c>
    </row>
    <row r="2876" hidden="1">
      <c r="A2876" s="83" t="s">
        <v>6317</v>
      </c>
      <c r="B2876" s="83" t="s">
        <v>6318</v>
      </c>
      <c r="C2876" s="81" t="s">
        <v>4086</v>
      </c>
      <c r="D2876" s="83" t="s">
        <v>4709</v>
      </c>
      <c r="E2876" s="81" t="s">
        <v>3370</v>
      </c>
      <c r="F2876" s="84">
        <v>643.0</v>
      </c>
      <c r="G2876" s="81" t="s">
        <v>40</v>
      </c>
      <c r="H2876" s="81" t="s">
        <v>6103</v>
      </c>
      <c r="I2876" s="81" t="s">
        <v>3371</v>
      </c>
      <c r="J2876" s="81" t="s">
        <v>224</v>
      </c>
    </row>
    <row r="2877" hidden="1">
      <c r="A2877" s="83" t="s">
        <v>6317</v>
      </c>
      <c r="B2877" s="83" t="s">
        <v>6318</v>
      </c>
      <c r="C2877" s="81" t="s">
        <v>4086</v>
      </c>
      <c r="D2877" s="83" t="s">
        <v>4710</v>
      </c>
      <c r="E2877" s="81" t="s">
        <v>3372</v>
      </c>
      <c r="F2877" s="84">
        <v>644.0</v>
      </c>
      <c r="G2877" s="81" t="s">
        <v>39</v>
      </c>
      <c r="H2877" s="81" t="s">
        <v>6104</v>
      </c>
      <c r="I2877" s="81" t="s">
        <v>3373</v>
      </c>
      <c r="J2877" s="81" t="s">
        <v>224</v>
      </c>
    </row>
    <row r="2878" hidden="1">
      <c r="A2878" s="83" t="s">
        <v>6317</v>
      </c>
      <c r="B2878" s="83" t="s">
        <v>6318</v>
      </c>
      <c r="C2878" s="81" t="s">
        <v>4086</v>
      </c>
      <c r="D2878" s="83" t="s">
        <v>4710</v>
      </c>
      <c r="E2878" s="81" t="s">
        <v>3372</v>
      </c>
      <c r="F2878" s="84">
        <v>644.0</v>
      </c>
      <c r="G2878" s="81" t="s">
        <v>40</v>
      </c>
      <c r="H2878" s="81" t="s">
        <v>6105</v>
      </c>
      <c r="I2878" s="81" t="s">
        <v>3374</v>
      </c>
      <c r="J2878" s="81" t="s">
        <v>224</v>
      </c>
    </row>
    <row r="2879" hidden="1">
      <c r="A2879" s="83" t="s">
        <v>6317</v>
      </c>
      <c r="B2879" s="83" t="s">
        <v>6318</v>
      </c>
      <c r="C2879" s="81" t="s">
        <v>4086</v>
      </c>
      <c r="D2879" s="83" t="s">
        <v>4711</v>
      </c>
      <c r="E2879" s="81" t="s">
        <v>3375</v>
      </c>
      <c r="F2879" s="84">
        <v>645.0</v>
      </c>
      <c r="G2879" s="81" t="s">
        <v>39</v>
      </c>
      <c r="H2879" s="81" t="s">
        <v>6106</v>
      </c>
      <c r="I2879" s="81" t="s">
        <v>3382</v>
      </c>
      <c r="J2879" s="81" t="s">
        <v>224</v>
      </c>
    </row>
    <row r="2880" hidden="1">
      <c r="A2880" s="83" t="s">
        <v>6317</v>
      </c>
      <c r="B2880" s="83" t="s">
        <v>6318</v>
      </c>
      <c r="C2880" s="81" t="s">
        <v>4086</v>
      </c>
      <c r="D2880" s="83" t="s">
        <v>4711</v>
      </c>
      <c r="E2880" s="81" t="s">
        <v>3375</v>
      </c>
      <c r="F2880" s="84">
        <v>645.0</v>
      </c>
      <c r="G2880" s="81" t="s">
        <v>40</v>
      </c>
      <c r="H2880" s="81" t="s">
        <v>6107</v>
      </c>
      <c r="I2880" s="81" t="s">
        <v>3383</v>
      </c>
      <c r="J2880" s="81" t="s">
        <v>224</v>
      </c>
    </row>
    <row r="2881" hidden="1">
      <c r="A2881" s="83" t="s">
        <v>6317</v>
      </c>
      <c r="B2881" s="83" t="s">
        <v>6318</v>
      </c>
      <c r="C2881" s="81" t="s">
        <v>4086</v>
      </c>
      <c r="D2881" s="83" t="s">
        <v>4711</v>
      </c>
      <c r="E2881" s="81" t="s">
        <v>3389</v>
      </c>
      <c r="F2881" s="84">
        <v>646.0</v>
      </c>
      <c r="G2881" s="81" t="s">
        <v>39</v>
      </c>
      <c r="H2881" s="81" t="s">
        <v>6106</v>
      </c>
      <c r="I2881" s="81" t="s">
        <v>3382</v>
      </c>
      <c r="J2881" s="81" t="s">
        <v>224</v>
      </c>
    </row>
    <row r="2882" hidden="1">
      <c r="A2882" s="83" t="s">
        <v>6317</v>
      </c>
      <c r="B2882" s="83" t="s">
        <v>6318</v>
      </c>
      <c r="C2882" s="81" t="s">
        <v>4086</v>
      </c>
      <c r="D2882" s="83" t="s">
        <v>4711</v>
      </c>
      <c r="E2882" s="81" t="s">
        <v>3389</v>
      </c>
      <c r="F2882" s="84">
        <v>646.0</v>
      </c>
      <c r="G2882" s="81" t="s">
        <v>40</v>
      </c>
      <c r="H2882" s="81" t="s">
        <v>6107</v>
      </c>
      <c r="I2882" s="81" t="s">
        <v>3383</v>
      </c>
      <c r="J2882" s="81" t="s">
        <v>224</v>
      </c>
    </row>
    <row r="2883" hidden="1">
      <c r="A2883" s="83" t="s">
        <v>6317</v>
      </c>
      <c r="B2883" s="83" t="s">
        <v>6318</v>
      </c>
      <c r="C2883" s="81" t="s">
        <v>4086</v>
      </c>
      <c r="D2883" s="83" t="s">
        <v>4713</v>
      </c>
      <c r="E2883" s="81" t="s">
        <v>3390</v>
      </c>
      <c r="F2883" s="84">
        <v>647.0</v>
      </c>
      <c r="G2883" s="81" t="s">
        <v>39</v>
      </c>
      <c r="H2883" s="81" t="s">
        <v>6108</v>
      </c>
      <c r="I2883" s="81" t="s">
        <v>3396</v>
      </c>
      <c r="J2883" s="81" t="s">
        <v>224</v>
      </c>
    </row>
    <row r="2884" hidden="1">
      <c r="A2884" s="83" t="s">
        <v>6317</v>
      </c>
      <c r="B2884" s="83" t="s">
        <v>6318</v>
      </c>
      <c r="C2884" s="81" t="s">
        <v>4086</v>
      </c>
      <c r="D2884" s="83" t="s">
        <v>4713</v>
      </c>
      <c r="E2884" s="81" t="s">
        <v>3390</v>
      </c>
      <c r="F2884" s="84">
        <v>647.0</v>
      </c>
      <c r="G2884" s="81" t="s">
        <v>40</v>
      </c>
      <c r="H2884" s="81" t="s">
        <v>6107</v>
      </c>
      <c r="I2884" s="81" t="s">
        <v>3397</v>
      </c>
      <c r="J2884" s="81" t="s">
        <v>224</v>
      </c>
    </row>
    <row r="2885" hidden="1">
      <c r="A2885" s="83" t="s">
        <v>6317</v>
      </c>
      <c r="B2885" s="83" t="s">
        <v>6318</v>
      </c>
      <c r="C2885" s="81" t="s">
        <v>4086</v>
      </c>
      <c r="D2885" s="83" t="s">
        <v>4715</v>
      </c>
      <c r="E2885" s="81" t="s">
        <v>3402</v>
      </c>
      <c r="F2885" s="84">
        <v>648.0</v>
      </c>
      <c r="G2885" s="81" t="s">
        <v>40</v>
      </c>
      <c r="H2885" s="81" t="s">
        <v>6109</v>
      </c>
      <c r="I2885" s="81" t="s">
        <v>6110</v>
      </c>
      <c r="J2885" s="81" t="s">
        <v>224</v>
      </c>
    </row>
    <row r="2886" hidden="1">
      <c r="A2886" s="83" t="s">
        <v>6317</v>
      </c>
      <c r="B2886" s="83" t="s">
        <v>6318</v>
      </c>
      <c r="C2886" s="81" t="s">
        <v>4086</v>
      </c>
      <c r="D2886" s="83" t="s">
        <v>4717</v>
      </c>
      <c r="E2886" s="81" t="s">
        <v>3414</v>
      </c>
      <c r="F2886" s="84">
        <v>649.0</v>
      </c>
      <c r="G2886" s="81" t="s">
        <v>39</v>
      </c>
      <c r="H2886" s="81" t="s">
        <v>6111</v>
      </c>
      <c r="I2886" s="81" t="s">
        <v>3420</v>
      </c>
      <c r="J2886" s="81" t="s">
        <v>224</v>
      </c>
    </row>
    <row r="2887" hidden="1">
      <c r="A2887" s="83" t="s">
        <v>6317</v>
      </c>
      <c r="B2887" s="83" t="s">
        <v>6318</v>
      </c>
      <c r="C2887" s="81" t="s">
        <v>4086</v>
      </c>
      <c r="D2887" s="83" t="s">
        <v>4717</v>
      </c>
      <c r="E2887" s="81" t="s">
        <v>3414</v>
      </c>
      <c r="F2887" s="84">
        <v>649.0</v>
      </c>
      <c r="G2887" s="81" t="s">
        <v>40</v>
      </c>
      <c r="H2887" s="81" t="s">
        <v>6112</v>
      </c>
      <c r="I2887" s="81" t="s">
        <v>6113</v>
      </c>
      <c r="J2887" s="81" t="s">
        <v>224</v>
      </c>
    </row>
    <row r="2888" hidden="1">
      <c r="A2888" s="83" t="s">
        <v>6317</v>
      </c>
      <c r="B2888" s="83" t="s">
        <v>6318</v>
      </c>
      <c r="C2888" s="81" t="s">
        <v>4086</v>
      </c>
      <c r="D2888" s="83" t="s">
        <v>4719</v>
      </c>
      <c r="E2888" s="81" t="s">
        <v>3427</v>
      </c>
      <c r="F2888" s="84">
        <v>650.0</v>
      </c>
      <c r="G2888" s="81" t="s">
        <v>39</v>
      </c>
      <c r="H2888" s="81" t="s">
        <v>6114</v>
      </c>
      <c r="I2888" s="81" t="s">
        <v>3432</v>
      </c>
      <c r="J2888" s="81" t="s">
        <v>224</v>
      </c>
    </row>
    <row r="2889" hidden="1">
      <c r="A2889" s="83" t="s">
        <v>6317</v>
      </c>
      <c r="B2889" s="83" t="s">
        <v>6318</v>
      </c>
      <c r="C2889" s="81" t="s">
        <v>4086</v>
      </c>
      <c r="D2889" s="83" t="s">
        <v>4719</v>
      </c>
      <c r="E2889" s="81" t="s">
        <v>3427</v>
      </c>
      <c r="F2889" s="84">
        <v>650.0</v>
      </c>
      <c r="G2889" s="81" t="s">
        <v>40</v>
      </c>
      <c r="H2889" s="81" t="s">
        <v>6115</v>
      </c>
      <c r="I2889" s="81" t="s">
        <v>6116</v>
      </c>
      <c r="J2889" s="81" t="s">
        <v>224</v>
      </c>
    </row>
    <row r="2890" hidden="1">
      <c r="A2890" s="83" t="s">
        <v>6317</v>
      </c>
      <c r="B2890" s="83" t="s">
        <v>6318</v>
      </c>
      <c r="C2890" s="81" t="s">
        <v>4086</v>
      </c>
      <c r="D2890" s="83" t="s">
        <v>4721</v>
      </c>
      <c r="E2890" s="81" t="s">
        <v>3439</v>
      </c>
      <c r="F2890" s="84">
        <v>651.0</v>
      </c>
      <c r="G2890" s="81" t="s">
        <v>39</v>
      </c>
      <c r="H2890" s="81" t="s">
        <v>6117</v>
      </c>
      <c r="I2890" s="81" t="s">
        <v>3444</v>
      </c>
      <c r="J2890" s="81" t="s">
        <v>224</v>
      </c>
    </row>
    <row r="2891" hidden="1">
      <c r="A2891" s="83" t="s">
        <v>6317</v>
      </c>
      <c r="B2891" s="83" t="s">
        <v>6318</v>
      </c>
      <c r="C2891" s="81" t="s">
        <v>4086</v>
      </c>
      <c r="D2891" s="83" t="s">
        <v>4721</v>
      </c>
      <c r="E2891" s="81" t="s">
        <v>3439</v>
      </c>
      <c r="F2891" s="84">
        <v>651.0</v>
      </c>
      <c r="G2891" s="81" t="s">
        <v>40</v>
      </c>
      <c r="H2891" s="81" t="s">
        <v>6118</v>
      </c>
      <c r="I2891" s="81" t="s">
        <v>6119</v>
      </c>
      <c r="J2891" s="81" t="s">
        <v>224</v>
      </c>
    </row>
    <row r="2892" hidden="1">
      <c r="A2892" s="83" t="s">
        <v>6317</v>
      </c>
      <c r="B2892" s="83" t="s">
        <v>6318</v>
      </c>
      <c r="C2892" s="81" t="s">
        <v>4086</v>
      </c>
      <c r="D2892" s="83" t="s">
        <v>4721</v>
      </c>
      <c r="E2892" s="81" t="s">
        <v>3451</v>
      </c>
      <c r="F2892" s="84">
        <v>652.0</v>
      </c>
      <c r="G2892" s="81" t="s">
        <v>39</v>
      </c>
      <c r="H2892" s="81" t="s">
        <v>6117</v>
      </c>
      <c r="I2892" s="81" t="s">
        <v>3444</v>
      </c>
      <c r="J2892" s="81" t="s">
        <v>224</v>
      </c>
    </row>
    <row r="2893" hidden="1">
      <c r="A2893" s="83" t="s">
        <v>6317</v>
      </c>
      <c r="B2893" s="83" t="s">
        <v>6318</v>
      </c>
      <c r="C2893" s="81" t="s">
        <v>4086</v>
      </c>
      <c r="D2893" s="83" t="s">
        <v>4721</v>
      </c>
      <c r="E2893" s="81" t="s">
        <v>3451</v>
      </c>
      <c r="F2893" s="84">
        <v>652.0</v>
      </c>
      <c r="G2893" s="81" t="s">
        <v>40</v>
      </c>
      <c r="H2893" s="81" t="s">
        <v>6118</v>
      </c>
      <c r="I2893" s="81" t="s">
        <v>6119</v>
      </c>
      <c r="J2893" s="81" t="s">
        <v>224</v>
      </c>
    </row>
    <row r="2894" hidden="1">
      <c r="A2894" s="83" t="s">
        <v>6317</v>
      </c>
      <c r="B2894" s="83" t="s">
        <v>6318</v>
      </c>
      <c r="C2894" s="81" t="s">
        <v>4086</v>
      </c>
      <c r="D2894" s="83" t="s">
        <v>4723</v>
      </c>
      <c r="E2894" s="81" t="s">
        <v>3452</v>
      </c>
      <c r="F2894" s="84">
        <v>653.0</v>
      </c>
      <c r="G2894" s="81" t="s">
        <v>40</v>
      </c>
      <c r="H2894" s="81" t="s">
        <v>6120</v>
      </c>
      <c r="I2894" s="81" t="s">
        <v>6121</v>
      </c>
      <c r="J2894" s="81" t="s">
        <v>224</v>
      </c>
    </row>
    <row r="2895" hidden="1">
      <c r="A2895" s="83" t="s">
        <v>6317</v>
      </c>
      <c r="B2895" s="83" t="s">
        <v>6318</v>
      </c>
      <c r="C2895" s="81" t="s">
        <v>4086</v>
      </c>
      <c r="D2895" s="83" t="s">
        <v>4724</v>
      </c>
      <c r="E2895" s="81" t="s">
        <v>3462</v>
      </c>
      <c r="F2895" s="84">
        <v>654.0</v>
      </c>
      <c r="G2895" s="81" t="s">
        <v>39</v>
      </c>
      <c r="H2895" s="81" t="s">
        <v>6122</v>
      </c>
      <c r="I2895" s="81" t="s">
        <v>3466</v>
      </c>
      <c r="J2895" s="81" t="s">
        <v>224</v>
      </c>
    </row>
    <row r="2896" hidden="1">
      <c r="A2896" s="83" t="s">
        <v>6317</v>
      </c>
      <c r="B2896" s="83" t="s">
        <v>6318</v>
      </c>
      <c r="C2896" s="81" t="s">
        <v>4086</v>
      </c>
      <c r="D2896" s="83" t="s">
        <v>4724</v>
      </c>
      <c r="E2896" s="81" t="s">
        <v>3462</v>
      </c>
      <c r="F2896" s="84">
        <v>654.0</v>
      </c>
      <c r="G2896" s="81" t="s">
        <v>40</v>
      </c>
      <c r="H2896" s="81" t="s">
        <v>6123</v>
      </c>
      <c r="I2896" s="81" t="s">
        <v>3467</v>
      </c>
      <c r="J2896" s="81" t="s">
        <v>224</v>
      </c>
    </row>
    <row r="2897" hidden="1">
      <c r="A2897" s="83" t="s">
        <v>6317</v>
      </c>
      <c r="B2897" s="83" t="s">
        <v>6318</v>
      </c>
      <c r="C2897" s="81" t="s">
        <v>4086</v>
      </c>
      <c r="D2897" s="83" t="s">
        <v>4724</v>
      </c>
      <c r="E2897" s="81" t="s">
        <v>3473</v>
      </c>
      <c r="F2897" s="84">
        <v>655.0</v>
      </c>
      <c r="G2897" s="81" t="s">
        <v>40</v>
      </c>
      <c r="H2897" s="81" t="s">
        <v>6124</v>
      </c>
      <c r="I2897" s="81" t="s">
        <v>3467</v>
      </c>
      <c r="J2897" s="81" t="s">
        <v>224</v>
      </c>
    </row>
    <row r="2898" hidden="1">
      <c r="A2898" s="83" t="s">
        <v>6317</v>
      </c>
      <c r="B2898" s="83" t="s">
        <v>6318</v>
      </c>
      <c r="C2898" s="81" t="s">
        <v>4086</v>
      </c>
      <c r="D2898" s="83" t="s">
        <v>4726</v>
      </c>
      <c r="E2898" s="81" t="s">
        <v>3474</v>
      </c>
      <c r="F2898" s="84">
        <v>656.0</v>
      </c>
      <c r="G2898" s="81" t="s">
        <v>39</v>
      </c>
      <c r="H2898" s="81" t="s">
        <v>6125</v>
      </c>
      <c r="I2898" s="81" t="s">
        <v>3477</v>
      </c>
      <c r="J2898" s="81" t="s">
        <v>224</v>
      </c>
    </row>
    <row r="2899" hidden="1">
      <c r="A2899" s="83" t="s">
        <v>6317</v>
      </c>
      <c r="B2899" s="83" t="s">
        <v>6318</v>
      </c>
      <c r="C2899" s="81" t="s">
        <v>4086</v>
      </c>
      <c r="D2899" s="83" t="s">
        <v>4726</v>
      </c>
      <c r="E2899" s="81" t="s">
        <v>3474</v>
      </c>
      <c r="F2899" s="84">
        <v>656.0</v>
      </c>
      <c r="G2899" s="81" t="s">
        <v>40</v>
      </c>
      <c r="H2899" s="81" t="s">
        <v>6126</v>
      </c>
      <c r="I2899" s="81" t="s">
        <v>6127</v>
      </c>
      <c r="J2899" s="81" t="s">
        <v>224</v>
      </c>
    </row>
    <row r="2900" hidden="1">
      <c r="A2900" s="83" t="s">
        <v>6317</v>
      </c>
      <c r="B2900" s="83" t="s">
        <v>6318</v>
      </c>
      <c r="C2900" s="81" t="s">
        <v>4086</v>
      </c>
      <c r="D2900" s="83" t="s">
        <v>4727</v>
      </c>
      <c r="E2900" s="81" t="s">
        <v>3483</v>
      </c>
      <c r="F2900" s="84">
        <v>657.0</v>
      </c>
      <c r="G2900" s="81" t="s">
        <v>39</v>
      </c>
      <c r="H2900" s="81" t="s">
        <v>6128</v>
      </c>
      <c r="I2900" s="81" t="s">
        <v>3489</v>
      </c>
      <c r="J2900" s="81" t="s">
        <v>224</v>
      </c>
    </row>
    <row r="2901" hidden="1">
      <c r="A2901" s="83" t="s">
        <v>6317</v>
      </c>
      <c r="B2901" s="83" t="s">
        <v>6318</v>
      </c>
      <c r="C2901" s="81" t="s">
        <v>4086</v>
      </c>
      <c r="D2901" s="83" t="s">
        <v>4727</v>
      </c>
      <c r="E2901" s="81" t="s">
        <v>3483</v>
      </c>
      <c r="F2901" s="84">
        <v>657.0</v>
      </c>
      <c r="G2901" s="81" t="s">
        <v>40</v>
      </c>
      <c r="H2901" s="81" t="s">
        <v>6129</v>
      </c>
      <c r="I2901" s="81" t="s">
        <v>3490</v>
      </c>
      <c r="J2901" s="81" t="s">
        <v>224</v>
      </c>
    </row>
    <row r="2902" hidden="1">
      <c r="A2902" s="83" t="s">
        <v>6317</v>
      </c>
      <c r="B2902" s="83" t="s">
        <v>6318</v>
      </c>
      <c r="C2902" s="81" t="s">
        <v>4086</v>
      </c>
      <c r="D2902" s="83" t="s">
        <v>4727</v>
      </c>
      <c r="E2902" s="81" t="s">
        <v>3496</v>
      </c>
      <c r="F2902" s="84">
        <v>658.0</v>
      </c>
      <c r="G2902" s="81" t="s">
        <v>39</v>
      </c>
      <c r="H2902" s="81" t="s">
        <v>6128</v>
      </c>
      <c r="I2902" s="81" t="s">
        <v>3489</v>
      </c>
      <c r="J2902" s="81" t="s">
        <v>224</v>
      </c>
    </row>
    <row r="2903" hidden="1">
      <c r="A2903" s="83" t="s">
        <v>6317</v>
      </c>
      <c r="B2903" s="83" t="s">
        <v>6318</v>
      </c>
      <c r="C2903" s="81" t="s">
        <v>4086</v>
      </c>
      <c r="D2903" s="83" t="s">
        <v>4727</v>
      </c>
      <c r="E2903" s="81" t="s">
        <v>3496</v>
      </c>
      <c r="F2903" s="84">
        <v>658.0</v>
      </c>
      <c r="G2903" s="81" t="s">
        <v>40</v>
      </c>
      <c r="H2903" s="81" t="s">
        <v>6129</v>
      </c>
      <c r="I2903" s="81" t="s">
        <v>3490</v>
      </c>
      <c r="J2903" s="81" t="s">
        <v>224</v>
      </c>
    </row>
    <row r="2904" hidden="1">
      <c r="A2904" s="83" t="s">
        <v>6317</v>
      </c>
      <c r="B2904" s="83" t="s">
        <v>6318</v>
      </c>
      <c r="C2904" s="81" t="s">
        <v>4086</v>
      </c>
      <c r="D2904" s="83" t="s">
        <v>4729</v>
      </c>
      <c r="E2904" s="81" t="s">
        <v>3497</v>
      </c>
      <c r="F2904" s="84">
        <v>659.0</v>
      </c>
      <c r="G2904" s="81" t="s">
        <v>39</v>
      </c>
      <c r="H2904" s="81" t="s">
        <v>6130</v>
      </c>
      <c r="I2904" s="81" t="s">
        <v>3498</v>
      </c>
      <c r="J2904" s="81" t="s">
        <v>224</v>
      </c>
    </row>
    <row r="2905" hidden="1">
      <c r="A2905" s="83" t="s">
        <v>6317</v>
      </c>
      <c r="B2905" s="83" t="s">
        <v>6318</v>
      </c>
      <c r="C2905" s="81" t="s">
        <v>4086</v>
      </c>
      <c r="D2905" s="83" t="s">
        <v>4729</v>
      </c>
      <c r="E2905" s="81" t="s">
        <v>3497</v>
      </c>
      <c r="F2905" s="84">
        <v>659.0</v>
      </c>
      <c r="G2905" s="81" t="s">
        <v>40</v>
      </c>
      <c r="H2905" s="81" t="s">
        <v>6131</v>
      </c>
      <c r="I2905" s="81" t="s">
        <v>3499</v>
      </c>
      <c r="J2905" s="81" t="s">
        <v>224</v>
      </c>
    </row>
    <row r="2906" hidden="1">
      <c r="A2906" s="83" t="s">
        <v>6317</v>
      </c>
      <c r="B2906" s="83" t="s">
        <v>6318</v>
      </c>
      <c r="C2906" s="81" t="s">
        <v>4086</v>
      </c>
      <c r="D2906" s="83" t="s">
        <v>4730</v>
      </c>
      <c r="E2906" s="81" t="s">
        <v>3500</v>
      </c>
      <c r="F2906" s="84">
        <v>660.0</v>
      </c>
      <c r="G2906" s="81" t="s">
        <v>39</v>
      </c>
      <c r="H2906" s="81" t="s">
        <v>6132</v>
      </c>
      <c r="I2906" s="81" t="s">
        <v>3504</v>
      </c>
      <c r="J2906" s="81" t="s">
        <v>224</v>
      </c>
    </row>
    <row r="2907" hidden="1">
      <c r="A2907" s="83" t="s">
        <v>6317</v>
      </c>
      <c r="B2907" s="83" t="s">
        <v>6318</v>
      </c>
      <c r="C2907" s="81" t="s">
        <v>4086</v>
      </c>
      <c r="D2907" s="83" t="s">
        <v>4730</v>
      </c>
      <c r="E2907" s="81" t="s">
        <v>3500</v>
      </c>
      <c r="F2907" s="84">
        <v>660.0</v>
      </c>
      <c r="G2907" s="81" t="s">
        <v>40</v>
      </c>
      <c r="H2907" s="81" t="s">
        <v>6133</v>
      </c>
      <c r="I2907" s="81" t="s">
        <v>3505</v>
      </c>
      <c r="J2907" s="81" t="s">
        <v>224</v>
      </c>
    </row>
    <row r="2908" hidden="1">
      <c r="A2908" s="83" t="s">
        <v>6317</v>
      </c>
      <c r="B2908" s="83" t="s">
        <v>6318</v>
      </c>
      <c r="C2908" s="81" t="s">
        <v>4086</v>
      </c>
      <c r="D2908" s="83" t="s">
        <v>4731</v>
      </c>
      <c r="E2908" s="81" t="s">
        <v>3510</v>
      </c>
      <c r="F2908" s="84">
        <v>661.0</v>
      </c>
      <c r="G2908" s="81" t="s">
        <v>39</v>
      </c>
      <c r="H2908" s="81" t="s">
        <v>6134</v>
      </c>
      <c r="I2908" s="81" t="s">
        <v>3511</v>
      </c>
      <c r="J2908" s="81" t="s">
        <v>224</v>
      </c>
    </row>
    <row r="2909" hidden="1">
      <c r="A2909" s="83" t="s">
        <v>6317</v>
      </c>
      <c r="B2909" s="83" t="s">
        <v>6318</v>
      </c>
      <c r="C2909" s="81" t="s">
        <v>4086</v>
      </c>
      <c r="D2909" s="83" t="s">
        <v>4731</v>
      </c>
      <c r="E2909" s="81" t="s">
        <v>3510</v>
      </c>
      <c r="F2909" s="84">
        <v>661.0</v>
      </c>
      <c r="G2909" s="81" t="s">
        <v>40</v>
      </c>
      <c r="H2909" s="81" t="s">
        <v>6135</v>
      </c>
      <c r="I2909" s="81" t="s">
        <v>3512</v>
      </c>
      <c r="J2909" s="81" t="s">
        <v>224</v>
      </c>
    </row>
    <row r="2910" hidden="1">
      <c r="A2910" s="83" t="s">
        <v>6317</v>
      </c>
      <c r="B2910" s="83" t="s">
        <v>6318</v>
      </c>
      <c r="C2910" s="81" t="s">
        <v>4086</v>
      </c>
      <c r="D2910" s="83" t="s">
        <v>4732</v>
      </c>
      <c r="E2910" s="81" t="s">
        <v>3513</v>
      </c>
      <c r="F2910" s="84">
        <v>662.0</v>
      </c>
      <c r="G2910" s="81" t="s">
        <v>39</v>
      </c>
      <c r="H2910" s="81" t="s">
        <v>6136</v>
      </c>
      <c r="I2910" s="81" t="s">
        <v>3518</v>
      </c>
      <c r="J2910" s="81" t="s">
        <v>224</v>
      </c>
    </row>
    <row r="2911" hidden="1">
      <c r="A2911" s="83" t="s">
        <v>6317</v>
      </c>
      <c r="B2911" s="83" t="s">
        <v>6318</v>
      </c>
      <c r="C2911" s="81" t="s">
        <v>4086</v>
      </c>
      <c r="D2911" s="83" t="s">
        <v>4732</v>
      </c>
      <c r="E2911" s="81" t="s">
        <v>3513</v>
      </c>
      <c r="F2911" s="84">
        <v>662.0</v>
      </c>
      <c r="G2911" s="81" t="s">
        <v>40</v>
      </c>
      <c r="H2911" s="81" t="s">
        <v>6137</v>
      </c>
      <c r="I2911" s="81" t="s">
        <v>3519</v>
      </c>
      <c r="J2911" s="81" t="s">
        <v>224</v>
      </c>
    </row>
    <row r="2912" hidden="1">
      <c r="A2912" s="83" t="s">
        <v>6317</v>
      </c>
      <c r="B2912" s="83" t="s">
        <v>6318</v>
      </c>
      <c r="C2912" s="81" t="s">
        <v>4086</v>
      </c>
      <c r="D2912" s="83" t="s">
        <v>4732</v>
      </c>
      <c r="E2912" s="81" t="s">
        <v>3523</v>
      </c>
      <c r="F2912" s="84">
        <v>663.0</v>
      </c>
      <c r="G2912" s="81" t="s">
        <v>39</v>
      </c>
      <c r="H2912" s="81" t="s">
        <v>6136</v>
      </c>
      <c r="I2912" s="81" t="s">
        <v>3518</v>
      </c>
      <c r="J2912" s="81" t="s">
        <v>224</v>
      </c>
    </row>
    <row r="2913" hidden="1">
      <c r="A2913" s="83" t="s">
        <v>6317</v>
      </c>
      <c r="B2913" s="83" t="s">
        <v>6318</v>
      </c>
      <c r="C2913" s="81" t="s">
        <v>4086</v>
      </c>
      <c r="D2913" s="83" t="s">
        <v>4732</v>
      </c>
      <c r="E2913" s="81" t="s">
        <v>3523</v>
      </c>
      <c r="F2913" s="84">
        <v>663.0</v>
      </c>
      <c r="G2913" s="81" t="s">
        <v>40</v>
      </c>
      <c r="H2913" s="81" t="s">
        <v>6137</v>
      </c>
      <c r="I2913" s="81" t="s">
        <v>3519</v>
      </c>
      <c r="J2913" s="81" t="s">
        <v>224</v>
      </c>
    </row>
    <row r="2914" hidden="1">
      <c r="A2914" s="83" t="s">
        <v>6317</v>
      </c>
      <c r="B2914" s="83" t="s">
        <v>6318</v>
      </c>
      <c r="C2914" s="81" t="s">
        <v>4086</v>
      </c>
      <c r="D2914" s="83" t="s">
        <v>4734</v>
      </c>
      <c r="E2914" s="81" t="s">
        <v>3526</v>
      </c>
      <c r="F2914" s="84">
        <v>664.0</v>
      </c>
      <c r="G2914" s="81" t="s">
        <v>39</v>
      </c>
      <c r="H2914" s="81" t="s">
        <v>6138</v>
      </c>
      <c r="I2914" s="81" t="s">
        <v>3527</v>
      </c>
      <c r="J2914" s="81" t="s">
        <v>224</v>
      </c>
    </row>
    <row r="2915" hidden="1">
      <c r="A2915" s="83" t="s">
        <v>6317</v>
      </c>
      <c r="B2915" s="83" t="s">
        <v>6318</v>
      </c>
      <c r="C2915" s="81" t="s">
        <v>4086</v>
      </c>
      <c r="D2915" s="83" t="s">
        <v>4734</v>
      </c>
      <c r="E2915" s="81" t="s">
        <v>3526</v>
      </c>
      <c r="F2915" s="84">
        <v>664.0</v>
      </c>
      <c r="G2915" s="81" t="s">
        <v>40</v>
      </c>
      <c r="H2915" s="81" t="s">
        <v>6139</v>
      </c>
      <c r="I2915" s="81" t="s">
        <v>3528</v>
      </c>
      <c r="J2915" s="81" t="s">
        <v>224</v>
      </c>
    </row>
    <row r="2916" hidden="1">
      <c r="A2916" s="83" t="s">
        <v>6317</v>
      </c>
      <c r="B2916" s="83" t="s">
        <v>6318</v>
      </c>
      <c r="C2916" s="81" t="s">
        <v>4086</v>
      </c>
      <c r="D2916" s="83" t="s">
        <v>4735</v>
      </c>
      <c r="E2916" s="81" t="s">
        <v>3529</v>
      </c>
      <c r="F2916" s="84">
        <v>665.0</v>
      </c>
      <c r="G2916" s="81" t="s">
        <v>39</v>
      </c>
      <c r="H2916" s="81" t="s">
        <v>6140</v>
      </c>
      <c r="I2916" s="81" t="s">
        <v>3534</v>
      </c>
      <c r="J2916" s="81" t="s">
        <v>224</v>
      </c>
    </row>
    <row r="2917" hidden="1">
      <c r="A2917" s="83" t="s">
        <v>6317</v>
      </c>
      <c r="B2917" s="83" t="s">
        <v>6318</v>
      </c>
      <c r="C2917" s="81" t="s">
        <v>4086</v>
      </c>
      <c r="D2917" s="83" t="s">
        <v>4735</v>
      </c>
      <c r="E2917" s="81" t="s">
        <v>3529</v>
      </c>
      <c r="F2917" s="84">
        <v>665.0</v>
      </c>
      <c r="G2917" s="81" t="s">
        <v>40</v>
      </c>
      <c r="H2917" s="81" t="s">
        <v>6141</v>
      </c>
      <c r="I2917" s="81" t="s">
        <v>3535</v>
      </c>
      <c r="J2917" s="81" t="s">
        <v>224</v>
      </c>
    </row>
    <row r="2918" hidden="1">
      <c r="A2918" s="83" t="s">
        <v>6317</v>
      </c>
      <c r="B2918" s="83" t="s">
        <v>6318</v>
      </c>
      <c r="C2918" s="81" t="s">
        <v>4086</v>
      </c>
      <c r="D2918" s="83" t="s">
        <v>4735</v>
      </c>
      <c r="E2918" s="81" t="s">
        <v>3539</v>
      </c>
      <c r="F2918" s="84">
        <v>666.0</v>
      </c>
      <c r="G2918" s="81" t="s">
        <v>39</v>
      </c>
      <c r="H2918" s="81" t="s">
        <v>6142</v>
      </c>
      <c r="I2918" s="81" t="s">
        <v>3534</v>
      </c>
      <c r="J2918" s="81" t="s">
        <v>224</v>
      </c>
    </row>
    <row r="2919" hidden="1">
      <c r="A2919" s="83" t="s">
        <v>6317</v>
      </c>
      <c r="B2919" s="83" t="s">
        <v>6318</v>
      </c>
      <c r="C2919" s="81" t="s">
        <v>4086</v>
      </c>
      <c r="D2919" s="83" t="s">
        <v>4735</v>
      </c>
      <c r="E2919" s="81" t="s">
        <v>3539</v>
      </c>
      <c r="F2919" s="84">
        <v>666.0</v>
      </c>
      <c r="G2919" s="81" t="s">
        <v>40</v>
      </c>
      <c r="H2919" s="81" t="s">
        <v>6143</v>
      </c>
      <c r="I2919" s="81" t="s">
        <v>3535</v>
      </c>
      <c r="J2919" s="81" t="s">
        <v>224</v>
      </c>
    </row>
    <row r="2920" hidden="1">
      <c r="A2920" s="83" t="s">
        <v>6317</v>
      </c>
      <c r="B2920" s="83" t="s">
        <v>6318</v>
      </c>
      <c r="C2920" s="81" t="s">
        <v>4086</v>
      </c>
      <c r="D2920" s="83" t="s">
        <v>4737</v>
      </c>
      <c r="E2920" s="81" t="s">
        <v>3540</v>
      </c>
      <c r="F2920" s="84">
        <v>667.0</v>
      </c>
      <c r="G2920" s="81" t="s">
        <v>39</v>
      </c>
      <c r="H2920" s="81" t="s">
        <v>6144</v>
      </c>
      <c r="I2920" s="81" t="s">
        <v>3541</v>
      </c>
      <c r="J2920" s="81" t="s">
        <v>224</v>
      </c>
    </row>
    <row r="2921" hidden="1">
      <c r="A2921" s="83" t="s">
        <v>6317</v>
      </c>
      <c r="B2921" s="83" t="s">
        <v>6318</v>
      </c>
      <c r="C2921" s="81" t="s">
        <v>4086</v>
      </c>
      <c r="D2921" s="83" t="s">
        <v>4737</v>
      </c>
      <c r="E2921" s="81" t="s">
        <v>3540</v>
      </c>
      <c r="F2921" s="84">
        <v>667.0</v>
      </c>
      <c r="G2921" s="81" t="s">
        <v>40</v>
      </c>
      <c r="H2921" s="81" t="s">
        <v>6145</v>
      </c>
      <c r="I2921" s="81" t="s">
        <v>3542</v>
      </c>
      <c r="J2921" s="81" t="s">
        <v>224</v>
      </c>
    </row>
    <row r="2922" hidden="1">
      <c r="A2922" s="83" t="s">
        <v>6317</v>
      </c>
      <c r="B2922" s="83" t="s">
        <v>6318</v>
      </c>
      <c r="C2922" s="81" t="s">
        <v>4086</v>
      </c>
      <c r="D2922" s="83" t="s">
        <v>4738</v>
      </c>
      <c r="E2922" s="81" t="s">
        <v>3543</v>
      </c>
      <c r="F2922" s="84">
        <v>668.0</v>
      </c>
      <c r="G2922" s="81" t="s">
        <v>39</v>
      </c>
      <c r="H2922" s="81" t="s">
        <v>6146</v>
      </c>
      <c r="I2922" s="81" t="s">
        <v>3548</v>
      </c>
      <c r="J2922" s="81" t="s">
        <v>224</v>
      </c>
    </row>
    <row r="2923" hidden="1">
      <c r="A2923" s="83" t="s">
        <v>6317</v>
      </c>
      <c r="B2923" s="83" t="s">
        <v>6318</v>
      </c>
      <c r="C2923" s="81" t="s">
        <v>4086</v>
      </c>
      <c r="D2923" s="83" t="s">
        <v>4738</v>
      </c>
      <c r="E2923" s="81" t="s">
        <v>3543</v>
      </c>
      <c r="F2923" s="84">
        <v>668.0</v>
      </c>
      <c r="G2923" s="81" t="s">
        <v>40</v>
      </c>
      <c r="H2923" s="81" t="s">
        <v>6147</v>
      </c>
      <c r="I2923" s="81" t="s">
        <v>3549</v>
      </c>
      <c r="J2923" s="81" t="s">
        <v>224</v>
      </c>
    </row>
    <row r="2924" hidden="1">
      <c r="A2924" s="83" t="s">
        <v>6317</v>
      </c>
      <c r="B2924" s="83" t="s">
        <v>6318</v>
      </c>
      <c r="C2924" s="81" t="s">
        <v>4086</v>
      </c>
      <c r="D2924" s="83" t="s">
        <v>4738</v>
      </c>
      <c r="E2924" s="81" t="s">
        <v>3553</v>
      </c>
      <c r="F2924" s="84">
        <v>669.0</v>
      </c>
      <c r="G2924" s="81" t="s">
        <v>39</v>
      </c>
      <c r="H2924" s="81" t="s">
        <v>6146</v>
      </c>
      <c r="I2924" s="81" t="s">
        <v>3548</v>
      </c>
      <c r="J2924" s="81" t="s">
        <v>224</v>
      </c>
    </row>
    <row r="2925" hidden="1">
      <c r="A2925" s="83" t="s">
        <v>6317</v>
      </c>
      <c r="B2925" s="83" t="s">
        <v>6318</v>
      </c>
      <c r="C2925" s="81" t="s">
        <v>4086</v>
      </c>
      <c r="D2925" s="83" t="s">
        <v>4738</v>
      </c>
      <c r="E2925" s="81" t="s">
        <v>3553</v>
      </c>
      <c r="F2925" s="84">
        <v>669.0</v>
      </c>
      <c r="G2925" s="81" t="s">
        <v>40</v>
      </c>
      <c r="H2925" s="81" t="s">
        <v>6147</v>
      </c>
      <c r="I2925" s="81" t="s">
        <v>3549</v>
      </c>
      <c r="J2925" s="81" t="s">
        <v>224</v>
      </c>
    </row>
    <row r="2926" hidden="1">
      <c r="A2926" s="83" t="s">
        <v>6317</v>
      </c>
      <c r="B2926" s="83" t="s">
        <v>6318</v>
      </c>
      <c r="C2926" s="81" t="s">
        <v>4086</v>
      </c>
      <c r="D2926" s="83" t="s">
        <v>4740</v>
      </c>
      <c r="E2926" s="81" t="s">
        <v>3555</v>
      </c>
      <c r="F2926" s="84">
        <v>670.0</v>
      </c>
      <c r="G2926" s="81" t="s">
        <v>39</v>
      </c>
      <c r="H2926" s="81" t="s">
        <v>6148</v>
      </c>
      <c r="I2926" s="81" t="s">
        <v>3556</v>
      </c>
      <c r="J2926" s="81" t="s">
        <v>224</v>
      </c>
    </row>
    <row r="2927" hidden="1">
      <c r="A2927" s="83" t="s">
        <v>6317</v>
      </c>
      <c r="B2927" s="83" t="s">
        <v>6318</v>
      </c>
      <c r="C2927" s="81" t="s">
        <v>4086</v>
      </c>
      <c r="D2927" s="83" t="s">
        <v>4740</v>
      </c>
      <c r="E2927" s="81" t="s">
        <v>3555</v>
      </c>
      <c r="F2927" s="84">
        <v>670.0</v>
      </c>
      <c r="G2927" s="81" t="s">
        <v>40</v>
      </c>
      <c r="H2927" s="81" t="s">
        <v>6149</v>
      </c>
      <c r="I2927" s="81" t="s">
        <v>3557</v>
      </c>
      <c r="J2927" s="81" t="s">
        <v>224</v>
      </c>
    </row>
    <row r="2928" hidden="1">
      <c r="A2928" s="83" t="s">
        <v>6317</v>
      </c>
      <c r="B2928" s="83" t="s">
        <v>6318</v>
      </c>
      <c r="C2928" s="81" t="s">
        <v>4086</v>
      </c>
      <c r="D2928" s="83" t="s">
        <v>4741</v>
      </c>
      <c r="E2928" s="81" t="s">
        <v>3558</v>
      </c>
      <c r="F2928" s="84">
        <v>671.0</v>
      </c>
      <c r="G2928" s="81" t="s">
        <v>39</v>
      </c>
      <c r="H2928" s="81" t="s">
        <v>6150</v>
      </c>
      <c r="I2928" s="81" t="s">
        <v>3562</v>
      </c>
      <c r="J2928" s="81" t="s">
        <v>224</v>
      </c>
    </row>
    <row r="2929" hidden="1">
      <c r="A2929" s="83" t="s">
        <v>6317</v>
      </c>
      <c r="B2929" s="83" t="s">
        <v>6318</v>
      </c>
      <c r="C2929" s="81" t="s">
        <v>4086</v>
      </c>
      <c r="D2929" s="83" t="s">
        <v>4741</v>
      </c>
      <c r="E2929" s="81" t="s">
        <v>3558</v>
      </c>
      <c r="F2929" s="84">
        <v>671.0</v>
      </c>
      <c r="G2929" s="81" t="s">
        <v>40</v>
      </c>
      <c r="H2929" s="81" t="s">
        <v>6151</v>
      </c>
      <c r="I2929" s="81" t="s">
        <v>3563</v>
      </c>
      <c r="J2929" s="81" t="s">
        <v>224</v>
      </c>
    </row>
    <row r="2930" hidden="1">
      <c r="A2930" s="83" t="s">
        <v>6317</v>
      </c>
      <c r="B2930" s="83" t="s">
        <v>6318</v>
      </c>
      <c r="C2930" s="81" t="s">
        <v>4086</v>
      </c>
      <c r="D2930" s="83" t="s">
        <v>4741</v>
      </c>
      <c r="E2930" s="81" t="s">
        <v>3567</v>
      </c>
      <c r="F2930" s="84">
        <v>672.0</v>
      </c>
      <c r="G2930" s="81" t="s">
        <v>39</v>
      </c>
      <c r="H2930" s="81" t="s">
        <v>6150</v>
      </c>
      <c r="I2930" s="81" t="s">
        <v>3562</v>
      </c>
      <c r="J2930" s="81" t="s">
        <v>224</v>
      </c>
    </row>
    <row r="2931" hidden="1">
      <c r="A2931" s="83" t="s">
        <v>6317</v>
      </c>
      <c r="B2931" s="83" t="s">
        <v>6318</v>
      </c>
      <c r="C2931" s="81" t="s">
        <v>4086</v>
      </c>
      <c r="D2931" s="83" t="s">
        <v>4741</v>
      </c>
      <c r="E2931" s="81" t="s">
        <v>3567</v>
      </c>
      <c r="F2931" s="84">
        <v>672.0</v>
      </c>
      <c r="G2931" s="81" t="s">
        <v>40</v>
      </c>
      <c r="H2931" s="81" t="s">
        <v>6151</v>
      </c>
      <c r="I2931" s="81" t="s">
        <v>3563</v>
      </c>
      <c r="J2931" s="81" t="s">
        <v>224</v>
      </c>
    </row>
    <row r="2932" hidden="1">
      <c r="A2932" s="83" t="s">
        <v>6317</v>
      </c>
      <c r="B2932" s="83" t="s">
        <v>6318</v>
      </c>
      <c r="C2932" s="81" t="s">
        <v>4086</v>
      </c>
      <c r="D2932" s="83" t="s">
        <v>4743</v>
      </c>
      <c r="E2932" s="81" t="s">
        <v>3568</v>
      </c>
      <c r="F2932" s="84">
        <v>673.0</v>
      </c>
      <c r="G2932" s="81" t="s">
        <v>39</v>
      </c>
      <c r="H2932" s="81" t="s">
        <v>6152</v>
      </c>
      <c r="I2932" s="81" t="s">
        <v>3569</v>
      </c>
      <c r="J2932" s="81" t="s">
        <v>224</v>
      </c>
    </row>
    <row r="2933" hidden="1">
      <c r="A2933" s="83" t="s">
        <v>6317</v>
      </c>
      <c r="B2933" s="83" t="s">
        <v>6318</v>
      </c>
      <c r="C2933" s="81" t="s">
        <v>4086</v>
      </c>
      <c r="D2933" s="83" t="s">
        <v>4743</v>
      </c>
      <c r="E2933" s="81" t="s">
        <v>3568</v>
      </c>
      <c r="F2933" s="84">
        <v>673.0</v>
      </c>
      <c r="G2933" s="81" t="s">
        <v>40</v>
      </c>
      <c r="H2933" s="81" t="s">
        <v>6153</v>
      </c>
      <c r="I2933" s="81" t="s">
        <v>3570</v>
      </c>
      <c r="J2933" s="81" t="s">
        <v>224</v>
      </c>
    </row>
    <row r="2934" hidden="1">
      <c r="A2934" s="83" t="s">
        <v>6317</v>
      </c>
      <c r="B2934" s="83" t="s">
        <v>6318</v>
      </c>
      <c r="C2934" s="81" t="s">
        <v>4086</v>
      </c>
      <c r="D2934" s="83" t="s">
        <v>4744</v>
      </c>
      <c r="E2934" s="81" t="s">
        <v>3571</v>
      </c>
      <c r="F2934" s="84">
        <v>674.0</v>
      </c>
      <c r="G2934" s="81" t="s">
        <v>39</v>
      </c>
      <c r="H2934" s="81" t="s">
        <v>6154</v>
      </c>
      <c r="I2934" s="81" t="s">
        <v>3575</v>
      </c>
      <c r="J2934" s="81" t="s">
        <v>224</v>
      </c>
    </row>
    <row r="2935" hidden="1">
      <c r="A2935" s="83" t="s">
        <v>6317</v>
      </c>
      <c r="B2935" s="83" t="s">
        <v>6318</v>
      </c>
      <c r="C2935" s="81" t="s">
        <v>4086</v>
      </c>
      <c r="D2935" s="83" t="s">
        <v>4744</v>
      </c>
      <c r="E2935" s="81" t="s">
        <v>3571</v>
      </c>
      <c r="F2935" s="84">
        <v>674.0</v>
      </c>
      <c r="G2935" s="81" t="s">
        <v>40</v>
      </c>
      <c r="H2935" s="81" t="s">
        <v>6155</v>
      </c>
      <c r="I2935" s="81" t="s">
        <v>3576</v>
      </c>
      <c r="J2935" s="81" t="s">
        <v>224</v>
      </c>
    </row>
    <row r="2936" hidden="1">
      <c r="A2936" s="83" t="s">
        <v>6317</v>
      </c>
      <c r="B2936" s="83" t="s">
        <v>6318</v>
      </c>
      <c r="C2936" s="81" t="s">
        <v>4086</v>
      </c>
      <c r="D2936" s="83" t="s">
        <v>4744</v>
      </c>
      <c r="E2936" s="81" t="s">
        <v>3580</v>
      </c>
      <c r="F2936" s="84">
        <v>675.0</v>
      </c>
      <c r="G2936" s="81" t="s">
        <v>39</v>
      </c>
      <c r="H2936" s="81" t="s">
        <v>6154</v>
      </c>
      <c r="I2936" s="81" t="s">
        <v>3575</v>
      </c>
      <c r="J2936" s="81" t="s">
        <v>224</v>
      </c>
    </row>
    <row r="2937" hidden="1">
      <c r="A2937" s="83" t="s">
        <v>6317</v>
      </c>
      <c r="B2937" s="83" t="s">
        <v>6318</v>
      </c>
      <c r="C2937" s="81" t="s">
        <v>4086</v>
      </c>
      <c r="D2937" s="83" t="s">
        <v>4744</v>
      </c>
      <c r="E2937" s="81" t="s">
        <v>3580</v>
      </c>
      <c r="F2937" s="84">
        <v>675.0</v>
      </c>
      <c r="G2937" s="81" t="s">
        <v>40</v>
      </c>
      <c r="H2937" s="81" t="s">
        <v>6155</v>
      </c>
      <c r="I2937" s="81" t="s">
        <v>3576</v>
      </c>
      <c r="J2937" s="81" t="s">
        <v>224</v>
      </c>
    </row>
    <row r="2938" hidden="1">
      <c r="A2938" s="83" t="s">
        <v>6317</v>
      </c>
      <c r="B2938" s="83" t="s">
        <v>6318</v>
      </c>
      <c r="C2938" s="81" t="s">
        <v>4086</v>
      </c>
      <c r="D2938" s="83" t="s">
        <v>4747</v>
      </c>
      <c r="E2938" s="81" t="s">
        <v>3581</v>
      </c>
      <c r="F2938" s="84">
        <v>676.0</v>
      </c>
      <c r="G2938" s="81" t="s">
        <v>39</v>
      </c>
      <c r="H2938" s="81" t="s">
        <v>6156</v>
      </c>
      <c r="I2938" s="81" t="s">
        <v>3582</v>
      </c>
      <c r="J2938" s="81" t="s">
        <v>224</v>
      </c>
    </row>
    <row r="2939" hidden="1">
      <c r="A2939" s="83" t="s">
        <v>6317</v>
      </c>
      <c r="B2939" s="83" t="s">
        <v>6318</v>
      </c>
      <c r="C2939" s="81" t="s">
        <v>4086</v>
      </c>
      <c r="D2939" s="83" t="s">
        <v>4747</v>
      </c>
      <c r="E2939" s="81" t="s">
        <v>3581</v>
      </c>
      <c r="F2939" s="84">
        <v>676.0</v>
      </c>
      <c r="G2939" s="81" t="s">
        <v>40</v>
      </c>
      <c r="H2939" s="81" t="s">
        <v>6157</v>
      </c>
      <c r="I2939" s="81" t="s">
        <v>3583</v>
      </c>
      <c r="J2939" s="81" t="s">
        <v>224</v>
      </c>
    </row>
    <row r="2940" hidden="1">
      <c r="A2940" s="83" t="s">
        <v>6317</v>
      </c>
      <c r="B2940" s="83" t="s">
        <v>6318</v>
      </c>
      <c r="C2940" s="81" t="s">
        <v>4086</v>
      </c>
      <c r="D2940" s="83" t="s">
        <v>4748</v>
      </c>
      <c r="E2940" s="81" t="s">
        <v>3584</v>
      </c>
      <c r="F2940" s="84">
        <v>677.0</v>
      </c>
      <c r="G2940" s="81" t="s">
        <v>40</v>
      </c>
      <c r="H2940" s="81" t="s">
        <v>6158</v>
      </c>
      <c r="I2940" s="81" t="s">
        <v>3586</v>
      </c>
      <c r="J2940" s="81" t="s">
        <v>224</v>
      </c>
    </row>
    <row r="2941" hidden="1">
      <c r="A2941" s="83" t="s">
        <v>6317</v>
      </c>
      <c r="B2941" s="83" t="s">
        <v>6318</v>
      </c>
      <c r="C2941" s="81" t="s">
        <v>4086</v>
      </c>
      <c r="D2941" s="83" t="s">
        <v>4749</v>
      </c>
      <c r="E2941" s="81" t="s">
        <v>3588</v>
      </c>
      <c r="F2941" s="84">
        <v>678.0</v>
      </c>
      <c r="G2941" s="81" t="s">
        <v>39</v>
      </c>
      <c r="H2941" s="81" t="s">
        <v>6160</v>
      </c>
      <c r="I2941" s="81" t="s">
        <v>3590</v>
      </c>
      <c r="J2941" s="81" t="s">
        <v>224</v>
      </c>
    </row>
    <row r="2942" hidden="1">
      <c r="A2942" s="83" t="s">
        <v>6317</v>
      </c>
      <c r="B2942" s="83" t="s">
        <v>6318</v>
      </c>
      <c r="C2942" s="81" t="s">
        <v>4086</v>
      </c>
      <c r="D2942" s="83" t="s">
        <v>4749</v>
      </c>
      <c r="E2942" s="81" t="s">
        <v>3588</v>
      </c>
      <c r="F2942" s="84">
        <v>678.0</v>
      </c>
      <c r="G2942" s="81" t="s">
        <v>40</v>
      </c>
      <c r="H2942" s="81" t="s">
        <v>6161</v>
      </c>
      <c r="I2942" s="81" t="s">
        <v>6328</v>
      </c>
      <c r="J2942" s="81" t="s">
        <v>224</v>
      </c>
    </row>
    <row r="2943" hidden="1">
      <c r="A2943" s="83" t="s">
        <v>6317</v>
      </c>
      <c r="B2943" s="83" t="s">
        <v>6318</v>
      </c>
      <c r="C2943" s="81" t="s">
        <v>4086</v>
      </c>
      <c r="D2943" s="83" t="s">
        <v>4749</v>
      </c>
      <c r="E2943" s="81" t="s">
        <v>3596</v>
      </c>
      <c r="F2943" s="84">
        <v>679.0</v>
      </c>
      <c r="G2943" s="81" t="s">
        <v>39</v>
      </c>
      <c r="H2943" s="81" t="s">
        <v>6160</v>
      </c>
      <c r="I2943" s="81" t="s">
        <v>3590</v>
      </c>
      <c r="J2943" s="81" t="s">
        <v>224</v>
      </c>
    </row>
    <row r="2944" hidden="1">
      <c r="A2944" s="83" t="s">
        <v>6317</v>
      </c>
      <c r="B2944" s="83" t="s">
        <v>6318</v>
      </c>
      <c r="C2944" s="81" t="s">
        <v>4086</v>
      </c>
      <c r="D2944" s="83" t="s">
        <v>4749</v>
      </c>
      <c r="E2944" s="81" t="s">
        <v>3596</v>
      </c>
      <c r="F2944" s="84">
        <v>679.0</v>
      </c>
      <c r="G2944" s="81" t="s">
        <v>40</v>
      </c>
      <c r="H2944" s="81" t="s">
        <v>6161</v>
      </c>
      <c r="I2944" s="81" t="s">
        <v>6328</v>
      </c>
      <c r="J2944" s="81" t="s">
        <v>224</v>
      </c>
    </row>
    <row r="2945" hidden="1">
      <c r="A2945" s="83" t="s">
        <v>6317</v>
      </c>
      <c r="B2945" s="83" t="s">
        <v>6318</v>
      </c>
      <c r="C2945" s="81" t="s">
        <v>4086</v>
      </c>
      <c r="D2945" s="83" t="s">
        <v>4750</v>
      </c>
      <c r="E2945" s="81" t="s">
        <v>3597</v>
      </c>
      <c r="F2945" s="84">
        <v>680.0</v>
      </c>
      <c r="G2945" s="81" t="s">
        <v>39</v>
      </c>
      <c r="H2945" s="81" t="s">
        <v>6163</v>
      </c>
      <c r="I2945" s="81" t="s">
        <v>3590</v>
      </c>
      <c r="J2945" s="81" t="s">
        <v>224</v>
      </c>
    </row>
    <row r="2946" hidden="1">
      <c r="A2946" s="83" t="s">
        <v>6317</v>
      </c>
      <c r="B2946" s="83" t="s">
        <v>6318</v>
      </c>
      <c r="C2946" s="81" t="s">
        <v>4086</v>
      </c>
      <c r="D2946" s="83" t="s">
        <v>4750</v>
      </c>
      <c r="E2946" s="81" t="s">
        <v>3597</v>
      </c>
      <c r="F2946" s="84">
        <v>680.0</v>
      </c>
      <c r="G2946" s="81" t="s">
        <v>40</v>
      </c>
      <c r="H2946" s="81" t="s">
        <v>6164</v>
      </c>
      <c r="I2946" s="81" t="s">
        <v>6328</v>
      </c>
      <c r="J2946" s="81" t="s">
        <v>224</v>
      </c>
    </row>
    <row r="2947" hidden="1">
      <c r="A2947" s="83" t="s">
        <v>6317</v>
      </c>
      <c r="B2947" s="83" t="s">
        <v>6318</v>
      </c>
      <c r="C2947" s="81" t="s">
        <v>4086</v>
      </c>
      <c r="D2947" s="83" t="s">
        <v>4751</v>
      </c>
      <c r="E2947" s="81" t="s">
        <v>3600</v>
      </c>
      <c r="F2947" s="84">
        <v>681.0</v>
      </c>
      <c r="G2947" s="81" t="s">
        <v>40</v>
      </c>
      <c r="H2947" s="81" t="s">
        <v>49</v>
      </c>
      <c r="I2947" s="81" t="s">
        <v>3604</v>
      </c>
      <c r="J2947" s="81" t="s">
        <v>224</v>
      </c>
    </row>
    <row r="2948" hidden="1">
      <c r="A2948" s="83" t="s">
        <v>6317</v>
      </c>
      <c r="B2948" s="83" t="s">
        <v>6318</v>
      </c>
      <c r="C2948" s="81" t="s">
        <v>4086</v>
      </c>
      <c r="D2948" s="83" t="s">
        <v>4752</v>
      </c>
      <c r="E2948" s="81" t="s">
        <v>3605</v>
      </c>
      <c r="F2948" s="84">
        <v>682.0</v>
      </c>
      <c r="G2948" s="81" t="s">
        <v>40</v>
      </c>
      <c r="H2948" s="81" t="s">
        <v>49</v>
      </c>
      <c r="I2948" s="81" t="s">
        <v>3607</v>
      </c>
      <c r="J2948" s="81" t="s">
        <v>224</v>
      </c>
    </row>
    <row r="2949" hidden="1">
      <c r="A2949" s="83" t="s">
        <v>6317</v>
      </c>
      <c r="B2949" s="83" t="s">
        <v>6318</v>
      </c>
      <c r="C2949" s="81" t="s">
        <v>4086</v>
      </c>
      <c r="D2949" s="83" t="s">
        <v>4753</v>
      </c>
      <c r="E2949" s="81" t="s">
        <v>3608</v>
      </c>
      <c r="F2949" s="84">
        <v>683.0</v>
      </c>
      <c r="G2949" s="81" t="s">
        <v>39</v>
      </c>
      <c r="H2949" s="81" t="s">
        <v>6165</v>
      </c>
      <c r="I2949" s="81" t="s">
        <v>3614</v>
      </c>
      <c r="J2949" s="81" t="s">
        <v>224</v>
      </c>
    </row>
    <row r="2950" hidden="1">
      <c r="A2950" s="83" t="s">
        <v>6317</v>
      </c>
      <c r="B2950" s="83" t="s">
        <v>6318</v>
      </c>
      <c r="C2950" s="81" t="s">
        <v>4086</v>
      </c>
      <c r="D2950" s="83" t="s">
        <v>4753</v>
      </c>
      <c r="E2950" s="81" t="s">
        <v>3608</v>
      </c>
      <c r="F2950" s="84">
        <v>683.0</v>
      </c>
      <c r="G2950" s="81" t="s">
        <v>40</v>
      </c>
      <c r="H2950" s="81" t="s">
        <v>6166</v>
      </c>
      <c r="I2950" s="81" t="s">
        <v>3615</v>
      </c>
      <c r="J2950" s="81" t="s">
        <v>224</v>
      </c>
    </row>
    <row r="2951" hidden="1">
      <c r="A2951" s="83" t="s">
        <v>6317</v>
      </c>
      <c r="B2951" s="83" t="s">
        <v>6318</v>
      </c>
      <c r="C2951" s="81" t="s">
        <v>4086</v>
      </c>
      <c r="D2951" s="83" t="s">
        <v>4754</v>
      </c>
      <c r="E2951" s="81" t="s">
        <v>3621</v>
      </c>
      <c r="F2951" s="84">
        <v>684.0</v>
      </c>
      <c r="G2951" s="81" t="s">
        <v>39</v>
      </c>
      <c r="H2951" s="81" t="s">
        <v>6167</v>
      </c>
      <c r="I2951" s="81" t="s">
        <v>3628</v>
      </c>
      <c r="J2951" s="81" t="s">
        <v>224</v>
      </c>
    </row>
    <row r="2952" hidden="1">
      <c r="A2952" s="83" t="s">
        <v>6317</v>
      </c>
      <c r="B2952" s="83" t="s">
        <v>6318</v>
      </c>
      <c r="C2952" s="81" t="s">
        <v>4086</v>
      </c>
      <c r="D2952" s="83" t="s">
        <v>4754</v>
      </c>
      <c r="E2952" s="81" t="s">
        <v>3621</v>
      </c>
      <c r="F2952" s="84">
        <v>684.0</v>
      </c>
      <c r="G2952" s="81" t="s">
        <v>40</v>
      </c>
      <c r="H2952" s="81" t="s">
        <v>6168</v>
      </c>
      <c r="I2952" s="81" t="s">
        <v>6169</v>
      </c>
      <c r="J2952" s="81" t="s">
        <v>224</v>
      </c>
    </row>
    <row r="2953" hidden="1">
      <c r="A2953" s="83" t="s">
        <v>6317</v>
      </c>
      <c r="B2953" s="83" t="s">
        <v>6318</v>
      </c>
      <c r="C2953" s="81" t="s">
        <v>5141</v>
      </c>
      <c r="D2953" s="83" t="s">
        <v>4754</v>
      </c>
      <c r="E2953" s="81" t="s">
        <v>3621</v>
      </c>
      <c r="F2953" s="84">
        <v>684.0</v>
      </c>
      <c r="G2953" s="81" t="s">
        <v>43</v>
      </c>
      <c r="H2953" s="81" t="s">
        <v>3632</v>
      </c>
      <c r="I2953" s="81" t="s">
        <v>224</v>
      </c>
      <c r="J2953" s="81" t="s">
        <v>5143</v>
      </c>
    </row>
    <row r="2954" hidden="1">
      <c r="A2954" s="83" t="s">
        <v>6317</v>
      </c>
      <c r="B2954" s="83" t="s">
        <v>6318</v>
      </c>
      <c r="C2954" s="81" t="s">
        <v>4086</v>
      </c>
      <c r="D2954" s="83" t="s">
        <v>4755</v>
      </c>
      <c r="E2954" s="81" t="s">
        <v>3633</v>
      </c>
      <c r="F2954" s="84">
        <v>685.0</v>
      </c>
      <c r="G2954" s="81" t="s">
        <v>40</v>
      </c>
      <c r="H2954" s="81" t="s">
        <v>6170</v>
      </c>
      <c r="I2954" s="81" t="s">
        <v>6171</v>
      </c>
      <c r="J2954" s="81" t="s">
        <v>224</v>
      </c>
    </row>
    <row r="2955" hidden="1">
      <c r="A2955" s="83" t="s">
        <v>6317</v>
      </c>
      <c r="B2955" s="83" t="s">
        <v>6318</v>
      </c>
      <c r="C2955" s="81" t="s">
        <v>5141</v>
      </c>
      <c r="D2955" s="83" t="s">
        <v>4755</v>
      </c>
      <c r="E2955" s="81" t="s">
        <v>3633</v>
      </c>
      <c r="F2955" s="84">
        <v>685.0</v>
      </c>
      <c r="G2955" s="81" t="s">
        <v>43</v>
      </c>
      <c r="H2955" s="81" t="s">
        <v>3632</v>
      </c>
      <c r="I2955" s="81" t="s">
        <v>224</v>
      </c>
      <c r="J2955" s="81" t="s">
        <v>5143</v>
      </c>
    </row>
    <row r="2956" hidden="1">
      <c r="A2956" s="83" t="s">
        <v>6317</v>
      </c>
      <c r="B2956" s="83" t="s">
        <v>6318</v>
      </c>
      <c r="C2956" s="81" t="s">
        <v>4086</v>
      </c>
      <c r="D2956" s="83" t="s">
        <v>4754</v>
      </c>
      <c r="E2956" s="81" t="s">
        <v>3636</v>
      </c>
      <c r="F2956" s="84">
        <v>686.0</v>
      </c>
      <c r="G2956" s="81" t="s">
        <v>40</v>
      </c>
      <c r="H2956" s="81" t="s">
        <v>6172</v>
      </c>
      <c r="I2956" s="81" t="s">
        <v>6169</v>
      </c>
      <c r="J2956" s="81" t="s">
        <v>224</v>
      </c>
    </row>
    <row r="2957" hidden="1">
      <c r="A2957" s="83" t="s">
        <v>6317</v>
      </c>
      <c r="B2957" s="83" t="s">
        <v>6318</v>
      </c>
      <c r="C2957" s="81" t="s">
        <v>5141</v>
      </c>
      <c r="D2957" s="83" t="s">
        <v>4754</v>
      </c>
      <c r="E2957" s="81" t="s">
        <v>3636</v>
      </c>
      <c r="F2957" s="84">
        <v>686.0</v>
      </c>
      <c r="G2957" s="81" t="s">
        <v>43</v>
      </c>
      <c r="H2957" s="81" t="s">
        <v>3632</v>
      </c>
      <c r="I2957" s="81" t="s">
        <v>224</v>
      </c>
      <c r="J2957" s="81" t="s">
        <v>5143</v>
      </c>
    </row>
    <row r="2958" hidden="1">
      <c r="A2958" s="83" t="s">
        <v>6317</v>
      </c>
      <c r="B2958" s="83" t="s">
        <v>6318</v>
      </c>
      <c r="C2958" s="81" t="s">
        <v>4086</v>
      </c>
      <c r="D2958" s="83" t="s">
        <v>4756</v>
      </c>
      <c r="E2958" s="81" t="s">
        <v>3637</v>
      </c>
      <c r="F2958" s="84">
        <v>687.0</v>
      </c>
      <c r="G2958" s="81" t="s">
        <v>40</v>
      </c>
      <c r="H2958" s="81" t="s">
        <v>6173</v>
      </c>
      <c r="I2958" s="81" t="s">
        <v>6174</v>
      </c>
      <c r="J2958" s="81" t="s">
        <v>224</v>
      </c>
    </row>
    <row r="2959" hidden="1">
      <c r="A2959" s="83" t="s">
        <v>6317</v>
      </c>
      <c r="B2959" s="83" t="s">
        <v>6318</v>
      </c>
      <c r="C2959" s="81" t="s">
        <v>5141</v>
      </c>
      <c r="D2959" s="83" t="s">
        <v>4756</v>
      </c>
      <c r="E2959" s="81" t="s">
        <v>3637</v>
      </c>
      <c r="F2959" s="84">
        <v>687.0</v>
      </c>
      <c r="G2959" s="81" t="s">
        <v>43</v>
      </c>
      <c r="H2959" s="81" t="s">
        <v>3632</v>
      </c>
      <c r="I2959" s="81" t="s">
        <v>224</v>
      </c>
      <c r="J2959" s="81" t="s">
        <v>5143</v>
      </c>
    </row>
    <row r="2960" hidden="1">
      <c r="A2960" s="83" t="s">
        <v>6317</v>
      </c>
      <c r="B2960" s="83" t="s">
        <v>6318</v>
      </c>
      <c r="C2960" s="81" t="s">
        <v>4086</v>
      </c>
      <c r="D2960" s="83" t="s">
        <v>4757</v>
      </c>
      <c r="E2960" s="81" t="s">
        <v>3640</v>
      </c>
      <c r="F2960" s="84">
        <v>688.0</v>
      </c>
      <c r="G2960" s="81" t="s">
        <v>39</v>
      </c>
      <c r="H2960" s="81" t="s">
        <v>6175</v>
      </c>
      <c r="I2960" s="81" t="s">
        <v>3641</v>
      </c>
      <c r="J2960" s="81" t="s">
        <v>224</v>
      </c>
    </row>
    <row r="2961" hidden="1">
      <c r="A2961" s="83" t="s">
        <v>6317</v>
      </c>
      <c r="B2961" s="83" t="s">
        <v>6318</v>
      </c>
      <c r="C2961" s="81" t="s">
        <v>4086</v>
      </c>
      <c r="D2961" s="83" t="s">
        <v>4757</v>
      </c>
      <c r="E2961" s="81" t="s">
        <v>3640</v>
      </c>
      <c r="F2961" s="84">
        <v>688.0</v>
      </c>
      <c r="G2961" s="81" t="s">
        <v>40</v>
      </c>
      <c r="H2961" s="81" t="s">
        <v>6176</v>
      </c>
      <c r="I2961" s="81" t="s">
        <v>6177</v>
      </c>
      <c r="J2961" s="81" t="s">
        <v>224</v>
      </c>
    </row>
    <row r="2962" hidden="1">
      <c r="A2962" s="83" t="s">
        <v>6317</v>
      </c>
      <c r="B2962" s="83" t="s">
        <v>6318</v>
      </c>
      <c r="C2962" s="81" t="s">
        <v>5141</v>
      </c>
      <c r="D2962" s="83" t="s">
        <v>4757</v>
      </c>
      <c r="E2962" s="81" t="s">
        <v>3640</v>
      </c>
      <c r="F2962" s="84">
        <v>688.0</v>
      </c>
      <c r="G2962" s="81" t="s">
        <v>43</v>
      </c>
      <c r="H2962" s="81" t="s">
        <v>49</v>
      </c>
      <c r="I2962" s="81" t="s">
        <v>224</v>
      </c>
      <c r="J2962" s="81" t="s">
        <v>5143</v>
      </c>
    </row>
    <row r="2963" hidden="1">
      <c r="A2963" s="83" t="s">
        <v>6317</v>
      </c>
      <c r="B2963" s="83" t="s">
        <v>6318</v>
      </c>
      <c r="C2963" s="81" t="s">
        <v>4086</v>
      </c>
      <c r="D2963" s="83" t="s">
        <v>4758</v>
      </c>
      <c r="E2963" s="81" t="s">
        <v>3643</v>
      </c>
      <c r="F2963" s="84">
        <v>689.0</v>
      </c>
      <c r="G2963" s="81" t="s">
        <v>40</v>
      </c>
      <c r="H2963" s="81" t="s">
        <v>49</v>
      </c>
      <c r="I2963" s="81" t="s">
        <v>3645</v>
      </c>
      <c r="J2963" s="81" t="s">
        <v>224</v>
      </c>
    </row>
    <row r="2964" hidden="1">
      <c r="A2964" s="83" t="s">
        <v>6317</v>
      </c>
      <c r="B2964" s="83" t="s">
        <v>6318</v>
      </c>
      <c r="C2964" s="81" t="s">
        <v>5141</v>
      </c>
      <c r="D2964" s="83" t="s">
        <v>4758</v>
      </c>
      <c r="E2964" s="81" t="s">
        <v>3643</v>
      </c>
      <c r="F2964" s="84">
        <v>689.0</v>
      </c>
      <c r="G2964" s="81" t="s">
        <v>43</v>
      </c>
      <c r="H2964" s="81" t="s">
        <v>49</v>
      </c>
      <c r="I2964" s="81" t="s">
        <v>224</v>
      </c>
      <c r="J2964" s="81" t="s">
        <v>5143</v>
      </c>
    </row>
    <row r="2965" hidden="1">
      <c r="A2965" s="83" t="s">
        <v>6317</v>
      </c>
      <c r="B2965" s="83" t="s">
        <v>6318</v>
      </c>
      <c r="C2965" s="81" t="s">
        <v>4086</v>
      </c>
      <c r="D2965" s="83" t="s">
        <v>4759</v>
      </c>
      <c r="E2965" s="81" t="s">
        <v>3646</v>
      </c>
      <c r="F2965" s="84">
        <v>690.0</v>
      </c>
      <c r="G2965" s="81" t="s">
        <v>40</v>
      </c>
      <c r="H2965" s="81" t="s">
        <v>49</v>
      </c>
      <c r="I2965" s="81" t="s">
        <v>3648</v>
      </c>
      <c r="J2965" s="81" t="s">
        <v>224</v>
      </c>
    </row>
    <row r="2966" hidden="1">
      <c r="A2966" s="83" t="s">
        <v>6317</v>
      </c>
      <c r="B2966" s="83" t="s">
        <v>6318</v>
      </c>
      <c r="C2966" s="81" t="s">
        <v>5141</v>
      </c>
      <c r="D2966" s="83" t="s">
        <v>4759</v>
      </c>
      <c r="E2966" s="81" t="s">
        <v>3646</v>
      </c>
      <c r="F2966" s="84">
        <v>690.0</v>
      </c>
      <c r="G2966" s="81" t="s">
        <v>43</v>
      </c>
      <c r="H2966" s="81" t="s">
        <v>49</v>
      </c>
      <c r="I2966" s="81" t="s">
        <v>224</v>
      </c>
      <c r="J2966" s="81" t="s">
        <v>5143</v>
      </c>
    </row>
    <row r="2967" hidden="1">
      <c r="A2967" s="83" t="s">
        <v>6317</v>
      </c>
      <c r="B2967" s="83" t="s">
        <v>6318</v>
      </c>
      <c r="C2967" s="81" t="s">
        <v>4086</v>
      </c>
      <c r="D2967" s="83" t="s">
        <v>4760</v>
      </c>
      <c r="E2967" s="81" t="s">
        <v>3649</v>
      </c>
      <c r="F2967" s="84">
        <v>691.0</v>
      </c>
      <c r="G2967" s="81" t="s">
        <v>40</v>
      </c>
      <c r="H2967" s="81" t="s">
        <v>49</v>
      </c>
      <c r="I2967" s="81" t="s">
        <v>6178</v>
      </c>
      <c r="J2967" s="81" t="s">
        <v>224</v>
      </c>
    </row>
    <row r="2968" hidden="1">
      <c r="A2968" s="83" t="s">
        <v>6317</v>
      </c>
      <c r="B2968" s="83" t="s">
        <v>6318</v>
      </c>
      <c r="C2968" s="81" t="s">
        <v>5141</v>
      </c>
      <c r="D2968" s="83" t="s">
        <v>4760</v>
      </c>
      <c r="E2968" s="81" t="s">
        <v>3649</v>
      </c>
      <c r="F2968" s="84">
        <v>691.0</v>
      </c>
      <c r="G2968" s="81" t="s">
        <v>43</v>
      </c>
      <c r="H2968" s="81" t="s">
        <v>3632</v>
      </c>
      <c r="I2968" s="81" t="s">
        <v>224</v>
      </c>
      <c r="J2968" s="81" t="s">
        <v>5143</v>
      </c>
    </row>
    <row r="2969" hidden="1">
      <c r="A2969" s="83" t="s">
        <v>6317</v>
      </c>
      <c r="B2969" s="83" t="s">
        <v>6318</v>
      </c>
      <c r="C2969" s="81" t="s">
        <v>4086</v>
      </c>
      <c r="D2969" s="83" t="s">
        <v>4760</v>
      </c>
      <c r="E2969" s="81" t="s">
        <v>3652</v>
      </c>
      <c r="F2969" s="84">
        <v>692.0</v>
      </c>
      <c r="G2969" s="81" t="s">
        <v>39</v>
      </c>
      <c r="H2969" s="81" t="s">
        <v>6179</v>
      </c>
      <c r="I2969" s="81" t="s">
        <v>3650</v>
      </c>
      <c r="J2969" s="81" t="s">
        <v>224</v>
      </c>
    </row>
    <row r="2970" hidden="1">
      <c r="A2970" s="83" t="s">
        <v>6317</v>
      </c>
      <c r="B2970" s="83" t="s">
        <v>6318</v>
      </c>
      <c r="C2970" s="81" t="s">
        <v>4086</v>
      </c>
      <c r="D2970" s="83" t="s">
        <v>4760</v>
      </c>
      <c r="E2970" s="81" t="s">
        <v>3652</v>
      </c>
      <c r="F2970" s="84">
        <v>692.0</v>
      </c>
      <c r="G2970" s="81" t="s">
        <v>40</v>
      </c>
      <c r="H2970" s="81" t="s">
        <v>6180</v>
      </c>
      <c r="I2970" s="81" t="s">
        <v>6178</v>
      </c>
      <c r="J2970" s="81" t="s">
        <v>224</v>
      </c>
    </row>
    <row r="2971" hidden="1">
      <c r="A2971" s="83" t="s">
        <v>6317</v>
      </c>
      <c r="B2971" s="83" t="s">
        <v>6318</v>
      </c>
      <c r="C2971" s="81" t="s">
        <v>5141</v>
      </c>
      <c r="D2971" s="83" t="s">
        <v>4760</v>
      </c>
      <c r="E2971" s="81" t="s">
        <v>3652</v>
      </c>
      <c r="F2971" s="84">
        <v>692.0</v>
      </c>
      <c r="G2971" s="81" t="s">
        <v>43</v>
      </c>
      <c r="H2971" s="81" t="s">
        <v>3632</v>
      </c>
      <c r="I2971" s="81" t="s">
        <v>224</v>
      </c>
      <c r="J2971" s="81" t="s">
        <v>5143</v>
      </c>
    </row>
    <row r="2972" hidden="1">
      <c r="A2972" s="83" t="s">
        <v>6317</v>
      </c>
      <c r="B2972" s="83" t="s">
        <v>6318</v>
      </c>
      <c r="C2972" s="81" t="s">
        <v>4086</v>
      </c>
      <c r="D2972" s="83" t="s">
        <v>4761</v>
      </c>
      <c r="E2972" s="81" t="s">
        <v>3653</v>
      </c>
      <c r="F2972" s="84">
        <v>693.0</v>
      </c>
      <c r="G2972" s="81" t="s">
        <v>40</v>
      </c>
      <c r="H2972" s="81" t="s">
        <v>6181</v>
      </c>
      <c r="I2972" s="81" t="s">
        <v>6182</v>
      </c>
      <c r="J2972" s="81" t="s">
        <v>224</v>
      </c>
    </row>
    <row r="2973" hidden="1">
      <c r="A2973" s="83" t="s">
        <v>6317</v>
      </c>
      <c r="B2973" s="83" t="s">
        <v>6318</v>
      </c>
      <c r="C2973" s="81" t="s">
        <v>5141</v>
      </c>
      <c r="D2973" s="83" t="s">
        <v>4761</v>
      </c>
      <c r="E2973" s="81" t="s">
        <v>3653</v>
      </c>
      <c r="F2973" s="84">
        <v>693.0</v>
      </c>
      <c r="G2973" s="81" t="s">
        <v>43</v>
      </c>
      <c r="H2973" s="81" t="s">
        <v>3632</v>
      </c>
      <c r="I2973" s="81" t="s">
        <v>224</v>
      </c>
      <c r="J2973" s="81" t="s">
        <v>5143</v>
      </c>
    </row>
    <row r="2974" hidden="1">
      <c r="A2974" s="83" t="s">
        <v>6317</v>
      </c>
      <c r="B2974" s="83" t="s">
        <v>6318</v>
      </c>
      <c r="C2974" s="81" t="s">
        <v>4086</v>
      </c>
      <c r="D2974" s="83" t="s">
        <v>4762</v>
      </c>
      <c r="E2974" s="81" t="s">
        <v>3656</v>
      </c>
      <c r="F2974" s="84">
        <v>694.0</v>
      </c>
      <c r="G2974" s="81" t="s">
        <v>40</v>
      </c>
      <c r="H2974" s="81" t="s">
        <v>49</v>
      </c>
      <c r="I2974" s="81" t="s">
        <v>3658</v>
      </c>
      <c r="J2974" s="81" t="s">
        <v>224</v>
      </c>
    </row>
    <row r="2975" hidden="1">
      <c r="A2975" s="83" t="s">
        <v>6317</v>
      </c>
      <c r="B2975" s="83" t="s">
        <v>6318</v>
      </c>
      <c r="C2975" s="81" t="s">
        <v>5141</v>
      </c>
      <c r="D2975" s="83" t="s">
        <v>4762</v>
      </c>
      <c r="E2975" s="81" t="s">
        <v>3656</v>
      </c>
      <c r="F2975" s="84">
        <v>694.0</v>
      </c>
      <c r="G2975" s="81" t="s">
        <v>43</v>
      </c>
      <c r="H2975" s="81" t="s">
        <v>49</v>
      </c>
      <c r="I2975" s="81" t="s">
        <v>224</v>
      </c>
      <c r="J2975" s="81" t="s">
        <v>5143</v>
      </c>
    </row>
    <row r="2976" hidden="1">
      <c r="A2976" s="83" t="s">
        <v>6317</v>
      </c>
      <c r="B2976" s="83" t="s">
        <v>6318</v>
      </c>
      <c r="C2976" s="81" t="s">
        <v>4086</v>
      </c>
      <c r="D2976" s="83" t="s">
        <v>4763</v>
      </c>
      <c r="E2976" s="81" t="s">
        <v>3659</v>
      </c>
      <c r="F2976" s="84">
        <v>695.0</v>
      </c>
      <c r="G2976" s="81" t="s">
        <v>40</v>
      </c>
      <c r="H2976" s="81" t="s">
        <v>3660</v>
      </c>
      <c r="I2976" s="81" t="s">
        <v>3661</v>
      </c>
      <c r="J2976" s="81" t="s">
        <v>224</v>
      </c>
    </row>
    <row r="2977" hidden="1">
      <c r="A2977" s="83" t="s">
        <v>6317</v>
      </c>
      <c r="B2977" s="83" t="s">
        <v>6318</v>
      </c>
      <c r="C2977" s="81" t="s">
        <v>5141</v>
      </c>
      <c r="D2977" s="83" t="s">
        <v>4763</v>
      </c>
      <c r="E2977" s="81" t="s">
        <v>3659</v>
      </c>
      <c r="F2977" s="84">
        <v>695.0</v>
      </c>
      <c r="G2977" s="81" t="s">
        <v>43</v>
      </c>
      <c r="H2977" s="81" t="s">
        <v>49</v>
      </c>
      <c r="I2977" s="81" t="s">
        <v>224</v>
      </c>
      <c r="J2977" s="81" t="s">
        <v>5143</v>
      </c>
    </row>
    <row r="2978" hidden="1">
      <c r="A2978" s="83" t="s">
        <v>6317</v>
      </c>
      <c r="B2978" s="83" t="s">
        <v>6318</v>
      </c>
      <c r="C2978" s="81" t="s">
        <v>4086</v>
      </c>
      <c r="D2978" s="83" t="s">
        <v>4764</v>
      </c>
      <c r="E2978" s="81" t="s">
        <v>3662</v>
      </c>
      <c r="F2978" s="84">
        <v>696.0</v>
      </c>
      <c r="G2978" s="81" t="s">
        <v>40</v>
      </c>
      <c r="H2978" s="81" t="s">
        <v>6183</v>
      </c>
      <c r="I2978" s="81" t="s">
        <v>6184</v>
      </c>
      <c r="J2978" s="81" t="s">
        <v>224</v>
      </c>
    </row>
    <row r="2979" hidden="1">
      <c r="A2979" s="83" t="s">
        <v>6317</v>
      </c>
      <c r="B2979" s="83" t="s">
        <v>6318</v>
      </c>
      <c r="C2979" s="81" t="s">
        <v>5141</v>
      </c>
      <c r="D2979" s="83" t="s">
        <v>4764</v>
      </c>
      <c r="E2979" s="81" t="s">
        <v>3662</v>
      </c>
      <c r="F2979" s="84">
        <v>696.0</v>
      </c>
      <c r="G2979" s="81" t="s">
        <v>43</v>
      </c>
      <c r="H2979" s="81" t="s">
        <v>3671</v>
      </c>
      <c r="I2979" s="81" t="s">
        <v>224</v>
      </c>
      <c r="J2979" s="81" t="s">
        <v>5143</v>
      </c>
    </row>
    <row r="2980" hidden="1">
      <c r="A2980" s="83" t="s">
        <v>6317</v>
      </c>
      <c r="B2980" s="83" t="s">
        <v>6318</v>
      </c>
      <c r="C2980" s="81" t="s">
        <v>4086</v>
      </c>
      <c r="D2980" s="83" t="s">
        <v>4764</v>
      </c>
      <c r="E2980" s="81" t="s">
        <v>3672</v>
      </c>
      <c r="F2980" s="84">
        <v>697.0</v>
      </c>
      <c r="G2980" s="81" t="s">
        <v>40</v>
      </c>
      <c r="H2980" s="81" t="s">
        <v>6183</v>
      </c>
      <c r="I2980" s="81" t="s">
        <v>6184</v>
      </c>
      <c r="J2980" s="81" t="s">
        <v>224</v>
      </c>
    </row>
    <row r="2981" hidden="1">
      <c r="A2981" s="83" t="s">
        <v>6317</v>
      </c>
      <c r="B2981" s="83" t="s">
        <v>6318</v>
      </c>
      <c r="C2981" s="81" t="s">
        <v>5141</v>
      </c>
      <c r="D2981" s="83" t="s">
        <v>4764</v>
      </c>
      <c r="E2981" s="81" t="s">
        <v>3672</v>
      </c>
      <c r="F2981" s="84">
        <v>697.0</v>
      </c>
      <c r="G2981" s="81" t="s">
        <v>43</v>
      </c>
      <c r="H2981" s="81" t="s">
        <v>3671</v>
      </c>
      <c r="I2981" s="81" t="s">
        <v>224</v>
      </c>
      <c r="J2981" s="81" t="s">
        <v>5143</v>
      </c>
    </row>
    <row r="2982" hidden="1">
      <c r="A2982" s="83" t="s">
        <v>6317</v>
      </c>
      <c r="B2982" s="83" t="s">
        <v>6318</v>
      </c>
      <c r="C2982" s="81" t="s">
        <v>4086</v>
      </c>
      <c r="D2982" s="83" t="s">
        <v>4765</v>
      </c>
      <c r="E2982" s="81" t="s">
        <v>3673</v>
      </c>
      <c r="F2982" s="84">
        <v>698.0</v>
      </c>
      <c r="G2982" s="81" t="s">
        <v>40</v>
      </c>
      <c r="H2982" s="81" t="s">
        <v>6185</v>
      </c>
      <c r="I2982" s="81" t="s">
        <v>6186</v>
      </c>
      <c r="J2982" s="81" t="s">
        <v>224</v>
      </c>
    </row>
    <row r="2983" hidden="1">
      <c r="A2983" s="83" t="s">
        <v>6317</v>
      </c>
      <c r="B2983" s="83" t="s">
        <v>6318</v>
      </c>
      <c r="C2983" s="81" t="s">
        <v>5141</v>
      </c>
      <c r="D2983" s="83" t="s">
        <v>4765</v>
      </c>
      <c r="E2983" s="81" t="s">
        <v>3673</v>
      </c>
      <c r="F2983" s="84">
        <v>698.0</v>
      </c>
      <c r="G2983" s="81" t="s">
        <v>43</v>
      </c>
      <c r="H2983" s="81" t="s">
        <v>3671</v>
      </c>
      <c r="I2983" s="81" t="s">
        <v>224</v>
      </c>
      <c r="J2983" s="81" t="s">
        <v>5143</v>
      </c>
    </row>
    <row r="2984" hidden="1">
      <c r="A2984" s="83" t="s">
        <v>6317</v>
      </c>
      <c r="B2984" s="83" t="s">
        <v>6318</v>
      </c>
      <c r="C2984" s="81" t="s">
        <v>4086</v>
      </c>
      <c r="D2984" s="83" t="s">
        <v>4766</v>
      </c>
      <c r="E2984" s="81" t="s">
        <v>3676</v>
      </c>
      <c r="F2984" s="84">
        <v>699.0</v>
      </c>
      <c r="G2984" s="81" t="s">
        <v>40</v>
      </c>
      <c r="H2984" s="81" t="s">
        <v>6187</v>
      </c>
      <c r="I2984" s="81" t="s">
        <v>6188</v>
      </c>
      <c r="J2984" s="81" t="s">
        <v>224</v>
      </c>
    </row>
    <row r="2985" hidden="1">
      <c r="A2985" s="83" t="s">
        <v>6317</v>
      </c>
      <c r="B2985" s="83" t="s">
        <v>6318</v>
      </c>
      <c r="C2985" s="81" t="s">
        <v>5141</v>
      </c>
      <c r="D2985" s="83" t="s">
        <v>4766</v>
      </c>
      <c r="E2985" s="81" t="s">
        <v>3676</v>
      </c>
      <c r="F2985" s="84">
        <v>699.0</v>
      </c>
      <c r="G2985" s="81" t="s">
        <v>43</v>
      </c>
      <c r="H2985" s="81" t="s">
        <v>3671</v>
      </c>
      <c r="I2985" s="81" t="s">
        <v>224</v>
      </c>
      <c r="J2985" s="81" t="s">
        <v>5143</v>
      </c>
    </row>
    <row r="2986" hidden="1">
      <c r="A2986" s="83" t="s">
        <v>6317</v>
      </c>
      <c r="B2986" s="83" t="s">
        <v>6318</v>
      </c>
      <c r="C2986" s="81" t="s">
        <v>4086</v>
      </c>
      <c r="D2986" s="83" t="s">
        <v>4767</v>
      </c>
      <c r="E2986" s="81" t="s">
        <v>3679</v>
      </c>
      <c r="F2986" s="84">
        <v>700.0</v>
      </c>
      <c r="G2986" s="81" t="s">
        <v>39</v>
      </c>
      <c r="H2986" s="81" t="s">
        <v>6189</v>
      </c>
      <c r="I2986" s="81" t="s">
        <v>3680</v>
      </c>
      <c r="J2986" s="81" t="s">
        <v>224</v>
      </c>
    </row>
    <row r="2987" hidden="1">
      <c r="A2987" s="83" t="s">
        <v>6317</v>
      </c>
      <c r="B2987" s="83" t="s">
        <v>6318</v>
      </c>
      <c r="C2987" s="81" t="s">
        <v>4086</v>
      </c>
      <c r="D2987" s="83" t="s">
        <v>4767</v>
      </c>
      <c r="E2987" s="81" t="s">
        <v>3679</v>
      </c>
      <c r="F2987" s="84">
        <v>700.0</v>
      </c>
      <c r="G2987" s="81" t="s">
        <v>40</v>
      </c>
      <c r="H2987" s="81" t="s">
        <v>6190</v>
      </c>
      <c r="I2987" s="81" t="s">
        <v>6191</v>
      </c>
      <c r="J2987" s="81" t="s">
        <v>224</v>
      </c>
    </row>
    <row r="2988" hidden="1">
      <c r="A2988" s="83" t="s">
        <v>6317</v>
      </c>
      <c r="B2988" s="83" t="s">
        <v>6318</v>
      </c>
      <c r="C2988" s="81" t="s">
        <v>5141</v>
      </c>
      <c r="D2988" s="83" t="s">
        <v>4767</v>
      </c>
      <c r="E2988" s="81" t="s">
        <v>3679</v>
      </c>
      <c r="F2988" s="84">
        <v>700.0</v>
      </c>
      <c r="G2988" s="81" t="s">
        <v>43</v>
      </c>
      <c r="H2988" s="81" t="s">
        <v>49</v>
      </c>
      <c r="I2988" s="81" t="s">
        <v>224</v>
      </c>
      <c r="J2988" s="81" t="s">
        <v>5143</v>
      </c>
    </row>
    <row r="2989" hidden="1">
      <c r="A2989" s="83" t="s">
        <v>6317</v>
      </c>
      <c r="B2989" s="83" t="s">
        <v>6318</v>
      </c>
      <c r="C2989" s="81" t="s">
        <v>4086</v>
      </c>
      <c r="D2989" s="83" t="s">
        <v>4768</v>
      </c>
      <c r="E2989" s="81" t="s">
        <v>3682</v>
      </c>
      <c r="F2989" s="84">
        <v>701.0</v>
      </c>
      <c r="G2989" s="81" t="s">
        <v>40</v>
      </c>
      <c r="H2989" s="81" t="s">
        <v>49</v>
      </c>
      <c r="I2989" s="81" t="s">
        <v>3684</v>
      </c>
      <c r="J2989" s="81" t="s">
        <v>224</v>
      </c>
    </row>
    <row r="2990" hidden="1">
      <c r="A2990" s="83" t="s">
        <v>6317</v>
      </c>
      <c r="B2990" s="83" t="s">
        <v>6318</v>
      </c>
      <c r="C2990" s="81" t="s">
        <v>5141</v>
      </c>
      <c r="D2990" s="83" t="s">
        <v>4768</v>
      </c>
      <c r="E2990" s="81" t="s">
        <v>3682</v>
      </c>
      <c r="F2990" s="84">
        <v>701.0</v>
      </c>
      <c r="G2990" s="81" t="s">
        <v>43</v>
      </c>
      <c r="H2990" s="81" t="s">
        <v>49</v>
      </c>
      <c r="I2990" s="81" t="s">
        <v>224</v>
      </c>
      <c r="J2990" s="81" t="s">
        <v>5143</v>
      </c>
    </row>
    <row r="2991" hidden="1">
      <c r="A2991" s="83" t="s">
        <v>6317</v>
      </c>
      <c r="B2991" s="83" t="s">
        <v>6318</v>
      </c>
      <c r="C2991" s="81" t="s">
        <v>4086</v>
      </c>
      <c r="D2991" s="83" t="s">
        <v>4769</v>
      </c>
      <c r="E2991" s="81" t="s">
        <v>3685</v>
      </c>
      <c r="F2991" s="84">
        <v>702.0</v>
      </c>
      <c r="G2991" s="81" t="s">
        <v>40</v>
      </c>
      <c r="H2991" s="81" t="s">
        <v>49</v>
      </c>
      <c r="I2991" s="81" t="s">
        <v>3687</v>
      </c>
      <c r="J2991" s="81" t="s">
        <v>224</v>
      </c>
    </row>
    <row r="2992" hidden="1">
      <c r="A2992" s="83" t="s">
        <v>6317</v>
      </c>
      <c r="B2992" s="83" t="s">
        <v>6318</v>
      </c>
      <c r="C2992" s="81" t="s">
        <v>5141</v>
      </c>
      <c r="D2992" s="83" t="s">
        <v>4769</v>
      </c>
      <c r="E2992" s="81" t="s">
        <v>3685</v>
      </c>
      <c r="F2992" s="84">
        <v>702.0</v>
      </c>
      <c r="G2992" s="81" t="s">
        <v>43</v>
      </c>
      <c r="H2992" s="81" t="s">
        <v>49</v>
      </c>
      <c r="I2992" s="81" t="s">
        <v>224</v>
      </c>
      <c r="J2992" s="81" t="s">
        <v>5143</v>
      </c>
    </row>
    <row r="2993" hidden="1">
      <c r="A2993" s="83" t="s">
        <v>6317</v>
      </c>
      <c r="B2993" s="83" t="s">
        <v>6318</v>
      </c>
      <c r="C2993" s="81" t="s">
        <v>4086</v>
      </c>
      <c r="D2993" s="83" t="s">
        <v>4770</v>
      </c>
      <c r="E2993" s="81" t="s">
        <v>3688</v>
      </c>
      <c r="F2993" s="84">
        <v>703.0</v>
      </c>
      <c r="G2993" s="81" t="s">
        <v>39</v>
      </c>
      <c r="H2993" s="81" t="s">
        <v>6192</v>
      </c>
      <c r="I2993" s="81" t="s">
        <v>3693</v>
      </c>
      <c r="J2993" s="81" t="s">
        <v>224</v>
      </c>
    </row>
    <row r="2994" hidden="1">
      <c r="A2994" s="83" t="s">
        <v>6317</v>
      </c>
      <c r="B2994" s="83" t="s">
        <v>6318</v>
      </c>
      <c r="C2994" s="81" t="s">
        <v>4086</v>
      </c>
      <c r="D2994" s="83" t="s">
        <v>4770</v>
      </c>
      <c r="E2994" s="81" t="s">
        <v>3688</v>
      </c>
      <c r="F2994" s="84">
        <v>703.0</v>
      </c>
      <c r="G2994" s="81" t="s">
        <v>40</v>
      </c>
      <c r="H2994" s="81" t="s">
        <v>6193</v>
      </c>
      <c r="I2994" s="81" t="s">
        <v>6194</v>
      </c>
      <c r="J2994" s="81" t="s">
        <v>224</v>
      </c>
    </row>
    <row r="2995" hidden="1">
      <c r="A2995" s="83" t="s">
        <v>6317</v>
      </c>
      <c r="B2995" s="83" t="s">
        <v>6318</v>
      </c>
      <c r="C2995" s="81" t="s">
        <v>5141</v>
      </c>
      <c r="D2995" s="83" t="s">
        <v>4770</v>
      </c>
      <c r="E2995" s="81" t="s">
        <v>3688</v>
      </c>
      <c r="F2995" s="84">
        <v>703.0</v>
      </c>
      <c r="G2995" s="81" t="s">
        <v>43</v>
      </c>
      <c r="H2995" s="81" t="s">
        <v>6195</v>
      </c>
      <c r="I2995" s="81" t="s">
        <v>224</v>
      </c>
      <c r="J2995" s="81" t="s">
        <v>5143</v>
      </c>
    </row>
    <row r="2996" hidden="1">
      <c r="A2996" s="83" t="s">
        <v>6317</v>
      </c>
      <c r="B2996" s="83" t="s">
        <v>6318</v>
      </c>
      <c r="C2996" s="81" t="s">
        <v>4086</v>
      </c>
      <c r="D2996" s="83" t="s">
        <v>4770</v>
      </c>
      <c r="E2996" s="81" t="s">
        <v>3697</v>
      </c>
      <c r="F2996" s="84">
        <v>704.0</v>
      </c>
      <c r="G2996" s="81" t="s">
        <v>39</v>
      </c>
      <c r="H2996" s="81" t="s">
        <v>6192</v>
      </c>
      <c r="I2996" s="81" t="s">
        <v>3693</v>
      </c>
      <c r="J2996" s="81" t="s">
        <v>224</v>
      </c>
    </row>
    <row r="2997" hidden="1">
      <c r="A2997" s="83" t="s">
        <v>6317</v>
      </c>
      <c r="B2997" s="83" t="s">
        <v>6318</v>
      </c>
      <c r="C2997" s="81" t="s">
        <v>4086</v>
      </c>
      <c r="D2997" s="83" t="s">
        <v>4770</v>
      </c>
      <c r="E2997" s="81" t="s">
        <v>3697</v>
      </c>
      <c r="F2997" s="84">
        <v>704.0</v>
      </c>
      <c r="G2997" s="81" t="s">
        <v>40</v>
      </c>
      <c r="H2997" s="81" t="s">
        <v>6193</v>
      </c>
      <c r="I2997" s="81" t="s">
        <v>6194</v>
      </c>
      <c r="J2997" s="81" t="s">
        <v>224</v>
      </c>
    </row>
    <row r="2998" hidden="1">
      <c r="A2998" s="83" t="s">
        <v>6317</v>
      </c>
      <c r="B2998" s="83" t="s">
        <v>6318</v>
      </c>
      <c r="C2998" s="81" t="s">
        <v>5141</v>
      </c>
      <c r="D2998" s="83" t="s">
        <v>4770</v>
      </c>
      <c r="E2998" s="81" t="s">
        <v>3697</v>
      </c>
      <c r="F2998" s="84">
        <v>704.0</v>
      </c>
      <c r="G2998" s="81" t="s">
        <v>43</v>
      </c>
      <c r="H2998" s="81" t="s">
        <v>6195</v>
      </c>
      <c r="I2998" s="81" t="s">
        <v>224</v>
      </c>
      <c r="J2998" s="81" t="s">
        <v>5143</v>
      </c>
    </row>
    <row r="2999" hidden="1">
      <c r="A2999" s="83" t="s">
        <v>6317</v>
      </c>
      <c r="B2999" s="83" t="s">
        <v>6318</v>
      </c>
      <c r="C2999" s="81" t="s">
        <v>4086</v>
      </c>
      <c r="D2999" s="83" t="s">
        <v>4771</v>
      </c>
      <c r="E2999" s="81" t="s">
        <v>3698</v>
      </c>
      <c r="F2999" s="84">
        <v>705.0</v>
      </c>
      <c r="G2999" s="81" t="s">
        <v>39</v>
      </c>
      <c r="H2999" s="81" t="s">
        <v>6196</v>
      </c>
      <c r="I2999" s="81" t="s">
        <v>3699</v>
      </c>
      <c r="J2999" s="81" t="s">
        <v>224</v>
      </c>
    </row>
    <row r="3000" hidden="1">
      <c r="A3000" s="83" t="s">
        <v>6317</v>
      </c>
      <c r="B3000" s="83" t="s">
        <v>6318</v>
      </c>
      <c r="C3000" s="81" t="s">
        <v>4086</v>
      </c>
      <c r="D3000" s="83" t="s">
        <v>4771</v>
      </c>
      <c r="E3000" s="81" t="s">
        <v>3698</v>
      </c>
      <c r="F3000" s="84">
        <v>705.0</v>
      </c>
      <c r="G3000" s="81" t="s">
        <v>40</v>
      </c>
      <c r="H3000" s="81" t="s">
        <v>6197</v>
      </c>
      <c r="I3000" s="81" t="s">
        <v>6198</v>
      </c>
      <c r="J3000" s="81" t="s">
        <v>224</v>
      </c>
    </row>
    <row r="3001" hidden="1">
      <c r="A3001" s="83" t="s">
        <v>6317</v>
      </c>
      <c r="B3001" s="83" t="s">
        <v>6318</v>
      </c>
      <c r="C3001" s="81" t="s">
        <v>5141</v>
      </c>
      <c r="D3001" s="83" t="s">
        <v>4771</v>
      </c>
      <c r="E3001" s="81" t="s">
        <v>3698</v>
      </c>
      <c r="F3001" s="84">
        <v>705.0</v>
      </c>
      <c r="G3001" s="81" t="s">
        <v>43</v>
      </c>
      <c r="H3001" s="81" t="s">
        <v>6195</v>
      </c>
      <c r="I3001" s="81" t="s">
        <v>224</v>
      </c>
      <c r="J3001" s="81" t="s">
        <v>5143</v>
      </c>
    </row>
    <row r="3002" hidden="1">
      <c r="A3002" s="83" t="s">
        <v>6317</v>
      </c>
      <c r="B3002" s="83" t="s">
        <v>6318</v>
      </c>
      <c r="C3002" s="81" t="s">
        <v>4086</v>
      </c>
      <c r="D3002" s="83" t="s">
        <v>4772</v>
      </c>
      <c r="E3002" s="81" t="s">
        <v>3701</v>
      </c>
      <c r="F3002" s="84">
        <v>706.0</v>
      </c>
      <c r="G3002" s="81" t="s">
        <v>39</v>
      </c>
      <c r="H3002" s="81" t="s">
        <v>6199</v>
      </c>
      <c r="I3002" s="81" t="s">
        <v>3702</v>
      </c>
      <c r="J3002" s="81" t="s">
        <v>224</v>
      </c>
    </row>
    <row r="3003" hidden="1">
      <c r="A3003" s="83" t="s">
        <v>6317</v>
      </c>
      <c r="B3003" s="83" t="s">
        <v>6318</v>
      </c>
      <c r="C3003" s="81" t="s">
        <v>4086</v>
      </c>
      <c r="D3003" s="83" t="s">
        <v>4772</v>
      </c>
      <c r="E3003" s="81" t="s">
        <v>3701</v>
      </c>
      <c r="F3003" s="84">
        <v>706.0</v>
      </c>
      <c r="G3003" s="81" t="s">
        <v>40</v>
      </c>
      <c r="H3003" s="81" t="s">
        <v>6200</v>
      </c>
      <c r="I3003" s="81" t="s">
        <v>6201</v>
      </c>
      <c r="J3003" s="81" t="s">
        <v>224</v>
      </c>
    </row>
    <row r="3004" hidden="1">
      <c r="A3004" s="83" t="s">
        <v>6317</v>
      </c>
      <c r="B3004" s="83" t="s">
        <v>6318</v>
      </c>
      <c r="C3004" s="81" t="s">
        <v>5141</v>
      </c>
      <c r="D3004" s="83" t="s">
        <v>4772</v>
      </c>
      <c r="E3004" s="81" t="s">
        <v>3701</v>
      </c>
      <c r="F3004" s="84">
        <v>706.0</v>
      </c>
      <c r="G3004" s="81" t="s">
        <v>43</v>
      </c>
      <c r="H3004" s="81" t="s">
        <v>6195</v>
      </c>
      <c r="I3004" s="81" t="s">
        <v>224</v>
      </c>
      <c r="J3004" s="81" t="s">
        <v>5143</v>
      </c>
    </row>
    <row r="3005" hidden="1">
      <c r="A3005" s="83" t="s">
        <v>6317</v>
      </c>
      <c r="B3005" s="83" t="s">
        <v>6318</v>
      </c>
      <c r="C3005" s="81" t="s">
        <v>4086</v>
      </c>
      <c r="D3005" s="83" t="s">
        <v>4773</v>
      </c>
      <c r="E3005" s="81" t="s">
        <v>3704</v>
      </c>
      <c r="F3005" s="84">
        <v>707.0</v>
      </c>
      <c r="G3005" s="81" t="s">
        <v>39</v>
      </c>
      <c r="H3005" s="81" t="s">
        <v>6202</v>
      </c>
      <c r="I3005" s="81" t="s">
        <v>3705</v>
      </c>
      <c r="J3005" s="81" t="s">
        <v>224</v>
      </c>
    </row>
    <row r="3006" hidden="1">
      <c r="A3006" s="83" t="s">
        <v>6317</v>
      </c>
      <c r="B3006" s="83" t="s">
        <v>6318</v>
      </c>
      <c r="C3006" s="81" t="s">
        <v>4086</v>
      </c>
      <c r="D3006" s="83" t="s">
        <v>4773</v>
      </c>
      <c r="E3006" s="81" t="s">
        <v>3704</v>
      </c>
      <c r="F3006" s="84">
        <v>707.0</v>
      </c>
      <c r="G3006" s="81" t="s">
        <v>40</v>
      </c>
      <c r="H3006" s="81" t="s">
        <v>6203</v>
      </c>
      <c r="I3006" s="81" t="s">
        <v>6204</v>
      </c>
      <c r="J3006" s="81" t="s">
        <v>224</v>
      </c>
    </row>
    <row r="3007" hidden="1">
      <c r="A3007" s="83" t="s">
        <v>6317</v>
      </c>
      <c r="B3007" s="83" t="s">
        <v>6318</v>
      </c>
      <c r="C3007" s="81" t="s">
        <v>5141</v>
      </c>
      <c r="D3007" s="83" t="s">
        <v>4773</v>
      </c>
      <c r="E3007" s="81" t="s">
        <v>3704</v>
      </c>
      <c r="F3007" s="84">
        <v>707.0</v>
      </c>
      <c r="G3007" s="81" t="s">
        <v>43</v>
      </c>
      <c r="H3007" s="81" t="s">
        <v>49</v>
      </c>
      <c r="I3007" s="81" t="s">
        <v>224</v>
      </c>
      <c r="J3007" s="81" t="s">
        <v>5143</v>
      </c>
    </row>
    <row r="3008" hidden="1">
      <c r="A3008" s="83" t="s">
        <v>6317</v>
      </c>
      <c r="B3008" s="83" t="s">
        <v>6318</v>
      </c>
      <c r="C3008" s="81" t="s">
        <v>4086</v>
      </c>
      <c r="D3008" s="83" t="s">
        <v>4774</v>
      </c>
      <c r="E3008" s="81" t="s">
        <v>3707</v>
      </c>
      <c r="F3008" s="84">
        <v>708.0</v>
      </c>
      <c r="G3008" s="81" t="s">
        <v>40</v>
      </c>
      <c r="H3008" s="81" t="s">
        <v>49</v>
      </c>
      <c r="I3008" s="81" t="s">
        <v>3709</v>
      </c>
      <c r="J3008" s="81" t="s">
        <v>224</v>
      </c>
    </row>
    <row r="3009" hidden="1">
      <c r="A3009" s="83" t="s">
        <v>6317</v>
      </c>
      <c r="B3009" s="83" t="s">
        <v>6318</v>
      </c>
      <c r="C3009" s="81" t="s">
        <v>5141</v>
      </c>
      <c r="D3009" s="83" t="s">
        <v>4774</v>
      </c>
      <c r="E3009" s="81" t="s">
        <v>3707</v>
      </c>
      <c r="F3009" s="84">
        <v>708.0</v>
      </c>
      <c r="G3009" s="81" t="s">
        <v>43</v>
      </c>
      <c r="H3009" s="81" t="s">
        <v>49</v>
      </c>
      <c r="I3009" s="81" t="s">
        <v>224</v>
      </c>
      <c r="J3009" s="81" t="s">
        <v>5143</v>
      </c>
    </row>
    <row r="3010" hidden="1">
      <c r="A3010" s="83" t="s">
        <v>6317</v>
      </c>
      <c r="B3010" s="83" t="s">
        <v>6318</v>
      </c>
      <c r="C3010" s="81" t="s">
        <v>4086</v>
      </c>
      <c r="D3010" s="83" t="s">
        <v>4775</v>
      </c>
      <c r="E3010" s="81" t="s">
        <v>3710</v>
      </c>
      <c r="F3010" s="84">
        <v>709.0</v>
      </c>
      <c r="G3010" s="81" t="s">
        <v>40</v>
      </c>
      <c r="H3010" s="81" t="s">
        <v>49</v>
      </c>
      <c r="I3010" s="81" t="s">
        <v>3712</v>
      </c>
      <c r="J3010" s="81" t="s">
        <v>224</v>
      </c>
    </row>
    <row r="3011" hidden="1">
      <c r="A3011" s="83" t="s">
        <v>6317</v>
      </c>
      <c r="B3011" s="83" t="s">
        <v>6318</v>
      </c>
      <c r="C3011" s="81" t="s">
        <v>5141</v>
      </c>
      <c r="D3011" s="83" t="s">
        <v>4775</v>
      </c>
      <c r="E3011" s="81" t="s">
        <v>3710</v>
      </c>
      <c r="F3011" s="84">
        <v>709.0</v>
      </c>
      <c r="G3011" s="81" t="s">
        <v>43</v>
      </c>
      <c r="H3011" s="81" t="s">
        <v>49</v>
      </c>
      <c r="I3011" s="81" t="s">
        <v>224</v>
      </c>
      <c r="J3011" s="81" t="s">
        <v>5143</v>
      </c>
    </row>
    <row r="3012" hidden="1">
      <c r="A3012" s="83" t="s">
        <v>6317</v>
      </c>
      <c r="B3012" s="83" t="s">
        <v>6318</v>
      </c>
      <c r="C3012" s="81" t="s">
        <v>4086</v>
      </c>
      <c r="D3012" s="83" t="s">
        <v>4776</v>
      </c>
      <c r="E3012" s="81" t="s">
        <v>3713</v>
      </c>
      <c r="F3012" s="84">
        <v>710.0</v>
      </c>
      <c r="G3012" s="81" t="s">
        <v>39</v>
      </c>
      <c r="H3012" s="81" t="s">
        <v>6205</v>
      </c>
      <c r="I3012" s="81" t="s">
        <v>3714</v>
      </c>
      <c r="J3012" s="81" t="s">
        <v>224</v>
      </c>
    </row>
    <row r="3013" hidden="1">
      <c r="A3013" s="83" t="s">
        <v>6317</v>
      </c>
      <c r="B3013" s="83" t="s">
        <v>6318</v>
      </c>
      <c r="C3013" s="81" t="s">
        <v>4086</v>
      </c>
      <c r="D3013" s="83" t="s">
        <v>4776</v>
      </c>
      <c r="E3013" s="81" t="s">
        <v>3713</v>
      </c>
      <c r="F3013" s="84">
        <v>710.0</v>
      </c>
      <c r="G3013" s="81" t="s">
        <v>40</v>
      </c>
      <c r="H3013" s="81" t="s">
        <v>6206</v>
      </c>
      <c r="I3013" s="81" t="s">
        <v>6207</v>
      </c>
      <c r="J3013" s="81" t="s">
        <v>224</v>
      </c>
    </row>
    <row r="3014" hidden="1">
      <c r="A3014" s="83" t="s">
        <v>6317</v>
      </c>
      <c r="B3014" s="83" t="s">
        <v>6318</v>
      </c>
      <c r="C3014" s="81" t="s">
        <v>5141</v>
      </c>
      <c r="D3014" s="83" t="s">
        <v>4776</v>
      </c>
      <c r="E3014" s="81" t="s">
        <v>3713</v>
      </c>
      <c r="F3014" s="84">
        <v>710.0</v>
      </c>
      <c r="G3014" s="81" t="s">
        <v>43</v>
      </c>
      <c r="H3014" s="81" t="s">
        <v>6195</v>
      </c>
      <c r="I3014" s="81" t="s">
        <v>224</v>
      </c>
      <c r="J3014" s="81" t="s">
        <v>5143</v>
      </c>
    </row>
    <row r="3015" hidden="1">
      <c r="A3015" s="83" t="s">
        <v>6317</v>
      </c>
      <c r="B3015" s="83" t="s">
        <v>6318</v>
      </c>
      <c r="C3015" s="81" t="s">
        <v>4086</v>
      </c>
      <c r="D3015" s="83" t="s">
        <v>4777</v>
      </c>
      <c r="E3015" s="81" t="s">
        <v>3716</v>
      </c>
      <c r="F3015" s="84">
        <v>711.0</v>
      </c>
      <c r="G3015" s="81" t="s">
        <v>39</v>
      </c>
      <c r="H3015" s="81" t="s">
        <v>6208</v>
      </c>
      <c r="I3015" s="81" t="s">
        <v>3723</v>
      </c>
      <c r="J3015" s="81" t="s">
        <v>224</v>
      </c>
    </row>
    <row r="3016" hidden="1">
      <c r="A3016" s="83" t="s">
        <v>6317</v>
      </c>
      <c r="B3016" s="83" t="s">
        <v>6318</v>
      </c>
      <c r="C3016" s="81" t="s">
        <v>4086</v>
      </c>
      <c r="D3016" s="83" t="s">
        <v>4777</v>
      </c>
      <c r="E3016" s="81" t="s">
        <v>3716</v>
      </c>
      <c r="F3016" s="84">
        <v>711.0</v>
      </c>
      <c r="G3016" s="81" t="s">
        <v>40</v>
      </c>
      <c r="H3016" s="81" t="s">
        <v>6209</v>
      </c>
      <c r="I3016" s="81" t="s">
        <v>6210</v>
      </c>
      <c r="J3016" s="81" t="s">
        <v>224</v>
      </c>
    </row>
    <row r="3017" hidden="1">
      <c r="A3017" s="83" t="s">
        <v>6317</v>
      </c>
      <c r="B3017" s="83" t="s">
        <v>6318</v>
      </c>
      <c r="C3017" s="81" t="s">
        <v>5141</v>
      </c>
      <c r="D3017" s="83" t="s">
        <v>4777</v>
      </c>
      <c r="E3017" s="81" t="s">
        <v>3716</v>
      </c>
      <c r="F3017" s="84">
        <v>711.0</v>
      </c>
      <c r="G3017" s="81" t="s">
        <v>43</v>
      </c>
      <c r="H3017" s="81" t="s">
        <v>3727</v>
      </c>
      <c r="I3017" s="81" t="s">
        <v>224</v>
      </c>
      <c r="J3017" s="81" t="s">
        <v>5143</v>
      </c>
    </row>
    <row r="3018" hidden="1">
      <c r="A3018" s="83" t="s">
        <v>6317</v>
      </c>
      <c r="B3018" s="83" t="s">
        <v>6318</v>
      </c>
      <c r="C3018" s="81" t="s">
        <v>4086</v>
      </c>
      <c r="D3018" s="83" t="s">
        <v>4777</v>
      </c>
      <c r="E3018" s="81" t="s">
        <v>3730</v>
      </c>
      <c r="F3018" s="84">
        <v>712.0</v>
      </c>
      <c r="G3018" s="81" t="s">
        <v>40</v>
      </c>
      <c r="H3018" s="81" t="s">
        <v>6211</v>
      </c>
      <c r="I3018" s="81" t="s">
        <v>6210</v>
      </c>
      <c r="J3018" s="81" t="s">
        <v>224</v>
      </c>
    </row>
    <row r="3019" hidden="1">
      <c r="A3019" s="83" t="s">
        <v>6317</v>
      </c>
      <c r="B3019" s="83" t="s">
        <v>6318</v>
      </c>
      <c r="C3019" s="81" t="s">
        <v>5141</v>
      </c>
      <c r="D3019" s="83" t="s">
        <v>4777</v>
      </c>
      <c r="E3019" s="81" t="s">
        <v>3730</v>
      </c>
      <c r="F3019" s="84">
        <v>712.0</v>
      </c>
      <c r="G3019" s="81" t="s">
        <v>43</v>
      </c>
      <c r="H3019" s="81" t="s">
        <v>3727</v>
      </c>
      <c r="I3019" s="81" t="s">
        <v>224</v>
      </c>
      <c r="J3019" s="81" t="s">
        <v>5143</v>
      </c>
    </row>
    <row r="3020" hidden="1">
      <c r="A3020" s="83" t="s">
        <v>6317</v>
      </c>
      <c r="B3020" s="83" t="s">
        <v>6318</v>
      </c>
      <c r="C3020" s="81" t="s">
        <v>4086</v>
      </c>
      <c r="D3020" s="83" t="s">
        <v>4778</v>
      </c>
      <c r="E3020" s="81" t="s">
        <v>3731</v>
      </c>
      <c r="F3020" s="84">
        <v>713.0</v>
      </c>
      <c r="G3020" s="81" t="s">
        <v>40</v>
      </c>
      <c r="H3020" s="81" t="s">
        <v>6212</v>
      </c>
      <c r="I3020" s="81" t="s">
        <v>6213</v>
      </c>
      <c r="J3020" s="81" t="s">
        <v>224</v>
      </c>
    </row>
    <row r="3021" hidden="1">
      <c r="A3021" s="83" t="s">
        <v>6317</v>
      </c>
      <c r="B3021" s="83" t="s">
        <v>6318</v>
      </c>
      <c r="C3021" s="81" t="s">
        <v>5141</v>
      </c>
      <c r="D3021" s="83" t="s">
        <v>4778</v>
      </c>
      <c r="E3021" s="81" t="s">
        <v>3731</v>
      </c>
      <c r="F3021" s="84">
        <v>713.0</v>
      </c>
      <c r="G3021" s="81" t="s">
        <v>43</v>
      </c>
      <c r="H3021" s="81" t="s">
        <v>3727</v>
      </c>
      <c r="I3021" s="81" t="s">
        <v>224</v>
      </c>
      <c r="J3021" s="81" t="s">
        <v>5143</v>
      </c>
    </row>
    <row r="3022" hidden="1">
      <c r="A3022" s="83" t="s">
        <v>6317</v>
      </c>
      <c r="B3022" s="83" t="s">
        <v>6318</v>
      </c>
      <c r="C3022" s="81" t="s">
        <v>4086</v>
      </c>
      <c r="D3022" s="83" t="s">
        <v>4779</v>
      </c>
      <c r="E3022" s="81" t="s">
        <v>3735</v>
      </c>
      <c r="F3022" s="84">
        <v>714.0</v>
      </c>
      <c r="G3022" s="81" t="s">
        <v>39</v>
      </c>
      <c r="H3022" s="81" t="s">
        <v>6214</v>
      </c>
      <c r="I3022" s="81" t="s">
        <v>3740</v>
      </c>
      <c r="J3022" s="81" t="s">
        <v>224</v>
      </c>
    </row>
    <row r="3023" hidden="1">
      <c r="A3023" s="83" t="s">
        <v>6317</v>
      </c>
      <c r="B3023" s="83" t="s">
        <v>6318</v>
      </c>
      <c r="C3023" s="81" t="s">
        <v>4086</v>
      </c>
      <c r="D3023" s="83" t="s">
        <v>4779</v>
      </c>
      <c r="E3023" s="81" t="s">
        <v>3735</v>
      </c>
      <c r="F3023" s="84">
        <v>714.0</v>
      </c>
      <c r="G3023" s="81" t="s">
        <v>40</v>
      </c>
      <c r="H3023" s="81" t="s">
        <v>6215</v>
      </c>
      <c r="I3023" s="81" t="s">
        <v>6216</v>
      </c>
      <c r="J3023" s="81" t="s">
        <v>224</v>
      </c>
    </row>
    <row r="3024" hidden="1">
      <c r="A3024" s="83" t="s">
        <v>6317</v>
      </c>
      <c r="B3024" s="83" t="s">
        <v>6318</v>
      </c>
      <c r="C3024" s="81" t="s">
        <v>5141</v>
      </c>
      <c r="D3024" s="83" t="s">
        <v>4779</v>
      </c>
      <c r="E3024" s="81" t="s">
        <v>3735</v>
      </c>
      <c r="F3024" s="84">
        <v>714.0</v>
      </c>
      <c r="G3024" s="81" t="s">
        <v>43</v>
      </c>
      <c r="H3024" s="81" t="s">
        <v>3743</v>
      </c>
      <c r="I3024" s="81" t="s">
        <v>224</v>
      </c>
      <c r="J3024" s="81" t="s">
        <v>5143</v>
      </c>
    </row>
    <row r="3025" hidden="1">
      <c r="A3025" s="83" t="s">
        <v>6317</v>
      </c>
      <c r="B3025" s="83" t="s">
        <v>6318</v>
      </c>
      <c r="C3025" s="81" t="s">
        <v>4086</v>
      </c>
      <c r="D3025" s="83" t="s">
        <v>4779</v>
      </c>
      <c r="E3025" s="81" t="s">
        <v>3746</v>
      </c>
      <c r="F3025" s="84">
        <v>715.0</v>
      </c>
      <c r="G3025" s="81" t="s">
        <v>39</v>
      </c>
      <c r="H3025" s="81" t="s">
        <v>6217</v>
      </c>
      <c r="I3025" s="81" t="s">
        <v>3740</v>
      </c>
      <c r="J3025" s="81" t="s">
        <v>224</v>
      </c>
    </row>
    <row r="3026" hidden="1">
      <c r="A3026" s="83" t="s">
        <v>6317</v>
      </c>
      <c r="B3026" s="83" t="s">
        <v>6318</v>
      </c>
      <c r="C3026" s="81" t="s">
        <v>4086</v>
      </c>
      <c r="D3026" s="83" t="s">
        <v>4779</v>
      </c>
      <c r="E3026" s="81" t="s">
        <v>3746</v>
      </c>
      <c r="F3026" s="84">
        <v>715.0</v>
      </c>
      <c r="G3026" s="81" t="s">
        <v>40</v>
      </c>
      <c r="H3026" s="81" t="s">
        <v>6218</v>
      </c>
      <c r="I3026" s="81" t="s">
        <v>6216</v>
      </c>
      <c r="J3026" s="81" t="s">
        <v>224</v>
      </c>
    </row>
    <row r="3027" hidden="1">
      <c r="A3027" s="83" t="s">
        <v>6317</v>
      </c>
      <c r="B3027" s="83" t="s">
        <v>6318</v>
      </c>
      <c r="C3027" s="81" t="s">
        <v>5141</v>
      </c>
      <c r="D3027" s="83" t="s">
        <v>4779</v>
      </c>
      <c r="E3027" s="81" t="s">
        <v>3746</v>
      </c>
      <c r="F3027" s="84">
        <v>715.0</v>
      </c>
      <c r="G3027" s="81" t="s">
        <v>43</v>
      </c>
      <c r="H3027" s="81" t="s">
        <v>3743</v>
      </c>
      <c r="I3027" s="81" t="s">
        <v>224</v>
      </c>
      <c r="J3027" s="81" t="s">
        <v>5143</v>
      </c>
    </row>
    <row r="3028" hidden="1">
      <c r="A3028" s="83" t="s">
        <v>6317</v>
      </c>
      <c r="B3028" s="83" t="s">
        <v>6318</v>
      </c>
      <c r="C3028" s="81" t="s">
        <v>4086</v>
      </c>
      <c r="D3028" s="83" t="s">
        <v>4780</v>
      </c>
      <c r="E3028" s="81" t="s">
        <v>3747</v>
      </c>
      <c r="F3028" s="84">
        <v>716.0</v>
      </c>
      <c r="G3028" s="81" t="s">
        <v>39</v>
      </c>
      <c r="H3028" s="81" t="s">
        <v>6219</v>
      </c>
      <c r="I3028" s="81" t="s">
        <v>3748</v>
      </c>
      <c r="J3028" s="81" t="s">
        <v>224</v>
      </c>
    </row>
    <row r="3029" hidden="1">
      <c r="A3029" s="83" t="s">
        <v>6317</v>
      </c>
      <c r="B3029" s="83" t="s">
        <v>6318</v>
      </c>
      <c r="C3029" s="81" t="s">
        <v>4086</v>
      </c>
      <c r="D3029" s="83" t="s">
        <v>4780</v>
      </c>
      <c r="E3029" s="81" t="s">
        <v>3747</v>
      </c>
      <c r="F3029" s="84">
        <v>716.0</v>
      </c>
      <c r="G3029" s="81" t="s">
        <v>40</v>
      </c>
      <c r="H3029" s="81" t="s">
        <v>6220</v>
      </c>
      <c r="I3029" s="81" t="s">
        <v>6221</v>
      </c>
      <c r="J3029" s="81" t="s">
        <v>224</v>
      </c>
    </row>
    <row r="3030" hidden="1">
      <c r="A3030" s="83" t="s">
        <v>6317</v>
      </c>
      <c r="B3030" s="83" t="s">
        <v>6318</v>
      </c>
      <c r="C3030" s="81" t="s">
        <v>5141</v>
      </c>
      <c r="D3030" s="83" t="s">
        <v>4780</v>
      </c>
      <c r="E3030" s="81" t="s">
        <v>3747</v>
      </c>
      <c r="F3030" s="84">
        <v>716.0</v>
      </c>
      <c r="G3030" s="81" t="s">
        <v>43</v>
      </c>
      <c r="H3030" s="81" t="s">
        <v>3743</v>
      </c>
      <c r="I3030" s="81" t="s">
        <v>224</v>
      </c>
      <c r="J3030" s="81" t="s">
        <v>5143</v>
      </c>
    </row>
    <row r="3031" hidden="1">
      <c r="A3031" s="83" t="s">
        <v>6317</v>
      </c>
      <c r="B3031" s="83" t="s">
        <v>6318</v>
      </c>
      <c r="C3031" s="81" t="s">
        <v>4086</v>
      </c>
      <c r="D3031" s="83" t="s">
        <v>4781</v>
      </c>
      <c r="E3031" s="81" t="s">
        <v>3751</v>
      </c>
      <c r="F3031" s="84">
        <v>717.0</v>
      </c>
      <c r="G3031" s="81" t="s">
        <v>39</v>
      </c>
      <c r="H3031" s="81" t="s">
        <v>6222</v>
      </c>
      <c r="I3031" s="81" t="s">
        <v>3755</v>
      </c>
      <c r="J3031" s="81" t="s">
        <v>224</v>
      </c>
    </row>
    <row r="3032" hidden="1">
      <c r="A3032" s="83" t="s">
        <v>6317</v>
      </c>
      <c r="B3032" s="83" t="s">
        <v>6318</v>
      </c>
      <c r="C3032" s="81" t="s">
        <v>4086</v>
      </c>
      <c r="D3032" s="83" t="s">
        <v>4781</v>
      </c>
      <c r="E3032" s="81" t="s">
        <v>3751</v>
      </c>
      <c r="F3032" s="84">
        <v>717.0</v>
      </c>
      <c r="G3032" s="81" t="s">
        <v>40</v>
      </c>
      <c r="H3032" s="81" t="s">
        <v>6223</v>
      </c>
      <c r="I3032" s="81" t="s">
        <v>3756</v>
      </c>
      <c r="J3032" s="81" t="s">
        <v>224</v>
      </c>
    </row>
    <row r="3033" hidden="1">
      <c r="A3033" s="83" t="s">
        <v>6317</v>
      </c>
      <c r="B3033" s="83" t="s">
        <v>6318</v>
      </c>
      <c r="C3033" s="81" t="s">
        <v>5141</v>
      </c>
      <c r="D3033" s="83" t="s">
        <v>4781</v>
      </c>
      <c r="E3033" s="81" t="s">
        <v>3751</v>
      </c>
      <c r="F3033" s="84">
        <v>717.0</v>
      </c>
      <c r="G3033" s="81" t="s">
        <v>43</v>
      </c>
      <c r="H3033" s="81" t="s">
        <v>3758</v>
      </c>
      <c r="I3033" s="81" t="s">
        <v>224</v>
      </c>
      <c r="J3033" s="81" t="s">
        <v>5143</v>
      </c>
    </row>
    <row r="3034" hidden="1">
      <c r="A3034" s="83" t="s">
        <v>6317</v>
      </c>
      <c r="B3034" s="83" t="s">
        <v>6318</v>
      </c>
      <c r="C3034" s="81" t="s">
        <v>4086</v>
      </c>
      <c r="D3034" s="83" t="s">
        <v>4781</v>
      </c>
      <c r="E3034" s="81" t="s">
        <v>3761</v>
      </c>
      <c r="F3034" s="84">
        <v>718.0</v>
      </c>
      <c r="G3034" s="81" t="s">
        <v>40</v>
      </c>
      <c r="H3034" s="81" t="s">
        <v>6223</v>
      </c>
      <c r="I3034" s="81" t="s">
        <v>3756</v>
      </c>
      <c r="J3034" s="81" t="s">
        <v>224</v>
      </c>
    </row>
    <row r="3035" hidden="1">
      <c r="A3035" s="83" t="s">
        <v>6317</v>
      </c>
      <c r="B3035" s="83" t="s">
        <v>6318</v>
      </c>
      <c r="C3035" s="81" t="s">
        <v>5141</v>
      </c>
      <c r="D3035" s="83" t="s">
        <v>4781</v>
      </c>
      <c r="E3035" s="81" t="s">
        <v>3761</v>
      </c>
      <c r="F3035" s="84">
        <v>718.0</v>
      </c>
      <c r="G3035" s="81" t="s">
        <v>43</v>
      </c>
      <c r="H3035" s="81" t="s">
        <v>3758</v>
      </c>
      <c r="I3035" s="81" t="s">
        <v>224</v>
      </c>
      <c r="J3035" s="81" t="s">
        <v>5143</v>
      </c>
    </row>
    <row r="3036" hidden="1">
      <c r="A3036" s="83" t="s">
        <v>6317</v>
      </c>
      <c r="B3036" s="83" t="s">
        <v>6318</v>
      </c>
      <c r="C3036" s="81" t="s">
        <v>4086</v>
      </c>
      <c r="D3036" s="83" t="s">
        <v>4782</v>
      </c>
      <c r="E3036" s="81" t="s">
        <v>3762</v>
      </c>
      <c r="F3036" s="84">
        <v>719.0</v>
      </c>
      <c r="G3036" s="81" t="s">
        <v>40</v>
      </c>
      <c r="H3036" s="81" t="s">
        <v>6224</v>
      </c>
      <c r="I3036" s="81" t="s">
        <v>3764</v>
      </c>
      <c r="J3036" s="81" t="s">
        <v>224</v>
      </c>
    </row>
    <row r="3037" hidden="1">
      <c r="A3037" s="83" t="s">
        <v>6317</v>
      </c>
      <c r="B3037" s="83" t="s">
        <v>6318</v>
      </c>
      <c r="C3037" s="81" t="s">
        <v>5141</v>
      </c>
      <c r="D3037" s="83" t="s">
        <v>4782</v>
      </c>
      <c r="E3037" s="81" t="s">
        <v>3762</v>
      </c>
      <c r="F3037" s="84">
        <v>719.0</v>
      </c>
      <c r="G3037" s="81" t="s">
        <v>43</v>
      </c>
      <c r="H3037" s="81" t="s">
        <v>3758</v>
      </c>
      <c r="I3037" s="81" t="s">
        <v>224</v>
      </c>
      <c r="J3037" s="81" t="s">
        <v>5143</v>
      </c>
    </row>
    <row r="3038" hidden="1">
      <c r="A3038" s="83" t="s">
        <v>6317</v>
      </c>
      <c r="B3038" s="83" t="s">
        <v>6318</v>
      </c>
      <c r="C3038" s="81" t="s">
        <v>4086</v>
      </c>
      <c r="D3038" s="83" t="s">
        <v>4783</v>
      </c>
      <c r="E3038" s="81" t="s">
        <v>3766</v>
      </c>
      <c r="F3038" s="84">
        <v>720.0</v>
      </c>
      <c r="G3038" s="81" t="s">
        <v>39</v>
      </c>
      <c r="H3038" s="81" t="s">
        <v>5998</v>
      </c>
      <c r="I3038" s="81" t="s">
        <v>3771</v>
      </c>
      <c r="J3038" s="81" t="s">
        <v>224</v>
      </c>
    </row>
    <row r="3039" hidden="1">
      <c r="A3039" s="83" t="s">
        <v>6317</v>
      </c>
      <c r="B3039" s="83" t="s">
        <v>6318</v>
      </c>
      <c r="C3039" s="81" t="s">
        <v>4086</v>
      </c>
      <c r="D3039" s="83" t="s">
        <v>4783</v>
      </c>
      <c r="E3039" s="81" t="s">
        <v>3766</v>
      </c>
      <c r="F3039" s="84">
        <v>720.0</v>
      </c>
      <c r="G3039" s="81" t="s">
        <v>40</v>
      </c>
      <c r="H3039" s="81" t="s">
        <v>5999</v>
      </c>
      <c r="I3039" s="81" t="s">
        <v>6225</v>
      </c>
      <c r="J3039" s="81" t="s">
        <v>224</v>
      </c>
    </row>
    <row r="3040" hidden="1">
      <c r="A3040" s="83" t="s">
        <v>6317</v>
      </c>
      <c r="B3040" s="83" t="s">
        <v>6318</v>
      </c>
      <c r="C3040" s="81" t="s">
        <v>4086</v>
      </c>
      <c r="D3040" s="83" t="s">
        <v>4783</v>
      </c>
      <c r="E3040" s="81" t="s">
        <v>3777</v>
      </c>
      <c r="F3040" s="84">
        <v>721.0</v>
      </c>
      <c r="G3040" s="81" t="s">
        <v>39</v>
      </c>
      <c r="H3040" s="81" t="s">
        <v>5998</v>
      </c>
      <c r="I3040" s="81" t="s">
        <v>3771</v>
      </c>
      <c r="J3040" s="81" t="s">
        <v>224</v>
      </c>
    </row>
    <row r="3041" hidden="1">
      <c r="A3041" s="83" t="s">
        <v>6317</v>
      </c>
      <c r="B3041" s="83" t="s">
        <v>6318</v>
      </c>
      <c r="C3041" s="81" t="s">
        <v>4086</v>
      </c>
      <c r="D3041" s="83" t="s">
        <v>4783</v>
      </c>
      <c r="E3041" s="81" t="s">
        <v>3777</v>
      </c>
      <c r="F3041" s="84">
        <v>721.0</v>
      </c>
      <c r="G3041" s="81" t="s">
        <v>40</v>
      </c>
      <c r="H3041" s="81" t="s">
        <v>5999</v>
      </c>
      <c r="I3041" s="81" t="s">
        <v>6225</v>
      </c>
      <c r="J3041" s="81" t="s">
        <v>224</v>
      </c>
    </row>
    <row r="3042" hidden="1">
      <c r="A3042" s="83" t="s">
        <v>6317</v>
      </c>
      <c r="B3042" s="83" t="s">
        <v>6318</v>
      </c>
      <c r="C3042" s="81" t="s">
        <v>4086</v>
      </c>
      <c r="D3042" s="83" t="s">
        <v>4785</v>
      </c>
      <c r="E3042" s="81" t="s">
        <v>3778</v>
      </c>
      <c r="F3042" s="84">
        <v>722.0</v>
      </c>
      <c r="G3042" s="81" t="s">
        <v>39</v>
      </c>
      <c r="H3042" s="81" t="s">
        <v>6226</v>
      </c>
      <c r="I3042" s="81" t="s">
        <v>3779</v>
      </c>
      <c r="J3042" s="81" t="s">
        <v>224</v>
      </c>
    </row>
    <row r="3043" hidden="1">
      <c r="A3043" s="83" t="s">
        <v>6317</v>
      </c>
      <c r="B3043" s="83" t="s">
        <v>6318</v>
      </c>
      <c r="C3043" s="81" t="s">
        <v>4086</v>
      </c>
      <c r="D3043" s="83" t="s">
        <v>4785</v>
      </c>
      <c r="E3043" s="81" t="s">
        <v>3778</v>
      </c>
      <c r="F3043" s="84">
        <v>722.0</v>
      </c>
      <c r="G3043" s="81" t="s">
        <v>40</v>
      </c>
      <c r="H3043" s="81" t="s">
        <v>6227</v>
      </c>
      <c r="I3043" s="81" t="s">
        <v>3780</v>
      </c>
      <c r="J3043" s="81" t="s">
        <v>224</v>
      </c>
    </row>
    <row r="3044" hidden="1">
      <c r="A3044" s="83" t="s">
        <v>6317</v>
      </c>
      <c r="B3044" s="83" t="s">
        <v>6318</v>
      </c>
      <c r="C3044" s="81" t="s">
        <v>4086</v>
      </c>
      <c r="D3044" s="83" t="s">
        <v>4786</v>
      </c>
      <c r="E3044" s="81" t="s">
        <v>3781</v>
      </c>
      <c r="F3044" s="84">
        <v>723.0</v>
      </c>
      <c r="G3044" s="81" t="s">
        <v>39</v>
      </c>
      <c r="H3044" s="81" t="s">
        <v>5998</v>
      </c>
      <c r="I3044" s="81" t="s">
        <v>3785</v>
      </c>
      <c r="J3044" s="81" t="s">
        <v>224</v>
      </c>
    </row>
    <row r="3045" hidden="1">
      <c r="A3045" s="83" t="s">
        <v>6317</v>
      </c>
      <c r="B3045" s="83" t="s">
        <v>6318</v>
      </c>
      <c r="C3045" s="81" t="s">
        <v>4086</v>
      </c>
      <c r="D3045" s="83" t="s">
        <v>4786</v>
      </c>
      <c r="E3045" s="81" t="s">
        <v>3781</v>
      </c>
      <c r="F3045" s="84">
        <v>723.0</v>
      </c>
      <c r="G3045" s="81" t="s">
        <v>40</v>
      </c>
      <c r="H3045" s="81" t="s">
        <v>5999</v>
      </c>
      <c r="I3045" s="81" t="s">
        <v>6228</v>
      </c>
      <c r="J3045" s="81" t="s">
        <v>224</v>
      </c>
    </row>
    <row r="3046" hidden="1">
      <c r="A3046" s="83" t="s">
        <v>6317</v>
      </c>
      <c r="B3046" s="83" t="s">
        <v>6318</v>
      </c>
      <c r="C3046" s="81" t="s">
        <v>4086</v>
      </c>
      <c r="D3046" s="83" t="s">
        <v>4787</v>
      </c>
      <c r="E3046" s="81" t="s">
        <v>3791</v>
      </c>
      <c r="F3046" s="84">
        <v>724.0</v>
      </c>
      <c r="G3046" s="81" t="s">
        <v>39</v>
      </c>
      <c r="H3046" s="81" t="s">
        <v>6226</v>
      </c>
      <c r="I3046" s="81" t="s">
        <v>3792</v>
      </c>
      <c r="J3046" s="81" t="s">
        <v>224</v>
      </c>
    </row>
    <row r="3047" hidden="1">
      <c r="A3047" s="83" t="s">
        <v>6317</v>
      </c>
      <c r="B3047" s="83" t="s">
        <v>6318</v>
      </c>
      <c r="C3047" s="81" t="s">
        <v>4086</v>
      </c>
      <c r="D3047" s="83" t="s">
        <v>4787</v>
      </c>
      <c r="E3047" s="81" t="s">
        <v>3791</v>
      </c>
      <c r="F3047" s="84">
        <v>724.0</v>
      </c>
      <c r="G3047" s="81" t="s">
        <v>40</v>
      </c>
      <c r="H3047" s="81" t="s">
        <v>6227</v>
      </c>
      <c r="I3047" s="81" t="s">
        <v>3793</v>
      </c>
      <c r="J3047" s="81" t="s">
        <v>224</v>
      </c>
    </row>
    <row r="3048" hidden="1">
      <c r="A3048" s="83" t="s">
        <v>6317</v>
      </c>
      <c r="B3048" s="83" t="s">
        <v>6318</v>
      </c>
      <c r="C3048" s="81" t="s">
        <v>4086</v>
      </c>
      <c r="D3048" s="83" t="s">
        <v>4788</v>
      </c>
      <c r="E3048" s="81" t="s">
        <v>3794</v>
      </c>
      <c r="F3048" s="84">
        <v>725.0</v>
      </c>
      <c r="G3048" s="81" t="s">
        <v>40</v>
      </c>
      <c r="H3048" s="81" t="s">
        <v>6229</v>
      </c>
      <c r="I3048" s="81" t="s">
        <v>3799</v>
      </c>
      <c r="J3048" s="81" t="s">
        <v>224</v>
      </c>
    </row>
    <row r="3049" hidden="1">
      <c r="A3049" s="83" t="s">
        <v>6317</v>
      </c>
      <c r="B3049" s="83" t="s">
        <v>6318</v>
      </c>
      <c r="C3049" s="81" t="s">
        <v>4086</v>
      </c>
      <c r="D3049" s="83" t="s">
        <v>4790</v>
      </c>
      <c r="E3049" s="81" t="s">
        <v>3803</v>
      </c>
      <c r="F3049" s="84">
        <v>726.0</v>
      </c>
      <c r="G3049" s="81" t="s">
        <v>39</v>
      </c>
      <c r="H3049" s="81" t="s">
        <v>6230</v>
      </c>
      <c r="I3049" s="81" t="s">
        <v>3807</v>
      </c>
      <c r="J3049" s="81" t="s">
        <v>224</v>
      </c>
    </row>
    <row r="3050" hidden="1">
      <c r="A3050" s="83" t="s">
        <v>6317</v>
      </c>
      <c r="B3050" s="83" t="s">
        <v>6318</v>
      </c>
      <c r="C3050" s="81" t="s">
        <v>4086</v>
      </c>
      <c r="D3050" s="83" t="s">
        <v>4790</v>
      </c>
      <c r="E3050" s="81" t="s">
        <v>3803</v>
      </c>
      <c r="F3050" s="84">
        <v>726.0</v>
      </c>
      <c r="G3050" s="81" t="s">
        <v>40</v>
      </c>
      <c r="H3050" s="81" t="s">
        <v>6231</v>
      </c>
      <c r="I3050" s="81" t="s">
        <v>3808</v>
      </c>
      <c r="J3050" s="81" t="s">
        <v>224</v>
      </c>
    </row>
    <row r="3051" hidden="1">
      <c r="A3051" s="83" t="s">
        <v>6317</v>
      </c>
      <c r="B3051" s="83" t="s">
        <v>6318</v>
      </c>
      <c r="C3051" s="81" t="s">
        <v>4086</v>
      </c>
      <c r="D3051" s="83" t="s">
        <v>4791</v>
      </c>
      <c r="E3051" s="81" t="s">
        <v>3812</v>
      </c>
      <c r="F3051" s="84">
        <v>727.0</v>
      </c>
      <c r="G3051" s="81" t="s">
        <v>40</v>
      </c>
      <c r="H3051" s="81" t="s">
        <v>6232</v>
      </c>
      <c r="I3051" s="81" t="s">
        <v>3814</v>
      </c>
      <c r="J3051" s="81" t="s">
        <v>224</v>
      </c>
    </row>
    <row r="3052" hidden="1">
      <c r="A3052" s="83" t="s">
        <v>6317</v>
      </c>
      <c r="B3052" s="83" t="s">
        <v>6318</v>
      </c>
      <c r="C3052" s="81" t="s">
        <v>4086</v>
      </c>
      <c r="D3052" s="83" t="s">
        <v>4792</v>
      </c>
      <c r="E3052" s="81" t="s">
        <v>3815</v>
      </c>
      <c r="F3052" s="84">
        <v>728.0</v>
      </c>
      <c r="G3052" s="81" t="s">
        <v>40</v>
      </c>
      <c r="H3052" s="81" t="s">
        <v>49</v>
      </c>
      <c r="I3052" s="81" t="s">
        <v>3808</v>
      </c>
      <c r="J3052" s="81" t="s">
        <v>224</v>
      </c>
    </row>
    <row r="3053" hidden="1">
      <c r="A3053" s="83" t="s">
        <v>6317</v>
      </c>
      <c r="B3053" s="83" t="s">
        <v>6318</v>
      </c>
      <c r="C3053" s="81" t="s">
        <v>4086</v>
      </c>
      <c r="D3053" s="83" t="s">
        <v>4793</v>
      </c>
      <c r="E3053" s="81" t="s">
        <v>3821</v>
      </c>
      <c r="F3053" s="84">
        <v>729.0</v>
      </c>
      <c r="G3053" s="81" t="s">
        <v>40</v>
      </c>
      <c r="H3053" s="81" t="s">
        <v>49</v>
      </c>
      <c r="I3053" s="81" t="s">
        <v>3814</v>
      </c>
      <c r="J3053" s="81" t="s">
        <v>224</v>
      </c>
    </row>
    <row r="3054" hidden="1">
      <c r="A3054" s="83" t="s">
        <v>6317</v>
      </c>
      <c r="B3054" s="83" t="s">
        <v>6318</v>
      </c>
      <c r="C3054" s="81" t="s">
        <v>4086</v>
      </c>
      <c r="D3054" s="83" t="s">
        <v>4794</v>
      </c>
      <c r="E3054" s="81" t="s">
        <v>3823</v>
      </c>
      <c r="F3054" s="84">
        <v>730.0</v>
      </c>
      <c r="G3054" s="81" t="s">
        <v>39</v>
      </c>
      <c r="H3054" s="81" t="s">
        <v>6233</v>
      </c>
      <c r="I3054" s="81" t="s">
        <v>3826</v>
      </c>
      <c r="J3054" s="81" t="s">
        <v>224</v>
      </c>
    </row>
    <row r="3055" hidden="1">
      <c r="A3055" s="83" t="s">
        <v>6317</v>
      </c>
      <c r="B3055" s="83" t="s">
        <v>6318</v>
      </c>
      <c r="C3055" s="81" t="s">
        <v>4086</v>
      </c>
      <c r="D3055" s="83" t="s">
        <v>4794</v>
      </c>
      <c r="E3055" s="81" t="s">
        <v>3823</v>
      </c>
      <c r="F3055" s="84">
        <v>730.0</v>
      </c>
      <c r="G3055" s="81" t="s">
        <v>40</v>
      </c>
      <c r="H3055" s="81" t="s">
        <v>6234</v>
      </c>
      <c r="I3055" s="81" t="s">
        <v>3827</v>
      </c>
      <c r="J3055" s="81" t="s">
        <v>224</v>
      </c>
    </row>
    <row r="3056" hidden="1">
      <c r="A3056" s="83" t="s">
        <v>6317</v>
      </c>
      <c r="B3056" s="83" t="s">
        <v>6318</v>
      </c>
      <c r="C3056" s="81" t="s">
        <v>4086</v>
      </c>
      <c r="D3056" s="83" t="s">
        <v>4794</v>
      </c>
      <c r="E3056" s="81" t="s">
        <v>3829</v>
      </c>
      <c r="F3056" s="84">
        <v>731.0</v>
      </c>
      <c r="G3056" s="81" t="s">
        <v>39</v>
      </c>
      <c r="H3056" s="81" t="s">
        <v>6233</v>
      </c>
      <c r="I3056" s="81" t="s">
        <v>3826</v>
      </c>
      <c r="J3056" s="81" t="s">
        <v>224</v>
      </c>
    </row>
    <row r="3057" hidden="1">
      <c r="A3057" s="83" t="s">
        <v>6317</v>
      </c>
      <c r="B3057" s="83" t="s">
        <v>6318</v>
      </c>
      <c r="C3057" s="81" t="s">
        <v>4086</v>
      </c>
      <c r="D3057" s="83" t="s">
        <v>4794</v>
      </c>
      <c r="E3057" s="81" t="s">
        <v>3829</v>
      </c>
      <c r="F3057" s="84">
        <v>731.0</v>
      </c>
      <c r="G3057" s="81" t="s">
        <v>40</v>
      </c>
      <c r="H3057" s="81" t="s">
        <v>6234</v>
      </c>
      <c r="I3057" s="81" t="s">
        <v>3827</v>
      </c>
      <c r="J3057" s="81" t="s">
        <v>224</v>
      </c>
    </row>
    <row r="3058" hidden="1">
      <c r="A3058" s="83" t="s">
        <v>6317</v>
      </c>
      <c r="B3058" s="83" t="s">
        <v>6318</v>
      </c>
      <c r="C3058" s="81" t="s">
        <v>4086</v>
      </c>
      <c r="D3058" s="83" t="s">
        <v>4795</v>
      </c>
      <c r="E3058" s="81" t="s">
        <v>3831</v>
      </c>
      <c r="F3058" s="84">
        <v>732.0</v>
      </c>
      <c r="G3058" s="81" t="s">
        <v>39</v>
      </c>
      <c r="H3058" s="81" t="s">
        <v>6235</v>
      </c>
      <c r="I3058" s="81" t="s">
        <v>3832</v>
      </c>
      <c r="J3058" s="81" t="s">
        <v>224</v>
      </c>
    </row>
    <row r="3059" hidden="1">
      <c r="A3059" s="83" t="s">
        <v>6317</v>
      </c>
      <c r="B3059" s="83" t="s">
        <v>6318</v>
      </c>
      <c r="C3059" s="81" t="s">
        <v>5141</v>
      </c>
      <c r="D3059" s="83" t="s">
        <v>4795</v>
      </c>
      <c r="E3059" s="81" t="s">
        <v>3831</v>
      </c>
      <c r="F3059" s="84">
        <v>732.0</v>
      </c>
      <c r="G3059" s="81" t="s">
        <v>40</v>
      </c>
      <c r="H3059" s="81" t="s">
        <v>6236</v>
      </c>
      <c r="I3059" s="81" t="s">
        <v>224</v>
      </c>
      <c r="J3059" s="81" t="s">
        <v>5143</v>
      </c>
    </row>
    <row r="3060" hidden="1">
      <c r="A3060" s="83" t="s">
        <v>6317</v>
      </c>
      <c r="B3060" s="83" t="s">
        <v>6318</v>
      </c>
      <c r="C3060" s="81" t="s">
        <v>4086</v>
      </c>
      <c r="D3060" s="83" t="s">
        <v>4796</v>
      </c>
      <c r="E3060" s="81" t="s">
        <v>3833</v>
      </c>
      <c r="F3060" s="84">
        <v>733.0</v>
      </c>
      <c r="G3060" s="81" t="s">
        <v>39</v>
      </c>
      <c r="H3060" s="81" t="s">
        <v>6237</v>
      </c>
      <c r="I3060" s="81" t="s">
        <v>3835</v>
      </c>
      <c r="J3060" s="81" t="s">
        <v>224</v>
      </c>
    </row>
    <row r="3061" hidden="1">
      <c r="A3061" s="83" t="s">
        <v>6317</v>
      </c>
      <c r="B3061" s="83" t="s">
        <v>6318</v>
      </c>
      <c r="C3061" s="81" t="s">
        <v>4086</v>
      </c>
      <c r="D3061" s="83" t="s">
        <v>4796</v>
      </c>
      <c r="E3061" s="81" t="s">
        <v>3833</v>
      </c>
      <c r="F3061" s="84">
        <v>733.0</v>
      </c>
      <c r="G3061" s="81" t="s">
        <v>40</v>
      </c>
      <c r="H3061" s="81" t="s">
        <v>6238</v>
      </c>
      <c r="I3061" s="81" t="s">
        <v>3836</v>
      </c>
      <c r="J3061" s="81" t="s">
        <v>224</v>
      </c>
    </row>
    <row r="3062" hidden="1">
      <c r="A3062" s="83" t="s">
        <v>6317</v>
      </c>
      <c r="B3062" s="83" t="s">
        <v>6318</v>
      </c>
      <c r="C3062" s="81" t="s">
        <v>4086</v>
      </c>
      <c r="D3062" s="83" t="s">
        <v>4796</v>
      </c>
      <c r="E3062" s="81" t="s">
        <v>3838</v>
      </c>
      <c r="F3062" s="84">
        <v>734.0</v>
      </c>
      <c r="G3062" s="81" t="s">
        <v>39</v>
      </c>
      <c r="H3062" s="81" t="s">
        <v>6237</v>
      </c>
      <c r="I3062" s="81" t="s">
        <v>3835</v>
      </c>
      <c r="J3062" s="81" t="s">
        <v>224</v>
      </c>
    </row>
    <row r="3063" hidden="1">
      <c r="A3063" s="83" t="s">
        <v>6317</v>
      </c>
      <c r="B3063" s="83" t="s">
        <v>6318</v>
      </c>
      <c r="C3063" s="81" t="s">
        <v>4086</v>
      </c>
      <c r="D3063" s="83" t="s">
        <v>4796</v>
      </c>
      <c r="E3063" s="81" t="s">
        <v>3838</v>
      </c>
      <c r="F3063" s="84">
        <v>734.0</v>
      </c>
      <c r="G3063" s="81" t="s">
        <v>40</v>
      </c>
      <c r="H3063" s="81" t="s">
        <v>6238</v>
      </c>
      <c r="I3063" s="81" t="s">
        <v>3836</v>
      </c>
      <c r="J3063" s="81" t="s">
        <v>224</v>
      </c>
    </row>
    <row r="3064" hidden="1">
      <c r="A3064" s="83" t="s">
        <v>6317</v>
      </c>
      <c r="B3064" s="83" t="s">
        <v>6318</v>
      </c>
      <c r="C3064" s="81" t="s">
        <v>4086</v>
      </c>
      <c r="D3064" s="83" t="s">
        <v>4797</v>
      </c>
      <c r="E3064" s="81" t="s">
        <v>3839</v>
      </c>
      <c r="F3064" s="84">
        <v>735.0</v>
      </c>
      <c r="G3064" s="81" t="s">
        <v>39</v>
      </c>
      <c r="H3064" s="81" t="s">
        <v>6239</v>
      </c>
      <c r="I3064" s="81" t="s">
        <v>3840</v>
      </c>
      <c r="J3064" s="81" t="s">
        <v>224</v>
      </c>
    </row>
    <row r="3065" hidden="1">
      <c r="A3065" s="83" t="s">
        <v>6317</v>
      </c>
      <c r="B3065" s="83" t="s">
        <v>6318</v>
      </c>
      <c r="C3065" s="81" t="s">
        <v>4086</v>
      </c>
      <c r="D3065" s="83" t="s">
        <v>4797</v>
      </c>
      <c r="E3065" s="81" t="s">
        <v>3839</v>
      </c>
      <c r="F3065" s="84">
        <v>735.0</v>
      </c>
      <c r="G3065" s="81" t="s">
        <v>40</v>
      </c>
      <c r="H3065" s="81" t="s">
        <v>6240</v>
      </c>
      <c r="I3065" s="81" t="s">
        <v>3841</v>
      </c>
      <c r="J3065" s="81" t="s">
        <v>224</v>
      </c>
    </row>
    <row r="3066" hidden="1">
      <c r="A3066" s="83" t="s">
        <v>6317</v>
      </c>
      <c r="B3066" s="83" t="s">
        <v>6318</v>
      </c>
      <c r="C3066" s="81" t="s">
        <v>4086</v>
      </c>
      <c r="D3066" s="83" t="s">
        <v>4798</v>
      </c>
      <c r="E3066" s="81" t="s">
        <v>3842</v>
      </c>
      <c r="F3066" s="84">
        <v>736.0</v>
      </c>
      <c r="G3066" s="81" t="s">
        <v>39</v>
      </c>
      <c r="H3066" s="81" t="s">
        <v>6241</v>
      </c>
      <c r="I3066" s="81" t="s">
        <v>3844</v>
      </c>
      <c r="J3066" s="81" t="s">
        <v>224</v>
      </c>
    </row>
    <row r="3067" hidden="1">
      <c r="A3067" s="83" t="s">
        <v>6317</v>
      </c>
      <c r="B3067" s="83" t="s">
        <v>6318</v>
      </c>
      <c r="C3067" s="81" t="s">
        <v>5141</v>
      </c>
      <c r="D3067" s="83" t="s">
        <v>4798</v>
      </c>
      <c r="E3067" s="81" t="s">
        <v>3842</v>
      </c>
      <c r="F3067" s="84">
        <v>736.0</v>
      </c>
      <c r="G3067" s="81" t="s">
        <v>40</v>
      </c>
      <c r="H3067" s="81" t="s">
        <v>6242</v>
      </c>
      <c r="I3067" s="81" t="s">
        <v>224</v>
      </c>
      <c r="J3067" s="81" t="s">
        <v>5143</v>
      </c>
    </row>
    <row r="3068" hidden="1">
      <c r="A3068" s="83" t="s">
        <v>6317</v>
      </c>
      <c r="B3068" s="83" t="s">
        <v>6318</v>
      </c>
      <c r="C3068" s="81" t="s">
        <v>4086</v>
      </c>
      <c r="D3068" s="83" t="s">
        <v>4799</v>
      </c>
      <c r="E3068" s="81" t="s">
        <v>3845</v>
      </c>
      <c r="F3068" s="84">
        <v>737.0</v>
      </c>
      <c r="G3068" s="81" t="s">
        <v>39</v>
      </c>
      <c r="H3068" s="81" t="s">
        <v>6243</v>
      </c>
      <c r="I3068" s="81" t="s">
        <v>3847</v>
      </c>
      <c r="J3068" s="81" t="s">
        <v>224</v>
      </c>
    </row>
    <row r="3069" hidden="1">
      <c r="A3069" s="83" t="s">
        <v>6317</v>
      </c>
      <c r="B3069" s="83" t="s">
        <v>6318</v>
      </c>
      <c r="C3069" s="81" t="s">
        <v>5141</v>
      </c>
      <c r="D3069" s="83" t="s">
        <v>4799</v>
      </c>
      <c r="E3069" s="81" t="s">
        <v>3845</v>
      </c>
      <c r="F3069" s="84">
        <v>737.0</v>
      </c>
      <c r="G3069" s="81" t="s">
        <v>40</v>
      </c>
      <c r="H3069" s="81" t="s">
        <v>6244</v>
      </c>
      <c r="I3069" s="81" t="s">
        <v>224</v>
      </c>
      <c r="J3069" s="81" t="s">
        <v>5143</v>
      </c>
    </row>
    <row r="3070" hidden="1">
      <c r="A3070" s="83" t="s">
        <v>6317</v>
      </c>
      <c r="B3070" s="83" t="s">
        <v>6318</v>
      </c>
      <c r="C3070" s="81" t="s">
        <v>4086</v>
      </c>
      <c r="D3070" s="83" t="s">
        <v>4800</v>
      </c>
      <c r="E3070" s="81" t="s">
        <v>3848</v>
      </c>
      <c r="F3070" s="84">
        <v>738.0</v>
      </c>
      <c r="G3070" s="81" t="s">
        <v>39</v>
      </c>
      <c r="H3070" s="81" t="s">
        <v>6245</v>
      </c>
      <c r="I3070" s="81" t="s">
        <v>3850</v>
      </c>
      <c r="J3070" s="81" t="s">
        <v>224</v>
      </c>
    </row>
    <row r="3071" hidden="1">
      <c r="A3071" s="83" t="s">
        <v>6317</v>
      </c>
      <c r="B3071" s="83" t="s">
        <v>6318</v>
      </c>
      <c r="C3071" s="81" t="s">
        <v>5141</v>
      </c>
      <c r="D3071" s="83" t="s">
        <v>4800</v>
      </c>
      <c r="E3071" s="81" t="s">
        <v>3848</v>
      </c>
      <c r="F3071" s="84">
        <v>738.0</v>
      </c>
      <c r="G3071" s="81" t="s">
        <v>40</v>
      </c>
      <c r="H3071" s="81" t="s">
        <v>6246</v>
      </c>
      <c r="I3071" s="81" t="s">
        <v>224</v>
      </c>
      <c r="J3071" s="81" t="s">
        <v>5143</v>
      </c>
    </row>
    <row r="3072" hidden="1">
      <c r="A3072" s="83" t="s">
        <v>6317</v>
      </c>
      <c r="B3072" s="83" t="s">
        <v>6318</v>
      </c>
      <c r="C3072" s="81" t="s">
        <v>4086</v>
      </c>
      <c r="D3072" s="83" t="s">
        <v>4800</v>
      </c>
      <c r="E3072" s="81" t="s">
        <v>3851</v>
      </c>
      <c r="F3072" s="84">
        <v>739.0</v>
      </c>
      <c r="G3072" s="81" t="s">
        <v>39</v>
      </c>
      <c r="H3072" s="81" t="s">
        <v>6245</v>
      </c>
      <c r="I3072" s="81" t="s">
        <v>3850</v>
      </c>
      <c r="J3072" s="81" t="s">
        <v>224</v>
      </c>
    </row>
    <row r="3073" hidden="1">
      <c r="A3073" s="83" t="s">
        <v>6317</v>
      </c>
      <c r="B3073" s="83" t="s">
        <v>6318</v>
      </c>
      <c r="C3073" s="81" t="s">
        <v>5141</v>
      </c>
      <c r="D3073" s="83" t="s">
        <v>4800</v>
      </c>
      <c r="E3073" s="81" t="s">
        <v>3851</v>
      </c>
      <c r="F3073" s="84">
        <v>739.0</v>
      </c>
      <c r="G3073" s="81" t="s">
        <v>40</v>
      </c>
      <c r="H3073" s="81" t="s">
        <v>6246</v>
      </c>
      <c r="I3073" s="81" t="s">
        <v>224</v>
      </c>
      <c r="J3073" s="81" t="s">
        <v>5143</v>
      </c>
    </row>
    <row r="3074" hidden="1">
      <c r="A3074" s="83" t="s">
        <v>6317</v>
      </c>
      <c r="B3074" s="83" t="s">
        <v>6318</v>
      </c>
      <c r="C3074" s="81" t="s">
        <v>4086</v>
      </c>
      <c r="D3074" s="83" t="s">
        <v>4802</v>
      </c>
      <c r="E3074" s="81" t="s">
        <v>3852</v>
      </c>
      <c r="F3074" s="84">
        <v>740.0</v>
      </c>
      <c r="G3074" s="81" t="s">
        <v>39</v>
      </c>
      <c r="H3074" s="81" t="s">
        <v>6247</v>
      </c>
      <c r="I3074" s="81" t="s">
        <v>3853</v>
      </c>
      <c r="J3074" s="81" t="s">
        <v>224</v>
      </c>
    </row>
    <row r="3075" hidden="1">
      <c r="A3075" s="83" t="s">
        <v>6317</v>
      </c>
      <c r="B3075" s="83" t="s">
        <v>6318</v>
      </c>
      <c r="C3075" s="81" t="s">
        <v>5141</v>
      </c>
      <c r="D3075" s="83" t="s">
        <v>4802</v>
      </c>
      <c r="E3075" s="81" t="s">
        <v>3852</v>
      </c>
      <c r="F3075" s="84">
        <v>740.0</v>
      </c>
      <c r="G3075" s="81" t="s">
        <v>40</v>
      </c>
      <c r="H3075" s="81" t="s">
        <v>6248</v>
      </c>
      <c r="I3075" s="81" t="s">
        <v>224</v>
      </c>
      <c r="J3075" s="81" t="s">
        <v>5143</v>
      </c>
    </row>
    <row r="3076" hidden="1">
      <c r="A3076" s="83" t="s">
        <v>6317</v>
      </c>
      <c r="B3076" s="83" t="s">
        <v>6318</v>
      </c>
      <c r="C3076" s="81" t="s">
        <v>4086</v>
      </c>
      <c r="D3076" s="83" t="s">
        <v>4803</v>
      </c>
      <c r="E3076" s="81" t="s">
        <v>3854</v>
      </c>
      <c r="F3076" s="84">
        <v>741.0</v>
      </c>
      <c r="G3076" s="81" t="s">
        <v>39</v>
      </c>
      <c r="H3076" s="81" t="s">
        <v>6249</v>
      </c>
      <c r="I3076" s="81" t="s">
        <v>3856</v>
      </c>
      <c r="J3076" s="81" t="s">
        <v>224</v>
      </c>
    </row>
    <row r="3077" hidden="1">
      <c r="A3077" s="83" t="s">
        <v>6317</v>
      </c>
      <c r="B3077" s="83" t="s">
        <v>6318</v>
      </c>
      <c r="C3077" s="81" t="s">
        <v>5141</v>
      </c>
      <c r="D3077" s="83" t="s">
        <v>4803</v>
      </c>
      <c r="E3077" s="81" t="s">
        <v>3854</v>
      </c>
      <c r="F3077" s="84">
        <v>741.0</v>
      </c>
      <c r="G3077" s="81" t="s">
        <v>40</v>
      </c>
      <c r="H3077" s="81" t="s">
        <v>6250</v>
      </c>
      <c r="I3077" s="81" t="s">
        <v>224</v>
      </c>
      <c r="J3077" s="81" t="s">
        <v>5143</v>
      </c>
    </row>
    <row r="3078" hidden="1">
      <c r="A3078" s="83" t="s">
        <v>6317</v>
      </c>
      <c r="B3078" s="83" t="s">
        <v>6318</v>
      </c>
      <c r="C3078" s="81" t="s">
        <v>5141</v>
      </c>
      <c r="D3078" s="83" t="s">
        <v>4804</v>
      </c>
      <c r="E3078" s="81" t="s">
        <v>3857</v>
      </c>
      <c r="F3078" s="84">
        <v>742.0</v>
      </c>
      <c r="G3078" s="81" t="s">
        <v>39</v>
      </c>
      <c r="H3078" s="81" t="s">
        <v>5425</v>
      </c>
      <c r="I3078" s="81" t="s">
        <v>224</v>
      </c>
      <c r="J3078" s="81" t="s">
        <v>5143</v>
      </c>
    </row>
    <row r="3079" hidden="1">
      <c r="A3079" s="83" t="s">
        <v>6317</v>
      </c>
      <c r="B3079" s="83" t="s">
        <v>6318</v>
      </c>
      <c r="C3079" s="81" t="s">
        <v>5141</v>
      </c>
      <c r="D3079" s="83" t="s">
        <v>4804</v>
      </c>
      <c r="E3079" s="81" t="s">
        <v>3857</v>
      </c>
      <c r="F3079" s="84">
        <v>742.0</v>
      </c>
      <c r="G3079" s="81" t="s">
        <v>40</v>
      </c>
      <c r="H3079" s="81" t="s">
        <v>5426</v>
      </c>
      <c r="I3079" s="81" t="s">
        <v>224</v>
      </c>
      <c r="J3079" s="81" t="s">
        <v>5143</v>
      </c>
    </row>
    <row r="3080" hidden="1">
      <c r="A3080" s="83" t="s">
        <v>6317</v>
      </c>
      <c r="B3080" s="83" t="s">
        <v>6318</v>
      </c>
      <c r="C3080" s="81" t="s">
        <v>5141</v>
      </c>
      <c r="D3080" s="83" t="s">
        <v>4804</v>
      </c>
      <c r="E3080" s="81" t="s">
        <v>3858</v>
      </c>
      <c r="F3080" s="84">
        <v>743.0</v>
      </c>
      <c r="G3080" s="81" t="s">
        <v>39</v>
      </c>
      <c r="H3080" s="81" t="s">
        <v>5425</v>
      </c>
      <c r="I3080" s="81" t="s">
        <v>224</v>
      </c>
      <c r="J3080" s="81" t="s">
        <v>5143</v>
      </c>
    </row>
    <row r="3081" hidden="1">
      <c r="A3081" s="83" t="s">
        <v>6317</v>
      </c>
      <c r="B3081" s="83" t="s">
        <v>6318</v>
      </c>
      <c r="C3081" s="81" t="s">
        <v>5141</v>
      </c>
      <c r="D3081" s="83" t="s">
        <v>4804</v>
      </c>
      <c r="E3081" s="81" t="s">
        <v>3858</v>
      </c>
      <c r="F3081" s="84">
        <v>743.0</v>
      </c>
      <c r="G3081" s="81" t="s">
        <v>40</v>
      </c>
      <c r="H3081" s="81" t="s">
        <v>5426</v>
      </c>
      <c r="I3081" s="81" t="s">
        <v>224</v>
      </c>
      <c r="J3081" s="81" t="s">
        <v>5143</v>
      </c>
    </row>
    <row r="3082" hidden="1">
      <c r="A3082" s="83" t="s">
        <v>6317</v>
      </c>
      <c r="B3082" s="83" t="s">
        <v>6318</v>
      </c>
      <c r="C3082" s="81" t="s">
        <v>5141</v>
      </c>
      <c r="D3082" s="83" t="s">
        <v>4805</v>
      </c>
      <c r="E3082" s="81" t="s">
        <v>3859</v>
      </c>
      <c r="F3082" s="84">
        <v>744.0</v>
      </c>
      <c r="G3082" s="81" t="s">
        <v>39</v>
      </c>
      <c r="H3082" s="81" t="s">
        <v>5423</v>
      </c>
      <c r="I3082" s="81" t="s">
        <v>224</v>
      </c>
      <c r="J3082" s="81" t="s">
        <v>5143</v>
      </c>
    </row>
    <row r="3083" hidden="1">
      <c r="A3083" s="83" t="s">
        <v>6317</v>
      </c>
      <c r="B3083" s="83" t="s">
        <v>6318</v>
      </c>
      <c r="C3083" s="81" t="s">
        <v>5141</v>
      </c>
      <c r="D3083" s="83" t="s">
        <v>4805</v>
      </c>
      <c r="E3083" s="81" t="s">
        <v>3859</v>
      </c>
      <c r="F3083" s="84">
        <v>744.0</v>
      </c>
      <c r="G3083" s="81" t="s">
        <v>40</v>
      </c>
      <c r="H3083" s="81" t="s">
        <v>5424</v>
      </c>
      <c r="I3083" s="81" t="s">
        <v>224</v>
      </c>
      <c r="J3083" s="81" t="s">
        <v>5143</v>
      </c>
    </row>
    <row r="3084" hidden="1">
      <c r="A3084" s="83" t="s">
        <v>6317</v>
      </c>
      <c r="B3084" s="83" t="s">
        <v>6318</v>
      </c>
      <c r="C3084" s="81" t="s">
        <v>5141</v>
      </c>
      <c r="D3084" s="83" t="s">
        <v>4806</v>
      </c>
      <c r="E3084" s="81" t="s">
        <v>3860</v>
      </c>
      <c r="F3084" s="84">
        <v>745.0</v>
      </c>
      <c r="G3084" s="81" t="s">
        <v>39</v>
      </c>
      <c r="H3084" s="81" t="s">
        <v>6251</v>
      </c>
      <c r="I3084" s="81" t="s">
        <v>224</v>
      </c>
      <c r="J3084" s="81" t="s">
        <v>5143</v>
      </c>
    </row>
    <row r="3085" hidden="1">
      <c r="A3085" s="83" t="s">
        <v>6317</v>
      </c>
      <c r="B3085" s="83" t="s">
        <v>6318</v>
      </c>
      <c r="C3085" s="81" t="s">
        <v>5141</v>
      </c>
      <c r="D3085" s="83" t="s">
        <v>4806</v>
      </c>
      <c r="E3085" s="81" t="s">
        <v>3860</v>
      </c>
      <c r="F3085" s="84">
        <v>745.0</v>
      </c>
      <c r="G3085" s="81" t="s">
        <v>40</v>
      </c>
      <c r="H3085" s="81" t="s">
        <v>5422</v>
      </c>
      <c r="I3085" s="81" t="s">
        <v>224</v>
      </c>
      <c r="J3085" s="81" t="s">
        <v>5143</v>
      </c>
    </row>
    <row r="3086" hidden="1">
      <c r="A3086" s="83" t="s">
        <v>6317</v>
      </c>
      <c r="B3086" s="83" t="s">
        <v>6318</v>
      </c>
      <c r="C3086" s="81" t="s">
        <v>5141</v>
      </c>
      <c r="D3086" s="83" t="s">
        <v>4806</v>
      </c>
      <c r="E3086" s="81" t="s">
        <v>3861</v>
      </c>
      <c r="F3086" s="84">
        <v>746.0</v>
      </c>
      <c r="G3086" s="81" t="s">
        <v>39</v>
      </c>
      <c r="H3086" s="81" t="s">
        <v>6251</v>
      </c>
      <c r="I3086" s="81" t="s">
        <v>224</v>
      </c>
      <c r="J3086" s="81" t="s">
        <v>5143</v>
      </c>
    </row>
    <row r="3087" hidden="1">
      <c r="A3087" s="83" t="s">
        <v>6317</v>
      </c>
      <c r="B3087" s="83" t="s">
        <v>6318</v>
      </c>
      <c r="C3087" s="81" t="s">
        <v>5141</v>
      </c>
      <c r="D3087" s="83" t="s">
        <v>4806</v>
      </c>
      <c r="E3087" s="81" t="s">
        <v>3861</v>
      </c>
      <c r="F3087" s="84">
        <v>746.0</v>
      </c>
      <c r="G3087" s="81" t="s">
        <v>40</v>
      </c>
      <c r="H3087" s="81" t="s">
        <v>5422</v>
      </c>
      <c r="I3087" s="81" t="s">
        <v>224</v>
      </c>
      <c r="J3087" s="81" t="s">
        <v>5143</v>
      </c>
    </row>
    <row r="3088" hidden="1">
      <c r="A3088" s="83" t="s">
        <v>6317</v>
      </c>
      <c r="B3088" s="83" t="s">
        <v>6318</v>
      </c>
      <c r="C3088" s="81" t="s">
        <v>5141</v>
      </c>
      <c r="D3088" s="83" t="s">
        <v>4807</v>
      </c>
      <c r="E3088" s="81" t="s">
        <v>3862</v>
      </c>
      <c r="F3088" s="84">
        <v>747.0</v>
      </c>
      <c r="G3088" s="81" t="s">
        <v>39</v>
      </c>
      <c r="H3088" s="81" t="s">
        <v>6252</v>
      </c>
      <c r="I3088" s="81" t="s">
        <v>224</v>
      </c>
      <c r="J3088" s="81" t="s">
        <v>5143</v>
      </c>
    </row>
    <row r="3089" hidden="1">
      <c r="A3089" s="83" t="s">
        <v>6317</v>
      </c>
      <c r="B3089" s="83" t="s">
        <v>6318</v>
      </c>
      <c r="C3089" s="81" t="s">
        <v>5141</v>
      </c>
      <c r="D3089" s="83" t="s">
        <v>4807</v>
      </c>
      <c r="E3089" s="81" t="s">
        <v>3862</v>
      </c>
      <c r="F3089" s="84">
        <v>747.0</v>
      </c>
      <c r="G3089" s="81" t="s">
        <v>40</v>
      </c>
      <c r="H3089" s="81" t="s">
        <v>5419</v>
      </c>
      <c r="I3089" s="81" t="s">
        <v>224</v>
      </c>
      <c r="J3089" s="81" t="s">
        <v>5143</v>
      </c>
    </row>
    <row r="3090" hidden="1">
      <c r="A3090" s="83" t="s">
        <v>6317</v>
      </c>
      <c r="B3090" s="83" t="s">
        <v>6318</v>
      </c>
      <c r="C3090" s="81" t="s">
        <v>4086</v>
      </c>
      <c r="D3090" s="83" t="s">
        <v>4808</v>
      </c>
      <c r="E3090" s="81" t="s">
        <v>3863</v>
      </c>
      <c r="F3090" s="84">
        <v>748.0</v>
      </c>
      <c r="G3090" s="81" t="s">
        <v>39</v>
      </c>
      <c r="H3090" s="81" t="s">
        <v>6253</v>
      </c>
      <c r="I3090" s="81" t="s">
        <v>3864</v>
      </c>
      <c r="J3090" s="81" t="s">
        <v>224</v>
      </c>
    </row>
    <row r="3091" hidden="1">
      <c r="A3091" s="83" t="s">
        <v>6317</v>
      </c>
      <c r="B3091" s="83" t="s">
        <v>6318</v>
      </c>
      <c r="C3091" s="81" t="s">
        <v>4086</v>
      </c>
      <c r="D3091" s="83" t="s">
        <v>4808</v>
      </c>
      <c r="E3091" s="81" t="s">
        <v>3863</v>
      </c>
      <c r="F3091" s="84">
        <v>748.0</v>
      </c>
      <c r="G3091" s="81" t="s">
        <v>40</v>
      </c>
      <c r="H3091" s="81" t="s">
        <v>6254</v>
      </c>
      <c r="I3091" s="81" t="s">
        <v>3865</v>
      </c>
      <c r="J3091" s="81" t="s">
        <v>224</v>
      </c>
    </row>
    <row r="3092" hidden="1">
      <c r="A3092" s="83" t="s">
        <v>6317</v>
      </c>
      <c r="B3092" s="83" t="s">
        <v>6318</v>
      </c>
      <c r="C3092" s="81" t="s">
        <v>4086</v>
      </c>
      <c r="D3092" s="83" t="s">
        <v>4808</v>
      </c>
      <c r="E3092" s="81" t="s">
        <v>3867</v>
      </c>
      <c r="F3092" s="84">
        <v>749.0</v>
      </c>
      <c r="G3092" s="81" t="s">
        <v>39</v>
      </c>
      <c r="H3092" s="81" t="s">
        <v>6253</v>
      </c>
      <c r="I3092" s="81" t="s">
        <v>3864</v>
      </c>
      <c r="J3092" s="81" t="s">
        <v>224</v>
      </c>
    </row>
    <row r="3093" hidden="1">
      <c r="A3093" s="83" t="s">
        <v>6317</v>
      </c>
      <c r="B3093" s="83" t="s">
        <v>6318</v>
      </c>
      <c r="C3093" s="81" t="s">
        <v>4086</v>
      </c>
      <c r="D3093" s="83" t="s">
        <v>4808</v>
      </c>
      <c r="E3093" s="81" t="s">
        <v>3867</v>
      </c>
      <c r="F3093" s="84">
        <v>749.0</v>
      </c>
      <c r="G3093" s="81" t="s">
        <v>40</v>
      </c>
      <c r="H3093" s="81" t="s">
        <v>6254</v>
      </c>
      <c r="I3093" s="81" t="s">
        <v>3865</v>
      </c>
      <c r="J3093" s="81" t="s">
        <v>224</v>
      </c>
    </row>
    <row r="3094" hidden="1">
      <c r="A3094" s="83" t="s">
        <v>6317</v>
      </c>
      <c r="B3094" s="83" t="s">
        <v>6318</v>
      </c>
      <c r="C3094" s="81" t="s">
        <v>4086</v>
      </c>
      <c r="D3094" s="83" t="s">
        <v>4809</v>
      </c>
      <c r="E3094" s="81" t="s">
        <v>3868</v>
      </c>
      <c r="F3094" s="84">
        <v>750.0</v>
      </c>
      <c r="G3094" s="81" t="s">
        <v>39</v>
      </c>
      <c r="H3094" s="81" t="s">
        <v>6255</v>
      </c>
      <c r="I3094" s="81" t="s">
        <v>3869</v>
      </c>
      <c r="J3094" s="81" t="s">
        <v>224</v>
      </c>
    </row>
    <row r="3095" hidden="1">
      <c r="A3095" s="83" t="s">
        <v>6317</v>
      </c>
      <c r="B3095" s="83" t="s">
        <v>6318</v>
      </c>
      <c r="C3095" s="81" t="s">
        <v>4086</v>
      </c>
      <c r="D3095" s="83" t="s">
        <v>4809</v>
      </c>
      <c r="E3095" s="81" t="s">
        <v>3868</v>
      </c>
      <c r="F3095" s="84">
        <v>750.0</v>
      </c>
      <c r="G3095" s="81" t="s">
        <v>40</v>
      </c>
      <c r="H3095" s="81" t="s">
        <v>6256</v>
      </c>
      <c r="I3095" s="81" t="s">
        <v>3870</v>
      </c>
      <c r="J3095" s="81" t="s">
        <v>224</v>
      </c>
    </row>
    <row r="3096" hidden="1">
      <c r="A3096" s="83" t="s">
        <v>6317</v>
      </c>
      <c r="B3096" s="83" t="s">
        <v>6318</v>
      </c>
      <c r="C3096" s="81" t="s">
        <v>4086</v>
      </c>
      <c r="D3096" s="83" t="s">
        <v>4810</v>
      </c>
      <c r="E3096" s="81" t="s">
        <v>3871</v>
      </c>
      <c r="F3096" s="84">
        <v>751.0</v>
      </c>
      <c r="G3096" s="81" t="s">
        <v>40</v>
      </c>
      <c r="H3096" s="81" t="s">
        <v>49</v>
      </c>
      <c r="I3096" s="81" t="s">
        <v>3873</v>
      </c>
      <c r="J3096" s="81" t="s">
        <v>224</v>
      </c>
    </row>
    <row r="3097" hidden="1">
      <c r="A3097" s="83" t="s">
        <v>6317</v>
      </c>
      <c r="B3097" s="83" t="s">
        <v>6318</v>
      </c>
      <c r="C3097" s="81" t="s">
        <v>5141</v>
      </c>
      <c r="D3097" s="83" t="s">
        <v>4810</v>
      </c>
      <c r="E3097" s="81" t="s">
        <v>3871</v>
      </c>
      <c r="F3097" s="84">
        <v>751.0</v>
      </c>
      <c r="G3097" s="81" t="s">
        <v>43</v>
      </c>
      <c r="H3097" s="81" t="s">
        <v>49</v>
      </c>
      <c r="I3097" s="81" t="s">
        <v>224</v>
      </c>
      <c r="J3097" s="81" t="s">
        <v>5143</v>
      </c>
    </row>
    <row r="3098" hidden="1">
      <c r="A3098" s="83" t="s">
        <v>6317</v>
      </c>
      <c r="B3098" s="83" t="s">
        <v>6318</v>
      </c>
      <c r="C3098" s="81" t="s">
        <v>4086</v>
      </c>
      <c r="D3098" s="83" t="s">
        <v>4811</v>
      </c>
      <c r="E3098" s="81" t="s">
        <v>3874</v>
      </c>
      <c r="F3098" s="84">
        <v>752.0</v>
      </c>
      <c r="G3098" s="81" t="s">
        <v>40</v>
      </c>
      <c r="H3098" s="81" t="s">
        <v>6257</v>
      </c>
      <c r="I3098" s="81" t="s">
        <v>3876</v>
      </c>
      <c r="J3098" s="81" t="s">
        <v>224</v>
      </c>
    </row>
    <row r="3099" hidden="1">
      <c r="A3099" s="83" t="s">
        <v>6317</v>
      </c>
      <c r="B3099" s="83" t="s">
        <v>6318</v>
      </c>
      <c r="C3099" s="81" t="s">
        <v>5141</v>
      </c>
      <c r="D3099" s="83" t="s">
        <v>4811</v>
      </c>
      <c r="E3099" s="81" t="s">
        <v>3874</v>
      </c>
      <c r="F3099" s="84">
        <v>752.0</v>
      </c>
      <c r="G3099" s="81" t="s">
        <v>43</v>
      </c>
      <c r="H3099" s="81" t="s">
        <v>49</v>
      </c>
      <c r="I3099" s="81" t="s">
        <v>224</v>
      </c>
      <c r="J3099" s="81" t="s">
        <v>5143</v>
      </c>
    </row>
    <row r="3100" hidden="1">
      <c r="A3100" s="83" t="s">
        <v>6317</v>
      </c>
      <c r="B3100" s="83" t="s">
        <v>6318</v>
      </c>
      <c r="C3100" s="81" t="s">
        <v>4086</v>
      </c>
      <c r="D3100" s="83" t="s">
        <v>4813</v>
      </c>
      <c r="E3100" s="81" t="s">
        <v>3877</v>
      </c>
      <c r="F3100" s="84">
        <v>753.0</v>
      </c>
      <c r="G3100" s="81" t="s">
        <v>40</v>
      </c>
      <c r="H3100" s="81" t="s">
        <v>6258</v>
      </c>
      <c r="I3100" s="81" t="s">
        <v>3876</v>
      </c>
      <c r="J3100" s="81" t="s">
        <v>224</v>
      </c>
    </row>
    <row r="3101" hidden="1">
      <c r="A3101" s="83" t="s">
        <v>6317</v>
      </c>
      <c r="B3101" s="83" t="s">
        <v>6318</v>
      </c>
      <c r="C3101" s="81" t="s">
        <v>5141</v>
      </c>
      <c r="D3101" s="83" t="s">
        <v>4813</v>
      </c>
      <c r="E3101" s="81" t="s">
        <v>3877</v>
      </c>
      <c r="F3101" s="84">
        <v>753.0</v>
      </c>
      <c r="G3101" s="81" t="s">
        <v>43</v>
      </c>
      <c r="H3101" s="81" t="s">
        <v>49</v>
      </c>
      <c r="I3101" s="81" t="s">
        <v>224</v>
      </c>
      <c r="J3101" s="81" t="s">
        <v>5143</v>
      </c>
    </row>
    <row r="3102" hidden="1">
      <c r="A3102" s="83" t="s">
        <v>6317</v>
      </c>
      <c r="B3102" s="83" t="s">
        <v>6318</v>
      </c>
      <c r="C3102" s="81" t="s">
        <v>4086</v>
      </c>
      <c r="D3102" s="83" t="s">
        <v>4814</v>
      </c>
      <c r="E3102" s="81" t="s">
        <v>3879</v>
      </c>
      <c r="F3102" s="84">
        <v>754.0</v>
      </c>
      <c r="G3102" s="81" t="s">
        <v>40</v>
      </c>
      <c r="H3102" s="81" t="s">
        <v>6259</v>
      </c>
      <c r="I3102" s="81" t="s">
        <v>3881</v>
      </c>
      <c r="J3102" s="81" t="s">
        <v>224</v>
      </c>
    </row>
    <row r="3103" hidden="1">
      <c r="A3103" s="83" t="s">
        <v>6317</v>
      </c>
      <c r="B3103" s="83" t="s">
        <v>6318</v>
      </c>
      <c r="C3103" s="81" t="s">
        <v>5141</v>
      </c>
      <c r="D3103" s="83" t="s">
        <v>4814</v>
      </c>
      <c r="E3103" s="81" t="s">
        <v>3879</v>
      </c>
      <c r="F3103" s="84">
        <v>754.0</v>
      </c>
      <c r="G3103" s="81" t="s">
        <v>43</v>
      </c>
      <c r="H3103" s="81" t="s">
        <v>49</v>
      </c>
      <c r="I3103" s="81" t="s">
        <v>224</v>
      </c>
      <c r="J3103" s="81" t="s">
        <v>5143</v>
      </c>
    </row>
    <row r="3104" hidden="1">
      <c r="A3104" s="83" t="s">
        <v>6317</v>
      </c>
      <c r="B3104" s="83" t="s">
        <v>6318</v>
      </c>
      <c r="C3104" s="81" t="s">
        <v>4086</v>
      </c>
      <c r="D3104" s="83" t="s">
        <v>4815</v>
      </c>
      <c r="E3104" s="81" t="s">
        <v>3882</v>
      </c>
      <c r="F3104" s="84">
        <v>755.0</v>
      </c>
      <c r="G3104" s="81" t="s">
        <v>40</v>
      </c>
      <c r="H3104" s="81" t="s">
        <v>6260</v>
      </c>
      <c r="I3104" s="81" t="s">
        <v>3884</v>
      </c>
      <c r="J3104" s="81" t="s">
        <v>224</v>
      </c>
    </row>
    <row r="3105" hidden="1">
      <c r="A3105" s="83" t="s">
        <v>6317</v>
      </c>
      <c r="B3105" s="83" t="s">
        <v>6318</v>
      </c>
      <c r="C3105" s="81" t="s">
        <v>5141</v>
      </c>
      <c r="D3105" s="83" t="s">
        <v>4815</v>
      </c>
      <c r="E3105" s="81" t="s">
        <v>3882</v>
      </c>
      <c r="F3105" s="84">
        <v>755.0</v>
      </c>
      <c r="G3105" s="81" t="s">
        <v>43</v>
      </c>
      <c r="H3105" s="81" t="s">
        <v>49</v>
      </c>
      <c r="I3105" s="81" t="s">
        <v>224</v>
      </c>
      <c r="J3105" s="81" t="s">
        <v>5143</v>
      </c>
    </row>
    <row r="3106" hidden="1">
      <c r="A3106" s="83" t="s">
        <v>6317</v>
      </c>
      <c r="B3106" s="83" t="s">
        <v>6318</v>
      </c>
      <c r="C3106" s="81" t="s">
        <v>4086</v>
      </c>
      <c r="D3106" s="83" t="s">
        <v>4816</v>
      </c>
      <c r="E3106" s="81" t="s">
        <v>3885</v>
      </c>
      <c r="F3106" s="84">
        <v>756.0</v>
      </c>
      <c r="G3106" s="81" t="s">
        <v>40</v>
      </c>
      <c r="H3106" s="81" t="s">
        <v>6261</v>
      </c>
      <c r="I3106" s="81" t="s">
        <v>3890</v>
      </c>
      <c r="J3106" s="81" t="s">
        <v>224</v>
      </c>
    </row>
    <row r="3107" hidden="1">
      <c r="A3107" s="83" t="s">
        <v>6317</v>
      </c>
      <c r="B3107" s="83" t="s">
        <v>6318</v>
      </c>
      <c r="C3107" s="81" t="s">
        <v>5141</v>
      </c>
      <c r="D3107" s="83" t="s">
        <v>4816</v>
      </c>
      <c r="E3107" s="81" t="s">
        <v>3885</v>
      </c>
      <c r="F3107" s="84">
        <v>756.0</v>
      </c>
      <c r="G3107" s="81" t="s">
        <v>43</v>
      </c>
      <c r="H3107" s="81" t="s">
        <v>3892</v>
      </c>
      <c r="I3107" s="81" t="s">
        <v>224</v>
      </c>
      <c r="J3107" s="81" t="s">
        <v>5143</v>
      </c>
    </row>
    <row r="3108" hidden="1">
      <c r="A3108" s="83" t="s">
        <v>6317</v>
      </c>
      <c r="B3108" s="83" t="s">
        <v>6318</v>
      </c>
      <c r="C3108" s="81" t="s">
        <v>4086</v>
      </c>
      <c r="D3108" s="83" t="s">
        <v>4816</v>
      </c>
      <c r="E3108" s="81" t="s">
        <v>3895</v>
      </c>
      <c r="F3108" s="84">
        <v>757.0</v>
      </c>
      <c r="G3108" s="81" t="s">
        <v>40</v>
      </c>
      <c r="H3108" s="81" t="s">
        <v>6261</v>
      </c>
      <c r="I3108" s="81" t="s">
        <v>3890</v>
      </c>
      <c r="J3108" s="81" t="s">
        <v>224</v>
      </c>
    </row>
    <row r="3109" hidden="1">
      <c r="A3109" s="83" t="s">
        <v>6317</v>
      </c>
      <c r="B3109" s="83" t="s">
        <v>6318</v>
      </c>
      <c r="C3109" s="81" t="s">
        <v>5141</v>
      </c>
      <c r="D3109" s="83" t="s">
        <v>4816</v>
      </c>
      <c r="E3109" s="81" t="s">
        <v>3895</v>
      </c>
      <c r="F3109" s="84">
        <v>757.0</v>
      </c>
      <c r="G3109" s="81" t="s">
        <v>43</v>
      </c>
      <c r="H3109" s="81" t="s">
        <v>3892</v>
      </c>
      <c r="I3109" s="81" t="s">
        <v>224</v>
      </c>
      <c r="J3109" s="81" t="s">
        <v>5143</v>
      </c>
    </row>
    <row r="3110" hidden="1">
      <c r="A3110" s="83" t="s">
        <v>6317</v>
      </c>
      <c r="B3110" s="83" t="s">
        <v>6318</v>
      </c>
      <c r="C3110" s="81" t="s">
        <v>4086</v>
      </c>
      <c r="D3110" s="83" t="s">
        <v>4818</v>
      </c>
      <c r="E3110" s="81" t="s">
        <v>3896</v>
      </c>
      <c r="F3110" s="84">
        <v>758.0</v>
      </c>
      <c r="G3110" s="81" t="s">
        <v>39</v>
      </c>
      <c r="H3110" s="81" t="s">
        <v>6262</v>
      </c>
      <c r="I3110" s="81" t="s">
        <v>3897</v>
      </c>
      <c r="J3110" s="81" t="s">
        <v>224</v>
      </c>
    </row>
    <row r="3111" hidden="1">
      <c r="A3111" s="83" t="s">
        <v>6317</v>
      </c>
      <c r="B3111" s="83" t="s">
        <v>6318</v>
      </c>
      <c r="C3111" s="81" t="s">
        <v>4086</v>
      </c>
      <c r="D3111" s="83" t="s">
        <v>4818</v>
      </c>
      <c r="E3111" s="81" t="s">
        <v>3896</v>
      </c>
      <c r="F3111" s="84">
        <v>758.0</v>
      </c>
      <c r="G3111" s="81" t="s">
        <v>40</v>
      </c>
      <c r="H3111" s="81" t="s">
        <v>6263</v>
      </c>
      <c r="I3111" s="81" t="s">
        <v>6264</v>
      </c>
      <c r="J3111" s="81" t="s">
        <v>224</v>
      </c>
    </row>
    <row r="3112" hidden="1">
      <c r="A3112" s="83" t="s">
        <v>6317</v>
      </c>
      <c r="B3112" s="83" t="s">
        <v>6318</v>
      </c>
      <c r="C3112" s="81" t="s">
        <v>5141</v>
      </c>
      <c r="D3112" s="83" t="s">
        <v>4818</v>
      </c>
      <c r="E3112" s="81" t="s">
        <v>3896</v>
      </c>
      <c r="F3112" s="84">
        <v>758.0</v>
      </c>
      <c r="G3112" s="81" t="s">
        <v>43</v>
      </c>
      <c r="H3112" s="81" t="s">
        <v>3892</v>
      </c>
      <c r="I3112" s="81" t="s">
        <v>224</v>
      </c>
      <c r="J3112" s="81" t="s">
        <v>5143</v>
      </c>
    </row>
    <row r="3113" hidden="1">
      <c r="A3113" s="83" t="s">
        <v>6317</v>
      </c>
      <c r="B3113" s="83" t="s">
        <v>6318</v>
      </c>
      <c r="C3113" s="81" t="s">
        <v>4086</v>
      </c>
      <c r="D3113" s="83" t="s">
        <v>4776</v>
      </c>
      <c r="E3113" s="81" t="s">
        <v>3899</v>
      </c>
      <c r="F3113" s="84">
        <v>759.0</v>
      </c>
      <c r="G3113" s="81" t="s">
        <v>39</v>
      </c>
      <c r="H3113" s="81" t="s">
        <v>6205</v>
      </c>
      <c r="I3113" s="81" t="s">
        <v>3714</v>
      </c>
      <c r="J3113" s="81" t="s">
        <v>224</v>
      </c>
    </row>
    <row r="3114" hidden="1">
      <c r="A3114" s="83" t="s">
        <v>6317</v>
      </c>
      <c r="B3114" s="83" t="s">
        <v>6318</v>
      </c>
      <c r="C3114" s="81" t="s">
        <v>4086</v>
      </c>
      <c r="D3114" s="83" t="s">
        <v>4776</v>
      </c>
      <c r="E3114" s="81" t="s">
        <v>3899</v>
      </c>
      <c r="F3114" s="84">
        <v>759.0</v>
      </c>
      <c r="G3114" s="81" t="s">
        <v>40</v>
      </c>
      <c r="H3114" s="81" t="s">
        <v>6206</v>
      </c>
      <c r="I3114" s="81" t="s">
        <v>6207</v>
      </c>
      <c r="J3114" s="81" t="s">
        <v>224</v>
      </c>
    </row>
    <row r="3115" hidden="1">
      <c r="A3115" s="83" t="s">
        <v>6317</v>
      </c>
      <c r="B3115" s="83" t="s">
        <v>6318</v>
      </c>
      <c r="C3115" s="81" t="s">
        <v>5141</v>
      </c>
      <c r="D3115" s="83" t="s">
        <v>4776</v>
      </c>
      <c r="E3115" s="81" t="s">
        <v>3899</v>
      </c>
      <c r="F3115" s="84">
        <v>759.0</v>
      </c>
      <c r="G3115" s="81" t="s">
        <v>43</v>
      </c>
      <c r="H3115" s="81" t="s">
        <v>6195</v>
      </c>
      <c r="I3115" s="81" t="s">
        <v>224</v>
      </c>
      <c r="J3115" s="81" t="s">
        <v>5143</v>
      </c>
    </row>
    <row r="3116" hidden="1">
      <c r="A3116" s="83" t="s">
        <v>6317</v>
      </c>
      <c r="B3116" s="83" t="s">
        <v>6318</v>
      </c>
      <c r="C3116" s="81" t="s">
        <v>4086</v>
      </c>
      <c r="D3116" s="83" t="s">
        <v>4819</v>
      </c>
      <c r="E3116" s="81" t="s">
        <v>3900</v>
      </c>
      <c r="F3116" s="84">
        <v>760.0</v>
      </c>
      <c r="G3116" s="81" t="s">
        <v>39</v>
      </c>
      <c r="H3116" s="81" t="s">
        <v>6265</v>
      </c>
      <c r="I3116" s="81" t="s">
        <v>3901</v>
      </c>
      <c r="J3116" s="81" t="s">
        <v>224</v>
      </c>
    </row>
    <row r="3117" hidden="1">
      <c r="A3117" s="83" t="s">
        <v>6317</v>
      </c>
      <c r="B3117" s="83" t="s">
        <v>6318</v>
      </c>
      <c r="C3117" s="81" t="s">
        <v>4086</v>
      </c>
      <c r="D3117" s="83" t="s">
        <v>4819</v>
      </c>
      <c r="E3117" s="81" t="s">
        <v>3900</v>
      </c>
      <c r="F3117" s="84">
        <v>760.0</v>
      </c>
      <c r="G3117" s="81" t="s">
        <v>40</v>
      </c>
      <c r="H3117" s="81" t="s">
        <v>6266</v>
      </c>
      <c r="I3117" s="81" t="s">
        <v>6267</v>
      </c>
      <c r="J3117" s="81" t="s">
        <v>224</v>
      </c>
    </row>
    <row r="3118" hidden="1">
      <c r="A3118" s="83" t="s">
        <v>6317</v>
      </c>
      <c r="B3118" s="83" t="s">
        <v>6318</v>
      </c>
      <c r="C3118" s="81" t="s">
        <v>5141</v>
      </c>
      <c r="D3118" s="83" t="s">
        <v>4819</v>
      </c>
      <c r="E3118" s="81" t="s">
        <v>3900</v>
      </c>
      <c r="F3118" s="84">
        <v>760.0</v>
      </c>
      <c r="G3118" s="81" t="s">
        <v>43</v>
      </c>
      <c r="H3118" s="81" t="s">
        <v>6195</v>
      </c>
      <c r="I3118" s="81" t="s">
        <v>224</v>
      </c>
      <c r="J3118" s="81" t="s">
        <v>5143</v>
      </c>
    </row>
    <row r="3119" hidden="1">
      <c r="A3119" s="83" t="s">
        <v>6317</v>
      </c>
      <c r="B3119" s="83" t="s">
        <v>6318</v>
      </c>
      <c r="C3119" s="81" t="s">
        <v>4086</v>
      </c>
      <c r="D3119" s="83" t="s">
        <v>4820</v>
      </c>
      <c r="E3119" s="81" t="s">
        <v>3903</v>
      </c>
      <c r="F3119" s="84">
        <v>761.0</v>
      </c>
      <c r="G3119" s="81" t="s">
        <v>40</v>
      </c>
      <c r="H3119" s="81" t="s">
        <v>49</v>
      </c>
      <c r="I3119" s="81" t="s">
        <v>3905</v>
      </c>
      <c r="J3119" s="81" t="s">
        <v>224</v>
      </c>
    </row>
    <row r="3120" hidden="1">
      <c r="A3120" s="83" t="s">
        <v>6317</v>
      </c>
      <c r="B3120" s="83" t="s">
        <v>6318</v>
      </c>
      <c r="C3120" s="81" t="s">
        <v>5141</v>
      </c>
      <c r="D3120" s="83" t="s">
        <v>4820</v>
      </c>
      <c r="E3120" s="81" t="s">
        <v>3903</v>
      </c>
      <c r="F3120" s="84">
        <v>761.0</v>
      </c>
      <c r="G3120" s="81" t="s">
        <v>43</v>
      </c>
      <c r="H3120" s="81" t="s">
        <v>49</v>
      </c>
      <c r="I3120" s="81" t="s">
        <v>224</v>
      </c>
      <c r="J3120" s="81" t="s">
        <v>5143</v>
      </c>
    </row>
    <row r="3121" hidden="1">
      <c r="A3121" s="83" t="s">
        <v>6317</v>
      </c>
      <c r="B3121" s="83" t="s">
        <v>6318</v>
      </c>
      <c r="C3121" s="81" t="s">
        <v>4086</v>
      </c>
      <c r="D3121" s="83" t="s">
        <v>4821</v>
      </c>
      <c r="E3121" s="81" t="s">
        <v>3906</v>
      </c>
      <c r="F3121" s="84">
        <v>762.0</v>
      </c>
      <c r="G3121" s="81" t="s">
        <v>40</v>
      </c>
      <c r="H3121" s="81" t="s">
        <v>49</v>
      </c>
      <c r="I3121" s="81" t="s">
        <v>3908</v>
      </c>
      <c r="J3121" s="81" t="s">
        <v>224</v>
      </c>
    </row>
    <row r="3122" hidden="1">
      <c r="A3122" s="83" t="s">
        <v>6317</v>
      </c>
      <c r="B3122" s="83" t="s">
        <v>6318</v>
      </c>
      <c r="C3122" s="81" t="s">
        <v>5141</v>
      </c>
      <c r="D3122" s="83" t="s">
        <v>4821</v>
      </c>
      <c r="E3122" s="81" t="s">
        <v>3906</v>
      </c>
      <c r="F3122" s="84">
        <v>762.0</v>
      </c>
      <c r="G3122" s="81" t="s">
        <v>43</v>
      </c>
      <c r="H3122" s="81" t="s">
        <v>49</v>
      </c>
      <c r="I3122" s="81" t="s">
        <v>224</v>
      </c>
      <c r="J3122" s="81" t="s">
        <v>5143</v>
      </c>
    </row>
    <row r="3123" hidden="1">
      <c r="A3123" s="83" t="s">
        <v>6317</v>
      </c>
      <c r="B3123" s="83" t="s">
        <v>6318</v>
      </c>
      <c r="C3123" s="81" t="s">
        <v>4086</v>
      </c>
      <c r="D3123" s="83" t="s">
        <v>4822</v>
      </c>
      <c r="E3123" s="81" t="s">
        <v>3909</v>
      </c>
      <c r="F3123" s="84">
        <v>763.0</v>
      </c>
      <c r="G3123" s="81" t="s">
        <v>39</v>
      </c>
      <c r="H3123" s="81" t="s">
        <v>6268</v>
      </c>
      <c r="I3123" s="81" t="s">
        <v>3912</v>
      </c>
      <c r="J3123" s="81" t="s">
        <v>224</v>
      </c>
    </row>
    <row r="3124" hidden="1">
      <c r="A3124" s="83" t="s">
        <v>6317</v>
      </c>
      <c r="B3124" s="83" t="s">
        <v>6318</v>
      </c>
      <c r="C3124" s="81" t="s">
        <v>4086</v>
      </c>
      <c r="D3124" s="83" t="s">
        <v>4822</v>
      </c>
      <c r="E3124" s="81" t="s">
        <v>3909</v>
      </c>
      <c r="F3124" s="84">
        <v>763.0</v>
      </c>
      <c r="G3124" s="81" t="s">
        <v>40</v>
      </c>
      <c r="H3124" s="81" t="s">
        <v>6269</v>
      </c>
      <c r="I3124" s="81" t="s">
        <v>3913</v>
      </c>
      <c r="J3124" s="81" t="s">
        <v>224</v>
      </c>
    </row>
    <row r="3125" hidden="1">
      <c r="A3125" s="83" t="s">
        <v>6317</v>
      </c>
      <c r="B3125" s="83" t="s">
        <v>6318</v>
      </c>
      <c r="C3125" s="81" t="s">
        <v>5141</v>
      </c>
      <c r="D3125" s="83" t="s">
        <v>4822</v>
      </c>
      <c r="E3125" s="81" t="s">
        <v>3909</v>
      </c>
      <c r="F3125" s="84">
        <v>763.0</v>
      </c>
      <c r="G3125" s="81" t="s">
        <v>43</v>
      </c>
      <c r="H3125" s="81" t="s">
        <v>6270</v>
      </c>
      <c r="I3125" s="81" t="s">
        <v>224</v>
      </c>
      <c r="J3125" s="81" t="s">
        <v>5143</v>
      </c>
    </row>
    <row r="3126" hidden="1">
      <c r="A3126" s="83" t="s">
        <v>6317</v>
      </c>
      <c r="B3126" s="83" t="s">
        <v>6318</v>
      </c>
      <c r="C3126" s="81" t="s">
        <v>4086</v>
      </c>
      <c r="D3126" s="83" t="s">
        <v>4822</v>
      </c>
      <c r="E3126" s="81" t="s">
        <v>3916</v>
      </c>
      <c r="F3126" s="84">
        <v>764.0</v>
      </c>
      <c r="G3126" s="81" t="s">
        <v>39</v>
      </c>
      <c r="H3126" s="81" t="s">
        <v>6268</v>
      </c>
      <c r="I3126" s="81" t="s">
        <v>3912</v>
      </c>
      <c r="J3126" s="81" t="s">
        <v>224</v>
      </c>
    </row>
    <row r="3127" hidden="1">
      <c r="A3127" s="83" t="s">
        <v>6317</v>
      </c>
      <c r="B3127" s="83" t="s">
        <v>6318</v>
      </c>
      <c r="C3127" s="81" t="s">
        <v>4086</v>
      </c>
      <c r="D3127" s="83" t="s">
        <v>4822</v>
      </c>
      <c r="E3127" s="81" t="s">
        <v>3916</v>
      </c>
      <c r="F3127" s="84">
        <v>764.0</v>
      </c>
      <c r="G3127" s="81" t="s">
        <v>40</v>
      </c>
      <c r="H3127" s="81" t="s">
        <v>6269</v>
      </c>
      <c r="I3127" s="81" t="s">
        <v>3913</v>
      </c>
      <c r="J3127" s="81" t="s">
        <v>224</v>
      </c>
    </row>
    <row r="3128" hidden="1">
      <c r="A3128" s="83" t="s">
        <v>6317</v>
      </c>
      <c r="B3128" s="83" t="s">
        <v>6318</v>
      </c>
      <c r="C3128" s="81" t="s">
        <v>5141</v>
      </c>
      <c r="D3128" s="83" t="s">
        <v>4822</v>
      </c>
      <c r="E3128" s="81" t="s">
        <v>3916</v>
      </c>
      <c r="F3128" s="84">
        <v>764.0</v>
      </c>
      <c r="G3128" s="81" t="s">
        <v>43</v>
      </c>
      <c r="H3128" s="81" t="s">
        <v>6270</v>
      </c>
      <c r="I3128" s="81" t="s">
        <v>224</v>
      </c>
      <c r="J3128" s="81" t="s">
        <v>5143</v>
      </c>
    </row>
    <row r="3129" hidden="1">
      <c r="A3129" s="83" t="s">
        <v>6317</v>
      </c>
      <c r="B3129" s="83" t="s">
        <v>6318</v>
      </c>
      <c r="C3129" s="81" t="s">
        <v>4086</v>
      </c>
      <c r="D3129" s="83" t="s">
        <v>4823</v>
      </c>
      <c r="E3129" s="81" t="s">
        <v>3917</v>
      </c>
      <c r="F3129" s="84">
        <v>765.0</v>
      </c>
      <c r="G3129" s="81" t="s">
        <v>39</v>
      </c>
      <c r="H3129" s="81" t="s">
        <v>6271</v>
      </c>
      <c r="I3129" s="81" t="s">
        <v>3918</v>
      </c>
      <c r="J3129" s="81" t="s">
        <v>224</v>
      </c>
    </row>
    <row r="3130" hidden="1">
      <c r="A3130" s="83" t="s">
        <v>6317</v>
      </c>
      <c r="B3130" s="83" t="s">
        <v>6318</v>
      </c>
      <c r="C3130" s="81" t="s">
        <v>4086</v>
      </c>
      <c r="D3130" s="83" t="s">
        <v>4823</v>
      </c>
      <c r="E3130" s="81" t="s">
        <v>3917</v>
      </c>
      <c r="F3130" s="84">
        <v>765.0</v>
      </c>
      <c r="G3130" s="81" t="s">
        <v>40</v>
      </c>
      <c r="H3130" s="81" t="s">
        <v>6272</v>
      </c>
      <c r="I3130" s="81" t="s">
        <v>6273</v>
      </c>
      <c r="J3130" s="81" t="s">
        <v>224</v>
      </c>
    </row>
    <row r="3131" hidden="1">
      <c r="A3131" s="83" t="s">
        <v>6317</v>
      </c>
      <c r="B3131" s="83" t="s">
        <v>6318</v>
      </c>
      <c r="C3131" s="81" t="s">
        <v>5141</v>
      </c>
      <c r="D3131" s="83" t="s">
        <v>4823</v>
      </c>
      <c r="E3131" s="81" t="s">
        <v>3917</v>
      </c>
      <c r="F3131" s="84">
        <v>765.0</v>
      </c>
      <c r="G3131" s="81" t="s">
        <v>43</v>
      </c>
      <c r="H3131" s="81" t="s">
        <v>6270</v>
      </c>
      <c r="I3131" s="81" t="s">
        <v>224</v>
      </c>
      <c r="J3131" s="81" t="s">
        <v>5143</v>
      </c>
    </row>
    <row r="3132" hidden="1">
      <c r="A3132" s="83" t="s">
        <v>6317</v>
      </c>
      <c r="B3132" s="83" t="s">
        <v>6318</v>
      </c>
      <c r="C3132" s="81" t="s">
        <v>4086</v>
      </c>
      <c r="D3132" s="83" t="s">
        <v>4824</v>
      </c>
      <c r="E3132" s="81" t="s">
        <v>3920</v>
      </c>
      <c r="F3132" s="84">
        <v>766.0</v>
      </c>
      <c r="G3132" s="81" t="s">
        <v>39</v>
      </c>
      <c r="H3132" s="81" t="s">
        <v>6274</v>
      </c>
      <c r="I3132" s="81" t="s">
        <v>3921</v>
      </c>
      <c r="J3132" s="81" t="s">
        <v>224</v>
      </c>
    </row>
    <row r="3133" hidden="1">
      <c r="A3133" s="83" t="s">
        <v>6317</v>
      </c>
      <c r="B3133" s="83" t="s">
        <v>6318</v>
      </c>
      <c r="C3133" s="81" t="s">
        <v>4086</v>
      </c>
      <c r="D3133" s="83" t="s">
        <v>4824</v>
      </c>
      <c r="E3133" s="81" t="s">
        <v>3920</v>
      </c>
      <c r="F3133" s="84">
        <v>766.0</v>
      </c>
      <c r="G3133" s="81" t="s">
        <v>40</v>
      </c>
      <c r="H3133" s="81" t="s">
        <v>6275</v>
      </c>
      <c r="I3133" s="81" t="s">
        <v>6276</v>
      </c>
      <c r="J3133" s="81" t="s">
        <v>224</v>
      </c>
    </row>
    <row r="3134" hidden="1">
      <c r="A3134" s="83" t="s">
        <v>6317</v>
      </c>
      <c r="B3134" s="83" t="s">
        <v>6318</v>
      </c>
      <c r="C3134" s="81" t="s">
        <v>5141</v>
      </c>
      <c r="D3134" s="83" t="s">
        <v>4824</v>
      </c>
      <c r="E3134" s="81" t="s">
        <v>3920</v>
      </c>
      <c r="F3134" s="84">
        <v>766.0</v>
      </c>
      <c r="G3134" s="81" t="s">
        <v>43</v>
      </c>
      <c r="H3134" s="81" t="s">
        <v>6270</v>
      </c>
      <c r="I3134" s="81" t="s">
        <v>224</v>
      </c>
      <c r="J3134" s="81" t="s">
        <v>5143</v>
      </c>
    </row>
    <row r="3135" hidden="1">
      <c r="A3135" s="83" t="s">
        <v>6317</v>
      </c>
      <c r="B3135" s="83" t="s">
        <v>6318</v>
      </c>
      <c r="C3135" s="81" t="s">
        <v>4086</v>
      </c>
      <c r="D3135" s="83" t="s">
        <v>4825</v>
      </c>
      <c r="E3135" s="81" t="s">
        <v>3923</v>
      </c>
      <c r="F3135" s="84">
        <v>767.0</v>
      </c>
      <c r="G3135" s="81" t="s">
        <v>39</v>
      </c>
      <c r="H3135" s="81" t="s">
        <v>6277</v>
      </c>
      <c r="I3135" s="81" t="s">
        <v>3924</v>
      </c>
      <c r="J3135" s="81" t="s">
        <v>224</v>
      </c>
    </row>
    <row r="3136" hidden="1">
      <c r="A3136" s="83" t="s">
        <v>6317</v>
      </c>
      <c r="B3136" s="83" t="s">
        <v>6318</v>
      </c>
      <c r="C3136" s="81" t="s">
        <v>4086</v>
      </c>
      <c r="D3136" s="83" t="s">
        <v>4825</v>
      </c>
      <c r="E3136" s="81" t="s">
        <v>3923</v>
      </c>
      <c r="F3136" s="84">
        <v>767.0</v>
      </c>
      <c r="G3136" s="81" t="s">
        <v>40</v>
      </c>
      <c r="H3136" s="81" t="s">
        <v>6278</v>
      </c>
      <c r="I3136" s="81" t="s">
        <v>3925</v>
      </c>
      <c r="J3136" s="81" t="s">
        <v>224</v>
      </c>
    </row>
    <row r="3137" hidden="1">
      <c r="A3137" s="83" t="s">
        <v>6317</v>
      </c>
      <c r="B3137" s="83" t="s">
        <v>6318</v>
      </c>
      <c r="C3137" s="81" t="s">
        <v>5141</v>
      </c>
      <c r="D3137" s="83" t="s">
        <v>4825</v>
      </c>
      <c r="E3137" s="81" t="s">
        <v>3923</v>
      </c>
      <c r="F3137" s="84">
        <v>767.0</v>
      </c>
      <c r="G3137" s="81" t="s">
        <v>43</v>
      </c>
      <c r="H3137" s="81" t="s">
        <v>49</v>
      </c>
      <c r="I3137" s="81" t="s">
        <v>224</v>
      </c>
      <c r="J3137" s="81" t="s">
        <v>5143</v>
      </c>
    </row>
    <row r="3138" hidden="1">
      <c r="A3138" s="83" t="s">
        <v>6317</v>
      </c>
      <c r="B3138" s="83" t="s">
        <v>6318</v>
      </c>
      <c r="C3138" s="81" t="s">
        <v>4086</v>
      </c>
      <c r="D3138" s="83" t="s">
        <v>4826</v>
      </c>
      <c r="E3138" s="81" t="s">
        <v>3926</v>
      </c>
      <c r="F3138" s="84">
        <v>768.0</v>
      </c>
      <c r="G3138" s="81" t="s">
        <v>40</v>
      </c>
      <c r="H3138" s="81" t="s">
        <v>6279</v>
      </c>
      <c r="I3138" s="81" t="s">
        <v>3928</v>
      </c>
      <c r="J3138" s="81" t="s">
        <v>224</v>
      </c>
    </row>
    <row r="3139" hidden="1">
      <c r="A3139" s="83" t="s">
        <v>6317</v>
      </c>
      <c r="B3139" s="83" t="s">
        <v>6318</v>
      </c>
      <c r="C3139" s="81" t="s">
        <v>5141</v>
      </c>
      <c r="D3139" s="83" t="s">
        <v>4826</v>
      </c>
      <c r="E3139" s="81" t="s">
        <v>3926</v>
      </c>
      <c r="F3139" s="84">
        <v>768.0</v>
      </c>
      <c r="G3139" s="81" t="s">
        <v>43</v>
      </c>
      <c r="H3139" s="81" t="s">
        <v>49</v>
      </c>
      <c r="I3139" s="81" t="s">
        <v>224</v>
      </c>
      <c r="J3139" s="81" t="s">
        <v>5143</v>
      </c>
    </row>
    <row r="3140" hidden="1">
      <c r="A3140" s="83" t="s">
        <v>6317</v>
      </c>
      <c r="B3140" s="83" t="s">
        <v>6318</v>
      </c>
      <c r="C3140" s="81" t="s">
        <v>4086</v>
      </c>
      <c r="D3140" s="83" t="s">
        <v>4827</v>
      </c>
      <c r="E3140" s="81" t="s">
        <v>3929</v>
      </c>
      <c r="F3140" s="84">
        <v>769.0</v>
      </c>
      <c r="G3140" s="81" t="s">
        <v>40</v>
      </c>
      <c r="H3140" s="81" t="s">
        <v>6280</v>
      </c>
      <c r="I3140" s="81" t="s">
        <v>3931</v>
      </c>
      <c r="J3140" s="81" t="s">
        <v>224</v>
      </c>
    </row>
    <row r="3141" hidden="1">
      <c r="A3141" s="83" t="s">
        <v>6317</v>
      </c>
      <c r="B3141" s="83" t="s">
        <v>6318</v>
      </c>
      <c r="C3141" s="81" t="s">
        <v>5141</v>
      </c>
      <c r="D3141" s="83" t="s">
        <v>4827</v>
      </c>
      <c r="E3141" s="81" t="s">
        <v>3929</v>
      </c>
      <c r="F3141" s="84">
        <v>769.0</v>
      </c>
      <c r="G3141" s="81" t="s">
        <v>43</v>
      </c>
      <c r="H3141" s="81" t="s">
        <v>49</v>
      </c>
      <c r="I3141" s="81" t="s">
        <v>224</v>
      </c>
      <c r="J3141" s="81" t="s">
        <v>5143</v>
      </c>
    </row>
    <row r="3142" hidden="1">
      <c r="A3142" s="83" t="s">
        <v>6317</v>
      </c>
      <c r="B3142" s="83" t="s">
        <v>6318</v>
      </c>
      <c r="C3142" s="81" t="s">
        <v>4086</v>
      </c>
      <c r="D3142" s="83" t="s">
        <v>4828</v>
      </c>
      <c r="E3142" s="81" t="s">
        <v>3932</v>
      </c>
      <c r="F3142" s="84">
        <v>770.0</v>
      </c>
      <c r="G3142" s="81" t="s">
        <v>39</v>
      </c>
      <c r="H3142" s="81" t="s">
        <v>6281</v>
      </c>
      <c r="I3142" s="81" t="s">
        <v>3933</v>
      </c>
      <c r="J3142" s="81" t="s">
        <v>224</v>
      </c>
    </row>
    <row r="3143" hidden="1">
      <c r="A3143" s="83" t="s">
        <v>6317</v>
      </c>
      <c r="B3143" s="83" t="s">
        <v>6318</v>
      </c>
      <c r="C3143" s="81" t="s">
        <v>4086</v>
      </c>
      <c r="D3143" s="83" t="s">
        <v>4828</v>
      </c>
      <c r="E3143" s="81" t="s">
        <v>3932</v>
      </c>
      <c r="F3143" s="84">
        <v>770.0</v>
      </c>
      <c r="G3143" s="81" t="s">
        <v>40</v>
      </c>
      <c r="H3143" s="81" t="s">
        <v>6282</v>
      </c>
      <c r="I3143" s="81" t="s">
        <v>6283</v>
      </c>
      <c r="J3143" s="81" t="s">
        <v>224</v>
      </c>
    </row>
    <row r="3144" hidden="1">
      <c r="A3144" s="83" t="s">
        <v>6317</v>
      </c>
      <c r="B3144" s="83" t="s">
        <v>6318</v>
      </c>
      <c r="C3144" s="81" t="s">
        <v>5141</v>
      </c>
      <c r="D3144" s="83" t="s">
        <v>4828</v>
      </c>
      <c r="E3144" s="81" t="s">
        <v>3932</v>
      </c>
      <c r="F3144" s="84">
        <v>770.0</v>
      </c>
      <c r="G3144" s="81" t="s">
        <v>43</v>
      </c>
      <c r="H3144" s="81" t="s">
        <v>6270</v>
      </c>
      <c r="I3144" s="81" t="s">
        <v>224</v>
      </c>
      <c r="J3144" s="81" t="s">
        <v>5143</v>
      </c>
    </row>
    <row r="3145" hidden="1">
      <c r="A3145" s="83" t="s">
        <v>6317</v>
      </c>
      <c r="B3145" s="83" t="s">
        <v>6318</v>
      </c>
      <c r="C3145" s="81" t="s">
        <v>4086</v>
      </c>
      <c r="D3145" s="83" t="s">
        <v>4828</v>
      </c>
      <c r="E3145" s="81" t="s">
        <v>3935</v>
      </c>
      <c r="F3145" s="84">
        <v>771.0</v>
      </c>
      <c r="G3145" s="81" t="s">
        <v>39</v>
      </c>
      <c r="H3145" s="81" t="s">
        <v>6281</v>
      </c>
      <c r="I3145" s="81" t="s">
        <v>3933</v>
      </c>
      <c r="J3145" s="81" t="s">
        <v>224</v>
      </c>
    </row>
    <row r="3146" hidden="1">
      <c r="A3146" s="83" t="s">
        <v>6317</v>
      </c>
      <c r="B3146" s="83" t="s">
        <v>6318</v>
      </c>
      <c r="C3146" s="81" t="s">
        <v>4086</v>
      </c>
      <c r="D3146" s="83" t="s">
        <v>4828</v>
      </c>
      <c r="E3146" s="81" t="s">
        <v>3935</v>
      </c>
      <c r="F3146" s="84">
        <v>771.0</v>
      </c>
      <c r="G3146" s="81" t="s">
        <v>40</v>
      </c>
      <c r="H3146" s="81" t="s">
        <v>6282</v>
      </c>
      <c r="I3146" s="81" t="s">
        <v>6283</v>
      </c>
      <c r="J3146" s="81" t="s">
        <v>224</v>
      </c>
    </row>
    <row r="3147" hidden="1">
      <c r="A3147" s="83" t="s">
        <v>6317</v>
      </c>
      <c r="B3147" s="83" t="s">
        <v>6318</v>
      </c>
      <c r="C3147" s="81" t="s">
        <v>5141</v>
      </c>
      <c r="D3147" s="83" t="s">
        <v>4828</v>
      </c>
      <c r="E3147" s="81" t="s">
        <v>3935</v>
      </c>
      <c r="F3147" s="84">
        <v>771.0</v>
      </c>
      <c r="G3147" s="81" t="s">
        <v>43</v>
      </c>
      <c r="H3147" s="81" t="s">
        <v>6270</v>
      </c>
      <c r="I3147" s="81" t="s">
        <v>224</v>
      </c>
      <c r="J3147" s="81" t="s">
        <v>5143</v>
      </c>
    </row>
    <row r="3148" hidden="1">
      <c r="A3148" s="83" t="s">
        <v>6317</v>
      </c>
      <c r="B3148" s="83" t="s">
        <v>6318</v>
      </c>
      <c r="C3148" s="81" t="s">
        <v>4086</v>
      </c>
      <c r="D3148" s="83" t="s">
        <v>4829</v>
      </c>
      <c r="E3148" s="81" t="s">
        <v>3936</v>
      </c>
      <c r="F3148" s="84">
        <v>772.0</v>
      </c>
      <c r="G3148" s="81" t="s">
        <v>39</v>
      </c>
      <c r="H3148" s="81" t="s">
        <v>6284</v>
      </c>
      <c r="I3148" s="81" t="s">
        <v>3937</v>
      </c>
      <c r="J3148" s="81" t="s">
        <v>224</v>
      </c>
    </row>
    <row r="3149" hidden="1">
      <c r="A3149" s="83" t="s">
        <v>6317</v>
      </c>
      <c r="B3149" s="83" t="s">
        <v>6318</v>
      </c>
      <c r="C3149" s="81" t="s">
        <v>4086</v>
      </c>
      <c r="D3149" s="83" t="s">
        <v>4829</v>
      </c>
      <c r="E3149" s="81" t="s">
        <v>3936</v>
      </c>
      <c r="F3149" s="84">
        <v>772.0</v>
      </c>
      <c r="G3149" s="81" t="s">
        <v>40</v>
      </c>
      <c r="H3149" s="81" t="s">
        <v>6285</v>
      </c>
      <c r="I3149" s="81" t="s">
        <v>6286</v>
      </c>
      <c r="J3149" s="81" t="s">
        <v>224</v>
      </c>
    </row>
    <row r="3150" hidden="1">
      <c r="A3150" s="83" t="s">
        <v>6317</v>
      </c>
      <c r="B3150" s="83" t="s">
        <v>6318</v>
      </c>
      <c r="C3150" s="81" t="s">
        <v>5141</v>
      </c>
      <c r="D3150" s="83" t="s">
        <v>4829</v>
      </c>
      <c r="E3150" s="81" t="s">
        <v>3936</v>
      </c>
      <c r="F3150" s="84">
        <v>772.0</v>
      </c>
      <c r="G3150" s="81" t="s">
        <v>43</v>
      </c>
      <c r="H3150" s="81" t="s">
        <v>6270</v>
      </c>
      <c r="I3150" s="81" t="s">
        <v>224</v>
      </c>
      <c r="J3150" s="81" t="s">
        <v>5143</v>
      </c>
    </row>
    <row r="3151" hidden="1">
      <c r="A3151" s="83" t="s">
        <v>6317</v>
      </c>
      <c r="B3151" s="83" t="s">
        <v>6318</v>
      </c>
      <c r="C3151" s="81" t="s">
        <v>4086</v>
      </c>
      <c r="D3151" s="83" t="s">
        <v>4830</v>
      </c>
      <c r="E3151" s="81" t="s">
        <v>3939</v>
      </c>
      <c r="F3151" s="84">
        <v>773.0</v>
      </c>
      <c r="G3151" s="81" t="s">
        <v>40</v>
      </c>
      <c r="H3151" s="81" t="s">
        <v>6287</v>
      </c>
      <c r="I3151" s="81" t="s">
        <v>3941</v>
      </c>
      <c r="J3151" s="81" t="s">
        <v>224</v>
      </c>
    </row>
    <row r="3152" hidden="1">
      <c r="A3152" s="83" t="s">
        <v>6317</v>
      </c>
      <c r="B3152" s="83" t="s">
        <v>6318</v>
      </c>
      <c r="C3152" s="81" t="s">
        <v>5141</v>
      </c>
      <c r="D3152" s="83" t="s">
        <v>4830</v>
      </c>
      <c r="E3152" s="81" t="s">
        <v>3939</v>
      </c>
      <c r="F3152" s="84">
        <v>773.0</v>
      </c>
      <c r="G3152" s="81" t="s">
        <v>43</v>
      </c>
      <c r="H3152" s="81" t="s">
        <v>49</v>
      </c>
      <c r="I3152" s="81" t="s">
        <v>224</v>
      </c>
      <c r="J3152" s="81" t="s">
        <v>5143</v>
      </c>
    </row>
    <row r="3153" hidden="1">
      <c r="A3153" s="83" t="s">
        <v>6317</v>
      </c>
      <c r="B3153" s="83" t="s">
        <v>6318</v>
      </c>
      <c r="C3153" s="81" t="s">
        <v>4086</v>
      </c>
      <c r="D3153" s="83" t="s">
        <v>4831</v>
      </c>
      <c r="E3153" s="81" t="s">
        <v>3942</v>
      </c>
      <c r="F3153" s="84">
        <v>774.0</v>
      </c>
      <c r="G3153" s="81" t="s">
        <v>40</v>
      </c>
      <c r="H3153" s="81" t="s">
        <v>6288</v>
      </c>
      <c r="I3153" s="81" t="s">
        <v>3944</v>
      </c>
      <c r="J3153" s="81" t="s">
        <v>224</v>
      </c>
    </row>
    <row r="3154" hidden="1">
      <c r="A3154" s="83" t="s">
        <v>6317</v>
      </c>
      <c r="B3154" s="83" t="s">
        <v>6318</v>
      </c>
      <c r="C3154" s="81" t="s">
        <v>5141</v>
      </c>
      <c r="D3154" s="83" t="s">
        <v>4831</v>
      </c>
      <c r="E3154" s="81" t="s">
        <v>3942</v>
      </c>
      <c r="F3154" s="84">
        <v>774.0</v>
      </c>
      <c r="G3154" s="81" t="s">
        <v>43</v>
      </c>
      <c r="H3154" s="81" t="s">
        <v>49</v>
      </c>
      <c r="I3154" s="81" t="s">
        <v>224</v>
      </c>
      <c r="J3154" s="81" t="s">
        <v>5143</v>
      </c>
    </row>
    <row r="3155" hidden="1">
      <c r="A3155" s="83" t="s">
        <v>6317</v>
      </c>
      <c r="B3155" s="83" t="s">
        <v>6318</v>
      </c>
      <c r="C3155" s="81" t="s">
        <v>4086</v>
      </c>
      <c r="D3155" s="83" t="s">
        <v>4832</v>
      </c>
      <c r="E3155" s="81" t="s">
        <v>3945</v>
      </c>
      <c r="F3155" s="84">
        <v>775.0</v>
      </c>
      <c r="G3155" s="81" t="s">
        <v>39</v>
      </c>
      <c r="H3155" s="81" t="s">
        <v>6289</v>
      </c>
      <c r="I3155" s="81" t="s">
        <v>3949</v>
      </c>
      <c r="J3155" s="81" t="s">
        <v>224</v>
      </c>
    </row>
    <row r="3156" hidden="1">
      <c r="A3156" s="83" t="s">
        <v>6317</v>
      </c>
      <c r="B3156" s="83" t="s">
        <v>6318</v>
      </c>
      <c r="C3156" s="81" t="s">
        <v>4086</v>
      </c>
      <c r="D3156" s="83" t="s">
        <v>4832</v>
      </c>
      <c r="E3156" s="81" t="s">
        <v>3945</v>
      </c>
      <c r="F3156" s="84">
        <v>775.0</v>
      </c>
      <c r="G3156" s="81" t="s">
        <v>40</v>
      </c>
      <c r="H3156" s="81" t="s">
        <v>6290</v>
      </c>
      <c r="I3156" s="81" t="s">
        <v>3950</v>
      </c>
      <c r="J3156" s="81" t="s">
        <v>224</v>
      </c>
    </row>
    <row r="3157" hidden="1">
      <c r="A3157" s="83" t="s">
        <v>6317</v>
      </c>
      <c r="B3157" s="83" t="s">
        <v>6318</v>
      </c>
      <c r="C3157" s="81" t="s">
        <v>5141</v>
      </c>
      <c r="D3157" s="83" t="s">
        <v>4832</v>
      </c>
      <c r="E3157" s="81" t="s">
        <v>3945</v>
      </c>
      <c r="F3157" s="84">
        <v>775.0</v>
      </c>
      <c r="G3157" s="81" t="s">
        <v>43</v>
      </c>
      <c r="H3157" s="81" t="s">
        <v>6291</v>
      </c>
      <c r="I3157" s="81" t="s">
        <v>224</v>
      </c>
      <c r="J3157" s="81" t="s">
        <v>5143</v>
      </c>
    </row>
    <row r="3158" hidden="1">
      <c r="A3158" s="83" t="s">
        <v>6317</v>
      </c>
      <c r="B3158" s="83" t="s">
        <v>6318</v>
      </c>
      <c r="C3158" s="81" t="s">
        <v>4086</v>
      </c>
      <c r="D3158" s="83" t="s">
        <v>4832</v>
      </c>
      <c r="E3158" s="81" t="s">
        <v>3955</v>
      </c>
      <c r="F3158" s="84">
        <v>776.0</v>
      </c>
      <c r="G3158" s="81" t="s">
        <v>40</v>
      </c>
      <c r="H3158" s="81" t="s">
        <v>6292</v>
      </c>
      <c r="I3158" s="81" t="s">
        <v>3950</v>
      </c>
      <c r="J3158" s="81" t="s">
        <v>224</v>
      </c>
    </row>
    <row r="3159" hidden="1">
      <c r="A3159" s="83" t="s">
        <v>6317</v>
      </c>
      <c r="B3159" s="83" t="s">
        <v>6318</v>
      </c>
      <c r="C3159" s="81" t="s">
        <v>5141</v>
      </c>
      <c r="D3159" s="83" t="s">
        <v>4832</v>
      </c>
      <c r="E3159" s="81" t="s">
        <v>3955</v>
      </c>
      <c r="F3159" s="84">
        <v>776.0</v>
      </c>
      <c r="G3159" s="81" t="s">
        <v>43</v>
      </c>
      <c r="H3159" s="81" t="s">
        <v>6291</v>
      </c>
      <c r="I3159" s="81" t="s">
        <v>224</v>
      </c>
      <c r="J3159" s="81" t="s">
        <v>5143</v>
      </c>
    </row>
    <row r="3160" hidden="1">
      <c r="A3160" s="83" t="s">
        <v>6317</v>
      </c>
      <c r="B3160" s="83" t="s">
        <v>6318</v>
      </c>
      <c r="C3160" s="81" t="s">
        <v>4086</v>
      </c>
      <c r="D3160" s="83" t="s">
        <v>4833</v>
      </c>
      <c r="E3160" s="81" t="s">
        <v>3956</v>
      </c>
      <c r="F3160" s="84">
        <v>777.0</v>
      </c>
      <c r="G3160" s="81" t="s">
        <v>40</v>
      </c>
      <c r="H3160" s="81" t="s">
        <v>6293</v>
      </c>
      <c r="I3160" s="81" t="s">
        <v>6294</v>
      </c>
      <c r="J3160" s="81" t="s">
        <v>224</v>
      </c>
    </row>
    <row r="3161" hidden="1">
      <c r="A3161" s="83" t="s">
        <v>6317</v>
      </c>
      <c r="B3161" s="83" t="s">
        <v>6318</v>
      </c>
      <c r="C3161" s="81" t="s">
        <v>5141</v>
      </c>
      <c r="D3161" s="83" t="s">
        <v>4833</v>
      </c>
      <c r="E3161" s="81" t="s">
        <v>3956</v>
      </c>
      <c r="F3161" s="84">
        <v>777.0</v>
      </c>
      <c r="G3161" s="81" t="s">
        <v>43</v>
      </c>
      <c r="H3161" s="81" t="s">
        <v>6291</v>
      </c>
      <c r="I3161" s="81" t="s">
        <v>224</v>
      </c>
      <c r="J3161" s="81" t="s">
        <v>5143</v>
      </c>
    </row>
    <row r="3162" hidden="1">
      <c r="A3162" s="83" t="s">
        <v>6317</v>
      </c>
      <c r="B3162" s="83" t="s">
        <v>6318</v>
      </c>
      <c r="C3162" s="81" t="s">
        <v>4086</v>
      </c>
      <c r="D3162" s="83" t="s">
        <v>4834</v>
      </c>
      <c r="E3162" s="81" t="s">
        <v>3959</v>
      </c>
      <c r="F3162" s="84">
        <v>778.0</v>
      </c>
      <c r="G3162" s="81" t="s">
        <v>39</v>
      </c>
      <c r="H3162" s="81" t="s">
        <v>6295</v>
      </c>
      <c r="I3162" s="81" t="s">
        <v>3960</v>
      </c>
      <c r="J3162" s="81" t="s">
        <v>224</v>
      </c>
    </row>
    <row r="3163" hidden="1">
      <c r="A3163" s="83" t="s">
        <v>6317</v>
      </c>
      <c r="B3163" s="83" t="s">
        <v>6318</v>
      </c>
      <c r="C3163" s="81" t="s">
        <v>4086</v>
      </c>
      <c r="D3163" s="83" t="s">
        <v>4834</v>
      </c>
      <c r="E3163" s="81" t="s">
        <v>3959</v>
      </c>
      <c r="F3163" s="84">
        <v>778.0</v>
      </c>
      <c r="G3163" s="81" t="s">
        <v>40</v>
      </c>
      <c r="H3163" s="81" t="s">
        <v>6296</v>
      </c>
      <c r="I3163" s="81" t="s">
        <v>6297</v>
      </c>
      <c r="J3163" s="81" t="s">
        <v>224</v>
      </c>
    </row>
    <row r="3164" hidden="1">
      <c r="A3164" s="83" t="s">
        <v>6317</v>
      </c>
      <c r="B3164" s="83" t="s">
        <v>6318</v>
      </c>
      <c r="C3164" s="81" t="s">
        <v>5141</v>
      </c>
      <c r="D3164" s="83" t="s">
        <v>4834</v>
      </c>
      <c r="E3164" s="81" t="s">
        <v>3959</v>
      </c>
      <c r="F3164" s="84">
        <v>778.0</v>
      </c>
      <c r="G3164" s="81" t="s">
        <v>43</v>
      </c>
      <c r="H3164" s="81" t="s">
        <v>6291</v>
      </c>
      <c r="I3164" s="81" t="s">
        <v>224</v>
      </c>
      <c r="J3164" s="81" t="s">
        <v>5143</v>
      </c>
    </row>
    <row r="3165" hidden="1">
      <c r="A3165" s="83" t="s">
        <v>6317</v>
      </c>
      <c r="B3165" s="83" t="s">
        <v>6318</v>
      </c>
      <c r="C3165" s="81" t="s">
        <v>4086</v>
      </c>
      <c r="D3165" s="83" t="s">
        <v>4835</v>
      </c>
      <c r="E3165" s="81" t="s">
        <v>3962</v>
      </c>
      <c r="F3165" s="84">
        <v>779.0</v>
      </c>
      <c r="G3165" s="81" t="s">
        <v>40</v>
      </c>
      <c r="H3165" s="81" t="s">
        <v>6298</v>
      </c>
      <c r="I3165" s="81" t="s">
        <v>3964</v>
      </c>
      <c r="J3165" s="81" t="s">
        <v>224</v>
      </c>
    </row>
    <row r="3166" hidden="1">
      <c r="A3166" s="83" t="s">
        <v>6317</v>
      </c>
      <c r="B3166" s="83" t="s">
        <v>6318</v>
      </c>
      <c r="C3166" s="81" t="s">
        <v>5141</v>
      </c>
      <c r="D3166" s="83" t="s">
        <v>4835</v>
      </c>
      <c r="E3166" s="81" t="s">
        <v>3962</v>
      </c>
      <c r="F3166" s="84">
        <v>779.0</v>
      </c>
      <c r="G3166" s="81" t="s">
        <v>43</v>
      </c>
      <c r="H3166" s="81" t="s">
        <v>49</v>
      </c>
      <c r="I3166" s="81" t="s">
        <v>224</v>
      </c>
      <c r="J3166" s="81" t="s">
        <v>5143</v>
      </c>
    </row>
    <row r="3167" hidden="1">
      <c r="A3167" s="83" t="s">
        <v>6317</v>
      </c>
      <c r="B3167" s="83" t="s">
        <v>6318</v>
      </c>
      <c r="C3167" s="81" t="s">
        <v>4086</v>
      </c>
      <c r="D3167" s="83" t="s">
        <v>4836</v>
      </c>
      <c r="E3167" s="81" t="s">
        <v>3965</v>
      </c>
      <c r="F3167" s="84">
        <v>780.0</v>
      </c>
      <c r="G3167" s="81" t="s">
        <v>39</v>
      </c>
      <c r="H3167" s="81" t="s">
        <v>6299</v>
      </c>
      <c r="I3167" s="81" t="s">
        <v>3966</v>
      </c>
      <c r="J3167" s="81" t="s">
        <v>224</v>
      </c>
    </row>
    <row r="3168" hidden="1">
      <c r="A3168" s="83" t="s">
        <v>6317</v>
      </c>
      <c r="B3168" s="83" t="s">
        <v>6318</v>
      </c>
      <c r="C3168" s="81" t="s">
        <v>4086</v>
      </c>
      <c r="D3168" s="83" t="s">
        <v>4836</v>
      </c>
      <c r="E3168" s="81" t="s">
        <v>3965</v>
      </c>
      <c r="F3168" s="84">
        <v>780.0</v>
      </c>
      <c r="G3168" s="81" t="s">
        <v>40</v>
      </c>
      <c r="H3168" s="81" t="s">
        <v>49</v>
      </c>
      <c r="I3168" s="81" t="s">
        <v>3967</v>
      </c>
      <c r="J3168" s="81" t="s">
        <v>224</v>
      </c>
    </row>
    <row r="3169" hidden="1">
      <c r="A3169" s="83" t="s">
        <v>6317</v>
      </c>
      <c r="B3169" s="83" t="s">
        <v>6318</v>
      </c>
      <c r="C3169" s="81" t="s">
        <v>5141</v>
      </c>
      <c r="D3169" s="83" t="s">
        <v>4836</v>
      </c>
      <c r="E3169" s="81" t="s">
        <v>3965</v>
      </c>
      <c r="F3169" s="84">
        <v>780.0</v>
      </c>
      <c r="G3169" s="81" t="s">
        <v>43</v>
      </c>
      <c r="H3169" s="81" t="s">
        <v>49</v>
      </c>
      <c r="I3169" s="81" t="s">
        <v>224</v>
      </c>
      <c r="J3169" s="81" t="s">
        <v>5143</v>
      </c>
    </row>
    <row r="3170" hidden="1">
      <c r="A3170" s="83" t="s">
        <v>6317</v>
      </c>
      <c r="B3170" s="83" t="s">
        <v>6318</v>
      </c>
      <c r="C3170" s="81" t="s">
        <v>4086</v>
      </c>
      <c r="D3170" s="83" t="s">
        <v>4837</v>
      </c>
      <c r="E3170" s="81" t="s">
        <v>3968</v>
      </c>
      <c r="F3170" s="84">
        <v>781.0</v>
      </c>
      <c r="G3170" s="81" t="s">
        <v>39</v>
      </c>
      <c r="H3170" s="81" t="s">
        <v>6299</v>
      </c>
      <c r="I3170" s="81" t="s">
        <v>3969</v>
      </c>
      <c r="J3170" s="81" t="s">
        <v>224</v>
      </c>
    </row>
    <row r="3171" hidden="1">
      <c r="A3171" s="83" t="s">
        <v>6317</v>
      </c>
      <c r="B3171" s="83" t="s">
        <v>6318</v>
      </c>
      <c r="C3171" s="81" t="s">
        <v>4086</v>
      </c>
      <c r="D3171" s="83" t="s">
        <v>4837</v>
      </c>
      <c r="E3171" s="81" t="s">
        <v>3968</v>
      </c>
      <c r="F3171" s="84">
        <v>781.0</v>
      </c>
      <c r="G3171" s="81" t="s">
        <v>40</v>
      </c>
      <c r="H3171" s="81" t="s">
        <v>49</v>
      </c>
      <c r="I3171" s="81" t="s">
        <v>3970</v>
      </c>
      <c r="J3171" s="81" t="s">
        <v>224</v>
      </c>
    </row>
    <row r="3172" hidden="1">
      <c r="A3172" s="83" t="s">
        <v>6317</v>
      </c>
      <c r="B3172" s="83" t="s">
        <v>6318</v>
      </c>
      <c r="C3172" s="81" t="s">
        <v>5141</v>
      </c>
      <c r="D3172" s="83" t="s">
        <v>4837</v>
      </c>
      <c r="E3172" s="81" t="s">
        <v>3968</v>
      </c>
      <c r="F3172" s="84">
        <v>781.0</v>
      </c>
      <c r="G3172" s="81" t="s">
        <v>43</v>
      </c>
      <c r="H3172" s="81" t="s">
        <v>49</v>
      </c>
      <c r="I3172" s="81" t="s">
        <v>224</v>
      </c>
      <c r="J3172" s="81" t="s">
        <v>5143</v>
      </c>
    </row>
    <row r="3173" hidden="1">
      <c r="A3173" s="83" t="s">
        <v>6317</v>
      </c>
      <c r="B3173" s="83" t="s">
        <v>6318</v>
      </c>
      <c r="C3173" s="81" t="s">
        <v>4086</v>
      </c>
      <c r="D3173" s="83" t="s">
        <v>4838</v>
      </c>
      <c r="E3173" s="81" t="s">
        <v>3971</v>
      </c>
      <c r="F3173" s="84">
        <v>782.0</v>
      </c>
      <c r="G3173" s="81" t="s">
        <v>40</v>
      </c>
      <c r="H3173" s="81" t="s">
        <v>6300</v>
      </c>
      <c r="I3173" s="81" t="s">
        <v>3976</v>
      </c>
      <c r="J3173" s="81" t="s">
        <v>224</v>
      </c>
    </row>
    <row r="3174" hidden="1">
      <c r="A3174" s="83" t="s">
        <v>6317</v>
      </c>
      <c r="B3174" s="83" t="s">
        <v>6318</v>
      </c>
      <c r="C3174" s="81" t="s">
        <v>5141</v>
      </c>
      <c r="D3174" s="83" t="s">
        <v>4838</v>
      </c>
      <c r="E3174" s="81" t="s">
        <v>3971</v>
      </c>
      <c r="F3174" s="84">
        <v>782.0</v>
      </c>
      <c r="G3174" s="81" t="s">
        <v>43</v>
      </c>
      <c r="H3174" s="81" t="s">
        <v>6301</v>
      </c>
      <c r="I3174" s="81" t="s">
        <v>224</v>
      </c>
      <c r="J3174" s="81" t="s">
        <v>5143</v>
      </c>
    </row>
    <row r="3175" hidden="1">
      <c r="A3175" s="83" t="s">
        <v>6317</v>
      </c>
      <c r="B3175" s="83" t="s">
        <v>6318</v>
      </c>
      <c r="C3175" s="81" t="s">
        <v>4086</v>
      </c>
      <c r="D3175" s="83" t="s">
        <v>4838</v>
      </c>
      <c r="E3175" s="81" t="s">
        <v>3981</v>
      </c>
      <c r="F3175" s="84">
        <v>783.0</v>
      </c>
      <c r="G3175" s="81" t="s">
        <v>40</v>
      </c>
      <c r="H3175" s="81" t="s">
        <v>6300</v>
      </c>
      <c r="I3175" s="81" t="s">
        <v>3976</v>
      </c>
      <c r="J3175" s="81" t="s">
        <v>224</v>
      </c>
    </row>
    <row r="3176" hidden="1">
      <c r="A3176" s="83" t="s">
        <v>6317</v>
      </c>
      <c r="B3176" s="83" t="s">
        <v>6318</v>
      </c>
      <c r="C3176" s="81" t="s">
        <v>5141</v>
      </c>
      <c r="D3176" s="83" t="s">
        <v>4838</v>
      </c>
      <c r="E3176" s="81" t="s">
        <v>3981</v>
      </c>
      <c r="F3176" s="84">
        <v>783.0</v>
      </c>
      <c r="G3176" s="81" t="s">
        <v>43</v>
      </c>
      <c r="H3176" s="81" t="s">
        <v>6301</v>
      </c>
      <c r="I3176" s="81" t="s">
        <v>224</v>
      </c>
      <c r="J3176" s="81" t="s">
        <v>5143</v>
      </c>
    </row>
    <row r="3177" hidden="1">
      <c r="A3177" s="83" t="s">
        <v>6317</v>
      </c>
      <c r="B3177" s="83" t="s">
        <v>6318</v>
      </c>
      <c r="C3177" s="81" t="s">
        <v>4086</v>
      </c>
      <c r="D3177" s="83" t="s">
        <v>4839</v>
      </c>
      <c r="E3177" s="81" t="s">
        <v>3982</v>
      </c>
      <c r="F3177" s="84">
        <v>784.0</v>
      </c>
      <c r="G3177" s="81" t="s">
        <v>39</v>
      </c>
      <c r="H3177" s="81" t="s">
        <v>6302</v>
      </c>
      <c r="I3177" s="81" t="s">
        <v>3983</v>
      </c>
      <c r="J3177" s="81" t="s">
        <v>224</v>
      </c>
    </row>
    <row r="3178" hidden="1">
      <c r="A3178" s="83" t="s">
        <v>6317</v>
      </c>
      <c r="B3178" s="83" t="s">
        <v>6318</v>
      </c>
      <c r="C3178" s="81" t="s">
        <v>4086</v>
      </c>
      <c r="D3178" s="83" t="s">
        <v>4839</v>
      </c>
      <c r="E3178" s="81" t="s">
        <v>3982</v>
      </c>
      <c r="F3178" s="84">
        <v>784.0</v>
      </c>
      <c r="G3178" s="81" t="s">
        <v>40</v>
      </c>
      <c r="H3178" s="81" t="s">
        <v>6303</v>
      </c>
      <c r="I3178" s="81" t="s">
        <v>6304</v>
      </c>
      <c r="J3178" s="81" t="s">
        <v>224</v>
      </c>
    </row>
    <row r="3179" hidden="1">
      <c r="A3179" s="83" t="s">
        <v>6317</v>
      </c>
      <c r="B3179" s="83" t="s">
        <v>6318</v>
      </c>
      <c r="C3179" s="81" t="s">
        <v>5141</v>
      </c>
      <c r="D3179" s="83" t="s">
        <v>4839</v>
      </c>
      <c r="E3179" s="81" t="s">
        <v>3982</v>
      </c>
      <c r="F3179" s="84">
        <v>784.0</v>
      </c>
      <c r="G3179" s="81" t="s">
        <v>43</v>
      </c>
      <c r="H3179" s="81" t="s">
        <v>6301</v>
      </c>
      <c r="I3179" s="81" t="s">
        <v>224</v>
      </c>
      <c r="J3179" s="81" t="s">
        <v>5143</v>
      </c>
    </row>
    <row r="3180" hidden="1">
      <c r="A3180" s="83" t="s">
        <v>6317</v>
      </c>
      <c r="B3180" s="83" t="s">
        <v>6318</v>
      </c>
      <c r="C3180" s="81" t="s">
        <v>4086</v>
      </c>
      <c r="D3180" s="83" t="s">
        <v>4840</v>
      </c>
      <c r="E3180" s="81" t="s">
        <v>3985</v>
      </c>
      <c r="F3180" s="84">
        <v>785.0</v>
      </c>
      <c r="G3180" s="81" t="s">
        <v>39</v>
      </c>
      <c r="H3180" s="81" t="s">
        <v>6305</v>
      </c>
      <c r="I3180" s="81" t="s">
        <v>3986</v>
      </c>
      <c r="J3180" s="81" t="s">
        <v>224</v>
      </c>
    </row>
    <row r="3181" hidden="1">
      <c r="A3181" s="83" t="s">
        <v>6317</v>
      </c>
      <c r="B3181" s="83" t="s">
        <v>6318</v>
      </c>
      <c r="C3181" s="81" t="s">
        <v>4086</v>
      </c>
      <c r="D3181" s="83" t="s">
        <v>4840</v>
      </c>
      <c r="E3181" s="81" t="s">
        <v>3985</v>
      </c>
      <c r="F3181" s="84">
        <v>785.0</v>
      </c>
      <c r="G3181" s="81" t="s">
        <v>40</v>
      </c>
      <c r="H3181" s="81" t="s">
        <v>6306</v>
      </c>
      <c r="I3181" s="81" t="s">
        <v>6307</v>
      </c>
      <c r="J3181" s="81" t="s">
        <v>224</v>
      </c>
    </row>
    <row r="3182" hidden="1">
      <c r="A3182" s="83" t="s">
        <v>6317</v>
      </c>
      <c r="B3182" s="83" t="s">
        <v>6318</v>
      </c>
      <c r="C3182" s="81" t="s">
        <v>5141</v>
      </c>
      <c r="D3182" s="83" t="s">
        <v>4840</v>
      </c>
      <c r="E3182" s="81" t="s">
        <v>3985</v>
      </c>
      <c r="F3182" s="84">
        <v>785.0</v>
      </c>
      <c r="G3182" s="81" t="s">
        <v>43</v>
      </c>
      <c r="H3182" s="81" t="s">
        <v>6301</v>
      </c>
      <c r="I3182" s="81" t="s">
        <v>224</v>
      </c>
      <c r="J3182" s="81" t="s">
        <v>5143</v>
      </c>
    </row>
    <row r="3183" hidden="1">
      <c r="A3183" s="83" t="s">
        <v>6317</v>
      </c>
      <c r="B3183" s="83" t="s">
        <v>6318</v>
      </c>
      <c r="C3183" s="81" t="s">
        <v>4086</v>
      </c>
      <c r="D3183" s="83" t="s">
        <v>4841</v>
      </c>
      <c r="E3183" s="81" t="s">
        <v>3988</v>
      </c>
      <c r="F3183" s="84">
        <v>786.0</v>
      </c>
      <c r="G3183" s="81" t="s">
        <v>40</v>
      </c>
      <c r="H3183" s="81" t="s">
        <v>6308</v>
      </c>
      <c r="I3183" s="81" t="s">
        <v>3990</v>
      </c>
      <c r="J3183" s="81" t="s">
        <v>224</v>
      </c>
    </row>
    <row r="3184" hidden="1">
      <c r="A3184" s="83" t="s">
        <v>6317</v>
      </c>
      <c r="B3184" s="83" t="s">
        <v>6318</v>
      </c>
      <c r="C3184" s="81" t="s">
        <v>5141</v>
      </c>
      <c r="D3184" s="83" t="s">
        <v>4841</v>
      </c>
      <c r="E3184" s="81" t="s">
        <v>3988</v>
      </c>
      <c r="F3184" s="84">
        <v>786.0</v>
      </c>
      <c r="G3184" s="81" t="s">
        <v>43</v>
      </c>
      <c r="H3184" s="81" t="s">
        <v>49</v>
      </c>
      <c r="I3184" s="81" t="s">
        <v>224</v>
      </c>
      <c r="J3184" s="81" t="s">
        <v>5143</v>
      </c>
    </row>
    <row r="3185" hidden="1">
      <c r="A3185" s="83" t="s">
        <v>6317</v>
      </c>
      <c r="B3185" s="83" t="s">
        <v>6318</v>
      </c>
      <c r="C3185" s="81" t="s">
        <v>4086</v>
      </c>
      <c r="D3185" s="83" t="s">
        <v>4842</v>
      </c>
      <c r="E3185" s="81" t="s">
        <v>3991</v>
      </c>
      <c r="F3185" s="84">
        <v>787.0</v>
      </c>
      <c r="G3185" s="81" t="s">
        <v>39</v>
      </c>
      <c r="H3185" s="81" t="s">
        <v>6309</v>
      </c>
      <c r="I3185" s="81" t="s">
        <v>3992</v>
      </c>
      <c r="J3185" s="81" t="s">
        <v>224</v>
      </c>
    </row>
    <row r="3186" hidden="1">
      <c r="A3186" s="83" t="s">
        <v>6317</v>
      </c>
      <c r="B3186" s="83" t="s">
        <v>6318</v>
      </c>
      <c r="C3186" s="81" t="s">
        <v>4086</v>
      </c>
      <c r="D3186" s="83" t="s">
        <v>4842</v>
      </c>
      <c r="E3186" s="81" t="s">
        <v>3991</v>
      </c>
      <c r="F3186" s="84">
        <v>787.0</v>
      </c>
      <c r="G3186" s="81" t="s">
        <v>40</v>
      </c>
      <c r="H3186" s="81" t="s">
        <v>224</v>
      </c>
      <c r="I3186" s="81" t="s">
        <v>3993</v>
      </c>
      <c r="J3186" s="81" t="s">
        <v>224</v>
      </c>
    </row>
    <row r="3187" hidden="1">
      <c r="A3187" s="83" t="s">
        <v>6317</v>
      </c>
      <c r="B3187" s="83" t="s">
        <v>6318</v>
      </c>
      <c r="C3187" s="81" t="s">
        <v>5141</v>
      </c>
      <c r="D3187" s="83" t="s">
        <v>4842</v>
      </c>
      <c r="E3187" s="81" t="s">
        <v>3991</v>
      </c>
      <c r="F3187" s="84">
        <v>787.0</v>
      </c>
      <c r="G3187" s="81" t="s">
        <v>43</v>
      </c>
      <c r="H3187" s="81" t="s">
        <v>49</v>
      </c>
      <c r="I3187" s="81" t="s">
        <v>224</v>
      </c>
      <c r="J3187" s="81" t="s">
        <v>5143</v>
      </c>
    </row>
    <row r="3188" hidden="1">
      <c r="A3188" s="83" t="s">
        <v>6317</v>
      </c>
      <c r="B3188" s="83" t="s">
        <v>6318</v>
      </c>
      <c r="C3188" s="81" t="s">
        <v>4086</v>
      </c>
      <c r="D3188" s="83" t="s">
        <v>4843</v>
      </c>
      <c r="E3188" s="81" t="s">
        <v>3994</v>
      </c>
      <c r="F3188" s="84">
        <v>788.0</v>
      </c>
      <c r="G3188" s="81" t="s">
        <v>39</v>
      </c>
      <c r="H3188" s="81" t="s">
        <v>6309</v>
      </c>
      <c r="I3188" s="81" t="s">
        <v>3995</v>
      </c>
      <c r="J3188" s="81" t="s">
        <v>224</v>
      </c>
    </row>
    <row r="3189" hidden="1">
      <c r="A3189" s="83" t="s">
        <v>6317</v>
      </c>
      <c r="B3189" s="83" t="s">
        <v>6318</v>
      </c>
      <c r="C3189" s="81" t="s">
        <v>4086</v>
      </c>
      <c r="D3189" s="83" t="s">
        <v>4843</v>
      </c>
      <c r="E3189" s="81" t="s">
        <v>3994</v>
      </c>
      <c r="F3189" s="84">
        <v>788.0</v>
      </c>
      <c r="G3189" s="81" t="s">
        <v>40</v>
      </c>
      <c r="H3189" s="81" t="s">
        <v>224</v>
      </c>
      <c r="I3189" s="81" t="s">
        <v>3996</v>
      </c>
      <c r="J3189" s="81" t="s">
        <v>224</v>
      </c>
    </row>
    <row r="3190" hidden="1">
      <c r="A3190" s="83" t="s">
        <v>6317</v>
      </c>
      <c r="B3190" s="83" t="s">
        <v>6318</v>
      </c>
      <c r="C3190" s="81" t="s">
        <v>5141</v>
      </c>
      <c r="D3190" s="83" t="s">
        <v>4843</v>
      </c>
      <c r="E3190" s="81" t="s">
        <v>3994</v>
      </c>
      <c r="F3190" s="84">
        <v>788.0</v>
      </c>
      <c r="G3190" s="81" t="s">
        <v>43</v>
      </c>
      <c r="H3190" s="81" t="s">
        <v>49</v>
      </c>
      <c r="I3190" s="81" t="s">
        <v>224</v>
      </c>
      <c r="J3190" s="81" t="s">
        <v>5143</v>
      </c>
    </row>
    <row r="3191" hidden="1">
      <c r="A3191" s="83" t="s">
        <v>6317</v>
      </c>
      <c r="B3191" s="83" t="s">
        <v>6318</v>
      </c>
      <c r="C3191" s="81" t="s">
        <v>4086</v>
      </c>
      <c r="D3191" s="83" t="s">
        <v>4257</v>
      </c>
      <c r="E3191" s="81" t="s">
        <v>1025</v>
      </c>
      <c r="F3191" s="84">
        <v>789.0</v>
      </c>
      <c r="G3191" s="81" t="s">
        <v>39</v>
      </c>
      <c r="H3191" s="81" t="s">
        <v>224</v>
      </c>
      <c r="I3191" s="81" t="s">
        <v>5399</v>
      </c>
      <c r="J3191" s="81" t="s">
        <v>224</v>
      </c>
    </row>
    <row r="3192" hidden="1">
      <c r="A3192" s="83" t="s">
        <v>6317</v>
      </c>
      <c r="B3192" s="83" t="s">
        <v>6318</v>
      </c>
      <c r="C3192" s="81" t="s">
        <v>4086</v>
      </c>
      <c r="D3192" s="83" t="s">
        <v>4257</v>
      </c>
      <c r="E3192" s="81" t="s">
        <v>1025</v>
      </c>
      <c r="F3192" s="84">
        <v>789.0</v>
      </c>
      <c r="G3192" s="81" t="s">
        <v>40</v>
      </c>
      <c r="H3192" s="81" t="s">
        <v>224</v>
      </c>
      <c r="I3192" s="81" t="s">
        <v>5401</v>
      </c>
      <c r="J3192" s="81" t="s">
        <v>224</v>
      </c>
    </row>
    <row r="3193" hidden="1">
      <c r="A3193" s="83" t="s">
        <v>6317</v>
      </c>
      <c r="B3193" s="83" t="s">
        <v>6318</v>
      </c>
      <c r="C3193" s="81" t="s">
        <v>4086</v>
      </c>
      <c r="D3193" s="83" t="s">
        <v>4257</v>
      </c>
      <c r="E3193" s="81" t="s">
        <v>1025</v>
      </c>
      <c r="F3193" s="84">
        <v>789.0</v>
      </c>
      <c r="G3193" s="81" t="s">
        <v>43</v>
      </c>
      <c r="H3193" s="81" t="s">
        <v>224</v>
      </c>
      <c r="I3193" s="81" t="s">
        <v>1023</v>
      </c>
      <c r="J3193" s="81" t="s">
        <v>224</v>
      </c>
    </row>
    <row r="3194" hidden="1">
      <c r="A3194" s="83" t="s">
        <v>6317</v>
      </c>
      <c r="B3194" s="83" t="s">
        <v>6318</v>
      </c>
      <c r="C3194" s="81" t="s">
        <v>4086</v>
      </c>
      <c r="D3194" s="83" t="s">
        <v>4498</v>
      </c>
      <c r="E3194" s="81" t="s">
        <v>2324</v>
      </c>
      <c r="F3194" s="84">
        <v>790.0</v>
      </c>
      <c r="G3194" s="81" t="s">
        <v>39</v>
      </c>
      <c r="H3194" s="81" t="s">
        <v>224</v>
      </c>
      <c r="I3194" s="81" t="s">
        <v>2322</v>
      </c>
      <c r="J3194" s="81" t="s">
        <v>224</v>
      </c>
    </row>
    <row r="3195" hidden="1">
      <c r="A3195" s="83" t="s">
        <v>6317</v>
      </c>
      <c r="B3195" s="83" t="s">
        <v>6318</v>
      </c>
      <c r="C3195" s="81" t="s">
        <v>4086</v>
      </c>
      <c r="D3195" s="83" t="s">
        <v>4498</v>
      </c>
      <c r="E3195" s="81" t="s">
        <v>2324</v>
      </c>
      <c r="F3195" s="84">
        <v>790.0</v>
      </c>
      <c r="G3195" s="81" t="s">
        <v>40</v>
      </c>
      <c r="H3195" s="81" t="s">
        <v>224</v>
      </c>
      <c r="I3195" s="81" t="s">
        <v>2323</v>
      </c>
      <c r="J3195" s="81" t="s">
        <v>224</v>
      </c>
    </row>
    <row r="3196" hidden="1">
      <c r="A3196" s="83" t="s">
        <v>6317</v>
      </c>
      <c r="B3196" s="83" t="s">
        <v>6318</v>
      </c>
      <c r="C3196" s="81" t="s">
        <v>4086</v>
      </c>
      <c r="D3196" s="83" t="s">
        <v>4844</v>
      </c>
      <c r="E3196" s="81" t="s">
        <v>3998</v>
      </c>
      <c r="F3196" s="84">
        <v>791.0</v>
      </c>
      <c r="G3196" s="81" t="s">
        <v>39</v>
      </c>
      <c r="H3196" s="81" t="s">
        <v>224</v>
      </c>
      <c r="I3196" s="81" t="s">
        <v>6310</v>
      </c>
      <c r="J3196" s="81" t="s">
        <v>224</v>
      </c>
    </row>
    <row r="3197" hidden="1">
      <c r="A3197" s="83" t="s">
        <v>6317</v>
      </c>
      <c r="B3197" s="83" t="s">
        <v>6318</v>
      </c>
      <c r="C3197" s="81" t="s">
        <v>4086</v>
      </c>
      <c r="D3197" s="83" t="s">
        <v>4844</v>
      </c>
      <c r="E3197" s="81" t="s">
        <v>3998</v>
      </c>
      <c r="F3197" s="84">
        <v>791.0</v>
      </c>
      <c r="G3197" s="81" t="s">
        <v>40</v>
      </c>
      <c r="H3197" s="81" t="s">
        <v>224</v>
      </c>
      <c r="I3197" s="81" t="s">
        <v>6311</v>
      </c>
      <c r="J3197" s="81" t="s">
        <v>224</v>
      </c>
    </row>
    <row r="3198" hidden="1">
      <c r="A3198" s="83" t="s">
        <v>6317</v>
      </c>
      <c r="B3198" s="83" t="s">
        <v>6318</v>
      </c>
      <c r="C3198" s="81" t="s">
        <v>4086</v>
      </c>
      <c r="D3198" s="83" t="s">
        <v>4845</v>
      </c>
      <c r="E3198" s="81" t="s">
        <v>4002</v>
      </c>
      <c r="F3198" s="84">
        <v>792.0</v>
      </c>
      <c r="G3198" s="81" t="s">
        <v>39</v>
      </c>
      <c r="H3198" s="81" t="s">
        <v>224</v>
      </c>
      <c r="I3198" s="81" t="s">
        <v>6312</v>
      </c>
      <c r="J3198" s="81" t="s">
        <v>224</v>
      </c>
    </row>
    <row r="3199" hidden="1">
      <c r="A3199" s="83" t="s">
        <v>6317</v>
      </c>
      <c r="B3199" s="83" t="s">
        <v>6318</v>
      </c>
      <c r="C3199" s="81" t="s">
        <v>4086</v>
      </c>
      <c r="D3199" s="83" t="s">
        <v>4845</v>
      </c>
      <c r="E3199" s="81" t="s">
        <v>4002</v>
      </c>
      <c r="F3199" s="84">
        <v>792.0</v>
      </c>
      <c r="G3199" s="81" t="s">
        <v>40</v>
      </c>
      <c r="H3199" s="81" t="s">
        <v>224</v>
      </c>
      <c r="I3199" s="81" t="s">
        <v>6313</v>
      </c>
      <c r="J3199" s="81" t="s">
        <v>224</v>
      </c>
    </row>
    <row r="3200" hidden="1">
      <c r="A3200" s="83" t="s">
        <v>6317</v>
      </c>
      <c r="B3200" s="83" t="s">
        <v>6318</v>
      </c>
      <c r="C3200" s="81" t="s">
        <v>4086</v>
      </c>
      <c r="D3200" s="83" t="s">
        <v>4846</v>
      </c>
      <c r="E3200" s="81" t="s">
        <v>1133</v>
      </c>
      <c r="F3200" s="84">
        <v>793.0</v>
      </c>
      <c r="G3200" s="81" t="s">
        <v>39</v>
      </c>
      <c r="H3200" s="81" t="s">
        <v>224</v>
      </c>
      <c r="I3200" s="81" t="s">
        <v>6314</v>
      </c>
      <c r="J3200" s="81" t="s">
        <v>224</v>
      </c>
    </row>
    <row r="3201" hidden="1">
      <c r="A3201" s="83" t="s">
        <v>6317</v>
      </c>
      <c r="B3201" s="83" t="s">
        <v>6318</v>
      </c>
      <c r="C3201" s="81" t="s">
        <v>4086</v>
      </c>
      <c r="D3201" s="83" t="s">
        <v>4846</v>
      </c>
      <c r="E3201" s="81" t="s">
        <v>1133</v>
      </c>
      <c r="F3201" s="84">
        <v>793.0</v>
      </c>
      <c r="G3201" s="81" t="s">
        <v>40</v>
      </c>
      <c r="H3201" s="81" t="s">
        <v>224</v>
      </c>
      <c r="I3201" s="81" t="s">
        <v>6315</v>
      </c>
      <c r="J3201" s="81" t="s">
        <v>224</v>
      </c>
    </row>
    <row r="3202" hidden="1">
      <c r="A3202" s="83" t="s">
        <v>6317</v>
      </c>
      <c r="B3202" s="83" t="s">
        <v>6318</v>
      </c>
      <c r="C3202" s="81" t="s">
        <v>4082</v>
      </c>
      <c r="D3202" s="83" t="s">
        <v>4847</v>
      </c>
      <c r="E3202" s="81" t="s">
        <v>4005</v>
      </c>
      <c r="F3202" s="84">
        <v>794.0</v>
      </c>
      <c r="G3202" s="81" t="s">
        <v>39</v>
      </c>
      <c r="H3202" s="81" t="s">
        <v>224</v>
      </c>
      <c r="I3202" s="81" t="s">
        <v>224</v>
      </c>
      <c r="J3202" s="81" t="s">
        <v>6316</v>
      </c>
    </row>
    <row r="3203" hidden="1">
      <c r="A3203" s="83" t="s">
        <v>6317</v>
      </c>
      <c r="B3203" s="83" t="s">
        <v>6318</v>
      </c>
      <c r="C3203" s="81" t="s">
        <v>4086</v>
      </c>
      <c r="D3203" s="83" t="s">
        <v>4847</v>
      </c>
      <c r="E3203" s="81" t="s">
        <v>4005</v>
      </c>
      <c r="F3203" s="84">
        <v>794.0</v>
      </c>
      <c r="G3203" s="81" t="s">
        <v>40</v>
      </c>
      <c r="H3203" s="81" t="s">
        <v>224</v>
      </c>
      <c r="I3203" s="81" t="s">
        <v>6329</v>
      </c>
      <c r="J3203" s="81" t="s">
        <v>224</v>
      </c>
    </row>
    <row r="3204" hidden="1">
      <c r="A3204" s="83" t="s">
        <v>6330</v>
      </c>
      <c r="B3204" s="83" t="s">
        <v>6331</v>
      </c>
      <c r="C3204" s="81" t="s">
        <v>4080</v>
      </c>
      <c r="D3204" s="81" t="s">
        <v>224</v>
      </c>
      <c r="E3204" s="81" t="s">
        <v>224</v>
      </c>
      <c r="F3204" s="81" t="s">
        <v>224</v>
      </c>
      <c r="G3204" s="81" t="s">
        <v>224</v>
      </c>
      <c r="H3204" s="81" t="s">
        <v>224</v>
      </c>
      <c r="I3204" s="81" t="s">
        <v>224</v>
      </c>
      <c r="J3204" s="81" t="s">
        <v>6332</v>
      </c>
    </row>
    <row r="3205" hidden="1">
      <c r="A3205" s="83" t="s">
        <v>6330</v>
      </c>
      <c r="B3205" s="83" t="s">
        <v>6331</v>
      </c>
      <c r="C3205" s="81" t="s">
        <v>4084</v>
      </c>
      <c r="D3205" s="81" t="s">
        <v>224</v>
      </c>
      <c r="E3205" s="81" t="s">
        <v>224</v>
      </c>
      <c r="F3205" s="81" t="s">
        <v>224</v>
      </c>
      <c r="G3205" s="81" t="s">
        <v>224</v>
      </c>
      <c r="H3205" s="81" t="s">
        <v>224</v>
      </c>
      <c r="I3205" s="81" t="s">
        <v>224</v>
      </c>
      <c r="J3205" s="81" t="s">
        <v>6320</v>
      </c>
    </row>
    <row r="3206" hidden="1">
      <c r="A3206" s="83" t="s">
        <v>6330</v>
      </c>
      <c r="B3206" s="83" t="s">
        <v>6331</v>
      </c>
      <c r="C3206" s="81" t="s">
        <v>4082</v>
      </c>
      <c r="D3206" s="81" t="s">
        <v>224</v>
      </c>
      <c r="E3206" s="81" t="s">
        <v>4953</v>
      </c>
      <c r="F3206" s="81" t="s">
        <v>224</v>
      </c>
      <c r="G3206" s="81" t="s">
        <v>224</v>
      </c>
      <c r="H3206" s="81" t="s">
        <v>224</v>
      </c>
      <c r="I3206" s="81" t="s">
        <v>224</v>
      </c>
      <c r="J3206" s="81" t="s">
        <v>4954</v>
      </c>
    </row>
    <row r="3207" hidden="1">
      <c r="A3207" s="83" t="s">
        <v>6330</v>
      </c>
      <c r="B3207" s="83" t="s">
        <v>6331</v>
      </c>
      <c r="C3207" s="81" t="s">
        <v>4082</v>
      </c>
      <c r="D3207" s="81" t="s">
        <v>224</v>
      </c>
      <c r="E3207" s="81" t="s">
        <v>4955</v>
      </c>
      <c r="F3207" s="81" t="s">
        <v>224</v>
      </c>
      <c r="G3207" s="81" t="s">
        <v>224</v>
      </c>
      <c r="H3207" s="81" t="s">
        <v>224</v>
      </c>
      <c r="I3207" s="81" t="s">
        <v>224</v>
      </c>
      <c r="J3207" s="81" t="s">
        <v>4954</v>
      </c>
    </row>
    <row r="3208" hidden="1">
      <c r="A3208" s="83" t="s">
        <v>6330</v>
      </c>
      <c r="B3208" s="83" t="s">
        <v>6331</v>
      </c>
      <c r="C3208" s="81" t="s">
        <v>4082</v>
      </c>
      <c r="D3208" s="81" t="s">
        <v>224</v>
      </c>
      <c r="E3208" s="81" t="s">
        <v>4009</v>
      </c>
      <c r="F3208" s="81" t="s">
        <v>224</v>
      </c>
      <c r="G3208" s="81" t="s">
        <v>224</v>
      </c>
      <c r="H3208" s="81" t="s">
        <v>224</v>
      </c>
      <c r="I3208" s="81" t="s">
        <v>224</v>
      </c>
      <c r="J3208" s="81" t="s">
        <v>4954</v>
      </c>
    </row>
    <row r="3209" hidden="1">
      <c r="A3209" s="83" t="s">
        <v>6330</v>
      </c>
      <c r="B3209" s="83" t="s">
        <v>6331</v>
      </c>
      <c r="C3209" s="81" t="s">
        <v>4082</v>
      </c>
      <c r="D3209" s="81" t="s">
        <v>224</v>
      </c>
      <c r="E3209" s="81" t="s">
        <v>4956</v>
      </c>
      <c r="F3209" s="81" t="s">
        <v>224</v>
      </c>
      <c r="G3209" s="81" t="s">
        <v>224</v>
      </c>
      <c r="H3209" s="81" t="s">
        <v>224</v>
      </c>
      <c r="I3209" s="81" t="s">
        <v>224</v>
      </c>
      <c r="J3209" s="81" t="s">
        <v>4957</v>
      </c>
    </row>
    <row r="3210" hidden="1">
      <c r="A3210" s="83" t="s">
        <v>6330</v>
      </c>
      <c r="B3210" s="83" t="s">
        <v>6331</v>
      </c>
      <c r="C3210" s="81" t="s">
        <v>4082</v>
      </c>
      <c r="D3210" s="81" t="s">
        <v>224</v>
      </c>
      <c r="E3210" s="81" t="s">
        <v>4958</v>
      </c>
      <c r="F3210" s="81" t="s">
        <v>224</v>
      </c>
      <c r="G3210" s="81" t="s">
        <v>224</v>
      </c>
      <c r="H3210" s="81" t="s">
        <v>224</v>
      </c>
      <c r="I3210" s="81" t="s">
        <v>224</v>
      </c>
      <c r="J3210" s="81" t="s">
        <v>4959</v>
      </c>
    </row>
    <row r="3211" hidden="1">
      <c r="A3211" s="83" t="s">
        <v>6330</v>
      </c>
      <c r="B3211" s="83" t="s">
        <v>6331</v>
      </c>
      <c r="C3211" s="81" t="s">
        <v>4082</v>
      </c>
      <c r="D3211" s="81" t="s">
        <v>224</v>
      </c>
      <c r="E3211" s="81" t="s">
        <v>4960</v>
      </c>
      <c r="F3211" s="81" t="s">
        <v>224</v>
      </c>
      <c r="G3211" s="81" t="s">
        <v>224</v>
      </c>
      <c r="H3211" s="81" t="s">
        <v>224</v>
      </c>
      <c r="I3211" s="81" t="s">
        <v>224</v>
      </c>
      <c r="J3211" s="81" t="s">
        <v>4961</v>
      </c>
    </row>
    <row r="3212" hidden="1">
      <c r="A3212" s="83" t="s">
        <v>6330</v>
      </c>
      <c r="B3212" s="83" t="s">
        <v>6331</v>
      </c>
      <c r="C3212" s="81" t="s">
        <v>4082</v>
      </c>
      <c r="D3212" s="81" t="s">
        <v>224</v>
      </c>
      <c r="E3212" s="81" t="s">
        <v>4962</v>
      </c>
      <c r="F3212" s="81" t="s">
        <v>224</v>
      </c>
      <c r="G3212" s="81" t="s">
        <v>224</v>
      </c>
      <c r="H3212" s="81" t="s">
        <v>224</v>
      </c>
      <c r="I3212" s="81" t="s">
        <v>224</v>
      </c>
      <c r="J3212" s="81" t="s">
        <v>4963</v>
      </c>
    </row>
    <row r="3213" hidden="1">
      <c r="A3213" s="83" t="s">
        <v>6330</v>
      </c>
      <c r="B3213" s="83" t="s">
        <v>6331</v>
      </c>
      <c r="C3213" s="81" t="s">
        <v>4082</v>
      </c>
      <c r="D3213" s="81" t="s">
        <v>224</v>
      </c>
      <c r="E3213" s="81" t="s">
        <v>4964</v>
      </c>
      <c r="F3213" s="81" t="s">
        <v>224</v>
      </c>
      <c r="G3213" s="81" t="s">
        <v>224</v>
      </c>
      <c r="H3213" s="81" t="s">
        <v>224</v>
      </c>
      <c r="I3213" s="81" t="s">
        <v>224</v>
      </c>
      <c r="J3213" s="81" t="s">
        <v>4963</v>
      </c>
    </row>
    <row r="3214" hidden="1">
      <c r="A3214" s="83" t="s">
        <v>6330</v>
      </c>
      <c r="B3214" s="83" t="s">
        <v>6331</v>
      </c>
      <c r="C3214" s="81" t="s">
        <v>4082</v>
      </c>
      <c r="D3214" s="81" t="s">
        <v>224</v>
      </c>
      <c r="E3214" s="81" t="s">
        <v>4965</v>
      </c>
      <c r="F3214" s="81" t="s">
        <v>224</v>
      </c>
      <c r="G3214" s="81" t="s">
        <v>224</v>
      </c>
      <c r="H3214" s="81" t="s">
        <v>224</v>
      </c>
      <c r="I3214" s="81" t="s">
        <v>224</v>
      </c>
      <c r="J3214" s="81" t="s">
        <v>4966</v>
      </c>
    </row>
    <row r="3215" hidden="1">
      <c r="A3215" s="83" t="s">
        <v>6330</v>
      </c>
      <c r="B3215" s="83" t="s">
        <v>6331</v>
      </c>
      <c r="C3215" s="81" t="s">
        <v>4082</v>
      </c>
      <c r="D3215" s="81" t="s">
        <v>224</v>
      </c>
      <c r="E3215" s="81" t="s">
        <v>4967</v>
      </c>
      <c r="F3215" s="81" t="s">
        <v>224</v>
      </c>
      <c r="G3215" s="81" t="s">
        <v>224</v>
      </c>
      <c r="H3215" s="81" t="s">
        <v>224</v>
      </c>
      <c r="I3215" s="81" t="s">
        <v>224</v>
      </c>
      <c r="J3215" s="81" t="s">
        <v>4966</v>
      </c>
    </row>
    <row r="3216" hidden="1">
      <c r="A3216" s="83" t="s">
        <v>6330</v>
      </c>
      <c r="B3216" s="83" t="s">
        <v>6331</v>
      </c>
      <c r="C3216" s="81" t="s">
        <v>4082</v>
      </c>
      <c r="D3216" s="81" t="s">
        <v>224</v>
      </c>
      <c r="E3216" s="81" t="s">
        <v>4968</v>
      </c>
      <c r="F3216" s="81" t="s">
        <v>224</v>
      </c>
      <c r="G3216" s="81" t="s">
        <v>224</v>
      </c>
      <c r="H3216" s="81" t="s">
        <v>224</v>
      </c>
      <c r="I3216" s="81" t="s">
        <v>224</v>
      </c>
      <c r="J3216" s="81" t="s">
        <v>4966</v>
      </c>
    </row>
    <row r="3217" hidden="1">
      <c r="A3217" s="83" t="s">
        <v>6330</v>
      </c>
      <c r="B3217" s="83" t="s">
        <v>6331</v>
      </c>
      <c r="C3217" s="81" t="s">
        <v>4082</v>
      </c>
      <c r="D3217" s="81" t="s">
        <v>224</v>
      </c>
      <c r="E3217" s="81" t="s">
        <v>4969</v>
      </c>
      <c r="F3217" s="81" t="s">
        <v>224</v>
      </c>
      <c r="G3217" s="81" t="s">
        <v>224</v>
      </c>
      <c r="H3217" s="81" t="s">
        <v>224</v>
      </c>
      <c r="I3217" s="81" t="s">
        <v>224</v>
      </c>
      <c r="J3217" s="81" t="s">
        <v>4966</v>
      </c>
    </row>
    <row r="3218" hidden="1">
      <c r="A3218" s="83" t="s">
        <v>6330</v>
      </c>
      <c r="B3218" s="83" t="s">
        <v>6331</v>
      </c>
      <c r="C3218" s="81" t="s">
        <v>4082</v>
      </c>
      <c r="D3218" s="81" t="s">
        <v>224</v>
      </c>
      <c r="E3218" s="81" t="s">
        <v>4970</v>
      </c>
      <c r="F3218" s="81" t="s">
        <v>224</v>
      </c>
      <c r="G3218" s="81" t="s">
        <v>224</v>
      </c>
      <c r="H3218" s="81" t="s">
        <v>224</v>
      </c>
      <c r="I3218" s="81" t="s">
        <v>224</v>
      </c>
      <c r="J3218" s="81" t="s">
        <v>4966</v>
      </c>
    </row>
    <row r="3219" hidden="1">
      <c r="A3219" s="83" t="s">
        <v>6330</v>
      </c>
      <c r="B3219" s="83" t="s">
        <v>6331</v>
      </c>
      <c r="C3219" s="81" t="s">
        <v>4082</v>
      </c>
      <c r="D3219" s="81" t="s">
        <v>224</v>
      </c>
      <c r="E3219" s="81" t="s">
        <v>4971</v>
      </c>
      <c r="F3219" s="81" t="s">
        <v>224</v>
      </c>
      <c r="G3219" s="81" t="s">
        <v>224</v>
      </c>
      <c r="H3219" s="81" t="s">
        <v>224</v>
      </c>
      <c r="I3219" s="81" t="s">
        <v>224</v>
      </c>
      <c r="J3219" s="81" t="s">
        <v>4966</v>
      </c>
    </row>
    <row r="3220" hidden="1">
      <c r="A3220" s="83" t="s">
        <v>6330</v>
      </c>
      <c r="B3220" s="83" t="s">
        <v>6331</v>
      </c>
      <c r="C3220" s="81" t="s">
        <v>4082</v>
      </c>
      <c r="D3220" s="81" t="s">
        <v>224</v>
      </c>
      <c r="E3220" s="81" t="s">
        <v>4972</v>
      </c>
      <c r="F3220" s="81" t="s">
        <v>224</v>
      </c>
      <c r="G3220" s="81" t="s">
        <v>224</v>
      </c>
      <c r="H3220" s="81" t="s">
        <v>224</v>
      </c>
      <c r="I3220" s="81" t="s">
        <v>224</v>
      </c>
      <c r="J3220" s="81" t="s">
        <v>4966</v>
      </c>
    </row>
    <row r="3221" hidden="1">
      <c r="A3221" s="83" t="s">
        <v>6330</v>
      </c>
      <c r="B3221" s="83" t="s">
        <v>6331</v>
      </c>
      <c r="C3221" s="81" t="s">
        <v>4082</v>
      </c>
      <c r="D3221" s="81" t="s">
        <v>224</v>
      </c>
      <c r="E3221" s="81" t="s">
        <v>4973</v>
      </c>
      <c r="F3221" s="81" t="s">
        <v>224</v>
      </c>
      <c r="G3221" s="81" t="s">
        <v>224</v>
      </c>
      <c r="H3221" s="81" t="s">
        <v>224</v>
      </c>
      <c r="I3221" s="81" t="s">
        <v>224</v>
      </c>
      <c r="J3221" s="81" t="s">
        <v>4974</v>
      </c>
    </row>
    <row r="3222" hidden="1">
      <c r="A3222" s="83" t="s">
        <v>6330</v>
      </c>
      <c r="B3222" s="83" t="s">
        <v>6331</v>
      </c>
      <c r="C3222" s="81" t="s">
        <v>4082</v>
      </c>
      <c r="D3222" s="81" t="s">
        <v>224</v>
      </c>
      <c r="E3222" s="81" t="s">
        <v>4975</v>
      </c>
      <c r="F3222" s="81" t="s">
        <v>224</v>
      </c>
      <c r="G3222" s="81" t="s">
        <v>224</v>
      </c>
      <c r="H3222" s="81" t="s">
        <v>224</v>
      </c>
      <c r="I3222" s="81" t="s">
        <v>224</v>
      </c>
      <c r="J3222" s="81" t="s">
        <v>4976</v>
      </c>
    </row>
    <row r="3223" hidden="1">
      <c r="A3223" s="83" t="s">
        <v>6330</v>
      </c>
      <c r="B3223" s="83" t="s">
        <v>6331</v>
      </c>
      <c r="C3223" s="81" t="s">
        <v>4082</v>
      </c>
      <c r="D3223" s="81" t="s">
        <v>224</v>
      </c>
      <c r="E3223" s="81" t="s">
        <v>4025</v>
      </c>
      <c r="F3223" s="81" t="s">
        <v>224</v>
      </c>
      <c r="G3223" s="81" t="s">
        <v>224</v>
      </c>
      <c r="H3223" s="81" t="s">
        <v>224</v>
      </c>
      <c r="I3223" s="81" t="s">
        <v>224</v>
      </c>
      <c r="J3223" s="81" t="s">
        <v>4977</v>
      </c>
    </row>
    <row r="3224" hidden="1">
      <c r="A3224" s="83" t="s">
        <v>6330</v>
      </c>
      <c r="B3224" s="83" t="s">
        <v>6331</v>
      </c>
      <c r="C3224" s="81" t="s">
        <v>4082</v>
      </c>
      <c r="D3224" s="81" t="s">
        <v>224</v>
      </c>
      <c r="E3224" s="81" t="s">
        <v>4033</v>
      </c>
      <c r="F3224" s="81" t="s">
        <v>224</v>
      </c>
      <c r="G3224" s="81" t="s">
        <v>224</v>
      </c>
      <c r="H3224" s="81" t="s">
        <v>224</v>
      </c>
      <c r="I3224" s="81" t="s">
        <v>224</v>
      </c>
      <c r="J3224" s="81" t="s">
        <v>4978</v>
      </c>
    </row>
    <row r="3225" hidden="1">
      <c r="A3225" s="83" t="s">
        <v>6330</v>
      </c>
      <c r="B3225" s="83" t="s">
        <v>6331</v>
      </c>
      <c r="C3225" s="81" t="s">
        <v>4082</v>
      </c>
      <c r="D3225" s="81" t="s">
        <v>224</v>
      </c>
      <c r="E3225" s="81" t="s">
        <v>4979</v>
      </c>
      <c r="F3225" s="81" t="s">
        <v>224</v>
      </c>
      <c r="G3225" s="81" t="s">
        <v>224</v>
      </c>
      <c r="H3225" s="81" t="s">
        <v>224</v>
      </c>
      <c r="I3225" s="81" t="s">
        <v>224</v>
      </c>
      <c r="J3225" s="81" t="s">
        <v>4980</v>
      </c>
    </row>
    <row r="3226" hidden="1">
      <c r="A3226" s="83" t="s">
        <v>6330</v>
      </c>
      <c r="B3226" s="83" t="s">
        <v>6331</v>
      </c>
      <c r="C3226" s="81" t="s">
        <v>4082</v>
      </c>
      <c r="D3226" s="81" t="s">
        <v>224</v>
      </c>
      <c r="E3226" s="81" t="s">
        <v>4981</v>
      </c>
      <c r="F3226" s="81" t="s">
        <v>224</v>
      </c>
      <c r="G3226" s="81" t="s">
        <v>224</v>
      </c>
      <c r="H3226" s="81" t="s">
        <v>224</v>
      </c>
      <c r="I3226" s="81" t="s">
        <v>224</v>
      </c>
      <c r="J3226" s="81" t="s">
        <v>4982</v>
      </c>
    </row>
    <row r="3227" hidden="1">
      <c r="A3227" s="83" t="s">
        <v>6330</v>
      </c>
      <c r="B3227" s="83" t="s">
        <v>6331</v>
      </c>
      <c r="C3227" s="81" t="s">
        <v>4082</v>
      </c>
      <c r="D3227" s="81" t="s">
        <v>224</v>
      </c>
      <c r="E3227" s="81" t="s">
        <v>4983</v>
      </c>
      <c r="F3227" s="81" t="s">
        <v>224</v>
      </c>
      <c r="G3227" s="81" t="s">
        <v>224</v>
      </c>
      <c r="H3227" s="81" t="s">
        <v>224</v>
      </c>
      <c r="I3227" s="81" t="s">
        <v>224</v>
      </c>
      <c r="J3227" s="81" t="s">
        <v>4984</v>
      </c>
    </row>
    <row r="3228" hidden="1">
      <c r="A3228" s="83" t="s">
        <v>6330</v>
      </c>
      <c r="B3228" s="83" t="s">
        <v>6331</v>
      </c>
      <c r="C3228" s="81" t="s">
        <v>4082</v>
      </c>
      <c r="D3228" s="81" t="s">
        <v>224</v>
      </c>
      <c r="E3228" s="81" t="s">
        <v>4985</v>
      </c>
      <c r="F3228" s="81" t="s">
        <v>224</v>
      </c>
      <c r="G3228" s="81" t="s">
        <v>224</v>
      </c>
      <c r="H3228" s="81" t="s">
        <v>224</v>
      </c>
      <c r="I3228" s="81" t="s">
        <v>224</v>
      </c>
      <c r="J3228" s="81" t="s">
        <v>4986</v>
      </c>
    </row>
    <row r="3229" hidden="1">
      <c r="A3229" s="83" t="s">
        <v>6330</v>
      </c>
      <c r="B3229" s="83" t="s">
        <v>6331</v>
      </c>
      <c r="C3229" s="81" t="s">
        <v>4082</v>
      </c>
      <c r="D3229" s="81" t="s">
        <v>224</v>
      </c>
      <c r="E3229" s="81" t="s">
        <v>4987</v>
      </c>
      <c r="F3229" s="81" t="s">
        <v>224</v>
      </c>
      <c r="G3229" s="81" t="s">
        <v>224</v>
      </c>
      <c r="H3229" s="81" t="s">
        <v>224</v>
      </c>
      <c r="I3229" s="81" t="s">
        <v>224</v>
      </c>
      <c r="J3229" s="81" t="s">
        <v>4988</v>
      </c>
    </row>
    <row r="3230" hidden="1">
      <c r="A3230" s="83" t="s">
        <v>6330</v>
      </c>
      <c r="B3230" s="83" t="s">
        <v>6331</v>
      </c>
      <c r="C3230" s="81" t="s">
        <v>4082</v>
      </c>
      <c r="D3230" s="81" t="s">
        <v>224</v>
      </c>
      <c r="E3230" s="81" t="s">
        <v>4989</v>
      </c>
      <c r="F3230" s="81" t="s">
        <v>224</v>
      </c>
      <c r="G3230" s="81" t="s">
        <v>224</v>
      </c>
      <c r="H3230" s="81" t="s">
        <v>224</v>
      </c>
      <c r="I3230" s="81" t="s">
        <v>224</v>
      </c>
      <c r="J3230" s="81" t="s">
        <v>4990</v>
      </c>
    </row>
    <row r="3231" hidden="1">
      <c r="A3231" s="83" t="s">
        <v>6330</v>
      </c>
      <c r="B3231" s="83" t="s">
        <v>6331</v>
      </c>
      <c r="C3231" s="81" t="s">
        <v>4082</v>
      </c>
      <c r="D3231" s="81" t="s">
        <v>224</v>
      </c>
      <c r="E3231" s="81" t="s">
        <v>4991</v>
      </c>
      <c r="F3231" s="81" t="s">
        <v>224</v>
      </c>
      <c r="G3231" s="81" t="s">
        <v>224</v>
      </c>
      <c r="H3231" s="81" t="s">
        <v>224</v>
      </c>
      <c r="I3231" s="81" t="s">
        <v>224</v>
      </c>
      <c r="J3231" s="81" t="s">
        <v>4992</v>
      </c>
    </row>
    <row r="3232" hidden="1">
      <c r="A3232" s="83" t="s">
        <v>6330</v>
      </c>
      <c r="B3232" s="83" t="s">
        <v>6331</v>
      </c>
      <c r="C3232" s="81" t="s">
        <v>4082</v>
      </c>
      <c r="D3232" s="81" t="s">
        <v>224</v>
      </c>
      <c r="E3232" s="81" t="s">
        <v>4993</v>
      </c>
      <c r="F3232" s="81" t="s">
        <v>224</v>
      </c>
      <c r="G3232" s="81" t="s">
        <v>224</v>
      </c>
      <c r="H3232" s="81" t="s">
        <v>224</v>
      </c>
      <c r="I3232" s="81" t="s">
        <v>224</v>
      </c>
      <c r="J3232" s="81" t="s">
        <v>4994</v>
      </c>
    </row>
    <row r="3233" hidden="1">
      <c r="A3233" s="83" t="s">
        <v>6330</v>
      </c>
      <c r="B3233" s="83" t="s">
        <v>6331</v>
      </c>
      <c r="C3233" s="81" t="s">
        <v>4082</v>
      </c>
      <c r="D3233" s="81" t="s">
        <v>224</v>
      </c>
      <c r="E3233" s="81" t="s">
        <v>4995</v>
      </c>
      <c r="F3233" s="81" t="s">
        <v>224</v>
      </c>
      <c r="G3233" s="81" t="s">
        <v>224</v>
      </c>
      <c r="H3233" s="81" t="s">
        <v>224</v>
      </c>
      <c r="I3233" s="81" t="s">
        <v>224</v>
      </c>
      <c r="J3233" s="81" t="s">
        <v>4996</v>
      </c>
    </row>
    <row r="3234" hidden="1">
      <c r="A3234" s="83" t="s">
        <v>6330</v>
      </c>
      <c r="B3234" s="83" t="s">
        <v>6331</v>
      </c>
      <c r="C3234" s="81" t="s">
        <v>4082</v>
      </c>
      <c r="D3234" s="81" t="s">
        <v>224</v>
      </c>
      <c r="E3234" s="81" t="s">
        <v>4997</v>
      </c>
      <c r="F3234" s="81" t="s">
        <v>224</v>
      </c>
      <c r="G3234" s="81" t="s">
        <v>224</v>
      </c>
      <c r="H3234" s="81" t="s">
        <v>224</v>
      </c>
      <c r="I3234" s="81" t="s">
        <v>224</v>
      </c>
      <c r="J3234" s="81" t="s">
        <v>4998</v>
      </c>
    </row>
    <row r="3235" hidden="1">
      <c r="A3235" s="83" t="s">
        <v>6330</v>
      </c>
      <c r="B3235" s="83" t="s">
        <v>6331</v>
      </c>
      <c r="C3235" s="81" t="s">
        <v>4082</v>
      </c>
      <c r="D3235" s="81" t="s">
        <v>224</v>
      </c>
      <c r="E3235" s="81" t="s">
        <v>4999</v>
      </c>
      <c r="F3235" s="81" t="s">
        <v>224</v>
      </c>
      <c r="G3235" s="81" t="s">
        <v>224</v>
      </c>
      <c r="H3235" s="81" t="s">
        <v>224</v>
      </c>
      <c r="I3235" s="81" t="s">
        <v>224</v>
      </c>
      <c r="J3235" s="81" t="s">
        <v>5000</v>
      </c>
    </row>
    <row r="3236" hidden="1">
      <c r="A3236" s="83" t="s">
        <v>6330</v>
      </c>
      <c r="B3236" s="83" t="s">
        <v>6331</v>
      </c>
      <c r="C3236" s="81" t="s">
        <v>4082</v>
      </c>
      <c r="D3236" s="81" t="s">
        <v>224</v>
      </c>
      <c r="E3236" s="81" t="s">
        <v>5001</v>
      </c>
      <c r="F3236" s="81" t="s">
        <v>224</v>
      </c>
      <c r="G3236" s="81" t="s">
        <v>224</v>
      </c>
      <c r="H3236" s="81" t="s">
        <v>224</v>
      </c>
      <c r="I3236" s="81" t="s">
        <v>224</v>
      </c>
      <c r="J3236" s="81" t="s">
        <v>5002</v>
      </c>
    </row>
    <row r="3237" hidden="1">
      <c r="A3237" s="83" t="s">
        <v>6330</v>
      </c>
      <c r="B3237" s="83" t="s">
        <v>6331</v>
      </c>
      <c r="C3237" s="81" t="s">
        <v>4082</v>
      </c>
      <c r="D3237" s="81" t="s">
        <v>224</v>
      </c>
      <c r="E3237" s="81" t="s">
        <v>5003</v>
      </c>
      <c r="F3237" s="81" t="s">
        <v>224</v>
      </c>
      <c r="G3237" s="81" t="s">
        <v>224</v>
      </c>
      <c r="H3237" s="81" t="s">
        <v>224</v>
      </c>
      <c r="I3237" s="81" t="s">
        <v>224</v>
      </c>
      <c r="J3237" s="81" t="s">
        <v>5004</v>
      </c>
    </row>
    <row r="3238" hidden="1">
      <c r="A3238" s="83" t="s">
        <v>6330</v>
      </c>
      <c r="B3238" s="83" t="s">
        <v>6331</v>
      </c>
      <c r="C3238" s="81" t="s">
        <v>4082</v>
      </c>
      <c r="D3238" s="81" t="s">
        <v>224</v>
      </c>
      <c r="E3238" s="81" t="s">
        <v>5005</v>
      </c>
      <c r="F3238" s="81" t="s">
        <v>224</v>
      </c>
      <c r="G3238" s="81" t="s">
        <v>224</v>
      </c>
      <c r="H3238" s="81" t="s">
        <v>224</v>
      </c>
      <c r="I3238" s="81" t="s">
        <v>224</v>
      </c>
      <c r="J3238" s="81" t="s">
        <v>5006</v>
      </c>
    </row>
    <row r="3239" hidden="1">
      <c r="A3239" s="83" t="s">
        <v>6330</v>
      </c>
      <c r="B3239" s="83" t="s">
        <v>6331</v>
      </c>
      <c r="C3239" s="81" t="s">
        <v>4082</v>
      </c>
      <c r="D3239" s="81" t="s">
        <v>224</v>
      </c>
      <c r="E3239" s="81" t="s">
        <v>5007</v>
      </c>
      <c r="F3239" s="81" t="s">
        <v>224</v>
      </c>
      <c r="G3239" s="81" t="s">
        <v>224</v>
      </c>
      <c r="H3239" s="81" t="s">
        <v>224</v>
      </c>
      <c r="I3239" s="81" t="s">
        <v>224</v>
      </c>
      <c r="J3239" s="81" t="s">
        <v>5008</v>
      </c>
    </row>
    <row r="3240" hidden="1">
      <c r="A3240" s="83" t="s">
        <v>6330</v>
      </c>
      <c r="B3240" s="83" t="s">
        <v>6331</v>
      </c>
      <c r="C3240" s="81" t="s">
        <v>4082</v>
      </c>
      <c r="D3240" s="81" t="s">
        <v>224</v>
      </c>
      <c r="E3240" s="81" t="s">
        <v>5009</v>
      </c>
      <c r="F3240" s="81" t="s">
        <v>224</v>
      </c>
      <c r="G3240" s="81" t="s">
        <v>224</v>
      </c>
      <c r="H3240" s="81" t="s">
        <v>224</v>
      </c>
      <c r="I3240" s="81" t="s">
        <v>224</v>
      </c>
      <c r="J3240" s="81" t="s">
        <v>5010</v>
      </c>
    </row>
    <row r="3241" hidden="1">
      <c r="A3241" s="83" t="s">
        <v>6330</v>
      </c>
      <c r="B3241" s="83" t="s">
        <v>6331</v>
      </c>
      <c r="C3241" s="81" t="s">
        <v>4082</v>
      </c>
      <c r="D3241" s="81" t="s">
        <v>224</v>
      </c>
      <c r="E3241" s="81" t="s">
        <v>5011</v>
      </c>
      <c r="F3241" s="81" t="s">
        <v>224</v>
      </c>
      <c r="G3241" s="81" t="s">
        <v>224</v>
      </c>
      <c r="H3241" s="81" t="s">
        <v>224</v>
      </c>
      <c r="I3241" s="81" t="s">
        <v>224</v>
      </c>
      <c r="J3241" s="81" t="s">
        <v>5012</v>
      </c>
    </row>
    <row r="3242" hidden="1">
      <c r="A3242" s="83" t="s">
        <v>6330</v>
      </c>
      <c r="B3242" s="83" t="s">
        <v>6331</v>
      </c>
      <c r="C3242" s="81" t="s">
        <v>4082</v>
      </c>
      <c r="D3242" s="81" t="s">
        <v>224</v>
      </c>
      <c r="E3242" s="81" t="s">
        <v>5013</v>
      </c>
      <c r="F3242" s="81" t="s">
        <v>224</v>
      </c>
      <c r="G3242" s="81" t="s">
        <v>224</v>
      </c>
      <c r="H3242" s="81" t="s">
        <v>224</v>
      </c>
      <c r="I3242" s="81" t="s">
        <v>224</v>
      </c>
      <c r="J3242" s="81" t="s">
        <v>5014</v>
      </c>
    </row>
    <row r="3243" hidden="1">
      <c r="A3243" s="83" t="s">
        <v>6330</v>
      </c>
      <c r="B3243" s="83" t="s">
        <v>6331</v>
      </c>
      <c r="C3243" s="81" t="s">
        <v>4082</v>
      </c>
      <c r="D3243" s="81" t="s">
        <v>224</v>
      </c>
      <c r="E3243" s="81" t="s">
        <v>5015</v>
      </c>
      <c r="F3243" s="81" t="s">
        <v>224</v>
      </c>
      <c r="G3243" s="81" t="s">
        <v>224</v>
      </c>
      <c r="H3243" s="81" t="s">
        <v>224</v>
      </c>
      <c r="I3243" s="81" t="s">
        <v>224</v>
      </c>
      <c r="J3243" s="81" t="s">
        <v>5016</v>
      </c>
    </row>
    <row r="3244" hidden="1">
      <c r="A3244" s="83" t="s">
        <v>6330</v>
      </c>
      <c r="B3244" s="83" t="s">
        <v>6331</v>
      </c>
      <c r="C3244" s="81" t="s">
        <v>4082</v>
      </c>
      <c r="D3244" s="81" t="s">
        <v>224</v>
      </c>
      <c r="E3244" s="81" t="s">
        <v>5017</v>
      </c>
      <c r="F3244" s="81" t="s">
        <v>224</v>
      </c>
      <c r="G3244" s="81" t="s">
        <v>224</v>
      </c>
      <c r="H3244" s="81" t="s">
        <v>224</v>
      </c>
      <c r="I3244" s="81" t="s">
        <v>224</v>
      </c>
      <c r="J3244" s="81" t="s">
        <v>5018</v>
      </c>
    </row>
    <row r="3245" hidden="1">
      <c r="A3245" s="83" t="s">
        <v>6330</v>
      </c>
      <c r="B3245" s="83" t="s">
        <v>6331</v>
      </c>
      <c r="C3245" s="81" t="s">
        <v>4082</v>
      </c>
      <c r="D3245" s="81" t="s">
        <v>224</v>
      </c>
      <c r="E3245" s="81" t="s">
        <v>5019</v>
      </c>
      <c r="F3245" s="81" t="s">
        <v>224</v>
      </c>
      <c r="G3245" s="81" t="s">
        <v>224</v>
      </c>
      <c r="H3245" s="81" t="s">
        <v>224</v>
      </c>
      <c r="I3245" s="81" t="s">
        <v>224</v>
      </c>
      <c r="J3245" s="81" t="s">
        <v>5020</v>
      </c>
    </row>
    <row r="3246" hidden="1">
      <c r="A3246" s="83" t="s">
        <v>6330</v>
      </c>
      <c r="B3246" s="83" t="s">
        <v>6331</v>
      </c>
      <c r="C3246" s="81" t="s">
        <v>4082</v>
      </c>
      <c r="D3246" s="81" t="s">
        <v>224</v>
      </c>
      <c r="E3246" s="81" t="s">
        <v>5021</v>
      </c>
      <c r="F3246" s="81" t="s">
        <v>224</v>
      </c>
      <c r="G3246" s="81" t="s">
        <v>224</v>
      </c>
      <c r="H3246" s="81" t="s">
        <v>224</v>
      </c>
      <c r="I3246" s="81" t="s">
        <v>224</v>
      </c>
      <c r="J3246" s="81" t="s">
        <v>5022</v>
      </c>
    </row>
    <row r="3247" hidden="1">
      <c r="A3247" s="83" t="s">
        <v>6330</v>
      </c>
      <c r="B3247" s="83" t="s">
        <v>6331</v>
      </c>
      <c r="C3247" s="81" t="s">
        <v>4082</v>
      </c>
      <c r="D3247" s="81" t="s">
        <v>224</v>
      </c>
      <c r="E3247" s="81" t="s">
        <v>5023</v>
      </c>
      <c r="F3247" s="81" t="s">
        <v>224</v>
      </c>
      <c r="G3247" s="81" t="s">
        <v>224</v>
      </c>
      <c r="H3247" s="81" t="s">
        <v>224</v>
      </c>
      <c r="I3247" s="81" t="s">
        <v>224</v>
      </c>
      <c r="J3247" s="81" t="s">
        <v>5024</v>
      </c>
    </row>
    <row r="3248" hidden="1">
      <c r="A3248" s="83" t="s">
        <v>6330</v>
      </c>
      <c r="B3248" s="83" t="s">
        <v>6331</v>
      </c>
      <c r="C3248" s="81" t="s">
        <v>4082</v>
      </c>
      <c r="D3248" s="81" t="s">
        <v>224</v>
      </c>
      <c r="E3248" s="81" t="s">
        <v>5025</v>
      </c>
      <c r="F3248" s="81" t="s">
        <v>224</v>
      </c>
      <c r="G3248" s="81" t="s">
        <v>224</v>
      </c>
      <c r="H3248" s="81" t="s">
        <v>224</v>
      </c>
      <c r="I3248" s="81" t="s">
        <v>224</v>
      </c>
      <c r="J3248" s="81" t="s">
        <v>5026</v>
      </c>
    </row>
    <row r="3249" hidden="1">
      <c r="A3249" s="83" t="s">
        <v>6330</v>
      </c>
      <c r="B3249" s="83" t="s">
        <v>6331</v>
      </c>
      <c r="C3249" s="81" t="s">
        <v>4082</v>
      </c>
      <c r="D3249" s="81" t="s">
        <v>224</v>
      </c>
      <c r="E3249" s="81" t="s">
        <v>5027</v>
      </c>
      <c r="F3249" s="81" t="s">
        <v>224</v>
      </c>
      <c r="G3249" s="81" t="s">
        <v>224</v>
      </c>
      <c r="H3249" s="81" t="s">
        <v>224</v>
      </c>
      <c r="I3249" s="81" t="s">
        <v>224</v>
      </c>
      <c r="J3249" s="81" t="s">
        <v>5028</v>
      </c>
    </row>
    <row r="3250" hidden="1">
      <c r="A3250" s="83" t="s">
        <v>6330</v>
      </c>
      <c r="B3250" s="83" t="s">
        <v>6331</v>
      </c>
      <c r="C3250" s="81" t="s">
        <v>4082</v>
      </c>
      <c r="D3250" s="81" t="s">
        <v>224</v>
      </c>
      <c r="E3250" s="81" t="s">
        <v>5029</v>
      </c>
      <c r="F3250" s="81" t="s">
        <v>224</v>
      </c>
      <c r="G3250" s="81" t="s">
        <v>224</v>
      </c>
      <c r="H3250" s="81" t="s">
        <v>224</v>
      </c>
      <c r="I3250" s="81" t="s">
        <v>224</v>
      </c>
      <c r="J3250" s="81" t="s">
        <v>5030</v>
      </c>
    </row>
    <row r="3251" hidden="1">
      <c r="A3251" s="83" t="s">
        <v>6330</v>
      </c>
      <c r="B3251" s="83" t="s">
        <v>6331</v>
      </c>
      <c r="C3251" s="81" t="s">
        <v>4082</v>
      </c>
      <c r="D3251" s="81" t="s">
        <v>224</v>
      </c>
      <c r="E3251" s="81" t="s">
        <v>5031</v>
      </c>
      <c r="F3251" s="81" t="s">
        <v>224</v>
      </c>
      <c r="G3251" s="81" t="s">
        <v>224</v>
      </c>
      <c r="H3251" s="81" t="s">
        <v>224</v>
      </c>
      <c r="I3251" s="81" t="s">
        <v>224</v>
      </c>
      <c r="J3251" s="81" t="s">
        <v>5032</v>
      </c>
    </row>
    <row r="3252" hidden="1">
      <c r="A3252" s="83" t="s">
        <v>6330</v>
      </c>
      <c r="B3252" s="83" t="s">
        <v>6331</v>
      </c>
      <c r="C3252" s="81" t="s">
        <v>4082</v>
      </c>
      <c r="D3252" s="81" t="s">
        <v>224</v>
      </c>
      <c r="E3252" s="81" t="s">
        <v>5033</v>
      </c>
      <c r="F3252" s="81" t="s">
        <v>224</v>
      </c>
      <c r="G3252" s="81" t="s">
        <v>224</v>
      </c>
      <c r="H3252" s="81" t="s">
        <v>224</v>
      </c>
      <c r="I3252" s="81" t="s">
        <v>224</v>
      </c>
      <c r="J3252" s="81" t="s">
        <v>5034</v>
      </c>
    </row>
    <row r="3253" hidden="1">
      <c r="A3253" s="83" t="s">
        <v>6330</v>
      </c>
      <c r="B3253" s="83" t="s">
        <v>6331</v>
      </c>
      <c r="C3253" s="81" t="s">
        <v>4082</v>
      </c>
      <c r="D3253" s="81" t="s">
        <v>224</v>
      </c>
      <c r="E3253" s="81" t="s">
        <v>5035</v>
      </c>
      <c r="F3253" s="81" t="s">
        <v>224</v>
      </c>
      <c r="G3253" s="81" t="s">
        <v>224</v>
      </c>
      <c r="H3253" s="81" t="s">
        <v>224</v>
      </c>
      <c r="I3253" s="81" t="s">
        <v>224</v>
      </c>
      <c r="J3253" s="81" t="s">
        <v>5036</v>
      </c>
    </row>
    <row r="3254" hidden="1">
      <c r="A3254" s="83" t="s">
        <v>6330</v>
      </c>
      <c r="B3254" s="83" t="s">
        <v>6331</v>
      </c>
      <c r="C3254" s="81" t="s">
        <v>4082</v>
      </c>
      <c r="D3254" s="81" t="s">
        <v>224</v>
      </c>
      <c r="E3254" s="81" t="s">
        <v>5037</v>
      </c>
      <c r="F3254" s="81" t="s">
        <v>224</v>
      </c>
      <c r="G3254" s="81" t="s">
        <v>224</v>
      </c>
      <c r="H3254" s="81" t="s">
        <v>224</v>
      </c>
      <c r="I3254" s="81" t="s">
        <v>224</v>
      </c>
      <c r="J3254" s="81" t="s">
        <v>5038</v>
      </c>
    </row>
    <row r="3255" hidden="1">
      <c r="A3255" s="83" t="s">
        <v>6330</v>
      </c>
      <c r="B3255" s="83" t="s">
        <v>6331</v>
      </c>
      <c r="C3255" s="81" t="s">
        <v>4082</v>
      </c>
      <c r="D3255" s="81" t="s">
        <v>224</v>
      </c>
      <c r="E3255" s="81" t="s">
        <v>5039</v>
      </c>
      <c r="F3255" s="81" t="s">
        <v>224</v>
      </c>
      <c r="G3255" s="81" t="s">
        <v>224</v>
      </c>
      <c r="H3255" s="81" t="s">
        <v>224</v>
      </c>
      <c r="I3255" s="81" t="s">
        <v>224</v>
      </c>
      <c r="J3255" s="81" t="s">
        <v>5040</v>
      </c>
    </row>
    <row r="3256" hidden="1">
      <c r="A3256" s="83" t="s">
        <v>6330</v>
      </c>
      <c r="B3256" s="83" t="s">
        <v>6331</v>
      </c>
      <c r="C3256" s="81" t="s">
        <v>4082</v>
      </c>
      <c r="D3256" s="81" t="s">
        <v>224</v>
      </c>
      <c r="E3256" s="81" t="s">
        <v>5041</v>
      </c>
      <c r="F3256" s="81" t="s">
        <v>224</v>
      </c>
      <c r="G3256" s="81" t="s">
        <v>224</v>
      </c>
      <c r="H3256" s="81" t="s">
        <v>224</v>
      </c>
      <c r="I3256" s="81" t="s">
        <v>224</v>
      </c>
      <c r="J3256" s="81" t="s">
        <v>5042</v>
      </c>
    </row>
    <row r="3257" hidden="1">
      <c r="A3257" s="83" t="s">
        <v>6330</v>
      </c>
      <c r="B3257" s="83" t="s">
        <v>6331</v>
      </c>
      <c r="C3257" s="81" t="s">
        <v>4082</v>
      </c>
      <c r="D3257" s="81" t="s">
        <v>224</v>
      </c>
      <c r="E3257" s="81" t="s">
        <v>5043</v>
      </c>
      <c r="F3257" s="81" t="s">
        <v>224</v>
      </c>
      <c r="G3257" s="81" t="s">
        <v>224</v>
      </c>
      <c r="H3257" s="81" t="s">
        <v>224</v>
      </c>
      <c r="I3257" s="81" t="s">
        <v>224</v>
      </c>
      <c r="J3257" s="81" t="s">
        <v>5044</v>
      </c>
    </row>
    <row r="3258" hidden="1">
      <c r="A3258" s="83" t="s">
        <v>6330</v>
      </c>
      <c r="B3258" s="83" t="s">
        <v>6331</v>
      </c>
      <c r="C3258" s="81" t="s">
        <v>4082</v>
      </c>
      <c r="D3258" s="81" t="s">
        <v>224</v>
      </c>
      <c r="E3258" s="81" t="s">
        <v>5045</v>
      </c>
      <c r="F3258" s="81" t="s">
        <v>224</v>
      </c>
      <c r="G3258" s="81" t="s">
        <v>224</v>
      </c>
      <c r="H3258" s="81" t="s">
        <v>224</v>
      </c>
      <c r="I3258" s="81" t="s">
        <v>224</v>
      </c>
      <c r="J3258" s="81" t="s">
        <v>5046</v>
      </c>
    </row>
    <row r="3259" hidden="1">
      <c r="A3259" s="83" t="s">
        <v>6330</v>
      </c>
      <c r="B3259" s="83" t="s">
        <v>6331</v>
      </c>
      <c r="C3259" s="81" t="s">
        <v>4082</v>
      </c>
      <c r="D3259" s="81" t="s">
        <v>224</v>
      </c>
      <c r="E3259" s="81" t="s">
        <v>5047</v>
      </c>
      <c r="F3259" s="81" t="s">
        <v>224</v>
      </c>
      <c r="G3259" s="81" t="s">
        <v>224</v>
      </c>
      <c r="H3259" s="81" t="s">
        <v>224</v>
      </c>
      <c r="I3259" s="81" t="s">
        <v>224</v>
      </c>
      <c r="J3259" s="81" t="s">
        <v>5048</v>
      </c>
    </row>
    <row r="3260" hidden="1">
      <c r="A3260" s="83" t="s">
        <v>6330</v>
      </c>
      <c r="B3260" s="83" t="s">
        <v>6331</v>
      </c>
      <c r="C3260" s="81" t="s">
        <v>4082</v>
      </c>
      <c r="D3260" s="81" t="s">
        <v>224</v>
      </c>
      <c r="E3260" s="81" t="s">
        <v>5049</v>
      </c>
      <c r="F3260" s="81" t="s">
        <v>224</v>
      </c>
      <c r="G3260" s="81" t="s">
        <v>224</v>
      </c>
      <c r="H3260" s="81" t="s">
        <v>224</v>
      </c>
      <c r="I3260" s="81" t="s">
        <v>224</v>
      </c>
      <c r="J3260" s="81" t="s">
        <v>5050</v>
      </c>
    </row>
    <row r="3261" hidden="1">
      <c r="A3261" s="83" t="s">
        <v>6330</v>
      </c>
      <c r="B3261" s="83" t="s">
        <v>6331</v>
      </c>
      <c r="C3261" s="81" t="s">
        <v>4082</v>
      </c>
      <c r="D3261" s="81" t="s">
        <v>224</v>
      </c>
      <c r="E3261" s="81" t="s">
        <v>5051</v>
      </c>
      <c r="F3261" s="81" t="s">
        <v>224</v>
      </c>
      <c r="G3261" s="81" t="s">
        <v>224</v>
      </c>
      <c r="H3261" s="81" t="s">
        <v>224</v>
      </c>
      <c r="I3261" s="81" t="s">
        <v>224</v>
      </c>
      <c r="J3261" s="81" t="s">
        <v>5052</v>
      </c>
    </row>
    <row r="3262" hidden="1">
      <c r="A3262" s="83" t="s">
        <v>6330</v>
      </c>
      <c r="B3262" s="83" t="s">
        <v>6331</v>
      </c>
      <c r="C3262" s="81" t="s">
        <v>4082</v>
      </c>
      <c r="D3262" s="81" t="s">
        <v>224</v>
      </c>
      <c r="E3262" s="81" t="s">
        <v>5053</v>
      </c>
      <c r="F3262" s="81" t="s">
        <v>224</v>
      </c>
      <c r="G3262" s="81" t="s">
        <v>224</v>
      </c>
      <c r="H3262" s="81" t="s">
        <v>224</v>
      </c>
      <c r="I3262" s="81" t="s">
        <v>224</v>
      </c>
      <c r="J3262" s="81" t="s">
        <v>5054</v>
      </c>
    </row>
    <row r="3263" hidden="1">
      <c r="A3263" s="83" t="s">
        <v>6330</v>
      </c>
      <c r="B3263" s="83" t="s">
        <v>6331</v>
      </c>
      <c r="C3263" s="81" t="s">
        <v>4082</v>
      </c>
      <c r="D3263" s="81" t="s">
        <v>224</v>
      </c>
      <c r="E3263" s="81" t="s">
        <v>5055</v>
      </c>
      <c r="F3263" s="81" t="s">
        <v>224</v>
      </c>
      <c r="G3263" s="81" t="s">
        <v>224</v>
      </c>
      <c r="H3263" s="81" t="s">
        <v>224</v>
      </c>
      <c r="I3263" s="81" t="s">
        <v>224</v>
      </c>
      <c r="J3263" s="81" t="s">
        <v>5056</v>
      </c>
    </row>
    <row r="3264" hidden="1">
      <c r="A3264" s="83" t="s">
        <v>6330</v>
      </c>
      <c r="B3264" s="83" t="s">
        <v>6331</v>
      </c>
      <c r="C3264" s="81" t="s">
        <v>4082</v>
      </c>
      <c r="D3264" s="81" t="s">
        <v>224</v>
      </c>
      <c r="E3264" s="81" t="s">
        <v>5057</v>
      </c>
      <c r="F3264" s="81" t="s">
        <v>224</v>
      </c>
      <c r="G3264" s="81" t="s">
        <v>224</v>
      </c>
      <c r="H3264" s="81" t="s">
        <v>224</v>
      </c>
      <c r="I3264" s="81" t="s">
        <v>224</v>
      </c>
      <c r="J3264" s="81" t="s">
        <v>5058</v>
      </c>
    </row>
    <row r="3265" hidden="1">
      <c r="A3265" s="83" t="s">
        <v>6330</v>
      </c>
      <c r="B3265" s="83" t="s">
        <v>6331</v>
      </c>
      <c r="C3265" s="81" t="s">
        <v>4082</v>
      </c>
      <c r="D3265" s="81" t="s">
        <v>224</v>
      </c>
      <c r="E3265" s="81" t="s">
        <v>5059</v>
      </c>
      <c r="F3265" s="81" t="s">
        <v>224</v>
      </c>
      <c r="G3265" s="81" t="s">
        <v>224</v>
      </c>
      <c r="H3265" s="81" t="s">
        <v>224</v>
      </c>
      <c r="I3265" s="81" t="s">
        <v>224</v>
      </c>
      <c r="J3265" s="81" t="s">
        <v>5060</v>
      </c>
    </row>
    <row r="3266" hidden="1">
      <c r="A3266" s="83" t="s">
        <v>6330</v>
      </c>
      <c r="B3266" s="83" t="s">
        <v>6331</v>
      </c>
      <c r="C3266" s="81" t="s">
        <v>4082</v>
      </c>
      <c r="D3266" s="81" t="s">
        <v>224</v>
      </c>
      <c r="E3266" s="81" t="s">
        <v>5061</v>
      </c>
      <c r="F3266" s="81" t="s">
        <v>224</v>
      </c>
      <c r="G3266" s="81" t="s">
        <v>224</v>
      </c>
      <c r="H3266" s="81" t="s">
        <v>224</v>
      </c>
      <c r="I3266" s="81" t="s">
        <v>224</v>
      </c>
      <c r="J3266" s="81" t="s">
        <v>5062</v>
      </c>
    </row>
    <row r="3267" hidden="1">
      <c r="A3267" s="83" t="s">
        <v>6330</v>
      </c>
      <c r="B3267" s="83" t="s">
        <v>6331</v>
      </c>
      <c r="C3267" s="81" t="s">
        <v>4082</v>
      </c>
      <c r="D3267" s="81" t="s">
        <v>224</v>
      </c>
      <c r="E3267" s="81" t="s">
        <v>5063</v>
      </c>
      <c r="F3267" s="81" t="s">
        <v>224</v>
      </c>
      <c r="G3267" s="81" t="s">
        <v>224</v>
      </c>
      <c r="H3267" s="81" t="s">
        <v>224</v>
      </c>
      <c r="I3267" s="81" t="s">
        <v>224</v>
      </c>
      <c r="J3267" s="81" t="s">
        <v>5064</v>
      </c>
    </row>
    <row r="3268" hidden="1">
      <c r="A3268" s="83" t="s">
        <v>6330</v>
      </c>
      <c r="B3268" s="83" t="s">
        <v>6331</v>
      </c>
      <c r="C3268" s="81" t="s">
        <v>4082</v>
      </c>
      <c r="D3268" s="81" t="s">
        <v>224</v>
      </c>
      <c r="E3268" s="81" t="s">
        <v>5065</v>
      </c>
      <c r="F3268" s="81" t="s">
        <v>224</v>
      </c>
      <c r="G3268" s="81" t="s">
        <v>224</v>
      </c>
      <c r="H3268" s="81" t="s">
        <v>224</v>
      </c>
      <c r="I3268" s="81" t="s">
        <v>224</v>
      </c>
      <c r="J3268" s="81" t="s">
        <v>5066</v>
      </c>
    </row>
    <row r="3269" hidden="1">
      <c r="A3269" s="83" t="s">
        <v>6330</v>
      </c>
      <c r="B3269" s="83" t="s">
        <v>6331</v>
      </c>
      <c r="C3269" s="81" t="s">
        <v>4082</v>
      </c>
      <c r="D3269" s="81" t="s">
        <v>224</v>
      </c>
      <c r="E3269" s="81" t="s">
        <v>5067</v>
      </c>
      <c r="F3269" s="81" t="s">
        <v>224</v>
      </c>
      <c r="G3269" s="81" t="s">
        <v>224</v>
      </c>
      <c r="H3269" s="81" t="s">
        <v>224</v>
      </c>
      <c r="I3269" s="81" t="s">
        <v>224</v>
      </c>
      <c r="J3269" s="81" t="s">
        <v>5068</v>
      </c>
    </row>
    <row r="3270" hidden="1">
      <c r="A3270" s="83" t="s">
        <v>6330</v>
      </c>
      <c r="B3270" s="83" t="s">
        <v>6331</v>
      </c>
      <c r="C3270" s="81" t="s">
        <v>4082</v>
      </c>
      <c r="D3270" s="81" t="s">
        <v>224</v>
      </c>
      <c r="E3270" s="81" t="s">
        <v>5069</v>
      </c>
      <c r="F3270" s="81" t="s">
        <v>224</v>
      </c>
      <c r="G3270" s="81" t="s">
        <v>224</v>
      </c>
      <c r="H3270" s="81" t="s">
        <v>224</v>
      </c>
      <c r="I3270" s="81" t="s">
        <v>224</v>
      </c>
      <c r="J3270" s="81" t="s">
        <v>5070</v>
      </c>
    </row>
    <row r="3271" hidden="1">
      <c r="A3271" s="83" t="s">
        <v>6330</v>
      </c>
      <c r="B3271" s="83" t="s">
        <v>6331</v>
      </c>
      <c r="C3271" s="81" t="s">
        <v>4082</v>
      </c>
      <c r="D3271" s="81" t="s">
        <v>224</v>
      </c>
      <c r="E3271" s="81" t="s">
        <v>5071</v>
      </c>
      <c r="F3271" s="81" t="s">
        <v>224</v>
      </c>
      <c r="G3271" s="81" t="s">
        <v>224</v>
      </c>
      <c r="H3271" s="81" t="s">
        <v>224</v>
      </c>
      <c r="I3271" s="81" t="s">
        <v>224</v>
      </c>
      <c r="J3271" s="81" t="s">
        <v>5072</v>
      </c>
    </row>
    <row r="3272" hidden="1">
      <c r="A3272" s="83" t="s">
        <v>6330</v>
      </c>
      <c r="B3272" s="83" t="s">
        <v>6331</v>
      </c>
      <c r="C3272" s="81" t="s">
        <v>4082</v>
      </c>
      <c r="D3272" s="81" t="s">
        <v>224</v>
      </c>
      <c r="E3272" s="81" t="s">
        <v>5073</v>
      </c>
      <c r="F3272" s="81" t="s">
        <v>224</v>
      </c>
      <c r="G3272" s="81" t="s">
        <v>224</v>
      </c>
      <c r="H3272" s="81" t="s">
        <v>224</v>
      </c>
      <c r="I3272" s="81" t="s">
        <v>224</v>
      </c>
      <c r="J3272" s="81" t="s">
        <v>5074</v>
      </c>
    </row>
    <row r="3273" hidden="1">
      <c r="A3273" s="83" t="s">
        <v>6330</v>
      </c>
      <c r="B3273" s="83" t="s">
        <v>6331</v>
      </c>
      <c r="C3273" s="81" t="s">
        <v>4082</v>
      </c>
      <c r="D3273" s="81" t="s">
        <v>224</v>
      </c>
      <c r="E3273" s="81" t="s">
        <v>5075</v>
      </c>
      <c r="F3273" s="81" t="s">
        <v>224</v>
      </c>
      <c r="G3273" s="81" t="s">
        <v>224</v>
      </c>
      <c r="H3273" s="81" t="s">
        <v>224</v>
      </c>
      <c r="I3273" s="81" t="s">
        <v>224</v>
      </c>
      <c r="J3273" s="81" t="s">
        <v>5076</v>
      </c>
    </row>
    <row r="3274" hidden="1">
      <c r="A3274" s="83" t="s">
        <v>6330</v>
      </c>
      <c r="B3274" s="83" t="s">
        <v>6331</v>
      </c>
      <c r="C3274" s="81" t="s">
        <v>4082</v>
      </c>
      <c r="D3274" s="81" t="s">
        <v>224</v>
      </c>
      <c r="E3274" s="81" t="s">
        <v>5077</v>
      </c>
      <c r="F3274" s="81" t="s">
        <v>224</v>
      </c>
      <c r="G3274" s="81" t="s">
        <v>224</v>
      </c>
      <c r="H3274" s="81" t="s">
        <v>224</v>
      </c>
      <c r="I3274" s="81" t="s">
        <v>224</v>
      </c>
      <c r="J3274" s="81" t="s">
        <v>5078</v>
      </c>
    </row>
    <row r="3275" hidden="1">
      <c r="A3275" s="83" t="s">
        <v>6330</v>
      </c>
      <c r="B3275" s="83" t="s">
        <v>6331</v>
      </c>
      <c r="C3275" s="81" t="s">
        <v>4082</v>
      </c>
      <c r="D3275" s="81" t="s">
        <v>224</v>
      </c>
      <c r="E3275" s="81" t="s">
        <v>5079</v>
      </c>
      <c r="F3275" s="81" t="s">
        <v>224</v>
      </c>
      <c r="G3275" s="81" t="s">
        <v>224</v>
      </c>
      <c r="H3275" s="81" t="s">
        <v>224</v>
      </c>
      <c r="I3275" s="81" t="s">
        <v>224</v>
      </c>
      <c r="J3275" s="81" t="s">
        <v>4974</v>
      </c>
    </row>
    <row r="3276" hidden="1">
      <c r="A3276" s="83" t="s">
        <v>6330</v>
      </c>
      <c r="B3276" s="83" t="s">
        <v>6331</v>
      </c>
      <c r="C3276" s="81" t="s">
        <v>4082</v>
      </c>
      <c r="D3276" s="81" t="s">
        <v>224</v>
      </c>
      <c r="E3276" s="81" t="s">
        <v>5080</v>
      </c>
      <c r="F3276" s="81" t="s">
        <v>224</v>
      </c>
      <c r="G3276" s="81" t="s">
        <v>224</v>
      </c>
      <c r="H3276" s="81" t="s">
        <v>224</v>
      </c>
      <c r="I3276" s="81" t="s">
        <v>224</v>
      </c>
      <c r="J3276" s="81" t="s">
        <v>4974</v>
      </c>
    </row>
    <row r="3277" hidden="1">
      <c r="A3277" s="83" t="s">
        <v>6330</v>
      </c>
      <c r="B3277" s="83" t="s">
        <v>6331</v>
      </c>
      <c r="C3277" s="81" t="s">
        <v>4082</v>
      </c>
      <c r="D3277" s="81" t="s">
        <v>224</v>
      </c>
      <c r="E3277" s="81" t="s">
        <v>5081</v>
      </c>
      <c r="F3277" s="81" t="s">
        <v>224</v>
      </c>
      <c r="G3277" s="81" t="s">
        <v>224</v>
      </c>
      <c r="H3277" s="81" t="s">
        <v>224</v>
      </c>
      <c r="I3277" s="81" t="s">
        <v>224</v>
      </c>
      <c r="J3277" s="81" t="s">
        <v>5082</v>
      </c>
    </row>
    <row r="3278" hidden="1">
      <c r="A3278" s="83" t="s">
        <v>6330</v>
      </c>
      <c r="B3278" s="83" t="s">
        <v>6331</v>
      </c>
      <c r="C3278" s="81" t="s">
        <v>4082</v>
      </c>
      <c r="D3278" s="81" t="s">
        <v>224</v>
      </c>
      <c r="E3278" s="81" t="s">
        <v>5083</v>
      </c>
      <c r="F3278" s="81" t="s">
        <v>224</v>
      </c>
      <c r="G3278" s="81" t="s">
        <v>224</v>
      </c>
      <c r="H3278" s="81" t="s">
        <v>224</v>
      </c>
      <c r="I3278" s="81" t="s">
        <v>224</v>
      </c>
      <c r="J3278" s="81" t="s">
        <v>4984</v>
      </c>
    </row>
    <row r="3279" hidden="1">
      <c r="A3279" s="83" t="s">
        <v>6330</v>
      </c>
      <c r="B3279" s="83" t="s">
        <v>6331</v>
      </c>
      <c r="C3279" s="81" t="s">
        <v>4082</v>
      </c>
      <c r="D3279" s="81" t="s">
        <v>224</v>
      </c>
      <c r="E3279" s="81" t="s">
        <v>5084</v>
      </c>
      <c r="F3279" s="81" t="s">
        <v>224</v>
      </c>
      <c r="G3279" s="81" t="s">
        <v>224</v>
      </c>
      <c r="H3279" s="81" t="s">
        <v>224</v>
      </c>
      <c r="I3279" s="81" t="s">
        <v>224</v>
      </c>
      <c r="J3279" s="81" t="s">
        <v>5026</v>
      </c>
    </row>
    <row r="3280" hidden="1">
      <c r="A3280" s="83" t="s">
        <v>6330</v>
      </c>
      <c r="B3280" s="83" t="s">
        <v>6331</v>
      </c>
      <c r="C3280" s="81" t="s">
        <v>4082</v>
      </c>
      <c r="D3280" s="81" t="s">
        <v>224</v>
      </c>
      <c r="E3280" s="81" t="s">
        <v>5085</v>
      </c>
      <c r="F3280" s="81" t="s">
        <v>224</v>
      </c>
      <c r="G3280" s="81" t="s">
        <v>224</v>
      </c>
      <c r="H3280" s="81" t="s">
        <v>224</v>
      </c>
      <c r="I3280" s="81" t="s">
        <v>224</v>
      </c>
      <c r="J3280" s="81" t="s">
        <v>5006</v>
      </c>
    </row>
    <row r="3281" hidden="1">
      <c r="A3281" s="83" t="s">
        <v>6330</v>
      </c>
      <c r="B3281" s="83" t="s">
        <v>6331</v>
      </c>
      <c r="C3281" s="81" t="s">
        <v>4082</v>
      </c>
      <c r="D3281" s="81" t="s">
        <v>224</v>
      </c>
      <c r="E3281" s="81" t="s">
        <v>5086</v>
      </c>
      <c r="F3281" s="81" t="s">
        <v>224</v>
      </c>
      <c r="G3281" s="81" t="s">
        <v>224</v>
      </c>
      <c r="H3281" s="81" t="s">
        <v>224</v>
      </c>
      <c r="I3281" s="81" t="s">
        <v>224</v>
      </c>
      <c r="J3281" s="81" t="s">
        <v>5006</v>
      </c>
    </row>
    <row r="3282" hidden="1">
      <c r="A3282" s="83" t="s">
        <v>6330</v>
      </c>
      <c r="B3282" s="83" t="s">
        <v>6331</v>
      </c>
      <c r="C3282" s="81" t="s">
        <v>4082</v>
      </c>
      <c r="D3282" s="81" t="s">
        <v>224</v>
      </c>
      <c r="E3282" s="81" t="s">
        <v>5087</v>
      </c>
      <c r="F3282" s="81" t="s">
        <v>224</v>
      </c>
      <c r="G3282" s="81" t="s">
        <v>224</v>
      </c>
      <c r="H3282" s="81" t="s">
        <v>224</v>
      </c>
      <c r="I3282" s="81" t="s">
        <v>224</v>
      </c>
      <c r="J3282" s="81" t="s">
        <v>4984</v>
      </c>
    </row>
    <row r="3283" hidden="1">
      <c r="A3283" s="83" t="s">
        <v>6330</v>
      </c>
      <c r="B3283" s="83" t="s">
        <v>6331</v>
      </c>
      <c r="C3283" s="81" t="s">
        <v>4082</v>
      </c>
      <c r="D3283" s="81" t="s">
        <v>224</v>
      </c>
      <c r="E3283" s="81" t="s">
        <v>5088</v>
      </c>
      <c r="F3283" s="81" t="s">
        <v>224</v>
      </c>
      <c r="G3283" s="81" t="s">
        <v>224</v>
      </c>
      <c r="H3283" s="81" t="s">
        <v>224</v>
      </c>
      <c r="I3283" s="81" t="s">
        <v>224</v>
      </c>
      <c r="J3283" s="81" t="s">
        <v>5026</v>
      </c>
    </row>
    <row r="3284" hidden="1">
      <c r="A3284" s="83" t="s">
        <v>6330</v>
      </c>
      <c r="B3284" s="83" t="s">
        <v>6331</v>
      </c>
      <c r="C3284" s="81" t="s">
        <v>4082</v>
      </c>
      <c r="D3284" s="81" t="s">
        <v>224</v>
      </c>
      <c r="E3284" s="81" t="s">
        <v>5089</v>
      </c>
      <c r="F3284" s="81" t="s">
        <v>224</v>
      </c>
      <c r="G3284" s="81" t="s">
        <v>224</v>
      </c>
      <c r="H3284" s="81" t="s">
        <v>224</v>
      </c>
      <c r="I3284" s="81" t="s">
        <v>224</v>
      </c>
      <c r="J3284" s="81" t="s">
        <v>4984</v>
      </c>
    </row>
    <row r="3285" hidden="1">
      <c r="A3285" s="83" t="s">
        <v>6330</v>
      </c>
      <c r="B3285" s="83" t="s">
        <v>6331</v>
      </c>
      <c r="C3285" s="81" t="s">
        <v>4082</v>
      </c>
      <c r="D3285" s="81" t="s">
        <v>224</v>
      </c>
      <c r="E3285" s="81" t="s">
        <v>5090</v>
      </c>
      <c r="F3285" s="81" t="s">
        <v>224</v>
      </c>
      <c r="G3285" s="81" t="s">
        <v>224</v>
      </c>
      <c r="H3285" s="81" t="s">
        <v>224</v>
      </c>
      <c r="I3285" s="81" t="s">
        <v>224</v>
      </c>
      <c r="J3285" s="81" t="s">
        <v>4984</v>
      </c>
    </row>
    <row r="3286" hidden="1">
      <c r="A3286" s="83" t="s">
        <v>6330</v>
      </c>
      <c r="B3286" s="83" t="s">
        <v>6331</v>
      </c>
      <c r="C3286" s="81" t="s">
        <v>4082</v>
      </c>
      <c r="D3286" s="81" t="s">
        <v>224</v>
      </c>
      <c r="E3286" s="81" t="s">
        <v>5091</v>
      </c>
      <c r="F3286" s="81" t="s">
        <v>224</v>
      </c>
      <c r="G3286" s="81" t="s">
        <v>224</v>
      </c>
      <c r="H3286" s="81" t="s">
        <v>224</v>
      </c>
      <c r="I3286" s="81" t="s">
        <v>224</v>
      </c>
      <c r="J3286" s="81" t="s">
        <v>5006</v>
      </c>
    </row>
    <row r="3287" hidden="1">
      <c r="A3287" s="83" t="s">
        <v>6330</v>
      </c>
      <c r="B3287" s="83" t="s">
        <v>6331</v>
      </c>
      <c r="C3287" s="81" t="s">
        <v>4082</v>
      </c>
      <c r="D3287" s="81" t="s">
        <v>224</v>
      </c>
      <c r="E3287" s="81" t="s">
        <v>5092</v>
      </c>
      <c r="F3287" s="81" t="s">
        <v>224</v>
      </c>
      <c r="G3287" s="81" t="s">
        <v>224</v>
      </c>
      <c r="H3287" s="81" t="s">
        <v>224</v>
      </c>
      <c r="I3287" s="81" t="s">
        <v>224</v>
      </c>
      <c r="J3287" s="81" t="s">
        <v>5006</v>
      </c>
    </row>
    <row r="3288" hidden="1">
      <c r="A3288" s="83" t="s">
        <v>6330</v>
      </c>
      <c r="B3288" s="83" t="s">
        <v>6331</v>
      </c>
      <c r="C3288" s="81" t="s">
        <v>4082</v>
      </c>
      <c r="D3288" s="81" t="s">
        <v>224</v>
      </c>
      <c r="E3288" s="81" t="s">
        <v>5093</v>
      </c>
      <c r="F3288" s="81" t="s">
        <v>224</v>
      </c>
      <c r="G3288" s="81" t="s">
        <v>224</v>
      </c>
      <c r="H3288" s="81" t="s">
        <v>224</v>
      </c>
      <c r="I3288" s="81" t="s">
        <v>224</v>
      </c>
      <c r="J3288" s="81" t="s">
        <v>5026</v>
      </c>
    </row>
    <row r="3289" hidden="1">
      <c r="A3289" s="83" t="s">
        <v>6330</v>
      </c>
      <c r="B3289" s="83" t="s">
        <v>6331</v>
      </c>
      <c r="C3289" s="81" t="s">
        <v>4082</v>
      </c>
      <c r="D3289" s="81" t="s">
        <v>224</v>
      </c>
      <c r="E3289" s="81" t="s">
        <v>5094</v>
      </c>
      <c r="F3289" s="81" t="s">
        <v>224</v>
      </c>
      <c r="G3289" s="81" t="s">
        <v>224</v>
      </c>
      <c r="H3289" s="81" t="s">
        <v>224</v>
      </c>
      <c r="I3289" s="81" t="s">
        <v>224</v>
      </c>
      <c r="J3289" s="81" t="s">
        <v>5026</v>
      </c>
    </row>
    <row r="3290" hidden="1">
      <c r="A3290" s="83" t="s">
        <v>6330</v>
      </c>
      <c r="B3290" s="83" t="s">
        <v>6331</v>
      </c>
      <c r="C3290" s="81" t="s">
        <v>4082</v>
      </c>
      <c r="D3290" s="81" t="s">
        <v>224</v>
      </c>
      <c r="E3290" s="81" t="s">
        <v>5095</v>
      </c>
      <c r="F3290" s="81" t="s">
        <v>224</v>
      </c>
      <c r="G3290" s="81" t="s">
        <v>224</v>
      </c>
      <c r="H3290" s="81" t="s">
        <v>224</v>
      </c>
      <c r="I3290" s="81" t="s">
        <v>224</v>
      </c>
      <c r="J3290" s="81" t="s">
        <v>5006</v>
      </c>
    </row>
    <row r="3291" hidden="1">
      <c r="A3291" s="83" t="s">
        <v>6330</v>
      </c>
      <c r="B3291" s="83" t="s">
        <v>6331</v>
      </c>
      <c r="C3291" s="81" t="s">
        <v>4082</v>
      </c>
      <c r="D3291" s="81" t="s">
        <v>224</v>
      </c>
      <c r="E3291" s="81" t="s">
        <v>5096</v>
      </c>
      <c r="F3291" s="81" t="s">
        <v>224</v>
      </c>
      <c r="G3291" s="81" t="s">
        <v>224</v>
      </c>
      <c r="H3291" s="81" t="s">
        <v>224</v>
      </c>
      <c r="I3291" s="81" t="s">
        <v>224</v>
      </c>
      <c r="J3291" s="81" t="s">
        <v>5006</v>
      </c>
    </row>
    <row r="3292" hidden="1">
      <c r="A3292" s="83" t="s">
        <v>6330</v>
      </c>
      <c r="B3292" s="83" t="s">
        <v>6331</v>
      </c>
      <c r="C3292" s="81" t="s">
        <v>4082</v>
      </c>
      <c r="D3292" s="81" t="s">
        <v>224</v>
      </c>
      <c r="E3292" s="81" t="s">
        <v>5097</v>
      </c>
      <c r="F3292" s="81" t="s">
        <v>224</v>
      </c>
      <c r="G3292" s="81" t="s">
        <v>224</v>
      </c>
      <c r="H3292" s="81" t="s">
        <v>224</v>
      </c>
      <c r="I3292" s="81" t="s">
        <v>224</v>
      </c>
      <c r="J3292" s="81" t="s">
        <v>5006</v>
      </c>
    </row>
    <row r="3293" hidden="1">
      <c r="A3293" s="83" t="s">
        <v>6330</v>
      </c>
      <c r="B3293" s="83" t="s">
        <v>6331</v>
      </c>
      <c r="C3293" s="81" t="s">
        <v>4082</v>
      </c>
      <c r="D3293" s="81" t="s">
        <v>224</v>
      </c>
      <c r="E3293" s="81" t="s">
        <v>5098</v>
      </c>
      <c r="F3293" s="81" t="s">
        <v>224</v>
      </c>
      <c r="G3293" s="81" t="s">
        <v>224</v>
      </c>
      <c r="H3293" s="81" t="s">
        <v>224</v>
      </c>
      <c r="I3293" s="81" t="s">
        <v>224</v>
      </c>
      <c r="J3293" s="81" t="s">
        <v>4984</v>
      </c>
    </row>
    <row r="3294" hidden="1">
      <c r="A3294" s="83" t="s">
        <v>6330</v>
      </c>
      <c r="B3294" s="83" t="s">
        <v>6331</v>
      </c>
      <c r="C3294" s="81" t="s">
        <v>4082</v>
      </c>
      <c r="D3294" s="81" t="s">
        <v>224</v>
      </c>
      <c r="E3294" s="81" t="s">
        <v>5099</v>
      </c>
      <c r="F3294" s="81" t="s">
        <v>224</v>
      </c>
      <c r="G3294" s="81" t="s">
        <v>224</v>
      </c>
      <c r="H3294" s="81" t="s">
        <v>224</v>
      </c>
      <c r="I3294" s="81" t="s">
        <v>224</v>
      </c>
      <c r="J3294" s="81" t="s">
        <v>4984</v>
      </c>
    </row>
    <row r="3295" hidden="1">
      <c r="A3295" s="83" t="s">
        <v>6330</v>
      </c>
      <c r="B3295" s="83" t="s">
        <v>6331</v>
      </c>
      <c r="C3295" s="81" t="s">
        <v>4082</v>
      </c>
      <c r="D3295" s="81" t="s">
        <v>224</v>
      </c>
      <c r="E3295" s="81" t="s">
        <v>5100</v>
      </c>
      <c r="F3295" s="81" t="s">
        <v>224</v>
      </c>
      <c r="G3295" s="81" t="s">
        <v>224</v>
      </c>
      <c r="H3295" s="81" t="s">
        <v>224</v>
      </c>
      <c r="I3295" s="81" t="s">
        <v>224</v>
      </c>
      <c r="J3295" s="81" t="s">
        <v>4984</v>
      </c>
    </row>
    <row r="3296" hidden="1">
      <c r="A3296" s="83" t="s">
        <v>6330</v>
      </c>
      <c r="B3296" s="83" t="s">
        <v>6331</v>
      </c>
      <c r="C3296" s="81" t="s">
        <v>4082</v>
      </c>
      <c r="D3296" s="81" t="s">
        <v>224</v>
      </c>
      <c r="E3296" s="81" t="s">
        <v>5101</v>
      </c>
      <c r="F3296" s="81" t="s">
        <v>224</v>
      </c>
      <c r="G3296" s="81" t="s">
        <v>224</v>
      </c>
      <c r="H3296" s="81" t="s">
        <v>224</v>
      </c>
      <c r="I3296" s="81" t="s">
        <v>224</v>
      </c>
      <c r="J3296" s="81" t="s">
        <v>5006</v>
      </c>
    </row>
    <row r="3297" hidden="1">
      <c r="A3297" s="83" t="s">
        <v>6330</v>
      </c>
      <c r="B3297" s="83" t="s">
        <v>6331</v>
      </c>
      <c r="C3297" s="81" t="s">
        <v>4082</v>
      </c>
      <c r="D3297" s="81" t="s">
        <v>224</v>
      </c>
      <c r="E3297" s="81" t="s">
        <v>5102</v>
      </c>
      <c r="F3297" s="81" t="s">
        <v>224</v>
      </c>
      <c r="G3297" s="81" t="s">
        <v>224</v>
      </c>
      <c r="H3297" s="81" t="s">
        <v>224</v>
      </c>
      <c r="I3297" s="81" t="s">
        <v>224</v>
      </c>
      <c r="J3297" s="81" t="s">
        <v>4984</v>
      </c>
    </row>
    <row r="3298" hidden="1">
      <c r="A3298" s="83" t="s">
        <v>6330</v>
      </c>
      <c r="B3298" s="83" t="s">
        <v>6331</v>
      </c>
      <c r="C3298" s="81" t="s">
        <v>4082</v>
      </c>
      <c r="D3298" s="81" t="s">
        <v>224</v>
      </c>
      <c r="E3298" s="81" t="s">
        <v>5103</v>
      </c>
      <c r="F3298" s="81" t="s">
        <v>224</v>
      </c>
      <c r="G3298" s="81" t="s">
        <v>224</v>
      </c>
      <c r="H3298" s="81" t="s">
        <v>224</v>
      </c>
      <c r="I3298" s="81" t="s">
        <v>224</v>
      </c>
      <c r="J3298" s="81" t="s">
        <v>5026</v>
      </c>
    </row>
    <row r="3299" hidden="1">
      <c r="A3299" s="83" t="s">
        <v>6330</v>
      </c>
      <c r="B3299" s="83" t="s">
        <v>6331</v>
      </c>
      <c r="C3299" s="81" t="s">
        <v>4082</v>
      </c>
      <c r="D3299" s="81" t="s">
        <v>224</v>
      </c>
      <c r="E3299" s="81" t="s">
        <v>5104</v>
      </c>
      <c r="F3299" s="81" t="s">
        <v>224</v>
      </c>
      <c r="G3299" s="81" t="s">
        <v>224</v>
      </c>
      <c r="H3299" s="81" t="s">
        <v>224</v>
      </c>
      <c r="I3299" s="81" t="s">
        <v>224</v>
      </c>
      <c r="J3299" s="81" t="s">
        <v>5026</v>
      </c>
    </row>
    <row r="3300" hidden="1">
      <c r="A3300" s="83" t="s">
        <v>6330</v>
      </c>
      <c r="B3300" s="83" t="s">
        <v>6331</v>
      </c>
      <c r="C3300" s="81" t="s">
        <v>4082</v>
      </c>
      <c r="D3300" s="81" t="s">
        <v>224</v>
      </c>
      <c r="E3300" s="81" t="s">
        <v>5105</v>
      </c>
      <c r="F3300" s="81" t="s">
        <v>224</v>
      </c>
      <c r="G3300" s="81" t="s">
        <v>224</v>
      </c>
      <c r="H3300" s="81" t="s">
        <v>224</v>
      </c>
      <c r="I3300" s="81" t="s">
        <v>224</v>
      </c>
      <c r="J3300" s="81" t="s">
        <v>5028</v>
      </c>
    </row>
    <row r="3301" hidden="1">
      <c r="A3301" s="83" t="s">
        <v>6330</v>
      </c>
      <c r="B3301" s="83" t="s">
        <v>6331</v>
      </c>
      <c r="C3301" s="81" t="s">
        <v>4082</v>
      </c>
      <c r="D3301" s="81" t="s">
        <v>224</v>
      </c>
      <c r="E3301" s="81" t="s">
        <v>5106</v>
      </c>
      <c r="F3301" s="81" t="s">
        <v>224</v>
      </c>
      <c r="G3301" s="81" t="s">
        <v>224</v>
      </c>
      <c r="H3301" s="81" t="s">
        <v>224</v>
      </c>
      <c r="I3301" s="81" t="s">
        <v>224</v>
      </c>
      <c r="J3301" s="81" t="s">
        <v>5028</v>
      </c>
    </row>
    <row r="3302" hidden="1">
      <c r="A3302" s="83" t="s">
        <v>6330</v>
      </c>
      <c r="B3302" s="83" t="s">
        <v>6331</v>
      </c>
      <c r="C3302" s="81" t="s">
        <v>4082</v>
      </c>
      <c r="D3302" s="81" t="s">
        <v>224</v>
      </c>
      <c r="E3302" s="81" t="s">
        <v>5107</v>
      </c>
      <c r="F3302" s="81" t="s">
        <v>224</v>
      </c>
      <c r="G3302" s="81" t="s">
        <v>224</v>
      </c>
      <c r="H3302" s="81" t="s">
        <v>224</v>
      </c>
      <c r="I3302" s="81" t="s">
        <v>224</v>
      </c>
      <c r="J3302" s="81" t="s">
        <v>5028</v>
      </c>
    </row>
    <row r="3303" hidden="1">
      <c r="A3303" s="83" t="s">
        <v>6330</v>
      </c>
      <c r="B3303" s="83" t="s">
        <v>6331</v>
      </c>
      <c r="C3303" s="81" t="s">
        <v>4082</v>
      </c>
      <c r="D3303" s="81" t="s">
        <v>224</v>
      </c>
      <c r="E3303" s="81" t="s">
        <v>5108</v>
      </c>
      <c r="F3303" s="81" t="s">
        <v>224</v>
      </c>
      <c r="G3303" s="81" t="s">
        <v>224</v>
      </c>
      <c r="H3303" s="81" t="s">
        <v>224</v>
      </c>
      <c r="I3303" s="81" t="s">
        <v>224</v>
      </c>
      <c r="J3303" s="81" t="s">
        <v>5028</v>
      </c>
    </row>
    <row r="3304" hidden="1">
      <c r="A3304" s="83" t="s">
        <v>6330</v>
      </c>
      <c r="B3304" s="83" t="s">
        <v>6331</v>
      </c>
      <c r="C3304" s="81" t="s">
        <v>4082</v>
      </c>
      <c r="D3304" s="81" t="s">
        <v>224</v>
      </c>
      <c r="E3304" s="81" t="s">
        <v>5109</v>
      </c>
      <c r="F3304" s="81" t="s">
        <v>224</v>
      </c>
      <c r="G3304" s="81" t="s">
        <v>224</v>
      </c>
      <c r="H3304" s="81" t="s">
        <v>224</v>
      </c>
      <c r="I3304" s="81" t="s">
        <v>224</v>
      </c>
      <c r="J3304" s="81" t="s">
        <v>5028</v>
      </c>
    </row>
    <row r="3305" hidden="1">
      <c r="A3305" s="83" t="s">
        <v>6330</v>
      </c>
      <c r="B3305" s="83" t="s">
        <v>6331</v>
      </c>
      <c r="C3305" s="81" t="s">
        <v>4082</v>
      </c>
      <c r="D3305" s="81" t="s">
        <v>224</v>
      </c>
      <c r="E3305" s="81" t="s">
        <v>5110</v>
      </c>
      <c r="F3305" s="81" t="s">
        <v>224</v>
      </c>
      <c r="G3305" s="81" t="s">
        <v>224</v>
      </c>
      <c r="H3305" s="81" t="s">
        <v>224</v>
      </c>
      <c r="I3305" s="81" t="s">
        <v>224</v>
      </c>
      <c r="J3305" s="81" t="s">
        <v>5028</v>
      </c>
    </row>
    <row r="3306" hidden="1">
      <c r="A3306" s="83" t="s">
        <v>6330</v>
      </c>
      <c r="B3306" s="83" t="s">
        <v>6331</v>
      </c>
      <c r="C3306" s="81" t="s">
        <v>4082</v>
      </c>
      <c r="D3306" s="81" t="s">
        <v>224</v>
      </c>
      <c r="E3306" s="81" t="s">
        <v>224</v>
      </c>
      <c r="F3306" s="81" t="s">
        <v>224</v>
      </c>
      <c r="G3306" s="81" t="s">
        <v>224</v>
      </c>
      <c r="H3306" s="81" t="s">
        <v>224</v>
      </c>
      <c r="I3306" s="81" t="s">
        <v>224</v>
      </c>
      <c r="J3306" s="81" t="s">
        <v>5111</v>
      </c>
    </row>
    <row r="3307" hidden="1">
      <c r="A3307" s="83" t="s">
        <v>6330</v>
      </c>
      <c r="B3307" s="83" t="s">
        <v>6331</v>
      </c>
      <c r="C3307" s="81" t="s">
        <v>4621</v>
      </c>
      <c r="D3307" s="83" t="s">
        <v>4087</v>
      </c>
      <c r="E3307" s="81" t="s">
        <v>48</v>
      </c>
      <c r="F3307" s="84">
        <v>2.0</v>
      </c>
      <c r="G3307" s="81" t="s">
        <v>39</v>
      </c>
      <c r="H3307" s="81" t="s">
        <v>5112</v>
      </c>
      <c r="I3307" s="81" t="s">
        <v>68</v>
      </c>
      <c r="J3307" s="81" t="s">
        <v>224</v>
      </c>
    </row>
    <row r="3308" hidden="1">
      <c r="A3308" s="83" t="s">
        <v>6330</v>
      </c>
      <c r="B3308" s="83" t="s">
        <v>6331</v>
      </c>
      <c r="C3308" s="81" t="s">
        <v>4621</v>
      </c>
      <c r="D3308" s="83" t="s">
        <v>4087</v>
      </c>
      <c r="E3308" s="81" t="s">
        <v>48</v>
      </c>
      <c r="F3308" s="84">
        <v>2.0</v>
      </c>
      <c r="G3308" s="81" t="s">
        <v>40</v>
      </c>
      <c r="H3308" s="81" t="s">
        <v>5113</v>
      </c>
      <c r="I3308" s="81" t="s">
        <v>5114</v>
      </c>
      <c r="J3308" s="81" t="s">
        <v>224</v>
      </c>
    </row>
    <row r="3309" hidden="1">
      <c r="A3309" s="83" t="s">
        <v>6330</v>
      </c>
      <c r="B3309" s="83" t="s">
        <v>6331</v>
      </c>
      <c r="C3309" s="81" t="s">
        <v>4621</v>
      </c>
      <c r="D3309" s="83" t="s">
        <v>4087</v>
      </c>
      <c r="E3309" s="81" t="s">
        <v>73</v>
      </c>
      <c r="F3309" s="84">
        <v>3.0</v>
      </c>
      <c r="G3309" s="81" t="s">
        <v>39</v>
      </c>
      <c r="H3309" s="81" t="s">
        <v>5115</v>
      </c>
      <c r="I3309" s="81" t="s">
        <v>68</v>
      </c>
      <c r="J3309" s="81" t="s">
        <v>224</v>
      </c>
    </row>
    <row r="3310" hidden="1">
      <c r="A3310" s="83" t="s">
        <v>6330</v>
      </c>
      <c r="B3310" s="83" t="s">
        <v>6331</v>
      </c>
      <c r="C3310" s="81" t="s">
        <v>4621</v>
      </c>
      <c r="D3310" s="83" t="s">
        <v>4087</v>
      </c>
      <c r="E3310" s="81" t="s">
        <v>73</v>
      </c>
      <c r="F3310" s="84">
        <v>3.0</v>
      </c>
      <c r="G3310" s="81" t="s">
        <v>40</v>
      </c>
      <c r="H3310" s="81" t="s">
        <v>5116</v>
      </c>
      <c r="I3310" s="81" t="s">
        <v>5114</v>
      </c>
      <c r="J3310" s="81" t="s">
        <v>224</v>
      </c>
    </row>
    <row r="3311" hidden="1">
      <c r="A3311" s="83" t="s">
        <v>6330</v>
      </c>
      <c r="B3311" s="83" t="s">
        <v>6331</v>
      </c>
      <c r="C3311" s="81" t="s">
        <v>4621</v>
      </c>
      <c r="D3311" s="83" t="s">
        <v>4089</v>
      </c>
      <c r="E3311" s="81" t="s">
        <v>75</v>
      </c>
      <c r="F3311" s="84">
        <v>4.0</v>
      </c>
      <c r="G3311" s="81" t="s">
        <v>39</v>
      </c>
      <c r="H3311" s="81" t="s">
        <v>5117</v>
      </c>
      <c r="I3311" s="81" t="s">
        <v>79</v>
      </c>
      <c r="J3311" s="81" t="s">
        <v>224</v>
      </c>
    </row>
    <row r="3312" hidden="1">
      <c r="A3312" s="83" t="s">
        <v>6330</v>
      </c>
      <c r="B3312" s="83" t="s">
        <v>6331</v>
      </c>
      <c r="C3312" s="81" t="s">
        <v>4621</v>
      </c>
      <c r="D3312" s="83" t="s">
        <v>4089</v>
      </c>
      <c r="E3312" s="81" t="s">
        <v>75</v>
      </c>
      <c r="F3312" s="84">
        <v>4.0</v>
      </c>
      <c r="G3312" s="81" t="s">
        <v>40</v>
      </c>
      <c r="H3312" s="81" t="s">
        <v>5118</v>
      </c>
      <c r="I3312" s="81" t="s">
        <v>80</v>
      </c>
      <c r="J3312" s="81" t="s">
        <v>224</v>
      </c>
    </row>
    <row r="3313" hidden="1">
      <c r="A3313" s="83" t="s">
        <v>6330</v>
      </c>
      <c r="B3313" s="83" t="s">
        <v>6331</v>
      </c>
      <c r="C3313" s="81" t="s">
        <v>4621</v>
      </c>
      <c r="D3313" s="83" t="s">
        <v>4090</v>
      </c>
      <c r="E3313" s="81" t="s">
        <v>83</v>
      </c>
      <c r="F3313" s="84">
        <v>5.0</v>
      </c>
      <c r="G3313" s="81" t="s">
        <v>39</v>
      </c>
      <c r="H3313" s="81" t="s">
        <v>5119</v>
      </c>
      <c r="I3313" s="81" t="s">
        <v>97</v>
      </c>
      <c r="J3313" s="81" t="s">
        <v>224</v>
      </c>
    </row>
    <row r="3314" hidden="1">
      <c r="A3314" s="83" t="s">
        <v>6330</v>
      </c>
      <c r="B3314" s="83" t="s">
        <v>6331</v>
      </c>
      <c r="C3314" s="81" t="s">
        <v>4621</v>
      </c>
      <c r="D3314" s="83" t="s">
        <v>4090</v>
      </c>
      <c r="E3314" s="81" t="s">
        <v>83</v>
      </c>
      <c r="F3314" s="84">
        <v>5.0</v>
      </c>
      <c r="G3314" s="81" t="s">
        <v>40</v>
      </c>
      <c r="H3314" s="81" t="s">
        <v>5120</v>
      </c>
      <c r="I3314" s="81" t="s">
        <v>98</v>
      </c>
      <c r="J3314" s="81" t="s">
        <v>224</v>
      </c>
    </row>
    <row r="3315" hidden="1">
      <c r="A3315" s="83" t="s">
        <v>6330</v>
      </c>
      <c r="B3315" s="83" t="s">
        <v>6331</v>
      </c>
      <c r="C3315" s="81" t="s">
        <v>4621</v>
      </c>
      <c r="D3315" s="83" t="s">
        <v>4091</v>
      </c>
      <c r="E3315" s="81" t="s">
        <v>104</v>
      </c>
      <c r="F3315" s="84">
        <v>6.0</v>
      </c>
      <c r="G3315" s="81" t="s">
        <v>39</v>
      </c>
      <c r="H3315" s="81" t="s">
        <v>5121</v>
      </c>
      <c r="I3315" s="81" t="s">
        <v>114</v>
      </c>
      <c r="J3315" s="81" t="s">
        <v>224</v>
      </c>
    </row>
    <row r="3316" hidden="1">
      <c r="A3316" s="83" t="s">
        <v>6330</v>
      </c>
      <c r="B3316" s="83" t="s">
        <v>6331</v>
      </c>
      <c r="C3316" s="81" t="s">
        <v>4621</v>
      </c>
      <c r="D3316" s="83" t="s">
        <v>4091</v>
      </c>
      <c r="E3316" s="81" t="s">
        <v>104</v>
      </c>
      <c r="F3316" s="84">
        <v>6.0</v>
      </c>
      <c r="G3316" s="81" t="s">
        <v>40</v>
      </c>
      <c r="H3316" s="81" t="s">
        <v>5122</v>
      </c>
      <c r="I3316" s="81" t="s">
        <v>115</v>
      </c>
      <c r="J3316" s="81" t="s">
        <v>224</v>
      </c>
    </row>
    <row r="3317" hidden="1">
      <c r="A3317" s="83" t="s">
        <v>6330</v>
      </c>
      <c r="B3317" s="83" t="s">
        <v>6331</v>
      </c>
      <c r="C3317" s="81" t="s">
        <v>4621</v>
      </c>
      <c r="D3317" s="83" t="s">
        <v>4091</v>
      </c>
      <c r="E3317" s="81" t="s">
        <v>121</v>
      </c>
      <c r="F3317" s="84">
        <v>7.0</v>
      </c>
      <c r="G3317" s="81" t="s">
        <v>39</v>
      </c>
      <c r="H3317" s="81" t="s">
        <v>5121</v>
      </c>
      <c r="I3317" s="81" t="s">
        <v>114</v>
      </c>
      <c r="J3317" s="81" t="s">
        <v>224</v>
      </c>
    </row>
    <row r="3318" hidden="1">
      <c r="A3318" s="83" t="s">
        <v>6330</v>
      </c>
      <c r="B3318" s="83" t="s">
        <v>6331</v>
      </c>
      <c r="C3318" s="81" t="s">
        <v>4621</v>
      </c>
      <c r="D3318" s="83" t="s">
        <v>4091</v>
      </c>
      <c r="E3318" s="81" t="s">
        <v>121</v>
      </c>
      <c r="F3318" s="84">
        <v>7.0</v>
      </c>
      <c r="G3318" s="81" t="s">
        <v>40</v>
      </c>
      <c r="H3318" s="81" t="s">
        <v>5122</v>
      </c>
      <c r="I3318" s="81" t="s">
        <v>115</v>
      </c>
      <c r="J3318" s="81" t="s">
        <v>224</v>
      </c>
    </row>
    <row r="3319" hidden="1">
      <c r="A3319" s="83" t="s">
        <v>6330</v>
      </c>
      <c r="B3319" s="83" t="s">
        <v>6331</v>
      </c>
      <c r="C3319" s="81" t="s">
        <v>4621</v>
      </c>
      <c r="D3319" s="83" t="s">
        <v>4092</v>
      </c>
      <c r="E3319" s="81" t="s">
        <v>122</v>
      </c>
      <c r="F3319" s="84">
        <v>8.0</v>
      </c>
      <c r="G3319" s="81" t="s">
        <v>39</v>
      </c>
      <c r="H3319" s="81" t="s">
        <v>5123</v>
      </c>
      <c r="I3319" s="81" t="s">
        <v>123</v>
      </c>
      <c r="J3319" s="81" t="s">
        <v>224</v>
      </c>
    </row>
    <row r="3320" hidden="1">
      <c r="A3320" s="83" t="s">
        <v>6330</v>
      </c>
      <c r="B3320" s="83" t="s">
        <v>6331</v>
      </c>
      <c r="C3320" s="81" t="s">
        <v>4621</v>
      </c>
      <c r="D3320" s="83" t="s">
        <v>4092</v>
      </c>
      <c r="E3320" s="81" t="s">
        <v>122</v>
      </c>
      <c r="F3320" s="84">
        <v>8.0</v>
      </c>
      <c r="G3320" s="81" t="s">
        <v>40</v>
      </c>
      <c r="H3320" s="81" t="s">
        <v>5124</v>
      </c>
      <c r="I3320" s="81" t="s">
        <v>124</v>
      </c>
      <c r="J3320" s="81" t="s">
        <v>224</v>
      </c>
    </row>
    <row r="3321" hidden="1">
      <c r="A3321" s="83" t="s">
        <v>6330</v>
      </c>
      <c r="B3321" s="83" t="s">
        <v>6331</v>
      </c>
      <c r="C3321" s="81" t="s">
        <v>4621</v>
      </c>
      <c r="D3321" s="83" t="s">
        <v>4093</v>
      </c>
      <c r="E3321" s="81" t="s">
        <v>125</v>
      </c>
      <c r="F3321" s="84">
        <v>9.0</v>
      </c>
      <c r="G3321" s="81" t="s">
        <v>40</v>
      </c>
      <c r="H3321" s="81" t="s">
        <v>5125</v>
      </c>
      <c r="I3321" s="81" t="s">
        <v>133</v>
      </c>
      <c r="J3321" s="81" t="s">
        <v>224</v>
      </c>
    </row>
    <row r="3322" hidden="1">
      <c r="A3322" s="83" t="s">
        <v>6330</v>
      </c>
      <c r="B3322" s="83" t="s">
        <v>6331</v>
      </c>
      <c r="C3322" s="81" t="s">
        <v>4621</v>
      </c>
      <c r="D3322" s="83" t="s">
        <v>4094</v>
      </c>
      <c r="E3322" s="81" t="s">
        <v>139</v>
      </c>
      <c r="F3322" s="84">
        <v>10.0</v>
      </c>
      <c r="G3322" s="81" t="s">
        <v>39</v>
      </c>
      <c r="H3322" s="81" t="s">
        <v>5126</v>
      </c>
      <c r="I3322" s="81" t="s">
        <v>147</v>
      </c>
      <c r="J3322" s="81" t="s">
        <v>224</v>
      </c>
    </row>
    <row r="3323" hidden="1">
      <c r="A3323" s="83" t="s">
        <v>6330</v>
      </c>
      <c r="B3323" s="83" t="s">
        <v>6331</v>
      </c>
      <c r="C3323" s="81" t="s">
        <v>4621</v>
      </c>
      <c r="D3323" s="83" t="s">
        <v>4094</v>
      </c>
      <c r="E3323" s="81" t="s">
        <v>139</v>
      </c>
      <c r="F3323" s="84">
        <v>10.0</v>
      </c>
      <c r="G3323" s="81" t="s">
        <v>40</v>
      </c>
      <c r="H3323" s="81" t="s">
        <v>5127</v>
      </c>
      <c r="I3323" s="81" t="s">
        <v>5128</v>
      </c>
      <c r="J3323" s="81" t="s">
        <v>224</v>
      </c>
    </row>
    <row r="3324" hidden="1">
      <c r="A3324" s="83" t="s">
        <v>6330</v>
      </c>
      <c r="B3324" s="83" t="s">
        <v>6331</v>
      </c>
      <c r="C3324" s="81" t="s">
        <v>4621</v>
      </c>
      <c r="D3324" s="83" t="s">
        <v>4094</v>
      </c>
      <c r="E3324" s="81" t="s">
        <v>154</v>
      </c>
      <c r="F3324" s="84">
        <v>11.0</v>
      </c>
      <c r="G3324" s="81" t="s">
        <v>40</v>
      </c>
      <c r="H3324" s="81" t="s">
        <v>5127</v>
      </c>
      <c r="I3324" s="81" t="s">
        <v>5128</v>
      </c>
      <c r="J3324" s="81" t="s">
        <v>224</v>
      </c>
    </row>
    <row r="3325" hidden="1">
      <c r="A3325" s="83" t="s">
        <v>6330</v>
      </c>
      <c r="B3325" s="83" t="s">
        <v>6331</v>
      </c>
      <c r="C3325" s="81" t="s">
        <v>4621</v>
      </c>
      <c r="D3325" s="83" t="s">
        <v>4095</v>
      </c>
      <c r="E3325" s="81" t="s">
        <v>155</v>
      </c>
      <c r="F3325" s="84">
        <v>12.0</v>
      </c>
      <c r="G3325" s="81" t="s">
        <v>40</v>
      </c>
      <c r="H3325" s="81" t="s">
        <v>5129</v>
      </c>
      <c r="I3325" s="81" t="s">
        <v>157</v>
      </c>
      <c r="J3325" s="81" t="s">
        <v>224</v>
      </c>
    </row>
    <row r="3326" hidden="1">
      <c r="A3326" s="83" t="s">
        <v>6330</v>
      </c>
      <c r="B3326" s="83" t="s">
        <v>6331</v>
      </c>
      <c r="C3326" s="81" t="s">
        <v>4621</v>
      </c>
      <c r="D3326" s="83" t="s">
        <v>4096</v>
      </c>
      <c r="E3326" s="81" t="s">
        <v>158</v>
      </c>
      <c r="F3326" s="84">
        <v>13.0</v>
      </c>
      <c r="G3326" s="81" t="s">
        <v>39</v>
      </c>
      <c r="H3326" s="81" t="s">
        <v>5130</v>
      </c>
      <c r="I3326" s="81" t="s">
        <v>163</v>
      </c>
      <c r="J3326" s="81" t="s">
        <v>224</v>
      </c>
    </row>
    <row r="3327" hidden="1">
      <c r="A3327" s="83" t="s">
        <v>6330</v>
      </c>
      <c r="B3327" s="83" t="s">
        <v>6331</v>
      </c>
      <c r="C3327" s="81" t="s">
        <v>4621</v>
      </c>
      <c r="D3327" s="83" t="s">
        <v>4096</v>
      </c>
      <c r="E3327" s="81" t="s">
        <v>158</v>
      </c>
      <c r="F3327" s="84">
        <v>13.0</v>
      </c>
      <c r="G3327" s="81" t="s">
        <v>40</v>
      </c>
      <c r="H3327" s="81" t="s">
        <v>5131</v>
      </c>
      <c r="I3327" s="81" t="s">
        <v>164</v>
      </c>
      <c r="J3327" s="81" t="s">
        <v>224</v>
      </c>
    </row>
    <row r="3328" hidden="1">
      <c r="A3328" s="83" t="s">
        <v>6330</v>
      </c>
      <c r="B3328" s="83" t="s">
        <v>6331</v>
      </c>
      <c r="C3328" s="81" t="s">
        <v>4621</v>
      </c>
      <c r="D3328" s="83" t="s">
        <v>4096</v>
      </c>
      <c r="E3328" s="81" t="s">
        <v>170</v>
      </c>
      <c r="F3328" s="84">
        <v>14.0</v>
      </c>
      <c r="G3328" s="81" t="s">
        <v>40</v>
      </c>
      <c r="H3328" s="81" t="s">
        <v>5131</v>
      </c>
      <c r="I3328" s="81" t="s">
        <v>164</v>
      </c>
      <c r="J3328" s="81" t="s">
        <v>224</v>
      </c>
    </row>
    <row r="3329" hidden="1">
      <c r="A3329" s="83" t="s">
        <v>6330</v>
      </c>
      <c r="B3329" s="83" t="s">
        <v>6331</v>
      </c>
      <c r="C3329" s="81" t="s">
        <v>4621</v>
      </c>
      <c r="D3329" s="83" t="s">
        <v>4097</v>
      </c>
      <c r="E3329" s="81" t="s">
        <v>172</v>
      </c>
      <c r="F3329" s="84">
        <v>15.0</v>
      </c>
      <c r="G3329" s="81" t="s">
        <v>40</v>
      </c>
      <c r="H3329" s="81" t="s">
        <v>5132</v>
      </c>
      <c r="I3329" s="81" t="s">
        <v>174</v>
      </c>
      <c r="J3329" s="81" t="s">
        <v>224</v>
      </c>
    </row>
    <row r="3330" hidden="1">
      <c r="A3330" s="83" t="s">
        <v>6330</v>
      </c>
      <c r="B3330" s="83" t="s">
        <v>6331</v>
      </c>
      <c r="C3330" s="81" t="s">
        <v>4621</v>
      </c>
      <c r="D3330" s="83" t="s">
        <v>4098</v>
      </c>
      <c r="E3330" s="81" t="s">
        <v>175</v>
      </c>
      <c r="F3330" s="84">
        <v>16.0</v>
      </c>
      <c r="G3330" s="81" t="s">
        <v>39</v>
      </c>
      <c r="H3330" s="81" t="s">
        <v>5133</v>
      </c>
      <c r="I3330" s="81" t="s">
        <v>180</v>
      </c>
      <c r="J3330" s="81" t="s">
        <v>224</v>
      </c>
    </row>
    <row r="3331" hidden="1">
      <c r="A3331" s="83" t="s">
        <v>6330</v>
      </c>
      <c r="B3331" s="83" t="s">
        <v>6331</v>
      </c>
      <c r="C3331" s="81" t="s">
        <v>4621</v>
      </c>
      <c r="D3331" s="83" t="s">
        <v>4098</v>
      </c>
      <c r="E3331" s="81" t="s">
        <v>175</v>
      </c>
      <c r="F3331" s="84">
        <v>16.0</v>
      </c>
      <c r="G3331" s="81" t="s">
        <v>40</v>
      </c>
      <c r="H3331" s="81" t="s">
        <v>5134</v>
      </c>
      <c r="I3331" s="81" t="s">
        <v>181</v>
      </c>
      <c r="J3331" s="81" t="s">
        <v>224</v>
      </c>
    </row>
    <row r="3332" hidden="1">
      <c r="A3332" s="83" t="s">
        <v>6330</v>
      </c>
      <c r="B3332" s="83" t="s">
        <v>6331</v>
      </c>
      <c r="C3332" s="81" t="s">
        <v>4621</v>
      </c>
      <c r="D3332" s="83" t="s">
        <v>4099</v>
      </c>
      <c r="E3332" s="81" t="s">
        <v>187</v>
      </c>
      <c r="F3332" s="84">
        <v>17.0</v>
      </c>
      <c r="G3332" s="81" t="s">
        <v>39</v>
      </c>
      <c r="H3332" s="81" t="s">
        <v>5135</v>
      </c>
      <c r="I3332" s="81" t="s">
        <v>193</v>
      </c>
      <c r="J3332" s="81" t="s">
        <v>224</v>
      </c>
    </row>
    <row r="3333" hidden="1">
      <c r="A3333" s="83" t="s">
        <v>6330</v>
      </c>
      <c r="B3333" s="83" t="s">
        <v>6331</v>
      </c>
      <c r="C3333" s="81" t="s">
        <v>4621</v>
      </c>
      <c r="D3333" s="83" t="s">
        <v>4099</v>
      </c>
      <c r="E3333" s="81" t="s">
        <v>187</v>
      </c>
      <c r="F3333" s="84">
        <v>17.0</v>
      </c>
      <c r="G3333" s="81" t="s">
        <v>40</v>
      </c>
      <c r="H3333" s="81" t="s">
        <v>5136</v>
      </c>
      <c r="I3333" s="81" t="s">
        <v>194</v>
      </c>
      <c r="J3333" s="81" t="s">
        <v>224</v>
      </c>
    </row>
    <row r="3334" hidden="1">
      <c r="A3334" s="83" t="s">
        <v>6330</v>
      </c>
      <c r="B3334" s="83" t="s">
        <v>6331</v>
      </c>
      <c r="C3334" s="81" t="s">
        <v>4621</v>
      </c>
      <c r="D3334" s="83" t="s">
        <v>4100</v>
      </c>
      <c r="E3334" s="81" t="s">
        <v>200</v>
      </c>
      <c r="F3334" s="84">
        <v>18.0</v>
      </c>
      <c r="G3334" s="81" t="s">
        <v>39</v>
      </c>
      <c r="H3334" s="81" t="s">
        <v>5137</v>
      </c>
      <c r="I3334" s="81" t="s">
        <v>205</v>
      </c>
      <c r="J3334" s="81" t="s">
        <v>224</v>
      </c>
    </row>
    <row r="3335" hidden="1">
      <c r="A3335" s="83" t="s">
        <v>6330</v>
      </c>
      <c r="B3335" s="83" t="s">
        <v>6331</v>
      </c>
      <c r="C3335" s="81" t="s">
        <v>4621</v>
      </c>
      <c r="D3335" s="83" t="s">
        <v>4100</v>
      </c>
      <c r="E3335" s="81" t="s">
        <v>200</v>
      </c>
      <c r="F3335" s="84">
        <v>18.0</v>
      </c>
      <c r="G3335" s="81" t="s">
        <v>40</v>
      </c>
      <c r="H3335" s="81" t="s">
        <v>5138</v>
      </c>
      <c r="I3335" s="81" t="s">
        <v>5139</v>
      </c>
      <c r="J3335" s="81" t="s">
        <v>224</v>
      </c>
    </row>
    <row r="3336" hidden="1">
      <c r="A3336" s="83" t="s">
        <v>6330</v>
      </c>
      <c r="B3336" s="83" t="s">
        <v>6331</v>
      </c>
      <c r="C3336" s="81" t="s">
        <v>4621</v>
      </c>
      <c r="D3336" s="83" t="s">
        <v>4101</v>
      </c>
      <c r="E3336" s="81" t="s">
        <v>212</v>
      </c>
      <c r="F3336" s="84">
        <v>19.0</v>
      </c>
      <c r="G3336" s="81" t="s">
        <v>39</v>
      </c>
      <c r="H3336" s="81" t="s">
        <v>5140</v>
      </c>
      <c r="I3336" s="81" t="s">
        <v>223</v>
      </c>
      <c r="J3336" s="81" t="s">
        <v>224</v>
      </c>
    </row>
    <row r="3337" hidden="1">
      <c r="A3337" s="83" t="s">
        <v>6330</v>
      </c>
      <c r="B3337" s="83" t="s">
        <v>6331</v>
      </c>
      <c r="C3337" s="81" t="s">
        <v>6333</v>
      </c>
      <c r="D3337" s="83" t="s">
        <v>4101</v>
      </c>
      <c r="E3337" s="81" t="s">
        <v>212</v>
      </c>
      <c r="F3337" s="84">
        <v>19.0</v>
      </c>
      <c r="G3337" s="81" t="s">
        <v>40</v>
      </c>
      <c r="H3337" s="81" t="s">
        <v>5142</v>
      </c>
      <c r="I3337" s="81" t="s">
        <v>224</v>
      </c>
      <c r="J3337" s="81" t="s">
        <v>5143</v>
      </c>
    </row>
    <row r="3338" hidden="1">
      <c r="A3338" s="83" t="s">
        <v>6330</v>
      </c>
      <c r="B3338" s="83" t="s">
        <v>6331</v>
      </c>
      <c r="C3338" s="81" t="s">
        <v>4621</v>
      </c>
      <c r="D3338" s="83" t="s">
        <v>4102</v>
      </c>
      <c r="E3338" s="81" t="s">
        <v>226</v>
      </c>
      <c r="F3338" s="84">
        <v>20.0</v>
      </c>
      <c r="G3338" s="81" t="s">
        <v>39</v>
      </c>
      <c r="H3338" s="81" t="s">
        <v>5144</v>
      </c>
      <c r="I3338" s="81" t="s">
        <v>234</v>
      </c>
      <c r="J3338" s="81" t="s">
        <v>224</v>
      </c>
    </row>
    <row r="3339" hidden="1">
      <c r="A3339" s="83" t="s">
        <v>6330</v>
      </c>
      <c r="B3339" s="83" t="s">
        <v>6331</v>
      </c>
      <c r="C3339" s="81" t="s">
        <v>4621</v>
      </c>
      <c r="D3339" s="83" t="s">
        <v>4102</v>
      </c>
      <c r="E3339" s="81" t="s">
        <v>226</v>
      </c>
      <c r="F3339" s="84">
        <v>20.0</v>
      </c>
      <c r="G3339" s="81" t="s">
        <v>40</v>
      </c>
      <c r="H3339" s="81" t="s">
        <v>5145</v>
      </c>
      <c r="I3339" s="81" t="s">
        <v>235</v>
      </c>
      <c r="J3339" s="81" t="s">
        <v>224</v>
      </c>
    </row>
    <row r="3340" hidden="1">
      <c r="A3340" s="83" t="s">
        <v>6330</v>
      </c>
      <c r="B3340" s="83" t="s">
        <v>6331</v>
      </c>
      <c r="C3340" s="81" t="s">
        <v>4621</v>
      </c>
      <c r="D3340" s="83" t="s">
        <v>4102</v>
      </c>
      <c r="E3340" s="81" t="s">
        <v>239</v>
      </c>
      <c r="F3340" s="84">
        <v>21.0</v>
      </c>
      <c r="G3340" s="81" t="s">
        <v>39</v>
      </c>
      <c r="H3340" s="81" t="s">
        <v>5144</v>
      </c>
      <c r="I3340" s="81" t="s">
        <v>234</v>
      </c>
      <c r="J3340" s="81" t="s">
        <v>224</v>
      </c>
    </row>
    <row r="3341" hidden="1">
      <c r="A3341" s="83" t="s">
        <v>6330</v>
      </c>
      <c r="B3341" s="83" t="s">
        <v>6331</v>
      </c>
      <c r="C3341" s="81" t="s">
        <v>4621</v>
      </c>
      <c r="D3341" s="83" t="s">
        <v>4102</v>
      </c>
      <c r="E3341" s="81" t="s">
        <v>239</v>
      </c>
      <c r="F3341" s="84">
        <v>21.0</v>
      </c>
      <c r="G3341" s="81" t="s">
        <v>40</v>
      </c>
      <c r="H3341" s="81" t="s">
        <v>5145</v>
      </c>
      <c r="I3341" s="81" t="s">
        <v>235</v>
      </c>
      <c r="J3341" s="81" t="s">
        <v>224</v>
      </c>
    </row>
    <row r="3342" hidden="1">
      <c r="A3342" s="83" t="s">
        <v>6330</v>
      </c>
      <c r="B3342" s="83" t="s">
        <v>6331</v>
      </c>
      <c r="C3342" s="81" t="s">
        <v>4621</v>
      </c>
      <c r="D3342" s="83" t="s">
        <v>4104</v>
      </c>
      <c r="E3342" s="81" t="s">
        <v>241</v>
      </c>
      <c r="F3342" s="84">
        <v>22.0</v>
      </c>
      <c r="G3342" s="81" t="s">
        <v>39</v>
      </c>
      <c r="H3342" s="81" t="s">
        <v>5146</v>
      </c>
      <c r="I3342" s="81" t="s">
        <v>242</v>
      </c>
      <c r="J3342" s="81" t="s">
        <v>224</v>
      </c>
    </row>
    <row r="3343" hidden="1">
      <c r="A3343" s="83" t="s">
        <v>6330</v>
      </c>
      <c r="B3343" s="83" t="s">
        <v>6331</v>
      </c>
      <c r="C3343" s="81" t="s">
        <v>4621</v>
      </c>
      <c r="D3343" s="83" t="s">
        <v>4104</v>
      </c>
      <c r="E3343" s="81" t="s">
        <v>241</v>
      </c>
      <c r="F3343" s="84">
        <v>22.0</v>
      </c>
      <c r="G3343" s="81" t="s">
        <v>40</v>
      </c>
      <c r="H3343" s="81" t="s">
        <v>5147</v>
      </c>
      <c r="I3343" s="81" t="s">
        <v>243</v>
      </c>
      <c r="J3343" s="81" t="s">
        <v>224</v>
      </c>
    </row>
    <row r="3344" hidden="1">
      <c r="A3344" s="83" t="s">
        <v>6330</v>
      </c>
      <c r="B3344" s="83" t="s">
        <v>6331</v>
      </c>
      <c r="C3344" s="81" t="s">
        <v>4621</v>
      </c>
      <c r="D3344" s="83" t="s">
        <v>4105</v>
      </c>
      <c r="E3344" s="81" t="s">
        <v>244</v>
      </c>
      <c r="F3344" s="84">
        <v>23.0</v>
      </c>
      <c r="G3344" s="81" t="s">
        <v>39</v>
      </c>
      <c r="H3344" s="81" t="s">
        <v>5148</v>
      </c>
      <c r="I3344" s="81" t="s">
        <v>247</v>
      </c>
      <c r="J3344" s="81" t="s">
        <v>224</v>
      </c>
    </row>
    <row r="3345" hidden="1">
      <c r="A3345" s="83" t="s">
        <v>6330</v>
      </c>
      <c r="B3345" s="83" t="s">
        <v>6331</v>
      </c>
      <c r="C3345" s="81" t="s">
        <v>4621</v>
      </c>
      <c r="D3345" s="83" t="s">
        <v>4105</v>
      </c>
      <c r="E3345" s="81" t="s">
        <v>244</v>
      </c>
      <c r="F3345" s="84">
        <v>23.0</v>
      </c>
      <c r="G3345" s="81" t="s">
        <v>40</v>
      </c>
      <c r="H3345" s="81" t="s">
        <v>5149</v>
      </c>
      <c r="I3345" s="81" t="s">
        <v>248</v>
      </c>
      <c r="J3345" s="81" t="s">
        <v>224</v>
      </c>
    </row>
    <row r="3346" hidden="1">
      <c r="A3346" s="83" t="s">
        <v>6330</v>
      </c>
      <c r="B3346" s="83" t="s">
        <v>6331</v>
      </c>
      <c r="C3346" s="81" t="s">
        <v>4621</v>
      </c>
      <c r="D3346" s="83" t="s">
        <v>4106</v>
      </c>
      <c r="E3346" s="81" t="s">
        <v>251</v>
      </c>
      <c r="F3346" s="84">
        <v>24.0</v>
      </c>
      <c r="G3346" s="81" t="s">
        <v>39</v>
      </c>
      <c r="H3346" s="81" t="s">
        <v>5150</v>
      </c>
      <c r="I3346" s="81" t="s">
        <v>252</v>
      </c>
      <c r="J3346" s="81" t="s">
        <v>224</v>
      </c>
    </row>
    <row r="3347" hidden="1">
      <c r="A3347" s="83" t="s">
        <v>6330</v>
      </c>
      <c r="B3347" s="83" t="s">
        <v>6331</v>
      </c>
      <c r="C3347" s="81" t="s">
        <v>4621</v>
      </c>
      <c r="D3347" s="83" t="s">
        <v>4106</v>
      </c>
      <c r="E3347" s="81" t="s">
        <v>251</v>
      </c>
      <c r="F3347" s="84">
        <v>24.0</v>
      </c>
      <c r="G3347" s="81" t="s">
        <v>40</v>
      </c>
      <c r="H3347" s="81" t="s">
        <v>5151</v>
      </c>
      <c r="I3347" s="81" t="s">
        <v>253</v>
      </c>
      <c r="J3347" s="81" t="s">
        <v>224</v>
      </c>
    </row>
    <row r="3348" hidden="1">
      <c r="A3348" s="83" t="s">
        <v>6330</v>
      </c>
      <c r="B3348" s="83" t="s">
        <v>6331</v>
      </c>
      <c r="C3348" s="81" t="s">
        <v>4621</v>
      </c>
      <c r="D3348" s="83" t="s">
        <v>4107</v>
      </c>
      <c r="E3348" s="81" t="s">
        <v>254</v>
      </c>
      <c r="F3348" s="84">
        <v>25.0</v>
      </c>
      <c r="G3348" s="81" t="s">
        <v>39</v>
      </c>
      <c r="H3348" s="81" t="s">
        <v>5152</v>
      </c>
      <c r="I3348" s="81" t="s">
        <v>258</v>
      </c>
      <c r="J3348" s="81" t="s">
        <v>224</v>
      </c>
    </row>
    <row r="3349" hidden="1">
      <c r="A3349" s="83" t="s">
        <v>6330</v>
      </c>
      <c r="B3349" s="83" t="s">
        <v>6331</v>
      </c>
      <c r="C3349" s="81" t="s">
        <v>4621</v>
      </c>
      <c r="D3349" s="83" t="s">
        <v>4107</v>
      </c>
      <c r="E3349" s="81" t="s">
        <v>254</v>
      </c>
      <c r="F3349" s="84">
        <v>25.0</v>
      </c>
      <c r="G3349" s="81" t="s">
        <v>40</v>
      </c>
      <c r="H3349" s="81" t="s">
        <v>5153</v>
      </c>
      <c r="I3349" s="81" t="s">
        <v>259</v>
      </c>
      <c r="J3349" s="81" t="s">
        <v>224</v>
      </c>
    </row>
    <row r="3350" hidden="1">
      <c r="A3350" s="83" t="s">
        <v>6330</v>
      </c>
      <c r="B3350" s="83" t="s">
        <v>6331</v>
      </c>
      <c r="C3350" s="81" t="s">
        <v>4621</v>
      </c>
      <c r="D3350" s="83" t="s">
        <v>4108</v>
      </c>
      <c r="E3350" s="81" t="s">
        <v>262</v>
      </c>
      <c r="F3350" s="84">
        <v>26.0</v>
      </c>
      <c r="G3350" s="81" t="s">
        <v>39</v>
      </c>
      <c r="H3350" s="81" t="s">
        <v>5154</v>
      </c>
      <c r="I3350" s="81" t="s">
        <v>263</v>
      </c>
      <c r="J3350" s="81" t="s">
        <v>224</v>
      </c>
    </row>
    <row r="3351" hidden="1">
      <c r="A3351" s="83" t="s">
        <v>6330</v>
      </c>
      <c r="B3351" s="83" t="s">
        <v>6331</v>
      </c>
      <c r="C3351" s="81" t="s">
        <v>4621</v>
      </c>
      <c r="D3351" s="83" t="s">
        <v>4108</v>
      </c>
      <c r="E3351" s="81" t="s">
        <v>262</v>
      </c>
      <c r="F3351" s="84">
        <v>26.0</v>
      </c>
      <c r="G3351" s="81" t="s">
        <v>40</v>
      </c>
      <c r="H3351" s="81" t="s">
        <v>5155</v>
      </c>
      <c r="I3351" s="81" t="s">
        <v>264</v>
      </c>
      <c r="J3351" s="81" t="s">
        <v>224</v>
      </c>
    </row>
    <row r="3352" hidden="1">
      <c r="A3352" s="83" t="s">
        <v>6330</v>
      </c>
      <c r="B3352" s="83" t="s">
        <v>6331</v>
      </c>
      <c r="C3352" s="81" t="s">
        <v>4621</v>
      </c>
      <c r="D3352" s="83" t="s">
        <v>4109</v>
      </c>
      <c r="E3352" s="81" t="s">
        <v>265</v>
      </c>
      <c r="F3352" s="84">
        <v>27.0</v>
      </c>
      <c r="G3352" s="81" t="s">
        <v>39</v>
      </c>
      <c r="H3352" s="81" t="s">
        <v>5156</v>
      </c>
      <c r="I3352" s="81" t="s">
        <v>269</v>
      </c>
      <c r="J3352" s="81" t="s">
        <v>224</v>
      </c>
    </row>
    <row r="3353" hidden="1">
      <c r="A3353" s="83" t="s">
        <v>6330</v>
      </c>
      <c r="B3353" s="83" t="s">
        <v>6331</v>
      </c>
      <c r="C3353" s="81" t="s">
        <v>4621</v>
      </c>
      <c r="D3353" s="83" t="s">
        <v>4109</v>
      </c>
      <c r="E3353" s="81" t="s">
        <v>265</v>
      </c>
      <c r="F3353" s="84">
        <v>27.0</v>
      </c>
      <c r="G3353" s="81" t="s">
        <v>40</v>
      </c>
      <c r="H3353" s="81" t="s">
        <v>5157</v>
      </c>
      <c r="I3353" s="81" t="s">
        <v>270</v>
      </c>
      <c r="J3353" s="81" t="s">
        <v>224</v>
      </c>
    </row>
    <row r="3354" hidden="1">
      <c r="A3354" s="83" t="s">
        <v>6330</v>
      </c>
      <c r="B3354" s="83" t="s">
        <v>6331</v>
      </c>
      <c r="C3354" s="81" t="s">
        <v>4621</v>
      </c>
      <c r="D3354" s="83" t="s">
        <v>4110</v>
      </c>
      <c r="E3354" s="81" t="s">
        <v>273</v>
      </c>
      <c r="F3354" s="84">
        <v>28.0</v>
      </c>
      <c r="G3354" s="81" t="s">
        <v>39</v>
      </c>
      <c r="H3354" s="81" t="s">
        <v>5158</v>
      </c>
      <c r="I3354" s="81" t="s">
        <v>274</v>
      </c>
      <c r="J3354" s="81" t="s">
        <v>224</v>
      </c>
    </row>
    <row r="3355" hidden="1">
      <c r="A3355" s="83" t="s">
        <v>6330</v>
      </c>
      <c r="B3355" s="83" t="s">
        <v>6331</v>
      </c>
      <c r="C3355" s="81" t="s">
        <v>4621</v>
      </c>
      <c r="D3355" s="83" t="s">
        <v>4110</v>
      </c>
      <c r="E3355" s="81" t="s">
        <v>273</v>
      </c>
      <c r="F3355" s="84">
        <v>28.0</v>
      </c>
      <c r="G3355" s="81" t="s">
        <v>40</v>
      </c>
      <c r="H3355" s="81" t="s">
        <v>5159</v>
      </c>
      <c r="I3355" s="81" t="s">
        <v>5160</v>
      </c>
      <c r="J3355" s="81" t="s">
        <v>224</v>
      </c>
    </row>
    <row r="3356" hidden="1">
      <c r="A3356" s="83" t="s">
        <v>6330</v>
      </c>
      <c r="B3356" s="83" t="s">
        <v>6331</v>
      </c>
      <c r="C3356" s="81" t="s">
        <v>4621</v>
      </c>
      <c r="D3356" s="83" t="s">
        <v>4111</v>
      </c>
      <c r="E3356" s="81" t="s">
        <v>276</v>
      </c>
      <c r="F3356" s="84">
        <v>29.0</v>
      </c>
      <c r="G3356" s="81" t="s">
        <v>40</v>
      </c>
      <c r="H3356" s="81" t="s">
        <v>5161</v>
      </c>
      <c r="I3356" s="81" t="s">
        <v>280</v>
      </c>
      <c r="J3356" s="81" t="s">
        <v>224</v>
      </c>
    </row>
    <row r="3357" hidden="1">
      <c r="A3357" s="83" t="s">
        <v>6330</v>
      </c>
      <c r="B3357" s="83" t="s">
        <v>6331</v>
      </c>
      <c r="C3357" s="81" t="s">
        <v>4621</v>
      </c>
      <c r="D3357" s="83" t="s">
        <v>4111</v>
      </c>
      <c r="E3357" s="81" t="s">
        <v>283</v>
      </c>
      <c r="F3357" s="84">
        <v>30.0</v>
      </c>
      <c r="G3357" s="81" t="s">
        <v>40</v>
      </c>
      <c r="H3357" s="81" t="s">
        <v>5161</v>
      </c>
      <c r="I3357" s="81" t="s">
        <v>280</v>
      </c>
      <c r="J3357" s="81" t="s">
        <v>224</v>
      </c>
    </row>
    <row r="3358" hidden="1">
      <c r="A3358" s="83" t="s">
        <v>6330</v>
      </c>
      <c r="B3358" s="83" t="s">
        <v>6331</v>
      </c>
      <c r="C3358" s="81" t="s">
        <v>4621</v>
      </c>
      <c r="D3358" s="83" t="s">
        <v>4113</v>
      </c>
      <c r="E3358" s="81" t="s">
        <v>284</v>
      </c>
      <c r="F3358" s="84">
        <v>31.0</v>
      </c>
      <c r="G3358" s="81" t="s">
        <v>40</v>
      </c>
      <c r="H3358" s="81" t="s">
        <v>5162</v>
      </c>
      <c r="I3358" s="81" t="s">
        <v>286</v>
      </c>
      <c r="J3358" s="81" t="s">
        <v>224</v>
      </c>
    </row>
    <row r="3359" hidden="1">
      <c r="A3359" s="83" t="s">
        <v>6330</v>
      </c>
      <c r="B3359" s="83" t="s">
        <v>6331</v>
      </c>
      <c r="C3359" s="81" t="s">
        <v>4621</v>
      </c>
      <c r="D3359" s="83" t="s">
        <v>4114</v>
      </c>
      <c r="E3359" s="81" t="s">
        <v>287</v>
      </c>
      <c r="F3359" s="84">
        <v>32.0</v>
      </c>
      <c r="G3359" s="81" t="s">
        <v>39</v>
      </c>
      <c r="H3359" s="81" t="s">
        <v>5163</v>
      </c>
      <c r="I3359" s="81" t="s">
        <v>291</v>
      </c>
      <c r="J3359" s="81" t="s">
        <v>224</v>
      </c>
    </row>
    <row r="3360" hidden="1">
      <c r="A3360" s="83" t="s">
        <v>6330</v>
      </c>
      <c r="B3360" s="83" t="s">
        <v>6331</v>
      </c>
      <c r="C3360" s="81" t="s">
        <v>4621</v>
      </c>
      <c r="D3360" s="83" t="s">
        <v>4114</v>
      </c>
      <c r="E3360" s="81" t="s">
        <v>287</v>
      </c>
      <c r="F3360" s="84">
        <v>32.0</v>
      </c>
      <c r="G3360" s="81" t="s">
        <v>40</v>
      </c>
      <c r="H3360" s="81" t="s">
        <v>5164</v>
      </c>
      <c r="I3360" s="81" t="s">
        <v>5165</v>
      </c>
      <c r="J3360" s="81" t="s">
        <v>224</v>
      </c>
    </row>
    <row r="3361" hidden="1">
      <c r="A3361" s="83" t="s">
        <v>6330</v>
      </c>
      <c r="B3361" s="83" t="s">
        <v>6331</v>
      </c>
      <c r="C3361" s="81" t="s">
        <v>4621</v>
      </c>
      <c r="D3361" s="83" t="s">
        <v>4115</v>
      </c>
      <c r="E3361" s="81" t="s">
        <v>297</v>
      </c>
      <c r="F3361" s="84">
        <v>33.0</v>
      </c>
      <c r="G3361" s="81" t="s">
        <v>39</v>
      </c>
      <c r="H3361" s="81" t="s">
        <v>5166</v>
      </c>
      <c r="I3361" s="81" t="s">
        <v>300</v>
      </c>
      <c r="J3361" s="81" t="s">
        <v>224</v>
      </c>
    </row>
    <row r="3362" hidden="1">
      <c r="A3362" s="83" t="s">
        <v>6330</v>
      </c>
      <c r="B3362" s="83" t="s">
        <v>6331</v>
      </c>
      <c r="C3362" s="81" t="s">
        <v>4621</v>
      </c>
      <c r="D3362" s="83" t="s">
        <v>4115</v>
      </c>
      <c r="E3362" s="81" t="s">
        <v>297</v>
      </c>
      <c r="F3362" s="84">
        <v>33.0</v>
      </c>
      <c r="G3362" s="81" t="s">
        <v>40</v>
      </c>
      <c r="H3362" s="81" t="s">
        <v>5167</v>
      </c>
      <c r="I3362" s="81" t="s">
        <v>301</v>
      </c>
      <c r="J3362" s="81" t="s">
        <v>224</v>
      </c>
    </row>
    <row r="3363" hidden="1">
      <c r="A3363" s="83" t="s">
        <v>6330</v>
      </c>
      <c r="B3363" s="83" t="s">
        <v>6331</v>
      </c>
      <c r="C3363" s="81" t="s">
        <v>4621</v>
      </c>
      <c r="D3363" s="83" t="s">
        <v>4115</v>
      </c>
      <c r="E3363" s="81" t="s">
        <v>304</v>
      </c>
      <c r="F3363" s="84">
        <v>34.0</v>
      </c>
      <c r="G3363" s="81" t="s">
        <v>39</v>
      </c>
      <c r="H3363" s="81" t="s">
        <v>5166</v>
      </c>
      <c r="I3363" s="81" t="s">
        <v>300</v>
      </c>
      <c r="J3363" s="81" t="s">
        <v>224</v>
      </c>
    </row>
    <row r="3364" hidden="1">
      <c r="A3364" s="83" t="s">
        <v>6330</v>
      </c>
      <c r="B3364" s="83" t="s">
        <v>6331</v>
      </c>
      <c r="C3364" s="81" t="s">
        <v>4621</v>
      </c>
      <c r="D3364" s="83" t="s">
        <v>4115</v>
      </c>
      <c r="E3364" s="81" t="s">
        <v>304</v>
      </c>
      <c r="F3364" s="84">
        <v>34.0</v>
      </c>
      <c r="G3364" s="81" t="s">
        <v>40</v>
      </c>
      <c r="H3364" s="81" t="s">
        <v>5167</v>
      </c>
      <c r="I3364" s="81" t="s">
        <v>301</v>
      </c>
      <c r="J3364" s="81" t="s">
        <v>224</v>
      </c>
    </row>
    <row r="3365" hidden="1">
      <c r="A3365" s="83" t="s">
        <v>6330</v>
      </c>
      <c r="B3365" s="83" t="s">
        <v>6331</v>
      </c>
      <c r="C3365" s="81" t="s">
        <v>4621</v>
      </c>
      <c r="D3365" s="83" t="s">
        <v>4117</v>
      </c>
      <c r="E3365" s="81" t="s">
        <v>305</v>
      </c>
      <c r="F3365" s="84">
        <v>35.0</v>
      </c>
      <c r="G3365" s="81" t="s">
        <v>39</v>
      </c>
      <c r="H3365" s="81" t="s">
        <v>5168</v>
      </c>
      <c r="I3365" s="81" t="s">
        <v>306</v>
      </c>
      <c r="J3365" s="81" t="s">
        <v>224</v>
      </c>
    </row>
    <row r="3366" hidden="1">
      <c r="A3366" s="83" t="s">
        <v>6330</v>
      </c>
      <c r="B3366" s="83" t="s">
        <v>6331</v>
      </c>
      <c r="C3366" s="81" t="s">
        <v>4621</v>
      </c>
      <c r="D3366" s="83" t="s">
        <v>4117</v>
      </c>
      <c r="E3366" s="81" t="s">
        <v>305</v>
      </c>
      <c r="F3366" s="84">
        <v>35.0</v>
      </c>
      <c r="G3366" s="81" t="s">
        <v>40</v>
      </c>
      <c r="H3366" s="81" t="s">
        <v>5169</v>
      </c>
      <c r="I3366" s="81" t="s">
        <v>307</v>
      </c>
      <c r="J3366" s="81" t="s">
        <v>224</v>
      </c>
    </row>
    <row r="3367" hidden="1">
      <c r="A3367" s="83" t="s">
        <v>6330</v>
      </c>
      <c r="B3367" s="83" t="s">
        <v>6331</v>
      </c>
      <c r="C3367" s="81" t="s">
        <v>4621</v>
      </c>
      <c r="D3367" s="83" t="s">
        <v>4118</v>
      </c>
      <c r="E3367" s="81" t="s">
        <v>308</v>
      </c>
      <c r="F3367" s="84">
        <v>36.0</v>
      </c>
      <c r="G3367" s="81" t="s">
        <v>39</v>
      </c>
      <c r="H3367" s="81" t="s">
        <v>5170</v>
      </c>
      <c r="I3367" s="81" t="s">
        <v>313</v>
      </c>
      <c r="J3367" s="81" t="s">
        <v>224</v>
      </c>
    </row>
    <row r="3368" hidden="1">
      <c r="A3368" s="83" t="s">
        <v>6330</v>
      </c>
      <c r="B3368" s="83" t="s">
        <v>6331</v>
      </c>
      <c r="C3368" s="81" t="s">
        <v>4621</v>
      </c>
      <c r="D3368" s="83" t="s">
        <v>4118</v>
      </c>
      <c r="E3368" s="81" t="s">
        <v>308</v>
      </c>
      <c r="F3368" s="84">
        <v>36.0</v>
      </c>
      <c r="G3368" s="81" t="s">
        <v>40</v>
      </c>
      <c r="H3368" s="81" t="s">
        <v>5171</v>
      </c>
      <c r="I3368" s="81" t="s">
        <v>5172</v>
      </c>
      <c r="J3368" s="81" t="s">
        <v>224</v>
      </c>
    </row>
    <row r="3369" hidden="1">
      <c r="A3369" s="83" t="s">
        <v>6330</v>
      </c>
      <c r="B3369" s="83" t="s">
        <v>6331</v>
      </c>
      <c r="C3369" s="81" t="s">
        <v>4621</v>
      </c>
      <c r="D3369" s="83" t="s">
        <v>4119</v>
      </c>
      <c r="E3369" s="81" t="s">
        <v>320</v>
      </c>
      <c r="F3369" s="84">
        <v>37.0</v>
      </c>
      <c r="G3369" s="81" t="s">
        <v>39</v>
      </c>
      <c r="H3369" s="81" t="s">
        <v>5173</v>
      </c>
      <c r="I3369" s="81" t="s">
        <v>324</v>
      </c>
      <c r="J3369" s="81" t="s">
        <v>224</v>
      </c>
    </row>
    <row r="3370" hidden="1">
      <c r="A3370" s="83" t="s">
        <v>6330</v>
      </c>
      <c r="B3370" s="83" t="s">
        <v>6331</v>
      </c>
      <c r="C3370" s="81" t="s">
        <v>4621</v>
      </c>
      <c r="D3370" s="83" t="s">
        <v>4119</v>
      </c>
      <c r="E3370" s="81" t="s">
        <v>320</v>
      </c>
      <c r="F3370" s="84">
        <v>37.0</v>
      </c>
      <c r="G3370" s="81" t="s">
        <v>40</v>
      </c>
      <c r="H3370" s="81" t="s">
        <v>5174</v>
      </c>
      <c r="I3370" s="81" t="s">
        <v>325</v>
      </c>
      <c r="J3370" s="81" t="s">
        <v>224</v>
      </c>
    </row>
    <row r="3371" hidden="1">
      <c r="A3371" s="83" t="s">
        <v>6330</v>
      </c>
      <c r="B3371" s="83" t="s">
        <v>6331</v>
      </c>
      <c r="C3371" s="81" t="s">
        <v>4621</v>
      </c>
      <c r="D3371" s="83" t="s">
        <v>4120</v>
      </c>
      <c r="E3371" s="81" t="s">
        <v>331</v>
      </c>
      <c r="F3371" s="84">
        <v>38.0</v>
      </c>
      <c r="G3371" s="81" t="s">
        <v>39</v>
      </c>
      <c r="H3371" s="81" t="s">
        <v>5175</v>
      </c>
      <c r="I3371" s="81" t="s">
        <v>341</v>
      </c>
      <c r="J3371" s="81" t="s">
        <v>224</v>
      </c>
    </row>
    <row r="3372" hidden="1">
      <c r="A3372" s="83" t="s">
        <v>6330</v>
      </c>
      <c r="B3372" s="83" t="s">
        <v>6331</v>
      </c>
      <c r="C3372" s="81" t="s">
        <v>6333</v>
      </c>
      <c r="D3372" s="83" t="s">
        <v>4120</v>
      </c>
      <c r="E3372" s="81" t="s">
        <v>331</v>
      </c>
      <c r="F3372" s="84">
        <v>38.0</v>
      </c>
      <c r="G3372" s="81" t="s">
        <v>40</v>
      </c>
      <c r="H3372" s="81" t="s">
        <v>5176</v>
      </c>
      <c r="I3372" s="81" t="s">
        <v>224</v>
      </c>
      <c r="J3372" s="81" t="s">
        <v>5143</v>
      </c>
    </row>
    <row r="3373" hidden="1">
      <c r="A3373" s="83" t="s">
        <v>6330</v>
      </c>
      <c r="B3373" s="83" t="s">
        <v>6331</v>
      </c>
      <c r="C3373" s="81" t="s">
        <v>4621</v>
      </c>
      <c r="D3373" s="83" t="s">
        <v>4121</v>
      </c>
      <c r="E3373" s="81" t="s">
        <v>343</v>
      </c>
      <c r="F3373" s="84">
        <v>39.0</v>
      </c>
      <c r="G3373" s="81" t="s">
        <v>40</v>
      </c>
      <c r="H3373" s="81" t="s">
        <v>5177</v>
      </c>
      <c r="I3373" s="81" t="s">
        <v>356</v>
      </c>
      <c r="J3373" s="81" t="s">
        <v>224</v>
      </c>
    </row>
    <row r="3374" hidden="1">
      <c r="A3374" s="83" t="s">
        <v>6330</v>
      </c>
      <c r="B3374" s="83" t="s">
        <v>6331</v>
      </c>
      <c r="C3374" s="81" t="s">
        <v>6333</v>
      </c>
      <c r="D3374" s="83" t="s">
        <v>4122</v>
      </c>
      <c r="E3374" s="81" t="s">
        <v>362</v>
      </c>
      <c r="F3374" s="84">
        <v>40.0</v>
      </c>
      <c r="G3374" s="81" t="s">
        <v>40</v>
      </c>
      <c r="H3374" s="81" t="s">
        <v>5178</v>
      </c>
      <c r="I3374" s="81" t="s">
        <v>224</v>
      </c>
      <c r="J3374" s="81" t="s">
        <v>5143</v>
      </c>
    </row>
    <row r="3375" hidden="1">
      <c r="A3375" s="83" t="s">
        <v>6330</v>
      </c>
      <c r="B3375" s="83" t="s">
        <v>6331</v>
      </c>
      <c r="C3375" s="81" t="s">
        <v>4621</v>
      </c>
      <c r="D3375" s="83" t="s">
        <v>4124</v>
      </c>
      <c r="E3375" s="81" t="s">
        <v>375</v>
      </c>
      <c r="F3375" s="84">
        <v>41.0</v>
      </c>
      <c r="G3375" s="81" t="s">
        <v>39</v>
      </c>
      <c r="H3375" s="81" t="s">
        <v>5179</v>
      </c>
      <c r="I3375" s="81" t="s">
        <v>385</v>
      </c>
      <c r="J3375" s="81" t="s">
        <v>224</v>
      </c>
    </row>
    <row r="3376" hidden="1">
      <c r="A3376" s="83" t="s">
        <v>6330</v>
      </c>
      <c r="B3376" s="83" t="s">
        <v>6331</v>
      </c>
      <c r="C3376" s="81" t="s">
        <v>4621</v>
      </c>
      <c r="D3376" s="83" t="s">
        <v>4124</v>
      </c>
      <c r="E3376" s="81" t="s">
        <v>375</v>
      </c>
      <c r="F3376" s="84">
        <v>41.0</v>
      </c>
      <c r="G3376" s="81" t="s">
        <v>40</v>
      </c>
      <c r="H3376" s="81" t="s">
        <v>5180</v>
      </c>
      <c r="I3376" s="81" t="s">
        <v>5181</v>
      </c>
      <c r="J3376" s="81" t="s">
        <v>224</v>
      </c>
    </row>
    <row r="3377" hidden="1">
      <c r="A3377" s="83" t="s">
        <v>6330</v>
      </c>
      <c r="B3377" s="83" t="s">
        <v>6331</v>
      </c>
      <c r="C3377" s="81" t="s">
        <v>4621</v>
      </c>
      <c r="D3377" s="83" t="s">
        <v>4124</v>
      </c>
      <c r="E3377" s="81" t="s">
        <v>392</v>
      </c>
      <c r="F3377" s="84">
        <v>42.0</v>
      </c>
      <c r="G3377" s="81" t="s">
        <v>39</v>
      </c>
      <c r="H3377" s="81" t="s">
        <v>5179</v>
      </c>
      <c r="I3377" s="81" t="s">
        <v>385</v>
      </c>
      <c r="J3377" s="81" t="s">
        <v>224</v>
      </c>
    </row>
    <row r="3378" hidden="1">
      <c r="A3378" s="83" t="s">
        <v>6330</v>
      </c>
      <c r="B3378" s="83" t="s">
        <v>6331</v>
      </c>
      <c r="C3378" s="81" t="s">
        <v>4621</v>
      </c>
      <c r="D3378" s="83" t="s">
        <v>4124</v>
      </c>
      <c r="E3378" s="81" t="s">
        <v>392</v>
      </c>
      <c r="F3378" s="84">
        <v>42.0</v>
      </c>
      <c r="G3378" s="81" t="s">
        <v>40</v>
      </c>
      <c r="H3378" s="81" t="s">
        <v>5182</v>
      </c>
      <c r="I3378" s="81" t="s">
        <v>5181</v>
      </c>
      <c r="J3378" s="81" t="s">
        <v>224</v>
      </c>
    </row>
    <row r="3379" hidden="1">
      <c r="A3379" s="83" t="s">
        <v>6330</v>
      </c>
      <c r="B3379" s="83" t="s">
        <v>6331</v>
      </c>
      <c r="C3379" s="81" t="s">
        <v>4621</v>
      </c>
      <c r="D3379" s="83" t="s">
        <v>4125</v>
      </c>
      <c r="E3379" s="81" t="s">
        <v>393</v>
      </c>
      <c r="F3379" s="84">
        <v>43.0</v>
      </c>
      <c r="G3379" s="81" t="s">
        <v>40</v>
      </c>
      <c r="H3379" s="81" t="s">
        <v>5183</v>
      </c>
      <c r="I3379" s="81" t="s">
        <v>395</v>
      </c>
      <c r="J3379" s="81" t="s">
        <v>224</v>
      </c>
    </row>
    <row r="3380" hidden="1">
      <c r="A3380" s="83" t="s">
        <v>6330</v>
      </c>
      <c r="B3380" s="83" t="s">
        <v>6331</v>
      </c>
      <c r="C3380" s="81" t="s">
        <v>6333</v>
      </c>
      <c r="D3380" s="83" t="s">
        <v>4126</v>
      </c>
      <c r="E3380" s="81" t="s">
        <v>396</v>
      </c>
      <c r="F3380" s="84">
        <v>44.0</v>
      </c>
      <c r="G3380" s="81" t="s">
        <v>40</v>
      </c>
      <c r="H3380" s="81" t="s">
        <v>5184</v>
      </c>
      <c r="I3380" s="81" t="s">
        <v>224</v>
      </c>
      <c r="J3380" s="81" t="s">
        <v>5143</v>
      </c>
    </row>
    <row r="3381" hidden="1">
      <c r="A3381" s="83" t="s">
        <v>6330</v>
      </c>
      <c r="B3381" s="83" t="s">
        <v>6331</v>
      </c>
      <c r="C3381" s="81" t="s">
        <v>4621</v>
      </c>
      <c r="D3381" s="83" t="s">
        <v>4127</v>
      </c>
      <c r="E3381" s="81" t="s">
        <v>404</v>
      </c>
      <c r="F3381" s="84">
        <v>45.0</v>
      </c>
      <c r="G3381" s="81" t="s">
        <v>39</v>
      </c>
      <c r="H3381" s="81" t="s">
        <v>5185</v>
      </c>
      <c r="I3381" s="81" t="s">
        <v>407</v>
      </c>
      <c r="J3381" s="81" t="s">
        <v>224</v>
      </c>
    </row>
    <row r="3382" hidden="1">
      <c r="A3382" s="83" t="s">
        <v>6330</v>
      </c>
      <c r="B3382" s="83" t="s">
        <v>6331</v>
      </c>
      <c r="C3382" s="81" t="s">
        <v>4621</v>
      </c>
      <c r="D3382" s="83" t="s">
        <v>4127</v>
      </c>
      <c r="E3382" s="81" t="s">
        <v>404</v>
      </c>
      <c r="F3382" s="84">
        <v>45.0</v>
      </c>
      <c r="G3382" s="81" t="s">
        <v>40</v>
      </c>
      <c r="H3382" s="81" t="s">
        <v>5186</v>
      </c>
      <c r="I3382" s="81" t="s">
        <v>408</v>
      </c>
      <c r="J3382" s="81" t="s">
        <v>224</v>
      </c>
    </row>
    <row r="3383" hidden="1">
      <c r="A3383" s="83" t="s">
        <v>6330</v>
      </c>
      <c r="B3383" s="83" t="s">
        <v>6331</v>
      </c>
      <c r="C3383" s="81" t="s">
        <v>4621</v>
      </c>
      <c r="D3383" s="83" t="s">
        <v>4128</v>
      </c>
      <c r="E3383" s="81" t="s">
        <v>412</v>
      </c>
      <c r="F3383" s="84">
        <v>46.0</v>
      </c>
      <c r="G3383" s="81" t="s">
        <v>40</v>
      </c>
      <c r="H3383" s="81" t="s">
        <v>5187</v>
      </c>
      <c r="I3383" s="81" t="s">
        <v>422</v>
      </c>
      <c r="J3383" s="81" t="s">
        <v>224</v>
      </c>
    </row>
    <row r="3384" hidden="1">
      <c r="A3384" s="83" t="s">
        <v>6330</v>
      </c>
      <c r="B3384" s="83" t="s">
        <v>6331</v>
      </c>
      <c r="C3384" s="81" t="s">
        <v>4621</v>
      </c>
      <c r="D3384" s="83" t="s">
        <v>4129</v>
      </c>
      <c r="E3384" s="81" t="s">
        <v>428</v>
      </c>
      <c r="F3384" s="84">
        <v>47.0</v>
      </c>
      <c r="G3384" s="81" t="s">
        <v>39</v>
      </c>
      <c r="H3384" s="81" t="s">
        <v>5188</v>
      </c>
      <c r="I3384" s="81" t="s">
        <v>434</v>
      </c>
      <c r="J3384" s="81" t="s">
        <v>224</v>
      </c>
    </row>
    <row r="3385" hidden="1">
      <c r="A3385" s="83" t="s">
        <v>6330</v>
      </c>
      <c r="B3385" s="83" t="s">
        <v>6331</v>
      </c>
      <c r="C3385" s="81" t="s">
        <v>4621</v>
      </c>
      <c r="D3385" s="83" t="s">
        <v>4129</v>
      </c>
      <c r="E3385" s="81" t="s">
        <v>428</v>
      </c>
      <c r="F3385" s="84">
        <v>47.0</v>
      </c>
      <c r="G3385" s="81" t="s">
        <v>40</v>
      </c>
      <c r="H3385" s="81" t="s">
        <v>5189</v>
      </c>
      <c r="I3385" s="81" t="s">
        <v>435</v>
      </c>
      <c r="J3385" s="81" t="s">
        <v>224</v>
      </c>
    </row>
    <row r="3386" hidden="1">
      <c r="A3386" s="83" t="s">
        <v>6330</v>
      </c>
      <c r="B3386" s="83" t="s">
        <v>6331</v>
      </c>
      <c r="C3386" s="81" t="s">
        <v>4621</v>
      </c>
      <c r="D3386" s="83" t="s">
        <v>4130</v>
      </c>
      <c r="E3386" s="81" t="s">
        <v>441</v>
      </c>
      <c r="F3386" s="84">
        <v>48.0</v>
      </c>
      <c r="G3386" s="81" t="s">
        <v>39</v>
      </c>
      <c r="H3386" s="81" t="s">
        <v>5190</v>
      </c>
      <c r="I3386" s="81" t="s">
        <v>448</v>
      </c>
      <c r="J3386" s="81" t="s">
        <v>224</v>
      </c>
    </row>
    <row r="3387" hidden="1">
      <c r="A3387" s="83" t="s">
        <v>6330</v>
      </c>
      <c r="B3387" s="83" t="s">
        <v>6331</v>
      </c>
      <c r="C3387" s="81" t="s">
        <v>4621</v>
      </c>
      <c r="D3387" s="83" t="s">
        <v>4130</v>
      </c>
      <c r="E3387" s="81" t="s">
        <v>441</v>
      </c>
      <c r="F3387" s="84">
        <v>48.0</v>
      </c>
      <c r="G3387" s="81" t="s">
        <v>40</v>
      </c>
      <c r="H3387" s="81" t="s">
        <v>5191</v>
      </c>
      <c r="I3387" s="81" t="s">
        <v>449</v>
      </c>
      <c r="J3387" s="81" t="s">
        <v>224</v>
      </c>
    </row>
    <row r="3388" hidden="1">
      <c r="A3388" s="83" t="s">
        <v>6330</v>
      </c>
      <c r="B3388" s="83" t="s">
        <v>6331</v>
      </c>
      <c r="C3388" s="81" t="s">
        <v>4621</v>
      </c>
      <c r="D3388" s="83" t="s">
        <v>4130</v>
      </c>
      <c r="E3388" s="81" t="s">
        <v>455</v>
      </c>
      <c r="F3388" s="84">
        <v>49.0</v>
      </c>
      <c r="G3388" s="81" t="s">
        <v>39</v>
      </c>
      <c r="H3388" s="81" t="s">
        <v>5190</v>
      </c>
      <c r="I3388" s="81" t="s">
        <v>448</v>
      </c>
      <c r="J3388" s="81" t="s">
        <v>224</v>
      </c>
    </row>
    <row r="3389" hidden="1">
      <c r="A3389" s="83" t="s">
        <v>6330</v>
      </c>
      <c r="B3389" s="83" t="s">
        <v>6331</v>
      </c>
      <c r="C3389" s="81" t="s">
        <v>4621</v>
      </c>
      <c r="D3389" s="83" t="s">
        <v>4130</v>
      </c>
      <c r="E3389" s="81" t="s">
        <v>455</v>
      </c>
      <c r="F3389" s="84">
        <v>49.0</v>
      </c>
      <c r="G3389" s="81" t="s">
        <v>40</v>
      </c>
      <c r="H3389" s="81" t="s">
        <v>5191</v>
      </c>
      <c r="I3389" s="81" t="s">
        <v>449</v>
      </c>
      <c r="J3389" s="81" t="s">
        <v>224</v>
      </c>
    </row>
    <row r="3390" hidden="1">
      <c r="A3390" s="83" t="s">
        <v>6330</v>
      </c>
      <c r="B3390" s="83" t="s">
        <v>6331</v>
      </c>
      <c r="C3390" s="81" t="s">
        <v>4621</v>
      </c>
      <c r="D3390" s="83" t="s">
        <v>4132</v>
      </c>
      <c r="E3390" s="81" t="s">
        <v>456</v>
      </c>
      <c r="F3390" s="84">
        <v>50.0</v>
      </c>
      <c r="G3390" s="81" t="s">
        <v>39</v>
      </c>
      <c r="H3390" s="81" t="s">
        <v>5192</v>
      </c>
      <c r="I3390" s="81" t="s">
        <v>457</v>
      </c>
      <c r="J3390" s="81" t="s">
        <v>224</v>
      </c>
    </row>
    <row r="3391" hidden="1">
      <c r="A3391" s="83" t="s">
        <v>6330</v>
      </c>
      <c r="B3391" s="83" t="s">
        <v>6331</v>
      </c>
      <c r="C3391" s="81" t="s">
        <v>4621</v>
      </c>
      <c r="D3391" s="83" t="s">
        <v>4132</v>
      </c>
      <c r="E3391" s="81" t="s">
        <v>456</v>
      </c>
      <c r="F3391" s="84">
        <v>50.0</v>
      </c>
      <c r="G3391" s="81" t="s">
        <v>40</v>
      </c>
      <c r="H3391" s="81" t="s">
        <v>5193</v>
      </c>
      <c r="I3391" s="81" t="s">
        <v>458</v>
      </c>
      <c r="J3391" s="81" t="s">
        <v>224</v>
      </c>
    </row>
    <row r="3392" hidden="1">
      <c r="A3392" s="83" t="s">
        <v>6330</v>
      </c>
      <c r="B3392" s="83" t="s">
        <v>6331</v>
      </c>
      <c r="C3392" s="81" t="s">
        <v>4621</v>
      </c>
      <c r="D3392" s="83" t="s">
        <v>4133</v>
      </c>
      <c r="E3392" s="81" t="s">
        <v>459</v>
      </c>
      <c r="F3392" s="84">
        <v>51.0</v>
      </c>
      <c r="G3392" s="81" t="s">
        <v>39</v>
      </c>
      <c r="H3392" s="81" t="s">
        <v>5194</v>
      </c>
      <c r="I3392" s="81" t="s">
        <v>466</v>
      </c>
      <c r="J3392" s="81" t="s">
        <v>224</v>
      </c>
    </row>
    <row r="3393" hidden="1">
      <c r="A3393" s="83" t="s">
        <v>6330</v>
      </c>
      <c r="B3393" s="83" t="s">
        <v>6331</v>
      </c>
      <c r="C3393" s="81" t="s">
        <v>6333</v>
      </c>
      <c r="D3393" s="83" t="s">
        <v>4133</v>
      </c>
      <c r="E3393" s="81" t="s">
        <v>459</v>
      </c>
      <c r="F3393" s="84">
        <v>51.0</v>
      </c>
      <c r="G3393" s="81" t="s">
        <v>40</v>
      </c>
      <c r="H3393" s="81" t="s">
        <v>5195</v>
      </c>
      <c r="I3393" s="81" t="s">
        <v>224</v>
      </c>
      <c r="J3393" s="81" t="s">
        <v>5143</v>
      </c>
    </row>
    <row r="3394" hidden="1">
      <c r="A3394" s="83" t="s">
        <v>6330</v>
      </c>
      <c r="B3394" s="83" t="s">
        <v>6331</v>
      </c>
      <c r="C3394" s="81" t="s">
        <v>4621</v>
      </c>
      <c r="D3394" s="83" t="s">
        <v>4133</v>
      </c>
      <c r="E3394" s="81" t="s">
        <v>468</v>
      </c>
      <c r="F3394" s="84">
        <v>52.0</v>
      </c>
      <c r="G3394" s="81" t="s">
        <v>39</v>
      </c>
      <c r="H3394" s="81" t="s">
        <v>5194</v>
      </c>
      <c r="I3394" s="81" t="s">
        <v>466</v>
      </c>
      <c r="J3394" s="81" t="s">
        <v>224</v>
      </c>
    </row>
    <row r="3395" hidden="1">
      <c r="A3395" s="83" t="s">
        <v>6330</v>
      </c>
      <c r="B3395" s="83" t="s">
        <v>6331</v>
      </c>
      <c r="C3395" s="81" t="s">
        <v>6333</v>
      </c>
      <c r="D3395" s="83" t="s">
        <v>4133</v>
      </c>
      <c r="E3395" s="81" t="s">
        <v>468</v>
      </c>
      <c r="F3395" s="84">
        <v>52.0</v>
      </c>
      <c r="G3395" s="81" t="s">
        <v>40</v>
      </c>
      <c r="H3395" s="81" t="s">
        <v>5195</v>
      </c>
      <c r="I3395" s="81" t="s">
        <v>224</v>
      </c>
      <c r="J3395" s="81" t="s">
        <v>5143</v>
      </c>
    </row>
    <row r="3396" hidden="1">
      <c r="A3396" s="83" t="s">
        <v>6330</v>
      </c>
      <c r="B3396" s="83" t="s">
        <v>6331</v>
      </c>
      <c r="C3396" s="81" t="s">
        <v>4621</v>
      </c>
      <c r="D3396" s="83" t="s">
        <v>4134</v>
      </c>
      <c r="E3396" s="81" t="s">
        <v>470</v>
      </c>
      <c r="F3396" s="84">
        <v>53.0</v>
      </c>
      <c r="G3396" s="81" t="s">
        <v>39</v>
      </c>
      <c r="H3396" s="81" t="s">
        <v>5196</v>
      </c>
      <c r="I3396" s="81" t="s">
        <v>473</v>
      </c>
      <c r="J3396" s="81" t="s">
        <v>224</v>
      </c>
    </row>
    <row r="3397" hidden="1">
      <c r="A3397" s="83" t="s">
        <v>6330</v>
      </c>
      <c r="B3397" s="83" t="s">
        <v>6331</v>
      </c>
      <c r="C3397" s="81" t="s">
        <v>6333</v>
      </c>
      <c r="D3397" s="83" t="s">
        <v>4134</v>
      </c>
      <c r="E3397" s="81" t="s">
        <v>470</v>
      </c>
      <c r="F3397" s="84">
        <v>53.0</v>
      </c>
      <c r="G3397" s="81" t="s">
        <v>40</v>
      </c>
      <c r="H3397" s="81" t="s">
        <v>5197</v>
      </c>
      <c r="I3397" s="81" t="s">
        <v>224</v>
      </c>
      <c r="J3397" s="81" t="s">
        <v>5143</v>
      </c>
    </row>
    <row r="3398" hidden="1">
      <c r="A3398" s="83" t="s">
        <v>6330</v>
      </c>
      <c r="B3398" s="83" t="s">
        <v>6331</v>
      </c>
      <c r="C3398" s="81" t="s">
        <v>4621</v>
      </c>
      <c r="D3398" s="83" t="s">
        <v>4134</v>
      </c>
      <c r="E3398" s="81" t="s">
        <v>475</v>
      </c>
      <c r="F3398" s="84">
        <v>54.0</v>
      </c>
      <c r="G3398" s="81" t="s">
        <v>39</v>
      </c>
      <c r="H3398" s="81" t="s">
        <v>5196</v>
      </c>
      <c r="I3398" s="81" t="s">
        <v>473</v>
      </c>
      <c r="J3398" s="81" t="s">
        <v>224</v>
      </c>
    </row>
    <row r="3399" hidden="1">
      <c r="A3399" s="83" t="s">
        <v>6330</v>
      </c>
      <c r="B3399" s="83" t="s">
        <v>6331</v>
      </c>
      <c r="C3399" s="81" t="s">
        <v>6333</v>
      </c>
      <c r="D3399" s="83" t="s">
        <v>4134</v>
      </c>
      <c r="E3399" s="81" t="s">
        <v>475</v>
      </c>
      <c r="F3399" s="84">
        <v>54.0</v>
      </c>
      <c r="G3399" s="81" t="s">
        <v>40</v>
      </c>
      <c r="H3399" s="81" t="s">
        <v>5197</v>
      </c>
      <c r="I3399" s="81" t="s">
        <v>224</v>
      </c>
      <c r="J3399" s="81" t="s">
        <v>5143</v>
      </c>
    </row>
    <row r="3400" hidden="1">
      <c r="A3400" s="83" t="s">
        <v>6330</v>
      </c>
      <c r="B3400" s="83" t="s">
        <v>6331</v>
      </c>
      <c r="C3400" s="81" t="s">
        <v>4621</v>
      </c>
      <c r="D3400" s="83" t="s">
        <v>4135</v>
      </c>
      <c r="E3400" s="81" t="s">
        <v>476</v>
      </c>
      <c r="F3400" s="84">
        <v>55.0</v>
      </c>
      <c r="G3400" s="81" t="s">
        <v>39</v>
      </c>
      <c r="H3400" s="81" t="s">
        <v>5198</v>
      </c>
      <c r="I3400" s="81" t="s">
        <v>477</v>
      </c>
      <c r="J3400" s="81" t="s">
        <v>224</v>
      </c>
    </row>
    <row r="3401" hidden="1">
      <c r="A3401" s="83" t="s">
        <v>6330</v>
      </c>
      <c r="B3401" s="83" t="s">
        <v>6331</v>
      </c>
      <c r="C3401" s="81" t="s">
        <v>6333</v>
      </c>
      <c r="D3401" s="83" t="s">
        <v>4135</v>
      </c>
      <c r="E3401" s="81" t="s">
        <v>476</v>
      </c>
      <c r="F3401" s="84">
        <v>55.0</v>
      </c>
      <c r="G3401" s="81" t="s">
        <v>40</v>
      </c>
      <c r="H3401" s="81" t="s">
        <v>5199</v>
      </c>
      <c r="I3401" s="81" t="s">
        <v>224</v>
      </c>
      <c r="J3401" s="81" t="s">
        <v>5143</v>
      </c>
    </row>
    <row r="3402" hidden="1">
      <c r="A3402" s="83" t="s">
        <v>6330</v>
      </c>
      <c r="B3402" s="83" t="s">
        <v>6331</v>
      </c>
      <c r="C3402" s="81" t="s">
        <v>4621</v>
      </c>
      <c r="D3402" s="83" t="s">
        <v>4136</v>
      </c>
      <c r="E3402" s="81" t="s">
        <v>478</v>
      </c>
      <c r="F3402" s="84">
        <v>56.0</v>
      </c>
      <c r="G3402" s="81" t="s">
        <v>39</v>
      </c>
      <c r="H3402" s="81" t="s">
        <v>5200</v>
      </c>
      <c r="I3402" s="81" t="s">
        <v>483</v>
      </c>
      <c r="J3402" s="81" t="s">
        <v>224</v>
      </c>
    </row>
    <row r="3403" hidden="1">
      <c r="A3403" s="83" t="s">
        <v>6330</v>
      </c>
      <c r="B3403" s="83" t="s">
        <v>6331</v>
      </c>
      <c r="C3403" s="81" t="s">
        <v>6333</v>
      </c>
      <c r="D3403" s="83" t="s">
        <v>4136</v>
      </c>
      <c r="E3403" s="81" t="s">
        <v>478</v>
      </c>
      <c r="F3403" s="84">
        <v>56.0</v>
      </c>
      <c r="G3403" s="81" t="s">
        <v>40</v>
      </c>
      <c r="H3403" s="81" t="s">
        <v>5201</v>
      </c>
      <c r="I3403" s="81" t="s">
        <v>224</v>
      </c>
      <c r="J3403" s="81" t="s">
        <v>5143</v>
      </c>
    </row>
    <row r="3404" hidden="1">
      <c r="A3404" s="83" t="s">
        <v>6330</v>
      </c>
      <c r="B3404" s="83" t="s">
        <v>6331</v>
      </c>
      <c r="C3404" s="81" t="s">
        <v>4621</v>
      </c>
      <c r="D3404" s="83" t="s">
        <v>4136</v>
      </c>
      <c r="E3404" s="81" t="s">
        <v>487</v>
      </c>
      <c r="F3404" s="84">
        <v>57.0</v>
      </c>
      <c r="G3404" s="81" t="s">
        <v>39</v>
      </c>
      <c r="H3404" s="81" t="s">
        <v>5200</v>
      </c>
      <c r="I3404" s="81" t="s">
        <v>483</v>
      </c>
      <c r="J3404" s="81" t="s">
        <v>224</v>
      </c>
    </row>
    <row r="3405" hidden="1">
      <c r="A3405" s="83" t="s">
        <v>6330</v>
      </c>
      <c r="B3405" s="83" t="s">
        <v>6331</v>
      </c>
      <c r="C3405" s="81" t="s">
        <v>6333</v>
      </c>
      <c r="D3405" s="83" t="s">
        <v>4136</v>
      </c>
      <c r="E3405" s="81" t="s">
        <v>487</v>
      </c>
      <c r="F3405" s="84">
        <v>57.0</v>
      </c>
      <c r="G3405" s="81" t="s">
        <v>40</v>
      </c>
      <c r="H3405" s="81" t="s">
        <v>5201</v>
      </c>
      <c r="I3405" s="81" t="s">
        <v>224</v>
      </c>
      <c r="J3405" s="81" t="s">
        <v>5143</v>
      </c>
    </row>
    <row r="3406" hidden="1">
      <c r="A3406" s="83" t="s">
        <v>6330</v>
      </c>
      <c r="B3406" s="83" t="s">
        <v>6331</v>
      </c>
      <c r="C3406" s="81" t="s">
        <v>4621</v>
      </c>
      <c r="D3406" s="83" t="s">
        <v>4137</v>
      </c>
      <c r="E3406" s="81" t="s">
        <v>489</v>
      </c>
      <c r="F3406" s="84">
        <v>58.0</v>
      </c>
      <c r="G3406" s="81" t="s">
        <v>39</v>
      </c>
      <c r="H3406" s="81" t="s">
        <v>5202</v>
      </c>
      <c r="I3406" s="81" t="s">
        <v>491</v>
      </c>
      <c r="J3406" s="81" t="s">
        <v>224</v>
      </c>
    </row>
    <row r="3407" hidden="1">
      <c r="A3407" s="83" t="s">
        <v>6330</v>
      </c>
      <c r="B3407" s="83" t="s">
        <v>6331</v>
      </c>
      <c r="C3407" s="81" t="s">
        <v>6333</v>
      </c>
      <c r="D3407" s="83" t="s">
        <v>4137</v>
      </c>
      <c r="E3407" s="81" t="s">
        <v>489</v>
      </c>
      <c r="F3407" s="84">
        <v>58.0</v>
      </c>
      <c r="G3407" s="81" t="s">
        <v>40</v>
      </c>
      <c r="H3407" s="81" t="s">
        <v>5203</v>
      </c>
      <c r="I3407" s="81" t="s">
        <v>224</v>
      </c>
      <c r="J3407" s="81" t="s">
        <v>5143</v>
      </c>
    </row>
    <row r="3408" hidden="1">
      <c r="A3408" s="83" t="s">
        <v>6330</v>
      </c>
      <c r="B3408" s="83" t="s">
        <v>6331</v>
      </c>
      <c r="C3408" s="81" t="s">
        <v>4621</v>
      </c>
      <c r="D3408" s="83" t="s">
        <v>4138</v>
      </c>
      <c r="E3408" s="81" t="s">
        <v>492</v>
      </c>
      <c r="F3408" s="84">
        <v>59.0</v>
      </c>
      <c r="G3408" s="81" t="s">
        <v>39</v>
      </c>
      <c r="H3408" s="81" t="s">
        <v>5204</v>
      </c>
      <c r="I3408" s="81" t="s">
        <v>493</v>
      </c>
      <c r="J3408" s="81" t="s">
        <v>224</v>
      </c>
    </row>
    <row r="3409" hidden="1">
      <c r="A3409" s="83" t="s">
        <v>6330</v>
      </c>
      <c r="B3409" s="83" t="s">
        <v>6331</v>
      </c>
      <c r="C3409" s="81" t="s">
        <v>6333</v>
      </c>
      <c r="D3409" s="83" t="s">
        <v>4138</v>
      </c>
      <c r="E3409" s="81" t="s">
        <v>492</v>
      </c>
      <c r="F3409" s="84">
        <v>59.0</v>
      </c>
      <c r="G3409" s="81" t="s">
        <v>40</v>
      </c>
      <c r="H3409" s="81" t="s">
        <v>5205</v>
      </c>
      <c r="I3409" s="81" t="s">
        <v>224</v>
      </c>
      <c r="J3409" s="81" t="s">
        <v>5143</v>
      </c>
    </row>
    <row r="3410" hidden="1">
      <c r="A3410" s="83" t="s">
        <v>6330</v>
      </c>
      <c r="B3410" s="83" t="s">
        <v>6331</v>
      </c>
      <c r="C3410" s="81" t="s">
        <v>4621</v>
      </c>
      <c r="D3410" s="83" t="s">
        <v>4139</v>
      </c>
      <c r="E3410" s="81" t="s">
        <v>494</v>
      </c>
      <c r="F3410" s="84">
        <v>60.0</v>
      </c>
      <c r="G3410" s="81" t="s">
        <v>39</v>
      </c>
      <c r="H3410" s="81" t="s">
        <v>5206</v>
      </c>
      <c r="I3410" s="81" t="s">
        <v>499</v>
      </c>
      <c r="J3410" s="81" t="s">
        <v>224</v>
      </c>
    </row>
    <row r="3411" hidden="1">
      <c r="A3411" s="83" t="s">
        <v>6330</v>
      </c>
      <c r="B3411" s="83" t="s">
        <v>6331</v>
      </c>
      <c r="C3411" s="81" t="s">
        <v>6333</v>
      </c>
      <c r="D3411" s="83" t="s">
        <v>4139</v>
      </c>
      <c r="E3411" s="81" t="s">
        <v>494</v>
      </c>
      <c r="F3411" s="84">
        <v>60.0</v>
      </c>
      <c r="G3411" s="81" t="s">
        <v>40</v>
      </c>
      <c r="H3411" s="81" t="s">
        <v>5207</v>
      </c>
      <c r="I3411" s="81" t="s">
        <v>224</v>
      </c>
      <c r="J3411" s="81" t="s">
        <v>5143</v>
      </c>
    </row>
    <row r="3412" hidden="1">
      <c r="A3412" s="83" t="s">
        <v>6330</v>
      </c>
      <c r="B3412" s="83" t="s">
        <v>6331</v>
      </c>
      <c r="C3412" s="81" t="s">
        <v>4621</v>
      </c>
      <c r="D3412" s="83" t="s">
        <v>4139</v>
      </c>
      <c r="E3412" s="81" t="s">
        <v>503</v>
      </c>
      <c r="F3412" s="84">
        <v>61.0</v>
      </c>
      <c r="G3412" s="81" t="s">
        <v>39</v>
      </c>
      <c r="H3412" s="81" t="s">
        <v>5206</v>
      </c>
      <c r="I3412" s="81" t="s">
        <v>499</v>
      </c>
      <c r="J3412" s="81" t="s">
        <v>224</v>
      </c>
    </row>
    <row r="3413" hidden="1">
      <c r="A3413" s="83" t="s">
        <v>6330</v>
      </c>
      <c r="B3413" s="83" t="s">
        <v>6331</v>
      </c>
      <c r="C3413" s="81" t="s">
        <v>6333</v>
      </c>
      <c r="D3413" s="83" t="s">
        <v>4139</v>
      </c>
      <c r="E3413" s="81" t="s">
        <v>503</v>
      </c>
      <c r="F3413" s="84">
        <v>61.0</v>
      </c>
      <c r="G3413" s="81" t="s">
        <v>40</v>
      </c>
      <c r="H3413" s="81" t="s">
        <v>5207</v>
      </c>
      <c r="I3413" s="81" t="s">
        <v>224</v>
      </c>
      <c r="J3413" s="81" t="s">
        <v>5143</v>
      </c>
    </row>
    <row r="3414" hidden="1">
      <c r="A3414" s="83" t="s">
        <v>6330</v>
      </c>
      <c r="B3414" s="83" t="s">
        <v>6331</v>
      </c>
      <c r="C3414" s="81" t="s">
        <v>4621</v>
      </c>
      <c r="D3414" s="83" t="s">
        <v>4140</v>
      </c>
      <c r="E3414" s="81" t="s">
        <v>505</v>
      </c>
      <c r="F3414" s="84">
        <v>62.0</v>
      </c>
      <c r="G3414" s="81" t="s">
        <v>39</v>
      </c>
      <c r="H3414" s="81" t="s">
        <v>5208</v>
      </c>
      <c r="I3414" s="81" t="s">
        <v>506</v>
      </c>
      <c r="J3414" s="81" t="s">
        <v>224</v>
      </c>
    </row>
    <row r="3415" hidden="1">
      <c r="A3415" s="83" t="s">
        <v>6330</v>
      </c>
      <c r="B3415" s="83" t="s">
        <v>6331</v>
      </c>
      <c r="C3415" s="81" t="s">
        <v>6333</v>
      </c>
      <c r="D3415" s="83" t="s">
        <v>4140</v>
      </c>
      <c r="E3415" s="81" t="s">
        <v>505</v>
      </c>
      <c r="F3415" s="84">
        <v>62.0</v>
      </c>
      <c r="G3415" s="81" t="s">
        <v>40</v>
      </c>
      <c r="H3415" s="81" t="s">
        <v>5209</v>
      </c>
      <c r="I3415" s="81" t="s">
        <v>224</v>
      </c>
      <c r="J3415" s="81" t="s">
        <v>5143</v>
      </c>
    </row>
    <row r="3416" hidden="1">
      <c r="A3416" s="83" t="s">
        <v>6330</v>
      </c>
      <c r="B3416" s="83" t="s">
        <v>6331</v>
      </c>
      <c r="C3416" s="81" t="s">
        <v>4621</v>
      </c>
      <c r="D3416" s="83" t="s">
        <v>4141</v>
      </c>
      <c r="E3416" s="81" t="s">
        <v>507</v>
      </c>
      <c r="F3416" s="84">
        <v>63.0</v>
      </c>
      <c r="G3416" s="81" t="s">
        <v>39</v>
      </c>
      <c r="H3416" s="81" t="s">
        <v>5210</v>
      </c>
      <c r="I3416" s="81" t="s">
        <v>512</v>
      </c>
      <c r="J3416" s="81" t="s">
        <v>224</v>
      </c>
    </row>
    <row r="3417" hidden="1">
      <c r="A3417" s="83" t="s">
        <v>6330</v>
      </c>
      <c r="B3417" s="83" t="s">
        <v>6331</v>
      </c>
      <c r="C3417" s="81" t="s">
        <v>6333</v>
      </c>
      <c r="D3417" s="83" t="s">
        <v>4141</v>
      </c>
      <c r="E3417" s="81" t="s">
        <v>507</v>
      </c>
      <c r="F3417" s="84">
        <v>63.0</v>
      </c>
      <c r="G3417" s="81" t="s">
        <v>40</v>
      </c>
      <c r="H3417" s="81" t="s">
        <v>5211</v>
      </c>
      <c r="I3417" s="81" t="s">
        <v>224</v>
      </c>
      <c r="J3417" s="81" t="s">
        <v>5143</v>
      </c>
    </row>
    <row r="3418" hidden="1">
      <c r="A3418" s="83" t="s">
        <v>6330</v>
      </c>
      <c r="B3418" s="83" t="s">
        <v>6331</v>
      </c>
      <c r="C3418" s="81" t="s">
        <v>4621</v>
      </c>
      <c r="D3418" s="83" t="s">
        <v>4141</v>
      </c>
      <c r="E3418" s="81" t="s">
        <v>516</v>
      </c>
      <c r="F3418" s="84">
        <v>64.0</v>
      </c>
      <c r="G3418" s="81" t="s">
        <v>39</v>
      </c>
      <c r="H3418" s="81" t="s">
        <v>5210</v>
      </c>
      <c r="I3418" s="81" t="s">
        <v>512</v>
      </c>
      <c r="J3418" s="81" t="s">
        <v>224</v>
      </c>
    </row>
    <row r="3419" hidden="1">
      <c r="A3419" s="83" t="s">
        <v>6330</v>
      </c>
      <c r="B3419" s="83" t="s">
        <v>6331</v>
      </c>
      <c r="C3419" s="81" t="s">
        <v>6333</v>
      </c>
      <c r="D3419" s="83" t="s">
        <v>4141</v>
      </c>
      <c r="E3419" s="81" t="s">
        <v>516</v>
      </c>
      <c r="F3419" s="84">
        <v>64.0</v>
      </c>
      <c r="G3419" s="81" t="s">
        <v>40</v>
      </c>
      <c r="H3419" s="81" t="s">
        <v>5211</v>
      </c>
      <c r="I3419" s="81" t="s">
        <v>224</v>
      </c>
      <c r="J3419" s="81" t="s">
        <v>5143</v>
      </c>
    </row>
    <row r="3420" hidden="1">
      <c r="A3420" s="83" t="s">
        <v>6330</v>
      </c>
      <c r="B3420" s="83" t="s">
        <v>6331</v>
      </c>
      <c r="C3420" s="81" t="s">
        <v>4621</v>
      </c>
      <c r="D3420" s="83" t="s">
        <v>4142</v>
      </c>
      <c r="E3420" s="81" t="s">
        <v>518</v>
      </c>
      <c r="F3420" s="84">
        <v>65.0</v>
      </c>
      <c r="G3420" s="81" t="s">
        <v>39</v>
      </c>
      <c r="H3420" s="81" t="s">
        <v>5212</v>
      </c>
      <c r="I3420" s="81" t="s">
        <v>521</v>
      </c>
      <c r="J3420" s="81" t="s">
        <v>224</v>
      </c>
    </row>
    <row r="3421" hidden="1">
      <c r="A3421" s="83" t="s">
        <v>6330</v>
      </c>
      <c r="B3421" s="83" t="s">
        <v>6331</v>
      </c>
      <c r="C3421" s="81" t="s">
        <v>6333</v>
      </c>
      <c r="D3421" s="83" t="s">
        <v>4142</v>
      </c>
      <c r="E3421" s="81" t="s">
        <v>518</v>
      </c>
      <c r="F3421" s="84">
        <v>65.0</v>
      </c>
      <c r="G3421" s="81" t="s">
        <v>40</v>
      </c>
      <c r="H3421" s="81" t="s">
        <v>5213</v>
      </c>
      <c r="I3421" s="81" t="s">
        <v>224</v>
      </c>
      <c r="J3421" s="81" t="s">
        <v>5143</v>
      </c>
    </row>
    <row r="3422" hidden="1">
      <c r="A3422" s="83" t="s">
        <v>6330</v>
      </c>
      <c r="B3422" s="83" t="s">
        <v>6331</v>
      </c>
      <c r="C3422" s="81" t="s">
        <v>4621</v>
      </c>
      <c r="D3422" s="83" t="s">
        <v>4144</v>
      </c>
      <c r="E3422" s="81" t="s">
        <v>523</v>
      </c>
      <c r="F3422" s="84">
        <v>66.0</v>
      </c>
      <c r="G3422" s="81" t="s">
        <v>39</v>
      </c>
      <c r="H3422" s="81" t="s">
        <v>5214</v>
      </c>
      <c r="I3422" s="81" t="s">
        <v>526</v>
      </c>
      <c r="J3422" s="81" t="s">
        <v>224</v>
      </c>
    </row>
    <row r="3423" hidden="1">
      <c r="A3423" s="83" t="s">
        <v>6330</v>
      </c>
      <c r="B3423" s="83" t="s">
        <v>6331</v>
      </c>
      <c r="C3423" s="81" t="s">
        <v>6333</v>
      </c>
      <c r="D3423" s="83" t="s">
        <v>4144</v>
      </c>
      <c r="E3423" s="81" t="s">
        <v>523</v>
      </c>
      <c r="F3423" s="84">
        <v>66.0</v>
      </c>
      <c r="G3423" s="81" t="s">
        <v>40</v>
      </c>
      <c r="H3423" s="81" t="s">
        <v>5215</v>
      </c>
      <c r="I3423" s="81" t="s">
        <v>224</v>
      </c>
      <c r="J3423" s="81" t="s">
        <v>5143</v>
      </c>
    </row>
    <row r="3424" hidden="1">
      <c r="A3424" s="83" t="s">
        <v>6330</v>
      </c>
      <c r="B3424" s="83" t="s">
        <v>6331</v>
      </c>
      <c r="C3424" s="81" t="s">
        <v>4621</v>
      </c>
      <c r="D3424" s="83" t="s">
        <v>4144</v>
      </c>
      <c r="E3424" s="81" t="s">
        <v>530</v>
      </c>
      <c r="F3424" s="84">
        <v>67.0</v>
      </c>
      <c r="G3424" s="81" t="s">
        <v>39</v>
      </c>
      <c r="H3424" s="81" t="s">
        <v>5214</v>
      </c>
      <c r="I3424" s="81" t="s">
        <v>526</v>
      </c>
      <c r="J3424" s="81" t="s">
        <v>224</v>
      </c>
    </row>
    <row r="3425" hidden="1">
      <c r="A3425" s="83" t="s">
        <v>6330</v>
      </c>
      <c r="B3425" s="83" t="s">
        <v>6331</v>
      </c>
      <c r="C3425" s="81" t="s">
        <v>6333</v>
      </c>
      <c r="D3425" s="83" t="s">
        <v>4144</v>
      </c>
      <c r="E3425" s="81" t="s">
        <v>530</v>
      </c>
      <c r="F3425" s="84">
        <v>67.0</v>
      </c>
      <c r="G3425" s="81" t="s">
        <v>40</v>
      </c>
      <c r="H3425" s="81" t="s">
        <v>5215</v>
      </c>
      <c r="I3425" s="81" t="s">
        <v>224</v>
      </c>
      <c r="J3425" s="81" t="s">
        <v>5143</v>
      </c>
    </row>
    <row r="3426" hidden="1">
      <c r="A3426" s="83" t="s">
        <v>6330</v>
      </c>
      <c r="B3426" s="83" t="s">
        <v>6331</v>
      </c>
      <c r="C3426" s="81" t="s">
        <v>4621</v>
      </c>
      <c r="D3426" s="83" t="s">
        <v>4145</v>
      </c>
      <c r="E3426" s="81" t="s">
        <v>531</v>
      </c>
      <c r="F3426" s="84">
        <v>68.0</v>
      </c>
      <c r="G3426" s="81" t="s">
        <v>39</v>
      </c>
      <c r="H3426" s="81" t="s">
        <v>5216</v>
      </c>
      <c r="I3426" s="81" t="s">
        <v>532</v>
      </c>
      <c r="J3426" s="81" t="s">
        <v>224</v>
      </c>
    </row>
    <row r="3427" hidden="1">
      <c r="A3427" s="83" t="s">
        <v>6330</v>
      </c>
      <c r="B3427" s="83" t="s">
        <v>6331</v>
      </c>
      <c r="C3427" s="81" t="s">
        <v>6333</v>
      </c>
      <c r="D3427" s="83" t="s">
        <v>4145</v>
      </c>
      <c r="E3427" s="81" t="s">
        <v>531</v>
      </c>
      <c r="F3427" s="84">
        <v>68.0</v>
      </c>
      <c r="G3427" s="81" t="s">
        <v>40</v>
      </c>
      <c r="H3427" s="81" t="s">
        <v>5217</v>
      </c>
      <c r="I3427" s="81" t="s">
        <v>224</v>
      </c>
      <c r="J3427" s="81" t="s">
        <v>5143</v>
      </c>
    </row>
    <row r="3428" hidden="1">
      <c r="A3428" s="83" t="s">
        <v>6330</v>
      </c>
      <c r="B3428" s="83" t="s">
        <v>6331</v>
      </c>
      <c r="C3428" s="81" t="s">
        <v>4621</v>
      </c>
      <c r="D3428" s="83" t="s">
        <v>4146</v>
      </c>
      <c r="E3428" s="81" t="s">
        <v>533</v>
      </c>
      <c r="F3428" s="84">
        <v>69.0</v>
      </c>
      <c r="G3428" s="81" t="s">
        <v>39</v>
      </c>
      <c r="H3428" s="81" t="s">
        <v>5218</v>
      </c>
      <c r="I3428" s="81" t="s">
        <v>538</v>
      </c>
      <c r="J3428" s="81" t="s">
        <v>224</v>
      </c>
    </row>
    <row r="3429" hidden="1">
      <c r="A3429" s="83" t="s">
        <v>6330</v>
      </c>
      <c r="B3429" s="83" t="s">
        <v>6331</v>
      </c>
      <c r="C3429" s="81" t="s">
        <v>6333</v>
      </c>
      <c r="D3429" s="83" t="s">
        <v>4146</v>
      </c>
      <c r="E3429" s="81" t="s">
        <v>533</v>
      </c>
      <c r="F3429" s="84">
        <v>69.0</v>
      </c>
      <c r="G3429" s="81" t="s">
        <v>40</v>
      </c>
      <c r="H3429" s="81" t="s">
        <v>5219</v>
      </c>
      <c r="I3429" s="81" t="s">
        <v>224</v>
      </c>
      <c r="J3429" s="81" t="s">
        <v>5143</v>
      </c>
    </row>
    <row r="3430" hidden="1">
      <c r="A3430" s="83" t="s">
        <v>6330</v>
      </c>
      <c r="B3430" s="83" t="s">
        <v>6331</v>
      </c>
      <c r="C3430" s="81" t="s">
        <v>4621</v>
      </c>
      <c r="D3430" s="83" t="s">
        <v>4147</v>
      </c>
      <c r="E3430" s="81" t="s">
        <v>542</v>
      </c>
      <c r="F3430" s="84">
        <v>70.0</v>
      </c>
      <c r="G3430" s="81" t="s">
        <v>39</v>
      </c>
      <c r="H3430" s="81" t="s">
        <v>5220</v>
      </c>
      <c r="I3430" s="81" t="s">
        <v>544</v>
      </c>
      <c r="J3430" s="81" t="s">
        <v>224</v>
      </c>
    </row>
    <row r="3431" hidden="1">
      <c r="A3431" s="83" t="s">
        <v>6330</v>
      </c>
      <c r="B3431" s="83" t="s">
        <v>6331</v>
      </c>
      <c r="C3431" s="81" t="s">
        <v>6333</v>
      </c>
      <c r="D3431" s="83" t="s">
        <v>4147</v>
      </c>
      <c r="E3431" s="81" t="s">
        <v>542</v>
      </c>
      <c r="F3431" s="84">
        <v>70.0</v>
      </c>
      <c r="G3431" s="81" t="s">
        <v>40</v>
      </c>
      <c r="H3431" s="81" t="s">
        <v>5221</v>
      </c>
      <c r="I3431" s="81" t="s">
        <v>224</v>
      </c>
      <c r="J3431" s="81" t="s">
        <v>5143</v>
      </c>
    </row>
    <row r="3432" hidden="1">
      <c r="A3432" s="83" t="s">
        <v>6330</v>
      </c>
      <c r="B3432" s="83" t="s">
        <v>6331</v>
      </c>
      <c r="C3432" s="81" t="s">
        <v>4621</v>
      </c>
      <c r="D3432" s="83" t="s">
        <v>4148</v>
      </c>
      <c r="E3432" s="81" t="s">
        <v>545</v>
      </c>
      <c r="F3432" s="84">
        <v>71.0</v>
      </c>
      <c r="G3432" s="81" t="s">
        <v>39</v>
      </c>
      <c r="H3432" s="81" t="s">
        <v>5222</v>
      </c>
      <c r="I3432" s="81" t="s">
        <v>550</v>
      </c>
      <c r="J3432" s="81" t="s">
        <v>224</v>
      </c>
    </row>
    <row r="3433" hidden="1">
      <c r="A3433" s="83" t="s">
        <v>6330</v>
      </c>
      <c r="B3433" s="83" t="s">
        <v>6331</v>
      </c>
      <c r="C3433" s="81" t="s">
        <v>6333</v>
      </c>
      <c r="D3433" s="83" t="s">
        <v>4148</v>
      </c>
      <c r="E3433" s="81" t="s">
        <v>545</v>
      </c>
      <c r="F3433" s="84">
        <v>71.0</v>
      </c>
      <c r="G3433" s="81" t="s">
        <v>40</v>
      </c>
      <c r="H3433" s="81" t="s">
        <v>5223</v>
      </c>
      <c r="I3433" s="81" t="s">
        <v>224</v>
      </c>
      <c r="J3433" s="81" t="s">
        <v>5143</v>
      </c>
    </row>
    <row r="3434" hidden="1">
      <c r="A3434" s="83" t="s">
        <v>6330</v>
      </c>
      <c r="B3434" s="83" t="s">
        <v>6331</v>
      </c>
      <c r="C3434" s="81" t="s">
        <v>4621</v>
      </c>
      <c r="D3434" s="83" t="s">
        <v>4148</v>
      </c>
      <c r="E3434" s="81" t="s">
        <v>552</v>
      </c>
      <c r="F3434" s="84">
        <v>72.0</v>
      </c>
      <c r="G3434" s="81" t="s">
        <v>39</v>
      </c>
      <c r="H3434" s="81" t="s">
        <v>5222</v>
      </c>
      <c r="I3434" s="81" t="s">
        <v>550</v>
      </c>
      <c r="J3434" s="81" t="s">
        <v>224</v>
      </c>
    </row>
    <row r="3435" hidden="1">
      <c r="A3435" s="83" t="s">
        <v>6330</v>
      </c>
      <c r="B3435" s="83" t="s">
        <v>6331</v>
      </c>
      <c r="C3435" s="81" t="s">
        <v>6333</v>
      </c>
      <c r="D3435" s="83" t="s">
        <v>4148</v>
      </c>
      <c r="E3435" s="81" t="s">
        <v>552</v>
      </c>
      <c r="F3435" s="84">
        <v>72.0</v>
      </c>
      <c r="G3435" s="81" t="s">
        <v>40</v>
      </c>
      <c r="H3435" s="81" t="s">
        <v>5223</v>
      </c>
      <c r="I3435" s="81" t="s">
        <v>224</v>
      </c>
      <c r="J3435" s="81" t="s">
        <v>5143</v>
      </c>
    </row>
    <row r="3436" hidden="1">
      <c r="A3436" s="83" t="s">
        <v>6330</v>
      </c>
      <c r="B3436" s="83" t="s">
        <v>6331</v>
      </c>
      <c r="C3436" s="81" t="s">
        <v>4621</v>
      </c>
      <c r="D3436" s="83" t="s">
        <v>4149</v>
      </c>
      <c r="E3436" s="81" t="s">
        <v>554</v>
      </c>
      <c r="F3436" s="84">
        <v>73.0</v>
      </c>
      <c r="G3436" s="81" t="s">
        <v>39</v>
      </c>
      <c r="H3436" s="81" t="s">
        <v>5224</v>
      </c>
      <c r="I3436" s="81" t="s">
        <v>555</v>
      </c>
      <c r="J3436" s="81" t="s">
        <v>224</v>
      </c>
    </row>
    <row r="3437" hidden="1">
      <c r="A3437" s="83" t="s">
        <v>6330</v>
      </c>
      <c r="B3437" s="83" t="s">
        <v>6331</v>
      </c>
      <c r="C3437" s="81" t="s">
        <v>6333</v>
      </c>
      <c r="D3437" s="83" t="s">
        <v>4149</v>
      </c>
      <c r="E3437" s="81" t="s">
        <v>554</v>
      </c>
      <c r="F3437" s="84">
        <v>73.0</v>
      </c>
      <c r="G3437" s="81" t="s">
        <v>40</v>
      </c>
      <c r="H3437" s="81" t="s">
        <v>5225</v>
      </c>
      <c r="I3437" s="81" t="s">
        <v>224</v>
      </c>
      <c r="J3437" s="81" t="s">
        <v>5143</v>
      </c>
    </row>
    <row r="3438" hidden="1">
      <c r="A3438" s="83" t="s">
        <v>6330</v>
      </c>
      <c r="B3438" s="83" t="s">
        <v>6331</v>
      </c>
      <c r="C3438" s="81" t="s">
        <v>4621</v>
      </c>
      <c r="D3438" s="83" t="s">
        <v>4150</v>
      </c>
      <c r="E3438" s="81" t="s">
        <v>556</v>
      </c>
      <c r="F3438" s="84">
        <v>74.0</v>
      </c>
      <c r="G3438" s="81" t="s">
        <v>39</v>
      </c>
      <c r="H3438" s="81" t="s">
        <v>5226</v>
      </c>
      <c r="I3438" s="81" t="s">
        <v>561</v>
      </c>
      <c r="J3438" s="81" t="s">
        <v>224</v>
      </c>
    </row>
    <row r="3439" hidden="1">
      <c r="A3439" s="83" t="s">
        <v>6330</v>
      </c>
      <c r="B3439" s="83" t="s">
        <v>6331</v>
      </c>
      <c r="C3439" s="81" t="s">
        <v>6333</v>
      </c>
      <c r="D3439" s="83" t="s">
        <v>4150</v>
      </c>
      <c r="E3439" s="81" t="s">
        <v>556</v>
      </c>
      <c r="F3439" s="84">
        <v>74.0</v>
      </c>
      <c r="G3439" s="81" t="s">
        <v>40</v>
      </c>
      <c r="H3439" s="81" t="s">
        <v>5227</v>
      </c>
      <c r="I3439" s="81" t="s">
        <v>224</v>
      </c>
      <c r="J3439" s="81" t="s">
        <v>5143</v>
      </c>
    </row>
    <row r="3440" hidden="1">
      <c r="A3440" s="83" t="s">
        <v>6330</v>
      </c>
      <c r="B3440" s="83" t="s">
        <v>6331</v>
      </c>
      <c r="C3440" s="81" t="s">
        <v>4621</v>
      </c>
      <c r="D3440" s="83" t="s">
        <v>4150</v>
      </c>
      <c r="E3440" s="81" t="s">
        <v>565</v>
      </c>
      <c r="F3440" s="84">
        <v>75.0</v>
      </c>
      <c r="G3440" s="81" t="s">
        <v>39</v>
      </c>
      <c r="H3440" s="81" t="s">
        <v>5226</v>
      </c>
      <c r="I3440" s="81" t="s">
        <v>561</v>
      </c>
      <c r="J3440" s="81" t="s">
        <v>224</v>
      </c>
    </row>
    <row r="3441" hidden="1">
      <c r="A3441" s="83" t="s">
        <v>6330</v>
      </c>
      <c r="B3441" s="83" t="s">
        <v>6331</v>
      </c>
      <c r="C3441" s="81" t="s">
        <v>6333</v>
      </c>
      <c r="D3441" s="83" t="s">
        <v>4150</v>
      </c>
      <c r="E3441" s="81" t="s">
        <v>565</v>
      </c>
      <c r="F3441" s="84">
        <v>75.0</v>
      </c>
      <c r="G3441" s="81" t="s">
        <v>40</v>
      </c>
      <c r="H3441" s="81" t="s">
        <v>5227</v>
      </c>
      <c r="I3441" s="81" t="s">
        <v>224</v>
      </c>
      <c r="J3441" s="81" t="s">
        <v>5143</v>
      </c>
    </row>
    <row r="3442" hidden="1">
      <c r="A3442" s="83" t="s">
        <v>6330</v>
      </c>
      <c r="B3442" s="83" t="s">
        <v>6331</v>
      </c>
      <c r="C3442" s="81" t="s">
        <v>4621</v>
      </c>
      <c r="D3442" s="83" t="s">
        <v>4151</v>
      </c>
      <c r="E3442" s="81" t="s">
        <v>567</v>
      </c>
      <c r="F3442" s="84">
        <v>76.0</v>
      </c>
      <c r="G3442" s="81" t="s">
        <v>39</v>
      </c>
      <c r="H3442" s="81" t="s">
        <v>5228</v>
      </c>
      <c r="I3442" s="81" t="s">
        <v>568</v>
      </c>
      <c r="J3442" s="81" t="s">
        <v>224</v>
      </c>
    </row>
    <row r="3443" hidden="1">
      <c r="A3443" s="83" t="s">
        <v>6330</v>
      </c>
      <c r="B3443" s="83" t="s">
        <v>6331</v>
      </c>
      <c r="C3443" s="81" t="s">
        <v>6333</v>
      </c>
      <c r="D3443" s="83" t="s">
        <v>4151</v>
      </c>
      <c r="E3443" s="81" t="s">
        <v>567</v>
      </c>
      <c r="F3443" s="84">
        <v>76.0</v>
      </c>
      <c r="G3443" s="81" t="s">
        <v>40</v>
      </c>
      <c r="H3443" s="81" t="s">
        <v>5229</v>
      </c>
      <c r="I3443" s="81" t="s">
        <v>224</v>
      </c>
      <c r="J3443" s="81" t="s">
        <v>5143</v>
      </c>
    </row>
    <row r="3444" hidden="1">
      <c r="A3444" s="83" t="s">
        <v>6330</v>
      </c>
      <c r="B3444" s="83" t="s">
        <v>6331</v>
      </c>
      <c r="C3444" s="81" t="s">
        <v>4621</v>
      </c>
      <c r="D3444" s="83" t="s">
        <v>4152</v>
      </c>
      <c r="E3444" s="81" t="s">
        <v>569</v>
      </c>
      <c r="F3444" s="84">
        <v>77.0</v>
      </c>
      <c r="G3444" s="81" t="s">
        <v>39</v>
      </c>
      <c r="H3444" s="81" t="s">
        <v>5230</v>
      </c>
      <c r="I3444" s="81" t="s">
        <v>570</v>
      </c>
      <c r="J3444" s="81" t="s">
        <v>224</v>
      </c>
    </row>
    <row r="3445" hidden="1">
      <c r="A3445" s="83" t="s">
        <v>6330</v>
      </c>
      <c r="B3445" s="83" t="s">
        <v>6331</v>
      </c>
      <c r="C3445" s="81" t="s">
        <v>6333</v>
      </c>
      <c r="D3445" s="83" t="s">
        <v>4152</v>
      </c>
      <c r="E3445" s="81" t="s">
        <v>569</v>
      </c>
      <c r="F3445" s="84">
        <v>77.0</v>
      </c>
      <c r="G3445" s="81" t="s">
        <v>40</v>
      </c>
      <c r="H3445" s="81" t="s">
        <v>5231</v>
      </c>
      <c r="I3445" s="81" t="s">
        <v>224</v>
      </c>
      <c r="J3445" s="81" t="s">
        <v>5143</v>
      </c>
    </row>
    <row r="3446" hidden="1">
      <c r="A3446" s="83" t="s">
        <v>6330</v>
      </c>
      <c r="B3446" s="83" t="s">
        <v>6331</v>
      </c>
      <c r="C3446" s="81" t="s">
        <v>4621</v>
      </c>
      <c r="D3446" s="83" t="s">
        <v>4153</v>
      </c>
      <c r="E3446" s="81" t="s">
        <v>571</v>
      </c>
      <c r="F3446" s="84">
        <v>78.0</v>
      </c>
      <c r="G3446" s="81" t="s">
        <v>39</v>
      </c>
      <c r="H3446" s="81" t="s">
        <v>5232</v>
      </c>
      <c r="I3446" s="81" t="s">
        <v>575</v>
      </c>
      <c r="J3446" s="81" t="s">
        <v>224</v>
      </c>
    </row>
    <row r="3447" hidden="1">
      <c r="A3447" s="83" t="s">
        <v>6330</v>
      </c>
      <c r="B3447" s="83" t="s">
        <v>6331</v>
      </c>
      <c r="C3447" s="81" t="s">
        <v>6333</v>
      </c>
      <c r="D3447" s="83" t="s">
        <v>4153</v>
      </c>
      <c r="E3447" s="81" t="s">
        <v>571</v>
      </c>
      <c r="F3447" s="84">
        <v>78.0</v>
      </c>
      <c r="G3447" s="81" t="s">
        <v>40</v>
      </c>
      <c r="H3447" s="81" t="s">
        <v>5233</v>
      </c>
      <c r="I3447" s="81" t="s">
        <v>224</v>
      </c>
      <c r="J3447" s="81" t="s">
        <v>5143</v>
      </c>
    </row>
    <row r="3448" hidden="1">
      <c r="A3448" s="83" t="s">
        <v>6330</v>
      </c>
      <c r="B3448" s="83" t="s">
        <v>6331</v>
      </c>
      <c r="C3448" s="81" t="s">
        <v>4621</v>
      </c>
      <c r="D3448" s="83" t="s">
        <v>4154</v>
      </c>
      <c r="E3448" s="81" t="s">
        <v>576</v>
      </c>
      <c r="F3448" s="84">
        <v>79.0</v>
      </c>
      <c r="G3448" s="81" t="s">
        <v>39</v>
      </c>
      <c r="H3448" s="81" t="s">
        <v>5234</v>
      </c>
      <c r="I3448" s="81" t="s">
        <v>579</v>
      </c>
      <c r="J3448" s="81" t="s">
        <v>224</v>
      </c>
    </row>
    <row r="3449" hidden="1">
      <c r="A3449" s="83" t="s">
        <v>6330</v>
      </c>
      <c r="B3449" s="83" t="s">
        <v>6331</v>
      </c>
      <c r="C3449" s="81" t="s">
        <v>6333</v>
      </c>
      <c r="D3449" s="83" t="s">
        <v>4154</v>
      </c>
      <c r="E3449" s="81" t="s">
        <v>576</v>
      </c>
      <c r="F3449" s="84">
        <v>79.0</v>
      </c>
      <c r="G3449" s="81" t="s">
        <v>40</v>
      </c>
      <c r="H3449" s="81" t="s">
        <v>5235</v>
      </c>
      <c r="I3449" s="81" t="s">
        <v>224</v>
      </c>
      <c r="J3449" s="81" t="s">
        <v>5143</v>
      </c>
    </row>
    <row r="3450" hidden="1">
      <c r="A3450" s="83" t="s">
        <v>6330</v>
      </c>
      <c r="B3450" s="83" t="s">
        <v>6331</v>
      </c>
      <c r="C3450" s="81" t="s">
        <v>4621</v>
      </c>
      <c r="D3450" s="83" t="s">
        <v>4155</v>
      </c>
      <c r="E3450" s="81" t="s">
        <v>581</v>
      </c>
      <c r="F3450" s="84">
        <v>80.0</v>
      </c>
      <c r="G3450" s="81" t="s">
        <v>39</v>
      </c>
      <c r="H3450" s="81" t="s">
        <v>5236</v>
      </c>
      <c r="I3450" s="81" t="s">
        <v>582</v>
      </c>
      <c r="J3450" s="81" t="s">
        <v>224</v>
      </c>
    </row>
    <row r="3451" hidden="1">
      <c r="A3451" s="83" t="s">
        <v>6330</v>
      </c>
      <c r="B3451" s="83" t="s">
        <v>6331</v>
      </c>
      <c r="C3451" s="81" t="s">
        <v>6333</v>
      </c>
      <c r="D3451" s="83" t="s">
        <v>4155</v>
      </c>
      <c r="E3451" s="81" t="s">
        <v>581</v>
      </c>
      <c r="F3451" s="84">
        <v>80.0</v>
      </c>
      <c r="G3451" s="81" t="s">
        <v>40</v>
      </c>
      <c r="H3451" s="81" t="s">
        <v>5237</v>
      </c>
      <c r="I3451" s="81" t="s">
        <v>224</v>
      </c>
      <c r="J3451" s="81" t="s">
        <v>5143</v>
      </c>
    </row>
    <row r="3452" hidden="1">
      <c r="A3452" s="83" t="s">
        <v>6330</v>
      </c>
      <c r="B3452" s="83" t="s">
        <v>6331</v>
      </c>
      <c r="C3452" s="81" t="s">
        <v>4621</v>
      </c>
      <c r="D3452" s="83" t="s">
        <v>4156</v>
      </c>
      <c r="E3452" s="81" t="s">
        <v>583</v>
      </c>
      <c r="F3452" s="84">
        <v>81.0</v>
      </c>
      <c r="G3452" s="81" t="s">
        <v>39</v>
      </c>
      <c r="H3452" s="81" t="s">
        <v>5238</v>
      </c>
      <c r="I3452" s="81" t="s">
        <v>584</v>
      </c>
      <c r="J3452" s="81" t="s">
        <v>224</v>
      </c>
    </row>
    <row r="3453" hidden="1">
      <c r="A3453" s="83" t="s">
        <v>6330</v>
      </c>
      <c r="B3453" s="83" t="s">
        <v>6331</v>
      </c>
      <c r="C3453" s="81" t="s">
        <v>6333</v>
      </c>
      <c r="D3453" s="83" t="s">
        <v>4156</v>
      </c>
      <c r="E3453" s="81" t="s">
        <v>583</v>
      </c>
      <c r="F3453" s="84">
        <v>81.0</v>
      </c>
      <c r="G3453" s="81" t="s">
        <v>40</v>
      </c>
      <c r="H3453" s="81" t="s">
        <v>5239</v>
      </c>
      <c r="I3453" s="81" t="s">
        <v>224</v>
      </c>
      <c r="J3453" s="81" t="s">
        <v>5143</v>
      </c>
    </row>
    <row r="3454" hidden="1">
      <c r="A3454" s="83" t="s">
        <v>6330</v>
      </c>
      <c r="B3454" s="83" t="s">
        <v>6331</v>
      </c>
      <c r="C3454" s="81" t="s">
        <v>4621</v>
      </c>
      <c r="D3454" s="83" t="s">
        <v>4157</v>
      </c>
      <c r="E3454" s="81" t="s">
        <v>585</v>
      </c>
      <c r="F3454" s="84">
        <v>82.0</v>
      </c>
      <c r="G3454" s="81" t="s">
        <v>39</v>
      </c>
      <c r="H3454" s="81" t="s">
        <v>5240</v>
      </c>
      <c r="I3454" s="81" t="s">
        <v>588</v>
      </c>
      <c r="J3454" s="81" t="s">
        <v>224</v>
      </c>
    </row>
    <row r="3455" hidden="1">
      <c r="A3455" s="83" t="s">
        <v>6330</v>
      </c>
      <c r="B3455" s="83" t="s">
        <v>6331</v>
      </c>
      <c r="C3455" s="81" t="s">
        <v>6333</v>
      </c>
      <c r="D3455" s="83" t="s">
        <v>4157</v>
      </c>
      <c r="E3455" s="81" t="s">
        <v>585</v>
      </c>
      <c r="F3455" s="84">
        <v>82.0</v>
      </c>
      <c r="G3455" s="81" t="s">
        <v>40</v>
      </c>
      <c r="H3455" s="81" t="s">
        <v>5241</v>
      </c>
      <c r="I3455" s="81" t="s">
        <v>224</v>
      </c>
      <c r="J3455" s="81" t="s">
        <v>5143</v>
      </c>
    </row>
    <row r="3456" hidden="1">
      <c r="A3456" s="83" t="s">
        <v>6330</v>
      </c>
      <c r="B3456" s="83" t="s">
        <v>6331</v>
      </c>
      <c r="C3456" s="81" t="s">
        <v>4621</v>
      </c>
      <c r="D3456" s="83" t="s">
        <v>4158</v>
      </c>
      <c r="E3456" s="81" t="s">
        <v>589</v>
      </c>
      <c r="F3456" s="84">
        <v>83.0</v>
      </c>
      <c r="G3456" s="81" t="s">
        <v>39</v>
      </c>
      <c r="H3456" s="81" t="s">
        <v>5242</v>
      </c>
      <c r="I3456" s="81" t="s">
        <v>590</v>
      </c>
      <c r="J3456" s="81" t="s">
        <v>224</v>
      </c>
    </row>
    <row r="3457" hidden="1">
      <c r="A3457" s="83" t="s">
        <v>6330</v>
      </c>
      <c r="B3457" s="83" t="s">
        <v>6331</v>
      </c>
      <c r="C3457" s="81" t="s">
        <v>6333</v>
      </c>
      <c r="D3457" s="83" t="s">
        <v>4158</v>
      </c>
      <c r="E3457" s="81" t="s">
        <v>589</v>
      </c>
      <c r="F3457" s="84">
        <v>83.0</v>
      </c>
      <c r="G3457" s="81" t="s">
        <v>40</v>
      </c>
      <c r="H3457" s="81" t="s">
        <v>5243</v>
      </c>
      <c r="I3457" s="81" t="s">
        <v>224</v>
      </c>
      <c r="J3457" s="81" t="s">
        <v>5143</v>
      </c>
    </row>
    <row r="3458" hidden="1">
      <c r="A3458" s="83" t="s">
        <v>6330</v>
      </c>
      <c r="B3458" s="83" t="s">
        <v>6331</v>
      </c>
      <c r="C3458" s="81" t="s">
        <v>4621</v>
      </c>
      <c r="D3458" s="83" t="s">
        <v>4159</v>
      </c>
      <c r="E3458" s="81" t="s">
        <v>591</v>
      </c>
      <c r="F3458" s="84">
        <v>84.0</v>
      </c>
      <c r="G3458" s="81" t="s">
        <v>39</v>
      </c>
      <c r="H3458" s="81" t="s">
        <v>5244</v>
      </c>
      <c r="I3458" s="81" t="s">
        <v>592</v>
      </c>
      <c r="J3458" s="81" t="s">
        <v>224</v>
      </c>
    </row>
    <row r="3459" hidden="1">
      <c r="A3459" s="83" t="s">
        <v>6330</v>
      </c>
      <c r="B3459" s="83" t="s">
        <v>6331</v>
      </c>
      <c r="C3459" s="81" t="s">
        <v>6333</v>
      </c>
      <c r="D3459" s="83" t="s">
        <v>4159</v>
      </c>
      <c r="E3459" s="81" t="s">
        <v>591</v>
      </c>
      <c r="F3459" s="84">
        <v>84.0</v>
      </c>
      <c r="G3459" s="81" t="s">
        <v>40</v>
      </c>
      <c r="H3459" s="81" t="s">
        <v>5245</v>
      </c>
      <c r="I3459" s="81" t="s">
        <v>224</v>
      </c>
      <c r="J3459" s="81" t="s">
        <v>5143</v>
      </c>
    </row>
    <row r="3460" hidden="1">
      <c r="A3460" s="83" t="s">
        <v>6330</v>
      </c>
      <c r="B3460" s="83" t="s">
        <v>6331</v>
      </c>
      <c r="C3460" s="81" t="s">
        <v>4621</v>
      </c>
      <c r="D3460" s="83" t="s">
        <v>4160</v>
      </c>
      <c r="E3460" s="81" t="s">
        <v>593</v>
      </c>
      <c r="F3460" s="84">
        <v>85.0</v>
      </c>
      <c r="G3460" s="81" t="s">
        <v>39</v>
      </c>
      <c r="H3460" s="81" t="s">
        <v>5246</v>
      </c>
      <c r="I3460" s="81" t="s">
        <v>595</v>
      </c>
      <c r="J3460" s="81" t="s">
        <v>224</v>
      </c>
    </row>
    <row r="3461" hidden="1">
      <c r="A3461" s="83" t="s">
        <v>6330</v>
      </c>
      <c r="B3461" s="83" t="s">
        <v>6331</v>
      </c>
      <c r="C3461" s="81" t="s">
        <v>6333</v>
      </c>
      <c r="D3461" s="83" t="s">
        <v>4160</v>
      </c>
      <c r="E3461" s="81" t="s">
        <v>593</v>
      </c>
      <c r="F3461" s="84">
        <v>85.0</v>
      </c>
      <c r="G3461" s="81" t="s">
        <v>40</v>
      </c>
      <c r="H3461" s="81" t="s">
        <v>5247</v>
      </c>
      <c r="I3461" s="81" t="s">
        <v>224</v>
      </c>
      <c r="J3461" s="81" t="s">
        <v>5143</v>
      </c>
    </row>
    <row r="3462" hidden="1">
      <c r="A3462" s="83" t="s">
        <v>6330</v>
      </c>
      <c r="B3462" s="83" t="s">
        <v>6331</v>
      </c>
      <c r="C3462" s="81" t="s">
        <v>4621</v>
      </c>
      <c r="D3462" s="83" t="s">
        <v>4162</v>
      </c>
      <c r="E3462" s="81" t="s">
        <v>599</v>
      </c>
      <c r="F3462" s="84">
        <v>86.0</v>
      </c>
      <c r="G3462" s="81" t="s">
        <v>39</v>
      </c>
      <c r="H3462" s="81" t="s">
        <v>5248</v>
      </c>
      <c r="I3462" s="81" t="s">
        <v>602</v>
      </c>
      <c r="J3462" s="81" t="s">
        <v>224</v>
      </c>
    </row>
    <row r="3463" hidden="1">
      <c r="A3463" s="83" t="s">
        <v>6330</v>
      </c>
      <c r="B3463" s="83" t="s">
        <v>6331</v>
      </c>
      <c r="C3463" s="81" t="s">
        <v>6333</v>
      </c>
      <c r="D3463" s="83" t="s">
        <v>4162</v>
      </c>
      <c r="E3463" s="81" t="s">
        <v>599</v>
      </c>
      <c r="F3463" s="84">
        <v>86.0</v>
      </c>
      <c r="G3463" s="81" t="s">
        <v>40</v>
      </c>
      <c r="H3463" s="81" t="s">
        <v>5249</v>
      </c>
      <c r="I3463" s="81" t="s">
        <v>224</v>
      </c>
      <c r="J3463" s="81" t="s">
        <v>5143</v>
      </c>
    </row>
    <row r="3464" hidden="1">
      <c r="A3464" s="83" t="s">
        <v>6330</v>
      </c>
      <c r="B3464" s="83" t="s">
        <v>6331</v>
      </c>
      <c r="C3464" s="81" t="s">
        <v>4621</v>
      </c>
      <c r="D3464" s="83" t="s">
        <v>4162</v>
      </c>
      <c r="E3464" s="81" t="s">
        <v>604</v>
      </c>
      <c r="F3464" s="84">
        <v>87.0</v>
      </c>
      <c r="G3464" s="81" t="s">
        <v>39</v>
      </c>
      <c r="H3464" s="81" t="s">
        <v>5248</v>
      </c>
      <c r="I3464" s="81" t="s">
        <v>602</v>
      </c>
      <c r="J3464" s="81" t="s">
        <v>224</v>
      </c>
    </row>
    <row r="3465" hidden="1">
      <c r="A3465" s="83" t="s">
        <v>6330</v>
      </c>
      <c r="B3465" s="83" t="s">
        <v>6331</v>
      </c>
      <c r="C3465" s="81" t="s">
        <v>6333</v>
      </c>
      <c r="D3465" s="83" t="s">
        <v>4162</v>
      </c>
      <c r="E3465" s="81" t="s">
        <v>604</v>
      </c>
      <c r="F3465" s="84">
        <v>87.0</v>
      </c>
      <c r="G3465" s="81" t="s">
        <v>40</v>
      </c>
      <c r="H3465" s="81" t="s">
        <v>5249</v>
      </c>
      <c r="I3465" s="81" t="s">
        <v>224</v>
      </c>
      <c r="J3465" s="81" t="s">
        <v>5143</v>
      </c>
    </row>
    <row r="3466" hidden="1">
      <c r="A3466" s="83" t="s">
        <v>6330</v>
      </c>
      <c r="B3466" s="83" t="s">
        <v>6331</v>
      </c>
      <c r="C3466" s="81" t="s">
        <v>4621</v>
      </c>
      <c r="D3466" s="83" t="s">
        <v>4163</v>
      </c>
      <c r="E3466" s="81" t="s">
        <v>605</v>
      </c>
      <c r="F3466" s="84">
        <v>88.0</v>
      </c>
      <c r="G3466" s="81" t="s">
        <v>39</v>
      </c>
      <c r="H3466" s="81" t="s">
        <v>5250</v>
      </c>
      <c r="I3466" s="81" t="s">
        <v>606</v>
      </c>
      <c r="J3466" s="81" t="s">
        <v>224</v>
      </c>
    </row>
    <row r="3467" hidden="1">
      <c r="A3467" s="83" t="s">
        <v>6330</v>
      </c>
      <c r="B3467" s="83" t="s">
        <v>6331</v>
      </c>
      <c r="C3467" s="81" t="s">
        <v>6333</v>
      </c>
      <c r="D3467" s="83" t="s">
        <v>4163</v>
      </c>
      <c r="E3467" s="81" t="s">
        <v>605</v>
      </c>
      <c r="F3467" s="84">
        <v>88.0</v>
      </c>
      <c r="G3467" s="81" t="s">
        <v>40</v>
      </c>
      <c r="H3467" s="81" t="s">
        <v>5251</v>
      </c>
      <c r="I3467" s="81" t="s">
        <v>224</v>
      </c>
      <c r="J3467" s="81" t="s">
        <v>5143</v>
      </c>
    </row>
    <row r="3468" hidden="1">
      <c r="A3468" s="83" t="s">
        <v>6330</v>
      </c>
      <c r="B3468" s="83" t="s">
        <v>6331</v>
      </c>
      <c r="C3468" s="81" t="s">
        <v>4621</v>
      </c>
      <c r="D3468" s="83" t="s">
        <v>4164</v>
      </c>
      <c r="E3468" s="81" t="s">
        <v>607</v>
      </c>
      <c r="F3468" s="84">
        <v>89.0</v>
      </c>
      <c r="G3468" s="81" t="s">
        <v>39</v>
      </c>
      <c r="H3468" s="81" t="s">
        <v>5252</v>
      </c>
      <c r="I3468" s="81" t="s">
        <v>611</v>
      </c>
      <c r="J3468" s="81" t="s">
        <v>224</v>
      </c>
    </row>
    <row r="3469" hidden="1">
      <c r="A3469" s="83" t="s">
        <v>6330</v>
      </c>
      <c r="B3469" s="83" t="s">
        <v>6331</v>
      </c>
      <c r="C3469" s="81" t="s">
        <v>6333</v>
      </c>
      <c r="D3469" s="83" t="s">
        <v>4164</v>
      </c>
      <c r="E3469" s="81" t="s">
        <v>607</v>
      </c>
      <c r="F3469" s="84">
        <v>89.0</v>
      </c>
      <c r="G3469" s="81" t="s">
        <v>40</v>
      </c>
      <c r="H3469" s="81" t="s">
        <v>5253</v>
      </c>
      <c r="I3469" s="81" t="s">
        <v>224</v>
      </c>
      <c r="J3469" s="81" t="s">
        <v>5143</v>
      </c>
    </row>
    <row r="3470" hidden="1">
      <c r="A3470" s="83" t="s">
        <v>6330</v>
      </c>
      <c r="B3470" s="83" t="s">
        <v>6331</v>
      </c>
      <c r="C3470" s="81" t="s">
        <v>4621</v>
      </c>
      <c r="D3470" s="83" t="s">
        <v>4165</v>
      </c>
      <c r="E3470" s="81" t="s">
        <v>615</v>
      </c>
      <c r="F3470" s="84">
        <v>90.0</v>
      </c>
      <c r="G3470" s="81" t="s">
        <v>39</v>
      </c>
      <c r="H3470" s="81" t="s">
        <v>5254</v>
      </c>
      <c r="I3470" s="81" t="s">
        <v>616</v>
      </c>
      <c r="J3470" s="81" t="s">
        <v>224</v>
      </c>
    </row>
    <row r="3471" hidden="1">
      <c r="A3471" s="83" t="s">
        <v>6330</v>
      </c>
      <c r="B3471" s="83" t="s">
        <v>6331</v>
      </c>
      <c r="C3471" s="81" t="s">
        <v>6333</v>
      </c>
      <c r="D3471" s="83" t="s">
        <v>4165</v>
      </c>
      <c r="E3471" s="81" t="s">
        <v>615</v>
      </c>
      <c r="F3471" s="84">
        <v>90.0</v>
      </c>
      <c r="G3471" s="81" t="s">
        <v>40</v>
      </c>
      <c r="H3471" s="81" t="s">
        <v>5255</v>
      </c>
      <c r="I3471" s="81" t="s">
        <v>224</v>
      </c>
      <c r="J3471" s="81" t="s">
        <v>5143</v>
      </c>
    </row>
    <row r="3472" hidden="1">
      <c r="A3472" s="83" t="s">
        <v>6330</v>
      </c>
      <c r="B3472" s="83" t="s">
        <v>6331</v>
      </c>
      <c r="C3472" s="81" t="s">
        <v>4621</v>
      </c>
      <c r="D3472" s="83" t="s">
        <v>4166</v>
      </c>
      <c r="E3472" s="81" t="s">
        <v>617</v>
      </c>
      <c r="F3472" s="84">
        <v>91.0</v>
      </c>
      <c r="G3472" s="81" t="s">
        <v>39</v>
      </c>
      <c r="H3472" s="81" t="s">
        <v>5256</v>
      </c>
      <c r="I3472" s="81" t="s">
        <v>618</v>
      </c>
      <c r="J3472" s="81" t="s">
        <v>224</v>
      </c>
    </row>
    <row r="3473" hidden="1">
      <c r="A3473" s="83" t="s">
        <v>6330</v>
      </c>
      <c r="B3473" s="83" t="s">
        <v>6331</v>
      </c>
      <c r="C3473" s="81" t="s">
        <v>6333</v>
      </c>
      <c r="D3473" s="83" t="s">
        <v>4166</v>
      </c>
      <c r="E3473" s="81" t="s">
        <v>617</v>
      </c>
      <c r="F3473" s="84">
        <v>91.0</v>
      </c>
      <c r="G3473" s="81" t="s">
        <v>40</v>
      </c>
      <c r="H3473" s="81" t="s">
        <v>5257</v>
      </c>
      <c r="I3473" s="81" t="s">
        <v>224</v>
      </c>
      <c r="J3473" s="81" t="s">
        <v>5143</v>
      </c>
    </row>
    <row r="3474" hidden="1">
      <c r="A3474" s="83" t="s">
        <v>6330</v>
      </c>
      <c r="B3474" s="83" t="s">
        <v>6331</v>
      </c>
      <c r="C3474" s="81" t="s">
        <v>4621</v>
      </c>
      <c r="D3474" s="83" t="s">
        <v>4167</v>
      </c>
      <c r="E3474" s="81" t="s">
        <v>619</v>
      </c>
      <c r="F3474" s="84">
        <v>92.0</v>
      </c>
      <c r="G3474" s="81" t="s">
        <v>39</v>
      </c>
      <c r="H3474" s="81" t="s">
        <v>5258</v>
      </c>
      <c r="I3474" s="81" t="s">
        <v>622</v>
      </c>
      <c r="J3474" s="81" t="s">
        <v>224</v>
      </c>
    </row>
    <row r="3475" hidden="1">
      <c r="A3475" s="83" t="s">
        <v>6330</v>
      </c>
      <c r="B3475" s="83" t="s">
        <v>6331</v>
      </c>
      <c r="C3475" s="81" t="s">
        <v>6333</v>
      </c>
      <c r="D3475" s="83" t="s">
        <v>4167</v>
      </c>
      <c r="E3475" s="81" t="s">
        <v>619</v>
      </c>
      <c r="F3475" s="84">
        <v>92.0</v>
      </c>
      <c r="G3475" s="81" t="s">
        <v>40</v>
      </c>
      <c r="H3475" s="81" t="s">
        <v>5259</v>
      </c>
      <c r="I3475" s="81" t="s">
        <v>224</v>
      </c>
      <c r="J3475" s="81" t="s">
        <v>5143</v>
      </c>
    </row>
    <row r="3476" hidden="1">
      <c r="A3476" s="83" t="s">
        <v>6330</v>
      </c>
      <c r="B3476" s="83" t="s">
        <v>6331</v>
      </c>
      <c r="C3476" s="81" t="s">
        <v>4621</v>
      </c>
      <c r="D3476" s="83" t="s">
        <v>4169</v>
      </c>
      <c r="E3476" s="81" t="s">
        <v>624</v>
      </c>
      <c r="F3476" s="84">
        <v>93.0</v>
      </c>
      <c r="G3476" s="81" t="s">
        <v>39</v>
      </c>
      <c r="H3476" s="81" t="s">
        <v>5260</v>
      </c>
      <c r="I3476" s="81" t="s">
        <v>626</v>
      </c>
      <c r="J3476" s="81" t="s">
        <v>224</v>
      </c>
    </row>
    <row r="3477" hidden="1">
      <c r="A3477" s="83" t="s">
        <v>6330</v>
      </c>
      <c r="B3477" s="83" t="s">
        <v>6331</v>
      </c>
      <c r="C3477" s="81" t="s">
        <v>6333</v>
      </c>
      <c r="D3477" s="83" t="s">
        <v>4169</v>
      </c>
      <c r="E3477" s="81" t="s">
        <v>624</v>
      </c>
      <c r="F3477" s="84">
        <v>93.0</v>
      </c>
      <c r="G3477" s="81" t="s">
        <v>40</v>
      </c>
      <c r="H3477" s="81" t="s">
        <v>5261</v>
      </c>
      <c r="I3477" s="81" t="s">
        <v>224</v>
      </c>
      <c r="J3477" s="81" t="s">
        <v>5143</v>
      </c>
    </row>
    <row r="3478" hidden="1">
      <c r="A3478" s="83" t="s">
        <v>6330</v>
      </c>
      <c r="B3478" s="83" t="s">
        <v>6331</v>
      </c>
      <c r="C3478" s="81" t="s">
        <v>4621</v>
      </c>
      <c r="D3478" s="83" t="s">
        <v>4170</v>
      </c>
      <c r="E3478" s="81" t="s">
        <v>627</v>
      </c>
      <c r="F3478" s="84">
        <v>94.0</v>
      </c>
      <c r="G3478" s="81" t="s">
        <v>39</v>
      </c>
      <c r="H3478" s="81" t="s">
        <v>5262</v>
      </c>
      <c r="I3478" s="81" t="s">
        <v>628</v>
      </c>
      <c r="J3478" s="81" t="s">
        <v>224</v>
      </c>
    </row>
    <row r="3479" hidden="1">
      <c r="A3479" s="83" t="s">
        <v>6330</v>
      </c>
      <c r="B3479" s="83" t="s">
        <v>6331</v>
      </c>
      <c r="C3479" s="81" t="s">
        <v>6333</v>
      </c>
      <c r="D3479" s="83" t="s">
        <v>4170</v>
      </c>
      <c r="E3479" s="81" t="s">
        <v>627</v>
      </c>
      <c r="F3479" s="84">
        <v>94.0</v>
      </c>
      <c r="G3479" s="81" t="s">
        <v>40</v>
      </c>
      <c r="H3479" s="81" t="s">
        <v>5263</v>
      </c>
      <c r="I3479" s="81" t="s">
        <v>224</v>
      </c>
      <c r="J3479" s="81" t="s">
        <v>5143</v>
      </c>
    </row>
    <row r="3480" hidden="1">
      <c r="A3480" s="83" t="s">
        <v>6330</v>
      </c>
      <c r="B3480" s="83" t="s">
        <v>6331</v>
      </c>
      <c r="C3480" s="81" t="s">
        <v>4621</v>
      </c>
      <c r="D3480" s="83" t="s">
        <v>4171</v>
      </c>
      <c r="E3480" s="81" t="s">
        <v>629</v>
      </c>
      <c r="F3480" s="84">
        <v>95.0</v>
      </c>
      <c r="G3480" s="81" t="s">
        <v>39</v>
      </c>
      <c r="H3480" s="81" t="s">
        <v>5264</v>
      </c>
      <c r="I3480" s="81" t="s">
        <v>631</v>
      </c>
      <c r="J3480" s="81" t="s">
        <v>224</v>
      </c>
    </row>
    <row r="3481" hidden="1">
      <c r="A3481" s="83" t="s">
        <v>6330</v>
      </c>
      <c r="B3481" s="83" t="s">
        <v>6331</v>
      </c>
      <c r="C3481" s="81" t="s">
        <v>6333</v>
      </c>
      <c r="D3481" s="83" t="s">
        <v>4171</v>
      </c>
      <c r="E3481" s="81" t="s">
        <v>629</v>
      </c>
      <c r="F3481" s="84">
        <v>95.0</v>
      </c>
      <c r="G3481" s="81" t="s">
        <v>40</v>
      </c>
      <c r="H3481" s="81" t="s">
        <v>5265</v>
      </c>
      <c r="I3481" s="81" t="s">
        <v>224</v>
      </c>
      <c r="J3481" s="81" t="s">
        <v>5143</v>
      </c>
    </row>
    <row r="3482" hidden="1">
      <c r="A3482" s="83" t="s">
        <v>6330</v>
      </c>
      <c r="B3482" s="83" t="s">
        <v>6331</v>
      </c>
      <c r="C3482" s="81" t="s">
        <v>4621</v>
      </c>
      <c r="D3482" s="83" t="s">
        <v>4172</v>
      </c>
      <c r="E3482" s="81" t="s">
        <v>632</v>
      </c>
      <c r="F3482" s="84">
        <v>96.0</v>
      </c>
      <c r="G3482" s="81" t="s">
        <v>39</v>
      </c>
      <c r="H3482" s="81" t="s">
        <v>5266</v>
      </c>
      <c r="I3482" s="81" t="s">
        <v>638</v>
      </c>
      <c r="J3482" s="81" t="s">
        <v>224</v>
      </c>
    </row>
    <row r="3483" hidden="1">
      <c r="A3483" s="83" t="s">
        <v>6330</v>
      </c>
      <c r="B3483" s="83" t="s">
        <v>6331</v>
      </c>
      <c r="C3483" s="81" t="s">
        <v>6333</v>
      </c>
      <c r="D3483" s="83" t="s">
        <v>4172</v>
      </c>
      <c r="E3483" s="81" t="s">
        <v>632</v>
      </c>
      <c r="F3483" s="84">
        <v>96.0</v>
      </c>
      <c r="G3483" s="81" t="s">
        <v>40</v>
      </c>
      <c r="H3483" s="81" t="s">
        <v>5267</v>
      </c>
      <c r="I3483" s="81" t="s">
        <v>224</v>
      </c>
      <c r="J3483" s="81" t="s">
        <v>5143</v>
      </c>
    </row>
    <row r="3484" hidden="1">
      <c r="A3484" s="83" t="s">
        <v>6330</v>
      </c>
      <c r="B3484" s="83" t="s">
        <v>6331</v>
      </c>
      <c r="C3484" s="81" t="s">
        <v>4621</v>
      </c>
      <c r="D3484" s="83" t="s">
        <v>4172</v>
      </c>
      <c r="E3484" s="81" t="s">
        <v>642</v>
      </c>
      <c r="F3484" s="84">
        <v>97.0</v>
      </c>
      <c r="G3484" s="81" t="s">
        <v>39</v>
      </c>
      <c r="H3484" s="81" t="s">
        <v>5266</v>
      </c>
      <c r="I3484" s="81" t="s">
        <v>638</v>
      </c>
      <c r="J3484" s="81" t="s">
        <v>224</v>
      </c>
    </row>
    <row r="3485" hidden="1">
      <c r="A3485" s="83" t="s">
        <v>6330</v>
      </c>
      <c r="B3485" s="83" t="s">
        <v>6331</v>
      </c>
      <c r="C3485" s="81" t="s">
        <v>6333</v>
      </c>
      <c r="D3485" s="83" t="s">
        <v>4172</v>
      </c>
      <c r="E3485" s="81" t="s">
        <v>642</v>
      </c>
      <c r="F3485" s="84">
        <v>97.0</v>
      </c>
      <c r="G3485" s="81" t="s">
        <v>40</v>
      </c>
      <c r="H3485" s="81" t="s">
        <v>5267</v>
      </c>
      <c r="I3485" s="81" t="s">
        <v>224</v>
      </c>
      <c r="J3485" s="81" t="s">
        <v>5143</v>
      </c>
    </row>
    <row r="3486" hidden="1">
      <c r="A3486" s="83" t="s">
        <v>6330</v>
      </c>
      <c r="B3486" s="83" t="s">
        <v>6331</v>
      </c>
      <c r="C3486" s="81" t="s">
        <v>4621</v>
      </c>
      <c r="D3486" s="83" t="s">
        <v>4173</v>
      </c>
      <c r="E3486" s="81" t="s">
        <v>644</v>
      </c>
      <c r="F3486" s="84">
        <v>98.0</v>
      </c>
      <c r="G3486" s="81" t="s">
        <v>39</v>
      </c>
      <c r="H3486" s="81" t="s">
        <v>5268</v>
      </c>
      <c r="I3486" s="81" t="s">
        <v>645</v>
      </c>
      <c r="J3486" s="81" t="s">
        <v>224</v>
      </c>
    </row>
    <row r="3487" hidden="1">
      <c r="A3487" s="83" t="s">
        <v>6330</v>
      </c>
      <c r="B3487" s="83" t="s">
        <v>6331</v>
      </c>
      <c r="C3487" s="81" t="s">
        <v>6333</v>
      </c>
      <c r="D3487" s="83" t="s">
        <v>4173</v>
      </c>
      <c r="E3487" s="81" t="s">
        <v>644</v>
      </c>
      <c r="F3487" s="84">
        <v>98.0</v>
      </c>
      <c r="G3487" s="81" t="s">
        <v>40</v>
      </c>
      <c r="H3487" s="81" t="s">
        <v>5269</v>
      </c>
      <c r="I3487" s="81" t="s">
        <v>224</v>
      </c>
      <c r="J3487" s="81" t="s">
        <v>5143</v>
      </c>
    </row>
    <row r="3488" hidden="1">
      <c r="A3488" s="83" t="s">
        <v>6330</v>
      </c>
      <c r="B3488" s="83" t="s">
        <v>6331</v>
      </c>
      <c r="C3488" s="81" t="s">
        <v>4621</v>
      </c>
      <c r="D3488" s="83" t="s">
        <v>4174</v>
      </c>
      <c r="E3488" s="81" t="s">
        <v>646</v>
      </c>
      <c r="F3488" s="84">
        <v>99.0</v>
      </c>
      <c r="G3488" s="81" t="s">
        <v>39</v>
      </c>
      <c r="H3488" s="81" t="s">
        <v>5270</v>
      </c>
      <c r="I3488" s="81" t="s">
        <v>651</v>
      </c>
      <c r="J3488" s="81" t="s">
        <v>224</v>
      </c>
    </row>
    <row r="3489" hidden="1">
      <c r="A3489" s="83" t="s">
        <v>6330</v>
      </c>
      <c r="B3489" s="83" t="s">
        <v>6331</v>
      </c>
      <c r="C3489" s="81" t="s">
        <v>6333</v>
      </c>
      <c r="D3489" s="83" t="s">
        <v>4174</v>
      </c>
      <c r="E3489" s="81" t="s">
        <v>646</v>
      </c>
      <c r="F3489" s="84">
        <v>99.0</v>
      </c>
      <c r="G3489" s="81" t="s">
        <v>40</v>
      </c>
      <c r="H3489" s="81" t="s">
        <v>5271</v>
      </c>
      <c r="I3489" s="81" t="s">
        <v>224</v>
      </c>
      <c r="J3489" s="81" t="s">
        <v>5143</v>
      </c>
    </row>
    <row r="3490" hidden="1">
      <c r="A3490" s="83" t="s">
        <v>6330</v>
      </c>
      <c r="B3490" s="83" t="s">
        <v>6331</v>
      </c>
      <c r="C3490" s="81" t="s">
        <v>4621</v>
      </c>
      <c r="D3490" s="83" t="s">
        <v>4176</v>
      </c>
      <c r="E3490" s="81" t="s">
        <v>653</v>
      </c>
      <c r="F3490" s="84">
        <v>100.0</v>
      </c>
      <c r="G3490" s="81" t="s">
        <v>39</v>
      </c>
      <c r="H3490" s="81" t="s">
        <v>5272</v>
      </c>
      <c r="I3490" s="81" t="s">
        <v>654</v>
      </c>
      <c r="J3490" s="81" t="s">
        <v>224</v>
      </c>
    </row>
    <row r="3491" hidden="1">
      <c r="A3491" s="83" t="s">
        <v>6330</v>
      </c>
      <c r="B3491" s="83" t="s">
        <v>6331</v>
      </c>
      <c r="C3491" s="81" t="s">
        <v>6333</v>
      </c>
      <c r="D3491" s="83" t="s">
        <v>4176</v>
      </c>
      <c r="E3491" s="81" t="s">
        <v>653</v>
      </c>
      <c r="F3491" s="84">
        <v>100.0</v>
      </c>
      <c r="G3491" s="81" t="s">
        <v>40</v>
      </c>
      <c r="H3491" s="81" t="s">
        <v>5273</v>
      </c>
      <c r="I3491" s="81" t="s">
        <v>224</v>
      </c>
      <c r="J3491" s="81" t="s">
        <v>5143</v>
      </c>
    </row>
    <row r="3492" hidden="1">
      <c r="A3492" s="83" t="s">
        <v>6330</v>
      </c>
      <c r="B3492" s="83" t="s">
        <v>6331</v>
      </c>
      <c r="C3492" s="81" t="s">
        <v>4621</v>
      </c>
      <c r="D3492" s="83" t="s">
        <v>4177</v>
      </c>
      <c r="E3492" s="81" t="s">
        <v>655</v>
      </c>
      <c r="F3492" s="84">
        <v>101.0</v>
      </c>
      <c r="G3492" s="81" t="s">
        <v>39</v>
      </c>
      <c r="H3492" s="81" t="s">
        <v>5274</v>
      </c>
      <c r="I3492" s="81" t="s">
        <v>658</v>
      </c>
      <c r="J3492" s="81" t="s">
        <v>224</v>
      </c>
    </row>
    <row r="3493" hidden="1">
      <c r="A3493" s="83" t="s">
        <v>6330</v>
      </c>
      <c r="B3493" s="83" t="s">
        <v>6331</v>
      </c>
      <c r="C3493" s="81" t="s">
        <v>6333</v>
      </c>
      <c r="D3493" s="83" t="s">
        <v>4177</v>
      </c>
      <c r="E3493" s="81" t="s">
        <v>655</v>
      </c>
      <c r="F3493" s="84">
        <v>101.0</v>
      </c>
      <c r="G3493" s="81" t="s">
        <v>40</v>
      </c>
      <c r="H3493" s="81" t="s">
        <v>5275</v>
      </c>
      <c r="I3493" s="81" t="s">
        <v>224</v>
      </c>
      <c r="J3493" s="81" t="s">
        <v>5143</v>
      </c>
    </row>
    <row r="3494" hidden="1">
      <c r="A3494" s="83" t="s">
        <v>6330</v>
      </c>
      <c r="B3494" s="83" t="s">
        <v>6331</v>
      </c>
      <c r="C3494" s="81" t="s">
        <v>4621</v>
      </c>
      <c r="D3494" s="83" t="s">
        <v>4177</v>
      </c>
      <c r="E3494" s="81" t="s">
        <v>660</v>
      </c>
      <c r="F3494" s="84">
        <v>102.0</v>
      </c>
      <c r="G3494" s="81" t="s">
        <v>39</v>
      </c>
      <c r="H3494" s="81" t="s">
        <v>5274</v>
      </c>
      <c r="I3494" s="81" t="s">
        <v>658</v>
      </c>
      <c r="J3494" s="81" t="s">
        <v>224</v>
      </c>
    </row>
    <row r="3495" hidden="1">
      <c r="A3495" s="83" t="s">
        <v>6330</v>
      </c>
      <c r="B3495" s="83" t="s">
        <v>6331</v>
      </c>
      <c r="C3495" s="81" t="s">
        <v>6333</v>
      </c>
      <c r="D3495" s="83" t="s">
        <v>4177</v>
      </c>
      <c r="E3495" s="81" t="s">
        <v>660</v>
      </c>
      <c r="F3495" s="84">
        <v>102.0</v>
      </c>
      <c r="G3495" s="81" t="s">
        <v>40</v>
      </c>
      <c r="H3495" s="81" t="s">
        <v>5275</v>
      </c>
      <c r="I3495" s="81" t="s">
        <v>224</v>
      </c>
      <c r="J3495" s="81" t="s">
        <v>5143</v>
      </c>
    </row>
    <row r="3496" hidden="1">
      <c r="A3496" s="83" t="s">
        <v>6330</v>
      </c>
      <c r="B3496" s="83" t="s">
        <v>6331</v>
      </c>
      <c r="C3496" s="81" t="s">
        <v>4621</v>
      </c>
      <c r="D3496" s="83" t="s">
        <v>4178</v>
      </c>
      <c r="E3496" s="81" t="s">
        <v>661</v>
      </c>
      <c r="F3496" s="84">
        <v>103.0</v>
      </c>
      <c r="G3496" s="81" t="s">
        <v>39</v>
      </c>
      <c r="H3496" s="81" t="s">
        <v>5276</v>
      </c>
      <c r="I3496" s="81" t="s">
        <v>662</v>
      </c>
      <c r="J3496" s="81" t="s">
        <v>224</v>
      </c>
    </row>
    <row r="3497" hidden="1">
      <c r="A3497" s="83" t="s">
        <v>6330</v>
      </c>
      <c r="B3497" s="83" t="s">
        <v>6331</v>
      </c>
      <c r="C3497" s="81" t="s">
        <v>6333</v>
      </c>
      <c r="D3497" s="83" t="s">
        <v>4178</v>
      </c>
      <c r="E3497" s="81" t="s">
        <v>661</v>
      </c>
      <c r="F3497" s="84">
        <v>103.0</v>
      </c>
      <c r="G3497" s="81" t="s">
        <v>40</v>
      </c>
      <c r="H3497" s="81" t="s">
        <v>5277</v>
      </c>
      <c r="I3497" s="81" t="s">
        <v>224</v>
      </c>
      <c r="J3497" s="81" t="s">
        <v>5143</v>
      </c>
    </row>
    <row r="3498" hidden="1">
      <c r="A3498" s="83" t="s">
        <v>6330</v>
      </c>
      <c r="B3498" s="83" t="s">
        <v>6331</v>
      </c>
      <c r="C3498" s="81" t="s">
        <v>4621</v>
      </c>
      <c r="D3498" s="83" t="s">
        <v>4179</v>
      </c>
      <c r="E3498" s="81" t="s">
        <v>663</v>
      </c>
      <c r="F3498" s="84">
        <v>104.0</v>
      </c>
      <c r="G3498" s="81" t="s">
        <v>39</v>
      </c>
      <c r="H3498" s="81" t="s">
        <v>5278</v>
      </c>
      <c r="I3498" s="81" t="s">
        <v>664</v>
      </c>
      <c r="J3498" s="81" t="s">
        <v>224</v>
      </c>
    </row>
    <row r="3499" hidden="1">
      <c r="A3499" s="83" t="s">
        <v>6330</v>
      </c>
      <c r="B3499" s="83" t="s">
        <v>6331</v>
      </c>
      <c r="C3499" s="81" t="s">
        <v>4621</v>
      </c>
      <c r="D3499" s="83" t="s">
        <v>4179</v>
      </c>
      <c r="E3499" s="81" t="s">
        <v>663</v>
      </c>
      <c r="F3499" s="84">
        <v>104.0</v>
      </c>
      <c r="G3499" s="81" t="s">
        <v>40</v>
      </c>
      <c r="H3499" s="81" t="s">
        <v>5279</v>
      </c>
      <c r="I3499" s="81" t="s">
        <v>665</v>
      </c>
      <c r="J3499" s="81" t="s">
        <v>224</v>
      </c>
    </row>
    <row r="3500" hidden="1">
      <c r="A3500" s="83" t="s">
        <v>6330</v>
      </c>
      <c r="B3500" s="83" t="s">
        <v>6331</v>
      </c>
      <c r="C3500" s="81" t="s">
        <v>4621</v>
      </c>
      <c r="D3500" s="83" t="s">
        <v>4180</v>
      </c>
      <c r="E3500" s="81" t="s">
        <v>666</v>
      </c>
      <c r="F3500" s="84">
        <v>105.0</v>
      </c>
      <c r="G3500" s="81" t="s">
        <v>39</v>
      </c>
      <c r="H3500" s="81" t="s">
        <v>5280</v>
      </c>
      <c r="I3500" s="81" t="s">
        <v>670</v>
      </c>
      <c r="J3500" s="81" t="s">
        <v>224</v>
      </c>
    </row>
    <row r="3501" hidden="1">
      <c r="A3501" s="83" t="s">
        <v>6330</v>
      </c>
      <c r="B3501" s="83" t="s">
        <v>6331</v>
      </c>
      <c r="C3501" s="81" t="s">
        <v>6333</v>
      </c>
      <c r="D3501" s="83" t="s">
        <v>4180</v>
      </c>
      <c r="E3501" s="81" t="s">
        <v>666</v>
      </c>
      <c r="F3501" s="84">
        <v>105.0</v>
      </c>
      <c r="G3501" s="81" t="s">
        <v>40</v>
      </c>
      <c r="H3501" s="81" t="s">
        <v>5281</v>
      </c>
      <c r="I3501" s="81" t="s">
        <v>224</v>
      </c>
      <c r="J3501" s="81" t="s">
        <v>5143</v>
      </c>
    </row>
    <row r="3502" hidden="1">
      <c r="A3502" s="83" t="s">
        <v>6330</v>
      </c>
      <c r="B3502" s="83" t="s">
        <v>6331</v>
      </c>
      <c r="C3502" s="81" t="s">
        <v>4621</v>
      </c>
      <c r="D3502" s="83" t="s">
        <v>4181</v>
      </c>
      <c r="E3502" s="81" t="s">
        <v>671</v>
      </c>
      <c r="F3502" s="84">
        <v>106.0</v>
      </c>
      <c r="G3502" s="81" t="s">
        <v>39</v>
      </c>
      <c r="H3502" s="81" t="s">
        <v>5282</v>
      </c>
      <c r="I3502" s="81" t="s">
        <v>672</v>
      </c>
      <c r="J3502" s="81" t="s">
        <v>224</v>
      </c>
    </row>
    <row r="3503" hidden="1">
      <c r="A3503" s="83" t="s">
        <v>6330</v>
      </c>
      <c r="B3503" s="83" t="s">
        <v>6331</v>
      </c>
      <c r="C3503" s="81" t="s">
        <v>6333</v>
      </c>
      <c r="D3503" s="83" t="s">
        <v>4181</v>
      </c>
      <c r="E3503" s="81" t="s">
        <v>671</v>
      </c>
      <c r="F3503" s="84">
        <v>106.0</v>
      </c>
      <c r="G3503" s="81" t="s">
        <v>40</v>
      </c>
      <c r="H3503" s="81" t="s">
        <v>5283</v>
      </c>
      <c r="I3503" s="81" t="s">
        <v>224</v>
      </c>
      <c r="J3503" s="81" t="s">
        <v>5143</v>
      </c>
    </row>
    <row r="3504" hidden="1">
      <c r="A3504" s="83" t="s">
        <v>6330</v>
      </c>
      <c r="B3504" s="83" t="s">
        <v>6331</v>
      </c>
      <c r="C3504" s="81" t="s">
        <v>4621</v>
      </c>
      <c r="D3504" s="83" t="s">
        <v>4182</v>
      </c>
      <c r="E3504" s="81" t="s">
        <v>673</v>
      </c>
      <c r="F3504" s="84">
        <v>107.0</v>
      </c>
      <c r="G3504" s="81" t="s">
        <v>39</v>
      </c>
      <c r="H3504" s="81" t="s">
        <v>5284</v>
      </c>
      <c r="I3504" s="81" t="s">
        <v>674</v>
      </c>
      <c r="J3504" s="81" t="s">
        <v>224</v>
      </c>
    </row>
    <row r="3505" hidden="1">
      <c r="A3505" s="83" t="s">
        <v>6330</v>
      </c>
      <c r="B3505" s="83" t="s">
        <v>6331</v>
      </c>
      <c r="C3505" s="81" t="s">
        <v>6333</v>
      </c>
      <c r="D3505" s="83" t="s">
        <v>4182</v>
      </c>
      <c r="E3505" s="81" t="s">
        <v>673</v>
      </c>
      <c r="F3505" s="84">
        <v>107.0</v>
      </c>
      <c r="G3505" s="81" t="s">
        <v>40</v>
      </c>
      <c r="H3505" s="81" t="s">
        <v>5285</v>
      </c>
      <c r="I3505" s="81" t="s">
        <v>224</v>
      </c>
      <c r="J3505" s="81" t="s">
        <v>5143</v>
      </c>
    </row>
    <row r="3506" hidden="1">
      <c r="A3506" s="83" t="s">
        <v>6330</v>
      </c>
      <c r="B3506" s="83" t="s">
        <v>6331</v>
      </c>
      <c r="C3506" s="81" t="s">
        <v>4621</v>
      </c>
      <c r="D3506" s="83" t="s">
        <v>4183</v>
      </c>
      <c r="E3506" s="81" t="s">
        <v>675</v>
      </c>
      <c r="F3506" s="84">
        <v>108.0</v>
      </c>
      <c r="G3506" s="81" t="s">
        <v>39</v>
      </c>
      <c r="H3506" s="81" t="s">
        <v>5286</v>
      </c>
      <c r="I3506" s="81" t="s">
        <v>679</v>
      </c>
      <c r="J3506" s="81" t="s">
        <v>224</v>
      </c>
    </row>
    <row r="3507" hidden="1">
      <c r="A3507" s="83" t="s">
        <v>6330</v>
      </c>
      <c r="B3507" s="83" t="s">
        <v>6331</v>
      </c>
      <c r="C3507" s="81" t="s">
        <v>6333</v>
      </c>
      <c r="D3507" s="83" t="s">
        <v>4183</v>
      </c>
      <c r="E3507" s="81" t="s">
        <v>675</v>
      </c>
      <c r="F3507" s="84">
        <v>108.0</v>
      </c>
      <c r="G3507" s="81" t="s">
        <v>40</v>
      </c>
      <c r="H3507" s="81" t="s">
        <v>5287</v>
      </c>
      <c r="I3507" s="81" t="s">
        <v>224</v>
      </c>
      <c r="J3507" s="81" t="s">
        <v>5143</v>
      </c>
    </row>
    <row r="3508" hidden="1">
      <c r="A3508" s="83" t="s">
        <v>6330</v>
      </c>
      <c r="B3508" s="83" t="s">
        <v>6331</v>
      </c>
      <c r="C3508" s="81" t="s">
        <v>4621</v>
      </c>
      <c r="D3508" s="83" t="s">
        <v>4183</v>
      </c>
      <c r="E3508" s="81" t="s">
        <v>681</v>
      </c>
      <c r="F3508" s="84">
        <v>109.0</v>
      </c>
      <c r="G3508" s="81" t="s">
        <v>39</v>
      </c>
      <c r="H3508" s="81" t="s">
        <v>5286</v>
      </c>
      <c r="I3508" s="81" t="s">
        <v>679</v>
      </c>
      <c r="J3508" s="81" t="s">
        <v>224</v>
      </c>
    </row>
    <row r="3509" hidden="1">
      <c r="A3509" s="83" t="s">
        <v>6330</v>
      </c>
      <c r="B3509" s="83" t="s">
        <v>6331</v>
      </c>
      <c r="C3509" s="81" t="s">
        <v>6333</v>
      </c>
      <c r="D3509" s="83" t="s">
        <v>4183</v>
      </c>
      <c r="E3509" s="81" t="s">
        <v>681</v>
      </c>
      <c r="F3509" s="84">
        <v>109.0</v>
      </c>
      <c r="G3509" s="81" t="s">
        <v>40</v>
      </c>
      <c r="H3509" s="81" t="s">
        <v>5287</v>
      </c>
      <c r="I3509" s="81" t="s">
        <v>224</v>
      </c>
      <c r="J3509" s="81" t="s">
        <v>5143</v>
      </c>
    </row>
    <row r="3510" hidden="1">
      <c r="A3510" s="83" t="s">
        <v>6330</v>
      </c>
      <c r="B3510" s="83" t="s">
        <v>6331</v>
      </c>
      <c r="C3510" s="81" t="s">
        <v>4621</v>
      </c>
      <c r="D3510" s="83" t="s">
        <v>4184</v>
      </c>
      <c r="E3510" s="81" t="s">
        <v>683</v>
      </c>
      <c r="F3510" s="84">
        <v>110.0</v>
      </c>
      <c r="G3510" s="81" t="s">
        <v>39</v>
      </c>
      <c r="H3510" s="81" t="s">
        <v>5288</v>
      </c>
      <c r="I3510" s="81" t="s">
        <v>684</v>
      </c>
      <c r="J3510" s="81" t="s">
        <v>224</v>
      </c>
    </row>
    <row r="3511" hidden="1">
      <c r="A3511" s="83" t="s">
        <v>6330</v>
      </c>
      <c r="B3511" s="83" t="s">
        <v>6331</v>
      </c>
      <c r="C3511" s="81" t="s">
        <v>6333</v>
      </c>
      <c r="D3511" s="83" t="s">
        <v>4184</v>
      </c>
      <c r="E3511" s="81" t="s">
        <v>683</v>
      </c>
      <c r="F3511" s="84">
        <v>110.0</v>
      </c>
      <c r="G3511" s="81" t="s">
        <v>40</v>
      </c>
      <c r="H3511" s="81" t="s">
        <v>5289</v>
      </c>
      <c r="I3511" s="81" t="s">
        <v>224</v>
      </c>
      <c r="J3511" s="81" t="s">
        <v>5143</v>
      </c>
    </row>
    <row r="3512" hidden="1">
      <c r="A3512" s="83" t="s">
        <v>6330</v>
      </c>
      <c r="B3512" s="83" t="s">
        <v>6331</v>
      </c>
      <c r="C3512" s="81" t="s">
        <v>4621</v>
      </c>
      <c r="D3512" s="83" t="s">
        <v>4185</v>
      </c>
      <c r="E3512" s="81" t="s">
        <v>685</v>
      </c>
      <c r="F3512" s="84">
        <v>111.0</v>
      </c>
      <c r="G3512" s="81" t="s">
        <v>39</v>
      </c>
      <c r="H3512" s="81" t="s">
        <v>5290</v>
      </c>
      <c r="I3512" s="81" t="s">
        <v>688</v>
      </c>
      <c r="J3512" s="81" t="s">
        <v>224</v>
      </c>
    </row>
    <row r="3513" hidden="1">
      <c r="A3513" s="83" t="s">
        <v>6330</v>
      </c>
      <c r="B3513" s="83" t="s">
        <v>6331</v>
      </c>
      <c r="C3513" s="81" t="s">
        <v>6333</v>
      </c>
      <c r="D3513" s="83" t="s">
        <v>4185</v>
      </c>
      <c r="E3513" s="81" t="s">
        <v>685</v>
      </c>
      <c r="F3513" s="84">
        <v>111.0</v>
      </c>
      <c r="G3513" s="81" t="s">
        <v>40</v>
      </c>
      <c r="H3513" s="81" t="s">
        <v>5291</v>
      </c>
      <c r="I3513" s="81" t="s">
        <v>224</v>
      </c>
      <c r="J3513" s="81" t="s">
        <v>5143</v>
      </c>
    </row>
    <row r="3514" hidden="1">
      <c r="A3514" s="83" t="s">
        <v>6330</v>
      </c>
      <c r="B3514" s="83" t="s">
        <v>6331</v>
      </c>
      <c r="C3514" s="81" t="s">
        <v>4621</v>
      </c>
      <c r="D3514" s="83" t="s">
        <v>4185</v>
      </c>
      <c r="E3514" s="81" t="s">
        <v>690</v>
      </c>
      <c r="F3514" s="84">
        <v>112.0</v>
      </c>
      <c r="G3514" s="81" t="s">
        <v>39</v>
      </c>
      <c r="H3514" s="81" t="s">
        <v>5290</v>
      </c>
      <c r="I3514" s="81" t="s">
        <v>688</v>
      </c>
      <c r="J3514" s="81" t="s">
        <v>224</v>
      </c>
    </row>
    <row r="3515" hidden="1">
      <c r="A3515" s="83" t="s">
        <v>6330</v>
      </c>
      <c r="B3515" s="83" t="s">
        <v>6331</v>
      </c>
      <c r="C3515" s="81" t="s">
        <v>6333</v>
      </c>
      <c r="D3515" s="83" t="s">
        <v>4185</v>
      </c>
      <c r="E3515" s="81" t="s">
        <v>690</v>
      </c>
      <c r="F3515" s="84">
        <v>112.0</v>
      </c>
      <c r="G3515" s="81" t="s">
        <v>40</v>
      </c>
      <c r="H3515" s="81" t="s">
        <v>5291</v>
      </c>
      <c r="I3515" s="81" t="s">
        <v>224</v>
      </c>
      <c r="J3515" s="81" t="s">
        <v>5143</v>
      </c>
    </row>
    <row r="3516" hidden="1">
      <c r="A3516" s="83" t="s">
        <v>6330</v>
      </c>
      <c r="B3516" s="83" t="s">
        <v>6331</v>
      </c>
      <c r="C3516" s="81" t="s">
        <v>4621</v>
      </c>
      <c r="D3516" s="83" t="s">
        <v>4186</v>
      </c>
      <c r="E3516" s="81" t="s">
        <v>691</v>
      </c>
      <c r="F3516" s="84">
        <v>113.0</v>
      </c>
      <c r="G3516" s="81" t="s">
        <v>39</v>
      </c>
      <c r="H3516" s="81" t="s">
        <v>5292</v>
      </c>
      <c r="I3516" s="81" t="s">
        <v>692</v>
      </c>
      <c r="J3516" s="81" t="s">
        <v>224</v>
      </c>
    </row>
    <row r="3517" hidden="1">
      <c r="A3517" s="83" t="s">
        <v>6330</v>
      </c>
      <c r="B3517" s="83" t="s">
        <v>6331</v>
      </c>
      <c r="C3517" s="81" t="s">
        <v>6333</v>
      </c>
      <c r="D3517" s="83" t="s">
        <v>4186</v>
      </c>
      <c r="E3517" s="81" t="s">
        <v>691</v>
      </c>
      <c r="F3517" s="84">
        <v>113.0</v>
      </c>
      <c r="G3517" s="81" t="s">
        <v>40</v>
      </c>
      <c r="H3517" s="81" t="s">
        <v>5293</v>
      </c>
      <c r="I3517" s="81" t="s">
        <v>224</v>
      </c>
      <c r="J3517" s="81" t="s">
        <v>5143</v>
      </c>
    </row>
    <row r="3518" hidden="1">
      <c r="A3518" s="83" t="s">
        <v>6330</v>
      </c>
      <c r="B3518" s="83" t="s">
        <v>6331</v>
      </c>
      <c r="C3518" s="81" t="s">
        <v>4621</v>
      </c>
      <c r="D3518" s="83" t="s">
        <v>4187</v>
      </c>
      <c r="E3518" s="81" t="s">
        <v>693</v>
      </c>
      <c r="F3518" s="84">
        <v>114.0</v>
      </c>
      <c r="G3518" s="81" t="s">
        <v>39</v>
      </c>
      <c r="H3518" s="81" t="s">
        <v>5294</v>
      </c>
      <c r="I3518" s="81" t="s">
        <v>696</v>
      </c>
      <c r="J3518" s="81" t="s">
        <v>224</v>
      </c>
    </row>
    <row r="3519" hidden="1">
      <c r="A3519" s="83" t="s">
        <v>6330</v>
      </c>
      <c r="B3519" s="83" t="s">
        <v>6331</v>
      </c>
      <c r="C3519" s="81" t="s">
        <v>6333</v>
      </c>
      <c r="D3519" s="83" t="s">
        <v>4187</v>
      </c>
      <c r="E3519" s="81" t="s">
        <v>693</v>
      </c>
      <c r="F3519" s="84">
        <v>114.0</v>
      </c>
      <c r="G3519" s="81" t="s">
        <v>40</v>
      </c>
      <c r="H3519" s="81" t="s">
        <v>5295</v>
      </c>
      <c r="I3519" s="81" t="s">
        <v>224</v>
      </c>
      <c r="J3519" s="81" t="s">
        <v>5143</v>
      </c>
    </row>
    <row r="3520" hidden="1">
      <c r="A3520" s="83" t="s">
        <v>6330</v>
      </c>
      <c r="B3520" s="83" t="s">
        <v>6331</v>
      </c>
      <c r="C3520" s="81" t="s">
        <v>4621</v>
      </c>
      <c r="D3520" s="83" t="s">
        <v>4187</v>
      </c>
      <c r="E3520" s="81" t="s">
        <v>700</v>
      </c>
      <c r="F3520" s="84">
        <v>115.0</v>
      </c>
      <c r="G3520" s="81" t="s">
        <v>39</v>
      </c>
      <c r="H3520" s="81" t="s">
        <v>5294</v>
      </c>
      <c r="I3520" s="81" t="s">
        <v>696</v>
      </c>
      <c r="J3520" s="81" t="s">
        <v>224</v>
      </c>
    </row>
    <row r="3521" hidden="1">
      <c r="A3521" s="83" t="s">
        <v>6330</v>
      </c>
      <c r="B3521" s="83" t="s">
        <v>6331</v>
      </c>
      <c r="C3521" s="81" t="s">
        <v>6333</v>
      </c>
      <c r="D3521" s="83" t="s">
        <v>4187</v>
      </c>
      <c r="E3521" s="81" t="s">
        <v>700</v>
      </c>
      <c r="F3521" s="84">
        <v>115.0</v>
      </c>
      <c r="G3521" s="81" t="s">
        <v>40</v>
      </c>
      <c r="H3521" s="81" t="s">
        <v>5295</v>
      </c>
      <c r="I3521" s="81" t="s">
        <v>224</v>
      </c>
      <c r="J3521" s="81" t="s">
        <v>5143</v>
      </c>
    </row>
    <row r="3522" hidden="1">
      <c r="A3522" s="83" t="s">
        <v>6330</v>
      </c>
      <c r="B3522" s="83" t="s">
        <v>6331</v>
      </c>
      <c r="C3522" s="81" t="s">
        <v>4621</v>
      </c>
      <c r="D3522" s="83" t="s">
        <v>4188</v>
      </c>
      <c r="E3522" s="81" t="s">
        <v>701</v>
      </c>
      <c r="F3522" s="84">
        <v>116.0</v>
      </c>
      <c r="G3522" s="81" t="s">
        <v>39</v>
      </c>
      <c r="H3522" s="81" t="s">
        <v>5296</v>
      </c>
      <c r="I3522" s="81" t="s">
        <v>702</v>
      </c>
      <c r="J3522" s="81" t="s">
        <v>224</v>
      </c>
    </row>
    <row r="3523" hidden="1">
      <c r="A3523" s="83" t="s">
        <v>6330</v>
      </c>
      <c r="B3523" s="83" t="s">
        <v>6331</v>
      </c>
      <c r="C3523" s="81" t="s">
        <v>6333</v>
      </c>
      <c r="D3523" s="83" t="s">
        <v>4188</v>
      </c>
      <c r="E3523" s="81" t="s">
        <v>701</v>
      </c>
      <c r="F3523" s="84">
        <v>116.0</v>
      </c>
      <c r="G3523" s="81" t="s">
        <v>40</v>
      </c>
      <c r="H3523" s="81" t="s">
        <v>5297</v>
      </c>
      <c r="I3523" s="81" t="s">
        <v>224</v>
      </c>
      <c r="J3523" s="81" t="s">
        <v>5143</v>
      </c>
    </row>
    <row r="3524" hidden="1">
      <c r="A3524" s="83" t="s">
        <v>6330</v>
      </c>
      <c r="B3524" s="83" t="s">
        <v>6331</v>
      </c>
      <c r="C3524" s="81" t="s">
        <v>4621</v>
      </c>
      <c r="D3524" s="83" t="s">
        <v>4189</v>
      </c>
      <c r="E3524" s="81" t="s">
        <v>703</v>
      </c>
      <c r="F3524" s="84">
        <v>117.0</v>
      </c>
      <c r="G3524" s="81" t="s">
        <v>39</v>
      </c>
      <c r="H3524" s="81" t="s">
        <v>5298</v>
      </c>
      <c r="I3524" s="81" t="s">
        <v>708</v>
      </c>
      <c r="J3524" s="81" t="s">
        <v>224</v>
      </c>
    </row>
    <row r="3525" hidden="1">
      <c r="A3525" s="83" t="s">
        <v>6330</v>
      </c>
      <c r="B3525" s="83" t="s">
        <v>6331</v>
      </c>
      <c r="C3525" s="81" t="s">
        <v>6333</v>
      </c>
      <c r="D3525" s="83" t="s">
        <v>4189</v>
      </c>
      <c r="E3525" s="81" t="s">
        <v>703</v>
      </c>
      <c r="F3525" s="84">
        <v>117.0</v>
      </c>
      <c r="G3525" s="81" t="s">
        <v>40</v>
      </c>
      <c r="H3525" s="81" t="s">
        <v>5299</v>
      </c>
      <c r="I3525" s="81" t="s">
        <v>224</v>
      </c>
      <c r="J3525" s="81" t="s">
        <v>5143</v>
      </c>
    </row>
    <row r="3526" hidden="1">
      <c r="A3526" s="83" t="s">
        <v>6330</v>
      </c>
      <c r="B3526" s="83" t="s">
        <v>6331</v>
      </c>
      <c r="C3526" s="81" t="s">
        <v>4621</v>
      </c>
      <c r="D3526" s="83" t="s">
        <v>4191</v>
      </c>
      <c r="E3526" s="81" t="s">
        <v>710</v>
      </c>
      <c r="F3526" s="84">
        <v>118.0</v>
      </c>
      <c r="G3526" s="81" t="s">
        <v>39</v>
      </c>
      <c r="H3526" s="81" t="s">
        <v>5300</v>
      </c>
      <c r="I3526" s="81" t="s">
        <v>714</v>
      </c>
      <c r="J3526" s="81" t="s">
        <v>224</v>
      </c>
    </row>
    <row r="3527" hidden="1">
      <c r="A3527" s="83" t="s">
        <v>6330</v>
      </c>
      <c r="B3527" s="83" t="s">
        <v>6331</v>
      </c>
      <c r="C3527" s="81" t="s">
        <v>6333</v>
      </c>
      <c r="D3527" s="83" t="s">
        <v>4191</v>
      </c>
      <c r="E3527" s="81" t="s">
        <v>710</v>
      </c>
      <c r="F3527" s="84">
        <v>118.0</v>
      </c>
      <c r="G3527" s="81" t="s">
        <v>40</v>
      </c>
      <c r="H3527" s="81" t="s">
        <v>5301</v>
      </c>
      <c r="I3527" s="81" t="s">
        <v>224</v>
      </c>
      <c r="J3527" s="81" t="s">
        <v>5143</v>
      </c>
    </row>
    <row r="3528" hidden="1">
      <c r="A3528" s="83" t="s">
        <v>6330</v>
      </c>
      <c r="B3528" s="83" t="s">
        <v>6331</v>
      </c>
      <c r="C3528" s="81" t="s">
        <v>4621</v>
      </c>
      <c r="D3528" s="83" t="s">
        <v>4193</v>
      </c>
      <c r="E3528" s="81" t="s">
        <v>716</v>
      </c>
      <c r="F3528" s="84">
        <v>119.0</v>
      </c>
      <c r="G3528" s="81" t="s">
        <v>40</v>
      </c>
      <c r="H3528" s="81" t="s">
        <v>5302</v>
      </c>
      <c r="I3528" s="81" t="s">
        <v>723</v>
      </c>
      <c r="J3528" s="81" t="s">
        <v>224</v>
      </c>
    </row>
    <row r="3529" hidden="1">
      <c r="A3529" s="83" t="s">
        <v>6330</v>
      </c>
      <c r="B3529" s="83" t="s">
        <v>6331</v>
      </c>
      <c r="C3529" s="81" t="s">
        <v>4621</v>
      </c>
      <c r="D3529" s="83" t="s">
        <v>4193</v>
      </c>
      <c r="E3529" s="81" t="s">
        <v>727</v>
      </c>
      <c r="F3529" s="84">
        <v>120.0</v>
      </c>
      <c r="G3529" s="81" t="s">
        <v>39</v>
      </c>
      <c r="H3529" s="81" t="s">
        <v>5303</v>
      </c>
      <c r="I3529" s="81" t="s">
        <v>722</v>
      </c>
      <c r="J3529" s="81" t="s">
        <v>224</v>
      </c>
    </row>
    <row r="3530" hidden="1">
      <c r="A3530" s="83" t="s">
        <v>6330</v>
      </c>
      <c r="B3530" s="83" t="s">
        <v>6331</v>
      </c>
      <c r="C3530" s="81" t="s">
        <v>4621</v>
      </c>
      <c r="D3530" s="83" t="s">
        <v>4193</v>
      </c>
      <c r="E3530" s="81" t="s">
        <v>727</v>
      </c>
      <c r="F3530" s="84">
        <v>120.0</v>
      </c>
      <c r="G3530" s="81" t="s">
        <v>40</v>
      </c>
      <c r="H3530" s="81" t="s">
        <v>49</v>
      </c>
      <c r="I3530" s="81" t="s">
        <v>723</v>
      </c>
      <c r="J3530" s="81" t="s">
        <v>224</v>
      </c>
    </row>
    <row r="3531" hidden="1">
      <c r="A3531" s="83" t="s">
        <v>6330</v>
      </c>
      <c r="B3531" s="83" t="s">
        <v>6331</v>
      </c>
      <c r="C3531" s="81" t="s">
        <v>4621</v>
      </c>
      <c r="D3531" s="83" t="s">
        <v>4195</v>
      </c>
      <c r="E3531" s="81" t="s">
        <v>728</v>
      </c>
      <c r="F3531" s="84">
        <v>121.0</v>
      </c>
      <c r="G3531" s="81" t="s">
        <v>40</v>
      </c>
      <c r="H3531" s="81" t="s">
        <v>5304</v>
      </c>
      <c r="I3531" s="81" t="s">
        <v>730</v>
      </c>
      <c r="J3531" s="81" t="s">
        <v>224</v>
      </c>
    </row>
    <row r="3532" hidden="1">
      <c r="A3532" s="83" t="s">
        <v>6330</v>
      </c>
      <c r="B3532" s="83" t="s">
        <v>6331</v>
      </c>
      <c r="C3532" s="81" t="s">
        <v>4621</v>
      </c>
      <c r="D3532" s="83" t="s">
        <v>4196</v>
      </c>
      <c r="E3532" s="81" t="s">
        <v>731</v>
      </c>
      <c r="F3532" s="84">
        <v>122.0</v>
      </c>
      <c r="G3532" s="81" t="s">
        <v>39</v>
      </c>
      <c r="H3532" s="81" t="s">
        <v>5305</v>
      </c>
      <c r="I3532" s="81" t="s">
        <v>736</v>
      </c>
      <c r="J3532" s="81" t="s">
        <v>224</v>
      </c>
    </row>
    <row r="3533" hidden="1">
      <c r="A3533" s="83" t="s">
        <v>6330</v>
      </c>
      <c r="B3533" s="83" t="s">
        <v>6331</v>
      </c>
      <c r="C3533" s="81" t="s">
        <v>4621</v>
      </c>
      <c r="D3533" s="83" t="s">
        <v>4196</v>
      </c>
      <c r="E3533" s="81" t="s">
        <v>731</v>
      </c>
      <c r="F3533" s="84">
        <v>122.0</v>
      </c>
      <c r="G3533" s="81" t="s">
        <v>40</v>
      </c>
      <c r="H3533" s="81" t="s">
        <v>5306</v>
      </c>
      <c r="I3533" s="81" t="s">
        <v>737</v>
      </c>
      <c r="J3533" s="81" t="s">
        <v>224</v>
      </c>
    </row>
    <row r="3534" hidden="1">
      <c r="A3534" s="83" t="s">
        <v>6330</v>
      </c>
      <c r="B3534" s="83" t="s">
        <v>6331</v>
      </c>
      <c r="C3534" s="81" t="s">
        <v>4621</v>
      </c>
      <c r="D3534" s="83" t="s">
        <v>4196</v>
      </c>
      <c r="E3534" s="81" t="s">
        <v>741</v>
      </c>
      <c r="F3534" s="84">
        <v>123.0</v>
      </c>
      <c r="G3534" s="81" t="s">
        <v>40</v>
      </c>
      <c r="H3534" s="81" t="s">
        <v>5306</v>
      </c>
      <c r="I3534" s="81" t="s">
        <v>737</v>
      </c>
      <c r="J3534" s="81" t="s">
        <v>224</v>
      </c>
    </row>
    <row r="3535" hidden="1">
      <c r="A3535" s="83" t="s">
        <v>6330</v>
      </c>
      <c r="B3535" s="83" t="s">
        <v>6331</v>
      </c>
      <c r="C3535" s="81" t="s">
        <v>4621</v>
      </c>
      <c r="D3535" s="83" t="s">
        <v>4198</v>
      </c>
      <c r="E3535" s="81" t="s">
        <v>742</v>
      </c>
      <c r="F3535" s="84">
        <v>124.0</v>
      </c>
      <c r="G3535" s="81" t="s">
        <v>40</v>
      </c>
      <c r="H3535" s="81" t="s">
        <v>5307</v>
      </c>
      <c r="I3535" s="81" t="s">
        <v>744</v>
      </c>
      <c r="J3535" s="81" t="s">
        <v>224</v>
      </c>
    </row>
    <row r="3536" hidden="1">
      <c r="A3536" s="83" t="s">
        <v>6330</v>
      </c>
      <c r="B3536" s="83" t="s">
        <v>6331</v>
      </c>
      <c r="C3536" s="81" t="s">
        <v>4621</v>
      </c>
      <c r="D3536" s="83" t="s">
        <v>4199</v>
      </c>
      <c r="E3536" s="81" t="s">
        <v>745</v>
      </c>
      <c r="F3536" s="84">
        <v>125.0</v>
      </c>
      <c r="G3536" s="81" t="s">
        <v>39</v>
      </c>
      <c r="H3536" s="81" t="s">
        <v>5308</v>
      </c>
      <c r="I3536" s="81" t="s">
        <v>748</v>
      </c>
      <c r="J3536" s="81" t="s">
        <v>224</v>
      </c>
    </row>
    <row r="3537" hidden="1">
      <c r="A3537" s="83" t="s">
        <v>6330</v>
      </c>
      <c r="B3537" s="83" t="s">
        <v>6331</v>
      </c>
      <c r="C3537" s="81" t="s">
        <v>4621</v>
      </c>
      <c r="D3537" s="83" t="s">
        <v>4199</v>
      </c>
      <c r="E3537" s="81" t="s">
        <v>745</v>
      </c>
      <c r="F3537" s="84">
        <v>125.0</v>
      </c>
      <c r="G3537" s="81" t="s">
        <v>40</v>
      </c>
      <c r="H3537" s="81" t="s">
        <v>5309</v>
      </c>
      <c r="I3537" s="81" t="s">
        <v>749</v>
      </c>
      <c r="J3537" s="81" t="s">
        <v>224</v>
      </c>
    </row>
    <row r="3538" hidden="1">
      <c r="A3538" s="83" t="s">
        <v>6330</v>
      </c>
      <c r="B3538" s="83" t="s">
        <v>6331</v>
      </c>
      <c r="C3538" s="81" t="s">
        <v>4621</v>
      </c>
      <c r="D3538" s="83" t="s">
        <v>4199</v>
      </c>
      <c r="E3538" s="81" t="s">
        <v>753</v>
      </c>
      <c r="F3538" s="84">
        <v>126.0</v>
      </c>
      <c r="G3538" s="81" t="s">
        <v>40</v>
      </c>
      <c r="H3538" s="81" t="s">
        <v>5310</v>
      </c>
      <c r="I3538" s="81" t="s">
        <v>749</v>
      </c>
      <c r="J3538" s="81" t="s">
        <v>224</v>
      </c>
    </row>
    <row r="3539" hidden="1">
      <c r="A3539" s="83" t="s">
        <v>6330</v>
      </c>
      <c r="B3539" s="83" t="s">
        <v>6331</v>
      </c>
      <c r="C3539" s="81" t="s">
        <v>4082</v>
      </c>
      <c r="D3539" s="83" t="s">
        <v>4201</v>
      </c>
      <c r="E3539" s="81" t="s">
        <v>754</v>
      </c>
      <c r="F3539" s="84">
        <v>127.0</v>
      </c>
      <c r="G3539" s="81" t="s">
        <v>39</v>
      </c>
      <c r="H3539" s="81" t="s">
        <v>224</v>
      </c>
      <c r="I3539" s="81" t="s">
        <v>224</v>
      </c>
      <c r="J3539" s="81" t="s">
        <v>5311</v>
      </c>
    </row>
    <row r="3540" hidden="1">
      <c r="A3540" s="83" t="s">
        <v>6330</v>
      </c>
      <c r="B3540" s="83" t="s">
        <v>6331</v>
      </c>
      <c r="C3540" s="81" t="s">
        <v>6333</v>
      </c>
      <c r="D3540" s="83" t="s">
        <v>4201</v>
      </c>
      <c r="E3540" s="81" t="s">
        <v>754</v>
      </c>
      <c r="F3540" s="84">
        <v>127.0</v>
      </c>
      <c r="G3540" s="81" t="s">
        <v>39</v>
      </c>
      <c r="H3540" s="81" t="s">
        <v>5312</v>
      </c>
      <c r="I3540" s="81" t="s">
        <v>224</v>
      </c>
      <c r="J3540" s="81" t="s">
        <v>5143</v>
      </c>
    </row>
    <row r="3541" hidden="1">
      <c r="A3541" s="83" t="s">
        <v>6330</v>
      </c>
      <c r="B3541" s="83" t="s">
        <v>6331</v>
      </c>
      <c r="C3541" s="81" t="s">
        <v>4621</v>
      </c>
      <c r="D3541" s="83" t="s">
        <v>4201</v>
      </c>
      <c r="E3541" s="81" t="s">
        <v>754</v>
      </c>
      <c r="F3541" s="84">
        <v>127.0</v>
      </c>
      <c r="G3541" s="81" t="s">
        <v>40</v>
      </c>
      <c r="H3541" s="81" t="s">
        <v>5313</v>
      </c>
      <c r="I3541" s="81" t="s">
        <v>755</v>
      </c>
      <c r="J3541" s="81" t="s">
        <v>224</v>
      </c>
    </row>
    <row r="3542" hidden="1">
      <c r="A3542" s="83" t="s">
        <v>6330</v>
      </c>
      <c r="B3542" s="83" t="s">
        <v>6331</v>
      </c>
      <c r="C3542" s="81" t="s">
        <v>4621</v>
      </c>
      <c r="D3542" s="83" t="s">
        <v>4202</v>
      </c>
      <c r="E3542" s="81" t="s">
        <v>756</v>
      </c>
      <c r="F3542" s="84">
        <v>128.0</v>
      </c>
      <c r="G3542" s="81" t="s">
        <v>39</v>
      </c>
      <c r="H3542" s="81" t="s">
        <v>5314</v>
      </c>
      <c r="I3542" s="81" t="s">
        <v>761</v>
      </c>
      <c r="J3542" s="81" t="s">
        <v>224</v>
      </c>
    </row>
    <row r="3543" hidden="1">
      <c r="A3543" s="83" t="s">
        <v>6330</v>
      </c>
      <c r="B3543" s="83" t="s">
        <v>6331</v>
      </c>
      <c r="C3543" s="81" t="s">
        <v>4621</v>
      </c>
      <c r="D3543" s="83" t="s">
        <v>4202</v>
      </c>
      <c r="E3543" s="81" t="s">
        <v>756</v>
      </c>
      <c r="F3543" s="84">
        <v>128.0</v>
      </c>
      <c r="G3543" s="81" t="s">
        <v>40</v>
      </c>
      <c r="H3543" s="81" t="s">
        <v>5315</v>
      </c>
      <c r="I3543" s="81" t="s">
        <v>762</v>
      </c>
      <c r="J3543" s="81" t="s">
        <v>224</v>
      </c>
    </row>
    <row r="3544" hidden="1">
      <c r="A3544" s="83" t="s">
        <v>6330</v>
      </c>
      <c r="B3544" s="83" t="s">
        <v>6331</v>
      </c>
      <c r="C3544" s="81" t="s">
        <v>4621</v>
      </c>
      <c r="D3544" s="83" t="s">
        <v>4202</v>
      </c>
      <c r="E3544" s="81" t="s">
        <v>766</v>
      </c>
      <c r="F3544" s="84">
        <v>129.0</v>
      </c>
      <c r="G3544" s="81" t="s">
        <v>40</v>
      </c>
      <c r="H3544" s="81" t="s">
        <v>5315</v>
      </c>
      <c r="I3544" s="81" t="s">
        <v>762</v>
      </c>
      <c r="J3544" s="81" t="s">
        <v>224</v>
      </c>
    </row>
    <row r="3545" hidden="1">
      <c r="A3545" s="83" t="s">
        <v>6330</v>
      </c>
      <c r="B3545" s="83" t="s">
        <v>6331</v>
      </c>
      <c r="C3545" s="81" t="s">
        <v>4621</v>
      </c>
      <c r="D3545" s="83" t="s">
        <v>4204</v>
      </c>
      <c r="E3545" s="81" t="s">
        <v>767</v>
      </c>
      <c r="F3545" s="84">
        <v>130.0</v>
      </c>
      <c r="G3545" s="81" t="s">
        <v>40</v>
      </c>
      <c r="H3545" s="81" t="s">
        <v>5316</v>
      </c>
      <c r="I3545" s="81" t="s">
        <v>769</v>
      </c>
      <c r="J3545" s="81" t="s">
        <v>224</v>
      </c>
    </row>
    <row r="3546" hidden="1">
      <c r="A3546" s="83" t="s">
        <v>6330</v>
      </c>
      <c r="B3546" s="83" t="s">
        <v>6331</v>
      </c>
      <c r="C3546" s="81" t="s">
        <v>4621</v>
      </c>
      <c r="D3546" s="83" t="s">
        <v>4205</v>
      </c>
      <c r="E3546" s="81" t="s">
        <v>770</v>
      </c>
      <c r="F3546" s="84">
        <v>131.0</v>
      </c>
      <c r="G3546" s="81" t="s">
        <v>39</v>
      </c>
      <c r="H3546" s="81" t="s">
        <v>5317</v>
      </c>
      <c r="I3546" s="81" t="s">
        <v>772</v>
      </c>
      <c r="J3546" s="81" t="s">
        <v>224</v>
      </c>
    </row>
    <row r="3547" hidden="1">
      <c r="A3547" s="83" t="s">
        <v>6330</v>
      </c>
      <c r="B3547" s="83" t="s">
        <v>6331</v>
      </c>
      <c r="C3547" s="81" t="s">
        <v>4621</v>
      </c>
      <c r="D3547" s="83" t="s">
        <v>4205</v>
      </c>
      <c r="E3547" s="81" t="s">
        <v>770</v>
      </c>
      <c r="F3547" s="84">
        <v>131.0</v>
      </c>
      <c r="G3547" s="81" t="s">
        <v>40</v>
      </c>
      <c r="H3547" s="81" t="s">
        <v>5318</v>
      </c>
      <c r="I3547" s="81" t="s">
        <v>773</v>
      </c>
      <c r="J3547" s="81" t="s">
        <v>224</v>
      </c>
    </row>
    <row r="3548" hidden="1">
      <c r="A3548" s="83" t="s">
        <v>6330</v>
      </c>
      <c r="B3548" s="83" t="s">
        <v>6331</v>
      </c>
      <c r="C3548" s="81" t="s">
        <v>4621</v>
      </c>
      <c r="D3548" s="83" t="s">
        <v>4206</v>
      </c>
      <c r="E3548" s="81" t="s">
        <v>776</v>
      </c>
      <c r="F3548" s="84">
        <v>132.0</v>
      </c>
      <c r="G3548" s="81" t="s">
        <v>40</v>
      </c>
      <c r="H3548" s="81" t="s">
        <v>5319</v>
      </c>
      <c r="I3548" s="81" t="s">
        <v>778</v>
      </c>
      <c r="J3548" s="81" t="s">
        <v>224</v>
      </c>
    </row>
    <row r="3549" hidden="1">
      <c r="A3549" s="83" t="s">
        <v>6330</v>
      </c>
      <c r="B3549" s="83" t="s">
        <v>6331</v>
      </c>
      <c r="C3549" s="81" t="s">
        <v>4621</v>
      </c>
      <c r="D3549" s="83" t="s">
        <v>4207</v>
      </c>
      <c r="E3549" s="81" t="s">
        <v>779</v>
      </c>
      <c r="F3549" s="84">
        <v>133.0</v>
      </c>
      <c r="G3549" s="81" t="s">
        <v>39</v>
      </c>
      <c r="H3549" s="81" t="s">
        <v>5320</v>
      </c>
      <c r="I3549" s="81" t="s">
        <v>782</v>
      </c>
      <c r="J3549" s="81" t="s">
        <v>224</v>
      </c>
    </row>
    <row r="3550" hidden="1">
      <c r="A3550" s="83" t="s">
        <v>6330</v>
      </c>
      <c r="B3550" s="83" t="s">
        <v>6331</v>
      </c>
      <c r="C3550" s="81" t="s">
        <v>4621</v>
      </c>
      <c r="D3550" s="83" t="s">
        <v>4207</v>
      </c>
      <c r="E3550" s="81" t="s">
        <v>779</v>
      </c>
      <c r="F3550" s="84">
        <v>133.0</v>
      </c>
      <c r="G3550" s="81" t="s">
        <v>40</v>
      </c>
      <c r="H3550" s="81" t="s">
        <v>5321</v>
      </c>
      <c r="I3550" s="81" t="s">
        <v>783</v>
      </c>
      <c r="J3550" s="81" t="s">
        <v>224</v>
      </c>
    </row>
    <row r="3551" hidden="1">
      <c r="A3551" s="83" t="s">
        <v>6330</v>
      </c>
      <c r="B3551" s="83" t="s">
        <v>6331</v>
      </c>
      <c r="C3551" s="81" t="s">
        <v>4082</v>
      </c>
      <c r="D3551" s="83" t="s">
        <v>4208</v>
      </c>
      <c r="E3551" s="81" t="s">
        <v>786</v>
      </c>
      <c r="F3551" s="84">
        <v>134.0</v>
      </c>
      <c r="G3551" s="81" t="s">
        <v>39</v>
      </c>
      <c r="H3551" s="81" t="s">
        <v>224</v>
      </c>
      <c r="I3551" s="81" t="s">
        <v>224</v>
      </c>
      <c r="J3551" s="81" t="s">
        <v>5322</v>
      </c>
    </row>
    <row r="3552" hidden="1">
      <c r="A3552" s="83" t="s">
        <v>6330</v>
      </c>
      <c r="B3552" s="83" t="s">
        <v>6331</v>
      </c>
      <c r="C3552" s="81" t="s">
        <v>6333</v>
      </c>
      <c r="D3552" s="83" t="s">
        <v>4208</v>
      </c>
      <c r="E3552" s="81" t="s">
        <v>786</v>
      </c>
      <c r="F3552" s="84">
        <v>134.0</v>
      </c>
      <c r="G3552" s="81" t="s">
        <v>39</v>
      </c>
      <c r="H3552" s="81" t="s">
        <v>5323</v>
      </c>
      <c r="I3552" s="81" t="s">
        <v>224</v>
      </c>
      <c r="J3552" s="81" t="s">
        <v>5143</v>
      </c>
    </row>
    <row r="3553" hidden="1">
      <c r="A3553" s="83" t="s">
        <v>6330</v>
      </c>
      <c r="B3553" s="83" t="s">
        <v>6331</v>
      </c>
      <c r="C3553" s="81" t="s">
        <v>4621</v>
      </c>
      <c r="D3553" s="83" t="s">
        <v>4208</v>
      </c>
      <c r="E3553" s="81" t="s">
        <v>786</v>
      </c>
      <c r="F3553" s="84">
        <v>134.0</v>
      </c>
      <c r="G3553" s="81" t="s">
        <v>40</v>
      </c>
      <c r="H3553" s="81" t="s">
        <v>5324</v>
      </c>
      <c r="I3553" s="81" t="s">
        <v>787</v>
      </c>
      <c r="J3553" s="81" t="s">
        <v>224</v>
      </c>
    </row>
    <row r="3554" hidden="1">
      <c r="A3554" s="83" t="s">
        <v>6330</v>
      </c>
      <c r="B3554" s="83" t="s">
        <v>6331</v>
      </c>
      <c r="C3554" s="81" t="s">
        <v>4621</v>
      </c>
      <c r="D3554" s="83" t="s">
        <v>4209</v>
      </c>
      <c r="E3554" s="81" t="s">
        <v>788</v>
      </c>
      <c r="F3554" s="84">
        <v>135.0</v>
      </c>
      <c r="G3554" s="81" t="s">
        <v>40</v>
      </c>
      <c r="H3554" s="81" t="s">
        <v>5325</v>
      </c>
      <c r="I3554" s="81" t="s">
        <v>792</v>
      </c>
      <c r="J3554" s="81" t="s">
        <v>224</v>
      </c>
    </row>
    <row r="3555" hidden="1">
      <c r="A3555" s="83" t="s">
        <v>6330</v>
      </c>
      <c r="B3555" s="83" t="s">
        <v>6331</v>
      </c>
      <c r="C3555" s="81" t="s">
        <v>4621</v>
      </c>
      <c r="D3555" s="83" t="s">
        <v>4210</v>
      </c>
      <c r="E3555" s="81" t="s">
        <v>795</v>
      </c>
      <c r="F3555" s="84">
        <v>136.0</v>
      </c>
      <c r="G3555" s="81" t="s">
        <v>40</v>
      </c>
      <c r="H3555" s="81" t="s">
        <v>5326</v>
      </c>
      <c r="I3555" s="81" t="s">
        <v>797</v>
      </c>
      <c r="J3555" s="81" t="s">
        <v>224</v>
      </c>
    </row>
    <row r="3556" hidden="1">
      <c r="A3556" s="83" t="s">
        <v>6330</v>
      </c>
      <c r="B3556" s="83" t="s">
        <v>6331</v>
      </c>
      <c r="C3556" s="81" t="s">
        <v>4082</v>
      </c>
      <c r="D3556" s="83" t="s">
        <v>4211</v>
      </c>
      <c r="E3556" s="81" t="s">
        <v>798</v>
      </c>
      <c r="F3556" s="84">
        <v>137.0</v>
      </c>
      <c r="G3556" s="81" t="s">
        <v>39</v>
      </c>
      <c r="H3556" s="81" t="s">
        <v>224</v>
      </c>
      <c r="I3556" s="81" t="s">
        <v>224</v>
      </c>
      <c r="J3556" s="81" t="s">
        <v>5327</v>
      </c>
    </row>
    <row r="3557" hidden="1">
      <c r="A3557" s="83" t="s">
        <v>6330</v>
      </c>
      <c r="B3557" s="83" t="s">
        <v>6331</v>
      </c>
      <c r="C3557" s="81" t="s">
        <v>6333</v>
      </c>
      <c r="D3557" s="83" t="s">
        <v>4211</v>
      </c>
      <c r="E3557" s="81" t="s">
        <v>798</v>
      </c>
      <c r="F3557" s="84">
        <v>137.0</v>
      </c>
      <c r="G3557" s="81" t="s">
        <v>39</v>
      </c>
      <c r="H3557" s="81" t="s">
        <v>5328</v>
      </c>
      <c r="I3557" s="81" t="s">
        <v>224</v>
      </c>
      <c r="J3557" s="81" t="s">
        <v>5143</v>
      </c>
    </row>
    <row r="3558" hidden="1">
      <c r="A3558" s="83" t="s">
        <v>6330</v>
      </c>
      <c r="B3558" s="83" t="s">
        <v>6331</v>
      </c>
      <c r="C3558" s="81" t="s">
        <v>4621</v>
      </c>
      <c r="D3558" s="83" t="s">
        <v>4211</v>
      </c>
      <c r="E3558" s="81" t="s">
        <v>798</v>
      </c>
      <c r="F3558" s="84">
        <v>137.0</v>
      </c>
      <c r="G3558" s="81" t="s">
        <v>40</v>
      </c>
      <c r="H3558" s="81" t="s">
        <v>5329</v>
      </c>
      <c r="I3558" s="81" t="s">
        <v>801</v>
      </c>
      <c r="J3558" s="81" t="s">
        <v>224</v>
      </c>
    </row>
    <row r="3559" hidden="1">
      <c r="A3559" s="83" t="s">
        <v>6330</v>
      </c>
      <c r="B3559" s="83" t="s">
        <v>6331</v>
      </c>
      <c r="C3559" s="81" t="s">
        <v>4082</v>
      </c>
      <c r="D3559" s="83" t="s">
        <v>4212</v>
      </c>
      <c r="E3559" s="81" t="s">
        <v>804</v>
      </c>
      <c r="F3559" s="84">
        <v>138.0</v>
      </c>
      <c r="G3559" s="81" t="s">
        <v>39</v>
      </c>
      <c r="H3559" s="81" t="s">
        <v>224</v>
      </c>
      <c r="I3559" s="81" t="s">
        <v>224</v>
      </c>
      <c r="J3559" s="81" t="s">
        <v>5330</v>
      </c>
    </row>
    <row r="3560" hidden="1">
      <c r="A3560" s="83" t="s">
        <v>6330</v>
      </c>
      <c r="B3560" s="83" t="s">
        <v>6331</v>
      </c>
      <c r="C3560" s="81" t="s">
        <v>6333</v>
      </c>
      <c r="D3560" s="83" t="s">
        <v>4212</v>
      </c>
      <c r="E3560" s="81" t="s">
        <v>804</v>
      </c>
      <c r="F3560" s="84">
        <v>138.0</v>
      </c>
      <c r="G3560" s="81" t="s">
        <v>39</v>
      </c>
      <c r="H3560" s="81" t="s">
        <v>5331</v>
      </c>
      <c r="I3560" s="81" t="s">
        <v>224</v>
      </c>
      <c r="J3560" s="81" t="s">
        <v>5143</v>
      </c>
    </row>
    <row r="3561" hidden="1">
      <c r="A3561" s="83" t="s">
        <v>6330</v>
      </c>
      <c r="B3561" s="83" t="s">
        <v>6331</v>
      </c>
      <c r="C3561" s="81" t="s">
        <v>4621</v>
      </c>
      <c r="D3561" s="83" t="s">
        <v>4212</v>
      </c>
      <c r="E3561" s="81" t="s">
        <v>804</v>
      </c>
      <c r="F3561" s="84">
        <v>138.0</v>
      </c>
      <c r="G3561" s="81" t="s">
        <v>40</v>
      </c>
      <c r="H3561" s="81" t="s">
        <v>5332</v>
      </c>
      <c r="I3561" s="81" t="s">
        <v>805</v>
      </c>
      <c r="J3561" s="81" t="s">
        <v>224</v>
      </c>
    </row>
    <row r="3562" hidden="1">
      <c r="A3562" s="83" t="s">
        <v>6330</v>
      </c>
      <c r="B3562" s="83" t="s">
        <v>6331</v>
      </c>
      <c r="C3562" s="81" t="s">
        <v>4621</v>
      </c>
      <c r="D3562" s="83" t="s">
        <v>4213</v>
      </c>
      <c r="E3562" s="81" t="s">
        <v>806</v>
      </c>
      <c r="F3562" s="84">
        <v>139.0</v>
      </c>
      <c r="G3562" s="81" t="s">
        <v>40</v>
      </c>
      <c r="H3562" s="81" t="s">
        <v>5333</v>
      </c>
      <c r="I3562" s="81" t="s">
        <v>809</v>
      </c>
      <c r="J3562" s="81" t="s">
        <v>224</v>
      </c>
    </row>
    <row r="3563" hidden="1">
      <c r="A3563" s="83" t="s">
        <v>6330</v>
      </c>
      <c r="B3563" s="83" t="s">
        <v>6331</v>
      </c>
      <c r="C3563" s="81" t="s">
        <v>4621</v>
      </c>
      <c r="D3563" s="83" t="s">
        <v>4214</v>
      </c>
      <c r="E3563" s="81" t="s">
        <v>812</v>
      </c>
      <c r="F3563" s="84">
        <v>140.0</v>
      </c>
      <c r="G3563" s="81" t="s">
        <v>39</v>
      </c>
      <c r="H3563" s="81" t="s">
        <v>5334</v>
      </c>
      <c r="I3563" s="81" t="s">
        <v>813</v>
      </c>
      <c r="J3563" s="81" t="s">
        <v>224</v>
      </c>
    </row>
    <row r="3564" hidden="1">
      <c r="A3564" s="83" t="s">
        <v>6330</v>
      </c>
      <c r="B3564" s="83" t="s">
        <v>6331</v>
      </c>
      <c r="C3564" s="81" t="s">
        <v>4621</v>
      </c>
      <c r="D3564" s="83" t="s">
        <v>4214</v>
      </c>
      <c r="E3564" s="81" t="s">
        <v>812</v>
      </c>
      <c r="F3564" s="84">
        <v>140.0</v>
      </c>
      <c r="G3564" s="81" t="s">
        <v>40</v>
      </c>
      <c r="H3564" s="81" t="s">
        <v>5335</v>
      </c>
      <c r="I3564" s="81" t="s">
        <v>814</v>
      </c>
      <c r="J3564" s="81" t="s">
        <v>224</v>
      </c>
    </row>
    <row r="3565" hidden="1">
      <c r="A3565" s="83" t="s">
        <v>6330</v>
      </c>
      <c r="B3565" s="83" t="s">
        <v>6331</v>
      </c>
      <c r="C3565" s="81" t="s">
        <v>4621</v>
      </c>
      <c r="D3565" s="83" t="s">
        <v>4215</v>
      </c>
      <c r="E3565" s="81" t="s">
        <v>815</v>
      </c>
      <c r="F3565" s="84">
        <v>141.0</v>
      </c>
      <c r="G3565" s="81" t="s">
        <v>40</v>
      </c>
      <c r="H3565" s="81" t="s">
        <v>5336</v>
      </c>
      <c r="I3565" s="81" t="s">
        <v>819</v>
      </c>
      <c r="J3565" s="81" t="s">
        <v>224</v>
      </c>
    </row>
    <row r="3566" hidden="1">
      <c r="A3566" s="83" t="s">
        <v>6330</v>
      </c>
      <c r="B3566" s="83" t="s">
        <v>6331</v>
      </c>
      <c r="C3566" s="81" t="s">
        <v>4621</v>
      </c>
      <c r="D3566" s="83" t="s">
        <v>4216</v>
      </c>
      <c r="E3566" s="81" t="s">
        <v>822</v>
      </c>
      <c r="F3566" s="84">
        <v>142.0</v>
      </c>
      <c r="G3566" s="81" t="s">
        <v>40</v>
      </c>
      <c r="H3566" s="81" t="s">
        <v>5337</v>
      </c>
      <c r="I3566" s="81" t="s">
        <v>824</v>
      </c>
      <c r="J3566" s="81" t="s">
        <v>224</v>
      </c>
    </row>
    <row r="3567" hidden="1">
      <c r="A3567" s="83" t="s">
        <v>6330</v>
      </c>
      <c r="B3567" s="83" t="s">
        <v>6331</v>
      </c>
      <c r="C3567" s="81" t="s">
        <v>4621</v>
      </c>
      <c r="D3567" s="83" t="s">
        <v>4217</v>
      </c>
      <c r="E3567" s="81" t="s">
        <v>825</v>
      </c>
      <c r="F3567" s="84">
        <v>143.0</v>
      </c>
      <c r="G3567" s="81" t="s">
        <v>40</v>
      </c>
      <c r="H3567" s="81" t="s">
        <v>5338</v>
      </c>
      <c r="I3567" s="81" t="s">
        <v>829</v>
      </c>
      <c r="J3567" s="81" t="s">
        <v>224</v>
      </c>
    </row>
    <row r="3568" hidden="1">
      <c r="A3568" s="83" t="s">
        <v>6330</v>
      </c>
      <c r="B3568" s="83" t="s">
        <v>6331</v>
      </c>
      <c r="C3568" s="81" t="s">
        <v>4621</v>
      </c>
      <c r="D3568" s="83" t="s">
        <v>4218</v>
      </c>
      <c r="E3568" s="81" t="s">
        <v>832</v>
      </c>
      <c r="F3568" s="84">
        <v>144.0</v>
      </c>
      <c r="G3568" s="81" t="s">
        <v>40</v>
      </c>
      <c r="H3568" s="81" t="s">
        <v>5339</v>
      </c>
      <c r="I3568" s="81" t="s">
        <v>834</v>
      </c>
      <c r="J3568" s="81" t="s">
        <v>224</v>
      </c>
    </row>
    <row r="3569" hidden="1">
      <c r="A3569" s="83" t="s">
        <v>6330</v>
      </c>
      <c r="B3569" s="83" t="s">
        <v>6331</v>
      </c>
      <c r="C3569" s="81" t="s">
        <v>4621</v>
      </c>
      <c r="D3569" s="83" t="s">
        <v>4219</v>
      </c>
      <c r="E3569" s="81" t="s">
        <v>835</v>
      </c>
      <c r="F3569" s="84">
        <v>145.0</v>
      </c>
      <c r="G3569" s="81" t="s">
        <v>40</v>
      </c>
      <c r="H3569" s="81" t="s">
        <v>5340</v>
      </c>
      <c r="I3569" s="81" t="s">
        <v>839</v>
      </c>
      <c r="J3569" s="81" t="s">
        <v>224</v>
      </c>
    </row>
    <row r="3570" hidden="1">
      <c r="A3570" s="83" t="s">
        <v>6330</v>
      </c>
      <c r="B3570" s="83" t="s">
        <v>6331</v>
      </c>
      <c r="C3570" s="81" t="s">
        <v>4621</v>
      </c>
      <c r="D3570" s="83" t="s">
        <v>4220</v>
      </c>
      <c r="E3570" s="81" t="s">
        <v>842</v>
      </c>
      <c r="F3570" s="84">
        <v>146.0</v>
      </c>
      <c r="G3570" s="81" t="s">
        <v>40</v>
      </c>
      <c r="H3570" s="81" t="s">
        <v>5341</v>
      </c>
      <c r="I3570" s="81" t="s">
        <v>844</v>
      </c>
      <c r="J3570" s="81" t="s">
        <v>224</v>
      </c>
    </row>
    <row r="3571" hidden="1">
      <c r="A3571" s="83" t="s">
        <v>6330</v>
      </c>
      <c r="B3571" s="83" t="s">
        <v>6331</v>
      </c>
      <c r="C3571" s="81" t="s">
        <v>4621</v>
      </c>
      <c r="D3571" s="83" t="s">
        <v>4221</v>
      </c>
      <c r="E3571" s="81" t="s">
        <v>845</v>
      </c>
      <c r="F3571" s="84">
        <v>147.0</v>
      </c>
      <c r="G3571" s="81" t="s">
        <v>40</v>
      </c>
      <c r="H3571" s="81" t="s">
        <v>5342</v>
      </c>
      <c r="I3571" s="81" t="s">
        <v>848</v>
      </c>
      <c r="J3571" s="81" t="s">
        <v>224</v>
      </c>
    </row>
    <row r="3572" hidden="1">
      <c r="A3572" s="83" t="s">
        <v>6330</v>
      </c>
      <c r="B3572" s="83" t="s">
        <v>6331</v>
      </c>
      <c r="C3572" s="81" t="s">
        <v>4621</v>
      </c>
      <c r="D3572" s="83" t="s">
        <v>4222</v>
      </c>
      <c r="E3572" s="81" t="s">
        <v>851</v>
      </c>
      <c r="F3572" s="84">
        <v>148.0</v>
      </c>
      <c r="G3572" s="81" t="s">
        <v>40</v>
      </c>
      <c r="H3572" s="81" t="s">
        <v>5343</v>
      </c>
      <c r="I3572" s="81" t="s">
        <v>853</v>
      </c>
      <c r="J3572" s="81" t="s">
        <v>224</v>
      </c>
    </row>
    <row r="3573" hidden="1">
      <c r="A3573" s="83" t="s">
        <v>6330</v>
      </c>
      <c r="B3573" s="83" t="s">
        <v>6331</v>
      </c>
      <c r="C3573" s="81" t="s">
        <v>4621</v>
      </c>
      <c r="D3573" s="83" t="s">
        <v>4223</v>
      </c>
      <c r="E3573" s="81" t="s">
        <v>854</v>
      </c>
      <c r="F3573" s="84">
        <v>149.0</v>
      </c>
      <c r="G3573" s="81" t="s">
        <v>40</v>
      </c>
      <c r="H3573" s="81" t="s">
        <v>5344</v>
      </c>
      <c r="I3573" s="81" t="s">
        <v>858</v>
      </c>
      <c r="J3573" s="81" t="s">
        <v>224</v>
      </c>
    </row>
    <row r="3574" hidden="1">
      <c r="A3574" s="83" t="s">
        <v>6330</v>
      </c>
      <c r="B3574" s="83" t="s">
        <v>6331</v>
      </c>
      <c r="C3574" s="81" t="s">
        <v>4621</v>
      </c>
      <c r="D3574" s="83" t="s">
        <v>4224</v>
      </c>
      <c r="E3574" s="81" t="s">
        <v>861</v>
      </c>
      <c r="F3574" s="84">
        <v>150.0</v>
      </c>
      <c r="G3574" s="81" t="s">
        <v>40</v>
      </c>
      <c r="H3574" s="81" t="s">
        <v>5345</v>
      </c>
      <c r="I3574" s="81" t="s">
        <v>863</v>
      </c>
      <c r="J3574" s="81" t="s">
        <v>224</v>
      </c>
    </row>
    <row r="3575" hidden="1">
      <c r="A3575" s="83" t="s">
        <v>6330</v>
      </c>
      <c r="B3575" s="83" t="s">
        <v>6331</v>
      </c>
      <c r="C3575" s="81" t="s">
        <v>4621</v>
      </c>
      <c r="D3575" s="83" t="s">
        <v>4225</v>
      </c>
      <c r="E3575" s="81" t="s">
        <v>864</v>
      </c>
      <c r="F3575" s="84">
        <v>151.0</v>
      </c>
      <c r="G3575" s="81" t="s">
        <v>40</v>
      </c>
      <c r="H3575" s="81" t="s">
        <v>5346</v>
      </c>
      <c r="I3575" s="81" t="s">
        <v>868</v>
      </c>
      <c r="J3575" s="81" t="s">
        <v>224</v>
      </c>
    </row>
    <row r="3576" hidden="1">
      <c r="A3576" s="83" t="s">
        <v>6330</v>
      </c>
      <c r="B3576" s="83" t="s">
        <v>6331</v>
      </c>
      <c r="C3576" s="81" t="s">
        <v>4621</v>
      </c>
      <c r="D3576" s="83" t="s">
        <v>4226</v>
      </c>
      <c r="E3576" s="81" t="s">
        <v>871</v>
      </c>
      <c r="F3576" s="84">
        <v>152.0</v>
      </c>
      <c r="G3576" s="81" t="s">
        <v>40</v>
      </c>
      <c r="H3576" s="81" t="s">
        <v>5347</v>
      </c>
      <c r="I3576" s="81" t="s">
        <v>873</v>
      </c>
      <c r="J3576" s="81" t="s">
        <v>224</v>
      </c>
    </row>
    <row r="3577" hidden="1">
      <c r="A3577" s="83" t="s">
        <v>6330</v>
      </c>
      <c r="B3577" s="83" t="s">
        <v>6331</v>
      </c>
      <c r="C3577" s="81" t="s">
        <v>4621</v>
      </c>
      <c r="D3577" s="83" t="s">
        <v>4227</v>
      </c>
      <c r="E3577" s="81" t="s">
        <v>874</v>
      </c>
      <c r="F3577" s="84">
        <v>153.0</v>
      </c>
      <c r="G3577" s="81" t="s">
        <v>40</v>
      </c>
      <c r="H3577" s="81" t="s">
        <v>5348</v>
      </c>
      <c r="I3577" s="81" t="s">
        <v>878</v>
      </c>
      <c r="J3577" s="81" t="s">
        <v>224</v>
      </c>
    </row>
    <row r="3578" hidden="1">
      <c r="A3578" s="83" t="s">
        <v>6330</v>
      </c>
      <c r="B3578" s="83" t="s">
        <v>6331</v>
      </c>
      <c r="C3578" s="81" t="s">
        <v>4621</v>
      </c>
      <c r="D3578" s="83" t="s">
        <v>4228</v>
      </c>
      <c r="E3578" s="81" t="s">
        <v>881</v>
      </c>
      <c r="F3578" s="84">
        <v>154.0</v>
      </c>
      <c r="G3578" s="81" t="s">
        <v>40</v>
      </c>
      <c r="H3578" s="81" t="s">
        <v>5349</v>
      </c>
      <c r="I3578" s="81" t="s">
        <v>883</v>
      </c>
      <c r="J3578" s="81" t="s">
        <v>224</v>
      </c>
    </row>
    <row r="3579" hidden="1">
      <c r="A3579" s="83" t="s">
        <v>6330</v>
      </c>
      <c r="B3579" s="83" t="s">
        <v>6331</v>
      </c>
      <c r="C3579" s="81" t="s">
        <v>4621</v>
      </c>
      <c r="D3579" s="83" t="s">
        <v>4229</v>
      </c>
      <c r="E3579" s="81" t="s">
        <v>884</v>
      </c>
      <c r="F3579" s="84">
        <v>155.0</v>
      </c>
      <c r="G3579" s="81" t="s">
        <v>39</v>
      </c>
      <c r="H3579" s="81" t="s">
        <v>5350</v>
      </c>
      <c r="I3579" s="81" t="s">
        <v>891</v>
      </c>
      <c r="J3579" s="81" t="s">
        <v>224</v>
      </c>
    </row>
    <row r="3580" hidden="1">
      <c r="A3580" s="83" t="s">
        <v>6330</v>
      </c>
      <c r="B3580" s="83" t="s">
        <v>6331</v>
      </c>
      <c r="C3580" s="81" t="s">
        <v>6333</v>
      </c>
      <c r="D3580" s="83" t="s">
        <v>4229</v>
      </c>
      <c r="E3580" s="81" t="s">
        <v>884</v>
      </c>
      <c r="F3580" s="84">
        <v>155.0</v>
      </c>
      <c r="G3580" s="81" t="s">
        <v>40</v>
      </c>
      <c r="H3580" s="81" t="s">
        <v>5351</v>
      </c>
      <c r="I3580" s="81" t="s">
        <v>224</v>
      </c>
      <c r="J3580" s="81" t="s">
        <v>5143</v>
      </c>
    </row>
    <row r="3581" hidden="1">
      <c r="A3581" s="83" t="s">
        <v>6330</v>
      </c>
      <c r="B3581" s="83" t="s">
        <v>6331</v>
      </c>
      <c r="C3581" s="81" t="s">
        <v>4621</v>
      </c>
      <c r="D3581" s="83" t="s">
        <v>4229</v>
      </c>
      <c r="E3581" s="81" t="s">
        <v>895</v>
      </c>
      <c r="F3581" s="84">
        <v>156.0</v>
      </c>
      <c r="G3581" s="81" t="s">
        <v>39</v>
      </c>
      <c r="H3581" s="81" t="s">
        <v>5350</v>
      </c>
      <c r="I3581" s="81" t="s">
        <v>891</v>
      </c>
      <c r="J3581" s="81" t="s">
        <v>224</v>
      </c>
    </row>
    <row r="3582" hidden="1">
      <c r="A3582" s="83" t="s">
        <v>6330</v>
      </c>
      <c r="B3582" s="83" t="s">
        <v>6331</v>
      </c>
      <c r="C3582" s="81" t="s">
        <v>6333</v>
      </c>
      <c r="D3582" s="83" t="s">
        <v>4229</v>
      </c>
      <c r="E3582" s="81" t="s">
        <v>895</v>
      </c>
      <c r="F3582" s="84">
        <v>156.0</v>
      </c>
      <c r="G3582" s="81" t="s">
        <v>40</v>
      </c>
      <c r="H3582" s="81" t="s">
        <v>5351</v>
      </c>
      <c r="I3582" s="81" t="s">
        <v>224</v>
      </c>
      <c r="J3582" s="81" t="s">
        <v>5143</v>
      </c>
    </row>
    <row r="3583" hidden="1">
      <c r="A3583" s="83" t="s">
        <v>6330</v>
      </c>
      <c r="B3583" s="83" t="s">
        <v>6331</v>
      </c>
      <c r="C3583" s="81" t="s">
        <v>4621</v>
      </c>
      <c r="D3583" s="83" t="s">
        <v>4231</v>
      </c>
      <c r="E3583" s="81" t="s">
        <v>897</v>
      </c>
      <c r="F3583" s="84">
        <v>157.0</v>
      </c>
      <c r="G3583" s="81" t="s">
        <v>39</v>
      </c>
      <c r="H3583" s="81" t="s">
        <v>5352</v>
      </c>
      <c r="I3583" s="81" t="s">
        <v>898</v>
      </c>
      <c r="J3583" s="81" t="s">
        <v>224</v>
      </c>
    </row>
    <row r="3584" hidden="1">
      <c r="A3584" s="83" t="s">
        <v>6330</v>
      </c>
      <c r="B3584" s="83" t="s">
        <v>6331</v>
      </c>
      <c r="C3584" s="81" t="s">
        <v>6333</v>
      </c>
      <c r="D3584" s="83" t="s">
        <v>4231</v>
      </c>
      <c r="E3584" s="81" t="s">
        <v>897</v>
      </c>
      <c r="F3584" s="84">
        <v>157.0</v>
      </c>
      <c r="G3584" s="81" t="s">
        <v>40</v>
      </c>
      <c r="H3584" s="81" t="s">
        <v>5353</v>
      </c>
      <c r="I3584" s="81" t="s">
        <v>224</v>
      </c>
      <c r="J3584" s="81" t="s">
        <v>5143</v>
      </c>
    </row>
    <row r="3585" hidden="1">
      <c r="A3585" s="83" t="s">
        <v>6330</v>
      </c>
      <c r="B3585" s="83" t="s">
        <v>6331</v>
      </c>
      <c r="C3585" s="81" t="s">
        <v>4621</v>
      </c>
      <c r="D3585" s="83" t="s">
        <v>4232</v>
      </c>
      <c r="E3585" s="81" t="s">
        <v>899</v>
      </c>
      <c r="F3585" s="84">
        <v>158.0</v>
      </c>
      <c r="G3585" s="81" t="s">
        <v>39</v>
      </c>
      <c r="H3585" s="81" t="s">
        <v>5354</v>
      </c>
      <c r="I3585" s="81" t="s">
        <v>901</v>
      </c>
      <c r="J3585" s="81" t="s">
        <v>224</v>
      </c>
    </row>
    <row r="3586" hidden="1">
      <c r="A3586" s="83" t="s">
        <v>6330</v>
      </c>
      <c r="B3586" s="83" t="s">
        <v>6331</v>
      </c>
      <c r="C3586" s="81" t="s">
        <v>6333</v>
      </c>
      <c r="D3586" s="83" t="s">
        <v>4232</v>
      </c>
      <c r="E3586" s="81" t="s">
        <v>899</v>
      </c>
      <c r="F3586" s="84">
        <v>158.0</v>
      </c>
      <c r="G3586" s="81" t="s">
        <v>40</v>
      </c>
      <c r="H3586" s="81" t="s">
        <v>5355</v>
      </c>
      <c r="I3586" s="81" t="s">
        <v>224</v>
      </c>
      <c r="J3586" s="81" t="s">
        <v>5143</v>
      </c>
    </row>
    <row r="3587" hidden="1">
      <c r="A3587" s="83" t="s">
        <v>6330</v>
      </c>
      <c r="B3587" s="83" t="s">
        <v>6331</v>
      </c>
      <c r="C3587" s="81" t="s">
        <v>4621</v>
      </c>
      <c r="D3587" s="83" t="s">
        <v>4233</v>
      </c>
      <c r="E3587" s="81" t="s">
        <v>902</v>
      </c>
      <c r="F3587" s="84">
        <v>159.0</v>
      </c>
      <c r="G3587" s="81" t="s">
        <v>39</v>
      </c>
      <c r="H3587" s="81" t="s">
        <v>5356</v>
      </c>
      <c r="I3587" s="81" t="s">
        <v>904</v>
      </c>
      <c r="J3587" s="81" t="s">
        <v>224</v>
      </c>
    </row>
    <row r="3588" hidden="1">
      <c r="A3588" s="83" t="s">
        <v>6330</v>
      </c>
      <c r="B3588" s="83" t="s">
        <v>6331</v>
      </c>
      <c r="C3588" s="81" t="s">
        <v>6333</v>
      </c>
      <c r="D3588" s="83" t="s">
        <v>4233</v>
      </c>
      <c r="E3588" s="81" t="s">
        <v>902</v>
      </c>
      <c r="F3588" s="84">
        <v>159.0</v>
      </c>
      <c r="G3588" s="81" t="s">
        <v>40</v>
      </c>
      <c r="H3588" s="81" t="s">
        <v>5357</v>
      </c>
      <c r="I3588" s="81" t="s">
        <v>224</v>
      </c>
      <c r="J3588" s="81" t="s">
        <v>5143</v>
      </c>
    </row>
    <row r="3589" hidden="1">
      <c r="A3589" s="83" t="s">
        <v>6330</v>
      </c>
      <c r="B3589" s="83" t="s">
        <v>6331</v>
      </c>
      <c r="C3589" s="81" t="s">
        <v>4621</v>
      </c>
      <c r="D3589" s="83" t="s">
        <v>4234</v>
      </c>
      <c r="E3589" s="81" t="s">
        <v>905</v>
      </c>
      <c r="F3589" s="84">
        <v>160.0</v>
      </c>
      <c r="G3589" s="81" t="s">
        <v>39</v>
      </c>
      <c r="H3589" s="81" t="s">
        <v>5358</v>
      </c>
      <c r="I3589" s="81" t="s">
        <v>907</v>
      </c>
      <c r="J3589" s="81" t="s">
        <v>224</v>
      </c>
    </row>
    <row r="3590" hidden="1">
      <c r="A3590" s="83" t="s">
        <v>6330</v>
      </c>
      <c r="B3590" s="83" t="s">
        <v>6331</v>
      </c>
      <c r="C3590" s="81" t="s">
        <v>6333</v>
      </c>
      <c r="D3590" s="83" t="s">
        <v>4234</v>
      </c>
      <c r="E3590" s="81" t="s">
        <v>905</v>
      </c>
      <c r="F3590" s="84">
        <v>160.0</v>
      </c>
      <c r="G3590" s="81" t="s">
        <v>40</v>
      </c>
      <c r="H3590" s="81" t="s">
        <v>5359</v>
      </c>
      <c r="I3590" s="81" t="s">
        <v>224</v>
      </c>
      <c r="J3590" s="81" t="s">
        <v>5143</v>
      </c>
    </row>
    <row r="3591" hidden="1">
      <c r="A3591" s="83" t="s">
        <v>6330</v>
      </c>
      <c r="B3591" s="83" t="s">
        <v>6331</v>
      </c>
      <c r="C3591" s="81" t="s">
        <v>4621</v>
      </c>
      <c r="D3591" s="83" t="s">
        <v>4235</v>
      </c>
      <c r="E3591" s="81" t="s">
        <v>908</v>
      </c>
      <c r="F3591" s="84">
        <v>161.0</v>
      </c>
      <c r="G3591" s="81" t="s">
        <v>39</v>
      </c>
      <c r="H3591" s="81" t="s">
        <v>5360</v>
      </c>
      <c r="I3591" s="81" t="s">
        <v>912</v>
      </c>
      <c r="J3591" s="81" t="s">
        <v>224</v>
      </c>
    </row>
    <row r="3592" hidden="1">
      <c r="A3592" s="83" t="s">
        <v>6330</v>
      </c>
      <c r="B3592" s="83" t="s">
        <v>6331</v>
      </c>
      <c r="C3592" s="81" t="s">
        <v>6333</v>
      </c>
      <c r="D3592" s="83" t="s">
        <v>4235</v>
      </c>
      <c r="E3592" s="81" t="s">
        <v>908</v>
      </c>
      <c r="F3592" s="84">
        <v>161.0</v>
      </c>
      <c r="G3592" s="81" t="s">
        <v>40</v>
      </c>
      <c r="H3592" s="81" t="s">
        <v>5361</v>
      </c>
      <c r="I3592" s="81" t="s">
        <v>224</v>
      </c>
      <c r="J3592" s="81" t="s">
        <v>5143</v>
      </c>
    </row>
    <row r="3593" hidden="1">
      <c r="A3593" s="83" t="s">
        <v>6330</v>
      </c>
      <c r="B3593" s="83" t="s">
        <v>6331</v>
      </c>
      <c r="C3593" s="81" t="s">
        <v>4621</v>
      </c>
      <c r="D3593" s="83" t="s">
        <v>4237</v>
      </c>
      <c r="E3593" s="81" t="s">
        <v>916</v>
      </c>
      <c r="F3593" s="84">
        <v>162.0</v>
      </c>
      <c r="G3593" s="81" t="s">
        <v>39</v>
      </c>
      <c r="H3593" s="81" t="s">
        <v>5362</v>
      </c>
      <c r="I3593" s="81" t="s">
        <v>917</v>
      </c>
      <c r="J3593" s="81" t="s">
        <v>224</v>
      </c>
    </row>
    <row r="3594" hidden="1">
      <c r="A3594" s="83" t="s">
        <v>6330</v>
      </c>
      <c r="B3594" s="83" t="s">
        <v>6331</v>
      </c>
      <c r="C3594" s="81" t="s">
        <v>6333</v>
      </c>
      <c r="D3594" s="83" t="s">
        <v>4237</v>
      </c>
      <c r="E3594" s="81" t="s">
        <v>916</v>
      </c>
      <c r="F3594" s="84">
        <v>162.0</v>
      </c>
      <c r="G3594" s="81" t="s">
        <v>40</v>
      </c>
      <c r="H3594" s="81" t="s">
        <v>5363</v>
      </c>
      <c r="I3594" s="81" t="s">
        <v>224</v>
      </c>
      <c r="J3594" s="81" t="s">
        <v>5143</v>
      </c>
    </row>
    <row r="3595" hidden="1">
      <c r="A3595" s="83" t="s">
        <v>6330</v>
      </c>
      <c r="B3595" s="83" t="s">
        <v>6331</v>
      </c>
      <c r="C3595" s="81" t="s">
        <v>4621</v>
      </c>
      <c r="D3595" s="83" t="s">
        <v>4238</v>
      </c>
      <c r="E3595" s="81" t="s">
        <v>918</v>
      </c>
      <c r="F3595" s="84">
        <v>163.0</v>
      </c>
      <c r="G3595" s="81" t="s">
        <v>40</v>
      </c>
      <c r="H3595" s="81" t="s">
        <v>5364</v>
      </c>
      <c r="I3595" s="81" t="s">
        <v>923</v>
      </c>
      <c r="J3595" s="81" t="s">
        <v>224</v>
      </c>
    </row>
    <row r="3596" hidden="1">
      <c r="A3596" s="83" t="s">
        <v>6330</v>
      </c>
      <c r="B3596" s="83" t="s">
        <v>6331</v>
      </c>
      <c r="C3596" s="81" t="s">
        <v>4621</v>
      </c>
      <c r="D3596" s="83" t="s">
        <v>4239</v>
      </c>
      <c r="E3596" s="81" t="s">
        <v>925</v>
      </c>
      <c r="F3596" s="84">
        <v>164.0</v>
      </c>
      <c r="G3596" s="81" t="s">
        <v>39</v>
      </c>
      <c r="H3596" s="81" t="s">
        <v>5365</v>
      </c>
      <c r="I3596" s="81" t="s">
        <v>929</v>
      </c>
      <c r="J3596" s="81" t="s">
        <v>224</v>
      </c>
    </row>
    <row r="3597" hidden="1">
      <c r="A3597" s="83" t="s">
        <v>6330</v>
      </c>
      <c r="B3597" s="83" t="s">
        <v>6331</v>
      </c>
      <c r="C3597" s="81" t="s">
        <v>4621</v>
      </c>
      <c r="D3597" s="83" t="s">
        <v>4239</v>
      </c>
      <c r="E3597" s="81" t="s">
        <v>925</v>
      </c>
      <c r="F3597" s="84">
        <v>164.0</v>
      </c>
      <c r="G3597" s="81" t="s">
        <v>40</v>
      </c>
      <c r="H3597" s="81" t="s">
        <v>5366</v>
      </c>
      <c r="I3597" s="81" t="s">
        <v>930</v>
      </c>
      <c r="J3597" s="81" t="s">
        <v>224</v>
      </c>
    </row>
    <row r="3598" hidden="1">
      <c r="A3598" s="83" t="s">
        <v>6330</v>
      </c>
      <c r="B3598" s="83" t="s">
        <v>6331</v>
      </c>
      <c r="C3598" s="81" t="s">
        <v>4621</v>
      </c>
      <c r="D3598" s="83" t="s">
        <v>4239</v>
      </c>
      <c r="E3598" s="81" t="s">
        <v>934</v>
      </c>
      <c r="F3598" s="84">
        <v>165.0</v>
      </c>
      <c r="G3598" s="81" t="s">
        <v>39</v>
      </c>
      <c r="H3598" s="81" t="s">
        <v>5365</v>
      </c>
      <c r="I3598" s="81" t="s">
        <v>929</v>
      </c>
      <c r="J3598" s="81" t="s">
        <v>224</v>
      </c>
    </row>
    <row r="3599" hidden="1">
      <c r="A3599" s="83" t="s">
        <v>6330</v>
      </c>
      <c r="B3599" s="83" t="s">
        <v>6331</v>
      </c>
      <c r="C3599" s="81" t="s">
        <v>4621</v>
      </c>
      <c r="D3599" s="83" t="s">
        <v>4239</v>
      </c>
      <c r="E3599" s="81" t="s">
        <v>934</v>
      </c>
      <c r="F3599" s="84">
        <v>165.0</v>
      </c>
      <c r="G3599" s="81" t="s">
        <v>40</v>
      </c>
      <c r="H3599" s="81" t="s">
        <v>5366</v>
      </c>
      <c r="I3599" s="81" t="s">
        <v>930</v>
      </c>
      <c r="J3599" s="81" t="s">
        <v>224</v>
      </c>
    </row>
    <row r="3600" hidden="1">
      <c r="A3600" s="83" t="s">
        <v>6330</v>
      </c>
      <c r="B3600" s="83" t="s">
        <v>6331</v>
      </c>
      <c r="C3600" s="81" t="s">
        <v>4621</v>
      </c>
      <c r="D3600" s="83" t="s">
        <v>4240</v>
      </c>
      <c r="E3600" s="81" t="s">
        <v>935</v>
      </c>
      <c r="F3600" s="84">
        <v>166.0</v>
      </c>
      <c r="G3600" s="81" t="s">
        <v>40</v>
      </c>
      <c r="H3600" s="81" t="s">
        <v>5367</v>
      </c>
      <c r="I3600" s="81" t="s">
        <v>937</v>
      </c>
      <c r="J3600" s="81" t="s">
        <v>224</v>
      </c>
    </row>
    <row r="3601" hidden="1">
      <c r="A3601" s="83" t="s">
        <v>6330</v>
      </c>
      <c r="B3601" s="83" t="s">
        <v>6331</v>
      </c>
      <c r="C3601" s="81" t="s">
        <v>4621</v>
      </c>
      <c r="D3601" s="83" t="s">
        <v>4241</v>
      </c>
      <c r="E3601" s="81" t="s">
        <v>938</v>
      </c>
      <c r="F3601" s="84">
        <v>167.0</v>
      </c>
      <c r="G3601" s="81" t="s">
        <v>39</v>
      </c>
      <c r="H3601" s="81" t="s">
        <v>945</v>
      </c>
      <c r="I3601" s="81" t="s">
        <v>940</v>
      </c>
      <c r="J3601" s="81" t="s">
        <v>224</v>
      </c>
    </row>
    <row r="3602" hidden="1">
      <c r="A3602" s="83" t="s">
        <v>6330</v>
      </c>
      <c r="B3602" s="83" t="s">
        <v>6331</v>
      </c>
      <c r="C3602" s="81" t="s">
        <v>4621</v>
      </c>
      <c r="D3602" s="83" t="s">
        <v>4241</v>
      </c>
      <c r="E3602" s="81" t="s">
        <v>938</v>
      </c>
      <c r="F3602" s="84">
        <v>167.0</v>
      </c>
      <c r="G3602" s="81" t="s">
        <v>40</v>
      </c>
      <c r="H3602" s="81" t="s">
        <v>5368</v>
      </c>
      <c r="I3602" s="81" t="s">
        <v>941</v>
      </c>
      <c r="J3602" s="81" t="s">
        <v>224</v>
      </c>
    </row>
    <row r="3603" hidden="1">
      <c r="A3603" s="83" t="s">
        <v>6330</v>
      </c>
      <c r="B3603" s="83" t="s">
        <v>6331</v>
      </c>
      <c r="C3603" s="81" t="s">
        <v>4621</v>
      </c>
      <c r="D3603" s="83" t="s">
        <v>4241</v>
      </c>
      <c r="E3603" s="81" t="s">
        <v>943</v>
      </c>
      <c r="F3603" s="84">
        <v>168.0</v>
      </c>
      <c r="G3603" s="81" t="s">
        <v>40</v>
      </c>
      <c r="H3603" s="81" t="s">
        <v>5369</v>
      </c>
      <c r="I3603" s="81" t="s">
        <v>941</v>
      </c>
      <c r="J3603" s="81" t="s">
        <v>224</v>
      </c>
    </row>
    <row r="3604" hidden="1">
      <c r="A3604" s="83" t="s">
        <v>6330</v>
      </c>
      <c r="B3604" s="83" t="s">
        <v>6331</v>
      </c>
      <c r="C3604" s="81" t="s">
        <v>4621</v>
      </c>
      <c r="D3604" s="83" t="s">
        <v>4242</v>
      </c>
      <c r="E3604" s="81" t="s">
        <v>944</v>
      </c>
      <c r="F3604" s="84">
        <v>169.0</v>
      </c>
      <c r="G3604" s="81" t="s">
        <v>39</v>
      </c>
      <c r="H3604" s="81" t="s">
        <v>5370</v>
      </c>
      <c r="I3604" s="81" t="s">
        <v>945</v>
      </c>
      <c r="J3604" s="81" t="s">
        <v>224</v>
      </c>
    </row>
    <row r="3605" hidden="1">
      <c r="A3605" s="83" t="s">
        <v>6330</v>
      </c>
      <c r="B3605" s="83" t="s">
        <v>6331</v>
      </c>
      <c r="C3605" s="81" t="s">
        <v>4621</v>
      </c>
      <c r="D3605" s="83" t="s">
        <v>4242</v>
      </c>
      <c r="E3605" s="81" t="s">
        <v>944</v>
      </c>
      <c r="F3605" s="84">
        <v>169.0</v>
      </c>
      <c r="G3605" s="81" t="s">
        <v>40</v>
      </c>
      <c r="H3605" s="81" t="s">
        <v>5371</v>
      </c>
      <c r="I3605" s="81" t="s">
        <v>946</v>
      </c>
      <c r="J3605" s="81" t="s">
        <v>224</v>
      </c>
    </row>
    <row r="3606" hidden="1">
      <c r="A3606" s="83" t="s">
        <v>6330</v>
      </c>
      <c r="B3606" s="83" t="s">
        <v>6331</v>
      </c>
      <c r="C3606" s="81" t="s">
        <v>4621</v>
      </c>
      <c r="D3606" s="83" t="s">
        <v>4243</v>
      </c>
      <c r="E3606" s="81" t="s">
        <v>947</v>
      </c>
      <c r="F3606" s="84">
        <v>170.0</v>
      </c>
      <c r="G3606" s="81" t="s">
        <v>39</v>
      </c>
      <c r="H3606" s="81" t="s">
        <v>5372</v>
      </c>
      <c r="I3606" s="81" t="s">
        <v>949</v>
      </c>
      <c r="J3606" s="81" t="s">
        <v>224</v>
      </c>
    </row>
    <row r="3607" hidden="1">
      <c r="A3607" s="83" t="s">
        <v>6330</v>
      </c>
      <c r="B3607" s="83" t="s">
        <v>6331</v>
      </c>
      <c r="C3607" s="81" t="s">
        <v>4621</v>
      </c>
      <c r="D3607" s="83" t="s">
        <v>4243</v>
      </c>
      <c r="E3607" s="81" t="s">
        <v>947</v>
      </c>
      <c r="F3607" s="84">
        <v>170.0</v>
      </c>
      <c r="G3607" s="81" t="s">
        <v>40</v>
      </c>
      <c r="H3607" s="81" t="s">
        <v>224</v>
      </c>
      <c r="I3607" s="81" t="s">
        <v>950</v>
      </c>
      <c r="J3607" s="81" t="s">
        <v>224</v>
      </c>
    </row>
    <row r="3608" hidden="1">
      <c r="A3608" s="83" t="s">
        <v>6330</v>
      </c>
      <c r="B3608" s="83" t="s">
        <v>6331</v>
      </c>
      <c r="C3608" s="81" t="s">
        <v>4621</v>
      </c>
      <c r="D3608" s="83" t="s">
        <v>4243</v>
      </c>
      <c r="E3608" s="81" t="s">
        <v>951</v>
      </c>
      <c r="F3608" s="84">
        <v>171.0</v>
      </c>
      <c r="G3608" s="81" t="s">
        <v>39</v>
      </c>
      <c r="H3608" s="81" t="s">
        <v>5372</v>
      </c>
      <c r="I3608" s="81" t="s">
        <v>949</v>
      </c>
      <c r="J3608" s="81" t="s">
        <v>224</v>
      </c>
    </row>
    <row r="3609" hidden="1">
      <c r="A3609" s="83" t="s">
        <v>6330</v>
      </c>
      <c r="B3609" s="83" t="s">
        <v>6331</v>
      </c>
      <c r="C3609" s="81" t="s">
        <v>4621</v>
      </c>
      <c r="D3609" s="83" t="s">
        <v>4243</v>
      </c>
      <c r="E3609" s="81" t="s">
        <v>951</v>
      </c>
      <c r="F3609" s="84">
        <v>171.0</v>
      </c>
      <c r="G3609" s="81" t="s">
        <v>40</v>
      </c>
      <c r="H3609" s="81" t="s">
        <v>5373</v>
      </c>
      <c r="I3609" s="81" t="s">
        <v>950</v>
      </c>
      <c r="J3609" s="81" t="s">
        <v>224</v>
      </c>
    </row>
    <row r="3610" hidden="1">
      <c r="A3610" s="83" t="s">
        <v>6330</v>
      </c>
      <c r="B3610" s="83" t="s">
        <v>6331</v>
      </c>
      <c r="C3610" s="81" t="s">
        <v>4621</v>
      </c>
      <c r="D3610" s="83" t="s">
        <v>4244</v>
      </c>
      <c r="E3610" s="81" t="s">
        <v>952</v>
      </c>
      <c r="F3610" s="84">
        <v>172.0</v>
      </c>
      <c r="G3610" s="81" t="s">
        <v>40</v>
      </c>
      <c r="H3610" s="81" t="s">
        <v>5374</v>
      </c>
      <c r="I3610" s="81" t="s">
        <v>954</v>
      </c>
      <c r="J3610" s="81" t="s">
        <v>224</v>
      </c>
    </row>
    <row r="3611" hidden="1">
      <c r="A3611" s="83" t="s">
        <v>6330</v>
      </c>
      <c r="B3611" s="83" t="s">
        <v>6331</v>
      </c>
      <c r="C3611" s="81" t="s">
        <v>4621</v>
      </c>
      <c r="D3611" s="83" t="s">
        <v>4245</v>
      </c>
      <c r="E3611" s="81" t="s">
        <v>955</v>
      </c>
      <c r="F3611" s="84">
        <v>173.0</v>
      </c>
      <c r="G3611" s="81" t="s">
        <v>39</v>
      </c>
      <c r="H3611" s="81" t="s">
        <v>5375</v>
      </c>
      <c r="I3611" s="81" t="s">
        <v>957</v>
      </c>
      <c r="J3611" s="81" t="s">
        <v>224</v>
      </c>
    </row>
    <row r="3612" hidden="1">
      <c r="A3612" s="83" t="s">
        <v>6330</v>
      </c>
      <c r="B3612" s="83" t="s">
        <v>6331</v>
      </c>
      <c r="C3612" s="81" t="s">
        <v>4621</v>
      </c>
      <c r="D3612" s="83" t="s">
        <v>4245</v>
      </c>
      <c r="E3612" s="81" t="s">
        <v>955</v>
      </c>
      <c r="F3612" s="84">
        <v>173.0</v>
      </c>
      <c r="G3612" s="81" t="s">
        <v>40</v>
      </c>
      <c r="H3612" s="81" t="s">
        <v>5376</v>
      </c>
      <c r="I3612" s="81" t="s">
        <v>958</v>
      </c>
      <c r="J3612" s="81" t="s">
        <v>224</v>
      </c>
    </row>
    <row r="3613" hidden="1">
      <c r="A3613" s="83" t="s">
        <v>6330</v>
      </c>
      <c r="B3613" s="83" t="s">
        <v>6331</v>
      </c>
      <c r="C3613" s="81" t="s">
        <v>4621</v>
      </c>
      <c r="D3613" s="83" t="s">
        <v>4245</v>
      </c>
      <c r="E3613" s="81" t="s">
        <v>961</v>
      </c>
      <c r="F3613" s="84">
        <v>174.0</v>
      </c>
      <c r="G3613" s="81" t="s">
        <v>39</v>
      </c>
      <c r="H3613" s="81" t="s">
        <v>5375</v>
      </c>
      <c r="I3613" s="81" t="s">
        <v>957</v>
      </c>
      <c r="J3613" s="81" t="s">
        <v>224</v>
      </c>
    </row>
    <row r="3614" hidden="1">
      <c r="A3614" s="83" t="s">
        <v>6330</v>
      </c>
      <c r="B3614" s="83" t="s">
        <v>6331</v>
      </c>
      <c r="C3614" s="81" t="s">
        <v>4621</v>
      </c>
      <c r="D3614" s="83" t="s">
        <v>4245</v>
      </c>
      <c r="E3614" s="81" t="s">
        <v>961</v>
      </c>
      <c r="F3614" s="84">
        <v>174.0</v>
      </c>
      <c r="G3614" s="81" t="s">
        <v>40</v>
      </c>
      <c r="H3614" s="81" t="s">
        <v>5376</v>
      </c>
      <c r="I3614" s="81" t="s">
        <v>958</v>
      </c>
      <c r="J3614" s="81" t="s">
        <v>224</v>
      </c>
    </row>
    <row r="3615" hidden="1">
      <c r="A3615" s="83" t="s">
        <v>6330</v>
      </c>
      <c r="B3615" s="83" t="s">
        <v>6331</v>
      </c>
      <c r="C3615" s="81" t="s">
        <v>4621</v>
      </c>
      <c r="D3615" s="83" t="s">
        <v>4246</v>
      </c>
      <c r="E3615" s="81" t="s">
        <v>962</v>
      </c>
      <c r="F3615" s="84">
        <v>175.0</v>
      </c>
      <c r="G3615" s="81" t="s">
        <v>39</v>
      </c>
      <c r="H3615" s="81" t="s">
        <v>5377</v>
      </c>
      <c r="I3615" s="81" t="s">
        <v>963</v>
      </c>
      <c r="J3615" s="81" t="s">
        <v>224</v>
      </c>
    </row>
    <row r="3616" hidden="1">
      <c r="A3616" s="83" t="s">
        <v>6330</v>
      </c>
      <c r="B3616" s="83" t="s">
        <v>6331</v>
      </c>
      <c r="C3616" s="81" t="s">
        <v>4621</v>
      </c>
      <c r="D3616" s="83" t="s">
        <v>4246</v>
      </c>
      <c r="E3616" s="81" t="s">
        <v>962</v>
      </c>
      <c r="F3616" s="84">
        <v>175.0</v>
      </c>
      <c r="G3616" s="81" t="s">
        <v>40</v>
      </c>
      <c r="H3616" s="81" t="s">
        <v>5378</v>
      </c>
      <c r="I3616" s="81" t="s">
        <v>964</v>
      </c>
      <c r="J3616" s="81" t="s">
        <v>224</v>
      </c>
    </row>
    <row r="3617" hidden="1">
      <c r="A3617" s="83" t="s">
        <v>6330</v>
      </c>
      <c r="B3617" s="83" t="s">
        <v>6331</v>
      </c>
      <c r="C3617" s="81" t="s">
        <v>4621</v>
      </c>
      <c r="D3617" s="83" t="s">
        <v>4247</v>
      </c>
      <c r="E3617" s="81" t="s">
        <v>965</v>
      </c>
      <c r="F3617" s="84">
        <v>176.0</v>
      </c>
      <c r="G3617" s="81" t="s">
        <v>39</v>
      </c>
      <c r="H3617" s="81" t="s">
        <v>5379</v>
      </c>
      <c r="I3617" s="81" t="s">
        <v>967</v>
      </c>
      <c r="J3617" s="81" t="s">
        <v>224</v>
      </c>
    </row>
    <row r="3618" hidden="1">
      <c r="A3618" s="83" t="s">
        <v>6330</v>
      </c>
      <c r="B3618" s="83" t="s">
        <v>6331</v>
      </c>
      <c r="C3618" s="81" t="s">
        <v>4621</v>
      </c>
      <c r="D3618" s="83" t="s">
        <v>4247</v>
      </c>
      <c r="E3618" s="81" t="s">
        <v>965</v>
      </c>
      <c r="F3618" s="84">
        <v>176.0</v>
      </c>
      <c r="G3618" s="81" t="s">
        <v>40</v>
      </c>
      <c r="H3618" s="81" t="s">
        <v>5380</v>
      </c>
      <c r="I3618" s="81" t="s">
        <v>968</v>
      </c>
      <c r="J3618" s="81" t="s">
        <v>224</v>
      </c>
    </row>
    <row r="3619" hidden="1">
      <c r="A3619" s="83" t="s">
        <v>6330</v>
      </c>
      <c r="B3619" s="83" t="s">
        <v>6331</v>
      </c>
      <c r="C3619" s="81" t="s">
        <v>4621</v>
      </c>
      <c r="D3619" s="83" t="s">
        <v>4247</v>
      </c>
      <c r="E3619" s="81" t="s">
        <v>971</v>
      </c>
      <c r="F3619" s="84">
        <v>177.0</v>
      </c>
      <c r="G3619" s="81" t="s">
        <v>39</v>
      </c>
      <c r="H3619" s="81" t="s">
        <v>5379</v>
      </c>
      <c r="I3619" s="81" t="s">
        <v>967</v>
      </c>
      <c r="J3619" s="81" t="s">
        <v>224</v>
      </c>
    </row>
    <row r="3620" hidden="1">
      <c r="A3620" s="83" t="s">
        <v>6330</v>
      </c>
      <c r="B3620" s="83" t="s">
        <v>6331</v>
      </c>
      <c r="C3620" s="81" t="s">
        <v>4621</v>
      </c>
      <c r="D3620" s="83" t="s">
        <v>4247</v>
      </c>
      <c r="E3620" s="81" t="s">
        <v>971</v>
      </c>
      <c r="F3620" s="84">
        <v>177.0</v>
      </c>
      <c r="G3620" s="81" t="s">
        <v>40</v>
      </c>
      <c r="H3620" s="81" t="s">
        <v>5380</v>
      </c>
      <c r="I3620" s="81" t="s">
        <v>968</v>
      </c>
      <c r="J3620" s="81" t="s">
        <v>224</v>
      </c>
    </row>
    <row r="3621" hidden="1">
      <c r="A3621" s="83" t="s">
        <v>6330</v>
      </c>
      <c r="B3621" s="83" t="s">
        <v>6331</v>
      </c>
      <c r="C3621" s="81" t="s">
        <v>4621</v>
      </c>
      <c r="D3621" s="83" t="s">
        <v>4248</v>
      </c>
      <c r="E3621" s="81" t="s">
        <v>972</v>
      </c>
      <c r="F3621" s="84">
        <v>178.0</v>
      </c>
      <c r="G3621" s="81" t="s">
        <v>39</v>
      </c>
      <c r="H3621" s="81" t="s">
        <v>5381</v>
      </c>
      <c r="I3621" s="81" t="s">
        <v>973</v>
      </c>
      <c r="J3621" s="81" t="s">
        <v>224</v>
      </c>
    </row>
    <row r="3622" hidden="1">
      <c r="A3622" s="83" t="s">
        <v>6330</v>
      </c>
      <c r="B3622" s="83" t="s">
        <v>6331</v>
      </c>
      <c r="C3622" s="81" t="s">
        <v>4621</v>
      </c>
      <c r="D3622" s="83" t="s">
        <v>4248</v>
      </c>
      <c r="E3622" s="81" t="s">
        <v>972</v>
      </c>
      <c r="F3622" s="84">
        <v>178.0</v>
      </c>
      <c r="G3622" s="81" t="s">
        <v>40</v>
      </c>
      <c r="H3622" s="81" t="s">
        <v>5382</v>
      </c>
      <c r="I3622" s="81" t="s">
        <v>974</v>
      </c>
      <c r="J3622" s="81" t="s">
        <v>224</v>
      </c>
    </row>
    <row r="3623" hidden="1">
      <c r="A3623" s="83" t="s">
        <v>6330</v>
      </c>
      <c r="B3623" s="83" t="s">
        <v>6331</v>
      </c>
      <c r="C3623" s="81" t="s">
        <v>4621</v>
      </c>
      <c r="D3623" s="83" t="s">
        <v>4249</v>
      </c>
      <c r="E3623" s="81" t="s">
        <v>975</v>
      </c>
      <c r="F3623" s="84">
        <v>179.0</v>
      </c>
      <c r="G3623" s="81" t="s">
        <v>39</v>
      </c>
      <c r="H3623" s="81" t="s">
        <v>5383</v>
      </c>
      <c r="I3623" s="81" t="s">
        <v>977</v>
      </c>
      <c r="J3623" s="81" t="s">
        <v>224</v>
      </c>
    </row>
    <row r="3624" hidden="1">
      <c r="A3624" s="83" t="s">
        <v>6330</v>
      </c>
      <c r="B3624" s="83" t="s">
        <v>6331</v>
      </c>
      <c r="C3624" s="81" t="s">
        <v>4621</v>
      </c>
      <c r="D3624" s="83" t="s">
        <v>4249</v>
      </c>
      <c r="E3624" s="81" t="s">
        <v>975</v>
      </c>
      <c r="F3624" s="84">
        <v>179.0</v>
      </c>
      <c r="G3624" s="81" t="s">
        <v>40</v>
      </c>
      <c r="H3624" s="81" t="s">
        <v>5384</v>
      </c>
      <c r="I3624" s="81" t="s">
        <v>978</v>
      </c>
      <c r="J3624" s="81" t="s">
        <v>224</v>
      </c>
    </row>
    <row r="3625" hidden="1">
      <c r="A3625" s="83" t="s">
        <v>6330</v>
      </c>
      <c r="B3625" s="83" t="s">
        <v>6331</v>
      </c>
      <c r="C3625" s="81" t="s">
        <v>4621</v>
      </c>
      <c r="D3625" s="83" t="s">
        <v>4249</v>
      </c>
      <c r="E3625" s="81" t="s">
        <v>981</v>
      </c>
      <c r="F3625" s="84">
        <v>180.0</v>
      </c>
      <c r="G3625" s="81" t="s">
        <v>39</v>
      </c>
      <c r="H3625" s="81" t="s">
        <v>5383</v>
      </c>
      <c r="I3625" s="81" t="s">
        <v>977</v>
      </c>
      <c r="J3625" s="81" t="s">
        <v>224</v>
      </c>
    </row>
    <row r="3626" hidden="1">
      <c r="A3626" s="83" t="s">
        <v>6330</v>
      </c>
      <c r="B3626" s="83" t="s">
        <v>6331</v>
      </c>
      <c r="C3626" s="81" t="s">
        <v>4621</v>
      </c>
      <c r="D3626" s="83" t="s">
        <v>4249</v>
      </c>
      <c r="E3626" s="81" t="s">
        <v>981</v>
      </c>
      <c r="F3626" s="84">
        <v>180.0</v>
      </c>
      <c r="G3626" s="81" t="s">
        <v>40</v>
      </c>
      <c r="H3626" s="81" t="s">
        <v>5384</v>
      </c>
      <c r="I3626" s="81" t="s">
        <v>978</v>
      </c>
      <c r="J3626" s="81" t="s">
        <v>224</v>
      </c>
    </row>
    <row r="3627" hidden="1">
      <c r="A3627" s="83" t="s">
        <v>6330</v>
      </c>
      <c r="B3627" s="83" t="s">
        <v>6331</v>
      </c>
      <c r="C3627" s="81" t="s">
        <v>4621</v>
      </c>
      <c r="D3627" s="83" t="s">
        <v>4250</v>
      </c>
      <c r="E3627" s="81" t="s">
        <v>982</v>
      </c>
      <c r="F3627" s="84">
        <v>181.0</v>
      </c>
      <c r="G3627" s="81" t="s">
        <v>40</v>
      </c>
      <c r="H3627" s="81" t="s">
        <v>5385</v>
      </c>
      <c r="I3627" s="81" t="s">
        <v>984</v>
      </c>
      <c r="J3627" s="81" t="s">
        <v>224</v>
      </c>
    </row>
    <row r="3628" hidden="1">
      <c r="A3628" s="83" t="s">
        <v>6330</v>
      </c>
      <c r="B3628" s="83" t="s">
        <v>6331</v>
      </c>
      <c r="C3628" s="81" t="s">
        <v>4621</v>
      </c>
      <c r="D3628" s="83" t="s">
        <v>4251</v>
      </c>
      <c r="E3628" s="81" t="s">
        <v>985</v>
      </c>
      <c r="F3628" s="84">
        <v>182.0</v>
      </c>
      <c r="G3628" s="81" t="s">
        <v>39</v>
      </c>
      <c r="H3628" s="81" t="s">
        <v>5386</v>
      </c>
      <c r="I3628" s="81" t="s">
        <v>987</v>
      </c>
      <c r="J3628" s="81" t="s">
        <v>224</v>
      </c>
    </row>
    <row r="3629" hidden="1">
      <c r="A3629" s="83" t="s">
        <v>6330</v>
      </c>
      <c r="B3629" s="83" t="s">
        <v>6331</v>
      </c>
      <c r="C3629" s="81" t="s">
        <v>4621</v>
      </c>
      <c r="D3629" s="83" t="s">
        <v>4251</v>
      </c>
      <c r="E3629" s="81" t="s">
        <v>985</v>
      </c>
      <c r="F3629" s="84">
        <v>182.0</v>
      </c>
      <c r="G3629" s="81" t="s">
        <v>40</v>
      </c>
      <c r="H3629" s="81" t="s">
        <v>5387</v>
      </c>
      <c r="I3629" s="81" t="s">
        <v>988</v>
      </c>
      <c r="J3629" s="81" t="s">
        <v>224</v>
      </c>
    </row>
    <row r="3630" hidden="1">
      <c r="A3630" s="83" t="s">
        <v>6330</v>
      </c>
      <c r="B3630" s="83" t="s">
        <v>6331</v>
      </c>
      <c r="C3630" s="81" t="s">
        <v>4621</v>
      </c>
      <c r="D3630" s="83" t="s">
        <v>4251</v>
      </c>
      <c r="E3630" s="81" t="s">
        <v>991</v>
      </c>
      <c r="F3630" s="84">
        <v>183.0</v>
      </c>
      <c r="G3630" s="81" t="s">
        <v>40</v>
      </c>
      <c r="H3630" s="81" t="s">
        <v>5388</v>
      </c>
      <c r="I3630" s="81" t="s">
        <v>988</v>
      </c>
      <c r="J3630" s="81" t="s">
        <v>224</v>
      </c>
    </row>
    <row r="3631" hidden="1">
      <c r="A3631" s="83" t="s">
        <v>6330</v>
      </c>
      <c r="B3631" s="83" t="s">
        <v>6331</v>
      </c>
      <c r="C3631" s="81" t="s">
        <v>4621</v>
      </c>
      <c r="D3631" s="83" t="s">
        <v>4252</v>
      </c>
      <c r="E3631" s="81" t="s">
        <v>992</v>
      </c>
      <c r="F3631" s="84">
        <v>184.0</v>
      </c>
      <c r="G3631" s="81" t="s">
        <v>40</v>
      </c>
      <c r="H3631" s="81" t="s">
        <v>5389</v>
      </c>
      <c r="I3631" s="81" t="s">
        <v>994</v>
      </c>
      <c r="J3631" s="81" t="s">
        <v>224</v>
      </c>
    </row>
    <row r="3632" hidden="1">
      <c r="A3632" s="83" t="s">
        <v>6330</v>
      </c>
      <c r="B3632" s="83" t="s">
        <v>6331</v>
      </c>
      <c r="C3632" s="81" t="s">
        <v>4621</v>
      </c>
      <c r="D3632" s="83" t="s">
        <v>4253</v>
      </c>
      <c r="E3632" s="81" t="s">
        <v>995</v>
      </c>
      <c r="F3632" s="84">
        <v>185.0</v>
      </c>
      <c r="G3632" s="81" t="s">
        <v>39</v>
      </c>
      <c r="H3632" s="81" t="s">
        <v>5390</v>
      </c>
      <c r="I3632" s="81" t="s">
        <v>997</v>
      </c>
      <c r="J3632" s="81" t="s">
        <v>224</v>
      </c>
    </row>
    <row r="3633" hidden="1">
      <c r="A3633" s="83" t="s">
        <v>6330</v>
      </c>
      <c r="B3633" s="83" t="s">
        <v>6331</v>
      </c>
      <c r="C3633" s="81" t="s">
        <v>4621</v>
      </c>
      <c r="D3633" s="83" t="s">
        <v>4253</v>
      </c>
      <c r="E3633" s="81" t="s">
        <v>995</v>
      </c>
      <c r="F3633" s="84">
        <v>185.0</v>
      </c>
      <c r="G3633" s="81" t="s">
        <v>40</v>
      </c>
      <c r="H3633" s="81" t="s">
        <v>5391</v>
      </c>
      <c r="I3633" s="81" t="s">
        <v>998</v>
      </c>
      <c r="J3633" s="81" t="s">
        <v>224</v>
      </c>
    </row>
    <row r="3634" hidden="1">
      <c r="A3634" s="83" t="s">
        <v>6330</v>
      </c>
      <c r="B3634" s="83" t="s">
        <v>6331</v>
      </c>
      <c r="C3634" s="81" t="s">
        <v>4621</v>
      </c>
      <c r="D3634" s="83" t="s">
        <v>4253</v>
      </c>
      <c r="E3634" s="81" t="s">
        <v>1001</v>
      </c>
      <c r="F3634" s="84">
        <v>186.0</v>
      </c>
      <c r="G3634" s="81" t="s">
        <v>39</v>
      </c>
      <c r="H3634" s="81" t="s">
        <v>5390</v>
      </c>
      <c r="I3634" s="81" t="s">
        <v>997</v>
      </c>
      <c r="J3634" s="81" t="s">
        <v>224</v>
      </c>
    </row>
    <row r="3635" hidden="1">
      <c r="A3635" s="83" t="s">
        <v>6330</v>
      </c>
      <c r="B3635" s="83" t="s">
        <v>6331</v>
      </c>
      <c r="C3635" s="81" t="s">
        <v>4621</v>
      </c>
      <c r="D3635" s="83" t="s">
        <v>4253</v>
      </c>
      <c r="E3635" s="81" t="s">
        <v>1001</v>
      </c>
      <c r="F3635" s="84">
        <v>186.0</v>
      </c>
      <c r="G3635" s="81" t="s">
        <v>40</v>
      </c>
      <c r="H3635" s="81" t="s">
        <v>5391</v>
      </c>
      <c r="I3635" s="81" t="s">
        <v>998</v>
      </c>
      <c r="J3635" s="81" t="s">
        <v>224</v>
      </c>
    </row>
    <row r="3636" hidden="1">
      <c r="A3636" s="83" t="s">
        <v>6330</v>
      </c>
      <c r="B3636" s="83" t="s">
        <v>6331</v>
      </c>
      <c r="C3636" s="81" t="s">
        <v>4621</v>
      </c>
      <c r="D3636" s="83" t="s">
        <v>4254</v>
      </c>
      <c r="E3636" s="81" t="s">
        <v>1002</v>
      </c>
      <c r="F3636" s="84">
        <v>187.0</v>
      </c>
      <c r="G3636" s="81" t="s">
        <v>39</v>
      </c>
      <c r="H3636" s="81" t="s">
        <v>5392</v>
      </c>
      <c r="I3636" s="81" t="s">
        <v>1003</v>
      </c>
      <c r="J3636" s="81" t="s">
        <v>224</v>
      </c>
    </row>
    <row r="3637" hidden="1">
      <c r="A3637" s="83" t="s">
        <v>6330</v>
      </c>
      <c r="B3637" s="83" t="s">
        <v>6331</v>
      </c>
      <c r="C3637" s="81" t="s">
        <v>4621</v>
      </c>
      <c r="D3637" s="83" t="s">
        <v>4254</v>
      </c>
      <c r="E3637" s="81" t="s">
        <v>1002</v>
      </c>
      <c r="F3637" s="84">
        <v>187.0</v>
      </c>
      <c r="G3637" s="81" t="s">
        <v>40</v>
      </c>
      <c r="H3637" s="81" t="s">
        <v>5393</v>
      </c>
      <c r="I3637" s="81" t="s">
        <v>1004</v>
      </c>
      <c r="J3637" s="81" t="s">
        <v>224</v>
      </c>
    </row>
    <row r="3638" hidden="1">
      <c r="A3638" s="83" t="s">
        <v>6330</v>
      </c>
      <c r="B3638" s="83" t="s">
        <v>6331</v>
      </c>
      <c r="C3638" s="81" t="s">
        <v>4621</v>
      </c>
      <c r="D3638" s="83" t="s">
        <v>4255</v>
      </c>
      <c r="E3638" s="81" t="s">
        <v>1005</v>
      </c>
      <c r="F3638" s="84">
        <v>188.0</v>
      </c>
      <c r="G3638" s="81" t="s">
        <v>39</v>
      </c>
      <c r="H3638" s="81" t="s">
        <v>5394</v>
      </c>
      <c r="I3638" s="81" t="s">
        <v>1007</v>
      </c>
      <c r="J3638" s="81" t="s">
        <v>224</v>
      </c>
    </row>
    <row r="3639" hidden="1">
      <c r="A3639" s="83" t="s">
        <v>6330</v>
      </c>
      <c r="B3639" s="83" t="s">
        <v>6331</v>
      </c>
      <c r="C3639" s="81" t="s">
        <v>4621</v>
      </c>
      <c r="D3639" s="83" t="s">
        <v>4255</v>
      </c>
      <c r="E3639" s="81" t="s">
        <v>1005</v>
      </c>
      <c r="F3639" s="84">
        <v>188.0</v>
      </c>
      <c r="G3639" s="81" t="s">
        <v>40</v>
      </c>
      <c r="H3639" s="81" t="s">
        <v>5395</v>
      </c>
      <c r="I3639" s="81" t="s">
        <v>1008</v>
      </c>
      <c r="J3639" s="81" t="s">
        <v>224</v>
      </c>
    </row>
    <row r="3640" hidden="1">
      <c r="A3640" s="83" t="s">
        <v>6330</v>
      </c>
      <c r="B3640" s="83" t="s">
        <v>6331</v>
      </c>
      <c r="C3640" s="81" t="s">
        <v>4621</v>
      </c>
      <c r="D3640" s="83" t="s">
        <v>4255</v>
      </c>
      <c r="E3640" s="81" t="s">
        <v>1011</v>
      </c>
      <c r="F3640" s="84">
        <v>189.0</v>
      </c>
      <c r="G3640" s="81" t="s">
        <v>39</v>
      </c>
      <c r="H3640" s="81" t="s">
        <v>5394</v>
      </c>
      <c r="I3640" s="81" t="s">
        <v>1007</v>
      </c>
      <c r="J3640" s="81" t="s">
        <v>224</v>
      </c>
    </row>
    <row r="3641" hidden="1">
      <c r="A3641" s="83" t="s">
        <v>6330</v>
      </c>
      <c r="B3641" s="83" t="s">
        <v>6331</v>
      </c>
      <c r="C3641" s="81" t="s">
        <v>4621</v>
      </c>
      <c r="D3641" s="83" t="s">
        <v>4255</v>
      </c>
      <c r="E3641" s="81" t="s">
        <v>1011</v>
      </c>
      <c r="F3641" s="84">
        <v>189.0</v>
      </c>
      <c r="G3641" s="81" t="s">
        <v>40</v>
      </c>
      <c r="H3641" s="81" t="s">
        <v>5395</v>
      </c>
      <c r="I3641" s="81" t="s">
        <v>1008</v>
      </c>
      <c r="J3641" s="81" t="s">
        <v>224</v>
      </c>
    </row>
    <row r="3642" hidden="1">
      <c r="A3642" s="83" t="s">
        <v>6330</v>
      </c>
      <c r="B3642" s="83" t="s">
        <v>6331</v>
      </c>
      <c r="C3642" s="81" t="s">
        <v>4621</v>
      </c>
      <c r="D3642" s="83" t="s">
        <v>4256</v>
      </c>
      <c r="E3642" s="81" t="s">
        <v>1012</v>
      </c>
      <c r="F3642" s="84">
        <v>190.0</v>
      </c>
      <c r="G3642" s="81" t="s">
        <v>39</v>
      </c>
      <c r="H3642" s="81" t="s">
        <v>5396</v>
      </c>
      <c r="I3642" s="81" t="s">
        <v>1013</v>
      </c>
      <c r="J3642" s="81" t="s">
        <v>224</v>
      </c>
    </row>
    <row r="3643" hidden="1">
      <c r="A3643" s="83" t="s">
        <v>6330</v>
      </c>
      <c r="B3643" s="83" t="s">
        <v>6331</v>
      </c>
      <c r="C3643" s="81" t="s">
        <v>4621</v>
      </c>
      <c r="D3643" s="83" t="s">
        <v>4256</v>
      </c>
      <c r="E3643" s="81" t="s">
        <v>1012</v>
      </c>
      <c r="F3643" s="84">
        <v>190.0</v>
      </c>
      <c r="G3643" s="81" t="s">
        <v>40</v>
      </c>
      <c r="H3643" s="81" t="s">
        <v>5397</v>
      </c>
      <c r="I3643" s="81" t="s">
        <v>1014</v>
      </c>
      <c r="J3643" s="81" t="s">
        <v>224</v>
      </c>
    </row>
    <row r="3644" hidden="1">
      <c r="A3644" s="83" t="s">
        <v>6330</v>
      </c>
      <c r="B3644" s="83" t="s">
        <v>6331</v>
      </c>
      <c r="C3644" s="81" t="s">
        <v>4621</v>
      </c>
      <c r="D3644" s="83" t="s">
        <v>4257</v>
      </c>
      <c r="E3644" s="81" t="s">
        <v>1015</v>
      </c>
      <c r="F3644" s="84">
        <v>191.0</v>
      </c>
      <c r="G3644" s="81" t="s">
        <v>39</v>
      </c>
      <c r="H3644" s="81" t="s">
        <v>5398</v>
      </c>
      <c r="I3644" s="81" t="s">
        <v>5399</v>
      </c>
      <c r="J3644" s="81" t="s">
        <v>224</v>
      </c>
    </row>
    <row r="3645" hidden="1">
      <c r="A3645" s="83" t="s">
        <v>6330</v>
      </c>
      <c r="B3645" s="83" t="s">
        <v>6331</v>
      </c>
      <c r="C3645" s="81" t="s">
        <v>4621</v>
      </c>
      <c r="D3645" s="83" t="s">
        <v>4257</v>
      </c>
      <c r="E3645" s="81" t="s">
        <v>1015</v>
      </c>
      <c r="F3645" s="84">
        <v>191.0</v>
      </c>
      <c r="G3645" s="81" t="s">
        <v>40</v>
      </c>
      <c r="H3645" s="81" t="s">
        <v>5400</v>
      </c>
      <c r="I3645" s="81" t="s">
        <v>5401</v>
      </c>
      <c r="J3645" s="81" t="s">
        <v>224</v>
      </c>
    </row>
    <row r="3646" hidden="1">
      <c r="A3646" s="83" t="s">
        <v>6330</v>
      </c>
      <c r="B3646" s="83" t="s">
        <v>6331</v>
      </c>
      <c r="C3646" s="81" t="s">
        <v>4621</v>
      </c>
      <c r="D3646" s="83" t="s">
        <v>4257</v>
      </c>
      <c r="E3646" s="81" t="s">
        <v>1025</v>
      </c>
      <c r="F3646" s="84">
        <v>192.0</v>
      </c>
      <c r="G3646" s="81" t="s">
        <v>39</v>
      </c>
      <c r="H3646" s="81" t="s">
        <v>5402</v>
      </c>
      <c r="I3646" s="81" t="s">
        <v>5399</v>
      </c>
      <c r="J3646" s="81" t="s">
        <v>224</v>
      </c>
    </row>
    <row r="3647" hidden="1">
      <c r="A3647" s="83" t="s">
        <v>6330</v>
      </c>
      <c r="B3647" s="83" t="s">
        <v>6331</v>
      </c>
      <c r="C3647" s="81" t="s">
        <v>4621</v>
      </c>
      <c r="D3647" s="83" t="s">
        <v>4257</v>
      </c>
      <c r="E3647" s="81" t="s">
        <v>1025</v>
      </c>
      <c r="F3647" s="84">
        <v>192.0</v>
      </c>
      <c r="G3647" s="81" t="s">
        <v>40</v>
      </c>
      <c r="H3647" s="81" t="s">
        <v>5403</v>
      </c>
      <c r="I3647" s="81" t="s">
        <v>5401</v>
      </c>
      <c r="J3647" s="81" t="s">
        <v>224</v>
      </c>
    </row>
    <row r="3648" hidden="1">
      <c r="A3648" s="83" t="s">
        <v>6330</v>
      </c>
      <c r="B3648" s="83" t="s">
        <v>6331</v>
      </c>
      <c r="C3648" s="81" t="s">
        <v>4621</v>
      </c>
      <c r="D3648" s="83" t="s">
        <v>4260</v>
      </c>
      <c r="E3648" s="81" t="s">
        <v>1028</v>
      </c>
      <c r="F3648" s="84">
        <v>193.0</v>
      </c>
      <c r="G3648" s="81" t="s">
        <v>39</v>
      </c>
      <c r="H3648" s="81" t="s">
        <v>5404</v>
      </c>
      <c r="I3648" s="81" t="s">
        <v>5405</v>
      </c>
      <c r="J3648" s="81" t="s">
        <v>224</v>
      </c>
    </row>
    <row r="3649" hidden="1">
      <c r="A3649" s="83" t="s">
        <v>6330</v>
      </c>
      <c r="B3649" s="83" t="s">
        <v>6331</v>
      </c>
      <c r="C3649" s="81" t="s">
        <v>4621</v>
      </c>
      <c r="D3649" s="83" t="s">
        <v>4260</v>
      </c>
      <c r="E3649" s="81" t="s">
        <v>1028</v>
      </c>
      <c r="F3649" s="84">
        <v>193.0</v>
      </c>
      <c r="G3649" s="81" t="s">
        <v>40</v>
      </c>
      <c r="H3649" s="81" t="s">
        <v>5406</v>
      </c>
      <c r="I3649" s="81" t="s">
        <v>5407</v>
      </c>
      <c r="J3649" s="81" t="s">
        <v>224</v>
      </c>
    </row>
    <row r="3650" hidden="1">
      <c r="A3650" s="83" t="s">
        <v>6330</v>
      </c>
      <c r="B3650" s="83" t="s">
        <v>6331</v>
      </c>
      <c r="C3650" s="81" t="s">
        <v>4621</v>
      </c>
      <c r="D3650" s="83" t="s">
        <v>4261</v>
      </c>
      <c r="E3650" s="81" t="s">
        <v>1032</v>
      </c>
      <c r="F3650" s="84">
        <v>194.0</v>
      </c>
      <c r="G3650" s="81" t="s">
        <v>40</v>
      </c>
      <c r="H3650" s="81" t="s">
        <v>5408</v>
      </c>
      <c r="I3650" s="81" t="s">
        <v>5409</v>
      </c>
      <c r="J3650" s="81" t="s">
        <v>224</v>
      </c>
    </row>
    <row r="3651" hidden="1">
      <c r="A3651" s="83" t="s">
        <v>6330</v>
      </c>
      <c r="B3651" s="83" t="s">
        <v>6331</v>
      </c>
      <c r="C3651" s="81" t="s">
        <v>4621</v>
      </c>
      <c r="D3651" s="83" t="s">
        <v>4263</v>
      </c>
      <c r="E3651" s="81" t="s">
        <v>1036</v>
      </c>
      <c r="F3651" s="84">
        <v>195.0</v>
      </c>
      <c r="G3651" s="81" t="s">
        <v>39</v>
      </c>
      <c r="H3651" s="81" t="s">
        <v>5410</v>
      </c>
      <c r="I3651" s="81" t="s">
        <v>5411</v>
      </c>
      <c r="J3651" s="81" t="s">
        <v>224</v>
      </c>
    </row>
    <row r="3652" hidden="1">
      <c r="A3652" s="83" t="s">
        <v>6330</v>
      </c>
      <c r="B3652" s="83" t="s">
        <v>6331</v>
      </c>
      <c r="C3652" s="81" t="s">
        <v>4621</v>
      </c>
      <c r="D3652" s="83" t="s">
        <v>4263</v>
      </c>
      <c r="E3652" s="81" t="s">
        <v>1036</v>
      </c>
      <c r="F3652" s="84">
        <v>195.0</v>
      </c>
      <c r="G3652" s="81" t="s">
        <v>40</v>
      </c>
      <c r="H3652" s="81" t="s">
        <v>5412</v>
      </c>
      <c r="I3652" s="81" t="s">
        <v>5413</v>
      </c>
      <c r="J3652" s="81" t="s">
        <v>224</v>
      </c>
    </row>
    <row r="3653" hidden="1">
      <c r="A3653" s="83" t="s">
        <v>6330</v>
      </c>
      <c r="B3653" s="83" t="s">
        <v>6331</v>
      </c>
      <c r="C3653" s="81" t="s">
        <v>4621</v>
      </c>
      <c r="D3653" s="83" t="s">
        <v>4264</v>
      </c>
      <c r="E3653" s="81" t="s">
        <v>1037</v>
      </c>
      <c r="F3653" s="84">
        <v>196.0</v>
      </c>
      <c r="G3653" s="81" t="s">
        <v>40</v>
      </c>
      <c r="H3653" s="81" t="s">
        <v>5414</v>
      </c>
      <c r="I3653" s="81" t="s">
        <v>5415</v>
      </c>
      <c r="J3653" s="81" t="s">
        <v>224</v>
      </c>
    </row>
    <row r="3654" hidden="1">
      <c r="A3654" s="83" t="s">
        <v>6330</v>
      </c>
      <c r="B3654" s="83" t="s">
        <v>6331</v>
      </c>
      <c r="C3654" s="81" t="s">
        <v>4621</v>
      </c>
      <c r="D3654" s="83" t="s">
        <v>4266</v>
      </c>
      <c r="E3654" s="81" t="s">
        <v>1041</v>
      </c>
      <c r="F3654" s="84">
        <v>197.0</v>
      </c>
      <c r="G3654" s="81" t="s">
        <v>40</v>
      </c>
      <c r="H3654" s="81" t="s">
        <v>5416</v>
      </c>
      <c r="I3654" s="81" t="s">
        <v>5417</v>
      </c>
      <c r="J3654" s="81" t="s">
        <v>224</v>
      </c>
    </row>
    <row r="3655" hidden="1">
      <c r="A3655" s="83" t="s">
        <v>6330</v>
      </c>
      <c r="B3655" s="83" t="s">
        <v>6331</v>
      </c>
      <c r="C3655" s="81" t="s">
        <v>4621</v>
      </c>
      <c r="D3655" s="83" t="s">
        <v>4267</v>
      </c>
      <c r="E3655" s="81" t="s">
        <v>1042</v>
      </c>
      <c r="F3655" s="84">
        <v>198.0</v>
      </c>
      <c r="G3655" s="81" t="s">
        <v>39</v>
      </c>
      <c r="H3655" s="81" t="s">
        <v>5418</v>
      </c>
      <c r="I3655" s="81" t="s">
        <v>1045</v>
      </c>
      <c r="J3655" s="81" t="s">
        <v>224</v>
      </c>
    </row>
    <row r="3656" hidden="1">
      <c r="A3656" s="83" t="s">
        <v>6330</v>
      </c>
      <c r="B3656" s="83" t="s">
        <v>6331</v>
      </c>
      <c r="C3656" s="81" t="s">
        <v>4621</v>
      </c>
      <c r="D3656" s="83" t="s">
        <v>4267</v>
      </c>
      <c r="E3656" s="81" t="s">
        <v>1042</v>
      </c>
      <c r="F3656" s="84">
        <v>198.0</v>
      </c>
      <c r="G3656" s="81" t="s">
        <v>40</v>
      </c>
      <c r="H3656" s="81" t="s">
        <v>5419</v>
      </c>
      <c r="I3656" s="81" t="s">
        <v>1046</v>
      </c>
      <c r="J3656" s="81" t="s">
        <v>224</v>
      </c>
    </row>
    <row r="3657" hidden="1">
      <c r="A3657" s="83" t="s">
        <v>6330</v>
      </c>
      <c r="B3657" s="83" t="s">
        <v>6331</v>
      </c>
      <c r="C3657" s="81" t="s">
        <v>4621</v>
      </c>
      <c r="D3657" s="83" t="s">
        <v>4267</v>
      </c>
      <c r="E3657" s="81" t="s">
        <v>1050</v>
      </c>
      <c r="F3657" s="84">
        <v>199.0</v>
      </c>
      <c r="G3657" s="81" t="s">
        <v>40</v>
      </c>
      <c r="H3657" s="81" t="s">
        <v>5420</v>
      </c>
      <c r="I3657" s="81" t="s">
        <v>1046</v>
      </c>
      <c r="J3657" s="81" t="s">
        <v>224</v>
      </c>
    </row>
    <row r="3658" hidden="1">
      <c r="A3658" s="83" t="s">
        <v>6330</v>
      </c>
      <c r="B3658" s="83" t="s">
        <v>6331</v>
      </c>
      <c r="C3658" s="81" t="s">
        <v>4621</v>
      </c>
      <c r="D3658" s="83" t="s">
        <v>4268</v>
      </c>
      <c r="E3658" s="81" t="s">
        <v>1052</v>
      </c>
      <c r="F3658" s="84">
        <v>200.0</v>
      </c>
      <c r="G3658" s="81" t="s">
        <v>39</v>
      </c>
      <c r="H3658" s="81" t="s">
        <v>5421</v>
      </c>
      <c r="I3658" s="81" t="s">
        <v>1053</v>
      </c>
      <c r="J3658" s="81" t="s">
        <v>224</v>
      </c>
    </row>
    <row r="3659" hidden="1">
      <c r="A3659" s="83" t="s">
        <v>6330</v>
      </c>
      <c r="B3659" s="83" t="s">
        <v>6331</v>
      </c>
      <c r="C3659" s="81" t="s">
        <v>4621</v>
      </c>
      <c r="D3659" s="83" t="s">
        <v>4268</v>
      </c>
      <c r="E3659" s="81" t="s">
        <v>1052</v>
      </c>
      <c r="F3659" s="84">
        <v>200.0</v>
      </c>
      <c r="G3659" s="81" t="s">
        <v>40</v>
      </c>
      <c r="H3659" s="81" t="s">
        <v>5422</v>
      </c>
      <c r="I3659" s="81" t="s">
        <v>1054</v>
      </c>
      <c r="J3659" s="81" t="s">
        <v>224</v>
      </c>
    </row>
    <row r="3660" hidden="1">
      <c r="A3660" s="83" t="s">
        <v>6330</v>
      </c>
      <c r="B3660" s="83" t="s">
        <v>6331</v>
      </c>
      <c r="C3660" s="81" t="s">
        <v>4621</v>
      </c>
      <c r="D3660" s="83" t="s">
        <v>4269</v>
      </c>
      <c r="E3660" s="81" t="s">
        <v>1055</v>
      </c>
      <c r="F3660" s="84">
        <v>201.0</v>
      </c>
      <c r="G3660" s="81" t="s">
        <v>39</v>
      </c>
      <c r="H3660" s="81" t="s">
        <v>5423</v>
      </c>
      <c r="I3660" s="81" t="s">
        <v>1057</v>
      </c>
      <c r="J3660" s="81" t="s">
        <v>224</v>
      </c>
    </row>
    <row r="3661" hidden="1">
      <c r="A3661" s="83" t="s">
        <v>6330</v>
      </c>
      <c r="B3661" s="83" t="s">
        <v>6331</v>
      </c>
      <c r="C3661" s="81" t="s">
        <v>4621</v>
      </c>
      <c r="D3661" s="83" t="s">
        <v>4269</v>
      </c>
      <c r="E3661" s="81" t="s">
        <v>1055</v>
      </c>
      <c r="F3661" s="84">
        <v>201.0</v>
      </c>
      <c r="G3661" s="81" t="s">
        <v>40</v>
      </c>
      <c r="H3661" s="81" t="s">
        <v>5424</v>
      </c>
      <c r="I3661" s="81" t="s">
        <v>1058</v>
      </c>
      <c r="J3661" s="81" t="s">
        <v>224</v>
      </c>
    </row>
    <row r="3662" hidden="1">
      <c r="A3662" s="83" t="s">
        <v>6330</v>
      </c>
      <c r="B3662" s="83" t="s">
        <v>6331</v>
      </c>
      <c r="C3662" s="81" t="s">
        <v>4621</v>
      </c>
      <c r="D3662" s="83" t="s">
        <v>4269</v>
      </c>
      <c r="E3662" s="81" t="s">
        <v>1060</v>
      </c>
      <c r="F3662" s="84">
        <v>202.0</v>
      </c>
      <c r="G3662" s="81" t="s">
        <v>39</v>
      </c>
      <c r="H3662" s="81" t="s">
        <v>5423</v>
      </c>
      <c r="I3662" s="81" t="s">
        <v>1057</v>
      </c>
      <c r="J3662" s="81" t="s">
        <v>224</v>
      </c>
    </row>
    <row r="3663" hidden="1">
      <c r="A3663" s="83" t="s">
        <v>6330</v>
      </c>
      <c r="B3663" s="83" t="s">
        <v>6331</v>
      </c>
      <c r="C3663" s="81" t="s">
        <v>4621</v>
      </c>
      <c r="D3663" s="83" t="s">
        <v>4269</v>
      </c>
      <c r="E3663" s="81" t="s">
        <v>1060</v>
      </c>
      <c r="F3663" s="84">
        <v>202.0</v>
      </c>
      <c r="G3663" s="81" t="s">
        <v>40</v>
      </c>
      <c r="H3663" s="81" t="s">
        <v>5424</v>
      </c>
      <c r="I3663" s="81" t="s">
        <v>1058</v>
      </c>
      <c r="J3663" s="81" t="s">
        <v>224</v>
      </c>
    </row>
    <row r="3664" hidden="1">
      <c r="A3664" s="83" t="s">
        <v>6330</v>
      </c>
      <c r="B3664" s="83" t="s">
        <v>6331</v>
      </c>
      <c r="C3664" s="81" t="s">
        <v>4621</v>
      </c>
      <c r="D3664" s="83" t="s">
        <v>4270</v>
      </c>
      <c r="E3664" s="81" t="s">
        <v>1062</v>
      </c>
      <c r="F3664" s="84">
        <v>203.0</v>
      </c>
      <c r="G3664" s="81" t="s">
        <v>39</v>
      </c>
      <c r="H3664" s="81" t="s">
        <v>5425</v>
      </c>
      <c r="I3664" s="81" t="s">
        <v>1063</v>
      </c>
      <c r="J3664" s="81" t="s">
        <v>224</v>
      </c>
    </row>
    <row r="3665" hidden="1">
      <c r="A3665" s="83" t="s">
        <v>6330</v>
      </c>
      <c r="B3665" s="83" t="s">
        <v>6331</v>
      </c>
      <c r="C3665" s="81" t="s">
        <v>4621</v>
      </c>
      <c r="D3665" s="83" t="s">
        <v>4270</v>
      </c>
      <c r="E3665" s="81" t="s">
        <v>1062</v>
      </c>
      <c r="F3665" s="84">
        <v>203.0</v>
      </c>
      <c r="G3665" s="81" t="s">
        <v>40</v>
      </c>
      <c r="H3665" s="81" t="s">
        <v>5426</v>
      </c>
      <c r="I3665" s="81" t="s">
        <v>1064</v>
      </c>
      <c r="J3665" s="81" t="s">
        <v>224</v>
      </c>
    </row>
    <row r="3666" hidden="1">
      <c r="A3666" s="83" t="s">
        <v>6330</v>
      </c>
      <c r="B3666" s="83" t="s">
        <v>6331</v>
      </c>
      <c r="C3666" s="81" t="s">
        <v>4621</v>
      </c>
      <c r="D3666" s="83" t="s">
        <v>4271</v>
      </c>
      <c r="E3666" s="81" t="s">
        <v>1065</v>
      </c>
      <c r="F3666" s="84">
        <v>204.0</v>
      </c>
      <c r="G3666" s="81" t="s">
        <v>39</v>
      </c>
      <c r="H3666" s="81" t="s">
        <v>5427</v>
      </c>
      <c r="I3666" s="81" t="s">
        <v>1067</v>
      </c>
      <c r="J3666" s="81" t="s">
        <v>224</v>
      </c>
    </row>
    <row r="3667" hidden="1">
      <c r="A3667" s="83" t="s">
        <v>6330</v>
      </c>
      <c r="B3667" s="83" t="s">
        <v>6331</v>
      </c>
      <c r="C3667" s="81" t="s">
        <v>4621</v>
      </c>
      <c r="D3667" s="83" t="s">
        <v>4271</v>
      </c>
      <c r="E3667" s="81" t="s">
        <v>1065</v>
      </c>
      <c r="F3667" s="84">
        <v>204.0</v>
      </c>
      <c r="G3667" s="81" t="s">
        <v>40</v>
      </c>
      <c r="H3667" s="81" t="s">
        <v>5428</v>
      </c>
      <c r="I3667" s="81" t="s">
        <v>1068</v>
      </c>
      <c r="J3667" s="81" t="s">
        <v>224</v>
      </c>
    </row>
    <row r="3668" hidden="1">
      <c r="A3668" s="83" t="s">
        <v>6330</v>
      </c>
      <c r="B3668" s="83" t="s">
        <v>6331</v>
      </c>
      <c r="C3668" s="81" t="s">
        <v>4621</v>
      </c>
      <c r="D3668" s="83" t="s">
        <v>4271</v>
      </c>
      <c r="E3668" s="81" t="s">
        <v>1069</v>
      </c>
      <c r="F3668" s="84">
        <v>205.0</v>
      </c>
      <c r="G3668" s="81" t="s">
        <v>39</v>
      </c>
      <c r="H3668" s="81" t="s">
        <v>5427</v>
      </c>
      <c r="I3668" s="81" t="s">
        <v>1067</v>
      </c>
      <c r="J3668" s="81" t="s">
        <v>224</v>
      </c>
    </row>
    <row r="3669" hidden="1">
      <c r="A3669" s="83" t="s">
        <v>6330</v>
      </c>
      <c r="B3669" s="83" t="s">
        <v>6331</v>
      </c>
      <c r="C3669" s="81" t="s">
        <v>4621</v>
      </c>
      <c r="D3669" s="83" t="s">
        <v>4271</v>
      </c>
      <c r="E3669" s="81" t="s">
        <v>1069</v>
      </c>
      <c r="F3669" s="84">
        <v>205.0</v>
      </c>
      <c r="G3669" s="81" t="s">
        <v>40</v>
      </c>
      <c r="H3669" s="81" t="s">
        <v>5428</v>
      </c>
      <c r="I3669" s="81" t="s">
        <v>1068</v>
      </c>
      <c r="J3669" s="81" t="s">
        <v>224</v>
      </c>
    </row>
    <row r="3670" hidden="1">
      <c r="A3670" s="83" t="s">
        <v>6330</v>
      </c>
      <c r="B3670" s="83" t="s">
        <v>6331</v>
      </c>
      <c r="C3670" s="81" t="s">
        <v>4621</v>
      </c>
      <c r="D3670" s="83" t="s">
        <v>4272</v>
      </c>
      <c r="E3670" s="81" t="s">
        <v>1070</v>
      </c>
      <c r="F3670" s="84">
        <v>206.0</v>
      </c>
      <c r="G3670" s="81" t="s">
        <v>39</v>
      </c>
      <c r="H3670" s="81" t="s">
        <v>5429</v>
      </c>
      <c r="I3670" s="81" t="s">
        <v>1071</v>
      </c>
      <c r="J3670" s="81" t="s">
        <v>224</v>
      </c>
    </row>
    <row r="3671" hidden="1">
      <c r="A3671" s="83" t="s">
        <v>6330</v>
      </c>
      <c r="B3671" s="83" t="s">
        <v>6331</v>
      </c>
      <c r="C3671" s="81" t="s">
        <v>4621</v>
      </c>
      <c r="D3671" s="83" t="s">
        <v>4272</v>
      </c>
      <c r="E3671" s="81" t="s">
        <v>1070</v>
      </c>
      <c r="F3671" s="84">
        <v>206.0</v>
      </c>
      <c r="G3671" s="81" t="s">
        <v>40</v>
      </c>
      <c r="H3671" s="81" t="s">
        <v>5430</v>
      </c>
      <c r="I3671" s="81" t="s">
        <v>1072</v>
      </c>
      <c r="J3671" s="81" t="s">
        <v>224</v>
      </c>
    </row>
    <row r="3672" hidden="1">
      <c r="A3672" s="83" t="s">
        <v>6330</v>
      </c>
      <c r="B3672" s="83" t="s">
        <v>6331</v>
      </c>
      <c r="C3672" s="81" t="s">
        <v>4621</v>
      </c>
      <c r="D3672" s="83" t="s">
        <v>4273</v>
      </c>
      <c r="E3672" s="81" t="s">
        <v>1073</v>
      </c>
      <c r="F3672" s="84">
        <v>207.0</v>
      </c>
      <c r="G3672" s="81" t="s">
        <v>39</v>
      </c>
      <c r="H3672" s="81" t="s">
        <v>5431</v>
      </c>
      <c r="I3672" s="81" t="s">
        <v>1075</v>
      </c>
      <c r="J3672" s="81" t="s">
        <v>224</v>
      </c>
    </row>
    <row r="3673" hidden="1">
      <c r="A3673" s="83" t="s">
        <v>6330</v>
      </c>
      <c r="B3673" s="83" t="s">
        <v>6331</v>
      </c>
      <c r="C3673" s="81" t="s">
        <v>4621</v>
      </c>
      <c r="D3673" s="83" t="s">
        <v>4273</v>
      </c>
      <c r="E3673" s="81" t="s">
        <v>1073</v>
      </c>
      <c r="F3673" s="84">
        <v>207.0</v>
      </c>
      <c r="G3673" s="81" t="s">
        <v>40</v>
      </c>
      <c r="H3673" s="81" t="s">
        <v>5432</v>
      </c>
      <c r="I3673" s="81" t="s">
        <v>1076</v>
      </c>
      <c r="J3673" s="81" t="s">
        <v>224</v>
      </c>
    </row>
    <row r="3674" hidden="1">
      <c r="A3674" s="83" t="s">
        <v>6330</v>
      </c>
      <c r="B3674" s="83" t="s">
        <v>6331</v>
      </c>
      <c r="C3674" s="81" t="s">
        <v>4621</v>
      </c>
      <c r="D3674" s="83" t="s">
        <v>4273</v>
      </c>
      <c r="E3674" s="81" t="s">
        <v>1079</v>
      </c>
      <c r="F3674" s="84">
        <v>208.0</v>
      </c>
      <c r="G3674" s="81" t="s">
        <v>39</v>
      </c>
      <c r="H3674" s="81" t="s">
        <v>5431</v>
      </c>
      <c r="I3674" s="81" t="s">
        <v>1075</v>
      </c>
      <c r="J3674" s="81" t="s">
        <v>224</v>
      </c>
    </row>
    <row r="3675" hidden="1">
      <c r="A3675" s="83" t="s">
        <v>6330</v>
      </c>
      <c r="B3675" s="83" t="s">
        <v>6331</v>
      </c>
      <c r="C3675" s="81" t="s">
        <v>4621</v>
      </c>
      <c r="D3675" s="83" t="s">
        <v>4273</v>
      </c>
      <c r="E3675" s="81" t="s">
        <v>1079</v>
      </c>
      <c r="F3675" s="84">
        <v>208.0</v>
      </c>
      <c r="G3675" s="81" t="s">
        <v>40</v>
      </c>
      <c r="H3675" s="81" t="s">
        <v>5432</v>
      </c>
      <c r="I3675" s="81" t="s">
        <v>1076</v>
      </c>
      <c r="J3675" s="81" t="s">
        <v>224</v>
      </c>
    </row>
    <row r="3676" hidden="1">
      <c r="A3676" s="83" t="s">
        <v>6330</v>
      </c>
      <c r="B3676" s="83" t="s">
        <v>6331</v>
      </c>
      <c r="C3676" s="81" t="s">
        <v>4621</v>
      </c>
      <c r="D3676" s="83" t="s">
        <v>4274</v>
      </c>
      <c r="E3676" s="81" t="s">
        <v>1080</v>
      </c>
      <c r="F3676" s="84">
        <v>209.0</v>
      </c>
      <c r="G3676" s="81" t="s">
        <v>39</v>
      </c>
      <c r="H3676" s="81" t="s">
        <v>5433</v>
      </c>
      <c r="I3676" s="81" t="s">
        <v>1081</v>
      </c>
      <c r="J3676" s="81" t="s">
        <v>224</v>
      </c>
    </row>
    <row r="3677" hidden="1">
      <c r="A3677" s="83" t="s">
        <v>6330</v>
      </c>
      <c r="B3677" s="83" t="s">
        <v>6331</v>
      </c>
      <c r="C3677" s="81" t="s">
        <v>4621</v>
      </c>
      <c r="D3677" s="83" t="s">
        <v>4274</v>
      </c>
      <c r="E3677" s="81" t="s">
        <v>1080</v>
      </c>
      <c r="F3677" s="84">
        <v>209.0</v>
      </c>
      <c r="G3677" s="81" t="s">
        <v>40</v>
      </c>
      <c r="H3677" s="81" t="s">
        <v>5434</v>
      </c>
      <c r="I3677" s="81" t="s">
        <v>1082</v>
      </c>
      <c r="J3677" s="81" t="s">
        <v>224</v>
      </c>
    </row>
    <row r="3678" hidden="1">
      <c r="A3678" s="83" t="s">
        <v>6330</v>
      </c>
      <c r="B3678" s="83" t="s">
        <v>6331</v>
      </c>
      <c r="C3678" s="81" t="s">
        <v>4621</v>
      </c>
      <c r="D3678" s="83" t="s">
        <v>4275</v>
      </c>
      <c r="E3678" s="81" t="s">
        <v>1083</v>
      </c>
      <c r="F3678" s="84">
        <v>210.0</v>
      </c>
      <c r="G3678" s="81" t="s">
        <v>39</v>
      </c>
      <c r="H3678" s="81" t="s">
        <v>5435</v>
      </c>
      <c r="I3678" s="81" t="s">
        <v>1085</v>
      </c>
      <c r="J3678" s="81" t="s">
        <v>224</v>
      </c>
    </row>
    <row r="3679" hidden="1">
      <c r="A3679" s="83" t="s">
        <v>6330</v>
      </c>
      <c r="B3679" s="83" t="s">
        <v>6331</v>
      </c>
      <c r="C3679" s="81" t="s">
        <v>4621</v>
      </c>
      <c r="D3679" s="83" t="s">
        <v>4275</v>
      </c>
      <c r="E3679" s="81" t="s">
        <v>1083</v>
      </c>
      <c r="F3679" s="84">
        <v>210.0</v>
      </c>
      <c r="G3679" s="81" t="s">
        <v>40</v>
      </c>
      <c r="H3679" s="81" t="s">
        <v>5436</v>
      </c>
      <c r="I3679" s="81" t="s">
        <v>1086</v>
      </c>
      <c r="J3679" s="81" t="s">
        <v>224</v>
      </c>
    </row>
    <row r="3680" hidden="1">
      <c r="A3680" s="83" t="s">
        <v>6330</v>
      </c>
      <c r="B3680" s="83" t="s">
        <v>6331</v>
      </c>
      <c r="C3680" s="81" t="s">
        <v>4621</v>
      </c>
      <c r="D3680" s="83" t="s">
        <v>4275</v>
      </c>
      <c r="E3680" s="81" t="s">
        <v>1089</v>
      </c>
      <c r="F3680" s="84">
        <v>211.0</v>
      </c>
      <c r="G3680" s="81" t="s">
        <v>39</v>
      </c>
      <c r="H3680" s="81" t="s">
        <v>5435</v>
      </c>
      <c r="I3680" s="81" t="s">
        <v>1085</v>
      </c>
      <c r="J3680" s="81" t="s">
        <v>224</v>
      </c>
    </row>
    <row r="3681" hidden="1">
      <c r="A3681" s="83" t="s">
        <v>6330</v>
      </c>
      <c r="B3681" s="83" t="s">
        <v>6331</v>
      </c>
      <c r="C3681" s="81" t="s">
        <v>4621</v>
      </c>
      <c r="D3681" s="83" t="s">
        <v>4275</v>
      </c>
      <c r="E3681" s="81" t="s">
        <v>1089</v>
      </c>
      <c r="F3681" s="84">
        <v>211.0</v>
      </c>
      <c r="G3681" s="81" t="s">
        <v>40</v>
      </c>
      <c r="H3681" s="81" t="s">
        <v>5436</v>
      </c>
      <c r="I3681" s="81" t="s">
        <v>1086</v>
      </c>
      <c r="J3681" s="81" t="s">
        <v>224</v>
      </c>
    </row>
    <row r="3682" hidden="1">
      <c r="A3682" s="83" t="s">
        <v>6330</v>
      </c>
      <c r="B3682" s="83" t="s">
        <v>6331</v>
      </c>
      <c r="C3682" s="81" t="s">
        <v>4621</v>
      </c>
      <c r="D3682" s="83" t="s">
        <v>4276</v>
      </c>
      <c r="E3682" s="81" t="s">
        <v>1090</v>
      </c>
      <c r="F3682" s="84">
        <v>212.0</v>
      </c>
      <c r="G3682" s="81" t="s">
        <v>39</v>
      </c>
      <c r="H3682" s="81" t="s">
        <v>5437</v>
      </c>
      <c r="I3682" s="81" t="s">
        <v>1091</v>
      </c>
      <c r="J3682" s="81" t="s">
        <v>224</v>
      </c>
    </row>
    <row r="3683" hidden="1">
      <c r="A3683" s="83" t="s">
        <v>6330</v>
      </c>
      <c r="B3683" s="83" t="s">
        <v>6331</v>
      </c>
      <c r="C3683" s="81" t="s">
        <v>4621</v>
      </c>
      <c r="D3683" s="83" t="s">
        <v>4276</v>
      </c>
      <c r="E3683" s="81" t="s">
        <v>1090</v>
      </c>
      <c r="F3683" s="84">
        <v>212.0</v>
      </c>
      <c r="G3683" s="81" t="s">
        <v>40</v>
      </c>
      <c r="H3683" s="81" t="s">
        <v>5438</v>
      </c>
      <c r="I3683" s="81" t="s">
        <v>1092</v>
      </c>
      <c r="J3683" s="81" t="s">
        <v>224</v>
      </c>
    </row>
    <row r="3684" hidden="1">
      <c r="A3684" s="83" t="s">
        <v>6330</v>
      </c>
      <c r="B3684" s="83" t="s">
        <v>6331</v>
      </c>
      <c r="C3684" s="81" t="s">
        <v>4621</v>
      </c>
      <c r="D3684" s="83" t="s">
        <v>4277</v>
      </c>
      <c r="E3684" s="81" t="s">
        <v>1093</v>
      </c>
      <c r="F3684" s="84">
        <v>213.0</v>
      </c>
      <c r="G3684" s="81" t="s">
        <v>39</v>
      </c>
      <c r="H3684" s="81" t="s">
        <v>5439</v>
      </c>
      <c r="I3684" s="81" t="s">
        <v>1095</v>
      </c>
      <c r="J3684" s="81" t="s">
        <v>224</v>
      </c>
    </row>
    <row r="3685" hidden="1">
      <c r="A3685" s="83" t="s">
        <v>6330</v>
      </c>
      <c r="B3685" s="83" t="s">
        <v>6331</v>
      </c>
      <c r="C3685" s="81" t="s">
        <v>4621</v>
      </c>
      <c r="D3685" s="83" t="s">
        <v>4277</v>
      </c>
      <c r="E3685" s="81" t="s">
        <v>1093</v>
      </c>
      <c r="F3685" s="84">
        <v>213.0</v>
      </c>
      <c r="G3685" s="81" t="s">
        <v>40</v>
      </c>
      <c r="H3685" s="81" t="s">
        <v>5440</v>
      </c>
      <c r="I3685" s="81" t="s">
        <v>1096</v>
      </c>
      <c r="J3685" s="81" t="s">
        <v>224</v>
      </c>
    </row>
    <row r="3686" hidden="1">
      <c r="A3686" s="83" t="s">
        <v>6330</v>
      </c>
      <c r="B3686" s="83" t="s">
        <v>6331</v>
      </c>
      <c r="C3686" s="81" t="s">
        <v>4621</v>
      </c>
      <c r="D3686" s="83" t="s">
        <v>4277</v>
      </c>
      <c r="E3686" s="81" t="s">
        <v>1099</v>
      </c>
      <c r="F3686" s="84">
        <v>214.0</v>
      </c>
      <c r="G3686" s="81" t="s">
        <v>40</v>
      </c>
      <c r="H3686" s="81" t="s">
        <v>5441</v>
      </c>
      <c r="I3686" s="81" t="s">
        <v>1096</v>
      </c>
      <c r="J3686" s="81" t="s">
        <v>224</v>
      </c>
    </row>
    <row r="3687" hidden="1">
      <c r="A3687" s="83" t="s">
        <v>6330</v>
      </c>
      <c r="B3687" s="83" t="s">
        <v>6331</v>
      </c>
      <c r="C3687" s="81" t="s">
        <v>4621</v>
      </c>
      <c r="D3687" s="83" t="s">
        <v>4278</v>
      </c>
      <c r="E3687" s="81" t="s">
        <v>1100</v>
      </c>
      <c r="F3687" s="84">
        <v>215.0</v>
      </c>
      <c r="G3687" s="81" t="s">
        <v>39</v>
      </c>
      <c r="H3687" s="81" t="s">
        <v>5442</v>
      </c>
      <c r="I3687" s="81" t="s">
        <v>1101</v>
      </c>
      <c r="J3687" s="81" t="s">
        <v>224</v>
      </c>
    </row>
    <row r="3688" hidden="1">
      <c r="A3688" s="83" t="s">
        <v>6330</v>
      </c>
      <c r="B3688" s="83" t="s">
        <v>6331</v>
      </c>
      <c r="C3688" s="81" t="s">
        <v>4621</v>
      </c>
      <c r="D3688" s="83" t="s">
        <v>4278</v>
      </c>
      <c r="E3688" s="81" t="s">
        <v>1100</v>
      </c>
      <c r="F3688" s="84">
        <v>215.0</v>
      </c>
      <c r="G3688" s="81" t="s">
        <v>40</v>
      </c>
      <c r="H3688" s="81" t="s">
        <v>5443</v>
      </c>
      <c r="I3688" s="81" t="s">
        <v>1102</v>
      </c>
      <c r="J3688" s="81" t="s">
        <v>224</v>
      </c>
    </row>
    <row r="3689" hidden="1">
      <c r="A3689" s="83" t="s">
        <v>6330</v>
      </c>
      <c r="B3689" s="83" t="s">
        <v>6331</v>
      </c>
      <c r="C3689" s="81" t="s">
        <v>4621</v>
      </c>
      <c r="D3689" s="83" t="s">
        <v>4279</v>
      </c>
      <c r="E3689" s="81" t="s">
        <v>1103</v>
      </c>
      <c r="F3689" s="84">
        <v>216.0</v>
      </c>
      <c r="G3689" s="81" t="s">
        <v>39</v>
      </c>
      <c r="H3689" s="81" t="s">
        <v>5444</v>
      </c>
      <c r="I3689" s="81" t="s">
        <v>1105</v>
      </c>
      <c r="J3689" s="81" t="s">
        <v>224</v>
      </c>
    </row>
    <row r="3690" hidden="1">
      <c r="A3690" s="83" t="s">
        <v>6330</v>
      </c>
      <c r="B3690" s="83" t="s">
        <v>6331</v>
      </c>
      <c r="C3690" s="81" t="s">
        <v>4621</v>
      </c>
      <c r="D3690" s="83" t="s">
        <v>4279</v>
      </c>
      <c r="E3690" s="81" t="s">
        <v>1103</v>
      </c>
      <c r="F3690" s="84">
        <v>216.0</v>
      </c>
      <c r="G3690" s="81" t="s">
        <v>40</v>
      </c>
      <c r="H3690" s="81" t="s">
        <v>5445</v>
      </c>
      <c r="I3690" s="81" t="s">
        <v>1106</v>
      </c>
      <c r="J3690" s="81" t="s">
        <v>224</v>
      </c>
    </row>
    <row r="3691" hidden="1">
      <c r="A3691" s="83" t="s">
        <v>6330</v>
      </c>
      <c r="B3691" s="83" t="s">
        <v>6331</v>
      </c>
      <c r="C3691" s="81" t="s">
        <v>4621</v>
      </c>
      <c r="D3691" s="83" t="s">
        <v>4279</v>
      </c>
      <c r="E3691" s="81" t="s">
        <v>1109</v>
      </c>
      <c r="F3691" s="84">
        <v>217.0</v>
      </c>
      <c r="G3691" s="81" t="s">
        <v>39</v>
      </c>
      <c r="H3691" s="81" t="s">
        <v>5444</v>
      </c>
      <c r="I3691" s="81" t="s">
        <v>1105</v>
      </c>
      <c r="J3691" s="81" t="s">
        <v>224</v>
      </c>
    </row>
    <row r="3692" hidden="1">
      <c r="A3692" s="83" t="s">
        <v>6330</v>
      </c>
      <c r="B3692" s="83" t="s">
        <v>6331</v>
      </c>
      <c r="C3692" s="81" t="s">
        <v>4621</v>
      </c>
      <c r="D3692" s="83" t="s">
        <v>4279</v>
      </c>
      <c r="E3692" s="81" t="s">
        <v>1109</v>
      </c>
      <c r="F3692" s="84">
        <v>217.0</v>
      </c>
      <c r="G3692" s="81" t="s">
        <v>40</v>
      </c>
      <c r="H3692" s="81" t="s">
        <v>5445</v>
      </c>
      <c r="I3692" s="81" t="s">
        <v>1106</v>
      </c>
      <c r="J3692" s="81" t="s">
        <v>224</v>
      </c>
    </row>
    <row r="3693" hidden="1">
      <c r="A3693" s="83" t="s">
        <v>6330</v>
      </c>
      <c r="B3693" s="83" t="s">
        <v>6331</v>
      </c>
      <c r="C3693" s="81" t="s">
        <v>4621</v>
      </c>
      <c r="D3693" s="83" t="s">
        <v>4280</v>
      </c>
      <c r="E3693" s="81" t="s">
        <v>1110</v>
      </c>
      <c r="F3693" s="84">
        <v>218.0</v>
      </c>
      <c r="G3693" s="81" t="s">
        <v>39</v>
      </c>
      <c r="H3693" s="81" t="s">
        <v>5446</v>
      </c>
      <c r="I3693" s="81" t="s">
        <v>1111</v>
      </c>
      <c r="J3693" s="81" t="s">
        <v>224</v>
      </c>
    </row>
    <row r="3694" hidden="1">
      <c r="A3694" s="83" t="s">
        <v>6330</v>
      </c>
      <c r="B3694" s="83" t="s">
        <v>6331</v>
      </c>
      <c r="C3694" s="81" t="s">
        <v>4621</v>
      </c>
      <c r="D3694" s="83" t="s">
        <v>4280</v>
      </c>
      <c r="E3694" s="81" t="s">
        <v>1110</v>
      </c>
      <c r="F3694" s="84">
        <v>218.0</v>
      </c>
      <c r="G3694" s="81" t="s">
        <v>40</v>
      </c>
      <c r="H3694" s="81" t="s">
        <v>5447</v>
      </c>
      <c r="I3694" s="81" t="s">
        <v>1112</v>
      </c>
      <c r="J3694" s="81" t="s">
        <v>224</v>
      </c>
    </row>
    <row r="3695" hidden="1">
      <c r="A3695" s="83" t="s">
        <v>6330</v>
      </c>
      <c r="B3695" s="83" t="s">
        <v>6331</v>
      </c>
      <c r="C3695" s="81" t="s">
        <v>4621</v>
      </c>
      <c r="D3695" s="83" t="s">
        <v>4281</v>
      </c>
      <c r="E3695" s="81" t="s">
        <v>1113</v>
      </c>
      <c r="F3695" s="84">
        <v>219.0</v>
      </c>
      <c r="G3695" s="81" t="s">
        <v>39</v>
      </c>
      <c r="H3695" s="81" t="s">
        <v>5448</v>
      </c>
      <c r="I3695" s="81" t="s">
        <v>1115</v>
      </c>
      <c r="J3695" s="81" t="s">
        <v>224</v>
      </c>
    </row>
    <row r="3696" hidden="1">
      <c r="A3696" s="83" t="s">
        <v>6330</v>
      </c>
      <c r="B3696" s="83" t="s">
        <v>6331</v>
      </c>
      <c r="C3696" s="81" t="s">
        <v>4621</v>
      </c>
      <c r="D3696" s="83" t="s">
        <v>4281</v>
      </c>
      <c r="E3696" s="81" t="s">
        <v>1113</v>
      </c>
      <c r="F3696" s="84">
        <v>219.0</v>
      </c>
      <c r="G3696" s="81" t="s">
        <v>40</v>
      </c>
      <c r="H3696" s="81" t="s">
        <v>5449</v>
      </c>
      <c r="I3696" s="81" t="s">
        <v>1116</v>
      </c>
      <c r="J3696" s="81" t="s">
        <v>224</v>
      </c>
    </row>
    <row r="3697" hidden="1">
      <c r="A3697" s="83" t="s">
        <v>6330</v>
      </c>
      <c r="B3697" s="83" t="s">
        <v>6331</v>
      </c>
      <c r="C3697" s="81" t="s">
        <v>4621</v>
      </c>
      <c r="D3697" s="83" t="s">
        <v>4281</v>
      </c>
      <c r="E3697" s="81" t="s">
        <v>1119</v>
      </c>
      <c r="F3697" s="84">
        <v>220.0</v>
      </c>
      <c r="G3697" s="81" t="s">
        <v>40</v>
      </c>
      <c r="H3697" s="81" t="s">
        <v>5450</v>
      </c>
      <c r="I3697" s="81" t="s">
        <v>1116</v>
      </c>
      <c r="J3697" s="81" t="s">
        <v>224</v>
      </c>
    </row>
    <row r="3698" hidden="1">
      <c r="A3698" s="83" t="s">
        <v>6330</v>
      </c>
      <c r="B3698" s="83" t="s">
        <v>6331</v>
      </c>
      <c r="C3698" s="81" t="s">
        <v>4621</v>
      </c>
      <c r="D3698" s="83" t="s">
        <v>4282</v>
      </c>
      <c r="E3698" s="81" t="s">
        <v>1120</v>
      </c>
      <c r="F3698" s="84">
        <v>221.0</v>
      </c>
      <c r="G3698" s="81" t="s">
        <v>39</v>
      </c>
      <c r="H3698" s="81" t="s">
        <v>5451</v>
      </c>
      <c r="I3698" s="81" t="s">
        <v>1121</v>
      </c>
      <c r="J3698" s="81" t="s">
        <v>224</v>
      </c>
    </row>
    <row r="3699" hidden="1">
      <c r="A3699" s="83" t="s">
        <v>6330</v>
      </c>
      <c r="B3699" s="83" t="s">
        <v>6331</v>
      </c>
      <c r="C3699" s="81" t="s">
        <v>4621</v>
      </c>
      <c r="D3699" s="83" t="s">
        <v>4282</v>
      </c>
      <c r="E3699" s="81" t="s">
        <v>1120</v>
      </c>
      <c r="F3699" s="84">
        <v>221.0</v>
      </c>
      <c r="G3699" s="81" t="s">
        <v>40</v>
      </c>
      <c r="H3699" s="81" t="s">
        <v>5452</v>
      </c>
      <c r="I3699" s="81" t="s">
        <v>1122</v>
      </c>
      <c r="J3699" s="81" t="s">
        <v>224</v>
      </c>
    </row>
    <row r="3700" hidden="1">
      <c r="A3700" s="83" t="s">
        <v>6330</v>
      </c>
      <c r="B3700" s="83" t="s">
        <v>6331</v>
      </c>
      <c r="C3700" s="81" t="s">
        <v>4621</v>
      </c>
      <c r="D3700" s="83" t="s">
        <v>4283</v>
      </c>
      <c r="E3700" s="81" t="s">
        <v>1123</v>
      </c>
      <c r="F3700" s="84">
        <v>222.0</v>
      </c>
      <c r="G3700" s="81" t="s">
        <v>39</v>
      </c>
      <c r="H3700" s="81" t="s">
        <v>5453</v>
      </c>
      <c r="I3700" s="81" t="s">
        <v>1125</v>
      </c>
      <c r="J3700" s="81" t="s">
        <v>224</v>
      </c>
    </row>
    <row r="3701" hidden="1">
      <c r="A3701" s="83" t="s">
        <v>6330</v>
      </c>
      <c r="B3701" s="83" t="s">
        <v>6331</v>
      </c>
      <c r="C3701" s="81" t="s">
        <v>4621</v>
      </c>
      <c r="D3701" s="83" t="s">
        <v>4283</v>
      </c>
      <c r="E3701" s="81" t="s">
        <v>1123</v>
      </c>
      <c r="F3701" s="84">
        <v>222.0</v>
      </c>
      <c r="G3701" s="81" t="s">
        <v>40</v>
      </c>
      <c r="H3701" s="81" t="s">
        <v>5454</v>
      </c>
      <c r="I3701" s="81" t="s">
        <v>1126</v>
      </c>
      <c r="J3701" s="81" t="s">
        <v>224</v>
      </c>
    </row>
    <row r="3702" hidden="1">
      <c r="A3702" s="83" t="s">
        <v>6330</v>
      </c>
      <c r="B3702" s="83" t="s">
        <v>6331</v>
      </c>
      <c r="C3702" s="81" t="s">
        <v>4621</v>
      </c>
      <c r="D3702" s="83" t="s">
        <v>4283</v>
      </c>
      <c r="E3702" s="81" t="s">
        <v>1129</v>
      </c>
      <c r="F3702" s="84">
        <v>223.0</v>
      </c>
      <c r="G3702" s="81" t="s">
        <v>40</v>
      </c>
      <c r="H3702" s="81" t="s">
        <v>5455</v>
      </c>
      <c r="I3702" s="81" t="s">
        <v>1126</v>
      </c>
      <c r="J3702" s="81" t="s">
        <v>224</v>
      </c>
    </row>
    <row r="3703" hidden="1">
      <c r="A3703" s="83" t="s">
        <v>6330</v>
      </c>
      <c r="B3703" s="83" t="s">
        <v>6331</v>
      </c>
      <c r="C3703" s="81" t="s">
        <v>4621</v>
      </c>
      <c r="D3703" s="83" t="s">
        <v>4284</v>
      </c>
      <c r="E3703" s="81" t="s">
        <v>1130</v>
      </c>
      <c r="F3703" s="84">
        <v>224.0</v>
      </c>
      <c r="G3703" s="81" t="s">
        <v>40</v>
      </c>
      <c r="H3703" s="81" t="s">
        <v>5456</v>
      </c>
      <c r="I3703" s="81" t="s">
        <v>1132</v>
      </c>
      <c r="J3703" s="81" t="s">
        <v>224</v>
      </c>
    </row>
    <row r="3704" hidden="1">
      <c r="A3704" s="83" t="s">
        <v>6330</v>
      </c>
      <c r="B3704" s="83" t="s">
        <v>6331</v>
      </c>
      <c r="C3704" s="81" t="s">
        <v>4621</v>
      </c>
      <c r="D3704" s="83" t="s">
        <v>4285</v>
      </c>
      <c r="E3704" s="81" t="s">
        <v>1133</v>
      </c>
      <c r="F3704" s="84">
        <v>225.0</v>
      </c>
      <c r="G3704" s="81" t="s">
        <v>39</v>
      </c>
      <c r="H3704" s="81" t="s">
        <v>5457</v>
      </c>
      <c r="I3704" s="81" t="s">
        <v>5458</v>
      </c>
      <c r="J3704" s="81" t="s">
        <v>224</v>
      </c>
    </row>
    <row r="3705" hidden="1">
      <c r="A3705" s="83" t="s">
        <v>6330</v>
      </c>
      <c r="B3705" s="83" t="s">
        <v>6331</v>
      </c>
      <c r="C3705" s="81" t="s">
        <v>4621</v>
      </c>
      <c r="D3705" s="83" t="s">
        <v>4285</v>
      </c>
      <c r="E3705" s="81" t="s">
        <v>1133</v>
      </c>
      <c r="F3705" s="84">
        <v>225.0</v>
      </c>
      <c r="G3705" s="81" t="s">
        <v>40</v>
      </c>
      <c r="H3705" s="81" t="s">
        <v>5459</v>
      </c>
      <c r="I3705" s="81" t="s">
        <v>5460</v>
      </c>
      <c r="J3705" s="81" t="s">
        <v>224</v>
      </c>
    </row>
    <row r="3706" hidden="1">
      <c r="A3706" s="83" t="s">
        <v>6330</v>
      </c>
      <c r="B3706" s="83" t="s">
        <v>6331</v>
      </c>
      <c r="C3706" s="81" t="s">
        <v>4621</v>
      </c>
      <c r="D3706" s="83" t="s">
        <v>4287</v>
      </c>
      <c r="E3706" s="81" t="s">
        <v>1138</v>
      </c>
      <c r="F3706" s="84">
        <v>226.0</v>
      </c>
      <c r="G3706" s="81" t="s">
        <v>39</v>
      </c>
      <c r="H3706" s="81" t="s">
        <v>5461</v>
      </c>
      <c r="I3706" s="81" t="s">
        <v>5462</v>
      </c>
      <c r="J3706" s="81" t="s">
        <v>224</v>
      </c>
    </row>
    <row r="3707" hidden="1">
      <c r="A3707" s="83" t="s">
        <v>6330</v>
      </c>
      <c r="B3707" s="83" t="s">
        <v>6331</v>
      </c>
      <c r="C3707" s="81" t="s">
        <v>4621</v>
      </c>
      <c r="D3707" s="83" t="s">
        <v>4287</v>
      </c>
      <c r="E3707" s="81" t="s">
        <v>1138</v>
      </c>
      <c r="F3707" s="84">
        <v>226.0</v>
      </c>
      <c r="G3707" s="81" t="s">
        <v>40</v>
      </c>
      <c r="H3707" s="81" t="s">
        <v>5463</v>
      </c>
      <c r="I3707" s="81" t="s">
        <v>5464</v>
      </c>
      <c r="J3707" s="81" t="s">
        <v>224</v>
      </c>
    </row>
    <row r="3708" hidden="1">
      <c r="A3708" s="83" t="s">
        <v>6330</v>
      </c>
      <c r="B3708" s="83" t="s">
        <v>6331</v>
      </c>
      <c r="C3708" s="81" t="s">
        <v>4621</v>
      </c>
      <c r="D3708" s="83" t="s">
        <v>4289</v>
      </c>
      <c r="E3708" s="81" t="s">
        <v>1142</v>
      </c>
      <c r="F3708" s="84">
        <v>227.0</v>
      </c>
      <c r="G3708" s="81" t="s">
        <v>39</v>
      </c>
      <c r="H3708" s="81" t="s">
        <v>5465</v>
      </c>
      <c r="I3708" s="81" t="s">
        <v>5466</v>
      </c>
      <c r="J3708" s="81" t="s">
        <v>224</v>
      </c>
    </row>
    <row r="3709" hidden="1">
      <c r="A3709" s="83" t="s">
        <v>6330</v>
      </c>
      <c r="B3709" s="83" t="s">
        <v>6331</v>
      </c>
      <c r="C3709" s="81" t="s">
        <v>4621</v>
      </c>
      <c r="D3709" s="83" t="s">
        <v>4289</v>
      </c>
      <c r="E3709" s="81" t="s">
        <v>1142</v>
      </c>
      <c r="F3709" s="84">
        <v>227.0</v>
      </c>
      <c r="G3709" s="81" t="s">
        <v>40</v>
      </c>
      <c r="H3709" s="81" t="s">
        <v>5467</v>
      </c>
      <c r="I3709" s="81" t="s">
        <v>5468</v>
      </c>
      <c r="J3709" s="81" t="s">
        <v>224</v>
      </c>
    </row>
    <row r="3710" hidden="1">
      <c r="A3710" s="83" t="s">
        <v>6330</v>
      </c>
      <c r="B3710" s="83" t="s">
        <v>6331</v>
      </c>
      <c r="C3710" s="81" t="s">
        <v>4621</v>
      </c>
      <c r="D3710" s="83" t="s">
        <v>4290</v>
      </c>
      <c r="E3710" s="81" t="s">
        <v>1143</v>
      </c>
      <c r="F3710" s="84">
        <v>228.0</v>
      </c>
      <c r="G3710" s="81" t="s">
        <v>39</v>
      </c>
      <c r="H3710" s="81" t="s">
        <v>5469</v>
      </c>
      <c r="I3710" s="81" t="s">
        <v>1148</v>
      </c>
      <c r="J3710" s="81" t="s">
        <v>224</v>
      </c>
    </row>
    <row r="3711" hidden="1">
      <c r="A3711" s="83" t="s">
        <v>6330</v>
      </c>
      <c r="B3711" s="83" t="s">
        <v>6331</v>
      </c>
      <c r="C3711" s="81" t="s">
        <v>4621</v>
      </c>
      <c r="D3711" s="83" t="s">
        <v>4290</v>
      </c>
      <c r="E3711" s="81" t="s">
        <v>1143</v>
      </c>
      <c r="F3711" s="84">
        <v>228.0</v>
      </c>
      <c r="G3711" s="81" t="s">
        <v>40</v>
      </c>
      <c r="H3711" s="81" t="s">
        <v>5470</v>
      </c>
      <c r="I3711" s="81" t="s">
        <v>1149</v>
      </c>
      <c r="J3711" s="81" t="s">
        <v>224</v>
      </c>
    </row>
    <row r="3712" hidden="1">
      <c r="A3712" s="83" t="s">
        <v>6330</v>
      </c>
      <c r="B3712" s="83" t="s">
        <v>6331</v>
      </c>
      <c r="C3712" s="81" t="s">
        <v>4621</v>
      </c>
      <c r="D3712" s="83" t="s">
        <v>4290</v>
      </c>
      <c r="E3712" s="81" t="s">
        <v>1153</v>
      </c>
      <c r="F3712" s="84">
        <v>229.0</v>
      </c>
      <c r="G3712" s="81" t="s">
        <v>39</v>
      </c>
      <c r="H3712" s="81" t="s">
        <v>5469</v>
      </c>
      <c r="I3712" s="81" t="s">
        <v>1148</v>
      </c>
      <c r="J3712" s="81" t="s">
        <v>224</v>
      </c>
    </row>
    <row r="3713" hidden="1">
      <c r="A3713" s="83" t="s">
        <v>6330</v>
      </c>
      <c r="B3713" s="83" t="s">
        <v>6331</v>
      </c>
      <c r="C3713" s="81" t="s">
        <v>4621</v>
      </c>
      <c r="D3713" s="83" t="s">
        <v>4290</v>
      </c>
      <c r="E3713" s="81" t="s">
        <v>1153</v>
      </c>
      <c r="F3713" s="84">
        <v>229.0</v>
      </c>
      <c r="G3713" s="81" t="s">
        <v>40</v>
      </c>
      <c r="H3713" s="81" t="s">
        <v>5470</v>
      </c>
      <c r="I3713" s="81" t="s">
        <v>1149</v>
      </c>
      <c r="J3713" s="81" t="s">
        <v>224</v>
      </c>
    </row>
    <row r="3714" hidden="1">
      <c r="A3714" s="83" t="s">
        <v>6330</v>
      </c>
      <c r="B3714" s="83" t="s">
        <v>6331</v>
      </c>
      <c r="C3714" s="81" t="s">
        <v>4621</v>
      </c>
      <c r="D3714" s="83" t="s">
        <v>4291</v>
      </c>
      <c r="E3714" s="81" t="s">
        <v>1155</v>
      </c>
      <c r="F3714" s="84">
        <v>230.0</v>
      </c>
      <c r="G3714" s="81" t="s">
        <v>39</v>
      </c>
      <c r="H3714" s="81" t="s">
        <v>5471</v>
      </c>
      <c r="I3714" s="81" t="s">
        <v>1156</v>
      </c>
      <c r="J3714" s="81" t="s">
        <v>224</v>
      </c>
    </row>
    <row r="3715" hidden="1">
      <c r="A3715" s="83" t="s">
        <v>6330</v>
      </c>
      <c r="B3715" s="83" t="s">
        <v>6331</v>
      </c>
      <c r="C3715" s="81" t="s">
        <v>4621</v>
      </c>
      <c r="D3715" s="83" t="s">
        <v>4291</v>
      </c>
      <c r="E3715" s="81" t="s">
        <v>1155</v>
      </c>
      <c r="F3715" s="84">
        <v>230.0</v>
      </c>
      <c r="G3715" s="81" t="s">
        <v>40</v>
      </c>
      <c r="H3715" s="81" t="s">
        <v>5472</v>
      </c>
      <c r="I3715" s="81" t="s">
        <v>1157</v>
      </c>
      <c r="J3715" s="81" t="s">
        <v>224</v>
      </c>
    </row>
    <row r="3716" hidden="1">
      <c r="A3716" s="83" t="s">
        <v>6330</v>
      </c>
      <c r="B3716" s="83" t="s">
        <v>6331</v>
      </c>
      <c r="C3716" s="81" t="s">
        <v>4621</v>
      </c>
      <c r="D3716" s="83" t="s">
        <v>4292</v>
      </c>
      <c r="E3716" s="81" t="s">
        <v>1158</v>
      </c>
      <c r="F3716" s="84">
        <v>231.0</v>
      </c>
      <c r="G3716" s="81" t="s">
        <v>39</v>
      </c>
      <c r="H3716" s="81" t="s">
        <v>5473</v>
      </c>
      <c r="I3716" s="81" t="s">
        <v>1168</v>
      </c>
      <c r="J3716" s="81" t="s">
        <v>224</v>
      </c>
    </row>
    <row r="3717" hidden="1">
      <c r="A3717" s="83" t="s">
        <v>6330</v>
      </c>
      <c r="B3717" s="83" t="s">
        <v>6331</v>
      </c>
      <c r="C3717" s="81" t="s">
        <v>4621</v>
      </c>
      <c r="D3717" s="83" t="s">
        <v>4292</v>
      </c>
      <c r="E3717" s="81" t="s">
        <v>1158</v>
      </c>
      <c r="F3717" s="84">
        <v>231.0</v>
      </c>
      <c r="G3717" s="81" t="s">
        <v>40</v>
      </c>
      <c r="H3717" s="81" t="s">
        <v>5474</v>
      </c>
      <c r="I3717" s="81" t="s">
        <v>5475</v>
      </c>
      <c r="J3717" s="81" t="s">
        <v>224</v>
      </c>
    </row>
    <row r="3718" hidden="1">
      <c r="A3718" s="83" t="s">
        <v>6330</v>
      </c>
      <c r="B3718" s="83" t="s">
        <v>6331</v>
      </c>
      <c r="C3718" s="81" t="s">
        <v>4621</v>
      </c>
      <c r="D3718" s="83" t="s">
        <v>4292</v>
      </c>
      <c r="E3718" s="81" t="s">
        <v>1175</v>
      </c>
      <c r="F3718" s="84">
        <v>232.0</v>
      </c>
      <c r="G3718" s="81" t="s">
        <v>39</v>
      </c>
      <c r="H3718" s="81" t="s">
        <v>5476</v>
      </c>
      <c r="I3718" s="81" t="s">
        <v>1168</v>
      </c>
      <c r="J3718" s="81" t="s">
        <v>224</v>
      </c>
    </row>
    <row r="3719" hidden="1">
      <c r="A3719" s="83" t="s">
        <v>6330</v>
      </c>
      <c r="B3719" s="83" t="s">
        <v>6331</v>
      </c>
      <c r="C3719" s="81" t="s">
        <v>4621</v>
      </c>
      <c r="D3719" s="83" t="s">
        <v>4292</v>
      </c>
      <c r="E3719" s="81" t="s">
        <v>1175</v>
      </c>
      <c r="F3719" s="84">
        <v>232.0</v>
      </c>
      <c r="G3719" s="81" t="s">
        <v>40</v>
      </c>
      <c r="H3719" s="81" t="s">
        <v>5477</v>
      </c>
      <c r="I3719" s="81" t="s">
        <v>5475</v>
      </c>
      <c r="J3719" s="81" t="s">
        <v>224</v>
      </c>
    </row>
    <row r="3720" hidden="1">
      <c r="A3720" s="83" t="s">
        <v>6330</v>
      </c>
      <c r="B3720" s="83" t="s">
        <v>6331</v>
      </c>
      <c r="C3720" s="81" t="s">
        <v>4621</v>
      </c>
      <c r="D3720" s="83" t="s">
        <v>4294</v>
      </c>
      <c r="E3720" s="81" t="s">
        <v>1176</v>
      </c>
      <c r="F3720" s="84">
        <v>233.0</v>
      </c>
      <c r="G3720" s="81" t="s">
        <v>39</v>
      </c>
      <c r="H3720" s="81" t="s">
        <v>5478</v>
      </c>
      <c r="I3720" s="81" t="s">
        <v>1178</v>
      </c>
      <c r="J3720" s="81" t="s">
        <v>224</v>
      </c>
    </row>
    <row r="3721" hidden="1">
      <c r="A3721" s="83" t="s">
        <v>6330</v>
      </c>
      <c r="B3721" s="83" t="s">
        <v>6331</v>
      </c>
      <c r="C3721" s="81" t="s">
        <v>4621</v>
      </c>
      <c r="D3721" s="83" t="s">
        <v>4294</v>
      </c>
      <c r="E3721" s="81" t="s">
        <v>1176</v>
      </c>
      <c r="F3721" s="84">
        <v>233.0</v>
      </c>
      <c r="G3721" s="81" t="s">
        <v>40</v>
      </c>
      <c r="H3721" s="81" t="s">
        <v>5479</v>
      </c>
      <c r="I3721" s="81" t="s">
        <v>5480</v>
      </c>
      <c r="J3721" s="81" t="s">
        <v>224</v>
      </c>
    </row>
    <row r="3722" hidden="1">
      <c r="A3722" s="83" t="s">
        <v>6330</v>
      </c>
      <c r="B3722" s="83" t="s">
        <v>6331</v>
      </c>
      <c r="C3722" s="81" t="s">
        <v>4621</v>
      </c>
      <c r="D3722" s="83" t="s">
        <v>4295</v>
      </c>
      <c r="E3722" s="81" t="s">
        <v>1180</v>
      </c>
      <c r="F3722" s="84">
        <v>234.0</v>
      </c>
      <c r="G3722" s="81" t="s">
        <v>39</v>
      </c>
      <c r="H3722" s="81" t="s">
        <v>5481</v>
      </c>
      <c r="I3722" s="81" t="s">
        <v>1184</v>
      </c>
      <c r="J3722" s="81" t="s">
        <v>224</v>
      </c>
    </row>
    <row r="3723" hidden="1">
      <c r="A3723" s="83" t="s">
        <v>6330</v>
      </c>
      <c r="B3723" s="83" t="s">
        <v>6331</v>
      </c>
      <c r="C3723" s="81" t="s">
        <v>4621</v>
      </c>
      <c r="D3723" s="83" t="s">
        <v>4295</v>
      </c>
      <c r="E3723" s="81" t="s">
        <v>1180</v>
      </c>
      <c r="F3723" s="84">
        <v>234.0</v>
      </c>
      <c r="G3723" s="81" t="s">
        <v>40</v>
      </c>
      <c r="H3723" s="81" t="s">
        <v>5482</v>
      </c>
      <c r="I3723" s="81" t="s">
        <v>5483</v>
      </c>
      <c r="J3723" s="81" t="s">
        <v>224</v>
      </c>
    </row>
    <row r="3724" hidden="1">
      <c r="A3724" s="83" t="s">
        <v>6330</v>
      </c>
      <c r="B3724" s="83" t="s">
        <v>6331</v>
      </c>
      <c r="C3724" s="81" t="s">
        <v>4621</v>
      </c>
      <c r="D3724" s="83" t="s">
        <v>4297</v>
      </c>
      <c r="E3724" s="81" t="s">
        <v>1191</v>
      </c>
      <c r="F3724" s="84">
        <v>235.0</v>
      </c>
      <c r="G3724" s="81" t="s">
        <v>39</v>
      </c>
      <c r="H3724" s="81" t="s">
        <v>5484</v>
      </c>
      <c r="I3724" s="81" t="s">
        <v>1194</v>
      </c>
      <c r="J3724" s="81" t="s">
        <v>224</v>
      </c>
    </row>
    <row r="3725" hidden="1">
      <c r="A3725" s="83" t="s">
        <v>6330</v>
      </c>
      <c r="B3725" s="83" t="s">
        <v>6331</v>
      </c>
      <c r="C3725" s="81" t="s">
        <v>4621</v>
      </c>
      <c r="D3725" s="83" t="s">
        <v>4297</v>
      </c>
      <c r="E3725" s="81" t="s">
        <v>1191</v>
      </c>
      <c r="F3725" s="84">
        <v>235.0</v>
      </c>
      <c r="G3725" s="81" t="s">
        <v>40</v>
      </c>
      <c r="H3725" s="81" t="s">
        <v>5485</v>
      </c>
      <c r="I3725" s="81" t="s">
        <v>5486</v>
      </c>
      <c r="J3725" s="81" t="s">
        <v>224</v>
      </c>
    </row>
    <row r="3726" hidden="1">
      <c r="A3726" s="83" t="s">
        <v>6330</v>
      </c>
      <c r="B3726" s="83" t="s">
        <v>6331</v>
      </c>
      <c r="C3726" s="81" t="s">
        <v>4621</v>
      </c>
      <c r="D3726" s="83" t="s">
        <v>4297</v>
      </c>
      <c r="E3726" s="81" t="s">
        <v>1201</v>
      </c>
      <c r="F3726" s="84">
        <v>236.0</v>
      </c>
      <c r="G3726" s="81" t="s">
        <v>39</v>
      </c>
      <c r="H3726" s="81" t="s">
        <v>5487</v>
      </c>
      <c r="I3726" s="81" t="s">
        <v>1194</v>
      </c>
      <c r="J3726" s="81" t="s">
        <v>224</v>
      </c>
    </row>
    <row r="3727" hidden="1">
      <c r="A3727" s="83" t="s">
        <v>6330</v>
      </c>
      <c r="B3727" s="83" t="s">
        <v>6331</v>
      </c>
      <c r="C3727" s="81" t="s">
        <v>4621</v>
      </c>
      <c r="D3727" s="83" t="s">
        <v>4297</v>
      </c>
      <c r="E3727" s="81" t="s">
        <v>1201</v>
      </c>
      <c r="F3727" s="84">
        <v>236.0</v>
      </c>
      <c r="G3727" s="81" t="s">
        <v>40</v>
      </c>
      <c r="H3727" s="81" t="s">
        <v>5488</v>
      </c>
      <c r="I3727" s="81" t="s">
        <v>5486</v>
      </c>
      <c r="J3727" s="81" t="s">
        <v>224</v>
      </c>
    </row>
    <row r="3728" hidden="1">
      <c r="A3728" s="83" t="s">
        <v>6330</v>
      </c>
      <c r="B3728" s="83" t="s">
        <v>6331</v>
      </c>
      <c r="C3728" s="81" t="s">
        <v>4621</v>
      </c>
      <c r="D3728" s="83" t="s">
        <v>4298</v>
      </c>
      <c r="E3728" s="81" t="s">
        <v>1202</v>
      </c>
      <c r="F3728" s="84">
        <v>237.0</v>
      </c>
      <c r="G3728" s="81" t="s">
        <v>39</v>
      </c>
      <c r="H3728" s="81" t="s">
        <v>5489</v>
      </c>
      <c r="I3728" s="81" t="s">
        <v>1205</v>
      </c>
      <c r="J3728" s="81" t="s">
        <v>224</v>
      </c>
    </row>
    <row r="3729" hidden="1">
      <c r="A3729" s="83" t="s">
        <v>6330</v>
      </c>
      <c r="B3729" s="83" t="s">
        <v>6331</v>
      </c>
      <c r="C3729" s="81" t="s">
        <v>4621</v>
      </c>
      <c r="D3729" s="83" t="s">
        <v>4298</v>
      </c>
      <c r="E3729" s="81" t="s">
        <v>1202</v>
      </c>
      <c r="F3729" s="84">
        <v>237.0</v>
      </c>
      <c r="G3729" s="81" t="s">
        <v>40</v>
      </c>
      <c r="H3729" s="81" t="s">
        <v>5490</v>
      </c>
      <c r="I3729" s="81" t="s">
        <v>1206</v>
      </c>
      <c r="J3729" s="81" t="s">
        <v>224</v>
      </c>
    </row>
    <row r="3730" hidden="1">
      <c r="A3730" s="83" t="s">
        <v>6330</v>
      </c>
      <c r="B3730" s="83" t="s">
        <v>6331</v>
      </c>
      <c r="C3730" s="81" t="s">
        <v>4621</v>
      </c>
      <c r="D3730" s="83" t="s">
        <v>4298</v>
      </c>
      <c r="E3730" s="81" t="s">
        <v>1210</v>
      </c>
      <c r="F3730" s="84">
        <v>238.0</v>
      </c>
      <c r="G3730" s="81" t="s">
        <v>39</v>
      </c>
      <c r="H3730" s="81" t="s">
        <v>5489</v>
      </c>
      <c r="I3730" s="81" t="s">
        <v>1205</v>
      </c>
      <c r="J3730" s="81" t="s">
        <v>224</v>
      </c>
    </row>
    <row r="3731" hidden="1">
      <c r="A3731" s="83" t="s">
        <v>6330</v>
      </c>
      <c r="B3731" s="83" t="s">
        <v>6331</v>
      </c>
      <c r="C3731" s="81" t="s">
        <v>4621</v>
      </c>
      <c r="D3731" s="83" t="s">
        <v>4298</v>
      </c>
      <c r="E3731" s="81" t="s">
        <v>1210</v>
      </c>
      <c r="F3731" s="84">
        <v>238.0</v>
      </c>
      <c r="G3731" s="81" t="s">
        <v>40</v>
      </c>
      <c r="H3731" s="81" t="s">
        <v>5491</v>
      </c>
      <c r="I3731" s="81" t="s">
        <v>1206</v>
      </c>
      <c r="J3731" s="81" t="s">
        <v>224</v>
      </c>
    </row>
    <row r="3732" hidden="1">
      <c r="A3732" s="83" t="s">
        <v>6330</v>
      </c>
      <c r="B3732" s="83" t="s">
        <v>6331</v>
      </c>
      <c r="C3732" s="81" t="s">
        <v>4621</v>
      </c>
      <c r="D3732" s="83" t="s">
        <v>4300</v>
      </c>
      <c r="E3732" s="81" t="s">
        <v>1211</v>
      </c>
      <c r="F3732" s="84">
        <v>239.0</v>
      </c>
      <c r="G3732" s="81" t="s">
        <v>40</v>
      </c>
      <c r="H3732" s="81" t="s">
        <v>5492</v>
      </c>
      <c r="I3732" s="81" t="s">
        <v>1213</v>
      </c>
      <c r="J3732" s="81" t="s">
        <v>224</v>
      </c>
    </row>
    <row r="3733" hidden="1">
      <c r="A3733" s="83" t="s">
        <v>6330</v>
      </c>
      <c r="B3733" s="83" t="s">
        <v>6331</v>
      </c>
      <c r="C3733" s="81" t="s">
        <v>4621</v>
      </c>
      <c r="D3733" s="83" t="s">
        <v>4301</v>
      </c>
      <c r="E3733" s="81" t="s">
        <v>1214</v>
      </c>
      <c r="F3733" s="84">
        <v>240.0</v>
      </c>
      <c r="G3733" s="81" t="s">
        <v>39</v>
      </c>
      <c r="H3733" s="81" t="s">
        <v>5493</v>
      </c>
      <c r="I3733" s="81" t="s">
        <v>1216</v>
      </c>
      <c r="J3733" s="81" t="s">
        <v>224</v>
      </c>
    </row>
    <row r="3734" hidden="1">
      <c r="A3734" s="83" t="s">
        <v>6330</v>
      </c>
      <c r="B3734" s="83" t="s">
        <v>6331</v>
      </c>
      <c r="C3734" s="81" t="s">
        <v>4621</v>
      </c>
      <c r="D3734" s="83" t="s">
        <v>4301</v>
      </c>
      <c r="E3734" s="81" t="s">
        <v>1214</v>
      </c>
      <c r="F3734" s="84">
        <v>240.0</v>
      </c>
      <c r="G3734" s="81" t="s">
        <v>40</v>
      </c>
      <c r="H3734" s="81" t="s">
        <v>5494</v>
      </c>
      <c r="I3734" s="81" t="s">
        <v>1217</v>
      </c>
      <c r="J3734" s="81" t="s">
        <v>224</v>
      </c>
    </row>
    <row r="3735" hidden="1">
      <c r="A3735" s="83" t="s">
        <v>6330</v>
      </c>
      <c r="B3735" s="83" t="s">
        <v>6331</v>
      </c>
      <c r="C3735" s="81" t="s">
        <v>4621</v>
      </c>
      <c r="D3735" s="83" t="s">
        <v>4301</v>
      </c>
      <c r="E3735" s="81" t="s">
        <v>1221</v>
      </c>
      <c r="F3735" s="84">
        <v>241.0</v>
      </c>
      <c r="G3735" s="81" t="s">
        <v>39</v>
      </c>
      <c r="H3735" s="81" t="s">
        <v>5493</v>
      </c>
      <c r="I3735" s="81" t="s">
        <v>1216</v>
      </c>
      <c r="J3735" s="81" t="s">
        <v>224</v>
      </c>
    </row>
    <row r="3736" hidden="1">
      <c r="A3736" s="83" t="s">
        <v>6330</v>
      </c>
      <c r="B3736" s="83" t="s">
        <v>6331</v>
      </c>
      <c r="C3736" s="81" t="s">
        <v>4621</v>
      </c>
      <c r="D3736" s="83" t="s">
        <v>4301</v>
      </c>
      <c r="E3736" s="81" t="s">
        <v>1221</v>
      </c>
      <c r="F3736" s="84">
        <v>241.0</v>
      </c>
      <c r="G3736" s="81" t="s">
        <v>40</v>
      </c>
      <c r="H3736" s="81" t="s">
        <v>5494</v>
      </c>
      <c r="I3736" s="81" t="s">
        <v>1217</v>
      </c>
      <c r="J3736" s="81" t="s">
        <v>224</v>
      </c>
    </row>
    <row r="3737" hidden="1">
      <c r="A3737" s="83" t="s">
        <v>6330</v>
      </c>
      <c r="B3737" s="83" t="s">
        <v>6331</v>
      </c>
      <c r="C3737" s="81" t="s">
        <v>4621</v>
      </c>
      <c r="D3737" s="83" t="s">
        <v>4303</v>
      </c>
      <c r="E3737" s="81" t="s">
        <v>1222</v>
      </c>
      <c r="F3737" s="84">
        <v>242.0</v>
      </c>
      <c r="G3737" s="81" t="s">
        <v>39</v>
      </c>
      <c r="H3737" s="81" t="s">
        <v>5495</v>
      </c>
      <c r="I3737" s="81" t="s">
        <v>1223</v>
      </c>
      <c r="J3737" s="81" t="s">
        <v>224</v>
      </c>
    </row>
    <row r="3738" hidden="1">
      <c r="A3738" s="83" t="s">
        <v>6330</v>
      </c>
      <c r="B3738" s="83" t="s">
        <v>6331</v>
      </c>
      <c r="C3738" s="81" t="s">
        <v>4621</v>
      </c>
      <c r="D3738" s="83" t="s">
        <v>4303</v>
      </c>
      <c r="E3738" s="81" t="s">
        <v>1222</v>
      </c>
      <c r="F3738" s="84">
        <v>242.0</v>
      </c>
      <c r="G3738" s="81" t="s">
        <v>40</v>
      </c>
      <c r="H3738" s="81" t="s">
        <v>5496</v>
      </c>
      <c r="I3738" s="81" t="s">
        <v>1224</v>
      </c>
      <c r="J3738" s="81" t="s">
        <v>224</v>
      </c>
    </row>
    <row r="3739" hidden="1">
      <c r="A3739" s="83" t="s">
        <v>6330</v>
      </c>
      <c r="B3739" s="83" t="s">
        <v>6331</v>
      </c>
      <c r="C3739" s="81" t="s">
        <v>4621</v>
      </c>
      <c r="D3739" s="83" t="s">
        <v>4304</v>
      </c>
      <c r="E3739" s="81" t="s">
        <v>1225</v>
      </c>
      <c r="F3739" s="84">
        <v>243.0</v>
      </c>
      <c r="G3739" s="81" t="s">
        <v>39</v>
      </c>
      <c r="H3739" s="81" t="s">
        <v>5497</v>
      </c>
      <c r="I3739" s="81" t="s">
        <v>1227</v>
      </c>
      <c r="J3739" s="81" t="s">
        <v>224</v>
      </c>
    </row>
    <row r="3740" hidden="1">
      <c r="A3740" s="83" t="s">
        <v>6330</v>
      </c>
      <c r="B3740" s="83" t="s">
        <v>6331</v>
      </c>
      <c r="C3740" s="81" t="s">
        <v>4621</v>
      </c>
      <c r="D3740" s="83" t="s">
        <v>4304</v>
      </c>
      <c r="E3740" s="81" t="s">
        <v>1225</v>
      </c>
      <c r="F3740" s="84">
        <v>243.0</v>
      </c>
      <c r="G3740" s="81" t="s">
        <v>40</v>
      </c>
      <c r="H3740" s="81" t="s">
        <v>5498</v>
      </c>
      <c r="I3740" s="81" t="s">
        <v>1228</v>
      </c>
      <c r="J3740" s="81" t="s">
        <v>224</v>
      </c>
    </row>
    <row r="3741" hidden="1">
      <c r="A3741" s="83" t="s">
        <v>6330</v>
      </c>
      <c r="B3741" s="83" t="s">
        <v>6331</v>
      </c>
      <c r="C3741" s="81" t="s">
        <v>4621</v>
      </c>
      <c r="D3741" s="83" t="s">
        <v>4304</v>
      </c>
      <c r="E3741" s="81" t="s">
        <v>1232</v>
      </c>
      <c r="F3741" s="84">
        <v>244.0</v>
      </c>
      <c r="G3741" s="81" t="s">
        <v>39</v>
      </c>
      <c r="H3741" s="81" t="s">
        <v>5497</v>
      </c>
      <c r="I3741" s="81" t="s">
        <v>1227</v>
      </c>
      <c r="J3741" s="81" t="s">
        <v>224</v>
      </c>
    </row>
    <row r="3742" hidden="1">
      <c r="A3742" s="83" t="s">
        <v>6330</v>
      </c>
      <c r="B3742" s="83" t="s">
        <v>6331</v>
      </c>
      <c r="C3742" s="81" t="s">
        <v>4621</v>
      </c>
      <c r="D3742" s="83" t="s">
        <v>4304</v>
      </c>
      <c r="E3742" s="81" t="s">
        <v>1232</v>
      </c>
      <c r="F3742" s="84">
        <v>244.0</v>
      </c>
      <c r="G3742" s="81" t="s">
        <v>40</v>
      </c>
      <c r="H3742" s="81" t="s">
        <v>5498</v>
      </c>
      <c r="I3742" s="81" t="s">
        <v>1228</v>
      </c>
      <c r="J3742" s="81" t="s">
        <v>224</v>
      </c>
    </row>
    <row r="3743" hidden="1">
      <c r="A3743" s="83" t="s">
        <v>6330</v>
      </c>
      <c r="B3743" s="83" t="s">
        <v>6331</v>
      </c>
      <c r="C3743" s="81" t="s">
        <v>4621</v>
      </c>
      <c r="D3743" s="83" t="s">
        <v>4305</v>
      </c>
      <c r="E3743" s="81" t="s">
        <v>1234</v>
      </c>
      <c r="F3743" s="84">
        <v>245.0</v>
      </c>
      <c r="G3743" s="81" t="s">
        <v>39</v>
      </c>
      <c r="H3743" s="81" t="s">
        <v>5499</v>
      </c>
      <c r="I3743" s="81" t="s">
        <v>1235</v>
      </c>
      <c r="J3743" s="81" t="s">
        <v>224</v>
      </c>
    </row>
    <row r="3744" hidden="1">
      <c r="A3744" s="83" t="s">
        <v>6330</v>
      </c>
      <c r="B3744" s="83" t="s">
        <v>6331</v>
      </c>
      <c r="C3744" s="81" t="s">
        <v>4621</v>
      </c>
      <c r="D3744" s="83" t="s">
        <v>4305</v>
      </c>
      <c r="E3744" s="81" t="s">
        <v>1234</v>
      </c>
      <c r="F3744" s="84">
        <v>245.0</v>
      </c>
      <c r="G3744" s="81" t="s">
        <v>40</v>
      </c>
      <c r="H3744" s="81" t="s">
        <v>5500</v>
      </c>
      <c r="I3744" s="81" t="s">
        <v>1236</v>
      </c>
      <c r="J3744" s="81" t="s">
        <v>224</v>
      </c>
    </row>
    <row r="3745" hidden="1">
      <c r="A3745" s="83" t="s">
        <v>6330</v>
      </c>
      <c r="B3745" s="83" t="s">
        <v>6331</v>
      </c>
      <c r="C3745" s="81" t="s">
        <v>4621</v>
      </c>
      <c r="D3745" s="83" t="s">
        <v>4306</v>
      </c>
      <c r="E3745" s="81" t="s">
        <v>1237</v>
      </c>
      <c r="F3745" s="84">
        <v>246.0</v>
      </c>
      <c r="G3745" s="81" t="s">
        <v>39</v>
      </c>
      <c r="H3745" s="81" t="s">
        <v>5501</v>
      </c>
      <c r="I3745" s="81" t="s">
        <v>1244</v>
      </c>
      <c r="J3745" s="81" t="s">
        <v>224</v>
      </c>
    </row>
    <row r="3746" hidden="1">
      <c r="A3746" s="83" t="s">
        <v>6330</v>
      </c>
      <c r="B3746" s="83" t="s">
        <v>6331</v>
      </c>
      <c r="C3746" s="81" t="s">
        <v>4621</v>
      </c>
      <c r="D3746" s="83" t="s">
        <v>4306</v>
      </c>
      <c r="E3746" s="81" t="s">
        <v>1237</v>
      </c>
      <c r="F3746" s="84">
        <v>246.0</v>
      </c>
      <c r="G3746" s="81" t="s">
        <v>40</v>
      </c>
      <c r="H3746" s="81" t="s">
        <v>5502</v>
      </c>
      <c r="I3746" s="81" t="s">
        <v>1245</v>
      </c>
      <c r="J3746" s="81" t="s">
        <v>224</v>
      </c>
    </row>
    <row r="3747" hidden="1">
      <c r="A3747" s="83" t="s">
        <v>6330</v>
      </c>
      <c r="B3747" s="83" t="s">
        <v>6331</v>
      </c>
      <c r="C3747" s="81" t="s">
        <v>4621</v>
      </c>
      <c r="D3747" s="83" t="s">
        <v>4308</v>
      </c>
      <c r="E3747" s="81" t="s">
        <v>1247</v>
      </c>
      <c r="F3747" s="84">
        <v>247.0</v>
      </c>
      <c r="G3747" s="81" t="s">
        <v>39</v>
      </c>
      <c r="H3747" s="81" t="s">
        <v>5503</v>
      </c>
      <c r="I3747" s="81" t="s">
        <v>1249</v>
      </c>
      <c r="J3747" s="81" t="s">
        <v>224</v>
      </c>
    </row>
    <row r="3748" hidden="1">
      <c r="A3748" s="83" t="s">
        <v>6330</v>
      </c>
      <c r="B3748" s="83" t="s">
        <v>6331</v>
      </c>
      <c r="C3748" s="81" t="s">
        <v>4621</v>
      </c>
      <c r="D3748" s="83" t="s">
        <v>4308</v>
      </c>
      <c r="E3748" s="81" t="s">
        <v>1247</v>
      </c>
      <c r="F3748" s="84">
        <v>247.0</v>
      </c>
      <c r="G3748" s="81" t="s">
        <v>40</v>
      </c>
      <c r="H3748" s="81" t="s">
        <v>5504</v>
      </c>
      <c r="I3748" s="81" t="s">
        <v>1250</v>
      </c>
      <c r="J3748" s="81" t="s">
        <v>224</v>
      </c>
    </row>
    <row r="3749" hidden="1">
      <c r="A3749" s="83" t="s">
        <v>6330</v>
      </c>
      <c r="B3749" s="83" t="s">
        <v>6331</v>
      </c>
      <c r="C3749" s="81" t="s">
        <v>4621</v>
      </c>
      <c r="D3749" s="83" t="s">
        <v>4309</v>
      </c>
      <c r="E3749" s="81" t="s">
        <v>1251</v>
      </c>
      <c r="F3749" s="84">
        <v>248.0</v>
      </c>
      <c r="G3749" s="81" t="s">
        <v>39</v>
      </c>
      <c r="H3749" s="81" t="s">
        <v>5505</v>
      </c>
      <c r="I3749" s="81" t="s">
        <v>1260</v>
      </c>
      <c r="J3749" s="81" t="s">
        <v>224</v>
      </c>
    </row>
    <row r="3750" hidden="1">
      <c r="A3750" s="83" t="s">
        <v>6330</v>
      </c>
      <c r="B3750" s="83" t="s">
        <v>6331</v>
      </c>
      <c r="C3750" s="81" t="s">
        <v>4621</v>
      </c>
      <c r="D3750" s="83" t="s">
        <v>4309</v>
      </c>
      <c r="E3750" s="81" t="s">
        <v>1251</v>
      </c>
      <c r="F3750" s="84">
        <v>248.0</v>
      </c>
      <c r="G3750" s="81" t="s">
        <v>40</v>
      </c>
      <c r="H3750" s="81" t="s">
        <v>5506</v>
      </c>
      <c r="I3750" s="81" t="s">
        <v>5507</v>
      </c>
      <c r="J3750" s="81" t="s">
        <v>224</v>
      </c>
    </row>
    <row r="3751" hidden="1">
      <c r="A3751" s="83" t="s">
        <v>6330</v>
      </c>
      <c r="B3751" s="83" t="s">
        <v>6331</v>
      </c>
      <c r="C3751" s="81" t="s">
        <v>4621</v>
      </c>
      <c r="D3751" s="83" t="s">
        <v>4309</v>
      </c>
      <c r="E3751" s="81" t="s">
        <v>1267</v>
      </c>
      <c r="F3751" s="84">
        <v>249.0</v>
      </c>
      <c r="G3751" s="81" t="s">
        <v>40</v>
      </c>
      <c r="H3751" s="81" t="s">
        <v>5508</v>
      </c>
      <c r="I3751" s="81" t="s">
        <v>5507</v>
      </c>
      <c r="J3751" s="81" t="s">
        <v>224</v>
      </c>
    </row>
    <row r="3752" hidden="1">
      <c r="A3752" s="83" t="s">
        <v>6330</v>
      </c>
      <c r="B3752" s="83" t="s">
        <v>6331</v>
      </c>
      <c r="C3752" s="81" t="s">
        <v>4621</v>
      </c>
      <c r="D3752" s="83" t="s">
        <v>4310</v>
      </c>
      <c r="E3752" s="81" t="s">
        <v>1268</v>
      </c>
      <c r="F3752" s="84">
        <v>250.0</v>
      </c>
      <c r="G3752" s="81" t="s">
        <v>40</v>
      </c>
      <c r="H3752" s="81" t="s">
        <v>5509</v>
      </c>
      <c r="I3752" s="81" t="s">
        <v>1270</v>
      </c>
      <c r="J3752" s="81" t="s">
        <v>224</v>
      </c>
    </row>
    <row r="3753" hidden="1">
      <c r="A3753" s="83" t="s">
        <v>6330</v>
      </c>
      <c r="B3753" s="83" t="s">
        <v>6331</v>
      </c>
      <c r="C3753" s="81" t="s">
        <v>4621</v>
      </c>
      <c r="D3753" s="83" t="s">
        <v>4311</v>
      </c>
      <c r="E3753" s="81" t="s">
        <v>1271</v>
      </c>
      <c r="F3753" s="84">
        <v>251.0</v>
      </c>
      <c r="G3753" s="81" t="s">
        <v>39</v>
      </c>
      <c r="H3753" s="81" t="s">
        <v>5510</v>
      </c>
      <c r="I3753" s="81" t="s">
        <v>1278</v>
      </c>
      <c r="J3753" s="81" t="s">
        <v>224</v>
      </c>
    </row>
    <row r="3754" hidden="1">
      <c r="A3754" s="83" t="s">
        <v>6330</v>
      </c>
      <c r="B3754" s="83" t="s">
        <v>6331</v>
      </c>
      <c r="C3754" s="81" t="s">
        <v>4621</v>
      </c>
      <c r="D3754" s="83" t="s">
        <v>4311</v>
      </c>
      <c r="E3754" s="81" t="s">
        <v>1271</v>
      </c>
      <c r="F3754" s="84">
        <v>251.0</v>
      </c>
      <c r="G3754" s="81" t="s">
        <v>40</v>
      </c>
      <c r="H3754" s="81" t="s">
        <v>5511</v>
      </c>
      <c r="I3754" s="81" t="s">
        <v>1279</v>
      </c>
      <c r="J3754" s="81" t="s">
        <v>224</v>
      </c>
    </row>
    <row r="3755" hidden="1">
      <c r="A3755" s="83" t="s">
        <v>6330</v>
      </c>
      <c r="B3755" s="83" t="s">
        <v>6331</v>
      </c>
      <c r="C3755" s="81" t="s">
        <v>4621</v>
      </c>
      <c r="D3755" s="83" t="s">
        <v>4311</v>
      </c>
      <c r="E3755" s="81" t="s">
        <v>1285</v>
      </c>
      <c r="F3755" s="84">
        <v>252.0</v>
      </c>
      <c r="G3755" s="81" t="s">
        <v>40</v>
      </c>
      <c r="H3755" s="81" t="s">
        <v>5511</v>
      </c>
      <c r="I3755" s="81" t="s">
        <v>1279</v>
      </c>
      <c r="J3755" s="81" t="s">
        <v>224</v>
      </c>
    </row>
    <row r="3756" hidden="1">
      <c r="A3756" s="83" t="s">
        <v>6330</v>
      </c>
      <c r="B3756" s="83" t="s">
        <v>6331</v>
      </c>
      <c r="C3756" s="81" t="s">
        <v>4621</v>
      </c>
      <c r="D3756" s="83" t="s">
        <v>4313</v>
      </c>
      <c r="E3756" s="81" t="s">
        <v>1286</v>
      </c>
      <c r="F3756" s="84">
        <v>253.0</v>
      </c>
      <c r="G3756" s="81" t="s">
        <v>40</v>
      </c>
      <c r="H3756" s="81" t="s">
        <v>5512</v>
      </c>
      <c r="I3756" s="81" t="s">
        <v>1288</v>
      </c>
      <c r="J3756" s="81" t="s">
        <v>224</v>
      </c>
    </row>
    <row r="3757" hidden="1">
      <c r="A3757" s="83" t="s">
        <v>6330</v>
      </c>
      <c r="B3757" s="83" t="s">
        <v>6331</v>
      </c>
      <c r="C3757" s="81" t="s">
        <v>4621</v>
      </c>
      <c r="D3757" s="83" t="s">
        <v>4315</v>
      </c>
      <c r="E3757" s="81" t="s">
        <v>1297</v>
      </c>
      <c r="F3757" s="84">
        <v>255.0</v>
      </c>
      <c r="G3757" s="81" t="s">
        <v>39</v>
      </c>
      <c r="H3757" s="81" t="s">
        <v>5513</v>
      </c>
      <c r="I3757" s="81" t="s">
        <v>1306</v>
      </c>
      <c r="J3757" s="81" t="s">
        <v>224</v>
      </c>
    </row>
    <row r="3758" hidden="1">
      <c r="A3758" s="83" t="s">
        <v>6330</v>
      </c>
      <c r="B3758" s="83" t="s">
        <v>6331</v>
      </c>
      <c r="C3758" s="81" t="s">
        <v>4621</v>
      </c>
      <c r="D3758" s="83" t="s">
        <v>4315</v>
      </c>
      <c r="E3758" s="81" t="s">
        <v>1297</v>
      </c>
      <c r="F3758" s="84">
        <v>255.0</v>
      </c>
      <c r="G3758" s="81" t="s">
        <v>40</v>
      </c>
      <c r="H3758" s="81" t="s">
        <v>5514</v>
      </c>
      <c r="I3758" s="81" t="s">
        <v>1307</v>
      </c>
      <c r="J3758" s="81" t="s">
        <v>224</v>
      </c>
    </row>
    <row r="3759" hidden="1">
      <c r="A3759" s="83" t="s">
        <v>6330</v>
      </c>
      <c r="B3759" s="83" t="s">
        <v>6331</v>
      </c>
      <c r="C3759" s="81" t="s">
        <v>4082</v>
      </c>
      <c r="D3759" s="83" t="s">
        <v>4316</v>
      </c>
      <c r="E3759" s="81" t="s">
        <v>1313</v>
      </c>
      <c r="F3759" s="84">
        <v>256.0</v>
      </c>
      <c r="G3759" s="81" t="s">
        <v>39</v>
      </c>
      <c r="H3759" s="81" t="s">
        <v>224</v>
      </c>
      <c r="I3759" s="81" t="s">
        <v>224</v>
      </c>
      <c r="J3759" s="81" t="s">
        <v>5515</v>
      </c>
    </row>
    <row r="3760" hidden="1">
      <c r="A3760" s="83" t="s">
        <v>6330</v>
      </c>
      <c r="B3760" s="83" t="s">
        <v>6331</v>
      </c>
      <c r="C3760" s="81" t="s">
        <v>6333</v>
      </c>
      <c r="D3760" s="83" t="s">
        <v>4316</v>
      </c>
      <c r="E3760" s="81" t="s">
        <v>1313</v>
      </c>
      <c r="F3760" s="84">
        <v>256.0</v>
      </c>
      <c r="G3760" s="81" t="s">
        <v>39</v>
      </c>
      <c r="H3760" s="81" t="s">
        <v>5516</v>
      </c>
      <c r="I3760" s="81" t="s">
        <v>224</v>
      </c>
      <c r="J3760" s="81" t="s">
        <v>5143</v>
      </c>
    </row>
    <row r="3761" hidden="1">
      <c r="A3761" s="83" t="s">
        <v>6330</v>
      </c>
      <c r="B3761" s="83" t="s">
        <v>6331</v>
      </c>
      <c r="C3761" s="81" t="s">
        <v>4621</v>
      </c>
      <c r="D3761" s="83" t="s">
        <v>4316</v>
      </c>
      <c r="E3761" s="81" t="s">
        <v>1313</v>
      </c>
      <c r="F3761" s="84">
        <v>256.0</v>
      </c>
      <c r="G3761" s="81" t="s">
        <v>40</v>
      </c>
      <c r="H3761" s="81" t="s">
        <v>5517</v>
      </c>
      <c r="I3761" s="81" t="s">
        <v>1319</v>
      </c>
      <c r="J3761" s="81" t="s">
        <v>224</v>
      </c>
    </row>
    <row r="3762" hidden="1">
      <c r="A3762" s="83" t="s">
        <v>6330</v>
      </c>
      <c r="B3762" s="83" t="s">
        <v>6331</v>
      </c>
      <c r="C3762" s="81" t="s">
        <v>4621</v>
      </c>
      <c r="D3762" s="83" t="s">
        <v>4317</v>
      </c>
      <c r="E3762" s="81" t="s">
        <v>1325</v>
      </c>
      <c r="F3762" s="84">
        <v>257.0</v>
      </c>
      <c r="G3762" s="81" t="s">
        <v>40</v>
      </c>
      <c r="H3762" s="81" t="s">
        <v>5518</v>
      </c>
      <c r="I3762" s="81" t="s">
        <v>5519</v>
      </c>
      <c r="J3762" s="81" t="s">
        <v>224</v>
      </c>
    </row>
    <row r="3763" hidden="1">
      <c r="A3763" s="83" t="s">
        <v>6330</v>
      </c>
      <c r="B3763" s="83" t="s">
        <v>6331</v>
      </c>
      <c r="C3763" s="81" t="s">
        <v>4621</v>
      </c>
      <c r="D3763" s="83" t="s">
        <v>4318</v>
      </c>
      <c r="E3763" s="81" t="s">
        <v>1336</v>
      </c>
      <c r="F3763" s="84">
        <v>258.0</v>
      </c>
      <c r="G3763" s="81" t="s">
        <v>40</v>
      </c>
      <c r="H3763" s="81" t="s">
        <v>5520</v>
      </c>
      <c r="I3763" s="81" t="s">
        <v>1344</v>
      </c>
      <c r="J3763" s="81" t="s">
        <v>224</v>
      </c>
    </row>
    <row r="3764" hidden="1">
      <c r="A3764" s="83" t="s">
        <v>6330</v>
      </c>
      <c r="B3764" s="83" t="s">
        <v>6331</v>
      </c>
      <c r="C3764" s="81" t="s">
        <v>4621</v>
      </c>
      <c r="D3764" s="83" t="s">
        <v>4319</v>
      </c>
      <c r="E3764" s="81" t="s">
        <v>1350</v>
      </c>
      <c r="F3764" s="84">
        <v>259.0</v>
      </c>
      <c r="G3764" s="81" t="s">
        <v>39</v>
      </c>
      <c r="H3764" s="81" t="s">
        <v>5521</v>
      </c>
      <c r="I3764" s="81" t="s">
        <v>1353</v>
      </c>
      <c r="J3764" s="81" t="s">
        <v>224</v>
      </c>
    </row>
    <row r="3765" hidden="1">
      <c r="A3765" s="83" t="s">
        <v>6330</v>
      </c>
      <c r="B3765" s="83" t="s">
        <v>6331</v>
      </c>
      <c r="C3765" s="81" t="s">
        <v>4621</v>
      </c>
      <c r="D3765" s="83" t="s">
        <v>4319</v>
      </c>
      <c r="E3765" s="81" t="s">
        <v>1350</v>
      </c>
      <c r="F3765" s="84">
        <v>259.0</v>
      </c>
      <c r="G3765" s="81" t="s">
        <v>40</v>
      </c>
      <c r="H3765" s="81" t="s">
        <v>5522</v>
      </c>
      <c r="I3765" s="81" t="s">
        <v>1354</v>
      </c>
      <c r="J3765" s="81" t="s">
        <v>224</v>
      </c>
    </row>
    <row r="3766" hidden="1">
      <c r="A3766" s="83" t="s">
        <v>6330</v>
      </c>
      <c r="B3766" s="83" t="s">
        <v>6331</v>
      </c>
      <c r="C3766" s="81" t="s">
        <v>4621</v>
      </c>
      <c r="D3766" s="83" t="s">
        <v>4320</v>
      </c>
      <c r="E3766" s="81" t="s">
        <v>1357</v>
      </c>
      <c r="F3766" s="84">
        <v>260.0</v>
      </c>
      <c r="G3766" s="81" t="s">
        <v>39</v>
      </c>
      <c r="H3766" s="81" t="s">
        <v>5524</v>
      </c>
      <c r="I3766" s="81" t="s">
        <v>1362</v>
      </c>
      <c r="J3766" s="81" t="s">
        <v>224</v>
      </c>
    </row>
    <row r="3767" hidden="1">
      <c r="A3767" s="83" t="s">
        <v>6330</v>
      </c>
      <c r="B3767" s="83" t="s">
        <v>6331</v>
      </c>
      <c r="C3767" s="81" t="s">
        <v>4621</v>
      </c>
      <c r="D3767" s="83" t="s">
        <v>4320</v>
      </c>
      <c r="E3767" s="81" t="s">
        <v>1357</v>
      </c>
      <c r="F3767" s="84">
        <v>260.0</v>
      </c>
      <c r="G3767" s="81" t="s">
        <v>40</v>
      </c>
      <c r="H3767" s="81" t="s">
        <v>5525</v>
      </c>
      <c r="I3767" s="81" t="s">
        <v>1363</v>
      </c>
      <c r="J3767" s="81" t="s">
        <v>224</v>
      </c>
    </row>
    <row r="3768" hidden="1">
      <c r="A3768" s="83" t="s">
        <v>6330</v>
      </c>
      <c r="B3768" s="83" t="s">
        <v>6331</v>
      </c>
      <c r="C3768" s="81" t="s">
        <v>4621</v>
      </c>
      <c r="D3768" s="83" t="s">
        <v>4320</v>
      </c>
      <c r="E3768" s="81" t="s">
        <v>1365</v>
      </c>
      <c r="F3768" s="84">
        <v>261.0</v>
      </c>
      <c r="G3768" s="81" t="s">
        <v>39</v>
      </c>
      <c r="H3768" s="81" t="s">
        <v>5524</v>
      </c>
      <c r="I3768" s="81" t="s">
        <v>1362</v>
      </c>
      <c r="J3768" s="81" t="s">
        <v>224</v>
      </c>
    </row>
    <row r="3769" hidden="1">
      <c r="A3769" s="83" t="s">
        <v>6330</v>
      </c>
      <c r="B3769" s="83" t="s">
        <v>6331</v>
      </c>
      <c r="C3769" s="81" t="s">
        <v>4621</v>
      </c>
      <c r="D3769" s="83" t="s">
        <v>4320</v>
      </c>
      <c r="E3769" s="81" t="s">
        <v>1365</v>
      </c>
      <c r="F3769" s="84">
        <v>261.0</v>
      </c>
      <c r="G3769" s="81" t="s">
        <v>40</v>
      </c>
      <c r="H3769" s="81" t="s">
        <v>5525</v>
      </c>
      <c r="I3769" s="81" t="s">
        <v>1363</v>
      </c>
      <c r="J3769" s="81" t="s">
        <v>224</v>
      </c>
    </row>
    <row r="3770" hidden="1">
      <c r="A3770" s="83" t="s">
        <v>6330</v>
      </c>
      <c r="B3770" s="83" t="s">
        <v>6331</v>
      </c>
      <c r="C3770" s="81" t="s">
        <v>4621</v>
      </c>
      <c r="D3770" s="83" t="s">
        <v>4322</v>
      </c>
      <c r="E3770" s="81" t="s">
        <v>1367</v>
      </c>
      <c r="F3770" s="84">
        <v>262.0</v>
      </c>
      <c r="G3770" s="81" t="s">
        <v>39</v>
      </c>
      <c r="H3770" s="81" t="s">
        <v>5528</v>
      </c>
      <c r="I3770" s="81" t="s">
        <v>1368</v>
      </c>
      <c r="J3770" s="81" t="s">
        <v>224</v>
      </c>
    </row>
    <row r="3771" hidden="1">
      <c r="A3771" s="83" t="s">
        <v>6330</v>
      </c>
      <c r="B3771" s="83" t="s">
        <v>6331</v>
      </c>
      <c r="C3771" s="81" t="s">
        <v>4621</v>
      </c>
      <c r="D3771" s="83" t="s">
        <v>4322</v>
      </c>
      <c r="E3771" s="81" t="s">
        <v>1367</v>
      </c>
      <c r="F3771" s="84">
        <v>262.0</v>
      </c>
      <c r="G3771" s="81" t="s">
        <v>40</v>
      </c>
      <c r="H3771" s="81" t="s">
        <v>5529</v>
      </c>
      <c r="I3771" s="81" t="s">
        <v>1369</v>
      </c>
      <c r="J3771" s="81" t="s">
        <v>224</v>
      </c>
    </row>
    <row r="3772" hidden="1">
      <c r="A3772" s="83" t="s">
        <v>6330</v>
      </c>
      <c r="B3772" s="83" t="s">
        <v>6331</v>
      </c>
      <c r="C3772" s="81" t="s">
        <v>4621</v>
      </c>
      <c r="D3772" s="83" t="s">
        <v>4323</v>
      </c>
      <c r="E3772" s="81" t="s">
        <v>1370</v>
      </c>
      <c r="F3772" s="84">
        <v>263.0</v>
      </c>
      <c r="G3772" s="81" t="s">
        <v>39</v>
      </c>
      <c r="H3772" s="81" t="s">
        <v>5531</v>
      </c>
      <c r="I3772" s="81" t="s">
        <v>1362</v>
      </c>
      <c r="J3772" s="81" t="s">
        <v>224</v>
      </c>
    </row>
    <row r="3773" hidden="1">
      <c r="A3773" s="83" t="s">
        <v>6330</v>
      </c>
      <c r="B3773" s="83" t="s">
        <v>6331</v>
      </c>
      <c r="C3773" s="81" t="s">
        <v>4621</v>
      </c>
      <c r="D3773" s="83" t="s">
        <v>4323</v>
      </c>
      <c r="E3773" s="81" t="s">
        <v>1370</v>
      </c>
      <c r="F3773" s="84">
        <v>263.0</v>
      </c>
      <c r="G3773" s="81" t="s">
        <v>40</v>
      </c>
      <c r="H3773" s="81" t="s">
        <v>5532</v>
      </c>
      <c r="I3773" s="81" t="s">
        <v>1363</v>
      </c>
      <c r="J3773" s="81" t="s">
        <v>224</v>
      </c>
    </row>
    <row r="3774" hidden="1">
      <c r="A3774" s="83" t="s">
        <v>6330</v>
      </c>
      <c r="B3774" s="83" t="s">
        <v>6331</v>
      </c>
      <c r="C3774" s="81" t="s">
        <v>4621</v>
      </c>
      <c r="D3774" s="83" t="s">
        <v>4325</v>
      </c>
      <c r="E3774" s="81" t="s">
        <v>1374</v>
      </c>
      <c r="F3774" s="84">
        <v>264.0</v>
      </c>
      <c r="G3774" s="81" t="s">
        <v>39</v>
      </c>
      <c r="H3774" s="81" t="s">
        <v>5533</v>
      </c>
      <c r="I3774" s="81" t="s">
        <v>1368</v>
      </c>
      <c r="J3774" s="81" t="s">
        <v>224</v>
      </c>
    </row>
    <row r="3775" hidden="1">
      <c r="A3775" s="83" t="s">
        <v>6330</v>
      </c>
      <c r="B3775" s="83" t="s">
        <v>6331</v>
      </c>
      <c r="C3775" s="81" t="s">
        <v>4621</v>
      </c>
      <c r="D3775" s="83" t="s">
        <v>4325</v>
      </c>
      <c r="E3775" s="81" t="s">
        <v>1374</v>
      </c>
      <c r="F3775" s="84">
        <v>264.0</v>
      </c>
      <c r="G3775" s="81" t="s">
        <v>40</v>
      </c>
      <c r="H3775" s="81" t="s">
        <v>5534</v>
      </c>
      <c r="I3775" s="81" t="s">
        <v>1369</v>
      </c>
      <c r="J3775" s="81" t="s">
        <v>224</v>
      </c>
    </row>
    <row r="3776" hidden="1">
      <c r="A3776" s="83" t="s">
        <v>6330</v>
      </c>
      <c r="B3776" s="83" t="s">
        <v>6331</v>
      </c>
      <c r="C3776" s="81" t="s">
        <v>4621</v>
      </c>
      <c r="D3776" s="83" t="s">
        <v>4326</v>
      </c>
      <c r="E3776" s="81" t="s">
        <v>1375</v>
      </c>
      <c r="F3776" s="84">
        <v>265.0</v>
      </c>
      <c r="G3776" s="81" t="s">
        <v>39</v>
      </c>
      <c r="H3776" s="81" t="s">
        <v>5535</v>
      </c>
      <c r="I3776" s="81" t="s">
        <v>1362</v>
      </c>
      <c r="J3776" s="81" t="s">
        <v>224</v>
      </c>
    </row>
    <row r="3777" hidden="1">
      <c r="A3777" s="83" t="s">
        <v>6330</v>
      </c>
      <c r="B3777" s="83" t="s">
        <v>6331</v>
      </c>
      <c r="C3777" s="81" t="s">
        <v>4621</v>
      </c>
      <c r="D3777" s="83" t="s">
        <v>4326</v>
      </c>
      <c r="E3777" s="81" t="s">
        <v>1375</v>
      </c>
      <c r="F3777" s="84">
        <v>265.0</v>
      </c>
      <c r="G3777" s="81" t="s">
        <v>40</v>
      </c>
      <c r="H3777" s="81" t="s">
        <v>5536</v>
      </c>
      <c r="I3777" s="81" t="s">
        <v>1363</v>
      </c>
      <c r="J3777" s="81" t="s">
        <v>224</v>
      </c>
    </row>
    <row r="3778" hidden="1">
      <c r="A3778" s="83" t="s">
        <v>6330</v>
      </c>
      <c r="B3778" s="83" t="s">
        <v>6331</v>
      </c>
      <c r="C3778" s="81" t="s">
        <v>4621</v>
      </c>
      <c r="D3778" s="83" t="s">
        <v>4328</v>
      </c>
      <c r="E3778" s="81" t="s">
        <v>1379</v>
      </c>
      <c r="F3778" s="84">
        <v>266.0</v>
      </c>
      <c r="G3778" s="81" t="s">
        <v>39</v>
      </c>
      <c r="H3778" s="81" t="s">
        <v>5537</v>
      </c>
      <c r="I3778" s="81" t="s">
        <v>1368</v>
      </c>
      <c r="J3778" s="81" t="s">
        <v>224</v>
      </c>
    </row>
    <row r="3779" hidden="1">
      <c r="A3779" s="83" t="s">
        <v>6330</v>
      </c>
      <c r="B3779" s="83" t="s">
        <v>6331</v>
      </c>
      <c r="C3779" s="81" t="s">
        <v>4621</v>
      </c>
      <c r="D3779" s="83" t="s">
        <v>4328</v>
      </c>
      <c r="E3779" s="81" t="s">
        <v>1379</v>
      </c>
      <c r="F3779" s="84">
        <v>266.0</v>
      </c>
      <c r="G3779" s="81" t="s">
        <v>40</v>
      </c>
      <c r="H3779" s="81" t="s">
        <v>5538</v>
      </c>
      <c r="I3779" s="81" t="s">
        <v>1369</v>
      </c>
      <c r="J3779" s="81" t="s">
        <v>224</v>
      </c>
    </row>
    <row r="3780" hidden="1">
      <c r="A3780" s="83" t="s">
        <v>6330</v>
      </c>
      <c r="B3780" s="83" t="s">
        <v>6331</v>
      </c>
      <c r="C3780" s="81" t="s">
        <v>4621</v>
      </c>
      <c r="D3780" s="83" t="s">
        <v>4329</v>
      </c>
      <c r="E3780" s="81" t="s">
        <v>1380</v>
      </c>
      <c r="F3780" s="84">
        <v>267.0</v>
      </c>
      <c r="G3780" s="81" t="s">
        <v>40</v>
      </c>
      <c r="H3780" s="81" t="s">
        <v>5540</v>
      </c>
      <c r="I3780" s="81" t="s">
        <v>1385</v>
      </c>
      <c r="J3780" s="81" t="s">
        <v>224</v>
      </c>
    </row>
    <row r="3781" hidden="1">
      <c r="A3781" s="83" t="s">
        <v>6330</v>
      </c>
      <c r="B3781" s="83" t="s">
        <v>6331</v>
      </c>
      <c r="C3781" s="81" t="s">
        <v>4621</v>
      </c>
      <c r="D3781" s="83" t="s">
        <v>4329</v>
      </c>
      <c r="E3781" s="81" t="s">
        <v>1387</v>
      </c>
      <c r="F3781" s="84">
        <v>268.0</v>
      </c>
      <c r="G3781" s="81" t="s">
        <v>40</v>
      </c>
      <c r="H3781" s="81" t="s">
        <v>5540</v>
      </c>
      <c r="I3781" s="81" t="s">
        <v>1385</v>
      </c>
      <c r="J3781" s="81" t="s">
        <v>224</v>
      </c>
    </row>
    <row r="3782" hidden="1">
      <c r="A3782" s="83" t="s">
        <v>6330</v>
      </c>
      <c r="B3782" s="83" t="s">
        <v>6331</v>
      </c>
      <c r="C3782" s="81" t="s">
        <v>4621</v>
      </c>
      <c r="D3782" s="83" t="s">
        <v>4331</v>
      </c>
      <c r="E3782" s="81" t="s">
        <v>1388</v>
      </c>
      <c r="F3782" s="84">
        <v>269.0</v>
      </c>
      <c r="G3782" s="81" t="s">
        <v>40</v>
      </c>
      <c r="H3782" s="81" t="s">
        <v>5543</v>
      </c>
      <c r="I3782" s="81" t="s">
        <v>1390</v>
      </c>
      <c r="J3782" s="81" t="s">
        <v>224</v>
      </c>
    </row>
    <row r="3783" hidden="1">
      <c r="A3783" s="83" t="s">
        <v>6330</v>
      </c>
      <c r="B3783" s="83" t="s">
        <v>6331</v>
      </c>
      <c r="C3783" s="81" t="s">
        <v>4621</v>
      </c>
      <c r="D3783" s="83" t="s">
        <v>4332</v>
      </c>
      <c r="E3783" s="81" t="s">
        <v>1391</v>
      </c>
      <c r="F3783" s="84">
        <v>270.0</v>
      </c>
      <c r="G3783" s="81" t="s">
        <v>40</v>
      </c>
      <c r="H3783" s="81" t="s">
        <v>5545</v>
      </c>
      <c r="I3783" s="81" t="s">
        <v>1385</v>
      </c>
      <c r="J3783" s="81" t="s">
        <v>224</v>
      </c>
    </row>
    <row r="3784" hidden="1">
      <c r="A3784" s="83" t="s">
        <v>6330</v>
      </c>
      <c r="B3784" s="83" t="s">
        <v>6331</v>
      </c>
      <c r="C3784" s="81" t="s">
        <v>4621</v>
      </c>
      <c r="D3784" s="83" t="s">
        <v>4334</v>
      </c>
      <c r="E3784" s="81" t="s">
        <v>1395</v>
      </c>
      <c r="F3784" s="84">
        <v>271.0</v>
      </c>
      <c r="G3784" s="81" t="s">
        <v>40</v>
      </c>
      <c r="H3784" s="81" t="s">
        <v>5546</v>
      </c>
      <c r="I3784" s="81" t="s">
        <v>1390</v>
      </c>
      <c r="J3784" s="81" t="s">
        <v>224</v>
      </c>
    </row>
    <row r="3785" hidden="1">
      <c r="A3785" s="83" t="s">
        <v>6330</v>
      </c>
      <c r="B3785" s="83" t="s">
        <v>6331</v>
      </c>
      <c r="C3785" s="81" t="s">
        <v>4621</v>
      </c>
      <c r="D3785" s="83" t="s">
        <v>4335</v>
      </c>
      <c r="E3785" s="81" t="s">
        <v>1396</v>
      </c>
      <c r="F3785" s="84">
        <v>272.0</v>
      </c>
      <c r="G3785" s="81" t="s">
        <v>40</v>
      </c>
      <c r="H3785" s="81" t="s">
        <v>5547</v>
      </c>
      <c r="I3785" s="81" t="s">
        <v>1385</v>
      </c>
      <c r="J3785" s="81" t="s">
        <v>224</v>
      </c>
    </row>
    <row r="3786" hidden="1">
      <c r="A3786" s="83" t="s">
        <v>6330</v>
      </c>
      <c r="B3786" s="83" t="s">
        <v>6331</v>
      </c>
      <c r="C3786" s="81" t="s">
        <v>4621</v>
      </c>
      <c r="D3786" s="83" t="s">
        <v>4337</v>
      </c>
      <c r="E3786" s="81" t="s">
        <v>1400</v>
      </c>
      <c r="F3786" s="84">
        <v>273.0</v>
      </c>
      <c r="G3786" s="81" t="s">
        <v>40</v>
      </c>
      <c r="H3786" s="81" t="s">
        <v>5548</v>
      </c>
      <c r="I3786" s="81" t="s">
        <v>1390</v>
      </c>
      <c r="J3786" s="81" t="s">
        <v>224</v>
      </c>
    </row>
    <row r="3787" hidden="1">
      <c r="A3787" s="83" t="s">
        <v>6330</v>
      </c>
      <c r="B3787" s="83" t="s">
        <v>6331</v>
      </c>
      <c r="C3787" s="81" t="s">
        <v>4621</v>
      </c>
      <c r="D3787" s="83" t="s">
        <v>4338</v>
      </c>
      <c r="E3787" s="81" t="s">
        <v>1401</v>
      </c>
      <c r="F3787" s="84">
        <v>274.0</v>
      </c>
      <c r="G3787" s="81" t="s">
        <v>39</v>
      </c>
      <c r="H3787" s="81" t="s">
        <v>5549</v>
      </c>
      <c r="I3787" s="81" t="s">
        <v>1413</v>
      </c>
      <c r="J3787" s="81" t="s">
        <v>224</v>
      </c>
    </row>
    <row r="3788" hidden="1">
      <c r="A3788" s="83" t="s">
        <v>6330</v>
      </c>
      <c r="B3788" s="83" t="s">
        <v>6331</v>
      </c>
      <c r="C3788" s="81" t="s">
        <v>4621</v>
      </c>
      <c r="D3788" s="83" t="s">
        <v>4338</v>
      </c>
      <c r="E3788" s="81" t="s">
        <v>1401</v>
      </c>
      <c r="F3788" s="84">
        <v>274.0</v>
      </c>
      <c r="G3788" s="81" t="s">
        <v>40</v>
      </c>
      <c r="H3788" s="81" t="s">
        <v>5550</v>
      </c>
      <c r="I3788" s="81" t="s">
        <v>1414</v>
      </c>
      <c r="J3788" s="81" t="s">
        <v>224</v>
      </c>
    </row>
    <row r="3789" hidden="1">
      <c r="A3789" s="83" t="s">
        <v>6330</v>
      </c>
      <c r="B3789" s="83" t="s">
        <v>6331</v>
      </c>
      <c r="C3789" s="81" t="s">
        <v>4621</v>
      </c>
      <c r="D3789" s="83" t="s">
        <v>4338</v>
      </c>
      <c r="E3789" s="81" t="s">
        <v>1419</v>
      </c>
      <c r="F3789" s="84">
        <v>275.0</v>
      </c>
      <c r="G3789" s="81" t="s">
        <v>39</v>
      </c>
      <c r="H3789" s="81" t="s">
        <v>5549</v>
      </c>
      <c r="I3789" s="81" t="s">
        <v>1413</v>
      </c>
      <c r="J3789" s="81" t="s">
        <v>224</v>
      </c>
    </row>
    <row r="3790" hidden="1">
      <c r="A3790" s="83" t="s">
        <v>6330</v>
      </c>
      <c r="B3790" s="83" t="s">
        <v>6331</v>
      </c>
      <c r="C3790" s="81" t="s">
        <v>4621</v>
      </c>
      <c r="D3790" s="83" t="s">
        <v>4338</v>
      </c>
      <c r="E3790" s="81" t="s">
        <v>1419</v>
      </c>
      <c r="F3790" s="84">
        <v>275.0</v>
      </c>
      <c r="G3790" s="81" t="s">
        <v>40</v>
      </c>
      <c r="H3790" s="81" t="s">
        <v>5550</v>
      </c>
      <c r="I3790" s="81" t="s">
        <v>1414</v>
      </c>
      <c r="J3790" s="81" t="s">
        <v>224</v>
      </c>
    </row>
    <row r="3791" hidden="1">
      <c r="A3791" s="83" t="s">
        <v>6330</v>
      </c>
      <c r="B3791" s="83" t="s">
        <v>6331</v>
      </c>
      <c r="C3791" s="81" t="s">
        <v>4621</v>
      </c>
      <c r="D3791" s="83" t="s">
        <v>4341</v>
      </c>
      <c r="E3791" s="81" t="s">
        <v>1423</v>
      </c>
      <c r="F3791" s="84">
        <v>276.0</v>
      </c>
      <c r="G3791" s="81" t="s">
        <v>39</v>
      </c>
      <c r="H3791" s="81" t="s">
        <v>5551</v>
      </c>
      <c r="I3791" s="81" t="s">
        <v>1424</v>
      </c>
      <c r="J3791" s="81" t="s">
        <v>224</v>
      </c>
    </row>
    <row r="3792" hidden="1">
      <c r="A3792" s="83" t="s">
        <v>6330</v>
      </c>
      <c r="B3792" s="83" t="s">
        <v>6331</v>
      </c>
      <c r="C3792" s="81" t="s">
        <v>4621</v>
      </c>
      <c r="D3792" s="83" t="s">
        <v>4341</v>
      </c>
      <c r="E3792" s="81" t="s">
        <v>1423</v>
      </c>
      <c r="F3792" s="84">
        <v>276.0</v>
      </c>
      <c r="G3792" s="81" t="s">
        <v>40</v>
      </c>
      <c r="H3792" s="81" t="s">
        <v>5552</v>
      </c>
      <c r="I3792" s="81" t="s">
        <v>5553</v>
      </c>
      <c r="J3792" s="81" t="s">
        <v>224</v>
      </c>
    </row>
    <row r="3793" hidden="1">
      <c r="A3793" s="83" t="s">
        <v>6330</v>
      </c>
      <c r="B3793" s="83" t="s">
        <v>6331</v>
      </c>
      <c r="C3793" s="81" t="s">
        <v>4621</v>
      </c>
      <c r="D3793" s="83" t="s">
        <v>4342</v>
      </c>
      <c r="E3793" s="81" t="s">
        <v>1426</v>
      </c>
      <c r="F3793" s="84">
        <v>277.0</v>
      </c>
      <c r="G3793" s="81" t="s">
        <v>40</v>
      </c>
      <c r="H3793" s="81" t="s">
        <v>5554</v>
      </c>
      <c r="I3793" s="81" t="s">
        <v>1433</v>
      </c>
      <c r="J3793" s="81" t="s">
        <v>224</v>
      </c>
    </row>
    <row r="3794" hidden="1">
      <c r="A3794" s="83" t="s">
        <v>6330</v>
      </c>
      <c r="B3794" s="83" t="s">
        <v>6331</v>
      </c>
      <c r="C3794" s="81" t="s">
        <v>4621</v>
      </c>
      <c r="D3794" s="83" t="s">
        <v>4344</v>
      </c>
      <c r="E3794" s="81" t="s">
        <v>1438</v>
      </c>
      <c r="F3794" s="84">
        <v>278.0</v>
      </c>
      <c r="G3794" s="81" t="s">
        <v>40</v>
      </c>
      <c r="H3794" s="81" t="s">
        <v>5555</v>
      </c>
      <c r="I3794" s="81" t="s">
        <v>1440</v>
      </c>
      <c r="J3794" s="81" t="s">
        <v>224</v>
      </c>
    </row>
    <row r="3795" hidden="1">
      <c r="A3795" s="83" t="s">
        <v>6330</v>
      </c>
      <c r="B3795" s="83" t="s">
        <v>6331</v>
      </c>
      <c r="C3795" s="81" t="s">
        <v>4621</v>
      </c>
      <c r="D3795" s="83" t="s">
        <v>4345</v>
      </c>
      <c r="E3795" s="81" t="s">
        <v>1441</v>
      </c>
      <c r="F3795" s="84">
        <v>279.0</v>
      </c>
      <c r="G3795" s="81" t="s">
        <v>39</v>
      </c>
      <c r="H3795" s="81" t="s">
        <v>5556</v>
      </c>
      <c r="I3795" s="81" t="s">
        <v>1447</v>
      </c>
      <c r="J3795" s="81" t="s">
        <v>224</v>
      </c>
    </row>
    <row r="3796" hidden="1">
      <c r="A3796" s="83" t="s">
        <v>6330</v>
      </c>
      <c r="B3796" s="83" t="s">
        <v>6331</v>
      </c>
      <c r="C3796" s="81" t="s">
        <v>4621</v>
      </c>
      <c r="D3796" s="83" t="s">
        <v>4345</v>
      </c>
      <c r="E3796" s="81" t="s">
        <v>1441</v>
      </c>
      <c r="F3796" s="84">
        <v>279.0</v>
      </c>
      <c r="G3796" s="81" t="s">
        <v>40</v>
      </c>
      <c r="H3796" s="81" t="s">
        <v>5557</v>
      </c>
      <c r="I3796" s="81" t="s">
        <v>5558</v>
      </c>
      <c r="J3796" s="81" t="s">
        <v>224</v>
      </c>
    </row>
    <row r="3797" hidden="1">
      <c r="A3797" s="83" t="s">
        <v>6330</v>
      </c>
      <c r="B3797" s="83" t="s">
        <v>6331</v>
      </c>
      <c r="C3797" s="81" t="s">
        <v>4621</v>
      </c>
      <c r="D3797" s="83" t="s">
        <v>4347</v>
      </c>
      <c r="E3797" s="81" t="s">
        <v>1453</v>
      </c>
      <c r="F3797" s="84">
        <v>280.0</v>
      </c>
      <c r="G3797" s="81" t="s">
        <v>40</v>
      </c>
      <c r="H3797" s="81" t="s">
        <v>5559</v>
      </c>
      <c r="I3797" s="81" t="s">
        <v>1455</v>
      </c>
      <c r="J3797" s="81" t="s">
        <v>224</v>
      </c>
    </row>
    <row r="3798" hidden="1">
      <c r="A3798" s="83" t="s">
        <v>6330</v>
      </c>
      <c r="B3798" s="83" t="s">
        <v>6331</v>
      </c>
      <c r="C3798" s="81" t="s">
        <v>4621</v>
      </c>
      <c r="D3798" s="83" t="s">
        <v>4348</v>
      </c>
      <c r="E3798" s="81" t="s">
        <v>1456</v>
      </c>
      <c r="F3798" s="84">
        <v>281.0</v>
      </c>
      <c r="G3798" s="81" t="s">
        <v>39</v>
      </c>
      <c r="H3798" s="81" t="s">
        <v>5560</v>
      </c>
      <c r="I3798" s="81" t="s">
        <v>1462</v>
      </c>
      <c r="J3798" s="81" t="s">
        <v>224</v>
      </c>
    </row>
    <row r="3799" hidden="1">
      <c r="A3799" s="83" t="s">
        <v>6330</v>
      </c>
      <c r="B3799" s="83" t="s">
        <v>6331</v>
      </c>
      <c r="C3799" s="81" t="s">
        <v>4621</v>
      </c>
      <c r="D3799" s="83" t="s">
        <v>4348</v>
      </c>
      <c r="E3799" s="81" t="s">
        <v>1456</v>
      </c>
      <c r="F3799" s="84">
        <v>281.0</v>
      </c>
      <c r="G3799" s="81" t="s">
        <v>40</v>
      </c>
      <c r="H3799" s="81" t="s">
        <v>5561</v>
      </c>
      <c r="I3799" s="81" t="s">
        <v>1463</v>
      </c>
      <c r="J3799" s="81" t="s">
        <v>224</v>
      </c>
    </row>
    <row r="3800" hidden="1">
      <c r="A3800" s="83" t="s">
        <v>6330</v>
      </c>
      <c r="B3800" s="83" t="s">
        <v>6331</v>
      </c>
      <c r="C3800" s="81" t="s">
        <v>4621</v>
      </c>
      <c r="D3800" s="83" t="s">
        <v>4350</v>
      </c>
      <c r="E3800" s="81" t="s">
        <v>1467</v>
      </c>
      <c r="F3800" s="84">
        <v>282.0</v>
      </c>
      <c r="G3800" s="81" t="s">
        <v>40</v>
      </c>
      <c r="H3800" s="81" t="s">
        <v>5562</v>
      </c>
      <c r="I3800" s="81" t="s">
        <v>1469</v>
      </c>
      <c r="J3800" s="81" t="s">
        <v>224</v>
      </c>
    </row>
    <row r="3801" hidden="1">
      <c r="A3801" s="83" t="s">
        <v>6330</v>
      </c>
      <c r="B3801" s="83" t="s">
        <v>6331</v>
      </c>
      <c r="C3801" s="81" t="s">
        <v>4621</v>
      </c>
      <c r="D3801" s="83" t="s">
        <v>4351</v>
      </c>
      <c r="E3801" s="81" t="s">
        <v>1470</v>
      </c>
      <c r="F3801" s="84">
        <v>283.0</v>
      </c>
      <c r="G3801" s="81" t="s">
        <v>39</v>
      </c>
      <c r="H3801" s="81" t="s">
        <v>5563</v>
      </c>
      <c r="I3801" s="81" t="s">
        <v>1472</v>
      </c>
      <c r="J3801" s="81" t="s">
        <v>224</v>
      </c>
    </row>
    <row r="3802" hidden="1">
      <c r="A3802" s="83" t="s">
        <v>6330</v>
      </c>
      <c r="B3802" s="83" t="s">
        <v>6331</v>
      </c>
      <c r="C3802" s="81" t="s">
        <v>4621</v>
      </c>
      <c r="D3802" s="83" t="s">
        <v>4351</v>
      </c>
      <c r="E3802" s="81" t="s">
        <v>1470</v>
      </c>
      <c r="F3802" s="84">
        <v>283.0</v>
      </c>
      <c r="G3802" s="81" t="s">
        <v>40</v>
      </c>
      <c r="H3802" s="81" t="s">
        <v>5564</v>
      </c>
      <c r="I3802" s="81" t="s">
        <v>1473</v>
      </c>
      <c r="J3802" s="81" t="s">
        <v>224</v>
      </c>
    </row>
    <row r="3803" hidden="1">
      <c r="A3803" s="83" t="s">
        <v>6330</v>
      </c>
      <c r="B3803" s="83" t="s">
        <v>6331</v>
      </c>
      <c r="C3803" s="81" t="s">
        <v>4621</v>
      </c>
      <c r="D3803" s="83" t="s">
        <v>4351</v>
      </c>
      <c r="E3803" s="81" t="s">
        <v>1474</v>
      </c>
      <c r="F3803" s="84">
        <v>284.0</v>
      </c>
      <c r="G3803" s="81" t="s">
        <v>39</v>
      </c>
      <c r="H3803" s="81" t="s">
        <v>5563</v>
      </c>
      <c r="I3803" s="81" t="s">
        <v>1472</v>
      </c>
      <c r="J3803" s="81" t="s">
        <v>224</v>
      </c>
    </row>
    <row r="3804" hidden="1">
      <c r="A3804" s="83" t="s">
        <v>6330</v>
      </c>
      <c r="B3804" s="83" t="s">
        <v>6331</v>
      </c>
      <c r="C3804" s="81" t="s">
        <v>4621</v>
      </c>
      <c r="D3804" s="83" t="s">
        <v>4351</v>
      </c>
      <c r="E3804" s="81" t="s">
        <v>1474</v>
      </c>
      <c r="F3804" s="84">
        <v>284.0</v>
      </c>
      <c r="G3804" s="81" t="s">
        <v>40</v>
      </c>
      <c r="H3804" s="81" t="s">
        <v>5564</v>
      </c>
      <c r="I3804" s="81" t="s">
        <v>1473</v>
      </c>
      <c r="J3804" s="81" t="s">
        <v>224</v>
      </c>
    </row>
    <row r="3805" hidden="1">
      <c r="A3805" s="83" t="s">
        <v>6330</v>
      </c>
      <c r="B3805" s="83" t="s">
        <v>6331</v>
      </c>
      <c r="C3805" s="81" t="s">
        <v>4621</v>
      </c>
      <c r="D3805" s="83" t="s">
        <v>4353</v>
      </c>
      <c r="E3805" s="81" t="s">
        <v>1477</v>
      </c>
      <c r="F3805" s="84">
        <v>285.0</v>
      </c>
      <c r="G3805" s="81" t="s">
        <v>39</v>
      </c>
      <c r="H3805" s="81" t="s">
        <v>5565</v>
      </c>
      <c r="I3805" s="81" t="s">
        <v>1478</v>
      </c>
      <c r="J3805" s="81" t="s">
        <v>224</v>
      </c>
    </row>
    <row r="3806" hidden="1">
      <c r="A3806" s="83" t="s">
        <v>6330</v>
      </c>
      <c r="B3806" s="83" t="s">
        <v>6331</v>
      </c>
      <c r="C3806" s="81" t="s">
        <v>4621</v>
      </c>
      <c r="D3806" s="83" t="s">
        <v>4353</v>
      </c>
      <c r="E3806" s="81" t="s">
        <v>1477</v>
      </c>
      <c r="F3806" s="84">
        <v>285.0</v>
      </c>
      <c r="G3806" s="81" t="s">
        <v>40</v>
      </c>
      <c r="H3806" s="81" t="s">
        <v>5566</v>
      </c>
      <c r="I3806" s="81" t="s">
        <v>1479</v>
      </c>
      <c r="J3806" s="81" t="s">
        <v>224</v>
      </c>
    </row>
    <row r="3807" hidden="1">
      <c r="A3807" s="83" t="s">
        <v>6330</v>
      </c>
      <c r="B3807" s="83" t="s">
        <v>6331</v>
      </c>
      <c r="C3807" s="81" t="s">
        <v>4621</v>
      </c>
      <c r="D3807" s="83" t="s">
        <v>4354</v>
      </c>
      <c r="E3807" s="81" t="s">
        <v>1480</v>
      </c>
      <c r="F3807" s="84">
        <v>286.0</v>
      </c>
      <c r="G3807" s="81" t="s">
        <v>39</v>
      </c>
      <c r="H3807" s="81" t="s">
        <v>5567</v>
      </c>
      <c r="I3807" s="81" t="s">
        <v>1482</v>
      </c>
      <c r="J3807" s="81" t="s">
        <v>224</v>
      </c>
    </row>
    <row r="3808" hidden="1">
      <c r="A3808" s="83" t="s">
        <v>6330</v>
      </c>
      <c r="B3808" s="83" t="s">
        <v>6331</v>
      </c>
      <c r="C3808" s="81" t="s">
        <v>6333</v>
      </c>
      <c r="D3808" s="83" t="s">
        <v>4354</v>
      </c>
      <c r="E3808" s="81" t="s">
        <v>1480</v>
      </c>
      <c r="F3808" s="84">
        <v>286.0</v>
      </c>
      <c r="G3808" s="81" t="s">
        <v>40</v>
      </c>
      <c r="H3808" s="81" t="s">
        <v>5568</v>
      </c>
      <c r="I3808" s="81" t="s">
        <v>224</v>
      </c>
      <c r="J3808" s="81" t="s">
        <v>5143</v>
      </c>
    </row>
    <row r="3809" hidden="1">
      <c r="A3809" s="83" t="s">
        <v>6330</v>
      </c>
      <c r="B3809" s="83" t="s">
        <v>6331</v>
      </c>
      <c r="C3809" s="81" t="s">
        <v>4621</v>
      </c>
      <c r="D3809" s="83" t="s">
        <v>4355</v>
      </c>
      <c r="E3809" s="81" t="s">
        <v>1483</v>
      </c>
      <c r="F3809" s="84">
        <v>287.0</v>
      </c>
      <c r="G3809" s="81" t="s">
        <v>39</v>
      </c>
      <c r="H3809" s="81" t="s">
        <v>5569</v>
      </c>
      <c r="I3809" s="81" t="s">
        <v>1484</v>
      </c>
      <c r="J3809" s="81" t="s">
        <v>224</v>
      </c>
    </row>
    <row r="3810" hidden="1">
      <c r="A3810" s="83" t="s">
        <v>6330</v>
      </c>
      <c r="B3810" s="83" t="s">
        <v>6331</v>
      </c>
      <c r="C3810" s="81" t="s">
        <v>4621</v>
      </c>
      <c r="D3810" s="83" t="s">
        <v>4355</v>
      </c>
      <c r="E3810" s="81" t="s">
        <v>1483</v>
      </c>
      <c r="F3810" s="84">
        <v>287.0</v>
      </c>
      <c r="G3810" s="81" t="s">
        <v>40</v>
      </c>
      <c r="H3810" s="81" t="s">
        <v>5570</v>
      </c>
      <c r="I3810" s="81" t="s">
        <v>1485</v>
      </c>
      <c r="J3810" s="81" t="s">
        <v>224</v>
      </c>
    </row>
    <row r="3811" hidden="1">
      <c r="A3811" s="83" t="s">
        <v>6330</v>
      </c>
      <c r="B3811" s="83" t="s">
        <v>6331</v>
      </c>
      <c r="C3811" s="81" t="s">
        <v>4621</v>
      </c>
      <c r="D3811" s="83" t="s">
        <v>4356</v>
      </c>
      <c r="E3811" s="81" t="s">
        <v>1486</v>
      </c>
      <c r="F3811" s="84">
        <v>288.0</v>
      </c>
      <c r="G3811" s="81" t="s">
        <v>39</v>
      </c>
      <c r="H3811" s="81" t="s">
        <v>5571</v>
      </c>
      <c r="I3811" s="81" t="s">
        <v>1487</v>
      </c>
      <c r="J3811" s="81" t="s">
        <v>224</v>
      </c>
    </row>
    <row r="3812" hidden="1">
      <c r="A3812" s="83" t="s">
        <v>6330</v>
      </c>
      <c r="B3812" s="83" t="s">
        <v>6331</v>
      </c>
      <c r="C3812" s="81" t="s">
        <v>4621</v>
      </c>
      <c r="D3812" s="83" t="s">
        <v>4356</v>
      </c>
      <c r="E3812" s="81" t="s">
        <v>1486</v>
      </c>
      <c r="F3812" s="84">
        <v>288.0</v>
      </c>
      <c r="G3812" s="81" t="s">
        <v>40</v>
      </c>
      <c r="H3812" s="81" t="s">
        <v>5572</v>
      </c>
      <c r="I3812" s="81" t="s">
        <v>1488</v>
      </c>
      <c r="J3812" s="81" t="s">
        <v>224</v>
      </c>
    </row>
    <row r="3813" hidden="1">
      <c r="A3813" s="83" t="s">
        <v>6330</v>
      </c>
      <c r="B3813" s="83" t="s">
        <v>6331</v>
      </c>
      <c r="C3813" s="81" t="s">
        <v>4621</v>
      </c>
      <c r="D3813" s="83" t="s">
        <v>4357</v>
      </c>
      <c r="E3813" s="81" t="s">
        <v>1489</v>
      </c>
      <c r="F3813" s="84">
        <v>289.0</v>
      </c>
      <c r="G3813" s="81" t="s">
        <v>39</v>
      </c>
      <c r="H3813" s="81" t="s">
        <v>5573</v>
      </c>
      <c r="I3813" s="81" t="s">
        <v>1495</v>
      </c>
      <c r="J3813" s="81" t="s">
        <v>224</v>
      </c>
    </row>
    <row r="3814" hidden="1">
      <c r="A3814" s="83" t="s">
        <v>6330</v>
      </c>
      <c r="B3814" s="83" t="s">
        <v>6331</v>
      </c>
      <c r="C3814" s="81" t="s">
        <v>4621</v>
      </c>
      <c r="D3814" s="83" t="s">
        <v>4357</v>
      </c>
      <c r="E3814" s="81" t="s">
        <v>1489</v>
      </c>
      <c r="F3814" s="84">
        <v>289.0</v>
      </c>
      <c r="G3814" s="81" t="s">
        <v>40</v>
      </c>
      <c r="H3814" s="81" t="s">
        <v>5574</v>
      </c>
      <c r="I3814" s="81" t="s">
        <v>1496</v>
      </c>
      <c r="J3814" s="81" t="s">
        <v>224</v>
      </c>
    </row>
    <row r="3815" hidden="1">
      <c r="A3815" s="83" t="s">
        <v>6330</v>
      </c>
      <c r="B3815" s="83" t="s">
        <v>6331</v>
      </c>
      <c r="C3815" s="81" t="s">
        <v>4621</v>
      </c>
      <c r="D3815" s="83" t="s">
        <v>4357</v>
      </c>
      <c r="E3815" s="81" t="s">
        <v>1501</v>
      </c>
      <c r="F3815" s="84">
        <v>290.0</v>
      </c>
      <c r="G3815" s="81" t="s">
        <v>39</v>
      </c>
      <c r="H3815" s="81" t="s">
        <v>5573</v>
      </c>
      <c r="I3815" s="81" t="s">
        <v>1495</v>
      </c>
      <c r="J3815" s="81" t="s">
        <v>224</v>
      </c>
    </row>
    <row r="3816" hidden="1">
      <c r="A3816" s="83" t="s">
        <v>6330</v>
      </c>
      <c r="B3816" s="83" t="s">
        <v>6331</v>
      </c>
      <c r="C3816" s="81" t="s">
        <v>4621</v>
      </c>
      <c r="D3816" s="83" t="s">
        <v>4357</v>
      </c>
      <c r="E3816" s="81" t="s">
        <v>1501</v>
      </c>
      <c r="F3816" s="84">
        <v>290.0</v>
      </c>
      <c r="G3816" s="81" t="s">
        <v>40</v>
      </c>
      <c r="H3816" s="81" t="s">
        <v>5574</v>
      </c>
      <c r="I3816" s="81" t="s">
        <v>1496</v>
      </c>
      <c r="J3816" s="81" t="s">
        <v>224</v>
      </c>
    </row>
    <row r="3817" hidden="1">
      <c r="A3817" s="83" t="s">
        <v>6330</v>
      </c>
      <c r="B3817" s="83" t="s">
        <v>6331</v>
      </c>
      <c r="C3817" s="81" t="s">
        <v>4621</v>
      </c>
      <c r="D3817" s="83" t="s">
        <v>4358</v>
      </c>
      <c r="E3817" s="81" t="s">
        <v>1502</v>
      </c>
      <c r="F3817" s="84">
        <v>291.0</v>
      </c>
      <c r="G3817" s="81" t="s">
        <v>39</v>
      </c>
      <c r="H3817" s="81" t="s">
        <v>5575</v>
      </c>
      <c r="I3817" s="81" t="s">
        <v>1503</v>
      </c>
      <c r="J3817" s="81" t="s">
        <v>224</v>
      </c>
    </row>
    <row r="3818" hidden="1">
      <c r="A3818" s="83" t="s">
        <v>6330</v>
      </c>
      <c r="B3818" s="83" t="s">
        <v>6331</v>
      </c>
      <c r="C3818" s="81" t="s">
        <v>4621</v>
      </c>
      <c r="D3818" s="83" t="s">
        <v>4358</v>
      </c>
      <c r="E3818" s="81" t="s">
        <v>1502</v>
      </c>
      <c r="F3818" s="84">
        <v>291.0</v>
      </c>
      <c r="G3818" s="81" t="s">
        <v>40</v>
      </c>
      <c r="H3818" s="81" t="s">
        <v>5576</v>
      </c>
      <c r="I3818" s="81" t="s">
        <v>1504</v>
      </c>
      <c r="J3818" s="81" t="s">
        <v>224</v>
      </c>
    </row>
    <row r="3819" hidden="1">
      <c r="A3819" s="83" t="s">
        <v>6330</v>
      </c>
      <c r="B3819" s="83" t="s">
        <v>6331</v>
      </c>
      <c r="C3819" s="81" t="s">
        <v>4621</v>
      </c>
      <c r="D3819" s="83" t="s">
        <v>4359</v>
      </c>
      <c r="E3819" s="81" t="s">
        <v>1505</v>
      </c>
      <c r="F3819" s="84">
        <v>292.0</v>
      </c>
      <c r="G3819" s="81" t="s">
        <v>39</v>
      </c>
      <c r="H3819" s="81" t="s">
        <v>5577</v>
      </c>
      <c r="I3819" s="81" t="s">
        <v>1509</v>
      </c>
      <c r="J3819" s="81" t="s">
        <v>224</v>
      </c>
    </row>
    <row r="3820" hidden="1">
      <c r="A3820" s="83" t="s">
        <v>6330</v>
      </c>
      <c r="B3820" s="83" t="s">
        <v>6331</v>
      </c>
      <c r="C3820" s="81" t="s">
        <v>4621</v>
      </c>
      <c r="D3820" s="83" t="s">
        <v>4359</v>
      </c>
      <c r="E3820" s="81" t="s">
        <v>1505</v>
      </c>
      <c r="F3820" s="84">
        <v>292.0</v>
      </c>
      <c r="G3820" s="81" t="s">
        <v>40</v>
      </c>
      <c r="H3820" s="81" t="s">
        <v>5578</v>
      </c>
      <c r="I3820" s="81" t="s">
        <v>1510</v>
      </c>
      <c r="J3820" s="81" t="s">
        <v>224</v>
      </c>
    </row>
    <row r="3821" hidden="1">
      <c r="A3821" s="83" t="s">
        <v>6330</v>
      </c>
      <c r="B3821" s="83" t="s">
        <v>6331</v>
      </c>
      <c r="C3821" s="81" t="s">
        <v>4621</v>
      </c>
      <c r="D3821" s="83" t="s">
        <v>4359</v>
      </c>
      <c r="E3821" s="81" t="s">
        <v>1515</v>
      </c>
      <c r="F3821" s="84">
        <v>293.0</v>
      </c>
      <c r="G3821" s="81" t="s">
        <v>39</v>
      </c>
      <c r="H3821" s="81" t="s">
        <v>5577</v>
      </c>
      <c r="I3821" s="81" t="s">
        <v>1509</v>
      </c>
      <c r="J3821" s="81" t="s">
        <v>224</v>
      </c>
    </row>
    <row r="3822" hidden="1">
      <c r="A3822" s="83" t="s">
        <v>6330</v>
      </c>
      <c r="B3822" s="83" t="s">
        <v>6331</v>
      </c>
      <c r="C3822" s="81" t="s">
        <v>4621</v>
      </c>
      <c r="D3822" s="83" t="s">
        <v>4359</v>
      </c>
      <c r="E3822" s="81" t="s">
        <v>1515</v>
      </c>
      <c r="F3822" s="84">
        <v>293.0</v>
      </c>
      <c r="G3822" s="81" t="s">
        <v>40</v>
      </c>
      <c r="H3822" s="81" t="s">
        <v>5578</v>
      </c>
      <c r="I3822" s="81" t="s">
        <v>1510</v>
      </c>
      <c r="J3822" s="81" t="s">
        <v>224</v>
      </c>
    </row>
    <row r="3823" hidden="1">
      <c r="A3823" s="83" t="s">
        <v>6330</v>
      </c>
      <c r="B3823" s="83" t="s">
        <v>6331</v>
      </c>
      <c r="C3823" s="81" t="s">
        <v>4621</v>
      </c>
      <c r="D3823" s="83" t="s">
        <v>4360</v>
      </c>
      <c r="E3823" s="81" t="s">
        <v>1516</v>
      </c>
      <c r="F3823" s="84">
        <v>294.0</v>
      </c>
      <c r="G3823" s="81" t="s">
        <v>39</v>
      </c>
      <c r="H3823" s="81" t="s">
        <v>5579</v>
      </c>
      <c r="I3823" s="81" t="s">
        <v>1517</v>
      </c>
      <c r="J3823" s="81" t="s">
        <v>224</v>
      </c>
    </row>
    <row r="3824" hidden="1">
      <c r="A3824" s="83" t="s">
        <v>6330</v>
      </c>
      <c r="B3824" s="83" t="s">
        <v>6331</v>
      </c>
      <c r="C3824" s="81" t="s">
        <v>4621</v>
      </c>
      <c r="D3824" s="83" t="s">
        <v>4360</v>
      </c>
      <c r="E3824" s="81" t="s">
        <v>1516</v>
      </c>
      <c r="F3824" s="84">
        <v>294.0</v>
      </c>
      <c r="G3824" s="81" t="s">
        <v>40</v>
      </c>
      <c r="H3824" s="81" t="s">
        <v>5580</v>
      </c>
      <c r="I3824" s="81" t="s">
        <v>1518</v>
      </c>
      <c r="J3824" s="81" t="s">
        <v>224</v>
      </c>
    </row>
    <row r="3825" hidden="1">
      <c r="A3825" s="83" t="s">
        <v>6330</v>
      </c>
      <c r="B3825" s="83" t="s">
        <v>6331</v>
      </c>
      <c r="C3825" s="81" t="s">
        <v>4621</v>
      </c>
      <c r="D3825" s="83" t="s">
        <v>4361</v>
      </c>
      <c r="E3825" s="81" t="s">
        <v>1519</v>
      </c>
      <c r="F3825" s="84">
        <v>295.0</v>
      </c>
      <c r="G3825" s="81" t="s">
        <v>39</v>
      </c>
      <c r="H3825" s="81" t="s">
        <v>5581</v>
      </c>
      <c r="I3825" s="81" t="s">
        <v>1523</v>
      </c>
      <c r="J3825" s="81" t="s">
        <v>224</v>
      </c>
    </row>
    <row r="3826" hidden="1">
      <c r="A3826" s="83" t="s">
        <v>6330</v>
      </c>
      <c r="B3826" s="83" t="s">
        <v>6331</v>
      </c>
      <c r="C3826" s="81" t="s">
        <v>4621</v>
      </c>
      <c r="D3826" s="83" t="s">
        <v>4361</v>
      </c>
      <c r="E3826" s="81" t="s">
        <v>1519</v>
      </c>
      <c r="F3826" s="84">
        <v>295.0</v>
      </c>
      <c r="G3826" s="81" t="s">
        <v>40</v>
      </c>
      <c r="H3826" s="81" t="s">
        <v>5582</v>
      </c>
      <c r="I3826" s="81" t="s">
        <v>1524</v>
      </c>
      <c r="J3826" s="81" t="s">
        <v>224</v>
      </c>
    </row>
    <row r="3827" hidden="1">
      <c r="A3827" s="83" t="s">
        <v>6330</v>
      </c>
      <c r="B3827" s="83" t="s">
        <v>6331</v>
      </c>
      <c r="C3827" s="81" t="s">
        <v>4621</v>
      </c>
      <c r="D3827" s="83" t="s">
        <v>4361</v>
      </c>
      <c r="E3827" s="81" t="s">
        <v>1529</v>
      </c>
      <c r="F3827" s="84">
        <v>296.0</v>
      </c>
      <c r="G3827" s="81" t="s">
        <v>39</v>
      </c>
      <c r="H3827" s="81" t="s">
        <v>5581</v>
      </c>
      <c r="I3827" s="81" t="s">
        <v>1523</v>
      </c>
      <c r="J3827" s="81" t="s">
        <v>224</v>
      </c>
    </row>
    <row r="3828" hidden="1">
      <c r="A3828" s="83" t="s">
        <v>6330</v>
      </c>
      <c r="B3828" s="83" t="s">
        <v>6331</v>
      </c>
      <c r="C3828" s="81" t="s">
        <v>4621</v>
      </c>
      <c r="D3828" s="83" t="s">
        <v>4361</v>
      </c>
      <c r="E3828" s="81" t="s">
        <v>1529</v>
      </c>
      <c r="F3828" s="84">
        <v>296.0</v>
      </c>
      <c r="G3828" s="81" t="s">
        <v>40</v>
      </c>
      <c r="H3828" s="81" t="s">
        <v>5582</v>
      </c>
      <c r="I3828" s="81" t="s">
        <v>1524</v>
      </c>
      <c r="J3828" s="81" t="s">
        <v>224</v>
      </c>
    </row>
    <row r="3829" hidden="1">
      <c r="A3829" s="83" t="s">
        <v>6330</v>
      </c>
      <c r="B3829" s="83" t="s">
        <v>6331</v>
      </c>
      <c r="C3829" s="81" t="s">
        <v>4621</v>
      </c>
      <c r="D3829" s="83" t="s">
        <v>4362</v>
      </c>
      <c r="E3829" s="81" t="s">
        <v>1530</v>
      </c>
      <c r="F3829" s="84">
        <v>297.0</v>
      </c>
      <c r="G3829" s="81" t="s">
        <v>39</v>
      </c>
      <c r="H3829" s="81" t="s">
        <v>5583</v>
      </c>
      <c r="I3829" s="81" t="s">
        <v>1531</v>
      </c>
      <c r="J3829" s="81" t="s">
        <v>224</v>
      </c>
    </row>
    <row r="3830" hidden="1">
      <c r="A3830" s="83" t="s">
        <v>6330</v>
      </c>
      <c r="B3830" s="83" t="s">
        <v>6331</v>
      </c>
      <c r="C3830" s="81" t="s">
        <v>4621</v>
      </c>
      <c r="D3830" s="83" t="s">
        <v>4362</v>
      </c>
      <c r="E3830" s="81" t="s">
        <v>1530</v>
      </c>
      <c r="F3830" s="84">
        <v>297.0</v>
      </c>
      <c r="G3830" s="81" t="s">
        <v>40</v>
      </c>
      <c r="H3830" s="81" t="s">
        <v>5584</v>
      </c>
      <c r="I3830" s="81" t="s">
        <v>1532</v>
      </c>
      <c r="J3830" s="81" t="s">
        <v>224</v>
      </c>
    </row>
    <row r="3831" hidden="1">
      <c r="A3831" s="83" t="s">
        <v>6330</v>
      </c>
      <c r="B3831" s="83" t="s">
        <v>6331</v>
      </c>
      <c r="C3831" s="81" t="s">
        <v>4621</v>
      </c>
      <c r="D3831" s="83" t="s">
        <v>4363</v>
      </c>
      <c r="E3831" s="81" t="s">
        <v>1533</v>
      </c>
      <c r="F3831" s="84">
        <v>298.0</v>
      </c>
      <c r="G3831" s="81" t="s">
        <v>39</v>
      </c>
      <c r="H3831" s="81" t="s">
        <v>5585</v>
      </c>
      <c r="I3831" s="81" t="s">
        <v>1541</v>
      </c>
      <c r="J3831" s="81" t="s">
        <v>224</v>
      </c>
    </row>
    <row r="3832" hidden="1">
      <c r="A3832" s="83" t="s">
        <v>6330</v>
      </c>
      <c r="B3832" s="83" t="s">
        <v>6331</v>
      </c>
      <c r="C3832" s="81" t="s">
        <v>4621</v>
      </c>
      <c r="D3832" s="83" t="s">
        <v>4363</v>
      </c>
      <c r="E3832" s="81" t="s">
        <v>1533</v>
      </c>
      <c r="F3832" s="84">
        <v>298.0</v>
      </c>
      <c r="G3832" s="81" t="s">
        <v>40</v>
      </c>
      <c r="H3832" s="81" t="s">
        <v>5586</v>
      </c>
      <c r="I3832" s="81" t="s">
        <v>1542</v>
      </c>
      <c r="J3832" s="81" t="s">
        <v>224</v>
      </c>
    </row>
    <row r="3833" hidden="1">
      <c r="A3833" s="83" t="s">
        <v>6330</v>
      </c>
      <c r="B3833" s="83" t="s">
        <v>6331</v>
      </c>
      <c r="C3833" s="81" t="s">
        <v>4621</v>
      </c>
      <c r="D3833" s="83" t="s">
        <v>4363</v>
      </c>
      <c r="E3833" s="81" t="s">
        <v>1548</v>
      </c>
      <c r="F3833" s="84">
        <v>299.0</v>
      </c>
      <c r="G3833" s="81" t="s">
        <v>39</v>
      </c>
      <c r="H3833" s="81" t="s">
        <v>5585</v>
      </c>
      <c r="I3833" s="81" t="s">
        <v>1541</v>
      </c>
      <c r="J3833" s="81" t="s">
        <v>224</v>
      </c>
    </row>
    <row r="3834" hidden="1">
      <c r="A3834" s="83" t="s">
        <v>6330</v>
      </c>
      <c r="B3834" s="83" t="s">
        <v>6331</v>
      </c>
      <c r="C3834" s="81" t="s">
        <v>4621</v>
      </c>
      <c r="D3834" s="83" t="s">
        <v>4363</v>
      </c>
      <c r="E3834" s="81" t="s">
        <v>1548</v>
      </c>
      <c r="F3834" s="84">
        <v>299.0</v>
      </c>
      <c r="G3834" s="81" t="s">
        <v>40</v>
      </c>
      <c r="H3834" s="81" t="s">
        <v>5587</v>
      </c>
      <c r="I3834" s="81" t="s">
        <v>1542</v>
      </c>
      <c r="J3834" s="81" t="s">
        <v>224</v>
      </c>
    </row>
    <row r="3835" hidden="1">
      <c r="A3835" s="83" t="s">
        <v>6330</v>
      </c>
      <c r="B3835" s="83" t="s">
        <v>6331</v>
      </c>
      <c r="C3835" s="81" t="s">
        <v>4621</v>
      </c>
      <c r="D3835" s="83" t="s">
        <v>4364</v>
      </c>
      <c r="E3835" s="81" t="s">
        <v>1551</v>
      </c>
      <c r="F3835" s="84">
        <v>300.0</v>
      </c>
      <c r="G3835" s="81" t="s">
        <v>39</v>
      </c>
      <c r="H3835" s="81" t="s">
        <v>5588</v>
      </c>
      <c r="I3835" s="81" t="s">
        <v>1552</v>
      </c>
      <c r="J3835" s="81" t="s">
        <v>224</v>
      </c>
    </row>
    <row r="3836" hidden="1">
      <c r="A3836" s="83" t="s">
        <v>6330</v>
      </c>
      <c r="B3836" s="83" t="s">
        <v>6331</v>
      </c>
      <c r="C3836" s="81" t="s">
        <v>4621</v>
      </c>
      <c r="D3836" s="83" t="s">
        <v>4364</v>
      </c>
      <c r="E3836" s="81" t="s">
        <v>1551</v>
      </c>
      <c r="F3836" s="84">
        <v>300.0</v>
      </c>
      <c r="G3836" s="81" t="s">
        <v>40</v>
      </c>
      <c r="H3836" s="81" t="s">
        <v>5589</v>
      </c>
      <c r="I3836" s="81" t="s">
        <v>1553</v>
      </c>
      <c r="J3836" s="81" t="s">
        <v>224</v>
      </c>
    </row>
    <row r="3837" hidden="1">
      <c r="A3837" s="83" t="s">
        <v>6330</v>
      </c>
      <c r="B3837" s="83" t="s">
        <v>6331</v>
      </c>
      <c r="C3837" s="81" t="s">
        <v>4621</v>
      </c>
      <c r="D3837" s="83" t="s">
        <v>4365</v>
      </c>
      <c r="E3837" s="81" t="s">
        <v>1554</v>
      </c>
      <c r="F3837" s="84">
        <v>301.0</v>
      </c>
      <c r="G3837" s="81" t="s">
        <v>39</v>
      </c>
      <c r="H3837" s="81" t="s">
        <v>5590</v>
      </c>
      <c r="I3837" s="81" t="s">
        <v>1558</v>
      </c>
      <c r="J3837" s="81" t="s">
        <v>224</v>
      </c>
    </row>
    <row r="3838" hidden="1">
      <c r="A3838" s="83" t="s">
        <v>6330</v>
      </c>
      <c r="B3838" s="83" t="s">
        <v>6331</v>
      </c>
      <c r="C3838" s="81" t="s">
        <v>6333</v>
      </c>
      <c r="D3838" s="83" t="s">
        <v>4365</v>
      </c>
      <c r="E3838" s="81" t="s">
        <v>1554</v>
      </c>
      <c r="F3838" s="84">
        <v>301.0</v>
      </c>
      <c r="G3838" s="81" t="s">
        <v>40</v>
      </c>
      <c r="H3838" s="81" t="s">
        <v>5591</v>
      </c>
      <c r="I3838" s="81" t="s">
        <v>224</v>
      </c>
      <c r="J3838" s="81" t="s">
        <v>5143</v>
      </c>
    </row>
    <row r="3839" hidden="1">
      <c r="A3839" s="83" t="s">
        <v>6330</v>
      </c>
      <c r="B3839" s="83" t="s">
        <v>6331</v>
      </c>
      <c r="C3839" s="81" t="s">
        <v>4621</v>
      </c>
      <c r="D3839" s="83" t="s">
        <v>4365</v>
      </c>
      <c r="E3839" s="81" t="s">
        <v>1560</v>
      </c>
      <c r="F3839" s="84">
        <v>302.0</v>
      </c>
      <c r="G3839" s="81" t="s">
        <v>39</v>
      </c>
      <c r="H3839" s="81" t="s">
        <v>5590</v>
      </c>
      <c r="I3839" s="81" t="s">
        <v>1558</v>
      </c>
      <c r="J3839" s="81" t="s">
        <v>224</v>
      </c>
    </row>
    <row r="3840" hidden="1">
      <c r="A3840" s="83" t="s">
        <v>6330</v>
      </c>
      <c r="B3840" s="83" t="s">
        <v>6331</v>
      </c>
      <c r="C3840" s="81" t="s">
        <v>6333</v>
      </c>
      <c r="D3840" s="83" t="s">
        <v>4365</v>
      </c>
      <c r="E3840" s="81" t="s">
        <v>1560</v>
      </c>
      <c r="F3840" s="84">
        <v>302.0</v>
      </c>
      <c r="G3840" s="81" t="s">
        <v>40</v>
      </c>
      <c r="H3840" s="81" t="s">
        <v>5591</v>
      </c>
      <c r="I3840" s="81" t="s">
        <v>224</v>
      </c>
      <c r="J3840" s="81" t="s">
        <v>5143</v>
      </c>
    </row>
    <row r="3841" hidden="1">
      <c r="A3841" s="83" t="s">
        <v>6330</v>
      </c>
      <c r="B3841" s="83" t="s">
        <v>6331</v>
      </c>
      <c r="C3841" s="81" t="s">
        <v>4621</v>
      </c>
      <c r="D3841" s="83" t="s">
        <v>4366</v>
      </c>
      <c r="E3841" s="81" t="s">
        <v>1562</v>
      </c>
      <c r="F3841" s="84">
        <v>303.0</v>
      </c>
      <c r="G3841" s="81" t="s">
        <v>39</v>
      </c>
      <c r="H3841" s="81" t="s">
        <v>5592</v>
      </c>
      <c r="I3841" s="81" t="s">
        <v>1563</v>
      </c>
      <c r="J3841" s="81" t="s">
        <v>224</v>
      </c>
    </row>
    <row r="3842" hidden="1">
      <c r="A3842" s="83" t="s">
        <v>6330</v>
      </c>
      <c r="B3842" s="83" t="s">
        <v>6331</v>
      </c>
      <c r="C3842" s="81" t="s">
        <v>6333</v>
      </c>
      <c r="D3842" s="83" t="s">
        <v>4366</v>
      </c>
      <c r="E3842" s="81" t="s">
        <v>1562</v>
      </c>
      <c r="F3842" s="84">
        <v>303.0</v>
      </c>
      <c r="G3842" s="81" t="s">
        <v>40</v>
      </c>
      <c r="H3842" s="81" t="s">
        <v>5593</v>
      </c>
      <c r="I3842" s="81" t="s">
        <v>224</v>
      </c>
      <c r="J3842" s="81" t="s">
        <v>5143</v>
      </c>
    </row>
    <row r="3843" hidden="1">
      <c r="A3843" s="83" t="s">
        <v>6330</v>
      </c>
      <c r="B3843" s="83" t="s">
        <v>6331</v>
      </c>
      <c r="C3843" s="81" t="s">
        <v>4621</v>
      </c>
      <c r="D3843" s="83" t="s">
        <v>4367</v>
      </c>
      <c r="E3843" s="81" t="s">
        <v>1564</v>
      </c>
      <c r="F3843" s="84">
        <v>304.0</v>
      </c>
      <c r="G3843" s="81" t="s">
        <v>39</v>
      </c>
      <c r="H3843" s="81" t="s">
        <v>5594</v>
      </c>
      <c r="I3843" s="81" t="s">
        <v>1565</v>
      </c>
      <c r="J3843" s="81" t="s">
        <v>224</v>
      </c>
    </row>
    <row r="3844" hidden="1">
      <c r="A3844" s="83" t="s">
        <v>6330</v>
      </c>
      <c r="B3844" s="83" t="s">
        <v>6331</v>
      </c>
      <c r="C3844" s="81" t="s">
        <v>6333</v>
      </c>
      <c r="D3844" s="83" t="s">
        <v>4367</v>
      </c>
      <c r="E3844" s="81" t="s">
        <v>1564</v>
      </c>
      <c r="F3844" s="84">
        <v>304.0</v>
      </c>
      <c r="G3844" s="81" t="s">
        <v>40</v>
      </c>
      <c r="H3844" s="81" t="s">
        <v>5595</v>
      </c>
      <c r="I3844" s="81" t="s">
        <v>224</v>
      </c>
      <c r="J3844" s="81" t="s">
        <v>5143</v>
      </c>
    </row>
    <row r="3845" hidden="1">
      <c r="A3845" s="83" t="s">
        <v>6330</v>
      </c>
      <c r="B3845" s="83" t="s">
        <v>6331</v>
      </c>
      <c r="C3845" s="81" t="s">
        <v>4621</v>
      </c>
      <c r="D3845" s="83" t="s">
        <v>4368</v>
      </c>
      <c r="E3845" s="81" t="s">
        <v>1566</v>
      </c>
      <c r="F3845" s="84">
        <v>305.0</v>
      </c>
      <c r="G3845" s="81" t="s">
        <v>39</v>
      </c>
      <c r="H3845" s="81" t="s">
        <v>5596</v>
      </c>
      <c r="I3845" s="81" t="s">
        <v>1568</v>
      </c>
      <c r="J3845" s="81" t="s">
        <v>224</v>
      </c>
    </row>
    <row r="3846" hidden="1">
      <c r="A3846" s="83" t="s">
        <v>6330</v>
      </c>
      <c r="B3846" s="83" t="s">
        <v>6331</v>
      </c>
      <c r="C3846" s="81" t="s">
        <v>6333</v>
      </c>
      <c r="D3846" s="83" t="s">
        <v>4368</v>
      </c>
      <c r="E3846" s="81" t="s">
        <v>1566</v>
      </c>
      <c r="F3846" s="84">
        <v>305.0</v>
      </c>
      <c r="G3846" s="81" t="s">
        <v>40</v>
      </c>
      <c r="H3846" s="81" t="s">
        <v>5597</v>
      </c>
      <c r="I3846" s="81" t="s">
        <v>224</v>
      </c>
      <c r="J3846" s="81" t="s">
        <v>5143</v>
      </c>
    </row>
    <row r="3847" hidden="1">
      <c r="A3847" s="83" t="s">
        <v>6330</v>
      </c>
      <c r="B3847" s="83" t="s">
        <v>6331</v>
      </c>
      <c r="C3847" s="81" t="s">
        <v>4621</v>
      </c>
      <c r="D3847" s="83" t="s">
        <v>4368</v>
      </c>
      <c r="E3847" s="81" t="s">
        <v>1570</v>
      </c>
      <c r="F3847" s="84">
        <v>306.0</v>
      </c>
      <c r="G3847" s="81" t="s">
        <v>39</v>
      </c>
      <c r="H3847" s="81" t="s">
        <v>5596</v>
      </c>
      <c r="I3847" s="81" t="s">
        <v>1568</v>
      </c>
      <c r="J3847" s="81" t="s">
        <v>224</v>
      </c>
    </row>
    <row r="3848" hidden="1">
      <c r="A3848" s="83" t="s">
        <v>6330</v>
      </c>
      <c r="B3848" s="83" t="s">
        <v>6331</v>
      </c>
      <c r="C3848" s="81" t="s">
        <v>6333</v>
      </c>
      <c r="D3848" s="83" t="s">
        <v>4368</v>
      </c>
      <c r="E3848" s="81" t="s">
        <v>1570</v>
      </c>
      <c r="F3848" s="84">
        <v>306.0</v>
      </c>
      <c r="G3848" s="81" t="s">
        <v>40</v>
      </c>
      <c r="H3848" s="81" t="s">
        <v>5597</v>
      </c>
      <c r="I3848" s="81" t="s">
        <v>224</v>
      </c>
      <c r="J3848" s="81" t="s">
        <v>5143</v>
      </c>
    </row>
    <row r="3849" hidden="1">
      <c r="A3849" s="83" t="s">
        <v>6330</v>
      </c>
      <c r="B3849" s="83" t="s">
        <v>6331</v>
      </c>
      <c r="C3849" s="81" t="s">
        <v>4621</v>
      </c>
      <c r="D3849" s="83" t="s">
        <v>4369</v>
      </c>
      <c r="E3849" s="81" t="s">
        <v>1571</v>
      </c>
      <c r="F3849" s="84">
        <v>307.0</v>
      </c>
      <c r="G3849" s="81" t="s">
        <v>39</v>
      </c>
      <c r="H3849" s="81" t="s">
        <v>5598</v>
      </c>
      <c r="I3849" s="81" t="s">
        <v>1572</v>
      </c>
      <c r="J3849" s="81" t="s">
        <v>224</v>
      </c>
    </row>
    <row r="3850" hidden="1">
      <c r="A3850" s="83" t="s">
        <v>6330</v>
      </c>
      <c r="B3850" s="83" t="s">
        <v>6331</v>
      </c>
      <c r="C3850" s="81" t="s">
        <v>6333</v>
      </c>
      <c r="D3850" s="83" t="s">
        <v>4369</v>
      </c>
      <c r="E3850" s="81" t="s">
        <v>1571</v>
      </c>
      <c r="F3850" s="84">
        <v>307.0</v>
      </c>
      <c r="G3850" s="81" t="s">
        <v>40</v>
      </c>
      <c r="H3850" s="81" t="s">
        <v>5599</v>
      </c>
      <c r="I3850" s="81" t="s">
        <v>224</v>
      </c>
      <c r="J3850" s="81" t="s">
        <v>5143</v>
      </c>
    </row>
    <row r="3851" hidden="1">
      <c r="A3851" s="83" t="s">
        <v>6330</v>
      </c>
      <c r="B3851" s="83" t="s">
        <v>6331</v>
      </c>
      <c r="C3851" s="81" t="s">
        <v>4621</v>
      </c>
      <c r="D3851" s="83" t="s">
        <v>4370</v>
      </c>
      <c r="E3851" s="81" t="s">
        <v>1573</v>
      </c>
      <c r="F3851" s="84">
        <v>308.0</v>
      </c>
      <c r="G3851" s="81" t="s">
        <v>39</v>
      </c>
      <c r="H3851" s="81" t="s">
        <v>5600</v>
      </c>
      <c r="I3851" s="81" t="s">
        <v>1574</v>
      </c>
      <c r="J3851" s="81" t="s">
        <v>224</v>
      </c>
    </row>
    <row r="3852" hidden="1">
      <c r="A3852" s="83" t="s">
        <v>6330</v>
      </c>
      <c r="B3852" s="83" t="s">
        <v>6331</v>
      </c>
      <c r="C3852" s="81" t="s">
        <v>6333</v>
      </c>
      <c r="D3852" s="83" t="s">
        <v>4370</v>
      </c>
      <c r="E3852" s="81" t="s">
        <v>1573</v>
      </c>
      <c r="F3852" s="84">
        <v>308.0</v>
      </c>
      <c r="G3852" s="81" t="s">
        <v>40</v>
      </c>
      <c r="H3852" s="81" t="s">
        <v>5601</v>
      </c>
      <c r="I3852" s="81" t="s">
        <v>224</v>
      </c>
      <c r="J3852" s="81" t="s">
        <v>5143</v>
      </c>
    </row>
    <row r="3853" hidden="1">
      <c r="A3853" s="83" t="s">
        <v>6330</v>
      </c>
      <c r="B3853" s="83" t="s">
        <v>6331</v>
      </c>
      <c r="C3853" s="81" t="s">
        <v>4621</v>
      </c>
      <c r="D3853" s="83" t="s">
        <v>4371</v>
      </c>
      <c r="E3853" s="81" t="s">
        <v>1575</v>
      </c>
      <c r="F3853" s="84">
        <v>309.0</v>
      </c>
      <c r="G3853" s="81" t="s">
        <v>39</v>
      </c>
      <c r="H3853" s="81" t="s">
        <v>5602</v>
      </c>
      <c r="I3853" s="81" t="s">
        <v>1576</v>
      </c>
      <c r="J3853" s="81" t="s">
        <v>224</v>
      </c>
    </row>
    <row r="3854" hidden="1">
      <c r="A3854" s="83" t="s">
        <v>6330</v>
      </c>
      <c r="B3854" s="83" t="s">
        <v>6331</v>
      </c>
      <c r="C3854" s="81" t="s">
        <v>6333</v>
      </c>
      <c r="D3854" s="83" t="s">
        <v>4371</v>
      </c>
      <c r="E3854" s="81" t="s">
        <v>1575</v>
      </c>
      <c r="F3854" s="84">
        <v>309.0</v>
      </c>
      <c r="G3854" s="81" t="s">
        <v>40</v>
      </c>
      <c r="H3854" s="81" t="s">
        <v>5603</v>
      </c>
      <c r="I3854" s="81" t="s">
        <v>224</v>
      </c>
      <c r="J3854" s="81" t="s">
        <v>5143</v>
      </c>
    </row>
    <row r="3855" hidden="1">
      <c r="A3855" s="83" t="s">
        <v>6330</v>
      </c>
      <c r="B3855" s="83" t="s">
        <v>6331</v>
      </c>
      <c r="C3855" s="81" t="s">
        <v>4621</v>
      </c>
      <c r="D3855" s="83" t="s">
        <v>4372</v>
      </c>
      <c r="E3855" s="81" t="s">
        <v>1577</v>
      </c>
      <c r="F3855" s="84">
        <v>310.0</v>
      </c>
      <c r="G3855" s="81" t="s">
        <v>39</v>
      </c>
      <c r="H3855" s="81" t="s">
        <v>5604</v>
      </c>
      <c r="I3855" s="81" t="s">
        <v>1579</v>
      </c>
      <c r="J3855" s="81" t="s">
        <v>224</v>
      </c>
    </row>
    <row r="3856" hidden="1">
      <c r="A3856" s="83" t="s">
        <v>6330</v>
      </c>
      <c r="B3856" s="83" t="s">
        <v>6331</v>
      </c>
      <c r="C3856" s="81" t="s">
        <v>4621</v>
      </c>
      <c r="D3856" s="83" t="s">
        <v>4372</v>
      </c>
      <c r="E3856" s="81" t="s">
        <v>1577</v>
      </c>
      <c r="F3856" s="84">
        <v>310.0</v>
      </c>
      <c r="G3856" s="81" t="s">
        <v>40</v>
      </c>
      <c r="H3856" s="81" t="s">
        <v>5605</v>
      </c>
      <c r="I3856" s="81" t="s">
        <v>1580</v>
      </c>
      <c r="J3856" s="81" t="s">
        <v>224</v>
      </c>
    </row>
    <row r="3857" hidden="1">
      <c r="A3857" s="83" t="s">
        <v>6330</v>
      </c>
      <c r="B3857" s="83" t="s">
        <v>6331</v>
      </c>
      <c r="C3857" s="81" t="s">
        <v>4621</v>
      </c>
      <c r="D3857" s="83" t="s">
        <v>4372</v>
      </c>
      <c r="E3857" s="81" t="s">
        <v>1581</v>
      </c>
      <c r="F3857" s="84">
        <v>311.0</v>
      </c>
      <c r="G3857" s="81" t="s">
        <v>39</v>
      </c>
      <c r="H3857" s="81" t="s">
        <v>5604</v>
      </c>
      <c r="I3857" s="81" t="s">
        <v>1579</v>
      </c>
      <c r="J3857" s="81" t="s">
        <v>224</v>
      </c>
    </row>
    <row r="3858" hidden="1">
      <c r="A3858" s="83" t="s">
        <v>6330</v>
      </c>
      <c r="B3858" s="83" t="s">
        <v>6331</v>
      </c>
      <c r="C3858" s="81" t="s">
        <v>4621</v>
      </c>
      <c r="D3858" s="83" t="s">
        <v>4372</v>
      </c>
      <c r="E3858" s="81" t="s">
        <v>1581</v>
      </c>
      <c r="F3858" s="84">
        <v>311.0</v>
      </c>
      <c r="G3858" s="81" t="s">
        <v>40</v>
      </c>
      <c r="H3858" s="81" t="s">
        <v>5605</v>
      </c>
      <c r="I3858" s="81" t="s">
        <v>1580</v>
      </c>
      <c r="J3858" s="81" t="s">
        <v>224</v>
      </c>
    </row>
    <row r="3859" hidden="1">
      <c r="A3859" s="83" t="s">
        <v>6330</v>
      </c>
      <c r="B3859" s="83" t="s">
        <v>6331</v>
      </c>
      <c r="C3859" s="81" t="s">
        <v>4621</v>
      </c>
      <c r="D3859" s="83" t="s">
        <v>4374</v>
      </c>
      <c r="E3859" s="81" t="s">
        <v>1583</v>
      </c>
      <c r="F3859" s="84">
        <v>312.0</v>
      </c>
      <c r="G3859" s="81" t="s">
        <v>39</v>
      </c>
      <c r="H3859" s="81" t="s">
        <v>5606</v>
      </c>
      <c r="I3859" s="81" t="s">
        <v>1584</v>
      </c>
      <c r="J3859" s="81" t="s">
        <v>224</v>
      </c>
    </row>
    <row r="3860" hidden="1">
      <c r="A3860" s="83" t="s">
        <v>6330</v>
      </c>
      <c r="B3860" s="83" t="s">
        <v>6331</v>
      </c>
      <c r="C3860" s="81" t="s">
        <v>4621</v>
      </c>
      <c r="D3860" s="83" t="s">
        <v>4374</v>
      </c>
      <c r="E3860" s="81" t="s">
        <v>1583</v>
      </c>
      <c r="F3860" s="84">
        <v>312.0</v>
      </c>
      <c r="G3860" s="81" t="s">
        <v>40</v>
      </c>
      <c r="H3860" s="81" t="s">
        <v>5607</v>
      </c>
      <c r="I3860" s="81" t="s">
        <v>1585</v>
      </c>
      <c r="J3860" s="81" t="s">
        <v>224</v>
      </c>
    </row>
    <row r="3861" hidden="1">
      <c r="A3861" s="83" t="s">
        <v>6330</v>
      </c>
      <c r="B3861" s="83" t="s">
        <v>6331</v>
      </c>
      <c r="C3861" s="81" t="s">
        <v>4621</v>
      </c>
      <c r="D3861" s="83" t="s">
        <v>4375</v>
      </c>
      <c r="E3861" s="81" t="s">
        <v>1586</v>
      </c>
      <c r="F3861" s="84">
        <v>313.0</v>
      </c>
      <c r="G3861" s="81" t="s">
        <v>39</v>
      </c>
      <c r="H3861" s="81" t="s">
        <v>5608</v>
      </c>
      <c r="I3861" s="81" t="s">
        <v>1588</v>
      </c>
      <c r="J3861" s="81" t="s">
        <v>224</v>
      </c>
    </row>
    <row r="3862" hidden="1">
      <c r="A3862" s="83" t="s">
        <v>6330</v>
      </c>
      <c r="B3862" s="83" t="s">
        <v>6331</v>
      </c>
      <c r="C3862" s="81" t="s">
        <v>4621</v>
      </c>
      <c r="D3862" s="83" t="s">
        <v>4375</v>
      </c>
      <c r="E3862" s="81" t="s">
        <v>1586</v>
      </c>
      <c r="F3862" s="84">
        <v>313.0</v>
      </c>
      <c r="G3862" s="81" t="s">
        <v>40</v>
      </c>
      <c r="H3862" s="81" t="s">
        <v>5609</v>
      </c>
      <c r="I3862" s="81" t="s">
        <v>1589</v>
      </c>
      <c r="J3862" s="81" t="s">
        <v>224</v>
      </c>
    </row>
    <row r="3863" hidden="1">
      <c r="A3863" s="83" t="s">
        <v>6330</v>
      </c>
      <c r="B3863" s="83" t="s">
        <v>6331</v>
      </c>
      <c r="C3863" s="81" t="s">
        <v>4621</v>
      </c>
      <c r="D3863" s="83" t="s">
        <v>4375</v>
      </c>
      <c r="E3863" s="81" t="s">
        <v>1590</v>
      </c>
      <c r="F3863" s="84">
        <v>314.0</v>
      </c>
      <c r="G3863" s="81" t="s">
        <v>39</v>
      </c>
      <c r="H3863" s="81" t="s">
        <v>5608</v>
      </c>
      <c r="I3863" s="81" t="s">
        <v>1588</v>
      </c>
      <c r="J3863" s="81" t="s">
        <v>224</v>
      </c>
    </row>
    <row r="3864" hidden="1">
      <c r="A3864" s="83" t="s">
        <v>6330</v>
      </c>
      <c r="B3864" s="83" t="s">
        <v>6331</v>
      </c>
      <c r="C3864" s="81" t="s">
        <v>4621</v>
      </c>
      <c r="D3864" s="83" t="s">
        <v>4375</v>
      </c>
      <c r="E3864" s="81" t="s">
        <v>1590</v>
      </c>
      <c r="F3864" s="84">
        <v>314.0</v>
      </c>
      <c r="G3864" s="81" t="s">
        <v>40</v>
      </c>
      <c r="H3864" s="81" t="s">
        <v>5609</v>
      </c>
      <c r="I3864" s="81" t="s">
        <v>1589</v>
      </c>
      <c r="J3864" s="81" t="s">
        <v>224</v>
      </c>
    </row>
    <row r="3865" hidden="1">
      <c r="A3865" s="83" t="s">
        <v>6330</v>
      </c>
      <c r="B3865" s="83" t="s">
        <v>6331</v>
      </c>
      <c r="C3865" s="81" t="s">
        <v>4621</v>
      </c>
      <c r="D3865" s="83" t="s">
        <v>4376</v>
      </c>
      <c r="E3865" s="81" t="s">
        <v>1591</v>
      </c>
      <c r="F3865" s="84">
        <v>315.0</v>
      </c>
      <c r="G3865" s="81" t="s">
        <v>39</v>
      </c>
      <c r="H3865" s="81" t="s">
        <v>5610</v>
      </c>
      <c r="I3865" s="81" t="s">
        <v>1592</v>
      </c>
      <c r="J3865" s="81" t="s">
        <v>224</v>
      </c>
    </row>
    <row r="3866" hidden="1">
      <c r="A3866" s="83" t="s">
        <v>6330</v>
      </c>
      <c r="B3866" s="83" t="s">
        <v>6331</v>
      </c>
      <c r="C3866" s="81" t="s">
        <v>4621</v>
      </c>
      <c r="D3866" s="83" t="s">
        <v>4376</v>
      </c>
      <c r="E3866" s="81" t="s">
        <v>1591</v>
      </c>
      <c r="F3866" s="84">
        <v>315.0</v>
      </c>
      <c r="G3866" s="81" t="s">
        <v>40</v>
      </c>
      <c r="H3866" s="81" t="s">
        <v>5611</v>
      </c>
      <c r="I3866" s="81" t="s">
        <v>1593</v>
      </c>
      <c r="J3866" s="81" t="s">
        <v>224</v>
      </c>
    </row>
    <row r="3867" hidden="1">
      <c r="A3867" s="83" t="s">
        <v>6330</v>
      </c>
      <c r="B3867" s="83" t="s">
        <v>6331</v>
      </c>
      <c r="C3867" s="81" t="s">
        <v>4621</v>
      </c>
      <c r="D3867" s="83" t="s">
        <v>4377</v>
      </c>
      <c r="E3867" s="81" t="s">
        <v>1594</v>
      </c>
      <c r="F3867" s="84">
        <v>316.0</v>
      </c>
      <c r="G3867" s="81" t="s">
        <v>39</v>
      </c>
      <c r="H3867" s="81" t="s">
        <v>5612</v>
      </c>
      <c r="I3867" s="81" t="s">
        <v>1602</v>
      </c>
      <c r="J3867" s="81" t="s">
        <v>224</v>
      </c>
    </row>
    <row r="3868" hidden="1">
      <c r="A3868" s="83" t="s">
        <v>6330</v>
      </c>
      <c r="B3868" s="83" t="s">
        <v>6331</v>
      </c>
      <c r="C3868" s="81" t="s">
        <v>4621</v>
      </c>
      <c r="D3868" s="83" t="s">
        <v>4377</v>
      </c>
      <c r="E3868" s="81" t="s">
        <v>1594</v>
      </c>
      <c r="F3868" s="84">
        <v>316.0</v>
      </c>
      <c r="G3868" s="81" t="s">
        <v>40</v>
      </c>
      <c r="H3868" s="81" t="s">
        <v>5613</v>
      </c>
      <c r="I3868" s="81" t="s">
        <v>1603</v>
      </c>
      <c r="J3868" s="81" t="s">
        <v>224</v>
      </c>
    </row>
    <row r="3869" hidden="1">
      <c r="A3869" s="83" t="s">
        <v>6330</v>
      </c>
      <c r="B3869" s="83" t="s">
        <v>6331</v>
      </c>
      <c r="C3869" s="81" t="s">
        <v>4621</v>
      </c>
      <c r="D3869" s="83" t="s">
        <v>4378</v>
      </c>
      <c r="E3869" s="81" t="s">
        <v>1609</v>
      </c>
      <c r="F3869" s="84">
        <v>317.0</v>
      </c>
      <c r="G3869" s="81" t="s">
        <v>39</v>
      </c>
      <c r="H3869" s="81" t="s">
        <v>5614</v>
      </c>
      <c r="I3869" s="81" t="s">
        <v>1614</v>
      </c>
      <c r="J3869" s="81" t="s">
        <v>224</v>
      </c>
    </row>
    <row r="3870" hidden="1">
      <c r="A3870" s="83" t="s">
        <v>6330</v>
      </c>
      <c r="B3870" s="83" t="s">
        <v>6331</v>
      </c>
      <c r="C3870" s="81" t="s">
        <v>6333</v>
      </c>
      <c r="D3870" s="83" t="s">
        <v>4378</v>
      </c>
      <c r="E3870" s="81" t="s">
        <v>1609</v>
      </c>
      <c r="F3870" s="84">
        <v>317.0</v>
      </c>
      <c r="G3870" s="81" t="s">
        <v>40</v>
      </c>
      <c r="H3870" s="81" t="s">
        <v>5615</v>
      </c>
      <c r="I3870" s="81" t="s">
        <v>224</v>
      </c>
      <c r="J3870" s="81" t="s">
        <v>5143</v>
      </c>
    </row>
    <row r="3871" hidden="1">
      <c r="A3871" s="83" t="s">
        <v>6330</v>
      </c>
      <c r="B3871" s="83" t="s">
        <v>6331</v>
      </c>
      <c r="C3871" s="81" t="s">
        <v>4621</v>
      </c>
      <c r="D3871" s="83" t="s">
        <v>4378</v>
      </c>
      <c r="E3871" s="81" t="s">
        <v>1616</v>
      </c>
      <c r="F3871" s="84">
        <v>318.0</v>
      </c>
      <c r="G3871" s="81" t="s">
        <v>39</v>
      </c>
      <c r="H3871" s="81" t="s">
        <v>5614</v>
      </c>
      <c r="I3871" s="81" t="s">
        <v>1614</v>
      </c>
      <c r="J3871" s="81" t="s">
        <v>224</v>
      </c>
    </row>
    <row r="3872" hidden="1">
      <c r="A3872" s="83" t="s">
        <v>6330</v>
      </c>
      <c r="B3872" s="83" t="s">
        <v>6331</v>
      </c>
      <c r="C3872" s="81" t="s">
        <v>6333</v>
      </c>
      <c r="D3872" s="83" t="s">
        <v>4378</v>
      </c>
      <c r="E3872" s="81" t="s">
        <v>1616</v>
      </c>
      <c r="F3872" s="84">
        <v>318.0</v>
      </c>
      <c r="G3872" s="81" t="s">
        <v>40</v>
      </c>
      <c r="H3872" s="81" t="s">
        <v>5615</v>
      </c>
      <c r="I3872" s="81" t="s">
        <v>224</v>
      </c>
      <c r="J3872" s="81" t="s">
        <v>5143</v>
      </c>
    </row>
    <row r="3873" hidden="1">
      <c r="A3873" s="83" t="s">
        <v>6330</v>
      </c>
      <c r="B3873" s="83" t="s">
        <v>6331</v>
      </c>
      <c r="C3873" s="81" t="s">
        <v>4082</v>
      </c>
      <c r="D3873" s="83" t="s">
        <v>4380</v>
      </c>
      <c r="E3873" s="81" t="s">
        <v>1617</v>
      </c>
      <c r="F3873" s="84">
        <v>319.0</v>
      </c>
      <c r="G3873" s="81" t="s">
        <v>39</v>
      </c>
      <c r="H3873" s="81" t="s">
        <v>224</v>
      </c>
      <c r="I3873" s="81" t="s">
        <v>224</v>
      </c>
      <c r="J3873" s="81" t="s">
        <v>5616</v>
      </c>
    </row>
    <row r="3874" hidden="1">
      <c r="A3874" s="83" t="s">
        <v>6330</v>
      </c>
      <c r="B3874" s="83" t="s">
        <v>6331</v>
      </c>
      <c r="C3874" s="81" t="s">
        <v>6333</v>
      </c>
      <c r="D3874" s="83" t="s">
        <v>4380</v>
      </c>
      <c r="E3874" s="81" t="s">
        <v>1617</v>
      </c>
      <c r="F3874" s="84">
        <v>319.0</v>
      </c>
      <c r="G3874" s="81" t="s">
        <v>39</v>
      </c>
      <c r="H3874" s="81" t="s">
        <v>5617</v>
      </c>
      <c r="I3874" s="81" t="s">
        <v>224</v>
      </c>
      <c r="J3874" s="81" t="s">
        <v>5143</v>
      </c>
    </row>
    <row r="3875" hidden="1">
      <c r="A3875" s="83" t="s">
        <v>6330</v>
      </c>
      <c r="B3875" s="83" t="s">
        <v>6331</v>
      </c>
      <c r="C3875" s="81" t="s">
        <v>4621</v>
      </c>
      <c r="D3875" s="83" t="s">
        <v>4380</v>
      </c>
      <c r="E3875" s="81" t="s">
        <v>1617</v>
      </c>
      <c r="F3875" s="84">
        <v>319.0</v>
      </c>
      <c r="G3875" s="81" t="s">
        <v>40</v>
      </c>
      <c r="H3875" s="81" t="s">
        <v>5618</v>
      </c>
      <c r="I3875" s="81" t="s">
        <v>1619</v>
      </c>
      <c r="J3875" s="81" t="s">
        <v>224</v>
      </c>
    </row>
    <row r="3876" hidden="1">
      <c r="A3876" s="83" t="s">
        <v>6330</v>
      </c>
      <c r="B3876" s="83" t="s">
        <v>6331</v>
      </c>
      <c r="C3876" s="81" t="s">
        <v>4621</v>
      </c>
      <c r="D3876" s="83" t="s">
        <v>4381</v>
      </c>
      <c r="E3876" s="81" t="s">
        <v>1620</v>
      </c>
      <c r="F3876" s="84">
        <v>320.0</v>
      </c>
      <c r="G3876" s="81" t="s">
        <v>39</v>
      </c>
      <c r="H3876" s="81" t="s">
        <v>5619</v>
      </c>
      <c r="I3876" s="81" t="s">
        <v>1621</v>
      </c>
      <c r="J3876" s="81" t="s">
        <v>224</v>
      </c>
    </row>
    <row r="3877" hidden="1">
      <c r="A3877" s="83" t="s">
        <v>6330</v>
      </c>
      <c r="B3877" s="83" t="s">
        <v>6331</v>
      </c>
      <c r="C3877" s="81" t="s">
        <v>4621</v>
      </c>
      <c r="D3877" s="83" t="s">
        <v>4381</v>
      </c>
      <c r="E3877" s="81" t="s">
        <v>1620</v>
      </c>
      <c r="F3877" s="84">
        <v>320.0</v>
      </c>
      <c r="G3877" s="81" t="s">
        <v>40</v>
      </c>
      <c r="H3877" s="81" t="s">
        <v>5620</v>
      </c>
      <c r="I3877" s="81" t="s">
        <v>1622</v>
      </c>
      <c r="J3877" s="81" t="s">
        <v>224</v>
      </c>
    </row>
    <row r="3878" hidden="1">
      <c r="A3878" s="83" t="s">
        <v>6330</v>
      </c>
      <c r="B3878" s="83" t="s">
        <v>6331</v>
      </c>
      <c r="C3878" s="81" t="s">
        <v>4621</v>
      </c>
      <c r="D3878" s="83" t="s">
        <v>4382</v>
      </c>
      <c r="E3878" s="81" t="s">
        <v>1623</v>
      </c>
      <c r="F3878" s="84">
        <v>321.0</v>
      </c>
      <c r="G3878" s="81" t="s">
        <v>40</v>
      </c>
      <c r="H3878" s="81" t="s">
        <v>5621</v>
      </c>
      <c r="I3878" s="81" t="s">
        <v>1626</v>
      </c>
      <c r="J3878" s="81" t="s">
        <v>224</v>
      </c>
    </row>
    <row r="3879" hidden="1">
      <c r="A3879" s="83" t="s">
        <v>6330</v>
      </c>
      <c r="B3879" s="83" t="s">
        <v>6331</v>
      </c>
      <c r="C3879" s="81" t="s">
        <v>4621</v>
      </c>
      <c r="D3879" s="83" t="s">
        <v>4383</v>
      </c>
      <c r="E3879" s="81" t="s">
        <v>1629</v>
      </c>
      <c r="F3879" s="84">
        <v>322.0</v>
      </c>
      <c r="G3879" s="81" t="s">
        <v>39</v>
      </c>
      <c r="H3879" s="81" t="s">
        <v>5622</v>
      </c>
      <c r="I3879" s="81" t="s">
        <v>1638</v>
      </c>
      <c r="J3879" s="81" t="s">
        <v>224</v>
      </c>
    </row>
    <row r="3880" hidden="1">
      <c r="A3880" s="83" t="s">
        <v>6330</v>
      </c>
      <c r="B3880" s="83" t="s">
        <v>6331</v>
      </c>
      <c r="C3880" s="81" t="s">
        <v>4621</v>
      </c>
      <c r="D3880" s="83" t="s">
        <v>4383</v>
      </c>
      <c r="E3880" s="81" t="s">
        <v>1629</v>
      </c>
      <c r="F3880" s="84">
        <v>322.0</v>
      </c>
      <c r="G3880" s="81" t="s">
        <v>40</v>
      </c>
      <c r="H3880" s="81" t="s">
        <v>5623</v>
      </c>
      <c r="I3880" s="81" t="s">
        <v>1639</v>
      </c>
      <c r="J3880" s="81" t="s">
        <v>224</v>
      </c>
    </row>
    <row r="3881" hidden="1">
      <c r="A3881" s="83" t="s">
        <v>6330</v>
      </c>
      <c r="B3881" s="83" t="s">
        <v>6331</v>
      </c>
      <c r="C3881" s="81" t="s">
        <v>4621</v>
      </c>
      <c r="D3881" s="83" t="s">
        <v>4383</v>
      </c>
      <c r="E3881" s="81" t="s">
        <v>1645</v>
      </c>
      <c r="F3881" s="84">
        <v>323.0</v>
      </c>
      <c r="G3881" s="81" t="s">
        <v>40</v>
      </c>
      <c r="H3881" s="81" t="s">
        <v>5623</v>
      </c>
      <c r="I3881" s="81" t="s">
        <v>1639</v>
      </c>
      <c r="J3881" s="81" t="s">
        <v>224</v>
      </c>
    </row>
    <row r="3882" hidden="1">
      <c r="A3882" s="83" t="s">
        <v>6330</v>
      </c>
      <c r="B3882" s="83" t="s">
        <v>6331</v>
      </c>
      <c r="C3882" s="81" t="s">
        <v>4621</v>
      </c>
      <c r="D3882" s="83" t="s">
        <v>4384</v>
      </c>
      <c r="E3882" s="81" t="s">
        <v>1646</v>
      </c>
      <c r="F3882" s="84">
        <v>324.0</v>
      </c>
      <c r="G3882" s="81" t="s">
        <v>39</v>
      </c>
      <c r="H3882" s="81" t="s">
        <v>5624</v>
      </c>
      <c r="I3882" s="81" t="s">
        <v>1647</v>
      </c>
      <c r="J3882" s="81" t="s">
        <v>224</v>
      </c>
    </row>
    <row r="3883" hidden="1">
      <c r="A3883" s="83" t="s">
        <v>6330</v>
      </c>
      <c r="B3883" s="83" t="s">
        <v>6331</v>
      </c>
      <c r="C3883" s="81" t="s">
        <v>4621</v>
      </c>
      <c r="D3883" s="83" t="s">
        <v>4384</v>
      </c>
      <c r="E3883" s="81" t="s">
        <v>1646</v>
      </c>
      <c r="F3883" s="84">
        <v>324.0</v>
      </c>
      <c r="G3883" s="81" t="s">
        <v>40</v>
      </c>
      <c r="H3883" s="81" t="s">
        <v>5625</v>
      </c>
      <c r="I3883" s="81" t="s">
        <v>1648</v>
      </c>
      <c r="J3883" s="81" t="s">
        <v>224</v>
      </c>
    </row>
    <row r="3884" hidden="1">
      <c r="A3884" s="83" t="s">
        <v>6330</v>
      </c>
      <c r="B3884" s="83" t="s">
        <v>6331</v>
      </c>
      <c r="C3884" s="81" t="s">
        <v>4621</v>
      </c>
      <c r="D3884" s="83" t="s">
        <v>4385</v>
      </c>
      <c r="E3884" s="81" t="s">
        <v>1649</v>
      </c>
      <c r="F3884" s="84">
        <v>325.0</v>
      </c>
      <c r="G3884" s="81" t="s">
        <v>39</v>
      </c>
      <c r="H3884" s="81" t="s">
        <v>5626</v>
      </c>
      <c r="I3884" s="81" t="s">
        <v>1651</v>
      </c>
      <c r="J3884" s="81" t="s">
        <v>224</v>
      </c>
    </row>
    <row r="3885" hidden="1">
      <c r="A3885" s="83" t="s">
        <v>6330</v>
      </c>
      <c r="B3885" s="83" t="s">
        <v>6331</v>
      </c>
      <c r="C3885" s="81" t="s">
        <v>6333</v>
      </c>
      <c r="D3885" s="83" t="s">
        <v>4385</v>
      </c>
      <c r="E3885" s="81" t="s">
        <v>1649</v>
      </c>
      <c r="F3885" s="84">
        <v>325.0</v>
      </c>
      <c r="G3885" s="81" t="s">
        <v>40</v>
      </c>
      <c r="H3885" s="81" t="s">
        <v>5627</v>
      </c>
      <c r="I3885" s="81" t="s">
        <v>224</v>
      </c>
      <c r="J3885" s="81" t="s">
        <v>5143</v>
      </c>
    </row>
    <row r="3886" hidden="1">
      <c r="A3886" s="83" t="s">
        <v>6330</v>
      </c>
      <c r="B3886" s="83" t="s">
        <v>6331</v>
      </c>
      <c r="C3886" s="81" t="s">
        <v>6333</v>
      </c>
      <c r="D3886" s="83" t="s">
        <v>4385</v>
      </c>
      <c r="E3886" s="81" t="s">
        <v>1652</v>
      </c>
      <c r="F3886" s="84">
        <v>326.0</v>
      </c>
      <c r="G3886" s="81" t="s">
        <v>40</v>
      </c>
      <c r="H3886" s="81" t="s">
        <v>49</v>
      </c>
      <c r="I3886" s="81" t="s">
        <v>224</v>
      </c>
      <c r="J3886" s="81" t="s">
        <v>5143</v>
      </c>
    </row>
    <row r="3887" hidden="1">
      <c r="A3887" s="83" t="s">
        <v>6330</v>
      </c>
      <c r="B3887" s="83" t="s">
        <v>6331</v>
      </c>
      <c r="C3887" s="81" t="s">
        <v>4621</v>
      </c>
      <c r="D3887" s="83" t="s">
        <v>4386</v>
      </c>
      <c r="E3887" s="81" t="s">
        <v>1653</v>
      </c>
      <c r="F3887" s="84">
        <v>327.0</v>
      </c>
      <c r="G3887" s="81" t="s">
        <v>39</v>
      </c>
      <c r="H3887" s="81" t="s">
        <v>5628</v>
      </c>
      <c r="I3887" s="81" t="s">
        <v>1654</v>
      </c>
      <c r="J3887" s="81" t="s">
        <v>224</v>
      </c>
    </row>
    <row r="3888" hidden="1">
      <c r="A3888" s="83" t="s">
        <v>6330</v>
      </c>
      <c r="B3888" s="83" t="s">
        <v>6331</v>
      </c>
      <c r="C3888" s="81" t="s">
        <v>6333</v>
      </c>
      <c r="D3888" s="83" t="s">
        <v>4386</v>
      </c>
      <c r="E3888" s="81" t="s">
        <v>1653</v>
      </c>
      <c r="F3888" s="84">
        <v>327.0</v>
      </c>
      <c r="G3888" s="81" t="s">
        <v>40</v>
      </c>
      <c r="H3888" s="81" t="s">
        <v>5629</v>
      </c>
      <c r="I3888" s="81" t="s">
        <v>224</v>
      </c>
      <c r="J3888" s="81" t="s">
        <v>5143</v>
      </c>
    </row>
    <row r="3889" hidden="1">
      <c r="A3889" s="83" t="s">
        <v>6330</v>
      </c>
      <c r="B3889" s="83" t="s">
        <v>6331</v>
      </c>
      <c r="C3889" s="81" t="s">
        <v>4621</v>
      </c>
      <c r="D3889" s="83" t="s">
        <v>4387</v>
      </c>
      <c r="E3889" s="81" t="s">
        <v>1655</v>
      </c>
      <c r="F3889" s="84">
        <v>328.0</v>
      </c>
      <c r="G3889" s="81" t="s">
        <v>39</v>
      </c>
      <c r="H3889" s="81" t="s">
        <v>5630</v>
      </c>
      <c r="I3889" s="81" t="s">
        <v>1660</v>
      </c>
      <c r="J3889" s="81" t="s">
        <v>224</v>
      </c>
    </row>
    <row r="3890" hidden="1">
      <c r="A3890" s="83" t="s">
        <v>6330</v>
      </c>
      <c r="B3890" s="83" t="s">
        <v>6331</v>
      </c>
      <c r="C3890" s="81" t="s">
        <v>4621</v>
      </c>
      <c r="D3890" s="83" t="s">
        <v>4387</v>
      </c>
      <c r="E3890" s="81" t="s">
        <v>1655</v>
      </c>
      <c r="F3890" s="84">
        <v>328.0</v>
      </c>
      <c r="G3890" s="81" t="s">
        <v>40</v>
      </c>
      <c r="H3890" s="81" t="s">
        <v>5631</v>
      </c>
      <c r="I3890" s="81" t="s">
        <v>1661</v>
      </c>
      <c r="J3890" s="81" t="s">
        <v>224</v>
      </c>
    </row>
    <row r="3891" hidden="1">
      <c r="A3891" s="83" t="s">
        <v>6330</v>
      </c>
      <c r="B3891" s="83" t="s">
        <v>6331</v>
      </c>
      <c r="C3891" s="81" t="s">
        <v>4621</v>
      </c>
      <c r="D3891" s="83" t="s">
        <v>4387</v>
      </c>
      <c r="E3891" s="81" t="s">
        <v>1665</v>
      </c>
      <c r="F3891" s="84">
        <v>329.0</v>
      </c>
      <c r="G3891" s="81" t="s">
        <v>39</v>
      </c>
      <c r="H3891" s="81" t="s">
        <v>5630</v>
      </c>
      <c r="I3891" s="81" t="s">
        <v>1660</v>
      </c>
      <c r="J3891" s="81" t="s">
        <v>224</v>
      </c>
    </row>
    <row r="3892" hidden="1">
      <c r="A3892" s="83" t="s">
        <v>6330</v>
      </c>
      <c r="B3892" s="83" t="s">
        <v>6331</v>
      </c>
      <c r="C3892" s="81" t="s">
        <v>4621</v>
      </c>
      <c r="D3892" s="83" t="s">
        <v>4387</v>
      </c>
      <c r="E3892" s="81" t="s">
        <v>1665</v>
      </c>
      <c r="F3892" s="84">
        <v>329.0</v>
      </c>
      <c r="G3892" s="81" t="s">
        <v>40</v>
      </c>
      <c r="H3892" s="81" t="s">
        <v>5631</v>
      </c>
      <c r="I3892" s="81" t="s">
        <v>1661</v>
      </c>
      <c r="J3892" s="81" t="s">
        <v>224</v>
      </c>
    </row>
    <row r="3893" hidden="1">
      <c r="A3893" s="83" t="s">
        <v>6330</v>
      </c>
      <c r="B3893" s="83" t="s">
        <v>6331</v>
      </c>
      <c r="C3893" s="81" t="s">
        <v>4621</v>
      </c>
      <c r="D3893" s="83" t="s">
        <v>4388</v>
      </c>
      <c r="E3893" s="81" t="s">
        <v>1666</v>
      </c>
      <c r="F3893" s="84">
        <v>330.0</v>
      </c>
      <c r="G3893" s="81" t="s">
        <v>39</v>
      </c>
      <c r="H3893" s="81" t="s">
        <v>5632</v>
      </c>
      <c r="I3893" s="81" t="s">
        <v>1668</v>
      </c>
      <c r="J3893" s="81" t="s">
        <v>224</v>
      </c>
    </row>
    <row r="3894" hidden="1">
      <c r="A3894" s="83" t="s">
        <v>6330</v>
      </c>
      <c r="B3894" s="83" t="s">
        <v>6331</v>
      </c>
      <c r="C3894" s="81" t="s">
        <v>4621</v>
      </c>
      <c r="D3894" s="83" t="s">
        <v>4388</v>
      </c>
      <c r="E3894" s="81" t="s">
        <v>1666</v>
      </c>
      <c r="F3894" s="84">
        <v>330.0</v>
      </c>
      <c r="G3894" s="81" t="s">
        <v>40</v>
      </c>
      <c r="H3894" s="81" t="s">
        <v>5633</v>
      </c>
      <c r="I3894" s="81" t="s">
        <v>1669</v>
      </c>
      <c r="J3894" s="81" t="s">
        <v>224</v>
      </c>
    </row>
    <row r="3895" hidden="1">
      <c r="A3895" s="83" t="s">
        <v>6330</v>
      </c>
      <c r="B3895" s="83" t="s">
        <v>6331</v>
      </c>
      <c r="C3895" s="81" t="s">
        <v>4621</v>
      </c>
      <c r="D3895" s="83" t="s">
        <v>4389</v>
      </c>
      <c r="E3895" s="81" t="s">
        <v>1670</v>
      </c>
      <c r="F3895" s="84">
        <v>331.0</v>
      </c>
      <c r="G3895" s="81" t="s">
        <v>39</v>
      </c>
      <c r="H3895" s="81" t="s">
        <v>5634</v>
      </c>
      <c r="I3895" s="81" t="s">
        <v>1673</v>
      </c>
      <c r="J3895" s="81" t="s">
        <v>224</v>
      </c>
    </row>
    <row r="3896" hidden="1">
      <c r="A3896" s="83" t="s">
        <v>6330</v>
      </c>
      <c r="B3896" s="83" t="s">
        <v>6331</v>
      </c>
      <c r="C3896" s="81" t="s">
        <v>4621</v>
      </c>
      <c r="D3896" s="83" t="s">
        <v>4389</v>
      </c>
      <c r="E3896" s="81" t="s">
        <v>1670</v>
      </c>
      <c r="F3896" s="84">
        <v>331.0</v>
      </c>
      <c r="G3896" s="81" t="s">
        <v>40</v>
      </c>
      <c r="H3896" s="81" t="s">
        <v>5635</v>
      </c>
      <c r="I3896" s="81" t="s">
        <v>1674</v>
      </c>
      <c r="J3896" s="81" t="s">
        <v>224</v>
      </c>
    </row>
    <row r="3897" hidden="1">
      <c r="A3897" s="83" t="s">
        <v>6330</v>
      </c>
      <c r="B3897" s="83" t="s">
        <v>6331</v>
      </c>
      <c r="C3897" s="81" t="s">
        <v>4621</v>
      </c>
      <c r="D3897" s="83" t="s">
        <v>4389</v>
      </c>
      <c r="E3897" s="81" t="s">
        <v>1678</v>
      </c>
      <c r="F3897" s="84">
        <v>332.0</v>
      </c>
      <c r="G3897" s="81" t="s">
        <v>39</v>
      </c>
      <c r="H3897" s="81" t="s">
        <v>5636</v>
      </c>
      <c r="I3897" s="81" t="s">
        <v>1673</v>
      </c>
      <c r="J3897" s="81" t="s">
        <v>224</v>
      </c>
    </row>
    <row r="3898" hidden="1">
      <c r="A3898" s="83" t="s">
        <v>6330</v>
      </c>
      <c r="B3898" s="83" t="s">
        <v>6331</v>
      </c>
      <c r="C3898" s="81" t="s">
        <v>4621</v>
      </c>
      <c r="D3898" s="83" t="s">
        <v>4389</v>
      </c>
      <c r="E3898" s="81" t="s">
        <v>1678</v>
      </c>
      <c r="F3898" s="84">
        <v>332.0</v>
      </c>
      <c r="G3898" s="81" t="s">
        <v>40</v>
      </c>
      <c r="H3898" s="81" t="s">
        <v>5635</v>
      </c>
      <c r="I3898" s="81" t="s">
        <v>1674</v>
      </c>
      <c r="J3898" s="81" t="s">
        <v>224</v>
      </c>
    </row>
    <row r="3899" hidden="1">
      <c r="A3899" s="83" t="s">
        <v>6330</v>
      </c>
      <c r="B3899" s="83" t="s">
        <v>6331</v>
      </c>
      <c r="C3899" s="81" t="s">
        <v>4621</v>
      </c>
      <c r="D3899" s="83" t="s">
        <v>4390</v>
      </c>
      <c r="E3899" s="81" t="s">
        <v>1679</v>
      </c>
      <c r="F3899" s="84">
        <v>333.0</v>
      </c>
      <c r="G3899" s="81" t="s">
        <v>39</v>
      </c>
      <c r="H3899" s="81" t="s">
        <v>5637</v>
      </c>
      <c r="I3899" s="81" t="s">
        <v>1680</v>
      </c>
      <c r="J3899" s="81" t="s">
        <v>224</v>
      </c>
    </row>
    <row r="3900" hidden="1">
      <c r="A3900" s="83" t="s">
        <v>6330</v>
      </c>
      <c r="B3900" s="83" t="s">
        <v>6331</v>
      </c>
      <c r="C3900" s="81" t="s">
        <v>4621</v>
      </c>
      <c r="D3900" s="83" t="s">
        <v>4390</v>
      </c>
      <c r="E3900" s="81" t="s">
        <v>1679</v>
      </c>
      <c r="F3900" s="84">
        <v>333.0</v>
      </c>
      <c r="G3900" s="81" t="s">
        <v>40</v>
      </c>
      <c r="H3900" s="81" t="s">
        <v>5638</v>
      </c>
      <c r="I3900" s="81" t="s">
        <v>1681</v>
      </c>
      <c r="J3900" s="81" t="s">
        <v>224</v>
      </c>
    </row>
    <row r="3901" hidden="1">
      <c r="A3901" s="83" t="s">
        <v>6330</v>
      </c>
      <c r="B3901" s="83" t="s">
        <v>6331</v>
      </c>
      <c r="C3901" s="81" t="s">
        <v>4621</v>
      </c>
      <c r="D3901" s="83" t="s">
        <v>4391</v>
      </c>
      <c r="E3901" s="81" t="s">
        <v>1682</v>
      </c>
      <c r="F3901" s="84">
        <v>334.0</v>
      </c>
      <c r="G3901" s="81" t="s">
        <v>39</v>
      </c>
      <c r="H3901" s="81" t="s">
        <v>5484</v>
      </c>
      <c r="I3901" s="81" t="s">
        <v>1686</v>
      </c>
      <c r="J3901" s="81" t="s">
        <v>224</v>
      </c>
    </row>
    <row r="3902" hidden="1">
      <c r="A3902" s="83" t="s">
        <v>6330</v>
      </c>
      <c r="B3902" s="83" t="s">
        <v>6331</v>
      </c>
      <c r="C3902" s="81" t="s">
        <v>6333</v>
      </c>
      <c r="D3902" s="83" t="s">
        <v>4391</v>
      </c>
      <c r="E3902" s="81" t="s">
        <v>1682</v>
      </c>
      <c r="F3902" s="84">
        <v>334.0</v>
      </c>
      <c r="G3902" s="81" t="s">
        <v>40</v>
      </c>
      <c r="H3902" s="81" t="s">
        <v>5485</v>
      </c>
      <c r="I3902" s="81" t="s">
        <v>224</v>
      </c>
      <c r="J3902" s="81" t="s">
        <v>5143</v>
      </c>
    </row>
    <row r="3903" hidden="1">
      <c r="A3903" s="83" t="s">
        <v>6330</v>
      </c>
      <c r="B3903" s="83" t="s">
        <v>6331</v>
      </c>
      <c r="C3903" s="81" t="s">
        <v>4621</v>
      </c>
      <c r="D3903" s="83" t="s">
        <v>4393</v>
      </c>
      <c r="E3903" s="81" t="s">
        <v>1690</v>
      </c>
      <c r="F3903" s="84">
        <v>335.0</v>
      </c>
      <c r="G3903" s="81" t="s">
        <v>39</v>
      </c>
      <c r="H3903" s="81" t="s">
        <v>5478</v>
      </c>
      <c r="I3903" s="81" t="s">
        <v>1693</v>
      </c>
      <c r="J3903" s="81" t="s">
        <v>224</v>
      </c>
    </row>
    <row r="3904" hidden="1">
      <c r="A3904" s="83" t="s">
        <v>6330</v>
      </c>
      <c r="B3904" s="83" t="s">
        <v>6331</v>
      </c>
      <c r="C3904" s="81" t="s">
        <v>6333</v>
      </c>
      <c r="D3904" s="83" t="s">
        <v>4393</v>
      </c>
      <c r="E3904" s="81" t="s">
        <v>1690</v>
      </c>
      <c r="F3904" s="84">
        <v>335.0</v>
      </c>
      <c r="G3904" s="81" t="s">
        <v>40</v>
      </c>
      <c r="H3904" s="81" t="s">
        <v>49</v>
      </c>
      <c r="I3904" s="81" t="s">
        <v>224</v>
      </c>
      <c r="J3904" s="81" t="s">
        <v>5143</v>
      </c>
    </row>
    <row r="3905" hidden="1">
      <c r="A3905" s="83" t="s">
        <v>6330</v>
      </c>
      <c r="B3905" s="83" t="s">
        <v>6331</v>
      </c>
      <c r="C3905" s="81" t="s">
        <v>4621</v>
      </c>
      <c r="D3905" s="83" t="s">
        <v>4394</v>
      </c>
      <c r="E3905" s="81" t="s">
        <v>1698</v>
      </c>
      <c r="F3905" s="84">
        <v>336.0</v>
      </c>
      <c r="G3905" s="81" t="s">
        <v>39</v>
      </c>
      <c r="H3905" s="81" t="s">
        <v>5473</v>
      </c>
      <c r="I3905" s="81" t="s">
        <v>1701</v>
      </c>
      <c r="J3905" s="81" t="s">
        <v>224</v>
      </c>
    </row>
    <row r="3906" hidden="1">
      <c r="A3906" s="83" t="s">
        <v>6330</v>
      </c>
      <c r="B3906" s="83" t="s">
        <v>6331</v>
      </c>
      <c r="C3906" s="81" t="s">
        <v>6333</v>
      </c>
      <c r="D3906" s="83" t="s">
        <v>4394</v>
      </c>
      <c r="E3906" s="81" t="s">
        <v>1698</v>
      </c>
      <c r="F3906" s="84">
        <v>336.0</v>
      </c>
      <c r="G3906" s="81" t="s">
        <v>40</v>
      </c>
      <c r="H3906" s="81" t="s">
        <v>5474</v>
      </c>
      <c r="I3906" s="81" t="s">
        <v>224</v>
      </c>
      <c r="J3906" s="81" t="s">
        <v>5143</v>
      </c>
    </row>
    <row r="3907" hidden="1">
      <c r="A3907" s="83" t="s">
        <v>6330</v>
      </c>
      <c r="B3907" s="83" t="s">
        <v>6331</v>
      </c>
      <c r="C3907" s="81" t="s">
        <v>4621</v>
      </c>
      <c r="D3907" s="83" t="s">
        <v>4395</v>
      </c>
      <c r="E3907" s="81" t="s">
        <v>1702</v>
      </c>
      <c r="F3907" s="84">
        <v>337.0</v>
      </c>
      <c r="G3907" s="81" t="s">
        <v>39</v>
      </c>
      <c r="H3907" s="81" t="s">
        <v>5639</v>
      </c>
      <c r="I3907" s="81" t="s">
        <v>1704</v>
      </c>
      <c r="J3907" s="81" t="s">
        <v>224</v>
      </c>
    </row>
    <row r="3908" hidden="1">
      <c r="A3908" s="83" t="s">
        <v>6330</v>
      </c>
      <c r="B3908" s="83" t="s">
        <v>6331</v>
      </c>
      <c r="C3908" s="81" t="s">
        <v>6333</v>
      </c>
      <c r="D3908" s="83" t="s">
        <v>4395</v>
      </c>
      <c r="E3908" s="81" t="s">
        <v>1702</v>
      </c>
      <c r="F3908" s="84">
        <v>337.0</v>
      </c>
      <c r="G3908" s="81" t="s">
        <v>40</v>
      </c>
      <c r="H3908" s="81" t="s">
        <v>5640</v>
      </c>
      <c r="I3908" s="81" t="s">
        <v>224</v>
      </c>
      <c r="J3908" s="81" t="s">
        <v>5143</v>
      </c>
    </row>
    <row r="3909" hidden="1">
      <c r="A3909" s="83" t="s">
        <v>6330</v>
      </c>
      <c r="B3909" s="83" t="s">
        <v>6331</v>
      </c>
      <c r="C3909" s="81" t="s">
        <v>4621</v>
      </c>
      <c r="D3909" s="83" t="s">
        <v>4395</v>
      </c>
      <c r="E3909" s="81" t="s">
        <v>1706</v>
      </c>
      <c r="F3909" s="84">
        <v>338.0</v>
      </c>
      <c r="G3909" s="81" t="s">
        <v>39</v>
      </c>
      <c r="H3909" s="81" t="s">
        <v>5639</v>
      </c>
      <c r="I3909" s="81" t="s">
        <v>1704</v>
      </c>
      <c r="J3909" s="81" t="s">
        <v>224</v>
      </c>
    </row>
    <row r="3910" hidden="1">
      <c r="A3910" s="83" t="s">
        <v>6330</v>
      </c>
      <c r="B3910" s="83" t="s">
        <v>6331</v>
      </c>
      <c r="C3910" s="81" t="s">
        <v>6333</v>
      </c>
      <c r="D3910" s="83" t="s">
        <v>4395</v>
      </c>
      <c r="E3910" s="81" t="s">
        <v>1706</v>
      </c>
      <c r="F3910" s="84">
        <v>338.0</v>
      </c>
      <c r="G3910" s="81" t="s">
        <v>40</v>
      </c>
      <c r="H3910" s="81" t="s">
        <v>5640</v>
      </c>
      <c r="I3910" s="81" t="s">
        <v>224</v>
      </c>
      <c r="J3910" s="81" t="s">
        <v>5143</v>
      </c>
    </row>
    <row r="3911" hidden="1">
      <c r="A3911" s="83" t="s">
        <v>6330</v>
      </c>
      <c r="B3911" s="83" t="s">
        <v>6331</v>
      </c>
      <c r="C3911" s="81" t="s">
        <v>4621</v>
      </c>
      <c r="D3911" s="83" t="s">
        <v>4397</v>
      </c>
      <c r="E3911" s="81" t="s">
        <v>1708</v>
      </c>
      <c r="F3911" s="84">
        <v>339.0</v>
      </c>
      <c r="G3911" s="81" t="s">
        <v>39</v>
      </c>
      <c r="H3911" s="81" t="s">
        <v>5641</v>
      </c>
      <c r="I3911" s="81" t="s">
        <v>1715</v>
      </c>
      <c r="J3911" s="81" t="s">
        <v>224</v>
      </c>
    </row>
    <row r="3912" hidden="1">
      <c r="A3912" s="83" t="s">
        <v>6330</v>
      </c>
      <c r="B3912" s="83" t="s">
        <v>6331</v>
      </c>
      <c r="C3912" s="81" t="s">
        <v>4621</v>
      </c>
      <c r="D3912" s="83" t="s">
        <v>4397</v>
      </c>
      <c r="E3912" s="81" t="s">
        <v>1708</v>
      </c>
      <c r="F3912" s="84">
        <v>339.0</v>
      </c>
      <c r="G3912" s="81" t="s">
        <v>40</v>
      </c>
      <c r="H3912" s="81" t="s">
        <v>5642</v>
      </c>
      <c r="I3912" s="81" t="s">
        <v>1716</v>
      </c>
      <c r="J3912" s="81" t="s">
        <v>224</v>
      </c>
    </row>
    <row r="3913" hidden="1">
      <c r="A3913" s="83" t="s">
        <v>6330</v>
      </c>
      <c r="B3913" s="83" t="s">
        <v>6331</v>
      </c>
      <c r="C3913" s="81" t="s">
        <v>4621</v>
      </c>
      <c r="D3913" s="83" t="s">
        <v>4397</v>
      </c>
      <c r="E3913" s="81" t="s">
        <v>1722</v>
      </c>
      <c r="F3913" s="84">
        <v>340.0</v>
      </c>
      <c r="G3913" s="81" t="s">
        <v>39</v>
      </c>
      <c r="H3913" s="81" t="s">
        <v>5641</v>
      </c>
      <c r="I3913" s="81" t="s">
        <v>1715</v>
      </c>
      <c r="J3913" s="81" t="s">
        <v>224</v>
      </c>
    </row>
    <row r="3914" hidden="1">
      <c r="A3914" s="83" t="s">
        <v>6330</v>
      </c>
      <c r="B3914" s="83" t="s">
        <v>6331</v>
      </c>
      <c r="C3914" s="81" t="s">
        <v>4621</v>
      </c>
      <c r="D3914" s="83" t="s">
        <v>4397</v>
      </c>
      <c r="E3914" s="81" t="s">
        <v>1722</v>
      </c>
      <c r="F3914" s="84">
        <v>340.0</v>
      </c>
      <c r="G3914" s="81" t="s">
        <v>40</v>
      </c>
      <c r="H3914" s="81" t="s">
        <v>5642</v>
      </c>
      <c r="I3914" s="81" t="s">
        <v>1716</v>
      </c>
      <c r="J3914" s="81" t="s">
        <v>224</v>
      </c>
    </row>
    <row r="3915" hidden="1">
      <c r="A3915" s="83" t="s">
        <v>6330</v>
      </c>
      <c r="B3915" s="83" t="s">
        <v>6331</v>
      </c>
      <c r="C3915" s="81" t="s">
        <v>4621</v>
      </c>
      <c r="D3915" s="83" t="s">
        <v>4399</v>
      </c>
      <c r="E3915" s="81" t="s">
        <v>1723</v>
      </c>
      <c r="F3915" s="84">
        <v>341.0</v>
      </c>
      <c r="G3915" s="81" t="s">
        <v>39</v>
      </c>
      <c r="H3915" s="81" t="s">
        <v>5643</v>
      </c>
      <c r="I3915" s="81" t="s">
        <v>1724</v>
      </c>
      <c r="J3915" s="81" t="s">
        <v>224</v>
      </c>
    </row>
    <row r="3916" hidden="1">
      <c r="A3916" s="83" t="s">
        <v>6330</v>
      </c>
      <c r="B3916" s="83" t="s">
        <v>6331</v>
      </c>
      <c r="C3916" s="81" t="s">
        <v>4621</v>
      </c>
      <c r="D3916" s="83" t="s">
        <v>4399</v>
      </c>
      <c r="E3916" s="81" t="s">
        <v>1723</v>
      </c>
      <c r="F3916" s="84">
        <v>341.0</v>
      </c>
      <c r="G3916" s="81" t="s">
        <v>40</v>
      </c>
      <c r="H3916" s="81" t="s">
        <v>5644</v>
      </c>
      <c r="I3916" s="81" t="s">
        <v>1725</v>
      </c>
      <c r="J3916" s="81" t="s">
        <v>224</v>
      </c>
    </row>
    <row r="3917" hidden="1">
      <c r="A3917" s="83" t="s">
        <v>6330</v>
      </c>
      <c r="B3917" s="83" t="s">
        <v>6331</v>
      </c>
      <c r="C3917" s="81" t="s">
        <v>4621</v>
      </c>
      <c r="D3917" s="83" t="s">
        <v>4400</v>
      </c>
      <c r="E3917" s="81" t="s">
        <v>1726</v>
      </c>
      <c r="F3917" s="84">
        <v>342.0</v>
      </c>
      <c r="G3917" s="81" t="s">
        <v>39</v>
      </c>
      <c r="H3917" s="81" t="s">
        <v>5645</v>
      </c>
      <c r="I3917" s="81" t="s">
        <v>1730</v>
      </c>
      <c r="J3917" s="81" t="s">
        <v>224</v>
      </c>
    </row>
    <row r="3918" hidden="1">
      <c r="A3918" s="83" t="s">
        <v>6330</v>
      </c>
      <c r="B3918" s="83" t="s">
        <v>6331</v>
      </c>
      <c r="C3918" s="81" t="s">
        <v>4621</v>
      </c>
      <c r="D3918" s="83" t="s">
        <v>4400</v>
      </c>
      <c r="E3918" s="81" t="s">
        <v>1726</v>
      </c>
      <c r="F3918" s="84">
        <v>342.0</v>
      </c>
      <c r="G3918" s="81" t="s">
        <v>40</v>
      </c>
      <c r="H3918" s="81" t="s">
        <v>5646</v>
      </c>
      <c r="I3918" s="81" t="s">
        <v>1731</v>
      </c>
      <c r="J3918" s="81" t="s">
        <v>224</v>
      </c>
    </row>
    <row r="3919" hidden="1">
      <c r="A3919" s="83" t="s">
        <v>6330</v>
      </c>
      <c r="B3919" s="83" t="s">
        <v>6331</v>
      </c>
      <c r="C3919" s="81" t="s">
        <v>4621</v>
      </c>
      <c r="D3919" s="83" t="s">
        <v>4401</v>
      </c>
      <c r="E3919" s="81" t="s">
        <v>1736</v>
      </c>
      <c r="F3919" s="84">
        <v>343.0</v>
      </c>
      <c r="G3919" s="81" t="s">
        <v>39</v>
      </c>
      <c r="H3919" s="81" t="s">
        <v>5647</v>
      </c>
      <c r="I3919" s="81" t="s">
        <v>1737</v>
      </c>
      <c r="J3919" s="81" t="s">
        <v>224</v>
      </c>
    </row>
    <row r="3920" hidden="1">
      <c r="A3920" s="83" t="s">
        <v>6330</v>
      </c>
      <c r="B3920" s="83" t="s">
        <v>6331</v>
      </c>
      <c r="C3920" s="81" t="s">
        <v>4621</v>
      </c>
      <c r="D3920" s="83" t="s">
        <v>4401</v>
      </c>
      <c r="E3920" s="81" t="s">
        <v>1736</v>
      </c>
      <c r="F3920" s="84">
        <v>343.0</v>
      </c>
      <c r="G3920" s="81" t="s">
        <v>40</v>
      </c>
      <c r="H3920" s="81" t="s">
        <v>5648</v>
      </c>
      <c r="I3920" s="81" t="s">
        <v>1738</v>
      </c>
      <c r="J3920" s="81" t="s">
        <v>224</v>
      </c>
    </row>
    <row r="3921" hidden="1">
      <c r="A3921" s="83" t="s">
        <v>6330</v>
      </c>
      <c r="B3921" s="83" t="s">
        <v>6331</v>
      </c>
      <c r="C3921" s="81" t="s">
        <v>4621</v>
      </c>
      <c r="D3921" s="83" t="s">
        <v>4402</v>
      </c>
      <c r="E3921" s="81" t="s">
        <v>1739</v>
      </c>
      <c r="F3921" s="84">
        <v>344.0</v>
      </c>
      <c r="G3921" s="81" t="s">
        <v>39</v>
      </c>
      <c r="H3921" s="81" t="s">
        <v>5649</v>
      </c>
      <c r="I3921" s="81" t="s">
        <v>1740</v>
      </c>
      <c r="J3921" s="81" t="s">
        <v>224</v>
      </c>
    </row>
    <row r="3922" hidden="1">
      <c r="A3922" s="83" t="s">
        <v>6330</v>
      </c>
      <c r="B3922" s="83" t="s">
        <v>6331</v>
      </c>
      <c r="C3922" s="81" t="s">
        <v>6333</v>
      </c>
      <c r="D3922" s="83" t="s">
        <v>4402</v>
      </c>
      <c r="E3922" s="81" t="s">
        <v>1739</v>
      </c>
      <c r="F3922" s="84">
        <v>344.0</v>
      </c>
      <c r="G3922" s="81" t="s">
        <v>40</v>
      </c>
      <c r="H3922" s="81" t="s">
        <v>5650</v>
      </c>
      <c r="I3922" s="81" t="s">
        <v>224</v>
      </c>
      <c r="J3922" s="81" t="s">
        <v>5143</v>
      </c>
    </row>
    <row r="3923" hidden="1">
      <c r="A3923" s="83" t="s">
        <v>6330</v>
      </c>
      <c r="B3923" s="83" t="s">
        <v>6331</v>
      </c>
      <c r="C3923" s="81" t="s">
        <v>4621</v>
      </c>
      <c r="D3923" s="83" t="s">
        <v>4402</v>
      </c>
      <c r="E3923" s="81" t="s">
        <v>1741</v>
      </c>
      <c r="F3923" s="84">
        <v>345.0</v>
      </c>
      <c r="G3923" s="81" t="s">
        <v>39</v>
      </c>
      <c r="H3923" s="81" t="s">
        <v>5649</v>
      </c>
      <c r="I3923" s="81" t="s">
        <v>1740</v>
      </c>
      <c r="J3923" s="81" t="s">
        <v>224</v>
      </c>
    </row>
    <row r="3924" hidden="1">
      <c r="A3924" s="83" t="s">
        <v>6330</v>
      </c>
      <c r="B3924" s="83" t="s">
        <v>6331</v>
      </c>
      <c r="C3924" s="81" t="s">
        <v>6333</v>
      </c>
      <c r="D3924" s="83" t="s">
        <v>4402</v>
      </c>
      <c r="E3924" s="81" t="s">
        <v>1741</v>
      </c>
      <c r="F3924" s="84">
        <v>345.0</v>
      </c>
      <c r="G3924" s="81" t="s">
        <v>40</v>
      </c>
      <c r="H3924" s="81" t="s">
        <v>5650</v>
      </c>
      <c r="I3924" s="81" t="s">
        <v>224</v>
      </c>
      <c r="J3924" s="81" t="s">
        <v>5143</v>
      </c>
    </row>
    <row r="3925" hidden="1">
      <c r="A3925" s="83" t="s">
        <v>6330</v>
      </c>
      <c r="B3925" s="83" t="s">
        <v>6331</v>
      </c>
      <c r="C3925" s="81" t="s">
        <v>4621</v>
      </c>
      <c r="D3925" s="83" t="s">
        <v>4403</v>
      </c>
      <c r="E3925" s="81" t="s">
        <v>1742</v>
      </c>
      <c r="F3925" s="84">
        <v>346.0</v>
      </c>
      <c r="G3925" s="81" t="s">
        <v>39</v>
      </c>
      <c r="H3925" s="81" t="s">
        <v>5651</v>
      </c>
      <c r="I3925" s="81" t="s">
        <v>1743</v>
      </c>
      <c r="J3925" s="81" t="s">
        <v>224</v>
      </c>
    </row>
    <row r="3926" hidden="1">
      <c r="A3926" s="83" t="s">
        <v>6330</v>
      </c>
      <c r="B3926" s="83" t="s">
        <v>6331</v>
      </c>
      <c r="C3926" s="81" t="s">
        <v>6333</v>
      </c>
      <c r="D3926" s="83" t="s">
        <v>4403</v>
      </c>
      <c r="E3926" s="81" t="s">
        <v>1742</v>
      </c>
      <c r="F3926" s="84">
        <v>346.0</v>
      </c>
      <c r="G3926" s="81" t="s">
        <v>40</v>
      </c>
      <c r="H3926" s="81" t="s">
        <v>5652</v>
      </c>
      <c r="I3926" s="81" t="s">
        <v>224</v>
      </c>
      <c r="J3926" s="81" t="s">
        <v>5143</v>
      </c>
    </row>
    <row r="3927" hidden="1">
      <c r="A3927" s="83" t="s">
        <v>6330</v>
      </c>
      <c r="B3927" s="83" t="s">
        <v>6331</v>
      </c>
      <c r="C3927" s="81" t="s">
        <v>4621</v>
      </c>
      <c r="D3927" s="83" t="s">
        <v>4404</v>
      </c>
      <c r="E3927" s="81" t="s">
        <v>1744</v>
      </c>
      <c r="F3927" s="84">
        <v>347.0</v>
      </c>
      <c r="G3927" s="81" t="s">
        <v>39</v>
      </c>
      <c r="H3927" s="81" t="s">
        <v>5653</v>
      </c>
      <c r="I3927" s="81" t="s">
        <v>1747</v>
      </c>
      <c r="J3927" s="81" t="s">
        <v>224</v>
      </c>
    </row>
    <row r="3928" hidden="1">
      <c r="A3928" s="83" t="s">
        <v>6330</v>
      </c>
      <c r="B3928" s="83" t="s">
        <v>6331</v>
      </c>
      <c r="C3928" s="81" t="s">
        <v>4621</v>
      </c>
      <c r="D3928" s="83" t="s">
        <v>4404</v>
      </c>
      <c r="E3928" s="81" t="s">
        <v>1744</v>
      </c>
      <c r="F3928" s="84">
        <v>347.0</v>
      </c>
      <c r="G3928" s="81" t="s">
        <v>40</v>
      </c>
      <c r="H3928" s="81" t="s">
        <v>5654</v>
      </c>
      <c r="I3928" s="81" t="s">
        <v>1748</v>
      </c>
      <c r="J3928" s="81" t="s">
        <v>224</v>
      </c>
    </row>
    <row r="3929" hidden="1">
      <c r="A3929" s="83" t="s">
        <v>6330</v>
      </c>
      <c r="B3929" s="83" t="s">
        <v>6331</v>
      </c>
      <c r="C3929" s="81" t="s">
        <v>4621</v>
      </c>
      <c r="D3929" s="83" t="s">
        <v>4405</v>
      </c>
      <c r="E3929" s="81" t="s">
        <v>1753</v>
      </c>
      <c r="F3929" s="84">
        <v>348.0</v>
      </c>
      <c r="G3929" s="81" t="s">
        <v>39</v>
      </c>
      <c r="H3929" s="81" t="s">
        <v>5655</v>
      </c>
      <c r="I3929" s="81" t="s">
        <v>1754</v>
      </c>
      <c r="J3929" s="81" t="s">
        <v>224</v>
      </c>
    </row>
    <row r="3930" hidden="1">
      <c r="A3930" s="83" t="s">
        <v>6330</v>
      </c>
      <c r="B3930" s="83" t="s">
        <v>6331</v>
      </c>
      <c r="C3930" s="81" t="s">
        <v>4621</v>
      </c>
      <c r="D3930" s="83" t="s">
        <v>4405</v>
      </c>
      <c r="E3930" s="81" t="s">
        <v>1753</v>
      </c>
      <c r="F3930" s="84">
        <v>348.0</v>
      </c>
      <c r="G3930" s="81" t="s">
        <v>40</v>
      </c>
      <c r="H3930" s="81" t="s">
        <v>5656</v>
      </c>
      <c r="I3930" s="81" t="s">
        <v>1755</v>
      </c>
      <c r="J3930" s="81" t="s">
        <v>224</v>
      </c>
    </row>
    <row r="3931" hidden="1">
      <c r="A3931" s="83" t="s">
        <v>6330</v>
      </c>
      <c r="B3931" s="83" t="s">
        <v>6331</v>
      </c>
      <c r="C3931" s="81" t="s">
        <v>4621</v>
      </c>
      <c r="D3931" s="83" t="s">
        <v>4406</v>
      </c>
      <c r="E3931" s="81" t="s">
        <v>1756</v>
      </c>
      <c r="F3931" s="84">
        <v>349.0</v>
      </c>
      <c r="G3931" s="81" t="s">
        <v>39</v>
      </c>
      <c r="H3931" s="81" t="s">
        <v>5657</v>
      </c>
      <c r="I3931" s="81" t="s">
        <v>1758</v>
      </c>
      <c r="J3931" s="81" t="s">
        <v>224</v>
      </c>
    </row>
    <row r="3932" hidden="1">
      <c r="A3932" s="83" t="s">
        <v>6330</v>
      </c>
      <c r="B3932" s="83" t="s">
        <v>6331</v>
      </c>
      <c r="C3932" s="81" t="s">
        <v>4621</v>
      </c>
      <c r="D3932" s="83" t="s">
        <v>4406</v>
      </c>
      <c r="E3932" s="81" t="s">
        <v>1756</v>
      </c>
      <c r="F3932" s="84">
        <v>349.0</v>
      </c>
      <c r="G3932" s="81" t="s">
        <v>40</v>
      </c>
      <c r="H3932" s="81" t="s">
        <v>5658</v>
      </c>
      <c r="I3932" s="81" t="s">
        <v>1759</v>
      </c>
      <c r="J3932" s="81" t="s">
        <v>224</v>
      </c>
    </row>
    <row r="3933" hidden="1">
      <c r="A3933" s="83" t="s">
        <v>6330</v>
      </c>
      <c r="B3933" s="83" t="s">
        <v>6331</v>
      </c>
      <c r="C3933" s="81" t="s">
        <v>4621</v>
      </c>
      <c r="D3933" s="83" t="s">
        <v>4406</v>
      </c>
      <c r="E3933" s="81" t="s">
        <v>1760</v>
      </c>
      <c r="F3933" s="84">
        <v>350.0</v>
      </c>
      <c r="G3933" s="81" t="s">
        <v>39</v>
      </c>
      <c r="H3933" s="81" t="s">
        <v>5659</v>
      </c>
      <c r="I3933" s="81" t="s">
        <v>1758</v>
      </c>
      <c r="J3933" s="81" t="s">
        <v>224</v>
      </c>
    </row>
    <row r="3934" hidden="1">
      <c r="A3934" s="83" t="s">
        <v>6330</v>
      </c>
      <c r="B3934" s="83" t="s">
        <v>6331</v>
      </c>
      <c r="C3934" s="81" t="s">
        <v>4621</v>
      </c>
      <c r="D3934" s="83" t="s">
        <v>4406</v>
      </c>
      <c r="E3934" s="81" t="s">
        <v>1760</v>
      </c>
      <c r="F3934" s="84">
        <v>350.0</v>
      </c>
      <c r="G3934" s="81" t="s">
        <v>40</v>
      </c>
      <c r="H3934" s="81" t="s">
        <v>5658</v>
      </c>
      <c r="I3934" s="81" t="s">
        <v>1759</v>
      </c>
      <c r="J3934" s="81" t="s">
        <v>224</v>
      </c>
    </row>
    <row r="3935" hidden="1">
      <c r="A3935" s="83" t="s">
        <v>6330</v>
      </c>
      <c r="B3935" s="83" t="s">
        <v>6331</v>
      </c>
      <c r="C3935" s="81" t="s">
        <v>4621</v>
      </c>
      <c r="D3935" s="83" t="s">
        <v>4407</v>
      </c>
      <c r="E3935" s="81" t="s">
        <v>1762</v>
      </c>
      <c r="F3935" s="84">
        <v>351.0</v>
      </c>
      <c r="G3935" s="81" t="s">
        <v>39</v>
      </c>
      <c r="H3935" s="81" t="s">
        <v>5660</v>
      </c>
      <c r="I3935" s="81" t="s">
        <v>1763</v>
      </c>
      <c r="J3935" s="81" t="s">
        <v>224</v>
      </c>
    </row>
    <row r="3936" hidden="1">
      <c r="A3936" s="83" t="s">
        <v>6330</v>
      </c>
      <c r="B3936" s="83" t="s">
        <v>6331</v>
      </c>
      <c r="C3936" s="81" t="s">
        <v>4621</v>
      </c>
      <c r="D3936" s="83" t="s">
        <v>4407</v>
      </c>
      <c r="E3936" s="81" t="s">
        <v>1762</v>
      </c>
      <c r="F3936" s="84">
        <v>351.0</v>
      </c>
      <c r="G3936" s="81" t="s">
        <v>40</v>
      </c>
      <c r="H3936" s="81" t="s">
        <v>5661</v>
      </c>
      <c r="I3936" s="81" t="s">
        <v>1764</v>
      </c>
      <c r="J3936" s="81" t="s">
        <v>224</v>
      </c>
    </row>
    <row r="3937" hidden="1">
      <c r="A3937" s="83" t="s">
        <v>6330</v>
      </c>
      <c r="B3937" s="83" t="s">
        <v>6331</v>
      </c>
      <c r="C3937" s="81" t="s">
        <v>4621</v>
      </c>
      <c r="D3937" s="83" t="s">
        <v>4408</v>
      </c>
      <c r="E3937" s="81" t="s">
        <v>1765</v>
      </c>
      <c r="F3937" s="84">
        <v>352.0</v>
      </c>
      <c r="G3937" s="81" t="s">
        <v>39</v>
      </c>
      <c r="H3937" s="81" t="s">
        <v>5662</v>
      </c>
      <c r="I3937" s="81" t="s">
        <v>1767</v>
      </c>
      <c r="J3937" s="81" t="s">
        <v>224</v>
      </c>
    </row>
    <row r="3938" hidden="1">
      <c r="A3938" s="83" t="s">
        <v>6330</v>
      </c>
      <c r="B3938" s="83" t="s">
        <v>6331</v>
      </c>
      <c r="C3938" s="81" t="s">
        <v>4621</v>
      </c>
      <c r="D3938" s="83" t="s">
        <v>4408</v>
      </c>
      <c r="E3938" s="81" t="s">
        <v>1765</v>
      </c>
      <c r="F3938" s="84">
        <v>352.0</v>
      </c>
      <c r="G3938" s="81" t="s">
        <v>40</v>
      </c>
      <c r="H3938" s="81" t="s">
        <v>5663</v>
      </c>
      <c r="I3938" s="81" t="s">
        <v>1768</v>
      </c>
      <c r="J3938" s="81" t="s">
        <v>224</v>
      </c>
    </row>
    <row r="3939" hidden="1">
      <c r="A3939" s="83" t="s">
        <v>6330</v>
      </c>
      <c r="B3939" s="83" t="s">
        <v>6331</v>
      </c>
      <c r="C3939" s="81" t="s">
        <v>4621</v>
      </c>
      <c r="D3939" s="83" t="s">
        <v>4408</v>
      </c>
      <c r="E3939" s="81" t="s">
        <v>1770</v>
      </c>
      <c r="F3939" s="84">
        <v>353.0</v>
      </c>
      <c r="G3939" s="81" t="s">
        <v>39</v>
      </c>
      <c r="H3939" s="81" t="s">
        <v>5662</v>
      </c>
      <c r="I3939" s="81" t="s">
        <v>1767</v>
      </c>
      <c r="J3939" s="81" t="s">
        <v>224</v>
      </c>
    </row>
    <row r="3940" hidden="1">
      <c r="A3940" s="83" t="s">
        <v>6330</v>
      </c>
      <c r="B3940" s="83" t="s">
        <v>6331</v>
      </c>
      <c r="C3940" s="81" t="s">
        <v>4621</v>
      </c>
      <c r="D3940" s="83" t="s">
        <v>4408</v>
      </c>
      <c r="E3940" s="81" t="s">
        <v>1770</v>
      </c>
      <c r="F3940" s="84">
        <v>353.0</v>
      </c>
      <c r="G3940" s="81" t="s">
        <v>40</v>
      </c>
      <c r="H3940" s="81" t="s">
        <v>5663</v>
      </c>
      <c r="I3940" s="81" t="s">
        <v>1768</v>
      </c>
      <c r="J3940" s="81" t="s">
        <v>224</v>
      </c>
    </row>
    <row r="3941" hidden="1">
      <c r="A3941" s="83" t="s">
        <v>6330</v>
      </c>
      <c r="B3941" s="83" t="s">
        <v>6331</v>
      </c>
      <c r="C3941" s="81" t="s">
        <v>4621</v>
      </c>
      <c r="D3941" s="83" t="s">
        <v>4410</v>
      </c>
      <c r="E3941" s="81" t="s">
        <v>1772</v>
      </c>
      <c r="F3941" s="84">
        <v>354.0</v>
      </c>
      <c r="G3941" s="81" t="s">
        <v>39</v>
      </c>
      <c r="H3941" s="81" t="s">
        <v>5664</v>
      </c>
      <c r="I3941" s="81" t="s">
        <v>1773</v>
      </c>
      <c r="J3941" s="81" t="s">
        <v>224</v>
      </c>
    </row>
    <row r="3942" hidden="1">
      <c r="A3942" s="83" t="s">
        <v>6330</v>
      </c>
      <c r="B3942" s="83" t="s">
        <v>6331</v>
      </c>
      <c r="C3942" s="81" t="s">
        <v>4621</v>
      </c>
      <c r="D3942" s="83" t="s">
        <v>4410</v>
      </c>
      <c r="E3942" s="81" t="s">
        <v>1772</v>
      </c>
      <c r="F3942" s="84">
        <v>354.0</v>
      </c>
      <c r="G3942" s="81" t="s">
        <v>40</v>
      </c>
      <c r="H3942" s="81" t="s">
        <v>5665</v>
      </c>
      <c r="I3942" s="81" t="s">
        <v>1774</v>
      </c>
      <c r="J3942" s="81" t="s">
        <v>224</v>
      </c>
    </row>
    <row r="3943" hidden="1">
      <c r="A3943" s="83" t="s">
        <v>6330</v>
      </c>
      <c r="B3943" s="83" t="s">
        <v>6331</v>
      </c>
      <c r="C3943" s="81" t="s">
        <v>4621</v>
      </c>
      <c r="D3943" s="83" t="s">
        <v>4411</v>
      </c>
      <c r="E3943" s="81" t="s">
        <v>1775</v>
      </c>
      <c r="F3943" s="84">
        <v>355.0</v>
      </c>
      <c r="G3943" s="81" t="s">
        <v>39</v>
      </c>
      <c r="H3943" s="81" t="s">
        <v>5666</v>
      </c>
      <c r="I3943" s="81" t="s">
        <v>1782</v>
      </c>
      <c r="J3943" s="81" t="s">
        <v>224</v>
      </c>
    </row>
    <row r="3944" hidden="1">
      <c r="A3944" s="83" t="s">
        <v>6330</v>
      </c>
      <c r="B3944" s="83" t="s">
        <v>6331</v>
      </c>
      <c r="C3944" s="81" t="s">
        <v>4621</v>
      </c>
      <c r="D3944" s="83" t="s">
        <v>4411</v>
      </c>
      <c r="E3944" s="81" t="s">
        <v>1775</v>
      </c>
      <c r="F3944" s="84">
        <v>355.0</v>
      </c>
      <c r="G3944" s="81" t="s">
        <v>40</v>
      </c>
      <c r="H3944" s="81" t="s">
        <v>5667</v>
      </c>
      <c r="I3944" s="81" t="s">
        <v>1783</v>
      </c>
      <c r="J3944" s="81" t="s">
        <v>224</v>
      </c>
    </row>
    <row r="3945" hidden="1">
      <c r="A3945" s="83" t="s">
        <v>6330</v>
      </c>
      <c r="B3945" s="83" t="s">
        <v>6331</v>
      </c>
      <c r="C3945" s="81" t="s">
        <v>4621</v>
      </c>
      <c r="D3945" s="83" t="s">
        <v>4411</v>
      </c>
      <c r="E3945" s="81" t="s">
        <v>1789</v>
      </c>
      <c r="F3945" s="84">
        <v>356.0</v>
      </c>
      <c r="G3945" s="81" t="s">
        <v>40</v>
      </c>
      <c r="H3945" s="81" t="s">
        <v>5668</v>
      </c>
      <c r="I3945" s="81" t="s">
        <v>1783</v>
      </c>
      <c r="J3945" s="81" t="s">
        <v>224</v>
      </c>
    </row>
    <row r="3946" hidden="1">
      <c r="A3946" s="83" t="s">
        <v>6330</v>
      </c>
      <c r="B3946" s="83" t="s">
        <v>6331</v>
      </c>
      <c r="C3946" s="81" t="s">
        <v>4621</v>
      </c>
      <c r="D3946" s="83" t="s">
        <v>4412</v>
      </c>
      <c r="E3946" s="81" t="s">
        <v>1790</v>
      </c>
      <c r="F3946" s="84">
        <v>357.0</v>
      </c>
      <c r="G3946" s="81" t="s">
        <v>39</v>
      </c>
      <c r="H3946" s="81" t="s">
        <v>5669</v>
      </c>
      <c r="I3946" s="81" t="s">
        <v>1792</v>
      </c>
      <c r="J3946" s="81" t="s">
        <v>224</v>
      </c>
    </row>
    <row r="3947" hidden="1">
      <c r="A3947" s="83" t="s">
        <v>6330</v>
      </c>
      <c r="B3947" s="83" t="s">
        <v>6331</v>
      </c>
      <c r="C3947" s="81" t="s">
        <v>4621</v>
      </c>
      <c r="D3947" s="83" t="s">
        <v>4412</v>
      </c>
      <c r="E3947" s="81" t="s">
        <v>1790</v>
      </c>
      <c r="F3947" s="84">
        <v>357.0</v>
      </c>
      <c r="G3947" s="81" t="s">
        <v>40</v>
      </c>
      <c r="H3947" s="81" t="s">
        <v>5670</v>
      </c>
      <c r="I3947" s="81" t="s">
        <v>1793</v>
      </c>
      <c r="J3947" s="81" t="s">
        <v>224</v>
      </c>
    </row>
    <row r="3948" hidden="1">
      <c r="A3948" s="83" t="s">
        <v>6330</v>
      </c>
      <c r="B3948" s="83" t="s">
        <v>6331</v>
      </c>
      <c r="C3948" s="81" t="s">
        <v>4621</v>
      </c>
      <c r="D3948" s="83" t="s">
        <v>4413</v>
      </c>
      <c r="E3948" s="81" t="s">
        <v>1794</v>
      </c>
      <c r="F3948" s="84">
        <v>358.0</v>
      </c>
      <c r="G3948" s="81" t="s">
        <v>39</v>
      </c>
      <c r="H3948" s="81" t="s">
        <v>5671</v>
      </c>
      <c r="I3948" s="81" t="s">
        <v>1801</v>
      </c>
      <c r="J3948" s="81" t="s">
        <v>224</v>
      </c>
    </row>
    <row r="3949" hidden="1">
      <c r="A3949" s="83" t="s">
        <v>6330</v>
      </c>
      <c r="B3949" s="83" t="s">
        <v>6331</v>
      </c>
      <c r="C3949" s="81" t="s">
        <v>4621</v>
      </c>
      <c r="D3949" s="83" t="s">
        <v>4413</v>
      </c>
      <c r="E3949" s="81" t="s">
        <v>1794</v>
      </c>
      <c r="F3949" s="84">
        <v>358.0</v>
      </c>
      <c r="G3949" s="81" t="s">
        <v>40</v>
      </c>
      <c r="H3949" s="81" t="s">
        <v>5672</v>
      </c>
      <c r="I3949" s="81" t="s">
        <v>5673</v>
      </c>
      <c r="J3949" s="81" t="s">
        <v>224</v>
      </c>
    </row>
    <row r="3950" hidden="1">
      <c r="A3950" s="83" t="s">
        <v>6330</v>
      </c>
      <c r="B3950" s="83" t="s">
        <v>6331</v>
      </c>
      <c r="C3950" s="81" t="s">
        <v>4621</v>
      </c>
      <c r="D3950" s="83" t="s">
        <v>4413</v>
      </c>
      <c r="E3950" s="81" t="s">
        <v>1808</v>
      </c>
      <c r="F3950" s="84">
        <v>359.0</v>
      </c>
      <c r="G3950" s="81" t="s">
        <v>39</v>
      </c>
      <c r="H3950" s="81" t="s">
        <v>5671</v>
      </c>
      <c r="I3950" s="81" t="s">
        <v>1801</v>
      </c>
      <c r="J3950" s="81" t="s">
        <v>224</v>
      </c>
    </row>
    <row r="3951" hidden="1">
      <c r="A3951" s="83" t="s">
        <v>6330</v>
      </c>
      <c r="B3951" s="83" t="s">
        <v>6331</v>
      </c>
      <c r="C3951" s="81" t="s">
        <v>4621</v>
      </c>
      <c r="D3951" s="83" t="s">
        <v>4413</v>
      </c>
      <c r="E3951" s="81" t="s">
        <v>1808</v>
      </c>
      <c r="F3951" s="84">
        <v>359.0</v>
      </c>
      <c r="G3951" s="81" t="s">
        <v>40</v>
      </c>
      <c r="H3951" s="81" t="s">
        <v>5672</v>
      </c>
      <c r="I3951" s="81" t="s">
        <v>5673</v>
      </c>
      <c r="J3951" s="81" t="s">
        <v>224</v>
      </c>
    </row>
    <row r="3952" hidden="1">
      <c r="A3952" s="83" t="s">
        <v>6330</v>
      </c>
      <c r="B3952" s="83" t="s">
        <v>6331</v>
      </c>
      <c r="C3952" s="81" t="s">
        <v>4621</v>
      </c>
      <c r="D3952" s="83" t="s">
        <v>4414</v>
      </c>
      <c r="E3952" s="81" t="s">
        <v>1810</v>
      </c>
      <c r="F3952" s="84">
        <v>360.0</v>
      </c>
      <c r="G3952" s="81" t="s">
        <v>39</v>
      </c>
      <c r="H3952" s="81" t="s">
        <v>5674</v>
      </c>
      <c r="I3952" s="81" t="s">
        <v>1811</v>
      </c>
      <c r="J3952" s="81" t="s">
        <v>224</v>
      </c>
    </row>
    <row r="3953" hidden="1">
      <c r="A3953" s="83" t="s">
        <v>6330</v>
      </c>
      <c r="B3953" s="83" t="s">
        <v>6331</v>
      </c>
      <c r="C3953" s="81" t="s">
        <v>4621</v>
      </c>
      <c r="D3953" s="83" t="s">
        <v>4414</v>
      </c>
      <c r="E3953" s="81" t="s">
        <v>1810</v>
      </c>
      <c r="F3953" s="84">
        <v>360.0</v>
      </c>
      <c r="G3953" s="81" t="s">
        <v>40</v>
      </c>
      <c r="H3953" s="81" t="s">
        <v>5675</v>
      </c>
      <c r="I3953" s="81" t="s">
        <v>1812</v>
      </c>
      <c r="J3953" s="81" t="s">
        <v>224</v>
      </c>
    </row>
    <row r="3954" hidden="1">
      <c r="A3954" s="83" t="s">
        <v>6330</v>
      </c>
      <c r="B3954" s="83" t="s">
        <v>6331</v>
      </c>
      <c r="C3954" s="81" t="s">
        <v>4621</v>
      </c>
      <c r="D3954" s="83" t="s">
        <v>4415</v>
      </c>
      <c r="E3954" s="81" t="s">
        <v>1813</v>
      </c>
      <c r="F3954" s="84">
        <v>361.0</v>
      </c>
      <c r="G3954" s="81" t="s">
        <v>39</v>
      </c>
      <c r="H3954" s="81" t="s">
        <v>5676</v>
      </c>
      <c r="I3954" s="81" t="s">
        <v>1816</v>
      </c>
      <c r="J3954" s="81" t="s">
        <v>224</v>
      </c>
    </row>
    <row r="3955" hidden="1">
      <c r="A3955" s="83" t="s">
        <v>6330</v>
      </c>
      <c r="B3955" s="83" t="s">
        <v>6331</v>
      </c>
      <c r="C3955" s="81" t="s">
        <v>4621</v>
      </c>
      <c r="D3955" s="83" t="s">
        <v>4415</v>
      </c>
      <c r="E3955" s="81" t="s">
        <v>1813</v>
      </c>
      <c r="F3955" s="84">
        <v>361.0</v>
      </c>
      <c r="G3955" s="81" t="s">
        <v>40</v>
      </c>
      <c r="H3955" s="81" t="s">
        <v>5677</v>
      </c>
      <c r="I3955" s="81" t="s">
        <v>5678</v>
      </c>
      <c r="J3955" s="81" t="s">
        <v>224</v>
      </c>
    </row>
    <row r="3956" hidden="1">
      <c r="A3956" s="83" t="s">
        <v>6330</v>
      </c>
      <c r="B3956" s="83" t="s">
        <v>6331</v>
      </c>
      <c r="C3956" s="81" t="s">
        <v>4621</v>
      </c>
      <c r="D3956" s="83" t="s">
        <v>4416</v>
      </c>
      <c r="E3956" s="81" t="s">
        <v>1822</v>
      </c>
      <c r="F3956" s="84">
        <v>362.0</v>
      </c>
      <c r="G3956" s="81" t="s">
        <v>39</v>
      </c>
      <c r="H3956" s="81" t="s">
        <v>5679</v>
      </c>
      <c r="I3956" s="81" t="s">
        <v>1823</v>
      </c>
      <c r="J3956" s="81" t="s">
        <v>224</v>
      </c>
    </row>
    <row r="3957" hidden="1">
      <c r="A3957" s="83" t="s">
        <v>6330</v>
      </c>
      <c r="B3957" s="83" t="s">
        <v>6331</v>
      </c>
      <c r="C3957" s="81" t="s">
        <v>4621</v>
      </c>
      <c r="D3957" s="83" t="s">
        <v>4416</v>
      </c>
      <c r="E3957" s="81" t="s">
        <v>1822</v>
      </c>
      <c r="F3957" s="84">
        <v>362.0</v>
      </c>
      <c r="G3957" s="81" t="s">
        <v>40</v>
      </c>
      <c r="H3957" s="81" t="s">
        <v>5680</v>
      </c>
      <c r="I3957" s="81" t="s">
        <v>1824</v>
      </c>
      <c r="J3957" s="81" t="s">
        <v>224</v>
      </c>
    </row>
    <row r="3958" hidden="1">
      <c r="A3958" s="83" t="s">
        <v>6330</v>
      </c>
      <c r="B3958" s="83" t="s">
        <v>6331</v>
      </c>
      <c r="C3958" s="81" t="s">
        <v>4621</v>
      </c>
      <c r="D3958" s="83" t="s">
        <v>4417</v>
      </c>
      <c r="E3958" s="81" t="s">
        <v>1825</v>
      </c>
      <c r="F3958" s="84">
        <v>363.0</v>
      </c>
      <c r="G3958" s="81" t="s">
        <v>39</v>
      </c>
      <c r="H3958" s="81" t="s">
        <v>5682</v>
      </c>
      <c r="I3958" s="81" t="s">
        <v>6321</v>
      </c>
      <c r="J3958" s="81" t="s">
        <v>224</v>
      </c>
    </row>
    <row r="3959" hidden="1">
      <c r="A3959" s="83" t="s">
        <v>6330</v>
      </c>
      <c r="B3959" s="83" t="s">
        <v>6331</v>
      </c>
      <c r="C3959" s="81" t="s">
        <v>4621</v>
      </c>
      <c r="D3959" s="83" t="s">
        <v>4417</v>
      </c>
      <c r="E3959" s="81" t="s">
        <v>1825</v>
      </c>
      <c r="F3959" s="84">
        <v>363.0</v>
      </c>
      <c r="G3959" s="81" t="s">
        <v>40</v>
      </c>
      <c r="H3959" s="81" t="s">
        <v>5683</v>
      </c>
      <c r="I3959" s="81" t="s">
        <v>6322</v>
      </c>
      <c r="J3959" s="81" t="s">
        <v>224</v>
      </c>
    </row>
    <row r="3960" hidden="1">
      <c r="A3960" s="83" t="s">
        <v>6330</v>
      </c>
      <c r="B3960" s="83" t="s">
        <v>6331</v>
      </c>
      <c r="C3960" s="81" t="s">
        <v>4621</v>
      </c>
      <c r="D3960" s="83" t="s">
        <v>4417</v>
      </c>
      <c r="E3960" s="81" t="s">
        <v>1842</v>
      </c>
      <c r="F3960" s="84">
        <v>364.0</v>
      </c>
      <c r="G3960" s="81" t="s">
        <v>39</v>
      </c>
      <c r="H3960" s="81" t="s">
        <v>5685</v>
      </c>
      <c r="I3960" s="81" t="s">
        <v>6321</v>
      </c>
      <c r="J3960" s="81" t="s">
        <v>224</v>
      </c>
    </row>
    <row r="3961" hidden="1">
      <c r="A3961" s="83" t="s">
        <v>6330</v>
      </c>
      <c r="B3961" s="83" t="s">
        <v>6331</v>
      </c>
      <c r="C3961" s="81" t="s">
        <v>4621</v>
      </c>
      <c r="D3961" s="83" t="s">
        <v>4417</v>
      </c>
      <c r="E3961" s="81" t="s">
        <v>1842</v>
      </c>
      <c r="F3961" s="84">
        <v>364.0</v>
      </c>
      <c r="G3961" s="81" t="s">
        <v>40</v>
      </c>
      <c r="H3961" s="81" t="s">
        <v>5686</v>
      </c>
      <c r="I3961" s="81" t="s">
        <v>6322</v>
      </c>
      <c r="J3961" s="81" t="s">
        <v>224</v>
      </c>
    </row>
    <row r="3962" hidden="1">
      <c r="A3962" s="83" t="s">
        <v>6330</v>
      </c>
      <c r="B3962" s="83" t="s">
        <v>6331</v>
      </c>
      <c r="C3962" s="81" t="s">
        <v>4621</v>
      </c>
      <c r="D3962" s="83" t="s">
        <v>4419</v>
      </c>
      <c r="E3962" s="81" t="s">
        <v>1843</v>
      </c>
      <c r="F3962" s="84">
        <v>365.0</v>
      </c>
      <c r="G3962" s="81" t="s">
        <v>39</v>
      </c>
      <c r="H3962" s="81" t="s">
        <v>5687</v>
      </c>
      <c r="I3962" s="81" t="s">
        <v>6321</v>
      </c>
      <c r="J3962" s="81" t="s">
        <v>224</v>
      </c>
    </row>
    <row r="3963" hidden="1">
      <c r="A3963" s="83" t="s">
        <v>6330</v>
      </c>
      <c r="B3963" s="83" t="s">
        <v>6331</v>
      </c>
      <c r="C3963" s="81" t="s">
        <v>4621</v>
      </c>
      <c r="D3963" s="83" t="s">
        <v>4419</v>
      </c>
      <c r="E3963" s="81" t="s">
        <v>1843</v>
      </c>
      <c r="F3963" s="84">
        <v>365.0</v>
      </c>
      <c r="G3963" s="81" t="s">
        <v>40</v>
      </c>
      <c r="H3963" s="81" t="s">
        <v>5688</v>
      </c>
      <c r="I3963" s="81" t="s">
        <v>6322</v>
      </c>
      <c r="J3963" s="81" t="s">
        <v>224</v>
      </c>
    </row>
    <row r="3964" hidden="1">
      <c r="A3964" s="83" t="s">
        <v>6330</v>
      </c>
      <c r="B3964" s="83" t="s">
        <v>6331</v>
      </c>
      <c r="C3964" s="81" t="s">
        <v>4621</v>
      </c>
      <c r="D3964" s="83" t="s">
        <v>4420</v>
      </c>
      <c r="E3964" s="81" t="s">
        <v>1844</v>
      </c>
      <c r="F3964" s="84">
        <v>366.0</v>
      </c>
      <c r="G3964" s="81" t="s">
        <v>39</v>
      </c>
      <c r="H3964" s="81" t="s">
        <v>5689</v>
      </c>
      <c r="I3964" s="81" t="s">
        <v>6321</v>
      </c>
      <c r="J3964" s="81" t="s">
        <v>224</v>
      </c>
    </row>
    <row r="3965" hidden="1">
      <c r="A3965" s="83" t="s">
        <v>6330</v>
      </c>
      <c r="B3965" s="83" t="s">
        <v>6331</v>
      </c>
      <c r="C3965" s="81" t="s">
        <v>4621</v>
      </c>
      <c r="D3965" s="83" t="s">
        <v>4420</v>
      </c>
      <c r="E3965" s="81" t="s">
        <v>1844</v>
      </c>
      <c r="F3965" s="84">
        <v>366.0</v>
      </c>
      <c r="G3965" s="81" t="s">
        <v>40</v>
      </c>
      <c r="H3965" s="81" t="s">
        <v>5690</v>
      </c>
      <c r="I3965" s="81" t="s">
        <v>6322</v>
      </c>
      <c r="J3965" s="81" t="s">
        <v>224</v>
      </c>
    </row>
    <row r="3966" hidden="1">
      <c r="A3966" s="83" t="s">
        <v>6330</v>
      </c>
      <c r="B3966" s="83" t="s">
        <v>6331</v>
      </c>
      <c r="C3966" s="81" t="s">
        <v>4621</v>
      </c>
      <c r="D3966" s="83" t="s">
        <v>4421</v>
      </c>
      <c r="E3966" s="81" t="s">
        <v>1848</v>
      </c>
      <c r="F3966" s="84">
        <v>367.0</v>
      </c>
      <c r="G3966" s="81" t="s">
        <v>39</v>
      </c>
      <c r="H3966" s="81" t="s">
        <v>5691</v>
      </c>
      <c r="I3966" s="81" t="s">
        <v>6321</v>
      </c>
      <c r="J3966" s="81" t="s">
        <v>224</v>
      </c>
    </row>
    <row r="3967" hidden="1">
      <c r="A3967" s="83" t="s">
        <v>6330</v>
      </c>
      <c r="B3967" s="83" t="s">
        <v>6331</v>
      </c>
      <c r="C3967" s="81" t="s">
        <v>4621</v>
      </c>
      <c r="D3967" s="83" t="s">
        <v>4421</v>
      </c>
      <c r="E3967" s="81" t="s">
        <v>1848</v>
      </c>
      <c r="F3967" s="84">
        <v>367.0</v>
      </c>
      <c r="G3967" s="81" t="s">
        <v>40</v>
      </c>
      <c r="H3967" s="81" t="s">
        <v>5692</v>
      </c>
      <c r="I3967" s="81" t="s">
        <v>6322</v>
      </c>
      <c r="J3967" s="81" t="s">
        <v>224</v>
      </c>
    </row>
    <row r="3968" hidden="1">
      <c r="A3968" s="83" t="s">
        <v>6330</v>
      </c>
      <c r="B3968" s="83" t="s">
        <v>6331</v>
      </c>
      <c r="C3968" s="81" t="s">
        <v>4621</v>
      </c>
      <c r="D3968" s="83" t="s">
        <v>4422</v>
      </c>
      <c r="E3968" s="81" t="s">
        <v>1849</v>
      </c>
      <c r="F3968" s="84">
        <v>368.0</v>
      </c>
      <c r="G3968" s="81" t="s">
        <v>39</v>
      </c>
      <c r="H3968" s="81" t="s">
        <v>5694</v>
      </c>
      <c r="I3968" s="81" t="s">
        <v>6323</v>
      </c>
      <c r="J3968" s="81" t="s">
        <v>224</v>
      </c>
    </row>
    <row r="3969" hidden="1">
      <c r="A3969" s="83" t="s">
        <v>6330</v>
      </c>
      <c r="B3969" s="83" t="s">
        <v>6331</v>
      </c>
      <c r="C3969" s="81" t="s">
        <v>4621</v>
      </c>
      <c r="D3969" s="83" t="s">
        <v>4422</v>
      </c>
      <c r="E3969" s="81" t="s">
        <v>1849</v>
      </c>
      <c r="F3969" s="84">
        <v>368.0</v>
      </c>
      <c r="G3969" s="81" t="s">
        <v>40</v>
      </c>
      <c r="H3969" s="81" t="s">
        <v>5695</v>
      </c>
      <c r="I3969" s="81" t="s">
        <v>6324</v>
      </c>
      <c r="J3969" s="81" t="s">
        <v>224</v>
      </c>
    </row>
    <row r="3970" hidden="1">
      <c r="A3970" s="83" t="s">
        <v>6330</v>
      </c>
      <c r="B3970" s="83" t="s">
        <v>6331</v>
      </c>
      <c r="C3970" s="81" t="s">
        <v>4621</v>
      </c>
      <c r="D3970" s="83" t="s">
        <v>4423</v>
      </c>
      <c r="E3970" s="81" t="s">
        <v>1860</v>
      </c>
      <c r="F3970" s="84">
        <v>369.0</v>
      </c>
      <c r="G3970" s="81" t="s">
        <v>39</v>
      </c>
      <c r="H3970" s="81" t="s">
        <v>5697</v>
      </c>
      <c r="I3970" s="81" t="s">
        <v>6323</v>
      </c>
      <c r="J3970" s="81" t="s">
        <v>224</v>
      </c>
    </row>
    <row r="3971" hidden="1">
      <c r="A3971" s="83" t="s">
        <v>6330</v>
      </c>
      <c r="B3971" s="83" t="s">
        <v>6331</v>
      </c>
      <c r="C3971" s="81" t="s">
        <v>4621</v>
      </c>
      <c r="D3971" s="83" t="s">
        <v>4423</v>
      </c>
      <c r="E3971" s="81" t="s">
        <v>1860</v>
      </c>
      <c r="F3971" s="84">
        <v>369.0</v>
      </c>
      <c r="G3971" s="81" t="s">
        <v>40</v>
      </c>
      <c r="H3971" s="81" t="s">
        <v>5698</v>
      </c>
      <c r="I3971" s="81" t="s">
        <v>6324</v>
      </c>
      <c r="J3971" s="81" t="s">
        <v>224</v>
      </c>
    </row>
    <row r="3972" hidden="1">
      <c r="A3972" s="83" t="s">
        <v>6330</v>
      </c>
      <c r="B3972" s="83" t="s">
        <v>6331</v>
      </c>
      <c r="C3972" s="81" t="s">
        <v>4621</v>
      </c>
      <c r="D3972" s="83" t="s">
        <v>4424</v>
      </c>
      <c r="E3972" s="81" t="s">
        <v>1861</v>
      </c>
      <c r="F3972" s="84">
        <v>370.0</v>
      </c>
      <c r="G3972" s="81" t="s">
        <v>39</v>
      </c>
      <c r="H3972" s="81" t="s">
        <v>5699</v>
      </c>
      <c r="I3972" s="81" t="s">
        <v>6323</v>
      </c>
      <c r="J3972" s="81" t="s">
        <v>224</v>
      </c>
    </row>
    <row r="3973" hidden="1">
      <c r="A3973" s="83" t="s">
        <v>6330</v>
      </c>
      <c r="B3973" s="83" t="s">
        <v>6331</v>
      </c>
      <c r="C3973" s="81" t="s">
        <v>4621</v>
      </c>
      <c r="D3973" s="83" t="s">
        <v>4424</v>
      </c>
      <c r="E3973" s="81" t="s">
        <v>1861</v>
      </c>
      <c r="F3973" s="84">
        <v>370.0</v>
      </c>
      <c r="G3973" s="81" t="s">
        <v>40</v>
      </c>
      <c r="H3973" s="81" t="s">
        <v>5700</v>
      </c>
      <c r="I3973" s="81" t="s">
        <v>6324</v>
      </c>
      <c r="J3973" s="81" t="s">
        <v>224</v>
      </c>
    </row>
    <row r="3974" hidden="1">
      <c r="A3974" s="83" t="s">
        <v>6330</v>
      </c>
      <c r="B3974" s="83" t="s">
        <v>6331</v>
      </c>
      <c r="C3974" s="81" t="s">
        <v>4621</v>
      </c>
      <c r="D3974" s="83" t="s">
        <v>4425</v>
      </c>
      <c r="E3974" s="81" t="s">
        <v>1863</v>
      </c>
      <c r="F3974" s="84">
        <v>371.0</v>
      </c>
      <c r="G3974" s="81" t="s">
        <v>39</v>
      </c>
      <c r="H3974" s="81" t="s">
        <v>5701</v>
      </c>
      <c r="I3974" s="81" t="s">
        <v>6323</v>
      </c>
      <c r="J3974" s="81" t="s">
        <v>224</v>
      </c>
    </row>
    <row r="3975" hidden="1">
      <c r="A3975" s="83" t="s">
        <v>6330</v>
      </c>
      <c r="B3975" s="83" t="s">
        <v>6331</v>
      </c>
      <c r="C3975" s="81" t="s">
        <v>4621</v>
      </c>
      <c r="D3975" s="83" t="s">
        <v>4425</v>
      </c>
      <c r="E3975" s="81" t="s">
        <v>1863</v>
      </c>
      <c r="F3975" s="84">
        <v>371.0</v>
      </c>
      <c r="G3975" s="81" t="s">
        <v>40</v>
      </c>
      <c r="H3975" s="81" t="s">
        <v>5702</v>
      </c>
      <c r="I3975" s="81" t="s">
        <v>6324</v>
      </c>
      <c r="J3975" s="81" t="s">
        <v>224</v>
      </c>
    </row>
    <row r="3976" hidden="1">
      <c r="A3976" s="83" t="s">
        <v>6330</v>
      </c>
      <c r="B3976" s="83" t="s">
        <v>6331</v>
      </c>
      <c r="C3976" s="81" t="s">
        <v>4621</v>
      </c>
      <c r="D3976" s="83" t="s">
        <v>4426</v>
      </c>
      <c r="E3976" s="81" t="s">
        <v>1864</v>
      </c>
      <c r="F3976" s="84">
        <v>372.0</v>
      </c>
      <c r="G3976" s="81" t="s">
        <v>39</v>
      </c>
      <c r="H3976" s="81" t="s">
        <v>5704</v>
      </c>
      <c r="I3976" s="81" t="s">
        <v>6325</v>
      </c>
      <c r="J3976" s="81" t="s">
        <v>224</v>
      </c>
    </row>
    <row r="3977" hidden="1">
      <c r="A3977" s="83" t="s">
        <v>6330</v>
      </c>
      <c r="B3977" s="83" t="s">
        <v>6331</v>
      </c>
      <c r="C3977" s="81" t="s">
        <v>4621</v>
      </c>
      <c r="D3977" s="83" t="s">
        <v>4426</v>
      </c>
      <c r="E3977" s="81" t="s">
        <v>1864</v>
      </c>
      <c r="F3977" s="84">
        <v>372.0</v>
      </c>
      <c r="G3977" s="81" t="s">
        <v>40</v>
      </c>
      <c r="H3977" s="81" t="s">
        <v>5705</v>
      </c>
      <c r="I3977" s="81" t="s">
        <v>6326</v>
      </c>
      <c r="J3977" s="81" t="s">
        <v>224</v>
      </c>
    </row>
    <row r="3978" hidden="1">
      <c r="A3978" s="83" t="s">
        <v>6330</v>
      </c>
      <c r="B3978" s="83" t="s">
        <v>6331</v>
      </c>
      <c r="C3978" s="81" t="s">
        <v>4621</v>
      </c>
      <c r="D3978" s="83" t="s">
        <v>4427</v>
      </c>
      <c r="E3978" s="81" t="s">
        <v>1874</v>
      </c>
      <c r="F3978" s="84">
        <v>373.0</v>
      </c>
      <c r="G3978" s="81" t="s">
        <v>39</v>
      </c>
      <c r="H3978" s="81" t="s">
        <v>5707</v>
      </c>
      <c r="I3978" s="81" t="s">
        <v>1879</v>
      </c>
      <c r="J3978" s="81" t="s">
        <v>224</v>
      </c>
    </row>
    <row r="3979" hidden="1">
      <c r="A3979" s="83" t="s">
        <v>6330</v>
      </c>
      <c r="B3979" s="83" t="s">
        <v>6331</v>
      </c>
      <c r="C3979" s="81" t="s">
        <v>4621</v>
      </c>
      <c r="D3979" s="83" t="s">
        <v>4427</v>
      </c>
      <c r="E3979" s="81" t="s">
        <v>1874</v>
      </c>
      <c r="F3979" s="84">
        <v>373.0</v>
      </c>
      <c r="G3979" s="81" t="s">
        <v>40</v>
      </c>
      <c r="H3979" s="81" t="s">
        <v>5708</v>
      </c>
      <c r="I3979" s="81" t="s">
        <v>1880</v>
      </c>
      <c r="J3979" s="81" t="s">
        <v>224</v>
      </c>
    </row>
    <row r="3980" hidden="1">
      <c r="A3980" s="83" t="s">
        <v>6330</v>
      </c>
      <c r="B3980" s="83" t="s">
        <v>6331</v>
      </c>
      <c r="C3980" s="81" t="s">
        <v>4621</v>
      </c>
      <c r="D3980" s="83" t="s">
        <v>4428</v>
      </c>
      <c r="E3980" s="81" t="s">
        <v>1886</v>
      </c>
      <c r="F3980" s="84">
        <v>374.0</v>
      </c>
      <c r="G3980" s="81" t="s">
        <v>39</v>
      </c>
      <c r="H3980" s="81" t="s">
        <v>5709</v>
      </c>
      <c r="I3980" s="81" t="s">
        <v>1893</v>
      </c>
      <c r="J3980" s="81" t="s">
        <v>224</v>
      </c>
    </row>
    <row r="3981" hidden="1">
      <c r="A3981" s="83" t="s">
        <v>6330</v>
      </c>
      <c r="B3981" s="83" t="s">
        <v>6331</v>
      </c>
      <c r="C3981" s="81" t="s">
        <v>4621</v>
      </c>
      <c r="D3981" s="83" t="s">
        <v>4428</v>
      </c>
      <c r="E3981" s="81" t="s">
        <v>1886</v>
      </c>
      <c r="F3981" s="84">
        <v>374.0</v>
      </c>
      <c r="G3981" s="81" t="s">
        <v>40</v>
      </c>
      <c r="H3981" s="81" t="s">
        <v>5710</v>
      </c>
      <c r="I3981" s="81" t="s">
        <v>1894</v>
      </c>
      <c r="J3981" s="81" t="s">
        <v>224</v>
      </c>
    </row>
    <row r="3982" hidden="1">
      <c r="A3982" s="83" t="s">
        <v>6330</v>
      </c>
      <c r="B3982" s="83" t="s">
        <v>6331</v>
      </c>
      <c r="C3982" s="81" t="s">
        <v>4082</v>
      </c>
      <c r="D3982" s="83" t="s">
        <v>4429</v>
      </c>
      <c r="E3982" s="81" t="s">
        <v>1900</v>
      </c>
      <c r="F3982" s="84">
        <v>375.0</v>
      </c>
      <c r="G3982" s="81" t="s">
        <v>39</v>
      </c>
      <c r="H3982" s="81" t="s">
        <v>224</v>
      </c>
      <c r="I3982" s="81" t="s">
        <v>224</v>
      </c>
      <c r="J3982" s="81" t="s">
        <v>5711</v>
      </c>
    </row>
    <row r="3983" hidden="1">
      <c r="A3983" s="83" t="s">
        <v>6330</v>
      </c>
      <c r="B3983" s="83" t="s">
        <v>6331</v>
      </c>
      <c r="C3983" s="81" t="s">
        <v>6333</v>
      </c>
      <c r="D3983" s="83" t="s">
        <v>4429</v>
      </c>
      <c r="E3983" s="81" t="s">
        <v>1900</v>
      </c>
      <c r="F3983" s="84">
        <v>375.0</v>
      </c>
      <c r="G3983" s="81" t="s">
        <v>39</v>
      </c>
      <c r="H3983" s="81" t="s">
        <v>5712</v>
      </c>
      <c r="I3983" s="81" t="s">
        <v>224</v>
      </c>
      <c r="J3983" s="81" t="s">
        <v>5143</v>
      </c>
    </row>
    <row r="3984" hidden="1">
      <c r="A3984" s="83" t="s">
        <v>6330</v>
      </c>
      <c r="B3984" s="83" t="s">
        <v>6331</v>
      </c>
      <c r="C3984" s="81" t="s">
        <v>4621</v>
      </c>
      <c r="D3984" s="83" t="s">
        <v>4429</v>
      </c>
      <c r="E3984" s="81" t="s">
        <v>1900</v>
      </c>
      <c r="F3984" s="84">
        <v>375.0</v>
      </c>
      <c r="G3984" s="81" t="s">
        <v>40</v>
      </c>
      <c r="H3984" s="81" t="s">
        <v>5713</v>
      </c>
      <c r="I3984" s="81" t="s">
        <v>1905</v>
      </c>
      <c r="J3984" s="81" t="s">
        <v>224</v>
      </c>
    </row>
    <row r="3985" hidden="1">
      <c r="A3985" s="83" t="s">
        <v>6330</v>
      </c>
      <c r="B3985" s="83" t="s">
        <v>6331</v>
      </c>
      <c r="C3985" s="81" t="s">
        <v>4621</v>
      </c>
      <c r="D3985" s="83" t="s">
        <v>4430</v>
      </c>
      <c r="E3985" s="81" t="s">
        <v>1911</v>
      </c>
      <c r="F3985" s="84">
        <v>376.0</v>
      </c>
      <c r="G3985" s="81" t="s">
        <v>39</v>
      </c>
      <c r="H3985" s="81" t="s">
        <v>5714</v>
      </c>
      <c r="I3985" s="81" t="s">
        <v>1916</v>
      </c>
      <c r="J3985" s="81" t="s">
        <v>224</v>
      </c>
    </row>
    <row r="3986" hidden="1">
      <c r="A3986" s="83" t="s">
        <v>6330</v>
      </c>
      <c r="B3986" s="83" t="s">
        <v>6331</v>
      </c>
      <c r="C3986" s="81" t="s">
        <v>4621</v>
      </c>
      <c r="D3986" s="83" t="s">
        <v>4430</v>
      </c>
      <c r="E3986" s="81" t="s">
        <v>1911</v>
      </c>
      <c r="F3986" s="84">
        <v>376.0</v>
      </c>
      <c r="G3986" s="81" t="s">
        <v>40</v>
      </c>
      <c r="H3986" s="81" t="s">
        <v>5715</v>
      </c>
      <c r="I3986" s="81" t="s">
        <v>1917</v>
      </c>
      <c r="J3986" s="81" t="s">
        <v>224</v>
      </c>
    </row>
    <row r="3987" hidden="1">
      <c r="A3987" s="83" t="s">
        <v>6330</v>
      </c>
      <c r="B3987" s="83" t="s">
        <v>6331</v>
      </c>
      <c r="C3987" s="81" t="s">
        <v>4621</v>
      </c>
      <c r="D3987" s="83" t="s">
        <v>4431</v>
      </c>
      <c r="E3987" s="81" t="s">
        <v>1923</v>
      </c>
      <c r="F3987" s="84">
        <v>377.0</v>
      </c>
      <c r="G3987" s="81" t="s">
        <v>39</v>
      </c>
      <c r="H3987" s="81" t="s">
        <v>5717</v>
      </c>
      <c r="I3987" s="81" t="s">
        <v>1927</v>
      </c>
      <c r="J3987" s="81" t="s">
        <v>224</v>
      </c>
    </row>
    <row r="3988" hidden="1">
      <c r="A3988" s="83" t="s">
        <v>6330</v>
      </c>
      <c r="B3988" s="83" t="s">
        <v>6331</v>
      </c>
      <c r="C3988" s="81" t="s">
        <v>4621</v>
      </c>
      <c r="D3988" s="83" t="s">
        <v>4431</v>
      </c>
      <c r="E3988" s="81" t="s">
        <v>1923</v>
      </c>
      <c r="F3988" s="84">
        <v>377.0</v>
      </c>
      <c r="G3988" s="81" t="s">
        <v>40</v>
      </c>
      <c r="H3988" s="81" t="s">
        <v>5718</v>
      </c>
      <c r="I3988" s="81" t="s">
        <v>1928</v>
      </c>
      <c r="J3988" s="81" t="s">
        <v>224</v>
      </c>
    </row>
    <row r="3989" hidden="1">
      <c r="A3989" s="83" t="s">
        <v>6330</v>
      </c>
      <c r="B3989" s="83" t="s">
        <v>6331</v>
      </c>
      <c r="C3989" s="81" t="s">
        <v>4621</v>
      </c>
      <c r="D3989" s="83" t="s">
        <v>4431</v>
      </c>
      <c r="E3989" s="81" t="s">
        <v>1934</v>
      </c>
      <c r="F3989" s="84">
        <v>378.0</v>
      </c>
      <c r="G3989" s="81" t="s">
        <v>39</v>
      </c>
      <c r="H3989" s="81" t="s">
        <v>5717</v>
      </c>
      <c r="I3989" s="81" t="s">
        <v>1927</v>
      </c>
      <c r="J3989" s="81" t="s">
        <v>224</v>
      </c>
    </row>
    <row r="3990" hidden="1">
      <c r="A3990" s="83" t="s">
        <v>6330</v>
      </c>
      <c r="B3990" s="83" t="s">
        <v>6331</v>
      </c>
      <c r="C3990" s="81" t="s">
        <v>4621</v>
      </c>
      <c r="D3990" s="83" t="s">
        <v>4431</v>
      </c>
      <c r="E3990" s="81" t="s">
        <v>1934</v>
      </c>
      <c r="F3990" s="84">
        <v>378.0</v>
      </c>
      <c r="G3990" s="81" t="s">
        <v>40</v>
      </c>
      <c r="H3990" s="81" t="s">
        <v>5720</v>
      </c>
      <c r="I3990" s="81" t="s">
        <v>1928</v>
      </c>
      <c r="J3990" s="81" t="s">
        <v>224</v>
      </c>
    </row>
    <row r="3991" hidden="1">
      <c r="A3991" s="83" t="s">
        <v>6330</v>
      </c>
      <c r="B3991" s="83" t="s">
        <v>6331</v>
      </c>
      <c r="C3991" s="81" t="s">
        <v>4621</v>
      </c>
      <c r="D3991" s="83" t="s">
        <v>4432</v>
      </c>
      <c r="E3991" s="81" t="s">
        <v>1935</v>
      </c>
      <c r="F3991" s="84">
        <v>379.0</v>
      </c>
      <c r="G3991" s="81" t="s">
        <v>39</v>
      </c>
      <c r="H3991" s="81" t="s">
        <v>5722</v>
      </c>
      <c r="I3991" s="81" t="s">
        <v>1942</v>
      </c>
      <c r="J3991" s="81" t="s">
        <v>224</v>
      </c>
    </row>
    <row r="3992" hidden="1">
      <c r="A3992" s="83" t="s">
        <v>6330</v>
      </c>
      <c r="B3992" s="83" t="s">
        <v>6331</v>
      </c>
      <c r="C3992" s="81" t="s">
        <v>4621</v>
      </c>
      <c r="D3992" s="83" t="s">
        <v>4432</v>
      </c>
      <c r="E3992" s="81" t="s">
        <v>1935</v>
      </c>
      <c r="F3992" s="84">
        <v>379.0</v>
      </c>
      <c r="G3992" s="81" t="s">
        <v>40</v>
      </c>
      <c r="H3992" s="81" t="s">
        <v>5723</v>
      </c>
      <c r="I3992" s="81" t="s">
        <v>1943</v>
      </c>
      <c r="J3992" s="81" t="s">
        <v>224</v>
      </c>
    </row>
    <row r="3993" hidden="1">
      <c r="A3993" s="83" t="s">
        <v>6330</v>
      </c>
      <c r="B3993" s="83" t="s">
        <v>6331</v>
      </c>
      <c r="C3993" s="81" t="s">
        <v>4621</v>
      </c>
      <c r="D3993" s="83" t="s">
        <v>4432</v>
      </c>
      <c r="E3993" s="81" t="s">
        <v>1935</v>
      </c>
      <c r="F3993" s="84">
        <v>380.0</v>
      </c>
      <c r="G3993" s="81" t="s">
        <v>39</v>
      </c>
      <c r="H3993" s="81" t="s">
        <v>5722</v>
      </c>
      <c r="I3993" s="81" t="s">
        <v>1942</v>
      </c>
      <c r="J3993" s="81" t="s">
        <v>224</v>
      </c>
    </row>
    <row r="3994" hidden="1">
      <c r="A3994" s="83" t="s">
        <v>6330</v>
      </c>
      <c r="B3994" s="83" t="s">
        <v>6331</v>
      </c>
      <c r="C3994" s="81" t="s">
        <v>4621</v>
      </c>
      <c r="D3994" s="83" t="s">
        <v>4432</v>
      </c>
      <c r="E3994" s="81" t="s">
        <v>1935</v>
      </c>
      <c r="F3994" s="84">
        <v>380.0</v>
      </c>
      <c r="G3994" s="81" t="s">
        <v>40</v>
      </c>
      <c r="H3994" s="81" t="s">
        <v>5723</v>
      </c>
      <c r="I3994" s="81" t="s">
        <v>1943</v>
      </c>
      <c r="J3994" s="81" t="s">
        <v>224</v>
      </c>
    </row>
    <row r="3995" hidden="1">
      <c r="A3995" s="83" t="s">
        <v>6330</v>
      </c>
      <c r="B3995" s="83" t="s">
        <v>6331</v>
      </c>
      <c r="C3995" s="81" t="s">
        <v>4621</v>
      </c>
      <c r="D3995" s="83" t="s">
        <v>4433</v>
      </c>
      <c r="E3995" s="81" t="s">
        <v>1950</v>
      </c>
      <c r="F3995" s="84">
        <v>381.0</v>
      </c>
      <c r="G3995" s="81" t="s">
        <v>39</v>
      </c>
      <c r="H3995" s="81" t="s">
        <v>5726</v>
      </c>
      <c r="I3995" s="81" t="s">
        <v>1956</v>
      </c>
      <c r="J3995" s="81" t="s">
        <v>224</v>
      </c>
    </row>
    <row r="3996" hidden="1">
      <c r="A3996" s="83" t="s">
        <v>6330</v>
      </c>
      <c r="B3996" s="83" t="s">
        <v>6331</v>
      </c>
      <c r="C3996" s="81" t="s">
        <v>4621</v>
      </c>
      <c r="D3996" s="83" t="s">
        <v>4433</v>
      </c>
      <c r="E3996" s="81" t="s">
        <v>1950</v>
      </c>
      <c r="F3996" s="84">
        <v>381.0</v>
      </c>
      <c r="G3996" s="81" t="s">
        <v>40</v>
      </c>
      <c r="H3996" s="81" t="s">
        <v>5727</v>
      </c>
      <c r="I3996" s="81" t="s">
        <v>1957</v>
      </c>
      <c r="J3996" s="81" t="s">
        <v>224</v>
      </c>
    </row>
    <row r="3997" hidden="1">
      <c r="A3997" s="83" t="s">
        <v>6330</v>
      </c>
      <c r="B3997" s="83" t="s">
        <v>6331</v>
      </c>
      <c r="C3997" s="81" t="s">
        <v>4621</v>
      </c>
      <c r="D3997" s="83" t="s">
        <v>4433</v>
      </c>
      <c r="E3997" s="81" t="s">
        <v>1963</v>
      </c>
      <c r="F3997" s="84">
        <v>382.0</v>
      </c>
      <c r="G3997" s="81" t="s">
        <v>39</v>
      </c>
      <c r="H3997" s="81" t="s">
        <v>5726</v>
      </c>
      <c r="I3997" s="81" t="s">
        <v>1956</v>
      </c>
      <c r="J3997" s="81" t="s">
        <v>224</v>
      </c>
    </row>
    <row r="3998" hidden="1">
      <c r="A3998" s="83" t="s">
        <v>6330</v>
      </c>
      <c r="B3998" s="83" t="s">
        <v>6331</v>
      </c>
      <c r="C3998" s="81" t="s">
        <v>4621</v>
      </c>
      <c r="D3998" s="83" t="s">
        <v>4433</v>
      </c>
      <c r="E3998" s="81" t="s">
        <v>1963</v>
      </c>
      <c r="F3998" s="84">
        <v>382.0</v>
      </c>
      <c r="G3998" s="81" t="s">
        <v>40</v>
      </c>
      <c r="H3998" s="81" t="s">
        <v>5727</v>
      </c>
      <c r="I3998" s="81" t="s">
        <v>1957</v>
      </c>
      <c r="J3998" s="81" t="s">
        <v>224</v>
      </c>
    </row>
    <row r="3999" hidden="1">
      <c r="A3999" s="83" t="s">
        <v>6330</v>
      </c>
      <c r="B3999" s="83" t="s">
        <v>6331</v>
      </c>
      <c r="C3999" s="81" t="s">
        <v>4621</v>
      </c>
      <c r="D3999" s="83" t="s">
        <v>4434</v>
      </c>
      <c r="E3999" s="81" t="s">
        <v>1964</v>
      </c>
      <c r="F3999" s="84">
        <v>383.0</v>
      </c>
      <c r="G3999" s="81" t="s">
        <v>40</v>
      </c>
      <c r="H3999" s="81" t="s">
        <v>5730</v>
      </c>
      <c r="I3999" s="81" t="s">
        <v>6327</v>
      </c>
      <c r="J3999" s="81" t="s">
        <v>224</v>
      </c>
    </row>
    <row r="4000" hidden="1">
      <c r="A4000" s="83" t="s">
        <v>6330</v>
      </c>
      <c r="B4000" s="83" t="s">
        <v>6331</v>
      </c>
      <c r="C4000" s="81" t="s">
        <v>4621</v>
      </c>
      <c r="D4000" s="83" t="s">
        <v>4434</v>
      </c>
      <c r="E4000" s="81" t="s">
        <v>1964</v>
      </c>
      <c r="F4000" s="84">
        <v>384.0</v>
      </c>
      <c r="G4000" s="81" t="s">
        <v>40</v>
      </c>
      <c r="H4000" s="81" t="s">
        <v>5732</v>
      </c>
      <c r="I4000" s="81" t="s">
        <v>6327</v>
      </c>
      <c r="J4000" s="81" t="s">
        <v>224</v>
      </c>
    </row>
    <row r="4001" hidden="1">
      <c r="A4001" s="83" t="s">
        <v>6330</v>
      </c>
      <c r="B4001" s="83" t="s">
        <v>6331</v>
      </c>
      <c r="C4001" s="81" t="s">
        <v>4621</v>
      </c>
      <c r="D4001" s="83" t="s">
        <v>4435</v>
      </c>
      <c r="E4001" s="81" t="s">
        <v>1974</v>
      </c>
      <c r="F4001" s="84">
        <v>385.0</v>
      </c>
      <c r="G4001" s="81" t="s">
        <v>40</v>
      </c>
      <c r="H4001" s="81" t="s">
        <v>5733</v>
      </c>
      <c r="I4001" s="81" t="s">
        <v>5734</v>
      </c>
      <c r="J4001" s="81" t="s">
        <v>224</v>
      </c>
    </row>
    <row r="4002" hidden="1">
      <c r="A4002" s="83" t="s">
        <v>6330</v>
      </c>
      <c r="B4002" s="83" t="s">
        <v>6331</v>
      </c>
      <c r="C4002" s="81" t="s">
        <v>4621</v>
      </c>
      <c r="D4002" s="83" t="s">
        <v>4435</v>
      </c>
      <c r="E4002" s="81" t="s">
        <v>1987</v>
      </c>
      <c r="F4002" s="84">
        <v>386.0</v>
      </c>
      <c r="G4002" s="81" t="s">
        <v>40</v>
      </c>
      <c r="H4002" s="81" t="s">
        <v>5733</v>
      </c>
      <c r="I4002" s="81" t="s">
        <v>5734</v>
      </c>
      <c r="J4002" s="81" t="s">
        <v>224</v>
      </c>
    </row>
    <row r="4003" hidden="1">
      <c r="A4003" s="83" t="s">
        <v>6330</v>
      </c>
      <c r="B4003" s="83" t="s">
        <v>6331</v>
      </c>
      <c r="C4003" s="81" t="s">
        <v>4621</v>
      </c>
      <c r="D4003" s="83" t="s">
        <v>4436</v>
      </c>
      <c r="E4003" s="81" t="s">
        <v>1989</v>
      </c>
      <c r="F4003" s="84">
        <v>387.0</v>
      </c>
      <c r="G4003" s="81" t="s">
        <v>40</v>
      </c>
      <c r="H4003" s="81" t="s">
        <v>5735</v>
      </c>
      <c r="I4003" s="81" t="s">
        <v>5736</v>
      </c>
      <c r="J4003" s="81" t="s">
        <v>224</v>
      </c>
    </row>
    <row r="4004" hidden="1">
      <c r="A4004" s="83" t="s">
        <v>6330</v>
      </c>
      <c r="B4004" s="83" t="s">
        <v>6331</v>
      </c>
      <c r="C4004" s="81" t="s">
        <v>4621</v>
      </c>
      <c r="D4004" s="83" t="s">
        <v>4437</v>
      </c>
      <c r="E4004" s="81" t="s">
        <v>1997</v>
      </c>
      <c r="F4004" s="84">
        <v>388.0</v>
      </c>
      <c r="G4004" s="81" t="s">
        <v>39</v>
      </c>
      <c r="H4004" s="81" t="s">
        <v>5737</v>
      </c>
      <c r="I4004" s="81" t="s">
        <v>2000</v>
      </c>
      <c r="J4004" s="81" t="s">
        <v>224</v>
      </c>
    </row>
    <row r="4005" hidden="1">
      <c r="A4005" s="83" t="s">
        <v>6330</v>
      </c>
      <c r="B4005" s="83" t="s">
        <v>6331</v>
      </c>
      <c r="C4005" s="81" t="s">
        <v>6333</v>
      </c>
      <c r="D4005" s="83" t="s">
        <v>4437</v>
      </c>
      <c r="E4005" s="81" t="s">
        <v>1997</v>
      </c>
      <c r="F4005" s="84">
        <v>388.0</v>
      </c>
      <c r="G4005" s="81" t="s">
        <v>40</v>
      </c>
      <c r="H4005" s="81" t="s">
        <v>5738</v>
      </c>
      <c r="I4005" s="81" t="s">
        <v>224</v>
      </c>
      <c r="J4005" s="81" t="s">
        <v>5143</v>
      </c>
    </row>
    <row r="4006" hidden="1">
      <c r="A4006" s="83" t="s">
        <v>6330</v>
      </c>
      <c r="B4006" s="83" t="s">
        <v>6331</v>
      </c>
      <c r="C4006" s="81" t="s">
        <v>6333</v>
      </c>
      <c r="D4006" s="83" t="s">
        <v>4437</v>
      </c>
      <c r="E4006" s="81" t="s">
        <v>2001</v>
      </c>
      <c r="F4006" s="84">
        <v>389.0</v>
      </c>
      <c r="G4006" s="81" t="s">
        <v>40</v>
      </c>
      <c r="H4006" s="81" t="s">
        <v>49</v>
      </c>
      <c r="I4006" s="81" t="s">
        <v>224</v>
      </c>
      <c r="J4006" s="81" t="s">
        <v>5143</v>
      </c>
    </row>
    <row r="4007" hidden="1">
      <c r="A4007" s="83" t="s">
        <v>6330</v>
      </c>
      <c r="B4007" s="83" t="s">
        <v>6331</v>
      </c>
      <c r="C4007" s="81" t="s">
        <v>6333</v>
      </c>
      <c r="D4007" s="83" t="s">
        <v>4438</v>
      </c>
      <c r="E4007" s="81" t="s">
        <v>2002</v>
      </c>
      <c r="F4007" s="84">
        <v>390.0</v>
      </c>
      <c r="G4007" s="81" t="s">
        <v>40</v>
      </c>
      <c r="H4007" s="81" t="s">
        <v>49</v>
      </c>
      <c r="I4007" s="81" t="s">
        <v>224</v>
      </c>
      <c r="J4007" s="81" t="s">
        <v>5143</v>
      </c>
    </row>
    <row r="4008" hidden="1">
      <c r="A4008" s="83" t="s">
        <v>6330</v>
      </c>
      <c r="B4008" s="83" t="s">
        <v>6331</v>
      </c>
      <c r="C4008" s="81" t="s">
        <v>4621</v>
      </c>
      <c r="D4008" s="83" t="s">
        <v>4439</v>
      </c>
      <c r="E4008" s="81" t="s">
        <v>2006</v>
      </c>
      <c r="F4008" s="84">
        <v>391.0</v>
      </c>
      <c r="G4008" s="81" t="s">
        <v>39</v>
      </c>
      <c r="H4008" s="81" t="s">
        <v>5739</v>
      </c>
      <c r="I4008" s="81" t="s">
        <v>2014</v>
      </c>
      <c r="J4008" s="81" t="s">
        <v>224</v>
      </c>
    </row>
    <row r="4009" hidden="1">
      <c r="A4009" s="83" t="s">
        <v>6330</v>
      </c>
      <c r="B4009" s="83" t="s">
        <v>6331</v>
      </c>
      <c r="C4009" s="81" t="s">
        <v>4621</v>
      </c>
      <c r="D4009" s="83" t="s">
        <v>4439</v>
      </c>
      <c r="E4009" s="81" t="s">
        <v>2006</v>
      </c>
      <c r="F4009" s="84">
        <v>391.0</v>
      </c>
      <c r="G4009" s="81" t="s">
        <v>40</v>
      </c>
      <c r="H4009" s="81" t="s">
        <v>5740</v>
      </c>
      <c r="I4009" s="81" t="s">
        <v>2015</v>
      </c>
      <c r="J4009" s="81" t="s">
        <v>224</v>
      </c>
    </row>
    <row r="4010" hidden="1">
      <c r="A4010" s="83" t="s">
        <v>6330</v>
      </c>
      <c r="B4010" s="83" t="s">
        <v>6331</v>
      </c>
      <c r="C4010" s="81" t="s">
        <v>4621</v>
      </c>
      <c r="D4010" s="83" t="s">
        <v>4439</v>
      </c>
      <c r="E4010" s="81" t="s">
        <v>2021</v>
      </c>
      <c r="F4010" s="84">
        <v>392.0</v>
      </c>
      <c r="G4010" s="81" t="s">
        <v>40</v>
      </c>
      <c r="H4010" s="81" t="s">
        <v>5741</v>
      </c>
      <c r="I4010" s="81" t="s">
        <v>2015</v>
      </c>
      <c r="J4010" s="81" t="s">
        <v>224</v>
      </c>
    </row>
    <row r="4011" hidden="1">
      <c r="A4011" s="83" t="s">
        <v>6330</v>
      </c>
      <c r="B4011" s="83" t="s">
        <v>6331</v>
      </c>
      <c r="C4011" s="81" t="s">
        <v>4621</v>
      </c>
      <c r="D4011" s="83" t="s">
        <v>4442</v>
      </c>
      <c r="E4011" s="81" t="s">
        <v>2022</v>
      </c>
      <c r="F4011" s="84">
        <v>393.0</v>
      </c>
      <c r="G4011" s="81" t="s">
        <v>40</v>
      </c>
      <c r="H4011" s="81" t="s">
        <v>5742</v>
      </c>
      <c r="I4011" s="81" t="s">
        <v>2025</v>
      </c>
      <c r="J4011" s="81" t="s">
        <v>224</v>
      </c>
    </row>
    <row r="4012" hidden="1">
      <c r="A4012" s="83" t="s">
        <v>6330</v>
      </c>
      <c r="B4012" s="83" t="s">
        <v>6331</v>
      </c>
      <c r="C4012" s="81" t="s">
        <v>4621</v>
      </c>
      <c r="D4012" s="83" t="s">
        <v>4443</v>
      </c>
      <c r="E4012" s="81" t="s">
        <v>2026</v>
      </c>
      <c r="F4012" s="84">
        <v>394.0</v>
      </c>
      <c r="G4012" s="81" t="s">
        <v>39</v>
      </c>
      <c r="H4012" s="81" t="s">
        <v>5743</v>
      </c>
      <c r="I4012" s="81" t="s">
        <v>2030</v>
      </c>
      <c r="J4012" s="81" t="s">
        <v>224</v>
      </c>
    </row>
    <row r="4013" hidden="1">
      <c r="A4013" s="83" t="s">
        <v>6330</v>
      </c>
      <c r="B4013" s="83" t="s">
        <v>6331</v>
      </c>
      <c r="C4013" s="81" t="s">
        <v>4621</v>
      </c>
      <c r="D4013" s="83" t="s">
        <v>4443</v>
      </c>
      <c r="E4013" s="81" t="s">
        <v>2026</v>
      </c>
      <c r="F4013" s="84">
        <v>394.0</v>
      </c>
      <c r="G4013" s="81" t="s">
        <v>40</v>
      </c>
      <c r="H4013" s="81" t="s">
        <v>5744</v>
      </c>
      <c r="I4013" s="81" t="s">
        <v>5745</v>
      </c>
      <c r="J4013" s="81" t="s">
        <v>224</v>
      </c>
    </row>
    <row r="4014" hidden="1">
      <c r="A4014" s="83" t="s">
        <v>6330</v>
      </c>
      <c r="B4014" s="83" t="s">
        <v>6331</v>
      </c>
      <c r="C4014" s="81" t="s">
        <v>4621</v>
      </c>
      <c r="D4014" s="83" t="s">
        <v>4445</v>
      </c>
      <c r="E4014" s="81" t="s">
        <v>2037</v>
      </c>
      <c r="F4014" s="84">
        <v>395.0</v>
      </c>
      <c r="G4014" s="81" t="s">
        <v>39</v>
      </c>
      <c r="H4014" s="81" t="s">
        <v>5746</v>
      </c>
      <c r="I4014" s="81" t="s">
        <v>2042</v>
      </c>
      <c r="J4014" s="81" t="s">
        <v>224</v>
      </c>
    </row>
    <row r="4015" hidden="1">
      <c r="A4015" s="83" t="s">
        <v>6330</v>
      </c>
      <c r="B4015" s="83" t="s">
        <v>6331</v>
      </c>
      <c r="C4015" s="81" t="s">
        <v>4621</v>
      </c>
      <c r="D4015" s="83" t="s">
        <v>4445</v>
      </c>
      <c r="E4015" s="81" t="s">
        <v>2037</v>
      </c>
      <c r="F4015" s="84">
        <v>395.0</v>
      </c>
      <c r="G4015" s="81" t="s">
        <v>40</v>
      </c>
      <c r="H4015" s="81" t="s">
        <v>5747</v>
      </c>
      <c r="I4015" s="81" t="s">
        <v>2043</v>
      </c>
      <c r="J4015" s="81" t="s">
        <v>224</v>
      </c>
    </row>
    <row r="4016" hidden="1">
      <c r="A4016" s="83" t="s">
        <v>6330</v>
      </c>
      <c r="B4016" s="83" t="s">
        <v>6331</v>
      </c>
      <c r="C4016" s="81" t="s">
        <v>4621</v>
      </c>
      <c r="D4016" s="83" t="s">
        <v>4447</v>
      </c>
      <c r="E4016" s="81" t="s">
        <v>2049</v>
      </c>
      <c r="F4016" s="84">
        <v>396.0</v>
      </c>
      <c r="G4016" s="81" t="s">
        <v>39</v>
      </c>
      <c r="H4016" s="81" t="s">
        <v>5748</v>
      </c>
      <c r="I4016" s="81" t="s">
        <v>2051</v>
      </c>
      <c r="J4016" s="81" t="s">
        <v>224</v>
      </c>
    </row>
    <row r="4017" hidden="1">
      <c r="A4017" s="83" t="s">
        <v>6330</v>
      </c>
      <c r="B4017" s="83" t="s">
        <v>6331</v>
      </c>
      <c r="C4017" s="81" t="s">
        <v>4621</v>
      </c>
      <c r="D4017" s="83" t="s">
        <v>4447</v>
      </c>
      <c r="E4017" s="81" t="s">
        <v>2049</v>
      </c>
      <c r="F4017" s="84">
        <v>396.0</v>
      </c>
      <c r="G4017" s="81" t="s">
        <v>40</v>
      </c>
      <c r="H4017" s="81" t="s">
        <v>5749</v>
      </c>
      <c r="I4017" s="81" t="s">
        <v>2052</v>
      </c>
      <c r="J4017" s="81" t="s">
        <v>224</v>
      </c>
    </row>
    <row r="4018" hidden="1">
      <c r="A4018" s="83" t="s">
        <v>6330</v>
      </c>
      <c r="B4018" s="83" t="s">
        <v>6331</v>
      </c>
      <c r="C4018" s="81" t="s">
        <v>4621</v>
      </c>
      <c r="D4018" s="83" t="s">
        <v>4447</v>
      </c>
      <c r="E4018" s="81" t="s">
        <v>2058</v>
      </c>
      <c r="F4018" s="84">
        <v>397.0</v>
      </c>
      <c r="G4018" s="81" t="s">
        <v>40</v>
      </c>
      <c r="H4018" s="81" t="s">
        <v>5750</v>
      </c>
      <c r="I4018" s="81" t="s">
        <v>2052</v>
      </c>
      <c r="J4018" s="81" t="s">
        <v>224</v>
      </c>
    </row>
    <row r="4019" hidden="1">
      <c r="A4019" s="83" t="s">
        <v>6330</v>
      </c>
      <c r="B4019" s="83" t="s">
        <v>6331</v>
      </c>
      <c r="C4019" s="81" t="s">
        <v>4621</v>
      </c>
      <c r="D4019" s="83" t="s">
        <v>4449</v>
      </c>
      <c r="E4019" s="81" t="s">
        <v>2059</v>
      </c>
      <c r="F4019" s="84">
        <v>398.0</v>
      </c>
      <c r="G4019" s="81" t="s">
        <v>40</v>
      </c>
      <c r="H4019" s="81" t="s">
        <v>5751</v>
      </c>
      <c r="I4019" s="81" t="s">
        <v>2062</v>
      </c>
      <c r="J4019" s="81" t="s">
        <v>224</v>
      </c>
    </row>
    <row r="4020" hidden="1">
      <c r="A4020" s="83" t="s">
        <v>6330</v>
      </c>
      <c r="B4020" s="83" t="s">
        <v>6331</v>
      </c>
      <c r="C4020" s="81" t="s">
        <v>4621</v>
      </c>
      <c r="D4020" s="83" t="s">
        <v>4450</v>
      </c>
      <c r="E4020" s="81" t="s">
        <v>2063</v>
      </c>
      <c r="F4020" s="84">
        <v>399.0</v>
      </c>
      <c r="G4020" s="81" t="s">
        <v>39</v>
      </c>
      <c r="H4020" s="81" t="s">
        <v>5752</v>
      </c>
      <c r="I4020" s="81" t="s">
        <v>2069</v>
      </c>
      <c r="J4020" s="81" t="s">
        <v>224</v>
      </c>
    </row>
    <row r="4021" hidden="1">
      <c r="A4021" s="83" t="s">
        <v>6330</v>
      </c>
      <c r="B4021" s="83" t="s">
        <v>6331</v>
      </c>
      <c r="C4021" s="81" t="s">
        <v>4621</v>
      </c>
      <c r="D4021" s="83" t="s">
        <v>4450</v>
      </c>
      <c r="E4021" s="81" t="s">
        <v>2063</v>
      </c>
      <c r="F4021" s="84">
        <v>399.0</v>
      </c>
      <c r="G4021" s="81" t="s">
        <v>40</v>
      </c>
      <c r="H4021" s="81" t="s">
        <v>5753</v>
      </c>
      <c r="I4021" s="81" t="s">
        <v>5754</v>
      </c>
      <c r="J4021" s="81" t="s">
        <v>224</v>
      </c>
    </row>
    <row r="4022" hidden="1">
      <c r="A4022" s="83" t="s">
        <v>6330</v>
      </c>
      <c r="B4022" s="83" t="s">
        <v>6331</v>
      </c>
      <c r="C4022" s="81" t="s">
        <v>4621</v>
      </c>
      <c r="D4022" s="83" t="s">
        <v>4451</v>
      </c>
      <c r="E4022" s="81" t="s">
        <v>2076</v>
      </c>
      <c r="F4022" s="84">
        <v>400.0</v>
      </c>
      <c r="G4022" s="81" t="s">
        <v>39</v>
      </c>
      <c r="H4022" s="81" t="s">
        <v>5755</v>
      </c>
      <c r="I4022" s="81" t="s">
        <v>2080</v>
      </c>
      <c r="J4022" s="81" t="s">
        <v>224</v>
      </c>
    </row>
    <row r="4023" hidden="1">
      <c r="A4023" s="83" t="s">
        <v>6330</v>
      </c>
      <c r="B4023" s="83" t="s">
        <v>6331</v>
      </c>
      <c r="C4023" s="81" t="s">
        <v>4621</v>
      </c>
      <c r="D4023" s="83" t="s">
        <v>4451</v>
      </c>
      <c r="E4023" s="81" t="s">
        <v>2076</v>
      </c>
      <c r="F4023" s="84">
        <v>400.0</v>
      </c>
      <c r="G4023" s="81" t="s">
        <v>40</v>
      </c>
      <c r="H4023" s="81" t="s">
        <v>5756</v>
      </c>
      <c r="I4023" s="81" t="s">
        <v>2081</v>
      </c>
      <c r="J4023" s="81" t="s">
        <v>224</v>
      </c>
    </row>
    <row r="4024" hidden="1">
      <c r="A4024" s="83" t="s">
        <v>6330</v>
      </c>
      <c r="B4024" s="83" t="s">
        <v>6331</v>
      </c>
      <c r="C4024" s="81" t="s">
        <v>4621</v>
      </c>
      <c r="D4024" s="83" t="s">
        <v>4453</v>
      </c>
      <c r="E4024" s="81" t="s">
        <v>2087</v>
      </c>
      <c r="F4024" s="84">
        <v>401.0</v>
      </c>
      <c r="G4024" s="81" t="s">
        <v>39</v>
      </c>
      <c r="H4024" s="81" t="s">
        <v>5757</v>
      </c>
      <c r="I4024" s="81" t="s">
        <v>2091</v>
      </c>
      <c r="J4024" s="81" t="s">
        <v>224</v>
      </c>
    </row>
    <row r="4025" hidden="1">
      <c r="A4025" s="83" t="s">
        <v>6330</v>
      </c>
      <c r="B4025" s="83" t="s">
        <v>6331</v>
      </c>
      <c r="C4025" s="81" t="s">
        <v>4621</v>
      </c>
      <c r="D4025" s="83" t="s">
        <v>4453</v>
      </c>
      <c r="E4025" s="81" t="s">
        <v>2087</v>
      </c>
      <c r="F4025" s="84">
        <v>401.0</v>
      </c>
      <c r="G4025" s="81" t="s">
        <v>40</v>
      </c>
      <c r="H4025" s="81" t="s">
        <v>5758</v>
      </c>
      <c r="I4025" s="81" t="s">
        <v>2092</v>
      </c>
      <c r="J4025" s="81" t="s">
        <v>224</v>
      </c>
    </row>
    <row r="4026" hidden="1">
      <c r="A4026" s="83" t="s">
        <v>6330</v>
      </c>
      <c r="B4026" s="83" t="s">
        <v>6331</v>
      </c>
      <c r="C4026" s="81" t="s">
        <v>4621</v>
      </c>
      <c r="D4026" s="83" t="s">
        <v>4453</v>
      </c>
      <c r="E4026" s="81" t="s">
        <v>2098</v>
      </c>
      <c r="F4026" s="84">
        <v>402.0</v>
      </c>
      <c r="G4026" s="81" t="s">
        <v>39</v>
      </c>
      <c r="H4026" s="81" t="s">
        <v>5757</v>
      </c>
      <c r="I4026" s="81" t="s">
        <v>2091</v>
      </c>
      <c r="J4026" s="81" t="s">
        <v>224</v>
      </c>
    </row>
    <row r="4027" hidden="1">
      <c r="A4027" s="83" t="s">
        <v>6330</v>
      </c>
      <c r="B4027" s="83" t="s">
        <v>6331</v>
      </c>
      <c r="C4027" s="81" t="s">
        <v>4621</v>
      </c>
      <c r="D4027" s="83" t="s">
        <v>4453</v>
      </c>
      <c r="E4027" s="81" t="s">
        <v>2098</v>
      </c>
      <c r="F4027" s="84">
        <v>402.0</v>
      </c>
      <c r="G4027" s="81" t="s">
        <v>40</v>
      </c>
      <c r="H4027" s="81" t="s">
        <v>5758</v>
      </c>
      <c r="I4027" s="81" t="s">
        <v>2092</v>
      </c>
      <c r="J4027" s="81" t="s">
        <v>224</v>
      </c>
    </row>
    <row r="4028" hidden="1">
      <c r="A4028" s="83" t="s">
        <v>6330</v>
      </c>
      <c r="B4028" s="83" t="s">
        <v>6331</v>
      </c>
      <c r="C4028" s="81" t="s">
        <v>4621</v>
      </c>
      <c r="D4028" s="83" t="s">
        <v>4454</v>
      </c>
      <c r="E4028" s="81" t="s">
        <v>2099</v>
      </c>
      <c r="F4028" s="84">
        <v>403.0</v>
      </c>
      <c r="G4028" s="81" t="s">
        <v>39</v>
      </c>
      <c r="H4028" s="81" t="s">
        <v>5759</v>
      </c>
      <c r="I4028" s="81" t="s">
        <v>2100</v>
      </c>
      <c r="J4028" s="81" t="s">
        <v>224</v>
      </c>
    </row>
    <row r="4029" hidden="1">
      <c r="A4029" s="83" t="s">
        <v>6330</v>
      </c>
      <c r="B4029" s="83" t="s">
        <v>6331</v>
      </c>
      <c r="C4029" s="81" t="s">
        <v>4621</v>
      </c>
      <c r="D4029" s="83" t="s">
        <v>4454</v>
      </c>
      <c r="E4029" s="81" t="s">
        <v>2099</v>
      </c>
      <c r="F4029" s="84">
        <v>403.0</v>
      </c>
      <c r="G4029" s="81" t="s">
        <v>40</v>
      </c>
      <c r="H4029" s="81" t="s">
        <v>5760</v>
      </c>
      <c r="I4029" s="81" t="s">
        <v>2101</v>
      </c>
      <c r="J4029" s="81" t="s">
        <v>224</v>
      </c>
    </row>
    <row r="4030" hidden="1">
      <c r="A4030" s="83" t="s">
        <v>6330</v>
      </c>
      <c r="B4030" s="83" t="s">
        <v>6331</v>
      </c>
      <c r="C4030" s="81" t="s">
        <v>4621</v>
      </c>
      <c r="D4030" s="83" t="s">
        <v>4455</v>
      </c>
      <c r="E4030" s="81" t="s">
        <v>2102</v>
      </c>
      <c r="F4030" s="84">
        <v>404.0</v>
      </c>
      <c r="G4030" s="81" t="s">
        <v>39</v>
      </c>
      <c r="H4030" s="81" t="s">
        <v>5761</v>
      </c>
      <c r="I4030" s="81" t="s">
        <v>2105</v>
      </c>
      <c r="J4030" s="81" t="s">
        <v>224</v>
      </c>
    </row>
    <row r="4031" hidden="1">
      <c r="A4031" s="83" t="s">
        <v>6330</v>
      </c>
      <c r="B4031" s="83" t="s">
        <v>6331</v>
      </c>
      <c r="C4031" s="81" t="s">
        <v>4621</v>
      </c>
      <c r="D4031" s="83" t="s">
        <v>4455</v>
      </c>
      <c r="E4031" s="81" t="s">
        <v>2102</v>
      </c>
      <c r="F4031" s="84">
        <v>404.0</v>
      </c>
      <c r="G4031" s="81" t="s">
        <v>40</v>
      </c>
      <c r="H4031" s="81" t="s">
        <v>5762</v>
      </c>
      <c r="I4031" s="81" t="s">
        <v>2106</v>
      </c>
      <c r="J4031" s="81" t="s">
        <v>224</v>
      </c>
    </row>
    <row r="4032" hidden="1">
      <c r="A4032" s="83" t="s">
        <v>6330</v>
      </c>
      <c r="B4032" s="83" t="s">
        <v>6331</v>
      </c>
      <c r="C4032" s="81" t="s">
        <v>4621</v>
      </c>
      <c r="D4032" s="83" t="s">
        <v>4455</v>
      </c>
      <c r="E4032" s="81" t="s">
        <v>2102</v>
      </c>
      <c r="F4032" s="84">
        <v>404.0</v>
      </c>
      <c r="G4032" s="81" t="s">
        <v>43</v>
      </c>
      <c r="H4032" s="81" t="s">
        <v>5763</v>
      </c>
      <c r="I4032" s="81" t="s">
        <v>2108</v>
      </c>
      <c r="J4032" s="81" t="s">
        <v>224</v>
      </c>
    </row>
    <row r="4033" hidden="1">
      <c r="A4033" s="83" t="s">
        <v>6330</v>
      </c>
      <c r="B4033" s="83" t="s">
        <v>6331</v>
      </c>
      <c r="C4033" s="81" t="s">
        <v>4621</v>
      </c>
      <c r="D4033" s="83" t="s">
        <v>4456</v>
      </c>
      <c r="E4033" s="81" t="s">
        <v>2111</v>
      </c>
      <c r="F4033" s="84">
        <v>405.0</v>
      </c>
      <c r="G4033" s="81" t="s">
        <v>39</v>
      </c>
      <c r="H4033" s="81" t="s">
        <v>5764</v>
      </c>
      <c r="I4033" s="81" t="s">
        <v>2112</v>
      </c>
      <c r="J4033" s="81" t="s">
        <v>224</v>
      </c>
    </row>
    <row r="4034" hidden="1">
      <c r="A4034" s="83" t="s">
        <v>6330</v>
      </c>
      <c r="B4034" s="83" t="s">
        <v>6331</v>
      </c>
      <c r="C4034" s="81" t="s">
        <v>4621</v>
      </c>
      <c r="D4034" s="83" t="s">
        <v>4456</v>
      </c>
      <c r="E4034" s="81" t="s">
        <v>2111</v>
      </c>
      <c r="F4034" s="84">
        <v>405.0</v>
      </c>
      <c r="G4034" s="81" t="s">
        <v>40</v>
      </c>
      <c r="H4034" s="81" t="s">
        <v>5765</v>
      </c>
      <c r="I4034" s="81" t="s">
        <v>2113</v>
      </c>
      <c r="J4034" s="81" t="s">
        <v>224</v>
      </c>
    </row>
    <row r="4035" hidden="1">
      <c r="A4035" s="83" t="s">
        <v>6330</v>
      </c>
      <c r="B4035" s="83" t="s">
        <v>6331</v>
      </c>
      <c r="C4035" s="81" t="s">
        <v>4621</v>
      </c>
      <c r="D4035" s="83" t="s">
        <v>4456</v>
      </c>
      <c r="E4035" s="81" t="s">
        <v>2111</v>
      </c>
      <c r="F4035" s="84">
        <v>405.0</v>
      </c>
      <c r="G4035" s="81" t="s">
        <v>43</v>
      </c>
      <c r="H4035" s="81" t="s">
        <v>5763</v>
      </c>
      <c r="I4035" s="81" t="s">
        <v>2108</v>
      </c>
      <c r="J4035" s="81" t="s">
        <v>224</v>
      </c>
    </row>
    <row r="4036" hidden="1">
      <c r="A4036" s="83" t="s">
        <v>6330</v>
      </c>
      <c r="B4036" s="83" t="s">
        <v>6331</v>
      </c>
      <c r="C4036" s="81" t="s">
        <v>4621</v>
      </c>
      <c r="D4036" s="83" t="s">
        <v>4457</v>
      </c>
      <c r="E4036" s="81" t="s">
        <v>2114</v>
      </c>
      <c r="F4036" s="84">
        <v>406.0</v>
      </c>
      <c r="G4036" s="81" t="s">
        <v>39</v>
      </c>
      <c r="H4036" s="81" t="s">
        <v>5766</v>
      </c>
      <c r="I4036" s="81" t="s">
        <v>2118</v>
      </c>
      <c r="J4036" s="81" t="s">
        <v>224</v>
      </c>
    </row>
    <row r="4037" hidden="1">
      <c r="A4037" s="83" t="s">
        <v>6330</v>
      </c>
      <c r="B4037" s="83" t="s">
        <v>6331</v>
      </c>
      <c r="C4037" s="81" t="s">
        <v>4621</v>
      </c>
      <c r="D4037" s="83" t="s">
        <v>4457</v>
      </c>
      <c r="E4037" s="81" t="s">
        <v>2114</v>
      </c>
      <c r="F4037" s="84">
        <v>406.0</v>
      </c>
      <c r="G4037" s="81" t="s">
        <v>40</v>
      </c>
      <c r="H4037" s="81" t="s">
        <v>5767</v>
      </c>
      <c r="I4037" s="81" t="s">
        <v>2119</v>
      </c>
      <c r="J4037" s="81" t="s">
        <v>224</v>
      </c>
    </row>
    <row r="4038" hidden="1">
      <c r="A4038" s="83" t="s">
        <v>6330</v>
      </c>
      <c r="B4038" s="83" t="s">
        <v>6331</v>
      </c>
      <c r="C4038" s="81" t="s">
        <v>4621</v>
      </c>
      <c r="D4038" s="83" t="s">
        <v>4458</v>
      </c>
      <c r="E4038" s="81" t="s">
        <v>2124</v>
      </c>
      <c r="F4038" s="84">
        <v>407.0</v>
      </c>
      <c r="G4038" s="81" t="s">
        <v>39</v>
      </c>
      <c r="H4038" s="81" t="s">
        <v>5768</v>
      </c>
      <c r="I4038" s="81" t="s">
        <v>2125</v>
      </c>
      <c r="J4038" s="81" t="s">
        <v>224</v>
      </c>
    </row>
    <row r="4039" hidden="1">
      <c r="A4039" s="83" t="s">
        <v>6330</v>
      </c>
      <c r="B4039" s="83" t="s">
        <v>6331</v>
      </c>
      <c r="C4039" s="81" t="s">
        <v>4621</v>
      </c>
      <c r="D4039" s="83" t="s">
        <v>4458</v>
      </c>
      <c r="E4039" s="81" t="s">
        <v>2124</v>
      </c>
      <c r="F4039" s="84">
        <v>407.0</v>
      </c>
      <c r="G4039" s="81" t="s">
        <v>40</v>
      </c>
      <c r="H4039" s="81" t="s">
        <v>5769</v>
      </c>
      <c r="I4039" s="81" t="s">
        <v>2126</v>
      </c>
      <c r="J4039" s="81" t="s">
        <v>224</v>
      </c>
    </row>
    <row r="4040" hidden="1">
      <c r="A4040" s="83" t="s">
        <v>6330</v>
      </c>
      <c r="B4040" s="83" t="s">
        <v>6331</v>
      </c>
      <c r="C4040" s="81" t="s">
        <v>4621</v>
      </c>
      <c r="D4040" s="83" t="s">
        <v>4459</v>
      </c>
      <c r="E4040" s="81" t="s">
        <v>2127</v>
      </c>
      <c r="F4040" s="84">
        <v>408.0</v>
      </c>
      <c r="G4040" s="81" t="s">
        <v>39</v>
      </c>
      <c r="H4040" s="81" t="s">
        <v>5770</v>
      </c>
      <c r="I4040" s="81" t="s">
        <v>2131</v>
      </c>
      <c r="J4040" s="81" t="s">
        <v>224</v>
      </c>
    </row>
    <row r="4041" hidden="1">
      <c r="A4041" s="83" t="s">
        <v>6330</v>
      </c>
      <c r="B4041" s="83" t="s">
        <v>6331</v>
      </c>
      <c r="C4041" s="81" t="s">
        <v>4621</v>
      </c>
      <c r="D4041" s="83" t="s">
        <v>4459</v>
      </c>
      <c r="E4041" s="81" t="s">
        <v>2127</v>
      </c>
      <c r="F4041" s="84">
        <v>408.0</v>
      </c>
      <c r="G4041" s="81" t="s">
        <v>40</v>
      </c>
      <c r="H4041" s="81" t="s">
        <v>5771</v>
      </c>
      <c r="I4041" s="81" t="s">
        <v>2132</v>
      </c>
      <c r="J4041" s="81" t="s">
        <v>224</v>
      </c>
    </row>
    <row r="4042" hidden="1">
      <c r="A4042" s="83" t="s">
        <v>6330</v>
      </c>
      <c r="B4042" s="83" t="s">
        <v>6331</v>
      </c>
      <c r="C4042" s="81" t="s">
        <v>4621</v>
      </c>
      <c r="D4042" s="83" t="s">
        <v>4459</v>
      </c>
      <c r="E4042" s="81" t="s">
        <v>2138</v>
      </c>
      <c r="F4042" s="84">
        <v>409.0</v>
      </c>
      <c r="G4042" s="81" t="s">
        <v>40</v>
      </c>
      <c r="H4042" s="81" t="s">
        <v>5771</v>
      </c>
      <c r="I4042" s="81" t="s">
        <v>2132</v>
      </c>
      <c r="J4042" s="81" t="s">
        <v>224</v>
      </c>
    </row>
    <row r="4043" hidden="1">
      <c r="A4043" s="83" t="s">
        <v>6330</v>
      </c>
      <c r="B4043" s="83" t="s">
        <v>6331</v>
      </c>
      <c r="C4043" s="81" t="s">
        <v>4621</v>
      </c>
      <c r="D4043" s="83" t="s">
        <v>4460</v>
      </c>
      <c r="E4043" s="81" t="s">
        <v>2139</v>
      </c>
      <c r="F4043" s="84">
        <v>410.0</v>
      </c>
      <c r="G4043" s="81" t="s">
        <v>40</v>
      </c>
      <c r="H4043" s="81" t="s">
        <v>5772</v>
      </c>
      <c r="I4043" s="81" t="s">
        <v>2141</v>
      </c>
      <c r="J4043" s="81" t="s">
        <v>224</v>
      </c>
    </row>
    <row r="4044" hidden="1">
      <c r="A4044" s="83" t="s">
        <v>6330</v>
      </c>
      <c r="B4044" s="83" t="s">
        <v>6331</v>
      </c>
      <c r="C4044" s="81" t="s">
        <v>4621</v>
      </c>
      <c r="D4044" s="83" t="s">
        <v>4461</v>
      </c>
      <c r="E4044" s="81" t="s">
        <v>2142</v>
      </c>
      <c r="F4044" s="84">
        <v>411.0</v>
      </c>
      <c r="G4044" s="81" t="s">
        <v>40</v>
      </c>
      <c r="H4044" s="81" t="s">
        <v>5773</v>
      </c>
      <c r="I4044" s="81" t="s">
        <v>2144</v>
      </c>
      <c r="J4044" s="81" t="s">
        <v>224</v>
      </c>
    </row>
    <row r="4045" hidden="1">
      <c r="A4045" s="83" t="s">
        <v>6330</v>
      </c>
      <c r="B4045" s="83" t="s">
        <v>6331</v>
      </c>
      <c r="C4045" s="81" t="s">
        <v>4621</v>
      </c>
      <c r="D4045" s="83" t="s">
        <v>4462</v>
      </c>
      <c r="E4045" s="81" t="s">
        <v>2145</v>
      </c>
      <c r="F4045" s="84">
        <v>412.0</v>
      </c>
      <c r="G4045" s="81" t="s">
        <v>40</v>
      </c>
      <c r="H4045" s="81" t="s">
        <v>5774</v>
      </c>
      <c r="I4045" s="81" t="s">
        <v>2147</v>
      </c>
      <c r="J4045" s="81" t="s">
        <v>224</v>
      </c>
    </row>
    <row r="4046" hidden="1">
      <c r="A4046" s="83" t="s">
        <v>6330</v>
      </c>
      <c r="B4046" s="83" t="s">
        <v>6331</v>
      </c>
      <c r="C4046" s="81" t="s">
        <v>4621</v>
      </c>
      <c r="D4046" s="83" t="s">
        <v>4463</v>
      </c>
      <c r="E4046" s="81" t="s">
        <v>2148</v>
      </c>
      <c r="F4046" s="84">
        <v>413.0</v>
      </c>
      <c r="G4046" s="81" t="s">
        <v>39</v>
      </c>
      <c r="H4046" s="81" t="s">
        <v>5775</v>
      </c>
      <c r="I4046" s="81" t="s">
        <v>2153</v>
      </c>
      <c r="J4046" s="81" t="s">
        <v>224</v>
      </c>
    </row>
    <row r="4047" hidden="1">
      <c r="A4047" s="83" t="s">
        <v>6330</v>
      </c>
      <c r="B4047" s="83" t="s">
        <v>6331</v>
      </c>
      <c r="C4047" s="81" t="s">
        <v>4621</v>
      </c>
      <c r="D4047" s="83" t="s">
        <v>4463</v>
      </c>
      <c r="E4047" s="81" t="s">
        <v>2148</v>
      </c>
      <c r="F4047" s="84">
        <v>413.0</v>
      </c>
      <c r="G4047" s="81" t="s">
        <v>40</v>
      </c>
      <c r="H4047" s="81" t="s">
        <v>5776</v>
      </c>
      <c r="I4047" s="81" t="s">
        <v>2154</v>
      </c>
      <c r="J4047" s="81" t="s">
        <v>224</v>
      </c>
    </row>
    <row r="4048" hidden="1">
      <c r="A4048" s="83" t="s">
        <v>6330</v>
      </c>
      <c r="B4048" s="83" t="s">
        <v>6331</v>
      </c>
      <c r="C4048" s="81" t="s">
        <v>4621</v>
      </c>
      <c r="D4048" s="83" t="s">
        <v>4463</v>
      </c>
      <c r="E4048" s="81" t="s">
        <v>2160</v>
      </c>
      <c r="F4048" s="84">
        <v>414.0</v>
      </c>
      <c r="G4048" s="81" t="s">
        <v>40</v>
      </c>
      <c r="H4048" s="81" t="s">
        <v>5776</v>
      </c>
      <c r="I4048" s="81" t="s">
        <v>2154</v>
      </c>
      <c r="J4048" s="81" t="s">
        <v>224</v>
      </c>
    </row>
    <row r="4049" hidden="1">
      <c r="A4049" s="83" t="s">
        <v>6330</v>
      </c>
      <c r="B4049" s="83" t="s">
        <v>6331</v>
      </c>
      <c r="C4049" s="81" t="s">
        <v>4621</v>
      </c>
      <c r="D4049" s="83" t="s">
        <v>4465</v>
      </c>
      <c r="E4049" s="81" t="s">
        <v>2161</v>
      </c>
      <c r="F4049" s="84">
        <v>415.0</v>
      </c>
      <c r="G4049" s="81" t="s">
        <v>40</v>
      </c>
      <c r="H4049" s="81" t="s">
        <v>5777</v>
      </c>
      <c r="I4049" s="81" t="s">
        <v>2163</v>
      </c>
      <c r="J4049" s="81" t="s">
        <v>224</v>
      </c>
    </row>
    <row r="4050" hidden="1">
      <c r="A4050" s="83" t="s">
        <v>6330</v>
      </c>
      <c r="B4050" s="83" t="s">
        <v>6331</v>
      </c>
      <c r="C4050" s="81" t="s">
        <v>4621</v>
      </c>
      <c r="D4050" s="83" t="s">
        <v>4466</v>
      </c>
      <c r="E4050" s="81" t="s">
        <v>2164</v>
      </c>
      <c r="F4050" s="84">
        <v>416.0</v>
      </c>
      <c r="G4050" s="81" t="s">
        <v>39</v>
      </c>
      <c r="H4050" s="81" t="s">
        <v>5778</v>
      </c>
      <c r="I4050" s="81" t="s">
        <v>2171</v>
      </c>
      <c r="J4050" s="81" t="s">
        <v>224</v>
      </c>
    </row>
    <row r="4051" hidden="1">
      <c r="A4051" s="83" t="s">
        <v>6330</v>
      </c>
      <c r="B4051" s="83" t="s">
        <v>6331</v>
      </c>
      <c r="C4051" s="81" t="s">
        <v>4621</v>
      </c>
      <c r="D4051" s="83" t="s">
        <v>4466</v>
      </c>
      <c r="E4051" s="81" t="s">
        <v>2164</v>
      </c>
      <c r="F4051" s="84">
        <v>416.0</v>
      </c>
      <c r="G4051" s="81" t="s">
        <v>40</v>
      </c>
      <c r="H4051" s="81" t="s">
        <v>5779</v>
      </c>
      <c r="I4051" s="81" t="s">
        <v>2172</v>
      </c>
      <c r="J4051" s="81" t="s">
        <v>224</v>
      </c>
    </row>
    <row r="4052" hidden="1">
      <c r="A4052" s="83" t="s">
        <v>6330</v>
      </c>
      <c r="B4052" s="83" t="s">
        <v>6331</v>
      </c>
      <c r="C4052" s="81" t="s">
        <v>4621</v>
      </c>
      <c r="D4052" s="83" t="s">
        <v>4466</v>
      </c>
      <c r="E4052" s="81" t="s">
        <v>2178</v>
      </c>
      <c r="F4052" s="84">
        <v>417.0</v>
      </c>
      <c r="G4052" s="81" t="s">
        <v>40</v>
      </c>
      <c r="H4052" s="81" t="s">
        <v>5779</v>
      </c>
      <c r="I4052" s="81" t="s">
        <v>2172</v>
      </c>
      <c r="J4052" s="81" t="s">
        <v>224</v>
      </c>
    </row>
    <row r="4053" hidden="1">
      <c r="A4053" s="83" t="s">
        <v>6330</v>
      </c>
      <c r="B4053" s="83" t="s">
        <v>6331</v>
      </c>
      <c r="C4053" s="81" t="s">
        <v>4621</v>
      </c>
      <c r="D4053" s="83" t="s">
        <v>4468</v>
      </c>
      <c r="E4053" s="81" t="s">
        <v>2179</v>
      </c>
      <c r="F4053" s="84">
        <v>418.0</v>
      </c>
      <c r="G4053" s="81" t="s">
        <v>40</v>
      </c>
      <c r="H4053" s="81" t="s">
        <v>5780</v>
      </c>
      <c r="I4053" s="81" t="s">
        <v>2182</v>
      </c>
      <c r="J4053" s="81" t="s">
        <v>224</v>
      </c>
    </row>
    <row r="4054" hidden="1">
      <c r="A4054" s="83" t="s">
        <v>6330</v>
      </c>
      <c r="B4054" s="83" t="s">
        <v>6331</v>
      </c>
      <c r="C4054" s="81" t="s">
        <v>4621</v>
      </c>
      <c r="D4054" s="83" t="s">
        <v>4469</v>
      </c>
      <c r="E4054" s="81" t="s">
        <v>2183</v>
      </c>
      <c r="F4054" s="84">
        <v>419.0</v>
      </c>
      <c r="G4054" s="81" t="s">
        <v>39</v>
      </c>
      <c r="H4054" s="81" t="s">
        <v>5781</v>
      </c>
      <c r="I4054" s="81" t="s">
        <v>2188</v>
      </c>
      <c r="J4054" s="81" t="s">
        <v>224</v>
      </c>
    </row>
    <row r="4055" hidden="1">
      <c r="A4055" s="83" t="s">
        <v>6330</v>
      </c>
      <c r="B4055" s="83" t="s">
        <v>6331</v>
      </c>
      <c r="C4055" s="81" t="s">
        <v>4621</v>
      </c>
      <c r="D4055" s="83" t="s">
        <v>4469</v>
      </c>
      <c r="E4055" s="81" t="s">
        <v>2183</v>
      </c>
      <c r="F4055" s="84">
        <v>419.0</v>
      </c>
      <c r="G4055" s="81" t="s">
        <v>40</v>
      </c>
      <c r="H4055" s="81" t="s">
        <v>5782</v>
      </c>
      <c r="I4055" s="81" t="s">
        <v>2189</v>
      </c>
      <c r="J4055" s="81" t="s">
        <v>224</v>
      </c>
    </row>
    <row r="4056" hidden="1">
      <c r="A4056" s="83" t="s">
        <v>6330</v>
      </c>
      <c r="B4056" s="83" t="s">
        <v>6331</v>
      </c>
      <c r="C4056" s="81" t="s">
        <v>4621</v>
      </c>
      <c r="D4056" s="83" t="s">
        <v>4469</v>
      </c>
      <c r="E4056" s="81" t="s">
        <v>2195</v>
      </c>
      <c r="F4056" s="84">
        <v>420.0</v>
      </c>
      <c r="G4056" s="81" t="s">
        <v>40</v>
      </c>
      <c r="H4056" s="81" t="s">
        <v>5783</v>
      </c>
      <c r="I4056" s="81" t="s">
        <v>2189</v>
      </c>
      <c r="J4056" s="81" t="s">
        <v>224</v>
      </c>
    </row>
    <row r="4057" hidden="1">
      <c r="A4057" s="83" t="s">
        <v>6330</v>
      </c>
      <c r="B4057" s="83" t="s">
        <v>6331</v>
      </c>
      <c r="C4057" s="81" t="s">
        <v>4621</v>
      </c>
      <c r="D4057" s="83" t="s">
        <v>4471</v>
      </c>
      <c r="E4057" s="81" t="s">
        <v>2196</v>
      </c>
      <c r="F4057" s="84">
        <v>421.0</v>
      </c>
      <c r="G4057" s="81" t="s">
        <v>40</v>
      </c>
      <c r="H4057" s="81" t="s">
        <v>5784</v>
      </c>
      <c r="I4057" s="81" t="s">
        <v>2198</v>
      </c>
      <c r="J4057" s="81" t="s">
        <v>224</v>
      </c>
    </row>
    <row r="4058" hidden="1">
      <c r="A4058" s="83" t="s">
        <v>6330</v>
      </c>
      <c r="B4058" s="83" t="s">
        <v>6331</v>
      </c>
      <c r="C4058" s="81" t="s">
        <v>4621</v>
      </c>
      <c r="D4058" s="83" t="s">
        <v>4472</v>
      </c>
      <c r="E4058" s="81" t="s">
        <v>2199</v>
      </c>
      <c r="F4058" s="84">
        <v>422.0</v>
      </c>
      <c r="G4058" s="81" t="s">
        <v>39</v>
      </c>
      <c r="H4058" s="81" t="s">
        <v>5785</v>
      </c>
      <c r="I4058" s="81" t="s">
        <v>2201</v>
      </c>
      <c r="J4058" s="81" t="s">
        <v>224</v>
      </c>
    </row>
    <row r="4059" hidden="1">
      <c r="A4059" s="83" t="s">
        <v>6330</v>
      </c>
      <c r="B4059" s="83" t="s">
        <v>6331</v>
      </c>
      <c r="C4059" s="81" t="s">
        <v>4621</v>
      </c>
      <c r="D4059" s="83" t="s">
        <v>4472</v>
      </c>
      <c r="E4059" s="81" t="s">
        <v>2199</v>
      </c>
      <c r="F4059" s="84">
        <v>422.0</v>
      </c>
      <c r="G4059" s="81" t="s">
        <v>40</v>
      </c>
      <c r="H4059" s="81" t="s">
        <v>5786</v>
      </c>
      <c r="I4059" s="81" t="s">
        <v>2202</v>
      </c>
      <c r="J4059" s="81" t="s">
        <v>224</v>
      </c>
    </row>
    <row r="4060" hidden="1">
      <c r="A4060" s="83" t="s">
        <v>6330</v>
      </c>
      <c r="B4060" s="83" t="s">
        <v>6331</v>
      </c>
      <c r="C4060" s="81" t="s">
        <v>4621</v>
      </c>
      <c r="D4060" s="83" t="s">
        <v>4472</v>
      </c>
      <c r="E4060" s="81" t="s">
        <v>2208</v>
      </c>
      <c r="F4060" s="84">
        <v>423.0</v>
      </c>
      <c r="G4060" s="81" t="s">
        <v>40</v>
      </c>
      <c r="H4060" s="81" t="s">
        <v>5786</v>
      </c>
      <c r="I4060" s="81" t="s">
        <v>2202</v>
      </c>
      <c r="J4060" s="81" t="s">
        <v>224</v>
      </c>
    </row>
    <row r="4061" hidden="1">
      <c r="A4061" s="83" t="s">
        <v>6330</v>
      </c>
      <c r="B4061" s="83" t="s">
        <v>6331</v>
      </c>
      <c r="C4061" s="81" t="s">
        <v>4621</v>
      </c>
      <c r="D4061" s="83" t="s">
        <v>4474</v>
      </c>
      <c r="E4061" s="81" t="s">
        <v>2209</v>
      </c>
      <c r="F4061" s="84">
        <v>424.0</v>
      </c>
      <c r="G4061" s="81" t="s">
        <v>40</v>
      </c>
      <c r="H4061" s="81" t="s">
        <v>5787</v>
      </c>
      <c r="I4061" s="81" t="s">
        <v>2211</v>
      </c>
      <c r="J4061" s="81" t="s">
        <v>224</v>
      </c>
    </row>
    <row r="4062" hidden="1">
      <c r="A4062" s="83" t="s">
        <v>6330</v>
      </c>
      <c r="B4062" s="83" t="s">
        <v>6331</v>
      </c>
      <c r="C4062" s="81" t="s">
        <v>4621</v>
      </c>
      <c r="D4062" s="83" t="s">
        <v>4475</v>
      </c>
      <c r="E4062" s="81" t="s">
        <v>2212</v>
      </c>
      <c r="F4062" s="84">
        <v>425.0</v>
      </c>
      <c r="G4062" s="81" t="s">
        <v>39</v>
      </c>
      <c r="H4062" s="81" t="s">
        <v>5788</v>
      </c>
      <c r="I4062" s="81" t="s">
        <v>2218</v>
      </c>
      <c r="J4062" s="81" t="s">
        <v>224</v>
      </c>
    </row>
    <row r="4063" hidden="1">
      <c r="A4063" s="83" t="s">
        <v>6330</v>
      </c>
      <c r="B4063" s="83" t="s">
        <v>6331</v>
      </c>
      <c r="C4063" s="81" t="s">
        <v>4621</v>
      </c>
      <c r="D4063" s="83" t="s">
        <v>4475</v>
      </c>
      <c r="E4063" s="81" t="s">
        <v>2212</v>
      </c>
      <c r="F4063" s="84">
        <v>425.0</v>
      </c>
      <c r="G4063" s="81" t="s">
        <v>40</v>
      </c>
      <c r="H4063" s="81" t="s">
        <v>5789</v>
      </c>
      <c r="I4063" s="81" t="s">
        <v>2219</v>
      </c>
      <c r="J4063" s="81" t="s">
        <v>224</v>
      </c>
    </row>
    <row r="4064" hidden="1">
      <c r="A4064" s="83" t="s">
        <v>6330</v>
      </c>
      <c r="B4064" s="83" t="s">
        <v>6331</v>
      </c>
      <c r="C4064" s="81" t="s">
        <v>4621</v>
      </c>
      <c r="D4064" s="83" t="s">
        <v>4475</v>
      </c>
      <c r="E4064" s="81" t="s">
        <v>2225</v>
      </c>
      <c r="F4064" s="84">
        <v>426.0</v>
      </c>
      <c r="G4064" s="81" t="s">
        <v>39</v>
      </c>
      <c r="H4064" s="81" t="s">
        <v>5790</v>
      </c>
      <c r="I4064" s="81" t="s">
        <v>2218</v>
      </c>
      <c r="J4064" s="81" t="s">
        <v>224</v>
      </c>
    </row>
    <row r="4065" hidden="1">
      <c r="A4065" s="83" t="s">
        <v>6330</v>
      </c>
      <c r="B4065" s="83" t="s">
        <v>6331</v>
      </c>
      <c r="C4065" s="81" t="s">
        <v>4621</v>
      </c>
      <c r="D4065" s="83" t="s">
        <v>4475</v>
      </c>
      <c r="E4065" s="81" t="s">
        <v>2225</v>
      </c>
      <c r="F4065" s="84">
        <v>426.0</v>
      </c>
      <c r="G4065" s="81" t="s">
        <v>40</v>
      </c>
      <c r="H4065" s="81" t="s">
        <v>5789</v>
      </c>
      <c r="I4065" s="81" t="s">
        <v>2219</v>
      </c>
      <c r="J4065" s="81" t="s">
        <v>224</v>
      </c>
    </row>
    <row r="4066" hidden="1">
      <c r="A4066" s="83" t="s">
        <v>6330</v>
      </c>
      <c r="B4066" s="83" t="s">
        <v>6331</v>
      </c>
      <c r="C4066" s="81" t="s">
        <v>4621</v>
      </c>
      <c r="D4066" s="83" t="s">
        <v>4477</v>
      </c>
      <c r="E4066" s="81" t="s">
        <v>2227</v>
      </c>
      <c r="F4066" s="84">
        <v>427.0</v>
      </c>
      <c r="G4066" s="81" t="s">
        <v>39</v>
      </c>
      <c r="H4066" s="81" t="s">
        <v>5791</v>
      </c>
      <c r="I4066" s="81" t="s">
        <v>2228</v>
      </c>
      <c r="J4066" s="81" t="s">
        <v>224</v>
      </c>
    </row>
    <row r="4067" hidden="1">
      <c r="A4067" s="83" t="s">
        <v>6330</v>
      </c>
      <c r="B4067" s="83" t="s">
        <v>6331</v>
      </c>
      <c r="C4067" s="81" t="s">
        <v>4621</v>
      </c>
      <c r="D4067" s="83" t="s">
        <v>4477</v>
      </c>
      <c r="E4067" s="81" t="s">
        <v>2227</v>
      </c>
      <c r="F4067" s="84">
        <v>427.0</v>
      </c>
      <c r="G4067" s="81" t="s">
        <v>40</v>
      </c>
      <c r="H4067" s="81" t="s">
        <v>5792</v>
      </c>
      <c r="I4067" s="81" t="s">
        <v>2229</v>
      </c>
      <c r="J4067" s="81" t="s">
        <v>224</v>
      </c>
    </row>
    <row r="4068" hidden="1">
      <c r="A4068" s="83" t="s">
        <v>6330</v>
      </c>
      <c r="B4068" s="83" t="s">
        <v>6331</v>
      </c>
      <c r="C4068" s="81" t="s">
        <v>4621</v>
      </c>
      <c r="D4068" s="83" t="s">
        <v>4478</v>
      </c>
      <c r="E4068" s="81" t="s">
        <v>2230</v>
      </c>
      <c r="F4068" s="84">
        <v>428.0</v>
      </c>
      <c r="G4068" s="81" t="s">
        <v>39</v>
      </c>
      <c r="H4068" s="81" t="s">
        <v>5793</v>
      </c>
      <c r="I4068" s="81" t="s">
        <v>2234</v>
      </c>
      <c r="J4068" s="81" t="s">
        <v>224</v>
      </c>
    </row>
    <row r="4069" hidden="1">
      <c r="A4069" s="83" t="s">
        <v>6330</v>
      </c>
      <c r="B4069" s="83" t="s">
        <v>6331</v>
      </c>
      <c r="C4069" s="81" t="s">
        <v>4621</v>
      </c>
      <c r="D4069" s="83" t="s">
        <v>4478</v>
      </c>
      <c r="E4069" s="81" t="s">
        <v>2230</v>
      </c>
      <c r="F4069" s="84">
        <v>428.0</v>
      </c>
      <c r="G4069" s="81" t="s">
        <v>40</v>
      </c>
      <c r="H4069" s="81" t="s">
        <v>5794</v>
      </c>
      <c r="I4069" s="81" t="s">
        <v>2235</v>
      </c>
      <c r="J4069" s="81" t="s">
        <v>224</v>
      </c>
    </row>
    <row r="4070" hidden="1">
      <c r="A4070" s="83" t="s">
        <v>6330</v>
      </c>
      <c r="B4070" s="83" t="s">
        <v>6331</v>
      </c>
      <c r="C4070" s="81" t="s">
        <v>4621</v>
      </c>
      <c r="D4070" s="83" t="s">
        <v>4478</v>
      </c>
      <c r="E4070" s="81" t="s">
        <v>2241</v>
      </c>
      <c r="F4070" s="84">
        <v>429.0</v>
      </c>
      <c r="G4070" s="81" t="s">
        <v>39</v>
      </c>
      <c r="H4070" s="81" t="s">
        <v>5795</v>
      </c>
      <c r="I4070" s="81" t="s">
        <v>2234</v>
      </c>
      <c r="J4070" s="81" t="s">
        <v>224</v>
      </c>
    </row>
    <row r="4071" hidden="1">
      <c r="A4071" s="83" t="s">
        <v>6330</v>
      </c>
      <c r="B4071" s="83" t="s">
        <v>6331</v>
      </c>
      <c r="C4071" s="81" t="s">
        <v>4621</v>
      </c>
      <c r="D4071" s="83" t="s">
        <v>4478</v>
      </c>
      <c r="E4071" s="81" t="s">
        <v>2241</v>
      </c>
      <c r="F4071" s="84">
        <v>429.0</v>
      </c>
      <c r="G4071" s="81" t="s">
        <v>40</v>
      </c>
      <c r="H4071" s="81" t="s">
        <v>5794</v>
      </c>
      <c r="I4071" s="81" t="s">
        <v>2235</v>
      </c>
      <c r="J4071" s="81" t="s">
        <v>224</v>
      </c>
    </row>
    <row r="4072" hidden="1">
      <c r="A4072" s="83" t="s">
        <v>6330</v>
      </c>
      <c r="B4072" s="83" t="s">
        <v>6331</v>
      </c>
      <c r="C4072" s="81" t="s">
        <v>4621</v>
      </c>
      <c r="D4072" s="83" t="s">
        <v>4481</v>
      </c>
      <c r="E4072" s="81" t="s">
        <v>2242</v>
      </c>
      <c r="F4072" s="84">
        <v>430.0</v>
      </c>
      <c r="G4072" s="81" t="s">
        <v>39</v>
      </c>
      <c r="H4072" s="81" t="s">
        <v>5796</v>
      </c>
      <c r="I4072" s="81" t="s">
        <v>2243</v>
      </c>
      <c r="J4072" s="81" t="s">
        <v>224</v>
      </c>
    </row>
    <row r="4073" hidden="1">
      <c r="A4073" s="83" t="s">
        <v>6330</v>
      </c>
      <c r="B4073" s="83" t="s">
        <v>6331</v>
      </c>
      <c r="C4073" s="81" t="s">
        <v>4621</v>
      </c>
      <c r="D4073" s="83" t="s">
        <v>4481</v>
      </c>
      <c r="E4073" s="81" t="s">
        <v>2242</v>
      </c>
      <c r="F4073" s="84">
        <v>430.0</v>
      </c>
      <c r="G4073" s="81" t="s">
        <v>40</v>
      </c>
      <c r="H4073" s="81" t="s">
        <v>5797</v>
      </c>
      <c r="I4073" s="81" t="s">
        <v>2244</v>
      </c>
      <c r="J4073" s="81" t="s">
        <v>224</v>
      </c>
    </row>
    <row r="4074" hidden="1">
      <c r="A4074" s="83" t="s">
        <v>6330</v>
      </c>
      <c r="B4074" s="83" t="s">
        <v>6331</v>
      </c>
      <c r="C4074" s="81" t="s">
        <v>4621</v>
      </c>
      <c r="D4074" s="83" t="s">
        <v>4482</v>
      </c>
      <c r="E4074" s="81" t="s">
        <v>2245</v>
      </c>
      <c r="F4074" s="84">
        <v>431.0</v>
      </c>
      <c r="G4074" s="81" t="s">
        <v>39</v>
      </c>
      <c r="H4074" s="81" t="s">
        <v>5795</v>
      </c>
      <c r="I4074" s="81" t="s">
        <v>2249</v>
      </c>
      <c r="J4074" s="81" t="s">
        <v>224</v>
      </c>
    </row>
    <row r="4075" hidden="1">
      <c r="A4075" s="83" t="s">
        <v>6330</v>
      </c>
      <c r="B4075" s="83" t="s">
        <v>6331</v>
      </c>
      <c r="C4075" s="81" t="s">
        <v>6333</v>
      </c>
      <c r="D4075" s="83" t="s">
        <v>4482</v>
      </c>
      <c r="E4075" s="81" t="s">
        <v>2245</v>
      </c>
      <c r="F4075" s="84">
        <v>431.0</v>
      </c>
      <c r="G4075" s="81" t="s">
        <v>40</v>
      </c>
      <c r="H4075" s="81" t="s">
        <v>5794</v>
      </c>
      <c r="I4075" s="81" t="s">
        <v>224</v>
      </c>
      <c r="J4075" s="81" t="s">
        <v>5143</v>
      </c>
    </row>
    <row r="4076" hidden="1">
      <c r="A4076" s="83" t="s">
        <v>6330</v>
      </c>
      <c r="B4076" s="83" t="s">
        <v>6331</v>
      </c>
      <c r="C4076" s="81" t="s">
        <v>4621</v>
      </c>
      <c r="D4076" s="83" t="s">
        <v>4483</v>
      </c>
      <c r="E4076" s="81" t="s">
        <v>2254</v>
      </c>
      <c r="F4076" s="84">
        <v>432.0</v>
      </c>
      <c r="G4076" s="81" t="s">
        <v>39</v>
      </c>
      <c r="H4076" s="81" t="s">
        <v>5796</v>
      </c>
      <c r="I4076" s="81" t="s">
        <v>2255</v>
      </c>
      <c r="J4076" s="81" t="s">
        <v>224</v>
      </c>
    </row>
    <row r="4077" hidden="1">
      <c r="A4077" s="83" t="s">
        <v>6330</v>
      </c>
      <c r="B4077" s="83" t="s">
        <v>6331</v>
      </c>
      <c r="C4077" s="81" t="s">
        <v>6333</v>
      </c>
      <c r="D4077" s="83" t="s">
        <v>4483</v>
      </c>
      <c r="E4077" s="81" t="s">
        <v>2254</v>
      </c>
      <c r="F4077" s="84">
        <v>432.0</v>
      </c>
      <c r="G4077" s="81" t="s">
        <v>40</v>
      </c>
      <c r="H4077" s="81" t="s">
        <v>5797</v>
      </c>
      <c r="I4077" s="81" t="s">
        <v>224</v>
      </c>
      <c r="J4077" s="81" t="s">
        <v>5143</v>
      </c>
    </row>
    <row r="4078" hidden="1">
      <c r="A4078" s="83" t="s">
        <v>6330</v>
      </c>
      <c r="B4078" s="83" t="s">
        <v>6331</v>
      </c>
      <c r="C4078" s="81" t="s">
        <v>4621</v>
      </c>
      <c r="D4078" s="83" t="s">
        <v>4484</v>
      </c>
      <c r="E4078" s="81" t="s">
        <v>2256</v>
      </c>
      <c r="F4078" s="84">
        <v>433.0</v>
      </c>
      <c r="G4078" s="81" t="s">
        <v>39</v>
      </c>
      <c r="H4078" s="81" t="s">
        <v>5798</v>
      </c>
      <c r="I4078" s="81" t="s">
        <v>2260</v>
      </c>
      <c r="J4078" s="81" t="s">
        <v>224</v>
      </c>
    </row>
    <row r="4079" hidden="1">
      <c r="A4079" s="83" t="s">
        <v>6330</v>
      </c>
      <c r="B4079" s="83" t="s">
        <v>6331</v>
      </c>
      <c r="C4079" s="81" t="s">
        <v>4621</v>
      </c>
      <c r="D4079" s="83" t="s">
        <v>4484</v>
      </c>
      <c r="E4079" s="81" t="s">
        <v>2256</v>
      </c>
      <c r="F4079" s="84">
        <v>433.0</v>
      </c>
      <c r="G4079" s="81" t="s">
        <v>40</v>
      </c>
      <c r="H4079" s="81" t="s">
        <v>5799</v>
      </c>
      <c r="I4079" s="81" t="s">
        <v>2261</v>
      </c>
      <c r="J4079" s="81" t="s">
        <v>224</v>
      </c>
    </row>
    <row r="4080" hidden="1">
      <c r="A4080" s="83" t="s">
        <v>6330</v>
      </c>
      <c r="B4080" s="83" t="s">
        <v>6331</v>
      </c>
      <c r="C4080" s="81" t="s">
        <v>4621</v>
      </c>
      <c r="D4080" s="83" t="s">
        <v>4484</v>
      </c>
      <c r="E4080" s="81" t="s">
        <v>2267</v>
      </c>
      <c r="F4080" s="84">
        <v>434.0</v>
      </c>
      <c r="G4080" s="81" t="s">
        <v>40</v>
      </c>
      <c r="H4080" s="81" t="s">
        <v>5799</v>
      </c>
      <c r="I4080" s="81" t="s">
        <v>2261</v>
      </c>
      <c r="J4080" s="81" t="s">
        <v>224</v>
      </c>
    </row>
    <row r="4081" hidden="1">
      <c r="A4081" s="83" t="s">
        <v>6330</v>
      </c>
      <c r="B4081" s="83" t="s">
        <v>6331</v>
      </c>
      <c r="C4081" s="81" t="s">
        <v>4621</v>
      </c>
      <c r="D4081" s="83" t="s">
        <v>4486</v>
      </c>
      <c r="E4081" s="81" t="s">
        <v>2268</v>
      </c>
      <c r="F4081" s="84">
        <v>435.0</v>
      </c>
      <c r="G4081" s="81" t="s">
        <v>40</v>
      </c>
      <c r="H4081" s="81" t="s">
        <v>5800</v>
      </c>
      <c r="I4081" s="81" t="s">
        <v>2270</v>
      </c>
      <c r="J4081" s="81" t="s">
        <v>224</v>
      </c>
    </row>
    <row r="4082" hidden="1">
      <c r="A4082" s="83" t="s">
        <v>6330</v>
      </c>
      <c r="B4082" s="83" t="s">
        <v>6331</v>
      </c>
      <c r="C4082" s="81" t="s">
        <v>4621</v>
      </c>
      <c r="D4082" s="83" t="s">
        <v>4487</v>
      </c>
      <c r="E4082" s="81" t="s">
        <v>2271</v>
      </c>
      <c r="F4082" s="84">
        <v>436.0</v>
      </c>
      <c r="G4082" s="81" t="s">
        <v>39</v>
      </c>
      <c r="H4082" s="81" t="s">
        <v>5801</v>
      </c>
      <c r="I4082" s="81" t="s">
        <v>2274</v>
      </c>
      <c r="J4082" s="81" t="s">
        <v>224</v>
      </c>
    </row>
    <row r="4083" hidden="1">
      <c r="A4083" s="83" t="s">
        <v>6330</v>
      </c>
      <c r="B4083" s="83" t="s">
        <v>6331</v>
      </c>
      <c r="C4083" s="81" t="s">
        <v>4621</v>
      </c>
      <c r="D4083" s="83" t="s">
        <v>4487</v>
      </c>
      <c r="E4083" s="81" t="s">
        <v>2271</v>
      </c>
      <c r="F4083" s="84">
        <v>436.0</v>
      </c>
      <c r="G4083" s="81" t="s">
        <v>40</v>
      </c>
      <c r="H4083" s="81" t="s">
        <v>5802</v>
      </c>
      <c r="I4083" s="81" t="s">
        <v>2275</v>
      </c>
      <c r="J4083" s="81" t="s">
        <v>224</v>
      </c>
    </row>
    <row r="4084" hidden="1">
      <c r="A4084" s="83" t="s">
        <v>6330</v>
      </c>
      <c r="B4084" s="83" t="s">
        <v>6331</v>
      </c>
      <c r="C4084" s="81" t="s">
        <v>4621</v>
      </c>
      <c r="D4084" s="83" t="s">
        <v>4487</v>
      </c>
      <c r="E4084" s="81" t="s">
        <v>2281</v>
      </c>
      <c r="F4084" s="84">
        <v>437.0</v>
      </c>
      <c r="G4084" s="81" t="s">
        <v>40</v>
      </c>
      <c r="H4084" s="81" t="s">
        <v>5802</v>
      </c>
      <c r="I4084" s="81" t="s">
        <v>2275</v>
      </c>
      <c r="J4084" s="81" t="s">
        <v>224</v>
      </c>
    </row>
    <row r="4085" hidden="1">
      <c r="A4085" s="83" t="s">
        <v>6330</v>
      </c>
      <c r="B4085" s="83" t="s">
        <v>6331</v>
      </c>
      <c r="C4085" s="81" t="s">
        <v>4621</v>
      </c>
      <c r="D4085" s="83" t="s">
        <v>4489</v>
      </c>
      <c r="E4085" s="81" t="s">
        <v>2282</v>
      </c>
      <c r="F4085" s="84">
        <v>438.0</v>
      </c>
      <c r="G4085" s="81" t="s">
        <v>40</v>
      </c>
      <c r="H4085" s="81" t="s">
        <v>5803</v>
      </c>
      <c r="I4085" s="81" t="s">
        <v>2284</v>
      </c>
      <c r="J4085" s="81" t="s">
        <v>224</v>
      </c>
    </row>
    <row r="4086" hidden="1">
      <c r="A4086" s="83" t="s">
        <v>6330</v>
      </c>
      <c r="B4086" s="83" t="s">
        <v>6331</v>
      </c>
      <c r="C4086" s="81" t="s">
        <v>4621</v>
      </c>
      <c r="D4086" s="83" t="s">
        <v>4490</v>
      </c>
      <c r="E4086" s="81" t="s">
        <v>2285</v>
      </c>
      <c r="F4086" s="84">
        <v>439.0</v>
      </c>
      <c r="G4086" s="81" t="s">
        <v>39</v>
      </c>
      <c r="H4086" s="81" t="s">
        <v>5804</v>
      </c>
      <c r="I4086" s="81" t="s">
        <v>2290</v>
      </c>
      <c r="J4086" s="81" t="s">
        <v>224</v>
      </c>
    </row>
    <row r="4087" hidden="1">
      <c r="A4087" s="83" t="s">
        <v>6330</v>
      </c>
      <c r="B4087" s="83" t="s">
        <v>6331</v>
      </c>
      <c r="C4087" s="81" t="s">
        <v>4621</v>
      </c>
      <c r="D4087" s="83" t="s">
        <v>4490</v>
      </c>
      <c r="E4087" s="81" t="s">
        <v>2285</v>
      </c>
      <c r="F4087" s="84">
        <v>439.0</v>
      </c>
      <c r="G4087" s="81" t="s">
        <v>40</v>
      </c>
      <c r="H4087" s="81" t="s">
        <v>5805</v>
      </c>
      <c r="I4087" s="81" t="s">
        <v>2291</v>
      </c>
      <c r="J4087" s="81" t="s">
        <v>224</v>
      </c>
    </row>
    <row r="4088" hidden="1">
      <c r="A4088" s="83" t="s">
        <v>6330</v>
      </c>
      <c r="B4088" s="83" t="s">
        <v>6331</v>
      </c>
      <c r="C4088" s="81" t="s">
        <v>4621</v>
      </c>
      <c r="D4088" s="83" t="s">
        <v>4490</v>
      </c>
      <c r="E4088" s="81" t="s">
        <v>2295</v>
      </c>
      <c r="F4088" s="84">
        <v>440.0</v>
      </c>
      <c r="G4088" s="81" t="s">
        <v>40</v>
      </c>
      <c r="H4088" s="81" t="s">
        <v>5805</v>
      </c>
      <c r="I4088" s="81" t="s">
        <v>2291</v>
      </c>
      <c r="J4088" s="81" t="s">
        <v>224</v>
      </c>
    </row>
    <row r="4089" hidden="1">
      <c r="A4089" s="83" t="s">
        <v>6330</v>
      </c>
      <c r="B4089" s="83" t="s">
        <v>6331</v>
      </c>
      <c r="C4089" s="81" t="s">
        <v>4621</v>
      </c>
      <c r="D4089" s="83" t="s">
        <v>4493</v>
      </c>
      <c r="E4089" s="81" t="s">
        <v>2297</v>
      </c>
      <c r="F4089" s="84">
        <v>441.0</v>
      </c>
      <c r="G4089" s="81" t="s">
        <v>40</v>
      </c>
      <c r="H4089" s="81" t="s">
        <v>5806</v>
      </c>
      <c r="I4089" s="81" t="s">
        <v>2299</v>
      </c>
      <c r="J4089" s="81" t="s">
        <v>224</v>
      </c>
    </row>
    <row r="4090" hidden="1">
      <c r="A4090" s="83" t="s">
        <v>6330</v>
      </c>
      <c r="B4090" s="83" t="s">
        <v>6331</v>
      </c>
      <c r="C4090" s="81" t="s">
        <v>4621</v>
      </c>
      <c r="D4090" s="83" t="s">
        <v>4494</v>
      </c>
      <c r="E4090" s="81" t="s">
        <v>2300</v>
      </c>
      <c r="F4090" s="84">
        <v>442.0</v>
      </c>
      <c r="G4090" s="81" t="s">
        <v>39</v>
      </c>
      <c r="H4090" s="81" t="s">
        <v>5807</v>
      </c>
      <c r="I4090" s="81" t="s">
        <v>2303</v>
      </c>
      <c r="J4090" s="81" t="s">
        <v>224</v>
      </c>
    </row>
    <row r="4091" hidden="1">
      <c r="A4091" s="83" t="s">
        <v>6330</v>
      </c>
      <c r="B4091" s="83" t="s">
        <v>6331</v>
      </c>
      <c r="C4091" s="81" t="s">
        <v>6333</v>
      </c>
      <c r="D4091" s="83" t="s">
        <v>4494</v>
      </c>
      <c r="E4091" s="81" t="s">
        <v>2300</v>
      </c>
      <c r="F4091" s="84">
        <v>442.0</v>
      </c>
      <c r="G4091" s="81" t="s">
        <v>40</v>
      </c>
      <c r="H4091" s="81" t="s">
        <v>5808</v>
      </c>
      <c r="I4091" s="81" t="s">
        <v>224</v>
      </c>
      <c r="J4091" s="81" t="s">
        <v>5143</v>
      </c>
    </row>
    <row r="4092" hidden="1">
      <c r="A4092" s="83" t="s">
        <v>6330</v>
      </c>
      <c r="B4092" s="83" t="s">
        <v>6331</v>
      </c>
      <c r="C4092" s="81" t="s">
        <v>4621</v>
      </c>
      <c r="D4092" s="83" t="s">
        <v>4494</v>
      </c>
      <c r="E4092" s="81" t="s">
        <v>2307</v>
      </c>
      <c r="F4092" s="84">
        <v>443.0</v>
      </c>
      <c r="G4092" s="81" t="s">
        <v>39</v>
      </c>
      <c r="H4092" s="81" t="s">
        <v>5809</v>
      </c>
      <c r="I4092" s="81" t="s">
        <v>2303</v>
      </c>
      <c r="J4092" s="81" t="s">
        <v>224</v>
      </c>
    </row>
    <row r="4093" hidden="1">
      <c r="A4093" s="83" t="s">
        <v>6330</v>
      </c>
      <c r="B4093" s="83" t="s">
        <v>6331</v>
      </c>
      <c r="C4093" s="81" t="s">
        <v>6333</v>
      </c>
      <c r="D4093" s="83" t="s">
        <v>4494</v>
      </c>
      <c r="E4093" s="81" t="s">
        <v>2307</v>
      </c>
      <c r="F4093" s="84">
        <v>443.0</v>
      </c>
      <c r="G4093" s="81" t="s">
        <v>40</v>
      </c>
      <c r="H4093" s="81" t="s">
        <v>5808</v>
      </c>
      <c r="I4093" s="81" t="s">
        <v>224</v>
      </c>
      <c r="J4093" s="81" t="s">
        <v>5143</v>
      </c>
    </row>
    <row r="4094" hidden="1">
      <c r="A4094" s="83" t="s">
        <v>6330</v>
      </c>
      <c r="B4094" s="83" t="s">
        <v>6331</v>
      </c>
      <c r="C4094" s="81" t="s">
        <v>4621</v>
      </c>
      <c r="D4094" s="83" t="s">
        <v>4495</v>
      </c>
      <c r="E4094" s="81" t="s">
        <v>2308</v>
      </c>
      <c r="F4094" s="84">
        <v>444.0</v>
      </c>
      <c r="G4094" s="81" t="s">
        <v>39</v>
      </c>
      <c r="H4094" s="81" t="s">
        <v>5810</v>
      </c>
      <c r="I4094" s="81" t="s">
        <v>2309</v>
      </c>
      <c r="J4094" s="81" t="s">
        <v>224</v>
      </c>
    </row>
    <row r="4095" hidden="1">
      <c r="A4095" s="83" t="s">
        <v>6330</v>
      </c>
      <c r="B4095" s="83" t="s">
        <v>6331</v>
      </c>
      <c r="C4095" s="81" t="s">
        <v>6333</v>
      </c>
      <c r="D4095" s="83" t="s">
        <v>4495</v>
      </c>
      <c r="E4095" s="81" t="s">
        <v>2308</v>
      </c>
      <c r="F4095" s="84">
        <v>444.0</v>
      </c>
      <c r="G4095" s="81" t="s">
        <v>40</v>
      </c>
      <c r="H4095" s="81" t="s">
        <v>5811</v>
      </c>
      <c r="I4095" s="81" t="s">
        <v>224</v>
      </c>
      <c r="J4095" s="81" t="s">
        <v>5143</v>
      </c>
    </row>
    <row r="4096" hidden="1">
      <c r="A4096" s="83" t="s">
        <v>6330</v>
      </c>
      <c r="B4096" s="83" t="s">
        <v>6331</v>
      </c>
      <c r="C4096" s="81" t="s">
        <v>4621</v>
      </c>
      <c r="D4096" s="83" t="s">
        <v>4496</v>
      </c>
      <c r="E4096" s="81" t="s">
        <v>2310</v>
      </c>
      <c r="F4096" s="84">
        <v>445.0</v>
      </c>
      <c r="G4096" s="81" t="s">
        <v>39</v>
      </c>
      <c r="H4096" s="81" t="s">
        <v>5812</v>
      </c>
      <c r="I4096" s="81" t="s">
        <v>2313</v>
      </c>
      <c r="J4096" s="81" t="s">
        <v>224</v>
      </c>
    </row>
    <row r="4097" hidden="1">
      <c r="A4097" s="83" t="s">
        <v>6330</v>
      </c>
      <c r="B4097" s="83" t="s">
        <v>6331</v>
      </c>
      <c r="C4097" s="81" t="s">
        <v>6333</v>
      </c>
      <c r="D4097" s="83" t="s">
        <v>4496</v>
      </c>
      <c r="E4097" s="81" t="s">
        <v>2310</v>
      </c>
      <c r="F4097" s="84">
        <v>445.0</v>
      </c>
      <c r="G4097" s="81" t="s">
        <v>40</v>
      </c>
      <c r="H4097" s="81" t="s">
        <v>5813</v>
      </c>
      <c r="I4097" s="81" t="s">
        <v>224</v>
      </c>
      <c r="J4097" s="81" t="s">
        <v>5143</v>
      </c>
    </row>
    <row r="4098" hidden="1">
      <c r="A4098" s="83" t="s">
        <v>6330</v>
      </c>
      <c r="B4098" s="83" t="s">
        <v>6331</v>
      </c>
      <c r="C4098" s="81" t="s">
        <v>4621</v>
      </c>
      <c r="D4098" s="83" t="s">
        <v>4496</v>
      </c>
      <c r="E4098" s="81" t="s">
        <v>2317</v>
      </c>
      <c r="F4098" s="84">
        <v>446.0</v>
      </c>
      <c r="G4098" s="81" t="s">
        <v>39</v>
      </c>
      <c r="H4098" s="81" t="s">
        <v>5812</v>
      </c>
      <c r="I4098" s="81" t="s">
        <v>2313</v>
      </c>
      <c r="J4098" s="81" t="s">
        <v>224</v>
      </c>
    </row>
    <row r="4099" hidden="1">
      <c r="A4099" s="83" t="s">
        <v>6330</v>
      </c>
      <c r="B4099" s="83" t="s">
        <v>6331</v>
      </c>
      <c r="C4099" s="81" t="s">
        <v>6333</v>
      </c>
      <c r="D4099" s="83" t="s">
        <v>4496</v>
      </c>
      <c r="E4099" s="81" t="s">
        <v>2317</v>
      </c>
      <c r="F4099" s="84">
        <v>446.0</v>
      </c>
      <c r="G4099" s="81" t="s">
        <v>40</v>
      </c>
      <c r="H4099" s="81" t="s">
        <v>5813</v>
      </c>
      <c r="I4099" s="81" t="s">
        <v>224</v>
      </c>
      <c r="J4099" s="81" t="s">
        <v>5143</v>
      </c>
    </row>
    <row r="4100" hidden="1">
      <c r="A4100" s="83" t="s">
        <v>6330</v>
      </c>
      <c r="B4100" s="83" t="s">
        <v>6331</v>
      </c>
      <c r="C4100" s="81" t="s">
        <v>4621</v>
      </c>
      <c r="D4100" s="83" t="s">
        <v>4497</v>
      </c>
      <c r="E4100" s="81" t="s">
        <v>2318</v>
      </c>
      <c r="F4100" s="84">
        <v>447.0</v>
      </c>
      <c r="G4100" s="81" t="s">
        <v>39</v>
      </c>
      <c r="H4100" s="81" t="s">
        <v>5814</v>
      </c>
      <c r="I4100" s="81" t="s">
        <v>2319</v>
      </c>
      <c r="J4100" s="81" t="s">
        <v>224</v>
      </c>
    </row>
    <row r="4101" hidden="1">
      <c r="A4101" s="83" t="s">
        <v>6330</v>
      </c>
      <c r="B4101" s="83" t="s">
        <v>6331</v>
      </c>
      <c r="C4101" s="81" t="s">
        <v>6333</v>
      </c>
      <c r="D4101" s="83" t="s">
        <v>4497</v>
      </c>
      <c r="E4101" s="81" t="s">
        <v>2318</v>
      </c>
      <c r="F4101" s="84">
        <v>447.0</v>
      </c>
      <c r="G4101" s="81" t="s">
        <v>40</v>
      </c>
      <c r="H4101" s="81" t="s">
        <v>5815</v>
      </c>
      <c r="I4101" s="81" t="s">
        <v>224</v>
      </c>
      <c r="J4101" s="81" t="s">
        <v>5143</v>
      </c>
    </row>
    <row r="4102" hidden="1">
      <c r="A4102" s="83" t="s">
        <v>6330</v>
      </c>
      <c r="B4102" s="83" t="s">
        <v>6331</v>
      </c>
      <c r="C4102" s="81" t="s">
        <v>4621</v>
      </c>
      <c r="D4102" s="83" t="s">
        <v>4498</v>
      </c>
      <c r="E4102" s="81" t="s">
        <v>2320</v>
      </c>
      <c r="F4102" s="84">
        <v>448.0</v>
      </c>
      <c r="G4102" s="81" t="s">
        <v>39</v>
      </c>
      <c r="H4102" s="81" t="s">
        <v>5816</v>
      </c>
      <c r="I4102" s="81" t="s">
        <v>2322</v>
      </c>
      <c r="J4102" s="81" t="s">
        <v>224</v>
      </c>
    </row>
    <row r="4103" hidden="1">
      <c r="A4103" s="83" t="s">
        <v>6330</v>
      </c>
      <c r="B4103" s="83" t="s">
        <v>6331</v>
      </c>
      <c r="C4103" s="81" t="s">
        <v>4621</v>
      </c>
      <c r="D4103" s="83" t="s">
        <v>4498</v>
      </c>
      <c r="E4103" s="81" t="s">
        <v>2320</v>
      </c>
      <c r="F4103" s="84">
        <v>448.0</v>
      </c>
      <c r="G4103" s="81" t="s">
        <v>40</v>
      </c>
      <c r="H4103" s="81" t="s">
        <v>5817</v>
      </c>
      <c r="I4103" s="81" t="s">
        <v>2323</v>
      </c>
      <c r="J4103" s="81" t="s">
        <v>224</v>
      </c>
    </row>
    <row r="4104" hidden="1">
      <c r="A4104" s="83" t="s">
        <v>6330</v>
      </c>
      <c r="B4104" s="83" t="s">
        <v>6331</v>
      </c>
      <c r="C4104" s="81" t="s">
        <v>4621</v>
      </c>
      <c r="D4104" s="83" t="s">
        <v>4498</v>
      </c>
      <c r="E4104" s="81" t="s">
        <v>2324</v>
      </c>
      <c r="F4104" s="84">
        <v>449.0</v>
      </c>
      <c r="G4104" s="81" t="s">
        <v>39</v>
      </c>
      <c r="H4104" s="81" t="s">
        <v>5818</v>
      </c>
      <c r="I4104" s="81" t="s">
        <v>2322</v>
      </c>
      <c r="J4104" s="81" t="s">
        <v>224</v>
      </c>
    </row>
    <row r="4105" hidden="1">
      <c r="A4105" s="83" t="s">
        <v>6330</v>
      </c>
      <c r="B4105" s="83" t="s">
        <v>6331</v>
      </c>
      <c r="C4105" s="81" t="s">
        <v>4621</v>
      </c>
      <c r="D4105" s="83" t="s">
        <v>4498</v>
      </c>
      <c r="E4105" s="81" t="s">
        <v>2324</v>
      </c>
      <c r="F4105" s="84">
        <v>449.0</v>
      </c>
      <c r="G4105" s="81" t="s">
        <v>40</v>
      </c>
      <c r="H4105" s="81" t="s">
        <v>5819</v>
      </c>
      <c r="I4105" s="81" t="s">
        <v>2323</v>
      </c>
      <c r="J4105" s="81" t="s">
        <v>224</v>
      </c>
    </row>
    <row r="4106" hidden="1">
      <c r="A4106" s="83" t="s">
        <v>6330</v>
      </c>
      <c r="B4106" s="83" t="s">
        <v>6331</v>
      </c>
      <c r="C4106" s="81" t="s">
        <v>4621</v>
      </c>
      <c r="D4106" s="83" t="s">
        <v>4500</v>
      </c>
      <c r="E4106" s="81" t="s">
        <v>2326</v>
      </c>
      <c r="F4106" s="84">
        <v>450.0</v>
      </c>
      <c r="G4106" s="81" t="s">
        <v>39</v>
      </c>
      <c r="H4106" s="81" t="s">
        <v>5820</v>
      </c>
      <c r="I4106" s="81" t="s">
        <v>2327</v>
      </c>
      <c r="J4106" s="81" t="s">
        <v>224</v>
      </c>
    </row>
    <row r="4107" hidden="1">
      <c r="A4107" s="83" t="s">
        <v>6330</v>
      </c>
      <c r="B4107" s="83" t="s">
        <v>6331</v>
      </c>
      <c r="C4107" s="81" t="s">
        <v>4621</v>
      </c>
      <c r="D4107" s="83" t="s">
        <v>4500</v>
      </c>
      <c r="E4107" s="81" t="s">
        <v>2326</v>
      </c>
      <c r="F4107" s="84">
        <v>450.0</v>
      </c>
      <c r="G4107" s="81" t="s">
        <v>40</v>
      </c>
      <c r="H4107" s="81" t="s">
        <v>5821</v>
      </c>
      <c r="I4107" s="81" t="s">
        <v>2328</v>
      </c>
      <c r="J4107" s="81" t="s">
        <v>224</v>
      </c>
    </row>
    <row r="4108" hidden="1">
      <c r="A4108" s="83" t="s">
        <v>6330</v>
      </c>
      <c r="B4108" s="83" t="s">
        <v>6331</v>
      </c>
      <c r="C4108" s="81" t="s">
        <v>4621</v>
      </c>
      <c r="D4108" s="83" t="s">
        <v>4501</v>
      </c>
      <c r="E4108" s="81" t="s">
        <v>2329</v>
      </c>
      <c r="F4108" s="84">
        <v>451.0</v>
      </c>
      <c r="G4108" s="81" t="s">
        <v>39</v>
      </c>
      <c r="H4108" s="81" t="s">
        <v>5822</v>
      </c>
      <c r="I4108" s="81" t="s">
        <v>2332</v>
      </c>
      <c r="J4108" s="81" t="s">
        <v>224</v>
      </c>
    </row>
    <row r="4109" hidden="1">
      <c r="A4109" s="83" t="s">
        <v>6330</v>
      </c>
      <c r="B4109" s="83" t="s">
        <v>6331</v>
      </c>
      <c r="C4109" s="81" t="s">
        <v>6333</v>
      </c>
      <c r="D4109" s="83" t="s">
        <v>4501</v>
      </c>
      <c r="E4109" s="81" t="s">
        <v>2329</v>
      </c>
      <c r="F4109" s="84">
        <v>451.0</v>
      </c>
      <c r="G4109" s="81" t="s">
        <v>40</v>
      </c>
      <c r="H4109" s="81" t="s">
        <v>5823</v>
      </c>
      <c r="I4109" s="81" t="s">
        <v>224</v>
      </c>
      <c r="J4109" s="81" t="s">
        <v>5143</v>
      </c>
    </row>
    <row r="4110" hidden="1">
      <c r="A4110" s="83" t="s">
        <v>6330</v>
      </c>
      <c r="B4110" s="83" t="s">
        <v>6331</v>
      </c>
      <c r="C4110" s="81" t="s">
        <v>4621</v>
      </c>
      <c r="D4110" s="83" t="s">
        <v>4503</v>
      </c>
      <c r="E4110" s="81" t="s">
        <v>2334</v>
      </c>
      <c r="F4110" s="84">
        <v>452.0</v>
      </c>
      <c r="G4110" s="81" t="s">
        <v>39</v>
      </c>
      <c r="H4110" s="81" t="s">
        <v>5824</v>
      </c>
      <c r="I4110" s="81" t="s">
        <v>6325</v>
      </c>
      <c r="J4110" s="81" t="s">
        <v>224</v>
      </c>
    </row>
    <row r="4111" hidden="1">
      <c r="A4111" s="83" t="s">
        <v>6330</v>
      </c>
      <c r="B4111" s="83" t="s">
        <v>6331</v>
      </c>
      <c r="C4111" s="81" t="s">
        <v>4621</v>
      </c>
      <c r="D4111" s="83" t="s">
        <v>4503</v>
      </c>
      <c r="E4111" s="81" t="s">
        <v>2334</v>
      </c>
      <c r="F4111" s="84">
        <v>452.0</v>
      </c>
      <c r="G4111" s="81" t="s">
        <v>40</v>
      </c>
      <c r="H4111" s="81" t="s">
        <v>5825</v>
      </c>
      <c r="I4111" s="81" t="s">
        <v>6326</v>
      </c>
      <c r="J4111" s="81" t="s">
        <v>224</v>
      </c>
    </row>
    <row r="4112" hidden="1">
      <c r="A4112" s="83" t="s">
        <v>6330</v>
      </c>
      <c r="B4112" s="83" t="s">
        <v>6331</v>
      </c>
      <c r="C4112" s="81" t="s">
        <v>4621</v>
      </c>
      <c r="D4112" s="83" t="s">
        <v>4504</v>
      </c>
      <c r="E4112" s="81" t="s">
        <v>2335</v>
      </c>
      <c r="F4112" s="84">
        <v>453.0</v>
      </c>
      <c r="G4112" s="81" t="s">
        <v>39</v>
      </c>
      <c r="H4112" s="81" t="s">
        <v>5826</v>
      </c>
      <c r="I4112" s="81" t="s">
        <v>6325</v>
      </c>
      <c r="J4112" s="81" t="s">
        <v>224</v>
      </c>
    </row>
    <row r="4113" hidden="1">
      <c r="A4113" s="83" t="s">
        <v>6330</v>
      </c>
      <c r="B4113" s="83" t="s">
        <v>6331</v>
      </c>
      <c r="C4113" s="81" t="s">
        <v>4621</v>
      </c>
      <c r="D4113" s="83" t="s">
        <v>4504</v>
      </c>
      <c r="E4113" s="81" t="s">
        <v>2335</v>
      </c>
      <c r="F4113" s="84">
        <v>453.0</v>
      </c>
      <c r="G4113" s="81" t="s">
        <v>40</v>
      </c>
      <c r="H4113" s="81" t="s">
        <v>5827</v>
      </c>
      <c r="I4113" s="81" t="s">
        <v>6326</v>
      </c>
      <c r="J4113" s="81" t="s">
        <v>224</v>
      </c>
    </row>
    <row r="4114" hidden="1">
      <c r="A4114" s="83" t="s">
        <v>6330</v>
      </c>
      <c r="B4114" s="83" t="s">
        <v>6331</v>
      </c>
      <c r="C4114" s="81" t="s">
        <v>4621</v>
      </c>
      <c r="D4114" s="83" t="s">
        <v>4505</v>
      </c>
      <c r="E4114" s="81" t="s">
        <v>2337</v>
      </c>
      <c r="F4114" s="84">
        <v>454.0</v>
      </c>
      <c r="G4114" s="81" t="s">
        <v>39</v>
      </c>
      <c r="H4114" s="81" t="s">
        <v>5828</v>
      </c>
      <c r="I4114" s="81" t="s">
        <v>6325</v>
      </c>
      <c r="J4114" s="81" t="s">
        <v>224</v>
      </c>
    </row>
    <row r="4115" hidden="1">
      <c r="A4115" s="83" t="s">
        <v>6330</v>
      </c>
      <c r="B4115" s="83" t="s">
        <v>6331</v>
      </c>
      <c r="C4115" s="81" t="s">
        <v>4621</v>
      </c>
      <c r="D4115" s="83" t="s">
        <v>4505</v>
      </c>
      <c r="E4115" s="81" t="s">
        <v>2337</v>
      </c>
      <c r="F4115" s="84">
        <v>454.0</v>
      </c>
      <c r="G4115" s="81" t="s">
        <v>40</v>
      </c>
      <c r="H4115" s="81" t="s">
        <v>5829</v>
      </c>
      <c r="I4115" s="81" t="s">
        <v>6326</v>
      </c>
      <c r="J4115" s="81" t="s">
        <v>224</v>
      </c>
    </row>
    <row r="4116" hidden="1">
      <c r="A4116" s="83" t="s">
        <v>6330</v>
      </c>
      <c r="B4116" s="83" t="s">
        <v>6331</v>
      </c>
      <c r="C4116" s="81" t="s">
        <v>4621</v>
      </c>
      <c r="D4116" s="83" t="s">
        <v>4506</v>
      </c>
      <c r="E4116" s="81" t="s">
        <v>2338</v>
      </c>
      <c r="F4116" s="84">
        <v>455.0</v>
      </c>
      <c r="G4116" s="81" t="s">
        <v>40</v>
      </c>
      <c r="H4116" s="81" t="s">
        <v>5830</v>
      </c>
      <c r="I4116" s="81" t="s">
        <v>5831</v>
      </c>
      <c r="J4116" s="81" t="s">
        <v>224</v>
      </c>
    </row>
    <row r="4117" hidden="1">
      <c r="A4117" s="83" t="s">
        <v>6330</v>
      </c>
      <c r="B4117" s="83" t="s">
        <v>6331</v>
      </c>
      <c r="C4117" s="81" t="s">
        <v>4621</v>
      </c>
      <c r="D4117" s="83" t="s">
        <v>4507</v>
      </c>
      <c r="E4117" s="81" t="s">
        <v>2349</v>
      </c>
      <c r="F4117" s="84">
        <v>456.0</v>
      </c>
      <c r="G4117" s="81" t="s">
        <v>39</v>
      </c>
      <c r="H4117" s="81" t="s">
        <v>5832</v>
      </c>
      <c r="I4117" s="81" t="s">
        <v>1927</v>
      </c>
      <c r="J4117" s="81" t="s">
        <v>224</v>
      </c>
    </row>
    <row r="4118" hidden="1">
      <c r="A4118" s="83" t="s">
        <v>6330</v>
      </c>
      <c r="B4118" s="83" t="s">
        <v>6331</v>
      </c>
      <c r="C4118" s="81" t="s">
        <v>4621</v>
      </c>
      <c r="D4118" s="83" t="s">
        <v>4507</v>
      </c>
      <c r="E4118" s="81" t="s">
        <v>2349</v>
      </c>
      <c r="F4118" s="84">
        <v>456.0</v>
      </c>
      <c r="G4118" s="81" t="s">
        <v>40</v>
      </c>
      <c r="H4118" s="81" t="s">
        <v>5833</v>
      </c>
      <c r="I4118" s="81" t="s">
        <v>1928</v>
      </c>
      <c r="J4118" s="81" t="s">
        <v>224</v>
      </c>
    </row>
    <row r="4119" hidden="1">
      <c r="A4119" s="83" t="s">
        <v>6330</v>
      </c>
      <c r="B4119" s="83" t="s">
        <v>6331</v>
      </c>
      <c r="C4119" s="81" t="s">
        <v>4621</v>
      </c>
      <c r="D4119" s="83" t="s">
        <v>4508</v>
      </c>
      <c r="E4119" s="81" t="s">
        <v>2352</v>
      </c>
      <c r="F4119" s="84">
        <v>457.0</v>
      </c>
      <c r="G4119" s="81" t="s">
        <v>39</v>
      </c>
      <c r="H4119" s="81" t="s">
        <v>5834</v>
      </c>
      <c r="I4119" s="81" t="s">
        <v>1942</v>
      </c>
      <c r="J4119" s="81" t="s">
        <v>224</v>
      </c>
    </row>
    <row r="4120" hidden="1">
      <c r="A4120" s="83" t="s">
        <v>6330</v>
      </c>
      <c r="B4120" s="83" t="s">
        <v>6331</v>
      </c>
      <c r="C4120" s="81" t="s">
        <v>4621</v>
      </c>
      <c r="D4120" s="83" t="s">
        <v>4508</v>
      </c>
      <c r="E4120" s="81" t="s">
        <v>2352</v>
      </c>
      <c r="F4120" s="84">
        <v>457.0</v>
      </c>
      <c r="G4120" s="81" t="s">
        <v>40</v>
      </c>
      <c r="H4120" s="81" t="s">
        <v>5835</v>
      </c>
      <c r="I4120" s="81" t="s">
        <v>1943</v>
      </c>
      <c r="J4120" s="81" t="s">
        <v>224</v>
      </c>
    </row>
    <row r="4121" hidden="1">
      <c r="A4121" s="83" t="s">
        <v>6330</v>
      </c>
      <c r="B4121" s="83" t="s">
        <v>6331</v>
      </c>
      <c r="C4121" s="81" t="s">
        <v>4621</v>
      </c>
      <c r="D4121" s="83" t="s">
        <v>4509</v>
      </c>
      <c r="E4121" s="81" t="s">
        <v>2355</v>
      </c>
      <c r="F4121" s="84">
        <v>458.0</v>
      </c>
      <c r="G4121" s="81" t="s">
        <v>39</v>
      </c>
      <c r="H4121" s="81" t="s">
        <v>5836</v>
      </c>
      <c r="I4121" s="81" t="s">
        <v>1956</v>
      </c>
      <c r="J4121" s="81" t="s">
        <v>224</v>
      </c>
    </row>
    <row r="4122" hidden="1">
      <c r="A4122" s="83" t="s">
        <v>6330</v>
      </c>
      <c r="B4122" s="83" t="s">
        <v>6331</v>
      </c>
      <c r="C4122" s="81" t="s">
        <v>4621</v>
      </c>
      <c r="D4122" s="83" t="s">
        <v>4509</v>
      </c>
      <c r="E4122" s="81" t="s">
        <v>2355</v>
      </c>
      <c r="F4122" s="84">
        <v>458.0</v>
      </c>
      <c r="G4122" s="81" t="s">
        <v>40</v>
      </c>
      <c r="H4122" s="81" t="s">
        <v>5837</v>
      </c>
      <c r="I4122" s="81" t="s">
        <v>1957</v>
      </c>
      <c r="J4122" s="81" t="s">
        <v>224</v>
      </c>
    </row>
    <row r="4123" hidden="1">
      <c r="A4123" s="83" t="s">
        <v>6330</v>
      </c>
      <c r="B4123" s="83" t="s">
        <v>6331</v>
      </c>
      <c r="C4123" s="81" t="s">
        <v>4621</v>
      </c>
      <c r="D4123" s="83" t="s">
        <v>4510</v>
      </c>
      <c r="E4123" s="81" t="s">
        <v>2357</v>
      </c>
      <c r="F4123" s="84">
        <v>459.0</v>
      </c>
      <c r="G4123" s="81" t="s">
        <v>39</v>
      </c>
      <c r="H4123" s="81" t="s">
        <v>5838</v>
      </c>
      <c r="I4123" s="81" t="s">
        <v>1968</v>
      </c>
      <c r="J4123" s="81" t="s">
        <v>224</v>
      </c>
    </row>
    <row r="4124" hidden="1">
      <c r="A4124" s="83" t="s">
        <v>6330</v>
      </c>
      <c r="B4124" s="83" t="s">
        <v>6331</v>
      </c>
      <c r="C4124" s="81" t="s">
        <v>4621</v>
      </c>
      <c r="D4124" s="83" t="s">
        <v>4510</v>
      </c>
      <c r="E4124" s="81" t="s">
        <v>2357</v>
      </c>
      <c r="F4124" s="84">
        <v>459.0</v>
      </c>
      <c r="G4124" s="81" t="s">
        <v>40</v>
      </c>
      <c r="H4124" s="81" t="s">
        <v>5839</v>
      </c>
      <c r="I4124" s="81" t="s">
        <v>6327</v>
      </c>
      <c r="J4124" s="81" t="s">
        <v>224</v>
      </c>
    </row>
    <row r="4125" hidden="1">
      <c r="A4125" s="83" t="s">
        <v>6330</v>
      </c>
      <c r="B4125" s="83" t="s">
        <v>6331</v>
      </c>
      <c r="C4125" s="81" t="s">
        <v>4621</v>
      </c>
      <c r="D4125" s="83" t="s">
        <v>4511</v>
      </c>
      <c r="E4125" s="81" t="s">
        <v>2359</v>
      </c>
      <c r="F4125" s="84">
        <v>460.0</v>
      </c>
      <c r="G4125" s="81" t="s">
        <v>39</v>
      </c>
      <c r="H4125" s="81" t="s">
        <v>5840</v>
      </c>
      <c r="I4125" s="81" t="s">
        <v>2362</v>
      </c>
      <c r="J4125" s="81" t="s">
        <v>224</v>
      </c>
    </row>
    <row r="4126" hidden="1">
      <c r="A4126" s="83" t="s">
        <v>6330</v>
      </c>
      <c r="B4126" s="83" t="s">
        <v>6331</v>
      </c>
      <c r="C4126" s="81" t="s">
        <v>6333</v>
      </c>
      <c r="D4126" s="83" t="s">
        <v>4511</v>
      </c>
      <c r="E4126" s="81" t="s">
        <v>2359</v>
      </c>
      <c r="F4126" s="84">
        <v>460.0</v>
      </c>
      <c r="G4126" s="81" t="s">
        <v>40</v>
      </c>
      <c r="H4126" s="81" t="s">
        <v>5841</v>
      </c>
      <c r="I4126" s="81" t="s">
        <v>224</v>
      </c>
      <c r="J4126" s="81" t="s">
        <v>5143</v>
      </c>
    </row>
    <row r="4127" hidden="1">
      <c r="A4127" s="83" t="s">
        <v>6330</v>
      </c>
      <c r="B4127" s="83" t="s">
        <v>6331</v>
      </c>
      <c r="C4127" s="81" t="s">
        <v>4621</v>
      </c>
      <c r="D4127" s="83" t="s">
        <v>4512</v>
      </c>
      <c r="E4127" s="81" t="s">
        <v>2363</v>
      </c>
      <c r="F4127" s="84">
        <v>461.0</v>
      </c>
      <c r="G4127" s="81" t="s">
        <v>39</v>
      </c>
      <c r="H4127" s="81" t="s">
        <v>5842</v>
      </c>
      <c r="I4127" s="81" t="s">
        <v>2365</v>
      </c>
      <c r="J4127" s="81" t="s">
        <v>224</v>
      </c>
    </row>
    <row r="4128" hidden="1">
      <c r="A4128" s="83" t="s">
        <v>6330</v>
      </c>
      <c r="B4128" s="83" t="s">
        <v>6331</v>
      </c>
      <c r="C4128" s="81" t="s">
        <v>6333</v>
      </c>
      <c r="D4128" s="83" t="s">
        <v>4512</v>
      </c>
      <c r="E4128" s="81" t="s">
        <v>2363</v>
      </c>
      <c r="F4128" s="84">
        <v>461.0</v>
      </c>
      <c r="G4128" s="81" t="s">
        <v>40</v>
      </c>
      <c r="H4128" s="81" t="s">
        <v>5843</v>
      </c>
      <c r="I4128" s="81" t="s">
        <v>224</v>
      </c>
      <c r="J4128" s="81" t="s">
        <v>5143</v>
      </c>
    </row>
    <row r="4129" hidden="1">
      <c r="A4129" s="83" t="s">
        <v>6330</v>
      </c>
      <c r="B4129" s="83" t="s">
        <v>6331</v>
      </c>
      <c r="C4129" s="81" t="s">
        <v>6333</v>
      </c>
      <c r="D4129" s="83" t="s">
        <v>4516</v>
      </c>
      <c r="E4129" s="81" t="s">
        <v>2377</v>
      </c>
      <c r="F4129" s="84">
        <v>464.0</v>
      </c>
      <c r="G4129" s="81" t="s">
        <v>40</v>
      </c>
      <c r="H4129" s="81" t="s">
        <v>49</v>
      </c>
      <c r="I4129" s="81" t="s">
        <v>224</v>
      </c>
      <c r="J4129" s="81" t="s">
        <v>5143</v>
      </c>
    </row>
    <row r="4130" hidden="1">
      <c r="A4130" s="83" t="s">
        <v>6330</v>
      </c>
      <c r="B4130" s="83" t="s">
        <v>6331</v>
      </c>
      <c r="C4130" s="81" t="s">
        <v>4621</v>
      </c>
      <c r="D4130" s="83" t="s">
        <v>4517</v>
      </c>
      <c r="E4130" s="81" t="s">
        <v>2380</v>
      </c>
      <c r="F4130" s="84">
        <v>465.0</v>
      </c>
      <c r="G4130" s="81" t="s">
        <v>39</v>
      </c>
      <c r="H4130" s="81" t="s">
        <v>5844</v>
      </c>
      <c r="I4130" s="81" t="s">
        <v>2385</v>
      </c>
      <c r="J4130" s="81" t="s">
        <v>224</v>
      </c>
    </row>
    <row r="4131" hidden="1">
      <c r="A4131" s="83" t="s">
        <v>6330</v>
      </c>
      <c r="B4131" s="83" t="s">
        <v>6331</v>
      </c>
      <c r="C4131" s="81" t="s">
        <v>4621</v>
      </c>
      <c r="D4131" s="83" t="s">
        <v>4517</v>
      </c>
      <c r="E4131" s="81" t="s">
        <v>2380</v>
      </c>
      <c r="F4131" s="84">
        <v>465.0</v>
      </c>
      <c r="G4131" s="81" t="s">
        <v>40</v>
      </c>
      <c r="H4131" s="81" t="s">
        <v>5845</v>
      </c>
      <c r="I4131" s="81" t="s">
        <v>5846</v>
      </c>
      <c r="J4131" s="81" t="s">
        <v>224</v>
      </c>
    </row>
    <row r="4132" hidden="1">
      <c r="A4132" s="83" t="s">
        <v>6330</v>
      </c>
      <c r="B4132" s="83" t="s">
        <v>6331</v>
      </c>
      <c r="C4132" s="81" t="s">
        <v>4621</v>
      </c>
      <c r="D4132" s="83" t="s">
        <v>4517</v>
      </c>
      <c r="E4132" s="81" t="s">
        <v>2391</v>
      </c>
      <c r="F4132" s="84">
        <v>466.0</v>
      </c>
      <c r="G4132" s="81" t="s">
        <v>39</v>
      </c>
      <c r="H4132" s="81" t="s">
        <v>5844</v>
      </c>
      <c r="I4132" s="81" t="s">
        <v>2385</v>
      </c>
      <c r="J4132" s="81" t="s">
        <v>224</v>
      </c>
    </row>
    <row r="4133" hidden="1">
      <c r="A4133" s="83" t="s">
        <v>6330</v>
      </c>
      <c r="B4133" s="83" t="s">
        <v>6331</v>
      </c>
      <c r="C4133" s="81" t="s">
        <v>4621</v>
      </c>
      <c r="D4133" s="83" t="s">
        <v>4517</v>
      </c>
      <c r="E4133" s="81" t="s">
        <v>2391</v>
      </c>
      <c r="F4133" s="84">
        <v>466.0</v>
      </c>
      <c r="G4133" s="81" t="s">
        <v>40</v>
      </c>
      <c r="H4133" s="81" t="s">
        <v>5845</v>
      </c>
      <c r="I4133" s="81" t="s">
        <v>5846</v>
      </c>
      <c r="J4133" s="81" t="s">
        <v>224</v>
      </c>
    </row>
    <row r="4134" hidden="1">
      <c r="A4134" s="83" t="s">
        <v>6330</v>
      </c>
      <c r="B4134" s="83" t="s">
        <v>6331</v>
      </c>
      <c r="C4134" s="81" t="s">
        <v>4621</v>
      </c>
      <c r="D4134" s="83" t="s">
        <v>4518</v>
      </c>
      <c r="E4134" s="81" t="s">
        <v>2393</v>
      </c>
      <c r="F4134" s="84">
        <v>467.0</v>
      </c>
      <c r="G4134" s="81" t="s">
        <v>39</v>
      </c>
      <c r="H4134" s="81" t="s">
        <v>5844</v>
      </c>
      <c r="I4134" s="81" t="s">
        <v>2398</v>
      </c>
      <c r="J4134" s="81" t="s">
        <v>224</v>
      </c>
    </row>
    <row r="4135" hidden="1">
      <c r="A4135" s="83" t="s">
        <v>6330</v>
      </c>
      <c r="B4135" s="83" t="s">
        <v>6331</v>
      </c>
      <c r="C4135" s="81" t="s">
        <v>6333</v>
      </c>
      <c r="D4135" s="83" t="s">
        <v>4518</v>
      </c>
      <c r="E4135" s="81" t="s">
        <v>2393</v>
      </c>
      <c r="F4135" s="84">
        <v>467.0</v>
      </c>
      <c r="G4135" s="81" t="s">
        <v>40</v>
      </c>
      <c r="H4135" s="81" t="s">
        <v>5845</v>
      </c>
      <c r="I4135" s="81" t="s">
        <v>224</v>
      </c>
      <c r="J4135" s="81" t="s">
        <v>5143</v>
      </c>
    </row>
    <row r="4136" hidden="1">
      <c r="A4136" s="83" t="s">
        <v>6330</v>
      </c>
      <c r="B4136" s="83" t="s">
        <v>6331</v>
      </c>
      <c r="C4136" s="81" t="s">
        <v>4621</v>
      </c>
      <c r="D4136" s="83" t="s">
        <v>4519</v>
      </c>
      <c r="E4136" s="81" t="s">
        <v>2402</v>
      </c>
      <c r="F4136" s="84">
        <v>468.0</v>
      </c>
      <c r="G4136" s="81" t="s">
        <v>39</v>
      </c>
      <c r="H4136" s="81" t="s">
        <v>5844</v>
      </c>
      <c r="I4136" s="81" t="s">
        <v>2405</v>
      </c>
      <c r="J4136" s="81" t="s">
        <v>224</v>
      </c>
    </row>
    <row r="4137" hidden="1">
      <c r="A4137" s="83" t="s">
        <v>6330</v>
      </c>
      <c r="B4137" s="83" t="s">
        <v>6331</v>
      </c>
      <c r="C4137" s="81" t="s">
        <v>6333</v>
      </c>
      <c r="D4137" s="83" t="s">
        <v>4519</v>
      </c>
      <c r="E4137" s="81" t="s">
        <v>2402</v>
      </c>
      <c r="F4137" s="84">
        <v>468.0</v>
      </c>
      <c r="G4137" s="81" t="s">
        <v>40</v>
      </c>
      <c r="H4137" s="81" t="s">
        <v>5845</v>
      </c>
      <c r="I4137" s="81" t="s">
        <v>224</v>
      </c>
      <c r="J4137" s="81" t="s">
        <v>5143</v>
      </c>
    </row>
    <row r="4138" hidden="1">
      <c r="A4138" s="83" t="s">
        <v>6330</v>
      </c>
      <c r="B4138" s="83" t="s">
        <v>6331</v>
      </c>
      <c r="C4138" s="81" t="s">
        <v>4621</v>
      </c>
      <c r="D4138" s="83" t="s">
        <v>4520</v>
      </c>
      <c r="E4138" s="81" t="s">
        <v>2409</v>
      </c>
      <c r="F4138" s="84">
        <v>469.0</v>
      </c>
      <c r="G4138" s="81" t="s">
        <v>39</v>
      </c>
      <c r="H4138" s="81" t="s">
        <v>5847</v>
      </c>
      <c r="I4138" s="81" t="s">
        <v>2412</v>
      </c>
      <c r="J4138" s="81" t="s">
        <v>224</v>
      </c>
    </row>
    <row r="4139" hidden="1">
      <c r="A4139" s="83" t="s">
        <v>6330</v>
      </c>
      <c r="B4139" s="83" t="s">
        <v>6331</v>
      </c>
      <c r="C4139" s="81" t="s">
        <v>4621</v>
      </c>
      <c r="D4139" s="83" t="s">
        <v>4520</v>
      </c>
      <c r="E4139" s="81" t="s">
        <v>2409</v>
      </c>
      <c r="F4139" s="84">
        <v>469.0</v>
      </c>
      <c r="G4139" s="81" t="s">
        <v>40</v>
      </c>
      <c r="H4139" s="81" t="s">
        <v>5848</v>
      </c>
      <c r="I4139" s="81" t="s">
        <v>2413</v>
      </c>
      <c r="J4139" s="81" t="s">
        <v>224</v>
      </c>
    </row>
    <row r="4140" hidden="1">
      <c r="A4140" s="83" t="s">
        <v>6330</v>
      </c>
      <c r="B4140" s="83" t="s">
        <v>6331</v>
      </c>
      <c r="C4140" s="81" t="s">
        <v>4621</v>
      </c>
      <c r="D4140" s="83" t="s">
        <v>4520</v>
      </c>
      <c r="E4140" s="81" t="s">
        <v>2414</v>
      </c>
      <c r="F4140" s="84">
        <v>470.0</v>
      </c>
      <c r="G4140" s="81" t="s">
        <v>39</v>
      </c>
      <c r="H4140" s="81" t="s">
        <v>5847</v>
      </c>
      <c r="I4140" s="81" t="s">
        <v>2412</v>
      </c>
      <c r="J4140" s="81" t="s">
        <v>224</v>
      </c>
    </row>
    <row r="4141" hidden="1">
      <c r="A4141" s="83" t="s">
        <v>6330</v>
      </c>
      <c r="B4141" s="83" t="s">
        <v>6331</v>
      </c>
      <c r="C4141" s="81" t="s">
        <v>4621</v>
      </c>
      <c r="D4141" s="83" t="s">
        <v>4520</v>
      </c>
      <c r="E4141" s="81" t="s">
        <v>2414</v>
      </c>
      <c r="F4141" s="84">
        <v>470.0</v>
      </c>
      <c r="G4141" s="81" t="s">
        <v>40</v>
      </c>
      <c r="H4141" s="81" t="s">
        <v>5848</v>
      </c>
      <c r="I4141" s="81" t="s">
        <v>2413</v>
      </c>
      <c r="J4141" s="81" t="s">
        <v>224</v>
      </c>
    </row>
    <row r="4142" hidden="1">
      <c r="A4142" s="83" t="s">
        <v>6330</v>
      </c>
      <c r="B4142" s="83" t="s">
        <v>6331</v>
      </c>
      <c r="C4142" s="81" t="s">
        <v>4621</v>
      </c>
      <c r="D4142" s="83" t="s">
        <v>4523</v>
      </c>
      <c r="E4142" s="81" t="s">
        <v>2416</v>
      </c>
      <c r="F4142" s="84">
        <v>471.0</v>
      </c>
      <c r="G4142" s="81" t="s">
        <v>39</v>
      </c>
      <c r="H4142" s="81" t="s">
        <v>5849</v>
      </c>
      <c r="I4142" s="81" t="s">
        <v>2417</v>
      </c>
      <c r="J4142" s="81" t="s">
        <v>224</v>
      </c>
    </row>
    <row r="4143" hidden="1">
      <c r="A4143" s="83" t="s">
        <v>6330</v>
      </c>
      <c r="B4143" s="83" t="s">
        <v>6331</v>
      </c>
      <c r="C4143" s="81" t="s">
        <v>4621</v>
      </c>
      <c r="D4143" s="83" t="s">
        <v>4523</v>
      </c>
      <c r="E4143" s="81" t="s">
        <v>2416</v>
      </c>
      <c r="F4143" s="84">
        <v>471.0</v>
      </c>
      <c r="G4143" s="81" t="s">
        <v>40</v>
      </c>
      <c r="H4143" s="81" t="s">
        <v>5850</v>
      </c>
      <c r="I4143" s="81" t="s">
        <v>2418</v>
      </c>
      <c r="J4143" s="81" t="s">
        <v>224</v>
      </c>
    </row>
    <row r="4144" hidden="1">
      <c r="A4144" s="83" t="s">
        <v>6330</v>
      </c>
      <c r="B4144" s="83" t="s">
        <v>6331</v>
      </c>
      <c r="C4144" s="81" t="s">
        <v>4621</v>
      </c>
      <c r="D4144" s="83" t="s">
        <v>4524</v>
      </c>
      <c r="E4144" s="81" t="s">
        <v>2419</v>
      </c>
      <c r="F4144" s="84">
        <v>472.0</v>
      </c>
      <c r="G4144" s="81" t="s">
        <v>39</v>
      </c>
      <c r="H4144" s="81" t="s">
        <v>5851</v>
      </c>
      <c r="I4144" s="81" t="s">
        <v>2433</v>
      </c>
      <c r="J4144" s="81" t="s">
        <v>224</v>
      </c>
    </row>
    <row r="4145" hidden="1">
      <c r="A4145" s="83" t="s">
        <v>6330</v>
      </c>
      <c r="B4145" s="83" t="s">
        <v>6331</v>
      </c>
      <c r="C4145" s="81" t="s">
        <v>4621</v>
      </c>
      <c r="D4145" s="83" t="s">
        <v>4524</v>
      </c>
      <c r="E4145" s="81" t="s">
        <v>2419</v>
      </c>
      <c r="F4145" s="84">
        <v>472.0</v>
      </c>
      <c r="G4145" s="81" t="s">
        <v>40</v>
      </c>
      <c r="H4145" s="81" t="s">
        <v>5852</v>
      </c>
      <c r="I4145" s="81" t="s">
        <v>2434</v>
      </c>
      <c r="J4145" s="81" t="s">
        <v>224</v>
      </c>
    </row>
    <row r="4146" hidden="1">
      <c r="A4146" s="83" t="s">
        <v>6330</v>
      </c>
      <c r="B4146" s="83" t="s">
        <v>6331</v>
      </c>
      <c r="C4146" s="81" t="s">
        <v>4621</v>
      </c>
      <c r="D4146" s="83" t="s">
        <v>4524</v>
      </c>
      <c r="E4146" s="81" t="s">
        <v>2440</v>
      </c>
      <c r="F4146" s="84">
        <v>473.0</v>
      </c>
      <c r="G4146" s="81" t="s">
        <v>39</v>
      </c>
      <c r="H4146" s="81" t="s">
        <v>5853</v>
      </c>
      <c r="I4146" s="81" t="s">
        <v>2433</v>
      </c>
      <c r="J4146" s="81" t="s">
        <v>224</v>
      </c>
    </row>
    <row r="4147" hidden="1">
      <c r="A4147" s="83" t="s">
        <v>6330</v>
      </c>
      <c r="B4147" s="83" t="s">
        <v>6331</v>
      </c>
      <c r="C4147" s="81" t="s">
        <v>4621</v>
      </c>
      <c r="D4147" s="83" t="s">
        <v>4524</v>
      </c>
      <c r="E4147" s="81" t="s">
        <v>2440</v>
      </c>
      <c r="F4147" s="84">
        <v>473.0</v>
      </c>
      <c r="G4147" s="81" t="s">
        <v>40</v>
      </c>
      <c r="H4147" s="81" t="s">
        <v>5854</v>
      </c>
      <c r="I4147" s="81" t="s">
        <v>2434</v>
      </c>
      <c r="J4147" s="81" t="s">
        <v>224</v>
      </c>
    </row>
    <row r="4148" hidden="1">
      <c r="A4148" s="83" t="s">
        <v>6330</v>
      </c>
      <c r="B4148" s="83" t="s">
        <v>6331</v>
      </c>
      <c r="C4148" s="81" t="s">
        <v>4621</v>
      </c>
      <c r="D4148" s="83" t="s">
        <v>4527</v>
      </c>
      <c r="E4148" s="81" t="s">
        <v>2444</v>
      </c>
      <c r="F4148" s="84">
        <v>474.0</v>
      </c>
      <c r="G4148" s="81" t="s">
        <v>39</v>
      </c>
      <c r="H4148" s="81" t="s">
        <v>5855</v>
      </c>
      <c r="I4148" s="81" t="s">
        <v>2450</v>
      </c>
      <c r="J4148" s="81" t="s">
        <v>224</v>
      </c>
    </row>
    <row r="4149" hidden="1">
      <c r="A4149" s="83" t="s">
        <v>6330</v>
      </c>
      <c r="B4149" s="83" t="s">
        <v>6331</v>
      </c>
      <c r="C4149" s="81" t="s">
        <v>4621</v>
      </c>
      <c r="D4149" s="83" t="s">
        <v>4527</v>
      </c>
      <c r="E4149" s="81" t="s">
        <v>2444</v>
      </c>
      <c r="F4149" s="84">
        <v>474.0</v>
      </c>
      <c r="G4149" s="81" t="s">
        <v>40</v>
      </c>
      <c r="H4149" s="81" t="s">
        <v>5856</v>
      </c>
      <c r="I4149" s="81" t="s">
        <v>2451</v>
      </c>
      <c r="J4149" s="81" t="s">
        <v>224</v>
      </c>
    </row>
    <row r="4150" hidden="1">
      <c r="A4150" s="83" t="s">
        <v>6330</v>
      </c>
      <c r="B4150" s="83" t="s">
        <v>6331</v>
      </c>
      <c r="C4150" s="81" t="s">
        <v>4621</v>
      </c>
      <c r="D4150" s="83" t="s">
        <v>4529</v>
      </c>
      <c r="E4150" s="81" t="s">
        <v>2456</v>
      </c>
      <c r="F4150" s="84">
        <v>475.0</v>
      </c>
      <c r="G4150" s="81" t="s">
        <v>39</v>
      </c>
      <c r="H4150" s="81" t="s">
        <v>5857</v>
      </c>
      <c r="I4150" s="81" t="s">
        <v>2467</v>
      </c>
      <c r="J4150" s="81" t="s">
        <v>224</v>
      </c>
    </row>
    <row r="4151" hidden="1">
      <c r="A4151" s="83" t="s">
        <v>6330</v>
      </c>
      <c r="B4151" s="83" t="s">
        <v>6331</v>
      </c>
      <c r="C4151" s="81" t="s">
        <v>4621</v>
      </c>
      <c r="D4151" s="83" t="s">
        <v>4529</v>
      </c>
      <c r="E4151" s="81" t="s">
        <v>2456</v>
      </c>
      <c r="F4151" s="84">
        <v>475.0</v>
      </c>
      <c r="G4151" s="81" t="s">
        <v>40</v>
      </c>
      <c r="H4151" s="81" t="s">
        <v>5858</v>
      </c>
      <c r="I4151" s="81" t="s">
        <v>2468</v>
      </c>
      <c r="J4151" s="81" t="s">
        <v>224</v>
      </c>
    </row>
    <row r="4152" hidden="1">
      <c r="A4152" s="83" t="s">
        <v>6330</v>
      </c>
      <c r="B4152" s="83" t="s">
        <v>6331</v>
      </c>
      <c r="C4152" s="81" t="s">
        <v>4621</v>
      </c>
      <c r="D4152" s="83" t="s">
        <v>4529</v>
      </c>
      <c r="E4152" s="81" t="s">
        <v>2474</v>
      </c>
      <c r="F4152" s="84">
        <v>476.0</v>
      </c>
      <c r="G4152" s="81" t="s">
        <v>39</v>
      </c>
      <c r="H4152" s="81" t="s">
        <v>5857</v>
      </c>
      <c r="I4152" s="81" t="s">
        <v>2467</v>
      </c>
      <c r="J4152" s="81" t="s">
        <v>224</v>
      </c>
    </row>
    <row r="4153" hidden="1">
      <c r="A4153" s="83" t="s">
        <v>6330</v>
      </c>
      <c r="B4153" s="83" t="s">
        <v>6331</v>
      </c>
      <c r="C4153" s="81" t="s">
        <v>4621</v>
      </c>
      <c r="D4153" s="83" t="s">
        <v>4529</v>
      </c>
      <c r="E4153" s="81" t="s">
        <v>2474</v>
      </c>
      <c r="F4153" s="84">
        <v>476.0</v>
      </c>
      <c r="G4153" s="81" t="s">
        <v>40</v>
      </c>
      <c r="H4153" s="81" t="s">
        <v>5858</v>
      </c>
      <c r="I4153" s="81" t="s">
        <v>2468</v>
      </c>
      <c r="J4153" s="81" t="s">
        <v>224</v>
      </c>
    </row>
    <row r="4154" hidden="1">
      <c r="A4154" s="83" t="s">
        <v>6330</v>
      </c>
      <c r="B4154" s="83" t="s">
        <v>6331</v>
      </c>
      <c r="C4154" s="81" t="s">
        <v>4621</v>
      </c>
      <c r="D4154" s="83" t="s">
        <v>4530</v>
      </c>
      <c r="E4154" s="81" t="s">
        <v>2475</v>
      </c>
      <c r="F4154" s="84">
        <v>477.0</v>
      </c>
      <c r="G4154" s="81" t="s">
        <v>39</v>
      </c>
      <c r="H4154" s="81" t="s">
        <v>5859</v>
      </c>
      <c r="I4154" s="81" t="s">
        <v>2483</v>
      </c>
      <c r="J4154" s="81" t="s">
        <v>224</v>
      </c>
    </row>
    <row r="4155" hidden="1">
      <c r="A4155" s="83" t="s">
        <v>6330</v>
      </c>
      <c r="B4155" s="83" t="s">
        <v>6331</v>
      </c>
      <c r="C4155" s="81" t="s">
        <v>4621</v>
      </c>
      <c r="D4155" s="83" t="s">
        <v>4530</v>
      </c>
      <c r="E4155" s="81" t="s">
        <v>2475</v>
      </c>
      <c r="F4155" s="84">
        <v>477.0</v>
      </c>
      <c r="G4155" s="81" t="s">
        <v>40</v>
      </c>
      <c r="H4155" s="81" t="s">
        <v>5860</v>
      </c>
      <c r="I4155" s="81" t="s">
        <v>2484</v>
      </c>
      <c r="J4155" s="81" t="s">
        <v>224</v>
      </c>
    </row>
    <row r="4156" hidden="1">
      <c r="A4156" s="83" t="s">
        <v>6330</v>
      </c>
      <c r="B4156" s="83" t="s">
        <v>6331</v>
      </c>
      <c r="C4156" s="81" t="s">
        <v>4621</v>
      </c>
      <c r="D4156" s="83" t="s">
        <v>4531</v>
      </c>
      <c r="E4156" s="81" t="s">
        <v>2489</v>
      </c>
      <c r="F4156" s="84">
        <v>478.0</v>
      </c>
      <c r="G4156" s="81" t="s">
        <v>39</v>
      </c>
      <c r="H4156" s="81" t="s">
        <v>5861</v>
      </c>
      <c r="I4156" s="81" t="s">
        <v>2497</v>
      </c>
      <c r="J4156" s="81" t="s">
        <v>224</v>
      </c>
    </row>
    <row r="4157" hidden="1">
      <c r="A4157" s="83" t="s">
        <v>6330</v>
      </c>
      <c r="B4157" s="83" t="s">
        <v>6331</v>
      </c>
      <c r="C4157" s="81" t="s">
        <v>4621</v>
      </c>
      <c r="D4157" s="83" t="s">
        <v>4531</v>
      </c>
      <c r="E4157" s="81" t="s">
        <v>2489</v>
      </c>
      <c r="F4157" s="84">
        <v>478.0</v>
      </c>
      <c r="G4157" s="81" t="s">
        <v>40</v>
      </c>
      <c r="H4157" s="81" t="s">
        <v>5862</v>
      </c>
      <c r="I4157" s="81" t="s">
        <v>2498</v>
      </c>
      <c r="J4157" s="81" t="s">
        <v>224</v>
      </c>
    </row>
    <row r="4158" hidden="1">
      <c r="A4158" s="83" t="s">
        <v>6330</v>
      </c>
      <c r="B4158" s="83" t="s">
        <v>6331</v>
      </c>
      <c r="C4158" s="81" t="s">
        <v>4621</v>
      </c>
      <c r="D4158" s="83" t="s">
        <v>4532</v>
      </c>
      <c r="E4158" s="81" t="s">
        <v>2504</v>
      </c>
      <c r="F4158" s="84">
        <v>479.0</v>
      </c>
      <c r="G4158" s="81" t="s">
        <v>39</v>
      </c>
      <c r="H4158" s="81" t="s">
        <v>5863</v>
      </c>
      <c r="I4158" s="81" t="s">
        <v>2508</v>
      </c>
      <c r="J4158" s="81" t="s">
        <v>224</v>
      </c>
    </row>
    <row r="4159" hidden="1">
      <c r="A4159" s="83" t="s">
        <v>6330</v>
      </c>
      <c r="B4159" s="83" t="s">
        <v>6331</v>
      </c>
      <c r="C4159" s="81" t="s">
        <v>4621</v>
      </c>
      <c r="D4159" s="83" t="s">
        <v>4532</v>
      </c>
      <c r="E4159" s="81" t="s">
        <v>2504</v>
      </c>
      <c r="F4159" s="84">
        <v>479.0</v>
      </c>
      <c r="G4159" s="81" t="s">
        <v>40</v>
      </c>
      <c r="H4159" s="81" t="s">
        <v>5864</v>
      </c>
      <c r="I4159" s="81" t="s">
        <v>2509</v>
      </c>
      <c r="J4159" s="81" t="s">
        <v>224</v>
      </c>
    </row>
    <row r="4160" hidden="1">
      <c r="A4160" s="83" t="s">
        <v>6330</v>
      </c>
      <c r="B4160" s="83" t="s">
        <v>6331</v>
      </c>
      <c r="C4160" s="81" t="s">
        <v>4621</v>
      </c>
      <c r="D4160" s="83" t="s">
        <v>4532</v>
      </c>
      <c r="E4160" s="81" t="s">
        <v>2504</v>
      </c>
      <c r="F4160" s="84">
        <v>479.0</v>
      </c>
      <c r="G4160" s="81" t="s">
        <v>43</v>
      </c>
      <c r="H4160" s="81" t="s">
        <v>2512</v>
      </c>
      <c r="I4160" s="81" t="s">
        <v>5865</v>
      </c>
      <c r="J4160" s="81" t="s">
        <v>224</v>
      </c>
    </row>
    <row r="4161" hidden="1">
      <c r="A4161" s="83" t="s">
        <v>6330</v>
      </c>
      <c r="B4161" s="83" t="s">
        <v>6331</v>
      </c>
      <c r="C4161" s="81" t="s">
        <v>4621</v>
      </c>
      <c r="D4161" s="83" t="s">
        <v>4532</v>
      </c>
      <c r="E4161" s="81" t="s">
        <v>2515</v>
      </c>
      <c r="F4161" s="84">
        <v>480.0</v>
      </c>
      <c r="G4161" s="81" t="s">
        <v>39</v>
      </c>
      <c r="H4161" s="81" t="s">
        <v>5863</v>
      </c>
      <c r="I4161" s="81" t="s">
        <v>2508</v>
      </c>
      <c r="J4161" s="81" t="s">
        <v>224</v>
      </c>
    </row>
    <row r="4162" hidden="1">
      <c r="A4162" s="83" t="s">
        <v>6330</v>
      </c>
      <c r="B4162" s="83" t="s">
        <v>6331</v>
      </c>
      <c r="C4162" s="81" t="s">
        <v>4621</v>
      </c>
      <c r="D4162" s="83" t="s">
        <v>4532</v>
      </c>
      <c r="E4162" s="81" t="s">
        <v>2515</v>
      </c>
      <c r="F4162" s="84">
        <v>480.0</v>
      </c>
      <c r="G4162" s="81" t="s">
        <v>40</v>
      </c>
      <c r="H4162" s="81" t="s">
        <v>5864</v>
      </c>
      <c r="I4162" s="81" t="s">
        <v>2509</v>
      </c>
      <c r="J4162" s="81" t="s">
        <v>224</v>
      </c>
    </row>
    <row r="4163" hidden="1">
      <c r="A4163" s="83" t="s">
        <v>6330</v>
      </c>
      <c r="B4163" s="83" t="s">
        <v>6331</v>
      </c>
      <c r="C4163" s="81" t="s">
        <v>4621</v>
      </c>
      <c r="D4163" s="83" t="s">
        <v>4532</v>
      </c>
      <c r="E4163" s="81" t="s">
        <v>2515</v>
      </c>
      <c r="F4163" s="84">
        <v>480.0</v>
      </c>
      <c r="G4163" s="81" t="s">
        <v>43</v>
      </c>
      <c r="H4163" s="81" t="s">
        <v>2512</v>
      </c>
      <c r="I4163" s="81" t="s">
        <v>5865</v>
      </c>
      <c r="J4163" s="81" t="s">
        <v>224</v>
      </c>
    </row>
    <row r="4164" hidden="1">
      <c r="A4164" s="83" t="s">
        <v>6330</v>
      </c>
      <c r="B4164" s="83" t="s">
        <v>6331</v>
      </c>
      <c r="C4164" s="81" t="s">
        <v>4621</v>
      </c>
      <c r="D4164" s="83" t="s">
        <v>4534</v>
      </c>
      <c r="E4164" s="81" t="s">
        <v>2516</v>
      </c>
      <c r="F4164" s="84">
        <v>481.0</v>
      </c>
      <c r="G4164" s="81" t="s">
        <v>39</v>
      </c>
      <c r="H4164" s="81" t="s">
        <v>5866</v>
      </c>
      <c r="I4164" s="81" t="s">
        <v>2517</v>
      </c>
      <c r="J4164" s="81" t="s">
        <v>224</v>
      </c>
    </row>
    <row r="4165" hidden="1">
      <c r="A4165" s="83" t="s">
        <v>6330</v>
      </c>
      <c r="B4165" s="83" t="s">
        <v>6331</v>
      </c>
      <c r="C4165" s="81" t="s">
        <v>4621</v>
      </c>
      <c r="D4165" s="83" t="s">
        <v>4534</v>
      </c>
      <c r="E4165" s="81" t="s">
        <v>2516</v>
      </c>
      <c r="F4165" s="84">
        <v>481.0</v>
      </c>
      <c r="G4165" s="81" t="s">
        <v>40</v>
      </c>
      <c r="H4165" s="81" t="s">
        <v>5867</v>
      </c>
      <c r="I4165" s="81" t="s">
        <v>2518</v>
      </c>
      <c r="J4165" s="81" t="s">
        <v>224</v>
      </c>
    </row>
    <row r="4166" hidden="1">
      <c r="A4166" s="83" t="s">
        <v>6330</v>
      </c>
      <c r="B4166" s="83" t="s">
        <v>6331</v>
      </c>
      <c r="C4166" s="81" t="s">
        <v>6333</v>
      </c>
      <c r="D4166" s="83" t="s">
        <v>4534</v>
      </c>
      <c r="E4166" s="81" t="s">
        <v>2516</v>
      </c>
      <c r="F4166" s="84">
        <v>481.0</v>
      </c>
      <c r="G4166" s="81" t="s">
        <v>43</v>
      </c>
      <c r="H4166" s="81" t="s">
        <v>2512</v>
      </c>
      <c r="I4166" s="81" t="s">
        <v>224</v>
      </c>
      <c r="J4166" s="81" t="s">
        <v>5143</v>
      </c>
    </row>
    <row r="4167" hidden="1">
      <c r="A4167" s="83" t="s">
        <v>6330</v>
      </c>
      <c r="B4167" s="83" t="s">
        <v>6331</v>
      </c>
      <c r="C4167" s="81" t="s">
        <v>4621</v>
      </c>
      <c r="D4167" s="83" t="s">
        <v>4535</v>
      </c>
      <c r="E4167" s="81" t="s">
        <v>2519</v>
      </c>
      <c r="F4167" s="84">
        <v>482.0</v>
      </c>
      <c r="G4167" s="81" t="s">
        <v>39</v>
      </c>
      <c r="H4167" s="81" t="s">
        <v>5868</v>
      </c>
      <c r="I4167" s="81" t="s">
        <v>2522</v>
      </c>
      <c r="J4167" s="81" t="s">
        <v>224</v>
      </c>
    </row>
    <row r="4168" hidden="1">
      <c r="A4168" s="83" t="s">
        <v>6330</v>
      </c>
      <c r="B4168" s="83" t="s">
        <v>6331</v>
      </c>
      <c r="C4168" s="81" t="s">
        <v>4621</v>
      </c>
      <c r="D4168" s="83" t="s">
        <v>4535</v>
      </c>
      <c r="E4168" s="81" t="s">
        <v>2519</v>
      </c>
      <c r="F4168" s="84">
        <v>482.0</v>
      </c>
      <c r="G4168" s="81" t="s">
        <v>40</v>
      </c>
      <c r="H4168" s="81" t="s">
        <v>5869</v>
      </c>
      <c r="I4168" s="81" t="s">
        <v>2523</v>
      </c>
      <c r="J4168" s="81" t="s">
        <v>224</v>
      </c>
    </row>
    <row r="4169" hidden="1">
      <c r="A4169" s="83" t="s">
        <v>6330</v>
      </c>
      <c r="B4169" s="83" t="s">
        <v>6331</v>
      </c>
      <c r="C4169" s="81" t="s">
        <v>4621</v>
      </c>
      <c r="D4169" s="83" t="s">
        <v>4535</v>
      </c>
      <c r="E4169" s="81" t="s">
        <v>2529</v>
      </c>
      <c r="F4169" s="84">
        <v>483.0</v>
      </c>
      <c r="G4169" s="81" t="s">
        <v>39</v>
      </c>
      <c r="H4169" s="81" t="s">
        <v>5868</v>
      </c>
      <c r="I4169" s="81" t="s">
        <v>2522</v>
      </c>
      <c r="J4169" s="81" t="s">
        <v>224</v>
      </c>
    </row>
    <row r="4170" hidden="1">
      <c r="A4170" s="83" t="s">
        <v>6330</v>
      </c>
      <c r="B4170" s="83" t="s">
        <v>6331</v>
      </c>
      <c r="C4170" s="81" t="s">
        <v>4621</v>
      </c>
      <c r="D4170" s="83" t="s">
        <v>4535</v>
      </c>
      <c r="E4170" s="81" t="s">
        <v>2529</v>
      </c>
      <c r="F4170" s="84">
        <v>483.0</v>
      </c>
      <c r="G4170" s="81" t="s">
        <v>40</v>
      </c>
      <c r="H4170" s="81" t="s">
        <v>5869</v>
      </c>
      <c r="I4170" s="81" t="s">
        <v>2523</v>
      </c>
      <c r="J4170" s="81" t="s">
        <v>224</v>
      </c>
    </row>
    <row r="4171" hidden="1">
      <c r="A4171" s="83" t="s">
        <v>6330</v>
      </c>
      <c r="B4171" s="83" t="s">
        <v>6331</v>
      </c>
      <c r="C4171" s="81" t="s">
        <v>4621</v>
      </c>
      <c r="D4171" s="83" t="s">
        <v>4537</v>
      </c>
      <c r="E4171" s="81" t="s">
        <v>2530</v>
      </c>
      <c r="F4171" s="84">
        <v>484.0</v>
      </c>
      <c r="G4171" s="81" t="s">
        <v>39</v>
      </c>
      <c r="H4171" s="81" t="s">
        <v>5870</v>
      </c>
      <c r="I4171" s="81" t="s">
        <v>2531</v>
      </c>
      <c r="J4171" s="81" t="s">
        <v>224</v>
      </c>
    </row>
    <row r="4172" hidden="1">
      <c r="A4172" s="83" t="s">
        <v>6330</v>
      </c>
      <c r="B4172" s="83" t="s">
        <v>6331</v>
      </c>
      <c r="C4172" s="81" t="s">
        <v>4621</v>
      </c>
      <c r="D4172" s="83" t="s">
        <v>4537</v>
      </c>
      <c r="E4172" s="81" t="s">
        <v>2530</v>
      </c>
      <c r="F4172" s="84">
        <v>484.0</v>
      </c>
      <c r="G4172" s="81" t="s">
        <v>40</v>
      </c>
      <c r="H4172" s="81" t="s">
        <v>5871</v>
      </c>
      <c r="I4172" s="81" t="s">
        <v>2532</v>
      </c>
      <c r="J4172" s="81" t="s">
        <v>224</v>
      </c>
    </row>
    <row r="4173" hidden="1">
      <c r="A4173" s="83" t="s">
        <v>6330</v>
      </c>
      <c r="B4173" s="83" t="s">
        <v>6331</v>
      </c>
      <c r="C4173" s="81" t="s">
        <v>4621</v>
      </c>
      <c r="D4173" s="83" t="s">
        <v>4538</v>
      </c>
      <c r="E4173" s="81" t="s">
        <v>2533</v>
      </c>
      <c r="F4173" s="84">
        <v>485.0</v>
      </c>
      <c r="G4173" s="81" t="s">
        <v>39</v>
      </c>
      <c r="H4173" s="81" t="s">
        <v>5872</v>
      </c>
      <c r="I4173" s="81" t="s">
        <v>2541</v>
      </c>
      <c r="J4173" s="81" t="s">
        <v>224</v>
      </c>
    </row>
    <row r="4174" hidden="1">
      <c r="A4174" s="83" t="s">
        <v>6330</v>
      </c>
      <c r="B4174" s="83" t="s">
        <v>6331</v>
      </c>
      <c r="C4174" s="81" t="s">
        <v>4621</v>
      </c>
      <c r="D4174" s="83" t="s">
        <v>4538</v>
      </c>
      <c r="E4174" s="81" t="s">
        <v>2533</v>
      </c>
      <c r="F4174" s="84">
        <v>485.0</v>
      </c>
      <c r="G4174" s="81" t="s">
        <v>40</v>
      </c>
      <c r="H4174" s="81" t="s">
        <v>5873</v>
      </c>
      <c r="I4174" s="81" t="s">
        <v>2542</v>
      </c>
      <c r="J4174" s="81" t="s">
        <v>224</v>
      </c>
    </row>
    <row r="4175" hidden="1">
      <c r="A4175" s="83" t="s">
        <v>6330</v>
      </c>
      <c r="B4175" s="83" t="s">
        <v>6331</v>
      </c>
      <c r="C4175" s="81" t="s">
        <v>4621</v>
      </c>
      <c r="D4175" s="83" t="s">
        <v>4538</v>
      </c>
      <c r="E4175" s="81" t="s">
        <v>2548</v>
      </c>
      <c r="F4175" s="84">
        <v>486.0</v>
      </c>
      <c r="G4175" s="81" t="s">
        <v>40</v>
      </c>
      <c r="H4175" s="81" t="s">
        <v>5873</v>
      </c>
      <c r="I4175" s="81" t="s">
        <v>2542</v>
      </c>
      <c r="J4175" s="81" t="s">
        <v>224</v>
      </c>
    </row>
    <row r="4176" hidden="1">
      <c r="A4176" s="83" t="s">
        <v>6330</v>
      </c>
      <c r="B4176" s="83" t="s">
        <v>6331</v>
      </c>
      <c r="C4176" s="81" t="s">
        <v>4621</v>
      </c>
      <c r="D4176" s="83" t="s">
        <v>4540</v>
      </c>
      <c r="E4176" s="81" t="s">
        <v>2549</v>
      </c>
      <c r="F4176" s="84">
        <v>487.0</v>
      </c>
      <c r="G4176" s="81" t="s">
        <v>40</v>
      </c>
      <c r="H4176" s="81" t="s">
        <v>5874</v>
      </c>
      <c r="I4176" s="81" t="s">
        <v>5875</v>
      </c>
      <c r="J4176" s="81" t="s">
        <v>224</v>
      </c>
    </row>
    <row r="4177" hidden="1">
      <c r="A4177" s="83" t="s">
        <v>6330</v>
      </c>
      <c r="B4177" s="83" t="s">
        <v>6331</v>
      </c>
      <c r="C4177" s="81" t="s">
        <v>4621</v>
      </c>
      <c r="D4177" s="83" t="s">
        <v>4540</v>
      </c>
      <c r="E4177" s="81" t="s">
        <v>2562</v>
      </c>
      <c r="F4177" s="84">
        <v>488.0</v>
      </c>
      <c r="G4177" s="81" t="s">
        <v>39</v>
      </c>
      <c r="H4177" s="81" t="s">
        <v>5876</v>
      </c>
      <c r="I4177" s="81" t="s">
        <v>2555</v>
      </c>
      <c r="J4177" s="81" t="s">
        <v>224</v>
      </c>
    </row>
    <row r="4178" hidden="1">
      <c r="A4178" s="83" t="s">
        <v>6330</v>
      </c>
      <c r="B4178" s="83" t="s">
        <v>6331</v>
      </c>
      <c r="C4178" s="81" t="s">
        <v>4621</v>
      </c>
      <c r="D4178" s="83" t="s">
        <v>4540</v>
      </c>
      <c r="E4178" s="81" t="s">
        <v>2562</v>
      </c>
      <c r="F4178" s="84">
        <v>488.0</v>
      </c>
      <c r="G4178" s="81" t="s">
        <v>40</v>
      </c>
      <c r="H4178" s="81" t="s">
        <v>5877</v>
      </c>
      <c r="I4178" s="81" t="s">
        <v>5875</v>
      </c>
      <c r="J4178" s="81" t="s">
        <v>224</v>
      </c>
    </row>
    <row r="4179" hidden="1">
      <c r="A4179" s="83" t="s">
        <v>6330</v>
      </c>
      <c r="B4179" s="83" t="s">
        <v>6331</v>
      </c>
      <c r="C4179" s="81" t="s">
        <v>4621</v>
      </c>
      <c r="D4179" s="83" t="s">
        <v>4543</v>
      </c>
      <c r="E4179" s="81" t="s">
        <v>2563</v>
      </c>
      <c r="F4179" s="84">
        <v>489.0</v>
      </c>
      <c r="G4179" s="81" t="s">
        <v>39</v>
      </c>
      <c r="H4179" s="81" t="s">
        <v>5878</v>
      </c>
      <c r="I4179" s="81" t="s">
        <v>2564</v>
      </c>
      <c r="J4179" s="81" t="s">
        <v>224</v>
      </c>
    </row>
    <row r="4180" hidden="1">
      <c r="A4180" s="83" t="s">
        <v>6330</v>
      </c>
      <c r="B4180" s="83" t="s">
        <v>6331</v>
      </c>
      <c r="C4180" s="81" t="s">
        <v>4621</v>
      </c>
      <c r="D4180" s="83" t="s">
        <v>4543</v>
      </c>
      <c r="E4180" s="81" t="s">
        <v>2563</v>
      </c>
      <c r="F4180" s="84">
        <v>489.0</v>
      </c>
      <c r="G4180" s="81" t="s">
        <v>40</v>
      </c>
      <c r="H4180" s="81" t="s">
        <v>5879</v>
      </c>
      <c r="I4180" s="81" t="s">
        <v>5880</v>
      </c>
      <c r="J4180" s="81" t="s">
        <v>224</v>
      </c>
    </row>
    <row r="4181" hidden="1">
      <c r="A4181" s="83" t="s">
        <v>6330</v>
      </c>
      <c r="B4181" s="83" t="s">
        <v>6331</v>
      </c>
      <c r="C4181" s="81" t="s">
        <v>4621</v>
      </c>
      <c r="D4181" s="83" t="s">
        <v>4544</v>
      </c>
      <c r="E4181" s="81" t="s">
        <v>2566</v>
      </c>
      <c r="F4181" s="84">
        <v>490.0</v>
      </c>
      <c r="G4181" s="81" t="s">
        <v>39</v>
      </c>
      <c r="H4181" s="81" t="s">
        <v>5881</v>
      </c>
      <c r="I4181" s="81" t="s">
        <v>2568</v>
      </c>
      <c r="J4181" s="81" t="s">
        <v>224</v>
      </c>
    </row>
    <row r="4182" hidden="1">
      <c r="A4182" s="83" t="s">
        <v>6330</v>
      </c>
      <c r="B4182" s="83" t="s">
        <v>6331</v>
      </c>
      <c r="C4182" s="81" t="s">
        <v>4621</v>
      </c>
      <c r="D4182" s="83" t="s">
        <v>4544</v>
      </c>
      <c r="E4182" s="81" t="s">
        <v>2566</v>
      </c>
      <c r="F4182" s="84">
        <v>490.0</v>
      </c>
      <c r="G4182" s="81" t="s">
        <v>40</v>
      </c>
      <c r="H4182" s="81" t="s">
        <v>5882</v>
      </c>
      <c r="I4182" s="81" t="s">
        <v>2569</v>
      </c>
      <c r="J4182" s="81" t="s">
        <v>224</v>
      </c>
    </row>
    <row r="4183" hidden="1">
      <c r="A4183" s="83" t="s">
        <v>6330</v>
      </c>
      <c r="B4183" s="83" t="s">
        <v>6331</v>
      </c>
      <c r="C4183" s="81" t="s">
        <v>4621</v>
      </c>
      <c r="D4183" s="83" t="s">
        <v>4544</v>
      </c>
      <c r="E4183" s="81" t="s">
        <v>2573</v>
      </c>
      <c r="F4183" s="84">
        <v>491.0</v>
      </c>
      <c r="G4183" s="81" t="s">
        <v>39</v>
      </c>
      <c r="H4183" s="81" t="s">
        <v>5883</v>
      </c>
      <c r="I4183" s="81" t="s">
        <v>2568</v>
      </c>
      <c r="J4183" s="81" t="s">
        <v>224</v>
      </c>
    </row>
    <row r="4184" hidden="1">
      <c r="A4184" s="83" t="s">
        <v>6330</v>
      </c>
      <c r="B4184" s="83" t="s">
        <v>6331</v>
      </c>
      <c r="C4184" s="81" t="s">
        <v>4621</v>
      </c>
      <c r="D4184" s="83" t="s">
        <v>4544</v>
      </c>
      <c r="E4184" s="81" t="s">
        <v>2573</v>
      </c>
      <c r="F4184" s="84">
        <v>491.0</v>
      </c>
      <c r="G4184" s="81" t="s">
        <v>40</v>
      </c>
      <c r="H4184" s="81" t="s">
        <v>5881</v>
      </c>
      <c r="I4184" s="81" t="s">
        <v>2569</v>
      </c>
      <c r="J4184" s="81" t="s">
        <v>224</v>
      </c>
    </row>
    <row r="4185" hidden="1">
      <c r="A4185" s="83" t="s">
        <v>6330</v>
      </c>
      <c r="B4185" s="83" t="s">
        <v>6331</v>
      </c>
      <c r="C4185" s="81" t="s">
        <v>4621</v>
      </c>
      <c r="D4185" s="83" t="s">
        <v>4546</v>
      </c>
      <c r="E4185" s="81" t="s">
        <v>2574</v>
      </c>
      <c r="F4185" s="84">
        <v>492.0</v>
      </c>
      <c r="G4185" s="81" t="s">
        <v>39</v>
      </c>
      <c r="H4185" s="81" t="s">
        <v>5884</v>
      </c>
      <c r="I4185" s="81" t="s">
        <v>2575</v>
      </c>
      <c r="J4185" s="81" t="s">
        <v>224</v>
      </c>
    </row>
    <row r="4186" hidden="1">
      <c r="A4186" s="83" t="s">
        <v>6330</v>
      </c>
      <c r="B4186" s="83" t="s">
        <v>6331</v>
      </c>
      <c r="C4186" s="81" t="s">
        <v>4621</v>
      </c>
      <c r="D4186" s="83" t="s">
        <v>4546</v>
      </c>
      <c r="E4186" s="81" t="s">
        <v>2574</v>
      </c>
      <c r="F4186" s="84">
        <v>492.0</v>
      </c>
      <c r="G4186" s="81" t="s">
        <v>40</v>
      </c>
      <c r="H4186" s="81" t="s">
        <v>5885</v>
      </c>
      <c r="I4186" s="81" t="s">
        <v>5886</v>
      </c>
      <c r="J4186" s="81" t="s">
        <v>224</v>
      </c>
    </row>
    <row r="4187" hidden="1">
      <c r="A4187" s="83" t="s">
        <v>6330</v>
      </c>
      <c r="B4187" s="83" t="s">
        <v>6331</v>
      </c>
      <c r="C4187" s="81" t="s">
        <v>4621</v>
      </c>
      <c r="D4187" s="83" t="s">
        <v>4547</v>
      </c>
      <c r="E4187" s="81" t="s">
        <v>2577</v>
      </c>
      <c r="F4187" s="84">
        <v>493.0</v>
      </c>
      <c r="G4187" s="81" t="s">
        <v>40</v>
      </c>
      <c r="H4187" s="81" t="s">
        <v>49</v>
      </c>
      <c r="I4187" s="81" t="s">
        <v>2580</v>
      </c>
      <c r="J4187" s="81" t="s">
        <v>224</v>
      </c>
    </row>
    <row r="4188" hidden="1">
      <c r="A4188" s="83" t="s">
        <v>6330</v>
      </c>
      <c r="B4188" s="83" t="s">
        <v>6331</v>
      </c>
      <c r="C4188" s="81" t="s">
        <v>4621</v>
      </c>
      <c r="D4188" s="83" t="s">
        <v>4548</v>
      </c>
      <c r="E4188" s="81" t="s">
        <v>2585</v>
      </c>
      <c r="F4188" s="84">
        <v>494.0</v>
      </c>
      <c r="G4188" s="81" t="s">
        <v>40</v>
      </c>
      <c r="H4188" s="81" t="s">
        <v>49</v>
      </c>
      <c r="I4188" s="81" t="s">
        <v>2587</v>
      </c>
      <c r="J4188" s="81" t="s">
        <v>224</v>
      </c>
    </row>
    <row r="4189" hidden="1">
      <c r="A4189" s="83" t="s">
        <v>6330</v>
      </c>
      <c r="B4189" s="83" t="s">
        <v>6331</v>
      </c>
      <c r="C4189" s="81" t="s">
        <v>4621</v>
      </c>
      <c r="D4189" s="83" t="s">
        <v>4549</v>
      </c>
      <c r="E4189" s="81" t="s">
        <v>2588</v>
      </c>
      <c r="F4189" s="84">
        <v>495.0</v>
      </c>
      <c r="G4189" s="81" t="s">
        <v>40</v>
      </c>
      <c r="H4189" s="81" t="s">
        <v>5887</v>
      </c>
      <c r="I4189" s="81" t="s">
        <v>2590</v>
      </c>
      <c r="J4189" s="81" t="s">
        <v>224</v>
      </c>
    </row>
    <row r="4190" hidden="1">
      <c r="A4190" s="83" t="s">
        <v>6330</v>
      </c>
      <c r="B4190" s="83" t="s">
        <v>6331</v>
      </c>
      <c r="C4190" s="81" t="s">
        <v>4621</v>
      </c>
      <c r="D4190" s="83" t="s">
        <v>4550</v>
      </c>
      <c r="E4190" s="81" t="s">
        <v>2591</v>
      </c>
      <c r="F4190" s="84">
        <v>496.0</v>
      </c>
      <c r="G4190" s="81" t="s">
        <v>39</v>
      </c>
      <c r="H4190" s="81" t="s">
        <v>5888</v>
      </c>
      <c r="I4190" s="81" t="s">
        <v>2592</v>
      </c>
      <c r="J4190" s="81" t="s">
        <v>224</v>
      </c>
    </row>
    <row r="4191" hidden="1">
      <c r="A4191" s="83" t="s">
        <v>6330</v>
      </c>
      <c r="B4191" s="83" t="s">
        <v>6331</v>
      </c>
      <c r="C4191" s="81" t="s">
        <v>4621</v>
      </c>
      <c r="D4191" s="83" t="s">
        <v>4550</v>
      </c>
      <c r="E4191" s="81" t="s">
        <v>2591</v>
      </c>
      <c r="F4191" s="84">
        <v>496.0</v>
      </c>
      <c r="G4191" s="81" t="s">
        <v>40</v>
      </c>
      <c r="H4191" s="81" t="s">
        <v>5889</v>
      </c>
      <c r="I4191" s="81" t="s">
        <v>5890</v>
      </c>
      <c r="J4191" s="81" t="s">
        <v>224</v>
      </c>
    </row>
    <row r="4192" hidden="1">
      <c r="A4192" s="83" t="s">
        <v>6330</v>
      </c>
      <c r="B4192" s="83" t="s">
        <v>6331</v>
      </c>
      <c r="C4192" s="81" t="s">
        <v>6333</v>
      </c>
      <c r="D4192" s="83" t="s">
        <v>4551</v>
      </c>
      <c r="E4192" s="81" t="s">
        <v>2594</v>
      </c>
      <c r="F4192" s="84">
        <v>497.0</v>
      </c>
      <c r="G4192" s="81" t="s">
        <v>40</v>
      </c>
      <c r="H4192" s="81" t="s">
        <v>49</v>
      </c>
      <c r="I4192" s="81" t="s">
        <v>224</v>
      </c>
      <c r="J4192" s="81" t="s">
        <v>5143</v>
      </c>
    </row>
    <row r="4193" hidden="1">
      <c r="A4193" s="83" t="s">
        <v>6330</v>
      </c>
      <c r="B4193" s="83" t="s">
        <v>6331</v>
      </c>
      <c r="C4193" s="81" t="s">
        <v>4621</v>
      </c>
      <c r="D4193" s="83" t="s">
        <v>4552</v>
      </c>
      <c r="E4193" s="81" t="s">
        <v>2596</v>
      </c>
      <c r="F4193" s="84">
        <v>498.0</v>
      </c>
      <c r="G4193" s="81" t="s">
        <v>39</v>
      </c>
      <c r="H4193" s="81" t="s">
        <v>5888</v>
      </c>
      <c r="I4193" s="81" t="s">
        <v>2597</v>
      </c>
      <c r="J4193" s="81" t="s">
        <v>224</v>
      </c>
    </row>
    <row r="4194" hidden="1">
      <c r="A4194" s="83" t="s">
        <v>6330</v>
      </c>
      <c r="B4194" s="83" t="s">
        <v>6331</v>
      </c>
      <c r="C4194" s="81" t="s">
        <v>6333</v>
      </c>
      <c r="D4194" s="83" t="s">
        <v>4552</v>
      </c>
      <c r="E4194" s="81" t="s">
        <v>2596</v>
      </c>
      <c r="F4194" s="84">
        <v>498.0</v>
      </c>
      <c r="G4194" s="81" t="s">
        <v>40</v>
      </c>
      <c r="H4194" s="81" t="s">
        <v>5889</v>
      </c>
      <c r="I4194" s="81" t="s">
        <v>224</v>
      </c>
      <c r="J4194" s="81" t="s">
        <v>5143</v>
      </c>
    </row>
    <row r="4195" hidden="1">
      <c r="A4195" s="83" t="s">
        <v>6330</v>
      </c>
      <c r="B4195" s="83" t="s">
        <v>6331</v>
      </c>
      <c r="C4195" s="81" t="s">
        <v>4621</v>
      </c>
      <c r="D4195" s="83" t="s">
        <v>4553</v>
      </c>
      <c r="E4195" s="81" t="s">
        <v>2598</v>
      </c>
      <c r="F4195" s="84">
        <v>499.0</v>
      </c>
      <c r="G4195" s="81" t="s">
        <v>39</v>
      </c>
      <c r="H4195" s="81" t="s">
        <v>5891</v>
      </c>
      <c r="I4195" s="81" t="s">
        <v>2602</v>
      </c>
      <c r="J4195" s="81" t="s">
        <v>224</v>
      </c>
    </row>
    <row r="4196" hidden="1">
      <c r="A4196" s="83" t="s">
        <v>6330</v>
      </c>
      <c r="B4196" s="83" t="s">
        <v>6331</v>
      </c>
      <c r="C4196" s="81" t="s">
        <v>4621</v>
      </c>
      <c r="D4196" s="83" t="s">
        <v>4553</v>
      </c>
      <c r="E4196" s="81" t="s">
        <v>2598</v>
      </c>
      <c r="F4196" s="84">
        <v>499.0</v>
      </c>
      <c r="G4196" s="81" t="s">
        <v>40</v>
      </c>
      <c r="H4196" s="81" t="s">
        <v>5892</v>
      </c>
      <c r="I4196" s="81" t="s">
        <v>2603</v>
      </c>
      <c r="J4196" s="81" t="s">
        <v>224</v>
      </c>
    </row>
    <row r="4197" hidden="1">
      <c r="A4197" s="83" t="s">
        <v>6330</v>
      </c>
      <c r="B4197" s="83" t="s">
        <v>6331</v>
      </c>
      <c r="C4197" s="81" t="s">
        <v>4621</v>
      </c>
      <c r="D4197" s="83" t="s">
        <v>4553</v>
      </c>
      <c r="E4197" s="81" t="s">
        <v>2608</v>
      </c>
      <c r="F4197" s="84">
        <v>500.0</v>
      </c>
      <c r="G4197" s="81" t="s">
        <v>40</v>
      </c>
      <c r="H4197" s="81" t="s">
        <v>49</v>
      </c>
      <c r="I4197" s="81" t="s">
        <v>2603</v>
      </c>
      <c r="J4197" s="81" t="s">
        <v>224</v>
      </c>
    </row>
    <row r="4198" hidden="1">
      <c r="A4198" s="83" t="s">
        <v>6330</v>
      </c>
      <c r="B4198" s="83" t="s">
        <v>6331</v>
      </c>
      <c r="C4198" s="81" t="s">
        <v>4621</v>
      </c>
      <c r="D4198" s="83" t="s">
        <v>4555</v>
      </c>
      <c r="E4198" s="81" t="s">
        <v>2610</v>
      </c>
      <c r="F4198" s="84">
        <v>501.0</v>
      </c>
      <c r="G4198" s="81" t="s">
        <v>40</v>
      </c>
      <c r="H4198" s="81" t="s">
        <v>49</v>
      </c>
      <c r="I4198" s="81" t="s">
        <v>2612</v>
      </c>
      <c r="J4198" s="81" t="s">
        <v>224</v>
      </c>
    </row>
    <row r="4199" hidden="1">
      <c r="A4199" s="83" t="s">
        <v>6330</v>
      </c>
      <c r="B4199" s="83" t="s">
        <v>6331</v>
      </c>
      <c r="C4199" s="81" t="s">
        <v>4621</v>
      </c>
      <c r="D4199" s="83" t="s">
        <v>4556</v>
      </c>
      <c r="E4199" s="81" t="s">
        <v>2613</v>
      </c>
      <c r="F4199" s="84">
        <v>502.0</v>
      </c>
      <c r="G4199" s="81" t="s">
        <v>40</v>
      </c>
      <c r="H4199" s="81" t="s">
        <v>5893</v>
      </c>
      <c r="I4199" s="81" t="s">
        <v>2615</v>
      </c>
      <c r="J4199" s="81" t="s">
        <v>224</v>
      </c>
    </row>
    <row r="4200" hidden="1">
      <c r="A4200" s="83" t="s">
        <v>6330</v>
      </c>
      <c r="B4200" s="83" t="s">
        <v>6331</v>
      </c>
      <c r="C4200" s="81" t="s">
        <v>4621</v>
      </c>
      <c r="D4200" s="83" t="s">
        <v>4557</v>
      </c>
      <c r="E4200" s="81" t="s">
        <v>2616</v>
      </c>
      <c r="F4200" s="84">
        <v>503.0</v>
      </c>
      <c r="G4200" s="81" t="s">
        <v>40</v>
      </c>
      <c r="H4200" s="81" t="s">
        <v>5894</v>
      </c>
      <c r="I4200" s="81" t="s">
        <v>2618</v>
      </c>
      <c r="J4200" s="81" t="s">
        <v>224</v>
      </c>
    </row>
    <row r="4201" hidden="1">
      <c r="A4201" s="83" t="s">
        <v>6330</v>
      </c>
      <c r="B4201" s="83" t="s">
        <v>6331</v>
      </c>
      <c r="C4201" s="81" t="s">
        <v>4621</v>
      </c>
      <c r="D4201" s="83" t="s">
        <v>4558</v>
      </c>
      <c r="E4201" s="81" t="s">
        <v>2619</v>
      </c>
      <c r="F4201" s="84">
        <v>504.0</v>
      </c>
      <c r="G4201" s="81" t="s">
        <v>39</v>
      </c>
      <c r="H4201" s="81" t="s">
        <v>5895</v>
      </c>
      <c r="I4201" s="81" t="s">
        <v>2627</v>
      </c>
      <c r="J4201" s="81" t="s">
        <v>224</v>
      </c>
    </row>
    <row r="4202" hidden="1">
      <c r="A4202" s="83" t="s">
        <v>6330</v>
      </c>
      <c r="B4202" s="83" t="s">
        <v>6331</v>
      </c>
      <c r="C4202" s="81" t="s">
        <v>4621</v>
      </c>
      <c r="D4202" s="83" t="s">
        <v>4558</v>
      </c>
      <c r="E4202" s="81" t="s">
        <v>2619</v>
      </c>
      <c r="F4202" s="84">
        <v>504.0</v>
      </c>
      <c r="G4202" s="81" t="s">
        <v>40</v>
      </c>
      <c r="H4202" s="81" t="s">
        <v>5896</v>
      </c>
      <c r="I4202" s="81" t="s">
        <v>2628</v>
      </c>
      <c r="J4202" s="81" t="s">
        <v>224</v>
      </c>
    </row>
    <row r="4203" hidden="1">
      <c r="A4203" s="83" t="s">
        <v>6330</v>
      </c>
      <c r="B4203" s="83" t="s">
        <v>6331</v>
      </c>
      <c r="C4203" s="81" t="s">
        <v>4621</v>
      </c>
      <c r="D4203" s="83" t="s">
        <v>4558</v>
      </c>
      <c r="E4203" s="81" t="s">
        <v>2634</v>
      </c>
      <c r="F4203" s="84">
        <v>505.0</v>
      </c>
      <c r="G4203" s="81" t="s">
        <v>39</v>
      </c>
      <c r="H4203" s="81" t="s">
        <v>5895</v>
      </c>
      <c r="I4203" s="81" t="s">
        <v>2627</v>
      </c>
      <c r="J4203" s="81" t="s">
        <v>224</v>
      </c>
    </row>
    <row r="4204" hidden="1">
      <c r="A4204" s="83" t="s">
        <v>6330</v>
      </c>
      <c r="B4204" s="83" t="s">
        <v>6331</v>
      </c>
      <c r="C4204" s="81" t="s">
        <v>4621</v>
      </c>
      <c r="D4204" s="83" t="s">
        <v>4558</v>
      </c>
      <c r="E4204" s="81" t="s">
        <v>2634</v>
      </c>
      <c r="F4204" s="84">
        <v>505.0</v>
      </c>
      <c r="G4204" s="81" t="s">
        <v>40</v>
      </c>
      <c r="H4204" s="81" t="s">
        <v>5896</v>
      </c>
      <c r="I4204" s="81" t="s">
        <v>2628</v>
      </c>
      <c r="J4204" s="81" t="s">
        <v>224</v>
      </c>
    </row>
    <row r="4205" hidden="1">
      <c r="A4205" s="83" t="s">
        <v>6330</v>
      </c>
      <c r="B4205" s="83" t="s">
        <v>6331</v>
      </c>
      <c r="C4205" s="81" t="s">
        <v>4621</v>
      </c>
      <c r="D4205" s="83" t="s">
        <v>4560</v>
      </c>
      <c r="E4205" s="81" t="s">
        <v>2635</v>
      </c>
      <c r="F4205" s="84">
        <v>506.0</v>
      </c>
      <c r="G4205" s="81" t="s">
        <v>39</v>
      </c>
      <c r="H4205" s="81" t="s">
        <v>5897</v>
      </c>
      <c r="I4205" s="81" t="s">
        <v>2636</v>
      </c>
      <c r="J4205" s="81" t="s">
        <v>224</v>
      </c>
    </row>
    <row r="4206" hidden="1">
      <c r="A4206" s="83" t="s">
        <v>6330</v>
      </c>
      <c r="B4206" s="83" t="s">
        <v>6331</v>
      </c>
      <c r="C4206" s="81" t="s">
        <v>4621</v>
      </c>
      <c r="D4206" s="83" t="s">
        <v>4560</v>
      </c>
      <c r="E4206" s="81" t="s">
        <v>2635</v>
      </c>
      <c r="F4206" s="84">
        <v>506.0</v>
      </c>
      <c r="G4206" s="81" t="s">
        <v>40</v>
      </c>
      <c r="H4206" s="81" t="s">
        <v>5898</v>
      </c>
      <c r="I4206" s="81" t="s">
        <v>2637</v>
      </c>
      <c r="J4206" s="81" t="s">
        <v>224</v>
      </c>
    </row>
    <row r="4207" hidden="1">
      <c r="A4207" s="83" t="s">
        <v>6330</v>
      </c>
      <c r="B4207" s="83" t="s">
        <v>6331</v>
      </c>
      <c r="C4207" s="81" t="s">
        <v>4621</v>
      </c>
      <c r="D4207" s="83" t="s">
        <v>4561</v>
      </c>
      <c r="E4207" s="81" t="s">
        <v>2638</v>
      </c>
      <c r="F4207" s="84">
        <v>507.0</v>
      </c>
      <c r="G4207" s="81" t="s">
        <v>39</v>
      </c>
      <c r="H4207" s="81" t="s">
        <v>5899</v>
      </c>
      <c r="I4207" s="81" t="s">
        <v>2642</v>
      </c>
      <c r="J4207" s="81" t="s">
        <v>224</v>
      </c>
    </row>
    <row r="4208" hidden="1">
      <c r="A4208" s="83" t="s">
        <v>6330</v>
      </c>
      <c r="B4208" s="83" t="s">
        <v>6331</v>
      </c>
      <c r="C4208" s="81" t="s">
        <v>4621</v>
      </c>
      <c r="D4208" s="83" t="s">
        <v>4561</v>
      </c>
      <c r="E4208" s="81" t="s">
        <v>2638</v>
      </c>
      <c r="F4208" s="84">
        <v>507.0</v>
      </c>
      <c r="G4208" s="81" t="s">
        <v>40</v>
      </c>
      <c r="H4208" s="81" t="s">
        <v>5900</v>
      </c>
      <c r="I4208" s="81" t="s">
        <v>2643</v>
      </c>
      <c r="J4208" s="81" t="s">
        <v>224</v>
      </c>
    </row>
    <row r="4209" hidden="1">
      <c r="A4209" s="83" t="s">
        <v>6330</v>
      </c>
      <c r="B4209" s="83" t="s">
        <v>6331</v>
      </c>
      <c r="C4209" s="81" t="s">
        <v>4621</v>
      </c>
      <c r="D4209" s="83" t="s">
        <v>4562</v>
      </c>
      <c r="E4209" s="81" t="s">
        <v>2648</v>
      </c>
      <c r="F4209" s="84">
        <v>508.0</v>
      </c>
      <c r="G4209" s="81" t="s">
        <v>39</v>
      </c>
      <c r="H4209" s="81" t="s">
        <v>5901</v>
      </c>
      <c r="I4209" s="81" t="s">
        <v>2649</v>
      </c>
      <c r="J4209" s="81" t="s">
        <v>224</v>
      </c>
    </row>
    <row r="4210" hidden="1">
      <c r="A4210" s="83" t="s">
        <v>6330</v>
      </c>
      <c r="B4210" s="83" t="s">
        <v>6331</v>
      </c>
      <c r="C4210" s="81" t="s">
        <v>4621</v>
      </c>
      <c r="D4210" s="83" t="s">
        <v>4562</v>
      </c>
      <c r="E4210" s="81" t="s">
        <v>2648</v>
      </c>
      <c r="F4210" s="84">
        <v>508.0</v>
      </c>
      <c r="G4210" s="81" t="s">
        <v>40</v>
      </c>
      <c r="H4210" s="81" t="s">
        <v>5902</v>
      </c>
      <c r="I4210" s="81" t="s">
        <v>2650</v>
      </c>
      <c r="J4210" s="81" t="s">
        <v>224</v>
      </c>
    </row>
    <row r="4211" hidden="1">
      <c r="A4211" s="83" t="s">
        <v>6330</v>
      </c>
      <c r="B4211" s="83" t="s">
        <v>6331</v>
      </c>
      <c r="C4211" s="81" t="s">
        <v>6333</v>
      </c>
      <c r="D4211" s="83" t="s">
        <v>4563</v>
      </c>
      <c r="E4211" s="81" t="s">
        <v>2651</v>
      </c>
      <c r="F4211" s="84">
        <v>509.0</v>
      </c>
      <c r="G4211" s="81" t="s">
        <v>40</v>
      </c>
      <c r="H4211" s="81" t="s">
        <v>49</v>
      </c>
      <c r="I4211" s="81" t="s">
        <v>224</v>
      </c>
      <c r="J4211" s="81" t="s">
        <v>5143</v>
      </c>
    </row>
    <row r="4212" hidden="1">
      <c r="A4212" s="83" t="s">
        <v>6330</v>
      </c>
      <c r="B4212" s="83" t="s">
        <v>6331</v>
      </c>
      <c r="C4212" s="81" t="s">
        <v>6333</v>
      </c>
      <c r="D4212" s="83" t="s">
        <v>4564</v>
      </c>
      <c r="E4212" s="81" t="s">
        <v>2659</v>
      </c>
      <c r="F4212" s="84">
        <v>510.0</v>
      </c>
      <c r="G4212" s="81" t="s">
        <v>40</v>
      </c>
      <c r="H4212" s="81" t="s">
        <v>49</v>
      </c>
      <c r="I4212" s="81" t="s">
        <v>224</v>
      </c>
      <c r="J4212" s="81" t="s">
        <v>5143</v>
      </c>
    </row>
    <row r="4213" hidden="1">
      <c r="A4213" s="83" t="s">
        <v>6330</v>
      </c>
      <c r="B4213" s="83" t="s">
        <v>6331</v>
      </c>
      <c r="C4213" s="81" t="s">
        <v>6333</v>
      </c>
      <c r="D4213" s="83" t="s">
        <v>4565</v>
      </c>
      <c r="E4213" s="81" t="s">
        <v>2661</v>
      </c>
      <c r="F4213" s="84">
        <v>511.0</v>
      </c>
      <c r="G4213" s="81" t="s">
        <v>40</v>
      </c>
      <c r="H4213" s="81" t="s">
        <v>49</v>
      </c>
      <c r="I4213" s="81" t="s">
        <v>224</v>
      </c>
      <c r="J4213" s="81" t="s">
        <v>5143</v>
      </c>
    </row>
    <row r="4214" hidden="1">
      <c r="A4214" s="83" t="s">
        <v>6330</v>
      </c>
      <c r="B4214" s="83" t="s">
        <v>6331</v>
      </c>
      <c r="C4214" s="81" t="s">
        <v>4621</v>
      </c>
      <c r="D4214" s="83" t="s">
        <v>4566</v>
      </c>
      <c r="E4214" s="81" t="s">
        <v>2667</v>
      </c>
      <c r="F4214" s="84">
        <v>512.0</v>
      </c>
      <c r="G4214" s="81" t="s">
        <v>39</v>
      </c>
      <c r="H4214" s="81" t="s">
        <v>5884</v>
      </c>
      <c r="I4214" s="81" t="s">
        <v>2668</v>
      </c>
      <c r="J4214" s="81" t="s">
        <v>224</v>
      </c>
    </row>
    <row r="4215" hidden="1">
      <c r="A4215" s="83" t="s">
        <v>6330</v>
      </c>
      <c r="B4215" s="83" t="s">
        <v>6331</v>
      </c>
      <c r="C4215" s="81" t="s">
        <v>6333</v>
      </c>
      <c r="D4215" s="83" t="s">
        <v>4566</v>
      </c>
      <c r="E4215" s="81" t="s">
        <v>2667</v>
      </c>
      <c r="F4215" s="84">
        <v>512.0</v>
      </c>
      <c r="G4215" s="81" t="s">
        <v>40</v>
      </c>
      <c r="H4215" s="81" t="s">
        <v>5885</v>
      </c>
      <c r="I4215" s="81" t="s">
        <v>224</v>
      </c>
      <c r="J4215" s="81" t="s">
        <v>5143</v>
      </c>
    </row>
    <row r="4216" hidden="1">
      <c r="A4216" s="83" t="s">
        <v>6330</v>
      </c>
      <c r="B4216" s="83" t="s">
        <v>6331</v>
      </c>
      <c r="C4216" s="81" t="s">
        <v>6333</v>
      </c>
      <c r="D4216" s="83" t="s">
        <v>4567</v>
      </c>
      <c r="E4216" s="81" t="s">
        <v>2669</v>
      </c>
      <c r="F4216" s="84">
        <v>513.0</v>
      </c>
      <c r="G4216" s="81" t="s">
        <v>39</v>
      </c>
      <c r="H4216" s="81" t="s">
        <v>5903</v>
      </c>
      <c r="I4216" s="81" t="s">
        <v>224</v>
      </c>
      <c r="J4216" s="81" t="s">
        <v>5143</v>
      </c>
    </row>
    <row r="4217" hidden="1">
      <c r="A4217" s="83" t="s">
        <v>6330</v>
      </c>
      <c r="B4217" s="83" t="s">
        <v>6331</v>
      </c>
      <c r="C4217" s="81" t="s">
        <v>6333</v>
      </c>
      <c r="D4217" s="83" t="s">
        <v>4567</v>
      </c>
      <c r="E4217" s="81" t="s">
        <v>2669</v>
      </c>
      <c r="F4217" s="84">
        <v>513.0</v>
      </c>
      <c r="G4217" s="81" t="s">
        <v>40</v>
      </c>
      <c r="H4217" s="81" t="s">
        <v>5904</v>
      </c>
      <c r="I4217" s="81" t="s">
        <v>224</v>
      </c>
      <c r="J4217" s="81" t="s">
        <v>5143</v>
      </c>
    </row>
    <row r="4218" hidden="1">
      <c r="A4218" s="83" t="s">
        <v>6330</v>
      </c>
      <c r="B4218" s="83" t="s">
        <v>6331</v>
      </c>
      <c r="C4218" s="81" t="s">
        <v>6333</v>
      </c>
      <c r="D4218" s="83" t="s">
        <v>4567</v>
      </c>
      <c r="E4218" s="81" t="s">
        <v>2671</v>
      </c>
      <c r="F4218" s="84">
        <v>514.0</v>
      </c>
      <c r="G4218" s="81" t="s">
        <v>39</v>
      </c>
      <c r="H4218" s="81" t="s">
        <v>5903</v>
      </c>
      <c r="I4218" s="81" t="s">
        <v>224</v>
      </c>
      <c r="J4218" s="81" t="s">
        <v>5143</v>
      </c>
    </row>
    <row r="4219" hidden="1">
      <c r="A4219" s="83" t="s">
        <v>6330</v>
      </c>
      <c r="B4219" s="83" t="s">
        <v>6331</v>
      </c>
      <c r="C4219" s="81" t="s">
        <v>6333</v>
      </c>
      <c r="D4219" s="83" t="s">
        <v>4567</v>
      </c>
      <c r="E4219" s="81" t="s">
        <v>2671</v>
      </c>
      <c r="F4219" s="84">
        <v>514.0</v>
      </c>
      <c r="G4219" s="81" t="s">
        <v>40</v>
      </c>
      <c r="H4219" s="81" t="s">
        <v>5904</v>
      </c>
      <c r="I4219" s="81" t="s">
        <v>224</v>
      </c>
      <c r="J4219" s="81" t="s">
        <v>5143</v>
      </c>
    </row>
    <row r="4220" hidden="1">
      <c r="A4220" s="83" t="s">
        <v>6330</v>
      </c>
      <c r="B4220" s="83" t="s">
        <v>6331</v>
      </c>
      <c r="C4220" s="81" t="s">
        <v>6333</v>
      </c>
      <c r="D4220" s="83" t="s">
        <v>4568</v>
      </c>
      <c r="E4220" s="81" t="s">
        <v>2672</v>
      </c>
      <c r="F4220" s="84">
        <v>515.0</v>
      </c>
      <c r="G4220" s="81" t="s">
        <v>39</v>
      </c>
      <c r="H4220" s="81" t="s">
        <v>5905</v>
      </c>
      <c r="I4220" s="81" t="s">
        <v>224</v>
      </c>
      <c r="J4220" s="81" t="s">
        <v>5143</v>
      </c>
    </row>
    <row r="4221" hidden="1">
      <c r="A4221" s="83" t="s">
        <v>6330</v>
      </c>
      <c r="B4221" s="83" t="s">
        <v>6331</v>
      </c>
      <c r="C4221" s="81" t="s">
        <v>6333</v>
      </c>
      <c r="D4221" s="83" t="s">
        <v>4568</v>
      </c>
      <c r="E4221" s="81" t="s">
        <v>2672</v>
      </c>
      <c r="F4221" s="84">
        <v>515.0</v>
      </c>
      <c r="G4221" s="81" t="s">
        <v>40</v>
      </c>
      <c r="H4221" s="81" t="s">
        <v>5906</v>
      </c>
      <c r="I4221" s="81" t="s">
        <v>224</v>
      </c>
      <c r="J4221" s="81" t="s">
        <v>5143</v>
      </c>
    </row>
    <row r="4222" hidden="1">
      <c r="A4222" s="83" t="s">
        <v>6330</v>
      </c>
      <c r="B4222" s="83" t="s">
        <v>6331</v>
      </c>
      <c r="C4222" s="81" t="s">
        <v>4621</v>
      </c>
      <c r="D4222" s="83" t="s">
        <v>4569</v>
      </c>
      <c r="E4222" s="81" t="s">
        <v>2673</v>
      </c>
      <c r="F4222" s="84">
        <v>516.0</v>
      </c>
      <c r="G4222" s="81" t="s">
        <v>39</v>
      </c>
      <c r="H4222" s="81" t="s">
        <v>5907</v>
      </c>
      <c r="I4222" s="81" t="s">
        <v>2677</v>
      </c>
      <c r="J4222" s="81" t="s">
        <v>224</v>
      </c>
    </row>
    <row r="4223" hidden="1">
      <c r="A4223" s="83" t="s">
        <v>6330</v>
      </c>
      <c r="B4223" s="83" t="s">
        <v>6331</v>
      </c>
      <c r="C4223" s="81" t="s">
        <v>4621</v>
      </c>
      <c r="D4223" s="83" t="s">
        <v>4569</v>
      </c>
      <c r="E4223" s="81" t="s">
        <v>2673</v>
      </c>
      <c r="F4223" s="84">
        <v>516.0</v>
      </c>
      <c r="G4223" s="81" t="s">
        <v>40</v>
      </c>
      <c r="H4223" s="81" t="s">
        <v>5908</v>
      </c>
      <c r="I4223" s="81" t="s">
        <v>5909</v>
      </c>
      <c r="J4223" s="81" t="s">
        <v>224</v>
      </c>
    </row>
    <row r="4224" hidden="1">
      <c r="A4224" s="83" t="s">
        <v>6330</v>
      </c>
      <c r="B4224" s="83" t="s">
        <v>6331</v>
      </c>
      <c r="C4224" s="81" t="s">
        <v>4621</v>
      </c>
      <c r="D4224" s="83" t="s">
        <v>4569</v>
      </c>
      <c r="E4224" s="81" t="s">
        <v>2684</v>
      </c>
      <c r="F4224" s="84">
        <v>517.0</v>
      </c>
      <c r="G4224" s="81" t="s">
        <v>39</v>
      </c>
      <c r="H4224" s="81" t="s">
        <v>5907</v>
      </c>
      <c r="I4224" s="81" t="s">
        <v>2677</v>
      </c>
      <c r="J4224" s="81" t="s">
        <v>224</v>
      </c>
    </row>
    <row r="4225" hidden="1">
      <c r="A4225" s="83" t="s">
        <v>6330</v>
      </c>
      <c r="B4225" s="83" t="s">
        <v>6331</v>
      </c>
      <c r="C4225" s="81" t="s">
        <v>4621</v>
      </c>
      <c r="D4225" s="83" t="s">
        <v>4569</v>
      </c>
      <c r="E4225" s="81" t="s">
        <v>2684</v>
      </c>
      <c r="F4225" s="84">
        <v>517.0</v>
      </c>
      <c r="G4225" s="81" t="s">
        <v>40</v>
      </c>
      <c r="H4225" s="81" t="s">
        <v>5908</v>
      </c>
      <c r="I4225" s="81" t="s">
        <v>5909</v>
      </c>
      <c r="J4225" s="81" t="s">
        <v>224</v>
      </c>
    </row>
    <row r="4226" hidden="1">
      <c r="A4226" s="83" t="s">
        <v>6330</v>
      </c>
      <c r="B4226" s="83" t="s">
        <v>6331</v>
      </c>
      <c r="C4226" s="81" t="s">
        <v>4621</v>
      </c>
      <c r="D4226" s="83" t="s">
        <v>4569</v>
      </c>
      <c r="E4226" s="81" t="s">
        <v>2685</v>
      </c>
      <c r="F4226" s="84">
        <v>518.0</v>
      </c>
      <c r="G4226" s="81" t="s">
        <v>39</v>
      </c>
      <c r="H4226" s="81" t="s">
        <v>5907</v>
      </c>
      <c r="I4226" s="81" t="s">
        <v>2677</v>
      </c>
      <c r="J4226" s="81" t="s">
        <v>224</v>
      </c>
    </row>
    <row r="4227" hidden="1">
      <c r="A4227" s="83" t="s">
        <v>6330</v>
      </c>
      <c r="B4227" s="83" t="s">
        <v>6331</v>
      </c>
      <c r="C4227" s="81" t="s">
        <v>4621</v>
      </c>
      <c r="D4227" s="83" t="s">
        <v>4569</v>
      </c>
      <c r="E4227" s="81" t="s">
        <v>2685</v>
      </c>
      <c r="F4227" s="84">
        <v>518.0</v>
      </c>
      <c r="G4227" s="81" t="s">
        <v>40</v>
      </c>
      <c r="H4227" s="81" t="s">
        <v>5908</v>
      </c>
      <c r="I4227" s="81" t="s">
        <v>5909</v>
      </c>
      <c r="J4227" s="81" t="s">
        <v>224</v>
      </c>
    </row>
    <row r="4228" hidden="1">
      <c r="A4228" s="83" t="s">
        <v>6330</v>
      </c>
      <c r="B4228" s="83" t="s">
        <v>6331</v>
      </c>
      <c r="C4228" s="81" t="s">
        <v>4621</v>
      </c>
      <c r="D4228" s="83" t="s">
        <v>4572</v>
      </c>
      <c r="E4228" s="81" t="s">
        <v>2687</v>
      </c>
      <c r="F4228" s="84">
        <v>519.0</v>
      </c>
      <c r="G4228" s="81" t="s">
        <v>39</v>
      </c>
      <c r="H4228" s="81" t="s">
        <v>5910</v>
      </c>
      <c r="I4228" s="81" t="s">
        <v>2688</v>
      </c>
      <c r="J4228" s="81" t="s">
        <v>224</v>
      </c>
    </row>
    <row r="4229" hidden="1">
      <c r="A4229" s="83" t="s">
        <v>6330</v>
      </c>
      <c r="B4229" s="83" t="s">
        <v>6331</v>
      </c>
      <c r="C4229" s="81" t="s">
        <v>4621</v>
      </c>
      <c r="D4229" s="83" t="s">
        <v>4572</v>
      </c>
      <c r="E4229" s="81" t="s">
        <v>2687</v>
      </c>
      <c r="F4229" s="84">
        <v>519.0</v>
      </c>
      <c r="G4229" s="81" t="s">
        <v>40</v>
      </c>
      <c r="H4229" s="81" t="s">
        <v>5911</v>
      </c>
      <c r="I4229" s="81" t="s">
        <v>2689</v>
      </c>
      <c r="J4229" s="81" t="s">
        <v>224</v>
      </c>
    </row>
    <row r="4230" hidden="1">
      <c r="A4230" s="83" t="s">
        <v>6330</v>
      </c>
      <c r="B4230" s="83" t="s">
        <v>6331</v>
      </c>
      <c r="C4230" s="81" t="s">
        <v>4621</v>
      </c>
      <c r="D4230" s="83" t="s">
        <v>4573</v>
      </c>
      <c r="E4230" s="81" t="s">
        <v>2690</v>
      </c>
      <c r="F4230" s="84">
        <v>520.0</v>
      </c>
      <c r="G4230" s="81" t="s">
        <v>39</v>
      </c>
      <c r="H4230" s="81" t="s">
        <v>5912</v>
      </c>
      <c r="I4230" s="81" t="s">
        <v>2693</v>
      </c>
      <c r="J4230" s="81" t="s">
        <v>224</v>
      </c>
    </row>
    <row r="4231" hidden="1">
      <c r="A4231" s="83" t="s">
        <v>6330</v>
      </c>
      <c r="B4231" s="83" t="s">
        <v>6331</v>
      </c>
      <c r="C4231" s="81" t="s">
        <v>4621</v>
      </c>
      <c r="D4231" s="83" t="s">
        <v>4573</v>
      </c>
      <c r="E4231" s="81" t="s">
        <v>2690</v>
      </c>
      <c r="F4231" s="84">
        <v>520.0</v>
      </c>
      <c r="G4231" s="81" t="s">
        <v>40</v>
      </c>
      <c r="H4231" s="81" t="s">
        <v>5913</v>
      </c>
      <c r="I4231" s="81" t="s">
        <v>5914</v>
      </c>
      <c r="J4231" s="81" t="s">
        <v>224</v>
      </c>
    </row>
    <row r="4232" hidden="1">
      <c r="A4232" s="83" t="s">
        <v>6330</v>
      </c>
      <c r="B4232" s="83" t="s">
        <v>6331</v>
      </c>
      <c r="C4232" s="81" t="s">
        <v>4621</v>
      </c>
      <c r="D4232" s="83" t="s">
        <v>4573</v>
      </c>
      <c r="E4232" s="81" t="s">
        <v>2699</v>
      </c>
      <c r="F4232" s="84">
        <v>521.0</v>
      </c>
      <c r="G4232" s="81" t="s">
        <v>39</v>
      </c>
      <c r="H4232" s="81" t="s">
        <v>5912</v>
      </c>
      <c r="I4232" s="81" t="s">
        <v>2693</v>
      </c>
      <c r="J4232" s="81" t="s">
        <v>224</v>
      </c>
    </row>
    <row r="4233" hidden="1">
      <c r="A4233" s="83" t="s">
        <v>6330</v>
      </c>
      <c r="B4233" s="83" t="s">
        <v>6331</v>
      </c>
      <c r="C4233" s="81" t="s">
        <v>4621</v>
      </c>
      <c r="D4233" s="83" t="s">
        <v>4573</v>
      </c>
      <c r="E4233" s="81" t="s">
        <v>2699</v>
      </c>
      <c r="F4233" s="84">
        <v>521.0</v>
      </c>
      <c r="G4233" s="81" t="s">
        <v>40</v>
      </c>
      <c r="H4233" s="81" t="s">
        <v>5913</v>
      </c>
      <c r="I4233" s="81" t="s">
        <v>5914</v>
      </c>
      <c r="J4233" s="81" t="s">
        <v>224</v>
      </c>
    </row>
    <row r="4234" hidden="1">
      <c r="A4234" s="83" t="s">
        <v>6330</v>
      </c>
      <c r="B4234" s="83" t="s">
        <v>6331</v>
      </c>
      <c r="C4234" s="81" t="s">
        <v>4621</v>
      </c>
      <c r="D4234" s="83" t="s">
        <v>4574</v>
      </c>
      <c r="E4234" s="81" t="s">
        <v>2700</v>
      </c>
      <c r="F4234" s="84">
        <v>522.0</v>
      </c>
      <c r="G4234" s="81" t="s">
        <v>39</v>
      </c>
      <c r="H4234" s="81" t="s">
        <v>5915</v>
      </c>
      <c r="I4234" s="81" t="s">
        <v>2701</v>
      </c>
      <c r="J4234" s="81" t="s">
        <v>224</v>
      </c>
    </row>
    <row r="4235" hidden="1">
      <c r="A4235" s="83" t="s">
        <v>6330</v>
      </c>
      <c r="B4235" s="83" t="s">
        <v>6331</v>
      </c>
      <c r="C4235" s="81" t="s">
        <v>4621</v>
      </c>
      <c r="D4235" s="83" t="s">
        <v>4574</v>
      </c>
      <c r="E4235" s="81" t="s">
        <v>2700</v>
      </c>
      <c r="F4235" s="84">
        <v>522.0</v>
      </c>
      <c r="G4235" s="81" t="s">
        <v>40</v>
      </c>
      <c r="H4235" s="81" t="s">
        <v>5916</v>
      </c>
      <c r="I4235" s="81" t="s">
        <v>2702</v>
      </c>
      <c r="J4235" s="81" t="s">
        <v>224</v>
      </c>
    </row>
    <row r="4236" hidden="1">
      <c r="A4236" s="83" t="s">
        <v>6330</v>
      </c>
      <c r="B4236" s="83" t="s">
        <v>6331</v>
      </c>
      <c r="C4236" s="81" t="s">
        <v>4621</v>
      </c>
      <c r="D4236" s="83" t="s">
        <v>4575</v>
      </c>
      <c r="E4236" s="81" t="s">
        <v>2703</v>
      </c>
      <c r="F4236" s="84">
        <v>523.0</v>
      </c>
      <c r="G4236" s="81" t="s">
        <v>39</v>
      </c>
      <c r="H4236" s="81" t="s">
        <v>5917</v>
      </c>
      <c r="I4236" s="81" t="s">
        <v>2706</v>
      </c>
      <c r="J4236" s="81" t="s">
        <v>224</v>
      </c>
    </row>
    <row r="4237" hidden="1">
      <c r="A4237" s="83" t="s">
        <v>6330</v>
      </c>
      <c r="B4237" s="83" t="s">
        <v>6331</v>
      </c>
      <c r="C4237" s="81" t="s">
        <v>4621</v>
      </c>
      <c r="D4237" s="83" t="s">
        <v>4575</v>
      </c>
      <c r="E4237" s="81" t="s">
        <v>2703</v>
      </c>
      <c r="F4237" s="84">
        <v>523.0</v>
      </c>
      <c r="G4237" s="81" t="s">
        <v>40</v>
      </c>
      <c r="H4237" s="81" t="s">
        <v>5918</v>
      </c>
      <c r="I4237" s="81" t="s">
        <v>5919</v>
      </c>
      <c r="J4237" s="81" t="s">
        <v>224</v>
      </c>
    </row>
    <row r="4238" hidden="1">
      <c r="A4238" s="83" t="s">
        <v>6330</v>
      </c>
      <c r="B4238" s="83" t="s">
        <v>6331</v>
      </c>
      <c r="C4238" s="81" t="s">
        <v>4621</v>
      </c>
      <c r="D4238" s="83" t="s">
        <v>4575</v>
      </c>
      <c r="E4238" s="81" t="s">
        <v>2712</v>
      </c>
      <c r="F4238" s="84">
        <v>524.0</v>
      </c>
      <c r="G4238" s="81" t="s">
        <v>39</v>
      </c>
      <c r="H4238" s="81" t="s">
        <v>5917</v>
      </c>
      <c r="I4238" s="81" t="s">
        <v>2706</v>
      </c>
      <c r="J4238" s="81" t="s">
        <v>224</v>
      </c>
    </row>
    <row r="4239" hidden="1">
      <c r="A4239" s="83" t="s">
        <v>6330</v>
      </c>
      <c r="B4239" s="83" t="s">
        <v>6331</v>
      </c>
      <c r="C4239" s="81" t="s">
        <v>4621</v>
      </c>
      <c r="D4239" s="83" t="s">
        <v>4575</v>
      </c>
      <c r="E4239" s="81" t="s">
        <v>2712</v>
      </c>
      <c r="F4239" s="84">
        <v>524.0</v>
      </c>
      <c r="G4239" s="81" t="s">
        <v>40</v>
      </c>
      <c r="H4239" s="81" t="s">
        <v>5918</v>
      </c>
      <c r="I4239" s="81" t="s">
        <v>5919</v>
      </c>
      <c r="J4239" s="81" t="s">
        <v>224</v>
      </c>
    </row>
    <row r="4240" hidden="1">
      <c r="A4240" s="83" t="s">
        <v>6330</v>
      </c>
      <c r="B4240" s="83" t="s">
        <v>6331</v>
      </c>
      <c r="C4240" s="81" t="s">
        <v>4621</v>
      </c>
      <c r="D4240" s="83" t="s">
        <v>4576</v>
      </c>
      <c r="E4240" s="81" t="s">
        <v>2713</v>
      </c>
      <c r="F4240" s="84">
        <v>525.0</v>
      </c>
      <c r="G4240" s="81" t="s">
        <v>39</v>
      </c>
      <c r="H4240" s="81" t="s">
        <v>5920</v>
      </c>
      <c r="I4240" s="81" t="s">
        <v>2714</v>
      </c>
      <c r="J4240" s="81" t="s">
        <v>224</v>
      </c>
    </row>
    <row r="4241" hidden="1">
      <c r="A4241" s="83" t="s">
        <v>6330</v>
      </c>
      <c r="B4241" s="83" t="s">
        <v>6331</v>
      </c>
      <c r="C4241" s="81" t="s">
        <v>4621</v>
      </c>
      <c r="D4241" s="83" t="s">
        <v>4576</v>
      </c>
      <c r="E4241" s="81" t="s">
        <v>2713</v>
      </c>
      <c r="F4241" s="84">
        <v>525.0</v>
      </c>
      <c r="G4241" s="81" t="s">
        <v>40</v>
      </c>
      <c r="H4241" s="81" t="s">
        <v>5921</v>
      </c>
      <c r="I4241" s="81" t="s">
        <v>2715</v>
      </c>
      <c r="J4241" s="81" t="s">
        <v>224</v>
      </c>
    </row>
    <row r="4242" hidden="1">
      <c r="A4242" s="83" t="s">
        <v>6330</v>
      </c>
      <c r="B4242" s="83" t="s">
        <v>6331</v>
      </c>
      <c r="C4242" s="81" t="s">
        <v>4621</v>
      </c>
      <c r="D4242" s="83" t="s">
        <v>4577</v>
      </c>
      <c r="E4242" s="81" t="s">
        <v>2716</v>
      </c>
      <c r="F4242" s="84">
        <v>526.0</v>
      </c>
      <c r="G4242" s="81" t="s">
        <v>39</v>
      </c>
      <c r="H4242" s="81" t="s">
        <v>5922</v>
      </c>
      <c r="I4242" s="81" t="s">
        <v>2719</v>
      </c>
      <c r="J4242" s="81" t="s">
        <v>224</v>
      </c>
    </row>
    <row r="4243" hidden="1">
      <c r="A4243" s="83" t="s">
        <v>6330</v>
      </c>
      <c r="B4243" s="83" t="s">
        <v>6331</v>
      </c>
      <c r="C4243" s="81" t="s">
        <v>4621</v>
      </c>
      <c r="D4243" s="83" t="s">
        <v>4577</v>
      </c>
      <c r="E4243" s="81" t="s">
        <v>2716</v>
      </c>
      <c r="F4243" s="84">
        <v>526.0</v>
      </c>
      <c r="G4243" s="81" t="s">
        <v>40</v>
      </c>
      <c r="H4243" s="81" t="s">
        <v>5923</v>
      </c>
      <c r="I4243" s="81" t="s">
        <v>5924</v>
      </c>
      <c r="J4243" s="81" t="s">
        <v>224</v>
      </c>
    </row>
    <row r="4244" hidden="1">
      <c r="A4244" s="83" t="s">
        <v>6330</v>
      </c>
      <c r="B4244" s="83" t="s">
        <v>6331</v>
      </c>
      <c r="C4244" s="81" t="s">
        <v>4621</v>
      </c>
      <c r="D4244" s="83" t="s">
        <v>4578</v>
      </c>
      <c r="E4244" s="81" t="s">
        <v>2724</v>
      </c>
      <c r="F4244" s="84">
        <v>527.0</v>
      </c>
      <c r="G4244" s="81" t="s">
        <v>39</v>
      </c>
      <c r="H4244" s="81" t="s">
        <v>5922</v>
      </c>
      <c r="I4244" s="81" t="s">
        <v>2725</v>
      </c>
      <c r="J4244" s="81" t="s">
        <v>224</v>
      </c>
    </row>
    <row r="4245" hidden="1">
      <c r="A4245" s="83" t="s">
        <v>6330</v>
      </c>
      <c r="B4245" s="83" t="s">
        <v>6331</v>
      </c>
      <c r="C4245" s="81" t="s">
        <v>4621</v>
      </c>
      <c r="D4245" s="83" t="s">
        <v>4578</v>
      </c>
      <c r="E4245" s="81" t="s">
        <v>2724</v>
      </c>
      <c r="F4245" s="84">
        <v>527.0</v>
      </c>
      <c r="G4245" s="81" t="s">
        <v>40</v>
      </c>
      <c r="H4245" s="81" t="s">
        <v>5923</v>
      </c>
      <c r="I4245" s="81" t="s">
        <v>2726</v>
      </c>
      <c r="J4245" s="81" t="s">
        <v>224</v>
      </c>
    </row>
    <row r="4246" hidden="1">
      <c r="A4246" s="83" t="s">
        <v>6330</v>
      </c>
      <c r="B4246" s="83" t="s">
        <v>6331</v>
      </c>
      <c r="C4246" s="81" t="s">
        <v>4621</v>
      </c>
      <c r="D4246" s="83" t="s">
        <v>4579</v>
      </c>
      <c r="E4246" s="81" t="s">
        <v>2727</v>
      </c>
      <c r="F4246" s="84">
        <v>528.0</v>
      </c>
      <c r="G4246" s="81" t="s">
        <v>39</v>
      </c>
      <c r="H4246" s="81" t="s">
        <v>5925</v>
      </c>
      <c r="I4246" s="81" t="s">
        <v>2730</v>
      </c>
      <c r="J4246" s="81" t="s">
        <v>224</v>
      </c>
    </row>
    <row r="4247" hidden="1">
      <c r="A4247" s="83" t="s">
        <v>6330</v>
      </c>
      <c r="B4247" s="83" t="s">
        <v>6331</v>
      </c>
      <c r="C4247" s="81" t="s">
        <v>4621</v>
      </c>
      <c r="D4247" s="83" t="s">
        <v>4579</v>
      </c>
      <c r="E4247" s="81" t="s">
        <v>2727</v>
      </c>
      <c r="F4247" s="84">
        <v>528.0</v>
      </c>
      <c r="G4247" s="81" t="s">
        <v>40</v>
      </c>
      <c r="H4247" s="81" t="s">
        <v>5926</v>
      </c>
      <c r="I4247" s="81" t="s">
        <v>2731</v>
      </c>
      <c r="J4247" s="81" t="s">
        <v>224</v>
      </c>
    </row>
    <row r="4248" hidden="1">
      <c r="A4248" s="83" t="s">
        <v>6330</v>
      </c>
      <c r="B4248" s="83" t="s">
        <v>6331</v>
      </c>
      <c r="C4248" s="81" t="s">
        <v>4621</v>
      </c>
      <c r="D4248" s="83" t="s">
        <v>4579</v>
      </c>
      <c r="E4248" s="81" t="s">
        <v>2736</v>
      </c>
      <c r="F4248" s="84">
        <v>529.0</v>
      </c>
      <c r="G4248" s="81" t="s">
        <v>39</v>
      </c>
      <c r="H4248" s="81" t="s">
        <v>5925</v>
      </c>
      <c r="I4248" s="81" t="s">
        <v>2730</v>
      </c>
      <c r="J4248" s="81" t="s">
        <v>224</v>
      </c>
    </row>
    <row r="4249" hidden="1">
      <c r="A4249" s="83" t="s">
        <v>6330</v>
      </c>
      <c r="B4249" s="83" t="s">
        <v>6331</v>
      </c>
      <c r="C4249" s="81" t="s">
        <v>4621</v>
      </c>
      <c r="D4249" s="83" t="s">
        <v>4579</v>
      </c>
      <c r="E4249" s="81" t="s">
        <v>2736</v>
      </c>
      <c r="F4249" s="84">
        <v>529.0</v>
      </c>
      <c r="G4249" s="81" t="s">
        <v>40</v>
      </c>
      <c r="H4249" s="81" t="s">
        <v>5926</v>
      </c>
      <c r="I4249" s="81" t="s">
        <v>2731</v>
      </c>
      <c r="J4249" s="81" t="s">
        <v>224</v>
      </c>
    </row>
    <row r="4250" hidden="1">
      <c r="A4250" s="83" t="s">
        <v>6330</v>
      </c>
      <c r="B4250" s="83" t="s">
        <v>6331</v>
      </c>
      <c r="C4250" s="81" t="s">
        <v>4621</v>
      </c>
      <c r="D4250" s="83" t="s">
        <v>4581</v>
      </c>
      <c r="E4250" s="81" t="s">
        <v>2737</v>
      </c>
      <c r="F4250" s="84">
        <v>530.0</v>
      </c>
      <c r="G4250" s="81" t="s">
        <v>39</v>
      </c>
      <c r="H4250" s="81" t="s">
        <v>5927</v>
      </c>
      <c r="I4250" s="81" t="s">
        <v>2738</v>
      </c>
      <c r="J4250" s="81" t="s">
        <v>224</v>
      </c>
    </row>
    <row r="4251" hidden="1">
      <c r="A4251" s="83" t="s">
        <v>6330</v>
      </c>
      <c r="B4251" s="83" t="s">
        <v>6331</v>
      </c>
      <c r="C4251" s="81" t="s">
        <v>4621</v>
      </c>
      <c r="D4251" s="83" t="s">
        <v>4581</v>
      </c>
      <c r="E4251" s="81" t="s">
        <v>2737</v>
      </c>
      <c r="F4251" s="84">
        <v>530.0</v>
      </c>
      <c r="G4251" s="81" t="s">
        <v>40</v>
      </c>
      <c r="H4251" s="81" t="s">
        <v>5928</v>
      </c>
      <c r="I4251" s="81" t="s">
        <v>2739</v>
      </c>
      <c r="J4251" s="81" t="s">
        <v>224</v>
      </c>
    </row>
    <row r="4252" hidden="1">
      <c r="A4252" s="83" t="s">
        <v>6330</v>
      </c>
      <c r="B4252" s="83" t="s">
        <v>6331</v>
      </c>
      <c r="C4252" s="81" t="s">
        <v>4621</v>
      </c>
      <c r="D4252" s="83" t="s">
        <v>4582</v>
      </c>
      <c r="E4252" s="81" t="s">
        <v>2740</v>
      </c>
      <c r="F4252" s="84">
        <v>531.0</v>
      </c>
      <c r="G4252" s="81" t="s">
        <v>39</v>
      </c>
      <c r="H4252" s="81" t="s">
        <v>5929</v>
      </c>
      <c r="I4252" s="81" t="s">
        <v>2742</v>
      </c>
      <c r="J4252" s="81" t="s">
        <v>224</v>
      </c>
    </row>
    <row r="4253" hidden="1">
      <c r="A4253" s="83" t="s">
        <v>6330</v>
      </c>
      <c r="B4253" s="83" t="s">
        <v>6331</v>
      </c>
      <c r="C4253" s="81" t="s">
        <v>4621</v>
      </c>
      <c r="D4253" s="83" t="s">
        <v>4582</v>
      </c>
      <c r="E4253" s="81" t="s">
        <v>2740</v>
      </c>
      <c r="F4253" s="84">
        <v>531.0</v>
      </c>
      <c r="G4253" s="81" t="s">
        <v>40</v>
      </c>
      <c r="H4253" s="81" t="s">
        <v>5930</v>
      </c>
      <c r="I4253" s="81" t="s">
        <v>2743</v>
      </c>
      <c r="J4253" s="81" t="s">
        <v>224</v>
      </c>
    </row>
    <row r="4254" hidden="1">
      <c r="A4254" s="83" t="s">
        <v>6330</v>
      </c>
      <c r="B4254" s="83" t="s">
        <v>6331</v>
      </c>
      <c r="C4254" s="81" t="s">
        <v>4621</v>
      </c>
      <c r="D4254" s="83" t="s">
        <v>4582</v>
      </c>
      <c r="E4254" s="81" t="s">
        <v>2748</v>
      </c>
      <c r="F4254" s="84">
        <v>532.0</v>
      </c>
      <c r="G4254" s="81" t="s">
        <v>39</v>
      </c>
      <c r="H4254" s="81" t="s">
        <v>5929</v>
      </c>
      <c r="I4254" s="81" t="s">
        <v>2742</v>
      </c>
      <c r="J4254" s="81" t="s">
        <v>224</v>
      </c>
    </row>
    <row r="4255" hidden="1">
      <c r="A4255" s="83" t="s">
        <v>6330</v>
      </c>
      <c r="B4255" s="83" t="s">
        <v>6331</v>
      </c>
      <c r="C4255" s="81" t="s">
        <v>4621</v>
      </c>
      <c r="D4255" s="83" t="s">
        <v>4582</v>
      </c>
      <c r="E4255" s="81" t="s">
        <v>2748</v>
      </c>
      <c r="F4255" s="84">
        <v>532.0</v>
      </c>
      <c r="G4255" s="81" t="s">
        <v>40</v>
      </c>
      <c r="H4255" s="81" t="s">
        <v>5930</v>
      </c>
      <c r="I4255" s="81" t="s">
        <v>2743</v>
      </c>
      <c r="J4255" s="81" t="s">
        <v>224</v>
      </c>
    </row>
    <row r="4256" hidden="1">
      <c r="A4256" s="83" t="s">
        <v>6330</v>
      </c>
      <c r="B4256" s="83" t="s">
        <v>6331</v>
      </c>
      <c r="C4256" s="81" t="s">
        <v>4621</v>
      </c>
      <c r="D4256" s="83" t="s">
        <v>4584</v>
      </c>
      <c r="E4256" s="81" t="s">
        <v>2749</v>
      </c>
      <c r="F4256" s="84">
        <v>533.0</v>
      </c>
      <c r="G4256" s="81" t="s">
        <v>39</v>
      </c>
      <c r="H4256" s="81" t="s">
        <v>5931</v>
      </c>
      <c r="I4256" s="81" t="s">
        <v>2750</v>
      </c>
      <c r="J4256" s="81" t="s">
        <v>224</v>
      </c>
    </row>
    <row r="4257" hidden="1">
      <c r="A4257" s="83" t="s">
        <v>6330</v>
      </c>
      <c r="B4257" s="83" t="s">
        <v>6331</v>
      </c>
      <c r="C4257" s="81" t="s">
        <v>4621</v>
      </c>
      <c r="D4257" s="83" t="s">
        <v>4584</v>
      </c>
      <c r="E4257" s="81" t="s">
        <v>2749</v>
      </c>
      <c r="F4257" s="84">
        <v>533.0</v>
      </c>
      <c r="G4257" s="81" t="s">
        <v>40</v>
      </c>
      <c r="H4257" s="81" t="s">
        <v>5932</v>
      </c>
      <c r="I4257" s="81" t="s">
        <v>2751</v>
      </c>
      <c r="J4257" s="81" t="s">
        <v>224</v>
      </c>
    </row>
    <row r="4258" hidden="1">
      <c r="A4258" s="83" t="s">
        <v>6330</v>
      </c>
      <c r="B4258" s="83" t="s">
        <v>6331</v>
      </c>
      <c r="C4258" s="81" t="s">
        <v>4621</v>
      </c>
      <c r="D4258" s="83" t="s">
        <v>4585</v>
      </c>
      <c r="E4258" s="81" t="s">
        <v>2752</v>
      </c>
      <c r="F4258" s="84">
        <v>534.0</v>
      </c>
      <c r="G4258" s="81" t="s">
        <v>39</v>
      </c>
      <c r="H4258" s="81" t="s">
        <v>5933</v>
      </c>
      <c r="I4258" s="81" t="s">
        <v>2755</v>
      </c>
      <c r="J4258" s="81" t="s">
        <v>224</v>
      </c>
    </row>
    <row r="4259" hidden="1">
      <c r="A4259" s="83" t="s">
        <v>6330</v>
      </c>
      <c r="B4259" s="83" t="s">
        <v>6331</v>
      </c>
      <c r="C4259" s="81" t="s">
        <v>4621</v>
      </c>
      <c r="D4259" s="83" t="s">
        <v>4585</v>
      </c>
      <c r="E4259" s="81" t="s">
        <v>2752</v>
      </c>
      <c r="F4259" s="84">
        <v>534.0</v>
      </c>
      <c r="G4259" s="81" t="s">
        <v>40</v>
      </c>
      <c r="H4259" s="81" t="s">
        <v>5934</v>
      </c>
      <c r="I4259" s="81" t="s">
        <v>2756</v>
      </c>
      <c r="J4259" s="81" t="s">
        <v>224</v>
      </c>
    </row>
    <row r="4260" hidden="1">
      <c r="A4260" s="83" t="s">
        <v>6330</v>
      </c>
      <c r="B4260" s="83" t="s">
        <v>6331</v>
      </c>
      <c r="C4260" s="81" t="s">
        <v>4621</v>
      </c>
      <c r="D4260" s="83" t="s">
        <v>4585</v>
      </c>
      <c r="E4260" s="81" t="s">
        <v>2761</v>
      </c>
      <c r="F4260" s="84">
        <v>535.0</v>
      </c>
      <c r="G4260" s="81" t="s">
        <v>39</v>
      </c>
      <c r="H4260" s="81" t="s">
        <v>5933</v>
      </c>
      <c r="I4260" s="81" t="s">
        <v>2755</v>
      </c>
      <c r="J4260" s="81" t="s">
        <v>224</v>
      </c>
    </row>
    <row r="4261" hidden="1">
      <c r="A4261" s="83" t="s">
        <v>6330</v>
      </c>
      <c r="B4261" s="83" t="s">
        <v>6331</v>
      </c>
      <c r="C4261" s="81" t="s">
        <v>4621</v>
      </c>
      <c r="D4261" s="83" t="s">
        <v>4585</v>
      </c>
      <c r="E4261" s="81" t="s">
        <v>2761</v>
      </c>
      <c r="F4261" s="84">
        <v>535.0</v>
      </c>
      <c r="G4261" s="81" t="s">
        <v>40</v>
      </c>
      <c r="H4261" s="81" t="s">
        <v>5934</v>
      </c>
      <c r="I4261" s="81" t="s">
        <v>2756</v>
      </c>
      <c r="J4261" s="81" t="s">
        <v>224</v>
      </c>
    </row>
    <row r="4262" hidden="1">
      <c r="A4262" s="83" t="s">
        <v>6330</v>
      </c>
      <c r="B4262" s="83" t="s">
        <v>6331</v>
      </c>
      <c r="C4262" s="81" t="s">
        <v>4621</v>
      </c>
      <c r="D4262" s="83" t="s">
        <v>4586</v>
      </c>
      <c r="E4262" s="81" t="s">
        <v>2763</v>
      </c>
      <c r="F4262" s="84">
        <v>536.0</v>
      </c>
      <c r="G4262" s="81" t="s">
        <v>39</v>
      </c>
      <c r="H4262" s="81" t="s">
        <v>5935</v>
      </c>
      <c r="I4262" s="81" t="s">
        <v>2764</v>
      </c>
      <c r="J4262" s="81" t="s">
        <v>224</v>
      </c>
    </row>
    <row r="4263" hidden="1">
      <c r="A4263" s="83" t="s">
        <v>6330</v>
      </c>
      <c r="B4263" s="83" t="s">
        <v>6331</v>
      </c>
      <c r="C4263" s="81" t="s">
        <v>4621</v>
      </c>
      <c r="D4263" s="83" t="s">
        <v>4586</v>
      </c>
      <c r="E4263" s="81" t="s">
        <v>2763</v>
      </c>
      <c r="F4263" s="84">
        <v>536.0</v>
      </c>
      <c r="G4263" s="81" t="s">
        <v>40</v>
      </c>
      <c r="H4263" s="81" t="s">
        <v>5936</v>
      </c>
      <c r="I4263" s="81" t="s">
        <v>2765</v>
      </c>
      <c r="J4263" s="81" t="s">
        <v>224</v>
      </c>
    </row>
    <row r="4264" hidden="1">
      <c r="A4264" s="83" t="s">
        <v>6330</v>
      </c>
      <c r="B4264" s="83" t="s">
        <v>6331</v>
      </c>
      <c r="C4264" s="81" t="s">
        <v>4621</v>
      </c>
      <c r="D4264" s="83" t="s">
        <v>4587</v>
      </c>
      <c r="E4264" s="81" t="s">
        <v>2766</v>
      </c>
      <c r="F4264" s="84">
        <v>537.0</v>
      </c>
      <c r="G4264" s="81" t="s">
        <v>39</v>
      </c>
      <c r="H4264" s="81" t="s">
        <v>5937</v>
      </c>
      <c r="I4264" s="81" t="s">
        <v>2771</v>
      </c>
      <c r="J4264" s="81" t="s">
        <v>224</v>
      </c>
    </row>
    <row r="4265" hidden="1">
      <c r="A4265" s="83" t="s">
        <v>6330</v>
      </c>
      <c r="B4265" s="83" t="s">
        <v>6331</v>
      </c>
      <c r="C4265" s="81" t="s">
        <v>4621</v>
      </c>
      <c r="D4265" s="83" t="s">
        <v>4587</v>
      </c>
      <c r="E4265" s="81" t="s">
        <v>2766</v>
      </c>
      <c r="F4265" s="84">
        <v>537.0</v>
      </c>
      <c r="G4265" s="81" t="s">
        <v>40</v>
      </c>
      <c r="H4265" s="81" t="s">
        <v>5938</v>
      </c>
      <c r="I4265" s="81" t="s">
        <v>2772</v>
      </c>
      <c r="J4265" s="81" t="s">
        <v>224</v>
      </c>
    </row>
    <row r="4266" hidden="1">
      <c r="A4266" s="83" t="s">
        <v>6330</v>
      </c>
      <c r="B4266" s="83" t="s">
        <v>6331</v>
      </c>
      <c r="C4266" s="81" t="s">
        <v>4621</v>
      </c>
      <c r="D4266" s="83" t="s">
        <v>4587</v>
      </c>
      <c r="E4266" s="81" t="s">
        <v>2778</v>
      </c>
      <c r="F4266" s="84">
        <v>538.0</v>
      </c>
      <c r="G4266" s="81" t="s">
        <v>39</v>
      </c>
      <c r="H4266" s="81" t="s">
        <v>5937</v>
      </c>
      <c r="I4266" s="81" t="s">
        <v>2771</v>
      </c>
      <c r="J4266" s="81" t="s">
        <v>224</v>
      </c>
    </row>
    <row r="4267" hidden="1">
      <c r="A4267" s="83" t="s">
        <v>6330</v>
      </c>
      <c r="B4267" s="83" t="s">
        <v>6331</v>
      </c>
      <c r="C4267" s="81" t="s">
        <v>4621</v>
      </c>
      <c r="D4267" s="83" t="s">
        <v>4587</v>
      </c>
      <c r="E4267" s="81" t="s">
        <v>2778</v>
      </c>
      <c r="F4267" s="84">
        <v>538.0</v>
      </c>
      <c r="G4267" s="81" t="s">
        <v>40</v>
      </c>
      <c r="H4267" s="81" t="s">
        <v>5938</v>
      </c>
      <c r="I4267" s="81" t="s">
        <v>2772</v>
      </c>
      <c r="J4267" s="81" t="s">
        <v>224</v>
      </c>
    </row>
    <row r="4268" hidden="1">
      <c r="A4268" s="83" t="s">
        <v>6330</v>
      </c>
      <c r="B4268" s="83" t="s">
        <v>6331</v>
      </c>
      <c r="C4268" s="81" t="s">
        <v>4621</v>
      </c>
      <c r="D4268" s="83" t="s">
        <v>4588</v>
      </c>
      <c r="E4268" s="81" t="s">
        <v>2779</v>
      </c>
      <c r="F4268" s="84">
        <v>539.0</v>
      </c>
      <c r="G4268" s="81" t="s">
        <v>39</v>
      </c>
      <c r="H4268" s="81" t="s">
        <v>5939</v>
      </c>
      <c r="I4268" s="81" t="s">
        <v>2780</v>
      </c>
      <c r="J4268" s="81" t="s">
        <v>224</v>
      </c>
    </row>
    <row r="4269" hidden="1">
      <c r="A4269" s="83" t="s">
        <v>6330</v>
      </c>
      <c r="B4269" s="83" t="s">
        <v>6331</v>
      </c>
      <c r="C4269" s="81" t="s">
        <v>4621</v>
      </c>
      <c r="D4269" s="83" t="s">
        <v>4588</v>
      </c>
      <c r="E4269" s="81" t="s">
        <v>2779</v>
      </c>
      <c r="F4269" s="84">
        <v>539.0</v>
      </c>
      <c r="G4269" s="81" t="s">
        <v>40</v>
      </c>
      <c r="H4269" s="81" t="s">
        <v>5940</v>
      </c>
      <c r="I4269" s="81" t="s">
        <v>2781</v>
      </c>
      <c r="J4269" s="81" t="s">
        <v>224</v>
      </c>
    </row>
    <row r="4270" hidden="1">
      <c r="A4270" s="83" t="s">
        <v>6330</v>
      </c>
      <c r="B4270" s="83" t="s">
        <v>6331</v>
      </c>
      <c r="C4270" s="81" t="s">
        <v>4621</v>
      </c>
      <c r="D4270" s="83" t="s">
        <v>4589</v>
      </c>
      <c r="E4270" s="81" t="s">
        <v>2782</v>
      </c>
      <c r="F4270" s="84">
        <v>540.0</v>
      </c>
      <c r="G4270" s="81" t="s">
        <v>40</v>
      </c>
      <c r="H4270" s="81" t="s">
        <v>5941</v>
      </c>
      <c r="I4270" s="81" t="s">
        <v>2787</v>
      </c>
      <c r="J4270" s="81" t="s">
        <v>224</v>
      </c>
    </row>
    <row r="4271" hidden="1">
      <c r="A4271" s="83" t="s">
        <v>6330</v>
      </c>
      <c r="B4271" s="83" t="s">
        <v>6331</v>
      </c>
      <c r="C4271" s="81" t="s">
        <v>4621</v>
      </c>
      <c r="D4271" s="83" t="s">
        <v>4590</v>
      </c>
      <c r="E4271" s="81" t="s">
        <v>2792</v>
      </c>
      <c r="F4271" s="84">
        <v>541.0</v>
      </c>
      <c r="G4271" s="81" t="s">
        <v>39</v>
      </c>
      <c r="H4271" s="81" t="s">
        <v>5942</v>
      </c>
      <c r="I4271" s="81" t="s">
        <v>2793</v>
      </c>
      <c r="J4271" s="81" t="s">
        <v>224</v>
      </c>
    </row>
    <row r="4272" hidden="1">
      <c r="A4272" s="83" t="s">
        <v>6330</v>
      </c>
      <c r="B4272" s="83" t="s">
        <v>6331</v>
      </c>
      <c r="C4272" s="81" t="s">
        <v>4621</v>
      </c>
      <c r="D4272" s="83" t="s">
        <v>4590</v>
      </c>
      <c r="E4272" s="81" t="s">
        <v>2792</v>
      </c>
      <c r="F4272" s="84">
        <v>541.0</v>
      </c>
      <c r="G4272" s="81" t="s">
        <v>40</v>
      </c>
      <c r="H4272" s="81" t="s">
        <v>5943</v>
      </c>
      <c r="I4272" s="81" t="s">
        <v>2794</v>
      </c>
      <c r="J4272" s="81" t="s">
        <v>224</v>
      </c>
    </row>
    <row r="4273" hidden="1">
      <c r="A4273" s="83" t="s">
        <v>6330</v>
      </c>
      <c r="B4273" s="83" t="s">
        <v>6331</v>
      </c>
      <c r="C4273" s="81" t="s">
        <v>4621</v>
      </c>
      <c r="D4273" s="83" t="s">
        <v>4591</v>
      </c>
      <c r="E4273" s="81" t="s">
        <v>2795</v>
      </c>
      <c r="F4273" s="84">
        <v>542.0</v>
      </c>
      <c r="G4273" s="81" t="s">
        <v>39</v>
      </c>
      <c r="H4273" s="81" t="s">
        <v>5484</v>
      </c>
      <c r="I4273" s="81" t="s">
        <v>2800</v>
      </c>
      <c r="J4273" s="81" t="s">
        <v>224</v>
      </c>
    </row>
    <row r="4274" hidden="1">
      <c r="A4274" s="83" t="s">
        <v>6330</v>
      </c>
      <c r="B4274" s="83" t="s">
        <v>6331</v>
      </c>
      <c r="C4274" s="81" t="s">
        <v>6333</v>
      </c>
      <c r="D4274" s="83" t="s">
        <v>4591</v>
      </c>
      <c r="E4274" s="81" t="s">
        <v>2795</v>
      </c>
      <c r="F4274" s="84">
        <v>542.0</v>
      </c>
      <c r="G4274" s="81" t="s">
        <v>40</v>
      </c>
      <c r="H4274" s="81" t="s">
        <v>5485</v>
      </c>
      <c r="I4274" s="81" t="s">
        <v>224</v>
      </c>
      <c r="J4274" s="81" t="s">
        <v>5143</v>
      </c>
    </row>
    <row r="4275" hidden="1">
      <c r="A4275" s="83" t="s">
        <v>6330</v>
      </c>
      <c r="B4275" s="83" t="s">
        <v>6331</v>
      </c>
      <c r="C4275" s="81" t="s">
        <v>4621</v>
      </c>
      <c r="D4275" s="83" t="s">
        <v>4593</v>
      </c>
      <c r="E4275" s="81" t="s">
        <v>2805</v>
      </c>
      <c r="F4275" s="84">
        <v>543.0</v>
      </c>
      <c r="G4275" s="81" t="s">
        <v>39</v>
      </c>
      <c r="H4275" s="81" t="s">
        <v>5484</v>
      </c>
      <c r="I4275" s="81" t="s">
        <v>2809</v>
      </c>
      <c r="J4275" s="81" t="s">
        <v>224</v>
      </c>
    </row>
    <row r="4276" hidden="1">
      <c r="A4276" s="83" t="s">
        <v>6330</v>
      </c>
      <c r="B4276" s="83" t="s">
        <v>6331</v>
      </c>
      <c r="C4276" s="81" t="s">
        <v>6333</v>
      </c>
      <c r="D4276" s="83" t="s">
        <v>4593</v>
      </c>
      <c r="E4276" s="81" t="s">
        <v>2805</v>
      </c>
      <c r="F4276" s="84">
        <v>543.0</v>
      </c>
      <c r="G4276" s="81" t="s">
        <v>40</v>
      </c>
      <c r="H4276" s="81" t="s">
        <v>5485</v>
      </c>
      <c r="I4276" s="81" t="s">
        <v>224</v>
      </c>
      <c r="J4276" s="81" t="s">
        <v>5143</v>
      </c>
    </row>
    <row r="4277" hidden="1">
      <c r="A4277" s="83" t="s">
        <v>6330</v>
      </c>
      <c r="B4277" s="83" t="s">
        <v>6331</v>
      </c>
      <c r="C4277" s="81" t="s">
        <v>4621</v>
      </c>
      <c r="D4277" s="83" t="s">
        <v>4595</v>
      </c>
      <c r="E4277" s="81" t="s">
        <v>2814</v>
      </c>
      <c r="F4277" s="84">
        <v>544.0</v>
      </c>
      <c r="G4277" s="81" t="s">
        <v>39</v>
      </c>
      <c r="H4277" s="81" t="s">
        <v>5944</v>
      </c>
      <c r="I4277" s="81" t="s">
        <v>2820</v>
      </c>
      <c r="J4277" s="81" t="s">
        <v>224</v>
      </c>
    </row>
    <row r="4278" hidden="1">
      <c r="A4278" s="83" t="s">
        <v>6330</v>
      </c>
      <c r="B4278" s="83" t="s">
        <v>6331</v>
      </c>
      <c r="C4278" s="81" t="s">
        <v>4621</v>
      </c>
      <c r="D4278" s="83" t="s">
        <v>4595</v>
      </c>
      <c r="E4278" s="81" t="s">
        <v>2814</v>
      </c>
      <c r="F4278" s="84">
        <v>544.0</v>
      </c>
      <c r="G4278" s="81" t="s">
        <v>40</v>
      </c>
      <c r="H4278" s="81" t="s">
        <v>5945</v>
      </c>
      <c r="I4278" s="81" t="s">
        <v>5946</v>
      </c>
      <c r="J4278" s="81" t="s">
        <v>224</v>
      </c>
    </row>
    <row r="4279" hidden="1">
      <c r="A4279" s="83" t="s">
        <v>6330</v>
      </c>
      <c r="B4279" s="83" t="s">
        <v>6331</v>
      </c>
      <c r="C4279" s="81" t="s">
        <v>4621</v>
      </c>
      <c r="D4279" s="83" t="s">
        <v>4595</v>
      </c>
      <c r="E4279" s="81" t="s">
        <v>2827</v>
      </c>
      <c r="F4279" s="84">
        <v>545.0</v>
      </c>
      <c r="G4279" s="81" t="s">
        <v>39</v>
      </c>
      <c r="H4279" s="81" t="s">
        <v>5944</v>
      </c>
      <c r="I4279" s="81" t="s">
        <v>2820</v>
      </c>
      <c r="J4279" s="81" t="s">
        <v>224</v>
      </c>
    </row>
    <row r="4280" hidden="1">
      <c r="A4280" s="83" t="s">
        <v>6330</v>
      </c>
      <c r="B4280" s="83" t="s">
        <v>6331</v>
      </c>
      <c r="C4280" s="81" t="s">
        <v>4621</v>
      </c>
      <c r="D4280" s="83" t="s">
        <v>4595</v>
      </c>
      <c r="E4280" s="81" t="s">
        <v>2827</v>
      </c>
      <c r="F4280" s="84">
        <v>545.0</v>
      </c>
      <c r="G4280" s="81" t="s">
        <v>40</v>
      </c>
      <c r="H4280" s="81" t="s">
        <v>5945</v>
      </c>
      <c r="I4280" s="81" t="s">
        <v>5946</v>
      </c>
      <c r="J4280" s="81" t="s">
        <v>224</v>
      </c>
    </row>
    <row r="4281" hidden="1">
      <c r="A4281" s="83" t="s">
        <v>6330</v>
      </c>
      <c r="B4281" s="83" t="s">
        <v>6331</v>
      </c>
      <c r="C4281" s="81" t="s">
        <v>4621</v>
      </c>
      <c r="D4281" s="83" t="s">
        <v>4596</v>
      </c>
      <c r="E4281" s="81" t="s">
        <v>2828</v>
      </c>
      <c r="F4281" s="84">
        <v>546.0</v>
      </c>
      <c r="G4281" s="81" t="s">
        <v>39</v>
      </c>
      <c r="H4281" s="81" t="s">
        <v>5944</v>
      </c>
      <c r="I4281" s="81" t="s">
        <v>2831</v>
      </c>
      <c r="J4281" s="81" t="s">
        <v>224</v>
      </c>
    </row>
    <row r="4282" hidden="1">
      <c r="A4282" s="83" t="s">
        <v>6330</v>
      </c>
      <c r="B4282" s="83" t="s">
        <v>6331</v>
      </c>
      <c r="C4282" s="81" t="s">
        <v>4621</v>
      </c>
      <c r="D4282" s="83" t="s">
        <v>4596</v>
      </c>
      <c r="E4282" s="81" t="s">
        <v>2828</v>
      </c>
      <c r="F4282" s="84">
        <v>546.0</v>
      </c>
      <c r="G4282" s="81" t="s">
        <v>40</v>
      </c>
      <c r="H4282" s="81" t="s">
        <v>5945</v>
      </c>
      <c r="I4282" s="81" t="s">
        <v>2832</v>
      </c>
      <c r="J4282" s="81" t="s">
        <v>224</v>
      </c>
    </row>
    <row r="4283" hidden="1">
      <c r="A4283" s="83" t="s">
        <v>6330</v>
      </c>
      <c r="B4283" s="83" t="s">
        <v>6331</v>
      </c>
      <c r="C4283" s="81" t="s">
        <v>4621</v>
      </c>
      <c r="D4283" s="83" t="s">
        <v>4597</v>
      </c>
      <c r="E4283" s="81" t="s">
        <v>2837</v>
      </c>
      <c r="F4283" s="84">
        <v>547.0</v>
      </c>
      <c r="G4283" s="81" t="s">
        <v>39</v>
      </c>
      <c r="H4283" s="81" t="s">
        <v>5947</v>
      </c>
      <c r="I4283" s="81" t="s">
        <v>2840</v>
      </c>
      <c r="J4283" s="81" t="s">
        <v>224</v>
      </c>
    </row>
    <row r="4284" hidden="1">
      <c r="A4284" s="83" t="s">
        <v>6330</v>
      </c>
      <c r="B4284" s="83" t="s">
        <v>6331</v>
      </c>
      <c r="C4284" s="81" t="s">
        <v>4621</v>
      </c>
      <c r="D4284" s="83" t="s">
        <v>4597</v>
      </c>
      <c r="E4284" s="81" t="s">
        <v>2837</v>
      </c>
      <c r="F4284" s="84">
        <v>547.0</v>
      </c>
      <c r="G4284" s="81" t="s">
        <v>40</v>
      </c>
      <c r="H4284" s="81" t="s">
        <v>5948</v>
      </c>
      <c r="I4284" s="81" t="s">
        <v>5949</v>
      </c>
      <c r="J4284" s="81" t="s">
        <v>224</v>
      </c>
    </row>
    <row r="4285" hidden="1">
      <c r="A4285" s="83" t="s">
        <v>6330</v>
      </c>
      <c r="B4285" s="83" t="s">
        <v>6331</v>
      </c>
      <c r="C4285" s="81" t="s">
        <v>4621</v>
      </c>
      <c r="D4285" s="83" t="s">
        <v>4597</v>
      </c>
      <c r="E4285" s="81" t="s">
        <v>2847</v>
      </c>
      <c r="F4285" s="84">
        <v>548.0</v>
      </c>
      <c r="G4285" s="81" t="s">
        <v>39</v>
      </c>
      <c r="H4285" s="81" t="s">
        <v>5947</v>
      </c>
      <c r="I4285" s="81" t="s">
        <v>2840</v>
      </c>
      <c r="J4285" s="81" t="s">
        <v>224</v>
      </c>
    </row>
    <row r="4286" hidden="1">
      <c r="A4286" s="83" t="s">
        <v>6330</v>
      </c>
      <c r="B4286" s="83" t="s">
        <v>6331</v>
      </c>
      <c r="C4286" s="81" t="s">
        <v>4621</v>
      </c>
      <c r="D4286" s="83" t="s">
        <v>4597</v>
      </c>
      <c r="E4286" s="81" t="s">
        <v>2847</v>
      </c>
      <c r="F4286" s="84">
        <v>548.0</v>
      </c>
      <c r="G4286" s="81" t="s">
        <v>40</v>
      </c>
      <c r="H4286" s="81" t="s">
        <v>5948</v>
      </c>
      <c r="I4286" s="81" t="s">
        <v>5949</v>
      </c>
      <c r="J4286" s="81" t="s">
        <v>224</v>
      </c>
    </row>
    <row r="4287" hidden="1">
      <c r="A4287" s="83" t="s">
        <v>6330</v>
      </c>
      <c r="B4287" s="83" t="s">
        <v>6331</v>
      </c>
      <c r="C4287" s="81" t="s">
        <v>4621</v>
      </c>
      <c r="D4287" s="83" t="s">
        <v>4598</v>
      </c>
      <c r="E4287" s="81" t="s">
        <v>2848</v>
      </c>
      <c r="F4287" s="84">
        <v>549.0</v>
      </c>
      <c r="G4287" s="81" t="s">
        <v>39</v>
      </c>
      <c r="H4287" s="81" t="s">
        <v>5947</v>
      </c>
      <c r="I4287" s="81" t="s">
        <v>2851</v>
      </c>
      <c r="J4287" s="81" t="s">
        <v>224</v>
      </c>
    </row>
    <row r="4288" hidden="1">
      <c r="A4288" s="83" t="s">
        <v>6330</v>
      </c>
      <c r="B4288" s="83" t="s">
        <v>6331</v>
      </c>
      <c r="C4288" s="81" t="s">
        <v>4621</v>
      </c>
      <c r="D4288" s="83" t="s">
        <v>4598</v>
      </c>
      <c r="E4288" s="81" t="s">
        <v>2848</v>
      </c>
      <c r="F4288" s="84">
        <v>549.0</v>
      </c>
      <c r="G4288" s="81" t="s">
        <v>40</v>
      </c>
      <c r="H4288" s="81" t="s">
        <v>5948</v>
      </c>
      <c r="I4288" s="81" t="s">
        <v>2852</v>
      </c>
      <c r="J4288" s="81" t="s">
        <v>224</v>
      </c>
    </row>
    <row r="4289" hidden="1">
      <c r="A4289" s="83" t="s">
        <v>6330</v>
      </c>
      <c r="B4289" s="83" t="s">
        <v>6331</v>
      </c>
      <c r="C4289" s="81" t="s">
        <v>4621</v>
      </c>
      <c r="D4289" s="83" t="s">
        <v>4599</v>
      </c>
      <c r="E4289" s="81" t="s">
        <v>2857</v>
      </c>
      <c r="F4289" s="84">
        <v>550.0</v>
      </c>
      <c r="G4289" s="81" t="s">
        <v>39</v>
      </c>
      <c r="H4289" s="81" t="s">
        <v>5950</v>
      </c>
      <c r="I4289" s="81" t="s">
        <v>2862</v>
      </c>
      <c r="J4289" s="81" t="s">
        <v>224</v>
      </c>
    </row>
    <row r="4290" hidden="1">
      <c r="A4290" s="83" t="s">
        <v>6330</v>
      </c>
      <c r="B4290" s="83" t="s">
        <v>6331</v>
      </c>
      <c r="C4290" s="81" t="s">
        <v>4621</v>
      </c>
      <c r="D4290" s="83" t="s">
        <v>4599</v>
      </c>
      <c r="E4290" s="81" t="s">
        <v>2857</v>
      </c>
      <c r="F4290" s="84">
        <v>550.0</v>
      </c>
      <c r="G4290" s="81" t="s">
        <v>40</v>
      </c>
      <c r="H4290" s="81" t="s">
        <v>5951</v>
      </c>
      <c r="I4290" s="81" t="s">
        <v>2863</v>
      </c>
      <c r="J4290" s="81" t="s">
        <v>224</v>
      </c>
    </row>
    <row r="4291" hidden="1">
      <c r="A4291" s="83" t="s">
        <v>6330</v>
      </c>
      <c r="B4291" s="83" t="s">
        <v>6331</v>
      </c>
      <c r="C4291" s="81" t="s">
        <v>4621</v>
      </c>
      <c r="D4291" s="83" t="s">
        <v>4599</v>
      </c>
      <c r="E4291" s="81" t="s">
        <v>2869</v>
      </c>
      <c r="F4291" s="84">
        <v>551.0</v>
      </c>
      <c r="G4291" s="81" t="s">
        <v>40</v>
      </c>
      <c r="H4291" s="81" t="s">
        <v>5951</v>
      </c>
      <c r="I4291" s="81" t="s">
        <v>2863</v>
      </c>
      <c r="J4291" s="81" t="s">
        <v>224</v>
      </c>
    </row>
    <row r="4292" hidden="1">
      <c r="A4292" s="83" t="s">
        <v>6330</v>
      </c>
      <c r="B4292" s="83" t="s">
        <v>6331</v>
      </c>
      <c r="C4292" s="81" t="s">
        <v>4621</v>
      </c>
      <c r="D4292" s="83" t="s">
        <v>4600</v>
      </c>
      <c r="E4292" s="81" t="s">
        <v>2870</v>
      </c>
      <c r="F4292" s="84">
        <v>552.0</v>
      </c>
      <c r="G4292" s="81" t="s">
        <v>39</v>
      </c>
      <c r="H4292" s="81" t="s">
        <v>5952</v>
      </c>
      <c r="I4292" s="81" t="s">
        <v>2872</v>
      </c>
      <c r="J4292" s="81" t="s">
        <v>224</v>
      </c>
    </row>
    <row r="4293" hidden="1">
      <c r="A4293" s="83" t="s">
        <v>6330</v>
      </c>
      <c r="B4293" s="83" t="s">
        <v>6331</v>
      </c>
      <c r="C4293" s="81" t="s">
        <v>4621</v>
      </c>
      <c r="D4293" s="83" t="s">
        <v>4600</v>
      </c>
      <c r="E4293" s="81" t="s">
        <v>2870</v>
      </c>
      <c r="F4293" s="84">
        <v>552.0</v>
      </c>
      <c r="G4293" s="81" t="s">
        <v>40</v>
      </c>
      <c r="H4293" s="81" t="s">
        <v>5953</v>
      </c>
      <c r="I4293" s="81" t="s">
        <v>2873</v>
      </c>
      <c r="J4293" s="81" t="s">
        <v>224</v>
      </c>
    </row>
    <row r="4294" hidden="1">
      <c r="A4294" s="83" t="s">
        <v>6330</v>
      </c>
      <c r="B4294" s="83" t="s">
        <v>6331</v>
      </c>
      <c r="C4294" s="81" t="s">
        <v>4621</v>
      </c>
      <c r="D4294" s="83" t="s">
        <v>4601</v>
      </c>
      <c r="E4294" s="81" t="s">
        <v>2874</v>
      </c>
      <c r="F4294" s="84">
        <v>553.0</v>
      </c>
      <c r="G4294" s="81" t="s">
        <v>39</v>
      </c>
      <c r="H4294" s="81" t="s">
        <v>5888</v>
      </c>
      <c r="I4294" s="81" t="s">
        <v>2877</v>
      </c>
      <c r="J4294" s="81" t="s">
        <v>224</v>
      </c>
    </row>
    <row r="4295" hidden="1">
      <c r="A4295" s="83" t="s">
        <v>6330</v>
      </c>
      <c r="B4295" s="83" t="s">
        <v>6331</v>
      </c>
      <c r="C4295" s="81" t="s">
        <v>6333</v>
      </c>
      <c r="D4295" s="83" t="s">
        <v>4601</v>
      </c>
      <c r="E4295" s="81" t="s">
        <v>2874</v>
      </c>
      <c r="F4295" s="84">
        <v>553.0</v>
      </c>
      <c r="G4295" s="81" t="s">
        <v>40</v>
      </c>
      <c r="H4295" s="81" t="s">
        <v>5889</v>
      </c>
      <c r="I4295" s="81" t="s">
        <v>224</v>
      </c>
      <c r="J4295" s="81" t="s">
        <v>5143</v>
      </c>
    </row>
    <row r="4296" hidden="1">
      <c r="A4296" s="83" t="s">
        <v>6330</v>
      </c>
      <c r="B4296" s="83" t="s">
        <v>6331</v>
      </c>
      <c r="C4296" s="81" t="s">
        <v>4621</v>
      </c>
      <c r="D4296" s="83" t="s">
        <v>4603</v>
      </c>
      <c r="E4296" s="81" t="s">
        <v>2881</v>
      </c>
      <c r="F4296" s="84">
        <v>554.0</v>
      </c>
      <c r="G4296" s="81" t="s">
        <v>39</v>
      </c>
      <c r="H4296" s="81" t="s">
        <v>5888</v>
      </c>
      <c r="I4296" s="81" t="s">
        <v>2882</v>
      </c>
      <c r="J4296" s="81" t="s">
        <v>224</v>
      </c>
    </row>
    <row r="4297" hidden="1">
      <c r="A4297" s="83" t="s">
        <v>6330</v>
      </c>
      <c r="B4297" s="83" t="s">
        <v>6331</v>
      </c>
      <c r="C4297" s="81" t="s">
        <v>6333</v>
      </c>
      <c r="D4297" s="83" t="s">
        <v>4603</v>
      </c>
      <c r="E4297" s="81" t="s">
        <v>2881</v>
      </c>
      <c r="F4297" s="84">
        <v>554.0</v>
      </c>
      <c r="G4297" s="81" t="s">
        <v>40</v>
      </c>
      <c r="H4297" s="81" t="s">
        <v>5889</v>
      </c>
      <c r="I4297" s="81" t="s">
        <v>224</v>
      </c>
      <c r="J4297" s="81" t="s">
        <v>5143</v>
      </c>
    </row>
    <row r="4298" hidden="1">
      <c r="A4298" s="83" t="s">
        <v>6330</v>
      </c>
      <c r="B4298" s="83" t="s">
        <v>6331</v>
      </c>
      <c r="C4298" s="81" t="s">
        <v>4621</v>
      </c>
      <c r="D4298" s="83" t="s">
        <v>4604</v>
      </c>
      <c r="E4298" s="81" t="s">
        <v>2885</v>
      </c>
      <c r="F4298" s="84">
        <v>555.0</v>
      </c>
      <c r="G4298" s="81" t="s">
        <v>39</v>
      </c>
      <c r="H4298" s="81" t="s">
        <v>5888</v>
      </c>
      <c r="I4298" s="81" t="s">
        <v>2886</v>
      </c>
      <c r="J4298" s="81" t="s">
        <v>224</v>
      </c>
    </row>
    <row r="4299" hidden="1">
      <c r="A4299" s="83" t="s">
        <v>6330</v>
      </c>
      <c r="B4299" s="83" t="s">
        <v>6331</v>
      </c>
      <c r="C4299" s="81" t="s">
        <v>6333</v>
      </c>
      <c r="D4299" s="83" t="s">
        <v>4604</v>
      </c>
      <c r="E4299" s="81" t="s">
        <v>2885</v>
      </c>
      <c r="F4299" s="84">
        <v>555.0</v>
      </c>
      <c r="G4299" s="81" t="s">
        <v>40</v>
      </c>
      <c r="H4299" s="81" t="s">
        <v>5889</v>
      </c>
      <c r="I4299" s="81" t="s">
        <v>224</v>
      </c>
      <c r="J4299" s="81" t="s">
        <v>5143</v>
      </c>
    </row>
    <row r="4300" hidden="1">
      <c r="A4300" s="83" t="s">
        <v>6330</v>
      </c>
      <c r="B4300" s="83" t="s">
        <v>6331</v>
      </c>
      <c r="C4300" s="81" t="s">
        <v>4621</v>
      </c>
      <c r="D4300" s="83" t="s">
        <v>4605</v>
      </c>
      <c r="E4300" s="81" t="s">
        <v>2889</v>
      </c>
      <c r="F4300" s="84">
        <v>556.0</v>
      </c>
      <c r="G4300" s="81" t="s">
        <v>39</v>
      </c>
      <c r="H4300" s="81" t="s">
        <v>5844</v>
      </c>
      <c r="I4300" s="81" t="s">
        <v>2890</v>
      </c>
      <c r="J4300" s="81" t="s">
        <v>224</v>
      </c>
    </row>
    <row r="4301" hidden="1">
      <c r="A4301" s="83" t="s">
        <v>6330</v>
      </c>
      <c r="B4301" s="83" t="s">
        <v>6331</v>
      </c>
      <c r="C4301" s="81" t="s">
        <v>6333</v>
      </c>
      <c r="D4301" s="83" t="s">
        <v>4605</v>
      </c>
      <c r="E4301" s="81" t="s">
        <v>2889</v>
      </c>
      <c r="F4301" s="84">
        <v>556.0</v>
      </c>
      <c r="G4301" s="81" t="s">
        <v>40</v>
      </c>
      <c r="H4301" s="81" t="s">
        <v>5845</v>
      </c>
      <c r="I4301" s="81" t="s">
        <v>224</v>
      </c>
      <c r="J4301" s="81" t="s">
        <v>5143</v>
      </c>
    </row>
    <row r="4302" hidden="1">
      <c r="A4302" s="83" t="s">
        <v>6330</v>
      </c>
      <c r="B4302" s="83" t="s">
        <v>6331</v>
      </c>
      <c r="C4302" s="81" t="s">
        <v>4621</v>
      </c>
      <c r="D4302" s="83" t="s">
        <v>4606</v>
      </c>
      <c r="E4302" s="81" t="s">
        <v>2891</v>
      </c>
      <c r="F4302" s="84">
        <v>557.0</v>
      </c>
      <c r="G4302" s="81" t="s">
        <v>39</v>
      </c>
      <c r="H4302" s="81" t="s">
        <v>5844</v>
      </c>
      <c r="I4302" s="81" t="s">
        <v>2892</v>
      </c>
      <c r="J4302" s="81" t="s">
        <v>224</v>
      </c>
    </row>
    <row r="4303" hidden="1">
      <c r="A4303" s="83" t="s">
        <v>6330</v>
      </c>
      <c r="B4303" s="83" t="s">
        <v>6331</v>
      </c>
      <c r="C4303" s="81" t="s">
        <v>6333</v>
      </c>
      <c r="D4303" s="83" t="s">
        <v>4606</v>
      </c>
      <c r="E4303" s="81" t="s">
        <v>2891</v>
      </c>
      <c r="F4303" s="84">
        <v>557.0</v>
      </c>
      <c r="G4303" s="81" t="s">
        <v>40</v>
      </c>
      <c r="H4303" s="81" t="s">
        <v>5845</v>
      </c>
      <c r="I4303" s="81" t="s">
        <v>224</v>
      </c>
      <c r="J4303" s="81" t="s">
        <v>5143</v>
      </c>
    </row>
    <row r="4304" hidden="1">
      <c r="A4304" s="83" t="s">
        <v>6330</v>
      </c>
      <c r="B4304" s="83" t="s">
        <v>6331</v>
      </c>
      <c r="C4304" s="81" t="s">
        <v>6333</v>
      </c>
      <c r="D4304" s="83" t="s">
        <v>4607</v>
      </c>
      <c r="E4304" s="81" t="s">
        <v>2893</v>
      </c>
      <c r="F4304" s="84">
        <v>558.0</v>
      </c>
      <c r="G4304" s="81" t="s">
        <v>40</v>
      </c>
      <c r="H4304" s="81" t="s">
        <v>49</v>
      </c>
      <c r="I4304" s="81" t="s">
        <v>224</v>
      </c>
      <c r="J4304" s="81" t="s">
        <v>5143</v>
      </c>
    </row>
    <row r="4305" hidden="1">
      <c r="A4305" s="83" t="s">
        <v>6330</v>
      </c>
      <c r="B4305" s="83" t="s">
        <v>6331</v>
      </c>
      <c r="C4305" s="81" t="s">
        <v>4621</v>
      </c>
      <c r="D4305" s="83" t="s">
        <v>4608</v>
      </c>
      <c r="E4305" s="81" t="s">
        <v>4609</v>
      </c>
      <c r="F4305" s="84">
        <v>559.0</v>
      </c>
      <c r="G4305" s="81" t="s">
        <v>39</v>
      </c>
      <c r="H4305" s="81" t="s">
        <v>5954</v>
      </c>
      <c r="I4305" s="81" t="s">
        <v>2899</v>
      </c>
      <c r="J4305" s="81" t="s">
        <v>224</v>
      </c>
    </row>
    <row r="4306" hidden="1">
      <c r="A4306" s="83" t="s">
        <v>6330</v>
      </c>
      <c r="B4306" s="83" t="s">
        <v>6331</v>
      </c>
      <c r="C4306" s="81" t="s">
        <v>4621</v>
      </c>
      <c r="D4306" s="83" t="s">
        <v>4608</v>
      </c>
      <c r="E4306" s="81" t="s">
        <v>4609</v>
      </c>
      <c r="F4306" s="84">
        <v>559.0</v>
      </c>
      <c r="G4306" s="81" t="s">
        <v>40</v>
      </c>
      <c r="H4306" s="81" t="s">
        <v>5955</v>
      </c>
      <c r="I4306" s="81" t="s">
        <v>5956</v>
      </c>
      <c r="J4306" s="81" t="s">
        <v>224</v>
      </c>
    </row>
    <row r="4307" hidden="1">
      <c r="A4307" s="83" t="s">
        <v>6330</v>
      </c>
      <c r="B4307" s="83" t="s">
        <v>6331</v>
      </c>
      <c r="C4307" s="81" t="s">
        <v>4621</v>
      </c>
      <c r="D4307" s="83" t="s">
        <v>4608</v>
      </c>
      <c r="E4307" s="81" t="s">
        <v>2906</v>
      </c>
      <c r="F4307" s="84">
        <v>560.0</v>
      </c>
      <c r="G4307" s="81" t="s">
        <v>39</v>
      </c>
      <c r="H4307" s="81" t="s">
        <v>5957</v>
      </c>
      <c r="I4307" s="81" t="s">
        <v>2899</v>
      </c>
      <c r="J4307" s="81" t="s">
        <v>224</v>
      </c>
    </row>
    <row r="4308" hidden="1">
      <c r="A4308" s="83" t="s">
        <v>6330</v>
      </c>
      <c r="B4308" s="83" t="s">
        <v>6331</v>
      </c>
      <c r="C4308" s="81" t="s">
        <v>4621</v>
      </c>
      <c r="D4308" s="83" t="s">
        <v>4608</v>
      </c>
      <c r="E4308" s="81" t="s">
        <v>2906</v>
      </c>
      <c r="F4308" s="84">
        <v>560.0</v>
      </c>
      <c r="G4308" s="81" t="s">
        <v>40</v>
      </c>
      <c r="H4308" s="81" t="s">
        <v>5958</v>
      </c>
      <c r="I4308" s="81" t="s">
        <v>5956</v>
      </c>
      <c r="J4308" s="81" t="s">
        <v>224</v>
      </c>
    </row>
    <row r="4309" hidden="1">
      <c r="A4309" s="83" t="s">
        <v>6330</v>
      </c>
      <c r="B4309" s="83" t="s">
        <v>6331</v>
      </c>
      <c r="C4309" s="81" t="s">
        <v>4621</v>
      </c>
      <c r="D4309" s="83" t="s">
        <v>4611</v>
      </c>
      <c r="E4309" s="81" t="s">
        <v>2908</v>
      </c>
      <c r="F4309" s="84">
        <v>561.0</v>
      </c>
      <c r="G4309" s="81" t="s">
        <v>39</v>
      </c>
      <c r="H4309" s="81" t="s">
        <v>5959</v>
      </c>
      <c r="I4309" s="81" t="s">
        <v>2909</v>
      </c>
      <c r="J4309" s="81" t="s">
        <v>224</v>
      </c>
    </row>
    <row r="4310" hidden="1">
      <c r="A4310" s="83" t="s">
        <v>6330</v>
      </c>
      <c r="B4310" s="83" t="s">
        <v>6331</v>
      </c>
      <c r="C4310" s="81" t="s">
        <v>4621</v>
      </c>
      <c r="D4310" s="83" t="s">
        <v>4611</v>
      </c>
      <c r="E4310" s="81" t="s">
        <v>2908</v>
      </c>
      <c r="F4310" s="84">
        <v>561.0</v>
      </c>
      <c r="G4310" s="81" t="s">
        <v>40</v>
      </c>
      <c r="H4310" s="81" t="s">
        <v>5960</v>
      </c>
      <c r="I4310" s="81" t="s">
        <v>2910</v>
      </c>
      <c r="J4310" s="81" t="s">
        <v>224</v>
      </c>
    </row>
    <row r="4311" hidden="1">
      <c r="A4311" s="83" t="s">
        <v>6330</v>
      </c>
      <c r="B4311" s="83" t="s">
        <v>6331</v>
      </c>
      <c r="C4311" s="81" t="s">
        <v>4621</v>
      </c>
      <c r="D4311" s="83" t="s">
        <v>4612</v>
      </c>
      <c r="E4311" s="81" t="s">
        <v>2911</v>
      </c>
      <c r="F4311" s="84">
        <v>562.0</v>
      </c>
      <c r="G4311" s="81" t="s">
        <v>39</v>
      </c>
      <c r="H4311" s="81" t="s">
        <v>2014</v>
      </c>
      <c r="I4311" s="81" t="s">
        <v>2915</v>
      </c>
      <c r="J4311" s="81" t="s">
        <v>224</v>
      </c>
    </row>
    <row r="4312" hidden="1">
      <c r="A4312" s="83" t="s">
        <v>6330</v>
      </c>
      <c r="B4312" s="83" t="s">
        <v>6331</v>
      </c>
      <c r="C4312" s="81" t="s">
        <v>4621</v>
      </c>
      <c r="D4312" s="83" t="s">
        <v>4612</v>
      </c>
      <c r="E4312" s="81" t="s">
        <v>2911</v>
      </c>
      <c r="F4312" s="84">
        <v>562.0</v>
      </c>
      <c r="G4312" s="81" t="s">
        <v>40</v>
      </c>
      <c r="H4312" s="81" t="s">
        <v>5961</v>
      </c>
      <c r="I4312" s="81" t="s">
        <v>2916</v>
      </c>
      <c r="J4312" s="81" t="s">
        <v>224</v>
      </c>
    </row>
    <row r="4313" hidden="1">
      <c r="A4313" s="83" t="s">
        <v>6330</v>
      </c>
      <c r="B4313" s="83" t="s">
        <v>6331</v>
      </c>
      <c r="C4313" s="81" t="s">
        <v>4621</v>
      </c>
      <c r="D4313" s="83" t="s">
        <v>4612</v>
      </c>
      <c r="E4313" s="81" t="s">
        <v>2921</v>
      </c>
      <c r="F4313" s="84">
        <v>563.0</v>
      </c>
      <c r="G4313" s="81" t="s">
        <v>39</v>
      </c>
      <c r="H4313" s="81" t="s">
        <v>5962</v>
      </c>
      <c r="I4313" s="81" t="s">
        <v>2915</v>
      </c>
      <c r="J4313" s="81" t="s">
        <v>224</v>
      </c>
    </row>
    <row r="4314" hidden="1">
      <c r="A4314" s="83" t="s">
        <v>6330</v>
      </c>
      <c r="B4314" s="83" t="s">
        <v>6331</v>
      </c>
      <c r="C4314" s="81" t="s">
        <v>4621</v>
      </c>
      <c r="D4314" s="83" t="s">
        <v>4612</v>
      </c>
      <c r="E4314" s="81" t="s">
        <v>2921</v>
      </c>
      <c r="F4314" s="84">
        <v>563.0</v>
      </c>
      <c r="G4314" s="81" t="s">
        <v>40</v>
      </c>
      <c r="H4314" s="81" t="s">
        <v>5961</v>
      </c>
      <c r="I4314" s="81" t="s">
        <v>2916</v>
      </c>
      <c r="J4314" s="81" t="s">
        <v>224</v>
      </c>
    </row>
    <row r="4315" hidden="1">
      <c r="A4315" s="83" t="s">
        <v>6330</v>
      </c>
      <c r="B4315" s="83" t="s">
        <v>6331</v>
      </c>
      <c r="C4315" s="81" t="s">
        <v>4621</v>
      </c>
      <c r="D4315" s="83" t="s">
        <v>4614</v>
      </c>
      <c r="E4315" s="81" t="s">
        <v>2922</v>
      </c>
      <c r="F4315" s="84">
        <v>564.0</v>
      </c>
      <c r="G4315" s="81" t="s">
        <v>40</v>
      </c>
      <c r="H4315" s="81" t="s">
        <v>5963</v>
      </c>
      <c r="I4315" s="81" t="s">
        <v>2926</v>
      </c>
      <c r="J4315" s="81" t="s">
        <v>224</v>
      </c>
    </row>
    <row r="4316" hidden="1">
      <c r="A4316" s="83" t="s">
        <v>6330</v>
      </c>
      <c r="B4316" s="83" t="s">
        <v>6331</v>
      </c>
      <c r="C4316" s="81" t="s">
        <v>4621</v>
      </c>
      <c r="D4316" s="83" t="s">
        <v>4616</v>
      </c>
      <c r="E4316" s="81" t="s">
        <v>2930</v>
      </c>
      <c r="F4316" s="84">
        <v>565.0</v>
      </c>
      <c r="G4316" s="81" t="s">
        <v>39</v>
      </c>
      <c r="H4316" s="81" t="s">
        <v>5964</v>
      </c>
      <c r="I4316" s="81" t="s">
        <v>2931</v>
      </c>
      <c r="J4316" s="81" t="s">
        <v>224</v>
      </c>
    </row>
    <row r="4317" hidden="1">
      <c r="A4317" s="83" t="s">
        <v>6330</v>
      </c>
      <c r="B4317" s="83" t="s">
        <v>6331</v>
      </c>
      <c r="C4317" s="81" t="s">
        <v>4621</v>
      </c>
      <c r="D4317" s="83" t="s">
        <v>4616</v>
      </c>
      <c r="E4317" s="81" t="s">
        <v>2930</v>
      </c>
      <c r="F4317" s="84">
        <v>565.0</v>
      </c>
      <c r="G4317" s="81" t="s">
        <v>40</v>
      </c>
      <c r="H4317" s="81" t="s">
        <v>5965</v>
      </c>
      <c r="I4317" s="81" t="s">
        <v>2932</v>
      </c>
      <c r="J4317" s="81" t="s">
        <v>224</v>
      </c>
    </row>
    <row r="4318" hidden="1">
      <c r="A4318" s="83" t="s">
        <v>6330</v>
      </c>
      <c r="B4318" s="83" t="s">
        <v>6331</v>
      </c>
      <c r="C4318" s="81" t="s">
        <v>4621</v>
      </c>
      <c r="D4318" s="83" t="s">
        <v>4617</v>
      </c>
      <c r="E4318" s="81" t="s">
        <v>2933</v>
      </c>
      <c r="F4318" s="84">
        <v>566.0</v>
      </c>
      <c r="G4318" s="81" t="s">
        <v>39</v>
      </c>
      <c r="H4318" s="81" t="s">
        <v>5966</v>
      </c>
      <c r="I4318" s="81" t="s">
        <v>2934</v>
      </c>
      <c r="J4318" s="81" t="s">
        <v>224</v>
      </c>
    </row>
    <row r="4319" hidden="1">
      <c r="A4319" s="83" t="s">
        <v>6330</v>
      </c>
      <c r="B4319" s="83" t="s">
        <v>6331</v>
      </c>
      <c r="C4319" s="81" t="s">
        <v>4621</v>
      </c>
      <c r="D4319" s="83" t="s">
        <v>4617</v>
      </c>
      <c r="E4319" s="81" t="s">
        <v>2933</v>
      </c>
      <c r="F4319" s="84">
        <v>566.0</v>
      </c>
      <c r="G4319" s="81" t="s">
        <v>40</v>
      </c>
      <c r="H4319" s="81" t="s">
        <v>5967</v>
      </c>
      <c r="I4319" s="81" t="s">
        <v>2935</v>
      </c>
      <c r="J4319" s="81" t="s">
        <v>224</v>
      </c>
    </row>
    <row r="4320" hidden="1">
      <c r="A4320" s="83" t="s">
        <v>6330</v>
      </c>
      <c r="B4320" s="83" t="s">
        <v>6331</v>
      </c>
      <c r="C4320" s="81" t="s">
        <v>4621</v>
      </c>
      <c r="D4320" s="83" t="s">
        <v>4622</v>
      </c>
      <c r="E4320" s="81" t="s">
        <v>2936</v>
      </c>
      <c r="F4320" s="84">
        <v>567.0</v>
      </c>
      <c r="G4320" s="81" t="s">
        <v>39</v>
      </c>
      <c r="H4320" s="81" t="s">
        <v>5968</v>
      </c>
      <c r="I4320" s="81" t="s">
        <v>2942</v>
      </c>
      <c r="J4320" s="81" t="s">
        <v>224</v>
      </c>
    </row>
    <row r="4321" hidden="1">
      <c r="A4321" s="83" t="s">
        <v>6330</v>
      </c>
      <c r="B4321" s="83" t="s">
        <v>6331</v>
      </c>
      <c r="C4321" s="81" t="s">
        <v>4621</v>
      </c>
      <c r="D4321" s="83" t="s">
        <v>4622</v>
      </c>
      <c r="E4321" s="81" t="s">
        <v>2936</v>
      </c>
      <c r="F4321" s="84">
        <v>567.0</v>
      </c>
      <c r="G4321" s="81" t="s">
        <v>40</v>
      </c>
      <c r="H4321" s="81" t="s">
        <v>5969</v>
      </c>
      <c r="I4321" s="81" t="s">
        <v>5970</v>
      </c>
      <c r="J4321" s="81" t="s">
        <v>224</v>
      </c>
    </row>
    <row r="4322" hidden="1">
      <c r="A4322" s="83" t="s">
        <v>6330</v>
      </c>
      <c r="B4322" s="83" t="s">
        <v>6331</v>
      </c>
      <c r="C4322" s="81" t="s">
        <v>4621</v>
      </c>
      <c r="D4322" s="83" t="s">
        <v>4625</v>
      </c>
      <c r="E4322" s="81" t="s">
        <v>2949</v>
      </c>
      <c r="F4322" s="84">
        <v>568.0</v>
      </c>
      <c r="G4322" s="81" t="s">
        <v>39</v>
      </c>
      <c r="H4322" s="81" t="s">
        <v>5971</v>
      </c>
      <c r="I4322" s="81" t="s">
        <v>2954</v>
      </c>
      <c r="J4322" s="81" t="s">
        <v>224</v>
      </c>
    </row>
    <row r="4323" hidden="1">
      <c r="A4323" s="83" t="s">
        <v>6330</v>
      </c>
      <c r="B4323" s="83" t="s">
        <v>6331</v>
      </c>
      <c r="C4323" s="81" t="s">
        <v>4621</v>
      </c>
      <c r="D4323" s="83" t="s">
        <v>4625</v>
      </c>
      <c r="E4323" s="81" t="s">
        <v>2949</v>
      </c>
      <c r="F4323" s="84">
        <v>568.0</v>
      </c>
      <c r="G4323" s="81" t="s">
        <v>40</v>
      </c>
      <c r="H4323" s="81" t="s">
        <v>5972</v>
      </c>
      <c r="I4323" s="81" t="s">
        <v>2955</v>
      </c>
      <c r="J4323" s="81" t="s">
        <v>224</v>
      </c>
    </row>
    <row r="4324" hidden="1">
      <c r="A4324" s="83" t="s">
        <v>6330</v>
      </c>
      <c r="B4324" s="83" t="s">
        <v>6331</v>
      </c>
      <c r="C4324" s="81" t="s">
        <v>4621</v>
      </c>
      <c r="D4324" s="83" t="s">
        <v>4625</v>
      </c>
      <c r="E4324" s="81" t="s">
        <v>2961</v>
      </c>
      <c r="F4324" s="84">
        <v>569.0</v>
      </c>
      <c r="G4324" s="81" t="s">
        <v>40</v>
      </c>
      <c r="H4324" s="81" t="s">
        <v>5973</v>
      </c>
      <c r="I4324" s="81" t="s">
        <v>2955</v>
      </c>
      <c r="J4324" s="81" t="s">
        <v>224</v>
      </c>
    </row>
    <row r="4325" hidden="1">
      <c r="A4325" s="83" t="s">
        <v>6330</v>
      </c>
      <c r="B4325" s="83" t="s">
        <v>6331</v>
      </c>
      <c r="C4325" s="81" t="s">
        <v>4621</v>
      </c>
      <c r="D4325" s="83" t="s">
        <v>4627</v>
      </c>
      <c r="E4325" s="81" t="s">
        <v>2962</v>
      </c>
      <c r="F4325" s="84">
        <v>570.0</v>
      </c>
      <c r="G4325" s="81" t="s">
        <v>39</v>
      </c>
      <c r="H4325" s="81" t="s">
        <v>5974</v>
      </c>
      <c r="I4325" s="81" t="s">
        <v>2963</v>
      </c>
      <c r="J4325" s="81" t="s">
        <v>224</v>
      </c>
    </row>
    <row r="4326" hidden="1">
      <c r="A4326" s="83" t="s">
        <v>6330</v>
      </c>
      <c r="B4326" s="83" t="s">
        <v>6331</v>
      </c>
      <c r="C4326" s="81" t="s">
        <v>4621</v>
      </c>
      <c r="D4326" s="83" t="s">
        <v>4627</v>
      </c>
      <c r="E4326" s="81" t="s">
        <v>2962</v>
      </c>
      <c r="F4326" s="84">
        <v>570.0</v>
      </c>
      <c r="G4326" s="81" t="s">
        <v>40</v>
      </c>
      <c r="H4326" s="81" t="s">
        <v>5975</v>
      </c>
      <c r="I4326" s="81" t="s">
        <v>2964</v>
      </c>
      <c r="J4326" s="81" t="s">
        <v>224</v>
      </c>
    </row>
    <row r="4327" hidden="1">
      <c r="A4327" s="83" t="s">
        <v>6330</v>
      </c>
      <c r="B4327" s="83" t="s">
        <v>6331</v>
      </c>
      <c r="C4327" s="81" t="s">
        <v>4621</v>
      </c>
      <c r="D4327" s="83" t="s">
        <v>4628</v>
      </c>
      <c r="E4327" s="81" t="s">
        <v>2965</v>
      </c>
      <c r="F4327" s="84">
        <v>571.0</v>
      </c>
      <c r="G4327" s="81" t="s">
        <v>39</v>
      </c>
      <c r="H4327" s="81" t="s">
        <v>5976</v>
      </c>
      <c r="I4327" s="81" t="s">
        <v>2971</v>
      </c>
      <c r="J4327" s="81" t="s">
        <v>224</v>
      </c>
    </row>
    <row r="4328" hidden="1">
      <c r="A4328" s="83" t="s">
        <v>6330</v>
      </c>
      <c r="B4328" s="83" t="s">
        <v>6331</v>
      </c>
      <c r="C4328" s="81" t="s">
        <v>4621</v>
      </c>
      <c r="D4328" s="83" t="s">
        <v>4628</v>
      </c>
      <c r="E4328" s="81" t="s">
        <v>2965</v>
      </c>
      <c r="F4328" s="84">
        <v>571.0</v>
      </c>
      <c r="G4328" s="81" t="s">
        <v>40</v>
      </c>
      <c r="H4328" s="81" t="s">
        <v>5977</v>
      </c>
      <c r="I4328" s="81" t="s">
        <v>5978</v>
      </c>
      <c r="J4328" s="81" t="s">
        <v>224</v>
      </c>
    </row>
    <row r="4329" hidden="1">
      <c r="A4329" s="83" t="s">
        <v>6330</v>
      </c>
      <c r="B4329" s="83" t="s">
        <v>6331</v>
      </c>
      <c r="C4329" s="81" t="s">
        <v>4621</v>
      </c>
      <c r="D4329" s="83" t="s">
        <v>4628</v>
      </c>
      <c r="E4329" s="81" t="s">
        <v>2978</v>
      </c>
      <c r="F4329" s="84">
        <v>572.0</v>
      </c>
      <c r="G4329" s="81" t="s">
        <v>39</v>
      </c>
      <c r="H4329" s="81" t="s">
        <v>5976</v>
      </c>
      <c r="I4329" s="81" t="s">
        <v>2971</v>
      </c>
      <c r="J4329" s="81" t="s">
        <v>224</v>
      </c>
    </row>
    <row r="4330" hidden="1">
      <c r="A4330" s="83" t="s">
        <v>6330</v>
      </c>
      <c r="B4330" s="83" t="s">
        <v>6331</v>
      </c>
      <c r="C4330" s="81" t="s">
        <v>4621</v>
      </c>
      <c r="D4330" s="83" t="s">
        <v>4628</v>
      </c>
      <c r="E4330" s="81" t="s">
        <v>2978</v>
      </c>
      <c r="F4330" s="84">
        <v>572.0</v>
      </c>
      <c r="G4330" s="81" t="s">
        <v>40</v>
      </c>
      <c r="H4330" s="81" t="s">
        <v>5977</v>
      </c>
      <c r="I4330" s="81" t="s">
        <v>5978</v>
      </c>
      <c r="J4330" s="81" t="s">
        <v>224</v>
      </c>
    </row>
    <row r="4331" hidden="1">
      <c r="A4331" s="83" t="s">
        <v>6330</v>
      </c>
      <c r="B4331" s="83" t="s">
        <v>6331</v>
      </c>
      <c r="C4331" s="81" t="s">
        <v>4621</v>
      </c>
      <c r="D4331" s="83" t="s">
        <v>4630</v>
      </c>
      <c r="E4331" s="81" t="s">
        <v>2979</v>
      </c>
      <c r="F4331" s="84">
        <v>573.0</v>
      </c>
      <c r="G4331" s="81" t="s">
        <v>39</v>
      </c>
      <c r="H4331" s="81" t="s">
        <v>5979</v>
      </c>
      <c r="I4331" s="81" t="s">
        <v>2980</v>
      </c>
      <c r="J4331" s="81" t="s">
        <v>224</v>
      </c>
    </row>
    <row r="4332" hidden="1">
      <c r="A4332" s="83" t="s">
        <v>6330</v>
      </c>
      <c r="B4332" s="83" t="s">
        <v>6331</v>
      </c>
      <c r="C4332" s="81" t="s">
        <v>4621</v>
      </c>
      <c r="D4332" s="83" t="s">
        <v>4630</v>
      </c>
      <c r="E4332" s="81" t="s">
        <v>2979</v>
      </c>
      <c r="F4332" s="84">
        <v>573.0</v>
      </c>
      <c r="G4332" s="81" t="s">
        <v>40</v>
      </c>
      <c r="H4332" s="81" t="s">
        <v>5980</v>
      </c>
      <c r="I4332" s="81" t="s">
        <v>2981</v>
      </c>
      <c r="J4332" s="81" t="s">
        <v>224</v>
      </c>
    </row>
    <row r="4333" hidden="1">
      <c r="A4333" s="83" t="s">
        <v>6330</v>
      </c>
      <c r="B4333" s="83" t="s">
        <v>6331</v>
      </c>
      <c r="C4333" s="81" t="s">
        <v>4621</v>
      </c>
      <c r="D4333" s="83" t="s">
        <v>4631</v>
      </c>
      <c r="E4333" s="81" t="s">
        <v>2982</v>
      </c>
      <c r="F4333" s="84">
        <v>574.0</v>
      </c>
      <c r="G4333" s="81" t="s">
        <v>39</v>
      </c>
      <c r="H4333" s="81" t="s">
        <v>5981</v>
      </c>
      <c r="I4333" s="81" t="s">
        <v>2988</v>
      </c>
      <c r="J4333" s="81" t="s">
        <v>224</v>
      </c>
    </row>
    <row r="4334" hidden="1">
      <c r="A4334" s="83" t="s">
        <v>6330</v>
      </c>
      <c r="B4334" s="83" t="s">
        <v>6331</v>
      </c>
      <c r="C4334" s="81" t="s">
        <v>4621</v>
      </c>
      <c r="D4334" s="83" t="s">
        <v>4631</v>
      </c>
      <c r="E4334" s="81" t="s">
        <v>2982</v>
      </c>
      <c r="F4334" s="84">
        <v>574.0</v>
      </c>
      <c r="G4334" s="81" t="s">
        <v>40</v>
      </c>
      <c r="H4334" s="81" t="s">
        <v>5982</v>
      </c>
      <c r="I4334" s="81" t="s">
        <v>2989</v>
      </c>
      <c r="J4334" s="81" t="s">
        <v>224</v>
      </c>
    </row>
    <row r="4335" hidden="1">
      <c r="A4335" s="83" t="s">
        <v>6330</v>
      </c>
      <c r="B4335" s="83" t="s">
        <v>6331</v>
      </c>
      <c r="C4335" s="81" t="s">
        <v>4621</v>
      </c>
      <c r="D4335" s="83" t="s">
        <v>4631</v>
      </c>
      <c r="E4335" s="81" t="s">
        <v>2995</v>
      </c>
      <c r="F4335" s="84">
        <v>575.0</v>
      </c>
      <c r="G4335" s="81" t="s">
        <v>40</v>
      </c>
      <c r="H4335" s="81" t="s">
        <v>5983</v>
      </c>
      <c r="I4335" s="81" t="s">
        <v>2989</v>
      </c>
      <c r="J4335" s="81" t="s">
        <v>224</v>
      </c>
    </row>
    <row r="4336" hidden="1">
      <c r="A4336" s="83" t="s">
        <v>6330</v>
      </c>
      <c r="B4336" s="83" t="s">
        <v>6331</v>
      </c>
      <c r="C4336" s="81" t="s">
        <v>4621</v>
      </c>
      <c r="D4336" s="83" t="s">
        <v>4633</v>
      </c>
      <c r="E4336" s="81" t="s">
        <v>2996</v>
      </c>
      <c r="F4336" s="84">
        <v>576.0</v>
      </c>
      <c r="G4336" s="81" t="s">
        <v>39</v>
      </c>
      <c r="H4336" s="81" t="s">
        <v>5984</v>
      </c>
      <c r="I4336" s="81" t="s">
        <v>2997</v>
      </c>
      <c r="J4336" s="81" t="s">
        <v>224</v>
      </c>
    </row>
    <row r="4337" hidden="1">
      <c r="A4337" s="83" t="s">
        <v>6330</v>
      </c>
      <c r="B4337" s="83" t="s">
        <v>6331</v>
      </c>
      <c r="C4337" s="81" t="s">
        <v>4621</v>
      </c>
      <c r="D4337" s="83" t="s">
        <v>4633</v>
      </c>
      <c r="E4337" s="81" t="s">
        <v>2996</v>
      </c>
      <c r="F4337" s="84">
        <v>576.0</v>
      </c>
      <c r="G4337" s="81" t="s">
        <v>40</v>
      </c>
      <c r="H4337" s="81" t="s">
        <v>5985</v>
      </c>
      <c r="I4337" s="81" t="s">
        <v>2998</v>
      </c>
      <c r="J4337" s="81" t="s">
        <v>224</v>
      </c>
    </row>
    <row r="4338" hidden="1">
      <c r="A4338" s="83" t="s">
        <v>6330</v>
      </c>
      <c r="B4338" s="83" t="s">
        <v>6331</v>
      </c>
      <c r="C4338" s="81" t="s">
        <v>4621</v>
      </c>
      <c r="D4338" s="83" t="s">
        <v>4634</v>
      </c>
      <c r="E4338" s="81" t="s">
        <v>2999</v>
      </c>
      <c r="F4338" s="84">
        <v>577.0</v>
      </c>
      <c r="G4338" s="81" t="s">
        <v>39</v>
      </c>
      <c r="H4338" s="81" t="s">
        <v>5986</v>
      </c>
      <c r="I4338" s="81" t="s">
        <v>3002</v>
      </c>
      <c r="J4338" s="81" t="s">
        <v>224</v>
      </c>
    </row>
    <row r="4339" hidden="1">
      <c r="A4339" s="83" t="s">
        <v>6330</v>
      </c>
      <c r="B4339" s="83" t="s">
        <v>6331</v>
      </c>
      <c r="C4339" s="81" t="s">
        <v>4621</v>
      </c>
      <c r="D4339" s="83" t="s">
        <v>4634</v>
      </c>
      <c r="E4339" s="81" t="s">
        <v>2999</v>
      </c>
      <c r="F4339" s="84">
        <v>577.0</v>
      </c>
      <c r="G4339" s="81" t="s">
        <v>40</v>
      </c>
      <c r="H4339" s="81" t="s">
        <v>5987</v>
      </c>
      <c r="I4339" s="81" t="s">
        <v>3003</v>
      </c>
      <c r="J4339" s="81" t="s">
        <v>224</v>
      </c>
    </row>
    <row r="4340" hidden="1">
      <c r="A4340" s="83" t="s">
        <v>6330</v>
      </c>
      <c r="B4340" s="83" t="s">
        <v>6331</v>
      </c>
      <c r="C4340" s="81" t="s">
        <v>4621</v>
      </c>
      <c r="D4340" s="83" t="s">
        <v>4634</v>
      </c>
      <c r="E4340" s="81" t="s">
        <v>3009</v>
      </c>
      <c r="F4340" s="84">
        <v>578.0</v>
      </c>
      <c r="G4340" s="81" t="s">
        <v>39</v>
      </c>
      <c r="H4340" s="81" t="s">
        <v>5986</v>
      </c>
      <c r="I4340" s="81" t="s">
        <v>3002</v>
      </c>
      <c r="J4340" s="81" t="s">
        <v>224</v>
      </c>
    </row>
    <row r="4341" hidden="1">
      <c r="A4341" s="83" t="s">
        <v>6330</v>
      </c>
      <c r="B4341" s="83" t="s">
        <v>6331</v>
      </c>
      <c r="C4341" s="81" t="s">
        <v>4621</v>
      </c>
      <c r="D4341" s="83" t="s">
        <v>4634</v>
      </c>
      <c r="E4341" s="81" t="s">
        <v>3009</v>
      </c>
      <c r="F4341" s="84">
        <v>578.0</v>
      </c>
      <c r="G4341" s="81" t="s">
        <v>40</v>
      </c>
      <c r="H4341" s="81" t="s">
        <v>5987</v>
      </c>
      <c r="I4341" s="81" t="s">
        <v>3003</v>
      </c>
      <c r="J4341" s="81" t="s">
        <v>224</v>
      </c>
    </row>
    <row r="4342" hidden="1">
      <c r="A4342" s="83" t="s">
        <v>6330</v>
      </c>
      <c r="B4342" s="83" t="s">
        <v>6331</v>
      </c>
      <c r="C4342" s="81" t="s">
        <v>4621</v>
      </c>
      <c r="D4342" s="83" t="s">
        <v>4636</v>
      </c>
      <c r="E4342" s="81" t="s">
        <v>3010</v>
      </c>
      <c r="F4342" s="84">
        <v>579.0</v>
      </c>
      <c r="G4342" s="81" t="s">
        <v>39</v>
      </c>
      <c r="H4342" s="81" t="s">
        <v>5988</v>
      </c>
      <c r="I4342" s="81" t="s">
        <v>3011</v>
      </c>
      <c r="J4342" s="81" t="s">
        <v>224</v>
      </c>
    </row>
    <row r="4343" hidden="1">
      <c r="A4343" s="83" t="s">
        <v>6330</v>
      </c>
      <c r="B4343" s="83" t="s">
        <v>6331</v>
      </c>
      <c r="C4343" s="81" t="s">
        <v>4621</v>
      </c>
      <c r="D4343" s="83" t="s">
        <v>4636</v>
      </c>
      <c r="E4343" s="81" t="s">
        <v>3010</v>
      </c>
      <c r="F4343" s="84">
        <v>579.0</v>
      </c>
      <c r="G4343" s="81" t="s">
        <v>40</v>
      </c>
      <c r="H4343" s="81" t="s">
        <v>5989</v>
      </c>
      <c r="I4343" s="81" t="s">
        <v>3012</v>
      </c>
      <c r="J4343" s="81" t="s">
        <v>224</v>
      </c>
    </row>
    <row r="4344" hidden="1">
      <c r="A4344" s="83" t="s">
        <v>6330</v>
      </c>
      <c r="B4344" s="83" t="s">
        <v>6331</v>
      </c>
      <c r="C4344" s="81" t="s">
        <v>4621</v>
      </c>
      <c r="D4344" s="83" t="s">
        <v>4637</v>
      </c>
      <c r="E4344" s="81" t="s">
        <v>3013</v>
      </c>
      <c r="F4344" s="84">
        <v>580.0</v>
      </c>
      <c r="G4344" s="81" t="s">
        <v>39</v>
      </c>
      <c r="H4344" s="81" t="s">
        <v>5990</v>
      </c>
      <c r="I4344" s="81" t="s">
        <v>3019</v>
      </c>
      <c r="J4344" s="81" t="s">
        <v>224</v>
      </c>
    </row>
    <row r="4345" hidden="1">
      <c r="A4345" s="83" t="s">
        <v>6330</v>
      </c>
      <c r="B4345" s="83" t="s">
        <v>6331</v>
      </c>
      <c r="C4345" s="81" t="s">
        <v>4621</v>
      </c>
      <c r="D4345" s="83" t="s">
        <v>4637</v>
      </c>
      <c r="E4345" s="81" t="s">
        <v>3013</v>
      </c>
      <c r="F4345" s="84">
        <v>580.0</v>
      </c>
      <c r="G4345" s="81" t="s">
        <v>40</v>
      </c>
      <c r="H4345" s="81" t="s">
        <v>5991</v>
      </c>
      <c r="I4345" s="81" t="s">
        <v>3020</v>
      </c>
      <c r="J4345" s="81" t="s">
        <v>224</v>
      </c>
    </row>
    <row r="4346" hidden="1">
      <c r="A4346" s="83" t="s">
        <v>6330</v>
      </c>
      <c r="B4346" s="83" t="s">
        <v>6331</v>
      </c>
      <c r="C4346" s="81" t="s">
        <v>4621</v>
      </c>
      <c r="D4346" s="83" t="s">
        <v>4637</v>
      </c>
      <c r="E4346" s="81" t="s">
        <v>3013</v>
      </c>
      <c r="F4346" s="84">
        <v>580.0</v>
      </c>
      <c r="G4346" s="81" t="s">
        <v>43</v>
      </c>
      <c r="H4346" s="81" t="s">
        <v>3023</v>
      </c>
      <c r="I4346" s="81" t="s">
        <v>5992</v>
      </c>
      <c r="J4346" s="81" t="s">
        <v>224</v>
      </c>
    </row>
    <row r="4347" hidden="1">
      <c r="A4347" s="83" t="s">
        <v>6330</v>
      </c>
      <c r="B4347" s="83" t="s">
        <v>6331</v>
      </c>
      <c r="C4347" s="81" t="s">
        <v>4621</v>
      </c>
      <c r="D4347" s="83" t="s">
        <v>4637</v>
      </c>
      <c r="E4347" s="81" t="s">
        <v>3026</v>
      </c>
      <c r="F4347" s="84">
        <v>581.0</v>
      </c>
      <c r="G4347" s="81" t="s">
        <v>39</v>
      </c>
      <c r="H4347" s="81" t="s">
        <v>5990</v>
      </c>
      <c r="I4347" s="81" t="s">
        <v>3019</v>
      </c>
      <c r="J4347" s="81" t="s">
        <v>224</v>
      </c>
    </row>
    <row r="4348" hidden="1">
      <c r="A4348" s="83" t="s">
        <v>6330</v>
      </c>
      <c r="B4348" s="83" t="s">
        <v>6331</v>
      </c>
      <c r="C4348" s="81" t="s">
        <v>4621</v>
      </c>
      <c r="D4348" s="83" t="s">
        <v>4637</v>
      </c>
      <c r="E4348" s="81" t="s">
        <v>3026</v>
      </c>
      <c r="F4348" s="84">
        <v>581.0</v>
      </c>
      <c r="G4348" s="81" t="s">
        <v>40</v>
      </c>
      <c r="H4348" s="81" t="s">
        <v>5991</v>
      </c>
      <c r="I4348" s="81" t="s">
        <v>3020</v>
      </c>
      <c r="J4348" s="81" t="s">
        <v>224</v>
      </c>
    </row>
    <row r="4349" hidden="1">
      <c r="A4349" s="83" t="s">
        <v>6330</v>
      </c>
      <c r="B4349" s="83" t="s">
        <v>6331</v>
      </c>
      <c r="C4349" s="81" t="s">
        <v>4621</v>
      </c>
      <c r="D4349" s="83" t="s">
        <v>4637</v>
      </c>
      <c r="E4349" s="81" t="s">
        <v>3026</v>
      </c>
      <c r="F4349" s="84">
        <v>581.0</v>
      </c>
      <c r="G4349" s="81" t="s">
        <v>43</v>
      </c>
      <c r="H4349" s="81" t="s">
        <v>3023</v>
      </c>
      <c r="I4349" s="81" t="s">
        <v>5992</v>
      </c>
      <c r="J4349" s="81" t="s">
        <v>224</v>
      </c>
    </row>
    <row r="4350" hidden="1">
      <c r="A4350" s="83" t="s">
        <v>6330</v>
      </c>
      <c r="B4350" s="83" t="s">
        <v>6331</v>
      </c>
      <c r="C4350" s="81" t="s">
        <v>4621</v>
      </c>
      <c r="D4350" s="83" t="s">
        <v>4639</v>
      </c>
      <c r="E4350" s="81" t="s">
        <v>3027</v>
      </c>
      <c r="F4350" s="84">
        <v>582.0</v>
      </c>
      <c r="G4350" s="81" t="s">
        <v>39</v>
      </c>
      <c r="H4350" s="81" t="s">
        <v>5993</v>
      </c>
      <c r="I4350" s="81" t="s">
        <v>3028</v>
      </c>
      <c r="J4350" s="81" t="s">
        <v>224</v>
      </c>
    </row>
    <row r="4351" hidden="1">
      <c r="A4351" s="83" t="s">
        <v>6330</v>
      </c>
      <c r="B4351" s="83" t="s">
        <v>6331</v>
      </c>
      <c r="C4351" s="81" t="s">
        <v>4621</v>
      </c>
      <c r="D4351" s="83" t="s">
        <v>4639</v>
      </c>
      <c r="E4351" s="81" t="s">
        <v>3027</v>
      </c>
      <c r="F4351" s="84">
        <v>582.0</v>
      </c>
      <c r="G4351" s="81" t="s">
        <v>40</v>
      </c>
      <c r="H4351" s="81" t="s">
        <v>5994</v>
      </c>
      <c r="I4351" s="81" t="s">
        <v>3029</v>
      </c>
      <c r="J4351" s="81" t="s">
        <v>224</v>
      </c>
    </row>
    <row r="4352" hidden="1">
      <c r="A4352" s="83" t="s">
        <v>6330</v>
      </c>
      <c r="B4352" s="83" t="s">
        <v>6331</v>
      </c>
      <c r="C4352" s="81" t="s">
        <v>6333</v>
      </c>
      <c r="D4352" s="83" t="s">
        <v>4639</v>
      </c>
      <c r="E4352" s="81" t="s">
        <v>3027</v>
      </c>
      <c r="F4352" s="84">
        <v>582.0</v>
      </c>
      <c r="G4352" s="81" t="s">
        <v>43</v>
      </c>
      <c r="H4352" s="81" t="s">
        <v>3023</v>
      </c>
      <c r="I4352" s="81" t="s">
        <v>224</v>
      </c>
      <c r="J4352" s="81" t="s">
        <v>5143</v>
      </c>
    </row>
    <row r="4353" hidden="1">
      <c r="A4353" s="83" t="s">
        <v>6330</v>
      </c>
      <c r="B4353" s="83" t="s">
        <v>6331</v>
      </c>
      <c r="C4353" s="81" t="s">
        <v>4621</v>
      </c>
      <c r="D4353" s="83" t="s">
        <v>4640</v>
      </c>
      <c r="E4353" s="81" t="s">
        <v>3030</v>
      </c>
      <c r="F4353" s="84">
        <v>583.0</v>
      </c>
      <c r="G4353" s="81" t="s">
        <v>39</v>
      </c>
      <c r="H4353" s="81" t="s">
        <v>5995</v>
      </c>
      <c r="I4353" s="81" t="s">
        <v>3035</v>
      </c>
      <c r="J4353" s="81" t="s">
        <v>224</v>
      </c>
    </row>
    <row r="4354" hidden="1">
      <c r="A4354" s="83" t="s">
        <v>6330</v>
      </c>
      <c r="B4354" s="83" t="s">
        <v>6331</v>
      </c>
      <c r="C4354" s="81" t="s">
        <v>4621</v>
      </c>
      <c r="D4354" s="83" t="s">
        <v>4640</v>
      </c>
      <c r="E4354" s="81" t="s">
        <v>3030</v>
      </c>
      <c r="F4354" s="84">
        <v>583.0</v>
      </c>
      <c r="G4354" s="81" t="s">
        <v>40</v>
      </c>
      <c r="H4354" s="81" t="s">
        <v>5996</v>
      </c>
      <c r="I4354" s="81" t="s">
        <v>5997</v>
      </c>
      <c r="J4354" s="81" t="s">
        <v>224</v>
      </c>
    </row>
    <row r="4355" hidden="1">
      <c r="A4355" s="83" t="s">
        <v>6330</v>
      </c>
      <c r="B4355" s="83" t="s">
        <v>6331</v>
      </c>
      <c r="C4355" s="81" t="s">
        <v>4621</v>
      </c>
      <c r="D4355" s="83" t="s">
        <v>4642</v>
      </c>
      <c r="E4355" s="81" t="s">
        <v>3042</v>
      </c>
      <c r="F4355" s="84">
        <v>584.0</v>
      </c>
      <c r="G4355" s="81" t="s">
        <v>39</v>
      </c>
      <c r="H4355" s="81" t="s">
        <v>5998</v>
      </c>
      <c r="I4355" s="81" t="s">
        <v>3043</v>
      </c>
      <c r="J4355" s="81" t="s">
        <v>224</v>
      </c>
    </row>
    <row r="4356" hidden="1">
      <c r="A4356" s="83" t="s">
        <v>6330</v>
      </c>
      <c r="B4356" s="83" t="s">
        <v>6331</v>
      </c>
      <c r="C4356" s="81" t="s">
        <v>4621</v>
      </c>
      <c r="D4356" s="83" t="s">
        <v>4642</v>
      </c>
      <c r="E4356" s="81" t="s">
        <v>3042</v>
      </c>
      <c r="F4356" s="84">
        <v>584.0</v>
      </c>
      <c r="G4356" s="81" t="s">
        <v>40</v>
      </c>
      <c r="H4356" s="81" t="s">
        <v>5999</v>
      </c>
      <c r="I4356" s="81" t="s">
        <v>3044</v>
      </c>
      <c r="J4356" s="81" t="s">
        <v>224</v>
      </c>
    </row>
    <row r="4357" hidden="1">
      <c r="A4357" s="83" t="s">
        <v>6330</v>
      </c>
      <c r="B4357" s="83" t="s">
        <v>6331</v>
      </c>
      <c r="C4357" s="81" t="s">
        <v>4621</v>
      </c>
      <c r="D4357" s="83" t="s">
        <v>4642</v>
      </c>
      <c r="E4357" s="81" t="s">
        <v>3045</v>
      </c>
      <c r="F4357" s="84">
        <v>585.0</v>
      </c>
      <c r="G4357" s="81" t="s">
        <v>39</v>
      </c>
      <c r="H4357" s="81" t="s">
        <v>6000</v>
      </c>
      <c r="I4357" s="81" t="s">
        <v>3043</v>
      </c>
      <c r="J4357" s="81" t="s">
        <v>224</v>
      </c>
    </row>
    <row r="4358" hidden="1">
      <c r="A4358" s="83" t="s">
        <v>6330</v>
      </c>
      <c r="B4358" s="83" t="s">
        <v>6331</v>
      </c>
      <c r="C4358" s="81" t="s">
        <v>4621</v>
      </c>
      <c r="D4358" s="83" t="s">
        <v>4642</v>
      </c>
      <c r="E4358" s="81" t="s">
        <v>3045</v>
      </c>
      <c r="F4358" s="84">
        <v>585.0</v>
      </c>
      <c r="G4358" s="81" t="s">
        <v>40</v>
      </c>
      <c r="H4358" s="81" t="s">
        <v>6001</v>
      </c>
      <c r="I4358" s="81" t="s">
        <v>3044</v>
      </c>
      <c r="J4358" s="81" t="s">
        <v>224</v>
      </c>
    </row>
    <row r="4359" hidden="1">
      <c r="A4359" s="83" t="s">
        <v>6330</v>
      </c>
      <c r="B4359" s="83" t="s">
        <v>6331</v>
      </c>
      <c r="C4359" s="81" t="s">
        <v>4621</v>
      </c>
      <c r="D4359" s="83" t="s">
        <v>4643</v>
      </c>
      <c r="E4359" s="81" t="s">
        <v>3046</v>
      </c>
      <c r="F4359" s="84">
        <v>586.0</v>
      </c>
      <c r="G4359" s="81" t="s">
        <v>40</v>
      </c>
      <c r="H4359" s="81" t="s">
        <v>6002</v>
      </c>
      <c r="I4359" s="81" t="s">
        <v>3052</v>
      </c>
      <c r="J4359" s="81" t="s">
        <v>224</v>
      </c>
    </row>
    <row r="4360" hidden="1">
      <c r="A4360" s="83" t="s">
        <v>6330</v>
      </c>
      <c r="B4360" s="83" t="s">
        <v>6331</v>
      </c>
      <c r="C4360" s="81" t="s">
        <v>4621</v>
      </c>
      <c r="D4360" s="83" t="s">
        <v>4643</v>
      </c>
      <c r="E4360" s="81" t="s">
        <v>3046</v>
      </c>
      <c r="F4360" s="84">
        <v>586.0</v>
      </c>
      <c r="G4360" s="81" t="s">
        <v>43</v>
      </c>
      <c r="H4360" s="81" t="s">
        <v>3055</v>
      </c>
      <c r="I4360" s="81" t="s">
        <v>6003</v>
      </c>
      <c r="J4360" s="81" t="s">
        <v>224</v>
      </c>
    </row>
    <row r="4361" hidden="1">
      <c r="A4361" s="83" t="s">
        <v>6330</v>
      </c>
      <c r="B4361" s="83" t="s">
        <v>6331</v>
      </c>
      <c r="C4361" s="81" t="s">
        <v>4621</v>
      </c>
      <c r="D4361" s="83" t="s">
        <v>4643</v>
      </c>
      <c r="E4361" s="81" t="s">
        <v>3058</v>
      </c>
      <c r="F4361" s="84">
        <v>587.0</v>
      </c>
      <c r="G4361" s="81" t="s">
        <v>39</v>
      </c>
      <c r="H4361" s="81" t="s">
        <v>6004</v>
      </c>
      <c r="I4361" s="81" t="s">
        <v>3051</v>
      </c>
      <c r="J4361" s="81" t="s">
        <v>224</v>
      </c>
    </row>
    <row r="4362" hidden="1">
      <c r="A4362" s="83" t="s">
        <v>6330</v>
      </c>
      <c r="B4362" s="83" t="s">
        <v>6331</v>
      </c>
      <c r="C4362" s="81" t="s">
        <v>4621</v>
      </c>
      <c r="D4362" s="83" t="s">
        <v>4643</v>
      </c>
      <c r="E4362" s="81" t="s">
        <v>3058</v>
      </c>
      <c r="F4362" s="84">
        <v>587.0</v>
      </c>
      <c r="G4362" s="81" t="s">
        <v>40</v>
      </c>
      <c r="H4362" s="81" t="s">
        <v>6002</v>
      </c>
      <c r="I4362" s="81" t="s">
        <v>3052</v>
      </c>
      <c r="J4362" s="81" t="s">
        <v>224</v>
      </c>
    </row>
    <row r="4363" hidden="1">
      <c r="A4363" s="83" t="s">
        <v>6330</v>
      </c>
      <c r="B4363" s="83" t="s">
        <v>6331</v>
      </c>
      <c r="C4363" s="81" t="s">
        <v>4621</v>
      </c>
      <c r="D4363" s="83" t="s">
        <v>4643</v>
      </c>
      <c r="E4363" s="81" t="s">
        <v>3058</v>
      </c>
      <c r="F4363" s="84">
        <v>587.0</v>
      </c>
      <c r="G4363" s="81" t="s">
        <v>43</v>
      </c>
      <c r="H4363" s="81" t="s">
        <v>3055</v>
      </c>
      <c r="I4363" s="81" t="s">
        <v>6003</v>
      </c>
      <c r="J4363" s="81" t="s">
        <v>224</v>
      </c>
    </row>
    <row r="4364" hidden="1">
      <c r="A4364" s="83" t="s">
        <v>6330</v>
      </c>
      <c r="B4364" s="83" t="s">
        <v>6331</v>
      </c>
      <c r="C4364" s="81" t="s">
        <v>4621</v>
      </c>
      <c r="D4364" s="83" t="s">
        <v>4644</v>
      </c>
      <c r="E4364" s="81" t="s">
        <v>3059</v>
      </c>
      <c r="F4364" s="84">
        <v>588.0</v>
      </c>
      <c r="G4364" s="81" t="s">
        <v>39</v>
      </c>
      <c r="H4364" s="81" t="s">
        <v>6005</v>
      </c>
      <c r="I4364" s="81" t="s">
        <v>3060</v>
      </c>
      <c r="J4364" s="81" t="s">
        <v>224</v>
      </c>
    </row>
    <row r="4365" hidden="1">
      <c r="A4365" s="83" t="s">
        <v>6330</v>
      </c>
      <c r="B4365" s="83" t="s">
        <v>6331</v>
      </c>
      <c r="C4365" s="81" t="s">
        <v>4621</v>
      </c>
      <c r="D4365" s="83" t="s">
        <v>4644</v>
      </c>
      <c r="E4365" s="81" t="s">
        <v>3059</v>
      </c>
      <c r="F4365" s="84">
        <v>588.0</v>
      </c>
      <c r="G4365" s="81" t="s">
        <v>40</v>
      </c>
      <c r="H4365" s="81" t="s">
        <v>6006</v>
      </c>
      <c r="I4365" s="81" t="s">
        <v>3061</v>
      </c>
      <c r="J4365" s="81" t="s">
        <v>224</v>
      </c>
    </row>
    <row r="4366" hidden="1">
      <c r="A4366" s="83" t="s">
        <v>6330</v>
      </c>
      <c r="B4366" s="83" t="s">
        <v>6331</v>
      </c>
      <c r="C4366" s="81" t="s">
        <v>6333</v>
      </c>
      <c r="D4366" s="83" t="s">
        <v>4644</v>
      </c>
      <c r="E4366" s="81" t="s">
        <v>3059</v>
      </c>
      <c r="F4366" s="84">
        <v>588.0</v>
      </c>
      <c r="G4366" s="81" t="s">
        <v>43</v>
      </c>
      <c r="H4366" s="81" t="s">
        <v>3055</v>
      </c>
      <c r="I4366" s="81" t="s">
        <v>224</v>
      </c>
      <c r="J4366" s="81" t="s">
        <v>5143</v>
      </c>
    </row>
    <row r="4367" hidden="1">
      <c r="A4367" s="83" t="s">
        <v>6330</v>
      </c>
      <c r="B4367" s="83" t="s">
        <v>6331</v>
      </c>
      <c r="C4367" s="81" t="s">
        <v>4621</v>
      </c>
      <c r="D4367" s="83" t="s">
        <v>4645</v>
      </c>
      <c r="E4367" s="81" t="s">
        <v>3062</v>
      </c>
      <c r="F4367" s="84">
        <v>589.0</v>
      </c>
      <c r="G4367" s="81" t="s">
        <v>39</v>
      </c>
      <c r="H4367" s="81" t="s">
        <v>6007</v>
      </c>
      <c r="I4367" s="81" t="s">
        <v>3066</v>
      </c>
      <c r="J4367" s="81" t="s">
        <v>224</v>
      </c>
    </row>
    <row r="4368" hidden="1">
      <c r="A4368" s="83" t="s">
        <v>6330</v>
      </c>
      <c r="B4368" s="83" t="s">
        <v>6331</v>
      </c>
      <c r="C4368" s="81" t="s">
        <v>4621</v>
      </c>
      <c r="D4368" s="83" t="s">
        <v>4645</v>
      </c>
      <c r="E4368" s="81" t="s">
        <v>3062</v>
      </c>
      <c r="F4368" s="84">
        <v>589.0</v>
      </c>
      <c r="G4368" s="81" t="s">
        <v>40</v>
      </c>
      <c r="H4368" s="81" t="s">
        <v>6008</v>
      </c>
      <c r="I4368" s="81" t="s">
        <v>3067</v>
      </c>
      <c r="J4368" s="81" t="s">
        <v>224</v>
      </c>
    </row>
    <row r="4369" hidden="1">
      <c r="A4369" s="83" t="s">
        <v>6330</v>
      </c>
      <c r="B4369" s="83" t="s">
        <v>6331</v>
      </c>
      <c r="C4369" s="81" t="s">
        <v>4621</v>
      </c>
      <c r="D4369" s="83" t="s">
        <v>4645</v>
      </c>
      <c r="E4369" s="81" t="s">
        <v>3073</v>
      </c>
      <c r="F4369" s="84">
        <v>590.0</v>
      </c>
      <c r="G4369" s="81" t="s">
        <v>39</v>
      </c>
      <c r="H4369" s="81" t="s">
        <v>6007</v>
      </c>
      <c r="I4369" s="81" t="s">
        <v>3066</v>
      </c>
      <c r="J4369" s="81" t="s">
        <v>224</v>
      </c>
    </row>
    <row r="4370" hidden="1">
      <c r="A4370" s="83" t="s">
        <v>6330</v>
      </c>
      <c r="B4370" s="83" t="s">
        <v>6331</v>
      </c>
      <c r="C4370" s="81" t="s">
        <v>4621</v>
      </c>
      <c r="D4370" s="83" t="s">
        <v>4645</v>
      </c>
      <c r="E4370" s="81" t="s">
        <v>3073</v>
      </c>
      <c r="F4370" s="84">
        <v>590.0</v>
      </c>
      <c r="G4370" s="81" t="s">
        <v>40</v>
      </c>
      <c r="H4370" s="81" t="s">
        <v>6008</v>
      </c>
      <c r="I4370" s="81" t="s">
        <v>3067</v>
      </c>
      <c r="J4370" s="81" t="s">
        <v>224</v>
      </c>
    </row>
    <row r="4371" hidden="1">
      <c r="A4371" s="83" t="s">
        <v>6330</v>
      </c>
      <c r="B4371" s="83" t="s">
        <v>6331</v>
      </c>
      <c r="C4371" s="81" t="s">
        <v>4621</v>
      </c>
      <c r="D4371" s="83" t="s">
        <v>4647</v>
      </c>
      <c r="E4371" s="81" t="s">
        <v>3074</v>
      </c>
      <c r="F4371" s="84">
        <v>591.0</v>
      </c>
      <c r="G4371" s="81" t="s">
        <v>39</v>
      </c>
      <c r="H4371" s="81" t="s">
        <v>6009</v>
      </c>
      <c r="I4371" s="81" t="s">
        <v>3075</v>
      </c>
      <c r="J4371" s="81" t="s">
        <v>224</v>
      </c>
    </row>
    <row r="4372" hidden="1">
      <c r="A4372" s="83" t="s">
        <v>6330</v>
      </c>
      <c r="B4372" s="83" t="s">
        <v>6331</v>
      </c>
      <c r="C4372" s="81" t="s">
        <v>4621</v>
      </c>
      <c r="D4372" s="83" t="s">
        <v>4647</v>
      </c>
      <c r="E4372" s="81" t="s">
        <v>3074</v>
      </c>
      <c r="F4372" s="84">
        <v>591.0</v>
      </c>
      <c r="G4372" s="81" t="s">
        <v>40</v>
      </c>
      <c r="H4372" s="81" t="s">
        <v>6010</v>
      </c>
      <c r="I4372" s="81" t="s">
        <v>3076</v>
      </c>
      <c r="J4372" s="81" t="s">
        <v>224</v>
      </c>
    </row>
    <row r="4373" hidden="1">
      <c r="A4373" s="83" t="s">
        <v>6330</v>
      </c>
      <c r="B4373" s="83" t="s">
        <v>6331</v>
      </c>
      <c r="C4373" s="81" t="s">
        <v>4621</v>
      </c>
      <c r="D4373" s="83" t="s">
        <v>4648</v>
      </c>
      <c r="E4373" s="81" t="s">
        <v>3077</v>
      </c>
      <c r="F4373" s="84">
        <v>592.0</v>
      </c>
      <c r="G4373" s="81" t="s">
        <v>39</v>
      </c>
      <c r="H4373" s="81" t="s">
        <v>6011</v>
      </c>
      <c r="I4373" s="81" t="s">
        <v>3085</v>
      </c>
      <c r="J4373" s="81" t="s">
        <v>224</v>
      </c>
    </row>
    <row r="4374" hidden="1">
      <c r="A4374" s="83" t="s">
        <v>6330</v>
      </c>
      <c r="B4374" s="83" t="s">
        <v>6331</v>
      </c>
      <c r="C4374" s="81" t="s">
        <v>4621</v>
      </c>
      <c r="D4374" s="83" t="s">
        <v>4648</v>
      </c>
      <c r="E4374" s="81" t="s">
        <v>3077</v>
      </c>
      <c r="F4374" s="84">
        <v>592.0</v>
      </c>
      <c r="G4374" s="81" t="s">
        <v>40</v>
      </c>
      <c r="H4374" s="81" t="s">
        <v>6012</v>
      </c>
      <c r="I4374" s="81" t="s">
        <v>6013</v>
      </c>
      <c r="J4374" s="81" t="s">
        <v>224</v>
      </c>
    </row>
    <row r="4375" hidden="1">
      <c r="A4375" s="83" t="s">
        <v>6330</v>
      </c>
      <c r="B4375" s="83" t="s">
        <v>6331</v>
      </c>
      <c r="C4375" s="81" t="s">
        <v>4621</v>
      </c>
      <c r="D4375" s="83" t="s">
        <v>4648</v>
      </c>
      <c r="E4375" s="81" t="s">
        <v>3090</v>
      </c>
      <c r="F4375" s="84">
        <v>593.0</v>
      </c>
      <c r="G4375" s="81" t="s">
        <v>40</v>
      </c>
      <c r="H4375" s="81" t="s">
        <v>6014</v>
      </c>
      <c r="I4375" s="81" t="s">
        <v>6013</v>
      </c>
      <c r="J4375" s="81" t="s">
        <v>224</v>
      </c>
    </row>
    <row r="4376" hidden="1">
      <c r="A4376" s="83" t="s">
        <v>6330</v>
      </c>
      <c r="B4376" s="83" t="s">
        <v>6331</v>
      </c>
      <c r="C4376" s="81" t="s">
        <v>4621</v>
      </c>
      <c r="D4376" s="83" t="s">
        <v>4650</v>
      </c>
      <c r="E4376" s="81" t="s">
        <v>3091</v>
      </c>
      <c r="F4376" s="84">
        <v>594.0</v>
      </c>
      <c r="G4376" s="81" t="s">
        <v>39</v>
      </c>
      <c r="H4376" s="81" t="s">
        <v>6015</v>
      </c>
      <c r="I4376" s="81" t="s">
        <v>3092</v>
      </c>
      <c r="J4376" s="81" t="s">
        <v>224</v>
      </c>
    </row>
    <row r="4377" hidden="1">
      <c r="A4377" s="83" t="s">
        <v>6330</v>
      </c>
      <c r="B4377" s="83" t="s">
        <v>6331</v>
      </c>
      <c r="C4377" s="81" t="s">
        <v>4621</v>
      </c>
      <c r="D4377" s="83" t="s">
        <v>4650</v>
      </c>
      <c r="E4377" s="81" t="s">
        <v>3091</v>
      </c>
      <c r="F4377" s="84">
        <v>594.0</v>
      </c>
      <c r="G4377" s="81" t="s">
        <v>40</v>
      </c>
      <c r="H4377" s="81" t="s">
        <v>6016</v>
      </c>
      <c r="I4377" s="81" t="s">
        <v>6017</v>
      </c>
      <c r="J4377" s="81" t="s">
        <v>224</v>
      </c>
    </row>
    <row r="4378" hidden="1">
      <c r="A4378" s="83" t="s">
        <v>6330</v>
      </c>
      <c r="B4378" s="83" t="s">
        <v>6331</v>
      </c>
      <c r="C4378" s="81" t="s">
        <v>4621</v>
      </c>
      <c r="D4378" s="83" t="s">
        <v>4651</v>
      </c>
      <c r="E4378" s="81" t="s">
        <v>3094</v>
      </c>
      <c r="F4378" s="84">
        <v>595.0</v>
      </c>
      <c r="G4378" s="81" t="s">
        <v>39</v>
      </c>
      <c r="H4378" s="81" t="s">
        <v>6018</v>
      </c>
      <c r="I4378" s="81" t="s">
        <v>3100</v>
      </c>
      <c r="J4378" s="81" t="s">
        <v>224</v>
      </c>
    </row>
    <row r="4379" hidden="1">
      <c r="A4379" s="83" t="s">
        <v>6330</v>
      </c>
      <c r="B4379" s="83" t="s">
        <v>6331</v>
      </c>
      <c r="C4379" s="81" t="s">
        <v>4621</v>
      </c>
      <c r="D4379" s="83" t="s">
        <v>4651</v>
      </c>
      <c r="E4379" s="81" t="s">
        <v>3094</v>
      </c>
      <c r="F4379" s="84">
        <v>595.0</v>
      </c>
      <c r="G4379" s="81" t="s">
        <v>40</v>
      </c>
      <c r="H4379" s="81" t="s">
        <v>6019</v>
      </c>
      <c r="I4379" s="81" t="s">
        <v>3101</v>
      </c>
      <c r="J4379" s="81" t="s">
        <v>224</v>
      </c>
    </row>
    <row r="4380" hidden="1">
      <c r="A4380" s="83" t="s">
        <v>6330</v>
      </c>
      <c r="B4380" s="83" t="s">
        <v>6331</v>
      </c>
      <c r="C4380" s="81" t="s">
        <v>4621</v>
      </c>
      <c r="D4380" s="83" t="s">
        <v>4654</v>
      </c>
      <c r="E4380" s="81" t="s">
        <v>3107</v>
      </c>
      <c r="F4380" s="84">
        <v>596.0</v>
      </c>
      <c r="G4380" s="81" t="s">
        <v>39</v>
      </c>
      <c r="H4380" s="81" t="s">
        <v>6020</v>
      </c>
      <c r="I4380" s="81" t="s">
        <v>3111</v>
      </c>
      <c r="J4380" s="81" t="s">
        <v>224</v>
      </c>
    </row>
    <row r="4381" hidden="1">
      <c r="A4381" s="83" t="s">
        <v>6330</v>
      </c>
      <c r="B4381" s="83" t="s">
        <v>6331</v>
      </c>
      <c r="C4381" s="81" t="s">
        <v>4621</v>
      </c>
      <c r="D4381" s="83" t="s">
        <v>4654</v>
      </c>
      <c r="E4381" s="81" t="s">
        <v>3107</v>
      </c>
      <c r="F4381" s="84">
        <v>596.0</v>
      </c>
      <c r="G4381" s="81" t="s">
        <v>40</v>
      </c>
      <c r="H4381" s="81" t="s">
        <v>6021</v>
      </c>
      <c r="I4381" s="81" t="s">
        <v>3112</v>
      </c>
      <c r="J4381" s="81" t="s">
        <v>224</v>
      </c>
    </row>
    <row r="4382" hidden="1">
      <c r="A4382" s="83" t="s">
        <v>6330</v>
      </c>
      <c r="B4382" s="83" t="s">
        <v>6331</v>
      </c>
      <c r="C4382" s="81" t="s">
        <v>4621</v>
      </c>
      <c r="D4382" s="83" t="s">
        <v>4657</v>
      </c>
      <c r="E4382" s="81" t="s">
        <v>3118</v>
      </c>
      <c r="F4382" s="84">
        <v>597.0</v>
      </c>
      <c r="G4382" s="81" t="s">
        <v>39</v>
      </c>
      <c r="H4382" s="81" t="s">
        <v>6022</v>
      </c>
      <c r="I4382" s="81" t="s">
        <v>3121</v>
      </c>
      <c r="J4382" s="81" t="s">
        <v>224</v>
      </c>
    </row>
    <row r="4383" hidden="1">
      <c r="A4383" s="83" t="s">
        <v>6330</v>
      </c>
      <c r="B4383" s="83" t="s">
        <v>6331</v>
      </c>
      <c r="C4383" s="81" t="s">
        <v>4621</v>
      </c>
      <c r="D4383" s="83" t="s">
        <v>4657</v>
      </c>
      <c r="E4383" s="81" t="s">
        <v>3118</v>
      </c>
      <c r="F4383" s="84">
        <v>597.0</v>
      </c>
      <c r="G4383" s="81" t="s">
        <v>40</v>
      </c>
      <c r="H4383" s="81" t="s">
        <v>6023</v>
      </c>
      <c r="I4383" s="81" t="s">
        <v>3122</v>
      </c>
      <c r="J4383" s="81" t="s">
        <v>224</v>
      </c>
    </row>
    <row r="4384" hidden="1">
      <c r="A4384" s="83" t="s">
        <v>6330</v>
      </c>
      <c r="B4384" s="83" t="s">
        <v>6331</v>
      </c>
      <c r="C4384" s="81" t="s">
        <v>4621</v>
      </c>
      <c r="D4384" s="83" t="s">
        <v>4660</v>
      </c>
      <c r="E4384" s="81" t="s">
        <v>3128</v>
      </c>
      <c r="F4384" s="84">
        <v>598.0</v>
      </c>
      <c r="G4384" s="81" t="s">
        <v>39</v>
      </c>
      <c r="H4384" s="81" t="s">
        <v>6024</v>
      </c>
      <c r="I4384" s="81" t="s">
        <v>3131</v>
      </c>
      <c r="J4384" s="81" t="s">
        <v>224</v>
      </c>
    </row>
    <row r="4385" hidden="1">
      <c r="A4385" s="83" t="s">
        <v>6330</v>
      </c>
      <c r="B4385" s="83" t="s">
        <v>6331</v>
      </c>
      <c r="C4385" s="81" t="s">
        <v>4621</v>
      </c>
      <c r="D4385" s="83" t="s">
        <v>4660</v>
      </c>
      <c r="E4385" s="81" t="s">
        <v>3128</v>
      </c>
      <c r="F4385" s="84">
        <v>598.0</v>
      </c>
      <c r="G4385" s="81" t="s">
        <v>40</v>
      </c>
      <c r="H4385" s="81" t="s">
        <v>6025</v>
      </c>
      <c r="I4385" s="81" t="s">
        <v>3132</v>
      </c>
      <c r="J4385" s="81" t="s">
        <v>224</v>
      </c>
    </row>
    <row r="4386" hidden="1">
      <c r="A4386" s="83" t="s">
        <v>6330</v>
      </c>
      <c r="B4386" s="83" t="s">
        <v>6331</v>
      </c>
      <c r="C4386" s="81" t="s">
        <v>4621</v>
      </c>
      <c r="D4386" s="83" t="s">
        <v>4663</v>
      </c>
      <c r="E4386" s="81" t="s">
        <v>3138</v>
      </c>
      <c r="F4386" s="84">
        <v>599.0</v>
      </c>
      <c r="G4386" s="81" t="s">
        <v>39</v>
      </c>
      <c r="H4386" s="81" t="s">
        <v>6026</v>
      </c>
      <c r="I4386" s="81" t="s">
        <v>3141</v>
      </c>
      <c r="J4386" s="81" t="s">
        <v>224</v>
      </c>
    </row>
    <row r="4387" hidden="1">
      <c r="A4387" s="83" t="s">
        <v>6330</v>
      </c>
      <c r="B4387" s="83" t="s">
        <v>6331</v>
      </c>
      <c r="C4387" s="81" t="s">
        <v>4621</v>
      </c>
      <c r="D4387" s="83" t="s">
        <v>4663</v>
      </c>
      <c r="E4387" s="81" t="s">
        <v>3138</v>
      </c>
      <c r="F4387" s="84">
        <v>599.0</v>
      </c>
      <c r="G4387" s="81" t="s">
        <v>40</v>
      </c>
      <c r="H4387" s="81" t="s">
        <v>6027</v>
      </c>
      <c r="I4387" s="81" t="s">
        <v>3142</v>
      </c>
      <c r="J4387" s="81" t="s">
        <v>224</v>
      </c>
    </row>
    <row r="4388" hidden="1">
      <c r="A4388" s="83" t="s">
        <v>6330</v>
      </c>
      <c r="B4388" s="83" t="s">
        <v>6331</v>
      </c>
      <c r="C4388" s="81" t="s">
        <v>4621</v>
      </c>
      <c r="D4388" s="83" t="s">
        <v>4666</v>
      </c>
      <c r="E4388" s="81" t="s">
        <v>3148</v>
      </c>
      <c r="F4388" s="84">
        <v>600.0</v>
      </c>
      <c r="G4388" s="81" t="s">
        <v>39</v>
      </c>
      <c r="H4388" s="81" t="s">
        <v>6028</v>
      </c>
      <c r="I4388" s="81" t="s">
        <v>3153</v>
      </c>
      <c r="J4388" s="81" t="s">
        <v>224</v>
      </c>
    </row>
    <row r="4389" hidden="1">
      <c r="A4389" s="83" t="s">
        <v>6330</v>
      </c>
      <c r="B4389" s="83" t="s">
        <v>6331</v>
      </c>
      <c r="C4389" s="81" t="s">
        <v>4621</v>
      </c>
      <c r="D4389" s="83" t="s">
        <v>4666</v>
      </c>
      <c r="E4389" s="81" t="s">
        <v>3148</v>
      </c>
      <c r="F4389" s="84">
        <v>600.0</v>
      </c>
      <c r="G4389" s="81" t="s">
        <v>40</v>
      </c>
      <c r="H4389" s="81" t="s">
        <v>6029</v>
      </c>
      <c r="I4389" s="81" t="s">
        <v>3154</v>
      </c>
      <c r="J4389" s="81" t="s">
        <v>224</v>
      </c>
    </row>
    <row r="4390" hidden="1">
      <c r="A4390" s="83" t="s">
        <v>6330</v>
      </c>
      <c r="B4390" s="83" t="s">
        <v>6331</v>
      </c>
      <c r="C4390" s="81" t="s">
        <v>4621</v>
      </c>
      <c r="D4390" s="83" t="s">
        <v>4669</v>
      </c>
      <c r="E4390" s="81" t="s">
        <v>3160</v>
      </c>
      <c r="F4390" s="84">
        <v>601.0</v>
      </c>
      <c r="G4390" s="81" t="s">
        <v>39</v>
      </c>
      <c r="H4390" s="81" t="s">
        <v>6030</v>
      </c>
      <c r="I4390" s="81" t="s">
        <v>3163</v>
      </c>
      <c r="J4390" s="81" t="s">
        <v>224</v>
      </c>
    </row>
    <row r="4391" hidden="1">
      <c r="A4391" s="83" t="s">
        <v>6330</v>
      </c>
      <c r="B4391" s="83" t="s">
        <v>6331</v>
      </c>
      <c r="C4391" s="81" t="s">
        <v>4621</v>
      </c>
      <c r="D4391" s="83" t="s">
        <v>4669</v>
      </c>
      <c r="E4391" s="81" t="s">
        <v>3160</v>
      </c>
      <c r="F4391" s="84">
        <v>601.0</v>
      </c>
      <c r="G4391" s="81" t="s">
        <v>40</v>
      </c>
      <c r="H4391" s="81" t="s">
        <v>6031</v>
      </c>
      <c r="I4391" s="81" t="s">
        <v>3164</v>
      </c>
      <c r="J4391" s="81" t="s">
        <v>224</v>
      </c>
    </row>
    <row r="4392" hidden="1">
      <c r="A4392" s="83" t="s">
        <v>6330</v>
      </c>
      <c r="B4392" s="83" t="s">
        <v>6331</v>
      </c>
      <c r="C4392" s="81" t="s">
        <v>4621</v>
      </c>
      <c r="D4392" s="83" t="s">
        <v>4672</v>
      </c>
      <c r="E4392" s="81" t="s">
        <v>3170</v>
      </c>
      <c r="F4392" s="84">
        <v>602.0</v>
      </c>
      <c r="G4392" s="81" t="s">
        <v>39</v>
      </c>
      <c r="H4392" s="81" t="s">
        <v>6032</v>
      </c>
      <c r="I4392" s="81" t="s">
        <v>3175</v>
      </c>
      <c r="J4392" s="81" t="s">
        <v>224</v>
      </c>
    </row>
    <row r="4393" hidden="1">
      <c r="A4393" s="83" t="s">
        <v>6330</v>
      </c>
      <c r="B4393" s="83" t="s">
        <v>6331</v>
      </c>
      <c r="C4393" s="81" t="s">
        <v>4621</v>
      </c>
      <c r="D4393" s="83" t="s">
        <v>4672</v>
      </c>
      <c r="E4393" s="81" t="s">
        <v>3170</v>
      </c>
      <c r="F4393" s="84">
        <v>602.0</v>
      </c>
      <c r="G4393" s="81" t="s">
        <v>40</v>
      </c>
      <c r="H4393" s="81" t="s">
        <v>6033</v>
      </c>
      <c r="I4393" s="81" t="s">
        <v>3176</v>
      </c>
      <c r="J4393" s="81" t="s">
        <v>224</v>
      </c>
    </row>
    <row r="4394" hidden="1">
      <c r="A4394" s="83" t="s">
        <v>6330</v>
      </c>
      <c r="B4394" s="83" t="s">
        <v>6331</v>
      </c>
      <c r="C4394" s="81" t="s">
        <v>4621</v>
      </c>
      <c r="D4394" s="83" t="s">
        <v>4672</v>
      </c>
      <c r="E4394" s="81" t="s">
        <v>3170</v>
      </c>
      <c r="F4394" s="84">
        <v>602.0</v>
      </c>
      <c r="G4394" s="81" t="s">
        <v>43</v>
      </c>
      <c r="H4394" s="81" t="s">
        <v>3179</v>
      </c>
      <c r="I4394" s="81" t="s">
        <v>6034</v>
      </c>
      <c r="J4394" s="81" t="s">
        <v>224</v>
      </c>
    </row>
    <row r="4395" hidden="1">
      <c r="A4395" s="83" t="s">
        <v>6330</v>
      </c>
      <c r="B4395" s="83" t="s">
        <v>6331</v>
      </c>
      <c r="C4395" s="81" t="s">
        <v>4621</v>
      </c>
      <c r="D4395" s="83" t="s">
        <v>4672</v>
      </c>
      <c r="E4395" s="81" t="s">
        <v>3182</v>
      </c>
      <c r="F4395" s="84">
        <v>603.0</v>
      </c>
      <c r="G4395" s="81" t="s">
        <v>39</v>
      </c>
      <c r="H4395" s="81" t="s">
        <v>6032</v>
      </c>
      <c r="I4395" s="81" t="s">
        <v>3175</v>
      </c>
      <c r="J4395" s="81" t="s">
        <v>224</v>
      </c>
    </row>
    <row r="4396" hidden="1">
      <c r="A4396" s="83" t="s">
        <v>6330</v>
      </c>
      <c r="B4396" s="83" t="s">
        <v>6331</v>
      </c>
      <c r="C4396" s="81" t="s">
        <v>4621</v>
      </c>
      <c r="D4396" s="83" t="s">
        <v>4672</v>
      </c>
      <c r="E4396" s="81" t="s">
        <v>3182</v>
      </c>
      <c r="F4396" s="84">
        <v>603.0</v>
      </c>
      <c r="G4396" s="81" t="s">
        <v>40</v>
      </c>
      <c r="H4396" s="81" t="s">
        <v>6033</v>
      </c>
      <c r="I4396" s="81" t="s">
        <v>3176</v>
      </c>
      <c r="J4396" s="81" t="s">
        <v>224</v>
      </c>
    </row>
    <row r="4397" hidden="1">
      <c r="A4397" s="83" t="s">
        <v>6330</v>
      </c>
      <c r="B4397" s="83" t="s">
        <v>6331</v>
      </c>
      <c r="C4397" s="81" t="s">
        <v>4621</v>
      </c>
      <c r="D4397" s="83" t="s">
        <v>4672</v>
      </c>
      <c r="E4397" s="81" t="s">
        <v>3182</v>
      </c>
      <c r="F4397" s="84">
        <v>603.0</v>
      </c>
      <c r="G4397" s="81" t="s">
        <v>43</v>
      </c>
      <c r="H4397" s="81" t="s">
        <v>3179</v>
      </c>
      <c r="I4397" s="81" t="s">
        <v>6034</v>
      </c>
      <c r="J4397" s="81" t="s">
        <v>224</v>
      </c>
    </row>
    <row r="4398" hidden="1">
      <c r="A4398" s="83" t="s">
        <v>6330</v>
      </c>
      <c r="B4398" s="83" t="s">
        <v>6331</v>
      </c>
      <c r="C4398" s="81" t="s">
        <v>4621</v>
      </c>
      <c r="D4398" s="83" t="s">
        <v>4674</v>
      </c>
      <c r="E4398" s="81" t="s">
        <v>3183</v>
      </c>
      <c r="F4398" s="84">
        <v>604.0</v>
      </c>
      <c r="G4398" s="81" t="s">
        <v>39</v>
      </c>
      <c r="H4398" s="81" t="s">
        <v>6035</v>
      </c>
      <c r="I4398" s="81" t="s">
        <v>3184</v>
      </c>
      <c r="J4398" s="81" t="s">
        <v>224</v>
      </c>
    </row>
    <row r="4399" hidden="1">
      <c r="A4399" s="83" t="s">
        <v>6330</v>
      </c>
      <c r="B4399" s="83" t="s">
        <v>6331</v>
      </c>
      <c r="C4399" s="81" t="s">
        <v>4621</v>
      </c>
      <c r="D4399" s="83" t="s">
        <v>4674</v>
      </c>
      <c r="E4399" s="81" t="s">
        <v>3183</v>
      </c>
      <c r="F4399" s="84">
        <v>604.0</v>
      </c>
      <c r="G4399" s="81" t="s">
        <v>40</v>
      </c>
      <c r="H4399" s="81" t="s">
        <v>6036</v>
      </c>
      <c r="I4399" s="81" t="s">
        <v>3185</v>
      </c>
      <c r="J4399" s="81" t="s">
        <v>224</v>
      </c>
    </row>
    <row r="4400" hidden="1">
      <c r="A4400" s="83" t="s">
        <v>6330</v>
      </c>
      <c r="B4400" s="83" t="s">
        <v>6331</v>
      </c>
      <c r="C4400" s="81" t="s">
        <v>6333</v>
      </c>
      <c r="D4400" s="83" t="s">
        <v>4674</v>
      </c>
      <c r="E4400" s="81" t="s">
        <v>3183</v>
      </c>
      <c r="F4400" s="84">
        <v>604.0</v>
      </c>
      <c r="G4400" s="81" t="s">
        <v>43</v>
      </c>
      <c r="H4400" s="81" t="s">
        <v>3179</v>
      </c>
      <c r="I4400" s="81" t="s">
        <v>224</v>
      </c>
      <c r="J4400" s="81" t="s">
        <v>5143</v>
      </c>
    </row>
    <row r="4401" hidden="1">
      <c r="A4401" s="83" t="s">
        <v>6330</v>
      </c>
      <c r="B4401" s="83" t="s">
        <v>6331</v>
      </c>
      <c r="C4401" s="81" t="s">
        <v>4621</v>
      </c>
      <c r="D4401" s="83" t="s">
        <v>4675</v>
      </c>
      <c r="E4401" s="81" t="s">
        <v>3186</v>
      </c>
      <c r="F4401" s="84">
        <v>605.0</v>
      </c>
      <c r="G4401" s="81" t="s">
        <v>39</v>
      </c>
      <c r="H4401" s="81" t="s">
        <v>6037</v>
      </c>
      <c r="I4401" s="81" t="s">
        <v>3190</v>
      </c>
      <c r="J4401" s="81" t="s">
        <v>224</v>
      </c>
    </row>
    <row r="4402" hidden="1">
      <c r="A4402" s="83" t="s">
        <v>6330</v>
      </c>
      <c r="B4402" s="83" t="s">
        <v>6331</v>
      </c>
      <c r="C4402" s="81" t="s">
        <v>4621</v>
      </c>
      <c r="D4402" s="83" t="s">
        <v>4675</v>
      </c>
      <c r="E4402" s="81" t="s">
        <v>3186</v>
      </c>
      <c r="F4402" s="84">
        <v>605.0</v>
      </c>
      <c r="G4402" s="81" t="s">
        <v>40</v>
      </c>
      <c r="H4402" s="81" t="s">
        <v>6038</v>
      </c>
      <c r="I4402" s="81" t="s">
        <v>3191</v>
      </c>
      <c r="J4402" s="81" t="s">
        <v>224</v>
      </c>
    </row>
    <row r="4403" hidden="1">
      <c r="A4403" s="83" t="s">
        <v>6330</v>
      </c>
      <c r="B4403" s="83" t="s">
        <v>6331</v>
      </c>
      <c r="C4403" s="81" t="s">
        <v>4621</v>
      </c>
      <c r="D4403" s="83" t="s">
        <v>4677</v>
      </c>
      <c r="E4403" s="81" t="s">
        <v>3196</v>
      </c>
      <c r="F4403" s="84">
        <v>606.0</v>
      </c>
      <c r="G4403" s="81" t="s">
        <v>39</v>
      </c>
      <c r="H4403" s="81" t="s">
        <v>6039</v>
      </c>
      <c r="I4403" s="81" t="s">
        <v>3201</v>
      </c>
      <c r="J4403" s="81" t="s">
        <v>224</v>
      </c>
    </row>
    <row r="4404" hidden="1">
      <c r="A4404" s="83" t="s">
        <v>6330</v>
      </c>
      <c r="B4404" s="83" t="s">
        <v>6331</v>
      </c>
      <c r="C4404" s="81" t="s">
        <v>4621</v>
      </c>
      <c r="D4404" s="83" t="s">
        <v>4677</v>
      </c>
      <c r="E4404" s="81" t="s">
        <v>3196</v>
      </c>
      <c r="F4404" s="84">
        <v>606.0</v>
      </c>
      <c r="G4404" s="81" t="s">
        <v>40</v>
      </c>
      <c r="H4404" s="81" t="s">
        <v>6040</v>
      </c>
      <c r="I4404" s="81" t="s">
        <v>6041</v>
      </c>
      <c r="J4404" s="81" t="s">
        <v>224</v>
      </c>
    </row>
    <row r="4405" hidden="1">
      <c r="A4405" s="83" t="s">
        <v>6330</v>
      </c>
      <c r="B4405" s="83" t="s">
        <v>6331</v>
      </c>
      <c r="C4405" s="81" t="s">
        <v>4621</v>
      </c>
      <c r="D4405" s="83" t="s">
        <v>4677</v>
      </c>
      <c r="E4405" s="81" t="s">
        <v>3208</v>
      </c>
      <c r="F4405" s="84">
        <v>607.0</v>
      </c>
      <c r="G4405" s="81" t="s">
        <v>39</v>
      </c>
      <c r="H4405" s="81" t="s">
        <v>6039</v>
      </c>
      <c r="I4405" s="81" t="s">
        <v>3201</v>
      </c>
      <c r="J4405" s="81" t="s">
        <v>224</v>
      </c>
    </row>
    <row r="4406" hidden="1">
      <c r="A4406" s="83" t="s">
        <v>6330</v>
      </c>
      <c r="B4406" s="83" t="s">
        <v>6331</v>
      </c>
      <c r="C4406" s="81" t="s">
        <v>4621</v>
      </c>
      <c r="D4406" s="83" t="s">
        <v>4677</v>
      </c>
      <c r="E4406" s="81" t="s">
        <v>3208</v>
      </c>
      <c r="F4406" s="84">
        <v>607.0</v>
      </c>
      <c r="G4406" s="81" t="s">
        <v>40</v>
      </c>
      <c r="H4406" s="81" t="s">
        <v>6040</v>
      </c>
      <c r="I4406" s="81" t="s">
        <v>6041</v>
      </c>
      <c r="J4406" s="81" t="s">
        <v>224</v>
      </c>
    </row>
    <row r="4407" hidden="1">
      <c r="A4407" s="83" t="s">
        <v>6330</v>
      </c>
      <c r="B4407" s="83" t="s">
        <v>6331</v>
      </c>
      <c r="C4407" s="81" t="s">
        <v>4621</v>
      </c>
      <c r="D4407" s="83" t="s">
        <v>4678</v>
      </c>
      <c r="E4407" s="81" t="s">
        <v>3209</v>
      </c>
      <c r="F4407" s="84">
        <v>608.0</v>
      </c>
      <c r="G4407" s="81" t="s">
        <v>39</v>
      </c>
      <c r="H4407" s="81" t="s">
        <v>6042</v>
      </c>
      <c r="I4407" s="81" t="s">
        <v>3210</v>
      </c>
      <c r="J4407" s="81" t="s">
        <v>224</v>
      </c>
    </row>
    <row r="4408" hidden="1">
      <c r="A4408" s="83" t="s">
        <v>6330</v>
      </c>
      <c r="B4408" s="83" t="s">
        <v>6331</v>
      </c>
      <c r="C4408" s="81" t="s">
        <v>4621</v>
      </c>
      <c r="D4408" s="83" t="s">
        <v>4678</v>
      </c>
      <c r="E4408" s="81" t="s">
        <v>3209</v>
      </c>
      <c r="F4408" s="84">
        <v>608.0</v>
      </c>
      <c r="G4408" s="81" t="s">
        <v>40</v>
      </c>
      <c r="H4408" s="81" t="s">
        <v>6043</v>
      </c>
      <c r="I4408" s="81" t="s">
        <v>6044</v>
      </c>
      <c r="J4408" s="81" t="s">
        <v>224</v>
      </c>
    </row>
    <row r="4409" hidden="1">
      <c r="A4409" s="83" t="s">
        <v>6330</v>
      </c>
      <c r="B4409" s="83" t="s">
        <v>6331</v>
      </c>
      <c r="C4409" s="81" t="s">
        <v>4621</v>
      </c>
      <c r="D4409" s="83" t="s">
        <v>4679</v>
      </c>
      <c r="E4409" s="81" t="s">
        <v>3212</v>
      </c>
      <c r="F4409" s="84">
        <v>609.0</v>
      </c>
      <c r="G4409" s="81" t="s">
        <v>39</v>
      </c>
      <c r="H4409" s="81" t="s">
        <v>6045</v>
      </c>
      <c r="I4409" s="81" t="s">
        <v>3214</v>
      </c>
      <c r="J4409" s="81" t="s">
        <v>224</v>
      </c>
    </row>
    <row r="4410" hidden="1">
      <c r="A4410" s="83" t="s">
        <v>6330</v>
      </c>
      <c r="B4410" s="83" t="s">
        <v>6331</v>
      </c>
      <c r="C4410" s="81" t="s">
        <v>4621</v>
      </c>
      <c r="D4410" s="83" t="s">
        <v>4679</v>
      </c>
      <c r="E4410" s="81" t="s">
        <v>3212</v>
      </c>
      <c r="F4410" s="84">
        <v>609.0</v>
      </c>
      <c r="G4410" s="81" t="s">
        <v>40</v>
      </c>
      <c r="H4410" s="81" t="s">
        <v>6046</v>
      </c>
      <c r="I4410" s="81" t="s">
        <v>6047</v>
      </c>
      <c r="J4410" s="81" t="s">
        <v>224</v>
      </c>
    </row>
    <row r="4411" hidden="1">
      <c r="A4411" s="83" t="s">
        <v>6330</v>
      </c>
      <c r="B4411" s="83" t="s">
        <v>6331</v>
      </c>
      <c r="C4411" s="81" t="s">
        <v>4621</v>
      </c>
      <c r="D4411" s="83" t="s">
        <v>4679</v>
      </c>
      <c r="E4411" s="81" t="s">
        <v>3219</v>
      </c>
      <c r="F4411" s="84">
        <v>610.0</v>
      </c>
      <c r="G4411" s="81" t="s">
        <v>39</v>
      </c>
      <c r="H4411" s="81" t="s">
        <v>6045</v>
      </c>
      <c r="I4411" s="81" t="s">
        <v>3214</v>
      </c>
      <c r="J4411" s="81" t="s">
        <v>224</v>
      </c>
    </row>
    <row r="4412" hidden="1">
      <c r="A4412" s="83" t="s">
        <v>6330</v>
      </c>
      <c r="B4412" s="83" t="s">
        <v>6331</v>
      </c>
      <c r="C4412" s="81" t="s">
        <v>4621</v>
      </c>
      <c r="D4412" s="83" t="s">
        <v>4679</v>
      </c>
      <c r="E4412" s="81" t="s">
        <v>3219</v>
      </c>
      <c r="F4412" s="84">
        <v>610.0</v>
      </c>
      <c r="G4412" s="81" t="s">
        <v>40</v>
      </c>
      <c r="H4412" s="81" t="s">
        <v>6046</v>
      </c>
      <c r="I4412" s="81" t="s">
        <v>6047</v>
      </c>
      <c r="J4412" s="81" t="s">
        <v>224</v>
      </c>
    </row>
    <row r="4413" hidden="1">
      <c r="A4413" s="83" t="s">
        <v>6330</v>
      </c>
      <c r="B4413" s="83" t="s">
        <v>6331</v>
      </c>
      <c r="C4413" s="81" t="s">
        <v>4621</v>
      </c>
      <c r="D4413" s="83" t="s">
        <v>4680</v>
      </c>
      <c r="E4413" s="81" t="s">
        <v>3220</v>
      </c>
      <c r="F4413" s="84">
        <v>611.0</v>
      </c>
      <c r="G4413" s="81" t="s">
        <v>39</v>
      </c>
      <c r="H4413" s="81" t="s">
        <v>6048</v>
      </c>
      <c r="I4413" s="81" t="s">
        <v>3221</v>
      </c>
      <c r="J4413" s="81" t="s">
        <v>224</v>
      </c>
    </row>
    <row r="4414" hidden="1">
      <c r="A4414" s="83" t="s">
        <v>6330</v>
      </c>
      <c r="B4414" s="83" t="s">
        <v>6331</v>
      </c>
      <c r="C4414" s="81" t="s">
        <v>4621</v>
      </c>
      <c r="D4414" s="83" t="s">
        <v>4680</v>
      </c>
      <c r="E4414" s="81" t="s">
        <v>3220</v>
      </c>
      <c r="F4414" s="84">
        <v>611.0</v>
      </c>
      <c r="G4414" s="81" t="s">
        <v>40</v>
      </c>
      <c r="H4414" s="81" t="s">
        <v>6049</v>
      </c>
      <c r="I4414" s="81" t="s">
        <v>3222</v>
      </c>
      <c r="J4414" s="81" t="s">
        <v>224</v>
      </c>
    </row>
    <row r="4415" hidden="1">
      <c r="A4415" s="83" t="s">
        <v>6330</v>
      </c>
      <c r="B4415" s="83" t="s">
        <v>6331</v>
      </c>
      <c r="C4415" s="81" t="s">
        <v>4621</v>
      </c>
      <c r="D4415" s="83" t="s">
        <v>4681</v>
      </c>
      <c r="E4415" s="81" t="s">
        <v>3223</v>
      </c>
      <c r="F4415" s="84">
        <v>612.0</v>
      </c>
      <c r="G4415" s="81" t="s">
        <v>39</v>
      </c>
      <c r="H4415" s="81" t="s">
        <v>6050</v>
      </c>
      <c r="I4415" s="81" t="s">
        <v>3224</v>
      </c>
      <c r="J4415" s="81" t="s">
        <v>224</v>
      </c>
    </row>
    <row r="4416" hidden="1">
      <c r="A4416" s="83" t="s">
        <v>6330</v>
      </c>
      <c r="B4416" s="83" t="s">
        <v>6331</v>
      </c>
      <c r="C4416" s="81" t="s">
        <v>4621</v>
      </c>
      <c r="D4416" s="83" t="s">
        <v>4681</v>
      </c>
      <c r="E4416" s="81" t="s">
        <v>3223</v>
      </c>
      <c r="F4416" s="84">
        <v>612.0</v>
      </c>
      <c r="G4416" s="81" t="s">
        <v>40</v>
      </c>
      <c r="H4416" s="81" t="s">
        <v>6051</v>
      </c>
      <c r="I4416" s="81" t="s">
        <v>3225</v>
      </c>
      <c r="J4416" s="81" t="s">
        <v>224</v>
      </c>
    </row>
    <row r="4417" hidden="1">
      <c r="A4417" s="83" t="s">
        <v>6330</v>
      </c>
      <c r="B4417" s="83" t="s">
        <v>6331</v>
      </c>
      <c r="C4417" s="81" t="s">
        <v>4082</v>
      </c>
      <c r="D4417" s="83" t="s">
        <v>4682</v>
      </c>
      <c r="E4417" s="81" t="s">
        <v>3226</v>
      </c>
      <c r="F4417" s="84">
        <v>613.0</v>
      </c>
      <c r="G4417" s="81" t="s">
        <v>39</v>
      </c>
      <c r="H4417" s="81" t="s">
        <v>224</v>
      </c>
      <c r="I4417" s="81" t="s">
        <v>224</v>
      </c>
      <c r="J4417" s="81" t="s">
        <v>6052</v>
      </c>
    </row>
    <row r="4418" hidden="1">
      <c r="A4418" s="83" t="s">
        <v>6330</v>
      </c>
      <c r="B4418" s="83" t="s">
        <v>6331</v>
      </c>
      <c r="C4418" s="81" t="s">
        <v>6333</v>
      </c>
      <c r="D4418" s="83" t="s">
        <v>4682</v>
      </c>
      <c r="E4418" s="81" t="s">
        <v>3226</v>
      </c>
      <c r="F4418" s="84">
        <v>613.0</v>
      </c>
      <c r="G4418" s="81" t="s">
        <v>39</v>
      </c>
      <c r="H4418" s="81" t="s">
        <v>6053</v>
      </c>
      <c r="I4418" s="81" t="s">
        <v>224</v>
      </c>
      <c r="J4418" s="81" t="s">
        <v>5143</v>
      </c>
    </row>
    <row r="4419" hidden="1">
      <c r="A4419" s="83" t="s">
        <v>6330</v>
      </c>
      <c r="B4419" s="83" t="s">
        <v>6331</v>
      </c>
      <c r="C4419" s="81" t="s">
        <v>4621</v>
      </c>
      <c r="D4419" s="83" t="s">
        <v>4682</v>
      </c>
      <c r="E4419" s="81" t="s">
        <v>3226</v>
      </c>
      <c r="F4419" s="84">
        <v>613.0</v>
      </c>
      <c r="G4419" s="81" t="s">
        <v>40</v>
      </c>
      <c r="H4419" s="81" t="s">
        <v>6054</v>
      </c>
      <c r="I4419" s="81" t="s">
        <v>6055</v>
      </c>
      <c r="J4419" s="81" t="s">
        <v>224</v>
      </c>
    </row>
    <row r="4420" hidden="1">
      <c r="A4420" s="83" t="s">
        <v>6330</v>
      </c>
      <c r="B4420" s="83" t="s">
        <v>6331</v>
      </c>
      <c r="C4420" s="81" t="s">
        <v>4621</v>
      </c>
      <c r="D4420" s="83" t="s">
        <v>4683</v>
      </c>
      <c r="E4420" s="81" t="s">
        <v>3228</v>
      </c>
      <c r="F4420" s="84">
        <v>614.0</v>
      </c>
      <c r="G4420" s="81" t="s">
        <v>39</v>
      </c>
      <c r="H4420" s="81" t="s">
        <v>6056</v>
      </c>
      <c r="I4420" s="81" t="s">
        <v>3230</v>
      </c>
      <c r="J4420" s="81" t="s">
        <v>224</v>
      </c>
    </row>
    <row r="4421" hidden="1">
      <c r="A4421" s="83" t="s">
        <v>6330</v>
      </c>
      <c r="B4421" s="83" t="s">
        <v>6331</v>
      </c>
      <c r="C4421" s="81" t="s">
        <v>4621</v>
      </c>
      <c r="D4421" s="83" t="s">
        <v>4683</v>
      </c>
      <c r="E4421" s="81" t="s">
        <v>3228</v>
      </c>
      <c r="F4421" s="84">
        <v>614.0</v>
      </c>
      <c r="G4421" s="81" t="s">
        <v>40</v>
      </c>
      <c r="H4421" s="81" t="s">
        <v>6057</v>
      </c>
      <c r="I4421" s="81" t="s">
        <v>6058</v>
      </c>
      <c r="J4421" s="81" t="s">
        <v>224</v>
      </c>
    </row>
    <row r="4422" hidden="1">
      <c r="A4422" s="83" t="s">
        <v>6330</v>
      </c>
      <c r="B4422" s="83" t="s">
        <v>6331</v>
      </c>
      <c r="C4422" s="81" t="s">
        <v>4621</v>
      </c>
      <c r="D4422" s="83" t="s">
        <v>4683</v>
      </c>
      <c r="E4422" s="81" t="s">
        <v>3235</v>
      </c>
      <c r="F4422" s="84">
        <v>615.0</v>
      </c>
      <c r="G4422" s="81" t="s">
        <v>39</v>
      </c>
      <c r="H4422" s="81" t="s">
        <v>6056</v>
      </c>
      <c r="I4422" s="81" t="s">
        <v>3230</v>
      </c>
      <c r="J4422" s="81" t="s">
        <v>224</v>
      </c>
    </row>
    <row r="4423" hidden="1">
      <c r="A4423" s="83" t="s">
        <v>6330</v>
      </c>
      <c r="B4423" s="83" t="s">
        <v>6331</v>
      </c>
      <c r="C4423" s="81" t="s">
        <v>4621</v>
      </c>
      <c r="D4423" s="83" t="s">
        <v>4683</v>
      </c>
      <c r="E4423" s="81" t="s">
        <v>3235</v>
      </c>
      <c r="F4423" s="84">
        <v>615.0</v>
      </c>
      <c r="G4423" s="81" t="s">
        <v>40</v>
      </c>
      <c r="H4423" s="81" t="s">
        <v>6057</v>
      </c>
      <c r="I4423" s="81" t="s">
        <v>6058</v>
      </c>
      <c r="J4423" s="81" t="s">
        <v>224</v>
      </c>
    </row>
    <row r="4424" hidden="1">
      <c r="A4424" s="83" t="s">
        <v>6330</v>
      </c>
      <c r="B4424" s="83" t="s">
        <v>6331</v>
      </c>
      <c r="C4424" s="81" t="s">
        <v>4621</v>
      </c>
      <c r="D4424" s="83" t="s">
        <v>4684</v>
      </c>
      <c r="E4424" s="81" t="s">
        <v>3236</v>
      </c>
      <c r="F4424" s="84">
        <v>616.0</v>
      </c>
      <c r="G4424" s="81" t="s">
        <v>39</v>
      </c>
      <c r="H4424" s="81" t="s">
        <v>6059</v>
      </c>
      <c r="I4424" s="81" t="s">
        <v>3237</v>
      </c>
      <c r="J4424" s="81" t="s">
        <v>224</v>
      </c>
    </row>
    <row r="4425" hidden="1">
      <c r="A4425" s="83" t="s">
        <v>6330</v>
      </c>
      <c r="B4425" s="83" t="s">
        <v>6331</v>
      </c>
      <c r="C4425" s="81" t="s">
        <v>4621</v>
      </c>
      <c r="D4425" s="83" t="s">
        <v>4684</v>
      </c>
      <c r="E4425" s="81" t="s">
        <v>3236</v>
      </c>
      <c r="F4425" s="84">
        <v>616.0</v>
      </c>
      <c r="G4425" s="81" t="s">
        <v>40</v>
      </c>
      <c r="H4425" s="81" t="s">
        <v>6060</v>
      </c>
      <c r="I4425" s="81" t="s">
        <v>6061</v>
      </c>
      <c r="J4425" s="81" t="s">
        <v>224</v>
      </c>
    </row>
    <row r="4426" hidden="1">
      <c r="A4426" s="83" t="s">
        <v>6330</v>
      </c>
      <c r="B4426" s="83" t="s">
        <v>6331</v>
      </c>
      <c r="C4426" s="81" t="s">
        <v>4621</v>
      </c>
      <c r="D4426" s="83" t="s">
        <v>4685</v>
      </c>
      <c r="E4426" s="81" t="s">
        <v>3239</v>
      </c>
      <c r="F4426" s="84">
        <v>617.0</v>
      </c>
      <c r="G4426" s="81" t="s">
        <v>39</v>
      </c>
      <c r="H4426" s="81" t="s">
        <v>6062</v>
      </c>
      <c r="I4426" s="81" t="s">
        <v>3241</v>
      </c>
      <c r="J4426" s="81" t="s">
        <v>224</v>
      </c>
    </row>
    <row r="4427" hidden="1">
      <c r="A4427" s="83" t="s">
        <v>6330</v>
      </c>
      <c r="B4427" s="83" t="s">
        <v>6331</v>
      </c>
      <c r="C4427" s="81" t="s">
        <v>4621</v>
      </c>
      <c r="D4427" s="83" t="s">
        <v>4685</v>
      </c>
      <c r="E4427" s="81" t="s">
        <v>3239</v>
      </c>
      <c r="F4427" s="84">
        <v>617.0</v>
      </c>
      <c r="G4427" s="81" t="s">
        <v>40</v>
      </c>
      <c r="H4427" s="81" t="s">
        <v>6063</v>
      </c>
      <c r="I4427" s="81" t="s">
        <v>6064</v>
      </c>
      <c r="J4427" s="81" t="s">
        <v>224</v>
      </c>
    </row>
    <row r="4428" hidden="1">
      <c r="A4428" s="83" t="s">
        <v>6330</v>
      </c>
      <c r="B4428" s="83" t="s">
        <v>6331</v>
      </c>
      <c r="C4428" s="81" t="s">
        <v>4621</v>
      </c>
      <c r="D4428" s="83" t="s">
        <v>4685</v>
      </c>
      <c r="E4428" s="81" t="s">
        <v>3247</v>
      </c>
      <c r="F4428" s="84">
        <v>618.0</v>
      </c>
      <c r="G4428" s="81" t="s">
        <v>39</v>
      </c>
      <c r="H4428" s="81" t="s">
        <v>6062</v>
      </c>
      <c r="I4428" s="81" t="s">
        <v>3241</v>
      </c>
      <c r="J4428" s="81" t="s">
        <v>224</v>
      </c>
    </row>
    <row r="4429" hidden="1">
      <c r="A4429" s="83" t="s">
        <v>6330</v>
      </c>
      <c r="B4429" s="83" t="s">
        <v>6331</v>
      </c>
      <c r="C4429" s="81" t="s">
        <v>4621</v>
      </c>
      <c r="D4429" s="83" t="s">
        <v>4685</v>
      </c>
      <c r="E4429" s="81" t="s">
        <v>3247</v>
      </c>
      <c r="F4429" s="84">
        <v>618.0</v>
      </c>
      <c r="G4429" s="81" t="s">
        <v>40</v>
      </c>
      <c r="H4429" s="81" t="s">
        <v>6063</v>
      </c>
      <c r="I4429" s="81" t="s">
        <v>6064</v>
      </c>
      <c r="J4429" s="81" t="s">
        <v>224</v>
      </c>
    </row>
    <row r="4430" hidden="1">
      <c r="A4430" s="83" t="s">
        <v>6330</v>
      </c>
      <c r="B4430" s="83" t="s">
        <v>6331</v>
      </c>
      <c r="C4430" s="81" t="s">
        <v>4621</v>
      </c>
      <c r="D4430" s="83" t="s">
        <v>4686</v>
      </c>
      <c r="E4430" s="81" t="s">
        <v>3248</v>
      </c>
      <c r="F4430" s="84">
        <v>619.0</v>
      </c>
      <c r="G4430" s="81" t="s">
        <v>40</v>
      </c>
      <c r="H4430" s="81" t="s">
        <v>6065</v>
      </c>
      <c r="I4430" s="81" t="s">
        <v>6066</v>
      </c>
      <c r="J4430" s="81" t="s">
        <v>224</v>
      </c>
    </row>
    <row r="4431" hidden="1">
      <c r="A4431" s="83" t="s">
        <v>6330</v>
      </c>
      <c r="B4431" s="83" t="s">
        <v>6331</v>
      </c>
      <c r="C4431" s="81" t="s">
        <v>4621</v>
      </c>
      <c r="D4431" s="83" t="s">
        <v>4687</v>
      </c>
      <c r="E4431" s="81" t="s">
        <v>3251</v>
      </c>
      <c r="F4431" s="84">
        <v>620.0</v>
      </c>
      <c r="G4431" s="81" t="s">
        <v>39</v>
      </c>
      <c r="H4431" s="81" t="s">
        <v>6067</v>
      </c>
      <c r="I4431" s="81" t="s">
        <v>3252</v>
      </c>
      <c r="J4431" s="81" t="s">
        <v>224</v>
      </c>
    </row>
    <row r="4432" hidden="1">
      <c r="A4432" s="83" t="s">
        <v>6330</v>
      </c>
      <c r="B4432" s="83" t="s">
        <v>6331</v>
      </c>
      <c r="C4432" s="81" t="s">
        <v>4621</v>
      </c>
      <c r="D4432" s="83" t="s">
        <v>4687</v>
      </c>
      <c r="E4432" s="81" t="s">
        <v>3251</v>
      </c>
      <c r="F4432" s="84">
        <v>620.0</v>
      </c>
      <c r="G4432" s="81" t="s">
        <v>40</v>
      </c>
      <c r="H4432" s="81" t="s">
        <v>6068</v>
      </c>
      <c r="I4432" s="81" t="s">
        <v>6069</v>
      </c>
      <c r="J4432" s="81" t="s">
        <v>224</v>
      </c>
    </row>
    <row r="4433" hidden="1">
      <c r="A4433" s="83" t="s">
        <v>6330</v>
      </c>
      <c r="B4433" s="83" t="s">
        <v>6331</v>
      </c>
      <c r="C4433" s="81" t="s">
        <v>4621</v>
      </c>
      <c r="D4433" s="83" t="s">
        <v>4688</v>
      </c>
      <c r="E4433" s="81" t="s">
        <v>3254</v>
      </c>
      <c r="F4433" s="84">
        <v>621.0</v>
      </c>
      <c r="G4433" s="81" t="s">
        <v>40</v>
      </c>
      <c r="H4433" s="81" t="s">
        <v>6070</v>
      </c>
      <c r="I4433" s="81" t="s">
        <v>6071</v>
      </c>
      <c r="J4433" s="81" t="s">
        <v>224</v>
      </c>
    </row>
    <row r="4434" hidden="1">
      <c r="A4434" s="83" t="s">
        <v>6330</v>
      </c>
      <c r="B4434" s="83" t="s">
        <v>6331</v>
      </c>
      <c r="C4434" s="81" t="s">
        <v>4621</v>
      </c>
      <c r="D4434" s="83" t="s">
        <v>4689</v>
      </c>
      <c r="E4434" s="81" t="s">
        <v>3257</v>
      </c>
      <c r="F4434" s="84">
        <v>622.0</v>
      </c>
      <c r="G4434" s="81" t="s">
        <v>39</v>
      </c>
      <c r="H4434" s="81" t="s">
        <v>6072</v>
      </c>
      <c r="I4434" s="81" t="s">
        <v>3259</v>
      </c>
      <c r="J4434" s="81" t="s">
        <v>224</v>
      </c>
    </row>
    <row r="4435" hidden="1">
      <c r="A4435" s="83" t="s">
        <v>6330</v>
      </c>
      <c r="B4435" s="83" t="s">
        <v>6331</v>
      </c>
      <c r="C4435" s="81" t="s">
        <v>4621</v>
      </c>
      <c r="D4435" s="83" t="s">
        <v>4689</v>
      </c>
      <c r="E4435" s="81" t="s">
        <v>3257</v>
      </c>
      <c r="F4435" s="84">
        <v>622.0</v>
      </c>
      <c r="G4435" s="81" t="s">
        <v>40</v>
      </c>
      <c r="H4435" s="81" t="s">
        <v>6073</v>
      </c>
      <c r="I4435" s="81" t="s">
        <v>3260</v>
      </c>
      <c r="J4435" s="81" t="s">
        <v>224</v>
      </c>
    </row>
    <row r="4436" hidden="1">
      <c r="A4436" s="83" t="s">
        <v>6330</v>
      </c>
      <c r="B4436" s="83" t="s">
        <v>6331</v>
      </c>
      <c r="C4436" s="81" t="s">
        <v>4621</v>
      </c>
      <c r="D4436" s="83" t="s">
        <v>4691</v>
      </c>
      <c r="E4436" s="81" t="s">
        <v>3270</v>
      </c>
      <c r="F4436" s="84">
        <v>625.0</v>
      </c>
      <c r="G4436" s="81" t="s">
        <v>39</v>
      </c>
      <c r="H4436" s="81" t="s">
        <v>6074</v>
      </c>
      <c r="I4436" s="81" t="s">
        <v>3273</v>
      </c>
      <c r="J4436" s="81" t="s">
        <v>224</v>
      </c>
    </row>
    <row r="4437" hidden="1">
      <c r="A4437" s="83" t="s">
        <v>6330</v>
      </c>
      <c r="B4437" s="83" t="s">
        <v>6331</v>
      </c>
      <c r="C4437" s="81" t="s">
        <v>4621</v>
      </c>
      <c r="D4437" s="83" t="s">
        <v>4691</v>
      </c>
      <c r="E4437" s="81" t="s">
        <v>3270</v>
      </c>
      <c r="F4437" s="84">
        <v>625.0</v>
      </c>
      <c r="G4437" s="81" t="s">
        <v>40</v>
      </c>
      <c r="H4437" s="81" t="s">
        <v>6075</v>
      </c>
      <c r="I4437" s="81" t="s">
        <v>3274</v>
      </c>
      <c r="J4437" s="81" t="s">
        <v>224</v>
      </c>
    </row>
    <row r="4438" hidden="1">
      <c r="A4438" s="83" t="s">
        <v>6330</v>
      </c>
      <c r="B4438" s="83" t="s">
        <v>6331</v>
      </c>
      <c r="C4438" s="81" t="s">
        <v>4621</v>
      </c>
      <c r="D4438" s="83" t="s">
        <v>4691</v>
      </c>
      <c r="E4438" s="81" t="s">
        <v>3280</v>
      </c>
      <c r="F4438" s="84">
        <v>626.0</v>
      </c>
      <c r="G4438" s="81" t="s">
        <v>39</v>
      </c>
      <c r="H4438" s="81" t="s">
        <v>6074</v>
      </c>
      <c r="I4438" s="81" t="s">
        <v>3273</v>
      </c>
      <c r="J4438" s="81" t="s">
        <v>224</v>
      </c>
    </row>
    <row r="4439" hidden="1">
      <c r="A4439" s="83" t="s">
        <v>6330</v>
      </c>
      <c r="B4439" s="83" t="s">
        <v>6331</v>
      </c>
      <c r="C4439" s="81" t="s">
        <v>4621</v>
      </c>
      <c r="D4439" s="83" t="s">
        <v>4691</v>
      </c>
      <c r="E4439" s="81" t="s">
        <v>3280</v>
      </c>
      <c r="F4439" s="84">
        <v>626.0</v>
      </c>
      <c r="G4439" s="81" t="s">
        <v>40</v>
      </c>
      <c r="H4439" s="81" t="s">
        <v>6075</v>
      </c>
      <c r="I4439" s="81" t="s">
        <v>3274</v>
      </c>
      <c r="J4439" s="81" t="s">
        <v>224</v>
      </c>
    </row>
    <row r="4440" hidden="1">
      <c r="A4440" s="83" t="s">
        <v>6330</v>
      </c>
      <c r="B4440" s="83" t="s">
        <v>6331</v>
      </c>
      <c r="C4440" s="81" t="s">
        <v>4621</v>
      </c>
      <c r="D4440" s="83" t="s">
        <v>4693</v>
      </c>
      <c r="E4440" s="81" t="s">
        <v>3281</v>
      </c>
      <c r="F4440" s="84">
        <v>627.0</v>
      </c>
      <c r="G4440" s="81" t="s">
        <v>39</v>
      </c>
      <c r="H4440" s="81" t="s">
        <v>6076</v>
      </c>
      <c r="I4440" s="81" t="s">
        <v>3282</v>
      </c>
      <c r="J4440" s="81" t="s">
        <v>224</v>
      </c>
    </row>
    <row r="4441" hidden="1">
      <c r="A4441" s="83" t="s">
        <v>6330</v>
      </c>
      <c r="B4441" s="83" t="s">
        <v>6331</v>
      </c>
      <c r="C4441" s="81" t="s">
        <v>4621</v>
      </c>
      <c r="D4441" s="83" t="s">
        <v>4693</v>
      </c>
      <c r="E4441" s="81" t="s">
        <v>3281</v>
      </c>
      <c r="F4441" s="84">
        <v>627.0</v>
      </c>
      <c r="G4441" s="81" t="s">
        <v>40</v>
      </c>
      <c r="H4441" s="81" t="s">
        <v>6077</v>
      </c>
      <c r="I4441" s="81" t="s">
        <v>3283</v>
      </c>
      <c r="J4441" s="81" t="s">
        <v>224</v>
      </c>
    </row>
    <row r="4442" hidden="1">
      <c r="A4442" s="83" t="s">
        <v>6330</v>
      </c>
      <c r="B4442" s="83" t="s">
        <v>6331</v>
      </c>
      <c r="C4442" s="81" t="s">
        <v>4621</v>
      </c>
      <c r="D4442" s="83" t="s">
        <v>4694</v>
      </c>
      <c r="E4442" s="81" t="s">
        <v>3284</v>
      </c>
      <c r="F4442" s="84">
        <v>628.0</v>
      </c>
      <c r="G4442" s="81" t="s">
        <v>39</v>
      </c>
      <c r="H4442" s="81" t="s">
        <v>6078</v>
      </c>
      <c r="I4442" s="81" t="s">
        <v>3288</v>
      </c>
      <c r="J4442" s="81" t="s">
        <v>224</v>
      </c>
    </row>
    <row r="4443" hidden="1">
      <c r="A4443" s="83" t="s">
        <v>6330</v>
      </c>
      <c r="B4443" s="83" t="s">
        <v>6331</v>
      </c>
      <c r="C4443" s="81" t="s">
        <v>4621</v>
      </c>
      <c r="D4443" s="83" t="s">
        <v>4694</v>
      </c>
      <c r="E4443" s="81" t="s">
        <v>3284</v>
      </c>
      <c r="F4443" s="84">
        <v>628.0</v>
      </c>
      <c r="G4443" s="81" t="s">
        <v>40</v>
      </c>
      <c r="H4443" s="81" t="s">
        <v>6079</v>
      </c>
      <c r="I4443" s="81" t="s">
        <v>6080</v>
      </c>
      <c r="J4443" s="81" t="s">
        <v>224</v>
      </c>
    </row>
    <row r="4444" hidden="1">
      <c r="A4444" s="83" t="s">
        <v>6330</v>
      </c>
      <c r="B4444" s="83" t="s">
        <v>6331</v>
      </c>
      <c r="C4444" s="81" t="s">
        <v>4621</v>
      </c>
      <c r="D4444" s="83" t="s">
        <v>4694</v>
      </c>
      <c r="E4444" s="81" t="s">
        <v>3295</v>
      </c>
      <c r="F4444" s="84">
        <v>629.0</v>
      </c>
      <c r="G4444" s="81" t="s">
        <v>40</v>
      </c>
      <c r="H4444" s="81" t="s">
        <v>6081</v>
      </c>
      <c r="I4444" s="81" t="s">
        <v>6080</v>
      </c>
      <c r="J4444" s="81" t="s">
        <v>224</v>
      </c>
    </row>
    <row r="4445" hidden="1">
      <c r="A4445" s="83" t="s">
        <v>6330</v>
      </c>
      <c r="B4445" s="83" t="s">
        <v>6331</v>
      </c>
      <c r="C4445" s="81" t="s">
        <v>4621</v>
      </c>
      <c r="D4445" s="83" t="s">
        <v>4696</v>
      </c>
      <c r="E4445" s="81" t="s">
        <v>3296</v>
      </c>
      <c r="F4445" s="84">
        <v>630.0</v>
      </c>
      <c r="G4445" s="81" t="s">
        <v>39</v>
      </c>
      <c r="H4445" s="81" t="s">
        <v>6082</v>
      </c>
      <c r="I4445" s="81" t="s">
        <v>3297</v>
      </c>
      <c r="J4445" s="81" t="s">
        <v>224</v>
      </c>
    </row>
    <row r="4446" hidden="1">
      <c r="A4446" s="83" t="s">
        <v>6330</v>
      </c>
      <c r="B4446" s="83" t="s">
        <v>6331</v>
      </c>
      <c r="C4446" s="81" t="s">
        <v>4621</v>
      </c>
      <c r="D4446" s="83" t="s">
        <v>4696</v>
      </c>
      <c r="E4446" s="81" t="s">
        <v>3296</v>
      </c>
      <c r="F4446" s="84">
        <v>630.0</v>
      </c>
      <c r="G4446" s="81" t="s">
        <v>40</v>
      </c>
      <c r="H4446" s="81" t="s">
        <v>6083</v>
      </c>
      <c r="I4446" s="81" t="s">
        <v>6084</v>
      </c>
      <c r="J4446" s="81" t="s">
        <v>224</v>
      </c>
    </row>
    <row r="4447" hidden="1">
      <c r="A4447" s="83" t="s">
        <v>6330</v>
      </c>
      <c r="B4447" s="83" t="s">
        <v>6331</v>
      </c>
      <c r="C4447" s="81" t="s">
        <v>4621</v>
      </c>
      <c r="D4447" s="83" t="s">
        <v>4697</v>
      </c>
      <c r="E4447" s="81" t="s">
        <v>3299</v>
      </c>
      <c r="F4447" s="84">
        <v>631.0</v>
      </c>
      <c r="G4447" s="81" t="s">
        <v>39</v>
      </c>
      <c r="H4447" s="81" t="s">
        <v>6085</v>
      </c>
      <c r="I4447" s="81" t="s">
        <v>3304</v>
      </c>
      <c r="J4447" s="81" t="s">
        <v>224</v>
      </c>
    </row>
    <row r="4448" hidden="1">
      <c r="A4448" s="83" t="s">
        <v>6330</v>
      </c>
      <c r="B4448" s="83" t="s">
        <v>6331</v>
      </c>
      <c r="C4448" s="81" t="s">
        <v>4621</v>
      </c>
      <c r="D4448" s="83" t="s">
        <v>4697</v>
      </c>
      <c r="E4448" s="81" t="s">
        <v>3299</v>
      </c>
      <c r="F4448" s="84">
        <v>631.0</v>
      </c>
      <c r="G4448" s="81" t="s">
        <v>40</v>
      </c>
      <c r="H4448" s="81" t="s">
        <v>6086</v>
      </c>
      <c r="I4448" s="81" t="s">
        <v>6087</v>
      </c>
      <c r="J4448" s="81" t="s">
        <v>224</v>
      </c>
    </row>
    <row r="4449" hidden="1">
      <c r="A4449" s="83" t="s">
        <v>6330</v>
      </c>
      <c r="B4449" s="83" t="s">
        <v>6331</v>
      </c>
      <c r="C4449" s="81" t="s">
        <v>4621</v>
      </c>
      <c r="D4449" s="83" t="s">
        <v>4697</v>
      </c>
      <c r="E4449" s="81" t="s">
        <v>3311</v>
      </c>
      <c r="F4449" s="84">
        <v>632.0</v>
      </c>
      <c r="G4449" s="81" t="s">
        <v>39</v>
      </c>
      <c r="H4449" s="81" t="s">
        <v>6085</v>
      </c>
      <c r="I4449" s="81" t="s">
        <v>3304</v>
      </c>
      <c r="J4449" s="81" t="s">
        <v>224</v>
      </c>
    </row>
    <row r="4450" hidden="1">
      <c r="A4450" s="83" t="s">
        <v>6330</v>
      </c>
      <c r="B4450" s="83" t="s">
        <v>6331</v>
      </c>
      <c r="C4450" s="81" t="s">
        <v>4621</v>
      </c>
      <c r="D4450" s="83" t="s">
        <v>4697</v>
      </c>
      <c r="E4450" s="81" t="s">
        <v>3311</v>
      </c>
      <c r="F4450" s="84">
        <v>632.0</v>
      </c>
      <c r="G4450" s="81" t="s">
        <v>40</v>
      </c>
      <c r="H4450" s="81" t="s">
        <v>6086</v>
      </c>
      <c r="I4450" s="81" t="s">
        <v>6087</v>
      </c>
      <c r="J4450" s="81" t="s">
        <v>224</v>
      </c>
    </row>
    <row r="4451" hidden="1">
      <c r="A4451" s="83" t="s">
        <v>6330</v>
      </c>
      <c r="B4451" s="83" t="s">
        <v>6331</v>
      </c>
      <c r="C4451" s="81" t="s">
        <v>4621</v>
      </c>
      <c r="D4451" s="83" t="s">
        <v>4698</v>
      </c>
      <c r="E4451" s="81" t="s">
        <v>3312</v>
      </c>
      <c r="F4451" s="84">
        <v>633.0</v>
      </c>
      <c r="G4451" s="81" t="s">
        <v>40</v>
      </c>
      <c r="H4451" s="81" t="s">
        <v>6088</v>
      </c>
      <c r="I4451" s="81" t="s">
        <v>3314</v>
      </c>
      <c r="J4451" s="81" t="s">
        <v>224</v>
      </c>
    </row>
    <row r="4452" hidden="1">
      <c r="A4452" s="83" t="s">
        <v>6330</v>
      </c>
      <c r="B4452" s="83" t="s">
        <v>6331</v>
      </c>
      <c r="C4452" s="81" t="s">
        <v>4621</v>
      </c>
      <c r="D4452" s="83" t="s">
        <v>4699</v>
      </c>
      <c r="E4452" s="81" t="s">
        <v>3315</v>
      </c>
      <c r="F4452" s="84">
        <v>634.0</v>
      </c>
      <c r="G4452" s="81" t="s">
        <v>40</v>
      </c>
      <c r="H4452" s="81" t="s">
        <v>6089</v>
      </c>
      <c r="I4452" s="81" t="s">
        <v>3323</v>
      </c>
      <c r="J4452" s="81" t="s">
        <v>224</v>
      </c>
    </row>
    <row r="4453" hidden="1">
      <c r="A4453" s="83" t="s">
        <v>6330</v>
      </c>
      <c r="B4453" s="83" t="s">
        <v>6331</v>
      </c>
      <c r="C4453" s="81" t="s">
        <v>4621</v>
      </c>
      <c r="D4453" s="83" t="s">
        <v>4699</v>
      </c>
      <c r="E4453" s="81" t="s">
        <v>3328</v>
      </c>
      <c r="F4453" s="84">
        <v>635.0</v>
      </c>
      <c r="G4453" s="81" t="s">
        <v>40</v>
      </c>
      <c r="H4453" s="81" t="s">
        <v>6089</v>
      </c>
      <c r="I4453" s="81" t="s">
        <v>3323</v>
      </c>
      <c r="J4453" s="81" t="s">
        <v>224</v>
      </c>
    </row>
    <row r="4454" hidden="1">
      <c r="A4454" s="83" t="s">
        <v>6330</v>
      </c>
      <c r="B4454" s="83" t="s">
        <v>6331</v>
      </c>
      <c r="C4454" s="81" t="s">
        <v>4621</v>
      </c>
      <c r="D4454" s="83" t="s">
        <v>4701</v>
      </c>
      <c r="E4454" s="81" t="s">
        <v>3329</v>
      </c>
      <c r="F4454" s="84">
        <v>636.0</v>
      </c>
      <c r="G4454" s="81" t="s">
        <v>40</v>
      </c>
      <c r="H4454" s="81" t="s">
        <v>6090</v>
      </c>
      <c r="I4454" s="81" t="s">
        <v>3334</v>
      </c>
      <c r="J4454" s="81" t="s">
        <v>224</v>
      </c>
    </row>
    <row r="4455" hidden="1">
      <c r="A4455" s="83" t="s">
        <v>6330</v>
      </c>
      <c r="B4455" s="83" t="s">
        <v>6331</v>
      </c>
      <c r="C4455" s="81" t="s">
        <v>4621</v>
      </c>
      <c r="D4455" s="83" t="s">
        <v>4703</v>
      </c>
      <c r="E4455" s="81" t="s">
        <v>3339</v>
      </c>
      <c r="F4455" s="84">
        <v>637.0</v>
      </c>
      <c r="G4455" s="81" t="s">
        <v>40</v>
      </c>
      <c r="H4455" s="81" t="s">
        <v>6091</v>
      </c>
      <c r="I4455" s="81" t="s">
        <v>3347</v>
      </c>
      <c r="J4455" s="81" t="s">
        <v>224</v>
      </c>
    </row>
    <row r="4456" hidden="1">
      <c r="A4456" s="83" t="s">
        <v>6330</v>
      </c>
      <c r="B4456" s="83" t="s">
        <v>6331</v>
      </c>
      <c r="C4456" s="81" t="s">
        <v>4621</v>
      </c>
      <c r="D4456" s="83" t="s">
        <v>4703</v>
      </c>
      <c r="E4456" s="81" t="s">
        <v>3353</v>
      </c>
      <c r="F4456" s="84">
        <v>638.0</v>
      </c>
      <c r="G4456" s="81" t="s">
        <v>39</v>
      </c>
      <c r="H4456" s="81" t="s">
        <v>6092</v>
      </c>
      <c r="I4456" s="81" t="s">
        <v>3346</v>
      </c>
      <c r="J4456" s="81" t="s">
        <v>224</v>
      </c>
    </row>
    <row r="4457" hidden="1">
      <c r="A4457" s="83" t="s">
        <v>6330</v>
      </c>
      <c r="B4457" s="83" t="s">
        <v>6331</v>
      </c>
      <c r="C4457" s="81" t="s">
        <v>4621</v>
      </c>
      <c r="D4457" s="83" t="s">
        <v>4703</v>
      </c>
      <c r="E4457" s="81" t="s">
        <v>3353</v>
      </c>
      <c r="F4457" s="84">
        <v>638.0</v>
      </c>
      <c r="G4457" s="81" t="s">
        <v>40</v>
      </c>
      <c r="H4457" s="81" t="s">
        <v>6093</v>
      </c>
      <c r="I4457" s="81" t="s">
        <v>3347</v>
      </c>
      <c r="J4457" s="81" t="s">
        <v>224</v>
      </c>
    </row>
    <row r="4458" hidden="1">
      <c r="A4458" s="83" t="s">
        <v>6330</v>
      </c>
      <c r="B4458" s="83" t="s">
        <v>6331</v>
      </c>
      <c r="C4458" s="81" t="s">
        <v>4621</v>
      </c>
      <c r="D4458" s="83" t="s">
        <v>4705</v>
      </c>
      <c r="E4458" s="81" t="s">
        <v>3354</v>
      </c>
      <c r="F4458" s="84">
        <v>639.0</v>
      </c>
      <c r="G4458" s="81" t="s">
        <v>40</v>
      </c>
      <c r="H4458" s="81" t="s">
        <v>6094</v>
      </c>
      <c r="I4458" s="81" t="s">
        <v>3358</v>
      </c>
      <c r="J4458" s="81" t="s">
        <v>224</v>
      </c>
    </row>
    <row r="4459" hidden="1">
      <c r="A4459" s="83" t="s">
        <v>6330</v>
      </c>
      <c r="B4459" s="83" t="s">
        <v>6331</v>
      </c>
      <c r="C4459" s="81" t="s">
        <v>4621</v>
      </c>
      <c r="D4459" s="83" t="s">
        <v>4706</v>
      </c>
      <c r="E4459" s="81" t="s">
        <v>3359</v>
      </c>
      <c r="F4459" s="84">
        <v>640.0</v>
      </c>
      <c r="G4459" s="81" t="s">
        <v>40</v>
      </c>
      <c r="H4459" s="81" t="s">
        <v>6095</v>
      </c>
      <c r="I4459" s="81" t="s">
        <v>3361</v>
      </c>
      <c r="J4459" s="81" t="s">
        <v>224</v>
      </c>
    </row>
    <row r="4460" hidden="1">
      <c r="A4460" s="83" t="s">
        <v>6330</v>
      </c>
      <c r="B4460" s="83" t="s">
        <v>6331</v>
      </c>
      <c r="C4460" s="81" t="s">
        <v>4082</v>
      </c>
      <c r="D4460" s="83" t="s">
        <v>4707</v>
      </c>
      <c r="E4460" s="81" t="s">
        <v>3362</v>
      </c>
      <c r="F4460" s="84">
        <v>641.0</v>
      </c>
      <c r="G4460" s="81" t="s">
        <v>39</v>
      </c>
      <c r="H4460" s="81" t="s">
        <v>224</v>
      </c>
      <c r="I4460" s="81" t="s">
        <v>224</v>
      </c>
      <c r="J4460" s="81" t="s">
        <v>6096</v>
      </c>
    </row>
    <row r="4461" hidden="1">
      <c r="A4461" s="83" t="s">
        <v>6330</v>
      </c>
      <c r="B4461" s="83" t="s">
        <v>6331</v>
      </c>
      <c r="C4461" s="81" t="s">
        <v>6333</v>
      </c>
      <c r="D4461" s="83" t="s">
        <v>4707</v>
      </c>
      <c r="E4461" s="81" t="s">
        <v>3362</v>
      </c>
      <c r="F4461" s="84">
        <v>641.0</v>
      </c>
      <c r="G4461" s="81" t="s">
        <v>39</v>
      </c>
      <c r="H4461" s="81" t="s">
        <v>6097</v>
      </c>
      <c r="I4461" s="81" t="s">
        <v>224</v>
      </c>
      <c r="J4461" s="81" t="s">
        <v>5143</v>
      </c>
    </row>
    <row r="4462" hidden="1">
      <c r="A4462" s="83" t="s">
        <v>6330</v>
      </c>
      <c r="B4462" s="83" t="s">
        <v>6331</v>
      </c>
      <c r="C4462" s="81" t="s">
        <v>4621</v>
      </c>
      <c r="D4462" s="83" t="s">
        <v>4707</v>
      </c>
      <c r="E4462" s="81" t="s">
        <v>3362</v>
      </c>
      <c r="F4462" s="84">
        <v>641.0</v>
      </c>
      <c r="G4462" s="81" t="s">
        <v>40</v>
      </c>
      <c r="H4462" s="81" t="s">
        <v>6098</v>
      </c>
      <c r="I4462" s="81" t="s">
        <v>3364</v>
      </c>
      <c r="J4462" s="81" t="s">
        <v>224</v>
      </c>
    </row>
    <row r="4463" hidden="1">
      <c r="A4463" s="83" t="s">
        <v>6330</v>
      </c>
      <c r="B4463" s="83" t="s">
        <v>6331</v>
      </c>
      <c r="C4463" s="81" t="s">
        <v>6333</v>
      </c>
      <c r="D4463" s="83" t="s">
        <v>4707</v>
      </c>
      <c r="E4463" s="81" t="s">
        <v>3369</v>
      </c>
      <c r="F4463" s="84">
        <v>642.0</v>
      </c>
      <c r="G4463" s="81" t="s">
        <v>39</v>
      </c>
      <c r="H4463" s="81" t="s">
        <v>6099</v>
      </c>
      <c r="I4463" s="81" t="s">
        <v>224</v>
      </c>
      <c r="J4463" s="81" t="s">
        <v>5143</v>
      </c>
    </row>
    <row r="4464" hidden="1">
      <c r="A4464" s="83" t="s">
        <v>6330</v>
      </c>
      <c r="B4464" s="83" t="s">
        <v>6331</v>
      </c>
      <c r="C4464" s="81" t="s">
        <v>4621</v>
      </c>
      <c r="D4464" s="83" t="s">
        <v>4707</v>
      </c>
      <c r="E4464" s="81" t="s">
        <v>3369</v>
      </c>
      <c r="F4464" s="84">
        <v>642.0</v>
      </c>
      <c r="G4464" s="81" t="s">
        <v>40</v>
      </c>
      <c r="H4464" s="81" t="s">
        <v>6100</v>
      </c>
      <c r="I4464" s="81" t="s">
        <v>3364</v>
      </c>
      <c r="J4464" s="81" t="s">
        <v>224</v>
      </c>
    </row>
    <row r="4465" hidden="1">
      <c r="A4465" s="83" t="s">
        <v>6330</v>
      </c>
      <c r="B4465" s="83" t="s">
        <v>6331</v>
      </c>
      <c r="C4465" s="81" t="s">
        <v>4082</v>
      </c>
      <c r="D4465" s="83" t="s">
        <v>4709</v>
      </c>
      <c r="E4465" s="81" t="s">
        <v>3370</v>
      </c>
      <c r="F4465" s="84">
        <v>643.0</v>
      </c>
      <c r="G4465" s="81" t="s">
        <v>39</v>
      </c>
      <c r="H4465" s="81" t="s">
        <v>224</v>
      </c>
      <c r="I4465" s="81" t="s">
        <v>224</v>
      </c>
      <c r="J4465" s="81" t="s">
        <v>6101</v>
      </c>
    </row>
    <row r="4466" hidden="1">
      <c r="A4466" s="83" t="s">
        <v>6330</v>
      </c>
      <c r="B4466" s="83" t="s">
        <v>6331</v>
      </c>
      <c r="C4466" s="81" t="s">
        <v>6333</v>
      </c>
      <c r="D4466" s="83" t="s">
        <v>4709</v>
      </c>
      <c r="E4466" s="81" t="s">
        <v>3370</v>
      </c>
      <c r="F4466" s="84">
        <v>643.0</v>
      </c>
      <c r="G4466" s="81" t="s">
        <v>39</v>
      </c>
      <c r="H4466" s="81" t="s">
        <v>6102</v>
      </c>
      <c r="I4466" s="81" t="s">
        <v>224</v>
      </c>
      <c r="J4466" s="81" t="s">
        <v>5143</v>
      </c>
    </row>
    <row r="4467" hidden="1">
      <c r="A4467" s="83" t="s">
        <v>6330</v>
      </c>
      <c r="B4467" s="83" t="s">
        <v>6331</v>
      </c>
      <c r="C4467" s="81" t="s">
        <v>4621</v>
      </c>
      <c r="D4467" s="83" t="s">
        <v>4709</v>
      </c>
      <c r="E4467" s="81" t="s">
        <v>3370</v>
      </c>
      <c r="F4467" s="84">
        <v>643.0</v>
      </c>
      <c r="G4467" s="81" t="s">
        <v>40</v>
      </c>
      <c r="H4467" s="81" t="s">
        <v>6103</v>
      </c>
      <c r="I4467" s="81" t="s">
        <v>3371</v>
      </c>
      <c r="J4467" s="81" t="s">
        <v>224</v>
      </c>
    </row>
    <row r="4468" hidden="1">
      <c r="A4468" s="83" t="s">
        <v>6330</v>
      </c>
      <c r="B4468" s="83" t="s">
        <v>6331</v>
      </c>
      <c r="C4468" s="81" t="s">
        <v>4621</v>
      </c>
      <c r="D4468" s="83" t="s">
        <v>4710</v>
      </c>
      <c r="E4468" s="81" t="s">
        <v>3372</v>
      </c>
      <c r="F4468" s="84">
        <v>644.0</v>
      </c>
      <c r="G4468" s="81" t="s">
        <v>39</v>
      </c>
      <c r="H4468" s="81" t="s">
        <v>6104</v>
      </c>
      <c r="I4468" s="81" t="s">
        <v>3373</v>
      </c>
      <c r="J4468" s="81" t="s">
        <v>224</v>
      </c>
    </row>
    <row r="4469" hidden="1">
      <c r="A4469" s="83" t="s">
        <v>6330</v>
      </c>
      <c r="B4469" s="83" t="s">
        <v>6331</v>
      </c>
      <c r="C4469" s="81" t="s">
        <v>4621</v>
      </c>
      <c r="D4469" s="83" t="s">
        <v>4710</v>
      </c>
      <c r="E4469" s="81" t="s">
        <v>3372</v>
      </c>
      <c r="F4469" s="84">
        <v>644.0</v>
      </c>
      <c r="G4469" s="81" t="s">
        <v>40</v>
      </c>
      <c r="H4469" s="81" t="s">
        <v>6105</v>
      </c>
      <c r="I4469" s="81" t="s">
        <v>3374</v>
      </c>
      <c r="J4469" s="81" t="s">
        <v>224</v>
      </c>
    </row>
    <row r="4470" hidden="1">
      <c r="A4470" s="83" t="s">
        <v>6330</v>
      </c>
      <c r="B4470" s="83" t="s">
        <v>6331</v>
      </c>
      <c r="C4470" s="81" t="s">
        <v>4621</v>
      </c>
      <c r="D4470" s="83" t="s">
        <v>4711</v>
      </c>
      <c r="E4470" s="81" t="s">
        <v>3375</v>
      </c>
      <c r="F4470" s="84">
        <v>645.0</v>
      </c>
      <c r="G4470" s="81" t="s">
        <v>39</v>
      </c>
      <c r="H4470" s="81" t="s">
        <v>6106</v>
      </c>
      <c r="I4470" s="81" t="s">
        <v>3382</v>
      </c>
      <c r="J4470" s="81" t="s">
        <v>224</v>
      </c>
    </row>
    <row r="4471" hidden="1">
      <c r="A4471" s="83" t="s">
        <v>6330</v>
      </c>
      <c r="B4471" s="83" t="s">
        <v>6331</v>
      </c>
      <c r="C4471" s="81" t="s">
        <v>4621</v>
      </c>
      <c r="D4471" s="83" t="s">
        <v>4711</v>
      </c>
      <c r="E4471" s="81" t="s">
        <v>3375</v>
      </c>
      <c r="F4471" s="84">
        <v>645.0</v>
      </c>
      <c r="G4471" s="81" t="s">
        <v>40</v>
      </c>
      <c r="H4471" s="81" t="s">
        <v>6107</v>
      </c>
      <c r="I4471" s="81" t="s">
        <v>3383</v>
      </c>
      <c r="J4471" s="81" t="s">
        <v>224</v>
      </c>
    </row>
    <row r="4472" hidden="1">
      <c r="A4472" s="83" t="s">
        <v>6330</v>
      </c>
      <c r="B4472" s="83" t="s">
        <v>6331</v>
      </c>
      <c r="C4472" s="81" t="s">
        <v>4621</v>
      </c>
      <c r="D4472" s="83" t="s">
        <v>4711</v>
      </c>
      <c r="E4472" s="81" t="s">
        <v>3389</v>
      </c>
      <c r="F4472" s="84">
        <v>646.0</v>
      </c>
      <c r="G4472" s="81" t="s">
        <v>39</v>
      </c>
      <c r="H4472" s="81" t="s">
        <v>6106</v>
      </c>
      <c r="I4472" s="81" t="s">
        <v>3382</v>
      </c>
      <c r="J4472" s="81" t="s">
        <v>224</v>
      </c>
    </row>
    <row r="4473" hidden="1">
      <c r="A4473" s="83" t="s">
        <v>6330</v>
      </c>
      <c r="B4473" s="83" t="s">
        <v>6331</v>
      </c>
      <c r="C4473" s="81" t="s">
        <v>4621</v>
      </c>
      <c r="D4473" s="83" t="s">
        <v>4711</v>
      </c>
      <c r="E4473" s="81" t="s">
        <v>3389</v>
      </c>
      <c r="F4473" s="84">
        <v>646.0</v>
      </c>
      <c r="G4473" s="81" t="s">
        <v>40</v>
      </c>
      <c r="H4473" s="81" t="s">
        <v>6107</v>
      </c>
      <c r="I4473" s="81" t="s">
        <v>3383</v>
      </c>
      <c r="J4473" s="81" t="s">
        <v>224</v>
      </c>
    </row>
    <row r="4474" hidden="1">
      <c r="A4474" s="83" t="s">
        <v>6330</v>
      </c>
      <c r="B4474" s="83" t="s">
        <v>6331</v>
      </c>
      <c r="C4474" s="81" t="s">
        <v>4621</v>
      </c>
      <c r="D4474" s="83" t="s">
        <v>4713</v>
      </c>
      <c r="E4474" s="81" t="s">
        <v>3390</v>
      </c>
      <c r="F4474" s="84">
        <v>647.0</v>
      </c>
      <c r="G4474" s="81" t="s">
        <v>39</v>
      </c>
      <c r="H4474" s="81" t="s">
        <v>6108</v>
      </c>
      <c r="I4474" s="81" t="s">
        <v>3396</v>
      </c>
      <c r="J4474" s="81" t="s">
        <v>224</v>
      </c>
    </row>
    <row r="4475" hidden="1">
      <c r="A4475" s="83" t="s">
        <v>6330</v>
      </c>
      <c r="B4475" s="83" t="s">
        <v>6331</v>
      </c>
      <c r="C4475" s="81" t="s">
        <v>4621</v>
      </c>
      <c r="D4475" s="83" t="s">
        <v>4713</v>
      </c>
      <c r="E4475" s="81" t="s">
        <v>3390</v>
      </c>
      <c r="F4475" s="84">
        <v>647.0</v>
      </c>
      <c r="G4475" s="81" t="s">
        <v>40</v>
      </c>
      <c r="H4475" s="81" t="s">
        <v>6107</v>
      </c>
      <c r="I4475" s="81" t="s">
        <v>3397</v>
      </c>
      <c r="J4475" s="81" t="s">
        <v>224</v>
      </c>
    </row>
    <row r="4476" hidden="1">
      <c r="A4476" s="83" t="s">
        <v>6330</v>
      </c>
      <c r="B4476" s="83" t="s">
        <v>6331</v>
      </c>
      <c r="C4476" s="81" t="s">
        <v>4621</v>
      </c>
      <c r="D4476" s="83" t="s">
        <v>4715</v>
      </c>
      <c r="E4476" s="81" t="s">
        <v>3402</v>
      </c>
      <c r="F4476" s="84">
        <v>648.0</v>
      </c>
      <c r="G4476" s="81" t="s">
        <v>40</v>
      </c>
      <c r="H4476" s="81" t="s">
        <v>6109</v>
      </c>
      <c r="I4476" s="81" t="s">
        <v>6110</v>
      </c>
      <c r="J4476" s="81" t="s">
        <v>224</v>
      </c>
    </row>
    <row r="4477" hidden="1">
      <c r="A4477" s="83" t="s">
        <v>6330</v>
      </c>
      <c r="B4477" s="83" t="s">
        <v>6331</v>
      </c>
      <c r="C4477" s="81" t="s">
        <v>4621</v>
      </c>
      <c r="D4477" s="83" t="s">
        <v>4717</v>
      </c>
      <c r="E4477" s="81" t="s">
        <v>3414</v>
      </c>
      <c r="F4477" s="84">
        <v>649.0</v>
      </c>
      <c r="G4477" s="81" t="s">
        <v>39</v>
      </c>
      <c r="H4477" s="81" t="s">
        <v>6111</v>
      </c>
      <c r="I4477" s="81" t="s">
        <v>3420</v>
      </c>
      <c r="J4477" s="81" t="s">
        <v>224</v>
      </c>
    </row>
    <row r="4478" hidden="1">
      <c r="A4478" s="83" t="s">
        <v>6330</v>
      </c>
      <c r="B4478" s="83" t="s">
        <v>6331</v>
      </c>
      <c r="C4478" s="81" t="s">
        <v>4621</v>
      </c>
      <c r="D4478" s="83" t="s">
        <v>4717</v>
      </c>
      <c r="E4478" s="81" t="s">
        <v>3414</v>
      </c>
      <c r="F4478" s="84">
        <v>649.0</v>
      </c>
      <c r="G4478" s="81" t="s">
        <v>40</v>
      </c>
      <c r="H4478" s="81" t="s">
        <v>6112</v>
      </c>
      <c r="I4478" s="81" t="s">
        <v>6113</v>
      </c>
      <c r="J4478" s="81" t="s">
        <v>224</v>
      </c>
    </row>
    <row r="4479" hidden="1">
      <c r="A4479" s="83" t="s">
        <v>6330</v>
      </c>
      <c r="B4479" s="83" t="s">
        <v>6331</v>
      </c>
      <c r="C4479" s="81" t="s">
        <v>4621</v>
      </c>
      <c r="D4479" s="83" t="s">
        <v>4719</v>
      </c>
      <c r="E4479" s="81" t="s">
        <v>3427</v>
      </c>
      <c r="F4479" s="84">
        <v>650.0</v>
      </c>
      <c r="G4479" s="81" t="s">
        <v>39</v>
      </c>
      <c r="H4479" s="81" t="s">
        <v>6114</v>
      </c>
      <c r="I4479" s="81" t="s">
        <v>3432</v>
      </c>
      <c r="J4479" s="81" t="s">
        <v>224</v>
      </c>
    </row>
    <row r="4480" hidden="1">
      <c r="A4480" s="83" t="s">
        <v>6330</v>
      </c>
      <c r="B4480" s="83" t="s">
        <v>6331</v>
      </c>
      <c r="C4480" s="81" t="s">
        <v>4621</v>
      </c>
      <c r="D4480" s="83" t="s">
        <v>4719</v>
      </c>
      <c r="E4480" s="81" t="s">
        <v>3427</v>
      </c>
      <c r="F4480" s="84">
        <v>650.0</v>
      </c>
      <c r="G4480" s="81" t="s">
        <v>40</v>
      </c>
      <c r="H4480" s="81" t="s">
        <v>6115</v>
      </c>
      <c r="I4480" s="81" t="s">
        <v>6116</v>
      </c>
      <c r="J4480" s="81" t="s">
        <v>224</v>
      </c>
    </row>
    <row r="4481" hidden="1">
      <c r="A4481" s="83" t="s">
        <v>6330</v>
      </c>
      <c r="B4481" s="83" t="s">
        <v>6331</v>
      </c>
      <c r="C4481" s="81" t="s">
        <v>4621</v>
      </c>
      <c r="D4481" s="83" t="s">
        <v>4721</v>
      </c>
      <c r="E4481" s="81" t="s">
        <v>3439</v>
      </c>
      <c r="F4481" s="84">
        <v>651.0</v>
      </c>
      <c r="G4481" s="81" t="s">
        <v>39</v>
      </c>
      <c r="H4481" s="81" t="s">
        <v>6117</v>
      </c>
      <c r="I4481" s="81" t="s">
        <v>3444</v>
      </c>
      <c r="J4481" s="81" t="s">
        <v>224</v>
      </c>
    </row>
    <row r="4482" hidden="1">
      <c r="A4482" s="83" t="s">
        <v>6330</v>
      </c>
      <c r="B4482" s="83" t="s">
        <v>6331</v>
      </c>
      <c r="C4482" s="81" t="s">
        <v>4621</v>
      </c>
      <c r="D4482" s="83" t="s">
        <v>4721</v>
      </c>
      <c r="E4482" s="81" t="s">
        <v>3439</v>
      </c>
      <c r="F4482" s="84">
        <v>651.0</v>
      </c>
      <c r="G4482" s="81" t="s">
        <v>40</v>
      </c>
      <c r="H4482" s="81" t="s">
        <v>6118</v>
      </c>
      <c r="I4482" s="81" t="s">
        <v>6119</v>
      </c>
      <c r="J4482" s="81" t="s">
        <v>224</v>
      </c>
    </row>
    <row r="4483" hidden="1">
      <c r="A4483" s="83" t="s">
        <v>6330</v>
      </c>
      <c r="B4483" s="83" t="s">
        <v>6331</v>
      </c>
      <c r="C4483" s="81" t="s">
        <v>4621</v>
      </c>
      <c r="D4483" s="83" t="s">
        <v>4721</v>
      </c>
      <c r="E4483" s="81" t="s">
        <v>3451</v>
      </c>
      <c r="F4483" s="84">
        <v>652.0</v>
      </c>
      <c r="G4483" s="81" t="s">
        <v>39</v>
      </c>
      <c r="H4483" s="81" t="s">
        <v>6117</v>
      </c>
      <c r="I4483" s="81" t="s">
        <v>3444</v>
      </c>
      <c r="J4483" s="81" t="s">
        <v>224</v>
      </c>
    </row>
    <row r="4484" hidden="1">
      <c r="A4484" s="83" t="s">
        <v>6330</v>
      </c>
      <c r="B4484" s="83" t="s">
        <v>6331</v>
      </c>
      <c r="C4484" s="81" t="s">
        <v>4621</v>
      </c>
      <c r="D4484" s="83" t="s">
        <v>4721</v>
      </c>
      <c r="E4484" s="81" t="s">
        <v>3451</v>
      </c>
      <c r="F4484" s="84">
        <v>652.0</v>
      </c>
      <c r="G4484" s="81" t="s">
        <v>40</v>
      </c>
      <c r="H4484" s="81" t="s">
        <v>6118</v>
      </c>
      <c r="I4484" s="81" t="s">
        <v>6119</v>
      </c>
      <c r="J4484" s="81" t="s">
        <v>224</v>
      </c>
    </row>
    <row r="4485" hidden="1">
      <c r="A4485" s="83" t="s">
        <v>6330</v>
      </c>
      <c r="B4485" s="83" t="s">
        <v>6331</v>
      </c>
      <c r="C4485" s="81" t="s">
        <v>4621</v>
      </c>
      <c r="D4485" s="83" t="s">
        <v>4723</v>
      </c>
      <c r="E4485" s="81" t="s">
        <v>3452</v>
      </c>
      <c r="F4485" s="84">
        <v>653.0</v>
      </c>
      <c r="G4485" s="81" t="s">
        <v>40</v>
      </c>
      <c r="H4485" s="81" t="s">
        <v>6120</v>
      </c>
      <c r="I4485" s="81" t="s">
        <v>6121</v>
      </c>
      <c r="J4485" s="81" t="s">
        <v>224</v>
      </c>
    </row>
    <row r="4486" hidden="1">
      <c r="A4486" s="83" t="s">
        <v>6330</v>
      </c>
      <c r="B4486" s="83" t="s">
        <v>6331</v>
      </c>
      <c r="C4486" s="81" t="s">
        <v>4621</v>
      </c>
      <c r="D4486" s="83" t="s">
        <v>4724</v>
      </c>
      <c r="E4486" s="81" t="s">
        <v>3462</v>
      </c>
      <c r="F4486" s="84">
        <v>654.0</v>
      </c>
      <c r="G4486" s="81" t="s">
        <v>39</v>
      </c>
      <c r="H4486" s="81" t="s">
        <v>6122</v>
      </c>
      <c r="I4486" s="81" t="s">
        <v>3466</v>
      </c>
      <c r="J4486" s="81" t="s">
        <v>224</v>
      </c>
    </row>
    <row r="4487" hidden="1">
      <c r="A4487" s="83" t="s">
        <v>6330</v>
      </c>
      <c r="B4487" s="83" t="s">
        <v>6331</v>
      </c>
      <c r="C4487" s="81" t="s">
        <v>4621</v>
      </c>
      <c r="D4487" s="83" t="s">
        <v>4724</v>
      </c>
      <c r="E4487" s="81" t="s">
        <v>3462</v>
      </c>
      <c r="F4487" s="84">
        <v>654.0</v>
      </c>
      <c r="G4487" s="81" t="s">
        <v>40</v>
      </c>
      <c r="H4487" s="81" t="s">
        <v>6123</v>
      </c>
      <c r="I4487" s="81" t="s">
        <v>3467</v>
      </c>
      <c r="J4487" s="81" t="s">
        <v>224</v>
      </c>
    </row>
    <row r="4488" hidden="1">
      <c r="A4488" s="83" t="s">
        <v>6330</v>
      </c>
      <c r="B4488" s="83" t="s">
        <v>6331</v>
      </c>
      <c r="C4488" s="81" t="s">
        <v>4621</v>
      </c>
      <c r="D4488" s="83" t="s">
        <v>4724</v>
      </c>
      <c r="E4488" s="81" t="s">
        <v>3473</v>
      </c>
      <c r="F4488" s="84">
        <v>655.0</v>
      </c>
      <c r="G4488" s="81" t="s">
        <v>40</v>
      </c>
      <c r="H4488" s="81" t="s">
        <v>6124</v>
      </c>
      <c r="I4488" s="81" t="s">
        <v>3467</v>
      </c>
      <c r="J4488" s="81" t="s">
        <v>224</v>
      </c>
    </row>
    <row r="4489" hidden="1">
      <c r="A4489" s="83" t="s">
        <v>6330</v>
      </c>
      <c r="B4489" s="83" t="s">
        <v>6331</v>
      </c>
      <c r="C4489" s="81" t="s">
        <v>4621</v>
      </c>
      <c r="D4489" s="83" t="s">
        <v>4726</v>
      </c>
      <c r="E4489" s="81" t="s">
        <v>3474</v>
      </c>
      <c r="F4489" s="84">
        <v>656.0</v>
      </c>
      <c r="G4489" s="81" t="s">
        <v>39</v>
      </c>
      <c r="H4489" s="81" t="s">
        <v>6125</v>
      </c>
      <c r="I4489" s="81" t="s">
        <v>3477</v>
      </c>
      <c r="J4489" s="81" t="s">
        <v>224</v>
      </c>
    </row>
    <row r="4490" hidden="1">
      <c r="A4490" s="83" t="s">
        <v>6330</v>
      </c>
      <c r="B4490" s="83" t="s">
        <v>6331</v>
      </c>
      <c r="C4490" s="81" t="s">
        <v>4621</v>
      </c>
      <c r="D4490" s="83" t="s">
        <v>4726</v>
      </c>
      <c r="E4490" s="81" t="s">
        <v>3474</v>
      </c>
      <c r="F4490" s="84">
        <v>656.0</v>
      </c>
      <c r="G4490" s="81" t="s">
        <v>40</v>
      </c>
      <c r="H4490" s="81" t="s">
        <v>6126</v>
      </c>
      <c r="I4490" s="81" t="s">
        <v>6127</v>
      </c>
      <c r="J4490" s="81" t="s">
        <v>224</v>
      </c>
    </row>
    <row r="4491" hidden="1">
      <c r="A4491" s="83" t="s">
        <v>6330</v>
      </c>
      <c r="B4491" s="83" t="s">
        <v>6331</v>
      </c>
      <c r="C4491" s="81" t="s">
        <v>4621</v>
      </c>
      <c r="D4491" s="83" t="s">
        <v>4727</v>
      </c>
      <c r="E4491" s="81" t="s">
        <v>3483</v>
      </c>
      <c r="F4491" s="84">
        <v>657.0</v>
      </c>
      <c r="G4491" s="81" t="s">
        <v>39</v>
      </c>
      <c r="H4491" s="81" t="s">
        <v>6128</v>
      </c>
      <c r="I4491" s="81" t="s">
        <v>3489</v>
      </c>
      <c r="J4491" s="81" t="s">
        <v>224</v>
      </c>
    </row>
    <row r="4492" hidden="1">
      <c r="A4492" s="83" t="s">
        <v>6330</v>
      </c>
      <c r="B4492" s="83" t="s">
        <v>6331</v>
      </c>
      <c r="C4492" s="81" t="s">
        <v>4621</v>
      </c>
      <c r="D4492" s="83" t="s">
        <v>4727</v>
      </c>
      <c r="E4492" s="81" t="s">
        <v>3483</v>
      </c>
      <c r="F4492" s="84">
        <v>657.0</v>
      </c>
      <c r="G4492" s="81" t="s">
        <v>40</v>
      </c>
      <c r="H4492" s="81" t="s">
        <v>6129</v>
      </c>
      <c r="I4492" s="81" t="s">
        <v>3490</v>
      </c>
      <c r="J4492" s="81" t="s">
        <v>224</v>
      </c>
    </row>
    <row r="4493" hidden="1">
      <c r="A4493" s="83" t="s">
        <v>6330</v>
      </c>
      <c r="B4493" s="83" t="s">
        <v>6331</v>
      </c>
      <c r="C4493" s="81" t="s">
        <v>4621</v>
      </c>
      <c r="D4493" s="83" t="s">
        <v>4727</v>
      </c>
      <c r="E4493" s="81" t="s">
        <v>3496</v>
      </c>
      <c r="F4493" s="84">
        <v>658.0</v>
      </c>
      <c r="G4493" s="81" t="s">
        <v>39</v>
      </c>
      <c r="H4493" s="81" t="s">
        <v>6128</v>
      </c>
      <c r="I4493" s="81" t="s">
        <v>3489</v>
      </c>
      <c r="J4493" s="81" t="s">
        <v>224</v>
      </c>
    </row>
    <row r="4494" hidden="1">
      <c r="A4494" s="83" t="s">
        <v>6330</v>
      </c>
      <c r="B4494" s="83" t="s">
        <v>6331</v>
      </c>
      <c r="C4494" s="81" t="s">
        <v>4621</v>
      </c>
      <c r="D4494" s="83" t="s">
        <v>4727</v>
      </c>
      <c r="E4494" s="81" t="s">
        <v>3496</v>
      </c>
      <c r="F4494" s="84">
        <v>658.0</v>
      </c>
      <c r="G4494" s="81" t="s">
        <v>40</v>
      </c>
      <c r="H4494" s="81" t="s">
        <v>6129</v>
      </c>
      <c r="I4494" s="81" t="s">
        <v>3490</v>
      </c>
      <c r="J4494" s="81" t="s">
        <v>224</v>
      </c>
    </row>
    <row r="4495" hidden="1">
      <c r="A4495" s="83" t="s">
        <v>6330</v>
      </c>
      <c r="B4495" s="83" t="s">
        <v>6331</v>
      </c>
      <c r="C4495" s="81" t="s">
        <v>4621</v>
      </c>
      <c r="D4495" s="83" t="s">
        <v>4729</v>
      </c>
      <c r="E4495" s="81" t="s">
        <v>3497</v>
      </c>
      <c r="F4495" s="84">
        <v>659.0</v>
      </c>
      <c r="G4495" s="81" t="s">
        <v>39</v>
      </c>
      <c r="H4495" s="81" t="s">
        <v>6130</v>
      </c>
      <c r="I4495" s="81" t="s">
        <v>3498</v>
      </c>
      <c r="J4495" s="81" t="s">
        <v>224</v>
      </c>
    </row>
    <row r="4496" hidden="1">
      <c r="A4496" s="83" t="s">
        <v>6330</v>
      </c>
      <c r="B4496" s="83" t="s">
        <v>6331</v>
      </c>
      <c r="C4496" s="81" t="s">
        <v>4621</v>
      </c>
      <c r="D4496" s="83" t="s">
        <v>4729</v>
      </c>
      <c r="E4496" s="81" t="s">
        <v>3497</v>
      </c>
      <c r="F4496" s="84">
        <v>659.0</v>
      </c>
      <c r="G4496" s="81" t="s">
        <v>40</v>
      </c>
      <c r="H4496" s="81" t="s">
        <v>6131</v>
      </c>
      <c r="I4496" s="81" t="s">
        <v>3499</v>
      </c>
      <c r="J4496" s="81" t="s">
        <v>224</v>
      </c>
    </row>
    <row r="4497" hidden="1">
      <c r="A4497" s="83" t="s">
        <v>6330</v>
      </c>
      <c r="B4497" s="83" t="s">
        <v>6331</v>
      </c>
      <c r="C4497" s="81" t="s">
        <v>4621</v>
      </c>
      <c r="D4497" s="83" t="s">
        <v>4730</v>
      </c>
      <c r="E4497" s="81" t="s">
        <v>3500</v>
      </c>
      <c r="F4497" s="84">
        <v>660.0</v>
      </c>
      <c r="G4497" s="81" t="s">
        <v>39</v>
      </c>
      <c r="H4497" s="81" t="s">
        <v>6132</v>
      </c>
      <c r="I4497" s="81" t="s">
        <v>3504</v>
      </c>
      <c r="J4497" s="81" t="s">
        <v>224</v>
      </c>
    </row>
    <row r="4498" hidden="1">
      <c r="A4498" s="83" t="s">
        <v>6330</v>
      </c>
      <c r="B4498" s="83" t="s">
        <v>6331</v>
      </c>
      <c r="C4498" s="81" t="s">
        <v>4621</v>
      </c>
      <c r="D4498" s="83" t="s">
        <v>4730</v>
      </c>
      <c r="E4498" s="81" t="s">
        <v>3500</v>
      </c>
      <c r="F4498" s="84">
        <v>660.0</v>
      </c>
      <c r="G4498" s="81" t="s">
        <v>40</v>
      </c>
      <c r="H4498" s="81" t="s">
        <v>6133</v>
      </c>
      <c r="I4498" s="81" t="s">
        <v>3505</v>
      </c>
      <c r="J4498" s="81" t="s">
        <v>224</v>
      </c>
    </row>
    <row r="4499" hidden="1">
      <c r="A4499" s="83" t="s">
        <v>6330</v>
      </c>
      <c r="B4499" s="83" t="s">
        <v>6331</v>
      </c>
      <c r="C4499" s="81" t="s">
        <v>4621</v>
      </c>
      <c r="D4499" s="83" t="s">
        <v>4731</v>
      </c>
      <c r="E4499" s="81" t="s">
        <v>3510</v>
      </c>
      <c r="F4499" s="84">
        <v>661.0</v>
      </c>
      <c r="G4499" s="81" t="s">
        <v>39</v>
      </c>
      <c r="H4499" s="81" t="s">
        <v>6134</v>
      </c>
      <c r="I4499" s="81" t="s">
        <v>3511</v>
      </c>
      <c r="J4499" s="81" t="s">
        <v>224</v>
      </c>
    </row>
    <row r="4500" hidden="1">
      <c r="A4500" s="83" t="s">
        <v>6330</v>
      </c>
      <c r="B4500" s="83" t="s">
        <v>6331</v>
      </c>
      <c r="C4500" s="81" t="s">
        <v>4621</v>
      </c>
      <c r="D4500" s="83" t="s">
        <v>4731</v>
      </c>
      <c r="E4500" s="81" t="s">
        <v>3510</v>
      </c>
      <c r="F4500" s="84">
        <v>661.0</v>
      </c>
      <c r="G4500" s="81" t="s">
        <v>40</v>
      </c>
      <c r="H4500" s="81" t="s">
        <v>6135</v>
      </c>
      <c r="I4500" s="81" t="s">
        <v>3512</v>
      </c>
      <c r="J4500" s="81" t="s">
        <v>224</v>
      </c>
    </row>
    <row r="4501" hidden="1">
      <c r="A4501" s="83" t="s">
        <v>6330</v>
      </c>
      <c r="B4501" s="83" t="s">
        <v>6331</v>
      </c>
      <c r="C4501" s="81" t="s">
        <v>4621</v>
      </c>
      <c r="D4501" s="83" t="s">
        <v>4732</v>
      </c>
      <c r="E4501" s="81" t="s">
        <v>3513</v>
      </c>
      <c r="F4501" s="84">
        <v>662.0</v>
      </c>
      <c r="G4501" s="81" t="s">
        <v>39</v>
      </c>
      <c r="H4501" s="81" t="s">
        <v>6136</v>
      </c>
      <c r="I4501" s="81" t="s">
        <v>3518</v>
      </c>
      <c r="J4501" s="81" t="s">
        <v>224</v>
      </c>
    </row>
    <row r="4502" hidden="1">
      <c r="A4502" s="83" t="s">
        <v>6330</v>
      </c>
      <c r="B4502" s="83" t="s">
        <v>6331</v>
      </c>
      <c r="C4502" s="81" t="s">
        <v>4621</v>
      </c>
      <c r="D4502" s="83" t="s">
        <v>4732</v>
      </c>
      <c r="E4502" s="81" t="s">
        <v>3513</v>
      </c>
      <c r="F4502" s="84">
        <v>662.0</v>
      </c>
      <c r="G4502" s="81" t="s">
        <v>40</v>
      </c>
      <c r="H4502" s="81" t="s">
        <v>6137</v>
      </c>
      <c r="I4502" s="81" t="s">
        <v>3519</v>
      </c>
      <c r="J4502" s="81" t="s">
        <v>224</v>
      </c>
    </row>
    <row r="4503" hidden="1">
      <c r="A4503" s="83" t="s">
        <v>6330</v>
      </c>
      <c r="B4503" s="83" t="s">
        <v>6331</v>
      </c>
      <c r="C4503" s="81" t="s">
        <v>4621</v>
      </c>
      <c r="D4503" s="83" t="s">
        <v>4732</v>
      </c>
      <c r="E4503" s="81" t="s">
        <v>3523</v>
      </c>
      <c r="F4503" s="84">
        <v>663.0</v>
      </c>
      <c r="G4503" s="81" t="s">
        <v>39</v>
      </c>
      <c r="H4503" s="81" t="s">
        <v>6136</v>
      </c>
      <c r="I4503" s="81" t="s">
        <v>3518</v>
      </c>
      <c r="J4503" s="81" t="s">
        <v>224</v>
      </c>
    </row>
    <row r="4504" hidden="1">
      <c r="A4504" s="83" t="s">
        <v>6330</v>
      </c>
      <c r="B4504" s="83" t="s">
        <v>6331</v>
      </c>
      <c r="C4504" s="81" t="s">
        <v>4621</v>
      </c>
      <c r="D4504" s="83" t="s">
        <v>4732</v>
      </c>
      <c r="E4504" s="81" t="s">
        <v>3523</v>
      </c>
      <c r="F4504" s="84">
        <v>663.0</v>
      </c>
      <c r="G4504" s="81" t="s">
        <v>40</v>
      </c>
      <c r="H4504" s="81" t="s">
        <v>6137</v>
      </c>
      <c r="I4504" s="81" t="s">
        <v>3519</v>
      </c>
      <c r="J4504" s="81" t="s">
        <v>224</v>
      </c>
    </row>
    <row r="4505" hidden="1">
      <c r="A4505" s="83" t="s">
        <v>6330</v>
      </c>
      <c r="B4505" s="83" t="s">
        <v>6331</v>
      </c>
      <c r="C4505" s="81" t="s">
        <v>4621</v>
      </c>
      <c r="D4505" s="83" t="s">
        <v>4734</v>
      </c>
      <c r="E4505" s="81" t="s">
        <v>3526</v>
      </c>
      <c r="F4505" s="84">
        <v>664.0</v>
      </c>
      <c r="G4505" s="81" t="s">
        <v>39</v>
      </c>
      <c r="H4505" s="81" t="s">
        <v>6138</v>
      </c>
      <c r="I4505" s="81" t="s">
        <v>3527</v>
      </c>
      <c r="J4505" s="81" t="s">
        <v>224</v>
      </c>
    </row>
    <row r="4506" hidden="1">
      <c r="A4506" s="83" t="s">
        <v>6330</v>
      </c>
      <c r="B4506" s="83" t="s">
        <v>6331</v>
      </c>
      <c r="C4506" s="81" t="s">
        <v>4621</v>
      </c>
      <c r="D4506" s="83" t="s">
        <v>4734</v>
      </c>
      <c r="E4506" s="81" t="s">
        <v>3526</v>
      </c>
      <c r="F4506" s="84">
        <v>664.0</v>
      </c>
      <c r="G4506" s="81" t="s">
        <v>40</v>
      </c>
      <c r="H4506" s="81" t="s">
        <v>6139</v>
      </c>
      <c r="I4506" s="81" t="s">
        <v>3528</v>
      </c>
      <c r="J4506" s="81" t="s">
        <v>224</v>
      </c>
    </row>
    <row r="4507" hidden="1">
      <c r="A4507" s="83" t="s">
        <v>6330</v>
      </c>
      <c r="B4507" s="83" t="s">
        <v>6331</v>
      </c>
      <c r="C4507" s="81" t="s">
        <v>4621</v>
      </c>
      <c r="D4507" s="83" t="s">
        <v>4735</v>
      </c>
      <c r="E4507" s="81" t="s">
        <v>3529</v>
      </c>
      <c r="F4507" s="84">
        <v>665.0</v>
      </c>
      <c r="G4507" s="81" t="s">
        <v>39</v>
      </c>
      <c r="H4507" s="81" t="s">
        <v>6140</v>
      </c>
      <c r="I4507" s="81" t="s">
        <v>3534</v>
      </c>
      <c r="J4507" s="81" t="s">
        <v>224</v>
      </c>
    </row>
    <row r="4508" hidden="1">
      <c r="A4508" s="83" t="s">
        <v>6330</v>
      </c>
      <c r="B4508" s="83" t="s">
        <v>6331</v>
      </c>
      <c r="C4508" s="81" t="s">
        <v>4621</v>
      </c>
      <c r="D4508" s="83" t="s">
        <v>4735</v>
      </c>
      <c r="E4508" s="81" t="s">
        <v>3529</v>
      </c>
      <c r="F4508" s="84">
        <v>665.0</v>
      </c>
      <c r="G4508" s="81" t="s">
        <v>40</v>
      </c>
      <c r="H4508" s="81" t="s">
        <v>6141</v>
      </c>
      <c r="I4508" s="81" t="s">
        <v>3535</v>
      </c>
      <c r="J4508" s="81" t="s">
        <v>224</v>
      </c>
    </row>
    <row r="4509" hidden="1">
      <c r="A4509" s="83" t="s">
        <v>6330</v>
      </c>
      <c r="B4509" s="83" t="s">
        <v>6331</v>
      </c>
      <c r="C4509" s="81" t="s">
        <v>4621</v>
      </c>
      <c r="D4509" s="83" t="s">
        <v>4735</v>
      </c>
      <c r="E4509" s="81" t="s">
        <v>3539</v>
      </c>
      <c r="F4509" s="84">
        <v>666.0</v>
      </c>
      <c r="G4509" s="81" t="s">
        <v>39</v>
      </c>
      <c r="H4509" s="81" t="s">
        <v>6142</v>
      </c>
      <c r="I4509" s="81" t="s">
        <v>3534</v>
      </c>
      <c r="J4509" s="81" t="s">
        <v>224</v>
      </c>
    </row>
    <row r="4510" hidden="1">
      <c r="A4510" s="83" t="s">
        <v>6330</v>
      </c>
      <c r="B4510" s="83" t="s">
        <v>6331</v>
      </c>
      <c r="C4510" s="81" t="s">
        <v>4621</v>
      </c>
      <c r="D4510" s="83" t="s">
        <v>4735</v>
      </c>
      <c r="E4510" s="81" t="s">
        <v>3539</v>
      </c>
      <c r="F4510" s="84">
        <v>666.0</v>
      </c>
      <c r="G4510" s="81" t="s">
        <v>40</v>
      </c>
      <c r="H4510" s="81" t="s">
        <v>6143</v>
      </c>
      <c r="I4510" s="81" t="s">
        <v>3535</v>
      </c>
      <c r="J4510" s="81" t="s">
        <v>224</v>
      </c>
    </row>
    <row r="4511" hidden="1">
      <c r="A4511" s="83" t="s">
        <v>6330</v>
      </c>
      <c r="B4511" s="83" t="s">
        <v>6331</v>
      </c>
      <c r="C4511" s="81" t="s">
        <v>4621</v>
      </c>
      <c r="D4511" s="83" t="s">
        <v>4737</v>
      </c>
      <c r="E4511" s="81" t="s">
        <v>3540</v>
      </c>
      <c r="F4511" s="84">
        <v>667.0</v>
      </c>
      <c r="G4511" s="81" t="s">
        <v>39</v>
      </c>
      <c r="H4511" s="81" t="s">
        <v>6144</v>
      </c>
      <c r="I4511" s="81" t="s">
        <v>3541</v>
      </c>
      <c r="J4511" s="81" t="s">
        <v>224</v>
      </c>
    </row>
    <row r="4512" hidden="1">
      <c r="A4512" s="83" t="s">
        <v>6330</v>
      </c>
      <c r="B4512" s="83" t="s">
        <v>6331</v>
      </c>
      <c r="C4512" s="81" t="s">
        <v>4621</v>
      </c>
      <c r="D4512" s="83" t="s">
        <v>4737</v>
      </c>
      <c r="E4512" s="81" t="s">
        <v>3540</v>
      </c>
      <c r="F4512" s="84">
        <v>667.0</v>
      </c>
      <c r="G4512" s="81" t="s">
        <v>40</v>
      </c>
      <c r="H4512" s="81" t="s">
        <v>6145</v>
      </c>
      <c r="I4512" s="81" t="s">
        <v>3542</v>
      </c>
      <c r="J4512" s="81" t="s">
        <v>224</v>
      </c>
    </row>
    <row r="4513" hidden="1">
      <c r="A4513" s="83" t="s">
        <v>6330</v>
      </c>
      <c r="B4513" s="83" t="s">
        <v>6331</v>
      </c>
      <c r="C4513" s="81" t="s">
        <v>4621</v>
      </c>
      <c r="D4513" s="83" t="s">
        <v>4738</v>
      </c>
      <c r="E4513" s="81" t="s">
        <v>3543</v>
      </c>
      <c r="F4513" s="84">
        <v>668.0</v>
      </c>
      <c r="G4513" s="81" t="s">
        <v>39</v>
      </c>
      <c r="H4513" s="81" t="s">
        <v>6146</v>
      </c>
      <c r="I4513" s="81" t="s">
        <v>3548</v>
      </c>
      <c r="J4513" s="81" t="s">
        <v>224</v>
      </c>
    </row>
    <row r="4514" hidden="1">
      <c r="A4514" s="83" t="s">
        <v>6330</v>
      </c>
      <c r="B4514" s="83" t="s">
        <v>6331</v>
      </c>
      <c r="C4514" s="81" t="s">
        <v>4621</v>
      </c>
      <c r="D4514" s="83" t="s">
        <v>4738</v>
      </c>
      <c r="E4514" s="81" t="s">
        <v>3543</v>
      </c>
      <c r="F4514" s="84">
        <v>668.0</v>
      </c>
      <c r="G4514" s="81" t="s">
        <v>40</v>
      </c>
      <c r="H4514" s="81" t="s">
        <v>6147</v>
      </c>
      <c r="I4514" s="81" t="s">
        <v>3549</v>
      </c>
      <c r="J4514" s="81" t="s">
        <v>224</v>
      </c>
    </row>
    <row r="4515" hidden="1">
      <c r="A4515" s="83" t="s">
        <v>6330</v>
      </c>
      <c r="B4515" s="83" t="s">
        <v>6331</v>
      </c>
      <c r="C4515" s="81" t="s">
        <v>4621</v>
      </c>
      <c r="D4515" s="83" t="s">
        <v>4738</v>
      </c>
      <c r="E4515" s="81" t="s">
        <v>3553</v>
      </c>
      <c r="F4515" s="84">
        <v>669.0</v>
      </c>
      <c r="G4515" s="81" t="s">
        <v>39</v>
      </c>
      <c r="H4515" s="81" t="s">
        <v>6146</v>
      </c>
      <c r="I4515" s="81" t="s">
        <v>3548</v>
      </c>
      <c r="J4515" s="81" t="s">
        <v>224</v>
      </c>
    </row>
    <row r="4516" hidden="1">
      <c r="A4516" s="83" t="s">
        <v>6330</v>
      </c>
      <c r="B4516" s="83" t="s">
        <v>6331</v>
      </c>
      <c r="C4516" s="81" t="s">
        <v>4621</v>
      </c>
      <c r="D4516" s="83" t="s">
        <v>4738</v>
      </c>
      <c r="E4516" s="81" t="s">
        <v>3553</v>
      </c>
      <c r="F4516" s="84">
        <v>669.0</v>
      </c>
      <c r="G4516" s="81" t="s">
        <v>40</v>
      </c>
      <c r="H4516" s="81" t="s">
        <v>6147</v>
      </c>
      <c r="I4516" s="81" t="s">
        <v>3549</v>
      </c>
      <c r="J4516" s="81" t="s">
        <v>224</v>
      </c>
    </row>
    <row r="4517" hidden="1">
      <c r="A4517" s="83" t="s">
        <v>6330</v>
      </c>
      <c r="B4517" s="83" t="s">
        <v>6331</v>
      </c>
      <c r="C4517" s="81" t="s">
        <v>4621</v>
      </c>
      <c r="D4517" s="83" t="s">
        <v>4740</v>
      </c>
      <c r="E4517" s="81" t="s">
        <v>3555</v>
      </c>
      <c r="F4517" s="84">
        <v>670.0</v>
      </c>
      <c r="G4517" s="81" t="s">
        <v>39</v>
      </c>
      <c r="H4517" s="81" t="s">
        <v>6148</v>
      </c>
      <c r="I4517" s="81" t="s">
        <v>3556</v>
      </c>
      <c r="J4517" s="81" t="s">
        <v>224</v>
      </c>
    </row>
    <row r="4518" hidden="1">
      <c r="A4518" s="83" t="s">
        <v>6330</v>
      </c>
      <c r="B4518" s="83" t="s">
        <v>6331</v>
      </c>
      <c r="C4518" s="81" t="s">
        <v>4621</v>
      </c>
      <c r="D4518" s="83" t="s">
        <v>4740</v>
      </c>
      <c r="E4518" s="81" t="s">
        <v>3555</v>
      </c>
      <c r="F4518" s="84">
        <v>670.0</v>
      </c>
      <c r="G4518" s="81" t="s">
        <v>40</v>
      </c>
      <c r="H4518" s="81" t="s">
        <v>6149</v>
      </c>
      <c r="I4518" s="81" t="s">
        <v>3557</v>
      </c>
      <c r="J4518" s="81" t="s">
        <v>224</v>
      </c>
    </row>
    <row r="4519" hidden="1">
      <c r="A4519" s="83" t="s">
        <v>6330</v>
      </c>
      <c r="B4519" s="83" t="s">
        <v>6331</v>
      </c>
      <c r="C4519" s="81" t="s">
        <v>4621</v>
      </c>
      <c r="D4519" s="83" t="s">
        <v>4741</v>
      </c>
      <c r="E4519" s="81" t="s">
        <v>3558</v>
      </c>
      <c r="F4519" s="84">
        <v>671.0</v>
      </c>
      <c r="G4519" s="81" t="s">
        <v>39</v>
      </c>
      <c r="H4519" s="81" t="s">
        <v>6150</v>
      </c>
      <c r="I4519" s="81" t="s">
        <v>3562</v>
      </c>
      <c r="J4519" s="81" t="s">
        <v>224</v>
      </c>
    </row>
    <row r="4520" hidden="1">
      <c r="A4520" s="83" t="s">
        <v>6330</v>
      </c>
      <c r="B4520" s="83" t="s">
        <v>6331</v>
      </c>
      <c r="C4520" s="81" t="s">
        <v>4621</v>
      </c>
      <c r="D4520" s="83" t="s">
        <v>4741</v>
      </c>
      <c r="E4520" s="81" t="s">
        <v>3558</v>
      </c>
      <c r="F4520" s="84">
        <v>671.0</v>
      </c>
      <c r="G4520" s="81" t="s">
        <v>40</v>
      </c>
      <c r="H4520" s="81" t="s">
        <v>6151</v>
      </c>
      <c r="I4520" s="81" t="s">
        <v>3563</v>
      </c>
      <c r="J4520" s="81" t="s">
        <v>224</v>
      </c>
    </row>
    <row r="4521" hidden="1">
      <c r="A4521" s="83" t="s">
        <v>6330</v>
      </c>
      <c r="B4521" s="83" t="s">
        <v>6331</v>
      </c>
      <c r="C4521" s="81" t="s">
        <v>4621</v>
      </c>
      <c r="D4521" s="83" t="s">
        <v>4741</v>
      </c>
      <c r="E4521" s="81" t="s">
        <v>3567</v>
      </c>
      <c r="F4521" s="84">
        <v>672.0</v>
      </c>
      <c r="G4521" s="81" t="s">
        <v>39</v>
      </c>
      <c r="H4521" s="81" t="s">
        <v>6150</v>
      </c>
      <c r="I4521" s="81" t="s">
        <v>3562</v>
      </c>
      <c r="J4521" s="81" t="s">
        <v>224</v>
      </c>
    </row>
    <row r="4522" hidden="1">
      <c r="A4522" s="83" t="s">
        <v>6330</v>
      </c>
      <c r="B4522" s="83" t="s">
        <v>6331</v>
      </c>
      <c r="C4522" s="81" t="s">
        <v>4621</v>
      </c>
      <c r="D4522" s="83" t="s">
        <v>4741</v>
      </c>
      <c r="E4522" s="81" t="s">
        <v>3567</v>
      </c>
      <c r="F4522" s="84">
        <v>672.0</v>
      </c>
      <c r="G4522" s="81" t="s">
        <v>40</v>
      </c>
      <c r="H4522" s="81" t="s">
        <v>6151</v>
      </c>
      <c r="I4522" s="81" t="s">
        <v>3563</v>
      </c>
      <c r="J4522" s="81" t="s">
        <v>224</v>
      </c>
    </row>
    <row r="4523" hidden="1">
      <c r="A4523" s="83" t="s">
        <v>6330</v>
      </c>
      <c r="B4523" s="83" t="s">
        <v>6331</v>
      </c>
      <c r="C4523" s="81" t="s">
        <v>4621</v>
      </c>
      <c r="D4523" s="83" t="s">
        <v>4743</v>
      </c>
      <c r="E4523" s="81" t="s">
        <v>3568</v>
      </c>
      <c r="F4523" s="84">
        <v>673.0</v>
      </c>
      <c r="G4523" s="81" t="s">
        <v>39</v>
      </c>
      <c r="H4523" s="81" t="s">
        <v>6152</v>
      </c>
      <c r="I4523" s="81" t="s">
        <v>3569</v>
      </c>
      <c r="J4523" s="81" t="s">
        <v>224</v>
      </c>
    </row>
    <row r="4524" hidden="1">
      <c r="A4524" s="83" t="s">
        <v>6330</v>
      </c>
      <c r="B4524" s="83" t="s">
        <v>6331</v>
      </c>
      <c r="C4524" s="81" t="s">
        <v>4621</v>
      </c>
      <c r="D4524" s="83" t="s">
        <v>4743</v>
      </c>
      <c r="E4524" s="81" t="s">
        <v>3568</v>
      </c>
      <c r="F4524" s="84">
        <v>673.0</v>
      </c>
      <c r="G4524" s="81" t="s">
        <v>40</v>
      </c>
      <c r="H4524" s="81" t="s">
        <v>6153</v>
      </c>
      <c r="I4524" s="81" t="s">
        <v>3570</v>
      </c>
      <c r="J4524" s="81" t="s">
        <v>224</v>
      </c>
    </row>
    <row r="4525" hidden="1">
      <c r="A4525" s="83" t="s">
        <v>6330</v>
      </c>
      <c r="B4525" s="83" t="s">
        <v>6331</v>
      </c>
      <c r="C4525" s="81" t="s">
        <v>4621</v>
      </c>
      <c r="D4525" s="83" t="s">
        <v>4744</v>
      </c>
      <c r="E4525" s="81" t="s">
        <v>3571</v>
      </c>
      <c r="F4525" s="84">
        <v>674.0</v>
      </c>
      <c r="G4525" s="81" t="s">
        <v>39</v>
      </c>
      <c r="H4525" s="81" t="s">
        <v>6154</v>
      </c>
      <c r="I4525" s="81" t="s">
        <v>3575</v>
      </c>
      <c r="J4525" s="81" t="s">
        <v>224</v>
      </c>
    </row>
    <row r="4526" hidden="1">
      <c r="A4526" s="83" t="s">
        <v>6330</v>
      </c>
      <c r="B4526" s="83" t="s">
        <v>6331</v>
      </c>
      <c r="C4526" s="81" t="s">
        <v>4621</v>
      </c>
      <c r="D4526" s="83" t="s">
        <v>4744</v>
      </c>
      <c r="E4526" s="81" t="s">
        <v>3571</v>
      </c>
      <c r="F4526" s="84">
        <v>674.0</v>
      </c>
      <c r="G4526" s="81" t="s">
        <v>40</v>
      </c>
      <c r="H4526" s="81" t="s">
        <v>6155</v>
      </c>
      <c r="I4526" s="81" t="s">
        <v>3576</v>
      </c>
      <c r="J4526" s="81" t="s">
        <v>224</v>
      </c>
    </row>
    <row r="4527" hidden="1">
      <c r="A4527" s="83" t="s">
        <v>6330</v>
      </c>
      <c r="B4527" s="83" t="s">
        <v>6331</v>
      </c>
      <c r="C4527" s="81" t="s">
        <v>4621</v>
      </c>
      <c r="D4527" s="83" t="s">
        <v>4744</v>
      </c>
      <c r="E4527" s="81" t="s">
        <v>3580</v>
      </c>
      <c r="F4527" s="84">
        <v>675.0</v>
      </c>
      <c r="G4527" s="81" t="s">
        <v>39</v>
      </c>
      <c r="H4527" s="81" t="s">
        <v>6154</v>
      </c>
      <c r="I4527" s="81" t="s">
        <v>3575</v>
      </c>
      <c r="J4527" s="81" t="s">
        <v>224</v>
      </c>
    </row>
    <row r="4528" hidden="1">
      <c r="A4528" s="83" t="s">
        <v>6330</v>
      </c>
      <c r="B4528" s="83" t="s">
        <v>6331</v>
      </c>
      <c r="C4528" s="81" t="s">
        <v>4621</v>
      </c>
      <c r="D4528" s="83" t="s">
        <v>4744</v>
      </c>
      <c r="E4528" s="81" t="s">
        <v>3580</v>
      </c>
      <c r="F4528" s="84">
        <v>675.0</v>
      </c>
      <c r="G4528" s="81" t="s">
        <v>40</v>
      </c>
      <c r="H4528" s="81" t="s">
        <v>6155</v>
      </c>
      <c r="I4528" s="81" t="s">
        <v>3576</v>
      </c>
      <c r="J4528" s="81" t="s">
        <v>224</v>
      </c>
    </row>
    <row r="4529" hidden="1">
      <c r="A4529" s="83" t="s">
        <v>6330</v>
      </c>
      <c r="B4529" s="83" t="s">
        <v>6331</v>
      </c>
      <c r="C4529" s="81" t="s">
        <v>4621</v>
      </c>
      <c r="D4529" s="83" t="s">
        <v>4747</v>
      </c>
      <c r="E4529" s="81" t="s">
        <v>3581</v>
      </c>
      <c r="F4529" s="84">
        <v>676.0</v>
      </c>
      <c r="G4529" s="81" t="s">
        <v>39</v>
      </c>
      <c r="H4529" s="81" t="s">
        <v>6156</v>
      </c>
      <c r="I4529" s="81" t="s">
        <v>3582</v>
      </c>
      <c r="J4529" s="81" t="s">
        <v>224</v>
      </c>
    </row>
    <row r="4530" hidden="1">
      <c r="A4530" s="83" t="s">
        <v>6330</v>
      </c>
      <c r="B4530" s="83" t="s">
        <v>6331</v>
      </c>
      <c r="C4530" s="81" t="s">
        <v>4621</v>
      </c>
      <c r="D4530" s="83" t="s">
        <v>4747</v>
      </c>
      <c r="E4530" s="81" t="s">
        <v>3581</v>
      </c>
      <c r="F4530" s="84">
        <v>676.0</v>
      </c>
      <c r="G4530" s="81" t="s">
        <v>40</v>
      </c>
      <c r="H4530" s="81" t="s">
        <v>6157</v>
      </c>
      <c r="I4530" s="81" t="s">
        <v>3583</v>
      </c>
      <c r="J4530" s="81" t="s">
        <v>224</v>
      </c>
    </row>
    <row r="4531" hidden="1">
      <c r="A4531" s="83" t="s">
        <v>6330</v>
      </c>
      <c r="B4531" s="83" t="s">
        <v>6331</v>
      </c>
      <c r="C4531" s="81" t="s">
        <v>4621</v>
      </c>
      <c r="D4531" s="83" t="s">
        <v>4748</v>
      </c>
      <c r="E4531" s="81" t="s">
        <v>3584</v>
      </c>
      <c r="F4531" s="84">
        <v>677.0</v>
      </c>
      <c r="G4531" s="81" t="s">
        <v>40</v>
      </c>
      <c r="H4531" s="81" t="s">
        <v>6158</v>
      </c>
      <c r="I4531" s="81" t="s">
        <v>3586</v>
      </c>
      <c r="J4531" s="81" t="s">
        <v>224</v>
      </c>
    </row>
    <row r="4532" hidden="1">
      <c r="A4532" s="83" t="s">
        <v>6330</v>
      </c>
      <c r="B4532" s="83" t="s">
        <v>6331</v>
      </c>
      <c r="C4532" s="81" t="s">
        <v>4621</v>
      </c>
      <c r="D4532" s="83" t="s">
        <v>4749</v>
      </c>
      <c r="E4532" s="81" t="s">
        <v>3588</v>
      </c>
      <c r="F4532" s="84">
        <v>678.0</v>
      </c>
      <c r="G4532" s="81" t="s">
        <v>39</v>
      </c>
      <c r="H4532" s="81" t="s">
        <v>6160</v>
      </c>
      <c r="I4532" s="81" t="s">
        <v>3590</v>
      </c>
      <c r="J4532" s="81" t="s">
        <v>224</v>
      </c>
    </row>
    <row r="4533" hidden="1">
      <c r="A4533" s="83" t="s">
        <v>6330</v>
      </c>
      <c r="B4533" s="83" t="s">
        <v>6331</v>
      </c>
      <c r="C4533" s="81" t="s">
        <v>4621</v>
      </c>
      <c r="D4533" s="83" t="s">
        <v>4749</v>
      </c>
      <c r="E4533" s="81" t="s">
        <v>3588</v>
      </c>
      <c r="F4533" s="84">
        <v>678.0</v>
      </c>
      <c r="G4533" s="81" t="s">
        <v>40</v>
      </c>
      <c r="H4533" s="81" t="s">
        <v>6161</v>
      </c>
      <c r="I4533" s="81" t="s">
        <v>6328</v>
      </c>
      <c r="J4533" s="81" t="s">
        <v>224</v>
      </c>
    </row>
    <row r="4534" hidden="1">
      <c r="A4534" s="83" t="s">
        <v>6330</v>
      </c>
      <c r="B4534" s="83" t="s">
        <v>6331</v>
      </c>
      <c r="C4534" s="81" t="s">
        <v>4621</v>
      </c>
      <c r="D4534" s="83" t="s">
        <v>4749</v>
      </c>
      <c r="E4534" s="81" t="s">
        <v>3596</v>
      </c>
      <c r="F4534" s="84">
        <v>679.0</v>
      </c>
      <c r="G4534" s="81" t="s">
        <v>39</v>
      </c>
      <c r="H4534" s="81" t="s">
        <v>6160</v>
      </c>
      <c r="I4534" s="81" t="s">
        <v>3590</v>
      </c>
      <c r="J4534" s="81" t="s">
        <v>224</v>
      </c>
    </row>
    <row r="4535" hidden="1">
      <c r="A4535" s="83" t="s">
        <v>6330</v>
      </c>
      <c r="B4535" s="83" t="s">
        <v>6331</v>
      </c>
      <c r="C4535" s="81" t="s">
        <v>4621</v>
      </c>
      <c r="D4535" s="83" t="s">
        <v>4749</v>
      </c>
      <c r="E4535" s="81" t="s">
        <v>3596</v>
      </c>
      <c r="F4535" s="84">
        <v>679.0</v>
      </c>
      <c r="G4535" s="81" t="s">
        <v>40</v>
      </c>
      <c r="H4535" s="81" t="s">
        <v>6161</v>
      </c>
      <c r="I4535" s="81" t="s">
        <v>6328</v>
      </c>
      <c r="J4535" s="81" t="s">
        <v>224</v>
      </c>
    </row>
    <row r="4536" hidden="1">
      <c r="A4536" s="83" t="s">
        <v>6330</v>
      </c>
      <c r="B4536" s="83" t="s">
        <v>6331</v>
      </c>
      <c r="C4536" s="81" t="s">
        <v>4621</v>
      </c>
      <c r="D4536" s="83" t="s">
        <v>4750</v>
      </c>
      <c r="E4536" s="81" t="s">
        <v>3597</v>
      </c>
      <c r="F4536" s="84">
        <v>680.0</v>
      </c>
      <c r="G4536" s="81" t="s">
        <v>39</v>
      </c>
      <c r="H4536" s="81" t="s">
        <v>6163</v>
      </c>
      <c r="I4536" s="81" t="s">
        <v>3590</v>
      </c>
      <c r="J4536" s="81" t="s">
        <v>224</v>
      </c>
    </row>
    <row r="4537" hidden="1">
      <c r="A4537" s="83" t="s">
        <v>6330</v>
      </c>
      <c r="B4537" s="83" t="s">
        <v>6331</v>
      </c>
      <c r="C4537" s="81" t="s">
        <v>4621</v>
      </c>
      <c r="D4537" s="83" t="s">
        <v>4750</v>
      </c>
      <c r="E4537" s="81" t="s">
        <v>3597</v>
      </c>
      <c r="F4537" s="84">
        <v>680.0</v>
      </c>
      <c r="G4537" s="81" t="s">
        <v>40</v>
      </c>
      <c r="H4537" s="81" t="s">
        <v>6164</v>
      </c>
      <c r="I4537" s="81" t="s">
        <v>6328</v>
      </c>
      <c r="J4537" s="81" t="s">
        <v>224</v>
      </c>
    </row>
    <row r="4538" hidden="1">
      <c r="A4538" s="83" t="s">
        <v>6330</v>
      </c>
      <c r="B4538" s="83" t="s">
        <v>6331</v>
      </c>
      <c r="C4538" s="81" t="s">
        <v>4621</v>
      </c>
      <c r="D4538" s="83" t="s">
        <v>4751</v>
      </c>
      <c r="E4538" s="81" t="s">
        <v>3600</v>
      </c>
      <c r="F4538" s="84">
        <v>681.0</v>
      </c>
      <c r="G4538" s="81" t="s">
        <v>40</v>
      </c>
      <c r="H4538" s="81" t="s">
        <v>49</v>
      </c>
      <c r="I4538" s="81" t="s">
        <v>3604</v>
      </c>
      <c r="J4538" s="81" t="s">
        <v>224</v>
      </c>
    </row>
    <row r="4539" hidden="1">
      <c r="A4539" s="83" t="s">
        <v>6330</v>
      </c>
      <c r="B4539" s="83" t="s">
        <v>6331</v>
      </c>
      <c r="C4539" s="81" t="s">
        <v>4621</v>
      </c>
      <c r="D4539" s="83" t="s">
        <v>4752</v>
      </c>
      <c r="E4539" s="81" t="s">
        <v>3605</v>
      </c>
      <c r="F4539" s="84">
        <v>682.0</v>
      </c>
      <c r="G4539" s="81" t="s">
        <v>40</v>
      </c>
      <c r="H4539" s="81" t="s">
        <v>49</v>
      </c>
      <c r="I4539" s="81" t="s">
        <v>3607</v>
      </c>
      <c r="J4539" s="81" t="s">
        <v>224</v>
      </c>
    </row>
    <row r="4540" hidden="1">
      <c r="A4540" s="83" t="s">
        <v>6330</v>
      </c>
      <c r="B4540" s="83" t="s">
        <v>6331</v>
      </c>
      <c r="C4540" s="81" t="s">
        <v>4621</v>
      </c>
      <c r="D4540" s="83" t="s">
        <v>4753</v>
      </c>
      <c r="E4540" s="81" t="s">
        <v>3608</v>
      </c>
      <c r="F4540" s="84">
        <v>683.0</v>
      </c>
      <c r="G4540" s="81" t="s">
        <v>39</v>
      </c>
      <c r="H4540" s="81" t="s">
        <v>6165</v>
      </c>
      <c r="I4540" s="81" t="s">
        <v>3614</v>
      </c>
      <c r="J4540" s="81" t="s">
        <v>224</v>
      </c>
    </row>
    <row r="4541" hidden="1">
      <c r="A4541" s="83" t="s">
        <v>6330</v>
      </c>
      <c r="B4541" s="83" t="s">
        <v>6331</v>
      </c>
      <c r="C4541" s="81" t="s">
        <v>4621</v>
      </c>
      <c r="D4541" s="83" t="s">
        <v>4753</v>
      </c>
      <c r="E4541" s="81" t="s">
        <v>3608</v>
      </c>
      <c r="F4541" s="84">
        <v>683.0</v>
      </c>
      <c r="G4541" s="81" t="s">
        <v>40</v>
      </c>
      <c r="H4541" s="81" t="s">
        <v>6166</v>
      </c>
      <c r="I4541" s="81" t="s">
        <v>3615</v>
      </c>
      <c r="J4541" s="81" t="s">
        <v>224</v>
      </c>
    </row>
    <row r="4542" hidden="1">
      <c r="A4542" s="83" t="s">
        <v>6330</v>
      </c>
      <c r="B4542" s="83" t="s">
        <v>6331</v>
      </c>
      <c r="C4542" s="81" t="s">
        <v>4621</v>
      </c>
      <c r="D4542" s="83" t="s">
        <v>4754</v>
      </c>
      <c r="E4542" s="81" t="s">
        <v>3621</v>
      </c>
      <c r="F4542" s="84">
        <v>684.0</v>
      </c>
      <c r="G4542" s="81" t="s">
        <v>39</v>
      </c>
      <c r="H4542" s="81" t="s">
        <v>6167</v>
      </c>
      <c r="I4542" s="81" t="s">
        <v>3628</v>
      </c>
      <c r="J4542" s="81" t="s">
        <v>224</v>
      </c>
    </row>
    <row r="4543" hidden="1">
      <c r="A4543" s="83" t="s">
        <v>6330</v>
      </c>
      <c r="B4543" s="83" t="s">
        <v>6331</v>
      </c>
      <c r="C4543" s="81" t="s">
        <v>4621</v>
      </c>
      <c r="D4543" s="83" t="s">
        <v>4754</v>
      </c>
      <c r="E4543" s="81" t="s">
        <v>3621</v>
      </c>
      <c r="F4543" s="84">
        <v>684.0</v>
      </c>
      <c r="G4543" s="81" t="s">
        <v>40</v>
      </c>
      <c r="H4543" s="81" t="s">
        <v>6168</v>
      </c>
      <c r="I4543" s="81" t="s">
        <v>6169</v>
      </c>
      <c r="J4543" s="81" t="s">
        <v>224</v>
      </c>
    </row>
    <row r="4544" hidden="1">
      <c r="A4544" s="83" t="s">
        <v>6330</v>
      </c>
      <c r="B4544" s="83" t="s">
        <v>6331</v>
      </c>
      <c r="C4544" s="81" t="s">
        <v>6333</v>
      </c>
      <c r="D4544" s="83" t="s">
        <v>4754</v>
      </c>
      <c r="E4544" s="81" t="s">
        <v>3621</v>
      </c>
      <c r="F4544" s="84">
        <v>684.0</v>
      </c>
      <c r="G4544" s="81" t="s">
        <v>43</v>
      </c>
      <c r="H4544" s="81" t="s">
        <v>3632</v>
      </c>
      <c r="I4544" s="81" t="s">
        <v>224</v>
      </c>
      <c r="J4544" s="81" t="s">
        <v>5143</v>
      </c>
    </row>
    <row r="4545" hidden="1">
      <c r="A4545" s="83" t="s">
        <v>6330</v>
      </c>
      <c r="B4545" s="83" t="s">
        <v>6331</v>
      </c>
      <c r="C4545" s="81" t="s">
        <v>4621</v>
      </c>
      <c r="D4545" s="83" t="s">
        <v>4755</v>
      </c>
      <c r="E4545" s="81" t="s">
        <v>3633</v>
      </c>
      <c r="F4545" s="84">
        <v>685.0</v>
      </c>
      <c r="G4545" s="81" t="s">
        <v>40</v>
      </c>
      <c r="H4545" s="81" t="s">
        <v>6170</v>
      </c>
      <c r="I4545" s="81" t="s">
        <v>6171</v>
      </c>
      <c r="J4545" s="81" t="s">
        <v>224</v>
      </c>
    </row>
    <row r="4546" hidden="1">
      <c r="A4546" s="83" t="s">
        <v>6330</v>
      </c>
      <c r="B4546" s="83" t="s">
        <v>6331</v>
      </c>
      <c r="C4546" s="81" t="s">
        <v>6333</v>
      </c>
      <c r="D4546" s="83" t="s">
        <v>4755</v>
      </c>
      <c r="E4546" s="81" t="s">
        <v>3633</v>
      </c>
      <c r="F4546" s="84">
        <v>685.0</v>
      </c>
      <c r="G4546" s="81" t="s">
        <v>43</v>
      </c>
      <c r="H4546" s="81" t="s">
        <v>3632</v>
      </c>
      <c r="I4546" s="81" t="s">
        <v>224</v>
      </c>
      <c r="J4546" s="81" t="s">
        <v>5143</v>
      </c>
    </row>
    <row r="4547" hidden="1">
      <c r="A4547" s="83" t="s">
        <v>6330</v>
      </c>
      <c r="B4547" s="83" t="s">
        <v>6331</v>
      </c>
      <c r="C4547" s="81" t="s">
        <v>4621</v>
      </c>
      <c r="D4547" s="83" t="s">
        <v>4754</v>
      </c>
      <c r="E4547" s="81" t="s">
        <v>3636</v>
      </c>
      <c r="F4547" s="84">
        <v>686.0</v>
      </c>
      <c r="G4547" s="81" t="s">
        <v>40</v>
      </c>
      <c r="H4547" s="81" t="s">
        <v>6172</v>
      </c>
      <c r="I4547" s="81" t="s">
        <v>6169</v>
      </c>
      <c r="J4547" s="81" t="s">
        <v>224</v>
      </c>
    </row>
    <row r="4548" hidden="1">
      <c r="A4548" s="83" t="s">
        <v>6330</v>
      </c>
      <c r="B4548" s="83" t="s">
        <v>6331</v>
      </c>
      <c r="C4548" s="81" t="s">
        <v>6333</v>
      </c>
      <c r="D4548" s="83" t="s">
        <v>4754</v>
      </c>
      <c r="E4548" s="81" t="s">
        <v>3636</v>
      </c>
      <c r="F4548" s="84">
        <v>686.0</v>
      </c>
      <c r="G4548" s="81" t="s">
        <v>43</v>
      </c>
      <c r="H4548" s="81" t="s">
        <v>3632</v>
      </c>
      <c r="I4548" s="81" t="s">
        <v>224</v>
      </c>
      <c r="J4548" s="81" t="s">
        <v>5143</v>
      </c>
    </row>
    <row r="4549" hidden="1">
      <c r="A4549" s="83" t="s">
        <v>6330</v>
      </c>
      <c r="B4549" s="83" t="s">
        <v>6331</v>
      </c>
      <c r="C4549" s="81" t="s">
        <v>4621</v>
      </c>
      <c r="D4549" s="83" t="s">
        <v>4756</v>
      </c>
      <c r="E4549" s="81" t="s">
        <v>3637</v>
      </c>
      <c r="F4549" s="84">
        <v>687.0</v>
      </c>
      <c r="G4549" s="81" t="s">
        <v>40</v>
      </c>
      <c r="H4549" s="81" t="s">
        <v>6173</v>
      </c>
      <c r="I4549" s="81" t="s">
        <v>6174</v>
      </c>
      <c r="J4549" s="81" t="s">
        <v>224</v>
      </c>
    </row>
    <row r="4550" hidden="1">
      <c r="A4550" s="83" t="s">
        <v>6330</v>
      </c>
      <c r="B4550" s="83" t="s">
        <v>6331</v>
      </c>
      <c r="C4550" s="81" t="s">
        <v>6333</v>
      </c>
      <c r="D4550" s="83" t="s">
        <v>4756</v>
      </c>
      <c r="E4550" s="81" t="s">
        <v>3637</v>
      </c>
      <c r="F4550" s="84">
        <v>687.0</v>
      </c>
      <c r="G4550" s="81" t="s">
        <v>43</v>
      </c>
      <c r="H4550" s="81" t="s">
        <v>3632</v>
      </c>
      <c r="I4550" s="81" t="s">
        <v>224</v>
      </c>
      <c r="J4550" s="81" t="s">
        <v>5143</v>
      </c>
    </row>
    <row r="4551" hidden="1">
      <c r="A4551" s="83" t="s">
        <v>6330</v>
      </c>
      <c r="B4551" s="83" t="s">
        <v>6331</v>
      </c>
      <c r="C4551" s="81" t="s">
        <v>4621</v>
      </c>
      <c r="D4551" s="83" t="s">
        <v>4757</v>
      </c>
      <c r="E4551" s="81" t="s">
        <v>3640</v>
      </c>
      <c r="F4551" s="84">
        <v>688.0</v>
      </c>
      <c r="G4551" s="81" t="s">
        <v>39</v>
      </c>
      <c r="H4551" s="81" t="s">
        <v>6175</v>
      </c>
      <c r="I4551" s="81" t="s">
        <v>3641</v>
      </c>
      <c r="J4551" s="81" t="s">
        <v>224</v>
      </c>
    </row>
    <row r="4552" hidden="1">
      <c r="A4552" s="83" t="s">
        <v>6330</v>
      </c>
      <c r="B4552" s="83" t="s">
        <v>6331</v>
      </c>
      <c r="C4552" s="81" t="s">
        <v>4621</v>
      </c>
      <c r="D4552" s="83" t="s">
        <v>4757</v>
      </c>
      <c r="E4552" s="81" t="s">
        <v>3640</v>
      </c>
      <c r="F4552" s="84">
        <v>688.0</v>
      </c>
      <c r="G4552" s="81" t="s">
        <v>40</v>
      </c>
      <c r="H4552" s="81" t="s">
        <v>6176</v>
      </c>
      <c r="I4552" s="81" t="s">
        <v>6177</v>
      </c>
      <c r="J4552" s="81" t="s">
        <v>224</v>
      </c>
    </row>
    <row r="4553" hidden="1">
      <c r="A4553" s="83" t="s">
        <v>6330</v>
      </c>
      <c r="B4553" s="83" t="s">
        <v>6331</v>
      </c>
      <c r="C4553" s="81" t="s">
        <v>6333</v>
      </c>
      <c r="D4553" s="83" t="s">
        <v>4757</v>
      </c>
      <c r="E4553" s="81" t="s">
        <v>3640</v>
      </c>
      <c r="F4553" s="84">
        <v>688.0</v>
      </c>
      <c r="G4553" s="81" t="s">
        <v>43</v>
      </c>
      <c r="H4553" s="81" t="s">
        <v>49</v>
      </c>
      <c r="I4553" s="81" t="s">
        <v>224</v>
      </c>
      <c r="J4553" s="81" t="s">
        <v>5143</v>
      </c>
    </row>
    <row r="4554" hidden="1">
      <c r="A4554" s="83" t="s">
        <v>6330</v>
      </c>
      <c r="B4554" s="83" t="s">
        <v>6331</v>
      </c>
      <c r="C4554" s="81" t="s">
        <v>4621</v>
      </c>
      <c r="D4554" s="83" t="s">
        <v>4758</v>
      </c>
      <c r="E4554" s="81" t="s">
        <v>3643</v>
      </c>
      <c r="F4554" s="84">
        <v>689.0</v>
      </c>
      <c r="G4554" s="81" t="s">
        <v>40</v>
      </c>
      <c r="H4554" s="81" t="s">
        <v>49</v>
      </c>
      <c r="I4554" s="81" t="s">
        <v>3645</v>
      </c>
      <c r="J4554" s="81" t="s">
        <v>224</v>
      </c>
    </row>
    <row r="4555" hidden="1">
      <c r="A4555" s="83" t="s">
        <v>6330</v>
      </c>
      <c r="B4555" s="83" t="s">
        <v>6331</v>
      </c>
      <c r="C4555" s="81" t="s">
        <v>6333</v>
      </c>
      <c r="D4555" s="83" t="s">
        <v>4758</v>
      </c>
      <c r="E4555" s="81" t="s">
        <v>3643</v>
      </c>
      <c r="F4555" s="84">
        <v>689.0</v>
      </c>
      <c r="G4555" s="81" t="s">
        <v>43</v>
      </c>
      <c r="H4555" s="81" t="s">
        <v>49</v>
      </c>
      <c r="I4555" s="81" t="s">
        <v>224</v>
      </c>
      <c r="J4555" s="81" t="s">
        <v>5143</v>
      </c>
    </row>
    <row r="4556" hidden="1">
      <c r="A4556" s="83" t="s">
        <v>6330</v>
      </c>
      <c r="B4556" s="83" t="s">
        <v>6331</v>
      </c>
      <c r="C4556" s="81" t="s">
        <v>4621</v>
      </c>
      <c r="D4556" s="83" t="s">
        <v>4759</v>
      </c>
      <c r="E4556" s="81" t="s">
        <v>3646</v>
      </c>
      <c r="F4556" s="84">
        <v>690.0</v>
      </c>
      <c r="G4556" s="81" t="s">
        <v>40</v>
      </c>
      <c r="H4556" s="81" t="s">
        <v>49</v>
      </c>
      <c r="I4556" s="81" t="s">
        <v>3648</v>
      </c>
      <c r="J4556" s="81" t="s">
        <v>224</v>
      </c>
    </row>
    <row r="4557" hidden="1">
      <c r="A4557" s="83" t="s">
        <v>6330</v>
      </c>
      <c r="B4557" s="83" t="s">
        <v>6331</v>
      </c>
      <c r="C4557" s="81" t="s">
        <v>6333</v>
      </c>
      <c r="D4557" s="83" t="s">
        <v>4759</v>
      </c>
      <c r="E4557" s="81" t="s">
        <v>3646</v>
      </c>
      <c r="F4557" s="84">
        <v>690.0</v>
      </c>
      <c r="G4557" s="81" t="s">
        <v>43</v>
      </c>
      <c r="H4557" s="81" t="s">
        <v>49</v>
      </c>
      <c r="I4557" s="81" t="s">
        <v>224</v>
      </c>
      <c r="J4557" s="81" t="s">
        <v>5143</v>
      </c>
    </row>
    <row r="4558" hidden="1">
      <c r="A4558" s="83" t="s">
        <v>6330</v>
      </c>
      <c r="B4558" s="83" t="s">
        <v>6331</v>
      </c>
      <c r="C4558" s="81" t="s">
        <v>4621</v>
      </c>
      <c r="D4558" s="83" t="s">
        <v>4760</v>
      </c>
      <c r="E4558" s="81" t="s">
        <v>3649</v>
      </c>
      <c r="F4558" s="84">
        <v>691.0</v>
      </c>
      <c r="G4558" s="81" t="s">
        <v>40</v>
      </c>
      <c r="H4558" s="81" t="s">
        <v>49</v>
      </c>
      <c r="I4558" s="81" t="s">
        <v>6178</v>
      </c>
      <c r="J4558" s="81" t="s">
        <v>224</v>
      </c>
    </row>
    <row r="4559" hidden="1">
      <c r="A4559" s="83" t="s">
        <v>6330</v>
      </c>
      <c r="B4559" s="83" t="s">
        <v>6331</v>
      </c>
      <c r="C4559" s="81" t="s">
        <v>6333</v>
      </c>
      <c r="D4559" s="83" t="s">
        <v>4760</v>
      </c>
      <c r="E4559" s="81" t="s">
        <v>3649</v>
      </c>
      <c r="F4559" s="84">
        <v>691.0</v>
      </c>
      <c r="G4559" s="81" t="s">
        <v>43</v>
      </c>
      <c r="H4559" s="81" t="s">
        <v>3632</v>
      </c>
      <c r="I4559" s="81" t="s">
        <v>224</v>
      </c>
      <c r="J4559" s="81" t="s">
        <v>5143</v>
      </c>
    </row>
    <row r="4560" hidden="1">
      <c r="A4560" s="83" t="s">
        <v>6330</v>
      </c>
      <c r="B4560" s="83" t="s">
        <v>6331</v>
      </c>
      <c r="C4560" s="81" t="s">
        <v>4621</v>
      </c>
      <c r="D4560" s="83" t="s">
        <v>4760</v>
      </c>
      <c r="E4560" s="81" t="s">
        <v>3652</v>
      </c>
      <c r="F4560" s="84">
        <v>692.0</v>
      </c>
      <c r="G4560" s="81" t="s">
        <v>39</v>
      </c>
      <c r="H4560" s="81" t="s">
        <v>6179</v>
      </c>
      <c r="I4560" s="81" t="s">
        <v>3650</v>
      </c>
      <c r="J4560" s="81" t="s">
        <v>224</v>
      </c>
    </row>
    <row r="4561" hidden="1">
      <c r="A4561" s="83" t="s">
        <v>6330</v>
      </c>
      <c r="B4561" s="83" t="s">
        <v>6331</v>
      </c>
      <c r="C4561" s="81" t="s">
        <v>4621</v>
      </c>
      <c r="D4561" s="83" t="s">
        <v>4760</v>
      </c>
      <c r="E4561" s="81" t="s">
        <v>3652</v>
      </c>
      <c r="F4561" s="84">
        <v>692.0</v>
      </c>
      <c r="G4561" s="81" t="s">
        <v>40</v>
      </c>
      <c r="H4561" s="81" t="s">
        <v>6180</v>
      </c>
      <c r="I4561" s="81" t="s">
        <v>6178</v>
      </c>
      <c r="J4561" s="81" t="s">
        <v>224</v>
      </c>
    </row>
    <row r="4562" hidden="1">
      <c r="A4562" s="83" t="s">
        <v>6330</v>
      </c>
      <c r="B4562" s="83" t="s">
        <v>6331</v>
      </c>
      <c r="C4562" s="81" t="s">
        <v>6333</v>
      </c>
      <c r="D4562" s="83" t="s">
        <v>4760</v>
      </c>
      <c r="E4562" s="81" t="s">
        <v>3652</v>
      </c>
      <c r="F4562" s="84">
        <v>692.0</v>
      </c>
      <c r="G4562" s="81" t="s">
        <v>43</v>
      </c>
      <c r="H4562" s="81" t="s">
        <v>3632</v>
      </c>
      <c r="I4562" s="81" t="s">
        <v>224</v>
      </c>
      <c r="J4562" s="81" t="s">
        <v>5143</v>
      </c>
    </row>
    <row r="4563" hidden="1">
      <c r="A4563" s="83" t="s">
        <v>6330</v>
      </c>
      <c r="B4563" s="83" t="s">
        <v>6331</v>
      </c>
      <c r="C4563" s="81" t="s">
        <v>4621</v>
      </c>
      <c r="D4563" s="83" t="s">
        <v>4761</v>
      </c>
      <c r="E4563" s="81" t="s">
        <v>3653</v>
      </c>
      <c r="F4563" s="84">
        <v>693.0</v>
      </c>
      <c r="G4563" s="81" t="s">
        <v>40</v>
      </c>
      <c r="H4563" s="81" t="s">
        <v>6181</v>
      </c>
      <c r="I4563" s="81" t="s">
        <v>6182</v>
      </c>
      <c r="J4563" s="81" t="s">
        <v>224</v>
      </c>
    </row>
    <row r="4564" hidden="1">
      <c r="A4564" s="83" t="s">
        <v>6330</v>
      </c>
      <c r="B4564" s="83" t="s">
        <v>6331</v>
      </c>
      <c r="C4564" s="81" t="s">
        <v>6333</v>
      </c>
      <c r="D4564" s="83" t="s">
        <v>4761</v>
      </c>
      <c r="E4564" s="81" t="s">
        <v>3653</v>
      </c>
      <c r="F4564" s="84">
        <v>693.0</v>
      </c>
      <c r="G4564" s="81" t="s">
        <v>43</v>
      </c>
      <c r="H4564" s="81" t="s">
        <v>3632</v>
      </c>
      <c r="I4564" s="81" t="s">
        <v>224</v>
      </c>
      <c r="J4564" s="81" t="s">
        <v>5143</v>
      </c>
    </row>
    <row r="4565" hidden="1">
      <c r="A4565" s="83" t="s">
        <v>6330</v>
      </c>
      <c r="B4565" s="83" t="s">
        <v>6331</v>
      </c>
      <c r="C4565" s="81" t="s">
        <v>4621</v>
      </c>
      <c r="D4565" s="83" t="s">
        <v>4762</v>
      </c>
      <c r="E4565" s="81" t="s">
        <v>3656</v>
      </c>
      <c r="F4565" s="84">
        <v>694.0</v>
      </c>
      <c r="G4565" s="81" t="s">
        <v>40</v>
      </c>
      <c r="H4565" s="81" t="s">
        <v>49</v>
      </c>
      <c r="I4565" s="81" t="s">
        <v>3658</v>
      </c>
      <c r="J4565" s="81" t="s">
        <v>224</v>
      </c>
    </row>
    <row r="4566" hidden="1">
      <c r="A4566" s="83" t="s">
        <v>6330</v>
      </c>
      <c r="B4566" s="83" t="s">
        <v>6331</v>
      </c>
      <c r="C4566" s="81" t="s">
        <v>6333</v>
      </c>
      <c r="D4566" s="83" t="s">
        <v>4762</v>
      </c>
      <c r="E4566" s="81" t="s">
        <v>3656</v>
      </c>
      <c r="F4566" s="84">
        <v>694.0</v>
      </c>
      <c r="G4566" s="81" t="s">
        <v>43</v>
      </c>
      <c r="H4566" s="81" t="s">
        <v>49</v>
      </c>
      <c r="I4566" s="81" t="s">
        <v>224</v>
      </c>
      <c r="J4566" s="81" t="s">
        <v>5143</v>
      </c>
    </row>
    <row r="4567" hidden="1">
      <c r="A4567" s="83" t="s">
        <v>6330</v>
      </c>
      <c r="B4567" s="83" t="s">
        <v>6331</v>
      </c>
      <c r="C4567" s="81" t="s">
        <v>4621</v>
      </c>
      <c r="D4567" s="83" t="s">
        <v>4763</v>
      </c>
      <c r="E4567" s="81" t="s">
        <v>3659</v>
      </c>
      <c r="F4567" s="84">
        <v>695.0</v>
      </c>
      <c r="G4567" s="81" t="s">
        <v>40</v>
      </c>
      <c r="H4567" s="81" t="s">
        <v>3660</v>
      </c>
      <c r="I4567" s="81" t="s">
        <v>3661</v>
      </c>
      <c r="J4567" s="81" t="s">
        <v>224</v>
      </c>
    </row>
    <row r="4568" hidden="1">
      <c r="A4568" s="83" t="s">
        <v>6330</v>
      </c>
      <c r="B4568" s="83" t="s">
        <v>6331</v>
      </c>
      <c r="C4568" s="81" t="s">
        <v>6333</v>
      </c>
      <c r="D4568" s="83" t="s">
        <v>4763</v>
      </c>
      <c r="E4568" s="81" t="s">
        <v>3659</v>
      </c>
      <c r="F4568" s="84">
        <v>695.0</v>
      </c>
      <c r="G4568" s="81" t="s">
        <v>43</v>
      </c>
      <c r="H4568" s="81" t="s">
        <v>49</v>
      </c>
      <c r="I4568" s="81" t="s">
        <v>224</v>
      </c>
      <c r="J4568" s="81" t="s">
        <v>5143</v>
      </c>
    </row>
    <row r="4569" hidden="1">
      <c r="A4569" s="83" t="s">
        <v>6330</v>
      </c>
      <c r="B4569" s="83" t="s">
        <v>6331</v>
      </c>
      <c r="C4569" s="81" t="s">
        <v>4621</v>
      </c>
      <c r="D4569" s="83" t="s">
        <v>4764</v>
      </c>
      <c r="E4569" s="81" t="s">
        <v>3662</v>
      </c>
      <c r="F4569" s="84">
        <v>696.0</v>
      </c>
      <c r="G4569" s="81" t="s">
        <v>40</v>
      </c>
      <c r="H4569" s="81" t="s">
        <v>6183</v>
      </c>
      <c r="I4569" s="81" t="s">
        <v>6184</v>
      </c>
      <c r="J4569" s="81" t="s">
        <v>224</v>
      </c>
    </row>
    <row r="4570" hidden="1">
      <c r="A4570" s="83" t="s">
        <v>6330</v>
      </c>
      <c r="B4570" s="83" t="s">
        <v>6331</v>
      </c>
      <c r="C4570" s="81" t="s">
        <v>6333</v>
      </c>
      <c r="D4570" s="83" t="s">
        <v>4764</v>
      </c>
      <c r="E4570" s="81" t="s">
        <v>3662</v>
      </c>
      <c r="F4570" s="84">
        <v>696.0</v>
      </c>
      <c r="G4570" s="81" t="s">
        <v>43</v>
      </c>
      <c r="H4570" s="81" t="s">
        <v>3671</v>
      </c>
      <c r="I4570" s="81" t="s">
        <v>224</v>
      </c>
      <c r="J4570" s="81" t="s">
        <v>5143</v>
      </c>
    </row>
    <row r="4571" hidden="1">
      <c r="A4571" s="83" t="s">
        <v>6330</v>
      </c>
      <c r="B4571" s="83" t="s">
        <v>6331</v>
      </c>
      <c r="C4571" s="81" t="s">
        <v>4621</v>
      </c>
      <c r="D4571" s="83" t="s">
        <v>4764</v>
      </c>
      <c r="E4571" s="81" t="s">
        <v>3672</v>
      </c>
      <c r="F4571" s="84">
        <v>697.0</v>
      </c>
      <c r="G4571" s="81" t="s">
        <v>40</v>
      </c>
      <c r="H4571" s="81" t="s">
        <v>6183</v>
      </c>
      <c r="I4571" s="81" t="s">
        <v>6184</v>
      </c>
      <c r="J4571" s="81" t="s">
        <v>224</v>
      </c>
    </row>
    <row r="4572" hidden="1">
      <c r="A4572" s="83" t="s">
        <v>6330</v>
      </c>
      <c r="B4572" s="83" t="s">
        <v>6331</v>
      </c>
      <c r="C4572" s="81" t="s">
        <v>6333</v>
      </c>
      <c r="D4572" s="83" t="s">
        <v>4764</v>
      </c>
      <c r="E4572" s="81" t="s">
        <v>3672</v>
      </c>
      <c r="F4572" s="84">
        <v>697.0</v>
      </c>
      <c r="G4572" s="81" t="s">
        <v>43</v>
      </c>
      <c r="H4572" s="81" t="s">
        <v>3671</v>
      </c>
      <c r="I4572" s="81" t="s">
        <v>224</v>
      </c>
      <c r="J4572" s="81" t="s">
        <v>5143</v>
      </c>
    </row>
    <row r="4573" hidden="1">
      <c r="A4573" s="83" t="s">
        <v>6330</v>
      </c>
      <c r="B4573" s="83" t="s">
        <v>6331</v>
      </c>
      <c r="C4573" s="81" t="s">
        <v>4621</v>
      </c>
      <c r="D4573" s="83" t="s">
        <v>4765</v>
      </c>
      <c r="E4573" s="81" t="s">
        <v>3673</v>
      </c>
      <c r="F4573" s="84">
        <v>698.0</v>
      </c>
      <c r="G4573" s="81" t="s">
        <v>40</v>
      </c>
      <c r="H4573" s="81" t="s">
        <v>6185</v>
      </c>
      <c r="I4573" s="81" t="s">
        <v>6186</v>
      </c>
      <c r="J4573" s="81" t="s">
        <v>224</v>
      </c>
    </row>
    <row r="4574" hidden="1">
      <c r="A4574" s="83" t="s">
        <v>6330</v>
      </c>
      <c r="B4574" s="83" t="s">
        <v>6331</v>
      </c>
      <c r="C4574" s="81" t="s">
        <v>6333</v>
      </c>
      <c r="D4574" s="83" t="s">
        <v>4765</v>
      </c>
      <c r="E4574" s="81" t="s">
        <v>3673</v>
      </c>
      <c r="F4574" s="84">
        <v>698.0</v>
      </c>
      <c r="G4574" s="81" t="s">
        <v>43</v>
      </c>
      <c r="H4574" s="81" t="s">
        <v>3671</v>
      </c>
      <c r="I4574" s="81" t="s">
        <v>224</v>
      </c>
      <c r="J4574" s="81" t="s">
        <v>5143</v>
      </c>
    </row>
    <row r="4575" hidden="1">
      <c r="A4575" s="83" t="s">
        <v>6330</v>
      </c>
      <c r="B4575" s="83" t="s">
        <v>6331</v>
      </c>
      <c r="C4575" s="81" t="s">
        <v>4621</v>
      </c>
      <c r="D4575" s="83" t="s">
        <v>4766</v>
      </c>
      <c r="E4575" s="81" t="s">
        <v>3676</v>
      </c>
      <c r="F4575" s="84">
        <v>699.0</v>
      </c>
      <c r="G4575" s="81" t="s">
        <v>40</v>
      </c>
      <c r="H4575" s="81" t="s">
        <v>6187</v>
      </c>
      <c r="I4575" s="81" t="s">
        <v>6188</v>
      </c>
      <c r="J4575" s="81" t="s">
        <v>224</v>
      </c>
    </row>
    <row r="4576" hidden="1">
      <c r="A4576" s="83" t="s">
        <v>6330</v>
      </c>
      <c r="B4576" s="83" t="s">
        <v>6331</v>
      </c>
      <c r="C4576" s="81" t="s">
        <v>6333</v>
      </c>
      <c r="D4576" s="83" t="s">
        <v>4766</v>
      </c>
      <c r="E4576" s="81" t="s">
        <v>3676</v>
      </c>
      <c r="F4576" s="84">
        <v>699.0</v>
      </c>
      <c r="G4576" s="81" t="s">
        <v>43</v>
      </c>
      <c r="H4576" s="81" t="s">
        <v>3671</v>
      </c>
      <c r="I4576" s="81" t="s">
        <v>224</v>
      </c>
      <c r="J4576" s="81" t="s">
        <v>5143</v>
      </c>
    </row>
    <row r="4577" hidden="1">
      <c r="A4577" s="83" t="s">
        <v>6330</v>
      </c>
      <c r="B4577" s="83" t="s">
        <v>6331</v>
      </c>
      <c r="C4577" s="81" t="s">
        <v>4621</v>
      </c>
      <c r="D4577" s="83" t="s">
        <v>4767</v>
      </c>
      <c r="E4577" s="81" t="s">
        <v>3679</v>
      </c>
      <c r="F4577" s="84">
        <v>700.0</v>
      </c>
      <c r="G4577" s="81" t="s">
        <v>39</v>
      </c>
      <c r="H4577" s="81" t="s">
        <v>6189</v>
      </c>
      <c r="I4577" s="81" t="s">
        <v>3680</v>
      </c>
      <c r="J4577" s="81" t="s">
        <v>224</v>
      </c>
    </row>
    <row r="4578" hidden="1">
      <c r="A4578" s="83" t="s">
        <v>6330</v>
      </c>
      <c r="B4578" s="83" t="s">
        <v>6331</v>
      </c>
      <c r="C4578" s="81" t="s">
        <v>4621</v>
      </c>
      <c r="D4578" s="83" t="s">
        <v>4767</v>
      </c>
      <c r="E4578" s="81" t="s">
        <v>3679</v>
      </c>
      <c r="F4578" s="84">
        <v>700.0</v>
      </c>
      <c r="G4578" s="81" t="s">
        <v>40</v>
      </c>
      <c r="H4578" s="81" t="s">
        <v>6190</v>
      </c>
      <c r="I4578" s="81" t="s">
        <v>6191</v>
      </c>
      <c r="J4578" s="81" t="s">
        <v>224</v>
      </c>
    </row>
    <row r="4579" hidden="1">
      <c r="A4579" s="83" t="s">
        <v>6330</v>
      </c>
      <c r="B4579" s="83" t="s">
        <v>6331</v>
      </c>
      <c r="C4579" s="81" t="s">
        <v>6333</v>
      </c>
      <c r="D4579" s="83" t="s">
        <v>4767</v>
      </c>
      <c r="E4579" s="81" t="s">
        <v>3679</v>
      </c>
      <c r="F4579" s="84">
        <v>700.0</v>
      </c>
      <c r="G4579" s="81" t="s">
        <v>43</v>
      </c>
      <c r="H4579" s="81" t="s">
        <v>49</v>
      </c>
      <c r="I4579" s="81" t="s">
        <v>224</v>
      </c>
      <c r="J4579" s="81" t="s">
        <v>5143</v>
      </c>
    </row>
    <row r="4580" hidden="1">
      <c r="A4580" s="83" t="s">
        <v>6330</v>
      </c>
      <c r="B4580" s="83" t="s">
        <v>6331</v>
      </c>
      <c r="C4580" s="81" t="s">
        <v>4621</v>
      </c>
      <c r="D4580" s="83" t="s">
        <v>4768</v>
      </c>
      <c r="E4580" s="81" t="s">
        <v>3682</v>
      </c>
      <c r="F4580" s="84">
        <v>701.0</v>
      </c>
      <c r="G4580" s="81" t="s">
        <v>40</v>
      </c>
      <c r="H4580" s="81" t="s">
        <v>49</v>
      </c>
      <c r="I4580" s="81" t="s">
        <v>3684</v>
      </c>
      <c r="J4580" s="81" t="s">
        <v>224</v>
      </c>
    </row>
    <row r="4581" hidden="1">
      <c r="A4581" s="83" t="s">
        <v>6330</v>
      </c>
      <c r="B4581" s="83" t="s">
        <v>6331</v>
      </c>
      <c r="C4581" s="81" t="s">
        <v>6333</v>
      </c>
      <c r="D4581" s="83" t="s">
        <v>4768</v>
      </c>
      <c r="E4581" s="81" t="s">
        <v>3682</v>
      </c>
      <c r="F4581" s="84">
        <v>701.0</v>
      </c>
      <c r="G4581" s="81" t="s">
        <v>43</v>
      </c>
      <c r="H4581" s="81" t="s">
        <v>49</v>
      </c>
      <c r="I4581" s="81" t="s">
        <v>224</v>
      </c>
      <c r="J4581" s="81" t="s">
        <v>5143</v>
      </c>
    </row>
    <row r="4582" hidden="1">
      <c r="A4582" s="83" t="s">
        <v>6330</v>
      </c>
      <c r="B4582" s="83" t="s">
        <v>6331</v>
      </c>
      <c r="C4582" s="81" t="s">
        <v>4621</v>
      </c>
      <c r="D4582" s="83" t="s">
        <v>4769</v>
      </c>
      <c r="E4582" s="81" t="s">
        <v>3685</v>
      </c>
      <c r="F4582" s="84">
        <v>702.0</v>
      </c>
      <c r="G4582" s="81" t="s">
        <v>40</v>
      </c>
      <c r="H4582" s="81" t="s">
        <v>49</v>
      </c>
      <c r="I4582" s="81" t="s">
        <v>3687</v>
      </c>
      <c r="J4582" s="81" t="s">
        <v>224</v>
      </c>
    </row>
    <row r="4583" hidden="1">
      <c r="A4583" s="83" t="s">
        <v>6330</v>
      </c>
      <c r="B4583" s="83" t="s">
        <v>6331</v>
      </c>
      <c r="C4583" s="81" t="s">
        <v>6333</v>
      </c>
      <c r="D4583" s="83" t="s">
        <v>4769</v>
      </c>
      <c r="E4583" s="81" t="s">
        <v>3685</v>
      </c>
      <c r="F4583" s="84">
        <v>702.0</v>
      </c>
      <c r="G4583" s="81" t="s">
        <v>43</v>
      </c>
      <c r="H4583" s="81" t="s">
        <v>49</v>
      </c>
      <c r="I4583" s="81" t="s">
        <v>224</v>
      </c>
      <c r="J4583" s="81" t="s">
        <v>5143</v>
      </c>
    </row>
    <row r="4584" hidden="1">
      <c r="A4584" s="83" t="s">
        <v>6330</v>
      </c>
      <c r="B4584" s="83" t="s">
        <v>6331</v>
      </c>
      <c r="C4584" s="81" t="s">
        <v>4621</v>
      </c>
      <c r="D4584" s="83" t="s">
        <v>4770</v>
      </c>
      <c r="E4584" s="81" t="s">
        <v>3688</v>
      </c>
      <c r="F4584" s="84">
        <v>703.0</v>
      </c>
      <c r="G4584" s="81" t="s">
        <v>39</v>
      </c>
      <c r="H4584" s="81" t="s">
        <v>6192</v>
      </c>
      <c r="I4584" s="81" t="s">
        <v>3693</v>
      </c>
      <c r="J4584" s="81" t="s">
        <v>224</v>
      </c>
    </row>
    <row r="4585" hidden="1">
      <c r="A4585" s="83" t="s">
        <v>6330</v>
      </c>
      <c r="B4585" s="83" t="s">
        <v>6331</v>
      </c>
      <c r="C4585" s="81" t="s">
        <v>4621</v>
      </c>
      <c r="D4585" s="83" t="s">
        <v>4770</v>
      </c>
      <c r="E4585" s="81" t="s">
        <v>3688</v>
      </c>
      <c r="F4585" s="84">
        <v>703.0</v>
      </c>
      <c r="G4585" s="81" t="s">
        <v>40</v>
      </c>
      <c r="H4585" s="81" t="s">
        <v>6193</v>
      </c>
      <c r="I4585" s="81" t="s">
        <v>6194</v>
      </c>
      <c r="J4585" s="81" t="s">
        <v>224</v>
      </c>
    </row>
    <row r="4586" hidden="1">
      <c r="A4586" s="83" t="s">
        <v>6330</v>
      </c>
      <c r="B4586" s="83" t="s">
        <v>6331</v>
      </c>
      <c r="C4586" s="81" t="s">
        <v>6333</v>
      </c>
      <c r="D4586" s="83" t="s">
        <v>4770</v>
      </c>
      <c r="E4586" s="81" t="s">
        <v>3688</v>
      </c>
      <c r="F4586" s="84">
        <v>703.0</v>
      </c>
      <c r="G4586" s="81" t="s">
        <v>43</v>
      </c>
      <c r="H4586" s="81" t="s">
        <v>6195</v>
      </c>
      <c r="I4586" s="81" t="s">
        <v>224</v>
      </c>
      <c r="J4586" s="81" t="s">
        <v>5143</v>
      </c>
    </row>
    <row r="4587" hidden="1">
      <c r="A4587" s="83" t="s">
        <v>6330</v>
      </c>
      <c r="B4587" s="83" t="s">
        <v>6331</v>
      </c>
      <c r="C4587" s="81" t="s">
        <v>4621</v>
      </c>
      <c r="D4587" s="83" t="s">
        <v>4770</v>
      </c>
      <c r="E4587" s="81" t="s">
        <v>3697</v>
      </c>
      <c r="F4587" s="84">
        <v>704.0</v>
      </c>
      <c r="G4587" s="81" t="s">
        <v>39</v>
      </c>
      <c r="H4587" s="81" t="s">
        <v>6192</v>
      </c>
      <c r="I4587" s="81" t="s">
        <v>3693</v>
      </c>
      <c r="J4587" s="81" t="s">
        <v>224</v>
      </c>
    </row>
    <row r="4588" hidden="1">
      <c r="A4588" s="83" t="s">
        <v>6330</v>
      </c>
      <c r="B4588" s="83" t="s">
        <v>6331</v>
      </c>
      <c r="C4588" s="81" t="s">
        <v>4621</v>
      </c>
      <c r="D4588" s="83" t="s">
        <v>4770</v>
      </c>
      <c r="E4588" s="81" t="s">
        <v>3697</v>
      </c>
      <c r="F4588" s="84">
        <v>704.0</v>
      </c>
      <c r="G4588" s="81" t="s">
        <v>40</v>
      </c>
      <c r="H4588" s="81" t="s">
        <v>6193</v>
      </c>
      <c r="I4588" s="81" t="s">
        <v>6194</v>
      </c>
      <c r="J4588" s="81" t="s">
        <v>224</v>
      </c>
    </row>
    <row r="4589" hidden="1">
      <c r="A4589" s="83" t="s">
        <v>6330</v>
      </c>
      <c r="B4589" s="83" t="s">
        <v>6331</v>
      </c>
      <c r="C4589" s="81" t="s">
        <v>6333</v>
      </c>
      <c r="D4589" s="83" t="s">
        <v>4770</v>
      </c>
      <c r="E4589" s="81" t="s">
        <v>3697</v>
      </c>
      <c r="F4589" s="84">
        <v>704.0</v>
      </c>
      <c r="G4589" s="81" t="s">
        <v>43</v>
      </c>
      <c r="H4589" s="81" t="s">
        <v>6195</v>
      </c>
      <c r="I4589" s="81" t="s">
        <v>224</v>
      </c>
      <c r="J4589" s="81" t="s">
        <v>5143</v>
      </c>
    </row>
    <row r="4590" hidden="1">
      <c r="A4590" s="83" t="s">
        <v>6330</v>
      </c>
      <c r="B4590" s="83" t="s">
        <v>6331</v>
      </c>
      <c r="C4590" s="81" t="s">
        <v>4621</v>
      </c>
      <c r="D4590" s="83" t="s">
        <v>4771</v>
      </c>
      <c r="E4590" s="81" t="s">
        <v>3698</v>
      </c>
      <c r="F4590" s="84">
        <v>705.0</v>
      </c>
      <c r="G4590" s="81" t="s">
        <v>39</v>
      </c>
      <c r="H4590" s="81" t="s">
        <v>6196</v>
      </c>
      <c r="I4590" s="81" t="s">
        <v>3699</v>
      </c>
      <c r="J4590" s="81" t="s">
        <v>224</v>
      </c>
    </row>
    <row r="4591" hidden="1">
      <c r="A4591" s="83" t="s">
        <v>6330</v>
      </c>
      <c r="B4591" s="83" t="s">
        <v>6331</v>
      </c>
      <c r="C4591" s="81" t="s">
        <v>4621</v>
      </c>
      <c r="D4591" s="83" t="s">
        <v>4771</v>
      </c>
      <c r="E4591" s="81" t="s">
        <v>3698</v>
      </c>
      <c r="F4591" s="84">
        <v>705.0</v>
      </c>
      <c r="G4591" s="81" t="s">
        <v>40</v>
      </c>
      <c r="H4591" s="81" t="s">
        <v>6197</v>
      </c>
      <c r="I4591" s="81" t="s">
        <v>6198</v>
      </c>
      <c r="J4591" s="81" t="s">
        <v>224</v>
      </c>
    </row>
    <row r="4592" hidden="1">
      <c r="A4592" s="83" t="s">
        <v>6330</v>
      </c>
      <c r="B4592" s="83" t="s">
        <v>6331</v>
      </c>
      <c r="C4592" s="81" t="s">
        <v>6333</v>
      </c>
      <c r="D4592" s="83" t="s">
        <v>4771</v>
      </c>
      <c r="E4592" s="81" t="s">
        <v>3698</v>
      </c>
      <c r="F4592" s="84">
        <v>705.0</v>
      </c>
      <c r="G4592" s="81" t="s">
        <v>43</v>
      </c>
      <c r="H4592" s="81" t="s">
        <v>6195</v>
      </c>
      <c r="I4592" s="81" t="s">
        <v>224</v>
      </c>
      <c r="J4592" s="81" t="s">
        <v>5143</v>
      </c>
    </row>
    <row r="4593" hidden="1">
      <c r="A4593" s="83" t="s">
        <v>6330</v>
      </c>
      <c r="B4593" s="83" t="s">
        <v>6331</v>
      </c>
      <c r="C4593" s="81" t="s">
        <v>4621</v>
      </c>
      <c r="D4593" s="83" t="s">
        <v>4772</v>
      </c>
      <c r="E4593" s="81" t="s">
        <v>3701</v>
      </c>
      <c r="F4593" s="84">
        <v>706.0</v>
      </c>
      <c r="G4593" s="81" t="s">
        <v>39</v>
      </c>
      <c r="H4593" s="81" t="s">
        <v>6199</v>
      </c>
      <c r="I4593" s="81" t="s">
        <v>3702</v>
      </c>
      <c r="J4593" s="81" t="s">
        <v>224</v>
      </c>
    </row>
    <row r="4594" hidden="1">
      <c r="A4594" s="83" t="s">
        <v>6330</v>
      </c>
      <c r="B4594" s="83" t="s">
        <v>6331</v>
      </c>
      <c r="C4594" s="81" t="s">
        <v>4621</v>
      </c>
      <c r="D4594" s="83" t="s">
        <v>4772</v>
      </c>
      <c r="E4594" s="81" t="s">
        <v>3701</v>
      </c>
      <c r="F4594" s="84">
        <v>706.0</v>
      </c>
      <c r="G4594" s="81" t="s">
        <v>40</v>
      </c>
      <c r="H4594" s="81" t="s">
        <v>6200</v>
      </c>
      <c r="I4594" s="81" t="s">
        <v>6201</v>
      </c>
      <c r="J4594" s="81" t="s">
        <v>224</v>
      </c>
    </row>
    <row r="4595" hidden="1">
      <c r="A4595" s="83" t="s">
        <v>6330</v>
      </c>
      <c r="B4595" s="83" t="s">
        <v>6331</v>
      </c>
      <c r="C4595" s="81" t="s">
        <v>6333</v>
      </c>
      <c r="D4595" s="83" t="s">
        <v>4772</v>
      </c>
      <c r="E4595" s="81" t="s">
        <v>3701</v>
      </c>
      <c r="F4595" s="84">
        <v>706.0</v>
      </c>
      <c r="G4595" s="81" t="s">
        <v>43</v>
      </c>
      <c r="H4595" s="81" t="s">
        <v>6195</v>
      </c>
      <c r="I4595" s="81" t="s">
        <v>224</v>
      </c>
      <c r="J4595" s="81" t="s">
        <v>5143</v>
      </c>
    </row>
    <row r="4596" hidden="1">
      <c r="A4596" s="83" t="s">
        <v>6330</v>
      </c>
      <c r="B4596" s="83" t="s">
        <v>6331</v>
      </c>
      <c r="C4596" s="81" t="s">
        <v>4621</v>
      </c>
      <c r="D4596" s="83" t="s">
        <v>4773</v>
      </c>
      <c r="E4596" s="81" t="s">
        <v>3704</v>
      </c>
      <c r="F4596" s="84">
        <v>707.0</v>
      </c>
      <c r="G4596" s="81" t="s">
        <v>39</v>
      </c>
      <c r="H4596" s="81" t="s">
        <v>6202</v>
      </c>
      <c r="I4596" s="81" t="s">
        <v>3705</v>
      </c>
      <c r="J4596" s="81" t="s">
        <v>224</v>
      </c>
    </row>
    <row r="4597" hidden="1">
      <c r="A4597" s="83" t="s">
        <v>6330</v>
      </c>
      <c r="B4597" s="83" t="s">
        <v>6331</v>
      </c>
      <c r="C4597" s="81" t="s">
        <v>4621</v>
      </c>
      <c r="D4597" s="83" t="s">
        <v>4773</v>
      </c>
      <c r="E4597" s="81" t="s">
        <v>3704</v>
      </c>
      <c r="F4597" s="84">
        <v>707.0</v>
      </c>
      <c r="G4597" s="81" t="s">
        <v>40</v>
      </c>
      <c r="H4597" s="81" t="s">
        <v>6203</v>
      </c>
      <c r="I4597" s="81" t="s">
        <v>6204</v>
      </c>
      <c r="J4597" s="81" t="s">
        <v>224</v>
      </c>
    </row>
    <row r="4598" hidden="1">
      <c r="A4598" s="83" t="s">
        <v>6330</v>
      </c>
      <c r="B4598" s="83" t="s">
        <v>6331</v>
      </c>
      <c r="C4598" s="81" t="s">
        <v>6333</v>
      </c>
      <c r="D4598" s="83" t="s">
        <v>4773</v>
      </c>
      <c r="E4598" s="81" t="s">
        <v>3704</v>
      </c>
      <c r="F4598" s="84">
        <v>707.0</v>
      </c>
      <c r="G4598" s="81" t="s">
        <v>43</v>
      </c>
      <c r="H4598" s="81" t="s">
        <v>49</v>
      </c>
      <c r="I4598" s="81" t="s">
        <v>224</v>
      </c>
      <c r="J4598" s="81" t="s">
        <v>5143</v>
      </c>
    </row>
    <row r="4599" hidden="1">
      <c r="A4599" s="83" t="s">
        <v>6330</v>
      </c>
      <c r="B4599" s="83" t="s">
        <v>6331</v>
      </c>
      <c r="C4599" s="81" t="s">
        <v>4621</v>
      </c>
      <c r="D4599" s="83" t="s">
        <v>4774</v>
      </c>
      <c r="E4599" s="81" t="s">
        <v>3707</v>
      </c>
      <c r="F4599" s="84">
        <v>708.0</v>
      </c>
      <c r="G4599" s="81" t="s">
        <v>40</v>
      </c>
      <c r="H4599" s="81" t="s">
        <v>49</v>
      </c>
      <c r="I4599" s="81" t="s">
        <v>3709</v>
      </c>
      <c r="J4599" s="81" t="s">
        <v>224</v>
      </c>
    </row>
    <row r="4600" hidden="1">
      <c r="A4600" s="83" t="s">
        <v>6330</v>
      </c>
      <c r="B4600" s="83" t="s">
        <v>6331</v>
      </c>
      <c r="C4600" s="81" t="s">
        <v>6333</v>
      </c>
      <c r="D4600" s="83" t="s">
        <v>4774</v>
      </c>
      <c r="E4600" s="81" t="s">
        <v>3707</v>
      </c>
      <c r="F4600" s="84">
        <v>708.0</v>
      </c>
      <c r="G4600" s="81" t="s">
        <v>43</v>
      </c>
      <c r="H4600" s="81" t="s">
        <v>49</v>
      </c>
      <c r="I4600" s="81" t="s">
        <v>224</v>
      </c>
      <c r="J4600" s="81" t="s">
        <v>5143</v>
      </c>
    </row>
    <row r="4601" hidden="1">
      <c r="A4601" s="83" t="s">
        <v>6330</v>
      </c>
      <c r="B4601" s="83" t="s">
        <v>6331</v>
      </c>
      <c r="C4601" s="81" t="s">
        <v>4621</v>
      </c>
      <c r="D4601" s="83" t="s">
        <v>4775</v>
      </c>
      <c r="E4601" s="81" t="s">
        <v>3710</v>
      </c>
      <c r="F4601" s="84">
        <v>709.0</v>
      </c>
      <c r="G4601" s="81" t="s">
        <v>40</v>
      </c>
      <c r="H4601" s="81" t="s">
        <v>49</v>
      </c>
      <c r="I4601" s="81" t="s">
        <v>3712</v>
      </c>
      <c r="J4601" s="81" t="s">
        <v>224</v>
      </c>
    </row>
    <row r="4602" hidden="1">
      <c r="A4602" s="83" t="s">
        <v>6330</v>
      </c>
      <c r="B4602" s="83" t="s">
        <v>6331</v>
      </c>
      <c r="C4602" s="81" t="s">
        <v>6333</v>
      </c>
      <c r="D4602" s="83" t="s">
        <v>4775</v>
      </c>
      <c r="E4602" s="81" t="s">
        <v>3710</v>
      </c>
      <c r="F4602" s="84">
        <v>709.0</v>
      </c>
      <c r="G4602" s="81" t="s">
        <v>43</v>
      </c>
      <c r="H4602" s="81" t="s">
        <v>49</v>
      </c>
      <c r="I4602" s="81" t="s">
        <v>224</v>
      </c>
      <c r="J4602" s="81" t="s">
        <v>5143</v>
      </c>
    </row>
    <row r="4603" hidden="1">
      <c r="A4603" s="83" t="s">
        <v>6330</v>
      </c>
      <c r="B4603" s="83" t="s">
        <v>6331</v>
      </c>
      <c r="C4603" s="81" t="s">
        <v>4621</v>
      </c>
      <c r="D4603" s="83" t="s">
        <v>4776</v>
      </c>
      <c r="E4603" s="81" t="s">
        <v>3713</v>
      </c>
      <c r="F4603" s="84">
        <v>710.0</v>
      </c>
      <c r="G4603" s="81" t="s">
        <v>39</v>
      </c>
      <c r="H4603" s="81" t="s">
        <v>6205</v>
      </c>
      <c r="I4603" s="81" t="s">
        <v>3714</v>
      </c>
      <c r="J4603" s="81" t="s">
        <v>224</v>
      </c>
    </row>
    <row r="4604" hidden="1">
      <c r="A4604" s="83" t="s">
        <v>6330</v>
      </c>
      <c r="B4604" s="83" t="s">
        <v>6331</v>
      </c>
      <c r="C4604" s="81" t="s">
        <v>4621</v>
      </c>
      <c r="D4604" s="83" t="s">
        <v>4776</v>
      </c>
      <c r="E4604" s="81" t="s">
        <v>3713</v>
      </c>
      <c r="F4604" s="84">
        <v>710.0</v>
      </c>
      <c r="G4604" s="81" t="s">
        <v>40</v>
      </c>
      <c r="H4604" s="81" t="s">
        <v>6206</v>
      </c>
      <c r="I4604" s="81" t="s">
        <v>6207</v>
      </c>
      <c r="J4604" s="81" t="s">
        <v>224</v>
      </c>
    </row>
    <row r="4605" hidden="1">
      <c r="A4605" s="83" t="s">
        <v>6330</v>
      </c>
      <c r="B4605" s="83" t="s">
        <v>6331</v>
      </c>
      <c r="C4605" s="81" t="s">
        <v>6333</v>
      </c>
      <c r="D4605" s="83" t="s">
        <v>4776</v>
      </c>
      <c r="E4605" s="81" t="s">
        <v>3713</v>
      </c>
      <c r="F4605" s="84">
        <v>710.0</v>
      </c>
      <c r="G4605" s="81" t="s">
        <v>43</v>
      </c>
      <c r="H4605" s="81" t="s">
        <v>6195</v>
      </c>
      <c r="I4605" s="81" t="s">
        <v>224</v>
      </c>
      <c r="J4605" s="81" t="s">
        <v>5143</v>
      </c>
    </row>
    <row r="4606" hidden="1">
      <c r="A4606" s="83" t="s">
        <v>6330</v>
      </c>
      <c r="B4606" s="83" t="s">
        <v>6331</v>
      </c>
      <c r="C4606" s="81" t="s">
        <v>4621</v>
      </c>
      <c r="D4606" s="83" t="s">
        <v>4777</v>
      </c>
      <c r="E4606" s="81" t="s">
        <v>3716</v>
      </c>
      <c r="F4606" s="84">
        <v>711.0</v>
      </c>
      <c r="G4606" s="81" t="s">
        <v>39</v>
      </c>
      <c r="H4606" s="81" t="s">
        <v>6208</v>
      </c>
      <c r="I4606" s="81" t="s">
        <v>3723</v>
      </c>
      <c r="J4606" s="81" t="s">
        <v>224</v>
      </c>
    </row>
    <row r="4607" hidden="1">
      <c r="A4607" s="83" t="s">
        <v>6330</v>
      </c>
      <c r="B4607" s="83" t="s">
        <v>6331</v>
      </c>
      <c r="C4607" s="81" t="s">
        <v>4621</v>
      </c>
      <c r="D4607" s="83" t="s">
        <v>4777</v>
      </c>
      <c r="E4607" s="81" t="s">
        <v>3716</v>
      </c>
      <c r="F4607" s="84">
        <v>711.0</v>
      </c>
      <c r="G4607" s="81" t="s">
        <v>40</v>
      </c>
      <c r="H4607" s="81" t="s">
        <v>6209</v>
      </c>
      <c r="I4607" s="81" t="s">
        <v>6210</v>
      </c>
      <c r="J4607" s="81" t="s">
        <v>224</v>
      </c>
    </row>
    <row r="4608" hidden="1">
      <c r="A4608" s="83" t="s">
        <v>6330</v>
      </c>
      <c r="B4608" s="83" t="s">
        <v>6331</v>
      </c>
      <c r="C4608" s="81" t="s">
        <v>6333</v>
      </c>
      <c r="D4608" s="83" t="s">
        <v>4777</v>
      </c>
      <c r="E4608" s="81" t="s">
        <v>3716</v>
      </c>
      <c r="F4608" s="84">
        <v>711.0</v>
      </c>
      <c r="G4608" s="81" t="s">
        <v>43</v>
      </c>
      <c r="H4608" s="81" t="s">
        <v>3727</v>
      </c>
      <c r="I4608" s="81" t="s">
        <v>224</v>
      </c>
      <c r="J4608" s="81" t="s">
        <v>5143</v>
      </c>
    </row>
    <row r="4609" hidden="1">
      <c r="A4609" s="83" t="s">
        <v>6330</v>
      </c>
      <c r="B4609" s="83" t="s">
        <v>6331</v>
      </c>
      <c r="C4609" s="81" t="s">
        <v>4621</v>
      </c>
      <c r="D4609" s="83" t="s">
        <v>4777</v>
      </c>
      <c r="E4609" s="81" t="s">
        <v>3730</v>
      </c>
      <c r="F4609" s="84">
        <v>712.0</v>
      </c>
      <c r="G4609" s="81" t="s">
        <v>40</v>
      </c>
      <c r="H4609" s="81" t="s">
        <v>6211</v>
      </c>
      <c r="I4609" s="81" t="s">
        <v>6210</v>
      </c>
      <c r="J4609" s="81" t="s">
        <v>224</v>
      </c>
    </row>
    <row r="4610" hidden="1">
      <c r="A4610" s="83" t="s">
        <v>6330</v>
      </c>
      <c r="B4610" s="83" t="s">
        <v>6331</v>
      </c>
      <c r="C4610" s="81" t="s">
        <v>6333</v>
      </c>
      <c r="D4610" s="83" t="s">
        <v>4777</v>
      </c>
      <c r="E4610" s="81" t="s">
        <v>3730</v>
      </c>
      <c r="F4610" s="84">
        <v>712.0</v>
      </c>
      <c r="G4610" s="81" t="s">
        <v>43</v>
      </c>
      <c r="H4610" s="81" t="s">
        <v>3727</v>
      </c>
      <c r="I4610" s="81" t="s">
        <v>224</v>
      </c>
      <c r="J4610" s="81" t="s">
        <v>5143</v>
      </c>
    </row>
    <row r="4611" hidden="1">
      <c r="A4611" s="83" t="s">
        <v>6330</v>
      </c>
      <c r="B4611" s="83" t="s">
        <v>6331</v>
      </c>
      <c r="C4611" s="81" t="s">
        <v>4621</v>
      </c>
      <c r="D4611" s="83" t="s">
        <v>4778</v>
      </c>
      <c r="E4611" s="81" t="s">
        <v>3731</v>
      </c>
      <c r="F4611" s="84">
        <v>713.0</v>
      </c>
      <c r="G4611" s="81" t="s">
        <v>40</v>
      </c>
      <c r="H4611" s="81" t="s">
        <v>6212</v>
      </c>
      <c r="I4611" s="81" t="s">
        <v>6213</v>
      </c>
      <c r="J4611" s="81" t="s">
        <v>224</v>
      </c>
    </row>
    <row r="4612" hidden="1">
      <c r="A4612" s="83" t="s">
        <v>6330</v>
      </c>
      <c r="B4612" s="83" t="s">
        <v>6331</v>
      </c>
      <c r="C4612" s="81" t="s">
        <v>6333</v>
      </c>
      <c r="D4612" s="83" t="s">
        <v>4778</v>
      </c>
      <c r="E4612" s="81" t="s">
        <v>3731</v>
      </c>
      <c r="F4612" s="84">
        <v>713.0</v>
      </c>
      <c r="G4612" s="81" t="s">
        <v>43</v>
      </c>
      <c r="H4612" s="81" t="s">
        <v>3727</v>
      </c>
      <c r="I4612" s="81" t="s">
        <v>224</v>
      </c>
      <c r="J4612" s="81" t="s">
        <v>5143</v>
      </c>
    </row>
    <row r="4613" hidden="1">
      <c r="A4613" s="83" t="s">
        <v>6330</v>
      </c>
      <c r="B4613" s="83" t="s">
        <v>6331</v>
      </c>
      <c r="C4613" s="81" t="s">
        <v>4621</v>
      </c>
      <c r="D4613" s="83" t="s">
        <v>4779</v>
      </c>
      <c r="E4613" s="81" t="s">
        <v>3735</v>
      </c>
      <c r="F4613" s="84">
        <v>714.0</v>
      </c>
      <c r="G4613" s="81" t="s">
        <v>39</v>
      </c>
      <c r="H4613" s="81" t="s">
        <v>6214</v>
      </c>
      <c r="I4613" s="81" t="s">
        <v>3740</v>
      </c>
      <c r="J4613" s="81" t="s">
        <v>224</v>
      </c>
    </row>
    <row r="4614" hidden="1">
      <c r="A4614" s="83" t="s">
        <v>6330</v>
      </c>
      <c r="B4614" s="83" t="s">
        <v>6331</v>
      </c>
      <c r="C4614" s="81" t="s">
        <v>4621</v>
      </c>
      <c r="D4614" s="83" t="s">
        <v>4779</v>
      </c>
      <c r="E4614" s="81" t="s">
        <v>3735</v>
      </c>
      <c r="F4614" s="84">
        <v>714.0</v>
      </c>
      <c r="G4614" s="81" t="s">
        <v>40</v>
      </c>
      <c r="H4614" s="81" t="s">
        <v>6215</v>
      </c>
      <c r="I4614" s="81" t="s">
        <v>6216</v>
      </c>
      <c r="J4614" s="81" t="s">
        <v>224</v>
      </c>
    </row>
    <row r="4615" hidden="1">
      <c r="A4615" s="83" t="s">
        <v>6330</v>
      </c>
      <c r="B4615" s="83" t="s">
        <v>6331</v>
      </c>
      <c r="C4615" s="81" t="s">
        <v>6333</v>
      </c>
      <c r="D4615" s="83" t="s">
        <v>4779</v>
      </c>
      <c r="E4615" s="81" t="s">
        <v>3735</v>
      </c>
      <c r="F4615" s="84">
        <v>714.0</v>
      </c>
      <c r="G4615" s="81" t="s">
        <v>43</v>
      </c>
      <c r="H4615" s="81" t="s">
        <v>3743</v>
      </c>
      <c r="I4615" s="81" t="s">
        <v>224</v>
      </c>
      <c r="J4615" s="81" t="s">
        <v>5143</v>
      </c>
    </row>
    <row r="4616" hidden="1">
      <c r="A4616" s="83" t="s">
        <v>6330</v>
      </c>
      <c r="B4616" s="83" t="s">
        <v>6331</v>
      </c>
      <c r="C4616" s="81" t="s">
        <v>4621</v>
      </c>
      <c r="D4616" s="83" t="s">
        <v>4779</v>
      </c>
      <c r="E4616" s="81" t="s">
        <v>3746</v>
      </c>
      <c r="F4616" s="84">
        <v>715.0</v>
      </c>
      <c r="G4616" s="81" t="s">
        <v>39</v>
      </c>
      <c r="H4616" s="81" t="s">
        <v>6217</v>
      </c>
      <c r="I4616" s="81" t="s">
        <v>3740</v>
      </c>
      <c r="J4616" s="81" t="s">
        <v>224</v>
      </c>
    </row>
    <row r="4617" hidden="1">
      <c r="A4617" s="83" t="s">
        <v>6330</v>
      </c>
      <c r="B4617" s="83" t="s">
        <v>6331</v>
      </c>
      <c r="C4617" s="81" t="s">
        <v>4621</v>
      </c>
      <c r="D4617" s="83" t="s">
        <v>4779</v>
      </c>
      <c r="E4617" s="81" t="s">
        <v>3746</v>
      </c>
      <c r="F4617" s="84">
        <v>715.0</v>
      </c>
      <c r="G4617" s="81" t="s">
        <v>40</v>
      </c>
      <c r="H4617" s="81" t="s">
        <v>6218</v>
      </c>
      <c r="I4617" s="81" t="s">
        <v>6216</v>
      </c>
      <c r="J4617" s="81" t="s">
        <v>224</v>
      </c>
    </row>
    <row r="4618" hidden="1">
      <c r="A4618" s="83" t="s">
        <v>6330</v>
      </c>
      <c r="B4618" s="83" t="s">
        <v>6331</v>
      </c>
      <c r="C4618" s="81" t="s">
        <v>6333</v>
      </c>
      <c r="D4618" s="83" t="s">
        <v>4779</v>
      </c>
      <c r="E4618" s="81" t="s">
        <v>3746</v>
      </c>
      <c r="F4618" s="84">
        <v>715.0</v>
      </c>
      <c r="G4618" s="81" t="s">
        <v>43</v>
      </c>
      <c r="H4618" s="81" t="s">
        <v>3743</v>
      </c>
      <c r="I4618" s="81" t="s">
        <v>224</v>
      </c>
      <c r="J4618" s="81" t="s">
        <v>5143</v>
      </c>
    </row>
    <row r="4619" hidden="1">
      <c r="A4619" s="83" t="s">
        <v>6330</v>
      </c>
      <c r="B4619" s="83" t="s">
        <v>6331</v>
      </c>
      <c r="C4619" s="81" t="s">
        <v>4621</v>
      </c>
      <c r="D4619" s="83" t="s">
        <v>4780</v>
      </c>
      <c r="E4619" s="81" t="s">
        <v>3747</v>
      </c>
      <c r="F4619" s="84">
        <v>716.0</v>
      </c>
      <c r="G4619" s="81" t="s">
        <v>39</v>
      </c>
      <c r="H4619" s="81" t="s">
        <v>6219</v>
      </c>
      <c r="I4619" s="81" t="s">
        <v>3748</v>
      </c>
      <c r="J4619" s="81" t="s">
        <v>224</v>
      </c>
    </row>
    <row r="4620" hidden="1">
      <c r="A4620" s="83" t="s">
        <v>6330</v>
      </c>
      <c r="B4620" s="83" t="s">
        <v>6331</v>
      </c>
      <c r="C4620" s="81" t="s">
        <v>4621</v>
      </c>
      <c r="D4620" s="83" t="s">
        <v>4780</v>
      </c>
      <c r="E4620" s="81" t="s">
        <v>3747</v>
      </c>
      <c r="F4620" s="84">
        <v>716.0</v>
      </c>
      <c r="G4620" s="81" t="s">
        <v>40</v>
      </c>
      <c r="H4620" s="81" t="s">
        <v>6220</v>
      </c>
      <c r="I4620" s="81" t="s">
        <v>6221</v>
      </c>
      <c r="J4620" s="81" t="s">
        <v>224</v>
      </c>
    </row>
    <row r="4621" hidden="1">
      <c r="A4621" s="83" t="s">
        <v>6330</v>
      </c>
      <c r="B4621" s="83" t="s">
        <v>6331</v>
      </c>
      <c r="C4621" s="81" t="s">
        <v>6333</v>
      </c>
      <c r="D4621" s="83" t="s">
        <v>4780</v>
      </c>
      <c r="E4621" s="81" t="s">
        <v>3747</v>
      </c>
      <c r="F4621" s="84">
        <v>716.0</v>
      </c>
      <c r="G4621" s="81" t="s">
        <v>43</v>
      </c>
      <c r="H4621" s="81" t="s">
        <v>3743</v>
      </c>
      <c r="I4621" s="81" t="s">
        <v>224</v>
      </c>
      <c r="J4621" s="81" t="s">
        <v>5143</v>
      </c>
    </row>
    <row r="4622" hidden="1">
      <c r="A4622" s="83" t="s">
        <v>6330</v>
      </c>
      <c r="B4622" s="83" t="s">
        <v>6331</v>
      </c>
      <c r="C4622" s="81" t="s">
        <v>4621</v>
      </c>
      <c r="D4622" s="83" t="s">
        <v>4781</v>
      </c>
      <c r="E4622" s="81" t="s">
        <v>3751</v>
      </c>
      <c r="F4622" s="84">
        <v>717.0</v>
      </c>
      <c r="G4622" s="81" t="s">
        <v>39</v>
      </c>
      <c r="H4622" s="81" t="s">
        <v>6222</v>
      </c>
      <c r="I4622" s="81" t="s">
        <v>3755</v>
      </c>
      <c r="J4622" s="81" t="s">
        <v>224</v>
      </c>
    </row>
    <row r="4623" hidden="1">
      <c r="A4623" s="83" t="s">
        <v>6330</v>
      </c>
      <c r="B4623" s="83" t="s">
        <v>6331</v>
      </c>
      <c r="C4623" s="81" t="s">
        <v>4621</v>
      </c>
      <c r="D4623" s="83" t="s">
        <v>4781</v>
      </c>
      <c r="E4623" s="81" t="s">
        <v>3751</v>
      </c>
      <c r="F4623" s="84">
        <v>717.0</v>
      </c>
      <c r="G4623" s="81" t="s">
        <v>40</v>
      </c>
      <c r="H4623" s="81" t="s">
        <v>6223</v>
      </c>
      <c r="I4623" s="81" t="s">
        <v>3756</v>
      </c>
      <c r="J4623" s="81" t="s">
        <v>224</v>
      </c>
    </row>
    <row r="4624" hidden="1">
      <c r="A4624" s="83" t="s">
        <v>6330</v>
      </c>
      <c r="B4624" s="83" t="s">
        <v>6331</v>
      </c>
      <c r="C4624" s="81" t="s">
        <v>6333</v>
      </c>
      <c r="D4624" s="83" t="s">
        <v>4781</v>
      </c>
      <c r="E4624" s="81" t="s">
        <v>3751</v>
      </c>
      <c r="F4624" s="84">
        <v>717.0</v>
      </c>
      <c r="G4624" s="81" t="s">
        <v>43</v>
      </c>
      <c r="H4624" s="81" t="s">
        <v>3758</v>
      </c>
      <c r="I4624" s="81" t="s">
        <v>224</v>
      </c>
      <c r="J4624" s="81" t="s">
        <v>5143</v>
      </c>
    </row>
    <row r="4625" hidden="1">
      <c r="A4625" s="83" t="s">
        <v>6330</v>
      </c>
      <c r="B4625" s="83" t="s">
        <v>6331</v>
      </c>
      <c r="C4625" s="81" t="s">
        <v>4621</v>
      </c>
      <c r="D4625" s="83" t="s">
        <v>4781</v>
      </c>
      <c r="E4625" s="81" t="s">
        <v>3761</v>
      </c>
      <c r="F4625" s="84">
        <v>718.0</v>
      </c>
      <c r="G4625" s="81" t="s">
        <v>40</v>
      </c>
      <c r="H4625" s="81" t="s">
        <v>6223</v>
      </c>
      <c r="I4625" s="81" t="s">
        <v>3756</v>
      </c>
      <c r="J4625" s="81" t="s">
        <v>224</v>
      </c>
    </row>
    <row r="4626" hidden="1">
      <c r="A4626" s="83" t="s">
        <v>6330</v>
      </c>
      <c r="B4626" s="83" t="s">
        <v>6331</v>
      </c>
      <c r="C4626" s="81" t="s">
        <v>6333</v>
      </c>
      <c r="D4626" s="83" t="s">
        <v>4781</v>
      </c>
      <c r="E4626" s="81" t="s">
        <v>3761</v>
      </c>
      <c r="F4626" s="84">
        <v>718.0</v>
      </c>
      <c r="G4626" s="81" t="s">
        <v>43</v>
      </c>
      <c r="H4626" s="81" t="s">
        <v>3758</v>
      </c>
      <c r="I4626" s="81" t="s">
        <v>224</v>
      </c>
      <c r="J4626" s="81" t="s">
        <v>5143</v>
      </c>
    </row>
    <row r="4627" hidden="1">
      <c r="A4627" s="83" t="s">
        <v>6330</v>
      </c>
      <c r="B4627" s="83" t="s">
        <v>6331</v>
      </c>
      <c r="C4627" s="81" t="s">
        <v>4621</v>
      </c>
      <c r="D4627" s="83" t="s">
        <v>4782</v>
      </c>
      <c r="E4627" s="81" t="s">
        <v>3762</v>
      </c>
      <c r="F4627" s="84">
        <v>719.0</v>
      </c>
      <c r="G4627" s="81" t="s">
        <v>40</v>
      </c>
      <c r="H4627" s="81" t="s">
        <v>6224</v>
      </c>
      <c r="I4627" s="81" t="s">
        <v>3764</v>
      </c>
      <c r="J4627" s="81" t="s">
        <v>224</v>
      </c>
    </row>
    <row r="4628" hidden="1">
      <c r="A4628" s="83" t="s">
        <v>6330</v>
      </c>
      <c r="B4628" s="83" t="s">
        <v>6331</v>
      </c>
      <c r="C4628" s="81" t="s">
        <v>6333</v>
      </c>
      <c r="D4628" s="83" t="s">
        <v>4782</v>
      </c>
      <c r="E4628" s="81" t="s">
        <v>3762</v>
      </c>
      <c r="F4628" s="84">
        <v>719.0</v>
      </c>
      <c r="G4628" s="81" t="s">
        <v>43</v>
      </c>
      <c r="H4628" s="81" t="s">
        <v>3758</v>
      </c>
      <c r="I4628" s="81" t="s">
        <v>224</v>
      </c>
      <c r="J4628" s="81" t="s">
        <v>5143</v>
      </c>
    </row>
    <row r="4629" hidden="1">
      <c r="A4629" s="83" t="s">
        <v>6330</v>
      </c>
      <c r="B4629" s="83" t="s">
        <v>6331</v>
      </c>
      <c r="C4629" s="81" t="s">
        <v>4621</v>
      </c>
      <c r="D4629" s="83" t="s">
        <v>4783</v>
      </c>
      <c r="E4629" s="81" t="s">
        <v>3766</v>
      </c>
      <c r="F4629" s="84">
        <v>720.0</v>
      </c>
      <c r="G4629" s="81" t="s">
        <v>39</v>
      </c>
      <c r="H4629" s="81" t="s">
        <v>5998</v>
      </c>
      <c r="I4629" s="81" t="s">
        <v>3771</v>
      </c>
      <c r="J4629" s="81" t="s">
        <v>224</v>
      </c>
    </row>
    <row r="4630" hidden="1">
      <c r="A4630" s="83" t="s">
        <v>6330</v>
      </c>
      <c r="B4630" s="83" t="s">
        <v>6331</v>
      </c>
      <c r="C4630" s="81" t="s">
        <v>4621</v>
      </c>
      <c r="D4630" s="83" t="s">
        <v>4783</v>
      </c>
      <c r="E4630" s="81" t="s">
        <v>3766</v>
      </c>
      <c r="F4630" s="84">
        <v>720.0</v>
      </c>
      <c r="G4630" s="81" t="s">
        <v>40</v>
      </c>
      <c r="H4630" s="81" t="s">
        <v>5999</v>
      </c>
      <c r="I4630" s="81" t="s">
        <v>6225</v>
      </c>
      <c r="J4630" s="81" t="s">
        <v>224</v>
      </c>
    </row>
    <row r="4631" hidden="1">
      <c r="A4631" s="83" t="s">
        <v>6330</v>
      </c>
      <c r="B4631" s="83" t="s">
        <v>6331</v>
      </c>
      <c r="C4631" s="81" t="s">
        <v>4621</v>
      </c>
      <c r="D4631" s="83" t="s">
        <v>4783</v>
      </c>
      <c r="E4631" s="81" t="s">
        <v>3777</v>
      </c>
      <c r="F4631" s="84">
        <v>721.0</v>
      </c>
      <c r="G4631" s="81" t="s">
        <v>39</v>
      </c>
      <c r="H4631" s="81" t="s">
        <v>5998</v>
      </c>
      <c r="I4631" s="81" t="s">
        <v>3771</v>
      </c>
      <c r="J4631" s="81" t="s">
        <v>224</v>
      </c>
    </row>
    <row r="4632" hidden="1">
      <c r="A4632" s="83" t="s">
        <v>6330</v>
      </c>
      <c r="B4632" s="83" t="s">
        <v>6331</v>
      </c>
      <c r="C4632" s="81" t="s">
        <v>4621</v>
      </c>
      <c r="D4632" s="83" t="s">
        <v>4783</v>
      </c>
      <c r="E4632" s="81" t="s">
        <v>3777</v>
      </c>
      <c r="F4632" s="84">
        <v>721.0</v>
      </c>
      <c r="G4632" s="81" t="s">
        <v>40</v>
      </c>
      <c r="H4632" s="81" t="s">
        <v>5999</v>
      </c>
      <c r="I4632" s="81" t="s">
        <v>6225</v>
      </c>
      <c r="J4632" s="81" t="s">
        <v>224</v>
      </c>
    </row>
    <row r="4633" hidden="1">
      <c r="A4633" s="83" t="s">
        <v>6330</v>
      </c>
      <c r="B4633" s="83" t="s">
        <v>6331</v>
      </c>
      <c r="C4633" s="81" t="s">
        <v>4621</v>
      </c>
      <c r="D4633" s="83" t="s">
        <v>4785</v>
      </c>
      <c r="E4633" s="81" t="s">
        <v>3778</v>
      </c>
      <c r="F4633" s="84">
        <v>722.0</v>
      </c>
      <c r="G4633" s="81" t="s">
        <v>39</v>
      </c>
      <c r="H4633" s="81" t="s">
        <v>6226</v>
      </c>
      <c r="I4633" s="81" t="s">
        <v>3779</v>
      </c>
      <c r="J4633" s="81" t="s">
        <v>224</v>
      </c>
    </row>
    <row r="4634" hidden="1">
      <c r="A4634" s="83" t="s">
        <v>6330</v>
      </c>
      <c r="B4634" s="83" t="s">
        <v>6331</v>
      </c>
      <c r="C4634" s="81" t="s">
        <v>4621</v>
      </c>
      <c r="D4634" s="83" t="s">
        <v>4785</v>
      </c>
      <c r="E4634" s="81" t="s">
        <v>3778</v>
      </c>
      <c r="F4634" s="84">
        <v>722.0</v>
      </c>
      <c r="G4634" s="81" t="s">
        <v>40</v>
      </c>
      <c r="H4634" s="81" t="s">
        <v>6227</v>
      </c>
      <c r="I4634" s="81" t="s">
        <v>3780</v>
      </c>
      <c r="J4634" s="81" t="s">
        <v>224</v>
      </c>
    </row>
    <row r="4635" hidden="1">
      <c r="A4635" s="83" t="s">
        <v>6330</v>
      </c>
      <c r="B4635" s="83" t="s">
        <v>6331</v>
      </c>
      <c r="C4635" s="81" t="s">
        <v>4621</v>
      </c>
      <c r="D4635" s="83" t="s">
        <v>4786</v>
      </c>
      <c r="E4635" s="81" t="s">
        <v>3781</v>
      </c>
      <c r="F4635" s="84">
        <v>723.0</v>
      </c>
      <c r="G4635" s="81" t="s">
        <v>39</v>
      </c>
      <c r="H4635" s="81" t="s">
        <v>5998</v>
      </c>
      <c r="I4635" s="81" t="s">
        <v>3785</v>
      </c>
      <c r="J4635" s="81" t="s">
        <v>224</v>
      </c>
    </row>
    <row r="4636" hidden="1">
      <c r="A4636" s="83" t="s">
        <v>6330</v>
      </c>
      <c r="B4636" s="83" t="s">
        <v>6331</v>
      </c>
      <c r="C4636" s="81" t="s">
        <v>4621</v>
      </c>
      <c r="D4636" s="83" t="s">
        <v>4786</v>
      </c>
      <c r="E4636" s="81" t="s">
        <v>3781</v>
      </c>
      <c r="F4636" s="84">
        <v>723.0</v>
      </c>
      <c r="G4636" s="81" t="s">
        <v>40</v>
      </c>
      <c r="H4636" s="81" t="s">
        <v>5999</v>
      </c>
      <c r="I4636" s="81" t="s">
        <v>6228</v>
      </c>
      <c r="J4636" s="81" t="s">
        <v>224</v>
      </c>
    </row>
    <row r="4637" hidden="1">
      <c r="A4637" s="83" t="s">
        <v>6330</v>
      </c>
      <c r="B4637" s="83" t="s">
        <v>6331</v>
      </c>
      <c r="C4637" s="81" t="s">
        <v>4621</v>
      </c>
      <c r="D4637" s="83" t="s">
        <v>4787</v>
      </c>
      <c r="E4637" s="81" t="s">
        <v>3791</v>
      </c>
      <c r="F4637" s="84">
        <v>724.0</v>
      </c>
      <c r="G4637" s="81" t="s">
        <v>39</v>
      </c>
      <c r="H4637" s="81" t="s">
        <v>6226</v>
      </c>
      <c r="I4637" s="81" t="s">
        <v>3792</v>
      </c>
      <c r="J4637" s="81" t="s">
        <v>224</v>
      </c>
    </row>
    <row r="4638" hidden="1">
      <c r="A4638" s="83" t="s">
        <v>6330</v>
      </c>
      <c r="B4638" s="83" t="s">
        <v>6331</v>
      </c>
      <c r="C4638" s="81" t="s">
        <v>4621</v>
      </c>
      <c r="D4638" s="83" t="s">
        <v>4787</v>
      </c>
      <c r="E4638" s="81" t="s">
        <v>3791</v>
      </c>
      <c r="F4638" s="84">
        <v>724.0</v>
      </c>
      <c r="G4638" s="81" t="s">
        <v>40</v>
      </c>
      <c r="H4638" s="81" t="s">
        <v>6227</v>
      </c>
      <c r="I4638" s="81" t="s">
        <v>3793</v>
      </c>
      <c r="J4638" s="81" t="s">
        <v>224</v>
      </c>
    </row>
    <row r="4639" hidden="1">
      <c r="A4639" s="83" t="s">
        <v>6330</v>
      </c>
      <c r="B4639" s="83" t="s">
        <v>6331</v>
      </c>
      <c r="C4639" s="81" t="s">
        <v>4621</v>
      </c>
      <c r="D4639" s="83" t="s">
        <v>4788</v>
      </c>
      <c r="E4639" s="81" t="s">
        <v>3794</v>
      </c>
      <c r="F4639" s="84">
        <v>725.0</v>
      </c>
      <c r="G4639" s="81" t="s">
        <v>40</v>
      </c>
      <c r="H4639" s="81" t="s">
        <v>6229</v>
      </c>
      <c r="I4639" s="81" t="s">
        <v>3799</v>
      </c>
      <c r="J4639" s="81" t="s">
        <v>224</v>
      </c>
    </row>
    <row r="4640" hidden="1">
      <c r="A4640" s="83" t="s">
        <v>6330</v>
      </c>
      <c r="B4640" s="83" t="s">
        <v>6331</v>
      </c>
      <c r="C4640" s="81" t="s">
        <v>4621</v>
      </c>
      <c r="D4640" s="83" t="s">
        <v>4790</v>
      </c>
      <c r="E4640" s="81" t="s">
        <v>3803</v>
      </c>
      <c r="F4640" s="84">
        <v>726.0</v>
      </c>
      <c r="G4640" s="81" t="s">
        <v>39</v>
      </c>
      <c r="H4640" s="81" t="s">
        <v>6230</v>
      </c>
      <c r="I4640" s="81" t="s">
        <v>3807</v>
      </c>
      <c r="J4640" s="81" t="s">
        <v>224</v>
      </c>
    </row>
    <row r="4641" hidden="1">
      <c r="A4641" s="83" t="s">
        <v>6330</v>
      </c>
      <c r="B4641" s="83" t="s">
        <v>6331</v>
      </c>
      <c r="C4641" s="81" t="s">
        <v>4621</v>
      </c>
      <c r="D4641" s="83" t="s">
        <v>4790</v>
      </c>
      <c r="E4641" s="81" t="s">
        <v>3803</v>
      </c>
      <c r="F4641" s="84">
        <v>726.0</v>
      </c>
      <c r="G4641" s="81" t="s">
        <v>40</v>
      </c>
      <c r="H4641" s="81" t="s">
        <v>6231</v>
      </c>
      <c r="I4641" s="81" t="s">
        <v>3808</v>
      </c>
      <c r="J4641" s="81" t="s">
        <v>224</v>
      </c>
    </row>
    <row r="4642" hidden="1">
      <c r="A4642" s="83" t="s">
        <v>6330</v>
      </c>
      <c r="B4642" s="83" t="s">
        <v>6331</v>
      </c>
      <c r="C4642" s="81" t="s">
        <v>4621</v>
      </c>
      <c r="D4642" s="83" t="s">
        <v>4791</v>
      </c>
      <c r="E4642" s="81" t="s">
        <v>3812</v>
      </c>
      <c r="F4642" s="84">
        <v>727.0</v>
      </c>
      <c r="G4642" s="81" t="s">
        <v>40</v>
      </c>
      <c r="H4642" s="81" t="s">
        <v>6232</v>
      </c>
      <c r="I4642" s="81" t="s">
        <v>3814</v>
      </c>
      <c r="J4642" s="81" t="s">
        <v>224</v>
      </c>
    </row>
    <row r="4643" hidden="1">
      <c r="A4643" s="83" t="s">
        <v>6330</v>
      </c>
      <c r="B4643" s="83" t="s">
        <v>6331</v>
      </c>
      <c r="C4643" s="81" t="s">
        <v>4621</v>
      </c>
      <c r="D4643" s="83" t="s">
        <v>4792</v>
      </c>
      <c r="E4643" s="81" t="s">
        <v>3815</v>
      </c>
      <c r="F4643" s="84">
        <v>728.0</v>
      </c>
      <c r="G4643" s="81" t="s">
        <v>40</v>
      </c>
      <c r="H4643" s="81" t="s">
        <v>49</v>
      </c>
      <c r="I4643" s="81" t="s">
        <v>3808</v>
      </c>
      <c r="J4643" s="81" t="s">
        <v>224</v>
      </c>
    </row>
    <row r="4644" hidden="1">
      <c r="A4644" s="83" t="s">
        <v>6330</v>
      </c>
      <c r="B4644" s="83" t="s">
        <v>6331</v>
      </c>
      <c r="C4644" s="81" t="s">
        <v>4621</v>
      </c>
      <c r="D4644" s="83" t="s">
        <v>4793</v>
      </c>
      <c r="E4644" s="81" t="s">
        <v>3821</v>
      </c>
      <c r="F4644" s="84">
        <v>729.0</v>
      </c>
      <c r="G4644" s="81" t="s">
        <v>40</v>
      </c>
      <c r="H4644" s="81" t="s">
        <v>49</v>
      </c>
      <c r="I4644" s="81" t="s">
        <v>3814</v>
      </c>
      <c r="J4644" s="81" t="s">
        <v>224</v>
      </c>
    </row>
    <row r="4645" hidden="1">
      <c r="A4645" s="83" t="s">
        <v>6330</v>
      </c>
      <c r="B4645" s="83" t="s">
        <v>6331</v>
      </c>
      <c r="C4645" s="81" t="s">
        <v>4621</v>
      </c>
      <c r="D4645" s="83" t="s">
        <v>4794</v>
      </c>
      <c r="E4645" s="81" t="s">
        <v>3823</v>
      </c>
      <c r="F4645" s="84">
        <v>730.0</v>
      </c>
      <c r="G4645" s="81" t="s">
        <v>39</v>
      </c>
      <c r="H4645" s="81" t="s">
        <v>6233</v>
      </c>
      <c r="I4645" s="81" t="s">
        <v>3826</v>
      </c>
      <c r="J4645" s="81" t="s">
        <v>224</v>
      </c>
    </row>
    <row r="4646" hidden="1">
      <c r="A4646" s="83" t="s">
        <v>6330</v>
      </c>
      <c r="B4646" s="83" t="s">
        <v>6331</v>
      </c>
      <c r="C4646" s="81" t="s">
        <v>4621</v>
      </c>
      <c r="D4646" s="83" t="s">
        <v>4794</v>
      </c>
      <c r="E4646" s="81" t="s">
        <v>3823</v>
      </c>
      <c r="F4646" s="84">
        <v>730.0</v>
      </c>
      <c r="G4646" s="81" t="s">
        <v>40</v>
      </c>
      <c r="H4646" s="81" t="s">
        <v>6234</v>
      </c>
      <c r="I4646" s="81" t="s">
        <v>3827</v>
      </c>
      <c r="J4646" s="81" t="s">
        <v>224</v>
      </c>
    </row>
    <row r="4647" hidden="1">
      <c r="A4647" s="83" t="s">
        <v>6330</v>
      </c>
      <c r="B4647" s="83" t="s">
        <v>6331</v>
      </c>
      <c r="C4647" s="81" t="s">
        <v>4621</v>
      </c>
      <c r="D4647" s="83" t="s">
        <v>4794</v>
      </c>
      <c r="E4647" s="81" t="s">
        <v>3829</v>
      </c>
      <c r="F4647" s="84">
        <v>731.0</v>
      </c>
      <c r="G4647" s="81" t="s">
        <v>39</v>
      </c>
      <c r="H4647" s="81" t="s">
        <v>6233</v>
      </c>
      <c r="I4647" s="81" t="s">
        <v>3826</v>
      </c>
      <c r="J4647" s="81" t="s">
        <v>224</v>
      </c>
    </row>
    <row r="4648" hidden="1">
      <c r="A4648" s="83" t="s">
        <v>6330</v>
      </c>
      <c r="B4648" s="83" t="s">
        <v>6331</v>
      </c>
      <c r="C4648" s="81" t="s">
        <v>4621</v>
      </c>
      <c r="D4648" s="83" t="s">
        <v>4794</v>
      </c>
      <c r="E4648" s="81" t="s">
        <v>3829</v>
      </c>
      <c r="F4648" s="84">
        <v>731.0</v>
      </c>
      <c r="G4648" s="81" t="s">
        <v>40</v>
      </c>
      <c r="H4648" s="81" t="s">
        <v>6234</v>
      </c>
      <c r="I4648" s="81" t="s">
        <v>3827</v>
      </c>
      <c r="J4648" s="81" t="s">
        <v>224</v>
      </c>
    </row>
    <row r="4649" hidden="1">
      <c r="A4649" s="83" t="s">
        <v>6330</v>
      </c>
      <c r="B4649" s="83" t="s">
        <v>6331</v>
      </c>
      <c r="C4649" s="81" t="s">
        <v>4621</v>
      </c>
      <c r="D4649" s="83" t="s">
        <v>4795</v>
      </c>
      <c r="E4649" s="81" t="s">
        <v>3831</v>
      </c>
      <c r="F4649" s="84">
        <v>732.0</v>
      </c>
      <c r="G4649" s="81" t="s">
        <v>39</v>
      </c>
      <c r="H4649" s="81" t="s">
        <v>6235</v>
      </c>
      <c r="I4649" s="81" t="s">
        <v>3832</v>
      </c>
      <c r="J4649" s="81" t="s">
        <v>224</v>
      </c>
    </row>
    <row r="4650" hidden="1">
      <c r="A4650" s="83" t="s">
        <v>6330</v>
      </c>
      <c r="B4650" s="83" t="s">
        <v>6331</v>
      </c>
      <c r="C4650" s="81" t="s">
        <v>6333</v>
      </c>
      <c r="D4650" s="83" t="s">
        <v>4795</v>
      </c>
      <c r="E4650" s="81" t="s">
        <v>3831</v>
      </c>
      <c r="F4650" s="84">
        <v>732.0</v>
      </c>
      <c r="G4650" s="81" t="s">
        <v>40</v>
      </c>
      <c r="H4650" s="81" t="s">
        <v>6236</v>
      </c>
      <c r="I4650" s="81" t="s">
        <v>224</v>
      </c>
      <c r="J4650" s="81" t="s">
        <v>5143</v>
      </c>
    </row>
    <row r="4651" hidden="1">
      <c r="A4651" s="83" t="s">
        <v>6330</v>
      </c>
      <c r="B4651" s="83" t="s">
        <v>6331</v>
      </c>
      <c r="C4651" s="81" t="s">
        <v>4621</v>
      </c>
      <c r="D4651" s="83" t="s">
        <v>4796</v>
      </c>
      <c r="E4651" s="81" t="s">
        <v>3833</v>
      </c>
      <c r="F4651" s="84">
        <v>733.0</v>
      </c>
      <c r="G4651" s="81" t="s">
        <v>39</v>
      </c>
      <c r="H4651" s="81" t="s">
        <v>6237</v>
      </c>
      <c r="I4651" s="81" t="s">
        <v>3835</v>
      </c>
      <c r="J4651" s="81" t="s">
        <v>224</v>
      </c>
    </row>
    <row r="4652" hidden="1">
      <c r="A4652" s="83" t="s">
        <v>6330</v>
      </c>
      <c r="B4652" s="83" t="s">
        <v>6331</v>
      </c>
      <c r="C4652" s="81" t="s">
        <v>4621</v>
      </c>
      <c r="D4652" s="83" t="s">
        <v>4796</v>
      </c>
      <c r="E4652" s="81" t="s">
        <v>3833</v>
      </c>
      <c r="F4652" s="84">
        <v>733.0</v>
      </c>
      <c r="G4652" s="81" t="s">
        <v>40</v>
      </c>
      <c r="H4652" s="81" t="s">
        <v>6238</v>
      </c>
      <c r="I4652" s="81" t="s">
        <v>3836</v>
      </c>
      <c r="J4652" s="81" t="s">
        <v>224</v>
      </c>
    </row>
    <row r="4653" hidden="1">
      <c r="A4653" s="83" t="s">
        <v>6330</v>
      </c>
      <c r="B4653" s="83" t="s">
        <v>6331</v>
      </c>
      <c r="C4653" s="81" t="s">
        <v>4621</v>
      </c>
      <c r="D4653" s="83" t="s">
        <v>4796</v>
      </c>
      <c r="E4653" s="81" t="s">
        <v>3838</v>
      </c>
      <c r="F4653" s="84">
        <v>734.0</v>
      </c>
      <c r="G4653" s="81" t="s">
        <v>39</v>
      </c>
      <c r="H4653" s="81" t="s">
        <v>6237</v>
      </c>
      <c r="I4653" s="81" t="s">
        <v>3835</v>
      </c>
      <c r="J4653" s="81" t="s">
        <v>224</v>
      </c>
    </row>
    <row r="4654" hidden="1">
      <c r="A4654" s="83" t="s">
        <v>6330</v>
      </c>
      <c r="B4654" s="83" t="s">
        <v>6331</v>
      </c>
      <c r="C4654" s="81" t="s">
        <v>4621</v>
      </c>
      <c r="D4654" s="83" t="s">
        <v>4796</v>
      </c>
      <c r="E4654" s="81" t="s">
        <v>3838</v>
      </c>
      <c r="F4654" s="84">
        <v>734.0</v>
      </c>
      <c r="G4654" s="81" t="s">
        <v>40</v>
      </c>
      <c r="H4654" s="81" t="s">
        <v>6238</v>
      </c>
      <c r="I4654" s="81" t="s">
        <v>3836</v>
      </c>
      <c r="J4654" s="81" t="s">
        <v>224</v>
      </c>
    </row>
    <row r="4655" hidden="1">
      <c r="A4655" s="83" t="s">
        <v>6330</v>
      </c>
      <c r="B4655" s="83" t="s">
        <v>6331</v>
      </c>
      <c r="C4655" s="81" t="s">
        <v>4621</v>
      </c>
      <c r="D4655" s="83" t="s">
        <v>4797</v>
      </c>
      <c r="E4655" s="81" t="s">
        <v>3839</v>
      </c>
      <c r="F4655" s="84">
        <v>735.0</v>
      </c>
      <c r="G4655" s="81" t="s">
        <v>39</v>
      </c>
      <c r="H4655" s="81" t="s">
        <v>6239</v>
      </c>
      <c r="I4655" s="81" t="s">
        <v>3840</v>
      </c>
      <c r="J4655" s="81" t="s">
        <v>224</v>
      </c>
    </row>
    <row r="4656" hidden="1">
      <c r="A4656" s="83" t="s">
        <v>6330</v>
      </c>
      <c r="B4656" s="83" t="s">
        <v>6331</v>
      </c>
      <c r="C4656" s="81" t="s">
        <v>4621</v>
      </c>
      <c r="D4656" s="83" t="s">
        <v>4797</v>
      </c>
      <c r="E4656" s="81" t="s">
        <v>3839</v>
      </c>
      <c r="F4656" s="84">
        <v>735.0</v>
      </c>
      <c r="G4656" s="81" t="s">
        <v>40</v>
      </c>
      <c r="H4656" s="81" t="s">
        <v>6240</v>
      </c>
      <c r="I4656" s="81" t="s">
        <v>3841</v>
      </c>
      <c r="J4656" s="81" t="s">
        <v>224</v>
      </c>
    </row>
    <row r="4657" hidden="1">
      <c r="A4657" s="83" t="s">
        <v>6330</v>
      </c>
      <c r="B4657" s="83" t="s">
        <v>6331</v>
      </c>
      <c r="C4657" s="81" t="s">
        <v>4621</v>
      </c>
      <c r="D4657" s="83" t="s">
        <v>4798</v>
      </c>
      <c r="E4657" s="81" t="s">
        <v>3842</v>
      </c>
      <c r="F4657" s="84">
        <v>736.0</v>
      </c>
      <c r="G4657" s="81" t="s">
        <v>39</v>
      </c>
      <c r="H4657" s="81" t="s">
        <v>6241</v>
      </c>
      <c r="I4657" s="81" t="s">
        <v>3844</v>
      </c>
      <c r="J4657" s="81" t="s">
        <v>224</v>
      </c>
    </row>
    <row r="4658" hidden="1">
      <c r="A4658" s="83" t="s">
        <v>6330</v>
      </c>
      <c r="B4658" s="83" t="s">
        <v>6331</v>
      </c>
      <c r="C4658" s="81" t="s">
        <v>6333</v>
      </c>
      <c r="D4658" s="83" t="s">
        <v>4798</v>
      </c>
      <c r="E4658" s="81" t="s">
        <v>3842</v>
      </c>
      <c r="F4658" s="84">
        <v>736.0</v>
      </c>
      <c r="G4658" s="81" t="s">
        <v>40</v>
      </c>
      <c r="H4658" s="81" t="s">
        <v>6242</v>
      </c>
      <c r="I4658" s="81" t="s">
        <v>224</v>
      </c>
      <c r="J4658" s="81" t="s">
        <v>5143</v>
      </c>
    </row>
    <row r="4659" hidden="1">
      <c r="A4659" s="83" t="s">
        <v>6330</v>
      </c>
      <c r="B4659" s="83" t="s">
        <v>6331</v>
      </c>
      <c r="C4659" s="81" t="s">
        <v>4621</v>
      </c>
      <c r="D4659" s="83" t="s">
        <v>4799</v>
      </c>
      <c r="E4659" s="81" t="s">
        <v>3845</v>
      </c>
      <c r="F4659" s="84">
        <v>737.0</v>
      </c>
      <c r="G4659" s="81" t="s">
        <v>39</v>
      </c>
      <c r="H4659" s="81" t="s">
        <v>6243</v>
      </c>
      <c r="I4659" s="81" t="s">
        <v>3847</v>
      </c>
      <c r="J4659" s="81" t="s">
        <v>224</v>
      </c>
    </row>
    <row r="4660" hidden="1">
      <c r="A4660" s="83" t="s">
        <v>6330</v>
      </c>
      <c r="B4660" s="83" t="s">
        <v>6331</v>
      </c>
      <c r="C4660" s="81" t="s">
        <v>6333</v>
      </c>
      <c r="D4660" s="83" t="s">
        <v>4799</v>
      </c>
      <c r="E4660" s="81" t="s">
        <v>3845</v>
      </c>
      <c r="F4660" s="84">
        <v>737.0</v>
      </c>
      <c r="G4660" s="81" t="s">
        <v>40</v>
      </c>
      <c r="H4660" s="81" t="s">
        <v>6244</v>
      </c>
      <c r="I4660" s="81" t="s">
        <v>224</v>
      </c>
      <c r="J4660" s="81" t="s">
        <v>5143</v>
      </c>
    </row>
    <row r="4661" hidden="1">
      <c r="A4661" s="83" t="s">
        <v>6330</v>
      </c>
      <c r="B4661" s="83" t="s">
        <v>6331</v>
      </c>
      <c r="C4661" s="81" t="s">
        <v>4621</v>
      </c>
      <c r="D4661" s="83" t="s">
        <v>4800</v>
      </c>
      <c r="E4661" s="81" t="s">
        <v>3848</v>
      </c>
      <c r="F4661" s="84">
        <v>738.0</v>
      </c>
      <c r="G4661" s="81" t="s">
        <v>39</v>
      </c>
      <c r="H4661" s="81" t="s">
        <v>6245</v>
      </c>
      <c r="I4661" s="81" t="s">
        <v>3850</v>
      </c>
      <c r="J4661" s="81" t="s">
        <v>224</v>
      </c>
    </row>
    <row r="4662" hidden="1">
      <c r="A4662" s="83" t="s">
        <v>6330</v>
      </c>
      <c r="B4662" s="83" t="s">
        <v>6331</v>
      </c>
      <c r="C4662" s="81" t="s">
        <v>6333</v>
      </c>
      <c r="D4662" s="83" t="s">
        <v>4800</v>
      </c>
      <c r="E4662" s="81" t="s">
        <v>3848</v>
      </c>
      <c r="F4662" s="84">
        <v>738.0</v>
      </c>
      <c r="G4662" s="81" t="s">
        <v>40</v>
      </c>
      <c r="H4662" s="81" t="s">
        <v>6246</v>
      </c>
      <c r="I4662" s="81" t="s">
        <v>224</v>
      </c>
      <c r="J4662" s="81" t="s">
        <v>5143</v>
      </c>
    </row>
    <row r="4663" hidden="1">
      <c r="A4663" s="83" t="s">
        <v>6330</v>
      </c>
      <c r="B4663" s="83" t="s">
        <v>6331</v>
      </c>
      <c r="C4663" s="81" t="s">
        <v>4621</v>
      </c>
      <c r="D4663" s="83" t="s">
        <v>4800</v>
      </c>
      <c r="E4663" s="81" t="s">
        <v>3851</v>
      </c>
      <c r="F4663" s="84">
        <v>739.0</v>
      </c>
      <c r="G4663" s="81" t="s">
        <v>39</v>
      </c>
      <c r="H4663" s="81" t="s">
        <v>6245</v>
      </c>
      <c r="I4663" s="81" t="s">
        <v>3850</v>
      </c>
      <c r="J4663" s="81" t="s">
        <v>224</v>
      </c>
    </row>
    <row r="4664" hidden="1">
      <c r="A4664" s="83" t="s">
        <v>6330</v>
      </c>
      <c r="B4664" s="83" t="s">
        <v>6331</v>
      </c>
      <c r="C4664" s="81" t="s">
        <v>6333</v>
      </c>
      <c r="D4664" s="83" t="s">
        <v>4800</v>
      </c>
      <c r="E4664" s="81" t="s">
        <v>3851</v>
      </c>
      <c r="F4664" s="84">
        <v>739.0</v>
      </c>
      <c r="G4664" s="81" t="s">
        <v>40</v>
      </c>
      <c r="H4664" s="81" t="s">
        <v>6246</v>
      </c>
      <c r="I4664" s="81" t="s">
        <v>224</v>
      </c>
      <c r="J4664" s="81" t="s">
        <v>5143</v>
      </c>
    </row>
    <row r="4665" hidden="1">
      <c r="A4665" s="83" t="s">
        <v>6330</v>
      </c>
      <c r="B4665" s="83" t="s">
        <v>6331</v>
      </c>
      <c r="C4665" s="81" t="s">
        <v>4621</v>
      </c>
      <c r="D4665" s="83" t="s">
        <v>4802</v>
      </c>
      <c r="E4665" s="81" t="s">
        <v>3852</v>
      </c>
      <c r="F4665" s="84">
        <v>740.0</v>
      </c>
      <c r="G4665" s="81" t="s">
        <v>39</v>
      </c>
      <c r="H4665" s="81" t="s">
        <v>6247</v>
      </c>
      <c r="I4665" s="81" t="s">
        <v>3853</v>
      </c>
      <c r="J4665" s="81" t="s">
        <v>224</v>
      </c>
    </row>
    <row r="4666" hidden="1">
      <c r="A4666" s="83" t="s">
        <v>6330</v>
      </c>
      <c r="B4666" s="83" t="s">
        <v>6331</v>
      </c>
      <c r="C4666" s="81" t="s">
        <v>6333</v>
      </c>
      <c r="D4666" s="83" t="s">
        <v>4802</v>
      </c>
      <c r="E4666" s="81" t="s">
        <v>3852</v>
      </c>
      <c r="F4666" s="84">
        <v>740.0</v>
      </c>
      <c r="G4666" s="81" t="s">
        <v>40</v>
      </c>
      <c r="H4666" s="81" t="s">
        <v>6248</v>
      </c>
      <c r="I4666" s="81" t="s">
        <v>224</v>
      </c>
      <c r="J4666" s="81" t="s">
        <v>5143</v>
      </c>
    </row>
    <row r="4667" hidden="1">
      <c r="A4667" s="83" t="s">
        <v>6330</v>
      </c>
      <c r="B4667" s="83" t="s">
        <v>6331</v>
      </c>
      <c r="C4667" s="81" t="s">
        <v>4621</v>
      </c>
      <c r="D4667" s="83" t="s">
        <v>4803</v>
      </c>
      <c r="E4667" s="81" t="s">
        <v>3854</v>
      </c>
      <c r="F4667" s="84">
        <v>741.0</v>
      </c>
      <c r="G4667" s="81" t="s">
        <v>39</v>
      </c>
      <c r="H4667" s="81" t="s">
        <v>6249</v>
      </c>
      <c r="I4667" s="81" t="s">
        <v>3856</v>
      </c>
      <c r="J4667" s="81" t="s">
        <v>224</v>
      </c>
    </row>
    <row r="4668" hidden="1">
      <c r="A4668" s="83" t="s">
        <v>6330</v>
      </c>
      <c r="B4668" s="83" t="s">
        <v>6331</v>
      </c>
      <c r="C4668" s="81" t="s">
        <v>6333</v>
      </c>
      <c r="D4668" s="83" t="s">
        <v>4803</v>
      </c>
      <c r="E4668" s="81" t="s">
        <v>3854</v>
      </c>
      <c r="F4668" s="84">
        <v>741.0</v>
      </c>
      <c r="G4668" s="81" t="s">
        <v>40</v>
      </c>
      <c r="H4668" s="81" t="s">
        <v>6250</v>
      </c>
      <c r="I4668" s="81" t="s">
        <v>224</v>
      </c>
      <c r="J4668" s="81" t="s">
        <v>5143</v>
      </c>
    </row>
    <row r="4669" hidden="1">
      <c r="A4669" s="83" t="s">
        <v>6330</v>
      </c>
      <c r="B4669" s="83" t="s">
        <v>6331</v>
      </c>
      <c r="C4669" s="81" t="s">
        <v>6333</v>
      </c>
      <c r="D4669" s="83" t="s">
        <v>4804</v>
      </c>
      <c r="E4669" s="81" t="s">
        <v>3857</v>
      </c>
      <c r="F4669" s="84">
        <v>742.0</v>
      </c>
      <c r="G4669" s="81" t="s">
        <v>39</v>
      </c>
      <c r="H4669" s="81" t="s">
        <v>5425</v>
      </c>
      <c r="I4669" s="81" t="s">
        <v>224</v>
      </c>
      <c r="J4669" s="81" t="s">
        <v>5143</v>
      </c>
    </row>
    <row r="4670" hidden="1">
      <c r="A4670" s="83" t="s">
        <v>6330</v>
      </c>
      <c r="B4670" s="83" t="s">
        <v>6331</v>
      </c>
      <c r="C4670" s="81" t="s">
        <v>6333</v>
      </c>
      <c r="D4670" s="83" t="s">
        <v>4804</v>
      </c>
      <c r="E4670" s="81" t="s">
        <v>3857</v>
      </c>
      <c r="F4670" s="84">
        <v>742.0</v>
      </c>
      <c r="G4670" s="81" t="s">
        <v>40</v>
      </c>
      <c r="H4670" s="81" t="s">
        <v>5426</v>
      </c>
      <c r="I4670" s="81" t="s">
        <v>224</v>
      </c>
      <c r="J4670" s="81" t="s">
        <v>5143</v>
      </c>
    </row>
    <row r="4671" hidden="1">
      <c r="A4671" s="83" t="s">
        <v>6330</v>
      </c>
      <c r="B4671" s="83" t="s">
        <v>6331</v>
      </c>
      <c r="C4671" s="81" t="s">
        <v>6333</v>
      </c>
      <c r="D4671" s="83" t="s">
        <v>4804</v>
      </c>
      <c r="E4671" s="81" t="s">
        <v>3858</v>
      </c>
      <c r="F4671" s="84">
        <v>743.0</v>
      </c>
      <c r="G4671" s="81" t="s">
        <v>39</v>
      </c>
      <c r="H4671" s="81" t="s">
        <v>5425</v>
      </c>
      <c r="I4671" s="81" t="s">
        <v>224</v>
      </c>
      <c r="J4671" s="81" t="s">
        <v>5143</v>
      </c>
    </row>
    <row r="4672" hidden="1">
      <c r="A4672" s="83" t="s">
        <v>6330</v>
      </c>
      <c r="B4672" s="83" t="s">
        <v>6331</v>
      </c>
      <c r="C4672" s="81" t="s">
        <v>6333</v>
      </c>
      <c r="D4672" s="83" t="s">
        <v>4804</v>
      </c>
      <c r="E4672" s="81" t="s">
        <v>3858</v>
      </c>
      <c r="F4672" s="84">
        <v>743.0</v>
      </c>
      <c r="G4672" s="81" t="s">
        <v>40</v>
      </c>
      <c r="H4672" s="81" t="s">
        <v>5426</v>
      </c>
      <c r="I4672" s="81" t="s">
        <v>224</v>
      </c>
      <c r="J4672" s="81" t="s">
        <v>5143</v>
      </c>
    </row>
    <row r="4673" hidden="1">
      <c r="A4673" s="83" t="s">
        <v>6330</v>
      </c>
      <c r="B4673" s="83" t="s">
        <v>6331</v>
      </c>
      <c r="C4673" s="81" t="s">
        <v>6333</v>
      </c>
      <c r="D4673" s="83" t="s">
        <v>4805</v>
      </c>
      <c r="E4673" s="81" t="s">
        <v>3859</v>
      </c>
      <c r="F4673" s="84">
        <v>744.0</v>
      </c>
      <c r="G4673" s="81" t="s">
        <v>39</v>
      </c>
      <c r="H4673" s="81" t="s">
        <v>5423</v>
      </c>
      <c r="I4673" s="81" t="s">
        <v>224</v>
      </c>
      <c r="J4673" s="81" t="s">
        <v>5143</v>
      </c>
    </row>
    <row r="4674" hidden="1">
      <c r="A4674" s="83" t="s">
        <v>6330</v>
      </c>
      <c r="B4674" s="83" t="s">
        <v>6331</v>
      </c>
      <c r="C4674" s="81" t="s">
        <v>6333</v>
      </c>
      <c r="D4674" s="83" t="s">
        <v>4805</v>
      </c>
      <c r="E4674" s="81" t="s">
        <v>3859</v>
      </c>
      <c r="F4674" s="84">
        <v>744.0</v>
      </c>
      <c r="G4674" s="81" t="s">
        <v>40</v>
      </c>
      <c r="H4674" s="81" t="s">
        <v>5424</v>
      </c>
      <c r="I4674" s="81" t="s">
        <v>224</v>
      </c>
      <c r="J4674" s="81" t="s">
        <v>5143</v>
      </c>
    </row>
    <row r="4675" hidden="1">
      <c r="A4675" s="83" t="s">
        <v>6330</v>
      </c>
      <c r="B4675" s="83" t="s">
        <v>6331</v>
      </c>
      <c r="C4675" s="81" t="s">
        <v>6333</v>
      </c>
      <c r="D4675" s="83" t="s">
        <v>4806</v>
      </c>
      <c r="E4675" s="81" t="s">
        <v>3860</v>
      </c>
      <c r="F4675" s="84">
        <v>745.0</v>
      </c>
      <c r="G4675" s="81" t="s">
        <v>39</v>
      </c>
      <c r="H4675" s="81" t="s">
        <v>6251</v>
      </c>
      <c r="I4675" s="81" t="s">
        <v>224</v>
      </c>
      <c r="J4675" s="81" t="s">
        <v>5143</v>
      </c>
    </row>
    <row r="4676" hidden="1">
      <c r="A4676" s="83" t="s">
        <v>6330</v>
      </c>
      <c r="B4676" s="83" t="s">
        <v>6331</v>
      </c>
      <c r="C4676" s="81" t="s">
        <v>6333</v>
      </c>
      <c r="D4676" s="83" t="s">
        <v>4806</v>
      </c>
      <c r="E4676" s="81" t="s">
        <v>3860</v>
      </c>
      <c r="F4676" s="84">
        <v>745.0</v>
      </c>
      <c r="G4676" s="81" t="s">
        <v>40</v>
      </c>
      <c r="H4676" s="81" t="s">
        <v>5422</v>
      </c>
      <c r="I4676" s="81" t="s">
        <v>224</v>
      </c>
      <c r="J4676" s="81" t="s">
        <v>5143</v>
      </c>
    </row>
    <row r="4677" hidden="1">
      <c r="A4677" s="83" t="s">
        <v>6330</v>
      </c>
      <c r="B4677" s="83" t="s">
        <v>6331</v>
      </c>
      <c r="C4677" s="81" t="s">
        <v>6333</v>
      </c>
      <c r="D4677" s="83" t="s">
        <v>4806</v>
      </c>
      <c r="E4677" s="81" t="s">
        <v>3861</v>
      </c>
      <c r="F4677" s="84">
        <v>746.0</v>
      </c>
      <c r="G4677" s="81" t="s">
        <v>39</v>
      </c>
      <c r="H4677" s="81" t="s">
        <v>6251</v>
      </c>
      <c r="I4677" s="81" t="s">
        <v>224</v>
      </c>
      <c r="J4677" s="81" t="s">
        <v>5143</v>
      </c>
    </row>
    <row r="4678" hidden="1">
      <c r="A4678" s="83" t="s">
        <v>6330</v>
      </c>
      <c r="B4678" s="83" t="s">
        <v>6331</v>
      </c>
      <c r="C4678" s="81" t="s">
        <v>6333</v>
      </c>
      <c r="D4678" s="83" t="s">
        <v>4806</v>
      </c>
      <c r="E4678" s="81" t="s">
        <v>3861</v>
      </c>
      <c r="F4678" s="84">
        <v>746.0</v>
      </c>
      <c r="G4678" s="81" t="s">
        <v>40</v>
      </c>
      <c r="H4678" s="81" t="s">
        <v>5422</v>
      </c>
      <c r="I4678" s="81" t="s">
        <v>224</v>
      </c>
      <c r="J4678" s="81" t="s">
        <v>5143</v>
      </c>
    </row>
    <row r="4679" hidden="1">
      <c r="A4679" s="83" t="s">
        <v>6330</v>
      </c>
      <c r="B4679" s="83" t="s">
        <v>6331</v>
      </c>
      <c r="C4679" s="81" t="s">
        <v>6333</v>
      </c>
      <c r="D4679" s="83" t="s">
        <v>4807</v>
      </c>
      <c r="E4679" s="81" t="s">
        <v>3862</v>
      </c>
      <c r="F4679" s="84">
        <v>747.0</v>
      </c>
      <c r="G4679" s="81" t="s">
        <v>39</v>
      </c>
      <c r="H4679" s="81" t="s">
        <v>6252</v>
      </c>
      <c r="I4679" s="81" t="s">
        <v>224</v>
      </c>
      <c r="J4679" s="81" t="s">
        <v>5143</v>
      </c>
    </row>
    <row r="4680" hidden="1">
      <c r="A4680" s="83" t="s">
        <v>6330</v>
      </c>
      <c r="B4680" s="83" t="s">
        <v>6331</v>
      </c>
      <c r="C4680" s="81" t="s">
        <v>6333</v>
      </c>
      <c r="D4680" s="83" t="s">
        <v>4807</v>
      </c>
      <c r="E4680" s="81" t="s">
        <v>3862</v>
      </c>
      <c r="F4680" s="84">
        <v>747.0</v>
      </c>
      <c r="G4680" s="81" t="s">
        <v>40</v>
      </c>
      <c r="H4680" s="81" t="s">
        <v>5419</v>
      </c>
      <c r="I4680" s="81" t="s">
        <v>224</v>
      </c>
      <c r="J4680" s="81" t="s">
        <v>5143</v>
      </c>
    </row>
    <row r="4681" hidden="1">
      <c r="A4681" s="83" t="s">
        <v>6330</v>
      </c>
      <c r="B4681" s="83" t="s">
        <v>6331</v>
      </c>
      <c r="C4681" s="81" t="s">
        <v>4621</v>
      </c>
      <c r="D4681" s="83" t="s">
        <v>4808</v>
      </c>
      <c r="E4681" s="81" t="s">
        <v>3863</v>
      </c>
      <c r="F4681" s="84">
        <v>748.0</v>
      </c>
      <c r="G4681" s="81" t="s">
        <v>39</v>
      </c>
      <c r="H4681" s="81" t="s">
        <v>6253</v>
      </c>
      <c r="I4681" s="81" t="s">
        <v>3864</v>
      </c>
      <c r="J4681" s="81" t="s">
        <v>224</v>
      </c>
    </row>
    <row r="4682" hidden="1">
      <c r="A4682" s="83" t="s">
        <v>6330</v>
      </c>
      <c r="B4682" s="83" t="s">
        <v>6331</v>
      </c>
      <c r="C4682" s="81" t="s">
        <v>4621</v>
      </c>
      <c r="D4682" s="83" t="s">
        <v>4808</v>
      </c>
      <c r="E4682" s="81" t="s">
        <v>3863</v>
      </c>
      <c r="F4682" s="84">
        <v>748.0</v>
      </c>
      <c r="G4682" s="81" t="s">
        <v>40</v>
      </c>
      <c r="H4682" s="81" t="s">
        <v>6254</v>
      </c>
      <c r="I4682" s="81" t="s">
        <v>3865</v>
      </c>
      <c r="J4682" s="81" t="s">
        <v>224</v>
      </c>
    </row>
    <row r="4683" hidden="1">
      <c r="A4683" s="83" t="s">
        <v>6330</v>
      </c>
      <c r="B4683" s="83" t="s">
        <v>6331</v>
      </c>
      <c r="C4683" s="81" t="s">
        <v>4621</v>
      </c>
      <c r="D4683" s="83" t="s">
        <v>4808</v>
      </c>
      <c r="E4683" s="81" t="s">
        <v>3867</v>
      </c>
      <c r="F4683" s="84">
        <v>749.0</v>
      </c>
      <c r="G4683" s="81" t="s">
        <v>39</v>
      </c>
      <c r="H4683" s="81" t="s">
        <v>6253</v>
      </c>
      <c r="I4683" s="81" t="s">
        <v>3864</v>
      </c>
      <c r="J4683" s="81" t="s">
        <v>224</v>
      </c>
    </row>
    <row r="4684" hidden="1">
      <c r="A4684" s="83" t="s">
        <v>6330</v>
      </c>
      <c r="B4684" s="83" t="s">
        <v>6331</v>
      </c>
      <c r="C4684" s="81" t="s">
        <v>4621</v>
      </c>
      <c r="D4684" s="83" t="s">
        <v>4808</v>
      </c>
      <c r="E4684" s="81" t="s">
        <v>3867</v>
      </c>
      <c r="F4684" s="84">
        <v>749.0</v>
      </c>
      <c r="G4684" s="81" t="s">
        <v>40</v>
      </c>
      <c r="H4684" s="81" t="s">
        <v>6254</v>
      </c>
      <c r="I4684" s="81" t="s">
        <v>3865</v>
      </c>
      <c r="J4684" s="81" t="s">
        <v>224</v>
      </c>
    </row>
    <row r="4685" hidden="1">
      <c r="A4685" s="83" t="s">
        <v>6330</v>
      </c>
      <c r="B4685" s="83" t="s">
        <v>6331</v>
      </c>
      <c r="C4685" s="81" t="s">
        <v>4621</v>
      </c>
      <c r="D4685" s="83" t="s">
        <v>4809</v>
      </c>
      <c r="E4685" s="81" t="s">
        <v>3868</v>
      </c>
      <c r="F4685" s="84">
        <v>750.0</v>
      </c>
      <c r="G4685" s="81" t="s">
        <v>39</v>
      </c>
      <c r="H4685" s="81" t="s">
        <v>6255</v>
      </c>
      <c r="I4685" s="81" t="s">
        <v>3869</v>
      </c>
      <c r="J4685" s="81" t="s">
        <v>224</v>
      </c>
    </row>
    <row r="4686" hidden="1">
      <c r="A4686" s="83" t="s">
        <v>6330</v>
      </c>
      <c r="B4686" s="83" t="s">
        <v>6331</v>
      </c>
      <c r="C4686" s="81" t="s">
        <v>4621</v>
      </c>
      <c r="D4686" s="83" t="s">
        <v>4809</v>
      </c>
      <c r="E4686" s="81" t="s">
        <v>3868</v>
      </c>
      <c r="F4686" s="84">
        <v>750.0</v>
      </c>
      <c r="G4686" s="81" t="s">
        <v>40</v>
      </c>
      <c r="H4686" s="81" t="s">
        <v>6256</v>
      </c>
      <c r="I4686" s="81" t="s">
        <v>3870</v>
      </c>
      <c r="J4686" s="81" t="s">
        <v>224</v>
      </c>
    </row>
    <row r="4687" hidden="1">
      <c r="A4687" s="83" t="s">
        <v>6330</v>
      </c>
      <c r="B4687" s="83" t="s">
        <v>6331</v>
      </c>
      <c r="C4687" s="81" t="s">
        <v>4621</v>
      </c>
      <c r="D4687" s="83" t="s">
        <v>4810</v>
      </c>
      <c r="E4687" s="81" t="s">
        <v>3871</v>
      </c>
      <c r="F4687" s="84">
        <v>751.0</v>
      </c>
      <c r="G4687" s="81" t="s">
        <v>40</v>
      </c>
      <c r="H4687" s="81" t="s">
        <v>49</v>
      </c>
      <c r="I4687" s="81" t="s">
        <v>3873</v>
      </c>
      <c r="J4687" s="81" t="s">
        <v>224</v>
      </c>
    </row>
    <row r="4688" hidden="1">
      <c r="A4688" s="83" t="s">
        <v>6330</v>
      </c>
      <c r="B4688" s="83" t="s">
        <v>6331</v>
      </c>
      <c r="C4688" s="81" t="s">
        <v>6333</v>
      </c>
      <c r="D4688" s="83" t="s">
        <v>4810</v>
      </c>
      <c r="E4688" s="81" t="s">
        <v>3871</v>
      </c>
      <c r="F4688" s="84">
        <v>751.0</v>
      </c>
      <c r="G4688" s="81" t="s">
        <v>43</v>
      </c>
      <c r="H4688" s="81" t="s">
        <v>49</v>
      </c>
      <c r="I4688" s="81" t="s">
        <v>224</v>
      </c>
      <c r="J4688" s="81" t="s">
        <v>5143</v>
      </c>
    </row>
    <row r="4689" hidden="1">
      <c r="A4689" s="83" t="s">
        <v>6330</v>
      </c>
      <c r="B4689" s="83" t="s">
        <v>6331</v>
      </c>
      <c r="C4689" s="81" t="s">
        <v>4621</v>
      </c>
      <c r="D4689" s="83" t="s">
        <v>4811</v>
      </c>
      <c r="E4689" s="81" t="s">
        <v>3874</v>
      </c>
      <c r="F4689" s="84">
        <v>752.0</v>
      </c>
      <c r="G4689" s="81" t="s">
        <v>40</v>
      </c>
      <c r="H4689" s="81" t="s">
        <v>6257</v>
      </c>
      <c r="I4689" s="81" t="s">
        <v>3876</v>
      </c>
      <c r="J4689" s="81" t="s">
        <v>224</v>
      </c>
    </row>
    <row r="4690" hidden="1">
      <c r="A4690" s="83" t="s">
        <v>6330</v>
      </c>
      <c r="B4690" s="83" t="s">
        <v>6331</v>
      </c>
      <c r="C4690" s="81" t="s">
        <v>6333</v>
      </c>
      <c r="D4690" s="83" t="s">
        <v>4811</v>
      </c>
      <c r="E4690" s="81" t="s">
        <v>3874</v>
      </c>
      <c r="F4690" s="84">
        <v>752.0</v>
      </c>
      <c r="G4690" s="81" t="s">
        <v>43</v>
      </c>
      <c r="H4690" s="81" t="s">
        <v>49</v>
      </c>
      <c r="I4690" s="81" t="s">
        <v>224</v>
      </c>
      <c r="J4690" s="81" t="s">
        <v>5143</v>
      </c>
    </row>
    <row r="4691" hidden="1">
      <c r="A4691" s="83" t="s">
        <v>6330</v>
      </c>
      <c r="B4691" s="83" t="s">
        <v>6331</v>
      </c>
      <c r="C4691" s="81" t="s">
        <v>4621</v>
      </c>
      <c r="D4691" s="83" t="s">
        <v>4813</v>
      </c>
      <c r="E4691" s="81" t="s">
        <v>3877</v>
      </c>
      <c r="F4691" s="84">
        <v>753.0</v>
      </c>
      <c r="G4691" s="81" t="s">
        <v>40</v>
      </c>
      <c r="H4691" s="81" t="s">
        <v>6258</v>
      </c>
      <c r="I4691" s="81" t="s">
        <v>3876</v>
      </c>
      <c r="J4691" s="81" t="s">
        <v>224</v>
      </c>
    </row>
    <row r="4692" hidden="1">
      <c r="A4692" s="83" t="s">
        <v>6330</v>
      </c>
      <c r="B4692" s="83" t="s">
        <v>6331</v>
      </c>
      <c r="C4692" s="81" t="s">
        <v>6333</v>
      </c>
      <c r="D4692" s="83" t="s">
        <v>4813</v>
      </c>
      <c r="E4692" s="81" t="s">
        <v>3877</v>
      </c>
      <c r="F4692" s="84">
        <v>753.0</v>
      </c>
      <c r="G4692" s="81" t="s">
        <v>43</v>
      </c>
      <c r="H4692" s="81" t="s">
        <v>49</v>
      </c>
      <c r="I4692" s="81" t="s">
        <v>224</v>
      </c>
      <c r="J4692" s="81" t="s">
        <v>5143</v>
      </c>
    </row>
    <row r="4693" hidden="1">
      <c r="A4693" s="83" t="s">
        <v>6330</v>
      </c>
      <c r="B4693" s="83" t="s">
        <v>6331</v>
      </c>
      <c r="C4693" s="81" t="s">
        <v>4621</v>
      </c>
      <c r="D4693" s="83" t="s">
        <v>4814</v>
      </c>
      <c r="E4693" s="81" t="s">
        <v>3879</v>
      </c>
      <c r="F4693" s="84">
        <v>754.0</v>
      </c>
      <c r="G4693" s="81" t="s">
        <v>40</v>
      </c>
      <c r="H4693" s="81" t="s">
        <v>6259</v>
      </c>
      <c r="I4693" s="81" t="s">
        <v>3881</v>
      </c>
      <c r="J4693" s="81" t="s">
        <v>224</v>
      </c>
    </row>
    <row r="4694" hidden="1">
      <c r="A4694" s="83" t="s">
        <v>6330</v>
      </c>
      <c r="B4694" s="83" t="s">
        <v>6331</v>
      </c>
      <c r="C4694" s="81" t="s">
        <v>6333</v>
      </c>
      <c r="D4694" s="83" t="s">
        <v>4814</v>
      </c>
      <c r="E4694" s="81" t="s">
        <v>3879</v>
      </c>
      <c r="F4694" s="84">
        <v>754.0</v>
      </c>
      <c r="G4694" s="81" t="s">
        <v>43</v>
      </c>
      <c r="H4694" s="81" t="s">
        <v>49</v>
      </c>
      <c r="I4694" s="81" t="s">
        <v>224</v>
      </c>
      <c r="J4694" s="81" t="s">
        <v>5143</v>
      </c>
    </row>
    <row r="4695" hidden="1">
      <c r="A4695" s="83" t="s">
        <v>6330</v>
      </c>
      <c r="B4695" s="83" t="s">
        <v>6331</v>
      </c>
      <c r="C4695" s="81" t="s">
        <v>4621</v>
      </c>
      <c r="D4695" s="83" t="s">
        <v>4815</v>
      </c>
      <c r="E4695" s="81" t="s">
        <v>3882</v>
      </c>
      <c r="F4695" s="84">
        <v>755.0</v>
      </c>
      <c r="G4695" s="81" t="s">
        <v>40</v>
      </c>
      <c r="H4695" s="81" t="s">
        <v>6260</v>
      </c>
      <c r="I4695" s="81" t="s">
        <v>3884</v>
      </c>
      <c r="J4695" s="81" t="s">
        <v>224</v>
      </c>
    </row>
    <row r="4696" hidden="1">
      <c r="A4696" s="83" t="s">
        <v>6330</v>
      </c>
      <c r="B4696" s="83" t="s">
        <v>6331</v>
      </c>
      <c r="C4696" s="81" t="s">
        <v>6333</v>
      </c>
      <c r="D4696" s="83" t="s">
        <v>4815</v>
      </c>
      <c r="E4696" s="81" t="s">
        <v>3882</v>
      </c>
      <c r="F4696" s="84">
        <v>755.0</v>
      </c>
      <c r="G4696" s="81" t="s">
        <v>43</v>
      </c>
      <c r="H4696" s="81" t="s">
        <v>49</v>
      </c>
      <c r="I4696" s="81" t="s">
        <v>224</v>
      </c>
      <c r="J4696" s="81" t="s">
        <v>5143</v>
      </c>
    </row>
    <row r="4697" hidden="1">
      <c r="A4697" s="83" t="s">
        <v>6330</v>
      </c>
      <c r="B4697" s="83" t="s">
        <v>6331</v>
      </c>
      <c r="C4697" s="81" t="s">
        <v>4621</v>
      </c>
      <c r="D4697" s="83" t="s">
        <v>4816</v>
      </c>
      <c r="E4697" s="81" t="s">
        <v>3885</v>
      </c>
      <c r="F4697" s="84">
        <v>756.0</v>
      </c>
      <c r="G4697" s="81" t="s">
        <v>40</v>
      </c>
      <c r="H4697" s="81" t="s">
        <v>6261</v>
      </c>
      <c r="I4697" s="81" t="s">
        <v>3890</v>
      </c>
      <c r="J4697" s="81" t="s">
        <v>224</v>
      </c>
    </row>
    <row r="4698" hidden="1">
      <c r="A4698" s="83" t="s">
        <v>6330</v>
      </c>
      <c r="B4698" s="83" t="s">
        <v>6331</v>
      </c>
      <c r="C4698" s="81" t="s">
        <v>6333</v>
      </c>
      <c r="D4698" s="83" t="s">
        <v>4816</v>
      </c>
      <c r="E4698" s="81" t="s">
        <v>3885</v>
      </c>
      <c r="F4698" s="84">
        <v>756.0</v>
      </c>
      <c r="G4698" s="81" t="s">
        <v>43</v>
      </c>
      <c r="H4698" s="81" t="s">
        <v>3892</v>
      </c>
      <c r="I4698" s="81" t="s">
        <v>224</v>
      </c>
      <c r="J4698" s="81" t="s">
        <v>5143</v>
      </c>
    </row>
    <row r="4699" hidden="1">
      <c r="A4699" s="83" t="s">
        <v>6330</v>
      </c>
      <c r="B4699" s="83" t="s">
        <v>6331</v>
      </c>
      <c r="C4699" s="81" t="s">
        <v>4621</v>
      </c>
      <c r="D4699" s="83" t="s">
        <v>4816</v>
      </c>
      <c r="E4699" s="81" t="s">
        <v>3895</v>
      </c>
      <c r="F4699" s="84">
        <v>757.0</v>
      </c>
      <c r="G4699" s="81" t="s">
        <v>40</v>
      </c>
      <c r="H4699" s="81" t="s">
        <v>6261</v>
      </c>
      <c r="I4699" s="81" t="s">
        <v>3890</v>
      </c>
      <c r="J4699" s="81" t="s">
        <v>224</v>
      </c>
    </row>
    <row r="4700" hidden="1">
      <c r="A4700" s="83" t="s">
        <v>6330</v>
      </c>
      <c r="B4700" s="83" t="s">
        <v>6331</v>
      </c>
      <c r="C4700" s="81" t="s">
        <v>6333</v>
      </c>
      <c r="D4700" s="83" t="s">
        <v>4816</v>
      </c>
      <c r="E4700" s="81" t="s">
        <v>3895</v>
      </c>
      <c r="F4700" s="84">
        <v>757.0</v>
      </c>
      <c r="G4700" s="81" t="s">
        <v>43</v>
      </c>
      <c r="H4700" s="81" t="s">
        <v>3892</v>
      </c>
      <c r="I4700" s="81" t="s">
        <v>224</v>
      </c>
      <c r="J4700" s="81" t="s">
        <v>5143</v>
      </c>
    </row>
    <row r="4701" hidden="1">
      <c r="A4701" s="83" t="s">
        <v>6330</v>
      </c>
      <c r="B4701" s="83" t="s">
        <v>6331</v>
      </c>
      <c r="C4701" s="81" t="s">
        <v>4621</v>
      </c>
      <c r="D4701" s="83" t="s">
        <v>4818</v>
      </c>
      <c r="E4701" s="81" t="s">
        <v>3896</v>
      </c>
      <c r="F4701" s="84">
        <v>758.0</v>
      </c>
      <c r="G4701" s="81" t="s">
        <v>39</v>
      </c>
      <c r="H4701" s="81" t="s">
        <v>6262</v>
      </c>
      <c r="I4701" s="81" t="s">
        <v>3897</v>
      </c>
      <c r="J4701" s="81" t="s">
        <v>224</v>
      </c>
    </row>
    <row r="4702" hidden="1">
      <c r="A4702" s="83" t="s">
        <v>6330</v>
      </c>
      <c r="B4702" s="83" t="s">
        <v>6331</v>
      </c>
      <c r="C4702" s="81" t="s">
        <v>4621</v>
      </c>
      <c r="D4702" s="83" t="s">
        <v>4818</v>
      </c>
      <c r="E4702" s="81" t="s">
        <v>3896</v>
      </c>
      <c r="F4702" s="84">
        <v>758.0</v>
      </c>
      <c r="G4702" s="81" t="s">
        <v>40</v>
      </c>
      <c r="H4702" s="81" t="s">
        <v>6263</v>
      </c>
      <c r="I4702" s="81" t="s">
        <v>6264</v>
      </c>
      <c r="J4702" s="81" t="s">
        <v>224</v>
      </c>
    </row>
    <row r="4703" hidden="1">
      <c r="A4703" s="83" t="s">
        <v>6330</v>
      </c>
      <c r="B4703" s="83" t="s">
        <v>6331</v>
      </c>
      <c r="C4703" s="81" t="s">
        <v>6333</v>
      </c>
      <c r="D4703" s="83" t="s">
        <v>4818</v>
      </c>
      <c r="E4703" s="81" t="s">
        <v>3896</v>
      </c>
      <c r="F4703" s="84">
        <v>758.0</v>
      </c>
      <c r="G4703" s="81" t="s">
        <v>43</v>
      </c>
      <c r="H4703" s="81" t="s">
        <v>3892</v>
      </c>
      <c r="I4703" s="81" t="s">
        <v>224</v>
      </c>
      <c r="J4703" s="81" t="s">
        <v>5143</v>
      </c>
    </row>
    <row r="4704" hidden="1">
      <c r="A4704" s="83" t="s">
        <v>6330</v>
      </c>
      <c r="B4704" s="83" t="s">
        <v>6331</v>
      </c>
      <c r="C4704" s="81" t="s">
        <v>4621</v>
      </c>
      <c r="D4704" s="83" t="s">
        <v>4776</v>
      </c>
      <c r="E4704" s="81" t="s">
        <v>3899</v>
      </c>
      <c r="F4704" s="84">
        <v>759.0</v>
      </c>
      <c r="G4704" s="81" t="s">
        <v>39</v>
      </c>
      <c r="H4704" s="81" t="s">
        <v>6205</v>
      </c>
      <c r="I4704" s="81" t="s">
        <v>3714</v>
      </c>
      <c r="J4704" s="81" t="s">
        <v>224</v>
      </c>
    </row>
    <row r="4705" hidden="1">
      <c r="A4705" s="83" t="s">
        <v>6330</v>
      </c>
      <c r="B4705" s="83" t="s">
        <v>6331</v>
      </c>
      <c r="C4705" s="81" t="s">
        <v>4621</v>
      </c>
      <c r="D4705" s="83" t="s">
        <v>4776</v>
      </c>
      <c r="E4705" s="81" t="s">
        <v>3899</v>
      </c>
      <c r="F4705" s="84">
        <v>759.0</v>
      </c>
      <c r="G4705" s="81" t="s">
        <v>40</v>
      </c>
      <c r="H4705" s="81" t="s">
        <v>6206</v>
      </c>
      <c r="I4705" s="81" t="s">
        <v>6207</v>
      </c>
      <c r="J4705" s="81" t="s">
        <v>224</v>
      </c>
    </row>
    <row r="4706" hidden="1">
      <c r="A4706" s="83" t="s">
        <v>6330</v>
      </c>
      <c r="B4706" s="83" t="s">
        <v>6331</v>
      </c>
      <c r="C4706" s="81" t="s">
        <v>6333</v>
      </c>
      <c r="D4706" s="83" t="s">
        <v>4776</v>
      </c>
      <c r="E4706" s="81" t="s">
        <v>3899</v>
      </c>
      <c r="F4706" s="84">
        <v>759.0</v>
      </c>
      <c r="G4706" s="81" t="s">
        <v>43</v>
      </c>
      <c r="H4706" s="81" t="s">
        <v>6195</v>
      </c>
      <c r="I4706" s="81" t="s">
        <v>224</v>
      </c>
      <c r="J4706" s="81" t="s">
        <v>5143</v>
      </c>
    </row>
    <row r="4707" hidden="1">
      <c r="A4707" s="83" t="s">
        <v>6330</v>
      </c>
      <c r="B4707" s="83" t="s">
        <v>6331</v>
      </c>
      <c r="C4707" s="81" t="s">
        <v>4621</v>
      </c>
      <c r="D4707" s="83" t="s">
        <v>4819</v>
      </c>
      <c r="E4707" s="81" t="s">
        <v>3900</v>
      </c>
      <c r="F4707" s="84">
        <v>760.0</v>
      </c>
      <c r="G4707" s="81" t="s">
        <v>39</v>
      </c>
      <c r="H4707" s="81" t="s">
        <v>6265</v>
      </c>
      <c r="I4707" s="81" t="s">
        <v>3901</v>
      </c>
      <c r="J4707" s="81" t="s">
        <v>224</v>
      </c>
    </row>
    <row r="4708" hidden="1">
      <c r="A4708" s="83" t="s">
        <v>6330</v>
      </c>
      <c r="B4708" s="83" t="s">
        <v>6331</v>
      </c>
      <c r="C4708" s="81" t="s">
        <v>4621</v>
      </c>
      <c r="D4708" s="83" t="s">
        <v>4819</v>
      </c>
      <c r="E4708" s="81" t="s">
        <v>3900</v>
      </c>
      <c r="F4708" s="84">
        <v>760.0</v>
      </c>
      <c r="G4708" s="81" t="s">
        <v>40</v>
      </c>
      <c r="H4708" s="81" t="s">
        <v>6266</v>
      </c>
      <c r="I4708" s="81" t="s">
        <v>6267</v>
      </c>
      <c r="J4708" s="81" t="s">
        <v>224</v>
      </c>
    </row>
    <row r="4709" hidden="1">
      <c r="A4709" s="83" t="s">
        <v>6330</v>
      </c>
      <c r="B4709" s="83" t="s">
        <v>6331</v>
      </c>
      <c r="C4709" s="81" t="s">
        <v>6333</v>
      </c>
      <c r="D4709" s="83" t="s">
        <v>4819</v>
      </c>
      <c r="E4709" s="81" t="s">
        <v>3900</v>
      </c>
      <c r="F4709" s="84">
        <v>760.0</v>
      </c>
      <c r="G4709" s="81" t="s">
        <v>43</v>
      </c>
      <c r="H4709" s="81" t="s">
        <v>6195</v>
      </c>
      <c r="I4709" s="81" t="s">
        <v>224</v>
      </c>
      <c r="J4709" s="81" t="s">
        <v>5143</v>
      </c>
    </row>
    <row r="4710" hidden="1">
      <c r="A4710" s="83" t="s">
        <v>6330</v>
      </c>
      <c r="B4710" s="83" t="s">
        <v>6331</v>
      </c>
      <c r="C4710" s="81" t="s">
        <v>4621</v>
      </c>
      <c r="D4710" s="83" t="s">
        <v>4820</v>
      </c>
      <c r="E4710" s="81" t="s">
        <v>3903</v>
      </c>
      <c r="F4710" s="84">
        <v>761.0</v>
      </c>
      <c r="G4710" s="81" t="s">
        <v>40</v>
      </c>
      <c r="H4710" s="81" t="s">
        <v>49</v>
      </c>
      <c r="I4710" s="81" t="s">
        <v>3905</v>
      </c>
      <c r="J4710" s="81" t="s">
        <v>224</v>
      </c>
    </row>
    <row r="4711" hidden="1">
      <c r="A4711" s="83" t="s">
        <v>6330</v>
      </c>
      <c r="B4711" s="83" t="s">
        <v>6331</v>
      </c>
      <c r="C4711" s="81" t="s">
        <v>6333</v>
      </c>
      <c r="D4711" s="83" t="s">
        <v>4820</v>
      </c>
      <c r="E4711" s="81" t="s">
        <v>3903</v>
      </c>
      <c r="F4711" s="84">
        <v>761.0</v>
      </c>
      <c r="G4711" s="81" t="s">
        <v>43</v>
      </c>
      <c r="H4711" s="81" t="s">
        <v>49</v>
      </c>
      <c r="I4711" s="81" t="s">
        <v>224</v>
      </c>
      <c r="J4711" s="81" t="s">
        <v>5143</v>
      </c>
    </row>
    <row r="4712" hidden="1">
      <c r="A4712" s="83" t="s">
        <v>6330</v>
      </c>
      <c r="B4712" s="83" t="s">
        <v>6331</v>
      </c>
      <c r="C4712" s="81" t="s">
        <v>4621</v>
      </c>
      <c r="D4712" s="83" t="s">
        <v>4821</v>
      </c>
      <c r="E4712" s="81" t="s">
        <v>3906</v>
      </c>
      <c r="F4712" s="84">
        <v>762.0</v>
      </c>
      <c r="G4712" s="81" t="s">
        <v>40</v>
      </c>
      <c r="H4712" s="81" t="s">
        <v>49</v>
      </c>
      <c r="I4712" s="81" t="s">
        <v>3908</v>
      </c>
      <c r="J4712" s="81" t="s">
        <v>224</v>
      </c>
    </row>
    <row r="4713" hidden="1">
      <c r="A4713" s="83" t="s">
        <v>6330</v>
      </c>
      <c r="B4713" s="83" t="s">
        <v>6331</v>
      </c>
      <c r="C4713" s="81" t="s">
        <v>6333</v>
      </c>
      <c r="D4713" s="83" t="s">
        <v>4821</v>
      </c>
      <c r="E4713" s="81" t="s">
        <v>3906</v>
      </c>
      <c r="F4713" s="84">
        <v>762.0</v>
      </c>
      <c r="G4713" s="81" t="s">
        <v>43</v>
      </c>
      <c r="H4713" s="81" t="s">
        <v>49</v>
      </c>
      <c r="I4713" s="81" t="s">
        <v>224</v>
      </c>
      <c r="J4713" s="81" t="s">
        <v>5143</v>
      </c>
    </row>
    <row r="4714" hidden="1">
      <c r="A4714" s="83" t="s">
        <v>6330</v>
      </c>
      <c r="B4714" s="83" t="s">
        <v>6331</v>
      </c>
      <c r="C4714" s="81" t="s">
        <v>4621</v>
      </c>
      <c r="D4714" s="83" t="s">
        <v>4822</v>
      </c>
      <c r="E4714" s="81" t="s">
        <v>3909</v>
      </c>
      <c r="F4714" s="84">
        <v>763.0</v>
      </c>
      <c r="G4714" s="81" t="s">
        <v>39</v>
      </c>
      <c r="H4714" s="81" t="s">
        <v>6268</v>
      </c>
      <c r="I4714" s="81" t="s">
        <v>3912</v>
      </c>
      <c r="J4714" s="81" t="s">
        <v>224</v>
      </c>
    </row>
    <row r="4715" hidden="1">
      <c r="A4715" s="83" t="s">
        <v>6330</v>
      </c>
      <c r="B4715" s="83" t="s">
        <v>6331</v>
      </c>
      <c r="C4715" s="81" t="s">
        <v>4621</v>
      </c>
      <c r="D4715" s="83" t="s">
        <v>4822</v>
      </c>
      <c r="E4715" s="81" t="s">
        <v>3909</v>
      </c>
      <c r="F4715" s="84">
        <v>763.0</v>
      </c>
      <c r="G4715" s="81" t="s">
        <v>40</v>
      </c>
      <c r="H4715" s="81" t="s">
        <v>6269</v>
      </c>
      <c r="I4715" s="81" t="s">
        <v>3913</v>
      </c>
      <c r="J4715" s="81" t="s">
        <v>224</v>
      </c>
    </row>
    <row r="4716" hidden="1">
      <c r="A4716" s="83" t="s">
        <v>6330</v>
      </c>
      <c r="B4716" s="83" t="s">
        <v>6331</v>
      </c>
      <c r="C4716" s="81" t="s">
        <v>6333</v>
      </c>
      <c r="D4716" s="83" t="s">
        <v>4822</v>
      </c>
      <c r="E4716" s="81" t="s">
        <v>3909</v>
      </c>
      <c r="F4716" s="84">
        <v>763.0</v>
      </c>
      <c r="G4716" s="81" t="s">
        <v>43</v>
      </c>
      <c r="H4716" s="81" t="s">
        <v>6270</v>
      </c>
      <c r="I4716" s="81" t="s">
        <v>224</v>
      </c>
      <c r="J4716" s="81" t="s">
        <v>5143</v>
      </c>
    </row>
    <row r="4717" hidden="1">
      <c r="A4717" s="83" t="s">
        <v>6330</v>
      </c>
      <c r="B4717" s="83" t="s">
        <v>6331</v>
      </c>
      <c r="C4717" s="81" t="s">
        <v>4621</v>
      </c>
      <c r="D4717" s="83" t="s">
        <v>4822</v>
      </c>
      <c r="E4717" s="81" t="s">
        <v>3916</v>
      </c>
      <c r="F4717" s="84">
        <v>764.0</v>
      </c>
      <c r="G4717" s="81" t="s">
        <v>39</v>
      </c>
      <c r="H4717" s="81" t="s">
        <v>6268</v>
      </c>
      <c r="I4717" s="81" t="s">
        <v>3912</v>
      </c>
      <c r="J4717" s="81" t="s">
        <v>224</v>
      </c>
    </row>
    <row r="4718" hidden="1">
      <c r="A4718" s="83" t="s">
        <v>6330</v>
      </c>
      <c r="B4718" s="83" t="s">
        <v>6331</v>
      </c>
      <c r="C4718" s="81" t="s">
        <v>4621</v>
      </c>
      <c r="D4718" s="83" t="s">
        <v>4822</v>
      </c>
      <c r="E4718" s="81" t="s">
        <v>3916</v>
      </c>
      <c r="F4718" s="84">
        <v>764.0</v>
      </c>
      <c r="G4718" s="81" t="s">
        <v>40</v>
      </c>
      <c r="H4718" s="81" t="s">
        <v>6269</v>
      </c>
      <c r="I4718" s="81" t="s">
        <v>3913</v>
      </c>
      <c r="J4718" s="81" t="s">
        <v>224</v>
      </c>
    </row>
    <row r="4719" hidden="1">
      <c r="A4719" s="83" t="s">
        <v>6330</v>
      </c>
      <c r="B4719" s="83" t="s">
        <v>6331</v>
      </c>
      <c r="C4719" s="81" t="s">
        <v>6333</v>
      </c>
      <c r="D4719" s="83" t="s">
        <v>4822</v>
      </c>
      <c r="E4719" s="81" t="s">
        <v>3916</v>
      </c>
      <c r="F4719" s="84">
        <v>764.0</v>
      </c>
      <c r="G4719" s="81" t="s">
        <v>43</v>
      </c>
      <c r="H4719" s="81" t="s">
        <v>6270</v>
      </c>
      <c r="I4719" s="81" t="s">
        <v>224</v>
      </c>
      <c r="J4719" s="81" t="s">
        <v>5143</v>
      </c>
    </row>
    <row r="4720" hidden="1">
      <c r="A4720" s="83" t="s">
        <v>6330</v>
      </c>
      <c r="B4720" s="83" t="s">
        <v>6331</v>
      </c>
      <c r="C4720" s="81" t="s">
        <v>4621</v>
      </c>
      <c r="D4720" s="83" t="s">
        <v>4823</v>
      </c>
      <c r="E4720" s="81" t="s">
        <v>3917</v>
      </c>
      <c r="F4720" s="84">
        <v>765.0</v>
      </c>
      <c r="G4720" s="81" t="s">
        <v>39</v>
      </c>
      <c r="H4720" s="81" t="s">
        <v>6271</v>
      </c>
      <c r="I4720" s="81" t="s">
        <v>3918</v>
      </c>
      <c r="J4720" s="81" t="s">
        <v>224</v>
      </c>
    </row>
    <row r="4721" hidden="1">
      <c r="A4721" s="83" t="s">
        <v>6330</v>
      </c>
      <c r="B4721" s="83" t="s">
        <v>6331</v>
      </c>
      <c r="C4721" s="81" t="s">
        <v>4621</v>
      </c>
      <c r="D4721" s="83" t="s">
        <v>4823</v>
      </c>
      <c r="E4721" s="81" t="s">
        <v>3917</v>
      </c>
      <c r="F4721" s="84">
        <v>765.0</v>
      </c>
      <c r="G4721" s="81" t="s">
        <v>40</v>
      </c>
      <c r="H4721" s="81" t="s">
        <v>6272</v>
      </c>
      <c r="I4721" s="81" t="s">
        <v>6273</v>
      </c>
      <c r="J4721" s="81" t="s">
        <v>224</v>
      </c>
    </row>
    <row r="4722" hidden="1">
      <c r="A4722" s="83" t="s">
        <v>6330</v>
      </c>
      <c r="B4722" s="83" t="s">
        <v>6331</v>
      </c>
      <c r="C4722" s="81" t="s">
        <v>6333</v>
      </c>
      <c r="D4722" s="83" t="s">
        <v>4823</v>
      </c>
      <c r="E4722" s="81" t="s">
        <v>3917</v>
      </c>
      <c r="F4722" s="84">
        <v>765.0</v>
      </c>
      <c r="G4722" s="81" t="s">
        <v>43</v>
      </c>
      <c r="H4722" s="81" t="s">
        <v>6270</v>
      </c>
      <c r="I4722" s="81" t="s">
        <v>224</v>
      </c>
      <c r="J4722" s="81" t="s">
        <v>5143</v>
      </c>
    </row>
    <row r="4723" hidden="1">
      <c r="A4723" s="83" t="s">
        <v>6330</v>
      </c>
      <c r="B4723" s="83" t="s">
        <v>6331</v>
      </c>
      <c r="C4723" s="81" t="s">
        <v>4621</v>
      </c>
      <c r="D4723" s="83" t="s">
        <v>4824</v>
      </c>
      <c r="E4723" s="81" t="s">
        <v>3920</v>
      </c>
      <c r="F4723" s="84">
        <v>766.0</v>
      </c>
      <c r="G4723" s="81" t="s">
        <v>39</v>
      </c>
      <c r="H4723" s="81" t="s">
        <v>6274</v>
      </c>
      <c r="I4723" s="81" t="s">
        <v>3921</v>
      </c>
      <c r="J4723" s="81" t="s">
        <v>224</v>
      </c>
    </row>
    <row r="4724" hidden="1">
      <c r="A4724" s="83" t="s">
        <v>6330</v>
      </c>
      <c r="B4724" s="83" t="s">
        <v>6331</v>
      </c>
      <c r="C4724" s="81" t="s">
        <v>4621</v>
      </c>
      <c r="D4724" s="83" t="s">
        <v>4824</v>
      </c>
      <c r="E4724" s="81" t="s">
        <v>3920</v>
      </c>
      <c r="F4724" s="84">
        <v>766.0</v>
      </c>
      <c r="G4724" s="81" t="s">
        <v>40</v>
      </c>
      <c r="H4724" s="81" t="s">
        <v>6275</v>
      </c>
      <c r="I4724" s="81" t="s">
        <v>6276</v>
      </c>
      <c r="J4724" s="81" t="s">
        <v>224</v>
      </c>
    </row>
    <row r="4725" hidden="1">
      <c r="A4725" s="83" t="s">
        <v>6330</v>
      </c>
      <c r="B4725" s="83" t="s">
        <v>6331</v>
      </c>
      <c r="C4725" s="81" t="s">
        <v>6333</v>
      </c>
      <c r="D4725" s="83" t="s">
        <v>4824</v>
      </c>
      <c r="E4725" s="81" t="s">
        <v>3920</v>
      </c>
      <c r="F4725" s="84">
        <v>766.0</v>
      </c>
      <c r="G4725" s="81" t="s">
        <v>43</v>
      </c>
      <c r="H4725" s="81" t="s">
        <v>6270</v>
      </c>
      <c r="I4725" s="81" t="s">
        <v>224</v>
      </c>
      <c r="J4725" s="81" t="s">
        <v>5143</v>
      </c>
    </row>
    <row r="4726" hidden="1">
      <c r="A4726" s="83" t="s">
        <v>6330</v>
      </c>
      <c r="B4726" s="83" t="s">
        <v>6331</v>
      </c>
      <c r="C4726" s="81" t="s">
        <v>4621</v>
      </c>
      <c r="D4726" s="83" t="s">
        <v>4825</v>
      </c>
      <c r="E4726" s="81" t="s">
        <v>3923</v>
      </c>
      <c r="F4726" s="84">
        <v>767.0</v>
      </c>
      <c r="G4726" s="81" t="s">
        <v>39</v>
      </c>
      <c r="H4726" s="81" t="s">
        <v>6277</v>
      </c>
      <c r="I4726" s="81" t="s">
        <v>3924</v>
      </c>
      <c r="J4726" s="81" t="s">
        <v>224</v>
      </c>
    </row>
    <row r="4727" hidden="1">
      <c r="A4727" s="83" t="s">
        <v>6330</v>
      </c>
      <c r="B4727" s="83" t="s">
        <v>6331</v>
      </c>
      <c r="C4727" s="81" t="s">
        <v>4621</v>
      </c>
      <c r="D4727" s="83" t="s">
        <v>4825</v>
      </c>
      <c r="E4727" s="81" t="s">
        <v>3923</v>
      </c>
      <c r="F4727" s="84">
        <v>767.0</v>
      </c>
      <c r="G4727" s="81" t="s">
        <v>40</v>
      </c>
      <c r="H4727" s="81" t="s">
        <v>6278</v>
      </c>
      <c r="I4727" s="81" t="s">
        <v>3925</v>
      </c>
      <c r="J4727" s="81" t="s">
        <v>224</v>
      </c>
    </row>
    <row r="4728" hidden="1">
      <c r="A4728" s="83" t="s">
        <v>6330</v>
      </c>
      <c r="B4728" s="83" t="s">
        <v>6331</v>
      </c>
      <c r="C4728" s="81" t="s">
        <v>6333</v>
      </c>
      <c r="D4728" s="83" t="s">
        <v>4825</v>
      </c>
      <c r="E4728" s="81" t="s">
        <v>3923</v>
      </c>
      <c r="F4728" s="84">
        <v>767.0</v>
      </c>
      <c r="G4728" s="81" t="s">
        <v>43</v>
      </c>
      <c r="H4728" s="81" t="s">
        <v>49</v>
      </c>
      <c r="I4728" s="81" t="s">
        <v>224</v>
      </c>
      <c r="J4728" s="81" t="s">
        <v>5143</v>
      </c>
    </row>
    <row r="4729" hidden="1">
      <c r="A4729" s="83" t="s">
        <v>6330</v>
      </c>
      <c r="B4729" s="83" t="s">
        <v>6331</v>
      </c>
      <c r="C4729" s="81" t="s">
        <v>4621</v>
      </c>
      <c r="D4729" s="83" t="s">
        <v>4826</v>
      </c>
      <c r="E4729" s="81" t="s">
        <v>3926</v>
      </c>
      <c r="F4729" s="84">
        <v>768.0</v>
      </c>
      <c r="G4729" s="81" t="s">
        <v>40</v>
      </c>
      <c r="H4729" s="81" t="s">
        <v>6279</v>
      </c>
      <c r="I4729" s="81" t="s">
        <v>3928</v>
      </c>
      <c r="J4729" s="81" t="s">
        <v>224</v>
      </c>
    </row>
    <row r="4730" hidden="1">
      <c r="A4730" s="83" t="s">
        <v>6330</v>
      </c>
      <c r="B4730" s="83" t="s">
        <v>6331</v>
      </c>
      <c r="C4730" s="81" t="s">
        <v>6333</v>
      </c>
      <c r="D4730" s="83" t="s">
        <v>4826</v>
      </c>
      <c r="E4730" s="81" t="s">
        <v>3926</v>
      </c>
      <c r="F4730" s="84">
        <v>768.0</v>
      </c>
      <c r="G4730" s="81" t="s">
        <v>43</v>
      </c>
      <c r="H4730" s="81" t="s">
        <v>49</v>
      </c>
      <c r="I4730" s="81" t="s">
        <v>224</v>
      </c>
      <c r="J4730" s="81" t="s">
        <v>5143</v>
      </c>
    </row>
    <row r="4731" hidden="1">
      <c r="A4731" s="83" t="s">
        <v>6330</v>
      </c>
      <c r="B4731" s="83" t="s">
        <v>6331</v>
      </c>
      <c r="C4731" s="81" t="s">
        <v>4621</v>
      </c>
      <c r="D4731" s="83" t="s">
        <v>4827</v>
      </c>
      <c r="E4731" s="81" t="s">
        <v>3929</v>
      </c>
      <c r="F4731" s="84">
        <v>769.0</v>
      </c>
      <c r="G4731" s="81" t="s">
        <v>40</v>
      </c>
      <c r="H4731" s="81" t="s">
        <v>6280</v>
      </c>
      <c r="I4731" s="81" t="s">
        <v>3931</v>
      </c>
      <c r="J4731" s="81" t="s">
        <v>224</v>
      </c>
    </row>
    <row r="4732" hidden="1">
      <c r="A4732" s="83" t="s">
        <v>6330</v>
      </c>
      <c r="B4732" s="83" t="s">
        <v>6331</v>
      </c>
      <c r="C4732" s="81" t="s">
        <v>6333</v>
      </c>
      <c r="D4732" s="83" t="s">
        <v>4827</v>
      </c>
      <c r="E4732" s="81" t="s">
        <v>3929</v>
      </c>
      <c r="F4732" s="84">
        <v>769.0</v>
      </c>
      <c r="G4732" s="81" t="s">
        <v>43</v>
      </c>
      <c r="H4732" s="81" t="s">
        <v>49</v>
      </c>
      <c r="I4732" s="81" t="s">
        <v>224</v>
      </c>
      <c r="J4732" s="81" t="s">
        <v>5143</v>
      </c>
    </row>
    <row r="4733" hidden="1">
      <c r="A4733" s="83" t="s">
        <v>6330</v>
      </c>
      <c r="B4733" s="83" t="s">
        <v>6331</v>
      </c>
      <c r="C4733" s="81" t="s">
        <v>4621</v>
      </c>
      <c r="D4733" s="83" t="s">
        <v>4828</v>
      </c>
      <c r="E4733" s="81" t="s">
        <v>3932</v>
      </c>
      <c r="F4733" s="84">
        <v>770.0</v>
      </c>
      <c r="G4733" s="81" t="s">
        <v>39</v>
      </c>
      <c r="H4733" s="81" t="s">
        <v>6281</v>
      </c>
      <c r="I4733" s="81" t="s">
        <v>3933</v>
      </c>
      <c r="J4733" s="81" t="s">
        <v>224</v>
      </c>
    </row>
    <row r="4734" hidden="1">
      <c r="A4734" s="83" t="s">
        <v>6330</v>
      </c>
      <c r="B4734" s="83" t="s">
        <v>6331</v>
      </c>
      <c r="C4734" s="81" t="s">
        <v>4621</v>
      </c>
      <c r="D4734" s="83" t="s">
        <v>4828</v>
      </c>
      <c r="E4734" s="81" t="s">
        <v>3932</v>
      </c>
      <c r="F4734" s="84">
        <v>770.0</v>
      </c>
      <c r="G4734" s="81" t="s">
        <v>40</v>
      </c>
      <c r="H4734" s="81" t="s">
        <v>6282</v>
      </c>
      <c r="I4734" s="81" t="s">
        <v>6283</v>
      </c>
      <c r="J4734" s="81" t="s">
        <v>224</v>
      </c>
    </row>
    <row r="4735" hidden="1">
      <c r="A4735" s="83" t="s">
        <v>6330</v>
      </c>
      <c r="B4735" s="83" t="s">
        <v>6331</v>
      </c>
      <c r="C4735" s="81" t="s">
        <v>6333</v>
      </c>
      <c r="D4735" s="83" t="s">
        <v>4828</v>
      </c>
      <c r="E4735" s="81" t="s">
        <v>3932</v>
      </c>
      <c r="F4735" s="84">
        <v>770.0</v>
      </c>
      <c r="G4735" s="81" t="s">
        <v>43</v>
      </c>
      <c r="H4735" s="81" t="s">
        <v>6270</v>
      </c>
      <c r="I4735" s="81" t="s">
        <v>224</v>
      </c>
      <c r="J4735" s="81" t="s">
        <v>5143</v>
      </c>
    </row>
    <row r="4736" hidden="1">
      <c r="A4736" s="83" t="s">
        <v>6330</v>
      </c>
      <c r="B4736" s="83" t="s">
        <v>6331</v>
      </c>
      <c r="C4736" s="81" t="s">
        <v>4621</v>
      </c>
      <c r="D4736" s="83" t="s">
        <v>4828</v>
      </c>
      <c r="E4736" s="81" t="s">
        <v>3935</v>
      </c>
      <c r="F4736" s="84">
        <v>771.0</v>
      </c>
      <c r="G4736" s="81" t="s">
        <v>39</v>
      </c>
      <c r="H4736" s="81" t="s">
        <v>6281</v>
      </c>
      <c r="I4736" s="81" t="s">
        <v>3933</v>
      </c>
      <c r="J4736" s="81" t="s">
        <v>224</v>
      </c>
    </row>
    <row r="4737" hidden="1">
      <c r="A4737" s="83" t="s">
        <v>6330</v>
      </c>
      <c r="B4737" s="83" t="s">
        <v>6331</v>
      </c>
      <c r="C4737" s="81" t="s">
        <v>4621</v>
      </c>
      <c r="D4737" s="83" t="s">
        <v>4828</v>
      </c>
      <c r="E4737" s="81" t="s">
        <v>3935</v>
      </c>
      <c r="F4737" s="84">
        <v>771.0</v>
      </c>
      <c r="G4737" s="81" t="s">
        <v>40</v>
      </c>
      <c r="H4737" s="81" t="s">
        <v>6282</v>
      </c>
      <c r="I4737" s="81" t="s">
        <v>6283</v>
      </c>
      <c r="J4737" s="81" t="s">
        <v>224</v>
      </c>
    </row>
    <row r="4738" hidden="1">
      <c r="A4738" s="83" t="s">
        <v>6330</v>
      </c>
      <c r="B4738" s="83" t="s">
        <v>6331</v>
      </c>
      <c r="C4738" s="81" t="s">
        <v>6333</v>
      </c>
      <c r="D4738" s="83" t="s">
        <v>4828</v>
      </c>
      <c r="E4738" s="81" t="s">
        <v>3935</v>
      </c>
      <c r="F4738" s="84">
        <v>771.0</v>
      </c>
      <c r="G4738" s="81" t="s">
        <v>43</v>
      </c>
      <c r="H4738" s="81" t="s">
        <v>6270</v>
      </c>
      <c r="I4738" s="81" t="s">
        <v>224</v>
      </c>
      <c r="J4738" s="81" t="s">
        <v>5143</v>
      </c>
    </row>
    <row r="4739" hidden="1">
      <c r="A4739" s="83" t="s">
        <v>6330</v>
      </c>
      <c r="B4739" s="83" t="s">
        <v>6331</v>
      </c>
      <c r="C4739" s="81" t="s">
        <v>4621</v>
      </c>
      <c r="D4739" s="83" t="s">
        <v>4829</v>
      </c>
      <c r="E4739" s="81" t="s">
        <v>3936</v>
      </c>
      <c r="F4739" s="84">
        <v>772.0</v>
      </c>
      <c r="G4739" s="81" t="s">
        <v>39</v>
      </c>
      <c r="H4739" s="81" t="s">
        <v>6284</v>
      </c>
      <c r="I4739" s="81" t="s">
        <v>3937</v>
      </c>
      <c r="J4739" s="81" t="s">
        <v>224</v>
      </c>
    </row>
    <row r="4740" hidden="1">
      <c r="A4740" s="83" t="s">
        <v>6330</v>
      </c>
      <c r="B4740" s="83" t="s">
        <v>6331</v>
      </c>
      <c r="C4740" s="81" t="s">
        <v>4621</v>
      </c>
      <c r="D4740" s="83" t="s">
        <v>4829</v>
      </c>
      <c r="E4740" s="81" t="s">
        <v>3936</v>
      </c>
      <c r="F4740" s="84">
        <v>772.0</v>
      </c>
      <c r="G4740" s="81" t="s">
        <v>40</v>
      </c>
      <c r="H4740" s="81" t="s">
        <v>6285</v>
      </c>
      <c r="I4740" s="81" t="s">
        <v>6286</v>
      </c>
      <c r="J4740" s="81" t="s">
        <v>224</v>
      </c>
    </row>
    <row r="4741" hidden="1">
      <c r="A4741" s="83" t="s">
        <v>6330</v>
      </c>
      <c r="B4741" s="83" t="s">
        <v>6331</v>
      </c>
      <c r="C4741" s="81" t="s">
        <v>6333</v>
      </c>
      <c r="D4741" s="83" t="s">
        <v>4829</v>
      </c>
      <c r="E4741" s="81" t="s">
        <v>3936</v>
      </c>
      <c r="F4741" s="84">
        <v>772.0</v>
      </c>
      <c r="G4741" s="81" t="s">
        <v>43</v>
      </c>
      <c r="H4741" s="81" t="s">
        <v>6270</v>
      </c>
      <c r="I4741" s="81" t="s">
        <v>224</v>
      </c>
      <c r="J4741" s="81" t="s">
        <v>5143</v>
      </c>
    </row>
    <row r="4742" hidden="1">
      <c r="A4742" s="83" t="s">
        <v>6330</v>
      </c>
      <c r="B4742" s="83" t="s">
        <v>6331</v>
      </c>
      <c r="C4742" s="81" t="s">
        <v>4621</v>
      </c>
      <c r="D4742" s="83" t="s">
        <v>4830</v>
      </c>
      <c r="E4742" s="81" t="s">
        <v>3939</v>
      </c>
      <c r="F4742" s="84">
        <v>773.0</v>
      </c>
      <c r="G4742" s="81" t="s">
        <v>40</v>
      </c>
      <c r="H4742" s="81" t="s">
        <v>6287</v>
      </c>
      <c r="I4742" s="81" t="s">
        <v>3941</v>
      </c>
      <c r="J4742" s="81" t="s">
        <v>224</v>
      </c>
    </row>
    <row r="4743" hidden="1">
      <c r="A4743" s="83" t="s">
        <v>6330</v>
      </c>
      <c r="B4743" s="83" t="s">
        <v>6331</v>
      </c>
      <c r="C4743" s="81" t="s">
        <v>6333</v>
      </c>
      <c r="D4743" s="83" t="s">
        <v>4830</v>
      </c>
      <c r="E4743" s="81" t="s">
        <v>3939</v>
      </c>
      <c r="F4743" s="84">
        <v>773.0</v>
      </c>
      <c r="G4743" s="81" t="s">
        <v>43</v>
      </c>
      <c r="H4743" s="81" t="s">
        <v>49</v>
      </c>
      <c r="I4743" s="81" t="s">
        <v>224</v>
      </c>
      <c r="J4743" s="81" t="s">
        <v>5143</v>
      </c>
    </row>
    <row r="4744" hidden="1">
      <c r="A4744" s="83" t="s">
        <v>6330</v>
      </c>
      <c r="B4744" s="83" t="s">
        <v>6331</v>
      </c>
      <c r="C4744" s="81" t="s">
        <v>4621</v>
      </c>
      <c r="D4744" s="83" t="s">
        <v>4831</v>
      </c>
      <c r="E4744" s="81" t="s">
        <v>3942</v>
      </c>
      <c r="F4744" s="84">
        <v>774.0</v>
      </c>
      <c r="G4744" s="81" t="s">
        <v>40</v>
      </c>
      <c r="H4744" s="81" t="s">
        <v>6288</v>
      </c>
      <c r="I4744" s="81" t="s">
        <v>3944</v>
      </c>
      <c r="J4744" s="81" t="s">
        <v>224</v>
      </c>
    </row>
    <row r="4745" hidden="1">
      <c r="A4745" s="83" t="s">
        <v>6330</v>
      </c>
      <c r="B4745" s="83" t="s">
        <v>6331</v>
      </c>
      <c r="C4745" s="81" t="s">
        <v>6333</v>
      </c>
      <c r="D4745" s="83" t="s">
        <v>4831</v>
      </c>
      <c r="E4745" s="81" t="s">
        <v>3942</v>
      </c>
      <c r="F4745" s="84">
        <v>774.0</v>
      </c>
      <c r="G4745" s="81" t="s">
        <v>43</v>
      </c>
      <c r="H4745" s="81" t="s">
        <v>49</v>
      </c>
      <c r="I4745" s="81" t="s">
        <v>224</v>
      </c>
      <c r="J4745" s="81" t="s">
        <v>5143</v>
      </c>
    </row>
    <row r="4746" hidden="1">
      <c r="A4746" s="83" t="s">
        <v>6330</v>
      </c>
      <c r="B4746" s="83" t="s">
        <v>6331</v>
      </c>
      <c r="C4746" s="81" t="s">
        <v>4621</v>
      </c>
      <c r="D4746" s="83" t="s">
        <v>4832</v>
      </c>
      <c r="E4746" s="81" t="s">
        <v>3945</v>
      </c>
      <c r="F4746" s="84">
        <v>775.0</v>
      </c>
      <c r="G4746" s="81" t="s">
        <v>39</v>
      </c>
      <c r="H4746" s="81" t="s">
        <v>6289</v>
      </c>
      <c r="I4746" s="81" t="s">
        <v>3949</v>
      </c>
      <c r="J4746" s="81" t="s">
        <v>224</v>
      </c>
    </row>
    <row r="4747" hidden="1">
      <c r="A4747" s="83" t="s">
        <v>6330</v>
      </c>
      <c r="B4747" s="83" t="s">
        <v>6331</v>
      </c>
      <c r="C4747" s="81" t="s">
        <v>4621</v>
      </c>
      <c r="D4747" s="83" t="s">
        <v>4832</v>
      </c>
      <c r="E4747" s="81" t="s">
        <v>3945</v>
      </c>
      <c r="F4747" s="84">
        <v>775.0</v>
      </c>
      <c r="G4747" s="81" t="s">
        <v>40</v>
      </c>
      <c r="H4747" s="81" t="s">
        <v>6290</v>
      </c>
      <c r="I4747" s="81" t="s">
        <v>3950</v>
      </c>
      <c r="J4747" s="81" t="s">
        <v>224</v>
      </c>
    </row>
    <row r="4748" hidden="1">
      <c r="A4748" s="83" t="s">
        <v>6330</v>
      </c>
      <c r="B4748" s="83" t="s">
        <v>6331</v>
      </c>
      <c r="C4748" s="81" t="s">
        <v>6333</v>
      </c>
      <c r="D4748" s="83" t="s">
        <v>4832</v>
      </c>
      <c r="E4748" s="81" t="s">
        <v>3945</v>
      </c>
      <c r="F4748" s="84">
        <v>775.0</v>
      </c>
      <c r="G4748" s="81" t="s">
        <v>43</v>
      </c>
      <c r="H4748" s="81" t="s">
        <v>6291</v>
      </c>
      <c r="I4748" s="81" t="s">
        <v>224</v>
      </c>
      <c r="J4748" s="81" t="s">
        <v>5143</v>
      </c>
    </row>
    <row r="4749" hidden="1">
      <c r="A4749" s="83" t="s">
        <v>6330</v>
      </c>
      <c r="B4749" s="83" t="s">
        <v>6331</v>
      </c>
      <c r="C4749" s="81" t="s">
        <v>4621</v>
      </c>
      <c r="D4749" s="83" t="s">
        <v>4832</v>
      </c>
      <c r="E4749" s="81" t="s">
        <v>3955</v>
      </c>
      <c r="F4749" s="84">
        <v>776.0</v>
      </c>
      <c r="G4749" s="81" t="s">
        <v>40</v>
      </c>
      <c r="H4749" s="81" t="s">
        <v>6292</v>
      </c>
      <c r="I4749" s="81" t="s">
        <v>3950</v>
      </c>
      <c r="J4749" s="81" t="s">
        <v>224</v>
      </c>
    </row>
    <row r="4750" hidden="1">
      <c r="A4750" s="83" t="s">
        <v>6330</v>
      </c>
      <c r="B4750" s="83" t="s">
        <v>6331</v>
      </c>
      <c r="C4750" s="81" t="s">
        <v>6333</v>
      </c>
      <c r="D4750" s="83" t="s">
        <v>4832</v>
      </c>
      <c r="E4750" s="81" t="s">
        <v>3955</v>
      </c>
      <c r="F4750" s="84">
        <v>776.0</v>
      </c>
      <c r="G4750" s="81" t="s">
        <v>43</v>
      </c>
      <c r="H4750" s="81" t="s">
        <v>6291</v>
      </c>
      <c r="I4750" s="81" t="s">
        <v>224</v>
      </c>
      <c r="J4750" s="81" t="s">
        <v>5143</v>
      </c>
    </row>
    <row r="4751" hidden="1">
      <c r="A4751" s="83" t="s">
        <v>6330</v>
      </c>
      <c r="B4751" s="83" t="s">
        <v>6331</v>
      </c>
      <c r="C4751" s="81" t="s">
        <v>4621</v>
      </c>
      <c r="D4751" s="83" t="s">
        <v>4833</v>
      </c>
      <c r="E4751" s="81" t="s">
        <v>3956</v>
      </c>
      <c r="F4751" s="84">
        <v>777.0</v>
      </c>
      <c r="G4751" s="81" t="s">
        <v>40</v>
      </c>
      <c r="H4751" s="81" t="s">
        <v>6293</v>
      </c>
      <c r="I4751" s="81" t="s">
        <v>6294</v>
      </c>
      <c r="J4751" s="81" t="s">
        <v>224</v>
      </c>
    </row>
    <row r="4752" hidden="1">
      <c r="A4752" s="83" t="s">
        <v>6330</v>
      </c>
      <c r="B4752" s="83" t="s">
        <v>6331</v>
      </c>
      <c r="C4752" s="81" t="s">
        <v>6333</v>
      </c>
      <c r="D4752" s="83" t="s">
        <v>4833</v>
      </c>
      <c r="E4752" s="81" t="s">
        <v>3956</v>
      </c>
      <c r="F4752" s="84">
        <v>777.0</v>
      </c>
      <c r="G4752" s="81" t="s">
        <v>43</v>
      </c>
      <c r="H4752" s="81" t="s">
        <v>6291</v>
      </c>
      <c r="I4752" s="81" t="s">
        <v>224</v>
      </c>
      <c r="J4752" s="81" t="s">
        <v>5143</v>
      </c>
    </row>
    <row r="4753" hidden="1">
      <c r="A4753" s="83" t="s">
        <v>6330</v>
      </c>
      <c r="B4753" s="83" t="s">
        <v>6331</v>
      </c>
      <c r="C4753" s="81" t="s">
        <v>4621</v>
      </c>
      <c r="D4753" s="83" t="s">
        <v>4834</v>
      </c>
      <c r="E4753" s="81" t="s">
        <v>3959</v>
      </c>
      <c r="F4753" s="84">
        <v>778.0</v>
      </c>
      <c r="G4753" s="81" t="s">
        <v>39</v>
      </c>
      <c r="H4753" s="81" t="s">
        <v>6295</v>
      </c>
      <c r="I4753" s="81" t="s">
        <v>3960</v>
      </c>
      <c r="J4753" s="81" t="s">
        <v>224</v>
      </c>
    </row>
    <row r="4754" hidden="1">
      <c r="A4754" s="83" t="s">
        <v>6330</v>
      </c>
      <c r="B4754" s="83" t="s">
        <v>6331</v>
      </c>
      <c r="C4754" s="81" t="s">
        <v>4621</v>
      </c>
      <c r="D4754" s="83" t="s">
        <v>4834</v>
      </c>
      <c r="E4754" s="81" t="s">
        <v>3959</v>
      </c>
      <c r="F4754" s="84">
        <v>778.0</v>
      </c>
      <c r="G4754" s="81" t="s">
        <v>40</v>
      </c>
      <c r="H4754" s="81" t="s">
        <v>6296</v>
      </c>
      <c r="I4754" s="81" t="s">
        <v>6297</v>
      </c>
      <c r="J4754" s="81" t="s">
        <v>224</v>
      </c>
    </row>
    <row r="4755" hidden="1">
      <c r="A4755" s="83" t="s">
        <v>6330</v>
      </c>
      <c r="B4755" s="83" t="s">
        <v>6331</v>
      </c>
      <c r="C4755" s="81" t="s">
        <v>6333</v>
      </c>
      <c r="D4755" s="83" t="s">
        <v>4834</v>
      </c>
      <c r="E4755" s="81" t="s">
        <v>3959</v>
      </c>
      <c r="F4755" s="84">
        <v>778.0</v>
      </c>
      <c r="G4755" s="81" t="s">
        <v>43</v>
      </c>
      <c r="H4755" s="81" t="s">
        <v>6291</v>
      </c>
      <c r="I4755" s="81" t="s">
        <v>224</v>
      </c>
      <c r="J4755" s="81" t="s">
        <v>5143</v>
      </c>
    </row>
    <row r="4756" hidden="1">
      <c r="A4756" s="83" t="s">
        <v>6330</v>
      </c>
      <c r="B4756" s="83" t="s">
        <v>6331</v>
      </c>
      <c r="C4756" s="81" t="s">
        <v>4621</v>
      </c>
      <c r="D4756" s="83" t="s">
        <v>4835</v>
      </c>
      <c r="E4756" s="81" t="s">
        <v>3962</v>
      </c>
      <c r="F4756" s="84">
        <v>779.0</v>
      </c>
      <c r="G4756" s="81" t="s">
        <v>40</v>
      </c>
      <c r="H4756" s="81" t="s">
        <v>6298</v>
      </c>
      <c r="I4756" s="81" t="s">
        <v>3964</v>
      </c>
      <c r="J4756" s="81" t="s">
        <v>224</v>
      </c>
    </row>
    <row r="4757" hidden="1">
      <c r="A4757" s="83" t="s">
        <v>6330</v>
      </c>
      <c r="B4757" s="83" t="s">
        <v>6331</v>
      </c>
      <c r="C4757" s="81" t="s">
        <v>6333</v>
      </c>
      <c r="D4757" s="83" t="s">
        <v>4835</v>
      </c>
      <c r="E4757" s="81" t="s">
        <v>3962</v>
      </c>
      <c r="F4757" s="84">
        <v>779.0</v>
      </c>
      <c r="G4757" s="81" t="s">
        <v>43</v>
      </c>
      <c r="H4757" s="81" t="s">
        <v>49</v>
      </c>
      <c r="I4757" s="81" t="s">
        <v>224</v>
      </c>
      <c r="J4757" s="81" t="s">
        <v>5143</v>
      </c>
    </row>
    <row r="4758" hidden="1">
      <c r="A4758" s="83" t="s">
        <v>6330</v>
      </c>
      <c r="B4758" s="83" t="s">
        <v>6331</v>
      </c>
      <c r="C4758" s="81" t="s">
        <v>4621</v>
      </c>
      <c r="D4758" s="83" t="s">
        <v>4836</v>
      </c>
      <c r="E4758" s="81" t="s">
        <v>3965</v>
      </c>
      <c r="F4758" s="84">
        <v>780.0</v>
      </c>
      <c r="G4758" s="81" t="s">
        <v>39</v>
      </c>
      <c r="H4758" s="81" t="s">
        <v>6299</v>
      </c>
      <c r="I4758" s="81" t="s">
        <v>3966</v>
      </c>
      <c r="J4758" s="81" t="s">
        <v>224</v>
      </c>
    </row>
    <row r="4759" hidden="1">
      <c r="A4759" s="83" t="s">
        <v>6330</v>
      </c>
      <c r="B4759" s="83" t="s">
        <v>6331</v>
      </c>
      <c r="C4759" s="81" t="s">
        <v>4621</v>
      </c>
      <c r="D4759" s="83" t="s">
        <v>4836</v>
      </c>
      <c r="E4759" s="81" t="s">
        <v>3965</v>
      </c>
      <c r="F4759" s="84">
        <v>780.0</v>
      </c>
      <c r="G4759" s="81" t="s">
        <v>40</v>
      </c>
      <c r="H4759" s="81" t="s">
        <v>49</v>
      </c>
      <c r="I4759" s="81" t="s">
        <v>3967</v>
      </c>
      <c r="J4759" s="81" t="s">
        <v>224</v>
      </c>
    </row>
    <row r="4760" hidden="1">
      <c r="A4760" s="83" t="s">
        <v>6330</v>
      </c>
      <c r="B4760" s="83" t="s">
        <v>6331</v>
      </c>
      <c r="C4760" s="81" t="s">
        <v>6333</v>
      </c>
      <c r="D4760" s="83" t="s">
        <v>4836</v>
      </c>
      <c r="E4760" s="81" t="s">
        <v>3965</v>
      </c>
      <c r="F4760" s="84">
        <v>780.0</v>
      </c>
      <c r="G4760" s="81" t="s">
        <v>43</v>
      </c>
      <c r="H4760" s="81" t="s">
        <v>49</v>
      </c>
      <c r="I4760" s="81" t="s">
        <v>224</v>
      </c>
      <c r="J4760" s="81" t="s">
        <v>5143</v>
      </c>
    </row>
    <row r="4761" hidden="1">
      <c r="A4761" s="83" t="s">
        <v>6330</v>
      </c>
      <c r="B4761" s="83" t="s">
        <v>6331</v>
      </c>
      <c r="C4761" s="81" t="s">
        <v>4621</v>
      </c>
      <c r="D4761" s="83" t="s">
        <v>4837</v>
      </c>
      <c r="E4761" s="81" t="s">
        <v>3968</v>
      </c>
      <c r="F4761" s="84">
        <v>781.0</v>
      </c>
      <c r="G4761" s="81" t="s">
        <v>39</v>
      </c>
      <c r="H4761" s="81" t="s">
        <v>6299</v>
      </c>
      <c r="I4761" s="81" t="s">
        <v>3969</v>
      </c>
      <c r="J4761" s="81" t="s">
        <v>224</v>
      </c>
    </row>
    <row r="4762" hidden="1">
      <c r="A4762" s="83" t="s">
        <v>6330</v>
      </c>
      <c r="B4762" s="83" t="s">
        <v>6331</v>
      </c>
      <c r="C4762" s="81" t="s">
        <v>4621</v>
      </c>
      <c r="D4762" s="83" t="s">
        <v>4837</v>
      </c>
      <c r="E4762" s="81" t="s">
        <v>3968</v>
      </c>
      <c r="F4762" s="84">
        <v>781.0</v>
      </c>
      <c r="G4762" s="81" t="s">
        <v>40</v>
      </c>
      <c r="H4762" s="81" t="s">
        <v>49</v>
      </c>
      <c r="I4762" s="81" t="s">
        <v>3970</v>
      </c>
      <c r="J4762" s="81" t="s">
        <v>224</v>
      </c>
    </row>
    <row r="4763" hidden="1">
      <c r="A4763" s="83" t="s">
        <v>6330</v>
      </c>
      <c r="B4763" s="83" t="s">
        <v>6331</v>
      </c>
      <c r="C4763" s="81" t="s">
        <v>6333</v>
      </c>
      <c r="D4763" s="83" t="s">
        <v>4837</v>
      </c>
      <c r="E4763" s="81" t="s">
        <v>3968</v>
      </c>
      <c r="F4763" s="84">
        <v>781.0</v>
      </c>
      <c r="G4763" s="81" t="s">
        <v>43</v>
      </c>
      <c r="H4763" s="81" t="s">
        <v>49</v>
      </c>
      <c r="I4763" s="81" t="s">
        <v>224</v>
      </c>
      <c r="J4763" s="81" t="s">
        <v>5143</v>
      </c>
    </row>
    <row r="4764" hidden="1">
      <c r="A4764" s="83" t="s">
        <v>6330</v>
      </c>
      <c r="B4764" s="83" t="s">
        <v>6331</v>
      </c>
      <c r="C4764" s="81" t="s">
        <v>4621</v>
      </c>
      <c r="D4764" s="83" t="s">
        <v>4838</v>
      </c>
      <c r="E4764" s="81" t="s">
        <v>3971</v>
      </c>
      <c r="F4764" s="84">
        <v>782.0</v>
      </c>
      <c r="G4764" s="81" t="s">
        <v>40</v>
      </c>
      <c r="H4764" s="81" t="s">
        <v>6300</v>
      </c>
      <c r="I4764" s="81" t="s">
        <v>3976</v>
      </c>
      <c r="J4764" s="81" t="s">
        <v>224</v>
      </c>
    </row>
    <row r="4765" hidden="1">
      <c r="A4765" s="83" t="s">
        <v>6330</v>
      </c>
      <c r="B4765" s="83" t="s">
        <v>6331</v>
      </c>
      <c r="C4765" s="81" t="s">
        <v>6333</v>
      </c>
      <c r="D4765" s="83" t="s">
        <v>4838</v>
      </c>
      <c r="E4765" s="81" t="s">
        <v>3971</v>
      </c>
      <c r="F4765" s="84">
        <v>782.0</v>
      </c>
      <c r="G4765" s="81" t="s">
        <v>43</v>
      </c>
      <c r="H4765" s="81" t="s">
        <v>6301</v>
      </c>
      <c r="I4765" s="81" t="s">
        <v>224</v>
      </c>
      <c r="J4765" s="81" t="s">
        <v>5143</v>
      </c>
    </row>
    <row r="4766" hidden="1">
      <c r="A4766" s="83" t="s">
        <v>6330</v>
      </c>
      <c r="B4766" s="83" t="s">
        <v>6331</v>
      </c>
      <c r="C4766" s="81" t="s">
        <v>4621</v>
      </c>
      <c r="D4766" s="83" t="s">
        <v>4838</v>
      </c>
      <c r="E4766" s="81" t="s">
        <v>3981</v>
      </c>
      <c r="F4766" s="84">
        <v>783.0</v>
      </c>
      <c r="G4766" s="81" t="s">
        <v>40</v>
      </c>
      <c r="H4766" s="81" t="s">
        <v>6300</v>
      </c>
      <c r="I4766" s="81" t="s">
        <v>3976</v>
      </c>
      <c r="J4766" s="81" t="s">
        <v>224</v>
      </c>
    </row>
    <row r="4767" hidden="1">
      <c r="A4767" s="83" t="s">
        <v>6330</v>
      </c>
      <c r="B4767" s="83" t="s">
        <v>6331</v>
      </c>
      <c r="C4767" s="81" t="s">
        <v>6333</v>
      </c>
      <c r="D4767" s="83" t="s">
        <v>4838</v>
      </c>
      <c r="E4767" s="81" t="s">
        <v>3981</v>
      </c>
      <c r="F4767" s="84">
        <v>783.0</v>
      </c>
      <c r="G4767" s="81" t="s">
        <v>43</v>
      </c>
      <c r="H4767" s="81" t="s">
        <v>6301</v>
      </c>
      <c r="I4767" s="81" t="s">
        <v>224</v>
      </c>
      <c r="J4767" s="81" t="s">
        <v>5143</v>
      </c>
    </row>
    <row r="4768" hidden="1">
      <c r="A4768" s="83" t="s">
        <v>6330</v>
      </c>
      <c r="B4768" s="83" t="s">
        <v>6331</v>
      </c>
      <c r="C4768" s="81" t="s">
        <v>4621</v>
      </c>
      <c r="D4768" s="83" t="s">
        <v>4839</v>
      </c>
      <c r="E4768" s="81" t="s">
        <v>3982</v>
      </c>
      <c r="F4768" s="84">
        <v>784.0</v>
      </c>
      <c r="G4768" s="81" t="s">
        <v>39</v>
      </c>
      <c r="H4768" s="81" t="s">
        <v>6302</v>
      </c>
      <c r="I4768" s="81" t="s">
        <v>3983</v>
      </c>
      <c r="J4768" s="81" t="s">
        <v>224</v>
      </c>
    </row>
    <row r="4769" hidden="1">
      <c r="A4769" s="83" t="s">
        <v>6330</v>
      </c>
      <c r="B4769" s="83" t="s">
        <v>6331</v>
      </c>
      <c r="C4769" s="81" t="s">
        <v>4621</v>
      </c>
      <c r="D4769" s="83" t="s">
        <v>4839</v>
      </c>
      <c r="E4769" s="81" t="s">
        <v>3982</v>
      </c>
      <c r="F4769" s="84">
        <v>784.0</v>
      </c>
      <c r="G4769" s="81" t="s">
        <v>40</v>
      </c>
      <c r="H4769" s="81" t="s">
        <v>6303</v>
      </c>
      <c r="I4769" s="81" t="s">
        <v>6304</v>
      </c>
      <c r="J4769" s="81" t="s">
        <v>224</v>
      </c>
    </row>
    <row r="4770" hidden="1">
      <c r="A4770" s="83" t="s">
        <v>6330</v>
      </c>
      <c r="B4770" s="83" t="s">
        <v>6331</v>
      </c>
      <c r="C4770" s="81" t="s">
        <v>6333</v>
      </c>
      <c r="D4770" s="83" t="s">
        <v>4839</v>
      </c>
      <c r="E4770" s="81" t="s">
        <v>3982</v>
      </c>
      <c r="F4770" s="84">
        <v>784.0</v>
      </c>
      <c r="G4770" s="81" t="s">
        <v>43</v>
      </c>
      <c r="H4770" s="81" t="s">
        <v>6301</v>
      </c>
      <c r="I4770" s="81" t="s">
        <v>224</v>
      </c>
      <c r="J4770" s="81" t="s">
        <v>5143</v>
      </c>
    </row>
    <row r="4771" hidden="1">
      <c r="A4771" s="83" t="s">
        <v>6330</v>
      </c>
      <c r="B4771" s="83" t="s">
        <v>6331</v>
      </c>
      <c r="C4771" s="81" t="s">
        <v>4621</v>
      </c>
      <c r="D4771" s="83" t="s">
        <v>4840</v>
      </c>
      <c r="E4771" s="81" t="s">
        <v>3985</v>
      </c>
      <c r="F4771" s="84">
        <v>785.0</v>
      </c>
      <c r="G4771" s="81" t="s">
        <v>39</v>
      </c>
      <c r="H4771" s="81" t="s">
        <v>6305</v>
      </c>
      <c r="I4771" s="81" t="s">
        <v>3986</v>
      </c>
      <c r="J4771" s="81" t="s">
        <v>224</v>
      </c>
    </row>
    <row r="4772" hidden="1">
      <c r="A4772" s="83" t="s">
        <v>6330</v>
      </c>
      <c r="B4772" s="83" t="s">
        <v>6331</v>
      </c>
      <c r="C4772" s="81" t="s">
        <v>4621</v>
      </c>
      <c r="D4772" s="83" t="s">
        <v>4840</v>
      </c>
      <c r="E4772" s="81" t="s">
        <v>3985</v>
      </c>
      <c r="F4772" s="84">
        <v>785.0</v>
      </c>
      <c r="G4772" s="81" t="s">
        <v>40</v>
      </c>
      <c r="H4772" s="81" t="s">
        <v>6306</v>
      </c>
      <c r="I4772" s="81" t="s">
        <v>6307</v>
      </c>
      <c r="J4772" s="81" t="s">
        <v>224</v>
      </c>
    </row>
    <row r="4773" hidden="1">
      <c r="A4773" s="83" t="s">
        <v>6330</v>
      </c>
      <c r="B4773" s="83" t="s">
        <v>6331</v>
      </c>
      <c r="C4773" s="81" t="s">
        <v>6333</v>
      </c>
      <c r="D4773" s="83" t="s">
        <v>4840</v>
      </c>
      <c r="E4773" s="81" t="s">
        <v>3985</v>
      </c>
      <c r="F4773" s="84">
        <v>785.0</v>
      </c>
      <c r="G4773" s="81" t="s">
        <v>43</v>
      </c>
      <c r="H4773" s="81" t="s">
        <v>6301</v>
      </c>
      <c r="I4773" s="81" t="s">
        <v>224</v>
      </c>
      <c r="J4773" s="81" t="s">
        <v>5143</v>
      </c>
    </row>
    <row r="4774" hidden="1">
      <c r="A4774" s="83" t="s">
        <v>6330</v>
      </c>
      <c r="B4774" s="83" t="s">
        <v>6331</v>
      </c>
      <c r="C4774" s="81" t="s">
        <v>4621</v>
      </c>
      <c r="D4774" s="83" t="s">
        <v>4841</v>
      </c>
      <c r="E4774" s="81" t="s">
        <v>3988</v>
      </c>
      <c r="F4774" s="84">
        <v>786.0</v>
      </c>
      <c r="G4774" s="81" t="s">
        <v>40</v>
      </c>
      <c r="H4774" s="81" t="s">
        <v>6308</v>
      </c>
      <c r="I4774" s="81" t="s">
        <v>3990</v>
      </c>
      <c r="J4774" s="81" t="s">
        <v>224</v>
      </c>
    </row>
    <row r="4775" hidden="1">
      <c r="A4775" s="83" t="s">
        <v>6330</v>
      </c>
      <c r="B4775" s="83" t="s">
        <v>6331</v>
      </c>
      <c r="C4775" s="81" t="s">
        <v>6333</v>
      </c>
      <c r="D4775" s="83" t="s">
        <v>4841</v>
      </c>
      <c r="E4775" s="81" t="s">
        <v>3988</v>
      </c>
      <c r="F4775" s="84">
        <v>786.0</v>
      </c>
      <c r="G4775" s="81" t="s">
        <v>43</v>
      </c>
      <c r="H4775" s="81" t="s">
        <v>49</v>
      </c>
      <c r="I4775" s="81" t="s">
        <v>224</v>
      </c>
      <c r="J4775" s="81" t="s">
        <v>5143</v>
      </c>
    </row>
    <row r="4776" hidden="1">
      <c r="A4776" s="83" t="s">
        <v>6330</v>
      </c>
      <c r="B4776" s="83" t="s">
        <v>6331</v>
      </c>
      <c r="C4776" s="81" t="s">
        <v>4621</v>
      </c>
      <c r="D4776" s="83" t="s">
        <v>4842</v>
      </c>
      <c r="E4776" s="81" t="s">
        <v>3991</v>
      </c>
      <c r="F4776" s="84">
        <v>787.0</v>
      </c>
      <c r="G4776" s="81" t="s">
        <v>39</v>
      </c>
      <c r="H4776" s="81" t="s">
        <v>6309</v>
      </c>
      <c r="I4776" s="81" t="s">
        <v>3992</v>
      </c>
      <c r="J4776" s="81" t="s">
        <v>224</v>
      </c>
    </row>
    <row r="4777" hidden="1">
      <c r="A4777" s="83" t="s">
        <v>6330</v>
      </c>
      <c r="B4777" s="83" t="s">
        <v>6331</v>
      </c>
      <c r="C4777" s="81" t="s">
        <v>4621</v>
      </c>
      <c r="D4777" s="83" t="s">
        <v>4842</v>
      </c>
      <c r="E4777" s="81" t="s">
        <v>3991</v>
      </c>
      <c r="F4777" s="84">
        <v>787.0</v>
      </c>
      <c r="G4777" s="81" t="s">
        <v>40</v>
      </c>
      <c r="H4777" s="81" t="s">
        <v>224</v>
      </c>
      <c r="I4777" s="81" t="s">
        <v>3993</v>
      </c>
      <c r="J4777" s="81" t="s">
        <v>224</v>
      </c>
    </row>
    <row r="4778" hidden="1">
      <c r="A4778" s="83" t="s">
        <v>6330</v>
      </c>
      <c r="B4778" s="83" t="s">
        <v>6331</v>
      </c>
      <c r="C4778" s="81" t="s">
        <v>6333</v>
      </c>
      <c r="D4778" s="83" t="s">
        <v>4842</v>
      </c>
      <c r="E4778" s="81" t="s">
        <v>3991</v>
      </c>
      <c r="F4778" s="84">
        <v>787.0</v>
      </c>
      <c r="G4778" s="81" t="s">
        <v>43</v>
      </c>
      <c r="H4778" s="81" t="s">
        <v>49</v>
      </c>
      <c r="I4778" s="81" t="s">
        <v>224</v>
      </c>
      <c r="J4778" s="81" t="s">
        <v>5143</v>
      </c>
    </row>
    <row r="4779" hidden="1">
      <c r="A4779" s="83" t="s">
        <v>6330</v>
      </c>
      <c r="B4779" s="83" t="s">
        <v>6331</v>
      </c>
      <c r="C4779" s="81" t="s">
        <v>4621</v>
      </c>
      <c r="D4779" s="83" t="s">
        <v>4843</v>
      </c>
      <c r="E4779" s="81" t="s">
        <v>3994</v>
      </c>
      <c r="F4779" s="84">
        <v>788.0</v>
      </c>
      <c r="G4779" s="81" t="s">
        <v>39</v>
      </c>
      <c r="H4779" s="81" t="s">
        <v>6309</v>
      </c>
      <c r="I4779" s="81" t="s">
        <v>3995</v>
      </c>
      <c r="J4779" s="81" t="s">
        <v>224</v>
      </c>
    </row>
    <row r="4780" hidden="1">
      <c r="A4780" s="83" t="s">
        <v>6330</v>
      </c>
      <c r="B4780" s="83" t="s">
        <v>6331</v>
      </c>
      <c r="C4780" s="81" t="s">
        <v>4621</v>
      </c>
      <c r="D4780" s="83" t="s">
        <v>4843</v>
      </c>
      <c r="E4780" s="81" t="s">
        <v>3994</v>
      </c>
      <c r="F4780" s="84">
        <v>788.0</v>
      </c>
      <c r="G4780" s="81" t="s">
        <v>40</v>
      </c>
      <c r="H4780" s="81" t="s">
        <v>224</v>
      </c>
      <c r="I4780" s="81" t="s">
        <v>3996</v>
      </c>
      <c r="J4780" s="81" t="s">
        <v>224</v>
      </c>
    </row>
    <row r="4781" hidden="1">
      <c r="A4781" s="83" t="s">
        <v>6330</v>
      </c>
      <c r="B4781" s="83" t="s">
        <v>6331</v>
      </c>
      <c r="C4781" s="81" t="s">
        <v>6333</v>
      </c>
      <c r="D4781" s="83" t="s">
        <v>4843</v>
      </c>
      <c r="E4781" s="81" t="s">
        <v>3994</v>
      </c>
      <c r="F4781" s="84">
        <v>788.0</v>
      </c>
      <c r="G4781" s="81" t="s">
        <v>43</v>
      </c>
      <c r="H4781" s="81" t="s">
        <v>49</v>
      </c>
      <c r="I4781" s="81" t="s">
        <v>224</v>
      </c>
      <c r="J4781" s="81" t="s">
        <v>5143</v>
      </c>
    </row>
    <row r="4782" hidden="1">
      <c r="A4782" s="83" t="s">
        <v>6330</v>
      </c>
      <c r="B4782" s="83" t="s">
        <v>6331</v>
      </c>
      <c r="C4782" s="81" t="s">
        <v>4621</v>
      </c>
      <c r="D4782" s="83" t="s">
        <v>4257</v>
      </c>
      <c r="E4782" s="81" t="s">
        <v>1025</v>
      </c>
      <c r="F4782" s="84">
        <v>789.0</v>
      </c>
      <c r="G4782" s="81" t="s">
        <v>39</v>
      </c>
      <c r="H4782" s="81" t="s">
        <v>224</v>
      </c>
      <c r="I4782" s="81" t="s">
        <v>5399</v>
      </c>
      <c r="J4782" s="81" t="s">
        <v>224</v>
      </c>
    </row>
    <row r="4783" hidden="1">
      <c r="A4783" s="83" t="s">
        <v>6330</v>
      </c>
      <c r="B4783" s="83" t="s">
        <v>6331</v>
      </c>
      <c r="C4783" s="81" t="s">
        <v>4621</v>
      </c>
      <c r="D4783" s="83" t="s">
        <v>4257</v>
      </c>
      <c r="E4783" s="81" t="s">
        <v>1025</v>
      </c>
      <c r="F4783" s="84">
        <v>789.0</v>
      </c>
      <c r="G4783" s="81" t="s">
        <v>40</v>
      </c>
      <c r="H4783" s="81" t="s">
        <v>224</v>
      </c>
      <c r="I4783" s="81" t="s">
        <v>5401</v>
      </c>
      <c r="J4783" s="81" t="s">
        <v>224</v>
      </c>
    </row>
    <row r="4784" hidden="1">
      <c r="A4784" s="83" t="s">
        <v>6330</v>
      </c>
      <c r="B4784" s="83" t="s">
        <v>6331</v>
      </c>
      <c r="C4784" s="81" t="s">
        <v>4621</v>
      </c>
      <c r="D4784" s="83" t="s">
        <v>4257</v>
      </c>
      <c r="E4784" s="81" t="s">
        <v>1025</v>
      </c>
      <c r="F4784" s="84">
        <v>789.0</v>
      </c>
      <c r="G4784" s="81" t="s">
        <v>43</v>
      </c>
      <c r="H4784" s="81" t="s">
        <v>224</v>
      </c>
      <c r="I4784" s="81" t="s">
        <v>1023</v>
      </c>
      <c r="J4784" s="81" t="s">
        <v>224</v>
      </c>
    </row>
    <row r="4785" hidden="1">
      <c r="A4785" s="83" t="s">
        <v>6330</v>
      </c>
      <c r="B4785" s="83" t="s">
        <v>6331</v>
      </c>
      <c r="C4785" s="81" t="s">
        <v>4621</v>
      </c>
      <c r="D4785" s="83" t="s">
        <v>4498</v>
      </c>
      <c r="E4785" s="81" t="s">
        <v>2324</v>
      </c>
      <c r="F4785" s="84">
        <v>790.0</v>
      </c>
      <c r="G4785" s="81" t="s">
        <v>39</v>
      </c>
      <c r="H4785" s="81" t="s">
        <v>224</v>
      </c>
      <c r="I4785" s="81" t="s">
        <v>2322</v>
      </c>
      <c r="J4785" s="81" t="s">
        <v>224</v>
      </c>
    </row>
    <row r="4786" hidden="1">
      <c r="A4786" s="83" t="s">
        <v>6330</v>
      </c>
      <c r="B4786" s="83" t="s">
        <v>6331</v>
      </c>
      <c r="C4786" s="81" t="s">
        <v>4621</v>
      </c>
      <c r="D4786" s="83" t="s">
        <v>4498</v>
      </c>
      <c r="E4786" s="81" t="s">
        <v>2324</v>
      </c>
      <c r="F4786" s="84">
        <v>790.0</v>
      </c>
      <c r="G4786" s="81" t="s">
        <v>40</v>
      </c>
      <c r="H4786" s="81" t="s">
        <v>224</v>
      </c>
      <c r="I4786" s="81" t="s">
        <v>2323</v>
      </c>
      <c r="J4786" s="81" t="s">
        <v>224</v>
      </c>
    </row>
    <row r="4787" hidden="1">
      <c r="A4787" s="83" t="s">
        <v>6330</v>
      </c>
      <c r="B4787" s="83" t="s">
        <v>6331</v>
      </c>
      <c r="C4787" s="81" t="s">
        <v>4621</v>
      </c>
      <c r="D4787" s="83" t="s">
        <v>4844</v>
      </c>
      <c r="E4787" s="81" t="s">
        <v>3998</v>
      </c>
      <c r="F4787" s="84">
        <v>791.0</v>
      </c>
      <c r="G4787" s="81" t="s">
        <v>39</v>
      </c>
      <c r="H4787" s="81" t="s">
        <v>224</v>
      </c>
      <c r="I4787" s="81" t="s">
        <v>6310</v>
      </c>
      <c r="J4787" s="81" t="s">
        <v>224</v>
      </c>
    </row>
    <row r="4788" hidden="1">
      <c r="A4788" s="83" t="s">
        <v>6330</v>
      </c>
      <c r="B4788" s="83" t="s">
        <v>6331</v>
      </c>
      <c r="C4788" s="81" t="s">
        <v>4621</v>
      </c>
      <c r="D4788" s="83" t="s">
        <v>4844</v>
      </c>
      <c r="E4788" s="81" t="s">
        <v>3998</v>
      </c>
      <c r="F4788" s="84">
        <v>791.0</v>
      </c>
      <c r="G4788" s="81" t="s">
        <v>40</v>
      </c>
      <c r="H4788" s="81" t="s">
        <v>224</v>
      </c>
      <c r="I4788" s="81" t="s">
        <v>6311</v>
      </c>
      <c r="J4788" s="81" t="s">
        <v>224</v>
      </c>
    </row>
    <row r="4789" hidden="1">
      <c r="A4789" s="83" t="s">
        <v>6330</v>
      </c>
      <c r="B4789" s="83" t="s">
        <v>6331</v>
      </c>
      <c r="C4789" s="81" t="s">
        <v>4621</v>
      </c>
      <c r="D4789" s="83" t="s">
        <v>4845</v>
      </c>
      <c r="E4789" s="81" t="s">
        <v>4002</v>
      </c>
      <c r="F4789" s="84">
        <v>792.0</v>
      </c>
      <c r="G4789" s="81" t="s">
        <v>39</v>
      </c>
      <c r="H4789" s="81" t="s">
        <v>224</v>
      </c>
      <c r="I4789" s="81" t="s">
        <v>6312</v>
      </c>
      <c r="J4789" s="81" t="s">
        <v>224</v>
      </c>
    </row>
    <row r="4790" hidden="1">
      <c r="A4790" s="83" t="s">
        <v>6330</v>
      </c>
      <c r="B4790" s="83" t="s">
        <v>6331</v>
      </c>
      <c r="C4790" s="81" t="s">
        <v>4621</v>
      </c>
      <c r="D4790" s="83" t="s">
        <v>4845</v>
      </c>
      <c r="E4790" s="81" t="s">
        <v>4002</v>
      </c>
      <c r="F4790" s="84">
        <v>792.0</v>
      </c>
      <c r="G4790" s="81" t="s">
        <v>40</v>
      </c>
      <c r="H4790" s="81" t="s">
        <v>224</v>
      </c>
      <c r="I4790" s="81" t="s">
        <v>6313</v>
      </c>
      <c r="J4790" s="81" t="s">
        <v>224</v>
      </c>
    </row>
    <row r="4791" hidden="1">
      <c r="A4791" s="83" t="s">
        <v>6330</v>
      </c>
      <c r="B4791" s="83" t="s">
        <v>6331</v>
      </c>
      <c r="C4791" s="81" t="s">
        <v>4621</v>
      </c>
      <c r="D4791" s="83" t="s">
        <v>4846</v>
      </c>
      <c r="E4791" s="81" t="s">
        <v>1133</v>
      </c>
      <c r="F4791" s="84">
        <v>793.0</v>
      </c>
      <c r="G4791" s="81" t="s">
        <v>39</v>
      </c>
      <c r="H4791" s="81" t="s">
        <v>224</v>
      </c>
      <c r="I4791" s="81" t="s">
        <v>6314</v>
      </c>
      <c r="J4791" s="81" t="s">
        <v>224</v>
      </c>
    </row>
    <row r="4792" hidden="1">
      <c r="A4792" s="83" t="s">
        <v>6330</v>
      </c>
      <c r="B4792" s="83" t="s">
        <v>6331</v>
      </c>
      <c r="C4792" s="81" t="s">
        <v>4621</v>
      </c>
      <c r="D4792" s="83" t="s">
        <v>4846</v>
      </c>
      <c r="E4792" s="81" t="s">
        <v>1133</v>
      </c>
      <c r="F4792" s="84">
        <v>793.0</v>
      </c>
      <c r="G4792" s="81" t="s">
        <v>40</v>
      </c>
      <c r="H4792" s="81" t="s">
        <v>224</v>
      </c>
      <c r="I4792" s="81" t="s">
        <v>6315</v>
      </c>
      <c r="J4792" s="81" t="s">
        <v>224</v>
      </c>
    </row>
    <row r="4793" hidden="1">
      <c r="A4793" s="83" t="s">
        <v>6330</v>
      </c>
      <c r="B4793" s="83" t="s">
        <v>6331</v>
      </c>
      <c r="C4793" s="81" t="s">
        <v>4082</v>
      </c>
      <c r="D4793" s="83" t="s">
        <v>4847</v>
      </c>
      <c r="E4793" s="81" t="s">
        <v>4005</v>
      </c>
      <c r="F4793" s="84">
        <v>794.0</v>
      </c>
      <c r="G4793" s="81" t="s">
        <v>39</v>
      </c>
      <c r="H4793" s="81" t="s">
        <v>224</v>
      </c>
      <c r="I4793" s="81" t="s">
        <v>224</v>
      </c>
      <c r="J4793" s="81" t="s">
        <v>6316</v>
      </c>
    </row>
    <row r="4794" hidden="1">
      <c r="A4794" s="83" t="s">
        <v>6330</v>
      </c>
      <c r="B4794" s="83" t="s">
        <v>6331</v>
      </c>
      <c r="C4794" s="81" t="s">
        <v>4621</v>
      </c>
      <c r="D4794" s="83" t="s">
        <v>4847</v>
      </c>
      <c r="E4794" s="81" t="s">
        <v>4005</v>
      </c>
      <c r="F4794" s="84">
        <v>794.0</v>
      </c>
      <c r="G4794" s="81" t="s">
        <v>40</v>
      </c>
      <c r="H4794" s="81" t="s">
        <v>224</v>
      </c>
      <c r="I4794" s="81" t="s">
        <v>6329</v>
      </c>
      <c r="J4794" s="81" t="s">
        <v>224</v>
      </c>
    </row>
    <row r="4795" hidden="1">
      <c r="A4795" s="83" t="s">
        <v>4949</v>
      </c>
      <c r="B4795" s="83" t="s">
        <v>4950</v>
      </c>
      <c r="C4795" s="81" t="s">
        <v>4086</v>
      </c>
      <c r="D4795" s="83" t="s">
        <v>4847</v>
      </c>
      <c r="E4795" s="81" t="s">
        <v>4005</v>
      </c>
      <c r="F4795" s="84">
        <v>794.0</v>
      </c>
      <c r="G4795" s="81" t="s">
        <v>40</v>
      </c>
      <c r="H4795" s="81" t="s">
        <v>224</v>
      </c>
      <c r="I4795" s="81" t="s">
        <v>6329</v>
      </c>
      <c r="J4795" s="81" t="s">
        <v>224</v>
      </c>
    </row>
    <row r="4796" hidden="1">
      <c r="A4796" s="83" t="s">
        <v>6334</v>
      </c>
      <c r="B4796" s="83" t="s">
        <v>6335</v>
      </c>
      <c r="C4796" s="81" t="s">
        <v>4080</v>
      </c>
      <c r="D4796" s="81" t="s">
        <v>224</v>
      </c>
      <c r="E4796" s="81" t="s">
        <v>224</v>
      </c>
      <c r="F4796" s="81" t="s">
        <v>224</v>
      </c>
      <c r="G4796" s="81" t="s">
        <v>224</v>
      </c>
      <c r="H4796" s="81" t="s">
        <v>224</v>
      </c>
      <c r="I4796" s="81" t="s">
        <v>224</v>
      </c>
      <c r="J4796" s="81" t="s">
        <v>6336</v>
      </c>
    </row>
    <row r="4797" hidden="1">
      <c r="A4797" s="83" t="s">
        <v>6334</v>
      </c>
      <c r="B4797" s="83" t="s">
        <v>6335</v>
      </c>
      <c r="C4797" s="81" t="s">
        <v>4084</v>
      </c>
      <c r="D4797" s="81" t="s">
        <v>224</v>
      </c>
      <c r="E4797" s="81" t="s">
        <v>224</v>
      </c>
      <c r="F4797" s="81" t="s">
        <v>224</v>
      </c>
      <c r="G4797" s="81" t="s">
        <v>224</v>
      </c>
      <c r="H4797" s="81" t="s">
        <v>224</v>
      </c>
      <c r="I4797" s="81" t="s">
        <v>224</v>
      </c>
      <c r="J4797" s="81" t="s">
        <v>6337</v>
      </c>
    </row>
    <row r="4798" hidden="1">
      <c r="A4798" s="83" t="s">
        <v>6334</v>
      </c>
      <c r="B4798" s="83" t="s">
        <v>6335</v>
      </c>
      <c r="C4798" s="81" t="s">
        <v>4082</v>
      </c>
      <c r="D4798" s="81" t="s">
        <v>224</v>
      </c>
      <c r="E4798" s="81" t="s">
        <v>4953</v>
      </c>
      <c r="F4798" s="81" t="s">
        <v>224</v>
      </c>
      <c r="G4798" s="81" t="s">
        <v>224</v>
      </c>
      <c r="H4798" s="81" t="s">
        <v>224</v>
      </c>
      <c r="I4798" s="81" t="s">
        <v>224</v>
      </c>
      <c r="J4798" s="81" t="s">
        <v>4954</v>
      </c>
    </row>
    <row r="4799" hidden="1">
      <c r="A4799" s="83" t="s">
        <v>6334</v>
      </c>
      <c r="B4799" s="83" t="s">
        <v>6335</v>
      </c>
      <c r="C4799" s="81" t="s">
        <v>4082</v>
      </c>
      <c r="D4799" s="81" t="s">
        <v>224</v>
      </c>
      <c r="E4799" s="81" t="s">
        <v>4955</v>
      </c>
      <c r="F4799" s="81" t="s">
        <v>224</v>
      </c>
      <c r="G4799" s="81" t="s">
        <v>224</v>
      </c>
      <c r="H4799" s="81" t="s">
        <v>224</v>
      </c>
      <c r="I4799" s="81" t="s">
        <v>224</v>
      </c>
      <c r="J4799" s="81" t="s">
        <v>4954</v>
      </c>
    </row>
    <row r="4800" hidden="1">
      <c r="A4800" s="83" t="s">
        <v>6334</v>
      </c>
      <c r="B4800" s="83" t="s">
        <v>6335</v>
      </c>
      <c r="C4800" s="81" t="s">
        <v>4082</v>
      </c>
      <c r="D4800" s="81" t="s">
        <v>224</v>
      </c>
      <c r="E4800" s="81" t="s">
        <v>4009</v>
      </c>
      <c r="F4800" s="81" t="s">
        <v>224</v>
      </c>
      <c r="G4800" s="81" t="s">
        <v>224</v>
      </c>
      <c r="H4800" s="81" t="s">
        <v>224</v>
      </c>
      <c r="I4800" s="81" t="s">
        <v>224</v>
      </c>
      <c r="J4800" s="81" t="s">
        <v>4954</v>
      </c>
    </row>
    <row r="4801" hidden="1">
      <c r="A4801" s="83" t="s">
        <v>6334</v>
      </c>
      <c r="B4801" s="83" t="s">
        <v>6335</v>
      </c>
      <c r="C4801" s="81" t="s">
        <v>4082</v>
      </c>
      <c r="D4801" s="81" t="s">
        <v>224</v>
      </c>
      <c r="E4801" s="81" t="s">
        <v>4956</v>
      </c>
      <c r="F4801" s="81" t="s">
        <v>224</v>
      </c>
      <c r="G4801" s="81" t="s">
        <v>224</v>
      </c>
      <c r="H4801" s="81" t="s">
        <v>224</v>
      </c>
      <c r="I4801" s="81" t="s">
        <v>224</v>
      </c>
      <c r="J4801" s="81" t="s">
        <v>4957</v>
      </c>
    </row>
    <row r="4802" hidden="1">
      <c r="A4802" s="83" t="s">
        <v>6334</v>
      </c>
      <c r="B4802" s="83" t="s">
        <v>6335</v>
      </c>
      <c r="C4802" s="81" t="s">
        <v>4082</v>
      </c>
      <c r="D4802" s="81" t="s">
        <v>224</v>
      </c>
      <c r="E4802" s="81" t="s">
        <v>4958</v>
      </c>
      <c r="F4802" s="81" t="s">
        <v>224</v>
      </c>
      <c r="G4802" s="81" t="s">
        <v>224</v>
      </c>
      <c r="H4802" s="81" t="s">
        <v>224</v>
      </c>
      <c r="I4802" s="81" t="s">
        <v>224</v>
      </c>
      <c r="J4802" s="81" t="s">
        <v>4959</v>
      </c>
    </row>
    <row r="4803" hidden="1">
      <c r="A4803" s="83" t="s">
        <v>6334</v>
      </c>
      <c r="B4803" s="83" t="s">
        <v>6335</v>
      </c>
      <c r="C4803" s="81" t="s">
        <v>4082</v>
      </c>
      <c r="D4803" s="81" t="s">
        <v>224</v>
      </c>
      <c r="E4803" s="81" t="s">
        <v>4960</v>
      </c>
      <c r="F4803" s="81" t="s">
        <v>224</v>
      </c>
      <c r="G4803" s="81" t="s">
        <v>224</v>
      </c>
      <c r="H4803" s="81" t="s">
        <v>224</v>
      </c>
      <c r="I4803" s="81" t="s">
        <v>224</v>
      </c>
      <c r="J4803" s="81" t="s">
        <v>4961</v>
      </c>
    </row>
    <row r="4804" hidden="1">
      <c r="A4804" s="83" t="s">
        <v>6334</v>
      </c>
      <c r="B4804" s="83" t="s">
        <v>6335</v>
      </c>
      <c r="C4804" s="81" t="s">
        <v>4082</v>
      </c>
      <c r="D4804" s="81" t="s">
        <v>224</v>
      </c>
      <c r="E4804" s="81" t="s">
        <v>4962</v>
      </c>
      <c r="F4804" s="81" t="s">
        <v>224</v>
      </c>
      <c r="G4804" s="81" t="s">
        <v>224</v>
      </c>
      <c r="H4804" s="81" t="s">
        <v>224</v>
      </c>
      <c r="I4804" s="81" t="s">
        <v>224</v>
      </c>
      <c r="J4804" s="81" t="s">
        <v>4963</v>
      </c>
    </row>
    <row r="4805" hidden="1">
      <c r="A4805" s="83" t="s">
        <v>6334</v>
      </c>
      <c r="B4805" s="83" t="s">
        <v>6335</v>
      </c>
      <c r="C4805" s="81" t="s">
        <v>4082</v>
      </c>
      <c r="D4805" s="81" t="s">
        <v>224</v>
      </c>
      <c r="E4805" s="81" t="s">
        <v>4964</v>
      </c>
      <c r="F4805" s="81" t="s">
        <v>224</v>
      </c>
      <c r="G4805" s="81" t="s">
        <v>224</v>
      </c>
      <c r="H4805" s="81" t="s">
        <v>224</v>
      </c>
      <c r="I4805" s="81" t="s">
        <v>224</v>
      </c>
      <c r="J4805" s="81" t="s">
        <v>4963</v>
      </c>
    </row>
    <row r="4806" hidden="1">
      <c r="A4806" s="83" t="s">
        <v>6334</v>
      </c>
      <c r="B4806" s="83" t="s">
        <v>6335</v>
      </c>
      <c r="C4806" s="81" t="s">
        <v>4082</v>
      </c>
      <c r="D4806" s="81" t="s">
        <v>224</v>
      </c>
      <c r="E4806" s="81" t="s">
        <v>4965</v>
      </c>
      <c r="F4806" s="81" t="s">
        <v>224</v>
      </c>
      <c r="G4806" s="81" t="s">
        <v>224</v>
      </c>
      <c r="H4806" s="81" t="s">
        <v>224</v>
      </c>
      <c r="I4806" s="81" t="s">
        <v>224</v>
      </c>
      <c r="J4806" s="81" t="s">
        <v>4966</v>
      </c>
    </row>
    <row r="4807" hidden="1">
      <c r="A4807" s="83" t="s">
        <v>6334</v>
      </c>
      <c r="B4807" s="83" t="s">
        <v>6335</v>
      </c>
      <c r="C4807" s="81" t="s">
        <v>4082</v>
      </c>
      <c r="D4807" s="81" t="s">
        <v>224</v>
      </c>
      <c r="E4807" s="81" t="s">
        <v>4967</v>
      </c>
      <c r="F4807" s="81" t="s">
        <v>224</v>
      </c>
      <c r="G4807" s="81" t="s">
        <v>224</v>
      </c>
      <c r="H4807" s="81" t="s">
        <v>224</v>
      </c>
      <c r="I4807" s="81" t="s">
        <v>224</v>
      </c>
      <c r="J4807" s="81" t="s">
        <v>4966</v>
      </c>
    </row>
    <row r="4808" hidden="1">
      <c r="A4808" s="83" t="s">
        <v>6334</v>
      </c>
      <c r="B4808" s="83" t="s">
        <v>6335</v>
      </c>
      <c r="C4808" s="81" t="s">
        <v>4082</v>
      </c>
      <c r="D4808" s="81" t="s">
        <v>224</v>
      </c>
      <c r="E4808" s="81" t="s">
        <v>4968</v>
      </c>
      <c r="F4808" s="81" t="s">
        <v>224</v>
      </c>
      <c r="G4808" s="81" t="s">
        <v>224</v>
      </c>
      <c r="H4808" s="81" t="s">
        <v>224</v>
      </c>
      <c r="I4808" s="81" t="s">
        <v>224</v>
      </c>
      <c r="J4808" s="81" t="s">
        <v>4966</v>
      </c>
    </row>
    <row r="4809" hidden="1">
      <c r="A4809" s="83" t="s">
        <v>6334</v>
      </c>
      <c r="B4809" s="83" t="s">
        <v>6335</v>
      </c>
      <c r="C4809" s="81" t="s">
        <v>4082</v>
      </c>
      <c r="D4809" s="81" t="s">
        <v>224</v>
      </c>
      <c r="E4809" s="81" t="s">
        <v>4969</v>
      </c>
      <c r="F4809" s="81" t="s">
        <v>224</v>
      </c>
      <c r="G4809" s="81" t="s">
        <v>224</v>
      </c>
      <c r="H4809" s="81" t="s">
        <v>224</v>
      </c>
      <c r="I4809" s="81" t="s">
        <v>224</v>
      </c>
      <c r="J4809" s="81" t="s">
        <v>4966</v>
      </c>
    </row>
    <row r="4810" hidden="1">
      <c r="A4810" s="83" t="s">
        <v>6334</v>
      </c>
      <c r="B4810" s="83" t="s">
        <v>6335</v>
      </c>
      <c r="C4810" s="81" t="s">
        <v>4082</v>
      </c>
      <c r="D4810" s="81" t="s">
        <v>224</v>
      </c>
      <c r="E4810" s="81" t="s">
        <v>4970</v>
      </c>
      <c r="F4810" s="81" t="s">
        <v>224</v>
      </c>
      <c r="G4810" s="81" t="s">
        <v>224</v>
      </c>
      <c r="H4810" s="81" t="s">
        <v>224</v>
      </c>
      <c r="I4810" s="81" t="s">
        <v>224</v>
      </c>
      <c r="J4810" s="81" t="s">
        <v>4966</v>
      </c>
    </row>
    <row r="4811" hidden="1">
      <c r="A4811" s="83" t="s">
        <v>6334</v>
      </c>
      <c r="B4811" s="83" t="s">
        <v>6335</v>
      </c>
      <c r="C4811" s="81" t="s">
        <v>4082</v>
      </c>
      <c r="D4811" s="81" t="s">
        <v>224</v>
      </c>
      <c r="E4811" s="81" t="s">
        <v>4971</v>
      </c>
      <c r="F4811" s="81" t="s">
        <v>224</v>
      </c>
      <c r="G4811" s="81" t="s">
        <v>224</v>
      </c>
      <c r="H4811" s="81" t="s">
        <v>224</v>
      </c>
      <c r="I4811" s="81" t="s">
        <v>224</v>
      </c>
      <c r="J4811" s="81" t="s">
        <v>4966</v>
      </c>
    </row>
    <row r="4812" hidden="1">
      <c r="A4812" s="83" t="s">
        <v>6334</v>
      </c>
      <c r="B4812" s="83" t="s">
        <v>6335</v>
      </c>
      <c r="C4812" s="81" t="s">
        <v>4082</v>
      </c>
      <c r="D4812" s="81" t="s">
        <v>224</v>
      </c>
      <c r="E4812" s="81" t="s">
        <v>4972</v>
      </c>
      <c r="F4812" s="81" t="s">
        <v>224</v>
      </c>
      <c r="G4812" s="81" t="s">
        <v>224</v>
      </c>
      <c r="H4812" s="81" t="s">
        <v>224</v>
      </c>
      <c r="I4812" s="81" t="s">
        <v>224</v>
      </c>
      <c r="J4812" s="81" t="s">
        <v>4966</v>
      </c>
    </row>
    <row r="4813" hidden="1">
      <c r="A4813" s="83" t="s">
        <v>6334</v>
      </c>
      <c r="B4813" s="83" t="s">
        <v>6335</v>
      </c>
      <c r="C4813" s="81" t="s">
        <v>4082</v>
      </c>
      <c r="D4813" s="81" t="s">
        <v>224</v>
      </c>
      <c r="E4813" s="81" t="s">
        <v>4973</v>
      </c>
      <c r="F4813" s="81" t="s">
        <v>224</v>
      </c>
      <c r="G4813" s="81" t="s">
        <v>224</v>
      </c>
      <c r="H4813" s="81" t="s">
        <v>224</v>
      </c>
      <c r="I4813" s="81" t="s">
        <v>224</v>
      </c>
      <c r="J4813" s="81" t="s">
        <v>4974</v>
      </c>
    </row>
    <row r="4814" hidden="1">
      <c r="A4814" s="83" t="s">
        <v>6334</v>
      </c>
      <c r="B4814" s="83" t="s">
        <v>6335</v>
      </c>
      <c r="C4814" s="81" t="s">
        <v>4082</v>
      </c>
      <c r="D4814" s="81" t="s">
        <v>224</v>
      </c>
      <c r="E4814" s="81" t="s">
        <v>4975</v>
      </c>
      <c r="F4814" s="81" t="s">
        <v>224</v>
      </c>
      <c r="G4814" s="81" t="s">
        <v>224</v>
      </c>
      <c r="H4814" s="81" t="s">
        <v>224</v>
      </c>
      <c r="I4814" s="81" t="s">
        <v>224</v>
      </c>
      <c r="J4814" s="81" t="s">
        <v>4976</v>
      </c>
    </row>
    <row r="4815" hidden="1">
      <c r="A4815" s="83" t="s">
        <v>6334</v>
      </c>
      <c r="B4815" s="83" t="s">
        <v>6335</v>
      </c>
      <c r="C4815" s="81" t="s">
        <v>4082</v>
      </c>
      <c r="D4815" s="81" t="s">
        <v>224</v>
      </c>
      <c r="E4815" s="81" t="s">
        <v>4025</v>
      </c>
      <c r="F4815" s="81" t="s">
        <v>224</v>
      </c>
      <c r="G4815" s="81" t="s">
        <v>224</v>
      </c>
      <c r="H4815" s="81" t="s">
        <v>224</v>
      </c>
      <c r="I4815" s="81" t="s">
        <v>224</v>
      </c>
      <c r="J4815" s="81" t="s">
        <v>4977</v>
      </c>
    </row>
    <row r="4816" hidden="1">
      <c r="A4816" s="83" t="s">
        <v>6334</v>
      </c>
      <c r="B4816" s="83" t="s">
        <v>6335</v>
      </c>
      <c r="C4816" s="81" t="s">
        <v>4082</v>
      </c>
      <c r="D4816" s="81" t="s">
        <v>224</v>
      </c>
      <c r="E4816" s="81" t="s">
        <v>4033</v>
      </c>
      <c r="F4816" s="81" t="s">
        <v>224</v>
      </c>
      <c r="G4816" s="81" t="s">
        <v>224</v>
      </c>
      <c r="H4816" s="81" t="s">
        <v>224</v>
      </c>
      <c r="I4816" s="81" t="s">
        <v>224</v>
      </c>
      <c r="J4816" s="81" t="s">
        <v>4978</v>
      </c>
    </row>
    <row r="4817" hidden="1">
      <c r="A4817" s="83" t="s">
        <v>6334</v>
      </c>
      <c r="B4817" s="83" t="s">
        <v>6335</v>
      </c>
      <c r="C4817" s="81" t="s">
        <v>4082</v>
      </c>
      <c r="D4817" s="81" t="s">
        <v>224</v>
      </c>
      <c r="E4817" s="81" t="s">
        <v>4979</v>
      </c>
      <c r="F4817" s="81" t="s">
        <v>224</v>
      </c>
      <c r="G4817" s="81" t="s">
        <v>224</v>
      </c>
      <c r="H4817" s="81" t="s">
        <v>224</v>
      </c>
      <c r="I4817" s="81" t="s">
        <v>224</v>
      </c>
      <c r="J4817" s="81" t="s">
        <v>4980</v>
      </c>
    </row>
    <row r="4818" hidden="1">
      <c r="A4818" s="83" t="s">
        <v>6334</v>
      </c>
      <c r="B4818" s="83" t="s">
        <v>6335</v>
      </c>
      <c r="C4818" s="81" t="s">
        <v>4082</v>
      </c>
      <c r="D4818" s="81" t="s">
        <v>224</v>
      </c>
      <c r="E4818" s="81" t="s">
        <v>4981</v>
      </c>
      <c r="F4818" s="81" t="s">
        <v>224</v>
      </c>
      <c r="G4818" s="81" t="s">
        <v>224</v>
      </c>
      <c r="H4818" s="81" t="s">
        <v>224</v>
      </c>
      <c r="I4818" s="81" t="s">
        <v>224</v>
      </c>
      <c r="J4818" s="81" t="s">
        <v>4982</v>
      </c>
    </row>
    <row r="4819" hidden="1">
      <c r="A4819" s="83" t="s">
        <v>6334</v>
      </c>
      <c r="B4819" s="83" t="s">
        <v>6335</v>
      </c>
      <c r="C4819" s="81" t="s">
        <v>4082</v>
      </c>
      <c r="D4819" s="81" t="s">
        <v>224</v>
      </c>
      <c r="E4819" s="81" t="s">
        <v>4983</v>
      </c>
      <c r="F4819" s="81" t="s">
        <v>224</v>
      </c>
      <c r="G4819" s="81" t="s">
        <v>224</v>
      </c>
      <c r="H4819" s="81" t="s">
        <v>224</v>
      </c>
      <c r="I4819" s="81" t="s">
        <v>224</v>
      </c>
      <c r="J4819" s="81" t="s">
        <v>4984</v>
      </c>
    </row>
    <row r="4820" hidden="1">
      <c r="A4820" s="83" t="s">
        <v>6334</v>
      </c>
      <c r="B4820" s="83" t="s">
        <v>6335</v>
      </c>
      <c r="C4820" s="81" t="s">
        <v>4082</v>
      </c>
      <c r="D4820" s="81" t="s">
        <v>224</v>
      </c>
      <c r="E4820" s="81" t="s">
        <v>4985</v>
      </c>
      <c r="F4820" s="81" t="s">
        <v>224</v>
      </c>
      <c r="G4820" s="81" t="s">
        <v>224</v>
      </c>
      <c r="H4820" s="81" t="s">
        <v>224</v>
      </c>
      <c r="I4820" s="81" t="s">
        <v>224</v>
      </c>
      <c r="J4820" s="81" t="s">
        <v>4986</v>
      </c>
    </row>
    <row r="4821" hidden="1">
      <c r="A4821" s="83" t="s">
        <v>6334</v>
      </c>
      <c r="B4821" s="83" t="s">
        <v>6335</v>
      </c>
      <c r="C4821" s="81" t="s">
        <v>4082</v>
      </c>
      <c r="D4821" s="81" t="s">
        <v>224</v>
      </c>
      <c r="E4821" s="81" t="s">
        <v>4987</v>
      </c>
      <c r="F4821" s="81" t="s">
        <v>224</v>
      </c>
      <c r="G4821" s="81" t="s">
        <v>224</v>
      </c>
      <c r="H4821" s="81" t="s">
        <v>224</v>
      </c>
      <c r="I4821" s="81" t="s">
        <v>224</v>
      </c>
      <c r="J4821" s="81" t="s">
        <v>4988</v>
      </c>
    </row>
    <row r="4822" hidden="1">
      <c r="A4822" s="83" t="s">
        <v>6334</v>
      </c>
      <c r="B4822" s="83" t="s">
        <v>6335</v>
      </c>
      <c r="C4822" s="81" t="s">
        <v>4082</v>
      </c>
      <c r="D4822" s="81" t="s">
        <v>224</v>
      </c>
      <c r="E4822" s="81" t="s">
        <v>4989</v>
      </c>
      <c r="F4822" s="81" t="s">
        <v>224</v>
      </c>
      <c r="G4822" s="81" t="s">
        <v>224</v>
      </c>
      <c r="H4822" s="81" t="s">
        <v>224</v>
      </c>
      <c r="I4822" s="81" t="s">
        <v>224</v>
      </c>
      <c r="J4822" s="81" t="s">
        <v>4990</v>
      </c>
    </row>
    <row r="4823" hidden="1">
      <c r="A4823" s="83" t="s">
        <v>6334</v>
      </c>
      <c r="B4823" s="83" t="s">
        <v>6335</v>
      </c>
      <c r="C4823" s="81" t="s">
        <v>4082</v>
      </c>
      <c r="D4823" s="81" t="s">
        <v>224</v>
      </c>
      <c r="E4823" s="81" t="s">
        <v>4991</v>
      </c>
      <c r="F4823" s="81" t="s">
        <v>224</v>
      </c>
      <c r="G4823" s="81" t="s">
        <v>224</v>
      </c>
      <c r="H4823" s="81" t="s">
        <v>224</v>
      </c>
      <c r="I4823" s="81" t="s">
        <v>224</v>
      </c>
      <c r="J4823" s="81" t="s">
        <v>4992</v>
      </c>
    </row>
    <row r="4824" hidden="1">
      <c r="A4824" s="83" t="s">
        <v>6334</v>
      </c>
      <c r="B4824" s="83" t="s">
        <v>6335</v>
      </c>
      <c r="C4824" s="81" t="s">
        <v>4082</v>
      </c>
      <c r="D4824" s="81" t="s">
        <v>224</v>
      </c>
      <c r="E4824" s="81" t="s">
        <v>4993</v>
      </c>
      <c r="F4824" s="81" t="s">
        <v>224</v>
      </c>
      <c r="G4824" s="81" t="s">
        <v>224</v>
      </c>
      <c r="H4824" s="81" t="s">
        <v>224</v>
      </c>
      <c r="I4824" s="81" t="s">
        <v>224</v>
      </c>
      <c r="J4824" s="81" t="s">
        <v>4994</v>
      </c>
    </row>
    <row r="4825" hidden="1">
      <c r="A4825" s="83" t="s">
        <v>6334</v>
      </c>
      <c r="B4825" s="83" t="s">
        <v>6335</v>
      </c>
      <c r="C4825" s="81" t="s">
        <v>4082</v>
      </c>
      <c r="D4825" s="81" t="s">
        <v>224</v>
      </c>
      <c r="E4825" s="81" t="s">
        <v>4995</v>
      </c>
      <c r="F4825" s="81" t="s">
        <v>224</v>
      </c>
      <c r="G4825" s="81" t="s">
        <v>224</v>
      </c>
      <c r="H4825" s="81" t="s">
        <v>224</v>
      </c>
      <c r="I4825" s="81" t="s">
        <v>224</v>
      </c>
      <c r="J4825" s="81" t="s">
        <v>4996</v>
      </c>
    </row>
    <row r="4826" hidden="1">
      <c r="A4826" s="83" t="s">
        <v>6334</v>
      </c>
      <c r="B4826" s="83" t="s">
        <v>6335</v>
      </c>
      <c r="C4826" s="81" t="s">
        <v>4082</v>
      </c>
      <c r="D4826" s="81" t="s">
        <v>224</v>
      </c>
      <c r="E4826" s="81" t="s">
        <v>4997</v>
      </c>
      <c r="F4826" s="81" t="s">
        <v>224</v>
      </c>
      <c r="G4826" s="81" t="s">
        <v>224</v>
      </c>
      <c r="H4826" s="81" t="s">
        <v>224</v>
      </c>
      <c r="I4826" s="81" t="s">
        <v>224</v>
      </c>
      <c r="J4826" s="81" t="s">
        <v>4998</v>
      </c>
    </row>
    <row r="4827" hidden="1">
      <c r="A4827" s="83" t="s">
        <v>6334</v>
      </c>
      <c r="B4827" s="83" t="s">
        <v>6335</v>
      </c>
      <c r="C4827" s="81" t="s">
        <v>4082</v>
      </c>
      <c r="D4827" s="81" t="s">
        <v>224</v>
      </c>
      <c r="E4827" s="81" t="s">
        <v>4999</v>
      </c>
      <c r="F4827" s="81" t="s">
        <v>224</v>
      </c>
      <c r="G4827" s="81" t="s">
        <v>224</v>
      </c>
      <c r="H4827" s="81" t="s">
        <v>224</v>
      </c>
      <c r="I4827" s="81" t="s">
        <v>224</v>
      </c>
      <c r="J4827" s="81" t="s">
        <v>5000</v>
      </c>
    </row>
    <row r="4828" hidden="1">
      <c r="A4828" s="83" t="s">
        <v>6334</v>
      </c>
      <c r="B4828" s="83" t="s">
        <v>6335</v>
      </c>
      <c r="C4828" s="81" t="s">
        <v>4082</v>
      </c>
      <c r="D4828" s="81" t="s">
        <v>224</v>
      </c>
      <c r="E4828" s="81" t="s">
        <v>5001</v>
      </c>
      <c r="F4828" s="81" t="s">
        <v>224</v>
      </c>
      <c r="G4828" s="81" t="s">
        <v>224</v>
      </c>
      <c r="H4828" s="81" t="s">
        <v>224</v>
      </c>
      <c r="I4828" s="81" t="s">
        <v>224</v>
      </c>
      <c r="J4828" s="81" t="s">
        <v>5002</v>
      </c>
    </row>
    <row r="4829" hidden="1">
      <c r="A4829" s="83" t="s">
        <v>6334</v>
      </c>
      <c r="B4829" s="83" t="s">
        <v>6335</v>
      </c>
      <c r="C4829" s="81" t="s">
        <v>4082</v>
      </c>
      <c r="D4829" s="81" t="s">
        <v>224</v>
      </c>
      <c r="E4829" s="81" t="s">
        <v>5003</v>
      </c>
      <c r="F4829" s="81" t="s">
        <v>224</v>
      </c>
      <c r="G4829" s="81" t="s">
        <v>224</v>
      </c>
      <c r="H4829" s="81" t="s">
        <v>224</v>
      </c>
      <c r="I4829" s="81" t="s">
        <v>224</v>
      </c>
      <c r="J4829" s="81" t="s">
        <v>5004</v>
      </c>
    </row>
    <row r="4830" hidden="1">
      <c r="A4830" s="83" t="s">
        <v>6334</v>
      </c>
      <c r="B4830" s="83" t="s">
        <v>6335</v>
      </c>
      <c r="C4830" s="81" t="s">
        <v>4082</v>
      </c>
      <c r="D4830" s="81" t="s">
        <v>224</v>
      </c>
      <c r="E4830" s="81" t="s">
        <v>5005</v>
      </c>
      <c r="F4830" s="81" t="s">
        <v>224</v>
      </c>
      <c r="G4830" s="81" t="s">
        <v>224</v>
      </c>
      <c r="H4830" s="81" t="s">
        <v>224</v>
      </c>
      <c r="I4830" s="81" t="s">
        <v>224</v>
      </c>
      <c r="J4830" s="81" t="s">
        <v>5006</v>
      </c>
    </row>
    <row r="4831" hidden="1">
      <c r="A4831" s="83" t="s">
        <v>6334</v>
      </c>
      <c r="B4831" s="83" t="s">
        <v>6335</v>
      </c>
      <c r="C4831" s="81" t="s">
        <v>4082</v>
      </c>
      <c r="D4831" s="81" t="s">
        <v>224</v>
      </c>
      <c r="E4831" s="81" t="s">
        <v>5007</v>
      </c>
      <c r="F4831" s="81" t="s">
        <v>224</v>
      </c>
      <c r="G4831" s="81" t="s">
        <v>224</v>
      </c>
      <c r="H4831" s="81" t="s">
        <v>224</v>
      </c>
      <c r="I4831" s="81" t="s">
        <v>224</v>
      </c>
      <c r="J4831" s="81" t="s">
        <v>5008</v>
      </c>
    </row>
    <row r="4832" hidden="1">
      <c r="A4832" s="83" t="s">
        <v>6334</v>
      </c>
      <c r="B4832" s="83" t="s">
        <v>6335</v>
      </c>
      <c r="C4832" s="81" t="s">
        <v>4082</v>
      </c>
      <c r="D4832" s="81" t="s">
        <v>224</v>
      </c>
      <c r="E4832" s="81" t="s">
        <v>5009</v>
      </c>
      <c r="F4832" s="81" t="s">
        <v>224</v>
      </c>
      <c r="G4832" s="81" t="s">
        <v>224</v>
      </c>
      <c r="H4832" s="81" t="s">
        <v>224</v>
      </c>
      <c r="I4832" s="81" t="s">
        <v>224</v>
      </c>
      <c r="J4832" s="81" t="s">
        <v>5010</v>
      </c>
    </row>
    <row r="4833" hidden="1">
      <c r="A4833" s="83" t="s">
        <v>6334</v>
      </c>
      <c r="B4833" s="83" t="s">
        <v>6335</v>
      </c>
      <c r="C4833" s="81" t="s">
        <v>4082</v>
      </c>
      <c r="D4833" s="81" t="s">
        <v>224</v>
      </c>
      <c r="E4833" s="81" t="s">
        <v>5011</v>
      </c>
      <c r="F4833" s="81" t="s">
        <v>224</v>
      </c>
      <c r="G4833" s="81" t="s">
        <v>224</v>
      </c>
      <c r="H4833" s="81" t="s">
        <v>224</v>
      </c>
      <c r="I4833" s="81" t="s">
        <v>224</v>
      </c>
      <c r="J4833" s="81" t="s">
        <v>5012</v>
      </c>
    </row>
    <row r="4834" hidden="1">
      <c r="A4834" s="83" t="s">
        <v>6334</v>
      </c>
      <c r="B4834" s="83" t="s">
        <v>6335</v>
      </c>
      <c r="C4834" s="81" t="s">
        <v>4082</v>
      </c>
      <c r="D4834" s="81" t="s">
        <v>224</v>
      </c>
      <c r="E4834" s="81" t="s">
        <v>5013</v>
      </c>
      <c r="F4834" s="81" t="s">
        <v>224</v>
      </c>
      <c r="G4834" s="81" t="s">
        <v>224</v>
      </c>
      <c r="H4834" s="81" t="s">
        <v>224</v>
      </c>
      <c r="I4834" s="81" t="s">
        <v>224</v>
      </c>
      <c r="J4834" s="81" t="s">
        <v>5014</v>
      </c>
    </row>
    <row r="4835" hidden="1">
      <c r="A4835" s="83" t="s">
        <v>6334</v>
      </c>
      <c r="B4835" s="83" t="s">
        <v>6335</v>
      </c>
      <c r="C4835" s="81" t="s">
        <v>4082</v>
      </c>
      <c r="D4835" s="81" t="s">
        <v>224</v>
      </c>
      <c r="E4835" s="81" t="s">
        <v>5015</v>
      </c>
      <c r="F4835" s="81" t="s">
        <v>224</v>
      </c>
      <c r="G4835" s="81" t="s">
        <v>224</v>
      </c>
      <c r="H4835" s="81" t="s">
        <v>224</v>
      </c>
      <c r="I4835" s="81" t="s">
        <v>224</v>
      </c>
      <c r="J4835" s="81" t="s">
        <v>5016</v>
      </c>
    </row>
    <row r="4836" hidden="1">
      <c r="A4836" s="83" t="s">
        <v>6334</v>
      </c>
      <c r="B4836" s="83" t="s">
        <v>6335</v>
      </c>
      <c r="C4836" s="81" t="s">
        <v>4082</v>
      </c>
      <c r="D4836" s="81" t="s">
        <v>224</v>
      </c>
      <c r="E4836" s="81" t="s">
        <v>5017</v>
      </c>
      <c r="F4836" s="81" t="s">
        <v>224</v>
      </c>
      <c r="G4836" s="81" t="s">
        <v>224</v>
      </c>
      <c r="H4836" s="81" t="s">
        <v>224</v>
      </c>
      <c r="I4836" s="81" t="s">
        <v>224</v>
      </c>
      <c r="J4836" s="81" t="s">
        <v>5018</v>
      </c>
    </row>
    <row r="4837" hidden="1">
      <c r="A4837" s="83" t="s">
        <v>6334</v>
      </c>
      <c r="B4837" s="83" t="s">
        <v>6335</v>
      </c>
      <c r="C4837" s="81" t="s">
        <v>4082</v>
      </c>
      <c r="D4837" s="81" t="s">
        <v>224</v>
      </c>
      <c r="E4837" s="81" t="s">
        <v>5019</v>
      </c>
      <c r="F4837" s="81" t="s">
        <v>224</v>
      </c>
      <c r="G4837" s="81" t="s">
        <v>224</v>
      </c>
      <c r="H4837" s="81" t="s">
        <v>224</v>
      </c>
      <c r="I4837" s="81" t="s">
        <v>224</v>
      </c>
      <c r="J4837" s="81" t="s">
        <v>5020</v>
      </c>
    </row>
    <row r="4838" hidden="1">
      <c r="A4838" s="83" t="s">
        <v>6334</v>
      </c>
      <c r="B4838" s="83" t="s">
        <v>6335</v>
      </c>
      <c r="C4838" s="81" t="s">
        <v>4082</v>
      </c>
      <c r="D4838" s="81" t="s">
        <v>224</v>
      </c>
      <c r="E4838" s="81" t="s">
        <v>5021</v>
      </c>
      <c r="F4838" s="81" t="s">
        <v>224</v>
      </c>
      <c r="G4838" s="81" t="s">
        <v>224</v>
      </c>
      <c r="H4838" s="81" t="s">
        <v>224</v>
      </c>
      <c r="I4838" s="81" t="s">
        <v>224</v>
      </c>
      <c r="J4838" s="81" t="s">
        <v>5022</v>
      </c>
    </row>
    <row r="4839" hidden="1">
      <c r="A4839" s="83" t="s">
        <v>6334</v>
      </c>
      <c r="B4839" s="83" t="s">
        <v>6335</v>
      </c>
      <c r="C4839" s="81" t="s">
        <v>4082</v>
      </c>
      <c r="D4839" s="81" t="s">
        <v>224</v>
      </c>
      <c r="E4839" s="81" t="s">
        <v>5023</v>
      </c>
      <c r="F4839" s="81" t="s">
        <v>224</v>
      </c>
      <c r="G4839" s="81" t="s">
        <v>224</v>
      </c>
      <c r="H4839" s="81" t="s">
        <v>224</v>
      </c>
      <c r="I4839" s="81" t="s">
        <v>224</v>
      </c>
      <c r="J4839" s="81" t="s">
        <v>5024</v>
      </c>
    </row>
    <row r="4840" hidden="1">
      <c r="A4840" s="83" t="s">
        <v>6334</v>
      </c>
      <c r="B4840" s="83" t="s">
        <v>6335</v>
      </c>
      <c r="C4840" s="81" t="s">
        <v>4082</v>
      </c>
      <c r="D4840" s="81" t="s">
        <v>224</v>
      </c>
      <c r="E4840" s="81" t="s">
        <v>5025</v>
      </c>
      <c r="F4840" s="81" t="s">
        <v>224</v>
      </c>
      <c r="G4840" s="81" t="s">
        <v>224</v>
      </c>
      <c r="H4840" s="81" t="s">
        <v>224</v>
      </c>
      <c r="I4840" s="81" t="s">
        <v>224</v>
      </c>
      <c r="J4840" s="81" t="s">
        <v>5026</v>
      </c>
    </row>
    <row r="4841" hidden="1">
      <c r="A4841" s="83" t="s">
        <v>6334</v>
      </c>
      <c r="B4841" s="83" t="s">
        <v>6335</v>
      </c>
      <c r="C4841" s="81" t="s">
        <v>4082</v>
      </c>
      <c r="D4841" s="81" t="s">
        <v>224</v>
      </c>
      <c r="E4841" s="81" t="s">
        <v>5027</v>
      </c>
      <c r="F4841" s="81" t="s">
        <v>224</v>
      </c>
      <c r="G4841" s="81" t="s">
        <v>224</v>
      </c>
      <c r="H4841" s="81" t="s">
        <v>224</v>
      </c>
      <c r="I4841" s="81" t="s">
        <v>224</v>
      </c>
      <c r="J4841" s="81" t="s">
        <v>5028</v>
      </c>
    </row>
    <row r="4842" hidden="1">
      <c r="A4842" s="83" t="s">
        <v>6334</v>
      </c>
      <c r="B4842" s="83" t="s">
        <v>6335</v>
      </c>
      <c r="C4842" s="81" t="s">
        <v>4082</v>
      </c>
      <c r="D4842" s="81" t="s">
        <v>224</v>
      </c>
      <c r="E4842" s="81" t="s">
        <v>5029</v>
      </c>
      <c r="F4842" s="81" t="s">
        <v>224</v>
      </c>
      <c r="G4842" s="81" t="s">
        <v>224</v>
      </c>
      <c r="H4842" s="81" t="s">
        <v>224</v>
      </c>
      <c r="I4842" s="81" t="s">
        <v>224</v>
      </c>
      <c r="J4842" s="81" t="s">
        <v>5030</v>
      </c>
    </row>
    <row r="4843" hidden="1">
      <c r="A4843" s="83" t="s">
        <v>6334</v>
      </c>
      <c r="B4843" s="83" t="s">
        <v>6335</v>
      </c>
      <c r="C4843" s="81" t="s">
        <v>4082</v>
      </c>
      <c r="D4843" s="81" t="s">
        <v>224</v>
      </c>
      <c r="E4843" s="81" t="s">
        <v>5031</v>
      </c>
      <c r="F4843" s="81" t="s">
        <v>224</v>
      </c>
      <c r="G4843" s="81" t="s">
        <v>224</v>
      </c>
      <c r="H4843" s="81" t="s">
        <v>224</v>
      </c>
      <c r="I4843" s="81" t="s">
        <v>224</v>
      </c>
      <c r="J4843" s="81" t="s">
        <v>5032</v>
      </c>
    </row>
    <row r="4844" hidden="1">
      <c r="A4844" s="83" t="s">
        <v>6334</v>
      </c>
      <c r="B4844" s="83" t="s">
        <v>6335</v>
      </c>
      <c r="C4844" s="81" t="s">
        <v>4082</v>
      </c>
      <c r="D4844" s="81" t="s">
        <v>224</v>
      </c>
      <c r="E4844" s="81" t="s">
        <v>5033</v>
      </c>
      <c r="F4844" s="81" t="s">
        <v>224</v>
      </c>
      <c r="G4844" s="81" t="s">
        <v>224</v>
      </c>
      <c r="H4844" s="81" t="s">
        <v>224</v>
      </c>
      <c r="I4844" s="81" t="s">
        <v>224</v>
      </c>
      <c r="J4844" s="81" t="s">
        <v>5034</v>
      </c>
    </row>
    <row r="4845" hidden="1">
      <c r="A4845" s="83" t="s">
        <v>6334</v>
      </c>
      <c r="B4845" s="83" t="s">
        <v>6335</v>
      </c>
      <c r="C4845" s="81" t="s">
        <v>4082</v>
      </c>
      <c r="D4845" s="81" t="s">
        <v>224</v>
      </c>
      <c r="E4845" s="81" t="s">
        <v>5035</v>
      </c>
      <c r="F4845" s="81" t="s">
        <v>224</v>
      </c>
      <c r="G4845" s="81" t="s">
        <v>224</v>
      </c>
      <c r="H4845" s="81" t="s">
        <v>224</v>
      </c>
      <c r="I4845" s="81" t="s">
        <v>224</v>
      </c>
      <c r="J4845" s="81" t="s">
        <v>5036</v>
      </c>
    </row>
    <row r="4846" hidden="1">
      <c r="A4846" s="83" t="s">
        <v>6334</v>
      </c>
      <c r="B4846" s="83" t="s">
        <v>6335</v>
      </c>
      <c r="C4846" s="81" t="s">
        <v>4082</v>
      </c>
      <c r="D4846" s="81" t="s">
        <v>224</v>
      </c>
      <c r="E4846" s="81" t="s">
        <v>5037</v>
      </c>
      <c r="F4846" s="81" t="s">
        <v>224</v>
      </c>
      <c r="G4846" s="81" t="s">
        <v>224</v>
      </c>
      <c r="H4846" s="81" t="s">
        <v>224</v>
      </c>
      <c r="I4846" s="81" t="s">
        <v>224</v>
      </c>
      <c r="J4846" s="81" t="s">
        <v>5038</v>
      </c>
    </row>
    <row r="4847" hidden="1">
      <c r="A4847" s="83" t="s">
        <v>6334</v>
      </c>
      <c r="B4847" s="83" t="s">
        <v>6335</v>
      </c>
      <c r="C4847" s="81" t="s">
        <v>4082</v>
      </c>
      <c r="D4847" s="81" t="s">
        <v>224</v>
      </c>
      <c r="E4847" s="81" t="s">
        <v>5039</v>
      </c>
      <c r="F4847" s="81" t="s">
        <v>224</v>
      </c>
      <c r="G4847" s="81" t="s">
        <v>224</v>
      </c>
      <c r="H4847" s="81" t="s">
        <v>224</v>
      </c>
      <c r="I4847" s="81" t="s">
        <v>224</v>
      </c>
      <c r="J4847" s="81" t="s">
        <v>5040</v>
      </c>
    </row>
    <row r="4848" hidden="1">
      <c r="A4848" s="83" t="s">
        <v>6334</v>
      </c>
      <c r="B4848" s="83" t="s">
        <v>6335</v>
      </c>
      <c r="C4848" s="81" t="s">
        <v>4082</v>
      </c>
      <c r="D4848" s="81" t="s">
        <v>224</v>
      </c>
      <c r="E4848" s="81" t="s">
        <v>5041</v>
      </c>
      <c r="F4848" s="81" t="s">
        <v>224</v>
      </c>
      <c r="G4848" s="81" t="s">
        <v>224</v>
      </c>
      <c r="H4848" s="81" t="s">
        <v>224</v>
      </c>
      <c r="I4848" s="81" t="s">
        <v>224</v>
      </c>
      <c r="J4848" s="81" t="s">
        <v>5042</v>
      </c>
    </row>
    <row r="4849" hidden="1">
      <c r="A4849" s="83" t="s">
        <v>6334</v>
      </c>
      <c r="B4849" s="83" t="s">
        <v>6335</v>
      </c>
      <c r="C4849" s="81" t="s">
        <v>4082</v>
      </c>
      <c r="D4849" s="81" t="s">
        <v>224</v>
      </c>
      <c r="E4849" s="81" t="s">
        <v>5043</v>
      </c>
      <c r="F4849" s="81" t="s">
        <v>224</v>
      </c>
      <c r="G4849" s="81" t="s">
        <v>224</v>
      </c>
      <c r="H4849" s="81" t="s">
        <v>224</v>
      </c>
      <c r="I4849" s="81" t="s">
        <v>224</v>
      </c>
      <c r="J4849" s="81" t="s">
        <v>5044</v>
      </c>
    </row>
    <row r="4850" hidden="1">
      <c r="A4850" s="83" t="s">
        <v>6334</v>
      </c>
      <c r="B4850" s="83" t="s">
        <v>6335</v>
      </c>
      <c r="C4850" s="81" t="s">
        <v>4082</v>
      </c>
      <c r="D4850" s="81" t="s">
        <v>224</v>
      </c>
      <c r="E4850" s="81" t="s">
        <v>5045</v>
      </c>
      <c r="F4850" s="81" t="s">
        <v>224</v>
      </c>
      <c r="G4850" s="81" t="s">
        <v>224</v>
      </c>
      <c r="H4850" s="81" t="s">
        <v>224</v>
      </c>
      <c r="I4850" s="81" t="s">
        <v>224</v>
      </c>
      <c r="J4850" s="81" t="s">
        <v>5046</v>
      </c>
    </row>
    <row r="4851" hidden="1">
      <c r="A4851" s="83" t="s">
        <v>6334</v>
      </c>
      <c r="B4851" s="83" t="s">
        <v>6335</v>
      </c>
      <c r="C4851" s="81" t="s">
        <v>4082</v>
      </c>
      <c r="D4851" s="81" t="s">
        <v>224</v>
      </c>
      <c r="E4851" s="81" t="s">
        <v>5047</v>
      </c>
      <c r="F4851" s="81" t="s">
        <v>224</v>
      </c>
      <c r="G4851" s="81" t="s">
        <v>224</v>
      </c>
      <c r="H4851" s="81" t="s">
        <v>224</v>
      </c>
      <c r="I4851" s="81" t="s">
        <v>224</v>
      </c>
      <c r="J4851" s="81" t="s">
        <v>5048</v>
      </c>
    </row>
    <row r="4852" hidden="1">
      <c r="A4852" s="83" t="s">
        <v>6334</v>
      </c>
      <c r="B4852" s="83" t="s">
        <v>6335</v>
      </c>
      <c r="C4852" s="81" t="s">
        <v>4082</v>
      </c>
      <c r="D4852" s="81" t="s">
        <v>224</v>
      </c>
      <c r="E4852" s="81" t="s">
        <v>5049</v>
      </c>
      <c r="F4852" s="81" t="s">
        <v>224</v>
      </c>
      <c r="G4852" s="81" t="s">
        <v>224</v>
      </c>
      <c r="H4852" s="81" t="s">
        <v>224</v>
      </c>
      <c r="I4852" s="81" t="s">
        <v>224</v>
      </c>
      <c r="J4852" s="81" t="s">
        <v>5050</v>
      </c>
    </row>
    <row r="4853" hidden="1">
      <c r="A4853" s="83" t="s">
        <v>6334</v>
      </c>
      <c r="B4853" s="83" t="s">
        <v>6335</v>
      </c>
      <c r="C4853" s="81" t="s">
        <v>4082</v>
      </c>
      <c r="D4853" s="81" t="s">
        <v>224</v>
      </c>
      <c r="E4853" s="81" t="s">
        <v>5051</v>
      </c>
      <c r="F4853" s="81" t="s">
        <v>224</v>
      </c>
      <c r="G4853" s="81" t="s">
        <v>224</v>
      </c>
      <c r="H4853" s="81" t="s">
        <v>224</v>
      </c>
      <c r="I4853" s="81" t="s">
        <v>224</v>
      </c>
      <c r="J4853" s="81" t="s">
        <v>5052</v>
      </c>
    </row>
    <row r="4854" hidden="1">
      <c r="A4854" s="83" t="s">
        <v>6334</v>
      </c>
      <c r="B4854" s="83" t="s">
        <v>6335</v>
      </c>
      <c r="C4854" s="81" t="s">
        <v>4082</v>
      </c>
      <c r="D4854" s="81" t="s">
        <v>224</v>
      </c>
      <c r="E4854" s="81" t="s">
        <v>5053</v>
      </c>
      <c r="F4854" s="81" t="s">
        <v>224</v>
      </c>
      <c r="G4854" s="81" t="s">
        <v>224</v>
      </c>
      <c r="H4854" s="81" t="s">
        <v>224</v>
      </c>
      <c r="I4854" s="81" t="s">
        <v>224</v>
      </c>
      <c r="J4854" s="81" t="s">
        <v>5054</v>
      </c>
    </row>
    <row r="4855" hidden="1">
      <c r="A4855" s="83" t="s">
        <v>6334</v>
      </c>
      <c r="B4855" s="83" t="s">
        <v>6335</v>
      </c>
      <c r="C4855" s="81" t="s">
        <v>4082</v>
      </c>
      <c r="D4855" s="81" t="s">
        <v>224</v>
      </c>
      <c r="E4855" s="81" t="s">
        <v>5055</v>
      </c>
      <c r="F4855" s="81" t="s">
        <v>224</v>
      </c>
      <c r="G4855" s="81" t="s">
        <v>224</v>
      </c>
      <c r="H4855" s="81" t="s">
        <v>224</v>
      </c>
      <c r="I4855" s="81" t="s">
        <v>224</v>
      </c>
      <c r="J4855" s="81" t="s">
        <v>5056</v>
      </c>
    </row>
    <row r="4856" hidden="1">
      <c r="A4856" s="83" t="s">
        <v>6334</v>
      </c>
      <c r="B4856" s="83" t="s">
        <v>6335</v>
      </c>
      <c r="C4856" s="81" t="s">
        <v>4082</v>
      </c>
      <c r="D4856" s="81" t="s">
        <v>224</v>
      </c>
      <c r="E4856" s="81" t="s">
        <v>5057</v>
      </c>
      <c r="F4856" s="81" t="s">
        <v>224</v>
      </c>
      <c r="G4856" s="81" t="s">
        <v>224</v>
      </c>
      <c r="H4856" s="81" t="s">
        <v>224</v>
      </c>
      <c r="I4856" s="81" t="s">
        <v>224</v>
      </c>
      <c r="J4856" s="81" t="s">
        <v>5058</v>
      </c>
    </row>
    <row r="4857" hidden="1">
      <c r="A4857" s="83" t="s">
        <v>6334</v>
      </c>
      <c r="B4857" s="83" t="s">
        <v>6335</v>
      </c>
      <c r="C4857" s="81" t="s">
        <v>4082</v>
      </c>
      <c r="D4857" s="81" t="s">
        <v>224</v>
      </c>
      <c r="E4857" s="81" t="s">
        <v>5059</v>
      </c>
      <c r="F4857" s="81" t="s">
        <v>224</v>
      </c>
      <c r="G4857" s="81" t="s">
        <v>224</v>
      </c>
      <c r="H4857" s="81" t="s">
        <v>224</v>
      </c>
      <c r="I4857" s="81" t="s">
        <v>224</v>
      </c>
      <c r="J4857" s="81" t="s">
        <v>5060</v>
      </c>
    </row>
    <row r="4858" hidden="1">
      <c r="A4858" s="83" t="s">
        <v>6334</v>
      </c>
      <c r="B4858" s="83" t="s">
        <v>6335</v>
      </c>
      <c r="C4858" s="81" t="s">
        <v>4082</v>
      </c>
      <c r="D4858" s="81" t="s">
        <v>224</v>
      </c>
      <c r="E4858" s="81" t="s">
        <v>5061</v>
      </c>
      <c r="F4858" s="81" t="s">
        <v>224</v>
      </c>
      <c r="G4858" s="81" t="s">
        <v>224</v>
      </c>
      <c r="H4858" s="81" t="s">
        <v>224</v>
      </c>
      <c r="I4858" s="81" t="s">
        <v>224</v>
      </c>
      <c r="J4858" s="81" t="s">
        <v>5062</v>
      </c>
    </row>
    <row r="4859" hidden="1">
      <c r="A4859" s="83" t="s">
        <v>6334</v>
      </c>
      <c r="B4859" s="83" t="s">
        <v>6335</v>
      </c>
      <c r="C4859" s="81" t="s">
        <v>4082</v>
      </c>
      <c r="D4859" s="81" t="s">
        <v>224</v>
      </c>
      <c r="E4859" s="81" t="s">
        <v>5063</v>
      </c>
      <c r="F4859" s="81" t="s">
        <v>224</v>
      </c>
      <c r="G4859" s="81" t="s">
        <v>224</v>
      </c>
      <c r="H4859" s="81" t="s">
        <v>224</v>
      </c>
      <c r="I4859" s="81" t="s">
        <v>224</v>
      </c>
      <c r="J4859" s="81" t="s">
        <v>5064</v>
      </c>
    </row>
    <row r="4860" hidden="1">
      <c r="A4860" s="83" t="s">
        <v>6334</v>
      </c>
      <c r="B4860" s="83" t="s">
        <v>6335</v>
      </c>
      <c r="C4860" s="81" t="s">
        <v>4082</v>
      </c>
      <c r="D4860" s="81" t="s">
        <v>224</v>
      </c>
      <c r="E4860" s="81" t="s">
        <v>5065</v>
      </c>
      <c r="F4860" s="81" t="s">
        <v>224</v>
      </c>
      <c r="G4860" s="81" t="s">
        <v>224</v>
      </c>
      <c r="H4860" s="81" t="s">
        <v>224</v>
      </c>
      <c r="I4860" s="81" t="s">
        <v>224</v>
      </c>
      <c r="J4860" s="81" t="s">
        <v>5066</v>
      </c>
    </row>
    <row r="4861" hidden="1">
      <c r="A4861" s="83" t="s">
        <v>6334</v>
      </c>
      <c r="B4861" s="83" t="s">
        <v>6335</v>
      </c>
      <c r="C4861" s="81" t="s">
        <v>4082</v>
      </c>
      <c r="D4861" s="81" t="s">
        <v>224</v>
      </c>
      <c r="E4861" s="81" t="s">
        <v>5067</v>
      </c>
      <c r="F4861" s="81" t="s">
        <v>224</v>
      </c>
      <c r="G4861" s="81" t="s">
        <v>224</v>
      </c>
      <c r="H4861" s="81" t="s">
        <v>224</v>
      </c>
      <c r="I4861" s="81" t="s">
        <v>224</v>
      </c>
      <c r="J4861" s="81" t="s">
        <v>5068</v>
      </c>
    </row>
    <row r="4862" hidden="1">
      <c r="A4862" s="83" t="s">
        <v>6334</v>
      </c>
      <c r="B4862" s="83" t="s">
        <v>6335</v>
      </c>
      <c r="C4862" s="81" t="s">
        <v>4082</v>
      </c>
      <c r="D4862" s="81" t="s">
        <v>224</v>
      </c>
      <c r="E4862" s="81" t="s">
        <v>5069</v>
      </c>
      <c r="F4862" s="81" t="s">
        <v>224</v>
      </c>
      <c r="G4862" s="81" t="s">
        <v>224</v>
      </c>
      <c r="H4862" s="81" t="s">
        <v>224</v>
      </c>
      <c r="I4862" s="81" t="s">
        <v>224</v>
      </c>
      <c r="J4862" s="81" t="s">
        <v>5070</v>
      </c>
    </row>
    <row r="4863" hidden="1">
      <c r="A4863" s="83" t="s">
        <v>6334</v>
      </c>
      <c r="B4863" s="83" t="s">
        <v>6335</v>
      </c>
      <c r="C4863" s="81" t="s">
        <v>4082</v>
      </c>
      <c r="D4863" s="81" t="s">
        <v>224</v>
      </c>
      <c r="E4863" s="81" t="s">
        <v>5071</v>
      </c>
      <c r="F4863" s="81" t="s">
        <v>224</v>
      </c>
      <c r="G4863" s="81" t="s">
        <v>224</v>
      </c>
      <c r="H4863" s="81" t="s">
        <v>224</v>
      </c>
      <c r="I4863" s="81" t="s">
        <v>224</v>
      </c>
      <c r="J4863" s="81" t="s">
        <v>5072</v>
      </c>
    </row>
    <row r="4864" hidden="1">
      <c r="A4864" s="83" t="s">
        <v>6334</v>
      </c>
      <c r="B4864" s="83" t="s">
        <v>6335</v>
      </c>
      <c r="C4864" s="81" t="s">
        <v>4082</v>
      </c>
      <c r="D4864" s="81" t="s">
        <v>224</v>
      </c>
      <c r="E4864" s="81" t="s">
        <v>5073</v>
      </c>
      <c r="F4864" s="81" t="s">
        <v>224</v>
      </c>
      <c r="G4864" s="81" t="s">
        <v>224</v>
      </c>
      <c r="H4864" s="81" t="s">
        <v>224</v>
      </c>
      <c r="I4864" s="81" t="s">
        <v>224</v>
      </c>
      <c r="J4864" s="81" t="s">
        <v>5074</v>
      </c>
    </row>
    <row r="4865" hidden="1">
      <c r="A4865" s="83" t="s">
        <v>6334</v>
      </c>
      <c r="B4865" s="83" t="s">
        <v>6335</v>
      </c>
      <c r="C4865" s="81" t="s">
        <v>4082</v>
      </c>
      <c r="D4865" s="81" t="s">
        <v>224</v>
      </c>
      <c r="E4865" s="81" t="s">
        <v>5075</v>
      </c>
      <c r="F4865" s="81" t="s">
        <v>224</v>
      </c>
      <c r="G4865" s="81" t="s">
        <v>224</v>
      </c>
      <c r="H4865" s="81" t="s">
        <v>224</v>
      </c>
      <c r="I4865" s="81" t="s">
        <v>224</v>
      </c>
      <c r="J4865" s="81" t="s">
        <v>5076</v>
      </c>
    </row>
    <row r="4866" hidden="1">
      <c r="A4866" s="83" t="s">
        <v>6334</v>
      </c>
      <c r="B4866" s="83" t="s">
        <v>6335</v>
      </c>
      <c r="C4866" s="81" t="s">
        <v>4082</v>
      </c>
      <c r="D4866" s="81" t="s">
        <v>224</v>
      </c>
      <c r="E4866" s="81" t="s">
        <v>5077</v>
      </c>
      <c r="F4866" s="81" t="s">
        <v>224</v>
      </c>
      <c r="G4866" s="81" t="s">
        <v>224</v>
      </c>
      <c r="H4866" s="81" t="s">
        <v>224</v>
      </c>
      <c r="I4866" s="81" t="s">
        <v>224</v>
      </c>
      <c r="J4866" s="81" t="s">
        <v>5078</v>
      </c>
    </row>
    <row r="4867" hidden="1">
      <c r="A4867" s="83" t="s">
        <v>6334</v>
      </c>
      <c r="B4867" s="83" t="s">
        <v>6335</v>
      </c>
      <c r="C4867" s="81" t="s">
        <v>4082</v>
      </c>
      <c r="D4867" s="81" t="s">
        <v>224</v>
      </c>
      <c r="E4867" s="81" t="s">
        <v>5079</v>
      </c>
      <c r="F4867" s="81" t="s">
        <v>224</v>
      </c>
      <c r="G4867" s="81" t="s">
        <v>224</v>
      </c>
      <c r="H4867" s="81" t="s">
        <v>224</v>
      </c>
      <c r="I4867" s="81" t="s">
        <v>224</v>
      </c>
      <c r="J4867" s="81" t="s">
        <v>4974</v>
      </c>
    </row>
    <row r="4868" hidden="1">
      <c r="A4868" s="83" t="s">
        <v>6334</v>
      </c>
      <c r="B4868" s="83" t="s">
        <v>6335</v>
      </c>
      <c r="C4868" s="81" t="s">
        <v>4082</v>
      </c>
      <c r="D4868" s="81" t="s">
        <v>224</v>
      </c>
      <c r="E4868" s="81" t="s">
        <v>5080</v>
      </c>
      <c r="F4868" s="81" t="s">
        <v>224</v>
      </c>
      <c r="G4868" s="81" t="s">
        <v>224</v>
      </c>
      <c r="H4868" s="81" t="s">
        <v>224</v>
      </c>
      <c r="I4868" s="81" t="s">
        <v>224</v>
      </c>
      <c r="J4868" s="81" t="s">
        <v>4974</v>
      </c>
    </row>
    <row r="4869" hidden="1">
      <c r="A4869" s="83" t="s">
        <v>6334</v>
      </c>
      <c r="B4869" s="83" t="s">
        <v>6335</v>
      </c>
      <c r="C4869" s="81" t="s">
        <v>4082</v>
      </c>
      <c r="D4869" s="81" t="s">
        <v>224</v>
      </c>
      <c r="E4869" s="81" t="s">
        <v>5081</v>
      </c>
      <c r="F4869" s="81" t="s">
        <v>224</v>
      </c>
      <c r="G4869" s="81" t="s">
        <v>224</v>
      </c>
      <c r="H4869" s="81" t="s">
        <v>224</v>
      </c>
      <c r="I4869" s="81" t="s">
        <v>224</v>
      </c>
      <c r="J4869" s="81" t="s">
        <v>5082</v>
      </c>
    </row>
    <row r="4870" hidden="1">
      <c r="A4870" s="83" t="s">
        <v>6334</v>
      </c>
      <c r="B4870" s="83" t="s">
        <v>6335</v>
      </c>
      <c r="C4870" s="81" t="s">
        <v>4082</v>
      </c>
      <c r="D4870" s="81" t="s">
        <v>224</v>
      </c>
      <c r="E4870" s="81" t="s">
        <v>5083</v>
      </c>
      <c r="F4870" s="81" t="s">
        <v>224</v>
      </c>
      <c r="G4870" s="81" t="s">
        <v>224</v>
      </c>
      <c r="H4870" s="81" t="s">
        <v>224</v>
      </c>
      <c r="I4870" s="81" t="s">
        <v>224</v>
      </c>
      <c r="J4870" s="81" t="s">
        <v>4984</v>
      </c>
    </row>
    <row r="4871" hidden="1">
      <c r="A4871" s="83" t="s">
        <v>6334</v>
      </c>
      <c r="B4871" s="83" t="s">
        <v>6335</v>
      </c>
      <c r="C4871" s="81" t="s">
        <v>4082</v>
      </c>
      <c r="D4871" s="81" t="s">
        <v>224</v>
      </c>
      <c r="E4871" s="81" t="s">
        <v>5084</v>
      </c>
      <c r="F4871" s="81" t="s">
        <v>224</v>
      </c>
      <c r="G4871" s="81" t="s">
        <v>224</v>
      </c>
      <c r="H4871" s="81" t="s">
        <v>224</v>
      </c>
      <c r="I4871" s="81" t="s">
        <v>224</v>
      </c>
      <c r="J4871" s="81" t="s">
        <v>5026</v>
      </c>
    </row>
    <row r="4872" hidden="1">
      <c r="A4872" s="83" t="s">
        <v>6334</v>
      </c>
      <c r="B4872" s="83" t="s">
        <v>6335</v>
      </c>
      <c r="C4872" s="81" t="s">
        <v>4082</v>
      </c>
      <c r="D4872" s="81" t="s">
        <v>224</v>
      </c>
      <c r="E4872" s="81" t="s">
        <v>5085</v>
      </c>
      <c r="F4872" s="81" t="s">
        <v>224</v>
      </c>
      <c r="G4872" s="81" t="s">
        <v>224</v>
      </c>
      <c r="H4872" s="81" t="s">
        <v>224</v>
      </c>
      <c r="I4872" s="81" t="s">
        <v>224</v>
      </c>
      <c r="J4872" s="81" t="s">
        <v>5006</v>
      </c>
    </row>
    <row r="4873" hidden="1">
      <c r="A4873" s="83" t="s">
        <v>6334</v>
      </c>
      <c r="B4873" s="83" t="s">
        <v>6335</v>
      </c>
      <c r="C4873" s="81" t="s">
        <v>4082</v>
      </c>
      <c r="D4873" s="81" t="s">
        <v>224</v>
      </c>
      <c r="E4873" s="81" t="s">
        <v>5086</v>
      </c>
      <c r="F4873" s="81" t="s">
        <v>224</v>
      </c>
      <c r="G4873" s="81" t="s">
        <v>224</v>
      </c>
      <c r="H4873" s="81" t="s">
        <v>224</v>
      </c>
      <c r="I4873" s="81" t="s">
        <v>224</v>
      </c>
      <c r="J4873" s="81" t="s">
        <v>5006</v>
      </c>
    </row>
    <row r="4874" hidden="1">
      <c r="A4874" s="83" t="s">
        <v>6334</v>
      </c>
      <c r="B4874" s="83" t="s">
        <v>6335</v>
      </c>
      <c r="C4874" s="81" t="s">
        <v>4082</v>
      </c>
      <c r="D4874" s="81" t="s">
        <v>224</v>
      </c>
      <c r="E4874" s="81" t="s">
        <v>5087</v>
      </c>
      <c r="F4874" s="81" t="s">
        <v>224</v>
      </c>
      <c r="G4874" s="81" t="s">
        <v>224</v>
      </c>
      <c r="H4874" s="81" t="s">
        <v>224</v>
      </c>
      <c r="I4874" s="81" t="s">
        <v>224</v>
      </c>
      <c r="J4874" s="81" t="s">
        <v>4984</v>
      </c>
    </row>
    <row r="4875" hidden="1">
      <c r="A4875" s="83" t="s">
        <v>6334</v>
      </c>
      <c r="B4875" s="83" t="s">
        <v>6335</v>
      </c>
      <c r="C4875" s="81" t="s">
        <v>4082</v>
      </c>
      <c r="D4875" s="81" t="s">
        <v>224</v>
      </c>
      <c r="E4875" s="81" t="s">
        <v>5088</v>
      </c>
      <c r="F4875" s="81" t="s">
        <v>224</v>
      </c>
      <c r="G4875" s="81" t="s">
        <v>224</v>
      </c>
      <c r="H4875" s="81" t="s">
        <v>224</v>
      </c>
      <c r="I4875" s="81" t="s">
        <v>224</v>
      </c>
      <c r="J4875" s="81" t="s">
        <v>5026</v>
      </c>
    </row>
    <row r="4876" hidden="1">
      <c r="A4876" s="83" t="s">
        <v>6334</v>
      </c>
      <c r="B4876" s="83" t="s">
        <v>6335</v>
      </c>
      <c r="C4876" s="81" t="s">
        <v>4082</v>
      </c>
      <c r="D4876" s="81" t="s">
        <v>224</v>
      </c>
      <c r="E4876" s="81" t="s">
        <v>5089</v>
      </c>
      <c r="F4876" s="81" t="s">
        <v>224</v>
      </c>
      <c r="G4876" s="81" t="s">
        <v>224</v>
      </c>
      <c r="H4876" s="81" t="s">
        <v>224</v>
      </c>
      <c r="I4876" s="81" t="s">
        <v>224</v>
      </c>
      <c r="J4876" s="81" t="s">
        <v>4984</v>
      </c>
    </row>
    <row r="4877" hidden="1">
      <c r="A4877" s="83" t="s">
        <v>6334</v>
      </c>
      <c r="B4877" s="83" t="s">
        <v>6335</v>
      </c>
      <c r="C4877" s="81" t="s">
        <v>4082</v>
      </c>
      <c r="D4877" s="81" t="s">
        <v>224</v>
      </c>
      <c r="E4877" s="81" t="s">
        <v>5090</v>
      </c>
      <c r="F4877" s="81" t="s">
        <v>224</v>
      </c>
      <c r="G4877" s="81" t="s">
        <v>224</v>
      </c>
      <c r="H4877" s="81" t="s">
        <v>224</v>
      </c>
      <c r="I4877" s="81" t="s">
        <v>224</v>
      </c>
      <c r="J4877" s="81" t="s">
        <v>4984</v>
      </c>
    </row>
    <row r="4878" hidden="1">
      <c r="A4878" s="83" t="s">
        <v>6334</v>
      </c>
      <c r="B4878" s="83" t="s">
        <v>6335</v>
      </c>
      <c r="C4878" s="81" t="s">
        <v>4082</v>
      </c>
      <c r="D4878" s="81" t="s">
        <v>224</v>
      </c>
      <c r="E4878" s="81" t="s">
        <v>5091</v>
      </c>
      <c r="F4878" s="81" t="s">
        <v>224</v>
      </c>
      <c r="G4878" s="81" t="s">
        <v>224</v>
      </c>
      <c r="H4878" s="81" t="s">
        <v>224</v>
      </c>
      <c r="I4878" s="81" t="s">
        <v>224</v>
      </c>
      <c r="J4878" s="81" t="s">
        <v>5006</v>
      </c>
    </row>
    <row r="4879" hidden="1">
      <c r="A4879" s="83" t="s">
        <v>6334</v>
      </c>
      <c r="B4879" s="83" t="s">
        <v>6335</v>
      </c>
      <c r="C4879" s="81" t="s">
        <v>4082</v>
      </c>
      <c r="D4879" s="81" t="s">
        <v>224</v>
      </c>
      <c r="E4879" s="81" t="s">
        <v>5092</v>
      </c>
      <c r="F4879" s="81" t="s">
        <v>224</v>
      </c>
      <c r="G4879" s="81" t="s">
        <v>224</v>
      </c>
      <c r="H4879" s="81" t="s">
        <v>224</v>
      </c>
      <c r="I4879" s="81" t="s">
        <v>224</v>
      </c>
      <c r="J4879" s="81" t="s">
        <v>5006</v>
      </c>
    </row>
    <row r="4880" hidden="1">
      <c r="A4880" s="83" t="s">
        <v>6334</v>
      </c>
      <c r="B4880" s="83" t="s">
        <v>6335</v>
      </c>
      <c r="C4880" s="81" t="s">
        <v>4082</v>
      </c>
      <c r="D4880" s="81" t="s">
        <v>224</v>
      </c>
      <c r="E4880" s="81" t="s">
        <v>5093</v>
      </c>
      <c r="F4880" s="81" t="s">
        <v>224</v>
      </c>
      <c r="G4880" s="81" t="s">
        <v>224</v>
      </c>
      <c r="H4880" s="81" t="s">
        <v>224</v>
      </c>
      <c r="I4880" s="81" t="s">
        <v>224</v>
      </c>
      <c r="J4880" s="81" t="s">
        <v>5026</v>
      </c>
    </row>
    <row r="4881" hidden="1">
      <c r="A4881" s="83" t="s">
        <v>6334</v>
      </c>
      <c r="B4881" s="83" t="s">
        <v>6335</v>
      </c>
      <c r="C4881" s="81" t="s">
        <v>4082</v>
      </c>
      <c r="D4881" s="81" t="s">
        <v>224</v>
      </c>
      <c r="E4881" s="81" t="s">
        <v>5094</v>
      </c>
      <c r="F4881" s="81" t="s">
        <v>224</v>
      </c>
      <c r="G4881" s="81" t="s">
        <v>224</v>
      </c>
      <c r="H4881" s="81" t="s">
        <v>224</v>
      </c>
      <c r="I4881" s="81" t="s">
        <v>224</v>
      </c>
      <c r="J4881" s="81" t="s">
        <v>5026</v>
      </c>
    </row>
    <row r="4882" hidden="1">
      <c r="A4882" s="83" t="s">
        <v>6334</v>
      </c>
      <c r="B4882" s="83" t="s">
        <v>6335</v>
      </c>
      <c r="C4882" s="81" t="s">
        <v>4082</v>
      </c>
      <c r="D4882" s="81" t="s">
        <v>224</v>
      </c>
      <c r="E4882" s="81" t="s">
        <v>5095</v>
      </c>
      <c r="F4882" s="81" t="s">
        <v>224</v>
      </c>
      <c r="G4882" s="81" t="s">
        <v>224</v>
      </c>
      <c r="H4882" s="81" t="s">
        <v>224</v>
      </c>
      <c r="I4882" s="81" t="s">
        <v>224</v>
      </c>
      <c r="J4882" s="81" t="s">
        <v>5006</v>
      </c>
    </row>
    <row r="4883" hidden="1">
      <c r="A4883" s="83" t="s">
        <v>6334</v>
      </c>
      <c r="B4883" s="83" t="s">
        <v>6335</v>
      </c>
      <c r="C4883" s="81" t="s">
        <v>4082</v>
      </c>
      <c r="D4883" s="81" t="s">
        <v>224</v>
      </c>
      <c r="E4883" s="81" t="s">
        <v>5096</v>
      </c>
      <c r="F4883" s="81" t="s">
        <v>224</v>
      </c>
      <c r="G4883" s="81" t="s">
        <v>224</v>
      </c>
      <c r="H4883" s="81" t="s">
        <v>224</v>
      </c>
      <c r="I4883" s="81" t="s">
        <v>224</v>
      </c>
      <c r="J4883" s="81" t="s">
        <v>5006</v>
      </c>
    </row>
    <row r="4884" hidden="1">
      <c r="A4884" s="83" t="s">
        <v>6334</v>
      </c>
      <c r="B4884" s="83" t="s">
        <v>6335</v>
      </c>
      <c r="C4884" s="81" t="s">
        <v>4082</v>
      </c>
      <c r="D4884" s="81" t="s">
        <v>224</v>
      </c>
      <c r="E4884" s="81" t="s">
        <v>5097</v>
      </c>
      <c r="F4884" s="81" t="s">
        <v>224</v>
      </c>
      <c r="G4884" s="81" t="s">
        <v>224</v>
      </c>
      <c r="H4884" s="81" t="s">
        <v>224</v>
      </c>
      <c r="I4884" s="81" t="s">
        <v>224</v>
      </c>
      <c r="J4884" s="81" t="s">
        <v>5006</v>
      </c>
    </row>
    <row r="4885" hidden="1">
      <c r="A4885" s="83" t="s">
        <v>6334</v>
      </c>
      <c r="B4885" s="83" t="s">
        <v>6335</v>
      </c>
      <c r="C4885" s="81" t="s">
        <v>4082</v>
      </c>
      <c r="D4885" s="81" t="s">
        <v>224</v>
      </c>
      <c r="E4885" s="81" t="s">
        <v>5098</v>
      </c>
      <c r="F4885" s="81" t="s">
        <v>224</v>
      </c>
      <c r="G4885" s="81" t="s">
        <v>224</v>
      </c>
      <c r="H4885" s="81" t="s">
        <v>224</v>
      </c>
      <c r="I4885" s="81" t="s">
        <v>224</v>
      </c>
      <c r="J4885" s="81" t="s">
        <v>4984</v>
      </c>
    </row>
    <row r="4886" hidden="1">
      <c r="A4886" s="83" t="s">
        <v>6334</v>
      </c>
      <c r="B4886" s="83" t="s">
        <v>6335</v>
      </c>
      <c r="C4886" s="81" t="s">
        <v>4082</v>
      </c>
      <c r="D4886" s="81" t="s">
        <v>224</v>
      </c>
      <c r="E4886" s="81" t="s">
        <v>5099</v>
      </c>
      <c r="F4886" s="81" t="s">
        <v>224</v>
      </c>
      <c r="G4886" s="81" t="s">
        <v>224</v>
      </c>
      <c r="H4886" s="81" t="s">
        <v>224</v>
      </c>
      <c r="I4886" s="81" t="s">
        <v>224</v>
      </c>
      <c r="J4886" s="81" t="s">
        <v>4984</v>
      </c>
    </row>
    <row r="4887" hidden="1">
      <c r="A4887" s="83" t="s">
        <v>6334</v>
      </c>
      <c r="B4887" s="83" t="s">
        <v>6335</v>
      </c>
      <c r="C4887" s="81" t="s">
        <v>4082</v>
      </c>
      <c r="D4887" s="81" t="s">
        <v>224</v>
      </c>
      <c r="E4887" s="81" t="s">
        <v>5100</v>
      </c>
      <c r="F4887" s="81" t="s">
        <v>224</v>
      </c>
      <c r="G4887" s="81" t="s">
        <v>224</v>
      </c>
      <c r="H4887" s="81" t="s">
        <v>224</v>
      </c>
      <c r="I4887" s="81" t="s">
        <v>224</v>
      </c>
      <c r="J4887" s="81" t="s">
        <v>4984</v>
      </c>
    </row>
    <row r="4888" hidden="1">
      <c r="A4888" s="83" t="s">
        <v>6334</v>
      </c>
      <c r="B4888" s="83" t="s">
        <v>6335</v>
      </c>
      <c r="C4888" s="81" t="s">
        <v>4082</v>
      </c>
      <c r="D4888" s="81" t="s">
        <v>224</v>
      </c>
      <c r="E4888" s="81" t="s">
        <v>5101</v>
      </c>
      <c r="F4888" s="81" t="s">
        <v>224</v>
      </c>
      <c r="G4888" s="81" t="s">
        <v>224</v>
      </c>
      <c r="H4888" s="81" t="s">
        <v>224</v>
      </c>
      <c r="I4888" s="81" t="s">
        <v>224</v>
      </c>
      <c r="J4888" s="81" t="s">
        <v>5006</v>
      </c>
    </row>
    <row r="4889" hidden="1">
      <c r="A4889" s="83" t="s">
        <v>6334</v>
      </c>
      <c r="B4889" s="83" t="s">
        <v>6335</v>
      </c>
      <c r="C4889" s="81" t="s">
        <v>4082</v>
      </c>
      <c r="D4889" s="81" t="s">
        <v>224</v>
      </c>
      <c r="E4889" s="81" t="s">
        <v>5102</v>
      </c>
      <c r="F4889" s="81" t="s">
        <v>224</v>
      </c>
      <c r="G4889" s="81" t="s">
        <v>224</v>
      </c>
      <c r="H4889" s="81" t="s">
        <v>224</v>
      </c>
      <c r="I4889" s="81" t="s">
        <v>224</v>
      </c>
      <c r="J4889" s="81" t="s">
        <v>4984</v>
      </c>
    </row>
    <row r="4890" hidden="1">
      <c r="A4890" s="83" t="s">
        <v>6334</v>
      </c>
      <c r="B4890" s="83" t="s">
        <v>6335</v>
      </c>
      <c r="C4890" s="81" t="s">
        <v>4082</v>
      </c>
      <c r="D4890" s="81" t="s">
        <v>224</v>
      </c>
      <c r="E4890" s="81" t="s">
        <v>5103</v>
      </c>
      <c r="F4890" s="81" t="s">
        <v>224</v>
      </c>
      <c r="G4890" s="81" t="s">
        <v>224</v>
      </c>
      <c r="H4890" s="81" t="s">
        <v>224</v>
      </c>
      <c r="I4890" s="81" t="s">
        <v>224</v>
      </c>
      <c r="J4890" s="81" t="s">
        <v>5026</v>
      </c>
    </row>
    <row r="4891" hidden="1">
      <c r="A4891" s="83" t="s">
        <v>6334</v>
      </c>
      <c r="B4891" s="83" t="s">
        <v>6335</v>
      </c>
      <c r="C4891" s="81" t="s">
        <v>4082</v>
      </c>
      <c r="D4891" s="81" t="s">
        <v>224</v>
      </c>
      <c r="E4891" s="81" t="s">
        <v>5104</v>
      </c>
      <c r="F4891" s="81" t="s">
        <v>224</v>
      </c>
      <c r="G4891" s="81" t="s">
        <v>224</v>
      </c>
      <c r="H4891" s="81" t="s">
        <v>224</v>
      </c>
      <c r="I4891" s="81" t="s">
        <v>224</v>
      </c>
      <c r="J4891" s="81" t="s">
        <v>5026</v>
      </c>
    </row>
    <row r="4892" hidden="1">
      <c r="A4892" s="83" t="s">
        <v>6334</v>
      </c>
      <c r="B4892" s="83" t="s">
        <v>6335</v>
      </c>
      <c r="C4892" s="81" t="s">
        <v>4082</v>
      </c>
      <c r="D4892" s="81" t="s">
        <v>224</v>
      </c>
      <c r="E4892" s="81" t="s">
        <v>5105</v>
      </c>
      <c r="F4892" s="81" t="s">
        <v>224</v>
      </c>
      <c r="G4892" s="81" t="s">
        <v>224</v>
      </c>
      <c r="H4892" s="81" t="s">
        <v>224</v>
      </c>
      <c r="I4892" s="81" t="s">
        <v>224</v>
      </c>
      <c r="J4892" s="81" t="s">
        <v>5028</v>
      </c>
    </row>
    <row r="4893" hidden="1">
      <c r="A4893" s="83" t="s">
        <v>6334</v>
      </c>
      <c r="B4893" s="83" t="s">
        <v>6335</v>
      </c>
      <c r="C4893" s="81" t="s">
        <v>4082</v>
      </c>
      <c r="D4893" s="81" t="s">
        <v>224</v>
      </c>
      <c r="E4893" s="81" t="s">
        <v>5106</v>
      </c>
      <c r="F4893" s="81" t="s">
        <v>224</v>
      </c>
      <c r="G4893" s="81" t="s">
        <v>224</v>
      </c>
      <c r="H4893" s="81" t="s">
        <v>224</v>
      </c>
      <c r="I4893" s="81" t="s">
        <v>224</v>
      </c>
      <c r="J4893" s="81" t="s">
        <v>5028</v>
      </c>
    </row>
    <row r="4894" hidden="1">
      <c r="A4894" s="83" t="s">
        <v>6334</v>
      </c>
      <c r="B4894" s="83" t="s">
        <v>6335</v>
      </c>
      <c r="C4894" s="81" t="s">
        <v>4082</v>
      </c>
      <c r="D4894" s="81" t="s">
        <v>224</v>
      </c>
      <c r="E4894" s="81" t="s">
        <v>5107</v>
      </c>
      <c r="F4894" s="81" t="s">
        <v>224</v>
      </c>
      <c r="G4894" s="81" t="s">
        <v>224</v>
      </c>
      <c r="H4894" s="81" t="s">
        <v>224</v>
      </c>
      <c r="I4894" s="81" t="s">
        <v>224</v>
      </c>
      <c r="J4894" s="81" t="s">
        <v>5028</v>
      </c>
    </row>
    <row r="4895" hidden="1">
      <c r="A4895" s="83" t="s">
        <v>6334</v>
      </c>
      <c r="B4895" s="83" t="s">
        <v>6335</v>
      </c>
      <c r="C4895" s="81" t="s">
        <v>4082</v>
      </c>
      <c r="D4895" s="81" t="s">
        <v>224</v>
      </c>
      <c r="E4895" s="81" t="s">
        <v>5108</v>
      </c>
      <c r="F4895" s="81" t="s">
        <v>224</v>
      </c>
      <c r="G4895" s="81" t="s">
        <v>224</v>
      </c>
      <c r="H4895" s="81" t="s">
        <v>224</v>
      </c>
      <c r="I4895" s="81" t="s">
        <v>224</v>
      </c>
      <c r="J4895" s="81" t="s">
        <v>5028</v>
      </c>
    </row>
    <row r="4896" hidden="1">
      <c r="A4896" s="83" t="s">
        <v>6334</v>
      </c>
      <c r="B4896" s="83" t="s">
        <v>6335</v>
      </c>
      <c r="C4896" s="81" t="s">
        <v>4082</v>
      </c>
      <c r="D4896" s="81" t="s">
        <v>224</v>
      </c>
      <c r="E4896" s="81" t="s">
        <v>5109</v>
      </c>
      <c r="F4896" s="81" t="s">
        <v>224</v>
      </c>
      <c r="G4896" s="81" t="s">
        <v>224</v>
      </c>
      <c r="H4896" s="81" t="s">
        <v>224</v>
      </c>
      <c r="I4896" s="81" t="s">
        <v>224</v>
      </c>
      <c r="J4896" s="81" t="s">
        <v>5028</v>
      </c>
    </row>
    <row r="4897" hidden="1">
      <c r="A4897" s="83" t="s">
        <v>6334</v>
      </c>
      <c r="B4897" s="83" t="s">
        <v>6335</v>
      </c>
      <c r="C4897" s="81" t="s">
        <v>4082</v>
      </c>
      <c r="D4897" s="81" t="s">
        <v>224</v>
      </c>
      <c r="E4897" s="81" t="s">
        <v>5110</v>
      </c>
      <c r="F4897" s="81" t="s">
        <v>224</v>
      </c>
      <c r="G4897" s="81" t="s">
        <v>224</v>
      </c>
      <c r="H4897" s="81" t="s">
        <v>224</v>
      </c>
      <c r="I4897" s="81" t="s">
        <v>224</v>
      </c>
      <c r="J4897" s="81" t="s">
        <v>5028</v>
      </c>
    </row>
    <row r="4898" hidden="1">
      <c r="A4898" s="83" t="s">
        <v>6334</v>
      </c>
      <c r="B4898" s="83" t="s">
        <v>6335</v>
      </c>
      <c r="C4898" s="81" t="s">
        <v>4082</v>
      </c>
      <c r="D4898" s="81" t="s">
        <v>224</v>
      </c>
      <c r="E4898" s="81" t="s">
        <v>224</v>
      </c>
      <c r="F4898" s="81" t="s">
        <v>224</v>
      </c>
      <c r="G4898" s="81" t="s">
        <v>224</v>
      </c>
      <c r="H4898" s="81" t="s">
        <v>224</v>
      </c>
      <c r="I4898" s="81" t="s">
        <v>224</v>
      </c>
      <c r="J4898" s="81" t="s">
        <v>5111</v>
      </c>
    </row>
    <row r="4899" hidden="1">
      <c r="A4899" s="83" t="s">
        <v>6334</v>
      </c>
      <c r="B4899" s="83" t="s">
        <v>6335</v>
      </c>
      <c r="C4899" s="81" t="s">
        <v>4082</v>
      </c>
      <c r="D4899" s="83" t="s">
        <v>4201</v>
      </c>
      <c r="E4899" s="81" t="s">
        <v>754</v>
      </c>
      <c r="F4899" s="84">
        <v>127.0</v>
      </c>
      <c r="G4899" s="81" t="s">
        <v>39</v>
      </c>
      <c r="H4899" s="81" t="s">
        <v>224</v>
      </c>
      <c r="I4899" s="81" t="s">
        <v>224</v>
      </c>
      <c r="J4899" s="81" t="s">
        <v>5311</v>
      </c>
    </row>
    <row r="4900" hidden="1">
      <c r="A4900" s="83" t="s">
        <v>6334</v>
      </c>
      <c r="B4900" s="83" t="s">
        <v>6335</v>
      </c>
      <c r="C4900" s="81" t="s">
        <v>4082</v>
      </c>
      <c r="D4900" s="83" t="s">
        <v>4208</v>
      </c>
      <c r="E4900" s="81" t="s">
        <v>786</v>
      </c>
      <c r="F4900" s="84">
        <v>134.0</v>
      </c>
      <c r="G4900" s="81" t="s">
        <v>39</v>
      </c>
      <c r="H4900" s="81" t="s">
        <v>224</v>
      </c>
      <c r="I4900" s="81" t="s">
        <v>224</v>
      </c>
      <c r="J4900" s="81" t="s">
        <v>5322</v>
      </c>
    </row>
    <row r="4901" hidden="1">
      <c r="A4901" s="83" t="s">
        <v>6334</v>
      </c>
      <c r="B4901" s="83" t="s">
        <v>6335</v>
      </c>
      <c r="C4901" s="81" t="s">
        <v>4082</v>
      </c>
      <c r="D4901" s="83" t="s">
        <v>4211</v>
      </c>
      <c r="E4901" s="81" t="s">
        <v>798</v>
      </c>
      <c r="F4901" s="84">
        <v>137.0</v>
      </c>
      <c r="G4901" s="81" t="s">
        <v>39</v>
      </c>
      <c r="H4901" s="81" t="s">
        <v>224</v>
      </c>
      <c r="I4901" s="81" t="s">
        <v>224</v>
      </c>
      <c r="J4901" s="81" t="s">
        <v>5327</v>
      </c>
    </row>
    <row r="4902" hidden="1">
      <c r="A4902" s="83" t="s">
        <v>6334</v>
      </c>
      <c r="B4902" s="83" t="s">
        <v>6335</v>
      </c>
      <c r="C4902" s="81" t="s">
        <v>4082</v>
      </c>
      <c r="D4902" s="83" t="s">
        <v>4212</v>
      </c>
      <c r="E4902" s="81" t="s">
        <v>804</v>
      </c>
      <c r="F4902" s="84">
        <v>138.0</v>
      </c>
      <c r="G4902" s="81" t="s">
        <v>39</v>
      </c>
      <c r="H4902" s="81" t="s">
        <v>224</v>
      </c>
      <c r="I4902" s="81" t="s">
        <v>224</v>
      </c>
      <c r="J4902" s="81" t="s">
        <v>5330</v>
      </c>
    </row>
    <row r="4903" hidden="1">
      <c r="A4903" s="83" t="s">
        <v>6334</v>
      </c>
      <c r="B4903" s="83" t="s">
        <v>6335</v>
      </c>
      <c r="C4903" s="81" t="s">
        <v>4082</v>
      </c>
      <c r="D4903" s="83" t="s">
        <v>4316</v>
      </c>
      <c r="E4903" s="81" t="s">
        <v>1313</v>
      </c>
      <c r="F4903" s="84">
        <v>256.0</v>
      </c>
      <c r="G4903" s="81" t="s">
        <v>39</v>
      </c>
      <c r="H4903" s="81" t="s">
        <v>224</v>
      </c>
      <c r="I4903" s="81" t="s">
        <v>224</v>
      </c>
      <c r="J4903" s="81" t="s">
        <v>5515</v>
      </c>
    </row>
    <row r="4904" hidden="1">
      <c r="A4904" s="83" t="s">
        <v>6334</v>
      </c>
      <c r="B4904" s="83" t="s">
        <v>6335</v>
      </c>
      <c r="C4904" s="81" t="s">
        <v>4082</v>
      </c>
      <c r="D4904" s="83" t="s">
        <v>4380</v>
      </c>
      <c r="E4904" s="81" t="s">
        <v>1617</v>
      </c>
      <c r="F4904" s="84">
        <v>319.0</v>
      </c>
      <c r="G4904" s="81" t="s">
        <v>39</v>
      </c>
      <c r="H4904" s="81" t="s">
        <v>224</v>
      </c>
      <c r="I4904" s="81" t="s">
        <v>224</v>
      </c>
      <c r="J4904" s="81" t="s">
        <v>5616</v>
      </c>
    </row>
    <row r="4905" hidden="1">
      <c r="A4905" s="83" t="s">
        <v>6334</v>
      </c>
      <c r="B4905" s="83" t="s">
        <v>6335</v>
      </c>
      <c r="C4905" s="81" t="s">
        <v>4082</v>
      </c>
      <c r="D4905" s="83" t="s">
        <v>4429</v>
      </c>
      <c r="E4905" s="81" t="s">
        <v>1900</v>
      </c>
      <c r="F4905" s="84">
        <v>375.0</v>
      </c>
      <c r="G4905" s="81" t="s">
        <v>39</v>
      </c>
      <c r="H4905" s="81" t="s">
        <v>224</v>
      </c>
      <c r="I4905" s="81" t="s">
        <v>224</v>
      </c>
      <c r="J4905" s="81" t="s">
        <v>5711</v>
      </c>
    </row>
    <row r="4906" hidden="1">
      <c r="A4906" s="83" t="s">
        <v>6334</v>
      </c>
      <c r="B4906" s="83" t="s">
        <v>6335</v>
      </c>
      <c r="C4906" s="81" t="s">
        <v>4082</v>
      </c>
      <c r="D4906" s="83" t="s">
        <v>4682</v>
      </c>
      <c r="E4906" s="81" t="s">
        <v>3226</v>
      </c>
      <c r="F4906" s="84">
        <v>613.0</v>
      </c>
      <c r="G4906" s="81" t="s">
        <v>39</v>
      </c>
      <c r="H4906" s="81" t="s">
        <v>224</v>
      </c>
      <c r="I4906" s="81" t="s">
        <v>224</v>
      </c>
      <c r="J4906" s="81" t="s">
        <v>6052</v>
      </c>
    </row>
    <row r="4907" hidden="1">
      <c r="A4907" s="83" t="s">
        <v>6334</v>
      </c>
      <c r="B4907" s="83" t="s">
        <v>6335</v>
      </c>
      <c r="C4907" s="81" t="s">
        <v>4082</v>
      </c>
      <c r="D4907" s="83" t="s">
        <v>4707</v>
      </c>
      <c r="E4907" s="81" t="s">
        <v>3362</v>
      </c>
      <c r="F4907" s="84">
        <v>641.0</v>
      </c>
      <c r="G4907" s="81" t="s">
        <v>39</v>
      </c>
      <c r="H4907" s="81" t="s">
        <v>224</v>
      </c>
      <c r="I4907" s="81" t="s">
        <v>224</v>
      </c>
      <c r="J4907" s="81" t="s">
        <v>6096</v>
      </c>
    </row>
    <row r="4908" hidden="1">
      <c r="A4908" s="83" t="s">
        <v>6334</v>
      </c>
      <c r="B4908" s="83" t="s">
        <v>6335</v>
      </c>
      <c r="C4908" s="81" t="s">
        <v>4082</v>
      </c>
      <c r="D4908" s="83" t="s">
        <v>4709</v>
      </c>
      <c r="E4908" s="81" t="s">
        <v>3370</v>
      </c>
      <c r="F4908" s="84">
        <v>643.0</v>
      </c>
      <c r="G4908" s="81" t="s">
        <v>39</v>
      </c>
      <c r="H4908" s="81" t="s">
        <v>224</v>
      </c>
      <c r="I4908" s="81" t="s">
        <v>224</v>
      </c>
      <c r="J4908" s="81" t="s">
        <v>6101</v>
      </c>
    </row>
    <row r="4909" hidden="1">
      <c r="A4909" s="83" t="s">
        <v>6334</v>
      </c>
      <c r="B4909" s="83" t="s">
        <v>6335</v>
      </c>
      <c r="C4909" s="81" t="s">
        <v>4621</v>
      </c>
      <c r="D4909" s="83" t="s">
        <v>4771</v>
      </c>
      <c r="E4909" s="81" t="s">
        <v>3698</v>
      </c>
      <c r="F4909" s="84">
        <v>705.0</v>
      </c>
      <c r="G4909" s="81" t="s">
        <v>40</v>
      </c>
      <c r="H4909" s="81" t="s">
        <v>6198</v>
      </c>
      <c r="I4909" s="81" t="s">
        <v>3700</v>
      </c>
      <c r="J4909" s="81" t="s">
        <v>224</v>
      </c>
    </row>
    <row r="4910" hidden="1">
      <c r="A4910" s="83" t="s">
        <v>6334</v>
      </c>
      <c r="B4910" s="83" t="s">
        <v>6335</v>
      </c>
      <c r="C4910" s="81" t="s">
        <v>4621</v>
      </c>
      <c r="D4910" s="83" t="s">
        <v>4772</v>
      </c>
      <c r="E4910" s="81" t="s">
        <v>3701</v>
      </c>
      <c r="F4910" s="84">
        <v>706.0</v>
      </c>
      <c r="G4910" s="81" t="s">
        <v>40</v>
      </c>
      <c r="H4910" s="81" t="s">
        <v>6201</v>
      </c>
      <c r="I4910" s="81" t="s">
        <v>3703</v>
      </c>
      <c r="J4910" s="81" t="s">
        <v>224</v>
      </c>
    </row>
    <row r="4911" hidden="1">
      <c r="A4911" s="83" t="s">
        <v>6334</v>
      </c>
      <c r="B4911" s="83" t="s">
        <v>6335</v>
      </c>
      <c r="C4911" s="81" t="s">
        <v>4621</v>
      </c>
      <c r="D4911" s="83" t="s">
        <v>4773</v>
      </c>
      <c r="E4911" s="81" t="s">
        <v>3704</v>
      </c>
      <c r="F4911" s="84">
        <v>707.0</v>
      </c>
      <c r="G4911" s="81" t="s">
        <v>40</v>
      </c>
      <c r="H4911" s="81" t="s">
        <v>6204</v>
      </c>
      <c r="I4911" s="81" t="s">
        <v>3706</v>
      </c>
      <c r="J4911" s="81" t="s">
        <v>224</v>
      </c>
    </row>
    <row r="4912" hidden="1">
      <c r="A4912" s="83" t="s">
        <v>6334</v>
      </c>
      <c r="B4912" s="83" t="s">
        <v>6335</v>
      </c>
      <c r="C4912" s="81" t="s">
        <v>4621</v>
      </c>
      <c r="D4912" s="83" t="s">
        <v>4776</v>
      </c>
      <c r="E4912" s="81" t="s">
        <v>3713</v>
      </c>
      <c r="F4912" s="84">
        <v>710.0</v>
      </c>
      <c r="G4912" s="81" t="s">
        <v>40</v>
      </c>
      <c r="H4912" s="81" t="s">
        <v>6207</v>
      </c>
      <c r="I4912" s="81" t="s">
        <v>3715</v>
      </c>
      <c r="J4912" s="81" t="s">
        <v>224</v>
      </c>
    </row>
    <row r="4913" hidden="1">
      <c r="A4913" s="83" t="s">
        <v>6334</v>
      </c>
      <c r="B4913" s="83" t="s">
        <v>6335</v>
      </c>
      <c r="C4913" s="81" t="s">
        <v>4621</v>
      </c>
      <c r="D4913" s="83" t="s">
        <v>4777</v>
      </c>
      <c r="E4913" s="81" t="s">
        <v>3716</v>
      </c>
      <c r="F4913" s="84">
        <v>711.0</v>
      </c>
      <c r="G4913" s="81" t="s">
        <v>40</v>
      </c>
      <c r="H4913" s="81" t="s">
        <v>6210</v>
      </c>
      <c r="I4913" s="81" t="s">
        <v>3724</v>
      </c>
      <c r="J4913" s="81" t="s">
        <v>224</v>
      </c>
    </row>
    <row r="4914" hidden="1">
      <c r="A4914" s="83" t="s">
        <v>6334</v>
      </c>
      <c r="B4914" s="83" t="s">
        <v>6335</v>
      </c>
      <c r="C4914" s="81" t="s">
        <v>4621</v>
      </c>
      <c r="D4914" s="83" t="s">
        <v>4777</v>
      </c>
      <c r="E4914" s="81" t="s">
        <v>3730</v>
      </c>
      <c r="F4914" s="84">
        <v>712.0</v>
      </c>
      <c r="G4914" s="81" t="s">
        <v>40</v>
      </c>
      <c r="H4914" s="81" t="s">
        <v>6210</v>
      </c>
      <c r="I4914" s="81" t="s">
        <v>3724</v>
      </c>
      <c r="J4914" s="81" t="s">
        <v>224</v>
      </c>
    </row>
    <row r="4915" hidden="1">
      <c r="A4915" s="83" t="s">
        <v>6334</v>
      </c>
      <c r="B4915" s="83" t="s">
        <v>6335</v>
      </c>
      <c r="C4915" s="81" t="s">
        <v>4621</v>
      </c>
      <c r="D4915" s="83" t="s">
        <v>4778</v>
      </c>
      <c r="E4915" s="81" t="s">
        <v>3731</v>
      </c>
      <c r="F4915" s="84">
        <v>713.0</v>
      </c>
      <c r="G4915" s="81" t="s">
        <v>40</v>
      </c>
      <c r="H4915" s="81" t="s">
        <v>6213</v>
      </c>
      <c r="I4915" s="81" t="s">
        <v>3733</v>
      </c>
      <c r="J4915" s="81" t="s">
        <v>224</v>
      </c>
    </row>
    <row r="4916" hidden="1">
      <c r="A4916" s="83" t="s">
        <v>6334</v>
      </c>
      <c r="B4916" s="83" t="s">
        <v>6335</v>
      </c>
      <c r="C4916" s="81" t="s">
        <v>4621</v>
      </c>
      <c r="D4916" s="83" t="s">
        <v>4779</v>
      </c>
      <c r="E4916" s="81" t="s">
        <v>3735</v>
      </c>
      <c r="F4916" s="84">
        <v>714.0</v>
      </c>
      <c r="G4916" s="81" t="s">
        <v>40</v>
      </c>
      <c r="H4916" s="81" t="s">
        <v>6216</v>
      </c>
      <c r="I4916" s="81" t="s">
        <v>3741</v>
      </c>
      <c r="J4916" s="81" t="s">
        <v>224</v>
      </c>
    </row>
    <row r="4917" hidden="1">
      <c r="A4917" s="83" t="s">
        <v>6334</v>
      </c>
      <c r="B4917" s="83" t="s">
        <v>6335</v>
      </c>
      <c r="C4917" s="81" t="s">
        <v>4621</v>
      </c>
      <c r="D4917" s="83" t="s">
        <v>4779</v>
      </c>
      <c r="E4917" s="81" t="s">
        <v>3746</v>
      </c>
      <c r="F4917" s="84">
        <v>715.0</v>
      </c>
      <c r="G4917" s="81" t="s">
        <v>40</v>
      </c>
      <c r="H4917" s="81" t="s">
        <v>6216</v>
      </c>
      <c r="I4917" s="81" t="s">
        <v>3741</v>
      </c>
      <c r="J4917" s="81" t="s">
        <v>224</v>
      </c>
    </row>
    <row r="4918" hidden="1">
      <c r="A4918" s="83" t="s">
        <v>6334</v>
      </c>
      <c r="B4918" s="83" t="s">
        <v>6335</v>
      </c>
      <c r="C4918" s="81" t="s">
        <v>4621</v>
      </c>
      <c r="D4918" s="83" t="s">
        <v>4780</v>
      </c>
      <c r="E4918" s="81" t="s">
        <v>3747</v>
      </c>
      <c r="F4918" s="84">
        <v>716.0</v>
      </c>
      <c r="G4918" s="81" t="s">
        <v>40</v>
      </c>
      <c r="H4918" s="81" t="s">
        <v>6221</v>
      </c>
      <c r="I4918" s="81" t="s">
        <v>3749</v>
      </c>
      <c r="J4918" s="81" t="s">
        <v>224</v>
      </c>
    </row>
    <row r="4919" hidden="1">
      <c r="A4919" s="83" t="s">
        <v>6334</v>
      </c>
      <c r="B4919" s="83" t="s">
        <v>6335</v>
      </c>
      <c r="C4919" s="81" t="s">
        <v>4621</v>
      </c>
      <c r="D4919" s="83" t="s">
        <v>4783</v>
      </c>
      <c r="E4919" s="81" t="s">
        <v>3766</v>
      </c>
      <c r="F4919" s="84">
        <v>720.0</v>
      </c>
      <c r="G4919" s="81" t="s">
        <v>40</v>
      </c>
      <c r="H4919" s="81" t="s">
        <v>6225</v>
      </c>
      <c r="I4919" s="81" t="s">
        <v>3772</v>
      </c>
      <c r="J4919" s="81" t="s">
        <v>224</v>
      </c>
    </row>
    <row r="4920" hidden="1">
      <c r="A4920" s="83" t="s">
        <v>6334</v>
      </c>
      <c r="B4920" s="83" t="s">
        <v>6335</v>
      </c>
      <c r="C4920" s="81" t="s">
        <v>4621</v>
      </c>
      <c r="D4920" s="83" t="s">
        <v>4783</v>
      </c>
      <c r="E4920" s="81" t="s">
        <v>3777</v>
      </c>
      <c r="F4920" s="84">
        <v>721.0</v>
      </c>
      <c r="G4920" s="81" t="s">
        <v>40</v>
      </c>
      <c r="H4920" s="81" t="s">
        <v>6225</v>
      </c>
      <c r="I4920" s="81" t="s">
        <v>3772</v>
      </c>
      <c r="J4920" s="81" t="s">
        <v>224</v>
      </c>
    </row>
    <row r="4921" hidden="1">
      <c r="A4921" s="83" t="s">
        <v>6334</v>
      </c>
      <c r="B4921" s="83" t="s">
        <v>6335</v>
      </c>
      <c r="C4921" s="81" t="s">
        <v>4621</v>
      </c>
      <c r="D4921" s="83" t="s">
        <v>4786</v>
      </c>
      <c r="E4921" s="81" t="s">
        <v>3781</v>
      </c>
      <c r="F4921" s="84">
        <v>723.0</v>
      </c>
      <c r="G4921" s="81" t="s">
        <v>40</v>
      </c>
      <c r="H4921" s="81" t="s">
        <v>6228</v>
      </c>
      <c r="I4921" s="81" t="s">
        <v>3786</v>
      </c>
      <c r="J4921" s="81" t="s">
        <v>224</v>
      </c>
    </row>
    <row r="4922" hidden="1">
      <c r="A4922" s="83" t="s">
        <v>6334</v>
      </c>
      <c r="B4922" s="83" t="s">
        <v>6335</v>
      </c>
      <c r="C4922" s="81" t="s">
        <v>4621</v>
      </c>
      <c r="D4922" s="83" t="s">
        <v>4818</v>
      </c>
      <c r="E4922" s="81" t="s">
        <v>3896</v>
      </c>
      <c r="F4922" s="84">
        <v>758.0</v>
      </c>
      <c r="G4922" s="81" t="s">
        <v>40</v>
      </c>
      <c r="H4922" s="81" t="s">
        <v>6264</v>
      </c>
      <c r="I4922" s="81" t="s">
        <v>3898</v>
      </c>
      <c r="J4922" s="81" t="s">
        <v>224</v>
      </c>
    </row>
    <row r="4923" hidden="1">
      <c r="A4923" s="83" t="s">
        <v>6334</v>
      </c>
      <c r="B4923" s="83" t="s">
        <v>6335</v>
      </c>
      <c r="C4923" s="81" t="s">
        <v>4621</v>
      </c>
      <c r="D4923" s="83" t="s">
        <v>4776</v>
      </c>
      <c r="E4923" s="81" t="s">
        <v>3899</v>
      </c>
      <c r="F4923" s="84">
        <v>759.0</v>
      </c>
      <c r="G4923" s="81" t="s">
        <v>40</v>
      </c>
      <c r="H4923" s="81" t="s">
        <v>6207</v>
      </c>
      <c r="I4923" s="81" t="s">
        <v>3715</v>
      </c>
      <c r="J4923" s="81" t="s">
        <v>224</v>
      </c>
    </row>
    <row r="4924" hidden="1">
      <c r="A4924" s="83" t="s">
        <v>6334</v>
      </c>
      <c r="B4924" s="83" t="s">
        <v>6335</v>
      </c>
      <c r="C4924" s="81" t="s">
        <v>4082</v>
      </c>
      <c r="D4924" s="83" t="s">
        <v>4847</v>
      </c>
      <c r="E4924" s="81" t="s">
        <v>4005</v>
      </c>
      <c r="F4924" s="84">
        <v>794.0</v>
      </c>
      <c r="G4924" s="81" t="s">
        <v>39</v>
      </c>
      <c r="H4924" s="81" t="s">
        <v>224</v>
      </c>
      <c r="I4924" s="81" t="s">
        <v>224</v>
      </c>
      <c r="J4924" s="81" t="s">
        <v>6316</v>
      </c>
    </row>
    <row r="4925" hidden="1">
      <c r="A4925" s="83" t="s">
        <v>6334</v>
      </c>
      <c r="B4925" s="83" t="s">
        <v>6335</v>
      </c>
      <c r="C4925" s="81" t="s">
        <v>4084</v>
      </c>
      <c r="D4925" s="81" t="s">
        <v>224</v>
      </c>
      <c r="E4925" s="81" t="s">
        <v>224</v>
      </c>
      <c r="F4925" s="81" t="s">
        <v>224</v>
      </c>
      <c r="G4925" s="81" t="s">
        <v>40</v>
      </c>
      <c r="H4925" s="81" t="s">
        <v>224</v>
      </c>
      <c r="I4925" s="81" t="s">
        <v>224</v>
      </c>
      <c r="J4925" s="81" t="s">
        <v>6338</v>
      </c>
    </row>
    <row r="4926" hidden="1">
      <c r="A4926" s="83" t="s">
        <v>6339</v>
      </c>
      <c r="B4926" s="83" t="s">
        <v>6340</v>
      </c>
      <c r="C4926" s="81" t="s">
        <v>4080</v>
      </c>
      <c r="D4926" s="81" t="s">
        <v>224</v>
      </c>
      <c r="E4926" s="81" t="s">
        <v>224</v>
      </c>
      <c r="F4926" s="81" t="s">
        <v>224</v>
      </c>
      <c r="G4926" s="81" t="s">
        <v>224</v>
      </c>
      <c r="H4926" s="81" t="s">
        <v>224</v>
      </c>
      <c r="I4926" s="81" t="s">
        <v>224</v>
      </c>
      <c r="J4926" s="81" t="s">
        <v>6341</v>
      </c>
    </row>
    <row r="4927" hidden="1">
      <c r="A4927" s="83" t="s">
        <v>6339</v>
      </c>
      <c r="B4927" s="83" t="s">
        <v>6340</v>
      </c>
      <c r="C4927" s="81" t="s">
        <v>4084</v>
      </c>
      <c r="D4927" s="81" t="s">
        <v>224</v>
      </c>
      <c r="E4927" s="81" t="s">
        <v>224</v>
      </c>
      <c r="F4927" s="81" t="s">
        <v>224</v>
      </c>
      <c r="G4927" s="81" t="s">
        <v>224</v>
      </c>
      <c r="H4927" s="81" t="s">
        <v>224</v>
      </c>
      <c r="I4927" s="81" t="s">
        <v>224</v>
      </c>
      <c r="J4927" s="81" t="s">
        <v>6342</v>
      </c>
    </row>
    <row r="4928" hidden="1">
      <c r="A4928" s="83" t="s">
        <v>6339</v>
      </c>
      <c r="B4928" s="83" t="s">
        <v>6340</v>
      </c>
      <c r="C4928" s="81" t="s">
        <v>4082</v>
      </c>
      <c r="D4928" s="81" t="s">
        <v>224</v>
      </c>
      <c r="E4928" s="81" t="s">
        <v>4953</v>
      </c>
      <c r="F4928" s="81" t="s">
        <v>224</v>
      </c>
      <c r="G4928" s="81" t="s">
        <v>224</v>
      </c>
      <c r="H4928" s="81" t="s">
        <v>224</v>
      </c>
      <c r="I4928" s="81" t="s">
        <v>224</v>
      </c>
      <c r="J4928" s="81" t="s">
        <v>4954</v>
      </c>
    </row>
    <row r="4929" hidden="1">
      <c r="A4929" s="83" t="s">
        <v>6339</v>
      </c>
      <c r="B4929" s="83" t="s">
        <v>6340</v>
      </c>
      <c r="C4929" s="81" t="s">
        <v>4082</v>
      </c>
      <c r="D4929" s="81" t="s">
        <v>224</v>
      </c>
      <c r="E4929" s="81" t="s">
        <v>4955</v>
      </c>
      <c r="F4929" s="81" t="s">
        <v>224</v>
      </c>
      <c r="G4929" s="81" t="s">
        <v>224</v>
      </c>
      <c r="H4929" s="81" t="s">
        <v>224</v>
      </c>
      <c r="I4929" s="81" t="s">
        <v>224</v>
      </c>
      <c r="J4929" s="81" t="s">
        <v>4954</v>
      </c>
    </row>
    <row r="4930" hidden="1">
      <c r="A4930" s="83" t="s">
        <v>6339</v>
      </c>
      <c r="B4930" s="83" t="s">
        <v>6340</v>
      </c>
      <c r="C4930" s="81" t="s">
        <v>4082</v>
      </c>
      <c r="D4930" s="81" t="s">
        <v>224</v>
      </c>
      <c r="E4930" s="81" t="s">
        <v>4009</v>
      </c>
      <c r="F4930" s="81" t="s">
        <v>224</v>
      </c>
      <c r="G4930" s="81" t="s">
        <v>224</v>
      </c>
      <c r="H4930" s="81" t="s">
        <v>224</v>
      </c>
      <c r="I4930" s="81" t="s">
        <v>224</v>
      </c>
      <c r="J4930" s="81" t="s">
        <v>4954</v>
      </c>
    </row>
    <row r="4931" hidden="1">
      <c r="A4931" s="83" t="s">
        <v>6339</v>
      </c>
      <c r="B4931" s="83" t="s">
        <v>6340</v>
      </c>
      <c r="C4931" s="81" t="s">
        <v>4082</v>
      </c>
      <c r="D4931" s="81" t="s">
        <v>224</v>
      </c>
      <c r="E4931" s="81" t="s">
        <v>4956</v>
      </c>
      <c r="F4931" s="81" t="s">
        <v>224</v>
      </c>
      <c r="G4931" s="81" t="s">
        <v>224</v>
      </c>
      <c r="H4931" s="81" t="s">
        <v>224</v>
      </c>
      <c r="I4931" s="81" t="s">
        <v>224</v>
      </c>
      <c r="J4931" s="81" t="s">
        <v>4957</v>
      </c>
    </row>
    <row r="4932" hidden="1">
      <c r="A4932" s="83" t="s">
        <v>6339</v>
      </c>
      <c r="B4932" s="83" t="s">
        <v>6340</v>
      </c>
      <c r="C4932" s="81" t="s">
        <v>4082</v>
      </c>
      <c r="D4932" s="81" t="s">
        <v>224</v>
      </c>
      <c r="E4932" s="81" t="s">
        <v>4958</v>
      </c>
      <c r="F4932" s="81" t="s">
        <v>224</v>
      </c>
      <c r="G4932" s="81" t="s">
        <v>224</v>
      </c>
      <c r="H4932" s="81" t="s">
        <v>224</v>
      </c>
      <c r="I4932" s="81" t="s">
        <v>224</v>
      </c>
      <c r="J4932" s="81" t="s">
        <v>4959</v>
      </c>
    </row>
    <row r="4933" hidden="1">
      <c r="A4933" s="83" t="s">
        <v>6339</v>
      </c>
      <c r="B4933" s="83" t="s">
        <v>6340</v>
      </c>
      <c r="C4933" s="81" t="s">
        <v>4082</v>
      </c>
      <c r="D4933" s="81" t="s">
        <v>224</v>
      </c>
      <c r="E4933" s="81" t="s">
        <v>4960</v>
      </c>
      <c r="F4933" s="81" t="s">
        <v>224</v>
      </c>
      <c r="G4933" s="81" t="s">
        <v>224</v>
      </c>
      <c r="H4933" s="81" t="s">
        <v>224</v>
      </c>
      <c r="I4933" s="81" t="s">
        <v>224</v>
      </c>
      <c r="J4933" s="81" t="s">
        <v>4961</v>
      </c>
    </row>
    <row r="4934" hidden="1">
      <c r="A4934" s="83" t="s">
        <v>6339</v>
      </c>
      <c r="B4934" s="83" t="s">
        <v>6340</v>
      </c>
      <c r="C4934" s="81" t="s">
        <v>4082</v>
      </c>
      <c r="D4934" s="81" t="s">
        <v>224</v>
      </c>
      <c r="E4934" s="81" t="s">
        <v>4962</v>
      </c>
      <c r="F4934" s="81" t="s">
        <v>224</v>
      </c>
      <c r="G4934" s="81" t="s">
        <v>224</v>
      </c>
      <c r="H4934" s="81" t="s">
        <v>224</v>
      </c>
      <c r="I4934" s="81" t="s">
        <v>224</v>
      </c>
      <c r="J4934" s="81" t="s">
        <v>4963</v>
      </c>
    </row>
    <row r="4935" hidden="1">
      <c r="A4935" s="83" t="s">
        <v>6339</v>
      </c>
      <c r="B4935" s="83" t="s">
        <v>6340</v>
      </c>
      <c r="C4935" s="81" t="s">
        <v>4082</v>
      </c>
      <c r="D4935" s="81" t="s">
        <v>224</v>
      </c>
      <c r="E4935" s="81" t="s">
        <v>4964</v>
      </c>
      <c r="F4935" s="81" t="s">
        <v>224</v>
      </c>
      <c r="G4935" s="81" t="s">
        <v>224</v>
      </c>
      <c r="H4935" s="81" t="s">
        <v>224</v>
      </c>
      <c r="I4935" s="81" t="s">
        <v>224</v>
      </c>
      <c r="J4935" s="81" t="s">
        <v>4963</v>
      </c>
    </row>
    <row r="4936" hidden="1">
      <c r="A4936" s="83" t="s">
        <v>6339</v>
      </c>
      <c r="B4936" s="83" t="s">
        <v>6340</v>
      </c>
      <c r="C4936" s="81" t="s">
        <v>4082</v>
      </c>
      <c r="D4936" s="81" t="s">
        <v>224</v>
      </c>
      <c r="E4936" s="81" t="s">
        <v>4965</v>
      </c>
      <c r="F4936" s="81" t="s">
        <v>224</v>
      </c>
      <c r="G4936" s="81" t="s">
        <v>224</v>
      </c>
      <c r="H4936" s="81" t="s">
        <v>224</v>
      </c>
      <c r="I4936" s="81" t="s">
        <v>224</v>
      </c>
      <c r="J4936" s="81" t="s">
        <v>4966</v>
      </c>
    </row>
    <row r="4937" hidden="1">
      <c r="A4937" s="83" t="s">
        <v>6339</v>
      </c>
      <c r="B4937" s="83" t="s">
        <v>6340</v>
      </c>
      <c r="C4937" s="81" t="s">
        <v>4082</v>
      </c>
      <c r="D4937" s="81" t="s">
        <v>224</v>
      </c>
      <c r="E4937" s="81" t="s">
        <v>4967</v>
      </c>
      <c r="F4937" s="81" t="s">
        <v>224</v>
      </c>
      <c r="G4937" s="81" t="s">
        <v>224</v>
      </c>
      <c r="H4937" s="81" t="s">
        <v>224</v>
      </c>
      <c r="I4937" s="81" t="s">
        <v>224</v>
      </c>
      <c r="J4937" s="81" t="s">
        <v>4966</v>
      </c>
    </row>
    <row r="4938" hidden="1">
      <c r="A4938" s="83" t="s">
        <v>6339</v>
      </c>
      <c r="B4938" s="83" t="s">
        <v>6340</v>
      </c>
      <c r="C4938" s="81" t="s">
        <v>4082</v>
      </c>
      <c r="D4938" s="81" t="s">
        <v>224</v>
      </c>
      <c r="E4938" s="81" t="s">
        <v>4968</v>
      </c>
      <c r="F4938" s="81" t="s">
        <v>224</v>
      </c>
      <c r="G4938" s="81" t="s">
        <v>224</v>
      </c>
      <c r="H4938" s="81" t="s">
        <v>224</v>
      </c>
      <c r="I4938" s="81" t="s">
        <v>224</v>
      </c>
      <c r="J4938" s="81" t="s">
        <v>4966</v>
      </c>
    </row>
    <row r="4939" hidden="1">
      <c r="A4939" s="83" t="s">
        <v>6339</v>
      </c>
      <c r="B4939" s="83" t="s">
        <v>6340</v>
      </c>
      <c r="C4939" s="81" t="s">
        <v>4082</v>
      </c>
      <c r="D4939" s="81" t="s">
        <v>224</v>
      </c>
      <c r="E4939" s="81" t="s">
        <v>4969</v>
      </c>
      <c r="F4939" s="81" t="s">
        <v>224</v>
      </c>
      <c r="G4939" s="81" t="s">
        <v>224</v>
      </c>
      <c r="H4939" s="81" t="s">
        <v>224</v>
      </c>
      <c r="I4939" s="81" t="s">
        <v>224</v>
      </c>
      <c r="J4939" s="81" t="s">
        <v>4966</v>
      </c>
    </row>
    <row r="4940" hidden="1">
      <c r="A4940" s="83" t="s">
        <v>6339</v>
      </c>
      <c r="B4940" s="83" t="s">
        <v>6340</v>
      </c>
      <c r="C4940" s="81" t="s">
        <v>4082</v>
      </c>
      <c r="D4940" s="81" t="s">
        <v>224</v>
      </c>
      <c r="E4940" s="81" t="s">
        <v>4970</v>
      </c>
      <c r="F4940" s="81" t="s">
        <v>224</v>
      </c>
      <c r="G4940" s="81" t="s">
        <v>224</v>
      </c>
      <c r="H4940" s="81" t="s">
        <v>224</v>
      </c>
      <c r="I4940" s="81" t="s">
        <v>224</v>
      </c>
      <c r="J4940" s="81" t="s">
        <v>4966</v>
      </c>
    </row>
    <row r="4941" hidden="1">
      <c r="A4941" s="83" t="s">
        <v>6339</v>
      </c>
      <c r="B4941" s="83" t="s">
        <v>6340</v>
      </c>
      <c r="C4941" s="81" t="s">
        <v>4082</v>
      </c>
      <c r="D4941" s="81" t="s">
        <v>224</v>
      </c>
      <c r="E4941" s="81" t="s">
        <v>4971</v>
      </c>
      <c r="F4941" s="81" t="s">
        <v>224</v>
      </c>
      <c r="G4941" s="81" t="s">
        <v>224</v>
      </c>
      <c r="H4941" s="81" t="s">
        <v>224</v>
      </c>
      <c r="I4941" s="81" t="s">
        <v>224</v>
      </c>
      <c r="J4941" s="81" t="s">
        <v>4966</v>
      </c>
    </row>
    <row r="4942" hidden="1">
      <c r="A4942" s="83" t="s">
        <v>6339</v>
      </c>
      <c r="B4942" s="83" t="s">
        <v>6340</v>
      </c>
      <c r="C4942" s="81" t="s">
        <v>4082</v>
      </c>
      <c r="D4942" s="81" t="s">
        <v>224</v>
      </c>
      <c r="E4942" s="81" t="s">
        <v>4972</v>
      </c>
      <c r="F4942" s="81" t="s">
        <v>224</v>
      </c>
      <c r="G4942" s="81" t="s">
        <v>224</v>
      </c>
      <c r="H4942" s="81" t="s">
        <v>224</v>
      </c>
      <c r="I4942" s="81" t="s">
        <v>224</v>
      </c>
      <c r="J4942" s="81" t="s">
        <v>4966</v>
      </c>
    </row>
    <row r="4943" hidden="1">
      <c r="A4943" s="83" t="s">
        <v>6339</v>
      </c>
      <c r="B4943" s="83" t="s">
        <v>6340</v>
      </c>
      <c r="C4943" s="81" t="s">
        <v>4082</v>
      </c>
      <c r="D4943" s="81" t="s">
        <v>224</v>
      </c>
      <c r="E4943" s="81" t="s">
        <v>4973</v>
      </c>
      <c r="F4943" s="81" t="s">
        <v>224</v>
      </c>
      <c r="G4943" s="81" t="s">
        <v>224</v>
      </c>
      <c r="H4943" s="81" t="s">
        <v>224</v>
      </c>
      <c r="I4943" s="81" t="s">
        <v>224</v>
      </c>
      <c r="J4943" s="81" t="s">
        <v>4974</v>
      </c>
    </row>
    <row r="4944" hidden="1">
      <c r="A4944" s="83" t="s">
        <v>6339</v>
      </c>
      <c r="B4944" s="83" t="s">
        <v>6340</v>
      </c>
      <c r="C4944" s="81" t="s">
        <v>4082</v>
      </c>
      <c r="D4944" s="81" t="s">
        <v>224</v>
      </c>
      <c r="E4944" s="81" t="s">
        <v>4975</v>
      </c>
      <c r="F4944" s="81" t="s">
        <v>224</v>
      </c>
      <c r="G4944" s="81" t="s">
        <v>224</v>
      </c>
      <c r="H4944" s="81" t="s">
        <v>224</v>
      </c>
      <c r="I4944" s="81" t="s">
        <v>224</v>
      </c>
      <c r="J4944" s="81" t="s">
        <v>4976</v>
      </c>
    </row>
    <row r="4945" hidden="1">
      <c r="A4945" s="83" t="s">
        <v>6339</v>
      </c>
      <c r="B4945" s="83" t="s">
        <v>6340</v>
      </c>
      <c r="C4945" s="81" t="s">
        <v>4082</v>
      </c>
      <c r="D4945" s="81" t="s">
        <v>224</v>
      </c>
      <c r="E4945" s="81" t="s">
        <v>4025</v>
      </c>
      <c r="F4945" s="81" t="s">
        <v>224</v>
      </c>
      <c r="G4945" s="81" t="s">
        <v>224</v>
      </c>
      <c r="H4945" s="81" t="s">
        <v>224</v>
      </c>
      <c r="I4945" s="81" t="s">
        <v>224</v>
      </c>
      <c r="J4945" s="81" t="s">
        <v>4977</v>
      </c>
    </row>
    <row r="4946" hidden="1">
      <c r="A4946" s="83" t="s">
        <v>6339</v>
      </c>
      <c r="B4946" s="83" t="s">
        <v>6340</v>
      </c>
      <c r="C4946" s="81" t="s">
        <v>4082</v>
      </c>
      <c r="D4946" s="81" t="s">
        <v>224</v>
      </c>
      <c r="E4946" s="81" t="s">
        <v>4033</v>
      </c>
      <c r="F4946" s="81" t="s">
        <v>224</v>
      </c>
      <c r="G4946" s="81" t="s">
        <v>224</v>
      </c>
      <c r="H4946" s="81" t="s">
        <v>224</v>
      </c>
      <c r="I4946" s="81" t="s">
        <v>224</v>
      </c>
      <c r="J4946" s="81" t="s">
        <v>4978</v>
      </c>
    </row>
    <row r="4947" hidden="1">
      <c r="A4947" s="83" t="s">
        <v>6339</v>
      </c>
      <c r="B4947" s="83" t="s">
        <v>6340</v>
      </c>
      <c r="C4947" s="81" t="s">
        <v>4082</v>
      </c>
      <c r="D4947" s="81" t="s">
        <v>224</v>
      </c>
      <c r="E4947" s="81" t="s">
        <v>4979</v>
      </c>
      <c r="F4947" s="81" t="s">
        <v>224</v>
      </c>
      <c r="G4947" s="81" t="s">
        <v>224</v>
      </c>
      <c r="H4947" s="81" t="s">
        <v>224</v>
      </c>
      <c r="I4947" s="81" t="s">
        <v>224</v>
      </c>
      <c r="J4947" s="81" t="s">
        <v>4980</v>
      </c>
    </row>
    <row r="4948" hidden="1">
      <c r="A4948" s="83" t="s">
        <v>6339</v>
      </c>
      <c r="B4948" s="83" t="s">
        <v>6340</v>
      </c>
      <c r="C4948" s="81" t="s">
        <v>4082</v>
      </c>
      <c r="D4948" s="81" t="s">
        <v>224</v>
      </c>
      <c r="E4948" s="81" t="s">
        <v>4981</v>
      </c>
      <c r="F4948" s="81" t="s">
        <v>224</v>
      </c>
      <c r="G4948" s="81" t="s">
        <v>224</v>
      </c>
      <c r="H4948" s="81" t="s">
        <v>224</v>
      </c>
      <c r="I4948" s="81" t="s">
        <v>224</v>
      </c>
      <c r="J4948" s="81" t="s">
        <v>4982</v>
      </c>
    </row>
    <row r="4949" hidden="1">
      <c r="A4949" s="83" t="s">
        <v>6339</v>
      </c>
      <c r="B4949" s="83" t="s">
        <v>6340</v>
      </c>
      <c r="C4949" s="81" t="s">
        <v>4082</v>
      </c>
      <c r="D4949" s="81" t="s">
        <v>224</v>
      </c>
      <c r="E4949" s="81" t="s">
        <v>4983</v>
      </c>
      <c r="F4949" s="81" t="s">
        <v>224</v>
      </c>
      <c r="G4949" s="81" t="s">
        <v>224</v>
      </c>
      <c r="H4949" s="81" t="s">
        <v>224</v>
      </c>
      <c r="I4949" s="81" t="s">
        <v>224</v>
      </c>
      <c r="J4949" s="81" t="s">
        <v>4984</v>
      </c>
    </row>
    <row r="4950" hidden="1">
      <c r="A4950" s="83" t="s">
        <v>6339</v>
      </c>
      <c r="B4950" s="83" t="s">
        <v>6340</v>
      </c>
      <c r="C4950" s="81" t="s">
        <v>4082</v>
      </c>
      <c r="D4950" s="81" t="s">
        <v>224</v>
      </c>
      <c r="E4950" s="81" t="s">
        <v>4985</v>
      </c>
      <c r="F4950" s="81" t="s">
        <v>224</v>
      </c>
      <c r="G4950" s="81" t="s">
        <v>224</v>
      </c>
      <c r="H4950" s="81" t="s">
        <v>224</v>
      </c>
      <c r="I4950" s="81" t="s">
        <v>224</v>
      </c>
      <c r="J4950" s="81" t="s">
        <v>4986</v>
      </c>
    </row>
    <row r="4951" hidden="1">
      <c r="A4951" s="83" t="s">
        <v>6339</v>
      </c>
      <c r="B4951" s="83" t="s">
        <v>6340</v>
      </c>
      <c r="C4951" s="81" t="s">
        <v>4082</v>
      </c>
      <c r="D4951" s="81" t="s">
        <v>224</v>
      </c>
      <c r="E4951" s="81" t="s">
        <v>4987</v>
      </c>
      <c r="F4951" s="81" t="s">
        <v>224</v>
      </c>
      <c r="G4951" s="81" t="s">
        <v>224</v>
      </c>
      <c r="H4951" s="81" t="s">
        <v>224</v>
      </c>
      <c r="I4951" s="81" t="s">
        <v>224</v>
      </c>
      <c r="J4951" s="81" t="s">
        <v>4988</v>
      </c>
    </row>
    <row r="4952" hidden="1">
      <c r="A4952" s="83" t="s">
        <v>6339</v>
      </c>
      <c r="B4952" s="83" t="s">
        <v>6340</v>
      </c>
      <c r="C4952" s="81" t="s">
        <v>4082</v>
      </c>
      <c r="D4952" s="81" t="s">
        <v>224</v>
      </c>
      <c r="E4952" s="81" t="s">
        <v>4989</v>
      </c>
      <c r="F4952" s="81" t="s">
        <v>224</v>
      </c>
      <c r="G4952" s="81" t="s">
        <v>224</v>
      </c>
      <c r="H4952" s="81" t="s">
        <v>224</v>
      </c>
      <c r="I4952" s="81" t="s">
        <v>224</v>
      </c>
      <c r="J4952" s="81" t="s">
        <v>4990</v>
      </c>
    </row>
    <row r="4953" hidden="1">
      <c r="A4953" s="83" t="s">
        <v>6339</v>
      </c>
      <c r="B4953" s="83" t="s">
        <v>6340</v>
      </c>
      <c r="C4953" s="81" t="s">
        <v>4082</v>
      </c>
      <c r="D4953" s="81" t="s">
        <v>224</v>
      </c>
      <c r="E4953" s="81" t="s">
        <v>4991</v>
      </c>
      <c r="F4953" s="81" t="s">
        <v>224</v>
      </c>
      <c r="G4953" s="81" t="s">
        <v>224</v>
      </c>
      <c r="H4953" s="81" t="s">
        <v>224</v>
      </c>
      <c r="I4953" s="81" t="s">
        <v>224</v>
      </c>
      <c r="J4953" s="81" t="s">
        <v>4992</v>
      </c>
    </row>
    <row r="4954" hidden="1">
      <c r="A4954" s="83" t="s">
        <v>6339</v>
      </c>
      <c r="B4954" s="83" t="s">
        <v>6340</v>
      </c>
      <c r="C4954" s="81" t="s">
        <v>4082</v>
      </c>
      <c r="D4954" s="81" t="s">
        <v>224</v>
      </c>
      <c r="E4954" s="81" t="s">
        <v>4993</v>
      </c>
      <c r="F4954" s="81" t="s">
        <v>224</v>
      </c>
      <c r="G4954" s="81" t="s">
        <v>224</v>
      </c>
      <c r="H4954" s="81" t="s">
        <v>224</v>
      </c>
      <c r="I4954" s="81" t="s">
        <v>224</v>
      </c>
      <c r="J4954" s="81" t="s">
        <v>4994</v>
      </c>
    </row>
    <row r="4955" hidden="1">
      <c r="A4955" s="83" t="s">
        <v>6339</v>
      </c>
      <c r="B4955" s="83" t="s">
        <v>6340</v>
      </c>
      <c r="C4955" s="81" t="s">
        <v>4082</v>
      </c>
      <c r="D4955" s="81" t="s">
        <v>224</v>
      </c>
      <c r="E4955" s="81" t="s">
        <v>4995</v>
      </c>
      <c r="F4955" s="81" t="s">
        <v>224</v>
      </c>
      <c r="G4955" s="81" t="s">
        <v>224</v>
      </c>
      <c r="H4955" s="81" t="s">
        <v>224</v>
      </c>
      <c r="I4955" s="81" t="s">
        <v>224</v>
      </c>
      <c r="J4955" s="81" t="s">
        <v>4996</v>
      </c>
    </row>
    <row r="4956" hidden="1">
      <c r="A4956" s="83" t="s">
        <v>6339</v>
      </c>
      <c r="B4956" s="83" t="s">
        <v>6340</v>
      </c>
      <c r="C4956" s="81" t="s">
        <v>4082</v>
      </c>
      <c r="D4956" s="81" t="s">
        <v>224</v>
      </c>
      <c r="E4956" s="81" t="s">
        <v>4997</v>
      </c>
      <c r="F4956" s="81" t="s">
        <v>224</v>
      </c>
      <c r="G4956" s="81" t="s">
        <v>224</v>
      </c>
      <c r="H4956" s="81" t="s">
        <v>224</v>
      </c>
      <c r="I4956" s="81" t="s">
        <v>224</v>
      </c>
      <c r="J4956" s="81" t="s">
        <v>4998</v>
      </c>
    </row>
    <row r="4957" hidden="1">
      <c r="A4957" s="83" t="s">
        <v>6339</v>
      </c>
      <c r="B4957" s="83" t="s">
        <v>6340</v>
      </c>
      <c r="C4957" s="81" t="s">
        <v>4082</v>
      </c>
      <c r="D4957" s="81" t="s">
        <v>224</v>
      </c>
      <c r="E4957" s="81" t="s">
        <v>4999</v>
      </c>
      <c r="F4957" s="81" t="s">
        <v>224</v>
      </c>
      <c r="G4957" s="81" t="s">
        <v>224</v>
      </c>
      <c r="H4957" s="81" t="s">
        <v>224</v>
      </c>
      <c r="I4957" s="81" t="s">
        <v>224</v>
      </c>
      <c r="J4957" s="81" t="s">
        <v>5000</v>
      </c>
    </row>
    <row r="4958" hidden="1">
      <c r="A4958" s="83" t="s">
        <v>6339</v>
      </c>
      <c r="B4958" s="83" t="s">
        <v>6340</v>
      </c>
      <c r="C4958" s="81" t="s">
        <v>4082</v>
      </c>
      <c r="D4958" s="81" t="s">
        <v>224</v>
      </c>
      <c r="E4958" s="81" t="s">
        <v>5001</v>
      </c>
      <c r="F4958" s="81" t="s">
        <v>224</v>
      </c>
      <c r="G4958" s="81" t="s">
        <v>224</v>
      </c>
      <c r="H4958" s="81" t="s">
        <v>224</v>
      </c>
      <c r="I4958" s="81" t="s">
        <v>224</v>
      </c>
      <c r="J4958" s="81" t="s">
        <v>5002</v>
      </c>
    </row>
    <row r="4959" hidden="1">
      <c r="A4959" s="83" t="s">
        <v>6339</v>
      </c>
      <c r="B4959" s="83" t="s">
        <v>6340</v>
      </c>
      <c r="C4959" s="81" t="s">
        <v>4082</v>
      </c>
      <c r="D4959" s="81" t="s">
        <v>224</v>
      </c>
      <c r="E4959" s="81" t="s">
        <v>5003</v>
      </c>
      <c r="F4959" s="81" t="s">
        <v>224</v>
      </c>
      <c r="G4959" s="81" t="s">
        <v>224</v>
      </c>
      <c r="H4959" s="81" t="s">
        <v>224</v>
      </c>
      <c r="I4959" s="81" t="s">
        <v>224</v>
      </c>
      <c r="J4959" s="81" t="s">
        <v>5004</v>
      </c>
    </row>
    <row r="4960" hidden="1">
      <c r="A4960" s="83" t="s">
        <v>6339</v>
      </c>
      <c r="B4960" s="83" t="s">
        <v>6340</v>
      </c>
      <c r="C4960" s="81" t="s">
        <v>4082</v>
      </c>
      <c r="D4960" s="81" t="s">
        <v>224</v>
      </c>
      <c r="E4960" s="81" t="s">
        <v>5005</v>
      </c>
      <c r="F4960" s="81" t="s">
        <v>224</v>
      </c>
      <c r="G4960" s="81" t="s">
        <v>224</v>
      </c>
      <c r="H4960" s="81" t="s">
        <v>224</v>
      </c>
      <c r="I4960" s="81" t="s">
        <v>224</v>
      </c>
      <c r="J4960" s="81" t="s">
        <v>5006</v>
      </c>
    </row>
    <row r="4961" hidden="1">
      <c r="A4961" s="83" t="s">
        <v>6339</v>
      </c>
      <c r="B4961" s="83" t="s">
        <v>6340</v>
      </c>
      <c r="C4961" s="81" t="s">
        <v>4082</v>
      </c>
      <c r="D4961" s="81" t="s">
        <v>224</v>
      </c>
      <c r="E4961" s="81" t="s">
        <v>5007</v>
      </c>
      <c r="F4961" s="81" t="s">
        <v>224</v>
      </c>
      <c r="G4961" s="81" t="s">
        <v>224</v>
      </c>
      <c r="H4961" s="81" t="s">
        <v>224</v>
      </c>
      <c r="I4961" s="81" t="s">
        <v>224</v>
      </c>
      <c r="J4961" s="81" t="s">
        <v>5008</v>
      </c>
    </row>
    <row r="4962" hidden="1">
      <c r="A4962" s="83" t="s">
        <v>6339</v>
      </c>
      <c r="B4962" s="83" t="s">
        <v>6340</v>
      </c>
      <c r="C4962" s="81" t="s">
        <v>4082</v>
      </c>
      <c r="D4962" s="81" t="s">
        <v>224</v>
      </c>
      <c r="E4962" s="81" t="s">
        <v>5009</v>
      </c>
      <c r="F4962" s="81" t="s">
        <v>224</v>
      </c>
      <c r="G4962" s="81" t="s">
        <v>224</v>
      </c>
      <c r="H4962" s="81" t="s">
        <v>224</v>
      </c>
      <c r="I4962" s="81" t="s">
        <v>224</v>
      </c>
      <c r="J4962" s="81" t="s">
        <v>5010</v>
      </c>
    </row>
    <row r="4963" hidden="1">
      <c r="A4963" s="83" t="s">
        <v>6339</v>
      </c>
      <c r="B4963" s="83" t="s">
        <v>6340</v>
      </c>
      <c r="C4963" s="81" t="s">
        <v>4082</v>
      </c>
      <c r="D4963" s="81" t="s">
        <v>224</v>
      </c>
      <c r="E4963" s="81" t="s">
        <v>5011</v>
      </c>
      <c r="F4963" s="81" t="s">
        <v>224</v>
      </c>
      <c r="G4963" s="81" t="s">
        <v>224</v>
      </c>
      <c r="H4963" s="81" t="s">
        <v>224</v>
      </c>
      <c r="I4963" s="81" t="s">
        <v>224</v>
      </c>
      <c r="J4963" s="81" t="s">
        <v>5012</v>
      </c>
    </row>
    <row r="4964" hidden="1">
      <c r="A4964" s="83" t="s">
        <v>6339</v>
      </c>
      <c r="B4964" s="83" t="s">
        <v>6340</v>
      </c>
      <c r="C4964" s="81" t="s">
        <v>4082</v>
      </c>
      <c r="D4964" s="81" t="s">
        <v>224</v>
      </c>
      <c r="E4964" s="81" t="s">
        <v>5013</v>
      </c>
      <c r="F4964" s="81" t="s">
        <v>224</v>
      </c>
      <c r="G4964" s="81" t="s">
        <v>224</v>
      </c>
      <c r="H4964" s="81" t="s">
        <v>224</v>
      </c>
      <c r="I4964" s="81" t="s">
        <v>224</v>
      </c>
      <c r="J4964" s="81" t="s">
        <v>5014</v>
      </c>
    </row>
    <row r="4965" hidden="1">
      <c r="A4965" s="83" t="s">
        <v>6339</v>
      </c>
      <c r="B4965" s="83" t="s">
        <v>6340</v>
      </c>
      <c r="C4965" s="81" t="s">
        <v>4082</v>
      </c>
      <c r="D4965" s="81" t="s">
        <v>224</v>
      </c>
      <c r="E4965" s="81" t="s">
        <v>5015</v>
      </c>
      <c r="F4965" s="81" t="s">
        <v>224</v>
      </c>
      <c r="G4965" s="81" t="s">
        <v>224</v>
      </c>
      <c r="H4965" s="81" t="s">
        <v>224</v>
      </c>
      <c r="I4965" s="81" t="s">
        <v>224</v>
      </c>
      <c r="J4965" s="81" t="s">
        <v>5016</v>
      </c>
    </row>
    <row r="4966" hidden="1">
      <c r="A4966" s="83" t="s">
        <v>6339</v>
      </c>
      <c r="B4966" s="83" t="s">
        <v>6340</v>
      </c>
      <c r="C4966" s="81" t="s">
        <v>4082</v>
      </c>
      <c r="D4966" s="81" t="s">
        <v>224</v>
      </c>
      <c r="E4966" s="81" t="s">
        <v>5017</v>
      </c>
      <c r="F4966" s="81" t="s">
        <v>224</v>
      </c>
      <c r="G4966" s="81" t="s">
        <v>224</v>
      </c>
      <c r="H4966" s="81" t="s">
        <v>224</v>
      </c>
      <c r="I4966" s="81" t="s">
        <v>224</v>
      </c>
      <c r="J4966" s="81" t="s">
        <v>5018</v>
      </c>
    </row>
    <row r="4967" hidden="1">
      <c r="A4967" s="83" t="s">
        <v>6339</v>
      </c>
      <c r="B4967" s="83" t="s">
        <v>6340</v>
      </c>
      <c r="C4967" s="81" t="s">
        <v>4082</v>
      </c>
      <c r="D4967" s="81" t="s">
        <v>224</v>
      </c>
      <c r="E4967" s="81" t="s">
        <v>5019</v>
      </c>
      <c r="F4967" s="81" t="s">
        <v>224</v>
      </c>
      <c r="G4967" s="81" t="s">
        <v>224</v>
      </c>
      <c r="H4967" s="81" t="s">
        <v>224</v>
      </c>
      <c r="I4967" s="81" t="s">
        <v>224</v>
      </c>
      <c r="J4967" s="81" t="s">
        <v>5020</v>
      </c>
    </row>
    <row r="4968" hidden="1">
      <c r="A4968" s="83" t="s">
        <v>6339</v>
      </c>
      <c r="B4968" s="83" t="s">
        <v>6340</v>
      </c>
      <c r="C4968" s="81" t="s">
        <v>4082</v>
      </c>
      <c r="D4968" s="81" t="s">
        <v>224</v>
      </c>
      <c r="E4968" s="81" t="s">
        <v>5021</v>
      </c>
      <c r="F4968" s="81" t="s">
        <v>224</v>
      </c>
      <c r="G4968" s="81" t="s">
        <v>224</v>
      </c>
      <c r="H4968" s="81" t="s">
        <v>224</v>
      </c>
      <c r="I4968" s="81" t="s">
        <v>224</v>
      </c>
      <c r="J4968" s="81" t="s">
        <v>5022</v>
      </c>
    </row>
    <row r="4969" hidden="1">
      <c r="A4969" s="83" t="s">
        <v>6339</v>
      </c>
      <c r="B4969" s="83" t="s">
        <v>6340</v>
      </c>
      <c r="C4969" s="81" t="s">
        <v>4082</v>
      </c>
      <c r="D4969" s="81" t="s">
        <v>224</v>
      </c>
      <c r="E4969" s="81" t="s">
        <v>5023</v>
      </c>
      <c r="F4969" s="81" t="s">
        <v>224</v>
      </c>
      <c r="G4969" s="81" t="s">
        <v>224</v>
      </c>
      <c r="H4969" s="81" t="s">
        <v>224</v>
      </c>
      <c r="I4969" s="81" t="s">
        <v>224</v>
      </c>
      <c r="J4969" s="81" t="s">
        <v>5024</v>
      </c>
    </row>
    <row r="4970" hidden="1">
      <c r="A4970" s="83" t="s">
        <v>6339</v>
      </c>
      <c r="B4970" s="83" t="s">
        <v>6340</v>
      </c>
      <c r="C4970" s="81" t="s">
        <v>4082</v>
      </c>
      <c r="D4970" s="81" t="s">
        <v>224</v>
      </c>
      <c r="E4970" s="81" t="s">
        <v>5025</v>
      </c>
      <c r="F4970" s="81" t="s">
        <v>224</v>
      </c>
      <c r="G4970" s="81" t="s">
        <v>224</v>
      </c>
      <c r="H4970" s="81" t="s">
        <v>224</v>
      </c>
      <c r="I4970" s="81" t="s">
        <v>224</v>
      </c>
      <c r="J4970" s="81" t="s">
        <v>5026</v>
      </c>
    </row>
    <row r="4971" hidden="1">
      <c r="A4971" s="83" t="s">
        <v>6339</v>
      </c>
      <c r="B4971" s="83" t="s">
        <v>6340</v>
      </c>
      <c r="C4971" s="81" t="s">
        <v>4082</v>
      </c>
      <c r="D4971" s="81" t="s">
        <v>224</v>
      </c>
      <c r="E4971" s="81" t="s">
        <v>5027</v>
      </c>
      <c r="F4971" s="81" t="s">
        <v>224</v>
      </c>
      <c r="G4971" s="81" t="s">
        <v>224</v>
      </c>
      <c r="H4971" s="81" t="s">
        <v>224</v>
      </c>
      <c r="I4971" s="81" t="s">
        <v>224</v>
      </c>
      <c r="J4971" s="81" t="s">
        <v>5028</v>
      </c>
    </row>
    <row r="4972" hidden="1">
      <c r="A4972" s="83" t="s">
        <v>6339</v>
      </c>
      <c r="B4972" s="83" t="s">
        <v>6340</v>
      </c>
      <c r="C4972" s="81" t="s">
        <v>4082</v>
      </c>
      <c r="D4972" s="81" t="s">
        <v>224</v>
      </c>
      <c r="E4972" s="81" t="s">
        <v>5029</v>
      </c>
      <c r="F4972" s="81" t="s">
        <v>224</v>
      </c>
      <c r="G4972" s="81" t="s">
        <v>224</v>
      </c>
      <c r="H4972" s="81" t="s">
        <v>224</v>
      </c>
      <c r="I4972" s="81" t="s">
        <v>224</v>
      </c>
      <c r="J4972" s="81" t="s">
        <v>5030</v>
      </c>
    </row>
    <row r="4973" hidden="1">
      <c r="A4973" s="83" t="s">
        <v>6339</v>
      </c>
      <c r="B4973" s="83" t="s">
        <v>6340</v>
      </c>
      <c r="C4973" s="81" t="s">
        <v>4082</v>
      </c>
      <c r="D4973" s="81" t="s">
        <v>224</v>
      </c>
      <c r="E4973" s="81" t="s">
        <v>5031</v>
      </c>
      <c r="F4973" s="81" t="s">
        <v>224</v>
      </c>
      <c r="G4973" s="81" t="s">
        <v>224</v>
      </c>
      <c r="H4973" s="81" t="s">
        <v>224</v>
      </c>
      <c r="I4973" s="81" t="s">
        <v>224</v>
      </c>
      <c r="J4973" s="81" t="s">
        <v>5032</v>
      </c>
    </row>
    <row r="4974" hidden="1">
      <c r="A4974" s="83" t="s">
        <v>6339</v>
      </c>
      <c r="B4974" s="83" t="s">
        <v>6340</v>
      </c>
      <c r="C4974" s="81" t="s">
        <v>4082</v>
      </c>
      <c r="D4974" s="81" t="s">
        <v>224</v>
      </c>
      <c r="E4974" s="81" t="s">
        <v>5033</v>
      </c>
      <c r="F4974" s="81" t="s">
        <v>224</v>
      </c>
      <c r="G4974" s="81" t="s">
        <v>224</v>
      </c>
      <c r="H4974" s="81" t="s">
        <v>224</v>
      </c>
      <c r="I4974" s="81" t="s">
        <v>224</v>
      </c>
      <c r="J4974" s="81" t="s">
        <v>5034</v>
      </c>
    </row>
    <row r="4975" hidden="1">
      <c r="A4975" s="83" t="s">
        <v>6339</v>
      </c>
      <c r="B4975" s="83" t="s">
        <v>6340</v>
      </c>
      <c r="C4975" s="81" t="s">
        <v>4082</v>
      </c>
      <c r="D4975" s="81" t="s">
        <v>224</v>
      </c>
      <c r="E4975" s="81" t="s">
        <v>5035</v>
      </c>
      <c r="F4975" s="81" t="s">
        <v>224</v>
      </c>
      <c r="G4975" s="81" t="s">
        <v>224</v>
      </c>
      <c r="H4975" s="81" t="s">
        <v>224</v>
      </c>
      <c r="I4975" s="81" t="s">
        <v>224</v>
      </c>
      <c r="J4975" s="81" t="s">
        <v>5036</v>
      </c>
    </row>
    <row r="4976" hidden="1">
      <c r="A4976" s="83" t="s">
        <v>6339</v>
      </c>
      <c r="B4976" s="83" t="s">
        <v>6340</v>
      </c>
      <c r="C4976" s="81" t="s">
        <v>4082</v>
      </c>
      <c r="D4976" s="81" t="s">
        <v>224</v>
      </c>
      <c r="E4976" s="81" t="s">
        <v>5037</v>
      </c>
      <c r="F4976" s="81" t="s">
        <v>224</v>
      </c>
      <c r="G4976" s="81" t="s">
        <v>224</v>
      </c>
      <c r="H4976" s="81" t="s">
        <v>224</v>
      </c>
      <c r="I4976" s="81" t="s">
        <v>224</v>
      </c>
      <c r="J4976" s="81" t="s">
        <v>5038</v>
      </c>
    </row>
    <row r="4977" hidden="1">
      <c r="A4977" s="83" t="s">
        <v>6339</v>
      </c>
      <c r="B4977" s="83" t="s">
        <v>6340</v>
      </c>
      <c r="C4977" s="81" t="s">
        <v>4082</v>
      </c>
      <c r="D4977" s="81" t="s">
        <v>224</v>
      </c>
      <c r="E4977" s="81" t="s">
        <v>5039</v>
      </c>
      <c r="F4977" s="81" t="s">
        <v>224</v>
      </c>
      <c r="G4977" s="81" t="s">
        <v>224</v>
      </c>
      <c r="H4977" s="81" t="s">
        <v>224</v>
      </c>
      <c r="I4977" s="81" t="s">
        <v>224</v>
      </c>
      <c r="J4977" s="81" t="s">
        <v>5040</v>
      </c>
    </row>
    <row r="4978" hidden="1">
      <c r="A4978" s="83" t="s">
        <v>6339</v>
      </c>
      <c r="B4978" s="83" t="s">
        <v>6340</v>
      </c>
      <c r="C4978" s="81" t="s">
        <v>4082</v>
      </c>
      <c r="D4978" s="81" t="s">
        <v>224</v>
      </c>
      <c r="E4978" s="81" t="s">
        <v>5041</v>
      </c>
      <c r="F4978" s="81" t="s">
        <v>224</v>
      </c>
      <c r="G4978" s="81" t="s">
        <v>224</v>
      </c>
      <c r="H4978" s="81" t="s">
        <v>224</v>
      </c>
      <c r="I4978" s="81" t="s">
        <v>224</v>
      </c>
      <c r="J4978" s="81" t="s">
        <v>5042</v>
      </c>
    </row>
    <row r="4979" hidden="1">
      <c r="A4979" s="83" t="s">
        <v>6339</v>
      </c>
      <c r="B4979" s="83" t="s">
        <v>6340</v>
      </c>
      <c r="C4979" s="81" t="s">
        <v>4082</v>
      </c>
      <c r="D4979" s="81" t="s">
        <v>224</v>
      </c>
      <c r="E4979" s="81" t="s">
        <v>5043</v>
      </c>
      <c r="F4979" s="81" t="s">
        <v>224</v>
      </c>
      <c r="G4979" s="81" t="s">
        <v>224</v>
      </c>
      <c r="H4979" s="81" t="s">
        <v>224</v>
      </c>
      <c r="I4979" s="81" t="s">
        <v>224</v>
      </c>
      <c r="J4979" s="81" t="s">
        <v>5044</v>
      </c>
    </row>
    <row r="4980" hidden="1">
      <c r="A4980" s="83" t="s">
        <v>6339</v>
      </c>
      <c r="B4980" s="83" t="s">
        <v>6340</v>
      </c>
      <c r="C4980" s="81" t="s">
        <v>4082</v>
      </c>
      <c r="D4980" s="81" t="s">
        <v>224</v>
      </c>
      <c r="E4980" s="81" t="s">
        <v>5045</v>
      </c>
      <c r="F4980" s="81" t="s">
        <v>224</v>
      </c>
      <c r="G4980" s="81" t="s">
        <v>224</v>
      </c>
      <c r="H4980" s="81" t="s">
        <v>224</v>
      </c>
      <c r="I4980" s="81" t="s">
        <v>224</v>
      </c>
      <c r="J4980" s="81" t="s">
        <v>5046</v>
      </c>
    </row>
    <row r="4981" hidden="1">
      <c r="A4981" s="83" t="s">
        <v>6339</v>
      </c>
      <c r="B4981" s="83" t="s">
        <v>6340</v>
      </c>
      <c r="C4981" s="81" t="s">
        <v>4082</v>
      </c>
      <c r="D4981" s="81" t="s">
        <v>224</v>
      </c>
      <c r="E4981" s="81" t="s">
        <v>5047</v>
      </c>
      <c r="F4981" s="81" t="s">
        <v>224</v>
      </c>
      <c r="G4981" s="81" t="s">
        <v>224</v>
      </c>
      <c r="H4981" s="81" t="s">
        <v>224</v>
      </c>
      <c r="I4981" s="81" t="s">
        <v>224</v>
      </c>
      <c r="J4981" s="81" t="s">
        <v>5048</v>
      </c>
    </row>
    <row r="4982" hidden="1">
      <c r="A4982" s="83" t="s">
        <v>6339</v>
      </c>
      <c r="B4982" s="83" t="s">
        <v>6340</v>
      </c>
      <c r="C4982" s="81" t="s">
        <v>4082</v>
      </c>
      <c r="D4982" s="81" t="s">
        <v>224</v>
      </c>
      <c r="E4982" s="81" t="s">
        <v>5049</v>
      </c>
      <c r="F4982" s="81" t="s">
        <v>224</v>
      </c>
      <c r="G4982" s="81" t="s">
        <v>224</v>
      </c>
      <c r="H4982" s="81" t="s">
        <v>224</v>
      </c>
      <c r="I4982" s="81" t="s">
        <v>224</v>
      </c>
      <c r="J4982" s="81" t="s">
        <v>5050</v>
      </c>
    </row>
    <row r="4983" hidden="1">
      <c r="A4983" s="83" t="s">
        <v>6339</v>
      </c>
      <c r="B4983" s="83" t="s">
        <v>6340</v>
      </c>
      <c r="C4983" s="81" t="s">
        <v>4082</v>
      </c>
      <c r="D4983" s="81" t="s">
        <v>224</v>
      </c>
      <c r="E4983" s="81" t="s">
        <v>5051</v>
      </c>
      <c r="F4983" s="81" t="s">
        <v>224</v>
      </c>
      <c r="G4983" s="81" t="s">
        <v>224</v>
      </c>
      <c r="H4983" s="81" t="s">
        <v>224</v>
      </c>
      <c r="I4983" s="81" t="s">
        <v>224</v>
      </c>
      <c r="J4983" s="81" t="s">
        <v>5052</v>
      </c>
    </row>
    <row r="4984" hidden="1">
      <c r="A4984" s="83" t="s">
        <v>6339</v>
      </c>
      <c r="B4984" s="83" t="s">
        <v>6340</v>
      </c>
      <c r="C4984" s="81" t="s">
        <v>4082</v>
      </c>
      <c r="D4984" s="81" t="s">
        <v>224</v>
      </c>
      <c r="E4984" s="81" t="s">
        <v>5053</v>
      </c>
      <c r="F4984" s="81" t="s">
        <v>224</v>
      </c>
      <c r="G4984" s="81" t="s">
        <v>224</v>
      </c>
      <c r="H4984" s="81" t="s">
        <v>224</v>
      </c>
      <c r="I4984" s="81" t="s">
        <v>224</v>
      </c>
      <c r="J4984" s="81" t="s">
        <v>5054</v>
      </c>
    </row>
    <row r="4985" hidden="1">
      <c r="A4985" s="83" t="s">
        <v>6339</v>
      </c>
      <c r="B4985" s="83" t="s">
        <v>6340</v>
      </c>
      <c r="C4985" s="81" t="s">
        <v>4082</v>
      </c>
      <c r="D4985" s="81" t="s">
        <v>224</v>
      </c>
      <c r="E4985" s="81" t="s">
        <v>5055</v>
      </c>
      <c r="F4985" s="81" t="s">
        <v>224</v>
      </c>
      <c r="G4985" s="81" t="s">
        <v>224</v>
      </c>
      <c r="H4985" s="81" t="s">
        <v>224</v>
      </c>
      <c r="I4985" s="81" t="s">
        <v>224</v>
      </c>
      <c r="J4985" s="81" t="s">
        <v>5056</v>
      </c>
    </row>
    <row r="4986" hidden="1">
      <c r="A4986" s="83" t="s">
        <v>6339</v>
      </c>
      <c r="B4986" s="83" t="s">
        <v>6340</v>
      </c>
      <c r="C4986" s="81" t="s">
        <v>4082</v>
      </c>
      <c r="D4986" s="81" t="s">
        <v>224</v>
      </c>
      <c r="E4986" s="81" t="s">
        <v>5057</v>
      </c>
      <c r="F4986" s="81" t="s">
        <v>224</v>
      </c>
      <c r="G4986" s="81" t="s">
        <v>224</v>
      </c>
      <c r="H4986" s="81" t="s">
        <v>224</v>
      </c>
      <c r="I4986" s="81" t="s">
        <v>224</v>
      </c>
      <c r="J4986" s="81" t="s">
        <v>5058</v>
      </c>
    </row>
    <row r="4987" hidden="1">
      <c r="A4987" s="83" t="s">
        <v>6339</v>
      </c>
      <c r="B4987" s="83" t="s">
        <v>6340</v>
      </c>
      <c r="C4987" s="81" t="s">
        <v>4082</v>
      </c>
      <c r="D4987" s="81" t="s">
        <v>224</v>
      </c>
      <c r="E4987" s="81" t="s">
        <v>5059</v>
      </c>
      <c r="F4987" s="81" t="s">
        <v>224</v>
      </c>
      <c r="G4987" s="81" t="s">
        <v>224</v>
      </c>
      <c r="H4987" s="81" t="s">
        <v>224</v>
      </c>
      <c r="I4987" s="81" t="s">
        <v>224</v>
      </c>
      <c r="J4987" s="81" t="s">
        <v>5060</v>
      </c>
    </row>
    <row r="4988" hidden="1">
      <c r="A4988" s="83" t="s">
        <v>6339</v>
      </c>
      <c r="B4988" s="83" t="s">
        <v>6340</v>
      </c>
      <c r="C4988" s="81" t="s">
        <v>4082</v>
      </c>
      <c r="D4988" s="81" t="s">
        <v>224</v>
      </c>
      <c r="E4988" s="81" t="s">
        <v>5061</v>
      </c>
      <c r="F4988" s="81" t="s">
        <v>224</v>
      </c>
      <c r="G4988" s="81" t="s">
        <v>224</v>
      </c>
      <c r="H4988" s="81" t="s">
        <v>224</v>
      </c>
      <c r="I4988" s="81" t="s">
        <v>224</v>
      </c>
      <c r="J4988" s="81" t="s">
        <v>5062</v>
      </c>
    </row>
    <row r="4989" hidden="1">
      <c r="A4989" s="83" t="s">
        <v>6339</v>
      </c>
      <c r="B4989" s="83" t="s">
        <v>6340</v>
      </c>
      <c r="C4989" s="81" t="s">
        <v>4082</v>
      </c>
      <c r="D4989" s="81" t="s">
        <v>224</v>
      </c>
      <c r="E4989" s="81" t="s">
        <v>5063</v>
      </c>
      <c r="F4989" s="81" t="s">
        <v>224</v>
      </c>
      <c r="G4989" s="81" t="s">
        <v>224</v>
      </c>
      <c r="H4989" s="81" t="s">
        <v>224</v>
      </c>
      <c r="I4989" s="81" t="s">
        <v>224</v>
      </c>
      <c r="J4989" s="81" t="s">
        <v>5064</v>
      </c>
    </row>
    <row r="4990" hidden="1">
      <c r="A4990" s="83" t="s">
        <v>6339</v>
      </c>
      <c r="B4990" s="83" t="s">
        <v>6340</v>
      </c>
      <c r="C4990" s="81" t="s">
        <v>4082</v>
      </c>
      <c r="D4990" s="81" t="s">
        <v>224</v>
      </c>
      <c r="E4990" s="81" t="s">
        <v>5065</v>
      </c>
      <c r="F4990" s="81" t="s">
        <v>224</v>
      </c>
      <c r="G4990" s="81" t="s">
        <v>224</v>
      </c>
      <c r="H4990" s="81" t="s">
        <v>224</v>
      </c>
      <c r="I4990" s="81" t="s">
        <v>224</v>
      </c>
      <c r="J4990" s="81" t="s">
        <v>5066</v>
      </c>
    </row>
    <row r="4991" hidden="1">
      <c r="A4991" s="83" t="s">
        <v>6339</v>
      </c>
      <c r="B4991" s="83" t="s">
        <v>6340</v>
      </c>
      <c r="C4991" s="81" t="s">
        <v>4082</v>
      </c>
      <c r="D4991" s="81" t="s">
        <v>224</v>
      </c>
      <c r="E4991" s="81" t="s">
        <v>5067</v>
      </c>
      <c r="F4991" s="81" t="s">
        <v>224</v>
      </c>
      <c r="G4991" s="81" t="s">
        <v>224</v>
      </c>
      <c r="H4991" s="81" t="s">
        <v>224</v>
      </c>
      <c r="I4991" s="81" t="s">
        <v>224</v>
      </c>
      <c r="J4991" s="81" t="s">
        <v>5068</v>
      </c>
    </row>
    <row r="4992" hidden="1">
      <c r="A4992" s="83" t="s">
        <v>6339</v>
      </c>
      <c r="B4992" s="83" t="s">
        <v>6340</v>
      </c>
      <c r="C4992" s="81" t="s">
        <v>4082</v>
      </c>
      <c r="D4992" s="81" t="s">
        <v>224</v>
      </c>
      <c r="E4992" s="81" t="s">
        <v>5069</v>
      </c>
      <c r="F4992" s="81" t="s">
        <v>224</v>
      </c>
      <c r="G4992" s="81" t="s">
        <v>224</v>
      </c>
      <c r="H4992" s="81" t="s">
        <v>224</v>
      </c>
      <c r="I4992" s="81" t="s">
        <v>224</v>
      </c>
      <c r="J4992" s="81" t="s">
        <v>5070</v>
      </c>
    </row>
    <row r="4993" hidden="1">
      <c r="A4993" s="83" t="s">
        <v>6339</v>
      </c>
      <c r="B4993" s="83" t="s">
        <v>6340</v>
      </c>
      <c r="C4993" s="81" t="s">
        <v>4082</v>
      </c>
      <c r="D4993" s="81" t="s">
        <v>224</v>
      </c>
      <c r="E4993" s="81" t="s">
        <v>5071</v>
      </c>
      <c r="F4993" s="81" t="s">
        <v>224</v>
      </c>
      <c r="G4993" s="81" t="s">
        <v>224</v>
      </c>
      <c r="H4993" s="81" t="s">
        <v>224</v>
      </c>
      <c r="I4993" s="81" t="s">
        <v>224</v>
      </c>
      <c r="J4993" s="81" t="s">
        <v>5072</v>
      </c>
    </row>
    <row r="4994" hidden="1">
      <c r="A4994" s="83" t="s">
        <v>6339</v>
      </c>
      <c r="B4994" s="83" t="s">
        <v>6340</v>
      </c>
      <c r="C4994" s="81" t="s">
        <v>4082</v>
      </c>
      <c r="D4994" s="81" t="s">
        <v>224</v>
      </c>
      <c r="E4994" s="81" t="s">
        <v>5073</v>
      </c>
      <c r="F4994" s="81" t="s">
        <v>224</v>
      </c>
      <c r="G4994" s="81" t="s">
        <v>224</v>
      </c>
      <c r="H4994" s="81" t="s">
        <v>224</v>
      </c>
      <c r="I4994" s="81" t="s">
        <v>224</v>
      </c>
      <c r="J4994" s="81" t="s">
        <v>5074</v>
      </c>
    </row>
    <row r="4995" hidden="1">
      <c r="A4995" s="83" t="s">
        <v>6339</v>
      </c>
      <c r="B4995" s="83" t="s">
        <v>6340</v>
      </c>
      <c r="C4995" s="81" t="s">
        <v>4082</v>
      </c>
      <c r="D4995" s="81" t="s">
        <v>224</v>
      </c>
      <c r="E4995" s="81" t="s">
        <v>5075</v>
      </c>
      <c r="F4995" s="81" t="s">
        <v>224</v>
      </c>
      <c r="G4995" s="81" t="s">
        <v>224</v>
      </c>
      <c r="H4995" s="81" t="s">
        <v>224</v>
      </c>
      <c r="I4995" s="81" t="s">
        <v>224</v>
      </c>
      <c r="J4995" s="81" t="s">
        <v>5076</v>
      </c>
    </row>
    <row r="4996" hidden="1">
      <c r="A4996" s="83" t="s">
        <v>6339</v>
      </c>
      <c r="B4996" s="83" t="s">
        <v>6340</v>
      </c>
      <c r="C4996" s="81" t="s">
        <v>4082</v>
      </c>
      <c r="D4996" s="81" t="s">
        <v>224</v>
      </c>
      <c r="E4996" s="81" t="s">
        <v>5077</v>
      </c>
      <c r="F4996" s="81" t="s">
        <v>224</v>
      </c>
      <c r="G4996" s="81" t="s">
        <v>224</v>
      </c>
      <c r="H4996" s="81" t="s">
        <v>224</v>
      </c>
      <c r="I4996" s="81" t="s">
        <v>224</v>
      </c>
      <c r="J4996" s="81" t="s">
        <v>5078</v>
      </c>
    </row>
    <row r="4997" hidden="1">
      <c r="A4997" s="83" t="s">
        <v>6339</v>
      </c>
      <c r="B4997" s="83" t="s">
        <v>6340</v>
      </c>
      <c r="C4997" s="81" t="s">
        <v>4082</v>
      </c>
      <c r="D4997" s="81" t="s">
        <v>224</v>
      </c>
      <c r="E4997" s="81" t="s">
        <v>5079</v>
      </c>
      <c r="F4997" s="81" t="s">
        <v>224</v>
      </c>
      <c r="G4997" s="81" t="s">
        <v>224</v>
      </c>
      <c r="H4997" s="81" t="s">
        <v>224</v>
      </c>
      <c r="I4997" s="81" t="s">
        <v>224</v>
      </c>
      <c r="J4997" s="81" t="s">
        <v>4974</v>
      </c>
    </row>
    <row r="4998" hidden="1">
      <c r="A4998" s="83" t="s">
        <v>6339</v>
      </c>
      <c r="B4998" s="83" t="s">
        <v>6340</v>
      </c>
      <c r="C4998" s="81" t="s">
        <v>4082</v>
      </c>
      <c r="D4998" s="81" t="s">
        <v>224</v>
      </c>
      <c r="E4998" s="81" t="s">
        <v>5080</v>
      </c>
      <c r="F4998" s="81" t="s">
        <v>224</v>
      </c>
      <c r="G4998" s="81" t="s">
        <v>224</v>
      </c>
      <c r="H4998" s="81" t="s">
        <v>224</v>
      </c>
      <c r="I4998" s="81" t="s">
        <v>224</v>
      </c>
      <c r="J4998" s="81" t="s">
        <v>4974</v>
      </c>
    </row>
    <row r="4999" hidden="1">
      <c r="A4999" s="83" t="s">
        <v>6339</v>
      </c>
      <c r="B4999" s="83" t="s">
        <v>6340</v>
      </c>
      <c r="C4999" s="81" t="s">
        <v>4082</v>
      </c>
      <c r="D4999" s="81" t="s">
        <v>224</v>
      </c>
      <c r="E4999" s="81" t="s">
        <v>5081</v>
      </c>
      <c r="F4999" s="81" t="s">
        <v>224</v>
      </c>
      <c r="G4999" s="81" t="s">
        <v>224</v>
      </c>
      <c r="H4999" s="81" t="s">
        <v>224</v>
      </c>
      <c r="I4999" s="81" t="s">
        <v>224</v>
      </c>
      <c r="J4999" s="81" t="s">
        <v>5082</v>
      </c>
    </row>
    <row r="5000" hidden="1">
      <c r="A5000" s="83" t="s">
        <v>6339</v>
      </c>
      <c r="B5000" s="83" t="s">
        <v>6340</v>
      </c>
      <c r="C5000" s="81" t="s">
        <v>4082</v>
      </c>
      <c r="D5000" s="81" t="s">
        <v>224</v>
      </c>
      <c r="E5000" s="81" t="s">
        <v>5083</v>
      </c>
      <c r="F5000" s="81" t="s">
        <v>224</v>
      </c>
      <c r="G5000" s="81" t="s">
        <v>224</v>
      </c>
      <c r="H5000" s="81" t="s">
        <v>224</v>
      </c>
      <c r="I5000" s="81" t="s">
        <v>224</v>
      </c>
      <c r="J5000" s="81" t="s">
        <v>4984</v>
      </c>
    </row>
    <row r="5001" hidden="1">
      <c r="A5001" s="83" t="s">
        <v>6339</v>
      </c>
      <c r="B5001" s="83" t="s">
        <v>6340</v>
      </c>
      <c r="C5001" s="81" t="s">
        <v>4082</v>
      </c>
      <c r="D5001" s="81" t="s">
        <v>224</v>
      </c>
      <c r="E5001" s="81" t="s">
        <v>5084</v>
      </c>
      <c r="F5001" s="81" t="s">
        <v>224</v>
      </c>
      <c r="G5001" s="81" t="s">
        <v>224</v>
      </c>
      <c r="H5001" s="81" t="s">
        <v>224</v>
      </c>
      <c r="I5001" s="81" t="s">
        <v>224</v>
      </c>
      <c r="J5001" s="81" t="s">
        <v>5026</v>
      </c>
    </row>
    <row r="5002" hidden="1">
      <c r="A5002" s="83" t="s">
        <v>6339</v>
      </c>
      <c r="B5002" s="83" t="s">
        <v>6340</v>
      </c>
      <c r="C5002" s="81" t="s">
        <v>4082</v>
      </c>
      <c r="D5002" s="81" t="s">
        <v>224</v>
      </c>
      <c r="E5002" s="81" t="s">
        <v>5085</v>
      </c>
      <c r="F5002" s="81" t="s">
        <v>224</v>
      </c>
      <c r="G5002" s="81" t="s">
        <v>224</v>
      </c>
      <c r="H5002" s="81" t="s">
        <v>224</v>
      </c>
      <c r="I5002" s="81" t="s">
        <v>224</v>
      </c>
      <c r="J5002" s="81" t="s">
        <v>5006</v>
      </c>
    </row>
    <row r="5003" hidden="1">
      <c r="A5003" s="83" t="s">
        <v>6339</v>
      </c>
      <c r="B5003" s="83" t="s">
        <v>6340</v>
      </c>
      <c r="C5003" s="81" t="s">
        <v>4082</v>
      </c>
      <c r="D5003" s="81" t="s">
        <v>224</v>
      </c>
      <c r="E5003" s="81" t="s">
        <v>5086</v>
      </c>
      <c r="F5003" s="81" t="s">
        <v>224</v>
      </c>
      <c r="G5003" s="81" t="s">
        <v>224</v>
      </c>
      <c r="H5003" s="81" t="s">
        <v>224</v>
      </c>
      <c r="I5003" s="81" t="s">
        <v>224</v>
      </c>
      <c r="J5003" s="81" t="s">
        <v>5006</v>
      </c>
    </row>
    <row r="5004" hidden="1">
      <c r="A5004" s="83" t="s">
        <v>6339</v>
      </c>
      <c r="B5004" s="83" t="s">
        <v>6340</v>
      </c>
      <c r="C5004" s="81" t="s">
        <v>4082</v>
      </c>
      <c r="D5004" s="81" t="s">
        <v>224</v>
      </c>
      <c r="E5004" s="81" t="s">
        <v>5087</v>
      </c>
      <c r="F5004" s="81" t="s">
        <v>224</v>
      </c>
      <c r="G5004" s="81" t="s">
        <v>224</v>
      </c>
      <c r="H5004" s="81" t="s">
        <v>224</v>
      </c>
      <c r="I5004" s="81" t="s">
        <v>224</v>
      </c>
      <c r="J5004" s="81" t="s">
        <v>4984</v>
      </c>
    </row>
    <row r="5005" hidden="1">
      <c r="A5005" s="83" t="s">
        <v>6339</v>
      </c>
      <c r="B5005" s="83" t="s">
        <v>6340</v>
      </c>
      <c r="C5005" s="81" t="s">
        <v>4082</v>
      </c>
      <c r="D5005" s="81" t="s">
        <v>224</v>
      </c>
      <c r="E5005" s="81" t="s">
        <v>5088</v>
      </c>
      <c r="F5005" s="81" t="s">
        <v>224</v>
      </c>
      <c r="G5005" s="81" t="s">
        <v>224</v>
      </c>
      <c r="H5005" s="81" t="s">
        <v>224</v>
      </c>
      <c r="I5005" s="81" t="s">
        <v>224</v>
      </c>
      <c r="J5005" s="81" t="s">
        <v>5026</v>
      </c>
    </row>
    <row r="5006" hidden="1">
      <c r="A5006" s="83" t="s">
        <v>6339</v>
      </c>
      <c r="B5006" s="83" t="s">
        <v>6340</v>
      </c>
      <c r="C5006" s="81" t="s">
        <v>4082</v>
      </c>
      <c r="D5006" s="81" t="s">
        <v>224</v>
      </c>
      <c r="E5006" s="81" t="s">
        <v>5089</v>
      </c>
      <c r="F5006" s="81" t="s">
        <v>224</v>
      </c>
      <c r="G5006" s="81" t="s">
        <v>224</v>
      </c>
      <c r="H5006" s="81" t="s">
        <v>224</v>
      </c>
      <c r="I5006" s="81" t="s">
        <v>224</v>
      </c>
      <c r="J5006" s="81" t="s">
        <v>4984</v>
      </c>
    </row>
    <row r="5007" hidden="1">
      <c r="A5007" s="83" t="s">
        <v>6339</v>
      </c>
      <c r="B5007" s="83" t="s">
        <v>6340</v>
      </c>
      <c r="C5007" s="81" t="s">
        <v>4082</v>
      </c>
      <c r="D5007" s="81" t="s">
        <v>224</v>
      </c>
      <c r="E5007" s="81" t="s">
        <v>5090</v>
      </c>
      <c r="F5007" s="81" t="s">
        <v>224</v>
      </c>
      <c r="G5007" s="81" t="s">
        <v>224</v>
      </c>
      <c r="H5007" s="81" t="s">
        <v>224</v>
      </c>
      <c r="I5007" s="81" t="s">
        <v>224</v>
      </c>
      <c r="J5007" s="81" t="s">
        <v>4984</v>
      </c>
    </row>
    <row r="5008" hidden="1">
      <c r="A5008" s="83" t="s">
        <v>6339</v>
      </c>
      <c r="B5008" s="83" t="s">
        <v>6340</v>
      </c>
      <c r="C5008" s="81" t="s">
        <v>4082</v>
      </c>
      <c r="D5008" s="81" t="s">
        <v>224</v>
      </c>
      <c r="E5008" s="81" t="s">
        <v>5091</v>
      </c>
      <c r="F5008" s="81" t="s">
        <v>224</v>
      </c>
      <c r="G5008" s="81" t="s">
        <v>224</v>
      </c>
      <c r="H5008" s="81" t="s">
        <v>224</v>
      </c>
      <c r="I5008" s="81" t="s">
        <v>224</v>
      </c>
      <c r="J5008" s="81" t="s">
        <v>5006</v>
      </c>
    </row>
    <row r="5009" hidden="1">
      <c r="A5009" s="83" t="s">
        <v>6339</v>
      </c>
      <c r="B5009" s="83" t="s">
        <v>6340</v>
      </c>
      <c r="C5009" s="81" t="s">
        <v>4082</v>
      </c>
      <c r="D5009" s="81" t="s">
        <v>224</v>
      </c>
      <c r="E5009" s="81" t="s">
        <v>5092</v>
      </c>
      <c r="F5009" s="81" t="s">
        <v>224</v>
      </c>
      <c r="G5009" s="81" t="s">
        <v>224</v>
      </c>
      <c r="H5009" s="81" t="s">
        <v>224</v>
      </c>
      <c r="I5009" s="81" t="s">
        <v>224</v>
      </c>
      <c r="J5009" s="81" t="s">
        <v>5006</v>
      </c>
    </row>
    <row r="5010" hidden="1">
      <c r="A5010" s="83" t="s">
        <v>6339</v>
      </c>
      <c r="B5010" s="83" t="s">
        <v>6340</v>
      </c>
      <c r="C5010" s="81" t="s">
        <v>4082</v>
      </c>
      <c r="D5010" s="81" t="s">
        <v>224</v>
      </c>
      <c r="E5010" s="81" t="s">
        <v>5093</v>
      </c>
      <c r="F5010" s="81" t="s">
        <v>224</v>
      </c>
      <c r="G5010" s="81" t="s">
        <v>224</v>
      </c>
      <c r="H5010" s="81" t="s">
        <v>224</v>
      </c>
      <c r="I5010" s="81" t="s">
        <v>224</v>
      </c>
      <c r="J5010" s="81" t="s">
        <v>5026</v>
      </c>
    </row>
    <row r="5011" hidden="1">
      <c r="A5011" s="83" t="s">
        <v>6339</v>
      </c>
      <c r="B5011" s="83" t="s">
        <v>6340</v>
      </c>
      <c r="C5011" s="81" t="s">
        <v>4082</v>
      </c>
      <c r="D5011" s="81" t="s">
        <v>224</v>
      </c>
      <c r="E5011" s="81" t="s">
        <v>5094</v>
      </c>
      <c r="F5011" s="81" t="s">
        <v>224</v>
      </c>
      <c r="G5011" s="81" t="s">
        <v>224</v>
      </c>
      <c r="H5011" s="81" t="s">
        <v>224</v>
      </c>
      <c r="I5011" s="81" t="s">
        <v>224</v>
      </c>
      <c r="J5011" s="81" t="s">
        <v>5026</v>
      </c>
    </row>
    <row r="5012" hidden="1">
      <c r="A5012" s="83" t="s">
        <v>6339</v>
      </c>
      <c r="B5012" s="83" t="s">
        <v>6340</v>
      </c>
      <c r="C5012" s="81" t="s">
        <v>4082</v>
      </c>
      <c r="D5012" s="81" t="s">
        <v>224</v>
      </c>
      <c r="E5012" s="81" t="s">
        <v>5095</v>
      </c>
      <c r="F5012" s="81" t="s">
        <v>224</v>
      </c>
      <c r="G5012" s="81" t="s">
        <v>224</v>
      </c>
      <c r="H5012" s="81" t="s">
        <v>224</v>
      </c>
      <c r="I5012" s="81" t="s">
        <v>224</v>
      </c>
      <c r="J5012" s="81" t="s">
        <v>5006</v>
      </c>
    </row>
    <row r="5013" hidden="1">
      <c r="A5013" s="83" t="s">
        <v>6339</v>
      </c>
      <c r="B5013" s="83" t="s">
        <v>6340</v>
      </c>
      <c r="C5013" s="81" t="s">
        <v>4082</v>
      </c>
      <c r="D5013" s="81" t="s">
        <v>224</v>
      </c>
      <c r="E5013" s="81" t="s">
        <v>5096</v>
      </c>
      <c r="F5013" s="81" t="s">
        <v>224</v>
      </c>
      <c r="G5013" s="81" t="s">
        <v>224</v>
      </c>
      <c r="H5013" s="81" t="s">
        <v>224</v>
      </c>
      <c r="I5013" s="81" t="s">
        <v>224</v>
      </c>
      <c r="J5013" s="81" t="s">
        <v>5006</v>
      </c>
    </row>
    <row r="5014" hidden="1">
      <c r="A5014" s="83" t="s">
        <v>6339</v>
      </c>
      <c r="B5014" s="83" t="s">
        <v>6340</v>
      </c>
      <c r="C5014" s="81" t="s">
        <v>4082</v>
      </c>
      <c r="D5014" s="81" t="s">
        <v>224</v>
      </c>
      <c r="E5014" s="81" t="s">
        <v>5097</v>
      </c>
      <c r="F5014" s="81" t="s">
        <v>224</v>
      </c>
      <c r="G5014" s="81" t="s">
        <v>224</v>
      </c>
      <c r="H5014" s="81" t="s">
        <v>224</v>
      </c>
      <c r="I5014" s="81" t="s">
        <v>224</v>
      </c>
      <c r="J5014" s="81" t="s">
        <v>5006</v>
      </c>
    </row>
    <row r="5015" hidden="1">
      <c r="A5015" s="83" t="s">
        <v>6339</v>
      </c>
      <c r="B5015" s="83" t="s">
        <v>6340</v>
      </c>
      <c r="C5015" s="81" t="s">
        <v>4082</v>
      </c>
      <c r="D5015" s="81" t="s">
        <v>224</v>
      </c>
      <c r="E5015" s="81" t="s">
        <v>5098</v>
      </c>
      <c r="F5015" s="81" t="s">
        <v>224</v>
      </c>
      <c r="G5015" s="81" t="s">
        <v>224</v>
      </c>
      <c r="H5015" s="81" t="s">
        <v>224</v>
      </c>
      <c r="I5015" s="81" t="s">
        <v>224</v>
      </c>
      <c r="J5015" s="81" t="s">
        <v>4984</v>
      </c>
    </row>
    <row r="5016" hidden="1">
      <c r="A5016" s="83" t="s">
        <v>6339</v>
      </c>
      <c r="B5016" s="83" t="s">
        <v>6340</v>
      </c>
      <c r="C5016" s="81" t="s">
        <v>4082</v>
      </c>
      <c r="D5016" s="81" t="s">
        <v>224</v>
      </c>
      <c r="E5016" s="81" t="s">
        <v>5099</v>
      </c>
      <c r="F5016" s="81" t="s">
        <v>224</v>
      </c>
      <c r="G5016" s="81" t="s">
        <v>224</v>
      </c>
      <c r="H5016" s="81" t="s">
        <v>224</v>
      </c>
      <c r="I5016" s="81" t="s">
        <v>224</v>
      </c>
      <c r="J5016" s="81" t="s">
        <v>4984</v>
      </c>
    </row>
    <row r="5017" hidden="1">
      <c r="A5017" s="83" t="s">
        <v>6339</v>
      </c>
      <c r="B5017" s="83" t="s">
        <v>6340</v>
      </c>
      <c r="C5017" s="81" t="s">
        <v>4082</v>
      </c>
      <c r="D5017" s="81" t="s">
        <v>224</v>
      </c>
      <c r="E5017" s="81" t="s">
        <v>5100</v>
      </c>
      <c r="F5017" s="81" t="s">
        <v>224</v>
      </c>
      <c r="G5017" s="81" t="s">
        <v>224</v>
      </c>
      <c r="H5017" s="81" t="s">
        <v>224</v>
      </c>
      <c r="I5017" s="81" t="s">
        <v>224</v>
      </c>
      <c r="J5017" s="81" t="s">
        <v>4984</v>
      </c>
    </row>
    <row r="5018" hidden="1">
      <c r="A5018" s="83" t="s">
        <v>6339</v>
      </c>
      <c r="B5018" s="83" t="s">
        <v>6340</v>
      </c>
      <c r="C5018" s="81" t="s">
        <v>4082</v>
      </c>
      <c r="D5018" s="81" t="s">
        <v>224</v>
      </c>
      <c r="E5018" s="81" t="s">
        <v>5101</v>
      </c>
      <c r="F5018" s="81" t="s">
        <v>224</v>
      </c>
      <c r="G5018" s="81" t="s">
        <v>224</v>
      </c>
      <c r="H5018" s="81" t="s">
        <v>224</v>
      </c>
      <c r="I5018" s="81" t="s">
        <v>224</v>
      </c>
      <c r="J5018" s="81" t="s">
        <v>5006</v>
      </c>
    </row>
    <row r="5019" hidden="1">
      <c r="A5019" s="83" t="s">
        <v>6339</v>
      </c>
      <c r="B5019" s="83" t="s">
        <v>6340</v>
      </c>
      <c r="C5019" s="81" t="s">
        <v>4082</v>
      </c>
      <c r="D5019" s="81" t="s">
        <v>224</v>
      </c>
      <c r="E5019" s="81" t="s">
        <v>5102</v>
      </c>
      <c r="F5019" s="81" t="s">
        <v>224</v>
      </c>
      <c r="G5019" s="81" t="s">
        <v>224</v>
      </c>
      <c r="H5019" s="81" t="s">
        <v>224</v>
      </c>
      <c r="I5019" s="81" t="s">
        <v>224</v>
      </c>
      <c r="J5019" s="81" t="s">
        <v>4984</v>
      </c>
    </row>
    <row r="5020" hidden="1">
      <c r="A5020" s="83" t="s">
        <v>6339</v>
      </c>
      <c r="B5020" s="83" t="s">
        <v>6340</v>
      </c>
      <c r="C5020" s="81" t="s">
        <v>4082</v>
      </c>
      <c r="D5020" s="81" t="s">
        <v>224</v>
      </c>
      <c r="E5020" s="81" t="s">
        <v>5103</v>
      </c>
      <c r="F5020" s="81" t="s">
        <v>224</v>
      </c>
      <c r="G5020" s="81" t="s">
        <v>224</v>
      </c>
      <c r="H5020" s="81" t="s">
        <v>224</v>
      </c>
      <c r="I5020" s="81" t="s">
        <v>224</v>
      </c>
      <c r="J5020" s="81" t="s">
        <v>5026</v>
      </c>
    </row>
    <row r="5021" hidden="1">
      <c r="A5021" s="83" t="s">
        <v>6339</v>
      </c>
      <c r="B5021" s="83" t="s">
        <v>6340</v>
      </c>
      <c r="C5021" s="81" t="s">
        <v>4082</v>
      </c>
      <c r="D5021" s="81" t="s">
        <v>224</v>
      </c>
      <c r="E5021" s="81" t="s">
        <v>5104</v>
      </c>
      <c r="F5021" s="81" t="s">
        <v>224</v>
      </c>
      <c r="G5021" s="81" t="s">
        <v>224</v>
      </c>
      <c r="H5021" s="81" t="s">
        <v>224</v>
      </c>
      <c r="I5021" s="81" t="s">
        <v>224</v>
      </c>
      <c r="J5021" s="81" t="s">
        <v>5026</v>
      </c>
    </row>
    <row r="5022" hidden="1">
      <c r="A5022" s="83" t="s">
        <v>6339</v>
      </c>
      <c r="B5022" s="83" t="s">
        <v>6340</v>
      </c>
      <c r="C5022" s="81" t="s">
        <v>4082</v>
      </c>
      <c r="D5022" s="81" t="s">
        <v>224</v>
      </c>
      <c r="E5022" s="81" t="s">
        <v>5105</v>
      </c>
      <c r="F5022" s="81" t="s">
        <v>224</v>
      </c>
      <c r="G5022" s="81" t="s">
        <v>224</v>
      </c>
      <c r="H5022" s="81" t="s">
        <v>224</v>
      </c>
      <c r="I5022" s="81" t="s">
        <v>224</v>
      </c>
      <c r="J5022" s="81" t="s">
        <v>5028</v>
      </c>
    </row>
    <row r="5023" hidden="1">
      <c r="A5023" s="83" t="s">
        <v>6339</v>
      </c>
      <c r="B5023" s="83" t="s">
        <v>6340</v>
      </c>
      <c r="C5023" s="81" t="s">
        <v>4082</v>
      </c>
      <c r="D5023" s="81" t="s">
        <v>224</v>
      </c>
      <c r="E5023" s="81" t="s">
        <v>5106</v>
      </c>
      <c r="F5023" s="81" t="s">
        <v>224</v>
      </c>
      <c r="G5023" s="81" t="s">
        <v>224</v>
      </c>
      <c r="H5023" s="81" t="s">
        <v>224</v>
      </c>
      <c r="I5023" s="81" t="s">
        <v>224</v>
      </c>
      <c r="J5023" s="81" t="s">
        <v>5028</v>
      </c>
    </row>
    <row r="5024" hidden="1">
      <c r="A5024" s="83" t="s">
        <v>6339</v>
      </c>
      <c r="B5024" s="83" t="s">
        <v>6340</v>
      </c>
      <c r="C5024" s="81" t="s">
        <v>4082</v>
      </c>
      <c r="D5024" s="81" t="s">
        <v>224</v>
      </c>
      <c r="E5024" s="81" t="s">
        <v>5107</v>
      </c>
      <c r="F5024" s="81" t="s">
        <v>224</v>
      </c>
      <c r="G5024" s="81" t="s">
        <v>224</v>
      </c>
      <c r="H5024" s="81" t="s">
        <v>224</v>
      </c>
      <c r="I5024" s="81" t="s">
        <v>224</v>
      </c>
      <c r="J5024" s="81" t="s">
        <v>5028</v>
      </c>
    </row>
    <row r="5025" hidden="1">
      <c r="A5025" s="83" t="s">
        <v>6339</v>
      </c>
      <c r="B5025" s="83" t="s">
        <v>6340</v>
      </c>
      <c r="C5025" s="81" t="s">
        <v>4082</v>
      </c>
      <c r="D5025" s="81" t="s">
        <v>224</v>
      </c>
      <c r="E5025" s="81" t="s">
        <v>5108</v>
      </c>
      <c r="F5025" s="81" t="s">
        <v>224</v>
      </c>
      <c r="G5025" s="81" t="s">
        <v>224</v>
      </c>
      <c r="H5025" s="81" t="s">
        <v>224</v>
      </c>
      <c r="I5025" s="81" t="s">
        <v>224</v>
      </c>
      <c r="J5025" s="81" t="s">
        <v>5028</v>
      </c>
    </row>
    <row r="5026" hidden="1">
      <c r="A5026" s="83" t="s">
        <v>6339</v>
      </c>
      <c r="B5026" s="83" t="s">
        <v>6340</v>
      </c>
      <c r="C5026" s="81" t="s">
        <v>4082</v>
      </c>
      <c r="D5026" s="81" t="s">
        <v>224</v>
      </c>
      <c r="E5026" s="81" t="s">
        <v>5109</v>
      </c>
      <c r="F5026" s="81" t="s">
        <v>224</v>
      </c>
      <c r="G5026" s="81" t="s">
        <v>224</v>
      </c>
      <c r="H5026" s="81" t="s">
        <v>224</v>
      </c>
      <c r="I5026" s="81" t="s">
        <v>224</v>
      </c>
      <c r="J5026" s="81" t="s">
        <v>5028</v>
      </c>
    </row>
    <row r="5027" hidden="1">
      <c r="A5027" s="83" t="s">
        <v>6339</v>
      </c>
      <c r="B5027" s="83" t="s">
        <v>6340</v>
      </c>
      <c r="C5027" s="81" t="s">
        <v>4082</v>
      </c>
      <c r="D5027" s="81" t="s">
        <v>224</v>
      </c>
      <c r="E5027" s="81" t="s">
        <v>5110</v>
      </c>
      <c r="F5027" s="81" t="s">
        <v>224</v>
      </c>
      <c r="G5027" s="81" t="s">
        <v>224</v>
      </c>
      <c r="H5027" s="81" t="s">
        <v>224</v>
      </c>
      <c r="I5027" s="81" t="s">
        <v>224</v>
      </c>
      <c r="J5027" s="81" t="s">
        <v>5028</v>
      </c>
    </row>
    <row r="5028" hidden="1">
      <c r="A5028" s="83" t="s">
        <v>6339</v>
      </c>
      <c r="B5028" s="83" t="s">
        <v>6340</v>
      </c>
      <c r="C5028" s="81" t="s">
        <v>4082</v>
      </c>
      <c r="D5028" s="81" t="s">
        <v>224</v>
      </c>
      <c r="E5028" s="81" t="s">
        <v>224</v>
      </c>
      <c r="F5028" s="81" t="s">
        <v>224</v>
      </c>
      <c r="G5028" s="81" t="s">
        <v>224</v>
      </c>
      <c r="H5028" s="81" t="s">
        <v>224</v>
      </c>
      <c r="I5028" s="81" t="s">
        <v>224</v>
      </c>
      <c r="J5028" s="81" t="s">
        <v>5111</v>
      </c>
    </row>
    <row r="5029" hidden="1">
      <c r="A5029" s="83" t="s">
        <v>6339</v>
      </c>
      <c r="B5029" s="83" t="s">
        <v>6340</v>
      </c>
      <c r="C5029" s="81" t="s">
        <v>4621</v>
      </c>
      <c r="D5029" s="83" t="s">
        <v>4087</v>
      </c>
      <c r="E5029" s="81" t="s">
        <v>48</v>
      </c>
      <c r="F5029" s="81">
        <v>2.0</v>
      </c>
      <c r="G5029" s="81" t="s">
        <v>41</v>
      </c>
      <c r="H5029" s="81" t="s">
        <v>48</v>
      </c>
      <c r="I5029" s="81" t="s">
        <v>70</v>
      </c>
      <c r="J5029" s="81" t="s">
        <v>6343</v>
      </c>
    </row>
    <row r="5030" hidden="1">
      <c r="A5030" s="83" t="s">
        <v>6339</v>
      </c>
      <c r="B5030" s="83" t="s">
        <v>6340</v>
      </c>
      <c r="C5030" s="81" t="s">
        <v>4621</v>
      </c>
      <c r="D5030" s="83" t="s">
        <v>4087</v>
      </c>
      <c r="E5030" s="81" t="s">
        <v>73</v>
      </c>
      <c r="F5030" s="81">
        <v>3.0</v>
      </c>
      <c r="G5030" s="81" t="s">
        <v>41</v>
      </c>
      <c r="H5030" s="81" t="s">
        <v>48</v>
      </c>
      <c r="I5030" s="81" t="s">
        <v>70</v>
      </c>
      <c r="J5030" s="81" t="s">
        <v>6343</v>
      </c>
    </row>
    <row r="5031" hidden="1">
      <c r="A5031" s="83" t="s">
        <v>6339</v>
      </c>
      <c r="B5031" s="83" t="s">
        <v>6340</v>
      </c>
      <c r="C5031" s="81" t="s">
        <v>4621</v>
      </c>
      <c r="D5031" s="83" t="s">
        <v>4089</v>
      </c>
      <c r="E5031" s="81" t="s">
        <v>75</v>
      </c>
      <c r="F5031" s="81">
        <v>4.0</v>
      </c>
      <c r="G5031" s="81" t="s">
        <v>41</v>
      </c>
      <c r="H5031" s="81" t="s">
        <v>48</v>
      </c>
      <c r="I5031" s="81" t="s">
        <v>70</v>
      </c>
      <c r="J5031" s="81" t="s">
        <v>6343</v>
      </c>
    </row>
    <row r="5032" hidden="1">
      <c r="A5032" s="83" t="s">
        <v>6339</v>
      </c>
      <c r="B5032" s="83" t="s">
        <v>6340</v>
      </c>
      <c r="C5032" s="81" t="s">
        <v>4621</v>
      </c>
      <c r="D5032" s="83" t="s">
        <v>4090</v>
      </c>
      <c r="E5032" s="81" t="s">
        <v>83</v>
      </c>
      <c r="F5032" s="81">
        <v>5.0</v>
      </c>
      <c r="G5032" s="81" t="s">
        <v>41</v>
      </c>
      <c r="H5032" s="81" t="s">
        <v>83</v>
      </c>
      <c r="I5032" s="81" t="s">
        <v>99</v>
      </c>
      <c r="J5032" s="81" t="s">
        <v>6343</v>
      </c>
    </row>
    <row r="5033" hidden="1">
      <c r="A5033" s="83" t="s">
        <v>6339</v>
      </c>
      <c r="B5033" s="83" t="s">
        <v>6340</v>
      </c>
      <c r="C5033" s="81" t="s">
        <v>4621</v>
      </c>
      <c r="D5033" s="83" t="s">
        <v>4091</v>
      </c>
      <c r="E5033" s="81" t="s">
        <v>104</v>
      </c>
      <c r="F5033" s="81">
        <v>6.0</v>
      </c>
      <c r="G5033" s="81" t="s">
        <v>41</v>
      </c>
      <c r="H5033" s="81" t="s">
        <v>104</v>
      </c>
      <c r="I5033" s="81" t="s">
        <v>116</v>
      </c>
      <c r="J5033" s="81" t="s">
        <v>6343</v>
      </c>
    </row>
    <row r="5034" hidden="1">
      <c r="A5034" s="83" t="s">
        <v>6339</v>
      </c>
      <c r="B5034" s="83" t="s">
        <v>6340</v>
      </c>
      <c r="C5034" s="81" t="s">
        <v>4621</v>
      </c>
      <c r="D5034" s="83" t="s">
        <v>4091</v>
      </c>
      <c r="E5034" s="81" t="s">
        <v>121</v>
      </c>
      <c r="F5034" s="81">
        <v>7.0</v>
      </c>
      <c r="G5034" s="81" t="s">
        <v>41</v>
      </c>
      <c r="H5034" s="81" t="s">
        <v>104</v>
      </c>
      <c r="I5034" s="81" t="s">
        <v>116</v>
      </c>
      <c r="J5034" s="81" t="s">
        <v>6343</v>
      </c>
    </row>
    <row r="5035" hidden="1">
      <c r="A5035" s="83" t="s">
        <v>6339</v>
      </c>
      <c r="B5035" s="83" t="s">
        <v>6340</v>
      </c>
      <c r="C5035" s="81" t="s">
        <v>4621</v>
      </c>
      <c r="D5035" s="83" t="s">
        <v>4092</v>
      </c>
      <c r="E5035" s="81" t="s">
        <v>122</v>
      </c>
      <c r="F5035" s="81">
        <v>8.0</v>
      </c>
      <c r="G5035" s="81" t="s">
        <v>41</v>
      </c>
      <c r="H5035" s="81" t="s">
        <v>104</v>
      </c>
      <c r="I5035" s="81" t="s">
        <v>116</v>
      </c>
      <c r="J5035" s="81" t="s">
        <v>6343</v>
      </c>
    </row>
    <row r="5036" hidden="1">
      <c r="A5036" s="83" t="s">
        <v>6339</v>
      </c>
      <c r="B5036" s="83" t="s">
        <v>6340</v>
      </c>
      <c r="C5036" s="81" t="s">
        <v>4621</v>
      </c>
      <c r="D5036" s="83" t="s">
        <v>4093</v>
      </c>
      <c r="E5036" s="81" t="s">
        <v>125</v>
      </c>
      <c r="F5036" s="81">
        <v>9.0</v>
      </c>
      <c r="G5036" s="81" t="s">
        <v>41</v>
      </c>
      <c r="H5036" s="81" t="s">
        <v>125</v>
      </c>
      <c r="I5036" s="81" t="s">
        <v>134</v>
      </c>
      <c r="J5036" s="81" t="s">
        <v>6343</v>
      </c>
    </row>
    <row r="5037" hidden="1">
      <c r="A5037" s="83" t="s">
        <v>6339</v>
      </c>
      <c r="B5037" s="83" t="s">
        <v>6340</v>
      </c>
      <c r="C5037" s="81" t="s">
        <v>4621</v>
      </c>
      <c r="D5037" s="83" t="s">
        <v>4094</v>
      </c>
      <c r="E5037" s="81" t="s">
        <v>139</v>
      </c>
      <c r="F5037" s="81">
        <v>10.0</v>
      </c>
      <c r="G5037" s="81" t="s">
        <v>41</v>
      </c>
      <c r="H5037" s="81" t="s">
        <v>139</v>
      </c>
      <c r="I5037" s="81" t="s">
        <v>149</v>
      </c>
      <c r="J5037" s="81" t="s">
        <v>6343</v>
      </c>
    </row>
    <row r="5038" hidden="1">
      <c r="A5038" s="83" t="s">
        <v>6339</v>
      </c>
      <c r="B5038" s="83" t="s">
        <v>6340</v>
      </c>
      <c r="C5038" s="81" t="s">
        <v>4621</v>
      </c>
      <c r="D5038" s="83" t="s">
        <v>4094</v>
      </c>
      <c r="E5038" s="81" t="s">
        <v>154</v>
      </c>
      <c r="F5038" s="81">
        <v>11.0</v>
      </c>
      <c r="G5038" s="81" t="s">
        <v>41</v>
      </c>
      <c r="H5038" s="81" t="s">
        <v>139</v>
      </c>
      <c r="I5038" s="81" t="s">
        <v>149</v>
      </c>
      <c r="J5038" s="81" t="s">
        <v>6343</v>
      </c>
    </row>
    <row r="5039" hidden="1">
      <c r="A5039" s="83" t="s">
        <v>6339</v>
      </c>
      <c r="B5039" s="83" t="s">
        <v>6340</v>
      </c>
      <c r="C5039" s="81" t="s">
        <v>4621</v>
      </c>
      <c r="D5039" s="83" t="s">
        <v>4095</v>
      </c>
      <c r="E5039" s="81" t="s">
        <v>155</v>
      </c>
      <c r="F5039" s="81">
        <v>12.0</v>
      </c>
      <c r="G5039" s="81" t="s">
        <v>41</v>
      </c>
      <c r="H5039" s="81" t="s">
        <v>139</v>
      </c>
      <c r="I5039" s="81" t="s">
        <v>149</v>
      </c>
      <c r="J5039" s="81" t="s">
        <v>6343</v>
      </c>
    </row>
    <row r="5040" hidden="1">
      <c r="A5040" s="83" t="s">
        <v>6339</v>
      </c>
      <c r="B5040" s="83" t="s">
        <v>6340</v>
      </c>
      <c r="C5040" s="81" t="s">
        <v>4621</v>
      </c>
      <c r="D5040" s="83" t="s">
        <v>4096</v>
      </c>
      <c r="E5040" s="81" t="s">
        <v>158</v>
      </c>
      <c r="F5040" s="81">
        <v>13.0</v>
      </c>
      <c r="G5040" s="81" t="s">
        <v>41</v>
      </c>
      <c r="H5040" s="81" t="s">
        <v>158</v>
      </c>
      <c r="I5040" s="81" t="s">
        <v>165</v>
      </c>
      <c r="J5040" s="81" t="s">
        <v>6343</v>
      </c>
    </row>
    <row r="5041" hidden="1">
      <c r="A5041" s="83" t="s">
        <v>6339</v>
      </c>
      <c r="B5041" s="83" t="s">
        <v>6340</v>
      </c>
      <c r="C5041" s="81" t="s">
        <v>4621</v>
      </c>
      <c r="D5041" s="83" t="s">
        <v>4096</v>
      </c>
      <c r="E5041" s="81" t="s">
        <v>170</v>
      </c>
      <c r="F5041" s="81">
        <v>14.0</v>
      </c>
      <c r="G5041" s="81" t="s">
        <v>41</v>
      </c>
      <c r="H5041" s="81" t="s">
        <v>158</v>
      </c>
      <c r="I5041" s="81" t="s">
        <v>165</v>
      </c>
      <c r="J5041" s="81" t="s">
        <v>6343</v>
      </c>
    </row>
    <row r="5042" hidden="1">
      <c r="A5042" s="83" t="s">
        <v>6339</v>
      </c>
      <c r="B5042" s="83" t="s">
        <v>6340</v>
      </c>
      <c r="C5042" s="81" t="s">
        <v>4621</v>
      </c>
      <c r="D5042" s="83" t="s">
        <v>4097</v>
      </c>
      <c r="E5042" s="81" t="s">
        <v>172</v>
      </c>
      <c r="F5042" s="81">
        <v>15.0</v>
      </c>
      <c r="G5042" s="81" t="s">
        <v>41</v>
      </c>
      <c r="H5042" s="81" t="s">
        <v>158</v>
      </c>
      <c r="I5042" s="81" t="s">
        <v>165</v>
      </c>
      <c r="J5042" s="81" t="s">
        <v>6343</v>
      </c>
    </row>
    <row r="5043" hidden="1">
      <c r="A5043" s="83" t="s">
        <v>6339</v>
      </c>
      <c r="B5043" s="83" t="s">
        <v>6340</v>
      </c>
      <c r="C5043" s="81" t="s">
        <v>4621</v>
      </c>
      <c r="D5043" s="83" t="s">
        <v>4098</v>
      </c>
      <c r="E5043" s="81" t="s">
        <v>175</v>
      </c>
      <c r="F5043" s="81">
        <v>16.0</v>
      </c>
      <c r="G5043" s="81" t="s">
        <v>41</v>
      </c>
      <c r="H5043" s="81" t="s">
        <v>175</v>
      </c>
      <c r="I5043" s="81" t="s">
        <v>182</v>
      </c>
      <c r="J5043" s="81" t="s">
        <v>6343</v>
      </c>
    </row>
    <row r="5044" hidden="1">
      <c r="A5044" s="83" t="s">
        <v>6339</v>
      </c>
      <c r="B5044" s="83" t="s">
        <v>6340</v>
      </c>
      <c r="C5044" s="81" t="s">
        <v>4621</v>
      </c>
      <c r="D5044" s="83" t="s">
        <v>4099</v>
      </c>
      <c r="E5044" s="81" t="s">
        <v>187</v>
      </c>
      <c r="F5044" s="81">
        <v>17.0</v>
      </c>
      <c r="G5044" s="81" t="s">
        <v>41</v>
      </c>
      <c r="H5044" s="81" t="s">
        <v>187</v>
      </c>
      <c r="I5044" s="81" t="s">
        <v>195</v>
      </c>
      <c r="J5044" s="81" t="s">
        <v>6343</v>
      </c>
    </row>
    <row r="5045" hidden="1">
      <c r="A5045" s="83" t="s">
        <v>6339</v>
      </c>
      <c r="B5045" s="83" t="s">
        <v>6340</v>
      </c>
      <c r="C5045" s="81" t="s">
        <v>4621</v>
      </c>
      <c r="D5045" s="83" t="s">
        <v>4100</v>
      </c>
      <c r="E5045" s="81" t="s">
        <v>200</v>
      </c>
      <c r="F5045" s="81">
        <v>18.0</v>
      </c>
      <c r="G5045" s="81" t="s">
        <v>41</v>
      </c>
      <c r="H5045" s="81" t="s">
        <v>200</v>
      </c>
      <c r="I5045" s="81" t="s">
        <v>207</v>
      </c>
      <c r="J5045" s="81" t="s">
        <v>6343</v>
      </c>
    </row>
    <row r="5046" hidden="1">
      <c r="A5046" s="83" t="s">
        <v>6339</v>
      </c>
      <c r="B5046" s="83" t="s">
        <v>6340</v>
      </c>
      <c r="C5046" s="81" t="s">
        <v>4621</v>
      </c>
      <c r="D5046" s="83" t="s">
        <v>4101</v>
      </c>
      <c r="E5046" s="81" t="s">
        <v>212</v>
      </c>
      <c r="F5046" s="81">
        <v>19.0</v>
      </c>
      <c r="G5046" s="81" t="s">
        <v>41</v>
      </c>
      <c r="H5046" s="81" t="s">
        <v>212</v>
      </c>
      <c r="I5046" s="81" t="s">
        <v>225</v>
      </c>
      <c r="J5046" s="81" t="s">
        <v>6343</v>
      </c>
    </row>
    <row r="5047" hidden="1">
      <c r="A5047" s="83" t="s">
        <v>6339</v>
      </c>
      <c r="B5047" s="83" t="s">
        <v>6340</v>
      </c>
      <c r="C5047" s="81" t="s">
        <v>4621</v>
      </c>
      <c r="D5047" s="83" t="s">
        <v>4102</v>
      </c>
      <c r="E5047" s="81" t="s">
        <v>226</v>
      </c>
      <c r="F5047" s="81">
        <v>20.0</v>
      </c>
      <c r="G5047" s="81" t="s">
        <v>41</v>
      </c>
      <c r="H5047" s="81" t="s">
        <v>226</v>
      </c>
      <c r="I5047" s="81" t="s">
        <v>236</v>
      </c>
      <c r="J5047" s="81" t="s">
        <v>6343</v>
      </c>
    </row>
    <row r="5048" hidden="1">
      <c r="A5048" s="83" t="s">
        <v>6339</v>
      </c>
      <c r="B5048" s="83" t="s">
        <v>6340</v>
      </c>
      <c r="C5048" s="81" t="s">
        <v>4621</v>
      </c>
      <c r="D5048" s="83" t="s">
        <v>4102</v>
      </c>
      <c r="E5048" s="81" t="s">
        <v>239</v>
      </c>
      <c r="F5048" s="81">
        <v>21.0</v>
      </c>
      <c r="G5048" s="81" t="s">
        <v>41</v>
      </c>
      <c r="H5048" s="81" t="s">
        <v>226</v>
      </c>
      <c r="I5048" s="81" t="s">
        <v>236</v>
      </c>
      <c r="J5048" s="81" t="s">
        <v>6343</v>
      </c>
    </row>
    <row r="5049" hidden="1">
      <c r="A5049" s="83" t="s">
        <v>6339</v>
      </c>
      <c r="B5049" s="83" t="s">
        <v>6340</v>
      </c>
      <c r="C5049" s="81" t="s">
        <v>4621</v>
      </c>
      <c r="D5049" s="83" t="s">
        <v>4104</v>
      </c>
      <c r="E5049" s="81" t="s">
        <v>241</v>
      </c>
      <c r="F5049" s="81">
        <v>22.0</v>
      </c>
      <c r="G5049" s="81" t="s">
        <v>41</v>
      </c>
      <c r="H5049" s="81" t="s">
        <v>226</v>
      </c>
      <c r="I5049" s="81" t="s">
        <v>236</v>
      </c>
      <c r="J5049" s="81" t="s">
        <v>6343</v>
      </c>
    </row>
    <row r="5050" hidden="1">
      <c r="A5050" s="83" t="s">
        <v>6339</v>
      </c>
      <c r="B5050" s="83" t="s">
        <v>6340</v>
      </c>
      <c r="C5050" s="81" t="s">
        <v>4621</v>
      </c>
      <c r="D5050" s="83" t="s">
        <v>4105</v>
      </c>
      <c r="E5050" s="81" t="s">
        <v>244</v>
      </c>
      <c r="F5050" s="81">
        <v>23.0</v>
      </c>
      <c r="G5050" s="81" t="s">
        <v>41</v>
      </c>
      <c r="H5050" s="81" t="s">
        <v>226</v>
      </c>
      <c r="I5050" s="81" t="s">
        <v>236</v>
      </c>
      <c r="J5050" s="81" t="s">
        <v>6343</v>
      </c>
    </row>
    <row r="5051" hidden="1">
      <c r="A5051" s="83" t="s">
        <v>6339</v>
      </c>
      <c r="B5051" s="83" t="s">
        <v>6340</v>
      </c>
      <c r="C5051" s="81" t="s">
        <v>4621</v>
      </c>
      <c r="D5051" s="83" t="s">
        <v>4106</v>
      </c>
      <c r="E5051" s="81" t="s">
        <v>251</v>
      </c>
      <c r="F5051" s="81">
        <v>24.0</v>
      </c>
      <c r="G5051" s="81" t="s">
        <v>41</v>
      </c>
      <c r="H5051" s="81" t="s">
        <v>226</v>
      </c>
      <c r="I5051" s="81" t="s">
        <v>236</v>
      </c>
      <c r="J5051" s="81" t="s">
        <v>6343</v>
      </c>
    </row>
    <row r="5052" hidden="1">
      <c r="A5052" s="83" t="s">
        <v>6339</v>
      </c>
      <c r="B5052" s="83" t="s">
        <v>6340</v>
      </c>
      <c r="C5052" s="81" t="s">
        <v>4621</v>
      </c>
      <c r="D5052" s="83" t="s">
        <v>4107</v>
      </c>
      <c r="E5052" s="81" t="s">
        <v>254</v>
      </c>
      <c r="F5052" s="81">
        <v>25.0</v>
      </c>
      <c r="G5052" s="81" t="s">
        <v>41</v>
      </c>
      <c r="H5052" s="81" t="s">
        <v>226</v>
      </c>
      <c r="I5052" s="81" t="s">
        <v>236</v>
      </c>
      <c r="J5052" s="81" t="s">
        <v>6343</v>
      </c>
    </row>
    <row r="5053" hidden="1">
      <c r="A5053" s="83" t="s">
        <v>6339</v>
      </c>
      <c r="B5053" s="83" t="s">
        <v>6340</v>
      </c>
      <c r="C5053" s="81" t="s">
        <v>4621</v>
      </c>
      <c r="D5053" s="83" t="s">
        <v>4108</v>
      </c>
      <c r="E5053" s="81" t="s">
        <v>262</v>
      </c>
      <c r="F5053" s="81">
        <v>26.0</v>
      </c>
      <c r="G5053" s="81" t="s">
        <v>41</v>
      </c>
      <c r="H5053" s="81" t="s">
        <v>226</v>
      </c>
      <c r="I5053" s="81" t="s">
        <v>236</v>
      </c>
      <c r="J5053" s="81" t="s">
        <v>6343</v>
      </c>
    </row>
    <row r="5054" hidden="1">
      <c r="A5054" s="83" t="s">
        <v>6339</v>
      </c>
      <c r="B5054" s="83" t="s">
        <v>6340</v>
      </c>
      <c r="C5054" s="81" t="s">
        <v>4621</v>
      </c>
      <c r="D5054" s="83" t="s">
        <v>4109</v>
      </c>
      <c r="E5054" s="81" t="s">
        <v>265</v>
      </c>
      <c r="F5054" s="81">
        <v>27.0</v>
      </c>
      <c r="G5054" s="81" t="s">
        <v>41</v>
      </c>
      <c r="H5054" s="81" t="s">
        <v>226</v>
      </c>
      <c r="I5054" s="81" t="s">
        <v>236</v>
      </c>
      <c r="J5054" s="81" t="s">
        <v>6343</v>
      </c>
    </row>
    <row r="5055" hidden="1">
      <c r="A5055" s="83" t="s">
        <v>6339</v>
      </c>
      <c r="B5055" s="83" t="s">
        <v>6340</v>
      </c>
      <c r="C5055" s="81" t="s">
        <v>4621</v>
      </c>
      <c r="D5055" s="83" t="s">
        <v>4110</v>
      </c>
      <c r="E5055" s="81" t="s">
        <v>273</v>
      </c>
      <c r="F5055" s="81">
        <v>28.0</v>
      </c>
      <c r="G5055" s="81" t="s">
        <v>41</v>
      </c>
      <c r="H5055" s="81" t="s">
        <v>226</v>
      </c>
      <c r="I5055" s="81" t="s">
        <v>236</v>
      </c>
      <c r="J5055" s="81" t="s">
        <v>6343</v>
      </c>
    </row>
    <row r="5056" hidden="1">
      <c r="A5056" s="83" t="s">
        <v>6339</v>
      </c>
      <c r="B5056" s="83" t="s">
        <v>6340</v>
      </c>
      <c r="C5056" s="81" t="s">
        <v>4621</v>
      </c>
      <c r="D5056" s="83" t="s">
        <v>4111</v>
      </c>
      <c r="E5056" s="81" t="s">
        <v>276</v>
      </c>
      <c r="F5056" s="81">
        <v>29.0</v>
      </c>
      <c r="G5056" s="81" t="s">
        <v>41</v>
      </c>
      <c r="H5056" s="81" t="s">
        <v>226</v>
      </c>
      <c r="I5056" s="81" t="s">
        <v>236</v>
      </c>
      <c r="J5056" s="81" t="s">
        <v>6343</v>
      </c>
    </row>
    <row r="5057" hidden="1">
      <c r="A5057" s="83" t="s">
        <v>6339</v>
      </c>
      <c r="B5057" s="83" t="s">
        <v>6340</v>
      </c>
      <c r="C5057" s="81" t="s">
        <v>4621</v>
      </c>
      <c r="D5057" s="83" t="s">
        <v>4111</v>
      </c>
      <c r="E5057" s="81" t="s">
        <v>283</v>
      </c>
      <c r="F5057" s="81">
        <v>30.0</v>
      </c>
      <c r="G5057" s="81" t="s">
        <v>41</v>
      </c>
      <c r="H5057" s="81" t="s">
        <v>226</v>
      </c>
      <c r="I5057" s="81" t="s">
        <v>236</v>
      </c>
      <c r="J5057" s="81" t="s">
        <v>6343</v>
      </c>
    </row>
    <row r="5058" hidden="1">
      <c r="A5058" s="83" t="s">
        <v>6339</v>
      </c>
      <c r="B5058" s="83" t="s">
        <v>6340</v>
      </c>
      <c r="C5058" s="81" t="s">
        <v>4621</v>
      </c>
      <c r="D5058" s="83" t="s">
        <v>4113</v>
      </c>
      <c r="E5058" s="81" t="s">
        <v>284</v>
      </c>
      <c r="F5058" s="81">
        <v>31.0</v>
      </c>
      <c r="G5058" s="81" t="s">
        <v>41</v>
      </c>
      <c r="H5058" s="81" t="s">
        <v>226</v>
      </c>
      <c r="I5058" s="81" t="s">
        <v>236</v>
      </c>
      <c r="J5058" s="81" t="s">
        <v>6343</v>
      </c>
    </row>
    <row r="5059" hidden="1">
      <c r="A5059" s="83" t="s">
        <v>6339</v>
      </c>
      <c r="B5059" s="83" t="s">
        <v>6340</v>
      </c>
      <c r="C5059" s="81" t="s">
        <v>4621</v>
      </c>
      <c r="D5059" s="83" t="s">
        <v>4114</v>
      </c>
      <c r="E5059" s="81" t="s">
        <v>287</v>
      </c>
      <c r="F5059" s="81">
        <v>32.0</v>
      </c>
      <c r="G5059" s="81" t="s">
        <v>41</v>
      </c>
      <c r="H5059" s="81" t="s">
        <v>104</v>
      </c>
      <c r="I5059" s="81" t="s">
        <v>116</v>
      </c>
      <c r="J5059" s="81" t="s">
        <v>6343</v>
      </c>
    </row>
    <row r="5060" hidden="1">
      <c r="A5060" s="83" t="s">
        <v>6339</v>
      </c>
      <c r="B5060" s="83" t="s">
        <v>6340</v>
      </c>
      <c r="C5060" s="81" t="s">
        <v>4621</v>
      </c>
      <c r="D5060" s="83" t="s">
        <v>4115</v>
      </c>
      <c r="E5060" s="81" t="s">
        <v>297</v>
      </c>
      <c r="F5060" s="81">
        <v>33.0</v>
      </c>
      <c r="G5060" s="81" t="s">
        <v>41</v>
      </c>
      <c r="H5060" s="81" t="s">
        <v>226</v>
      </c>
      <c r="I5060" s="81" t="s">
        <v>236</v>
      </c>
      <c r="J5060" s="81" t="s">
        <v>6343</v>
      </c>
    </row>
    <row r="5061" hidden="1">
      <c r="A5061" s="83" t="s">
        <v>6339</v>
      </c>
      <c r="B5061" s="83" t="s">
        <v>6340</v>
      </c>
      <c r="C5061" s="81" t="s">
        <v>4621</v>
      </c>
      <c r="D5061" s="83" t="s">
        <v>4115</v>
      </c>
      <c r="E5061" s="81" t="s">
        <v>304</v>
      </c>
      <c r="F5061" s="81">
        <v>34.0</v>
      </c>
      <c r="G5061" s="81" t="s">
        <v>41</v>
      </c>
      <c r="H5061" s="81" t="s">
        <v>226</v>
      </c>
      <c r="I5061" s="81" t="s">
        <v>236</v>
      </c>
      <c r="J5061" s="81" t="s">
        <v>6343</v>
      </c>
    </row>
    <row r="5062" hidden="1">
      <c r="A5062" s="83" t="s">
        <v>6339</v>
      </c>
      <c r="B5062" s="83" t="s">
        <v>6340</v>
      </c>
      <c r="C5062" s="81" t="s">
        <v>4621</v>
      </c>
      <c r="D5062" s="83" t="s">
        <v>4117</v>
      </c>
      <c r="E5062" s="81" t="s">
        <v>305</v>
      </c>
      <c r="F5062" s="81">
        <v>35.0</v>
      </c>
      <c r="G5062" s="81" t="s">
        <v>41</v>
      </c>
      <c r="H5062" s="81" t="s">
        <v>226</v>
      </c>
      <c r="I5062" s="81" t="s">
        <v>236</v>
      </c>
      <c r="J5062" s="81" t="s">
        <v>6343</v>
      </c>
    </row>
    <row r="5063" hidden="1">
      <c r="A5063" s="83" t="s">
        <v>6339</v>
      </c>
      <c r="B5063" s="83" t="s">
        <v>6340</v>
      </c>
      <c r="C5063" s="81" t="s">
        <v>4621</v>
      </c>
      <c r="D5063" s="83" t="s">
        <v>4118</v>
      </c>
      <c r="E5063" s="81" t="s">
        <v>308</v>
      </c>
      <c r="F5063" s="81">
        <v>36.0</v>
      </c>
      <c r="G5063" s="81" t="s">
        <v>41</v>
      </c>
      <c r="H5063" s="81" t="s">
        <v>308</v>
      </c>
      <c r="I5063" s="81" t="s">
        <v>315</v>
      </c>
      <c r="J5063" s="81" t="s">
        <v>6343</v>
      </c>
    </row>
    <row r="5064" hidden="1">
      <c r="A5064" s="83" t="s">
        <v>6339</v>
      </c>
      <c r="B5064" s="83" t="s">
        <v>6340</v>
      </c>
      <c r="C5064" s="81" t="s">
        <v>4621</v>
      </c>
      <c r="D5064" s="83" t="s">
        <v>4119</v>
      </c>
      <c r="E5064" s="81" t="s">
        <v>320</v>
      </c>
      <c r="F5064" s="81">
        <v>37.0</v>
      </c>
      <c r="G5064" s="81" t="s">
        <v>41</v>
      </c>
      <c r="H5064" s="81" t="s">
        <v>320</v>
      </c>
      <c r="I5064" s="81" t="s">
        <v>326</v>
      </c>
      <c r="J5064" s="81" t="s">
        <v>6343</v>
      </c>
    </row>
    <row r="5065" hidden="1">
      <c r="A5065" s="83" t="s">
        <v>6339</v>
      </c>
      <c r="B5065" s="83" t="s">
        <v>6340</v>
      </c>
      <c r="C5065" s="81" t="s">
        <v>4621</v>
      </c>
      <c r="D5065" s="83" t="s">
        <v>4120</v>
      </c>
      <c r="E5065" s="81" t="s">
        <v>331</v>
      </c>
      <c r="F5065" s="81">
        <v>38.0</v>
      </c>
      <c r="G5065" s="81" t="s">
        <v>41</v>
      </c>
      <c r="H5065" s="81" t="s">
        <v>331</v>
      </c>
      <c r="I5065" s="81" t="s">
        <v>342</v>
      </c>
      <c r="J5065" s="81" t="s">
        <v>6343</v>
      </c>
    </row>
    <row r="5066" hidden="1">
      <c r="A5066" s="83" t="s">
        <v>6339</v>
      </c>
      <c r="B5066" s="83" t="s">
        <v>6340</v>
      </c>
      <c r="C5066" s="81" t="s">
        <v>4621</v>
      </c>
      <c r="D5066" s="83" t="s">
        <v>4121</v>
      </c>
      <c r="E5066" s="81" t="s">
        <v>343</v>
      </c>
      <c r="F5066" s="81">
        <v>39.0</v>
      </c>
      <c r="G5066" s="81" t="s">
        <v>41</v>
      </c>
      <c r="H5066" s="81" t="s">
        <v>343</v>
      </c>
      <c r="I5066" s="81" t="s">
        <v>357</v>
      </c>
      <c r="J5066" s="81" t="s">
        <v>6343</v>
      </c>
    </row>
    <row r="5067" hidden="1">
      <c r="A5067" s="83" t="s">
        <v>6339</v>
      </c>
      <c r="B5067" s="83" t="s">
        <v>6340</v>
      </c>
      <c r="C5067" s="81" t="s">
        <v>4621</v>
      </c>
      <c r="D5067" s="83" t="s">
        <v>4122</v>
      </c>
      <c r="E5067" s="81" t="s">
        <v>362</v>
      </c>
      <c r="F5067" s="81">
        <v>40.0</v>
      </c>
      <c r="G5067" s="81" t="s">
        <v>41</v>
      </c>
      <c r="H5067" s="81" t="s">
        <v>362</v>
      </c>
      <c r="I5067" s="81" t="s">
        <v>371</v>
      </c>
      <c r="J5067" s="81" t="s">
        <v>6343</v>
      </c>
    </row>
    <row r="5068" hidden="1">
      <c r="A5068" s="83" t="s">
        <v>6339</v>
      </c>
      <c r="B5068" s="83" t="s">
        <v>6340</v>
      </c>
      <c r="C5068" s="81" t="s">
        <v>4621</v>
      </c>
      <c r="D5068" s="83" t="s">
        <v>4124</v>
      </c>
      <c r="E5068" s="81" t="s">
        <v>375</v>
      </c>
      <c r="F5068" s="81">
        <v>41.0</v>
      </c>
      <c r="G5068" s="81" t="s">
        <v>41</v>
      </c>
      <c r="H5068" s="81" t="s">
        <v>375</v>
      </c>
      <c r="I5068" s="81" t="s">
        <v>387</v>
      </c>
      <c r="J5068" s="81" t="s">
        <v>6343</v>
      </c>
    </row>
    <row r="5069" hidden="1">
      <c r="A5069" s="83" t="s">
        <v>6339</v>
      </c>
      <c r="B5069" s="83" t="s">
        <v>6340</v>
      </c>
      <c r="C5069" s="81" t="s">
        <v>4621</v>
      </c>
      <c r="D5069" s="83" t="s">
        <v>4124</v>
      </c>
      <c r="E5069" s="81" t="s">
        <v>392</v>
      </c>
      <c r="F5069" s="81">
        <v>42.0</v>
      </c>
      <c r="G5069" s="81" t="s">
        <v>41</v>
      </c>
      <c r="H5069" s="81" t="s">
        <v>375</v>
      </c>
      <c r="I5069" s="81" t="s">
        <v>387</v>
      </c>
      <c r="J5069" s="81" t="s">
        <v>6343</v>
      </c>
    </row>
    <row r="5070" hidden="1">
      <c r="A5070" s="83" t="s">
        <v>6339</v>
      </c>
      <c r="B5070" s="83" t="s">
        <v>6340</v>
      </c>
      <c r="C5070" s="81" t="s">
        <v>4621</v>
      </c>
      <c r="D5070" s="83" t="s">
        <v>4125</v>
      </c>
      <c r="E5070" s="81" t="s">
        <v>393</v>
      </c>
      <c r="F5070" s="81">
        <v>43.0</v>
      </c>
      <c r="G5070" s="81" t="s">
        <v>41</v>
      </c>
      <c r="H5070" s="81" t="s">
        <v>375</v>
      </c>
      <c r="I5070" s="81" t="s">
        <v>387</v>
      </c>
      <c r="J5070" s="81" t="s">
        <v>6343</v>
      </c>
    </row>
    <row r="5071" hidden="1">
      <c r="A5071" s="83" t="s">
        <v>6339</v>
      </c>
      <c r="B5071" s="83" t="s">
        <v>6340</v>
      </c>
      <c r="C5071" s="81" t="s">
        <v>4621</v>
      </c>
      <c r="D5071" s="83" t="s">
        <v>4126</v>
      </c>
      <c r="E5071" s="81" t="s">
        <v>396</v>
      </c>
      <c r="F5071" s="81">
        <v>44.0</v>
      </c>
      <c r="G5071" s="81" t="s">
        <v>41</v>
      </c>
      <c r="H5071" s="81" t="s">
        <v>396</v>
      </c>
      <c r="I5071" s="81" t="s">
        <v>403</v>
      </c>
      <c r="J5071" s="81" t="s">
        <v>6343</v>
      </c>
    </row>
    <row r="5072" hidden="1">
      <c r="A5072" s="83" t="s">
        <v>6339</v>
      </c>
      <c r="B5072" s="83" t="s">
        <v>6340</v>
      </c>
      <c r="C5072" s="81" t="s">
        <v>4621</v>
      </c>
      <c r="D5072" s="83" t="s">
        <v>4127</v>
      </c>
      <c r="E5072" s="81" t="s">
        <v>404</v>
      </c>
      <c r="F5072" s="81">
        <v>45.0</v>
      </c>
      <c r="G5072" s="81" t="s">
        <v>41</v>
      </c>
      <c r="H5072" s="81" t="s">
        <v>404</v>
      </c>
      <c r="I5072" s="81" t="s">
        <v>409</v>
      </c>
      <c r="J5072" s="81" t="s">
        <v>6343</v>
      </c>
    </row>
    <row r="5073" hidden="1">
      <c r="A5073" s="83" t="s">
        <v>6339</v>
      </c>
      <c r="B5073" s="83" t="s">
        <v>6340</v>
      </c>
      <c r="C5073" s="81" t="s">
        <v>4621</v>
      </c>
      <c r="D5073" s="83" t="s">
        <v>4128</v>
      </c>
      <c r="E5073" s="81" t="s">
        <v>412</v>
      </c>
      <c r="F5073" s="81">
        <v>46.0</v>
      </c>
      <c r="G5073" s="81" t="s">
        <v>41</v>
      </c>
      <c r="H5073" s="81" t="s">
        <v>412</v>
      </c>
      <c r="I5073" s="81" t="s">
        <v>423</v>
      </c>
      <c r="J5073" s="81" t="s">
        <v>6343</v>
      </c>
    </row>
    <row r="5074" hidden="1">
      <c r="A5074" s="83" t="s">
        <v>6339</v>
      </c>
      <c r="B5074" s="83" t="s">
        <v>6340</v>
      </c>
      <c r="C5074" s="81" t="s">
        <v>4621</v>
      </c>
      <c r="D5074" s="83" t="s">
        <v>4129</v>
      </c>
      <c r="E5074" s="81" t="s">
        <v>428</v>
      </c>
      <c r="F5074" s="81">
        <v>47.0</v>
      </c>
      <c r="G5074" s="81" t="s">
        <v>41</v>
      </c>
      <c r="H5074" s="81" t="s">
        <v>428</v>
      </c>
      <c r="I5074" s="81" t="s">
        <v>436</v>
      </c>
      <c r="J5074" s="81" t="s">
        <v>6343</v>
      </c>
    </row>
    <row r="5075" hidden="1">
      <c r="A5075" s="83" t="s">
        <v>6339</v>
      </c>
      <c r="B5075" s="83" t="s">
        <v>6340</v>
      </c>
      <c r="C5075" s="81" t="s">
        <v>4621</v>
      </c>
      <c r="D5075" s="83" t="s">
        <v>4130</v>
      </c>
      <c r="E5075" s="81" t="s">
        <v>441</v>
      </c>
      <c r="F5075" s="81">
        <v>48.0</v>
      </c>
      <c r="G5075" s="81" t="s">
        <v>41</v>
      </c>
      <c r="H5075" s="81" t="s">
        <v>441</v>
      </c>
      <c r="I5075" s="81" t="s">
        <v>450</v>
      </c>
      <c r="J5075" s="81" t="s">
        <v>6343</v>
      </c>
    </row>
    <row r="5076" hidden="1">
      <c r="A5076" s="83" t="s">
        <v>6339</v>
      </c>
      <c r="B5076" s="83" t="s">
        <v>6340</v>
      </c>
      <c r="C5076" s="81" t="s">
        <v>4621</v>
      </c>
      <c r="D5076" s="83" t="s">
        <v>4130</v>
      </c>
      <c r="E5076" s="81" t="s">
        <v>455</v>
      </c>
      <c r="F5076" s="81">
        <v>49.0</v>
      </c>
      <c r="G5076" s="81" t="s">
        <v>41</v>
      </c>
      <c r="H5076" s="81" t="s">
        <v>441</v>
      </c>
      <c r="I5076" s="81" t="s">
        <v>450</v>
      </c>
      <c r="J5076" s="81" t="s">
        <v>6343</v>
      </c>
    </row>
    <row r="5077" hidden="1">
      <c r="A5077" s="83" t="s">
        <v>6339</v>
      </c>
      <c r="B5077" s="83" t="s">
        <v>6340</v>
      </c>
      <c r="C5077" s="81" t="s">
        <v>4621</v>
      </c>
      <c r="D5077" s="83" t="s">
        <v>4132</v>
      </c>
      <c r="E5077" s="81" t="s">
        <v>456</v>
      </c>
      <c r="F5077" s="81">
        <v>50.0</v>
      </c>
      <c r="G5077" s="81" t="s">
        <v>41</v>
      </c>
      <c r="H5077" s="81" t="s">
        <v>441</v>
      </c>
      <c r="I5077" s="81" t="s">
        <v>450</v>
      </c>
      <c r="J5077" s="81" t="s">
        <v>6343</v>
      </c>
    </row>
    <row r="5078" hidden="1">
      <c r="A5078" s="83" t="s">
        <v>6339</v>
      </c>
      <c r="B5078" s="83" t="s">
        <v>6340</v>
      </c>
      <c r="C5078" s="81" t="s">
        <v>4621</v>
      </c>
      <c r="D5078" s="83" t="s">
        <v>4133</v>
      </c>
      <c r="E5078" s="81" t="s">
        <v>459</v>
      </c>
      <c r="F5078" s="81">
        <v>51.0</v>
      </c>
      <c r="G5078" s="81" t="s">
        <v>41</v>
      </c>
      <c r="H5078" s="81" t="s">
        <v>459</v>
      </c>
      <c r="I5078" s="81" t="s">
        <v>467</v>
      </c>
      <c r="J5078" s="81" t="s">
        <v>6343</v>
      </c>
    </row>
    <row r="5079" hidden="1">
      <c r="A5079" s="83" t="s">
        <v>6339</v>
      </c>
      <c r="B5079" s="83" t="s">
        <v>6340</v>
      </c>
      <c r="C5079" s="81" t="s">
        <v>4621</v>
      </c>
      <c r="D5079" s="83" t="s">
        <v>4133</v>
      </c>
      <c r="E5079" s="81" t="s">
        <v>468</v>
      </c>
      <c r="F5079" s="81">
        <v>52.0</v>
      </c>
      <c r="G5079" s="81" t="s">
        <v>41</v>
      </c>
      <c r="H5079" s="81" t="s">
        <v>459</v>
      </c>
      <c r="I5079" s="81" t="s">
        <v>467</v>
      </c>
      <c r="J5079" s="81" t="s">
        <v>6343</v>
      </c>
    </row>
    <row r="5080" hidden="1">
      <c r="A5080" s="83" t="s">
        <v>6339</v>
      </c>
      <c r="B5080" s="83" t="s">
        <v>6340</v>
      </c>
      <c r="C5080" s="81" t="s">
        <v>4621</v>
      </c>
      <c r="D5080" s="83" t="s">
        <v>4134</v>
      </c>
      <c r="E5080" s="81" t="s">
        <v>470</v>
      </c>
      <c r="F5080" s="81">
        <v>53.0</v>
      </c>
      <c r="G5080" s="81" t="s">
        <v>41</v>
      </c>
      <c r="H5080" s="81" t="s">
        <v>470</v>
      </c>
      <c r="I5080" s="81" t="s">
        <v>474</v>
      </c>
      <c r="J5080" s="81" t="s">
        <v>6343</v>
      </c>
    </row>
    <row r="5081" hidden="1">
      <c r="A5081" s="83" t="s">
        <v>6339</v>
      </c>
      <c r="B5081" s="83" t="s">
        <v>6340</v>
      </c>
      <c r="C5081" s="81" t="s">
        <v>4621</v>
      </c>
      <c r="D5081" s="83" t="s">
        <v>4134</v>
      </c>
      <c r="E5081" s="81" t="s">
        <v>475</v>
      </c>
      <c r="F5081" s="81">
        <v>54.0</v>
      </c>
      <c r="G5081" s="81" t="s">
        <v>41</v>
      </c>
      <c r="H5081" s="81" t="s">
        <v>470</v>
      </c>
      <c r="I5081" s="81" t="s">
        <v>474</v>
      </c>
      <c r="J5081" s="81" t="s">
        <v>6343</v>
      </c>
    </row>
    <row r="5082" hidden="1">
      <c r="A5082" s="83" t="s">
        <v>6339</v>
      </c>
      <c r="B5082" s="83" t="s">
        <v>6340</v>
      </c>
      <c r="C5082" s="81" t="s">
        <v>4621</v>
      </c>
      <c r="D5082" s="83" t="s">
        <v>4135</v>
      </c>
      <c r="E5082" s="81" t="s">
        <v>476</v>
      </c>
      <c r="F5082" s="81">
        <v>55.0</v>
      </c>
      <c r="G5082" s="81" t="s">
        <v>41</v>
      </c>
      <c r="H5082" s="81" t="s">
        <v>470</v>
      </c>
      <c r="I5082" s="81" t="s">
        <v>474</v>
      </c>
      <c r="J5082" s="81" t="s">
        <v>6343</v>
      </c>
    </row>
    <row r="5083" hidden="1">
      <c r="A5083" s="83" t="s">
        <v>6339</v>
      </c>
      <c r="B5083" s="83" t="s">
        <v>6340</v>
      </c>
      <c r="C5083" s="81" t="s">
        <v>4621</v>
      </c>
      <c r="D5083" s="83" t="s">
        <v>4136</v>
      </c>
      <c r="E5083" s="81" t="s">
        <v>478</v>
      </c>
      <c r="F5083" s="81">
        <v>56.0</v>
      </c>
      <c r="G5083" s="81" t="s">
        <v>41</v>
      </c>
      <c r="H5083" s="81" t="s">
        <v>478</v>
      </c>
      <c r="I5083" s="81" t="s">
        <v>484</v>
      </c>
      <c r="J5083" s="81" t="s">
        <v>6343</v>
      </c>
    </row>
    <row r="5084" hidden="1">
      <c r="A5084" s="83" t="s">
        <v>6339</v>
      </c>
      <c r="B5084" s="83" t="s">
        <v>6340</v>
      </c>
      <c r="C5084" s="81" t="s">
        <v>4621</v>
      </c>
      <c r="D5084" s="83" t="s">
        <v>4136</v>
      </c>
      <c r="E5084" s="81" t="s">
        <v>487</v>
      </c>
      <c r="F5084" s="81">
        <v>57.0</v>
      </c>
      <c r="G5084" s="81" t="s">
        <v>41</v>
      </c>
      <c r="H5084" s="81" t="s">
        <v>478</v>
      </c>
      <c r="I5084" s="81" t="s">
        <v>484</v>
      </c>
      <c r="J5084" s="81" t="s">
        <v>6343</v>
      </c>
    </row>
    <row r="5085" hidden="1">
      <c r="A5085" s="83" t="s">
        <v>6339</v>
      </c>
      <c r="B5085" s="83" t="s">
        <v>6340</v>
      </c>
      <c r="C5085" s="81" t="s">
        <v>4621</v>
      </c>
      <c r="D5085" s="83" t="s">
        <v>4137</v>
      </c>
      <c r="E5085" s="81" t="s">
        <v>489</v>
      </c>
      <c r="F5085" s="81">
        <v>58.0</v>
      </c>
      <c r="G5085" s="81" t="s">
        <v>41</v>
      </c>
      <c r="H5085" s="81" t="s">
        <v>478</v>
      </c>
      <c r="I5085" s="81" t="s">
        <v>484</v>
      </c>
      <c r="J5085" s="81" t="s">
        <v>6343</v>
      </c>
    </row>
    <row r="5086" hidden="1">
      <c r="A5086" s="83" t="s">
        <v>6339</v>
      </c>
      <c r="B5086" s="83" t="s">
        <v>6340</v>
      </c>
      <c r="C5086" s="81" t="s">
        <v>4621</v>
      </c>
      <c r="D5086" s="83" t="s">
        <v>4138</v>
      </c>
      <c r="E5086" s="81" t="s">
        <v>492</v>
      </c>
      <c r="F5086" s="81">
        <v>59.0</v>
      </c>
      <c r="G5086" s="81" t="s">
        <v>41</v>
      </c>
      <c r="H5086" s="81" t="s">
        <v>478</v>
      </c>
      <c r="I5086" s="81" t="s">
        <v>484</v>
      </c>
      <c r="J5086" s="81" t="s">
        <v>6343</v>
      </c>
    </row>
    <row r="5087" hidden="1">
      <c r="A5087" s="83" t="s">
        <v>6339</v>
      </c>
      <c r="B5087" s="83" t="s">
        <v>6340</v>
      </c>
      <c r="C5087" s="81" t="s">
        <v>4621</v>
      </c>
      <c r="D5087" s="83" t="s">
        <v>4139</v>
      </c>
      <c r="E5087" s="81" t="s">
        <v>494</v>
      </c>
      <c r="F5087" s="81">
        <v>60.0</v>
      </c>
      <c r="G5087" s="81" t="s">
        <v>41</v>
      </c>
      <c r="H5087" s="81" t="s">
        <v>494</v>
      </c>
      <c r="I5087" s="81" t="s">
        <v>500</v>
      </c>
      <c r="J5087" s="81" t="s">
        <v>6343</v>
      </c>
    </row>
    <row r="5088" hidden="1">
      <c r="A5088" s="83" t="s">
        <v>6339</v>
      </c>
      <c r="B5088" s="83" t="s">
        <v>6340</v>
      </c>
      <c r="C5088" s="81" t="s">
        <v>4621</v>
      </c>
      <c r="D5088" s="83" t="s">
        <v>4139</v>
      </c>
      <c r="E5088" s="81" t="s">
        <v>503</v>
      </c>
      <c r="F5088" s="81">
        <v>61.0</v>
      </c>
      <c r="G5088" s="81" t="s">
        <v>41</v>
      </c>
      <c r="H5088" s="81" t="s">
        <v>494</v>
      </c>
      <c r="I5088" s="81" t="s">
        <v>500</v>
      </c>
      <c r="J5088" s="81" t="s">
        <v>6343</v>
      </c>
    </row>
    <row r="5089" hidden="1">
      <c r="A5089" s="83" t="s">
        <v>6339</v>
      </c>
      <c r="B5089" s="83" t="s">
        <v>6340</v>
      </c>
      <c r="C5089" s="81" t="s">
        <v>4621</v>
      </c>
      <c r="D5089" s="83" t="s">
        <v>4140</v>
      </c>
      <c r="E5089" s="81" t="s">
        <v>505</v>
      </c>
      <c r="F5089" s="81">
        <v>62.0</v>
      </c>
      <c r="G5089" s="81" t="s">
        <v>41</v>
      </c>
      <c r="H5089" s="81" t="s">
        <v>494</v>
      </c>
      <c r="I5089" s="81" t="s">
        <v>500</v>
      </c>
      <c r="J5089" s="81" t="s">
        <v>6343</v>
      </c>
    </row>
    <row r="5090" hidden="1">
      <c r="A5090" s="83" t="s">
        <v>6339</v>
      </c>
      <c r="B5090" s="83" t="s">
        <v>6340</v>
      </c>
      <c r="C5090" s="81" t="s">
        <v>4621</v>
      </c>
      <c r="D5090" s="83" t="s">
        <v>4141</v>
      </c>
      <c r="E5090" s="81" t="s">
        <v>507</v>
      </c>
      <c r="F5090" s="81">
        <v>63.0</v>
      </c>
      <c r="G5090" s="81" t="s">
        <v>41</v>
      </c>
      <c r="H5090" s="81" t="s">
        <v>507</v>
      </c>
      <c r="I5090" s="81" t="s">
        <v>513</v>
      </c>
      <c r="J5090" s="81" t="s">
        <v>6343</v>
      </c>
    </row>
    <row r="5091" hidden="1">
      <c r="A5091" s="83" t="s">
        <v>6339</v>
      </c>
      <c r="B5091" s="83" t="s">
        <v>6340</v>
      </c>
      <c r="C5091" s="81" t="s">
        <v>4621</v>
      </c>
      <c r="D5091" s="83" t="s">
        <v>4141</v>
      </c>
      <c r="E5091" s="81" t="s">
        <v>516</v>
      </c>
      <c r="F5091" s="81">
        <v>64.0</v>
      </c>
      <c r="G5091" s="81" t="s">
        <v>41</v>
      </c>
      <c r="H5091" s="81" t="s">
        <v>507</v>
      </c>
      <c r="I5091" s="81" t="s">
        <v>513</v>
      </c>
      <c r="J5091" s="81" t="s">
        <v>6343</v>
      </c>
    </row>
    <row r="5092" hidden="1">
      <c r="A5092" s="83" t="s">
        <v>6339</v>
      </c>
      <c r="B5092" s="83" t="s">
        <v>6340</v>
      </c>
      <c r="C5092" s="81" t="s">
        <v>4621</v>
      </c>
      <c r="D5092" s="83" t="s">
        <v>4142</v>
      </c>
      <c r="E5092" s="81" t="s">
        <v>518</v>
      </c>
      <c r="F5092" s="81">
        <v>65.0</v>
      </c>
      <c r="G5092" s="81" t="s">
        <v>41</v>
      </c>
      <c r="H5092" s="81" t="s">
        <v>4143</v>
      </c>
      <c r="I5092" s="81" t="s">
        <v>522</v>
      </c>
      <c r="J5092" s="81" t="s">
        <v>6343</v>
      </c>
    </row>
    <row r="5093" hidden="1">
      <c r="A5093" s="83" t="s">
        <v>6339</v>
      </c>
      <c r="B5093" s="83" t="s">
        <v>6340</v>
      </c>
      <c r="C5093" s="81" t="s">
        <v>4621</v>
      </c>
      <c r="D5093" s="83" t="s">
        <v>4144</v>
      </c>
      <c r="E5093" s="81" t="s">
        <v>523</v>
      </c>
      <c r="F5093" s="81">
        <v>66.0</v>
      </c>
      <c r="G5093" s="81" t="s">
        <v>41</v>
      </c>
      <c r="H5093" s="81" t="s">
        <v>523</v>
      </c>
      <c r="I5093" s="81" t="s">
        <v>527</v>
      </c>
      <c r="J5093" s="81" t="s">
        <v>6343</v>
      </c>
    </row>
    <row r="5094" hidden="1">
      <c r="A5094" s="83" t="s">
        <v>6339</v>
      </c>
      <c r="B5094" s="83" t="s">
        <v>6340</v>
      </c>
      <c r="C5094" s="81" t="s">
        <v>4621</v>
      </c>
      <c r="D5094" s="83" t="s">
        <v>4144</v>
      </c>
      <c r="E5094" s="81" t="s">
        <v>530</v>
      </c>
      <c r="F5094" s="81">
        <v>67.0</v>
      </c>
      <c r="G5094" s="81" t="s">
        <v>41</v>
      </c>
      <c r="H5094" s="81" t="s">
        <v>523</v>
      </c>
      <c r="I5094" s="81" t="s">
        <v>527</v>
      </c>
      <c r="J5094" s="81" t="s">
        <v>6343</v>
      </c>
    </row>
    <row r="5095" hidden="1">
      <c r="A5095" s="83" t="s">
        <v>6339</v>
      </c>
      <c r="B5095" s="83" t="s">
        <v>6340</v>
      </c>
      <c r="C5095" s="81" t="s">
        <v>4621</v>
      </c>
      <c r="D5095" s="83" t="s">
        <v>4145</v>
      </c>
      <c r="E5095" s="81" t="s">
        <v>531</v>
      </c>
      <c r="F5095" s="81">
        <v>68.0</v>
      </c>
      <c r="G5095" s="81" t="s">
        <v>41</v>
      </c>
      <c r="H5095" s="81" t="s">
        <v>523</v>
      </c>
      <c r="I5095" s="81" t="s">
        <v>527</v>
      </c>
      <c r="J5095" s="81" t="s">
        <v>6343</v>
      </c>
    </row>
    <row r="5096" hidden="1">
      <c r="A5096" s="83" t="s">
        <v>6339</v>
      </c>
      <c r="B5096" s="83" t="s">
        <v>6340</v>
      </c>
      <c r="C5096" s="81" t="s">
        <v>4621</v>
      </c>
      <c r="D5096" s="83" t="s">
        <v>4146</v>
      </c>
      <c r="E5096" s="81" t="s">
        <v>533</v>
      </c>
      <c r="F5096" s="81">
        <v>69.0</v>
      </c>
      <c r="G5096" s="81" t="s">
        <v>41</v>
      </c>
      <c r="H5096" s="81" t="s">
        <v>533</v>
      </c>
      <c r="I5096" s="81" t="s">
        <v>539</v>
      </c>
      <c r="J5096" s="81" t="s">
        <v>6343</v>
      </c>
    </row>
    <row r="5097" hidden="1">
      <c r="A5097" s="83" t="s">
        <v>6339</v>
      </c>
      <c r="B5097" s="83" t="s">
        <v>6340</v>
      </c>
      <c r="C5097" s="81" t="s">
        <v>4621</v>
      </c>
      <c r="D5097" s="83" t="s">
        <v>4147</v>
      </c>
      <c r="E5097" s="81" t="s">
        <v>542</v>
      </c>
      <c r="F5097" s="81">
        <v>70.0</v>
      </c>
      <c r="G5097" s="81" t="s">
        <v>41</v>
      </c>
      <c r="H5097" s="81" t="s">
        <v>533</v>
      </c>
      <c r="I5097" s="81" t="s">
        <v>539</v>
      </c>
      <c r="J5097" s="81" t="s">
        <v>6343</v>
      </c>
    </row>
    <row r="5098" hidden="1">
      <c r="A5098" s="83" t="s">
        <v>6339</v>
      </c>
      <c r="B5098" s="83" t="s">
        <v>6340</v>
      </c>
      <c r="C5098" s="81" t="s">
        <v>4621</v>
      </c>
      <c r="D5098" s="83" t="s">
        <v>4148</v>
      </c>
      <c r="E5098" s="81" t="s">
        <v>545</v>
      </c>
      <c r="F5098" s="81">
        <v>71.0</v>
      </c>
      <c r="G5098" s="81" t="s">
        <v>41</v>
      </c>
      <c r="H5098" s="81" t="s">
        <v>545</v>
      </c>
      <c r="I5098" s="81" t="s">
        <v>551</v>
      </c>
      <c r="J5098" s="81" t="s">
        <v>6343</v>
      </c>
    </row>
    <row r="5099" hidden="1">
      <c r="A5099" s="83" t="s">
        <v>6339</v>
      </c>
      <c r="B5099" s="83" t="s">
        <v>6340</v>
      </c>
      <c r="C5099" s="81" t="s">
        <v>4621</v>
      </c>
      <c r="D5099" s="83" t="s">
        <v>4148</v>
      </c>
      <c r="E5099" s="81" t="s">
        <v>552</v>
      </c>
      <c r="F5099" s="81">
        <v>72.0</v>
      </c>
      <c r="G5099" s="81" t="s">
        <v>41</v>
      </c>
      <c r="H5099" s="81" t="s">
        <v>545</v>
      </c>
      <c r="I5099" s="81" t="s">
        <v>551</v>
      </c>
      <c r="J5099" s="81" t="s">
        <v>6343</v>
      </c>
    </row>
    <row r="5100" hidden="1">
      <c r="A5100" s="83" t="s">
        <v>6339</v>
      </c>
      <c r="B5100" s="83" t="s">
        <v>6340</v>
      </c>
      <c r="C5100" s="81" t="s">
        <v>4621</v>
      </c>
      <c r="D5100" s="83" t="s">
        <v>4149</v>
      </c>
      <c r="E5100" s="81" t="s">
        <v>554</v>
      </c>
      <c r="F5100" s="81">
        <v>73.0</v>
      </c>
      <c r="G5100" s="81" t="s">
        <v>41</v>
      </c>
      <c r="H5100" s="81" t="s">
        <v>545</v>
      </c>
      <c r="I5100" s="81" t="s">
        <v>551</v>
      </c>
      <c r="J5100" s="81" t="s">
        <v>6343</v>
      </c>
    </row>
    <row r="5101" hidden="1">
      <c r="A5101" s="83" t="s">
        <v>6339</v>
      </c>
      <c r="B5101" s="83" t="s">
        <v>6340</v>
      </c>
      <c r="C5101" s="81" t="s">
        <v>4621</v>
      </c>
      <c r="D5101" s="83" t="s">
        <v>4150</v>
      </c>
      <c r="E5101" s="81" t="s">
        <v>556</v>
      </c>
      <c r="F5101" s="81">
        <v>74.0</v>
      </c>
      <c r="G5101" s="81" t="s">
        <v>41</v>
      </c>
      <c r="H5101" s="81" t="s">
        <v>556</v>
      </c>
      <c r="I5101" s="81" t="s">
        <v>562</v>
      </c>
      <c r="J5101" s="81" t="s">
        <v>6343</v>
      </c>
    </row>
    <row r="5102" hidden="1">
      <c r="A5102" s="83" t="s">
        <v>6339</v>
      </c>
      <c r="B5102" s="83" t="s">
        <v>6340</v>
      </c>
      <c r="C5102" s="81" t="s">
        <v>4621</v>
      </c>
      <c r="D5102" s="83" t="s">
        <v>4150</v>
      </c>
      <c r="E5102" s="81" t="s">
        <v>565</v>
      </c>
      <c r="F5102" s="81">
        <v>75.0</v>
      </c>
      <c r="G5102" s="81" t="s">
        <v>41</v>
      </c>
      <c r="H5102" s="81" t="s">
        <v>556</v>
      </c>
      <c r="I5102" s="81" t="s">
        <v>562</v>
      </c>
      <c r="J5102" s="81" t="s">
        <v>6343</v>
      </c>
    </row>
    <row r="5103" hidden="1">
      <c r="A5103" s="83" t="s">
        <v>6339</v>
      </c>
      <c r="B5103" s="83" t="s">
        <v>6340</v>
      </c>
      <c r="C5103" s="81" t="s">
        <v>4621</v>
      </c>
      <c r="D5103" s="83" t="s">
        <v>4151</v>
      </c>
      <c r="E5103" s="81" t="s">
        <v>567</v>
      </c>
      <c r="F5103" s="81">
        <v>76.0</v>
      </c>
      <c r="G5103" s="81" t="s">
        <v>41</v>
      </c>
      <c r="H5103" s="81" t="s">
        <v>556</v>
      </c>
      <c r="I5103" s="81" t="s">
        <v>562</v>
      </c>
      <c r="J5103" s="81" t="s">
        <v>6343</v>
      </c>
    </row>
    <row r="5104" hidden="1">
      <c r="A5104" s="83" t="s">
        <v>6339</v>
      </c>
      <c r="B5104" s="83" t="s">
        <v>6340</v>
      </c>
      <c r="C5104" s="81" t="s">
        <v>4621</v>
      </c>
      <c r="D5104" s="83" t="s">
        <v>4152</v>
      </c>
      <c r="E5104" s="81" t="s">
        <v>569</v>
      </c>
      <c r="F5104" s="81">
        <v>77.0</v>
      </c>
      <c r="G5104" s="81" t="s">
        <v>41</v>
      </c>
      <c r="H5104" s="81" t="s">
        <v>556</v>
      </c>
      <c r="I5104" s="81" t="s">
        <v>562</v>
      </c>
      <c r="J5104" s="81" t="s">
        <v>6343</v>
      </c>
    </row>
    <row r="5105" hidden="1">
      <c r="A5105" s="83" t="s">
        <v>6339</v>
      </c>
      <c r="B5105" s="83" t="s">
        <v>6340</v>
      </c>
      <c r="C5105" s="81" t="s">
        <v>4621</v>
      </c>
      <c r="D5105" s="83" t="s">
        <v>4153</v>
      </c>
      <c r="E5105" s="81" t="s">
        <v>571</v>
      </c>
      <c r="F5105" s="81">
        <v>78.0</v>
      </c>
      <c r="G5105" s="81" t="s">
        <v>41</v>
      </c>
      <c r="H5105" s="81" t="s">
        <v>556</v>
      </c>
      <c r="I5105" s="81" t="s">
        <v>562</v>
      </c>
      <c r="J5105" s="81" t="s">
        <v>6343</v>
      </c>
    </row>
    <row r="5106" hidden="1">
      <c r="A5106" s="83" t="s">
        <v>6339</v>
      </c>
      <c r="B5106" s="83" t="s">
        <v>6340</v>
      </c>
      <c r="C5106" s="81" t="s">
        <v>4621</v>
      </c>
      <c r="D5106" s="83" t="s">
        <v>4154</v>
      </c>
      <c r="E5106" s="81" t="s">
        <v>576</v>
      </c>
      <c r="F5106" s="81">
        <v>79.0</v>
      </c>
      <c r="G5106" s="81" t="s">
        <v>41</v>
      </c>
      <c r="H5106" s="81" t="s">
        <v>576</v>
      </c>
      <c r="I5106" s="81" t="s">
        <v>580</v>
      </c>
      <c r="J5106" s="81" t="s">
        <v>6343</v>
      </c>
    </row>
    <row r="5107" hidden="1">
      <c r="A5107" s="83" t="s">
        <v>6339</v>
      </c>
      <c r="B5107" s="83" t="s">
        <v>6340</v>
      </c>
      <c r="C5107" s="81" t="s">
        <v>4621</v>
      </c>
      <c r="D5107" s="83" t="s">
        <v>4155</v>
      </c>
      <c r="E5107" s="81" t="s">
        <v>581</v>
      </c>
      <c r="F5107" s="81">
        <v>80.0</v>
      </c>
      <c r="G5107" s="81" t="s">
        <v>41</v>
      </c>
      <c r="H5107" s="81" t="s">
        <v>576</v>
      </c>
      <c r="I5107" s="81" t="s">
        <v>580</v>
      </c>
      <c r="J5107" s="81" t="s">
        <v>6343</v>
      </c>
    </row>
    <row r="5108" hidden="1">
      <c r="A5108" s="83" t="s">
        <v>6339</v>
      </c>
      <c r="B5108" s="83" t="s">
        <v>6340</v>
      </c>
      <c r="C5108" s="81" t="s">
        <v>4621</v>
      </c>
      <c r="D5108" s="83" t="s">
        <v>4156</v>
      </c>
      <c r="E5108" s="81" t="s">
        <v>583</v>
      </c>
      <c r="F5108" s="81">
        <v>81.0</v>
      </c>
      <c r="G5108" s="81" t="s">
        <v>41</v>
      </c>
      <c r="H5108" s="81" t="s">
        <v>576</v>
      </c>
      <c r="I5108" s="81" t="s">
        <v>580</v>
      </c>
      <c r="J5108" s="81" t="s">
        <v>6343</v>
      </c>
    </row>
    <row r="5109" hidden="1">
      <c r="A5109" s="83" t="s">
        <v>6339</v>
      </c>
      <c r="B5109" s="83" t="s">
        <v>6340</v>
      </c>
      <c r="C5109" s="81" t="s">
        <v>4621</v>
      </c>
      <c r="D5109" s="83" t="s">
        <v>4157</v>
      </c>
      <c r="E5109" s="81" t="s">
        <v>585</v>
      </c>
      <c r="F5109" s="81">
        <v>82.0</v>
      </c>
      <c r="G5109" s="81" t="s">
        <v>41</v>
      </c>
      <c r="H5109" s="81" t="s">
        <v>576</v>
      </c>
      <c r="I5109" s="81" t="s">
        <v>580</v>
      </c>
      <c r="J5109" s="81" t="s">
        <v>6343</v>
      </c>
    </row>
    <row r="5110" hidden="1">
      <c r="A5110" s="83" t="s">
        <v>6339</v>
      </c>
      <c r="B5110" s="83" t="s">
        <v>6340</v>
      </c>
      <c r="C5110" s="81" t="s">
        <v>4621</v>
      </c>
      <c r="D5110" s="83" t="s">
        <v>4158</v>
      </c>
      <c r="E5110" s="81" t="s">
        <v>589</v>
      </c>
      <c r="F5110" s="81">
        <v>83.0</v>
      </c>
      <c r="G5110" s="81" t="s">
        <v>41</v>
      </c>
      <c r="H5110" s="81" t="s">
        <v>576</v>
      </c>
      <c r="I5110" s="81" t="s">
        <v>580</v>
      </c>
      <c r="J5110" s="81" t="s">
        <v>6343</v>
      </c>
    </row>
    <row r="5111" hidden="1">
      <c r="A5111" s="83" t="s">
        <v>6339</v>
      </c>
      <c r="B5111" s="83" t="s">
        <v>6340</v>
      </c>
      <c r="C5111" s="81" t="s">
        <v>4621</v>
      </c>
      <c r="D5111" s="83" t="s">
        <v>4159</v>
      </c>
      <c r="E5111" s="81" t="s">
        <v>591</v>
      </c>
      <c r="F5111" s="81">
        <v>84.0</v>
      </c>
      <c r="G5111" s="81" t="s">
        <v>41</v>
      </c>
      <c r="H5111" s="81" t="s">
        <v>576</v>
      </c>
      <c r="I5111" s="81" t="s">
        <v>580</v>
      </c>
      <c r="J5111" s="81" t="s">
        <v>6343</v>
      </c>
    </row>
    <row r="5112" hidden="1">
      <c r="A5112" s="83" t="s">
        <v>6339</v>
      </c>
      <c r="B5112" s="83" t="s">
        <v>6340</v>
      </c>
      <c r="C5112" s="81" t="s">
        <v>4621</v>
      </c>
      <c r="D5112" s="83" t="s">
        <v>4160</v>
      </c>
      <c r="E5112" s="81" t="s">
        <v>593</v>
      </c>
      <c r="F5112" s="81">
        <v>85.0</v>
      </c>
      <c r="G5112" s="81" t="s">
        <v>41</v>
      </c>
      <c r="H5112" s="81" t="s">
        <v>4161</v>
      </c>
      <c r="I5112" s="81" t="s">
        <v>596</v>
      </c>
      <c r="J5112" s="81" t="s">
        <v>6343</v>
      </c>
    </row>
    <row r="5113" hidden="1">
      <c r="A5113" s="83" t="s">
        <v>6339</v>
      </c>
      <c r="B5113" s="83" t="s">
        <v>6340</v>
      </c>
      <c r="C5113" s="81" t="s">
        <v>4621</v>
      </c>
      <c r="D5113" s="83" t="s">
        <v>4162</v>
      </c>
      <c r="E5113" s="81" t="s">
        <v>599</v>
      </c>
      <c r="F5113" s="81">
        <v>86.0</v>
      </c>
      <c r="G5113" s="81" t="s">
        <v>41</v>
      </c>
      <c r="H5113" s="81" t="s">
        <v>599</v>
      </c>
      <c r="I5113" s="81" t="s">
        <v>603</v>
      </c>
      <c r="J5113" s="81" t="s">
        <v>6343</v>
      </c>
    </row>
    <row r="5114" hidden="1">
      <c r="A5114" s="83" t="s">
        <v>6339</v>
      </c>
      <c r="B5114" s="83" t="s">
        <v>6340</v>
      </c>
      <c r="C5114" s="81" t="s">
        <v>4621</v>
      </c>
      <c r="D5114" s="83" t="s">
        <v>4162</v>
      </c>
      <c r="E5114" s="81" t="s">
        <v>604</v>
      </c>
      <c r="F5114" s="81">
        <v>87.0</v>
      </c>
      <c r="G5114" s="81" t="s">
        <v>41</v>
      </c>
      <c r="H5114" s="81" t="s">
        <v>599</v>
      </c>
      <c r="I5114" s="81" t="s">
        <v>603</v>
      </c>
      <c r="J5114" s="81" t="s">
        <v>6343</v>
      </c>
    </row>
    <row r="5115" hidden="1">
      <c r="A5115" s="83" t="s">
        <v>6339</v>
      </c>
      <c r="B5115" s="83" t="s">
        <v>6340</v>
      </c>
      <c r="C5115" s="81" t="s">
        <v>4621</v>
      </c>
      <c r="D5115" s="83" t="s">
        <v>4163</v>
      </c>
      <c r="E5115" s="81" t="s">
        <v>605</v>
      </c>
      <c r="F5115" s="81">
        <v>88.0</v>
      </c>
      <c r="G5115" s="81" t="s">
        <v>41</v>
      </c>
      <c r="H5115" s="81" t="s">
        <v>599</v>
      </c>
      <c r="I5115" s="81" t="s">
        <v>603</v>
      </c>
      <c r="J5115" s="81" t="s">
        <v>6343</v>
      </c>
    </row>
    <row r="5116" hidden="1">
      <c r="A5116" s="83" t="s">
        <v>6339</v>
      </c>
      <c r="B5116" s="83" t="s">
        <v>6340</v>
      </c>
      <c r="C5116" s="81" t="s">
        <v>4621</v>
      </c>
      <c r="D5116" s="83" t="s">
        <v>4164</v>
      </c>
      <c r="E5116" s="81" t="s">
        <v>607</v>
      </c>
      <c r="F5116" s="81">
        <v>89.0</v>
      </c>
      <c r="G5116" s="81" t="s">
        <v>41</v>
      </c>
      <c r="H5116" s="81" t="s">
        <v>607</v>
      </c>
      <c r="I5116" s="81" t="s">
        <v>612</v>
      </c>
      <c r="J5116" s="81" t="s">
        <v>6343</v>
      </c>
    </row>
    <row r="5117" hidden="1">
      <c r="A5117" s="83" t="s">
        <v>6339</v>
      </c>
      <c r="B5117" s="83" t="s">
        <v>6340</v>
      </c>
      <c r="C5117" s="81" t="s">
        <v>4621</v>
      </c>
      <c r="D5117" s="83" t="s">
        <v>4165</v>
      </c>
      <c r="E5117" s="81" t="s">
        <v>615</v>
      </c>
      <c r="F5117" s="81">
        <v>90.0</v>
      </c>
      <c r="G5117" s="81" t="s">
        <v>41</v>
      </c>
      <c r="H5117" s="81" t="s">
        <v>607</v>
      </c>
      <c r="I5117" s="81" t="s">
        <v>612</v>
      </c>
      <c r="J5117" s="81" t="s">
        <v>6343</v>
      </c>
    </row>
    <row r="5118" hidden="1">
      <c r="A5118" s="83" t="s">
        <v>6339</v>
      </c>
      <c r="B5118" s="83" t="s">
        <v>6340</v>
      </c>
      <c r="C5118" s="81" t="s">
        <v>4621</v>
      </c>
      <c r="D5118" s="83" t="s">
        <v>4166</v>
      </c>
      <c r="E5118" s="81" t="s">
        <v>617</v>
      </c>
      <c r="F5118" s="81">
        <v>91.0</v>
      </c>
      <c r="G5118" s="81" t="s">
        <v>41</v>
      </c>
      <c r="H5118" s="81" t="s">
        <v>607</v>
      </c>
      <c r="I5118" s="81" t="s">
        <v>612</v>
      </c>
      <c r="J5118" s="81" t="s">
        <v>6343</v>
      </c>
    </row>
    <row r="5119" hidden="1">
      <c r="A5119" s="83" t="s">
        <v>6339</v>
      </c>
      <c r="B5119" s="83" t="s">
        <v>6340</v>
      </c>
      <c r="C5119" s="81" t="s">
        <v>4621</v>
      </c>
      <c r="D5119" s="83" t="s">
        <v>4167</v>
      </c>
      <c r="E5119" s="81" t="s">
        <v>619</v>
      </c>
      <c r="F5119" s="81">
        <v>92.0</v>
      </c>
      <c r="G5119" s="81" t="s">
        <v>41</v>
      </c>
      <c r="H5119" s="81" t="s">
        <v>4168</v>
      </c>
      <c r="I5119" s="81" t="s">
        <v>623</v>
      </c>
      <c r="J5119" s="81" t="s">
        <v>6343</v>
      </c>
    </row>
    <row r="5120" hidden="1">
      <c r="A5120" s="83" t="s">
        <v>6339</v>
      </c>
      <c r="B5120" s="83" t="s">
        <v>6340</v>
      </c>
      <c r="C5120" s="81" t="s">
        <v>4621</v>
      </c>
      <c r="D5120" s="83" t="s">
        <v>4169</v>
      </c>
      <c r="E5120" s="81" t="s">
        <v>624</v>
      </c>
      <c r="F5120" s="81">
        <v>93.0</v>
      </c>
      <c r="G5120" s="81" t="s">
        <v>41</v>
      </c>
      <c r="H5120" s="81" t="s">
        <v>470</v>
      </c>
      <c r="I5120" s="81" t="s">
        <v>474</v>
      </c>
      <c r="J5120" s="81" t="s">
        <v>6343</v>
      </c>
    </row>
    <row r="5121" hidden="1">
      <c r="A5121" s="83" t="s">
        <v>6339</v>
      </c>
      <c r="B5121" s="83" t="s">
        <v>6340</v>
      </c>
      <c r="C5121" s="81" t="s">
        <v>4621</v>
      </c>
      <c r="D5121" s="83" t="s">
        <v>4170</v>
      </c>
      <c r="E5121" s="81" t="s">
        <v>627</v>
      </c>
      <c r="F5121" s="81">
        <v>94.0</v>
      </c>
      <c r="G5121" s="81" t="s">
        <v>41</v>
      </c>
      <c r="H5121" s="81" t="s">
        <v>470</v>
      </c>
      <c r="I5121" s="81" t="s">
        <v>474</v>
      </c>
      <c r="J5121" s="81" t="s">
        <v>6343</v>
      </c>
    </row>
    <row r="5122" hidden="1">
      <c r="A5122" s="83" t="s">
        <v>6339</v>
      </c>
      <c r="B5122" s="83" t="s">
        <v>6340</v>
      </c>
      <c r="C5122" s="81" t="s">
        <v>4621</v>
      </c>
      <c r="D5122" s="83" t="s">
        <v>4171</v>
      </c>
      <c r="E5122" s="81" t="s">
        <v>629</v>
      </c>
      <c r="F5122" s="81">
        <v>95.0</v>
      </c>
      <c r="G5122" s="81" t="s">
        <v>41</v>
      </c>
      <c r="H5122" s="81" t="s">
        <v>523</v>
      </c>
      <c r="I5122" s="81" t="s">
        <v>527</v>
      </c>
      <c r="J5122" s="81" t="s">
        <v>6343</v>
      </c>
    </row>
    <row r="5123" hidden="1">
      <c r="A5123" s="83" t="s">
        <v>6339</v>
      </c>
      <c r="B5123" s="83" t="s">
        <v>6340</v>
      </c>
      <c r="C5123" s="81" t="s">
        <v>4621</v>
      </c>
      <c r="D5123" s="83" t="s">
        <v>4172</v>
      </c>
      <c r="E5123" s="81" t="s">
        <v>632</v>
      </c>
      <c r="F5123" s="81">
        <v>96.0</v>
      </c>
      <c r="G5123" s="81" t="s">
        <v>41</v>
      </c>
      <c r="H5123" s="81" t="s">
        <v>632</v>
      </c>
      <c r="I5123" s="81" t="s">
        <v>639</v>
      </c>
      <c r="J5123" s="81" t="s">
        <v>6343</v>
      </c>
    </row>
    <row r="5124" hidden="1">
      <c r="A5124" s="83" t="s">
        <v>6339</v>
      </c>
      <c r="B5124" s="83" t="s">
        <v>6340</v>
      </c>
      <c r="C5124" s="81" t="s">
        <v>4621</v>
      </c>
      <c r="D5124" s="83" t="s">
        <v>4172</v>
      </c>
      <c r="E5124" s="81" t="s">
        <v>642</v>
      </c>
      <c r="F5124" s="81">
        <v>97.0</v>
      </c>
      <c r="G5124" s="81" t="s">
        <v>41</v>
      </c>
      <c r="H5124" s="81" t="s">
        <v>632</v>
      </c>
      <c r="I5124" s="81" t="s">
        <v>639</v>
      </c>
      <c r="J5124" s="81" t="s">
        <v>6343</v>
      </c>
    </row>
    <row r="5125" hidden="1">
      <c r="A5125" s="83" t="s">
        <v>6339</v>
      </c>
      <c r="B5125" s="83" t="s">
        <v>6340</v>
      </c>
      <c r="C5125" s="81" t="s">
        <v>4621</v>
      </c>
      <c r="D5125" s="83" t="s">
        <v>4173</v>
      </c>
      <c r="E5125" s="81" t="s">
        <v>644</v>
      </c>
      <c r="F5125" s="81">
        <v>98.0</v>
      </c>
      <c r="G5125" s="81" t="s">
        <v>41</v>
      </c>
      <c r="H5125" s="81" t="s">
        <v>632</v>
      </c>
      <c r="I5125" s="81" t="s">
        <v>639</v>
      </c>
      <c r="J5125" s="81" t="s">
        <v>6343</v>
      </c>
    </row>
    <row r="5126" hidden="1">
      <c r="A5126" s="83" t="s">
        <v>6339</v>
      </c>
      <c r="B5126" s="83" t="s">
        <v>6340</v>
      </c>
      <c r="C5126" s="81" t="s">
        <v>4621</v>
      </c>
      <c r="D5126" s="83" t="s">
        <v>4174</v>
      </c>
      <c r="E5126" s="81" t="s">
        <v>646</v>
      </c>
      <c r="F5126" s="81">
        <v>99.0</v>
      </c>
      <c r="G5126" s="81" t="s">
        <v>41</v>
      </c>
      <c r="H5126" s="81" t="s">
        <v>4175</v>
      </c>
      <c r="I5126" s="81" t="s">
        <v>652</v>
      </c>
      <c r="J5126" s="81" t="s">
        <v>6343</v>
      </c>
    </row>
    <row r="5127" hidden="1">
      <c r="A5127" s="83" t="s">
        <v>6339</v>
      </c>
      <c r="B5127" s="83" t="s">
        <v>6340</v>
      </c>
      <c r="C5127" s="81" t="s">
        <v>4621</v>
      </c>
      <c r="D5127" s="83" t="s">
        <v>4176</v>
      </c>
      <c r="E5127" s="81" t="s">
        <v>653</v>
      </c>
      <c r="F5127" s="81">
        <v>100.0</v>
      </c>
      <c r="G5127" s="81" t="s">
        <v>41</v>
      </c>
      <c r="H5127" s="81" t="s">
        <v>4175</v>
      </c>
      <c r="I5127" s="81" t="s">
        <v>652</v>
      </c>
      <c r="J5127" s="81" t="s">
        <v>6343</v>
      </c>
    </row>
    <row r="5128" hidden="1">
      <c r="A5128" s="83" t="s">
        <v>6339</v>
      </c>
      <c r="B5128" s="83" t="s">
        <v>6340</v>
      </c>
      <c r="C5128" s="81" t="s">
        <v>4621</v>
      </c>
      <c r="D5128" s="83" t="s">
        <v>4177</v>
      </c>
      <c r="E5128" s="81" t="s">
        <v>655</v>
      </c>
      <c r="F5128" s="81">
        <v>101.0</v>
      </c>
      <c r="G5128" s="81" t="s">
        <v>41</v>
      </c>
      <c r="H5128" s="81" t="s">
        <v>655</v>
      </c>
      <c r="I5128" s="81" t="s">
        <v>659</v>
      </c>
      <c r="J5128" s="81" t="s">
        <v>6343</v>
      </c>
    </row>
    <row r="5129" hidden="1">
      <c r="A5129" s="83" t="s">
        <v>6339</v>
      </c>
      <c r="B5129" s="83" t="s">
        <v>6340</v>
      </c>
      <c r="C5129" s="81" t="s">
        <v>4621</v>
      </c>
      <c r="D5129" s="83" t="s">
        <v>4177</v>
      </c>
      <c r="E5129" s="81" t="s">
        <v>660</v>
      </c>
      <c r="F5129" s="81">
        <v>102.0</v>
      </c>
      <c r="G5129" s="81" t="s">
        <v>41</v>
      </c>
      <c r="H5129" s="81" t="s">
        <v>655</v>
      </c>
      <c r="I5129" s="81" t="s">
        <v>659</v>
      </c>
      <c r="J5129" s="81" t="s">
        <v>6343</v>
      </c>
    </row>
    <row r="5130" hidden="1">
      <c r="A5130" s="83" t="s">
        <v>6339</v>
      </c>
      <c r="B5130" s="83" t="s">
        <v>6340</v>
      </c>
      <c r="C5130" s="81" t="s">
        <v>4621</v>
      </c>
      <c r="D5130" s="83" t="s">
        <v>4178</v>
      </c>
      <c r="E5130" s="81" t="s">
        <v>661</v>
      </c>
      <c r="F5130" s="81">
        <v>103.0</v>
      </c>
      <c r="G5130" s="81" t="s">
        <v>41</v>
      </c>
      <c r="H5130" s="81" t="s">
        <v>655</v>
      </c>
      <c r="I5130" s="81" t="s">
        <v>659</v>
      </c>
      <c r="J5130" s="81" t="s">
        <v>6343</v>
      </c>
    </row>
    <row r="5131" hidden="1">
      <c r="A5131" s="83" t="s">
        <v>6339</v>
      </c>
      <c r="B5131" s="83" t="s">
        <v>6340</v>
      </c>
      <c r="C5131" s="81" t="s">
        <v>4621</v>
      </c>
      <c r="D5131" s="83" t="s">
        <v>4179</v>
      </c>
      <c r="E5131" s="81" t="s">
        <v>663</v>
      </c>
      <c r="F5131" s="81">
        <v>104.0</v>
      </c>
      <c r="G5131" s="81" t="s">
        <v>41</v>
      </c>
      <c r="H5131" s="81" t="s">
        <v>104</v>
      </c>
      <c r="I5131" s="81" t="s">
        <v>116</v>
      </c>
      <c r="J5131" s="81" t="s">
        <v>6343</v>
      </c>
    </row>
    <row r="5132" hidden="1">
      <c r="A5132" s="83" t="s">
        <v>6339</v>
      </c>
      <c r="B5132" s="83" t="s">
        <v>6340</v>
      </c>
      <c r="C5132" s="81" t="s">
        <v>4621</v>
      </c>
      <c r="D5132" s="83" t="s">
        <v>4180</v>
      </c>
      <c r="E5132" s="81" t="s">
        <v>666</v>
      </c>
      <c r="F5132" s="81">
        <v>105.0</v>
      </c>
      <c r="G5132" s="81" t="s">
        <v>41</v>
      </c>
      <c r="H5132" s="81" t="s">
        <v>556</v>
      </c>
      <c r="I5132" s="81" t="s">
        <v>562</v>
      </c>
      <c r="J5132" s="81" t="s">
        <v>6343</v>
      </c>
    </row>
    <row r="5133" hidden="1">
      <c r="A5133" s="83" t="s">
        <v>6339</v>
      </c>
      <c r="B5133" s="83" t="s">
        <v>6340</v>
      </c>
      <c r="C5133" s="81" t="s">
        <v>4621</v>
      </c>
      <c r="D5133" s="83" t="s">
        <v>4181</v>
      </c>
      <c r="E5133" s="81" t="s">
        <v>671</v>
      </c>
      <c r="F5133" s="81">
        <v>106.0</v>
      </c>
      <c r="G5133" s="81" t="s">
        <v>41</v>
      </c>
      <c r="H5133" s="81" t="s">
        <v>556</v>
      </c>
      <c r="I5133" s="81" t="s">
        <v>562</v>
      </c>
      <c r="J5133" s="81" t="s">
        <v>6343</v>
      </c>
    </row>
    <row r="5134" hidden="1">
      <c r="A5134" s="83" t="s">
        <v>6339</v>
      </c>
      <c r="B5134" s="83" t="s">
        <v>6340</v>
      </c>
      <c r="C5134" s="81" t="s">
        <v>4621</v>
      </c>
      <c r="D5134" s="83" t="s">
        <v>4182</v>
      </c>
      <c r="E5134" s="81" t="s">
        <v>673</v>
      </c>
      <c r="F5134" s="81">
        <v>107.0</v>
      </c>
      <c r="G5134" s="81" t="s">
        <v>41</v>
      </c>
      <c r="H5134" s="81" t="s">
        <v>632</v>
      </c>
      <c r="I5134" s="81" t="s">
        <v>639</v>
      </c>
      <c r="J5134" s="81" t="s">
        <v>6343</v>
      </c>
    </row>
    <row r="5135" hidden="1">
      <c r="A5135" s="83" t="s">
        <v>6339</v>
      </c>
      <c r="B5135" s="83" t="s">
        <v>6340</v>
      </c>
      <c r="C5135" s="81" t="s">
        <v>4621</v>
      </c>
      <c r="D5135" s="83" t="s">
        <v>4183</v>
      </c>
      <c r="E5135" s="81" t="s">
        <v>675</v>
      </c>
      <c r="F5135" s="81">
        <v>108.0</v>
      </c>
      <c r="G5135" s="81" t="s">
        <v>41</v>
      </c>
      <c r="H5135" s="81" t="s">
        <v>675</v>
      </c>
      <c r="I5135" s="81" t="s">
        <v>680</v>
      </c>
      <c r="J5135" s="81" t="s">
        <v>6343</v>
      </c>
    </row>
    <row r="5136" hidden="1">
      <c r="A5136" s="83" t="s">
        <v>6339</v>
      </c>
      <c r="B5136" s="83" t="s">
        <v>6340</v>
      </c>
      <c r="C5136" s="81" t="s">
        <v>4621</v>
      </c>
      <c r="D5136" s="83" t="s">
        <v>4183</v>
      </c>
      <c r="E5136" s="81" t="s">
        <v>681</v>
      </c>
      <c r="F5136" s="81">
        <v>109.0</v>
      </c>
      <c r="G5136" s="81" t="s">
        <v>41</v>
      </c>
      <c r="H5136" s="81" t="s">
        <v>675</v>
      </c>
      <c r="I5136" s="81" t="s">
        <v>680</v>
      </c>
      <c r="J5136" s="81" t="s">
        <v>6343</v>
      </c>
    </row>
    <row r="5137" hidden="1">
      <c r="A5137" s="83" t="s">
        <v>6339</v>
      </c>
      <c r="B5137" s="83" t="s">
        <v>6340</v>
      </c>
      <c r="C5137" s="81" t="s">
        <v>4621</v>
      </c>
      <c r="D5137" s="83" t="s">
        <v>4184</v>
      </c>
      <c r="E5137" s="81" t="s">
        <v>683</v>
      </c>
      <c r="F5137" s="81">
        <v>110.0</v>
      </c>
      <c r="G5137" s="81" t="s">
        <v>41</v>
      </c>
      <c r="H5137" s="81" t="s">
        <v>675</v>
      </c>
      <c r="I5137" s="81" t="s">
        <v>680</v>
      </c>
      <c r="J5137" s="81" t="s">
        <v>6343</v>
      </c>
    </row>
    <row r="5138" hidden="1">
      <c r="A5138" s="83" t="s">
        <v>6339</v>
      </c>
      <c r="B5138" s="83" t="s">
        <v>6340</v>
      </c>
      <c r="C5138" s="81" t="s">
        <v>4621</v>
      </c>
      <c r="D5138" s="83" t="s">
        <v>4185</v>
      </c>
      <c r="E5138" s="81" t="s">
        <v>685</v>
      </c>
      <c r="F5138" s="81">
        <v>111.0</v>
      </c>
      <c r="G5138" s="81" t="s">
        <v>41</v>
      </c>
      <c r="H5138" s="81" t="s">
        <v>685</v>
      </c>
      <c r="I5138" s="81" t="s">
        <v>689</v>
      </c>
      <c r="J5138" s="81" t="s">
        <v>6343</v>
      </c>
    </row>
    <row r="5139" hidden="1">
      <c r="A5139" s="83" t="s">
        <v>6339</v>
      </c>
      <c r="B5139" s="83" t="s">
        <v>6340</v>
      </c>
      <c r="C5139" s="81" t="s">
        <v>4621</v>
      </c>
      <c r="D5139" s="83" t="s">
        <v>4185</v>
      </c>
      <c r="E5139" s="81" t="s">
        <v>690</v>
      </c>
      <c r="F5139" s="81">
        <v>112.0</v>
      </c>
      <c r="G5139" s="81" t="s">
        <v>41</v>
      </c>
      <c r="H5139" s="81" t="s">
        <v>685</v>
      </c>
      <c r="I5139" s="81" t="s">
        <v>689</v>
      </c>
      <c r="J5139" s="81" t="s">
        <v>6343</v>
      </c>
    </row>
    <row r="5140" hidden="1">
      <c r="A5140" s="83" t="s">
        <v>6339</v>
      </c>
      <c r="B5140" s="83" t="s">
        <v>6340</v>
      </c>
      <c r="C5140" s="81" t="s">
        <v>4621</v>
      </c>
      <c r="D5140" s="83" t="s">
        <v>4186</v>
      </c>
      <c r="E5140" s="81" t="s">
        <v>691</v>
      </c>
      <c r="F5140" s="81">
        <v>113.0</v>
      </c>
      <c r="G5140" s="81" t="s">
        <v>41</v>
      </c>
      <c r="H5140" s="81" t="s">
        <v>685</v>
      </c>
      <c r="I5140" s="81" t="s">
        <v>689</v>
      </c>
      <c r="J5140" s="81" t="s">
        <v>6343</v>
      </c>
    </row>
    <row r="5141" hidden="1">
      <c r="A5141" s="83" t="s">
        <v>6339</v>
      </c>
      <c r="B5141" s="83" t="s">
        <v>6340</v>
      </c>
      <c r="C5141" s="81" t="s">
        <v>4621</v>
      </c>
      <c r="D5141" s="83" t="s">
        <v>4187</v>
      </c>
      <c r="E5141" s="81" t="s">
        <v>693</v>
      </c>
      <c r="F5141" s="81">
        <v>114.0</v>
      </c>
      <c r="G5141" s="81" t="s">
        <v>41</v>
      </c>
      <c r="H5141" s="81" t="s">
        <v>693</v>
      </c>
      <c r="I5141" s="81" t="s">
        <v>697</v>
      </c>
      <c r="J5141" s="81" t="s">
        <v>6343</v>
      </c>
    </row>
    <row r="5142" hidden="1">
      <c r="A5142" s="83" t="s">
        <v>6339</v>
      </c>
      <c r="B5142" s="83" t="s">
        <v>6340</v>
      </c>
      <c r="C5142" s="81" t="s">
        <v>4621</v>
      </c>
      <c r="D5142" s="83" t="s">
        <v>4187</v>
      </c>
      <c r="E5142" s="81" t="s">
        <v>700</v>
      </c>
      <c r="F5142" s="81">
        <v>115.0</v>
      </c>
      <c r="G5142" s="81" t="s">
        <v>41</v>
      </c>
      <c r="H5142" s="81" t="s">
        <v>693</v>
      </c>
      <c r="I5142" s="81" t="s">
        <v>697</v>
      </c>
      <c r="J5142" s="81" t="s">
        <v>6343</v>
      </c>
    </row>
    <row r="5143" hidden="1">
      <c r="A5143" s="83" t="s">
        <v>6339</v>
      </c>
      <c r="B5143" s="83" t="s">
        <v>6340</v>
      </c>
      <c r="C5143" s="81" t="s">
        <v>4621</v>
      </c>
      <c r="D5143" s="83" t="s">
        <v>4188</v>
      </c>
      <c r="E5143" s="81" t="s">
        <v>701</v>
      </c>
      <c r="F5143" s="81">
        <v>116.0</v>
      </c>
      <c r="G5143" s="81" t="s">
        <v>41</v>
      </c>
      <c r="H5143" s="81" t="s">
        <v>693</v>
      </c>
      <c r="I5143" s="81" t="s">
        <v>697</v>
      </c>
      <c r="J5143" s="81" t="s">
        <v>6343</v>
      </c>
    </row>
    <row r="5144" hidden="1">
      <c r="A5144" s="83" t="s">
        <v>6339</v>
      </c>
      <c r="B5144" s="83" t="s">
        <v>6340</v>
      </c>
      <c r="C5144" s="81" t="s">
        <v>4621</v>
      </c>
      <c r="D5144" s="83" t="s">
        <v>4189</v>
      </c>
      <c r="E5144" s="81" t="s">
        <v>703</v>
      </c>
      <c r="F5144" s="81">
        <v>117.0</v>
      </c>
      <c r="G5144" s="81" t="s">
        <v>41</v>
      </c>
      <c r="H5144" s="81" t="s">
        <v>4190</v>
      </c>
      <c r="I5144" s="81" t="s">
        <v>709</v>
      </c>
      <c r="J5144" s="81" t="s">
        <v>6343</v>
      </c>
    </row>
    <row r="5145" hidden="1">
      <c r="A5145" s="83" t="s">
        <v>6339</v>
      </c>
      <c r="B5145" s="83" t="s">
        <v>6340</v>
      </c>
      <c r="C5145" s="81" t="s">
        <v>4621</v>
      </c>
      <c r="D5145" s="83" t="s">
        <v>4191</v>
      </c>
      <c r="E5145" s="81" t="s">
        <v>710</v>
      </c>
      <c r="F5145" s="81">
        <v>118.0</v>
      </c>
      <c r="G5145" s="81" t="s">
        <v>41</v>
      </c>
      <c r="H5145" s="81" t="s">
        <v>4192</v>
      </c>
      <c r="I5145" s="81" t="s">
        <v>715</v>
      </c>
      <c r="J5145" s="81" t="s">
        <v>6343</v>
      </c>
    </row>
    <row r="5146" hidden="1">
      <c r="A5146" s="83" t="s">
        <v>6339</v>
      </c>
      <c r="B5146" s="83" t="s">
        <v>6340</v>
      </c>
      <c r="C5146" s="81" t="s">
        <v>4621</v>
      </c>
      <c r="D5146" s="83" t="s">
        <v>4193</v>
      </c>
      <c r="E5146" s="81" t="s">
        <v>716</v>
      </c>
      <c r="F5146" s="81">
        <v>119.0</v>
      </c>
      <c r="G5146" s="81" t="s">
        <v>41</v>
      </c>
      <c r="H5146" s="81" t="s">
        <v>716</v>
      </c>
      <c r="I5146" s="81" t="s">
        <v>724</v>
      </c>
      <c r="J5146" s="81" t="s">
        <v>6343</v>
      </c>
    </row>
    <row r="5147" hidden="1">
      <c r="A5147" s="83" t="s">
        <v>6339</v>
      </c>
      <c r="B5147" s="83" t="s">
        <v>6340</v>
      </c>
      <c r="C5147" s="81" t="s">
        <v>4621</v>
      </c>
      <c r="D5147" s="83" t="s">
        <v>4193</v>
      </c>
      <c r="E5147" s="81" t="s">
        <v>727</v>
      </c>
      <c r="F5147" s="81">
        <v>120.0</v>
      </c>
      <c r="G5147" s="81" t="s">
        <v>41</v>
      </c>
      <c r="H5147" s="81" t="s">
        <v>716</v>
      </c>
      <c r="I5147" s="81" t="s">
        <v>724</v>
      </c>
      <c r="J5147" s="81" t="s">
        <v>6343</v>
      </c>
    </row>
    <row r="5148" hidden="1">
      <c r="A5148" s="83" t="s">
        <v>6339</v>
      </c>
      <c r="B5148" s="83" t="s">
        <v>6340</v>
      </c>
      <c r="C5148" s="81" t="s">
        <v>4621</v>
      </c>
      <c r="D5148" s="83" t="s">
        <v>4195</v>
      </c>
      <c r="E5148" s="81" t="s">
        <v>728</v>
      </c>
      <c r="F5148" s="81">
        <v>121.0</v>
      </c>
      <c r="G5148" s="81" t="s">
        <v>41</v>
      </c>
      <c r="H5148" s="81" t="s">
        <v>716</v>
      </c>
      <c r="I5148" s="81" t="s">
        <v>724</v>
      </c>
      <c r="J5148" s="81" t="s">
        <v>6343</v>
      </c>
    </row>
    <row r="5149" hidden="1">
      <c r="A5149" s="83" t="s">
        <v>6339</v>
      </c>
      <c r="B5149" s="83" t="s">
        <v>6340</v>
      </c>
      <c r="C5149" s="81" t="s">
        <v>4621</v>
      </c>
      <c r="D5149" s="83" t="s">
        <v>4196</v>
      </c>
      <c r="E5149" s="81" t="s">
        <v>731</v>
      </c>
      <c r="F5149" s="81">
        <v>122.0</v>
      </c>
      <c r="G5149" s="81" t="s">
        <v>41</v>
      </c>
      <c r="H5149" s="81" t="s">
        <v>731</v>
      </c>
      <c r="I5149" s="81" t="s">
        <v>738</v>
      </c>
      <c r="J5149" s="81" t="s">
        <v>6343</v>
      </c>
    </row>
    <row r="5150" hidden="1">
      <c r="A5150" s="83" t="s">
        <v>6339</v>
      </c>
      <c r="B5150" s="83" t="s">
        <v>6340</v>
      </c>
      <c r="C5150" s="81" t="s">
        <v>4621</v>
      </c>
      <c r="D5150" s="83" t="s">
        <v>4196</v>
      </c>
      <c r="E5150" s="81" t="s">
        <v>741</v>
      </c>
      <c r="F5150" s="81">
        <v>123.0</v>
      </c>
      <c r="G5150" s="81" t="s">
        <v>41</v>
      </c>
      <c r="H5150" s="81" t="s">
        <v>731</v>
      </c>
      <c r="I5150" s="81" t="s">
        <v>738</v>
      </c>
      <c r="J5150" s="81" t="s">
        <v>6343</v>
      </c>
    </row>
    <row r="5151" hidden="1">
      <c r="A5151" s="83" t="s">
        <v>6339</v>
      </c>
      <c r="B5151" s="83" t="s">
        <v>6340</v>
      </c>
      <c r="C5151" s="81" t="s">
        <v>4621</v>
      </c>
      <c r="D5151" s="83" t="s">
        <v>4198</v>
      </c>
      <c r="E5151" s="81" t="s">
        <v>742</v>
      </c>
      <c r="F5151" s="81">
        <v>124.0</v>
      </c>
      <c r="G5151" s="81" t="s">
        <v>41</v>
      </c>
      <c r="H5151" s="81" t="s">
        <v>731</v>
      </c>
      <c r="I5151" s="81" t="s">
        <v>738</v>
      </c>
      <c r="J5151" s="81" t="s">
        <v>6343</v>
      </c>
    </row>
    <row r="5152" hidden="1">
      <c r="A5152" s="83" t="s">
        <v>6339</v>
      </c>
      <c r="B5152" s="83" t="s">
        <v>6340</v>
      </c>
      <c r="C5152" s="81" t="s">
        <v>4621</v>
      </c>
      <c r="D5152" s="83" t="s">
        <v>4199</v>
      </c>
      <c r="E5152" s="81" t="s">
        <v>745</v>
      </c>
      <c r="F5152" s="81">
        <v>125.0</v>
      </c>
      <c r="G5152" s="81" t="s">
        <v>41</v>
      </c>
      <c r="H5152" s="81" t="s">
        <v>745</v>
      </c>
      <c r="I5152" s="81" t="s">
        <v>750</v>
      </c>
      <c r="J5152" s="81" t="s">
        <v>6343</v>
      </c>
    </row>
    <row r="5153" hidden="1">
      <c r="A5153" s="83" t="s">
        <v>6339</v>
      </c>
      <c r="B5153" s="83" t="s">
        <v>6340</v>
      </c>
      <c r="C5153" s="81" t="s">
        <v>4621</v>
      </c>
      <c r="D5153" s="83" t="s">
        <v>4199</v>
      </c>
      <c r="E5153" s="81" t="s">
        <v>753</v>
      </c>
      <c r="F5153" s="81">
        <v>126.0</v>
      </c>
      <c r="G5153" s="81" t="s">
        <v>41</v>
      </c>
      <c r="H5153" s="81" t="s">
        <v>745</v>
      </c>
      <c r="I5153" s="81" t="s">
        <v>750</v>
      </c>
      <c r="J5153" s="81" t="s">
        <v>6343</v>
      </c>
    </row>
    <row r="5154" hidden="1">
      <c r="A5154" s="83" t="s">
        <v>6339</v>
      </c>
      <c r="B5154" s="83" t="s">
        <v>6340</v>
      </c>
      <c r="C5154" s="81" t="s">
        <v>4082</v>
      </c>
      <c r="D5154" s="83" t="s">
        <v>4201</v>
      </c>
      <c r="E5154" s="81" t="s">
        <v>754</v>
      </c>
      <c r="F5154" s="81">
        <v>127.0</v>
      </c>
      <c r="G5154" s="81" t="s">
        <v>39</v>
      </c>
      <c r="H5154" s="81" t="s">
        <v>224</v>
      </c>
      <c r="I5154" s="81" t="s">
        <v>224</v>
      </c>
      <c r="J5154" s="81" t="s">
        <v>5311</v>
      </c>
    </row>
    <row r="5155" hidden="1">
      <c r="A5155" s="83" t="s">
        <v>6339</v>
      </c>
      <c r="B5155" s="83" t="s">
        <v>6340</v>
      </c>
      <c r="C5155" s="81" t="s">
        <v>4621</v>
      </c>
      <c r="D5155" s="83" t="s">
        <v>4201</v>
      </c>
      <c r="E5155" s="81" t="s">
        <v>754</v>
      </c>
      <c r="F5155" s="81">
        <v>127.0</v>
      </c>
      <c r="G5155" s="81" t="s">
        <v>41</v>
      </c>
      <c r="H5155" s="81" t="s">
        <v>745</v>
      </c>
      <c r="I5155" s="81" t="s">
        <v>750</v>
      </c>
      <c r="J5155" s="81" t="s">
        <v>6343</v>
      </c>
    </row>
    <row r="5156" hidden="1">
      <c r="A5156" s="83" t="s">
        <v>6339</v>
      </c>
      <c r="B5156" s="83" t="s">
        <v>6340</v>
      </c>
      <c r="C5156" s="81" t="s">
        <v>4621</v>
      </c>
      <c r="D5156" s="83" t="s">
        <v>4202</v>
      </c>
      <c r="E5156" s="81" t="s">
        <v>756</v>
      </c>
      <c r="F5156" s="81">
        <v>128.0</v>
      </c>
      <c r="G5156" s="81" t="s">
        <v>41</v>
      </c>
      <c r="H5156" s="81" t="s">
        <v>756</v>
      </c>
      <c r="I5156" s="81" t="s">
        <v>763</v>
      </c>
      <c r="J5156" s="81" t="s">
        <v>6343</v>
      </c>
    </row>
    <row r="5157" hidden="1">
      <c r="A5157" s="83" t="s">
        <v>6339</v>
      </c>
      <c r="B5157" s="83" t="s">
        <v>6340</v>
      </c>
      <c r="C5157" s="81" t="s">
        <v>4621</v>
      </c>
      <c r="D5157" s="83" t="s">
        <v>4202</v>
      </c>
      <c r="E5157" s="81" t="s">
        <v>766</v>
      </c>
      <c r="F5157" s="81">
        <v>129.0</v>
      </c>
      <c r="G5157" s="81" t="s">
        <v>41</v>
      </c>
      <c r="H5157" s="81" t="s">
        <v>756</v>
      </c>
      <c r="I5157" s="81" t="s">
        <v>763</v>
      </c>
      <c r="J5157" s="81" t="s">
        <v>6343</v>
      </c>
    </row>
    <row r="5158" hidden="1">
      <c r="A5158" s="83" t="s">
        <v>6339</v>
      </c>
      <c r="B5158" s="83" t="s">
        <v>6340</v>
      </c>
      <c r="C5158" s="81" t="s">
        <v>4621</v>
      </c>
      <c r="D5158" s="83" t="s">
        <v>4204</v>
      </c>
      <c r="E5158" s="81" t="s">
        <v>767</v>
      </c>
      <c r="F5158" s="81">
        <v>130.0</v>
      </c>
      <c r="G5158" s="81" t="s">
        <v>41</v>
      </c>
      <c r="H5158" s="81" t="s">
        <v>756</v>
      </c>
      <c r="I5158" s="81" t="s">
        <v>763</v>
      </c>
      <c r="J5158" s="81" t="s">
        <v>6343</v>
      </c>
    </row>
    <row r="5159" hidden="1">
      <c r="A5159" s="83" t="s">
        <v>6339</v>
      </c>
      <c r="B5159" s="83" t="s">
        <v>6340</v>
      </c>
      <c r="C5159" s="81" t="s">
        <v>4621</v>
      </c>
      <c r="D5159" s="83" t="s">
        <v>4205</v>
      </c>
      <c r="E5159" s="81" t="s">
        <v>770</v>
      </c>
      <c r="F5159" s="81">
        <v>131.0</v>
      </c>
      <c r="G5159" s="81" t="s">
        <v>41</v>
      </c>
      <c r="H5159" s="81" t="s">
        <v>716</v>
      </c>
      <c r="I5159" s="81" t="s">
        <v>724</v>
      </c>
      <c r="J5159" s="81" t="s">
        <v>6343</v>
      </c>
    </row>
    <row r="5160" hidden="1">
      <c r="A5160" s="83" t="s">
        <v>6339</v>
      </c>
      <c r="B5160" s="83" t="s">
        <v>6340</v>
      </c>
      <c r="C5160" s="81" t="s">
        <v>4621</v>
      </c>
      <c r="D5160" s="83" t="s">
        <v>4206</v>
      </c>
      <c r="E5160" s="81" t="s">
        <v>776</v>
      </c>
      <c r="F5160" s="81">
        <v>132.0</v>
      </c>
      <c r="G5160" s="81" t="s">
        <v>41</v>
      </c>
      <c r="H5160" s="81" t="s">
        <v>716</v>
      </c>
      <c r="I5160" s="81" t="s">
        <v>724</v>
      </c>
      <c r="J5160" s="81" t="s">
        <v>6343</v>
      </c>
    </row>
    <row r="5161" hidden="1">
      <c r="A5161" s="83" t="s">
        <v>6339</v>
      </c>
      <c r="B5161" s="83" t="s">
        <v>6340</v>
      </c>
      <c r="C5161" s="81" t="s">
        <v>4621</v>
      </c>
      <c r="D5161" s="83" t="s">
        <v>4207</v>
      </c>
      <c r="E5161" s="81" t="s">
        <v>779</v>
      </c>
      <c r="F5161" s="81">
        <v>133.0</v>
      </c>
      <c r="G5161" s="81" t="s">
        <v>41</v>
      </c>
      <c r="H5161" s="81" t="s">
        <v>731</v>
      </c>
      <c r="I5161" s="81" t="s">
        <v>738</v>
      </c>
      <c r="J5161" s="81" t="s">
        <v>6343</v>
      </c>
    </row>
    <row r="5162" hidden="1">
      <c r="A5162" s="83" t="s">
        <v>6339</v>
      </c>
      <c r="B5162" s="83" t="s">
        <v>6340</v>
      </c>
      <c r="C5162" s="81" t="s">
        <v>4082</v>
      </c>
      <c r="D5162" s="83" t="s">
        <v>4208</v>
      </c>
      <c r="E5162" s="81" t="s">
        <v>786</v>
      </c>
      <c r="F5162" s="81">
        <v>134.0</v>
      </c>
      <c r="G5162" s="81" t="s">
        <v>39</v>
      </c>
      <c r="H5162" s="81" t="s">
        <v>224</v>
      </c>
      <c r="I5162" s="81" t="s">
        <v>224</v>
      </c>
      <c r="J5162" s="81" t="s">
        <v>5322</v>
      </c>
    </row>
    <row r="5163" hidden="1">
      <c r="A5163" s="83" t="s">
        <v>6339</v>
      </c>
      <c r="B5163" s="83" t="s">
        <v>6340</v>
      </c>
      <c r="C5163" s="81" t="s">
        <v>4621</v>
      </c>
      <c r="D5163" s="83" t="s">
        <v>4208</v>
      </c>
      <c r="E5163" s="81" t="s">
        <v>786</v>
      </c>
      <c r="F5163" s="81">
        <v>134.0</v>
      </c>
      <c r="G5163" s="81" t="s">
        <v>41</v>
      </c>
      <c r="H5163" s="81" t="s">
        <v>731</v>
      </c>
      <c r="I5163" s="81" t="s">
        <v>738</v>
      </c>
      <c r="J5163" s="81" t="s">
        <v>6343</v>
      </c>
    </row>
    <row r="5164" hidden="1">
      <c r="A5164" s="83" t="s">
        <v>6339</v>
      </c>
      <c r="B5164" s="83" t="s">
        <v>6340</v>
      </c>
      <c r="C5164" s="81" t="s">
        <v>4621</v>
      </c>
      <c r="D5164" s="83" t="s">
        <v>4209</v>
      </c>
      <c r="E5164" s="81" t="s">
        <v>788</v>
      </c>
      <c r="F5164" s="81">
        <v>135.0</v>
      </c>
      <c r="G5164" s="81" t="s">
        <v>41</v>
      </c>
      <c r="H5164" s="81" t="s">
        <v>745</v>
      </c>
      <c r="I5164" s="81" t="s">
        <v>750</v>
      </c>
      <c r="J5164" s="81" t="s">
        <v>6343</v>
      </c>
    </row>
    <row r="5165" hidden="1">
      <c r="A5165" s="83" t="s">
        <v>6339</v>
      </c>
      <c r="B5165" s="83" t="s">
        <v>6340</v>
      </c>
      <c r="C5165" s="81" t="s">
        <v>4621</v>
      </c>
      <c r="D5165" s="83" t="s">
        <v>4210</v>
      </c>
      <c r="E5165" s="81" t="s">
        <v>795</v>
      </c>
      <c r="F5165" s="81">
        <v>136.0</v>
      </c>
      <c r="G5165" s="81" t="s">
        <v>41</v>
      </c>
      <c r="H5165" s="81" t="s">
        <v>745</v>
      </c>
      <c r="I5165" s="81" t="s">
        <v>750</v>
      </c>
      <c r="J5165" s="81" t="s">
        <v>6343</v>
      </c>
    </row>
    <row r="5166" hidden="1">
      <c r="A5166" s="83" t="s">
        <v>6339</v>
      </c>
      <c r="B5166" s="83" t="s">
        <v>6340</v>
      </c>
      <c r="C5166" s="81" t="s">
        <v>4082</v>
      </c>
      <c r="D5166" s="83" t="s">
        <v>4211</v>
      </c>
      <c r="E5166" s="81" t="s">
        <v>798</v>
      </c>
      <c r="F5166" s="81">
        <v>137.0</v>
      </c>
      <c r="G5166" s="81" t="s">
        <v>39</v>
      </c>
      <c r="H5166" s="81" t="s">
        <v>224</v>
      </c>
      <c r="I5166" s="81" t="s">
        <v>224</v>
      </c>
      <c r="J5166" s="81" t="s">
        <v>5327</v>
      </c>
    </row>
    <row r="5167" hidden="1">
      <c r="A5167" s="83" t="s">
        <v>6339</v>
      </c>
      <c r="B5167" s="83" t="s">
        <v>6340</v>
      </c>
      <c r="C5167" s="81" t="s">
        <v>4621</v>
      </c>
      <c r="D5167" s="83" t="s">
        <v>4211</v>
      </c>
      <c r="E5167" s="81" t="s">
        <v>798</v>
      </c>
      <c r="F5167" s="81">
        <v>137.0</v>
      </c>
      <c r="G5167" s="81" t="s">
        <v>41</v>
      </c>
      <c r="H5167" s="81" t="s">
        <v>756</v>
      </c>
      <c r="I5167" s="81" t="s">
        <v>763</v>
      </c>
      <c r="J5167" s="81" t="s">
        <v>6343</v>
      </c>
    </row>
    <row r="5168" hidden="1">
      <c r="A5168" s="83" t="s">
        <v>6339</v>
      </c>
      <c r="B5168" s="83" t="s">
        <v>6340</v>
      </c>
      <c r="C5168" s="81" t="s">
        <v>4082</v>
      </c>
      <c r="D5168" s="83" t="s">
        <v>4212</v>
      </c>
      <c r="E5168" s="81" t="s">
        <v>804</v>
      </c>
      <c r="F5168" s="81">
        <v>138.0</v>
      </c>
      <c r="G5168" s="81" t="s">
        <v>39</v>
      </c>
      <c r="H5168" s="81" t="s">
        <v>224</v>
      </c>
      <c r="I5168" s="81" t="s">
        <v>224</v>
      </c>
      <c r="J5168" s="81" t="s">
        <v>5330</v>
      </c>
    </row>
    <row r="5169" hidden="1">
      <c r="A5169" s="83" t="s">
        <v>6339</v>
      </c>
      <c r="B5169" s="83" t="s">
        <v>6340</v>
      </c>
      <c r="C5169" s="81" t="s">
        <v>4621</v>
      </c>
      <c r="D5169" s="83" t="s">
        <v>4212</v>
      </c>
      <c r="E5169" s="81" t="s">
        <v>804</v>
      </c>
      <c r="F5169" s="81">
        <v>138.0</v>
      </c>
      <c r="G5169" s="81" t="s">
        <v>41</v>
      </c>
      <c r="H5169" s="81" t="s">
        <v>756</v>
      </c>
      <c r="I5169" s="81" t="s">
        <v>763</v>
      </c>
      <c r="J5169" s="81" t="s">
        <v>6343</v>
      </c>
    </row>
    <row r="5170" hidden="1">
      <c r="A5170" s="83" t="s">
        <v>6339</v>
      </c>
      <c r="B5170" s="83" t="s">
        <v>6340</v>
      </c>
      <c r="C5170" s="81" t="s">
        <v>4621</v>
      </c>
      <c r="D5170" s="83" t="s">
        <v>4213</v>
      </c>
      <c r="E5170" s="81" t="s">
        <v>806</v>
      </c>
      <c r="F5170" s="81">
        <v>139.0</v>
      </c>
      <c r="G5170" s="81" t="s">
        <v>41</v>
      </c>
      <c r="H5170" s="81" t="s">
        <v>716</v>
      </c>
      <c r="I5170" s="81" t="s">
        <v>724</v>
      </c>
      <c r="J5170" s="81" t="s">
        <v>6343</v>
      </c>
    </row>
    <row r="5171" hidden="1">
      <c r="A5171" s="83" t="s">
        <v>6339</v>
      </c>
      <c r="B5171" s="83" t="s">
        <v>6340</v>
      </c>
      <c r="C5171" s="81" t="s">
        <v>4621</v>
      </c>
      <c r="D5171" s="83" t="s">
        <v>4214</v>
      </c>
      <c r="E5171" s="81" t="s">
        <v>812</v>
      </c>
      <c r="F5171" s="81">
        <v>140.0</v>
      </c>
      <c r="G5171" s="81" t="s">
        <v>41</v>
      </c>
      <c r="H5171" s="81" t="s">
        <v>716</v>
      </c>
      <c r="I5171" s="81" t="s">
        <v>724</v>
      </c>
      <c r="J5171" s="81" t="s">
        <v>6343</v>
      </c>
    </row>
    <row r="5172" hidden="1">
      <c r="A5172" s="83" t="s">
        <v>6339</v>
      </c>
      <c r="B5172" s="83" t="s">
        <v>6340</v>
      </c>
      <c r="C5172" s="81" t="s">
        <v>4621</v>
      </c>
      <c r="D5172" s="83" t="s">
        <v>4215</v>
      </c>
      <c r="E5172" s="81" t="s">
        <v>815</v>
      </c>
      <c r="F5172" s="81">
        <v>141.0</v>
      </c>
      <c r="G5172" s="81" t="s">
        <v>41</v>
      </c>
      <c r="H5172" s="81" t="s">
        <v>731</v>
      </c>
      <c r="I5172" s="81" t="s">
        <v>738</v>
      </c>
      <c r="J5172" s="81" t="s">
        <v>6343</v>
      </c>
    </row>
    <row r="5173" hidden="1">
      <c r="A5173" s="83" t="s">
        <v>6339</v>
      </c>
      <c r="B5173" s="83" t="s">
        <v>6340</v>
      </c>
      <c r="C5173" s="81" t="s">
        <v>4621</v>
      </c>
      <c r="D5173" s="83" t="s">
        <v>4216</v>
      </c>
      <c r="E5173" s="81" t="s">
        <v>822</v>
      </c>
      <c r="F5173" s="81">
        <v>142.0</v>
      </c>
      <c r="G5173" s="81" t="s">
        <v>41</v>
      </c>
      <c r="H5173" s="81" t="s">
        <v>731</v>
      </c>
      <c r="I5173" s="81" t="s">
        <v>738</v>
      </c>
      <c r="J5173" s="81" t="s">
        <v>6343</v>
      </c>
    </row>
    <row r="5174" hidden="1">
      <c r="A5174" s="83" t="s">
        <v>6339</v>
      </c>
      <c r="B5174" s="83" t="s">
        <v>6340</v>
      </c>
      <c r="C5174" s="81" t="s">
        <v>4621</v>
      </c>
      <c r="D5174" s="83" t="s">
        <v>4217</v>
      </c>
      <c r="E5174" s="81" t="s">
        <v>825</v>
      </c>
      <c r="F5174" s="81">
        <v>143.0</v>
      </c>
      <c r="G5174" s="81" t="s">
        <v>41</v>
      </c>
      <c r="H5174" s="81" t="s">
        <v>745</v>
      </c>
      <c r="I5174" s="81" t="s">
        <v>750</v>
      </c>
      <c r="J5174" s="81" t="s">
        <v>6343</v>
      </c>
    </row>
    <row r="5175" hidden="1">
      <c r="A5175" s="83" t="s">
        <v>6339</v>
      </c>
      <c r="B5175" s="83" t="s">
        <v>6340</v>
      </c>
      <c r="C5175" s="81" t="s">
        <v>4621</v>
      </c>
      <c r="D5175" s="83" t="s">
        <v>4218</v>
      </c>
      <c r="E5175" s="81" t="s">
        <v>832</v>
      </c>
      <c r="F5175" s="81">
        <v>144.0</v>
      </c>
      <c r="G5175" s="81" t="s">
        <v>41</v>
      </c>
      <c r="H5175" s="81" t="s">
        <v>745</v>
      </c>
      <c r="I5175" s="81" t="s">
        <v>750</v>
      </c>
      <c r="J5175" s="81" t="s">
        <v>6343</v>
      </c>
    </row>
    <row r="5176" hidden="1">
      <c r="A5176" s="83" t="s">
        <v>6339</v>
      </c>
      <c r="B5176" s="83" t="s">
        <v>6340</v>
      </c>
      <c r="C5176" s="81" t="s">
        <v>4621</v>
      </c>
      <c r="D5176" s="83" t="s">
        <v>4219</v>
      </c>
      <c r="E5176" s="81" t="s">
        <v>835</v>
      </c>
      <c r="F5176" s="81">
        <v>145.0</v>
      </c>
      <c r="G5176" s="81" t="s">
        <v>41</v>
      </c>
      <c r="H5176" s="81" t="s">
        <v>756</v>
      </c>
      <c r="I5176" s="81" t="s">
        <v>763</v>
      </c>
      <c r="J5176" s="81" t="s">
        <v>6343</v>
      </c>
    </row>
    <row r="5177" hidden="1">
      <c r="A5177" s="83" t="s">
        <v>6339</v>
      </c>
      <c r="B5177" s="83" t="s">
        <v>6340</v>
      </c>
      <c r="C5177" s="81" t="s">
        <v>4621</v>
      </c>
      <c r="D5177" s="83" t="s">
        <v>4220</v>
      </c>
      <c r="E5177" s="81" t="s">
        <v>842</v>
      </c>
      <c r="F5177" s="81">
        <v>146.0</v>
      </c>
      <c r="G5177" s="81" t="s">
        <v>41</v>
      </c>
      <c r="H5177" s="81" t="s">
        <v>756</v>
      </c>
      <c r="I5177" s="81" t="s">
        <v>763</v>
      </c>
      <c r="J5177" s="81" t="s">
        <v>6343</v>
      </c>
    </row>
    <row r="5178" hidden="1">
      <c r="A5178" s="83" t="s">
        <v>6339</v>
      </c>
      <c r="B5178" s="83" t="s">
        <v>6340</v>
      </c>
      <c r="C5178" s="81" t="s">
        <v>4621</v>
      </c>
      <c r="D5178" s="83" t="s">
        <v>4221</v>
      </c>
      <c r="E5178" s="81" t="s">
        <v>845</v>
      </c>
      <c r="F5178" s="81">
        <v>147.0</v>
      </c>
      <c r="G5178" s="81" t="s">
        <v>41</v>
      </c>
      <c r="H5178" s="81" t="s">
        <v>716</v>
      </c>
      <c r="I5178" s="81" t="s">
        <v>724</v>
      </c>
      <c r="J5178" s="81" t="s">
        <v>6343</v>
      </c>
    </row>
    <row r="5179" hidden="1">
      <c r="A5179" s="83" t="s">
        <v>6339</v>
      </c>
      <c r="B5179" s="83" t="s">
        <v>6340</v>
      </c>
      <c r="C5179" s="81" t="s">
        <v>4621</v>
      </c>
      <c r="D5179" s="83" t="s">
        <v>4222</v>
      </c>
      <c r="E5179" s="81" t="s">
        <v>851</v>
      </c>
      <c r="F5179" s="81">
        <v>148.0</v>
      </c>
      <c r="G5179" s="81" t="s">
        <v>41</v>
      </c>
      <c r="H5179" s="81" t="s">
        <v>716</v>
      </c>
      <c r="I5179" s="81" t="s">
        <v>724</v>
      </c>
      <c r="J5179" s="81" t="s">
        <v>6343</v>
      </c>
    </row>
    <row r="5180" hidden="1">
      <c r="A5180" s="83" t="s">
        <v>6339</v>
      </c>
      <c r="B5180" s="83" t="s">
        <v>6340</v>
      </c>
      <c r="C5180" s="81" t="s">
        <v>4621</v>
      </c>
      <c r="D5180" s="83" t="s">
        <v>4223</v>
      </c>
      <c r="E5180" s="81" t="s">
        <v>854</v>
      </c>
      <c r="F5180" s="81">
        <v>149.0</v>
      </c>
      <c r="G5180" s="81" t="s">
        <v>41</v>
      </c>
      <c r="H5180" s="81" t="s">
        <v>731</v>
      </c>
      <c r="I5180" s="81" t="s">
        <v>738</v>
      </c>
      <c r="J5180" s="81" t="s">
        <v>6343</v>
      </c>
    </row>
    <row r="5181" hidden="1">
      <c r="A5181" s="83" t="s">
        <v>6339</v>
      </c>
      <c r="B5181" s="83" t="s">
        <v>6340</v>
      </c>
      <c r="C5181" s="81" t="s">
        <v>4621</v>
      </c>
      <c r="D5181" s="83" t="s">
        <v>4224</v>
      </c>
      <c r="E5181" s="81" t="s">
        <v>861</v>
      </c>
      <c r="F5181" s="81">
        <v>150.0</v>
      </c>
      <c r="G5181" s="81" t="s">
        <v>41</v>
      </c>
      <c r="H5181" s="81" t="s">
        <v>731</v>
      </c>
      <c r="I5181" s="81" t="s">
        <v>738</v>
      </c>
      <c r="J5181" s="81" t="s">
        <v>6343</v>
      </c>
    </row>
    <row r="5182" hidden="1">
      <c r="A5182" s="83" t="s">
        <v>6339</v>
      </c>
      <c r="B5182" s="83" t="s">
        <v>6340</v>
      </c>
      <c r="C5182" s="81" t="s">
        <v>4621</v>
      </c>
      <c r="D5182" s="83" t="s">
        <v>4225</v>
      </c>
      <c r="E5182" s="81" t="s">
        <v>864</v>
      </c>
      <c r="F5182" s="81">
        <v>151.0</v>
      </c>
      <c r="G5182" s="81" t="s">
        <v>41</v>
      </c>
      <c r="H5182" s="81" t="s">
        <v>745</v>
      </c>
      <c r="I5182" s="81" t="s">
        <v>750</v>
      </c>
      <c r="J5182" s="81" t="s">
        <v>6343</v>
      </c>
    </row>
    <row r="5183" hidden="1">
      <c r="A5183" s="83" t="s">
        <v>6339</v>
      </c>
      <c r="B5183" s="83" t="s">
        <v>6340</v>
      </c>
      <c r="C5183" s="81" t="s">
        <v>4621</v>
      </c>
      <c r="D5183" s="83" t="s">
        <v>4226</v>
      </c>
      <c r="E5183" s="81" t="s">
        <v>871</v>
      </c>
      <c r="F5183" s="81">
        <v>152.0</v>
      </c>
      <c r="G5183" s="81" t="s">
        <v>41</v>
      </c>
      <c r="H5183" s="81" t="s">
        <v>745</v>
      </c>
      <c r="I5183" s="81" t="s">
        <v>750</v>
      </c>
      <c r="J5183" s="81" t="s">
        <v>6343</v>
      </c>
    </row>
    <row r="5184" hidden="1">
      <c r="A5184" s="83" t="s">
        <v>6339</v>
      </c>
      <c r="B5184" s="83" t="s">
        <v>6340</v>
      </c>
      <c r="C5184" s="81" t="s">
        <v>4621</v>
      </c>
      <c r="D5184" s="83" t="s">
        <v>4227</v>
      </c>
      <c r="E5184" s="81" t="s">
        <v>874</v>
      </c>
      <c r="F5184" s="81">
        <v>153.0</v>
      </c>
      <c r="G5184" s="81" t="s">
        <v>41</v>
      </c>
      <c r="H5184" s="81" t="s">
        <v>756</v>
      </c>
      <c r="I5184" s="81" t="s">
        <v>763</v>
      </c>
      <c r="J5184" s="81" t="s">
        <v>6343</v>
      </c>
    </row>
    <row r="5185" hidden="1">
      <c r="A5185" s="83" t="s">
        <v>6339</v>
      </c>
      <c r="B5185" s="83" t="s">
        <v>6340</v>
      </c>
      <c r="C5185" s="81" t="s">
        <v>4621</v>
      </c>
      <c r="D5185" s="83" t="s">
        <v>4228</v>
      </c>
      <c r="E5185" s="81" t="s">
        <v>881</v>
      </c>
      <c r="F5185" s="81">
        <v>154.0</v>
      </c>
      <c r="G5185" s="81" t="s">
        <v>41</v>
      </c>
      <c r="H5185" s="81" t="s">
        <v>756</v>
      </c>
      <c r="I5185" s="81" t="s">
        <v>763</v>
      </c>
      <c r="J5185" s="81" t="s">
        <v>6343</v>
      </c>
    </row>
    <row r="5186" hidden="1">
      <c r="A5186" s="83" t="s">
        <v>6339</v>
      </c>
      <c r="B5186" s="83" t="s">
        <v>6340</v>
      </c>
      <c r="C5186" s="81" t="s">
        <v>4621</v>
      </c>
      <c r="D5186" s="83" t="s">
        <v>4229</v>
      </c>
      <c r="E5186" s="81" t="s">
        <v>884</v>
      </c>
      <c r="F5186" s="81">
        <v>155.0</v>
      </c>
      <c r="G5186" s="81" t="s">
        <v>41</v>
      </c>
      <c r="H5186" s="81" t="s">
        <v>4230</v>
      </c>
      <c r="I5186" s="81" t="s">
        <v>892</v>
      </c>
      <c r="J5186" s="81" t="s">
        <v>6343</v>
      </c>
    </row>
    <row r="5187" hidden="1">
      <c r="A5187" s="83" t="s">
        <v>6339</v>
      </c>
      <c r="B5187" s="83" t="s">
        <v>6340</v>
      </c>
      <c r="C5187" s="81" t="s">
        <v>4621</v>
      </c>
      <c r="D5187" s="83" t="s">
        <v>4229</v>
      </c>
      <c r="E5187" s="81" t="s">
        <v>895</v>
      </c>
      <c r="F5187" s="81">
        <v>156.0</v>
      </c>
      <c r="G5187" s="81" t="s">
        <v>41</v>
      </c>
      <c r="H5187" s="81" t="s">
        <v>4230</v>
      </c>
      <c r="I5187" s="81" t="s">
        <v>892</v>
      </c>
      <c r="J5187" s="81" t="s">
        <v>6343</v>
      </c>
    </row>
    <row r="5188" hidden="1">
      <c r="A5188" s="83" t="s">
        <v>6339</v>
      </c>
      <c r="B5188" s="83" t="s">
        <v>6340</v>
      </c>
      <c r="C5188" s="81" t="s">
        <v>4621</v>
      </c>
      <c r="D5188" s="83" t="s">
        <v>4231</v>
      </c>
      <c r="E5188" s="81" t="s">
        <v>897</v>
      </c>
      <c r="F5188" s="81">
        <v>157.0</v>
      </c>
      <c r="G5188" s="81" t="s">
        <v>41</v>
      </c>
      <c r="H5188" s="81" t="s">
        <v>4230</v>
      </c>
      <c r="I5188" s="81" t="s">
        <v>892</v>
      </c>
      <c r="J5188" s="81" t="s">
        <v>6343</v>
      </c>
    </row>
    <row r="5189" hidden="1">
      <c r="A5189" s="83" t="s">
        <v>6339</v>
      </c>
      <c r="B5189" s="83" t="s">
        <v>6340</v>
      </c>
      <c r="C5189" s="81" t="s">
        <v>4621</v>
      </c>
      <c r="D5189" s="83" t="s">
        <v>4232</v>
      </c>
      <c r="E5189" s="81" t="s">
        <v>899</v>
      </c>
      <c r="F5189" s="81">
        <v>158.0</v>
      </c>
      <c r="G5189" s="81" t="s">
        <v>41</v>
      </c>
      <c r="H5189" s="81" t="s">
        <v>4230</v>
      </c>
      <c r="I5189" s="81" t="s">
        <v>892</v>
      </c>
      <c r="J5189" s="81" t="s">
        <v>6343</v>
      </c>
    </row>
    <row r="5190" hidden="1">
      <c r="A5190" s="83" t="s">
        <v>6339</v>
      </c>
      <c r="B5190" s="83" t="s">
        <v>6340</v>
      </c>
      <c r="C5190" s="81" t="s">
        <v>4621</v>
      </c>
      <c r="D5190" s="83" t="s">
        <v>4233</v>
      </c>
      <c r="E5190" s="81" t="s">
        <v>902</v>
      </c>
      <c r="F5190" s="81">
        <v>159.0</v>
      </c>
      <c r="G5190" s="81" t="s">
        <v>41</v>
      </c>
      <c r="H5190" s="81" t="s">
        <v>4230</v>
      </c>
      <c r="I5190" s="81" t="s">
        <v>892</v>
      </c>
      <c r="J5190" s="81" t="s">
        <v>6343</v>
      </c>
    </row>
    <row r="5191" hidden="1">
      <c r="A5191" s="83" t="s">
        <v>6339</v>
      </c>
      <c r="B5191" s="83" t="s">
        <v>6340</v>
      </c>
      <c r="C5191" s="81" t="s">
        <v>4621</v>
      </c>
      <c r="D5191" s="83" t="s">
        <v>4234</v>
      </c>
      <c r="E5191" s="81" t="s">
        <v>905</v>
      </c>
      <c r="F5191" s="81">
        <v>160.0</v>
      </c>
      <c r="G5191" s="81" t="s">
        <v>41</v>
      </c>
      <c r="H5191" s="81" t="s">
        <v>4230</v>
      </c>
      <c r="I5191" s="81" t="s">
        <v>892</v>
      </c>
      <c r="J5191" s="81" t="s">
        <v>6343</v>
      </c>
    </row>
    <row r="5192" hidden="1">
      <c r="A5192" s="83" t="s">
        <v>6339</v>
      </c>
      <c r="B5192" s="83" t="s">
        <v>6340</v>
      </c>
      <c r="C5192" s="81" t="s">
        <v>4621</v>
      </c>
      <c r="D5192" s="83" t="s">
        <v>4235</v>
      </c>
      <c r="E5192" s="81" t="s">
        <v>908</v>
      </c>
      <c r="F5192" s="81">
        <v>161.0</v>
      </c>
      <c r="G5192" s="81" t="s">
        <v>41</v>
      </c>
      <c r="H5192" s="81" t="s">
        <v>4236</v>
      </c>
      <c r="I5192" s="81" t="s">
        <v>913</v>
      </c>
      <c r="J5192" s="81" t="s">
        <v>6343</v>
      </c>
    </row>
    <row r="5193" hidden="1">
      <c r="A5193" s="83" t="s">
        <v>6339</v>
      </c>
      <c r="B5193" s="83" t="s">
        <v>6340</v>
      </c>
      <c r="C5193" s="81" t="s">
        <v>4621</v>
      </c>
      <c r="D5193" s="83" t="s">
        <v>4237</v>
      </c>
      <c r="E5193" s="81" t="s">
        <v>916</v>
      </c>
      <c r="F5193" s="81">
        <v>162.0</v>
      </c>
      <c r="G5193" s="81" t="s">
        <v>41</v>
      </c>
      <c r="H5193" s="81" t="s">
        <v>4236</v>
      </c>
      <c r="I5193" s="81" t="s">
        <v>913</v>
      </c>
      <c r="J5193" s="81" t="s">
        <v>6343</v>
      </c>
    </row>
    <row r="5194" hidden="1">
      <c r="A5194" s="83" t="s">
        <v>6339</v>
      </c>
      <c r="B5194" s="83" t="s">
        <v>6340</v>
      </c>
      <c r="C5194" s="81" t="s">
        <v>4082</v>
      </c>
      <c r="D5194" s="83" t="s">
        <v>4238</v>
      </c>
      <c r="E5194" s="81" t="s">
        <v>918</v>
      </c>
      <c r="F5194" s="81">
        <v>163.0</v>
      </c>
      <c r="G5194" s="81" t="s">
        <v>41</v>
      </c>
      <c r="H5194" s="81" t="s">
        <v>924</v>
      </c>
      <c r="I5194" s="81" t="s">
        <v>224</v>
      </c>
      <c r="J5194" s="81" t="s">
        <v>6344</v>
      </c>
    </row>
    <row r="5195" hidden="1">
      <c r="A5195" s="83" t="s">
        <v>6339</v>
      </c>
      <c r="B5195" s="83" t="s">
        <v>6340</v>
      </c>
      <c r="C5195" s="81" t="s">
        <v>4082</v>
      </c>
      <c r="D5195" s="83" t="s">
        <v>4267</v>
      </c>
      <c r="E5195" s="81" t="s">
        <v>1042</v>
      </c>
      <c r="F5195" s="81">
        <v>198.0</v>
      </c>
      <c r="G5195" s="81" t="s">
        <v>41</v>
      </c>
      <c r="H5195" s="81" t="s">
        <v>1051</v>
      </c>
      <c r="I5195" s="81" t="s">
        <v>224</v>
      </c>
      <c r="J5195" s="81" t="s">
        <v>6345</v>
      </c>
    </row>
    <row r="5196" hidden="1">
      <c r="A5196" s="83" t="s">
        <v>6339</v>
      </c>
      <c r="B5196" s="83" t="s">
        <v>6340</v>
      </c>
      <c r="C5196" s="81" t="s">
        <v>4621</v>
      </c>
      <c r="D5196" s="83" t="s">
        <v>4290</v>
      </c>
      <c r="E5196" s="81" t="s">
        <v>1143</v>
      </c>
      <c r="F5196" s="81">
        <v>228.0</v>
      </c>
      <c r="G5196" s="81" t="s">
        <v>41</v>
      </c>
      <c r="H5196" s="81" t="s">
        <v>1143</v>
      </c>
      <c r="I5196" s="81" t="s">
        <v>1150</v>
      </c>
      <c r="J5196" s="81" t="s">
        <v>6343</v>
      </c>
    </row>
    <row r="5197" hidden="1">
      <c r="A5197" s="83" t="s">
        <v>6339</v>
      </c>
      <c r="B5197" s="83" t="s">
        <v>6340</v>
      </c>
      <c r="C5197" s="81" t="s">
        <v>4621</v>
      </c>
      <c r="D5197" s="83" t="s">
        <v>4290</v>
      </c>
      <c r="E5197" s="81" t="s">
        <v>1153</v>
      </c>
      <c r="F5197" s="81">
        <v>229.0</v>
      </c>
      <c r="G5197" s="81" t="s">
        <v>41</v>
      </c>
      <c r="H5197" s="81" t="s">
        <v>1143</v>
      </c>
      <c r="I5197" s="81" t="s">
        <v>1150</v>
      </c>
      <c r="J5197" s="81" t="s">
        <v>6343</v>
      </c>
    </row>
    <row r="5198" hidden="1">
      <c r="A5198" s="83" t="s">
        <v>6339</v>
      </c>
      <c r="B5198" s="83" t="s">
        <v>6340</v>
      </c>
      <c r="C5198" s="81" t="s">
        <v>4621</v>
      </c>
      <c r="D5198" s="83" t="s">
        <v>4291</v>
      </c>
      <c r="E5198" s="81" t="s">
        <v>1155</v>
      </c>
      <c r="F5198" s="81">
        <v>230.0</v>
      </c>
      <c r="G5198" s="81" t="s">
        <v>41</v>
      </c>
      <c r="H5198" s="81" t="s">
        <v>1143</v>
      </c>
      <c r="I5198" s="81" t="s">
        <v>1150</v>
      </c>
      <c r="J5198" s="81" t="s">
        <v>6343</v>
      </c>
    </row>
    <row r="5199" hidden="1">
      <c r="A5199" s="83" t="s">
        <v>6339</v>
      </c>
      <c r="B5199" s="83" t="s">
        <v>6340</v>
      </c>
      <c r="C5199" s="81" t="s">
        <v>4621</v>
      </c>
      <c r="D5199" s="83" t="s">
        <v>4292</v>
      </c>
      <c r="E5199" s="81" t="s">
        <v>1158</v>
      </c>
      <c r="F5199" s="81">
        <v>231.0</v>
      </c>
      <c r="G5199" s="81" t="s">
        <v>41</v>
      </c>
      <c r="H5199" s="81" t="s">
        <v>1158</v>
      </c>
      <c r="I5199" s="81" t="s">
        <v>1170</v>
      </c>
      <c r="J5199" s="81" t="s">
        <v>6343</v>
      </c>
    </row>
    <row r="5200" hidden="1">
      <c r="A5200" s="83" t="s">
        <v>6339</v>
      </c>
      <c r="B5200" s="83" t="s">
        <v>6340</v>
      </c>
      <c r="C5200" s="81" t="s">
        <v>4621</v>
      </c>
      <c r="D5200" s="83" t="s">
        <v>4292</v>
      </c>
      <c r="E5200" s="81" t="s">
        <v>1175</v>
      </c>
      <c r="F5200" s="81">
        <v>232.0</v>
      </c>
      <c r="G5200" s="81" t="s">
        <v>41</v>
      </c>
      <c r="H5200" s="81" t="s">
        <v>1158</v>
      </c>
      <c r="I5200" s="81" t="s">
        <v>1170</v>
      </c>
      <c r="J5200" s="81" t="s">
        <v>6343</v>
      </c>
    </row>
    <row r="5201" hidden="1">
      <c r="A5201" s="83" t="s">
        <v>6339</v>
      </c>
      <c r="B5201" s="83" t="s">
        <v>6340</v>
      </c>
      <c r="C5201" s="81" t="s">
        <v>4621</v>
      </c>
      <c r="D5201" s="83" t="s">
        <v>4294</v>
      </c>
      <c r="E5201" s="81" t="s">
        <v>1176</v>
      </c>
      <c r="F5201" s="81">
        <v>233.0</v>
      </c>
      <c r="G5201" s="81" t="s">
        <v>41</v>
      </c>
      <c r="H5201" s="81" t="s">
        <v>1158</v>
      </c>
      <c r="I5201" s="81" t="s">
        <v>1170</v>
      </c>
      <c r="J5201" s="81" t="s">
        <v>6343</v>
      </c>
    </row>
    <row r="5202" hidden="1">
      <c r="A5202" s="83" t="s">
        <v>6339</v>
      </c>
      <c r="B5202" s="83" t="s">
        <v>6340</v>
      </c>
      <c r="C5202" s="81" t="s">
        <v>4621</v>
      </c>
      <c r="D5202" s="83" t="s">
        <v>4295</v>
      </c>
      <c r="E5202" s="81" t="s">
        <v>1180</v>
      </c>
      <c r="F5202" s="81">
        <v>234.0</v>
      </c>
      <c r="G5202" s="81" t="s">
        <v>41</v>
      </c>
      <c r="H5202" s="81" t="s">
        <v>1180</v>
      </c>
      <c r="I5202" s="81" t="s">
        <v>1186</v>
      </c>
      <c r="J5202" s="81" t="s">
        <v>6343</v>
      </c>
    </row>
    <row r="5203" hidden="1">
      <c r="A5203" s="83" t="s">
        <v>6339</v>
      </c>
      <c r="B5203" s="83" t="s">
        <v>6340</v>
      </c>
      <c r="C5203" s="81" t="s">
        <v>4621</v>
      </c>
      <c r="D5203" s="83" t="s">
        <v>4297</v>
      </c>
      <c r="E5203" s="81" t="s">
        <v>1191</v>
      </c>
      <c r="F5203" s="81">
        <v>235.0</v>
      </c>
      <c r="G5203" s="81" t="s">
        <v>41</v>
      </c>
      <c r="H5203" s="81" t="s">
        <v>1191</v>
      </c>
      <c r="I5203" s="81" t="s">
        <v>1196</v>
      </c>
      <c r="J5203" s="81" t="s">
        <v>6343</v>
      </c>
    </row>
    <row r="5204" hidden="1">
      <c r="A5204" s="83" t="s">
        <v>6339</v>
      </c>
      <c r="B5204" s="83" t="s">
        <v>6340</v>
      </c>
      <c r="C5204" s="81" t="s">
        <v>4621</v>
      </c>
      <c r="D5204" s="83" t="s">
        <v>4297</v>
      </c>
      <c r="E5204" s="81" t="s">
        <v>1201</v>
      </c>
      <c r="F5204" s="81">
        <v>236.0</v>
      </c>
      <c r="G5204" s="81" t="s">
        <v>41</v>
      </c>
      <c r="H5204" s="81" t="s">
        <v>1191</v>
      </c>
      <c r="I5204" s="81" t="s">
        <v>1196</v>
      </c>
      <c r="J5204" s="81" t="s">
        <v>6343</v>
      </c>
    </row>
    <row r="5205" hidden="1">
      <c r="A5205" s="83" t="s">
        <v>6339</v>
      </c>
      <c r="B5205" s="83" t="s">
        <v>6340</v>
      </c>
      <c r="C5205" s="81" t="s">
        <v>4621</v>
      </c>
      <c r="D5205" s="83" t="s">
        <v>4298</v>
      </c>
      <c r="E5205" s="81" t="s">
        <v>1202</v>
      </c>
      <c r="F5205" s="81">
        <v>237.0</v>
      </c>
      <c r="G5205" s="81" t="s">
        <v>41</v>
      </c>
      <c r="H5205" s="81" t="s">
        <v>4299</v>
      </c>
      <c r="I5205" s="81" t="s">
        <v>1207</v>
      </c>
      <c r="J5205" s="81" t="s">
        <v>6343</v>
      </c>
    </row>
    <row r="5206" hidden="1">
      <c r="A5206" s="83" t="s">
        <v>6339</v>
      </c>
      <c r="B5206" s="83" t="s">
        <v>6340</v>
      </c>
      <c r="C5206" s="81" t="s">
        <v>4621</v>
      </c>
      <c r="D5206" s="83" t="s">
        <v>4298</v>
      </c>
      <c r="E5206" s="81" t="s">
        <v>1210</v>
      </c>
      <c r="F5206" s="81">
        <v>238.0</v>
      </c>
      <c r="G5206" s="81" t="s">
        <v>41</v>
      </c>
      <c r="H5206" s="81" t="s">
        <v>4299</v>
      </c>
      <c r="I5206" s="81" t="s">
        <v>1207</v>
      </c>
      <c r="J5206" s="81" t="s">
        <v>6343</v>
      </c>
    </row>
    <row r="5207" hidden="1">
      <c r="A5207" s="83" t="s">
        <v>6339</v>
      </c>
      <c r="B5207" s="83" t="s">
        <v>6340</v>
      </c>
      <c r="C5207" s="81" t="s">
        <v>4621</v>
      </c>
      <c r="D5207" s="83" t="s">
        <v>4300</v>
      </c>
      <c r="E5207" s="81" t="s">
        <v>1211</v>
      </c>
      <c r="F5207" s="81">
        <v>239.0</v>
      </c>
      <c r="G5207" s="81" t="s">
        <v>41</v>
      </c>
      <c r="H5207" s="81" t="s">
        <v>4299</v>
      </c>
      <c r="I5207" s="81" t="s">
        <v>1207</v>
      </c>
      <c r="J5207" s="81" t="s">
        <v>6343</v>
      </c>
    </row>
    <row r="5208" hidden="1">
      <c r="A5208" s="83" t="s">
        <v>6339</v>
      </c>
      <c r="B5208" s="83" t="s">
        <v>6340</v>
      </c>
      <c r="C5208" s="81" t="s">
        <v>4621</v>
      </c>
      <c r="D5208" s="83" t="s">
        <v>4301</v>
      </c>
      <c r="E5208" s="81" t="s">
        <v>1214</v>
      </c>
      <c r="F5208" s="81">
        <v>240.0</v>
      </c>
      <c r="G5208" s="81" t="s">
        <v>41</v>
      </c>
      <c r="H5208" s="81" t="s">
        <v>4302</v>
      </c>
      <c r="I5208" s="81" t="s">
        <v>1218</v>
      </c>
      <c r="J5208" s="81" t="s">
        <v>6343</v>
      </c>
    </row>
    <row r="5209" hidden="1">
      <c r="A5209" s="83" t="s">
        <v>6339</v>
      </c>
      <c r="B5209" s="83" t="s">
        <v>6340</v>
      </c>
      <c r="C5209" s="81" t="s">
        <v>4621</v>
      </c>
      <c r="D5209" s="83" t="s">
        <v>4301</v>
      </c>
      <c r="E5209" s="81" t="s">
        <v>1221</v>
      </c>
      <c r="F5209" s="81">
        <v>241.0</v>
      </c>
      <c r="G5209" s="81" t="s">
        <v>41</v>
      </c>
      <c r="H5209" s="81" t="s">
        <v>4302</v>
      </c>
      <c r="I5209" s="81" t="s">
        <v>1218</v>
      </c>
      <c r="J5209" s="81" t="s">
        <v>6343</v>
      </c>
    </row>
    <row r="5210" hidden="1">
      <c r="A5210" s="83" t="s">
        <v>6339</v>
      </c>
      <c r="B5210" s="83" t="s">
        <v>6340</v>
      </c>
      <c r="C5210" s="81" t="s">
        <v>4621</v>
      </c>
      <c r="D5210" s="83" t="s">
        <v>4303</v>
      </c>
      <c r="E5210" s="81" t="s">
        <v>1222</v>
      </c>
      <c r="F5210" s="81">
        <v>242.0</v>
      </c>
      <c r="G5210" s="81" t="s">
        <v>41</v>
      </c>
      <c r="H5210" s="81" t="s">
        <v>4302</v>
      </c>
      <c r="I5210" s="81" t="s">
        <v>1218</v>
      </c>
      <c r="J5210" s="81" t="s">
        <v>6343</v>
      </c>
    </row>
    <row r="5211" hidden="1">
      <c r="A5211" s="83" t="s">
        <v>6339</v>
      </c>
      <c r="B5211" s="83" t="s">
        <v>6340</v>
      </c>
      <c r="C5211" s="81" t="s">
        <v>4082</v>
      </c>
      <c r="D5211" s="83" t="s">
        <v>4304</v>
      </c>
      <c r="E5211" s="81" t="s">
        <v>1225</v>
      </c>
      <c r="F5211" s="81">
        <v>243.0</v>
      </c>
      <c r="G5211" s="81" t="s">
        <v>41</v>
      </c>
      <c r="H5211" s="81" t="s">
        <v>1233</v>
      </c>
      <c r="I5211" s="81" t="s">
        <v>224</v>
      </c>
      <c r="J5211" s="81" t="s">
        <v>6346</v>
      </c>
    </row>
    <row r="5212" hidden="1">
      <c r="A5212" s="83" t="s">
        <v>6339</v>
      </c>
      <c r="B5212" s="83" t="s">
        <v>6340</v>
      </c>
      <c r="C5212" s="81" t="s">
        <v>4082</v>
      </c>
      <c r="D5212" s="83" t="s">
        <v>4306</v>
      </c>
      <c r="E5212" s="81" t="s">
        <v>1237</v>
      </c>
      <c r="F5212" s="81">
        <v>246.0</v>
      </c>
      <c r="G5212" s="81" t="s">
        <v>41</v>
      </c>
      <c r="H5212" s="81" t="s">
        <v>1237</v>
      </c>
      <c r="I5212" s="81" t="s">
        <v>224</v>
      </c>
      <c r="J5212" s="81" t="s">
        <v>6347</v>
      </c>
    </row>
    <row r="5213" hidden="1">
      <c r="A5213" s="83" t="s">
        <v>6339</v>
      </c>
      <c r="B5213" s="83" t="s">
        <v>6340</v>
      </c>
      <c r="C5213" s="81" t="s">
        <v>4621</v>
      </c>
      <c r="D5213" s="83" t="s">
        <v>4309</v>
      </c>
      <c r="E5213" s="81" t="s">
        <v>1251</v>
      </c>
      <c r="F5213" s="81">
        <v>248.0</v>
      </c>
      <c r="G5213" s="81" t="s">
        <v>41</v>
      </c>
      <c r="H5213" s="81" t="s">
        <v>1251</v>
      </c>
      <c r="I5213" s="81" t="s">
        <v>1262</v>
      </c>
      <c r="J5213" s="81" t="s">
        <v>6343</v>
      </c>
    </row>
    <row r="5214" hidden="1">
      <c r="A5214" s="83" t="s">
        <v>6339</v>
      </c>
      <c r="B5214" s="83" t="s">
        <v>6340</v>
      </c>
      <c r="C5214" s="81" t="s">
        <v>4621</v>
      </c>
      <c r="D5214" s="83" t="s">
        <v>4309</v>
      </c>
      <c r="E5214" s="81" t="s">
        <v>1267</v>
      </c>
      <c r="F5214" s="81">
        <v>249.0</v>
      </c>
      <c r="G5214" s="81" t="s">
        <v>41</v>
      </c>
      <c r="H5214" s="81" t="s">
        <v>1251</v>
      </c>
      <c r="I5214" s="81" t="s">
        <v>1262</v>
      </c>
      <c r="J5214" s="81" t="s">
        <v>6343</v>
      </c>
    </row>
    <row r="5215" hidden="1">
      <c r="A5215" s="83" t="s">
        <v>6339</v>
      </c>
      <c r="B5215" s="83" t="s">
        <v>6340</v>
      </c>
      <c r="C5215" s="81" t="s">
        <v>4621</v>
      </c>
      <c r="D5215" s="83" t="s">
        <v>4310</v>
      </c>
      <c r="E5215" s="81" t="s">
        <v>1268</v>
      </c>
      <c r="F5215" s="81">
        <v>250.0</v>
      </c>
      <c r="G5215" s="81" t="s">
        <v>41</v>
      </c>
      <c r="H5215" s="81" t="s">
        <v>1251</v>
      </c>
      <c r="I5215" s="81" t="s">
        <v>1262</v>
      </c>
      <c r="J5215" s="81" t="s">
        <v>6343</v>
      </c>
    </row>
    <row r="5216" hidden="1">
      <c r="A5216" s="83" t="s">
        <v>6339</v>
      </c>
      <c r="B5216" s="83" t="s">
        <v>6340</v>
      </c>
      <c r="C5216" s="81" t="s">
        <v>4621</v>
      </c>
      <c r="D5216" s="83" t="s">
        <v>4311</v>
      </c>
      <c r="E5216" s="81" t="s">
        <v>1271</v>
      </c>
      <c r="F5216" s="81">
        <v>251.0</v>
      </c>
      <c r="G5216" s="81" t="s">
        <v>41</v>
      </c>
      <c r="H5216" s="81" t="s">
        <v>1271</v>
      </c>
      <c r="I5216" s="81" t="s">
        <v>1280</v>
      </c>
      <c r="J5216" s="81" t="s">
        <v>6343</v>
      </c>
    </row>
    <row r="5217" hidden="1">
      <c r="A5217" s="83" t="s">
        <v>6339</v>
      </c>
      <c r="B5217" s="83" t="s">
        <v>6340</v>
      </c>
      <c r="C5217" s="81" t="s">
        <v>4621</v>
      </c>
      <c r="D5217" s="83" t="s">
        <v>4311</v>
      </c>
      <c r="E5217" s="81" t="s">
        <v>1285</v>
      </c>
      <c r="F5217" s="81">
        <v>252.0</v>
      </c>
      <c r="G5217" s="81" t="s">
        <v>41</v>
      </c>
      <c r="H5217" s="81" t="s">
        <v>1271</v>
      </c>
      <c r="I5217" s="81" t="s">
        <v>1280</v>
      </c>
      <c r="J5217" s="81" t="s">
        <v>6343</v>
      </c>
    </row>
    <row r="5218" hidden="1">
      <c r="A5218" s="83" t="s">
        <v>6339</v>
      </c>
      <c r="B5218" s="83" t="s">
        <v>6340</v>
      </c>
      <c r="C5218" s="81" t="s">
        <v>4621</v>
      </c>
      <c r="D5218" s="83" t="s">
        <v>4313</v>
      </c>
      <c r="E5218" s="81" t="s">
        <v>1286</v>
      </c>
      <c r="F5218" s="81">
        <v>253.0</v>
      </c>
      <c r="G5218" s="81" t="s">
        <v>41</v>
      </c>
      <c r="H5218" s="81" t="s">
        <v>1271</v>
      </c>
      <c r="I5218" s="81" t="s">
        <v>1280</v>
      </c>
      <c r="J5218" s="81" t="s">
        <v>6343</v>
      </c>
    </row>
    <row r="5219" hidden="1">
      <c r="A5219" s="83" t="s">
        <v>6339</v>
      </c>
      <c r="B5219" s="83" t="s">
        <v>6340</v>
      </c>
      <c r="C5219" s="81" t="s">
        <v>4621</v>
      </c>
      <c r="D5219" s="83" t="s">
        <v>4314</v>
      </c>
      <c r="E5219" s="81" t="s">
        <v>1289</v>
      </c>
      <c r="F5219" s="81">
        <v>254.0</v>
      </c>
      <c r="G5219" s="81" t="s">
        <v>41</v>
      </c>
      <c r="H5219" s="81" t="s">
        <v>1401</v>
      </c>
      <c r="I5219" s="81" t="s">
        <v>1296</v>
      </c>
      <c r="J5219" s="81" t="s">
        <v>6343</v>
      </c>
    </row>
    <row r="5220" hidden="1">
      <c r="A5220" s="83" t="s">
        <v>6339</v>
      </c>
      <c r="B5220" s="83" t="s">
        <v>6340</v>
      </c>
      <c r="C5220" s="81" t="s">
        <v>4621</v>
      </c>
      <c r="D5220" s="83" t="s">
        <v>4315</v>
      </c>
      <c r="E5220" s="81" t="s">
        <v>1297</v>
      </c>
      <c r="F5220" s="81">
        <v>255.0</v>
      </c>
      <c r="G5220" s="81" t="s">
        <v>41</v>
      </c>
      <c r="H5220" s="81" t="s">
        <v>1297</v>
      </c>
      <c r="I5220" s="81" t="s">
        <v>1308</v>
      </c>
      <c r="J5220" s="81" t="s">
        <v>6343</v>
      </c>
    </row>
    <row r="5221" hidden="1">
      <c r="A5221" s="83" t="s">
        <v>6339</v>
      </c>
      <c r="B5221" s="83" t="s">
        <v>6340</v>
      </c>
      <c r="C5221" s="81" t="s">
        <v>4082</v>
      </c>
      <c r="D5221" s="83" t="s">
        <v>4316</v>
      </c>
      <c r="E5221" s="81" t="s">
        <v>1313</v>
      </c>
      <c r="F5221" s="81">
        <v>256.0</v>
      </c>
      <c r="G5221" s="81" t="s">
        <v>39</v>
      </c>
      <c r="H5221" s="81" t="s">
        <v>224</v>
      </c>
      <c r="I5221" s="81" t="s">
        <v>224</v>
      </c>
      <c r="J5221" s="81" t="s">
        <v>5515</v>
      </c>
    </row>
    <row r="5222" hidden="1">
      <c r="A5222" s="83" t="s">
        <v>6339</v>
      </c>
      <c r="B5222" s="83" t="s">
        <v>6340</v>
      </c>
      <c r="C5222" s="81" t="s">
        <v>4621</v>
      </c>
      <c r="D5222" s="83" t="s">
        <v>4316</v>
      </c>
      <c r="E5222" s="81" t="s">
        <v>1313</v>
      </c>
      <c r="F5222" s="81">
        <v>256.0</v>
      </c>
      <c r="G5222" s="81" t="s">
        <v>41</v>
      </c>
      <c r="H5222" s="81" t="s">
        <v>1313</v>
      </c>
      <c r="I5222" s="81" t="s">
        <v>1320</v>
      </c>
      <c r="J5222" s="81" t="s">
        <v>6343</v>
      </c>
    </row>
    <row r="5223" hidden="1">
      <c r="A5223" s="83" t="s">
        <v>6339</v>
      </c>
      <c r="B5223" s="83" t="s">
        <v>6340</v>
      </c>
      <c r="C5223" s="81" t="s">
        <v>4621</v>
      </c>
      <c r="D5223" s="83" t="s">
        <v>4317</v>
      </c>
      <c r="E5223" s="81" t="s">
        <v>1325</v>
      </c>
      <c r="F5223" s="81">
        <v>257.0</v>
      </c>
      <c r="G5223" s="81" t="s">
        <v>41</v>
      </c>
      <c r="H5223" s="81" t="s">
        <v>1325</v>
      </c>
      <c r="I5223" s="81" t="s">
        <v>1331</v>
      </c>
      <c r="J5223" s="81" t="s">
        <v>6343</v>
      </c>
    </row>
    <row r="5224" hidden="1">
      <c r="A5224" s="83" t="s">
        <v>6339</v>
      </c>
      <c r="B5224" s="83" t="s">
        <v>6340</v>
      </c>
      <c r="C5224" s="81" t="s">
        <v>4621</v>
      </c>
      <c r="D5224" s="83" t="s">
        <v>4318</v>
      </c>
      <c r="E5224" s="81" t="s">
        <v>1336</v>
      </c>
      <c r="F5224" s="81">
        <v>258.0</v>
      </c>
      <c r="G5224" s="81" t="s">
        <v>41</v>
      </c>
      <c r="H5224" s="81" t="s">
        <v>1336</v>
      </c>
      <c r="I5224" s="81" t="s">
        <v>1345</v>
      </c>
      <c r="J5224" s="81" t="s">
        <v>6343</v>
      </c>
    </row>
    <row r="5225" hidden="1">
      <c r="A5225" s="83" t="s">
        <v>6339</v>
      </c>
      <c r="B5225" s="83" t="s">
        <v>6340</v>
      </c>
      <c r="C5225" s="81" t="s">
        <v>4621</v>
      </c>
      <c r="D5225" s="83" t="s">
        <v>4319</v>
      </c>
      <c r="E5225" s="81" t="s">
        <v>1350</v>
      </c>
      <c r="F5225" s="81">
        <v>259.0</v>
      </c>
      <c r="G5225" s="81" t="s">
        <v>41</v>
      </c>
      <c r="H5225" s="81" t="s">
        <v>1350</v>
      </c>
      <c r="I5225" s="81" t="s">
        <v>1355</v>
      </c>
      <c r="J5225" s="81" t="s">
        <v>6343</v>
      </c>
    </row>
    <row r="5226" hidden="1">
      <c r="A5226" s="83" t="s">
        <v>6339</v>
      </c>
      <c r="B5226" s="83" t="s">
        <v>6340</v>
      </c>
      <c r="C5226" s="81" t="s">
        <v>4621</v>
      </c>
      <c r="D5226" s="83" t="s">
        <v>4338</v>
      </c>
      <c r="E5226" s="81" t="s">
        <v>1401</v>
      </c>
      <c r="F5226" s="81">
        <v>274.0</v>
      </c>
      <c r="G5226" s="81" t="s">
        <v>41</v>
      </c>
      <c r="H5226" s="81" t="s">
        <v>1401</v>
      </c>
      <c r="I5226" s="81" t="s">
        <v>1296</v>
      </c>
      <c r="J5226" s="81" t="s">
        <v>6343</v>
      </c>
    </row>
    <row r="5227" hidden="1">
      <c r="A5227" s="83" t="s">
        <v>6339</v>
      </c>
      <c r="B5227" s="83" t="s">
        <v>6340</v>
      </c>
      <c r="C5227" s="81" t="s">
        <v>4621</v>
      </c>
      <c r="D5227" s="83" t="s">
        <v>4338</v>
      </c>
      <c r="E5227" s="81" t="s">
        <v>1419</v>
      </c>
      <c r="F5227" s="81">
        <v>275.0</v>
      </c>
      <c r="G5227" s="81" t="s">
        <v>41</v>
      </c>
      <c r="H5227" s="81" t="s">
        <v>1401</v>
      </c>
      <c r="I5227" s="81" t="s">
        <v>1296</v>
      </c>
      <c r="J5227" s="81" t="s">
        <v>6343</v>
      </c>
    </row>
    <row r="5228" hidden="1">
      <c r="A5228" s="83" t="s">
        <v>6339</v>
      </c>
      <c r="B5228" s="83" t="s">
        <v>6340</v>
      </c>
      <c r="C5228" s="81" t="s">
        <v>4621</v>
      </c>
      <c r="D5228" s="83" t="s">
        <v>4341</v>
      </c>
      <c r="E5228" s="81" t="s">
        <v>1423</v>
      </c>
      <c r="F5228" s="81">
        <v>276.0</v>
      </c>
      <c r="G5228" s="81" t="s">
        <v>41</v>
      </c>
      <c r="H5228" s="81" t="s">
        <v>1401</v>
      </c>
      <c r="I5228" s="81" t="s">
        <v>1296</v>
      </c>
      <c r="J5228" s="81" t="s">
        <v>6343</v>
      </c>
    </row>
    <row r="5229" hidden="1">
      <c r="A5229" s="83" t="s">
        <v>6339</v>
      </c>
      <c r="B5229" s="83" t="s">
        <v>6340</v>
      </c>
      <c r="C5229" s="81" t="s">
        <v>4621</v>
      </c>
      <c r="D5229" s="83" t="s">
        <v>4342</v>
      </c>
      <c r="E5229" s="81" t="s">
        <v>1426</v>
      </c>
      <c r="F5229" s="81">
        <v>277.0</v>
      </c>
      <c r="G5229" s="81" t="s">
        <v>41</v>
      </c>
      <c r="H5229" s="81" t="s">
        <v>1401</v>
      </c>
      <c r="I5229" s="81" t="s">
        <v>1296</v>
      </c>
      <c r="J5229" s="81" t="s">
        <v>6343</v>
      </c>
    </row>
    <row r="5230" hidden="1">
      <c r="A5230" s="83" t="s">
        <v>6339</v>
      </c>
      <c r="B5230" s="83" t="s">
        <v>6340</v>
      </c>
      <c r="C5230" s="81" t="s">
        <v>4621</v>
      </c>
      <c r="D5230" s="83" t="s">
        <v>4344</v>
      </c>
      <c r="E5230" s="81" t="s">
        <v>1438</v>
      </c>
      <c r="F5230" s="81">
        <v>278.0</v>
      </c>
      <c r="G5230" s="81" t="s">
        <v>41</v>
      </c>
      <c r="H5230" s="81" t="s">
        <v>1401</v>
      </c>
      <c r="I5230" s="81" t="s">
        <v>1296</v>
      </c>
      <c r="J5230" s="81" t="s">
        <v>6343</v>
      </c>
    </row>
    <row r="5231" hidden="1">
      <c r="A5231" s="83" t="s">
        <v>6339</v>
      </c>
      <c r="B5231" s="83" t="s">
        <v>6340</v>
      </c>
      <c r="C5231" s="81" t="s">
        <v>4621</v>
      </c>
      <c r="D5231" s="83" t="s">
        <v>4345</v>
      </c>
      <c r="E5231" s="81" t="s">
        <v>1441</v>
      </c>
      <c r="F5231" s="81">
        <v>279.0</v>
      </c>
      <c r="G5231" s="81" t="s">
        <v>41</v>
      </c>
      <c r="H5231" s="81" t="s">
        <v>1401</v>
      </c>
      <c r="I5231" s="81" t="s">
        <v>1296</v>
      </c>
      <c r="J5231" s="81" t="s">
        <v>6343</v>
      </c>
    </row>
    <row r="5232" hidden="1">
      <c r="A5232" s="83" t="s">
        <v>6339</v>
      </c>
      <c r="B5232" s="83" t="s">
        <v>6340</v>
      </c>
      <c r="C5232" s="81" t="s">
        <v>4621</v>
      </c>
      <c r="D5232" s="83" t="s">
        <v>4347</v>
      </c>
      <c r="E5232" s="81" t="s">
        <v>1453</v>
      </c>
      <c r="F5232" s="81">
        <v>280.0</v>
      </c>
      <c r="G5232" s="81" t="s">
        <v>41</v>
      </c>
      <c r="H5232" s="81" t="s">
        <v>1401</v>
      </c>
      <c r="I5232" s="81" t="s">
        <v>1296</v>
      </c>
      <c r="J5232" s="81" t="s">
        <v>6343</v>
      </c>
    </row>
    <row r="5233" hidden="1">
      <c r="A5233" s="83" t="s">
        <v>6339</v>
      </c>
      <c r="B5233" s="83" t="s">
        <v>6340</v>
      </c>
      <c r="C5233" s="81" t="s">
        <v>4621</v>
      </c>
      <c r="D5233" s="83" t="s">
        <v>4348</v>
      </c>
      <c r="E5233" s="81" t="s">
        <v>1456</v>
      </c>
      <c r="F5233" s="81">
        <v>281.0</v>
      </c>
      <c r="G5233" s="81" t="s">
        <v>41</v>
      </c>
      <c r="H5233" s="81" t="s">
        <v>1401</v>
      </c>
      <c r="I5233" s="81" t="s">
        <v>1296</v>
      </c>
      <c r="J5233" s="81" t="s">
        <v>6343</v>
      </c>
    </row>
    <row r="5234" hidden="1">
      <c r="A5234" s="83" t="s">
        <v>6339</v>
      </c>
      <c r="B5234" s="83" t="s">
        <v>6340</v>
      </c>
      <c r="C5234" s="81" t="s">
        <v>4621</v>
      </c>
      <c r="D5234" s="83" t="s">
        <v>4350</v>
      </c>
      <c r="E5234" s="81" t="s">
        <v>1467</v>
      </c>
      <c r="F5234" s="81">
        <v>282.0</v>
      </c>
      <c r="G5234" s="81" t="s">
        <v>41</v>
      </c>
      <c r="H5234" s="81" t="s">
        <v>1401</v>
      </c>
      <c r="I5234" s="81" t="s">
        <v>1296</v>
      </c>
      <c r="J5234" s="81" t="s">
        <v>6343</v>
      </c>
    </row>
    <row r="5235" hidden="1">
      <c r="A5235" s="83" t="s">
        <v>6339</v>
      </c>
      <c r="B5235" s="83" t="s">
        <v>6340</v>
      </c>
      <c r="C5235" s="81" t="s">
        <v>4082</v>
      </c>
      <c r="D5235" s="83" t="s">
        <v>4351</v>
      </c>
      <c r="E5235" s="81" t="s">
        <v>1470</v>
      </c>
      <c r="F5235" s="81">
        <v>283.0</v>
      </c>
      <c r="G5235" s="81" t="s">
        <v>41</v>
      </c>
      <c r="H5235" s="81" t="s">
        <v>1476</v>
      </c>
      <c r="I5235" s="81" t="s">
        <v>224</v>
      </c>
      <c r="J5235" s="81" t="s">
        <v>6348</v>
      </c>
    </row>
    <row r="5236" hidden="1">
      <c r="A5236" s="83" t="s">
        <v>6339</v>
      </c>
      <c r="B5236" s="83" t="s">
        <v>6340</v>
      </c>
      <c r="C5236" s="81" t="s">
        <v>4621</v>
      </c>
      <c r="D5236" s="83" t="s">
        <v>4354</v>
      </c>
      <c r="E5236" s="81" t="s">
        <v>1480</v>
      </c>
      <c r="F5236" s="81">
        <v>286.0</v>
      </c>
      <c r="G5236" s="81" t="s">
        <v>41</v>
      </c>
      <c r="H5236" s="81" t="s">
        <v>1401</v>
      </c>
      <c r="I5236" s="81" t="s">
        <v>1296</v>
      </c>
      <c r="J5236" s="81" t="s">
        <v>6343</v>
      </c>
    </row>
    <row r="5237" hidden="1">
      <c r="A5237" s="83" t="s">
        <v>6339</v>
      </c>
      <c r="B5237" s="83" t="s">
        <v>6340</v>
      </c>
      <c r="C5237" s="81" t="s">
        <v>4621</v>
      </c>
      <c r="D5237" s="83" t="s">
        <v>4355</v>
      </c>
      <c r="E5237" s="81" t="s">
        <v>1483</v>
      </c>
      <c r="F5237" s="81">
        <v>287.0</v>
      </c>
      <c r="G5237" s="81" t="s">
        <v>41</v>
      </c>
      <c r="H5237" s="81" t="s">
        <v>1401</v>
      </c>
      <c r="I5237" s="81" t="s">
        <v>1296</v>
      </c>
      <c r="J5237" s="81" t="s">
        <v>6343</v>
      </c>
    </row>
    <row r="5238" hidden="1">
      <c r="A5238" s="83" t="s">
        <v>6339</v>
      </c>
      <c r="B5238" s="83" t="s">
        <v>6340</v>
      </c>
      <c r="C5238" s="81" t="s">
        <v>4621</v>
      </c>
      <c r="D5238" s="83" t="s">
        <v>4356</v>
      </c>
      <c r="E5238" s="81" t="s">
        <v>1486</v>
      </c>
      <c r="F5238" s="81">
        <v>288.0</v>
      </c>
      <c r="G5238" s="81" t="s">
        <v>41</v>
      </c>
      <c r="H5238" s="81" t="s">
        <v>1401</v>
      </c>
      <c r="I5238" s="81" t="s">
        <v>1296</v>
      </c>
      <c r="J5238" s="81" t="s">
        <v>6343</v>
      </c>
    </row>
    <row r="5239" hidden="1">
      <c r="A5239" s="83" t="s">
        <v>6339</v>
      </c>
      <c r="B5239" s="83" t="s">
        <v>6340</v>
      </c>
      <c r="C5239" s="81" t="s">
        <v>4621</v>
      </c>
      <c r="D5239" s="83" t="s">
        <v>4357</v>
      </c>
      <c r="E5239" s="81" t="s">
        <v>1489</v>
      </c>
      <c r="F5239" s="81">
        <v>289.0</v>
      </c>
      <c r="G5239" s="81" t="s">
        <v>41</v>
      </c>
      <c r="H5239" s="81" t="s">
        <v>1401</v>
      </c>
      <c r="I5239" s="81" t="s">
        <v>1296</v>
      </c>
      <c r="J5239" s="81" t="s">
        <v>6343</v>
      </c>
    </row>
    <row r="5240" hidden="1">
      <c r="A5240" s="83" t="s">
        <v>6339</v>
      </c>
      <c r="B5240" s="83" t="s">
        <v>6340</v>
      </c>
      <c r="C5240" s="81" t="s">
        <v>4621</v>
      </c>
      <c r="D5240" s="83" t="s">
        <v>4357</v>
      </c>
      <c r="E5240" s="81" t="s">
        <v>1501</v>
      </c>
      <c r="F5240" s="81">
        <v>290.0</v>
      </c>
      <c r="G5240" s="81" t="s">
        <v>41</v>
      </c>
      <c r="H5240" s="81" t="s">
        <v>1401</v>
      </c>
      <c r="I5240" s="81" t="s">
        <v>1296</v>
      </c>
      <c r="J5240" s="81" t="s">
        <v>6343</v>
      </c>
    </row>
    <row r="5241" hidden="1">
      <c r="A5241" s="83" t="s">
        <v>6339</v>
      </c>
      <c r="B5241" s="83" t="s">
        <v>6340</v>
      </c>
      <c r="C5241" s="81" t="s">
        <v>4621</v>
      </c>
      <c r="D5241" s="83" t="s">
        <v>4358</v>
      </c>
      <c r="E5241" s="81" t="s">
        <v>1502</v>
      </c>
      <c r="F5241" s="81">
        <v>291.0</v>
      </c>
      <c r="G5241" s="81" t="s">
        <v>41</v>
      </c>
      <c r="H5241" s="81" t="s">
        <v>1401</v>
      </c>
      <c r="I5241" s="81" t="s">
        <v>1296</v>
      </c>
      <c r="J5241" s="81" t="s">
        <v>6343</v>
      </c>
    </row>
    <row r="5242" hidden="1">
      <c r="A5242" s="83" t="s">
        <v>6339</v>
      </c>
      <c r="B5242" s="83" t="s">
        <v>6340</v>
      </c>
      <c r="C5242" s="81" t="s">
        <v>4621</v>
      </c>
      <c r="D5242" s="83" t="s">
        <v>4359</v>
      </c>
      <c r="E5242" s="81" t="s">
        <v>1505</v>
      </c>
      <c r="F5242" s="81">
        <v>292.0</v>
      </c>
      <c r="G5242" s="81" t="s">
        <v>41</v>
      </c>
      <c r="H5242" s="81" t="s">
        <v>1401</v>
      </c>
      <c r="I5242" s="81" t="s">
        <v>1296</v>
      </c>
      <c r="J5242" s="81" t="s">
        <v>6343</v>
      </c>
    </row>
    <row r="5243" hidden="1">
      <c r="A5243" s="83" t="s">
        <v>6339</v>
      </c>
      <c r="B5243" s="83" t="s">
        <v>6340</v>
      </c>
      <c r="C5243" s="81" t="s">
        <v>4621</v>
      </c>
      <c r="D5243" s="83" t="s">
        <v>4359</v>
      </c>
      <c r="E5243" s="81" t="s">
        <v>1515</v>
      </c>
      <c r="F5243" s="81">
        <v>293.0</v>
      </c>
      <c r="G5243" s="81" t="s">
        <v>41</v>
      </c>
      <c r="H5243" s="81" t="s">
        <v>1401</v>
      </c>
      <c r="I5243" s="81" t="s">
        <v>1296</v>
      </c>
      <c r="J5243" s="81" t="s">
        <v>6343</v>
      </c>
    </row>
    <row r="5244" hidden="1">
      <c r="A5244" s="83" t="s">
        <v>6339</v>
      </c>
      <c r="B5244" s="83" t="s">
        <v>6340</v>
      </c>
      <c r="C5244" s="81" t="s">
        <v>4621</v>
      </c>
      <c r="D5244" s="83" t="s">
        <v>4360</v>
      </c>
      <c r="E5244" s="81" t="s">
        <v>1516</v>
      </c>
      <c r="F5244" s="81">
        <v>294.0</v>
      </c>
      <c r="G5244" s="81" t="s">
        <v>41</v>
      </c>
      <c r="H5244" s="81" t="s">
        <v>1401</v>
      </c>
      <c r="I5244" s="81" t="s">
        <v>1296</v>
      </c>
      <c r="J5244" s="81" t="s">
        <v>6343</v>
      </c>
    </row>
    <row r="5245" hidden="1">
      <c r="A5245" s="83" t="s">
        <v>6339</v>
      </c>
      <c r="B5245" s="83" t="s">
        <v>6340</v>
      </c>
      <c r="C5245" s="81" t="s">
        <v>4621</v>
      </c>
      <c r="D5245" s="83" t="s">
        <v>4361</v>
      </c>
      <c r="E5245" s="81" t="s">
        <v>1519</v>
      </c>
      <c r="F5245" s="81">
        <v>295.0</v>
      </c>
      <c r="G5245" s="81" t="s">
        <v>41</v>
      </c>
      <c r="H5245" s="81" t="s">
        <v>1401</v>
      </c>
      <c r="I5245" s="81" t="s">
        <v>1296</v>
      </c>
      <c r="J5245" s="81" t="s">
        <v>6343</v>
      </c>
    </row>
    <row r="5246" hidden="1">
      <c r="A5246" s="83" t="s">
        <v>6339</v>
      </c>
      <c r="B5246" s="83" t="s">
        <v>6340</v>
      </c>
      <c r="C5246" s="81" t="s">
        <v>4621</v>
      </c>
      <c r="D5246" s="83" t="s">
        <v>4361</v>
      </c>
      <c r="E5246" s="81" t="s">
        <v>1529</v>
      </c>
      <c r="F5246" s="81">
        <v>296.0</v>
      </c>
      <c r="G5246" s="81" t="s">
        <v>41</v>
      </c>
      <c r="H5246" s="81" t="s">
        <v>1401</v>
      </c>
      <c r="I5246" s="81" t="s">
        <v>1296</v>
      </c>
      <c r="J5246" s="81" t="s">
        <v>6343</v>
      </c>
    </row>
    <row r="5247" hidden="1">
      <c r="A5247" s="83" t="s">
        <v>6339</v>
      </c>
      <c r="B5247" s="83" t="s">
        <v>6340</v>
      </c>
      <c r="C5247" s="81" t="s">
        <v>4621</v>
      </c>
      <c r="D5247" s="83" t="s">
        <v>4362</v>
      </c>
      <c r="E5247" s="81" t="s">
        <v>1530</v>
      </c>
      <c r="F5247" s="81">
        <v>297.0</v>
      </c>
      <c r="G5247" s="81" t="s">
        <v>41</v>
      </c>
      <c r="H5247" s="81" t="s">
        <v>1401</v>
      </c>
      <c r="I5247" s="81" t="s">
        <v>1296</v>
      </c>
      <c r="J5247" s="81" t="s">
        <v>6343</v>
      </c>
    </row>
    <row r="5248" hidden="1">
      <c r="A5248" s="83" t="s">
        <v>6339</v>
      </c>
      <c r="B5248" s="83" t="s">
        <v>6340</v>
      </c>
      <c r="C5248" s="81" t="s">
        <v>4082</v>
      </c>
      <c r="D5248" s="83" t="s">
        <v>4363</v>
      </c>
      <c r="E5248" s="81" t="s">
        <v>1533</v>
      </c>
      <c r="F5248" s="81">
        <v>298.0</v>
      </c>
      <c r="G5248" s="81" t="s">
        <v>41</v>
      </c>
      <c r="H5248" s="81" t="s">
        <v>1550</v>
      </c>
      <c r="I5248" s="81" t="s">
        <v>224</v>
      </c>
      <c r="J5248" s="81" t="s">
        <v>6349</v>
      </c>
    </row>
    <row r="5249" hidden="1">
      <c r="A5249" s="83" t="s">
        <v>6339</v>
      </c>
      <c r="B5249" s="83" t="s">
        <v>6340</v>
      </c>
      <c r="C5249" s="81" t="s">
        <v>4621</v>
      </c>
      <c r="D5249" s="83" t="s">
        <v>4365</v>
      </c>
      <c r="E5249" s="81" t="s">
        <v>1554</v>
      </c>
      <c r="F5249" s="81">
        <v>301.0</v>
      </c>
      <c r="G5249" s="81" t="s">
        <v>41</v>
      </c>
      <c r="H5249" s="81" t="s">
        <v>1554</v>
      </c>
      <c r="I5249" s="81" t="s">
        <v>1559</v>
      </c>
      <c r="J5249" s="81" t="s">
        <v>6343</v>
      </c>
    </row>
    <row r="5250" hidden="1">
      <c r="A5250" s="83" t="s">
        <v>6339</v>
      </c>
      <c r="B5250" s="83" t="s">
        <v>6340</v>
      </c>
      <c r="C5250" s="81" t="s">
        <v>4621</v>
      </c>
      <c r="D5250" s="83" t="s">
        <v>4365</v>
      </c>
      <c r="E5250" s="81" t="s">
        <v>1560</v>
      </c>
      <c r="F5250" s="81">
        <v>302.0</v>
      </c>
      <c r="G5250" s="81" t="s">
        <v>41</v>
      </c>
      <c r="H5250" s="81" t="s">
        <v>1554</v>
      </c>
      <c r="I5250" s="81" t="s">
        <v>1559</v>
      </c>
      <c r="J5250" s="81" t="s">
        <v>6343</v>
      </c>
    </row>
    <row r="5251" hidden="1">
      <c r="A5251" s="83" t="s">
        <v>6339</v>
      </c>
      <c r="B5251" s="83" t="s">
        <v>6340</v>
      </c>
      <c r="C5251" s="81" t="s">
        <v>4621</v>
      </c>
      <c r="D5251" s="83" t="s">
        <v>4366</v>
      </c>
      <c r="E5251" s="81" t="s">
        <v>1562</v>
      </c>
      <c r="F5251" s="81">
        <v>303.0</v>
      </c>
      <c r="G5251" s="81" t="s">
        <v>41</v>
      </c>
      <c r="H5251" s="81" t="s">
        <v>1554</v>
      </c>
      <c r="I5251" s="81" t="s">
        <v>1559</v>
      </c>
      <c r="J5251" s="81" t="s">
        <v>6343</v>
      </c>
    </row>
    <row r="5252" hidden="1">
      <c r="A5252" s="83" t="s">
        <v>6339</v>
      </c>
      <c r="B5252" s="83" t="s">
        <v>6340</v>
      </c>
      <c r="C5252" s="81" t="s">
        <v>4621</v>
      </c>
      <c r="D5252" s="83" t="s">
        <v>4367</v>
      </c>
      <c r="E5252" s="81" t="s">
        <v>1564</v>
      </c>
      <c r="F5252" s="81">
        <v>304.0</v>
      </c>
      <c r="G5252" s="81" t="s">
        <v>41</v>
      </c>
      <c r="H5252" s="81" t="s">
        <v>1554</v>
      </c>
      <c r="I5252" s="81" t="s">
        <v>1559</v>
      </c>
      <c r="J5252" s="81" t="s">
        <v>6343</v>
      </c>
    </row>
    <row r="5253" hidden="1">
      <c r="A5253" s="83" t="s">
        <v>6339</v>
      </c>
      <c r="B5253" s="83" t="s">
        <v>6340</v>
      </c>
      <c r="C5253" s="81" t="s">
        <v>4621</v>
      </c>
      <c r="D5253" s="83" t="s">
        <v>4368</v>
      </c>
      <c r="E5253" s="81" t="s">
        <v>1566</v>
      </c>
      <c r="F5253" s="81">
        <v>305.0</v>
      </c>
      <c r="G5253" s="81" t="s">
        <v>41</v>
      </c>
      <c r="H5253" s="81" t="s">
        <v>1566</v>
      </c>
      <c r="I5253" s="81" t="s">
        <v>1569</v>
      </c>
      <c r="J5253" s="81" t="s">
        <v>6343</v>
      </c>
    </row>
    <row r="5254" hidden="1">
      <c r="A5254" s="83" t="s">
        <v>6339</v>
      </c>
      <c r="B5254" s="83" t="s">
        <v>6340</v>
      </c>
      <c r="C5254" s="81" t="s">
        <v>4621</v>
      </c>
      <c r="D5254" s="83" t="s">
        <v>4368</v>
      </c>
      <c r="E5254" s="81" t="s">
        <v>1570</v>
      </c>
      <c r="F5254" s="81">
        <v>306.0</v>
      </c>
      <c r="G5254" s="81" t="s">
        <v>41</v>
      </c>
      <c r="H5254" s="81" t="s">
        <v>1566</v>
      </c>
      <c r="I5254" s="81" t="s">
        <v>1569</v>
      </c>
      <c r="J5254" s="81" t="s">
        <v>6343</v>
      </c>
    </row>
    <row r="5255" hidden="1">
      <c r="A5255" s="83" t="s">
        <v>6339</v>
      </c>
      <c r="B5255" s="83" t="s">
        <v>6340</v>
      </c>
      <c r="C5255" s="81" t="s">
        <v>4621</v>
      </c>
      <c r="D5255" s="83" t="s">
        <v>4369</v>
      </c>
      <c r="E5255" s="81" t="s">
        <v>1571</v>
      </c>
      <c r="F5255" s="81">
        <v>307.0</v>
      </c>
      <c r="G5255" s="81" t="s">
        <v>41</v>
      </c>
      <c r="H5255" s="81" t="s">
        <v>1566</v>
      </c>
      <c r="I5255" s="81" t="s">
        <v>1569</v>
      </c>
      <c r="J5255" s="81" t="s">
        <v>6343</v>
      </c>
    </row>
    <row r="5256" hidden="1">
      <c r="A5256" s="83" t="s">
        <v>6339</v>
      </c>
      <c r="B5256" s="83" t="s">
        <v>6340</v>
      </c>
      <c r="C5256" s="81" t="s">
        <v>4621</v>
      </c>
      <c r="D5256" s="83" t="s">
        <v>4370</v>
      </c>
      <c r="E5256" s="81" t="s">
        <v>1573</v>
      </c>
      <c r="F5256" s="81">
        <v>308.0</v>
      </c>
      <c r="G5256" s="81" t="s">
        <v>41</v>
      </c>
      <c r="H5256" s="81" t="s">
        <v>1566</v>
      </c>
      <c r="I5256" s="81" t="s">
        <v>1569</v>
      </c>
      <c r="J5256" s="81" t="s">
        <v>6343</v>
      </c>
    </row>
    <row r="5257" hidden="1">
      <c r="A5257" s="83" t="s">
        <v>6339</v>
      </c>
      <c r="B5257" s="83" t="s">
        <v>6340</v>
      </c>
      <c r="C5257" s="81" t="s">
        <v>4621</v>
      </c>
      <c r="D5257" s="83" t="s">
        <v>4371</v>
      </c>
      <c r="E5257" s="81" t="s">
        <v>1575</v>
      </c>
      <c r="F5257" s="81">
        <v>309.0</v>
      </c>
      <c r="G5257" s="81" t="s">
        <v>41</v>
      </c>
      <c r="H5257" s="81" t="s">
        <v>459</v>
      </c>
      <c r="I5257" s="81" t="s">
        <v>467</v>
      </c>
      <c r="J5257" s="81" t="s">
        <v>6343</v>
      </c>
    </row>
    <row r="5258" hidden="1">
      <c r="A5258" s="83" t="s">
        <v>6339</v>
      </c>
      <c r="B5258" s="83" t="s">
        <v>6340</v>
      </c>
      <c r="C5258" s="81" t="s">
        <v>4621</v>
      </c>
      <c r="D5258" s="83" t="s">
        <v>4372</v>
      </c>
      <c r="E5258" s="81" t="s">
        <v>1577</v>
      </c>
      <c r="F5258" s="81">
        <v>310.0</v>
      </c>
      <c r="G5258" s="81" t="s">
        <v>41</v>
      </c>
      <c r="H5258" s="81" t="s">
        <v>1401</v>
      </c>
      <c r="I5258" s="81" t="s">
        <v>1296</v>
      </c>
      <c r="J5258" s="81" t="s">
        <v>6343</v>
      </c>
    </row>
    <row r="5259" hidden="1">
      <c r="A5259" s="83" t="s">
        <v>6339</v>
      </c>
      <c r="B5259" s="83" t="s">
        <v>6340</v>
      </c>
      <c r="C5259" s="81" t="s">
        <v>4621</v>
      </c>
      <c r="D5259" s="83" t="s">
        <v>4372</v>
      </c>
      <c r="E5259" s="81" t="s">
        <v>1581</v>
      </c>
      <c r="F5259" s="81">
        <v>311.0</v>
      </c>
      <c r="G5259" s="81" t="s">
        <v>41</v>
      </c>
      <c r="H5259" s="81" t="s">
        <v>1401</v>
      </c>
      <c r="I5259" s="81" t="s">
        <v>1296</v>
      </c>
      <c r="J5259" s="81" t="s">
        <v>6343</v>
      </c>
    </row>
    <row r="5260" hidden="1">
      <c r="A5260" s="83" t="s">
        <v>6339</v>
      </c>
      <c r="B5260" s="83" t="s">
        <v>6340</v>
      </c>
      <c r="C5260" s="81" t="s">
        <v>4621</v>
      </c>
      <c r="D5260" s="83" t="s">
        <v>4374</v>
      </c>
      <c r="E5260" s="81" t="s">
        <v>1583</v>
      </c>
      <c r="F5260" s="81">
        <v>312.0</v>
      </c>
      <c r="G5260" s="81" t="s">
        <v>41</v>
      </c>
      <c r="H5260" s="81" t="s">
        <v>1401</v>
      </c>
      <c r="I5260" s="81" t="s">
        <v>1296</v>
      </c>
      <c r="J5260" s="81" t="s">
        <v>6343</v>
      </c>
    </row>
    <row r="5261" hidden="1">
      <c r="A5261" s="83" t="s">
        <v>6339</v>
      </c>
      <c r="B5261" s="83" t="s">
        <v>6340</v>
      </c>
      <c r="C5261" s="81" t="s">
        <v>4621</v>
      </c>
      <c r="D5261" s="83" t="s">
        <v>4377</v>
      </c>
      <c r="E5261" s="81" t="s">
        <v>1594</v>
      </c>
      <c r="F5261" s="81">
        <v>316.0</v>
      </c>
      <c r="G5261" s="81" t="s">
        <v>41</v>
      </c>
      <c r="H5261" s="81" t="s">
        <v>1594</v>
      </c>
      <c r="I5261" s="81" t="s">
        <v>1604</v>
      </c>
      <c r="J5261" s="81" t="s">
        <v>6343</v>
      </c>
    </row>
    <row r="5262" hidden="1">
      <c r="A5262" s="83" t="s">
        <v>6339</v>
      </c>
      <c r="B5262" s="83" t="s">
        <v>6340</v>
      </c>
      <c r="C5262" s="81" t="s">
        <v>4621</v>
      </c>
      <c r="D5262" s="83" t="s">
        <v>4378</v>
      </c>
      <c r="E5262" s="81" t="s">
        <v>1609</v>
      </c>
      <c r="F5262" s="81">
        <v>317.0</v>
      </c>
      <c r="G5262" s="81" t="s">
        <v>41</v>
      </c>
      <c r="H5262" s="81" t="s">
        <v>4379</v>
      </c>
      <c r="I5262" s="81" t="s">
        <v>1615</v>
      </c>
      <c r="J5262" s="81" t="s">
        <v>6343</v>
      </c>
    </row>
    <row r="5263" hidden="1">
      <c r="A5263" s="83" t="s">
        <v>6339</v>
      </c>
      <c r="B5263" s="83" t="s">
        <v>6340</v>
      </c>
      <c r="C5263" s="81" t="s">
        <v>4621</v>
      </c>
      <c r="D5263" s="83" t="s">
        <v>4378</v>
      </c>
      <c r="E5263" s="81" t="s">
        <v>1616</v>
      </c>
      <c r="F5263" s="81">
        <v>318.0</v>
      </c>
      <c r="G5263" s="81" t="s">
        <v>41</v>
      </c>
      <c r="H5263" s="81" t="s">
        <v>4379</v>
      </c>
      <c r="I5263" s="81" t="s">
        <v>1615</v>
      </c>
      <c r="J5263" s="81" t="s">
        <v>6343</v>
      </c>
    </row>
    <row r="5264" hidden="1">
      <c r="A5264" s="83" t="s">
        <v>6339</v>
      </c>
      <c r="B5264" s="83" t="s">
        <v>6340</v>
      </c>
      <c r="C5264" s="81" t="s">
        <v>4082</v>
      </c>
      <c r="D5264" s="83" t="s">
        <v>4380</v>
      </c>
      <c r="E5264" s="81" t="s">
        <v>1617</v>
      </c>
      <c r="F5264" s="81">
        <v>319.0</v>
      </c>
      <c r="G5264" s="81" t="s">
        <v>39</v>
      </c>
      <c r="H5264" s="81" t="s">
        <v>224</v>
      </c>
      <c r="I5264" s="81" t="s">
        <v>224</v>
      </c>
      <c r="J5264" s="81" t="s">
        <v>5616</v>
      </c>
    </row>
    <row r="5265" hidden="1">
      <c r="A5265" s="83" t="s">
        <v>6339</v>
      </c>
      <c r="B5265" s="83" t="s">
        <v>6340</v>
      </c>
      <c r="C5265" s="81" t="s">
        <v>4621</v>
      </c>
      <c r="D5265" s="83" t="s">
        <v>4380</v>
      </c>
      <c r="E5265" s="81" t="s">
        <v>1617</v>
      </c>
      <c r="F5265" s="81">
        <v>319.0</v>
      </c>
      <c r="G5265" s="81" t="s">
        <v>41</v>
      </c>
      <c r="H5265" s="81" t="s">
        <v>4379</v>
      </c>
      <c r="I5265" s="81" t="s">
        <v>1615</v>
      </c>
      <c r="J5265" s="81" t="s">
        <v>6343</v>
      </c>
    </row>
    <row r="5266" hidden="1">
      <c r="A5266" s="83" t="s">
        <v>6339</v>
      </c>
      <c r="B5266" s="83" t="s">
        <v>6340</v>
      </c>
      <c r="C5266" s="81" t="s">
        <v>4621</v>
      </c>
      <c r="D5266" s="83" t="s">
        <v>4381</v>
      </c>
      <c r="E5266" s="81" t="s">
        <v>1620</v>
      </c>
      <c r="F5266" s="81">
        <v>320.0</v>
      </c>
      <c r="G5266" s="81" t="s">
        <v>41</v>
      </c>
      <c r="H5266" s="81" t="s">
        <v>1401</v>
      </c>
      <c r="I5266" s="81" t="s">
        <v>1296</v>
      </c>
      <c r="J5266" s="81" t="s">
        <v>6343</v>
      </c>
    </row>
    <row r="5267" hidden="1">
      <c r="A5267" s="83" t="s">
        <v>6339</v>
      </c>
      <c r="B5267" s="83" t="s">
        <v>6340</v>
      </c>
      <c r="C5267" s="81" t="s">
        <v>4621</v>
      </c>
      <c r="D5267" s="83" t="s">
        <v>4382</v>
      </c>
      <c r="E5267" s="81" t="s">
        <v>1623</v>
      </c>
      <c r="F5267" s="81">
        <v>321.0</v>
      </c>
      <c r="G5267" s="81" t="s">
        <v>41</v>
      </c>
      <c r="H5267" s="81" t="s">
        <v>1623</v>
      </c>
      <c r="I5267" s="81" t="s">
        <v>1627</v>
      </c>
      <c r="J5267" s="81" t="s">
        <v>6343</v>
      </c>
    </row>
    <row r="5268" hidden="1">
      <c r="A5268" s="83" t="s">
        <v>6339</v>
      </c>
      <c r="B5268" s="83" t="s">
        <v>6340</v>
      </c>
      <c r="C5268" s="81" t="s">
        <v>4621</v>
      </c>
      <c r="D5268" s="83" t="s">
        <v>4383</v>
      </c>
      <c r="E5268" s="81" t="s">
        <v>1629</v>
      </c>
      <c r="F5268" s="81">
        <v>322.0</v>
      </c>
      <c r="G5268" s="81" t="s">
        <v>41</v>
      </c>
      <c r="H5268" s="81" t="s">
        <v>1629</v>
      </c>
      <c r="I5268" s="81" t="s">
        <v>1640</v>
      </c>
      <c r="J5268" s="81" t="s">
        <v>6343</v>
      </c>
    </row>
    <row r="5269" hidden="1">
      <c r="A5269" s="83" t="s">
        <v>6339</v>
      </c>
      <c r="B5269" s="83" t="s">
        <v>6340</v>
      </c>
      <c r="C5269" s="81" t="s">
        <v>4621</v>
      </c>
      <c r="D5269" s="83" t="s">
        <v>4383</v>
      </c>
      <c r="E5269" s="81" t="s">
        <v>1645</v>
      </c>
      <c r="F5269" s="81">
        <v>323.0</v>
      </c>
      <c r="G5269" s="81" t="s">
        <v>41</v>
      </c>
      <c r="H5269" s="81" t="s">
        <v>1629</v>
      </c>
      <c r="I5269" s="81" t="s">
        <v>1640</v>
      </c>
      <c r="J5269" s="81" t="s">
        <v>6343</v>
      </c>
    </row>
    <row r="5270" hidden="1">
      <c r="A5270" s="83" t="s">
        <v>6339</v>
      </c>
      <c r="B5270" s="83" t="s">
        <v>6340</v>
      </c>
      <c r="C5270" s="81" t="s">
        <v>4621</v>
      </c>
      <c r="D5270" s="83" t="s">
        <v>4384</v>
      </c>
      <c r="E5270" s="81" t="s">
        <v>1646</v>
      </c>
      <c r="F5270" s="81">
        <v>324.0</v>
      </c>
      <c r="G5270" s="81" t="s">
        <v>41</v>
      </c>
      <c r="H5270" s="81" t="s">
        <v>1629</v>
      </c>
      <c r="I5270" s="81" t="s">
        <v>1640</v>
      </c>
      <c r="J5270" s="81" t="s">
        <v>6343</v>
      </c>
    </row>
    <row r="5271" hidden="1">
      <c r="A5271" s="83" t="s">
        <v>6339</v>
      </c>
      <c r="B5271" s="83" t="s">
        <v>6340</v>
      </c>
      <c r="C5271" s="81" t="s">
        <v>4621</v>
      </c>
      <c r="D5271" s="83" t="s">
        <v>4385</v>
      </c>
      <c r="E5271" s="81" t="s">
        <v>1649</v>
      </c>
      <c r="F5271" s="81">
        <v>325.0</v>
      </c>
      <c r="G5271" s="81" t="s">
        <v>41</v>
      </c>
      <c r="H5271" s="81" t="s">
        <v>1401</v>
      </c>
      <c r="I5271" s="81" t="s">
        <v>1296</v>
      </c>
      <c r="J5271" s="81" t="s">
        <v>6343</v>
      </c>
    </row>
    <row r="5272" hidden="1">
      <c r="A5272" s="83" t="s">
        <v>6339</v>
      </c>
      <c r="B5272" s="83" t="s">
        <v>6340</v>
      </c>
      <c r="C5272" s="81" t="s">
        <v>4621</v>
      </c>
      <c r="D5272" s="83" t="s">
        <v>4385</v>
      </c>
      <c r="E5272" s="81" t="s">
        <v>1652</v>
      </c>
      <c r="F5272" s="81">
        <v>326.0</v>
      </c>
      <c r="G5272" s="81" t="s">
        <v>41</v>
      </c>
      <c r="H5272" s="81" t="s">
        <v>1401</v>
      </c>
      <c r="I5272" s="81" t="s">
        <v>1296</v>
      </c>
      <c r="J5272" s="81" t="s">
        <v>6343</v>
      </c>
    </row>
    <row r="5273" hidden="1">
      <c r="A5273" s="83" t="s">
        <v>6339</v>
      </c>
      <c r="B5273" s="83" t="s">
        <v>6340</v>
      </c>
      <c r="C5273" s="81" t="s">
        <v>4621</v>
      </c>
      <c r="D5273" s="83" t="s">
        <v>4386</v>
      </c>
      <c r="E5273" s="81" t="s">
        <v>1653</v>
      </c>
      <c r="F5273" s="81">
        <v>327.0</v>
      </c>
      <c r="G5273" s="81" t="s">
        <v>41</v>
      </c>
      <c r="H5273" s="81" t="s">
        <v>1401</v>
      </c>
      <c r="I5273" s="81" t="s">
        <v>1296</v>
      </c>
      <c r="J5273" s="81" t="s">
        <v>6343</v>
      </c>
    </row>
    <row r="5274" hidden="1">
      <c r="A5274" s="83" t="s">
        <v>6339</v>
      </c>
      <c r="B5274" s="83" t="s">
        <v>6340</v>
      </c>
      <c r="C5274" s="81" t="s">
        <v>4621</v>
      </c>
      <c r="D5274" s="83" t="s">
        <v>4387</v>
      </c>
      <c r="E5274" s="81" t="s">
        <v>1655</v>
      </c>
      <c r="F5274" s="81">
        <v>328.0</v>
      </c>
      <c r="G5274" s="81" t="s">
        <v>41</v>
      </c>
      <c r="H5274" s="81" t="s">
        <v>1401</v>
      </c>
      <c r="I5274" s="81" t="s">
        <v>1296</v>
      </c>
      <c r="J5274" s="81" t="s">
        <v>6343</v>
      </c>
    </row>
    <row r="5275" hidden="1">
      <c r="A5275" s="83" t="s">
        <v>6339</v>
      </c>
      <c r="B5275" s="83" t="s">
        <v>6340</v>
      </c>
      <c r="C5275" s="81" t="s">
        <v>4621</v>
      </c>
      <c r="D5275" s="83" t="s">
        <v>4387</v>
      </c>
      <c r="E5275" s="81" t="s">
        <v>1665</v>
      </c>
      <c r="F5275" s="81">
        <v>329.0</v>
      </c>
      <c r="G5275" s="81" t="s">
        <v>41</v>
      </c>
      <c r="H5275" s="81" t="s">
        <v>1401</v>
      </c>
      <c r="I5275" s="81" t="s">
        <v>1296</v>
      </c>
      <c r="J5275" s="81" t="s">
        <v>6343</v>
      </c>
    </row>
    <row r="5276" hidden="1">
      <c r="A5276" s="83" t="s">
        <v>6339</v>
      </c>
      <c r="B5276" s="83" t="s">
        <v>6340</v>
      </c>
      <c r="C5276" s="81" t="s">
        <v>4621</v>
      </c>
      <c r="D5276" s="83" t="s">
        <v>4388</v>
      </c>
      <c r="E5276" s="81" t="s">
        <v>1666</v>
      </c>
      <c r="F5276" s="81">
        <v>330.0</v>
      </c>
      <c r="G5276" s="81" t="s">
        <v>41</v>
      </c>
      <c r="H5276" s="81" t="s">
        <v>1401</v>
      </c>
      <c r="I5276" s="81" t="s">
        <v>1296</v>
      </c>
      <c r="J5276" s="81" t="s">
        <v>6343</v>
      </c>
    </row>
    <row r="5277" hidden="1">
      <c r="A5277" s="83" t="s">
        <v>6339</v>
      </c>
      <c r="B5277" s="83" t="s">
        <v>6340</v>
      </c>
      <c r="C5277" s="81" t="s">
        <v>4082</v>
      </c>
      <c r="D5277" s="83" t="s">
        <v>4389</v>
      </c>
      <c r="E5277" s="81" t="s">
        <v>1670</v>
      </c>
      <c r="F5277" s="81">
        <v>331.0</v>
      </c>
      <c r="G5277" s="81" t="s">
        <v>41</v>
      </c>
      <c r="H5277" s="81" t="s">
        <v>1670</v>
      </c>
      <c r="I5277" s="81" t="s">
        <v>224</v>
      </c>
      <c r="J5277" s="81" t="s">
        <v>6350</v>
      </c>
    </row>
    <row r="5278" hidden="1">
      <c r="A5278" s="83" t="s">
        <v>6339</v>
      </c>
      <c r="B5278" s="83" t="s">
        <v>6340</v>
      </c>
      <c r="C5278" s="81" t="s">
        <v>4082</v>
      </c>
      <c r="D5278" s="83" t="s">
        <v>4391</v>
      </c>
      <c r="E5278" s="81" t="s">
        <v>1682</v>
      </c>
      <c r="F5278" s="81">
        <v>334.0</v>
      </c>
      <c r="G5278" s="81" t="s">
        <v>41</v>
      </c>
      <c r="H5278" s="81" t="s">
        <v>1687</v>
      </c>
      <c r="I5278" s="81" t="s">
        <v>224</v>
      </c>
      <c r="J5278" s="81" t="s">
        <v>6351</v>
      </c>
    </row>
    <row r="5279" hidden="1">
      <c r="A5279" s="83" t="s">
        <v>6339</v>
      </c>
      <c r="B5279" s="83" t="s">
        <v>6340</v>
      </c>
      <c r="C5279" s="81" t="s">
        <v>4082</v>
      </c>
      <c r="D5279" s="83" t="s">
        <v>4393</v>
      </c>
      <c r="E5279" s="81" t="s">
        <v>1690</v>
      </c>
      <c r="F5279" s="81">
        <v>335.0</v>
      </c>
      <c r="G5279" s="81" t="s">
        <v>41</v>
      </c>
      <c r="H5279" s="81" t="s">
        <v>1694</v>
      </c>
      <c r="I5279" s="81" t="s">
        <v>224</v>
      </c>
      <c r="J5279" s="81" t="s">
        <v>6352</v>
      </c>
    </row>
    <row r="5280" hidden="1">
      <c r="A5280" s="83" t="s">
        <v>6339</v>
      </c>
      <c r="B5280" s="83" t="s">
        <v>6340</v>
      </c>
      <c r="C5280" s="81" t="s">
        <v>4621</v>
      </c>
      <c r="D5280" s="83" t="s">
        <v>4395</v>
      </c>
      <c r="E5280" s="81" t="s">
        <v>1702</v>
      </c>
      <c r="F5280" s="81">
        <v>337.0</v>
      </c>
      <c r="G5280" s="81" t="s">
        <v>41</v>
      </c>
      <c r="H5280" s="81" t="s">
        <v>1158</v>
      </c>
      <c r="I5280" s="81" t="s">
        <v>1170</v>
      </c>
      <c r="J5280" s="81" t="s">
        <v>6343</v>
      </c>
    </row>
    <row r="5281" hidden="1">
      <c r="A5281" s="83" t="s">
        <v>6339</v>
      </c>
      <c r="B5281" s="83" t="s">
        <v>6340</v>
      </c>
      <c r="C5281" s="81" t="s">
        <v>4621</v>
      </c>
      <c r="D5281" s="83" t="s">
        <v>4395</v>
      </c>
      <c r="E5281" s="81" t="s">
        <v>1706</v>
      </c>
      <c r="F5281" s="81">
        <v>338.0</v>
      </c>
      <c r="G5281" s="81" t="s">
        <v>41</v>
      </c>
      <c r="H5281" s="81" t="s">
        <v>1158</v>
      </c>
      <c r="I5281" s="81" t="s">
        <v>1170</v>
      </c>
      <c r="J5281" s="81" t="s">
        <v>6343</v>
      </c>
    </row>
    <row r="5282" hidden="1">
      <c r="A5282" s="83" t="s">
        <v>6339</v>
      </c>
      <c r="B5282" s="83" t="s">
        <v>6340</v>
      </c>
      <c r="C5282" s="81" t="s">
        <v>4621</v>
      </c>
      <c r="D5282" s="83" t="s">
        <v>4397</v>
      </c>
      <c r="E5282" s="81" t="s">
        <v>1708</v>
      </c>
      <c r="F5282" s="81">
        <v>339.0</v>
      </c>
      <c r="G5282" s="81" t="s">
        <v>41</v>
      </c>
      <c r="H5282" s="81" t="s">
        <v>4398</v>
      </c>
      <c r="I5282" s="81" t="s">
        <v>1717</v>
      </c>
      <c r="J5282" s="81" t="s">
        <v>6343</v>
      </c>
    </row>
    <row r="5283" hidden="1">
      <c r="A5283" s="83" t="s">
        <v>6339</v>
      </c>
      <c r="B5283" s="83" t="s">
        <v>6340</v>
      </c>
      <c r="C5283" s="81" t="s">
        <v>4621</v>
      </c>
      <c r="D5283" s="83" t="s">
        <v>4397</v>
      </c>
      <c r="E5283" s="81" t="s">
        <v>1722</v>
      </c>
      <c r="F5283" s="81">
        <v>340.0</v>
      </c>
      <c r="G5283" s="81" t="s">
        <v>41</v>
      </c>
      <c r="H5283" s="81" t="s">
        <v>4398</v>
      </c>
      <c r="I5283" s="81" t="s">
        <v>1717</v>
      </c>
      <c r="J5283" s="81" t="s">
        <v>6343</v>
      </c>
    </row>
    <row r="5284" hidden="1">
      <c r="A5284" s="83" t="s">
        <v>6339</v>
      </c>
      <c r="B5284" s="83" t="s">
        <v>6340</v>
      </c>
      <c r="C5284" s="81" t="s">
        <v>4621</v>
      </c>
      <c r="D5284" s="83" t="s">
        <v>4399</v>
      </c>
      <c r="E5284" s="81" t="s">
        <v>1723</v>
      </c>
      <c r="F5284" s="81">
        <v>341.0</v>
      </c>
      <c r="G5284" s="81" t="s">
        <v>41</v>
      </c>
      <c r="H5284" s="81" t="s">
        <v>4398</v>
      </c>
      <c r="I5284" s="81" t="s">
        <v>1717</v>
      </c>
      <c r="J5284" s="81" t="s">
        <v>6343</v>
      </c>
    </row>
    <row r="5285" hidden="1">
      <c r="A5285" s="83" t="s">
        <v>6339</v>
      </c>
      <c r="B5285" s="83" t="s">
        <v>6340</v>
      </c>
      <c r="C5285" s="81" t="s">
        <v>4621</v>
      </c>
      <c r="D5285" s="83" t="s">
        <v>4400</v>
      </c>
      <c r="E5285" s="81" t="s">
        <v>1726</v>
      </c>
      <c r="F5285" s="81">
        <v>342.0</v>
      </c>
      <c r="G5285" s="81" t="s">
        <v>41</v>
      </c>
      <c r="H5285" s="81" t="s">
        <v>4398</v>
      </c>
      <c r="I5285" s="81" t="s">
        <v>1717</v>
      </c>
      <c r="J5285" s="81" t="s">
        <v>6343</v>
      </c>
    </row>
    <row r="5286" hidden="1">
      <c r="A5286" s="83" t="s">
        <v>6339</v>
      </c>
      <c r="B5286" s="83" t="s">
        <v>6340</v>
      </c>
      <c r="C5286" s="81" t="s">
        <v>4621</v>
      </c>
      <c r="D5286" s="83" t="s">
        <v>4401</v>
      </c>
      <c r="E5286" s="81" t="s">
        <v>1736</v>
      </c>
      <c r="F5286" s="81">
        <v>343.0</v>
      </c>
      <c r="G5286" s="81" t="s">
        <v>41</v>
      </c>
      <c r="H5286" s="81" t="s">
        <v>4398</v>
      </c>
      <c r="I5286" s="81" t="s">
        <v>1717</v>
      </c>
      <c r="J5286" s="81" t="s">
        <v>6343</v>
      </c>
    </row>
    <row r="5287" hidden="1">
      <c r="A5287" s="83" t="s">
        <v>6339</v>
      </c>
      <c r="B5287" s="83" t="s">
        <v>6340</v>
      </c>
      <c r="C5287" s="81" t="s">
        <v>4621</v>
      </c>
      <c r="D5287" s="83" t="s">
        <v>4404</v>
      </c>
      <c r="E5287" s="81" t="s">
        <v>1744</v>
      </c>
      <c r="F5287" s="81">
        <v>347.0</v>
      </c>
      <c r="G5287" s="81" t="s">
        <v>41</v>
      </c>
      <c r="H5287" s="81" t="s">
        <v>4398</v>
      </c>
      <c r="I5287" s="81" t="s">
        <v>1717</v>
      </c>
      <c r="J5287" s="81" t="s">
        <v>6343</v>
      </c>
    </row>
    <row r="5288" hidden="1">
      <c r="A5288" s="83" t="s">
        <v>6339</v>
      </c>
      <c r="B5288" s="83" t="s">
        <v>6340</v>
      </c>
      <c r="C5288" s="81" t="s">
        <v>4621</v>
      </c>
      <c r="D5288" s="83" t="s">
        <v>4405</v>
      </c>
      <c r="E5288" s="81" t="s">
        <v>1753</v>
      </c>
      <c r="F5288" s="81">
        <v>348.0</v>
      </c>
      <c r="G5288" s="81" t="s">
        <v>41</v>
      </c>
      <c r="H5288" s="81" t="s">
        <v>4398</v>
      </c>
      <c r="I5288" s="81" t="s">
        <v>1717</v>
      </c>
      <c r="J5288" s="81" t="s">
        <v>6343</v>
      </c>
    </row>
    <row r="5289" hidden="1">
      <c r="A5289" s="83" t="s">
        <v>6339</v>
      </c>
      <c r="B5289" s="83" t="s">
        <v>6340</v>
      </c>
      <c r="C5289" s="81" t="s">
        <v>4082</v>
      </c>
      <c r="D5289" s="83" t="s">
        <v>4406</v>
      </c>
      <c r="E5289" s="81" t="s">
        <v>1756</v>
      </c>
      <c r="F5289" s="81">
        <v>349.0</v>
      </c>
      <c r="G5289" s="81" t="s">
        <v>41</v>
      </c>
      <c r="H5289" s="81" t="s">
        <v>1761</v>
      </c>
      <c r="I5289" s="81" t="s">
        <v>224</v>
      </c>
      <c r="J5289" s="81" t="s">
        <v>6353</v>
      </c>
    </row>
    <row r="5290" hidden="1">
      <c r="A5290" s="83" t="s">
        <v>6339</v>
      </c>
      <c r="B5290" s="83" t="s">
        <v>6340</v>
      </c>
      <c r="C5290" s="81" t="s">
        <v>4621</v>
      </c>
      <c r="D5290" s="83" t="s">
        <v>4408</v>
      </c>
      <c r="E5290" s="81" t="s">
        <v>1765</v>
      </c>
      <c r="F5290" s="81">
        <v>352.0</v>
      </c>
      <c r="G5290" s="81" t="s">
        <v>41</v>
      </c>
      <c r="H5290" s="81" t="s">
        <v>1401</v>
      </c>
      <c r="I5290" s="81" t="s">
        <v>1296</v>
      </c>
      <c r="J5290" s="81" t="s">
        <v>6343</v>
      </c>
    </row>
    <row r="5291" hidden="1">
      <c r="A5291" s="83" t="s">
        <v>6339</v>
      </c>
      <c r="B5291" s="83" t="s">
        <v>6340</v>
      </c>
      <c r="C5291" s="81" t="s">
        <v>4621</v>
      </c>
      <c r="D5291" s="83" t="s">
        <v>4408</v>
      </c>
      <c r="E5291" s="81" t="s">
        <v>1770</v>
      </c>
      <c r="F5291" s="81">
        <v>353.0</v>
      </c>
      <c r="G5291" s="81" t="s">
        <v>41</v>
      </c>
      <c r="H5291" s="81" t="s">
        <v>1401</v>
      </c>
      <c r="I5291" s="81" t="s">
        <v>1296</v>
      </c>
      <c r="J5291" s="81" t="s">
        <v>6343</v>
      </c>
    </row>
    <row r="5292" hidden="1">
      <c r="A5292" s="83" t="s">
        <v>6339</v>
      </c>
      <c r="B5292" s="83" t="s">
        <v>6340</v>
      </c>
      <c r="C5292" s="81" t="s">
        <v>4621</v>
      </c>
      <c r="D5292" s="83" t="s">
        <v>4410</v>
      </c>
      <c r="E5292" s="81" t="s">
        <v>1772</v>
      </c>
      <c r="F5292" s="81">
        <v>354.0</v>
      </c>
      <c r="G5292" s="81" t="s">
        <v>41</v>
      </c>
      <c r="H5292" s="81" t="s">
        <v>1401</v>
      </c>
      <c r="I5292" s="81" t="s">
        <v>1296</v>
      </c>
      <c r="J5292" s="81" t="s">
        <v>6343</v>
      </c>
    </row>
    <row r="5293" hidden="1">
      <c r="A5293" s="83" t="s">
        <v>6339</v>
      </c>
      <c r="B5293" s="83" t="s">
        <v>6340</v>
      </c>
      <c r="C5293" s="81" t="s">
        <v>4621</v>
      </c>
      <c r="D5293" s="83" t="s">
        <v>4411</v>
      </c>
      <c r="E5293" s="81" t="s">
        <v>1775</v>
      </c>
      <c r="F5293" s="81">
        <v>355.0</v>
      </c>
      <c r="G5293" s="81" t="s">
        <v>41</v>
      </c>
      <c r="H5293" s="81" t="s">
        <v>1775</v>
      </c>
      <c r="I5293" s="81" t="s">
        <v>1784</v>
      </c>
      <c r="J5293" s="81" t="s">
        <v>6343</v>
      </c>
    </row>
    <row r="5294" hidden="1">
      <c r="A5294" s="83" t="s">
        <v>6339</v>
      </c>
      <c r="B5294" s="83" t="s">
        <v>6340</v>
      </c>
      <c r="C5294" s="81" t="s">
        <v>4621</v>
      </c>
      <c r="D5294" s="83" t="s">
        <v>4411</v>
      </c>
      <c r="E5294" s="81" t="s">
        <v>1789</v>
      </c>
      <c r="F5294" s="81">
        <v>356.0</v>
      </c>
      <c r="G5294" s="81" t="s">
        <v>41</v>
      </c>
      <c r="H5294" s="81" t="s">
        <v>1775</v>
      </c>
      <c r="I5294" s="81" t="s">
        <v>1784</v>
      </c>
      <c r="J5294" s="81" t="s">
        <v>6343</v>
      </c>
    </row>
    <row r="5295" hidden="1">
      <c r="A5295" s="83" t="s">
        <v>6339</v>
      </c>
      <c r="B5295" s="83" t="s">
        <v>6340</v>
      </c>
      <c r="C5295" s="81" t="s">
        <v>4621</v>
      </c>
      <c r="D5295" s="83" t="s">
        <v>4412</v>
      </c>
      <c r="E5295" s="81" t="s">
        <v>1790</v>
      </c>
      <c r="F5295" s="81">
        <v>357.0</v>
      </c>
      <c r="G5295" s="81" t="s">
        <v>41</v>
      </c>
      <c r="H5295" s="81" t="s">
        <v>1775</v>
      </c>
      <c r="I5295" s="81" t="s">
        <v>1784</v>
      </c>
      <c r="J5295" s="81" t="s">
        <v>6343</v>
      </c>
    </row>
    <row r="5296" hidden="1">
      <c r="A5296" s="83" t="s">
        <v>6339</v>
      </c>
      <c r="B5296" s="83" t="s">
        <v>6340</v>
      </c>
      <c r="C5296" s="81" t="s">
        <v>4621</v>
      </c>
      <c r="D5296" s="83" t="s">
        <v>4413</v>
      </c>
      <c r="E5296" s="81" t="s">
        <v>1794</v>
      </c>
      <c r="F5296" s="81">
        <v>358.0</v>
      </c>
      <c r="G5296" s="81" t="s">
        <v>41</v>
      </c>
      <c r="H5296" s="81" t="s">
        <v>1794</v>
      </c>
      <c r="I5296" s="81" t="s">
        <v>1803</v>
      </c>
      <c r="J5296" s="81" t="s">
        <v>6343</v>
      </c>
    </row>
    <row r="5297" hidden="1">
      <c r="A5297" s="83" t="s">
        <v>6339</v>
      </c>
      <c r="B5297" s="83" t="s">
        <v>6340</v>
      </c>
      <c r="C5297" s="81" t="s">
        <v>4621</v>
      </c>
      <c r="D5297" s="83" t="s">
        <v>4413</v>
      </c>
      <c r="E5297" s="81" t="s">
        <v>1808</v>
      </c>
      <c r="F5297" s="81">
        <v>359.0</v>
      </c>
      <c r="G5297" s="81" t="s">
        <v>41</v>
      </c>
      <c r="H5297" s="81" t="s">
        <v>1794</v>
      </c>
      <c r="I5297" s="81" t="s">
        <v>1803</v>
      </c>
      <c r="J5297" s="81" t="s">
        <v>6343</v>
      </c>
    </row>
    <row r="5298" hidden="1">
      <c r="A5298" s="83" t="s">
        <v>6339</v>
      </c>
      <c r="B5298" s="83" t="s">
        <v>6340</v>
      </c>
      <c r="C5298" s="81" t="s">
        <v>4621</v>
      </c>
      <c r="D5298" s="83" t="s">
        <v>4414</v>
      </c>
      <c r="E5298" s="81" t="s">
        <v>1810</v>
      </c>
      <c r="F5298" s="81">
        <v>360.0</v>
      </c>
      <c r="G5298" s="81" t="s">
        <v>41</v>
      </c>
      <c r="H5298" s="81" t="s">
        <v>1794</v>
      </c>
      <c r="I5298" s="81" t="s">
        <v>1803</v>
      </c>
      <c r="J5298" s="81" t="s">
        <v>6343</v>
      </c>
    </row>
    <row r="5299" hidden="1">
      <c r="A5299" s="83" t="s">
        <v>6339</v>
      </c>
      <c r="B5299" s="83" t="s">
        <v>6340</v>
      </c>
      <c r="C5299" s="81" t="s">
        <v>4621</v>
      </c>
      <c r="D5299" s="83" t="s">
        <v>4415</v>
      </c>
      <c r="E5299" s="81" t="s">
        <v>1813</v>
      </c>
      <c r="F5299" s="81">
        <v>361.0</v>
      </c>
      <c r="G5299" s="81" t="s">
        <v>41</v>
      </c>
      <c r="H5299" s="81" t="s">
        <v>1794</v>
      </c>
      <c r="I5299" s="81" t="s">
        <v>1803</v>
      </c>
      <c r="J5299" s="81" t="s">
        <v>6343</v>
      </c>
    </row>
    <row r="5300" hidden="1">
      <c r="A5300" s="83" t="s">
        <v>6339</v>
      </c>
      <c r="B5300" s="83" t="s">
        <v>6340</v>
      </c>
      <c r="C5300" s="81" t="s">
        <v>4621</v>
      </c>
      <c r="D5300" s="83" t="s">
        <v>4416</v>
      </c>
      <c r="E5300" s="81" t="s">
        <v>1822</v>
      </c>
      <c r="F5300" s="81">
        <v>362.0</v>
      </c>
      <c r="G5300" s="81" t="s">
        <v>41</v>
      </c>
      <c r="H5300" s="81" t="s">
        <v>1794</v>
      </c>
      <c r="I5300" s="81" t="s">
        <v>1803</v>
      </c>
      <c r="J5300" s="81" t="s">
        <v>6343</v>
      </c>
    </row>
    <row r="5301" hidden="1">
      <c r="A5301" s="83" t="s">
        <v>6339</v>
      </c>
      <c r="B5301" s="83" t="s">
        <v>6340</v>
      </c>
      <c r="C5301" s="81" t="s">
        <v>4621</v>
      </c>
      <c r="D5301" s="83" t="s">
        <v>4417</v>
      </c>
      <c r="E5301" s="81" t="s">
        <v>1825</v>
      </c>
      <c r="F5301" s="81">
        <v>363.0</v>
      </c>
      <c r="G5301" s="81" t="s">
        <v>41</v>
      </c>
      <c r="H5301" s="81" t="s">
        <v>1825</v>
      </c>
      <c r="I5301" s="81" t="s">
        <v>1837</v>
      </c>
      <c r="J5301" s="81" t="s">
        <v>6343</v>
      </c>
    </row>
    <row r="5302" hidden="1">
      <c r="A5302" s="83" t="s">
        <v>6339</v>
      </c>
      <c r="B5302" s="83" t="s">
        <v>6340</v>
      </c>
      <c r="C5302" s="81" t="s">
        <v>4621</v>
      </c>
      <c r="D5302" s="83" t="s">
        <v>4417</v>
      </c>
      <c r="E5302" s="81" t="s">
        <v>1842</v>
      </c>
      <c r="F5302" s="81">
        <v>364.0</v>
      </c>
      <c r="G5302" s="81" t="s">
        <v>41</v>
      </c>
      <c r="H5302" s="81" t="s">
        <v>1825</v>
      </c>
      <c r="I5302" s="81" t="s">
        <v>1837</v>
      </c>
      <c r="J5302" s="81" t="s">
        <v>6343</v>
      </c>
    </row>
    <row r="5303" hidden="1">
      <c r="A5303" s="83" t="s">
        <v>6339</v>
      </c>
      <c r="B5303" s="83" t="s">
        <v>6340</v>
      </c>
      <c r="C5303" s="81" t="s">
        <v>4621</v>
      </c>
      <c r="D5303" s="83" t="s">
        <v>4419</v>
      </c>
      <c r="E5303" s="81" t="s">
        <v>1843</v>
      </c>
      <c r="F5303" s="81">
        <v>365.0</v>
      </c>
      <c r="G5303" s="81" t="s">
        <v>41</v>
      </c>
      <c r="H5303" s="81" t="s">
        <v>1825</v>
      </c>
      <c r="I5303" s="81" t="s">
        <v>1837</v>
      </c>
      <c r="J5303" s="81" t="s">
        <v>6343</v>
      </c>
    </row>
    <row r="5304" hidden="1">
      <c r="A5304" s="83" t="s">
        <v>6339</v>
      </c>
      <c r="B5304" s="83" t="s">
        <v>6340</v>
      </c>
      <c r="C5304" s="81" t="s">
        <v>4621</v>
      </c>
      <c r="D5304" s="83" t="s">
        <v>4420</v>
      </c>
      <c r="E5304" s="81" t="s">
        <v>1844</v>
      </c>
      <c r="F5304" s="81">
        <v>366.0</v>
      </c>
      <c r="G5304" s="81" t="s">
        <v>41</v>
      </c>
      <c r="H5304" s="81" t="s">
        <v>1825</v>
      </c>
      <c r="I5304" s="81" t="s">
        <v>1837</v>
      </c>
      <c r="J5304" s="81" t="s">
        <v>6343</v>
      </c>
    </row>
    <row r="5305" hidden="1">
      <c r="A5305" s="83" t="s">
        <v>6339</v>
      </c>
      <c r="B5305" s="83" t="s">
        <v>6340</v>
      </c>
      <c r="C5305" s="81" t="s">
        <v>4621</v>
      </c>
      <c r="D5305" s="83" t="s">
        <v>4421</v>
      </c>
      <c r="E5305" s="81" t="s">
        <v>1848</v>
      </c>
      <c r="F5305" s="81">
        <v>367.0</v>
      </c>
      <c r="G5305" s="81" t="s">
        <v>41</v>
      </c>
      <c r="H5305" s="81" t="s">
        <v>1825</v>
      </c>
      <c r="I5305" s="81" t="s">
        <v>1837</v>
      </c>
      <c r="J5305" s="81" t="s">
        <v>6343</v>
      </c>
    </row>
    <row r="5306" hidden="1">
      <c r="A5306" s="83" t="s">
        <v>6339</v>
      </c>
      <c r="B5306" s="83" t="s">
        <v>6340</v>
      </c>
      <c r="C5306" s="81" t="s">
        <v>4621</v>
      </c>
      <c r="D5306" s="83" t="s">
        <v>4422</v>
      </c>
      <c r="E5306" s="81" t="s">
        <v>1849</v>
      </c>
      <c r="F5306" s="81">
        <v>368.0</v>
      </c>
      <c r="G5306" s="81" t="s">
        <v>41</v>
      </c>
      <c r="H5306" s="81" t="s">
        <v>1825</v>
      </c>
      <c r="I5306" s="81" t="s">
        <v>1837</v>
      </c>
      <c r="J5306" s="81" t="s">
        <v>6343</v>
      </c>
    </row>
    <row r="5307" hidden="1">
      <c r="A5307" s="83" t="s">
        <v>6339</v>
      </c>
      <c r="B5307" s="83" t="s">
        <v>6340</v>
      </c>
      <c r="C5307" s="81" t="s">
        <v>4621</v>
      </c>
      <c r="D5307" s="83" t="s">
        <v>4423</v>
      </c>
      <c r="E5307" s="81" t="s">
        <v>1860</v>
      </c>
      <c r="F5307" s="81">
        <v>369.0</v>
      </c>
      <c r="G5307" s="81" t="s">
        <v>41</v>
      </c>
      <c r="H5307" s="81" t="s">
        <v>1825</v>
      </c>
      <c r="I5307" s="81" t="s">
        <v>1837</v>
      </c>
      <c r="J5307" s="81" t="s">
        <v>6343</v>
      </c>
    </row>
    <row r="5308" hidden="1">
      <c r="A5308" s="83" t="s">
        <v>6339</v>
      </c>
      <c r="B5308" s="83" t="s">
        <v>6340</v>
      </c>
      <c r="C5308" s="81" t="s">
        <v>4621</v>
      </c>
      <c r="D5308" s="83" t="s">
        <v>4424</v>
      </c>
      <c r="E5308" s="81" t="s">
        <v>1861</v>
      </c>
      <c r="F5308" s="81">
        <v>370.0</v>
      </c>
      <c r="G5308" s="81" t="s">
        <v>41</v>
      </c>
      <c r="H5308" s="81" t="s">
        <v>1825</v>
      </c>
      <c r="I5308" s="81" t="s">
        <v>1837</v>
      </c>
      <c r="J5308" s="81" t="s">
        <v>6343</v>
      </c>
    </row>
    <row r="5309" hidden="1">
      <c r="A5309" s="83" t="s">
        <v>6339</v>
      </c>
      <c r="B5309" s="83" t="s">
        <v>6340</v>
      </c>
      <c r="C5309" s="81" t="s">
        <v>4621</v>
      </c>
      <c r="D5309" s="83" t="s">
        <v>4425</v>
      </c>
      <c r="E5309" s="81" t="s">
        <v>1863</v>
      </c>
      <c r="F5309" s="81">
        <v>371.0</v>
      </c>
      <c r="G5309" s="81" t="s">
        <v>41</v>
      </c>
      <c r="H5309" s="81" t="s">
        <v>1825</v>
      </c>
      <c r="I5309" s="81" t="s">
        <v>1837</v>
      </c>
      <c r="J5309" s="81" t="s">
        <v>6343</v>
      </c>
    </row>
    <row r="5310" hidden="1">
      <c r="A5310" s="83" t="s">
        <v>6339</v>
      </c>
      <c r="B5310" s="83" t="s">
        <v>6340</v>
      </c>
      <c r="C5310" s="81" t="s">
        <v>4621</v>
      </c>
      <c r="D5310" s="83" t="s">
        <v>4426</v>
      </c>
      <c r="E5310" s="81" t="s">
        <v>1864</v>
      </c>
      <c r="F5310" s="81">
        <v>372.0</v>
      </c>
      <c r="G5310" s="81" t="s">
        <v>41</v>
      </c>
      <c r="H5310" s="81" t="s">
        <v>1825</v>
      </c>
      <c r="I5310" s="81" t="s">
        <v>1837</v>
      </c>
      <c r="J5310" s="81" t="s">
        <v>6343</v>
      </c>
    </row>
    <row r="5311" hidden="1">
      <c r="A5311" s="83" t="s">
        <v>6339</v>
      </c>
      <c r="B5311" s="83" t="s">
        <v>6340</v>
      </c>
      <c r="C5311" s="81" t="s">
        <v>4621</v>
      </c>
      <c r="D5311" s="83" t="s">
        <v>4427</v>
      </c>
      <c r="E5311" s="81" t="s">
        <v>1874</v>
      </c>
      <c r="F5311" s="81">
        <v>373.0</v>
      </c>
      <c r="G5311" s="81" t="s">
        <v>41</v>
      </c>
      <c r="H5311" s="81" t="s">
        <v>1874</v>
      </c>
      <c r="I5311" s="81" t="s">
        <v>1881</v>
      </c>
      <c r="J5311" s="81" t="s">
        <v>6343</v>
      </c>
    </row>
    <row r="5312" hidden="1">
      <c r="A5312" s="83" t="s">
        <v>6339</v>
      </c>
      <c r="B5312" s="83" t="s">
        <v>6340</v>
      </c>
      <c r="C5312" s="81" t="s">
        <v>4621</v>
      </c>
      <c r="D5312" s="83" t="s">
        <v>4428</v>
      </c>
      <c r="E5312" s="81" t="s">
        <v>1886</v>
      </c>
      <c r="F5312" s="81">
        <v>374.0</v>
      </c>
      <c r="G5312" s="81" t="s">
        <v>41</v>
      </c>
      <c r="H5312" s="81" t="s">
        <v>1886</v>
      </c>
      <c r="I5312" s="81" t="s">
        <v>1895</v>
      </c>
      <c r="J5312" s="81" t="s">
        <v>6343</v>
      </c>
    </row>
    <row r="5313" hidden="1">
      <c r="A5313" s="83" t="s">
        <v>6339</v>
      </c>
      <c r="B5313" s="83" t="s">
        <v>6340</v>
      </c>
      <c r="C5313" s="81" t="s">
        <v>4082</v>
      </c>
      <c r="D5313" s="83" t="s">
        <v>4429</v>
      </c>
      <c r="E5313" s="81" t="s">
        <v>1900</v>
      </c>
      <c r="F5313" s="81">
        <v>375.0</v>
      </c>
      <c r="G5313" s="81" t="s">
        <v>39</v>
      </c>
      <c r="H5313" s="81" t="s">
        <v>224</v>
      </c>
      <c r="I5313" s="81" t="s">
        <v>224</v>
      </c>
      <c r="J5313" s="81" t="s">
        <v>5711</v>
      </c>
    </row>
    <row r="5314" hidden="1">
      <c r="A5314" s="83" t="s">
        <v>6339</v>
      </c>
      <c r="B5314" s="83" t="s">
        <v>6340</v>
      </c>
      <c r="C5314" s="81" t="s">
        <v>4621</v>
      </c>
      <c r="D5314" s="83" t="s">
        <v>4429</v>
      </c>
      <c r="E5314" s="81" t="s">
        <v>1900</v>
      </c>
      <c r="F5314" s="81">
        <v>375.0</v>
      </c>
      <c r="G5314" s="81" t="s">
        <v>41</v>
      </c>
      <c r="H5314" s="81" t="s">
        <v>1900</v>
      </c>
      <c r="I5314" s="81" t="s">
        <v>1906</v>
      </c>
      <c r="J5314" s="81" t="s">
        <v>6343</v>
      </c>
    </row>
    <row r="5315" hidden="1">
      <c r="A5315" s="83" t="s">
        <v>6339</v>
      </c>
      <c r="B5315" s="83" t="s">
        <v>6340</v>
      </c>
      <c r="C5315" s="81" t="s">
        <v>4621</v>
      </c>
      <c r="D5315" s="83" t="s">
        <v>4430</v>
      </c>
      <c r="E5315" s="81" t="s">
        <v>1911</v>
      </c>
      <c r="F5315" s="81">
        <v>376.0</v>
      </c>
      <c r="G5315" s="81" t="s">
        <v>41</v>
      </c>
      <c r="H5315" s="81" t="s">
        <v>1911</v>
      </c>
      <c r="I5315" s="81" t="s">
        <v>1918</v>
      </c>
      <c r="J5315" s="81" t="s">
        <v>6343</v>
      </c>
    </row>
    <row r="5316" hidden="1">
      <c r="A5316" s="83" t="s">
        <v>6339</v>
      </c>
      <c r="B5316" s="83" t="s">
        <v>6340</v>
      </c>
      <c r="C5316" s="81" t="s">
        <v>4621</v>
      </c>
      <c r="D5316" s="83" t="s">
        <v>4431</v>
      </c>
      <c r="E5316" s="81" t="s">
        <v>1923</v>
      </c>
      <c r="F5316" s="81">
        <v>377.0</v>
      </c>
      <c r="G5316" s="81" t="s">
        <v>41</v>
      </c>
      <c r="H5316" s="81" t="s">
        <v>1923</v>
      </c>
      <c r="I5316" s="81" t="s">
        <v>1929</v>
      </c>
      <c r="J5316" s="81" t="s">
        <v>6343</v>
      </c>
    </row>
    <row r="5317" hidden="1">
      <c r="A5317" s="83" t="s">
        <v>6339</v>
      </c>
      <c r="B5317" s="83" t="s">
        <v>6340</v>
      </c>
      <c r="C5317" s="81" t="s">
        <v>4621</v>
      </c>
      <c r="D5317" s="83" t="s">
        <v>4431</v>
      </c>
      <c r="E5317" s="81" t="s">
        <v>1934</v>
      </c>
      <c r="F5317" s="81">
        <v>378.0</v>
      </c>
      <c r="G5317" s="81" t="s">
        <v>41</v>
      </c>
      <c r="H5317" s="81" t="s">
        <v>1923</v>
      </c>
      <c r="I5317" s="81" t="s">
        <v>1929</v>
      </c>
      <c r="J5317" s="81" t="s">
        <v>6343</v>
      </c>
    </row>
    <row r="5318" hidden="1">
      <c r="A5318" s="83" t="s">
        <v>6339</v>
      </c>
      <c r="B5318" s="83" t="s">
        <v>6340</v>
      </c>
      <c r="C5318" s="81" t="s">
        <v>4621</v>
      </c>
      <c r="D5318" s="83" t="s">
        <v>4432</v>
      </c>
      <c r="E5318" s="81" t="s">
        <v>1935</v>
      </c>
      <c r="F5318" s="81">
        <v>379.0</v>
      </c>
      <c r="G5318" s="81" t="s">
        <v>41</v>
      </c>
      <c r="H5318" s="81" t="s">
        <v>1935</v>
      </c>
      <c r="I5318" s="81" t="s">
        <v>1944</v>
      </c>
      <c r="J5318" s="81" t="s">
        <v>6343</v>
      </c>
    </row>
    <row r="5319" hidden="1">
      <c r="A5319" s="83" t="s">
        <v>6339</v>
      </c>
      <c r="B5319" s="83" t="s">
        <v>6340</v>
      </c>
      <c r="C5319" s="81" t="s">
        <v>4621</v>
      </c>
      <c r="D5319" s="83" t="s">
        <v>4432</v>
      </c>
      <c r="E5319" s="81" t="s">
        <v>1935</v>
      </c>
      <c r="F5319" s="81">
        <v>380.0</v>
      </c>
      <c r="G5319" s="81" t="s">
        <v>41</v>
      </c>
      <c r="H5319" s="81" t="s">
        <v>1935</v>
      </c>
      <c r="I5319" s="81" t="s">
        <v>1944</v>
      </c>
      <c r="J5319" s="81" t="s">
        <v>6343</v>
      </c>
    </row>
    <row r="5320" hidden="1">
      <c r="A5320" s="83" t="s">
        <v>6339</v>
      </c>
      <c r="B5320" s="83" t="s">
        <v>6340</v>
      </c>
      <c r="C5320" s="81" t="s">
        <v>4621</v>
      </c>
      <c r="D5320" s="83" t="s">
        <v>4433</v>
      </c>
      <c r="E5320" s="81" t="s">
        <v>1950</v>
      </c>
      <c r="F5320" s="81">
        <v>381.0</v>
      </c>
      <c r="G5320" s="81" t="s">
        <v>41</v>
      </c>
      <c r="H5320" s="81" t="s">
        <v>1950</v>
      </c>
      <c r="I5320" s="81" t="s">
        <v>1958</v>
      </c>
      <c r="J5320" s="81" t="s">
        <v>6343</v>
      </c>
    </row>
    <row r="5321" hidden="1">
      <c r="A5321" s="83" t="s">
        <v>6339</v>
      </c>
      <c r="B5321" s="83" t="s">
        <v>6340</v>
      </c>
      <c r="C5321" s="81" t="s">
        <v>4621</v>
      </c>
      <c r="D5321" s="83" t="s">
        <v>4433</v>
      </c>
      <c r="E5321" s="81" t="s">
        <v>1963</v>
      </c>
      <c r="F5321" s="81">
        <v>382.0</v>
      </c>
      <c r="G5321" s="81" t="s">
        <v>41</v>
      </c>
      <c r="H5321" s="81" t="s">
        <v>1950</v>
      </c>
      <c r="I5321" s="81" t="s">
        <v>1958</v>
      </c>
      <c r="J5321" s="81" t="s">
        <v>6343</v>
      </c>
    </row>
    <row r="5322" hidden="1">
      <c r="A5322" s="83" t="s">
        <v>6339</v>
      </c>
      <c r="B5322" s="83" t="s">
        <v>6340</v>
      </c>
      <c r="C5322" s="81" t="s">
        <v>4621</v>
      </c>
      <c r="D5322" s="83" t="s">
        <v>4434</v>
      </c>
      <c r="E5322" s="81" t="s">
        <v>1964</v>
      </c>
      <c r="F5322" s="81">
        <v>383.0</v>
      </c>
      <c r="G5322" s="81" t="s">
        <v>41</v>
      </c>
      <c r="H5322" s="81" t="s">
        <v>1950</v>
      </c>
      <c r="I5322" s="81" t="s">
        <v>1958</v>
      </c>
      <c r="J5322" s="81" t="s">
        <v>6343</v>
      </c>
    </row>
    <row r="5323" hidden="1">
      <c r="A5323" s="83" t="s">
        <v>6339</v>
      </c>
      <c r="B5323" s="83" t="s">
        <v>6340</v>
      </c>
      <c r="C5323" s="81" t="s">
        <v>4621</v>
      </c>
      <c r="D5323" s="83" t="s">
        <v>4434</v>
      </c>
      <c r="E5323" s="81" t="s">
        <v>1964</v>
      </c>
      <c r="F5323" s="81">
        <v>384.0</v>
      </c>
      <c r="G5323" s="81" t="s">
        <v>41</v>
      </c>
      <c r="H5323" s="81" t="s">
        <v>1950</v>
      </c>
      <c r="I5323" s="81" t="s">
        <v>1958</v>
      </c>
      <c r="J5323" s="81" t="s">
        <v>6343</v>
      </c>
    </row>
    <row r="5324" hidden="1">
      <c r="A5324" s="83" t="s">
        <v>6339</v>
      </c>
      <c r="B5324" s="83" t="s">
        <v>6340</v>
      </c>
      <c r="C5324" s="81" t="s">
        <v>4621</v>
      </c>
      <c r="D5324" s="83" t="s">
        <v>4435</v>
      </c>
      <c r="E5324" s="81" t="s">
        <v>1974</v>
      </c>
      <c r="F5324" s="81">
        <v>385.0</v>
      </c>
      <c r="G5324" s="81" t="s">
        <v>41</v>
      </c>
      <c r="H5324" s="81" t="s">
        <v>1974</v>
      </c>
      <c r="I5324" s="81" t="s">
        <v>1982</v>
      </c>
      <c r="J5324" s="81" t="s">
        <v>6343</v>
      </c>
    </row>
    <row r="5325" hidden="1">
      <c r="A5325" s="83" t="s">
        <v>6339</v>
      </c>
      <c r="B5325" s="83" t="s">
        <v>6340</v>
      </c>
      <c r="C5325" s="81" t="s">
        <v>4621</v>
      </c>
      <c r="D5325" s="83" t="s">
        <v>4435</v>
      </c>
      <c r="E5325" s="81" t="s">
        <v>1987</v>
      </c>
      <c r="F5325" s="81">
        <v>386.0</v>
      </c>
      <c r="G5325" s="81" t="s">
        <v>41</v>
      </c>
      <c r="H5325" s="81" t="s">
        <v>1974</v>
      </c>
      <c r="I5325" s="81" t="s">
        <v>1982</v>
      </c>
      <c r="J5325" s="81" t="s">
        <v>6343</v>
      </c>
    </row>
    <row r="5326" hidden="1">
      <c r="A5326" s="83" t="s">
        <v>6339</v>
      </c>
      <c r="B5326" s="83" t="s">
        <v>6340</v>
      </c>
      <c r="C5326" s="81" t="s">
        <v>4621</v>
      </c>
      <c r="D5326" s="83" t="s">
        <v>4436</v>
      </c>
      <c r="E5326" s="81" t="s">
        <v>1989</v>
      </c>
      <c r="F5326" s="81">
        <v>387.0</v>
      </c>
      <c r="G5326" s="81" t="s">
        <v>41</v>
      </c>
      <c r="H5326" s="81" t="s">
        <v>1974</v>
      </c>
      <c r="I5326" s="81" t="s">
        <v>1982</v>
      </c>
      <c r="J5326" s="81" t="s">
        <v>6343</v>
      </c>
    </row>
    <row r="5327" hidden="1">
      <c r="A5327" s="83" t="s">
        <v>6339</v>
      </c>
      <c r="B5327" s="83" t="s">
        <v>6340</v>
      </c>
      <c r="C5327" s="81" t="s">
        <v>4621</v>
      </c>
      <c r="D5327" s="83" t="s">
        <v>4437</v>
      </c>
      <c r="E5327" s="81" t="s">
        <v>1997</v>
      </c>
      <c r="F5327" s="81">
        <v>388.0</v>
      </c>
      <c r="G5327" s="81" t="s">
        <v>41</v>
      </c>
      <c r="H5327" s="81" t="s">
        <v>1825</v>
      </c>
      <c r="I5327" s="81" t="s">
        <v>1837</v>
      </c>
      <c r="J5327" s="81" t="s">
        <v>6343</v>
      </c>
    </row>
    <row r="5328" hidden="1">
      <c r="A5328" s="83" t="s">
        <v>6339</v>
      </c>
      <c r="B5328" s="83" t="s">
        <v>6340</v>
      </c>
      <c r="C5328" s="81" t="s">
        <v>4621</v>
      </c>
      <c r="D5328" s="83" t="s">
        <v>4437</v>
      </c>
      <c r="E5328" s="81" t="s">
        <v>2001</v>
      </c>
      <c r="F5328" s="81">
        <v>389.0</v>
      </c>
      <c r="G5328" s="81" t="s">
        <v>41</v>
      </c>
      <c r="H5328" s="81" t="s">
        <v>1825</v>
      </c>
      <c r="I5328" s="81" t="s">
        <v>1837</v>
      </c>
      <c r="J5328" s="81" t="s">
        <v>6343</v>
      </c>
    </row>
    <row r="5329" hidden="1">
      <c r="A5329" s="83" t="s">
        <v>6339</v>
      </c>
      <c r="B5329" s="83" t="s">
        <v>6340</v>
      </c>
      <c r="C5329" s="81" t="s">
        <v>4621</v>
      </c>
      <c r="D5329" s="83" t="s">
        <v>4438</v>
      </c>
      <c r="E5329" s="81" t="s">
        <v>2002</v>
      </c>
      <c r="F5329" s="81">
        <v>390.0</v>
      </c>
      <c r="G5329" s="81" t="s">
        <v>41</v>
      </c>
      <c r="H5329" s="81" t="s">
        <v>1825</v>
      </c>
      <c r="I5329" s="81" t="s">
        <v>1837</v>
      </c>
      <c r="J5329" s="81" t="s">
        <v>6343</v>
      </c>
    </row>
    <row r="5330" hidden="1">
      <c r="A5330" s="83" t="s">
        <v>6339</v>
      </c>
      <c r="B5330" s="83" t="s">
        <v>6340</v>
      </c>
      <c r="C5330" s="81" t="s">
        <v>4621</v>
      </c>
      <c r="D5330" s="83" t="s">
        <v>4439</v>
      </c>
      <c r="E5330" s="81" t="s">
        <v>2006</v>
      </c>
      <c r="F5330" s="81">
        <v>391.0</v>
      </c>
      <c r="G5330" s="81" t="s">
        <v>41</v>
      </c>
      <c r="H5330" s="81" t="s">
        <v>4441</v>
      </c>
      <c r="I5330" s="81" t="s">
        <v>2016</v>
      </c>
      <c r="J5330" s="81" t="s">
        <v>6343</v>
      </c>
    </row>
    <row r="5331" hidden="1">
      <c r="A5331" s="83" t="s">
        <v>6339</v>
      </c>
      <c r="B5331" s="83" t="s">
        <v>6340</v>
      </c>
      <c r="C5331" s="81" t="s">
        <v>4621</v>
      </c>
      <c r="D5331" s="83" t="s">
        <v>4439</v>
      </c>
      <c r="E5331" s="81" t="s">
        <v>2021</v>
      </c>
      <c r="F5331" s="81">
        <v>392.0</v>
      </c>
      <c r="G5331" s="81" t="s">
        <v>41</v>
      </c>
      <c r="H5331" s="81" t="s">
        <v>4441</v>
      </c>
      <c r="I5331" s="81" t="s">
        <v>2016</v>
      </c>
      <c r="J5331" s="81" t="s">
        <v>6343</v>
      </c>
    </row>
    <row r="5332" hidden="1">
      <c r="A5332" s="83" t="s">
        <v>6339</v>
      </c>
      <c r="B5332" s="83" t="s">
        <v>6340</v>
      </c>
      <c r="C5332" s="81" t="s">
        <v>4621</v>
      </c>
      <c r="D5332" s="83" t="s">
        <v>4442</v>
      </c>
      <c r="E5332" s="81" t="s">
        <v>2022</v>
      </c>
      <c r="F5332" s="81">
        <v>393.0</v>
      </c>
      <c r="G5332" s="81" t="s">
        <v>41</v>
      </c>
      <c r="H5332" s="81" t="s">
        <v>4441</v>
      </c>
      <c r="I5332" s="81" t="s">
        <v>2016</v>
      </c>
      <c r="J5332" s="81" t="s">
        <v>6343</v>
      </c>
    </row>
    <row r="5333" hidden="1">
      <c r="A5333" s="83" t="s">
        <v>6339</v>
      </c>
      <c r="B5333" s="83" t="s">
        <v>6340</v>
      </c>
      <c r="C5333" s="81" t="s">
        <v>4621</v>
      </c>
      <c r="D5333" s="83" t="s">
        <v>4443</v>
      </c>
      <c r="E5333" s="81" t="s">
        <v>2026</v>
      </c>
      <c r="F5333" s="81">
        <v>394.0</v>
      </c>
      <c r="G5333" s="81" t="s">
        <v>41</v>
      </c>
      <c r="H5333" s="81" t="s">
        <v>4444</v>
      </c>
      <c r="I5333" s="81" t="s">
        <v>2032</v>
      </c>
      <c r="J5333" s="81" t="s">
        <v>6343</v>
      </c>
    </row>
    <row r="5334" hidden="1">
      <c r="A5334" s="83" t="s">
        <v>6339</v>
      </c>
      <c r="B5334" s="83" t="s">
        <v>6340</v>
      </c>
      <c r="C5334" s="81" t="s">
        <v>4621</v>
      </c>
      <c r="D5334" s="83" t="s">
        <v>4445</v>
      </c>
      <c r="E5334" s="81" t="s">
        <v>2037</v>
      </c>
      <c r="F5334" s="81">
        <v>395.0</v>
      </c>
      <c r="G5334" s="81" t="s">
        <v>41</v>
      </c>
      <c r="H5334" s="81" t="s">
        <v>4446</v>
      </c>
      <c r="I5334" s="81" t="s">
        <v>2044</v>
      </c>
      <c r="J5334" s="81" t="s">
        <v>6343</v>
      </c>
    </row>
    <row r="5335" hidden="1">
      <c r="A5335" s="83" t="s">
        <v>6339</v>
      </c>
      <c r="B5335" s="83" t="s">
        <v>6340</v>
      </c>
      <c r="C5335" s="81" t="s">
        <v>4621</v>
      </c>
      <c r="D5335" s="83" t="s">
        <v>4447</v>
      </c>
      <c r="E5335" s="81" t="s">
        <v>2049</v>
      </c>
      <c r="F5335" s="81">
        <v>396.0</v>
      </c>
      <c r="G5335" s="81" t="s">
        <v>41</v>
      </c>
      <c r="H5335" s="81" t="s">
        <v>2049</v>
      </c>
      <c r="I5335" s="81" t="s">
        <v>2053</v>
      </c>
      <c r="J5335" s="81" t="s">
        <v>6343</v>
      </c>
    </row>
    <row r="5336" hidden="1">
      <c r="A5336" s="83" t="s">
        <v>6339</v>
      </c>
      <c r="B5336" s="83" t="s">
        <v>6340</v>
      </c>
      <c r="C5336" s="81" t="s">
        <v>4621</v>
      </c>
      <c r="D5336" s="83" t="s">
        <v>4447</v>
      </c>
      <c r="E5336" s="81" t="s">
        <v>2058</v>
      </c>
      <c r="F5336" s="81">
        <v>397.0</v>
      </c>
      <c r="G5336" s="81" t="s">
        <v>41</v>
      </c>
      <c r="H5336" s="81" t="s">
        <v>2049</v>
      </c>
      <c r="I5336" s="81" t="s">
        <v>2053</v>
      </c>
      <c r="J5336" s="81" t="s">
        <v>6343</v>
      </c>
    </row>
    <row r="5337" hidden="1">
      <c r="A5337" s="83" t="s">
        <v>6339</v>
      </c>
      <c r="B5337" s="83" t="s">
        <v>6340</v>
      </c>
      <c r="C5337" s="81" t="s">
        <v>4621</v>
      </c>
      <c r="D5337" s="83" t="s">
        <v>4449</v>
      </c>
      <c r="E5337" s="81" t="s">
        <v>2059</v>
      </c>
      <c r="F5337" s="81">
        <v>398.0</v>
      </c>
      <c r="G5337" s="81" t="s">
        <v>41</v>
      </c>
      <c r="H5337" s="81" t="s">
        <v>2049</v>
      </c>
      <c r="I5337" s="81" t="s">
        <v>2053</v>
      </c>
      <c r="J5337" s="81" t="s">
        <v>6343</v>
      </c>
    </row>
    <row r="5338" hidden="1">
      <c r="A5338" s="83" t="s">
        <v>6339</v>
      </c>
      <c r="B5338" s="83" t="s">
        <v>6340</v>
      </c>
      <c r="C5338" s="81" t="s">
        <v>4621</v>
      </c>
      <c r="D5338" s="83" t="s">
        <v>4450</v>
      </c>
      <c r="E5338" s="81" t="s">
        <v>2063</v>
      </c>
      <c r="F5338" s="81">
        <v>399.0</v>
      </c>
      <c r="G5338" s="81" t="s">
        <v>41</v>
      </c>
      <c r="H5338" s="81" t="s">
        <v>2063</v>
      </c>
      <c r="I5338" s="81" t="s">
        <v>2071</v>
      </c>
      <c r="J5338" s="81" t="s">
        <v>6343</v>
      </c>
    </row>
    <row r="5339" hidden="1">
      <c r="A5339" s="83" t="s">
        <v>6339</v>
      </c>
      <c r="B5339" s="83" t="s">
        <v>6340</v>
      </c>
      <c r="C5339" s="81" t="s">
        <v>4621</v>
      </c>
      <c r="D5339" s="83" t="s">
        <v>4451</v>
      </c>
      <c r="E5339" s="81" t="s">
        <v>2076</v>
      </c>
      <c r="F5339" s="81">
        <v>400.0</v>
      </c>
      <c r="G5339" s="81" t="s">
        <v>41</v>
      </c>
      <c r="H5339" s="81" t="s">
        <v>4452</v>
      </c>
      <c r="I5339" s="81" t="s">
        <v>2082</v>
      </c>
      <c r="J5339" s="81" t="s">
        <v>6343</v>
      </c>
    </row>
    <row r="5340" hidden="1">
      <c r="A5340" s="83" t="s">
        <v>6339</v>
      </c>
      <c r="B5340" s="83" t="s">
        <v>6340</v>
      </c>
      <c r="C5340" s="81" t="s">
        <v>4621</v>
      </c>
      <c r="D5340" s="83" t="s">
        <v>4453</v>
      </c>
      <c r="E5340" s="81" t="s">
        <v>2087</v>
      </c>
      <c r="F5340" s="81">
        <v>401.0</v>
      </c>
      <c r="G5340" s="81" t="s">
        <v>41</v>
      </c>
      <c r="H5340" s="81" t="s">
        <v>2087</v>
      </c>
      <c r="I5340" s="81" t="s">
        <v>2093</v>
      </c>
      <c r="J5340" s="81" t="s">
        <v>6343</v>
      </c>
    </row>
    <row r="5341" hidden="1">
      <c r="A5341" s="83" t="s">
        <v>6339</v>
      </c>
      <c r="B5341" s="83" t="s">
        <v>6340</v>
      </c>
      <c r="C5341" s="81" t="s">
        <v>4621</v>
      </c>
      <c r="D5341" s="83" t="s">
        <v>4453</v>
      </c>
      <c r="E5341" s="81" t="s">
        <v>2098</v>
      </c>
      <c r="F5341" s="81">
        <v>402.0</v>
      </c>
      <c r="G5341" s="81" t="s">
        <v>41</v>
      </c>
      <c r="H5341" s="81" t="s">
        <v>2087</v>
      </c>
      <c r="I5341" s="81" t="s">
        <v>2093</v>
      </c>
      <c r="J5341" s="81" t="s">
        <v>6343</v>
      </c>
    </row>
    <row r="5342" hidden="1">
      <c r="A5342" s="83" t="s">
        <v>6339</v>
      </c>
      <c r="B5342" s="83" t="s">
        <v>6340</v>
      </c>
      <c r="C5342" s="81" t="s">
        <v>4621</v>
      </c>
      <c r="D5342" s="83" t="s">
        <v>4454</v>
      </c>
      <c r="E5342" s="81" t="s">
        <v>2099</v>
      </c>
      <c r="F5342" s="81">
        <v>403.0</v>
      </c>
      <c r="G5342" s="81" t="s">
        <v>41</v>
      </c>
      <c r="H5342" s="81" t="s">
        <v>2087</v>
      </c>
      <c r="I5342" s="81" t="s">
        <v>2093</v>
      </c>
      <c r="J5342" s="81" t="s">
        <v>6343</v>
      </c>
    </row>
    <row r="5343" hidden="1">
      <c r="A5343" s="83" t="s">
        <v>6339</v>
      </c>
      <c r="B5343" s="83" t="s">
        <v>6340</v>
      </c>
      <c r="C5343" s="81" t="s">
        <v>4621</v>
      </c>
      <c r="D5343" s="83" t="s">
        <v>4455</v>
      </c>
      <c r="E5343" s="81" t="s">
        <v>2102</v>
      </c>
      <c r="F5343" s="81">
        <v>404.0</v>
      </c>
      <c r="G5343" s="81" t="s">
        <v>41</v>
      </c>
      <c r="H5343" s="81" t="s">
        <v>2087</v>
      </c>
      <c r="I5343" s="81" t="s">
        <v>2093</v>
      </c>
      <c r="J5343" s="81" t="s">
        <v>6343</v>
      </c>
    </row>
    <row r="5344" hidden="1">
      <c r="A5344" s="83" t="s">
        <v>6339</v>
      </c>
      <c r="B5344" s="83" t="s">
        <v>6340</v>
      </c>
      <c r="C5344" s="81" t="s">
        <v>4621</v>
      </c>
      <c r="D5344" s="83" t="s">
        <v>4456</v>
      </c>
      <c r="E5344" s="81" t="s">
        <v>2111</v>
      </c>
      <c r="F5344" s="81">
        <v>405.0</v>
      </c>
      <c r="G5344" s="81" t="s">
        <v>41</v>
      </c>
      <c r="H5344" s="81" t="s">
        <v>2087</v>
      </c>
      <c r="I5344" s="81" t="s">
        <v>2093</v>
      </c>
      <c r="J5344" s="81" t="s">
        <v>6343</v>
      </c>
    </row>
    <row r="5345" hidden="1">
      <c r="A5345" s="83" t="s">
        <v>6339</v>
      </c>
      <c r="B5345" s="83" t="s">
        <v>6340</v>
      </c>
      <c r="C5345" s="81" t="s">
        <v>4621</v>
      </c>
      <c r="D5345" s="83" t="s">
        <v>4457</v>
      </c>
      <c r="E5345" s="81" t="s">
        <v>2114</v>
      </c>
      <c r="F5345" s="81">
        <v>406.0</v>
      </c>
      <c r="G5345" s="81" t="s">
        <v>41</v>
      </c>
      <c r="H5345" s="81" t="s">
        <v>2087</v>
      </c>
      <c r="I5345" s="81" t="s">
        <v>2093</v>
      </c>
      <c r="J5345" s="81" t="s">
        <v>6343</v>
      </c>
    </row>
    <row r="5346" hidden="1">
      <c r="A5346" s="83" t="s">
        <v>6339</v>
      </c>
      <c r="B5346" s="83" t="s">
        <v>6340</v>
      </c>
      <c r="C5346" s="81" t="s">
        <v>4621</v>
      </c>
      <c r="D5346" s="83" t="s">
        <v>4458</v>
      </c>
      <c r="E5346" s="81" t="s">
        <v>2124</v>
      </c>
      <c r="F5346" s="81">
        <v>407.0</v>
      </c>
      <c r="G5346" s="81" t="s">
        <v>41</v>
      </c>
      <c r="H5346" s="81" t="s">
        <v>2087</v>
      </c>
      <c r="I5346" s="81" t="s">
        <v>2093</v>
      </c>
      <c r="J5346" s="81" t="s">
        <v>6343</v>
      </c>
    </row>
    <row r="5347" hidden="1">
      <c r="A5347" s="83" t="s">
        <v>6339</v>
      </c>
      <c r="B5347" s="83" t="s">
        <v>6340</v>
      </c>
      <c r="C5347" s="81" t="s">
        <v>4621</v>
      </c>
      <c r="D5347" s="83" t="s">
        <v>4459</v>
      </c>
      <c r="E5347" s="81" t="s">
        <v>2127</v>
      </c>
      <c r="F5347" s="81">
        <v>408.0</v>
      </c>
      <c r="G5347" s="81" t="s">
        <v>41</v>
      </c>
      <c r="H5347" s="81" t="s">
        <v>2127</v>
      </c>
      <c r="I5347" s="81" t="s">
        <v>2133</v>
      </c>
      <c r="J5347" s="81" t="s">
        <v>6343</v>
      </c>
    </row>
    <row r="5348" hidden="1">
      <c r="A5348" s="83" t="s">
        <v>6339</v>
      </c>
      <c r="B5348" s="83" t="s">
        <v>6340</v>
      </c>
      <c r="C5348" s="81" t="s">
        <v>4621</v>
      </c>
      <c r="D5348" s="83" t="s">
        <v>4459</v>
      </c>
      <c r="E5348" s="81" t="s">
        <v>2138</v>
      </c>
      <c r="F5348" s="81">
        <v>409.0</v>
      </c>
      <c r="G5348" s="81" t="s">
        <v>41</v>
      </c>
      <c r="H5348" s="81" t="s">
        <v>2127</v>
      </c>
      <c r="I5348" s="81" t="s">
        <v>2133</v>
      </c>
      <c r="J5348" s="81" t="s">
        <v>6343</v>
      </c>
    </row>
    <row r="5349" hidden="1">
      <c r="A5349" s="83" t="s">
        <v>6339</v>
      </c>
      <c r="B5349" s="83" t="s">
        <v>6340</v>
      </c>
      <c r="C5349" s="81" t="s">
        <v>4621</v>
      </c>
      <c r="D5349" s="83" t="s">
        <v>4460</v>
      </c>
      <c r="E5349" s="81" t="s">
        <v>2139</v>
      </c>
      <c r="F5349" s="81">
        <v>410.0</v>
      </c>
      <c r="G5349" s="81" t="s">
        <v>41</v>
      </c>
      <c r="H5349" s="81" t="s">
        <v>2127</v>
      </c>
      <c r="I5349" s="81" t="s">
        <v>2133</v>
      </c>
      <c r="J5349" s="81" t="s">
        <v>6343</v>
      </c>
    </row>
    <row r="5350" hidden="1">
      <c r="A5350" s="83" t="s">
        <v>6339</v>
      </c>
      <c r="B5350" s="83" t="s">
        <v>6340</v>
      </c>
      <c r="C5350" s="81" t="s">
        <v>4621</v>
      </c>
      <c r="D5350" s="83" t="s">
        <v>4461</v>
      </c>
      <c r="E5350" s="81" t="s">
        <v>2142</v>
      </c>
      <c r="F5350" s="81">
        <v>411.0</v>
      </c>
      <c r="G5350" s="81" t="s">
        <v>41</v>
      </c>
      <c r="H5350" s="81" t="s">
        <v>2127</v>
      </c>
      <c r="I5350" s="81" t="s">
        <v>2133</v>
      </c>
      <c r="J5350" s="81" t="s">
        <v>6343</v>
      </c>
    </row>
    <row r="5351" hidden="1">
      <c r="A5351" s="83" t="s">
        <v>6339</v>
      </c>
      <c r="B5351" s="83" t="s">
        <v>6340</v>
      </c>
      <c r="C5351" s="81" t="s">
        <v>4621</v>
      </c>
      <c r="D5351" s="83" t="s">
        <v>4462</v>
      </c>
      <c r="E5351" s="81" t="s">
        <v>2145</v>
      </c>
      <c r="F5351" s="81">
        <v>412.0</v>
      </c>
      <c r="G5351" s="81" t="s">
        <v>41</v>
      </c>
      <c r="H5351" s="81" t="s">
        <v>2127</v>
      </c>
      <c r="I5351" s="81" t="s">
        <v>2133</v>
      </c>
      <c r="J5351" s="81" t="s">
        <v>6343</v>
      </c>
    </row>
    <row r="5352" hidden="1">
      <c r="A5352" s="83" t="s">
        <v>6339</v>
      </c>
      <c r="B5352" s="83" t="s">
        <v>6340</v>
      </c>
      <c r="C5352" s="81" t="s">
        <v>4621</v>
      </c>
      <c r="D5352" s="83" t="s">
        <v>4463</v>
      </c>
      <c r="E5352" s="81" t="s">
        <v>2148</v>
      </c>
      <c r="F5352" s="81">
        <v>413.0</v>
      </c>
      <c r="G5352" s="81" t="s">
        <v>41</v>
      </c>
      <c r="H5352" s="81" t="s">
        <v>2148</v>
      </c>
      <c r="I5352" s="81" t="s">
        <v>2155</v>
      </c>
      <c r="J5352" s="81" t="s">
        <v>6343</v>
      </c>
    </row>
    <row r="5353" hidden="1">
      <c r="A5353" s="83" t="s">
        <v>6339</v>
      </c>
      <c r="B5353" s="83" t="s">
        <v>6340</v>
      </c>
      <c r="C5353" s="81" t="s">
        <v>4621</v>
      </c>
      <c r="D5353" s="83" t="s">
        <v>4463</v>
      </c>
      <c r="E5353" s="81" t="s">
        <v>2160</v>
      </c>
      <c r="F5353" s="81">
        <v>414.0</v>
      </c>
      <c r="G5353" s="81" t="s">
        <v>41</v>
      </c>
      <c r="H5353" s="81" t="s">
        <v>2148</v>
      </c>
      <c r="I5353" s="81" t="s">
        <v>2155</v>
      </c>
      <c r="J5353" s="81" t="s">
        <v>6343</v>
      </c>
    </row>
    <row r="5354" hidden="1">
      <c r="A5354" s="83" t="s">
        <v>6339</v>
      </c>
      <c r="B5354" s="83" t="s">
        <v>6340</v>
      </c>
      <c r="C5354" s="81" t="s">
        <v>4621</v>
      </c>
      <c r="D5354" s="83" t="s">
        <v>4465</v>
      </c>
      <c r="E5354" s="81" t="s">
        <v>2161</v>
      </c>
      <c r="F5354" s="81">
        <v>415.0</v>
      </c>
      <c r="G5354" s="81" t="s">
        <v>41</v>
      </c>
      <c r="H5354" s="81" t="s">
        <v>2148</v>
      </c>
      <c r="I5354" s="81" t="s">
        <v>2155</v>
      </c>
      <c r="J5354" s="81" t="s">
        <v>6343</v>
      </c>
    </row>
    <row r="5355" hidden="1">
      <c r="A5355" s="83" t="s">
        <v>6339</v>
      </c>
      <c r="B5355" s="83" t="s">
        <v>6340</v>
      </c>
      <c r="C5355" s="81" t="s">
        <v>4621</v>
      </c>
      <c r="D5355" s="83" t="s">
        <v>4466</v>
      </c>
      <c r="E5355" s="81" t="s">
        <v>2164</v>
      </c>
      <c r="F5355" s="81">
        <v>416.0</v>
      </c>
      <c r="G5355" s="81" t="s">
        <v>41</v>
      </c>
      <c r="H5355" s="81" t="s">
        <v>2164</v>
      </c>
      <c r="I5355" s="81" t="s">
        <v>2173</v>
      </c>
      <c r="J5355" s="81" t="s">
        <v>6343</v>
      </c>
    </row>
    <row r="5356" hidden="1">
      <c r="A5356" s="83" t="s">
        <v>6339</v>
      </c>
      <c r="B5356" s="83" t="s">
        <v>6340</v>
      </c>
      <c r="C5356" s="81" t="s">
        <v>4621</v>
      </c>
      <c r="D5356" s="83" t="s">
        <v>4466</v>
      </c>
      <c r="E5356" s="81" t="s">
        <v>2178</v>
      </c>
      <c r="F5356" s="81">
        <v>417.0</v>
      </c>
      <c r="G5356" s="81" t="s">
        <v>41</v>
      </c>
      <c r="H5356" s="81" t="s">
        <v>2164</v>
      </c>
      <c r="I5356" s="81" t="s">
        <v>2173</v>
      </c>
      <c r="J5356" s="81" t="s">
        <v>6343</v>
      </c>
    </row>
    <row r="5357" hidden="1">
      <c r="A5357" s="83" t="s">
        <v>6339</v>
      </c>
      <c r="B5357" s="83" t="s">
        <v>6340</v>
      </c>
      <c r="C5357" s="81" t="s">
        <v>4621</v>
      </c>
      <c r="D5357" s="83" t="s">
        <v>4468</v>
      </c>
      <c r="E5357" s="81" t="s">
        <v>2179</v>
      </c>
      <c r="F5357" s="81">
        <v>418.0</v>
      </c>
      <c r="G5357" s="81" t="s">
        <v>41</v>
      </c>
      <c r="H5357" s="81" t="s">
        <v>2164</v>
      </c>
      <c r="I5357" s="81" t="s">
        <v>2173</v>
      </c>
      <c r="J5357" s="81" t="s">
        <v>6343</v>
      </c>
    </row>
    <row r="5358" hidden="1">
      <c r="A5358" s="83" t="s">
        <v>6339</v>
      </c>
      <c r="B5358" s="83" t="s">
        <v>6340</v>
      </c>
      <c r="C5358" s="81" t="s">
        <v>4621</v>
      </c>
      <c r="D5358" s="83" t="s">
        <v>4469</v>
      </c>
      <c r="E5358" s="81" t="s">
        <v>2183</v>
      </c>
      <c r="F5358" s="81">
        <v>419.0</v>
      </c>
      <c r="G5358" s="81" t="s">
        <v>41</v>
      </c>
      <c r="H5358" s="81" t="s">
        <v>2183</v>
      </c>
      <c r="I5358" s="81" t="s">
        <v>2190</v>
      </c>
      <c r="J5358" s="81" t="s">
        <v>6343</v>
      </c>
    </row>
    <row r="5359" hidden="1">
      <c r="A5359" s="83" t="s">
        <v>6339</v>
      </c>
      <c r="B5359" s="83" t="s">
        <v>6340</v>
      </c>
      <c r="C5359" s="81" t="s">
        <v>4621</v>
      </c>
      <c r="D5359" s="83" t="s">
        <v>4469</v>
      </c>
      <c r="E5359" s="81" t="s">
        <v>2195</v>
      </c>
      <c r="F5359" s="81">
        <v>420.0</v>
      </c>
      <c r="G5359" s="81" t="s">
        <v>41</v>
      </c>
      <c r="H5359" s="81" t="s">
        <v>2183</v>
      </c>
      <c r="I5359" s="81" t="s">
        <v>2190</v>
      </c>
      <c r="J5359" s="81" t="s">
        <v>6343</v>
      </c>
    </row>
    <row r="5360" hidden="1">
      <c r="A5360" s="83" t="s">
        <v>6339</v>
      </c>
      <c r="B5360" s="83" t="s">
        <v>6340</v>
      </c>
      <c r="C5360" s="81" t="s">
        <v>4621</v>
      </c>
      <c r="D5360" s="83" t="s">
        <v>4471</v>
      </c>
      <c r="E5360" s="81" t="s">
        <v>2196</v>
      </c>
      <c r="F5360" s="81">
        <v>421.0</v>
      </c>
      <c r="G5360" s="81" t="s">
        <v>41</v>
      </c>
      <c r="H5360" s="81" t="s">
        <v>2183</v>
      </c>
      <c r="I5360" s="81" t="s">
        <v>2190</v>
      </c>
      <c r="J5360" s="81" t="s">
        <v>6343</v>
      </c>
    </row>
    <row r="5361" hidden="1">
      <c r="A5361" s="83" t="s">
        <v>6339</v>
      </c>
      <c r="B5361" s="83" t="s">
        <v>6340</v>
      </c>
      <c r="C5361" s="81" t="s">
        <v>4621</v>
      </c>
      <c r="D5361" s="83" t="s">
        <v>4472</v>
      </c>
      <c r="E5361" s="81" t="s">
        <v>2199</v>
      </c>
      <c r="F5361" s="81">
        <v>422.0</v>
      </c>
      <c r="G5361" s="81" t="s">
        <v>41</v>
      </c>
      <c r="H5361" s="81" t="s">
        <v>2199</v>
      </c>
      <c r="I5361" s="81" t="s">
        <v>2203</v>
      </c>
      <c r="J5361" s="81" t="s">
        <v>6343</v>
      </c>
    </row>
    <row r="5362" hidden="1">
      <c r="A5362" s="83" t="s">
        <v>6339</v>
      </c>
      <c r="B5362" s="83" t="s">
        <v>6340</v>
      </c>
      <c r="C5362" s="81" t="s">
        <v>4621</v>
      </c>
      <c r="D5362" s="83" t="s">
        <v>4472</v>
      </c>
      <c r="E5362" s="81" t="s">
        <v>2208</v>
      </c>
      <c r="F5362" s="81">
        <v>423.0</v>
      </c>
      <c r="G5362" s="81" t="s">
        <v>41</v>
      </c>
      <c r="H5362" s="81" t="s">
        <v>2199</v>
      </c>
      <c r="I5362" s="81" t="s">
        <v>2203</v>
      </c>
      <c r="J5362" s="81" t="s">
        <v>6343</v>
      </c>
    </row>
    <row r="5363" hidden="1">
      <c r="A5363" s="83" t="s">
        <v>6339</v>
      </c>
      <c r="B5363" s="83" t="s">
        <v>6340</v>
      </c>
      <c r="C5363" s="81" t="s">
        <v>4621</v>
      </c>
      <c r="D5363" s="83" t="s">
        <v>4474</v>
      </c>
      <c r="E5363" s="81" t="s">
        <v>2209</v>
      </c>
      <c r="F5363" s="81">
        <v>424.0</v>
      </c>
      <c r="G5363" s="81" t="s">
        <v>41</v>
      </c>
      <c r="H5363" s="81" t="s">
        <v>2199</v>
      </c>
      <c r="I5363" s="81" t="s">
        <v>2203</v>
      </c>
      <c r="J5363" s="81" t="s">
        <v>6343</v>
      </c>
    </row>
    <row r="5364" hidden="1">
      <c r="A5364" s="83" t="s">
        <v>6339</v>
      </c>
      <c r="B5364" s="83" t="s">
        <v>6340</v>
      </c>
      <c r="C5364" s="81" t="s">
        <v>4082</v>
      </c>
      <c r="D5364" s="83" t="s">
        <v>4475</v>
      </c>
      <c r="E5364" s="81" t="s">
        <v>2212</v>
      </c>
      <c r="F5364" s="81">
        <v>425.0</v>
      </c>
      <c r="G5364" s="81" t="s">
        <v>41</v>
      </c>
      <c r="H5364" s="81" t="s">
        <v>2226</v>
      </c>
      <c r="I5364" s="81" t="s">
        <v>224</v>
      </c>
      <c r="J5364" s="81" t="s">
        <v>6354</v>
      </c>
    </row>
    <row r="5365" hidden="1">
      <c r="A5365" s="83" t="s">
        <v>6339</v>
      </c>
      <c r="B5365" s="83" t="s">
        <v>6340</v>
      </c>
      <c r="C5365" s="81" t="s">
        <v>4621</v>
      </c>
      <c r="D5365" s="83" t="s">
        <v>4478</v>
      </c>
      <c r="E5365" s="81" t="s">
        <v>2230</v>
      </c>
      <c r="F5365" s="81">
        <v>428.0</v>
      </c>
      <c r="G5365" s="81" t="s">
        <v>41</v>
      </c>
      <c r="H5365" s="81" t="s">
        <v>4480</v>
      </c>
      <c r="I5365" s="81" t="s">
        <v>2236</v>
      </c>
      <c r="J5365" s="81" t="s">
        <v>6343</v>
      </c>
    </row>
    <row r="5366" hidden="1">
      <c r="A5366" s="83" t="s">
        <v>6339</v>
      </c>
      <c r="B5366" s="83" t="s">
        <v>6340</v>
      </c>
      <c r="C5366" s="81" t="s">
        <v>4621</v>
      </c>
      <c r="D5366" s="83" t="s">
        <v>4478</v>
      </c>
      <c r="E5366" s="81" t="s">
        <v>2241</v>
      </c>
      <c r="F5366" s="81">
        <v>429.0</v>
      </c>
      <c r="G5366" s="81" t="s">
        <v>41</v>
      </c>
      <c r="H5366" s="81" t="s">
        <v>4480</v>
      </c>
      <c r="I5366" s="81" t="s">
        <v>2236</v>
      </c>
      <c r="J5366" s="81" t="s">
        <v>6343</v>
      </c>
    </row>
    <row r="5367" hidden="1">
      <c r="A5367" s="83" t="s">
        <v>6339</v>
      </c>
      <c r="B5367" s="83" t="s">
        <v>6340</v>
      </c>
      <c r="C5367" s="81" t="s">
        <v>4621</v>
      </c>
      <c r="D5367" s="83" t="s">
        <v>4481</v>
      </c>
      <c r="E5367" s="81" t="s">
        <v>2242</v>
      </c>
      <c r="F5367" s="81">
        <v>430.0</v>
      </c>
      <c r="G5367" s="81" t="s">
        <v>41</v>
      </c>
      <c r="H5367" s="81" t="s">
        <v>4480</v>
      </c>
      <c r="I5367" s="81" t="s">
        <v>2236</v>
      </c>
      <c r="J5367" s="81" t="s">
        <v>6343</v>
      </c>
    </row>
    <row r="5368" hidden="1">
      <c r="A5368" s="83" t="s">
        <v>6339</v>
      </c>
      <c r="B5368" s="83" t="s">
        <v>6340</v>
      </c>
      <c r="C5368" s="81" t="s">
        <v>4621</v>
      </c>
      <c r="D5368" s="83" t="s">
        <v>4482</v>
      </c>
      <c r="E5368" s="81" t="s">
        <v>2245</v>
      </c>
      <c r="F5368" s="81">
        <v>431.0</v>
      </c>
      <c r="G5368" s="81" t="s">
        <v>41</v>
      </c>
      <c r="H5368" s="81" t="s">
        <v>4480</v>
      </c>
      <c r="I5368" s="81" t="s">
        <v>2236</v>
      </c>
      <c r="J5368" s="81" t="s">
        <v>6343</v>
      </c>
    </row>
    <row r="5369" hidden="1">
      <c r="A5369" s="83" t="s">
        <v>6339</v>
      </c>
      <c r="B5369" s="83" t="s">
        <v>6340</v>
      </c>
      <c r="C5369" s="81" t="s">
        <v>4621</v>
      </c>
      <c r="D5369" s="83" t="s">
        <v>4483</v>
      </c>
      <c r="E5369" s="81" t="s">
        <v>2254</v>
      </c>
      <c r="F5369" s="81">
        <v>432.0</v>
      </c>
      <c r="G5369" s="81" t="s">
        <v>41</v>
      </c>
      <c r="H5369" s="81" t="s">
        <v>4480</v>
      </c>
      <c r="I5369" s="81" t="s">
        <v>2236</v>
      </c>
      <c r="J5369" s="81" t="s">
        <v>6343</v>
      </c>
    </row>
    <row r="5370" hidden="1">
      <c r="A5370" s="83" t="s">
        <v>6339</v>
      </c>
      <c r="B5370" s="83" t="s">
        <v>6340</v>
      </c>
      <c r="C5370" s="81" t="s">
        <v>4621</v>
      </c>
      <c r="D5370" s="83" t="s">
        <v>4484</v>
      </c>
      <c r="E5370" s="81" t="s">
        <v>2256</v>
      </c>
      <c r="F5370" s="81">
        <v>433.0</v>
      </c>
      <c r="G5370" s="81" t="s">
        <v>41</v>
      </c>
      <c r="H5370" s="81" t="s">
        <v>2256</v>
      </c>
      <c r="I5370" s="81" t="s">
        <v>2262</v>
      </c>
      <c r="J5370" s="81" t="s">
        <v>6343</v>
      </c>
    </row>
    <row r="5371" hidden="1">
      <c r="A5371" s="83" t="s">
        <v>6339</v>
      </c>
      <c r="B5371" s="83" t="s">
        <v>6340</v>
      </c>
      <c r="C5371" s="81" t="s">
        <v>4621</v>
      </c>
      <c r="D5371" s="83" t="s">
        <v>4484</v>
      </c>
      <c r="E5371" s="81" t="s">
        <v>2267</v>
      </c>
      <c r="F5371" s="81">
        <v>434.0</v>
      </c>
      <c r="G5371" s="81" t="s">
        <v>41</v>
      </c>
      <c r="H5371" s="81" t="s">
        <v>2256</v>
      </c>
      <c r="I5371" s="81" t="s">
        <v>2262</v>
      </c>
      <c r="J5371" s="81" t="s">
        <v>6343</v>
      </c>
    </row>
    <row r="5372" hidden="1">
      <c r="A5372" s="83" t="s">
        <v>6339</v>
      </c>
      <c r="B5372" s="83" t="s">
        <v>6340</v>
      </c>
      <c r="C5372" s="81" t="s">
        <v>4621</v>
      </c>
      <c r="D5372" s="83" t="s">
        <v>4486</v>
      </c>
      <c r="E5372" s="81" t="s">
        <v>2268</v>
      </c>
      <c r="F5372" s="81">
        <v>435.0</v>
      </c>
      <c r="G5372" s="81" t="s">
        <v>41</v>
      </c>
      <c r="H5372" s="81" t="s">
        <v>2256</v>
      </c>
      <c r="I5372" s="81" t="s">
        <v>2262</v>
      </c>
      <c r="J5372" s="81" t="s">
        <v>6343</v>
      </c>
    </row>
    <row r="5373" hidden="1">
      <c r="A5373" s="83" t="s">
        <v>6339</v>
      </c>
      <c r="B5373" s="83" t="s">
        <v>6340</v>
      </c>
      <c r="C5373" s="81" t="s">
        <v>4621</v>
      </c>
      <c r="D5373" s="83" t="s">
        <v>4487</v>
      </c>
      <c r="E5373" s="81" t="s">
        <v>2271</v>
      </c>
      <c r="F5373" s="81">
        <v>436.0</v>
      </c>
      <c r="G5373" s="81" t="s">
        <v>41</v>
      </c>
      <c r="H5373" s="81" t="s">
        <v>2271</v>
      </c>
      <c r="I5373" s="81" t="s">
        <v>2276</v>
      </c>
      <c r="J5373" s="81" t="s">
        <v>6343</v>
      </c>
    </row>
    <row r="5374" hidden="1">
      <c r="A5374" s="83" t="s">
        <v>6339</v>
      </c>
      <c r="B5374" s="83" t="s">
        <v>6340</v>
      </c>
      <c r="C5374" s="81" t="s">
        <v>4621</v>
      </c>
      <c r="D5374" s="83" t="s">
        <v>4487</v>
      </c>
      <c r="E5374" s="81" t="s">
        <v>2281</v>
      </c>
      <c r="F5374" s="81">
        <v>437.0</v>
      </c>
      <c r="G5374" s="81" t="s">
        <v>41</v>
      </c>
      <c r="H5374" s="81" t="s">
        <v>2271</v>
      </c>
      <c r="I5374" s="81" t="s">
        <v>2276</v>
      </c>
      <c r="J5374" s="81" t="s">
        <v>6343</v>
      </c>
    </row>
    <row r="5375" hidden="1">
      <c r="A5375" s="83" t="s">
        <v>6339</v>
      </c>
      <c r="B5375" s="83" t="s">
        <v>6340</v>
      </c>
      <c r="C5375" s="81" t="s">
        <v>4621</v>
      </c>
      <c r="D5375" s="83" t="s">
        <v>4489</v>
      </c>
      <c r="E5375" s="81" t="s">
        <v>2282</v>
      </c>
      <c r="F5375" s="81">
        <v>438.0</v>
      </c>
      <c r="G5375" s="81" t="s">
        <v>41</v>
      </c>
      <c r="H5375" s="81" t="s">
        <v>2271</v>
      </c>
      <c r="I5375" s="81" t="s">
        <v>2276</v>
      </c>
      <c r="J5375" s="81" t="s">
        <v>6343</v>
      </c>
    </row>
    <row r="5376" hidden="1">
      <c r="A5376" s="83" t="s">
        <v>6339</v>
      </c>
      <c r="B5376" s="83" t="s">
        <v>6340</v>
      </c>
      <c r="C5376" s="81" t="s">
        <v>4082</v>
      </c>
      <c r="D5376" s="83" t="s">
        <v>4490</v>
      </c>
      <c r="E5376" s="81" t="s">
        <v>2285</v>
      </c>
      <c r="F5376" s="81">
        <v>439.0</v>
      </c>
      <c r="G5376" s="81" t="s">
        <v>41</v>
      </c>
      <c r="H5376" s="81" t="s">
        <v>2296</v>
      </c>
      <c r="I5376" s="81" t="s">
        <v>224</v>
      </c>
      <c r="J5376" s="81" t="s">
        <v>6355</v>
      </c>
    </row>
    <row r="5377" hidden="1">
      <c r="A5377" s="83" t="s">
        <v>6339</v>
      </c>
      <c r="B5377" s="83" t="s">
        <v>6340</v>
      </c>
      <c r="C5377" s="81" t="s">
        <v>4621</v>
      </c>
      <c r="D5377" s="83" t="s">
        <v>4494</v>
      </c>
      <c r="E5377" s="81" t="s">
        <v>2300</v>
      </c>
      <c r="F5377" s="81">
        <v>442.0</v>
      </c>
      <c r="G5377" s="81" t="s">
        <v>41</v>
      </c>
      <c r="H5377" s="81" t="s">
        <v>2300</v>
      </c>
      <c r="I5377" s="81" t="s">
        <v>2304</v>
      </c>
      <c r="J5377" s="81" t="s">
        <v>6343</v>
      </c>
    </row>
    <row r="5378" hidden="1">
      <c r="A5378" s="83" t="s">
        <v>6339</v>
      </c>
      <c r="B5378" s="83" t="s">
        <v>6340</v>
      </c>
      <c r="C5378" s="81" t="s">
        <v>4621</v>
      </c>
      <c r="D5378" s="83" t="s">
        <v>4494</v>
      </c>
      <c r="E5378" s="81" t="s">
        <v>2307</v>
      </c>
      <c r="F5378" s="81">
        <v>443.0</v>
      </c>
      <c r="G5378" s="81" t="s">
        <v>41</v>
      </c>
      <c r="H5378" s="81" t="s">
        <v>2300</v>
      </c>
      <c r="I5378" s="81" t="s">
        <v>2304</v>
      </c>
      <c r="J5378" s="81" t="s">
        <v>6343</v>
      </c>
    </row>
    <row r="5379" hidden="1">
      <c r="A5379" s="83" t="s">
        <v>6339</v>
      </c>
      <c r="B5379" s="83" t="s">
        <v>6340</v>
      </c>
      <c r="C5379" s="81" t="s">
        <v>4621</v>
      </c>
      <c r="D5379" s="83" t="s">
        <v>4495</v>
      </c>
      <c r="E5379" s="81" t="s">
        <v>2308</v>
      </c>
      <c r="F5379" s="81">
        <v>444.0</v>
      </c>
      <c r="G5379" s="81" t="s">
        <v>41</v>
      </c>
      <c r="H5379" s="81" t="s">
        <v>2300</v>
      </c>
      <c r="I5379" s="81" t="s">
        <v>2304</v>
      </c>
      <c r="J5379" s="81" t="s">
        <v>6343</v>
      </c>
    </row>
    <row r="5380" hidden="1">
      <c r="A5380" s="83" t="s">
        <v>6339</v>
      </c>
      <c r="B5380" s="83" t="s">
        <v>6340</v>
      </c>
      <c r="C5380" s="81" t="s">
        <v>4621</v>
      </c>
      <c r="D5380" s="83" t="s">
        <v>4496</v>
      </c>
      <c r="E5380" s="81" t="s">
        <v>2310</v>
      </c>
      <c r="F5380" s="81">
        <v>445.0</v>
      </c>
      <c r="G5380" s="81" t="s">
        <v>41</v>
      </c>
      <c r="H5380" s="81" t="s">
        <v>2310</v>
      </c>
      <c r="I5380" s="81" t="s">
        <v>2314</v>
      </c>
      <c r="J5380" s="81" t="s">
        <v>6343</v>
      </c>
    </row>
    <row r="5381" hidden="1">
      <c r="A5381" s="83" t="s">
        <v>6339</v>
      </c>
      <c r="B5381" s="83" t="s">
        <v>6340</v>
      </c>
      <c r="C5381" s="81" t="s">
        <v>4621</v>
      </c>
      <c r="D5381" s="83" t="s">
        <v>4496</v>
      </c>
      <c r="E5381" s="81" t="s">
        <v>2317</v>
      </c>
      <c r="F5381" s="81">
        <v>446.0</v>
      </c>
      <c r="G5381" s="81" t="s">
        <v>41</v>
      </c>
      <c r="H5381" s="81" t="s">
        <v>2310</v>
      </c>
      <c r="I5381" s="81" t="s">
        <v>2314</v>
      </c>
      <c r="J5381" s="81" t="s">
        <v>6343</v>
      </c>
    </row>
    <row r="5382" hidden="1">
      <c r="A5382" s="83" t="s">
        <v>6339</v>
      </c>
      <c r="B5382" s="83" t="s">
        <v>6340</v>
      </c>
      <c r="C5382" s="81" t="s">
        <v>4621</v>
      </c>
      <c r="D5382" s="83" t="s">
        <v>4497</v>
      </c>
      <c r="E5382" s="81" t="s">
        <v>2318</v>
      </c>
      <c r="F5382" s="81">
        <v>447.0</v>
      </c>
      <c r="G5382" s="81" t="s">
        <v>41</v>
      </c>
      <c r="H5382" s="81" t="s">
        <v>2310</v>
      </c>
      <c r="I5382" s="81" t="s">
        <v>2314</v>
      </c>
      <c r="J5382" s="81" t="s">
        <v>6343</v>
      </c>
    </row>
    <row r="5383" hidden="1">
      <c r="A5383" s="83" t="s">
        <v>6339</v>
      </c>
      <c r="B5383" s="83" t="s">
        <v>6340</v>
      </c>
      <c r="C5383" s="81" t="s">
        <v>4621</v>
      </c>
      <c r="D5383" s="83" t="s">
        <v>4501</v>
      </c>
      <c r="E5383" s="81" t="s">
        <v>2329</v>
      </c>
      <c r="F5383" s="81">
        <v>451.0</v>
      </c>
      <c r="G5383" s="81" t="s">
        <v>41</v>
      </c>
      <c r="H5383" s="81" t="s">
        <v>2329</v>
      </c>
      <c r="I5383" s="81" t="s">
        <v>2333</v>
      </c>
      <c r="J5383" s="81" t="s">
        <v>6343</v>
      </c>
    </row>
    <row r="5384" hidden="1">
      <c r="A5384" s="83" t="s">
        <v>6339</v>
      </c>
      <c r="B5384" s="83" t="s">
        <v>6340</v>
      </c>
      <c r="C5384" s="81" t="s">
        <v>4621</v>
      </c>
      <c r="D5384" s="83" t="s">
        <v>4503</v>
      </c>
      <c r="E5384" s="81" t="s">
        <v>2334</v>
      </c>
      <c r="F5384" s="81">
        <v>452.0</v>
      </c>
      <c r="G5384" s="81" t="s">
        <v>41</v>
      </c>
      <c r="H5384" s="81" t="s">
        <v>1825</v>
      </c>
      <c r="I5384" s="81" t="s">
        <v>1837</v>
      </c>
      <c r="J5384" s="81" t="s">
        <v>6343</v>
      </c>
    </row>
    <row r="5385" hidden="1">
      <c r="A5385" s="83" t="s">
        <v>6339</v>
      </c>
      <c r="B5385" s="83" t="s">
        <v>6340</v>
      </c>
      <c r="C5385" s="81" t="s">
        <v>4621</v>
      </c>
      <c r="D5385" s="83" t="s">
        <v>4504</v>
      </c>
      <c r="E5385" s="81" t="s">
        <v>2335</v>
      </c>
      <c r="F5385" s="81">
        <v>453.0</v>
      </c>
      <c r="G5385" s="81" t="s">
        <v>41</v>
      </c>
      <c r="H5385" s="81" t="s">
        <v>1825</v>
      </c>
      <c r="I5385" s="81" t="s">
        <v>1837</v>
      </c>
      <c r="J5385" s="81" t="s">
        <v>6343</v>
      </c>
    </row>
    <row r="5386" hidden="1">
      <c r="A5386" s="83" t="s">
        <v>6339</v>
      </c>
      <c r="B5386" s="83" t="s">
        <v>6340</v>
      </c>
      <c r="C5386" s="81" t="s">
        <v>4621</v>
      </c>
      <c r="D5386" s="83" t="s">
        <v>4505</v>
      </c>
      <c r="E5386" s="81" t="s">
        <v>2337</v>
      </c>
      <c r="F5386" s="81">
        <v>454.0</v>
      </c>
      <c r="G5386" s="81" t="s">
        <v>41</v>
      </c>
      <c r="H5386" s="81" t="s">
        <v>1825</v>
      </c>
      <c r="I5386" s="81" t="s">
        <v>1837</v>
      </c>
      <c r="J5386" s="81" t="s">
        <v>6343</v>
      </c>
    </row>
    <row r="5387" hidden="1">
      <c r="A5387" s="83" t="s">
        <v>6339</v>
      </c>
      <c r="B5387" s="83" t="s">
        <v>6340</v>
      </c>
      <c r="C5387" s="81" t="s">
        <v>4621</v>
      </c>
      <c r="D5387" s="83" t="s">
        <v>4506</v>
      </c>
      <c r="E5387" s="81" t="s">
        <v>2338</v>
      </c>
      <c r="F5387" s="81">
        <v>455.0</v>
      </c>
      <c r="G5387" s="81" t="s">
        <v>41</v>
      </c>
      <c r="H5387" s="81" t="s">
        <v>2338</v>
      </c>
      <c r="I5387" s="81" t="s">
        <v>2344</v>
      </c>
      <c r="J5387" s="81" t="s">
        <v>6343</v>
      </c>
    </row>
    <row r="5388" hidden="1">
      <c r="A5388" s="83" t="s">
        <v>6339</v>
      </c>
      <c r="B5388" s="83" t="s">
        <v>6340</v>
      </c>
      <c r="C5388" s="81" t="s">
        <v>4621</v>
      </c>
      <c r="D5388" s="83" t="s">
        <v>4507</v>
      </c>
      <c r="E5388" s="81" t="s">
        <v>2349</v>
      </c>
      <c r="F5388" s="81">
        <v>456.0</v>
      </c>
      <c r="G5388" s="81" t="s">
        <v>41</v>
      </c>
      <c r="H5388" s="81" t="s">
        <v>1923</v>
      </c>
      <c r="I5388" s="81" t="s">
        <v>1929</v>
      </c>
      <c r="J5388" s="81" t="s">
        <v>6343</v>
      </c>
    </row>
    <row r="5389" hidden="1">
      <c r="A5389" s="83" t="s">
        <v>6339</v>
      </c>
      <c r="B5389" s="83" t="s">
        <v>6340</v>
      </c>
      <c r="C5389" s="81" t="s">
        <v>4621</v>
      </c>
      <c r="D5389" s="83" t="s">
        <v>4508</v>
      </c>
      <c r="E5389" s="81" t="s">
        <v>2352</v>
      </c>
      <c r="F5389" s="81">
        <v>457.0</v>
      </c>
      <c r="G5389" s="81" t="s">
        <v>41</v>
      </c>
      <c r="H5389" s="81" t="s">
        <v>1935</v>
      </c>
      <c r="I5389" s="81" t="s">
        <v>1944</v>
      </c>
      <c r="J5389" s="81" t="s">
        <v>6343</v>
      </c>
    </row>
    <row r="5390" hidden="1">
      <c r="A5390" s="83" t="s">
        <v>6339</v>
      </c>
      <c r="B5390" s="83" t="s">
        <v>6340</v>
      </c>
      <c r="C5390" s="81" t="s">
        <v>4621</v>
      </c>
      <c r="D5390" s="83" t="s">
        <v>4509</v>
      </c>
      <c r="E5390" s="81" t="s">
        <v>2355</v>
      </c>
      <c r="F5390" s="81">
        <v>458.0</v>
      </c>
      <c r="G5390" s="81" t="s">
        <v>41</v>
      </c>
      <c r="H5390" s="81" t="s">
        <v>1950</v>
      </c>
      <c r="I5390" s="81" t="s">
        <v>1958</v>
      </c>
      <c r="J5390" s="81" t="s">
        <v>6343</v>
      </c>
    </row>
    <row r="5391" hidden="1">
      <c r="A5391" s="83" t="s">
        <v>6339</v>
      </c>
      <c r="B5391" s="83" t="s">
        <v>6340</v>
      </c>
      <c r="C5391" s="81" t="s">
        <v>4621</v>
      </c>
      <c r="D5391" s="83" t="s">
        <v>4510</v>
      </c>
      <c r="E5391" s="81" t="s">
        <v>2357</v>
      </c>
      <c r="F5391" s="81">
        <v>459.0</v>
      </c>
      <c r="G5391" s="81" t="s">
        <v>41</v>
      </c>
      <c r="H5391" s="81" t="s">
        <v>1950</v>
      </c>
      <c r="I5391" s="81" t="s">
        <v>1958</v>
      </c>
      <c r="J5391" s="81" t="s">
        <v>6343</v>
      </c>
    </row>
    <row r="5392" hidden="1">
      <c r="A5392" s="83" t="s">
        <v>6339</v>
      </c>
      <c r="B5392" s="83" t="s">
        <v>6340</v>
      </c>
      <c r="C5392" s="81" t="s">
        <v>4621</v>
      </c>
      <c r="D5392" s="83" t="s">
        <v>4511</v>
      </c>
      <c r="E5392" s="81" t="s">
        <v>2359</v>
      </c>
      <c r="F5392" s="81">
        <v>460.0</v>
      </c>
      <c r="G5392" s="81" t="s">
        <v>41</v>
      </c>
      <c r="H5392" s="81" t="s">
        <v>1825</v>
      </c>
      <c r="I5392" s="81" t="s">
        <v>1837</v>
      </c>
      <c r="J5392" s="81" t="s">
        <v>6343</v>
      </c>
    </row>
    <row r="5393" hidden="1">
      <c r="A5393" s="83" t="s">
        <v>6339</v>
      </c>
      <c r="B5393" s="83" t="s">
        <v>6340</v>
      </c>
      <c r="C5393" s="81" t="s">
        <v>4621</v>
      </c>
      <c r="D5393" s="83" t="s">
        <v>4512</v>
      </c>
      <c r="E5393" s="81" t="s">
        <v>2363</v>
      </c>
      <c r="F5393" s="81">
        <v>461.0</v>
      </c>
      <c r="G5393" s="81" t="s">
        <v>41</v>
      </c>
      <c r="H5393" s="81" t="s">
        <v>1825</v>
      </c>
      <c r="I5393" s="81" t="s">
        <v>1837</v>
      </c>
      <c r="J5393" s="81" t="s">
        <v>6343</v>
      </c>
    </row>
    <row r="5394" hidden="1">
      <c r="A5394" s="83" t="s">
        <v>6339</v>
      </c>
      <c r="B5394" s="83" t="s">
        <v>6340</v>
      </c>
      <c r="C5394" s="81" t="s">
        <v>4621</v>
      </c>
      <c r="D5394" s="83" t="s">
        <v>4513</v>
      </c>
      <c r="E5394" s="81" t="s">
        <v>2366</v>
      </c>
      <c r="F5394" s="81">
        <v>462.0</v>
      </c>
      <c r="G5394" s="81" t="s">
        <v>41</v>
      </c>
      <c r="H5394" s="81" t="s">
        <v>4514</v>
      </c>
      <c r="I5394" s="81" t="s">
        <v>2372</v>
      </c>
      <c r="J5394" s="81" t="s">
        <v>6343</v>
      </c>
    </row>
    <row r="5395" hidden="1">
      <c r="A5395" s="83" t="s">
        <v>6339</v>
      </c>
      <c r="B5395" s="83" t="s">
        <v>6340</v>
      </c>
      <c r="C5395" s="81" t="s">
        <v>4621</v>
      </c>
      <c r="D5395" s="83" t="s">
        <v>4515</v>
      </c>
      <c r="E5395" s="81" t="s">
        <v>2373</v>
      </c>
      <c r="F5395" s="81">
        <v>463.0</v>
      </c>
      <c r="G5395" s="81" t="s">
        <v>41</v>
      </c>
      <c r="H5395" s="81" t="s">
        <v>4514</v>
      </c>
      <c r="I5395" s="81" t="s">
        <v>2372</v>
      </c>
      <c r="J5395" s="81" t="s">
        <v>6343</v>
      </c>
    </row>
    <row r="5396" hidden="1">
      <c r="A5396" s="83" t="s">
        <v>6339</v>
      </c>
      <c r="B5396" s="83" t="s">
        <v>6340</v>
      </c>
      <c r="C5396" s="81" t="s">
        <v>4621</v>
      </c>
      <c r="D5396" s="83" t="s">
        <v>4516</v>
      </c>
      <c r="E5396" s="81" t="s">
        <v>2377</v>
      </c>
      <c r="F5396" s="81">
        <v>464.0</v>
      </c>
      <c r="G5396" s="81" t="s">
        <v>41</v>
      </c>
      <c r="H5396" s="81" t="s">
        <v>1825</v>
      </c>
      <c r="I5396" s="81" t="s">
        <v>1837</v>
      </c>
      <c r="J5396" s="81" t="s">
        <v>6343</v>
      </c>
    </row>
    <row r="5397" hidden="1">
      <c r="A5397" s="83" t="s">
        <v>6339</v>
      </c>
      <c r="B5397" s="83" t="s">
        <v>6340</v>
      </c>
      <c r="C5397" s="81" t="s">
        <v>4621</v>
      </c>
      <c r="D5397" s="83" t="s">
        <v>4517</v>
      </c>
      <c r="E5397" s="81" t="s">
        <v>2380</v>
      </c>
      <c r="F5397" s="81">
        <v>465.0</v>
      </c>
      <c r="G5397" s="81" t="s">
        <v>41</v>
      </c>
      <c r="H5397" s="81" t="s">
        <v>2380</v>
      </c>
      <c r="I5397" s="81" t="s">
        <v>2387</v>
      </c>
      <c r="J5397" s="81" t="s">
        <v>6343</v>
      </c>
    </row>
    <row r="5398" hidden="1">
      <c r="A5398" s="83" t="s">
        <v>6339</v>
      </c>
      <c r="B5398" s="83" t="s">
        <v>6340</v>
      </c>
      <c r="C5398" s="81" t="s">
        <v>4621</v>
      </c>
      <c r="D5398" s="83" t="s">
        <v>4517</v>
      </c>
      <c r="E5398" s="81" t="s">
        <v>2391</v>
      </c>
      <c r="F5398" s="81">
        <v>466.0</v>
      </c>
      <c r="G5398" s="81" t="s">
        <v>41</v>
      </c>
      <c r="H5398" s="81" t="s">
        <v>2380</v>
      </c>
      <c r="I5398" s="81" t="s">
        <v>2387</v>
      </c>
      <c r="J5398" s="81" t="s">
        <v>6343</v>
      </c>
    </row>
    <row r="5399" hidden="1">
      <c r="A5399" s="83" t="s">
        <v>6339</v>
      </c>
      <c r="B5399" s="83" t="s">
        <v>6340</v>
      </c>
      <c r="C5399" s="81" t="s">
        <v>4621</v>
      </c>
      <c r="D5399" s="83" t="s">
        <v>4518</v>
      </c>
      <c r="E5399" s="81" t="s">
        <v>2393</v>
      </c>
      <c r="F5399" s="81">
        <v>467.0</v>
      </c>
      <c r="G5399" s="81" t="s">
        <v>41</v>
      </c>
      <c r="H5399" s="81" t="s">
        <v>2380</v>
      </c>
      <c r="I5399" s="81" t="s">
        <v>2387</v>
      </c>
      <c r="J5399" s="81" t="s">
        <v>6343</v>
      </c>
    </row>
    <row r="5400" hidden="1">
      <c r="A5400" s="83" t="s">
        <v>6339</v>
      </c>
      <c r="B5400" s="83" t="s">
        <v>6340</v>
      </c>
      <c r="C5400" s="81" t="s">
        <v>4621</v>
      </c>
      <c r="D5400" s="83" t="s">
        <v>4519</v>
      </c>
      <c r="E5400" s="81" t="s">
        <v>2402</v>
      </c>
      <c r="F5400" s="81">
        <v>468.0</v>
      </c>
      <c r="G5400" s="81" t="s">
        <v>41</v>
      </c>
      <c r="H5400" s="81" t="s">
        <v>2380</v>
      </c>
      <c r="I5400" s="81" t="s">
        <v>2387</v>
      </c>
      <c r="J5400" s="81" t="s">
        <v>6343</v>
      </c>
    </row>
    <row r="5401" hidden="1">
      <c r="A5401" s="83" t="s">
        <v>6339</v>
      </c>
      <c r="B5401" s="83" t="s">
        <v>6340</v>
      </c>
      <c r="C5401" s="81" t="s">
        <v>4621</v>
      </c>
      <c r="D5401" s="83" t="s">
        <v>4520</v>
      </c>
      <c r="E5401" s="81" t="s">
        <v>2409</v>
      </c>
      <c r="F5401" s="81">
        <v>469.0</v>
      </c>
      <c r="G5401" s="81" t="s">
        <v>41</v>
      </c>
      <c r="H5401" s="81" t="s">
        <v>2087</v>
      </c>
      <c r="I5401" s="81" t="s">
        <v>2093</v>
      </c>
      <c r="J5401" s="81" t="s">
        <v>6343</v>
      </c>
    </row>
    <row r="5402" hidden="1">
      <c r="A5402" s="83" t="s">
        <v>6339</v>
      </c>
      <c r="B5402" s="83" t="s">
        <v>6340</v>
      </c>
      <c r="C5402" s="81" t="s">
        <v>4621</v>
      </c>
      <c r="D5402" s="83" t="s">
        <v>4520</v>
      </c>
      <c r="E5402" s="81" t="s">
        <v>2414</v>
      </c>
      <c r="F5402" s="81">
        <v>470.0</v>
      </c>
      <c r="G5402" s="81" t="s">
        <v>41</v>
      </c>
      <c r="H5402" s="81" t="s">
        <v>2087</v>
      </c>
      <c r="I5402" s="81" t="s">
        <v>2093</v>
      </c>
      <c r="J5402" s="81" t="s">
        <v>6343</v>
      </c>
    </row>
    <row r="5403" hidden="1">
      <c r="A5403" s="83" t="s">
        <v>6339</v>
      </c>
      <c r="B5403" s="83" t="s">
        <v>6340</v>
      </c>
      <c r="C5403" s="81" t="s">
        <v>4621</v>
      </c>
      <c r="D5403" s="83" t="s">
        <v>4523</v>
      </c>
      <c r="E5403" s="81" t="s">
        <v>2416</v>
      </c>
      <c r="F5403" s="81">
        <v>471.0</v>
      </c>
      <c r="G5403" s="81" t="s">
        <v>41</v>
      </c>
      <c r="H5403" s="81" t="s">
        <v>2087</v>
      </c>
      <c r="I5403" s="81" t="s">
        <v>2093</v>
      </c>
      <c r="J5403" s="81" t="s">
        <v>6343</v>
      </c>
    </row>
    <row r="5404" hidden="1">
      <c r="A5404" s="83" t="s">
        <v>6339</v>
      </c>
      <c r="B5404" s="83" t="s">
        <v>6340</v>
      </c>
      <c r="C5404" s="81" t="s">
        <v>4621</v>
      </c>
      <c r="D5404" s="83" t="s">
        <v>4524</v>
      </c>
      <c r="E5404" s="81" t="s">
        <v>2419</v>
      </c>
      <c r="F5404" s="81">
        <v>472.0</v>
      </c>
      <c r="G5404" s="81" t="s">
        <v>41</v>
      </c>
      <c r="H5404" s="81" t="s">
        <v>2419</v>
      </c>
      <c r="I5404" s="81" t="s">
        <v>2435</v>
      </c>
      <c r="J5404" s="81" t="s">
        <v>6343</v>
      </c>
    </row>
    <row r="5405" hidden="1">
      <c r="A5405" s="83" t="s">
        <v>6339</v>
      </c>
      <c r="B5405" s="83" t="s">
        <v>6340</v>
      </c>
      <c r="C5405" s="81" t="s">
        <v>4621</v>
      </c>
      <c r="D5405" s="83" t="s">
        <v>4524</v>
      </c>
      <c r="E5405" s="81" t="s">
        <v>2440</v>
      </c>
      <c r="F5405" s="81">
        <v>473.0</v>
      </c>
      <c r="G5405" s="81" t="s">
        <v>41</v>
      </c>
      <c r="H5405" s="81" t="s">
        <v>2419</v>
      </c>
      <c r="I5405" s="81" t="s">
        <v>2435</v>
      </c>
      <c r="J5405" s="81" t="s">
        <v>6343</v>
      </c>
    </row>
    <row r="5406" hidden="1">
      <c r="A5406" s="83" t="s">
        <v>6339</v>
      </c>
      <c r="B5406" s="83" t="s">
        <v>6340</v>
      </c>
      <c r="C5406" s="81" t="s">
        <v>4621</v>
      </c>
      <c r="D5406" s="83" t="s">
        <v>4527</v>
      </c>
      <c r="E5406" s="81" t="s">
        <v>2444</v>
      </c>
      <c r="F5406" s="81">
        <v>474.0</v>
      </c>
      <c r="G5406" s="81" t="s">
        <v>41</v>
      </c>
      <c r="H5406" s="81" t="s">
        <v>2419</v>
      </c>
      <c r="I5406" s="81" t="s">
        <v>2435</v>
      </c>
      <c r="J5406" s="81" t="s">
        <v>6343</v>
      </c>
    </row>
    <row r="5407" hidden="1">
      <c r="A5407" s="83" t="s">
        <v>6339</v>
      </c>
      <c r="B5407" s="83" t="s">
        <v>6340</v>
      </c>
      <c r="C5407" s="81" t="s">
        <v>4621</v>
      </c>
      <c r="D5407" s="83" t="s">
        <v>4529</v>
      </c>
      <c r="E5407" s="81" t="s">
        <v>2456</v>
      </c>
      <c r="F5407" s="81">
        <v>475.0</v>
      </c>
      <c r="G5407" s="81" t="s">
        <v>41</v>
      </c>
      <c r="H5407" s="81" t="s">
        <v>2456</v>
      </c>
      <c r="I5407" s="81" t="s">
        <v>2469</v>
      </c>
      <c r="J5407" s="81" t="s">
        <v>6343</v>
      </c>
    </row>
    <row r="5408" hidden="1">
      <c r="A5408" s="83" t="s">
        <v>6339</v>
      </c>
      <c r="B5408" s="83" t="s">
        <v>6340</v>
      </c>
      <c r="C5408" s="81" t="s">
        <v>4621</v>
      </c>
      <c r="D5408" s="83" t="s">
        <v>4529</v>
      </c>
      <c r="E5408" s="81" t="s">
        <v>2474</v>
      </c>
      <c r="F5408" s="81">
        <v>476.0</v>
      </c>
      <c r="G5408" s="81" t="s">
        <v>41</v>
      </c>
      <c r="H5408" s="81" t="s">
        <v>2456</v>
      </c>
      <c r="I5408" s="81" t="s">
        <v>2469</v>
      </c>
      <c r="J5408" s="81" t="s">
        <v>6343</v>
      </c>
    </row>
    <row r="5409" hidden="1">
      <c r="A5409" s="83" t="s">
        <v>6339</v>
      </c>
      <c r="B5409" s="83" t="s">
        <v>6340</v>
      </c>
      <c r="C5409" s="81" t="s">
        <v>4621</v>
      </c>
      <c r="D5409" s="83" t="s">
        <v>4530</v>
      </c>
      <c r="E5409" s="81" t="s">
        <v>2475</v>
      </c>
      <c r="F5409" s="81">
        <v>477.0</v>
      </c>
      <c r="G5409" s="81" t="s">
        <v>41</v>
      </c>
      <c r="H5409" s="81" t="s">
        <v>2456</v>
      </c>
      <c r="I5409" s="81" t="s">
        <v>2469</v>
      </c>
      <c r="J5409" s="81" t="s">
        <v>6343</v>
      </c>
    </row>
    <row r="5410" hidden="1">
      <c r="A5410" s="83" t="s">
        <v>6339</v>
      </c>
      <c r="B5410" s="83" t="s">
        <v>6340</v>
      </c>
      <c r="C5410" s="81" t="s">
        <v>4621</v>
      </c>
      <c r="D5410" s="83" t="s">
        <v>4531</v>
      </c>
      <c r="E5410" s="81" t="s">
        <v>2489</v>
      </c>
      <c r="F5410" s="81">
        <v>478.0</v>
      </c>
      <c r="G5410" s="81" t="s">
        <v>41</v>
      </c>
      <c r="H5410" s="81" t="s">
        <v>2489</v>
      </c>
      <c r="I5410" s="81" t="s">
        <v>2499</v>
      </c>
      <c r="J5410" s="81" t="s">
        <v>6343</v>
      </c>
    </row>
    <row r="5411" hidden="1">
      <c r="A5411" s="83" t="s">
        <v>6339</v>
      </c>
      <c r="B5411" s="83" t="s">
        <v>6340</v>
      </c>
      <c r="C5411" s="81" t="s">
        <v>4621</v>
      </c>
      <c r="D5411" s="83" t="s">
        <v>4532</v>
      </c>
      <c r="E5411" s="81" t="s">
        <v>2504</v>
      </c>
      <c r="F5411" s="81">
        <v>479.0</v>
      </c>
      <c r="G5411" s="81" t="s">
        <v>41</v>
      </c>
      <c r="H5411" s="81" t="s">
        <v>2504</v>
      </c>
      <c r="I5411" s="81" t="s">
        <v>2510</v>
      </c>
      <c r="J5411" s="81" t="s">
        <v>6343</v>
      </c>
    </row>
    <row r="5412" hidden="1">
      <c r="A5412" s="83" t="s">
        <v>6339</v>
      </c>
      <c r="B5412" s="83" t="s">
        <v>6340</v>
      </c>
      <c r="C5412" s="81" t="s">
        <v>4621</v>
      </c>
      <c r="D5412" s="83" t="s">
        <v>4532</v>
      </c>
      <c r="E5412" s="81" t="s">
        <v>2515</v>
      </c>
      <c r="F5412" s="81">
        <v>480.0</v>
      </c>
      <c r="G5412" s="81" t="s">
        <v>41</v>
      </c>
      <c r="H5412" s="81" t="s">
        <v>2504</v>
      </c>
      <c r="I5412" s="81" t="s">
        <v>2510</v>
      </c>
      <c r="J5412" s="81" t="s">
        <v>6343</v>
      </c>
    </row>
    <row r="5413" hidden="1">
      <c r="A5413" s="83" t="s">
        <v>6339</v>
      </c>
      <c r="B5413" s="83" t="s">
        <v>6340</v>
      </c>
      <c r="C5413" s="81" t="s">
        <v>4621</v>
      </c>
      <c r="D5413" s="83" t="s">
        <v>4534</v>
      </c>
      <c r="E5413" s="81" t="s">
        <v>2516</v>
      </c>
      <c r="F5413" s="81">
        <v>481.0</v>
      </c>
      <c r="G5413" s="81" t="s">
        <v>41</v>
      </c>
      <c r="H5413" s="81" t="s">
        <v>2504</v>
      </c>
      <c r="I5413" s="81" t="s">
        <v>2510</v>
      </c>
      <c r="J5413" s="81" t="s">
        <v>6343</v>
      </c>
    </row>
    <row r="5414" hidden="1">
      <c r="A5414" s="83" t="s">
        <v>6339</v>
      </c>
      <c r="B5414" s="83" t="s">
        <v>6340</v>
      </c>
      <c r="C5414" s="81" t="s">
        <v>4621</v>
      </c>
      <c r="D5414" s="83" t="s">
        <v>4535</v>
      </c>
      <c r="E5414" s="81" t="s">
        <v>2519</v>
      </c>
      <c r="F5414" s="81">
        <v>482.0</v>
      </c>
      <c r="G5414" s="81" t="s">
        <v>41</v>
      </c>
      <c r="H5414" s="81" t="s">
        <v>2519</v>
      </c>
      <c r="I5414" s="81" t="s">
        <v>2524</v>
      </c>
      <c r="J5414" s="81" t="s">
        <v>6343</v>
      </c>
    </row>
    <row r="5415" hidden="1">
      <c r="A5415" s="83" t="s">
        <v>6339</v>
      </c>
      <c r="B5415" s="83" t="s">
        <v>6340</v>
      </c>
      <c r="C5415" s="81" t="s">
        <v>4621</v>
      </c>
      <c r="D5415" s="83" t="s">
        <v>4535</v>
      </c>
      <c r="E5415" s="81" t="s">
        <v>2529</v>
      </c>
      <c r="F5415" s="81">
        <v>483.0</v>
      </c>
      <c r="G5415" s="81" t="s">
        <v>41</v>
      </c>
      <c r="H5415" s="81" t="s">
        <v>2519</v>
      </c>
      <c r="I5415" s="81" t="s">
        <v>2524</v>
      </c>
      <c r="J5415" s="81" t="s">
        <v>6343</v>
      </c>
    </row>
    <row r="5416" hidden="1">
      <c r="A5416" s="83" t="s">
        <v>6339</v>
      </c>
      <c r="B5416" s="83" t="s">
        <v>6340</v>
      </c>
      <c r="C5416" s="81" t="s">
        <v>4621</v>
      </c>
      <c r="D5416" s="83" t="s">
        <v>4537</v>
      </c>
      <c r="E5416" s="81" t="s">
        <v>2530</v>
      </c>
      <c r="F5416" s="81">
        <v>484.0</v>
      </c>
      <c r="G5416" s="81" t="s">
        <v>41</v>
      </c>
      <c r="H5416" s="81" t="s">
        <v>2519</v>
      </c>
      <c r="I5416" s="81" t="s">
        <v>2524</v>
      </c>
      <c r="J5416" s="81" t="s">
        <v>6343</v>
      </c>
    </row>
    <row r="5417" hidden="1">
      <c r="A5417" s="83" t="s">
        <v>6339</v>
      </c>
      <c r="B5417" s="83" t="s">
        <v>6340</v>
      </c>
      <c r="C5417" s="81" t="s">
        <v>4621</v>
      </c>
      <c r="D5417" s="83" t="s">
        <v>4538</v>
      </c>
      <c r="E5417" s="81" t="s">
        <v>2533</v>
      </c>
      <c r="F5417" s="81">
        <v>485.0</v>
      </c>
      <c r="G5417" s="81" t="s">
        <v>41</v>
      </c>
      <c r="H5417" s="81" t="s">
        <v>2533</v>
      </c>
      <c r="I5417" s="81" t="s">
        <v>2543</v>
      </c>
      <c r="J5417" s="81" t="s">
        <v>6343</v>
      </c>
    </row>
    <row r="5418" hidden="1">
      <c r="A5418" s="83" t="s">
        <v>6339</v>
      </c>
      <c r="B5418" s="83" t="s">
        <v>6340</v>
      </c>
      <c r="C5418" s="81" t="s">
        <v>4621</v>
      </c>
      <c r="D5418" s="83" t="s">
        <v>4538</v>
      </c>
      <c r="E5418" s="81" t="s">
        <v>2548</v>
      </c>
      <c r="F5418" s="81">
        <v>486.0</v>
      </c>
      <c r="G5418" s="81" t="s">
        <v>41</v>
      </c>
      <c r="H5418" s="81" t="s">
        <v>2533</v>
      </c>
      <c r="I5418" s="81" t="s">
        <v>2543</v>
      </c>
      <c r="J5418" s="81" t="s">
        <v>6343</v>
      </c>
    </row>
    <row r="5419" hidden="1">
      <c r="A5419" s="83" t="s">
        <v>6339</v>
      </c>
      <c r="B5419" s="83" t="s">
        <v>6340</v>
      </c>
      <c r="C5419" s="81" t="s">
        <v>4621</v>
      </c>
      <c r="D5419" s="83" t="s">
        <v>4540</v>
      </c>
      <c r="E5419" s="81" t="s">
        <v>2549</v>
      </c>
      <c r="F5419" s="81">
        <v>487.0</v>
      </c>
      <c r="G5419" s="81" t="s">
        <v>41</v>
      </c>
      <c r="H5419" s="81" t="s">
        <v>4542</v>
      </c>
      <c r="I5419" s="81" t="s">
        <v>2557</v>
      </c>
      <c r="J5419" s="81" t="s">
        <v>6343</v>
      </c>
    </row>
    <row r="5420" hidden="1">
      <c r="A5420" s="83" t="s">
        <v>6339</v>
      </c>
      <c r="B5420" s="83" t="s">
        <v>6340</v>
      </c>
      <c r="C5420" s="81" t="s">
        <v>4621</v>
      </c>
      <c r="D5420" s="83" t="s">
        <v>4540</v>
      </c>
      <c r="E5420" s="81" t="s">
        <v>2562</v>
      </c>
      <c r="F5420" s="81">
        <v>488.0</v>
      </c>
      <c r="G5420" s="81" t="s">
        <v>41</v>
      </c>
      <c r="H5420" s="81" t="s">
        <v>4542</v>
      </c>
      <c r="I5420" s="81" t="s">
        <v>2557</v>
      </c>
      <c r="J5420" s="81" t="s">
        <v>6343</v>
      </c>
    </row>
    <row r="5421" hidden="1">
      <c r="A5421" s="83" t="s">
        <v>6339</v>
      </c>
      <c r="B5421" s="83" t="s">
        <v>6340</v>
      </c>
      <c r="C5421" s="81" t="s">
        <v>4621</v>
      </c>
      <c r="D5421" s="83" t="s">
        <v>4543</v>
      </c>
      <c r="E5421" s="81" t="s">
        <v>2563</v>
      </c>
      <c r="F5421" s="81">
        <v>489.0</v>
      </c>
      <c r="G5421" s="81" t="s">
        <v>41</v>
      </c>
      <c r="H5421" s="81" t="s">
        <v>4542</v>
      </c>
      <c r="I5421" s="81" t="s">
        <v>2557</v>
      </c>
      <c r="J5421" s="81" t="s">
        <v>6343</v>
      </c>
    </row>
    <row r="5422" hidden="1">
      <c r="A5422" s="83" t="s">
        <v>6339</v>
      </c>
      <c r="B5422" s="83" t="s">
        <v>6340</v>
      </c>
      <c r="C5422" s="81" t="s">
        <v>4621</v>
      </c>
      <c r="D5422" s="83" t="s">
        <v>4544</v>
      </c>
      <c r="E5422" s="81" t="s">
        <v>2566</v>
      </c>
      <c r="F5422" s="81">
        <v>490.0</v>
      </c>
      <c r="G5422" s="81" t="s">
        <v>41</v>
      </c>
      <c r="H5422" s="81" t="s">
        <v>4542</v>
      </c>
      <c r="I5422" s="81" t="s">
        <v>2557</v>
      </c>
      <c r="J5422" s="81" t="s">
        <v>6343</v>
      </c>
    </row>
    <row r="5423" hidden="1">
      <c r="A5423" s="83" t="s">
        <v>6339</v>
      </c>
      <c r="B5423" s="83" t="s">
        <v>6340</v>
      </c>
      <c r="C5423" s="81" t="s">
        <v>4621</v>
      </c>
      <c r="D5423" s="83" t="s">
        <v>4544</v>
      </c>
      <c r="E5423" s="81" t="s">
        <v>2573</v>
      </c>
      <c r="F5423" s="81">
        <v>491.0</v>
      </c>
      <c r="G5423" s="81" t="s">
        <v>41</v>
      </c>
      <c r="H5423" s="81" t="s">
        <v>4542</v>
      </c>
      <c r="I5423" s="81" t="s">
        <v>2557</v>
      </c>
      <c r="J5423" s="81" t="s">
        <v>6343</v>
      </c>
    </row>
    <row r="5424" hidden="1">
      <c r="A5424" s="83" t="s">
        <v>6339</v>
      </c>
      <c r="B5424" s="83" t="s">
        <v>6340</v>
      </c>
      <c r="C5424" s="81" t="s">
        <v>4621</v>
      </c>
      <c r="D5424" s="83" t="s">
        <v>4546</v>
      </c>
      <c r="E5424" s="81" t="s">
        <v>2574</v>
      </c>
      <c r="F5424" s="81">
        <v>492.0</v>
      </c>
      <c r="G5424" s="81" t="s">
        <v>41</v>
      </c>
      <c r="H5424" s="81" t="s">
        <v>4542</v>
      </c>
      <c r="I5424" s="81" t="s">
        <v>2557</v>
      </c>
      <c r="J5424" s="81" t="s">
        <v>6343</v>
      </c>
    </row>
    <row r="5425" hidden="1">
      <c r="A5425" s="83" t="s">
        <v>6339</v>
      </c>
      <c r="B5425" s="83" t="s">
        <v>6340</v>
      </c>
      <c r="C5425" s="81" t="s">
        <v>4621</v>
      </c>
      <c r="D5425" s="83" t="s">
        <v>4547</v>
      </c>
      <c r="E5425" s="81" t="s">
        <v>2577</v>
      </c>
      <c r="F5425" s="81">
        <v>493.0</v>
      </c>
      <c r="G5425" s="81" t="s">
        <v>41</v>
      </c>
      <c r="H5425" s="81" t="s">
        <v>1775</v>
      </c>
      <c r="I5425" s="81" t="s">
        <v>1784</v>
      </c>
      <c r="J5425" s="81" t="s">
        <v>6343</v>
      </c>
    </row>
    <row r="5426" hidden="1">
      <c r="A5426" s="83" t="s">
        <v>6339</v>
      </c>
      <c r="B5426" s="83" t="s">
        <v>6340</v>
      </c>
      <c r="C5426" s="81" t="s">
        <v>4621</v>
      </c>
      <c r="D5426" s="83" t="s">
        <v>4548</v>
      </c>
      <c r="E5426" s="81" t="s">
        <v>2585</v>
      </c>
      <c r="F5426" s="81">
        <v>494.0</v>
      </c>
      <c r="G5426" s="81" t="s">
        <v>41</v>
      </c>
      <c r="H5426" s="81" t="s">
        <v>1775</v>
      </c>
      <c r="I5426" s="81" t="s">
        <v>1784</v>
      </c>
      <c r="J5426" s="81" t="s">
        <v>6343</v>
      </c>
    </row>
    <row r="5427" hidden="1">
      <c r="A5427" s="83" t="s">
        <v>6339</v>
      </c>
      <c r="B5427" s="83" t="s">
        <v>6340</v>
      </c>
      <c r="C5427" s="81" t="s">
        <v>4621</v>
      </c>
      <c r="D5427" s="83" t="s">
        <v>4549</v>
      </c>
      <c r="E5427" s="81" t="s">
        <v>2588</v>
      </c>
      <c r="F5427" s="81">
        <v>495.0</v>
      </c>
      <c r="G5427" s="81" t="s">
        <v>41</v>
      </c>
      <c r="H5427" s="81" t="s">
        <v>2087</v>
      </c>
      <c r="I5427" s="81" t="s">
        <v>2093</v>
      </c>
      <c r="J5427" s="81" t="s">
        <v>6343</v>
      </c>
    </row>
    <row r="5428" hidden="1">
      <c r="A5428" s="83" t="s">
        <v>6339</v>
      </c>
      <c r="B5428" s="83" t="s">
        <v>6340</v>
      </c>
      <c r="C5428" s="81" t="s">
        <v>4621</v>
      </c>
      <c r="D5428" s="83" t="s">
        <v>4550</v>
      </c>
      <c r="E5428" s="81" t="s">
        <v>2591</v>
      </c>
      <c r="F5428" s="81">
        <v>496.0</v>
      </c>
      <c r="G5428" s="81" t="s">
        <v>41</v>
      </c>
      <c r="H5428" s="81" t="s">
        <v>2380</v>
      </c>
      <c r="I5428" s="81" t="s">
        <v>2387</v>
      </c>
      <c r="J5428" s="81" t="s">
        <v>6343</v>
      </c>
    </row>
    <row r="5429" hidden="1">
      <c r="A5429" s="83" t="s">
        <v>6339</v>
      </c>
      <c r="B5429" s="83" t="s">
        <v>6340</v>
      </c>
      <c r="C5429" s="81" t="s">
        <v>4621</v>
      </c>
      <c r="D5429" s="83" t="s">
        <v>4551</v>
      </c>
      <c r="E5429" s="81" t="s">
        <v>2594</v>
      </c>
      <c r="F5429" s="81">
        <v>497.0</v>
      </c>
      <c r="G5429" s="81" t="s">
        <v>41</v>
      </c>
      <c r="H5429" s="81" t="s">
        <v>2380</v>
      </c>
      <c r="I5429" s="81" t="s">
        <v>2387</v>
      </c>
      <c r="J5429" s="81" t="s">
        <v>6343</v>
      </c>
    </row>
    <row r="5430" hidden="1">
      <c r="A5430" s="83" t="s">
        <v>6339</v>
      </c>
      <c r="B5430" s="83" t="s">
        <v>6340</v>
      </c>
      <c r="C5430" s="81" t="s">
        <v>4621</v>
      </c>
      <c r="D5430" s="83" t="s">
        <v>4552</v>
      </c>
      <c r="E5430" s="81" t="s">
        <v>2596</v>
      </c>
      <c r="F5430" s="81">
        <v>498.0</v>
      </c>
      <c r="G5430" s="81" t="s">
        <v>41</v>
      </c>
      <c r="H5430" s="81" t="s">
        <v>2380</v>
      </c>
      <c r="I5430" s="81" t="s">
        <v>2387</v>
      </c>
      <c r="J5430" s="81" t="s">
        <v>6343</v>
      </c>
    </row>
    <row r="5431" hidden="1">
      <c r="A5431" s="83" t="s">
        <v>6339</v>
      </c>
      <c r="B5431" s="83" t="s">
        <v>6340</v>
      </c>
      <c r="C5431" s="81" t="s">
        <v>4621</v>
      </c>
      <c r="D5431" s="83" t="s">
        <v>4553</v>
      </c>
      <c r="E5431" s="81" t="s">
        <v>2598</v>
      </c>
      <c r="F5431" s="81">
        <v>499.0</v>
      </c>
      <c r="G5431" s="81" t="s">
        <v>41</v>
      </c>
      <c r="H5431" s="81" t="s">
        <v>1401</v>
      </c>
      <c r="I5431" s="81" t="s">
        <v>1296</v>
      </c>
      <c r="J5431" s="81" t="s">
        <v>6343</v>
      </c>
    </row>
    <row r="5432" hidden="1">
      <c r="A5432" s="83" t="s">
        <v>6339</v>
      </c>
      <c r="B5432" s="83" t="s">
        <v>6340</v>
      </c>
      <c r="C5432" s="81" t="s">
        <v>4621</v>
      </c>
      <c r="D5432" s="83" t="s">
        <v>4553</v>
      </c>
      <c r="E5432" s="81" t="s">
        <v>2608</v>
      </c>
      <c r="F5432" s="81">
        <v>500.0</v>
      </c>
      <c r="G5432" s="81" t="s">
        <v>41</v>
      </c>
      <c r="H5432" s="81" t="s">
        <v>1401</v>
      </c>
      <c r="I5432" s="81" t="s">
        <v>1296</v>
      </c>
      <c r="J5432" s="81" t="s">
        <v>6343</v>
      </c>
    </row>
    <row r="5433" hidden="1">
      <c r="A5433" s="83" t="s">
        <v>6339</v>
      </c>
      <c r="B5433" s="83" t="s">
        <v>6340</v>
      </c>
      <c r="C5433" s="81" t="s">
        <v>4621</v>
      </c>
      <c r="D5433" s="83" t="s">
        <v>4555</v>
      </c>
      <c r="E5433" s="81" t="s">
        <v>2610</v>
      </c>
      <c r="F5433" s="81">
        <v>501.0</v>
      </c>
      <c r="G5433" s="81" t="s">
        <v>41</v>
      </c>
      <c r="H5433" s="81" t="s">
        <v>1401</v>
      </c>
      <c r="I5433" s="81" t="s">
        <v>1296</v>
      </c>
      <c r="J5433" s="81" t="s">
        <v>6343</v>
      </c>
    </row>
    <row r="5434" hidden="1">
      <c r="A5434" s="83" t="s">
        <v>6339</v>
      </c>
      <c r="B5434" s="83" t="s">
        <v>6340</v>
      </c>
      <c r="C5434" s="81" t="s">
        <v>4621</v>
      </c>
      <c r="D5434" s="83" t="s">
        <v>4556</v>
      </c>
      <c r="E5434" s="81" t="s">
        <v>2613</v>
      </c>
      <c r="F5434" s="81">
        <v>502.0</v>
      </c>
      <c r="G5434" s="81" t="s">
        <v>41</v>
      </c>
      <c r="H5434" s="81" t="s">
        <v>2533</v>
      </c>
      <c r="I5434" s="81" t="s">
        <v>2543</v>
      </c>
      <c r="J5434" s="81" t="s">
        <v>6343</v>
      </c>
    </row>
    <row r="5435" hidden="1">
      <c r="A5435" s="83" t="s">
        <v>6339</v>
      </c>
      <c r="B5435" s="83" t="s">
        <v>6340</v>
      </c>
      <c r="C5435" s="81" t="s">
        <v>4621</v>
      </c>
      <c r="D5435" s="83" t="s">
        <v>4557</v>
      </c>
      <c r="E5435" s="81" t="s">
        <v>2616</v>
      </c>
      <c r="F5435" s="81">
        <v>503.0</v>
      </c>
      <c r="G5435" s="81" t="s">
        <v>41</v>
      </c>
      <c r="H5435" s="81" t="s">
        <v>2533</v>
      </c>
      <c r="I5435" s="81" t="s">
        <v>2543</v>
      </c>
      <c r="J5435" s="81" t="s">
        <v>6343</v>
      </c>
    </row>
    <row r="5436" hidden="1">
      <c r="A5436" s="83" t="s">
        <v>6339</v>
      </c>
      <c r="B5436" s="83" t="s">
        <v>6340</v>
      </c>
      <c r="C5436" s="81" t="s">
        <v>4082</v>
      </c>
      <c r="D5436" s="83" t="s">
        <v>4558</v>
      </c>
      <c r="E5436" s="81" t="s">
        <v>2619</v>
      </c>
      <c r="F5436" s="81">
        <v>504.0</v>
      </c>
      <c r="G5436" s="81" t="s">
        <v>41</v>
      </c>
      <c r="H5436" s="81" t="s">
        <v>2629</v>
      </c>
      <c r="I5436" s="81" t="s">
        <v>224</v>
      </c>
      <c r="J5436" s="81" t="s">
        <v>6356</v>
      </c>
    </row>
    <row r="5437" hidden="1">
      <c r="A5437" s="83" t="s">
        <v>6339</v>
      </c>
      <c r="B5437" s="83" t="s">
        <v>6340</v>
      </c>
      <c r="C5437" s="81" t="s">
        <v>4621</v>
      </c>
      <c r="D5437" s="83" t="s">
        <v>4563</v>
      </c>
      <c r="E5437" s="81" t="s">
        <v>2651</v>
      </c>
      <c r="F5437" s="81">
        <v>509.0</v>
      </c>
      <c r="G5437" s="81" t="s">
        <v>41</v>
      </c>
      <c r="H5437" s="81" t="s">
        <v>4542</v>
      </c>
      <c r="I5437" s="81" t="s">
        <v>2557</v>
      </c>
      <c r="J5437" s="81" t="s">
        <v>6343</v>
      </c>
    </row>
    <row r="5438" hidden="1">
      <c r="A5438" s="83" t="s">
        <v>6339</v>
      </c>
      <c r="B5438" s="83" t="s">
        <v>6340</v>
      </c>
      <c r="C5438" s="81" t="s">
        <v>4621</v>
      </c>
      <c r="D5438" s="83" t="s">
        <v>4564</v>
      </c>
      <c r="E5438" s="81" t="s">
        <v>2659</v>
      </c>
      <c r="F5438" s="81">
        <v>510.0</v>
      </c>
      <c r="G5438" s="81" t="s">
        <v>41</v>
      </c>
      <c r="H5438" s="81" t="s">
        <v>4542</v>
      </c>
      <c r="I5438" s="81" t="s">
        <v>2557</v>
      </c>
      <c r="J5438" s="81" t="s">
        <v>6343</v>
      </c>
    </row>
    <row r="5439" hidden="1">
      <c r="A5439" s="83" t="s">
        <v>6339</v>
      </c>
      <c r="B5439" s="83" t="s">
        <v>6340</v>
      </c>
      <c r="C5439" s="81" t="s">
        <v>4621</v>
      </c>
      <c r="D5439" s="83" t="s">
        <v>4565</v>
      </c>
      <c r="E5439" s="81" t="s">
        <v>2661</v>
      </c>
      <c r="F5439" s="81">
        <v>511.0</v>
      </c>
      <c r="G5439" s="81" t="s">
        <v>41</v>
      </c>
      <c r="H5439" s="81" t="s">
        <v>4542</v>
      </c>
      <c r="I5439" s="81" t="s">
        <v>2557</v>
      </c>
      <c r="J5439" s="81" t="s">
        <v>6343</v>
      </c>
    </row>
    <row r="5440" hidden="1">
      <c r="A5440" s="83" t="s">
        <v>6339</v>
      </c>
      <c r="B5440" s="83" t="s">
        <v>6340</v>
      </c>
      <c r="C5440" s="81" t="s">
        <v>4621</v>
      </c>
      <c r="D5440" s="83" t="s">
        <v>4566</v>
      </c>
      <c r="E5440" s="81" t="s">
        <v>2667</v>
      </c>
      <c r="F5440" s="81">
        <v>512.0</v>
      </c>
      <c r="G5440" s="81" t="s">
        <v>41</v>
      </c>
      <c r="H5440" s="81" t="s">
        <v>4542</v>
      </c>
      <c r="I5440" s="81" t="s">
        <v>2557</v>
      </c>
      <c r="J5440" s="81" t="s">
        <v>6343</v>
      </c>
    </row>
    <row r="5441" hidden="1">
      <c r="A5441" s="83" t="s">
        <v>6339</v>
      </c>
      <c r="B5441" s="83" t="s">
        <v>6340</v>
      </c>
      <c r="C5441" s="81" t="s">
        <v>4621</v>
      </c>
      <c r="D5441" s="83" t="s">
        <v>4569</v>
      </c>
      <c r="E5441" s="81" t="s">
        <v>2673</v>
      </c>
      <c r="F5441" s="81">
        <v>516.0</v>
      </c>
      <c r="G5441" s="81" t="s">
        <v>41</v>
      </c>
      <c r="H5441" s="81" t="s">
        <v>2673</v>
      </c>
      <c r="I5441" s="81" t="s">
        <v>2679</v>
      </c>
      <c r="J5441" s="81" t="s">
        <v>6343</v>
      </c>
    </row>
    <row r="5442" hidden="1">
      <c r="A5442" s="83" t="s">
        <v>6339</v>
      </c>
      <c r="B5442" s="83" t="s">
        <v>6340</v>
      </c>
      <c r="C5442" s="81" t="s">
        <v>4621</v>
      </c>
      <c r="D5442" s="83" t="s">
        <v>4569</v>
      </c>
      <c r="E5442" s="81" t="s">
        <v>2684</v>
      </c>
      <c r="F5442" s="81">
        <v>517.0</v>
      </c>
      <c r="G5442" s="81" t="s">
        <v>41</v>
      </c>
      <c r="H5442" s="81" t="s">
        <v>2673</v>
      </c>
      <c r="I5442" s="81" t="s">
        <v>2679</v>
      </c>
      <c r="J5442" s="81" t="s">
        <v>6343</v>
      </c>
    </row>
    <row r="5443" hidden="1">
      <c r="A5443" s="83" t="s">
        <v>6339</v>
      </c>
      <c r="B5443" s="83" t="s">
        <v>6340</v>
      </c>
      <c r="C5443" s="81" t="s">
        <v>4621</v>
      </c>
      <c r="D5443" s="83" t="s">
        <v>4569</v>
      </c>
      <c r="E5443" s="81" t="s">
        <v>2685</v>
      </c>
      <c r="F5443" s="81">
        <v>518.0</v>
      </c>
      <c r="G5443" s="81" t="s">
        <v>41</v>
      </c>
      <c r="H5443" s="81" t="s">
        <v>2673</v>
      </c>
      <c r="I5443" s="81" t="s">
        <v>2679</v>
      </c>
      <c r="J5443" s="81" t="s">
        <v>6343</v>
      </c>
    </row>
    <row r="5444" hidden="1">
      <c r="A5444" s="83" t="s">
        <v>6339</v>
      </c>
      <c r="B5444" s="83" t="s">
        <v>6340</v>
      </c>
      <c r="C5444" s="81" t="s">
        <v>4621</v>
      </c>
      <c r="D5444" s="83" t="s">
        <v>4572</v>
      </c>
      <c r="E5444" s="81" t="s">
        <v>2687</v>
      </c>
      <c r="F5444" s="81">
        <v>519.0</v>
      </c>
      <c r="G5444" s="81" t="s">
        <v>41</v>
      </c>
      <c r="H5444" s="81" t="s">
        <v>2673</v>
      </c>
      <c r="I5444" s="81" t="s">
        <v>2679</v>
      </c>
      <c r="J5444" s="81" t="s">
        <v>6343</v>
      </c>
    </row>
    <row r="5445" hidden="1">
      <c r="A5445" s="83" t="s">
        <v>6339</v>
      </c>
      <c r="B5445" s="83" t="s">
        <v>6340</v>
      </c>
      <c r="C5445" s="81" t="s">
        <v>4621</v>
      </c>
      <c r="D5445" s="83" t="s">
        <v>4573</v>
      </c>
      <c r="E5445" s="81" t="s">
        <v>2690</v>
      </c>
      <c r="F5445" s="81">
        <v>520.0</v>
      </c>
      <c r="G5445" s="81" t="s">
        <v>41</v>
      </c>
      <c r="H5445" s="81" t="s">
        <v>2673</v>
      </c>
      <c r="I5445" s="81" t="s">
        <v>2679</v>
      </c>
      <c r="J5445" s="81" t="s">
        <v>6343</v>
      </c>
    </row>
    <row r="5446" hidden="1">
      <c r="A5446" s="83" t="s">
        <v>6339</v>
      </c>
      <c r="B5446" s="83" t="s">
        <v>6340</v>
      </c>
      <c r="C5446" s="81" t="s">
        <v>4621</v>
      </c>
      <c r="D5446" s="83" t="s">
        <v>4573</v>
      </c>
      <c r="E5446" s="81" t="s">
        <v>2699</v>
      </c>
      <c r="F5446" s="81">
        <v>521.0</v>
      </c>
      <c r="G5446" s="81" t="s">
        <v>41</v>
      </c>
      <c r="H5446" s="81" t="s">
        <v>2673</v>
      </c>
      <c r="I5446" s="81" t="s">
        <v>2679</v>
      </c>
      <c r="J5446" s="81" t="s">
        <v>6343</v>
      </c>
    </row>
    <row r="5447" hidden="1">
      <c r="A5447" s="83" t="s">
        <v>6339</v>
      </c>
      <c r="B5447" s="83" t="s">
        <v>6340</v>
      </c>
      <c r="C5447" s="81" t="s">
        <v>4621</v>
      </c>
      <c r="D5447" s="83" t="s">
        <v>4574</v>
      </c>
      <c r="E5447" s="81" t="s">
        <v>2700</v>
      </c>
      <c r="F5447" s="81">
        <v>522.0</v>
      </c>
      <c r="G5447" s="81" t="s">
        <v>41</v>
      </c>
      <c r="H5447" s="81" t="s">
        <v>2673</v>
      </c>
      <c r="I5447" s="81" t="s">
        <v>2679</v>
      </c>
      <c r="J5447" s="81" t="s">
        <v>6343</v>
      </c>
    </row>
    <row r="5448" hidden="1">
      <c r="A5448" s="83" t="s">
        <v>6339</v>
      </c>
      <c r="B5448" s="83" t="s">
        <v>6340</v>
      </c>
      <c r="C5448" s="81" t="s">
        <v>4621</v>
      </c>
      <c r="D5448" s="83" t="s">
        <v>4575</v>
      </c>
      <c r="E5448" s="81" t="s">
        <v>2703</v>
      </c>
      <c r="F5448" s="81">
        <v>523.0</v>
      </c>
      <c r="G5448" s="81" t="s">
        <v>41</v>
      </c>
      <c r="H5448" s="81" t="s">
        <v>2673</v>
      </c>
      <c r="I5448" s="81" t="s">
        <v>2679</v>
      </c>
      <c r="J5448" s="81" t="s">
        <v>6343</v>
      </c>
    </row>
    <row r="5449" hidden="1">
      <c r="A5449" s="83" t="s">
        <v>6339</v>
      </c>
      <c r="B5449" s="83" t="s">
        <v>6340</v>
      </c>
      <c r="C5449" s="81" t="s">
        <v>4621</v>
      </c>
      <c r="D5449" s="83" t="s">
        <v>4575</v>
      </c>
      <c r="E5449" s="81" t="s">
        <v>2712</v>
      </c>
      <c r="F5449" s="81">
        <v>524.0</v>
      </c>
      <c r="G5449" s="81" t="s">
        <v>41</v>
      </c>
      <c r="H5449" s="81" t="s">
        <v>2673</v>
      </c>
      <c r="I5449" s="81" t="s">
        <v>2679</v>
      </c>
      <c r="J5449" s="81" t="s">
        <v>6343</v>
      </c>
    </row>
    <row r="5450" hidden="1">
      <c r="A5450" s="83" t="s">
        <v>6339</v>
      </c>
      <c r="B5450" s="83" t="s">
        <v>6340</v>
      </c>
      <c r="C5450" s="81" t="s">
        <v>4621</v>
      </c>
      <c r="D5450" s="83" t="s">
        <v>4576</v>
      </c>
      <c r="E5450" s="81" t="s">
        <v>2713</v>
      </c>
      <c r="F5450" s="81">
        <v>525.0</v>
      </c>
      <c r="G5450" s="81" t="s">
        <v>41</v>
      </c>
      <c r="H5450" s="81" t="s">
        <v>2673</v>
      </c>
      <c r="I5450" s="81" t="s">
        <v>2679</v>
      </c>
      <c r="J5450" s="81" t="s">
        <v>6343</v>
      </c>
    </row>
    <row r="5451" hidden="1">
      <c r="A5451" s="83" t="s">
        <v>6339</v>
      </c>
      <c r="B5451" s="83" t="s">
        <v>6340</v>
      </c>
      <c r="C5451" s="81" t="s">
        <v>4621</v>
      </c>
      <c r="D5451" s="83" t="s">
        <v>4577</v>
      </c>
      <c r="E5451" s="81" t="s">
        <v>2716</v>
      </c>
      <c r="F5451" s="81">
        <v>526.0</v>
      </c>
      <c r="G5451" s="81" t="s">
        <v>41</v>
      </c>
      <c r="H5451" s="81" t="s">
        <v>2673</v>
      </c>
      <c r="I5451" s="81" t="s">
        <v>2679</v>
      </c>
      <c r="J5451" s="81" t="s">
        <v>6343</v>
      </c>
    </row>
    <row r="5452" hidden="1">
      <c r="A5452" s="83" t="s">
        <v>6339</v>
      </c>
      <c r="B5452" s="83" t="s">
        <v>6340</v>
      </c>
      <c r="C5452" s="81" t="s">
        <v>4621</v>
      </c>
      <c r="D5452" s="83" t="s">
        <v>4578</v>
      </c>
      <c r="E5452" s="81" t="s">
        <v>2724</v>
      </c>
      <c r="F5452" s="81">
        <v>527.0</v>
      </c>
      <c r="G5452" s="81" t="s">
        <v>41</v>
      </c>
      <c r="H5452" s="81" t="s">
        <v>2673</v>
      </c>
      <c r="I5452" s="81" t="s">
        <v>2679</v>
      </c>
      <c r="J5452" s="81" t="s">
        <v>6343</v>
      </c>
    </row>
    <row r="5453" hidden="1">
      <c r="A5453" s="83" t="s">
        <v>6339</v>
      </c>
      <c r="B5453" s="83" t="s">
        <v>6340</v>
      </c>
      <c r="C5453" s="81" t="s">
        <v>4621</v>
      </c>
      <c r="D5453" s="83" t="s">
        <v>4579</v>
      </c>
      <c r="E5453" s="81" t="s">
        <v>2727</v>
      </c>
      <c r="F5453" s="81">
        <v>528.0</v>
      </c>
      <c r="G5453" s="81" t="s">
        <v>41</v>
      </c>
      <c r="H5453" s="81" t="s">
        <v>2673</v>
      </c>
      <c r="I5453" s="81" t="s">
        <v>2679</v>
      </c>
      <c r="J5453" s="81" t="s">
        <v>6343</v>
      </c>
    </row>
    <row r="5454" hidden="1">
      <c r="A5454" s="83" t="s">
        <v>6339</v>
      </c>
      <c r="B5454" s="83" t="s">
        <v>6340</v>
      </c>
      <c r="C5454" s="81" t="s">
        <v>4621</v>
      </c>
      <c r="D5454" s="83" t="s">
        <v>4579</v>
      </c>
      <c r="E5454" s="81" t="s">
        <v>2736</v>
      </c>
      <c r="F5454" s="81">
        <v>529.0</v>
      </c>
      <c r="G5454" s="81" t="s">
        <v>41</v>
      </c>
      <c r="H5454" s="81" t="s">
        <v>2673</v>
      </c>
      <c r="I5454" s="81" t="s">
        <v>2679</v>
      </c>
      <c r="J5454" s="81" t="s">
        <v>6343</v>
      </c>
    </row>
    <row r="5455" hidden="1">
      <c r="A5455" s="83" t="s">
        <v>6339</v>
      </c>
      <c r="B5455" s="83" t="s">
        <v>6340</v>
      </c>
      <c r="C5455" s="81" t="s">
        <v>4621</v>
      </c>
      <c r="D5455" s="83" t="s">
        <v>4581</v>
      </c>
      <c r="E5455" s="81" t="s">
        <v>2737</v>
      </c>
      <c r="F5455" s="81">
        <v>530.0</v>
      </c>
      <c r="G5455" s="81" t="s">
        <v>41</v>
      </c>
      <c r="H5455" s="81" t="s">
        <v>2673</v>
      </c>
      <c r="I5455" s="81" t="s">
        <v>2679</v>
      </c>
      <c r="J5455" s="81" t="s">
        <v>6343</v>
      </c>
    </row>
    <row r="5456" hidden="1">
      <c r="A5456" s="83" t="s">
        <v>6339</v>
      </c>
      <c r="B5456" s="83" t="s">
        <v>6340</v>
      </c>
      <c r="C5456" s="81" t="s">
        <v>4621</v>
      </c>
      <c r="D5456" s="83" t="s">
        <v>4582</v>
      </c>
      <c r="E5456" s="81" t="s">
        <v>2740</v>
      </c>
      <c r="F5456" s="81">
        <v>531.0</v>
      </c>
      <c r="G5456" s="81" t="s">
        <v>41</v>
      </c>
      <c r="H5456" s="81" t="s">
        <v>1401</v>
      </c>
      <c r="I5456" s="81" t="s">
        <v>1296</v>
      </c>
      <c r="J5456" s="81" t="s">
        <v>6343</v>
      </c>
    </row>
    <row r="5457" hidden="1">
      <c r="A5457" s="83" t="s">
        <v>6339</v>
      </c>
      <c r="B5457" s="83" t="s">
        <v>6340</v>
      </c>
      <c r="C5457" s="81" t="s">
        <v>4621</v>
      </c>
      <c r="D5457" s="83" t="s">
        <v>4582</v>
      </c>
      <c r="E5457" s="81" t="s">
        <v>2748</v>
      </c>
      <c r="F5457" s="81">
        <v>532.0</v>
      </c>
      <c r="G5457" s="81" t="s">
        <v>41</v>
      </c>
      <c r="H5457" s="81" t="s">
        <v>1401</v>
      </c>
      <c r="I5457" s="81" t="s">
        <v>1296</v>
      </c>
      <c r="J5457" s="81" t="s">
        <v>6343</v>
      </c>
    </row>
    <row r="5458" hidden="1">
      <c r="A5458" s="83" t="s">
        <v>6339</v>
      </c>
      <c r="B5458" s="83" t="s">
        <v>6340</v>
      </c>
      <c r="C5458" s="81" t="s">
        <v>4621</v>
      </c>
      <c r="D5458" s="83" t="s">
        <v>4584</v>
      </c>
      <c r="E5458" s="81" t="s">
        <v>2749</v>
      </c>
      <c r="F5458" s="81">
        <v>533.0</v>
      </c>
      <c r="G5458" s="81" t="s">
        <v>41</v>
      </c>
      <c r="H5458" s="81" t="s">
        <v>1401</v>
      </c>
      <c r="I5458" s="81" t="s">
        <v>1296</v>
      </c>
      <c r="J5458" s="81" t="s">
        <v>6343</v>
      </c>
    </row>
    <row r="5459" hidden="1">
      <c r="A5459" s="83" t="s">
        <v>6339</v>
      </c>
      <c r="B5459" s="83" t="s">
        <v>6340</v>
      </c>
      <c r="C5459" s="81" t="s">
        <v>4621</v>
      </c>
      <c r="D5459" s="83" t="s">
        <v>4585</v>
      </c>
      <c r="E5459" s="81" t="s">
        <v>2752</v>
      </c>
      <c r="F5459" s="81">
        <v>534.0</v>
      </c>
      <c r="G5459" s="81" t="s">
        <v>41</v>
      </c>
      <c r="H5459" s="81" t="s">
        <v>1401</v>
      </c>
      <c r="I5459" s="81" t="s">
        <v>1296</v>
      </c>
      <c r="J5459" s="81" t="s">
        <v>6343</v>
      </c>
    </row>
    <row r="5460" hidden="1">
      <c r="A5460" s="83" t="s">
        <v>6339</v>
      </c>
      <c r="B5460" s="83" t="s">
        <v>6340</v>
      </c>
      <c r="C5460" s="81" t="s">
        <v>4621</v>
      </c>
      <c r="D5460" s="83" t="s">
        <v>4585</v>
      </c>
      <c r="E5460" s="81" t="s">
        <v>2761</v>
      </c>
      <c r="F5460" s="81">
        <v>535.0</v>
      </c>
      <c r="G5460" s="81" t="s">
        <v>41</v>
      </c>
      <c r="H5460" s="81" t="s">
        <v>1401</v>
      </c>
      <c r="I5460" s="81" t="s">
        <v>1296</v>
      </c>
      <c r="J5460" s="81" t="s">
        <v>6343</v>
      </c>
    </row>
    <row r="5461" hidden="1">
      <c r="A5461" s="83" t="s">
        <v>6339</v>
      </c>
      <c r="B5461" s="83" t="s">
        <v>6340</v>
      </c>
      <c r="C5461" s="81" t="s">
        <v>4621</v>
      </c>
      <c r="D5461" s="83" t="s">
        <v>4586</v>
      </c>
      <c r="E5461" s="81" t="s">
        <v>2763</v>
      </c>
      <c r="F5461" s="81">
        <v>536.0</v>
      </c>
      <c r="G5461" s="81" t="s">
        <v>41</v>
      </c>
      <c r="H5461" s="81" t="s">
        <v>1401</v>
      </c>
      <c r="I5461" s="81" t="s">
        <v>1296</v>
      </c>
      <c r="J5461" s="81" t="s">
        <v>6343</v>
      </c>
    </row>
    <row r="5462" hidden="1">
      <c r="A5462" s="83" t="s">
        <v>6339</v>
      </c>
      <c r="B5462" s="83" t="s">
        <v>6340</v>
      </c>
      <c r="C5462" s="81" t="s">
        <v>4621</v>
      </c>
      <c r="D5462" s="83" t="s">
        <v>4587</v>
      </c>
      <c r="E5462" s="81" t="s">
        <v>2766</v>
      </c>
      <c r="F5462" s="81">
        <v>537.0</v>
      </c>
      <c r="G5462" s="81" t="s">
        <v>41</v>
      </c>
      <c r="H5462" s="81" t="s">
        <v>2766</v>
      </c>
      <c r="I5462" s="81" t="s">
        <v>2773</v>
      </c>
      <c r="J5462" s="81" t="s">
        <v>6343</v>
      </c>
    </row>
    <row r="5463" hidden="1">
      <c r="A5463" s="83" t="s">
        <v>6339</v>
      </c>
      <c r="B5463" s="83" t="s">
        <v>6340</v>
      </c>
      <c r="C5463" s="81" t="s">
        <v>4621</v>
      </c>
      <c r="D5463" s="83" t="s">
        <v>4587</v>
      </c>
      <c r="E5463" s="81" t="s">
        <v>2778</v>
      </c>
      <c r="F5463" s="81">
        <v>538.0</v>
      </c>
      <c r="G5463" s="81" t="s">
        <v>41</v>
      </c>
      <c r="H5463" s="81" t="s">
        <v>2766</v>
      </c>
      <c r="I5463" s="81" t="s">
        <v>2773</v>
      </c>
      <c r="J5463" s="81" t="s">
        <v>6343</v>
      </c>
    </row>
    <row r="5464" hidden="1">
      <c r="A5464" s="83" t="s">
        <v>6339</v>
      </c>
      <c r="B5464" s="83" t="s">
        <v>6340</v>
      </c>
      <c r="C5464" s="81" t="s">
        <v>4621</v>
      </c>
      <c r="D5464" s="83" t="s">
        <v>4588</v>
      </c>
      <c r="E5464" s="81" t="s">
        <v>2779</v>
      </c>
      <c r="F5464" s="81">
        <v>539.0</v>
      </c>
      <c r="G5464" s="81" t="s">
        <v>41</v>
      </c>
      <c r="H5464" s="81" t="s">
        <v>2766</v>
      </c>
      <c r="I5464" s="81" t="s">
        <v>2773</v>
      </c>
      <c r="J5464" s="81" t="s">
        <v>6343</v>
      </c>
    </row>
    <row r="5465" hidden="1">
      <c r="A5465" s="83" t="s">
        <v>6339</v>
      </c>
      <c r="B5465" s="83" t="s">
        <v>6340</v>
      </c>
      <c r="C5465" s="81" t="s">
        <v>4621</v>
      </c>
      <c r="D5465" s="83" t="s">
        <v>4589</v>
      </c>
      <c r="E5465" s="81" t="s">
        <v>2782</v>
      </c>
      <c r="F5465" s="81">
        <v>540.0</v>
      </c>
      <c r="G5465" s="81" t="s">
        <v>41</v>
      </c>
      <c r="H5465" s="81" t="s">
        <v>2766</v>
      </c>
      <c r="I5465" s="81" t="s">
        <v>2773</v>
      </c>
      <c r="J5465" s="81" t="s">
        <v>6343</v>
      </c>
    </row>
    <row r="5466" hidden="1">
      <c r="A5466" s="83" t="s">
        <v>6339</v>
      </c>
      <c r="B5466" s="83" t="s">
        <v>6340</v>
      </c>
      <c r="C5466" s="81" t="s">
        <v>4621</v>
      </c>
      <c r="D5466" s="83" t="s">
        <v>4590</v>
      </c>
      <c r="E5466" s="81" t="s">
        <v>2792</v>
      </c>
      <c r="F5466" s="81">
        <v>541.0</v>
      </c>
      <c r="G5466" s="81" t="s">
        <v>41</v>
      </c>
      <c r="H5466" s="81" t="s">
        <v>2766</v>
      </c>
      <c r="I5466" s="81" t="s">
        <v>2773</v>
      </c>
      <c r="J5466" s="81" t="s">
        <v>6343</v>
      </c>
    </row>
    <row r="5467" hidden="1">
      <c r="A5467" s="83" t="s">
        <v>6339</v>
      </c>
      <c r="B5467" s="83" t="s">
        <v>6340</v>
      </c>
      <c r="C5467" s="81" t="s">
        <v>4621</v>
      </c>
      <c r="D5467" s="83" t="s">
        <v>4591</v>
      </c>
      <c r="E5467" s="81" t="s">
        <v>2795</v>
      </c>
      <c r="F5467" s="81">
        <v>542.0</v>
      </c>
      <c r="G5467" s="81" t="s">
        <v>41</v>
      </c>
      <c r="H5467" s="81" t="s">
        <v>1191</v>
      </c>
      <c r="I5467" s="81" t="s">
        <v>1196</v>
      </c>
      <c r="J5467" s="81" t="s">
        <v>6343</v>
      </c>
    </row>
    <row r="5468" hidden="1">
      <c r="A5468" s="83" t="s">
        <v>6339</v>
      </c>
      <c r="B5468" s="83" t="s">
        <v>6340</v>
      </c>
      <c r="C5468" s="81" t="s">
        <v>4621</v>
      </c>
      <c r="D5468" s="83" t="s">
        <v>4593</v>
      </c>
      <c r="E5468" s="81" t="s">
        <v>2805</v>
      </c>
      <c r="F5468" s="81">
        <v>543.0</v>
      </c>
      <c r="G5468" s="81" t="s">
        <v>41</v>
      </c>
      <c r="H5468" s="81" t="s">
        <v>1191</v>
      </c>
      <c r="I5468" s="81" t="s">
        <v>1196</v>
      </c>
      <c r="J5468" s="81" t="s">
        <v>6343</v>
      </c>
    </row>
    <row r="5469" hidden="1">
      <c r="A5469" s="83" t="s">
        <v>6339</v>
      </c>
      <c r="B5469" s="83" t="s">
        <v>6340</v>
      </c>
      <c r="C5469" s="81" t="s">
        <v>4621</v>
      </c>
      <c r="D5469" s="83" t="s">
        <v>4595</v>
      </c>
      <c r="E5469" s="81" t="s">
        <v>2814</v>
      </c>
      <c r="F5469" s="81">
        <v>544.0</v>
      </c>
      <c r="G5469" s="81" t="s">
        <v>41</v>
      </c>
      <c r="H5469" s="81" t="s">
        <v>2814</v>
      </c>
      <c r="I5469" s="81" t="s">
        <v>2822</v>
      </c>
      <c r="J5469" s="81" t="s">
        <v>6343</v>
      </c>
    </row>
    <row r="5470" hidden="1">
      <c r="A5470" s="83" t="s">
        <v>6339</v>
      </c>
      <c r="B5470" s="83" t="s">
        <v>6340</v>
      </c>
      <c r="C5470" s="81" t="s">
        <v>4621</v>
      </c>
      <c r="D5470" s="83" t="s">
        <v>4595</v>
      </c>
      <c r="E5470" s="81" t="s">
        <v>2827</v>
      </c>
      <c r="F5470" s="81">
        <v>545.0</v>
      </c>
      <c r="G5470" s="81" t="s">
        <v>41</v>
      </c>
      <c r="H5470" s="81" t="s">
        <v>2814</v>
      </c>
      <c r="I5470" s="81" t="s">
        <v>2822</v>
      </c>
      <c r="J5470" s="81" t="s">
        <v>6343</v>
      </c>
    </row>
    <row r="5471" hidden="1">
      <c r="A5471" s="83" t="s">
        <v>6339</v>
      </c>
      <c r="B5471" s="83" t="s">
        <v>6340</v>
      </c>
      <c r="C5471" s="81" t="s">
        <v>4621</v>
      </c>
      <c r="D5471" s="83" t="s">
        <v>4596</v>
      </c>
      <c r="E5471" s="81" t="s">
        <v>2828</v>
      </c>
      <c r="F5471" s="81">
        <v>546.0</v>
      </c>
      <c r="G5471" s="81" t="s">
        <v>41</v>
      </c>
      <c r="H5471" s="81" t="s">
        <v>2814</v>
      </c>
      <c r="I5471" s="81" t="s">
        <v>2822</v>
      </c>
      <c r="J5471" s="81" t="s">
        <v>6343</v>
      </c>
    </row>
    <row r="5472" hidden="1">
      <c r="A5472" s="83" t="s">
        <v>6339</v>
      </c>
      <c r="B5472" s="83" t="s">
        <v>6340</v>
      </c>
      <c r="C5472" s="81" t="s">
        <v>4621</v>
      </c>
      <c r="D5472" s="83" t="s">
        <v>4597</v>
      </c>
      <c r="E5472" s="81" t="s">
        <v>2837</v>
      </c>
      <c r="F5472" s="81">
        <v>547.0</v>
      </c>
      <c r="G5472" s="81" t="s">
        <v>41</v>
      </c>
      <c r="H5472" s="81" t="s">
        <v>2837</v>
      </c>
      <c r="I5472" s="81" t="s">
        <v>2842</v>
      </c>
      <c r="J5472" s="81" t="s">
        <v>6343</v>
      </c>
    </row>
    <row r="5473" hidden="1">
      <c r="A5473" s="83" t="s">
        <v>6339</v>
      </c>
      <c r="B5473" s="83" t="s">
        <v>6340</v>
      </c>
      <c r="C5473" s="81" t="s">
        <v>4621</v>
      </c>
      <c r="D5473" s="83" t="s">
        <v>4597</v>
      </c>
      <c r="E5473" s="81" t="s">
        <v>2847</v>
      </c>
      <c r="F5473" s="81">
        <v>548.0</v>
      </c>
      <c r="G5473" s="81" t="s">
        <v>41</v>
      </c>
      <c r="H5473" s="81" t="s">
        <v>2837</v>
      </c>
      <c r="I5473" s="81" t="s">
        <v>2842</v>
      </c>
      <c r="J5473" s="81" t="s">
        <v>6343</v>
      </c>
    </row>
    <row r="5474" hidden="1">
      <c r="A5474" s="83" t="s">
        <v>6339</v>
      </c>
      <c r="B5474" s="83" t="s">
        <v>6340</v>
      </c>
      <c r="C5474" s="81" t="s">
        <v>4621</v>
      </c>
      <c r="D5474" s="83" t="s">
        <v>4598</v>
      </c>
      <c r="E5474" s="81" t="s">
        <v>2848</v>
      </c>
      <c r="F5474" s="81">
        <v>549.0</v>
      </c>
      <c r="G5474" s="81" t="s">
        <v>41</v>
      </c>
      <c r="H5474" s="81" t="s">
        <v>2837</v>
      </c>
      <c r="I5474" s="81" t="s">
        <v>2842</v>
      </c>
      <c r="J5474" s="81" t="s">
        <v>6343</v>
      </c>
    </row>
    <row r="5475" hidden="1">
      <c r="A5475" s="83" t="s">
        <v>6339</v>
      </c>
      <c r="B5475" s="83" t="s">
        <v>6340</v>
      </c>
      <c r="C5475" s="81" t="s">
        <v>4621</v>
      </c>
      <c r="D5475" s="83" t="s">
        <v>4599</v>
      </c>
      <c r="E5475" s="81" t="s">
        <v>2857</v>
      </c>
      <c r="F5475" s="81">
        <v>550.0</v>
      </c>
      <c r="G5475" s="81" t="s">
        <v>41</v>
      </c>
      <c r="H5475" s="81" t="s">
        <v>2857</v>
      </c>
      <c r="I5475" s="81" t="s">
        <v>2864</v>
      </c>
      <c r="J5475" s="81" t="s">
        <v>6343</v>
      </c>
    </row>
    <row r="5476" hidden="1">
      <c r="A5476" s="83" t="s">
        <v>6339</v>
      </c>
      <c r="B5476" s="83" t="s">
        <v>6340</v>
      </c>
      <c r="C5476" s="81" t="s">
        <v>4621</v>
      </c>
      <c r="D5476" s="83" t="s">
        <v>4599</v>
      </c>
      <c r="E5476" s="81" t="s">
        <v>2869</v>
      </c>
      <c r="F5476" s="81">
        <v>551.0</v>
      </c>
      <c r="G5476" s="81" t="s">
        <v>41</v>
      </c>
      <c r="H5476" s="81" t="s">
        <v>2857</v>
      </c>
      <c r="I5476" s="81" t="s">
        <v>2864</v>
      </c>
      <c r="J5476" s="81" t="s">
        <v>6343</v>
      </c>
    </row>
    <row r="5477" hidden="1">
      <c r="A5477" s="83" t="s">
        <v>6339</v>
      </c>
      <c r="B5477" s="83" t="s">
        <v>6340</v>
      </c>
      <c r="C5477" s="81" t="s">
        <v>4621</v>
      </c>
      <c r="D5477" s="83" t="s">
        <v>4600</v>
      </c>
      <c r="E5477" s="81" t="s">
        <v>2870</v>
      </c>
      <c r="F5477" s="81">
        <v>552.0</v>
      </c>
      <c r="G5477" s="81" t="s">
        <v>41</v>
      </c>
      <c r="H5477" s="81" t="s">
        <v>2857</v>
      </c>
      <c r="I5477" s="81" t="s">
        <v>2864</v>
      </c>
      <c r="J5477" s="81" t="s">
        <v>6343</v>
      </c>
    </row>
    <row r="5478" hidden="1">
      <c r="A5478" s="83" t="s">
        <v>6339</v>
      </c>
      <c r="B5478" s="83" t="s">
        <v>6340</v>
      </c>
      <c r="C5478" s="81" t="s">
        <v>4621</v>
      </c>
      <c r="D5478" s="83" t="s">
        <v>4601</v>
      </c>
      <c r="E5478" s="81" t="s">
        <v>2874</v>
      </c>
      <c r="F5478" s="81">
        <v>553.0</v>
      </c>
      <c r="G5478" s="81" t="s">
        <v>41</v>
      </c>
      <c r="H5478" s="81" t="s">
        <v>4602</v>
      </c>
      <c r="I5478" s="81" t="s">
        <v>2878</v>
      </c>
      <c r="J5478" s="81" t="s">
        <v>6343</v>
      </c>
    </row>
    <row r="5479" hidden="1">
      <c r="A5479" s="83" t="s">
        <v>6339</v>
      </c>
      <c r="B5479" s="83" t="s">
        <v>6340</v>
      </c>
      <c r="C5479" s="81" t="s">
        <v>4621</v>
      </c>
      <c r="D5479" s="83" t="s">
        <v>4603</v>
      </c>
      <c r="E5479" s="81" t="s">
        <v>2881</v>
      </c>
      <c r="F5479" s="81">
        <v>554.0</v>
      </c>
      <c r="G5479" s="81" t="s">
        <v>41</v>
      </c>
      <c r="H5479" s="81" t="s">
        <v>4602</v>
      </c>
      <c r="I5479" s="81" t="s">
        <v>2878</v>
      </c>
      <c r="J5479" s="81" t="s">
        <v>6343</v>
      </c>
    </row>
    <row r="5480" hidden="1">
      <c r="A5480" s="83" t="s">
        <v>6339</v>
      </c>
      <c r="B5480" s="83" t="s">
        <v>6340</v>
      </c>
      <c r="C5480" s="81" t="s">
        <v>4621</v>
      </c>
      <c r="D5480" s="83" t="s">
        <v>4604</v>
      </c>
      <c r="E5480" s="81" t="s">
        <v>2885</v>
      </c>
      <c r="F5480" s="81">
        <v>555.0</v>
      </c>
      <c r="G5480" s="81" t="s">
        <v>41</v>
      </c>
      <c r="H5480" s="81" t="s">
        <v>4602</v>
      </c>
      <c r="I5480" s="81" t="s">
        <v>2878</v>
      </c>
      <c r="J5480" s="81" t="s">
        <v>6343</v>
      </c>
    </row>
    <row r="5481" hidden="1">
      <c r="A5481" s="83" t="s">
        <v>6339</v>
      </c>
      <c r="B5481" s="83" t="s">
        <v>6340</v>
      </c>
      <c r="C5481" s="81" t="s">
        <v>4621</v>
      </c>
      <c r="D5481" s="83" t="s">
        <v>4605</v>
      </c>
      <c r="E5481" s="81" t="s">
        <v>2889</v>
      </c>
      <c r="F5481" s="81">
        <v>556.0</v>
      </c>
      <c r="G5481" s="81" t="s">
        <v>41</v>
      </c>
      <c r="H5481" s="81" t="s">
        <v>4602</v>
      </c>
      <c r="I5481" s="81" t="s">
        <v>2878</v>
      </c>
      <c r="J5481" s="81" t="s">
        <v>6343</v>
      </c>
    </row>
    <row r="5482" hidden="1">
      <c r="A5482" s="83" t="s">
        <v>6339</v>
      </c>
      <c r="B5482" s="83" t="s">
        <v>6340</v>
      </c>
      <c r="C5482" s="81" t="s">
        <v>4621</v>
      </c>
      <c r="D5482" s="83" t="s">
        <v>4606</v>
      </c>
      <c r="E5482" s="81" t="s">
        <v>2891</v>
      </c>
      <c r="F5482" s="81">
        <v>557.0</v>
      </c>
      <c r="G5482" s="81" t="s">
        <v>41</v>
      </c>
      <c r="H5482" s="81" t="s">
        <v>4602</v>
      </c>
      <c r="I5482" s="81" t="s">
        <v>2878</v>
      </c>
      <c r="J5482" s="81" t="s">
        <v>6343</v>
      </c>
    </row>
    <row r="5483" hidden="1">
      <c r="A5483" s="83" t="s">
        <v>6339</v>
      </c>
      <c r="B5483" s="83" t="s">
        <v>6340</v>
      </c>
      <c r="C5483" s="81" t="s">
        <v>4621</v>
      </c>
      <c r="D5483" s="83" t="s">
        <v>4607</v>
      </c>
      <c r="E5483" s="81" t="s">
        <v>2893</v>
      </c>
      <c r="F5483" s="81">
        <v>558.0</v>
      </c>
      <c r="G5483" s="81" t="s">
        <v>41</v>
      </c>
      <c r="H5483" s="81" t="s">
        <v>4602</v>
      </c>
      <c r="I5483" s="81" t="s">
        <v>2878</v>
      </c>
      <c r="J5483" s="81" t="s">
        <v>6343</v>
      </c>
    </row>
    <row r="5484" hidden="1">
      <c r="A5484" s="83" t="s">
        <v>6339</v>
      </c>
      <c r="B5484" s="83" t="s">
        <v>6340</v>
      </c>
      <c r="C5484" s="81" t="s">
        <v>4082</v>
      </c>
      <c r="D5484" s="83" t="s">
        <v>4608</v>
      </c>
      <c r="E5484" s="81" t="s">
        <v>4609</v>
      </c>
      <c r="F5484" s="81">
        <v>559.0</v>
      </c>
      <c r="G5484" s="81" t="s">
        <v>41</v>
      </c>
      <c r="H5484" s="81" t="s">
        <v>2907</v>
      </c>
      <c r="I5484" s="81" t="s">
        <v>224</v>
      </c>
      <c r="J5484" s="81" t="s">
        <v>6357</v>
      </c>
    </row>
    <row r="5485" hidden="1">
      <c r="A5485" s="83" t="s">
        <v>6339</v>
      </c>
      <c r="B5485" s="83" t="s">
        <v>6340</v>
      </c>
      <c r="C5485" s="81" t="s">
        <v>4621</v>
      </c>
      <c r="D5485" s="83" t="s">
        <v>4612</v>
      </c>
      <c r="E5485" s="81" t="s">
        <v>2911</v>
      </c>
      <c r="F5485" s="81">
        <v>562.0</v>
      </c>
      <c r="G5485" s="81" t="s">
        <v>41</v>
      </c>
      <c r="H5485" s="81" t="s">
        <v>4441</v>
      </c>
      <c r="I5485" s="81" t="s">
        <v>2016</v>
      </c>
      <c r="J5485" s="81" t="s">
        <v>6343</v>
      </c>
    </row>
    <row r="5486" hidden="1">
      <c r="A5486" s="83" t="s">
        <v>6339</v>
      </c>
      <c r="B5486" s="83" t="s">
        <v>6340</v>
      </c>
      <c r="C5486" s="81" t="s">
        <v>4621</v>
      </c>
      <c r="D5486" s="83" t="s">
        <v>4612</v>
      </c>
      <c r="E5486" s="81" t="s">
        <v>2921</v>
      </c>
      <c r="F5486" s="81">
        <v>563.0</v>
      </c>
      <c r="G5486" s="81" t="s">
        <v>41</v>
      </c>
      <c r="H5486" s="81" t="s">
        <v>4441</v>
      </c>
      <c r="I5486" s="81" t="s">
        <v>2016</v>
      </c>
      <c r="J5486" s="81" t="s">
        <v>6343</v>
      </c>
    </row>
    <row r="5487" hidden="1">
      <c r="A5487" s="83" t="s">
        <v>6339</v>
      </c>
      <c r="B5487" s="83" t="s">
        <v>6340</v>
      </c>
      <c r="C5487" s="81" t="s">
        <v>4621</v>
      </c>
      <c r="D5487" s="83" t="s">
        <v>4616</v>
      </c>
      <c r="E5487" s="81" t="s">
        <v>2930</v>
      </c>
      <c r="F5487" s="81">
        <v>565.0</v>
      </c>
      <c r="G5487" s="81" t="s">
        <v>41</v>
      </c>
      <c r="H5487" s="81" t="s">
        <v>4441</v>
      </c>
      <c r="I5487" s="81" t="s">
        <v>2016</v>
      </c>
      <c r="J5487" s="81" t="s">
        <v>6343</v>
      </c>
    </row>
    <row r="5488" hidden="1">
      <c r="A5488" s="83" t="s">
        <v>6339</v>
      </c>
      <c r="B5488" s="83" t="s">
        <v>6340</v>
      </c>
      <c r="C5488" s="81" t="s">
        <v>4621</v>
      </c>
      <c r="D5488" s="83" t="s">
        <v>4622</v>
      </c>
      <c r="E5488" s="81" t="s">
        <v>2936</v>
      </c>
      <c r="F5488" s="81">
        <v>567.0</v>
      </c>
      <c r="G5488" s="81" t="s">
        <v>41</v>
      </c>
      <c r="H5488" s="81" t="s">
        <v>4624</v>
      </c>
      <c r="I5488" s="81" t="s">
        <v>2944</v>
      </c>
      <c r="J5488" s="81" t="s">
        <v>6343</v>
      </c>
    </row>
    <row r="5489" hidden="1">
      <c r="A5489" s="83" t="s">
        <v>6339</v>
      </c>
      <c r="B5489" s="83" t="s">
        <v>6340</v>
      </c>
      <c r="C5489" s="81" t="s">
        <v>4621</v>
      </c>
      <c r="D5489" s="83" t="s">
        <v>4625</v>
      </c>
      <c r="E5489" s="81" t="s">
        <v>2949</v>
      </c>
      <c r="F5489" s="81">
        <v>568.0</v>
      </c>
      <c r="G5489" s="81" t="s">
        <v>41</v>
      </c>
      <c r="H5489" s="81" t="s">
        <v>2949</v>
      </c>
      <c r="I5489" s="81" t="s">
        <v>2956</v>
      </c>
      <c r="J5489" s="81" t="s">
        <v>6343</v>
      </c>
    </row>
    <row r="5490" hidden="1">
      <c r="A5490" s="83" t="s">
        <v>6339</v>
      </c>
      <c r="B5490" s="83" t="s">
        <v>6340</v>
      </c>
      <c r="C5490" s="81" t="s">
        <v>4621</v>
      </c>
      <c r="D5490" s="83" t="s">
        <v>4625</v>
      </c>
      <c r="E5490" s="81" t="s">
        <v>2961</v>
      </c>
      <c r="F5490" s="81">
        <v>569.0</v>
      </c>
      <c r="G5490" s="81" t="s">
        <v>41</v>
      </c>
      <c r="H5490" s="81" t="s">
        <v>2949</v>
      </c>
      <c r="I5490" s="81" t="s">
        <v>2956</v>
      </c>
      <c r="J5490" s="81" t="s">
        <v>6343</v>
      </c>
    </row>
    <row r="5491" hidden="1">
      <c r="A5491" s="83" t="s">
        <v>6339</v>
      </c>
      <c r="B5491" s="83" t="s">
        <v>6340</v>
      </c>
      <c r="C5491" s="81" t="s">
        <v>4621</v>
      </c>
      <c r="D5491" s="83" t="s">
        <v>4627</v>
      </c>
      <c r="E5491" s="81" t="s">
        <v>2962</v>
      </c>
      <c r="F5491" s="81">
        <v>570.0</v>
      </c>
      <c r="G5491" s="81" t="s">
        <v>41</v>
      </c>
      <c r="H5491" s="81" t="s">
        <v>2949</v>
      </c>
      <c r="I5491" s="81" t="s">
        <v>2956</v>
      </c>
      <c r="J5491" s="81" t="s">
        <v>6343</v>
      </c>
    </row>
    <row r="5492" hidden="1">
      <c r="A5492" s="83" t="s">
        <v>6339</v>
      </c>
      <c r="B5492" s="83" t="s">
        <v>6340</v>
      </c>
      <c r="C5492" s="81" t="s">
        <v>4621</v>
      </c>
      <c r="D5492" s="83" t="s">
        <v>4628</v>
      </c>
      <c r="E5492" s="81" t="s">
        <v>2965</v>
      </c>
      <c r="F5492" s="81">
        <v>571.0</v>
      </c>
      <c r="G5492" s="81" t="s">
        <v>41</v>
      </c>
      <c r="H5492" s="81" t="s">
        <v>2965</v>
      </c>
      <c r="I5492" s="81" t="s">
        <v>2973</v>
      </c>
      <c r="J5492" s="81" t="s">
        <v>6343</v>
      </c>
    </row>
    <row r="5493" hidden="1">
      <c r="A5493" s="83" t="s">
        <v>6339</v>
      </c>
      <c r="B5493" s="83" t="s">
        <v>6340</v>
      </c>
      <c r="C5493" s="81" t="s">
        <v>4621</v>
      </c>
      <c r="D5493" s="83" t="s">
        <v>4628</v>
      </c>
      <c r="E5493" s="81" t="s">
        <v>2978</v>
      </c>
      <c r="F5493" s="81">
        <v>572.0</v>
      </c>
      <c r="G5493" s="81" t="s">
        <v>41</v>
      </c>
      <c r="H5493" s="81" t="s">
        <v>2965</v>
      </c>
      <c r="I5493" s="81" t="s">
        <v>2973</v>
      </c>
      <c r="J5493" s="81" t="s">
        <v>6343</v>
      </c>
    </row>
    <row r="5494" hidden="1">
      <c r="A5494" s="83" t="s">
        <v>6339</v>
      </c>
      <c r="B5494" s="83" t="s">
        <v>6340</v>
      </c>
      <c r="C5494" s="81" t="s">
        <v>4621</v>
      </c>
      <c r="D5494" s="83" t="s">
        <v>4630</v>
      </c>
      <c r="E5494" s="81" t="s">
        <v>2979</v>
      </c>
      <c r="F5494" s="81">
        <v>573.0</v>
      </c>
      <c r="G5494" s="81" t="s">
        <v>41</v>
      </c>
      <c r="H5494" s="81" t="s">
        <v>2965</v>
      </c>
      <c r="I5494" s="81" t="s">
        <v>2973</v>
      </c>
      <c r="J5494" s="81" t="s">
        <v>6343</v>
      </c>
    </row>
    <row r="5495" hidden="1">
      <c r="A5495" s="83" t="s">
        <v>6339</v>
      </c>
      <c r="B5495" s="83" t="s">
        <v>6340</v>
      </c>
      <c r="C5495" s="81" t="s">
        <v>4621</v>
      </c>
      <c r="D5495" s="83" t="s">
        <v>4631</v>
      </c>
      <c r="E5495" s="81" t="s">
        <v>2982</v>
      </c>
      <c r="F5495" s="81">
        <v>574.0</v>
      </c>
      <c r="G5495" s="81" t="s">
        <v>41</v>
      </c>
      <c r="H5495" s="81" t="s">
        <v>2982</v>
      </c>
      <c r="I5495" s="81" t="s">
        <v>2990</v>
      </c>
      <c r="J5495" s="81" t="s">
        <v>6343</v>
      </c>
    </row>
    <row r="5496" hidden="1">
      <c r="A5496" s="83" t="s">
        <v>6339</v>
      </c>
      <c r="B5496" s="83" t="s">
        <v>6340</v>
      </c>
      <c r="C5496" s="81" t="s">
        <v>4621</v>
      </c>
      <c r="D5496" s="83" t="s">
        <v>4631</v>
      </c>
      <c r="E5496" s="81" t="s">
        <v>2995</v>
      </c>
      <c r="F5496" s="81">
        <v>575.0</v>
      </c>
      <c r="G5496" s="81" t="s">
        <v>41</v>
      </c>
      <c r="H5496" s="81" t="s">
        <v>2982</v>
      </c>
      <c r="I5496" s="81" t="s">
        <v>2990</v>
      </c>
      <c r="J5496" s="81" t="s">
        <v>6343</v>
      </c>
    </row>
    <row r="5497" hidden="1">
      <c r="A5497" s="83" t="s">
        <v>6339</v>
      </c>
      <c r="B5497" s="83" t="s">
        <v>6340</v>
      </c>
      <c r="C5497" s="81" t="s">
        <v>4621</v>
      </c>
      <c r="D5497" s="83" t="s">
        <v>4633</v>
      </c>
      <c r="E5497" s="81" t="s">
        <v>2996</v>
      </c>
      <c r="F5497" s="81">
        <v>576.0</v>
      </c>
      <c r="G5497" s="81" t="s">
        <v>41</v>
      </c>
      <c r="H5497" s="81" t="s">
        <v>2982</v>
      </c>
      <c r="I5497" s="81" t="s">
        <v>2990</v>
      </c>
      <c r="J5497" s="81" t="s">
        <v>6343</v>
      </c>
    </row>
    <row r="5498" hidden="1">
      <c r="A5498" s="83" t="s">
        <v>6339</v>
      </c>
      <c r="B5498" s="83" t="s">
        <v>6340</v>
      </c>
      <c r="C5498" s="81" t="s">
        <v>4621</v>
      </c>
      <c r="D5498" s="83" t="s">
        <v>4634</v>
      </c>
      <c r="E5498" s="81" t="s">
        <v>2999</v>
      </c>
      <c r="F5498" s="81">
        <v>577.0</v>
      </c>
      <c r="G5498" s="81" t="s">
        <v>41</v>
      </c>
      <c r="H5498" s="81" t="s">
        <v>2999</v>
      </c>
      <c r="I5498" s="81" t="s">
        <v>3004</v>
      </c>
      <c r="J5498" s="81" t="s">
        <v>6343</v>
      </c>
    </row>
    <row r="5499" hidden="1">
      <c r="A5499" s="83" t="s">
        <v>6339</v>
      </c>
      <c r="B5499" s="83" t="s">
        <v>6340</v>
      </c>
      <c r="C5499" s="81" t="s">
        <v>4621</v>
      </c>
      <c r="D5499" s="83" t="s">
        <v>4634</v>
      </c>
      <c r="E5499" s="81" t="s">
        <v>3009</v>
      </c>
      <c r="F5499" s="81">
        <v>578.0</v>
      </c>
      <c r="G5499" s="81" t="s">
        <v>41</v>
      </c>
      <c r="H5499" s="81" t="s">
        <v>2999</v>
      </c>
      <c r="I5499" s="81" t="s">
        <v>3004</v>
      </c>
      <c r="J5499" s="81" t="s">
        <v>6343</v>
      </c>
    </row>
    <row r="5500" hidden="1">
      <c r="A5500" s="83" t="s">
        <v>6339</v>
      </c>
      <c r="B5500" s="83" t="s">
        <v>6340</v>
      </c>
      <c r="C5500" s="81" t="s">
        <v>4621</v>
      </c>
      <c r="D5500" s="83" t="s">
        <v>4636</v>
      </c>
      <c r="E5500" s="81" t="s">
        <v>3010</v>
      </c>
      <c r="F5500" s="81">
        <v>579.0</v>
      </c>
      <c r="G5500" s="81" t="s">
        <v>41</v>
      </c>
      <c r="H5500" s="81" t="s">
        <v>2999</v>
      </c>
      <c r="I5500" s="81" t="s">
        <v>3004</v>
      </c>
      <c r="J5500" s="81" t="s">
        <v>6343</v>
      </c>
    </row>
    <row r="5501" hidden="1">
      <c r="A5501" s="83" t="s">
        <v>6339</v>
      </c>
      <c r="B5501" s="83" t="s">
        <v>6340</v>
      </c>
      <c r="C5501" s="81" t="s">
        <v>4621</v>
      </c>
      <c r="D5501" s="83" t="s">
        <v>4637</v>
      </c>
      <c r="E5501" s="81" t="s">
        <v>3013</v>
      </c>
      <c r="F5501" s="81">
        <v>580.0</v>
      </c>
      <c r="G5501" s="81" t="s">
        <v>41</v>
      </c>
      <c r="H5501" s="81" t="s">
        <v>3013</v>
      </c>
      <c r="I5501" s="81" t="s">
        <v>3021</v>
      </c>
      <c r="J5501" s="81" t="s">
        <v>6343</v>
      </c>
    </row>
    <row r="5502" hidden="1">
      <c r="A5502" s="83" t="s">
        <v>6339</v>
      </c>
      <c r="B5502" s="83" t="s">
        <v>6340</v>
      </c>
      <c r="C5502" s="81" t="s">
        <v>4621</v>
      </c>
      <c r="D5502" s="83" t="s">
        <v>4637</v>
      </c>
      <c r="E5502" s="81" t="s">
        <v>3026</v>
      </c>
      <c r="F5502" s="81">
        <v>581.0</v>
      </c>
      <c r="G5502" s="81" t="s">
        <v>41</v>
      </c>
      <c r="H5502" s="81" t="s">
        <v>3013</v>
      </c>
      <c r="I5502" s="81" t="s">
        <v>3021</v>
      </c>
      <c r="J5502" s="81" t="s">
        <v>6343</v>
      </c>
    </row>
    <row r="5503" hidden="1">
      <c r="A5503" s="83" t="s">
        <v>6339</v>
      </c>
      <c r="B5503" s="83" t="s">
        <v>6340</v>
      </c>
      <c r="C5503" s="81" t="s">
        <v>4621</v>
      </c>
      <c r="D5503" s="83" t="s">
        <v>4639</v>
      </c>
      <c r="E5503" s="81" t="s">
        <v>3027</v>
      </c>
      <c r="F5503" s="81">
        <v>582.0</v>
      </c>
      <c r="G5503" s="81" t="s">
        <v>41</v>
      </c>
      <c r="H5503" s="81" t="s">
        <v>3013</v>
      </c>
      <c r="I5503" s="81" t="s">
        <v>3021</v>
      </c>
      <c r="J5503" s="81" t="s">
        <v>6343</v>
      </c>
    </row>
    <row r="5504" hidden="1">
      <c r="A5504" s="83" t="s">
        <v>6339</v>
      </c>
      <c r="B5504" s="83" t="s">
        <v>6340</v>
      </c>
      <c r="C5504" s="81" t="s">
        <v>4621</v>
      </c>
      <c r="D5504" s="83" t="s">
        <v>4640</v>
      </c>
      <c r="E5504" s="81" t="s">
        <v>3030</v>
      </c>
      <c r="F5504" s="81">
        <v>583.0</v>
      </c>
      <c r="G5504" s="81" t="s">
        <v>41</v>
      </c>
      <c r="H5504" s="81" t="s">
        <v>3042</v>
      </c>
      <c r="I5504" s="81" t="s">
        <v>3037</v>
      </c>
      <c r="J5504" s="81" t="s">
        <v>6343</v>
      </c>
    </row>
    <row r="5505" hidden="1">
      <c r="A5505" s="83" t="s">
        <v>6339</v>
      </c>
      <c r="B5505" s="83" t="s">
        <v>6340</v>
      </c>
      <c r="C5505" s="81" t="s">
        <v>4621</v>
      </c>
      <c r="D5505" s="83" t="s">
        <v>4642</v>
      </c>
      <c r="E5505" s="81" t="s">
        <v>3042</v>
      </c>
      <c r="F5505" s="81">
        <v>584.0</v>
      </c>
      <c r="G5505" s="81" t="s">
        <v>41</v>
      </c>
      <c r="H5505" s="81" t="s">
        <v>3042</v>
      </c>
      <c r="I5505" s="81" t="s">
        <v>3037</v>
      </c>
      <c r="J5505" s="81" t="s">
        <v>6343</v>
      </c>
    </row>
    <row r="5506" hidden="1">
      <c r="A5506" s="83" t="s">
        <v>6339</v>
      </c>
      <c r="B5506" s="83" t="s">
        <v>6340</v>
      </c>
      <c r="C5506" s="81" t="s">
        <v>4621</v>
      </c>
      <c r="D5506" s="83" t="s">
        <v>4642</v>
      </c>
      <c r="E5506" s="81" t="s">
        <v>3045</v>
      </c>
      <c r="F5506" s="81">
        <v>585.0</v>
      </c>
      <c r="G5506" s="81" t="s">
        <v>41</v>
      </c>
      <c r="H5506" s="81" t="s">
        <v>3042</v>
      </c>
      <c r="I5506" s="81" t="s">
        <v>3037</v>
      </c>
      <c r="J5506" s="81" t="s">
        <v>6343</v>
      </c>
    </row>
    <row r="5507" hidden="1">
      <c r="A5507" s="83" t="s">
        <v>6339</v>
      </c>
      <c r="B5507" s="83" t="s">
        <v>6340</v>
      </c>
      <c r="C5507" s="81" t="s">
        <v>4621</v>
      </c>
      <c r="D5507" s="83" t="s">
        <v>4643</v>
      </c>
      <c r="E5507" s="81" t="s">
        <v>3046</v>
      </c>
      <c r="F5507" s="81">
        <v>586.0</v>
      </c>
      <c r="G5507" s="81" t="s">
        <v>41</v>
      </c>
      <c r="H5507" s="81" t="s">
        <v>3046</v>
      </c>
      <c r="I5507" s="81" t="s">
        <v>3053</v>
      </c>
      <c r="J5507" s="81" t="s">
        <v>6343</v>
      </c>
    </row>
    <row r="5508" hidden="1">
      <c r="A5508" s="83" t="s">
        <v>6339</v>
      </c>
      <c r="B5508" s="83" t="s">
        <v>6340</v>
      </c>
      <c r="C5508" s="81" t="s">
        <v>4621</v>
      </c>
      <c r="D5508" s="83" t="s">
        <v>4643</v>
      </c>
      <c r="E5508" s="81" t="s">
        <v>3058</v>
      </c>
      <c r="F5508" s="81">
        <v>587.0</v>
      </c>
      <c r="G5508" s="81" t="s">
        <v>41</v>
      </c>
      <c r="H5508" s="81" t="s">
        <v>3046</v>
      </c>
      <c r="I5508" s="81" t="s">
        <v>3053</v>
      </c>
      <c r="J5508" s="81" t="s">
        <v>6343</v>
      </c>
    </row>
    <row r="5509" hidden="1">
      <c r="A5509" s="83" t="s">
        <v>6339</v>
      </c>
      <c r="B5509" s="83" t="s">
        <v>6340</v>
      </c>
      <c r="C5509" s="81" t="s">
        <v>4621</v>
      </c>
      <c r="D5509" s="83" t="s">
        <v>4644</v>
      </c>
      <c r="E5509" s="81" t="s">
        <v>3059</v>
      </c>
      <c r="F5509" s="81">
        <v>588.0</v>
      </c>
      <c r="G5509" s="81" t="s">
        <v>41</v>
      </c>
      <c r="H5509" s="81" t="s">
        <v>3046</v>
      </c>
      <c r="I5509" s="81" t="s">
        <v>3053</v>
      </c>
      <c r="J5509" s="81" t="s">
        <v>6343</v>
      </c>
    </row>
    <row r="5510" hidden="1">
      <c r="A5510" s="83" t="s">
        <v>6339</v>
      </c>
      <c r="B5510" s="83" t="s">
        <v>6340</v>
      </c>
      <c r="C5510" s="81" t="s">
        <v>4621</v>
      </c>
      <c r="D5510" s="83" t="s">
        <v>4645</v>
      </c>
      <c r="E5510" s="81" t="s">
        <v>3062</v>
      </c>
      <c r="F5510" s="81">
        <v>589.0</v>
      </c>
      <c r="G5510" s="81" t="s">
        <v>41</v>
      </c>
      <c r="H5510" s="81" t="s">
        <v>3062</v>
      </c>
      <c r="I5510" s="81" t="s">
        <v>3068</v>
      </c>
      <c r="J5510" s="81" t="s">
        <v>6343</v>
      </c>
    </row>
    <row r="5511" hidden="1">
      <c r="A5511" s="83" t="s">
        <v>6339</v>
      </c>
      <c r="B5511" s="83" t="s">
        <v>6340</v>
      </c>
      <c r="C5511" s="81" t="s">
        <v>4621</v>
      </c>
      <c r="D5511" s="83" t="s">
        <v>4645</v>
      </c>
      <c r="E5511" s="81" t="s">
        <v>3073</v>
      </c>
      <c r="F5511" s="81">
        <v>590.0</v>
      </c>
      <c r="G5511" s="81" t="s">
        <v>41</v>
      </c>
      <c r="H5511" s="81" t="s">
        <v>3062</v>
      </c>
      <c r="I5511" s="81" t="s">
        <v>3068</v>
      </c>
      <c r="J5511" s="81" t="s">
        <v>6343</v>
      </c>
    </row>
    <row r="5512" hidden="1">
      <c r="A5512" s="83" t="s">
        <v>6339</v>
      </c>
      <c r="B5512" s="83" t="s">
        <v>6340</v>
      </c>
      <c r="C5512" s="81" t="s">
        <v>4621</v>
      </c>
      <c r="D5512" s="83" t="s">
        <v>4647</v>
      </c>
      <c r="E5512" s="81" t="s">
        <v>3074</v>
      </c>
      <c r="F5512" s="81">
        <v>591.0</v>
      </c>
      <c r="G5512" s="81" t="s">
        <v>41</v>
      </c>
      <c r="H5512" s="81" t="s">
        <v>3062</v>
      </c>
      <c r="I5512" s="81" t="s">
        <v>3068</v>
      </c>
      <c r="J5512" s="81" t="s">
        <v>6343</v>
      </c>
    </row>
    <row r="5513" hidden="1">
      <c r="A5513" s="83" t="s">
        <v>6339</v>
      </c>
      <c r="B5513" s="83" t="s">
        <v>6340</v>
      </c>
      <c r="C5513" s="81" t="s">
        <v>4621</v>
      </c>
      <c r="D5513" s="83" t="s">
        <v>4648</v>
      </c>
      <c r="E5513" s="81" t="s">
        <v>3077</v>
      </c>
      <c r="F5513" s="81">
        <v>592.0</v>
      </c>
      <c r="G5513" s="81" t="s">
        <v>41</v>
      </c>
      <c r="H5513" s="81" t="s">
        <v>3077</v>
      </c>
      <c r="I5513" s="81" t="s">
        <v>3087</v>
      </c>
      <c r="J5513" s="81" t="s">
        <v>6343</v>
      </c>
    </row>
    <row r="5514" hidden="1">
      <c r="A5514" s="83" t="s">
        <v>6339</v>
      </c>
      <c r="B5514" s="83" t="s">
        <v>6340</v>
      </c>
      <c r="C5514" s="81" t="s">
        <v>4621</v>
      </c>
      <c r="D5514" s="83" t="s">
        <v>4648</v>
      </c>
      <c r="E5514" s="81" t="s">
        <v>3090</v>
      </c>
      <c r="F5514" s="81">
        <v>593.0</v>
      </c>
      <c r="G5514" s="81" t="s">
        <v>41</v>
      </c>
      <c r="H5514" s="81" t="s">
        <v>3077</v>
      </c>
      <c r="I5514" s="81" t="s">
        <v>3087</v>
      </c>
      <c r="J5514" s="81" t="s">
        <v>6343</v>
      </c>
    </row>
    <row r="5515" hidden="1">
      <c r="A5515" s="83" t="s">
        <v>6339</v>
      </c>
      <c r="B5515" s="83" t="s">
        <v>6340</v>
      </c>
      <c r="C5515" s="81" t="s">
        <v>4621</v>
      </c>
      <c r="D5515" s="83" t="s">
        <v>4650</v>
      </c>
      <c r="E5515" s="81" t="s">
        <v>3091</v>
      </c>
      <c r="F5515" s="81">
        <v>594.0</v>
      </c>
      <c r="G5515" s="81" t="s">
        <v>41</v>
      </c>
      <c r="H5515" s="81" t="s">
        <v>3077</v>
      </c>
      <c r="I5515" s="81" t="s">
        <v>3087</v>
      </c>
      <c r="J5515" s="81" t="s">
        <v>6343</v>
      </c>
    </row>
    <row r="5516" hidden="1">
      <c r="A5516" s="83" t="s">
        <v>6339</v>
      </c>
      <c r="B5516" s="83" t="s">
        <v>6340</v>
      </c>
      <c r="C5516" s="81" t="s">
        <v>4621</v>
      </c>
      <c r="D5516" s="83" t="s">
        <v>4651</v>
      </c>
      <c r="E5516" s="81" t="s">
        <v>3094</v>
      </c>
      <c r="F5516" s="81">
        <v>595.0</v>
      </c>
      <c r="G5516" s="81" t="s">
        <v>41</v>
      </c>
      <c r="H5516" s="81" t="s">
        <v>4653</v>
      </c>
      <c r="I5516" s="81" t="s">
        <v>3102</v>
      </c>
      <c r="J5516" s="81" t="s">
        <v>6343</v>
      </c>
    </row>
    <row r="5517" hidden="1">
      <c r="A5517" s="83" t="s">
        <v>6339</v>
      </c>
      <c r="B5517" s="83" t="s">
        <v>6340</v>
      </c>
      <c r="C5517" s="81" t="s">
        <v>4621</v>
      </c>
      <c r="D5517" s="83" t="s">
        <v>4654</v>
      </c>
      <c r="E5517" s="81" t="s">
        <v>3107</v>
      </c>
      <c r="F5517" s="81">
        <v>596.0</v>
      </c>
      <c r="G5517" s="81" t="s">
        <v>41</v>
      </c>
      <c r="H5517" s="81" t="s">
        <v>4656</v>
      </c>
      <c r="I5517" s="81" t="s">
        <v>3113</v>
      </c>
      <c r="J5517" s="81" t="s">
        <v>6343</v>
      </c>
    </row>
    <row r="5518" hidden="1">
      <c r="A5518" s="83" t="s">
        <v>6339</v>
      </c>
      <c r="B5518" s="83" t="s">
        <v>6340</v>
      </c>
      <c r="C5518" s="81" t="s">
        <v>4621</v>
      </c>
      <c r="D5518" s="83" t="s">
        <v>4657</v>
      </c>
      <c r="E5518" s="81" t="s">
        <v>3118</v>
      </c>
      <c r="F5518" s="81">
        <v>597.0</v>
      </c>
      <c r="G5518" s="81" t="s">
        <v>41</v>
      </c>
      <c r="H5518" s="81" t="s">
        <v>4659</v>
      </c>
      <c r="I5518" s="81" t="s">
        <v>3123</v>
      </c>
      <c r="J5518" s="81" t="s">
        <v>6343</v>
      </c>
    </row>
    <row r="5519" hidden="1">
      <c r="A5519" s="83" t="s">
        <v>6339</v>
      </c>
      <c r="B5519" s="83" t="s">
        <v>6340</v>
      </c>
      <c r="C5519" s="81" t="s">
        <v>4621</v>
      </c>
      <c r="D5519" s="83" t="s">
        <v>4660</v>
      </c>
      <c r="E5519" s="81" t="s">
        <v>3128</v>
      </c>
      <c r="F5519" s="81">
        <v>598.0</v>
      </c>
      <c r="G5519" s="81" t="s">
        <v>41</v>
      </c>
      <c r="H5519" s="81" t="s">
        <v>4662</v>
      </c>
      <c r="I5519" s="81" t="s">
        <v>3133</v>
      </c>
      <c r="J5519" s="81" t="s">
        <v>6343</v>
      </c>
    </row>
    <row r="5520" hidden="1">
      <c r="A5520" s="83" t="s">
        <v>6339</v>
      </c>
      <c r="B5520" s="83" t="s">
        <v>6340</v>
      </c>
      <c r="C5520" s="81" t="s">
        <v>4621</v>
      </c>
      <c r="D5520" s="83" t="s">
        <v>4663</v>
      </c>
      <c r="E5520" s="81" t="s">
        <v>3138</v>
      </c>
      <c r="F5520" s="81">
        <v>599.0</v>
      </c>
      <c r="G5520" s="81" t="s">
        <v>41</v>
      </c>
      <c r="H5520" s="81" t="s">
        <v>4665</v>
      </c>
      <c r="I5520" s="81" t="s">
        <v>3143</v>
      </c>
      <c r="J5520" s="81" t="s">
        <v>6343</v>
      </c>
    </row>
    <row r="5521" hidden="1">
      <c r="A5521" s="83" t="s">
        <v>6339</v>
      </c>
      <c r="B5521" s="83" t="s">
        <v>6340</v>
      </c>
      <c r="C5521" s="81" t="s">
        <v>4621</v>
      </c>
      <c r="D5521" s="83" t="s">
        <v>4666</v>
      </c>
      <c r="E5521" s="81" t="s">
        <v>3148</v>
      </c>
      <c r="F5521" s="81">
        <v>600.0</v>
      </c>
      <c r="G5521" s="81" t="s">
        <v>41</v>
      </c>
      <c r="H5521" s="81" t="s">
        <v>4668</v>
      </c>
      <c r="I5521" s="81" t="s">
        <v>3155</v>
      </c>
      <c r="J5521" s="81" t="s">
        <v>6343</v>
      </c>
    </row>
    <row r="5522" hidden="1">
      <c r="A5522" s="83" t="s">
        <v>6339</v>
      </c>
      <c r="B5522" s="83" t="s">
        <v>6340</v>
      </c>
      <c r="C5522" s="81" t="s">
        <v>4621</v>
      </c>
      <c r="D5522" s="83" t="s">
        <v>4669</v>
      </c>
      <c r="E5522" s="81" t="s">
        <v>3160</v>
      </c>
      <c r="F5522" s="81">
        <v>601.0</v>
      </c>
      <c r="G5522" s="81" t="s">
        <v>41</v>
      </c>
      <c r="H5522" s="81" t="s">
        <v>4671</v>
      </c>
      <c r="I5522" s="81" t="s">
        <v>3165</v>
      </c>
      <c r="J5522" s="81" t="s">
        <v>6343</v>
      </c>
    </row>
    <row r="5523" hidden="1">
      <c r="A5523" s="83" t="s">
        <v>6339</v>
      </c>
      <c r="B5523" s="83" t="s">
        <v>6340</v>
      </c>
      <c r="C5523" s="81" t="s">
        <v>4621</v>
      </c>
      <c r="D5523" s="83" t="s">
        <v>4672</v>
      </c>
      <c r="E5523" s="81" t="s">
        <v>3170</v>
      </c>
      <c r="F5523" s="81">
        <v>602.0</v>
      </c>
      <c r="G5523" s="81" t="s">
        <v>41</v>
      </c>
      <c r="H5523" s="81" t="s">
        <v>3170</v>
      </c>
      <c r="I5523" s="81" t="s">
        <v>3177</v>
      </c>
      <c r="J5523" s="81" t="s">
        <v>6343</v>
      </c>
    </row>
    <row r="5524" hidden="1">
      <c r="A5524" s="83" t="s">
        <v>6339</v>
      </c>
      <c r="B5524" s="83" t="s">
        <v>6340</v>
      </c>
      <c r="C5524" s="81" t="s">
        <v>4621</v>
      </c>
      <c r="D5524" s="83" t="s">
        <v>4672</v>
      </c>
      <c r="E5524" s="81" t="s">
        <v>3182</v>
      </c>
      <c r="F5524" s="81">
        <v>603.0</v>
      </c>
      <c r="G5524" s="81" t="s">
        <v>41</v>
      </c>
      <c r="H5524" s="81" t="s">
        <v>3170</v>
      </c>
      <c r="I5524" s="81" t="s">
        <v>3177</v>
      </c>
      <c r="J5524" s="81" t="s">
        <v>6343</v>
      </c>
    </row>
    <row r="5525" hidden="1">
      <c r="A5525" s="83" t="s">
        <v>6339</v>
      </c>
      <c r="B5525" s="83" t="s">
        <v>6340</v>
      </c>
      <c r="C5525" s="81" t="s">
        <v>4621</v>
      </c>
      <c r="D5525" s="83" t="s">
        <v>4674</v>
      </c>
      <c r="E5525" s="81" t="s">
        <v>3183</v>
      </c>
      <c r="F5525" s="81">
        <v>604.0</v>
      </c>
      <c r="G5525" s="81" t="s">
        <v>41</v>
      </c>
      <c r="H5525" s="81" t="s">
        <v>3170</v>
      </c>
      <c r="I5525" s="81" t="s">
        <v>3177</v>
      </c>
      <c r="J5525" s="81" t="s">
        <v>6343</v>
      </c>
    </row>
    <row r="5526" hidden="1">
      <c r="A5526" s="83" t="s">
        <v>6339</v>
      </c>
      <c r="B5526" s="83" t="s">
        <v>6340</v>
      </c>
      <c r="C5526" s="81" t="s">
        <v>4621</v>
      </c>
      <c r="D5526" s="83" t="s">
        <v>4675</v>
      </c>
      <c r="E5526" s="81" t="s">
        <v>3186</v>
      </c>
      <c r="F5526" s="81">
        <v>605.0</v>
      </c>
      <c r="G5526" s="81" t="s">
        <v>41</v>
      </c>
      <c r="H5526" s="81" t="s">
        <v>3170</v>
      </c>
      <c r="I5526" s="81" t="s">
        <v>3177</v>
      </c>
      <c r="J5526" s="81" t="s">
        <v>6343</v>
      </c>
    </row>
    <row r="5527" hidden="1">
      <c r="A5527" s="83" t="s">
        <v>6339</v>
      </c>
      <c r="B5527" s="83" t="s">
        <v>6340</v>
      </c>
      <c r="C5527" s="81" t="s">
        <v>4621</v>
      </c>
      <c r="D5527" s="83" t="s">
        <v>4677</v>
      </c>
      <c r="E5527" s="81" t="s">
        <v>3196</v>
      </c>
      <c r="F5527" s="81">
        <v>606.0</v>
      </c>
      <c r="G5527" s="81" t="s">
        <v>41</v>
      </c>
      <c r="H5527" s="81" t="s">
        <v>3212</v>
      </c>
      <c r="I5527" s="81" t="s">
        <v>3203</v>
      </c>
      <c r="J5527" s="81" t="s">
        <v>6343</v>
      </c>
    </row>
    <row r="5528" hidden="1">
      <c r="A5528" s="83" t="s">
        <v>6339</v>
      </c>
      <c r="B5528" s="83" t="s">
        <v>6340</v>
      </c>
      <c r="C5528" s="81" t="s">
        <v>4621</v>
      </c>
      <c r="D5528" s="83" t="s">
        <v>4677</v>
      </c>
      <c r="E5528" s="81" t="s">
        <v>3208</v>
      </c>
      <c r="F5528" s="81">
        <v>607.0</v>
      </c>
      <c r="G5528" s="81" t="s">
        <v>41</v>
      </c>
      <c r="H5528" s="81" t="s">
        <v>3212</v>
      </c>
      <c r="I5528" s="81" t="s">
        <v>3203</v>
      </c>
      <c r="J5528" s="81" t="s">
        <v>6343</v>
      </c>
    </row>
    <row r="5529" hidden="1">
      <c r="A5529" s="83" t="s">
        <v>6339</v>
      </c>
      <c r="B5529" s="83" t="s">
        <v>6340</v>
      </c>
      <c r="C5529" s="81" t="s">
        <v>4621</v>
      </c>
      <c r="D5529" s="83" t="s">
        <v>4678</v>
      </c>
      <c r="E5529" s="81" t="s">
        <v>3209</v>
      </c>
      <c r="F5529" s="81">
        <v>608.0</v>
      </c>
      <c r="G5529" s="81" t="s">
        <v>41</v>
      </c>
      <c r="H5529" s="81" t="s">
        <v>3212</v>
      </c>
      <c r="I5529" s="81" t="s">
        <v>3203</v>
      </c>
      <c r="J5529" s="81" t="s">
        <v>6343</v>
      </c>
    </row>
    <row r="5530" hidden="1">
      <c r="A5530" s="83" t="s">
        <v>6339</v>
      </c>
      <c r="B5530" s="83" t="s">
        <v>6340</v>
      </c>
      <c r="C5530" s="81" t="s">
        <v>4621</v>
      </c>
      <c r="D5530" s="83" t="s">
        <v>4679</v>
      </c>
      <c r="E5530" s="81" t="s">
        <v>3212</v>
      </c>
      <c r="F5530" s="81">
        <v>609.0</v>
      </c>
      <c r="G5530" s="81" t="s">
        <v>41</v>
      </c>
      <c r="H5530" s="81" t="s">
        <v>3212</v>
      </c>
      <c r="I5530" s="81" t="s">
        <v>3203</v>
      </c>
      <c r="J5530" s="81" t="s">
        <v>6343</v>
      </c>
    </row>
    <row r="5531" hidden="1">
      <c r="A5531" s="83" t="s">
        <v>6339</v>
      </c>
      <c r="B5531" s="83" t="s">
        <v>6340</v>
      </c>
      <c r="C5531" s="81" t="s">
        <v>4621</v>
      </c>
      <c r="D5531" s="83" t="s">
        <v>4679</v>
      </c>
      <c r="E5531" s="81" t="s">
        <v>3219</v>
      </c>
      <c r="F5531" s="81">
        <v>610.0</v>
      </c>
      <c r="G5531" s="81" t="s">
        <v>41</v>
      </c>
      <c r="H5531" s="81" t="s">
        <v>3212</v>
      </c>
      <c r="I5531" s="81" t="s">
        <v>3203</v>
      </c>
      <c r="J5531" s="81" t="s">
        <v>6343</v>
      </c>
    </row>
    <row r="5532" hidden="1">
      <c r="A5532" s="83" t="s">
        <v>6339</v>
      </c>
      <c r="B5532" s="83" t="s">
        <v>6340</v>
      </c>
      <c r="C5532" s="81" t="s">
        <v>4621</v>
      </c>
      <c r="D5532" s="83" t="s">
        <v>4680</v>
      </c>
      <c r="E5532" s="81" t="s">
        <v>3220</v>
      </c>
      <c r="F5532" s="81">
        <v>611.0</v>
      </c>
      <c r="G5532" s="81" t="s">
        <v>41</v>
      </c>
      <c r="H5532" s="81" t="s">
        <v>3212</v>
      </c>
      <c r="I5532" s="81" t="s">
        <v>3203</v>
      </c>
      <c r="J5532" s="81" t="s">
        <v>6343</v>
      </c>
    </row>
    <row r="5533" hidden="1">
      <c r="A5533" s="83" t="s">
        <v>6339</v>
      </c>
      <c r="B5533" s="83" t="s">
        <v>6340</v>
      </c>
      <c r="C5533" s="81" t="s">
        <v>4621</v>
      </c>
      <c r="D5533" s="83" t="s">
        <v>4681</v>
      </c>
      <c r="E5533" s="81" t="s">
        <v>3223</v>
      </c>
      <c r="F5533" s="81">
        <v>612.0</v>
      </c>
      <c r="G5533" s="81" t="s">
        <v>41</v>
      </c>
      <c r="H5533" s="81" t="s">
        <v>3212</v>
      </c>
      <c r="I5533" s="81" t="s">
        <v>3203</v>
      </c>
      <c r="J5533" s="81" t="s">
        <v>6343</v>
      </c>
    </row>
    <row r="5534" hidden="1">
      <c r="A5534" s="83" t="s">
        <v>6339</v>
      </c>
      <c r="B5534" s="83" t="s">
        <v>6340</v>
      </c>
      <c r="C5534" s="81" t="s">
        <v>4082</v>
      </c>
      <c r="D5534" s="83" t="s">
        <v>4682</v>
      </c>
      <c r="E5534" s="81" t="s">
        <v>3226</v>
      </c>
      <c r="F5534" s="81">
        <v>613.0</v>
      </c>
      <c r="G5534" s="81" t="s">
        <v>39</v>
      </c>
      <c r="H5534" s="81" t="s">
        <v>224</v>
      </c>
      <c r="I5534" s="81" t="s">
        <v>224</v>
      </c>
      <c r="J5534" s="81" t="s">
        <v>6052</v>
      </c>
    </row>
    <row r="5535" hidden="1">
      <c r="A5535" s="83" t="s">
        <v>6339</v>
      </c>
      <c r="B5535" s="83" t="s">
        <v>6340</v>
      </c>
      <c r="C5535" s="81" t="s">
        <v>4621</v>
      </c>
      <c r="D5535" s="83" t="s">
        <v>4682</v>
      </c>
      <c r="E5535" s="81" t="s">
        <v>3226</v>
      </c>
      <c r="F5535" s="81">
        <v>613.0</v>
      </c>
      <c r="G5535" s="81" t="s">
        <v>41</v>
      </c>
      <c r="H5535" s="81" t="s">
        <v>3212</v>
      </c>
      <c r="I5535" s="81" t="s">
        <v>3203</v>
      </c>
      <c r="J5535" s="81" t="s">
        <v>6343</v>
      </c>
    </row>
    <row r="5536" hidden="1">
      <c r="A5536" s="83" t="s">
        <v>6339</v>
      </c>
      <c r="B5536" s="83" t="s">
        <v>6340</v>
      </c>
      <c r="C5536" s="81" t="s">
        <v>4621</v>
      </c>
      <c r="D5536" s="83" t="s">
        <v>4683</v>
      </c>
      <c r="E5536" s="81" t="s">
        <v>3228</v>
      </c>
      <c r="F5536" s="81">
        <v>614.0</v>
      </c>
      <c r="G5536" s="81" t="s">
        <v>41</v>
      </c>
      <c r="H5536" s="81" t="s">
        <v>3212</v>
      </c>
      <c r="I5536" s="81" t="s">
        <v>3203</v>
      </c>
      <c r="J5536" s="81" t="s">
        <v>6343</v>
      </c>
    </row>
    <row r="5537" hidden="1">
      <c r="A5537" s="83" t="s">
        <v>6339</v>
      </c>
      <c r="B5537" s="83" t="s">
        <v>6340</v>
      </c>
      <c r="C5537" s="81" t="s">
        <v>4621</v>
      </c>
      <c r="D5537" s="83" t="s">
        <v>4683</v>
      </c>
      <c r="E5537" s="81" t="s">
        <v>3235</v>
      </c>
      <c r="F5537" s="81">
        <v>615.0</v>
      </c>
      <c r="G5537" s="81" t="s">
        <v>41</v>
      </c>
      <c r="H5537" s="81" t="s">
        <v>3212</v>
      </c>
      <c r="I5537" s="81" t="s">
        <v>3203</v>
      </c>
      <c r="J5537" s="81" t="s">
        <v>6343</v>
      </c>
    </row>
    <row r="5538" hidden="1">
      <c r="A5538" s="83" t="s">
        <v>6339</v>
      </c>
      <c r="B5538" s="83" t="s">
        <v>6340</v>
      </c>
      <c r="C5538" s="81" t="s">
        <v>4621</v>
      </c>
      <c r="D5538" s="83" t="s">
        <v>4684</v>
      </c>
      <c r="E5538" s="81" t="s">
        <v>3236</v>
      </c>
      <c r="F5538" s="81">
        <v>616.0</v>
      </c>
      <c r="G5538" s="81" t="s">
        <v>41</v>
      </c>
      <c r="H5538" s="81" t="s">
        <v>3212</v>
      </c>
      <c r="I5538" s="81" t="s">
        <v>3203</v>
      </c>
      <c r="J5538" s="81" t="s">
        <v>6343</v>
      </c>
    </row>
    <row r="5539" hidden="1">
      <c r="A5539" s="83" t="s">
        <v>6339</v>
      </c>
      <c r="B5539" s="83" t="s">
        <v>6340</v>
      </c>
      <c r="C5539" s="81" t="s">
        <v>4621</v>
      </c>
      <c r="D5539" s="83" t="s">
        <v>4685</v>
      </c>
      <c r="E5539" s="81" t="s">
        <v>3239</v>
      </c>
      <c r="F5539" s="81">
        <v>617.0</v>
      </c>
      <c r="G5539" s="81" t="s">
        <v>41</v>
      </c>
      <c r="H5539" s="81" t="s">
        <v>3212</v>
      </c>
      <c r="I5539" s="81" t="s">
        <v>3203</v>
      </c>
      <c r="J5539" s="81" t="s">
        <v>6343</v>
      </c>
    </row>
    <row r="5540" hidden="1">
      <c r="A5540" s="83" t="s">
        <v>6339</v>
      </c>
      <c r="B5540" s="83" t="s">
        <v>6340</v>
      </c>
      <c r="C5540" s="81" t="s">
        <v>4621</v>
      </c>
      <c r="D5540" s="83" t="s">
        <v>4685</v>
      </c>
      <c r="E5540" s="81" t="s">
        <v>3247</v>
      </c>
      <c r="F5540" s="81">
        <v>618.0</v>
      </c>
      <c r="G5540" s="81" t="s">
        <v>41</v>
      </c>
      <c r="H5540" s="81" t="s">
        <v>3212</v>
      </c>
      <c r="I5540" s="81" t="s">
        <v>3203</v>
      </c>
      <c r="J5540" s="81" t="s">
        <v>6343</v>
      </c>
    </row>
    <row r="5541" hidden="1">
      <c r="A5541" s="83" t="s">
        <v>6339</v>
      </c>
      <c r="B5541" s="83" t="s">
        <v>6340</v>
      </c>
      <c r="C5541" s="81" t="s">
        <v>4621</v>
      </c>
      <c r="D5541" s="83" t="s">
        <v>4686</v>
      </c>
      <c r="E5541" s="81" t="s">
        <v>3248</v>
      </c>
      <c r="F5541" s="81">
        <v>619.0</v>
      </c>
      <c r="G5541" s="81" t="s">
        <v>41</v>
      </c>
      <c r="H5541" s="81" t="s">
        <v>3212</v>
      </c>
      <c r="I5541" s="81" t="s">
        <v>3203</v>
      </c>
      <c r="J5541" s="81" t="s">
        <v>6343</v>
      </c>
    </row>
    <row r="5542" hidden="1">
      <c r="A5542" s="83" t="s">
        <v>6339</v>
      </c>
      <c r="B5542" s="83" t="s">
        <v>6340</v>
      </c>
      <c r="C5542" s="81" t="s">
        <v>4621</v>
      </c>
      <c r="D5542" s="83" t="s">
        <v>4687</v>
      </c>
      <c r="E5542" s="81" t="s">
        <v>3251</v>
      </c>
      <c r="F5542" s="81">
        <v>620.0</v>
      </c>
      <c r="G5542" s="81" t="s">
        <v>41</v>
      </c>
      <c r="H5542" s="81" t="s">
        <v>3212</v>
      </c>
      <c r="I5542" s="81" t="s">
        <v>3203</v>
      </c>
      <c r="J5542" s="81" t="s">
        <v>6343</v>
      </c>
    </row>
    <row r="5543" hidden="1">
      <c r="A5543" s="83" t="s">
        <v>6339</v>
      </c>
      <c r="B5543" s="83" t="s">
        <v>6340</v>
      </c>
      <c r="C5543" s="81" t="s">
        <v>4621</v>
      </c>
      <c r="D5543" s="83" t="s">
        <v>4688</v>
      </c>
      <c r="E5543" s="81" t="s">
        <v>3254</v>
      </c>
      <c r="F5543" s="81">
        <v>621.0</v>
      </c>
      <c r="G5543" s="81" t="s">
        <v>41</v>
      </c>
      <c r="H5543" s="81" t="s">
        <v>3212</v>
      </c>
      <c r="I5543" s="81" t="s">
        <v>3203</v>
      </c>
      <c r="J5543" s="81" t="s">
        <v>6343</v>
      </c>
    </row>
    <row r="5544" hidden="1">
      <c r="A5544" s="83" t="s">
        <v>6339</v>
      </c>
      <c r="B5544" s="83" t="s">
        <v>6340</v>
      </c>
      <c r="C5544" s="81" t="s">
        <v>4621</v>
      </c>
      <c r="D5544" s="83" t="s">
        <v>4689</v>
      </c>
      <c r="E5544" s="81" t="s">
        <v>3257</v>
      </c>
      <c r="F5544" s="81">
        <v>622.0</v>
      </c>
      <c r="G5544" s="81" t="s">
        <v>41</v>
      </c>
      <c r="H5544" s="81" t="s">
        <v>3257</v>
      </c>
      <c r="I5544" s="81" t="s">
        <v>3261</v>
      </c>
      <c r="J5544" s="81" t="s">
        <v>6343</v>
      </c>
    </row>
    <row r="5545" hidden="1">
      <c r="A5545" s="83" t="s">
        <v>6339</v>
      </c>
      <c r="B5545" s="83" t="s">
        <v>6340</v>
      </c>
      <c r="C5545" s="81" t="s">
        <v>4621</v>
      </c>
      <c r="D5545" s="83" t="s">
        <v>4689</v>
      </c>
      <c r="E5545" s="81" t="s">
        <v>3266</v>
      </c>
      <c r="F5545" s="81">
        <v>623.0</v>
      </c>
      <c r="G5545" s="81" t="s">
        <v>41</v>
      </c>
      <c r="H5545" s="81" t="s">
        <v>3257</v>
      </c>
      <c r="I5545" s="81" t="s">
        <v>3261</v>
      </c>
      <c r="J5545" s="81" t="s">
        <v>6343</v>
      </c>
    </row>
    <row r="5546" hidden="1">
      <c r="A5546" s="83" t="s">
        <v>6339</v>
      </c>
      <c r="B5546" s="83" t="s">
        <v>6340</v>
      </c>
      <c r="C5546" s="81" t="s">
        <v>4621</v>
      </c>
      <c r="D5546" s="83" t="s">
        <v>4690</v>
      </c>
      <c r="E5546" s="81" t="s">
        <v>3267</v>
      </c>
      <c r="F5546" s="81">
        <v>624.0</v>
      </c>
      <c r="G5546" s="81" t="s">
        <v>41</v>
      </c>
      <c r="H5546" s="81" t="s">
        <v>3257</v>
      </c>
      <c r="I5546" s="81" t="s">
        <v>3261</v>
      </c>
      <c r="J5546" s="81" t="s">
        <v>6343</v>
      </c>
    </row>
    <row r="5547" hidden="1">
      <c r="A5547" s="83" t="s">
        <v>6339</v>
      </c>
      <c r="B5547" s="83" t="s">
        <v>6340</v>
      </c>
      <c r="C5547" s="81" t="s">
        <v>4621</v>
      </c>
      <c r="D5547" s="83" t="s">
        <v>4691</v>
      </c>
      <c r="E5547" s="81" t="s">
        <v>3270</v>
      </c>
      <c r="F5547" s="81">
        <v>625.0</v>
      </c>
      <c r="G5547" s="81" t="s">
        <v>41</v>
      </c>
      <c r="H5547" s="81" t="s">
        <v>3270</v>
      </c>
      <c r="I5547" s="81" t="s">
        <v>3275</v>
      </c>
      <c r="J5547" s="81" t="s">
        <v>6343</v>
      </c>
    </row>
    <row r="5548" hidden="1">
      <c r="A5548" s="83" t="s">
        <v>6339</v>
      </c>
      <c r="B5548" s="83" t="s">
        <v>6340</v>
      </c>
      <c r="C5548" s="81" t="s">
        <v>4621</v>
      </c>
      <c r="D5548" s="83" t="s">
        <v>4691</v>
      </c>
      <c r="E5548" s="81" t="s">
        <v>3280</v>
      </c>
      <c r="F5548" s="81">
        <v>626.0</v>
      </c>
      <c r="G5548" s="81" t="s">
        <v>41</v>
      </c>
      <c r="H5548" s="81" t="s">
        <v>3270</v>
      </c>
      <c r="I5548" s="81" t="s">
        <v>3275</v>
      </c>
      <c r="J5548" s="81" t="s">
        <v>6343</v>
      </c>
    </row>
    <row r="5549" hidden="1">
      <c r="A5549" s="83" t="s">
        <v>6339</v>
      </c>
      <c r="B5549" s="83" t="s">
        <v>6340</v>
      </c>
      <c r="C5549" s="81" t="s">
        <v>4621</v>
      </c>
      <c r="D5549" s="83" t="s">
        <v>4693</v>
      </c>
      <c r="E5549" s="81" t="s">
        <v>3281</v>
      </c>
      <c r="F5549" s="81">
        <v>627.0</v>
      </c>
      <c r="G5549" s="81" t="s">
        <v>41</v>
      </c>
      <c r="H5549" s="81" t="s">
        <v>3270</v>
      </c>
      <c r="I5549" s="81" t="s">
        <v>3275</v>
      </c>
      <c r="J5549" s="81" t="s">
        <v>6343</v>
      </c>
    </row>
    <row r="5550" hidden="1">
      <c r="A5550" s="83" t="s">
        <v>6339</v>
      </c>
      <c r="B5550" s="83" t="s">
        <v>6340</v>
      </c>
      <c r="C5550" s="81" t="s">
        <v>4621</v>
      </c>
      <c r="D5550" s="83" t="s">
        <v>4694</v>
      </c>
      <c r="E5550" s="81" t="s">
        <v>3284</v>
      </c>
      <c r="F5550" s="81">
        <v>628.0</v>
      </c>
      <c r="G5550" s="81" t="s">
        <v>41</v>
      </c>
      <c r="H5550" s="81" t="s">
        <v>3284</v>
      </c>
      <c r="I5550" s="81" t="s">
        <v>3290</v>
      </c>
      <c r="J5550" s="81" t="s">
        <v>6343</v>
      </c>
    </row>
    <row r="5551" hidden="1">
      <c r="A5551" s="83" t="s">
        <v>6339</v>
      </c>
      <c r="B5551" s="83" t="s">
        <v>6340</v>
      </c>
      <c r="C5551" s="81" t="s">
        <v>4621</v>
      </c>
      <c r="D5551" s="83" t="s">
        <v>4694</v>
      </c>
      <c r="E5551" s="81" t="s">
        <v>3295</v>
      </c>
      <c r="F5551" s="81">
        <v>629.0</v>
      </c>
      <c r="G5551" s="81" t="s">
        <v>41</v>
      </c>
      <c r="H5551" s="81" t="s">
        <v>3284</v>
      </c>
      <c r="I5551" s="81" t="s">
        <v>3290</v>
      </c>
      <c r="J5551" s="81" t="s">
        <v>6343</v>
      </c>
    </row>
    <row r="5552" hidden="1">
      <c r="A5552" s="83" t="s">
        <v>6339</v>
      </c>
      <c r="B5552" s="83" t="s">
        <v>6340</v>
      </c>
      <c r="C5552" s="81" t="s">
        <v>4621</v>
      </c>
      <c r="D5552" s="83" t="s">
        <v>4696</v>
      </c>
      <c r="E5552" s="81" t="s">
        <v>3296</v>
      </c>
      <c r="F5552" s="81">
        <v>630.0</v>
      </c>
      <c r="G5552" s="81" t="s">
        <v>41</v>
      </c>
      <c r="H5552" s="81" t="s">
        <v>3284</v>
      </c>
      <c r="I5552" s="81" t="s">
        <v>3290</v>
      </c>
      <c r="J5552" s="81" t="s">
        <v>6343</v>
      </c>
    </row>
    <row r="5553" hidden="1">
      <c r="A5553" s="83" t="s">
        <v>6339</v>
      </c>
      <c r="B5553" s="83" t="s">
        <v>6340</v>
      </c>
      <c r="C5553" s="81" t="s">
        <v>4621</v>
      </c>
      <c r="D5553" s="83" t="s">
        <v>4697</v>
      </c>
      <c r="E5553" s="81" t="s">
        <v>3299</v>
      </c>
      <c r="F5553" s="81">
        <v>631.0</v>
      </c>
      <c r="G5553" s="81" t="s">
        <v>41</v>
      </c>
      <c r="H5553" s="81" t="s">
        <v>3299</v>
      </c>
      <c r="I5553" s="81" t="s">
        <v>3306</v>
      </c>
      <c r="J5553" s="81" t="s">
        <v>6343</v>
      </c>
    </row>
    <row r="5554" hidden="1">
      <c r="A5554" s="83" t="s">
        <v>6339</v>
      </c>
      <c r="B5554" s="83" t="s">
        <v>6340</v>
      </c>
      <c r="C5554" s="81" t="s">
        <v>4621</v>
      </c>
      <c r="D5554" s="83" t="s">
        <v>4697</v>
      </c>
      <c r="E5554" s="81" t="s">
        <v>3311</v>
      </c>
      <c r="F5554" s="81">
        <v>632.0</v>
      </c>
      <c r="G5554" s="81" t="s">
        <v>41</v>
      </c>
      <c r="H5554" s="81" t="s">
        <v>3299</v>
      </c>
      <c r="I5554" s="81" t="s">
        <v>3306</v>
      </c>
      <c r="J5554" s="81" t="s">
        <v>6343</v>
      </c>
    </row>
    <row r="5555" hidden="1">
      <c r="A5555" s="83" t="s">
        <v>6339</v>
      </c>
      <c r="B5555" s="83" t="s">
        <v>6340</v>
      </c>
      <c r="C5555" s="81" t="s">
        <v>4621</v>
      </c>
      <c r="D5555" s="83" t="s">
        <v>4698</v>
      </c>
      <c r="E5555" s="81" t="s">
        <v>3312</v>
      </c>
      <c r="F5555" s="81">
        <v>633.0</v>
      </c>
      <c r="G5555" s="81" t="s">
        <v>41</v>
      </c>
      <c r="H5555" s="81" t="s">
        <v>3299</v>
      </c>
      <c r="I5555" s="81" t="s">
        <v>3306</v>
      </c>
      <c r="J5555" s="81" t="s">
        <v>6343</v>
      </c>
    </row>
    <row r="5556" hidden="1">
      <c r="A5556" s="83" t="s">
        <v>6339</v>
      </c>
      <c r="B5556" s="83" t="s">
        <v>6340</v>
      </c>
      <c r="C5556" s="81" t="s">
        <v>4621</v>
      </c>
      <c r="D5556" s="83" t="s">
        <v>4699</v>
      </c>
      <c r="E5556" s="81" t="s">
        <v>3315</v>
      </c>
      <c r="F5556" s="81">
        <v>634.0</v>
      </c>
      <c r="G5556" s="81" t="s">
        <v>41</v>
      </c>
      <c r="H5556" s="81" t="s">
        <v>3315</v>
      </c>
      <c r="I5556" s="81" t="s">
        <v>3324</v>
      </c>
      <c r="J5556" s="81" t="s">
        <v>6343</v>
      </c>
    </row>
    <row r="5557" hidden="1">
      <c r="A5557" s="83" t="s">
        <v>6339</v>
      </c>
      <c r="B5557" s="83" t="s">
        <v>6340</v>
      </c>
      <c r="C5557" s="81" t="s">
        <v>4621</v>
      </c>
      <c r="D5557" s="83" t="s">
        <v>4699</v>
      </c>
      <c r="E5557" s="81" t="s">
        <v>3328</v>
      </c>
      <c r="F5557" s="81">
        <v>635.0</v>
      </c>
      <c r="G5557" s="81" t="s">
        <v>41</v>
      </c>
      <c r="H5557" s="81" t="s">
        <v>3315</v>
      </c>
      <c r="I5557" s="81" t="s">
        <v>3324</v>
      </c>
      <c r="J5557" s="81" t="s">
        <v>6343</v>
      </c>
    </row>
    <row r="5558" hidden="1">
      <c r="A5558" s="83" t="s">
        <v>6339</v>
      </c>
      <c r="B5558" s="83" t="s">
        <v>6340</v>
      </c>
      <c r="C5558" s="81" t="s">
        <v>4621</v>
      </c>
      <c r="D5558" s="83" t="s">
        <v>4701</v>
      </c>
      <c r="E5558" s="81" t="s">
        <v>3329</v>
      </c>
      <c r="F5558" s="81">
        <v>636.0</v>
      </c>
      <c r="G5558" s="81" t="s">
        <v>41</v>
      </c>
      <c r="H5558" s="81" t="s">
        <v>3315</v>
      </c>
      <c r="I5558" s="81" t="s">
        <v>3324</v>
      </c>
      <c r="J5558" s="81" t="s">
        <v>6343</v>
      </c>
    </row>
    <row r="5559" hidden="1">
      <c r="A5559" s="83" t="s">
        <v>6339</v>
      </c>
      <c r="B5559" s="83" t="s">
        <v>6340</v>
      </c>
      <c r="C5559" s="81" t="s">
        <v>4621</v>
      </c>
      <c r="D5559" s="83" t="s">
        <v>4703</v>
      </c>
      <c r="E5559" s="81" t="s">
        <v>3339</v>
      </c>
      <c r="F5559" s="81">
        <v>637.0</v>
      </c>
      <c r="G5559" s="81" t="s">
        <v>41</v>
      </c>
      <c r="H5559" s="81" t="s">
        <v>3362</v>
      </c>
      <c r="I5559" s="81" t="s">
        <v>3348</v>
      </c>
      <c r="J5559" s="81" t="s">
        <v>6343</v>
      </c>
    </row>
    <row r="5560" hidden="1">
      <c r="A5560" s="83" t="s">
        <v>6339</v>
      </c>
      <c r="B5560" s="83" t="s">
        <v>6340</v>
      </c>
      <c r="C5560" s="81" t="s">
        <v>4621</v>
      </c>
      <c r="D5560" s="83" t="s">
        <v>4703</v>
      </c>
      <c r="E5560" s="81" t="s">
        <v>3353</v>
      </c>
      <c r="F5560" s="81">
        <v>638.0</v>
      </c>
      <c r="G5560" s="81" t="s">
        <v>41</v>
      </c>
      <c r="H5560" s="81" t="s">
        <v>3362</v>
      </c>
      <c r="I5560" s="81" t="s">
        <v>3348</v>
      </c>
      <c r="J5560" s="81" t="s">
        <v>6343</v>
      </c>
    </row>
    <row r="5561" hidden="1">
      <c r="A5561" s="83" t="s">
        <v>6339</v>
      </c>
      <c r="B5561" s="83" t="s">
        <v>6340</v>
      </c>
      <c r="C5561" s="81" t="s">
        <v>4621</v>
      </c>
      <c r="D5561" s="83" t="s">
        <v>4705</v>
      </c>
      <c r="E5561" s="81" t="s">
        <v>3354</v>
      </c>
      <c r="F5561" s="81">
        <v>639.0</v>
      </c>
      <c r="G5561" s="81" t="s">
        <v>41</v>
      </c>
      <c r="H5561" s="81" t="s">
        <v>3362</v>
      </c>
      <c r="I5561" s="81" t="s">
        <v>3348</v>
      </c>
      <c r="J5561" s="81" t="s">
        <v>6343</v>
      </c>
    </row>
    <row r="5562" hidden="1">
      <c r="A5562" s="83" t="s">
        <v>6339</v>
      </c>
      <c r="B5562" s="83" t="s">
        <v>6340</v>
      </c>
      <c r="C5562" s="81" t="s">
        <v>4621</v>
      </c>
      <c r="D5562" s="83" t="s">
        <v>4706</v>
      </c>
      <c r="E5562" s="81" t="s">
        <v>3359</v>
      </c>
      <c r="F5562" s="81">
        <v>640.0</v>
      </c>
      <c r="G5562" s="81" t="s">
        <v>41</v>
      </c>
      <c r="H5562" s="81" t="s">
        <v>3362</v>
      </c>
      <c r="I5562" s="81" t="s">
        <v>3348</v>
      </c>
      <c r="J5562" s="81" t="s">
        <v>6343</v>
      </c>
    </row>
    <row r="5563" hidden="1">
      <c r="A5563" s="83" t="s">
        <v>6339</v>
      </c>
      <c r="B5563" s="83" t="s">
        <v>6340</v>
      </c>
      <c r="C5563" s="81" t="s">
        <v>4082</v>
      </c>
      <c r="D5563" s="83" t="s">
        <v>4707</v>
      </c>
      <c r="E5563" s="81" t="s">
        <v>3362</v>
      </c>
      <c r="F5563" s="81">
        <v>641.0</v>
      </c>
      <c r="G5563" s="81" t="s">
        <v>39</v>
      </c>
      <c r="H5563" s="81" t="s">
        <v>224</v>
      </c>
      <c r="I5563" s="81" t="s">
        <v>224</v>
      </c>
      <c r="J5563" s="81" t="s">
        <v>6096</v>
      </c>
    </row>
    <row r="5564" hidden="1">
      <c r="A5564" s="83" t="s">
        <v>6339</v>
      </c>
      <c r="B5564" s="83" t="s">
        <v>6340</v>
      </c>
      <c r="C5564" s="81" t="s">
        <v>4621</v>
      </c>
      <c r="D5564" s="83" t="s">
        <v>4707</v>
      </c>
      <c r="E5564" s="81" t="s">
        <v>3362</v>
      </c>
      <c r="F5564" s="81">
        <v>641.0</v>
      </c>
      <c r="G5564" s="81" t="s">
        <v>41</v>
      </c>
      <c r="H5564" s="81" t="s">
        <v>3362</v>
      </c>
      <c r="I5564" s="81" t="s">
        <v>3348</v>
      </c>
      <c r="J5564" s="81" t="s">
        <v>6343</v>
      </c>
    </row>
    <row r="5565" hidden="1">
      <c r="A5565" s="83" t="s">
        <v>6339</v>
      </c>
      <c r="B5565" s="83" t="s">
        <v>6340</v>
      </c>
      <c r="C5565" s="81" t="s">
        <v>4621</v>
      </c>
      <c r="D5565" s="83" t="s">
        <v>4707</v>
      </c>
      <c r="E5565" s="81" t="s">
        <v>3369</v>
      </c>
      <c r="F5565" s="81">
        <v>642.0</v>
      </c>
      <c r="G5565" s="81" t="s">
        <v>41</v>
      </c>
      <c r="H5565" s="81" t="s">
        <v>3362</v>
      </c>
      <c r="I5565" s="81" t="s">
        <v>3348</v>
      </c>
      <c r="J5565" s="81" t="s">
        <v>6343</v>
      </c>
    </row>
    <row r="5566" hidden="1">
      <c r="A5566" s="83" t="s">
        <v>6339</v>
      </c>
      <c r="B5566" s="83" t="s">
        <v>6340</v>
      </c>
      <c r="C5566" s="81" t="s">
        <v>4082</v>
      </c>
      <c r="D5566" s="83" t="s">
        <v>4709</v>
      </c>
      <c r="E5566" s="81" t="s">
        <v>3370</v>
      </c>
      <c r="F5566" s="81">
        <v>643.0</v>
      </c>
      <c r="G5566" s="81" t="s">
        <v>39</v>
      </c>
      <c r="H5566" s="81" t="s">
        <v>224</v>
      </c>
      <c r="I5566" s="81" t="s">
        <v>224</v>
      </c>
      <c r="J5566" s="81" t="s">
        <v>6101</v>
      </c>
    </row>
    <row r="5567" hidden="1">
      <c r="A5567" s="83" t="s">
        <v>6339</v>
      </c>
      <c r="B5567" s="83" t="s">
        <v>6340</v>
      </c>
      <c r="C5567" s="81" t="s">
        <v>4621</v>
      </c>
      <c r="D5567" s="83" t="s">
        <v>4709</v>
      </c>
      <c r="E5567" s="81" t="s">
        <v>3370</v>
      </c>
      <c r="F5567" s="81">
        <v>643.0</v>
      </c>
      <c r="G5567" s="81" t="s">
        <v>41</v>
      </c>
      <c r="H5567" s="81" t="s">
        <v>3362</v>
      </c>
      <c r="I5567" s="81" t="s">
        <v>3348</v>
      </c>
      <c r="J5567" s="81" t="s">
        <v>6343</v>
      </c>
    </row>
    <row r="5568" hidden="1">
      <c r="A5568" s="83" t="s">
        <v>6339</v>
      </c>
      <c r="B5568" s="83" t="s">
        <v>6340</v>
      </c>
      <c r="C5568" s="81" t="s">
        <v>4621</v>
      </c>
      <c r="D5568" s="83" t="s">
        <v>4710</v>
      </c>
      <c r="E5568" s="81" t="s">
        <v>3372</v>
      </c>
      <c r="F5568" s="81">
        <v>644.0</v>
      </c>
      <c r="G5568" s="81" t="s">
        <v>41</v>
      </c>
      <c r="H5568" s="81" t="s">
        <v>3362</v>
      </c>
      <c r="I5568" s="81" t="s">
        <v>3348</v>
      </c>
      <c r="J5568" s="81" t="s">
        <v>6343</v>
      </c>
    </row>
    <row r="5569" hidden="1">
      <c r="A5569" s="83" t="s">
        <v>6339</v>
      </c>
      <c r="B5569" s="83" t="s">
        <v>6340</v>
      </c>
      <c r="C5569" s="81" t="s">
        <v>4621</v>
      </c>
      <c r="D5569" s="83" t="s">
        <v>4711</v>
      </c>
      <c r="E5569" s="81" t="s">
        <v>3375</v>
      </c>
      <c r="F5569" s="81">
        <v>645.0</v>
      </c>
      <c r="G5569" s="81" t="s">
        <v>41</v>
      </c>
      <c r="H5569" s="81" t="s">
        <v>3375</v>
      </c>
      <c r="I5569" s="81" t="s">
        <v>3384</v>
      </c>
      <c r="J5569" s="81" t="s">
        <v>6343</v>
      </c>
    </row>
    <row r="5570" hidden="1">
      <c r="A5570" s="83" t="s">
        <v>6339</v>
      </c>
      <c r="B5570" s="83" t="s">
        <v>6340</v>
      </c>
      <c r="C5570" s="81" t="s">
        <v>4621</v>
      </c>
      <c r="D5570" s="83" t="s">
        <v>4711</v>
      </c>
      <c r="E5570" s="81" t="s">
        <v>3389</v>
      </c>
      <c r="F5570" s="81">
        <v>646.0</v>
      </c>
      <c r="G5570" s="81" t="s">
        <v>41</v>
      </c>
      <c r="H5570" s="81" t="s">
        <v>3375</v>
      </c>
      <c r="I5570" s="81" t="s">
        <v>3384</v>
      </c>
      <c r="J5570" s="81" t="s">
        <v>6343</v>
      </c>
    </row>
    <row r="5571" hidden="1">
      <c r="A5571" s="83" t="s">
        <v>6339</v>
      </c>
      <c r="B5571" s="83" t="s">
        <v>6340</v>
      </c>
      <c r="C5571" s="81" t="s">
        <v>4621</v>
      </c>
      <c r="D5571" s="83" t="s">
        <v>4713</v>
      </c>
      <c r="E5571" s="81" t="s">
        <v>3390</v>
      </c>
      <c r="F5571" s="81">
        <v>647.0</v>
      </c>
      <c r="G5571" s="81" t="s">
        <v>41</v>
      </c>
      <c r="H5571" s="81" t="s">
        <v>3375</v>
      </c>
      <c r="I5571" s="81" t="s">
        <v>3384</v>
      </c>
      <c r="J5571" s="81" t="s">
        <v>6343</v>
      </c>
    </row>
    <row r="5572" hidden="1">
      <c r="A5572" s="83" t="s">
        <v>6339</v>
      </c>
      <c r="B5572" s="83" t="s">
        <v>6340</v>
      </c>
      <c r="C5572" s="81" t="s">
        <v>4621</v>
      </c>
      <c r="D5572" s="83" t="s">
        <v>4715</v>
      </c>
      <c r="E5572" s="81" t="s">
        <v>3402</v>
      </c>
      <c r="F5572" s="81">
        <v>648.0</v>
      </c>
      <c r="G5572" s="81" t="s">
        <v>41</v>
      </c>
      <c r="H5572" s="81" t="s">
        <v>3402</v>
      </c>
      <c r="I5572" s="81" t="s">
        <v>3409</v>
      </c>
      <c r="J5572" s="81" t="s">
        <v>6343</v>
      </c>
    </row>
    <row r="5573" hidden="1">
      <c r="A5573" s="83" t="s">
        <v>6339</v>
      </c>
      <c r="B5573" s="83" t="s">
        <v>6340</v>
      </c>
      <c r="C5573" s="81" t="s">
        <v>4621</v>
      </c>
      <c r="D5573" s="83" t="s">
        <v>4717</v>
      </c>
      <c r="E5573" s="81" t="s">
        <v>3414</v>
      </c>
      <c r="F5573" s="81">
        <v>649.0</v>
      </c>
      <c r="G5573" s="81" t="s">
        <v>41</v>
      </c>
      <c r="H5573" s="81" t="s">
        <v>3414</v>
      </c>
      <c r="I5573" s="81" t="s">
        <v>3422</v>
      </c>
      <c r="J5573" s="81" t="s">
        <v>6343</v>
      </c>
    </row>
    <row r="5574" hidden="1">
      <c r="A5574" s="83" t="s">
        <v>6339</v>
      </c>
      <c r="B5574" s="83" t="s">
        <v>6340</v>
      </c>
      <c r="C5574" s="81" t="s">
        <v>4621</v>
      </c>
      <c r="D5574" s="83" t="s">
        <v>4719</v>
      </c>
      <c r="E5574" s="81" t="s">
        <v>3427</v>
      </c>
      <c r="F5574" s="81">
        <v>650.0</v>
      </c>
      <c r="G5574" s="81" t="s">
        <v>41</v>
      </c>
      <c r="H5574" s="81" t="s">
        <v>3427</v>
      </c>
      <c r="I5574" s="81" t="s">
        <v>3434</v>
      </c>
      <c r="J5574" s="81" t="s">
        <v>6343</v>
      </c>
    </row>
    <row r="5575" hidden="1">
      <c r="A5575" s="83" t="s">
        <v>6339</v>
      </c>
      <c r="B5575" s="83" t="s">
        <v>6340</v>
      </c>
      <c r="C5575" s="81" t="s">
        <v>4621</v>
      </c>
      <c r="D5575" s="83" t="s">
        <v>4721</v>
      </c>
      <c r="E5575" s="81" t="s">
        <v>3439</v>
      </c>
      <c r="F5575" s="81">
        <v>651.0</v>
      </c>
      <c r="G5575" s="81" t="s">
        <v>41</v>
      </c>
      <c r="H5575" s="81" t="s">
        <v>3439</v>
      </c>
      <c r="I5575" s="81" t="s">
        <v>3446</v>
      </c>
      <c r="J5575" s="81" t="s">
        <v>6343</v>
      </c>
    </row>
    <row r="5576" hidden="1">
      <c r="A5576" s="83" t="s">
        <v>6339</v>
      </c>
      <c r="B5576" s="83" t="s">
        <v>6340</v>
      </c>
      <c r="C5576" s="81" t="s">
        <v>4621</v>
      </c>
      <c r="D5576" s="83" t="s">
        <v>4721</v>
      </c>
      <c r="E5576" s="81" t="s">
        <v>3451</v>
      </c>
      <c r="F5576" s="81">
        <v>652.0</v>
      </c>
      <c r="G5576" s="81" t="s">
        <v>41</v>
      </c>
      <c r="H5576" s="81" t="s">
        <v>3439</v>
      </c>
      <c r="I5576" s="81" t="s">
        <v>3446</v>
      </c>
      <c r="J5576" s="81" t="s">
        <v>6343</v>
      </c>
    </row>
    <row r="5577" hidden="1">
      <c r="A5577" s="83" t="s">
        <v>6339</v>
      </c>
      <c r="B5577" s="83" t="s">
        <v>6340</v>
      </c>
      <c r="C5577" s="81" t="s">
        <v>4621</v>
      </c>
      <c r="D5577" s="83" t="s">
        <v>4723</v>
      </c>
      <c r="E5577" s="81" t="s">
        <v>3452</v>
      </c>
      <c r="F5577" s="81">
        <v>653.0</v>
      </c>
      <c r="G5577" s="81" t="s">
        <v>41</v>
      </c>
      <c r="H5577" s="81" t="s">
        <v>3439</v>
      </c>
      <c r="I5577" s="81" t="s">
        <v>3446</v>
      </c>
      <c r="J5577" s="81" t="s">
        <v>6343</v>
      </c>
    </row>
    <row r="5578" hidden="1">
      <c r="A5578" s="83" t="s">
        <v>6339</v>
      </c>
      <c r="B5578" s="83" t="s">
        <v>6340</v>
      </c>
      <c r="C5578" s="81" t="s">
        <v>4621</v>
      </c>
      <c r="D5578" s="83" t="s">
        <v>4724</v>
      </c>
      <c r="E5578" s="81" t="s">
        <v>3462</v>
      </c>
      <c r="F5578" s="81">
        <v>654.0</v>
      </c>
      <c r="G5578" s="81" t="s">
        <v>41</v>
      </c>
      <c r="H5578" s="81" t="s">
        <v>3462</v>
      </c>
      <c r="I5578" s="81" t="s">
        <v>3468</v>
      </c>
      <c r="J5578" s="81" t="s">
        <v>6343</v>
      </c>
    </row>
    <row r="5579" hidden="1">
      <c r="A5579" s="83" t="s">
        <v>6339</v>
      </c>
      <c r="B5579" s="83" t="s">
        <v>6340</v>
      </c>
      <c r="C5579" s="81" t="s">
        <v>4621</v>
      </c>
      <c r="D5579" s="83" t="s">
        <v>4724</v>
      </c>
      <c r="E5579" s="81" t="s">
        <v>3473</v>
      </c>
      <c r="F5579" s="81">
        <v>655.0</v>
      </c>
      <c r="G5579" s="81" t="s">
        <v>41</v>
      </c>
      <c r="H5579" s="81" t="s">
        <v>3462</v>
      </c>
      <c r="I5579" s="81" t="s">
        <v>3468</v>
      </c>
      <c r="J5579" s="81" t="s">
        <v>6343</v>
      </c>
    </row>
    <row r="5580" hidden="1">
      <c r="A5580" s="83" t="s">
        <v>6339</v>
      </c>
      <c r="B5580" s="83" t="s">
        <v>6340</v>
      </c>
      <c r="C5580" s="81" t="s">
        <v>4621</v>
      </c>
      <c r="D5580" s="83" t="s">
        <v>4726</v>
      </c>
      <c r="E5580" s="81" t="s">
        <v>3474</v>
      </c>
      <c r="F5580" s="81">
        <v>656.0</v>
      </c>
      <c r="G5580" s="81" t="s">
        <v>41</v>
      </c>
      <c r="H5580" s="81" t="s">
        <v>3462</v>
      </c>
      <c r="I5580" s="81" t="s">
        <v>3468</v>
      </c>
      <c r="J5580" s="81" t="s">
        <v>6343</v>
      </c>
    </row>
    <row r="5581" hidden="1">
      <c r="A5581" s="83" t="s">
        <v>6339</v>
      </c>
      <c r="B5581" s="83" t="s">
        <v>6340</v>
      </c>
      <c r="C5581" s="81" t="s">
        <v>4621</v>
      </c>
      <c r="D5581" s="83" t="s">
        <v>4727</v>
      </c>
      <c r="E5581" s="81" t="s">
        <v>3483</v>
      </c>
      <c r="F5581" s="81">
        <v>657.0</v>
      </c>
      <c r="G5581" s="81" t="s">
        <v>41</v>
      </c>
      <c r="H5581" s="81" t="s">
        <v>3483</v>
      </c>
      <c r="I5581" s="81" t="s">
        <v>3491</v>
      </c>
      <c r="J5581" s="81" t="s">
        <v>6343</v>
      </c>
    </row>
    <row r="5582" hidden="1">
      <c r="A5582" s="83" t="s">
        <v>6339</v>
      </c>
      <c r="B5582" s="83" t="s">
        <v>6340</v>
      </c>
      <c r="C5582" s="81" t="s">
        <v>4621</v>
      </c>
      <c r="D5582" s="83" t="s">
        <v>4727</v>
      </c>
      <c r="E5582" s="81" t="s">
        <v>3496</v>
      </c>
      <c r="F5582" s="81">
        <v>658.0</v>
      </c>
      <c r="G5582" s="81" t="s">
        <v>41</v>
      </c>
      <c r="H5582" s="81" t="s">
        <v>3483</v>
      </c>
      <c r="I5582" s="81" t="s">
        <v>3491</v>
      </c>
      <c r="J5582" s="81" t="s">
        <v>6343</v>
      </c>
    </row>
    <row r="5583" hidden="1">
      <c r="A5583" s="83" t="s">
        <v>6339</v>
      </c>
      <c r="B5583" s="83" t="s">
        <v>6340</v>
      </c>
      <c r="C5583" s="81" t="s">
        <v>4621</v>
      </c>
      <c r="D5583" s="83" t="s">
        <v>4729</v>
      </c>
      <c r="E5583" s="81" t="s">
        <v>3497</v>
      </c>
      <c r="F5583" s="81">
        <v>659.0</v>
      </c>
      <c r="G5583" s="81" t="s">
        <v>41</v>
      </c>
      <c r="H5583" s="81" t="s">
        <v>3483</v>
      </c>
      <c r="I5583" s="81" t="s">
        <v>3491</v>
      </c>
      <c r="J5583" s="81" t="s">
        <v>6343</v>
      </c>
    </row>
    <row r="5584" hidden="1">
      <c r="A5584" s="83" t="s">
        <v>6339</v>
      </c>
      <c r="B5584" s="83" t="s">
        <v>6340</v>
      </c>
      <c r="C5584" s="81" t="s">
        <v>4621</v>
      </c>
      <c r="D5584" s="83" t="s">
        <v>4730</v>
      </c>
      <c r="E5584" s="81" t="s">
        <v>3500</v>
      </c>
      <c r="F5584" s="81">
        <v>660.0</v>
      </c>
      <c r="G5584" s="81" t="s">
        <v>41</v>
      </c>
      <c r="H5584" s="81" t="s">
        <v>3483</v>
      </c>
      <c r="I5584" s="81" t="s">
        <v>3491</v>
      </c>
      <c r="J5584" s="81" t="s">
        <v>6343</v>
      </c>
    </row>
    <row r="5585" hidden="1">
      <c r="A5585" s="83" t="s">
        <v>6339</v>
      </c>
      <c r="B5585" s="83" t="s">
        <v>6340</v>
      </c>
      <c r="C5585" s="81" t="s">
        <v>4621</v>
      </c>
      <c r="D5585" s="83" t="s">
        <v>4731</v>
      </c>
      <c r="E5585" s="81" t="s">
        <v>3510</v>
      </c>
      <c r="F5585" s="81">
        <v>661.0</v>
      </c>
      <c r="G5585" s="81" t="s">
        <v>41</v>
      </c>
      <c r="H5585" s="81" t="s">
        <v>3483</v>
      </c>
      <c r="I5585" s="81" t="s">
        <v>3491</v>
      </c>
      <c r="J5585" s="81" t="s">
        <v>6343</v>
      </c>
    </row>
    <row r="5586" hidden="1">
      <c r="A5586" s="83" t="s">
        <v>6339</v>
      </c>
      <c r="B5586" s="83" t="s">
        <v>6340</v>
      </c>
      <c r="C5586" s="81" t="s">
        <v>4621</v>
      </c>
      <c r="D5586" s="83" t="s">
        <v>4732</v>
      </c>
      <c r="E5586" s="81" t="s">
        <v>3513</v>
      </c>
      <c r="F5586" s="81">
        <v>662.0</v>
      </c>
      <c r="G5586" s="81" t="s">
        <v>41</v>
      </c>
      <c r="H5586" s="81" t="s">
        <v>3513</v>
      </c>
      <c r="I5586" s="81" t="s">
        <v>3520</v>
      </c>
      <c r="J5586" s="81" t="s">
        <v>6343</v>
      </c>
    </row>
    <row r="5587" hidden="1">
      <c r="A5587" s="83" t="s">
        <v>6339</v>
      </c>
      <c r="B5587" s="83" t="s">
        <v>6340</v>
      </c>
      <c r="C5587" s="81" t="s">
        <v>4621</v>
      </c>
      <c r="D5587" s="83" t="s">
        <v>4732</v>
      </c>
      <c r="E5587" s="81" t="s">
        <v>3523</v>
      </c>
      <c r="F5587" s="81">
        <v>663.0</v>
      </c>
      <c r="G5587" s="81" t="s">
        <v>41</v>
      </c>
      <c r="H5587" s="81" t="s">
        <v>3513</v>
      </c>
      <c r="I5587" s="81" t="s">
        <v>3520</v>
      </c>
      <c r="J5587" s="81" t="s">
        <v>6343</v>
      </c>
    </row>
    <row r="5588" hidden="1">
      <c r="A5588" s="83" t="s">
        <v>6339</v>
      </c>
      <c r="B5588" s="83" t="s">
        <v>6340</v>
      </c>
      <c r="C5588" s="81" t="s">
        <v>4621</v>
      </c>
      <c r="D5588" s="83" t="s">
        <v>4734</v>
      </c>
      <c r="E5588" s="81" t="s">
        <v>3526</v>
      </c>
      <c r="F5588" s="81">
        <v>664.0</v>
      </c>
      <c r="G5588" s="81" t="s">
        <v>41</v>
      </c>
      <c r="H5588" s="81" t="s">
        <v>3513</v>
      </c>
      <c r="I5588" s="81" t="s">
        <v>3520</v>
      </c>
      <c r="J5588" s="81" t="s">
        <v>6343</v>
      </c>
    </row>
    <row r="5589" hidden="1">
      <c r="A5589" s="83" t="s">
        <v>6339</v>
      </c>
      <c r="B5589" s="83" t="s">
        <v>6340</v>
      </c>
      <c r="C5589" s="81" t="s">
        <v>4621</v>
      </c>
      <c r="D5589" s="83" t="s">
        <v>4735</v>
      </c>
      <c r="E5589" s="81" t="s">
        <v>3529</v>
      </c>
      <c r="F5589" s="81">
        <v>665.0</v>
      </c>
      <c r="G5589" s="81" t="s">
        <v>41</v>
      </c>
      <c r="H5589" s="81" t="s">
        <v>3529</v>
      </c>
      <c r="I5589" s="81" t="s">
        <v>3536</v>
      </c>
      <c r="J5589" s="81" t="s">
        <v>6343</v>
      </c>
    </row>
    <row r="5590" hidden="1">
      <c r="A5590" s="83" t="s">
        <v>6339</v>
      </c>
      <c r="B5590" s="83" t="s">
        <v>6340</v>
      </c>
      <c r="C5590" s="81" t="s">
        <v>4621</v>
      </c>
      <c r="D5590" s="83" t="s">
        <v>4735</v>
      </c>
      <c r="E5590" s="81" t="s">
        <v>3539</v>
      </c>
      <c r="F5590" s="81">
        <v>666.0</v>
      </c>
      <c r="G5590" s="81" t="s">
        <v>41</v>
      </c>
      <c r="H5590" s="81" t="s">
        <v>3529</v>
      </c>
      <c r="I5590" s="81" t="s">
        <v>3536</v>
      </c>
      <c r="J5590" s="81" t="s">
        <v>6343</v>
      </c>
    </row>
    <row r="5591" hidden="1">
      <c r="A5591" s="83" t="s">
        <v>6339</v>
      </c>
      <c r="B5591" s="83" t="s">
        <v>6340</v>
      </c>
      <c r="C5591" s="81" t="s">
        <v>4621</v>
      </c>
      <c r="D5591" s="83" t="s">
        <v>4737</v>
      </c>
      <c r="E5591" s="81" t="s">
        <v>3540</v>
      </c>
      <c r="F5591" s="81">
        <v>667.0</v>
      </c>
      <c r="G5591" s="81" t="s">
        <v>41</v>
      </c>
      <c r="H5591" s="81" t="s">
        <v>3529</v>
      </c>
      <c r="I5591" s="81" t="s">
        <v>3536</v>
      </c>
      <c r="J5591" s="81" t="s">
        <v>6343</v>
      </c>
    </row>
    <row r="5592" hidden="1">
      <c r="A5592" s="83" t="s">
        <v>6339</v>
      </c>
      <c r="B5592" s="83" t="s">
        <v>6340</v>
      </c>
      <c r="C5592" s="81" t="s">
        <v>4621</v>
      </c>
      <c r="D5592" s="83" t="s">
        <v>4738</v>
      </c>
      <c r="E5592" s="81" t="s">
        <v>3543</v>
      </c>
      <c r="F5592" s="81">
        <v>668.0</v>
      </c>
      <c r="G5592" s="81" t="s">
        <v>41</v>
      </c>
      <c r="H5592" s="81" t="s">
        <v>3543</v>
      </c>
      <c r="I5592" s="81" t="s">
        <v>3550</v>
      </c>
      <c r="J5592" s="81" t="s">
        <v>6343</v>
      </c>
    </row>
    <row r="5593" hidden="1">
      <c r="A5593" s="83" t="s">
        <v>6339</v>
      </c>
      <c r="B5593" s="83" t="s">
        <v>6340</v>
      </c>
      <c r="C5593" s="81" t="s">
        <v>4621</v>
      </c>
      <c r="D5593" s="83" t="s">
        <v>4738</v>
      </c>
      <c r="E5593" s="81" t="s">
        <v>3553</v>
      </c>
      <c r="F5593" s="81">
        <v>669.0</v>
      </c>
      <c r="G5593" s="81" t="s">
        <v>41</v>
      </c>
      <c r="H5593" s="81" t="s">
        <v>3543</v>
      </c>
      <c r="I5593" s="81" t="s">
        <v>3550</v>
      </c>
      <c r="J5593" s="81" t="s">
        <v>6343</v>
      </c>
    </row>
    <row r="5594" hidden="1">
      <c r="A5594" s="83" t="s">
        <v>6339</v>
      </c>
      <c r="B5594" s="83" t="s">
        <v>6340</v>
      </c>
      <c r="C5594" s="81" t="s">
        <v>4621</v>
      </c>
      <c r="D5594" s="83" t="s">
        <v>4740</v>
      </c>
      <c r="E5594" s="81" t="s">
        <v>3555</v>
      </c>
      <c r="F5594" s="81">
        <v>670.0</v>
      </c>
      <c r="G5594" s="81" t="s">
        <v>41</v>
      </c>
      <c r="H5594" s="81" t="s">
        <v>3543</v>
      </c>
      <c r="I5594" s="81" t="s">
        <v>3550</v>
      </c>
      <c r="J5594" s="81" t="s">
        <v>6343</v>
      </c>
    </row>
    <row r="5595" hidden="1">
      <c r="A5595" s="83" t="s">
        <v>6339</v>
      </c>
      <c r="B5595" s="83" t="s">
        <v>6340</v>
      </c>
      <c r="C5595" s="81" t="s">
        <v>4621</v>
      </c>
      <c r="D5595" s="83" t="s">
        <v>4741</v>
      </c>
      <c r="E5595" s="81" t="s">
        <v>3558</v>
      </c>
      <c r="F5595" s="81">
        <v>671.0</v>
      </c>
      <c r="G5595" s="81" t="s">
        <v>41</v>
      </c>
      <c r="H5595" s="81" t="s">
        <v>3558</v>
      </c>
      <c r="I5595" s="81" t="s">
        <v>3564</v>
      </c>
      <c r="J5595" s="81" t="s">
        <v>6343</v>
      </c>
    </row>
    <row r="5596" hidden="1">
      <c r="A5596" s="83" t="s">
        <v>6339</v>
      </c>
      <c r="B5596" s="83" t="s">
        <v>6340</v>
      </c>
      <c r="C5596" s="81" t="s">
        <v>4621</v>
      </c>
      <c r="D5596" s="83" t="s">
        <v>4741</v>
      </c>
      <c r="E5596" s="81" t="s">
        <v>3567</v>
      </c>
      <c r="F5596" s="81">
        <v>672.0</v>
      </c>
      <c r="G5596" s="81" t="s">
        <v>41</v>
      </c>
      <c r="H5596" s="81" t="s">
        <v>3558</v>
      </c>
      <c r="I5596" s="81" t="s">
        <v>3564</v>
      </c>
      <c r="J5596" s="81" t="s">
        <v>6343</v>
      </c>
    </row>
    <row r="5597" hidden="1">
      <c r="A5597" s="83" t="s">
        <v>6339</v>
      </c>
      <c r="B5597" s="83" t="s">
        <v>6340</v>
      </c>
      <c r="C5597" s="81" t="s">
        <v>4621</v>
      </c>
      <c r="D5597" s="83" t="s">
        <v>4743</v>
      </c>
      <c r="E5597" s="81" t="s">
        <v>3568</v>
      </c>
      <c r="F5597" s="81">
        <v>673.0</v>
      </c>
      <c r="G5597" s="81" t="s">
        <v>41</v>
      </c>
      <c r="H5597" s="81" t="s">
        <v>3558</v>
      </c>
      <c r="I5597" s="81" t="s">
        <v>3564</v>
      </c>
      <c r="J5597" s="81" t="s">
        <v>6343</v>
      </c>
    </row>
    <row r="5598" hidden="1">
      <c r="A5598" s="83" t="s">
        <v>6339</v>
      </c>
      <c r="B5598" s="83" t="s">
        <v>6340</v>
      </c>
      <c r="C5598" s="81" t="s">
        <v>4621</v>
      </c>
      <c r="D5598" s="83" t="s">
        <v>4744</v>
      </c>
      <c r="E5598" s="81" t="s">
        <v>3571</v>
      </c>
      <c r="F5598" s="81">
        <v>674.0</v>
      </c>
      <c r="G5598" s="81" t="s">
        <v>41</v>
      </c>
      <c r="H5598" s="81" t="s">
        <v>3571</v>
      </c>
      <c r="I5598" s="81" t="s">
        <v>3577</v>
      </c>
      <c r="J5598" s="81" t="s">
        <v>6343</v>
      </c>
    </row>
    <row r="5599" hidden="1">
      <c r="A5599" s="83" t="s">
        <v>6339</v>
      </c>
      <c r="B5599" s="83" t="s">
        <v>6340</v>
      </c>
      <c r="C5599" s="81" t="s">
        <v>4621</v>
      </c>
      <c r="D5599" s="83" t="s">
        <v>4744</v>
      </c>
      <c r="E5599" s="81" t="s">
        <v>3580</v>
      </c>
      <c r="F5599" s="81">
        <v>675.0</v>
      </c>
      <c r="G5599" s="81" t="s">
        <v>41</v>
      </c>
      <c r="H5599" s="81" t="s">
        <v>3571</v>
      </c>
      <c r="I5599" s="81" t="s">
        <v>3577</v>
      </c>
      <c r="J5599" s="81" t="s">
        <v>6343</v>
      </c>
    </row>
    <row r="5600" hidden="1">
      <c r="A5600" s="83" t="s">
        <v>6339</v>
      </c>
      <c r="B5600" s="83" t="s">
        <v>6340</v>
      </c>
      <c r="C5600" s="81" t="s">
        <v>4621</v>
      </c>
      <c r="D5600" s="83" t="s">
        <v>4747</v>
      </c>
      <c r="E5600" s="81" t="s">
        <v>3581</v>
      </c>
      <c r="F5600" s="81">
        <v>676.0</v>
      </c>
      <c r="G5600" s="81" t="s">
        <v>41</v>
      </c>
      <c r="H5600" s="81" t="s">
        <v>3571</v>
      </c>
      <c r="I5600" s="81" t="s">
        <v>3577</v>
      </c>
      <c r="J5600" s="81" t="s">
        <v>6343</v>
      </c>
    </row>
    <row r="5601" hidden="1">
      <c r="A5601" s="83" t="s">
        <v>6339</v>
      </c>
      <c r="B5601" s="83" t="s">
        <v>6340</v>
      </c>
      <c r="C5601" s="81" t="s">
        <v>4621</v>
      </c>
      <c r="D5601" s="83" t="s">
        <v>4749</v>
      </c>
      <c r="E5601" s="81" t="s">
        <v>3588</v>
      </c>
      <c r="F5601" s="81">
        <v>678.0</v>
      </c>
      <c r="G5601" s="81" t="s">
        <v>41</v>
      </c>
      <c r="H5601" s="81" t="s">
        <v>1923</v>
      </c>
      <c r="I5601" s="81" t="s">
        <v>1929</v>
      </c>
      <c r="J5601" s="81" t="s">
        <v>6343</v>
      </c>
    </row>
    <row r="5602" hidden="1">
      <c r="A5602" s="83" t="s">
        <v>6339</v>
      </c>
      <c r="B5602" s="83" t="s">
        <v>6340</v>
      </c>
      <c r="C5602" s="81" t="s">
        <v>4621</v>
      </c>
      <c r="D5602" s="83" t="s">
        <v>4749</v>
      </c>
      <c r="E5602" s="81" t="s">
        <v>3596</v>
      </c>
      <c r="F5602" s="81">
        <v>679.0</v>
      </c>
      <c r="G5602" s="81" t="s">
        <v>41</v>
      </c>
      <c r="H5602" s="81" t="s">
        <v>1923</v>
      </c>
      <c r="I5602" s="81" t="s">
        <v>1929</v>
      </c>
      <c r="J5602" s="81" t="s">
        <v>6343</v>
      </c>
    </row>
    <row r="5603" hidden="1">
      <c r="A5603" s="83" t="s">
        <v>6339</v>
      </c>
      <c r="B5603" s="83" t="s">
        <v>6340</v>
      </c>
      <c r="C5603" s="81" t="s">
        <v>4621</v>
      </c>
      <c r="D5603" s="83" t="s">
        <v>4750</v>
      </c>
      <c r="E5603" s="81" t="s">
        <v>3597</v>
      </c>
      <c r="F5603" s="81">
        <v>680.0</v>
      </c>
      <c r="G5603" s="81" t="s">
        <v>41</v>
      </c>
      <c r="H5603" s="81" t="s">
        <v>1923</v>
      </c>
      <c r="I5603" s="81" t="s">
        <v>1929</v>
      </c>
      <c r="J5603" s="81" t="s">
        <v>6343</v>
      </c>
    </row>
    <row r="5604" hidden="1">
      <c r="A5604" s="83" t="s">
        <v>6339</v>
      </c>
      <c r="B5604" s="83" t="s">
        <v>6340</v>
      </c>
      <c r="C5604" s="81" t="s">
        <v>4621</v>
      </c>
      <c r="D5604" s="83" t="s">
        <v>4753</v>
      </c>
      <c r="E5604" s="81" t="s">
        <v>3608</v>
      </c>
      <c r="F5604" s="81">
        <v>683.0</v>
      </c>
      <c r="G5604" s="81" t="s">
        <v>41</v>
      </c>
      <c r="H5604" s="81" t="s">
        <v>3608</v>
      </c>
      <c r="I5604" s="81" t="s">
        <v>3616</v>
      </c>
      <c r="J5604" s="81" t="s">
        <v>6343</v>
      </c>
    </row>
    <row r="5605" hidden="1">
      <c r="A5605" s="83" t="s">
        <v>6339</v>
      </c>
      <c r="B5605" s="83" t="s">
        <v>6340</v>
      </c>
      <c r="C5605" s="81" t="s">
        <v>4621</v>
      </c>
      <c r="D5605" s="83" t="s">
        <v>4754</v>
      </c>
      <c r="E5605" s="81" t="s">
        <v>3621</v>
      </c>
      <c r="F5605" s="81">
        <v>684.0</v>
      </c>
      <c r="G5605" s="81" t="s">
        <v>41</v>
      </c>
      <c r="H5605" s="81" t="s">
        <v>3621</v>
      </c>
      <c r="I5605" s="81" t="s">
        <v>3630</v>
      </c>
      <c r="J5605" s="81" t="s">
        <v>6343</v>
      </c>
    </row>
    <row r="5606" hidden="1">
      <c r="A5606" s="83" t="s">
        <v>6339</v>
      </c>
      <c r="B5606" s="83" t="s">
        <v>6340</v>
      </c>
      <c r="C5606" s="81" t="s">
        <v>4621</v>
      </c>
      <c r="D5606" s="83" t="s">
        <v>4755</v>
      </c>
      <c r="E5606" s="81" t="s">
        <v>3633</v>
      </c>
      <c r="F5606" s="81">
        <v>685.0</v>
      </c>
      <c r="G5606" s="81" t="s">
        <v>41</v>
      </c>
      <c r="H5606" s="81" t="s">
        <v>3621</v>
      </c>
      <c r="I5606" s="81" t="s">
        <v>3630</v>
      </c>
      <c r="J5606" s="81" t="s">
        <v>6343</v>
      </c>
    </row>
    <row r="5607" hidden="1">
      <c r="A5607" s="83" t="s">
        <v>6339</v>
      </c>
      <c r="B5607" s="83" t="s">
        <v>6340</v>
      </c>
      <c r="C5607" s="81" t="s">
        <v>4621</v>
      </c>
      <c r="D5607" s="83" t="s">
        <v>4754</v>
      </c>
      <c r="E5607" s="81" t="s">
        <v>3636</v>
      </c>
      <c r="F5607" s="81">
        <v>686.0</v>
      </c>
      <c r="G5607" s="81" t="s">
        <v>41</v>
      </c>
      <c r="H5607" s="81" t="s">
        <v>3621</v>
      </c>
      <c r="I5607" s="81" t="s">
        <v>3630</v>
      </c>
      <c r="J5607" s="81" t="s">
        <v>6343</v>
      </c>
    </row>
    <row r="5608" hidden="1">
      <c r="A5608" s="83" t="s">
        <v>6339</v>
      </c>
      <c r="B5608" s="83" t="s">
        <v>6340</v>
      </c>
      <c r="C5608" s="81" t="s">
        <v>4621</v>
      </c>
      <c r="D5608" s="83" t="s">
        <v>4756</v>
      </c>
      <c r="E5608" s="81" t="s">
        <v>3637</v>
      </c>
      <c r="F5608" s="81">
        <v>687.0</v>
      </c>
      <c r="G5608" s="81" t="s">
        <v>41</v>
      </c>
      <c r="H5608" s="81" t="s">
        <v>3621</v>
      </c>
      <c r="I5608" s="81" t="s">
        <v>3630</v>
      </c>
      <c r="J5608" s="81" t="s">
        <v>6343</v>
      </c>
    </row>
    <row r="5609" hidden="1">
      <c r="A5609" s="83" t="s">
        <v>6339</v>
      </c>
      <c r="B5609" s="83" t="s">
        <v>6340</v>
      </c>
      <c r="C5609" s="81" t="s">
        <v>4621</v>
      </c>
      <c r="D5609" s="83" t="s">
        <v>4757</v>
      </c>
      <c r="E5609" s="81" t="s">
        <v>3640</v>
      </c>
      <c r="F5609" s="81">
        <v>688.0</v>
      </c>
      <c r="G5609" s="81" t="s">
        <v>41</v>
      </c>
      <c r="H5609" s="81" t="s">
        <v>3621</v>
      </c>
      <c r="I5609" s="81" t="s">
        <v>3630</v>
      </c>
      <c r="J5609" s="81" t="s">
        <v>6343</v>
      </c>
    </row>
    <row r="5610" hidden="1">
      <c r="A5610" s="83" t="s">
        <v>6339</v>
      </c>
      <c r="B5610" s="83" t="s">
        <v>6340</v>
      </c>
      <c r="C5610" s="81" t="s">
        <v>4621</v>
      </c>
      <c r="D5610" s="83" t="s">
        <v>4758</v>
      </c>
      <c r="E5610" s="81" t="s">
        <v>3643</v>
      </c>
      <c r="F5610" s="81">
        <v>689.0</v>
      </c>
      <c r="G5610" s="81" t="s">
        <v>41</v>
      </c>
      <c r="H5610" s="81" t="s">
        <v>3621</v>
      </c>
      <c r="I5610" s="81" t="s">
        <v>3630</v>
      </c>
      <c r="J5610" s="81" t="s">
        <v>6343</v>
      </c>
    </row>
    <row r="5611" hidden="1">
      <c r="A5611" s="83" t="s">
        <v>6339</v>
      </c>
      <c r="B5611" s="83" t="s">
        <v>6340</v>
      </c>
      <c r="C5611" s="81" t="s">
        <v>4621</v>
      </c>
      <c r="D5611" s="83" t="s">
        <v>4759</v>
      </c>
      <c r="E5611" s="81" t="s">
        <v>3646</v>
      </c>
      <c r="F5611" s="81">
        <v>690.0</v>
      </c>
      <c r="G5611" s="81" t="s">
        <v>41</v>
      </c>
      <c r="H5611" s="81" t="s">
        <v>3621</v>
      </c>
      <c r="I5611" s="81" t="s">
        <v>3630</v>
      </c>
      <c r="J5611" s="81" t="s">
        <v>6343</v>
      </c>
    </row>
    <row r="5612" hidden="1">
      <c r="A5612" s="83" t="s">
        <v>6339</v>
      </c>
      <c r="B5612" s="83" t="s">
        <v>6340</v>
      </c>
      <c r="C5612" s="81" t="s">
        <v>4621</v>
      </c>
      <c r="D5612" s="83" t="s">
        <v>4760</v>
      </c>
      <c r="E5612" s="81" t="s">
        <v>3649</v>
      </c>
      <c r="F5612" s="81">
        <v>691.0</v>
      </c>
      <c r="G5612" s="81" t="s">
        <v>41</v>
      </c>
      <c r="H5612" s="81" t="s">
        <v>3621</v>
      </c>
      <c r="I5612" s="81" t="s">
        <v>3630</v>
      </c>
      <c r="J5612" s="81" t="s">
        <v>6343</v>
      </c>
    </row>
    <row r="5613" hidden="1">
      <c r="A5613" s="83" t="s">
        <v>6339</v>
      </c>
      <c r="B5613" s="83" t="s">
        <v>6340</v>
      </c>
      <c r="C5613" s="81" t="s">
        <v>4621</v>
      </c>
      <c r="D5613" s="83" t="s">
        <v>4760</v>
      </c>
      <c r="E5613" s="81" t="s">
        <v>3652</v>
      </c>
      <c r="F5613" s="81">
        <v>692.0</v>
      </c>
      <c r="G5613" s="81" t="s">
        <v>41</v>
      </c>
      <c r="H5613" s="81" t="s">
        <v>3621</v>
      </c>
      <c r="I5613" s="81" t="s">
        <v>3630</v>
      </c>
      <c r="J5613" s="81" t="s">
        <v>6343</v>
      </c>
    </row>
    <row r="5614" hidden="1">
      <c r="A5614" s="83" t="s">
        <v>6339</v>
      </c>
      <c r="B5614" s="83" t="s">
        <v>6340</v>
      </c>
      <c r="C5614" s="81" t="s">
        <v>4621</v>
      </c>
      <c r="D5614" s="83" t="s">
        <v>4761</v>
      </c>
      <c r="E5614" s="81" t="s">
        <v>3653</v>
      </c>
      <c r="F5614" s="81">
        <v>693.0</v>
      </c>
      <c r="G5614" s="81" t="s">
        <v>41</v>
      </c>
      <c r="H5614" s="81" t="s">
        <v>3621</v>
      </c>
      <c r="I5614" s="81" t="s">
        <v>3630</v>
      </c>
      <c r="J5614" s="81" t="s">
        <v>6343</v>
      </c>
    </row>
    <row r="5615" hidden="1">
      <c r="A5615" s="83" t="s">
        <v>6339</v>
      </c>
      <c r="B5615" s="83" t="s">
        <v>6340</v>
      </c>
      <c r="C5615" s="81" t="s">
        <v>4621</v>
      </c>
      <c r="D5615" s="83" t="s">
        <v>4762</v>
      </c>
      <c r="E5615" s="81" t="s">
        <v>3656</v>
      </c>
      <c r="F5615" s="81">
        <v>694.0</v>
      </c>
      <c r="G5615" s="81" t="s">
        <v>41</v>
      </c>
      <c r="H5615" s="81" t="s">
        <v>3621</v>
      </c>
      <c r="I5615" s="81" t="s">
        <v>3630</v>
      </c>
      <c r="J5615" s="81" t="s">
        <v>6343</v>
      </c>
    </row>
    <row r="5616" hidden="1">
      <c r="A5616" s="83" t="s">
        <v>6339</v>
      </c>
      <c r="B5616" s="83" t="s">
        <v>6340</v>
      </c>
      <c r="C5616" s="81" t="s">
        <v>4621</v>
      </c>
      <c r="D5616" s="83" t="s">
        <v>4763</v>
      </c>
      <c r="E5616" s="81" t="s">
        <v>3659</v>
      </c>
      <c r="F5616" s="81">
        <v>695.0</v>
      </c>
      <c r="G5616" s="81" t="s">
        <v>41</v>
      </c>
      <c r="H5616" s="81" t="s">
        <v>3621</v>
      </c>
      <c r="I5616" s="81" t="s">
        <v>3630</v>
      </c>
      <c r="J5616" s="81" t="s">
        <v>6343</v>
      </c>
    </row>
    <row r="5617" hidden="1">
      <c r="A5617" s="83" t="s">
        <v>6339</v>
      </c>
      <c r="B5617" s="83" t="s">
        <v>6340</v>
      </c>
      <c r="C5617" s="81" t="s">
        <v>4621</v>
      </c>
      <c r="D5617" s="83" t="s">
        <v>4764</v>
      </c>
      <c r="E5617" s="81" t="s">
        <v>3662</v>
      </c>
      <c r="F5617" s="81">
        <v>696.0</v>
      </c>
      <c r="G5617" s="81" t="s">
        <v>41</v>
      </c>
      <c r="H5617" s="81" t="s">
        <v>3662</v>
      </c>
      <c r="I5617" s="81" t="s">
        <v>3669</v>
      </c>
      <c r="J5617" s="81" t="s">
        <v>6343</v>
      </c>
    </row>
    <row r="5618" hidden="1">
      <c r="A5618" s="83" t="s">
        <v>6339</v>
      </c>
      <c r="B5618" s="83" t="s">
        <v>6340</v>
      </c>
      <c r="C5618" s="81" t="s">
        <v>4621</v>
      </c>
      <c r="D5618" s="83" t="s">
        <v>4764</v>
      </c>
      <c r="E5618" s="81" t="s">
        <v>3672</v>
      </c>
      <c r="F5618" s="81">
        <v>697.0</v>
      </c>
      <c r="G5618" s="81" t="s">
        <v>41</v>
      </c>
      <c r="H5618" s="81" t="s">
        <v>3662</v>
      </c>
      <c r="I5618" s="81" t="s">
        <v>3669</v>
      </c>
      <c r="J5618" s="81" t="s">
        <v>6343</v>
      </c>
    </row>
    <row r="5619" hidden="1">
      <c r="A5619" s="83" t="s">
        <v>6339</v>
      </c>
      <c r="B5619" s="83" t="s">
        <v>6340</v>
      </c>
      <c r="C5619" s="81" t="s">
        <v>4621</v>
      </c>
      <c r="D5619" s="83" t="s">
        <v>4765</v>
      </c>
      <c r="E5619" s="81" t="s">
        <v>3673</v>
      </c>
      <c r="F5619" s="81">
        <v>698.0</v>
      </c>
      <c r="G5619" s="81" t="s">
        <v>41</v>
      </c>
      <c r="H5619" s="81" t="s">
        <v>3662</v>
      </c>
      <c r="I5619" s="81" t="s">
        <v>3669</v>
      </c>
      <c r="J5619" s="81" t="s">
        <v>6343</v>
      </c>
    </row>
    <row r="5620" hidden="1">
      <c r="A5620" s="83" t="s">
        <v>6339</v>
      </c>
      <c r="B5620" s="83" t="s">
        <v>6340</v>
      </c>
      <c r="C5620" s="81" t="s">
        <v>4621</v>
      </c>
      <c r="D5620" s="83" t="s">
        <v>4766</v>
      </c>
      <c r="E5620" s="81" t="s">
        <v>3676</v>
      </c>
      <c r="F5620" s="81">
        <v>699.0</v>
      </c>
      <c r="G5620" s="81" t="s">
        <v>41</v>
      </c>
      <c r="H5620" s="81" t="s">
        <v>3662</v>
      </c>
      <c r="I5620" s="81" t="s">
        <v>3669</v>
      </c>
      <c r="J5620" s="81" t="s">
        <v>6343</v>
      </c>
    </row>
    <row r="5621" hidden="1">
      <c r="A5621" s="83" t="s">
        <v>6339</v>
      </c>
      <c r="B5621" s="83" t="s">
        <v>6340</v>
      </c>
      <c r="C5621" s="81" t="s">
        <v>4621</v>
      </c>
      <c r="D5621" s="83" t="s">
        <v>4767</v>
      </c>
      <c r="E5621" s="81" t="s">
        <v>3679</v>
      </c>
      <c r="F5621" s="81">
        <v>700.0</v>
      </c>
      <c r="G5621" s="81" t="s">
        <v>41</v>
      </c>
      <c r="H5621" s="81" t="s">
        <v>3662</v>
      </c>
      <c r="I5621" s="81" t="s">
        <v>3669</v>
      </c>
      <c r="J5621" s="81" t="s">
        <v>6343</v>
      </c>
    </row>
    <row r="5622" hidden="1">
      <c r="A5622" s="83" t="s">
        <v>6339</v>
      </c>
      <c r="B5622" s="83" t="s">
        <v>6340</v>
      </c>
      <c r="C5622" s="81" t="s">
        <v>4621</v>
      </c>
      <c r="D5622" s="83" t="s">
        <v>4768</v>
      </c>
      <c r="E5622" s="81" t="s">
        <v>3682</v>
      </c>
      <c r="F5622" s="81">
        <v>701.0</v>
      </c>
      <c r="G5622" s="81" t="s">
        <v>41</v>
      </c>
      <c r="H5622" s="81" t="s">
        <v>3662</v>
      </c>
      <c r="I5622" s="81" t="s">
        <v>3669</v>
      </c>
      <c r="J5622" s="81" t="s">
        <v>6343</v>
      </c>
    </row>
    <row r="5623" hidden="1">
      <c r="A5623" s="83" t="s">
        <v>6339</v>
      </c>
      <c r="B5623" s="83" t="s">
        <v>6340</v>
      </c>
      <c r="C5623" s="81" t="s">
        <v>4621</v>
      </c>
      <c r="D5623" s="83" t="s">
        <v>4769</v>
      </c>
      <c r="E5623" s="81" t="s">
        <v>3685</v>
      </c>
      <c r="F5623" s="81">
        <v>702.0</v>
      </c>
      <c r="G5623" s="81" t="s">
        <v>41</v>
      </c>
      <c r="H5623" s="81" t="s">
        <v>3662</v>
      </c>
      <c r="I5623" s="81" t="s">
        <v>3669</v>
      </c>
      <c r="J5623" s="81" t="s">
        <v>6343</v>
      </c>
    </row>
    <row r="5624" hidden="1">
      <c r="A5624" s="83" t="s">
        <v>6339</v>
      </c>
      <c r="B5624" s="83" t="s">
        <v>6340</v>
      </c>
      <c r="C5624" s="81" t="s">
        <v>4621</v>
      </c>
      <c r="D5624" s="83" t="s">
        <v>4770</v>
      </c>
      <c r="E5624" s="81" t="s">
        <v>3688</v>
      </c>
      <c r="F5624" s="81">
        <v>703.0</v>
      </c>
      <c r="G5624" s="81" t="s">
        <v>41</v>
      </c>
      <c r="H5624" s="81" t="s">
        <v>3688</v>
      </c>
      <c r="I5624" s="81" t="s">
        <v>3695</v>
      </c>
      <c r="J5624" s="81" t="s">
        <v>6343</v>
      </c>
    </row>
    <row r="5625" hidden="1">
      <c r="A5625" s="83" t="s">
        <v>6339</v>
      </c>
      <c r="B5625" s="83" t="s">
        <v>6340</v>
      </c>
      <c r="C5625" s="81" t="s">
        <v>4621</v>
      </c>
      <c r="D5625" s="83" t="s">
        <v>4770</v>
      </c>
      <c r="E5625" s="81" t="s">
        <v>3697</v>
      </c>
      <c r="F5625" s="81">
        <v>704.0</v>
      </c>
      <c r="G5625" s="81" t="s">
        <v>41</v>
      </c>
      <c r="H5625" s="81" t="s">
        <v>3688</v>
      </c>
      <c r="I5625" s="81" t="s">
        <v>3695</v>
      </c>
      <c r="J5625" s="81" t="s">
        <v>6343</v>
      </c>
    </row>
    <row r="5626" hidden="1">
      <c r="A5626" s="83" t="s">
        <v>6339</v>
      </c>
      <c r="B5626" s="83" t="s">
        <v>6340</v>
      </c>
      <c r="C5626" s="81" t="s">
        <v>4621</v>
      </c>
      <c r="D5626" s="83" t="s">
        <v>4771</v>
      </c>
      <c r="E5626" s="81" t="s">
        <v>3698</v>
      </c>
      <c r="F5626" s="81">
        <v>705.0</v>
      </c>
      <c r="G5626" s="81" t="s">
        <v>41</v>
      </c>
      <c r="H5626" s="81" t="s">
        <v>3688</v>
      </c>
      <c r="I5626" s="81" t="s">
        <v>3695</v>
      </c>
      <c r="J5626" s="81" t="s">
        <v>6343</v>
      </c>
    </row>
    <row r="5627" hidden="1">
      <c r="A5627" s="83" t="s">
        <v>6339</v>
      </c>
      <c r="B5627" s="83" t="s">
        <v>6340</v>
      </c>
      <c r="C5627" s="81" t="s">
        <v>4621</v>
      </c>
      <c r="D5627" s="83" t="s">
        <v>4772</v>
      </c>
      <c r="E5627" s="81" t="s">
        <v>3701</v>
      </c>
      <c r="F5627" s="81">
        <v>706.0</v>
      </c>
      <c r="G5627" s="81" t="s">
        <v>41</v>
      </c>
      <c r="H5627" s="81" t="s">
        <v>3688</v>
      </c>
      <c r="I5627" s="81" t="s">
        <v>3695</v>
      </c>
      <c r="J5627" s="81" t="s">
        <v>6343</v>
      </c>
    </row>
    <row r="5628" hidden="1">
      <c r="A5628" s="83" t="s">
        <v>6339</v>
      </c>
      <c r="B5628" s="83" t="s">
        <v>6340</v>
      </c>
      <c r="C5628" s="81" t="s">
        <v>4621</v>
      </c>
      <c r="D5628" s="83" t="s">
        <v>4773</v>
      </c>
      <c r="E5628" s="81" t="s">
        <v>3704</v>
      </c>
      <c r="F5628" s="81">
        <v>707.0</v>
      </c>
      <c r="G5628" s="81" t="s">
        <v>41</v>
      </c>
      <c r="H5628" s="81" t="s">
        <v>3688</v>
      </c>
      <c r="I5628" s="81" t="s">
        <v>3695</v>
      </c>
      <c r="J5628" s="81" t="s">
        <v>6343</v>
      </c>
    </row>
    <row r="5629" hidden="1">
      <c r="A5629" s="83" t="s">
        <v>6339</v>
      </c>
      <c r="B5629" s="83" t="s">
        <v>6340</v>
      </c>
      <c r="C5629" s="81" t="s">
        <v>4621</v>
      </c>
      <c r="D5629" s="83" t="s">
        <v>4774</v>
      </c>
      <c r="E5629" s="81" t="s">
        <v>3707</v>
      </c>
      <c r="F5629" s="81">
        <v>708.0</v>
      </c>
      <c r="G5629" s="81" t="s">
        <v>41</v>
      </c>
      <c r="H5629" s="81" t="s">
        <v>3688</v>
      </c>
      <c r="I5629" s="81" t="s">
        <v>3695</v>
      </c>
      <c r="J5629" s="81" t="s">
        <v>6343</v>
      </c>
    </row>
    <row r="5630" hidden="1">
      <c r="A5630" s="83" t="s">
        <v>6339</v>
      </c>
      <c r="B5630" s="83" t="s">
        <v>6340</v>
      </c>
      <c r="C5630" s="81" t="s">
        <v>4621</v>
      </c>
      <c r="D5630" s="83" t="s">
        <v>4775</v>
      </c>
      <c r="E5630" s="81" t="s">
        <v>3710</v>
      </c>
      <c r="F5630" s="81">
        <v>709.0</v>
      </c>
      <c r="G5630" s="81" t="s">
        <v>41</v>
      </c>
      <c r="H5630" s="81" t="s">
        <v>3688</v>
      </c>
      <c r="I5630" s="81" t="s">
        <v>3695</v>
      </c>
      <c r="J5630" s="81" t="s">
        <v>6343</v>
      </c>
    </row>
    <row r="5631" hidden="1">
      <c r="A5631" s="83" t="s">
        <v>6339</v>
      </c>
      <c r="B5631" s="83" t="s">
        <v>6340</v>
      </c>
      <c r="C5631" s="81" t="s">
        <v>4621</v>
      </c>
      <c r="D5631" s="83" t="s">
        <v>4776</v>
      </c>
      <c r="E5631" s="81" t="s">
        <v>3713</v>
      </c>
      <c r="F5631" s="81">
        <v>710.0</v>
      </c>
      <c r="G5631" s="81" t="s">
        <v>41</v>
      </c>
      <c r="H5631" s="81" t="s">
        <v>3688</v>
      </c>
      <c r="I5631" s="81" t="s">
        <v>3695</v>
      </c>
      <c r="J5631" s="81" t="s">
        <v>6343</v>
      </c>
    </row>
    <row r="5632" hidden="1">
      <c r="A5632" s="83" t="s">
        <v>6339</v>
      </c>
      <c r="B5632" s="83" t="s">
        <v>6340</v>
      </c>
      <c r="C5632" s="81" t="s">
        <v>4621</v>
      </c>
      <c r="D5632" s="83" t="s">
        <v>4777</v>
      </c>
      <c r="E5632" s="81" t="s">
        <v>3716</v>
      </c>
      <c r="F5632" s="81">
        <v>711.0</v>
      </c>
      <c r="G5632" s="81" t="s">
        <v>41</v>
      </c>
      <c r="H5632" s="81" t="s">
        <v>3751</v>
      </c>
      <c r="I5632" s="81" t="s">
        <v>3725</v>
      </c>
      <c r="J5632" s="81" t="s">
        <v>6343</v>
      </c>
    </row>
    <row r="5633" hidden="1">
      <c r="A5633" s="83" t="s">
        <v>6339</v>
      </c>
      <c r="B5633" s="83" t="s">
        <v>6340</v>
      </c>
      <c r="C5633" s="81" t="s">
        <v>4621</v>
      </c>
      <c r="D5633" s="83" t="s">
        <v>4777</v>
      </c>
      <c r="E5633" s="81" t="s">
        <v>3730</v>
      </c>
      <c r="F5633" s="81">
        <v>712.0</v>
      </c>
      <c r="G5633" s="81" t="s">
        <v>41</v>
      </c>
      <c r="H5633" s="81" t="s">
        <v>3751</v>
      </c>
      <c r="I5633" s="81" t="s">
        <v>3725</v>
      </c>
      <c r="J5633" s="81" t="s">
        <v>6343</v>
      </c>
    </row>
    <row r="5634" hidden="1">
      <c r="A5634" s="83" t="s">
        <v>6339</v>
      </c>
      <c r="B5634" s="83" t="s">
        <v>6340</v>
      </c>
      <c r="C5634" s="81" t="s">
        <v>4621</v>
      </c>
      <c r="D5634" s="83" t="s">
        <v>4778</v>
      </c>
      <c r="E5634" s="81" t="s">
        <v>3731</v>
      </c>
      <c r="F5634" s="81">
        <v>713.0</v>
      </c>
      <c r="G5634" s="81" t="s">
        <v>41</v>
      </c>
      <c r="H5634" s="81" t="s">
        <v>3751</v>
      </c>
      <c r="I5634" s="81" t="s">
        <v>3725</v>
      </c>
      <c r="J5634" s="81" t="s">
        <v>6343</v>
      </c>
    </row>
    <row r="5635" hidden="1">
      <c r="A5635" s="83" t="s">
        <v>6339</v>
      </c>
      <c r="B5635" s="83" t="s">
        <v>6340</v>
      </c>
      <c r="C5635" s="81" t="s">
        <v>4621</v>
      </c>
      <c r="D5635" s="83" t="s">
        <v>4779</v>
      </c>
      <c r="E5635" s="81" t="s">
        <v>3735</v>
      </c>
      <c r="F5635" s="81">
        <v>714.0</v>
      </c>
      <c r="G5635" s="81" t="s">
        <v>41</v>
      </c>
      <c r="H5635" s="81" t="s">
        <v>3751</v>
      </c>
      <c r="I5635" s="81" t="s">
        <v>3725</v>
      </c>
      <c r="J5635" s="81" t="s">
        <v>6343</v>
      </c>
    </row>
    <row r="5636" hidden="1">
      <c r="A5636" s="83" t="s">
        <v>6339</v>
      </c>
      <c r="B5636" s="83" t="s">
        <v>6340</v>
      </c>
      <c r="C5636" s="81" t="s">
        <v>4621</v>
      </c>
      <c r="D5636" s="83" t="s">
        <v>4779</v>
      </c>
      <c r="E5636" s="81" t="s">
        <v>3746</v>
      </c>
      <c r="F5636" s="81">
        <v>715.0</v>
      </c>
      <c r="G5636" s="81" t="s">
        <v>41</v>
      </c>
      <c r="H5636" s="81" t="s">
        <v>3751</v>
      </c>
      <c r="I5636" s="81" t="s">
        <v>3725</v>
      </c>
      <c r="J5636" s="81" t="s">
        <v>6343</v>
      </c>
    </row>
    <row r="5637" hidden="1">
      <c r="A5637" s="83" t="s">
        <v>6339</v>
      </c>
      <c r="B5637" s="83" t="s">
        <v>6340</v>
      </c>
      <c r="C5637" s="81" t="s">
        <v>4621</v>
      </c>
      <c r="D5637" s="83" t="s">
        <v>4780</v>
      </c>
      <c r="E5637" s="81" t="s">
        <v>3747</v>
      </c>
      <c r="F5637" s="81">
        <v>716.0</v>
      </c>
      <c r="G5637" s="81" t="s">
        <v>41</v>
      </c>
      <c r="H5637" s="81" t="s">
        <v>3751</v>
      </c>
      <c r="I5637" s="81" t="s">
        <v>3725</v>
      </c>
      <c r="J5637" s="81" t="s">
        <v>6343</v>
      </c>
    </row>
    <row r="5638" hidden="1">
      <c r="A5638" s="83" t="s">
        <v>6339</v>
      </c>
      <c r="B5638" s="83" t="s">
        <v>6340</v>
      </c>
      <c r="C5638" s="81" t="s">
        <v>4621</v>
      </c>
      <c r="D5638" s="83" t="s">
        <v>4781</v>
      </c>
      <c r="E5638" s="81" t="s">
        <v>3751</v>
      </c>
      <c r="F5638" s="81">
        <v>717.0</v>
      </c>
      <c r="G5638" s="81" t="s">
        <v>41</v>
      </c>
      <c r="H5638" s="81" t="s">
        <v>3751</v>
      </c>
      <c r="I5638" s="81" t="s">
        <v>3725</v>
      </c>
      <c r="J5638" s="81" t="s">
        <v>6343</v>
      </c>
    </row>
    <row r="5639" hidden="1">
      <c r="A5639" s="83" t="s">
        <v>6339</v>
      </c>
      <c r="B5639" s="83" t="s">
        <v>6340</v>
      </c>
      <c r="C5639" s="81" t="s">
        <v>4621</v>
      </c>
      <c r="D5639" s="83" t="s">
        <v>4781</v>
      </c>
      <c r="E5639" s="81" t="s">
        <v>3761</v>
      </c>
      <c r="F5639" s="81">
        <v>718.0</v>
      </c>
      <c r="G5639" s="81" t="s">
        <v>41</v>
      </c>
      <c r="H5639" s="81" t="s">
        <v>3751</v>
      </c>
      <c r="I5639" s="81" t="s">
        <v>3725</v>
      </c>
      <c r="J5639" s="81" t="s">
        <v>6343</v>
      </c>
    </row>
    <row r="5640" hidden="1">
      <c r="A5640" s="83" t="s">
        <v>6339</v>
      </c>
      <c r="B5640" s="83" t="s">
        <v>6340</v>
      </c>
      <c r="C5640" s="81" t="s">
        <v>4621</v>
      </c>
      <c r="D5640" s="83" t="s">
        <v>4782</v>
      </c>
      <c r="E5640" s="81" t="s">
        <v>3762</v>
      </c>
      <c r="F5640" s="81">
        <v>719.0</v>
      </c>
      <c r="G5640" s="81" t="s">
        <v>41</v>
      </c>
      <c r="H5640" s="81" t="s">
        <v>3751</v>
      </c>
      <c r="I5640" s="81" t="s">
        <v>3725</v>
      </c>
      <c r="J5640" s="81" t="s">
        <v>6343</v>
      </c>
    </row>
    <row r="5641" hidden="1">
      <c r="A5641" s="83" t="s">
        <v>6339</v>
      </c>
      <c r="B5641" s="83" t="s">
        <v>6340</v>
      </c>
      <c r="C5641" s="81" t="s">
        <v>4621</v>
      </c>
      <c r="D5641" s="83" t="s">
        <v>4783</v>
      </c>
      <c r="E5641" s="81" t="s">
        <v>3766</v>
      </c>
      <c r="F5641" s="81">
        <v>720.0</v>
      </c>
      <c r="G5641" s="81" t="s">
        <v>41</v>
      </c>
      <c r="H5641" s="81" t="s">
        <v>3042</v>
      </c>
      <c r="I5641" s="81" t="s">
        <v>3037</v>
      </c>
      <c r="J5641" s="81" t="s">
        <v>6343</v>
      </c>
    </row>
    <row r="5642" hidden="1">
      <c r="A5642" s="83" t="s">
        <v>6339</v>
      </c>
      <c r="B5642" s="83" t="s">
        <v>6340</v>
      </c>
      <c r="C5642" s="81" t="s">
        <v>4621</v>
      </c>
      <c r="D5642" s="83" t="s">
        <v>4783</v>
      </c>
      <c r="E5642" s="81" t="s">
        <v>3777</v>
      </c>
      <c r="F5642" s="81">
        <v>721.0</v>
      </c>
      <c r="G5642" s="81" t="s">
        <v>41</v>
      </c>
      <c r="H5642" s="81" t="s">
        <v>3042</v>
      </c>
      <c r="I5642" s="81" t="s">
        <v>3037</v>
      </c>
      <c r="J5642" s="81" t="s">
        <v>6343</v>
      </c>
    </row>
    <row r="5643" hidden="1">
      <c r="A5643" s="83" t="s">
        <v>6339</v>
      </c>
      <c r="B5643" s="83" t="s">
        <v>6340</v>
      </c>
      <c r="C5643" s="81" t="s">
        <v>4621</v>
      </c>
      <c r="D5643" s="83" t="s">
        <v>4785</v>
      </c>
      <c r="E5643" s="81" t="s">
        <v>3778</v>
      </c>
      <c r="F5643" s="81">
        <v>722.0</v>
      </c>
      <c r="G5643" s="81" t="s">
        <v>41</v>
      </c>
      <c r="H5643" s="81" t="s">
        <v>3042</v>
      </c>
      <c r="I5643" s="81" t="s">
        <v>3037</v>
      </c>
      <c r="J5643" s="81" t="s">
        <v>6343</v>
      </c>
    </row>
    <row r="5644" hidden="1">
      <c r="A5644" s="83" t="s">
        <v>6339</v>
      </c>
      <c r="B5644" s="83" t="s">
        <v>6340</v>
      </c>
      <c r="C5644" s="81" t="s">
        <v>4621</v>
      </c>
      <c r="D5644" s="83" t="s">
        <v>4786</v>
      </c>
      <c r="E5644" s="81" t="s">
        <v>3781</v>
      </c>
      <c r="F5644" s="81">
        <v>723.0</v>
      </c>
      <c r="G5644" s="81" t="s">
        <v>41</v>
      </c>
      <c r="H5644" s="81" t="s">
        <v>3042</v>
      </c>
      <c r="I5644" s="81" t="s">
        <v>3037</v>
      </c>
      <c r="J5644" s="81" t="s">
        <v>6343</v>
      </c>
    </row>
    <row r="5645" hidden="1">
      <c r="A5645" s="83" t="s">
        <v>6339</v>
      </c>
      <c r="B5645" s="83" t="s">
        <v>6340</v>
      </c>
      <c r="C5645" s="81" t="s">
        <v>4621</v>
      </c>
      <c r="D5645" s="83" t="s">
        <v>4787</v>
      </c>
      <c r="E5645" s="81" t="s">
        <v>3791</v>
      </c>
      <c r="F5645" s="81">
        <v>724.0</v>
      </c>
      <c r="G5645" s="81" t="s">
        <v>41</v>
      </c>
      <c r="H5645" s="81" t="s">
        <v>3042</v>
      </c>
      <c r="I5645" s="81" t="s">
        <v>3037</v>
      </c>
      <c r="J5645" s="81" t="s">
        <v>6343</v>
      </c>
    </row>
    <row r="5646" hidden="1">
      <c r="A5646" s="83" t="s">
        <v>6339</v>
      </c>
      <c r="B5646" s="83" t="s">
        <v>6340</v>
      </c>
      <c r="C5646" s="81" t="s">
        <v>4621</v>
      </c>
      <c r="D5646" s="83" t="s">
        <v>4788</v>
      </c>
      <c r="E5646" s="81" t="s">
        <v>3794</v>
      </c>
      <c r="F5646" s="81">
        <v>725.0</v>
      </c>
      <c r="G5646" s="81" t="s">
        <v>41</v>
      </c>
      <c r="H5646" s="81" t="s">
        <v>2419</v>
      </c>
      <c r="I5646" s="81" t="s">
        <v>2435</v>
      </c>
      <c r="J5646" s="81" t="s">
        <v>6343</v>
      </c>
    </row>
    <row r="5647" hidden="1">
      <c r="A5647" s="83" t="s">
        <v>6339</v>
      </c>
      <c r="B5647" s="83" t="s">
        <v>6340</v>
      </c>
      <c r="C5647" s="81" t="s">
        <v>4621</v>
      </c>
      <c r="D5647" s="83" t="s">
        <v>4790</v>
      </c>
      <c r="E5647" s="81" t="s">
        <v>3803</v>
      </c>
      <c r="F5647" s="81">
        <v>726.0</v>
      </c>
      <c r="G5647" s="81" t="s">
        <v>41</v>
      </c>
      <c r="H5647" s="81" t="s">
        <v>1775</v>
      </c>
      <c r="I5647" s="81" t="s">
        <v>1784</v>
      </c>
      <c r="J5647" s="81" t="s">
        <v>6343</v>
      </c>
    </row>
    <row r="5648" hidden="1">
      <c r="A5648" s="83" t="s">
        <v>6339</v>
      </c>
      <c r="B5648" s="83" t="s">
        <v>6340</v>
      </c>
      <c r="C5648" s="81" t="s">
        <v>4621</v>
      </c>
      <c r="D5648" s="83" t="s">
        <v>4791</v>
      </c>
      <c r="E5648" s="81" t="s">
        <v>3812</v>
      </c>
      <c r="F5648" s="81">
        <v>727.0</v>
      </c>
      <c r="G5648" s="81" t="s">
        <v>41</v>
      </c>
      <c r="H5648" s="81" t="s">
        <v>1775</v>
      </c>
      <c r="I5648" s="81" t="s">
        <v>1784</v>
      </c>
      <c r="J5648" s="81" t="s">
        <v>6343</v>
      </c>
    </row>
    <row r="5649" hidden="1">
      <c r="A5649" s="83" t="s">
        <v>6339</v>
      </c>
      <c r="B5649" s="83" t="s">
        <v>6340</v>
      </c>
      <c r="C5649" s="81" t="s">
        <v>4621</v>
      </c>
      <c r="D5649" s="83" t="s">
        <v>4792</v>
      </c>
      <c r="E5649" s="81" t="s">
        <v>3815</v>
      </c>
      <c r="F5649" s="81">
        <v>728.0</v>
      </c>
      <c r="G5649" s="81" t="s">
        <v>41</v>
      </c>
      <c r="H5649" s="81" t="s">
        <v>1775</v>
      </c>
      <c r="I5649" s="81" t="s">
        <v>1784</v>
      </c>
      <c r="J5649" s="81" t="s">
        <v>6343</v>
      </c>
    </row>
    <row r="5650" hidden="1">
      <c r="A5650" s="83" t="s">
        <v>6339</v>
      </c>
      <c r="B5650" s="83" t="s">
        <v>6340</v>
      </c>
      <c r="C5650" s="81" t="s">
        <v>4621</v>
      </c>
      <c r="D5650" s="83" t="s">
        <v>4793</v>
      </c>
      <c r="E5650" s="81" t="s">
        <v>3821</v>
      </c>
      <c r="F5650" s="81">
        <v>729.0</v>
      </c>
      <c r="G5650" s="81" t="s">
        <v>41</v>
      </c>
      <c r="H5650" s="81" t="s">
        <v>1775</v>
      </c>
      <c r="I5650" s="81" t="s">
        <v>1784</v>
      </c>
      <c r="J5650" s="81" t="s">
        <v>6343</v>
      </c>
    </row>
    <row r="5651" hidden="1">
      <c r="A5651" s="83" t="s">
        <v>6339</v>
      </c>
      <c r="B5651" s="83" t="s">
        <v>6340</v>
      </c>
      <c r="C5651" s="81" t="s">
        <v>4621</v>
      </c>
      <c r="D5651" s="83" t="s">
        <v>4798</v>
      </c>
      <c r="E5651" s="81" t="s">
        <v>3842</v>
      </c>
      <c r="F5651" s="81">
        <v>736.0</v>
      </c>
      <c r="G5651" s="81" t="s">
        <v>41</v>
      </c>
      <c r="H5651" s="81" t="s">
        <v>1825</v>
      </c>
      <c r="I5651" s="81" t="s">
        <v>1837</v>
      </c>
      <c r="J5651" s="81" t="s">
        <v>6343</v>
      </c>
    </row>
    <row r="5652" hidden="1">
      <c r="A5652" s="83" t="s">
        <v>6339</v>
      </c>
      <c r="B5652" s="83" t="s">
        <v>6340</v>
      </c>
      <c r="C5652" s="81" t="s">
        <v>4621</v>
      </c>
      <c r="D5652" s="83" t="s">
        <v>4799</v>
      </c>
      <c r="E5652" s="81" t="s">
        <v>3845</v>
      </c>
      <c r="F5652" s="81">
        <v>737.0</v>
      </c>
      <c r="G5652" s="81" t="s">
        <v>41</v>
      </c>
      <c r="H5652" s="81" t="s">
        <v>1825</v>
      </c>
      <c r="I5652" s="81" t="s">
        <v>1837</v>
      </c>
      <c r="J5652" s="81" t="s">
        <v>6343</v>
      </c>
    </row>
    <row r="5653" hidden="1">
      <c r="A5653" s="83" t="s">
        <v>6339</v>
      </c>
      <c r="B5653" s="83" t="s">
        <v>6340</v>
      </c>
      <c r="C5653" s="81" t="s">
        <v>4621</v>
      </c>
      <c r="D5653" s="83" t="s">
        <v>4808</v>
      </c>
      <c r="E5653" s="81" t="s">
        <v>3863</v>
      </c>
      <c r="F5653" s="81">
        <v>748.0</v>
      </c>
      <c r="G5653" s="81" t="s">
        <v>41</v>
      </c>
      <c r="H5653" s="81" t="s">
        <v>2673</v>
      </c>
      <c r="I5653" s="81" t="s">
        <v>2679</v>
      </c>
      <c r="J5653" s="81" t="s">
        <v>6343</v>
      </c>
    </row>
    <row r="5654" hidden="1">
      <c r="A5654" s="83" t="s">
        <v>6339</v>
      </c>
      <c r="B5654" s="83" t="s">
        <v>6340</v>
      </c>
      <c r="C5654" s="81" t="s">
        <v>4621</v>
      </c>
      <c r="D5654" s="83" t="s">
        <v>4808</v>
      </c>
      <c r="E5654" s="81" t="s">
        <v>3867</v>
      </c>
      <c r="F5654" s="81">
        <v>749.0</v>
      </c>
      <c r="G5654" s="81" t="s">
        <v>41</v>
      </c>
      <c r="H5654" s="81" t="s">
        <v>2673</v>
      </c>
      <c r="I5654" s="81" t="s">
        <v>2679</v>
      </c>
      <c r="J5654" s="81" t="s">
        <v>6343</v>
      </c>
    </row>
    <row r="5655" hidden="1">
      <c r="A5655" s="83" t="s">
        <v>6339</v>
      </c>
      <c r="B5655" s="83" t="s">
        <v>6340</v>
      </c>
      <c r="C5655" s="81" t="s">
        <v>4621</v>
      </c>
      <c r="D5655" s="83" t="s">
        <v>4809</v>
      </c>
      <c r="E5655" s="81" t="s">
        <v>3868</v>
      </c>
      <c r="F5655" s="81">
        <v>750.0</v>
      </c>
      <c r="G5655" s="81" t="s">
        <v>41</v>
      </c>
      <c r="H5655" s="81" t="s">
        <v>2673</v>
      </c>
      <c r="I5655" s="81" t="s">
        <v>2679</v>
      </c>
      <c r="J5655" s="81" t="s">
        <v>6343</v>
      </c>
    </row>
    <row r="5656" hidden="1">
      <c r="A5656" s="83" t="s">
        <v>6339</v>
      </c>
      <c r="B5656" s="83" t="s">
        <v>6340</v>
      </c>
      <c r="C5656" s="81" t="s">
        <v>4621</v>
      </c>
      <c r="D5656" s="83" t="s">
        <v>4810</v>
      </c>
      <c r="E5656" s="81" t="s">
        <v>3871</v>
      </c>
      <c r="F5656" s="81">
        <v>751.0</v>
      </c>
      <c r="G5656" s="81" t="s">
        <v>41</v>
      </c>
      <c r="H5656" s="81" t="s">
        <v>3315</v>
      </c>
      <c r="I5656" s="81" t="s">
        <v>3324</v>
      </c>
      <c r="J5656" s="81" t="s">
        <v>6343</v>
      </c>
    </row>
    <row r="5657" hidden="1">
      <c r="A5657" s="83" t="s">
        <v>6339</v>
      </c>
      <c r="B5657" s="83" t="s">
        <v>6340</v>
      </c>
      <c r="C5657" s="81" t="s">
        <v>4621</v>
      </c>
      <c r="D5657" s="83" t="s">
        <v>4811</v>
      </c>
      <c r="E5657" s="81" t="s">
        <v>3874</v>
      </c>
      <c r="F5657" s="81">
        <v>752.0</v>
      </c>
      <c r="G5657" s="81" t="s">
        <v>41</v>
      </c>
      <c r="H5657" s="81" t="s">
        <v>1775</v>
      </c>
      <c r="I5657" s="81" t="s">
        <v>1784</v>
      </c>
      <c r="J5657" s="81" t="s">
        <v>6343</v>
      </c>
    </row>
    <row r="5658" hidden="1">
      <c r="A5658" s="83" t="s">
        <v>6339</v>
      </c>
      <c r="B5658" s="83" t="s">
        <v>6340</v>
      </c>
      <c r="C5658" s="81" t="s">
        <v>4621</v>
      </c>
      <c r="D5658" s="83" t="s">
        <v>4813</v>
      </c>
      <c r="E5658" s="81" t="s">
        <v>3877</v>
      </c>
      <c r="F5658" s="81">
        <v>753.0</v>
      </c>
      <c r="G5658" s="81" t="s">
        <v>41</v>
      </c>
      <c r="H5658" s="81" t="s">
        <v>1775</v>
      </c>
      <c r="I5658" s="81" t="s">
        <v>1784</v>
      </c>
      <c r="J5658" s="81" t="s">
        <v>6343</v>
      </c>
    </row>
    <row r="5659" hidden="1">
      <c r="A5659" s="83" t="s">
        <v>6339</v>
      </c>
      <c r="B5659" s="83" t="s">
        <v>6340</v>
      </c>
      <c r="C5659" s="81" t="s">
        <v>4621</v>
      </c>
      <c r="D5659" s="83" t="s">
        <v>4814</v>
      </c>
      <c r="E5659" s="81" t="s">
        <v>3879</v>
      </c>
      <c r="F5659" s="81">
        <v>754.0</v>
      </c>
      <c r="G5659" s="81" t="s">
        <v>41</v>
      </c>
      <c r="H5659" s="81" t="s">
        <v>3077</v>
      </c>
      <c r="I5659" s="81" t="s">
        <v>3087</v>
      </c>
      <c r="J5659" s="81" t="s">
        <v>6343</v>
      </c>
    </row>
    <row r="5660" hidden="1">
      <c r="A5660" s="83" t="s">
        <v>6339</v>
      </c>
      <c r="B5660" s="83" t="s">
        <v>6340</v>
      </c>
      <c r="C5660" s="81" t="s">
        <v>4621</v>
      </c>
      <c r="D5660" s="83" t="s">
        <v>4815</v>
      </c>
      <c r="E5660" s="81" t="s">
        <v>3882</v>
      </c>
      <c r="F5660" s="81">
        <v>755.0</v>
      </c>
      <c r="G5660" s="81" t="s">
        <v>41</v>
      </c>
      <c r="H5660" s="81" t="s">
        <v>3077</v>
      </c>
      <c r="I5660" s="81" t="s">
        <v>3087</v>
      </c>
      <c r="J5660" s="81" t="s">
        <v>6343</v>
      </c>
    </row>
    <row r="5661" hidden="1">
      <c r="A5661" s="83" t="s">
        <v>6339</v>
      </c>
      <c r="B5661" s="83" t="s">
        <v>6340</v>
      </c>
      <c r="C5661" s="81" t="s">
        <v>4621</v>
      </c>
      <c r="D5661" s="83" t="s">
        <v>4816</v>
      </c>
      <c r="E5661" s="81" t="s">
        <v>3885</v>
      </c>
      <c r="F5661" s="81">
        <v>756.0</v>
      </c>
      <c r="G5661" s="81" t="s">
        <v>41</v>
      </c>
      <c r="H5661" s="81" t="s">
        <v>3077</v>
      </c>
      <c r="I5661" s="81" t="s">
        <v>3087</v>
      </c>
      <c r="J5661" s="81" t="s">
        <v>6343</v>
      </c>
    </row>
    <row r="5662" hidden="1">
      <c r="A5662" s="83" t="s">
        <v>6339</v>
      </c>
      <c r="B5662" s="83" t="s">
        <v>6340</v>
      </c>
      <c r="C5662" s="81" t="s">
        <v>4621</v>
      </c>
      <c r="D5662" s="83" t="s">
        <v>4816</v>
      </c>
      <c r="E5662" s="81" t="s">
        <v>3895</v>
      </c>
      <c r="F5662" s="81">
        <v>757.0</v>
      </c>
      <c r="G5662" s="81" t="s">
        <v>41</v>
      </c>
      <c r="H5662" s="81" t="s">
        <v>3077</v>
      </c>
      <c r="I5662" s="81" t="s">
        <v>3087</v>
      </c>
      <c r="J5662" s="81" t="s">
        <v>6343</v>
      </c>
    </row>
    <row r="5663" hidden="1">
      <c r="A5663" s="83" t="s">
        <v>6339</v>
      </c>
      <c r="B5663" s="83" t="s">
        <v>6340</v>
      </c>
      <c r="C5663" s="81" t="s">
        <v>4621</v>
      </c>
      <c r="D5663" s="83" t="s">
        <v>4818</v>
      </c>
      <c r="E5663" s="81" t="s">
        <v>3896</v>
      </c>
      <c r="F5663" s="81">
        <v>758.0</v>
      </c>
      <c r="G5663" s="81" t="s">
        <v>41</v>
      </c>
      <c r="H5663" s="81" t="s">
        <v>3077</v>
      </c>
      <c r="I5663" s="81" t="s">
        <v>3087</v>
      </c>
      <c r="J5663" s="81" t="s">
        <v>6343</v>
      </c>
    </row>
    <row r="5664" hidden="1">
      <c r="A5664" s="83" t="s">
        <v>6339</v>
      </c>
      <c r="B5664" s="83" t="s">
        <v>6340</v>
      </c>
      <c r="C5664" s="81" t="s">
        <v>4621</v>
      </c>
      <c r="D5664" s="83" t="s">
        <v>4776</v>
      </c>
      <c r="E5664" s="81" t="s">
        <v>3899</v>
      </c>
      <c r="F5664" s="81">
        <v>759.0</v>
      </c>
      <c r="G5664" s="81" t="s">
        <v>41</v>
      </c>
      <c r="H5664" s="81" t="s">
        <v>3688</v>
      </c>
      <c r="I5664" s="81" t="s">
        <v>3695</v>
      </c>
      <c r="J5664" s="81" t="s">
        <v>6343</v>
      </c>
    </row>
    <row r="5665" hidden="1">
      <c r="A5665" s="83" t="s">
        <v>6339</v>
      </c>
      <c r="B5665" s="83" t="s">
        <v>6340</v>
      </c>
      <c r="C5665" s="81" t="s">
        <v>4621</v>
      </c>
      <c r="D5665" s="83" t="s">
        <v>4819</v>
      </c>
      <c r="E5665" s="81" t="s">
        <v>3900</v>
      </c>
      <c r="F5665" s="81">
        <v>760.0</v>
      </c>
      <c r="G5665" s="81" t="s">
        <v>41</v>
      </c>
      <c r="H5665" s="81" t="s">
        <v>3688</v>
      </c>
      <c r="I5665" s="81" t="s">
        <v>3695</v>
      </c>
      <c r="J5665" s="81" t="s">
        <v>6343</v>
      </c>
    </row>
    <row r="5666" hidden="1">
      <c r="A5666" s="83" t="s">
        <v>6339</v>
      </c>
      <c r="B5666" s="83" t="s">
        <v>6340</v>
      </c>
      <c r="C5666" s="81" t="s">
        <v>4621</v>
      </c>
      <c r="D5666" s="83" t="s">
        <v>4820</v>
      </c>
      <c r="E5666" s="81" t="s">
        <v>3903</v>
      </c>
      <c r="F5666" s="81">
        <v>761.0</v>
      </c>
      <c r="G5666" s="81" t="s">
        <v>41</v>
      </c>
      <c r="H5666" s="81" t="s">
        <v>3688</v>
      </c>
      <c r="I5666" s="81" t="s">
        <v>3695</v>
      </c>
      <c r="J5666" s="81" t="s">
        <v>6343</v>
      </c>
    </row>
    <row r="5667" hidden="1">
      <c r="A5667" s="83" t="s">
        <v>6339</v>
      </c>
      <c r="B5667" s="83" t="s">
        <v>6340</v>
      </c>
      <c r="C5667" s="81" t="s">
        <v>4621</v>
      </c>
      <c r="D5667" s="83" t="s">
        <v>4821</v>
      </c>
      <c r="E5667" s="81" t="s">
        <v>3906</v>
      </c>
      <c r="F5667" s="81">
        <v>762.0</v>
      </c>
      <c r="G5667" s="81" t="s">
        <v>41</v>
      </c>
      <c r="H5667" s="81" t="s">
        <v>3688</v>
      </c>
      <c r="I5667" s="81" t="s">
        <v>3695</v>
      </c>
      <c r="J5667" s="81" t="s">
        <v>6343</v>
      </c>
    </row>
    <row r="5668" hidden="1">
      <c r="A5668" s="83" t="s">
        <v>6339</v>
      </c>
      <c r="B5668" s="83" t="s">
        <v>6340</v>
      </c>
      <c r="C5668" s="81" t="s">
        <v>4621</v>
      </c>
      <c r="D5668" s="83" t="s">
        <v>4822</v>
      </c>
      <c r="E5668" s="81" t="s">
        <v>3909</v>
      </c>
      <c r="F5668" s="81">
        <v>763.0</v>
      </c>
      <c r="G5668" s="81" t="s">
        <v>41</v>
      </c>
      <c r="H5668" s="81" t="s">
        <v>3909</v>
      </c>
      <c r="I5668" s="81" t="s">
        <v>3914</v>
      </c>
      <c r="J5668" s="81" t="s">
        <v>6343</v>
      </c>
    </row>
    <row r="5669" hidden="1">
      <c r="A5669" s="83" t="s">
        <v>6339</v>
      </c>
      <c r="B5669" s="83" t="s">
        <v>6340</v>
      </c>
      <c r="C5669" s="81" t="s">
        <v>4621</v>
      </c>
      <c r="D5669" s="83" t="s">
        <v>4822</v>
      </c>
      <c r="E5669" s="81" t="s">
        <v>3916</v>
      </c>
      <c r="F5669" s="81">
        <v>764.0</v>
      </c>
      <c r="G5669" s="81" t="s">
        <v>41</v>
      </c>
      <c r="H5669" s="81" t="s">
        <v>3909</v>
      </c>
      <c r="I5669" s="81" t="s">
        <v>3914</v>
      </c>
      <c r="J5669" s="81" t="s">
        <v>6343</v>
      </c>
    </row>
    <row r="5670" hidden="1">
      <c r="A5670" s="83" t="s">
        <v>6339</v>
      </c>
      <c r="B5670" s="83" t="s">
        <v>6340</v>
      </c>
      <c r="C5670" s="81" t="s">
        <v>4621</v>
      </c>
      <c r="D5670" s="83" t="s">
        <v>4823</v>
      </c>
      <c r="E5670" s="81" t="s">
        <v>3917</v>
      </c>
      <c r="F5670" s="81">
        <v>765.0</v>
      </c>
      <c r="G5670" s="81" t="s">
        <v>41</v>
      </c>
      <c r="H5670" s="81" t="s">
        <v>3909</v>
      </c>
      <c r="I5670" s="81" t="s">
        <v>3914</v>
      </c>
      <c r="J5670" s="81" t="s">
        <v>6343</v>
      </c>
    </row>
    <row r="5671" hidden="1">
      <c r="A5671" s="83" t="s">
        <v>6339</v>
      </c>
      <c r="B5671" s="83" t="s">
        <v>6340</v>
      </c>
      <c r="C5671" s="81" t="s">
        <v>4621</v>
      </c>
      <c r="D5671" s="83" t="s">
        <v>4824</v>
      </c>
      <c r="E5671" s="81" t="s">
        <v>3920</v>
      </c>
      <c r="F5671" s="81">
        <v>766.0</v>
      </c>
      <c r="G5671" s="81" t="s">
        <v>41</v>
      </c>
      <c r="H5671" s="81" t="s">
        <v>3909</v>
      </c>
      <c r="I5671" s="81" t="s">
        <v>3914</v>
      </c>
      <c r="J5671" s="81" t="s">
        <v>6343</v>
      </c>
    </row>
    <row r="5672" hidden="1">
      <c r="A5672" s="83" t="s">
        <v>6339</v>
      </c>
      <c r="B5672" s="83" t="s">
        <v>6340</v>
      </c>
      <c r="C5672" s="81" t="s">
        <v>4621</v>
      </c>
      <c r="D5672" s="83" t="s">
        <v>4825</v>
      </c>
      <c r="E5672" s="81" t="s">
        <v>3923</v>
      </c>
      <c r="F5672" s="81">
        <v>767.0</v>
      </c>
      <c r="G5672" s="81" t="s">
        <v>41</v>
      </c>
      <c r="H5672" s="81" t="s">
        <v>3909</v>
      </c>
      <c r="I5672" s="81" t="s">
        <v>3914</v>
      </c>
      <c r="J5672" s="81" t="s">
        <v>6343</v>
      </c>
    </row>
    <row r="5673" hidden="1">
      <c r="A5673" s="83" t="s">
        <v>6339</v>
      </c>
      <c r="B5673" s="83" t="s">
        <v>6340</v>
      </c>
      <c r="C5673" s="81" t="s">
        <v>4621</v>
      </c>
      <c r="D5673" s="83" t="s">
        <v>4826</v>
      </c>
      <c r="E5673" s="81" t="s">
        <v>3926</v>
      </c>
      <c r="F5673" s="81">
        <v>768.0</v>
      </c>
      <c r="G5673" s="81" t="s">
        <v>41</v>
      </c>
      <c r="H5673" s="81" t="s">
        <v>3909</v>
      </c>
      <c r="I5673" s="81" t="s">
        <v>3914</v>
      </c>
      <c r="J5673" s="81" t="s">
        <v>6343</v>
      </c>
    </row>
    <row r="5674" hidden="1">
      <c r="A5674" s="83" t="s">
        <v>6339</v>
      </c>
      <c r="B5674" s="83" t="s">
        <v>6340</v>
      </c>
      <c r="C5674" s="81" t="s">
        <v>4621</v>
      </c>
      <c r="D5674" s="83" t="s">
        <v>4827</v>
      </c>
      <c r="E5674" s="81" t="s">
        <v>3929</v>
      </c>
      <c r="F5674" s="81">
        <v>769.0</v>
      </c>
      <c r="G5674" s="81" t="s">
        <v>41</v>
      </c>
      <c r="H5674" s="81" t="s">
        <v>3909</v>
      </c>
      <c r="I5674" s="81" t="s">
        <v>3914</v>
      </c>
      <c r="J5674" s="81" t="s">
        <v>6343</v>
      </c>
    </row>
    <row r="5675" hidden="1">
      <c r="A5675" s="83" t="s">
        <v>6339</v>
      </c>
      <c r="B5675" s="83" t="s">
        <v>6340</v>
      </c>
      <c r="C5675" s="81" t="s">
        <v>4621</v>
      </c>
      <c r="D5675" s="83" t="s">
        <v>4828</v>
      </c>
      <c r="E5675" s="81" t="s">
        <v>3932</v>
      </c>
      <c r="F5675" s="81">
        <v>770.0</v>
      </c>
      <c r="G5675" s="81" t="s">
        <v>41</v>
      </c>
      <c r="H5675" s="81" t="s">
        <v>3909</v>
      </c>
      <c r="I5675" s="81" t="s">
        <v>3914</v>
      </c>
      <c r="J5675" s="81" t="s">
        <v>6343</v>
      </c>
    </row>
    <row r="5676" hidden="1">
      <c r="A5676" s="83" t="s">
        <v>6339</v>
      </c>
      <c r="B5676" s="83" t="s">
        <v>6340</v>
      </c>
      <c r="C5676" s="81" t="s">
        <v>4621</v>
      </c>
      <c r="D5676" s="83" t="s">
        <v>4828</v>
      </c>
      <c r="E5676" s="81" t="s">
        <v>3935</v>
      </c>
      <c r="F5676" s="81">
        <v>771.0</v>
      </c>
      <c r="G5676" s="81" t="s">
        <v>41</v>
      </c>
      <c r="H5676" s="81" t="s">
        <v>3909</v>
      </c>
      <c r="I5676" s="81" t="s">
        <v>3914</v>
      </c>
      <c r="J5676" s="81" t="s">
        <v>6343</v>
      </c>
    </row>
    <row r="5677" hidden="1">
      <c r="A5677" s="83" t="s">
        <v>6339</v>
      </c>
      <c r="B5677" s="83" t="s">
        <v>6340</v>
      </c>
      <c r="C5677" s="81" t="s">
        <v>4621</v>
      </c>
      <c r="D5677" s="83" t="s">
        <v>4829</v>
      </c>
      <c r="E5677" s="81" t="s">
        <v>3936</v>
      </c>
      <c r="F5677" s="81">
        <v>772.0</v>
      </c>
      <c r="G5677" s="81" t="s">
        <v>41</v>
      </c>
      <c r="H5677" s="81" t="s">
        <v>3909</v>
      </c>
      <c r="I5677" s="81" t="s">
        <v>3914</v>
      </c>
      <c r="J5677" s="81" t="s">
        <v>6343</v>
      </c>
    </row>
    <row r="5678" hidden="1">
      <c r="A5678" s="83" t="s">
        <v>6339</v>
      </c>
      <c r="B5678" s="83" t="s">
        <v>6340</v>
      </c>
      <c r="C5678" s="81" t="s">
        <v>4621</v>
      </c>
      <c r="D5678" s="83" t="s">
        <v>4830</v>
      </c>
      <c r="E5678" s="81" t="s">
        <v>3939</v>
      </c>
      <c r="F5678" s="81">
        <v>773.0</v>
      </c>
      <c r="G5678" s="81" t="s">
        <v>41</v>
      </c>
      <c r="H5678" s="81" t="s">
        <v>3909</v>
      </c>
      <c r="I5678" s="81" t="s">
        <v>3914</v>
      </c>
      <c r="J5678" s="81" t="s">
        <v>6343</v>
      </c>
    </row>
    <row r="5679" hidden="1">
      <c r="A5679" s="83" t="s">
        <v>6339</v>
      </c>
      <c r="B5679" s="83" t="s">
        <v>6340</v>
      </c>
      <c r="C5679" s="81" t="s">
        <v>4621</v>
      </c>
      <c r="D5679" s="83" t="s">
        <v>4831</v>
      </c>
      <c r="E5679" s="81" t="s">
        <v>3942</v>
      </c>
      <c r="F5679" s="81">
        <v>774.0</v>
      </c>
      <c r="G5679" s="81" t="s">
        <v>41</v>
      </c>
      <c r="H5679" s="81" t="s">
        <v>3909</v>
      </c>
      <c r="I5679" s="81" t="s">
        <v>3914</v>
      </c>
      <c r="J5679" s="81" t="s">
        <v>6343</v>
      </c>
    </row>
    <row r="5680" hidden="1">
      <c r="A5680" s="83" t="s">
        <v>6339</v>
      </c>
      <c r="B5680" s="83" t="s">
        <v>6340</v>
      </c>
      <c r="C5680" s="81" t="s">
        <v>4621</v>
      </c>
      <c r="D5680" s="83" t="s">
        <v>4832</v>
      </c>
      <c r="E5680" s="81" t="s">
        <v>3945</v>
      </c>
      <c r="F5680" s="81">
        <v>775.0</v>
      </c>
      <c r="G5680" s="81" t="s">
        <v>41</v>
      </c>
      <c r="H5680" s="81" t="s">
        <v>3945</v>
      </c>
      <c r="I5680" s="81" t="s">
        <v>3951</v>
      </c>
      <c r="J5680" s="81" t="s">
        <v>6343</v>
      </c>
    </row>
    <row r="5681" hidden="1">
      <c r="A5681" s="83" t="s">
        <v>6339</v>
      </c>
      <c r="B5681" s="83" t="s">
        <v>6340</v>
      </c>
      <c r="C5681" s="81" t="s">
        <v>4621</v>
      </c>
      <c r="D5681" s="83" t="s">
        <v>4832</v>
      </c>
      <c r="E5681" s="81" t="s">
        <v>3955</v>
      </c>
      <c r="F5681" s="81">
        <v>776.0</v>
      </c>
      <c r="G5681" s="81" t="s">
        <v>41</v>
      </c>
      <c r="H5681" s="81" t="s">
        <v>3945</v>
      </c>
      <c r="I5681" s="81" t="s">
        <v>3951</v>
      </c>
      <c r="J5681" s="81" t="s">
        <v>6343</v>
      </c>
    </row>
    <row r="5682" hidden="1">
      <c r="A5682" s="83" t="s">
        <v>6339</v>
      </c>
      <c r="B5682" s="83" t="s">
        <v>6340</v>
      </c>
      <c r="C5682" s="81" t="s">
        <v>4621</v>
      </c>
      <c r="D5682" s="83" t="s">
        <v>4833</v>
      </c>
      <c r="E5682" s="81" t="s">
        <v>3956</v>
      </c>
      <c r="F5682" s="81">
        <v>777.0</v>
      </c>
      <c r="G5682" s="81" t="s">
        <v>41</v>
      </c>
      <c r="H5682" s="81" t="s">
        <v>3945</v>
      </c>
      <c r="I5682" s="81" t="s">
        <v>3951</v>
      </c>
      <c r="J5682" s="81" t="s">
        <v>6343</v>
      </c>
    </row>
    <row r="5683" hidden="1">
      <c r="A5683" s="83" t="s">
        <v>6339</v>
      </c>
      <c r="B5683" s="83" t="s">
        <v>6340</v>
      </c>
      <c r="C5683" s="81" t="s">
        <v>4621</v>
      </c>
      <c r="D5683" s="83" t="s">
        <v>4834</v>
      </c>
      <c r="E5683" s="81" t="s">
        <v>3959</v>
      </c>
      <c r="F5683" s="81">
        <v>778.0</v>
      </c>
      <c r="G5683" s="81" t="s">
        <v>41</v>
      </c>
      <c r="H5683" s="81" t="s">
        <v>3945</v>
      </c>
      <c r="I5683" s="81" t="s">
        <v>3951</v>
      </c>
      <c r="J5683" s="81" t="s">
        <v>6343</v>
      </c>
    </row>
    <row r="5684" hidden="1">
      <c r="A5684" s="83" t="s">
        <v>6339</v>
      </c>
      <c r="B5684" s="83" t="s">
        <v>6340</v>
      </c>
      <c r="C5684" s="81" t="s">
        <v>4621</v>
      </c>
      <c r="D5684" s="83" t="s">
        <v>4835</v>
      </c>
      <c r="E5684" s="81" t="s">
        <v>3962</v>
      </c>
      <c r="F5684" s="81">
        <v>779.0</v>
      </c>
      <c r="G5684" s="81" t="s">
        <v>41</v>
      </c>
      <c r="H5684" s="81" t="s">
        <v>3945</v>
      </c>
      <c r="I5684" s="81" t="s">
        <v>3951</v>
      </c>
      <c r="J5684" s="81" t="s">
        <v>6343</v>
      </c>
    </row>
    <row r="5685" hidden="1">
      <c r="A5685" s="83" t="s">
        <v>6339</v>
      </c>
      <c r="B5685" s="83" t="s">
        <v>6340</v>
      </c>
      <c r="C5685" s="81" t="s">
        <v>4621</v>
      </c>
      <c r="D5685" s="83" t="s">
        <v>4836</v>
      </c>
      <c r="E5685" s="81" t="s">
        <v>3965</v>
      </c>
      <c r="F5685" s="81">
        <v>780.0</v>
      </c>
      <c r="G5685" s="81" t="s">
        <v>41</v>
      </c>
      <c r="H5685" s="81" t="s">
        <v>3945</v>
      </c>
      <c r="I5685" s="81" t="s">
        <v>3951</v>
      </c>
      <c r="J5685" s="81" t="s">
        <v>6343</v>
      </c>
    </row>
    <row r="5686" hidden="1">
      <c r="A5686" s="83" t="s">
        <v>6339</v>
      </c>
      <c r="B5686" s="83" t="s">
        <v>6340</v>
      </c>
      <c r="C5686" s="81" t="s">
        <v>4621</v>
      </c>
      <c r="D5686" s="83" t="s">
        <v>4837</v>
      </c>
      <c r="E5686" s="81" t="s">
        <v>3968</v>
      </c>
      <c r="F5686" s="81">
        <v>781.0</v>
      </c>
      <c r="G5686" s="81" t="s">
        <v>41</v>
      </c>
      <c r="H5686" s="81" t="s">
        <v>3945</v>
      </c>
      <c r="I5686" s="81" t="s">
        <v>3951</v>
      </c>
      <c r="J5686" s="81" t="s">
        <v>6343</v>
      </c>
    </row>
    <row r="5687" hidden="1">
      <c r="A5687" s="83" t="s">
        <v>6339</v>
      </c>
      <c r="B5687" s="83" t="s">
        <v>6340</v>
      </c>
      <c r="C5687" s="81" t="s">
        <v>4621</v>
      </c>
      <c r="D5687" s="83" t="s">
        <v>4838</v>
      </c>
      <c r="E5687" s="81" t="s">
        <v>3971</v>
      </c>
      <c r="F5687" s="81">
        <v>782.0</v>
      </c>
      <c r="G5687" s="81" t="s">
        <v>41</v>
      </c>
      <c r="H5687" s="81" t="s">
        <v>3971</v>
      </c>
      <c r="I5687" s="81" t="s">
        <v>3977</v>
      </c>
      <c r="J5687" s="81" t="s">
        <v>6343</v>
      </c>
    </row>
    <row r="5688" hidden="1">
      <c r="A5688" s="83" t="s">
        <v>6339</v>
      </c>
      <c r="B5688" s="83" t="s">
        <v>6340</v>
      </c>
      <c r="C5688" s="81" t="s">
        <v>4621</v>
      </c>
      <c r="D5688" s="83" t="s">
        <v>4838</v>
      </c>
      <c r="E5688" s="81" t="s">
        <v>3981</v>
      </c>
      <c r="F5688" s="81">
        <v>783.0</v>
      </c>
      <c r="G5688" s="81" t="s">
        <v>41</v>
      </c>
      <c r="H5688" s="81" t="s">
        <v>3971</v>
      </c>
      <c r="I5688" s="81" t="s">
        <v>3977</v>
      </c>
      <c r="J5688" s="81" t="s">
        <v>6343</v>
      </c>
    </row>
    <row r="5689" hidden="1">
      <c r="A5689" s="83" t="s">
        <v>6339</v>
      </c>
      <c r="B5689" s="83" t="s">
        <v>6340</v>
      </c>
      <c r="C5689" s="81" t="s">
        <v>4621</v>
      </c>
      <c r="D5689" s="83" t="s">
        <v>4839</v>
      </c>
      <c r="E5689" s="81" t="s">
        <v>3982</v>
      </c>
      <c r="F5689" s="81">
        <v>784.0</v>
      </c>
      <c r="G5689" s="81" t="s">
        <v>41</v>
      </c>
      <c r="H5689" s="81" t="s">
        <v>3971</v>
      </c>
      <c r="I5689" s="81" t="s">
        <v>3977</v>
      </c>
      <c r="J5689" s="81" t="s">
        <v>6343</v>
      </c>
    </row>
    <row r="5690" hidden="1">
      <c r="A5690" s="83" t="s">
        <v>6339</v>
      </c>
      <c r="B5690" s="83" t="s">
        <v>6340</v>
      </c>
      <c r="C5690" s="81" t="s">
        <v>4621</v>
      </c>
      <c r="D5690" s="83" t="s">
        <v>4840</v>
      </c>
      <c r="E5690" s="81" t="s">
        <v>3985</v>
      </c>
      <c r="F5690" s="81">
        <v>785.0</v>
      </c>
      <c r="G5690" s="81" t="s">
        <v>41</v>
      </c>
      <c r="H5690" s="81" t="s">
        <v>3971</v>
      </c>
      <c r="I5690" s="81" t="s">
        <v>3977</v>
      </c>
      <c r="J5690" s="81" t="s">
        <v>6343</v>
      </c>
    </row>
    <row r="5691" hidden="1">
      <c r="A5691" s="83" t="s">
        <v>6339</v>
      </c>
      <c r="B5691" s="83" t="s">
        <v>6340</v>
      </c>
      <c r="C5691" s="81" t="s">
        <v>4621</v>
      </c>
      <c r="D5691" s="83" t="s">
        <v>4841</v>
      </c>
      <c r="E5691" s="81" t="s">
        <v>3988</v>
      </c>
      <c r="F5691" s="81">
        <v>786.0</v>
      </c>
      <c r="G5691" s="81" t="s">
        <v>41</v>
      </c>
      <c r="H5691" s="81" t="s">
        <v>3971</v>
      </c>
      <c r="I5691" s="81" t="s">
        <v>3977</v>
      </c>
      <c r="J5691" s="81" t="s">
        <v>6343</v>
      </c>
    </row>
    <row r="5692" hidden="1">
      <c r="A5692" s="83" t="s">
        <v>6339</v>
      </c>
      <c r="B5692" s="83" t="s">
        <v>6340</v>
      </c>
      <c r="C5692" s="81" t="s">
        <v>4621</v>
      </c>
      <c r="D5692" s="83" t="s">
        <v>4842</v>
      </c>
      <c r="E5692" s="81" t="s">
        <v>3991</v>
      </c>
      <c r="F5692" s="81">
        <v>787.0</v>
      </c>
      <c r="G5692" s="81" t="s">
        <v>41</v>
      </c>
      <c r="H5692" s="81" t="s">
        <v>3971</v>
      </c>
      <c r="I5692" s="81" t="s">
        <v>3977</v>
      </c>
      <c r="J5692" s="81" t="s">
        <v>6343</v>
      </c>
    </row>
    <row r="5693" hidden="1">
      <c r="A5693" s="83" t="s">
        <v>6339</v>
      </c>
      <c r="B5693" s="83" t="s">
        <v>6340</v>
      </c>
      <c r="C5693" s="81" t="s">
        <v>4621</v>
      </c>
      <c r="D5693" s="83" t="s">
        <v>4843</v>
      </c>
      <c r="E5693" s="81" t="s">
        <v>3994</v>
      </c>
      <c r="F5693" s="81">
        <v>788.0</v>
      </c>
      <c r="G5693" s="81" t="s">
        <v>41</v>
      </c>
      <c r="H5693" s="81" t="s">
        <v>3971</v>
      </c>
      <c r="I5693" s="81" t="s">
        <v>3977</v>
      </c>
      <c r="J5693" s="81" t="s">
        <v>6343</v>
      </c>
    </row>
    <row r="5694" hidden="1">
      <c r="A5694" s="83" t="s">
        <v>6339</v>
      </c>
      <c r="B5694" s="83" t="s">
        <v>6340</v>
      </c>
      <c r="C5694" s="81" t="s">
        <v>4082</v>
      </c>
      <c r="D5694" s="83" t="s">
        <v>4847</v>
      </c>
      <c r="E5694" s="81" t="s">
        <v>4005</v>
      </c>
      <c r="F5694" s="81">
        <v>794.0</v>
      </c>
      <c r="G5694" s="81" t="s">
        <v>39</v>
      </c>
      <c r="H5694" s="81" t="s">
        <v>224</v>
      </c>
      <c r="I5694" s="81" t="s">
        <v>224</v>
      </c>
      <c r="J5694" s="81" t="s">
        <v>6316</v>
      </c>
    </row>
    <row r="5695" hidden="1">
      <c r="A5695" s="83" t="s">
        <v>6339</v>
      </c>
      <c r="B5695" s="83" t="s">
        <v>6340</v>
      </c>
      <c r="C5695" s="81" t="s">
        <v>4084</v>
      </c>
      <c r="D5695" s="81" t="s">
        <v>224</v>
      </c>
      <c r="E5695" s="81" t="s">
        <v>224</v>
      </c>
      <c r="F5695" s="81" t="s">
        <v>224</v>
      </c>
      <c r="G5695" s="81" t="s">
        <v>40</v>
      </c>
      <c r="H5695" s="81" t="s">
        <v>224</v>
      </c>
      <c r="I5695" s="81" t="s">
        <v>224</v>
      </c>
      <c r="J5695" s="81" t="s">
        <v>6338</v>
      </c>
    </row>
    <row r="5696" hidden="1">
      <c r="A5696" s="83" t="s">
        <v>6339</v>
      </c>
      <c r="B5696" s="83" t="s">
        <v>6340</v>
      </c>
      <c r="C5696" s="81" t="s">
        <v>4084</v>
      </c>
      <c r="D5696" s="81" t="s">
        <v>224</v>
      </c>
      <c r="E5696" s="81" t="s">
        <v>224</v>
      </c>
      <c r="F5696" s="81" t="s">
        <v>224</v>
      </c>
      <c r="G5696" s="81" t="s">
        <v>41</v>
      </c>
      <c r="H5696" s="81" t="s">
        <v>224</v>
      </c>
      <c r="I5696" s="81" t="s">
        <v>224</v>
      </c>
      <c r="J5696" s="81" t="s">
        <v>6358</v>
      </c>
    </row>
    <row r="5697" hidden="1">
      <c r="A5697" s="83" t="s">
        <v>6359</v>
      </c>
      <c r="B5697" s="83" t="s">
        <v>6360</v>
      </c>
      <c r="C5697" s="81" t="s">
        <v>4080</v>
      </c>
      <c r="D5697" s="81" t="s">
        <v>224</v>
      </c>
      <c r="E5697" s="81" t="s">
        <v>224</v>
      </c>
      <c r="F5697" s="81" t="s">
        <v>224</v>
      </c>
      <c r="G5697" s="81" t="s">
        <v>224</v>
      </c>
      <c r="H5697" s="81" t="s">
        <v>224</v>
      </c>
      <c r="I5697" s="81" t="s">
        <v>224</v>
      </c>
      <c r="J5697" s="81" t="s">
        <v>6361</v>
      </c>
    </row>
    <row r="5698" hidden="1">
      <c r="A5698" s="83" t="s">
        <v>6359</v>
      </c>
      <c r="B5698" s="83" t="s">
        <v>6360</v>
      </c>
      <c r="C5698" s="81" t="s">
        <v>4082</v>
      </c>
      <c r="D5698" s="81" t="s">
        <v>224</v>
      </c>
      <c r="E5698" s="81" t="s">
        <v>6362</v>
      </c>
      <c r="F5698" s="81" t="s">
        <v>224</v>
      </c>
      <c r="G5698" s="81" t="s">
        <v>42</v>
      </c>
      <c r="H5698" s="81" t="s">
        <v>224</v>
      </c>
      <c r="I5698" s="81" t="s">
        <v>224</v>
      </c>
      <c r="J5698" s="81" t="s">
        <v>6363</v>
      </c>
    </row>
    <row r="5699" hidden="1">
      <c r="A5699" s="83" t="s">
        <v>6359</v>
      </c>
      <c r="B5699" s="83" t="s">
        <v>6360</v>
      </c>
      <c r="C5699" s="81" t="s">
        <v>4084</v>
      </c>
      <c r="D5699" s="81" t="s">
        <v>224</v>
      </c>
      <c r="E5699" s="81" t="s">
        <v>224</v>
      </c>
      <c r="F5699" s="81" t="s">
        <v>224</v>
      </c>
      <c r="G5699" s="81" t="s">
        <v>224</v>
      </c>
      <c r="H5699" s="81" t="s">
        <v>224</v>
      </c>
      <c r="I5699" s="81" t="s">
        <v>224</v>
      </c>
      <c r="J5699" s="81" t="s">
        <v>6364</v>
      </c>
    </row>
    <row r="5700" hidden="1">
      <c r="A5700" s="83" t="s">
        <v>6359</v>
      </c>
      <c r="B5700" s="83" t="s">
        <v>6360</v>
      </c>
      <c r="C5700" s="81" t="s">
        <v>4082</v>
      </c>
      <c r="D5700" s="81" t="s">
        <v>224</v>
      </c>
      <c r="E5700" s="81" t="s">
        <v>4953</v>
      </c>
      <c r="F5700" s="81" t="s">
        <v>224</v>
      </c>
      <c r="G5700" s="81" t="s">
        <v>224</v>
      </c>
      <c r="H5700" s="81" t="s">
        <v>224</v>
      </c>
      <c r="I5700" s="81" t="s">
        <v>224</v>
      </c>
      <c r="J5700" s="81" t="s">
        <v>4954</v>
      </c>
    </row>
    <row r="5701" hidden="1">
      <c r="A5701" s="83" t="s">
        <v>6359</v>
      </c>
      <c r="B5701" s="83" t="s">
        <v>6360</v>
      </c>
      <c r="C5701" s="81" t="s">
        <v>4082</v>
      </c>
      <c r="D5701" s="81" t="s">
        <v>224</v>
      </c>
      <c r="E5701" s="81" t="s">
        <v>4955</v>
      </c>
      <c r="F5701" s="81" t="s">
        <v>224</v>
      </c>
      <c r="G5701" s="81" t="s">
        <v>224</v>
      </c>
      <c r="H5701" s="81" t="s">
        <v>224</v>
      </c>
      <c r="I5701" s="81" t="s">
        <v>224</v>
      </c>
      <c r="J5701" s="81" t="s">
        <v>4954</v>
      </c>
    </row>
    <row r="5702" hidden="1">
      <c r="A5702" s="83" t="s">
        <v>6359</v>
      </c>
      <c r="B5702" s="83" t="s">
        <v>6360</v>
      </c>
      <c r="C5702" s="81" t="s">
        <v>4082</v>
      </c>
      <c r="D5702" s="81" t="s">
        <v>224</v>
      </c>
      <c r="E5702" s="81" t="s">
        <v>4009</v>
      </c>
      <c r="F5702" s="81" t="s">
        <v>224</v>
      </c>
      <c r="G5702" s="81" t="s">
        <v>224</v>
      </c>
      <c r="H5702" s="81" t="s">
        <v>224</v>
      </c>
      <c r="I5702" s="81" t="s">
        <v>224</v>
      </c>
      <c r="J5702" s="81" t="s">
        <v>4954</v>
      </c>
    </row>
    <row r="5703" hidden="1">
      <c r="A5703" s="83" t="s">
        <v>6359</v>
      </c>
      <c r="B5703" s="83" t="s">
        <v>6360</v>
      </c>
      <c r="C5703" s="81" t="s">
        <v>4082</v>
      </c>
      <c r="D5703" s="81" t="s">
        <v>224</v>
      </c>
      <c r="E5703" s="81" t="s">
        <v>4956</v>
      </c>
      <c r="F5703" s="81" t="s">
        <v>224</v>
      </c>
      <c r="G5703" s="81" t="s">
        <v>224</v>
      </c>
      <c r="H5703" s="81" t="s">
        <v>224</v>
      </c>
      <c r="I5703" s="81" t="s">
        <v>224</v>
      </c>
      <c r="J5703" s="81" t="s">
        <v>4957</v>
      </c>
    </row>
    <row r="5704" hidden="1">
      <c r="A5704" s="83" t="s">
        <v>6359</v>
      </c>
      <c r="B5704" s="83" t="s">
        <v>6360</v>
      </c>
      <c r="C5704" s="81" t="s">
        <v>4082</v>
      </c>
      <c r="D5704" s="81" t="s">
        <v>224</v>
      </c>
      <c r="E5704" s="81" t="s">
        <v>4958</v>
      </c>
      <c r="F5704" s="81" t="s">
        <v>224</v>
      </c>
      <c r="G5704" s="81" t="s">
        <v>224</v>
      </c>
      <c r="H5704" s="81" t="s">
        <v>224</v>
      </c>
      <c r="I5704" s="81" t="s">
        <v>224</v>
      </c>
      <c r="J5704" s="81" t="s">
        <v>4959</v>
      </c>
    </row>
    <row r="5705" hidden="1">
      <c r="A5705" s="83" t="s">
        <v>6359</v>
      </c>
      <c r="B5705" s="83" t="s">
        <v>6360</v>
      </c>
      <c r="C5705" s="81" t="s">
        <v>4082</v>
      </c>
      <c r="D5705" s="81" t="s">
        <v>224</v>
      </c>
      <c r="E5705" s="81" t="s">
        <v>4960</v>
      </c>
      <c r="F5705" s="81" t="s">
        <v>224</v>
      </c>
      <c r="G5705" s="81" t="s">
        <v>224</v>
      </c>
      <c r="H5705" s="81" t="s">
        <v>224</v>
      </c>
      <c r="I5705" s="81" t="s">
        <v>224</v>
      </c>
      <c r="J5705" s="81" t="s">
        <v>4961</v>
      </c>
    </row>
    <row r="5706" hidden="1">
      <c r="A5706" s="83" t="s">
        <v>6359</v>
      </c>
      <c r="B5706" s="83" t="s">
        <v>6360</v>
      </c>
      <c r="C5706" s="81" t="s">
        <v>4082</v>
      </c>
      <c r="D5706" s="81" t="s">
        <v>224</v>
      </c>
      <c r="E5706" s="81" t="s">
        <v>4962</v>
      </c>
      <c r="F5706" s="81" t="s">
        <v>224</v>
      </c>
      <c r="G5706" s="81" t="s">
        <v>224</v>
      </c>
      <c r="H5706" s="81" t="s">
        <v>224</v>
      </c>
      <c r="I5706" s="81" t="s">
        <v>224</v>
      </c>
      <c r="J5706" s="81" t="s">
        <v>4963</v>
      </c>
    </row>
    <row r="5707" hidden="1">
      <c r="A5707" s="83" t="s">
        <v>6359</v>
      </c>
      <c r="B5707" s="83" t="s">
        <v>6360</v>
      </c>
      <c r="C5707" s="81" t="s">
        <v>4082</v>
      </c>
      <c r="D5707" s="81" t="s">
        <v>224</v>
      </c>
      <c r="E5707" s="81" t="s">
        <v>4964</v>
      </c>
      <c r="F5707" s="81" t="s">
        <v>224</v>
      </c>
      <c r="G5707" s="81" t="s">
        <v>224</v>
      </c>
      <c r="H5707" s="81" t="s">
        <v>224</v>
      </c>
      <c r="I5707" s="81" t="s">
        <v>224</v>
      </c>
      <c r="J5707" s="81" t="s">
        <v>4963</v>
      </c>
    </row>
    <row r="5708" hidden="1">
      <c r="A5708" s="83" t="s">
        <v>6359</v>
      </c>
      <c r="B5708" s="83" t="s">
        <v>6360</v>
      </c>
      <c r="C5708" s="81" t="s">
        <v>4082</v>
      </c>
      <c r="D5708" s="81" t="s">
        <v>224</v>
      </c>
      <c r="E5708" s="81" t="s">
        <v>4965</v>
      </c>
      <c r="F5708" s="81" t="s">
        <v>224</v>
      </c>
      <c r="G5708" s="81" t="s">
        <v>224</v>
      </c>
      <c r="H5708" s="81" t="s">
        <v>224</v>
      </c>
      <c r="I5708" s="81" t="s">
        <v>224</v>
      </c>
      <c r="J5708" s="81" t="s">
        <v>4966</v>
      </c>
    </row>
    <row r="5709" hidden="1">
      <c r="A5709" s="83" t="s">
        <v>6359</v>
      </c>
      <c r="B5709" s="83" t="s">
        <v>6360</v>
      </c>
      <c r="C5709" s="81" t="s">
        <v>4082</v>
      </c>
      <c r="D5709" s="81" t="s">
        <v>224</v>
      </c>
      <c r="E5709" s="81" t="s">
        <v>4967</v>
      </c>
      <c r="F5709" s="81" t="s">
        <v>224</v>
      </c>
      <c r="G5709" s="81" t="s">
        <v>224</v>
      </c>
      <c r="H5709" s="81" t="s">
        <v>224</v>
      </c>
      <c r="I5709" s="81" t="s">
        <v>224</v>
      </c>
      <c r="J5709" s="81" t="s">
        <v>4966</v>
      </c>
    </row>
    <row r="5710" hidden="1">
      <c r="A5710" s="83" t="s">
        <v>6359</v>
      </c>
      <c r="B5710" s="83" t="s">
        <v>6360</v>
      </c>
      <c r="C5710" s="81" t="s">
        <v>4082</v>
      </c>
      <c r="D5710" s="81" t="s">
        <v>224</v>
      </c>
      <c r="E5710" s="81" t="s">
        <v>4968</v>
      </c>
      <c r="F5710" s="81" t="s">
        <v>224</v>
      </c>
      <c r="G5710" s="81" t="s">
        <v>224</v>
      </c>
      <c r="H5710" s="81" t="s">
        <v>224</v>
      </c>
      <c r="I5710" s="81" t="s">
        <v>224</v>
      </c>
      <c r="J5710" s="81" t="s">
        <v>4966</v>
      </c>
    </row>
    <row r="5711" hidden="1">
      <c r="A5711" s="83" t="s">
        <v>6359</v>
      </c>
      <c r="B5711" s="83" t="s">
        <v>6360</v>
      </c>
      <c r="C5711" s="81" t="s">
        <v>4082</v>
      </c>
      <c r="D5711" s="81" t="s">
        <v>224</v>
      </c>
      <c r="E5711" s="81" t="s">
        <v>4969</v>
      </c>
      <c r="F5711" s="81" t="s">
        <v>224</v>
      </c>
      <c r="G5711" s="81" t="s">
        <v>224</v>
      </c>
      <c r="H5711" s="81" t="s">
        <v>224</v>
      </c>
      <c r="I5711" s="81" t="s">
        <v>224</v>
      </c>
      <c r="J5711" s="81" t="s">
        <v>4966</v>
      </c>
    </row>
    <row r="5712" hidden="1">
      <c r="A5712" s="83" t="s">
        <v>6359</v>
      </c>
      <c r="B5712" s="83" t="s">
        <v>6360</v>
      </c>
      <c r="C5712" s="81" t="s">
        <v>4082</v>
      </c>
      <c r="D5712" s="81" t="s">
        <v>224</v>
      </c>
      <c r="E5712" s="81" t="s">
        <v>4970</v>
      </c>
      <c r="F5712" s="81" t="s">
        <v>224</v>
      </c>
      <c r="G5712" s="81" t="s">
        <v>224</v>
      </c>
      <c r="H5712" s="81" t="s">
        <v>224</v>
      </c>
      <c r="I5712" s="81" t="s">
        <v>224</v>
      </c>
      <c r="J5712" s="81" t="s">
        <v>4966</v>
      </c>
    </row>
    <row r="5713" hidden="1">
      <c r="A5713" s="83" t="s">
        <v>6359</v>
      </c>
      <c r="B5713" s="83" t="s">
        <v>6360</v>
      </c>
      <c r="C5713" s="81" t="s">
        <v>4082</v>
      </c>
      <c r="D5713" s="81" t="s">
        <v>224</v>
      </c>
      <c r="E5713" s="81" t="s">
        <v>4971</v>
      </c>
      <c r="F5713" s="81" t="s">
        <v>224</v>
      </c>
      <c r="G5713" s="81" t="s">
        <v>224</v>
      </c>
      <c r="H5713" s="81" t="s">
        <v>224</v>
      </c>
      <c r="I5713" s="81" t="s">
        <v>224</v>
      </c>
      <c r="J5713" s="81" t="s">
        <v>4966</v>
      </c>
    </row>
    <row r="5714" hidden="1">
      <c r="A5714" s="83" t="s">
        <v>6359</v>
      </c>
      <c r="B5714" s="83" t="s">
        <v>6360</v>
      </c>
      <c r="C5714" s="81" t="s">
        <v>4082</v>
      </c>
      <c r="D5714" s="81" t="s">
        <v>224</v>
      </c>
      <c r="E5714" s="81" t="s">
        <v>4972</v>
      </c>
      <c r="F5714" s="81" t="s">
        <v>224</v>
      </c>
      <c r="G5714" s="81" t="s">
        <v>224</v>
      </c>
      <c r="H5714" s="81" t="s">
        <v>224</v>
      </c>
      <c r="I5714" s="81" t="s">
        <v>224</v>
      </c>
      <c r="J5714" s="81" t="s">
        <v>4966</v>
      </c>
    </row>
    <row r="5715" hidden="1">
      <c r="A5715" s="83" t="s">
        <v>6359</v>
      </c>
      <c r="B5715" s="83" t="s">
        <v>6360</v>
      </c>
      <c r="C5715" s="81" t="s">
        <v>4082</v>
      </c>
      <c r="D5715" s="81" t="s">
        <v>224</v>
      </c>
      <c r="E5715" s="81" t="s">
        <v>4973</v>
      </c>
      <c r="F5715" s="81" t="s">
        <v>224</v>
      </c>
      <c r="G5715" s="81" t="s">
        <v>224</v>
      </c>
      <c r="H5715" s="81" t="s">
        <v>224</v>
      </c>
      <c r="I5715" s="81" t="s">
        <v>224</v>
      </c>
      <c r="J5715" s="81" t="s">
        <v>4974</v>
      </c>
    </row>
    <row r="5716" hidden="1">
      <c r="A5716" s="83" t="s">
        <v>6359</v>
      </c>
      <c r="B5716" s="83" t="s">
        <v>6360</v>
      </c>
      <c r="C5716" s="81" t="s">
        <v>4082</v>
      </c>
      <c r="D5716" s="81" t="s">
        <v>224</v>
      </c>
      <c r="E5716" s="81" t="s">
        <v>4975</v>
      </c>
      <c r="F5716" s="81" t="s">
        <v>224</v>
      </c>
      <c r="G5716" s="81" t="s">
        <v>224</v>
      </c>
      <c r="H5716" s="81" t="s">
        <v>224</v>
      </c>
      <c r="I5716" s="81" t="s">
        <v>224</v>
      </c>
      <c r="J5716" s="81" t="s">
        <v>4976</v>
      </c>
    </row>
    <row r="5717" hidden="1">
      <c r="A5717" s="83" t="s">
        <v>6359</v>
      </c>
      <c r="B5717" s="83" t="s">
        <v>6360</v>
      </c>
      <c r="C5717" s="81" t="s">
        <v>4082</v>
      </c>
      <c r="D5717" s="81" t="s">
        <v>224</v>
      </c>
      <c r="E5717" s="81" t="s">
        <v>4025</v>
      </c>
      <c r="F5717" s="81" t="s">
        <v>224</v>
      </c>
      <c r="G5717" s="81" t="s">
        <v>224</v>
      </c>
      <c r="H5717" s="81" t="s">
        <v>224</v>
      </c>
      <c r="I5717" s="81" t="s">
        <v>224</v>
      </c>
      <c r="J5717" s="81" t="s">
        <v>4977</v>
      </c>
    </row>
    <row r="5718" hidden="1">
      <c r="A5718" s="83" t="s">
        <v>6359</v>
      </c>
      <c r="B5718" s="83" t="s">
        <v>6360</v>
      </c>
      <c r="C5718" s="81" t="s">
        <v>4082</v>
      </c>
      <c r="D5718" s="81" t="s">
        <v>224</v>
      </c>
      <c r="E5718" s="81" t="s">
        <v>4033</v>
      </c>
      <c r="F5718" s="81" t="s">
        <v>224</v>
      </c>
      <c r="G5718" s="81" t="s">
        <v>224</v>
      </c>
      <c r="H5718" s="81" t="s">
        <v>224</v>
      </c>
      <c r="I5718" s="81" t="s">
        <v>224</v>
      </c>
      <c r="J5718" s="81" t="s">
        <v>4978</v>
      </c>
    </row>
    <row r="5719" hidden="1">
      <c r="A5719" s="83" t="s">
        <v>6359</v>
      </c>
      <c r="B5719" s="83" t="s">
        <v>6360</v>
      </c>
      <c r="C5719" s="81" t="s">
        <v>4082</v>
      </c>
      <c r="D5719" s="81" t="s">
        <v>224</v>
      </c>
      <c r="E5719" s="81" t="s">
        <v>4979</v>
      </c>
      <c r="F5719" s="81" t="s">
        <v>224</v>
      </c>
      <c r="G5719" s="81" t="s">
        <v>224</v>
      </c>
      <c r="H5719" s="81" t="s">
        <v>224</v>
      </c>
      <c r="I5719" s="81" t="s">
        <v>224</v>
      </c>
      <c r="J5719" s="81" t="s">
        <v>4980</v>
      </c>
    </row>
    <row r="5720" hidden="1">
      <c r="A5720" s="83" t="s">
        <v>6359</v>
      </c>
      <c r="B5720" s="83" t="s">
        <v>6360</v>
      </c>
      <c r="C5720" s="81" t="s">
        <v>4082</v>
      </c>
      <c r="D5720" s="81" t="s">
        <v>224</v>
      </c>
      <c r="E5720" s="81" t="s">
        <v>4981</v>
      </c>
      <c r="F5720" s="81" t="s">
        <v>224</v>
      </c>
      <c r="G5720" s="81" t="s">
        <v>224</v>
      </c>
      <c r="H5720" s="81" t="s">
        <v>224</v>
      </c>
      <c r="I5720" s="81" t="s">
        <v>224</v>
      </c>
      <c r="J5720" s="81" t="s">
        <v>4982</v>
      </c>
    </row>
    <row r="5721" hidden="1">
      <c r="A5721" s="83" t="s">
        <v>6359</v>
      </c>
      <c r="B5721" s="83" t="s">
        <v>6360</v>
      </c>
      <c r="C5721" s="81" t="s">
        <v>4082</v>
      </c>
      <c r="D5721" s="81" t="s">
        <v>224</v>
      </c>
      <c r="E5721" s="81" t="s">
        <v>4983</v>
      </c>
      <c r="F5721" s="81" t="s">
        <v>224</v>
      </c>
      <c r="G5721" s="81" t="s">
        <v>224</v>
      </c>
      <c r="H5721" s="81" t="s">
        <v>224</v>
      </c>
      <c r="I5721" s="81" t="s">
        <v>224</v>
      </c>
      <c r="J5721" s="81" t="s">
        <v>4984</v>
      </c>
    </row>
    <row r="5722" hidden="1">
      <c r="A5722" s="83" t="s">
        <v>6359</v>
      </c>
      <c r="B5722" s="83" t="s">
        <v>6360</v>
      </c>
      <c r="C5722" s="81" t="s">
        <v>4082</v>
      </c>
      <c r="D5722" s="81" t="s">
        <v>224</v>
      </c>
      <c r="E5722" s="81" t="s">
        <v>4985</v>
      </c>
      <c r="F5722" s="81" t="s">
        <v>224</v>
      </c>
      <c r="G5722" s="81" t="s">
        <v>224</v>
      </c>
      <c r="H5722" s="81" t="s">
        <v>224</v>
      </c>
      <c r="I5722" s="81" t="s">
        <v>224</v>
      </c>
      <c r="J5722" s="81" t="s">
        <v>4986</v>
      </c>
    </row>
    <row r="5723" hidden="1">
      <c r="A5723" s="83" t="s">
        <v>6359</v>
      </c>
      <c r="B5723" s="83" t="s">
        <v>6360</v>
      </c>
      <c r="C5723" s="81" t="s">
        <v>4082</v>
      </c>
      <c r="D5723" s="81" t="s">
        <v>224</v>
      </c>
      <c r="E5723" s="81" t="s">
        <v>4987</v>
      </c>
      <c r="F5723" s="81" t="s">
        <v>224</v>
      </c>
      <c r="G5723" s="81" t="s">
        <v>224</v>
      </c>
      <c r="H5723" s="81" t="s">
        <v>224</v>
      </c>
      <c r="I5723" s="81" t="s">
        <v>224</v>
      </c>
      <c r="J5723" s="81" t="s">
        <v>4988</v>
      </c>
    </row>
    <row r="5724" hidden="1">
      <c r="A5724" s="83" t="s">
        <v>6359</v>
      </c>
      <c r="B5724" s="83" t="s">
        <v>6360</v>
      </c>
      <c r="C5724" s="81" t="s">
        <v>4082</v>
      </c>
      <c r="D5724" s="81" t="s">
        <v>224</v>
      </c>
      <c r="E5724" s="81" t="s">
        <v>4989</v>
      </c>
      <c r="F5724" s="81" t="s">
        <v>224</v>
      </c>
      <c r="G5724" s="81" t="s">
        <v>224</v>
      </c>
      <c r="H5724" s="81" t="s">
        <v>224</v>
      </c>
      <c r="I5724" s="81" t="s">
        <v>224</v>
      </c>
      <c r="J5724" s="81" t="s">
        <v>4990</v>
      </c>
    </row>
    <row r="5725" hidden="1">
      <c r="A5725" s="83" t="s">
        <v>6359</v>
      </c>
      <c r="B5725" s="83" t="s">
        <v>6360</v>
      </c>
      <c r="C5725" s="81" t="s">
        <v>4082</v>
      </c>
      <c r="D5725" s="81" t="s">
        <v>224</v>
      </c>
      <c r="E5725" s="81" t="s">
        <v>4991</v>
      </c>
      <c r="F5725" s="81" t="s">
        <v>224</v>
      </c>
      <c r="G5725" s="81" t="s">
        <v>224</v>
      </c>
      <c r="H5725" s="81" t="s">
        <v>224</v>
      </c>
      <c r="I5725" s="81" t="s">
        <v>224</v>
      </c>
      <c r="J5725" s="81" t="s">
        <v>4992</v>
      </c>
    </row>
    <row r="5726" hidden="1">
      <c r="A5726" s="83" t="s">
        <v>6359</v>
      </c>
      <c r="B5726" s="83" t="s">
        <v>6360</v>
      </c>
      <c r="C5726" s="81" t="s">
        <v>4082</v>
      </c>
      <c r="D5726" s="81" t="s">
        <v>224</v>
      </c>
      <c r="E5726" s="81" t="s">
        <v>4993</v>
      </c>
      <c r="F5726" s="81" t="s">
        <v>224</v>
      </c>
      <c r="G5726" s="81" t="s">
        <v>224</v>
      </c>
      <c r="H5726" s="81" t="s">
        <v>224</v>
      </c>
      <c r="I5726" s="81" t="s">
        <v>224</v>
      </c>
      <c r="J5726" s="81" t="s">
        <v>4994</v>
      </c>
    </row>
    <row r="5727" hidden="1">
      <c r="A5727" s="83" t="s">
        <v>6359</v>
      </c>
      <c r="B5727" s="83" t="s">
        <v>6360</v>
      </c>
      <c r="C5727" s="81" t="s">
        <v>4082</v>
      </c>
      <c r="D5727" s="81" t="s">
        <v>224</v>
      </c>
      <c r="E5727" s="81" t="s">
        <v>4995</v>
      </c>
      <c r="F5727" s="81" t="s">
        <v>224</v>
      </c>
      <c r="G5727" s="81" t="s">
        <v>224</v>
      </c>
      <c r="H5727" s="81" t="s">
        <v>224</v>
      </c>
      <c r="I5727" s="81" t="s">
        <v>224</v>
      </c>
      <c r="J5727" s="81" t="s">
        <v>4996</v>
      </c>
    </row>
    <row r="5728" hidden="1">
      <c r="A5728" s="83" t="s">
        <v>6359</v>
      </c>
      <c r="B5728" s="83" t="s">
        <v>6360</v>
      </c>
      <c r="C5728" s="81" t="s">
        <v>4082</v>
      </c>
      <c r="D5728" s="81" t="s">
        <v>224</v>
      </c>
      <c r="E5728" s="81" t="s">
        <v>4997</v>
      </c>
      <c r="F5728" s="81" t="s">
        <v>224</v>
      </c>
      <c r="G5728" s="81" t="s">
        <v>224</v>
      </c>
      <c r="H5728" s="81" t="s">
        <v>224</v>
      </c>
      <c r="I5728" s="81" t="s">
        <v>224</v>
      </c>
      <c r="J5728" s="81" t="s">
        <v>4998</v>
      </c>
    </row>
    <row r="5729" hidden="1">
      <c r="A5729" s="83" t="s">
        <v>6359</v>
      </c>
      <c r="B5729" s="83" t="s">
        <v>6360</v>
      </c>
      <c r="C5729" s="81" t="s">
        <v>4082</v>
      </c>
      <c r="D5729" s="81" t="s">
        <v>224</v>
      </c>
      <c r="E5729" s="81" t="s">
        <v>4999</v>
      </c>
      <c r="F5729" s="81" t="s">
        <v>224</v>
      </c>
      <c r="G5729" s="81" t="s">
        <v>224</v>
      </c>
      <c r="H5729" s="81" t="s">
        <v>224</v>
      </c>
      <c r="I5729" s="81" t="s">
        <v>224</v>
      </c>
      <c r="J5729" s="81" t="s">
        <v>5000</v>
      </c>
    </row>
    <row r="5730" hidden="1">
      <c r="A5730" s="83" t="s">
        <v>6359</v>
      </c>
      <c r="B5730" s="83" t="s">
        <v>6360</v>
      </c>
      <c r="C5730" s="81" t="s">
        <v>4082</v>
      </c>
      <c r="D5730" s="81" t="s">
        <v>224</v>
      </c>
      <c r="E5730" s="81" t="s">
        <v>5001</v>
      </c>
      <c r="F5730" s="81" t="s">
        <v>224</v>
      </c>
      <c r="G5730" s="81" t="s">
        <v>224</v>
      </c>
      <c r="H5730" s="81" t="s">
        <v>224</v>
      </c>
      <c r="I5730" s="81" t="s">
        <v>224</v>
      </c>
      <c r="J5730" s="81" t="s">
        <v>5002</v>
      </c>
    </row>
    <row r="5731" hidden="1">
      <c r="A5731" s="83" t="s">
        <v>6359</v>
      </c>
      <c r="B5731" s="83" t="s">
        <v>6360</v>
      </c>
      <c r="C5731" s="81" t="s">
        <v>4082</v>
      </c>
      <c r="D5731" s="81" t="s">
        <v>224</v>
      </c>
      <c r="E5731" s="81" t="s">
        <v>5003</v>
      </c>
      <c r="F5731" s="81" t="s">
        <v>224</v>
      </c>
      <c r="G5731" s="81" t="s">
        <v>224</v>
      </c>
      <c r="H5731" s="81" t="s">
        <v>224</v>
      </c>
      <c r="I5731" s="81" t="s">
        <v>224</v>
      </c>
      <c r="J5731" s="81" t="s">
        <v>5004</v>
      </c>
    </row>
    <row r="5732" hidden="1">
      <c r="A5732" s="83" t="s">
        <v>6359</v>
      </c>
      <c r="B5732" s="83" t="s">
        <v>6360</v>
      </c>
      <c r="C5732" s="81" t="s">
        <v>4082</v>
      </c>
      <c r="D5732" s="81" t="s">
        <v>224</v>
      </c>
      <c r="E5732" s="81" t="s">
        <v>5005</v>
      </c>
      <c r="F5732" s="81" t="s">
        <v>224</v>
      </c>
      <c r="G5732" s="81" t="s">
        <v>224</v>
      </c>
      <c r="H5732" s="81" t="s">
        <v>224</v>
      </c>
      <c r="I5732" s="81" t="s">
        <v>224</v>
      </c>
      <c r="J5732" s="81" t="s">
        <v>5006</v>
      </c>
    </row>
    <row r="5733" hidden="1">
      <c r="A5733" s="83" t="s">
        <v>6359</v>
      </c>
      <c r="B5733" s="83" t="s">
        <v>6360</v>
      </c>
      <c r="C5733" s="81" t="s">
        <v>4082</v>
      </c>
      <c r="D5733" s="81" t="s">
        <v>224</v>
      </c>
      <c r="E5733" s="81" t="s">
        <v>5007</v>
      </c>
      <c r="F5733" s="81" t="s">
        <v>224</v>
      </c>
      <c r="G5733" s="81" t="s">
        <v>224</v>
      </c>
      <c r="H5733" s="81" t="s">
        <v>224</v>
      </c>
      <c r="I5733" s="81" t="s">
        <v>224</v>
      </c>
      <c r="J5733" s="81" t="s">
        <v>5008</v>
      </c>
    </row>
    <row r="5734" hidden="1">
      <c r="A5734" s="83" t="s">
        <v>6359</v>
      </c>
      <c r="B5734" s="83" t="s">
        <v>6360</v>
      </c>
      <c r="C5734" s="81" t="s">
        <v>4082</v>
      </c>
      <c r="D5734" s="81" t="s">
        <v>224</v>
      </c>
      <c r="E5734" s="81" t="s">
        <v>5009</v>
      </c>
      <c r="F5734" s="81" t="s">
        <v>224</v>
      </c>
      <c r="G5734" s="81" t="s">
        <v>224</v>
      </c>
      <c r="H5734" s="81" t="s">
        <v>224</v>
      </c>
      <c r="I5734" s="81" t="s">
        <v>224</v>
      </c>
      <c r="J5734" s="81" t="s">
        <v>5010</v>
      </c>
    </row>
    <row r="5735" hidden="1">
      <c r="A5735" s="83" t="s">
        <v>6359</v>
      </c>
      <c r="B5735" s="83" t="s">
        <v>6360</v>
      </c>
      <c r="C5735" s="81" t="s">
        <v>4082</v>
      </c>
      <c r="D5735" s="81" t="s">
        <v>224</v>
      </c>
      <c r="E5735" s="81" t="s">
        <v>5011</v>
      </c>
      <c r="F5735" s="81" t="s">
        <v>224</v>
      </c>
      <c r="G5735" s="81" t="s">
        <v>224</v>
      </c>
      <c r="H5735" s="81" t="s">
        <v>224</v>
      </c>
      <c r="I5735" s="81" t="s">
        <v>224</v>
      </c>
      <c r="J5735" s="81" t="s">
        <v>5012</v>
      </c>
    </row>
    <row r="5736" hidden="1">
      <c r="A5736" s="83" t="s">
        <v>6359</v>
      </c>
      <c r="B5736" s="83" t="s">
        <v>6360</v>
      </c>
      <c r="C5736" s="81" t="s">
        <v>4082</v>
      </c>
      <c r="D5736" s="81" t="s">
        <v>224</v>
      </c>
      <c r="E5736" s="81" t="s">
        <v>5013</v>
      </c>
      <c r="F5736" s="81" t="s">
        <v>224</v>
      </c>
      <c r="G5736" s="81" t="s">
        <v>224</v>
      </c>
      <c r="H5736" s="81" t="s">
        <v>224</v>
      </c>
      <c r="I5736" s="81" t="s">
        <v>224</v>
      </c>
      <c r="J5736" s="81" t="s">
        <v>5014</v>
      </c>
    </row>
    <row r="5737" hidden="1">
      <c r="A5737" s="83" t="s">
        <v>6359</v>
      </c>
      <c r="B5737" s="83" t="s">
        <v>6360</v>
      </c>
      <c r="C5737" s="81" t="s">
        <v>4082</v>
      </c>
      <c r="D5737" s="81" t="s">
        <v>224</v>
      </c>
      <c r="E5737" s="81" t="s">
        <v>5015</v>
      </c>
      <c r="F5737" s="81" t="s">
        <v>224</v>
      </c>
      <c r="G5737" s="81" t="s">
        <v>224</v>
      </c>
      <c r="H5737" s="81" t="s">
        <v>224</v>
      </c>
      <c r="I5737" s="81" t="s">
        <v>224</v>
      </c>
      <c r="J5737" s="81" t="s">
        <v>5016</v>
      </c>
    </row>
    <row r="5738" hidden="1">
      <c r="A5738" s="83" t="s">
        <v>6359</v>
      </c>
      <c r="B5738" s="83" t="s">
        <v>6360</v>
      </c>
      <c r="C5738" s="81" t="s">
        <v>4082</v>
      </c>
      <c r="D5738" s="81" t="s">
        <v>224</v>
      </c>
      <c r="E5738" s="81" t="s">
        <v>5017</v>
      </c>
      <c r="F5738" s="81" t="s">
        <v>224</v>
      </c>
      <c r="G5738" s="81" t="s">
        <v>224</v>
      </c>
      <c r="H5738" s="81" t="s">
        <v>224</v>
      </c>
      <c r="I5738" s="81" t="s">
        <v>224</v>
      </c>
      <c r="J5738" s="81" t="s">
        <v>5018</v>
      </c>
    </row>
    <row r="5739" hidden="1">
      <c r="A5739" s="83" t="s">
        <v>6359</v>
      </c>
      <c r="B5739" s="83" t="s">
        <v>6360</v>
      </c>
      <c r="C5739" s="81" t="s">
        <v>4082</v>
      </c>
      <c r="D5739" s="81" t="s">
        <v>224</v>
      </c>
      <c r="E5739" s="81" t="s">
        <v>5019</v>
      </c>
      <c r="F5739" s="81" t="s">
        <v>224</v>
      </c>
      <c r="G5739" s="81" t="s">
        <v>224</v>
      </c>
      <c r="H5739" s="81" t="s">
        <v>224</v>
      </c>
      <c r="I5739" s="81" t="s">
        <v>224</v>
      </c>
      <c r="J5739" s="81" t="s">
        <v>5020</v>
      </c>
    </row>
    <row r="5740" hidden="1">
      <c r="A5740" s="83" t="s">
        <v>6359</v>
      </c>
      <c r="B5740" s="83" t="s">
        <v>6360</v>
      </c>
      <c r="C5740" s="81" t="s">
        <v>4082</v>
      </c>
      <c r="D5740" s="81" t="s">
        <v>224</v>
      </c>
      <c r="E5740" s="81" t="s">
        <v>5021</v>
      </c>
      <c r="F5740" s="81" t="s">
        <v>224</v>
      </c>
      <c r="G5740" s="81" t="s">
        <v>224</v>
      </c>
      <c r="H5740" s="81" t="s">
        <v>224</v>
      </c>
      <c r="I5740" s="81" t="s">
        <v>224</v>
      </c>
      <c r="J5740" s="81" t="s">
        <v>5022</v>
      </c>
    </row>
    <row r="5741" hidden="1">
      <c r="A5741" s="83" t="s">
        <v>6359</v>
      </c>
      <c r="B5741" s="83" t="s">
        <v>6360</v>
      </c>
      <c r="C5741" s="81" t="s">
        <v>4082</v>
      </c>
      <c r="D5741" s="81" t="s">
        <v>224</v>
      </c>
      <c r="E5741" s="81" t="s">
        <v>5023</v>
      </c>
      <c r="F5741" s="81" t="s">
        <v>224</v>
      </c>
      <c r="G5741" s="81" t="s">
        <v>224</v>
      </c>
      <c r="H5741" s="81" t="s">
        <v>224</v>
      </c>
      <c r="I5741" s="81" t="s">
        <v>224</v>
      </c>
      <c r="J5741" s="81" t="s">
        <v>5024</v>
      </c>
    </row>
    <row r="5742" hidden="1">
      <c r="A5742" s="83" t="s">
        <v>6359</v>
      </c>
      <c r="B5742" s="83" t="s">
        <v>6360</v>
      </c>
      <c r="C5742" s="81" t="s">
        <v>4082</v>
      </c>
      <c r="D5742" s="81" t="s">
        <v>224</v>
      </c>
      <c r="E5742" s="81" t="s">
        <v>5025</v>
      </c>
      <c r="F5742" s="81" t="s">
        <v>224</v>
      </c>
      <c r="G5742" s="81" t="s">
        <v>224</v>
      </c>
      <c r="H5742" s="81" t="s">
        <v>224</v>
      </c>
      <c r="I5742" s="81" t="s">
        <v>224</v>
      </c>
      <c r="J5742" s="81" t="s">
        <v>5026</v>
      </c>
    </row>
    <row r="5743" hidden="1">
      <c r="A5743" s="83" t="s">
        <v>6359</v>
      </c>
      <c r="B5743" s="83" t="s">
        <v>6360</v>
      </c>
      <c r="C5743" s="81" t="s">
        <v>4082</v>
      </c>
      <c r="D5743" s="81" t="s">
        <v>224</v>
      </c>
      <c r="E5743" s="81" t="s">
        <v>5027</v>
      </c>
      <c r="F5743" s="81" t="s">
        <v>224</v>
      </c>
      <c r="G5743" s="81" t="s">
        <v>224</v>
      </c>
      <c r="H5743" s="81" t="s">
        <v>224</v>
      </c>
      <c r="I5743" s="81" t="s">
        <v>224</v>
      </c>
      <c r="J5743" s="81" t="s">
        <v>5028</v>
      </c>
    </row>
    <row r="5744" hidden="1">
      <c r="A5744" s="83" t="s">
        <v>6359</v>
      </c>
      <c r="B5744" s="83" t="s">
        <v>6360</v>
      </c>
      <c r="C5744" s="81" t="s">
        <v>4082</v>
      </c>
      <c r="D5744" s="81" t="s">
        <v>224</v>
      </c>
      <c r="E5744" s="81" t="s">
        <v>5029</v>
      </c>
      <c r="F5744" s="81" t="s">
        <v>224</v>
      </c>
      <c r="G5744" s="81" t="s">
        <v>224</v>
      </c>
      <c r="H5744" s="81" t="s">
        <v>224</v>
      </c>
      <c r="I5744" s="81" t="s">
        <v>224</v>
      </c>
      <c r="J5744" s="81" t="s">
        <v>5030</v>
      </c>
    </row>
    <row r="5745" hidden="1">
      <c r="A5745" s="83" t="s">
        <v>6359</v>
      </c>
      <c r="B5745" s="83" t="s">
        <v>6360</v>
      </c>
      <c r="C5745" s="81" t="s">
        <v>4082</v>
      </c>
      <c r="D5745" s="81" t="s">
        <v>224</v>
      </c>
      <c r="E5745" s="81" t="s">
        <v>5031</v>
      </c>
      <c r="F5745" s="81" t="s">
        <v>224</v>
      </c>
      <c r="G5745" s="81" t="s">
        <v>224</v>
      </c>
      <c r="H5745" s="81" t="s">
        <v>224</v>
      </c>
      <c r="I5745" s="81" t="s">
        <v>224</v>
      </c>
      <c r="J5745" s="81" t="s">
        <v>5032</v>
      </c>
    </row>
    <row r="5746" hidden="1">
      <c r="A5746" s="83" t="s">
        <v>6359</v>
      </c>
      <c r="B5746" s="83" t="s">
        <v>6360</v>
      </c>
      <c r="C5746" s="81" t="s">
        <v>4082</v>
      </c>
      <c r="D5746" s="81" t="s">
        <v>224</v>
      </c>
      <c r="E5746" s="81" t="s">
        <v>5033</v>
      </c>
      <c r="F5746" s="81" t="s">
        <v>224</v>
      </c>
      <c r="G5746" s="81" t="s">
        <v>224</v>
      </c>
      <c r="H5746" s="81" t="s">
        <v>224</v>
      </c>
      <c r="I5746" s="81" t="s">
        <v>224</v>
      </c>
      <c r="J5746" s="81" t="s">
        <v>5034</v>
      </c>
    </row>
    <row r="5747" hidden="1">
      <c r="A5747" s="83" t="s">
        <v>6359</v>
      </c>
      <c r="B5747" s="83" t="s">
        <v>6360</v>
      </c>
      <c r="C5747" s="81" t="s">
        <v>4082</v>
      </c>
      <c r="D5747" s="81" t="s">
        <v>224</v>
      </c>
      <c r="E5747" s="81" t="s">
        <v>5035</v>
      </c>
      <c r="F5747" s="81" t="s">
        <v>224</v>
      </c>
      <c r="G5747" s="81" t="s">
        <v>224</v>
      </c>
      <c r="H5747" s="81" t="s">
        <v>224</v>
      </c>
      <c r="I5747" s="81" t="s">
        <v>224</v>
      </c>
      <c r="J5747" s="81" t="s">
        <v>5036</v>
      </c>
    </row>
    <row r="5748" hidden="1">
      <c r="A5748" s="83" t="s">
        <v>6359</v>
      </c>
      <c r="B5748" s="83" t="s">
        <v>6360</v>
      </c>
      <c r="C5748" s="81" t="s">
        <v>4082</v>
      </c>
      <c r="D5748" s="81" t="s">
        <v>224</v>
      </c>
      <c r="E5748" s="81" t="s">
        <v>5037</v>
      </c>
      <c r="F5748" s="81" t="s">
        <v>224</v>
      </c>
      <c r="G5748" s="81" t="s">
        <v>224</v>
      </c>
      <c r="H5748" s="81" t="s">
        <v>224</v>
      </c>
      <c r="I5748" s="81" t="s">
        <v>224</v>
      </c>
      <c r="J5748" s="81" t="s">
        <v>5038</v>
      </c>
    </row>
    <row r="5749" hidden="1">
      <c r="A5749" s="83" t="s">
        <v>6359</v>
      </c>
      <c r="B5749" s="83" t="s">
        <v>6360</v>
      </c>
      <c r="C5749" s="81" t="s">
        <v>4082</v>
      </c>
      <c r="D5749" s="81" t="s">
        <v>224</v>
      </c>
      <c r="E5749" s="81" t="s">
        <v>5039</v>
      </c>
      <c r="F5749" s="81" t="s">
        <v>224</v>
      </c>
      <c r="G5749" s="81" t="s">
        <v>224</v>
      </c>
      <c r="H5749" s="81" t="s">
        <v>224</v>
      </c>
      <c r="I5749" s="81" t="s">
        <v>224</v>
      </c>
      <c r="J5749" s="81" t="s">
        <v>5040</v>
      </c>
    </row>
    <row r="5750" hidden="1">
      <c r="A5750" s="83" t="s">
        <v>6359</v>
      </c>
      <c r="B5750" s="83" t="s">
        <v>6360</v>
      </c>
      <c r="C5750" s="81" t="s">
        <v>4082</v>
      </c>
      <c r="D5750" s="81" t="s">
        <v>224</v>
      </c>
      <c r="E5750" s="81" t="s">
        <v>5041</v>
      </c>
      <c r="F5750" s="81" t="s">
        <v>224</v>
      </c>
      <c r="G5750" s="81" t="s">
        <v>224</v>
      </c>
      <c r="H5750" s="81" t="s">
        <v>224</v>
      </c>
      <c r="I5750" s="81" t="s">
        <v>224</v>
      </c>
      <c r="J5750" s="81" t="s">
        <v>5042</v>
      </c>
    </row>
    <row r="5751" hidden="1">
      <c r="A5751" s="83" t="s">
        <v>6359</v>
      </c>
      <c r="B5751" s="83" t="s">
        <v>6360</v>
      </c>
      <c r="C5751" s="81" t="s">
        <v>4082</v>
      </c>
      <c r="D5751" s="81" t="s">
        <v>224</v>
      </c>
      <c r="E5751" s="81" t="s">
        <v>5043</v>
      </c>
      <c r="F5751" s="81" t="s">
        <v>224</v>
      </c>
      <c r="G5751" s="81" t="s">
        <v>224</v>
      </c>
      <c r="H5751" s="81" t="s">
        <v>224</v>
      </c>
      <c r="I5751" s="81" t="s">
        <v>224</v>
      </c>
      <c r="J5751" s="81" t="s">
        <v>5044</v>
      </c>
    </row>
    <row r="5752" hidden="1">
      <c r="A5752" s="83" t="s">
        <v>6359</v>
      </c>
      <c r="B5752" s="83" t="s">
        <v>6360</v>
      </c>
      <c r="C5752" s="81" t="s">
        <v>4082</v>
      </c>
      <c r="D5752" s="81" t="s">
        <v>224</v>
      </c>
      <c r="E5752" s="81" t="s">
        <v>5045</v>
      </c>
      <c r="F5752" s="81" t="s">
        <v>224</v>
      </c>
      <c r="G5752" s="81" t="s">
        <v>224</v>
      </c>
      <c r="H5752" s="81" t="s">
        <v>224</v>
      </c>
      <c r="I5752" s="81" t="s">
        <v>224</v>
      </c>
      <c r="J5752" s="81" t="s">
        <v>5046</v>
      </c>
    </row>
    <row r="5753" hidden="1">
      <c r="A5753" s="83" t="s">
        <v>6359</v>
      </c>
      <c r="B5753" s="83" t="s">
        <v>6360</v>
      </c>
      <c r="C5753" s="81" t="s">
        <v>4082</v>
      </c>
      <c r="D5753" s="81" t="s">
        <v>224</v>
      </c>
      <c r="E5753" s="81" t="s">
        <v>5047</v>
      </c>
      <c r="F5753" s="81" t="s">
        <v>224</v>
      </c>
      <c r="G5753" s="81" t="s">
        <v>224</v>
      </c>
      <c r="H5753" s="81" t="s">
        <v>224</v>
      </c>
      <c r="I5753" s="81" t="s">
        <v>224</v>
      </c>
      <c r="J5753" s="81" t="s">
        <v>5048</v>
      </c>
    </row>
    <row r="5754" hidden="1">
      <c r="A5754" s="83" t="s">
        <v>6359</v>
      </c>
      <c r="B5754" s="83" t="s">
        <v>6360</v>
      </c>
      <c r="C5754" s="81" t="s">
        <v>4082</v>
      </c>
      <c r="D5754" s="81" t="s">
        <v>224</v>
      </c>
      <c r="E5754" s="81" t="s">
        <v>5049</v>
      </c>
      <c r="F5754" s="81" t="s">
        <v>224</v>
      </c>
      <c r="G5754" s="81" t="s">
        <v>224</v>
      </c>
      <c r="H5754" s="81" t="s">
        <v>224</v>
      </c>
      <c r="I5754" s="81" t="s">
        <v>224</v>
      </c>
      <c r="J5754" s="81" t="s">
        <v>5050</v>
      </c>
    </row>
    <row r="5755" hidden="1">
      <c r="A5755" s="83" t="s">
        <v>6359</v>
      </c>
      <c r="B5755" s="83" t="s">
        <v>6360</v>
      </c>
      <c r="C5755" s="81" t="s">
        <v>4082</v>
      </c>
      <c r="D5755" s="81" t="s">
        <v>224</v>
      </c>
      <c r="E5755" s="81" t="s">
        <v>5051</v>
      </c>
      <c r="F5755" s="81" t="s">
        <v>224</v>
      </c>
      <c r="G5755" s="81" t="s">
        <v>224</v>
      </c>
      <c r="H5755" s="81" t="s">
        <v>224</v>
      </c>
      <c r="I5755" s="81" t="s">
        <v>224</v>
      </c>
      <c r="J5755" s="81" t="s">
        <v>5052</v>
      </c>
    </row>
    <row r="5756" hidden="1">
      <c r="A5756" s="83" t="s">
        <v>6359</v>
      </c>
      <c r="B5756" s="83" t="s">
        <v>6360</v>
      </c>
      <c r="C5756" s="81" t="s">
        <v>4082</v>
      </c>
      <c r="D5756" s="81" t="s">
        <v>224</v>
      </c>
      <c r="E5756" s="81" t="s">
        <v>5053</v>
      </c>
      <c r="F5756" s="81" t="s">
        <v>224</v>
      </c>
      <c r="G5756" s="81" t="s">
        <v>224</v>
      </c>
      <c r="H5756" s="81" t="s">
        <v>224</v>
      </c>
      <c r="I5756" s="81" t="s">
        <v>224</v>
      </c>
      <c r="J5756" s="81" t="s">
        <v>5054</v>
      </c>
    </row>
    <row r="5757" hidden="1">
      <c r="A5757" s="83" t="s">
        <v>6359</v>
      </c>
      <c r="B5757" s="83" t="s">
        <v>6360</v>
      </c>
      <c r="C5757" s="81" t="s">
        <v>4082</v>
      </c>
      <c r="D5757" s="81" t="s">
        <v>224</v>
      </c>
      <c r="E5757" s="81" t="s">
        <v>5055</v>
      </c>
      <c r="F5757" s="81" t="s">
        <v>224</v>
      </c>
      <c r="G5757" s="81" t="s">
        <v>224</v>
      </c>
      <c r="H5757" s="81" t="s">
        <v>224</v>
      </c>
      <c r="I5757" s="81" t="s">
        <v>224</v>
      </c>
      <c r="J5757" s="81" t="s">
        <v>5056</v>
      </c>
    </row>
    <row r="5758" hidden="1">
      <c r="A5758" s="83" t="s">
        <v>6359</v>
      </c>
      <c r="B5758" s="83" t="s">
        <v>6360</v>
      </c>
      <c r="C5758" s="81" t="s">
        <v>4082</v>
      </c>
      <c r="D5758" s="81" t="s">
        <v>224</v>
      </c>
      <c r="E5758" s="81" t="s">
        <v>5057</v>
      </c>
      <c r="F5758" s="81" t="s">
        <v>224</v>
      </c>
      <c r="G5758" s="81" t="s">
        <v>224</v>
      </c>
      <c r="H5758" s="81" t="s">
        <v>224</v>
      </c>
      <c r="I5758" s="81" t="s">
        <v>224</v>
      </c>
      <c r="J5758" s="81" t="s">
        <v>5058</v>
      </c>
    </row>
    <row r="5759" hidden="1">
      <c r="A5759" s="83" t="s">
        <v>6359</v>
      </c>
      <c r="B5759" s="83" t="s">
        <v>6360</v>
      </c>
      <c r="C5759" s="81" t="s">
        <v>4082</v>
      </c>
      <c r="D5759" s="81" t="s">
        <v>224</v>
      </c>
      <c r="E5759" s="81" t="s">
        <v>5059</v>
      </c>
      <c r="F5759" s="81" t="s">
        <v>224</v>
      </c>
      <c r="G5759" s="81" t="s">
        <v>224</v>
      </c>
      <c r="H5759" s="81" t="s">
        <v>224</v>
      </c>
      <c r="I5759" s="81" t="s">
        <v>224</v>
      </c>
      <c r="J5759" s="81" t="s">
        <v>5060</v>
      </c>
    </row>
    <row r="5760" hidden="1">
      <c r="A5760" s="83" t="s">
        <v>6359</v>
      </c>
      <c r="B5760" s="83" t="s">
        <v>6360</v>
      </c>
      <c r="C5760" s="81" t="s">
        <v>4082</v>
      </c>
      <c r="D5760" s="81" t="s">
        <v>224</v>
      </c>
      <c r="E5760" s="81" t="s">
        <v>5061</v>
      </c>
      <c r="F5760" s="81" t="s">
        <v>224</v>
      </c>
      <c r="G5760" s="81" t="s">
        <v>224</v>
      </c>
      <c r="H5760" s="81" t="s">
        <v>224</v>
      </c>
      <c r="I5760" s="81" t="s">
        <v>224</v>
      </c>
      <c r="J5760" s="81" t="s">
        <v>5062</v>
      </c>
    </row>
    <row r="5761" hidden="1">
      <c r="A5761" s="83" t="s">
        <v>6359</v>
      </c>
      <c r="B5761" s="83" t="s">
        <v>6360</v>
      </c>
      <c r="C5761" s="81" t="s">
        <v>4082</v>
      </c>
      <c r="D5761" s="81" t="s">
        <v>224</v>
      </c>
      <c r="E5761" s="81" t="s">
        <v>5063</v>
      </c>
      <c r="F5761" s="81" t="s">
        <v>224</v>
      </c>
      <c r="G5761" s="81" t="s">
        <v>224</v>
      </c>
      <c r="H5761" s="81" t="s">
        <v>224</v>
      </c>
      <c r="I5761" s="81" t="s">
        <v>224</v>
      </c>
      <c r="J5761" s="81" t="s">
        <v>5064</v>
      </c>
    </row>
    <row r="5762" hidden="1">
      <c r="A5762" s="83" t="s">
        <v>6359</v>
      </c>
      <c r="B5762" s="83" t="s">
        <v>6360</v>
      </c>
      <c r="C5762" s="81" t="s">
        <v>4082</v>
      </c>
      <c r="D5762" s="81" t="s">
        <v>224</v>
      </c>
      <c r="E5762" s="81" t="s">
        <v>5065</v>
      </c>
      <c r="F5762" s="81" t="s">
        <v>224</v>
      </c>
      <c r="G5762" s="81" t="s">
        <v>224</v>
      </c>
      <c r="H5762" s="81" t="s">
        <v>224</v>
      </c>
      <c r="I5762" s="81" t="s">
        <v>224</v>
      </c>
      <c r="J5762" s="81" t="s">
        <v>5066</v>
      </c>
    </row>
    <row r="5763" hidden="1">
      <c r="A5763" s="83" t="s">
        <v>6359</v>
      </c>
      <c r="B5763" s="83" t="s">
        <v>6360</v>
      </c>
      <c r="C5763" s="81" t="s">
        <v>4082</v>
      </c>
      <c r="D5763" s="81" t="s">
        <v>224</v>
      </c>
      <c r="E5763" s="81" t="s">
        <v>5067</v>
      </c>
      <c r="F5763" s="81" t="s">
        <v>224</v>
      </c>
      <c r="G5763" s="81" t="s">
        <v>224</v>
      </c>
      <c r="H5763" s="81" t="s">
        <v>224</v>
      </c>
      <c r="I5763" s="81" t="s">
        <v>224</v>
      </c>
      <c r="J5763" s="81" t="s">
        <v>5068</v>
      </c>
    </row>
    <row r="5764" hidden="1">
      <c r="A5764" s="83" t="s">
        <v>6359</v>
      </c>
      <c r="B5764" s="83" t="s">
        <v>6360</v>
      </c>
      <c r="C5764" s="81" t="s">
        <v>4082</v>
      </c>
      <c r="D5764" s="81" t="s">
        <v>224</v>
      </c>
      <c r="E5764" s="81" t="s">
        <v>5069</v>
      </c>
      <c r="F5764" s="81" t="s">
        <v>224</v>
      </c>
      <c r="G5764" s="81" t="s">
        <v>224</v>
      </c>
      <c r="H5764" s="81" t="s">
        <v>224</v>
      </c>
      <c r="I5764" s="81" t="s">
        <v>224</v>
      </c>
      <c r="J5764" s="81" t="s">
        <v>5070</v>
      </c>
    </row>
    <row r="5765" hidden="1">
      <c r="A5765" s="83" t="s">
        <v>6359</v>
      </c>
      <c r="B5765" s="83" t="s">
        <v>6360</v>
      </c>
      <c r="C5765" s="81" t="s">
        <v>4082</v>
      </c>
      <c r="D5765" s="81" t="s">
        <v>224</v>
      </c>
      <c r="E5765" s="81" t="s">
        <v>5071</v>
      </c>
      <c r="F5765" s="81" t="s">
        <v>224</v>
      </c>
      <c r="G5765" s="81" t="s">
        <v>224</v>
      </c>
      <c r="H5765" s="81" t="s">
        <v>224</v>
      </c>
      <c r="I5765" s="81" t="s">
        <v>224</v>
      </c>
      <c r="J5765" s="81" t="s">
        <v>5072</v>
      </c>
    </row>
    <row r="5766" hidden="1">
      <c r="A5766" s="83" t="s">
        <v>6359</v>
      </c>
      <c r="B5766" s="83" t="s">
        <v>6360</v>
      </c>
      <c r="C5766" s="81" t="s">
        <v>4082</v>
      </c>
      <c r="D5766" s="81" t="s">
        <v>224</v>
      </c>
      <c r="E5766" s="81" t="s">
        <v>5073</v>
      </c>
      <c r="F5766" s="81" t="s">
        <v>224</v>
      </c>
      <c r="G5766" s="81" t="s">
        <v>224</v>
      </c>
      <c r="H5766" s="81" t="s">
        <v>224</v>
      </c>
      <c r="I5766" s="81" t="s">
        <v>224</v>
      </c>
      <c r="J5766" s="81" t="s">
        <v>5074</v>
      </c>
    </row>
    <row r="5767" hidden="1">
      <c r="A5767" s="83" t="s">
        <v>6359</v>
      </c>
      <c r="B5767" s="83" t="s">
        <v>6360</v>
      </c>
      <c r="C5767" s="81" t="s">
        <v>4082</v>
      </c>
      <c r="D5767" s="81" t="s">
        <v>224</v>
      </c>
      <c r="E5767" s="81" t="s">
        <v>5075</v>
      </c>
      <c r="F5767" s="81" t="s">
        <v>224</v>
      </c>
      <c r="G5767" s="81" t="s">
        <v>224</v>
      </c>
      <c r="H5767" s="81" t="s">
        <v>224</v>
      </c>
      <c r="I5767" s="81" t="s">
        <v>224</v>
      </c>
      <c r="J5767" s="81" t="s">
        <v>5076</v>
      </c>
    </row>
    <row r="5768" hidden="1">
      <c r="A5768" s="83" t="s">
        <v>6359</v>
      </c>
      <c r="B5768" s="83" t="s">
        <v>6360</v>
      </c>
      <c r="C5768" s="81" t="s">
        <v>4082</v>
      </c>
      <c r="D5768" s="81" t="s">
        <v>224</v>
      </c>
      <c r="E5768" s="81" t="s">
        <v>5077</v>
      </c>
      <c r="F5768" s="81" t="s">
        <v>224</v>
      </c>
      <c r="G5768" s="81" t="s">
        <v>224</v>
      </c>
      <c r="H5768" s="81" t="s">
        <v>224</v>
      </c>
      <c r="I5768" s="81" t="s">
        <v>224</v>
      </c>
      <c r="J5768" s="81" t="s">
        <v>5078</v>
      </c>
    </row>
    <row r="5769" hidden="1">
      <c r="A5769" s="83" t="s">
        <v>6359</v>
      </c>
      <c r="B5769" s="83" t="s">
        <v>6360</v>
      </c>
      <c r="C5769" s="81" t="s">
        <v>4082</v>
      </c>
      <c r="D5769" s="81" t="s">
        <v>224</v>
      </c>
      <c r="E5769" s="81" t="s">
        <v>5079</v>
      </c>
      <c r="F5769" s="81" t="s">
        <v>224</v>
      </c>
      <c r="G5769" s="81" t="s">
        <v>224</v>
      </c>
      <c r="H5769" s="81" t="s">
        <v>224</v>
      </c>
      <c r="I5769" s="81" t="s">
        <v>224</v>
      </c>
      <c r="J5769" s="81" t="s">
        <v>4974</v>
      </c>
    </row>
    <row r="5770" hidden="1">
      <c r="A5770" s="83" t="s">
        <v>6359</v>
      </c>
      <c r="B5770" s="83" t="s">
        <v>6360</v>
      </c>
      <c r="C5770" s="81" t="s">
        <v>4082</v>
      </c>
      <c r="D5770" s="81" t="s">
        <v>224</v>
      </c>
      <c r="E5770" s="81" t="s">
        <v>5080</v>
      </c>
      <c r="F5770" s="81" t="s">
        <v>224</v>
      </c>
      <c r="G5770" s="81" t="s">
        <v>224</v>
      </c>
      <c r="H5770" s="81" t="s">
        <v>224</v>
      </c>
      <c r="I5770" s="81" t="s">
        <v>224</v>
      </c>
      <c r="J5770" s="81" t="s">
        <v>4974</v>
      </c>
    </row>
    <row r="5771" hidden="1">
      <c r="A5771" s="83" t="s">
        <v>6359</v>
      </c>
      <c r="B5771" s="83" t="s">
        <v>6360</v>
      </c>
      <c r="C5771" s="81" t="s">
        <v>4082</v>
      </c>
      <c r="D5771" s="81" t="s">
        <v>224</v>
      </c>
      <c r="E5771" s="81" t="s">
        <v>5081</v>
      </c>
      <c r="F5771" s="81" t="s">
        <v>224</v>
      </c>
      <c r="G5771" s="81" t="s">
        <v>224</v>
      </c>
      <c r="H5771" s="81" t="s">
        <v>224</v>
      </c>
      <c r="I5771" s="81" t="s">
        <v>224</v>
      </c>
      <c r="J5771" s="81" t="s">
        <v>5082</v>
      </c>
    </row>
    <row r="5772" hidden="1">
      <c r="A5772" s="83" t="s">
        <v>6359</v>
      </c>
      <c r="B5772" s="83" t="s">
        <v>6360</v>
      </c>
      <c r="C5772" s="81" t="s">
        <v>4082</v>
      </c>
      <c r="D5772" s="81" t="s">
        <v>224</v>
      </c>
      <c r="E5772" s="81" t="s">
        <v>5083</v>
      </c>
      <c r="F5772" s="81" t="s">
        <v>224</v>
      </c>
      <c r="G5772" s="81" t="s">
        <v>224</v>
      </c>
      <c r="H5772" s="81" t="s">
        <v>224</v>
      </c>
      <c r="I5772" s="81" t="s">
        <v>224</v>
      </c>
      <c r="J5772" s="81" t="s">
        <v>4984</v>
      </c>
    </row>
    <row r="5773" hidden="1">
      <c r="A5773" s="83" t="s">
        <v>6359</v>
      </c>
      <c r="B5773" s="83" t="s">
        <v>6360</v>
      </c>
      <c r="C5773" s="81" t="s">
        <v>4082</v>
      </c>
      <c r="D5773" s="81" t="s">
        <v>224</v>
      </c>
      <c r="E5773" s="81" t="s">
        <v>5084</v>
      </c>
      <c r="F5773" s="81" t="s">
        <v>224</v>
      </c>
      <c r="G5773" s="81" t="s">
        <v>224</v>
      </c>
      <c r="H5773" s="81" t="s">
        <v>224</v>
      </c>
      <c r="I5773" s="81" t="s">
        <v>224</v>
      </c>
      <c r="J5773" s="81" t="s">
        <v>5026</v>
      </c>
    </row>
    <row r="5774" hidden="1">
      <c r="A5774" s="83" t="s">
        <v>6359</v>
      </c>
      <c r="B5774" s="83" t="s">
        <v>6360</v>
      </c>
      <c r="C5774" s="81" t="s">
        <v>4082</v>
      </c>
      <c r="D5774" s="81" t="s">
        <v>224</v>
      </c>
      <c r="E5774" s="81" t="s">
        <v>5085</v>
      </c>
      <c r="F5774" s="81" t="s">
        <v>224</v>
      </c>
      <c r="G5774" s="81" t="s">
        <v>224</v>
      </c>
      <c r="H5774" s="81" t="s">
        <v>224</v>
      </c>
      <c r="I5774" s="81" t="s">
        <v>224</v>
      </c>
      <c r="J5774" s="81" t="s">
        <v>5006</v>
      </c>
    </row>
    <row r="5775" hidden="1">
      <c r="A5775" s="83" t="s">
        <v>6359</v>
      </c>
      <c r="B5775" s="83" t="s">
        <v>6360</v>
      </c>
      <c r="C5775" s="81" t="s">
        <v>4082</v>
      </c>
      <c r="D5775" s="81" t="s">
        <v>224</v>
      </c>
      <c r="E5775" s="81" t="s">
        <v>5086</v>
      </c>
      <c r="F5775" s="81" t="s">
        <v>224</v>
      </c>
      <c r="G5775" s="81" t="s">
        <v>224</v>
      </c>
      <c r="H5775" s="81" t="s">
        <v>224</v>
      </c>
      <c r="I5775" s="81" t="s">
        <v>224</v>
      </c>
      <c r="J5775" s="81" t="s">
        <v>5006</v>
      </c>
    </row>
    <row r="5776" hidden="1">
      <c r="A5776" s="83" t="s">
        <v>6359</v>
      </c>
      <c r="B5776" s="83" t="s">
        <v>6360</v>
      </c>
      <c r="C5776" s="81" t="s">
        <v>4082</v>
      </c>
      <c r="D5776" s="81" t="s">
        <v>224</v>
      </c>
      <c r="E5776" s="81" t="s">
        <v>5087</v>
      </c>
      <c r="F5776" s="81" t="s">
        <v>224</v>
      </c>
      <c r="G5776" s="81" t="s">
        <v>224</v>
      </c>
      <c r="H5776" s="81" t="s">
        <v>224</v>
      </c>
      <c r="I5776" s="81" t="s">
        <v>224</v>
      </c>
      <c r="J5776" s="81" t="s">
        <v>4984</v>
      </c>
    </row>
    <row r="5777" hidden="1">
      <c r="A5777" s="83" t="s">
        <v>6359</v>
      </c>
      <c r="B5777" s="83" t="s">
        <v>6360</v>
      </c>
      <c r="C5777" s="81" t="s">
        <v>4082</v>
      </c>
      <c r="D5777" s="81" t="s">
        <v>224</v>
      </c>
      <c r="E5777" s="81" t="s">
        <v>5088</v>
      </c>
      <c r="F5777" s="81" t="s">
        <v>224</v>
      </c>
      <c r="G5777" s="81" t="s">
        <v>224</v>
      </c>
      <c r="H5777" s="81" t="s">
        <v>224</v>
      </c>
      <c r="I5777" s="81" t="s">
        <v>224</v>
      </c>
      <c r="J5777" s="81" t="s">
        <v>5026</v>
      </c>
    </row>
    <row r="5778" hidden="1">
      <c r="A5778" s="83" t="s">
        <v>6359</v>
      </c>
      <c r="B5778" s="83" t="s">
        <v>6360</v>
      </c>
      <c r="C5778" s="81" t="s">
        <v>4082</v>
      </c>
      <c r="D5778" s="81" t="s">
        <v>224</v>
      </c>
      <c r="E5778" s="81" t="s">
        <v>5089</v>
      </c>
      <c r="F5778" s="81" t="s">
        <v>224</v>
      </c>
      <c r="G5778" s="81" t="s">
        <v>224</v>
      </c>
      <c r="H5778" s="81" t="s">
        <v>224</v>
      </c>
      <c r="I5778" s="81" t="s">
        <v>224</v>
      </c>
      <c r="J5778" s="81" t="s">
        <v>4984</v>
      </c>
    </row>
    <row r="5779" hidden="1">
      <c r="A5779" s="83" t="s">
        <v>6359</v>
      </c>
      <c r="B5779" s="83" t="s">
        <v>6360</v>
      </c>
      <c r="C5779" s="81" t="s">
        <v>4082</v>
      </c>
      <c r="D5779" s="81" t="s">
        <v>224</v>
      </c>
      <c r="E5779" s="81" t="s">
        <v>5090</v>
      </c>
      <c r="F5779" s="81" t="s">
        <v>224</v>
      </c>
      <c r="G5779" s="81" t="s">
        <v>224</v>
      </c>
      <c r="H5779" s="81" t="s">
        <v>224</v>
      </c>
      <c r="I5779" s="81" t="s">
        <v>224</v>
      </c>
      <c r="J5779" s="81" t="s">
        <v>4984</v>
      </c>
    </row>
    <row r="5780" hidden="1">
      <c r="A5780" s="83" t="s">
        <v>6359</v>
      </c>
      <c r="B5780" s="83" t="s">
        <v>6360</v>
      </c>
      <c r="C5780" s="81" t="s">
        <v>4082</v>
      </c>
      <c r="D5780" s="81" t="s">
        <v>224</v>
      </c>
      <c r="E5780" s="81" t="s">
        <v>5091</v>
      </c>
      <c r="F5780" s="81" t="s">
        <v>224</v>
      </c>
      <c r="G5780" s="81" t="s">
        <v>224</v>
      </c>
      <c r="H5780" s="81" t="s">
        <v>224</v>
      </c>
      <c r="I5780" s="81" t="s">
        <v>224</v>
      </c>
      <c r="J5780" s="81" t="s">
        <v>5006</v>
      </c>
    </row>
    <row r="5781" hidden="1">
      <c r="A5781" s="83" t="s">
        <v>6359</v>
      </c>
      <c r="B5781" s="83" t="s">
        <v>6360</v>
      </c>
      <c r="C5781" s="81" t="s">
        <v>4082</v>
      </c>
      <c r="D5781" s="81" t="s">
        <v>224</v>
      </c>
      <c r="E5781" s="81" t="s">
        <v>5092</v>
      </c>
      <c r="F5781" s="81" t="s">
        <v>224</v>
      </c>
      <c r="G5781" s="81" t="s">
        <v>224</v>
      </c>
      <c r="H5781" s="81" t="s">
        <v>224</v>
      </c>
      <c r="I5781" s="81" t="s">
        <v>224</v>
      </c>
      <c r="J5781" s="81" t="s">
        <v>5006</v>
      </c>
    </row>
    <row r="5782" hidden="1">
      <c r="A5782" s="83" t="s">
        <v>6359</v>
      </c>
      <c r="B5782" s="83" t="s">
        <v>6360</v>
      </c>
      <c r="C5782" s="81" t="s">
        <v>4082</v>
      </c>
      <c r="D5782" s="81" t="s">
        <v>224</v>
      </c>
      <c r="E5782" s="81" t="s">
        <v>5093</v>
      </c>
      <c r="F5782" s="81" t="s">
        <v>224</v>
      </c>
      <c r="G5782" s="81" t="s">
        <v>224</v>
      </c>
      <c r="H5782" s="81" t="s">
        <v>224</v>
      </c>
      <c r="I5782" s="81" t="s">
        <v>224</v>
      </c>
      <c r="J5782" s="81" t="s">
        <v>5026</v>
      </c>
    </row>
    <row r="5783" hidden="1">
      <c r="A5783" s="83" t="s">
        <v>6359</v>
      </c>
      <c r="B5783" s="83" t="s">
        <v>6360</v>
      </c>
      <c r="C5783" s="81" t="s">
        <v>4082</v>
      </c>
      <c r="D5783" s="81" t="s">
        <v>224</v>
      </c>
      <c r="E5783" s="81" t="s">
        <v>5094</v>
      </c>
      <c r="F5783" s="81" t="s">
        <v>224</v>
      </c>
      <c r="G5783" s="81" t="s">
        <v>224</v>
      </c>
      <c r="H5783" s="81" t="s">
        <v>224</v>
      </c>
      <c r="I5783" s="81" t="s">
        <v>224</v>
      </c>
      <c r="J5783" s="81" t="s">
        <v>5026</v>
      </c>
    </row>
    <row r="5784" hidden="1">
      <c r="A5784" s="83" t="s">
        <v>6359</v>
      </c>
      <c r="B5784" s="83" t="s">
        <v>6360</v>
      </c>
      <c r="C5784" s="81" t="s">
        <v>4082</v>
      </c>
      <c r="D5784" s="81" t="s">
        <v>224</v>
      </c>
      <c r="E5784" s="81" t="s">
        <v>5095</v>
      </c>
      <c r="F5784" s="81" t="s">
        <v>224</v>
      </c>
      <c r="G5784" s="81" t="s">
        <v>224</v>
      </c>
      <c r="H5784" s="81" t="s">
        <v>224</v>
      </c>
      <c r="I5784" s="81" t="s">
        <v>224</v>
      </c>
      <c r="J5784" s="81" t="s">
        <v>5006</v>
      </c>
    </row>
    <row r="5785" hidden="1">
      <c r="A5785" s="83" t="s">
        <v>6359</v>
      </c>
      <c r="B5785" s="83" t="s">
        <v>6360</v>
      </c>
      <c r="C5785" s="81" t="s">
        <v>4082</v>
      </c>
      <c r="D5785" s="81" t="s">
        <v>224</v>
      </c>
      <c r="E5785" s="81" t="s">
        <v>5096</v>
      </c>
      <c r="F5785" s="81" t="s">
        <v>224</v>
      </c>
      <c r="G5785" s="81" t="s">
        <v>224</v>
      </c>
      <c r="H5785" s="81" t="s">
        <v>224</v>
      </c>
      <c r="I5785" s="81" t="s">
        <v>224</v>
      </c>
      <c r="J5785" s="81" t="s">
        <v>5006</v>
      </c>
    </row>
    <row r="5786" hidden="1">
      <c r="A5786" s="83" t="s">
        <v>6359</v>
      </c>
      <c r="B5786" s="83" t="s">
        <v>6360</v>
      </c>
      <c r="C5786" s="81" t="s">
        <v>4082</v>
      </c>
      <c r="D5786" s="81" t="s">
        <v>224</v>
      </c>
      <c r="E5786" s="81" t="s">
        <v>5097</v>
      </c>
      <c r="F5786" s="81" t="s">
        <v>224</v>
      </c>
      <c r="G5786" s="81" t="s">
        <v>224</v>
      </c>
      <c r="H5786" s="81" t="s">
        <v>224</v>
      </c>
      <c r="I5786" s="81" t="s">
        <v>224</v>
      </c>
      <c r="J5786" s="81" t="s">
        <v>5006</v>
      </c>
    </row>
    <row r="5787" hidden="1">
      <c r="A5787" s="83" t="s">
        <v>6359</v>
      </c>
      <c r="B5787" s="83" t="s">
        <v>6360</v>
      </c>
      <c r="C5787" s="81" t="s">
        <v>4082</v>
      </c>
      <c r="D5787" s="81" t="s">
        <v>224</v>
      </c>
      <c r="E5787" s="81" t="s">
        <v>5098</v>
      </c>
      <c r="F5787" s="81" t="s">
        <v>224</v>
      </c>
      <c r="G5787" s="81" t="s">
        <v>224</v>
      </c>
      <c r="H5787" s="81" t="s">
        <v>224</v>
      </c>
      <c r="I5787" s="81" t="s">
        <v>224</v>
      </c>
      <c r="J5787" s="81" t="s">
        <v>4984</v>
      </c>
    </row>
    <row r="5788" hidden="1">
      <c r="A5788" s="83" t="s">
        <v>6359</v>
      </c>
      <c r="B5788" s="83" t="s">
        <v>6360</v>
      </c>
      <c r="C5788" s="81" t="s">
        <v>4082</v>
      </c>
      <c r="D5788" s="81" t="s">
        <v>224</v>
      </c>
      <c r="E5788" s="81" t="s">
        <v>5099</v>
      </c>
      <c r="F5788" s="81" t="s">
        <v>224</v>
      </c>
      <c r="G5788" s="81" t="s">
        <v>224</v>
      </c>
      <c r="H5788" s="81" t="s">
        <v>224</v>
      </c>
      <c r="I5788" s="81" t="s">
        <v>224</v>
      </c>
      <c r="J5788" s="81" t="s">
        <v>4984</v>
      </c>
    </row>
    <row r="5789" hidden="1">
      <c r="A5789" s="83" t="s">
        <v>6359</v>
      </c>
      <c r="B5789" s="83" t="s">
        <v>6360</v>
      </c>
      <c r="C5789" s="81" t="s">
        <v>4082</v>
      </c>
      <c r="D5789" s="81" t="s">
        <v>224</v>
      </c>
      <c r="E5789" s="81" t="s">
        <v>5100</v>
      </c>
      <c r="F5789" s="81" t="s">
        <v>224</v>
      </c>
      <c r="G5789" s="81" t="s">
        <v>224</v>
      </c>
      <c r="H5789" s="81" t="s">
        <v>224</v>
      </c>
      <c r="I5789" s="81" t="s">
        <v>224</v>
      </c>
      <c r="J5789" s="81" t="s">
        <v>4984</v>
      </c>
    </row>
    <row r="5790" hidden="1">
      <c r="A5790" s="83" t="s">
        <v>6359</v>
      </c>
      <c r="B5790" s="83" t="s">
        <v>6360</v>
      </c>
      <c r="C5790" s="81" t="s">
        <v>4082</v>
      </c>
      <c r="D5790" s="81" t="s">
        <v>224</v>
      </c>
      <c r="E5790" s="81" t="s">
        <v>5101</v>
      </c>
      <c r="F5790" s="81" t="s">
        <v>224</v>
      </c>
      <c r="G5790" s="81" t="s">
        <v>224</v>
      </c>
      <c r="H5790" s="81" t="s">
        <v>224</v>
      </c>
      <c r="I5790" s="81" t="s">
        <v>224</v>
      </c>
      <c r="J5790" s="81" t="s">
        <v>5006</v>
      </c>
    </row>
    <row r="5791" hidden="1">
      <c r="A5791" s="83" t="s">
        <v>6359</v>
      </c>
      <c r="B5791" s="83" t="s">
        <v>6360</v>
      </c>
      <c r="C5791" s="81" t="s">
        <v>4082</v>
      </c>
      <c r="D5791" s="81" t="s">
        <v>224</v>
      </c>
      <c r="E5791" s="81" t="s">
        <v>5102</v>
      </c>
      <c r="F5791" s="81" t="s">
        <v>224</v>
      </c>
      <c r="G5791" s="81" t="s">
        <v>224</v>
      </c>
      <c r="H5791" s="81" t="s">
        <v>224</v>
      </c>
      <c r="I5791" s="81" t="s">
        <v>224</v>
      </c>
      <c r="J5791" s="81" t="s">
        <v>4984</v>
      </c>
    </row>
    <row r="5792" hidden="1">
      <c r="A5792" s="83" t="s">
        <v>6359</v>
      </c>
      <c r="B5792" s="83" t="s">
        <v>6360</v>
      </c>
      <c r="C5792" s="81" t="s">
        <v>4082</v>
      </c>
      <c r="D5792" s="81" t="s">
        <v>224</v>
      </c>
      <c r="E5792" s="81" t="s">
        <v>5103</v>
      </c>
      <c r="F5792" s="81" t="s">
        <v>224</v>
      </c>
      <c r="G5792" s="81" t="s">
        <v>224</v>
      </c>
      <c r="H5792" s="81" t="s">
        <v>224</v>
      </c>
      <c r="I5792" s="81" t="s">
        <v>224</v>
      </c>
      <c r="J5792" s="81" t="s">
        <v>5026</v>
      </c>
    </row>
    <row r="5793" hidden="1">
      <c r="A5793" s="83" t="s">
        <v>6359</v>
      </c>
      <c r="B5793" s="83" t="s">
        <v>6360</v>
      </c>
      <c r="C5793" s="81" t="s">
        <v>4082</v>
      </c>
      <c r="D5793" s="81" t="s">
        <v>224</v>
      </c>
      <c r="E5793" s="81" t="s">
        <v>5104</v>
      </c>
      <c r="F5793" s="81" t="s">
        <v>224</v>
      </c>
      <c r="G5793" s="81" t="s">
        <v>224</v>
      </c>
      <c r="H5793" s="81" t="s">
        <v>224</v>
      </c>
      <c r="I5793" s="81" t="s">
        <v>224</v>
      </c>
      <c r="J5793" s="81" t="s">
        <v>5026</v>
      </c>
    </row>
    <row r="5794" hidden="1">
      <c r="A5794" s="83" t="s">
        <v>6359</v>
      </c>
      <c r="B5794" s="83" t="s">
        <v>6360</v>
      </c>
      <c r="C5794" s="81" t="s">
        <v>4082</v>
      </c>
      <c r="D5794" s="81" t="s">
        <v>224</v>
      </c>
      <c r="E5794" s="81" t="s">
        <v>5105</v>
      </c>
      <c r="F5794" s="81" t="s">
        <v>224</v>
      </c>
      <c r="G5794" s="81" t="s">
        <v>224</v>
      </c>
      <c r="H5794" s="81" t="s">
        <v>224</v>
      </c>
      <c r="I5794" s="81" t="s">
        <v>224</v>
      </c>
      <c r="J5794" s="81" t="s">
        <v>5028</v>
      </c>
    </row>
    <row r="5795" hidden="1">
      <c r="A5795" s="83" t="s">
        <v>6359</v>
      </c>
      <c r="B5795" s="83" t="s">
        <v>6360</v>
      </c>
      <c r="C5795" s="81" t="s">
        <v>4082</v>
      </c>
      <c r="D5795" s="81" t="s">
        <v>224</v>
      </c>
      <c r="E5795" s="81" t="s">
        <v>5106</v>
      </c>
      <c r="F5795" s="81" t="s">
        <v>224</v>
      </c>
      <c r="G5795" s="81" t="s">
        <v>224</v>
      </c>
      <c r="H5795" s="81" t="s">
        <v>224</v>
      </c>
      <c r="I5795" s="81" t="s">
        <v>224</v>
      </c>
      <c r="J5795" s="81" t="s">
        <v>5028</v>
      </c>
    </row>
    <row r="5796" hidden="1">
      <c r="A5796" s="83" t="s">
        <v>6359</v>
      </c>
      <c r="B5796" s="83" t="s">
        <v>6360</v>
      </c>
      <c r="C5796" s="81" t="s">
        <v>4082</v>
      </c>
      <c r="D5796" s="81" t="s">
        <v>224</v>
      </c>
      <c r="E5796" s="81" t="s">
        <v>5107</v>
      </c>
      <c r="F5796" s="81" t="s">
        <v>224</v>
      </c>
      <c r="G5796" s="81" t="s">
        <v>224</v>
      </c>
      <c r="H5796" s="81" t="s">
        <v>224</v>
      </c>
      <c r="I5796" s="81" t="s">
        <v>224</v>
      </c>
      <c r="J5796" s="81" t="s">
        <v>5028</v>
      </c>
    </row>
    <row r="5797" hidden="1">
      <c r="A5797" s="83" t="s">
        <v>6359</v>
      </c>
      <c r="B5797" s="83" t="s">
        <v>6360</v>
      </c>
      <c r="C5797" s="81" t="s">
        <v>4082</v>
      </c>
      <c r="D5797" s="81" t="s">
        <v>224</v>
      </c>
      <c r="E5797" s="81" t="s">
        <v>5108</v>
      </c>
      <c r="F5797" s="81" t="s">
        <v>224</v>
      </c>
      <c r="G5797" s="81" t="s">
        <v>224</v>
      </c>
      <c r="H5797" s="81" t="s">
        <v>224</v>
      </c>
      <c r="I5797" s="81" t="s">
        <v>224</v>
      </c>
      <c r="J5797" s="81" t="s">
        <v>5028</v>
      </c>
    </row>
    <row r="5798" hidden="1">
      <c r="A5798" s="83" t="s">
        <v>6359</v>
      </c>
      <c r="B5798" s="83" t="s">
        <v>6360</v>
      </c>
      <c r="C5798" s="81" t="s">
        <v>4082</v>
      </c>
      <c r="D5798" s="81" t="s">
        <v>224</v>
      </c>
      <c r="E5798" s="81" t="s">
        <v>5109</v>
      </c>
      <c r="F5798" s="81" t="s">
        <v>224</v>
      </c>
      <c r="G5798" s="81" t="s">
        <v>224</v>
      </c>
      <c r="H5798" s="81" t="s">
        <v>224</v>
      </c>
      <c r="I5798" s="81" t="s">
        <v>224</v>
      </c>
      <c r="J5798" s="81" t="s">
        <v>5028</v>
      </c>
    </row>
    <row r="5799" hidden="1">
      <c r="A5799" s="83" t="s">
        <v>6359</v>
      </c>
      <c r="B5799" s="83" t="s">
        <v>6360</v>
      </c>
      <c r="C5799" s="81" t="s">
        <v>4082</v>
      </c>
      <c r="D5799" s="81" t="s">
        <v>224</v>
      </c>
      <c r="E5799" s="81" t="s">
        <v>5110</v>
      </c>
      <c r="F5799" s="81" t="s">
        <v>224</v>
      </c>
      <c r="G5799" s="81" t="s">
        <v>224</v>
      </c>
      <c r="H5799" s="81" t="s">
        <v>224</v>
      </c>
      <c r="I5799" s="81" t="s">
        <v>224</v>
      </c>
      <c r="J5799" s="81" t="s">
        <v>5028</v>
      </c>
    </row>
    <row r="5800" hidden="1">
      <c r="A5800" s="83" t="s">
        <v>6359</v>
      </c>
      <c r="B5800" s="83" t="s">
        <v>6360</v>
      </c>
      <c r="C5800" s="81" t="s">
        <v>4082</v>
      </c>
      <c r="D5800" s="81" t="s">
        <v>224</v>
      </c>
      <c r="E5800" s="81" t="s">
        <v>224</v>
      </c>
      <c r="F5800" s="81" t="s">
        <v>224</v>
      </c>
      <c r="G5800" s="81" t="s">
        <v>224</v>
      </c>
      <c r="H5800" s="81" t="s">
        <v>224</v>
      </c>
      <c r="I5800" s="81" t="s">
        <v>224</v>
      </c>
      <c r="J5800" s="81" t="s">
        <v>5111</v>
      </c>
    </row>
    <row r="5801" hidden="1">
      <c r="A5801" s="83" t="s">
        <v>6359</v>
      </c>
      <c r="B5801" s="83" t="s">
        <v>6360</v>
      </c>
      <c r="C5801" s="81" t="s">
        <v>4621</v>
      </c>
      <c r="D5801" s="83" t="s">
        <v>4091</v>
      </c>
      <c r="E5801" s="81" t="s">
        <v>104</v>
      </c>
      <c r="F5801" s="81">
        <v>6.0</v>
      </c>
      <c r="G5801" s="81" t="s">
        <v>42</v>
      </c>
      <c r="H5801" s="81" t="s">
        <v>6365</v>
      </c>
      <c r="I5801" s="81" t="s">
        <v>117</v>
      </c>
      <c r="J5801" s="81" t="s">
        <v>224</v>
      </c>
    </row>
    <row r="5802" hidden="1">
      <c r="A5802" s="83" t="s">
        <v>6359</v>
      </c>
      <c r="B5802" s="83" t="s">
        <v>6360</v>
      </c>
      <c r="C5802" s="81" t="s">
        <v>4621</v>
      </c>
      <c r="D5802" s="83" t="s">
        <v>4091</v>
      </c>
      <c r="E5802" s="81" t="s">
        <v>121</v>
      </c>
      <c r="F5802" s="81">
        <v>7.0</v>
      </c>
      <c r="G5802" s="81" t="s">
        <v>42</v>
      </c>
      <c r="H5802" s="81" t="s">
        <v>6365</v>
      </c>
      <c r="I5802" s="81" t="s">
        <v>117</v>
      </c>
      <c r="J5802" s="81" t="s">
        <v>224</v>
      </c>
    </row>
    <row r="5803" hidden="1">
      <c r="A5803" s="83" t="s">
        <v>6359</v>
      </c>
      <c r="B5803" s="83" t="s">
        <v>6360</v>
      </c>
      <c r="C5803" s="81" t="s">
        <v>6333</v>
      </c>
      <c r="D5803" s="83" t="s">
        <v>4120</v>
      </c>
      <c r="E5803" s="81" t="s">
        <v>331</v>
      </c>
      <c r="F5803" s="81">
        <v>38.0</v>
      </c>
      <c r="G5803" s="81" t="s">
        <v>42</v>
      </c>
      <c r="H5803" s="81" t="s">
        <v>6366</v>
      </c>
      <c r="I5803" s="81" t="s">
        <v>224</v>
      </c>
      <c r="J5803" s="81" t="s">
        <v>6367</v>
      </c>
    </row>
    <row r="5804" hidden="1">
      <c r="A5804" s="83" t="s">
        <v>6359</v>
      </c>
      <c r="B5804" s="83" t="s">
        <v>6360</v>
      </c>
      <c r="C5804" s="81" t="s">
        <v>4082</v>
      </c>
      <c r="D5804" s="83" t="s">
        <v>4201</v>
      </c>
      <c r="E5804" s="81" t="s">
        <v>754</v>
      </c>
      <c r="F5804" s="81">
        <v>127.0</v>
      </c>
      <c r="G5804" s="81" t="s">
        <v>39</v>
      </c>
      <c r="H5804" s="81" t="s">
        <v>224</v>
      </c>
      <c r="I5804" s="81" t="s">
        <v>224</v>
      </c>
      <c r="J5804" s="81" t="s">
        <v>5311</v>
      </c>
    </row>
    <row r="5805" hidden="1">
      <c r="A5805" s="83" t="s">
        <v>6359</v>
      </c>
      <c r="B5805" s="83" t="s">
        <v>6360</v>
      </c>
      <c r="C5805" s="81" t="s">
        <v>4082</v>
      </c>
      <c r="D5805" s="83" t="s">
        <v>4208</v>
      </c>
      <c r="E5805" s="81" t="s">
        <v>786</v>
      </c>
      <c r="F5805" s="81">
        <v>134.0</v>
      </c>
      <c r="G5805" s="81" t="s">
        <v>39</v>
      </c>
      <c r="H5805" s="81" t="s">
        <v>224</v>
      </c>
      <c r="I5805" s="81" t="s">
        <v>224</v>
      </c>
      <c r="J5805" s="81" t="s">
        <v>5322</v>
      </c>
    </row>
    <row r="5806" hidden="1">
      <c r="A5806" s="83" t="s">
        <v>6359</v>
      </c>
      <c r="B5806" s="83" t="s">
        <v>6360</v>
      </c>
      <c r="C5806" s="81" t="s">
        <v>4082</v>
      </c>
      <c r="D5806" s="83" t="s">
        <v>4211</v>
      </c>
      <c r="E5806" s="81" t="s">
        <v>798</v>
      </c>
      <c r="F5806" s="81">
        <v>137.0</v>
      </c>
      <c r="G5806" s="81" t="s">
        <v>39</v>
      </c>
      <c r="H5806" s="81" t="s">
        <v>224</v>
      </c>
      <c r="I5806" s="81" t="s">
        <v>224</v>
      </c>
      <c r="J5806" s="81" t="s">
        <v>5327</v>
      </c>
    </row>
    <row r="5807" hidden="1">
      <c r="A5807" s="83" t="s">
        <v>6359</v>
      </c>
      <c r="B5807" s="83" t="s">
        <v>6360</v>
      </c>
      <c r="C5807" s="81" t="s">
        <v>4082</v>
      </c>
      <c r="D5807" s="83" t="s">
        <v>4212</v>
      </c>
      <c r="E5807" s="81" t="s">
        <v>804</v>
      </c>
      <c r="F5807" s="81">
        <v>138.0</v>
      </c>
      <c r="G5807" s="81" t="s">
        <v>39</v>
      </c>
      <c r="H5807" s="81" t="s">
        <v>224</v>
      </c>
      <c r="I5807" s="81" t="s">
        <v>224</v>
      </c>
      <c r="J5807" s="81" t="s">
        <v>5330</v>
      </c>
    </row>
    <row r="5808" hidden="1">
      <c r="A5808" s="83" t="s">
        <v>6359</v>
      </c>
      <c r="B5808" s="83" t="s">
        <v>6360</v>
      </c>
      <c r="C5808" s="81" t="s">
        <v>4082</v>
      </c>
      <c r="D5808" s="83" t="s">
        <v>4238</v>
      </c>
      <c r="E5808" s="81" t="s">
        <v>918</v>
      </c>
      <c r="F5808" s="81">
        <v>163.0</v>
      </c>
      <c r="G5808" s="81" t="s">
        <v>41</v>
      </c>
      <c r="H5808" s="81" t="s">
        <v>924</v>
      </c>
      <c r="I5808" s="81" t="s">
        <v>224</v>
      </c>
      <c r="J5808" s="81" t="s">
        <v>6344</v>
      </c>
    </row>
    <row r="5809" hidden="1">
      <c r="A5809" s="83" t="s">
        <v>6359</v>
      </c>
      <c r="B5809" s="83" t="s">
        <v>6360</v>
      </c>
      <c r="C5809" s="81" t="s">
        <v>6333</v>
      </c>
      <c r="D5809" s="83" t="s">
        <v>4245</v>
      </c>
      <c r="E5809" s="81" t="s">
        <v>955</v>
      </c>
      <c r="F5809" s="81">
        <v>173.0</v>
      </c>
      <c r="G5809" s="81" t="s">
        <v>42</v>
      </c>
      <c r="H5809" s="81" t="s">
        <v>2732</v>
      </c>
      <c r="I5809" s="81" t="s">
        <v>224</v>
      </c>
      <c r="J5809" s="81" t="s">
        <v>6367</v>
      </c>
    </row>
    <row r="5810" hidden="1">
      <c r="A5810" s="83" t="s">
        <v>6359</v>
      </c>
      <c r="B5810" s="83" t="s">
        <v>6360</v>
      </c>
      <c r="C5810" s="81" t="s">
        <v>6333</v>
      </c>
      <c r="D5810" s="83" t="s">
        <v>4245</v>
      </c>
      <c r="E5810" s="81" t="s">
        <v>961</v>
      </c>
      <c r="F5810" s="81">
        <v>174.0</v>
      </c>
      <c r="G5810" s="81" t="s">
        <v>42</v>
      </c>
      <c r="H5810" s="81" t="s">
        <v>2732</v>
      </c>
      <c r="I5810" s="81" t="s">
        <v>224</v>
      </c>
      <c r="J5810" s="81" t="s">
        <v>6367</v>
      </c>
    </row>
    <row r="5811" hidden="1">
      <c r="A5811" s="83" t="s">
        <v>6359</v>
      </c>
      <c r="B5811" s="83" t="s">
        <v>6360</v>
      </c>
      <c r="C5811" s="81" t="s">
        <v>6333</v>
      </c>
      <c r="D5811" s="83" t="s">
        <v>4246</v>
      </c>
      <c r="E5811" s="81" t="s">
        <v>962</v>
      </c>
      <c r="F5811" s="81">
        <v>175.0</v>
      </c>
      <c r="G5811" s="81" t="s">
        <v>42</v>
      </c>
      <c r="H5811" s="81" t="s">
        <v>2732</v>
      </c>
      <c r="I5811" s="81" t="s">
        <v>224</v>
      </c>
      <c r="J5811" s="81" t="s">
        <v>6367</v>
      </c>
    </row>
    <row r="5812" hidden="1">
      <c r="A5812" s="83" t="s">
        <v>6359</v>
      </c>
      <c r="B5812" s="83" t="s">
        <v>6360</v>
      </c>
      <c r="C5812" s="81" t="s">
        <v>6333</v>
      </c>
      <c r="D5812" s="83" t="s">
        <v>4247</v>
      </c>
      <c r="E5812" s="81" t="s">
        <v>965</v>
      </c>
      <c r="F5812" s="81">
        <v>176.0</v>
      </c>
      <c r="G5812" s="81" t="s">
        <v>42</v>
      </c>
      <c r="H5812" s="81" t="s">
        <v>2732</v>
      </c>
      <c r="I5812" s="81" t="s">
        <v>224</v>
      </c>
      <c r="J5812" s="81" t="s">
        <v>6367</v>
      </c>
    </row>
    <row r="5813" hidden="1">
      <c r="A5813" s="83" t="s">
        <v>6359</v>
      </c>
      <c r="B5813" s="83" t="s">
        <v>6360</v>
      </c>
      <c r="C5813" s="81" t="s">
        <v>6333</v>
      </c>
      <c r="D5813" s="83" t="s">
        <v>4247</v>
      </c>
      <c r="E5813" s="81" t="s">
        <v>971</v>
      </c>
      <c r="F5813" s="81">
        <v>177.0</v>
      </c>
      <c r="G5813" s="81" t="s">
        <v>42</v>
      </c>
      <c r="H5813" s="81" t="s">
        <v>2732</v>
      </c>
      <c r="I5813" s="81" t="s">
        <v>224</v>
      </c>
      <c r="J5813" s="81" t="s">
        <v>6367</v>
      </c>
    </row>
    <row r="5814" hidden="1">
      <c r="A5814" s="83" t="s">
        <v>6359</v>
      </c>
      <c r="B5814" s="83" t="s">
        <v>6360</v>
      </c>
      <c r="C5814" s="81" t="s">
        <v>6333</v>
      </c>
      <c r="D5814" s="83" t="s">
        <v>4248</v>
      </c>
      <c r="E5814" s="81" t="s">
        <v>972</v>
      </c>
      <c r="F5814" s="81">
        <v>178.0</v>
      </c>
      <c r="G5814" s="81" t="s">
        <v>42</v>
      </c>
      <c r="H5814" s="81" t="s">
        <v>2732</v>
      </c>
      <c r="I5814" s="81" t="s">
        <v>224</v>
      </c>
      <c r="J5814" s="81" t="s">
        <v>6367</v>
      </c>
    </row>
    <row r="5815" hidden="1">
      <c r="A5815" s="83" t="s">
        <v>6359</v>
      </c>
      <c r="B5815" s="83" t="s">
        <v>6360</v>
      </c>
      <c r="C5815" s="81" t="s">
        <v>6333</v>
      </c>
      <c r="D5815" s="83" t="s">
        <v>4249</v>
      </c>
      <c r="E5815" s="81" t="s">
        <v>975</v>
      </c>
      <c r="F5815" s="81">
        <v>179.0</v>
      </c>
      <c r="G5815" s="81" t="s">
        <v>42</v>
      </c>
      <c r="H5815" s="81" t="s">
        <v>2732</v>
      </c>
      <c r="I5815" s="81" t="s">
        <v>224</v>
      </c>
      <c r="J5815" s="81" t="s">
        <v>6367</v>
      </c>
    </row>
    <row r="5816" hidden="1">
      <c r="A5816" s="83" t="s">
        <v>6359</v>
      </c>
      <c r="B5816" s="83" t="s">
        <v>6360</v>
      </c>
      <c r="C5816" s="81" t="s">
        <v>6333</v>
      </c>
      <c r="D5816" s="83" t="s">
        <v>4249</v>
      </c>
      <c r="E5816" s="81" t="s">
        <v>981</v>
      </c>
      <c r="F5816" s="81">
        <v>180.0</v>
      </c>
      <c r="G5816" s="81" t="s">
        <v>42</v>
      </c>
      <c r="H5816" s="81" t="s">
        <v>2732</v>
      </c>
      <c r="I5816" s="81" t="s">
        <v>224</v>
      </c>
      <c r="J5816" s="81" t="s">
        <v>6367</v>
      </c>
    </row>
    <row r="5817" hidden="1">
      <c r="A5817" s="83" t="s">
        <v>6359</v>
      </c>
      <c r="B5817" s="83" t="s">
        <v>6360</v>
      </c>
      <c r="C5817" s="81" t="s">
        <v>6333</v>
      </c>
      <c r="D5817" s="83" t="s">
        <v>4250</v>
      </c>
      <c r="E5817" s="81" t="s">
        <v>982</v>
      </c>
      <c r="F5817" s="81">
        <v>181.0</v>
      </c>
      <c r="G5817" s="81" t="s">
        <v>42</v>
      </c>
      <c r="H5817" s="81" t="s">
        <v>2732</v>
      </c>
      <c r="I5817" s="81" t="s">
        <v>224</v>
      </c>
      <c r="J5817" s="81" t="s">
        <v>6367</v>
      </c>
    </row>
    <row r="5818" hidden="1">
      <c r="A5818" s="83" t="s">
        <v>6359</v>
      </c>
      <c r="B5818" s="83" t="s">
        <v>6360</v>
      </c>
      <c r="C5818" s="81" t="s">
        <v>6333</v>
      </c>
      <c r="D5818" s="83" t="s">
        <v>4251</v>
      </c>
      <c r="E5818" s="81" t="s">
        <v>985</v>
      </c>
      <c r="F5818" s="81">
        <v>182.0</v>
      </c>
      <c r="G5818" s="81" t="s">
        <v>42</v>
      </c>
      <c r="H5818" s="81" t="s">
        <v>2732</v>
      </c>
      <c r="I5818" s="81" t="s">
        <v>224</v>
      </c>
      <c r="J5818" s="81" t="s">
        <v>6367</v>
      </c>
    </row>
    <row r="5819" hidden="1">
      <c r="A5819" s="83" t="s">
        <v>6359</v>
      </c>
      <c r="B5819" s="83" t="s">
        <v>6360</v>
      </c>
      <c r="C5819" s="81" t="s">
        <v>6333</v>
      </c>
      <c r="D5819" s="83" t="s">
        <v>4251</v>
      </c>
      <c r="E5819" s="81" t="s">
        <v>991</v>
      </c>
      <c r="F5819" s="81">
        <v>183.0</v>
      </c>
      <c r="G5819" s="81" t="s">
        <v>42</v>
      </c>
      <c r="H5819" s="81" t="s">
        <v>2732</v>
      </c>
      <c r="I5819" s="81" t="s">
        <v>224</v>
      </c>
      <c r="J5819" s="81" t="s">
        <v>6367</v>
      </c>
    </row>
    <row r="5820" hidden="1">
      <c r="A5820" s="83" t="s">
        <v>6359</v>
      </c>
      <c r="B5820" s="83" t="s">
        <v>6360</v>
      </c>
      <c r="C5820" s="81" t="s">
        <v>6333</v>
      </c>
      <c r="D5820" s="83" t="s">
        <v>4252</v>
      </c>
      <c r="E5820" s="81" t="s">
        <v>992</v>
      </c>
      <c r="F5820" s="81">
        <v>184.0</v>
      </c>
      <c r="G5820" s="81" t="s">
        <v>42</v>
      </c>
      <c r="H5820" s="81" t="s">
        <v>2732</v>
      </c>
      <c r="I5820" s="81" t="s">
        <v>224</v>
      </c>
      <c r="J5820" s="81" t="s">
        <v>6367</v>
      </c>
    </row>
    <row r="5821" hidden="1">
      <c r="A5821" s="83" t="s">
        <v>6359</v>
      </c>
      <c r="B5821" s="83" t="s">
        <v>6360</v>
      </c>
      <c r="C5821" s="81" t="s">
        <v>6333</v>
      </c>
      <c r="D5821" s="83" t="s">
        <v>4253</v>
      </c>
      <c r="E5821" s="81" t="s">
        <v>995</v>
      </c>
      <c r="F5821" s="81">
        <v>185.0</v>
      </c>
      <c r="G5821" s="81" t="s">
        <v>42</v>
      </c>
      <c r="H5821" s="81" t="s">
        <v>2732</v>
      </c>
      <c r="I5821" s="81" t="s">
        <v>224</v>
      </c>
      <c r="J5821" s="81" t="s">
        <v>6367</v>
      </c>
    </row>
    <row r="5822" hidden="1">
      <c r="A5822" s="83" t="s">
        <v>6359</v>
      </c>
      <c r="B5822" s="83" t="s">
        <v>6360</v>
      </c>
      <c r="C5822" s="81" t="s">
        <v>6333</v>
      </c>
      <c r="D5822" s="83" t="s">
        <v>4253</v>
      </c>
      <c r="E5822" s="81" t="s">
        <v>1001</v>
      </c>
      <c r="F5822" s="81">
        <v>186.0</v>
      </c>
      <c r="G5822" s="81" t="s">
        <v>42</v>
      </c>
      <c r="H5822" s="81" t="s">
        <v>2732</v>
      </c>
      <c r="I5822" s="81" t="s">
        <v>224</v>
      </c>
      <c r="J5822" s="81" t="s">
        <v>6367</v>
      </c>
    </row>
    <row r="5823" hidden="1">
      <c r="A5823" s="83" t="s">
        <v>6359</v>
      </c>
      <c r="B5823" s="83" t="s">
        <v>6360</v>
      </c>
      <c r="C5823" s="81" t="s">
        <v>6333</v>
      </c>
      <c r="D5823" s="83" t="s">
        <v>4254</v>
      </c>
      <c r="E5823" s="81" t="s">
        <v>1002</v>
      </c>
      <c r="F5823" s="81">
        <v>187.0</v>
      </c>
      <c r="G5823" s="81" t="s">
        <v>42</v>
      </c>
      <c r="H5823" s="81" t="s">
        <v>2732</v>
      </c>
      <c r="I5823" s="81" t="s">
        <v>224</v>
      </c>
      <c r="J5823" s="81" t="s">
        <v>6367</v>
      </c>
    </row>
    <row r="5824" hidden="1">
      <c r="A5824" s="83" t="s">
        <v>6359</v>
      </c>
      <c r="B5824" s="83" t="s">
        <v>6360</v>
      </c>
      <c r="C5824" s="81" t="s">
        <v>6333</v>
      </c>
      <c r="D5824" s="83" t="s">
        <v>4255</v>
      </c>
      <c r="E5824" s="81" t="s">
        <v>1005</v>
      </c>
      <c r="F5824" s="81">
        <v>188.0</v>
      </c>
      <c r="G5824" s="81" t="s">
        <v>42</v>
      </c>
      <c r="H5824" s="81" t="s">
        <v>2732</v>
      </c>
      <c r="I5824" s="81" t="s">
        <v>224</v>
      </c>
      <c r="J5824" s="81" t="s">
        <v>6367</v>
      </c>
    </row>
    <row r="5825" hidden="1">
      <c r="A5825" s="83" t="s">
        <v>6359</v>
      </c>
      <c r="B5825" s="83" t="s">
        <v>6360</v>
      </c>
      <c r="C5825" s="81" t="s">
        <v>6333</v>
      </c>
      <c r="D5825" s="83" t="s">
        <v>4255</v>
      </c>
      <c r="E5825" s="81" t="s">
        <v>1011</v>
      </c>
      <c r="F5825" s="81">
        <v>189.0</v>
      </c>
      <c r="G5825" s="81" t="s">
        <v>42</v>
      </c>
      <c r="H5825" s="81" t="s">
        <v>2732</v>
      </c>
      <c r="I5825" s="81" t="s">
        <v>224</v>
      </c>
      <c r="J5825" s="81" t="s">
        <v>6367</v>
      </c>
    </row>
    <row r="5826" hidden="1">
      <c r="A5826" s="83" t="s">
        <v>6359</v>
      </c>
      <c r="B5826" s="83" t="s">
        <v>6360</v>
      </c>
      <c r="C5826" s="81" t="s">
        <v>6333</v>
      </c>
      <c r="D5826" s="83" t="s">
        <v>4256</v>
      </c>
      <c r="E5826" s="81" t="s">
        <v>1012</v>
      </c>
      <c r="F5826" s="81">
        <v>190.0</v>
      </c>
      <c r="G5826" s="81" t="s">
        <v>42</v>
      </c>
      <c r="H5826" s="81" t="s">
        <v>2732</v>
      </c>
      <c r="I5826" s="81" t="s">
        <v>224</v>
      </c>
      <c r="J5826" s="81" t="s">
        <v>6367</v>
      </c>
    </row>
    <row r="5827" hidden="1">
      <c r="A5827" s="83" t="s">
        <v>6359</v>
      </c>
      <c r="B5827" s="83" t="s">
        <v>6360</v>
      </c>
      <c r="C5827" s="81" t="s">
        <v>4082</v>
      </c>
      <c r="D5827" s="83" t="s">
        <v>4267</v>
      </c>
      <c r="E5827" s="81" t="s">
        <v>1042</v>
      </c>
      <c r="F5827" s="81">
        <v>198.0</v>
      </c>
      <c r="G5827" s="81" t="s">
        <v>41</v>
      </c>
      <c r="H5827" s="81" t="s">
        <v>1051</v>
      </c>
      <c r="I5827" s="81" t="s">
        <v>224</v>
      </c>
      <c r="J5827" s="81" t="s">
        <v>6345</v>
      </c>
    </row>
    <row r="5828" hidden="1">
      <c r="A5828" s="83" t="s">
        <v>6359</v>
      </c>
      <c r="B5828" s="83" t="s">
        <v>6360</v>
      </c>
      <c r="C5828" s="81" t="s">
        <v>6333</v>
      </c>
      <c r="D5828" s="83" t="s">
        <v>4273</v>
      </c>
      <c r="E5828" s="81" t="s">
        <v>1073</v>
      </c>
      <c r="F5828" s="81">
        <v>207.0</v>
      </c>
      <c r="G5828" s="81" t="s">
        <v>42</v>
      </c>
      <c r="H5828" s="81" t="s">
        <v>2732</v>
      </c>
      <c r="I5828" s="81" t="s">
        <v>224</v>
      </c>
      <c r="J5828" s="81" t="s">
        <v>6367</v>
      </c>
    </row>
    <row r="5829" hidden="1">
      <c r="A5829" s="83" t="s">
        <v>6359</v>
      </c>
      <c r="B5829" s="83" t="s">
        <v>6360</v>
      </c>
      <c r="C5829" s="81" t="s">
        <v>6333</v>
      </c>
      <c r="D5829" s="83" t="s">
        <v>4273</v>
      </c>
      <c r="E5829" s="81" t="s">
        <v>1079</v>
      </c>
      <c r="F5829" s="81">
        <v>208.0</v>
      </c>
      <c r="G5829" s="81" t="s">
        <v>42</v>
      </c>
      <c r="H5829" s="81" t="s">
        <v>2732</v>
      </c>
      <c r="I5829" s="81" t="s">
        <v>224</v>
      </c>
      <c r="J5829" s="81" t="s">
        <v>6367</v>
      </c>
    </row>
    <row r="5830" hidden="1">
      <c r="A5830" s="83" t="s">
        <v>6359</v>
      </c>
      <c r="B5830" s="83" t="s">
        <v>6360</v>
      </c>
      <c r="C5830" s="81" t="s">
        <v>6333</v>
      </c>
      <c r="D5830" s="83" t="s">
        <v>4274</v>
      </c>
      <c r="E5830" s="81" t="s">
        <v>1080</v>
      </c>
      <c r="F5830" s="81">
        <v>209.0</v>
      </c>
      <c r="G5830" s="81" t="s">
        <v>42</v>
      </c>
      <c r="H5830" s="81" t="s">
        <v>2732</v>
      </c>
      <c r="I5830" s="81" t="s">
        <v>224</v>
      </c>
      <c r="J5830" s="81" t="s">
        <v>6367</v>
      </c>
    </row>
    <row r="5831" hidden="1">
      <c r="A5831" s="83" t="s">
        <v>6359</v>
      </c>
      <c r="B5831" s="83" t="s">
        <v>6360</v>
      </c>
      <c r="C5831" s="81" t="s">
        <v>6333</v>
      </c>
      <c r="D5831" s="83" t="s">
        <v>4275</v>
      </c>
      <c r="E5831" s="81" t="s">
        <v>1083</v>
      </c>
      <c r="F5831" s="81">
        <v>210.0</v>
      </c>
      <c r="G5831" s="81" t="s">
        <v>42</v>
      </c>
      <c r="H5831" s="81" t="s">
        <v>2732</v>
      </c>
      <c r="I5831" s="81" t="s">
        <v>224</v>
      </c>
      <c r="J5831" s="81" t="s">
        <v>6367</v>
      </c>
    </row>
    <row r="5832" hidden="1">
      <c r="A5832" s="83" t="s">
        <v>6359</v>
      </c>
      <c r="B5832" s="83" t="s">
        <v>6360</v>
      </c>
      <c r="C5832" s="81" t="s">
        <v>6333</v>
      </c>
      <c r="D5832" s="83" t="s">
        <v>4275</v>
      </c>
      <c r="E5832" s="81" t="s">
        <v>1089</v>
      </c>
      <c r="F5832" s="81">
        <v>211.0</v>
      </c>
      <c r="G5832" s="81" t="s">
        <v>42</v>
      </c>
      <c r="H5832" s="81" t="s">
        <v>2732</v>
      </c>
      <c r="I5832" s="81" t="s">
        <v>224</v>
      </c>
      <c r="J5832" s="81" t="s">
        <v>6367</v>
      </c>
    </row>
    <row r="5833" hidden="1">
      <c r="A5833" s="83" t="s">
        <v>6359</v>
      </c>
      <c r="B5833" s="83" t="s">
        <v>6360</v>
      </c>
      <c r="C5833" s="81" t="s">
        <v>6333</v>
      </c>
      <c r="D5833" s="83" t="s">
        <v>4276</v>
      </c>
      <c r="E5833" s="81" t="s">
        <v>1090</v>
      </c>
      <c r="F5833" s="81">
        <v>212.0</v>
      </c>
      <c r="G5833" s="81" t="s">
        <v>42</v>
      </c>
      <c r="H5833" s="81" t="s">
        <v>2732</v>
      </c>
      <c r="I5833" s="81" t="s">
        <v>224</v>
      </c>
      <c r="J5833" s="81" t="s">
        <v>6367</v>
      </c>
    </row>
    <row r="5834" hidden="1">
      <c r="A5834" s="83" t="s">
        <v>6359</v>
      </c>
      <c r="B5834" s="83" t="s">
        <v>6360</v>
      </c>
      <c r="C5834" s="81" t="s">
        <v>6333</v>
      </c>
      <c r="D5834" s="83" t="s">
        <v>4277</v>
      </c>
      <c r="E5834" s="81" t="s">
        <v>1093</v>
      </c>
      <c r="F5834" s="81">
        <v>213.0</v>
      </c>
      <c r="G5834" s="81" t="s">
        <v>42</v>
      </c>
      <c r="H5834" s="81" t="s">
        <v>2732</v>
      </c>
      <c r="I5834" s="81" t="s">
        <v>224</v>
      </c>
      <c r="J5834" s="81" t="s">
        <v>6367</v>
      </c>
    </row>
    <row r="5835" hidden="1">
      <c r="A5835" s="83" t="s">
        <v>6359</v>
      </c>
      <c r="B5835" s="83" t="s">
        <v>6360</v>
      </c>
      <c r="C5835" s="81" t="s">
        <v>6333</v>
      </c>
      <c r="D5835" s="83" t="s">
        <v>4277</v>
      </c>
      <c r="E5835" s="81" t="s">
        <v>1099</v>
      </c>
      <c r="F5835" s="81">
        <v>214.0</v>
      </c>
      <c r="G5835" s="81" t="s">
        <v>42</v>
      </c>
      <c r="H5835" s="81" t="s">
        <v>2732</v>
      </c>
      <c r="I5835" s="81" t="s">
        <v>224</v>
      </c>
      <c r="J5835" s="81" t="s">
        <v>6367</v>
      </c>
    </row>
    <row r="5836" hidden="1">
      <c r="A5836" s="83" t="s">
        <v>6359</v>
      </c>
      <c r="B5836" s="83" t="s">
        <v>6360</v>
      </c>
      <c r="C5836" s="81" t="s">
        <v>6333</v>
      </c>
      <c r="D5836" s="83" t="s">
        <v>4278</v>
      </c>
      <c r="E5836" s="81" t="s">
        <v>1100</v>
      </c>
      <c r="F5836" s="81">
        <v>215.0</v>
      </c>
      <c r="G5836" s="81" t="s">
        <v>42</v>
      </c>
      <c r="H5836" s="81" t="s">
        <v>2732</v>
      </c>
      <c r="I5836" s="81" t="s">
        <v>224</v>
      </c>
      <c r="J5836" s="81" t="s">
        <v>6367</v>
      </c>
    </row>
    <row r="5837" hidden="1">
      <c r="A5837" s="83" t="s">
        <v>6359</v>
      </c>
      <c r="B5837" s="83" t="s">
        <v>6360</v>
      </c>
      <c r="C5837" s="81" t="s">
        <v>6333</v>
      </c>
      <c r="D5837" s="83" t="s">
        <v>4279</v>
      </c>
      <c r="E5837" s="81" t="s">
        <v>1103</v>
      </c>
      <c r="F5837" s="81">
        <v>216.0</v>
      </c>
      <c r="G5837" s="81" t="s">
        <v>42</v>
      </c>
      <c r="H5837" s="81" t="s">
        <v>2732</v>
      </c>
      <c r="I5837" s="81" t="s">
        <v>224</v>
      </c>
      <c r="J5837" s="81" t="s">
        <v>6367</v>
      </c>
    </row>
    <row r="5838" hidden="1">
      <c r="A5838" s="83" t="s">
        <v>6359</v>
      </c>
      <c r="B5838" s="83" t="s">
        <v>6360</v>
      </c>
      <c r="C5838" s="81" t="s">
        <v>6333</v>
      </c>
      <c r="D5838" s="83" t="s">
        <v>4279</v>
      </c>
      <c r="E5838" s="81" t="s">
        <v>1109</v>
      </c>
      <c r="F5838" s="81">
        <v>217.0</v>
      </c>
      <c r="G5838" s="81" t="s">
        <v>42</v>
      </c>
      <c r="H5838" s="81" t="s">
        <v>2732</v>
      </c>
      <c r="I5838" s="81" t="s">
        <v>224</v>
      </c>
      <c r="J5838" s="81" t="s">
        <v>6367</v>
      </c>
    </row>
    <row r="5839" hidden="1">
      <c r="A5839" s="83" t="s">
        <v>6359</v>
      </c>
      <c r="B5839" s="83" t="s">
        <v>6360</v>
      </c>
      <c r="C5839" s="81" t="s">
        <v>6333</v>
      </c>
      <c r="D5839" s="83" t="s">
        <v>4280</v>
      </c>
      <c r="E5839" s="81" t="s">
        <v>1110</v>
      </c>
      <c r="F5839" s="81">
        <v>218.0</v>
      </c>
      <c r="G5839" s="81" t="s">
        <v>42</v>
      </c>
      <c r="H5839" s="81" t="s">
        <v>2732</v>
      </c>
      <c r="I5839" s="81" t="s">
        <v>224</v>
      </c>
      <c r="J5839" s="81" t="s">
        <v>6367</v>
      </c>
    </row>
    <row r="5840" hidden="1">
      <c r="A5840" s="83" t="s">
        <v>6359</v>
      </c>
      <c r="B5840" s="83" t="s">
        <v>6360</v>
      </c>
      <c r="C5840" s="81" t="s">
        <v>6333</v>
      </c>
      <c r="D5840" s="83" t="s">
        <v>4281</v>
      </c>
      <c r="E5840" s="81" t="s">
        <v>1113</v>
      </c>
      <c r="F5840" s="81">
        <v>219.0</v>
      </c>
      <c r="G5840" s="81" t="s">
        <v>42</v>
      </c>
      <c r="H5840" s="81" t="s">
        <v>2732</v>
      </c>
      <c r="I5840" s="81" t="s">
        <v>224</v>
      </c>
      <c r="J5840" s="81" t="s">
        <v>6367</v>
      </c>
    </row>
    <row r="5841" hidden="1">
      <c r="A5841" s="83" t="s">
        <v>6359</v>
      </c>
      <c r="B5841" s="83" t="s">
        <v>6360</v>
      </c>
      <c r="C5841" s="81" t="s">
        <v>6333</v>
      </c>
      <c r="D5841" s="83" t="s">
        <v>4281</v>
      </c>
      <c r="E5841" s="81" t="s">
        <v>1119</v>
      </c>
      <c r="F5841" s="81">
        <v>220.0</v>
      </c>
      <c r="G5841" s="81" t="s">
        <v>42</v>
      </c>
      <c r="H5841" s="81" t="s">
        <v>2732</v>
      </c>
      <c r="I5841" s="81" t="s">
        <v>224</v>
      </c>
      <c r="J5841" s="81" t="s">
        <v>6367</v>
      </c>
    </row>
    <row r="5842" hidden="1">
      <c r="A5842" s="83" t="s">
        <v>6359</v>
      </c>
      <c r="B5842" s="83" t="s">
        <v>6360</v>
      </c>
      <c r="C5842" s="81" t="s">
        <v>6333</v>
      </c>
      <c r="D5842" s="83" t="s">
        <v>4282</v>
      </c>
      <c r="E5842" s="81" t="s">
        <v>1120</v>
      </c>
      <c r="F5842" s="81">
        <v>221.0</v>
      </c>
      <c r="G5842" s="81" t="s">
        <v>42</v>
      </c>
      <c r="H5842" s="81" t="s">
        <v>2732</v>
      </c>
      <c r="I5842" s="81" t="s">
        <v>224</v>
      </c>
      <c r="J5842" s="81" t="s">
        <v>6367</v>
      </c>
    </row>
    <row r="5843" hidden="1">
      <c r="A5843" s="83" t="s">
        <v>6359</v>
      </c>
      <c r="B5843" s="83" t="s">
        <v>6360</v>
      </c>
      <c r="C5843" s="81" t="s">
        <v>6333</v>
      </c>
      <c r="D5843" s="83" t="s">
        <v>4283</v>
      </c>
      <c r="E5843" s="81" t="s">
        <v>1123</v>
      </c>
      <c r="F5843" s="81">
        <v>222.0</v>
      </c>
      <c r="G5843" s="81" t="s">
        <v>42</v>
      </c>
      <c r="H5843" s="81" t="s">
        <v>2732</v>
      </c>
      <c r="I5843" s="81" t="s">
        <v>224</v>
      </c>
      <c r="J5843" s="81" t="s">
        <v>6367</v>
      </c>
    </row>
    <row r="5844" hidden="1">
      <c r="A5844" s="83" t="s">
        <v>6359</v>
      </c>
      <c r="B5844" s="83" t="s">
        <v>6360</v>
      </c>
      <c r="C5844" s="81" t="s">
        <v>6333</v>
      </c>
      <c r="D5844" s="83" t="s">
        <v>4283</v>
      </c>
      <c r="E5844" s="81" t="s">
        <v>1129</v>
      </c>
      <c r="F5844" s="81">
        <v>223.0</v>
      </c>
      <c r="G5844" s="81" t="s">
        <v>42</v>
      </c>
      <c r="H5844" s="81" t="s">
        <v>2732</v>
      </c>
      <c r="I5844" s="81" t="s">
        <v>224</v>
      </c>
      <c r="J5844" s="81" t="s">
        <v>6367</v>
      </c>
    </row>
    <row r="5845" hidden="1">
      <c r="A5845" s="83" t="s">
        <v>6359</v>
      </c>
      <c r="B5845" s="83" t="s">
        <v>6360</v>
      </c>
      <c r="C5845" s="81" t="s">
        <v>6333</v>
      </c>
      <c r="D5845" s="83" t="s">
        <v>4284</v>
      </c>
      <c r="E5845" s="81" t="s">
        <v>1130</v>
      </c>
      <c r="F5845" s="81">
        <v>224.0</v>
      </c>
      <c r="G5845" s="81" t="s">
        <v>42</v>
      </c>
      <c r="H5845" s="81" t="s">
        <v>2732</v>
      </c>
      <c r="I5845" s="81" t="s">
        <v>224</v>
      </c>
      <c r="J5845" s="81" t="s">
        <v>6367</v>
      </c>
    </row>
    <row r="5846" hidden="1">
      <c r="A5846" s="83" t="s">
        <v>6359</v>
      </c>
      <c r="B5846" s="83" t="s">
        <v>6360</v>
      </c>
      <c r="C5846" s="81" t="s">
        <v>4621</v>
      </c>
      <c r="D5846" s="83" t="s">
        <v>4297</v>
      </c>
      <c r="E5846" s="81" t="s">
        <v>1191</v>
      </c>
      <c r="F5846" s="81">
        <v>235.0</v>
      </c>
      <c r="G5846" s="81" t="s">
        <v>42</v>
      </c>
      <c r="H5846" s="81" t="s">
        <v>6368</v>
      </c>
      <c r="I5846" s="81" t="s">
        <v>1197</v>
      </c>
      <c r="J5846" s="81" t="s">
        <v>224</v>
      </c>
    </row>
    <row r="5847" hidden="1">
      <c r="A5847" s="83" t="s">
        <v>6359</v>
      </c>
      <c r="B5847" s="83" t="s">
        <v>6360</v>
      </c>
      <c r="C5847" s="81" t="s">
        <v>4621</v>
      </c>
      <c r="D5847" s="83" t="s">
        <v>4297</v>
      </c>
      <c r="E5847" s="81" t="s">
        <v>1201</v>
      </c>
      <c r="F5847" s="81">
        <v>236.0</v>
      </c>
      <c r="G5847" s="81" t="s">
        <v>42</v>
      </c>
      <c r="H5847" s="81" t="s">
        <v>6368</v>
      </c>
      <c r="I5847" s="81" t="s">
        <v>1197</v>
      </c>
      <c r="J5847" s="81" t="s">
        <v>224</v>
      </c>
    </row>
    <row r="5848" hidden="1">
      <c r="A5848" s="83" t="s">
        <v>6359</v>
      </c>
      <c r="B5848" s="83" t="s">
        <v>6360</v>
      </c>
      <c r="C5848" s="81" t="s">
        <v>4082</v>
      </c>
      <c r="D5848" s="83" t="s">
        <v>4304</v>
      </c>
      <c r="E5848" s="81" t="s">
        <v>1225</v>
      </c>
      <c r="F5848" s="81">
        <v>243.0</v>
      </c>
      <c r="G5848" s="81" t="s">
        <v>41</v>
      </c>
      <c r="H5848" s="81" t="s">
        <v>1233</v>
      </c>
      <c r="I5848" s="81" t="s">
        <v>224</v>
      </c>
      <c r="J5848" s="81" t="s">
        <v>6346</v>
      </c>
    </row>
    <row r="5849" hidden="1">
      <c r="A5849" s="83" t="s">
        <v>6359</v>
      </c>
      <c r="B5849" s="83" t="s">
        <v>6360</v>
      </c>
      <c r="C5849" s="81" t="s">
        <v>4082</v>
      </c>
      <c r="D5849" s="83" t="s">
        <v>4306</v>
      </c>
      <c r="E5849" s="81" t="s">
        <v>1237</v>
      </c>
      <c r="F5849" s="81">
        <v>246.0</v>
      </c>
      <c r="G5849" s="81" t="s">
        <v>41</v>
      </c>
      <c r="H5849" s="81" t="s">
        <v>1237</v>
      </c>
      <c r="I5849" s="81" t="s">
        <v>224</v>
      </c>
      <c r="J5849" s="81" t="s">
        <v>6347</v>
      </c>
    </row>
    <row r="5850" hidden="1">
      <c r="A5850" s="83" t="s">
        <v>6359</v>
      </c>
      <c r="B5850" s="83" t="s">
        <v>6360</v>
      </c>
      <c r="C5850" s="81" t="s">
        <v>4082</v>
      </c>
      <c r="D5850" s="83" t="s">
        <v>4316</v>
      </c>
      <c r="E5850" s="81" t="s">
        <v>1313</v>
      </c>
      <c r="F5850" s="81">
        <v>256.0</v>
      </c>
      <c r="G5850" s="81" t="s">
        <v>39</v>
      </c>
      <c r="H5850" s="81" t="s">
        <v>224</v>
      </c>
      <c r="I5850" s="81" t="s">
        <v>224</v>
      </c>
      <c r="J5850" s="81" t="s">
        <v>5515</v>
      </c>
    </row>
    <row r="5851" hidden="1">
      <c r="A5851" s="83" t="s">
        <v>6359</v>
      </c>
      <c r="B5851" s="83" t="s">
        <v>6360</v>
      </c>
      <c r="C5851" s="81" t="s">
        <v>4621</v>
      </c>
      <c r="D5851" s="83" t="s">
        <v>4338</v>
      </c>
      <c r="E5851" s="81" t="s">
        <v>1401</v>
      </c>
      <c r="F5851" s="81">
        <v>274.0</v>
      </c>
      <c r="G5851" s="81" t="s">
        <v>42</v>
      </c>
      <c r="H5851" s="81" t="s">
        <v>6369</v>
      </c>
      <c r="I5851" s="81" t="s">
        <v>1415</v>
      </c>
      <c r="J5851" s="81" t="s">
        <v>224</v>
      </c>
    </row>
    <row r="5852" hidden="1">
      <c r="A5852" s="83" t="s">
        <v>6359</v>
      </c>
      <c r="B5852" s="83" t="s">
        <v>6360</v>
      </c>
      <c r="C5852" s="81" t="s">
        <v>4621</v>
      </c>
      <c r="D5852" s="83" t="s">
        <v>4338</v>
      </c>
      <c r="E5852" s="81" t="s">
        <v>1419</v>
      </c>
      <c r="F5852" s="81">
        <v>275.0</v>
      </c>
      <c r="G5852" s="81" t="s">
        <v>42</v>
      </c>
      <c r="H5852" s="81" t="s">
        <v>6369</v>
      </c>
      <c r="I5852" s="81" t="s">
        <v>1415</v>
      </c>
      <c r="J5852" s="81" t="s">
        <v>224</v>
      </c>
    </row>
    <row r="5853" hidden="1">
      <c r="A5853" s="83" t="s">
        <v>6359</v>
      </c>
      <c r="B5853" s="83" t="s">
        <v>6360</v>
      </c>
      <c r="C5853" s="81" t="s">
        <v>6333</v>
      </c>
      <c r="D5853" s="83" t="s">
        <v>4351</v>
      </c>
      <c r="E5853" s="81" t="s">
        <v>1470</v>
      </c>
      <c r="F5853" s="81">
        <v>283.0</v>
      </c>
      <c r="G5853" s="81" t="s">
        <v>42</v>
      </c>
      <c r="H5853" s="81" t="s">
        <v>2732</v>
      </c>
      <c r="I5853" s="81" t="s">
        <v>224</v>
      </c>
      <c r="J5853" s="81" t="s">
        <v>6367</v>
      </c>
    </row>
    <row r="5854" hidden="1">
      <c r="A5854" s="83" t="s">
        <v>6359</v>
      </c>
      <c r="B5854" s="83" t="s">
        <v>6360</v>
      </c>
      <c r="C5854" s="81" t="s">
        <v>4082</v>
      </c>
      <c r="D5854" s="83" t="s">
        <v>4351</v>
      </c>
      <c r="E5854" s="81" t="s">
        <v>1470</v>
      </c>
      <c r="F5854" s="81">
        <v>283.0</v>
      </c>
      <c r="G5854" s="81" t="s">
        <v>41</v>
      </c>
      <c r="H5854" s="81" t="s">
        <v>1476</v>
      </c>
      <c r="I5854" s="81" t="s">
        <v>224</v>
      </c>
      <c r="J5854" s="81" t="s">
        <v>6348</v>
      </c>
    </row>
    <row r="5855" hidden="1">
      <c r="A5855" s="83" t="s">
        <v>6359</v>
      </c>
      <c r="B5855" s="83" t="s">
        <v>6360</v>
      </c>
      <c r="C5855" s="81" t="s">
        <v>6333</v>
      </c>
      <c r="D5855" s="83" t="s">
        <v>4351</v>
      </c>
      <c r="E5855" s="81" t="s">
        <v>1474</v>
      </c>
      <c r="F5855" s="81">
        <v>284.0</v>
      </c>
      <c r="G5855" s="81" t="s">
        <v>42</v>
      </c>
      <c r="H5855" s="81" t="s">
        <v>2732</v>
      </c>
      <c r="I5855" s="81" t="s">
        <v>224</v>
      </c>
      <c r="J5855" s="81" t="s">
        <v>6367</v>
      </c>
    </row>
    <row r="5856" hidden="1">
      <c r="A5856" s="83" t="s">
        <v>6359</v>
      </c>
      <c r="B5856" s="83" t="s">
        <v>6360</v>
      </c>
      <c r="C5856" s="81" t="s">
        <v>6333</v>
      </c>
      <c r="D5856" s="83" t="s">
        <v>4353</v>
      </c>
      <c r="E5856" s="81" t="s">
        <v>1477</v>
      </c>
      <c r="F5856" s="81">
        <v>285.0</v>
      </c>
      <c r="G5856" s="81" t="s">
        <v>42</v>
      </c>
      <c r="H5856" s="81" t="s">
        <v>2732</v>
      </c>
      <c r="I5856" s="81" t="s">
        <v>224</v>
      </c>
      <c r="J5856" s="81" t="s">
        <v>6367</v>
      </c>
    </row>
    <row r="5857" hidden="1">
      <c r="A5857" s="83" t="s">
        <v>6359</v>
      </c>
      <c r="B5857" s="83" t="s">
        <v>6360</v>
      </c>
      <c r="C5857" s="81" t="s">
        <v>4082</v>
      </c>
      <c r="D5857" s="83" t="s">
        <v>4363</v>
      </c>
      <c r="E5857" s="81" t="s">
        <v>1533</v>
      </c>
      <c r="F5857" s="81">
        <v>298.0</v>
      </c>
      <c r="G5857" s="81" t="s">
        <v>41</v>
      </c>
      <c r="H5857" s="81" t="s">
        <v>1550</v>
      </c>
      <c r="I5857" s="81" t="s">
        <v>224</v>
      </c>
      <c r="J5857" s="81" t="s">
        <v>6349</v>
      </c>
    </row>
    <row r="5858" hidden="1">
      <c r="A5858" s="83" t="s">
        <v>6359</v>
      </c>
      <c r="B5858" s="83" t="s">
        <v>6360</v>
      </c>
      <c r="C5858" s="81" t="s">
        <v>4082</v>
      </c>
      <c r="D5858" s="83" t="s">
        <v>4380</v>
      </c>
      <c r="E5858" s="81" t="s">
        <v>1617</v>
      </c>
      <c r="F5858" s="81">
        <v>319.0</v>
      </c>
      <c r="G5858" s="81" t="s">
        <v>39</v>
      </c>
      <c r="H5858" s="81" t="s">
        <v>224</v>
      </c>
      <c r="I5858" s="81" t="s">
        <v>224</v>
      </c>
      <c r="J5858" s="81" t="s">
        <v>5616</v>
      </c>
    </row>
    <row r="5859" hidden="1">
      <c r="A5859" s="83" t="s">
        <v>6359</v>
      </c>
      <c r="B5859" s="83" t="s">
        <v>6360</v>
      </c>
      <c r="C5859" s="81" t="s">
        <v>4082</v>
      </c>
      <c r="D5859" s="83" t="s">
        <v>4389</v>
      </c>
      <c r="E5859" s="81" t="s">
        <v>1670</v>
      </c>
      <c r="F5859" s="81">
        <v>331.0</v>
      </c>
      <c r="G5859" s="81" t="s">
        <v>41</v>
      </c>
      <c r="H5859" s="81" t="s">
        <v>1670</v>
      </c>
      <c r="I5859" s="81" t="s">
        <v>224</v>
      </c>
      <c r="J5859" s="81" t="s">
        <v>6350</v>
      </c>
    </row>
    <row r="5860" hidden="1">
      <c r="A5860" s="83" t="s">
        <v>6359</v>
      </c>
      <c r="B5860" s="83" t="s">
        <v>6360</v>
      </c>
      <c r="C5860" s="81" t="s">
        <v>4082</v>
      </c>
      <c r="D5860" s="83" t="s">
        <v>4391</v>
      </c>
      <c r="E5860" s="81" t="s">
        <v>1682</v>
      </c>
      <c r="F5860" s="81">
        <v>334.0</v>
      </c>
      <c r="G5860" s="81" t="s">
        <v>41</v>
      </c>
      <c r="H5860" s="81" t="s">
        <v>1687</v>
      </c>
      <c r="I5860" s="81" t="s">
        <v>224</v>
      </c>
      <c r="J5860" s="81" t="s">
        <v>6351</v>
      </c>
    </row>
    <row r="5861" hidden="1">
      <c r="A5861" s="83" t="s">
        <v>6359</v>
      </c>
      <c r="B5861" s="83" t="s">
        <v>6360</v>
      </c>
      <c r="C5861" s="81" t="s">
        <v>4082</v>
      </c>
      <c r="D5861" s="83" t="s">
        <v>4393</v>
      </c>
      <c r="E5861" s="81" t="s">
        <v>1690</v>
      </c>
      <c r="F5861" s="81">
        <v>335.0</v>
      </c>
      <c r="G5861" s="81" t="s">
        <v>41</v>
      </c>
      <c r="H5861" s="81" t="s">
        <v>1694</v>
      </c>
      <c r="I5861" s="81" t="s">
        <v>224</v>
      </c>
      <c r="J5861" s="81" t="s">
        <v>6352</v>
      </c>
    </row>
    <row r="5862" hidden="1">
      <c r="A5862" s="83" t="s">
        <v>6359</v>
      </c>
      <c r="B5862" s="83" t="s">
        <v>6360</v>
      </c>
      <c r="C5862" s="81" t="s">
        <v>4621</v>
      </c>
      <c r="D5862" s="83" t="s">
        <v>4395</v>
      </c>
      <c r="E5862" s="81" t="s">
        <v>1702</v>
      </c>
      <c r="F5862" s="81">
        <v>337.0</v>
      </c>
      <c r="G5862" s="81" t="s">
        <v>42</v>
      </c>
      <c r="H5862" s="81" t="s">
        <v>224</v>
      </c>
      <c r="I5862" s="81" t="s">
        <v>1171</v>
      </c>
      <c r="J5862" s="81" t="s">
        <v>224</v>
      </c>
    </row>
    <row r="5863" hidden="1">
      <c r="A5863" s="83" t="s">
        <v>6359</v>
      </c>
      <c r="B5863" s="83" t="s">
        <v>6360</v>
      </c>
      <c r="C5863" s="81" t="s">
        <v>4621</v>
      </c>
      <c r="D5863" s="83" t="s">
        <v>4395</v>
      </c>
      <c r="E5863" s="81" t="s">
        <v>1706</v>
      </c>
      <c r="F5863" s="81">
        <v>338.0</v>
      </c>
      <c r="G5863" s="81" t="s">
        <v>42</v>
      </c>
      <c r="H5863" s="81" t="s">
        <v>224</v>
      </c>
      <c r="I5863" s="81" t="s">
        <v>1171</v>
      </c>
      <c r="J5863" s="81" t="s">
        <v>224</v>
      </c>
    </row>
    <row r="5864" hidden="1">
      <c r="A5864" s="83" t="s">
        <v>6359</v>
      </c>
      <c r="B5864" s="83" t="s">
        <v>6360</v>
      </c>
      <c r="C5864" s="81" t="s">
        <v>4621</v>
      </c>
      <c r="D5864" s="83" t="s">
        <v>4397</v>
      </c>
      <c r="E5864" s="81" t="s">
        <v>1708</v>
      </c>
      <c r="F5864" s="81">
        <v>339.0</v>
      </c>
      <c r="G5864" s="81" t="s">
        <v>42</v>
      </c>
      <c r="H5864" s="81" t="s">
        <v>6370</v>
      </c>
      <c r="I5864" s="81" t="s">
        <v>1718</v>
      </c>
      <c r="J5864" s="81" t="s">
        <v>224</v>
      </c>
    </row>
    <row r="5865" hidden="1">
      <c r="A5865" s="83" t="s">
        <v>6359</v>
      </c>
      <c r="B5865" s="83" t="s">
        <v>6360</v>
      </c>
      <c r="C5865" s="81" t="s">
        <v>4621</v>
      </c>
      <c r="D5865" s="83" t="s">
        <v>4397</v>
      </c>
      <c r="E5865" s="81" t="s">
        <v>1722</v>
      </c>
      <c r="F5865" s="81">
        <v>340.0</v>
      </c>
      <c r="G5865" s="81" t="s">
        <v>42</v>
      </c>
      <c r="H5865" s="81" t="s">
        <v>6370</v>
      </c>
      <c r="I5865" s="81" t="s">
        <v>1718</v>
      </c>
      <c r="J5865" s="81" t="s">
        <v>224</v>
      </c>
    </row>
    <row r="5866" hidden="1">
      <c r="A5866" s="83" t="s">
        <v>6359</v>
      </c>
      <c r="B5866" s="83" t="s">
        <v>6360</v>
      </c>
      <c r="C5866" s="81" t="s">
        <v>4082</v>
      </c>
      <c r="D5866" s="83" t="s">
        <v>4406</v>
      </c>
      <c r="E5866" s="81" t="s">
        <v>1756</v>
      </c>
      <c r="F5866" s="81">
        <v>349.0</v>
      </c>
      <c r="G5866" s="81" t="s">
        <v>41</v>
      </c>
      <c r="H5866" s="81" t="s">
        <v>1761</v>
      </c>
      <c r="I5866" s="81" t="s">
        <v>224</v>
      </c>
      <c r="J5866" s="81" t="s">
        <v>6353</v>
      </c>
    </row>
    <row r="5867" hidden="1">
      <c r="A5867" s="83" t="s">
        <v>6359</v>
      </c>
      <c r="B5867" s="83" t="s">
        <v>6360</v>
      </c>
      <c r="C5867" s="81" t="s">
        <v>6333</v>
      </c>
      <c r="D5867" s="83" t="s">
        <v>4408</v>
      </c>
      <c r="E5867" s="81" t="s">
        <v>1765</v>
      </c>
      <c r="F5867" s="81">
        <v>352.0</v>
      </c>
      <c r="G5867" s="81" t="s">
        <v>42</v>
      </c>
      <c r="H5867" s="81" t="s">
        <v>2732</v>
      </c>
      <c r="I5867" s="81" t="s">
        <v>224</v>
      </c>
      <c r="J5867" s="81" t="s">
        <v>6367</v>
      </c>
    </row>
    <row r="5868" hidden="1">
      <c r="A5868" s="83" t="s">
        <v>6359</v>
      </c>
      <c r="B5868" s="83" t="s">
        <v>6360</v>
      </c>
      <c r="C5868" s="81" t="s">
        <v>6333</v>
      </c>
      <c r="D5868" s="83" t="s">
        <v>4408</v>
      </c>
      <c r="E5868" s="81" t="s">
        <v>1770</v>
      </c>
      <c r="F5868" s="81">
        <v>353.0</v>
      </c>
      <c r="G5868" s="81" t="s">
        <v>42</v>
      </c>
      <c r="H5868" s="81" t="s">
        <v>2732</v>
      </c>
      <c r="I5868" s="81" t="s">
        <v>224</v>
      </c>
      <c r="J5868" s="81" t="s">
        <v>6367</v>
      </c>
    </row>
    <row r="5869" hidden="1">
      <c r="A5869" s="83" t="s">
        <v>6359</v>
      </c>
      <c r="B5869" s="83" t="s">
        <v>6360</v>
      </c>
      <c r="C5869" s="81" t="s">
        <v>6333</v>
      </c>
      <c r="D5869" s="83" t="s">
        <v>4410</v>
      </c>
      <c r="E5869" s="81" t="s">
        <v>1772</v>
      </c>
      <c r="F5869" s="81">
        <v>354.0</v>
      </c>
      <c r="G5869" s="81" t="s">
        <v>42</v>
      </c>
      <c r="H5869" s="81" t="s">
        <v>2732</v>
      </c>
      <c r="I5869" s="81" t="s">
        <v>224</v>
      </c>
      <c r="J5869" s="81" t="s">
        <v>6367</v>
      </c>
    </row>
    <row r="5870" hidden="1">
      <c r="A5870" s="83" t="s">
        <v>6359</v>
      </c>
      <c r="B5870" s="83" t="s">
        <v>6360</v>
      </c>
      <c r="C5870" s="81" t="s">
        <v>4621</v>
      </c>
      <c r="D5870" s="83" t="s">
        <v>4411</v>
      </c>
      <c r="E5870" s="81" t="s">
        <v>1775</v>
      </c>
      <c r="F5870" s="81">
        <v>355.0</v>
      </c>
      <c r="G5870" s="81" t="s">
        <v>42</v>
      </c>
      <c r="H5870" s="81" t="s">
        <v>6371</v>
      </c>
      <c r="I5870" s="81" t="s">
        <v>6372</v>
      </c>
      <c r="J5870" s="81" t="s">
        <v>224</v>
      </c>
    </row>
    <row r="5871" hidden="1">
      <c r="A5871" s="83" t="s">
        <v>6359</v>
      </c>
      <c r="B5871" s="83" t="s">
        <v>6360</v>
      </c>
      <c r="C5871" s="81" t="s">
        <v>4621</v>
      </c>
      <c r="D5871" s="83" t="s">
        <v>4411</v>
      </c>
      <c r="E5871" s="81" t="s">
        <v>1789</v>
      </c>
      <c r="F5871" s="81">
        <v>356.0</v>
      </c>
      <c r="G5871" s="81" t="s">
        <v>42</v>
      </c>
      <c r="H5871" s="81" t="s">
        <v>6371</v>
      </c>
      <c r="I5871" s="81" t="s">
        <v>6372</v>
      </c>
      <c r="J5871" s="81" t="s">
        <v>224</v>
      </c>
    </row>
    <row r="5872" hidden="1">
      <c r="A5872" s="83" t="s">
        <v>6359</v>
      </c>
      <c r="B5872" s="83" t="s">
        <v>6360</v>
      </c>
      <c r="C5872" s="81" t="s">
        <v>4621</v>
      </c>
      <c r="D5872" s="83" t="s">
        <v>4412</v>
      </c>
      <c r="E5872" s="81" t="s">
        <v>1790</v>
      </c>
      <c r="F5872" s="81">
        <v>357.0</v>
      </c>
      <c r="G5872" s="81" t="s">
        <v>42</v>
      </c>
      <c r="H5872" s="81" t="s">
        <v>1785</v>
      </c>
      <c r="I5872" s="81" t="s">
        <v>6372</v>
      </c>
      <c r="J5872" s="81" t="s">
        <v>224</v>
      </c>
    </row>
    <row r="5873" hidden="1">
      <c r="A5873" s="83" t="s">
        <v>6359</v>
      </c>
      <c r="B5873" s="83" t="s">
        <v>6360</v>
      </c>
      <c r="C5873" s="81" t="s">
        <v>4621</v>
      </c>
      <c r="D5873" s="83" t="s">
        <v>4413</v>
      </c>
      <c r="E5873" s="81" t="s">
        <v>1794</v>
      </c>
      <c r="F5873" s="81">
        <v>358.0</v>
      </c>
      <c r="G5873" s="81" t="s">
        <v>42</v>
      </c>
      <c r="H5873" s="81" t="s">
        <v>6373</v>
      </c>
      <c r="I5873" s="81" t="s">
        <v>1804</v>
      </c>
      <c r="J5873" s="81" t="s">
        <v>224</v>
      </c>
    </row>
    <row r="5874" hidden="1">
      <c r="A5874" s="83" t="s">
        <v>6359</v>
      </c>
      <c r="B5874" s="83" t="s">
        <v>6360</v>
      </c>
      <c r="C5874" s="81" t="s">
        <v>4621</v>
      </c>
      <c r="D5874" s="83" t="s">
        <v>4413</v>
      </c>
      <c r="E5874" s="81" t="s">
        <v>1808</v>
      </c>
      <c r="F5874" s="81">
        <v>359.0</v>
      </c>
      <c r="G5874" s="81" t="s">
        <v>42</v>
      </c>
      <c r="H5874" s="81" t="s">
        <v>6373</v>
      </c>
      <c r="I5874" s="81" t="s">
        <v>1804</v>
      </c>
      <c r="J5874" s="81" t="s">
        <v>224</v>
      </c>
    </row>
    <row r="5875" hidden="1">
      <c r="A5875" s="83" t="s">
        <v>6359</v>
      </c>
      <c r="B5875" s="83" t="s">
        <v>6360</v>
      </c>
      <c r="C5875" s="81" t="s">
        <v>4621</v>
      </c>
      <c r="D5875" s="83" t="s">
        <v>4417</v>
      </c>
      <c r="E5875" s="81" t="s">
        <v>1825</v>
      </c>
      <c r="F5875" s="81">
        <v>363.0</v>
      </c>
      <c r="G5875" s="81" t="s">
        <v>42</v>
      </c>
      <c r="H5875" s="81" t="s">
        <v>6374</v>
      </c>
      <c r="I5875" s="81" t="s">
        <v>1838</v>
      </c>
      <c r="J5875" s="81" t="s">
        <v>224</v>
      </c>
    </row>
    <row r="5876" hidden="1">
      <c r="A5876" s="83" t="s">
        <v>6359</v>
      </c>
      <c r="B5876" s="83" t="s">
        <v>6360</v>
      </c>
      <c r="C5876" s="81" t="s">
        <v>4621</v>
      </c>
      <c r="D5876" s="83" t="s">
        <v>4417</v>
      </c>
      <c r="E5876" s="81" t="s">
        <v>1842</v>
      </c>
      <c r="F5876" s="81">
        <v>364.0</v>
      </c>
      <c r="G5876" s="81" t="s">
        <v>42</v>
      </c>
      <c r="H5876" s="81" t="s">
        <v>6374</v>
      </c>
      <c r="I5876" s="81" t="s">
        <v>1838</v>
      </c>
      <c r="J5876" s="81" t="s">
        <v>224</v>
      </c>
    </row>
    <row r="5877" hidden="1">
      <c r="A5877" s="83" t="s">
        <v>6359</v>
      </c>
      <c r="B5877" s="83" t="s">
        <v>6360</v>
      </c>
      <c r="C5877" s="81" t="s">
        <v>4082</v>
      </c>
      <c r="D5877" s="83" t="s">
        <v>4429</v>
      </c>
      <c r="E5877" s="81" t="s">
        <v>1900</v>
      </c>
      <c r="F5877" s="81">
        <v>375.0</v>
      </c>
      <c r="G5877" s="81" t="s">
        <v>39</v>
      </c>
      <c r="H5877" s="81" t="s">
        <v>224</v>
      </c>
      <c r="I5877" s="81" t="s">
        <v>224</v>
      </c>
      <c r="J5877" s="81" t="s">
        <v>5711</v>
      </c>
    </row>
    <row r="5878" hidden="1">
      <c r="A5878" s="83" t="s">
        <v>6359</v>
      </c>
      <c r="B5878" s="83" t="s">
        <v>6360</v>
      </c>
      <c r="C5878" s="81" t="s">
        <v>4621</v>
      </c>
      <c r="D5878" s="83" t="s">
        <v>4435</v>
      </c>
      <c r="E5878" s="81" t="s">
        <v>1974</v>
      </c>
      <c r="F5878" s="81">
        <v>385.0</v>
      </c>
      <c r="G5878" s="81" t="s">
        <v>42</v>
      </c>
      <c r="H5878" s="81" t="s">
        <v>1983</v>
      </c>
      <c r="I5878" s="81" t="s">
        <v>6375</v>
      </c>
      <c r="J5878" s="81" t="s">
        <v>224</v>
      </c>
    </row>
    <row r="5879" hidden="1">
      <c r="A5879" s="83" t="s">
        <v>6359</v>
      </c>
      <c r="B5879" s="83" t="s">
        <v>6360</v>
      </c>
      <c r="C5879" s="81" t="s">
        <v>4621</v>
      </c>
      <c r="D5879" s="83" t="s">
        <v>4435</v>
      </c>
      <c r="E5879" s="81" t="s">
        <v>1987</v>
      </c>
      <c r="F5879" s="81">
        <v>386.0</v>
      </c>
      <c r="G5879" s="81" t="s">
        <v>42</v>
      </c>
      <c r="H5879" s="81" t="s">
        <v>1983</v>
      </c>
      <c r="I5879" s="81" t="s">
        <v>6375</v>
      </c>
      <c r="J5879" s="81" t="s">
        <v>224</v>
      </c>
    </row>
    <row r="5880" hidden="1">
      <c r="A5880" s="83" t="s">
        <v>6359</v>
      </c>
      <c r="B5880" s="83" t="s">
        <v>6360</v>
      </c>
      <c r="C5880" s="81" t="s">
        <v>4621</v>
      </c>
      <c r="D5880" s="83" t="s">
        <v>4436</v>
      </c>
      <c r="E5880" s="81" t="s">
        <v>1989</v>
      </c>
      <c r="F5880" s="81">
        <v>387.0</v>
      </c>
      <c r="G5880" s="81" t="s">
        <v>42</v>
      </c>
      <c r="H5880" s="81" t="s">
        <v>1993</v>
      </c>
      <c r="I5880" s="81" t="s">
        <v>6375</v>
      </c>
      <c r="J5880" s="81" t="s">
        <v>224</v>
      </c>
    </row>
    <row r="5881" hidden="1">
      <c r="A5881" s="83" t="s">
        <v>6359</v>
      </c>
      <c r="B5881" s="83" t="s">
        <v>6360</v>
      </c>
      <c r="C5881" s="81" t="s">
        <v>4621</v>
      </c>
      <c r="D5881" s="83" t="s">
        <v>4439</v>
      </c>
      <c r="E5881" s="81" t="s">
        <v>2006</v>
      </c>
      <c r="F5881" s="81">
        <v>391.0</v>
      </c>
      <c r="G5881" s="81" t="s">
        <v>42</v>
      </c>
      <c r="H5881" s="81" t="s">
        <v>6376</v>
      </c>
      <c r="I5881" s="81" t="s">
        <v>2017</v>
      </c>
      <c r="J5881" s="81" t="s">
        <v>224</v>
      </c>
    </row>
    <row r="5882" hidden="1">
      <c r="A5882" s="83" t="s">
        <v>6359</v>
      </c>
      <c r="B5882" s="83" t="s">
        <v>6360</v>
      </c>
      <c r="C5882" s="81" t="s">
        <v>4621</v>
      </c>
      <c r="D5882" s="83" t="s">
        <v>4439</v>
      </c>
      <c r="E5882" s="81" t="s">
        <v>2021</v>
      </c>
      <c r="F5882" s="81">
        <v>392.0</v>
      </c>
      <c r="G5882" s="81" t="s">
        <v>42</v>
      </c>
      <c r="H5882" s="81" t="s">
        <v>6376</v>
      </c>
      <c r="I5882" s="81" t="s">
        <v>2017</v>
      </c>
      <c r="J5882" s="81" t="s">
        <v>224</v>
      </c>
    </row>
    <row r="5883" hidden="1">
      <c r="A5883" s="83" t="s">
        <v>6359</v>
      </c>
      <c r="B5883" s="83" t="s">
        <v>6360</v>
      </c>
      <c r="C5883" s="81" t="s">
        <v>4621</v>
      </c>
      <c r="D5883" s="83" t="s">
        <v>4453</v>
      </c>
      <c r="E5883" s="81" t="s">
        <v>2087</v>
      </c>
      <c r="F5883" s="81">
        <v>401.0</v>
      </c>
      <c r="G5883" s="81" t="s">
        <v>42</v>
      </c>
      <c r="H5883" s="81" t="s">
        <v>6377</v>
      </c>
      <c r="I5883" s="81" t="s">
        <v>2094</v>
      </c>
      <c r="J5883" s="81" t="s">
        <v>224</v>
      </c>
    </row>
    <row r="5884" hidden="1">
      <c r="A5884" s="83" t="s">
        <v>6359</v>
      </c>
      <c r="B5884" s="83" t="s">
        <v>6360</v>
      </c>
      <c r="C5884" s="81" t="s">
        <v>4621</v>
      </c>
      <c r="D5884" s="83" t="s">
        <v>4453</v>
      </c>
      <c r="E5884" s="81" t="s">
        <v>2098</v>
      </c>
      <c r="F5884" s="81">
        <v>402.0</v>
      </c>
      <c r="G5884" s="81" t="s">
        <v>42</v>
      </c>
      <c r="H5884" s="81" t="s">
        <v>6377</v>
      </c>
      <c r="I5884" s="81" t="s">
        <v>2094</v>
      </c>
      <c r="J5884" s="81" t="s">
        <v>224</v>
      </c>
    </row>
    <row r="5885" hidden="1">
      <c r="A5885" s="83" t="s">
        <v>6359</v>
      </c>
      <c r="B5885" s="83" t="s">
        <v>6360</v>
      </c>
      <c r="C5885" s="81" t="s">
        <v>4082</v>
      </c>
      <c r="D5885" s="83" t="s">
        <v>4475</v>
      </c>
      <c r="E5885" s="81" t="s">
        <v>2212</v>
      </c>
      <c r="F5885" s="81">
        <v>425.0</v>
      </c>
      <c r="G5885" s="81" t="s">
        <v>41</v>
      </c>
      <c r="H5885" s="81" t="s">
        <v>2226</v>
      </c>
      <c r="I5885" s="81" t="s">
        <v>224</v>
      </c>
      <c r="J5885" s="81" t="s">
        <v>6354</v>
      </c>
    </row>
    <row r="5886" hidden="1">
      <c r="A5886" s="83" t="s">
        <v>6359</v>
      </c>
      <c r="B5886" s="83" t="s">
        <v>6360</v>
      </c>
      <c r="C5886" s="81" t="s">
        <v>4082</v>
      </c>
      <c r="D5886" s="83" t="s">
        <v>4490</v>
      </c>
      <c r="E5886" s="81" t="s">
        <v>2285</v>
      </c>
      <c r="F5886" s="81">
        <v>439.0</v>
      </c>
      <c r="G5886" s="81" t="s">
        <v>41</v>
      </c>
      <c r="H5886" s="81" t="s">
        <v>2296</v>
      </c>
      <c r="I5886" s="81" t="s">
        <v>224</v>
      </c>
      <c r="J5886" s="81" t="s">
        <v>6355</v>
      </c>
    </row>
    <row r="5887" hidden="1">
      <c r="A5887" s="83" t="s">
        <v>6359</v>
      </c>
      <c r="B5887" s="83" t="s">
        <v>6360</v>
      </c>
      <c r="C5887" s="81" t="s">
        <v>4621</v>
      </c>
      <c r="D5887" s="83" t="s">
        <v>4517</v>
      </c>
      <c r="E5887" s="81" t="s">
        <v>2380</v>
      </c>
      <c r="F5887" s="81">
        <v>465.0</v>
      </c>
      <c r="G5887" s="81" t="s">
        <v>42</v>
      </c>
      <c r="H5887" s="81" t="s">
        <v>6378</v>
      </c>
      <c r="I5887" s="81" t="s">
        <v>2388</v>
      </c>
      <c r="J5887" s="81" t="s">
        <v>224</v>
      </c>
    </row>
    <row r="5888" hidden="1">
      <c r="A5888" s="83" t="s">
        <v>6359</v>
      </c>
      <c r="B5888" s="83" t="s">
        <v>6360</v>
      </c>
      <c r="C5888" s="81" t="s">
        <v>4621</v>
      </c>
      <c r="D5888" s="83" t="s">
        <v>4517</v>
      </c>
      <c r="E5888" s="81" t="s">
        <v>2391</v>
      </c>
      <c r="F5888" s="81">
        <v>466.0</v>
      </c>
      <c r="G5888" s="81" t="s">
        <v>42</v>
      </c>
      <c r="H5888" s="81" t="s">
        <v>6378</v>
      </c>
      <c r="I5888" s="81" t="s">
        <v>2388</v>
      </c>
      <c r="J5888" s="81" t="s">
        <v>224</v>
      </c>
    </row>
    <row r="5889" hidden="1">
      <c r="A5889" s="83" t="s">
        <v>6359</v>
      </c>
      <c r="B5889" s="83" t="s">
        <v>6360</v>
      </c>
      <c r="C5889" s="81" t="s">
        <v>4621</v>
      </c>
      <c r="D5889" s="83" t="s">
        <v>4524</v>
      </c>
      <c r="E5889" s="81" t="s">
        <v>2419</v>
      </c>
      <c r="F5889" s="81">
        <v>472.0</v>
      </c>
      <c r="G5889" s="81" t="s">
        <v>42</v>
      </c>
      <c r="H5889" s="81" t="s">
        <v>6379</v>
      </c>
      <c r="I5889" s="81" t="s">
        <v>2436</v>
      </c>
      <c r="J5889" s="81" t="s">
        <v>224</v>
      </c>
    </row>
    <row r="5890" hidden="1">
      <c r="A5890" s="83" t="s">
        <v>6359</v>
      </c>
      <c r="B5890" s="83" t="s">
        <v>6360</v>
      </c>
      <c r="C5890" s="81" t="s">
        <v>4621</v>
      </c>
      <c r="D5890" s="83" t="s">
        <v>4524</v>
      </c>
      <c r="E5890" s="81" t="s">
        <v>2440</v>
      </c>
      <c r="F5890" s="81">
        <v>473.0</v>
      </c>
      <c r="G5890" s="81" t="s">
        <v>42</v>
      </c>
      <c r="H5890" s="81" t="s">
        <v>6379</v>
      </c>
      <c r="I5890" s="81" t="s">
        <v>2436</v>
      </c>
      <c r="J5890" s="81" t="s">
        <v>224</v>
      </c>
    </row>
    <row r="5891" hidden="1">
      <c r="A5891" s="83" t="s">
        <v>6359</v>
      </c>
      <c r="B5891" s="83" t="s">
        <v>6360</v>
      </c>
      <c r="C5891" s="81" t="s">
        <v>4621</v>
      </c>
      <c r="D5891" s="83" t="s">
        <v>4540</v>
      </c>
      <c r="E5891" s="81" t="s">
        <v>2549</v>
      </c>
      <c r="F5891" s="81">
        <v>487.0</v>
      </c>
      <c r="G5891" s="81" t="s">
        <v>42</v>
      </c>
      <c r="H5891" s="81" t="s">
        <v>2558</v>
      </c>
      <c r="I5891" s="81" t="s">
        <v>6380</v>
      </c>
      <c r="J5891" s="81" t="s">
        <v>224</v>
      </c>
    </row>
    <row r="5892" hidden="1">
      <c r="A5892" s="83" t="s">
        <v>6359</v>
      </c>
      <c r="B5892" s="83" t="s">
        <v>6360</v>
      </c>
      <c r="C5892" s="81" t="s">
        <v>4621</v>
      </c>
      <c r="D5892" s="83" t="s">
        <v>4540</v>
      </c>
      <c r="E5892" s="81" t="s">
        <v>2562</v>
      </c>
      <c r="F5892" s="81">
        <v>488.0</v>
      </c>
      <c r="G5892" s="81" t="s">
        <v>42</v>
      </c>
      <c r="H5892" s="81" t="s">
        <v>2558</v>
      </c>
      <c r="I5892" s="81" t="s">
        <v>6380</v>
      </c>
      <c r="J5892" s="81" t="s">
        <v>224</v>
      </c>
    </row>
    <row r="5893" hidden="1">
      <c r="A5893" s="83" t="s">
        <v>6359</v>
      </c>
      <c r="B5893" s="83" t="s">
        <v>6360</v>
      </c>
      <c r="C5893" s="81" t="s">
        <v>4621</v>
      </c>
      <c r="D5893" s="83" t="s">
        <v>4543</v>
      </c>
      <c r="E5893" s="81" t="s">
        <v>2563</v>
      </c>
      <c r="F5893" s="81">
        <v>489.0</v>
      </c>
      <c r="G5893" s="81" t="s">
        <v>42</v>
      </c>
      <c r="H5893" s="81" t="s">
        <v>2558</v>
      </c>
      <c r="I5893" s="81" t="s">
        <v>6380</v>
      </c>
      <c r="J5893" s="81" t="s">
        <v>224</v>
      </c>
    </row>
    <row r="5894" hidden="1">
      <c r="A5894" s="83" t="s">
        <v>6359</v>
      </c>
      <c r="B5894" s="83" t="s">
        <v>6360</v>
      </c>
      <c r="C5894" s="81" t="s">
        <v>4621</v>
      </c>
      <c r="D5894" s="83" t="s">
        <v>4544</v>
      </c>
      <c r="E5894" s="81" t="s">
        <v>2566</v>
      </c>
      <c r="F5894" s="81">
        <v>490.0</v>
      </c>
      <c r="G5894" s="81" t="s">
        <v>42</v>
      </c>
      <c r="H5894" s="81" t="s">
        <v>2558</v>
      </c>
      <c r="I5894" s="81" t="s">
        <v>6380</v>
      </c>
      <c r="J5894" s="81" t="s">
        <v>224</v>
      </c>
    </row>
    <row r="5895" hidden="1">
      <c r="A5895" s="83" t="s">
        <v>6359</v>
      </c>
      <c r="B5895" s="83" t="s">
        <v>6360</v>
      </c>
      <c r="C5895" s="81" t="s">
        <v>4621</v>
      </c>
      <c r="D5895" s="83" t="s">
        <v>4544</v>
      </c>
      <c r="E5895" s="81" t="s">
        <v>2573</v>
      </c>
      <c r="F5895" s="81">
        <v>491.0</v>
      </c>
      <c r="G5895" s="81" t="s">
        <v>42</v>
      </c>
      <c r="H5895" s="81" t="s">
        <v>2558</v>
      </c>
      <c r="I5895" s="81" t="s">
        <v>6380</v>
      </c>
      <c r="J5895" s="81" t="s">
        <v>224</v>
      </c>
    </row>
    <row r="5896" hidden="1">
      <c r="A5896" s="83" t="s">
        <v>6359</v>
      </c>
      <c r="B5896" s="83" t="s">
        <v>6360</v>
      </c>
      <c r="C5896" s="81" t="s">
        <v>4621</v>
      </c>
      <c r="D5896" s="83" t="s">
        <v>4546</v>
      </c>
      <c r="E5896" s="81" t="s">
        <v>2574</v>
      </c>
      <c r="F5896" s="81">
        <v>492.0</v>
      </c>
      <c r="G5896" s="81" t="s">
        <v>42</v>
      </c>
      <c r="H5896" s="81" t="s">
        <v>2558</v>
      </c>
      <c r="I5896" s="81" t="s">
        <v>6380</v>
      </c>
      <c r="J5896" s="81" t="s">
        <v>224</v>
      </c>
    </row>
    <row r="5897" hidden="1">
      <c r="A5897" s="83" t="s">
        <v>6359</v>
      </c>
      <c r="B5897" s="83" t="s">
        <v>6360</v>
      </c>
      <c r="C5897" s="81" t="s">
        <v>4621</v>
      </c>
      <c r="D5897" s="83" t="s">
        <v>4558</v>
      </c>
      <c r="E5897" s="81" t="s">
        <v>2619</v>
      </c>
      <c r="F5897" s="81">
        <v>504.0</v>
      </c>
      <c r="G5897" s="81" t="s">
        <v>42</v>
      </c>
      <c r="H5897" s="81" t="s">
        <v>2630</v>
      </c>
      <c r="I5897" s="81" t="s">
        <v>6381</v>
      </c>
      <c r="J5897" s="81" t="s">
        <v>224</v>
      </c>
    </row>
    <row r="5898" hidden="1">
      <c r="A5898" s="83" t="s">
        <v>6359</v>
      </c>
      <c r="B5898" s="83" t="s">
        <v>6360</v>
      </c>
      <c r="C5898" s="81" t="s">
        <v>4082</v>
      </c>
      <c r="D5898" s="83" t="s">
        <v>4558</v>
      </c>
      <c r="E5898" s="81" t="s">
        <v>2619</v>
      </c>
      <c r="F5898" s="81">
        <v>504.0</v>
      </c>
      <c r="G5898" s="81" t="s">
        <v>41</v>
      </c>
      <c r="H5898" s="81" t="s">
        <v>2629</v>
      </c>
      <c r="I5898" s="81" t="s">
        <v>224</v>
      </c>
      <c r="J5898" s="81" t="s">
        <v>6356</v>
      </c>
    </row>
    <row r="5899" hidden="1">
      <c r="A5899" s="83" t="s">
        <v>6359</v>
      </c>
      <c r="B5899" s="83" t="s">
        <v>6360</v>
      </c>
      <c r="C5899" s="81" t="s">
        <v>4621</v>
      </c>
      <c r="D5899" s="83" t="s">
        <v>4558</v>
      </c>
      <c r="E5899" s="81" t="s">
        <v>2634</v>
      </c>
      <c r="F5899" s="81">
        <v>505.0</v>
      </c>
      <c r="G5899" s="81" t="s">
        <v>42</v>
      </c>
      <c r="H5899" s="81" t="s">
        <v>2630</v>
      </c>
      <c r="I5899" s="81" t="s">
        <v>6381</v>
      </c>
      <c r="J5899" s="81" t="s">
        <v>224</v>
      </c>
    </row>
    <row r="5900" hidden="1">
      <c r="A5900" s="83" t="s">
        <v>6359</v>
      </c>
      <c r="B5900" s="83" t="s">
        <v>6360</v>
      </c>
      <c r="C5900" s="81" t="s">
        <v>4621</v>
      </c>
      <c r="D5900" s="83" t="s">
        <v>4560</v>
      </c>
      <c r="E5900" s="81" t="s">
        <v>2635</v>
      </c>
      <c r="F5900" s="81">
        <v>506.0</v>
      </c>
      <c r="G5900" s="81" t="s">
        <v>42</v>
      </c>
      <c r="H5900" s="81" t="s">
        <v>2630</v>
      </c>
      <c r="I5900" s="81" t="s">
        <v>6381</v>
      </c>
      <c r="J5900" s="81" t="s">
        <v>224</v>
      </c>
    </row>
    <row r="5901" hidden="1">
      <c r="A5901" s="83" t="s">
        <v>6359</v>
      </c>
      <c r="B5901" s="83" t="s">
        <v>6360</v>
      </c>
      <c r="C5901" s="81" t="s">
        <v>4621</v>
      </c>
      <c r="D5901" s="83" t="s">
        <v>4561</v>
      </c>
      <c r="E5901" s="81" t="s">
        <v>2638</v>
      </c>
      <c r="F5901" s="81">
        <v>507.0</v>
      </c>
      <c r="G5901" s="81" t="s">
        <v>42</v>
      </c>
      <c r="H5901" s="81" t="s">
        <v>2644</v>
      </c>
      <c r="I5901" s="81" t="s">
        <v>6381</v>
      </c>
      <c r="J5901" s="81" t="s">
        <v>224</v>
      </c>
    </row>
    <row r="5902" hidden="1">
      <c r="A5902" s="83" t="s">
        <v>6359</v>
      </c>
      <c r="B5902" s="83" t="s">
        <v>6360</v>
      </c>
      <c r="C5902" s="81" t="s">
        <v>4621</v>
      </c>
      <c r="D5902" s="83" t="s">
        <v>4562</v>
      </c>
      <c r="E5902" s="81" t="s">
        <v>2648</v>
      </c>
      <c r="F5902" s="81">
        <v>508.0</v>
      </c>
      <c r="G5902" s="81" t="s">
        <v>42</v>
      </c>
      <c r="H5902" s="81" t="s">
        <v>2644</v>
      </c>
      <c r="I5902" s="81" t="s">
        <v>6381</v>
      </c>
      <c r="J5902" s="81" t="s">
        <v>224</v>
      </c>
    </row>
    <row r="5903" hidden="1">
      <c r="A5903" s="83" t="s">
        <v>6359</v>
      </c>
      <c r="B5903" s="83" t="s">
        <v>6360</v>
      </c>
      <c r="C5903" s="81" t="s">
        <v>4621</v>
      </c>
      <c r="D5903" s="83" t="s">
        <v>4563</v>
      </c>
      <c r="E5903" s="81" t="s">
        <v>2651</v>
      </c>
      <c r="F5903" s="81">
        <v>509.0</v>
      </c>
      <c r="G5903" s="81" t="s">
        <v>42</v>
      </c>
      <c r="H5903" s="81" t="s">
        <v>2558</v>
      </c>
      <c r="I5903" s="81" t="s">
        <v>6380</v>
      </c>
      <c r="J5903" s="81" t="s">
        <v>224</v>
      </c>
    </row>
    <row r="5904" hidden="1">
      <c r="A5904" s="83" t="s">
        <v>6359</v>
      </c>
      <c r="B5904" s="83" t="s">
        <v>6360</v>
      </c>
      <c r="C5904" s="81" t="s">
        <v>4621</v>
      </c>
      <c r="D5904" s="83" t="s">
        <v>4564</v>
      </c>
      <c r="E5904" s="81" t="s">
        <v>2659</v>
      </c>
      <c r="F5904" s="81">
        <v>510.0</v>
      </c>
      <c r="G5904" s="81" t="s">
        <v>42</v>
      </c>
      <c r="H5904" s="81" t="s">
        <v>2558</v>
      </c>
      <c r="I5904" s="81" t="s">
        <v>6380</v>
      </c>
      <c r="J5904" s="81" t="s">
        <v>224</v>
      </c>
    </row>
    <row r="5905" hidden="1">
      <c r="A5905" s="83" t="s">
        <v>6359</v>
      </c>
      <c r="B5905" s="83" t="s">
        <v>6360</v>
      </c>
      <c r="C5905" s="81" t="s">
        <v>4621</v>
      </c>
      <c r="D5905" s="83" t="s">
        <v>4565</v>
      </c>
      <c r="E5905" s="81" t="s">
        <v>2661</v>
      </c>
      <c r="F5905" s="81">
        <v>511.0</v>
      </c>
      <c r="G5905" s="81" t="s">
        <v>42</v>
      </c>
      <c r="H5905" s="81" t="s">
        <v>2558</v>
      </c>
      <c r="I5905" s="81" t="s">
        <v>6380</v>
      </c>
      <c r="J5905" s="81" t="s">
        <v>224</v>
      </c>
    </row>
    <row r="5906" hidden="1">
      <c r="A5906" s="83" t="s">
        <v>6359</v>
      </c>
      <c r="B5906" s="83" t="s">
        <v>6360</v>
      </c>
      <c r="C5906" s="81" t="s">
        <v>4621</v>
      </c>
      <c r="D5906" s="83" t="s">
        <v>4566</v>
      </c>
      <c r="E5906" s="81" t="s">
        <v>2667</v>
      </c>
      <c r="F5906" s="81">
        <v>512.0</v>
      </c>
      <c r="G5906" s="81" t="s">
        <v>42</v>
      </c>
      <c r="H5906" s="81" t="s">
        <v>2558</v>
      </c>
      <c r="I5906" s="81" t="s">
        <v>6380</v>
      </c>
      <c r="J5906" s="81" t="s">
        <v>224</v>
      </c>
    </row>
    <row r="5907" hidden="1">
      <c r="A5907" s="83" t="s">
        <v>6359</v>
      </c>
      <c r="B5907" s="83" t="s">
        <v>6360</v>
      </c>
      <c r="C5907" s="81" t="s">
        <v>4621</v>
      </c>
      <c r="D5907" s="83" t="s">
        <v>4572</v>
      </c>
      <c r="E5907" s="81" t="s">
        <v>2687</v>
      </c>
      <c r="F5907" s="81">
        <v>519.0</v>
      </c>
      <c r="G5907" s="81" t="s">
        <v>42</v>
      </c>
      <c r="H5907" s="81" t="s">
        <v>6382</v>
      </c>
      <c r="I5907" s="81" t="s">
        <v>2680</v>
      </c>
      <c r="J5907" s="81" t="s">
        <v>224</v>
      </c>
    </row>
    <row r="5908" hidden="1">
      <c r="A5908" s="83" t="s">
        <v>6359</v>
      </c>
      <c r="B5908" s="83" t="s">
        <v>6360</v>
      </c>
      <c r="C5908" s="81" t="s">
        <v>4621</v>
      </c>
      <c r="D5908" s="83" t="s">
        <v>4574</v>
      </c>
      <c r="E5908" s="81" t="s">
        <v>2700</v>
      </c>
      <c r="F5908" s="81">
        <v>522.0</v>
      </c>
      <c r="G5908" s="81" t="s">
        <v>42</v>
      </c>
      <c r="H5908" s="81" t="s">
        <v>6383</v>
      </c>
      <c r="I5908" s="81" t="s">
        <v>2695</v>
      </c>
      <c r="J5908" s="81" t="s">
        <v>224</v>
      </c>
    </row>
    <row r="5909" hidden="1">
      <c r="A5909" s="83" t="s">
        <v>6359</v>
      </c>
      <c r="B5909" s="83" t="s">
        <v>6360</v>
      </c>
      <c r="C5909" s="81" t="s">
        <v>4621</v>
      </c>
      <c r="D5909" s="83" t="s">
        <v>4576</v>
      </c>
      <c r="E5909" s="81" t="s">
        <v>2713</v>
      </c>
      <c r="F5909" s="81">
        <v>525.0</v>
      </c>
      <c r="G5909" s="81" t="s">
        <v>42</v>
      </c>
      <c r="H5909" s="81" t="s">
        <v>6384</v>
      </c>
      <c r="I5909" s="81" t="s">
        <v>2708</v>
      </c>
      <c r="J5909" s="81" t="s">
        <v>224</v>
      </c>
    </row>
    <row r="5910" hidden="1">
      <c r="A5910" s="83" t="s">
        <v>6359</v>
      </c>
      <c r="B5910" s="83" t="s">
        <v>6360</v>
      </c>
      <c r="C5910" s="81" t="s">
        <v>4621</v>
      </c>
      <c r="D5910" s="83" t="s">
        <v>4577</v>
      </c>
      <c r="E5910" s="81" t="s">
        <v>2716</v>
      </c>
      <c r="F5910" s="81">
        <v>526.0</v>
      </c>
      <c r="G5910" s="81" t="s">
        <v>42</v>
      </c>
      <c r="H5910" s="81" t="s">
        <v>6385</v>
      </c>
      <c r="I5910" s="81" t="s">
        <v>2721</v>
      </c>
      <c r="J5910" s="81" t="s">
        <v>224</v>
      </c>
    </row>
    <row r="5911" hidden="1">
      <c r="A5911" s="83" t="s">
        <v>6359</v>
      </c>
      <c r="B5911" s="83" t="s">
        <v>6360</v>
      </c>
      <c r="C5911" s="81" t="s">
        <v>4621</v>
      </c>
      <c r="D5911" s="83" t="s">
        <v>4578</v>
      </c>
      <c r="E5911" s="81" t="s">
        <v>2724</v>
      </c>
      <c r="F5911" s="81">
        <v>527.0</v>
      </c>
      <c r="G5911" s="81" t="s">
        <v>42</v>
      </c>
      <c r="H5911" s="81" t="s">
        <v>6385</v>
      </c>
      <c r="I5911" s="81" t="s">
        <v>2721</v>
      </c>
      <c r="J5911" s="81" t="s">
        <v>224</v>
      </c>
    </row>
    <row r="5912" hidden="1">
      <c r="A5912" s="83" t="s">
        <v>6359</v>
      </c>
      <c r="B5912" s="83" t="s">
        <v>6360</v>
      </c>
      <c r="C5912" s="81" t="s">
        <v>4621</v>
      </c>
      <c r="D5912" s="83" t="s">
        <v>4579</v>
      </c>
      <c r="E5912" s="81" t="s">
        <v>2727</v>
      </c>
      <c r="F5912" s="81">
        <v>528.0</v>
      </c>
      <c r="G5912" s="81" t="s">
        <v>42</v>
      </c>
      <c r="H5912" s="81" t="s">
        <v>6386</v>
      </c>
      <c r="I5912" s="81" t="s">
        <v>2732</v>
      </c>
      <c r="J5912" s="81" t="s">
        <v>224</v>
      </c>
    </row>
    <row r="5913" hidden="1">
      <c r="A5913" s="83" t="s">
        <v>6359</v>
      </c>
      <c r="B5913" s="83" t="s">
        <v>6360</v>
      </c>
      <c r="C5913" s="81" t="s">
        <v>4621</v>
      </c>
      <c r="D5913" s="83" t="s">
        <v>4579</v>
      </c>
      <c r="E5913" s="81" t="s">
        <v>2736</v>
      </c>
      <c r="F5913" s="81">
        <v>529.0</v>
      </c>
      <c r="G5913" s="81" t="s">
        <v>42</v>
      </c>
      <c r="H5913" s="81" t="s">
        <v>6386</v>
      </c>
      <c r="I5913" s="81" t="s">
        <v>2732</v>
      </c>
      <c r="J5913" s="81" t="s">
        <v>224</v>
      </c>
    </row>
    <row r="5914" hidden="1">
      <c r="A5914" s="83" t="s">
        <v>6359</v>
      </c>
      <c r="B5914" s="83" t="s">
        <v>6360</v>
      </c>
      <c r="C5914" s="81" t="s">
        <v>4621</v>
      </c>
      <c r="D5914" s="83" t="s">
        <v>4581</v>
      </c>
      <c r="E5914" s="81" t="s">
        <v>2737</v>
      </c>
      <c r="F5914" s="81">
        <v>530.0</v>
      </c>
      <c r="G5914" s="81" t="s">
        <v>42</v>
      </c>
      <c r="H5914" s="81" t="s">
        <v>6386</v>
      </c>
      <c r="I5914" s="81" t="s">
        <v>2732</v>
      </c>
      <c r="J5914" s="81" t="s">
        <v>224</v>
      </c>
    </row>
    <row r="5915" hidden="1">
      <c r="A5915" s="83" t="s">
        <v>6359</v>
      </c>
      <c r="B5915" s="83" t="s">
        <v>6360</v>
      </c>
      <c r="C5915" s="81" t="s">
        <v>4621</v>
      </c>
      <c r="D5915" s="83" t="s">
        <v>4587</v>
      </c>
      <c r="E5915" s="81" t="s">
        <v>2766</v>
      </c>
      <c r="F5915" s="81">
        <v>537.0</v>
      </c>
      <c r="G5915" s="81" t="s">
        <v>42</v>
      </c>
      <c r="H5915" s="81" t="s">
        <v>6387</v>
      </c>
      <c r="I5915" s="81" t="s">
        <v>2774</v>
      </c>
      <c r="J5915" s="81" t="s">
        <v>224</v>
      </c>
    </row>
    <row r="5916" hidden="1">
      <c r="A5916" s="83" t="s">
        <v>6359</v>
      </c>
      <c r="B5916" s="83" t="s">
        <v>6360</v>
      </c>
      <c r="C5916" s="81" t="s">
        <v>4621</v>
      </c>
      <c r="D5916" s="83" t="s">
        <v>4587</v>
      </c>
      <c r="E5916" s="81" t="s">
        <v>2778</v>
      </c>
      <c r="F5916" s="81">
        <v>538.0</v>
      </c>
      <c r="G5916" s="81" t="s">
        <v>42</v>
      </c>
      <c r="H5916" s="81" t="s">
        <v>6387</v>
      </c>
      <c r="I5916" s="81" t="s">
        <v>2774</v>
      </c>
      <c r="J5916" s="81" t="s">
        <v>224</v>
      </c>
    </row>
    <row r="5917" hidden="1">
      <c r="A5917" s="83" t="s">
        <v>6359</v>
      </c>
      <c r="B5917" s="83" t="s">
        <v>6360</v>
      </c>
      <c r="C5917" s="81" t="s">
        <v>4621</v>
      </c>
      <c r="D5917" s="83" t="s">
        <v>4595</v>
      </c>
      <c r="E5917" s="81" t="s">
        <v>2814</v>
      </c>
      <c r="F5917" s="81">
        <v>544.0</v>
      </c>
      <c r="G5917" s="81" t="s">
        <v>42</v>
      </c>
      <c r="H5917" s="81" t="s">
        <v>6388</v>
      </c>
      <c r="I5917" s="81" t="s">
        <v>2823</v>
      </c>
      <c r="J5917" s="81" t="s">
        <v>224</v>
      </c>
    </row>
    <row r="5918" hidden="1">
      <c r="A5918" s="83" t="s">
        <v>6359</v>
      </c>
      <c r="B5918" s="83" t="s">
        <v>6360</v>
      </c>
      <c r="C5918" s="81" t="s">
        <v>4621</v>
      </c>
      <c r="D5918" s="83" t="s">
        <v>4595</v>
      </c>
      <c r="E5918" s="81" t="s">
        <v>2827</v>
      </c>
      <c r="F5918" s="81">
        <v>545.0</v>
      </c>
      <c r="G5918" s="81" t="s">
        <v>42</v>
      </c>
      <c r="H5918" s="81" t="s">
        <v>6388</v>
      </c>
      <c r="I5918" s="81" t="s">
        <v>2823</v>
      </c>
      <c r="J5918" s="81" t="s">
        <v>224</v>
      </c>
    </row>
    <row r="5919" hidden="1">
      <c r="A5919" s="83" t="s">
        <v>6359</v>
      </c>
      <c r="B5919" s="83" t="s">
        <v>6360</v>
      </c>
      <c r="C5919" s="81" t="s">
        <v>4082</v>
      </c>
      <c r="D5919" s="83" t="s">
        <v>4608</v>
      </c>
      <c r="E5919" s="81" t="s">
        <v>4609</v>
      </c>
      <c r="F5919" s="81">
        <v>559.0</v>
      </c>
      <c r="G5919" s="81" t="s">
        <v>41</v>
      </c>
      <c r="H5919" s="81" t="s">
        <v>2907</v>
      </c>
      <c r="I5919" s="81" t="s">
        <v>224</v>
      </c>
      <c r="J5919" s="81" t="s">
        <v>6357</v>
      </c>
    </row>
    <row r="5920" hidden="1">
      <c r="A5920" s="83" t="s">
        <v>6359</v>
      </c>
      <c r="B5920" s="83" t="s">
        <v>6360</v>
      </c>
      <c r="C5920" s="81" t="s">
        <v>4621</v>
      </c>
      <c r="D5920" s="83" t="s">
        <v>4611</v>
      </c>
      <c r="E5920" s="81" t="s">
        <v>2908</v>
      </c>
      <c r="F5920" s="81">
        <v>561.0</v>
      </c>
      <c r="G5920" s="81" t="s">
        <v>42</v>
      </c>
      <c r="H5920" s="81" t="s">
        <v>6389</v>
      </c>
      <c r="I5920" s="81" t="s">
        <v>2902</v>
      </c>
      <c r="J5920" s="81" t="s">
        <v>224</v>
      </c>
    </row>
    <row r="5921" hidden="1">
      <c r="A5921" s="83" t="s">
        <v>6359</v>
      </c>
      <c r="B5921" s="83" t="s">
        <v>6360</v>
      </c>
      <c r="C5921" s="81" t="s">
        <v>4621</v>
      </c>
      <c r="D5921" s="83" t="s">
        <v>4614</v>
      </c>
      <c r="E5921" s="81" t="s">
        <v>2922</v>
      </c>
      <c r="F5921" s="81">
        <v>564.0</v>
      </c>
      <c r="G5921" s="81" t="s">
        <v>42</v>
      </c>
      <c r="H5921" s="81" t="s">
        <v>6390</v>
      </c>
      <c r="I5921" s="81" t="s">
        <v>2927</v>
      </c>
      <c r="J5921" s="81" t="s">
        <v>224</v>
      </c>
    </row>
    <row r="5922" hidden="1">
      <c r="A5922" s="83" t="s">
        <v>6359</v>
      </c>
      <c r="B5922" s="83" t="s">
        <v>6360</v>
      </c>
      <c r="C5922" s="81" t="s">
        <v>4621</v>
      </c>
      <c r="D5922" s="83" t="s">
        <v>4616</v>
      </c>
      <c r="E5922" s="81" t="s">
        <v>2930</v>
      </c>
      <c r="F5922" s="81">
        <v>565.0</v>
      </c>
      <c r="G5922" s="81" t="s">
        <v>42</v>
      </c>
      <c r="H5922" s="81" t="s">
        <v>6391</v>
      </c>
      <c r="I5922" s="81" t="s">
        <v>2917</v>
      </c>
      <c r="J5922" s="81" t="s">
        <v>224</v>
      </c>
    </row>
    <row r="5923" hidden="1">
      <c r="A5923" s="83" t="s">
        <v>6359</v>
      </c>
      <c r="B5923" s="83" t="s">
        <v>6360</v>
      </c>
      <c r="C5923" s="81" t="s">
        <v>4621</v>
      </c>
      <c r="D5923" s="83" t="s">
        <v>4617</v>
      </c>
      <c r="E5923" s="81" t="s">
        <v>2933</v>
      </c>
      <c r="F5923" s="81">
        <v>566.0</v>
      </c>
      <c r="G5923" s="81" t="s">
        <v>42</v>
      </c>
      <c r="H5923" s="81" t="s">
        <v>6390</v>
      </c>
      <c r="I5923" s="81" t="s">
        <v>2927</v>
      </c>
      <c r="J5923" s="81" t="s">
        <v>224</v>
      </c>
    </row>
    <row r="5924" hidden="1">
      <c r="A5924" s="83" t="s">
        <v>6359</v>
      </c>
      <c r="B5924" s="83" t="s">
        <v>6360</v>
      </c>
      <c r="C5924" s="81" t="s">
        <v>4621</v>
      </c>
      <c r="D5924" s="83" t="s">
        <v>4642</v>
      </c>
      <c r="E5924" s="81" t="s">
        <v>3042</v>
      </c>
      <c r="F5924" s="81">
        <v>584.0</v>
      </c>
      <c r="G5924" s="81" t="s">
        <v>42</v>
      </c>
      <c r="H5924" s="81" t="s">
        <v>6392</v>
      </c>
      <c r="I5924" s="81" t="s">
        <v>3038</v>
      </c>
      <c r="J5924" s="81" t="s">
        <v>224</v>
      </c>
    </row>
    <row r="5925" hidden="1">
      <c r="A5925" s="83" t="s">
        <v>6359</v>
      </c>
      <c r="B5925" s="83" t="s">
        <v>6360</v>
      </c>
      <c r="C5925" s="81" t="s">
        <v>4621</v>
      </c>
      <c r="D5925" s="83" t="s">
        <v>4642</v>
      </c>
      <c r="E5925" s="81" t="s">
        <v>3045</v>
      </c>
      <c r="F5925" s="81">
        <v>585.0</v>
      </c>
      <c r="G5925" s="81" t="s">
        <v>42</v>
      </c>
      <c r="H5925" s="81" t="s">
        <v>6392</v>
      </c>
      <c r="I5925" s="81" t="s">
        <v>3038</v>
      </c>
      <c r="J5925" s="81" t="s">
        <v>224</v>
      </c>
    </row>
    <row r="5926" hidden="1">
      <c r="A5926" s="83" t="s">
        <v>6359</v>
      </c>
      <c r="B5926" s="83" t="s">
        <v>6360</v>
      </c>
      <c r="C5926" s="81" t="s">
        <v>4621</v>
      </c>
      <c r="D5926" s="83" t="s">
        <v>4651</v>
      </c>
      <c r="E5926" s="81" t="s">
        <v>3094</v>
      </c>
      <c r="F5926" s="81">
        <v>595.0</v>
      </c>
      <c r="G5926" s="81" t="s">
        <v>42</v>
      </c>
      <c r="H5926" s="81" t="s">
        <v>3103</v>
      </c>
      <c r="I5926" s="81" t="s">
        <v>6393</v>
      </c>
      <c r="J5926" s="81" t="s">
        <v>224</v>
      </c>
    </row>
    <row r="5927" hidden="1">
      <c r="A5927" s="83" t="s">
        <v>6359</v>
      </c>
      <c r="B5927" s="83" t="s">
        <v>6360</v>
      </c>
      <c r="C5927" s="81" t="s">
        <v>4621</v>
      </c>
      <c r="D5927" s="83" t="s">
        <v>4672</v>
      </c>
      <c r="E5927" s="81" t="s">
        <v>3170</v>
      </c>
      <c r="F5927" s="81">
        <v>602.0</v>
      </c>
      <c r="G5927" s="81" t="s">
        <v>42</v>
      </c>
      <c r="H5927" s="81" t="s">
        <v>6394</v>
      </c>
      <c r="I5927" s="81" t="s">
        <v>3178</v>
      </c>
      <c r="J5927" s="81" t="s">
        <v>224</v>
      </c>
    </row>
    <row r="5928" hidden="1">
      <c r="A5928" s="83" t="s">
        <v>6359</v>
      </c>
      <c r="B5928" s="83" t="s">
        <v>6360</v>
      </c>
      <c r="C5928" s="81" t="s">
        <v>4621</v>
      </c>
      <c r="D5928" s="83" t="s">
        <v>4672</v>
      </c>
      <c r="E5928" s="81" t="s">
        <v>3182</v>
      </c>
      <c r="F5928" s="81">
        <v>603.0</v>
      </c>
      <c r="G5928" s="81" t="s">
        <v>42</v>
      </c>
      <c r="H5928" s="81" t="s">
        <v>6394</v>
      </c>
      <c r="I5928" s="81" t="s">
        <v>3178</v>
      </c>
      <c r="J5928" s="81" t="s">
        <v>224</v>
      </c>
    </row>
    <row r="5929" hidden="1">
      <c r="A5929" s="83" t="s">
        <v>6359</v>
      </c>
      <c r="B5929" s="83" t="s">
        <v>6360</v>
      </c>
      <c r="C5929" s="81" t="s">
        <v>6333</v>
      </c>
      <c r="D5929" s="83" t="s">
        <v>4674</v>
      </c>
      <c r="E5929" s="81" t="s">
        <v>3183</v>
      </c>
      <c r="F5929" s="81">
        <v>604.0</v>
      </c>
      <c r="G5929" s="81" t="s">
        <v>42</v>
      </c>
      <c r="H5929" s="81" t="s">
        <v>3178</v>
      </c>
      <c r="I5929" s="81" t="s">
        <v>224</v>
      </c>
      <c r="J5929" s="81" t="s">
        <v>6367</v>
      </c>
    </row>
    <row r="5930" hidden="1">
      <c r="A5930" s="83" t="s">
        <v>6359</v>
      </c>
      <c r="B5930" s="83" t="s">
        <v>6360</v>
      </c>
      <c r="C5930" s="81" t="s">
        <v>4621</v>
      </c>
      <c r="D5930" s="83" t="s">
        <v>4675</v>
      </c>
      <c r="E5930" s="81" t="s">
        <v>3186</v>
      </c>
      <c r="F5930" s="81">
        <v>605.0</v>
      </c>
      <c r="G5930" s="81" t="s">
        <v>42</v>
      </c>
      <c r="H5930" s="81" t="s">
        <v>6395</v>
      </c>
      <c r="I5930" s="81" t="s">
        <v>3192</v>
      </c>
      <c r="J5930" s="81" t="s">
        <v>224</v>
      </c>
    </row>
    <row r="5931" hidden="1">
      <c r="A5931" s="83" t="s">
        <v>6359</v>
      </c>
      <c r="B5931" s="83" t="s">
        <v>6360</v>
      </c>
      <c r="C5931" s="81" t="s">
        <v>4621</v>
      </c>
      <c r="D5931" s="83" t="s">
        <v>4678</v>
      </c>
      <c r="E5931" s="81" t="s">
        <v>3209</v>
      </c>
      <c r="F5931" s="81">
        <v>608.0</v>
      </c>
      <c r="G5931" s="81" t="s">
        <v>42</v>
      </c>
      <c r="H5931" s="81" t="s">
        <v>6396</v>
      </c>
      <c r="I5931" s="81" t="s">
        <v>3204</v>
      </c>
      <c r="J5931" s="81" t="s">
        <v>224</v>
      </c>
    </row>
    <row r="5932" hidden="1">
      <c r="A5932" s="83" t="s">
        <v>6359</v>
      </c>
      <c r="B5932" s="83" t="s">
        <v>6360</v>
      </c>
      <c r="C5932" s="81" t="s">
        <v>4082</v>
      </c>
      <c r="D5932" s="83" t="s">
        <v>4682</v>
      </c>
      <c r="E5932" s="81" t="s">
        <v>3226</v>
      </c>
      <c r="F5932" s="81">
        <v>613.0</v>
      </c>
      <c r="G5932" s="81" t="s">
        <v>39</v>
      </c>
      <c r="H5932" s="81" t="s">
        <v>224</v>
      </c>
      <c r="I5932" s="81" t="s">
        <v>224</v>
      </c>
      <c r="J5932" s="81" t="s">
        <v>6052</v>
      </c>
    </row>
    <row r="5933" hidden="1">
      <c r="A5933" s="83" t="s">
        <v>6359</v>
      </c>
      <c r="B5933" s="83" t="s">
        <v>6360</v>
      </c>
      <c r="C5933" s="81" t="s">
        <v>4621</v>
      </c>
      <c r="D5933" s="83" t="s">
        <v>4684</v>
      </c>
      <c r="E5933" s="81" t="s">
        <v>3236</v>
      </c>
      <c r="F5933" s="81">
        <v>616.0</v>
      </c>
      <c r="G5933" s="81" t="s">
        <v>42</v>
      </c>
      <c r="H5933" s="81" t="s">
        <v>6397</v>
      </c>
      <c r="I5933" s="81" t="s">
        <v>3232</v>
      </c>
      <c r="J5933" s="81" t="s">
        <v>224</v>
      </c>
    </row>
    <row r="5934" hidden="1">
      <c r="A5934" s="83" t="s">
        <v>6359</v>
      </c>
      <c r="B5934" s="83" t="s">
        <v>6360</v>
      </c>
      <c r="C5934" s="81" t="s">
        <v>4621</v>
      </c>
      <c r="D5934" s="83" t="s">
        <v>4686</v>
      </c>
      <c r="E5934" s="81" t="s">
        <v>3248</v>
      </c>
      <c r="F5934" s="81">
        <v>619.0</v>
      </c>
      <c r="G5934" s="81" t="s">
        <v>42</v>
      </c>
      <c r="H5934" s="81" t="s">
        <v>6398</v>
      </c>
      <c r="I5934" s="81" t="s">
        <v>3243</v>
      </c>
      <c r="J5934" s="81" t="s">
        <v>224</v>
      </c>
    </row>
    <row r="5935" hidden="1">
      <c r="A5935" s="83" t="s">
        <v>6359</v>
      </c>
      <c r="B5935" s="83" t="s">
        <v>6360</v>
      </c>
      <c r="C5935" s="81" t="s">
        <v>4621</v>
      </c>
      <c r="D5935" s="83" t="s">
        <v>4687</v>
      </c>
      <c r="E5935" s="81" t="s">
        <v>3251</v>
      </c>
      <c r="F5935" s="81">
        <v>620.0</v>
      </c>
      <c r="G5935" s="81" t="s">
        <v>42</v>
      </c>
      <c r="H5935" s="81" t="s">
        <v>6398</v>
      </c>
      <c r="I5935" s="81" t="s">
        <v>3243</v>
      </c>
      <c r="J5935" s="81" t="s">
        <v>224</v>
      </c>
    </row>
    <row r="5936" hidden="1">
      <c r="A5936" s="83" t="s">
        <v>6359</v>
      </c>
      <c r="B5936" s="83" t="s">
        <v>6360</v>
      </c>
      <c r="C5936" s="81" t="s">
        <v>4621</v>
      </c>
      <c r="D5936" s="83" t="s">
        <v>4688</v>
      </c>
      <c r="E5936" s="81" t="s">
        <v>3254</v>
      </c>
      <c r="F5936" s="81">
        <v>621.0</v>
      </c>
      <c r="G5936" s="81" t="s">
        <v>42</v>
      </c>
      <c r="H5936" s="81" t="s">
        <v>6398</v>
      </c>
      <c r="I5936" s="81" t="s">
        <v>3243</v>
      </c>
      <c r="J5936" s="81" t="s">
        <v>224</v>
      </c>
    </row>
    <row r="5937" hidden="1">
      <c r="A5937" s="83" t="s">
        <v>6359</v>
      </c>
      <c r="B5937" s="83" t="s">
        <v>6360</v>
      </c>
      <c r="C5937" s="81" t="s">
        <v>4621</v>
      </c>
      <c r="D5937" s="83" t="s">
        <v>4690</v>
      </c>
      <c r="E5937" s="81" t="s">
        <v>3267</v>
      </c>
      <c r="F5937" s="81">
        <v>624.0</v>
      </c>
      <c r="G5937" s="81" t="s">
        <v>42</v>
      </c>
      <c r="H5937" s="81" t="s">
        <v>6399</v>
      </c>
      <c r="I5937" s="81" t="s">
        <v>3262</v>
      </c>
      <c r="J5937" s="81" t="s">
        <v>224</v>
      </c>
    </row>
    <row r="5938" hidden="1">
      <c r="A5938" s="83" t="s">
        <v>6359</v>
      </c>
      <c r="B5938" s="83" t="s">
        <v>6360</v>
      </c>
      <c r="C5938" s="81" t="s">
        <v>4621</v>
      </c>
      <c r="D5938" s="83" t="s">
        <v>4693</v>
      </c>
      <c r="E5938" s="81" t="s">
        <v>3281</v>
      </c>
      <c r="F5938" s="81">
        <v>627.0</v>
      </c>
      <c r="G5938" s="81" t="s">
        <v>42</v>
      </c>
      <c r="H5938" s="81" t="s">
        <v>6400</v>
      </c>
      <c r="I5938" s="81" t="s">
        <v>3276</v>
      </c>
      <c r="J5938" s="81" t="s">
        <v>224</v>
      </c>
    </row>
    <row r="5939" hidden="1">
      <c r="A5939" s="83" t="s">
        <v>6359</v>
      </c>
      <c r="B5939" s="83" t="s">
        <v>6360</v>
      </c>
      <c r="C5939" s="81" t="s">
        <v>4621</v>
      </c>
      <c r="D5939" s="83" t="s">
        <v>4699</v>
      </c>
      <c r="E5939" s="81" t="s">
        <v>3315</v>
      </c>
      <c r="F5939" s="81">
        <v>634.0</v>
      </c>
      <c r="G5939" s="81" t="s">
        <v>42</v>
      </c>
      <c r="H5939" s="81" t="s">
        <v>3325</v>
      </c>
      <c r="I5939" s="81" t="s">
        <v>6401</v>
      </c>
      <c r="J5939" s="81" t="s">
        <v>224</v>
      </c>
    </row>
    <row r="5940" hidden="1">
      <c r="A5940" s="83" t="s">
        <v>6359</v>
      </c>
      <c r="B5940" s="83" t="s">
        <v>6360</v>
      </c>
      <c r="C5940" s="81" t="s">
        <v>4621</v>
      </c>
      <c r="D5940" s="83" t="s">
        <v>4699</v>
      </c>
      <c r="E5940" s="81" t="s">
        <v>3328</v>
      </c>
      <c r="F5940" s="81">
        <v>635.0</v>
      </c>
      <c r="G5940" s="81" t="s">
        <v>42</v>
      </c>
      <c r="H5940" s="81" t="s">
        <v>3325</v>
      </c>
      <c r="I5940" s="81" t="s">
        <v>6401</v>
      </c>
      <c r="J5940" s="81" t="s">
        <v>224</v>
      </c>
    </row>
    <row r="5941" hidden="1">
      <c r="A5941" s="83" t="s">
        <v>6359</v>
      </c>
      <c r="B5941" s="83" t="s">
        <v>6360</v>
      </c>
      <c r="C5941" s="81" t="s">
        <v>4621</v>
      </c>
      <c r="D5941" s="83" t="s">
        <v>4701</v>
      </c>
      <c r="E5941" s="81" t="s">
        <v>3329</v>
      </c>
      <c r="F5941" s="81">
        <v>636.0</v>
      </c>
      <c r="G5941" s="81" t="s">
        <v>42</v>
      </c>
      <c r="H5941" s="81" t="s">
        <v>3335</v>
      </c>
      <c r="I5941" s="81" t="s">
        <v>6401</v>
      </c>
      <c r="J5941" s="81" t="s">
        <v>224</v>
      </c>
    </row>
    <row r="5942" hidden="1">
      <c r="A5942" s="83" t="s">
        <v>6359</v>
      </c>
      <c r="B5942" s="83" t="s">
        <v>6360</v>
      </c>
      <c r="C5942" s="81" t="s">
        <v>4621</v>
      </c>
      <c r="D5942" s="83" t="s">
        <v>4705</v>
      </c>
      <c r="E5942" s="81" t="s">
        <v>3354</v>
      </c>
      <c r="F5942" s="81">
        <v>639.0</v>
      </c>
      <c r="G5942" s="81" t="s">
        <v>42</v>
      </c>
      <c r="H5942" s="81" t="s">
        <v>6402</v>
      </c>
      <c r="I5942" s="81" t="s">
        <v>3349</v>
      </c>
      <c r="J5942" s="81" t="s">
        <v>224</v>
      </c>
    </row>
    <row r="5943" hidden="1">
      <c r="A5943" s="83" t="s">
        <v>6359</v>
      </c>
      <c r="B5943" s="83" t="s">
        <v>6360</v>
      </c>
      <c r="C5943" s="81" t="s">
        <v>4621</v>
      </c>
      <c r="D5943" s="83" t="s">
        <v>4706</v>
      </c>
      <c r="E5943" s="81" t="s">
        <v>3359</v>
      </c>
      <c r="F5943" s="81">
        <v>640.0</v>
      </c>
      <c r="G5943" s="81" t="s">
        <v>42</v>
      </c>
      <c r="H5943" s="81" t="s">
        <v>6402</v>
      </c>
      <c r="I5943" s="81" t="s">
        <v>3349</v>
      </c>
      <c r="J5943" s="81" t="s">
        <v>224</v>
      </c>
    </row>
    <row r="5944" hidden="1">
      <c r="A5944" s="83" t="s">
        <v>6359</v>
      </c>
      <c r="B5944" s="83" t="s">
        <v>6360</v>
      </c>
      <c r="C5944" s="81" t="s">
        <v>4082</v>
      </c>
      <c r="D5944" s="83" t="s">
        <v>4707</v>
      </c>
      <c r="E5944" s="81" t="s">
        <v>3362</v>
      </c>
      <c r="F5944" s="81">
        <v>641.0</v>
      </c>
      <c r="G5944" s="81" t="s">
        <v>39</v>
      </c>
      <c r="H5944" s="81" t="s">
        <v>224</v>
      </c>
      <c r="I5944" s="81" t="s">
        <v>224</v>
      </c>
      <c r="J5944" s="81" t="s">
        <v>6096</v>
      </c>
    </row>
    <row r="5945" hidden="1">
      <c r="A5945" s="83" t="s">
        <v>6359</v>
      </c>
      <c r="B5945" s="83" t="s">
        <v>6360</v>
      </c>
      <c r="C5945" s="81" t="s">
        <v>4082</v>
      </c>
      <c r="D5945" s="83" t="s">
        <v>4709</v>
      </c>
      <c r="E5945" s="81" t="s">
        <v>3370</v>
      </c>
      <c r="F5945" s="81">
        <v>643.0</v>
      </c>
      <c r="G5945" s="81" t="s">
        <v>39</v>
      </c>
      <c r="H5945" s="81" t="s">
        <v>224</v>
      </c>
      <c r="I5945" s="81" t="s">
        <v>224</v>
      </c>
      <c r="J5945" s="81" t="s">
        <v>6101</v>
      </c>
    </row>
    <row r="5946" hidden="1">
      <c r="A5946" s="83" t="s">
        <v>6359</v>
      </c>
      <c r="B5946" s="83" t="s">
        <v>6360</v>
      </c>
      <c r="C5946" s="81" t="s">
        <v>4621</v>
      </c>
      <c r="D5946" s="83" t="s">
        <v>4727</v>
      </c>
      <c r="E5946" s="81" t="s">
        <v>3483</v>
      </c>
      <c r="F5946" s="81">
        <v>657.0</v>
      </c>
      <c r="G5946" s="81" t="s">
        <v>42</v>
      </c>
      <c r="H5946" s="81" t="s">
        <v>6403</v>
      </c>
      <c r="I5946" s="81" t="s">
        <v>3492</v>
      </c>
      <c r="J5946" s="81" t="s">
        <v>224</v>
      </c>
    </row>
    <row r="5947" hidden="1">
      <c r="A5947" s="83" t="s">
        <v>6359</v>
      </c>
      <c r="B5947" s="83" t="s">
        <v>6360</v>
      </c>
      <c r="C5947" s="81" t="s">
        <v>4621</v>
      </c>
      <c r="D5947" s="83" t="s">
        <v>4727</v>
      </c>
      <c r="E5947" s="81" t="s">
        <v>3496</v>
      </c>
      <c r="F5947" s="81">
        <v>658.0</v>
      </c>
      <c r="G5947" s="81" t="s">
        <v>42</v>
      </c>
      <c r="H5947" s="81" t="s">
        <v>6403</v>
      </c>
      <c r="I5947" s="81" t="s">
        <v>3492</v>
      </c>
      <c r="J5947" s="81" t="s">
        <v>224</v>
      </c>
    </row>
    <row r="5948" hidden="1">
      <c r="A5948" s="83" t="s">
        <v>6359</v>
      </c>
      <c r="B5948" s="83" t="s">
        <v>6360</v>
      </c>
      <c r="C5948" s="81" t="s">
        <v>4621</v>
      </c>
      <c r="D5948" s="83" t="s">
        <v>4750</v>
      </c>
      <c r="E5948" s="81" t="s">
        <v>3597</v>
      </c>
      <c r="F5948" s="81">
        <v>680.0</v>
      </c>
      <c r="G5948" s="81" t="s">
        <v>42</v>
      </c>
      <c r="H5948" s="81" t="s">
        <v>6404</v>
      </c>
      <c r="I5948" s="81" t="s">
        <v>3592</v>
      </c>
      <c r="J5948" s="81" t="s">
        <v>224</v>
      </c>
    </row>
    <row r="5949" hidden="1">
      <c r="A5949" s="83" t="s">
        <v>6359</v>
      </c>
      <c r="B5949" s="83" t="s">
        <v>6360</v>
      </c>
      <c r="C5949" s="81" t="s">
        <v>6333</v>
      </c>
      <c r="D5949" s="83" t="s">
        <v>4754</v>
      </c>
      <c r="E5949" s="81" t="s">
        <v>3621</v>
      </c>
      <c r="F5949" s="81">
        <v>684.0</v>
      </c>
      <c r="G5949" s="81" t="s">
        <v>42</v>
      </c>
      <c r="H5949" s="81" t="s">
        <v>6405</v>
      </c>
      <c r="I5949" s="81" t="s">
        <v>224</v>
      </c>
      <c r="J5949" s="81" t="s">
        <v>6367</v>
      </c>
    </row>
    <row r="5950" hidden="1">
      <c r="A5950" s="83" t="s">
        <v>6359</v>
      </c>
      <c r="B5950" s="83" t="s">
        <v>6360</v>
      </c>
      <c r="C5950" s="81" t="s">
        <v>6333</v>
      </c>
      <c r="D5950" s="83" t="s">
        <v>4755</v>
      </c>
      <c r="E5950" s="81" t="s">
        <v>3633</v>
      </c>
      <c r="F5950" s="81">
        <v>685.0</v>
      </c>
      <c r="G5950" s="81" t="s">
        <v>42</v>
      </c>
      <c r="H5950" s="81" t="s">
        <v>6405</v>
      </c>
      <c r="I5950" s="81" t="s">
        <v>224</v>
      </c>
      <c r="J5950" s="81" t="s">
        <v>6367</v>
      </c>
    </row>
    <row r="5951" hidden="1">
      <c r="A5951" s="83" t="s">
        <v>6359</v>
      </c>
      <c r="B5951" s="83" t="s">
        <v>6360</v>
      </c>
      <c r="C5951" s="81" t="s">
        <v>6333</v>
      </c>
      <c r="D5951" s="83" t="s">
        <v>4754</v>
      </c>
      <c r="E5951" s="81" t="s">
        <v>3636</v>
      </c>
      <c r="F5951" s="81">
        <v>686.0</v>
      </c>
      <c r="G5951" s="81" t="s">
        <v>42</v>
      </c>
      <c r="H5951" s="81" t="s">
        <v>6405</v>
      </c>
      <c r="I5951" s="81" t="s">
        <v>224</v>
      </c>
      <c r="J5951" s="81" t="s">
        <v>6367</v>
      </c>
    </row>
    <row r="5952" hidden="1">
      <c r="A5952" s="83" t="s">
        <v>6359</v>
      </c>
      <c r="B5952" s="83" t="s">
        <v>6360</v>
      </c>
      <c r="C5952" s="81" t="s">
        <v>6333</v>
      </c>
      <c r="D5952" s="83" t="s">
        <v>4756</v>
      </c>
      <c r="E5952" s="81" t="s">
        <v>3637</v>
      </c>
      <c r="F5952" s="81">
        <v>687.0</v>
      </c>
      <c r="G5952" s="81" t="s">
        <v>42</v>
      </c>
      <c r="H5952" s="81" t="s">
        <v>6405</v>
      </c>
      <c r="I5952" s="81" t="s">
        <v>224</v>
      </c>
      <c r="J5952" s="81" t="s">
        <v>6367</v>
      </c>
    </row>
    <row r="5953" hidden="1">
      <c r="A5953" s="83" t="s">
        <v>6359</v>
      </c>
      <c r="B5953" s="83" t="s">
        <v>6360</v>
      </c>
      <c r="C5953" s="81" t="s">
        <v>6333</v>
      </c>
      <c r="D5953" s="83" t="s">
        <v>4757</v>
      </c>
      <c r="E5953" s="81" t="s">
        <v>3640</v>
      </c>
      <c r="F5953" s="81">
        <v>688.0</v>
      </c>
      <c r="G5953" s="81" t="s">
        <v>42</v>
      </c>
      <c r="H5953" s="81" t="s">
        <v>6405</v>
      </c>
      <c r="I5953" s="81" t="s">
        <v>224</v>
      </c>
      <c r="J5953" s="81" t="s">
        <v>6367</v>
      </c>
    </row>
    <row r="5954" hidden="1">
      <c r="A5954" s="83" t="s">
        <v>6359</v>
      </c>
      <c r="B5954" s="83" t="s">
        <v>6360</v>
      </c>
      <c r="C5954" s="81" t="s">
        <v>6333</v>
      </c>
      <c r="D5954" s="83" t="s">
        <v>4758</v>
      </c>
      <c r="E5954" s="81" t="s">
        <v>3643</v>
      </c>
      <c r="F5954" s="81">
        <v>689.0</v>
      </c>
      <c r="G5954" s="81" t="s">
        <v>42</v>
      </c>
      <c r="H5954" s="81" t="s">
        <v>6405</v>
      </c>
      <c r="I5954" s="81" t="s">
        <v>224</v>
      </c>
      <c r="J5954" s="81" t="s">
        <v>6367</v>
      </c>
    </row>
    <row r="5955" hidden="1">
      <c r="A5955" s="83" t="s">
        <v>6359</v>
      </c>
      <c r="B5955" s="83" t="s">
        <v>6360</v>
      </c>
      <c r="C5955" s="81" t="s">
        <v>6333</v>
      </c>
      <c r="D5955" s="83" t="s">
        <v>4759</v>
      </c>
      <c r="E5955" s="81" t="s">
        <v>3646</v>
      </c>
      <c r="F5955" s="81">
        <v>690.0</v>
      </c>
      <c r="G5955" s="81" t="s">
        <v>42</v>
      </c>
      <c r="H5955" s="81" t="s">
        <v>6405</v>
      </c>
      <c r="I5955" s="81" t="s">
        <v>224</v>
      </c>
      <c r="J5955" s="81" t="s">
        <v>6367</v>
      </c>
    </row>
    <row r="5956" hidden="1">
      <c r="A5956" s="83" t="s">
        <v>6359</v>
      </c>
      <c r="B5956" s="83" t="s">
        <v>6360</v>
      </c>
      <c r="C5956" s="81" t="s">
        <v>6333</v>
      </c>
      <c r="D5956" s="83" t="s">
        <v>4760</v>
      </c>
      <c r="E5956" s="81" t="s">
        <v>3649</v>
      </c>
      <c r="F5956" s="81">
        <v>691.0</v>
      </c>
      <c r="G5956" s="81" t="s">
        <v>42</v>
      </c>
      <c r="H5956" s="81" t="s">
        <v>6405</v>
      </c>
      <c r="I5956" s="81" t="s">
        <v>224</v>
      </c>
      <c r="J5956" s="81" t="s">
        <v>6367</v>
      </c>
    </row>
    <row r="5957" hidden="1">
      <c r="A5957" s="83" t="s">
        <v>6359</v>
      </c>
      <c r="B5957" s="83" t="s">
        <v>6360</v>
      </c>
      <c r="C5957" s="81" t="s">
        <v>6333</v>
      </c>
      <c r="D5957" s="83" t="s">
        <v>4760</v>
      </c>
      <c r="E5957" s="81" t="s">
        <v>3652</v>
      </c>
      <c r="F5957" s="81">
        <v>692.0</v>
      </c>
      <c r="G5957" s="81" t="s">
        <v>42</v>
      </c>
      <c r="H5957" s="81" t="s">
        <v>6405</v>
      </c>
      <c r="I5957" s="81" t="s">
        <v>224</v>
      </c>
      <c r="J5957" s="81" t="s">
        <v>6367</v>
      </c>
    </row>
    <row r="5958" hidden="1">
      <c r="A5958" s="83" t="s">
        <v>6359</v>
      </c>
      <c r="B5958" s="83" t="s">
        <v>6360</v>
      </c>
      <c r="C5958" s="81" t="s">
        <v>6333</v>
      </c>
      <c r="D5958" s="83" t="s">
        <v>4761</v>
      </c>
      <c r="E5958" s="81" t="s">
        <v>3653</v>
      </c>
      <c r="F5958" s="81">
        <v>693.0</v>
      </c>
      <c r="G5958" s="81" t="s">
        <v>42</v>
      </c>
      <c r="H5958" s="81" t="s">
        <v>6405</v>
      </c>
      <c r="I5958" s="81" t="s">
        <v>224</v>
      </c>
      <c r="J5958" s="81" t="s">
        <v>6367</v>
      </c>
    </row>
    <row r="5959" hidden="1">
      <c r="A5959" s="83" t="s">
        <v>6359</v>
      </c>
      <c r="B5959" s="83" t="s">
        <v>6360</v>
      </c>
      <c r="C5959" s="81" t="s">
        <v>6333</v>
      </c>
      <c r="D5959" s="83" t="s">
        <v>4762</v>
      </c>
      <c r="E5959" s="81" t="s">
        <v>3656</v>
      </c>
      <c r="F5959" s="81">
        <v>694.0</v>
      </c>
      <c r="G5959" s="81" t="s">
        <v>42</v>
      </c>
      <c r="H5959" s="81" t="s">
        <v>6405</v>
      </c>
      <c r="I5959" s="81" t="s">
        <v>224</v>
      </c>
      <c r="J5959" s="81" t="s">
        <v>6367</v>
      </c>
    </row>
    <row r="5960" hidden="1">
      <c r="A5960" s="83" t="s">
        <v>6359</v>
      </c>
      <c r="B5960" s="83" t="s">
        <v>6360</v>
      </c>
      <c r="C5960" s="81" t="s">
        <v>6333</v>
      </c>
      <c r="D5960" s="83" t="s">
        <v>4763</v>
      </c>
      <c r="E5960" s="81" t="s">
        <v>3659</v>
      </c>
      <c r="F5960" s="81">
        <v>695.0</v>
      </c>
      <c r="G5960" s="81" t="s">
        <v>42</v>
      </c>
      <c r="H5960" s="81" t="s">
        <v>6405</v>
      </c>
      <c r="I5960" s="81" t="s">
        <v>224</v>
      </c>
      <c r="J5960" s="81" t="s">
        <v>6367</v>
      </c>
    </row>
    <row r="5961" hidden="1">
      <c r="A5961" s="83" t="s">
        <v>6359</v>
      </c>
      <c r="B5961" s="83" t="s">
        <v>6360</v>
      </c>
      <c r="C5961" s="81" t="s">
        <v>6333</v>
      </c>
      <c r="D5961" s="83" t="s">
        <v>4764</v>
      </c>
      <c r="E5961" s="81" t="s">
        <v>3662</v>
      </c>
      <c r="F5961" s="81">
        <v>696.0</v>
      </c>
      <c r="G5961" s="81" t="s">
        <v>42</v>
      </c>
      <c r="H5961" s="81" t="s">
        <v>6405</v>
      </c>
      <c r="I5961" s="81" t="s">
        <v>224</v>
      </c>
      <c r="J5961" s="81" t="s">
        <v>6367</v>
      </c>
    </row>
    <row r="5962" hidden="1">
      <c r="A5962" s="83" t="s">
        <v>6359</v>
      </c>
      <c r="B5962" s="83" t="s">
        <v>6360</v>
      </c>
      <c r="C5962" s="81" t="s">
        <v>6333</v>
      </c>
      <c r="D5962" s="83" t="s">
        <v>4764</v>
      </c>
      <c r="E5962" s="81" t="s">
        <v>3672</v>
      </c>
      <c r="F5962" s="81">
        <v>697.0</v>
      </c>
      <c r="G5962" s="81" t="s">
        <v>42</v>
      </c>
      <c r="H5962" s="81" t="s">
        <v>6405</v>
      </c>
      <c r="I5962" s="81" t="s">
        <v>224</v>
      </c>
      <c r="J5962" s="81" t="s">
        <v>6367</v>
      </c>
    </row>
    <row r="5963" hidden="1">
      <c r="A5963" s="83" t="s">
        <v>6359</v>
      </c>
      <c r="B5963" s="83" t="s">
        <v>6360</v>
      </c>
      <c r="C5963" s="81" t="s">
        <v>6333</v>
      </c>
      <c r="D5963" s="83" t="s">
        <v>4765</v>
      </c>
      <c r="E5963" s="81" t="s">
        <v>3673</v>
      </c>
      <c r="F5963" s="81">
        <v>698.0</v>
      </c>
      <c r="G5963" s="81" t="s">
        <v>42</v>
      </c>
      <c r="H5963" s="81" t="s">
        <v>6405</v>
      </c>
      <c r="I5963" s="81" t="s">
        <v>224</v>
      </c>
      <c r="J5963" s="81" t="s">
        <v>6367</v>
      </c>
    </row>
    <row r="5964" hidden="1">
      <c r="A5964" s="83" t="s">
        <v>6359</v>
      </c>
      <c r="B5964" s="83" t="s">
        <v>6360</v>
      </c>
      <c r="C5964" s="81" t="s">
        <v>6333</v>
      </c>
      <c r="D5964" s="83" t="s">
        <v>4766</v>
      </c>
      <c r="E5964" s="81" t="s">
        <v>3676</v>
      </c>
      <c r="F5964" s="81">
        <v>699.0</v>
      </c>
      <c r="G5964" s="81" t="s">
        <v>42</v>
      </c>
      <c r="H5964" s="81" t="s">
        <v>6405</v>
      </c>
      <c r="I5964" s="81" t="s">
        <v>224</v>
      </c>
      <c r="J5964" s="81" t="s">
        <v>6367</v>
      </c>
    </row>
    <row r="5965" hidden="1">
      <c r="A5965" s="83" t="s">
        <v>6359</v>
      </c>
      <c r="B5965" s="83" t="s">
        <v>6360</v>
      </c>
      <c r="C5965" s="81" t="s">
        <v>6333</v>
      </c>
      <c r="D5965" s="83" t="s">
        <v>4767</v>
      </c>
      <c r="E5965" s="81" t="s">
        <v>3679</v>
      </c>
      <c r="F5965" s="81">
        <v>700.0</v>
      </c>
      <c r="G5965" s="81" t="s">
        <v>42</v>
      </c>
      <c r="H5965" s="81" t="s">
        <v>6405</v>
      </c>
      <c r="I5965" s="81" t="s">
        <v>224</v>
      </c>
      <c r="J5965" s="81" t="s">
        <v>6367</v>
      </c>
    </row>
    <row r="5966" hidden="1">
      <c r="A5966" s="83" t="s">
        <v>6359</v>
      </c>
      <c r="B5966" s="83" t="s">
        <v>6360</v>
      </c>
      <c r="C5966" s="81" t="s">
        <v>6333</v>
      </c>
      <c r="D5966" s="83" t="s">
        <v>4768</v>
      </c>
      <c r="E5966" s="81" t="s">
        <v>3682</v>
      </c>
      <c r="F5966" s="81">
        <v>701.0</v>
      </c>
      <c r="G5966" s="81" t="s">
        <v>42</v>
      </c>
      <c r="H5966" s="81" t="s">
        <v>6405</v>
      </c>
      <c r="I5966" s="81" t="s">
        <v>224</v>
      </c>
      <c r="J5966" s="81" t="s">
        <v>6367</v>
      </c>
    </row>
    <row r="5967" hidden="1">
      <c r="A5967" s="83" t="s">
        <v>6359</v>
      </c>
      <c r="B5967" s="83" t="s">
        <v>6360</v>
      </c>
      <c r="C5967" s="81" t="s">
        <v>6333</v>
      </c>
      <c r="D5967" s="83" t="s">
        <v>4769</v>
      </c>
      <c r="E5967" s="81" t="s">
        <v>3685</v>
      </c>
      <c r="F5967" s="81">
        <v>702.0</v>
      </c>
      <c r="G5967" s="81" t="s">
        <v>42</v>
      </c>
      <c r="H5967" s="81" t="s">
        <v>6405</v>
      </c>
      <c r="I5967" s="81" t="s">
        <v>224</v>
      </c>
      <c r="J5967" s="81" t="s">
        <v>6367</v>
      </c>
    </row>
    <row r="5968" hidden="1">
      <c r="A5968" s="83" t="s">
        <v>6359</v>
      </c>
      <c r="B5968" s="83" t="s">
        <v>6360</v>
      </c>
      <c r="C5968" s="81" t="s">
        <v>6333</v>
      </c>
      <c r="D5968" s="83" t="s">
        <v>4770</v>
      </c>
      <c r="E5968" s="81" t="s">
        <v>3688</v>
      </c>
      <c r="F5968" s="81">
        <v>703.0</v>
      </c>
      <c r="G5968" s="81" t="s">
        <v>42</v>
      </c>
      <c r="H5968" s="81" t="s">
        <v>6405</v>
      </c>
      <c r="I5968" s="81" t="s">
        <v>224</v>
      </c>
      <c r="J5968" s="81" t="s">
        <v>6367</v>
      </c>
    </row>
    <row r="5969" hidden="1">
      <c r="A5969" s="83" t="s">
        <v>6359</v>
      </c>
      <c r="B5969" s="83" t="s">
        <v>6360</v>
      </c>
      <c r="C5969" s="81" t="s">
        <v>6333</v>
      </c>
      <c r="D5969" s="83" t="s">
        <v>4770</v>
      </c>
      <c r="E5969" s="81" t="s">
        <v>3697</v>
      </c>
      <c r="F5969" s="81">
        <v>704.0</v>
      </c>
      <c r="G5969" s="81" t="s">
        <v>42</v>
      </c>
      <c r="H5969" s="81" t="s">
        <v>6405</v>
      </c>
      <c r="I5969" s="81" t="s">
        <v>224</v>
      </c>
      <c r="J5969" s="81" t="s">
        <v>6367</v>
      </c>
    </row>
    <row r="5970" hidden="1">
      <c r="A5970" s="83" t="s">
        <v>6359</v>
      </c>
      <c r="B5970" s="83" t="s">
        <v>6360</v>
      </c>
      <c r="C5970" s="81" t="s">
        <v>6333</v>
      </c>
      <c r="D5970" s="83" t="s">
        <v>4771</v>
      </c>
      <c r="E5970" s="81" t="s">
        <v>3698</v>
      </c>
      <c r="F5970" s="81">
        <v>705.0</v>
      </c>
      <c r="G5970" s="81" t="s">
        <v>42</v>
      </c>
      <c r="H5970" s="81" t="s">
        <v>6405</v>
      </c>
      <c r="I5970" s="81" t="s">
        <v>224</v>
      </c>
      <c r="J5970" s="81" t="s">
        <v>6367</v>
      </c>
    </row>
    <row r="5971" hidden="1">
      <c r="A5971" s="83" t="s">
        <v>6359</v>
      </c>
      <c r="B5971" s="83" t="s">
        <v>6360</v>
      </c>
      <c r="C5971" s="81" t="s">
        <v>6333</v>
      </c>
      <c r="D5971" s="83" t="s">
        <v>4772</v>
      </c>
      <c r="E5971" s="81" t="s">
        <v>3701</v>
      </c>
      <c r="F5971" s="81">
        <v>706.0</v>
      </c>
      <c r="G5971" s="81" t="s">
        <v>42</v>
      </c>
      <c r="H5971" s="81" t="s">
        <v>6405</v>
      </c>
      <c r="I5971" s="81" t="s">
        <v>224</v>
      </c>
      <c r="J5971" s="81" t="s">
        <v>6367</v>
      </c>
    </row>
    <row r="5972" hidden="1">
      <c r="A5972" s="83" t="s">
        <v>6359</v>
      </c>
      <c r="B5972" s="83" t="s">
        <v>6360</v>
      </c>
      <c r="C5972" s="81" t="s">
        <v>6333</v>
      </c>
      <c r="D5972" s="83" t="s">
        <v>4773</v>
      </c>
      <c r="E5972" s="81" t="s">
        <v>3704</v>
      </c>
      <c r="F5972" s="81">
        <v>707.0</v>
      </c>
      <c r="G5972" s="81" t="s">
        <v>42</v>
      </c>
      <c r="H5972" s="81" t="s">
        <v>6405</v>
      </c>
      <c r="I5972" s="81" t="s">
        <v>224</v>
      </c>
      <c r="J5972" s="81" t="s">
        <v>6367</v>
      </c>
    </row>
    <row r="5973" hidden="1">
      <c r="A5973" s="83" t="s">
        <v>6359</v>
      </c>
      <c r="B5973" s="83" t="s">
        <v>6360</v>
      </c>
      <c r="C5973" s="81" t="s">
        <v>6333</v>
      </c>
      <c r="D5973" s="83" t="s">
        <v>4774</v>
      </c>
      <c r="E5973" s="81" t="s">
        <v>3707</v>
      </c>
      <c r="F5973" s="81">
        <v>708.0</v>
      </c>
      <c r="G5973" s="81" t="s">
        <v>42</v>
      </c>
      <c r="H5973" s="81" t="s">
        <v>6405</v>
      </c>
      <c r="I5973" s="81" t="s">
        <v>224</v>
      </c>
      <c r="J5973" s="81" t="s">
        <v>6367</v>
      </c>
    </row>
    <row r="5974" hidden="1">
      <c r="A5974" s="83" t="s">
        <v>6359</v>
      </c>
      <c r="B5974" s="83" t="s">
        <v>6360</v>
      </c>
      <c r="C5974" s="81" t="s">
        <v>6333</v>
      </c>
      <c r="D5974" s="83" t="s">
        <v>4775</v>
      </c>
      <c r="E5974" s="81" t="s">
        <v>3710</v>
      </c>
      <c r="F5974" s="81">
        <v>709.0</v>
      </c>
      <c r="G5974" s="81" t="s">
        <v>42</v>
      </c>
      <c r="H5974" s="81" t="s">
        <v>6405</v>
      </c>
      <c r="I5974" s="81" t="s">
        <v>224</v>
      </c>
      <c r="J5974" s="81" t="s">
        <v>6367</v>
      </c>
    </row>
    <row r="5975" hidden="1">
      <c r="A5975" s="83" t="s">
        <v>6359</v>
      </c>
      <c r="B5975" s="83" t="s">
        <v>6360</v>
      </c>
      <c r="C5975" s="81" t="s">
        <v>6333</v>
      </c>
      <c r="D5975" s="83" t="s">
        <v>4776</v>
      </c>
      <c r="E5975" s="81" t="s">
        <v>3713</v>
      </c>
      <c r="F5975" s="81">
        <v>710.0</v>
      </c>
      <c r="G5975" s="81" t="s">
        <v>42</v>
      </c>
      <c r="H5975" s="81" t="s">
        <v>6405</v>
      </c>
      <c r="I5975" s="81" t="s">
        <v>224</v>
      </c>
      <c r="J5975" s="81" t="s">
        <v>6367</v>
      </c>
    </row>
    <row r="5976" hidden="1">
      <c r="A5976" s="83" t="s">
        <v>6359</v>
      </c>
      <c r="B5976" s="83" t="s">
        <v>6360</v>
      </c>
      <c r="C5976" s="81" t="s">
        <v>6333</v>
      </c>
      <c r="D5976" s="83" t="s">
        <v>4777</v>
      </c>
      <c r="E5976" s="81" t="s">
        <v>3716</v>
      </c>
      <c r="F5976" s="81">
        <v>711.0</v>
      </c>
      <c r="G5976" s="81" t="s">
        <v>42</v>
      </c>
      <c r="H5976" s="81" t="s">
        <v>3726</v>
      </c>
      <c r="I5976" s="81" t="s">
        <v>224</v>
      </c>
      <c r="J5976" s="81" t="s">
        <v>6367</v>
      </c>
    </row>
    <row r="5977" hidden="1">
      <c r="A5977" s="83" t="s">
        <v>6359</v>
      </c>
      <c r="B5977" s="83" t="s">
        <v>6360</v>
      </c>
      <c r="C5977" s="81" t="s">
        <v>6333</v>
      </c>
      <c r="D5977" s="83" t="s">
        <v>4779</v>
      </c>
      <c r="E5977" s="81" t="s">
        <v>3735</v>
      </c>
      <c r="F5977" s="81">
        <v>714.0</v>
      </c>
      <c r="G5977" s="81" t="s">
        <v>42</v>
      </c>
      <c r="H5977" s="81" t="s">
        <v>3742</v>
      </c>
      <c r="I5977" s="81" t="s">
        <v>224</v>
      </c>
      <c r="J5977" s="81" t="s">
        <v>6367</v>
      </c>
    </row>
    <row r="5978" hidden="1">
      <c r="A5978" s="83" t="s">
        <v>6359</v>
      </c>
      <c r="B5978" s="83" t="s">
        <v>6360</v>
      </c>
      <c r="C5978" s="81" t="s">
        <v>6333</v>
      </c>
      <c r="D5978" s="83" t="s">
        <v>4781</v>
      </c>
      <c r="E5978" s="81" t="s">
        <v>3751</v>
      </c>
      <c r="F5978" s="81">
        <v>717.0</v>
      </c>
      <c r="G5978" s="81" t="s">
        <v>42</v>
      </c>
      <c r="H5978" s="81" t="s">
        <v>3757</v>
      </c>
      <c r="I5978" s="81" t="s">
        <v>224</v>
      </c>
      <c r="J5978" s="81" t="s">
        <v>6367</v>
      </c>
    </row>
    <row r="5979" hidden="1">
      <c r="A5979" s="83" t="s">
        <v>6359</v>
      </c>
      <c r="B5979" s="83" t="s">
        <v>6360</v>
      </c>
      <c r="C5979" s="81" t="s">
        <v>4621</v>
      </c>
      <c r="D5979" s="83" t="s">
        <v>4783</v>
      </c>
      <c r="E5979" s="81" t="s">
        <v>3766</v>
      </c>
      <c r="F5979" s="81">
        <v>720.0</v>
      </c>
      <c r="G5979" s="81" t="s">
        <v>42</v>
      </c>
      <c r="H5979" s="81" t="s">
        <v>6406</v>
      </c>
      <c r="I5979" s="81" t="s">
        <v>3773</v>
      </c>
      <c r="J5979" s="81" t="s">
        <v>224</v>
      </c>
    </row>
    <row r="5980" hidden="1">
      <c r="A5980" s="83" t="s">
        <v>6359</v>
      </c>
      <c r="B5980" s="83" t="s">
        <v>6360</v>
      </c>
      <c r="C5980" s="81" t="s">
        <v>6333</v>
      </c>
      <c r="D5980" s="83" t="s">
        <v>4788</v>
      </c>
      <c r="E5980" s="81" t="s">
        <v>3794</v>
      </c>
      <c r="F5980" s="81">
        <v>725.0</v>
      </c>
      <c r="G5980" s="81" t="s">
        <v>42</v>
      </c>
      <c r="H5980" s="81" t="s">
        <v>2452</v>
      </c>
      <c r="I5980" s="81" t="s">
        <v>224</v>
      </c>
      <c r="J5980" s="81" t="s">
        <v>6367</v>
      </c>
    </row>
    <row r="5981" hidden="1">
      <c r="A5981" s="83" t="s">
        <v>6359</v>
      </c>
      <c r="B5981" s="83" t="s">
        <v>6360</v>
      </c>
      <c r="C5981" s="81" t="s">
        <v>4621</v>
      </c>
      <c r="D5981" s="83" t="s">
        <v>4792</v>
      </c>
      <c r="E5981" s="81" t="s">
        <v>3815</v>
      </c>
      <c r="F5981" s="81">
        <v>728.0</v>
      </c>
      <c r="G5981" s="81" t="s">
        <v>42</v>
      </c>
      <c r="H5981" s="81" t="s">
        <v>6407</v>
      </c>
      <c r="I5981" s="81" t="s">
        <v>3818</v>
      </c>
      <c r="J5981" s="81" t="s">
        <v>224</v>
      </c>
    </row>
    <row r="5982" hidden="1">
      <c r="A5982" s="83" t="s">
        <v>6359</v>
      </c>
      <c r="B5982" s="83" t="s">
        <v>6360</v>
      </c>
      <c r="C5982" s="81" t="s">
        <v>4621</v>
      </c>
      <c r="D5982" s="83" t="s">
        <v>4793</v>
      </c>
      <c r="E5982" s="81" t="s">
        <v>3821</v>
      </c>
      <c r="F5982" s="81">
        <v>729.0</v>
      </c>
      <c r="G5982" s="81" t="s">
        <v>42</v>
      </c>
      <c r="H5982" s="81" t="s">
        <v>6407</v>
      </c>
      <c r="I5982" s="81" t="s">
        <v>3818</v>
      </c>
      <c r="J5982" s="81" t="s">
        <v>224</v>
      </c>
    </row>
    <row r="5983" hidden="1">
      <c r="A5983" s="83" t="s">
        <v>6359</v>
      </c>
      <c r="B5983" s="83" t="s">
        <v>6360</v>
      </c>
      <c r="C5983" s="81" t="s">
        <v>4621</v>
      </c>
      <c r="D5983" s="83" t="s">
        <v>4810</v>
      </c>
      <c r="E5983" s="81" t="s">
        <v>3871</v>
      </c>
      <c r="F5983" s="81">
        <v>751.0</v>
      </c>
      <c r="G5983" s="81" t="s">
        <v>42</v>
      </c>
      <c r="H5983" s="81" t="s">
        <v>3325</v>
      </c>
      <c r="I5983" s="81" t="s">
        <v>6401</v>
      </c>
      <c r="J5983" s="81" t="s">
        <v>224</v>
      </c>
    </row>
    <row r="5984" hidden="1">
      <c r="A5984" s="83" t="s">
        <v>6359</v>
      </c>
      <c r="B5984" s="83" t="s">
        <v>6360</v>
      </c>
      <c r="C5984" s="81" t="s">
        <v>6333</v>
      </c>
      <c r="D5984" s="83" t="s">
        <v>4811</v>
      </c>
      <c r="E5984" s="81" t="s">
        <v>3874</v>
      </c>
      <c r="F5984" s="81">
        <v>752.0</v>
      </c>
      <c r="G5984" s="81" t="s">
        <v>42</v>
      </c>
      <c r="H5984" s="81" t="s">
        <v>3809</v>
      </c>
      <c r="I5984" s="81" t="s">
        <v>224</v>
      </c>
      <c r="J5984" s="81" t="s">
        <v>6367</v>
      </c>
    </row>
    <row r="5985" hidden="1">
      <c r="A5985" s="83" t="s">
        <v>6359</v>
      </c>
      <c r="B5985" s="83" t="s">
        <v>6360</v>
      </c>
      <c r="C5985" s="81" t="s">
        <v>6333</v>
      </c>
      <c r="D5985" s="83" t="s">
        <v>4813</v>
      </c>
      <c r="E5985" s="81" t="s">
        <v>3877</v>
      </c>
      <c r="F5985" s="81">
        <v>753.0</v>
      </c>
      <c r="G5985" s="81" t="s">
        <v>42</v>
      </c>
      <c r="H5985" s="81" t="s">
        <v>3809</v>
      </c>
      <c r="I5985" s="81" t="s">
        <v>224</v>
      </c>
      <c r="J5985" s="81" t="s">
        <v>6367</v>
      </c>
    </row>
    <row r="5986" hidden="1">
      <c r="A5986" s="83" t="s">
        <v>6359</v>
      </c>
      <c r="B5986" s="83" t="s">
        <v>6360</v>
      </c>
      <c r="C5986" s="81" t="s">
        <v>4621</v>
      </c>
      <c r="D5986" s="83" t="s">
        <v>4814</v>
      </c>
      <c r="E5986" s="81" t="s">
        <v>3879</v>
      </c>
      <c r="F5986" s="81">
        <v>754.0</v>
      </c>
      <c r="G5986" s="81" t="s">
        <v>42</v>
      </c>
      <c r="H5986" s="81" t="s">
        <v>3891</v>
      </c>
      <c r="I5986" s="81" t="s">
        <v>3088</v>
      </c>
      <c r="J5986" s="81" t="s">
        <v>224</v>
      </c>
    </row>
    <row r="5987" hidden="1">
      <c r="A5987" s="83" t="s">
        <v>6359</v>
      </c>
      <c r="B5987" s="83" t="s">
        <v>6360</v>
      </c>
      <c r="C5987" s="81" t="s">
        <v>4621</v>
      </c>
      <c r="D5987" s="83" t="s">
        <v>4815</v>
      </c>
      <c r="E5987" s="81" t="s">
        <v>3882</v>
      </c>
      <c r="F5987" s="81">
        <v>755.0</v>
      </c>
      <c r="G5987" s="81" t="s">
        <v>42</v>
      </c>
      <c r="H5987" s="81" t="s">
        <v>3891</v>
      </c>
      <c r="I5987" s="81" t="s">
        <v>3088</v>
      </c>
      <c r="J5987" s="81" t="s">
        <v>224</v>
      </c>
    </row>
    <row r="5988" hidden="1">
      <c r="A5988" s="83" t="s">
        <v>6359</v>
      </c>
      <c r="B5988" s="83" t="s">
        <v>6360</v>
      </c>
      <c r="C5988" s="81" t="s">
        <v>4621</v>
      </c>
      <c r="D5988" s="83" t="s">
        <v>4816</v>
      </c>
      <c r="E5988" s="81" t="s">
        <v>3885</v>
      </c>
      <c r="F5988" s="81">
        <v>756.0</v>
      </c>
      <c r="G5988" s="81" t="s">
        <v>42</v>
      </c>
      <c r="H5988" s="81" t="s">
        <v>3891</v>
      </c>
      <c r="I5988" s="81" t="s">
        <v>3088</v>
      </c>
      <c r="J5988" s="81" t="s">
        <v>224</v>
      </c>
    </row>
    <row r="5989" hidden="1">
      <c r="A5989" s="83" t="s">
        <v>6359</v>
      </c>
      <c r="B5989" s="83" t="s">
        <v>6360</v>
      </c>
      <c r="C5989" s="81" t="s">
        <v>4621</v>
      </c>
      <c r="D5989" s="83" t="s">
        <v>4816</v>
      </c>
      <c r="E5989" s="81" t="s">
        <v>3895</v>
      </c>
      <c r="F5989" s="81">
        <v>757.0</v>
      </c>
      <c r="G5989" s="81" t="s">
        <v>42</v>
      </c>
      <c r="H5989" s="81" t="s">
        <v>3891</v>
      </c>
      <c r="I5989" s="81" t="s">
        <v>3088</v>
      </c>
      <c r="J5989" s="81" t="s">
        <v>224</v>
      </c>
    </row>
    <row r="5990" hidden="1">
      <c r="A5990" s="83" t="s">
        <v>6359</v>
      </c>
      <c r="B5990" s="83" t="s">
        <v>6360</v>
      </c>
      <c r="C5990" s="81" t="s">
        <v>4621</v>
      </c>
      <c r="D5990" s="83" t="s">
        <v>4818</v>
      </c>
      <c r="E5990" s="81" t="s">
        <v>3896</v>
      </c>
      <c r="F5990" s="81">
        <v>758.0</v>
      </c>
      <c r="G5990" s="81" t="s">
        <v>42</v>
      </c>
      <c r="H5990" s="81" t="s">
        <v>3891</v>
      </c>
      <c r="I5990" s="81" t="s">
        <v>3088</v>
      </c>
      <c r="J5990" s="81" t="s">
        <v>224</v>
      </c>
    </row>
    <row r="5991" hidden="1">
      <c r="A5991" s="83" t="s">
        <v>6359</v>
      </c>
      <c r="B5991" s="83" t="s">
        <v>6360</v>
      </c>
      <c r="C5991" s="81" t="s">
        <v>6333</v>
      </c>
      <c r="D5991" s="83" t="s">
        <v>4776</v>
      </c>
      <c r="E5991" s="81" t="s">
        <v>3899</v>
      </c>
      <c r="F5991" s="81">
        <v>759.0</v>
      </c>
      <c r="G5991" s="81" t="s">
        <v>42</v>
      </c>
      <c r="H5991" s="81" t="s">
        <v>6405</v>
      </c>
      <c r="I5991" s="81" t="s">
        <v>224</v>
      </c>
      <c r="J5991" s="81" t="s">
        <v>6367</v>
      </c>
    </row>
    <row r="5992" hidden="1">
      <c r="A5992" s="83" t="s">
        <v>6359</v>
      </c>
      <c r="B5992" s="83" t="s">
        <v>6360</v>
      </c>
      <c r="C5992" s="81" t="s">
        <v>6333</v>
      </c>
      <c r="D5992" s="83" t="s">
        <v>4819</v>
      </c>
      <c r="E5992" s="81" t="s">
        <v>3900</v>
      </c>
      <c r="F5992" s="81">
        <v>760.0</v>
      </c>
      <c r="G5992" s="81" t="s">
        <v>42</v>
      </c>
      <c r="H5992" s="81" t="s">
        <v>6405</v>
      </c>
      <c r="I5992" s="81" t="s">
        <v>224</v>
      </c>
      <c r="J5992" s="81" t="s">
        <v>6367</v>
      </c>
    </row>
    <row r="5993" hidden="1">
      <c r="A5993" s="83" t="s">
        <v>6359</v>
      </c>
      <c r="B5993" s="83" t="s">
        <v>6360</v>
      </c>
      <c r="C5993" s="81" t="s">
        <v>6333</v>
      </c>
      <c r="D5993" s="83" t="s">
        <v>4820</v>
      </c>
      <c r="E5993" s="81" t="s">
        <v>3903</v>
      </c>
      <c r="F5993" s="81">
        <v>761.0</v>
      </c>
      <c r="G5993" s="81" t="s">
        <v>42</v>
      </c>
      <c r="H5993" s="81" t="s">
        <v>6405</v>
      </c>
      <c r="I5993" s="81" t="s">
        <v>224</v>
      </c>
      <c r="J5993" s="81" t="s">
        <v>6367</v>
      </c>
    </row>
    <row r="5994" hidden="1">
      <c r="A5994" s="83" t="s">
        <v>6359</v>
      </c>
      <c r="B5994" s="83" t="s">
        <v>6360</v>
      </c>
      <c r="C5994" s="81" t="s">
        <v>6333</v>
      </c>
      <c r="D5994" s="83" t="s">
        <v>4821</v>
      </c>
      <c r="E5994" s="81" t="s">
        <v>3906</v>
      </c>
      <c r="F5994" s="81">
        <v>762.0</v>
      </c>
      <c r="G5994" s="81" t="s">
        <v>42</v>
      </c>
      <c r="H5994" s="81" t="s">
        <v>6405</v>
      </c>
      <c r="I5994" s="81" t="s">
        <v>224</v>
      </c>
      <c r="J5994" s="81" t="s">
        <v>6367</v>
      </c>
    </row>
    <row r="5995" hidden="1">
      <c r="A5995" s="83" t="s">
        <v>6359</v>
      </c>
      <c r="B5995" s="83" t="s">
        <v>6360</v>
      </c>
      <c r="C5995" s="81" t="s">
        <v>6333</v>
      </c>
      <c r="D5995" s="83" t="s">
        <v>4822</v>
      </c>
      <c r="E5995" s="81" t="s">
        <v>3909</v>
      </c>
      <c r="F5995" s="81">
        <v>763.0</v>
      </c>
      <c r="G5995" s="81" t="s">
        <v>42</v>
      </c>
      <c r="H5995" s="81" t="s">
        <v>6405</v>
      </c>
      <c r="I5995" s="81" t="s">
        <v>224</v>
      </c>
      <c r="J5995" s="81" t="s">
        <v>6367</v>
      </c>
    </row>
    <row r="5996" hidden="1">
      <c r="A5996" s="83" t="s">
        <v>6359</v>
      </c>
      <c r="B5996" s="83" t="s">
        <v>6360</v>
      </c>
      <c r="C5996" s="81" t="s">
        <v>6333</v>
      </c>
      <c r="D5996" s="83" t="s">
        <v>4822</v>
      </c>
      <c r="E5996" s="81" t="s">
        <v>3916</v>
      </c>
      <c r="F5996" s="81">
        <v>764.0</v>
      </c>
      <c r="G5996" s="81" t="s">
        <v>42</v>
      </c>
      <c r="H5996" s="81" t="s">
        <v>6405</v>
      </c>
      <c r="I5996" s="81" t="s">
        <v>224</v>
      </c>
      <c r="J5996" s="81" t="s">
        <v>6367</v>
      </c>
    </row>
    <row r="5997" hidden="1">
      <c r="A5997" s="83" t="s">
        <v>6359</v>
      </c>
      <c r="B5997" s="83" t="s">
        <v>6360</v>
      </c>
      <c r="C5997" s="81" t="s">
        <v>6333</v>
      </c>
      <c r="D5997" s="83" t="s">
        <v>4823</v>
      </c>
      <c r="E5997" s="81" t="s">
        <v>3917</v>
      </c>
      <c r="F5997" s="81">
        <v>765.0</v>
      </c>
      <c r="G5997" s="81" t="s">
        <v>42</v>
      </c>
      <c r="H5997" s="81" t="s">
        <v>6405</v>
      </c>
      <c r="I5997" s="81" t="s">
        <v>224</v>
      </c>
      <c r="J5997" s="81" t="s">
        <v>6367</v>
      </c>
    </row>
    <row r="5998" hidden="1">
      <c r="A5998" s="83" t="s">
        <v>6359</v>
      </c>
      <c r="B5998" s="83" t="s">
        <v>6360</v>
      </c>
      <c r="C5998" s="81" t="s">
        <v>6333</v>
      </c>
      <c r="D5998" s="83" t="s">
        <v>4824</v>
      </c>
      <c r="E5998" s="81" t="s">
        <v>3920</v>
      </c>
      <c r="F5998" s="81">
        <v>766.0</v>
      </c>
      <c r="G5998" s="81" t="s">
        <v>42</v>
      </c>
      <c r="H5998" s="81" t="s">
        <v>6405</v>
      </c>
      <c r="I5998" s="81" t="s">
        <v>224</v>
      </c>
      <c r="J5998" s="81" t="s">
        <v>6367</v>
      </c>
    </row>
    <row r="5999" hidden="1">
      <c r="A5999" s="83" t="s">
        <v>6359</v>
      </c>
      <c r="B5999" s="83" t="s">
        <v>6360</v>
      </c>
      <c r="C5999" s="81" t="s">
        <v>6333</v>
      </c>
      <c r="D5999" s="83" t="s">
        <v>4825</v>
      </c>
      <c r="E5999" s="81" t="s">
        <v>3923</v>
      </c>
      <c r="F5999" s="81">
        <v>767.0</v>
      </c>
      <c r="G5999" s="81" t="s">
        <v>42</v>
      </c>
      <c r="H5999" s="81" t="s">
        <v>6405</v>
      </c>
      <c r="I5999" s="81" t="s">
        <v>224</v>
      </c>
      <c r="J5999" s="81" t="s">
        <v>6367</v>
      </c>
    </row>
    <row r="6000" hidden="1">
      <c r="A6000" s="83" t="s">
        <v>6359</v>
      </c>
      <c r="B6000" s="83" t="s">
        <v>6360</v>
      </c>
      <c r="C6000" s="81" t="s">
        <v>6333</v>
      </c>
      <c r="D6000" s="83" t="s">
        <v>4826</v>
      </c>
      <c r="E6000" s="81" t="s">
        <v>3926</v>
      </c>
      <c r="F6000" s="81">
        <v>768.0</v>
      </c>
      <c r="G6000" s="81" t="s">
        <v>42</v>
      </c>
      <c r="H6000" s="81" t="s">
        <v>6405</v>
      </c>
      <c r="I6000" s="81" t="s">
        <v>224</v>
      </c>
      <c r="J6000" s="81" t="s">
        <v>6367</v>
      </c>
    </row>
    <row r="6001" hidden="1">
      <c r="A6001" s="83" t="s">
        <v>6359</v>
      </c>
      <c r="B6001" s="83" t="s">
        <v>6360</v>
      </c>
      <c r="C6001" s="81" t="s">
        <v>6333</v>
      </c>
      <c r="D6001" s="83" t="s">
        <v>4827</v>
      </c>
      <c r="E6001" s="81" t="s">
        <v>3929</v>
      </c>
      <c r="F6001" s="81">
        <v>769.0</v>
      </c>
      <c r="G6001" s="81" t="s">
        <v>42</v>
      </c>
      <c r="H6001" s="81" t="s">
        <v>6405</v>
      </c>
      <c r="I6001" s="81" t="s">
        <v>224</v>
      </c>
      <c r="J6001" s="81" t="s">
        <v>6367</v>
      </c>
    </row>
    <row r="6002" hidden="1">
      <c r="A6002" s="83" t="s">
        <v>6359</v>
      </c>
      <c r="B6002" s="83" t="s">
        <v>6360</v>
      </c>
      <c r="C6002" s="81" t="s">
        <v>6333</v>
      </c>
      <c r="D6002" s="83" t="s">
        <v>4828</v>
      </c>
      <c r="E6002" s="81" t="s">
        <v>3932</v>
      </c>
      <c r="F6002" s="81">
        <v>770.0</v>
      </c>
      <c r="G6002" s="81" t="s">
        <v>42</v>
      </c>
      <c r="H6002" s="81" t="s">
        <v>6405</v>
      </c>
      <c r="I6002" s="81" t="s">
        <v>224</v>
      </c>
      <c r="J6002" s="81" t="s">
        <v>6367</v>
      </c>
    </row>
    <row r="6003" hidden="1">
      <c r="A6003" s="83" t="s">
        <v>6359</v>
      </c>
      <c r="B6003" s="83" t="s">
        <v>6360</v>
      </c>
      <c r="C6003" s="81" t="s">
        <v>6333</v>
      </c>
      <c r="D6003" s="83" t="s">
        <v>4828</v>
      </c>
      <c r="E6003" s="81" t="s">
        <v>3935</v>
      </c>
      <c r="F6003" s="81">
        <v>771.0</v>
      </c>
      <c r="G6003" s="81" t="s">
        <v>42</v>
      </c>
      <c r="H6003" s="81" t="s">
        <v>6405</v>
      </c>
      <c r="I6003" s="81" t="s">
        <v>224</v>
      </c>
      <c r="J6003" s="81" t="s">
        <v>6367</v>
      </c>
    </row>
    <row r="6004" hidden="1">
      <c r="A6004" s="83" t="s">
        <v>6359</v>
      </c>
      <c r="B6004" s="83" t="s">
        <v>6360</v>
      </c>
      <c r="C6004" s="81" t="s">
        <v>6333</v>
      </c>
      <c r="D6004" s="83" t="s">
        <v>4829</v>
      </c>
      <c r="E6004" s="81" t="s">
        <v>3936</v>
      </c>
      <c r="F6004" s="81">
        <v>772.0</v>
      </c>
      <c r="G6004" s="81" t="s">
        <v>42</v>
      </c>
      <c r="H6004" s="81" t="s">
        <v>6405</v>
      </c>
      <c r="I6004" s="81" t="s">
        <v>224</v>
      </c>
      <c r="J6004" s="81" t="s">
        <v>6367</v>
      </c>
    </row>
    <row r="6005" hidden="1">
      <c r="A6005" s="83" t="s">
        <v>6359</v>
      </c>
      <c r="B6005" s="83" t="s">
        <v>6360</v>
      </c>
      <c r="C6005" s="81" t="s">
        <v>6333</v>
      </c>
      <c r="D6005" s="83" t="s">
        <v>4830</v>
      </c>
      <c r="E6005" s="81" t="s">
        <v>3939</v>
      </c>
      <c r="F6005" s="81">
        <v>773.0</v>
      </c>
      <c r="G6005" s="81" t="s">
        <v>42</v>
      </c>
      <c r="H6005" s="81" t="s">
        <v>6405</v>
      </c>
      <c r="I6005" s="81" t="s">
        <v>224</v>
      </c>
      <c r="J6005" s="81" t="s">
        <v>6367</v>
      </c>
    </row>
    <row r="6006" hidden="1">
      <c r="A6006" s="83" t="s">
        <v>6359</v>
      </c>
      <c r="B6006" s="83" t="s">
        <v>6360</v>
      </c>
      <c r="C6006" s="81" t="s">
        <v>6333</v>
      </c>
      <c r="D6006" s="83" t="s">
        <v>4831</v>
      </c>
      <c r="E6006" s="81" t="s">
        <v>3942</v>
      </c>
      <c r="F6006" s="81">
        <v>774.0</v>
      </c>
      <c r="G6006" s="81" t="s">
        <v>42</v>
      </c>
      <c r="H6006" s="81" t="s">
        <v>6405</v>
      </c>
      <c r="I6006" s="81" t="s">
        <v>224</v>
      </c>
      <c r="J6006" s="81" t="s">
        <v>6367</v>
      </c>
    </row>
    <row r="6007" hidden="1">
      <c r="A6007" s="83" t="s">
        <v>6359</v>
      </c>
      <c r="B6007" s="83" t="s">
        <v>6360</v>
      </c>
      <c r="C6007" s="81" t="s">
        <v>6333</v>
      </c>
      <c r="D6007" s="83" t="s">
        <v>4832</v>
      </c>
      <c r="E6007" s="81" t="s">
        <v>3945</v>
      </c>
      <c r="F6007" s="81">
        <v>775.0</v>
      </c>
      <c r="G6007" s="81" t="s">
        <v>42</v>
      </c>
      <c r="H6007" s="81" t="s">
        <v>6405</v>
      </c>
      <c r="I6007" s="81" t="s">
        <v>224</v>
      </c>
      <c r="J6007" s="81" t="s">
        <v>6367</v>
      </c>
    </row>
    <row r="6008" hidden="1">
      <c r="A6008" s="83" t="s">
        <v>6359</v>
      </c>
      <c r="B6008" s="83" t="s">
        <v>6360</v>
      </c>
      <c r="C6008" s="81" t="s">
        <v>6333</v>
      </c>
      <c r="D6008" s="83" t="s">
        <v>4832</v>
      </c>
      <c r="E6008" s="81" t="s">
        <v>3955</v>
      </c>
      <c r="F6008" s="81">
        <v>776.0</v>
      </c>
      <c r="G6008" s="81" t="s">
        <v>42</v>
      </c>
      <c r="H6008" s="81" t="s">
        <v>6405</v>
      </c>
      <c r="I6008" s="81" t="s">
        <v>224</v>
      </c>
      <c r="J6008" s="81" t="s">
        <v>6367</v>
      </c>
    </row>
    <row r="6009" hidden="1">
      <c r="A6009" s="83" t="s">
        <v>6359</v>
      </c>
      <c r="B6009" s="83" t="s">
        <v>6360</v>
      </c>
      <c r="C6009" s="81" t="s">
        <v>6333</v>
      </c>
      <c r="D6009" s="83" t="s">
        <v>4833</v>
      </c>
      <c r="E6009" s="81" t="s">
        <v>3956</v>
      </c>
      <c r="F6009" s="81">
        <v>777.0</v>
      </c>
      <c r="G6009" s="81" t="s">
        <v>42</v>
      </c>
      <c r="H6009" s="81" t="s">
        <v>6405</v>
      </c>
      <c r="I6009" s="81" t="s">
        <v>224</v>
      </c>
      <c r="J6009" s="81" t="s">
        <v>6367</v>
      </c>
    </row>
    <row r="6010" hidden="1">
      <c r="A6010" s="83" t="s">
        <v>6359</v>
      </c>
      <c r="B6010" s="83" t="s">
        <v>6360</v>
      </c>
      <c r="C6010" s="81" t="s">
        <v>6333</v>
      </c>
      <c r="D6010" s="83" t="s">
        <v>4834</v>
      </c>
      <c r="E6010" s="81" t="s">
        <v>3959</v>
      </c>
      <c r="F6010" s="81">
        <v>778.0</v>
      </c>
      <c r="G6010" s="81" t="s">
        <v>42</v>
      </c>
      <c r="H6010" s="81" t="s">
        <v>6405</v>
      </c>
      <c r="I6010" s="81" t="s">
        <v>224</v>
      </c>
      <c r="J6010" s="81" t="s">
        <v>6367</v>
      </c>
    </row>
    <row r="6011" hidden="1">
      <c r="A6011" s="83" t="s">
        <v>6359</v>
      </c>
      <c r="B6011" s="83" t="s">
        <v>6360</v>
      </c>
      <c r="C6011" s="81" t="s">
        <v>6333</v>
      </c>
      <c r="D6011" s="83" t="s">
        <v>4835</v>
      </c>
      <c r="E6011" s="81" t="s">
        <v>3962</v>
      </c>
      <c r="F6011" s="81">
        <v>779.0</v>
      </c>
      <c r="G6011" s="81" t="s">
        <v>42</v>
      </c>
      <c r="H6011" s="81" t="s">
        <v>6405</v>
      </c>
      <c r="I6011" s="81" t="s">
        <v>224</v>
      </c>
      <c r="J6011" s="81" t="s">
        <v>6367</v>
      </c>
    </row>
    <row r="6012" hidden="1">
      <c r="A6012" s="83" t="s">
        <v>6359</v>
      </c>
      <c r="B6012" s="83" t="s">
        <v>6360</v>
      </c>
      <c r="C6012" s="81" t="s">
        <v>6333</v>
      </c>
      <c r="D6012" s="83" t="s">
        <v>4836</v>
      </c>
      <c r="E6012" s="81" t="s">
        <v>3965</v>
      </c>
      <c r="F6012" s="81">
        <v>780.0</v>
      </c>
      <c r="G6012" s="81" t="s">
        <v>42</v>
      </c>
      <c r="H6012" s="81" t="s">
        <v>6405</v>
      </c>
      <c r="I6012" s="81" t="s">
        <v>224</v>
      </c>
      <c r="J6012" s="81" t="s">
        <v>6367</v>
      </c>
    </row>
    <row r="6013" hidden="1">
      <c r="A6013" s="83" t="s">
        <v>6359</v>
      </c>
      <c r="B6013" s="83" t="s">
        <v>6360</v>
      </c>
      <c r="C6013" s="81" t="s">
        <v>6333</v>
      </c>
      <c r="D6013" s="83" t="s">
        <v>4837</v>
      </c>
      <c r="E6013" s="81" t="s">
        <v>3968</v>
      </c>
      <c r="F6013" s="81">
        <v>781.0</v>
      </c>
      <c r="G6013" s="81" t="s">
        <v>42</v>
      </c>
      <c r="H6013" s="81" t="s">
        <v>6405</v>
      </c>
      <c r="I6013" s="81" t="s">
        <v>224</v>
      </c>
      <c r="J6013" s="81" t="s">
        <v>6367</v>
      </c>
    </row>
    <row r="6014" hidden="1">
      <c r="A6014" s="83" t="s">
        <v>6359</v>
      </c>
      <c r="B6014" s="83" t="s">
        <v>6360</v>
      </c>
      <c r="C6014" s="81" t="s">
        <v>6333</v>
      </c>
      <c r="D6014" s="83" t="s">
        <v>4838</v>
      </c>
      <c r="E6014" s="81" t="s">
        <v>3971</v>
      </c>
      <c r="F6014" s="81">
        <v>782.0</v>
      </c>
      <c r="G6014" s="81" t="s">
        <v>42</v>
      </c>
      <c r="H6014" s="81" t="s">
        <v>6405</v>
      </c>
      <c r="I6014" s="81" t="s">
        <v>224</v>
      </c>
      <c r="J6014" s="81" t="s">
        <v>6367</v>
      </c>
    </row>
    <row r="6015" hidden="1">
      <c r="A6015" s="83" t="s">
        <v>6359</v>
      </c>
      <c r="B6015" s="83" t="s">
        <v>6360</v>
      </c>
      <c r="C6015" s="81" t="s">
        <v>6333</v>
      </c>
      <c r="D6015" s="83" t="s">
        <v>4838</v>
      </c>
      <c r="E6015" s="81" t="s">
        <v>3981</v>
      </c>
      <c r="F6015" s="81">
        <v>783.0</v>
      </c>
      <c r="G6015" s="81" t="s">
        <v>42</v>
      </c>
      <c r="H6015" s="81" t="s">
        <v>6405</v>
      </c>
      <c r="I6015" s="81" t="s">
        <v>224</v>
      </c>
      <c r="J6015" s="81" t="s">
        <v>6367</v>
      </c>
    </row>
    <row r="6016" hidden="1">
      <c r="A6016" s="83" t="s">
        <v>6359</v>
      </c>
      <c r="B6016" s="83" t="s">
        <v>6360</v>
      </c>
      <c r="C6016" s="81" t="s">
        <v>6333</v>
      </c>
      <c r="D6016" s="83" t="s">
        <v>4839</v>
      </c>
      <c r="E6016" s="81" t="s">
        <v>3982</v>
      </c>
      <c r="F6016" s="81">
        <v>784.0</v>
      </c>
      <c r="G6016" s="81" t="s">
        <v>42</v>
      </c>
      <c r="H6016" s="81" t="s">
        <v>6405</v>
      </c>
      <c r="I6016" s="81" t="s">
        <v>224</v>
      </c>
      <c r="J6016" s="81" t="s">
        <v>6367</v>
      </c>
    </row>
    <row r="6017" hidden="1">
      <c r="A6017" s="83" t="s">
        <v>6359</v>
      </c>
      <c r="B6017" s="83" t="s">
        <v>6360</v>
      </c>
      <c r="C6017" s="81" t="s">
        <v>6333</v>
      </c>
      <c r="D6017" s="83" t="s">
        <v>4840</v>
      </c>
      <c r="E6017" s="81" t="s">
        <v>3985</v>
      </c>
      <c r="F6017" s="81">
        <v>785.0</v>
      </c>
      <c r="G6017" s="81" t="s">
        <v>42</v>
      </c>
      <c r="H6017" s="81" t="s">
        <v>6405</v>
      </c>
      <c r="I6017" s="81" t="s">
        <v>224</v>
      </c>
      <c r="J6017" s="81" t="s">
        <v>6367</v>
      </c>
    </row>
    <row r="6018" hidden="1">
      <c r="A6018" s="83" t="s">
        <v>6359</v>
      </c>
      <c r="B6018" s="83" t="s">
        <v>6360</v>
      </c>
      <c r="C6018" s="81" t="s">
        <v>6333</v>
      </c>
      <c r="D6018" s="83" t="s">
        <v>4841</v>
      </c>
      <c r="E6018" s="81" t="s">
        <v>3988</v>
      </c>
      <c r="F6018" s="81">
        <v>786.0</v>
      </c>
      <c r="G6018" s="81" t="s">
        <v>42</v>
      </c>
      <c r="H6018" s="81" t="s">
        <v>6405</v>
      </c>
      <c r="I6018" s="81" t="s">
        <v>224</v>
      </c>
      <c r="J6018" s="81" t="s">
        <v>6367</v>
      </c>
    </row>
    <row r="6019" hidden="1">
      <c r="A6019" s="83" t="s">
        <v>6359</v>
      </c>
      <c r="B6019" s="83" t="s">
        <v>6360</v>
      </c>
      <c r="C6019" s="81" t="s">
        <v>6333</v>
      </c>
      <c r="D6019" s="83" t="s">
        <v>4842</v>
      </c>
      <c r="E6019" s="81" t="s">
        <v>3991</v>
      </c>
      <c r="F6019" s="81">
        <v>787.0</v>
      </c>
      <c r="G6019" s="81" t="s">
        <v>42</v>
      </c>
      <c r="H6019" s="81" t="s">
        <v>6405</v>
      </c>
      <c r="I6019" s="81" t="s">
        <v>224</v>
      </c>
      <c r="J6019" s="81" t="s">
        <v>6367</v>
      </c>
    </row>
    <row r="6020" hidden="1">
      <c r="A6020" s="83" t="s">
        <v>6359</v>
      </c>
      <c r="B6020" s="83" t="s">
        <v>6360</v>
      </c>
      <c r="C6020" s="81" t="s">
        <v>6333</v>
      </c>
      <c r="D6020" s="83" t="s">
        <v>4843</v>
      </c>
      <c r="E6020" s="81" t="s">
        <v>3994</v>
      </c>
      <c r="F6020" s="81">
        <v>788.0</v>
      </c>
      <c r="G6020" s="81" t="s">
        <v>42</v>
      </c>
      <c r="H6020" s="81" t="s">
        <v>6405</v>
      </c>
      <c r="I6020" s="81" t="s">
        <v>224</v>
      </c>
      <c r="J6020" s="81" t="s">
        <v>6367</v>
      </c>
    </row>
    <row r="6021" hidden="1">
      <c r="A6021" s="83" t="s">
        <v>6359</v>
      </c>
      <c r="B6021" s="83" t="s">
        <v>6360</v>
      </c>
      <c r="C6021" s="81" t="s">
        <v>4082</v>
      </c>
      <c r="D6021" s="83" t="s">
        <v>4847</v>
      </c>
      <c r="E6021" s="81" t="s">
        <v>4005</v>
      </c>
      <c r="F6021" s="81">
        <v>794.0</v>
      </c>
      <c r="G6021" s="81" t="s">
        <v>39</v>
      </c>
      <c r="H6021" s="81" t="s">
        <v>224</v>
      </c>
      <c r="I6021" s="81" t="s">
        <v>224</v>
      </c>
      <c r="J6021" s="81" t="s">
        <v>6316</v>
      </c>
    </row>
    <row r="6022" hidden="1">
      <c r="A6022" s="83" t="s">
        <v>6359</v>
      </c>
      <c r="B6022" s="83" t="s">
        <v>6360</v>
      </c>
      <c r="C6022" s="81" t="s">
        <v>4084</v>
      </c>
      <c r="D6022" s="81" t="s">
        <v>224</v>
      </c>
      <c r="E6022" s="81" t="s">
        <v>224</v>
      </c>
      <c r="F6022" s="81" t="s">
        <v>224</v>
      </c>
      <c r="G6022" s="81" t="s">
        <v>40</v>
      </c>
      <c r="H6022" s="81" t="s">
        <v>224</v>
      </c>
      <c r="I6022" s="81" t="s">
        <v>224</v>
      </c>
      <c r="J6022" s="81" t="s">
        <v>6338</v>
      </c>
    </row>
    <row r="6023" hidden="1">
      <c r="A6023" s="83" t="s">
        <v>6359</v>
      </c>
      <c r="B6023" s="83" t="s">
        <v>6360</v>
      </c>
      <c r="C6023" s="81" t="s">
        <v>4084</v>
      </c>
      <c r="D6023" s="81" t="s">
        <v>224</v>
      </c>
      <c r="E6023" s="81" t="s">
        <v>224</v>
      </c>
      <c r="F6023" s="81" t="s">
        <v>224</v>
      </c>
      <c r="G6023" s="81" t="s">
        <v>41</v>
      </c>
      <c r="H6023" s="81" t="s">
        <v>224</v>
      </c>
      <c r="I6023" s="81" t="s">
        <v>224</v>
      </c>
      <c r="J6023" s="81" t="s">
        <v>6358</v>
      </c>
    </row>
    <row r="6024" hidden="1">
      <c r="A6024" s="83" t="s">
        <v>6408</v>
      </c>
      <c r="B6024" s="83" t="s">
        <v>6409</v>
      </c>
      <c r="C6024" s="81" t="s">
        <v>4080</v>
      </c>
      <c r="D6024" s="81" t="s">
        <v>224</v>
      </c>
      <c r="E6024" s="81" t="s">
        <v>224</v>
      </c>
      <c r="F6024" s="81" t="s">
        <v>224</v>
      </c>
      <c r="G6024" s="81" t="s">
        <v>224</v>
      </c>
      <c r="H6024" s="81" t="s">
        <v>224</v>
      </c>
      <c r="I6024" s="81" t="s">
        <v>224</v>
      </c>
      <c r="J6024" s="81" t="s">
        <v>6410</v>
      </c>
    </row>
    <row r="6025" hidden="1">
      <c r="A6025" s="83" t="s">
        <v>6408</v>
      </c>
      <c r="B6025" s="83" t="s">
        <v>6409</v>
      </c>
      <c r="C6025" s="81" t="s">
        <v>4082</v>
      </c>
      <c r="D6025" s="81" t="s">
        <v>224</v>
      </c>
      <c r="E6025" s="81" t="s">
        <v>6362</v>
      </c>
      <c r="F6025" s="81" t="s">
        <v>224</v>
      </c>
      <c r="G6025" s="81" t="s">
        <v>42</v>
      </c>
      <c r="H6025" s="81" t="s">
        <v>224</v>
      </c>
      <c r="I6025" s="81" t="s">
        <v>224</v>
      </c>
      <c r="J6025" s="81" t="s">
        <v>6363</v>
      </c>
    </row>
    <row r="6026" hidden="1">
      <c r="A6026" s="83" t="s">
        <v>6408</v>
      </c>
      <c r="B6026" s="83" t="s">
        <v>6409</v>
      </c>
      <c r="C6026" s="81" t="s">
        <v>4084</v>
      </c>
      <c r="D6026" s="81" t="s">
        <v>224</v>
      </c>
      <c r="E6026" s="81" t="s">
        <v>224</v>
      </c>
      <c r="F6026" s="81" t="s">
        <v>224</v>
      </c>
      <c r="G6026" s="81" t="s">
        <v>224</v>
      </c>
      <c r="H6026" s="81" t="s">
        <v>224</v>
      </c>
      <c r="I6026" s="81" t="s">
        <v>224</v>
      </c>
      <c r="J6026" s="81" t="s">
        <v>6364</v>
      </c>
    </row>
    <row r="6027" hidden="1">
      <c r="A6027" s="83" t="s">
        <v>6408</v>
      </c>
      <c r="B6027" s="83" t="s">
        <v>6409</v>
      </c>
      <c r="C6027" s="81" t="s">
        <v>4082</v>
      </c>
      <c r="D6027" s="81" t="s">
        <v>224</v>
      </c>
      <c r="E6027" s="81" t="s">
        <v>4953</v>
      </c>
      <c r="F6027" s="81" t="s">
        <v>224</v>
      </c>
      <c r="G6027" s="81" t="s">
        <v>224</v>
      </c>
      <c r="H6027" s="81" t="s">
        <v>224</v>
      </c>
      <c r="I6027" s="81" t="s">
        <v>224</v>
      </c>
      <c r="J6027" s="81" t="s">
        <v>4954</v>
      </c>
    </row>
    <row r="6028" hidden="1">
      <c r="A6028" s="83" t="s">
        <v>6408</v>
      </c>
      <c r="B6028" s="83" t="s">
        <v>6409</v>
      </c>
      <c r="C6028" s="81" t="s">
        <v>4082</v>
      </c>
      <c r="D6028" s="81" t="s">
        <v>224</v>
      </c>
      <c r="E6028" s="81" t="s">
        <v>4955</v>
      </c>
      <c r="F6028" s="81" t="s">
        <v>224</v>
      </c>
      <c r="G6028" s="81" t="s">
        <v>224</v>
      </c>
      <c r="H6028" s="81" t="s">
        <v>224</v>
      </c>
      <c r="I6028" s="81" t="s">
        <v>224</v>
      </c>
      <c r="J6028" s="81" t="s">
        <v>4954</v>
      </c>
    </row>
    <row r="6029" hidden="1">
      <c r="A6029" s="83" t="s">
        <v>6408</v>
      </c>
      <c r="B6029" s="83" t="s">
        <v>6409</v>
      </c>
      <c r="C6029" s="81" t="s">
        <v>4082</v>
      </c>
      <c r="D6029" s="81" t="s">
        <v>224</v>
      </c>
      <c r="E6029" s="81" t="s">
        <v>4009</v>
      </c>
      <c r="F6029" s="81" t="s">
        <v>224</v>
      </c>
      <c r="G6029" s="81" t="s">
        <v>224</v>
      </c>
      <c r="H6029" s="81" t="s">
        <v>224</v>
      </c>
      <c r="I6029" s="81" t="s">
        <v>224</v>
      </c>
      <c r="J6029" s="81" t="s">
        <v>4954</v>
      </c>
    </row>
    <row r="6030" hidden="1">
      <c r="A6030" s="83" t="s">
        <v>6408</v>
      </c>
      <c r="B6030" s="83" t="s">
        <v>6409</v>
      </c>
      <c r="C6030" s="81" t="s">
        <v>4082</v>
      </c>
      <c r="D6030" s="81" t="s">
        <v>224</v>
      </c>
      <c r="E6030" s="81" t="s">
        <v>4956</v>
      </c>
      <c r="F6030" s="81" t="s">
        <v>224</v>
      </c>
      <c r="G6030" s="81" t="s">
        <v>224</v>
      </c>
      <c r="H6030" s="81" t="s">
        <v>224</v>
      </c>
      <c r="I6030" s="81" t="s">
        <v>224</v>
      </c>
      <c r="J6030" s="81" t="s">
        <v>4957</v>
      </c>
    </row>
    <row r="6031" hidden="1">
      <c r="A6031" s="83" t="s">
        <v>6408</v>
      </c>
      <c r="B6031" s="83" t="s">
        <v>6409</v>
      </c>
      <c r="C6031" s="81" t="s">
        <v>4082</v>
      </c>
      <c r="D6031" s="81" t="s">
        <v>224</v>
      </c>
      <c r="E6031" s="81" t="s">
        <v>4958</v>
      </c>
      <c r="F6031" s="81" t="s">
        <v>224</v>
      </c>
      <c r="G6031" s="81" t="s">
        <v>224</v>
      </c>
      <c r="H6031" s="81" t="s">
        <v>224</v>
      </c>
      <c r="I6031" s="81" t="s">
        <v>224</v>
      </c>
      <c r="J6031" s="81" t="s">
        <v>4959</v>
      </c>
    </row>
    <row r="6032" hidden="1">
      <c r="A6032" s="83" t="s">
        <v>6408</v>
      </c>
      <c r="B6032" s="83" t="s">
        <v>6409</v>
      </c>
      <c r="C6032" s="81" t="s">
        <v>4082</v>
      </c>
      <c r="D6032" s="81" t="s">
        <v>224</v>
      </c>
      <c r="E6032" s="81" t="s">
        <v>4960</v>
      </c>
      <c r="F6032" s="81" t="s">
        <v>224</v>
      </c>
      <c r="G6032" s="81" t="s">
        <v>224</v>
      </c>
      <c r="H6032" s="81" t="s">
        <v>224</v>
      </c>
      <c r="I6032" s="81" t="s">
        <v>224</v>
      </c>
      <c r="J6032" s="81" t="s">
        <v>4961</v>
      </c>
    </row>
    <row r="6033" hidden="1">
      <c r="A6033" s="83" t="s">
        <v>6408</v>
      </c>
      <c r="B6033" s="83" t="s">
        <v>6409</v>
      </c>
      <c r="C6033" s="81" t="s">
        <v>4082</v>
      </c>
      <c r="D6033" s="81" t="s">
        <v>224</v>
      </c>
      <c r="E6033" s="81" t="s">
        <v>4962</v>
      </c>
      <c r="F6033" s="81" t="s">
        <v>224</v>
      </c>
      <c r="G6033" s="81" t="s">
        <v>224</v>
      </c>
      <c r="H6033" s="81" t="s">
        <v>224</v>
      </c>
      <c r="I6033" s="81" t="s">
        <v>224</v>
      </c>
      <c r="J6033" s="81" t="s">
        <v>4963</v>
      </c>
    </row>
    <row r="6034" hidden="1">
      <c r="A6034" s="83" t="s">
        <v>6408</v>
      </c>
      <c r="B6034" s="83" t="s">
        <v>6409</v>
      </c>
      <c r="C6034" s="81" t="s">
        <v>4082</v>
      </c>
      <c r="D6034" s="81" t="s">
        <v>224</v>
      </c>
      <c r="E6034" s="81" t="s">
        <v>4964</v>
      </c>
      <c r="F6034" s="81" t="s">
        <v>224</v>
      </c>
      <c r="G6034" s="81" t="s">
        <v>224</v>
      </c>
      <c r="H6034" s="81" t="s">
        <v>224</v>
      </c>
      <c r="I6034" s="81" t="s">
        <v>224</v>
      </c>
      <c r="J6034" s="81" t="s">
        <v>4963</v>
      </c>
    </row>
    <row r="6035" hidden="1">
      <c r="A6035" s="83" t="s">
        <v>6408</v>
      </c>
      <c r="B6035" s="83" t="s">
        <v>6409</v>
      </c>
      <c r="C6035" s="81" t="s">
        <v>4082</v>
      </c>
      <c r="D6035" s="81" t="s">
        <v>224</v>
      </c>
      <c r="E6035" s="81" t="s">
        <v>4965</v>
      </c>
      <c r="F6035" s="81" t="s">
        <v>224</v>
      </c>
      <c r="G6035" s="81" t="s">
        <v>224</v>
      </c>
      <c r="H6035" s="81" t="s">
        <v>224</v>
      </c>
      <c r="I6035" s="81" t="s">
        <v>224</v>
      </c>
      <c r="J6035" s="81" t="s">
        <v>4966</v>
      </c>
    </row>
    <row r="6036" hidden="1">
      <c r="A6036" s="83" t="s">
        <v>6408</v>
      </c>
      <c r="B6036" s="83" t="s">
        <v>6409</v>
      </c>
      <c r="C6036" s="81" t="s">
        <v>4082</v>
      </c>
      <c r="D6036" s="81" t="s">
        <v>224</v>
      </c>
      <c r="E6036" s="81" t="s">
        <v>4967</v>
      </c>
      <c r="F6036" s="81" t="s">
        <v>224</v>
      </c>
      <c r="G6036" s="81" t="s">
        <v>224</v>
      </c>
      <c r="H6036" s="81" t="s">
        <v>224</v>
      </c>
      <c r="I6036" s="81" t="s">
        <v>224</v>
      </c>
      <c r="J6036" s="81" t="s">
        <v>4966</v>
      </c>
    </row>
    <row r="6037" hidden="1">
      <c r="A6037" s="83" t="s">
        <v>6408</v>
      </c>
      <c r="B6037" s="83" t="s">
        <v>6409</v>
      </c>
      <c r="C6037" s="81" t="s">
        <v>4082</v>
      </c>
      <c r="D6037" s="81" t="s">
        <v>224</v>
      </c>
      <c r="E6037" s="81" t="s">
        <v>4968</v>
      </c>
      <c r="F6037" s="81" t="s">
        <v>224</v>
      </c>
      <c r="G6037" s="81" t="s">
        <v>224</v>
      </c>
      <c r="H6037" s="81" t="s">
        <v>224</v>
      </c>
      <c r="I6037" s="81" t="s">
        <v>224</v>
      </c>
      <c r="J6037" s="81" t="s">
        <v>4966</v>
      </c>
    </row>
    <row r="6038" hidden="1">
      <c r="A6038" s="83" t="s">
        <v>6408</v>
      </c>
      <c r="B6038" s="83" t="s">
        <v>6409</v>
      </c>
      <c r="C6038" s="81" t="s">
        <v>4082</v>
      </c>
      <c r="D6038" s="81" t="s">
        <v>224</v>
      </c>
      <c r="E6038" s="81" t="s">
        <v>4969</v>
      </c>
      <c r="F6038" s="81" t="s">
        <v>224</v>
      </c>
      <c r="G6038" s="81" t="s">
        <v>224</v>
      </c>
      <c r="H6038" s="81" t="s">
        <v>224</v>
      </c>
      <c r="I6038" s="81" t="s">
        <v>224</v>
      </c>
      <c r="J6038" s="81" t="s">
        <v>4966</v>
      </c>
    </row>
    <row r="6039" hidden="1">
      <c r="A6039" s="83" t="s">
        <v>6408</v>
      </c>
      <c r="B6039" s="83" t="s">
        <v>6409</v>
      </c>
      <c r="C6039" s="81" t="s">
        <v>4082</v>
      </c>
      <c r="D6039" s="81" t="s">
        <v>224</v>
      </c>
      <c r="E6039" s="81" t="s">
        <v>4970</v>
      </c>
      <c r="F6039" s="81" t="s">
        <v>224</v>
      </c>
      <c r="G6039" s="81" t="s">
        <v>224</v>
      </c>
      <c r="H6039" s="81" t="s">
        <v>224</v>
      </c>
      <c r="I6039" s="81" t="s">
        <v>224</v>
      </c>
      <c r="J6039" s="81" t="s">
        <v>4966</v>
      </c>
    </row>
    <row r="6040" hidden="1">
      <c r="A6040" s="83" t="s">
        <v>6408</v>
      </c>
      <c r="B6040" s="83" t="s">
        <v>6409</v>
      </c>
      <c r="C6040" s="81" t="s">
        <v>4082</v>
      </c>
      <c r="D6040" s="81" t="s">
        <v>224</v>
      </c>
      <c r="E6040" s="81" t="s">
        <v>4971</v>
      </c>
      <c r="F6040" s="81" t="s">
        <v>224</v>
      </c>
      <c r="G6040" s="81" t="s">
        <v>224</v>
      </c>
      <c r="H6040" s="81" t="s">
        <v>224</v>
      </c>
      <c r="I6040" s="81" t="s">
        <v>224</v>
      </c>
      <c r="J6040" s="81" t="s">
        <v>4966</v>
      </c>
    </row>
    <row r="6041" hidden="1">
      <c r="A6041" s="83" t="s">
        <v>6408</v>
      </c>
      <c r="B6041" s="83" t="s">
        <v>6409</v>
      </c>
      <c r="C6041" s="81" t="s">
        <v>4082</v>
      </c>
      <c r="D6041" s="81" t="s">
        <v>224</v>
      </c>
      <c r="E6041" s="81" t="s">
        <v>4972</v>
      </c>
      <c r="F6041" s="81" t="s">
        <v>224</v>
      </c>
      <c r="G6041" s="81" t="s">
        <v>224</v>
      </c>
      <c r="H6041" s="81" t="s">
        <v>224</v>
      </c>
      <c r="I6041" s="81" t="s">
        <v>224</v>
      </c>
      <c r="J6041" s="81" t="s">
        <v>4966</v>
      </c>
    </row>
    <row r="6042" hidden="1">
      <c r="A6042" s="83" t="s">
        <v>6408</v>
      </c>
      <c r="B6042" s="83" t="s">
        <v>6409</v>
      </c>
      <c r="C6042" s="81" t="s">
        <v>4082</v>
      </c>
      <c r="D6042" s="81" t="s">
        <v>224</v>
      </c>
      <c r="E6042" s="81" t="s">
        <v>4973</v>
      </c>
      <c r="F6042" s="81" t="s">
        <v>224</v>
      </c>
      <c r="G6042" s="81" t="s">
        <v>224</v>
      </c>
      <c r="H6042" s="81" t="s">
        <v>224</v>
      </c>
      <c r="I6042" s="81" t="s">
        <v>224</v>
      </c>
      <c r="J6042" s="81" t="s">
        <v>4974</v>
      </c>
    </row>
    <row r="6043" hidden="1">
      <c r="A6043" s="83" t="s">
        <v>6408</v>
      </c>
      <c r="B6043" s="83" t="s">
        <v>6409</v>
      </c>
      <c r="C6043" s="81" t="s">
        <v>4082</v>
      </c>
      <c r="D6043" s="81" t="s">
        <v>224</v>
      </c>
      <c r="E6043" s="81" t="s">
        <v>4975</v>
      </c>
      <c r="F6043" s="81" t="s">
        <v>224</v>
      </c>
      <c r="G6043" s="81" t="s">
        <v>224</v>
      </c>
      <c r="H6043" s="81" t="s">
        <v>224</v>
      </c>
      <c r="I6043" s="81" t="s">
        <v>224</v>
      </c>
      <c r="J6043" s="81" t="s">
        <v>4976</v>
      </c>
    </row>
    <row r="6044" hidden="1">
      <c r="A6044" s="83" t="s">
        <v>6408</v>
      </c>
      <c r="B6044" s="83" t="s">
        <v>6409</v>
      </c>
      <c r="C6044" s="81" t="s">
        <v>4082</v>
      </c>
      <c r="D6044" s="81" t="s">
        <v>224</v>
      </c>
      <c r="E6044" s="81" t="s">
        <v>4025</v>
      </c>
      <c r="F6044" s="81" t="s">
        <v>224</v>
      </c>
      <c r="G6044" s="81" t="s">
        <v>224</v>
      </c>
      <c r="H6044" s="81" t="s">
        <v>224</v>
      </c>
      <c r="I6044" s="81" t="s">
        <v>224</v>
      </c>
      <c r="J6044" s="81" t="s">
        <v>4977</v>
      </c>
    </row>
    <row r="6045" hidden="1">
      <c r="A6045" s="83" t="s">
        <v>6408</v>
      </c>
      <c r="B6045" s="83" t="s">
        <v>6409</v>
      </c>
      <c r="C6045" s="81" t="s">
        <v>4082</v>
      </c>
      <c r="D6045" s="81" t="s">
        <v>224</v>
      </c>
      <c r="E6045" s="81" t="s">
        <v>4033</v>
      </c>
      <c r="F6045" s="81" t="s">
        <v>224</v>
      </c>
      <c r="G6045" s="81" t="s">
        <v>224</v>
      </c>
      <c r="H6045" s="81" t="s">
        <v>224</v>
      </c>
      <c r="I6045" s="81" t="s">
        <v>224</v>
      </c>
      <c r="J6045" s="81" t="s">
        <v>4978</v>
      </c>
    </row>
    <row r="6046" hidden="1">
      <c r="A6046" s="83" t="s">
        <v>6408</v>
      </c>
      <c r="B6046" s="83" t="s">
        <v>6409</v>
      </c>
      <c r="C6046" s="81" t="s">
        <v>4082</v>
      </c>
      <c r="D6046" s="81" t="s">
        <v>224</v>
      </c>
      <c r="E6046" s="81" t="s">
        <v>4979</v>
      </c>
      <c r="F6046" s="81" t="s">
        <v>224</v>
      </c>
      <c r="G6046" s="81" t="s">
        <v>224</v>
      </c>
      <c r="H6046" s="81" t="s">
        <v>224</v>
      </c>
      <c r="I6046" s="81" t="s">
        <v>224</v>
      </c>
      <c r="J6046" s="81" t="s">
        <v>4980</v>
      </c>
    </row>
    <row r="6047" hidden="1">
      <c r="A6047" s="83" t="s">
        <v>6408</v>
      </c>
      <c r="B6047" s="83" t="s">
        <v>6409</v>
      </c>
      <c r="C6047" s="81" t="s">
        <v>4082</v>
      </c>
      <c r="D6047" s="81" t="s">
        <v>224</v>
      </c>
      <c r="E6047" s="81" t="s">
        <v>4981</v>
      </c>
      <c r="F6047" s="81" t="s">
        <v>224</v>
      </c>
      <c r="G6047" s="81" t="s">
        <v>224</v>
      </c>
      <c r="H6047" s="81" t="s">
        <v>224</v>
      </c>
      <c r="I6047" s="81" t="s">
        <v>224</v>
      </c>
      <c r="J6047" s="81" t="s">
        <v>4982</v>
      </c>
    </row>
    <row r="6048" hidden="1">
      <c r="A6048" s="83" t="s">
        <v>6408</v>
      </c>
      <c r="B6048" s="83" t="s">
        <v>6409</v>
      </c>
      <c r="C6048" s="81" t="s">
        <v>4082</v>
      </c>
      <c r="D6048" s="81" t="s">
        <v>224</v>
      </c>
      <c r="E6048" s="81" t="s">
        <v>4983</v>
      </c>
      <c r="F6048" s="81" t="s">
        <v>224</v>
      </c>
      <c r="G6048" s="81" t="s">
        <v>224</v>
      </c>
      <c r="H6048" s="81" t="s">
        <v>224</v>
      </c>
      <c r="I6048" s="81" t="s">
        <v>224</v>
      </c>
      <c r="J6048" s="81" t="s">
        <v>4984</v>
      </c>
    </row>
    <row r="6049" hidden="1">
      <c r="A6049" s="83" t="s">
        <v>6408</v>
      </c>
      <c r="B6049" s="83" t="s">
        <v>6409</v>
      </c>
      <c r="C6049" s="81" t="s">
        <v>4082</v>
      </c>
      <c r="D6049" s="81" t="s">
        <v>224</v>
      </c>
      <c r="E6049" s="81" t="s">
        <v>4985</v>
      </c>
      <c r="F6049" s="81" t="s">
        <v>224</v>
      </c>
      <c r="G6049" s="81" t="s">
        <v>224</v>
      </c>
      <c r="H6049" s="81" t="s">
        <v>224</v>
      </c>
      <c r="I6049" s="81" t="s">
        <v>224</v>
      </c>
      <c r="J6049" s="81" t="s">
        <v>4986</v>
      </c>
    </row>
    <row r="6050" hidden="1">
      <c r="A6050" s="83" t="s">
        <v>6408</v>
      </c>
      <c r="B6050" s="83" t="s">
        <v>6409</v>
      </c>
      <c r="C6050" s="81" t="s">
        <v>4082</v>
      </c>
      <c r="D6050" s="81" t="s">
        <v>224</v>
      </c>
      <c r="E6050" s="81" t="s">
        <v>4987</v>
      </c>
      <c r="F6050" s="81" t="s">
        <v>224</v>
      </c>
      <c r="G6050" s="81" t="s">
        <v>224</v>
      </c>
      <c r="H6050" s="81" t="s">
        <v>224</v>
      </c>
      <c r="I6050" s="81" t="s">
        <v>224</v>
      </c>
      <c r="J6050" s="81" t="s">
        <v>4988</v>
      </c>
    </row>
    <row r="6051" hidden="1">
      <c r="A6051" s="83" t="s">
        <v>6408</v>
      </c>
      <c r="B6051" s="83" t="s">
        <v>6409</v>
      </c>
      <c r="C6051" s="81" t="s">
        <v>4082</v>
      </c>
      <c r="D6051" s="81" t="s">
        <v>224</v>
      </c>
      <c r="E6051" s="81" t="s">
        <v>4989</v>
      </c>
      <c r="F6051" s="81" t="s">
        <v>224</v>
      </c>
      <c r="G6051" s="81" t="s">
        <v>224</v>
      </c>
      <c r="H6051" s="81" t="s">
        <v>224</v>
      </c>
      <c r="I6051" s="81" t="s">
        <v>224</v>
      </c>
      <c r="J6051" s="81" t="s">
        <v>4990</v>
      </c>
    </row>
    <row r="6052" hidden="1">
      <c r="A6052" s="83" t="s">
        <v>6408</v>
      </c>
      <c r="B6052" s="83" t="s">
        <v>6409</v>
      </c>
      <c r="C6052" s="81" t="s">
        <v>4082</v>
      </c>
      <c r="D6052" s="81" t="s">
        <v>224</v>
      </c>
      <c r="E6052" s="81" t="s">
        <v>4991</v>
      </c>
      <c r="F6052" s="81" t="s">
        <v>224</v>
      </c>
      <c r="G6052" s="81" t="s">
        <v>224</v>
      </c>
      <c r="H6052" s="81" t="s">
        <v>224</v>
      </c>
      <c r="I6052" s="81" t="s">
        <v>224</v>
      </c>
      <c r="J6052" s="81" t="s">
        <v>4992</v>
      </c>
    </row>
    <row r="6053" hidden="1">
      <c r="A6053" s="83" t="s">
        <v>6408</v>
      </c>
      <c r="B6053" s="83" t="s">
        <v>6409</v>
      </c>
      <c r="C6053" s="81" t="s">
        <v>4082</v>
      </c>
      <c r="D6053" s="81" t="s">
        <v>224</v>
      </c>
      <c r="E6053" s="81" t="s">
        <v>4993</v>
      </c>
      <c r="F6053" s="81" t="s">
        <v>224</v>
      </c>
      <c r="G6053" s="81" t="s">
        <v>224</v>
      </c>
      <c r="H6053" s="81" t="s">
        <v>224</v>
      </c>
      <c r="I6053" s="81" t="s">
        <v>224</v>
      </c>
      <c r="J6053" s="81" t="s">
        <v>4994</v>
      </c>
    </row>
    <row r="6054" hidden="1">
      <c r="A6054" s="83" t="s">
        <v>6408</v>
      </c>
      <c r="B6054" s="83" t="s">
        <v>6409</v>
      </c>
      <c r="C6054" s="81" t="s">
        <v>4082</v>
      </c>
      <c r="D6054" s="81" t="s">
        <v>224</v>
      </c>
      <c r="E6054" s="81" t="s">
        <v>4995</v>
      </c>
      <c r="F6054" s="81" t="s">
        <v>224</v>
      </c>
      <c r="G6054" s="81" t="s">
        <v>224</v>
      </c>
      <c r="H6054" s="81" t="s">
        <v>224</v>
      </c>
      <c r="I6054" s="81" t="s">
        <v>224</v>
      </c>
      <c r="J6054" s="81" t="s">
        <v>4996</v>
      </c>
    </row>
    <row r="6055" hidden="1">
      <c r="A6055" s="83" t="s">
        <v>6408</v>
      </c>
      <c r="B6055" s="83" t="s">
        <v>6409</v>
      </c>
      <c r="C6055" s="81" t="s">
        <v>4082</v>
      </c>
      <c r="D6055" s="81" t="s">
        <v>224</v>
      </c>
      <c r="E6055" s="81" t="s">
        <v>4997</v>
      </c>
      <c r="F6055" s="81" t="s">
        <v>224</v>
      </c>
      <c r="G6055" s="81" t="s">
        <v>224</v>
      </c>
      <c r="H6055" s="81" t="s">
        <v>224</v>
      </c>
      <c r="I6055" s="81" t="s">
        <v>224</v>
      </c>
      <c r="J6055" s="81" t="s">
        <v>4998</v>
      </c>
    </row>
    <row r="6056" hidden="1">
      <c r="A6056" s="83" t="s">
        <v>6408</v>
      </c>
      <c r="B6056" s="83" t="s">
        <v>6409</v>
      </c>
      <c r="C6056" s="81" t="s">
        <v>4082</v>
      </c>
      <c r="D6056" s="81" t="s">
        <v>224</v>
      </c>
      <c r="E6056" s="81" t="s">
        <v>4999</v>
      </c>
      <c r="F6056" s="81" t="s">
        <v>224</v>
      </c>
      <c r="G6056" s="81" t="s">
        <v>224</v>
      </c>
      <c r="H6056" s="81" t="s">
        <v>224</v>
      </c>
      <c r="I6056" s="81" t="s">
        <v>224</v>
      </c>
      <c r="J6056" s="81" t="s">
        <v>5000</v>
      </c>
    </row>
    <row r="6057" hidden="1">
      <c r="A6057" s="83" t="s">
        <v>6408</v>
      </c>
      <c r="B6057" s="83" t="s">
        <v>6409</v>
      </c>
      <c r="C6057" s="81" t="s">
        <v>4082</v>
      </c>
      <c r="D6057" s="81" t="s">
        <v>224</v>
      </c>
      <c r="E6057" s="81" t="s">
        <v>5001</v>
      </c>
      <c r="F6057" s="81" t="s">
        <v>224</v>
      </c>
      <c r="G6057" s="81" t="s">
        <v>224</v>
      </c>
      <c r="H6057" s="81" t="s">
        <v>224</v>
      </c>
      <c r="I6057" s="81" t="s">
        <v>224</v>
      </c>
      <c r="J6057" s="81" t="s">
        <v>5002</v>
      </c>
    </row>
    <row r="6058" hidden="1">
      <c r="A6058" s="83" t="s">
        <v>6408</v>
      </c>
      <c r="B6058" s="83" t="s">
        <v>6409</v>
      </c>
      <c r="C6058" s="81" t="s">
        <v>4082</v>
      </c>
      <c r="D6058" s="81" t="s">
        <v>224</v>
      </c>
      <c r="E6058" s="81" t="s">
        <v>5003</v>
      </c>
      <c r="F6058" s="81" t="s">
        <v>224</v>
      </c>
      <c r="G6058" s="81" t="s">
        <v>224</v>
      </c>
      <c r="H6058" s="81" t="s">
        <v>224</v>
      </c>
      <c r="I6058" s="81" t="s">
        <v>224</v>
      </c>
      <c r="J6058" s="81" t="s">
        <v>5004</v>
      </c>
    </row>
    <row r="6059" hidden="1">
      <c r="A6059" s="83" t="s">
        <v>6408</v>
      </c>
      <c r="B6059" s="83" t="s">
        <v>6409</v>
      </c>
      <c r="C6059" s="81" t="s">
        <v>4082</v>
      </c>
      <c r="D6059" s="81" t="s">
        <v>224</v>
      </c>
      <c r="E6059" s="81" t="s">
        <v>5005</v>
      </c>
      <c r="F6059" s="81" t="s">
        <v>224</v>
      </c>
      <c r="G6059" s="81" t="s">
        <v>224</v>
      </c>
      <c r="H6059" s="81" t="s">
        <v>224</v>
      </c>
      <c r="I6059" s="81" t="s">
        <v>224</v>
      </c>
      <c r="J6059" s="81" t="s">
        <v>5006</v>
      </c>
    </row>
    <row r="6060" hidden="1">
      <c r="A6060" s="83" t="s">
        <v>6408</v>
      </c>
      <c r="B6060" s="83" t="s">
        <v>6409</v>
      </c>
      <c r="C6060" s="81" t="s">
        <v>4082</v>
      </c>
      <c r="D6060" s="81" t="s">
        <v>224</v>
      </c>
      <c r="E6060" s="81" t="s">
        <v>5007</v>
      </c>
      <c r="F6060" s="81" t="s">
        <v>224</v>
      </c>
      <c r="G6060" s="81" t="s">
        <v>224</v>
      </c>
      <c r="H6060" s="81" t="s">
        <v>224</v>
      </c>
      <c r="I6060" s="81" t="s">
        <v>224</v>
      </c>
      <c r="J6060" s="81" t="s">
        <v>5008</v>
      </c>
    </row>
    <row r="6061" hidden="1">
      <c r="A6061" s="83" t="s">
        <v>6408</v>
      </c>
      <c r="B6061" s="83" t="s">
        <v>6409</v>
      </c>
      <c r="C6061" s="81" t="s">
        <v>4082</v>
      </c>
      <c r="D6061" s="81" t="s">
        <v>224</v>
      </c>
      <c r="E6061" s="81" t="s">
        <v>5009</v>
      </c>
      <c r="F6061" s="81" t="s">
        <v>224</v>
      </c>
      <c r="G6061" s="81" t="s">
        <v>224</v>
      </c>
      <c r="H6061" s="81" t="s">
        <v>224</v>
      </c>
      <c r="I6061" s="81" t="s">
        <v>224</v>
      </c>
      <c r="J6061" s="81" t="s">
        <v>5010</v>
      </c>
    </row>
    <row r="6062" hidden="1">
      <c r="A6062" s="83" t="s">
        <v>6408</v>
      </c>
      <c r="B6062" s="83" t="s">
        <v>6409</v>
      </c>
      <c r="C6062" s="81" t="s">
        <v>4082</v>
      </c>
      <c r="D6062" s="81" t="s">
        <v>224</v>
      </c>
      <c r="E6062" s="81" t="s">
        <v>5011</v>
      </c>
      <c r="F6062" s="81" t="s">
        <v>224</v>
      </c>
      <c r="G6062" s="81" t="s">
        <v>224</v>
      </c>
      <c r="H6062" s="81" t="s">
        <v>224</v>
      </c>
      <c r="I6062" s="81" t="s">
        <v>224</v>
      </c>
      <c r="J6062" s="81" t="s">
        <v>5012</v>
      </c>
    </row>
    <row r="6063" hidden="1">
      <c r="A6063" s="83" t="s">
        <v>6408</v>
      </c>
      <c r="B6063" s="83" t="s">
        <v>6409</v>
      </c>
      <c r="C6063" s="81" t="s">
        <v>4082</v>
      </c>
      <c r="D6063" s="81" t="s">
        <v>224</v>
      </c>
      <c r="E6063" s="81" t="s">
        <v>5013</v>
      </c>
      <c r="F6063" s="81" t="s">
        <v>224</v>
      </c>
      <c r="G6063" s="81" t="s">
        <v>224</v>
      </c>
      <c r="H6063" s="81" t="s">
        <v>224</v>
      </c>
      <c r="I6063" s="81" t="s">
        <v>224</v>
      </c>
      <c r="J6063" s="81" t="s">
        <v>5014</v>
      </c>
    </row>
    <row r="6064" hidden="1">
      <c r="A6064" s="83" t="s">
        <v>6408</v>
      </c>
      <c r="B6064" s="83" t="s">
        <v>6409</v>
      </c>
      <c r="C6064" s="81" t="s">
        <v>4082</v>
      </c>
      <c r="D6064" s="81" t="s">
        <v>224</v>
      </c>
      <c r="E6064" s="81" t="s">
        <v>5015</v>
      </c>
      <c r="F6064" s="81" t="s">
        <v>224</v>
      </c>
      <c r="G6064" s="81" t="s">
        <v>224</v>
      </c>
      <c r="H6064" s="81" t="s">
        <v>224</v>
      </c>
      <c r="I6064" s="81" t="s">
        <v>224</v>
      </c>
      <c r="J6064" s="81" t="s">
        <v>5016</v>
      </c>
    </row>
    <row r="6065" hidden="1">
      <c r="A6065" s="83" t="s">
        <v>6408</v>
      </c>
      <c r="B6065" s="83" t="s">
        <v>6409</v>
      </c>
      <c r="C6065" s="81" t="s">
        <v>4082</v>
      </c>
      <c r="D6065" s="81" t="s">
        <v>224</v>
      </c>
      <c r="E6065" s="81" t="s">
        <v>5017</v>
      </c>
      <c r="F6065" s="81" t="s">
        <v>224</v>
      </c>
      <c r="G6065" s="81" t="s">
        <v>224</v>
      </c>
      <c r="H6065" s="81" t="s">
        <v>224</v>
      </c>
      <c r="I6065" s="81" t="s">
        <v>224</v>
      </c>
      <c r="J6065" s="81" t="s">
        <v>5018</v>
      </c>
    </row>
    <row r="6066" hidden="1">
      <c r="A6066" s="83" t="s">
        <v>6408</v>
      </c>
      <c r="B6066" s="83" t="s">
        <v>6409</v>
      </c>
      <c r="C6066" s="81" t="s">
        <v>4082</v>
      </c>
      <c r="D6066" s="81" t="s">
        <v>224</v>
      </c>
      <c r="E6066" s="81" t="s">
        <v>5019</v>
      </c>
      <c r="F6066" s="81" t="s">
        <v>224</v>
      </c>
      <c r="G6066" s="81" t="s">
        <v>224</v>
      </c>
      <c r="H6066" s="81" t="s">
        <v>224</v>
      </c>
      <c r="I6066" s="81" t="s">
        <v>224</v>
      </c>
      <c r="J6066" s="81" t="s">
        <v>5020</v>
      </c>
    </row>
    <row r="6067" hidden="1">
      <c r="A6067" s="83" t="s">
        <v>6408</v>
      </c>
      <c r="B6067" s="83" t="s">
        <v>6409</v>
      </c>
      <c r="C6067" s="81" t="s">
        <v>4082</v>
      </c>
      <c r="D6067" s="81" t="s">
        <v>224</v>
      </c>
      <c r="E6067" s="81" t="s">
        <v>5021</v>
      </c>
      <c r="F6067" s="81" t="s">
        <v>224</v>
      </c>
      <c r="G6067" s="81" t="s">
        <v>224</v>
      </c>
      <c r="H6067" s="81" t="s">
        <v>224</v>
      </c>
      <c r="I6067" s="81" t="s">
        <v>224</v>
      </c>
      <c r="J6067" s="81" t="s">
        <v>5022</v>
      </c>
    </row>
    <row r="6068" hidden="1">
      <c r="A6068" s="83" t="s">
        <v>6408</v>
      </c>
      <c r="B6068" s="83" t="s">
        <v>6409</v>
      </c>
      <c r="C6068" s="81" t="s">
        <v>4082</v>
      </c>
      <c r="D6068" s="81" t="s">
        <v>224</v>
      </c>
      <c r="E6068" s="81" t="s">
        <v>5023</v>
      </c>
      <c r="F6068" s="81" t="s">
        <v>224</v>
      </c>
      <c r="G6068" s="81" t="s">
        <v>224</v>
      </c>
      <c r="H6068" s="81" t="s">
        <v>224</v>
      </c>
      <c r="I6068" s="81" t="s">
        <v>224</v>
      </c>
      <c r="J6068" s="81" t="s">
        <v>5024</v>
      </c>
    </row>
    <row r="6069" hidden="1">
      <c r="A6069" s="83" t="s">
        <v>6408</v>
      </c>
      <c r="B6069" s="83" t="s">
        <v>6409</v>
      </c>
      <c r="C6069" s="81" t="s">
        <v>4082</v>
      </c>
      <c r="D6069" s="81" t="s">
        <v>224</v>
      </c>
      <c r="E6069" s="81" t="s">
        <v>5025</v>
      </c>
      <c r="F6069" s="81" t="s">
        <v>224</v>
      </c>
      <c r="G6069" s="81" t="s">
        <v>224</v>
      </c>
      <c r="H6069" s="81" t="s">
        <v>224</v>
      </c>
      <c r="I6069" s="81" t="s">
        <v>224</v>
      </c>
      <c r="J6069" s="81" t="s">
        <v>5026</v>
      </c>
    </row>
    <row r="6070" hidden="1">
      <c r="A6070" s="83" t="s">
        <v>6408</v>
      </c>
      <c r="B6070" s="83" t="s">
        <v>6409</v>
      </c>
      <c r="C6070" s="81" t="s">
        <v>4082</v>
      </c>
      <c r="D6070" s="81" t="s">
        <v>224</v>
      </c>
      <c r="E6070" s="81" t="s">
        <v>5027</v>
      </c>
      <c r="F6070" s="81" t="s">
        <v>224</v>
      </c>
      <c r="G6070" s="81" t="s">
        <v>224</v>
      </c>
      <c r="H6070" s="81" t="s">
        <v>224</v>
      </c>
      <c r="I6070" s="81" t="s">
        <v>224</v>
      </c>
      <c r="J6070" s="81" t="s">
        <v>5028</v>
      </c>
    </row>
    <row r="6071" hidden="1">
      <c r="A6071" s="83" t="s">
        <v>6408</v>
      </c>
      <c r="B6071" s="83" t="s">
        <v>6409</v>
      </c>
      <c r="C6071" s="81" t="s">
        <v>4082</v>
      </c>
      <c r="D6071" s="81" t="s">
        <v>224</v>
      </c>
      <c r="E6071" s="81" t="s">
        <v>5029</v>
      </c>
      <c r="F6071" s="81" t="s">
        <v>224</v>
      </c>
      <c r="G6071" s="81" t="s">
        <v>224</v>
      </c>
      <c r="H6071" s="81" t="s">
        <v>224</v>
      </c>
      <c r="I6071" s="81" t="s">
        <v>224</v>
      </c>
      <c r="J6071" s="81" t="s">
        <v>5030</v>
      </c>
    </row>
    <row r="6072" hidden="1">
      <c r="A6072" s="83" t="s">
        <v>6408</v>
      </c>
      <c r="B6072" s="83" t="s">
        <v>6409</v>
      </c>
      <c r="C6072" s="81" t="s">
        <v>4082</v>
      </c>
      <c r="D6072" s="81" t="s">
        <v>224</v>
      </c>
      <c r="E6072" s="81" t="s">
        <v>5031</v>
      </c>
      <c r="F6072" s="81" t="s">
        <v>224</v>
      </c>
      <c r="G6072" s="81" t="s">
        <v>224</v>
      </c>
      <c r="H6072" s="81" t="s">
        <v>224</v>
      </c>
      <c r="I6072" s="81" t="s">
        <v>224</v>
      </c>
      <c r="J6072" s="81" t="s">
        <v>5032</v>
      </c>
    </row>
    <row r="6073" hidden="1">
      <c r="A6073" s="83" t="s">
        <v>6408</v>
      </c>
      <c r="B6073" s="83" t="s">
        <v>6409</v>
      </c>
      <c r="C6073" s="81" t="s">
        <v>4082</v>
      </c>
      <c r="D6073" s="81" t="s">
        <v>224</v>
      </c>
      <c r="E6073" s="81" t="s">
        <v>5033</v>
      </c>
      <c r="F6073" s="81" t="s">
        <v>224</v>
      </c>
      <c r="G6073" s="81" t="s">
        <v>224</v>
      </c>
      <c r="H6073" s="81" t="s">
        <v>224</v>
      </c>
      <c r="I6073" s="81" t="s">
        <v>224</v>
      </c>
      <c r="J6073" s="81" t="s">
        <v>5034</v>
      </c>
    </row>
    <row r="6074" hidden="1">
      <c r="A6074" s="83" t="s">
        <v>6408</v>
      </c>
      <c r="B6074" s="83" t="s">
        <v>6409</v>
      </c>
      <c r="C6074" s="81" t="s">
        <v>4082</v>
      </c>
      <c r="D6074" s="81" t="s">
        <v>224</v>
      </c>
      <c r="E6074" s="81" t="s">
        <v>5035</v>
      </c>
      <c r="F6074" s="81" t="s">
        <v>224</v>
      </c>
      <c r="G6074" s="81" t="s">
        <v>224</v>
      </c>
      <c r="H6074" s="81" t="s">
        <v>224</v>
      </c>
      <c r="I6074" s="81" t="s">
        <v>224</v>
      </c>
      <c r="J6074" s="81" t="s">
        <v>5036</v>
      </c>
    </row>
    <row r="6075" hidden="1">
      <c r="A6075" s="83" t="s">
        <v>6408</v>
      </c>
      <c r="B6075" s="83" t="s">
        <v>6409</v>
      </c>
      <c r="C6075" s="81" t="s">
        <v>4082</v>
      </c>
      <c r="D6075" s="81" t="s">
        <v>224</v>
      </c>
      <c r="E6075" s="81" t="s">
        <v>5037</v>
      </c>
      <c r="F6075" s="81" t="s">
        <v>224</v>
      </c>
      <c r="G6075" s="81" t="s">
        <v>224</v>
      </c>
      <c r="H6075" s="81" t="s">
        <v>224</v>
      </c>
      <c r="I6075" s="81" t="s">
        <v>224</v>
      </c>
      <c r="J6075" s="81" t="s">
        <v>5038</v>
      </c>
    </row>
    <row r="6076" hidden="1">
      <c r="A6076" s="83" t="s">
        <v>6408</v>
      </c>
      <c r="B6076" s="83" t="s">
        <v>6409</v>
      </c>
      <c r="C6076" s="81" t="s">
        <v>4082</v>
      </c>
      <c r="D6076" s="81" t="s">
        <v>224</v>
      </c>
      <c r="E6076" s="81" t="s">
        <v>5039</v>
      </c>
      <c r="F6076" s="81" t="s">
        <v>224</v>
      </c>
      <c r="G6076" s="81" t="s">
        <v>224</v>
      </c>
      <c r="H6076" s="81" t="s">
        <v>224</v>
      </c>
      <c r="I6076" s="81" t="s">
        <v>224</v>
      </c>
      <c r="J6076" s="81" t="s">
        <v>5040</v>
      </c>
    </row>
    <row r="6077" hidden="1">
      <c r="A6077" s="83" t="s">
        <v>6408</v>
      </c>
      <c r="B6077" s="83" t="s">
        <v>6409</v>
      </c>
      <c r="C6077" s="81" t="s">
        <v>4082</v>
      </c>
      <c r="D6077" s="81" t="s">
        <v>224</v>
      </c>
      <c r="E6077" s="81" t="s">
        <v>5041</v>
      </c>
      <c r="F6077" s="81" t="s">
        <v>224</v>
      </c>
      <c r="G6077" s="81" t="s">
        <v>224</v>
      </c>
      <c r="H6077" s="81" t="s">
        <v>224</v>
      </c>
      <c r="I6077" s="81" t="s">
        <v>224</v>
      </c>
      <c r="J6077" s="81" t="s">
        <v>5042</v>
      </c>
    </row>
    <row r="6078" hidden="1">
      <c r="A6078" s="83" t="s">
        <v>6408</v>
      </c>
      <c r="B6078" s="83" t="s">
        <v>6409</v>
      </c>
      <c r="C6078" s="81" t="s">
        <v>4082</v>
      </c>
      <c r="D6078" s="81" t="s">
        <v>224</v>
      </c>
      <c r="E6078" s="81" t="s">
        <v>5043</v>
      </c>
      <c r="F6078" s="81" t="s">
        <v>224</v>
      </c>
      <c r="G6078" s="81" t="s">
        <v>224</v>
      </c>
      <c r="H6078" s="81" t="s">
        <v>224</v>
      </c>
      <c r="I6078" s="81" t="s">
        <v>224</v>
      </c>
      <c r="J6078" s="81" t="s">
        <v>5044</v>
      </c>
    </row>
    <row r="6079" hidden="1">
      <c r="A6079" s="83" t="s">
        <v>6408</v>
      </c>
      <c r="B6079" s="83" t="s">
        <v>6409</v>
      </c>
      <c r="C6079" s="81" t="s">
        <v>4082</v>
      </c>
      <c r="D6079" s="81" t="s">
        <v>224</v>
      </c>
      <c r="E6079" s="81" t="s">
        <v>5045</v>
      </c>
      <c r="F6079" s="81" t="s">
        <v>224</v>
      </c>
      <c r="G6079" s="81" t="s">
        <v>224</v>
      </c>
      <c r="H6079" s="81" t="s">
        <v>224</v>
      </c>
      <c r="I6079" s="81" t="s">
        <v>224</v>
      </c>
      <c r="J6079" s="81" t="s">
        <v>5046</v>
      </c>
    </row>
    <row r="6080" hidden="1">
      <c r="A6080" s="83" t="s">
        <v>6408</v>
      </c>
      <c r="B6080" s="83" t="s">
        <v>6409</v>
      </c>
      <c r="C6080" s="81" t="s">
        <v>4082</v>
      </c>
      <c r="D6080" s="81" t="s">
        <v>224</v>
      </c>
      <c r="E6080" s="81" t="s">
        <v>5047</v>
      </c>
      <c r="F6080" s="81" t="s">
        <v>224</v>
      </c>
      <c r="G6080" s="81" t="s">
        <v>224</v>
      </c>
      <c r="H6080" s="81" t="s">
        <v>224</v>
      </c>
      <c r="I6080" s="81" t="s">
        <v>224</v>
      </c>
      <c r="J6080" s="81" t="s">
        <v>5048</v>
      </c>
    </row>
    <row r="6081" hidden="1">
      <c r="A6081" s="83" t="s">
        <v>6408</v>
      </c>
      <c r="B6081" s="83" t="s">
        <v>6409</v>
      </c>
      <c r="C6081" s="81" t="s">
        <v>4082</v>
      </c>
      <c r="D6081" s="81" t="s">
        <v>224</v>
      </c>
      <c r="E6081" s="81" t="s">
        <v>5049</v>
      </c>
      <c r="F6081" s="81" t="s">
        <v>224</v>
      </c>
      <c r="G6081" s="81" t="s">
        <v>224</v>
      </c>
      <c r="H6081" s="81" t="s">
        <v>224</v>
      </c>
      <c r="I6081" s="81" t="s">
        <v>224</v>
      </c>
      <c r="J6081" s="81" t="s">
        <v>5050</v>
      </c>
    </row>
    <row r="6082" hidden="1">
      <c r="A6082" s="83" t="s">
        <v>6408</v>
      </c>
      <c r="B6082" s="83" t="s">
        <v>6409</v>
      </c>
      <c r="C6082" s="81" t="s">
        <v>4082</v>
      </c>
      <c r="D6082" s="81" t="s">
        <v>224</v>
      </c>
      <c r="E6082" s="81" t="s">
        <v>5051</v>
      </c>
      <c r="F6082" s="81" t="s">
        <v>224</v>
      </c>
      <c r="G6082" s="81" t="s">
        <v>224</v>
      </c>
      <c r="H6082" s="81" t="s">
        <v>224</v>
      </c>
      <c r="I6082" s="81" t="s">
        <v>224</v>
      </c>
      <c r="J6082" s="81" t="s">
        <v>5052</v>
      </c>
    </row>
    <row r="6083" hidden="1">
      <c r="A6083" s="83" t="s">
        <v>6408</v>
      </c>
      <c r="B6083" s="83" t="s">
        <v>6409</v>
      </c>
      <c r="C6083" s="81" t="s">
        <v>4082</v>
      </c>
      <c r="D6083" s="81" t="s">
        <v>224</v>
      </c>
      <c r="E6083" s="81" t="s">
        <v>5053</v>
      </c>
      <c r="F6083" s="81" t="s">
        <v>224</v>
      </c>
      <c r="G6083" s="81" t="s">
        <v>224</v>
      </c>
      <c r="H6083" s="81" t="s">
        <v>224</v>
      </c>
      <c r="I6083" s="81" t="s">
        <v>224</v>
      </c>
      <c r="J6083" s="81" t="s">
        <v>5054</v>
      </c>
    </row>
    <row r="6084" hidden="1">
      <c r="A6084" s="83" t="s">
        <v>6408</v>
      </c>
      <c r="B6084" s="83" t="s">
        <v>6409</v>
      </c>
      <c r="C6084" s="81" t="s">
        <v>4082</v>
      </c>
      <c r="D6084" s="81" t="s">
        <v>224</v>
      </c>
      <c r="E6084" s="81" t="s">
        <v>5055</v>
      </c>
      <c r="F6084" s="81" t="s">
        <v>224</v>
      </c>
      <c r="G6084" s="81" t="s">
        <v>224</v>
      </c>
      <c r="H6084" s="81" t="s">
        <v>224</v>
      </c>
      <c r="I6084" s="81" t="s">
        <v>224</v>
      </c>
      <c r="J6084" s="81" t="s">
        <v>5056</v>
      </c>
    </row>
    <row r="6085" hidden="1">
      <c r="A6085" s="83" t="s">
        <v>6408</v>
      </c>
      <c r="B6085" s="83" t="s">
        <v>6409</v>
      </c>
      <c r="C6085" s="81" t="s">
        <v>4082</v>
      </c>
      <c r="D6085" s="81" t="s">
        <v>224</v>
      </c>
      <c r="E6085" s="81" t="s">
        <v>5057</v>
      </c>
      <c r="F6085" s="81" t="s">
        <v>224</v>
      </c>
      <c r="G6085" s="81" t="s">
        <v>224</v>
      </c>
      <c r="H6085" s="81" t="s">
        <v>224</v>
      </c>
      <c r="I6085" s="81" t="s">
        <v>224</v>
      </c>
      <c r="J6085" s="81" t="s">
        <v>5058</v>
      </c>
    </row>
    <row r="6086" hidden="1">
      <c r="A6086" s="83" t="s">
        <v>6408</v>
      </c>
      <c r="B6086" s="83" t="s">
        <v>6409</v>
      </c>
      <c r="C6086" s="81" t="s">
        <v>4082</v>
      </c>
      <c r="D6086" s="81" t="s">
        <v>224</v>
      </c>
      <c r="E6086" s="81" t="s">
        <v>5059</v>
      </c>
      <c r="F6086" s="81" t="s">
        <v>224</v>
      </c>
      <c r="G6086" s="81" t="s">
        <v>224</v>
      </c>
      <c r="H6086" s="81" t="s">
        <v>224</v>
      </c>
      <c r="I6086" s="81" t="s">
        <v>224</v>
      </c>
      <c r="J6086" s="81" t="s">
        <v>5060</v>
      </c>
    </row>
    <row r="6087" hidden="1">
      <c r="A6087" s="83" t="s">
        <v>6408</v>
      </c>
      <c r="B6087" s="83" t="s">
        <v>6409</v>
      </c>
      <c r="C6087" s="81" t="s">
        <v>4082</v>
      </c>
      <c r="D6087" s="81" t="s">
        <v>224</v>
      </c>
      <c r="E6087" s="81" t="s">
        <v>5061</v>
      </c>
      <c r="F6087" s="81" t="s">
        <v>224</v>
      </c>
      <c r="G6087" s="81" t="s">
        <v>224</v>
      </c>
      <c r="H6087" s="81" t="s">
        <v>224</v>
      </c>
      <c r="I6087" s="81" t="s">
        <v>224</v>
      </c>
      <c r="J6087" s="81" t="s">
        <v>5062</v>
      </c>
    </row>
    <row r="6088" hidden="1">
      <c r="A6088" s="83" t="s">
        <v>6408</v>
      </c>
      <c r="B6088" s="83" t="s">
        <v>6409</v>
      </c>
      <c r="C6088" s="81" t="s">
        <v>4082</v>
      </c>
      <c r="D6088" s="81" t="s">
        <v>224</v>
      </c>
      <c r="E6088" s="81" t="s">
        <v>5063</v>
      </c>
      <c r="F6088" s="81" t="s">
        <v>224</v>
      </c>
      <c r="G6088" s="81" t="s">
        <v>224</v>
      </c>
      <c r="H6088" s="81" t="s">
        <v>224</v>
      </c>
      <c r="I6088" s="81" t="s">
        <v>224</v>
      </c>
      <c r="J6088" s="81" t="s">
        <v>5064</v>
      </c>
    </row>
    <row r="6089" hidden="1">
      <c r="A6089" s="83" t="s">
        <v>6408</v>
      </c>
      <c r="B6089" s="83" t="s">
        <v>6409</v>
      </c>
      <c r="C6089" s="81" t="s">
        <v>4082</v>
      </c>
      <c r="D6089" s="81" t="s">
        <v>224</v>
      </c>
      <c r="E6089" s="81" t="s">
        <v>5065</v>
      </c>
      <c r="F6089" s="81" t="s">
        <v>224</v>
      </c>
      <c r="G6089" s="81" t="s">
        <v>224</v>
      </c>
      <c r="H6089" s="81" t="s">
        <v>224</v>
      </c>
      <c r="I6089" s="81" t="s">
        <v>224</v>
      </c>
      <c r="J6089" s="81" t="s">
        <v>5066</v>
      </c>
    </row>
    <row r="6090" hidden="1">
      <c r="A6090" s="83" t="s">
        <v>6408</v>
      </c>
      <c r="B6090" s="83" t="s">
        <v>6409</v>
      </c>
      <c r="C6090" s="81" t="s">
        <v>4082</v>
      </c>
      <c r="D6090" s="81" t="s">
        <v>224</v>
      </c>
      <c r="E6090" s="81" t="s">
        <v>5067</v>
      </c>
      <c r="F6090" s="81" t="s">
        <v>224</v>
      </c>
      <c r="G6090" s="81" t="s">
        <v>224</v>
      </c>
      <c r="H6090" s="81" t="s">
        <v>224</v>
      </c>
      <c r="I6090" s="81" t="s">
        <v>224</v>
      </c>
      <c r="J6090" s="81" t="s">
        <v>5068</v>
      </c>
    </row>
    <row r="6091" hidden="1">
      <c r="A6091" s="83" t="s">
        <v>6408</v>
      </c>
      <c r="B6091" s="83" t="s">
        <v>6409</v>
      </c>
      <c r="C6091" s="81" t="s">
        <v>4082</v>
      </c>
      <c r="D6091" s="81" t="s">
        <v>224</v>
      </c>
      <c r="E6091" s="81" t="s">
        <v>5069</v>
      </c>
      <c r="F6091" s="81" t="s">
        <v>224</v>
      </c>
      <c r="G6091" s="81" t="s">
        <v>224</v>
      </c>
      <c r="H6091" s="81" t="s">
        <v>224</v>
      </c>
      <c r="I6091" s="81" t="s">
        <v>224</v>
      </c>
      <c r="J6091" s="81" t="s">
        <v>5070</v>
      </c>
    </row>
    <row r="6092" hidden="1">
      <c r="A6092" s="83" t="s">
        <v>6408</v>
      </c>
      <c r="B6092" s="83" t="s">
        <v>6409</v>
      </c>
      <c r="C6092" s="81" t="s">
        <v>4082</v>
      </c>
      <c r="D6092" s="81" t="s">
        <v>224</v>
      </c>
      <c r="E6092" s="81" t="s">
        <v>5071</v>
      </c>
      <c r="F6092" s="81" t="s">
        <v>224</v>
      </c>
      <c r="G6092" s="81" t="s">
        <v>224</v>
      </c>
      <c r="H6092" s="81" t="s">
        <v>224</v>
      </c>
      <c r="I6092" s="81" t="s">
        <v>224</v>
      </c>
      <c r="J6092" s="81" t="s">
        <v>5072</v>
      </c>
    </row>
    <row r="6093" hidden="1">
      <c r="A6093" s="83" t="s">
        <v>6408</v>
      </c>
      <c r="B6093" s="83" t="s">
        <v>6409</v>
      </c>
      <c r="C6093" s="81" t="s">
        <v>4082</v>
      </c>
      <c r="D6093" s="81" t="s">
        <v>224</v>
      </c>
      <c r="E6093" s="81" t="s">
        <v>5073</v>
      </c>
      <c r="F6093" s="81" t="s">
        <v>224</v>
      </c>
      <c r="G6093" s="81" t="s">
        <v>224</v>
      </c>
      <c r="H6093" s="81" t="s">
        <v>224</v>
      </c>
      <c r="I6093" s="81" t="s">
        <v>224</v>
      </c>
      <c r="J6093" s="81" t="s">
        <v>5074</v>
      </c>
    </row>
    <row r="6094" hidden="1">
      <c r="A6094" s="83" t="s">
        <v>6408</v>
      </c>
      <c r="B6094" s="83" t="s">
        <v>6409</v>
      </c>
      <c r="C6094" s="81" t="s">
        <v>4082</v>
      </c>
      <c r="D6094" s="81" t="s">
        <v>224</v>
      </c>
      <c r="E6094" s="81" t="s">
        <v>5075</v>
      </c>
      <c r="F6094" s="81" t="s">
        <v>224</v>
      </c>
      <c r="G6094" s="81" t="s">
        <v>224</v>
      </c>
      <c r="H6094" s="81" t="s">
        <v>224</v>
      </c>
      <c r="I6094" s="81" t="s">
        <v>224</v>
      </c>
      <c r="J6094" s="81" t="s">
        <v>5076</v>
      </c>
    </row>
    <row r="6095" hidden="1">
      <c r="A6095" s="83" t="s">
        <v>6408</v>
      </c>
      <c r="B6095" s="83" t="s">
        <v>6409</v>
      </c>
      <c r="C6095" s="81" t="s">
        <v>4082</v>
      </c>
      <c r="D6095" s="81" t="s">
        <v>224</v>
      </c>
      <c r="E6095" s="81" t="s">
        <v>5077</v>
      </c>
      <c r="F6095" s="81" t="s">
        <v>224</v>
      </c>
      <c r="G6095" s="81" t="s">
        <v>224</v>
      </c>
      <c r="H6095" s="81" t="s">
        <v>224</v>
      </c>
      <c r="I6095" s="81" t="s">
        <v>224</v>
      </c>
      <c r="J6095" s="81" t="s">
        <v>5078</v>
      </c>
    </row>
    <row r="6096" hidden="1">
      <c r="A6096" s="83" t="s">
        <v>6408</v>
      </c>
      <c r="B6096" s="83" t="s">
        <v>6409</v>
      </c>
      <c r="C6096" s="81" t="s">
        <v>4082</v>
      </c>
      <c r="D6096" s="81" t="s">
        <v>224</v>
      </c>
      <c r="E6096" s="81" t="s">
        <v>5079</v>
      </c>
      <c r="F6096" s="81" t="s">
        <v>224</v>
      </c>
      <c r="G6096" s="81" t="s">
        <v>224</v>
      </c>
      <c r="H6096" s="81" t="s">
        <v>224</v>
      </c>
      <c r="I6096" s="81" t="s">
        <v>224</v>
      </c>
      <c r="J6096" s="81" t="s">
        <v>4974</v>
      </c>
    </row>
    <row r="6097" hidden="1">
      <c r="A6097" s="83" t="s">
        <v>6408</v>
      </c>
      <c r="B6097" s="83" t="s">
        <v>6409</v>
      </c>
      <c r="C6097" s="81" t="s">
        <v>4082</v>
      </c>
      <c r="D6097" s="81" t="s">
        <v>224</v>
      </c>
      <c r="E6097" s="81" t="s">
        <v>5080</v>
      </c>
      <c r="F6097" s="81" t="s">
        <v>224</v>
      </c>
      <c r="G6097" s="81" t="s">
        <v>224</v>
      </c>
      <c r="H6097" s="81" t="s">
        <v>224</v>
      </c>
      <c r="I6097" s="81" t="s">
        <v>224</v>
      </c>
      <c r="J6097" s="81" t="s">
        <v>4974</v>
      </c>
    </row>
    <row r="6098" hidden="1">
      <c r="A6098" s="83" t="s">
        <v>6408</v>
      </c>
      <c r="B6098" s="83" t="s">
        <v>6409</v>
      </c>
      <c r="C6098" s="81" t="s">
        <v>4082</v>
      </c>
      <c r="D6098" s="81" t="s">
        <v>224</v>
      </c>
      <c r="E6098" s="81" t="s">
        <v>5081</v>
      </c>
      <c r="F6098" s="81" t="s">
        <v>224</v>
      </c>
      <c r="G6098" s="81" t="s">
        <v>224</v>
      </c>
      <c r="H6098" s="81" t="s">
        <v>224</v>
      </c>
      <c r="I6098" s="81" t="s">
        <v>224</v>
      </c>
      <c r="J6098" s="81" t="s">
        <v>5082</v>
      </c>
    </row>
    <row r="6099" hidden="1">
      <c r="A6099" s="83" t="s">
        <v>6408</v>
      </c>
      <c r="B6099" s="83" t="s">
        <v>6409</v>
      </c>
      <c r="C6099" s="81" t="s">
        <v>4082</v>
      </c>
      <c r="D6099" s="81" t="s">
        <v>224</v>
      </c>
      <c r="E6099" s="81" t="s">
        <v>5083</v>
      </c>
      <c r="F6099" s="81" t="s">
        <v>224</v>
      </c>
      <c r="G6099" s="81" t="s">
        <v>224</v>
      </c>
      <c r="H6099" s="81" t="s">
        <v>224</v>
      </c>
      <c r="I6099" s="81" t="s">
        <v>224</v>
      </c>
      <c r="J6099" s="81" t="s">
        <v>4984</v>
      </c>
    </row>
    <row r="6100" hidden="1">
      <c r="A6100" s="83" t="s">
        <v>6408</v>
      </c>
      <c r="B6100" s="83" t="s">
        <v>6409</v>
      </c>
      <c r="C6100" s="81" t="s">
        <v>4082</v>
      </c>
      <c r="D6100" s="81" t="s">
        <v>224</v>
      </c>
      <c r="E6100" s="81" t="s">
        <v>5084</v>
      </c>
      <c r="F6100" s="81" t="s">
        <v>224</v>
      </c>
      <c r="G6100" s="81" t="s">
        <v>224</v>
      </c>
      <c r="H6100" s="81" t="s">
        <v>224</v>
      </c>
      <c r="I6100" s="81" t="s">
        <v>224</v>
      </c>
      <c r="J6100" s="81" t="s">
        <v>5026</v>
      </c>
    </row>
    <row r="6101" hidden="1">
      <c r="A6101" s="83" t="s">
        <v>6408</v>
      </c>
      <c r="B6101" s="83" t="s">
        <v>6409</v>
      </c>
      <c r="C6101" s="81" t="s">
        <v>4082</v>
      </c>
      <c r="D6101" s="81" t="s">
        <v>224</v>
      </c>
      <c r="E6101" s="81" t="s">
        <v>5085</v>
      </c>
      <c r="F6101" s="81" t="s">
        <v>224</v>
      </c>
      <c r="G6101" s="81" t="s">
        <v>224</v>
      </c>
      <c r="H6101" s="81" t="s">
        <v>224</v>
      </c>
      <c r="I6101" s="81" t="s">
        <v>224</v>
      </c>
      <c r="J6101" s="81" t="s">
        <v>5006</v>
      </c>
    </row>
    <row r="6102" hidden="1">
      <c r="A6102" s="83" t="s">
        <v>6408</v>
      </c>
      <c r="B6102" s="83" t="s">
        <v>6409</v>
      </c>
      <c r="C6102" s="81" t="s">
        <v>4082</v>
      </c>
      <c r="D6102" s="81" t="s">
        <v>224</v>
      </c>
      <c r="E6102" s="81" t="s">
        <v>5086</v>
      </c>
      <c r="F6102" s="81" t="s">
        <v>224</v>
      </c>
      <c r="G6102" s="81" t="s">
        <v>224</v>
      </c>
      <c r="H6102" s="81" t="s">
        <v>224</v>
      </c>
      <c r="I6102" s="81" t="s">
        <v>224</v>
      </c>
      <c r="J6102" s="81" t="s">
        <v>5006</v>
      </c>
    </row>
    <row r="6103" hidden="1">
      <c r="A6103" s="83" t="s">
        <v>6408</v>
      </c>
      <c r="B6103" s="83" t="s">
        <v>6409</v>
      </c>
      <c r="C6103" s="81" t="s">
        <v>4082</v>
      </c>
      <c r="D6103" s="81" t="s">
        <v>224</v>
      </c>
      <c r="E6103" s="81" t="s">
        <v>5087</v>
      </c>
      <c r="F6103" s="81" t="s">
        <v>224</v>
      </c>
      <c r="G6103" s="81" t="s">
        <v>224</v>
      </c>
      <c r="H6103" s="81" t="s">
        <v>224</v>
      </c>
      <c r="I6103" s="81" t="s">
        <v>224</v>
      </c>
      <c r="J6103" s="81" t="s">
        <v>4984</v>
      </c>
    </row>
    <row r="6104" hidden="1">
      <c r="A6104" s="83" t="s">
        <v>6408</v>
      </c>
      <c r="B6104" s="83" t="s">
        <v>6409</v>
      </c>
      <c r="C6104" s="81" t="s">
        <v>4082</v>
      </c>
      <c r="D6104" s="81" t="s">
        <v>224</v>
      </c>
      <c r="E6104" s="81" t="s">
        <v>5088</v>
      </c>
      <c r="F6104" s="81" t="s">
        <v>224</v>
      </c>
      <c r="G6104" s="81" t="s">
        <v>224</v>
      </c>
      <c r="H6104" s="81" t="s">
        <v>224</v>
      </c>
      <c r="I6104" s="81" t="s">
        <v>224</v>
      </c>
      <c r="J6104" s="81" t="s">
        <v>5026</v>
      </c>
    </row>
    <row r="6105" hidden="1">
      <c r="A6105" s="83" t="s">
        <v>6408</v>
      </c>
      <c r="B6105" s="83" t="s">
        <v>6409</v>
      </c>
      <c r="C6105" s="81" t="s">
        <v>4082</v>
      </c>
      <c r="D6105" s="81" t="s">
        <v>224</v>
      </c>
      <c r="E6105" s="81" t="s">
        <v>5089</v>
      </c>
      <c r="F6105" s="81" t="s">
        <v>224</v>
      </c>
      <c r="G6105" s="81" t="s">
        <v>224</v>
      </c>
      <c r="H6105" s="81" t="s">
        <v>224</v>
      </c>
      <c r="I6105" s="81" t="s">
        <v>224</v>
      </c>
      <c r="J6105" s="81" t="s">
        <v>4984</v>
      </c>
    </row>
    <row r="6106" hidden="1">
      <c r="A6106" s="83" t="s">
        <v>6408</v>
      </c>
      <c r="B6106" s="83" t="s">
        <v>6409</v>
      </c>
      <c r="C6106" s="81" t="s">
        <v>4082</v>
      </c>
      <c r="D6106" s="81" t="s">
        <v>224</v>
      </c>
      <c r="E6106" s="81" t="s">
        <v>5090</v>
      </c>
      <c r="F6106" s="81" t="s">
        <v>224</v>
      </c>
      <c r="G6106" s="81" t="s">
        <v>224</v>
      </c>
      <c r="H6106" s="81" t="s">
        <v>224</v>
      </c>
      <c r="I6106" s="81" t="s">
        <v>224</v>
      </c>
      <c r="J6106" s="81" t="s">
        <v>4984</v>
      </c>
    </row>
    <row r="6107" hidden="1">
      <c r="A6107" s="83" t="s">
        <v>6408</v>
      </c>
      <c r="B6107" s="83" t="s">
        <v>6409</v>
      </c>
      <c r="C6107" s="81" t="s">
        <v>4082</v>
      </c>
      <c r="D6107" s="81" t="s">
        <v>224</v>
      </c>
      <c r="E6107" s="81" t="s">
        <v>5091</v>
      </c>
      <c r="F6107" s="81" t="s">
        <v>224</v>
      </c>
      <c r="G6107" s="81" t="s">
        <v>224</v>
      </c>
      <c r="H6107" s="81" t="s">
        <v>224</v>
      </c>
      <c r="I6107" s="81" t="s">
        <v>224</v>
      </c>
      <c r="J6107" s="81" t="s">
        <v>5006</v>
      </c>
    </row>
    <row r="6108" hidden="1">
      <c r="A6108" s="83" t="s">
        <v>6408</v>
      </c>
      <c r="B6108" s="83" t="s">
        <v>6409</v>
      </c>
      <c r="C6108" s="81" t="s">
        <v>4082</v>
      </c>
      <c r="D6108" s="81" t="s">
        <v>224</v>
      </c>
      <c r="E6108" s="81" t="s">
        <v>5092</v>
      </c>
      <c r="F6108" s="81" t="s">
        <v>224</v>
      </c>
      <c r="G6108" s="81" t="s">
        <v>224</v>
      </c>
      <c r="H6108" s="81" t="s">
        <v>224</v>
      </c>
      <c r="I6108" s="81" t="s">
        <v>224</v>
      </c>
      <c r="J6108" s="81" t="s">
        <v>5006</v>
      </c>
    </row>
    <row r="6109" hidden="1">
      <c r="A6109" s="83" t="s">
        <v>6408</v>
      </c>
      <c r="B6109" s="83" t="s">
        <v>6409</v>
      </c>
      <c r="C6109" s="81" t="s">
        <v>4082</v>
      </c>
      <c r="D6109" s="81" t="s">
        <v>224</v>
      </c>
      <c r="E6109" s="81" t="s">
        <v>5093</v>
      </c>
      <c r="F6109" s="81" t="s">
        <v>224</v>
      </c>
      <c r="G6109" s="81" t="s">
        <v>224</v>
      </c>
      <c r="H6109" s="81" t="s">
        <v>224</v>
      </c>
      <c r="I6109" s="81" t="s">
        <v>224</v>
      </c>
      <c r="J6109" s="81" t="s">
        <v>5026</v>
      </c>
    </row>
    <row r="6110" hidden="1">
      <c r="A6110" s="83" t="s">
        <v>6408</v>
      </c>
      <c r="B6110" s="83" t="s">
        <v>6409</v>
      </c>
      <c r="C6110" s="81" t="s">
        <v>4082</v>
      </c>
      <c r="D6110" s="81" t="s">
        <v>224</v>
      </c>
      <c r="E6110" s="81" t="s">
        <v>5094</v>
      </c>
      <c r="F6110" s="81" t="s">
        <v>224</v>
      </c>
      <c r="G6110" s="81" t="s">
        <v>224</v>
      </c>
      <c r="H6110" s="81" t="s">
        <v>224</v>
      </c>
      <c r="I6110" s="81" t="s">
        <v>224</v>
      </c>
      <c r="J6110" s="81" t="s">
        <v>5026</v>
      </c>
    </row>
    <row r="6111" hidden="1">
      <c r="A6111" s="83" t="s">
        <v>6408</v>
      </c>
      <c r="B6111" s="83" t="s">
        <v>6409</v>
      </c>
      <c r="C6111" s="81" t="s">
        <v>4082</v>
      </c>
      <c r="D6111" s="81" t="s">
        <v>224</v>
      </c>
      <c r="E6111" s="81" t="s">
        <v>5095</v>
      </c>
      <c r="F6111" s="81" t="s">
        <v>224</v>
      </c>
      <c r="G6111" s="81" t="s">
        <v>224</v>
      </c>
      <c r="H6111" s="81" t="s">
        <v>224</v>
      </c>
      <c r="I6111" s="81" t="s">
        <v>224</v>
      </c>
      <c r="J6111" s="81" t="s">
        <v>5006</v>
      </c>
    </row>
    <row r="6112" hidden="1">
      <c r="A6112" s="83" t="s">
        <v>6408</v>
      </c>
      <c r="B6112" s="83" t="s">
        <v>6409</v>
      </c>
      <c r="C6112" s="81" t="s">
        <v>4082</v>
      </c>
      <c r="D6112" s="81" t="s">
        <v>224</v>
      </c>
      <c r="E6112" s="81" t="s">
        <v>5096</v>
      </c>
      <c r="F6112" s="81" t="s">
        <v>224</v>
      </c>
      <c r="G6112" s="81" t="s">
        <v>224</v>
      </c>
      <c r="H6112" s="81" t="s">
        <v>224</v>
      </c>
      <c r="I6112" s="81" t="s">
        <v>224</v>
      </c>
      <c r="J6112" s="81" t="s">
        <v>5006</v>
      </c>
    </row>
    <row r="6113" hidden="1">
      <c r="A6113" s="83" t="s">
        <v>6408</v>
      </c>
      <c r="B6113" s="83" t="s">
        <v>6409</v>
      </c>
      <c r="C6113" s="81" t="s">
        <v>4082</v>
      </c>
      <c r="D6113" s="81" t="s">
        <v>224</v>
      </c>
      <c r="E6113" s="81" t="s">
        <v>5097</v>
      </c>
      <c r="F6113" s="81" t="s">
        <v>224</v>
      </c>
      <c r="G6113" s="81" t="s">
        <v>224</v>
      </c>
      <c r="H6113" s="81" t="s">
        <v>224</v>
      </c>
      <c r="I6113" s="81" t="s">
        <v>224</v>
      </c>
      <c r="J6113" s="81" t="s">
        <v>5006</v>
      </c>
    </row>
    <row r="6114" hidden="1">
      <c r="A6114" s="83" t="s">
        <v>6408</v>
      </c>
      <c r="B6114" s="83" t="s">
        <v>6409</v>
      </c>
      <c r="C6114" s="81" t="s">
        <v>4082</v>
      </c>
      <c r="D6114" s="81" t="s">
        <v>224</v>
      </c>
      <c r="E6114" s="81" t="s">
        <v>5098</v>
      </c>
      <c r="F6114" s="81" t="s">
        <v>224</v>
      </c>
      <c r="G6114" s="81" t="s">
        <v>224</v>
      </c>
      <c r="H6114" s="81" t="s">
        <v>224</v>
      </c>
      <c r="I6114" s="81" t="s">
        <v>224</v>
      </c>
      <c r="J6114" s="81" t="s">
        <v>4984</v>
      </c>
    </row>
    <row r="6115" hidden="1">
      <c r="A6115" s="83" t="s">
        <v>6408</v>
      </c>
      <c r="B6115" s="83" t="s">
        <v>6409</v>
      </c>
      <c r="C6115" s="81" t="s">
        <v>4082</v>
      </c>
      <c r="D6115" s="81" t="s">
        <v>224</v>
      </c>
      <c r="E6115" s="81" t="s">
        <v>5099</v>
      </c>
      <c r="F6115" s="81" t="s">
        <v>224</v>
      </c>
      <c r="G6115" s="81" t="s">
        <v>224</v>
      </c>
      <c r="H6115" s="81" t="s">
        <v>224</v>
      </c>
      <c r="I6115" s="81" t="s">
        <v>224</v>
      </c>
      <c r="J6115" s="81" t="s">
        <v>4984</v>
      </c>
    </row>
    <row r="6116" hidden="1">
      <c r="A6116" s="83" t="s">
        <v>6408</v>
      </c>
      <c r="B6116" s="83" t="s">
        <v>6409</v>
      </c>
      <c r="C6116" s="81" t="s">
        <v>4082</v>
      </c>
      <c r="D6116" s="81" t="s">
        <v>224</v>
      </c>
      <c r="E6116" s="81" t="s">
        <v>5100</v>
      </c>
      <c r="F6116" s="81" t="s">
        <v>224</v>
      </c>
      <c r="G6116" s="81" t="s">
        <v>224</v>
      </c>
      <c r="H6116" s="81" t="s">
        <v>224</v>
      </c>
      <c r="I6116" s="81" t="s">
        <v>224</v>
      </c>
      <c r="J6116" s="81" t="s">
        <v>4984</v>
      </c>
    </row>
    <row r="6117" hidden="1">
      <c r="A6117" s="83" t="s">
        <v>6408</v>
      </c>
      <c r="B6117" s="83" t="s">
        <v>6409</v>
      </c>
      <c r="C6117" s="81" t="s">
        <v>4082</v>
      </c>
      <c r="D6117" s="81" t="s">
        <v>224</v>
      </c>
      <c r="E6117" s="81" t="s">
        <v>5101</v>
      </c>
      <c r="F6117" s="81" t="s">
        <v>224</v>
      </c>
      <c r="G6117" s="81" t="s">
        <v>224</v>
      </c>
      <c r="H6117" s="81" t="s">
        <v>224</v>
      </c>
      <c r="I6117" s="81" t="s">
        <v>224</v>
      </c>
      <c r="J6117" s="81" t="s">
        <v>5006</v>
      </c>
    </row>
    <row r="6118" hidden="1">
      <c r="A6118" s="83" t="s">
        <v>6408</v>
      </c>
      <c r="B6118" s="83" t="s">
        <v>6409</v>
      </c>
      <c r="C6118" s="81" t="s">
        <v>4082</v>
      </c>
      <c r="D6118" s="81" t="s">
        <v>224</v>
      </c>
      <c r="E6118" s="81" t="s">
        <v>5102</v>
      </c>
      <c r="F6118" s="81" t="s">
        <v>224</v>
      </c>
      <c r="G6118" s="81" t="s">
        <v>224</v>
      </c>
      <c r="H6118" s="81" t="s">
        <v>224</v>
      </c>
      <c r="I6118" s="81" t="s">
        <v>224</v>
      </c>
      <c r="J6118" s="81" t="s">
        <v>4984</v>
      </c>
    </row>
    <row r="6119" hidden="1">
      <c r="A6119" s="83" t="s">
        <v>6408</v>
      </c>
      <c r="B6119" s="83" t="s">
        <v>6409</v>
      </c>
      <c r="C6119" s="81" t="s">
        <v>4082</v>
      </c>
      <c r="D6119" s="81" t="s">
        <v>224</v>
      </c>
      <c r="E6119" s="81" t="s">
        <v>5103</v>
      </c>
      <c r="F6119" s="81" t="s">
        <v>224</v>
      </c>
      <c r="G6119" s="81" t="s">
        <v>224</v>
      </c>
      <c r="H6119" s="81" t="s">
        <v>224</v>
      </c>
      <c r="I6119" s="81" t="s">
        <v>224</v>
      </c>
      <c r="J6119" s="81" t="s">
        <v>5026</v>
      </c>
    </row>
    <row r="6120" hidden="1">
      <c r="A6120" s="83" t="s">
        <v>6408</v>
      </c>
      <c r="B6120" s="83" t="s">
        <v>6409</v>
      </c>
      <c r="C6120" s="81" t="s">
        <v>4082</v>
      </c>
      <c r="D6120" s="81" t="s">
        <v>224</v>
      </c>
      <c r="E6120" s="81" t="s">
        <v>5104</v>
      </c>
      <c r="F6120" s="81" t="s">
        <v>224</v>
      </c>
      <c r="G6120" s="81" t="s">
        <v>224</v>
      </c>
      <c r="H6120" s="81" t="s">
        <v>224</v>
      </c>
      <c r="I6120" s="81" t="s">
        <v>224</v>
      </c>
      <c r="J6120" s="81" t="s">
        <v>5026</v>
      </c>
    </row>
    <row r="6121" hidden="1">
      <c r="A6121" s="83" t="s">
        <v>6408</v>
      </c>
      <c r="B6121" s="83" t="s">
        <v>6409</v>
      </c>
      <c r="C6121" s="81" t="s">
        <v>4082</v>
      </c>
      <c r="D6121" s="81" t="s">
        <v>224</v>
      </c>
      <c r="E6121" s="81" t="s">
        <v>5105</v>
      </c>
      <c r="F6121" s="81" t="s">
        <v>224</v>
      </c>
      <c r="G6121" s="81" t="s">
        <v>224</v>
      </c>
      <c r="H6121" s="81" t="s">
        <v>224</v>
      </c>
      <c r="I6121" s="81" t="s">
        <v>224</v>
      </c>
      <c r="J6121" s="81" t="s">
        <v>5028</v>
      </c>
    </row>
    <row r="6122" hidden="1">
      <c r="A6122" s="83" t="s">
        <v>6408</v>
      </c>
      <c r="B6122" s="83" t="s">
        <v>6409</v>
      </c>
      <c r="C6122" s="81" t="s">
        <v>4082</v>
      </c>
      <c r="D6122" s="81" t="s">
        <v>224</v>
      </c>
      <c r="E6122" s="81" t="s">
        <v>5106</v>
      </c>
      <c r="F6122" s="81" t="s">
        <v>224</v>
      </c>
      <c r="G6122" s="81" t="s">
        <v>224</v>
      </c>
      <c r="H6122" s="81" t="s">
        <v>224</v>
      </c>
      <c r="I6122" s="81" t="s">
        <v>224</v>
      </c>
      <c r="J6122" s="81" t="s">
        <v>5028</v>
      </c>
    </row>
    <row r="6123" hidden="1">
      <c r="A6123" s="83" t="s">
        <v>6408</v>
      </c>
      <c r="B6123" s="83" t="s">
        <v>6409</v>
      </c>
      <c r="C6123" s="81" t="s">
        <v>4082</v>
      </c>
      <c r="D6123" s="81" t="s">
        <v>224</v>
      </c>
      <c r="E6123" s="81" t="s">
        <v>5107</v>
      </c>
      <c r="F6123" s="81" t="s">
        <v>224</v>
      </c>
      <c r="G6123" s="81" t="s">
        <v>224</v>
      </c>
      <c r="H6123" s="81" t="s">
        <v>224</v>
      </c>
      <c r="I6123" s="81" t="s">
        <v>224</v>
      </c>
      <c r="J6123" s="81" t="s">
        <v>5028</v>
      </c>
    </row>
    <row r="6124" hidden="1">
      <c r="A6124" s="83" t="s">
        <v>6408</v>
      </c>
      <c r="B6124" s="83" t="s">
        <v>6409</v>
      </c>
      <c r="C6124" s="81" t="s">
        <v>4082</v>
      </c>
      <c r="D6124" s="81" t="s">
        <v>224</v>
      </c>
      <c r="E6124" s="81" t="s">
        <v>5108</v>
      </c>
      <c r="F6124" s="81" t="s">
        <v>224</v>
      </c>
      <c r="G6124" s="81" t="s">
        <v>224</v>
      </c>
      <c r="H6124" s="81" t="s">
        <v>224</v>
      </c>
      <c r="I6124" s="81" t="s">
        <v>224</v>
      </c>
      <c r="J6124" s="81" t="s">
        <v>5028</v>
      </c>
    </row>
    <row r="6125" hidden="1">
      <c r="A6125" s="83" t="s">
        <v>6408</v>
      </c>
      <c r="B6125" s="83" t="s">
        <v>6409</v>
      </c>
      <c r="C6125" s="81" t="s">
        <v>4082</v>
      </c>
      <c r="D6125" s="81" t="s">
        <v>224</v>
      </c>
      <c r="E6125" s="81" t="s">
        <v>5109</v>
      </c>
      <c r="F6125" s="81" t="s">
        <v>224</v>
      </c>
      <c r="G6125" s="81" t="s">
        <v>224</v>
      </c>
      <c r="H6125" s="81" t="s">
        <v>224</v>
      </c>
      <c r="I6125" s="81" t="s">
        <v>224</v>
      </c>
      <c r="J6125" s="81" t="s">
        <v>5028</v>
      </c>
    </row>
    <row r="6126" hidden="1">
      <c r="A6126" s="83" t="s">
        <v>6408</v>
      </c>
      <c r="B6126" s="83" t="s">
        <v>6409</v>
      </c>
      <c r="C6126" s="81" t="s">
        <v>4082</v>
      </c>
      <c r="D6126" s="81" t="s">
        <v>224</v>
      </c>
      <c r="E6126" s="81" t="s">
        <v>5110</v>
      </c>
      <c r="F6126" s="81" t="s">
        <v>224</v>
      </c>
      <c r="G6126" s="81" t="s">
        <v>224</v>
      </c>
      <c r="H6126" s="81" t="s">
        <v>224</v>
      </c>
      <c r="I6126" s="81" t="s">
        <v>224</v>
      </c>
      <c r="J6126" s="81" t="s">
        <v>5028</v>
      </c>
    </row>
    <row r="6127" hidden="1">
      <c r="A6127" s="83" t="s">
        <v>6408</v>
      </c>
      <c r="B6127" s="83" t="s">
        <v>6409</v>
      </c>
      <c r="C6127" s="81" t="s">
        <v>4082</v>
      </c>
      <c r="D6127" s="81" t="s">
        <v>224</v>
      </c>
      <c r="E6127" s="81" t="s">
        <v>224</v>
      </c>
      <c r="F6127" s="81" t="s">
        <v>224</v>
      </c>
      <c r="G6127" s="81" t="s">
        <v>224</v>
      </c>
      <c r="H6127" s="81" t="s">
        <v>224</v>
      </c>
      <c r="I6127" s="81" t="s">
        <v>224</v>
      </c>
      <c r="J6127" s="81" t="s">
        <v>5111</v>
      </c>
    </row>
    <row r="6128" hidden="1">
      <c r="A6128" s="83" t="s">
        <v>6408</v>
      </c>
      <c r="B6128" s="83" t="s">
        <v>6409</v>
      </c>
      <c r="C6128" s="81" t="s">
        <v>4082</v>
      </c>
      <c r="D6128" s="83" t="s">
        <v>4201</v>
      </c>
      <c r="E6128" s="81" t="s">
        <v>754</v>
      </c>
      <c r="F6128" s="81">
        <v>127.0</v>
      </c>
      <c r="G6128" s="81" t="s">
        <v>39</v>
      </c>
      <c r="H6128" s="81" t="s">
        <v>224</v>
      </c>
      <c r="I6128" s="81" t="s">
        <v>224</v>
      </c>
      <c r="J6128" s="81" t="s">
        <v>5311</v>
      </c>
    </row>
    <row r="6129" hidden="1">
      <c r="A6129" s="83" t="s">
        <v>6408</v>
      </c>
      <c r="B6129" s="83" t="s">
        <v>6409</v>
      </c>
      <c r="C6129" s="81" t="s">
        <v>4082</v>
      </c>
      <c r="D6129" s="83" t="s">
        <v>4208</v>
      </c>
      <c r="E6129" s="81" t="s">
        <v>786</v>
      </c>
      <c r="F6129" s="81">
        <v>134.0</v>
      </c>
      <c r="G6129" s="81" t="s">
        <v>39</v>
      </c>
      <c r="H6129" s="81" t="s">
        <v>224</v>
      </c>
      <c r="I6129" s="81" t="s">
        <v>224</v>
      </c>
      <c r="J6129" s="81" t="s">
        <v>5322</v>
      </c>
    </row>
    <row r="6130" hidden="1">
      <c r="A6130" s="83" t="s">
        <v>6408</v>
      </c>
      <c r="B6130" s="83" t="s">
        <v>6409</v>
      </c>
      <c r="C6130" s="81" t="s">
        <v>4082</v>
      </c>
      <c r="D6130" s="83" t="s">
        <v>4211</v>
      </c>
      <c r="E6130" s="81" t="s">
        <v>798</v>
      </c>
      <c r="F6130" s="81">
        <v>137.0</v>
      </c>
      <c r="G6130" s="81" t="s">
        <v>39</v>
      </c>
      <c r="H6130" s="81" t="s">
        <v>224</v>
      </c>
      <c r="I6130" s="81" t="s">
        <v>224</v>
      </c>
      <c r="J6130" s="81" t="s">
        <v>5327</v>
      </c>
    </row>
    <row r="6131" hidden="1">
      <c r="A6131" s="83" t="s">
        <v>6408</v>
      </c>
      <c r="B6131" s="83" t="s">
        <v>6409</v>
      </c>
      <c r="C6131" s="81" t="s">
        <v>4082</v>
      </c>
      <c r="D6131" s="83" t="s">
        <v>4212</v>
      </c>
      <c r="E6131" s="81" t="s">
        <v>804</v>
      </c>
      <c r="F6131" s="81">
        <v>138.0</v>
      </c>
      <c r="G6131" s="81" t="s">
        <v>39</v>
      </c>
      <c r="H6131" s="81" t="s">
        <v>224</v>
      </c>
      <c r="I6131" s="81" t="s">
        <v>224</v>
      </c>
      <c r="J6131" s="81" t="s">
        <v>5330</v>
      </c>
    </row>
    <row r="6132" hidden="1">
      <c r="A6132" s="83" t="s">
        <v>6408</v>
      </c>
      <c r="B6132" s="83" t="s">
        <v>6409</v>
      </c>
      <c r="C6132" s="81" t="s">
        <v>4082</v>
      </c>
      <c r="D6132" s="83" t="s">
        <v>4238</v>
      </c>
      <c r="E6132" s="81" t="s">
        <v>918</v>
      </c>
      <c r="F6132" s="81">
        <v>163.0</v>
      </c>
      <c r="G6132" s="81" t="s">
        <v>41</v>
      </c>
      <c r="H6132" s="81" t="s">
        <v>924</v>
      </c>
      <c r="I6132" s="81" t="s">
        <v>224</v>
      </c>
      <c r="J6132" s="81" t="s">
        <v>6344</v>
      </c>
    </row>
    <row r="6133" hidden="1">
      <c r="A6133" s="83" t="s">
        <v>6408</v>
      </c>
      <c r="B6133" s="83" t="s">
        <v>6409</v>
      </c>
      <c r="C6133" s="81" t="s">
        <v>4082</v>
      </c>
      <c r="D6133" s="83" t="s">
        <v>4267</v>
      </c>
      <c r="E6133" s="81" t="s">
        <v>1042</v>
      </c>
      <c r="F6133" s="81">
        <v>198.0</v>
      </c>
      <c r="G6133" s="81" t="s">
        <v>41</v>
      </c>
      <c r="H6133" s="81" t="s">
        <v>1051</v>
      </c>
      <c r="I6133" s="81" t="s">
        <v>224</v>
      </c>
      <c r="J6133" s="81" t="s">
        <v>6345</v>
      </c>
    </row>
    <row r="6134" hidden="1">
      <c r="A6134" s="83" t="s">
        <v>6408</v>
      </c>
      <c r="B6134" s="83" t="s">
        <v>6409</v>
      </c>
      <c r="C6134" s="81" t="s">
        <v>4082</v>
      </c>
      <c r="D6134" s="83" t="s">
        <v>4304</v>
      </c>
      <c r="E6134" s="81" t="s">
        <v>1225</v>
      </c>
      <c r="F6134" s="81">
        <v>243.0</v>
      </c>
      <c r="G6134" s="81" t="s">
        <v>41</v>
      </c>
      <c r="H6134" s="81" t="s">
        <v>1233</v>
      </c>
      <c r="I6134" s="81" t="s">
        <v>224</v>
      </c>
      <c r="J6134" s="81" t="s">
        <v>6346</v>
      </c>
    </row>
    <row r="6135" hidden="1">
      <c r="A6135" s="83" t="s">
        <v>6408</v>
      </c>
      <c r="B6135" s="83" t="s">
        <v>6409</v>
      </c>
      <c r="C6135" s="81" t="s">
        <v>4082</v>
      </c>
      <c r="D6135" s="83" t="s">
        <v>4306</v>
      </c>
      <c r="E6135" s="81" t="s">
        <v>1237</v>
      </c>
      <c r="F6135" s="81">
        <v>246.0</v>
      </c>
      <c r="G6135" s="81" t="s">
        <v>41</v>
      </c>
      <c r="H6135" s="81" t="s">
        <v>1237</v>
      </c>
      <c r="I6135" s="81" t="s">
        <v>224</v>
      </c>
      <c r="J6135" s="81" t="s">
        <v>6347</v>
      </c>
    </row>
    <row r="6136" hidden="1">
      <c r="A6136" s="83" t="s">
        <v>6408</v>
      </c>
      <c r="B6136" s="83" t="s">
        <v>6409</v>
      </c>
      <c r="C6136" s="81" t="s">
        <v>4082</v>
      </c>
      <c r="D6136" s="83" t="s">
        <v>4316</v>
      </c>
      <c r="E6136" s="81" t="s">
        <v>1313</v>
      </c>
      <c r="F6136" s="81">
        <v>256.0</v>
      </c>
      <c r="G6136" s="81" t="s">
        <v>39</v>
      </c>
      <c r="H6136" s="81" t="s">
        <v>224</v>
      </c>
      <c r="I6136" s="81" t="s">
        <v>224</v>
      </c>
      <c r="J6136" s="81" t="s">
        <v>5515</v>
      </c>
    </row>
    <row r="6137" hidden="1">
      <c r="A6137" s="83" t="s">
        <v>6408</v>
      </c>
      <c r="B6137" s="83" t="s">
        <v>6409</v>
      </c>
      <c r="C6137" s="81" t="s">
        <v>4082</v>
      </c>
      <c r="D6137" s="83" t="s">
        <v>4351</v>
      </c>
      <c r="E6137" s="81" t="s">
        <v>1470</v>
      </c>
      <c r="F6137" s="81">
        <v>283.0</v>
      </c>
      <c r="G6137" s="81" t="s">
        <v>41</v>
      </c>
      <c r="H6137" s="81" t="s">
        <v>1476</v>
      </c>
      <c r="I6137" s="81" t="s">
        <v>224</v>
      </c>
      <c r="J6137" s="81" t="s">
        <v>6348</v>
      </c>
    </row>
    <row r="6138" hidden="1">
      <c r="A6138" s="83" t="s">
        <v>6408</v>
      </c>
      <c r="B6138" s="83" t="s">
        <v>6409</v>
      </c>
      <c r="C6138" s="81" t="s">
        <v>4082</v>
      </c>
      <c r="D6138" s="83" t="s">
        <v>4363</v>
      </c>
      <c r="E6138" s="81" t="s">
        <v>1533</v>
      </c>
      <c r="F6138" s="81">
        <v>298.0</v>
      </c>
      <c r="G6138" s="81" t="s">
        <v>41</v>
      </c>
      <c r="H6138" s="81" t="s">
        <v>1550</v>
      </c>
      <c r="I6138" s="81" t="s">
        <v>224</v>
      </c>
      <c r="J6138" s="81" t="s">
        <v>6349</v>
      </c>
    </row>
    <row r="6139" hidden="1">
      <c r="A6139" s="83" t="s">
        <v>6408</v>
      </c>
      <c r="B6139" s="83" t="s">
        <v>6409</v>
      </c>
      <c r="C6139" s="81" t="s">
        <v>4082</v>
      </c>
      <c r="D6139" s="83" t="s">
        <v>4380</v>
      </c>
      <c r="E6139" s="81" t="s">
        <v>1617</v>
      </c>
      <c r="F6139" s="81">
        <v>319.0</v>
      </c>
      <c r="G6139" s="81" t="s">
        <v>39</v>
      </c>
      <c r="H6139" s="81" t="s">
        <v>224</v>
      </c>
      <c r="I6139" s="81" t="s">
        <v>224</v>
      </c>
      <c r="J6139" s="81" t="s">
        <v>5616</v>
      </c>
    </row>
    <row r="6140" hidden="1">
      <c r="A6140" s="83" t="s">
        <v>6408</v>
      </c>
      <c r="B6140" s="83" t="s">
        <v>6409</v>
      </c>
      <c r="C6140" s="81" t="s">
        <v>4082</v>
      </c>
      <c r="D6140" s="83" t="s">
        <v>4389</v>
      </c>
      <c r="E6140" s="81" t="s">
        <v>1670</v>
      </c>
      <c r="F6140" s="81">
        <v>331.0</v>
      </c>
      <c r="G6140" s="81" t="s">
        <v>41</v>
      </c>
      <c r="H6140" s="81" t="s">
        <v>1670</v>
      </c>
      <c r="I6140" s="81" t="s">
        <v>224</v>
      </c>
      <c r="J6140" s="81" t="s">
        <v>6350</v>
      </c>
    </row>
    <row r="6141" hidden="1">
      <c r="A6141" s="83" t="s">
        <v>6408</v>
      </c>
      <c r="B6141" s="83" t="s">
        <v>6409</v>
      </c>
      <c r="C6141" s="81" t="s">
        <v>4082</v>
      </c>
      <c r="D6141" s="83" t="s">
        <v>4391</v>
      </c>
      <c r="E6141" s="81" t="s">
        <v>1682</v>
      </c>
      <c r="F6141" s="81">
        <v>334.0</v>
      </c>
      <c r="G6141" s="81" t="s">
        <v>41</v>
      </c>
      <c r="H6141" s="81" t="s">
        <v>1687</v>
      </c>
      <c r="I6141" s="81" t="s">
        <v>224</v>
      </c>
      <c r="J6141" s="81" t="s">
        <v>6351</v>
      </c>
    </row>
    <row r="6142" hidden="1">
      <c r="A6142" s="83" t="s">
        <v>6408</v>
      </c>
      <c r="B6142" s="83" t="s">
        <v>6409</v>
      </c>
      <c r="C6142" s="81" t="s">
        <v>4082</v>
      </c>
      <c r="D6142" s="83" t="s">
        <v>4393</v>
      </c>
      <c r="E6142" s="81" t="s">
        <v>1690</v>
      </c>
      <c r="F6142" s="81">
        <v>335.0</v>
      </c>
      <c r="G6142" s="81" t="s">
        <v>41</v>
      </c>
      <c r="H6142" s="81" t="s">
        <v>1694</v>
      </c>
      <c r="I6142" s="81" t="s">
        <v>224</v>
      </c>
      <c r="J6142" s="81" t="s">
        <v>6352</v>
      </c>
    </row>
    <row r="6143" hidden="1">
      <c r="A6143" s="83" t="s">
        <v>6408</v>
      </c>
      <c r="B6143" s="83" t="s">
        <v>6409</v>
      </c>
      <c r="C6143" s="81" t="s">
        <v>4082</v>
      </c>
      <c r="D6143" s="83" t="s">
        <v>4406</v>
      </c>
      <c r="E6143" s="81" t="s">
        <v>1756</v>
      </c>
      <c r="F6143" s="81">
        <v>349.0</v>
      </c>
      <c r="G6143" s="81" t="s">
        <v>41</v>
      </c>
      <c r="H6143" s="81" t="s">
        <v>1761</v>
      </c>
      <c r="I6143" s="81" t="s">
        <v>224</v>
      </c>
      <c r="J6143" s="81" t="s">
        <v>6353</v>
      </c>
    </row>
    <row r="6144" hidden="1">
      <c r="A6144" s="83" t="s">
        <v>6408</v>
      </c>
      <c r="B6144" s="83" t="s">
        <v>6409</v>
      </c>
      <c r="C6144" s="81" t="s">
        <v>4082</v>
      </c>
      <c r="D6144" s="83" t="s">
        <v>4429</v>
      </c>
      <c r="E6144" s="81" t="s">
        <v>1900</v>
      </c>
      <c r="F6144" s="81">
        <v>375.0</v>
      </c>
      <c r="G6144" s="81" t="s">
        <v>39</v>
      </c>
      <c r="H6144" s="81" t="s">
        <v>224</v>
      </c>
      <c r="I6144" s="81" t="s">
        <v>224</v>
      </c>
      <c r="J6144" s="81" t="s">
        <v>5711</v>
      </c>
    </row>
    <row r="6145" hidden="1">
      <c r="A6145" s="83" t="s">
        <v>6408</v>
      </c>
      <c r="B6145" s="83" t="s">
        <v>6409</v>
      </c>
      <c r="C6145" s="81" t="s">
        <v>4082</v>
      </c>
      <c r="D6145" s="83" t="s">
        <v>4475</v>
      </c>
      <c r="E6145" s="81" t="s">
        <v>2212</v>
      </c>
      <c r="F6145" s="81">
        <v>425.0</v>
      </c>
      <c r="G6145" s="81" t="s">
        <v>41</v>
      </c>
      <c r="H6145" s="81" t="s">
        <v>2226</v>
      </c>
      <c r="I6145" s="81" t="s">
        <v>224</v>
      </c>
      <c r="J6145" s="81" t="s">
        <v>6354</v>
      </c>
    </row>
    <row r="6146" hidden="1">
      <c r="A6146" s="83" t="s">
        <v>6408</v>
      </c>
      <c r="B6146" s="83" t="s">
        <v>6409</v>
      </c>
      <c r="C6146" s="81" t="s">
        <v>4082</v>
      </c>
      <c r="D6146" s="83" t="s">
        <v>4490</v>
      </c>
      <c r="E6146" s="81" t="s">
        <v>2285</v>
      </c>
      <c r="F6146" s="81">
        <v>439.0</v>
      </c>
      <c r="G6146" s="81" t="s">
        <v>41</v>
      </c>
      <c r="H6146" s="81" t="s">
        <v>2296</v>
      </c>
      <c r="I6146" s="81" t="s">
        <v>224</v>
      </c>
      <c r="J6146" s="81" t="s">
        <v>6355</v>
      </c>
    </row>
    <row r="6147" hidden="1">
      <c r="A6147" s="83" t="s">
        <v>6408</v>
      </c>
      <c r="B6147" s="83" t="s">
        <v>6409</v>
      </c>
      <c r="C6147" s="81" t="s">
        <v>4082</v>
      </c>
      <c r="D6147" s="83" t="s">
        <v>4558</v>
      </c>
      <c r="E6147" s="81" t="s">
        <v>2619</v>
      </c>
      <c r="F6147" s="81">
        <v>504.0</v>
      </c>
      <c r="G6147" s="81" t="s">
        <v>41</v>
      </c>
      <c r="H6147" s="81" t="s">
        <v>2629</v>
      </c>
      <c r="I6147" s="81" t="s">
        <v>224</v>
      </c>
      <c r="J6147" s="81" t="s">
        <v>6356</v>
      </c>
    </row>
    <row r="6148" hidden="1">
      <c r="A6148" s="83" t="s">
        <v>6408</v>
      </c>
      <c r="B6148" s="83" t="s">
        <v>6409</v>
      </c>
      <c r="C6148" s="81" t="s">
        <v>4082</v>
      </c>
      <c r="D6148" s="83" t="s">
        <v>4608</v>
      </c>
      <c r="E6148" s="81" t="s">
        <v>4609</v>
      </c>
      <c r="F6148" s="81">
        <v>559.0</v>
      </c>
      <c r="G6148" s="81" t="s">
        <v>41</v>
      </c>
      <c r="H6148" s="81" t="s">
        <v>2907</v>
      </c>
      <c r="I6148" s="81" t="s">
        <v>224</v>
      </c>
      <c r="J6148" s="81" t="s">
        <v>6357</v>
      </c>
    </row>
    <row r="6149" hidden="1">
      <c r="A6149" s="83" t="s">
        <v>6408</v>
      </c>
      <c r="B6149" s="83" t="s">
        <v>6409</v>
      </c>
      <c r="C6149" s="81" t="s">
        <v>4082</v>
      </c>
      <c r="D6149" s="83" t="s">
        <v>4682</v>
      </c>
      <c r="E6149" s="81" t="s">
        <v>3226</v>
      </c>
      <c r="F6149" s="81">
        <v>613.0</v>
      </c>
      <c r="G6149" s="81" t="s">
        <v>39</v>
      </c>
      <c r="H6149" s="81" t="s">
        <v>224</v>
      </c>
      <c r="I6149" s="81" t="s">
        <v>224</v>
      </c>
      <c r="J6149" s="81" t="s">
        <v>6052</v>
      </c>
    </row>
    <row r="6150" hidden="1">
      <c r="A6150" s="83" t="s">
        <v>6408</v>
      </c>
      <c r="B6150" s="83" t="s">
        <v>6409</v>
      </c>
      <c r="C6150" s="81" t="s">
        <v>4082</v>
      </c>
      <c r="D6150" s="83" t="s">
        <v>4707</v>
      </c>
      <c r="E6150" s="81" t="s">
        <v>3362</v>
      </c>
      <c r="F6150" s="81">
        <v>641.0</v>
      </c>
      <c r="G6150" s="81" t="s">
        <v>39</v>
      </c>
      <c r="H6150" s="81" t="s">
        <v>224</v>
      </c>
      <c r="I6150" s="81" t="s">
        <v>224</v>
      </c>
      <c r="J6150" s="81" t="s">
        <v>6096</v>
      </c>
    </row>
    <row r="6151" hidden="1">
      <c r="A6151" s="83" t="s">
        <v>6408</v>
      </c>
      <c r="B6151" s="83" t="s">
        <v>6409</v>
      </c>
      <c r="C6151" s="81" t="s">
        <v>4082</v>
      </c>
      <c r="D6151" s="83" t="s">
        <v>4709</v>
      </c>
      <c r="E6151" s="81" t="s">
        <v>3370</v>
      </c>
      <c r="F6151" s="81">
        <v>643.0</v>
      </c>
      <c r="G6151" s="81" t="s">
        <v>39</v>
      </c>
      <c r="H6151" s="81" t="s">
        <v>224</v>
      </c>
      <c r="I6151" s="81" t="s">
        <v>224</v>
      </c>
      <c r="J6151" s="81" t="s">
        <v>6101</v>
      </c>
    </row>
    <row r="6152" hidden="1">
      <c r="A6152" s="83" t="s">
        <v>6408</v>
      </c>
      <c r="B6152" s="83" t="s">
        <v>6409</v>
      </c>
      <c r="C6152" s="81" t="s">
        <v>4082</v>
      </c>
      <c r="D6152" s="83" t="s">
        <v>4847</v>
      </c>
      <c r="E6152" s="81" t="s">
        <v>4005</v>
      </c>
      <c r="F6152" s="81">
        <v>794.0</v>
      </c>
      <c r="G6152" s="81" t="s">
        <v>39</v>
      </c>
      <c r="H6152" s="81" t="s">
        <v>224</v>
      </c>
      <c r="I6152" s="81" t="s">
        <v>224</v>
      </c>
      <c r="J6152" s="81" t="s">
        <v>6316</v>
      </c>
    </row>
    <row r="6153" hidden="1">
      <c r="A6153" s="83" t="s">
        <v>6408</v>
      </c>
      <c r="B6153" s="83" t="s">
        <v>6409</v>
      </c>
      <c r="C6153" s="81" t="s">
        <v>4084</v>
      </c>
      <c r="D6153" s="81" t="s">
        <v>224</v>
      </c>
      <c r="E6153" s="81" t="s">
        <v>224</v>
      </c>
      <c r="F6153" s="81" t="s">
        <v>224</v>
      </c>
      <c r="G6153" s="81" t="s">
        <v>40</v>
      </c>
      <c r="H6153" s="81" t="s">
        <v>224</v>
      </c>
      <c r="I6153" s="81" t="s">
        <v>224</v>
      </c>
      <c r="J6153" s="81" t="s">
        <v>6338</v>
      </c>
    </row>
    <row r="6154" hidden="1">
      <c r="A6154" s="83" t="s">
        <v>6408</v>
      </c>
      <c r="B6154" s="83" t="s">
        <v>6409</v>
      </c>
      <c r="C6154" s="81" t="s">
        <v>4084</v>
      </c>
      <c r="D6154" s="81" t="s">
        <v>224</v>
      </c>
      <c r="E6154" s="81" t="s">
        <v>224</v>
      </c>
      <c r="F6154" s="81" t="s">
        <v>224</v>
      </c>
      <c r="G6154" s="81" t="s">
        <v>41</v>
      </c>
      <c r="H6154" s="81" t="s">
        <v>224</v>
      </c>
      <c r="I6154" s="81" t="s">
        <v>224</v>
      </c>
      <c r="J6154" s="81" t="s">
        <v>6358</v>
      </c>
    </row>
    <row r="6155" hidden="1">
      <c r="A6155" s="83" t="s">
        <v>6411</v>
      </c>
      <c r="B6155" s="83" t="s">
        <v>6412</v>
      </c>
      <c r="C6155" s="81" t="s">
        <v>4080</v>
      </c>
      <c r="D6155" s="81" t="s">
        <v>224</v>
      </c>
      <c r="E6155" s="81" t="s">
        <v>224</v>
      </c>
      <c r="F6155" s="81" t="s">
        <v>224</v>
      </c>
      <c r="G6155" s="81" t="s">
        <v>224</v>
      </c>
      <c r="H6155" s="81" t="s">
        <v>224</v>
      </c>
      <c r="I6155" s="81" t="s">
        <v>224</v>
      </c>
      <c r="J6155" s="81" t="s">
        <v>6413</v>
      </c>
    </row>
    <row r="6156" hidden="1">
      <c r="A6156" s="83" t="s">
        <v>6411</v>
      </c>
      <c r="B6156" s="83" t="s">
        <v>6412</v>
      </c>
      <c r="C6156" s="81" t="s">
        <v>4082</v>
      </c>
      <c r="D6156" s="81" t="s">
        <v>224</v>
      </c>
      <c r="E6156" s="81" t="s">
        <v>6362</v>
      </c>
      <c r="F6156" s="81" t="s">
        <v>224</v>
      </c>
      <c r="G6156" s="81" t="s">
        <v>42</v>
      </c>
      <c r="H6156" s="81" t="s">
        <v>224</v>
      </c>
      <c r="I6156" s="81" t="s">
        <v>224</v>
      </c>
      <c r="J6156" s="81" t="s">
        <v>6363</v>
      </c>
    </row>
    <row r="6157" hidden="1">
      <c r="A6157" s="83" t="s">
        <v>6411</v>
      </c>
      <c r="B6157" s="83" t="s">
        <v>6412</v>
      </c>
      <c r="C6157" s="81" t="s">
        <v>4084</v>
      </c>
      <c r="D6157" s="81" t="s">
        <v>224</v>
      </c>
      <c r="E6157" s="81" t="s">
        <v>224</v>
      </c>
      <c r="F6157" s="81" t="s">
        <v>224</v>
      </c>
      <c r="G6157" s="81" t="s">
        <v>224</v>
      </c>
      <c r="H6157" s="81" t="s">
        <v>224</v>
      </c>
      <c r="I6157" s="81" t="s">
        <v>224</v>
      </c>
      <c r="J6157" s="81" t="s">
        <v>6414</v>
      </c>
    </row>
    <row r="6158" hidden="1">
      <c r="A6158" s="83" t="s">
        <v>6411</v>
      </c>
      <c r="B6158" s="83" t="s">
        <v>6412</v>
      </c>
      <c r="C6158" s="81" t="s">
        <v>4082</v>
      </c>
      <c r="D6158" s="81" t="s">
        <v>224</v>
      </c>
      <c r="E6158" s="81" t="s">
        <v>4953</v>
      </c>
      <c r="F6158" s="81" t="s">
        <v>224</v>
      </c>
      <c r="G6158" s="81" t="s">
        <v>224</v>
      </c>
      <c r="H6158" s="81" t="s">
        <v>224</v>
      </c>
      <c r="I6158" s="81" t="s">
        <v>224</v>
      </c>
      <c r="J6158" s="81" t="s">
        <v>4954</v>
      </c>
    </row>
    <row r="6159" hidden="1">
      <c r="A6159" s="83" t="s">
        <v>6411</v>
      </c>
      <c r="B6159" s="83" t="s">
        <v>6412</v>
      </c>
      <c r="C6159" s="81" t="s">
        <v>4082</v>
      </c>
      <c r="D6159" s="81" t="s">
        <v>224</v>
      </c>
      <c r="E6159" s="81" t="s">
        <v>4955</v>
      </c>
      <c r="F6159" s="81" t="s">
        <v>224</v>
      </c>
      <c r="G6159" s="81" t="s">
        <v>224</v>
      </c>
      <c r="H6159" s="81" t="s">
        <v>224</v>
      </c>
      <c r="I6159" s="81" t="s">
        <v>224</v>
      </c>
      <c r="J6159" s="81" t="s">
        <v>4954</v>
      </c>
    </row>
    <row r="6160" hidden="1">
      <c r="A6160" s="83" t="s">
        <v>6411</v>
      </c>
      <c r="B6160" s="83" t="s">
        <v>6412</v>
      </c>
      <c r="C6160" s="81" t="s">
        <v>4082</v>
      </c>
      <c r="D6160" s="81" t="s">
        <v>224</v>
      </c>
      <c r="E6160" s="81" t="s">
        <v>4009</v>
      </c>
      <c r="F6160" s="81" t="s">
        <v>224</v>
      </c>
      <c r="G6160" s="81" t="s">
        <v>224</v>
      </c>
      <c r="H6160" s="81" t="s">
        <v>224</v>
      </c>
      <c r="I6160" s="81" t="s">
        <v>224</v>
      </c>
      <c r="J6160" s="81" t="s">
        <v>4954</v>
      </c>
    </row>
    <row r="6161" hidden="1">
      <c r="A6161" s="83" t="s">
        <v>6411</v>
      </c>
      <c r="B6161" s="83" t="s">
        <v>6412</v>
      </c>
      <c r="C6161" s="81" t="s">
        <v>4082</v>
      </c>
      <c r="D6161" s="81" t="s">
        <v>224</v>
      </c>
      <c r="E6161" s="81" t="s">
        <v>4956</v>
      </c>
      <c r="F6161" s="81" t="s">
        <v>224</v>
      </c>
      <c r="G6161" s="81" t="s">
        <v>224</v>
      </c>
      <c r="H6161" s="81" t="s">
        <v>224</v>
      </c>
      <c r="I6161" s="81" t="s">
        <v>224</v>
      </c>
      <c r="J6161" s="81" t="s">
        <v>4957</v>
      </c>
    </row>
    <row r="6162" hidden="1">
      <c r="A6162" s="83" t="s">
        <v>6411</v>
      </c>
      <c r="B6162" s="83" t="s">
        <v>6412</v>
      </c>
      <c r="C6162" s="81" t="s">
        <v>4082</v>
      </c>
      <c r="D6162" s="81" t="s">
        <v>224</v>
      </c>
      <c r="E6162" s="81" t="s">
        <v>4958</v>
      </c>
      <c r="F6162" s="81" t="s">
        <v>224</v>
      </c>
      <c r="G6162" s="81" t="s">
        <v>224</v>
      </c>
      <c r="H6162" s="81" t="s">
        <v>224</v>
      </c>
      <c r="I6162" s="81" t="s">
        <v>224</v>
      </c>
      <c r="J6162" s="81" t="s">
        <v>4959</v>
      </c>
    </row>
    <row r="6163" hidden="1">
      <c r="A6163" s="83" t="s">
        <v>6411</v>
      </c>
      <c r="B6163" s="83" t="s">
        <v>6412</v>
      </c>
      <c r="C6163" s="81" t="s">
        <v>4082</v>
      </c>
      <c r="D6163" s="81" t="s">
        <v>224</v>
      </c>
      <c r="E6163" s="81" t="s">
        <v>4960</v>
      </c>
      <c r="F6163" s="81" t="s">
        <v>224</v>
      </c>
      <c r="G6163" s="81" t="s">
        <v>224</v>
      </c>
      <c r="H6163" s="81" t="s">
        <v>224</v>
      </c>
      <c r="I6163" s="81" t="s">
        <v>224</v>
      </c>
      <c r="J6163" s="81" t="s">
        <v>4961</v>
      </c>
    </row>
    <row r="6164" hidden="1">
      <c r="A6164" s="83" t="s">
        <v>6411</v>
      </c>
      <c r="B6164" s="83" t="s">
        <v>6412</v>
      </c>
      <c r="C6164" s="81" t="s">
        <v>4082</v>
      </c>
      <c r="D6164" s="81" t="s">
        <v>224</v>
      </c>
      <c r="E6164" s="81" t="s">
        <v>4962</v>
      </c>
      <c r="F6164" s="81" t="s">
        <v>224</v>
      </c>
      <c r="G6164" s="81" t="s">
        <v>224</v>
      </c>
      <c r="H6164" s="81" t="s">
        <v>224</v>
      </c>
      <c r="I6164" s="81" t="s">
        <v>224</v>
      </c>
      <c r="J6164" s="81" t="s">
        <v>4963</v>
      </c>
    </row>
    <row r="6165" hidden="1">
      <c r="A6165" s="83" t="s">
        <v>6411</v>
      </c>
      <c r="B6165" s="83" t="s">
        <v>6412</v>
      </c>
      <c r="C6165" s="81" t="s">
        <v>4082</v>
      </c>
      <c r="D6165" s="81" t="s">
        <v>224</v>
      </c>
      <c r="E6165" s="81" t="s">
        <v>4964</v>
      </c>
      <c r="F6165" s="81" t="s">
        <v>224</v>
      </c>
      <c r="G6165" s="81" t="s">
        <v>224</v>
      </c>
      <c r="H6165" s="81" t="s">
        <v>224</v>
      </c>
      <c r="I6165" s="81" t="s">
        <v>224</v>
      </c>
      <c r="J6165" s="81" t="s">
        <v>4963</v>
      </c>
    </row>
    <row r="6166" hidden="1">
      <c r="A6166" s="83" t="s">
        <v>6411</v>
      </c>
      <c r="B6166" s="83" t="s">
        <v>6412</v>
      </c>
      <c r="C6166" s="81" t="s">
        <v>4082</v>
      </c>
      <c r="D6166" s="81" t="s">
        <v>224</v>
      </c>
      <c r="E6166" s="81" t="s">
        <v>4965</v>
      </c>
      <c r="F6166" s="81" t="s">
        <v>224</v>
      </c>
      <c r="G6166" s="81" t="s">
        <v>224</v>
      </c>
      <c r="H6166" s="81" t="s">
        <v>224</v>
      </c>
      <c r="I6166" s="81" t="s">
        <v>224</v>
      </c>
      <c r="J6166" s="81" t="s">
        <v>4966</v>
      </c>
    </row>
    <row r="6167" hidden="1">
      <c r="A6167" s="83" t="s">
        <v>6411</v>
      </c>
      <c r="B6167" s="83" t="s">
        <v>6412</v>
      </c>
      <c r="C6167" s="81" t="s">
        <v>4082</v>
      </c>
      <c r="D6167" s="81" t="s">
        <v>224</v>
      </c>
      <c r="E6167" s="81" t="s">
        <v>4967</v>
      </c>
      <c r="F6167" s="81" t="s">
        <v>224</v>
      </c>
      <c r="G6167" s="81" t="s">
        <v>224</v>
      </c>
      <c r="H6167" s="81" t="s">
        <v>224</v>
      </c>
      <c r="I6167" s="81" t="s">
        <v>224</v>
      </c>
      <c r="J6167" s="81" t="s">
        <v>4966</v>
      </c>
    </row>
    <row r="6168" hidden="1">
      <c r="A6168" s="83" t="s">
        <v>6411</v>
      </c>
      <c r="B6168" s="83" t="s">
        <v>6412</v>
      </c>
      <c r="C6168" s="81" t="s">
        <v>4082</v>
      </c>
      <c r="D6168" s="81" t="s">
        <v>224</v>
      </c>
      <c r="E6168" s="81" t="s">
        <v>4968</v>
      </c>
      <c r="F6168" s="81" t="s">
        <v>224</v>
      </c>
      <c r="G6168" s="81" t="s">
        <v>224</v>
      </c>
      <c r="H6168" s="81" t="s">
        <v>224</v>
      </c>
      <c r="I6168" s="81" t="s">
        <v>224</v>
      </c>
      <c r="J6168" s="81" t="s">
        <v>4966</v>
      </c>
    </row>
    <row r="6169" hidden="1">
      <c r="A6169" s="83" t="s">
        <v>6411</v>
      </c>
      <c r="B6169" s="83" t="s">
        <v>6412</v>
      </c>
      <c r="C6169" s="81" t="s">
        <v>4082</v>
      </c>
      <c r="D6169" s="81" t="s">
        <v>224</v>
      </c>
      <c r="E6169" s="81" t="s">
        <v>4969</v>
      </c>
      <c r="F6169" s="81" t="s">
        <v>224</v>
      </c>
      <c r="G6169" s="81" t="s">
        <v>224</v>
      </c>
      <c r="H6169" s="81" t="s">
        <v>224</v>
      </c>
      <c r="I6169" s="81" t="s">
        <v>224</v>
      </c>
      <c r="J6169" s="81" t="s">
        <v>4966</v>
      </c>
    </row>
    <row r="6170" hidden="1">
      <c r="A6170" s="83" t="s">
        <v>6411</v>
      </c>
      <c r="B6170" s="83" t="s">
        <v>6412</v>
      </c>
      <c r="C6170" s="81" t="s">
        <v>4082</v>
      </c>
      <c r="D6170" s="81" t="s">
        <v>224</v>
      </c>
      <c r="E6170" s="81" t="s">
        <v>4970</v>
      </c>
      <c r="F6170" s="81" t="s">
        <v>224</v>
      </c>
      <c r="G6170" s="81" t="s">
        <v>224</v>
      </c>
      <c r="H6170" s="81" t="s">
        <v>224</v>
      </c>
      <c r="I6170" s="81" t="s">
        <v>224</v>
      </c>
      <c r="J6170" s="81" t="s">
        <v>4966</v>
      </c>
    </row>
    <row r="6171" hidden="1">
      <c r="A6171" s="83" t="s">
        <v>6411</v>
      </c>
      <c r="B6171" s="83" t="s">
        <v>6412</v>
      </c>
      <c r="C6171" s="81" t="s">
        <v>4082</v>
      </c>
      <c r="D6171" s="81" t="s">
        <v>224</v>
      </c>
      <c r="E6171" s="81" t="s">
        <v>4971</v>
      </c>
      <c r="F6171" s="81" t="s">
        <v>224</v>
      </c>
      <c r="G6171" s="81" t="s">
        <v>224</v>
      </c>
      <c r="H6171" s="81" t="s">
        <v>224</v>
      </c>
      <c r="I6171" s="81" t="s">
        <v>224</v>
      </c>
      <c r="J6171" s="81" t="s">
        <v>4966</v>
      </c>
    </row>
    <row r="6172" hidden="1">
      <c r="A6172" s="83" t="s">
        <v>6411</v>
      </c>
      <c r="B6172" s="83" t="s">
        <v>6412</v>
      </c>
      <c r="C6172" s="81" t="s">
        <v>4082</v>
      </c>
      <c r="D6172" s="81" t="s">
        <v>224</v>
      </c>
      <c r="E6172" s="81" t="s">
        <v>4972</v>
      </c>
      <c r="F6172" s="81" t="s">
        <v>224</v>
      </c>
      <c r="G6172" s="81" t="s">
        <v>224</v>
      </c>
      <c r="H6172" s="81" t="s">
        <v>224</v>
      </c>
      <c r="I6172" s="81" t="s">
        <v>224</v>
      </c>
      <c r="J6172" s="81" t="s">
        <v>4966</v>
      </c>
    </row>
    <row r="6173" hidden="1">
      <c r="A6173" s="83" t="s">
        <v>6411</v>
      </c>
      <c r="B6173" s="83" t="s">
        <v>6412</v>
      </c>
      <c r="C6173" s="81" t="s">
        <v>4082</v>
      </c>
      <c r="D6173" s="81" t="s">
        <v>224</v>
      </c>
      <c r="E6173" s="81" t="s">
        <v>4973</v>
      </c>
      <c r="F6173" s="81" t="s">
        <v>224</v>
      </c>
      <c r="G6173" s="81" t="s">
        <v>224</v>
      </c>
      <c r="H6173" s="81" t="s">
        <v>224</v>
      </c>
      <c r="I6173" s="81" t="s">
        <v>224</v>
      </c>
      <c r="J6173" s="81" t="s">
        <v>4974</v>
      </c>
    </row>
    <row r="6174" hidden="1">
      <c r="A6174" s="83" t="s">
        <v>6411</v>
      </c>
      <c r="B6174" s="83" t="s">
        <v>6412</v>
      </c>
      <c r="C6174" s="81" t="s">
        <v>4082</v>
      </c>
      <c r="D6174" s="81" t="s">
        <v>224</v>
      </c>
      <c r="E6174" s="81" t="s">
        <v>4975</v>
      </c>
      <c r="F6174" s="81" t="s">
        <v>224</v>
      </c>
      <c r="G6174" s="81" t="s">
        <v>224</v>
      </c>
      <c r="H6174" s="81" t="s">
        <v>224</v>
      </c>
      <c r="I6174" s="81" t="s">
        <v>224</v>
      </c>
      <c r="J6174" s="81" t="s">
        <v>4976</v>
      </c>
    </row>
    <row r="6175" hidden="1">
      <c r="A6175" s="83" t="s">
        <v>6411</v>
      </c>
      <c r="B6175" s="83" t="s">
        <v>6412</v>
      </c>
      <c r="C6175" s="81" t="s">
        <v>4082</v>
      </c>
      <c r="D6175" s="81" t="s">
        <v>224</v>
      </c>
      <c r="E6175" s="81" t="s">
        <v>4025</v>
      </c>
      <c r="F6175" s="81" t="s">
        <v>224</v>
      </c>
      <c r="G6175" s="81" t="s">
        <v>224</v>
      </c>
      <c r="H6175" s="81" t="s">
        <v>224</v>
      </c>
      <c r="I6175" s="81" t="s">
        <v>224</v>
      </c>
      <c r="J6175" s="81" t="s">
        <v>4977</v>
      </c>
    </row>
    <row r="6176" hidden="1">
      <c r="A6176" s="83" t="s">
        <v>6411</v>
      </c>
      <c r="B6176" s="83" t="s">
        <v>6412</v>
      </c>
      <c r="C6176" s="81" t="s">
        <v>4082</v>
      </c>
      <c r="D6176" s="81" t="s">
        <v>224</v>
      </c>
      <c r="E6176" s="81" t="s">
        <v>4033</v>
      </c>
      <c r="F6176" s="81" t="s">
        <v>224</v>
      </c>
      <c r="G6176" s="81" t="s">
        <v>224</v>
      </c>
      <c r="H6176" s="81" t="s">
        <v>224</v>
      </c>
      <c r="I6176" s="81" t="s">
        <v>224</v>
      </c>
      <c r="J6176" s="81" t="s">
        <v>4978</v>
      </c>
    </row>
    <row r="6177" hidden="1">
      <c r="A6177" s="83" t="s">
        <v>6411</v>
      </c>
      <c r="B6177" s="83" t="s">
        <v>6412</v>
      </c>
      <c r="C6177" s="81" t="s">
        <v>4082</v>
      </c>
      <c r="D6177" s="81" t="s">
        <v>224</v>
      </c>
      <c r="E6177" s="81" t="s">
        <v>4979</v>
      </c>
      <c r="F6177" s="81" t="s">
        <v>224</v>
      </c>
      <c r="G6177" s="81" t="s">
        <v>224</v>
      </c>
      <c r="H6177" s="81" t="s">
        <v>224</v>
      </c>
      <c r="I6177" s="81" t="s">
        <v>224</v>
      </c>
      <c r="J6177" s="81" t="s">
        <v>4980</v>
      </c>
    </row>
    <row r="6178" hidden="1">
      <c r="A6178" s="83" t="s">
        <v>6411</v>
      </c>
      <c r="B6178" s="83" t="s">
        <v>6412</v>
      </c>
      <c r="C6178" s="81" t="s">
        <v>4082</v>
      </c>
      <c r="D6178" s="81" t="s">
        <v>224</v>
      </c>
      <c r="E6178" s="81" t="s">
        <v>4981</v>
      </c>
      <c r="F6178" s="81" t="s">
        <v>224</v>
      </c>
      <c r="G6178" s="81" t="s">
        <v>224</v>
      </c>
      <c r="H6178" s="81" t="s">
        <v>224</v>
      </c>
      <c r="I6178" s="81" t="s">
        <v>224</v>
      </c>
      <c r="J6178" s="81" t="s">
        <v>4982</v>
      </c>
    </row>
    <row r="6179" hidden="1">
      <c r="A6179" s="83" t="s">
        <v>6411</v>
      </c>
      <c r="B6179" s="83" t="s">
        <v>6412</v>
      </c>
      <c r="C6179" s="81" t="s">
        <v>4082</v>
      </c>
      <c r="D6179" s="81" t="s">
        <v>224</v>
      </c>
      <c r="E6179" s="81" t="s">
        <v>4983</v>
      </c>
      <c r="F6179" s="81" t="s">
        <v>224</v>
      </c>
      <c r="G6179" s="81" t="s">
        <v>224</v>
      </c>
      <c r="H6179" s="81" t="s">
        <v>224</v>
      </c>
      <c r="I6179" s="81" t="s">
        <v>224</v>
      </c>
      <c r="J6179" s="81" t="s">
        <v>4984</v>
      </c>
    </row>
    <row r="6180" hidden="1">
      <c r="A6180" s="83" t="s">
        <v>6411</v>
      </c>
      <c r="B6180" s="83" t="s">
        <v>6412</v>
      </c>
      <c r="C6180" s="81" t="s">
        <v>4082</v>
      </c>
      <c r="D6180" s="81" t="s">
        <v>224</v>
      </c>
      <c r="E6180" s="81" t="s">
        <v>4985</v>
      </c>
      <c r="F6180" s="81" t="s">
        <v>224</v>
      </c>
      <c r="G6180" s="81" t="s">
        <v>224</v>
      </c>
      <c r="H6180" s="81" t="s">
        <v>224</v>
      </c>
      <c r="I6180" s="81" t="s">
        <v>224</v>
      </c>
      <c r="J6180" s="81" t="s">
        <v>4986</v>
      </c>
    </row>
    <row r="6181" hidden="1">
      <c r="A6181" s="83" t="s">
        <v>6411</v>
      </c>
      <c r="B6181" s="83" t="s">
        <v>6412</v>
      </c>
      <c r="C6181" s="81" t="s">
        <v>4082</v>
      </c>
      <c r="D6181" s="81" t="s">
        <v>224</v>
      </c>
      <c r="E6181" s="81" t="s">
        <v>4987</v>
      </c>
      <c r="F6181" s="81" t="s">
        <v>224</v>
      </c>
      <c r="G6181" s="81" t="s">
        <v>224</v>
      </c>
      <c r="H6181" s="81" t="s">
        <v>224</v>
      </c>
      <c r="I6181" s="81" t="s">
        <v>224</v>
      </c>
      <c r="J6181" s="81" t="s">
        <v>4988</v>
      </c>
    </row>
    <row r="6182" hidden="1">
      <c r="A6182" s="83" t="s">
        <v>6411</v>
      </c>
      <c r="B6182" s="83" t="s">
        <v>6412</v>
      </c>
      <c r="C6182" s="81" t="s">
        <v>4082</v>
      </c>
      <c r="D6182" s="81" t="s">
        <v>224</v>
      </c>
      <c r="E6182" s="81" t="s">
        <v>4989</v>
      </c>
      <c r="F6182" s="81" t="s">
        <v>224</v>
      </c>
      <c r="G6182" s="81" t="s">
        <v>224</v>
      </c>
      <c r="H6182" s="81" t="s">
        <v>224</v>
      </c>
      <c r="I6182" s="81" t="s">
        <v>224</v>
      </c>
      <c r="J6182" s="81" t="s">
        <v>4990</v>
      </c>
    </row>
    <row r="6183" hidden="1">
      <c r="A6183" s="83" t="s">
        <v>6411</v>
      </c>
      <c r="B6183" s="83" t="s">
        <v>6412</v>
      </c>
      <c r="C6183" s="81" t="s">
        <v>4082</v>
      </c>
      <c r="D6183" s="81" t="s">
        <v>224</v>
      </c>
      <c r="E6183" s="81" t="s">
        <v>4991</v>
      </c>
      <c r="F6183" s="81" t="s">
        <v>224</v>
      </c>
      <c r="G6183" s="81" t="s">
        <v>224</v>
      </c>
      <c r="H6183" s="81" t="s">
        <v>224</v>
      </c>
      <c r="I6183" s="81" t="s">
        <v>224</v>
      </c>
      <c r="J6183" s="81" t="s">
        <v>4992</v>
      </c>
    </row>
    <row r="6184" hidden="1">
      <c r="A6184" s="83" t="s">
        <v>6411</v>
      </c>
      <c r="B6184" s="83" t="s">
        <v>6412</v>
      </c>
      <c r="C6184" s="81" t="s">
        <v>4082</v>
      </c>
      <c r="D6184" s="81" t="s">
        <v>224</v>
      </c>
      <c r="E6184" s="81" t="s">
        <v>4993</v>
      </c>
      <c r="F6184" s="81" t="s">
        <v>224</v>
      </c>
      <c r="G6184" s="81" t="s">
        <v>224</v>
      </c>
      <c r="H6184" s="81" t="s">
        <v>224</v>
      </c>
      <c r="I6184" s="81" t="s">
        <v>224</v>
      </c>
      <c r="J6184" s="81" t="s">
        <v>4994</v>
      </c>
    </row>
    <row r="6185" hidden="1">
      <c r="A6185" s="83" t="s">
        <v>6411</v>
      </c>
      <c r="B6185" s="83" t="s">
        <v>6412</v>
      </c>
      <c r="C6185" s="81" t="s">
        <v>4082</v>
      </c>
      <c r="D6185" s="81" t="s">
        <v>224</v>
      </c>
      <c r="E6185" s="81" t="s">
        <v>4995</v>
      </c>
      <c r="F6185" s="81" t="s">
        <v>224</v>
      </c>
      <c r="G6185" s="81" t="s">
        <v>224</v>
      </c>
      <c r="H6185" s="81" t="s">
        <v>224</v>
      </c>
      <c r="I6185" s="81" t="s">
        <v>224</v>
      </c>
      <c r="J6185" s="81" t="s">
        <v>4996</v>
      </c>
    </row>
    <row r="6186" hidden="1">
      <c r="A6186" s="83" t="s">
        <v>6411</v>
      </c>
      <c r="B6186" s="83" t="s">
        <v>6412</v>
      </c>
      <c r="C6186" s="81" t="s">
        <v>4082</v>
      </c>
      <c r="D6186" s="81" t="s">
        <v>224</v>
      </c>
      <c r="E6186" s="81" t="s">
        <v>4997</v>
      </c>
      <c r="F6186" s="81" t="s">
        <v>224</v>
      </c>
      <c r="G6186" s="81" t="s">
        <v>224</v>
      </c>
      <c r="H6186" s="81" t="s">
        <v>224</v>
      </c>
      <c r="I6186" s="81" t="s">
        <v>224</v>
      </c>
      <c r="J6186" s="81" t="s">
        <v>4998</v>
      </c>
    </row>
    <row r="6187" hidden="1">
      <c r="A6187" s="83" t="s">
        <v>6411</v>
      </c>
      <c r="B6187" s="83" t="s">
        <v>6412</v>
      </c>
      <c r="C6187" s="81" t="s">
        <v>4082</v>
      </c>
      <c r="D6187" s="81" t="s">
        <v>224</v>
      </c>
      <c r="E6187" s="81" t="s">
        <v>4999</v>
      </c>
      <c r="F6187" s="81" t="s">
        <v>224</v>
      </c>
      <c r="G6187" s="81" t="s">
        <v>224</v>
      </c>
      <c r="H6187" s="81" t="s">
        <v>224</v>
      </c>
      <c r="I6187" s="81" t="s">
        <v>224</v>
      </c>
      <c r="J6187" s="81" t="s">
        <v>5000</v>
      </c>
    </row>
    <row r="6188" hidden="1">
      <c r="A6188" s="83" t="s">
        <v>6411</v>
      </c>
      <c r="B6188" s="83" t="s">
        <v>6412</v>
      </c>
      <c r="C6188" s="81" t="s">
        <v>4082</v>
      </c>
      <c r="D6188" s="81" t="s">
        <v>224</v>
      </c>
      <c r="E6188" s="81" t="s">
        <v>5001</v>
      </c>
      <c r="F6188" s="81" t="s">
        <v>224</v>
      </c>
      <c r="G6188" s="81" t="s">
        <v>224</v>
      </c>
      <c r="H6188" s="81" t="s">
        <v>224</v>
      </c>
      <c r="I6188" s="81" t="s">
        <v>224</v>
      </c>
      <c r="J6188" s="81" t="s">
        <v>5002</v>
      </c>
    </row>
    <row r="6189" hidden="1">
      <c r="A6189" s="83" t="s">
        <v>6411</v>
      </c>
      <c r="B6189" s="83" t="s">
        <v>6412</v>
      </c>
      <c r="C6189" s="81" t="s">
        <v>4082</v>
      </c>
      <c r="D6189" s="81" t="s">
        <v>224</v>
      </c>
      <c r="E6189" s="81" t="s">
        <v>5003</v>
      </c>
      <c r="F6189" s="81" t="s">
        <v>224</v>
      </c>
      <c r="G6189" s="81" t="s">
        <v>224</v>
      </c>
      <c r="H6189" s="81" t="s">
        <v>224</v>
      </c>
      <c r="I6189" s="81" t="s">
        <v>224</v>
      </c>
      <c r="J6189" s="81" t="s">
        <v>5004</v>
      </c>
    </row>
    <row r="6190" hidden="1">
      <c r="A6190" s="83" t="s">
        <v>6411</v>
      </c>
      <c r="B6190" s="83" t="s">
        <v>6412</v>
      </c>
      <c r="C6190" s="81" t="s">
        <v>4082</v>
      </c>
      <c r="D6190" s="81" t="s">
        <v>224</v>
      </c>
      <c r="E6190" s="81" t="s">
        <v>5005</v>
      </c>
      <c r="F6190" s="81" t="s">
        <v>224</v>
      </c>
      <c r="G6190" s="81" t="s">
        <v>224</v>
      </c>
      <c r="H6190" s="81" t="s">
        <v>224</v>
      </c>
      <c r="I6190" s="81" t="s">
        <v>224</v>
      </c>
      <c r="J6190" s="81" t="s">
        <v>5006</v>
      </c>
    </row>
    <row r="6191" hidden="1">
      <c r="A6191" s="83" t="s">
        <v>6411</v>
      </c>
      <c r="B6191" s="83" t="s">
        <v>6412</v>
      </c>
      <c r="C6191" s="81" t="s">
        <v>4082</v>
      </c>
      <c r="D6191" s="81" t="s">
        <v>224</v>
      </c>
      <c r="E6191" s="81" t="s">
        <v>5007</v>
      </c>
      <c r="F6191" s="81" t="s">
        <v>224</v>
      </c>
      <c r="G6191" s="81" t="s">
        <v>224</v>
      </c>
      <c r="H6191" s="81" t="s">
        <v>224</v>
      </c>
      <c r="I6191" s="81" t="s">
        <v>224</v>
      </c>
      <c r="J6191" s="81" t="s">
        <v>5008</v>
      </c>
    </row>
    <row r="6192" hidden="1">
      <c r="A6192" s="83" t="s">
        <v>6411</v>
      </c>
      <c r="B6192" s="83" t="s">
        <v>6412</v>
      </c>
      <c r="C6192" s="81" t="s">
        <v>4082</v>
      </c>
      <c r="D6192" s="81" t="s">
        <v>224</v>
      </c>
      <c r="E6192" s="81" t="s">
        <v>5009</v>
      </c>
      <c r="F6192" s="81" t="s">
        <v>224</v>
      </c>
      <c r="G6192" s="81" t="s">
        <v>224</v>
      </c>
      <c r="H6192" s="81" t="s">
        <v>224</v>
      </c>
      <c r="I6192" s="81" t="s">
        <v>224</v>
      </c>
      <c r="J6192" s="81" t="s">
        <v>5010</v>
      </c>
    </row>
    <row r="6193" hidden="1">
      <c r="A6193" s="83" t="s">
        <v>6411</v>
      </c>
      <c r="B6193" s="83" t="s">
        <v>6412</v>
      </c>
      <c r="C6193" s="81" t="s">
        <v>4082</v>
      </c>
      <c r="D6193" s="81" t="s">
        <v>224</v>
      </c>
      <c r="E6193" s="81" t="s">
        <v>5011</v>
      </c>
      <c r="F6193" s="81" t="s">
        <v>224</v>
      </c>
      <c r="G6193" s="81" t="s">
        <v>224</v>
      </c>
      <c r="H6193" s="81" t="s">
        <v>224</v>
      </c>
      <c r="I6193" s="81" t="s">
        <v>224</v>
      </c>
      <c r="J6193" s="81" t="s">
        <v>5012</v>
      </c>
    </row>
    <row r="6194" hidden="1">
      <c r="A6194" s="83" t="s">
        <v>6411</v>
      </c>
      <c r="B6194" s="83" t="s">
        <v>6412</v>
      </c>
      <c r="C6194" s="81" t="s">
        <v>4082</v>
      </c>
      <c r="D6194" s="81" t="s">
        <v>224</v>
      </c>
      <c r="E6194" s="81" t="s">
        <v>5013</v>
      </c>
      <c r="F6194" s="81" t="s">
        <v>224</v>
      </c>
      <c r="G6194" s="81" t="s">
        <v>224</v>
      </c>
      <c r="H6194" s="81" t="s">
        <v>224</v>
      </c>
      <c r="I6194" s="81" t="s">
        <v>224</v>
      </c>
      <c r="J6194" s="81" t="s">
        <v>5014</v>
      </c>
    </row>
    <row r="6195" hidden="1">
      <c r="A6195" s="83" t="s">
        <v>6411</v>
      </c>
      <c r="B6195" s="83" t="s">
        <v>6412</v>
      </c>
      <c r="C6195" s="81" t="s">
        <v>4082</v>
      </c>
      <c r="D6195" s="81" t="s">
        <v>224</v>
      </c>
      <c r="E6195" s="81" t="s">
        <v>5015</v>
      </c>
      <c r="F6195" s="81" t="s">
        <v>224</v>
      </c>
      <c r="G6195" s="81" t="s">
        <v>224</v>
      </c>
      <c r="H6195" s="81" t="s">
        <v>224</v>
      </c>
      <c r="I6195" s="81" t="s">
        <v>224</v>
      </c>
      <c r="J6195" s="81" t="s">
        <v>5016</v>
      </c>
    </row>
    <row r="6196" hidden="1">
      <c r="A6196" s="83" t="s">
        <v>6411</v>
      </c>
      <c r="B6196" s="83" t="s">
        <v>6412</v>
      </c>
      <c r="C6196" s="81" t="s">
        <v>4082</v>
      </c>
      <c r="D6196" s="81" t="s">
        <v>224</v>
      </c>
      <c r="E6196" s="81" t="s">
        <v>5017</v>
      </c>
      <c r="F6196" s="81" t="s">
        <v>224</v>
      </c>
      <c r="G6196" s="81" t="s">
        <v>224</v>
      </c>
      <c r="H6196" s="81" t="s">
        <v>224</v>
      </c>
      <c r="I6196" s="81" t="s">
        <v>224</v>
      </c>
      <c r="J6196" s="81" t="s">
        <v>5018</v>
      </c>
    </row>
    <row r="6197" hidden="1">
      <c r="A6197" s="83" t="s">
        <v>6411</v>
      </c>
      <c r="B6197" s="83" t="s">
        <v>6412</v>
      </c>
      <c r="C6197" s="81" t="s">
        <v>4082</v>
      </c>
      <c r="D6197" s="81" t="s">
        <v>224</v>
      </c>
      <c r="E6197" s="81" t="s">
        <v>5019</v>
      </c>
      <c r="F6197" s="81" t="s">
        <v>224</v>
      </c>
      <c r="G6197" s="81" t="s">
        <v>224</v>
      </c>
      <c r="H6197" s="81" t="s">
        <v>224</v>
      </c>
      <c r="I6197" s="81" t="s">
        <v>224</v>
      </c>
      <c r="J6197" s="81" t="s">
        <v>5020</v>
      </c>
    </row>
    <row r="6198" hidden="1">
      <c r="A6198" s="83" t="s">
        <v>6411</v>
      </c>
      <c r="B6198" s="83" t="s">
        <v>6412</v>
      </c>
      <c r="C6198" s="81" t="s">
        <v>4082</v>
      </c>
      <c r="D6198" s="81" t="s">
        <v>224</v>
      </c>
      <c r="E6198" s="81" t="s">
        <v>5021</v>
      </c>
      <c r="F6198" s="81" t="s">
        <v>224</v>
      </c>
      <c r="G6198" s="81" t="s">
        <v>224</v>
      </c>
      <c r="H6198" s="81" t="s">
        <v>224</v>
      </c>
      <c r="I6198" s="81" t="s">
        <v>224</v>
      </c>
      <c r="J6198" s="81" t="s">
        <v>5022</v>
      </c>
    </row>
    <row r="6199" hidden="1">
      <c r="A6199" s="83" t="s">
        <v>6411</v>
      </c>
      <c r="B6199" s="83" t="s">
        <v>6412</v>
      </c>
      <c r="C6199" s="81" t="s">
        <v>4082</v>
      </c>
      <c r="D6199" s="81" t="s">
        <v>224</v>
      </c>
      <c r="E6199" s="81" t="s">
        <v>5023</v>
      </c>
      <c r="F6199" s="81" t="s">
        <v>224</v>
      </c>
      <c r="G6199" s="81" t="s">
        <v>224</v>
      </c>
      <c r="H6199" s="81" t="s">
        <v>224</v>
      </c>
      <c r="I6199" s="81" t="s">
        <v>224</v>
      </c>
      <c r="J6199" s="81" t="s">
        <v>5024</v>
      </c>
    </row>
    <row r="6200" hidden="1">
      <c r="A6200" s="83" t="s">
        <v>6411</v>
      </c>
      <c r="B6200" s="83" t="s">
        <v>6412</v>
      </c>
      <c r="C6200" s="81" t="s">
        <v>4082</v>
      </c>
      <c r="D6200" s="81" t="s">
        <v>224</v>
      </c>
      <c r="E6200" s="81" t="s">
        <v>5025</v>
      </c>
      <c r="F6200" s="81" t="s">
        <v>224</v>
      </c>
      <c r="G6200" s="81" t="s">
        <v>224</v>
      </c>
      <c r="H6200" s="81" t="s">
        <v>224</v>
      </c>
      <c r="I6200" s="81" t="s">
        <v>224</v>
      </c>
      <c r="J6200" s="81" t="s">
        <v>5026</v>
      </c>
    </row>
    <row r="6201" hidden="1">
      <c r="A6201" s="83" t="s">
        <v>6411</v>
      </c>
      <c r="B6201" s="83" t="s">
        <v>6412</v>
      </c>
      <c r="C6201" s="81" t="s">
        <v>4082</v>
      </c>
      <c r="D6201" s="81" t="s">
        <v>224</v>
      </c>
      <c r="E6201" s="81" t="s">
        <v>5027</v>
      </c>
      <c r="F6201" s="81" t="s">
        <v>224</v>
      </c>
      <c r="G6201" s="81" t="s">
        <v>224</v>
      </c>
      <c r="H6201" s="81" t="s">
        <v>224</v>
      </c>
      <c r="I6201" s="81" t="s">
        <v>224</v>
      </c>
      <c r="J6201" s="81" t="s">
        <v>5028</v>
      </c>
    </row>
    <row r="6202" hidden="1">
      <c r="A6202" s="83" t="s">
        <v>6411</v>
      </c>
      <c r="B6202" s="83" t="s">
        <v>6412</v>
      </c>
      <c r="C6202" s="81" t="s">
        <v>4082</v>
      </c>
      <c r="D6202" s="81" t="s">
        <v>224</v>
      </c>
      <c r="E6202" s="81" t="s">
        <v>5029</v>
      </c>
      <c r="F6202" s="81" t="s">
        <v>224</v>
      </c>
      <c r="G6202" s="81" t="s">
        <v>224</v>
      </c>
      <c r="H6202" s="81" t="s">
        <v>224</v>
      </c>
      <c r="I6202" s="81" t="s">
        <v>224</v>
      </c>
      <c r="J6202" s="81" t="s">
        <v>5030</v>
      </c>
    </row>
    <row r="6203" hidden="1">
      <c r="A6203" s="83" t="s">
        <v>6411</v>
      </c>
      <c r="B6203" s="83" t="s">
        <v>6412</v>
      </c>
      <c r="C6203" s="81" t="s">
        <v>4082</v>
      </c>
      <c r="D6203" s="81" t="s">
        <v>224</v>
      </c>
      <c r="E6203" s="81" t="s">
        <v>5031</v>
      </c>
      <c r="F6203" s="81" t="s">
        <v>224</v>
      </c>
      <c r="G6203" s="81" t="s">
        <v>224</v>
      </c>
      <c r="H6203" s="81" t="s">
        <v>224</v>
      </c>
      <c r="I6203" s="81" t="s">
        <v>224</v>
      </c>
      <c r="J6203" s="81" t="s">
        <v>5032</v>
      </c>
    </row>
    <row r="6204" hidden="1">
      <c r="A6204" s="83" t="s">
        <v>6411</v>
      </c>
      <c r="B6204" s="83" t="s">
        <v>6412</v>
      </c>
      <c r="C6204" s="81" t="s">
        <v>4082</v>
      </c>
      <c r="D6204" s="81" t="s">
        <v>224</v>
      </c>
      <c r="E6204" s="81" t="s">
        <v>5033</v>
      </c>
      <c r="F6204" s="81" t="s">
        <v>224</v>
      </c>
      <c r="G6204" s="81" t="s">
        <v>224</v>
      </c>
      <c r="H6204" s="81" t="s">
        <v>224</v>
      </c>
      <c r="I6204" s="81" t="s">
        <v>224</v>
      </c>
      <c r="J6204" s="81" t="s">
        <v>5034</v>
      </c>
    </row>
    <row r="6205" hidden="1">
      <c r="A6205" s="83" t="s">
        <v>6411</v>
      </c>
      <c r="B6205" s="83" t="s">
        <v>6412</v>
      </c>
      <c r="C6205" s="81" t="s">
        <v>4082</v>
      </c>
      <c r="D6205" s="81" t="s">
        <v>224</v>
      </c>
      <c r="E6205" s="81" t="s">
        <v>5035</v>
      </c>
      <c r="F6205" s="81" t="s">
        <v>224</v>
      </c>
      <c r="G6205" s="81" t="s">
        <v>224</v>
      </c>
      <c r="H6205" s="81" t="s">
        <v>224</v>
      </c>
      <c r="I6205" s="81" t="s">
        <v>224</v>
      </c>
      <c r="J6205" s="81" t="s">
        <v>5036</v>
      </c>
    </row>
    <row r="6206" hidden="1">
      <c r="A6206" s="83" t="s">
        <v>6411</v>
      </c>
      <c r="B6206" s="83" t="s">
        <v>6412</v>
      </c>
      <c r="C6206" s="81" t="s">
        <v>4082</v>
      </c>
      <c r="D6206" s="81" t="s">
        <v>224</v>
      </c>
      <c r="E6206" s="81" t="s">
        <v>5037</v>
      </c>
      <c r="F6206" s="81" t="s">
        <v>224</v>
      </c>
      <c r="G6206" s="81" t="s">
        <v>224</v>
      </c>
      <c r="H6206" s="81" t="s">
        <v>224</v>
      </c>
      <c r="I6206" s="81" t="s">
        <v>224</v>
      </c>
      <c r="J6206" s="81" t="s">
        <v>5038</v>
      </c>
    </row>
    <row r="6207" hidden="1">
      <c r="A6207" s="83" t="s">
        <v>6411</v>
      </c>
      <c r="B6207" s="83" t="s">
        <v>6412</v>
      </c>
      <c r="C6207" s="81" t="s">
        <v>4082</v>
      </c>
      <c r="D6207" s="81" t="s">
        <v>224</v>
      </c>
      <c r="E6207" s="81" t="s">
        <v>5039</v>
      </c>
      <c r="F6207" s="81" t="s">
        <v>224</v>
      </c>
      <c r="G6207" s="81" t="s">
        <v>224</v>
      </c>
      <c r="H6207" s="81" t="s">
        <v>224</v>
      </c>
      <c r="I6207" s="81" t="s">
        <v>224</v>
      </c>
      <c r="J6207" s="81" t="s">
        <v>5040</v>
      </c>
    </row>
    <row r="6208" hidden="1">
      <c r="A6208" s="83" t="s">
        <v>6411</v>
      </c>
      <c r="B6208" s="83" t="s">
        <v>6412</v>
      </c>
      <c r="C6208" s="81" t="s">
        <v>4082</v>
      </c>
      <c r="D6208" s="81" t="s">
        <v>224</v>
      </c>
      <c r="E6208" s="81" t="s">
        <v>5041</v>
      </c>
      <c r="F6208" s="81" t="s">
        <v>224</v>
      </c>
      <c r="G6208" s="81" t="s">
        <v>224</v>
      </c>
      <c r="H6208" s="81" t="s">
        <v>224</v>
      </c>
      <c r="I6208" s="81" t="s">
        <v>224</v>
      </c>
      <c r="J6208" s="81" t="s">
        <v>5042</v>
      </c>
    </row>
    <row r="6209" hidden="1">
      <c r="A6209" s="83" t="s">
        <v>6411</v>
      </c>
      <c r="B6209" s="83" t="s">
        <v>6412</v>
      </c>
      <c r="C6209" s="81" t="s">
        <v>4082</v>
      </c>
      <c r="D6209" s="81" t="s">
        <v>224</v>
      </c>
      <c r="E6209" s="81" t="s">
        <v>5043</v>
      </c>
      <c r="F6209" s="81" t="s">
        <v>224</v>
      </c>
      <c r="G6209" s="81" t="s">
        <v>224</v>
      </c>
      <c r="H6209" s="81" t="s">
        <v>224</v>
      </c>
      <c r="I6209" s="81" t="s">
        <v>224</v>
      </c>
      <c r="J6209" s="81" t="s">
        <v>5044</v>
      </c>
    </row>
    <row r="6210" hidden="1">
      <c r="A6210" s="83" t="s">
        <v>6411</v>
      </c>
      <c r="B6210" s="83" t="s">
        <v>6412</v>
      </c>
      <c r="C6210" s="81" t="s">
        <v>4082</v>
      </c>
      <c r="D6210" s="81" t="s">
        <v>224</v>
      </c>
      <c r="E6210" s="81" t="s">
        <v>5045</v>
      </c>
      <c r="F6210" s="81" t="s">
        <v>224</v>
      </c>
      <c r="G6210" s="81" t="s">
        <v>224</v>
      </c>
      <c r="H6210" s="81" t="s">
        <v>224</v>
      </c>
      <c r="I6210" s="81" t="s">
        <v>224</v>
      </c>
      <c r="J6210" s="81" t="s">
        <v>5046</v>
      </c>
    </row>
    <row r="6211" hidden="1">
      <c r="A6211" s="83" t="s">
        <v>6411</v>
      </c>
      <c r="B6211" s="83" t="s">
        <v>6412</v>
      </c>
      <c r="C6211" s="81" t="s">
        <v>4082</v>
      </c>
      <c r="D6211" s="81" t="s">
        <v>224</v>
      </c>
      <c r="E6211" s="81" t="s">
        <v>5047</v>
      </c>
      <c r="F6211" s="81" t="s">
        <v>224</v>
      </c>
      <c r="G6211" s="81" t="s">
        <v>224</v>
      </c>
      <c r="H6211" s="81" t="s">
        <v>224</v>
      </c>
      <c r="I6211" s="81" t="s">
        <v>224</v>
      </c>
      <c r="J6211" s="81" t="s">
        <v>5048</v>
      </c>
    </row>
    <row r="6212" hidden="1">
      <c r="A6212" s="83" t="s">
        <v>6411</v>
      </c>
      <c r="B6212" s="83" t="s">
        <v>6412</v>
      </c>
      <c r="C6212" s="81" t="s">
        <v>4082</v>
      </c>
      <c r="D6212" s="81" t="s">
        <v>224</v>
      </c>
      <c r="E6212" s="81" t="s">
        <v>5049</v>
      </c>
      <c r="F6212" s="81" t="s">
        <v>224</v>
      </c>
      <c r="G6212" s="81" t="s">
        <v>224</v>
      </c>
      <c r="H6212" s="81" t="s">
        <v>224</v>
      </c>
      <c r="I6212" s="81" t="s">
        <v>224</v>
      </c>
      <c r="J6212" s="81" t="s">
        <v>5050</v>
      </c>
    </row>
    <row r="6213" hidden="1">
      <c r="A6213" s="83" t="s">
        <v>6411</v>
      </c>
      <c r="B6213" s="83" t="s">
        <v>6412</v>
      </c>
      <c r="C6213" s="81" t="s">
        <v>4082</v>
      </c>
      <c r="D6213" s="81" t="s">
        <v>224</v>
      </c>
      <c r="E6213" s="81" t="s">
        <v>5051</v>
      </c>
      <c r="F6213" s="81" t="s">
        <v>224</v>
      </c>
      <c r="G6213" s="81" t="s">
        <v>224</v>
      </c>
      <c r="H6213" s="81" t="s">
        <v>224</v>
      </c>
      <c r="I6213" s="81" t="s">
        <v>224</v>
      </c>
      <c r="J6213" s="81" t="s">
        <v>5052</v>
      </c>
    </row>
    <row r="6214" hidden="1">
      <c r="A6214" s="83" t="s">
        <v>6411</v>
      </c>
      <c r="B6214" s="83" t="s">
        <v>6412</v>
      </c>
      <c r="C6214" s="81" t="s">
        <v>4082</v>
      </c>
      <c r="D6214" s="81" t="s">
        <v>224</v>
      </c>
      <c r="E6214" s="81" t="s">
        <v>5053</v>
      </c>
      <c r="F6214" s="81" t="s">
        <v>224</v>
      </c>
      <c r="G6214" s="81" t="s">
        <v>224</v>
      </c>
      <c r="H6214" s="81" t="s">
        <v>224</v>
      </c>
      <c r="I6214" s="81" t="s">
        <v>224</v>
      </c>
      <c r="J6214" s="81" t="s">
        <v>5054</v>
      </c>
    </row>
    <row r="6215" hidden="1">
      <c r="A6215" s="83" t="s">
        <v>6411</v>
      </c>
      <c r="B6215" s="83" t="s">
        <v>6412</v>
      </c>
      <c r="C6215" s="81" t="s">
        <v>4082</v>
      </c>
      <c r="D6215" s="81" t="s">
        <v>224</v>
      </c>
      <c r="E6215" s="81" t="s">
        <v>5055</v>
      </c>
      <c r="F6215" s="81" t="s">
        <v>224</v>
      </c>
      <c r="G6215" s="81" t="s">
        <v>224</v>
      </c>
      <c r="H6215" s="81" t="s">
        <v>224</v>
      </c>
      <c r="I6215" s="81" t="s">
        <v>224</v>
      </c>
      <c r="J6215" s="81" t="s">
        <v>5056</v>
      </c>
    </row>
    <row r="6216" hidden="1">
      <c r="A6216" s="83" t="s">
        <v>6411</v>
      </c>
      <c r="B6216" s="83" t="s">
        <v>6412</v>
      </c>
      <c r="C6216" s="81" t="s">
        <v>4082</v>
      </c>
      <c r="D6216" s="81" t="s">
        <v>224</v>
      </c>
      <c r="E6216" s="81" t="s">
        <v>5057</v>
      </c>
      <c r="F6216" s="81" t="s">
        <v>224</v>
      </c>
      <c r="G6216" s="81" t="s">
        <v>224</v>
      </c>
      <c r="H6216" s="81" t="s">
        <v>224</v>
      </c>
      <c r="I6216" s="81" t="s">
        <v>224</v>
      </c>
      <c r="J6216" s="81" t="s">
        <v>5058</v>
      </c>
    </row>
    <row r="6217" hidden="1">
      <c r="A6217" s="83" t="s">
        <v>6411</v>
      </c>
      <c r="B6217" s="83" t="s">
        <v>6412</v>
      </c>
      <c r="C6217" s="81" t="s">
        <v>4082</v>
      </c>
      <c r="D6217" s="81" t="s">
        <v>224</v>
      </c>
      <c r="E6217" s="81" t="s">
        <v>5059</v>
      </c>
      <c r="F6217" s="81" t="s">
        <v>224</v>
      </c>
      <c r="G6217" s="81" t="s">
        <v>224</v>
      </c>
      <c r="H6217" s="81" t="s">
        <v>224</v>
      </c>
      <c r="I6217" s="81" t="s">
        <v>224</v>
      </c>
      <c r="J6217" s="81" t="s">
        <v>5060</v>
      </c>
    </row>
    <row r="6218" hidden="1">
      <c r="A6218" s="83" t="s">
        <v>6411</v>
      </c>
      <c r="B6218" s="83" t="s">
        <v>6412</v>
      </c>
      <c r="C6218" s="81" t="s">
        <v>4082</v>
      </c>
      <c r="D6218" s="81" t="s">
        <v>224</v>
      </c>
      <c r="E6218" s="81" t="s">
        <v>5061</v>
      </c>
      <c r="F6218" s="81" t="s">
        <v>224</v>
      </c>
      <c r="G6218" s="81" t="s">
        <v>224</v>
      </c>
      <c r="H6218" s="81" t="s">
        <v>224</v>
      </c>
      <c r="I6218" s="81" t="s">
        <v>224</v>
      </c>
      <c r="J6218" s="81" t="s">
        <v>5062</v>
      </c>
    </row>
    <row r="6219" hidden="1">
      <c r="A6219" s="83" t="s">
        <v>6411</v>
      </c>
      <c r="B6219" s="83" t="s">
        <v>6412</v>
      </c>
      <c r="C6219" s="81" t="s">
        <v>4082</v>
      </c>
      <c r="D6219" s="81" t="s">
        <v>224</v>
      </c>
      <c r="E6219" s="81" t="s">
        <v>5063</v>
      </c>
      <c r="F6219" s="81" t="s">
        <v>224</v>
      </c>
      <c r="G6219" s="81" t="s">
        <v>224</v>
      </c>
      <c r="H6219" s="81" t="s">
        <v>224</v>
      </c>
      <c r="I6219" s="81" t="s">
        <v>224</v>
      </c>
      <c r="J6219" s="81" t="s">
        <v>5064</v>
      </c>
    </row>
    <row r="6220" hidden="1">
      <c r="A6220" s="83" t="s">
        <v>6411</v>
      </c>
      <c r="B6220" s="83" t="s">
        <v>6412</v>
      </c>
      <c r="C6220" s="81" t="s">
        <v>4082</v>
      </c>
      <c r="D6220" s="81" t="s">
        <v>224</v>
      </c>
      <c r="E6220" s="81" t="s">
        <v>5065</v>
      </c>
      <c r="F6220" s="81" t="s">
        <v>224</v>
      </c>
      <c r="G6220" s="81" t="s">
        <v>224</v>
      </c>
      <c r="H6220" s="81" t="s">
        <v>224</v>
      </c>
      <c r="I6220" s="81" t="s">
        <v>224</v>
      </c>
      <c r="J6220" s="81" t="s">
        <v>5066</v>
      </c>
    </row>
    <row r="6221" hidden="1">
      <c r="A6221" s="83" t="s">
        <v>6411</v>
      </c>
      <c r="B6221" s="83" t="s">
        <v>6412</v>
      </c>
      <c r="C6221" s="81" t="s">
        <v>4082</v>
      </c>
      <c r="D6221" s="81" t="s">
        <v>224</v>
      </c>
      <c r="E6221" s="81" t="s">
        <v>5067</v>
      </c>
      <c r="F6221" s="81" t="s">
        <v>224</v>
      </c>
      <c r="G6221" s="81" t="s">
        <v>224</v>
      </c>
      <c r="H6221" s="81" t="s">
        <v>224</v>
      </c>
      <c r="I6221" s="81" t="s">
        <v>224</v>
      </c>
      <c r="J6221" s="81" t="s">
        <v>5068</v>
      </c>
    </row>
    <row r="6222" hidden="1">
      <c r="A6222" s="83" t="s">
        <v>6411</v>
      </c>
      <c r="B6222" s="83" t="s">
        <v>6412</v>
      </c>
      <c r="C6222" s="81" t="s">
        <v>4082</v>
      </c>
      <c r="D6222" s="81" t="s">
        <v>224</v>
      </c>
      <c r="E6222" s="81" t="s">
        <v>5069</v>
      </c>
      <c r="F6222" s="81" t="s">
        <v>224</v>
      </c>
      <c r="G6222" s="81" t="s">
        <v>224</v>
      </c>
      <c r="H6222" s="81" t="s">
        <v>224</v>
      </c>
      <c r="I6222" s="81" t="s">
        <v>224</v>
      </c>
      <c r="J6222" s="81" t="s">
        <v>5070</v>
      </c>
    </row>
    <row r="6223" hidden="1">
      <c r="A6223" s="83" t="s">
        <v>6411</v>
      </c>
      <c r="B6223" s="83" t="s">
        <v>6412</v>
      </c>
      <c r="C6223" s="81" t="s">
        <v>4082</v>
      </c>
      <c r="D6223" s="81" t="s">
        <v>224</v>
      </c>
      <c r="E6223" s="81" t="s">
        <v>5071</v>
      </c>
      <c r="F6223" s="81" t="s">
        <v>224</v>
      </c>
      <c r="G6223" s="81" t="s">
        <v>224</v>
      </c>
      <c r="H6223" s="81" t="s">
        <v>224</v>
      </c>
      <c r="I6223" s="81" t="s">
        <v>224</v>
      </c>
      <c r="J6223" s="81" t="s">
        <v>5072</v>
      </c>
    </row>
    <row r="6224" hidden="1">
      <c r="A6224" s="83" t="s">
        <v>6411</v>
      </c>
      <c r="B6224" s="83" t="s">
        <v>6412</v>
      </c>
      <c r="C6224" s="81" t="s">
        <v>4082</v>
      </c>
      <c r="D6224" s="81" t="s">
        <v>224</v>
      </c>
      <c r="E6224" s="81" t="s">
        <v>5073</v>
      </c>
      <c r="F6224" s="81" t="s">
        <v>224</v>
      </c>
      <c r="G6224" s="81" t="s">
        <v>224</v>
      </c>
      <c r="H6224" s="81" t="s">
        <v>224</v>
      </c>
      <c r="I6224" s="81" t="s">
        <v>224</v>
      </c>
      <c r="J6224" s="81" t="s">
        <v>5074</v>
      </c>
    </row>
    <row r="6225" hidden="1">
      <c r="A6225" s="83" t="s">
        <v>6411</v>
      </c>
      <c r="B6225" s="83" t="s">
        <v>6412</v>
      </c>
      <c r="C6225" s="81" t="s">
        <v>4082</v>
      </c>
      <c r="D6225" s="81" t="s">
        <v>224</v>
      </c>
      <c r="E6225" s="81" t="s">
        <v>5075</v>
      </c>
      <c r="F6225" s="81" t="s">
        <v>224</v>
      </c>
      <c r="G6225" s="81" t="s">
        <v>224</v>
      </c>
      <c r="H6225" s="81" t="s">
        <v>224</v>
      </c>
      <c r="I6225" s="81" t="s">
        <v>224</v>
      </c>
      <c r="J6225" s="81" t="s">
        <v>5076</v>
      </c>
    </row>
    <row r="6226" hidden="1">
      <c r="A6226" s="83" t="s">
        <v>6411</v>
      </c>
      <c r="B6226" s="83" t="s">
        <v>6412</v>
      </c>
      <c r="C6226" s="81" t="s">
        <v>4082</v>
      </c>
      <c r="D6226" s="81" t="s">
        <v>224</v>
      </c>
      <c r="E6226" s="81" t="s">
        <v>5077</v>
      </c>
      <c r="F6226" s="81" t="s">
        <v>224</v>
      </c>
      <c r="G6226" s="81" t="s">
        <v>224</v>
      </c>
      <c r="H6226" s="81" t="s">
        <v>224</v>
      </c>
      <c r="I6226" s="81" t="s">
        <v>224</v>
      </c>
      <c r="J6226" s="81" t="s">
        <v>5078</v>
      </c>
    </row>
    <row r="6227" hidden="1">
      <c r="A6227" s="83" t="s">
        <v>6411</v>
      </c>
      <c r="B6227" s="83" t="s">
        <v>6412</v>
      </c>
      <c r="C6227" s="81" t="s">
        <v>4082</v>
      </c>
      <c r="D6227" s="81" t="s">
        <v>224</v>
      </c>
      <c r="E6227" s="81" t="s">
        <v>5079</v>
      </c>
      <c r="F6227" s="81" t="s">
        <v>224</v>
      </c>
      <c r="G6227" s="81" t="s">
        <v>224</v>
      </c>
      <c r="H6227" s="81" t="s">
        <v>224</v>
      </c>
      <c r="I6227" s="81" t="s">
        <v>224</v>
      </c>
      <c r="J6227" s="81" t="s">
        <v>4974</v>
      </c>
    </row>
    <row r="6228" hidden="1">
      <c r="A6228" s="83" t="s">
        <v>6411</v>
      </c>
      <c r="B6228" s="83" t="s">
        <v>6412</v>
      </c>
      <c r="C6228" s="81" t="s">
        <v>4082</v>
      </c>
      <c r="D6228" s="81" t="s">
        <v>224</v>
      </c>
      <c r="E6228" s="81" t="s">
        <v>5080</v>
      </c>
      <c r="F6228" s="81" t="s">
        <v>224</v>
      </c>
      <c r="G6228" s="81" t="s">
        <v>224</v>
      </c>
      <c r="H6228" s="81" t="s">
        <v>224</v>
      </c>
      <c r="I6228" s="81" t="s">
        <v>224</v>
      </c>
      <c r="J6228" s="81" t="s">
        <v>4974</v>
      </c>
    </row>
    <row r="6229" hidden="1">
      <c r="A6229" s="83" t="s">
        <v>6411</v>
      </c>
      <c r="B6229" s="83" t="s">
        <v>6412</v>
      </c>
      <c r="C6229" s="81" t="s">
        <v>4082</v>
      </c>
      <c r="D6229" s="81" t="s">
        <v>224</v>
      </c>
      <c r="E6229" s="81" t="s">
        <v>5081</v>
      </c>
      <c r="F6229" s="81" t="s">
        <v>224</v>
      </c>
      <c r="G6229" s="81" t="s">
        <v>224</v>
      </c>
      <c r="H6229" s="81" t="s">
        <v>224</v>
      </c>
      <c r="I6229" s="81" t="s">
        <v>224</v>
      </c>
      <c r="J6229" s="81" t="s">
        <v>5082</v>
      </c>
    </row>
    <row r="6230" hidden="1">
      <c r="A6230" s="83" t="s">
        <v>6411</v>
      </c>
      <c r="B6230" s="83" t="s">
        <v>6412</v>
      </c>
      <c r="C6230" s="81" t="s">
        <v>4082</v>
      </c>
      <c r="D6230" s="81" t="s">
        <v>224</v>
      </c>
      <c r="E6230" s="81" t="s">
        <v>5083</v>
      </c>
      <c r="F6230" s="81" t="s">
        <v>224</v>
      </c>
      <c r="G6230" s="81" t="s">
        <v>224</v>
      </c>
      <c r="H6230" s="81" t="s">
        <v>224</v>
      </c>
      <c r="I6230" s="81" t="s">
        <v>224</v>
      </c>
      <c r="J6230" s="81" t="s">
        <v>4984</v>
      </c>
    </row>
    <row r="6231" hidden="1">
      <c r="A6231" s="83" t="s">
        <v>6411</v>
      </c>
      <c r="B6231" s="83" t="s">
        <v>6412</v>
      </c>
      <c r="C6231" s="81" t="s">
        <v>4082</v>
      </c>
      <c r="D6231" s="81" t="s">
        <v>224</v>
      </c>
      <c r="E6231" s="81" t="s">
        <v>5084</v>
      </c>
      <c r="F6231" s="81" t="s">
        <v>224</v>
      </c>
      <c r="G6231" s="81" t="s">
        <v>224</v>
      </c>
      <c r="H6231" s="81" t="s">
        <v>224</v>
      </c>
      <c r="I6231" s="81" t="s">
        <v>224</v>
      </c>
      <c r="J6231" s="81" t="s">
        <v>5026</v>
      </c>
    </row>
    <row r="6232" hidden="1">
      <c r="A6232" s="83" t="s">
        <v>6411</v>
      </c>
      <c r="B6232" s="83" t="s">
        <v>6412</v>
      </c>
      <c r="C6232" s="81" t="s">
        <v>4082</v>
      </c>
      <c r="D6232" s="81" t="s">
        <v>224</v>
      </c>
      <c r="E6232" s="81" t="s">
        <v>5085</v>
      </c>
      <c r="F6232" s="81" t="s">
        <v>224</v>
      </c>
      <c r="G6232" s="81" t="s">
        <v>224</v>
      </c>
      <c r="H6232" s="81" t="s">
        <v>224</v>
      </c>
      <c r="I6232" s="81" t="s">
        <v>224</v>
      </c>
      <c r="J6232" s="81" t="s">
        <v>5006</v>
      </c>
    </row>
    <row r="6233" hidden="1">
      <c r="A6233" s="83" t="s">
        <v>6411</v>
      </c>
      <c r="B6233" s="83" t="s">
        <v>6412</v>
      </c>
      <c r="C6233" s="81" t="s">
        <v>4082</v>
      </c>
      <c r="D6233" s="81" t="s">
        <v>224</v>
      </c>
      <c r="E6233" s="81" t="s">
        <v>5086</v>
      </c>
      <c r="F6233" s="81" t="s">
        <v>224</v>
      </c>
      <c r="G6233" s="81" t="s">
        <v>224</v>
      </c>
      <c r="H6233" s="81" t="s">
        <v>224</v>
      </c>
      <c r="I6233" s="81" t="s">
        <v>224</v>
      </c>
      <c r="J6233" s="81" t="s">
        <v>5006</v>
      </c>
    </row>
    <row r="6234" hidden="1">
      <c r="A6234" s="83" t="s">
        <v>6411</v>
      </c>
      <c r="B6234" s="83" t="s">
        <v>6412</v>
      </c>
      <c r="C6234" s="81" t="s">
        <v>4082</v>
      </c>
      <c r="D6234" s="81" t="s">
        <v>224</v>
      </c>
      <c r="E6234" s="81" t="s">
        <v>5087</v>
      </c>
      <c r="F6234" s="81" t="s">
        <v>224</v>
      </c>
      <c r="G6234" s="81" t="s">
        <v>224</v>
      </c>
      <c r="H6234" s="81" t="s">
        <v>224</v>
      </c>
      <c r="I6234" s="81" t="s">
        <v>224</v>
      </c>
      <c r="J6234" s="81" t="s">
        <v>4984</v>
      </c>
    </row>
    <row r="6235" hidden="1">
      <c r="A6235" s="83" t="s">
        <v>6411</v>
      </c>
      <c r="B6235" s="83" t="s">
        <v>6412</v>
      </c>
      <c r="C6235" s="81" t="s">
        <v>4082</v>
      </c>
      <c r="D6235" s="81" t="s">
        <v>224</v>
      </c>
      <c r="E6235" s="81" t="s">
        <v>5088</v>
      </c>
      <c r="F6235" s="81" t="s">
        <v>224</v>
      </c>
      <c r="G6235" s="81" t="s">
        <v>224</v>
      </c>
      <c r="H6235" s="81" t="s">
        <v>224</v>
      </c>
      <c r="I6235" s="81" t="s">
        <v>224</v>
      </c>
      <c r="J6235" s="81" t="s">
        <v>5026</v>
      </c>
    </row>
    <row r="6236" hidden="1">
      <c r="A6236" s="83" t="s">
        <v>6411</v>
      </c>
      <c r="B6236" s="83" t="s">
        <v>6412</v>
      </c>
      <c r="C6236" s="81" t="s">
        <v>4082</v>
      </c>
      <c r="D6236" s="81" t="s">
        <v>224</v>
      </c>
      <c r="E6236" s="81" t="s">
        <v>5089</v>
      </c>
      <c r="F6236" s="81" t="s">
        <v>224</v>
      </c>
      <c r="G6236" s="81" t="s">
        <v>224</v>
      </c>
      <c r="H6236" s="81" t="s">
        <v>224</v>
      </c>
      <c r="I6236" s="81" t="s">
        <v>224</v>
      </c>
      <c r="J6236" s="81" t="s">
        <v>4984</v>
      </c>
    </row>
    <row r="6237" hidden="1">
      <c r="A6237" s="83" t="s">
        <v>6411</v>
      </c>
      <c r="B6237" s="83" t="s">
        <v>6412</v>
      </c>
      <c r="C6237" s="81" t="s">
        <v>4082</v>
      </c>
      <c r="D6237" s="81" t="s">
        <v>224</v>
      </c>
      <c r="E6237" s="81" t="s">
        <v>5090</v>
      </c>
      <c r="F6237" s="81" t="s">
        <v>224</v>
      </c>
      <c r="G6237" s="81" t="s">
        <v>224</v>
      </c>
      <c r="H6237" s="81" t="s">
        <v>224</v>
      </c>
      <c r="I6237" s="81" t="s">
        <v>224</v>
      </c>
      <c r="J6237" s="81" t="s">
        <v>4984</v>
      </c>
    </row>
    <row r="6238" hidden="1">
      <c r="A6238" s="83" t="s">
        <v>6411</v>
      </c>
      <c r="B6238" s="83" t="s">
        <v>6412</v>
      </c>
      <c r="C6238" s="81" t="s">
        <v>4082</v>
      </c>
      <c r="D6238" s="81" t="s">
        <v>224</v>
      </c>
      <c r="E6238" s="81" t="s">
        <v>5091</v>
      </c>
      <c r="F6238" s="81" t="s">
        <v>224</v>
      </c>
      <c r="G6238" s="81" t="s">
        <v>224</v>
      </c>
      <c r="H6238" s="81" t="s">
        <v>224</v>
      </c>
      <c r="I6238" s="81" t="s">
        <v>224</v>
      </c>
      <c r="J6238" s="81" t="s">
        <v>5006</v>
      </c>
    </row>
    <row r="6239" hidden="1">
      <c r="A6239" s="83" t="s">
        <v>6411</v>
      </c>
      <c r="B6239" s="83" t="s">
        <v>6412</v>
      </c>
      <c r="C6239" s="81" t="s">
        <v>4082</v>
      </c>
      <c r="D6239" s="81" t="s">
        <v>224</v>
      </c>
      <c r="E6239" s="81" t="s">
        <v>5092</v>
      </c>
      <c r="F6239" s="81" t="s">
        <v>224</v>
      </c>
      <c r="G6239" s="81" t="s">
        <v>224</v>
      </c>
      <c r="H6239" s="81" t="s">
        <v>224</v>
      </c>
      <c r="I6239" s="81" t="s">
        <v>224</v>
      </c>
      <c r="J6239" s="81" t="s">
        <v>5006</v>
      </c>
    </row>
    <row r="6240" hidden="1">
      <c r="A6240" s="83" t="s">
        <v>6411</v>
      </c>
      <c r="B6240" s="83" t="s">
        <v>6412</v>
      </c>
      <c r="C6240" s="81" t="s">
        <v>4082</v>
      </c>
      <c r="D6240" s="81" t="s">
        <v>224</v>
      </c>
      <c r="E6240" s="81" t="s">
        <v>5093</v>
      </c>
      <c r="F6240" s="81" t="s">
        <v>224</v>
      </c>
      <c r="G6240" s="81" t="s">
        <v>224</v>
      </c>
      <c r="H6240" s="81" t="s">
        <v>224</v>
      </c>
      <c r="I6240" s="81" t="s">
        <v>224</v>
      </c>
      <c r="J6240" s="81" t="s">
        <v>5026</v>
      </c>
    </row>
    <row r="6241" hidden="1">
      <c r="A6241" s="83" t="s">
        <v>6411</v>
      </c>
      <c r="B6241" s="83" t="s">
        <v>6412</v>
      </c>
      <c r="C6241" s="81" t="s">
        <v>4082</v>
      </c>
      <c r="D6241" s="81" t="s">
        <v>224</v>
      </c>
      <c r="E6241" s="81" t="s">
        <v>5094</v>
      </c>
      <c r="F6241" s="81" t="s">
        <v>224</v>
      </c>
      <c r="G6241" s="81" t="s">
        <v>224</v>
      </c>
      <c r="H6241" s="81" t="s">
        <v>224</v>
      </c>
      <c r="I6241" s="81" t="s">
        <v>224</v>
      </c>
      <c r="J6241" s="81" t="s">
        <v>5026</v>
      </c>
    </row>
    <row r="6242" hidden="1">
      <c r="A6242" s="83" t="s">
        <v>6411</v>
      </c>
      <c r="B6242" s="83" t="s">
        <v>6412</v>
      </c>
      <c r="C6242" s="81" t="s">
        <v>4082</v>
      </c>
      <c r="D6242" s="81" t="s">
        <v>224</v>
      </c>
      <c r="E6242" s="81" t="s">
        <v>5095</v>
      </c>
      <c r="F6242" s="81" t="s">
        <v>224</v>
      </c>
      <c r="G6242" s="81" t="s">
        <v>224</v>
      </c>
      <c r="H6242" s="81" t="s">
        <v>224</v>
      </c>
      <c r="I6242" s="81" t="s">
        <v>224</v>
      </c>
      <c r="J6242" s="81" t="s">
        <v>5006</v>
      </c>
    </row>
    <row r="6243" hidden="1">
      <c r="A6243" s="83" t="s">
        <v>6411</v>
      </c>
      <c r="B6243" s="83" t="s">
        <v>6412</v>
      </c>
      <c r="C6243" s="81" t="s">
        <v>4082</v>
      </c>
      <c r="D6243" s="81" t="s">
        <v>224</v>
      </c>
      <c r="E6243" s="81" t="s">
        <v>5096</v>
      </c>
      <c r="F6243" s="81" t="s">
        <v>224</v>
      </c>
      <c r="G6243" s="81" t="s">
        <v>224</v>
      </c>
      <c r="H6243" s="81" t="s">
        <v>224</v>
      </c>
      <c r="I6243" s="81" t="s">
        <v>224</v>
      </c>
      <c r="J6243" s="81" t="s">
        <v>5006</v>
      </c>
    </row>
    <row r="6244" hidden="1">
      <c r="A6244" s="83" t="s">
        <v>6411</v>
      </c>
      <c r="B6244" s="83" t="s">
        <v>6412</v>
      </c>
      <c r="C6244" s="81" t="s">
        <v>4082</v>
      </c>
      <c r="D6244" s="81" t="s">
        <v>224</v>
      </c>
      <c r="E6244" s="81" t="s">
        <v>5097</v>
      </c>
      <c r="F6244" s="81" t="s">
        <v>224</v>
      </c>
      <c r="G6244" s="81" t="s">
        <v>224</v>
      </c>
      <c r="H6244" s="81" t="s">
        <v>224</v>
      </c>
      <c r="I6244" s="81" t="s">
        <v>224</v>
      </c>
      <c r="J6244" s="81" t="s">
        <v>5006</v>
      </c>
    </row>
    <row r="6245" hidden="1">
      <c r="A6245" s="83" t="s">
        <v>6411</v>
      </c>
      <c r="B6245" s="83" t="s">
        <v>6412</v>
      </c>
      <c r="C6245" s="81" t="s">
        <v>4082</v>
      </c>
      <c r="D6245" s="81" t="s">
        <v>224</v>
      </c>
      <c r="E6245" s="81" t="s">
        <v>5098</v>
      </c>
      <c r="F6245" s="81" t="s">
        <v>224</v>
      </c>
      <c r="G6245" s="81" t="s">
        <v>224</v>
      </c>
      <c r="H6245" s="81" t="s">
        <v>224</v>
      </c>
      <c r="I6245" s="81" t="s">
        <v>224</v>
      </c>
      <c r="J6245" s="81" t="s">
        <v>4984</v>
      </c>
    </row>
    <row r="6246" hidden="1">
      <c r="A6246" s="83" t="s">
        <v>6411</v>
      </c>
      <c r="B6246" s="83" t="s">
        <v>6412</v>
      </c>
      <c r="C6246" s="81" t="s">
        <v>4082</v>
      </c>
      <c r="D6246" s="81" t="s">
        <v>224</v>
      </c>
      <c r="E6246" s="81" t="s">
        <v>5099</v>
      </c>
      <c r="F6246" s="81" t="s">
        <v>224</v>
      </c>
      <c r="G6246" s="81" t="s">
        <v>224</v>
      </c>
      <c r="H6246" s="81" t="s">
        <v>224</v>
      </c>
      <c r="I6246" s="81" t="s">
        <v>224</v>
      </c>
      <c r="J6246" s="81" t="s">
        <v>4984</v>
      </c>
    </row>
    <row r="6247" hidden="1">
      <c r="A6247" s="83" t="s">
        <v>6411</v>
      </c>
      <c r="B6247" s="83" t="s">
        <v>6412</v>
      </c>
      <c r="C6247" s="81" t="s">
        <v>4082</v>
      </c>
      <c r="D6247" s="81" t="s">
        <v>224</v>
      </c>
      <c r="E6247" s="81" t="s">
        <v>5100</v>
      </c>
      <c r="F6247" s="81" t="s">
        <v>224</v>
      </c>
      <c r="G6247" s="81" t="s">
        <v>224</v>
      </c>
      <c r="H6247" s="81" t="s">
        <v>224</v>
      </c>
      <c r="I6247" s="81" t="s">
        <v>224</v>
      </c>
      <c r="J6247" s="81" t="s">
        <v>4984</v>
      </c>
    </row>
    <row r="6248" hidden="1">
      <c r="A6248" s="83" t="s">
        <v>6411</v>
      </c>
      <c r="B6248" s="83" t="s">
        <v>6412</v>
      </c>
      <c r="C6248" s="81" t="s">
        <v>4082</v>
      </c>
      <c r="D6248" s="81" t="s">
        <v>224</v>
      </c>
      <c r="E6248" s="81" t="s">
        <v>5101</v>
      </c>
      <c r="F6248" s="81" t="s">
        <v>224</v>
      </c>
      <c r="G6248" s="81" t="s">
        <v>224</v>
      </c>
      <c r="H6248" s="81" t="s">
        <v>224</v>
      </c>
      <c r="I6248" s="81" t="s">
        <v>224</v>
      </c>
      <c r="J6248" s="81" t="s">
        <v>5006</v>
      </c>
    </row>
    <row r="6249" hidden="1">
      <c r="A6249" s="83" t="s">
        <v>6411</v>
      </c>
      <c r="B6249" s="83" t="s">
        <v>6412</v>
      </c>
      <c r="C6249" s="81" t="s">
        <v>4082</v>
      </c>
      <c r="D6249" s="81" t="s">
        <v>224</v>
      </c>
      <c r="E6249" s="81" t="s">
        <v>5102</v>
      </c>
      <c r="F6249" s="81" t="s">
        <v>224</v>
      </c>
      <c r="G6249" s="81" t="s">
        <v>224</v>
      </c>
      <c r="H6249" s="81" t="s">
        <v>224</v>
      </c>
      <c r="I6249" s="81" t="s">
        <v>224</v>
      </c>
      <c r="J6249" s="81" t="s">
        <v>4984</v>
      </c>
    </row>
    <row r="6250" hidden="1">
      <c r="A6250" s="83" t="s">
        <v>6411</v>
      </c>
      <c r="B6250" s="83" t="s">
        <v>6412</v>
      </c>
      <c r="C6250" s="81" t="s">
        <v>4082</v>
      </c>
      <c r="D6250" s="81" t="s">
        <v>224</v>
      </c>
      <c r="E6250" s="81" t="s">
        <v>5103</v>
      </c>
      <c r="F6250" s="81" t="s">
        <v>224</v>
      </c>
      <c r="G6250" s="81" t="s">
        <v>224</v>
      </c>
      <c r="H6250" s="81" t="s">
        <v>224</v>
      </c>
      <c r="I6250" s="81" t="s">
        <v>224</v>
      </c>
      <c r="J6250" s="81" t="s">
        <v>5026</v>
      </c>
    </row>
    <row r="6251" hidden="1">
      <c r="A6251" s="83" t="s">
        <v>6411</v>
      </c>
      <c r="B6251" s="83" t="s">
        <v>6412</v>
      </c>
      <c r="C6251" s="81" t="s">
        <v>4082</v>
      </c>
      <c r="D6251" s="81" t="s">
        <v>224</v>
      </c>
      <c r="E6251" s="81" t="s">
        <v>5104</v>
      </c>
      <c r="F6251" s="81" t="s">
        <v>224</v>
      </c>
      <c r="G6251" s="81" t="s">
        <v>224</v>
      </c>
      <c r="H6251" s="81" t="s">
        <v>224</v>
      </c>
      <c r="I6251" s="81" t="s">
        <v>224</v>
      </c>
      <c r="J6251" s="81" t="s">
        <v>5026</v>
      </c>
    </row>
    <row r="6252" hidden="1">
      <c r="A6252" s="83" t="s">
        <v>6411</v>
      </c>
      <c r="B6252" s="83" t="s">
        <v>6412</v>
      </c>
      <c r="C6252" s="81" t="s">
        <v>4082</v>
      </c>
      <c r="D6252" s="81" t="s">
        <v>224</v>
      </c>
      <c r="E6252" s="81" t="s">
        <v>5105</v>
      </c>
      <c r="F6252" s="81" t="s">
        <v>224</v>
      </c>
      <c r="G6252" s="81" t="s">
        <v>224</v>
      </c>
      <c r="H6252" s="81" t="s">
        <v>224</v>
      </c>
      <c r="I6252" s="81" t="s">
        <v>224</v>
      </c>
      <c r="J6252" s="81" t="s">
        <v>5028</v>
      </c>
    </row>
    <row r="6253" hidden="1">
      <c r="A6253" s="83" t="s">
        <v>6411</v>
      </c>
      <c r="B6253" s="83" t="s">
        <v>6412</v>
      </c>
      <c r="C6253" s="81" t="s">
        <v>4082</v>
      </c>
      <c r="D6253" s="81" t="s">
        <v>224</v>
      </c>
      <c r="E6253" s="81" t="s">
        <v>5106</v>
      </c>
      <c r="F6253" s="81" t="s">
        <v>224</v>
      </c>
      <c r="G6253" s="81" t="s">
        <v>224</v>
      </c>
      <c r="H6253" s="81" t="s">
        <v>224</v>
      </c>
      <c r="I6253" s="81" t="s">
        <v>224</v>
      </c>
      <c r="J6253" s="81" t="s">
        <v>5028</v>
      </c>
    </row>
    <row r="6254" hidden="1">
      <c r="A6254" s="83" t="s">
        <v>6411</v>
      </c>
      <c r="B6254" s="83" t="s">
        <v>6412</v>
      </c>
      <c r="C6254" s="81" t="s">
        <v>4082</v>
      </c>
      <c r="D6254" s="81" t="s">
        <v>224</v>
      </c>
      <c r="E6254" s="81" t="s">
        <v>5107</v>
      </c>
      <c r="F6254" s="81" t="s">
        <v>224</v>
      </c>
      <c r="G6254" s="81" t="s">
        <v>224</v>
      </c>
      <c r="H6254" s="81" t="s">
        <v>224</v>
      </c>
      <c r="I6254" s="81" t="s">
        <v>224</v>
      </c>
      <c r="J6254" s="81" t="s">
        <v>5028</v>
      </c>
    </row>
    <row r="6255" hidden="1">
      <c r="A6255" s="83" t="s">
        <v>6411</v>
      </c>
      <c r="B6255" s="83" t="s">
        <v>6412</v>
      </c>
      <c r="C6255" s="81" t="s">
        <v>4082</v>
      </c>
      <c r="D6255" s="81" t="s">
        <v>224</v>
      </c>
      <c r="E6255" s="81" t="s">
        <v>5108</v>
      </c>
      <c r="F6255" s="81" t="s">
        <v>224</v>
      </c>
      <c r="G6255" s="81" t="s">
        <v>224</v>
      </c>
      <c r="H6255" s="81" t="s">
        <v>224</v>
      </c>
      <c r="I6255" s="81" t="s">
        <v>224</v>
      </c>
      <c r="J6255" s="81" t="s">
        <v>5028</v>
      </c>
    </row>
    <row r="6256" hidden="1">
      <c r="A6256" s="83" t="s">
        <v>6411</v>
      </c>
      <c r="B6256" s="83" t="s">
        <v>6412</v>
      </c>
      <c r="C6256" s="81" t="s">
        <v>4082</v>
      </c>
      <c r="D6256" s="81" t="s">
        <v>224</v>
      </c>
      <c r="E6256" s="81" t="s">
        <v>5109</v>
      </c>
      <c r="F6256" s="81" t="s">
        <v>224</v>
      </c>
      <c r="G6256" s="81" t="s">
        <v>224</v>
      </c>
      <c r="H6256" s="81" t="s">
        <v>224</v>
      </c>
      <c r="I6256" s="81" t="s">
        <v>224</v>
      </c>
      <c r="J6256" s="81" t="s">
        <v>5028</v>
      </c>
    </row>
    <row r="6257" hidden="1">
      <c r="A6257" s="83" t="s">
        <v>6411</v>
      </c>
      <c r="B6257" s="83" t="s">
        <v>6412</v>
      </c>
      <c r="C6257" s="81" t="s">
        <v>4082</v>
      </c>
      <c r="D6257" s="81" t="s">
        <v>224</v>
      </c>
      <c r="E6257" s="81" t="s">
        <v>5110</v>
      </c>
      <c r="F6257" s="81" t="s">
        <v>224</v>
      </c>
      <c r="G6257" s="81" t="s">
        <v>224</v>
      </c>
      <c r="H6257" s="81" t="s">
        <v>224</v>
      </c>
      <c r="I6257" s="81" t="s">
        <v>224</v>
      </c>
      <c r="J6257" s="81" t="s">
        <v>5028</v>
      </c>
    </row>
    <row r="6258" hidden="1">
      <c r="A6258" s="83" t="s">
        <v>6411</v>
      </c>
      <c r="B6258" s="83" t="s">
        <v>6412</v>
      </c>
      <c r="C6258" s="81" t="s">
        <v>4082</v>
      </c>
      <c r="D6258" s="81" t="s">
        <v>224</v>
      </c>
      <c r="E6258" s="81" t="s">
        <v>224</v>
      </c>
      <c r="F6258" s="81" t="s">
        <v>224</v>
      </c>
      <c r="G6258" s="81" t="s">
        <v>224</v>
      </c>
      <c r="H6258" s="81" t="s">
        <v>224</v>
      </c>
      <c r="I6258" s="81" t="s">
        <v>224</v>
      </c>
      <c r="J6258" s="81" t="s">
        <v>5111</v>
      </c>
    </row>
    <row r="6259" hidden="1">
      <c r="A6259" s="83" t="s">
        <v>6411</v>
      </c>
      <c r="B6259" s="83" t="s">
        <v>6412</v>
      </c>
      <c r="C6259" s="81" t="s">
        <v>4082</v>
      </c>
      <c r="D6259" s="83" t="s">
        <v>4201</v>
      </c>
      <c r="E6259" s="81" t="s">
        <v>754</v>
      </c>
      <c r="F6259" s="81">
        <v>127.0</v>
      </c>
      <c r="G6259" s="81" t="s">
        <v>39</v>
      </c>
      <c r="H6259" s="81" t="s">
        <v>224</v>
      </c>
      <c r="I6259" s="81" t="s">
        <v>224</v>
      </c>
      <c r="J6259" s="81" t="s">
        <v>5311</v>
      </c>
    </row>
    <row r="6260" hidden="1">
      <c r="A6260" s="83" t="s">
        <v>6411</v>
      </c>
      <c r="B6260" s="83" t="s">
        <v>6412</v>
      </c>
      <c r="C6260" s="81" t="s">
        <v>4082</v>
      </c>
      <c r="D6260" s="83" t="s">
        <v>4208</v>
      </c>
      <c r="E6260" s="81" t="s">
        <v>786</v>
      </c>
      <c r="F6260" s="81">
        <v>134.0</v>
      </c>
      <c r="G6260" s="81" t="s">
        <v>39</v>
      </c>
      <c r="H6260" s="81" t="s">
        <v>224</v>
      </c>
      <c r="I6260" s="81" t="s">
        <v>224</v>
      </c>
      <c r="J6260" s="81" t="s">
        <v>5322</v>
      </c>
    </row>
    <row r="6261" hidden="1">
      <c r="A6261" s="83" t="s">
        <v>6411</v>
      </c>
      <c r="B6261" s="83" t="s">
        <v>6412</v>
      </c>
      <c r="C6261" s="81" t="s">
        <v>4082</v>
      </c>
      <c r="D6261" s="83" t="s">
        <v>4211</v>
      </c>
      <c r="E6261" s="81" t="s">
        <v>798</v>
      </c>
      <c r="F6261" s="81">
        <v>137.0</v>
      </c>
      <c r="G6261" s="81" t="s">
        <v>39</v>
      </c>
      <c r="H6261" s="81" t="s">
        <v>224</v>
      </c>
      <c r="I6261" s="81" t="s">
        <v>224</v>
      </c>
      <c r="J6261" s="81" t="s">
        <v>5327</v>
      </c>
    </row>
    <row r="6262" hidden="1">
      <c r="A6262" s="83" t="s">
        <v>6411</v>
      </c>
      <c r="B6262" s="83" t="s">
        <v>6412</v>
      </c>
      <c r="C6262" s="81" t="s">
        <v>4082</v>
      </c>
      <c r="D6262" s="83" t="s">
        <v>4212</v>
      </c>
      <c r="E6262" s="81" t="s">
        <v>804</v>
      </c>
      <c r="F6262" s="81">
        <v>138.0</v>
      </c>
      <c r="G6262" s="81" t="s">
        <v>39</v>
      </c>
      <c r="H6262" s="81" t="s">
        <v>224</v>
      </c>
      <c r="I6262" s="81" t="s">
        <v>224</v>
      </c>
      <c r="J6262" s="81" t="s">
        <v>5330</v>
      </c>
    </row>
    <row r="6263" hidden="1">
      <c r="A6263" s="83" t="s">
        <v>6411</v>
      </c>
      <c r="B6263" s="83" t="s">
        <v>6412</v>
      </c>
      <c r="C6263" s="81" t="s">
        <v>4082</v>
      </c>
      <c r="D6263" s="83" t="s">
        <v>4316</v>
      </c>
      <c r="E6263" s="81" t="s">
        <v>1313</v>
      </c>
      <c r="F6263" s="81">
        <v>256.0</v>
      </c>
      <c r="G6263" s="81" t="s">
        <v>39</v>
      </c>
      <c r="H6263" s="81" t="s">
        <v>224</v>
      </c>
      <c r="I6263" s="81" t="s">
        <v>224</v>
      </c>
      <c r="J6263" s="81" t="s">
        <v>5515</v>
      </c>
    </row>
    <row r="6264" hidden="1">
      <c r="A6264" s="83" t="s">
        <v>6411</v>
      </c>
      <c r="B6264" s="83" t="s">
        <v>6412</v>
      </c>
      <c r="C6264" s="81" t="s">
        <v>4082</v>
      </c>
      <c r="D6264" s="83" t="s">
        <v>4351</v>
      </c>
      <c r="E6264" s="81" t="s">
        <v>1470</v>
      </c>
      <c r="F6264" s="81">
        <v>283.0</v>
      </c>
      <c r="G6264" s="81" t="s">
        <v>41</v>
      </c>
      <c r="H6264" s="81" t="s">
        <v>1476</v>
      </c>
      <c r="I6264" s="81" t="s">
        <v>224</v>
      </c>
      <c r="J6264" s="81" t="s">
        <v>6348</v>
      </c>
    </row>
    <row r="6265" hidden="1">
      <c r="A6265" s="83" t="s">
        <v>6411</v>
      </c>
      <c r="B6265" s="83" t="s">
        <v>6412</v>
      </c>
      <c r="C6265" s="81" t="s">
        <v>4082</v>
      </c>
      <c r="D6265" s="83" t="s">
        <v>4380</v>
      </c>
      <c r="E6265" s="81" t="s">
        <v>1617</v>
      </c>
      <c r="F6265" s="81">
        <v>319.0</v>
      </c>
      <c r="G6265" s="81" t="s">
        <v>39</v>
      </c>
      <c r="H6265" s="81" t="s">
        <v>224</v>
      </c>
      <c r="I6265" s="81" t="s">
        <v>224</v>
      </c>
      <c r="J6265" s="81" t="s">
        <v>5616</v>
      </c>
    </row>
    <row r="6266" hidden="1">
      <c r="A6266" s="83" t="s">
        <v>6411</v>
      </c>
      <c r="B6266" s="83" t="s">
        <v>6412</v>
      </c>
      <c r="C6266" s="81" t="s">
        <v>4082</v>
      </c>
      <c r="D6266" s="83" t="s">
        <v>4391</v>
      </c>
      <c r="E6266" s="81" t="s">
        <v>1682</v>
      </c>
      <c r="F6266" s="81">
        <v>334.0</v>
      </c>
      <c r="G6266" s="81" t="s">
        <v>41</v>
      </c>
      <c r="H6266" s="81" t="s">
        <v>1687</v>
      </c>
      <c r="I6266" s="81" t="s">
        <v>224</v>
      </c>
      <c r="J6266" s="81" t="s">
        <v>6351</v>
      </c>
    </row>
    <row r="6267" hidden="1">
      <c r="A6267" s="83" t="s">
        <v>6411</v>
      </c>
      <c r="B6267" s="83" t="s">
        <v>6412</v>
      </c>
      <c r="C6267" s="81" t="s">
        <v>4082</v>
      </c>
      <c r="D6267" s="83" t="s">
        <v>4393</v>
      </c>
      <c r="E6267" s="81" t="s">
        <v>1690</v>
      </c>
      <c r="F6267" s="81">
        <v>335.0</v>
      </c>
      <c r="G6267" s="81" t="s">
        <v>41</v>
      </c>
      <c r="H6267" s="81" t="s">
        <v>1694</v>
      </c>
      <c r="I6267" s="81" t="s">
        <v>224</v>
      </c>
      <c r="J6267" s="81" t="s">
        <v>6352</v>
      </c>
    </row>
    <row r="6268" hidden="1">
      <c r="A6268" s="83" t="s">
        <v>6411</v>
      </c>
      <c r="B6268" s="83" t="s">
        <v>6412</v>
      </c>
      <c r="C6268" s="81" t="s">
        <v>4082</v>
      </c>
      <c r="D6268" s="83" t="s">
        <v>4406</v>
      </c>
      <c r="E6268" s="81" t="s">
        <v>1756</v>
      </c>
      <c r="F6268" s="81">
        <v>349.0</v>
      </c>
      <c r="G6268" s="81" t="s">
        <v>41</v>
      </c>
      <c r="H6268" s="81" t="s">
        <v>1761</v>
      </c>
      <c r="I6268" s="81" t="s">
        <v>224</v>
      </c>
      <c r="J6268" s="81" t="s">
        <v>6353</v>
      </c>
    </row>
    <row r="6269" hidden="1">
      <c r="A6269" s="83" t="s">
        <v>6411</v>
      </c>
      <c r="B6269" s="83" t="s">
        <v>6412</v>
      </c>
      <c r="C6269" s="81" t="s">
        <v>4082</v>
      </c>
      <c r="D6269" s="83" t="s">
        <v>4429</v>
      </c>
      <c r="E6269" s="81" t="s">
        <v>1900</v>
      </c>
      <c r="F6269" s="81">
        <v>375.0</v>
      </c>
      <c r="G6269" s="81" t="s">
        <v>39</v>
      </c>
      <c r="H6269" s="81" t="s">
        <v>224</v>
      </c>
      <c r="I6269" s="81" t="s">
        <v>224</v>
      </c>
      <c r="J6269" s="81" t="s">
        <v>5711</v>
      </c>
    </row>
    <row r="6270" hidden="1">
      <c r="A6270" s="83" t="s">
        <v>6411</v>
      </c>
      <c r="B6270" s="83" t="s">
        <v>6412</v>
      </c>
      <c r="C6270" s="81" t="s">
        <v>4082</v>
      </c>
      <c r="D6270" s="83" t="s">
        <v>4682</v>
      </c>
      <c r="E6270" s="81" t="s">
        <v>3226</v>
      </c>
      <c r="F6270" s="81">
        <v>613.0</v>
      </c>
      <c r="G6270" s="81" t="s">
        <v>39</v>
      </c>
      <c r="H6270" s="81" t="s">
        <v>224</v>
      </c>
      <c r="I6270" s="81" t="s">
        <v>224</v>
      </c>
      <c r="J6270" s="81" t="s">
        <v>6052</v>
      </c>
    </row>
    <row r="6271" hidden="1">
      <c r="A6271" s="83" t="s">
        <v>6411</v>
      </c>
      <c r="B6271" s="83" t="s">
        <v>6412</v>
      </c>
      <c r="C6271" s="81" t="s">
        <v>4082</v>
      </c>
      <c r="D6271" s="83" t="s">
        <v>4707</v>
      </c>
      <c r="E6271" s="81" t="s">
        <v>3362</v>
      </c>
      <c r="F6271" s="81">
        <v>641.0</v>
      </c>
      <c r="G6271" s="81" t="s">
        <v>39</v>
      </c>
      <c r="H6271" s="81" t="s">
        <v>224</v>
      </c>
      <c r="I6271" s="81" t="s">
        <v>224</v>
      </c>
      <c r="J6271" s="81" t="s">
        <v>6096</v>
      </c>
    </row>
    <row r="6272" hidden="1">
      <c r="A6272" s="83" t="s">
        <v>6411</v>
      </c>
      <c r="B6272" s="83" t="s">
        <v>6412</v>
      </c>
      <c r="C6272" s="81" t="s">
        <v>4082</v>
      </c>
      <c r="D6272" s="83" t="s">
        <v>4709</v>
      </c>
      <c r="E6272" s="81" t="s">
        <v>3370</v>
      </c>
      <c r="F6272" s="81">
        <v>643.0</v>
      </c>
      <c r="G6272" s="81" t="s">
        <v>39</v>
      </c>
      <c r="H6272" s="81" t="s">
        <v>224</v>
      </c>
      <c r="I6272" s="81" t="s">
        <v>224</v>
      </c>
      <c r="J6272" s="81" t="s">
        <v>6101</v>
      </c>
    </row>
    <row r="6273" hidden="1">
      <c r="A6273" s="83" t="s">
        <v>6411</v>
      </c>
      <c r="B6273" s="83" t="s">
        <v>6412</v>
      </c>
      <c r="C6273" s="81" t="s">
        <v>4082</v>
      </c>
      <c r="D6273" s="83" t="s">
        <v>4847</v>
      </c>
      <c r="E6273" s="81" t="s">
        <v>4005</v>
      </c>
      <c r="F6273" s="81">
        <v>794.0</v>
      </c>
      <c r="G6273" s="81" t="s">
        <v>39</v>
      </c>
      <c r="H6273" s="81" t="s">
        <v>224</v>
      </c>
      <c r="I6273" s="81" t="s">
        <v>224</v>
      </c>
      <c r="J6273" s="81" t="s">
        <v>6316</v>
      </c>
    </row>
    <row r="6274" hidden="1">
      <c r="A6274" s="83" t="s">
        <v>6411</v>
      </c>
      <c r="B6274" s="83" t="s">
        <v>6412</v>
      </c>
      <c r="C6274" s="81" t="s">
        <v>4084</v>
      </c>
      <c r="D6274" s="81" t="s">
        <v>224</v>
      </c>
      <c r="E6274" s="81" t="s">
        <v>224</v>
      </c>
      <c r="F6274" s="81" t="s">
        <v>224</v>
      </c>
      <c r="G6274" s="81" t="s">
        <v>40</v>
      </c>
      <c r="H6274" s="81" t="s">
        <v>224</v>
      </c>
      <c r="I6274" s="81" t="s">
        <v>224</v>
      </c>
      <c r="J6274" s="81" t="s">
        <v>6338</v>
      </c>
    </row>
    <row r="6275" hidden="1">
      <c r="A6275" s="83" t="s">
        <v>6411</v>
      </c>
      <c r="B6275" s="83" t="s">
        <v>6412</v>
      </c>
      <c r="C6275" s="81" t="s">
        <v>4084</v>
      </c>
      <c r="D6275" s="81" t="s">
        <v>224</v>
      </c>
      <c r="E6275" s="81" t="s">
        <v>224</v>
      </c>
      <c r="F6275" s="81" t="s">
        <v>224</v>
      </c>
      <c r="G6275" s="81" t="s">
        <v>41</v>
      </c>
      <c r="H6275" s="81" t="s">
        <v>224</v>
      </c>
      <c r="I6275" s="81" t="s">
        <v>224</v>
      </c>
      <c r="J6275" s="81" t="s">
        <v>6415</v>
      </c>
    </row>
    <row r="6276" hidden="1">
      <c r="A6276" s="83" t="s">
        <v>6416</v>
      </c>
      <c r="B6276" s="83" t="s">
        <v>6417</v>
      </c>
      <c r="C6276" s="81" t="s">
        <v>4080</v>
      </c>
      <c r="D6276" s="81" t="s">
        <v>224</v>
      </c>
      <c r="E6276" s="81" t="s">
        <v>224</v>
      </c>
      <c r="F6276" s="81" t="s">
        <v>224</v>
      </c>
      <c r="G6276" s="81" t="s">
        <v>224</v>
      </c>
      <c r="H6276" s="81" t="s">
        <v>224</v>
      </c>
      <c r="I6276" s="81" t="s">
        <v>224</v>
      </c>
      <c r="J6276" s="81" t="s">
        <v>6418</v>
      </c>
    </row>
    <row r="6277" hidden="1">
      <c r="A6277" s="83" t="s">
        <v>6416</v>
      </c>
      <c r="B6277" s="83" t="s">
        <v>6417</v>
      </c>
      <c r="C6277" s="81" t="s">
        <v>4082</v>
      </c>
      <c r="D6277" s="81" t="s">
        <v>224</v>
      </c>
      <c r="E6277" s="81" t="s">
        <v>6362</v>
      </c>
      <c r="F6277" s="81" t="s">
        <v>224</v>
      </c>
      <c r="G6277" s="81" t="s">
        <v>42</v>
      </c>
      <c r="H6277" s="81" t="s">
        <v>224</v>
      </c>
      <c r="I6277" s="81" t="s">
        <v>224</v>
      </c>
      <c r="J6277" s="81" t="s">
        <v>6363</v>
      </c>
    </row>
    <row r="6278" hidden="1">
      <c r="A6278" s="83" t="s">
        <v>6416</v>
      </c>
      <c r="B6278" s="83" t="s">
        <v>6417</v>
      </c>
      <c r="C6278" s="81" t="s">
        <v>4084</v>
      </c>
      <c r="D6278" s="81" t="s">
        <v>224</v>
      </c>
      <c r="E6278" s="81" t="s">
        <v>224</v>
      </c>
      <c r="F6278" s="81" t="s">
        <v>224</v>
      </c>
      <c r="G6278" s="81" t="s">
        <v>224</v>
      </c>
      <c r="H6278" s="81" t="s">
        <v>224</v>
      </c>
      <c r="I6278" s="81" t="s">
        <v>224</v>
      </c>
      <c r="J6278" s="81" t="s">
        <v>6419</v>
      </c>
    </row>
    <row r="6279" hidden="1">
      <c r="A6279" s="83" t="s">
        <v>6416</v>
      </c>
      <c r="B6279" s="83" t="s">
        <v>6417</v>
      </c>
      <c r="C6279" s="81" t="s">
        <v>4082</v>
      </c>
      <c r="D6279" s="81" t="s">
        <v>224</v>
      </c>
      <c r="E6279" s="81" t="s">
        <v>4956</v>
      </c>
      <c r="F6279" s="81" t="s">
        <v>224</v>
      </c>
      <c r="G6279" s="81" t="s">
        <v>224</v>
      </c>
      <c r="H6279" s="81" t="s">
        <v>224</v>
      </c>
      <c r="I6279" s="81" t="s">
        <v>224</v>
      </c>
      <c r="J6279" s="81" t="s">
        <v>4957</v>
      </c>
    </row>
    <row r="6280" hidden="1">
      <c r="A6280" s="83" t="s">
        <v>6416</v>
      </c>
      <c r="B6280" s="83" t="s">
        <v>6417</v>
      </c>
      <c r="C6280" s="81" t="s">
        <v>4082</v>
      </c>
      <c r="D6280" s="81" t="s">
        <v>224</v>
      </c>
      <c r="E6280" s="81" t="s">
        <v>4958</v>
      </c>
      <c r="F6280" s="81" t="s">
        <v>224</v>
      </c>
      <c r="G6280" s="81" t="s">
        <v>224</v>
      </c>
      <c r="H6280" s="81" t="s">
        <v>224</v>
      </c>
      <c r="I6280" s="81" t="s">
        <v>224</v>
      </c>
      <c r="J6280" s="81" t="s">
        <v>4959</v>
      </c>
    </row>
    <row r="6281" hidden="1">
      <c r="A6281" s="83" t="s">
        <v>6416</v>
      </c>
      <c r="B6281" s="83" t="s">
        <v>6417</v>
      </c>
      <c r="C6281" s="81" t="s">
        <v>4082</v>
      </c>
      <c r="D6281" s="81" t="s">
        <v>224</v>
      </c>
      <c r="E6281" s="81" t="s">
        <v>4960</v>
      </c>
      <c r="F6281" s="81" t="s">
        <v>224</v>
      </c>
      <c r="G6281" s="81" t="s">
        <v>224</v>
      </c>
      <c r="H6281" s="81" t="s">
        <v>224</v>
      </c>
      <c r="I6281" s="81" t="s">
        <v>224</v>
      </c>
      <c r="J6281" s="81" t="s">
        <v>4961</v>
      </c>
    </row>
    <row r="6282" hidden="1">
      <c r="A6282" s="83" t="s">
        <v>6416</v>
      </c>
      <c r="B6282" s="83" t="s">
        <v>6417</v>
      </c>
      <c r="C6282" s="81" t="s">
        <v>4082</v>
      </c>
      <c r="D6282" s="81" t="s">
        <v>224</v>
      </c>
      <c r="E6282" s="81" t="s">
        <v>4962</v>
      </c>
      <c r="F6282" s="81" t="s">
        <v>224</v>
      </c>
      <c r="G6282" s="81" t="s">
        <v>224</v>
      </c>
      <c r="H6282" s="81" t="s">
        <v>224</v>
      </c>
      <c r="I6282" s="81" t="s">
        <v>224</v>
      </c>
      <c r="J6282" s="81" t="s">
        <v>4963</v>
      </c>
    </row>
    <row r="6283" hidden="1">
      <c r="A6283" s="83" t="s">
        <v>6416</v>
      </c>
      <c r="B6283" s="83" t="s">
        <v>6417</v>
      </c>
      <c r="C6283" s="81" t="s">
        <v>4082</v>
      </c>
      <c r="D6283" s="81" t="s">
        <v>224</v>
      </c>
      <c r="E6283" s="81" t="s">
        <v>4964</v>
      </c>
      <c r="F6283" s="81" t="s">
        <v>224</v>
      </c>
      <c r="G6283" s="81" t="s">
        <v>224</v>
      </c>
      <c r="H6283" s="81" t="s">
        <v>224</v>
      </c>
      <c r="I6283" s="81" t="s">
        <v>224</v>
      </c>
      <c r="J6283" s="81" t="s">
        <v>4963</v>
      </c>
    </row>
    <row r="6284" hidden="1">
      <c r="A6284" s="83" t="s">
        <v>6416</v>
      </c>
      <c r="B6284" s="83" t="s">
        <v>6417</v>
      </c>
      <c r="C6284" s="81" t="s">
        <v>4082</v>
      </c>
      <c r="D6284" s="81" t="s">
        <v>224</v>
      </c>
      <c r="E6284" s="81" t="s">
        <v>4965</v>
      </c>
      <c r="F6284" s="81" t="s">
        <v>224</v>
      </c>
      <c r="G6284" s="81" t="s">
        <v>224</v>
      </c>
      <c r="H6284" s="81" t="s">
        <v>224</v>
      </c>
      <c r="I6284" s="81" t="s">
        <v>224</v>
      </c>
      <c r="J6284" s="81" t="s">
        <v>4966</v>
      </c>
    </row>
    <row r="6285" hidden="1">
      <c r="A6285" s="83" t="s">
        <v>6416</v>
      </c>
      <c r="B6285" s="83" t="s">
        <v>6417</v>
      </c>
      <c r="C6285" s="81" t="s">
        <v>4082</v>
      </c>
      <c r="D6285" s="81" t="s">
        <v>224</v>
      </c>
      <c r="E6285" s="81" t="s">
        <v>4967</v>
      </c>
      <c r="F6285" s="81" t="s">
        <v>224</v>
      </c>
      <c r="G6285" s="81" t="s">
        <v>224</v>
      </c>
      <c r="H6285" s="81" t="s">
        <v>224</v>
      </c>
      <c r="I6285" s="81" t="s">
        <v>224</v>
      </c>
      <c r="J6285" s="81" t="s">
        <v>4966</v>
      </c>
    </row>
    <row r="6286" hidden="1">
      <c r="A6286" s="83" t="s">
        <v>6416</v>
      </c>
      <c r="B6286" s="83" t="s">
        <v>6417</v>
      </c>
      <c r="C6286" s="81" t="s">
        <v>4082</v>
      </c>
      <c r="D6286" s="81" t="s">
        <v>224</v>
      </c>
      <c r="E6286" s="81" t="s">
        <v>4968</v>
      </c>
      <c r="F6286" s="81" t="s">
        <v>224</v>
      </c>
      <c r="G6286" s="81" t="s">
        <v>224</v>
      </c>
      <c r="H6286" s="81" t="s">
        <v>224</v>
      </c>
      <c r="I6286" s="81" t="s">
        <v>224</v>
      </c>
      <c r="J6286" s="81" t="s">
        <v>4966</v>
      </c>
    </row>
    <row r="6287" hidden="1">
      <c r="A6287" s="83" t="s">
        <v>6416</v>
      </c>
      <c r="B6287" s="83" t="s">
        <v>6417</v>
      </c>
      <c r="C6287" s="81" t="s">
        <v>4082</v>
      </c>
      <c r="D6287" s="81" t="s">
        <v>224</v>
      </c>
      <c r="E6287" s="81" t="s">
        <v>4969</v>
      </c>
      <c r="F6287" s="81" t="s">
        <v>224</v>
      </c>
      <c r="G6287" s="81" t="s">
        <v>224</v>
      </c>
      <c r="H6287" s="81" t="s">
        <v>224</v>
      </c>
      <c r="I6287" s="81" t="s">
        <v>224</v>
      </c>
      <c r="J6287" s="81" t="s">
        <v>4966</v>
      </c>
    </row>
    <row r="6288" hidden="1">
      <c r="A6288" s="83" t="s">
        <v>6416</v>
      </c>
      <c r="B6288" s="83" t="s">
        <v>6417</v>
      </c>
      <c r="C6288" s="81" t="s">
        <v>4082</v>
      </c>
      <c r="D6288" s="81" t="s">
        <v>224</v>
      </c>
      <c r="E6288" s="81" t="s">
        <v>4970</v>
      </c>
      <c r="F6288" s="81" t="s">
        <v>224</v>
      </c>
      <c r="G6288" s="81" t="s">
        <v>224</v>
      </c>
      <c r="H6288" s="81" t="s">
        <v>224</v>
      </c>
      <c r="I6288" s="81" t="s">
        <v>224</v>
      </c>
      <c r="J6288" s="81" t="s">
        <v>4966</v>
      </c>
    </row>
    <row r="6289" hidden="1">
      <c r="A6289" s="83" t="s">
        <v>6416</v>
      </c>
      <c r="B6289" s="83" t="s">
        <v>6417</v>
      </c>
      <c r="C6289" s="81" t="s">
        <v>4082</v>
      </c>
      <c r="D6289" s="81" t="s">
        <v>224</v>
      </c>
      <c r="E6289" s="81" t="s">
        <v>4971</v>
      </c>
      <c r="F6289" s="81" t="s">
        <v>224</v>
      </c>
      <c r="G6289" s="81" t="s">
        <v>224</v>
      </c>
      <c r="H6289" s="81" t="s">
        <v>224</v>
      </c>
      <c r="I6289" s="81" t="s">
        <v>224</v>
      </c>
      <c r="J6289" s="81" t="s">
        <v>4966</v>
      </c>
    </row>
    <row r="6290" hidden="1">
      <c r="A6290" s="83" t="s">
        <v>6416</v>
      </c>
      <c r="B6290" s="83" t="s">
        <v>6417</v>
      </c>
      <c r="C6290" s="81" t="s">
        <v>4082</v>
      </c>
      <c r="D6290" s="81" t="s">
        <v>224</v>
      </c>
      <c r="E6290" s="81" t="s">
        <v>4972</v>
      </c>
      <c r="F6290" s="81" t="s">
        <v>224</v>
      </c>
      <c r="G6290" s="81" t="s">
        <v>224</v>
      </c>
      <c r="H6290" s="81" t="s">
        <v>224</v>
      </c>
      <c r="I6290" s="81" t="s">
        <v>224</v>
      </c>
      <c r="J6290" s="81" t="s">
        <v>4966</v>
      </c>
    </row>
    <row r="6291" hidden="1">
      <c r="A6291" s="83" t="s">
        <v>6416</v>
      </c>
      <c r="B6291" s="83" t="s">
        <v>6417</v>
      </c>
      <c r="C6291" s="81" t="s">
        <v>4082</v>
      </c>
      <c r="D6291" s="81" t="s">
        <v>224</v>
      </c>
      <c r="E6291" s="81" t="s">
        <v>4973</v>
      </c>
      <c r="F6291" s="81" t="s">
        <v>224</v>
      </c>
      <c r="G6291" s="81" t="s">
        <v>224</v>
      </c>
      <c r="H6291" s="81" t="s">
        <v>224</v>
      </c>
      <c r="I6291" s="81" t="s">
        <v>224</v>
      </c>
      <c r="J6291" s="81" t="s">
        <v>4974</v>
      </c>
    </row>
    <row r="6292" hidden="1">
      <c r="A6292" s="83" t="s">
        <v>6416</v>
      </c>
      <c r="B6292" s="83" t="s">
        <v>6417</v>
      </c>
      <c r="C6292" s="81" t="s">
        <v>4082</v>
      </c>
      <c r="D6292" s="81" t="s">
        <v>224</v>
      </c>
      <c r="E6292" s="81" t="s">
        <v>4975</v>
      </c>
      <c r="F6292" s="81" t="s">
        <v>224</v>
      </c>
      <c r="G6292" s="81" t="s">
        <v>224</v>
      </c>
      <c r="H6292" s="81" t="s">
        <v>224</v>
      </c>
      <c r="I6292" s="81" t="s">
        <v>224</v>
      </c>
      <c r="J6292" s="81" t="s">
        <v>4976</v>
      </c>
    </row>
    <row r="6293" hidden="1">
      <c r="A6293" s="83" t="s">
        <v>6416</v>
      </c>
      <c r="B6293" s="83" t="s">
        <v>6417</v>
      </c>
      <c r="C6293" s="81" t="s">
        <v>4082</v>
      </c>
      <c r="D6293" s="81" t="s">
        <v>224</v>
      </c>
      <c r="E6293" s="81" t="s">
        <v>4979</v>
      </c>
      <c r="F6293" s="81" t="s">
        <v>224</v>
      </c>
      <c r="G6293" s="81" t="s">
        <v>224</v>
      </c>
      <c r="H6293" s="81" t="s">
        <v>224</v>
      </c>
      <c r="I6293" s="81" t="s">
        <v>224</v>
      </c>
      <c r="J6293" s="81" t="s">
        <v>4980</v>
      </c>
    </row>
    <row r="6294" hidden="1">
      <c r="A6294" s="83" t="s">
        <v>6416</v>
      </c>
      <c r="B6294" s="83" t="s">
        <v>6417</v>
      </c>
      <c r="C6294" s="81" t="s">
        <v>4082</v>
      </c>
      <c r="D6294" s="81" t="s">
        <v>224</v>
      </c>
      <c r="E6294" s="81" t="s">
        <v>4981</v>
      </c>
      <c r="F6294" s="81" t="s">
        <v>224</v>
      </c>
      <c r="G6294" s="81" t="s">
        <v>224</v>
      </c>
      <c r="H6294" s="81" t="s">
        <v>224</v>
      </c>
      <c r="I6294" s="81" t="s">
        <v>224</v>
      </c>
      <c r="J6294" s="81" t="s">
        <v>4982</v>
      </c>
    </row>
    <row r="6295" hidden="1">
      <c r="A6295" s="83" t="s">
        <v>6416</v>
      </c>
      <c r="B6295" s="83" t="s">
        <v>6417</v>
      </c>
      <c r="C6295" s="81" t="s">
        <v>4082</v>
      </c>
      <c r="D6295" s="81" t="s">
        <v>224</v>
      </c>
      <c r="E6295" s="81" t="s">
        <v>4983</v>
      </c>
      <c r="F6295" s="81" t="s">
        <v>224</v>
      </c>
      <c r="G6295" s="81" t="s">
        <v>224</v>
      </c>
      <c r="H6295" s="81" t="s">
        <v>224</v>
      </c>
      <c r="I6295" s="81" t="s">
        <v>224</v>
      </c>
      <c r="J6295" s="81" t="s">
        <v>4984</v>
      </c>
    </row>
    <row r="6296" hidden="1">
      <c r="A6296" s="83" t="s">
        <v>6416</v>
      </c>
      <c r="B6296" s="83" t="s">
        <v>6417</v>
      </c>
      <c r="C6296" s="81" t="s">
        <v>4082</v>
      </c>
      <c r="D6296" s="81" t="s">
        <v>224</v>
      </c>
      <c r="E6296" s="81" t="s">
        <v>4985</v>
      </c>
      <c r="F6296" s="81" t="s">
        <v>224</v>
      </c>
      <c r="G6296" s="81" t="s">
        <v>224</v>
      </c>
      <c r="H6296" s="81" t="s">
        <v>224</v>
      </c>
      <c r="I6296" s="81" t="s">
        <v>224</v>
      </c>
      <c r="J6296" s="81" t="s">
        <v>4986</v>
      </c>
    </row>
    <row r="6297" hidden="1">
      <c r="A6297" s="83" t="s">
        <v>6416</v>
      </c>
      <c r="B6297" s="83" t="s">
        <v>6417</v>
      </c>
      <c r="C6297" s="81" t="s">
        <v>4082</v>
      </c>
      <c r="D6297" s="81" t="s">
        <v>224</v>
      </c>
      <c r="E6297" s="81" t="s">
        <v>4987</v>
      </c>
      <c r="F6297" s="81" t="s">
        <v>224</v>
      </c>
      <c r="G6297" s="81" t="s">
        <v>224</v>
      </c>
      <c r="H6297" s="81" t="s">
        <v>224</v>
      </c>
      <c r="I6297" s="81" t="s">
        <v>224</v>
      </c>
      <c r="J6297" s="81" t="s">
        <v>4988</v>
      </c>
    </row>
    <row r="6298" hidden="1">
      <c r="A6298" s="83" t="s">
        <v>6416</v>
      </c>
      <c r="B6298" s="83" t="s">
        <v>6417</v>
      </c>
      <c r="C6298" s="81" t="s">
        <v>4082</v>
      </c>
      <c r="D6298" s="81" t="s">
        <v>224</v>
      </c>
      <c r="E6298" s="81" t="s">
        <v>4989</v>
      </c>
      <c r="F6298" s="81" t="s">
        <v>224</v>
      </c>
      <c r="G6298" s="81" t="s">
        <v>224</v>
      </c>
      <c r="H6298" s="81" t="s">
        <v>224</v>
      </c>
      <c r="I6298" s="81" t="s">
        <v>224</v>
      </c>
      <c r="J6298" s="81" t="s">
        <v>4990</v>
      </c>
    </row>
    <row r="6299" hidden="1">
      <c r="A6299" s="83" t="s">
        <v>6416</v>
      </c>
      <c r="B6299" s="83" t="s">
        <v>6417</v>
      </c>
      <c r="C6299" s="81" t="s">
        <v>4082</v>
      </c>
      <c r="D6299" s="81" t="s">
        <v>224</v>
      </c>
      <c r="E6299" s="81" t="s">
        <v>4991</v>
      </c>
      <c r="F6299" s="81" t="s">
        <v>224</v>
      </c>
      <c r="G6299" s="81" t="s">
        <v>224</v>
      </c>
      <c r="H6299" s="81" t="s">
        <v>224</v>
      </c>
      <c r="I6299" s="81" t="s">
        <v>224</v>
      </c>
      <c r="J6299" s="81" t="s">
        <v>4992</v>
      </c>
    </row>
    <row r="6300" hidden="1">
      <c r="A6300" s="83" t="s">
        <v>6416</v>
      </c>
      <c r="B6300" s="83" t="s">
        <v>6417</v>
      </c>
      <c r="C6300" s="81" t="s">
        <v>4082</v>
      </c>
      <c r="D6300" s="81" t="s">
        <v>224</v>
      </c>
      <c r="E6300" s="81" t="s">
        <v>4993</v>
      </c>
      <c r="F6300" s="81" t="s">
        <v>224</v>
      </c>
      <c r="G6300" s="81" t="s">
        <v>224</v>
      </c>
      <c r="H6300" s="81" t="s">
        <v>224</v>
      </c>
      <c r="I6300" s="81" t="s">
        <v>224</v>
      </c>
      <c r="J6300" s="81" t="s">
        <v>4994</v>
      </c>
    </row>
    <row r="6301" hidden="1">
      <c r="A6301" s="83" t="s">
        <v>6416</v>
      </c>
      <c r="B6301" s="83" t="s">
        <v>6417</v>
      </c>
      <c r="C6301" s="81" t="s">
        <v>4082</v>
      </c>
      <c r="D6301" s="81" t="s">
        <v>224</v>
      </c>
      <c r="E6301" s="81" t="s">
        <v>4995</v>
      </c>
      <c r="F6301" s="81" t="s">
        <v>224</v>
      </c>
      <c r="G6301" s="81" t="s">
        <v>224</v>
      </c>
      <c r="H6301" s="81" t="s">
        <v>224</v>
      </c>
      <c r="I6301" s="81" t="s">
        <v>224</v>
      </c>
      <c r="J6301" s="81" t="s">
        <v>4996</v>
      </c>
    </row>
    <row r="6302" hidden="1">
      <c r="A6302" s="83" t="s">
        <v>6416</v>
      </c>
      <c r="B6302" s="83" t="s">
        <v>6417</v>
      </c>
      <c r="C6302" s="81" t="s">
        <v>4082</v>
      </c>
      <c r="D6302" s="81" t="s">
        <v>224</v>
      </c>
      <c r="E6302" s="81" t="s">
        <v>4997</v>
      </c>
      <c r="F6302" s="81" t="s">
        <v>224</v>
      </c>
      <c r="G6302" s="81" t="s">
        <v>224</v>
      </c>
      <c r="H6302" s="81" t="s">
        <v>224</v>
      </c>
      <c r="I6302" s="81" t="s">
        <v>224</v>
      </c>
      <c r="J6302" s="81" t="s">
        <v>4998</v>
      </c>
    </row>
    <row r="6303" hidden="1">
      <c r="A6303" s="83" t="s">
        <v>6416</v>
      </c>
      <c r="B6303" s="83" t="s">
        <v>6417</v>
      </c>
      <c r="C6303" s="81" t="s">
        <v>4082</v>
      </c>
      <c r="D6303" s="81" t="s">
        <v>224</v>
      </c>
      <c r="E6303" s="81" t="s">
        <v>4999</v>
      </c>
      <c r="F6303" s="81" t="s">
        <v>224</v>
      </c>
      <c r="G6303" s="81" t="s">
        <v>224</v>
      </c>
      <c r="H6303" s="81" t="s">
        <v>224</v>
      </c>
      <c r="I6303" s="81" t="s">
        <v>224</v>
      </c>
      <c r="J6303" s="81" t="s">
        <v>5000</v>
      </c>
    </row>
    <row r="6304" hidden="1">
      <c r="A6304" s="83" t="s">
        <v>6416</v>
      </c>
      <c r="B6304" s="83" t="s">
        <v>6417</v>
      </c>
      <c r="C6304" s="81" t="s">
        <v>4082</v>
      </c>
      <c r="D6304" s="81" t="s">
        <v>224</v>
      </c>
      <c r="E6304" s="81" t="s">
        <v>5001</v>
      </c>
      <c r="F6304" s="81" t="s">
        <v>224</v>
      </c>
      <c r="G6304" s="81" t="s">
        <v>224</v>
      </c>
      <c r="H6304" s="81" t="s">
        <v>224</v>
      </c>
      <c r="I6304" s="81" t="s">
        <v>224</v>
      </c>
      <c r="J6304" s="81" t="s">
        <v>5002</v>
      </c>
    </row>
    <row r="6305" hidden="1">
      <c r="A6305" s="83" t="s">
        <v>6416</v>
      </c>
      <c r="B6305" s="83" t="s">
        <v>6417</v>
      </c>
      <c r="C6305" s="81" t="s">
        <v>4082</v>
      </c>
      <c r="D6305" s="81" t="s">
        <v>224</v>
      </c>
      <c r="E6305" s="81" t="s">
        <v>5003</v>
      </c>
      <c r="F6305" s="81" t="s">
        <v>224</v>
      </c>
      <c r="G6305" s="81" t="s">
        <v>224</v>
      </c>
      <c r="H6305" s="81" t="s">
        <v>224</v>
      </c>
      <c r="I6305" s="81" t="s">
        <v>224</v>
      </c>
      <c r="J6305" s="81" t="s">
        <v>5004</v>
      </c>
    </row>
    <row r="6306" hidden="1">
      <c r="A6306" s="83" t="s">
        <v>6416</v>
      </c>
      <c r="B6306" s="83" t="s">
        <v>6417</v>
      </c>
      <c r="C6306" s="81" t="s">
        <v>4082</v>
      </c>
      <c r="D6306" s="81" t="s">
        <v>224</v>
      </c>
      <c r="E6306" s="81" t="s">
        <v>5005</v>
      </c>
      <c r="F6306" s="81" t="s">
        <v>224</v>
      </c>
      <c r="G6306" s="81" t="s">
        <v>224</v>
      </c>
      <c r="H6306" s="81" t="s">
        <v>224</v>
      </c>
      <c r="I6306" s="81" t="s">
        <v>224</v>
      </c>
      <c r="J6306" s="81" t="s">
        <v>5006</v>
      </c>
    </row>
    <row r="6307" hidden="1">
      <c r="A6307" s="83" t="s">
        <v>6416</v>
      </c>
      <c r="B6307" s="83" t="s">
        <v>6417</v>
      </c>
      <c r="C6307" s="81" t="s">
        <v>4082</v>
      </c>
      <c r="D6307" s="81" t="s">
        <v>224</v>
      </c>
      <c r="E6307" s="81" t="s">
        <v>5007</v>
      </c>
      <c r="F6307" s="81" t="s">
        <v>224</v>
      </c>
      <c r="G6307" s="81" t="s">
        <v>224</v>
      </c>
      <c r="H6307" s="81" t="s">
        <v>224</v>
      </c>
      <c r="I6307" s="81" t="s">
        <v>224</v>
      </c>
      <c r="J6307" s="81" t="s">
        <v>5008</v>
      </c>
    </row>
    <row r="6308" hidden="1">
      <c r="A6308" s="83" t="s">
        <v>6416</v>
      </c>
      <c r="B6308" s="83" t="s">
        <v>6417</v>
      </c>
      <c r="C6308" s="81" t="s">
        <v>4082</v>
      </c>
      <c r="D6308" s="81" t="s">
        <v>224</v>
      </c>
      <c r="E6308" s="81" t="s">
        <v>5009</v>
      </c>
      <c r="F6308" s="81" t="s">
        <v>224</v>
      </c>
      <c r="G6308" s="81" t="s">
        <v>224</v>
      </c>
      <c r="H6308" s="81" t="s">
        <v>224</v>
      </c>
      <c r="I6308" s="81" t="s">
        <v>224</v>
      </c>
      <c r="J6308" s="81" t="s">
        <v>5010</v>
      </c>
    </row>
    <row r="6309" hidden="1">
      <c r="A6309" s="83" t="s">
        <v>6416</v>
      </c>
      <c r="B6309" s="83" t="s">
        <v>6417</v>
      </c>
      <c r="C6309" s="81" t="s">
        <v>4082</v>
      </c>
      <c r="D6309" s="81" t="s">
        <v>224</v>
      </c>
      <c r="E6309" s="81" t="s">
        <v>5011</v>
      </c>
      <c r="F6309" s="81" t="s">
        <v>224</v>
      </c>
      <c r="G6309" s="81" t="s">
        <v>224</v>
      </c>
      <c r="H6309" s="81" t="s">
        <v>224</v>
      </c>
      <c r="I6309" s="81" t="s">
        <v>224</v>
      </c>
      <c r="J6309" s="81" t="s">
        <v>5012</v>
      </c>
    </row>
    <row r="6310" hidden="1">
      <c r="A6310" s="83" t="s">
        <v>6416</v>
      </c>
      <c r="B6310" s="83" t="s">
        <v>6417</v>
      </c>
      <c r="C6310" s="81" t="s">
        <v>4082</v>
      </c>
      <c r="D6310" s="81" t="s">
        <v>224</v>
      </c>
      <c r="E6310" s="81" t="s">
        <v>5013</v>
      </c>
      <c r="F6310" s="81" t="s">
        <v>224</v>
      </c>
      <c r="G6310" s="81" t="s">
        <v>224</v>
      </c>
      <c r="H6310" s="81" t="s">
        <v>224</v>
      </c>
      <c r="I6310" s="81" t="s">
        <v>224</v>
      </c>
      <c r="J6310" s="81" t="s">
        <v>5014</v>
      </c>
    </row>
    <row r="6311" hidden="1">
      <c r="A6311" s="83" t="s">
        <v>6416</v>
      </c>
      <c r="B6311" s="83" t="s">
        <v>6417</v>
      </c>
      <c r="C6311" s="81" t="s">
        <v>4082</v>
      </c>
      <c r="D6311" s="81" t="s">
        <v>224</v>
      </c>
      <c r="E6311" s="81" t="s">
        <v>5015</v>
      </c>
      <c r="F6311" s="81" t="s">
        <v>224</v>
      </c>
      <c r="G6311" s="81" t="s">
        <v>224</v>
      </c>
      <c r="H6311" s="81" t="s">
        <v>224</v>
      </c>
      <c r="I6311" s="81" t="s">
        <v>224</v>
      </c>
      <c r="J6311" s="81" t="s">
        <v>5016</v>
      </c>
    </row>
    <row r="6312" hidden="1">
      <c r="A6312" s="83" t="s">
        <v>6416</v>
      </c>
      <c r="B6312" s="83" t="s">
        <v>6417</v>
      </c>
      <c r="C6312" s="81" t="s">
        <v>4082</v>
      </c>
      <c r="D6312" s="81" t="s">
        <v>224</v>
      </c>
      <c r="E6312" s="81" t="s">
        <v>5017</v>
      </c>
      <c r="F6312" s="81" t="s">
        <v>224</v>
      </c>
      <c r="G6312" s="81" t="s">
        <v>224</v>
      </c>
      <c r="H6312" s="81" t="s">
        <v>224</v>
      </c>
      <c r="I6312" s="81" t="s">
        <v>224</v>
      </c>
      <c r="J6312" s="81" t="s">
        <v>5018</v>
      </c>
    </row>
    <row r="6313" hidden="1">
      <c r="A6313" s="83" t="s">
        <v>6416</v>
      </c>
      <c r="B6313" s="83" t="s">
        <v>6417</v>
      </c>
      <c r="C6313" s="81" t="s">
        <v>4082</v>
      </c>
      <c r="D6313" s="81" t="s">
        <v>224</v>
      </c>
      <c r="E6313" s="81" t="s">
        <v>5019</v>
      </c>
      <c r="F6313" s="81" t="s">
        <v>224</v>
      </c>
      <c r="G6313" s="81" t="s">
        <v>224</v>
      </c>
      <c r="H6313" s="81" t="s">
        <v>224</v>
      </c>
      <c r="I6313" s="81" t="s">
        <v>224</v>
      </c>
      <c r="J6313" s="81" t="s">
        <v>5020</v>
      </c>
    </row>
    <row r="6314" hidden="1">
      <c r="A6314" s="83" t="s">
        <v>6416</v>
      </c>
      <c r="B6314" s="83" t="s">
        <v>6417</v>
      </c>
      <c r="C6314" s="81" t="s">
        <v>4082</v>
      </c>
      <c r="D6314" s="81" t="s">
        <v>224</v>
      </c>
      <c r="E6314" s="81" t="s">
        <v>5021</v>
      </c>
      <c r="F6314" s="81" t="s">
        <v>224</v>
      </c>
      <c r="G6314" s="81" t="s">
        <v>224</v>
      </c>
      <c r="H6314" s="81" t="s">
        <v>224</v>
      </c>
      <c r="I6314" s="81" t="s">
        <v>224</v>
      </c>
      <c r="J6314" s="81" t="s">
        <v>5022</v>
      </c>
    </row>
    <row r="6315" hidden="1">
      <c r="A6315" s="83" t="s">
        <v>6416</v>
      </c>
      <c r="B6315" s="83" t="s">
        <v>6417</v>
      </c>
      <c r="C6315" s="81" t="s">
        <v>4082</v>
      </c>
      <c r="D6315" s="81" t="s">
        <v>224</v>
      </c>
      <c r="E6315" s="81" t="s">
        <v>5023</v>
      </c>
      <c r="F6315" s="81" t="s">
        <v>224</v>
      </c>
      <c r="G6315" s="81" t="s">
        <v>224</v>
      </c>
      <c r="H6315" s="81" t="s">
        <v>224</v>
      </c>
      <c r="I6315" s="81" t="s">
        <v>224</v>
      </c>
      <c r="J6315" s="81" t="s">
        <v>5024</v>
      </c>
    </row>
    <row r="6316" hidden="1">
      <c r="A6316" s="83" t="s">
        <v>6416</v>
      </c>
      <c r="B6316" s="83" t="s">
        <v>6417</v>
      </c>
      <c r="C6316" s="81" t="s">
        <v>4082</v>
      </c>
      <c r="D6316" s="81" t="s">
        <v>224</v>
      </c>
      <c r="E6316" s="81" t="s">
        <v>5025</v>
      </c>
      <c r="F6316" s="81" t="s">
        <v>224</v>
      </c>
      <c r="G6316" s="81" t="s">
        <v>224</v>
      </c>
      <c r="H6316" s="81" t="s">
        <v>224</v>
      </c>
      <c r="I6316" s="81" t="s">
        <v>224</v>
      </c>
      <c r="J6316" s="81" t="s">
        <v>5026</v>
      </c>
    </row>
    <row r="6317" hidden="1">
      <c r="A6317" s="83" t="s">
        <v>6416</v>
      </c>
      <c r="B6317" s="83" t="s">
        <v>6417</v>
      </c>
      <c r="C6317" s="81" t="s">
        <v>4082</v>
      </c>
      <c r="D6317" s="81" t="s">
        <v>224</v>
      </c>
      <c r="E6317" s="81" t="s">
        <v>5027</v>
      </c>
      <c r="F6317" s="81" t="s">
        <v>224</v>
      </c>
      <c r="G6317" s="81" t="s">
        <v>224</v>
      </c>
      <c r="H6317" s="81" t="s">
        <v>224</v>
      </c>
      <c r="I6317" s="81" t="s">
        <v>224</v>
      </c>
      <c r="J6317" s="81" t="s">
        <v>5028</v>
      </c>
    </row>
    <row r="6318" hidden="1">
      <c r="A6318" s="83" t="s">
        <v>6416</v>
      </c>
      <c r="B6318" s="83" t="s">
        <v>6417</v>
      </c>
      <c r="C6318" s="81" t="s">
        <v>4082</v>
      </c>
      <c r="D6318" s="81" t="s">
        <v>224</v>
      </c>
      <c r="E6318" s="81" t="s">
        <v>5029</v>
      </c>
      <c r="F6318" s="81" t="s">
        <v>224</v>
      </c>
      <c r="G6318" s="81" t="s">
        <v>224</v>
      </c>
      <c r="H6318" s="81" t="s">
        <v>224</v>
      </c>
      <c r="I6318" s="81" t="s">
        <v>224</v>
      </c>
      <c r="J6318" s="81" t="s">
        <v>5030</v>
      </c>
    </row>
    <row r="6319" hidden="1">
      <c r="A6319" s="83" t="s">
        <v>6416</v>
      </c>
      <c r="B6319" s="83" t="s">
        <v>6417</v>
      </c>
      <c r="C6319" s="81" t="s">
        <v>4082</v>
      </c>
      <c r="D6319" s="81" t="s">
        <v>224</v>
      </c>
      <c r="E6319" s="81" t="s">
        <v>5031</v>
      </c>
      <c r="F6319" s="81" t="s">
        <v>224</v>
      </c>
      <c r="G6319" s="81" t="s">
        <v>224</v>
      </c>
      <c r="H6319" s="81" t="s">
        <v>224</v>
      </c>
      <c r="I6319" s="81" t="s">
        <v>224</v>
      </c>
      <c r="J6319" s="81" t="s">
        <v>5032</v>
      </c>
    </row>
    <row r="6320" hidden="1">
      <c r="A6320" s="83" t="s">
        <v>6416</v>
      </c>
      <c r="B6320" s="83" t="s">
        <v>6417</v>
      </c>
      <c r="C6320" s="81" t="s">
        <v>4082</v>
      </c>
      <c r="D6320" s="81" t="s">
        <v>224</v>
      </c>
      <c r="E6320" s="81" t="s">
        <v>5033</v>
      </c>
      <c r="F6320" s="81" t="s">
        <v>224</v>
      </c>
      <c r="G6320" s="81" t="s">
        <v>224</v>
      </c>
      <c r="H6320" s="81" t="s">
        <v>224</v>
      </c>
      <c r="I6320" s="81" t="s">
        <v>224</v>
      </c>
      <c r="J6320" s="81" t="s">
        <v>5034</v>
      </c>
    </row>
    <row r="6321" hidden="1">
      <c r="A6321" s="83" t="s">
        <v>6416</v>
      </c>
      <c r="B6321" s="83" t="s">
        <v>6417</v>
      </c>
      <c r="C6321" s="81" t="s">
        <v>4082</v>
      </c>
      <c r="D6321" s="81" t="s">
        <v>224</v>
      </c>
      <c r="E6321" s="81" t="s">
        <v>5035</v>
      </c>
      <c r="F6321" s="81" t="s">
        <v>224</v>
      </c>
      <c r="G6321" s="81" t="s">
        <v>224</v>
      </c>
      <c r="H6321" s="81" t="s">
        <v>224</v>
      </c>
      <c r="I6321" s="81" t="s">
        <v>224</v>
      </c>
      <c r="J6321" s="81" t="s">
        <v>5036</v>
      </c>
    </row>
    <row r="6322" hidden="1">
      <c r="A6322" s="83" t="s">
        <v>6416</v>
      </c>
      <c r="B6322" s="83" t="s">
        <v>6417</v>
      </c>
      <c r="C6322" s="81" t="s">
        <v>4082</v>
      </c>
      <c r="D6322" s="81" t="s">
        <v>224</v>
      </c>
      <c r="E6322" s="81" t="s">
        <v>5037</v>
      </c>
      <c r="F6322" s="81" t="s">
        <v>224</v>
      </c>
      <c r="G6322" s="81" t="s">
        <v>224</v>
      </c>
      <c r="H6322" s="81" t="s">
        <v>224</v>
      </c>
      <c r="I6322" s="81" t="s">
        <v>224</v>
      </c>
      <c r="J6322" s="81" t="s">
        <v>5038</v>
      </c>
    </row>
    <row r="6323" hidden="1">
      <c r="A6323" s="83" t="s">
        <v>6416</v>
      </c>
      <c r="B6323" s="83" t="s">
        <v>6417</v>
      </c>
      <c r="C6323" s="81" t="s">
        <v>4082</v>
      </c>
      <c r="D6323" s="81" t="s">
        <v>224</v>
      </c>
      <c r="E6323" s="81" t="s">
        <v>5039</v>
      </c>
      <c r="F6323" s="81" t="s">
        <v>224</v>
      </c>
      <c r="G6323" s="81" t="s">
        <v>224</v>
      </c>
      <c r="H6323" s="81" t="s">
        <v>224</v>
      </c>
      <c r="I6323" s="81" t="s">
        <v>224</v>
      </c>
      <c r="J6323" s="81" t="s">
        <v>5040</v>
      </c>
    </row>
    <row r="6324" hidden="1">
      <c r="A6324" s="83" t="s">
        <v>6416</v>
      </c>
      <c r="B6324" s="83" t="s">
        <v>6417</v>
      </c>
      <c r="C6324" s="81" t="s">
        <v>4082</v>
      </c>
      <c r="D6324" s="81" t="s">
        <v>224</v>
      </c>
      <c r="E6324" s="81" t="s">
        <v>5041</v>
      </c>
      <c r="F6324" s="81" t="s">
        <v>224</v>
      </c>
      <c r="G6324" s="81" t="s">
        <v>224</v>
      </c>
      <c r="H6324" s="81" t="s">
        <v>224</v>
      </c>
      <c r="I6324" s="81" t="s">
        <v>224</v>
      </c>
      <c r="J6324" s="81" t="s">
        <v>5042</v>
      </c>
    </row>
    <row r="6325" hidden="1">
      <c r="A6325" s="83" t="s">
        <v>6416</v>
      </c>
      <c r="B6325" s="83" t="s">
        <v>6417</v>
      </c>
      <c r="C6325" s="81" t="s">
        <v>4082</v>
      </c>
      <c r="D6325" s="81" t="s">
        <v>224</v>
      </c>
      <c r="E6325" s="81" t="s">
        <v>5043</v>
      </c>
      <c r="F6325" s="81" t="s">
        <v>224</v>
      </c>
      <c r="G6325" s="81" t="s">
        <v>224</v>
      </c>
      <c r="H6325" s="81" t="s">
        <v>224</v>
      </c>
      <c r="I6325" s="81" t="s">
        <v>224</v>
      </c>
      <c r="J6325" s="81" t="s">
        <v>5044</v>
      </c>
    </row>
    <row r="6326" hidden="1">
      <c r="A6326" s="83" t="s">
        <v>6416</v>
      </c>
      <c r="B6326" s="83" t="s">
        <v>6417</v>
      </c>
      <c r="C6326" s="81" t="s">
        <v>4082</v>
      </c>
      <c r="D6326" s="81" t="s">
        <v>224</v>
      </c>
      <c r="E6326" s="81" t="s">
        <v>5045</v>
      </c>
      <c r="F6326" s="81" t="s">
        <v>224</v>
      </c>
      <c r="G6326" s="81" t="s">
        <v>224</v>
      </c>
      <c r="H6326" s="81" t="s">
        <v>224</v>
      </c>
      <c r="I6326" s="81" t="s">
        <v>224</v>
      </c>
      <c r="J6326" s="81" t="s">
        <v>5046</v>
      </c>
    </row>
    <row r="6327" hidden="1">
      <c r="A6327" s="83" t="s">
        <v>6416</v>
      </c>
      <c r="B6327" s="83" t="s">
        <v>6417</v>
      </c>
      <c r="C6327" s="81" t="s">
        <v>4082</v>
      </c>
      <c r="D6327" s="81" t="s">
        <v>224</v>
      </c>
      <c r="E6327" s="81" t="s">
        <v>5047</v>
      </c>
      <c r="F6327" s="81" t="s">
        <v>224</v>
      </c>
      <c r="G6327" s="81" t="s">
        <v>224</v>
      </c>
      <c r="H6327" s="81" t="s">
        <v>224</v>
      </c>
      <c r="I6327" s="81" t="s">
        <v>224</v>
      </c>
      <c r="J6327" s="81" t="s">
        <v>5048</v>
      </c>
    </row>
    <row r="6328" hidden="1">
      <c r="A6328" s="83" t="s">
        <v>6416</v>
      </c>
      <c r="B6328" s="83" t="s">
        <v>6417</v>
      </c>
      <c r="C6328" s="81" t="s">
        <v>4082</v>
      </c>
      <c r="D6328" s="81" t="s">
        <v>224</v>
      </c>
      <c r="E6328" s="81" t="s">
        <v>5049</v>
      </c>
      <c r="F6328" s="81" t="s">
        <v>224</v>
      </c>
      <c r="G6328" s="81" t="s">
        <v>224</v>
      </c>
      <c r="H6328" s="81" t="s">
        <v>224</v>
      </c>
      <c r="I6328" s="81" t="s">
        <v>224</v>
      </c>
      <c r="J6328" s="81" t="s">
        <v>5050</v>
      </c>
    </row>
    <row r="6329" hidden="1">
      <c r="A6329" s="83" t="s">
        <v>6416</v>
      </c>
      <c r="B6329" s="83" t="s">
        <v>6417</v>
      </c>
      <c r="C6329" s="81" t="s">
        <v>4082</v>
      </c>
      <c r="D6329" s="81" t="s">
        <v>224</v>
      </c>
      <c r="E6329" s="81" t="s">
        <v>5051</v>
      </c>
      <c r="F6329" s="81" t="s">
        <v>224</v>
      </c>
      <c r="G6329" s="81" t="s">
        <v>224</v>
      </c>
      <c r="H6329" s="81" t="s">
        <v>224</v>
      </c>
      <c r="I6329" s="81" t="s">
        <v>224</v>
      </c>
      <c r="J6329" s="81" t="s">
        <v>5052</v>
      </c>
    </row>
    <row r="6330" hidden="1">
      <c r="A6330" s="83" t="s">
        <v>6416</v>
      </c>
      <c r="B6330" s="83" t="s">
        <v>6417</v>
      </c>
      <c r="C6330" s="81" t="s">
        <v>4082</v>
      </c>
      <c r="D6330" s="81" t="s">
        <v>224</v>
      </c>
      <c r="E6330" s="81" t="s">
        <v>5053</v>
      </c>
      <c r="F6330" s="81" t="s">
        <v>224</v>
      </c>
      <c r="G6330" s="81" t="s">
        <v>224</v>
      </c>
      <c r="H6330" s="81" t="s">
        <v>224</v>
      </c>
      <c r="I6330" s="81" t="s">
        <v>224</v>
      </c>
      <c r="J6330" s="81" t="s">
        <v>5054</v>
      </c>
    </row>
    <row r="6331" hidden="1">
      <c r="A6331" s="83" t="s">
        <v>6416</v>
      </c>
      <c r="B6331" s="83" t="s">
        <v>6417</v>
      </c>
      <c r="C6331" s="81" t="s">
        <v>4082</v>
      </c>
      <c r="D6331" s="81" t="s">
        <v>224</v>
      </c>
      <c r="E6331" s="81" t="s">
        <v>5055</v>
      </c>
      <c r="F6331" s="81" t="s">
        <v>224</v>
      </c>
      <c r="G6331" s="81" t="s">
        <v>224</v>
      </c>
      <c r="H6331" s="81" t="s">
        <v>224</v>
      </c>
      <c r="I6331" s="81" t="s">
        <v>224</v>
      </c>
      <c r="J6331" s="81" t="s">
        <v>5056</v>
      </c>
    </row>
    <row r="6332" hidden="1">
      <c r="A6332" s="83" t="s">
        <v>6416</v>
      </c>
      <c r="B6332" s="83" t="s">
        <v>6417</v>
      </c>
      <c r="C6332" s="81" t="s">
        <v>4082</v>
      </c>
      <c r="D6332" s="81" t="s">
        <v>224</v>
      </c>
      <c r="E6332" s="81" t="s">
        <v>5057</v>
      </c>
      <c r="F6332" s="81" t="s">
        <v>224</v>
      </c>
      <c r="G6332" s="81" t="s">
        <v>224</v>
      </c>
      <c r="H6332" s="81" t="s">
        <v>224</v>
      </c>
      <c r="I6332" s="81" t="s">
        <v>224</v>
      </c>
      <c r="J6332" s="81" t="s">
        <v>5058</v>
      </c>
    </row>
    <row r="6333" hidden="1">
      <c r="A6333" s="83" t="s">
        <v>6416</v>
      </c>
      <c r="B6333" s="83" t="s">
        <v>6417</v>
      </c>
      <c r="C6333" s="81" t="s">
        <v>4082</v>
      </c>
      <c r="D6333" s="81" t="s">
        <v>224</v>
      </c>
      <c r="E6333" s="81" t="s">
        <v>5059</v>
      </c>
      <c r="F6333" s="81" t="s">
        <v>224</v>
      </c>
      <c r="G6333" s="81" t="s">
        <v>224</v>
      </c>
      <c r="H6333" s="81" t="s">
        <v>224</v>
      </c>
      <c r="I6333" s="81" t="s">
        <v>224</v>
      </c>
      <c r="J6333" s="81" t="s">
        <v>5060</v>
      </c>
    </row>
    <row r="6334" hidden="1">
      <c r="A6334" s="83" t="s">
        <v>6416</v>
      </c>
      <c r="B6334" s="83" t="s">
        <v>6417</v>
      </c>
      <c r="C6334" s="81" t="s">
        <v>4082</v>
      </c>
      <c r="D6334" s="81" t="s">
        <v>224</v>
      </c>
      <c r="E6334" s="81" t="s">
        <v>5061</v>
      </c>
      <c r="F6334" s="81" t="s">
        <v>224</v>
      </c>
      <c r="G6334" s="81" t="s">
        <v>224</v>
      </c>
      <c r="H6334" s="81" t="s">
        <v>224</v>
      </c>
      <c r="I6334" s="81" t="s">
        <v>224</v>
      </c>
      <c r="J6334" s="81" t="s">
        <v>5062</v>
      </c>
    </row>
    <row r="6335" hidden="1">
      <c r="A6335" s="83" t="s">
        <v>6416</v>
      </c>
      <c r="B6335" s="83" t="s">
        <v>6417</v>
      </c>
      <c r="C6335" s="81" t="s">
        <v>4082</v>
      </c>
      <c r="D6335" s="81" t="s">
        <v>224</v>
      </c>
      <c r="E6335" s="81" t="s">
        <v>5063</v>
      </c>
      <c r="F6335" s="81" t="s">
        <v>224</v>
      </c>
      <c r="G6335" s="81" t="s">
        <v>224</v>
      </c>
      <c r="H6335" s="81" t="s">
        <v>224</v>
      </c>
      <c r="I6335" s="81" t="s">
        <v>224</v>
      </c>
      <c r="J6335" s="81" t="s">
        <v>5064</v>
      </c>
    </row>
    <row r="6336" hidden="1">
      <c r="A6336" s="83" t="s">
        <v>6416</v>
      </c>
      <c r="B6336" s="83" t="s">
        <v>6417</v>
      </c>
      <c r="C6336" s="81" t="s">
        <v>4082</v>
      </c>
      <c r="D6336" s="81" t="s">
        <v>224</v>
      </c>
      <c r="E6336" s="81" t="s">
        <v>5065</v>
      </c>
      <c r="F6336" s="81" t="s">
        <v>224</v>
      </c>
      <c r="G6336" s="81" t="s">
        <v>224</v>
      </c>
      <c r="H6336" s="81" t="s">
        <v>224</v>
      </c>
      <c r="I6336" s="81" t="s">
        <v>224</v>
      </c>
      <c r="J6336" s="81" t="s">
        <v>5066</v>
      </c>
    </row>
    <row r="6337" hidden="1">
      <c r="A6337" s="83" t="s">
        <v>6416</v>
      </c>
      <c r="B6337" s="83" t="s">
        <v>6417</v>
      </c>
      <c r="C6337" s="81" t="s">
        <v>4082</v>
      </c>
      <c r="D6337" s="81" t="s">
        <v>224</v>
      </c>
      <c r="E6337" s="81" t="s">
        <v>5067</v>
      </c>
      <c r="F6337" s="81" t="s">
        <v>224</v>
      </c>
      <c r="G6337" s="81" t="s">
        <v>224</v>
      </c>
      <c r="H6337" s="81" t="s">
        <v>224</v>
      </c>
      <c r="I6337" s="81" t="s">
        <v>224</v>
      </c>
      <c r="J6337" s="81" t="s">
        <v>5068</v>
      </c>
    </row>
    <row r="6338" hidden="1">
      <c r="A6338" s="83" t="s">
        <v>6416</v>
      </c>
      <c r="B6338" s="83" t="s">
        <v>6417</v>
      </c>
      <c r="C6338" s="81" t="s">
        <v>4082</v>
      </c>
      <c r="D6338" s="81" t="s">
        <v>224</v>
      </c>
      <c r="E6338" s="81" t="s">
        <v>5069</v>
      </c>
      <c r="F6338" s="81" t="s">
        <v>224</v>
      </c>
      <c r="G6338" s="81" t="s">
        <v>224</v>
      </c>
      <c r="H6338" s="81" t="s">
        <v>224</v>
      </c>
      <c r="I6338" s="81" t="s">
        <v>224</v>
      </c>
      <c r="J6338" s="81" t="s">
        <v>5070</v>
      </c>
    </row>
    <row r="6339" hidden="1">
      <c r="A6339" s="83" t="s">
        <v>6416</v>
      </c>
      <c r="B6339" s="83" t="s">
        <v>6417</v>
      </c>
      <c r="C6339" s="81" t="s">
        <v>4082</v>
      </c>
      <c r="D6339" s="81" t="s">
        <v>224</v>
      </c>
      <c r="E6339" s="81" t="s">
        <v>5071</v>
      </c>
      <c r="F6339" s="81" t="s">
        <v>224</v>
      </c>
      <c r="G6339" s="81" t="s">
        <v>224</v>
      </c>
      <c r="H6339" s="81" t="s">
        <v>224</v>
      </c>
      <c r="I6339" s="81" t="s">
        <v>224</v>
      </c>
      <c r="J6339" s="81" t="s">
        <v>5072</v>
      </c>
    </row>
    <row r="6340" hidden="1">
      <c r="A6340" s="83" t="s">
        <v>6416</v>
      </c>
      <c r="B6340" s="83" t="s">
        <v>6417</v>
      </c>
      <c r="C6340" s="81" t="s">
        <v>4082</v>
      </c>
      <c r="D6340" s="81" t="s">
        <v>224</v>
      </c>
      <c r="E6340" s="81" t="s">
        <v>5073</v>
      </c>
      <c r="F6340" s="81" t="s">
        <v>224</v>
      </c>
      <c r="G6340" s="81" t="s">
        <v>224</v>
      </c>
      <c r="H6340" s="81" t="s">
        <v>224</v>
      </c>
      <c r="I6340" s="81" t="s">
        <v>224</v>
      </c>
      <c r="J6340" s="81" t="s">
        <v>5074</v>
      </c>
    </row>
    <row r="6341" hidden="1">
      <c r="A6341" s="83" t="s">
        <v>6416</v>
      </c>
      <c r="B6341" s="83" t="s">
        <v>6417</v>
      </c>
      <c r="C6341" s="81" t="s">
        <v>4082</v>
      </c>
      <c r="D6341" s="81" t="s">
        <v>224</v>
      </c>
      <c r="E6341" s="81" t="s">
        <v>5075</v>
      </c>
      <c r="F6341" s="81" t="s">
        <v>224</v>
      </c>
      <c r="G6341" s="81" t="s">
        <v>224</v>
      </c>
      <c r="H6341" s="81" t="s">
        <v>224</v>
      </c>
      <c r="I6341" s="81" t="s">
        <v>224</v>
      </c>
      <c r="J6341" s="81" t="s">
        <v>5076</v>
      </c>
    </row>
    <row r="6342" hidden="1">
      <c r="A6342" s="83" t="s">
        <v>6416</v>
      </c>
      <c r="B6342" s="83" t="s">
        <v>6417</v>
      </c>
      <c r="C6342" s="81" t="s">
        <v>4082</v>
      </c>
      <c r="D6342" s="81" t="s">
        <v>224</v>
      </c>
      <c r="E6342" s="81" t="s">
        <v>5077</v>
      </c>
      <c r="F6342" s="81" t="s">
        <v>224</v>
      </c>
      <c r="G6342" s="81" t="s">
        <v>224</v>
      </c>
      <c r="H6342" s="81" t="s">
        <v>224</v>
      </c>
      <c r="I6342" s="81" t="s">
        <v>224</v>
      </c>
      <c r="J6342" s="81" t="s">
        <v>5078</v>
      </c>
    </row>
    <row r="6343" hidden="1">
      <c r="A6343" s="83" t="s">
        <v>6416</v>
      </c>
      <c r="B6343" s="83" t="s">
        <v>6417</v>
      </c>
      <c r="C6343" s="81" t="s">
        <v>4082</v>
      </c>
      <c r="D6343" s="81" t="s">
        <v>224</v>
      </c>
      <c r="E6343" s="81" t="s">
        <v>5079</v>
      </c>
      <c r="F6343" s="81" t="s">
        <v>224</v>
      </c>
      <c r="G6343" s="81" t="s">
        <v>224</v>
      </c>
      <c r="H6343" s="81" t="s">
        <v>224</v>
      </c>
      <c r="I6343" s="81" t="s">
        <v>224</v>
      </c>
      <c r="J6343" s="81" t="s">
        <v>4974</v>
      </c>
    </row>
    <row r="6344" hidden="1">
      <c r="A6344" s="83" t="s">
        <v>6416</v>
      </c>
      <c r="B6344" s="83" t="s">
        <v>6417</v>
      </c>
      <c r="C6344" s="81" t="s">
        <v>4082</v>
      </c>
      <c r="D6344" s="81" t="s">
        <v>224</v>
      </c>
      <c r="E6344" s="81" t="s">
        <v>5080</v>
      </c>
      <c r="F6344" s="81" t="s">
        <v>224</v>
      </c>
      <c r="G6344" s="81" t="s">
        <v>224</v>
      </c>
      <c r="H6344" s="81" t="s">
        <v>224</v>
      </c>
      <c r="I6344" s="81" t="s">
        <v>224</v>
      </c>
      <c r="J6344" s="81" t="s">
        <v>4974</v>
      </c>
    </row>
    <row r="6345" hidden="1">
      <c r="A6345" s="83" t="s">
        <v>6416</v>
      </c>
      <c r="B6345" s="83" t="s">
        <v>6417</v>
      </c>
      <c r="C6345" s="81" t="s">
        <v>4082</v>
      </c>
      <c r="D6345" s="81" t="s">
        <v>224</v>
      </c>
      <c r="E6345" s="81" t="s">
        <v>5081</v>
      </c>
      <c r="F6345" s="81" t="s">
        <v>224</v>
      </c>
      <c r="G6345" s="81" t="s">
        <v>224</v>
      </c>
      <c r="H6345" s="81" t="s">
        <v>224</v>
      </c>
      <c r="I6345" s="81" t="s">
        <v>224</v>
      </c>
      <c r="J6345" s="81" t="s">
        <v>5082</v>
      </c>
    </row>
    <row r="6346" hidden="1">
      <c r="A6346" s="83" t="s">
        <v>6416</v>
      </c>
      <c r="B6346" s="83" t="s">
        <v>6417</v>
      </c>
      <c r="C6346" s="81" t="s">
        <v>4082</v>
      </c>
      <c r="D6346" s="81" t="s">
        <v>224</v>
      </c>
      <c r="E6346" s="81" t="s">
        <v>5083</v>
      </c>
      <c r="F6346" s="81" t="s">
        <v>224</v>
      </c>
      <c r="G6346" s="81" t="s">
        <v>224</v>
      </c>
      <c r="H6346" s="81" t="s">
        <v>224</v>
      </c>
      <c r="I6346" s="81" t="s">
        <v>224</v>
      </c>
      <c r="J6346" s="81" t="s">
        <v>4984</v>
      </c>
    </row>
    <row r="6347" hidden="1">
      <c r="A6347" s="83" t="s">
        <v>6416</v>
      </c>
      <c r="B6347" s="83" t="s">
        <v>6417</v>
      </c>
      <c r="C6347" s="81" t="s">
        <v>4082</v>
      </c>
      <c r="D6347" s="81" t="s">
        <v>224</v>
      </c>
      <c r="E6347" s="81" t="s">
        <v>5084</v>
      </c>
      <c r="F6347" s="81" t="s">
        <v>224</v>
      </c>
      <c r="G6347" s="81" t="s">
        <v>224</v>
      </c>
      <c r="H6347" s="81" t="s">
        <v>224</v>
      </c>
      <c r="I6347" s="81" t="s">
        <v>224</v>
      </c>
      <c r="J6347" s="81" t="s">
        <v>5026</v>
      </c>
    </row>
    <row r="6348" hidden="1">
      <c r="A6348" s="83" t="s">
        <v>6416</v>
      </c>
      <c r="B6348" s="83" t="s">
        <v>6417</v>
      </c>
      <c r="C6348" s="81" t="s">
        <v>4082</v>
      </c>
      <c r="D6348" s="81" t="s">
        <v>224</v>
      </c>
      <c r="E6348" s="81" t="s">
        <v>5085</v>
      </c>
      <c r="F6348" s="81" t="s">
        <v>224</v>
      </c>
      <c r="G6348" s="81" t="s">
        <v>224</v>
      </c>
      <c r="H6348" s="81" t="s">
        <v>224</v>
      </c>
      <c r="I6348" s="81" t="s">
        <v>224</v>
      </c>
      <c r="J6348" s="81" t="s">
        <v>5006</v>
      </c>
    </row>
    <row r="6349" hidden="1">
      <c r="A6349" s="83" t="s">
        <v>6416</v>
      </c>
      <c r="B6349" s="83" t="s">
        <v>6417</v>
      </c>
      <c r="C6349" s="81" t="s">
        <v>4082</v>
      </c>
      <c r="D6349" s="81" t="s">
        <v>224</v>
      </c>
      <c r="E6349" s="81" t="s">
        <v>5086</v>
      </c>
      <c r="F6349" s="81" t="s">
        <v>224</v>
      </c>
      <c r="G6349" s="81" t="s">
        <v>224</v>
      </c>
      <c r="H6349" s="81" t="s">
        <v>224</v>
      </c>
      <c r="I6349" s="81" t="s">
        <v>224</v>
      </c>
      <c r="J6349" s="81" t="s">
        <v>5006</v>
      </c>
    </row>
    <row r="6350" hidden="1">
      <c r="A6350" s="83" t="s">
        <v>6416</v>
      </c>
      <c r="B6350" s="83" t="s">
        <v>6417</v>
      </c>
      <c r="C6350" s="81" t="s">
        <v>4082</v>
      </c>
      <c r="D6350" s="81" t="s">
        <v>224</v>
      </c>
      <c r="E6350" s="81" t="s">
        <v>5087</v>
      </c>
      <c r="F6350" s="81" t="s">
        <v>224</v>
      </c>
      <c r="G6350" s="81" t="s">
        <v>224</v>
      </c>
      <c r="H6350" s="81" t="s">
        <v>224</v>
      </c>
      <c r="I6350" s="81" t="s">
        <v>224</v>
      </c>
      <c r="J6350" s="81" t="s">
        <v>4984</v>
      </c>
    </row>
    <row r="6351" hidden="1">
      <c r="A6351" s="83" t="s">
        <v>6416</v>
      </c>
      <c r="B6351" s="83" t="s">
        <v>6417</v>
      </c>
      <c r="C6351" s="81" t="s">
        <v>4082</v>
      </c>
      <c r="D6351" s="81" t="s">
        <v>224</v>
      </c>
      <c r="E6351" s="81" t="s">
        <v>5088</v>
      </c>
      <c r="F6351" s="81" t="s">
        <v>224</v>
      </c>
      <c r="G6351" s="81" t="s">
        <v>224</v>
      </c>
      <c r="H6351" s="81" t="s">
        <v>224</v>
      </c>
      <c r="I6351" s="81" t="s">
        <v>224</v>
      </c>
      <c r="J6351" s="81" t="s">
        <v>5026</v>
      </c>
    </row>
    <row r="6352" hidden="1">
      <c r="A6352" s="83" t="s">
        <v>6416</v>
      </c>
      <c r="B6352" s="83" t="s">
        <v>6417</v>
      </c>
      <c r="C6352" s="81" t="s">
        <v>4082</v>
      </c>
      <c r="D6352" s="81" t="s">
        <v>224</v>
      </c>
      <c r="E6352" s="81" t="s">
        <v>5089</v>
      </c>
      <c r="F6352" s="81" t="s">
        <v>224</v>
      </c>
      <c r="G6352" s="81" t="s">
        <v>224</v>
      </c>
      <c r="H6352" s="81" t="s">
        <v>224</v>
      </c>
      <c r="I6352" s="81" t="s">
        <v>224</v>
      </c>
      <c r="J6352" s="81" t="s">
        <v>4984</v>
      </c>
    </row>
    <row r="6353" hidden="1">
      <c r="A6353" s="83" t="s">
        <v>6416</v>
      </c>
      <c r="B6353" s="83" t="s">
        <v>6417</v>
      </c>
      <c r="C6353" s="81" t="s">
        <v>4082</v>
      </c>
      <c r="D6353" s="81" t="s">
        <v>224</v>
      </c>
      <c r="E6353" s="81" t="s">
        <v>5090</v>
      </c>
      <c r="F6353" s="81" t="s">
        <v>224</v>
      </c>
      <c r="G6353" s="81" t="s">
        <v>224</v>
      </c>
      <c r="H6353" s="81" t="s">
        <v>224</v>
      </c>
      <c r="I6353" s="81" t="s">
        <v>224</v>
      </c>
      <c r="J6353" s="81" t="s">
        <v>4984</v>
      </c>
    </row>
    <row r="6354" hidden="1">
      <c r="A6354" s="83" t="s">
        <v>6416</v>
      </c>
      <c r="B6354" s="83" t="s">
        <v>6417</v>
      </c>
      <c r="C6354" s="81" t="s">
        <v>4082</v>
      </c>
      <c r="D6354" s="81" t="s">
        <v>224</v>
      </c>
      <c r="E6354" s="81" t="s">
        <v>5091</v>
      </c>
      <c r="F6354" s="81" t="s">
        <v>224</v>
      </c>
      <c r="G6354" s="81" t="s">
        <v>224</v>
      </c>
      <c r="H6354" s="81" t="s">
        <v>224</v>
      </c>
      <c r="I6354" s="81" t="s">
        <v>224</v>
      </c>
      <c r="J6354" s="81" t="s">
        <v>5006</v>
      </c>
    </row>
    <row r="6355" hidden="1">
      <c r="A6355" s="83" t="s">
        <v>6416</v>
      </c>
      <c r="B6355" s="83" t="s">
        <v>6417</v>
      </c>
      <c r="C6355" s="81" t="s">
        <v>4082</v>
      </c>
      <c r="D6355" s="81" t="s">
        <v>224</v>
      </c>
      <c r="E6355" s="81" t="s">
        <v>5092</v>
      </c>
      <c r="F6355" s="81" t="s">
        <v>224</v>
      </c>
      <c r="G6355" s="81" t="s">
        <v>224</v>
      </c>
      <c r="H6355" s="81" t="s">
        <v>224</v>
      </c>
      <c r="I6355" s="81" t="s">
        <v>224</v>
      </c>
      <c r="J6355" s="81" t="s">
        <v>5006</v>
      </c>
    </row>
    <row r="6356" hidden="1">
      <c r="A6356" s="83" t="s">
        <v>6416</v>
      </c>
      <c r="B6356" s="83" t="s">
        <v>6417</v>
      </c>
      <c r="C6356" s="81" t="s">
        <v>4082</v>
      </c>
      <c r="D6356" s="81" t="s">
        <v>224</v>
      </c>
      <c r="E6356" s="81" t="s">
        <v>5093</v>
      </c>
      <c r="F6356" s="81" t="s">
        <v>224</v>
      </c>
      <c r="G6356" s="81" t="s">
        <v>224</v>
      </c>
      <c r="H6356" s="81" t="s">
        <v>224</v>
      </c>
      <c r="I6356" s="81" t="s">
        <v>224</v>
      </c>
      <c r="J6356" s="81" t="s">
        <v>5026</v>
      </c>
    </row>
    <row r="6357" hidden="1">
      <c r="A6357" s="83" t="s">
        <v>6416</v>
      </c>
      <c r="B6357" s="83" t="s">
        <v>6417</v>
      </c>
      <c r="C6357" s="81" t="s">
        <v>4082</v>
      </c>
      <c r="D6357" s="81" t="s">
        <v>224</v>
      </c>
      <c r="E6357" s="81" t="s">
        <v>5094</v>
      </c>
      <c r="F6357" s="81" t="s">
        <v>224</v>
      </c>
      <c r="G6357" s="81" t="s">
        <v>224</v>
      </c>
      <c r="H6357" s="81" t="s">
        <v>224</v>
      </c>
      <c r="I6357" s="81" t="s">
        <v>224</v>
      </c>
      <c r="J6357" s="81" t="s">
        <v>5026</v>
      </c>
    </row>
    <row r="6358" hidden="1">
      <c r="A6358" s="83" t="s">
        <v>6416</v>
      </c>
      <c r="B6358" s="83" t="s">
        <v>6417</v>
      </c>
      <c r="C6358" s="81" t="s">
        <v>4082</v>
      </c>
      <c r="D6358" s="81" t="s">
        <v>224</v>
      </c>
      <c r="E6358" s="81" t="s">
        <v>5095</v>
      </c>
      <c r="F6358" s="81" t="s">
        <v>224</v>
      </c>
      <c r="G6358" s="81" t="s">
        <v>224</v>
      </c>
      <c r="H6358" s="81" t="s">
        <v>224</v>
      </c>
      <c r="I6358" s="81" t="s">
        <v>224</v>
      </c>
      <c r="J6358" s="81" t="s">
        <v>5006</v>
      </c>
    </row>
    <row r="6359" hidden="1">
      <c r="A6359" s="83" t="s">
        <v>6416</v>
      </c>
      <c r="B6359" s="83" t="s">
        <v>6417</v>
      </c>
      <c r="C6359" s="81" t="s">
        <v>4082</v>
      </c>
      <c r="D6359" s="81" t="s">
        <v>224</v>
      </c>
      <c r="E6359" s="81" t="s">
        <v>5096</v>
      </c>
      <c r="F6359" s="81" t="s">
        <v>224</v>
      </c>
      <c r="G6359" s="81" t="s">
        <v>224</v>
      </c>
      <c r="H6359" s="81" t="s">
        <v>224</v>
      </c>
      <c r="I6359" s="81" t="s">
        <v>224</v>
      </c>
      <c r="J6359" s="81" t="s">
        <v>5006</v>
      </c>
    </row>
    <row r="6360" hidden="1">
      <c r="A6360" s="83" t="s">
        <v>6416</v>
      </c>
      <c r="B6360" s="83" t="s">
        <v>6417</v>
      </c>
      <c r="C6360" s="81" t="s">
        <v>4082</v>
      </c>
      <c r="D6360" s="81" t="s">
        <v>224</v>
      </c>
      <c r="E6360" s="81" t="s">
        <v>5097</v>
      </c>
      <c r="F6360" s="81" t="s">
        <v>224</v>
      </c>
      <c r="G6360" s="81" t="s">
        <v>224</v>
      </c>
      <c r="H6360" s="81" t="s">
        <v>224</v>
      </c>
      <c r="I6360" s="81" t="s">
        <v>224</v>
      </c>
      <c r="J6360" s="81" t="s">
        <v>5006</v>
      </c>
    </row>
    <row r="6361" hidden="1">
      <c r="A6361" s="83" t="s">
        <v>6416</v>
      </c>
      <c r="B6361" s="83" t="s">
        <v>6417</v>
      </c>
      <c r="C6361" s="81" t="s">
        <v>4082</v>
      </c>
      <c r="D6361" s="81" t="s">
        <v>224</v>
      </c>
      <c r="E6361" s="81" t="s">
        <v>5098</v>
      </c>
      <c r="F6361" s="81" t="s">
        <v>224</v>
      </c>
      <c r="G6361" s="81" t="s">
        <v>224</v>
      </c>
      <c r="H6361" s="81" t="s">
        <v>224</v>
      </c>
      <c r="I6361" s="81" t="s">
        <v>224</v>
      </c>
      <c r="J6361" s="81" t="s">
        <v>4984</v>
      </c>
    </row>
    <row r="6362" hidden="1">
      <c r="A6362" s="83" t="s">
        <v>6416</v>
      </c>
      <c r="B6362" s="83" t="s">
        <v>6417</v>
      </c>
      <c r="C6362" s="81" t="s">
        <v>4082</v>
      </c>
      <c r="D6362" s="81" t="s">
        <v>224</v>
      </c>
      <c r="E6362" s="81" t="s">
        <v>5099</v>
      </c>
      <c r="F6362" s="81" t="s">
        <v>224</v>
      </c>
      <c r="G6362" s="81" t="s">
        <v>224</v>
      </c>
      <c r="H6362" s="81" t="s">
        <v>224</v>
      </c>
      <c r="I6362" s="81" t="s">
        <v>224</v>
      </c>
      <c r="J6362" s="81" t="s">
        <v>4984</v>
      </c>
    </row>
    <row r="6363" hidden="1">
      <c r="A6363" s="83" t="s">
        <v>6416</v>
      </c>
      <c r="B6363" s="83" t="s">
        <v>6417</v>
      </c>
      <c r="C6363" s="81" t="s">
        <v>4082</v>
      </c>
      <c r="D6363" s="81" t="s">
        <v>224</v>
      </c>
      <c r="E6363" s="81" t="s">
        <v>5100</v>
      </c>
      <c r="F6363" s="81" t="s">
        <v>224</v>
      </c>
      <c r="G6363" s="81" t="s">
        <v>224</v>
      </c>
      <c r="H6363" s="81" t="s">
        <v>224</v>
      </c>
      <c r="I6363" s="81" t="s">
        <v>224</v>
      </c>
      <c r="J6363" s="81" t="s">
        <v>4984</v>
      </c>
    </row>
    <row r="6364" hidden="1">
      <c r="A6364" s="83" t="s">
        <v>6416</v>
      </c>
      <c r="B6364" s="83" t="s">
        <v>6417</v>
      </c>
      <c r="C6364" s="81" t="s">
        <v>4082</v>
      </c>
      <c r="D6364" s="81" t="s">
        <v>224</v>
      </c>
      <c r="E6364" s="81" t="s">
        <v>5101</v>
      </c>
      <c r="F6364" s="81" t="s">
        <v>224</v>
      </c>
      <c r="G6364" s="81" t="s">
        <v>224</v>
      </c>
      <c r="H6364" s="81" t="s">
        <v>224</v>
      </c>
      <c r="I6364" s="81" t="s">
        <v>224</v>
      </c>
      <c r="J6364" s="81" t="s">
        <v>5006</v>
      </c>
    </row>
    <row r="6365" hidden="1">
      <c r="A6365" s="83" t="s">
        <v>6416</v>
      </c>
      <c r="B6365" s="83" t="s">
        <v>6417</v>
      </c>
      <c r="C6365" s="81" t="s">
        <v>4082</v>
      </c>
      <c r="D6365" s="81" t="s">
        <v>224</v>
      </c>
      <c r="E6365" s="81" t="s">
        <v>5102</v>
      </c>
      <c r="F6365" s="81" t="s">
        <v>224</v>
      </c>
      <c r="G6365" s="81" t="s">
        <v>224</v>
      </c>
      <c r="H6365" s="81" t="s">
        <v>224</v>
      </c>
      <c r="I6365" s="81" t="s">
        <v>224</v>
      </c>
      <c r="J6365" s="81" t="s">
        <v>4984</v>
      </c>
    </row>
    <row r="6366" hidden="1">
      <c r="A6366" s="83" t="s">
        <v>6416</v>
      </c>
      <c r="B6366" s="83" t="s">
        <v>6417</v>
      </c>
      <c r="C6366" s="81" t="s">
        <v>4082</v>
      </c>
      <c r="D6366" s="81" t="s">
        <v>224</v>
      </c>
      <c r="E6366" s="81" t="s">
        <v>5103</v>
      </c>
      <c r="F6366" s="81" t="s">
        <v>224</v>
      </c>
      <c r="G6366" s="81" t="s">
        <v>224</v>
      </c>
      <c r="H6366" s="81" t="s">
        <v>224</v>
      </c>
      <c r="I6366" s="81" t="s">
        <v>224</v>
      </c>
      <c r="J6366" s="81" t="s">
        <v>5026</v>
      </c>
    </row>
    <row r="6367" hidden="1">
      <c r="A6367" s="83" t="s">
        <v>6416</v>
      </c>
      <c r="B6367" s="83" t="s">
        <v>6417</v>
      </c>
      <c r="C6367" s="81" t="s">
        <v>4082</v>
      </c>
      <c r="D6367" s="81" t="s">
        <v>224</v>
      </c>
      <c r="E6367" s="81" t="s">
        <v>5104</v>
      </c>
      <c r="F6367" s="81" t="s">
        <v>224</v>
      </c>
      <c r="G6367" s="81" t="s">
        <v>224</v>
      </c>
      <c r="H6367" s="81" t="s">
        <v>224</v>
      </c>
      <c r="I6367" s="81" t="s">
        <v>224</v>
      </c>
      <c r="J6367" s="81" t="s">
        <v>5026</v>
      </c>
    </row>
    <row r="6368" hidden="1">
      <c r="A6368" s="83" t="s">
        <v>6416</v>
      </c>
      <c r="B6368" s="83" t="s">
        <v>6417</v>
      </c>
      <c r="C6368" s="81" t="s">
        <v>4082</v>
      </c>
      <c r="D6368" s="81" t="s">
        <v>224</v>
      </c>
      <c r="E6368" s="81" t="s">
        <v>5105</v>
      </c>
      <c r="F6368" s="81" t="s">
        <v>224</v>
      </c>
      <c r="G6368" s="81" t="s">
        <v>224</v>
      </c>
      <c r="H6368" s="81" t="s">
        <v>224</v>
      </c>
      <c r="I6368" s="81" t="s">
        <v>224</v>
      </c>
      <c r="J6368" s="81" t="s">
        <v>5028</v>
      </c>
    </row>
    <row r="6369" hidden="1">
      <c r="A6369" s="83" t="s">
        <v>6416</v>
      </c>
      <c r="B6369" s="83" t="s">
        <v>6417</v>
      </c>
      <c r="C6369" s="81" t="s">
        <v>4082</v>
      </c>
      <c r="D6369" s="81" t="s">
        <v>224</v>
      </c>
      <c r="E6369" s="81" t="s">
        <v>5106</v>
      </c>
      <c r="F6369" s="81" t="s">
        <v>224</v>
      </c>
      <c r="G6369" s="81" t="s">
        <v>224</v>
      </c>
      <c r="H6369" s="81" t="s">
        <v>224</v>
      </c>
      <c r="I6369" s="81" t="s">
        <v>224</v>
      </c>
      <c r="J6369" s="81" t="s">
        <v>5028</v>
      </c>
    </row>
    <row r="6370" hidden="1">
      <c r="A6370" s="83" t="s">
        <v>6416</v>
      </c>
      <c r="B6370" s="83" t="s">
        <v>6417</v>
      </c>
      <c r="C6370" s="81" t="s">
        <v>4082</v>
      </c>
      <c r="D6370" s="81" t="s">
        <v>224</v>
      </c>
      <c r="E6370" s="81" t="s">
        <v>5107</v>
      </c>
      <c r="F6370" s="81" t="s">
        <v>224</v>
      </c>
      <c r="G6370" s="81" t="s">
        <v>224</v>
      </c>
      <c r="H6370" s="81" t="s">
        <v>224</v>
      </c>
      <c r="I6370" s="81" t="s">
        <v>224</v>
      </c>
      <c r="J6370" s="81" t="s">
        <v>5028</v>
      </c>
    </row>
    <row r="6371" hidden="1">
      <c r="A6371" s="83" t="s">
        <v>6416</v>
      </c>
      <c r="B6371" s="83" t="s">
        <v>6417</v>
      </c>
      <c r="C6371" s="81" t="s">
        <v>4082</v>
      </c>
      <c r="D6371" s="81" t="s">
        <v>224</v>
      </c>
      <c r="E6371" s="81" t="s">
        <v>5108</v>
      </c>
      <c r="F6371" s="81" t="s">
        <v>224</v>
      </c>
      <c r="G6371" s="81" t="s">
        <v>224</v>
      </c>
      <c r="H6371" s="81" t="s">
        <v>224</v>
      </c>
      <c r="I6371" s="81" t="s">
        <v>224</v>
      </c>
      <c r="J6371" s="81" t="s">
        <v>5028</v>
      </c>
    </row>
    <row r="6372" hidden="1">
      <c r="A6372" s="83" t="s">
        <v>6416</v>
      </c>
      <c r="B6372" s="83" t="s">
        <v>6417</v>
      </c>
      <c r="C6372" s="81" t="s">
        <v>4082</v>
      </c>
      <c r="D6372" s="81" t="s">
        <v>224</v>
      </c>
      <c r="E6372" s="81" t="s">
        <v>5109</v>
      </c>
      <c r="F6372" s="81" t="s">
        <v>224</v>
      </c>
      <c r="G6372" s="81" t="s">
        <v>224</v>
      </c>
      <c r="H6372" s="81" t="s">
        <v>224</v>
      </c>
      <c r="I6372" s="81" t="s">
        <v>224</v>
      </c>
      <c r="J6372" s="81" t="s">
        <v>5028</v>
      </c>
    </row>
    <row r="6373" hidden="1">
      <c r="A6373" s="83" t="s">
        <v>6416</v>
      </c>
      <c r="B6373" s="83" t="s">
        <v>6417</v>
      </c>
      <c r="C6373" s="81" t="s">
        <v>4082</v>
      </c>
      <c r="D6373" s="81" t="s">
        <v>224</v>
      </c>
      <c r="E6373" s="81" t="s">
        <v>5110</v>
      </c>
      <c r="F6373" s="81" t="s">
        <v>224</v>
      </c>
      <c r="G6373" s="81" t="s">
        <v>224</v>
      </c>
      <c r="H6373" s="81" t="s">
        <v>224</v>
      </c>
      <c r="I6373" s="81" t="s">
        <v>224</v>
      </c>
      <c r="J6373" s="81" t="s">
        <v>5028</v>
      </c>
    </row>
    <row r="6374" hidden="1">
      <c r="A6374" s="83" t="s">
        <v>6416</v>
      </c>
      <c r="B6374" s="83" t="s">
        <v>6417</v>
      </c>
      <c r="C6374" s="81" t="s">
        <v>4082</v>
      </c>
      <c r="D6374" s="81" t="s">
        <v>224</v>
      </c>
      <c r="E6374" s="81" t="s">
        <v>6420</v>
      </c>
      <c r="F6374" s="81" t="s">
        <v>224</v>
      </c>
      <c r="G6374" s="81" t="s">
        <v>224</v>
      </c>
      <c r="H6374" s="81" t="s">
        <v>224</v>
      </c>
      <c r="I6374" s="81" t="s">
        <v>224</v>
      </c>
      <c r="J6374" s="81" t="s">
        <v>5028</v>
      </c>
    </row>
    <row r="6375" hidden="1">
      <c r="A6375" s="83" t="s">
        <v>6416</v>
      </c>
      <c r="B6375" s="83" t="s">
        <v>6417</v>
      </c>
      <c r="C6375" s="81" t="s">
        <v>4082</v>
      </c>
      <c r="D6375" s="81" t="s">
        <v>224</v>
      </c>
      <c r="E6375" s="81" t="s">
        <v>6421</v>
      </c>
      <c r="F6375" s="81" t="s">
        <v>224</v>
      </c>
      <c r="G6375" s="81" t="s">
        <v>224</v>
      </c>
      <c r="H6375" s="81" t="s">
        <v>224</v>
      </c>
      <c r="I6375" s="81" t="s">
        <v>224</v>
      </c>
      <c r="J6375" s="81" t="s">
        <v>4957</v>
      </c>
    </row>
    <row r="6376" hidden="1">
      <c r="A6376" s="83" t="s">
        <v>6416</v>
      </c>
      <c r="B6376" s="83" t="s">
        <v>6417</v>
      </c>
      <c r="C6376" s="81" t="s">
        <v>4082</v>
      </c>
      <c r="D6376" s="81" t="s">
        <v>224</v>
      </c>
      <c r="E6376" s="81" t="s">
        <v>6422</v>
      </c>
      <c r="F6376" s="81" t="s">
        <v>224</v>
      </c>
      <c r="G6376" s="81" t="s">
        <v>224</v>
      </c>
      <c r="H6376" s="81" t="s">
        <v>224</v>
      </c>
      <c r="I6376" s="81" t="s">
        <v>224</v>
      </c>
      <c r="J6376" s="81" t="s">
        <v>4957</v>
      </c>
    </row>
    <row r="6377" hidden="1">
      <c r="A6377" s="83" t="s">
        <v>6416</v>
      </c>
      <c r="B6377" s="83" t="s">
        <v>6417</v>
      </c>
      <c r="C6377" s="81" t="s">
        <v>4082</v>
      </c>
      <c r="D6377" s="81" t="s">
        <v>224</v>
      </c>
      <c r="E6377" s="81" t="s">
        <v>6423</v>
      </c>
      <c r="F6377" s="81" t="s">
        <v>224</v>
      </c>
      <c r="G6377" s="81" t="s">
        <v>224</v>
      </c>
      <c r="H6377" s="81" t="s">
        <v>224</v>
      </c>
      <c r="I6377" s="81" t="s">
        <v>224</v>
      </c>
      <c r="J6377" s="81" t="s">
        <v>4959</v>
      </c>
    </row>
    <row r="6378" hidden="1">
      <c r="A6378" s="83" t="s">
        <v>6416</v>
      </c>
      <c r="B6378" s="83" t="s">
        <v>6417</v>
      </c>
      <c r="C6378" s="81" t="s">
        <v>4082</v>
      </c>
      <c r="D6378" s="81" t="s">
        <v>224</v>
      </c>
      <c r="E6378" s="81" t="s">
        <v>6424</v>
      </c>
      <c r="F6378" s="81" t="s">
        <v>224</v>
      </c>
      <c r="G6378" s="81" t="s">
        <v>224</v>
      </c>
      <c r="H6378" s="81" t="s">
        <v>224</v>
      </c>
      <c r="I6378" s="81" t="s">
        <v>224</v>
      </c>
      <c r="J6378" s="81" t="s">
        <v>4959</v>
      </c>
    </row>
    <row r="6379" hidden="1">
      <c r="A6379" s="83" t="s">
        <v>6416</v>
      </c>
      <c r="B6379" s="83" t="s">
        <v>6417</v>
      </c>
      <c r="C6379" s="81" t="s">
        <v>4082</v>
      </c>
      <c r="D6379" s="81" t="s">
        <v>224</v>
      </c>
      <c r="E6379" s="81" t="s">
        <v>224</v>
      </c>
      <c r="F6379" s="81" t="s">
        <v>224</v>
      </c>
      <c r="G6379" s="81" t="s">
        <v>224</v>
      </c>
      <c r="H6379" s="81" t="s">
        <v>224</v>
      </c>
      <c r="I6379" s="81" t="s">
        <v>224</v>
      </c>
      <c r="J6379" s="81" t="s">
        <v>6425</v>
      </c>
    </row>
    <row r="6380" hidden="1">
      <c r="A6380" s="83" t="s">
        <v>6416</v>
      </c>
      <c r="B6380" s="83" t="s">
        <v>6417</v>
      </c>
      <c r="C6380" s="81" t="s">
        <v>4082</v>
      </c>
      <c r="D6380" s="83" t="s">
        <v>4201</v>
      </c>
      <c r="E6380" s="81" t="s">
        <v>754</v>
      </c>
      <c r="F6380" s="81">
        <v>127.0</v>
      </c>
      <c r="G6380" s="81" t="s">
        <v>39</v>
      </c>
      <c r="H6380" s="81" t="s">
        <v>224</v>
      </c>
      <c r="I6380" s="81" t="s">
        <v>224</v>
      </c>
      <c r="J6380" s="81" t="s">
        <v>5311</v>
      </c>
    </row>
    <row r="6381" hidden="1">
      <c r="A6381" s="83" t="s">
        <v>6416</v>
      </c>
      <c r="B6381" s="83" t="s">
        <v>6417</v>
      </c>
      <c r="C6381" s="81" t="s">
        <v>4082</v>
      </c>
      <c r="D6381" s="83" t="s">
        <v>4208</v>
      </c>
      <c r="E6381" s="81" t="s">
        <v>786</v>
      </c>
      <c r="F6381" s="81">
        <v>134.0</v>
      </c>
      <c r="G6381" s="81" t="s">
        <v>39</v>
      </c>
      <c r="H6381" s="81" t="s">
        <v>224</v>
      </c>
      <c r="I6381" s="81" t="s">
        <v>224</v>
      </c>
      <c r="J6381" s="81" t="s">
        <v>5322</v>
      </c>
    </row>
    <row r="6382" hidden="1">
      <c r="A6382" s="83" t="s">
        <v>6416</v>
      </c>
      <c r="B6382" s="83" t="s">
        <v>6417</v>
      </c>
      <c r="C6382" s="81" t="s">
        <v>4082</v>
      </c>
      <c r="D6382" s="83" t="s">
        <v>4211</v>
      </c>
      <c r="E6382" s="81" t="s">
        <v>798</v>
      </c>
      <c r="F6382" s="81">
        <v>137.0</v>
      </c>
      <c r="G6382" s="81" t="s">
        <v>39</v>
      </c>
      <c r="H6382" s="81" t="s">
        <v>224</v>
      </c>
      <c r="I6382" s="81" t="s">
        <v>224</v>
      </c>
      <c r="J6382" s="81" t="s">
        <v>5327</v>
      </c>
    </row>
    <row r="6383" hidden="1">
      <c r="A6383" s="83" t="s">
        <v>6416</v>
      </c>
      <c r="B6383" s="83" t="s">
        <v>6417</v>
      </c>
      <c r="C6383" s="81" t="s">
        <v>4082</v>
      </c>
      <c r="D6383" s="83" t="s">
        <v>4212</v>
      </c>
      <c r="E6383" s="81" t="s">
        <v>804</v>
      </c>
      <c r="F6383" s="81">
        <v>138.0</v>
      </c>
      <c r="G6383" s="81" t="s">
        <v>39</v>
      </c>
      <c r="H6383" s="81" t="s">
        <v>224</v>
      </c>
      <c r="I6383" s="81" t="s">
        <v>224</v>
      </c>
      <c r="J6383" s="81" t="s">
        <v>5330</v>
      </c>
    </row>
    <row r="6384" hidden="1">
      <c r="A6384" s="83" t="s">
        <v>6416</v>
      </c>
      <c r="B6384" s="83" t="s">
        <v>6417</v>
      </c>
      <c r="C6384" s="81" t="s">
        <v>4082</v>
      </c>
      <c r="D6384" s="83" t="s">
        <v>4316</v>
      </c>
      <c r="E6384" s="81" t="s">
        <v>1313</v>
      </c>
      <c r="F6384" s="81">
        <v>256.0</v>
      </c>
      <c r="G6384" s="81" t="s">
        <v>39</v>
      </c>
      <c r="H6384" s="81" t="s">
        <v>224</v>
      </c>
      <c r="I6384" s="81" t="s">
        <v>224</v>
      </c>
      <c r="J6384" s="81" t="s">
        <v>5515</v>
      </c>
    </row>
    <row r="6385" hidden="1">
      <c r="A6385" s="83" t="s">
        <v>6416</v>
      </c>
      <c r="B6385" s="83" t="s">
        <v>6417</v>
      </c>
      <c r="C6385" s="81" t="s">
        <v>4082</v>
      </c>
      <c r="D6385" s="83" t="s">
        <v>4351</v>
      </c>
      <c r="E6385" s="81" t="s">
        <v>1470</v>
      </c>
      <c r="F6385" s="81">
        <v>283.0</v>
      </c>
      <c r="G6385" s="81" t="s">
        <v>41</v>
      </c>
      <c r="H6385" s="81" t="s">
        <v>55</v>
      </c>
      <c r="I6385" s="81" t="s">
        <v>224</v>
      </c>
      <c r="J6385" s="81" t="s">
        <v>6426</v>
      </c>
    </row>
    <row r="6386" hidden="1">
      <c r="A6386" s="83" t="s">
        <v>6416</v>
      </c>
      <c r="B6386" s="83" t="s">
        <v>6417</v>
      </c>
      <c r="C6386" s="81" t="s">
        <v>4082</v>
      </c>
      <c r="D6386" s="83" t="s">
        <v>4380</v>
      </c>
      <c r="E6386" s="81" t="s">
        <v>1617</v>
      </c>
      <c r="F6386" s="81">
        <v>319.0</v>
      </c>
      <c r="G6386" s="81" t="s">
        <v>39</v>
      </c>
      <c r="H6386" s="81" t="s">
        <v>224</v>
      </c>
      <c r="I6386" s="81" t="s">
        <v>224</v>
      </c>
      <c r="J6386" s="81" t="s">
        <v>5616</v>
      </c>
    </row>
    <row r="6387" hidden="1">
      <c r="A6387" s="83" t="s">
        <v>6416</v>
      </c>
      <c r="B6387" s="83" t="s">
        <v>6417</v>
      </c>
      <c r="C6387" s="81" t="s">
        <v>4082</v>
      </c>
      <c r="D6387" s="83" t="s">
        <v>4429</v>
      </c>
      <c r="E6387" s="81" t="s">
        <v>1900</v>
      </c>
      <c r="F6387" s="81">
        <v>375.0</v>
      </c>
      <c r="G6387" s="81" t="s">
        <v>39</v>
      </c>
      <c r="H6387" s="81" t="s">
        <v>224</v>
      </c>
      <c r="I6387" s="81" t="s">
        <v>224</v>
      </c>
      <c r="J6387" s="81" t="s">
        <v>5711</v>
      </c>
    </row>
    <row r="6388" hidden="1">
      <c r="A6388" s="83" t="s">
        <v>6416</v>
      </c>
      <c r="B6388" s="83" t="s">
        <v>6417</v>
      </c>
      <c r="C6388" s="81" t="s">
        <v>4082</v>
      </c>
      <c r="D6388" s="83" t="s">
        <v>4682</v>
      </c>
      <c r="E6388" s="81" t="s">
        <v>3226</v>
      </c>
      <c r="F6388" s="81">
        <v>613.0</v>
      </c>
      <c r="G6388" s="81" t="s">
        <v>39</v>
      </c>
      <c r="H6388" s="81" t="s">
        <v>224</v>
      </c>
      <c r="I6388" s="81" t="s">
        <v>224</v>
      </c>
      <c r="J6388" s="81" t="s">
        <v>6052</v>
      </c>
    </row>
    <row r="6389" hidden="1">
      <c r="A6389" s="83" t="s">
        <v>6416</v>
      </c>
      <c r="B6389" s="83" t="s">
        <v>6417</v>
      </c>
      <c r="C6389" s="81" t="s">
        <v>4082</v>
      </c>
      <c r="D6389" s="83" t="s">
        <v>4707</v>
      </c>
      <c r="E6389" s="81" t="s">
        <v>3362</v>
      </c>
      <c r="F6389" s="81">
        <v>641.0</v>
      </c>
      <c r="G6389" s="81" t="s">
        <v>39</v>
      </c>
      <c r="H6389" s="81" t="s">
        <v>224</v>
      </c>
      <c r="I6389" s="81" t="s">
        <v>224</v>
      </c>
      <c r="J6389" s="81" t="s">
        <v>6096</v>
      </c>
    </row>
    <row r="6390" hidden="1">
      <c r="A6390" s="83" t="s">
        <v>6416</v>
      </c>
      <c r="B6390" s="83" t="s">
        <v>6417</v>
      </c>
      <c r="C6390" s="81" t="s">
        <v>4082</v>
      </c>
      <c r="D6390" s="83" t="s">
        <v>4709</v>
      </c>
      <c r="E6390" s="81" t="s">
        <v>3370</v>
      </c>
      <c r="F6390" s="81">
        <v>643.0</v>
      </c>
      <c r="G6390" s="81" t="s">
        <v>39</v>
      </c>
      <c r="H6390" s="81" t="s">
        <v>224</v>
      </c>
      <c r="I6390" s="81" t="s">
        <v>224</v>
      </c>
      <c r="J6390" s="81" t="s">
        <v>6101</v>
      </c>
    </row>
    <row r="6391" hidden="1">
      <c r="A6391" s="83" t="s">
        <v>6416</v>
      </c>
      <c r="B6391" s="83" t="s">
        <v>6417</v>
      </c>
      <c r="C6391" s="81" t="s">
        <v>4082</v>
      </c>
      <c r="D6391" s="83" t="s">
        <v>4847</v>
      </c>
      <c r="E6391" s="81" t="s">
        <v>4005</v>
      </c>
      <c r="F6391" s="81">
        <v>794.0</v>
      </c>
      <c r="G6391" s="81" t="s">
        <v>39</v>
      </c>
      <c r="H6391" s="81" t="s">
        <v>224</v>
      </c>
      <c r="I6391" s="81" t="s">
        <v>224</v>
      </c>
      <c r="J6391" s="81" t="s">
        <v>6316</v>
      </c>
    </row>
    <row r="6392" hidden="1">
      <c r="A6392" s="83" t="s">
        <v>6416</v>
      </c>
      <c r="B6392" s="83" t="s">
        <v>6417</v>
      </c>
      <c r="C6392" s="81" t="s">
        <v>4621</v>
      </c>
      <c r="D6392" s="83" t="s">
        <v>4861</v>
      </c>
      <c r="E6392" s="81" t="s">
        <v>4007</v>
      </c>
      <c r="F6392" s="81">
        <v>797.0</v>
      </c>
      <c r="G6392" s="81" t="s">
        <v>39</v>
      </c>
      <c r="H6392" s="81" t="s">
        <v>224</v>
      </c>
      <c r="I6392" s="81" t="s">
        <v>4009</v>
      </c>
      <c r="J6392" s="81" t="s">
        <v>224</v>
      </c>
    </row>
    <row r="6393" hidden="1">
      <c r="A6393" s="83" t="s">
        <v>6416</v>
      </c>
      <c r="B6393" s="83" t="s">
        <v>6417</v>
      </c>
      <c r="C6393" s="81" t="s">
        <v>4621</v>
      </c>
      <c r="D6393" s="83" t="s">
        <v>4861</v>
      </c>
      <c r="E6393" s="81" t="s">
        <v>4007</v>
      </c>
      <c r="F6393" s="81">
        <v>797.0</v>
      </c>
      <c r="G6393" s="81" t="s">
        <v>40</v>
      </c>
      <c r="H6393" s="81" t="s">
        <v>224</v>
      </c>
      <c r="I6393" s="81" t="s">
        <v>4010</v>
      </c>
      <c r="J6393" s="81" t="s">
        <v>224</v>
      </c>
    </row>
    <row r="6394" hidden="1">
      <c r="A6394" s="83" t="s">
        <v>6416</v>
      </c>
      <c r="B6394" s="83" t="s">
        <v>6417</v>
      </c>
      <c r="C6394" s="81" t="s">
        <v>4621</v>
      </c>
      <c r="D6394" s="83" t="s">
        <v>4868</v>
      </c>
      <c r="E6394" s="81" t="s">
        <v>4020</v>
      </c>
      <c r="F6394" s="81">
        <v>804.0</v>
      </c>
      <c r="G6394" s="81" t="s">
        <v>39</v>
      </c>
      <c r="H6394" s="81" t="s">
        <v>224</v>
      </c>
      <c r="I6394" s="81" t="s">
        <v>4025</v>
      </c>
      <c r="J6394" s="81" t="s">
        <v>224</v>
      </c>
    </row>
    <row r="6395" hidden="1">
      <c r="A6395" s="83" t="s">
        <v>6416</v>
      </c>
      <c r="B6395" s="83" t="s">
        <v>6417</v>
      </c>
      <c r="C6395" s="81" t="s">
        <v>4621</v>
      </c>
      <c r="D6395" s="83" t="s">
        <v>4869</v>
      </c>
      <c r="E6395" s="81" t="s">
        <v>4032</v>
      </c>
      <c r="F6395" s="81">
        <v>805.0</v>
      </c>
      <c r="G6395" s="81" t="s">
        <v>39</v>
      </c>
      <c r="H6395" s="81" t="s">
        <v>224</v>
      </c>
      <c r="I6395" s="81" t="s">
        <v>4033</v>
      </c>
      <c r="J6395" s="81" t="s">
        <v>224</v>
      </c>
    </row>
    <row r="6396" hidden="1">
      <c r="A6396" s="83" t="s">
        <v>6416</v>
      </c>
      <c r="B6396" s="83" t="s">
        <v>6417</v>
      </c>
      <c r="C6396" s="81" t="s">
        <v>4084</v>
      </c>
      <c r="D6396" s="81" t="s">
        <v>224</v>
      </c>
      <c r="E6396" s="81" t="s">
        <v>224</v>
      </c>
      <c r="F6396" s="81" t="s">
        <v>224</v>
      </c>
      <c r="G6396" s="81" t="s">
        <v>40</v>
      </c>
      <c r="H6396" s="81" t="s">
        <v>224</v>
      </c>
      <c r="I6396" s="81" t="s">
        <v>224</v>
      </c>
      <c r="J6396" s="81" t="s">
        <v>6338</v>
      </c>
    </row>
    <row r="6397" hidden="1">
      <c r="A6397" s="83" t="s">
        <v>6416</v>
      </c>
      <c r="B6397" s="83" t="s">
        <v>6417</v>
      </c>
      <c r="C6397" s="81" t="s">
        <v>4084</v>
      </c>
      <c r="D6397" s="81" t="s">
        <v>224</v>
      </c>
      <c r="E6397" s="81" t="s">
        <v>224</v>
      </c>
      <c r="F6397" s="81" t="s">
        <v>224</v>
      </c>
      <c r="G6397" s="81" t="s">
        <v>41</v>
      </c>
      <c r="H6397" s="81" t="s">
        <v>224</v>
      </c>
      <c r="I6397" s="81" t="s">
        <v>224</v>
      </c>
      <c r="J6397" s="81" t="s">
        <v>6427</v>
      </c>
    </row>
    <row r="6398" hidden="1">
      <c r="A6398" s="83" t="s">
        <v>6428</v>
      </c>
      <c r="B6398" s="83" t="s">
        <v>6429</v>
      </c>
      <c r="C6398" s="81" t="s">
        <v>4080</v>
      </c>
      <c r="D6398" s="81" t="s">
        <v>224</v>
      </c>
      <c r="E6398" s="81" t="s">
        <v>224</v>
      </c>
      <c r="F6398" s="81" t="s">
        <v>224</v>
      </c>
      <c r="G6398" s="81" t="s">
        <v>224</v>
      </c>
      <c r="H6398" s="81" t="s">
        <v>224</v>
      </c>
      <c r="I6398" s="81" t="s">
        <v>224</v>
      </c>
      <c r="J6398" s="81" t="s">
        <v>6430</v>
      </c>
    </row>
    <row r="6399" hidden="1">
      <c r="A6399" s="83" t="s">
        <v>6428</v>
      </c>
      <c r="B6399" s="83" t="s">
        <v>6429</v>
      </c>
      <c r="C6399" s="81" t="s">
        <v>4082</v>
      </c>
      <c r="D6399" s="81" t="s">
        <v>224</v>
      </c>
      <c r="E6399" s="81" t="s">
        <v>4055</v>
      </c>
      <c r="F6399" s="81" t="s">
        <v>224</v>
      </c>
      <c r="G6399" s="81" t="s">
        <v>42</v>
      </c>
      <c r="H6399" s="81" t="s">
        <v>224</v>
      </c>
      <c r="I6399" s="81" t="s">
        <v>224</v>
      </c>
      <c r="J6399" s="81" t="s">
        <v>6431</v>
      </c>
    </row>
    <row r="6400" hidden="1">
      <c r="A6400" s="83" t="s">
        <v>6428</v>
      </c>
      <c r="B6400" s="83" t="s">
        <v>6429</v>
      </c>
      <c r="C6400" s="81" t="s">
        <v>4082</v>
      </c>
      <c r="D6400" s="81" t="s">
        <v>224</v>
      </c>
      <c r="E6400" s="81" t="s">
        <v>6362</v>
      </c>
      <c r="F6400" s="81" t="s">
        <v>224</v>
      </c>
      <c r="G6400" s="81" t="s">
        <v>42</v>
      </c>
      <c r="H6400" s="81" t="s">
        <v>224</v>
      </c>
      <c r="I6400" s="81" t="s">
        <v>224</v>
      </c>
      <c r="J6400" s="81" t="s">
        <v>6363</v>
      </c>
    </row>
    <row r="6401" hidden="1">
      <c r="A6401" s="83" t="s">
        <v>6428</v>
      </c>
      <c r="B6401" s="83" t="s">
        <v>6429</v>
      </c>
      <c r="C6401" s="81" t="s">
        <v>4084</v>
      </c>
      <c r="D6401" s="81" t="s">
        <v>224</v>
      </c>
      <c r="E6401" s="81" t="s">
        <v>224</v>
      </c>
      <c r="F6401" s="81" t="s">
        <v>224</v>
      </c>
      <c r="G6401" s="81" t="s">
        <v>224</v>
      </c>
      <c r="H6401" s="81" t="s">
        <v>224</v>
      </c>
      <c r="I6401" s="81" t="s">
        <v>224</v>
      </c>
      <c r="J6401" s="81" t="s">
        <v>6432</v>
      </c>
    </row>
    <row r="6402" hidden="1">
      <c r="A6402" s="83" t="s">
        <v>6428</v>
      </c>
      <c r="B6402" s="83" t="s">
        <v>6429</v>
      </c>
      <c r="C6402" s="81" t="s">
        <v>4082</v>
      </c>
      <c r="D6402" s="81" t="s">
        <v>224</v>
      </c>
      <c r="E6402" s="81" t="s">
        <v>4956</v>
      </c>
      <c r="F6402" s="81" t="s">
        <v>224</v>
      </c>
      <c r="G6402" s="81" t="s">
        <v>224</v>
      </c>
      <c r="H6402" s="81" t="s">
        <v>224</v>
      </c>
      <c r="I6402" s="81" t="s">
        <v>224</v>
      </c>
      <c r="J6402" s="81" t="s">
        <v>4957</v>
      </c>
    </row>
    <row r="6403" hidden="1">
      <c r="A6403" s="83" t="s">
        <v>6428</v>
      </c>
      <c r="B6403" s="83" t="s">
        <v>6429</v>
      </c>
      <c r="C6403" s="81" t="s">
        <v>4082</v>
      </c>
      <c r="D6403" s="81" t="s">
        <v>224</v>
      </c>
      <c r="E6403" s="81" t="s">
        <v>4958</v>
      </c>
      <c r="F6403" s="81" t="s">
        <v>224</v>
      </c>
      <c r="G6403" s="81" t="s">
        <v>224</v>
      </c>
      <c r="H6403" s="81" t="s">
        <v>224</v>
      </c>
      <c r="I6403" s="81" t="s">
        <v>224</v>
      </c>
      <c r="J6403" s="81" t="s">
        <v>4959</v>
      </c>
    </row>
    <row r="6404" hidden="1">
      <c r="A6404" s="83" t="s">
        <v>6428</v>
      </c>
      <c r="B6404" s="83" t="s">
        <v>6429</v>
      </c>
      <c r="C6404" s="81" t="s">
        <v>4082</v>
      </c>
      <c r="D6404" s="81" t="s">
        <v>224</v>
      </c>
      <c r="E6404" s="81" t="s">
        <v>4960</v>
      </c>
      <c r="F6404" s="81" t="s">
        <v>224</v>
      </c>
      <c r="G6404" s="81" t="s">
        <v>224</v>
      </c>
      <c r="H6404" s="81" t="s">
        <v>224</v>
      </c>
      <c r="I6404" s="81" t="s">
        <v>224</v>
      </c>
      <c r="J6404" s="81" t="s">
        <v>4961</v>
      </c>
    </row>
    <row r="6405" hidden="1">
      <c r="A6405" s="83" t="s">
        <v>6428</v>
      </c>
      <c r="B6405" s="83" t="s">
        <v>6429</v>
      </c>
      <c r="C6405" s="81" t="s">
        <v>4082</v>
      </c>
      <c r="D6405" s="81" t="s">
        <v>224</v>
      </c>
      <c r="E6405" s="81" t="s">
        <v>4962</v>
      </c>
      <c r="F6405" s="81" t="s">
        <v>224</v>
      </c>
      <c r="G6405" s="81" t="s">
        <v>224</v>
      </c>
      <c r="H6405" s="81" t="s">
        <v>224</v>
      </c>
      <c r="I6405" s="81" t="s">
        <v>224</v>
      </c>
      <c r="J6405" s="81" t="s">
        <v>4963</v>
      </c>
    </row>
    <row r="6406" hidden="1">
      <c r="A6406" s="83" t="s">
        <v>6428</v>
      </c>
      <c r="B6406" s="83" t="s">
        <v>6429</v>
      </c>
      <c r="C6406" s="81" t="s">
        <v>4082</v>
      </c>
      <c r="D6406" s="81" t="s">
        <v>224</v>
      </c>
      <c r="E6406" s="81" t="s">
        <v>4964</v>
      </c>
      <c r="F6406" s="81" t="s">
        <v>224</v>
      </c>
      <c r="G6406" s="81" t="s">
        <v>224</v>
      </c>
      <c r="H6406" s="81" t="s">
        <v>224</v>
      </c>
      <c r="I6406" s="81" t="s">
        <v>224</v>
      </c>
      <c r="J6406" s="81" t="s">
        <v>4963</v>
      </c>
    </row>
    <row r="6407" hidden="1">
      <c r="A6407" s="83" t="s">
        <v>6428</v>
      </c>
      <c r="B6407" s="83" t="s">
        <v>6429</v>
      </c>
      <c r="C6407" s="81" t="s">
        <v>4082</v>
      </c>
      <c r="D6407" s="81" t="s">
        <v>224</v>
      </c>
      <c r="E6407" s="81" t="s">
        <v>4965</v>
      </c>
      <c r="F6407" s="81" t="s">
        <v>224</v>
      </c>
      <c r="G6407" s="81" t="s">
        <v>224</v>
      </c>
      <c r="H6407" s="81" t="s">
        <v>224</v>
      </c>
      <c r="I6407" s="81" t="s">
        <v>224</v>
      </c>
      <c r="J6407" s="81" t="s">
        <v>4966</v>
      </c>
    </row>
    <row r="6408" hidden="1">
      <c r="A6408" s="83" t="s">
        <v>6428</v>
      </c>
      <c r="B6408" s="83" t="s">
        <v>6429</v>
      </c>
      <c r="C6408" s="81" t="s">
        <v>4082</v>
      </c>
      <c r="D6408" s="81" t="s">
        <v>224</v>
      </c>
      <c r="E6408" s="81" t="s">
        <v>4967</v>
      </c>
      <c r="F6408" s="81" t="s">
        <v>224</v>
      </c>
      <c r="G6408" s="81" t="s">
        <v>224</v>
      </c>
      <c r="H6408" s="81" t="s">
        <v>224</v>
      </c>
      <c r="I6408" s="81" t="s">
        <v>224</v>
      </c>
      <c r="J6408" s="81" t="s">
        <v>4966</v>
      </c>
    </row>
    <row r="6409" hidden="1">
      <c r="A6409" s="83" t="s">
        <v>6428</v>
      </c>
      <c r="B6409" s="83" t="s">
        <v>6429</v>
      </c>
      <c r="C6409" s="81" t="s">
        <v>4082</v>
      </c>
      <c r="D6409" s="81" t="s">
        <v>224</v>
      </c>
      <c r="E6409" s="81" t="s">
        <v>4968</v>
      </c>
      <c r="F6409" s="81" t="s">
        <v>224</v>
      </c>
      <c r="G6409" s="81" t="s">
        <v>224</v>
      </c>
      <c r="H6409" s="81" t="s">
        <v>224</v>
      </c>
      <c r="I6409" s="81" t="s">
        <v>224</v>
      </c>
      <c r="J6409" s="81" t="s">
        <v>4966</v>
      </c>
    </row>
    <row r="6410" hidden="1">
      <c r="A6410" s="83" t="s">
        <v>6428</v>
      </c>
      <c r="B6410" s="83" t="s">
        <v>6429</v>
      </c>
      <c r="C6410" s="81" t="s">
        <v>4082</v>
      </c>
      <c r="D6410" s="81" t="s">
        <v>224</v>
      </c>
      <c r="E6410" s="81" t="s">
        <v>4969</v>
      </c>
      <c r="F6410" s="81" t="s">
        <v>224</v>
      </c>
      <c r="G6410" s="81" t="s">
        <v>224</v>
      </c>
      <c r="H6410" s="81" t="s">
        <v>224</v>
      </c>
      <c r="I6410" s="81" t="s">
        <v>224</v>
      </c>
      <c r="J6410" s="81" t="s">
        <v>4966</v>
      </c>
    </row>
    <row r="6411" hidden="1">
      <c r="A6411" s="83" t="s">
        <v>6428</v>
      </c>
      <c r="B6411" s="83" t="s">
        <v>6429</v>
      </c>
      <c r="C6411" s="81" t="s">
        <v>4082</v>
      </c>
      <c r="D6411" s="81" t="s">
        <v>224</v>
      </c>
      <c r="E6411" s="81" t="s">
        <v>4970</v>
      </c>
      <c r="F6411" s="81" t="s">
        <v>224</v>
      </c>
      <c r="G6411" s="81" t="s">
        <v>224</v>
      </c>
      <c r="H6411" s="81" t="s">
        <v>224</v>
      </c>
      <c r="I6411" s="81" t="s">
        <v>224</v>
      </c>
      <c r="J6411" s="81" t="s">
        <v>4966</v>
      </c>
    </row>
    <row r="6412" hidden="1">
      <c r="A6412" s="83" t="s">
        <v>6428</v>
      </c>
      <c r="B6412" s="83" t="s">
        <v>6429</v>
      </c>
      <c r="C6412" s="81" t="s">
        <v>4082</v>
      </c>
      <c r="D6412" s="81" t="s">
        <v>224</v>
      </c>
      <c r="E6412" s="81" t="s">
        <v>4971</v>
      </c>
      <c r="F6412" s="81" t="s">
        <v>224</v>
      </c>
      <c r="G6412" s="81" t="s">
        <v>224</v>
      </c>
      <c r="H6412" s="81" t="s">
        <v>224</v>
      </c>
      <c r="I6412" s="81" t="s">
        <v>224</v>
      </c>
      <c r="J6412" s="81" t="s">
        <v>4966</v>
      </c>
    </row>
    <row r="6413" hidden="1">
      <c r="A6413" s="83" t="s">
        <v>6428</v>
      </c>
      <c r="B6413" s="83" t="s">
        <v>6429</v>
      </c>
      <c r="C6413" s="81" t="s">
        <v>4082</v>
      </c>
      <c r="D6413" s="81" t="s">
        <v>224</v>
      </c>
      <c r="E6413" s="81" t="s">
        <v>4972</v>
      </c>
      <c r="F6413" s="81" t="s">
        <v>224</v>
      </c>
      <c r="G6413" s="81" t="s">
        <v>224</v>
      </c>
      <c r="H6413" s="81" t="s">
        <v>224</v>
      </c>
      <c r="I6413" s="81" t="s">
        <v>224</v>
      </c>
      <c r="J6413" s="81" t="s">
        <v>4966</v>
      </c>
    </row>
    <row r="6414" hidden="1">
      <c r="A6414" s="83" t="s">
        <v>6428</v>
      </c>
      <c r="B6414" s="83" t="s">
        <v>6429</v>
      </c>
      <c r="C6414" s="81" t="s">
        <v>4082</v>
      </c>
      <c r="D6414" s="81" t="s">
        <v>224</v>
      </c>
      <c r="E6414" s="81" t="s">
        <v>4973</v>
      </c>
      <c r="F6414" s="81" t="s">
        <v>224</v>
      </c>
      <c r="G6414" s="81" t="s">
        <v>224</v>
      </c>
      <c r="H6414" s="81" t="s">
        <v>224</v>
      </c>
      <c r="I6414" s="81" t="s">
        <v>224</v>
      </c>
      <c r="J6414" s="81" t="s">
        <v>4974</v>
      </c>
    </row>
    <row r="6415" hidden="1">
      <c r="A6415" s="83" t="s">
        <v>6428</v>
      </c>
      <c r="B6415" s="83" t="s">
        <v>6429</v>
      </c>
      <c r="C6415" s="81" t="s">
        <v>4082</v>
      </c>
      <c r="D6415" s="81" t="s">
        <v>224</v>
      </c>
      <c r="E6415" s="81" t="s">
        <v>4975</v>
      </c>
      <c r="F6415" s="81" t="s">
        <v>224</v>
      </c>
      <c r="G6415" s="81" t="s">
        <v>224</v>
      </c>
      <c r="H6415" s="81" t="s">
        <v>224</v>
      </c>
      <c r="I6415" s="81" t="s">
        <v>224</v>
      </c>
      <c r="J6415" s="81" t="s">
        <v>4976</v>
      </c>
    </row>
    <row r="6416" hidden="1">
      <c r="A6416" s="83" t="s">
        <v>6428</v>
      </c>
      <c r="B6416" s="83" t="s">
        <v>6429</v>
      </c>
      <c r="C6416" s="81" t="s">
        <v>4082</v>
      </c>
      <c r="D6416" s="81" t="s">
        <v>224</v>
      </c>
      <c r="E6416" s="81" t="s">
        <v>4979</v>
      </c>
      <c r="F6416" s="81" t="s">
        <v>224</v>
      </c>
      <c r="G6416" s="81" t="s">
        <v>224</v>
      </c>
      <c r="H6416" s="81" t="s">
        <v>224</v>
      </c>
      <c r="I6416" s="81" t="s">
        <v>224</v>
      </c>
      <c r="J6416" s="81" t="s">
        <v>4980</v>
      </c>
    </row>
    <row r="6417" hidden="1">
      <c r="A6417" s="83" t="s">
        <v>6428</v>
      </c>
      <c r="B6417" s="83" t="s">
        <v>6429</v>
      </c>
      <c r="C6417" s="81" t="s">
        <v>4082</v>
      </c>
      <c r="D6417" s="81" t="s">
        <v>224</v>
      </c>
      <c r="E6417" s="81" t="s">
        <v>4981</v>
      </c>
      <c r="F6417" s="81" t="s">
        <v>224</v>
      </c>
      <c r="G6417" s="81" t="s">
        <v>224</v>
      </c>
      <c r="H6417" s="81" t="s">
        <v>224</v>
      </c>
      <c r="I6417" s="81" t="s">
        <v>224</v>
      </c>
      <c r="J6417" s="81" t="s">
        <v>4982</v>
      </c>
    </row>
    <row r="6418" hidden="1">
      <c r="A6418" s="83" t="s">
        <v>6428</v>
      </c>
      <c r="B6418" s="83" t="s">
        <v>6429</v>
      </c>
      <c r="C6418" s="81" t="s">
        <v>4082</v>
      </c>
      <c r="D6418" s="81" t="s">
        <v>224</v>
      </c>
      <c r="E6418" s="81" t="s">
        <v>4985</v>
      </c>
      <c r="F6418" s="81" t="s">
        <v>224</v>
      </c>
      <c r="G6418" s="81" t="s">
        <v>224</v>
      </c>
      <c r="H6418" s="81" t="s">
        <v>224</v>
      </c>
      <c r="I6418" s="81" t="s">
        <v>224</v>
      </c>
      <c r="J6418" s="81" t="s">
        <v>4986</v>
      </c>
    </row>
    <row r="6419" hidden="1">
      <c r="A6419" s="83" t="s">
        <v>6428</v>
      </c>
      <c r="B6419" s="83" t="s">
        <v>6429</v>
      </c>
      <c r="C6419" s="81" t="s">
        <v>4082</v>
      </c>
      <c r="D6419" s="81" t="s">
        <v>224</v>
      </c>
      <c r="E6419" s="81" t="s">
        <v>4987</v>
      </c>
      <c r="F6419" s="81" t="s">
        <v>224</v>
      </c>
      <c r="G6419" s="81" t="s">
        <v>224</v>
      </c>
      <c r="H6419" s="81" t="s">
        <v>224</v>
      </c>
      <c r="I6419" s="81" t="s">
        <v>224</v>
      </c>
      <c r="J6419" s="81" t="s">
        <v>4988</v>
      </c>
    </row>
    <row r="6420" hidden="1">
      <c r="A6420" s="83" t="s">
        <v>6428</v>
      </c>
      <c r="B6420" s="83" t="s">
        <v>6429</v>
      </c>
      <c r="C6420" s="81" t="s">
        <v>4082</v>
      </c>
      <c r="D6420" s="81" t="s">
        <v>224</v>
      </c>
      <c r="E6420" s="81" t="s">
        <v>4989</v>
      </c>
      <c r="F6420" s="81" t="s">
        <v>224</v>
      </c>
      <c r="G6420" s="81" t="s">
        <v>224</v>
      </c>
      <c r="H6420" s="81" t="s">
        <v>224</v>
      </c>
      <c r="I6420" s="81" t="s">
        <v>224</v>
      </c>
      <c r="J6420" s="81" t="s">
        <v>4990</v>
      </c>
    </row>
    <row r="6421" hidden="1">
      <c r="A6421" s="83" t="s">
        <v>6428</v>
      </c>
      <c r="B6421" s="83" t="s">
        <v>6429</v>
      </c>
      <c r="C6421" s="81" t="s">
        <v>4082</v>
      </c>
      <c r="D6421" s="81" t="s">
        <v>224</v>
      </c>
      <c r="E6421" s="81" t="s">
        <v>4991</v>
      </c>
      <c r="F6421" s="81" t="s">
        <v>224</v>
      </c>
      <c r="G6421" s="81" t="s">
        <v>224</v>
      </c>
      <c r="H6421" s="81" t="s">
        <v>224</v>
      </c>
      <c r="I6421" s="81" t="s">
        <v>224</v>
      </c>
      <c r="J6421" s="81" t="s">
        <v>4992</v>
      </c>
    </row>
    <row r="6422" hidden="1">
      <c r="A6422" s="83" t="s">
        <v>6428</v>
      </c>
      <c r="B6422" s="83" t="s">
        <v>6429</v>
      </c>
      <c r="C6422" s="81" t="s">
        <v>4082</v>
      </c>
      <c r="D6422" s="81" t="s">
        <v>224</v>
      </c>
      <c r="E6422" s="81" t="s">
        <v>4993</v>
      </c>
      <c r="F6422" s="81" t="s">
        <v>224</v>
      </c>
      <c r="G6422" s="81" t="s">
        <v>224</v>
      </c>
      <c r="H6422" s="81" t="s">
        <v>224</v>
      </c>
      <c r="I6422" s="81" t="s">
        <v>224</v>
      </c>
      <c r="J6422" s="81" t="s">
        <v>4994</v>
      </c>
    </row>
    <row r="6423" hidden="1">
      <c r="A6423" s="83" t="s">
        <v>6428</v>
      </c>
      <c r="B6423" s="83" t="s">
        <v>6429</v>
      </c>
      <c r="C6423" s="81" t="s">
        <v>4082</v>
      </c>
      <c r="D6423" s="81" t="s">
        <v>224</v>
      </c>
      <c r="E6423" s="81" t="s">
        <v>4995</v>
      </c>
      <c r="F6423" s="81" t="s">
        <v>224</v>
      </c>
      <c r="G6423" s="81" t="s">
        <v>224</v>
      </c>
      <c r="H6423" s="81" t="s">
        <v>224</v>
      </c>
      <c r="I6423" s="81" t="s">
        <v>224</v>
      </c>
      <c r="J6423" s="81" t="s">
        <v>4996</v>
      </c>
    </row>
    <row r="6424" hidden="1">
      <c r="A6424" s="83" t="s">
        <v>6428</v>
      </c>
      <c r="B6424" s="83" t="s">
        <v>6429</v>
      </c>
      <c r="C6424" s="81" t="s">
        <v>4082</v>
      </c>
      <c r="D6424" s="81" t="s">
        <v>224</v>
      </c>
      <c r="E6424" s="81" t="s">
        <v>4997</v>
      </c>
      <c r="F6424" s="81" t="s">
        <v>224</v>
      </c>
      <c r="G6424" s="81" t="s">
        <v>224</v>
      </c>
      <c r="H6424" s="81" t="s">
        <v>224</v>
      </c>
      <c r="I6424" s="81" t="s">
        <v>224</v>
      </c>
      <c r="J6424" s="81" t="s">
        <v>4998</v>
      </c>
    </row>
    <row r="6425" hidden="1">
      <c r="A6425" s="83" t="s">
        <v>6428</v>
      </c>
      <c r="B6425" s="83" t="s">
        <v>6429</v>
      </c>
      <c r="C6425" s="81" t="s">
        <v>4082</v>
      </c>
      <c r="D6425" s="81" t="s">
        <v>224</v>
      </c>
      <c r="E6425" s="81" t="s">
        <v>4999</v>
      </c>
      <c r="F6425" s="81" t="s">
        <v>224</v>
      </c>
      <c r="G6425" s="81" t="s">
        <v>224</v>
      </c>
      <c r="H6425" s="81" t="s">
        <v>224</v>
      </c>
      <c r="I6425" s="81" t="s">
        <v>224</v>
      </c>
      <c r="J6425" s="81" t="s">
        <v>5000</v>
      </c>
    </row>
    <row r="6426" hidden="1">
      <c r="A6426" s="83" t="s">
        <v>6428</v>
      </c>
      <c r="B6426" s="83" t="s">
        <v>6429</v>
      </c>
      <c r="C6426" s="81" t="s">
        <v>4082</v>
      </c>
      <c r="D6426" s="81" t="s">
        <v>224</v>
      </c>
      <c r="E6426" s="81" t="s">
        <v>5001</v>
      </c>
      <c r="F6426" s="81" t="s">
        <v>224</v>
      </c>
      <c r="G6426" s="81" t="s">
        <v>224</v>
      </c>
      <c r="H6426" s="81" t="s">
        <v>224</v>
      </c>
      <c r="I6426" s="81" t="s">
        <v>224</v>
      </c>
      <c r="J6426" s="81" t="s">
        <v>5002</v>
      </c>
    </row>
    <row r="6427" hidden="1">
      <c r="A6427" s="83" t="s">
        <v>6428</v>
      </c>
      <c r="B6427" s="83" t="s">
        <v>6429</v>
      </c>
      <c r="C6427" s="81" t="s">
        <v>4082</v>
      </c>
      <c r="D6427" s="81" t="s">
        <v>224</v>
      </c>
      <c r="E6427" s="81" t="s">
        <v>5003</v>
      </c>
      <c r="F6427" s="81" t="s">
        <v>224</v>
      </c>
      <c r="G6427" s="81" t="s">
        <v>224</v>
      </c>
      <c r="H6427" s="81" t="s">
        <v>224</v>
      </c>
      <c r="I6427" s="81" t="s">
        <v>224</v>
      </c>
      <c r="J6427" s="81" t="s">
        <v>5004</v>
      </c>
    </row>
    <row r="6428" hidden="1">
      <c r="A6428" s="83" t="s">
        <v>6428</v>
      </c>
      <c r="B6428" s="83" t="s">
        <v>6429</v>
      </c>
      <c r="C6428" s="81" t="s">
        <v>4082</v>
      </c>
      <c r="D6428" s="81" t="s">
        <v>224</v>
      </c>
      <c r="E6428" s="81" t="s">
        <v>5007</v>
      </c>
      <c r="F6428" s="81" t="s">
        <v>224</v>
      </c>
      <c r="G6428" s="81" t="s">
        <v>224</v>
      </c>
      <c r="H6428" s="81" t="s">
        <v>224</v>
      </c>
      <c r="I6428" s="81" t="s">
        <v>224</v>
      </c>
      <c r="J6428" s="81" t="s">
        <v>5008</v>
      </c>
    </row>
    <row r="6429" hidden="1">
      <c r="A6429" s="83" t="s">
        <v>6428</v>
      </c>
      <c r="B6429" s="83" t="s">
        <v>6429</v>
      </c>
      <c r="C6429" s="81" t="s">
        <v>4082</v>
      </c>
      <c r="D6429" s="81" t="s">
        <v>224</v>
      </c>
      <c r="E6429" s="81" t="s">
        <v>5009</v>
      </c>
      <c r="F6429" s="81" t="s">
        <v>224</v>
      </c>
      <c r="G6429" s="81" t="s">
        <v>224</v>
      </c>
      <c r="H6429" s="81" t="s">
        <v>224</v>
      </c>
      <c r="I6429" s="81" t="s">
        <v>224</v>
      </c>
      <c r="J6429" s="81" t="s">
        <v>5010</v>
      </c>
    </row>
    <row r="6430" hidden="1">
      <c r="A6430" s="83" t="s">
        <v>6428</v>
      </c>
      <c r="B6430" s="83" t="s">
        <v>6429</v>
      </c>
      <c r="C6430" s="81" t="s">
        <v>4082</v>
      </c>
      <c r="D6430" s="81" t="s">
        <v>224</v>
      </c>
      <c r="E6430" s="81" t="s">
        <v>5011</v>
      </c>
      <c r="F6430" s="81" t="s">
        <v>224</v>
      </c>
      <c r="G6430" s="81" t="s">
        <v>224</v>
      </c>
      <c r="H6430" s="81" t="s">
        <v>224</v>
      </c>
      <c r="I6430" s="81" t="s">
        <v>224</v>
      </c>
      <c r="J6430" s="81" t="s">
        <v>5012</v>
      </c>
    </row>
    <row r="6431" hidden="1">
      <c r="A6431" s="83" t="s">
        <v>6428</v>
      </c>
      <c r="B6431" s="83" t="s">
        <v>6429</v>
      </c>
      <c r="C6431" s="81" t="s">
        <v>4082</v>
      </c>
      <c r="D6431" s="81" t="s">
        <v>224</v>
      </c>
      <c r="E6431" s="81" t="s">
        <v>5013</v>
      </c>
      <c r="F6431" s="81" t="s">
        <v>224</v>
      </c>
      <c r="G6431" s="81" t="s">
        <v>224</v>
      </c>
      <c r="H6431" s="81" t="s">
        <v>224</v>
      </c>
      <c r="I6431" s="81" t="s">
        <v>224</v>
      </c>
      <c r="J6431" s="81" t="s">
        <v>5014</v>
      </c>
    </row>
    <row r="6432" hidden="1">
      <c r="A6432" s="83" t="s">
        <v>6428</v>
      </c>
      <c r="B6432" s="83" t="s">
        <v>6429</v>
      </c>
      <c r="C6432" s="81" t="s">
        <v>4082</v>
      </c>
      <c r="D6432" s="81" t="s">
        <v>224</v>
      </c>
      <c r="E6432" s="81" t="s">
        <v>5015</v>
      </c>
      <c r="F6432" s="81" t="s">
        <v>224</v>
      </c>
      <c r="G6432" s="81" t="s">
        <v>224</v>
      </c>
      <c r="H6432" s="81" t="s">
        <v>224</v>
      </c>
      <c r="I6432" s="81" t="s">
        <v>224</v>
      </c>
      <c r="J6432" s="81" t="s">
        <v>5016</v>
      </c>
    </row>
    <row r="6433" hidden="1">
      <c r="A6433" s="83" t="s">
        <v>6428</v>
      </c>
      <c r="B6433" s="83" t="s">
        <v>6429</v>
      </c>
      <c r="C6433" s="81" t="s">
        <v>4082</v>
      </c>
      <c r="D6433" s="81" t="s">
        <v>224</v>
      </c>
      <c r="E6433" s="81" t="s">
        <v>5017</v>
      </c>
      <c r="F6433" s="81" t="s">
        <v>224</v>
      </c>
      <c r="G6433" s="81" t="s">
        <v>224</v>
      </c>
      <c r="H6433" s="81" t="s">
        <v>224</v>
      </c>
      <c r="I6433" s="81" t="s">
        <v>224</v>
      </c>
      <c r="J6433" s="81" t="s">
        <v>5018</v>
      </c>
    </row>
    <row r="6434" hidden="1">
      <c r="A6434" s="83" t="s">
        <v>6428</v>
      </c>
      <c r="B6434" s="83" t="s">
        <v>6429</v>
      </c>
      <c r="C6434" s="81" t="s">
        <v>4082</v>
      </c>
      <c r="D6434" s="81" t="s">
        <v>224</v>
      </c>
      <c r="E6434" s="81" t="s">
        <v>5019</v>
      </c>
      <c r="F6434" s="81" t="s">
        <v>224</v>
      </c>
      <c r="G6434" s="81" t="s">
        <v>224</v>
      </c>
      <c r="H6434" s="81" t="s">
        <v>224</v>
      </c>
      <c r="I6434" s="81" t="s">
        <v>224</v>
      </c>
      <c r="J6434" s="81" t="s">
        <v>5020</v>
      </c>
    </row>
    <row r="6435" hidden="1">
      <c r="A6435" s="83" t="s">
        <v>6428</v>
      </c>
      <c r="B6435" s="83" t="s">
        <v>6429</v>
      </c>
      <c r="C6435" s="81" t="s">
        <v>4082</v>
      </c>
      <c r="D6435" s="81" t="s">
        <v>224</v>
      </c>
      <c r="E6435" s="81" t="s">
        <v>5021</v>
      </c>
      <c r="F6435" s="81" t="s">
        <v>224</v>
      </c>
      <c r="G6435" s="81" t="s">
        <v>224</v>
      </c>
      <c r="H6435" s="81" t="s">
        <v>224</v>
      </c>
      <c r="I6435" s="81" t="s">
        <v>224</v>
      </c>
      <c r="J6435" s="81" t="s">
        <v>5022</v>
      </c>
    </row>
    <row r="6436" hidden="1">
      <c r="A6436" s="83" t="s">
        <v>6428</v>
      </c>
      <c r="B6436" s="83" t="s">
        <v>6429</v>
      </c>
      <c r="C6436" s="81" t="s">
        <v>4082</v>
      </c>
      <c r="D6436" s="81" t="s">
        <v>224</v>
      </c>
      <c r="E6436" s="81" t="s">
        <v>5023</v>
      </c>
      <c r="F6436" s="81" t="s">
        <v>224</v>
      </c>
      <c r="G6436" s="81" t="s">
        <v>224</v>
      </c>
      <c r="H6436" s="81" t="s">
        <v>224</v>
      </c>
      <c r="I6436" s="81" t="s">
        <v>224</v>
      </c>
      <c r="J6436" s="81" t="s">
        <v>5024</v>
      </c>
    </row>
    <row r="6437" hidden="1">
      <c r="A6437" s="83" t="s">
        <v>6428</v>
      </c>
      <c r="B6437" s="83" t="s">
        <v>6429</v>
      </c>
      <c r="C6437" s="81" t="s">
        <v>4082</v>
      </c>
      <c r="D6437" s="81" t="s">
        <v>224</v>
      </c>
      <c r="E6437" s="81" t="s">
        <v>5027</v>
      </c>
      <c r="F6437" s="81" t="s">
        <v>224</v>
      </c>
      <c r="G6437" s="81" t="s">
        <v>224</v>
      </c>
      <c r="H6437" s="81" t="s">
        <v>224</v>
      </c>
      <c r="I6437" s="81" t="s">
        <v>224</v>
      </c>
      <c r="J6437" s="81" t="s">
        <v>5028</v>
      </c>
    </row>
    <row r="6438" hidden="1">
      <c r="A6438" s="83" t="s">
        <v>6428</v>
      </c>
      <c r="B6438" s="83" t="s">
        <v>6429</v>
      </c>
      <c r="C6438" s="81" t="s">
        <v>4082</v>
      </c>
      <c r="D6438" s="81" t="s">
        <v>224</v>
      </c>
      <c r="E6438" s="81" t="s">
        <v>5029</v>
      </c>
      <c r="F6438" s="81" t="s">
        <v>224</v>
      </c>
      <c r="G6438" s="81" t="s">
        <v>224</v>
      </c>
      <c r="H6438" s="81" t="s">
        <v>224</v>
      </c>
      <c r="I6438" s="81" t="s">
        <v>224</v>
      </c>
      <c r="J6438" s="81" t="s">
        <v>5030</v>
      </c>
    </row>
    <row r="6439" hidden="1">
      <c r="A6439" s="83" t="s">
        <v>6428</v>
      </c>
      <c r="B6439" s="83" t="s">
        <v>6429</v>
      </c>
      <c r="C6439" s="81" t="s">
        <v>4082</v>
      </c>
      <c r="D6439" s="81" t="s">
        <v>224</v>
      </c>
      <c r="E6439" s="81" t="s">
        <v>5031</v>
      </c>
      <c r="F6439" s="81" t="s">
        <v>224</v>
      </c>
      <c r="G6439" s="81" t="s">
        <v>224</v>
      </c>
      <c r="H6439" s="81" t="s">
        <v>224</v>
      </c>
      <c r="I6439" s="81" t="s">
        <v>224</v>
      </c>
      <c r="J6439" s="81" t="s">
        <v>5032</v>
      </c>
    </row>
    <row r="6440" hidden="1">
      <c r="A6440" s="83" t="s">
        <v>6428</v>
      </c>
      <c r="B6440" s="83" t="s">
        <v>6429</v>
      </c>
      <c r="C6440" s="81" t="s">
        <v>4082</v>
      </c>
      <c r="D6440" s="81" t="s">
        <v>224</v>
      </c>
      <c r="E6440" s="81" t="s">
        <v>5033</v>
      </c>
      <c r="F6440" s="81" t="s">
        <v>224</v>
      </c>
      <c r="G6440" s="81" t="s">
        <v>224</v>
      </c>
      <c r="H6440" s="81" t="s">
        <v>224</v>
      </c>
      <c r="I6440" s="81" t="s">
        <v>224</v>
      </c>
      <c r="J6440" s="81" t="s">
        <v>5034</v>
      </c>
    </row>
    <row r="6441" hidden="1">
      <c r="A6441" s="83" t="s">
        <v>6428</v>
      </c>
      <c r="B6441" s="83" t="s">
        <v>6429</v>
      </c>
      <c r="C6441" s="81" t="s">
        <v>4082</v>
      </c>
      <c r="D6441" s="81" t="s">
        <v>224</v>
      </c>
      <c r="E6441" s="81" t="s">
        <v>5035</v>
      </c>
      <c r="F6441" s="81" t="s">
        <v>224</v>
      </c>
      <c r="G6441" s="81" t="s">
        <v>224</v>
      </c>
      <c r="H6441" s="81" t="s">
        <v>224</v>
      </c>
      <c r="I6441" s="81" t="s">
        <v>224</v>
      </c>
      <c r="J6441" s="81" t="s">
        <v>5036</v>
      </c>
    </row>
    <row r="6442" hidden="1">
      <c r="A6442" s="83" t="s">
        <v>6428</v>
      </c>
      <c r="B6442" s="83" t="s">
        <v>6429</v>
      </c>
      <c r="C6442" s="81" t="s">
        <v>4082</v>
      </c>
      <c r="D6442" s="81" t="s">
        <v>224</v>
      </c>
      <c r="E6442" s="81" t="s">
        <v>5037</v>
      </c>
      <c r="F6442" s="81" t="s">
        <v>224</v>
      </c>
      <c r="G6442" s="81" t="s">
        <v>224</v>
      </c>
      <c r="H6442" s="81" t="s">
        <v>224</v>
      </c>
      <c r="I6442" s="81" t="s">
        <v>224</v>
      </c>
      <c r="J6442" s="81" t="s">
        <v>5038</v>
      </c>
    </row>
    <row r="6443" hidden="1">
      <c r="A6443" s="83" t="s">
        <v>6428</v>
      </c>
      <c r="B6443" s="83" t="s">
        <v>6429</v>
      </c>
      <c r="C6443" s="81" t="s">
        <v>4082</v>
      </c>
      <c r="D6443" s="81" t="s">
        <v>224</v>
      </c>
      <c r="E6443" s="81" t="s">
        <v>5039</v>
      </c>
      <c r="F6443" s="81" t="s">
        <v>224</v>
      </c>
      <c r="G6443" s="81" t="s">
        <v>224</v>
      </c>
      <c r="H6443" s="81" t="s">
        <v>224</v>
      </c>
      <c r="I6443" s="81" t="s">
        <v>224</v>
      </c>
      <c r="J6443" s="81" t="s">
        <v>5040</v>
      </c>
    </row>
    <row r="6444" hidden="1">
      <c r="A6444" s="83" t="s">
        <v>6428</v>
      </c>
      <c r="B6444" s="83" t="s">
        <v>6429</v>
      </c>
      <c r="C6444" s="81" t="s">
        <v>4082</v>
      </c>
      <c r="D6444" s="81" t="s">
        <v>224</v>
      </c>
      <c r="E6444" s="81" t="s">
        <v>5041</v>
      </c>
      <c r="F6444" s="81" t="s">
        <v>224</v>
      </c>
      <c r="G6444" s="81" t="s">
        <v>224</v>
      </c>
      <c r="H6444" s="81" t="s">
        <v>224</v>
      </c>
      <c r="I6444" s="81" t="s">
        <v>224</v>
      </c>
      <c r="J6444" s="81" t="s">
        <v>5042</v>
      </c>
    </row>
    <row r="6445" hidden="1">
      <c r="A6445" s="83" t="s">
        <v>6428</v>
      </c>
      <c r="B6445" s="83" t="s">
        <v>6429</v>
      </c>
      <c r="C6445" s="81" t="s">
        <v>4082</v>
      </c>
      <c r="D6445" s="81" t="s">
        <v>224</v>
      </c>
      <c r="E6445" s="81" t="s">
        <v>5043</v>
      </c>
      <c r="F6445" s="81" t="s">
        <v>224</v>
      </c>
      <c r="G6445" s="81" t="s">
        <v>224</v>
      </c>
      <c r="H6445" s="81" t="s">
        <v>224</v>
      </c>
      <c r="I6445" s="81" t="s">
        <v>224</v>
      </c>
      <c r="J6445" s="81" t="s">
        <v>5044</v>
      </c>
    </row>
    <row r="6446" hidden="1">
      <c r="A6446" s="83" t="s">
        <v>6428</v>
      </c>
      <c r="B6446" s="83" t="s">
        <v>6429</v>
      </c>
      <c r="C6446" s="81" t="s">
        <v>4082</v>
      </c>
      <c r="D6446" s="81" t="s">
        <v>224</v>
      </c>
      <c r="E6446" s="81" t="s">
        <v>5045</v>
      </c>
      <c r="F6446" s="81" t="s">
        <v>224</v>
      </c>
      <c r="G6446" s="81" t="s">
        <v>224</v>
      </c>
      <c r="H6446" s="81" t="s">
        <v>224</v>
      </c>
      <c r="I6446" s="81" t="s">
        <v>224</v>
      </c>
      <c r="J6446" s="81" t="s">
        <v>5046</v>
      </c>
    </row>
    <row r="6447" hidden="1">
      <c r="A6447" s="83" t="s">
        <v>6428</v>
      </c>
      <c r="B6447" s="83" t="s">
        <v>6429</v>
      </c>
      <c r="C6447" s="81" t="s">
        <v>4082</v>
      </c>
      <c r="D6447" s="81" t="s">
        <v>224</v>
      </c>
      <c r="E6447" s="81" t="s">
        <v>5047</v>
      </c>
      <c r="F6447" s="81" t="s">
        <v>224</v>
      </c>
      <c r="G6447" s="81" t="s">
        <v>224</v>
      </c>
      <c r="H6447" s="81" t="s">
        <v>224</v>
      </c>
      <c r="I6447" s="81" t="s">
        <v>224</v>
      </c>
      <c r="J6447" s="81" t="s">
        <v>5048</v>
      </c>
    </row>
    <row r="6448" hidden="1">
      <c r="A6448" s="83" t="s">
        <v>6428</v>
      </c>
      <c r="B6448" s="83" t="s">
        <v>6429</v>
      </c>
      <c r="C6448" s="81" t="s">
        <v>4082</v>
      </c>
      <c r="D6448" s="81" t="s">
        <v>224</v>
      </c>
      <c r="E6448" s="81" t="s">
        <v>5049</v>
      </c>
      <c r="F6448" s="81" t="s">
        <v>224</v>
      </c>
      <c r="G6448" s="81" t="s">
        <v>224</v>
      </c>
      <c r="H6448" s="81" t="s">
        <v>224</v>
      </c>
      <c r="I6448" s="81" t="s">
        <v>224</v>
      </c>
      <c r="J6448" s="81" t="s">
        <v>5050</v>
      </c>
    </row>
    <row r="6449" hidden="1">
      <c r="A6449" s="83" t="s">
        <v>6428</v>
      </c>
      <c r="B6449" s="83" t="s">
        <v>6429</v>
      </c>
      <c r="C6449" s="81" t="s">
        <v>4082</v>
      </c>
      <c r="D6449" s="81" t="s">
        <v>224</v>
      </c>
      <c r="E6449" s="81" t="s">
        <v>5051</v>
      </c>
      <c r="F6449" s="81" t="s">
        <v>224</v>
      </c>
      <c r="G6449" s="81" t="s">
        <v>224</v>
      </c>
      <c r="H6449" s="81" t="s">
        <v>224</v>
      </c>
      <c r="I6449" s="81" t="s">
        <v>224</v>
      </c>
      <c r="J6449" s="81" t="s">
        <v>5052</v>
      </c>
    </row>
    <row r="6450" hidden="1">
      <c r="A6450" s="83" t="s">
        <v>6428</v>
      </c>
      <c r="B6450" s="83" t="s">
        <v>6429</v>
      </c>
      <c r="C6450" s="81" t="s">
        <v>4082</v>
      </c>
      <c r="D6450" s="81" t="s">
        <v>224</v>
      </c>
      <c r="E6450" s="81" t="s">
        <v>5053</v>
      </c>
      <c r="F6450" s="81" t="s">
        <v>224</v>
      </c>
      <c r="G6450" s="81" t="s">
        <v>224</v>
      </c>
      <c r="H6450" s="81" t="s">
        <v>224</v>
      </c>
      <c r="I6450" s="81" t="s">
        <v>224</v>
      </c>
      <c r="J6450" s="81" t="s">
        <v>5054</v>
      </c>
    </row>
    <row r="6451" hidden="1">
      <c r="A6451" s="83" t="s">
        <v>6428</v>
      </c>
      <c r="B6451" s="83" t="s">
        <v>6429</v>
      </c>
      <c r="C6451" s="81" t="s">
        <v>4082</v>
      </c>
      <c r="D6451" s="81" t="s">
        <v>224</v>
      </c>
      <c r="E6451" s="81" t="s">
        <v>5055</v>
      </c>
      <c r="F6451" s="81" t="s">
        <v>224</v>
      </c>
      <c r="G6451" s="81" t="s">
        <v>224</v>
      </c>
      <c r="H6451" s="81" t="s">
        <v>224</v>
      </c>
      <c r="I6451" s="81" t="s">
        <v>224</v>
      </c>
      <c r="J6451" s="81" t="s">
        <v>5056</v>
      </c>
    </row>
    <row r="6452" hidden="1">
      <c r="A6452" s="83" t="s">
        <v>6428</v>
      </c>
      <c r="B6452" s="83" t="s">
        <v>6429</v>
      </c>
      <c r="C6452" s="81" t="s">
        <v>4082</v>
      </c>
      <c r="D6452" s="81" t="s">
        <v>224</v>
      </c>
      <c r="E6452" s="81" t="s">
        <v>5057</v>
      </c>
      <c r="F6452" s="81" t="s">
        <v>224</v>
      </c>
      <c r="G6452" s="81" t="s">
        <v>224</v>
      </c>
      <c r="H6452" s="81" t="s">
        <v>224</v>
      </c>
      <c r="I6452" s="81" t="s">
        <v>224</v>
      </c>
      <c r="J6452" s="81" t="s">
        <v>5058</v>
      </c>
    </row>
    <row r="6453" hidden="1">
      <c r="A6453" s="83" t="s">
        <v>6428</v>
      </c>
      <c r="B6453" s="83" t="s">
        <v>6429</v>
      </c>
      <c r="C6453" s="81" t="s">
        <v>4082</v>
      </c>
      <c r="D6453" s="81" t="s">
        <v>224</v>
      </c>
      <c r="E6453" s="81" t="s">
        <v>5059</v>
      </c>
      <c r="F6453" s="81" t="s">
        <v>224</v>
      </c>
      <c r="G6453" s="81" t="s">
        <v>224</v>
      </c>
      <c r="H6453" s="81" t="s">
        <v>224</v>
      </c>
      <c r="I6453" s="81" t="s">
        <v>224</v>
      </c>
      <c r="J6453" s="81" t="s">
        <v>5060</v>
      </c>
    </row>
    <row r="6454" hidden="1">
      <c r="A6454" s="83" t="s">
        <v>6428</v>
      </c>
      <c r="B6454" s="83" t="s">
        <v>6429</v>
      </c>
      <c r="C6454" s="81" t="s">
        <v>4082</v>
      </c>
      <c r="D6454" s="81" t="s">
        <v>224</v>
      </c>
      <c r="E6454" s="81" t="s">
        <v>5061</v>
      </c>
      <c r="F6454" s="81" t="s">
        <v>224</v>
      </c>
      <c r="G6454" s="81" t="s">
        <v>224</v>
      </c>
      <c r="H6454" s="81" t="s">
        <v>224</v>
      </c>
      <c r="I6454" s="81" t="s">
        <v>224</v>
      </c>
      <c r="J6454" s="81" t="s">
        <v>5062</v>
      </c>
    </row>
    <row r="6455" hidden="1">
      <c r="A6455" s="83" t="s">
        <v>6428</v>
      </c>
      <c r="B6455" s="83" t="s">
        <v>6429</v>
      </c>
      <c r="C6455" s="81" t="s">
        <v>4082</v>
      </c>
      <c r="D6455" s="81" t="s">
        <v>224</v>
      </c>
      <c r="E6455" s="81" t="s">
        <v>5063</v>
      </c>
      <c r="F6455" s="81" t="s">
        <v>224</v>
      </c>
      <c r="G6455" s="81" t="s">
        <v>224</v>
      </c>
      <c r="H6455" s="81" t="s">
        <v>224</v>
      </c>
      <c r="I6455" s="81" t="s">
        <v>224</v>
      </c>
      <c r="J6455" s="81" t="s">
        <v>5064</v>
      </c>
    </row>
    <row r="6456" hidden="1">
      <c r="A6456" s="83" t="s">
        <v>6428</v>
      </c>
      <c r="B6456" s="83" t="s">
        <v>6429</v>
      </c>
      <c r="C6456" s="81" t="s">
        <v>4082</v>
      </c>
      <c r="D6456" s="81" t="s">
        <v>224</v>
      </c>
      <c r="E6456" s="81" t="s">
        <v>5065</v>
      </c>
      <c r="F6456" s="81" t="s">
        <v>224</v>
      </c>
      <c r="G6456" s="81" t="s">
        <v>224</v>
      </c>
      <c r="H6456" s="81" t="s">
        <v>224</v>
      </c>
      <c r="I6456" s="81" t="s">
        <v>224</v>
      </c>
      <c r="J6456" s="81" t="s">
        <v>5066</v>
      </c>
    </row>
    <row r="6457" hidden="1">
      <c r="A6457" s="83" t="s">
        <v>6428</v>
      </c>
      <c r="B6457" s="83" t="s">
        <v>6429</v>
      </c>
      <c r="C6457" s="81" t="s">
        <v>4082</v>
      </c>
      <c r="D6457" s="81" t="s">
        <v>224</v>
      </c>
      <c r="E6457" s="81" t="s">
        <v>5067</v>
      </c>
      <c r="F6457" s="81" t="s">
        <v>224</v>
      </c>
      <c r="G6457" s="81" t="s">
        <v>224</v>
      </c>
      <c r="H6457" s="81" t="s">
        <v>224</v>
      </c>
      <c r="I6457" s="81" t="s">
        <v>224</v>
      </c>
      <c r="J6457" s="81" t="s">
        <v>5068</v>
      </c>
    </row>
    <row r="6458" hidden="1">
      <c r="A6458" s="83" t="s">
        <v>6428</v>
      </c>
      <c r="B6458" s="83" t="s">
        <v>6429</v>
      </c>
      <c r="C6458" s="81" t="s">
        <v>4082</v>
      </c>
      <c r="D6458" s="81" t="s">
        <v>224</v>
      </c>
      <c r="E6458" s="81" t="s">
        <v>5069</v>
      </c>
      <c r="F6458" s="81" t="s">
        <v>224</v>
      </c>
      <c r="G6458" s="81" t="s">
        <v>224</v>
      </c>
      <c r="H6458" s="81" t="s">
        <v>224</v>
      </c>
      <c r="I6458" s="81" t="s">
        <v>224</v>
      </c>
      <c r="J6458" s="81" t="s">
        <v>5070</v>
      </c>
    </row>
    <row r="6459" hidden="1">
      <c r="A6459" s="83" t="s">
        <v>6428</v>
      </c>
      <c r="B6459" s="83" t="s">
        <v>6429</v>
      </c>
      <c r="C6459" s="81" t="s">
        <v>4082</v>
      </c>
      <c r="D6459" s="81" t="s">
        <v>224</v>
      </c>
      <c r="E6459" s="81" t="s">
        <v>5071</v>
      </c>
      <c r="F6459" s="81" t="s">
        <v>224</v>
      </c>
      <c r="G6459" s="81" t="s">
        <v>224</v>
      </c>
      <c r="H6459" s="81" t="s">
        <v>224</v>
      </c>
      <c r="I6459" s="81" t="s">
        <v>224</v>
      </c>
      <c r="J6459" s="81" t="s">
        <v>5072</v>
      </c>
    </row>
    <row r="6460" hidden="1">
      <c r="A6460" s="83" t="s">
        <v>6428</v>
      </c>
      <c r="B6460" s="83" t="s">
        <v>6429</v>
      </c>
      <c r="C6460" s="81" t="s">
        <v>4082</v>
      </c>
      <c r="D6460" s="81" t="s">
        <v>224</v>
      </c>
      <c r="E6460" s="81" t="s">
        <v>5073</v>
      </c>
      <c r="F6460" s="81" t="s">
        <v>224</v>
      </c>
      <c r="G6460" s="81" t="s">
        <v>224</v>
      </c>
      <c r="H6460" s="81" t="s">
        <v>224</v>
      </c>
      <c r="I6460" s="81" t="s">
        <v>224</v>
      </c>
      <c r="J6460" s="81" t="s">
        <v>5074</v>
      </c>
    </row>
    <row r="6461" hidden="1">
      <c r="A6461" s="83" t="s">
        <v>6428</v>
      </c>
      <c r="B6461" s="83" t="s">
        <v>6429</v>
      </c>
      <c r="C6461" s="81" t="s">
        <v>4082</v>
      </c>
      <c r="D6461" s="81" t="s">
        <v>224</v>
      </c>
      <c r="E6461" s="81" t="s">
        <v>5075</v>
      </c>
      <c r="F6461" s="81" t="s">
        <v>224</v>
      </c>
      <c r="G6461" s="81" t="s">
        <v>224</v>
      </c>
      <c r="H6461" s="81" t="s">
        <v>224</v>
      </c>
      <c r="I6461" s="81" t="s">
        <v>224</v>
      </c>
      <c r="J6461" s="81" t="s">
        <v>5076</v>
      </c>
    </row>
    <row r="6462" hidden="1">
      <c r="A6462" s="83" t="s">
        <v>6428</v>
      </c>
      <c r="B6462" s="83" t="s">
        <v>6429</v>
      </c>
      <c r="C6462" s="81" t="s">
        <v>4082</v>
      </c>
      <c r="D6462" s="81" t="s">
        <v>224</v>
      </c>
      <c r="E6462" s="81" t="s">
        <v>5077</v>
      </c>
      <c r="F6462" s="81" t="s">
        <v>224</v>
      </c>
      <c r="G6462" s="81" t="s">
        <v>224</v>
      </c>
      <c r="H6462" s="81" t="s">
        <v>224</v>
      </c>
      <c r="I6462" s="81" t="s">
        <v>224</v>
      </c>
      <c r="J6462" s="81" t="s">
        <v>5078</v>
      </c>
    </row>
    <row r="6463" hidden="1">
      <c r="A6463" s="83" t="s">
        <v>6428</v>
      </c>
      <c r="B6463" s="83" t="s">
        <v>6429</v>
      </c>
      <c r="C6463" s="81" t="s">
        <v>4082</v>
      </c>
      <c r="D6463" s="81" t="s">
        <v>224</v>
      </c>
      <c r="E6463" s="81" t="s">
        <v>5079</v>
      </c>
      <c r="F6463" s="81" t="s">
        <v>224</v>
      </c>
      <c r="G6463" s="81" t="s">
        <v>224</v>
      </c>
      <c r="H6463" s="81" t="s">
        <v>224</v>
      </c>
      <c r="I6463" s="81" t="s">
        <v>224</v>
      </c>
      <c r="J6463" s="81" t="s">
        <v>4974</v>
      </c>
    </row>
    <row r="6464" hidden="1">
      <c r="A6464" s="83" t="s">
        <v>6428</v>
      </c>
      <c r="B6464" s="83" t="s">
        <v>6429</v>
      </c>
      <c r="C6464" s="81" t="s">
        <v>4082</v>
      </c>
      <c r="D6464" s="81" t="s">
        <v>224</v>
      </c>
      <c r="E6464" s="81" t="s">
        <v>5080</v>
      </c>
      <c r="F6464" s="81" t="s">
        <v>224</v>
      </c>
      <c r="G6464" s="81" t="s">
        <v>224</v>
      </c>
      <c r="H6464" s="81" t="s">
        <v>224</v>
      </c>
      <c r="I6464" s="81" t="s">
        <v>224</v>
      </c>
      <c r="J6464" s="81" t="s">
        <v>4974</v>
      </c>
    </row>
    <row r="6465" hidden="1">
      <c r="A6465" s="83" t="s">
        <v>6428</v>
      </c>
      <c r="B6465" s="83" t="s">
        <v>6429</v>
      </c>
      <c r="C6465" s="81" t="s">
        <v>4082</v>
      </c>
      <c r="D6465" s="81" t="s">
        <v>224</v>
      </c>
      <c r="E6465" s="81" t="s">
        <v>5081</v>
      </c>
      <c r="F6465" s="81" t="s">
        <v>224</v>
      </c>
      <c r="G6465" s="81" t="s">
        <v>224</v>
      </c>
      <c r="H6465" s="81" t="s">
        <v>224</v>
      </c>
      <c r="I6465" s="81" t="s">
        <v>224</v>
      </c>
      <c r="J6465" s="81" t="s">
        <v>5082</v>
      </c>
    </row>
    <row r="6466" hidden="1">
      <c r="A6466" s="83" t="s">
        <v>6428</v>
      </c>
      <c r="B6466" s="83" t="s">
        <v>6429</v>
      </c>
      <c r="C6466" s="81" t="s">
        <v>4082</v>
      </c>
      <c r="D6466" s="81" t="s">
        <v>224</v>
      </c>
      <c r="E6466" s="81" t="s">
        <v>5105</v>
      </c>
      <c r="F6466" s="81" t="s">
        <v>224</v>
      </c>
      <c r="G6466" s="81" t="s">
        <v>224</v>
      </c>
      <c r="H6466" s="81" t="s">
        <v>224</v>
      </c>
      <c r="I6466" s="81" t="s">
        <v>224</v>
      </c>
      <c r="J6466" s="81" t="s">
        <v>5028</v>
      </c>
    </row>
    <row r="6467" hidden="1">
      <c r="A6467" s="83" t="s">
        <v>6428</v>
      </c>
      <c r="B6467" s="83" t="s">
        <v>6429</v>
      </c>
      <c r="C6467" s="81" t="s">
        <v>4082</v>
      </c>
      <c r="D6467" s="81" t="s">
        <v>224</v>
      </c>
      <c r="E6467" s="81" t="s">
        <v>5106</v>
      </c>
      <c r="F6467" s="81" t="s">
        <v>224</v>
      </c>
      <c r="G6467" s="81" t="s">
        <v>224</v>
      </c>
      <c r="H6467" s="81" t="s">
        <v>224</v>
      </c>
      <c r="I6467" s="81" t="s">
        <v>224</v>
      </c>
      <c r="J6467" s="81" t="s">
        <v>5028</v>
      </c>
    </row>
    <row r="6468" hidden="1">
      <c r="A6468" s="83" t="s">
        <v>6428</v>
      </c>
      <c r="B6468" s="83" t="s">
        <v>6429</v>
      </c>
      <c r="C6468" s="81" t="s">
        <v>4082</v>
      </c>
      <c r="D6468" s="81" t="s">
        <v>224</v>
      </c>
      <c r="E6468" s="81" t="s">
        <v>5107</v>
      </c>
      <c r="F6468" s="81" t="s">
        <v>224</v>
      </c>
      <c r="G6468" s="81" t="s">
        <v>224</v>
      </c>
      <c r="H6468" s="81" t="s">
        <v>224</v>
      </c>
      <c r="I6468" s="81" t="s">
        <v>224</v>
      </c>
      <c r="J6468" s="81" t="s">
        <v>5028</v>
      </c>
    </row>
    <row r="6469" hidden="1">
      <c r="A6469" s="83" t="s">
        <v>6428</v>
      </c>
      <c r="B6469" s="83" t="s">
        <v>6429</v>
      </c>
      <c r="C6469" s="81" t="s">
        <v>4082</v>
      </c>
      <c r="D6469" s="81" t="s">
        <v>224</v>
      </c>
      <c r="E6469" s="81" t="s">
        <v>5108</v>
      </c>
      <c r="F6469" s="81" t="s">
        <v>224</v>
      </c>
      <c r="G6469" s="81" t="s">
        <v>224</v>
      </c>
      <c r="H6469" s="81" t="s">
        <v>224</v>
      </c>
      <c r="I6469" s="81" t="s">
        <v>224</v>
      </c>
      <c r="J6469" s="81" t="s">
        <v>5028</v>
      </c>
    </row>
    <row r="6470" hidden="1">
      <c r="A6470" s="83" t="s">
        <v>6428</v>
      </c>
      <c r="B6470" s="83" t="s">
        <v>6429</v>
      </c>
      <c r="C6470" s="81" t="s">
        <v>4082</v>
      </c>
      <c r="D6470" s="81" t="s">
        <v>224</v>
      </c>
      <c r="E6470" s="81" t="s">
        <v>5109</v>
      </c>
      <c r="F6470" s="81" t="s">
        <v>224</v>
      </c>
      <c r="G6470" s="81" t="s">
        <v>224</v>
      </c>
      <c r="H6470" s="81" t="s">
        <v>224</v>
      </c>
      <c r="I6470" s="81" t="s">
        <v>224</v>
      </c>
      <c r="J6470" s="81" t="s">
        <v>5028</v>
      </c>
    </row>
    <row r="6471" hidden="1">
      <c r="A6471" s="83" t="s">
        <v>6428</v>
      </c>
      <c r="B6471" s="83" t="s">
        <v>6429</v>
      </c>
      <c r="C6471" s="81" t="s">
        <v>4082</v>
      </c>
      <c r="D6471" s="81" t="s">
        <v>224</v>
      </c>
      <c r="E6471" s="81" t="s">
        <v>5110</v>
      </c>
      <c r="F6471" s="81" t="s">
        <v>224</v>
      </c>
      <c r="G6471" s="81" t="s">
        <v>224</v>
      </c>
      <c r="H6471" s="81" t="s">
        <v>224</v>
      </c>
      <c r="I6471" s="81" t="s">
        <v>224</v>
      </c>
      <c r="J6471" s="81" t="s">
        <v>5028</v>
      </c>
    </row>
    <row r="6472" hidden="1">
      <c r="A6472" s="83" t="s">
        <v>6428</v>
      </c>
      <c r="B6472" s="83" t="s">
        <v>6429</v>
      </c>
      <c r="C6472" s="81" t="s">
        <v>4082</v>
      </c>
      <c r="D6472" s="81" t="s">
        <v>224</v>
      </c>
      <c r="E6472" s="81" t="s">
        <v>6420</v>
      </c>
      <c r="F6472" s="81" t="s">
        <v>224</v>
      </c>
      <c r="G6472" s="81" t="s">
        <v>224</v>
      </c>
      <c r="H6472" s="81" t="s">
        <v>224</v>
      </c>
      <c r="I6472" s="81" t="s">
        <v>224</v>
      </c>
      <c r="J6472" s="81" t="s">
        <v>5028</v>
      </c>
    </row>
    <row r="6473" hidden="1">
      <c r="A6473" s="83" t="s">
        <v>6428</v>
      </c>
      <c r="B6473" s="83" t="s">
        <v>6429</v>
      </c>
      <c r="C6473" s="81" t="s">
        <v>4082</v>
      </c>
      <c r="D6473" s="81" t="s">
        <v>224</v>
      </c>
      <c r="E6473" s="81" t="s">
        <v>6421</v>
      </c>
      <c r="F6473" s="81" t="s">
        <v>224</v>
      </c>
      <c r="G6473" s="81" t="s">
        <v>224</v>
      </c>
      <c r="H6473" s="81" t="s">
        <v>224</v>
      </c>
      <c r="I6473" s="81" t="s">
        <v>224</v>
      </c>
      <c r="J6473" s="81" t="s">
        <v>4957</v>
      </c>
    </row>
    <row r="6474" hidden="1">
      <c r="A6474" s="83" t="s">
        <v>6428</v>
      </c>
      <c r="B6474" s="83" t="s">
        <v>6429</v>
      </c>
      <c r="C6474" s="81" t="s">
        <v>4082</v>
      </c>
      <c r="D6474" s="81" t="s">
        <v>224</v>
      </c>
      <c r="E6474" s="81" t="s">
        <v>6422</v>
      </c>
      <c r="F6474" s="81" t="s">
        <v>224</v>
      </c>
      <c r="G6474" s="81" t="s">
        <v>224</v>
      </c>
      <c r="H6474" s="81" t="s">
        <v>224</v>
      </c>
      <c r="I6474" s="81" t="s">
        <v>224</v>
      </c>
      <c r="J6474" s="81" t="s">
        <v>4957</v>
      </c>
    </row>
    <row r="6475" hidden="1">
      <c r="A6475" s="83" t="s">
        <v>6428</v>
      </c>
      <c r="B6475" s="83" t="s">
        <v>6429</v>
      </c>
      <c r="C6475" s="81" t="s">
        <v>4082</v>
      </c>
      <c r="D6475" s="81" t="s">
        <v>224</v>
      </c>
      <c r="E6475" s="81" t="s">
        <v>6423</v>
      </c>
      <c r="F6475" s="81" t="s">
        <v>224</v>
      </c>
      <c r="G6475" s="81" t="s">
        <v>224</v>
      </c>
      <c r="H6475" s="81" t="s">
        <v>224</v>
      </c>
      <c r="I6475" s="81" t="s">
        <v>224</v>
      </c>
      <c r="J6475" s="81" t="s">
        <v>4959</v>
      </c>
    </row>
    <row r="6476" hidden="1">
      <c r="A6476" s="83" t="s">
        <v>6428</v>
      </c>
      <c r="B6476" s="83" t="s">
        <v>6429</v>
      </c>
      <c r="C6476" s="81" t="s">
        <v>4082</v>
      </c>
      <c r="D6476" s="81" t="s">
        <v>224</v>
      </c>
      <c r="E6476" s="81" t="s">
        <v>6424</v>
      </c>
      <c r="F6476" s="81" t="s">
        <v>224</v>
      </c>
      <c r="G6476" s="81" t="s">
        <v>224</v>
      </c>
      <c r="H6476" s="81" t="s">
        <v>224</v>
      </c>
      <c r="I6476" s="81" t="s">
        <v>224</v>
      </c>
      <c r="J6476" s="81" t="s">
        <v>4959</v>
      </c>
    </row>
    <row r="6477" hidden="1">
      <c r="A6477" s="83" t="s">
        <v>6428</v>
      </c>
      <c r="B6477" s="83" t="s">
        <v>6429</v>
      </c>
      <c r="C6477" s="81" t="s">
        <v>4082</v>
      </c>
      <c r="D6477" s="81" t="s">
        <v>224</v>
      </c>
      <c r="E6477" s="81" t="s">
        <v>6433</v>
      </c>
      <c r="F6477" s="81" t="s">
        <v>224</v>
      </c>
      <c r="G6477" s="81" t="s">
        <v>224</v>
      </c>
      <c r="H6477" s="81" t="s">
        <v>224</v>
      </c>
      <c r="I6477" s="81" t="s">
        <v>224</v>
      </c>
      <c r="J6477" s="81" t="s">
        <v>5020</v>
      </c>
    </row>
    <row r="6478" hidden="1">
      <c r="A6478" s="83" t="s">
        <v>6428</v>
      </c>
      <c r="B6478" s="83" t="s">
        <v>6429</v>
      </c>
      <c r="C6478" s="81" t="s">
        <v>4082</v>
      </c>
      <c r="D6478" s="81" t="s">
        <v>224</v>
      </c>
      <c r="E6478" s="81" t="s">
        <v>6434</v>
      </c>
      <c r="F6478" s="81" t="s">
        <v>224</v>
      </c>
      <c r="G6478" s="81" t="s">
        <v>224</v>
      </c>
      <c r="H6478" s="81" t="s">
        <v>224</v>
      </c>
      <c r="I6478" s="81" t="s">
        <v>224</v>
      </c>
      <c r="J6478" s="81" t="s">
        <v>5020</v>
      </c>
    </row>
    <row r="6479" hidden="1">
      <c r="A6479" s="83" t="s">
        <v>6428</v>
      </c>
      <c r="B6479" s="83" t="s">
        <v>6429</v>
      </c>
      <c r="C6479" s="81" t="s">
        <v>4082</v>
      </c>
      <c r="D6479" s="81" t="s">
        <v>224</v>
      </c>
      <c r="E6479" s="81" t="s">
        <v>6435</v>
      </c>
      <c r="F6479" s="81" t="s">
        <v>224</v>
      </c>
      <c r="G6479" s="81" t="s">
        <v>224</v>
      </c>
      <c r="H6479" s="81" t="s">
        <v>224</v>
      </c>
      <c r="I6479" s="81" t="s">
        <v>224</v>
      </c>
      <c r="J6479" s="81" t="s">
        <v>5012</v>
      </c>
    </row>
    <row r="6480" hidden="1">
      <c r="A6480" s="83" t="s">
        <v>6428</v>
      </c>
      <c r="B6480" s="83" t="s">
        <v>6429</v>
      </c>
      <c r="C6480" s="81" t="s">
        <v>4082</v>
      </c>
      <c r="D6480" s="81" t="s">
        <v>224</v>
      </c>
      <c r="E6480" s="81" t="s">
        <v>6436</v>
      </c>
      <c r="F6480" s="81" t="s">
        <v>224</v>
      </c>
      <c r="G6480" s="81" t="s">
        <v>224</v>
      </c>
      <c r="H6480" s="81" t="s">
        <v>224</v>
      </c>
      <c r="I6480" s="81" t="s">
        <v>224</v>
      </c>
      <c r="J6480" s="81" t="s">
        <v>5012</v>
      </c>
    </row>
    <row r="6481" hidden="1">
      <c r="A6481" s="83" t="s">
        <v>6428</v>
      </c>
      <c r="B6481" s="83" t="s">
        <v>6429</v>
      </c>
      <c r="C6481" s="81" t="s">
        <v>4082</v>
      </c>
      <c r="D6481" s="83" t="s">
        <v>4201</v>
      </c>
      <c r="E6481" s="81" t="s">
        <v>754</v>
      </c>
      <c r="F6481" s="81">
        <v>127.0</v>
      </c>
      <c r="G6481" s="81" t="s">
        <v>39</v>
      </c>
      <c r="H6481" s="81" t="s">
        <v>224</v>
      </c>
      <c r="I6481" s="81" t="s">
        <v>224</v>
      </c>
      <c r="J6481" s="81" t="s">
        <v>5311</v>
      </c>
    </row>
    <row r="6482" hidden="1">
      <c r="A6482" s="83" t="s">
        <v>6428</v>
      </c>
      <c r="B6482" s="83" t="s">
        <v>6429</v>
      </c>
      <c r="C6482" s="81" t="s">
        <v>4082</v>
      </c>
      <c r="D6482" s="83" t="s">
        <v>4208</v>
      </c>
      <c r="E6482" s="81" t="s">
        <v>786</v>
      </c>
      <c r="F6482" s="81">
        <v>134.0</v>
      </c>
      <c r="G6482" s="81" t="s">
        <v>39</v>
      </c>
      <c r="H6482" s="81" t="s">
        <v>224</v>
      </c>
      <c r="I6482" s="81" t="s">
        <v>224</v>
      </c>
      <c r="J6482" s="81" t="s">
        <v>5322</v>
      </c>
    </row>
    <row r="6483" hidden="1">
      <c r="A6483" s="83" t="s">
        <v>6428</v>
      </c>
      <c r="B6483" s="83" t="s">
        <v>6429</v>
      </c>
      <c r="C6483" s="81" t="s">
        <v>4082</v>
      </c>
      <c r="D6483" s="83" t="s">
        <v>4211</v>
      </c>
      <c r="E6483" s="81" t="s">
        <v>798</v>
      </c>
      <c r="F6483" s="81">
        <v>137.0</v>
      </c>
      <c r="G6483" s="81" t="s">
        <v>39</v>
      </c>
      <c r="H6483" s="81" t="s">
        <v>224</v>
      </c>
      <c r="I6483" s="81" t="s">
        <v>224</v>
      </c>
      <c r="J6483" s="81" t="s">
        <v>5327</v>
      </c>
    </row>
    <row r="6484" hidden="1">
      <c r="A6484" s="83" t="s">
        <v>6428</v>
      </c>
      <c r="B6484" s="83" t="s">
        <v>6429</v>
      </c>
      <c r="C6484" s="81" t="s">
        <v>4082</v>
      </c>
      <c r="D6484" s="83" t="s">
        <v>4212</v>
      </c>
      <c r="E6484" s="81" t="s">
        <v>804</v>
      </c>
      <c r="F6484" s="81">
        <v>138.0</v>
      </c>
      <c r="G6484" s="81" t="s">
        <v>39</v>
      </c>
      <c r="H6484" s="81" t="s">
        <v>224</v>
      </c>
      <c r="I6484" s="81" t="s">
        <v>224</v>
      </c>
      <c r="J6484" s="81" t="s">
        <v>5330</v>
      </c>
    </row>
    <row r="6485" hidden="1">
      <c r="A6485" s="83" t="s">
        <v>6428</v>
      </c>
      <c r="B6485" s="83" t="s">
        <v>6429</v>
      </c>
      <c r="C6485" s="81" t="s">
        <v>4082</v>
      </c>
      <c r="D6485" s="83" t="s">
        <v>4238</v>
      </c>
      <c r="E6485" s="81" t="s">
        <v>918</v>
      </c>
      <c r="F6485" s="81">
        <v>163.0</v>
      </c>
      <c r="G6485" s="81" t="s">
        <v>41</v>
      </c>
      <c r="H6485" s="81" t="s">
        <v>924</v>
      </c>
      <c r="I6485" s="81" t="s">
        <v>224</v>
      </c>
      <c r="J6485" s="81" t="s">
        <v>6344</v>
      </c>
    </row>
    <row r="6486" hidden="1">
      <c r="A6486" s="83" t="s">
        <v>6428</v>
      </c>
      <c r="B6486" s="83" t="s">
        <v>6429</v>
      </c>
      <c r="C6486" s="81" t="s">
        <v>4621</v>
      </c>
      <c r="D6486" s="83" t="s">
        <v>4257</v>
      </c>
      <c r="E6486" s="81" t="s">
        <v>1015</v>
      </c>
      <c r="F6486" s="81">
        <v>191.0</v>
      </c>
      <c r="G6486" s="81" t="s">
        <v>39</v>
      </c>
      <c r="H6486" s="81" t="s">
        <v>5399</v>
      </c>
      <c r="I6486" s="81" t="s">
        <v>1021</v>
      </c>
      <c r="J6486" s="81" t="s">
        <v>224</v>
      </c>
    </row>
    <row r="6487" hidden="1">
      <c r="A6487" s="83" t="s">
        <v>6428</v>
      </c>
      <c r="B6487" s="83" t="s">
        <v>6429</v>
      </c>
      <c r="C6487" s="81" t="s">
        <v>4621</v>
      </c>
      <c r="D6487" s="83" t="s">
        <v>4257</v>
      </c>
      <c r="E6487" s="81" t="s">
        <v>1015</v>
      </c>
      <c r="F6487" s="81">
        <v>191.0</v>
      </c>
      <c r="G6487" s="81" t="s">
        <v>40</v>
      </c>
      <c r="H6487" s="81" t="s">
        <v>5401</v>
      </c>
      <c r="I6487" s="81" t="s">
        <v>1022</v>
      </c>
      <c r="J6487" s="81" t="s">
        <v>224</v>
      </c>
    </row>
    <row r="6488" hidden="1">
      <c r="A6488" s="83" t="s">
        <v>6428</v>
      </c>
      <c r="B6488" s="83" t="s">
        <v>6429</v>
      </c>
      <c r="C6488" s="81" t="s">
        <v>4621</v>
      </c>
      <c r="D6488" s="83" t="s">
        <v>4257</v>
      </c>
      <c r="E6488" s="81" t="s">
        <v>1025</v>
      </c>
      <c r="F6488" s="81">
        <v>192.0</v>
      </c>
      <c r="G6488" s="81" t="s">
        <v>39</v>
      </c>
      <c r="H6488" s="81" t="s">
        <v>5399</v>
      </c>
      <c r="I6488" s="81" t="s">
        <v>1021</v>
      </c>
      <c r="J6488" s="81" t="s">
        <v>224</v>
      </c>
    </row>
    <row r="6489" hidden="1">
      <c r="A6489" s="83" t="s">
        <v>6428</v>
      </c>
      <c r="B6489" s="83" t="s">
        <v>6429</v>
      </c>
      <c r="C6489" s="81" t="s">
        <v>4621</v>
      </c>
      <c r="D6489" s="83" t="s">
        <v>4257</v>
      </c>
      <c r="E6489" s="81" t="s">
        <v>1025</v>
      </c>
      <c r="F6489" s="81">
        <v>192.0</v>
      </c>
      <c r="G6489" s="81" t="s">
        <v>40</v>
      </c>
      <c r="H6489" s="81" t="s">
        <v>5401</v>
      </c>
      <c r="I6489" s="81" t="s">
        <v>1022</v>
      </c>
      <c r="J6489" s="81" t="s">
        <v>224</v>
      </c>
    </row>
    <row r="6490" hidden="1">
      <c r="A6490" s="83" t="s">
        <v>6428</v>
      </c>
      <c r="B6490" s="83" t="s">
        <v>6429</v>
      </c>
      <c r="C6490" s="81" t="s">
        <v>4621</v>
      </c>
      <c r="D6490" s="83" t="s">
        <v>4260</v>
      </c>
      <c r="E6490" s="81" t="s">
        <v>1028</v>
      </c>
      <c r="F6490" s="81">
        <v>193.0</v>
      </c>
      <c r="G6490" s="81" t="s">
        <v>39</v>
      </c>
      <c r="H6490" s="81" t="s">
        <v>5405</v>
      </c>
      <c r="I6490" s="81" t="s">
        <v>1030</v>
      </c>
      <c r="J6490" s="81" t="s">
        <v>224</v>
      </c>
    </row>
    <row r="6491" hidden="1">
      <c r="A6491" s="83" t="s">
        <v>6428</v>
      </c>
      <c r="B6491" s="83" t="s">
        <v>6429</v>
      </c>
      <c r="C6491" s="81" t="s">
        <v>4621</v>
      </c>
      <c r="D6491" s="83" t="s">
        <v>4260</v>
      </c>
      <c r="E6491" s="81" t="s">
        <v>1028</v>
      </c>
      <c r="F6491" s="81">
        <v>193.0</v>
      </c>
      <c r="G6491" s="81" t="s">
        <v>40</v>
      </c>
      <c r="H6491" s="81" t="s">
        <v>5407</v>
      </c>
      <c r="I6491" s="81" t="s">
        <v>1031</v>
      </c>
      <c r="J6491" s="81" t="s">
        <v>224</v>
      </c>
    </row>
    <row r="6492" hidden="1">
      <c r="A6492" s="83" t="s">
        <v>6428</v>
      </c>
      <c r="B6492" s="83" t="s">
        <v>6429</v>
      </c>
      <c r="C6492" s="81" t="s">
        <v>4621</v>
      </c>
      <c r="D6492" s="83" t="s">
        <v>4261</v>
      </c>
      <c r="E6492" s="81" t="s">
        <v>1032</v>
      </c>
      <c r="F6492" s="81">
        <v>194.0</v>
      </c>
      <c r="G6492" s="81" t="s">
        <v>39</v>
      </c>
      <c r="H6492" s="81" t="s">
        <v>6437</v>
      </c>
      <c r="I6492" s="81" t="s">
        <v>1021</v>
      </c>
      <c r="J6492" s="81" t="s">
        <v>224</v>
      </c>
    </row>
    <row r="6493" hidden="1">
      <c r="A6493" s="83" t="s">
        <v>6428</v>
      </c>
      <c r="B6493" s="83" t="s">
        <v>6429</v>
      </c>
      <c r="C6493" s="81" t="s">
        <v>4621</v>
      </c>
      <c r="D6493" s="83" t="s">
        <v>4261</v>
      </c>
      <c r="E6493" s="81" t="s">
        <v>1032</v>
      </c>
      <c r="F6493" s="81">
        <v>194.0</v>
      </c>
      <c r="G6493" s="81" t="s">
        <v>40</v>
      </c>
      <c r="H6493" s="81" t="s">
        <v>5409</v>
      </c>
      <c r="I6493" s="81" t="s">
        <v>1022</v>
      </c>
      <c r="J6493" s="81" t="s">
        <v>224</v>
      </c>
    </row>
    <row r="6494" hidden="1">
      <c r="A6494" s="83" t="s">
        <v>6428</v>
      </c>
      <c r="B6494" s="83" t="s">
        <v>6429</v>
      </c>
      <c r="C6494" s="81" t="s">
        <v>4621</v>
      </c>
      <c r="D6494" s="83" t="s">
        <v>4263</v>
      </c>
      <c r="E6494" s="81" t="s">
        <v>1036</v>
      </c>
      <c r="F6494" s="81">
        <v>195.0</v>
      </c>
      <c r="G6494" s="81" t="s">
        <v>39</v>
      </c>
      <c r="H6494" s="81" t="s">
        <v>5411</v>
      </c>
      <c r="I6494" s="81" t="s">
        <v>1030</v>
      </c>
      <c r="J6494" s="81" t="s">
        <v>224</v>
      </c>
    </row>
    <row r="6495" hidden="1">
      <c r="A6495" s="83" t="s">
        <v>6428</v>
      </c>
      <c r="B6495" s="83" t="s">
        <v>6429</v>
      </c>
      <c r="C6495" s="81" t="s">
        <v>4621</v>
      </c>
      <c r="D6495" s="83" t="s">
        <v>4263</v>
      </c>
      <c r="E6495" s="81" t="s">
        <v>1036</v>
      </c>
      <c r="F6495" s="81">
        <v>195.0</v>
      </c>
      <c r="G6495" s="81" t="s">
        <v>40</v>
      </c>
      <c r="H6495" s="81" t="s">
        <v>5413</v>
      </c>
      <c r="I6495" s="81" t="s">
        <v>1031</v>
      </c>
      <c r="J6495" s="81" t="s">
        <v>224</v>
      </c>
    </row>
    <row r="6496" hidden="1">
      <c r="A6496" s="83" t="s">
        <v>6428</v>
      </c>
      <c r="B6496" s="83" t="s">
        <v>6429</v>
      </c>
      <c r="C6496" s="81" t="s">
        <v>4621</v>
      </c>
      <c r="D6496" s="83" t="s">
        <v>4264</v>
      </c>
      <c r="E6496" s="81" t="s">
        <v>1037</v>
      </c>
      <c r="F6496" s="81">
        <v>196.0</v>
      </c>
      <c r="G6496" s="81" t="s">
        <v>39</v>
      </c>
      <c r="H6496" s="81" t="s">
        <v>6438</v>
      </c>
      <c r="I6496" s="81" t="s">
        <v>1021</v>
      </c>
      <c r="J6496" s="81" t="s">
        <v>224</v>
      </c>
    </row>
    <row r="6497" hidden="1">
      <c r="A6497" s="83" t="s">
        <v>6428</v>
      </c>
      <c r="B6497" s="83" t="s">
        <v>6429</v>
      </c>
      <c r="C6497" s="81" t="s">
        <v>4621</v>
      </c>
      <c r="D6497" s="83" t="s">
        <v>4264</v>
      </c>
      <c r="E6497" s="81" t="s">
        <v>1037</v>
      </c>
      <c r="F6497" s="81">
        <v>196.0</v>
      </c>
      <c r="G6497" s="81" t="s">
        <v>40</v>
      </c>
      <c r="H6497" s="81" t="s">
        <v>5415</v>
      </c>
      <c r="I6497" s="81" t="s">
        <v>1022</v>
      </c>
      <c r="J6497" s="81" t="s">
        <v>224</v>
      </c>
    </row>
    <row r="6498" hidden="1">
      <c r="A6498" s="83" t="s">
        <v>6428</v>
      </c>
      <c r="B6498" s="83" t="s">
        <v>6429</v>
      </c>
      <c r="C6498" s="81" t="s">
        <v>4621</v>
      </c>
      <c r="D6498" s="83" t="s">
        <v>4266</v>
      </c>
      <c r="E6498" s="81" t="s">
        <v>1041</v>
      </c>
      <c r="F6498" s="81">
        <v>197.0</v>
      </c>
      <c r="G6498" s="81" t="s">
        <v>39</v>
      </c>
      <c r="H6498" s="81" t="s">
        <v>6439</v>
      </c>
      <c r="I6498" s="81" t="s">
        <v>1030</v>
      </c>
      <c r="J6498" s="81" t="s">
        <v>224</v>
      </c>
    </row>
    <row r="6499" hidden="1">
      <c r="A6499" s="83" t="s">
        <v>6428</v>
      </c>
      <c r="B6499" s="83" t="s">
        <v>6429</v>
      </c>
      <c r="C6499" s="81" t="s">
        <v>4621</v>
      </c>
      <c r="D6499" s="83" t="s">
        <v>4266</v>
      </c>
      <c r="E6499" s="81" t="s">
        <v>1041</v>
      </c>
      <c r="F6499" s="81">
        <v>197.0</v>
      </c>
      <c r="G6499" s="81" t="s">
        <v>40</v>
      </c>
      <c r="H6499" s="81" t="s">
        <v>5417</v>
      </c>
      <c r="I6499" s="81" t="s">
        <v>1031</v>
      </c>
      <c r="J6499" s="81" t="s">
        <v>224</v>
      </c>
    </row>
    <row r="6500" hidden="1">
      <c r="A6500" s="83" t="s">
        <v>6428</v>
      </c>
      <c r="B6500" s="83" t="s">
        <v>6429</v>
      </c>
      <c r="C6500" s="81" t="s">
        <v>4082</v>
      </c>
      <c r="D6500" s="83" t="s">
        <v>4267</v>
      </c>
      <c r="E6500" s="81" t="s">
        <v>1050</v>
      </c>
      <c r="F6500" s="81">
        <v>199.0</v>
      </c>
      <c r="G6500" s="81" t="s">
        <v>41</v>
      </c>
      <c r="H6500" s="81" t="s">
        <v>1051</v>
      </c>
      <c r="I6500" s="81" t="s">
        <v>224</v>
      </c>
      <c r="J6500" s="81" t="s">
        <v>6345</v>
      </c>
    </row>
    <row r="6501" hidden="1">
      <c r="A6501" s="83" t="s">
        <v>6428</v>
      </c>
      <c r="B6501" s="83" t="s">
        <v>6429</v>
      </c>
      <c r="C6501" s="81" t="s">
        <v>4621</v>
      </c>
      <c r="D6501" s="83" t="s">
        <v>4285</v>
      </c>
      <c r="E6501" s="81" t="s">
        <v>1133</v>
      </c>
      <c r="F6501" s="81">
        <v>225.0</v>
      </c>
      <c r="G6501" s="81" t="s">
        <v>39</v>
      </c>
      <c r="H6501" s="81" t="s">
        <v>5458</v>
      </c>
      <c r="I6501" s="81" t="s">
        <v>1136</v>
      </c>
      <c r="J6501" s="81" t="s">
        <v>224</v>
      </c>
    </row>
    <row r="6502" hidden="1">
      <c r="A6502" s="83" t="s">
        <v>6428</v>
      </c>
      <c r="B6502" s="83" t="s">
        <v>6429</v>
      </c>
      <c r="C6502" s="81" t="s">
        <v>4621</v>
      </c>
      <c r="D6502" s="83" t="s">
        <v>4285</v>
      </c>
      <c r="E6502" s="81" t="s">
        <v>1133</v>
      </c>
      <c r="F6502" s="81">
        <v>225.0</v>
      </c>
      <c r="G6502" s="81" t="s">
        <v>40</v>
      </c>
      <c r="H6502" s="81" t="s">
        <v>5460</v>
      </c>
      <c r="I6502" s="81" t="s">
        <v>1137</v>
      </c>
      <c r="J6502" s="81" t="s">
        <v>224</v>
      </c>
    </row>
    <row r="6503" hidden="1">
      <c r="A6503" s="83" t="s">
        <v>6428</v>
      </c>
      <c r="B6503" s="83" t="s">
        <v>6429</v>
      </c>
      <c r="C6503" s="81" t="s">
        <v>4621</v>
      </c>
      <c r="D6503" s="83" t="s">
        <v>4287</v>
      </c>
      <c r="E6503" s="81" t="s">
        <v>1138</v>
      </c>
      <c r="F6503" s="81">
        <v>226.0</v>
      </c>
      <c r="G6503" s="81" t="s">
        <v>39</v>
      </c>
      <c r="H6503" s="81" t="s">
        <v>5462</v>
      </c>
      <c r="I6503" s="81" t="s">
        <v>1140</v>
      </c>
      <c r="J6503" s="81" t="s">
        <v>224</v>
      </c>
    </row>
    <row r="6504" hidden="1">
      <c r="A6504" s="83" t="s">
        <v>6428</v>
      </c>
      <c r="B6504" s="83" t="s">
        <v>6429</v>
      </c>
      <c r="C6504" s="81" t="s">
        <v>4621</v>
      </c>
      <c r="D6504" s="83" t="s">
        <v>4287</v>
      </c>
      <c r="E6504" s="81" t="s">
        <v>1138</v>
      </c>
      <c r="F6504" s="81">
        <v>226.0</v>
      </c>
      <c r="G6504" s="81" t="s">
        <v>40</v>
      </c>
      <c r="H6504" s="81" t="s">
        <v>5464</v>
      </c>
      <c r="I6504" s="81" t="s">
        <v>1141</v>
      </c>
      <c r="J6504" s="81" t="s">
        <v>224</v>
      </c>
    </row>
    <row r="6505" hidden="1">
      <c r="A6505" s="83" t="s">
        <v>6428</v>
      </c>
      <c r="B6505" s="83" t="s">
        <v>6429</v>
      </c>
      <c r="C6505" s="81" t="s">
        <v>4621</v>
      </c>
      <c r="D6505" s="83" t="s">
        <v>4289</v>
      </c>
      <c r="E6505" s="81" t="s">
        <v>1142</v>
      </c>
      <c r="F6505" s="81">
        <v>227.0</v>
      </c>
      <c r="G6505" s="81" t="s">
        <v>39</v>
      </c>
      <c r="H6505" s="81" t="s">
        <v>5466</v>
      </c>
      <c r="I6505" s="81" t="s">
        <v>1136</v>
      </c>
      <c r="J6505" s="81" t="s">
        <v>224</v>
      </c>
    </row>
    <row r="6506" hidden="1">
      <c r="A6506" s="83" t="s">
        <v>6428</v>
      </c>
      <c r="B6506" s="83" t="s">
        <v>6429</v>
      </c>
      <c r="C6506" s="81" t="s">
        <v>4621</v>
      </c>
      <c r="D6506" s="83" t="s">
        <v>4289</v>
      </c>
      <c r="E6506" s="81" t="s">
        <v>1142</v>
      </c>
      <c r="F6506" s="81">
        <v>227.0</v>
      </c>
      <c r="G6506" s="81" t="s">
        <v>40</v>
      </c>
      <c r="H6506" s="81" t="s">
        <v>5468</v>
      </c>
      <c r="I6506" s="81" t="s">
        <v>1137</v>
      </c>
      <c r="J6506" s="81" t="s">
        <v>224</v>
      </c>
    </row>
    <row r="6507" hidden="1">
      <c r="A6507" s="83" t="s">
        <v>6428</v>
      </c>
      <c r="B6507" s="83" t="s">
        <v>6429</v>
      </c>
      <c r="C6507" s="81" t="s">
        <v>4082</v>
      </c>
      <c r="D6507" s="83" t="s">
        <v>4304</v>
      </c>
      <c r="E6507" s="81" t="s">
        <v>1232</v>
      </c>
      <c r="F6507" s="81">
        <v>244.0</v>
      </c>
      <c r="G6507" s="81" t="s">
        <v>41</v>
      </c>
      <c r="H6507" s="81" t="s">
        <v>1233</v>
      </c>
      <c r="I6507" s="81" t="s">
        <v>224</v>
      </c>
      <c r="J6507" s="81" t="s">
        <v>6346</v>
      </c>
    </row>
    <row r="6508" hidden="1">
      <c r="A6508" s="83" t="s">
        <v>6428</v>
      </c>
      <c r="B6508" s="83" t="s">
        <v>6429</v>
      </c>
      <c r="C6508" s="81" t="s">
        <v>4082</v>
      </c>
      <c r="D6508" s="83" t="s">
        <v>4306</v>
      </c>
      <c r="E6508" s="81" t="s">
        <v>1237</v>
      </c>
      <c r="F6508" s="81">
        <v>246.0</v>
      </c>
      <c r="G6508" s="81" t="s">
        <v>41</v>
      </c>
      <c r="H6508" s="81" t="s">
        <v>1237</v>
      </c>
      <c r="I6508" s="81" t="s">
        <v>224</v>
      </c>
      <c r="J6508" s="81" t="s">
        <v>6347</v>
      </c>
    </row>
    <row r="6509" hidden="1">
      <c r="A6509" s="83" t="s">
        <v>6428</v>
      </c>
      <c r="B6509" s="83" t="s">
        <v>6429</v>
      </c>
      <c r="C6509" s="81" t="s">
        <v>4082</v>
      </c>
      <c r="D6509" s="83" t="s">
        <v>4316</v>
      </c>
      <c r="E6509" s="81" t="s">
        <v>1313</v>
      </c>
      <c r="F6509" s="81">
        <v>256.0</v>
      </c>
      <c r="G6509" s="81" t="s">
        <v>39</v>
      </c>
      <c r="H6509" s="81" t="s">
        <v>224</v>
      </c>
      <c r="I6509" s="81" t="s">
        <v>224</v>
      </c>
      <c r="J6509" s="81" t="s">
        <v>5515</v>
      </c>
    </row>
    <row r="6510" hidden="1">
      <c r="A6510" s="83" t="s">
        <v>6428</v>
      </c>
      <c r="B6510" s="83" t="s">
        <v>6429</v>
      </c>
      <c r="C6510" s="81" t="s">
        <v>4082</v>
      </c>
      <c r="D6510" s="83" t="s">
        <v>4351</v>
      </c>
      <c r="E6510" s="81" t="s">
        <v>1470</v>
      </c>
      <c r="F6510" s="81">
        <v>283.0</v>
      </c>
      <c r="G6510" s="81" t="s">
        <v>41</v>
      </c>
      <c r="H6510" s="81" t="s">
        <v>55</v>
      </c>
      <c r="I6510" s="81" t="s">
        <v>224</v>
      </c>
      <c r="J6510" s="81" t="s">
        <v>6426</v>
      </c>
    </row>
    <row r="6511" hidden="1">
      <c r="A6511" s="83" t="s">
        <v>6428</v>
      </c>
      <c r="B6511" s="83" t="s">
        <v>6429</v>
      </c>
      <c r="C6511" s="81" t="s">
        <v>4082</v>
      </c>
      <c r="D6511" s="83" t="s">
        <v>4351</v>
      </c>
      <c r="E6511" s="81" t="s">
        <v>1474</v>
      </c>
      <c r="F6511" s="81">
        <v>284.0</v>
      </c>
      <c r="G6511" s="81" t="s">
        <v>41</v>
      </c>
      <c r="H6511" s="81" t="s">
        <v>1476</v>
      </c>
      <c r="I6511" s="81" t="s">
        <v>224</v>
      </c>
      <c r="J6511" s="81" t="s">
        <v>6348</v>
      </c>
    </row>
    <row r="6512" hidden="1">
      <c r="A6512" s="83" t="s">
        <v>6428</v>
      </c>
      <c r="B6512" s="83" t="s">
        <v>6429</v>
      </c>
      <c r="C6512" s="81" t="s">
        <v>4082</v>
      </c>
      <c r="D6512" s="83" t="s">
        <v>4363</v>
      </c>
      <c r="E6512" s="81" t="s">
        <v>1548</v>
      </c>
      <c r="F6512" s="81">
        <v>299.0</v>
      </c>
      <c r="G6512" s="81" t="s">
        <v>41</v>
      </c>
      <c r="H6512" s="81" t="s">
        <v>1550</v>
      </c>
      <c r="I6512" s="81" t="s">
        <v>224</v>
      </c>
      <c r="J6512" s="81" t="s">
        <v>6349</v>
      </c>
    </row>
    <row r="6513" hidden="1">
      <c r="A6513" s="83" t="s">
        <v>6428</v>
      </c>
      <c r="B6513" s="83" t="s">
        <v>6429</v>
      </c>
      <c r="C6513" s="81" t="s">
        <v>4082</v>
      </c>
      <c r="D6513" s="83" t="s">
        <v>4380</v>
      </c>
      <c r="E6513" s="81" t="s">
        <v>1617</v>
      </c>
      <c r="F6513" s="81">
        <v>319.0</v>
      </c>
      <c r="G6513" s="81" t="s">
        <v>39</v>
      </c>
      <c r="H6513" s="81" t="s">
        <v>224</v>
      </c>
      <c r="I6513" s="81" t="s">
        <v>224</v>
      </c>
      <c r="J6513" s="81" t="s">
        <v>5616</v>
      </c>
    </row>
    <row r="6514" hidden="1">
      <c r="A6514" s="83" t="s">
        <v>6428</v>
      </c>
      <c r="B6514" s="83" t="s">
        <v>6429</v>
      </c>
      <c r="C6514" s="81" t="s">
        <v>4082</v>
      </c>
      <c r="D6514" s="83" t="s">
        <v>4389</v>
      </c>
      <c r="E6514" s="81" t="s">
        <v>1678</v>
      </c>
      <c r="F6514" s="81">
        <v>332.0</v>
      </c>
      <c r="G6514" s="81" t="s">
        <v>41</v>
      </c>
      <c r="H6514" s="81" t="s">
        <v>1670</v>
      </c>
      <c r="I6514" s="81" t="s">
        <v>224</v>
      </c>
      <c r="J6514" s="81" t="s">
        <v>6350</v>
      </c>
    </row>
    <row r="6515" hidden="1">
      <c r="A6515" s="83" t="s">
        <v>6428</v>
      </c>
      <c r="B6515" s="83" t="s">
        <v>6429</v>
      </c>
      <c r="C6515" s="81" t="s">
        <v>4082</v>
      </c>
      <c r="D6515" s="83" t="s">
        <v>4391</v>
      </c>
      <c r="E6515" s="81" t="s">
        <v>1682</v>
      </c>
      <c r="F6515" s="81">
        <v>334.0</v>
      </c>
      <c r="G6515" s="81" t="s">
        <v>41</v>
      </c>
      <c r="H6515" s="81" t="s">
        <v>1687</v>
      </c>
      <c r="I6515" s="81" t="s">
        <v>224</v>
      </c>
      <c r="J6515" s="81" t="s">
        <v>6351</v>
      </c>
    </row>
    <row r="6516" hidden="1">
      <c r="A6516" s="83" t="s">
        <v>6428</v>
      </c>
      <c r="B6516" s="83" t="s">
        <v>6429</v>
      </c>
      <c r="C6516" s="81" t="s">
        <v>4082</v>
      </c>
      <c r="D6516" s="83" t="s">
        <v>4393</v>
      </c>
      <c r="E6516" s="81" t="s">
        <v>1690</v>
      </c>
      <c r="F6516" s="81">
        <v>335.0</v>
      </c>
      <c r="G6516" s="81" t="s">
        <v>41</v>
      </c>
      <c r="H6516" s="81" t="s">
        <v>1694</v>
      </c>
      <c r="I6516" s="81" t="s">
        <v>224</v>
      </c>
      <c r="J6516" s="81" t="s">
        <v>6352</v>
      </c>
    </row>
    <row r="6517" hidden="1">
      <c r="A6517" s="83" t="s">
        <v>6428</v>
      </c>
      <c r="B6517" s="83" t="s">
        <v>6429</v>
      </c>
      <c r="C6517" s="81" t="s">
        <v>4082</v>
      </c>
      <c r="D6517" s="83" t="s">
        <v>4406</v>
      </c>
      <c r="E6517" s="81" t="s">
        <v>1760</v>
      </c>
      <c r="F6517" s="81">
        <v>350.0</v>
      </c>
      <c r="G6517" s="81" t="s">
        <v>41</v>
      </c>
      <c r="H6517" s="81" t="s">
        <v>1761</v>
      </c>
      <c r="I6517" s="81" t="s">
        <v>224</v>
      </c>
      <c r="J6517" s="81" t="s">
        <v>6353</v>
      </c>
    </row>
    <row r="6518" hidden="1">
      <c r="A6518" s="83" t="s">
        <v>6428</v>
      </c>
      <c r="B6518" s="83" t="s">
        <v>6429</v>
      </c>
      <c r="C6518" s="81" t="s">
        <v>4621</v>
      </c>
      <c r="D6518" s="83" t="s">
        <v>4417</v>
      </c>
      <c r="E6518" s="81" t="s">
        <v>1825</v>
      </c>
      <c r="F6518" s="81">
        <v>363.0</v>
      </c>
      <c r="G6518" s="81" t="s">
        <v>39</v>
      </c>
      <c r="H6518" s="81" t="s">
        <v>6321</v>
      </c>
      <c r="I6518" s="81" t="s">
        <v>1835</v>
      </c>
      <c r="J6518" s="81" t="s">
        <v>224</v>
      </c>
    </row>
    <row r="6519" hidden="1">
      <c r="A6519" s="83" t="s">
        <v>6428</v>
      </c>
      <c r="B6519" s="83" t="s">
        <v>6429</v>
      </c>
      <c r="C6519" s="81" t="s">
        <v>4621</v>
      </c>
      <c r="D6519" s="83" t="s">
        <v>4417</v>
      </c>
      <c r="E6519" s="81" t="s">
        <v>1825</v>
      </c>
      <c r="F6519" s="81">
        <v>363.0</v>
      </c>
      <c r="G6519" s="81" t="s">
        <v>40</v>
      </c>
      <c r="H6519" s="81" t="s">
        <v>6322</v>
      </c>
      <c r="I6519" s="81" t="s">
        <v>1836</v>
      </c>
      <c r="J6519" s="81" t="s">
        <v>224</v>
      </c>
    </row>
    <row r="6520" hidden="1">
      <c r="A6520" s="83" t="s">
        <v>6428</v>
      </c>
      <c r="B6520" s="83" t="s">
        <v>6429</v>
      </c>
      <c r="C6520" s="81" t="s">
        <v>4621</v>
      </c>
      <c r="D6520" s="83" t="s">
        <v>4417</v>
      </c>
      <c r="E6520" s="81" t="s">
        <v>1842</v>
      </c>
      <c r="F6520" s="81">
        <v>364.0</v>
      </c>
      <c r="G6520" s="81" t="s">
        <v>39</v>
      </c>
      <c r="H6520" s="81" t="s">
        <v>6321</v>
      </c>
      <c r="I6520" s="81" t="s">
        <v>1835</v>
      </c>
      <c r="J6520" s="81" t="s">
        <v>224</v>
      </c>
    </row>
    <row r="6521" hidden="1">
      <c r="A6521" s="83" t="s">
        <v>6428</v>
      </c>
      <c r="B6521" s="83" t="s">
        <v>6429</v>
      </c>
      <c r="C6521" s="81" t="s">
        <v>4621</v>
      </c>
      <c r="D6521" s="83" t="s">
        <v>4417</v>
      </c>
      <c r="E6521" s="81" t="s">
        <v>1842</v>
      </c>
      <c r="F6521" s="81">
        <v>364.0</v>
      </c>
      <c r="G6521" s="81" t="s">
        <v>40</v>
      </c>
      <c r="H6521" s="81" t="s">
        <v>6322</v>
      </c>
      <c r="I6521" s="81" t="s">
        <v>1836</v>
      </c>
      <c r="J6521" s="81" t="s">
        <v>224</v>
      </c>
    </row>
    <row r="6522" hidden="1">
      <c r="A6522" s="83" t="s">
        <v>6428</v>
      </c>
      <c r="B6522" s="83" t="s">
        <v>6429</v>
      </c>
      <c r="C6522" s="81" t="s">
        <v>4621</v>
      </c>
      <c r="D6522" s="83" t="s">
        <v>4419</v>
      </c>
      <c r="E6522" s="81" t="s">
        <v>1843</v>
      </c>
      <c r="F6522" s="81">
        <v>365.0</v>
      </c>
      <c r="G6522" s="81" t="s">
        <v>39</v>
      </c>
      <c r="H6522" s="81" t="s">
        <v>6321</v>
      </c>
      <c r="I6522" s="81" t="s">
        <v>1835</v>
      </c>
      <c r="J6522" s="81" t="s">
        <v>224</v>
      </c>
    </row>
    <row r="6523" hidden="1">
      <c r="A6523" s="83" t="s">
        <v>6428</v>
      </c>
      <c r="B6523" s="83" t="s">
        <v>6429</v>
      </c>
      <c r="C6523" s="81" t="s">
        <v>4621</v>
      </c>
      <c r="D6523" s="83" t="s">
        <v>4419</v>
      </c>
      <c r="E6523" s="81" t="s">
        <v>1843</v>
      </c>
      <c r="F6523" s="81">
        <v>365.0</v>
      </c>
      <c r="G6523" s="81" t="s">
        <v>40</v>
      </c>
      <c r="H6523" s="81" t="s">
        <v>6322</v>
      </c>
      <c r="I6523" s="81" t="s">
        <v>1836</v>
      </c>
      <c r="J6523" s="81" t="s">
        <v>224</v>
      </c>
    </row>
    <row r="6524" hidden="1">
      <c r="A6524" s="83" t="s">
        <v>6428</v>
      </c>
      <c r="B6524" s="83" t="s">
        <v>6429</v>
      </c>
      <c r="C6524" s="81" t="s">
        <v>4621</v>
      </c>
      <c r="D6524" s="83" t="s">
        <v>4420</v>
      </c>
      <c r="E6524" s="81" t="s">
        <v>1844</v>
      </c>
      <c r="F6524" s="81">
        <v>366.0</v>
      </c>
      <c r="G6524" s="81" t="s">
        <v>39</v>
      </c>
      <c r="H6524" s="81" t="s">
        <v>6321</v>
      </c>
      <c r="I6524" s="81" t="s">
        <v>1835</v>
      </c>
      <c r="J6524" s="81" t="s">
        <v>224</v>
      </c>
    </row>
    <row r="6525" hidden="1">
      <c r="A6525" s="83" t="s">
        <v>6428</v>
      </c>
      <c r="B6525" s="83" t="s">
        <v>6429</v>
      </c>
      <c r="C6525" s="81" t="s">
        <v>4621</v>
      </c>
      <c r="D6525" s="83" t="s">
        <v>4420</v>
      </c>
      <c r="E6525" s="81" t="s">
        <v>1844</v>
      </c>
      <c r="F6525" s="81">
        <v>366.0</v>
      </c>
      <c r="G6525" s="81" t="s">
        <v>40</v>
      </c>
      <c r="H6525" s="81" t="s">
        <v>6322</v>
      </c>
      <c r="I6525" s="81" t="s">
        <v>1836</v>
      </c>
      <c r="J6525" s="81" t="s">
        <v>224</v>
      </c>
    </row>
    <row r="6526" hidden="1">
      <c r="A6526" s="83" t="s">
        <v>6428</v>
      </c>
      <c r="B6526" s="83" t="s">
        <v>6429</v>
      </c>
      <c r="C6526" s="81" t="s">
        <v>4621</v>
      </c>
      <c r="D6526" s="83" t="s">
        <v>4421</v>
      </c>
      <c r="E6526" s="81" t="s">
        <v>1848</v>
      </c>
      <c r="F6526" s="81">
        <v>367.0</v>
      </c>
      <c r="G6526" s="81" t="s">
        <v>39</v>
      </c>
      <c r="H6526" s="81" t="s">
        <v>6321</v>
      </c>
      <c r="I6526" s="81" t="s">
        <v>1835</v>
      </c>
      <c r="J6526" s="81" t="s">
        <v>224</v>
      </c>
    </row>
    <row r="6527" hidden="1">
      <c r="A6527" s="83" t="s">
        <v>6428</v>
      </c>
      <c r="B6527" s="83" t="s">
        <v>6429</v>
      </c>
      <c r="C6527" s="81" t="s">
        <v>4621</v>
      </c>
      <c r="D6527" s="83" t="s">
        <v>4421</v>
      </c>
      <c r="E6527" s="81" t="s">
        <v>1848</v>
      </c>
      <c r="F6527" s="81">
        <v>367.0</v>
      </c>
      <c r="G6527" s="81" t="s">
        <v>40</v>
      </c>
      <c r="H6527" s="81" t="s">
        <v>6322</v>
      </c>
      <c r="I6527" s="81" t="s">
        <v>1836</v>
      </c>
      <c r="J6527" s="81" t="s">
        <v>224</v>
      </c>
    </row>
    <row r="6528" hidden="1">
      <c r="A6528" s="83" t="s">
        <v>6428</v>
      </c>
      <c r="B6528" s="83" t="s">
        <v>6429</v>
      </c>
      <c r="C6528" s="81" t="s">
        <v>4621</v>
      </c>
      <c r="D6528" s="83" t="s">
        <v>4422</v>
      </c>
      <c r="E6528" s="81" t="s">
        <v>1849</v>
      </c>
      <c r="F6528" s="81">
        <v>368.0</v>
      </c>
      <c r="G6528" s="81" t="s">
        <v>39</v>
      </c>
      <c r="H6528" s="81" t="s">
        <v>6323</v>
      </c>
      <c r="I6528" s="81" t="s">
        <v>1854</v>
      </c>
      <c r="J6528" s="81" t="s">
        <v>224</v>
      </c>
    </row>
    <row r="6529" hidden="1">
      <c r="A6529" s="83" t="s">
        <v>6428</v>
      </c>
      <c r="B6529" s="83" t="s">
        <v>6429</v>
      </c>
      <c r="C6529" s="81" t="s">
        <v>4621</v>
      </c>
      <c r="D6529" s="83" t="s">
        <v>4422</v>
      </c>
      <c r="E6529" s="81" t="s">
        <v>1849</v>
      </c>
      <c r="F6529" s="81">
        <v>368.0</v>
      </c>
      <c r="G6529" s="81" t="s">
        <v>40</v>
      </c>
      <c r="H6529" s="81" t="s">
        <v>6324</v>
      </c>
      <c r="I6529" s="81" t="s">
        <v>1855</v>
      </c>
      <c r="J6529" s="81" t="s">
        <v>224</v>
      </c>
    </row>
    <row r="6530" hidden="1">
      <c r="A6530" s="83" t="s">
        <v>6428</v>
      </c>
      <c r="B6530" s="83" t="s">
        <v>6429</v>
      </c>
      <c r="C6530" s="81" t="s">
        <v>4621</v>
      </c>
      <c r="D6530" s="83" t="s">
        <v>4423</v>
      </c>
      <c r="E6530" s="81" t="s">
        <v>1860</v>
      </c>
      <c r="F6530" s="81">
        <v>369.0</v>
      </c>
      <c r="G6530" s="81" t="s">
        <v>39</v>
      </c>
      <c r="H6530" s="81" t="s">
        <v>6323</v>
      </c>
      <c r="I6530" s="81" t="s">
        <v>1854</v>
      </c>
      <c r="J6530" s="81" t="s">
        <v>224</v>
      </c>
    </row>
    <row r="6531" hidden="1">
      <c r="A6531" s="83" t="s">
        <v>6428</v>
      </c>
      <c r="B6531" s="83" t="s">
        <v>6429</v>
      </c>
      <c r="C6531" s="81" t="s">
        <v>4621</v>
      </c>
      <c r="D6531" s="83" t="s">
        <v>4423</v>
      </c>
      <c r="E6531" s="81" t="s">
        <v>1860</v>
      </c>
      <c r="F6531" s="81">
        <v>369.0</v>
      </c>
      <c r="G6531" s="81" t="s">
        <v>40</v>
      </c>
      <c r="H6531" s="81" t="s">
        <v>6324</v>
      </c>
      <c r="I6531" s="81" t="s">
        <v>1855</v>
      </c>
      <c r="J6531" s="81" t="s">
        <v>224</v>
      </c>
    </row>
    <row r="6532" hidden="1">
      <c r="A6532" s="83" t="s">
        <v>6428</v>
      </c>
      <c r="B6532" s="83" t="s">
        <v>6429</v>
      </c>
      <c r="C6532" s="81" t="s">
        <v>4621</v>
      </c>
      <c r="D6532" s="83" t="s">
        <v>4424</v>
      </c>
      <c r="E6532" s="81" t="s">
        <v>1861</v>
      </c>
      <c r="F6532" s="81">
        <v>370.0</v>
      </c>
      <c r="G6532" s="81" t="s">
        <v>39</v>
      </c>
      <c r="H6532" s="81" t="s">
        <v>6323</v>
      </c>
      <c r="I6532" s="81" t="s">
        <v>1854</v>
      </c>
      <c r="J6532" s="81" t="s">
        <v>224</v>
      </c>
    </row>
    <row r="6533" hidden="1">
      <c r="A6533" s="83" t="s">
        <v>6428</v>
      </c>
      <c r="B6533" s="83" t="s">
        <v>6429</v>
      </c>
      <c r="C6533" s="81" t="s">
        <v>4621</v>
      </c>
      <c r="D6533" s="83" t="s">
        <v>4424</v>
      </c>
      <c r="E6533" s="81" t="s">
        <v>1861</v>
      </c>
      <c r="F6533" s="81">
        <v>370.0</v>
      </c>
      <c r="G6533" s="81" t="s">
        <v>40</v>
      </c>
      <c r="H6533" s="81" t="s">
        <v>6324</v>
      </c>
      <c r="I6533" s="81" t="s">
        <v>1855</v>
      </c>
      <c r="J6533" s="81" t="s">
        <v>224</v>
      </c>
    </row>
    <row r="6534" hidden="1">
      <c r="A6534" s="83" t="s">
        <v>6428</v>
      </c>
      <c r="B6534" s="83" t="s">
        <v>6429</v>
      </c>
      <c r="C6534" s="81" t="s">
        <v>4621</v>
      </c>
      <c r="D6534" s="83" t="s">
        <v>4425</v>
      </c>
      <c r="E6534" s="81" t="s">
        <v>1863</v>
      </c>
      <c r="F6534" s="81">
        <v>371.0</v>
      </c>
      <c r="G6534" s="81" t="s">
        <v>39</v>
      </c>
      <c r="H6534" s="81" t="s">
        <v>6323</v>
      </c>
      <c r="I6534" s="81" t="s">
        <v>1854</v>
      </c>
      <c r="J6534" s="81" t="s">
        <v>224</v>
      </c>
    </row>
    <row r="6535" hidden="1">
      <c r="A6535" s="83" t="s">
        <v>6428</v>
      </c>
      <c r="B6535" s="83" t="s">
        <v>6429</v>
      </c>
      <c r="C6535" s="81" t="s">
        <v>4621</v>
      </c>
      <c r="D6535" s="83" t="s">
        <v>4425</v>
      </c>
      <c r="E6535" s="81" t="s">
        <v>1863</v>
      </c>
      <c r="F6535" s="81">
        <v>371.0</v>
      </c>
      <c r="G6535" s="81" t="s">
        <v>40</v>
      </c>
      <c r="H6535" s="81" t="s">
        <v>6324</v>
      </c>
      <c r="I6535" s="81" t="s">
        <v>1855</v>
      </c>
      <c r="J6535" s="81" t="s">
        <v>224</v>
      </c>
    </row>
    <row r="6536" hidden="1">
      <c r="A6536" s="83" t="s">
        <v>6428</v>
      </c>
      <c r="B6536" s="83" t="s">
        <v>6429</v>
      </c>
      <c r="C6536" s="81" t="s">
        <v>4621</v>
      </c>
      <c r="D6536" s="83" t="s">
        <v>4426</v>
      </c>
      <c r="E6536" s="81" t="s">
        <v>1864</v>
      </c>
      <c r="F6536" s="81">
        <v>372.0</v>
      </c>
      <c r="G6536" s="81" t="s">
        <v>39</v>
      </c>
      <c r="H6536" s="81" t="s">
        <v>6325</v>
      </c>
      <c r="I6536" s="81" t="s">
        <v>1868</v>
      </c>
      <c r="J6536" s="81" t="s">
        <v>224</v>
      </c>
    </row>
    <row r="6537" hidden="1">
      <c r="A6537" s="83" t="s">
        <v>6428</v>
      </c>
      <c r="B6537" s="83" t="s">
        <v>6429</v>
      </c>
      <c r="C6537" s="81" t="s">
        <v>4621</v>
      </c>
      <c r="D6537" s="83" t="s">
        <v>4426</v>
      </c>
      <c r="E6537" s="81" t="s">
        <v>1864</v>
      </c>
      <c r="F6537" s="81">
        <v>372.0</v>
      </c>
      <c r="G6537" s="81" t="s">
        <v>40</v>
      </c>
      <c r="H6537" s="81" t="s">
        <v>6326</v>
      </c>
      <c r="I6537" s="81" t="s">
        <v>1869</v>
      </c>
      <c r="J6537" s="81" t="s">
        <v>224</v>
      </c>
    </row>
    <row r="6538" hidden="1">
      <c r="A6538" s="83" t="s">
        <v>6428</v>
      </c>
      <c r="B6538" s="83" t="s">
        <v>6429</v>
      </c>
      <c r="C6538" s="81" t="s">
        <v>4082</v>
      </c>
      <c r="D6538" s="83" t="s">
        <v>4429</v>
      </c>
      <c r="E6538" s="81" t="s">
        <v>1900</v>
      </c>
      <c r="F6538" s="81">
        <v>375.0</v>
      </c>
      <c r="G6538" s="81" t="s">
        <v>39</v>
      </c>
      <c r="H6538" s="81" t="s">
        <v>224</v>
      </c>
      <c r="I6538" s="81" t="s">
        <v>224</v>
      </c>
      <c r="J6538" s="81" t="s">
        <v>5711</v>
      </c>
    </row>
    <row r="6539" hidden="1">
      <c r="A6539" s="83" t="s">
        <v>6428</v>
      </c>
      <c r="B6539" s="83" t="s">
        <v>6429</v>
      </c>
      <c r="C6539" s="81" t="s">
        <v>4082</v>
      </c>
      <c r="D6539" s="83" t="s">
        <v>4475</v>
      </c>
      <c r="E6539" s="81" t="s">
        <v>2225</v>
      </c>
      <c r="F6539" s="81">
        <v>426.0</v>
      </c>
      <c r="G6539" s="81" t="s">
        <v>41</v>
      </c>
      <c r="H6539" s="81" t="s">
        <v>2226</v>
      </c>
      <c r="I6539" s="81" t="s">
        <v>224</v>
      </c>
      <c r="J6539" s="81" t="s">
        <v>6354</v>
      </c>
    </row>
    <row r="6540" hidden="1">
      <c r="A6540" s="83" t="s">
        <v>6428</v>
      </c>
      <c r="B6540" s="83" t="s">
        <v>6429</v>
      </c>
      <c r="C6540" s="81" t="s">
        <v>4082</v>
      </c>
      <c r="D6540" s="83" t="s">
        <v>4490</v>
      </c>
      <c r="E6540" s="81" t="s">
        <v>2295</v>
      </c>
      <c r="F6540" s="81">
        <v>440.0</v>
      </c>
      <c r="G6540" s="81" t="s">
        <v>41</v>
      </c>
      <c r="H6540" s="81" t="s">
        <v>2296</v>
      </c>
      <c r="I6540" s="81" t="s">
        <v>224</v>
      </c>
      <c r="J6540" s="81" t="s">
        <v>6355</v>
      </c>
    </row>
    <row r="6541" hidden="1">
      <c r="A6541" s="83" t="s">
        <v>6428</v>
      </c>
      <c r="B6541" s="83" t="s">
        <v>6429</v>
      </c>
      <c r="C6541" s="81" t="s">
        <v>4621</v>
      </c>
      <c r="D6541" s="83" t="s">
        <v>4503</v>
      </c>
      <c r="E6541" s="81" t="s">
        <v>2334</v>
      </c>
      <c r="F6541" s="81">
        <v>452.0</v>
      </c>
      <c r="G6541" s="81" t="s">
        <v>39</v>
      </c>
      <c r="H6541" s="81" t="s">
        <v>6325</v>
      </c>
      <c r="I6541" s="81" t="s">
        <v>1868</v>
      </c>
      <c r="J6541" s="81" t="s">
        <v>224</v>
      </c>
    </row>
    <row r="6542" hidden="1">
      <c r="A6542" s="83" t="s">
        <v>6428</v>
      </c>
      <c r="B6542" s="83" t="s">
        <v>6429</v>
      </c>
      <c r="C6542" s="81" t="s">
        <v>4621</v>
      </c>
      <c r="D6542" s="83" t="s">
        <v>4503</v>
      </c>
      <c r="E6542" s="81" t="s">
        <v>2334</v>
      </c>
      <c r="F6542" s="81">
        <v>452.0</v>
      </c>
      <c r="G6542" s="81" t="s">
        <v>40</v>
      </c>
      <c r="H6542" s="81" t="s">
        <v>6326</v>
      </c>
      <c r="I6542" s="81" t="s">
        <v>1869</v>
      </c>
      <c r="J6542" s="81" t="s">
        <v>224</v>
      </c>
    </row>
    <row r="6543" hidden="1">
      <c r="A6543" s="83" t="s">
        <v>6428</v>
      </c>
      <c r="B6543" s="83" t="s">
        <v>6429</v>
      </c>
      <c r="C6543" s="81" t="s">
        <v>4621</v>
      </c>
      <c r="D6543" s="83" t="s">
        <v>4504</v>
      </c>
      <c r="E6543" s="81" t="s">
        <v>2335</v>
      </c>
      <c r="F6543" s="81">
        <v>453.0</v>
      </c>
      <c r="G6543" s="81" t="s">
        <v>39</v>
      </c>
      <c r="H6543" s="81" t="s">
        <v>6325</v>
      </c>
      <c r="I6543" s="81" t="s">
        <v>1868</v>
      </c>
      <c r="J6543" s="81" t="s">
        <v>224</v>
      </c>
    </row>
    <row r="6544" hidden="1">
      <c r="A6544" s="83" t="s">
        <v>6428</v>
      </c>
      <c r="B6544" s="83" t="s">
        <v>6429</v>
      </c>
      <c r="C6544" s="81" t="s">
        <v>4621</v>
      </c>
      <c r="D6544" s="83" t="s">
        <v>4504</v>
      </c>
      <c r="E6544" s="81" t="s">
        <v>2335</v>
      </c>
      <c r="F6544" s="81">
        <v>453.0</v>
      </c>
      <c r="G6544" s="81" t="s">
        <v>40</v>
      </c>
      <c r="H6544" s="81" t="s">
        <v>6326</v>
      </c>
      <c r="I6544" s="81" t="s">
        <v>1869</v>
      </c>
      <c r="J6544" s="81" t="s">
        <v>224</v>
      </c>
    </row>
    <row r="6545" hidden="1">
      <c r="A6545" s="83" t="s">
        <v>6428</v>
      </c>
      <c r="B6545" s="83" t="s">
        <v>6429</v>
      </c>
      <c r="C6545" s="81" t="s">
        <v>4621</v>
      </c>
      <c r="D6545" s="83" t="s">
        <v>4505</v>
      </c>
      <c r="E6545" s="81" t="s">
        <v>2337</v>
      </c>
      <c r="F6545" s="81">
        <v>454.0</v>
      </c>
      <c r="G6545" s="81" t="s">
        <v>39</v>
      </c>
      <c r="H6545" s="81" t="s">
        <v>6325</v>
      </c>
      <c r="I6545" s="81" t="s">
        <v>1868</v>
      </c>
      <c r="J6545" s="81" t="s">
        <v>224</v>
      </c>
    </row>
    <row r="6546" hidden="1">
      <c r="A6546" s="83" t="s">
        <v>6428</v>
      </c>
      <c r="B6546" s="83" t="s">
        <v>6429</v>
      </c>
      <c r="C6546" s="81" t="s">
        <v>4621</v>
      </c>
      <c r="D6546" s="83" t="s">
        <v>4505</v>
      </c>
      <c r="E6546" s="81" t="s">
        <v>2337</v>
      </c>
      <c r="F6546" s="81">
        <v>454.0</v>
      </c>
      <c r="G6546" s="81" t="s">
        <v>40</v>
      </c>
      <c r="H6546" s="81" t="s">
        <v>6326</v>
      </c>
      <c r="I6546" s="81" t="s">
        <v>1869</v>
      </c>
      <c r="J6546" s="81" t="s">
        <v>224</v>
      </c>
    </row>
    <row r="6547" hidden="1">
      <c r="A6547" s="83" t="s">
        <v>6428</v>
      </c>
      <c r="B6547" s="83" t="s">
        <v>6429</v>
      </c>
      <c r="C6547" s="81" t="s">
        <v>4082</v>
      </c>
      <c r="D6547" s="83" t="s">
        <v>4558</v>
      </c>
      <c r="E6547" s="81" t="s">
        <v>2619</v>
      </c>
      <c r="F6547" s="81">
        <v>504.0</v>
      </c>
      <c r="G6547" s="81" t="s">
        <v>41</v>
      </c>
      <c r="H6547" s="81" t="s">
        <v>2629</v>
      </c>
      <c r="I6547" s="81" t="s">
        <v>224</v>
      </c>
      <c r="J6547" s="81" t="s">
        <v>6356</v>
      </c>
    </row>
    <row r="6548" hidden="1">
      <c r="A6548" s="83" t="s">
        <v>6428</v>
      </c>
      <c r="B6548" s="83" t="s">
        <v>6429</v>
      </c>
      <c r="C6548" s="81" t="s">
        <v>4082</v>
      </c>
      <c r="D6548" s="83" t="s">
        <v>4608</v>
      </c>
      <c r="E6548" s="81" t="s">
        <v>2906</v>
      </c>
      <c r="F6548" s="81">
        <v>560.0</v>
      </c>
      <c r="G6548" s="81" t="s">
        <v>41</v>
      </c>
      <c r="H6548" s="81" t="s">
        <v>2907</v>
      </c>
      <c r="I6548" s="81" t="s">
        <v>224</v>
      </c>
      <c r="J6548" s="81" t="s">
        <v>6357</v>
      </c>
    </row>
    <row r="6549" hidden="1">
      <c r="A6549" s="83" t="s">
        <v>6428</v>
      </c>
      <c r="B6549" s="83" t="s">
        <v>6429</v>
      </c>
      <c r="C6549" s="81" t="s">
        <v>4082</v>
      </c>
      <c r="D6549" s="83" t="s">
        <v>4682</v>
      </c>
      <c r="E6549" s="81" t="s">
        <v>3226</v>
      </c>
      <c r="F6549" s="81">
        <v>613.0</v>
      </c>
      <c r="G6549" s="81" t="s">
        <v>39</v>
      </c>
      <c r="H6549" s="81" t="s">
        <v>224</v>
      </c>
      <c r="I6549" s="81" t="s">
        <v>224</v>
      </c>
      <c r="J6549" s="81" t="s">
        <v>6052</v>
      </c>
    </row>
    <row r="6550" hidden="1">
      <c r="A6550" s="83" t="s">
        <v>6428</v>
      </c>
      <c r="B6550" s="83" t="s">
        <v>6429</v>
      </c>
      <c r="C6550" s="81" t="s">
        <v>4082</v>
      </c>
      <c r="D6550" s="83" t="s">
        <v>4707</v>
      </c>
      <c r="E6550" s="81" t="s">
        <v>3362</v>
      </c>
      <c r="F6550" s="81">
        <v>641.0</v>
      </c>
      <c r="G6550" s="81" t="s">
        <v>39</v>
      </c>
      <c r="H6550" s="81" t="s">
        <v>224</v>
      </c>
      <c r="I6550" s="81" t="s">
        <v>224</v>
      </c>
      <c r="J6550" s="81" t="s">
        <v>6096</v>
      </c>
    </row>
    <row r="6551" hidden="1">
      <c r="A6551" s="83" t="s">
        <v>6428</v>
      </c>
      <c r="B6551" s="83" t="s">
        <v>6429</v>
      </c>
      <c r="C6551" s="81" t="s">
        <v>4082</v>
      </c>
      <c r="D6551" s="83" t="s">
        <v>4709</v>
      </c>
      <c r="E6551" s="81" t="s">
        <v>3370</v>
      </c>
      <c r="F6551" s="81">
        <v>643.0</v>
      </c>
      <c r="G6551" s="81" t="s">
        <v>39</v>
      </c>
      <c r="H6551" s="81" t="s">
        <v>224</v>
      </c>
      <c r="I6551" s="81" t="s">
        <v>224</v>
      </c>
      <c r="J6551" s="81" t="s">
        <v>6101</v>
      </c>
    </row>
    <row r="6552" hidden="1">
      <c r="A6552" s="83" t="s">
        <v>6428</v>
      </c>
      <c r="B6552" s="83" t="s">
        <v>6429</v>
      </c>
      <c r="C6552" s="81" t="s">
        <v>4621</v>
      </c>
      <c r="D6552" s="83" t="s">
        <v>4257</v>
      </c>
      <c r="E6552" s="81" t="s">
        <v>1025</v>
      </c>
      <c r="F6552" s="81">
        <v>789.0</v>
      </c>
      <c r="G6552" s="81" t="s">
        <v>39</v>
      </c>
      <c r="H6552" s="81" t="s">
        <v>5399</v>
      </c>
      <c r="I6552" s="81" t="s">
        <v>1021</v>
      </c>
      <c r="J6552" s="81" t="s">
        <v>224</v>
      </c>
    </row>
    <row r="6553" hidden="1">
      <c r="A6553" s="83" t="s">
        <v>6428</v>
      </c>
      <c r="B6553" s="83" t="s">
        <v>6429</v>
      </c>
      <c r="C6553" s="81" t="s">
        <v>4621</v>
      </c>
      <c r="D6553" s="83" t="s">
        <v>4257</v>
      </c>
      <c r="E6553" s="81" t="s">
        <v>1025</v>
      </c>
      <c r="F6553" s="81">
        <v>789.0</v>
      </c>
      <c r="G6553" s="81" t="s">
        <v>40</v>
      </c>
      <c r="H6553" s="81" t="s">
        <v>5401</v>
      </c>
      <c r="I6553" s="81" t="s">
        <v>1022</v>
      </c>
      <c r="J6553" s="81" t="s">
        <v>224</v>
      </c>
    </row>
    <row r="6554" hidden="1">
      <c r="A6554" s="83" t="s">
        <v>6428</v>
      </c>
      <c r="B6554" s="83" t="s">
        <v>6429</v>
      </c>
      <c r="C6554" s="81" t="s">
        <v>4082</v>
      </c>
      <c r="D6554" s="83" t="s">
        <v>4844</v>
      </c>
      <c r="E6554" s="81" t="s">
        <v>3998</v>
      </c>
      <c r="F6554" s="81">
        <v>791.0</v>
      </c>
      <c r="G6554" s="81" t="s">
        <v>39</v>
      </c>
      <c r="H6554" s="81" t="s">
        <v>224</v>
      </c>
      <c r="I6554" s="81" t="s">
        <v>224</v>
      </c>
      <c r="J6554" s="81" t="s">
        <v>6440</v>
      </c>
    </row>
    <row r="6555" hidden="1">
      <c r="A6555" s="83" t="s">
        <v>6428</v>
      </c>
      <c r="B6555" s="83" t="s">
        <v>6429</v>
      </c>
      <c r="C6555" s="81" t="s">
        <v>6333</v>
      </c>
      <c r="D6555" s="83" t="s">
        <v>4844</v>
      </c>
      <c r="E6555" s="81" t="s">
        <v>3998</v>
      </c>
      <c r="F6555" s="81">
        <v>791.0</v>
      </c>
      <c r="G6555" s="81" t="s">
        <v>39</v>
      </c>
      <c r="H6555" s="81" t="s">
        <v>6310</v>
      </c>
      <c r="I6555" s="81" t="s">
        <v>224</v>
      </c>
      <c r="J6555" s="81" t="s">
        <v>5143</v>
      </c>
    </row>
    <row r="6556" hidden="1">
      <c r="A6556" s="83" t="s">
        <v>6428</v>
      </c>
      <c r="B6556" s="83" t="s">
        <v>6429</v>
      </c>
      <c r="C6556" s="81" t="s">
        <v>4621</v>
      </c>
      <c r="D6556" s="83" t="s">
        <v>4844</v>
      </c>
      <c r="E6556" s="81" t="s">
        <v>3998</v>
      </c>
      <c r="F6556" s="81">
        <v>791.0</v>
      </c>
      <c r="G6556" s="81" t="s">
        <v>40</v>
      </c>
      <c r="H6556" s="81" t="s">
        <v>6311</v>
      </c>
      <c r="I6556" s="81" t="s">
        <v>3997</v>
      </c>
      <c r="J6556" s="81" t="s">
        <v>224</v>
      </c>
    </row>
    <row r="6557" hidden="1">
      <c r="A6557" s="83" t="s">
        <v>6428</v>
      </c>
      <c r="B6557" s="83" t="s">
        <v>6429</v>
      </c>
      <c r="C6557" s="81" t="s">
        <v>4082</v>
      </c>
      <c r="D6557" s="83" t="s">
        <v>4845</v>
      </c>
      <c r="E6557" s="81" t="s">
        <v>4002</v>
      </c>
      <c r="F6557" s="81">
        <v>792.0</v>
      </c>
      <c r="G6557" s="81" t="s">
        <v>39</v>
      </c>
      <c r="H6557" s="81" t="s">
        <v>224</v>
      </c>
      <c r="I6557" s="81" t="s">
        <v>224</v>
      </c>
      <c r="J6557" s="81" t="s">
        <v>6441</v>
      </c>
    </row>
    <row r="6558" hidden="1">
      <c r="A6558" s="83" t="s">
        <v>6428</v>
      </c>
      <c r="B6558" s="83" t="s">
        <v>6429</v>
      </c>
      <c r="C6558" s="81" t="s">
        <v>6333</v>
      </c>
      <c r="D6558" s="83" t="s">
        <v>4845</v>
      </c>
      <c r="E6558" s="81" t="s">
        <v>4002</v>
      </c>
      <c r="F6558" s="81">
        <v>792.0</v>
      </c>
      <c r="G6558" s="81" t="s">
        <v>39</v>
      </c>
      <c r="H6558" s="81" t="s">
        <v>6312</v>
      </c>
      <c r="I6558" s="81" t="s">
        <v>224</v>
      </c>
      <c r="J6558" s="81" t="s">
        <v>5143</v>
      </c>
    </row>
    <row r="6559" hidden="1">
      <c r="A6559" s="83" t="s">
        <v>6428</v>
      </c>
      <c r="B6559" s="83" t="s">
        <v>6429</v>
      </c>
      <c r="C6559" s="81" t="s">
        <v>4621</v>
      </c>
      <c r="D6559" s="83" t="s">
        <v>4845</v>
      </c>
      <c r="E6559" s="81" t="s">
        <v>4002</v>
      </c>
      <c r="F6559" s="81">
        <v>792.0</v>
      </c>
      <c r="G6559" s="81" t="s">
        <v>40</v>
      </c>
      <c r="H6559" s="81" t="s">
        <v>6313</v>
      </c>
      <c r="I6559" s="81" t="s">
        <v>4003</v>
      </c>
      <c r="J6559" s="81" t="s">
        <v>224</v>
      </c>
    </row>
    <row r="6560" hidden="1">
      <c r="A6560" s="83" t="s">
        <v>6428</v>
      </c>
      <c r="B6560" s="83" t="s">
        <v>6429</v>
      </c>
      <c r="C6560" s="81" t="s">
        <v>4082</v>
      </c>
      <c r="D6560" s="83" t="s">
        <v>4846</v>
      </c>
      <c r="E6560" s="81" t="s">
        <v>1133</v>
      </c>
      <c r="F6560" s="81">
        <v>793.0</v>
      </c>
      <c r="G6560" s="81" t="s">
        <v>39</v>
      </c>
      <c r="H6560" s="81" t="s">
        <v>224</v>
      </c>
      <c r="I6560" s="81" t="s">
        <v>224</v>
      </c>
      <c r="J6560" s="81" t="s">
        <v>6442</v>
      </c>
    </row>
    <row r="6561" hidden="1">
      <c r="A6561" s="83" t="s">
        <v>6428</v>
      </c>
      <c r="B6561" s="83" t="s">
        <v>6429</v>
      </c>
      <c r="C6561" s="81" t="s">
        <v>6333</v>
      </c>
      <c r="D6561" s="83" t="s">
        <v>4846</v>
      </c>
      <c r="E6561" s="81" t="s">
        <v>1133</v>
      </c>
      <c r="F6561" s="81">
        <v>793.0</v>
      </c>
      <c r="G6561" s="81" t="s">
        <v>39</v>
      </c>
      <c r="H6561" s="81" t="s">
        <v>6314</v>
      </c>
      <c r="I6561" s="81" t="s">
        <v>224</v>
      </c>
      <c r="J6561" s="81" t="s">
        <v>5143</v>
      </c>
    </row>
    <row r="6562" hidden="1">
      <c r="A6562" s="83" t="s">
        <v>6428</v>
      </c>
      <c r="B6562" s="83" t="s">
        <v>6429</v>
      </c>
      <c r="C6562" s="81" t="s">
        <v>4621</v>
      </c>
      <c r="D6562" s="83" t="s">
        <v>4846</v>
      </c>
      <c r="E6562" s="81" t="s">
        <v>1133</v>
      </c>
      <c r="F6562" s="81">
        <v>793.0</v>
      </c>
      <c r="G6562" s="81" t="s">
        <v>40</v>
      </c>
      <c r="H6562" s="81" t="s">
        <v>6315</v>
      </c>
      <c r="I6562" s="81" t="s">
        <v>3997</v>
      </c>
      <c r="J6562" s="81" t="s">
        <v>224</v>
      </c>
    </row>
    <row r="6563" hidden="1">
      <c r="A6563" s="83" t="s">
        <v>6428</v>
      </c>
      <c r="B6563" s="83" t="s">
        <v>6429</v>
      </c>
      <c r="C6563" s="81" t="s">
        <v>4082</v>
      </c>
      <c r="D6563" s="83" t="s">
        <v>4847</v>
      </c>
      <c r="E6563" s="81" t="s">
        <v>4005</v>
      </c>
      <c r="F6563" s="81">
        <v>794.0</v>
      </c>
      <c r="G6563" s="81" t="s">
        <v>39</v>
      </c>
      <c r="H6563" s="81" t="s">
        <v>224</v>
      </c>
      <c r="I6563" s="81" t="s">
        <v>224</v>
      </c>
      <c r="J6563" s="81" t="s">
        <v>6316</v>
      </c>
    </row>
    <row r="6564" hidden="1">
      <c r="A6564" s="83" t="s">
        <v>6428</v>
      </c>
      <c r="B6564" s="83" t="s">
        <v>6429</v>
      </c>
      <c r="C6564" s="81" t="s">
        <v>4621</v>
      </c>
      <c r="D6564" s="83" t="s">
        <v>4847</v>
      </c>
      <c r="E6564" s="81" t="s">
        <v>4005</v>
      </c>
      <c r="F6564" s="81">
        <v>794.0</v>
      </c>
      <c r="G6564" s="81" t="s">
        <v>40</v>
      </c>
      <c r="H6564" s="81" t="s">
        <v>6329</v>
      </c>
      <c r="I6564" s="81" t="s">
        <v>4003</v>
      </c>
      <c r="J6564" s="81" t="s">
        <v>224</v>
      </c>
    </row>
    <row r="6565" hidden="1">
      <c r="A6565" s="83" t="s">
        <v>6428</v>
      </c>
      <c r="B6565" s="83" t="s">
        <v>6429</v>
      </c>
      <c r="C6565" s="81" t="s">
        <v>4082</v>
      </c>
      <c r="D6565" s="83" t="s">
        <v>4848</v>
      </c>
      <c r="E6565" s="81" t="s">
        <v>1142</v>
      </c>
      <c r="F6565" s="81">
        <v>795.0</v>
      </c>
      <c r="G6565" s="81" t="s">
        <v>39</v>
      </c>
      <c r="H6565" s="81" t="s">
        <v>224</v>
      </c>
      <c r="I6565" s="81" t="s">
        <v>224</v>
      </c>
      <c r="J6565" s="81" t="s">
        <v>6443</v>
      </c>
    </row>
    <row r="6566" hidden="1">
      <c r="A6566" s="83" t="s">
        <v>6428</v>
      </c>
      <c r="B6566" s="83" t="s">
        <v>6429</v>
      </c>
      <c r="C6566" s="81" t="s">
        <v>4621</v>
      </c>
      <c r="D6566" s="83" t="s">
        <v>4848</v>
      </c>
      <c r="E6566" s="81" t="s">
        <v>1142</v>
      </c>
      <c r="F6566" s="81">
        <v>795.0</v>
      </c>
      <c r="G6566" s="81" t="s">
        <v>40</v>
      </c>
      <c r="H6566" s="81" t="s">
        <v>224</v>
      </c>
      <c r="I6566" s="81" t="s">
        <v>3997</v>
      </c>
      <c r="J6566" s="81" t="s">
        <v>224</v>
      </c>
    </row>
    <row r="6567" hidden="1">
      <c r="A6567" s="83" t="s">
        <v>6428</v>
      </c>
      <c r="B6567" s="83" t="s">
        <v>6429</v>
      </c>
      <c r="C6567" s="81" t="s">
        <v>4082</v>
      </c>
      <c r="D6567" s="83" t="s">
        <v>4850</v>
      </c>
      <c r="E6567" s="81" t="s">
        <v>1138</v>
      </c>
      <c r="F6567" s="81">
        <v>796.0</v>
      </c>
      <c r="G6567" s="81" t="s">
        <v>39</v>
      </c>
      <c r="H6567" s="81" t="s">
        <v>224</v>
      </c>
      <c r="I6567" s="81" t="s">
        <v>224</v>
      </c>
      <c r="J6567" s="81" t="s">
        <v>6444</v>
      </c>
    </row>
    <row r="6568" hidden="1">
      <c r="A6568" s="83" t="s">
        <v>6428</v>
      </c>
      <c r="B6568" s="83" t="s">
        <v>6429</v>
      </c>
      <c r="C6568" s="81" t="s">
        <v>4621</v>
      </c>
      <c r="D6568" s="83" t="s">
        <v>4850</v>
      </c>
      <c r="E6568" s="81" t="s">
        <v>1138</v>
      </c>
      <c r="F6568" s="81">
        <v>796.0</v>
      </c>
      <c r="G6568" s="81" t="s">
        <v>40</v>
      </c>
      <c r="H6568" s="81" t="s">
        <v>224</v>
      </c>
      <c r="I6568" s="81" t="s">
        <v>4003</v>
      </c>
      <c r="J6568" s="81" t="s">
        <v>224</v>
      </c>
    </row>
    <row r="6569" hidden="1">
      <c r="A6569" s="83" t="s">
        <v>6428</v>
      </c>
      <c r="B6569" s="83" t="s">
        <v>6429</v>
      </c>
      <c r="C6569" s="81" t="s">
        <v>4621</v>
      </c>
      <c r="D6569" s="83" t="s">
        <v>4861</v>
      </c>
      <c r="E6569" s="81" t="s">
        <v>4007</v>
      </c>
      <c r="F6569" s="81">
        <v>797.0</v>
      </c>
      <c r="G6569" s="81" t="s">
        <v>41</v>
      </c>
      <c r="H6569" s="81" t="s">
        <v>3529</v>
      </c>
      <c r="I6569" s="81" t="s">
        <v>3536</v>
      </c>
      <c r="J6569" s="81" t="s">
        <v>6343</v>
      </c>
    </row>
    <row r="6570" hidden="1">
      <c r="A6570" s="83" t="s">
        <v>6428</v>
      </c>
      <c r="B6570" s="83" t="s">
        <v>6429</v>
      </c>
      <c r="C6570" s="81" t="s">
        <v>4621</v>
      </c>
      <c r="D6570" s="83" t="s">
        <v>4862</v>
      </c>
      <c r="E6570" s="81" t="s">
        <v>4011</v>
      </c>
      <c r="F6570" s="81">
        <v>798.0</v>
      </c>
      <c r="G6570" s="81" t="s">
        <v>39</v>
      </c>
      <c r="H6570" s="81" t="s">
        <v>224</v>
      </c>
      <c r="I6570" s="81" t="s">
        <v>1835</v>
      </c>
      <c r="J6570" s="81" t="s">
        <v>224</v>
      </c>
    </row>
    <row r="6571" hidden="1">
      <c r="A6571" s="83" t="s">
        <v>6428</v>
      </c>
      <c r="B6571" s="83" t="s">
        <v>6429</v>
      </c>
      <c r="C6571" s="81" t="s">
        <v>4621</v>
      </c>
      <c r="D6571" s="83" t="s">
        <v>4862</v>
      </c>
      <c r="E6571" s="81" t="s">
        <v>4011</v>
      </c>
      <c r="F6571" s="81">
        <v>798.0</v>
      </c>
      <c r="G6571" s="81" t="s">
        <v>40</v>
      </c>
      <c r="H6571" s="81" t="s">
        <v>224</v>
      </c>
      <c r="I6571" s="81" t="s">
        <v>1836</v>
      </c>
      <c r="J6571" s="81" t="s">
        <v>224</v>
      </c>
    </row>
    <row r="6572" hidden="1">
      <c r="A6572" s="83" t="s">
        <v>6428</v>
      </c>
      <c r="B6572" s="83" t="s">
        <v>6429</v>
      </c>
      <c r="C6572" s="81" t="s">
        <v>4621</v>
      </c>
      <c r="D6572" s="83" t="s">
        <v>4862</v>
      </c>
      <c r="E6572" s="81" t="s">
        <v>4011</v>
      </c>
      <c r="F6572" s="81">
        <v>798.0</v>
      </c>
      <c r="G6572" s="81" t="s">
        <v>42</v>
      </c>
      <c r="H6572" s="81" t="s">
        <v>224</v>
      </c>
      <c r="I6572" s="81" t="s">
        <v>1838</v>
      </c>
      <c r="J6572" s="81" t="s">
        <v>224</v>
      </c>
    </row>
    <row r="6573" hidden="1">
      <c r="A6573" s="83" t="s">
        <v>6428</v>
      </c>
      <c r="B6573" s="83" t="s">
        <v>6429</v>
      </c>
      <c r="C6573" s="81" t="s">
        <v>4621</v>
      </c>
      <c r="D6573" s="83" t="s">
        <v>4862</v>
      </c>
      <c r="E6573" s="81" t="s">
        <v>4011</v>
      </c>
      <c r="F6573" s="81">
        <v>798.0</v>
      </c>
      <c r="G6573" s="81" t="s">
        <v>41</v>
      </c>
      <c r="H6573" s="81" t="s">
        <v>1825</v>
      </c>
      <c r="I6573" s="81" t="s">
        <v>1837</v>
      </c>
      <c r="J6573" s="81" t="s">
        <v>6343</v>
      </c>
    </row>
    <row r="6574" hidden="1">
      <c r="A6574" s="83" t="s">
        <v>6428</v>
      </c>
      <c r="B6574" s="83" t="s">
        <v>6429</v>
      </c>
      <c r="C6574" s="81" t="s">
        <v>4621</v>
      </c>
      <c r="D6574" s="83" t="s">
        <v>4863</v>
      </c>
      <c r="E6574" s="81" t="s">
        <v>4014</v>
      </c>
      <c r="F6574" s="81">
        <v>799.0</v>
      </c>
      <c r="G6574" s="81" t="s">
        <v>39</v>
      </c>
      <c r="H6574" s="81" t="s">
        <v>224</v>
      </c>
      <c r="I6574" s="81" t="s">
        <v>1868</v>
      </c>
      <c r="J6574" s="81" t="s">
        <v>224</v>
      </c>
    </row>
    <row r="6575" hidden="1">
      <c r="A6575" s="83" t="s">
        <v>6428</v>
      </c>
      <c r="B6575" s="83" t="s">
        <v>6429</v>
      </c>
      <c r="C6575" s="81" t="s">
        <v>4621</v>
      </c>
      <c r="D6575" s="83" t="s">
        <v>4863</v>
      </c>
      <c r="E6575" s="81" t="s">
        <v>4014</v>
      </c>
      <c r="F6575" s="81">
        <v>799.0</v>
      </c>
      <c r="G6575" s="81" t="s">
        <v>40</v>
      </c>
      <c r="H6575" s="81" t="s">
        <v>224</v>
      </c>
      <c r="I6575" s="81" t="s">
        <v>4015</v>
      </c>
      <c r="J6575" s="81" t="s">
        <v>224</v>
      </c>
    </row>
    <row r="6576" hidden="1">
      <c r="A6576" s="83" t="s">
        <v>6428</v>
      </c>
      <c r="B6576" s="83" t="s">
        <v>6429</v>
      </c>
      <c r="C6576" s="81" t="s">
        <v>4621</v>
      </c>
      <c r="D6576" s="83" t="s">
        <v>4863</v>
      </c>
      <c r="E6576" s="81" t="s">
        <v>4014</v>
      </c>
      <c r="F6576" s="81">
        <v>799.0</v>
      </c>
      <c r="G6576" s="81" t="s">
        <v>42</v>
      </c>
      <c r="H6576" s="81" t="s">
        <v>224</v>
      </c>
      <c r="I6576" s="81" t="s">
        <v>6445</v>
      </c>
      <c r="J6576" s="81" t="s">
        <v>224</v>
      </c>
    </row>
    <row r="6577" hidden="1">
      <c r="A6577" s="83" t="s">
        <v>6428</v>
      </c>
      <c r="B6577" s="83" t="s">
        <v>6429</v>
      </c>
      <c r="C6577" s="81" t="s">
        <v>4621</v>
      </c>
      <c r="D6577" s="83" t="s">
        <v>4863</v>
      </c>
      <c r="E6577" s="81" t="s">
        <v>4014</v>
      </c>
      <c r="F6577" s="81">
        <v>799.0</v>
      </c>
      <c r="G6577" s="81" t="s">
        <v>41</v>
      </c>
      <c r="H6577" s="81" t="s">
        <v>1825</v>
      </c>
      <c r="I6577" s="81" t="s">
        <v>1837</v>
      </c>
      <c r="J6577" s="81" t="s">
        <v>6343</v>
      </c>
    </row>
    <row r="6578" hidden="1">
      <c r="A6578" s="83" t="s">
        <v>6428</v>
      </c>
      <c r="B6578" s="83" t="s">
        <v>6429</v>
      </c>
      <c r="C6578" s="81" t="s">
        <v>4621</v>
      </c>
      <c r="D6578" s="83" t="s">
        <v>4864</v>
      </c>
      <c r="E6578" s="81" t="s">
        <v>4016</v>
      </c>
      <c r="F6578" s="81">
        <v>800.0</v>
      </c>
      <c r="G6578" s="81" t="s">
        <v>39</v>
      </c>
      <c r="H6578" s="81" t="s">
        <v>224</v>
      </c>
      <c r="I6578" s="81" t="s">
        <v>1854</v>
      </c>
      <c r="J6578" s="81" t="s">
        <v>224</v>
      </c>
    </row>
    <row r="6579" hidden="1">
      <c r="A6579" s="83" t="s">
        <v>6428</v>
      </c>
      <c r="B6579" s="83" t="s">
        <v>6429</v>
      </c>
      <c r="C6579" s="81" t="s">
        <v>4621</v>
      </c>
      <c r="D6579" s="83" t="s">
        <v>4864</v>
      </c>
      <c r="E6579" s="81" t="s">
        <v>4016</v>
      </c>
      <c r="F6579" s="81">
        <v>800.0</v>
      </c>
      <c r="G6579" s="81" t="s">
        <v>40</v>
      </c>
      <c r="H6579" s="81" t="s">
        <v>224</v>
      </c>
      <c r="I6579" s="81" t="s">
        <v>1855</v>
      </c>
      <c r="J6579" s="81" t="s">
        <v>224</v>
      </c>
    </row>
    <row r="6580" hidden="1">
      <c r="A6580" s="83" t="s">
        <v>6428</v>
      </c>
      <c r="B6580" s="83" t="s">
        <v>6429</v>
      </c>
      <c r="C6580" s="81" t="s">
        <v>4621</v>
      </c>
      <c r="D6580" s="83" t="s">
        <v>4864</v>
      </c>
      <c r="E6580" s="81" t="s">
        <v>4016</v>
      </c>
      <c r="F6580" s="81">
        <v>800.0</v>
      </c>
      <c r="G6580" s="81" t="s">
        <v>42</v>
      </c>
      <c r="H6580" s="81" t="s">
        <v>224</v>
      </c>
      <c r="I6580" s="81" t="s">
        <v>1856</v>
      </c>
      <c r="J6580" s="81" t="s">
        <v>224</v>
      </c>
    </row>
    <row r="6581" hidden="1">
      <c r="A6581" s="83" t="s">
        <v>6428</v>
      </c>
      <c r="B6581" s="83" t="s">
        <v>6429</v>
      </c>
      <c r="C6581" s="81" t="s">
        <v>4621</v>
      </c>
      <c r="D6581" s="83" t="s">
        <v>4864</v>
      </c>
      <c r="E6581" s="81" t="s">
        <v>4016</v>
      </c>
      <c r="F6581" s="81">
        <v>800.0</v>
      </c>
      <c r="G6581" s="81" t="s">
        <v>41</v>
      </c>
      <c r="H6581" s="81" t="s">
        <v>1825</v>
      </c>
      <c r="I6581" s="81" t="s">
        <v>1837</v>
      </c>
      <c r="J6581" s="81" t="s">
        <v>6343</v>
      </c>
    </row>
    <row r="6582" hidden="1">
      <c r="A6582" s="83" t="s">
        <v>6428</v>
      </c>
      <c r="B6582" s="83" t="s">
        <v>6429</v>
      </c>
      <c r="C6582" s="81" t="s">
        <v>4621</v>
      </c>
      <c r="D6582" s="83" t="s">
        <v>4865</v>
      </c>
      <c r="E6582" s="81" t="s">
        <v>4017</v>
      </c>
      <c r="F6582" s="81">
        <v>801.0</v>
      </c>
      <c r="G6582" s="81" t="s">
        <v>39</v>
      </c>
      <c r="H6582" s="81" t="s">
        <v>224</v>
      </c>
      <c r="I6582" s="81" t="s">
        <v>1854</v>
      </c>
      <c r="J6582" s="81" t="s">
        <v>224</v>
      </c>
    </row>
    <row r="6583" hidden="1">
      <c r="A6583" s="83" t="s">
        <v>6428</v>
      </c>
      <c r="B6583" s="83" t="s">
        <v>6429</v>
      </c>
      <c r="C6583" s="81" t="s">
        <v>4621</v>
      </c>
      <c r="D6583" s="83" t="s">
        <v>4865</v>
      </c>
      <c r="E6583" s="81" t="s">
        <v>4017</v>
      </c>
      <c r="F6583" s="81">
        <v>801.0</v>
      </c>
      <c r="G6583" s="81" t="s">
        <v>40</v>
      </c>
      <c r="H6583" s="81" t="s">
        <v>224</v>
      </c>
      <c r="I6583" s="81" t="s">
        <v>1855</v>
      </c>
      <c r="J6583" s="81" t="s">
        <v>224</v>
      </c>
    </row>
    <row r="6584" hidden="1">
      <c r="A6584" s="83" t="s">
        <v>6428</v>
      </c>
      <c r="B6584" s="83" t="s">
        <v>6429</v>
      </c>
      <c r="C6584" s="81" t="s">
        <v>4621</v>
      </c>
      <c r="D6584" s="83" t="s">
        <v>4865</v>
      </c>
      <c r="E6584" s="81" t="s">
        <v>4017</v>
      </c>
      <c r="F6584" s="81">
        <v>801.0</v>
      </c>
      <c r="G6584" s="81" t="s">
        <v>42</v>
      </c>
      <c r="H6584" s="81" t="s">
        <v>224</v>
      </c>
      <c r="I6584" s="81" t="s">
        <v>1856</v>
      </c>
      <c r="J6584" s="81" t="s">
        <v>224</v>
      </c>
    </row>
    <row r="6585" hidden="1">
      <c r="A6585" s="83" t="s">
        <v>6428</v>
      </c>
      <c r="B6585" s="83" t="s">
        <v>6429</v>
      </c>
      <c r="C6585" s="81" t="s">
        <v>4621</v>
      </c>
      <c r="D6585" s="83" t="s">
        <v>4865</v>
      </c>
      <c r="E6585" s="81" t="s">
        <v>4017</v>
      </c>
      <c r="F6585" s="81">
        <v>801.0</v>
      </c>
      <c r="G6585" s="81" t="s">
        <v>41</v>
      </c>
      <c r="H6585" s="81" t="s">
        <v>1825</v>
      </c>
      <c r="I6585" s="81" t="s">
        <v>1837</v>
      </c>
      <c r="J6585" s="81" t="s">
        <v>6343</v>
      </c>
    </row>
    <row r="6586" hidden="1">
      <c r="A6586" s="83" t="s">
        <v>6428</v>
      </c>
      <c r="B6586" s="83" t="s">
        <v>6429</v>
      </c>
      <c r="C6586" s="81" t="s">
        <v>4621</v>
      </c>
      <c r="D6586" s="83" t="s">
        <v>4866</v>
      </c>
      <c r="E6586" s="81" t="s">
        <v>4018</v>
      </c>
      <c r="F6586" s="81">
        <v>802.0</v>
      </c>
      <c r="G6586" s="81" t="s">
        <v>41</v>
      </c>
      <c r="H6586" s="81" t="s">
        <v>1825</v>
      </c>
      <c r="I6586" s="81" t="s">
        <v>1837</v>
      </c>
      <c r="J6586" s="81" t="s">
        <v>6343</v>
      </c>
    </row>
    <row r="6587" hidden="1">
      <c r="A6587" s="83" t="s">
        <v>6428</v>
      </c>
      <c r="B6587" s="83" t="s">
        <v>6429</v>
      </c>
      <c r="C6587" s="81" t="s">
        <v>4621</v>
      </c>
      <c r="D6587" s="83" t="s">
        <v>4867</v>
      </c>
      <c r="E6587" s="81" t="s">
        <v>4019</v>
      </c>
      <c r="F6587" s="81">
        <v>803.0</v>
      </c>
      <c r="G6587" s="81" t="s">
        <v>39</v>
      </c>
      <c r="H6587" s="81" t="s">
        <v>224</v>
      </c>
      <c r="I6587" s="81" t="s">
        <v>1868</v>
      </c>
      <c r="J6587" s="81" t="s">
        <v>224</v>
      </c>
    </row>
    <row r="6588" hidden="1">
      <c r="A6588" s="83" t="s">
        <v>6428</v>
      </c>
      <c r="B6588" s="83" t="s">
        <v>6429</v>
      </c>
      <c r="C6588" s="81" t="s">
        <v>4621</v>
      </c>
      <c r="D6588" s="83" t="s">
        <v>4867</v>
      </c>
      <c r="E6588" s="81" t="s">
        <v>4019</v>
      </c>
      <c r="F6588" s="81">
        <v>803.0</v>
      </c>
      <c r="G6588" s="81" t="s">
        <v>40</v>
      </c>
      <c r="H6588" s="81" t="s">
        <v>224</v>
      </c>
      <c r="I6588" s="81" t="s">
        <v>1869</v>
      </c>
      <c r="J6588" s="81" t="s">
        <v>224</v>
      </c>
    </row>
    <row r="6589" hidden="1">
      <c r="A6589" s="83" t="s">
        <v>6428</v>
      </c>
      <c r="B6589" s="83" t="s">
        <v>6429</v>
      </c>
      <c r="C6589" s="81" t="s">
        <v>4621</v>
      </c>
      <c r="D6589" s="83" t="s">
        <v>4867</v>
      </c>
      <c r="E6589" s="81" t="s">
        <v>4019</v>
      </c>
      <c r="F6589" s="81">
        <v>803.0</v>
      </c>
      <c r="G6589" s="81" t="s">
        <v>42</v>
      </c>
      <c r="H6589" s="81" t="s">
        <v>224</v>
      </c>
      <c r="I6589" s="81" t="s">
        <v>1870</v>
      </c>
      <c r="J6589" s="81" t="s">
        <v>224</v>
      </c>
    </row>
    <row r="6590" hidden="1">
      <c r="A6590" s="83" t="s">
        <v>6428</v>
      </c>
      <c r="B6590" s="83" t="s">
        <v>6429</v>
      </c>
      <c r="C6590" s="81" t="s">
        <v>4621</v>
      </c>
      <c r="D6590" s="83" t="s">
        <v>4867</v>
      </c>
      <c r="E6590" s="81" t="s">
        <v>4019</v>
      </c>
      <c r="F6590" s="81">
        <v>803.0</v>
      </c>
      <c r="G6590" s="81" t="s">
        <v>41</v>
      </c>
      <c r="H6590" s="81" t="s">
        <v>1825</v>
      </c>
      <c r="I6590" s="81" t="s">
        <v>1837</v>
      </c>
      <c r="J6590" s="81" t="s">
        <v>6343</v>
      </c>
    </row>
    <row r="6591" hidden="1">
      <c r="A6591" s="83" t="s">
        <v>6428</v>
      </c>
      <c r="B6591" s="83" t="s">
        <v>6429</v>
      </c>
      <c r="C6591" s="81" t="s">
        <v>4621</v>
      </c>
      <c r="D6591" s="83" t="s">
        <v>4868</v>
      </c>
      <c r="E6591" s="81" t="s">
        <v>4020</v>
      </c>
      <c r="F6591" s="81">
        <v>804.0</v>
      </c>
      <c r="G6591" s="81" t="s">
        <v>40</v>
      </c>
      <c r="H6591" s="81" t="s">
        <v>224</v>
      </c>
      <c r="I6591" s="81" t="s">
        <v>4026</v>
      </c>
      <c r="J6591" s="81" t="s">
        <v>224</v>
      </c>
    </row>
    <row r="6592" hidden="1">
      <c r="A6592" s="83" t="s">
        <v>6428</v>
      </c>
      <c r="B6592" s="83" t="s">
        <v>6429</v>
      </c>
      <c r="C6592" s="81" t="s">
        <v>4621</v>
      </c>
      <c r="D6592" s="83" t="s">
        <v>4868</v>
      </c>
      <c r="E6592" s="81" t="s">
        <v>4020</v>
      </c>
      <c r="F6592" s="81">
        <v>804.0</v>
      </c>
      <c r="G6592" s="81" t="s">
        <v>43</v>
      </c>
      <c r="H6592" s="81" t="s">
        <v>224</v>
      </c>
      <c r="I6592" s="81" t="s">
        <v>4029</v>
      </c>
      <c r="J6592" s="81" t="s">
        <v>224</v>
      </c>
    </row>
    <row r="6593" hidden="1">
      <c r="A6593" s="83" t="s">
        <v>6428</v>
      </c>
      <c r="B6593" s="83" t="s">
        <v>6429</v>
      </c>
      <c r="C6593" s="81" t="s">
        <v>4621</v>
      </c>
      <c r="D6593" s="83" t="s">
        <v>4868</v>
      </c>
      <c r="E6593" s="81" t="s">
        <v>4020</v>
      </c>
      <c r="F6593" s="81">
        <v>804.0</v>
      </c>
      <c r="G6593" s="81" t="s">
        <v>42</v>
      </c>
      <c r="H6593" s="81" t="s">
        <v>224</v>
      </c>
      <c r="I6593" s="81" t="s">
        <v>4028</v>
      </c>
      <c r="J6593" s="81" t="s">
        <v>224</v>
      </c>
    </row>
    <row r="6594" hidden="1">
      <c r="A6594" s="83" t="s">
        <v>6428</v>
      </c>
      <c r="B6594" s="83" t="s">
        <v>6429</v>
      </c>
      <c r="C6594" s="81" t="s">
        <v>4082</v>
      </c>
      <c r="D6594" s="83" t="s">
        <v>4868</v>
      </c>
      <c r="E6594" s="81" t="s">
        <v>4020</v>
      </c>
      <c r="F6594" s="81">
        <v>804.0</v>
      </c>
      <c r="G6594" s="81" t="s">
        <v>41</v>
      </c>
      <c r="H6594" s="81" t="s">
        <v>4027</v>
      </c>
      <c r="I6594" s="81" t="s">
        <v>224</v>
      </c>
      <c r="J6594" s="81" t="s">
        <v>6446</v>
      </c>
    </row>
    <row r="6595" hidden="1">
      <c r="A6595" s="83" t="s">
        <v>6428</v>
      </c>
      <c r="B6595" s="83" t="s">
        <v>6429</v>
      </c>
      <c r="C6595" s="81" t="s">
        <v>4621</v>
      </c>
      <c r="D6595" s="83" t="s">
        <v>4869</v>
      </c>
      <c r="E6595" s="81" t="s">
        <v>4032</v>
      </c>
      <c r="F6595" s="81">
        <v>805.0</v>
      </c>
      <c r="G6595" s="81" t="s">
        <v>40</v>
      </c>
      <c r="H6595" s="81" t="s">
        <v>224</v>
      </c>
      <c r="I6595" s="81" t="s">
        <v>4034</v>
      </c>
      <c r="J6595" s="81" t="s">
        <v>224</v>
      </c>
    </row>
    <row r="6596" hidden="1">
      <c r="A6596" s="83" t="s">
        <v>6428</v>
      </c>
      <c r="B6596" s="83" t="s">
        <v>6429</v>
      </c>
      <c r="C6596" s="81" t="s">
        <v>4621</v>
      </c>
      <c r="D6596" s="83" t="s">
        <v>4869</v>
      </c>
      <c r="E6596" s="81" t="s">
        <v>4032</v>
      </c>
      <c r="F6596" s="81">
        <v>805.0</v>
      </c>
      <c r="G6596" s="81" t="s">
        <v>43</v>
      </c>
      <c r="H6596" s="81" t="s">
        <v>224</v>
      </c>
      <c r="I6596" s="81" t="s">
        <v>4029</v>
      </c>
      <c r="J6596" s="81" t="s">
        <v>224</v>
      </c>
    </row>
    <row r="6597" hidden="1">
      <c r="A6597" s="83" t="s">
        <v>6428</v>
      </c>
      <c r="B6597" s="83" t="s">
        <v>6429</v>
      </c>
      <c r="C6597" s="81" t="s">
        <v>4621</v>
      </c>
      <c r="D6597" s="83" t="s">
        <v>4869</v>
      </c>
      <c r="E6597" s="81" t="s">
        <v>4032</v>
      </c>
      <c r="F6597" s="81">
        <v>805.0</v>
      </c>
      <c r="G6597" s="81" t="s">
        <v>42</v>
      </c>
      <c r="H6597" s="81" t="s">
        <v>224</v>
      </c>
      <c r="I6597" s="81" t="s">
        <v>4028</v>
      </c>
      <c r="J6597" s="81" t="s">
        <v>224</v>
      </c>
    </row>
    <row r="6598" hidden="1">
      <c r="A6598" s="83" t="s">
        <v>6428</v>
      </c>
      <c r="B6598" s="83" t="s">
        <v>6429</v>
      </c>
      <c r="C6598" s="81" t="s">
        <v>4621</v>
      </c>
      <c r="D6598" s="83" t="s">
        <v>4870</v>
      </c>
      <c r="E6598" s="81" t="s">
        <v>4037</v>
      </c>
      <c r="F6598" s="81">
        <v>806.0</v>
      </c>
      <c r="G6598" s="81" t="s">
        <v>39</v>
      </c>
      <c r="H6598" s="81" t="s">
        <v>224</v>
      </c>
      <c r="I6598" s="81" t="s">
        <v>6447</v>
      </c>
      <c r="J6598" s="81" t="s">
        <v>224</v>
      </c>
    </row>
    <row r="6599" hidden="1">
      <c r="A6599" s="83" t="s">
        <v>6428</v>
      </c>
      <c r="B6599" s="83" t="s">
        <v>6429</v>
      </c>
      <c r="C6599" s="81" t="s">
        <v>4621</v>
      </c>
      <c r="D6599" s="83" t="s">
        <v>4870</v>
      </c>
      <c r="E6599" s="81" t="s">
        <v>4037</v>
      </c>
      <c r="F6599" s="81">
        <v>806.0</v>
      </c>
      <c r="G6599" s="81" t="s">
        <v>40</v>
      </c>
      <c r="H6599" s="81" t="s">
        <v>224</v>
      </c>
      <c r="I6599" s="81" t="s">
        <v>6448</v>
      </c>
      <c r="J6599" s="81" t="s">
        <v>224</v>
      </c>
    </row>
    <row r="6600" hidden="1">
      <c r="A6600" s="83" t="s">
        <v>6428</v>
      </c>
      <c r="B6600" s="83" t="s">
        <v>6429</v>
      </c>
      <c r="C6600" s="81" t="s">
        <v>4621</v>
      </c>
      <c r="D6600" s="83" t="s">
        <v>4870</v>
      </c>
      <c r="E6600" s="81" t="s">
        <v>4037</v>
      </c>
      <c r="F6600" s="81">
        <v>806.0</v>
      </c>
      <c r="G6600" s="81" t="s">
        <v>42</v>
      </c>
      <c r="H6600" s="81" t="s">
        <v>224</v>
      </c>
      <c r="I6600" s="81" t="s">
        <v>4046</v>
      </c>
      <c r="J6600" s="81" t="s">
        <v>224</v>
      </c>
    </row>
    <row r="6601" hidden="1">
      <c r="A6601" s="83" t="s">
        <v>6428</v>
      </c>
      <c r="B6601" s="83" t="s">
        <v>6429</v>
      </c>
      <c r="C6601" s="81" t="s">
        <v>4082</v>
      </c>
      <c r="D6601" s="83" t="s">
        <v>4870</v>
      </c>
      <c r="E6601" s="81" t="s">
        <v>4037</v>
      </c>
      <c r="F6601" s="81">
        <v>806.0</v>
      </c>
      <c r="G6601" s="81" t="s">
        <v>41</v>
      </c>
      <c r="H6601" s="81" t="s">
        <v>4045</v>
      </c>
      <c r="I6601" s="81" t="s">
        <v>224</v>
      </c>
      <c r="J6601" s="81" t="s">
        <v>6449</v>
      </c>
    </row>
    <row r="6602" hidden="1">
      <c r="A6602" s="83" t="s">
        <v>6428</v>
      </c>
      <c r="B6602" s="83" t="s">
        <v>6429</v>
      </c>
      <c r="C6602" s="81" t="s">
        <v>4621</v>
      </c>
      <c r="D6602" s="83" t="s">
        <v>4871</v>
      </c>
      <c r="E6602" s="81" t="s">
        <v>4049</v>
      </c>
      <c r="F6602" s="81">
        <v>807.0</v>
      </c>
      <c r="G6602" s="81" t="s">
        <v>39</v>
      </c>
      <c r="H6602" s="81" t="s">
        <v>224</v>
      </c>
      <c r="I6602" s="81" t="s">
        <v>4052</v>
      </c>
      <c r="J6602" s="81" t="s">
        <v>224</v>
      </c>
    </row>
    <row r="6603" hidden="1">
      <c r="A6603" s="83" t="s">
        <v>6428</v>
      </c>
      <c r="B6603" s="83" t="s">
        <v>6429</v>
      </c>
      <c r="C6603" s="81" t="s">
        <v>4621</v>
      </c>
      <c r="D6603" s="83" t="s">
        <v>4871</v>
      </c>
      <c r="E6603" s="81" t="s">
        <v>4049</v>
      </c>
      <c r="F6603" s="81">
        <v>807.0</v>
      </c>
      <c r="G6603" s="81" t="s">
        <v>40</v>
      </c>
      <c r="H6603" s="81" t="s">
        <v>224</v>
      </c>
      <c r="I6603" s="81" t="s">
        <v>4053</v>
      </c>
      <c r="J6603" s="81" t="s">
        <v>224</v>
      </c>
    </row>
    <row r="6604" hidden="1">
      <c r="A6604" s="83" t="s">
        <v>6428</v>
      </c>
      <c r="B6604" s="83" t="s">
        <v>6429</v>
      </c>
      <c r="C6604" s="81" t="s">
        <v>4621</v>
      </c>
      <c r="D6604" s="83" t="s">
        <v>4871</v>
      </c>
      <c r="E6604" s="81" t="s">
        <v>4049</v>
      </c>
      <c r="F6604" s="81">
        <v>807.0</v>
      </c>
      <c r="G6604" s="81" t="s">
        <v>43</v>
      </c>
      <c r="H6604" s="81" t="s">
        <v>224</v>
      </c>
      <c r="I6604" s="81" t="s">
        <v>4056</v>
      </c>
      <c r="J6604" s="81" t="s">
        <v>224</v>
      </c>
    </row>
    <row r="6605" hidden="1">
      <c r="A6605" s="83" t="s">
        <v>6428</v>
      </c>
      <c r="B6605" s="83" t="s">
        <v>6429</v>
      </c>
      <c r="C6605" s="81" t="s">
        <v>4082</v>
      </c>
      <c r="D6605" s="83" t="s">
        <v>4871</v>
      </c>
      <c r="E6605" s="81" t="s">
        <v>4049</v>
      </c>
      <c r="F6605" s="81">
        <v>807.0</v>
      </c>
      <c r="G6605" s="81" t="s">
        <v>41</v>
      </c>
      <c r="H6605" s="81" t="s">
        <v>4054</v>
      </c>
      <c r="I6605" s="81" t="s">
        <v>224</v>
      </c>
      <c r="J6605" s="81" t="s">
        <v>6450</v>
      </c>
    </row>
    <row r="6606" hidden="1">
      <c r="A6606" s="83" t="s">
        <v>6428</v>
      </c>
      <c r="B6606" s="83" t="s">
        <v>6429</v>
      </c>
      <c r="C6606" s="81" t="s">
        <v>4621</v>
      </c>
      <c r="D6606" s="83" t="s">
        <v>4872</v>
      </c>
      <c r="E6606" s="81" t="s">
        <v>4059</v>
      </c>
      <c r="F6606" s="81">
        <v>808.0</v>
      </c>
      <c r="G6606" s="81" t="s">
        <v>39</v>
      </c>
      <c r="H6606" s="81" t="s">
        <v>224</v>
      </c>
      <c r="I6606" s="81" t="s">
        <v>4063</v>
      </c>
      <c r="J6606" s="81" t="s">
        <v>224</v>
      </c>
    </row>
    <row r="6607" hidden="1">
      <c r="A6607" s="83" t="s">
        <v>6428</v>
      </c>
      <c r="B6607" s="83" t="s">
        <v>6429</v>
      </c>
      <c r="C6607" s="81" t="s">
        <v>4621</v>
      </c>
      <c r="D6607" s="83" t="s">
        <v>4872</v>
      </c>
      <c r="E6607" s="81" t="s">
        <v>4059</v>
      </c>
      <c r="F6607" s="81">
        <v>808.0</v>
      </c>
      <c r="G6607" s="81" t="s">
        <v>40</v>
      </c>
      <c r="H6607" s="81" t="s">
        <v>224</v>
      </c>
      <c r="I6607" s="81" t="s">
        <v>4064</v>
      </c>
      <c r="J6607" s="81" t="s">
        <v>224</v>
      </c>
    </row>
    <row r="6608" hidden="1">
      <c r="A6608" s="83" t="s">
        <v>6428</v>
      </c>
      <c r="B6608" s="83" t="s">
        <v>6429</v>
      </c>
      <c r="C6608" s="81" t="s">
        <v>4621</v>
      </c>
      <c r="D6608" s="83" t="s">
        <v>4872</v>
      </c>
      <c r="E6608" s="81" t="s">
        <v>4059</v>
      </c>
      <c r="F6608" s="81">
        <v>808.0</v>
      </c>
      <c r="G6608" s="81" t="s">
        <v>43</v>
      </c>
      <c r="H6608" s="81" t="s">
        <v>224</v>
      </c>
      <c r="I6608" s="81" t="s">
        <v>4066</v>
      </c>
      <c r="J6608" s="81" t="s">
        <v>224</v>
      </c>
    </row>
    <row r="6609" hidden="1">
      <c r="A6609" s="83" t="s">
        <v>6428</v>
      </c>
      <c r="B6609" s="83" t="s">
        <v>6429</v>
      </c>
      <c r="C6609" s="81" t="s">
        <v>4621</v>
      </c>
      <c r="D6609" s="83" t="s">
        <v>4872</v>
      </c>
      <c r="E6609" s="81" t="s">
        <v>4059</v>
      </c>
      <c r="F6609" s="81">
        <v>808.0</v>
      </c>
      <c r="G6609" s="81" t="s">
        <v>42</v>
      </c>
      <c r="H6609" s="81" t="s">
        <v>224</v>
      </c>
      <c r="I6609" s="81" t="s">
        <v>4065</v>
      </c>
      <c r="J6609" s="81" t="s">
        <v>224</v>
      </c>
    </row>
    <row r="6610" hidden="1">
      <c r="A6610" s="83" t="s">
        <v>6428</v>
      </c>
      <c r="B6610" s="83" t="s">
        <v>6429</v>
      </c>
      <c r="C6610" s="81" t="s">
        <v>4082</v>
      </c>
      <c r="D6610" s="83" t="s">
        <v>4873</v>
      </c>
      <c r="E6610" s="81" t="s">
        <v>4874</v>
      </c>
      <c r="F6610" s="81">
        <v>809.0</v>
      </c>
      <c r="G6610" s="81" t="s">
        <v>41</v>
      </c>
      <c r="H6610" s="81" t="s">
        <v>4876</v>
      </c>
      <c r="I6610" s="81" t="s">
        <v>224</v>
      </c>
      <c r="J6610" s="81" t="s">
        <v>6451</v>
      </c>
    </row>
    <row r="6611" hidden="1">
      <c r="A6611" s="83" t="s">
        <v>6428</v>
      </c>
      <c r="B6611" s="83" t="s">
        <v>6429</v>
      </c>
      <c r="C6611" s="81" t="s">
        <v>4084</v>
      </c>
      <c r="D6611" s="81" t="s">
        <v>224</v>
      </c>
      <c r="E6611" s="81" t="s">
        <v>224</v>
      </c>
      <c r="F6611" s="81" t="s">
        <v>224</v>
      </c>
      <c r="G6611" s="81" t="s">
        <v>40</v>
      </c>
      <c r="H6611" s="81" t="s">
        <v>224</v>
      </c>
      <c r="I6611" s="81" t="s">
        <v>224</v>
      </c>
      <c r="J6611" s="81" t="s">
        <v>6452</v>
      </c>
    </row>
    <row r="6612" hidden="1">
      <c r="A6612" s="83" t="s">
        <v>6428</v>
      </c>
      <c r="B6612" s="83" t="s">
        <v>6429</v>
      </c>
      <c r="C6612" s="81" t="s">
        <v>4084</v>
      </c>
      <c r="D6612" s="81" t="s">
        <v>224</v>
      </c>
      <c r="E6612" s="81" t="s">
        <v>224</v>
      </c>
      <c r="F6612" s="81" t="s">
        <v>224</v>
      </c>
      <c r="G6612" s="81" t="s">
        <v>41</v>
      </c>
      <c r="H6612" s="81" t="s">
        <v>224</v>
      </c>
      <c r="I6612" s="81" t="s">
        <v>224</v>
      </c>
      <c r="J6612" s="81" t="s">
        <v>6453</v>
      </c>
    </row>
    <row r="6613" hidden="1">
      <c r="A6613" s="83" t="s">
        <v>6454</v>
      </c>
      <c r="B6613" s="83" t="s">
        <v>6455</v>
      </c>
      <c r="C6613" s="81" t="s">
        <v>4080</v>
      </c>
      <c r="D6613" s="81" t="s">
        <v>224</v>
      </c>
      <c r="E6613" s="81" t="s">
        <v>224</v>
      </c>
      <c r="F6613" s="81" t="s">
        <v>224</v>
      </c>
      <c r="G6613" s="81" t="s">
        <v>224</v>
      </c>
      <c r="H6613" s="81" t="s">
        <v>224</v>
      </c>
      <c r="I6613" s="81" t="s">
        <v>224</v>
      </c>
      <c r="J6613" s="81" t="s">
        <v>6456</v>
      </c>
    </row>
    <row r="6614" hidden="1">
      <c r="A6614" s="83" t="s">
        <v>6454</v>
      </c>
      <c r="B6614" s="83" t="s">
        <v>6455</v>
      </c>
      <c r="C6614" s="81" t="s">
        <v>4082</v>
      </c>
      <c r="D6614" s="81" t="s">
        <v>224</v>
      </c>
      <c r="E6614" s="81" t="s">
        <v>4055</v>
      </c>
      <c r="F6614" s="81" t="s">
        <v>224</v>
      </c>
      <c r="G6614" s="81" t="s">
        <v>42</v>
      </c>
      <c r="H6614" s="81" t="s">
        <v>224</v>
      </c>
      <c r="I6614" s="81" t="s">
        <v>224</v>
      </c>
      <c r="J6614" s="81" t="s">
        <v>6431</v>
      </c>
    </row>
    <row r="6615" hidden="1">
      <c r="A6615" s="83" t="s">
        <v>6454</v>
      </c>
      <c r="B6615" s="83" t="s">
        <v>6455</v>
      </c>
      <c r="C6615" s="81" t="s">
        <v>4082</v>
      </c>
      <c r="D6615" s="81" t="s">
        <v>224</v>
      </c>
      <c r="E6615" s="81" t="s">
        <v>6362</v>
      </c>
      <c r="F6615" s="81" t="s">
        <v>224</v>
      </c>
      <c r="G6615" s="81" t="s">
        <v>42</v>
      </c>
      <c r="H6615" s="81" t="s">
        <v>224</v>
      </c>
      <c r="I6615" s="81" t="s">
        <v>224</v>
      </c>
      <c r="J6615" s="81" t="s">
        <v>6363</v>
      </c>
    </row>
    <row r="6616" hidden="1">
      <c r="A6616" s="83" t="s">
        <v>6454</v>
      </c>
      <c r="B6616" s="83" t="s">
        <v>6455</v>
      </c>
      <c r="C6616" s="81" t="s">
        <v>4084</v>
      </c>
      <c r="D6616" s="81" t="s">
        <v>224</v>
      </c>
      <c r="E6616" s="81" t="s">
        <v>224</v>
      </c>
      <c r="F6616" s="81" t="s">
        <v>224</v>
      </c>
      <c r="G6616" s="81" t="s">
        <v>224</v>
      </c>
      <c r="H6616" s="81" t="s">
        <v>224</v>
      </c>
      <c r="I6616" s="81" t="s">
        <v>224</v>
      </c>
      <c r="J6616" s="81" t="s">
        <v>6457</v>
      </c>
    </row>
    <row r="6617" hidden="1">
      <c r="A6617" s="83" t="s">
        <v>6454</v>
      </c>
      <c r="B6617" s="83" t="s">
        <v>6455</v>
      </c>
      <c r="C6617" s="81" t="s">
        <v>4082</v>
      </c>
      <c r="D6617" s="81" t="s">
        <v>224</v>
      </c>
      <c r="E6617" s="81" t="s">
        <v>6458</v>
      </c>
      <c r="F6617" s="81" t="s">
        <v>224</v>
      </c>
      <c r="G6617" s="81" t="s">
        <v>224</v>
      </c>
      <c r="H6617" s="81" t="s">
        <v>224</v>
      </c>
      <c r="I6617" s="81" t="s">
        <v>224</v>
      </c>
      <c r="J6617" s="81" t="s">
        <v>6459</v>
      </c>
    </row>
    <row r="6618" hidden="1">
      <c r="A6618" s="83" t="s">
        <v>6454</v>
      </c>
      <c r="B6618" s="83" t="s">
        <v>6455</v>
      </c>
      <c r="C6618" s="81" t="s">
        <v>4082</v>
      </c>
      <c r="D6618" s="81" t="s">
        <v>224</v>
      </c>
      <c r="E6618" s="81" t="s">
        <v>6460</v>
      </c>
      <c r="F6618" s="81" t="s">
        <v>224</v>
      </c>
      <c r="G6618" s="81" t="s">
        <v>224</v>
      </c>
      <c r="H6618" s="81" t="s">
        <v>224</v>
      </c>
      <c r="I6618" s="81" t="s">
        <v>224</v>
      </c>
      <c r="J6618" s="81" t="s">
        <v>6461</v>
      </c>
    </row>
    <row r="6619" hidden="1">
      <c r="A6619" s="83" t="s">
        <v>6454</v>
      </c>
      <c r="B6619" s="83" t="s">
        <v>6455</v>
      </c>
      <c r="C6619" s="81" t="s">
        <v>4082</v>
      </c>
      <c r="D6619" s="81" t="s">
        <v>224</v>
      </c>
      <c r="E6619" s="81" t="s">
        <v>6462</v>
      </c>
      <c r="F6619" s="81" t="s">
        <v>224</v>
      </c>
      <c r="G6619" s="81" t="s">
        <v>224</v>
      </c>
      <c r="H6619" s="81" t="s">
        <v>224</v>
      </c>
      <c r="I6619" s="81" t="s">
        <v>224</v>
      </c>
      <c r="J6619" s="81" t="s">
        <v>6463</v>
      </c>
    </row>
    <row r="6620" hidden="1">
      <c r="A6620" s="83" t="s">
        <v>6454</v>
      </c>
      <c r="B6620" s="83" t="s">
        <v>6455</v>
      </c>
      <c r="C6620" s="81" t="s">
        <v>4082</v>
      </c>
      <c r="D6620" s="81" t="s">
        <v>224</v>
      </c>
      <c r="E6620" s="81" t="s">
        <v>6464</v>
      </c>
      <c r="F6620" s="81" t="s">
        <v>224</v>
      </c>
      <c r="G6620" s="81" t="s">
        <v>224</v>
      </c>
      <c r="H6620" s="81" t="s">
        <v>224</v>
      </c>
      <c r="I6620" s="81" t="s">
        <v>224</v>
      </c>
      <c r="J6620" s="81" t="s">
        <v>6465</v>
      </c>
    </row>
    <row r="6621" hidden="1">
      <c r="A6621" s="83" t="s">
        <v>6454</v>
      </c>
      <c r="B6621" s="83" t="s">
        <v>6455</v>
      </c>
      <c r="C6621" s="81" t="s">
        <v>4082</v>
      </c>
      <c r="D6621" s="81" t="s">
        <v>224</v>
      </c>
      <c r="E6621" s="81" t="s">
        <v>6466</v>
      </c>
      <c r="F6621" s="81" t="s">
        <v>224</v>
      </c>
      <c r="G6621" s="81" t="s">
        <v>224</v>
      </c>
      <c r="H6621" s="81" t="s">
        <v>224</v>
      </c>
      <c r="I6621" s="81" t="s">
        <v>224</v>
      </c>
      <c r="J6621" s="81" t="s">
        <v>6467</v>
      </c>
    </row>
    <row r="6622" hidden="1">
      <c r="A6622" s="83" t="s">
        <v>6454</v>
      </c>
      <c r="B6622" s="83" t="s">
        <v>6455</v>
      </c>
      <c r="C6622" s="81" t="s">
        <v>4082</v>
      </c>
      <c r="D6622" s="81" t="s">
        <v>224</v>
      </c>
      <c r="E6622" s="81" t="s">
        <v>6468</v>
      </c>
      <c r="F6622" s="81" t="s">
        <v>224</v>
      </c>
      <c r="G6622" s="81" t="s">
        <v>224</v>
      </c>
      <c r="H6622" s="81" t="s">
        <v>224</v>
      </c>
      <c r="I6622" s="81" t="s">
        <v>224</v>
      </c>
      <c r="J6622" s="81" t="s">
        <v>6469</v>
      </c>
    </row>
    <row r="6623" hidden="1">
      <c r="A6623" s="83" t="s">
        <v>6454</v>
      </c>
      <c r="B6623" s="83" t="s">
        <v>6455</v>
      </c>
      <c r="C6623" s="81" t="s">
        <v>4082</v>
      </c>
      <c r="D6623" s="81" t="s">
        <v>224</v>
      </c>
      <c r="E6623" s="81" t="s">
        <v>6470</v>
      </c>
      <c r="F6623" s="81" t="s">
        <v>224</v>
      </c>
      <c r="G6623" s="81" t="s">
        <v>224</v>
      </c>
      <c r="H6623" s="81" t="s">
        <v>224</v>
      </c>
      <c r="I6623" s="81" t="s">
        <v>224</v>
      </c>
      <c r="J6623" s="81" t="s">
        <v>6471</v>
      </c>
    </row>
    <row r="6624" hidden="1">
      <c r="A6624" s="83" t="s">
        <v>6454</v>
      </c>
      <c r="B6624" s="83" t="s">
        <v>6455</v>
      </c>
      <c r="C6624" s="81" t="s">
        <v>4082</v>
      </c>
      <c r="D6624" s="81" t="s">
        <v>224</v>
      </c>
      <c r="E6624" s="81" t="s">
        <v>6472</v>
      </c>
      <c r="F6624" s="81" t="s">
        <v>224</v>
      </c>
      <c r="G6624" s="81" t="s">
        <v>224</v>
      </c>
      <c r="H6624" s="81" t="s">
        <v>224</v>
      </c>
      <c r="I6624" s="81" t="s">
        <v>224</v>
      </c>
      <c r="J6624" s="81" t="s">
        <v>6473</v>
      </c>
    </row>
    <row r="6625" hidden="1">
      <c r="A6625" s="83" t="s">
        <v>6454</v>
      </c>
      <c r="B6625" s="83" t="s">
        <v>6455</v>
      </c>
      <c r="C6625" s="81" t="s">
        <v>4082</v>
      </c>
      <c r="D6625" s="81" t="s">
        <v>224</v>
      </c>
      <c r="E6625" s="81" t="s">
        <v>6474</v>
      </c>
      <c r="F6625" s="81" t="s">
        <v>224</v>
      </c>
      <c r="G6625" s="81" t="s">
        <v>224</v>
      </c>
      <c r="H6625" s="81" t="s">
        <v>224</v>
      </c>
      <c r="I6625" s="81" t="s">
        <v>224</v>
      </c>
      <c r="J6625" s="81" t="s">
        <v>6475</v>
      </c>
    </row>
    <row r="6626" hidden="1">
      <c r="A6626" s="83" t="s">
        <v>6454</v>
      </c>
      <c r="B6626" s="83" t="s">
        <v>6455</v>
      </c>
      <c r="C6626" s="81" t="s">
        <v>4082</v>
      </c>
      <c r="D6626" s="81" t="s">
        <v>224</v>
      </c>
      <c r="E6626" s="81" t="s">
        <v>6476</v>
      </c>
      <c r="F6626" s="81" t="s">
        <v>224</v>
      </c>
      <c r="G6626" s="81" t="s">
        <v>224</v>
      </c>
      <c r="H6626" s="81" t="s">
        <v>224</v>
      </c>
      <c r="I6626" s="81" t="s">
        <v>224</v>
      </c>
      <c r="J6626" s="81" t="s">
        <v>6477</v>
      </c>
    </row>
    <row r="6627" hidden="1">
      <c r="A6627" s="83" t="s">
        <v>6454</v>
      </c>
      <c r="B6627" s="83" t="s">
        <v>6455</v>
      </c>
      <c r="C6627" s="81" t="s">
        <v>4082</v>
      </c>
      <c r="D6627" s="81" t="s">
        <v>224</v>
      </c>
      <c r="E6627" s="81" t="s">
        <v>6478</v>
      </c>
      <c r="F6627" s="81" t="s">
        <v>224</v>
      </c>
      <c r="G6627" s="81" t="s">
        <v>224</v>
      </c>
      <c r="H6627" s="81" t="s">
        <v>224</v>
      </c>
      <c r="I6627" s="81" t="s">
        <v>224</v>
      </c>
      <c r="J6627" s="81" t="s">
        <v>6479</v>
      </c>
    </row>
    <row r="6628" hidden="1">
      <c r="A6628" s="83" t="s">
        <v>6454</v>
      </c>
      <c r="B6628" s="83" t="s">
        <v>6455</v>
      </c>
      <c r="C6628" s="81" t="s">
        <v>4082</v>
      </c>
      <c r="D6628" s="81" t="s">
        <v>224</v>
      </c>
      <c r="E6628" s="81" t="s">
        <v>6480</v>
      </c>
      <c r="F6628" s="81" t="s">
        <v>224</v>
      </c>
      <c r="G6628" s="81" t="s">
        <v>224</v>
      </c>
      <c r="H6628" s="81" t="s">
        <v>224</v>
      </c>
      <c r="I6628" s="81" t="s">
        <v>224</v>
      </c>
      <c r="J6628" s="81" t="s">
        <v>6481</v>
      </c>
    </row>
    <row r="6629" hidden="1">
      <c r="A6629" s="83" t="s">
        <v>6454</v>
      </c>
      <c r="B6629" s="83" t="s">
        <v>6455</v>
      </c>
      <c r="C6629" s="81" t="s">
        <v>4082</v>
      </c>
      <c r="D6629" s="81" t="s">
        <v>224</v>
      </c>
      <c r="E6629" s="81" t="s">
        <v>6482</v>
      </c>
      <c r="F6629" s="81" t="s">
        <v>224</v>
      </c>
      <c r="G6629" s="81" t="s">
        <v>224</v>
      </c>
      <c r="H6629" s="81" t="s">
        <v>224</v>
      </c>
      <c r="I6629" s="81" t="s">
        <v>224</v>
      </c>
      <c r="J6629" s="81" t="s">
        <v>6483</v>
      </c>
    </row>
    <row r="6630" hidden="1">
      <c r="A6630" s="83" t="s">
        <v>6454</v>
      </c>
      <c r="B6630" s="83" t="s">
        <v>6455</v>
      </c>
      <c r="C6630" s="81" t="s">
        <v>4082</v>
      </c>
      <c r="D6630" s="81" t="s">
        <v>224</v>
      </c>
      <c r="E6630" s="81" t="s">
        <v>6484</v>
      </c>
      <c r="F6630" s="81" t="s">
        <v>224</v>
      </c>
      <c r="G6630" s="81" t="s">
        <v>224</v>
      </c>
      <c r="H6630" s="81" t="s">
        <v>224</v>
      </c>
      <c r="I6630" s="81" t="s">
        <v>224</v>
      </c>
      <c r="J6630" s="81" t="s">
        <v>6485</v>
      </c>
    </row>
    <row r="6631" hidden="1">
      <c r="A6631" s="83" t="s">
        <v>6454</v>
      </c>
      <c r="B6631" s="83" t="s">
        <v>6455</v>
      </c>
      <c r="C6631" s="81" t="s">
        <v>4082</v>
      </c>
      <c r="D6631" s="81" t="s">
        <v>224</v>
      </c>
      <c r="E6631" s="81" t="s">
        <v>6486</v>
      </c>
      <c r="F6631" s="81" t="s">
        <v>224</v>
      </c>
      <c r="G6631" s="81" t="s">
        <v>224</v>
      </c>
      <c r="H6631" s="81" t="s">
        <v>224</v>
      </c>
      <c r="I6631" s="81" t="s">
        <v>224</v>
      </c>
      <c r="J6631" s="81" t="s">
        <v>6487</v>
      </c>
    </row>
    <row r="6632" hidden="1">
      <c r="A6632" s="83" t="s">
        <v>6454</v>
      </c>
      <c r="B6632" s="83" t="s">
        <v>6455</v>
      </c>
      <c r="C6632" s="81" t="s">
        <v>4082</v>
      </c>
      <c r="D6632" s="81" t="s">
        <v>224</v>
      </c>
      <c r="E6632" s="81" t="s">
        <v>6488</v>
      </c>
      <c r="F6632" s="81" t="s">
        <v>224</v>
      </c>
      <c r="G6632" s="81" t="s">
        <v>224</v>
      </c>
      <c r="H6632" s="81" t="s">
        <v>224</v>
      </c>
      <c r="I6632" s="81" t="s">
        <v>224</v>
      </c>
      <c r="J6632" s="81" t="s">
        <v>6489</v>
      </c>
    </row>
    <row r="6633" hidden="1">
      <c r="A6633" s="83" t="s">
        <v>6454</v>
      </c>
      <c r="B6633" s="83" t="s">
        <v>6455</v>
      </c>
      <c r="C6633" s="81" t="s">
        <v>4082</v>
      </c>
      <c r="D6633" s="81" t="s">
        <v>224</v>
      </c>
      <c r="E6633" s="81" t="s">
        <v>6490</v>
      </c>
      <c r="F6633" s="81" t="s">
        <v>224</v>
      </c>
      <c r="G6633" s="81" t="s">
        <v>224</v>
      </c>
      <c r="H6633" s="81" t="s">
        <v>224</v>
      </c>
      <c r="I6633" s="81" t="s">
        <v>224</v>
      </c>
      <c r="J6633" s="81" t="s">
        <v>6491</v>
      </c>
    </row>
    <row r="6634" hidden="1">
      <c r="A6634" s="83" t="s">
        <v>6454</v>
      </c>
      <c r="B6634" s="83" t="s">
        <v>6455</v>
      </c>
      <c r="C6634" s="81" t="s">
        <v>4082</v>
      </c>
      <c r="D6634" s="81" t="s">
        <v>224</v>
      </c>
      <c r="E6634" s="81" t="s">
        <v>6492</v>
      </c>
      <c r="F6634" s="81" t="s">
        <v>224</v>
      </c>
      <c r="G6634" s="81" t="s">
        <v>224</v>
      </c>
      <c r="H6634" s="81" t="s">
        <v>224</v>
      </c>
      <c r="I6634" s="81" t="s">
        <v>224</v>
      </c>
      <c r="J6634" s="81" t="s">
        <v>6493</v>
      </c>
    </row>
    <row r="6635" hidden="1">
      <c r="A6635" s="83" t="s">
        <v>6454</v>
      </c>
      <c r="B6635" s="83" t="s">
        <v>6455</v>
      </c>
      <c r="C6635" s="81" t="s">
        <v>4082</v>
      </c>
      <c r="D6635" s="81" t="s">
        <v>224</v>
      </c>
      <c r="E6635" s="81" t="s">
        <v>6494</v>
      </c>
      <c r="F6635" s="81" t="s">
        <v>224</v>
      </c>
      <c r="G6635" s="81" t="s">
        <v>224</v>
      </c>
      <c r="H6635" s="81" t="s">
        <v>224</v>
      </c>
      <c r="I6635" s="81" t="s">
        <v>224</v>
      </c>
      <c r="J6635" s="81" t="s">
        <v>6495</v>
      </c>
    </row>
    <row r="6636" hidden="1">
      <c r="A6636" s="83" t="s">
        <v>6454</v>
      </c>
      <c r="B6636" s="83" t="s">
        <v>6455</v>
      </c>
      <c r="C6636" s="81" t="s">
        <v>4082</v>
      </c>
      <c r="D6636" s="81" t="s">
        <v>224</v>
      </c>
      <c r="E6636" s="81" t="s">
        <v>6496</v>
      </c>
      <c r="F6636" s="81" t="s">
        <v>224</v>
      </c>
      <c r="G6636" s="81" t="s">
        <v>224</v>
      </c>
      <c r="H6636" s="81" t="s">
        <v>224</v>
      </c>
      <c r="I6636" s="81" t="s">
        <v>224</v>
      </c>
      <c r="J6636" s="81" t="s">
        <v>6497</v>
      </c>
    </row>
    <row r="6637" hidden="1">
      <c r="A6637" s="83" t="s">
        <v>6454</v>
      </c>
      <c r="B6637" s="83" t="s">
        <v>6455</v>
      </c>
      <c r="C6637" s="81" t="s">
        <v>4082</v>
      </c>
      <c r="D6637" s="81" t="s">
        <v>224</v>
      </c>
      <c r="E6637" s="81" t="s">
        <v>6498</v>
      </c>
      <c r="F6637" s="81" t="s">
        <v>224</v>
      </c>
      <c r="G6637" s="81" t="s">
        <v>224</v>
      </c>
      <c r="H6637" s="81" t="s">
        <v>224</v>
      </c>
      <c r="I6637" s="81" t="s">
        <v>224</v>
      </c>
      <c r="J6637" s="81" t="s">
        <v>6499</v>
      </c>
    </row>
    <row r="6638" hidden="1">
      <c r="A6638" s="83" t="s">
        <v>6454</v>
      </c>
      <c r="B6638" s="83" t="s">
        <v>6455</v>
      </c>
      <c r="C6638" s="81" t="s">
        <v>4082</v>
      </c>
      <c r="D6638" s="81" t="s">
        <v>224</v>
      </c>
      <c r="E6638" s="81" t="s">
        <v>6500</v>
      </c>
      <c r="F6638" s="81" t="s">
        <v>224</v>
      </c>
      <c r="G6638" s="81" t="s">
        <v>224</v>
      </c>
      <c r="H6638" s="81" t="s">
        <v>224</v>
      </c>
      <c r="I6638" s="81" t="s">
        <v>224</v>
      </c>
      <c r="J6638" s="81" t="s">
        <v>6501</v>
      </c>
    </row>
    <row r="6639" hidden="1">
      <c r="A6639" s="83" t="s">
        <v>6454</v>
      </c>
      <c r="B6639" s="83" t="s">
        <v>6455</v>
      </c>
      <c r="C6639" s="81" t="s">
        <v>4082</v>
      </c>
      <c r="D6639" s="81" t="s">
        <v>224</v>
      </c>
      <c r="E6639" s="81" t="s">
        <v>6502</v>
      </c>
      <c r="F6639" s="81" t="s">
        <v>224</v>
      </c>
      <c r="G6639" s="81" t="s">
        <v>224</v>
      </c>
      <c r="H6639" s="81" t="s">
        <v>224</v>
      </c>
      <c r="I6639" s="81" t="s">
        <v>224</v>
      </c>
      <c r="J6639" s="81" t="s">
        <v>6491</v>
      </c>
    </row>
    <row r="6640" hidden="1">
      <c r="A6640" s="83" t="s">
        <v>6454</v>
      </c>
      <c r="B6640" s="83" t="s">
        <v>6455</v>
      </c>
      <c r="C6640" s="81" t="s">
        <v>4082</v>
      </c>
      <c r="D6640" s="81" t="s">
        <v>224</v>
      </c>
      <c r="E6640" s="81" t="s">
        <v>6503</v>
      </c>
      <c r="F6640" s="81" t="s">
        <v>224</v>
      </c>
      <c r="G6640" s="81" t="s">
        <v>224</v>
      </c>
      <c r="H6640" s="81" t="s">
        <v>224</v>
      </c>
      <c r="I6640" s="81" t="s">
        <v>224</v>
      </c>
      <c r="J6640" s="81" t="s">
        <v>6473</v>
      </c>
    </row>
    <row r="6641" hidden="1">
      <c r="A6641" s="83" t="s">
        <v>6454</v>
      </c>
      <c r="B6641" s="83" t="s">
        <v>6455</v>
      </c>
      <c r="C6641" s="81" t="s">
        <v>4082</v>
      </c>
      <c r="D6641" s="81" t="s">
        <v>224</v>
      </c>
      <c r="E6641" s="81" t="s">
        <v>6504</v>
      </c>
      <c r="F6641" s="81" t="s">
        <v>224</v>
      </c>
      <c r="G6641" s="81" t="s">
        <v>224</v>
      </c>
      <c r="H6641" s="81" t="s">
        <v>224</v>
      </c>
      <c r="I6641" s="81" t="s">
        <v>224</v>
      </c>
      <c r="J6641" s="81" t="s">
        <v>6489</v>
      </c>
    </row>
    <row r="6642" hidden="1">
      <c r="A6642" s="83" t="s">
        <v>6454</v>
      </c>
      <c r="B6642" s="83" t="s">
        <v>6455</v>
      </c>
      <c r="C6642" s="81" t="s">
        <v>4082</v>
      </c>
      <c r="D6642" s="81" t="s">
        <v>224</v>
      </c>
      <c r="E6642" s="81" t="s">
        <v>6505</v>
      </c>
      <c r="F6642" s="81" t="s">
        <v>224</v>
      </c>
      <c r="G6642" s="81" t="s">
        <v>224</v>
      </c>
      <c r="H6642" s="81" t="s">
        <v>224</v>
      </c>
      <c r="I6642" s="81" t="s">
        <v>224</v>
      </c>
      <c r="J6642" s="81" t="s">
        <v>6469</v>
      </c>
    </row>
    <row r="6643" hidden="1">
      <c r="A6643" s="83" t="s">
        <v>6454</v>
      </c>
      <c r="B6643" s="83" t="s">
        <v>6455</v>
      </c>
      <c r="C6643" s="81" t="s">
        <v>4082</v>
      </c>
      <c r="D6643" s="81" t="s">
        <v>224</v>
      </c>
      <c r="E6643" s="81" t="s">
        <v>6506</v>
      </c>
      <c r="F6643" s="81" t="s">
        <v>224</v>
      </c>
      <c r="G6643" s="81" t="s">
        <v>224</v>
      </c>
      <c r="H6643" s="81" t="s">
        <v>224</v>
      </c>
      <c r="I6643" s="81" t="s">
        <v>224</v>
      </c>
      <c r="J6643" s="81" t="s">
        <v>6499</v>
      </c>
    </row>
    <row r="6644" hidden="1">
      <c r="A6644" s="83" t="s">
        <v>6454</v>
      </c>
      <c r="B6644" s="83" t="s">
        <v>6455</v>
      </c>
      <c r="C6644" s="81" t="s">
        <v>4082</v>
      </c>
      <c r="D6644" s="81" t="s">
        <v>224</v>
      </c>
      <c r="E6644" s="81" t="s">
        <v>6507</v>
      </c>
      <c r="F6644" s="81" t="s">
        <v>224</v>
      </c>
      <c r="G6644" s="81" t="s">
        <v>224</v>
      </c>
      <c r="H6644" s="81" t="s">
        <v>224</v>
      </c>
      <c r="I6644" s="81" t="s">
        <v>224</v>
      </c>
      <c r="J6644" s="81" t="s">
        <v>6485</v>
      </c>
    </row>
    <row r="6645" hidden="1">
      <c r="A6645" s="83" t="s">
        <v>6454</v>
      </c>
      <c r="B6645" s="83" t="s">
        <v>6455</v>
      </c>
      <c r="C6645" s="81" t="s">
        <v>4082</v>
      </c>
      <c r="D6645" s="81" t="s">
        <v>224</v>
      </c>
      <c r="E6645" s="81" t="s">
        <v>6508</v>
      </c>
      <c r="F6645" s="81" t="s">
        <v>224</v>
      </c>
      <c r="G6645" s="81" t="s">
        <v>224</v>
      </c>
      <c r="H6645" s="81" t="s">
        <v>224</v>
      </c>
      <c r="I6645" s="81" t="s">
        <v>224</v>
      </c>
      <c r="J6645" s="81" t="s">
        <v>6501</v>
      </c>
    </row>
    <row r="6646" hidden="1">
      <c r="A6646" s="83" t="s">
        <v>6454</v>
      </c>
      <c r="B6646" s="83" t="s">
        <v>6455</v>
      </c>
      <c r="C6646" s="81" t="s">
        <v>4082</v>
      </c>
      <c r="D6646" s="81" t="s">
        <v>224</v>
      </c>
      <c r="E6646" s="81" t="s">
        <v>6509</v>
      </c>
      <c r="F6646" s="81" t="s">
        <v>224</v>
      </c>
      <c r="G6646" s="81" t="s">
        <v>224</v>
      </c>
      <c r="H6646" s="81" t="s">
        <v>224</v>
      </c>
      <c r="I6646" s="81" t="s">
        <v>224</v>
      </c>
      <c r="J6646" s="81" t="s">
        <v>6481</v>
      </c>
    </row>
    <row r="6647" hidden="1">
      <c r="A6647" s="83" t="s">
        <v>6454</v>
      </c>
      <c r="B6647" s="83" t="s">
        <v>6455</v>
      </c>
      <c r="C6647" s="81" t="s">
        <v>4082</v>
      </c>
      <c r="D6647" s="81" t="s">
        <v>224</v>
      </c>
      <c r="E6647" s="81" t="s">
        <v>6510</v>
      </c>
      <c r="F6647" s="81" t="s">
        <v>224</v>
      </c>
      <c r="G6647" s="81" t="s">
        <v>224</v>
      </c>
      <c r="H6647" s="81" t="s">
        <v>224</v>
      </c>
      <c r="I6647" s="81" t="s">
        <v>224</v>
      </c>
      <c r="J6647" s="81" t="s">
        <v>6495</v>
      </c>
    </row>
    <row r="6648" hidden="1">
      <c r="A6648" s="83" t="s">
        <v>6454</v>
      </c>
      <c r="B6648" s="83" t="s">
        <v>6455</v>
      </c>
      <c r="C6648" s="81" t="s">
        <v>4082</v>
      </c>
      <c r="D6648" s="81" t="s">
        <v>224</v>
      </c>
      <c r="E6648" s="81" t="s">
        <v>6511</v>
      </c>
      <c r="F6648" s="81" t="s">
        <v>224</v>
      </c>
      <c r="G6648" s="81" t="s">
        <v>224</v>
      </c>
      <c r="H6648" s="81" t="s">
        <v>224</v>
      </c>
      <c r="I6648" s="81" t="s">
        <v>224</v>
      </c>
      <c r="J6648" s="81" t="s">
        <v>6477</v>
      </c>
    </row>
    <row r="6649" hidden="1">
      <c r="A6649" s="83" t="s">
        <v>6454</v>
      </c>
      <c r="B6649" s="83" t="s">
        <v>6455</v>
      </c>
      <c r="C6649" s="81" t="s">
        <v>4082</v>
      </c>
      <c r="D6649" s="81" t="s">
        <v>224</v>
      </c>
      <c r="E6649" s="81" t="s">
        <v>6512</v>
      </c>
      <c r="F6649" s="81" t="s">
        <v>224</v>
      </c>
      <c r="G6649" s="81" t="s">
        <v>224</v>
      </c>
      <c r="H6649" s="81" t="s">
        <v>224</v>
      </c>
      <c r="I6649" s="81" t="s">
        <v>224</v>
      </c>
      <c r="J6649" s="81" t="s">
        <v>6493</v>
      </c>
    </row>
    <row r="6650" hidden="1">
      <c r="A6650" s="83" t="s">
        <v>6454</v>
      </c>
      <c r="B6650" s="83" t="s">
        <v>6455</v>
      </c>
      <c r="C6650" s="81" t="s">
        <v>4082</v>
      </c>
      <c r="D6650" s="81" t="s">
        <v>224</v>
      </c>
      <c r="E6650" s="81" t="s">
        <v>6513</v>
      </c>
      <c r="F6650" s="81" t="s">
        <v>224</v>
      </c>
      <c r="G6650" s="81" t="s">
        <v>224</v>
      </c>
      <c r="H6650" s="81" t="s">
        <v>224</v>
      </c>
      <c r="I6650" s="81" t="s">
        <v>224</v>
      </c>
      <c r="J6650" s="81" t="s">
        <v>6475</v>
      </c>
    </row>
    <row r="6651" hidden="1">
      <c r="A6651" s="83" t="s">
        <v>6454</v>
      </c>
      <c r="B6651" s="83" t="s">
        <v>6455</v>
      </c>
      <c r="C6651" s="81" t="s">
        <v>4082</v>
      </c>
      <c r="D6651" s="81" t="s">
        <v>224</v>
      </c>
      <c r="E6651" s="81" t="s">
        <v>6514</v>
      </c>
      <c r="F6651" s="81" t="s">
        <v>224</v>
      </c>
      <c r="G6651" s="81" t="s">
        <v>224</v>
      </c>
      <c r="H6651" s="81" t="s">
        <v>224</v>
      </c>
      <c r="I6651" s="81" t="s">
        <v>224</v>
      </c>
      <c r="J6651" s="81" t="s">
        <v>6471</v>
      </c>
    </row>
    <row r="6652" hidden="1">
      <c r="A6652" s="83" t="s">
        <v>6454</v>
      </c>
      <c r="B6652" s="83" t="s">
        <v>6455</v>
      </c>
      <c r="C6652" s="81" t="s">
        <v>4082</v>
      </c>
      <c r="D6652" s="81" t="s">
        <v>224</v>
      </c>
      <c r="E6652" s="81" t="s">
        <v>6515</v>
      </c>
      <c r="F6652" s="81" t="s">
        <v>224</v>
      </c>
      <c r="G6652" s="81" t="s">
        <v>224</v>
      </c>
      <c r="H6652" s="81" t="s">
        <v>224</v>
      </c>
      <c r="I6652" s="81" t="s">
        <v>224</v>
      </c>
      <c r="J6652" s="81" t="s">
        <v>6483</v>
      </c>
    </row>
    <row r="6653" hidden="1">
      <c r="A6653" s="83" t="s">
        <v>6454</v>
      </c>
      <c r="B6653" s="83" t="s">
        <v>6455</v>
      </c>
      <c r="C6653" s="81" t="s">
        <v>4082</v>
      </c>
      <c r="D6653" s="81" t="s">
        <v>224</v>
      </c>
      <c r="E6653" s="81" t="s">
        <v>6516</v>
      </c>
      <c r="F6653" s="81" t="s">
        <v>224</v>
      </c>
      <c r="G6653" s="81" t="s">
        <v>224</v>
      </c>
      <c r="H6653" s="81" t="s">
        <v>224</v>
      </c>
      <c r="I6653" s="81" t="s">
        <v>224</v>
      </c>
      <c r="J6653" s="81" t="s">
        <v>6497</v>
      </c>
    </row>
    <row r="6654" hidden="1">
      <c r="A6654" s="83" t="s">
        <v>6454</v>
      </c>
      <c r="B6654" s="83" t="s">
        <v>6455</v>
      </c>
      <c r="C6654" s="81" t="s">
        <v>4082</v>
      </c>
      <c r="D6654" s="81" t="s">
        <v>224</v>
      </c>
      <c r="E6654" s="81" t="s">
        <v>6517</v>
      </c>
      <c r="F6654" s="81" t="s">
        <v>224</v>
      </c>
      <c r="G6654" s="81" t="s">
        <v>224</v>
      </c>
      <c r="H6654" s="81" t="s">
        <v>224</v>
      </c>
      <c r="I6654" s="81" t="s">
        <v>224</v>
      </c>
      <c r="J6654" s="81" t="s">
        <v>6479</v>
      </c>
    </row>
    <row r="6655" hidden="1">
      <c r="A6655" s="83" t="s">
        <v>6454</v>
      </c>
      <c r="B6655" s="83" t="s">
        <v>6455</v>
      </c>
      <c r="C6655" s="81" t="s">
        <v>4082</v>
      </c>
      <c r="D6655" s="81" t="s">
        <v>224</v>
      </c>
      <c r="E6655" s="81" t="s">
        <v>6518</v>
      </c>
      <c r="F6655" s="81" t="s">
        <v>224</v>
      </c>
      <c r="G6655" s="81" t="s">
        <v>224</v>
      </c>
      <c r="H6655" s="81" t="s">
        <v>224</v>
      </c>
      <c r="I6655" s="81" t="s">
        <v>224</v>
      </c>
      <c r="J6655" s="81" t="s">
        <v>6487</v>
      </c>
    </row>
    <row r="6656" hidden="1">
      <c r="A6656" s="83" t="s">
        <v>6454</v>
      </c>
      <c r="B6656" s="83" t="s">
        <v>6455</v>
      </c>
      <c r="C6656" s="81" t="s">
        <v>4082</v>
      </c>
      <c r="D6656" s="81" t="s">
        <v>224</v>
      </c>
      <c r="E6656" s="81" t="s">
        <v>6519</v>
      </c>
      <c r="F6656" s="81" t="s">
        <v>224</v>
      </c>
      <c r="G6656" s="81" t="s">
        <v>224</v>
      </c>
      <c r="H6656" s="81" t="s">
        <v>224</v>
      </c>
      <c r="I6656" s="81" t="s">
        <v>224</v>
      </c>
      <c r="J6656" s="81" t="s">
        <v>6467</v>
      </c>
    </row>
    <row r="6657" hidden="1">
      <c r="A6657" s="83" t="s">
        <v>6454</v>
      </c>
      <c r="B6657" s="83" t="s">
        <v>6455</v>
      </c>
      <c r="C6657" s="81" t="s">
        <v>4082</v>
      </c>
      <c r="D6657" s="81" t="s">
        <v>224</v>
      </c>
      <c r="E6657" s="81" t="s">
        <v>6520</v>
      </c>
      <c r="F6657" s="81" t="s">
        <v>224</v>
      </c>
      <c r="G6657" s="81" t="s">
        <v>224</v>
      </c>
      <c r="H6657" s="81" t="s">
        <v>224</v>
      </c>
      <c r="I6657" s="81" t="s">
        <v>224</v>
      </c>
      <c r="J6657" s="81" t="s">
        <v>6521</v>
      </c>
    </row>
    <row r="6658" hidden="1">
      <c r="A6658" s="83" t="s">
        <v>6454</v>
      </c>
      <c r="B6658" s="83" t="s">
        <v>6455</v>
      </c>
      <c r="C6658" s="81" t="s">
        <v>4082</v>
      </c>
      <c r="D6658" s="81" t="s">
        <v>224</v>
      </c>
      <c r="E6658" s="81" t="s">
        <v>6522</v>
      </c>
      <c r="F6658" s="81" t="s">
        <v>224</v>
      </c>
      <c r="G6658" s="81" t="s">
        <v>224</v>
      </c>
      <c r="H6658" s="81" t="s">
        <v>224</v>
      </c>
      <c r="I6658" s="81" t="s">
        <v>224</v>
      </c>
      <c r="J6658" s="81" t="s">
        <v>6521</v>
      </c>
    </row>
    <row r="6659" hidden="1">
      <c r="A6659" s="83" t="s">
        <v>6454</v>
      </c>
      <c r="B6659" s="83" t="s">
        <v>6455</v>
      </c>
      <c r="C6659" s="81" t="s">
        <v>4082</v>
      </c>
      <c r="D6659" s="81" t="s">
        <v>224</v>
      </c>
      <c r="E6659" s="81" t="s">
        <v>6523</v>
      </c>
      <c r="F6659" s="81" t="s">
        <v>224</v>
      </c>
      <c r="G6659" s="81" t="s">
        <v>224</v>
      </c>
      <c r="H6659" s="81" t="s">
        <v>224</v>
      </c>
      <c r="I6659" s="81" t="s">
        <v>224</v>
      </c>
      <c r="J6659" s="81" t="s">
        <v>6524</v>
      </c>
    </row>
    <row r="6660" hidden="1">
      <c r="A6660" s="83" t="s">
        <v>6454</v>
      </c>
      <c r="B6660" s="83" t="s">
        <v>6455</v>
      </c>
      <c r="C6660" s="81" t="s">
        <v>4082</v>
      </c>
      <c r="D6660" s="81" t="s">
        <v>224</v>
      </c>
      <c r="E6660" s="81" t="s">
        <v>6525</v>
      </c>
      <c r="F6660" s="81" t="s">
        <v>224</v>
      </c>
      <c r="G6660" s="81" t="s">
        <v>224</v>
      </c>
      <c r="H6660" s="81" t="s">
        <v>224</v>
      </c>
      <c r="I6660" s="81" t="s">
        <v>224</v>
      </c>
      <c r="J6660" s="81" t="s">
        <v>6526</v>
      </c>
    </row>
    <row r="6661" hidden="1">
      <c r="A6661" s="83" t="s">
        <v>6454</v>
      </c>
      <c r="B6661" s="83" t="s">
        <v>6455</v>
      </c>
      <c r="C6661" s="81" t="s">
        <v>4082</v>
      </c>
      <c r="D6661" s="81" t="s">
        <v>224</v>
      </c>
      <c r="E6661" s="81" t="s">
        <v>6527</v>
      </c>
      <c r="F6661" s="81" t="s">
        <v>224</v>
      </c>
      <c r="G6661" s="81" t="s">
        <v>224</v>
      </c>
      <c r="H6661" s="81" t="s">
        <v>224</v>
      </c>
      <c r="I6661" s="81" t="s">
        <v>224</v>
      </c>
      <c r="J6661" s="81" t="s">
        <v>6528</v>
      </c>
    </row>
    <row r="6662" hidden="1">
      <c r="A6662" s="83" t="s">
        <v>6454</v>
      </c>
      <c r="B6662" s="83" t="s">
        <v>6455</v>
      </c>
      <c r="C6662" s="81" t="s">
        <v>4082</v>
      </c>
      <c r="D6662" s="81" t="s">
        <v>224</v>
      </c>
      <c r="E6662" s="81" t="s">
        <v>6529</v>
      </c>
      <c r="F6662" s="81" t="s">
        <v>224</v>
      </c>
      <c r="G6662" s="81" t="s">
        <v>224</v>
      </c>
      <c r="H6662" s="81" t="s">
        <v>224</v>
      </c>
      <c r="I6662" s="81" t="s">
        <v>224</v>
      </c>
      <c r="J6662" s="81" t="s">
        <v>6530</v>
      </c>
    </row>
    <row r="6663" hidden="1">
      <c r="A6663" s="83" t="s">
        <v>6454</v>
      </c>
      <c r="B6663" s="83" t="s">
        <v>6455</v>
      </c>
      <c r="C6663" s="81" t="s">
        <v>4082</v>
      </c>
      <c r="D6663" s="81" t="s">
        <v>224</v>
      </c>
      <c r="E6663" s="81" t="s">
        <v>6531</v>
      </c>
      <c r="F6663" s="81" t="s">
        <v>224</v>
      </c>
      <c r="G6663" s="81" t="s">
        <v>224</v>
      </c>
      <c r="H6663" s="81" t="s">
        <v>224</v>
      </c>
      <c r="I6663" s="81" t="s">
        <v>224</v>
      </c>
      <c r="J6663" s="81" t="s">
        <v>6530</v>
      </c>
    </row>
    <row r="6664" hidden="1">
      <c r="A6664" s="83" t="s">
        <v>6454</v>
      </c>
      <c r="B6664" s="83" t="s">
        <v>6455</v>
      </c>
      <c r="C6664" s="81" t="s">
        <v>4082</v>
      </c>
      <c r="D6664" s="81" t="s">
        <v>224</v>
      </c>
      <c r="E6664" s="81" t="s">
        <v>6532</v>
      </c>
      <c r="F6664" s="81" t="s">
        <v>224</v>
      </c>
      <c r="G6664" s="81" t="s">
        <v>224</v>
      </c>
      <c r="H6664" s="81" t="s">
        <v>224</v>
      </c>
      <c r="I6664" s="81" t="s">
        <v>224</v>
      </c>
      <c r="J6664" s="81" t="s">
        <v>6533</v>
      </c>
    </row>
    <row r="6665" hidden="1">
      <c r="A6665" s="83" t="s">
        <v>6454</v>
      </c>
      <c r="B6665" s="83" t="s">
        <v>6455</v>
      </c>
      <c r="C6665" s="81" t="s">
        <v>4082</v>
      </c>
      <c r="D6665" s="81" t="s">
        <v>224</v>
      </c>
      <c r="E6665" s="81" t="s">
        <v>6534</v>
      </c>
      <c r="F6665" s="81" t="s">
        <v>224</v>
      </c>
      <c r="G6665" s="81" t="s">
        <v>224</v>
      </c>
      <c r="H6665" s="81" t="s">
        <v>224</v>
      </c>
      <c r="I6665" s="81" t="s">
        <v>224</v>
      </c>
      <c r="J6665" s="81" t="s">
        <v>6533</v>
      </c>
    </row>
    <row r="6666" hidden="1">
      <c r="A6666" s="83" t="s">
        <v>6454</v>
      </c>
      <c r="B6666" s="83" t="s">
        <v>6455</v>
      </c>
      <c r="C6666" s="81" t="s">
        <v>4082</v>
      </c>
      <c r="D6666" s="81" t="s">
        <v>224</v>
      </c>
      <c r="E6666" s="81" t="s">
        <v>6535</v>
      </c>
      <c r="F6666" s="81" t="s">
        <v>224</v>
      </c>
      <c r="G6666" s="81" t="s">
        <v>224</v>
      </c>
      <c r="H6666" s="81" t="s">
        <v>224</v>
      </c>
      <c r="I6666" s="81" t="s">
        <v>224</v>
      </c>
      <c r="J6666" s="81" t="s">
        <v>6536</v>
      </c>
    </row>
    <row r="6667" hidden="1">
      <c r="A6667" s="83" t="s">
        <v>6454</v>
      </c>
      <c r="B6667" s="83" t="s">
        <v>6455</v>
      </c>
      <c r="C6667" s="81" t="s">
        <v>4082</v>
      </c>
      <c r="D6667" s="81" t="s">
        <v>224</v>
      </c>
      <c r="E6667" s="81" t="s">
        <v>6537</v>
      </c>
      <c r="F6667" s="81" t="s">
        <v>224</v>
      </c>
      <c r="G6667" s="81" t="s">
        <v>224</v>
      </c>
      <c r="H6667" s="81" t="s">
        <v>224</v>
      </c>
      <c r="I6667" s="81" t="s">
        <v>224</v>
      </c>
      <c r="J6667" s="81" t="s">
        <v>6536</v>
      </c>
    </row>
    <row r="6668" hidden="1">
      <c r="A6668" s="83" t="s">
        <v>6454</v>
      </c>
      <c r="B6668" s="83" t="s">
        <v>6455</v>
      </c>
      <c r="C6668" s="81" t="s">
        <v>4082</v>
      </c>
      <c r="D6668" s="81" t="s">
        <v>224</v>
      </c>
      <c r="E6668" s="81" t="s">
        <v>6538</v>
      </c>
      <c r="F6668" s="81" t="s">
        <v>224</v>
      </c>
      <c r="G6668" s="81" t="s">
        <v>224</v>
      </c>
      <c r="H6668" s="81" t="s">
        <v>224</v>
      </c>
      <c r="I6668" s="81" t="s">
        <v>224</v>
      </c>
      <c r="J6668" s="81" t="s">
        <v>6539</v>
      </c>
    </row>
    <row r="6669" hidden="1">
      <c r="A6669" s="83" t="s">
        <v>6454</v>
      </c>
      <c r="B6669" s="83" t="s">
        <v>6455</v>
      </c>
      <c r="C6669" s="81" t="s">
        <v>4082</v>
      </c>
      <c r="D6669" s="81" t="s">
        <v>224</v>
      </c>
      <c r="E6669" s="81" t="s">
        <v>6540</v>
      </c>
      <c r="F6669" s="81" t="s">
        <v>224</v>
      </c>
      <c r="G6669" s="81" t="s">
        <v>224</v>
      </c>
      <c r="H6669" s="81" t="s">
        <v>224</v>
      </c>
      <c r="I6669" s="81" t="s">
        <v>224</v>
      </c>
      <c r="J6669" s="81" t="s">
        <v>6539</v>
      </c>
    </row>
    <row r="6670" hidden="1">
      <c r="A6670" s="83" t="s">
        <v>6454</v>
      </c>
      <c r="B6670" s="83" t="s">
        <v>6455</v>
      </c>
      <c r="C6670" s="81" t="s">
        <v>4082</v>
      </c>
      <c r="D6670" s="81" t="s">
        <v>224</v>
      </c>
      <c r="E6670" s="81" t="s">
        <v>6541</v>
      </c>
      <c r="F6670" s="81" t="s">
        <v>224</v>
      </c>
      <c r="G6670" s="81" t="s">
        <v>224</v>
      </c>
      <c r="H6670" s="81" t="s">
        <v>224</v>
      </c>
      <c r="I6670" s="81" t="s">
        <v>224</v>
      </c>
      <c r="J6670" s="81" t="s">
        <v>6542</v>
      </c>
    </row>
    <row r="6671" hidden="1">
      <c r="A6671" s="83" t="s">
        <v>6454</v>
      </c>
      <c r="B6671" s="83" t="s">
        <v>6455</v>
      </c>
      <c r="C6671" s="81" t="s">
        <v>4082</v>
      </c>
      <c r="D6671" s="81" t="s">
        <v>224</v>
      </c>
      <c r="E6671" s="81" t="s">
        <v>6543</v>
      </c>
      <c r="F6671" s="81" t="s">
        <v>224</v>
      </c>
      <c r="G6671" s="81" t="s">
        <v>224</v>
      </c>
      <c r="H6671" s="81" t="s">
        <v>224</v>
      </c>
      <c r="I6671" s="81" t="s">
        <v>224</v>
      </c>
      <c r="J6671" s="81" t="s">
        <v>6542</v>
      </c>
    </row>
    <row r="6672" hidden="1">
      <c r="A6672" s="83" t="s">
        <v>6454</v>
      </c>
      <c r="B6672" s="83" t="s">
        <v>6455</v>
      </c>
      <c r="C6672" s="81" t="s">
        <v>4082</v>
      </c>
      <c r="D6672" s="81" t="s">
        <v>224</v>
      </c>
      <c r="E6672" s="81" t="s">
        <v>6544</v>
      </c>
      <c r="F6672" s="81" t="s">
        <v>224</v>
      </c>
      <c r="G6672" s="81" t="s">
        <v>224</v>
      </c>
      <c r="H6672" s="81" t="s">
        <v>224</v>
      </c>
      <c r="I6672" s="81" t="s">
        <v>224</v>
      </c>
      <c r="J6672" s="81" t="s">
        <v>6545</v>
      </c>
    </row>
    <row r="6673" hidden="1">
      <c r="A6673" s="83" t="s">
        <v>6454</v>
      </c>
      <c r="B6673" s="83" t="s">
        <v>6455</v>
      </c>
      <c r="C6673" s="81" t="s">
        <v>4082</v>
      </c>
      <c r="D6673" s="81" t="s">
        <v>224</v>
      </c>
      <c r="E6673" s="81" t="s">
        <v>6546</v>
      </c>
      <c r="F6673" s="81" t="s">
        <v>224</v>
      </c>
      <c r="G6673" s="81" t="s">
        <v>224</v>
      </c>
      <c r="H6673" s="81" t="s">
        <v>224</v>
      </c>
      <c r="I6673" s="81" t="s">
        <v>224</v>
      </c>
      <c r="J6673" s="81" t="s">
        <v>6545</v>
      </c>
    </row>
    <row r="6674" hidden="1">
      <c r="A6674" s="83" t="s">
        <v>6454</v>
      </c>
      <c r="B6674" s="83" t="s">
        <v>6455</v>
      </c>
      <c r="C6674" s="81" t="s">
        <v>4082</v>
      </c>
      <c r="D6674" s="81" t="s">
        <v>224</v>
      </c>
      <c r="E6674" s="81" t="s">
        <v>6547</v>
      </c>
      <c r="F6674" s="81" t="s">
        <v>224</v>
      </c>
      <c r="G6674" s="81" t="s">
        <v>224</v>
      </c>
      <c r="H6674" s="81" t="s">
        <v>224</v>
      </c>
      <c r="I6674" s="81" t="s">
        <v>224</v>
      </c>
      <c r="J6674" s="81" t="s">
        <v>6548</v>
      </c>
    </row>
    <row r="6675" hidden="1">
      <c r="A6675" s="83" t="s">
        <v>6454</v>
      </c>
      <c r="B6675" s="83" t="s">
        <v>6455</v>
      </c>
      <c r="C6675" s="81" t="s">
        <v>4082</v>
      </c>
      <c r="D6675" s="81" t="s">
        <v>224</v>
      </c>
      <c r="E6675" s="81" t="s">
        <v>6549</v>
      </c>
      <c r="F6675" s="81" t="s">
        <v>224</v>
      </c>
      <c r="G6675" s="81" t="s">
        <v>224</v>
      </c>
      <c r="H6675" s="81" t="s">
        <v>224</v>
      </c>
      <c r="I6675" s="81" t="s">
        <v>224</v>
      </c>
      <c r="J6675" s="81" t="s">
        <v>6548</v>
      </c>
    </row>
    <row r="6676" hidden="1">
      <c r="A6676" s="83" t="s">
        <v>6454</v>
      </c>
      <c r="B6676" s="83" t="s">
        <v>6455</v>
      </c>
      <c r="C6676" s="81" t="s">
        <v>4082</v>
      </c>
      <c r="D6676" s="81" t="s">
        <v>224</v>
      </c>
      <c r="E6676" s="81" t="s">
        <v>6550</v>
      </c>
      <c r="F6676" s="81" t="s">
        <v>224</v>
      </c>
      <c r="G6676" s="81" t="s">
        <v>224</v>
      </c>
      <c r="H6676" s="81" t="s">
        <v>224</v>
      </c>
      <c r="I6676" s="81" t="s">
        <v>224</v>
      </c>
      <c r="J6676" s="81" t="s">
        <v>6551</v>
      </c>
    </row>
    <row r="6677" hidden="1">
      <c r="A6677" s="83" t="s">
        <v>6454</v>
      </c>
      <c r="B6677" s="83" t="s">
        <v>6455</v>
      </c>
      <c r="C6677" s="81" t="s">
        <v>4082</v>
      </c>
      <c r="D6677" s="81" t="s">
        <v>224</v>
      </c>
      <c r="E6677" s="81" t="s">
        <v>6552</v>
      </c>
      <c r="F6677" s="81" t="s">
        <v>224</v>
      </c>
      <c r="G6677" s="81" t="s">
        <v>224</v>
      </c>
      <c r="H6677" s="81" t="s">
        <v>224</v>
      </c>
      <c r="I6677" s="81" t="s">
        <v>224</v>
      </c>
      <c r="J6677" s="81" t="s">
        <v>6551</v>
      </c>
    </row>
    <row r="6678" hidden="1">
      <c r="A6678" s="83" t="s">
        <v>6454</v>
      </c>
      <c r="B6678" s="83" t="s">
        <v>6455</v>
      </c>
      <c r="C6678" s="81" t="s">
        <v>4082</v>
      </c>
      <c r="D6678" s="81" t="s">
        <v>224</v>
      </c>
      <c r="E6678" s="81" t="s">
        <v>6553</v>
      </c>
      <c r="F6678" s="81" t="s">
        <v>224</v>
      </c>
      <c r="G6678" s="81" t="s">
        <v>224</v>
      </c>
      <c r="H6678" s="81" t="s">
        <v>224</v>
      </c>
      <c r="I6678" s="81" t="s">
        <v>224</v>
      </c>
      <c r="J6678" s="81" t="s">
        <v>6554</v>
      </c>
    </row>
    <row r="6679" hidden="1">
      <c r="A6679" s="83" t="s">
        <v>6454</v>
      </c>
      <c r="B6679" s="83" t="s">
        <v>6455</v>
      </c>
      <c r="C6679" s="81" t="s">
        <v>4082</v>
      </c>
      <c r="D6679" s="81" t="s">
        <v>224</v>
      </c>
      <c r="E6679" s="81" t="s">
        <v>6555</v>
      </c>
      <c r="F6679" s="81" t="s">
        <v>224</v>
      </c>
      <c r="G6679" s="81" t="s">
        <v>224</v>
      </c>
      <c r="H6679" s="81" t="s">
        <v>224</v>
      </c>
      <c r="I6679" s="81" t="s">
        <v>224</v>
      </c>
      <c r="J6679" s="81" t="s">
        <v>6554</v>
      </c>
    </row>
    <row r="6680" hidden="1">
      <c r="A6680" s="83" t="s">
        <v>6454</v>
      </c>
      <c r="B6680" s="83" t="s">
        <v>6455</v>
      </c>
      <c r="C6680" s="81" t="s">
        <v>4082</v>
      </c>
      <c r="D6680" s="81" t="s">
        <v>224</v>
      </c>
      <c r="E6680" s="81" t="s">
        <v>6556</v>
      </c>
      <c r="F6680" s="81" t="s">
        <v>224</v>
      </c>
      <c r="G6680" s="81" t="s">
        <v>224</v>
      </c>
      <c r="H6680" s="81" t="s">
        <v>224</v>
      </c>
      <c r="I6680" s="81" t="s">
        <v>224</v>
      </c>
      <c r="J6680" s="81" t="s">
        <v>6557</v>
      </c>
    </row>
    <row r="6681" hidden="1">
      <c r="A6681" s="83" t="s">
        <v>6454</v>
      </c>
      <c r="B6681" s="83" t="s">
        <v>6455</v>
      </c>
      <c r="C6681" s="81" t="s">
        <v>4082</v>
      </c>
      <c r="D6681" s="81" t="s">
        <v>224</v>
      </c>
      <c r="E6681" s="81" t="s">
        <v>6558</v>
      </c>
      <c r="F6681" s="81" t="s">
        <v>224</v>
      </c>
      <c r="G6681" s="81" t="s">
        <v>224</v>
      </c>
      <c r="H6681" s="81" t="s">
        <v>224</v>
      </c>
      <c r="I6681" s="81" t="s">
        <v>224</v>
      </c>
      <c r="J6681" s="81" t="s">
        <v>6559</v>
      </c>
    </row>
    <row r="6682" hidden="1">
      <c r="A6682" s="83" t="s">
        <v>6454</v>
      </c>
      <c r="B6682" s="83" t="s">
        <v>6455</v>
      </c>
      <c r="C6682" s="81" t="s">
        <v>4082</v>
      </c>
      <c r="D6682" s="81" t="s">
        <v>224</v>
      </c>
      <c r="E6682" s="81" t="s">
        <v>6560</v>
      </c>
      <c r="F6682" s="81" t="s">
        <v>224</v>
      </c>
      <c r="G6682" s="81" t="s">
        <v>224</v>
      </c>
      <c r="H6682" s="81" t="s">
        <v>224</v>
      </c>
      <c r="I6682" s="81" t="s">
        <v>224</v>
      </c>
      <c r="J6682" s="81" t="s">
        <v>6561</v>
      </c>
    </row>
    <row r="6683" hidden="1">
      <c r="A6683" s="83" t="s">
        <v>6454</v>
      </c>
      <c r="B6683" s="83" t="s">
        <v>6455</v>
      </c>
      <c r="C6683" s="81" t="s">
        <v>4082</v>
      </c>
      <c r="D6683" s="81" t="s">
        <v>224</v>
      </c>
      <c r="E6683" s="81" t="s">
        <v>6562</v>
      </c>
      <c r="F6683" s="81" t="s">
        <v>224</v>
      </c>
      <c r="G6683" s="81" t="s">
        <v>224</v>
      </c>
      <c r="H6683" s="81" t="s">
        <v>224</v>
      </c>
      <c r="I6683" s="81" t="s">
        <v>224</v>
      </c>
      <c r="J6683" s="81" t="s">
        <v>6563</v>
      </c>
    </row>
    <row r="6684" hidden="1">
      <c r="A6684" s="83" t="s">
        <v>6454</v>
      </c>
      <c r="B6684" s="83" t="s">
        <v>6455</v>
      </c>
      <c r="C6684" s="81" t="s">
        <v>4082</v>
      </c>
      <c r="D6684" s="81" t="s">
        <v>224</v>
      </c>
      <c r="E6684" s="81" t="s">
        <v>6564</v>
      </c>
      <c r="F6684" s="81" t="s">
        <v>224</v>
      </c>
      <c r="G6684" s="81" t="s">
        <v>224</v>
      </c>
      <c r="H6684" s="81" t="s">
        <v>224</v>
      </c>
      <c r="I6684" s="81" t="s">
        <v>224</v>
      </c>
      <c r="J6684" s="81" t="s">
        <v>6565</v>
      </c>
    </row>
    <row r="6685" hidden="1">
      <c r="A6685" s="83" t="s">
        <v>6454</v>
      </c>
      <c r="B6685" s="83" t="s">
        <v>6455</v>
      </c>
      <c r="C6685" s="81" t="s">
        <v>4082</v>
      </c>
      <c r="D6685" s="81" t="s">
        <v>224</v>
      </c>
      <c r="E6685" s="81" t="s">
        <v>6566</v>
      </c>
      <c r="F6685" s="81" t="s">
        <v>224</v>
      </c>
      <c r="G6685" s="81" t="s">
        <v>224</v>
      </c>
      <c r="H6685" s="81" t="s">
        <v>224</v>
      </c>
      <c r="I6685" s="81" t="s">
        <v>224</v>
      </c>
      <c r="J6685" s="81" t="s">
        <v>6567</v>
      </c>
    </row>
    <row r="6686" hidden="1">
      <c r="A6686" s="83" t="s">
        <v>6454</v>
      </c>
      <c r="B6686" s="83" t="s">
        <v>6455</v>
      </c>
      <c r="C6686" s="81" t="s">
        <v>4082</v>
      </c>
      <c r="D6686" s="81" t="s">
        <v>224</v>
      </c>
      <c r="E6686" s="81" t="s">
        <v>6568</v>
      </c>
      <c r="F6686" s="81" t="s">
        <v>224</v>
      </c>
      <c r="G6686" s="81" t="s">
        <v>224</v>
      </c>
      <c r="H6686" s="81" t="s">
        <v>224</v>
      </c>
      <c r="I6686" s="81" t="s">
        <v>224</v>
      </c>
      <c r="J6686" s="81" t="s">
        <v>6569</v>
      </c>
    </row>
    <row r="6687" hidden="1">
      <c r="A6687" s="83" t="s">
        <v>6454</v>
      </c>
      <c r="B6687" s="83" t="s">
        <v>6455</v>
      </c>
      <c r="C6687" s="81" t="s">
        <v>4082</v>
      </c>
      <c r="D6687" s="81" t="s">
        <v>224</v>
      </c>
      <c r="E6687" s="81" t="s">
        <v>6570</v>
      </c>
      <c r="F6687" s="81" t="s">
        <v>224</v>
      </c>
      <c r="G6687" s="81" t="s">
        <v>224</v>
      </c>
      <c r="H6687" s="81" t="s">
        <v>224</v>
      </c>
      <c r="I6687" s="81" t="s">
        <v>224</v>
      </c>
      <c r="J6687" s="81" t="s">
        <v>6571</v>
      </c>
    </row>
    <row r="6688" hidden="1">
      <c r="A6688" s="83" t="s">
        <v>6454</v>
      </c>
      <c r="B6688" s="83" t="s">
        <v>6455</v>
      </c>
      <c r="C6688" s="81" t="s">
        <v>4082</v>
      </c>
      <c r="D6688" s="81" t="s">
        <v>224</v>
      </c>
      <c r="E6688" s="81" t="s">
        <v>6572</v>
      </c>
      <c r="F6688" s="81" t="s">
        <v>224</v>
      </c>
      <c r="G6688" s="81" t="s">
        <v>224</v>
      </c>
      <c r="H6688" s="81" t="s">
        <v>224</v>
      </c>
      <c r="I6688" s="81" t="s">
        <v>224</v>
      </c>
      <c r="J6688" s="81" t="s">
        <v>6571</v>
      </c>
    </row>
    <row r="6689" hidden="1">
      <c r="A6689" s="83" t="s">
        <v>6454</v>
      </c>
      <c r="B6689" s="83" t="s">
        <v>6455</v>
      </c>
      <c r="C6689" s="81" t="s">
        <v>4082</v>
      </c>
      <c r="D6689" s="81" t="s">
        <v>224</v>
      </c>
      <c r="E6689" s="81" t="s">
        <v>6573</v>
      </c>
      <c r="F6689" s="81" t="s">
        <v>224</v>
      </c>
      <c r="G6689" s="81" t="s">
        <v>224</v>
      </c>
      <c r="H6689" s="81" t="s">
        <v>224</v>
      </c>
      <c r="I6689" s="81" t="s">
        <v>224</v>
      </c>
      <c r="J6689" s="81" t="s">
        <v>6574</v>
      </c>
    </row>
    <row r="6690" hidden="1">
      <c r="A6690" s="83" t="s">
        <v>6454</v>
      </c>
      <c r="B6690" s="83" t="s">
        <v>6455</v>
      </c>
      <c r="C6690" s="81" t="s">
        <v>4082</v>
      </c>
      <c r="D6690" s="81" t="s">
        <v>224</v>
      </c>
      <c r="E6690" s="81" t="s">
        <v>6575</v>
      </c>
      <c r="F6690" s="81" t="s">
        <v>224</v>
      </c>
      <c r="G6690" s="81" t="s">
        <v>224</v>
      </c>
      <c r="H6690" s="81" t="s">
        <v>224</v>
      </c>
      <c r="I6690" s="81" t="s">
        <v>224</v>
      </c>
      <c r="J6690" s="81" t="s">
        <v>6574</v>
      </c>
    </row>
    <row r="6691" hidden="1">
      <c r="A6691" s="83" t="s">
        <v>6454</v>
      </c>
      <c r="B6691" s="83" t="s">
        <v>6455</v>
      </c>
      <c r="C6691" s="81" t="s">
        <v>4082</v>
      </c>
      <c r="D6691" s="81" t="s">
        <v>224</v>
      </c>
      <c r="E6691" s="81" t="s">
        <v>6576</v>
      </c>
      <c r="F6691" s="81" t="s">
        <v>224</v>
      </c>
      <c r="G6691" s="81" t="s">
        <v>224</v>
      </c>
      <c r="H6691" s="81" t="s">
        <v>224</v>
      </c>
      <c r="I6691" s="81" t="s">
        <v>224</v>
      </c>
      <c r="J6691" s="81" t="s">
        <v>6577</v>
      </c>
    </row>
    <row r="6692" hidden="1">
      <c r="A6692" s="83" t="s">
        <v>6454</v>
      </c>
      <c r="B6692" s="83" t="s">
        <v>6455</v>
      </c>
      <c r="C6692" s="81" t="s">
        <v>4082</v>
      </c>
      <c r="D6692" s="81" t="s">
        <v>224</v>
      </c>
      <c r="E6692" s="81" t="s">
        <v>6578</v>
      </c>
      <c r="F6692" s="81" t="s">
        <v>224</v>
      </c>
      <c r="G6692" s="81" t="s">
        <v>224</v>
      </c>
      <c r="H6692" s="81" t="s">
        <v>224</v>
      </c>
      <c r="I6692" s="81" t="s">
        <v>224</v>
      </c>
      <c r="J6692" s="81" t="s">
        <v>6579</v>
      </c>
    </row>
    <row r="6693" hidden="1">
      <c r="A6693" s="83" t="s">
        <v>6454</v>
      </c>
      <c r="B6693" s="83" t="s">
        <v>6455</v>
      </c>
      <c r="C6693" s="81" t="s">
        <v>4082</v>
      </c>
      <c r="D6693" s="81" t="s">
        <v>224</v>
      </c>
      <c r="E6693" s="81" t="s">
        <v>6580</v>
      </c>
      <c r="F6693" s="81" t="s">
        <v>224</v>
      </c>
      <c r="G6693" s="81" t="s">
        <v>224</v>
      </c>
      <c r="H6693" s="81" t="s">
        <v>224</v>
      </c>
      <c r="I6693" s="81" t="s">
        <v>224</v>
      </c>
      <c r="J6693" s="81" t="s">
        <v>6579</v>
      </c>
    </row>
    <row r="6694" hidden="1">
      <c r="A6694" s="83" t="s">
        <v>6454</v>
      </c>
      <c r="B6694" s="83" t="s">
        <v>6455</v>
      </c>
      <c r="C6694" s="81" t="s">
        <v>4082</v>
      </c>
      <c r="D6694" s="81" t="s">
        <v>224</v>
      </c>
      <c r="E6694" s="81" t="s">
        <v>6581</v>
      </c>
      <c r="F6694" s="81" t="s">
        <v>224</v>
      </c>
      <c r="G6694" s="81" t="s">
        <v>224</v>
      </c>
      <c r="H6694" s="81" t="s">
        <v>224</v>
      </c>
      <c r="I6694" s="81" t="s">
        <v>224</v>
      </c>
      <c r="J6694" s="81" t="s">
        <v>6582</v>
      </c>
    </row>
    <row r="6695" hidden="1">
      <c r="A6695" s="83" t="s">
        <v>6454</v>
      </c>
      <c r="B6695" s="83" t="s">
        <v>6455</v>
      </c>
      <c r="C6695" s="81" t="s">
        <v>4082</v>
      </c>
      <c r="D6695" s="81" t="s">
        <v>224</v>
      </c>
      <c r="E6695" s="81" t="s">
        <v>6583</v>
      </c>
      <c r="F6695" s="81" t="s">
        <v>224</v>
      </c>
      <c r="G6695" s="81" t="s">
        <v>224</v>
      </c>
      <c r="H6695" s="81" t="s">
        <v>224</v>
      </c>
      <c r="I6695" s="81" t="s">
        <v>224</v>
      </c>
      <c r="J6695" s="81" t="s">
        <v>6582</v>
      </c>
    </row>
    <row r="6696" hidden="1">
      <c r="A6696" s="83" t="s">
        <v>6454</v>
      </c>
      <c r="B6696" s="83" t="s">
        <v>6455</v>
      </c>
      <c r="C6696" s="81" t="s">
        <v>4082</v>
      </c>
      <c r="D6696" s="81" t="s">
        <v>224</v>
      </c>
      <c r="E6696" s="81" t="s">
        <v>6584</v>
      </c>
      <c r="F6696" s="81" t="s">
        <v>224</v>
      </c>
      <c r="G6696" s="81" t="s">
        <v>224</v>
      </c>
      <c r="H6696" s="81" t="s">
        <v>224</v>
      </c>
      <c r="I6696" s="81" t="s">
        <v>224</v>
      </c>
      <c r="J6696" s="81" t="s">
        <v>6585</v>
      </c>
    </row>
    <row r="6697" hidden="1">
      <c r="A6697" s="83" t="s">
        <v>6454</v>
      </c>
      <c r="B6697" s="83" t="s">
        <v>6455</v>
      </c>
      <c r="C6697" s="81" t="s">
        <v>4082</v>
      </c>
      <c r="D6697" s="81" t="s">
        <v>224</v>
      </c>
      <c r="E6697" s="81" t="s">
        <v>6586</v>
      </c>
      <c r="F6697" s="81" t="s">
        <v>224</v>
      </c>
      <c r="G6697" s="81" t="s">
        <v>224</v>
      </c>
      <c r="H6697" s="81" t="s">
        <v>224</v>
      </c>
      <c r="I6697" s="81" t="s">
        <v>224</v>
      </c>
      <c r="J6697" s="81" t="s">
        <v>6585</v>
      </c>
    </row>
    <row r="6698" hidden="1">
      <c r="A6698" s="83" t="s">
        <v>6454</v>
      </c>
      <c r="B6698" s="83" t="s">
        <v>6455</v>
      </c>
      <c r="C6698" s="81" t="s">
        <v>4082</v>
      </c>
      <c r="D6698" s="81" t="s">
        <v>224</v>
      </c>
      <c r="E6698" s="81" t="s">
        <v>6587</v>
      </c>
      <c r="F6698" s="81" t="s">
        <v>224</v>
      </c>
      <c r="G6698" s="81" t="s">
        <v>224</v>
      </c>
      <c r="H6698" s="81" t="s">
        <v>224</v>
      </c>
      <c r="I6698" s="81" t="s">
        <v>224</v>
      </c>
      <c r="J6698" s="81" t="s">
        <v>6588</v>
      </c>
    </row>
    <row r="6699" hidden="1">
      <c r="A6699" s="83" t="s">
        <v>6454</v>
      </c>
      <c r="B6699" s="83" t="s">
        <v>6455</v>
      </c>
      <c r="C6699" s="81" t="s">
        <v>4082</v>
      </c>
      <c r="D6699" s="81" t="s">
        <v>224</v>
      </c>
      <c r="E6699" s="81" t="s">
        <v>6589</v>
      </c>
      <c r="F6699" s="81" t="s">
        <v>224</v>
      </c>
      <c r="G6699" s="81" t="s">
        <v>224</v>
      </c>
      <c r="H6699" s="81" t="s">
        <v>224</v>
      </c>
      <c r="I6699" s="81" t="s">
        <v>224</v>
      </c>
      <c r="J6699" s="81" t="s">
        <v>6588</v>
      </c>
    </row>
    <row r="6700" hidden="1">
      <c r="A6700" s="83" t="s">
        <v>6454</v>
      </c>
      <c r="B6700" s="83" t="s">
        <v>6455</v>
      </c>
      <c r="C6700" s="81" t="s">
        <v>4082</v>
      </c>
      <c r="D6700" s="81" t="s">
        <v>224</v>
      </c>
      <c r="E6700" s="81" t="s">
        <v>6590</v>
      </c>
      <c r="F6700" s="81" t="s">
        <v>224</v>
      </c>
      <c r="G6700" s="81" t="s">
        <v>224</v>
      </c>
      <c r="H6700" s="81" t="s">
        <v>224</v>
      </c>
      <c r="I6700" s="81" t="s">
        <v>224</v>
      </c>
      <c r="J6700" s="81" t="s">
        <v>6591</v>
      </c>
    </row>
    <row r="6701" hidden="1">
      <c r="A6701" s="83" t="s">
        <v>6454</v>
      </c>
      <c r="B6701" s="83" t="s">
        <v>6455</v>
      </c>
      <c r="C6701" s="81" t="s">
        <v>4082</v>
      </c>
      <c r="D6701" s="81" t="s">
        <v>224</v>
      </c>
      <c r="E6701" s="81" t="s">
        <v>6592</v>
      </c>
      <c r="F6701" s="81" t="s">
        <v>224</v>
      </c>
      <c r="G6701" s="81" t="s">
        <v>224</v>
      </c>
      <c r="H6701" s="81" t="s">
        <v>224</v>
      </c>
      <c r="I6701" s="81" t="s">
        <v>224</v>
      </c>
      <c r="J6701" s="81" t="s">
        <v>6591</v>
      </c>
    </row>
    <row r="6702" hidden="1">
      <c r="A6702" s="83" t="s">
        <v>6454</v>
      </c>
      <c r="B6702" s="83" t="s">
        <v>6455</v>
      </c>
      <c r="C6702" s="81" t="s">
        <v>4082</v>
      </c>
      <c r="D6702" s="81" t="s">
        <v>224</v>
      </c>
      <c r="E6702" s="81" t="s">
        <v>6593</v>
      </c>
      <c r="F6702" s="81" t="s">
        <v>224</v>
      </c>
      <c r="G6702" s="81" t="s">
        <v>224</v>
      </c>
      <c r="H6702" s="81" t="s">
        <v>224</v>
      </c>
      <c r="I6702" s="81" t="s">
        <v>224</v>
      </c>
      <c r="J6702" s="81" t="s">
        <v>6594</v>
      </c>
    </row>
    <row r="6703" hidden="1">
      <c r="A6703" s="83" t="s">
        <v>6454</v>
      </c>
      <c r="B6703" s="83" t="s">
        <v>6455</v>
      </c>
      <c r="C6703" s="81" t="s">
        <v>4082</v>
      </c>
      <c r="D6703" s="81" t="s">
        <v>224</v>
      </c>
      <c r="E6703" s="81" t="s">
        <v>6595</v>
      </c>
      <c r="F6703" s="81" t="s">
        <v>224</v>
      </c>
      <c r="G6703" s="81" t="s">
        <v>224</v>
      </c>
      <c r="H6703" s="81" t="s">
        <v>224</v>
      </c>
      <c r="I6703" s="81" t="s">
        <v>224</v>
      </c>
      <c r="J6703" s="81" t="s">
        <v>6594</v>
      </c>
    </row>
    <row r="6704" hidden="1">
      <c r="A6704" s="83" t="s">
        <v>6454</v>
      </c>
      <c r="B6704" s="83" t="s">
        <v>6455</v>
      </c>
      <c r="C6704" s="81" t="s">
        <v>4082</v>
      </c>
      <c r="D6704" s="81" t="s">
        <v>224</v>
      </c>
      <c r="E6704" s="81" t="s">
        <v>6596</v>
      </c>
      <c r="F6704" s="81" t="s">
        <v>224</v>
      </c>
      <c r="G6704" s="81" t="s">
        <v>224</v>
      </c>
      <c r="H6704" s="81" t="s">
        <v>224</v>
      </c>
      <c r="I6704" s="81" t="s">
        <v>224</v>
      </c>
      <c r="J6704" s="81" t="s">
        <v>6597</v>
      </c>
    </row>
    <row r="6705" hidden="1">
      <c r="A6705" s="83" t="s">
        <v>6454</v>
      </c>
      <c r="B6705" s="83" t="s">
        <v>6455</v>
      </c>
      <c r="C6705" s="81" t="s">
        <v>4082</v>
      </c>
      <c r="D6705" s="81" t="s">
        <v>224</v>
      </c>
      <c r="E6705" s="81" t="s">
        <v>6598</v>
      </c>
      <c r="F6705" s="81" t="s">
        <v>224</v>
      </c>
      <c r="G6705" s="81" t="s">
        <v>224</v>
      </c>
      <c r="H6705" s="81" t="s">
        <v>224</v>
      </c>
      <c r="I6705" s="81" t="s">
        <v>224</v>
      </c>
      <c r="J6705" s="81" t="s">
        <v>6599</v>
      </c>
    </row>
    <row r="6706" hidden="1">
      <c r="A6706" s="83" t="s">
        <v>6454</v>
      </c>
      <c r="B6706" s="83" t="s">
        <v>6455</v>
      </c>
      <c r="C6706" s="81" t="s">
        <v>4082</v>
      </c>
      <c r="D6706" s="81" t="s">
        <v>224</v>
      </c>
      <c r="E6706" s="81" t="s">
        <v>4956</v>
      </c>
      <c r="F6706" s="81" t="s">
        <v>224</v>
      </c>
      <c r="G6706" s="81" t="s">
        <v>224</v>
      </c>
      <c r="H6706" s="81" t="s">
        <v>224</v>
      </c>
      <c r="I6706" s="81" t="s">
        <v>224</v>
      </c>
      <c r="J6706" s="81" t="s">
        <v>4957</v>
      </c>
    </row>
    <row r="6707" hidden="1">
      <c r="A6707" s="83" t="s">
        <v>6454</v>
      </c>
      <c r="B6707" s="83" t="s">
        <v>6455</v>
      </c>
      <c r="C6707" s="81" t="s">
        <v>4082</v>
      </c>
      <c r="D6707" s="81" t="s">
        <v>224</v>
      </c>
      <c r="E6707" s="81" t="s">
        <v>4958</v>
      </c>
      <c r="F6707" s="81" t="s">
        <v>224</v>
      </c>
      <c r="G6707" s="81" t="s">
        <v>224</v>
      </c>
      <c r="H6707" s="81" t="s">
        <v>224</v>
      </c>
      <c r="I6707" s="81" t="s">
        <v>224</v>
      </c>
      <c r="J6707" s="81" t="s">
        <v>4959</v>
      </c>
    </row>
    <row r="6708" hidden="1">
      <c r="A6708" s="83" t="s">
        <v>6454</v>
      </c>
      <c r="B6708" s="83" t="s">
        <v>6455</v>
      </c>
      <c r="C6708" s="81" t="s">
        <v>4082</v>
      </c>
      <c r="D6708" s="81" t="s">
        <v>224</v>
      </c>
      <c r="E6708" s="81" t="s">
        <v>4960</v>
      </c>
      <c r="F6708" s="81" t="s">
        <v>224</v>
      </c>
      <c r="G6708" s="81" t="s">
        <v>224</v>
      </c>
      <c r="H6708" s="81" t="s">
        <v>224</v>
      </c>
      <c r="I6708" s="81" t="s">
        <v>224</v>
      </c>
      <c r="J6708" s="81" t="s">
        <v>4961</v>
      </c>
    </row>
    <row r="6709" hidden="1">
      <c r="A6709" s="83" t="s">
        <v>6454</v>
      </c>
      <c r="B6709" s="83" t="s">
        <v>6455</v>
      </c>
      <c r="C6709" s="81" t="s">
        <v>4082</v>
      </c>
      <c r="D6709" s="81" t="s">
        <v>224</v>
      </c>
      <c r="E6709" s="81" t="s">
        <v>4962</v>
      </c>
      <c r="F6709" s="81" t="s">
        <v>224</v>
      </c>
      <c r="G6709" s="81" t="s">
        <v>224</v>
      </c>
      <c r="H6709" s="81" t="s">
        <v>224</v>
      </c>
      <c r="I6709" s="81" t="s">
        <v>224</v>
      </c>
      <c r="J6709" s="81" t="s">
        <v>4963</v>
      </c>
    </row>
    <row r="6710" hidden="1">
      <c r="A6710" s="83" t="s">
        <v>6454</v>
      </c>
      <c r="B6710" s="83" t="s">
        <v>6455</v>
      </c>
      <c r="C6710" s="81" t="s">
        <v>4082</v>
      </c>
      <c r="D6710" s="81" t="s">
        <v>224</v>
      </c>
      <c r="E6710" s="81" t="s">
        <v>4964</v>
      </c>
      <c r="F6710" s="81" t="s">
        <v>224</v>
      </c>
      <c r="G6710" s="81" t="s">
        <v>224</v>
      </c>
      <c r="H6710" s="81" t="s">
        <v>224</v>
      </c>
      <c r="I6710" s="81" t="s">
        <v>224</v>
      </c>
      <c r="J6710" s="81" t="s">
        <v>4963</v>
      </c>
    </row>
    <row r="6711" hidden="1">
      <c r="A6711" s="83" t="s">
        <v>6454</v>
      </c>
      <c r="B6711" s="83" t="s">
        <v>6455</v>
      </c>
      <c r="C6711" s="81" t="s">
        <v>4082</v>
      </c>
      <c r="D6711" s="81" t="s">
        <v>224</v>
      </c>
      <c r="E6711" s="81" t="s">
        <v>4965</v>
      </c>
      <c r="F6711" s="81" t="s">
        <v>224</v>
      </c>
      <c r="G6711" s="81" t="s">
        <v>224</v>
      </c>
      <c r="H6711" s="81" t="s">
        <v>224</v>
      </c>
      <c r="I6711" s="81" t="s">
        <v>224</v>
      </c>
      <c r="J6711" s="81" t="s">
        <v>4966</v>
      </c>
    </row>
    <row r="6712" hidden="1">
      <c r="A6712" s="83" t="s">
        <v>6454</v>
      </c>
      <c r="B6712" s="83" t="s">
        <v>6455</v>
      </c>
      <c r="C6712" s="81" t="s">
        <v>4082</v>
      </c>
      <c r="D6712" s="81" t="s">
        <v>224</v>
      </c>
      <c r="E6712" s="81" t="s">
        <v>4967</v>
      </c>
      <c r="F6712" s="81" t="s">
        <v>224</v>
      </c>
      <c r="G6712" s="81" t="s">
        <v>224</v>
      </c>
      <c r="H6712" s="81" t="s">
        <v>224</v>
      </c>
      <c r="I6712" s="81" t="s">
        <v>224</v>
      </c>
      <c r="J6712" s="81" t="s">
        <v>4966</v>
      </c>
    </row>
    <row r="6713" hidden="1">
      <c r="A6713" s="83" t="s">
        <v>6454</v>
      </c>
      <c r="B6713" s="83" t="s">
        <v>6455</v>
      </c>
      <c r="C6713" s="81" t="s">
        <v>4082</v>
      </c>
      <c r="D6713" s="81" t="s">
        <v>224</v>
      </c>
      <c r="E6713" s="81" t="s">
        <v>4968</v>
      </c>
      <c r="F6713" s="81" t="s">
        <v>224</v>
      </c>
      <c r="G6713" s="81" t="s">
        <v>224</v>
      </c>
      <c r="H6713" s="81" t="s">
        <v>224</v>
      </c>
      <c r="I6713" s="81" t="s">
        <v>224</v>
      </c>
      <c r="J6713" s="81" t="s">
        <v>4966</v>
      </c>
    </row>
    <row r="6714" hidden="1">
      <c r="A6714" s="83" t="s">
        <v>6454</v>
      </c>
      <c r="B6714" s="83" t="s">
        <v>6455</v>
      </c>
      <c r="C6714" s="81" t="s">
        <v>4082</v>
      </c>
      <c r="D6714" s="81" t="s">
        <v>224</v>
      </c>
      <c r="E6714" s="81" t="s">
        <v>4969</v>
      </c>
      <c r="F6714" s="81" t="s">
        <v>224</v>
      </c>
      <c r="G6714" s="81" t="s">
        <v>224</v>
      </c>
      <c r="H6714" s="81" t="s">
        <v>224</v>
      </c>
      <c r="I6714" s="81" t="s">
        <v>224</v>
      </c>
      <c r="J6714" s="81" t="s">
        <v>4966</v>
      </c>
    </row>
    <row r="6715" hidden="1">
      <c r="A6715" s="83" t="s">
        <v>6454</v>
      </c>
      <c r="B6715" s="83" t="s">
        <v>6455</v>
      </c>
      <c r="C6715" s="81" t="s">
        <v>4082</v>
      </c>
      <c r="D6715" s="81" t="s">
        <v>224</v>
      </c>
      <c r="E6715" s="81" t="s">
        <v>4970</v>
      </c>
      <c r="F6715" s="81" t="s">
        <v>224</v>
      </c>
      <c r="G6715" s="81" t="s">
        <v>224</v>
      </c>
      <c r="H6715" s="81" t="s">
        <v>224</v>
      </c>
      <c r="I6715" s="81" t="s">
        <v>224</v>
      </c>
      <c r="J6715" s="81" t="s">
        <v>4966</v>
      </c>
    </row>
    <row r="6716" hidden="1">
      <c r="A6716" s="83" t="s">
        <v>6454</v>
      </c>
      <c r="B6716" s="83" t="s">
        <v>6455</v>
      </c>
      <c r="C6716" s="81" t="s">
        <v>4082</v>
      </c>
      <c r="D6716" s="81" t="s">
        <v>224</v>
      </c>
      <c r="E6716" s="81" t="s">
        <v>4971</v>
      </c>
      <c r="F6716" s="81" t="s">
        <v>224</v>
      </c>
      <c r="G6716" s="81" t="s">
        <v>224</v>
      </c>
      <c r="H6716" s="81" t="s">
        <v>224</v>
      </c>
      <c r="I6716" s="81" t="s">
        <v>224</v>
      </c>
      <c r="J6716" s="81" t="s">
        <v>4966</v>
      </c>
    </row>
    <row r="6717" hidden="1">
      <c r="A6717" s="83" t="s">
        <v>6454</v>
      </c>
      <c r="B6717" s="83" t="s">
        <v>6455</v>
      </c>
      <c r="C6717" s="81" t="s">
        <v>4082</v>
      </c>
      <c r="D6717" s="81" t="s">
        <v>224</v>
      </c>
      <c r="E6717" s="81" t="s">
        <v>224</v>
      </c>
      <c r="F6717" s="81" t="s">
        <v>224</v>
      </c>
      <c r="G6717" s="81" t="s">
        <v>224</v>
      </c>
      <c r="H6717" s="81" t="s">
        <v>224</v>
      </c>
      <c r="I6717" s="81" t="s">
        <v>224</v>
      </c>
      <c r="J6717" s="81" t="s">
        <v>6600</v>
      </c>
    </row>
    <row r="6718" hidden="1">
      <c r="A6718" s="83" t="s">
        <v>6454</v>
      </c>
      <c r="B6718" s="83" t="s">
        <v>6455</v>
      </c>
      <c r="C6718" s="81" t="s">
        <v>4082</v>
      </c>
      <c r="D6718" s="83" t="s">
        <v>4201</v>
      </c>
      <c r="E6718" s="81" t="s">
        <v>754</v>
      </c>
      <c r="F6718" s="81">
        <v>127.0</v>
      </c>
      <c r="G6718" s="81" t="s">
        <v>39</v>
      </c>
      <c r="H6718" s="81" t="s">
        <v>224</v>
      </c>
      <c r="I6718" s="81" t="s">
        <v>224</v>
      </c>
      <c r="J6718" s="81" t="s">
        <v>5311</v>
      </c>
    </row>
    <row r="6719" hidden="1">
      <c r="A6719" s="83" t="s">
        <v>6454</v>
      </c>
      <c r="B6719" s="83" t="s">
        <v>6455</v>
      </c>
      <c r="C6719" s="81" t="s">
        <v>4082</v>
      </c>
      <c r="D6719" s="83" t="s">
        <v>4208</v>
      </c>
      <c r="E6719" s="81" t="s">
        <v>786</v>
      </c>
      <c r="F6719" s="81">
        <v>134.0</v>
      </c>
      <c r="G6719" s="81" t="s">
        <v>39</v>
      </c>
      <c r="H6719" s="81" t="s">
        <v>224</v>
      </c>
      <c r="I6719" s="81" t="s">
        <v>224</v>
      </c>
      <c r="J6719" s="81" t="s">
        <v>5322</v>
      </c>
    </row>
    <row r="6720" hidden="1">
      <c r="A6720" s="83" t="s">
        <v>6454</v>
      </c>
      <c r="B6720" s="83" t="s">
        <v>6455</v>
      </c>
      <c r="C6720" s="81" t="s">
        <v>4082</v>
      </c>
      <c r="D6720" s="83" t="s">
        <v>4211</v>
      </c>
      <c r="E6720" s="81" t="s">
        <v>798</v>
      </c>
      <c r="F6720" s="81">
        <v>137.0</v>
      </c>
      <c r="G6720" s="81" t="s">
        <v>39</v>
      </c>
      <c r="H6720" s="81" t="s">
        <v>224</v>
      </c>
      <c r="I6720" s="81" t="s">
        <v>224</v>
      </c>
      <c r="J6720" s="81" t="s">
        <v>5327</v>
      </c>
    </row>
    <row r="6721" hidden="1">
      <c r="A6721" s="83" t="s">
        <v>6454</v>
      </c>
      <c r="B6721" s="83" t="s">
        <v>6455</v>
      </c>
      <c r="C6721" s="81" t="s">
        <v>4082</v>
      </c>
      <c r="D6721" s="83" t="s">
        <v>4212</v>
      </c>
      <c r="E6721" s="81" t="s">
        <v>804</v>
      </c>
      <c r="F6721" s="81">
        <v>138.0</v>
      </c>
      <c r="G6721" s="81" t="s">
        <v>39</v>
      </c>
      <c r="H6721" s="81" t="s">
        <v>224</v>
      </c>
      <c r="I6721" s="81" t="s">
        <v>224</v>
      </c>
      <c r="J6721" s="81" t="s">
        <v>5330</v>
      </c>
    </row>
    <row r="6722" hidden="1">
      <c r="A6722" s="83" t="s">
        <v>6454</v>
      </c>
      <c r="B6722" s="83" t="s">
        <v>6455</v>
      </c>
      <c r="C6722" s="81" t="s">
        <v>4082</v>
      </c>
      <c r="D6722" s="83" t="s">
        <v>4238</v>
      </c>
      <c r="E6722" s="81" t="s">
        <v>918</v>
      </c>
      <c r="F6722" s="81">
        <v>163.0</v>
      </c>
      <c r="G6722" s="81" t="s">
        <v>41</v>
      </c>
      <c r="H6722" s="81" t="s">
        <v>924</v>
      </c>
      <c r="I6722" s="81" t="s">
        <v>224</v>
      </c>
      <c r="J6722" s="81" t="s">
        <v>6344</v>
      </c>
    </row>
    <row r="6723" hidden="1">
      <c r="A6723" s="83" t="s">
        <v>6454</v>
      </c>
      <c r="B6723" s="83" t="s">
        <v>6455</v>
      </c>
      <c r="C6723" s="81" t="s">
        <v>4082</v>
      </c>
      <c r="D6723" s="83" t="s">
        <v>4267</v>
      </c>
      <c r="E6723" s="81" t="s">
        <v>1050</v>
      </c>
      <c r="F6723" s="81">
        <v>199.0</v>
      </c>
      <c r="G6723" s="81" t="s">
        <v>41</v>
      </c>
      <c r="H6723" s="81" t="s">
        <v>1051</v>
      </c>
      <c r="I6723" s="81" t="s">
        <v>224</v>
      </c>
      <c r="J6723" s="81" t="s">
        <v>6345</v>
      </c>
    </row>
    <row r="6724" hidden="1">
      <c r="A6724" s="83" t="s">
        <v>6454</v>
      </c>
      <c r="B6724" s="83" t="s">
        <v>6455</v>
      </c>
      <c r="C6724" s="81" t="s">
        <v>5141</v>
      </c>
      <c r="D6724" s="83" t="s">
        <v>4285</v>
      </c>
      <c r="E6724" s="81" t="s">
        <v>1133</v>
      </c>
      <c r="F6724" s="81">
        <v>225.0</v>
      </c>
      <c r="G6724" s="81" t="s">
        <v>45</v>
      </c>
      <c r="H6724" s="81" t="s">
        <v>6601</v>
      </c>
      <c r="I6724" s="81" t="s">
        <v>224</v>
      </c>
      <c r="J6724" s="81" t="s">
        <v>5143</v>
      </c>
    </row>
    <row r="6725" hidden="1">
      <c r="A6725" s="83" t="s">
        <v>6454</v>
      </c>
      <c r="B6725" s="83" t="s">
        <v>6455</v>
      </c>
      <c r="C6725" s="81" t="s">
        <v>4086</v>
      </c>
      <c r="D6725" s="83" t="s">
        <v>4287</v>
      </c>
      <c r="E6725" s="81" t="s">
        <v>1138</v>
      </c>
      <c r="F6725" s="81">
        <v>226.0</v>
      </c>
      <c r="G6725" s="81" t="s">
        <v>45</v>
      </c>
      <c r="H6725" s="81" t="s">
        <v>6601</v>
      </c>
      <c r="I6725" s="81" t="s">
        <v>1024</v>
      </c>
      <c r="J6725" s="81" t="s">
        <v>224</v>
      </c>
    </row>
    <row r="6726" hidden="1">
      <c r="A6726" s="83" t="s">
        <v>6454</v>
      </c>
      <c r="B6726" s="83" t="s">
        <v>6455</v>
      </c>
      <c r="C6726" s="81" t="s">
        <v>4086</v>
      </c>
      <c r="D6726" s="83" t="s">
        <v>4289</v>
      </c>
      <c r="E6726" s="81" t="s">
        <v>1142</v>
      </c>
      <c r="F6726" s="81">
        <v>227.0</v>
      </c>
      <c r="G6726" s="81" t="s">
        <v>45</v>
      </c>
      <c r="H6726" s="81" t="s">
        <v>6601</v>
      </c>
      <c r="I6726" s="81" t="s">
        <v>1024</v>
      </c>
      <c r="J6726" s="81" t="s">
        <v>224</v>
      </c>
    </row>
    <row r="6727" hidden="1">
      <c r="A6727" s="83" t="s">
        <v>6454</v>
      </c>
      <c r="B6727" s="83" t="s">
        <v>6455</v>
      </c>
      <c r="C6727" s="81" t="s">
        <v>4086</v>
      </c>
      <c r="D6727" s="83" t="s">
        <v>4295</v>
      </c>
      <c r="E6727" s="81" t="s">
        <v>1180</v>
      </c>
      <c r="F6727" s="81">
        <v>234.0</v>
      </c>
      <c r="G6727" s="81" t="s">
        <v>45</v>
      </c>
      <c r="H6727" s="81" t="s">
        <v>6602</v>
      </c>
      <c r="I6727" s="81" t="s">
        <v>1189</v>
      </c>
      <c r="J6727" s="81" t="s">
        <v>224</v>
      </c>
    </row>
    <row r="6728" hidden="1">
      <c r="A6728" s="83" t="s">
        <v>6454</v>
      </c>
      <c r="B6728" s="83" t="s">
        <v>6455</v>
      </c>
      <c r="C6728" s="81" t="s">
        <v>4082</v>
      </c>
      <c r="D6728" s="83" t="s">
        <v>4304</v>
      </c>
      <c r="E6728" s="81" t="s">
        <v>1232</v>
      </c>
      <c r="F6728" s="81">
        <v>244.0</v>
      </c>
      <c r="G6728" s="81" t="s">
        <v>41</v>
      </c>
      <c r="H6728" s="81" t="s">
        <v>1233</v>
      </c>
      <c r="I6728" s="81" t="s">
        <v>224</v>
      </c>
      <c r="J6728" s="81" t="s">
        <v>6346</v>
      </c>
    </row>
    <row r="6729" hidden="1">
      <c r="A6729" s="83" t="s">
        <v>6454</v>
      </c>
      <c r="B6729" s="83" t="s">
        <v>6455</v>
      </c>
      <c r="C6729" s="81" t="s">
        <v>4082</v>
      </c>
      <c r="D6729" s="83" t="s">
        <v>4306</v>
      </c>
      <c r="E6729" s="81" t="s">
        <v>1237</v>
      </c>
      <c r="F6729" s="81">
        <v>246.0</v>
      </c>
      <c r="G6729" s="81" t="s">
        <v>41</v>
      </c>
      <c r="H6729" s="81" t="s">
        <v>1237</v>
      </c>
      <c r="I6729" s="81" t="s">
        <v>224</v>
      </c>
      <c r="J6729" s="81" t="s">
        <v>6347</v>
      </c>
    </row>
    <row r="6730" hidden="1">
      <c r="A6730" s="83" t="s">
        <v>6454</v>
      </c>
      <c r="B6730" s="83" t="s">
        <v>6455</v>
      </c>
      <c r="C6730" s="81" t="s">
        <v>4082</v>
      </c>
      <c r="D6730" s="83" t="s">
        <v>4316</v>
      </c>
      <c r="E6730" s="81" t="s">
        <v>1313</v>
      </c>
      <c r="F6730" s="81">
        <v>256.0</v>
      </c>
      <c r="G6730" s="81" t="s">
        <v>39</v>
      </c>
      <c r="H6730" s="81" t="s">
        <v>224</v>
      </c>
      <c r="I6730" s="81" t="s">
        <v>224</v>
      </c>
      <c r="J6730" s="81" t="s">
        <v>5515</v>
      </c>
    </row>
    <row r="6731" hidden="1">
      <c r="A6731" s="83" t="s">
        <v>6454</v>
      </c>
      <c r="B6731" s="83" t="s">
        <v>6455</v>
      </c>
      <c r="C6731" s="81" t="s">
        <v>4082</v>
      </c>
      <c r="D6731" s="83" t="s">
        <v>4351</v>
      </c>
      <c r="E6731" s="81" t="s">
        <v>1470</v>
      </c>
      <c r="F6731" s="81">
        <v>283.0</v>
      </c>
      <c r="G6731" s="81" t="s">
        <v>41</v>
      </c>
      <c r="H6731" s="81" t="s">
        <v>55</v>
      </c>
      <c r="I6731" s="81" t="s">
        <v>224</v>
      </c>
      <c r="J6731" s="81" t="s">
        <v>6426</v>
      </c>
    </row>
    <row r="6732" hidden="1">
      <c r="A6732" s="83" t="s">
        <v>6454</v>
      </c>
      <c r="B6732" s="83" t="s">
        <v>6455</v>
      </c>
      <c r="C6732" s="81" t="s">
        <v>4082</v>
      </c>
      <c r="D6732" s="83" t="s">
        <v>4351</v>
      </c>
      <c r="E6732" s="81" t="s">
        <v>1474</v>
      </c>
      <c r="F6732" s="81">
        <v>284.0</v>
      </c>
      <c r="G6732" s="81" t="s">
        <v>41</v>
      </c>
      <c r="H6732" s="81" t="s">
        <v>1476</v>
      </c>
      <c r="I6732" s="81" t="s">
        <v>224</v>
      </c>
      <c r="J6732" s="81" t="s">
        <v>6348</v>
      </c>
    </row>
    <row r="6733" hidden="1">
      <c r="A6733" s="83" t="s">
        <v>6454</v>
      </c>
      <c r="B6733" s="83" t="s">
        <v>6455</v>
      </c>
      <c r="C6733" s="81" t="s">
        <v>5141</v>
      </c>
      <c r="D6733" s="83" t="s">
        <v>4362</v>
      </c>
      <c r="E6733" s="81" t="s">
        <v>1530</v>
      </c>
      <c r="F6733" s="81">
        <v>297.0</v>
      </c>
      <c r="G6733" s="81" t="s">
        <v>46</v>
      </c>
      <c r="H6733" s="81" t="s">
        <v>1528</v>
      </c>
      <c r="I6733" s="81" t="s">
        <v>224</v>
      </c>
      <c r="J6733" s="81" t="s">
        <v>5143</v>
      </c>
    </row>
    <row r="6734" hidden="1">
      <c r="A6734" s="83" t="s">
        <v>6454</v>
      </c>
      <c r="B6734" s="83" t="s">
        <v>6455</v>
      </c>
      <c r="C6734" s="81" t="s">
        <v>4082</v>
      </c>
      <c r="D6734" s="83" t="s">
        <v>4363</v>
      </c>
      <c r="E6734" s="81" t="s">
        <v>1548</v>
      </c>
      <c r="F6734" s="81">
        <v>299.0</v>
      </c>
      <c r="G6734" s="81" t="s">
        <v>41</v>
      </c>
      <c r="H6734" s="81" t="s">
        <v>1550</v>
      </c>
      <c r="I6734" s="81" t="s">
        <v>224</v>
      </c>
      <c r="J6734" s="81" t="s">
        <v>6349</v>
      </c>
    </row>
    <row r="6735" hidden="1">
      <c r="A6735" s="83" t="s">
        <v>6454</v>
      </c>
      <c r="B6735" s="83" t="s">
        <v>6455</v>
      </c>
      <c r="C6735" s="81" t="s">
        <v>4082</v>
      </c>
      <c r="D6735" s="83" t="s">
        <v>4380</v>
      </c>
      <c r="E6735" s="81" t="s">
        <v>1617</v>
      </c>
      <c r="F6735" s="81">
        <v>319.0</v>
      </c>
      <c r="G6735" s="81" t="s">
        <v>39</v>
      </c>
      <c r="H6735" s="81" t="s">
        <v>224</v>
      </c>
      <c r="I6735" s="81" t="s">
        <v>224</v>
      </c>
      <c r="J6735" s="81" t="s">
        <v>5616</v>
      </c>
    </row>
    <row r="6736" hidden="1">
      <c r="A6736" s="83" t="s">
        <v>6454</v>
      </c>
      <c r="B6736" s="83" t="s">
        <v>6455</v>
      </c>
      <c r="C6736" s="81" t="s">
        <v>4082</v>
      </c>
      <c r="D6736" s="83" t="s">
        <v>4389</v>
      </c>
      <c r="E6736" s="81" t="s">
        <v>1678</v>
      </c>
      <c r="F6736" s="81">
        <v>332.0</v>
      </c>
      <c r="G6736" s="81" t="s">
        <v>41</v>
      </c>
      <c r="H6736" s="81" t="s">
        <v>1670</v>
      </c>
      <c r="I6736" s="81" t="s">
        <v>224</v>
      </c>
      <c r="J6736" s="81" t="s">
        <v>6350</v>
      </c>
    </row>
    <row r="6737" hidden="1">
      <c r="A6737" s="83" t="s">
        <v>6454</v>
      </c>
      <c r="B6737" s="83" t="s">
        <v>6455</v>
      </c>
      <c r="C6737" s="81" t="s">
        <v>5141</v>
      </c>
      <c r="D6737" s="83" t="s">
        <v>4391</v>
      </c>
      <c r="E6737" s="81" t="s">
        <v>1682</v>
      </c>
      <c r="F6737" s="81">
        <v>334.0</v>
      </c>
      <c r="G6737" s="81" t="s">
        <v>45</v>
      </c>
      <c r="H6737" s="81" t="s">
        <v>6603</v>
      </c>
      <c r="I6737" s="81" t="s">
        <v>224</v>
      </c>
      <c r="J6737" s="81" t="s">
        <v>5143</v>
      </c>
    </row>
    <row r="6738" hidden="1">
      <c r="A6738" s="83" t="s">
        <v>6454</v>
      </c>
      <c r="B6738" s="83" t="s">
        <v>6455</v>
      </c>
      <c r="C6738" s="81" t="s">
        <v>4082</v>
      </c>
      <c r="D6738" s="83" t="s">
        <v>4391</v>
      </c>
      <c r="E6738" s="81" t="s">
        <v>1682</v>
      </c>
      <c r="F6738" s="81">
        <v>334.0</v>
      </c>
      <c r="G6738" s="81" t="s">
        <v>41</v>
      </c>
      <c r="H6738" s="81" t="s">
        <v>1687</v>
      </c>
      <c r="I6738" s="81" t="s">
        <v>224</v>
      </c>
      <c r="J6738" s="81" t="s">
        <v>6351</v>
      </c>
    </row>
    <row r="6739" hidden="1">
      <c r="A6739" s="83" t="s">
        <v>6454</v>
      </c>
      <c r="B6739" s="83" t="s">
        <v>6455</v>
      </c>
      <c r="C6739" s="81" t="s">
        <v>5141</v>
      </c>
      <c r="D6739" s="83" t="s">
        <v>4393</v>
      </c>
      <c r="E6739" s="81" t="s">
        <v>1690</v>
      </c>
      <c r="F6739" s="81">
        <v>335.0</v>
      </c>
      <c r="G6739" s="81" t="s">
        <v>45</v>
      </c>
      <c r="H6739" s="81" t="s">
        <v>1173</v>
      </c>
      <c r="I6739" s="81" t="s">
        <v>224</v>
      </c>
      <c r="J6739" s="81" t="s">
        <v>5143</v>
      </c>
    </row>
    <row r="6740" hidden="1">
      <c r="A6740" s="83" t="s">
        <v>6454</v>
      </c>
      <c r="B6740" s="83" t="s">
        <v>6455</v>
      </c>
      <c r="C6740" s="81" t="s">
        <v>4082</v>
      </c>
      <c r="D6740" s="83" t="s">
        <v>4393</v>
      </c>
      <c r="E6740" s="81" t="s">
        <v>1690</v>
      </c>
      <c r="F6740" s="81">
        <v>335.0</v>
      </c>
      <c r="G6740" s="81" t="s">
        <v>41</v>
      </c>
      <c r="H6740" s="81" t="s">
        <v>1694</v>
      </c>
      <c r="I6740" s="81" t="s">
        <v>224</v>
      </c>
      <c r="J6740" s="81" t="s">
        <v>6352</v>
      </c>
    </row>
    <row r="6741" hidden="1">
      <c r="A6741" s="83" t="s">
        <v>6454</v>
      </c>
      <c r="B6741" s="83" t="s">
        <v>6455</v>
      </c>
      <c r="C6741" s="81" t="s">
        <v>5141</v>
      </c>
      <c r="D6741" s="83" t="s">
        <v>4394</v>
      </c>
      <c r="E6741" s="81" t="s">
        <v>1698</v>
      </c>
      <c r="F6741" s="81">
        <v>336.0</v>
      </c>
      <c r="G6741" s="81" t="s">
        <v>45</v>
      </c>
      <c r="H6741" s="81" t="s">
        <v>1173</v>
      </c>
      <c r="I6741" s="81" t="s">
        <v>224</v>
      </c>
      <c r="J6741" s="81" t="s">
        <v>5143</v>
      </c>
    </row>
    <row r="6742" hidden="1">
      <c r="A6742" s="83" t="s">
        <v>6454</v>
      </c>
      <c r="B6742" s="83" t="s">
        <v>6455</v>
      </c>
      <c r="C6742" s="81" t="s">
        <v>4082</v>
      </c>
      <c r="D6742" s="83" t="s">
        <v>4406</v>
      </c>
      <c r="E6742" s="81" t="s">
        <v>1760</v>
      </c>
      <c r="F6742" s="81">
        <v>350.0</v>
      </c>
      <c r="G6742" s="81" t="s">
        <v>41</v>
      </c>
      <c r="H6742" s="81" t="s">
        <v>1761</v>
      </c>
      <c r="I6742" s="81" t="s">
        <v>224</v>
      </c>
      <c r="J6742" s="81" t="s">
        <v>6353</v>
      </c>
    </row>
    <row r="6743" hidden="1">
      <c r="A6743" s="83" t="s">
        <v>6454</v>
      </c>
      <c r="B6743" s="83" t="s">
        <v>6455</v>
      </c>
      <c r="C6743" s="81" t="s">
        <v>4086</v>
      </c>
      <c r="D6743" s="83" t="s">
        <v>4417</v>
      </c>
      <c r="E6743" s="81" t="s">
        <v>1825</v>
      </c>
      <c r="F6743" s="81">
        <v>363.0</v>
      </c>
      <c r="G6743" s="81" t="s">
        <v>45</v>
      </c>
      <c r="H6743" s="81" t="s">
        <v>6604</v>
      </c>
      <c r="I6743" s="81" t="s">
        <v>1840</v>
      </c>
      <c r="J6743" s="81" t="s">
        <v>224</v>
      </c>
    </row>
    <row r="6744" hidden="1">
      <c r="A6744" s="83" t="s">
        <v>6454</v>
      </c>
      <c r="B6744" s="83" t="s">
        <v>6455</v>
      </c>
      <c r="C6744" s="81" t="s">
        <v>4086</v>
      </c>
      <c r="D6744" s="83" t="s">
        <v>4417</v>
      </c>
      <c r="E6744" s="81" t="s">
        <v>1825</v>
      </c>
      <c r="F6744" s="81">
        <v>363.0</v>
      </c>
      <c r="G6744" s="81" t="s">
        <v>46</v>
      </c>
      <c r="H6744" s="81" t="s">
        <v>6605</v>
      </c>
      <c r="I6744" s="81" t="s">
        <v>1841</v>
      </c>
      <c r="J6744" s="81" t="s">
        <v>224</v>
      </c>
    </row>
    <row r="6745" hidden="1">
      <c r="A6745" s="83" t="s">
        <v>6454</v>
      </c>
      <c r="B6745" s="83" t="s">
        <v>6455</v>
      </c>
      <c r="C6745" s="81" t="s">
        <v>4086</v>
      </c>
      <c r="D6745" s="83" t="s">
        <v>4417</v>
      </c>
      <c r="E6745" s="81" t="s">
        <v>1842</v>
      </c>
      <c r="F6745" s="81">
        <v>364.0</v>
      </c>
      <c r="G6745" s="81" t="s">
        <v>45</v>
      </c>
      <c r="H6745" s="81" t="s">
        <v>6604</v>
      </c>
      <c r="I6745" s="81" t="s">
        <v>1840</v>
      </c>
      <c r="J6745" s="81" t="s">
        <v>224</v>
      </c>
    </row>
    <row r="6746" hidden="1">
      <c r="A6746" s="83" t="s">
        <v>6454</v>
      </c>
      <c r="B6746" s="83" t="s">
        <v>6455</v>
      </c>
      <c r="C6746" s="81" t="s">
        <v>4086</v>
      </c>
      <c r="D6746" s="83" t="s">
        <v>4417</v>
      </c>
      <c r="E6746" s="81" t="s">
        <v>1842</v>
      </c>
      <c r="F6746" s="81">
        <v>364.0</v>
      </c>
      <c r="G6746" s="81" t="s">
        <v>46</v>
      </c>
      <c r="H6746" s="81" t="s">
        <v>6605</v>
      </c>
      <c r="I6746" s="81" t="s">
        <v>1841</v>
      </c>
      <c r="J6746" s="81" t="s">
        <v>224</v>
      </c>
    </row>
    <row r="6747" hidden="1">
      <c r="A6747" s="83" t="s">
        <v>6454</v>
      </c>
      <c r="B6747" s="83" t="s">
        <v>6455</v>
      </c>
      <c r="C6747" s="81" t="s">
        <v>4086</v>
      </c>
      <c r="D6747" s="83" t="s">
        <v>4419</v>
      </c>
      <c r="E6747" s="81" t="s">
        <v>1843</v>
      </c>
      <c r="F6747" s="81">
        <v>365.0</v>
      </c>
      <c r="G6747" s="81" t="s">
        <v>45</v>
      </c>
      <c r="H6747" s="81" t="s">
        <v>6604</v>
      </c>
      <c r="I6747" s="81" t="s">
        <v>1840</v>
      </c>
      <c r="J6747" s="81" t="s">
        <v>224</v>
      </c>
    </row>
    <row r="6748" hidden="1">
      <c r="A6748" s="83" t="s">
        <v>6454</v>
      </c>
      <c r="B6748" s="83" t="s">
        <v>6455</v>
      </c>
      <c r="C6748" s="81" t="s">
        <v>4086</v>
      </c>
      <c r="D6748" s="83" t="s">
        <v>4419</v>
      </c>
      <c r="E6748" s="81" t="s">
        <v>1843</v>
      </c>
      <c r="F6748" s="81">
        <v>365.0</v>
      </c>
      <c r="G6748" s="81" t="s">
        <v>46</v>
      </c>
      <c r="H6748" s="81" t="s">
        <v>6605</v>
      </c>
      <c r="I6748" s="81" t="s">
        <v>1841</v>
      </c>
      <c r="J6748" s="81" t="s">
        <v>224</v>
      </c>
    </row>
    <row r="6749" hidden="1">
      <c r="A6749" s="83" t="s">
        <v>6454</v>
      </c>
      <c r="B6749" s="83" t="s">
        <v>6455</v>
      </c>
      <c r="C6749" s="81" t="s">
        <v>4086</v>
      </c>
      <c r="D6749" s="83" t="s">
        <v>4420</v>
      </c>
      <c r="E6749" s="81" t="s">
        <v>1844</v>
      </c>
      <c r="F6749" s="81">
        <v>366.0</v>
      </c>
      <c r="G6749" s="81" t="s">
        <v>45</v>
      </c>
      <c r="H6749" s="81" t="s">
        <v>6604</v>
      </c>
      <c r="I6749" s="81" t="s">
        <v>1840</v>
      </c>
      <c r="J6749" s="81" t="s">
        <v>224</v>
      </c>
    </row>
    <row r="6750" hidden="1">
      <c r="A6750" s="83" t="s">
        <v>6454</v>
      </c>
      <c r="B6750" s="83" t="s">
        <v>6455</v>
      </c>
      <c r="C6750" s="81" t="s">
        <v>4086</v>
      </c>
      <c r="D6750" s="83" t="s">
        <v>4420</v>
      </c>
      <c r="E6750" s="81" t="s">
        <v>1844</v>
      </c>
      <c r="F6750" s="81">
        <v>366.0</v>
      </c>
      <c r="G6750" s="81" t="s">
        <v>46</v>
      </c>
      <c r="H6750" s="81" t="s">
        <v>6605</v>
      </c>
      <c r="I6750" s="81" t="s">
        <v>1841</v>
      </c>
      <c r="J6750" s="81" t="s">
        <v>224</v>
      </c>
    </row>
    <row r="6751" hidden="1">
      <c r="A6751" s="83" t="s">
        <v>6454</v>
      </c>
      <c r="B6751" s="83" t="s">
        <v>6455</v>
      </c>
      <c r="C6751" s="81" t="s">
        <v>4086</v>
      </c>
      <c r="D6751" s="83" t="s">
        <v>4421</v>
      </c>
      <c r="E6751" s="81" t="s">
        <v>1848</v>
      </c>
      <c r="F6751" s="81">
        <v>367.0</v>
      </c>
      <c r="G6751" s="81" t="s">
        <v>45</v>
      </c>
      <c r="H6751" s="81" t="s">
        <v>6604</v>
      </c>
      <c r="I6751" s="81" t="s">
        <v>1840</v>
      </c>
      <c r="J6751" s="81" t="s">
        <v>224</v>
      </c>
    </row>
    <row r="6752" hidden="1">
      <c r="A6752" s="83" t="s">
        <v>6454</v>
      </c>
      <c r="B6752" s="83" t="s">
        <v>6455</v>
      </c>
      <c r="C6752" s="81" t="s">
        <v>4086</v>
      </c>
      <c r="D6752" s="83" t="s">
        <v>4421</v>
      </c>
      <c r="E6752" s="81" t="s">
        <v>1848</v>
      </c>
      <c r="F6752" s="81">
        <v>367.0</v>
      </c>
      <c r="G6752" s="81" t="s">
        <v>46</v>
      </c>
      <c r="H6752" s="81" t="s">
        <v>6605</v>
      </c>
      <c r="I6752" s="81" t="s">
        <v>1841</v>
      </c>
      <c r="J6752" s="81" t="s">
        <v>224</v>
      </c>
    </row>
    <row r="6753" hidden="1">
      <c r="A6753" s="83" t="s">
        <v>6454</v>
      </c>
      <c r="B6753" s="83" t="s">
        <v>6455</v>
      </c>
      <c r="C6753" s="81" t="s">
        <v>4086</v>
      </c>
      <c r="D6753" s="83" t="s">
        <v>4422</v>
      </c>
      <c r="E6753" s="81" t="s">
        <v>1849</v>
      </c>
      <c r="F6753" s="81">
        <v>368.0</v>
      </c>
      <c r="G6753" s="81" t="s">
        <v>45</v>
      </c>
      <c r="H6753" s="81" t="s">
        <v>6606</v>
      </c>
      <c r="I6753" s="81" t="s">
        <v>1858</v>
      </c>
      <c r="J6753" s="81" t="s">
        <v>224</v>
      </c>
    </row>
    <row r="6754" hidden="1">
      <c r="A6754" s="83" t="s">
        <v>6454</v>
      </c>
      <c r="B6754" s="83" t="s">
        <v>6455</v>
      </c>
      <c r="C6754" s="81" t="s">
        <v>4086</v>
      </c>
      <c r="D6754" s="83" t="s">
        <v>4422</v>
      </c>
      <c r="E6754" s="81" t="s">
        <v>1849</v>
      </c>
      <c r="F6754" s="81">
        <v>368.0</v>
      </c>
      <c r="G6754" s="81" t="s">
        <v>46</v>
      </c>
      <c r="H6754" s="81" t="s">
        <v>6607</v>
      </c>
      <c r="I6754" s="81" t="s">
        <v>1859</v>
      </c>
      <c r="J6754" s="81" t="s">
        <v>224</v>
      </c>
    </row>
    <row r="6755" hidden="1">
      <c r="A6755" s="83" t="s">
        <v>6454</v>
      </c>
      <c r="B6755" s="83" t="s">
        <v>6455</v>
      </c>
      <c r="C6755" s="81" t="s">
        <v>4086</v>
      </c>
      <c r="D6755" s="83" t="s">
        <v>4423</v>
      </c>
      <c r="E6755" s="81" t="s">
        <v>1860</v>
      </c>
      <c r="F6755" s="81">
        <v>369.0</v>
      </c>
      <c r="G6755" s="81" t="s">
        <v>45</v>
      </c>
      <c r="H6755" s="81" t="s">
        <v>6606</v>
      </c>
      <c r="I6755" s="81" t="s">
        <v>1858</v>
      </c>
      <c r="J6755" s="81" t="s">
        <v>224</v>
      </c>
    </row>
    <row r="6756" hidden="1">
      <c r="A6756" s="83" t="s">
        <v>6454</v>
      </c>
      <c r="B6756" s="83" t="s">
        <v>6455</v>
      </c>
      <c r="C6756" s="81" t="s">
        <v>4086</v>
      </c>
      <c r="D6756" s="83" t="s">
        <v>4423</v>
      </c>
      <c r="E6756" s="81" t="s">
        <v>1860</v>
      </c>
      <c r="F6756" s="81">
        <v>369.0</v>
      </c>
      <c r="G6756" s="81" t="s">
        <v>46</v>
      </c>
      <c r="H6756" s="81" t="s">
        <v>6607</v>
      </c>
      <c r="I6756" s="81" t="s">
        <v>1859</v>
      </c>
      <c r="J6756" s="81" t="s">
        <v>224</v>
      </c>
    </row>
    <row r="6757" hidden="1">
      <c r="A6757" s="83" t="s">
        <v>6454</v>
      </c>
      <c r="B6757" s="83" t="s">
        <v>6455</v>
      </c>
      <c r="C6757" s="81" t="s">
        <v>4086</v>
      </c>
      <c r="D6757" s="83" t="s">
        <v>4424</v>
      </c>
      <c r="E6757" s="81" t="s">
        <v>1861</v>
      </c>
      <c r="F6757" s="81">
        <v>370.0</v>
      </c>
      <c r="G6757" s="81" t="s">
        <v>45</v>
      </c>
      <c r="H6757" s="81" t="s">
        <v>6606</v>
      </c>
      <c r="I6757" s="81" t="s">
        <v>1858</v>
      </c>
      <c r="J6757" s="81" t="s">
        <v>224</v>
      </c>
    </row>
    <row r="6758" hidden="1">
      <c r="A6758" s="83" t="s">
        <v>6454</v>
      </c>
      <c r="B6758" s="83" t="s">
        <v>6455</v>
      </c>
      <c r="C6758" s="81" t="s">
        <v>4086</v>
      </c>
      <c r="D6758" s="83" t="s">
        <v>4424</v>
      </c>
      <c r="E6758" s="81" t="s">
        <v>1861</v>
      </c>
      <c r="F6758" s="81">
        <v>370.0</v>
      </c>
      <c r="G6758" s="81" t="s">
        <v>46</v>
      </c>
      <c r="H6758" s="81" t="s">
        <v>6607</v>
      </c>
      <c r="I6758" s="81" t="s">
        <v>1859</v>
      </c>
      <c r="J6758" s="81" t="s">
        <v>224</v>
      </c>
    </row>
    <row r="6759" hidden="1">
      <c r="A6759" s="83" t="s">
        <v>6454</v>
      </c>
      <c r="B6759" s="83" t="s">
        <v>6455</v>
      </c>
      <c r="C6759" s="81" t="s">
        <v>4086</v>
      </c>
      <c r="D6759" s="83" t="s">
        <v>4425</v>
      </c>
      <c r="E6759" s="81" t="s">
        <v>1863</v>
      </c>
      <c r="F6759" s="81">
        <v>371.0</v>
      </c>
      <c r="G6759" s="81" t="s">
        <v>45</v>
      </c>
      <c r="H6759" s="81" t="s">
        <v>6606</v>
      </c>
      <c r="I6759" s="81" t="s">
        <v>1858</v>
      </c>
      <c r="J6759" s="81" t="s">
        <v>224</v>
      </c>
    </row>
    <row r="6760" hidden="1">
      <c r="A6760" s="83" t="s">
        <v>6454</v>
      </c>
      <c r="B6760" s="83" t="s">
        <v>6455</v>
      </c>
      <c r="C6760" s="81" t="s">
        <v>4086</v>
      </c>
      <c r="D6760" s="83" t="s">
        <v>4425</v>
      </c>
      <c r="E6760" s="81" t="s">
        <v>1863</v>
      </c>
      <c r="F6760" s="81">
        <v>371.0</v>
      </c>
      <c r="G6760" s="81" t="s">
        <v>46</v>
      </c>
      <c r="H6760" s="81" t="s">
        <v>6607</v>
      </c>
      <c r="I6760" s="81" t="s">
        <v>1859</v>
      </c>
      <c r="J6760" s="81" t="s">
        <v>224</v>
      </c>
    </row>
    <row r="6761" hidden="1">
      <c r="A6761" s="83" t="s">
        <v>6454</v>
      </c>
      <c r="B6761" s="83" t="s">
        <v>6455</v>
      </c>
      <c r="C6761" s="81" t="s">
        <v>4086</v>
      </c>
      <c r="D6761" s="83" t="s">
        <v>4426</v>
      </c>
      <c r="E6761" s="81" t="s">
        <v>1864</v>
      </c>
      <c r="F6761" s="81">
        <v>372.0</v>
      </c>
      <c r="G6761" s="81" t="s">
        <v>45</v>
      </c>
      <c r="H6761" s="81" t="s">
        <v>6608</v>
      </c>
      <c r="I6761" s="81" t="s">
        <v>1872</v>
      </c>
      <c r="J6761" s="81" t="s">
        <v>224</v>
      </c>
    </row>
    <row r="6762" hidden="1">
      <c r="A6762" s="83" t="s">
        <v>6454</v>
      </c>
      <c r="B6762" s="83" t="s">
        <v>6455</v>
      </c>
      <c r="C6762" s="81" t="s">
        <v>4086</v>
      </c>
      <c r="D6762" s="83" t="s">
        <v>4426</v>
      </c>
      <c r="E6762" s="81" t="s">
        <v>1864</v>
      </c>
      <c r="F6762" s="81">
        <v>372.0</v>
      </c>
      <c r="G6762" s="81" t="s">
        <v>46</v>
      </c>
      <c r="H6762" s="81" t="s">
        <v>6609</v>
      </c>
      <c r="I6762" s="81" t="s">
        <v>1873</v>
      </c>
      <c r="J6762" s="81" t="s">
        <v>224</v>
      </c>
    </row>
    <row r="6763" hidden="1">
      <c r="A6763" s="83" t="s">
        <v>6454</v>
      </c>
      <c r="B6763" s="83" t="s">
        <v>6455</v>
      </c>
      <c r="C6763" s="81" t="s">
        <v>4082</v>
      </c>
      <c r="D6763" s="83" t="s">
        <v>4429</v>
      </c>
      <c r="E6763" s="81" t="s">
        <v>1900</v>
      </c>
      <c r="F6763" s="81">
        <v>375.0</v>
      </c>
      <c r="G6763" s="81" t="s">
        <v>39</v>
      </c>
      <c r="H6763" s="81" t="s">
        <v>224</v>
      </c>
      <c r="I6763" s="81" t="s">
        <v>224</v>
      </c>
      <c r="J6763" s="81" t="s">
        <v>5711</v>
      </c>
    </row>
    <row r="6764" hidden="1">
      <c r="A6764" s="83" t="s">
        <v>6454</v>
      </c>
      <c r="B6764" s="83" t="s">
        <v>6455</v>
      </c>
      <c r="C6764" s="81" t="s">
        <v>4086</v>
      </c>
      <c r="D6764" s="83" t="s">
        <v>4432</v>
      </c>
      <c r="E6764" s="81" t="s">
        <v>1935</v>
      </c>
      <c r="F6764" s="81">
        <v>379.0</v>
      </c>
      <c r="G6764" s="81" t="s">
        <v>45</v>
      </c>
      <c r="H6764" s="81" t="s">
        <v>6610</v>
      </c>
      <c r="I6764" s="81" t="s">
        <v>1947</v>
      </c>
      <c r="J6764" s="81" t="s">
        <v>224</v>
      </c>
    </row>
    <row r="6765" hidden="1">
      <c r="A6765" s="83" t="s">
        <v>6454</v>
      </c>
      <c r="B6765" s="83" t="s">
        <v>6455</v>
      </c>
      <c r="C6765" s="81" t="s">
        <v>4086</v>
      </c>
      <c r="D6765" s="83" t="s">
        <v>4433</v>
      </c>
      <c r="E6765" s="81" t="s">
        <v>1950</v>
      </c>
      <c r="F6765" s="81">
        <v>381.0</v>
      </c>
      <c r="G6765" s="81" t="s">
        <v>45</v>
      </c>
      <c r="H6765" s="81" t="s">
        <v>6611</v>
      </c>
      <c r="I6765" s="81" t="s">
        <v>1961</v>
      </c>
      <c r="J6765" s="81" t="s">
        <v>224</v>
      </c>
    </row>
    <row r="6766" hidden="1">
      <c r="A6766" s="83" t="s">
        <v>6454</v>
      </c>
      <c r="B6766" s="83" t="s">
        <v>6455</v>
      </c>
      <c r="C6766" s="81" t="s">
        <v>4082</v>
      </c>
      <c r="D6766" s="83" t="s">
        <v>4475</v>
      </c>
      <c r="E6766" s="81" t="s">
        <v>2225</v>
      </c>
      <c r="F6766" s="81">
        <v>426.0</v>
      </c>
      <c r="G6766" s="81" t="s">
        <v>41</v>
      </c>
      <c r="H6766" s="81" t="s">
        <v>2226</v>
      </c>
      <c r="I6766" s="81" t="s">
        <v>224</v>
      </c>
      <c r="J6766" s="81" t="s">
        <v>6354</v>
      </c>
    </row>
    <row r="6767" hidden="1">
      <c r="A6767" s="83" t="s">
        <v>6454</v>
      </c>
      <c r="B6767" s="83" t="s">
        <v>6455</v>
      </c>
      <c r="C6767" s="81" t="s">
        <v>4082</v>
      </c>
      <c r="D6767" s="83" t="s">
        <v>4490</v>
      </c>
      <c r="E6767" s="81" t="s">
        <v>2295</v>
      </c>
      <c r="F6767" s="81">
        <v>440.0</v>
      </c>
      <c r="G6767" s="81" t="s">
        <v>41</v>
      </c>
      <c r="H6767" s="81" t="s">
        <v>2296</v>
      </c>
      <c r="I6767" s="81" t="s">
        <v>224</v>
      </c>
      <c r="J6767" s="81" t="s">
        <v>6355</v>
      </c>
    </row>
    <row r="6768" hidden="1">
      <c r="A6768" s="83" t="s">
        <v>6454</v>
      </c>
      <c r="B6768" s="83" t="s">
        <v>6455</v>
      </c>
      <c r="C6768" s="81" t="s">
        <v>4086</v>
      </c>
      <c r="D6768" s="83" t="s">
        <v>4503</v>
      </c>
      <c r="E6768" s="81" t="s">
        <v>2334</v>
      </c>
      <c r="F6768" s="81">
        <v>452.0</v>
      </c>
      <c r="G6768" s="81" t="s">
        <v>45</v>
      </c>
      <c r="H6768" s="81" t="s">
        <v>6608</v>
      </c>
      <c r="I6768" s="81" t="s">
        <v>1872</v>
      </c>
      <c r="J6768" s="81" t="s">
        <v>224</v>
      </c>
    </row>
    <row r="6769" hidden="1">
      <c r="A6769" s="83" t="s">
        <v>6454</v>
      </c>
      <c r="B6769" s="83" t="s">
        <v>6455</v>
      </c>
      <c r="C6769" s="81" t="s">
        <v>4086</v>
      </c>
      <c r="D6769" s="83" t="s">
        <v>4503</v>
      </c>
      <c r="E6769" s="81" t="s">
        <v>2334</v>
      </c>
      <c r="F6769" s="81">
        <v>452.0</v>
      </c>
      <c r="G6769" s="81" t="s">
        <v>46</v>
      </c>
      <c r="H6769" s="81" t="s">
        <v>6609</v>
      </c>
      <c r="I6769" s="81" t="s">
        <v>1873</v>
      </c>
      <c r="J6769" s="81" t="s">
        <v>224</v>
      </c>
    </row>
    <row r="6770" hidden="1">
      <c r="A6770" s="83" t="s">
        <v>6454</v>
      </c>
      <c r="B6770" s="83" t="s">
        <v>6455</v>
      </c>
      <c r="C6770" s="81" t="s">
        <v>4086</v>
      </c>
      <c r="D6770" s="83" t="s">
        <v>4504</v>
      </c>
      <c r="E6770" s="81" t="s">
        <v>2335</v>
      </c>
      <c r="F6770" s="81">
        <v>453.0</v>
      </c>
      <c r="G6770" s="81" t="s">
        <v>45</v>
      </c>
      <c r="H6770" s="81" t="s">
        <v>6608</v>
      </c>
      <c r="I6770" s="81" t="s">
        <v>1872</v>
      </c>
      <c r="J6770" s="81" t="s">
        <v>224</v>
      </c>
    </row>
    <row r="6771" hidden="1">
      <c r="A6771" s="83" t="s">
        <v>6454</v>
      </c>
      <c r="B6771" s="83" t="s">
        <v>6455</v>
      </c>
      <c r="C6771" s="81" t="s">
        <v>4086</v>
      </c>
      <c r="D6771" s="83" t="s">
        <v>4504</v>
      </c>
      <c r="E6771" s="81" t="s">
        <v>2335</v>
      </c>
      <c r="F6771" s="81">
        <v>453.0</v>
      </c>
      <c r="G6771" s="81" t="s">
        <v>46</v>
      </c>
      <c r="H6771" s="81" t="s">
        <v>6609</v>
      </c>
      <c r="I6771" s="81" t="s">
        <v>1873</v>
      </c>
      <c r="J6771" s="81" t="s">
        <v>224</v>
      </c>
    </row>
    <row r="6772" hidden="1">
      <c r="A6772" s="83" t="s">
        <v>6454</v>
      </c>
      <c r="B6772" s="83" t="s">
        <v>6455</v>
      </c>
      <c r="C6772" s="81" t="s">
        <v>4086</v>
      </c>
      <c r="D6772" s="83" t="s">
        <v>4505</v>
      </c>
      <c r="E6772" s="81" t="s">
        <v>2337</v>
      </c>
      <c r="F6772" s="81">
        <v>454.0</v>
      </c>
      <c r="G6772" s="81" t="s">
        <v>45</v>
      </c>
      <c r="H6772" s="81" t="s">
        <v>6608</v>
      </c>
      <c r="I6772" s="81" t="s">
        <v>1872</v>
      </c>
      <c r="J6772" s="81" t="s">
        <v>224</v>
      </c>
    </row>
    <row r="6773" hidden="1">
      <c r="A6773" s="83" t="s">
        <v>6454</v>
      </c>
      <c r="B6773" s="83" t="s">
        <v>6455</v>
      </c>
      <c r="C6773" s="81" t="s">
        <v>4086</v>
      </c>
      <c r="D6773" s="83" t="s">
        <v>4505</v>
      </c>
      <c r="E6773" s="81" t="s">
        <v>2337</v>
      </c>
      <c r="F6773" s="81">
        <v>454.0</v>
      </c>
      <c r="G6773" s="81" t="s">
        <v>46</v>
      </c>
      <c r="H6773" s="81" t="s">
        <v>6609</v>
      </c>
      <c r="I6773" s="81" t="s">
        <v>1873</v>
      </c>
      <c r="J6773" s="81" t="s">
        <v>224</v>
      </c>
    </row>
    <row r="6774" hidden="1">
      <c r="A6774" s="83" t="s">
        <v>6454</v>
      </c>
      <c r="B6774" s="83" t="s">
        <v>6455</v>
      </c>
      <c r="C6774" s="81" t="s">
        <v>4086</v>
      </c>
      <c r="D6774" s="83" t="s">
        <v>4538</v>
      </c>
      <c r="E6774" s="81" t="s">
        <v>2533</v>
      </c>
      <c r="F6774" s="81">
        <v>485.0</v>
      </c>
      <c r="G6774" s="81" t="s">
        <v>46</v>
      </c>
      <c r="H6774" s="81" t="s">
        <v>6612</v>
      </c>
      <c r="I6774" s="81" t="s">
        <v>2547</v>
      </c>
      <c r="J6774" s="81" t="s">
        <v>224</v>
      </c>
    </row>
    <row r="6775" hidden="1">
      <c r="A6775" s="83" t="s">
        <v>6454</v>
      </c>
      <c r="B6775" s="83" t="s">
        <v>6455</v>
      </c>
      <c r="C6775" s="81" t="s">
        <v>4086</v>
      </c>
      <c r="D6775" s="83" t="s">
        <v>4538</v>
      </c>
      <c r="E6775" s="81" t="s">
        <v>2548</v>
      </c>
      <c r="F6775" s="81">
        <v>486.0</v>
      </c>
      <c r="G6775" s="81" t="s">
        <v>46</v>
      </c>
      <c r="H6775" s="81" t="s">
        <v>6612</v>
      </c>
      <c r="I6775" s="81" t="s">
        <v>2547</v>
      </c>
      <c r="J6775" s="81" t="s">
        <v>224</v>
      </c>
    </row>
    <row r="6776" hidden="1">
      <c r="A6776" s="83" t="s">
        <v>6454</v>
      </c>
      <c r="B6776" s="83" t="s">
        <v>6455</v>
      </c>
      <c r="C6776" s="81" t="s">
        <v>4086</v>
      </c>
      <c r="D6776" s="83" t="s">
        <v>4540</v>
      </c>
      <c r="E6776" s="81" t="s">
        <v>2549</v>
      </c>
      <c r="F6776" s="81">
        <v>487.0</v>
      </c>
      <c r="G6776" s="81" t="s">
        <v>46</v>
      </c>
      <c r="H6776" s="81" t="s">
        <v>6613</v>
      </c>
      <c r="I6776" s="81" t="s">
        <v>2561</v>
      </c>
      <c r="J6776" s="81" t="s">
        <v>224</v>
      </c>
    </row>
    <row r="6777" hidden="1">
      <c r="A6777" s="83" t="s">
        <v>6454</v>
      </c>
      <c r="B6777" s="83" t="s">
        <v>6455</v>
      </c>
      <c r="C6777" s="81" t="s">
        <v>4086</v>
      </c>
      <c r="D6777" s="83" t="s">
        <v>4540</v>
      </c>
      <c r="E6777" s="81" t="s">
        <v>2562</v>
      </c>
      <c r="F6777" s="81">
        <v>488.0</v>
      </c>
      <c r="G6777" s="81" t="s">
        <v>46</v>
      </c>
      <c r="H6777" s="81" t="s">
        <v>6613</v>
      </c>
      <c r="I6777" s="81" t="s">
        <v>2561</v>
      </c>
      <c r="J6777" s="81" t="s">
        <v>224</v>
      </c>
    </row>
    <row r="6778" hidden="1">
      <c r="A6778" s="83" t="s">
        <v>6454</v>
      </c>
      <c r="B6778" s="83" t="s">
        <v>6455</v>
      </c>
      <c r="C6778" s="81" t="s">
        <v>4086</v>
      </c>
      <c r="D6778" s="83" t="s">
        <v>4543</v>
      </c>
      <c r="E6778" s="81" t="s">
        <v>2563</v>
      </c>
      <c r="F6778" s="81">
        <v>489.0</v>
      </c>
      <c r="G6778" s="81" t="s">
        <v>46</v>
      </c>
      <c r="H6778" s="81" t="s">
        <v>6613</v>
      </c>
      <c r="I6778" s="81" t="s">
        <v>2561</v>
      </c>
      <c r="J6778" s="81" t="s">
        <v>224</v>
      </c>
    </row>
    <row r="6779" hidden="1">
      <c r="A6779" s="83" t="s">
        <v>6454</v>
      </c>
      <c r="B6779" s="83" t="s">
        <v>6455</v>
      </c>
      <c r="C6779" s="81" t="s">
        <v>4086</v>
      </c>
      <c r="D6779" s="83" t="s">
        <v>4544</v>
      </c>
      <c r="E6779" s="81" t="s">
        <v>2566</v>
      </c>
      <c r="F6779" s="81">
        <v>490.0</v>
      </c>
      <c r="G6779" s="81" t="s">
        <v>46</v>
      </c>
      <c r="H6779" s="81" t="s">
        <v>6614</v>
      </c>
      <c r="I6779" s="81" t="s">
        <v>2572</v>
      </c>
      <c r="J6779" s="81" t="s">
        <v>224</v>
      </c>
    </row>
    <row r="6780" hidden="1">
      <c r="A6780" s="83" t="s">
        <v>6454</v>
      </c>
      <c r="B6780" s="83" t="s">
        <v>6455</v>
      </c>
      <c r="C6780" s="81" t="s">
        <v>4086</v>
      </c>
      <c r="D6780" s="83" t="s">
        <v>4544</v>
      </c>
      <c r="E6780" s="81" t="s">
        <v>2573</v>
      </c>
      <c r="F6780" s="81">
        <v>491.0</v>
      </c>
      <c r="G6780" s="81" t="s">
        <v>46</v>
      </c>
      <c r="H6780" s="81" t="s">
        <v>6614</v>
      </c>
      <c r="I6780" s="81" t="s">
        <v>2572</v>
      </c>
      <c r="J6780" s="81" t="s">
        <v>224</v>
      </c>
    </row>
    <row r="6781" hidden="1">
      <c r="A6781" s="83" t="s">
        <v>6454</v>
      </c>
      <c r="B6781" s="83" t="s">
        <v>6455</v>
      </c>
      <c r="C6781" s="81" t="s">
        <v>4086</v>
      </c>
      <c r="D6781" s="83" t="s">
        <v>4546</v>
      </c>
      <c r="E6781" s="81" t="s">
        <v>2574</v>
      </c>
      <c r="F6781" s="81">
        <v>492.0</v>
      </c>
      <c r="G6781" s="81" t="s">
        <v>46</v>
      </c>
      <c r="H6781" s="81" t="s">
        <v>6614</v>
      </c>
      <c r="I6781" s="81" t="s">
        <v>2572</v>
      </c>
      <c r="J6781" s="81" t="s">
        <v>224</v>
      </c>
    </row>
    <row r="6782" hidden="1">
      <c r="A6782" s="83" t="s">
        <v>6454</v>
      </c>
      <c r="B6782" s="83" t="s">
        <v>6455</v>
      </c>
      <c r="C6782" s="81" t="s">
        <v>4086</v>
      </c>
      <c r="D6782" s="83" t="s">
        <v>4556</v>
      </c>
      <c r="E6782" s="81" t="s">
        <v>2613</v>
      </c>
      <c r="F6782" s="81">
        <v>502.0</v>
      </c>
      <c r="G6782" s="81" t="s">
        <v>46</v>
      </c>
      <c r="H6782" s="81" t="s">
        <v>6612</v>
      </c>
      <c r="I6782" s="81" t="s">
        <v>2547</v>
      </c>
      <c r="J6782" s="81" t="s">
        <v>224</v>
      </c>
    </row>
    <row r="6783" hidden="1">
      <c r="A6783" s="83" t="s">
        <v>6454</v>
      </c>
      <c r="B6783" s="83" t="s">
        <v>6455</v>
      </c>
      <c r="C6783" s="81" t="s">
        <v>4086</v>
      </c>
      <c r="D6783" s="83" t="s">
        <v>4557</v>
      </c>
      <c r="E6783" s="81" t="s">
        <v>2616</v>
      </c>
      <c r="F6783" s="81">
        <v>503.0</v>
      </c>
      <c r="G6783" s="81" t="s">
        <v>46</v>
      </c>
      <c r="H6783" s="81" t="s">
        <v>6612</v>
      </c>
      <c r="I6783" s="81" t="s">
        <v>2547</v>
      </c>
      <c r="J6783" s="81" t="s">
        <v>224</v>
      </c>
    </row>
    <row r="6784" hidden="1">
      <c r="A6784" s="83" t="s">
        <v>6454</v>
      </c>
      <c r="B6784" s="83" t="s">
        <v>6455</v>
      </c>
      <c r="C6784" s="81" t="s">
        <v>4082</v>
      </c>
      <c r="D6784" s="83" t="s">
        <v>4558</v>
      </c>
      <c r="E6784" s="81" t="s">
        <v>2619</v>
      </c>
      <c r="F6784" s="81">
        <v>504.0</v>
      </c>
      <c r="G6784" s="81" t="s">
        <v>41</v>
      </c>
      <c r="H6784" s="81" t="s">
        <v>2629</v>
      </c>
      <c r="I6784" s="81" t="s">
        <v>224</v>
      </c>
      <c r="J6784" s="81" t="s">
        <v>6356</v>
      </c>
    </row>
    <row r="6785" hidden="1">
      <c r="A6785" s="83" t="s">
        <v>6454</v>
      </c>
      <c r="B6785" s="83" t="s">
        <v>6455</v>
      </c>
      <c r="C6785" s="81" t="s">
        <v>4086</v>
      </c>
      <c r="D6785" s="83" t="s">
        <v>4563</v>
      </c>
      <c r="E6785" s="81" t="s">
        <v>2651</v>
      </c>
      <c r="F6785" s="81">
        <v>509.0</v>
      </c>
      <c r="G6785" s="81" t="s">
        <v>46</v>
      </c>
      <c r="H6785" s="81" t="s">
        <v>6615</v>
      </c>
      <c r="I6785" s="81" t="s">
        <v>2658</v>
      </c>
      <c r="J6785" s="81" t="s">
        <v>224</v>
      </c>
    </row>
    <row r="6786" hidden="1">
      <c r="A6786" s="83" t="s">
        <v>6454</v>
      </c>
      <c r="B6786" s="83" t="s">
        <v>6455</v>
      </c>
      <c r="C6786" s="81" t="s">
        <v>4086</v>
      </c>
      <c r="D6786" s="83" t="s">
        <v>4564</v>
      </c>
      <c r="E6786" s="81" t="s">
        <v>2659</v>
      </c>
      <c r="F6786" s="81">
        <v>510.0</v>
      </c>
      <c r="G6786" s="81" t="s">
        <v>46</v>
      </c>
      <c r="H6786" s="81" t="s">
        <v>6615</v>
      </c>
      <c r="I6786" s="81" t="s">
        <v>2658</v>
      </c>
      <c r="J6786" s="81" t="s">
        <v>224</v>
      </c>
    </row>
    <row r="6787" hidden="1">
      <c r="A6787" s="83" t="s">
        <v>6454</v>
      </c>
      <c r="B6787" s="83" t="s">
        <v>6455</v>
      </c>
      <c r="C6787" s="81" t="s">
        <v>4086</v>
      </c>
      <c r="D6787" s="83" t="s">
        <v>4565</v>
      </c>
      <c r="E6787" s="81" t="s">
        <v>2661</v>
      </c>
      <c r="F6787" s="81">
        <v>511.0</v>
      </c>
      <c r="G6787" s="81" t="s">
        <v>46</v>
      </c>
      <c r="H6787" s="81" t="s">
        <v>6616</v>
      </c>
      <c r="I6787" s="81" t="s">
        <v>2666</v>
      </c>
      <c r="J6787" s="81" t="s">
        <v>224</v>
      </c>
    </row>
    <row r="6788" hidden="1">
      <c r="A6788" s="83" t="s">
        <v>6454</v>
      </c>
      <c r="B6788" s="83" t="s">
        <v>6455</v>
      </c>
      <c r="C6788" s="81" t="s">
        <v>4086</v>
      </c>
      <c r="D6788" s="83" t="s">
        <v>4566</v>
      </c>
      <c r="E6788" s="81" t="s">
        <v>2667</v>
      </c>
      <c r="F6788" s="81">
        <v>512.0</v>
      </c>
      <c r="G6788" s="81" t="s">
        <v>46</v>
      </c>
      <c r="H6788" s="81" t="s">
        <v>6616</v>
      </c>
      <c r="I6788" s="81" t="s">
        <v>2666</v>
      </c>
      <c r="J6788" s="81" t="s">
        <v>224</v>
      </c>
    </row>
    <row r="6789" hidden="1">
      <c r="A6789" s="83" t="s">
        <v>6454</v>
      </c>
      <c r="B6789" s="83" t="s">
        <v>6455</v>
      </c>
      <c r="C6789" s="81" t="s">
        <v>5141</v>
      </c>
      <c r="D6789" s="83" t="s">
        <v>4601</v>
      </c>
      <c r="E6789" s="81" t="s">
        <v>2874</v>
      </c>
      <c r="F6789" s="81">
        <v>553.0</v>
      </c>
      <c r="G6789" s="81" t="s">
        <v>45</v>
      </c>
      <c r="H6789" s="81" t="s">
        <v>2408</v>
      </c>
      <c r="I6789" s="81" t="s">
        <v>224</v>
      </c>
      <c r="J6789" s="81" t="s">
        <v>5143</v>
      </c>
    </row>
    <row r="6790" hidden="1">
      <c r="A6790" s="83" t="s">
        <v>6454</v>
      </c>
      <c r="B6790" s="83" t="s">
        <v>6455</v>
      </c>
      <c r="C6790" s="81" t="s">
        <v>5141</v>
      </c>
      <c r="D6790" s="83" t="s">
        <v>4603</v>
      </c>
      <c r="E6790" s="81" t="s">
        <v>2881</v>
      </c>
      <c r="F6790" s="81">
        <v>554.0</v>
      </c>
      <c r="G6790" s="81" t="s">
        <v>45</v>
      </c>
      <c r="H6790" s="81" t="s">
        <v>2408</v>
      </c>
      <c r="I6790" s="81" t="s">
        <v>224</v>
      </c>
      <c r="J6790" s="81" t="s">
        <v>5143</v>
      </c>
    </row>
    <row r="6791" hidden="1">
      <c r="A6791" s="83" t="s">
        <v>6454</v>
      </c>
      <c r="B6791" s="83" t="s">
        <v>6455</v>
      </c>
      <c r="C6791" s="81" t="s">
        <v>5141</v>
      </c>
      <c r="D6791" s="83" t="s">
        <v>4604</v>
      </c>
      <c r="E6791" s="81" t="s">
        <v>2885</v>
      </c>
      <c r="F6791" s="81">
        <v>555.0</v>
      </c>
      <c r="G6791" s="81" t="s">
        <v>45</v>
      </c>
      <c r="H6791" s="81" t="s">
        <v>2408</v>
      </c>
      <c r="I6791" s="81" t="s">
        <v>224</v>
      </c>
      <c r="J6791" s="81" t="s">
        <v>5143</v>
      </c>
    </row>
    <row r="6792" hidden="1">
      <c r="A6792" s="83" t="s">
        <v>6454</v>
      </c>
      <c r="B6792" s="83" t="s">
        <v>6455</v>
      </c>
      <c r="C6792" s="81" t="s">
        <v>5141</v>
      </c>
      <c r="D6792" s="83" t="s">
        <v>4605</v>
      </c>
      <c r="E6792" s="81" t="s">
        <v>2889</v>
      </c>
      <c r="F6792" s="81">
        <v>556.0</v>
      </c>
      <c r="G6792" s="81" t="s">
        <v>45</v>
      </c>
      <c r="H6792" s="81" t="s">
        <v>2408</v>
      </c>
      <c r="I6792" s="81" t="s">
        <v>224</v>
      </c>
      <c r="J6792" s="81" t="s">
        <v>5143</v>
      </c>
    </row>
    <row r="6793" hidden="1">
      <c r="A6793" s="83" t="s">
        <v>6454</v>
      </c>
      <c r="B6793" s="83" t="s">
        <v>6455</v>
      </c>
      <c r="C6793" s="81" t="s">
        <v>5141</v>
      </c>
      <c r="D6793" s="83" t="s">
        <v>4606</v>
      </c>
      <c r="E6793" s="81" t="s">
        <v>2891</v>
      </c>
      <c r="F6793" s="81">
        <v>557.0</v>
      </c>
      <c r="G6793" s="81" t="s">
        <v>45</v>
      </c>
      <c r="H6793" s="81" t="s">
        <v>2408</v>
      </c>
      <c r="I6793" s="81" t="s">
        <v>224</v>
      </c>
      <c r="J6793" s="81" t="s">
        <v>5143</v>
      </c>
    </row>
    <row r="6794" hidden="1">
      <c r="A6794" s="83" t="s">
        <v>6454</v>
      </c>
      <c r="B6794" s="83" t="s">
        <v>6455</v>
      </c>
      <c r="C6794" s="81" t="s">
        <v>5141</v>
      </c>
      <c r="D6794" s="83" t="s">
        <v>4607</v>
      </c>
      <c r="E6794" s="81" t="s">
        <v>2893</v>
      </c>
      <c r="F6794" s="81">
        <v>558.0</v>
      </c>
      <c r="G6794" s="81" t="s">
        <v>45</v>
      </c>
      <c r="H6794" s="81" t="s">
        <v>2408</v>
      </c>
      <c r="I6794" s="81" t="s">
        <v>224</v>
      </c>
      <c r="J6794" s="81" t="s">
        <v>5143</v>
      </c>
    </row>
    <row r="6795" hidden="1">
      <c r="A6795" s="83" t="s">
        <v>6454</v>
      </c>
      <c r="B6795" s="83" t="s">
        <v>6455</v>
      </c>
      <c r="C6795" s="81" t="s">
        <v>4082</v>
      </c>
      <c r="D6795" s="83" t="s">
        <v>4608</v>
      </c>
      <c r="E6795" s="81" t="s">
        <v>2906</v>
      </c>
      <c r="F6795" s="81">
        <v>560.0</v>
      </c>
      <c r="G6795" s="81" t="s">
        <v>41</v>
      </c>
      <c r="H6795" s="81" t="s">
        <v>2907</v>
      </c>
      <c r="I6795" s="81" t="s">
        <v>224</v>
      </c>
      <c r="J6795" s="81" t="s">
        <v>6357</v>
      </c>
    </row>
    <row r="6796" hidden="1">
      <c r="A6796" s="83" t="s">
        <v>6454</v>
      </c>
      <c r="B6796" s="83" t="s">
        <v>6455</v>
      </c>
      <c r="C6796" s="81" t="s">
        <v>5141</v>
      </c>
      <c r="D6796" s="83" t="s">
        <v>4648</v>
      </c>
      <c r="E6796" s="81" t="s">
        <v>3077</v>
      </c>
      <c r="F6796" s="81">
        <v>592.0</v>
      </c>
      <c r="G6796" s="81" t="s">
        <v>45</v>
      </c>
      <c r="H6796" s="81" t="s">
        <v>6617</v>
      </c>
      <c r="I6796" s="81" t="s">
        <v>224</v>
      </c>
      <c r="J6796" s="81" t="s">
        <v>5143</v>
      </c>
    </row>
    <row r="6797" hidden="1">
      <c r="A6797" s="83" t="s">
        <v>6454</v>
      </c>
      <c r="B6797" s="83" t="s">
        <v>6455</v>
      </c>
      <c r="C6797" s="81" t="s">
        <v>4086</v>
      </c>
      <c r="D6797" s="83" t="s">
        <v>4648</v>
      </c>
      <c r="E6797" s="81" t="s">
        <v>3077</v>
      </c>
      <c r="F6797" s="81">
        <v>592.0</v>
      </c>
      <c r="G6797" s="81" t="s">
        <v>46</v>
      </c>
      <c r="H6797" s="81" t="s">
        <v>6618</v>
      </c>
      <c r="I6797" s="81" t="s">
        <v>3089</v>
      </c>
      <c r="J6797" s="81" t="s">
        <v>224</v>
      </c>
    </row>
    <row r="6798" hidden="1">
      <c r="A6798" s="83" t="s">
        <v>6454</v>
      </c>
      <c r="B6798" s="83" t="s">
        <v>6455</v>
      </c>
      <c r="C6798" s="81" t="s">
        <v>5141</v>
      </c>
      <c r="D6798" s="83" t="s">
        <v>4648</v>
      </c>
      <c r="E6798" s="81" t="s">
        <v>3090</v>
      </c>
      <c r="F6798" s="81">
        <v>593.0</v>
      </c>
      <c r="G6798" s="81" t="s">
        <v>45</v>
      </c>
      <c r="H6798" s="81" t="s">
        <v>6617</v>
      </c>
      <c r="I6798" s="81" t="s">
        <v>224</v>
      </c>
      <c r="J6798" s="81" t="s">
        <v>5143</v>
      </c>
    </row>
    <row r="6799" hidden="1">
      <c r="A6799" s="83" t="s">
        <v>6454</v>
      </c>
      <c r="B6799" s="83" t="s">
        <v>6455</v>
      </c>
      <c r="C6799" s="81" t="s">
        <v>4086</v>
      </c>
      <c r="D6799" s="83" t="s">
        <v>4648</v>
      </c>
      <c r="E6799" s="81" t="s">
        <v>3090</v>
      </c>
      <c r="F6799" s="81">
        <v>593.0</v>
      </c>
      <c r="G6799" s="81" t="s">
        <v>46</v>
      </c>
      <c r="H6799" s="81" t="s">
        <v>6618</v>
      </c>
      <c r="I6799" s="81" t="s">
        <v>3089</v>
      </c>
      <c r="J6799" s="81" t="s">
        <v>224</v>
      </c>
    </row>
    <row r="6800" hidden="1">
      <c r="A6800" s="83" t="s">
        <v>6454</v>
      </c>
      <c r="B6800" s="83" t="s">
        <v>6455</v>
      </c>
      <c r="C6800" s="81" t="s">
        <v>5141</v>
      </c>
      <c r="D6800" s="83" t="s">
        <v>4650</v>
      </c>
      <c r="E6800" s="81" t="s">
        <v>3091</v>
      </c>
      <c r="F6800" s="81">
        <v>594.0</v>
      </c>
      <c r="G6800" s="81" t="s">
        <v>45</v>
      </c>
      <c r="H6800" s="81" t="s">
        <v>6617</v>
      </c>
      <c r="I6800" s="81" t="s">
        <v>224</v>
      </c>
      <c r="J6800" s="81" t="s">
        <v>5143</v>
      </c>
    </row>
    <row r="6801" hidden="1">
      <c r="A6801" s="83" t="s">
        <v>6454</v>
      </c>
      <c r="B6801" s="83" t="s">
        <v>6455</v>
      </c>
      <c r="C6801" s="81" t="s">
        <v>4086</v>
      </c>
      <c r="D6801" s="83" t="s">
        <v>4650</v>
      </c>
      <c r="E6801" s="81" t="s">
        <v>3091</v>
      </c>
      <c r="F6801" s="81">
        <v>594.0</v>
      </c>
      <c r="G6801" s="81" t="s">
        <v>46</v>
      </c>
      <c r="H6801" s="81" t="s">
        <v>6618</v>
      </c>
      <c r="I6801" s="81" t="s">
        <v>3089</v>
      </c>
      <c r="J6801" s="81" t="s">
        <v>224</v>
      </c>
    </row>
    <row r="6802" hidden="1">
      <c r="A6802" s="83" t="s">
        <v>6454</v>
      </c>
      <c r="B6802" s="83" t="s">
        <v>6455</v>
      </c>
      <c r="C6802" s="81" t="s">
        <v>4082</v>
      </c>
      <c r="D6802" s="83" t="s">
        <v>4682</v>
      </c>
      <c r="E6802" s="81" t="s">
        <v>3226</v>
      </c>
      <c r="F6802" s="81">
        <v>613.0</v>
      </c>
      <c r="G6802" s="81" t="s">
        <v>39</v>
      </c>
      <c r="H6802" s="81" t="s">
        <v>224</v>
      </c>
      <c r="I6802" s="81" t="s">
        <v>224</v>
      </c>
      <c r="J6802" s="81" t="s">
        <v>6052</v>
      </c>
    </row>
    <row r="6803" hidden="1">
      <c r="A6803" s="83" t="s">
        <v>6454</v>
      </c>
      <c r="B6803" s="83" t="s">
        <v>6455</v>
      </c>
      <c r="C6803" s="81" t="s">
        <v>5141</v>
      </c>
      <c r="D6803" s="83" t="s">
        <v>4699</v>
      </c>
      <c r="E6803" s="81" t="s">
        <v>3315</v>
      </c>
      <c r="F6803" s="81">
        <v>634.0</v>
      </c>
      <c r="G6803" s="81" t="s">
        <v>45</v>
      </c>
      <c r="H6803" s="81" t="s">
        <v>6619</v>
      </c>
      <c r="I6803" s="81" t="s">
        <v>224</v>
      </c>
      <c r="J6803" s="81" t="s">
        <v>5143</v>
      </c>
    </row>
    <row r="6804" hidden="1">
      <c r="A6804" s="83" t="s">
        <v>6454</v>
      </c>
      <c r="B6804" s="83" t="s">
        <v>6455</v>
      </c>
      <c r="C6804" s="81" t="s">
        <v>5141</v>
      </c>
      <c r="D6804" s="83" t="s">
        <v>4699</v>
      </c>
      <c r="E6804" s="81" t="s">
        <v>3328</v>
      </c>
      <c r="F6804" s="81">
        <v>635.0</v>
      </c>
      <c r="G6804" s="81" t="s">
        <v>45</v>
      </c>
      <c r="H6804" s="81" t="s">
        <v>6619</v>
      </c>
      <c r="I6804" s="81" t="s">
        <v>224</v>
      </c>
      <c r="J6804" s="81" t="s">
        <v>5143</v>
      </c>
    </row>
    <row r="6805" hidden="1">
      <c r="A6805" s="83" t="s">
        <v>6454</v>
      </c>
      <c r="B6805" s="83" t="s">
        <v>6455</v>
      </c>
      <c r="C6805" s="81" t="s">
        <v>4082</v>
      </c>
      <c r="D6805" s="83" t="s">
        <v>4707</v>
      </c>
      <c r="E6805" s="81" t="s">
        <v>3362</v>
      </c>
      <c r="F6805" s="81">
        <v>641.0</v>
      </c>
      <c r="G6805" s="81" t="s">
        <v>39</v>
      </c>
      <c r="H6805" s="81" t="s">
        <v>224</v>
      </c>
      <c r="I6805" s="81" t="s">
        <v>224</v>
      </c>
      <c r="J6805" s="81" t="s">
        <v>6096</v>
      </c>
    </row>
    <row r="6806" hidden="1">
      <c r="A6806" s="83" t="s">
        <v>6454</v>
      </c>
      <c r="B6806" s="83" t="s">
        <v>6455</v>
      </c>
      <c r="C6806" s="81" t="s">
        <v>4082</v>
      </c>
      <c r="D6806" s="83" t="s">
        <v>4709</v>
      </c>
      <c r="E6806" s="81" t="s">
        <v>3370</v>
      </c>
      <c r="F6806" s="81">
        <v>643.0</v>
      </c>
      <c r="G6806" s="81" t="s">
        <v>39</v>
      </c>
      <c r="H6806" s="81" t="s">
        <v>224</v>
      </c>
      <c r="I6806" s="81" t="s">
        <v>224</v>
      </c>
      <c r="J6806" s="81" t="s">
        <v>6101</v>
      </c>
    </row>
    <row r="6807" hidden="1">
      <c r="A6807" s="83" t="s">
        <v>6454</v>
      </c>
      <c r="B6807" s="83" t="s">
        <v>6455</v>
      </c>
      <c r="C6807" s="81" t="s">
        <v>5141</v>
      </c>
      <c r="D6807" s="83" t="s">
        <v>4730</v>
      </c>
      <c r="E6807" s="81" t="s">
        <v>3500</v>
      </c>
      <c r="F6807" s="81">
        <v>660.0</v>
      </c>
      <c r="G6807" s="81" t="s">
        <v>45</v>
      </c>
      <c r="H6807" s="81" t="s">
        <v>3508</v>
      </c>
      <c r="I6807" s="81" t="s">
        <v>224</v>
      </c>
      <c r="J6807" s="81" t="s">
        <v>5143</v>
      </c>
    </row>
    <row r="6808" hidden="1">
      <c r="A6808" s="83" t="s">
        <v>6454</v>
      </c>
      <c r="B6808" s="83" t="s">
        <v>6455</v>
      </c>
      <c r="C6808" s="81" t="s">
        <v>5141</v>
      </c>
      <c r="D6808" s="83" t="s">
        <v>4731</v>
      </c>
      <c r="E6808" s="81" t="s">
        <v>3510</v>
      </c>
      <c r="F6808" s="81">
        <v>661.0</v>
      </c>
      <c r="G6808" s="81" t="s">
        <v>45</v>
      </c>
      <c r="H6808" s="81" t="s">
        <v>3508</v>
      </c>
      <c r="I6808" s="81" t="s">
        <v>224</v>
      </c>
      <c r="J6808" s="81" t="s">
        <v>5143</v>
      </c>
    </row>
    <row r="6809" hidden="1">
      <c r="A6809" s="83" t="s">
        <v>6454</v>
      </c>
      <c r="B6809" s="83" t="s">
        <v>6455</v>
      </c>
      <c r="C6809" s="81" t="s">
        <v>5141</v>
      </c>
      <c r="D6809" s="83" t="s">
        <v>4754</v>
      </c>
      <c r="E6809" s="81" t="s">
        <v>3621</v>
      </c>
      <c r="F6809" s="81">
        <v>684.0</v>
      </c>
      <c r="G6809" s="81" t="s">
        <v>45</v>
      </c>
      <c r="H6809" s="81" t="s">
        <v>6620</v>
      </c>
      <c r="I6809" s="81" t="s">
        <v>224</v>
      </c>
      <c r="J6809" s="81" t="s">
        <v>5143</v>
      </c>
    </row>
    <row r="6810" hidden="1">
      <c r="A6810" s="83" t="s">
        <v>6454</v>
      </c>
      <c r="B6810" s="83" t="s">
        <v>6455</v>
      </c>
      <c r="C6810" s="81" t="s">
        <v>5141</v>
      </c>
      <c r="D6810" s="83" t="s">
        <v>4755</v>
      </c>
      <c r="E6810" s="81" t="s">
        <v>3633</v>
      </c>
      <c r="F6810" s="81">
        <v>685.0</v>
      </c>
      <c r="G6810" s="81" t="s">
        <v>45</v>
      </c>
      <c r="H6810" s="81" t="s">
        <v>6620</v>
      </c>
      <c r="I6810" s="81" t="s">
        <v>224</v>
      </c>
      <c r="J6810" s="81" t="s">
        <v>5143</v>
      </c>
    </row>
    <row r="6811" hidden="1">
      <c r="A6811" s="83" t="s">
        <v>6454</v>
      </c>
      <c r="B6811" s="83" t="s">
        <v>6455</v>
      </c>
      <c r="C6811" s="81" t="s">
        <v>5141</v>
      </c>
      <c r="D6811" s="83" t="s">
        <v>4754</v>
      </c>
      <c r="E6811" s="81" t="s">
        <v>3636</v>
      </c>
      <c r="F6811" s="81">
        <v>686.0</v>
      </c>
      <c r="G6811" s="81" t="s">
        <v>45</v>
      </c>
      <c r="H6811" s="81" t="s">
        <v>6620</v>
      </c>
      <c r="I6811" s="81" t="s">
        <v>224</v>
      </c>
      <c r="J6811" s="81" t="s">
        <v>5143</v>
      </c>
    </row>
    <row r="6812" hidden="1">
      <c r="A6812" s="83" t="s">
        <v>6454</v>
      </c>
      <c r="B6812" s="83" t="s">
        <v>6455</v>
      </c>
      <c r="C6812" s="81" t="s">
        <v>5141</v>
      </c>
      <c r="D6812" s="83" t="s">
        <v>4756</v>
      </c>
      <c r="E6812" s="81" t="s">
        <v>3637</v>
      </c>
      <c r="F6812" s="81">
        <v>687.0</v>
      </c>
      <c r="G6812" s="81" t="s">
        <v>45</v>
      </c>
      <c r="H6812" s="81" t="s">
        <v>6620</v>
      </c>
      <c r="I6812" s="81" t="s">
        <v>224</v>
      </c>
      <c r="J6812" s="81" t="s">
        <v>5143</v>
      </c>
    </row>
    <row r="6813" hidden="1">
      <c r="A6813" s="83" t="s">
        <v>6454</v>
      </c>
      <c r="B6813" s="83" t="s">
        <v>6455</v>
      </c>
      <c r="C6813" s="81" t="s">
        <v>5141</v>
      </c>
      <c r="D6813" s="83" t="s">
        <v>4757</v>
      </c>
      <c r="E6813" s="81" t="s">
        <v>3640</v>
      </c>
      <c r="F6813" s="81">
        <v>688.0</v>
      </c>
      <c r="G6813" s="81" t="s">
        <v>45</v>
      </c>
      <c r="H6813" s="81" t="s">
        <v>6620</v>
      </c>
      <c r="I6813" s="81" t="s">
        <v>224</v>
      </c>
      <c r="J6813" s="81" t="s">
        <v>5143</v>
      </c>
    </row>
    <row r="6814" hidden="1">
      <c r="A6814" s="83" t="s">
        <v>6454</v>
      </c>
      <c r="B6814" s="83" t="s">
        <v>6455</v>
      </c>
      <c r="C6814" s="81" t="s">
        <v>5141</v>
      </c>
      <c r="D6814" s="83" t="s">
        <v>4758</v>
      </c>
      <c r="E6814" s="81" t="s">
        <v>3643</v>
      </c>
      <c r="F6814" s="81">
        <v>689.0</v>
      </c>
      <c r="G6814" s="81" t="s">
        <v>45</v>
      </c>
      <c r="H6814" s="81" t="s">
        <v>6620</v>
      </c>
      <c r="I6814" s="81" t="s">
        <v>224</v>
      </c>
      <c r="J6814" s="81" t="s">
        <v>5143</v>
      </c>
    </row>
    <row r="6815" hidden="1">
      <c r="A6815" s="83" t="s">
        <v>6454</v>
      </c>
      <c r="B6815" s="83" t="s">
        <v>6455</v>
      </c>
      <c r="C6815" s="81" t="s">
        <v>5141</v>
      </c>
      <c r="D6815" s="83" t="s">
        <v>4759</v>
      </c>
      <c r="E6815" s="81" t="s">
        <v>3646</v>
      </c>
      <c r="F6815" s="81">
        <v>690.0</v>
      </c>
      <c r="G6815" s="81" t="s">
        <v>45</v>
      </c>
      <c r="H6815" s="81" t="s">
        <v>6620</v>
      </c>
      <c r="I6815" s="81" t="s">
        <v>224</v>
      </c>
      <c r="J6815" s="81" t="s">
        <v>5143</v>
      </c>
    </row>
    <row r="6816" hidden="1">
      <c r="A6816" s="83" t="s">
        <v>6454</v>
      </c>
      <c r="B6816" s="83" t="s">
        <v>6455</v>
      </c>
      <c r="C6816" s="81" t="s">
        <v>5141</v>
      </c>
      <c r="D6816" s="83" t="s">
        <v>4760</v>
      </c>
      <c r="E6816" s="81" t="s">
        <v>3649</v>
      </c>
      <c r="F6816" s="81">
        <v>691.0</v>
      </c>
      <c r="G6816" s="81" t="s">
        <v>45</v>
      </c>
      <c r="H6816" s="81" t="s">
        <v>6620</v>
      </c>
      <c r="I6816" s="81" t="s">
        <v>224</v>
      </c>
      <c r="J6816" s="81" t="s">
        <v>5143</v>
      </c>
    </row>
    <row r="6817" hidden="1">
      <c r="A6817" s="83" t="s">
        <v>6454</v>
      </c>
      <c r="B6817" s="83" t="s">
        <v>6455</v>
      </c>
      <c r="C6817" s="81" t="s">
        <v>5141</v>
      </c>
      <c r="D6817" s="83" t="s">
        <v>4760</v>
      </c>
      <c r="E6817" s="81" t="s">
        <v>3652</v>
      </c>
      <c r="F6817" s="81">
        <v>692.0</v>
      </c>
      <c r="G6817" s="81" t="s">
        <v>45</v>
      </c>
      <c r="H6817" s="81" t="s">
        <v>6620</v>
      </c>
      <c r="I6817" s="81" t="s">
        <v>224</v>
      </c>
      <c r="J6817" s="81" t="s">
        <v>5143</v>
      </c>
    </row>
    <row r="6818" hidden="1">
      <c r="A6818" s="83" t="s">
        <v>6454</v>
      </c>
      <c r="B6818" s="83" t="s">
        <v>6455</v>
      </c>
      <c r="C6818" s="81" t="s">
        <v>5141</v>
      </c>
      <c r="D6818" s="83" t="s">
        <v>4761</v>
      </c>
      <c r="E6818" s="81" t="s">
        <v>3653</v>
      </c>
      <c r="F6818" s="81">
        <v>693.0</v>
      </c>
      <c r="G6818" s="81" t="s">
        <v>45</v>
      </c>
      <c r="H6818" s="81" t="s">
        <v>6620</v>
      </c>
      <c r="I6818" s="81" t="s">
        <v>224</v>
      </c>
      <c r="J6818" s="81" t="s">
        <v>5143</v>
      </c>
    </row>
    <row r="6819" hidden="1">
      <c r="A6819" s="83" t="s">
        <v>6454</v>
      </c>
      <c r="B6819" s="83" t="s">
        <v>6455</v>
      </c>
      <c r="C6819" s="81" t="s">
        <v>5141</v>
      </c>
      <c r="D6819" s="83" t="s">
        <v>4762</v>
      </c>
      <c r="E6819" s="81" t="s">
        <v>3656</v>
      </c>
      <c r="F6819" s="81">
        <v>694.0</v>
      </c>
      <c r="G6819" s="81" t="s">
        <v>45</v>
      </c>
      <c r="H6819" s="81" t="s">
        <v>6620</v>
      </c>
      <c r="I6819" s="81" t="s">
        <v>224</v>
      </c>
      <c r="J6819" s="81" t="s">
        <v>5143</v>
      </c>
    </row>
    <row r="6820" hidden="1">
      <c r="A6820" s="83" t="s">
        <v>6454</v>
      </c>
      <c r="B6820" s="83" t="s">
        <v>6455</v>
      </c>
      <c r="C6820" s="81" t="s">
        <v>5141</v>
      </c>
      <c r="D6820" s="83" t="s">
        <v>4763</v>
      </c>
      <c r="E6820" s="81" t="s">
        <v>3659</v>
      </c>
      <c r="F6820" s="81">
        <v>695.0</v>
      </c>
      <c r="G6820" s="81" t="s">
        <v>45</v>
      </c>
      <c r="H6820" s="81" t="s">
        <v>6620</v>
      </c>
      <c r="I6820" s="81" t="s">
        <v>224</v>
      </c>
      <c r="J6820" s="81" t="s">
        <v>5143</v>
      </c>
    </row>
    <row r="6821" hidden="1">
      <c r="A6821" s="83" t="s">
        <v>6454</v>
      </c>
      <c r="B6821" s="83" t="s">
        <v>6455</v>
      </c>
      <c r="C6821" s="81" t="s">
        <v>5141</v>
      </c>
      <c r="D6821" s="83" t="s">
        <v>4764</v>
      </c>
      <c r="E6821" s="81" t="s">
        <v>3662</v>
      </c>
      <c r="F6821" s="81">
        <v>696.0</v>
      </c>
      <c r="G6821" s="81" t="s">
        <v>45</v>
      </c>
      <c r="H6821" s="81" t="s">
        <v>6621</v>
      </c>
      <c r="I6821" s="81" t="s">
        <v>224</v>
      </c>
      <c r="J6821" s="81" t="s">
        <v>5143</v>
      </c>
    </row>
    <row r="6822" hidden="1">
      <c r="A6822" s="83" t="s">
        <v>6454</v>
      </c>
      <c r="B6822" s="83" t="s">
        <v>6455</v>
      </c>
      <c r="C6822" s="81" t="s">
        <v>5141</v>
      </c>
      <c r="D6822" s="83" t="s">
        <v>4764</v>
      </c>
      <c r="E6822" s="81" t="s">
        <v>3672</v>
      </c>
      <c r="F6822" s="81">
        <v>697.0</v>
      </c>
      <c r="G6822" s="81" t="s">
        <v>45</v>
      </c>
      <c r="H6822" s="81" t="s">
        <v>6621</v>
      </c>
      <c r="I6822" s="81" t="s">
        <v>224</v>
      </c>
      <c r="J6822" s="81" t="s">
        <v>5143</v>
      </c>
    </row>
    <row r="6823" hidden="1">
      <c r="A6823" s="83" t="s">
        <v>6454</v>
      </c>
      <c r="B6823" s="83" t="s">
        <v>6455</v>
      </c>
      <c r="C6823" s="81" t="s">
        <v>5141</v>
      </c>
      <c r="D6823" s="83" t="s">
        <v>4765</v>
      </c>
      <c r="E6823" s="81" t="s">
        <v>3673</v>
      </c>
      <c r="F6823" s="81">
        <v>698.0</v>
      </c>
      <c r="G6823" s="81" t="s">
        <v>45</v>
      </c>
      <c r="H6823" s="81" t="s">
        <v>6621</v>
      </c>
      <c r="I6823" s="81" t="s">
        <v>224</v>
      </c>
      <c r="J6823" s="81" t="s">
        <v>5143</v>
      </c>
    </row>
    <row r="6824" hidden="1">
      <c r="A6824" s="83" t="s">
        <v>6454</v>
      </c>
      <c r="B6824" s="83" t="s">
        <v>6455</v>
      </c>
      <c r="C6824" s="81" t="s">
        <v>5141</v>
      </c>
      <c r="D6824" s="83" t="s">
        <v>4766</v>
      </c>
      <c r="E6824" s="81" t="s">
        <v>3676</v>
      </c>
      <c r="F6824" s="81">
        <v>699.0</v>
      </c>
      <c r="G6824" s="81" t="s">
        <v>45</v>
      </c>
      <c r="H6824" s="81" t="s">
        <v>6621</v>
      </c>
      <c r="I6824" s="81" t="s">
        <v>224</v>
      </c>
      <c r="J6824" s="81" t="s">
        <v>5143</v>
      </c>
    </row>
    <row r="6825" hidden="1">
      <c r="A6825" s="83" t="s">
        <v>6454</v>
      </c>
      <c r="B6825" s="83" t="s">
        <v>6455</v>
      </c>
      <c r="C6825" s="81" t="s">
        <v>5141</v>
      </c>
      <c r="D6825" s="83" t="s">
        <v>4767</v>
      </c>
      <c r="E6825" s="81" t="s">
        <v>3679</v>
      </c>
      <c r="F6825" s="81">
        <v>700.0</v>
      </c>
      <c r="G6825" s="81" t="s">
        <v>45</v>
      </c>
      <c r="H6825" s="81" t="s">
        <v>6621</v>
      </c>
      <c r="I6825" s="81" t="s">
        <v>224</v>
      </c>
      <c r="J6825" s="81" t="s">
        <v>5143</v>
      </c>
    </row>
    <row r="6826" hidden="1">
      <c r="A6826" s="83" t="s">
        <v>6454</v>
      </c>
      <c r="B6826" s="83" t="s">
        <v>6455</v>
      </c>
      <c r="C6826" s="81" t="s">
        <v>5141</v>
      </c>
      <c r="D6826" s="83" t="s">
        <v>4768</v>
      </c>
      <c r="E6826" s="81" t="s">
        <v>3682</v>
      </c>
      <c r="F6826" s="81">
        <v>701.0</v>
      </c>
      <c r="G6826" s="81" t="s">
        <v>45</v>
      </c>
      <c r="H6826" s="81" t="s">
        <v>6621</v>
      </c>
      <c r="I6826" s="81" t="s">
        <v>224</v>
      </c>
      <c r="J6826" s="81" t="s">
        <v>5143</v>
      </c>
    </row>
    <row r="6827" hidden="1">
      <c r="A6827" s="83" t="s">
        <v>6454</v>
      </c>
      <c r="B6827" s="83" t="s">
        <v>6455</v>
      </c>
      <c r="C6827" s="81" t="s">
        <v>5141</v>
      </c>
      <c r="D6827" s="83" t="s">
        <v>4769</v>
      </c>
      <c r="E6827" s="81" t="s">
        <v>3685</v>
      </c>
      <c r="F6827" s="81">
        <v>702.0</v>
      </c>
      <c r="G6827" s="81" t="s">
        <v>45</v>
      </c>
      <c r="H6827" s="81" t="s">
        <v>6621</v>
      </c>
      <c r="I6827" s="81" t="s">
        <v>224</v>
      </c>
      <c r="J6827" s="81" t="s">
        <v>5143</v>
      </c>
    </row>
    <row r="6828" hidden="1">
      <c r="A6828" s="83" t="s">
        <v>6454</v>
      </c>
      <c r="B6828" s="83" t="s">
        <v>6455</v>
      </c>
      <c r="C6828" s="81" t="s">
        <v>5141</v>
      </c>
      <c r="D6828" s="83" t="s">
        <v>4770</v>
      </c>
      <c r="E6828" s="81" t="s">
        <v>3688</v>
      </c>
      <c r="F6828" s="81">
        <v>703.0</v>
      </c>
      <c r="G6828" s="81" t="s">
        <v>45</v>
      </c>
      <c r="H6828" s="81" t="s">
        <v>6622</v>
      </c>
      <c r="I6828" s="81" t="s">
        <v>224</v>
      </c>
      <c r="J6828" s="81" t="s">
        <v>5143</v>
      </c>
    </row>
    <row r="6829" hidden="1">
      <c r="A6829" s="83" t="s">
        <v>6454</v>
      </c>
      <c r="B6829" s="83" t="s">
        <v>6455</v>
      </c>
      <c r="C6829" s="81" t="s">
        <v>5141</v>
      </c>
      <c r="D6829" s="83" t="s">
        <v>4770</v>
      </c>
      <c r="E6829" s="81" t="s">
        <v>3697</v>
      </c>
      <c r="F6829" s="81">
        <v>704.0</v>
      </c>
      <c r="G6829" s="81" t="s">
        <v>45</v>
      </c>
      <c r="H6829" s="81" t="s">
        <v>6622</v>
      </c>
      <c r="I6829" s="81" t="s">
        <v>224</v>
      </c>
      <c r="J6829" s="81" t="s">
        <v>5143</v>
      </c>
    </row>
    <row r="6830" hidden="1">
      <c r="A6830" s="83" t="s">
        <v>6454</v>
      </c>
      <c r="B6830" s="83" t="s">
        <v>6455</v>
      </c>
      <c r="C6830" s="81" t="s">
        <v>5141</v>
      </c>
      <c r="D6830" s="83" t="s">
        <v>4771</v>
      </c>
      <c r="E6830" s="81" t="s">
        <v>3698</v>
      </c>
      <c r="F6830" s="81">
        <v>705.0</v>
      </c>
      <c r="G6830" s="81" t="s">
        <v>45</v>
      </c>
      <c r="H6830" s="81" t="s">
        <v>6622</v>
      </c>
      <c r="I6830" s="81" t="s">
        <v>224</v>
      </c>
      <c r="J6830" s="81" t="s">
        <v>5143</v>
      </c>
    </row>
    <row r="6831" hidden="1">
      <c r="A6831" s="83" t="s">
        <v>6454</v>
      </c>
      <c r="B6831" s="83" t="s">
        <v>6455</v>
      </c>
      <c r="C6831" s="81" t="s">
        <v>5141</v>
      </c>
      <c r="D6831" s="83" t="s">
        <v>4772</v>
      </c>
      <c r="E6831" s="81" t="s">
        <v>3701</v>
      </c>
      <c r="F6831" s="81">
        <v>706.0</v>
      </c>
      <c r="G6831" s="81" t="s">
        <v>45</v>
      </c>
      <c r="H6831" s="81" t="s">
        <v>6622</v>
      </c>
      <c r="I6831" s="81" t="s">
        <v>224</v>
      </c>
      <c r="J6831" s="81" t="s">
        <v>5143</v>
      </c>
    </row>
    <row r="6832" hidden="1">
      <c r="A6832" s="83" t="s">
        <v>6454</v>
      </c>
      <c r="B6832" s="83" t="s">
        <v>6455</v>
      </c>
      <c r="C6832" s="81" t="s">
        <v>5141</v>
      </c>
      <c r="D6832" s="83" t="s">
        <v>4773</v>
      </c>
      <c r="E6832" s="81" t="s">
        <v>3704</v>
      </c>
      <c r="F6832" s="81">
        <v>707.0</v>
      </c>
      <c r="G6832" s="81" t="s">
        <v>45</v>
      </c>
      <c r="H6832" s="81" t="s">
        <v>6622</v>
      </c>
      <c r="I6832" s="81" t="s">
        <v>224</v>
      </c>
      <c r="J6832" s="81" t="s">
        <v>5143</v>
      </c>
    </row>
    <row r="6833" hidden="1">
      <c r="A6833" s="83" t="s">
        <v>6454</v>
      </c>
      <c r="B6833" s="83" t="s">
        <v>6455</v>
      </c>
      <c r="C6833" s="81" t="s">
        <v>5141</v>
      </c>
      <c r="D6833" s="83" t="s">
        <v>4774</v>
      </c>
      <c r="E6833" s="81" t="s">
        <v>3707</v>
      </c>
      <c r="F6833" s="81">
        <v>708.0</v>
      </c>
      <c r="G6833" s="81" t="s">
        <v>45</v>
      </c>
      <c r="H6833" s="81" t="s">
        <v>6622</v>
      </c>
      <c r="I6833" s="81" t="s">
        <v>224</v>
      </c>
      <c r="J6833" s="81" t="s">
        <v>5143</v>
      </c>
    </row>
    <row r="6834" hidden="1">
      <c r="A6834" s="83" t="s">
        <v>6454</v>
      </c>
      <c r="B6834" s="83" t="s">
        <v>6455</v>
      </c>
      <c r="C6834" s="81" t="s">
        <v>5141</v>
      </c>
      <c r="D6834" s="83" t="s">
        <v>4775</v>
      </c>
      <c r="E6834" s="81" t="s">
        <v>3710</v>
      </c>
      <c r="F6834" s="81">
        <v>709.0</v>
      </c>
      <c r="G6834" s="81" t="s">
        <v>45</v>
      </c>
      <c r="H6834" s="81" t="s">
        <v>6622</v>
      </c>
      <c r="I6834" s="81" t="s">
        <v>224</v>
      </c>
      <c r="J6834" s="81" t="s">
        <v>5143</v>
      </c>
    </row>
    <row r="6835" hidden="1">
      <c r="A6835" s="83" t="s">
        <v>6454</v>
      </c>
      <c r="B6835" s="83" t="s">
        <v>6455</v>
      </c>
      <c r="C6835" s="81" t="s">
        <v>5141</v>
      </c>
      <c r="D6835" s="83" t="s">
        <v>4776</v>
      </c>
      <c r="E6835" s="81" t="s">
        <v>3713</v>
      </c>
      <c r="F6835" s="81">
        <v>710.0</v>
      </c>
      <c r="G6835" s="81" t="s">
        <v>45</v>
      </c>
      <c r="H6835" s="81" t="s">
        <v>6622</v>
      </c>
      <c r="I6835" s="81" t="s">
        <v>224</v>
      </c>
      <c r="J6835" s="81" t="s">
        <v>5143</v>
      </c>
    </row>
    <row r="6836" hidden="1">
      <c r="A6836" s="83" t="s">
        <v>6454</v>
      </c>
      <c r="B6836" s="83" t="s">
        <v>6455</v>
      </c>
      <c r="C6836" s="81" t="s">
        <v>4086</v>
      </c>
      <c r="D6836" s="83" t="s">
        <v>4787</v>
      </c>
      <c r="E6836" s="81" t="s">
        <v>3791</v>
      </c>
      <c r="F6836" s="81">
        <v>724.0</v>
      </c>
      <c r="G6836" s="81" t="s">
        <v>46</v>
      </c>
      <c r="H6836" s="81" t="s">
        <v>6623</v>
      </c>
      <c r="I6836" s="81" t="s">
        <v>3790</v>
      </c>
      <c r="J6836" s="81" t="s">
        <v>224</v>
      </c>
    </row>
    <row r="6837" hidden="1">
      <c r="A6837" s="83" t="s">
        <v>6454</v>
      </c>
      <c r="B6837" s="83" t="s">
        <v>6455</v>
      </c>
      <c r="C6837" s="81" t="s">
        <v>5141</v>
      </c>
      <c r="D6837" s="83" t="s">
        <v>4810</v>
      </c>
      <c r="E6837" s="81" t="s">
        <v>3871</v>
      </c>
      <c r="F6837" s="81">
        <v>751.0</v>
      </c>
      <c r="G6837" s="81" t="s">
        <v>45</v>
      </c>
      <c r="H6837" s="81" t="s">
        <v>6624</v>
      </c>
      <c r="I6837" s="81" t="s">
        <v>224</v>
      </c>
      <c r="J6837" s="81" t="s">
        <v>5143</v>
      </c>
    </row>
    <row r="6838" hidden="1">
      <c r="A6838" s="83" t="s">
        <v>6454</v>
      </c>
      <c r="B6838" s="83" t="s">
        <v>6455</v>
      </c>
      <c r="C6838" s="81" t="s">
        <v>5141</v>
      </c>
      <c r="D6838" s="83" t="s">
        <v>4814</v>
      </c>
      <c r="E6838" s="81" t="s">
        <v>3879</v>
      </c>
      <c r="F6838" s="81">
        <v>754.0</v>
      </c>
      <c r="G6838" s="81" t="s">
        <v>45</v>
      </c>
      <c r="H6838" s="81" t="s">
        <v>6625</v>
      </c>
      <c r="I6838" s="81" t="s">
        <v>224</v>
      </c>
      <c r="J6838" s="81" t="s">
        <v>5143</v>
      </c>
    </row>
    <row r="6839" hidden="1">
      <c r="A6839" s="83" t="s">
        <v>6454</v>
      </c>
      <c r="B6839" s="83" t="s">
        <v>6455</v>
      </c>
      <c r="C6839" s="81" t="s">
        <v>4086</v>
      </c>
      <c r="D6839" s="83" t="s">
        <v>4814</v>
      </c>
      <c r="E6839" s="81" t="s">
        <v>3879</v>
      </c>
      <c r="F6839" s="81">
        <v>754.0</v>
      </c>
      <c r="G6839" s="81" t="s">
        <v>46</v>
      </c>
      <c r="H6839" s="81" t="s">
        <v>6618</v>
      </c>
      <c r="I6839" s="81" t="s">
        <v>3089</v>
      </c>
      <c r="J6839" s="81" t="s">
        <v>224</v>
      </c>
    </row>
    <row r="6840" hidden="1">
      <c r="A6840" s="83" t="s">
        <v>6454</v>
      </c>
      <c r="B6840" s="83" t="s">
        <v>6455</v>
      </c>
      <c r="C6840" s="81" t="s">
        <v>5141</v>
      </c>
      <c r="D6840" s="83" t="s">
        <v>4815</v>
      </c>
      <c r="E6840" s="81" t="s">
        <v>3882</v>
      </c>
      <c r="F6840" s="81">
        <v>755.0</v>
      </c>
      <c r="G6840" s="81" t="s">
        <v>45</v>
      </c>
      <c r="H6840" s="81" t="s">
        <v>6625</v>
      </c>
      <c r="I6840" s="81" t="s">
        <v>224</v>
      </c>
      <c r="J6840" s="81" t="s">
        <v>5143</v>
      </c>
    </row>
    <row r="6841" hidden="1">
      <c r="A6841" s="83" t="s">
        <v>6454</v>
      </c>
      <c r="B6841" s="83" t="s">
        <v>6455</v>
      </c>
      <c r="C6841" s="81" t="s">
        <v>4086</v>
      </c>
      <c r="D6841" s="83" t="s">
        <v>4815</v>
      </c>
      <c r="E6841" s="81" t="s">
        <v>3882</v>
      </c>
      <c r="F6841" s="81">
        <v>755.0</v>
      </c>
      <c r="G6841" s="81" t="s">
        <v>46</v>
      </c>
      <c r="H6841" s="81" t="s">
        <v>6618</v>
      </c>
      <c r="I6841" s="81" t="s">
        <v>3089</v>
      </c>
      <c r="J6841" s="81" t="s">
        <v>224</v>
      </c>
    </row>
    <row r="6842" hidden="1">
      <c r="A6842" s="83" t="s">
        <v>6454</v>
      </c>
      <c r="B6842" s="83" t="s">
        <v>6455</v>
      </c>
      <c r="C6842" s="81" t="s">
        <v>5141</v>
      </c>
      <c r="D6842" s="83" t="s">
        <v>4776</v>
      </c>
      <c r="E6842" s="81" t="s">
        <v>3899</v>
      </c>
      <c r="F6842" s="81">
        <v>759.0</v>
      </c>
      <c r="G6842" s="81" t="s">
        <v>45</v>
      </c>
      <c r="H6842" s="81" t="s">
        <v>6622</v>
      </c>
      <c r="I6842" s="81" t="s">
        <v>224</v>
      </c>
      <c r="J6842" s="81" t="s">
        <v>5143</v>
      </c>
    </row>
    <row r="6843" hidden="1">
      <c r="A6843" s="83" t="s">
        <v>6454</v>
      </c>
      <c r="B6843" s="83" t="s">
        <v>6455</v>
      </c>
      <c r="C6843" s="81" t="s">
        <v>5141</v>
      </c>
      <c r="D6843" s="83" t="s">
        <v>4819</v>
      </c>
      <c r="E6843" s="81" t="s">
        <v>3900</v>
      </c>
      <c r="F6843" s="81">
        <v>760.0</v>
      </c>
      <c r="G6843" s="81" t="s">
        <v>45</v>
      </c>
      <c r="H6843" s="81" t="s">
        <v>6622</v>
      </c>
      <c r="I6843" s="81" t="s">
        <v>224</v>
      </c>
      <c r="J6843" s="81" t="s">
        <v>5143</v>
      </c>
    </row>
    <row r="6844" hidden="1">
      <c r="A6844" s="83" t="s">
        <v>6454</v>
      </c>
      <c r="B6844" s="83" t="s">
        <v>6455</v>
      </c>
      <c r="C6844" s="81" t="s">
        <v>5141</v>
      </c>
      <c r="D6844" s="83" t="s">
        <v>4820</v>
      </c>
      <c r="E6844" s="81" t="s">
        <v>3903</v>
      </c>
      <c r="F6844" s="81">
        <v>761.0</v>
      </c>
      <c r="G6844" s="81" t="s">
        <v>45</v>
      </c>
      <c r="H6844" s="81" t="s">
        <v>6622</v>
      </c>
      <c r="I6844" s="81" t="s">
        <v>224</v>
      </c>
      <c r="J6844" s="81" t="s">
        <v>5143</v>
      </c>
    </row>
    <row r="6845" hidden="1">
      <c r="A6845" s="83" t="s">
        <v>6454</v>
      </c>
      <c r="B6845" s="83" t="s">
        <v>6455</v>
      </c>
      <c r="C6845" s="81" t="s">
        <v>5141</v>
      </c>
      <c r="D6845" s="83" t="s">
        <v>4821</v>
      </c>
      <c r="E6845" s="81" t="s">
        <v>3906</v>
      </c>
      <c r="F6845" s="81">
        <v>762.0</v>
      </c>
      <c r="G6845" s="81" t="s">
        <v>45</v>
      </c>
      <c r="H6845" s="81" t="s">
        <v>6622</v>
      </c>
      <c r="I6845" s="81" t="s">
        <v>224</v>
      </c>
      <c r="J6845" s="81" t="s">
        <v>5143</v>
      </c>
    </row>
    <row r="6846" hidden="1">
      <c r="A6846" s="83" t="s">
        <v>6454</v>
      </c>
      <c r="B6846" s="83" t="s">
        <v>6455</v>
      </c>
      <c r="C6846" s="81" t="s">
        <v>5141</v>
      </c>
      <c r="D6846" s="83" t="s">
        <v>4822</v>
      </c>
      <c r="E6846" s="81" t="s">
        <v>3909</v>
      </c>
      <c r="F6846" s="81">
        <v>763.0</v>
      </c>
      <c r="G6846" s="81" t="s">
        <v>45</v>
      </c>
      <c r="H6846" s="81" t="s">
        <v>6626</v>
      </c>
      <c r="I6846" s="81" t="s">
        <v>224</v>
      </c>
      <c r="J6846" s="81" t="s">
        <v>5143</v>
      </c>
    </row>
    <row r="6847" hidden="1">
      <c r="A6847" s="83" t="s">
        <v>6454</v>
      </c>
      <c r="B6847" s="83" t="s">
        <v>6455</v>
      </c>
      <c r="C6847" s="81" t="s">
        <v>5141</v>
      </c>
      <c r="D6847" s="83" t="s">
        <v>4822</v>
      </c>
      <c r="E6847" s="81" t="s">
        <v>3916</v>
      </c>
      <c r="F6847" s="81">
        <v>764.0</v>
      </c>
      <c r="G6847" s="81" t="s">
        <v>45</v>
      </c>
      <c r="H6847" s="81" t="s">
        <v>6626</v>
      </c>
      <c r="I6847" s="81" t="s">
        <v>224</v>
      </c>
      <c r="J6847" s="81" t="s">
        <v>5143</v>
      </c>
    </row>
    <row r="6848" hidden="1">
      <c r="A6848" s="83" t="s">
        <v>6454</v>
      </c>
      <c r="B6848" s="83" t="s">
        <v>6455</v>
      </c>
      <c r="C6848" s="81" t="s">
        <v>5141</v>
      </c>
      <c r="D6848" s="83" t="s">
        <v>4823</v>
      </c>
      <c r="E6848" s="81" t="s">
        <v>3917</v>
      </c>
      <c r="F6848" s="81">
        <v>765.0</v>
      </c>
      <c r="G6848" s="81" t="s">
        <v>45</v>
      </c>
      <c r="H6848" s="81" t="s">
        <v>6626</v>
      </c>
      <c r="I6848" s="81" t="s">
        <v>224</v>
      </c>
      <c r="J6848" s="81" t="s">
        <v>5143</v>
      </c>
    </row>
    <row r="6849" hidden="1">
      <c r="A6849" s="83" t="s">
        <v>6454</v>
      </c>
      <c r="B6849" s="83" t="s">
        <v>6455</v>
      </c>
      <c r="C6849" s="81" t="s">
        <v>5141</v>
      </c>
      <c r="D6849" s="83" t="s">
        <v>4824</v>
      </c>
      <c r="E6849" s="81" t="s">
        <v>3920</v>
      </c>
      <c r="F6849" s="81">
        <v>766.0</v>
      </c>
      <c r="G6849" s="81" t="s">
        <v>45</v>
      </c>
      <c r="H6849" s="81" t="s">
        <v>6626</v>
      </c>
      <c r="I6849" s="81" t="s">
        <v>224</v>
      </c>
      <c r="J6849" s="81" t="s">
        <v>5143</v>
      </c>
    </row>
    <row r="6850" hidden="1">
      <c r="A6850" s="83" t="s">
        <v>6454</v>
      </c>
      <c r="B6850" s="83" t="s">
        <v>6455</v>
      </c>
      <c r="C6850" s="81" t="s">
        <v>5141</v>
      </c>
      <c r="D6850" s="83" t="s">
        <v>4825</v>
      </c>
      <c r="E6850" s="81" t="s">
        <v>3923</v>
      </c>
      <c r="F6850" s="81">
        <v>767.0</v>
      </c>
      <c r="G6850" s="81" t="s">
        <v>45</v>
      </c>
      <c r="H6850" s="81" t="s">
        <v>6626</v>
      </c>
      <c r="I6850" s="81" t="s">
        <v>224</v>
      </c>
      <c r="J6850" s="81" t="s">
        <v>5143</v>
      </c>
    </row>
    <row r="6851" hidden="1">
      <c r="A6851" s="83" t="s">
        <v>6454</v>
      </c>
      <c r="B6851" s="83" t="s">
        <v>6455</v>
      </c>
      <c r="C6851" s="81" t="s">
        <v>5141</v>
      </c>
      <c r="D6851" s="83" t="s">
        <v>4826</v>
      </c>
      <c r="E6851" s="81" t="s">
        <v>3926</v>
      </c>
      <c r="F6851" s="81">
        <v>768.0</v>
      </c>
      <c r="G6851" s="81" t="s">
        <v>45</v>
      </c>
      <c r="H6851" s="81" t="s">
        <v>6626</v>
      </c>
      <c r="I6851" s="81" t="s">
        <v>224</v>
      </c>
      <c r="J6851" s="81" t="s">
        <v>5143</v>
      </c>
    </row>
    <row r="6852" hidden="1">
      <c r="A6852" s="83" t="s">
        <v>6454</v>
      </c>
      <c r="B6852" s="83" t="s">
        <v>6455</v>
      </c>
      <c r="C6852" s="81" t="s">
        <v>5141</v>
      </c>
      <c r="D6852" s="83" t="s">
        <v>4827</v>
      </c>
      <c r="E6852" s="81" t="s">
        <v>3929</v>
      </c>
      <c r="F6852" s="81">
        <v>769.0</v>
      </c>
      <c r="G6852" s="81" t="s">
        <v>45</v>
      </c>
      <c r="H6852" s="81" t="s">
        <v>6626</v>
      </c>
      <c r="I6852" s="81" t="s">
        <v>224</v>
      </c>
      <c r="J6852" s="81" t="s">
        <v>5143</v>
      </c>
    </row>
    <row r="6853" hidden="1">
      <c r="A6853" s="83" t="s">
        <v>6454</v>
      </c>
      <c r="B6853" s="83" t="s">
        <v>6455</v>
      </c>
      <c r="C6853" s="81" t="s">
        <v>5141</v>
      </c>
      <c r="D6853" s="83" t="s">
        <v>4828</v>
      </c>
      <c r="E6853" s="81" t="s">
        <v>3932</v>
      </c>
      <c r="F6853" s="81">
        <v>770.0</v>
      </c>
      <c r="G6853" s="81" t="s">
        <v>45</v>
      </c>
      <c r="H6853" s="81" t="s">
        <v>6626</v>
      </c>
      <c r="I6853" s="81" t="s">
        <v>224</v>
      </c>
      <c r="J6853" s="81" t="s">
        <v>5143</v>
      </c>
    </row>
    <row r="6854" hidden="1">
      <c r="A6854" s="83" t="s">
        <v>6454</v>
      </c>
      <c r="B6854" s="83" t="s">
        <v>6455</v>
      </c>
      <c r="C6854" s="81" t="s">
        <v>5141</v>
      </c>
      <c r="D6854" s="83" t="s">
        <v>4828</v>
      </c>
      <c r="E6854" s="81" t="s">
        <v>3935</v>
      </c>
      <c r="F6854" s="81">
        <v>771.0</v>
      </c>
      <c r="G6854" s="81" t="s">
        <v>45</v>
      </c>
      <c r="H6854" s="81" t="s">
        <v>6626</v>
      </c>
      <c r="I6854" s="81" t="s">
        <v>224</v>
      </c>
      <c r="J6854" s="81" t="s">
        <v>5143</v>
      </c>
    </row>
    <row r="6855" hidden="1">
      <c r="A6855" s="83" t="s">
        <v>6454</v>
      </c>
      <c r="B6855" s="83" t="s">
        <v>6455</v>
      </c>
      <c r="C6855" s="81" t="s">
        <v>5141</v>
      </c>
      <c r="D6855" s="83" t="s">
        <v>4829</v>
      </c>
      <c r="E6855" s="81" t="s">
        <v>3936</v>
      </c>
      <c r="F6855" s="81">
        <v>772.0</v>
      </c>
      <c r="G6855" s="81" t="s">
        <v>45</v>
      </c>
      <c r="H6855" s="81" t="s">
        <v>6626</v>
      </c>
      <c r="I6855" s="81" t="s">
        <v>224</v>
      </c>
      <c r="J6855" s="81" t="s">
        <v>5143</v>
      </c>
    </row>
    <row r="6856" hidden="1">
      <c r="A6856" s="83" t="s">
        <v>6454</v>
      </c>
      <c r="B6856" s="83" t="s">
        <v>6455</v>
      </c>
      <c r="C6856" s="81" t="s">
        <v>5141</v>
      </c>
      <c r="D6856" s="83" t="s">
        <v>4830</v>
      </c>
      <c r="E6856" s="81" t="s">
        <v>3939</v>
      </c>
      <c r="F6856" s="81">
        <v>773.0</v>
      </c>
      <c r="G6856" s="81" t="s">
        <v>45</v>
      </c>
      <c r="H6856" s="81" t="s">
        <v>6626</v>
      </c>
      <c r="I6856" s="81" t="s">
        <v>224</v>
      </c>
      <c r="J6856" s="81" t="s">
        <v>5143</v>
      </c>
    </row>
    <row r="6857" hidden="1">
      <c r="A6857" s="83" t="s">
        <v>6454</v>
      </c>
      <c r="B6857" s="83" t="s">
        <v>6455</v>
      </c>
      <c r="C6857" s="81" t="s">
        <v>5141</v>
      </c>
      <c r="D6857" s="83" t="s">
        <v>4831</v>
      </c>
      <c r="E6857" s="81" t="s">
        <v>3942</v>
      </c>
      <c r="F6857" s="81">
        <v>774.0</v>
      </c>
      <c r="G6857" s="81" t="s">
        <v>45</v>
      </c>
      <c r="H6857" s="81" t="s">
        <v>6626</v>
      </c>
      <c r="I6857" s="81" t="s">
        <v>224</v>
      </c>
      <c r="J6857" s="81" t="s">
        <v>5143</v>
      </c>
    </row>
    <row r="6858" hidden="1">
      <c r="A6858" s="83" t="s">
        <v>6454</v>
      </c>
      <c r="B6858" s="83" t="s">
        <v>6455</v>
      </c>
      <c r="C6858" s="81" t="s">
        <v>4086</v>
      </c>
      <c r="D6858" s="83" t="s">
        <v>4257</v>
      </c>
      <c r="E6858" s="81" t="s">
        <v>1025</v>
      </c>
      <c r="F6858" s="81">
        <v>789.0</v>
      </c>
      <c r="G6858" s="81" t="s">
        <v>45</v>
      </c>
      <c r="H6858" s="81" t="s">
        <v>224</v>
      </c>
      <c r="I6858" s="81" t="s">
        <v>1024</v>
      </c>
      <c r="J6858" s="81" t="s">
        <v>224</v>
      </c>
    </row>
    <row r="6859" hidden="1">
      <c r="A6859" s="83" t="s">
        <v>6454</v>
      </c>
      <c r="B6859" s="83" t="s">
        <v>6455</v>
      </c>
      <c r="C6859" s="81" t="s">
        <v>4082</v>
      </c>
      <c r="D6859" s="83" t="s">
        <v>4844</v>
      </c>
      <c r="E6859" s="81" t="s">
        <v>3998</v>
      </c>
      <c r="F6859" s="81">
        <v>791.0</v>
      </c>
      <c r="G6859" s="81" t="s">
        <v>39</v>
      </c>
      <c r="H6859" s="81" t="s">
        <v>224</v>
      </c>
      <c r="I6859" s="81" t="s">
        <v>224</v>
      </c>
      <c r="J6859" s="81" t="s">
        <v>6440</v>
      </c>
    </row>
    <row r="6860" hidden="1">
      <c r="A6860" s="83" t="s">
        <v>6454</v>
      </c>
      <c r="B6860" s="83" t="s">
        <v>6455</v>
      </c>
      <c r="C6860" s="81" t="s">
        <v>4086</v>
      </c>
      <c r="D6860" s="83" t="s">
        <v>4844</v>
      </c>
      <c r="E6860" s="81" t="s">
        <v>3998</v>
      </c>
      <c r="F6860" s="81">
        <v>791.0</v>
      </c>
      <c r="G6860" s="81" t="s">
        <v>45</v>
      </c>
      <c r="H6860" s="81" t="s">
        <v>224</v>
      </c>
      <c r="I6860" s="81" t="s">
        <v>4001</v>
      </c>
      <c r="J6860" s="81" t="s">
        <v>224</v>
      </c>
    </row>
    <row r="6861" hidden="1">
      <c r="A6861" s="83" t="s">
        <v>6454</v>
      </c>
      <c r="B6861" s="83" t="s">
        <v>6455</v>
      </c>
      <c r="C6861" s="81" t="s">
        <v>4082</v>
      </c>
      <c r="D6861" s="83" t="s">
        <v>4845</v>
      </c>
      <c r="E6861" s="81" t="s">
        <v>4002</v>
      </c>
      <c r="F6861" s="81">
        <v>792.0</v>
      </c>
      <c r="G6861" s="81" t="s">
        <v>39</v>
      </c>
      <c r="H6861" s="81" t="s">
        <v>224</v>
      </c>
      <c r="I6861" s="81" t="s">
        <v>224</v>
      </c>
      <c r="J6861" s="81" t="s">
        <v>6441</v>
      </c>
    </row>
    <row r="6862" hidden="1">
      <c r="A6862" s="83" t="s">
        <v>6454</v>
      </c>
      <c r="B6862" s="83" t="s">
        <v>6455</v>
      </c>
      <c r="C6862" s="81" t="s">
        <v>4086</v>
      </c>
      <c r="D6862" s="83" t="s">
        <v>4845</v>
      </c>
      <c r="E6862" s="81" t="s">
        <v>4002</v>
      </c>
      <c r="F6862" s="81">
        <v>792.0</v>
      </c>
      <c r="G6862" s="81" t="s">
        <v>45</v>
      </c>
      <c r="H6862" s="81" t="s">
        <v>224</v>
      </c>
      <c r="I6862" s="81" t="s">
        <v>4001</v>
      </c>
      <c r="J6862" s="81" t="s">
        <v>224</v>
      </c>
    </row>
    <row r="6863" hidden="1">
      <c r="A6863" s="83" t="s">
        <v>6454</v>
      </c>
      <c r="B6863" s="83" t="s">
        <v>6455</v>
      </c>
      <c r="C6863" s="81" t="s">
        <v>4082</v>
      </c>
      <c r="D6863" s="83" t="s">
        <v>4846</v>
      </c>
      <c r="E6863" s="81" t="s">
        <v>1133</v>
      </c>
      <c r="F6863" s="81">
        <v>793.0</v>
      </c>
      <c r="G6863" s="81" t="s">
        <v>39</v>
      </c>
      <c r="H6863" s="81" t="s">
        <v>224</v>
      </c>
      <c r="I6863" s="81" t="s">
        <v>224</v>
      </c>
      <c r="J6863" s="81" t="s">
        <v>6442</v>
      </c>
    </row>
    <row r="6864" hidden="1">
      <c r="A6864" s="83" t="s">
        <v>6454</v>
      </c>
      <c r="B6864" s="83" t="s">
        <v>6455</v>
      </c>
      <c r="C6864" s="81" t="s">
        <v>4086</v>
      </c>
      <c r="D6864" s="83" t="s">
        <v>4846</v>
      </c>
      <c r="E6864" s="81" t="s">
        <v>1133</v>
      </c>
      <c r="F6864" s="81">
        <v>793.0</v>
      </c>
      <c r="G6864" s="81" t="s">
        <v>45</v>
      </c>
      <c r="H6864" s="81" t="s">
        <v>224</v>
      </c>
      <c r="I6864" s="81" t="s">
        <v>4001</v>
      </c>
      <c r="J6864" s="81" t="s">
        <v>224</v>
      </c>
    </row>
    <row r="6865" hidden="1">
      <c r="A6865" s="83" t="s">
        <v>6454</v>
      </c>
      <c r="B6865" s="83" t="s">
        <v>6455</v>
      </c>
      <c r="C6865" s="81" t="s">
        <v>4082</v>
      </c>
      <c r="D6865" s="83" t="s">
        <v>4847</v>
      </c>
      <c r="E6865" s="81" t="s">
        <v>4005</v>
      </c>
      <c r="F6865" s="81">
        <v>794.0</v>
      </c>
      <c r="G6865" s="81" t="s">
        <v>39</v>
      </c>
      <c r="H6865" s="81" t="s">
        <v>224</v>
      </c>
      <c r="I6865" s="81" t="s">
        <v>224</v>
      </c>
      <c r="J6865" s="81" t="s">
        <v>6316</v>
      </c>
    </row>
    <row r="6866" hidden="1">
      <c r="A6866" s="83" t="s">
        <v>6454</v>
      </c>
      <c r="B6866" s="83" t="s">
        <v>6455</v>
      </c>
      <c r="C6866" s="81" t="s">
        <v>4086</v>
      </c>
      <c r="D6866" s="83" t="s">
        <v>4847</v>
      </c>
      <c r="E6866" s="81" t="s">
        <v>4005</v>
      </c>
      <c r="F6866" s="81">
        <v>794.0</v>
      </c>
      <c r="G6866" s="81" t="s">
        <v>45</v>
      </c>
      <c r="H6866" s="81" t="s">
        <v>224</v>
      </c>
      <c r="I6866" s="81" t="s">
        <v>4001</v>
      </c>
      <c r="J6866" s="81" t="s">
        <v>224</v>
      </c>
    </row>
    <row r="6867" hidden="1">
      <c r="A6867" s="83" t="s">
        <v>6454</v>
      </c>
      <c r="B6867" s="83" t="s">
        <v>6455</v>
      </c>
      <c r="C6867" s="81" t="s">
        <v>4082</v>
      </c>
      <c r="D6867" s="83" t="s">
        <v>4848</v>
      </c>
      <c r="E6867" s="81" t="s">
        <v>1142</v>
      </c>
      <c r="F6867" s="81">
        <v>795.0</v>
      </c>
      <c r="G6867" s="81" t="s">
        <v>39</v>
      </c>
      <c r="H6867" s="81" t="s">
        <v>224</v>
      </c>
      <c r="I6867" s="81" t="s">
        <v>224</v>
      </c>
      <c r="J6867" s="81" t="s">
        <v>6443</v>
      </c>
    </row>
    <row r="6868" hidden="1">
      <c r="A6868" s="83" t="s">
        <v>6454</v>
      </c>
      <c r="B6868" s="83" t="s">
        <v>6455</v>
      </c>
      <c r="C6868" s="81" t="s">
        <v>4086</v>
      </c>
      <c r="D6868" s="83" t="s">
        <v>4848</v>
      </c>
      <c r="E6868" s="81" t="s">
        <v>1142</v>
      </c>
      <c r="F6868" s="81">
        <v>795.0</v>
      </c>
      <c r="G6868" s="81" t="s">
        <v>45</v>
      </c>
      <c r="H6868" s="81" t="s">
        <v>224</v>
      </c>
      <c r="I6868" s="81" t="s">
        <v>1024</v>
      </c>
      <c r="J6868" s="81" t="s">
        <v>224</v>
      </c>
    </row>
    <row r="6869" hidden="1">
      <c r="A6869" s="83" t="s">
        <v>6454</v>
      </c>
      <c r="B6869" s="83" t="s">
        <v>6455</v>
      </c>
      <c r="C6869" s="81" t="s">
        <v>4082</v>
      </c>
      <c r="D6869" s="83" t="s">
        <v>4850</v>
      </c>
      <c r="E6869" s="81" t="s">
        <v>1138</v>
      </c>
      <c r="F6869" s="81">
        <v>796.0</v>
      </c>
      <c r="G6869" s="81" t="s">
        <v>39</v>
      </c>
      <c r="H6869" s="81" t="s">
        <v>224</v>
      </c>
      <c r="I6869" s="81" t="s">
        <v>224</v>
      </c>
      <c r="J6869" s="81" t="s">
        <v>6444</v>
      </c>
    </row>
    <row r="6870" hidden="1">
      <c r="A6870" s="83" t="s">
        <v>6454</v>
      </c>
      <c r="B6870" s="83" t="s">
        <v>6455</v>
      </c>
      <c r="C6870" s="81" t="s">
        <v>4086</v>
      </c>
      <c r="D6870" s="83" t="s">
        <v>4850</v>
      </c>
      <c r="E6870" s="81" t="s">
        <v>1138</v>
      </c>
      <c r="F6870" s="81">
        <v>796.0</v>
      </c>
      <c r="G6870" s="81" t="s">
        <v>45</v>
      </c>
      <c r="H6870" s="81" t="s">
        <v>224</v>
      </c>
      <c r="I6870" s="81" t="s">
        <v>1024</v>
      </c>
      <c r="J6870" s="81" t="s">
        <v>224</v>
      </c>
    </row>
    <row r="6871" hidden="1">
      <c r="A6871" s="83" t="s">
        <v>6454</v>
      </c>
      <c r="B6871" s="83" t="s">
        <v>6455</v>
      </c>
      <c r="C6871" s="81" t="s">
        <v>4086</v>
      </c>
      <c r="D6871" s="83" t="s">
        <v>4861</v>
      </c>
      <c r="E6871" s="81" t="s">
        <v>4007</v>
      </c>
      <c r="F6871" s="81">
        <v>797.0</v>
      </c>
      <c r="G6871" s="81" t="s">
        <v>45</v>
      </c>
      <c r="H6871" s="81" t="s">
        <v>224</v>
      </c>
      <c r="I6871" s="81" t="s">
        <v>3538</v>
      </c>
      <c r="J6871" s="81" t="s">
        <v>224</v>
      </c>
    </row>
    <row r="6872" hidden="1">
      <c r="A6872" s="83" t="s">
        <v>6454</v>
      </c>
      <c r="B6872" s="83" t="s">
        <v>6455</v>
      </c>
      <c r="C6872" s="81" t="s">
        <v>4086</v>
      </c>
      <c r="D6872" s="83" t="s">
        <v>4862</v>
      </c>
      <c r="E6872" s="81" t="s">
        <v>4011</v>
      </c>
      <c r="F6872" s="81">
        <v>798.0</v>
      </c>
      <c r="G6872" s="81" t="s">
        <v>45</v>
      </c>
      <c r="H6872" s="81" t="s">
        <v>224</v>
      </c>
      <c r="I6872" s="81" t="s">
        <v>1840</v>
      </c>
      <c r="J6872" s="81" t="s">
        <v>224</v>
      </c>
    </row>
    <row r="6873" hidden="1">
      <c r="A6873" s="83" t="s">
        <v>6454</v>
      </c>
      <c r="B6873" s="83" t="s">
        <v>6455</v>
      </c>
      <c r="C6873" s="81" t="s">
        <v>4086</v>
      </c>
      <c r="D6873" s="83" t="s">
        <v>4862</v>
      </c>
      <c r="E6873" s="81" t="s">
        <v>4011</v>
      </c>
      <c r="F6873" s="81">
        <v>798.0</v>
      </c>
      <c r="G6873" s="81" t="s">
        <v>46</v>
      </c>
      <c r="H6873" s="81" t="s">
        <v>224</v>
      </c>
      <c r="I6873" s="81" t="s">
        <v>1841</v>
      </c>
      <c r="J6873" s="81" t="s">
        <v>224</v>
      </c>
    </row>
    <row r="6874" hidden="1">
      <c r="A6874" s="83" t="s">
        <v>6454</v>
      </c>
      <c r="B6874" s="83" t="s">
        <v>6455</v>
      </c>
      <c r="C6874" s="81" t="s">
        <v>4086</v>
      </c>
      <c r="D6874" s="83" t="s">
        <v>4863</v>
      </c>
      <c r="E6874" s="81" t="s">
        <v>4014</v>
      </c>
      <c r="F6874" s="81">
        <v>799.0</v>
      </c>
      <c r="G6874" s="81" t="s">
        <v>45</v>
      </c>
      <c r="H6874" s="81" t="s">
        <v>224</v>
      </c>
      <c r="I6874" s="81" t="s">
        <v>1840</v>
      </c>
      <c r="J6874" s="81" t="s">
        <v>224</v>
      </c>
    </row>
    <row r="6875" hidden="1">
      <c r="A6875" s="83" t="s">
        <v>6454</v>
      </c>
      <c r="B6875" s="83" t="s">
        <v>6455</v>
      </c>
      <c r="C6875" s="81" t="s">
        <v>4086</v>
      </c>
      <c r="D6875" s="83" t="s">
        <v>4863</v>
      </c>
      <c r="E6875" s="81" t="s">
        <v>4014</v>
      </c>
      <c r="F6875" s="81">
        <v>799.0</v>
      </c>
      <c r="G6875" s="81" t="s">
        <v>46</v>
      </c>
      <c r="H6875" s="81" t="s">
        <v>224</v>
      </c>
      <c r="I6875" s="81" t="s">
        <v>1841</v>
      </c>
      <c r="J6875" s="81" t="s">
        <v>224</v>
      </c>
    </row>
    <row r="6876" hidden="1">
      <c r="A6876" s="83" t="s">
        <v>6454</v>
      </c>
      <c r="B6876" s="83" t="s">
        <v>6455</v>
      </c>
      <c r="C6876" s="81" t="s">
        <v>4086</v>
      </c>
      <c r="D6876" s="83" t="s">
        <v>4864</v>
      </c>
      <c r="E6876" s="81" t="s">
        <v>4016</v>
      </c>
      <c r="F6876" s="81">
        <v>800.0</v>
      </c>
      <c r="G6876" s="81" t="s">
        <v>45</v>
      </c>
      <c r="H6876" s="81" t="s">
        <v>224</v>
      </c>
      <c r="I6876" s="81" t="s">
        <v>1858</v>
      </c>
      <c r="J6876" s="81" t="s">
        <v>224</v>
      </c>
    </row>
    <row r="6877" hidden="1">
      <c r="A6877" s="83" t="s">
        <v>6454</v>
      </c>
      <c r="B6877" s="83" t="s">
        <v>6455</v>
      </c>
      <c r="C6877" s="81" t="s">
        <v>4086</v>
      </c>
      <c r="D6877" s="83" t="s">
        <v>4864</v>
      </c>
      <c r="E6877" s="81" t="s">
        <v>4016</v>
      </c>
      <c r="F6877" s="81">
        <v>800.0</v>
      </c>
      <c r="G6877" s="81" t="s">
        <v>46</v>
      </c>
      <c r="H6877" s="81" t="s">
        <v>224</v>
      </c>
      <c r="I6877" s="81" t="s">
        <v>1859</v>
      </c>
      <c r="J6877" s="81" t="s">
        <v>224</v>
      </c>
    </row>
    <row r="6878" hidden="1">
      <c r="A6878" s="83" t="s">
        <v>6454</v>
      </c>
      <c r="B6878" s="83" t="s">
        <v>6455</v>
      </c>
      <c r="C6878" s="81" t="s">
        <v>4086</v>
      </c>
      <c r="D6878" s="83" t="s">
        <v>4865</v>
      </c>
      <c r="E6878" s="81" t="s">
        <v>4017</v>
      </c>
      <c r="F6878" s="81">
        <v>801.0</v>
      </c>
      <c r="G6878" s="81" t="s">
        <v>45</v>
      </c>
      <c r="H6878" s="81" t="s">
        <v>224</v>
      </c>
      <c r="I6878" s="81" t="s">
        <v>1858</v>
      </c>
      <c r="J6878" s="81" t="s">
        <v>224</v>
      </c>
    </row>
    <row r="6879" hidden="1">
      <c r="A6879" s="83" t="s">
        <v>6454</v>
      </c>
      <c r="B6879" s="83" t="s">
        <v>6455</v>
      </c>
      <c r="C6879" s="81" t="s">
        <v>4086</v>
      </c>
      <c r="D6879" s="83" t="s">
        <v>4865</v>
      </c>
      <c r="E6879" s="81" t="s">
        <v>4017</v>
      </c>
      <c r="F6879" s="81">
        <v>801.0</v>
      </c>
      <c r="G6879" s="81" t="s">
        <v>46</v>
      </c>
      <c r="H6879" s="81" t="s">
        <v>224</v>
      </c>
      <c r="I6879" s="81" t="s">
        <v>1859</v>
      </c>
      <c r="J6879" s="81" t="s">
        <v>224</v>
      </c>
    </row>
    <row r="6880" hidden="1">
      <c r="A6880" s="83" t="s">
        <v>6454</v>
      </c>
      <c r="B6880" s="83" t="s">
        <v>6455</v>
      </c>
      <c r="C6880" s="81" t="s">
        <v>4086</v>
      </c>
      <c r="D6880" s="83" t="s">
        <v>4866</v>
      </c>
      <c r="E6880" s="81" t="s">
        <v>4018</v>
      </c>
      <c r="F6880" s="81">
        <v>802.0</v>
      </c>
      <c r="G6880" s="81" t="s">
        <v>45</v>
      </c>
      <c r="H6880" s="81" t="s">
        <v>224</v>
      </c>
      <c r="I6880" s="81" t="s">
        <v>1872</v>
      </c>
      <c r="J6880" s="81" t="s">
        <v>224</v>
      </c>
    </row>
    <row r="6881" hidden="1">
      <c r="A6881" s="83" t="s">
        <v>6454</v>
      </c>
      <c r="B6881" s="83" t="s">
        <v>6455</v>
      </c>
      <c r="C6881" s="81" t="s">
        <v>4086</v>
      </c>
      <c r="D6881" s="83" t="s">
        <v>4866</v>
      </c>
      <c r="E6881" s="81" t="s">
        <v>4018</v>
      </c>
      <c r="F6881" s="81">
        <v>802.0</v>
      </c>
      <c r="G6881" s="81" t="s">
        <v>46</v>
      </c>
      <c r="H6881" s="81" t="s">
        <v>224</v>
      </c>
      <c r="I6881" s="81" t="s">
        <v>1873</v>
      </c>
      <c r="J6881" s="81" t="s">
        <v>224</v>
      </c>
    </row>
    <row r="6882" hidden="1">
      <c r="A6882" s="83" t="s">
        <v>6454</v>
      </c>
      <c r="B6882" s="83" t="s">
        <v>6455</v>
      </c>
      <c r="C6882" s="81" t="s">
        <v>4086</v>
      </c>
      <c r="D6882" s="83" t="s">
        <v>4867</v>
      </c>
      <c r="E6882" s="81" t="s">
        <v>4019</v>
      </c>
      <c r="F6882" s="81">
        <v>803.0</v>
      </c>
      <c r="G6882" s="81" t="s">
        <v>45</v>
      </c>
      <c r="H6882" s="81" t="s">
        <v>224</v>
      </c>
      <c r="I6882" s="81" t="s">
        <v>1872</v>
      </c>
      <c r="J6882" s="81" t="s">
        <v>224</v>
      </c>
    </row>
    <row r="6883" hidden="1">
      <c r="A6883" s="83" t="s">
        <v>6454</v>
      </c>
      <c r="B6883" s="83" t="s">
        <v>6455</v>
      </c>
      <c r="C6883" s="81" t="s">
        <v>4086</v>
      </c>
      <c r="D6883" s="83" t="s">
        <v>4867</v>
      </c>
      <c r="E6883" s="81" t="s">
        <v>4019</v>
      </c>
      <c r="F6883" s="81">
        <v>803.0</v>
      </c>
      <c r="G6883" s="81" t="s">
        <v>46</v>
      </c>
      <c r="H6883" s="81" t="s">
        <v>224</v>
      </c>
      <c r="I6883" s="81" t="s">
        <v>1873</v>
      </c>
      <c r="J6883" s="81" t="s">
        <v>224</v>
      </c>
    </row>
    <row r="6884" hidden="1">
      <c r="A6884" s="83" t="s">
        <v>6454</v>
      </c>
      <c r="B6884" s="83" t="s">
        <v>6455</v>
      </c>
      <c r="C6884" s="81" t="s">
        <v>4086</v>
      </c>
      <c r="D6884" s="83" t="s">
        <v>4868</v>
      </c>
      <c r="E6884" s="81" t="s">
        <v>4020</v>
      </c>
      <c r="F6884" s="81">
        <v>804.0</v>
      </c>
      <c r="G6884" s="81" t="s">
        <v>45</v>
      </c>
      <c r="H6884" s="81" t="s">
        <v>224</v>
      </c>
      <c r="I6884" s="81" t="s">
        <v>4030</v>
      </c>
      <c r="J6884" s="81" t="s">
        <v>224</v>
      </c>
    </row>
    <row r="6885" hidden="1">
      <c r="A6885" s="83" t="s">
        <v>6454</v>
      </c>
      <c r="B6885" s="83" t="s">
        <v>6455</v>
      </c>
      <c r="C6885" s="81" t="s">
        <v>4086</v>
      </c>
      <c r="D6885" s="83" t="s">
        <v>4868</v>
      </c>
      <c r="E6885" s="81" t="s">
        <v>4020</v>
      </c>
      <c r="F6885" s="81">
        <v>804.0</v>
      </c>
      <c r="G6885" s="81" t="s">
        <v>46</v>
      </c>
      <c r="H6885" s="81" t="s">
        <v>224</v>
      </c>
      <c r="I6885" s="81" t="s">
        <v>4031</v>
      </c>
      <c r="J6885" s="81" t="s">
        <v>224</v>
      </c>
    </row>
    <row r="6886" hidden="1">
      <c r="A6886" s="83" t="s">
        <v>6454</v>
      </c>
      <c r="B6886" s="83" t="s">
        <v>6455</v>
      </c>
      <c r="C6886" s="81" t="s">
        <v>4082</v>
      </c>
      <c r="D6886" s="83" t="s">
        <v>4868</v>
      </c>
      <c r="E6886" s="81" t="s">
        <v>4020</v>
      </c>
      <c r="F6886" s="81">
        <v>804.0</v>
      </c>
      <c r="G6886" s="81" t="s">
        <v>41</v>
      </c>
      <c r="H6886" s="81" t="s">
        <v>4027</v>
      </c>
      <c r="I6886" s="81" t="s">
        <v>224</v>
      </c>
      <c r="J6886" s="81" t="s">
        <v>6446</v>
      </c>
    </row>
    <row r="6887" hidden="1">
      <c r="A6887" s="83" t="s">
        <v>6454</v>
      </c>
      <c r="B6887" s="83" t="s">
        <v>6455</v>
      </c>
      <c r="C6887" s="81" t="s">
        <v>4086</v>
      </c>
      <c r="D6887" s="83" t="s">
        <v>4869</v>
      </c>
      <c r="E6887" s="81" t="s">
        <v>4032</v>
      </c>
      <c r="F6887" s="81">
        <v>805.0</v>
      </c>
      <c r="G6887" s="81" t="s">
        <v>45</v>
      </c>
      <c r="H6887" s="81" t="s">
        <v>224</v>
      </c>
      <c r="I6887" s="81" t="s">
        <v>4030</v>
      </c>
      <c r="J6887" s="81" t="s">
        <v>224</v>
      </c>
    </row>
    <row r="6888" hidden="1">
      <c r="A6888" s="83" t="s">
        <v>6454</v>
      </c>
      <c r="B6888" s="83" t="s">
        <v>6455</v>
      </c>
      <c r="C6888" s="81" t="s">
        <v>4086</v>
      </c>
      <c r="D6888" s="83" t="s">
        <v>4869</v>
      </c>
      <c r="E6888" s="81" t="s">
        <v>4032</v>
      </c>
      <c r="F6888" s="81">
        <v>805.0</v>
      </c>
      <c r="G6888" s="81" t="s">
        <v>46</v>
      </c>
      <c r="H6888" s="81" t="s">
        <v>224</v>
      </c>
      <c r="I6888" s="81" t="s">
        <v>4036</v>
      </c>
      <c r="J6888" s="81" t="s">
        <v>224</v>
      </c>
    </row>
    <row r="6889" hidden="1">
      <c r="A6889" s="83" t="s">
        <v>6454</v>
      </c>
      <c r="B6889" s="83" t="s">
        <v>6455</v>
      </c>
      <c r="C6889" s="81" t="s">
        <v>4086</v>
      </c>
      <c r="D6889" s="83" t="s">
        <v>4870</v>
      </c>
      <c r="E6889" s="81" t="s">
        <v>4037</v>
      </c>
      <c r="F6889" s="81">
        <v>806.0</v>
      </c>
      <c r="G6889" s="81" t="s">
        <v>45</v>
      </c>
      <c r="H6889" s="81" t="s">
        <v>224</v>
      </c>
      <c r="I6889" s="81" t="s">
        <v>4047</v>
      </c>
      <c r="J6889" s="81" t="s">
        <v>224</v>
      </c>
    </row>
    <row r="6890" hidden="1">
      <c r="A6890" s="83" t="s">
        <v>6454</v>
      </c>
      <c r="B6890" s="83" t="s">
        <v>6455</v>
      </c>
      <c r="C6890" s="81" t="s">
        <v>4086</v>
      </c>
      <c r="D6890" s="83" t="s">
        <v>4870</v>
      </c>
      <c r="E6890" s="81" t="s">
        <v>4037</v>
      </c>
      <c r="F6890" s="81">
        <v>806.0</v>
      </c>
      <c r="G6890" s="81" t="s">
        <v>46</v>
      </c>
      <c r="H6890" s="81" t="s">
        <v>224</v>
      </c>
      <c r="I6890" s="81" t="s">
        <v>4048</v>
      </c>
      <c r="J6890" s="81" t="s">
        <v>224</v>
      </c>
    </row>
    <row r="6891" hidden="1">
      <c r="A6891" s="83" t="s">
        <v>6454</v>
      </c>
      <c r="B6891" s="83" t="s">
        <v>6455</v>
      </c>
      <c r="C6891" s="81" t="s">
        <v>4082</v>
      </c>
      <c r="D6891" s="83" t="s">
        <v>4870</v>
      </c>
      <c r="E6891" s="81" t="s">
        <v>4037</v>
      </c>
      <c r="F6891" s="81">
        <v>806.0</v>
      </c>
      <c r="G6891" s="81" t="s">
        <v>41</v>
      </c>
      <c r="H6891" s="81" t="s">
        <v>4045</v>
      </c>
      <c r="I6891" s="81" t="s">
        <v>224</v>
      </c>
      <c r="J6891" s="81" t="s">
        <v>6449</v>
      </c>
    </row>
    <row r="6892" hidden="1">
      <c r="A6892" s="83" t="s">
        <v>6454</v>
      </c>
      <c r="B6892" s="83" t="s">
        <v>6455</v>
      </c>
      <c r="C6892" s="81" t="s">
        <v>4086</v>
      </c>
      <c r="D6892" s="83" t="s">
        <v>4871</v>
      </c>
      <c r="E6892" s="81" t="s">
        <v>4049</v>
      </c>
      <c r="F6892" s="81">
        <v>807.0</v>
      </c>
      <c r="G6892" s="81" t="s">
        <v>45</v>
      </c>
      <c r="H6892" s="81" t="s">
        <v>224</v>
      </c>
      <c r="I6892" s="81" t="s">
        <v>4057</v>
      </c>
      <c r="J6892" s="81" t="s">
        <v>224</v>
      </c>
    </row>
    <row r="6893" hidden="1">
      <c r="A6893" s="83" t="s">
        <v>6454</v>
      </c>
      <c r="B6893" s="83" t="s">
        <v>6455</v>
      </c>
      <c r="C6893" s="81" t="s">
        <v>4086</v>
      </c>
      <c r="D6893" s="83" t="s">
        <v>4871</v>
      </c>
      <c r="E6893" s="81" t="s">
        <v>4049</v>
      </c>
      <c r="F6893" s="81">
        <v>807.0</v>
      </c>
      <c r="G6893" s="81" t="s">
        <v>46</v>
      </c>
      <c r="H6893" s="81" t="s">
        <v>224</v>
      </c>
      <c r="I6893" s="81" t="s">
        <v>4058</v>
      </c>
      <c r="J6893" s="81" t="s">
        <v>224</v>
      </c>
    </row>
    <row r="6894" hidden="1">
      <c r="A6894" s="83" t="s">
        <v>6454</v>
      </c>
      <c r="B6894" s="83" t="s">
        <v>6455</v>
      </c>
      <c r="C6894" s="81" t="s">
        <v>4082</v>
      </c>
      <c r="D6894" s="83" t="s">
        <v>4871</v>
      </c>
      <c r="E6894" s="81" t="s">
        <v>4049</v>
      </c>
      <c r="F6894" s="81">
        <v>807.0</v>
      </c>
      <c r="G6894" s="81" t="s">
        <v>41</v>
      </c>
      <c r="H6894" s="81" t="s">
        <v>4054</v>
      </c>
      <c r="I6894" s="81" t="s">
        <v>224</v>
      </c>
      <c r="J6894" s="81" t="s">
        <v>6450</v>
      </c>
    </row>
    <row r="6895" hidden="1">
      <c r="A6895" s="83" t="s">
        <v>6454</v>
      </c>
      <c r="B6895" s="83" t="s">
        <v>6455</v>
      </c>
      <c r="C6895" s="81" t="s">
        <v>4086</v>
      </c>
      <c r="D6895" s="83" t="s">
        <v>4872</v>
      </c>
      <c r="E6895" s="81" t="s">
        <v>4059</v>
      </c>
      <c r="F6895" s="81">
        <v>808.0</v>
      </c>
      <c r="G6895" s="81" t="s">
        <v>45</v>
      </c>
      <c r="H6895" s="81" t="s">
        <v>224</v>
      </c>
      <c r="I6895" s="81" t="s">
        <v>4067</v>
      </c>
      <c r="J6895" s="81" t="s">
        <v>224</v>
      </c>
    </row>
    <row r="6896" hidden="1">
      <c r="A6896" s="83" t="s">
        <v>6454</v>
      </c>
      <c r="B6896" s="83" t="s">
        <v>6455</v>
      </c>
      <c r="C6896" s="81" t="s">
        <v>4086</v>
      </c>
      <c r="D6896" s="83" t="s">
        <v>4872</v>
      </c>
      <c r="E6896" s="81" t="s">
        <v>4059</v>
      </c>
      <c r="F6896" s="81">
        <v>808.0</v>
      </c>
      <c r="G6896" s="81" t="s">
        <v>46</v>
      </c>
      <c r="H6896" s="81" t="s">
        <v>224</v>
      </c>
      <c r="I6896" s="81" t="s">
        <v>4068</v>
      </c>
      <c r="J6896" s="81" t="s">
        <v>224</v>
      </c>
    </row>
    <row r="6897" hidden="1">
      <c r="A6897" s="83" t="s">
        <v>6454</v>
      </c>
      <c r="B6897" s="83" t="s">
        <v>6455</v>
      </c>
      <c r="C6897" s="81" t="s">
        <v>4082</v>
      </c>
      <c r="D6897" s="83" t="s">
        <v>4873</v>
      </c>
      <c r="E6897" s="81" t="s">
        <v>4874</v>
      </c>
      <c r="F6897" s="81">
        <v>809.0</v>
      </c>
      <c r="G6897" s="81" t="s">
        <v>41</v>
      </c>
      <c r="H6897" s="81" t="s">
        <v>4876</v>
      </c>
      <c r="I6897" s="81" t="s">
        <v>224</v>
      </c>
      <c r="J6897" s="81" t="s">
        <v>6451</v>
      </c>
    </row>
    <row r="6898" hidden="1">
      <c r="A6898" s="83" t="s">
        <v>6454</v>
      </c>
      <c r="B6898" s="83" t="s">
        <v>6455</v>
      </c>
      <c r="C6898" s="81" t="s">
        <v>4084</v>
      </c>
      <c r="D6898" s="81" t="s">
        <v>224</v>
      </c>
      <c r="E6898" s="81" t="s">
        <v>224</v>
      </c>
      <c r="F6898" s="81" t="s">
        <v>224</v>
      </c>
      <c r="G6898" s="81" t="s">
        <v>40</v>
      </c>
      <c r="H6898" s="81" t="s">
        <v>224</v>
      </c>
      <c r="I6898" s="81" t="s">
        <v>224</v>
      </c>
      <c r="J6898" s="81" t="s">
        <v>6452</v>
      </c>
    </row>
    <row r="6899" hidden="1">
      <c r="A6899" s="83" t="s">
        <v>6454</v>
      </c>
      <c r="B6899" s="83" t="s">
        <v>6455</v>
      </c>
      <c r="C6899" s="81" t="s">
        <v>4084</v>
      </c>
      <c r="D6899" s="81" t="s">
        <v>224</v>
      </c>
      <c r="E6899" s="81" t="s">
        <v>224</v>
      </c>
      <c r="F6899" s="81" t="s">
        <v>224</v>
      </c>
      <c r="G6899" s="81" t="s">
        <v>41</v>
      </c>
      <c r="H6899" s="81" t="s">
        <v>224</v>
      </c>
      <c r="I6899" s="81" t="s">
        <v>224</v>
      </c>
      <c r="J6899" s="81" t="s">
        <v>6453</v>
      </c>
    </row>
    <row r="6900">
      <c r="A6900" s="83" t="s">
        <v>6627</v>
      </c>
      <c r="B6900" s="83" t="s">
        <v>6628</v>
      </c>
      <c r="C6900" s="81" t="s">
        <v>4080</v>
      </c>
      <c r="D6900" s="81" t="s">
        <v>224</v>
      </c>
      <c r="E6900" s="81" t="s">
        <v>224</v>
      </c>
      <c r="F6900" s="81" t="s">
        <v>224</v>
      </c>
      <c r="G6900" s="81" t="s">
        <v>224</v>
      </c>
      <c r="H6900" s="81" t="s">
        <v>224</v>
      </c>
      <c r="I6900" s="81" t="s">
        <v>224</v>
      </c>
      <c r="J6900" s="81" t="s">
        <v>6629</v>
      </c>
    </row>
    <row r="6901">
      <c r="A6901" s="83" t="s">
        <v>6627</v>
      </c>
      <c r="B6901" s="83" t="s">
        <v>6628</v>
      </c>
      <c r="C6901" s="81" t="s">
        <v>4082</v>
      </c>
      <c r="D6901" s="81" t="s">
        <v>224</v>
      </c>
      <c r="E6901" s="81" t="s">
        <v>4055</v>
      </c>
      <c r="F6901" s="81" t="s">
        <v>224</v>
      </c>
      <c r="G6901" s="81" t="s">
        <v>42</v>
      </c>
      <c r="H6901" s="81" t="s">
        <v>224</v>
      </c>
      <c r="I6901" s="81" t="s">
        <v>224</v>
      </c>
      <c r="J6901" s="81" t="s">
        <v>6431</v>
      </c>
    </row>
    <row r="6902">
      <c r="A6902" s="83" t="s">
        <v>6627</v>
      </c>
      <c r="B6902" s="83" t="s">
        <v>6628</v>
      </c>
      <c r="C6902" s="81" t="s">
        <v>4082</v>
      </c>
      <c r="D6902" s="81" t="s">
        <v>224</v>
      </c>
      <c r="E6902" s="81" t="s">
        <v>6362</v>
      </c>
      <c r="F6902" s="81" t="s">
        <v>224</v>
      </c>
      <c r="G6902" s="81" t="s">
        <v>42</v>
      </c>
      <c r="H6902" s="81" t="s">
        <v>224</v>
      </c>
      <c r="I6902" s="81" t="s">
        <v>224</v>
      </c>
      <c r="J6902" s="81" t="s">
        <v>6363</v>
      </c>
    </row>
    <row r="6903">
      <c r="A6903" s="83" t="s">
        <v>6627</v>
      </c>
      <c r="B6903" s="83" t="s">
        <v>6628</v>
      </c>
      <c r="C6903" s="81" t="s">
        <v>4084</v>
      </c>
      <c r="D6903" s="81" t="s">
        <v>224</v>
      </c>
      <c r="E6903" s="81" t="s">
        <v>224</v>
      </c>
      <c r="F6903" s="81" t="s">
        <v>224</v>
      </c>
      <c r="G6903" s="81" t="s">
        <v>224</v>
      </c>
      <c r="H6903" s="81" t="s">
        <v>224</v>
      </c>
      <c r="I6903" s="81" t="s">
        <v>224</v>
      </c>
      <c r="J6903" s="81" t="s">
        <v>6630</v>
      </c>
    </row>
    <row r="6904">
      <c r="A6904" s="83" t="s">
        <v>6627</v>
      </c>
      <c r="B6904" s="83" t="s">
        <v>6628</v>
      </c>
      <c r="C6904" s="81" t="s">
        <v>4082</v>
      </c>
      <c r="D6904" s="81" t="s">
        <v>224</v>
      </c>
      <c r="E6904" s="81" t="s">
        <v>6458</v>
      </c>
      <c r="F6904" s="81" t="s">
        <v>224</v>
      </c>
      <c r="G6904" s="81" t="s">
        <v>224</v>
      </c>
      <c r="H6904" s="81" t="s">
        <v>224</v>
      </c>
      <c r="I6904" s="81" t="s">
        <v>224</v>
      </c>
      <c r="J6904" s="81" t="s">
        <v>6459</v>
      </c>
    </row>
    <row r="6905">
      <c r="A6905" s="83" t="s">
        <v>6627</v>
      </c>
      <c r="B6905" s="83" t="s">
        <v>6628</v>
      </c>
      <c r="C6905" s="81" t="s">
        <v>4082</v>
      </c>
      <c r="D6905" s="81" t="s">
        <v>224</v>
      </c>
      <c r="E6905" s="81" t="s">
        <v>6460</v>
      </c>
      <c r="F6905" s="81" t="s">
        <v>224</v>
      </c>
      <c r="G6905" s="81" t="s">
        <v>224</v>
      </c>
      <c r="H6905" s="81" t="s">
        <v>224</v>
      </c>
      <c r="I6905" s="81" t="s">
        <v>224</v>
      </c>
      <c r="J6905" s="81" t="s">
        <v>6461</v>
      </c>
    </row>
    <row r="6906">
      <c r="A6906" s="83" t="s">
        <v>6627</v>
      </c>
      <c r="B6906" s="83" t="s">
        <v>6628</v>
      </c>
      <c r="C6906" s="81" t="s">
        <v>4082</v>
      </c>
      <c r="D6906" s="81" t="s">
        <v>224</v>
      </c>
      <c r="E6906" s="81" t="s">
        <v>6462</v>
      </c>
      <c r="F6906" s="81" t="s">
        <v>224</v>
      </c>
      <c r="G6906" s="81" t="s">
        <v>224</v>
      </c>
      <c r="H6906" s="81" t="s">
        <v>224</v>
      </c>
      <c r="I6906" s="81" t="s">
        <v>224</v>
      </c>
      <c r="J6906" s="81" t="s">
        <v>6463</v>
      </c>
    </row>
    <row r="6907">
      <c r="A6907" s="83" t="s">
        <v>6627</v>
      </c>
      <c r="B6907" s="83" t="s">
        <v>6628</v>
      </c>
      <c r="C6907" s="81" t="s">
        <v>4082</v>
      </c>
      <c r="D6907" s="81" t="s">
        <v>224</v>
      </c>
      <c r="E6907" s="81" t="s">
        <v>6464</v>
      </c>
      <c r="F6907" s="81" t="s">
        <v>224</v>
      </c>
      <c r="G6907" s="81" t="s">
        <v>224</v>
      </c>
      <c r="H6907" s="81" t="s">
        <v>224</v>
      </c>
      <c r="I6907" s="81" t="s">
        <v>224</v>
      </c>
      <c r="J6907" s="81" t="s">
        <v>6465</v>
      </c>
    </row>
    <row r="6908">
      <c r="A6908" s="83" t="s">
        <v>6627</v>
      </c>
      <c r="B6908" s="83" t="s">
        <v>6628</v>
      </c>
      <c r="C6908" s="81" t="s">
        <v>4082</v>
      </c>
      <c r="D6908" s="81" t="s">
        <v>224</v>
      </c>
      <c r="E6908" s="81" t="s">
        <v>6466</v>
      </c>
      <c r="F6908" s="81" t="s">
        <v>224</v>
      </c>
      <c r="G6908" s="81" t="s">
        <v>224</v>
      </c>
      <c r="H6908" s="81" t="s">
        <v>224</v>
      </c>
      <c r="I6908" s="81" t="s">
        <v>224</v>
      </c>
      <c r="J6908" s="81" t="s">
        <v>6467</v>
      </c>
    </row>
    <row r="6909">
      <c r="A6909" s="83" t="s">
        <v>6627</v>
      </c>
      <c r="B6909" s="83" t="s">
        <v>6628</v>
      </c>
      <c r="C6909" s="81" t="s">
        <v>4082</v>
      </c>
      <c r="D6909" s="81" t="s">
        <v>224</v>
      </c>
      <c r="E6909" s="81" t="s">
        <v>6468</v>
      </c>
      <c r="F6909" s="81" t="s">
        <v>224</v>
      </c>
      <c r="G6909" s="81" t="s">
        <v>224</v>
      </c>
      <c r="H6909" s="81" t="s">
        <v>224</v>
      </c>
      <c r="I6909" s="81" t="s">
        <v>224</v>
      </c>
      <c r="J6909" s="81" t="s">
        <v>6469</v>
      </c>
    </row>
    <row r="6910">
      <c r="A6910" s="83" t="s">
        <v>6627</v>
      </c>
      <c r="B6910" s="83" t="s">
        <v>6628</v>
      </c>
      <c r="C6910" s="81" t="s">
        <v>4082</v>
      </c>
      <c r="D6910" s="81" t="s">
        <v>224</v>
      </c>
      <c r="E6910" s="81" t="s">
        <v>6470</v>
      </c>
      <c r="F6910" s="81" t="s">
        <v>224</v>
      </c>
      <c r="G6910" s="81" t="s">
        <v>224</v>
      </c>
      <c r="H6910" s="81" t="s">
        <v>224</v>
      </c>
      <c r="I6910" s="81" t="s">
        <v>224</v>
      </c>
      <c r="J6910" s="81" t="s">
        <v>6471</v>
      </c>
    </row>
    <row r="6911">
      <c r="A6911" s="83" t="s">
        <v>6627</v>
      </c>
      <c r="B6911" s="83" t="s">
        <v>6628</v>
      </c>
      <c r="C6911" s="81" t="s">
        <v>4082</v>
      </c>
      <c r="D6911" s="81" t="s">
        <v>224</v>
      </c>
      <c r="E6911" s="81" t="s">
        <v>6472</v>
      </c>
      <c r="F6911" s="81" t="s">
        <v>224</v>
      </c>
      <c r="G6911" s="81" t="s">
        <v>224</v>
      </c>
      <c r="H6911" s="81" t="s">
        <v>224</v>
      </c>
      <c r="I6911" s="81" t="s">
        <v>224</v>
      </c>
      <c r="J6911" s="81" t="s">
        <v>6473</v>
      </c>
    </row>
    <row r="6912">
      <c r="A6912" s="83" t="s">
        <v>6627</v>
      </c>
      <c r="B6912" s="83" t="s">
        <v>6628</v>
      </c>
      <c r="C6912" s="81" t="s">
        <v>4082</v>
      </c>
      <c r="D6912" s="81" t="s">
        <v>224</v>
      </c>
      <c r="E6912" s="81" t="s">
        <v>6474</v>
      </c>
      <c r="F6912" s="81" t="s">
        <v>224</v>
      </c>
      <c r="G6912" s="81" t="s">
        <v>224</v>
      </c>
      <c r="H6912" s="81" t="s">
        <v>224</v>
      </c>
      <c r="I6912" s="81" t="s">
        <v>224</v>
      </c>
      <c r="J6912" s="81" t="s">
        <v>6475</v>
      </c>
    </row>
    <row r="6913">
      <c r="A6913" s="83" t="s">
        <v>6627</v>
      </c>
      <c r="B6913" s="83" t="s">
        <v>6628</v>
      </c>
      <c r="C6913" s="81" t="s">
        <v>4082</v>
      </c>
      <c r="D6913" s="81" t="s">
        <v>224</v>
      </c>
      <c r="E6913" s="81" t="s">
        <v>6476</v>
      </c>
      <c r="F6913" s="81" t="s">
        <v>224</v>
      </c>
      <c r="G6913" s="81" t="s">
        <v>224</v>
      </c>
      <c r="H6913" s="81" t="s">
        <v>224</v>
      </c>
      <c r="I6913" s="81" t="s">
        <v>224</v>
      </c>
      <c r="J6913" s="81" t="s">
        <v>6477</v>
      </c>
    </row>
    <row r="6914">
      <c r="A6914" s="83" t="s">
        <v>6627</v>
      </c>
      <c r="B6914" s="83" t="s">
        <v>6628</v>
      </c>
      <c r="C6914" s="81" t="s">
        <v>4082</v>
      </c>
      <c r="D6914" s="81" t="s">
        <v>224</v>
      </c>
      <c r="E6914" s="81" t="s">
        <v>6478</v>
      </c>
      <c r="F6914" s="81" t="s">
        <v>224</v>
      </c>
      <c r="G6914" s="81" t="s">
        <v>224</v>
      </c>
      <c r="H6914" s="81" t="s">
        <v>224</v>
      </c>
      <c r="I6914" s="81" t="s">
        <v>224</v>
      </c>
      <c r="J6914" s="81" t="s">
        <v>6479</v>
      </c>
    </row>
    <row r="6915">
      <c r="A6915" s="83" t="s">
        <v>6627</v>
      </c>
      <c r="B6915" s="83" t="s">
        <v>6628</v>
      </c>
      <c r="C6915" s="81" t="s">
        <v>4082</v>
      </c>
      <c r="D6915" s="81" t="s">
        <v>224</v>
      </c>
      <c r="E6915" s="81" t="s">
        <v>6480</v>
      </c>
      <c r="F6915" s="81" t="s">
        <v>224</v>
      </c>
      <c r="G6915" s="81" t="s">
        <v>224</v>
      </c>
      <c r="H6915" s="81" t="s">
        <v>224</v>
      </c>
      <c r="I6915" s="81" t="s">
        <v>224</v>
      </c>
      <c r="J6915" s="81" t="s">
        <v>6481</v>
      </c>
    </row>
    <row r="6916">
      <c r="A6916" s="83" t="s">
        <v>6627</v>
      </c>
      <c r="B6916" s="83" t="s">
        <v>6628</v>
      </c>
      <c r="C6916" s="81" t="s">
        <v>4082</v>
      </c>
      <c r="D6916" s="81" t="s">
        <v>224</v>
      </c>
      <c r="E6916" s="81" t="s">
        <v>6482</v>
      </c>
      <c r="F6916" s="81" t="s">
        <v>224</v>
      </c>
      <c r="G6916" s="81" t="s">
        <v>224</v>
      </c>
      <c r="H6916" s="81" t="s">
        <v>224</v>
      </c>
      <c r="I6916" s="81" t="s">
        <v>224</v>
      </c>
      <c r="J6916" s="81" t="s">
        <v>6483</v>
      </c>
    </row>
    <row r="6917">
      <c r="A6917" s="83" t="s">
        <v>6627</v>
      </c>
      <c r="B6917" s="83" t="s">
        <v>6628</v>
      </c>
      <c r="C6917" s="81" t="s">
        <v>4082</v>
      </c>
      <c r="D6917" s="81" t="s">
        <v>224</v>
      </c>
      <c r="E6917" s="81" t="s">
        <v>6484</v>
      </c>
      <c r="F6917" s="81" t="s">
        <v>224</v>
      </c>
      <c r="G6917" s="81" t="s">
        <v>224</v>
      </c>
      <c r="H6917" s="81" t="s">
        <v>224</v>
      </c>
      <c r="I6917" s="81" t="s">
        <v>224</v>
      </c>
      <c r="J6917" s="81" t="s">
        <v>6485</v>
      </c>
    </row>
    <row r="6918">
      <c r="A6918" s="83" t="s">
        <v>6627</v>
      </c>
      <c r="B6918" s="83" t="s">
        <v>6628</v>
      </c>
      <c r="C6918" s="81" t="s">
        <v>4082</v>
      </c>
      <c r="D6918" s="81" t="s">
        <v>224</v>
      </c>
      <c r="E6918" s="81" t="s">
        <v>6486</v>
      </c>
      <c r="F6918" s="81" t="s">
        <v>224</v>
      </c>
      <c r="G6918" s="81" t="s">
        <v>224</v>
      </c>
      <c r="H6918" s="81" t="s">
        <v>224</v>
      </c>
      <c r="I6918" s="81" t="s">
        <v>224</v>
      </c>
      <c r="J6918" s="81" t="s">
        <v>6487</v>
      </c>
    </row>
    <row r="6919">
      <c r="A6919" s="83" t="s">
        <v>6627</v>
      </c>
      <c r="B6919" s="83" t="s">
        <v>6628</v>
      </c>
      <c r="C6919" s="81" t="s">
        <v>4082</v>
      </c>
      <c r="D6919" s="81" t="s">
        <v>224</v>
      </c>
      <c r="E6919" s="81" t="s">
        <v>6488</v>
      </c>
      <c r="F6919" s="81" t="s">
        <v>224</v>
      </c>
      <c r="G6919" s="81" t="s">
        <v>224</v>
      </c>
      <c r="H6919" s="81" t="s">
        <v>224</v>
      </c>
      <c r="I6919" s="81" t="s">
        <v>224</v>
      </c>
      <c r="J6919" s="81" t="s">
        <v>6489</v>
      </c>
    </row>
    <row r="6920">
      <c r="A6920" s="83" t="s">
        <v>6627</v>
      </c>
      <c r="B6920" s="83" t="s">
        <v>6628</v>
      </c>
      <c r="C6920" s="81" t="s">
        <v>4082</v>
      </c>
      <c r="D6920" s="81" t="s">
        <v>224</v>
      </c>
      <c r="E6920" s="81" t="s">
        <v>6490</v>
      </c>
      <c r="F6920" s="81" t="s">
        <v>224</v>
      </c>
      <c r="G6920" s="81" t="s">
        <v>224</v>
      </c>
      <c r="H6920" s="81" t="s">
        <v>224</v>
      </c>
      <c r="I6920" s="81" t="s">
        <v>224</v>
      </c>
      <c r="J6920" s="81" t="s">
        <v>6491</v>
      </c>
    </row>
    <row r="6921">
      <c r="A6921" s="83" t="s">
        <v>6627</v>
      </c>
      <c r="B6921" s="83" t="s">
        <v>6628</v>
      </c>
      <c r="C6921" s="81" t="s">
        <v>4082</v>
      </c>
      <c r="D6921" s="81" t="s">
        <v>224</v>
      </c>
      <c r="E6921" s="81" t="s">
        <v>6492</v>
      </c>
      <c r="F6921" s="81" t="s">
        <v>224</v>
      </c>
      <c r="G6921" s="81" t="s">
        <v>224</v>
      </c>
      <c r="H6921" s="81" t="s">
        <v>224</v>
      </c>
      <c r="I6921" s="81" t="s">
        <v>224</v>
      </c>
      <c r="J6921" s="81" t="s">
        <v>6493</v>
      </c>
    </row>
    <row r="6922">
      <c r="A6922" s="83" t="s">
        <v>6627</v>
      </c>
      <c r="B6922" s="83" t="s">
        <v>6628</v>
      </c>
      <c r="C6922" s="81" t="s">
        <v>4082</v>
      </c>
      <c r="D6922" s="81" t="s">
        <v>224</v>
      </c>
      <c r="E6922" s="81" t="s">
        <v>6494</v>
      </c>
      <c r="F6922" s="81" t="s">
        <v>224</v>
      </c>
      <c r="G6922" s="81" t="s">
        <v>224</v>
      </c>
      <c r="H6922" s="81" t="s">
        <v>224</v>
      </c>
      <c r="I6922" s="81" t="s">
        <v>224</v>
      </c>
      <c r="J6922" s="81" t="s">
        <v>6495</v>
      </c>
    </row>
    <row r="6923">
      <c r="A6923" s="83" t="s">
        <v>6627</v>
      </c>
      <c r="B6923" s="83" t="s">
        <v>6628</v>
      </c>
      <c r="C6923" s="81" t="s">
        <v>4082</v>
      </c>
      <c r="D6923" s="81" t="s">
        <v>224</v>
      </c>
      <c r="E6923" s="81" t="s">
        <v>6496</v>
      </c>
      <c r="F6923" s="81" t="s">
        <v>224</v>
      </c>
      <c r="G6923" s="81" t="s">
        <v>224</v>
      </c>
      <c r="H6923" s="81" t="s">
        <v>224</v>
      </c>
      <c r="I6923" s="81" t="s">
        <v>224</v>
      </c>
      <c r="J6923" s="81" t="s">
        <v>6497</v>
      </c>
    </row>
    <row r="6924">
      <c r="A6924" s="83" t="s">
        <v>6627</v>
      </c>
      <c r="B6924" s="83" t="s">
        <v>6628</v>
      </c>
      <c r="C6924" s="81" t="s">
        <v>4082</v>
      </c>
      <c r="D6924" s="81" t="s">
        <v>224</v>
      </c>
      <c r="E6924" s="81" t="s">
        <v>6498</v>
      </c>
      <c r="F6924" s="81" t="s">
        <v>224</v>
      </c>
      <c r="G6924" s="81" t="s">
        <v>224</v>
      </c>
      <c r="H6924" s="81" t="s">
        <v>224</v>
      </c>
      <c r="I6924" s="81" t="s">
        <v>224</v>
      </c>
      <c r="J6924" s="81" t="s">
        <v>6499</v>
      </c>
    </row>
    <row r="6925">
      <c r="A6925" s="83" t="s">
        <v>6627</v>
      </c>
      <c r="B6925" s="83" t="s">
        <v>6628</v>
      </c>
      <c r="C6925" s="81" t="s">
        <v>4082</v>
      </c>
      <c r="D6925" s="81" t="s">
        <v>224</v>
      </c>
      <c r="E6925" s="81" t="s">
        <v>6500</v>
      </c>
      <c r="F6925" s="81" t="s">
        <v>224</v>
      </c>
      <c r="G6925" s="81" t="s">
        <v>224</v>
      </c>
      <c r="H6925" s="81" t="s">
        <v>224</v>
      </c>
      <c r="I6925" s="81" t="s">
        <v>224</v>
      </c>
      <c r="J6925" s="81" t="s">
        <v>6501</v>
      </c>
    </row>
    <row r="6926">
      <c r="A6926" s="83" t="s">
        <v>6627</v>
      </c>
      <c r="B6926" s="83" t="s">
        <v>6628</v>
      </c>
      <c r="C6926" s="81" t="s">
        <v>4082</v>
      </c>
      <c r="D6926" s="81" t="s">
        <v>224</v>
      </c>
      <c r="E6926" s="81" t="s">
        <v>6502</v>
      </c>
      <c r="F6926" s="81" t="s">
        <v>224</v>
      </c>
      <c r="G6926" s="81" t="s">
        <v>224</v>
      </c>
      <c r="H6926" s="81" t="s">
        <v>224</v>
      </c>
      <c r="I6926" s="81" t="s">
        <v>224</v>
      </c>
      <c r="J6926" s="81" t="s">
        <v>6491</v>
      </c>
    </row>
    <row r="6927">
      <c r="A6927" s="83" t="s">
        <v>6627</v>
      </c>
      <c r="B6927" s="83" t="s">
        <v>6628</v>
      </c>
      <c r="C6927" s="81" t="s">
        <v>4082</v>
      </c>
      <c r="D6927" s="81" t="s">
        <v>224</v>
      </c>
      <c r="E6927" s="81" t="s">
        <v>6503</v>
      </c>
      <c r="F6927" s="81" t="s">
        <v>224</v>
      </c>
      <c r="G6927" s="81" t="s">
        <v>224</v>
      </c>
      <c r="H6927" s="81" t="s">
        <v>224</v>
      </c>
      <c r="I6927" s="81" t="s">
        <v>224</v>
      </c>
      <c r="J6927" s="81" t="s">
        <v>6473</v>
      </c>
    </row>
    <row r="6928">
      <c r="A6928" s="83" t="s">
        <v>6627</v>
      </c>
      <c r="B6928" s="83" t="s">
        <v>6628</v>
      </c>
      <c r="C6928" s="81" t="s">
        <v>4082</v>
      </c>
      <c r="D6928" s="81" t="s">
        <v>224</v>
      </c>
      <c r="E6928" s="81" t="s">
        <v>6504</v>
      </c>
      <c r="F6928" s="81" t="s">
        <v>224</v>
      </c>
      <c r="G6928" s="81" t="s">
        <v>224</v>
      </c>
      <c r="H6928" s="81" t="s">
        <v>224</v>
      </c>
      <c r="I6928" s="81" t="s">
        <v>224</v>
      </c>
      <c r="J6928" s="81" t="s">
        <v>6489</v>
      </c>
    </row>
    <row r="6929">
      <c r="A6929" s="83" t="s">
        <v>6627</v>
      </c>
      <c r="B6929" s="83" t="s">
        <v>6628</v>
      </c>
      <c r="C6929" s="81" t="s">
        <v>4082</v>
      </c>
      <c r="D6929" s="81" t="s">
        <v>224</v>
      </c>
      <c r="E6929" s="81" t="s">
        <v>6505</v>
      </c>
      <c r="F6929" s="81" t="s">
        <v>224</v>
      </c>
      <c r="G6929" s="81" t="s">
        <v>224</v>
      </c>
      <c r="H6929" s="81" t="s">
        <v>224</v>
      </c>
      <c r="I6929" s="81" t="s">
        <v>224</v>
      </c>
      <c r="J6929" s="81" t="s">
        <v>6469</v>
      </c>
    </row>
    <row r="6930">
      <c r="A6930" s="83" t="s">
        <v>6627</v>
      </c>
      <c r="B6930" s="83" t="s">
        <v>6628</v>
      </c>
      <c r="C6930" s="81" t="s">
        <v>4082</v>
      </c>
      <c r="D6930" s="81" t="s">
        <v>224</v>
      </c>
      <c r="E6930" s="81" t="s">
        <v>6506</v>
      </c>
      <c r="F6930" s="81" t="s">
        <v>224</v>
      </c>
      <c r="G6930" s="81" t="s">
        <v>224</v>
      </c>
      <c r="H6930" s="81" t="s">
        <v>224</v>
      </c>
      <c r="I6930" s="81" t="s">
        <v>224</v>
      </c>
      <c r="J6930" s="81" t="s">
        <v>6499</v>
      </c>
    </row>
    <row r="6931">
      <c r="A6931" s="83" t="s">
        <v>6627</v>
      </c>
      <c r="B6931" s="83" t="s">
        <v>6628</v>
      </c>
      <c r="C6931" s="81" t="s">
        <v>4082</v>
      </c>
      <c r="D6931" s="81" t="s">
        <v>224</v>
      </c>
      <c r="E6931" s="81" t="s">
        <v>6507</v>
      </c>
      <c r="F6931" s="81" t="s">
        <v>224</v>
      </c>
      <c r="G6931" s="81" t="s">
        <v>224</v>
      </c>
      <c r="H6931" s="81" t="s">
        <v>224</v>
      </c>
      <c r="I6931" s="81" t="s">
        <v>224</v>
      </c>
      <c r="J6931" s="81" t="s">
        <v>6485</v>
      </c>
    </row>
    <row r="6932">
      <c r="A6932" s="83" t="s">
        <v>6627</v>
      </c>
      <c r="B6932" s="83" t="s">
        <v>6628</v>
      </c>
      <c r="C6932" s="81" t="s">
        <v>4082</v>
      </c>
      <c r="D6932" s="81" t="s">
        <v>224</v>
      </c>
      <c r="E6932" s="81" t="s">
        <v>6508</v>
      </c>
      <c r="F6932" s="81" t="s">
        <v>224</v>
      </c>
      <c r="G6932" s="81" t="s">
        <v>224</v>
      </c>
      <c r="H6932" s="81" t="s">
        <v>224</v>
      </c>
      <c r="I6932" s="81" t="s">
        <v>224</v>
      </c>
      <c r="J6932" s="81" t="s">
        <v>6501</v>
      </c>
    </row>
    <row r="6933">
      <c r="A6933" s="83" t="s">
        <v>6627</v>
      </c>
      <c r="B6933" s="83" t="s">
        <v>6628</v>
      </c>
      <c r="C6933" s="81" t="s">
        <v>4082</v>
      </c>
      <c r="D6933" s="81" t="s">
        <v>224</v>
      </c>
      <c r="E6933" s="81" t="s">
        <v>6509</v>
      </c>
      <c r="F6933" s="81" t="s">
        <v>224</v>
      </c>
      <c r="G6933" s="81" t="s">
        <v>224</v>
      </c>
      <c r="H6933" s="81" t="s">
        <v>224</v>
      </c>
      <c r="I6933" s="81" t="s">
        <v>224</v>
      </c>
      <c r="J6933" s="81" t="s">
        <v>6481</v>
      </c>
    </row>
    <row r="6934">
      <c r="A6934" s="83" t="s">
        <v>6627</v>
      </c>
      <c r="B6934" s="83" t="s">
        <v>6628</v>
      </c>
      <c r="C6934" s="81" t="s">
        <v>4082</v>
      </c>
      <c r="D6934" s="81" t="s">
        <v>224</v>
      </c>
      <c r="E6934" s="81" t="s">
        <v>6510</v>
      </c>
      <c r="F6934" s="81" t="s">
        <v>224</v>
      </c>
      <c r="G6934" s="81" t="s">
        <v>224</v>
      </c>
      <c r="H6934" s="81" t="s">
        <v>224</v>
      </c>
      <c r="I6934" s="81" t="s">
        <v>224</v>
      </c>
      <c r="J6934" s="81" t="s">
        <v>6495</v>
      </c>
    </row>
    <row r="6935">
      <c r="A6935" s="83" t="s">
        <v>6627</v>
      </c>
      <c r="B6935" s="83" t="s">
        <v>6628</v>
      </c>
      <c r="C6935" s="81" t="s">
        <v>4082</v>
      </c>
      <c r="D6935" s="81" t="s">
        <v>224</v>
      </c>
      <c r="E6935" s="81" t="s">
        <v>6511</v>
      </c>
      <c r="F6935" s="81" t="s">
        <v>224</v>
      </c>
      <c r="G6935" s="81" t="s">
        <v>224</v>
      </c>
      <c r="H6935" s="81" t="s">
        <v>224</v>
      </c>
      <c r="I6935" s="81" t="s">
        <v>224</v>
      </c>
      <c r="J6935" s="81" t="s">
        <v>6477</v>
      </c>
    </row>
    <row r="6936">
      <c r="A6936" s="83" t="s">
        <v>6627</v>
      </c>
      <c r="B6936" s="83" t="s">
        <v>6628</v>
      </c>
      <c r="C6936" s="81" t="s">
        <v>4082</v>
      </c>
      <c r="D6936" s="81" t="s">
        <v>224</v>
      </c>
      <c r="E6936" s="81" t="s">
        <v>6512</v>
      </c>
      <c r="F6936" s="81" t="s">
        <v>224</v>
      </c>
      <c r="G6936" s="81" t="s">
        <v>224</v>
      </c>
      <c r="H6936" s="81" t="s">
        <v>224</v>
      </c>
      <c r="I6936" s="81" t="s">
        <v>224</v>
      </c>
      <c r="J6936" s="81" t="s">
        <v>6493</v>
      </c>
    </row>
    <row r="6937">
      <c r="A6937" s="83" t="s">
        <v>6627</v>
      </c>
      <c r="B6937" s="83" t="s">
        <v>6628</v>
      </c>
      <c r="C6937" s="81" t="s">
        <v>4082</v>
      </c>
      <c r="D6937" s="81" t="s">
        <v>224</v>
      </c>
      <c r="E6937" s="81" t="s">
        <v>6513</v>
      </c>
      <c r="F6937" s="81" t="s">
        <v>224</v>
      </c>
      <c r="G6937" s="81" t="s">
        <v>224</v>
      </c>
      <c r="H6937" s="81" t="s">
        <v>224</v>
      </c>
      <c r="I6937" s="81" t="s">
        <v>224</v>
      </c>
      <c r="J6937" s="81" t="s">
        <v>6475</v>
      </c>
    </row>
    <row r="6938">
      <c r="A6938" s="83" t="s">
        <v>6627</v>
      </c>
      <c r="B6938" s="83" t="s">
        <v>6628</v>
      </c>
      <c r="C6938" s="81" t="s">
        <v>4082</v>
      </c>
      <c r="D6938" s="81" t="s">
        <v>224</v>
      </c>
      <c r="E6938" s="81" t="s">
        <v>6514</v>
      </c>
      <c r="F6938" s="81" t="s">
        <v>224</v>
      </c>
      <c r="G6938" s="81" t="s">
        <v>224</v>
      </c>
      <c r="H6938" s="81" t="s">
        <v>224</v>
      </c>
      <c r="I6938" s="81" t="s">
        <v>224</v>
      </c>
      <c r="J6938" s="81" t="s">
        <v>6471</v>
      </c>
    </row>
    <row r="6939">
      <c r="A6939" s="83" t="s">
        <v>6627</v>
      </c>
      <c r="B6939" s="83" t="s">
        <v>6628</v>
      </c>
      <c r="C6939" s="81" t="s">
        <v>4082</v>
      </c>
      <c r="D6939" s="81" t="s">
        <v>224</v>
      </c>
      <c r="E6939" s="81" t="s">
        <v>6515</v>
      </c>
      <c r="F6939" s="81" t="s">
        <v>224</v>
      </c>
      <c r="G6939" s="81" t="s">
        <v>224</v>
      </c>
      <c r="H6939" s="81" t="s">
        <v>224</v>
      </c>
      <c r="I6939" s="81" t="s">
        <v>224</v>
      </c>
      <c r="J6939" s="81" t="s">
        <v>6483</v>
      </c>
    </row>
    <row r="6940">
      <c r="A6940" s="83" t="s">
        <v>6627</v>
      </c>
      <c r="B6940" s="83" t="s">
        <v>6628</v>
      </c>
      <c r="C6940" s="81" t="s">
        <v>4082</v>
      </c>
      <c r="D6940" s="81" t="s">
        <v>224</v>
      </c>
      <c r="E6940" s="81" t="s">
        <v>6516</v>
      </c>
      <c r="F6940" s="81" t="s">
        <v>224</v>
      </c>
      <c r="G6940" s="81" t="s">
        <v>224</v>
      </c>
      <c r="H6940" s="81" t="s">
        <v>224</v>
      </c>
      <c r="I6940" s="81" t="s">
        <v>224</v>
      </c>
      <c r="J6940" s="81" t="s">
        <v>6497</v>
      </c>
    </row>
    <row r="6941">
      <c r="A6941" s="83" t="s">
        <v>6627</v>
      </c>
      <c r="B6941" s="83" t="s">
        <v>6628</v>
      </c>
      <c r="C6941" s="81" t="s">
        <v>4082</v>
      </c>
      <c r="D6941" s="81" t="s">
        <v>224</v>
      </c>
      <c r="E6941" s="81" t="s">
        <v>6517</v>
      </c>
      <c r="F6941" s="81" t="s">
        <v>224</v>
      </c>
      <c r="G6941" s="81" t="s">
        <v>224</v>
      </c>
      <c r="H6941" s="81" t="s">
        <v>224</v>
      </c>
      <c r="I6941" s="81" t="s">
        <v>224</v>
      </c>
      <c r="J6941" s="81" t="s">
        <v>6479</v>
      </c>
    </row>
    <row r="6942">
      <c r="A6942" s="83" t="s">
        <v>6627</v>
      </c>
      <c r="B6942" s="83" t="s">
        <v>6628</v>
      </c>
      <c r="C6942" s="81" t="s">
        <v>4082</v>
      </c>
      <c r="D6942" s="81" t="s">
        <v>224</v>
      </c>
      <c r="E6942" s="81" t="s">
        <v>6518</v>
      </c>
      <c r="F6942" s="81" t="s">
        <v>224</v>
      </c>
      <c r="G6942" s="81" t="s">
        <v>224</v>
      </c>
      <c r="H6942" s="81" t="s">
        <v>224</v>
      </c>
      <c r="I6942" s="81" t="s">
        <v>224</v>
      </c>
      <c r="J6942" s="81" t="s">
        <v>6487</v>
      </c>
    </row>
    <row r="6943">
      <c r="A6943" s="83" t="s">
        <v>6627</v>
      </c>
      <c r="B6943" s="83" t="s">
        <v>6628</v>
      </c>
      <c r="C6943" s="81" t="s">
        <v>4082</v>
      </c>
      <c r="D6943" s="81" t="s">
        <v>224</v>
      </c>
      <c r="E6943" s="81" t="s">
        <v>6519</v>
      </c>
      <c r="F6943" s="81" t="s">
        <v>224</v>
      </c>
      <c r="G6943" s="81" t="s">
        <v>224</v>
      </c>
      <c r="H6943" s="81" t="s">
        <v>224</v>
      </c>
      <c r="I6943" s="81" t="s">
        <v>224</v>
      </c>
      <c r="J6943" s="81" t="s">
        <v>6467</v>
      </c>
    </row>
    <row r="6944">
      <c r="A6944" s="83" t="s">
        <v>6627</v>
      </c>
      <c r="B6944" s="83" t="s">
        <v>6628</v>
      </c>
      <c r="C6944" s="81" t="s">
        <v>4082</v>
      </c>
      <c r="D6944" s="81" t="s">
        <v>224</v>
      </c>
      <c r="E6944" s="81" t="s">
        <v>6520</v>
      </c>
      <c r="F6944" s="81" t="s">
        <v>224</v>
      </c>
      <c r="G6944" s="81" t="s">
        <v>224</v>
      </c>
      <c r="H6944" s="81" t="s">
        <v>224</v>
      </c>
      <c r="I6944" s="81" t="s">
        <v>224</v>
      </c>
      <c r="J6944" s="81" t="s">
        <v>6521</v>
      </c>
    </row>
    <row r="6945">
      <c r="A6945" s="83" t="s">
        <v>6627</v>
      </c>
      <c r="B6945" s="83" t="s">
        <v>6628</v>
      </c>
      <c r="C6945" s="81" t="s">
        <v>4082</v>
      </c>
      <c r="D6945" s="81" t="s">
        <v>224</v>
      </c>
      <c r="E6945" s="81" t="s">
        <v>6522</v>
      </c>
      <c r="F6945" s="81" t="s">
        <v>224</v>
      </c>
      <c r="G6945" s="81" t="s">
        <v>224</v>
      </c>
      <c r="H6945" s="81" t="s">
        <v>224</v>
      </c>
      <c r="I6945" s="81" t="s">
        <v>224</v>
      </c>
      <c r="J6945" s="81" t="s">
        <v>6521</v>
      </c>
    </row>
    <row r="6946">
      <c r="A6946" s="83" t="s">
        <v>6627</v>
      </c>
      <c r="B6946" s="83" t="s">
        <v>6628</v>
      </c>
      <c r="C6946" s="81" t="s">
        <v>4082</v>
      </c>
      <c r="D6946" s="81" t="s">
        <v>224</v>
      </c>
      <c r="E6946" s="81" t="s">
        <v>6523</v>
      </c>
      <c r="F6946" s="81" t="s">
        <v>224</v>
      </c>
      <c r="G6946" s="81" t="s">
        <v>224</v>
      </c>
      <c r="H6946" s="81" t="s">
        <v>224</v>
      </c>
      <c r="I6946" s="81" t="s">
        <v>224</v>
      </c>
      <c r="J6946" s="81" t="s">
        <v>6524</v>
      </c>
    </row>
    <row r="6947">
      <c r="A6947" s="83" t="s">
        <v>6627</v>
      </c>
      <c r="B6947" s="83" t="s">
        <v>6628</v>
      </c>
      <c r="C6947" s="81" t="s">
        <v>4082</v>
      </c>
      <c r="D6947" s="81" t="s">
        <v>224</v>
      </c>
      <c r="E6947" s="81" t="s">
        <v>6525</v>
      </c>
      <c r="F6947" s="81" t="s">
        <v>224</v>
      </c>
      <c r="G6947" s="81" t="s">
        <v>224</v>
      </c>
      <c r="H6947" s="81" t="s">
        <v>224</v>
      </c>
      <c r="I6947" s="81" t="s">
        <v>224</v>
      </c>
      <c r="J6947" s="81" t="s">
        <v>6526</v>
      </c>
    </row>
    <row r="6948">
      <c r="A6948" s="83" t="s">
        <v>6627</v>
      </c>
      <c r="B6948" s="83" t="s">
        <v>6628</v>
      </c>
      <c r="C6948" s="81" t="s">
        <v>4082</v>
      </c>
      <c r="D6948" s="81" t="s">
        <v>224</v>
      </c>
      <c r="E6948" s="81" t="s">
        <v>6527</v>
      </c>
      <c r="F6948" s="81" t="s">
        <v>224</v>
      </c>
      <c r="G6948" s="81" t="s">
        <v>224</v>
      </c>
      <c r="H6948" s="81" t="s">
        <v>224</v>
      </c>
      <c r="I6948" s="81" t="s">
        <v>224</v>
      </c>
      <c r="J6948" s="81" t="s">
        <v>6528</v>
      </c>
    </row>
    <row r="6949">
      <c r="A6949" s="83" t="s">
        <v>6627</v>
      </c>
      <c r="B6949" s="83" t="s">
        <v>6628</v>
      </c>
      <c r="C6949" s="81" t="s">
        <v>4082</v>
      </c>
      <c r="D6949" s="81" t="s">
        <v>224</v>
      </c>
      <c r="E6949" s="81" t="s">
        <v>6529</v>
      </c>
      <c r="F6949" s="81" t="s">
        <v>224</v>
      </c>
      <c r="G6949" s="81" t="s">
        <v>224</v>
      </c>
      <c r="H6949" s="81" t="s">
        <v>224</v>
      </c>
      <c r="I6949" s="81" t="s">
        <v>224</v>
      </c>
      <c r="J6949" s="81" t="s">
        <v>6530</v>
      </c>
    </row>
    <row r="6950">
      <c r="A6950" s="83" t="s">
        <v>6627</v>
      </c>
      <c r="B6950" s="83" t="s">
        <v>6628</v>
      </c>
      <c r="C6950" s="81" t="s">
        <v>4082</v>
      </c>
      <c r="D6950" s="81" t="s">
        <v>224</v>
      </c>
      <c r="E6950" s="81" t="s">
        <v>6531</v>
      </c>
      <c r="F6950" s="81" t="s">
        <v>224</v>
      </c>
      <c r="G6950" s="81" t="s">
        <v>224</v>
      </c>
      <c r="H6950" s="81" t="s">
        <v>224</v>
      </c>
      <c r="I6950" s="81" t="s">
        <v>224</v>
      </c>
      <c r="J6950" s="81" t="s">
        <v>6530</v>
      </c>
    </row>
    <row r="6951">
      <c r="A6951" s="83" t="s">
        <v>6627</v>
      </c>
      <c r="B6951" s="83" t="s">
        <v>6628</v>
      </c>
      <c r="C6951" s="81" t="s">
        <v>4082</v>
      </c>
      <c r="D6951" s="81" t="s">
        <v>224</v>
      </c>
      <c r="E6951" s="81" t="s">
        <v>6532</v>
      </c>
      <c r="F6951" s="81" t="s">
        <v>224</v>
      </c>
      <c r="G6951" s="81" t="s">
        <v>224</v>
      </c>
      <c r="H6951" s="81" t="s">
        <v>224</v>
      </c>
      <c r="I6951" s="81" t="s">
        <v>224</v>
      </c>
      <c r="J6951" s="81" t="s">
        <v>6533</v>
      </c>
    </row>
    <row r="6952">
      <c r="A6952" s="83" t="s">
        <v>6627</v>
      </c>
      <c r="B6952" s="83" t="s">
        <v>6628</v>
      </c>
      <c r="C6952" s="81" t="s">
        <v>4082</v>
      </c>
      <c r="D6952" s="81" t="s">
        <v>224</v>
      </c>
      <c r="E6952" s="81" t="s">
        <v>6534</v>
      </c>
      <c r="F6952" s="81" t="s">
        <v>224</v>
      </c>
      <c r="G6952" s="81" t="s">
        <v>224</v>
      </c>
      <c r="H6952" s="81" t="s">
        <v>224</v>
      </c>
      <c r="I6952" s="81" t="s">
        <v>224</v>
      </c>
      <c r="J6952" s="81" t="s">
        <v>6533</v>
      </c>
    </row>
    <row r="6953">
      <c r="A6953" s="83" t="s">
        <v>6627</v>
      </c>
      <c r="B6953" s="83" t="s">
        <v>6628</v>
      </c>
      <c r="C6953" s="81" t="s">
        <v>4082</v>
      </c>
      <c r="D6953" s="81" t="s">
        <v>224</v>
      </c>
      <c r="E6953" s="81" t="s">
        <v>6535</v>
      </c>
      <c r="F6953" s="81" t="s">
        <v>224</v>
      </c>
      <c r="G6953" s="81" t="s">
        <v>224</v>
      </c>
      <c r="H6953" s="81" t="s">
        <v>224</v>
      </c>
      <c r="I6953" s="81" t="s">
        <v>224</v>
      </c>
      <c r="J6953" s="81" t="s">
        <v>6536</v>
      </c>
    </row>
    <row r="6954">
      <c r="A6954" s="83" t="s">
        <v>6627</v>
      </c>
      <c r="B6954" s="83" t="s">
        <v>6628</v>
      </c>
      <c r="C6954" s="81" t="s">
        <v>4082</v>
      </c>
      <c r="D6954" s="81" t="s">
        <v>224</v>
      </c>
      <c r="E6954" s="81" t="s">
        <v>6537</v>
      </c>
      <c r="F6954" s="81" t="s">
        <v>224</v>
      </c>
      <c r="G6954" s="81" t="s">
        <v>224</v>
      </c>
      <c r="H6954" s="81" t="s">
        <v>224</v>
      </c>
      <c r="I6954" s="81" t="s">
        <v>224</v>
      </c>
      <c r="J6954" s="81" t="s">
        <v>6536</v>
      </c>
    </row>
    <row r="6955">
      <c r="A6955" s="83" t="s">
        <v>6627</v>
      </c>
      <c r="B6955" s="83" t="s">
        <v>6628</v>
      </c>
      <c r="C6955" s="81" t="s">
        <v>4082</v>
      </c>
      <c r="D6955" s="81" t="s">
        <v>224</v>
      </c>
      <c r="E6955" s="81" t="s">
        <v>6538</v>
      </c>
      <c r="F6955" s="81" t="s">
        <v>224</v>
      </c>
      <c r="G6955" s="81" t="s">
        <v>224</v>
      </c>
      <c r="H6955" s="81" t="s">
        <v>224</v>
      </c>
      <c r="I6955" s="81" t="s">
        <v>224</v>
      </c>
      <c r="J6955" s="81" t="s">
        <v>6539</v>
      </c>
    </row>
    <row r="6956">
      <c r="A6956" s="83" t="s">
        <v>6627</v>
      </c>
      <c r="B6956" s="83" t="s">
        <v>6628</v>
      </c>
      <c r="C6956" s="81" t="s">
        <v>4082</v>
      </c>
      <c r="D6956" s="81" t="s">
        <v>224</v>
      </c>
      <c r="E6956" s="81" t="s">
        <v>6540</v>
      </c>
      <c r="F6956" s="81" t="s">
        <v>224</v>
      </c>
      <c r="G6956" s="81" t="s">
        <v>224</v>
      </c>
      <c r="H6956" s="81" t="s">
        <v>224</v>
      </c>
      <c r="I6956" s="81" t="s">
        <v>224</v>
      </c>
      <c r="J6956" s="81" t="s">
        <v>6539</v>
      </c>
    </row>
    <row r="6957">
      <c r="A6957" s="83" t="s">
        <v>6627</v>
      </c>
      <c r="B6957" s="83" t="s">
        <v>6628</v>
      </c>
      <c r="C6957" s="81" t="s">
        <v>4082</v>
      </c>
      <c r="D6957" s="81" t="s">
        <v>224</v>
      </c>
      <c r="E6957" s="81" t="s">
        <v>6541</v>
      </c>
      <c r="F6957" s="81" t="s">
        <v>224</v>
      </c>
      <c r="G6957" s="81" t="s">
        <v>224</v>
      </c>
      <c r="H6957" s="81" t="s">
        <v>224</v>
      </c>
      <c r="I6957" s="81" t="s">
        <v>224</v>
      </c>
      <c r="J6957" s="81" t="s">
        <v>6542</v>
      </c>
    </row>
    <row r="6958">
      <c r="A6958" s="83" t="s">
        <v>6627</v>
      </c>
      <c r="B6958" s="83" t="s">
        <v>6628</v>
      </c>
      <c r="C6958" s="81" t="s">
        <v>4082</v>
      </c>
      <c r="D6958" s="81" t="s">
        <v>224</v>
      </c>
      <c r="E6958" s="81" t="s">
        <v>6543</v>
      </c>
      <c r="F6958" s="81" t="s">
        <v>224</v>
      </c>
      <c r="G6958" s="81" t="s">
        <v>224</v>
      </c>
      <c r="H6958" s="81" t="s">
        <v>224</v>
      </c>
      <c r="I6958" s="81" t="s">
        <v>224</v>
      </c>
      <c r="J6958" s="81" t="s">
        <v>6542</v>
      </c>
    </row>
    <row r="6959">
      <c r="A6959" s="83" t="s">
        <v>6627</v>
      </c>
      <c r="B6959" s="83" t="s">
        <v>6628</v>
      </c>
      <c r="C6959" s="81" t="s">
        <v>4082</v>
      </c>
      <c r="D6959" s="81" t="s">
        <v>224</v>
      </c>
      <c r="E6959" s="81" t="s">
        <v>6544</v>
      </c>
      <c r="F6959" s="81" t="s">
        <v>224</v>
      </c>
      <c r="G6959" s="81" t="s">
        <v>224</v>
      </c>
      <c r="H6959" s="81" t="s">
        <v>224</v>
      </c>
      <c r="I6959" s="81" t="s">
        <v>224</v>
      </c>
      <c r="J6959" s="81" t="s">
        <v>6545</v>
      </c>
    </row>
    <row r="6960">
      <c r="A6960" s="83" t="s">
        <v>6627</v>
      </c>
      <c r="B6960" s="83" t="s">
        <v>6628</v>
      </c>
      <c r="C6960" s="81" t="s">
        <v>4082</v>
      </c>
      <c r="D6960" s="81" t="s">
        <v>224</v>
      </c>
      <c r="E6960" s="81" t="s">
        <v>6546</v>
      </c>
      <c r="F6960" s="81" t="s">
        <v>224</v>
      </c>
      <c r="G6960" s="81" t="s">
        <v>224</v>
      </c>
      <c r="H6960" s="81" t="s">
        <v>224</v>
      </c>
      <c r="I6960" s="81" t="s">
        <v>224</v>
      </c>
      <c r="J6960" s="81" t="s">
        <v>6545</v>
      </c>
    </row>
    <row r="6961">
      <c r="A6961" s="83" t="s">
        <v>6627</v>
      </c>
      <c r="B6961" s="83" t="s">
        <v>6628</v>
      </c>
      <c r="C6961" s="81" t="s">
        <v>4082</v>
      </c>
      <c r="D6961" s="81" t="s">
        <v>224</v>
      </c>
      <c r="E6961" s="81" t="s">
        <v>6547</v>
      </c>
      <c r="F6961" s="81" t="s">
        <v>224</v>
      </c>
      <c r="G6961" s="81" t="s">
        <v>224</v>
      </c>
      <c r="H6961" s="81" t="s">
        <v>224</v>
      </c>
      <c r="I6961" s="81" t="s">
        <v>224</v>
      </c>
      <c r="J6961" s="81" t="s">
        <v>6548</v>
      </c>
    </row>
    <row r="6962">
      <c r="A6962" s="83" t="s">
        <v>6627</v>
      </c>
      <c r="B6962" s="83" t="s">
        <v>6628</v>
      </c>
      <c r="C6962" s="81" t="s">
        <v>4082</v>
      </c>
      <c r="D6962" s="81" t="s">
        <v>224</v>
      </c>
      <c r="E6962" s="81" t="s">
        <v>6549</v>
      </c>
      <c r="F6962" s="81" t="s">
        <v>224</v>
      </c>
      <c r="G6962" s="81" t="s">
        <v>224</v>
      </c>
      <c r="H6962" s="81" t="s">
        <v>224</v>
      </c>
      <c r="I6962" s="81" t="s">
        <v>224</v>
      </c>
      <c r="J6962" s="81" t="s">
        <v>6548</v>
      </c>
    </row>
    <row r="6963">
      <c r="A6963" s="83" t="s">
        <v>6627</v>
      </c>
      <c r="B6963" s="83" t="s">
        <v>6628</v>
      </c>
      <c r="C6963" s="81" t="s">
        <v>4082</v>
      </c>
      <c r="D6963" s="81" t="s">
        <v>224</v>
      </c>
      <c r="E6963" s="81" t="s">
        <v>6550</v>
      </c>
      <c r="F6963" s="81" t="s">
        <v>224</v>
      </c>
      <c r="G6963" s="81" t="s">
        <v>224</v>
      </c>
      <c r="H6963" s="81" t="s">
        <v>224</v>
      </c>
      <c r="I6963" s="81" t="s">
        <v>224</v>
      </c>
      <c r="J6963" s="81" t="s">
        <v>6551</v>
      </c>
    </row>
    <row r="6964">
      <c r="A6964" s="83" t="s">
        <v>6627</v>
      </c>
      <c r="B6964" s="83" t="s">
        <v>6628</v>
      </c>
      <c r="C6964" s="81" t="s">
        <v>4082</v>
      </c>
      <c r="D6964" s="81" t="s">
        <v>224</v>
      </c>
      <c r="E6964" s="81" t="s">
        <v>6552</v>
      </c>
      <c r="F6964" s="81" t="s">
        <v>224</v>
      </c>
      <c r="G6964" s="81" t="s">
        <v>224</v>
      </c>
      <c r="H6964" s="81" t="s">
        <v>224</v>
      </c>
      <c r="I6964" s="81" t="s">
        <v>224</v>
      </c>
      <c r="J6964" s="81" t="s">
        <v>6551</v>
      </c>
    </row>
    <row r="6965">
      <c r="A6965" s="83" t="s">
        <v>6627</v>
      </c>
      <c r="B6965" s="83" t="s">
        <v>6628</v>
      </c>
      <c r="C6965" s="81" t="s">
        <v>4082</v>
      </c>
      <c r="D6965" s="81" t="s">
        <v>224</v>
      </c>
      <c r="E6965" s="81" t="s">
        <v>6553</v>
      </c>
      <c r="F6965" s="81" t="s">
        <v>224</v>
      </c>
      <c r="G6965" s="81" t="s">
        <v>224</v>
      </c>
      <c r="H6965" s="81" t="s">
        <v>224</v>
      </c>
      <c r="I6965" s="81" t="s">
        <v>224</v>
      </c>
      <c r="J6965" s="81" t="s">
        <v>6554</v>
      </c>
    </row>
    <row r="6966">
      <c r="A6966" s="83" t="s">
        <v>6627</v>
      </c>
      <c r="B6966" s="83" t="s">
        <v>6628</v>
      </c>
      <c r="C6966" s="81" t="s">
        <v>4082</v>
      </c>
      <c r="D6966" s="81" t="s">
        <v>224</v>
      </c>
      <c r="E6966" s="81" t="s">
        <v>6555</v>
      </c>
      <c r="F6966" s="81" t="s">
        <v>224</v>
      </c>
      <c r="G6966" s="81" t="s">
        <v>224</v>
      </c>
      <c r="H6966" s="81" t="s">
        <v>224</v>
      </c>
      <c r="I6966" s="81" t="s">
        <v>224</v>
      </c>
      <c r="J6966" s="81" t="s">
        <v>6554</v>
      </c>
    </row>
    <row r="6967">
      <c r="A6967" s="83" t="s">
        <v>6627</v>
      </c>
      <c r="B6967" s="83" t="s">
        <v>6628</v>
      </c>
      <c r="C6967" s="81" t="s">
        <v>4082</v>
      </c>
      <c r="D6967" s="81" t="s">
        <v>224</v>
      </c>
      <c r="E6967" s="81" t="s">
        <v>6556</v>
      </c>
      <c r="F6967" s="81" t="s">
        <v>224</v>
      </c>
      <c r="G6967" s="81" t="s">
        <v>224</v>
      </c>
      <c r="H6967" s="81" t="s">
        <v>224</v>
      </c>
      <c r="I6967" s="81" t="s">
        <v>224</v>
      </c>
      <c r="J6967" s="81" t="s">
        <v>6557</v>
      </c>
    </row>
    <row r="6968">
      <c r="A6968" s="83" t="s">
        <v>6627</v>
      </c>
      <c r="B6968" s="83" t="s">
        <v>6628</v>
      </c>
      <c r="C6968" s="81" t="s">
        <v>4082</v>
      </c>
      <c r="D6968" s="81" t="s">
        <v>224</v>
      </c>
      <c r="E6968" s="81" t="s">
        <v>6558</v>
      </c>
      <c r="F6968" s="81" t="s">
        <v>224</v>
      </c>
      <c r="G6968" s="81" t="s">
        <v>224</v>
      </c>
      <c r="H6968" s="81" t="s">
        <v>224</v>
      </c>
      <c r="I6968" s="81" t="s">
        <v>224</v>
      </c>
      <c r="J6968" s="81" t="s">
        <v>6559</v>
      </c>
    </row>
    <row r="6969">
      <c r="A6969" s="83" t="s">
        <v>6627</v>
      </c>
      <c r="B6969" s="83" t="s">
        <v>6628</v>
      </c>
      <c r="C6969" s="81" t="s">
        <v>4082</v>
      </c>
      <c r="D6969" s="81" t="s">
        <v>224</v>
      </c>
      <c r="E6969" s="81" t="s">
        <v>6560</v>
      </c>
      <c r="F6969" s="81" t="s">
        <v>224</v>
      </c>
      <c r="G6969" s="81" t="s">
        <v>224</v>
      </c>
      <c r="H6969" s="81" t="s">
        <v>224</v>
      </c>
      <c r="I6969" s="81" t="s">
        <v>224</v>
      </c>
      <c r="J6969" s="81" t="s">
        <v>6561</v>
      </c>
    </row>
    <row r="6970">
      <c r="A6970" s="83" t="s">
        <v>6627</v>
      </c>
      <c r="B6970" s="83" t="s">
        <v>6628</v>
      </c>
      <c r="C6970" s="81" t="s">
        <v>4082</v>
      </c>
      <c r="D6970" s="81" t="s">
        <v>224</v>
      </c>
      <c r="E6970" s="81" t="s">
        <v>6562</v>
      </c>
      <c r="F6970" s="81" t="s">
        <v>224</v>
      </c>
      <c r="G6970" s="81" t="s">
        <v>224</v>
      </c>
      <c r="H6970" s="81" t="s">
        <v>224</v>
      </c>
      <c r="I6970" s="81" t="s">
        <v>224</v>
      </c>
      <c r="J6970" s="81" t="s">
        <v>6563</v>
      </c>
    </row>
    <row r="6971">
      <c r="A6971" s="83" t="s">
        <v>6627</v>
      </c>
      <c r="B6971" s="83" t="s">
        <v>6628</v>
      </c>
      <c r="C6971" s="81" t="s">
        <v>4082</v>
      </c>
      <c r="D6971" s="81" t="s">
        <v>224</v>
      </c>
      <c r="E6971" s="81" t="s">
        <v>6564</v>
      </c>
      <c r="F6971" s="81" t="s">
        <v>224</v>
      </c>
      <c r="G6971" s="81" t="s">
        <v>224</v>
      </c>
      <c r="H6971" s="81" t="s">
        <v>224</v>
      </c>
      <c r="I6971" s="81" t="s">
        <v>224</v>
      </c>
      <c r="J6971" s="81" t="s">
        <v>6565</v>
      </c>
    </row>
    <row r="6972">
      <c r="A6972" s="83" t="s">
        <v>6627</v>
      </c>
      <c r="B6972" s="83" t="s">
        <v>6628</v>
      </c>
      <c r="C6972" s="81" t="s">
        <v>4082</v>
      </c>
      <c r="D6972" s="81" t="s">
        <v>224</v>
      </c>
      <c r="E6972" s="81" t="s">
        <v>6566</v>
      </c>
      <c r="F6972" s="81" t="s">
        <v>224</v>
      </c>
      <c r="G6972" s="81" t="s">
        <v>224</v>
      </c>
      <c r="H6972" s="81" t="s">
        <v>224</v>
      </c>
      <c r="I6972" s="81" t="s">
        <v>224</v>
      </c>
      <c r="J6972" s="81" t="s">
        <v>6567</v>
      </c>
    </row>
    <row r="6973">
      <c r="A6973" s="83" t="s">
        <v>6627</v>
      </c>
      <c r="B6973" s="83" t="s">
        <v>6628</v>
      </c>
      <c r="C6973" s="81" t="s">
        <v>4082</v>
      </c>
      <c r="D6973" s="81" t="s">
        <v>224</v>
      </c>
      <c r="E6973" s="81" t="s">
        <v>6568</v>
      </c>
      <c r="F6973" s="81" t="s">
        <v>224</v>
      </c>
      <c r="G6973" s="81" t="s">
        <v>224</v>
      </c>
      <c r="H6973" s="81" t="s">
        <v>224</v>
      </c>
      <c r="I6973" s="81" t="s">
        <v>224</v>
      </c>
      <c r="J6973" s="81" t="s">
        <v>6569</v>
      </c>
    </row>
    <row r="6974">
      <c r="A6974" s="83" t="s">
        <v>6627</v>
      </c>
      <c r="B6974" s="83" t="s">
        <v>6628</v>
      </c>
      <c r="C6974" s="81" t="s">
        <v>4082</v>
      </c>
      <c r="D6974" s="81" t="s">
        <v>224</v>
      </c>
      <c r="E6974" s="81" t="s">
        <v>6570</v>
      </c>
      <c r="F6974" s="81" t="s">
        <v>224</v>
      </c>
      <c r="G6974" s="81" t="s">
        <v>224</v>
      </c>
      <c r="H6974" s="81" t="s">
        <v>224</v>
      </c>
      <c r="I6974" s="81" t="s">
        <v>224</v>
      </c>
      <c r="J6974" s="81" t="s">
        <v>6571</v>
      </c>
    </row>
    <row r="6975">
      <c r="A6975" s="83" t="s">
        <v>6627</v>
      </c>
      <c r="B6975" s="83" t="s">
        <v>6628</v>
      </c>
      <c r="C6975" s="81" t="s">
        <v>4082</v>
      </c>
      <c r="D6975" s="81" t="s">
        <v>224</v>
      </c>
      <c r="E6975" s="81" t="s">
        <v>6572</v>
      </c>
      <c r="F6975" s="81" t="s">
        <v>224</v>
      </c>
      <c r="G6975" s="81" t="s">
        <v>224</v>
      </c>
      <c r="H6975" s="81" t="s">
        <v>224</v>
      </c>
      <c r="I6975" s="81" t="s">
        <v>224</v>
      </c>
      <c r="J6975" s="81" t="s">
        <v>6571</v>
      </c>
    </row>
    <row r="6976">
      <c r="A6976" s="83" t="s">
        <v>6627</v>
      </c>
      <c r="B6976" s="83" t="s">
        <v>6628</v>
      </c>
      <c r="C6976" s="81" t="s">
        <v>4082</v>
      </c>
      <c r="D6976" s="81" t="s">
        <v>224</v>
      </c>
      <c r="E6976" s="81" t="s">
        <v>6573</v>
      </c>
      <c r="F6976" s="81" t="s">
        <v>224</v>
      </c>
      <c r="G6976" s="81" t="s">
        <v>224</v>
      </c>
      <c r="H6976" s="81" t="s">
        <v>224</v>
      </c>
      <c r="I6976" s="81" t="s">
        <v>224</v>
      </c>
      <c r="J6976" s="81" t="s">
        <v>6574</v>
      </c>
    </row>
    <row r="6977">
      <c r="A6977" s="83" t="s">
        <v>6627</v>
      </c>
      <c r="B6977" s="83" t="s">
        <v>6628</v>
      </c>
      <c r="C6977" s="81" t="s">
        <v>4082</v>
      </c>
      <c r="D6977" s="81" t="s">
        <v>224</v>
      </c>
      <c r="E6977" s="81" t="s">
        <v>6575</v>
      </c>
      <c r="F6977" s="81" t="s">
        <v>224</v>
      </c>
      <c r="G6977" s="81" t="s">
        <v>224</v>
      </c>
      <c r="H6977" s="81" t="s">
        <v>224</v>
      </c>
      <c r="I6977" s="81" t="s">
        <v>224</v>
      </c>
      <c r="J6977" s="81" t="s">
        <v>6574</v>
      </c>
    </row>
    <row r="6978">
      <c r="A6978" s="83" t="s">
        <v>6627</v>
      </c>
      <c r="B6978" s="83" t="s">
        <v>6628</v>
      </c>
      <c r="C6978" s="81" t="s">
        <v>4082</v>
      </c>
      <c r="D6978" s="81" t="s">
        <v>224</v>
      </c>
      <c r="E6978" s="81" t="s">
        <v>6576</v>
      </c>
      <c r="F6978" s="81" t="s">
        <v>224</v>
      </c>
      <c r="G6978" s="81" t="s">
        <v>224</v>
      </c>
      <c r="H6978" s="81" t="s">
        <v>224</v>
      </c>
      <c r="I6978" s="81" t="s">
        <v>224</v>
      </c>
      <c r="J6978" s="81" t="s">
        <v>6577</v>
      </c>
    </row>
    <row r="6979">
      <c r="A6979" s="83" t="s">
        <v>6627</v>
      </c>
      <c r="B6979" s="83" t="s">
        <v>6628</v>
      </c>
      <c r="C6979" s="81" t="s">
        <v>4082</v>
      </c>
      <c r="D6979" s="81" t="s">
        <v>224</v>
      </c>
      <c r="E6979" s="81" t="s">
        <v>6578</v>
      </c>
      <c r="F6979" s="81" t="s">
        <v>224</v>
      </c>
      <c r="G6979" s="81" t="s">
        <v>224</v>
      </c>
      <c r="H6979" s="81" t="s">
        <v>224</v>
      </c>
      <c r="I6979" s="81" t="s">
        <v>224</v>
      </c>
      <c r="J6979" s="81" t="s">
        <v>6579</v>
      </c>
    </row>
    <row r="6980">
      <c r="A6980" s="83" t="s">
        <v>6627</v>
      </c>
      <c r="B6980" s="83" t="s">
        <v>6628</v>
      </c>
      <c r="C6980" s="81" t="s">
        <v>4082</v>
      </c>
      <c r="D6980" s="81" t="s">
        <v>224</v>
      </c>
      <c r="E6980" s="81" t="s">
        <v>6580</v>
      </c>
      <c r="F6980" s="81" t="s">
        <v>224</v>
      </c>
      <c r="G6980" s="81" t="s">
        <v>224</v>
      </c>
      <c r="H6980" s="81" t="s">
        <v>224</v>
      </c>
      <c r="I6980" s="81" t="s">
        <v>224</v>
      </c>
      <c r="J6980" s="81" t="s">
        <v>6579</v>
      </c>
    </row>
    <row r="6981">
      <c r="A6981" s="83" t="s">
        <v>6627</v>
      </c>
      <c r="B6981" s="83" t="s">
        <v>6628</v>
      </c>
      <c r="C6981" s="81" t="s">
        <v>4082</v>
      </c>
      <c r="D6981" s="81" t="s">
        <v>224</v>
      </c>
      <c r="E6981" s="81" t="s">
        <v>6581</v>
      </c>
      <c r="F6981" s="81" t="s">
        <v>224</v>
      </c>
      <c r="G6981" s="81" t="s">
        <v>224</v>
      </c>
      <c r="H6981" s="81" t="s">
        <v>224</v>
      </c>
      <c r="I6981" s="81" t="s">
        <v>224</v>
      </c>
      <c r="J6981" s="81" t="s">
        <v>6582</v>
      </c>
    </row>
    <row r="6982">
      <c r="A6982" s="83" t="s">
        <v>6627</v>
      </c>
      <c r="B6982" s="83" t="s">
        <v>6628</v>
      </c>
      <c r="C6982" s="81" t="s">
        <v>4082</v>
      </c>
      <c r="D6982" s="81" t="s">
        <v>224</v>
      </c>
      <c r="E6982" s="81" t="s">
        <v>6583</v>
      </c>
      <c r="F6982" s="81" t="s">
        <v>224</v>
      </c>
      <c r="G6982" s="81" t="s">
        <v>224</v>
      </c>
      <c r="H6982" s="81" t="s">
        <v>224</v>
      </c>
      <c r="I6982" s="81" t="s">
        <v>224</v>
      </c>
      <c r="J6982" s="81" t="s">
        <v>6582</v>
      </c>
    </row>
    <row r="6983">
      <c r="A6983" s="83" t="s">
        <v>6627</v>
      </c>
      <c r="B6983" s="83" t="s">
        <v>6628</v>
      </c>
      <c r="C6983" s="81" t="s">
        <v>4082</v>
      </c>
      <c r="D6983" s="81" t="s">
        <v>224</v>
      </c>
      <c r="E6983" s="81" t="s">
        <v>6584</v>
      </c>
      <c r="F6983" s="81" t="s">
        <v>224</v>
      </c>
      <c r="G6983" s="81" t="s">
        <v>224</v>
      </c>
      <c r="H6983" s="81" t="s">
        <v>224</v>
      </c>
      <c r="I6983" s="81" t="s">
        <v>224</v>
      </c>
      <c r="J6983" s="81" t="s">
        <v>6585</v>
      </c>
    </row>
    <row r="6984">
      <c r="A6984" s="83" t="s">
        <v>6627</v>
      </c>
      <c r="B6984" s="83" t="s">
        <v>6628</v>
      </c>
      <c r="C6984" s="81" t="s">
        <v>4082</v>
      </c>
      <c r="D6984" s="81" t="s">
        <v>224</v>
      </c>
      <c r="E6984" s="81" t="s">
        <v>6586</v>
      </c>
      <c r="F6984" s="81" t="s">
        <v>224</v>
      </c>
      <c r="G6984" s="81" t="s">
        <v>224</v>
      </c>
      <c r="H6984" s="81" t="s">
        <v>224</v>
      </c>
      <c r="I6984" s="81" t="s">
        <v>224</v>
      </c>
      <c r="J6984" s="81" t="s">
        <v>6585</v>
      </c>
    </row>
    <row r="6985">
      <c r="A6985" s="83" t="s">
        <v>6627</v>
      </c>
      <c r="B6985" s="83" t="s">
        <v>6628</v>
      </c>
      <c r="C6985" s="81" t="s">
        <v>4082</v>
      </c>
      <c r="D6985" s="81" t="s">
        <v>224</v>
      </c>
      <c r="E6985" s="81" t="s">
        <v>6587</v>
      </c>
      <c r="F6985" s="81" t="s">
        <v>224</v>
      </c>
      <c r="G6985" s="81" t="s">
        <v>224</v>
      </c>
      <c r="H6985" s="81" t="s">
        <v>224</v>
      </c>
      <c r="I6985" s="81" t="s">
        <v>224</v>
      </c>
      <c r="J6985" s="81" t="s">
        <v>6588</v>
      </c>
    </row>
    <row r="6986">
      <c r="A6986" s="83" t="s">
        <v>6627</v>
      </c>
      <c r="B6986" s="83" t="s">
        <v>6628</v>
      </c>
      <c r="C6986" s="81" t="s">
        <v>4082</v>
      </c>
      <c r="D6986" s="81" t="s">
        <v>224</v>
      </c>
      <c r="E6986" s="81" t="s">
        <v>6589</v>
      </c>
      <c r="F6986" s="81" t="s">
        <v>224</v>
      </c>
      <c r="G6986" s="81" t="s">
        <v>224</v>
      </c>
      <c r="H6986" s="81" t="s">
        <v>224</v>
      </c>
      <c r="I6986" s="81" t="s">
        <v>224</v>
      </c>
      <c r="J6986" s="81" t="s">
        <v>6588</v>
      </c>
    </row>
    <row r="6987">
      <c r="A6987" s="83" t="s">
        <v>6627</v>
      </c>
      <c r="B6987" s="83" t="s">
        <v>6628</v>
      </c>
      <c r="C6987" s="81" t="s">
        <v>4082</v>
      </c>
      <c r="D6987" s="81" t="s">
        <v>224</v>
      </c>
      <c r="E6987" s="81" t="s">
        <v>6590</v>
      </c>
      <c r="F6987" s="81" t="s">
        <v>224</v>
      </c>
      <c r="G6987" s="81" t="s">
        <v>224</v>
      </c>
      <c r="H6987" s="81" t="s">
        <v>224</v>
      </c>
      <c r="I6987" s="81" t="s">
        <v>224</v>
      </c>
      <c r="J6987" s="81" t="s">
        <v>6591</v>
      </c>
    </row>
    <row r="6988">
      <c r="A6988" s="83" t="s">
        <v>6627</v>
      </c>
      <c r="B6988" s="83" t="s">
        <v>6628</v>
      </c>
      <c r="C6988" s="81" t="s">
        <v>4082</v>
      </c>
      <c r="D6988" s="81" t="s">
        <v>224</v>
      </c>
      <c r="E6988" s="81" t="s">
        <v>6592</v>
      </c>
      <c r="F6988" s="81" t="s">
        <v>224</v>
      </c>
      <c r="G6988" s="81" t="s">
        <v>224</v>
      </c>
      <c r="H6988" s="81" t="s">
        <v>224</v>
      </c>
      <c r="I6988" s="81" t="s">
        <v>224</v>
      </c>
      <c r="J6988" s="81" t="s">
        <v>6591</v>
      </c>
    </row>
    <row r="6989">
      <c r="A6989" s="83" t="s">
        <v>6627</v>
      </c>
      <c r="B6989" s="83" t="s">
        <v>6628</v>
      </c>
      <c r="C6989" s="81" t="s">
        <v>4082</v>
      </c>
      <c r="D6989" s="81" t="s">
        <v>224</v>
      </c>
      <c r="E6989" s="81" t="s">
        <v>6593</v>
      </c>
      <c r="F6989" s="81" t="s">
        <v>224</v>
      </c>
      <c r="G6989" s="81" t="s">
        <v>224</v>
      </c>
      <c r="H6989" s="81" t="s">
        <v>224</v>
      </c>
      <c r="I6989" s="81" t="s">
        <v>224</v>
      </c>
      <c r="J6989" s="81" t="s">
        <v>6594</v>
      </c>
    </row>
    <row r="6990">
      <c r="A6990" s="83" t="s">
        <v>6627</v>
      </c>
      <c r="B6990" s="83" t="s">
        <v>6628</v>
      </c>
      <c r="C6990" s="81" t="s">
        <v>4082</v>
      </c>
      <c r="D6990" s="81" t="s">
        <v>224</v>
      </c>
      <c r="E6990" s="81" t="s">
        <v>6595</v>
      </c>
      <c r="F6990" s="81" t="s">
        <v>224</v>
      </c>
      <c r="G6990" s="81" t="s">
        <v>224</v>
      </c>
      <c r="H6990" s="81" t="s">
        <v>224</v>
      </c>
      <c r="I6990" s="81" t="s">
        <v>224</v>
      </c>
      <c r="J6990" s="81" t="s">
        <v>6594</v>
      </c>
    </row>
    <row r="6991">
      <c r="A6991" s="83" t="s">
        <v>6627</v>
      </c>
      <c r="B6991" s="83" t="s">
        <v>6628</v>
      </c>
      <c r="C6991" s="81" t="s">
        <v>4082</v>
      </c>
      <c r="D6991" s="81" t="s">
        <v>224</v>
      </c>
      <c r="E6991" s="81" t="s">
        <v>6596</v>
      </c>
      <c r="F6991" s="81" t="s">
        <v>224</v>
      </c>
      <c r="G6991" s="81" t="s">
        <v>224</v>
      </c>
      <c r="H6991" s="81" t="s">
        <v>224</v>
      </c>
      <c r="I6991" s="81" t="s">
        <v>224</v>
      </c>
      <c r="J6991" s="81" t="s">
        <v>6597</v>
      </c>
    </row>
    <row r="6992">
      <c r="A6992" s="83" t="s">
        <v>6627</v>
      </c>
      <c r="B6992" s="83" t="s">
        <v>6628</v>
      </c>
      <c r="C6992" s="81" t="s">
        <v>4082</v>
      </c>
      <c r="D6992" s="81" t="s">
        <v>224</v>
      </c>
      <c r="E6992" s="81" t="s">
        <v>6598</v>
      </c>
      <c r="F6992" s="81" t="s">
        <v>224</v>
      </c>
      <c r="G6992" s="81" t="s">
        <v>224</v>
      </c>
      <c r="H6992" s="81" t="s">
        <v>224</v>
      </c>
      <c r="I6992" s="81" t="s">
        <v>224</v>
      </c>
      <c r="J6992" s="81" t="s">
        <v>6599</v>
      </c>
    </row>
    <row r="6993">
      <c r="A6993" s="83" t="s">
        <v>6627</v>
      </c>
      <c r="B6993" s="83" t="s">
        <v>6628</v>
      </c>
      <c r="C6993" s="81" t="s">
        <v>4082</v>
      </c>
      <c r="D6993" s="81" t="s">
        <v>224</v>
      </c>
      <c r="E6993" s="81" t="s">
        <v>4956</v>
      </c>
      <c r="F6993" s="81" t="s">
        <v>224</v>
      </c>
      <c r="G6993" s="81" t="s">
        <v>224</v>
      </c>
      <c r="H6993" s="81" t="s">
        <v>224</v>
      </c>
      <c r="I6993" s="81" t="s">
        <v>224</v>
      </c>
      <c r="J6993" s="81" t="s">
        <v>4957</v>
      </c>
    </row>
    <row r="6994">
      <c r="A6994" s="83" t="s">
        <v>6627</v>
      </c>
      <c r="B6994" s="83" t="s">
        <v>6628</v>
      </c>
      <c r="C6994" s="81" t="s">
        <v>4082</v>
      </c>
      <c r="D6994" s="81" t="s">
        <v>224</v>
      </c>
      <c r="E6994" s="81" t="s">
        <v>4958</v>
      </c>
      <c r="F6994" s="81" t="s">
        <v>224</v>
      </c>
      <c r="G6994" s="81" t="s">
        <v>224</v>
      </c>
      <c r="H6994" s="81" t="s">
        <v>224</v>
      </c>
      <c r="I6994" s="81" t="s">
        <v>224</v>
      </c>
      <c r="J6994" s="81" t="s">
        <v>4959</v>
      </c>
    </row>
    <row r="6995">
      <c r="A6995" s="83" t="s">
        <v>6627</v>
      </c>
      <c r="B6995" s="83" t="s">
        <v>6628</v>
      </c>
      <c r="C6995" s="81" t="s">
        <v>4082</v>
      </c>
      <c r="D6995" s="81" t="s">
        <v>224</v>
      </c>
      <c r="E6995" s="81" t="s">
        <v>4960</v>
      </c>
      <c r="F6995" s="81" t="s">
        <v>224</v>
      </c>
      <c r="G6995" s="81" t="s">
        <v>224</v>
      </c>
      <c r="H6995" s="81" t="s">
        <v>224</v>
      </c>
      <c r="I6995" s="81" t="s">
        <v>224</v>
      </c>
      <c r="J6995" s="81" t="s">
        <v>4961</v>
      </c>
    </row>
    <row r="6996">
      <c r="A6996" s="83" t="s">
        <v>6627</v>
      </c>
      <c r="B6996" s="83" t="s">
        <v>6628</v>
      </c>
      <c r="C6996" s="81" t="s">
        <v>4082</v>
      </c>
      <c r="D6996" s="81" t="s">
        <v>224</v>
      </c>
      <c r="E6996" s="81" t="s">
        <v>4962</v>
      </c>
      <c r="F6996" s="81" t="s">
        <v>224</v>
      </c>
      <c r="G6996" s="81" t="s">
        <v>224</v>
      </c>
      <c r="H6996" s="81" t="s">
        <v>224</v>
      </c>
      <c r="I6996" s="81" t="s">
        <v>224</v>
      </c>
      <c r="J6996" s="81" t="s">
        <v>4963</v>
      </c>
    </row>
    <row r="6997">
      <c r="A6997" s="83" t="s">
        <v>6627</v>
      </c>
      <c r="B6997" s="83" t="s">
        <v>6628</v>
      </c>
      <c r="C6997" s="81" t="s">
        <v>4082</v>
      </c>
      <c r="D6997" s="81" t="s">
        <v>224</v>
      </c>
      <c r="E6997" s="81" t="s">
        <v>4964</v>
      </c>
      <c r="F6997" s="81" t="s">
        <v>224</v>
      </c>
      <c r="G6997" s="81" t="s">
        <v>224</v>
      </c>
      <c r="H6997" s="81" t="s">
        <v>224</v>
      </c>
      <c r="I6997" s="81" t="s">
        <v>224</v>
      </c>
      <c r="J6997" s="81" t="s">
        <v>4963</v>
      </c>
    </row>
    <row r="6998">
      <c r="A6998" s="83" t="s">
        <v>6627</v>
      </c>
      <c r="B6998" s="83" t="s">
        <v>6628</v>
      </c>
      <c r="C6998" s="81" t="s">
        <v>4082</v>
      </c>
      <c r="D6998" s="81" t="s">
        <v>224</v>
      </c>
      <c r="E6998" s="81" t="s">
        <v>4965</v>
      </c>
      <c r="F6998" s="81" t="s">
        <v>224</v>
      </c>
      <c r="G6998" s="81" t="s">
        <v>224</v>
      </c>
      <c r="H6998" s="81" t="s">
        <v>224</v>
      </c>
      <c r="I6998" s="81" t="s">
        <v>224</v>
      </c>
      <c r="J6998" s="81" t="s">
        <v>4966</v>
      </c>
    </row>
    <row r="6999">
      <c r="A6999" s="83" t="s">
        <v>6627</v>
      </c>
      <c r="B6999" s="83" t="s">
        <v>6628</v>
      </c>
      <c r="C6999" s="81" t="s">
        <v>4082</v>
      </c>
      <c r="D6999" s="81" t="s">
        <v>224</v>
      </c>
      <c r="E6999" s="81" t="s">
        <v>4967</v>
      </c>
      <c r="F6999" s="81" t="s">
        <v>224</v>
      </c>
      <c r="G6999" s="81" t="s">
        <v>224</v>
      </c>
      <c r="H6999" s="81" t="s">
        <v>224</v>
      </c>
      <c r="I6999" s="81" t="s">
        <v>224</v>
      </c>
      <c r="J6999" s="81" t="s">
        <v>4966</v>
      </c>
    </row>
    <row r="7000">
      <c r="A7000" s="83" t="s">
        <v>6627</v>
      </c>
      <c r="B7000" s="83" t="s">
        <v>6628</v>
      </c>
      <c r="C7000" s="81" t="s">
        <v>4082</v>
      </c>
      <c r="D7000" s="81" t="s">
        <v>224</v>
      </c>
      <c r="E7000" s="81" t="s">
        <v>4968</v>
      </c>
      <c r="F7000" s="81" t="s">
        <v>224</v>
      </c>
      <c r="G7000" s="81" t="s">
        <v>224</v>
      </c>
      <c r="H7000" s="81" t="s">
        <v>224</v>
      </c>
      <c r="I7000" s="81" t="s">
        <v>224</v>
      </c>
      <c r="J7000" s="81" t="s">
        <v>4966</v>
      </c>
    </row>
    <row r="7001">
      <c r="A7001" s="83" t="s">
        <v>6627</v>
      </c>
      <c r="B7001" s="83" t="s">
        <v>6628</v>
      </c>
      <c r="C7001" s="81" t="s">
        <v>4082</v>
      </c>
      <c r="D7001" s="81" t="s">
        <v>224</v>
      </c>
      <c r="E7001" s="81" t="s">
        <v>4969</v>
      </c>
      <c r="F7001" s="81" t="s">
        <v>224</v>
      </c>
      <c r="G7001" s="81" t="s">
        <v>224</v>
      </c>
      <c r="H7001" s="81" t="s">
        <v>224</v>
      </c>
      <c r="I7001" s="81" t="s">
        <v>224</v>
      </c>
      <c r="J7001" s="81" t="s">
        <v>4966</v>
      </c>
    </row>
    <row r="7002">
      <c r="A7002" s="83" t="s">
        <v>6627</v>
      </c>
      <c r="B7002" s="83" t="s">
        <v>6628</v>
      </c>
      <c r="C7002" s="81" t="s">
        <v>4082</v>
      </c>
      <c r="D7002" s="81" t="s">
        <v>224</v>
      </c>
      <c r="E7002" s="81" t="s">
        <v>4970</v>
      </c>
      <c r="F7002" s="81" t="s">
        <v>224</v>
      </c>
      <c r="G7002" s="81" t="s">
        <v>224</v>
      </c>
      <c r="H7002" s="81" t="s">
        <v>224</v>
      </c>
      <c r="I7002" s="81" t="s">
        <v>224</v>
      </c>
      <c r="J7002" s="81" t="s">
        <v>4966</v>
      </c>
    </row>
    <row r="7003">
      <c r="A7003" s="83" t="s">
        <v>6627</v>
      </c>
      <c r="B7003" s="83" t="s">
        <v>6628</v>
      </c>
      <c r="C7003" s="81" t="s">
        <v>4082</v>
      </c>
      <c r="D7003" s="81" t="s">
        <v>224</v>
      </c>
      <c r="E7003" s="81" t="s">
        <v>4971</v>
      </c>
      <c r="F7003" s="81" t="s">
        <v>224</v>
      </c>
      <c r="G7003" s="81" t="s">
        <v>224</v>
      </c>
      <c r="H7003" s="81" t="s">
        <v>224</v>
      </c>
      <c r="I7003" s="81" t="s">
        <v>224</v>
      </c>
      <c r="J7003" s="81" t="s">
        <v>4966</v>
      </c>
    </row>
    <row r="7004">
      <c r="A7004" s="83" t="s">
        <v>6627</v>
      </c>
      <c r="B7004" s="83" t="s">
        <v>6628</v>
      </c>
      <c r="C7004" s="81" t="s">
        <v>4082</v>
      </c>
      <c r="D7004" s="81" t="s">
        <v>224</v>
      </c>
      <c r="E7004" s="81" t="s">
        <v>224</v>
      </c>
      <c r="F7004" s="81" t="s">
        <v>224</v>
      </c>
      <c r="G7004" s="81" t="s">
        <v>224</v>
      </c>
      <c r="H7004" s="81" t="s">
        <v>224</v>
      </c>
      <c r="I7004" s="81" t="s">
        <v>224</v>
      </c>
      <c r="J7004" s="81" t="s">
        <v>6631</v>
      </c>
    </row>
    <row r="7005">
      <c r="A7005" s="83" t="s">
        <v>6627</v>
      </c>
      <c r="B7005" s="83" t="s">
        <v>6628</v>
      </c>
      <c r="C7005" s="81" t="s">
        <v>4082</v>
      </c>
      <c r="D7005" s="83" t="s">
        <v>4201</v>
      </c>
      <c r="E7005" s="81" t="s">
        <v>754</v>
      </c>
      <c r="F7005" s="81">
        <v>127.0</v>
      </c>
      <c r="G7005" s="81" t="s">
        <v>39</v>
      </c>
      <c r="H7005" s="81" t="s">
        <v>224</v>
      </c>
      <c r="I7005" s="81" t="s">
        <v>224</v>
      </c>
      <c r="J7005" s="81" t="s">
        <v>5311</v>
      </c>
    </row>
    <row r="7006">
      <c r="A7006" s="83" t="s">
        <v>6627</v>
      </c>
      <c r="B7006" s="83" t="s">
        <v>6628</v>
      </c>
      <c r="C7006" s="81" t="s">
        <v>4082</v>
      </c>
      <c r="D7006" s="83" t="s">
        <v>4208</v>
      </c>
      <c r="E7006" s="81" t="s">
        <v>786</v>
      </c>
      <c r="F7006" s="81">
        <v>134.0</v>
      </c>
      <c r="G7006" s="81" t="s">
        <v>39</v>
      </c>
      <c r="H7006" s="81" t="s">
        <v>224</v>
      </c>
      <c r="I7006" s="81" t="s">
        <v>224</v>
      </c>
      <c r="J7006" s="81" t="s">
        <v>5322</v>
      </c>
    </row>
    <row r="7007">
      <c r="A7007" s="83" t="s">
        <v>6627</v>
      </c>
      <c r="B7007" s="83" t="s">
        <v>6628</v>
      </c>
      <c r="C7007" s="81" t="s">
        <v>4082</v>
      </c>
      <c r="D7007" s="83" t="s">
        <v>4211</v>
      </c>
      <c r="E7007" s="81" t="s">
        <v>798</v>
      </c>
      <c r="F7007" s="81">
        <v>137.0</v>
      </c>
      <c r="G7007" s="81" t="s">
        <v>39</v>
      </c>
      <c r="H7007" s="81" t="s">
        <v>224</v>
      </c>
      <c r="I7007" s="81" t="s">
        <v>224</v>
      </c>
      <c r="J7007" s="81" t="s">
        <v>5327</v>
      </c>
    </row>
    <row r="7008">
      <c r="A7008" s="83" t="s">
        <v>6627</v>
      </c>
      <c r="B7008" s="83" t="s">
        <v>6628</v>
      </c>
      <c r="C7008" s="81" t="s">
        <v>4082</v>
      </c>
      <c r="D7008" s="83" t="s">
        <v>4212</v>
      </c>
      <c r="E7008" s="81" t="s">
        <v>804</v>
      </c>
      <c r="F7008" s="81">
        <v>138.0</v>
      </c>
      <c r="G7008" s="81" t="s">
        <v>39</v>
      </c>
      <c r="H7008" s="81" t="s">
        <v>224</v>
      </c>
      <c r="I7008" s="81" t="s">
        <v>224</v>
      </c>
      <c r="J7008" s="81" t="s">
        <v>5330</v>
      </c>
    </row>
    <row r="7009">
      <c r="A7009" s="83" t="s">
        <v>6627</v>
      </c>
      <c r="B7009" s="83" t="s">
        <v>6628</v>
      </c>
      <c r="C7009" s="81" t="s">
        <v>4082</v>
      </c>
      <c r="D7009" s="83" t="s">
        <v>4238</v>
      </c>
      <c r="E7009" s="81" t="s">
        <v>918</v>
      </c>
      <c r="F7009" s="81">
        <v>163.0</v>
      </c>
      <c r="G7009" s="81" t="s">
        <v>41</v>
      </c>
      <c r="H7009" s="81" t="s">
        <v>924</v>
      </c>
      <c r="I7009" s="81" t="s">
        <v>224</v>
      </c>
      <c r="J7009" s="81" t="s">
        <v>6344</v>
      </c>
    </row>
    <row r="7010">
      <c r="A7010" s="83" t="s">
        <v>6627</v>
      </c>
      <c r="B7010" s="83" t="s">
        <v>6628</v>
      </c>
      <c r="C7010" s="81" t="s">
        <v>4082</v>
      </c>
      <c r="D7010" s="83" t="s">
        <v>4267</v>
      </c>
      <c r="E7010" s="81" t="s">
        <v>1050</v>
      </c>
      <c r="F7010" s="81">
        <v>199.0</v>
      </c>
      <c r="G7010" s="81" t="s">
        <v>41</v>
      </c>
      <c r="H7010" s="81" t="s">
        <v>1051</v>
      </c>
      <c r="I7010" s="81" t="s">
        <v>224</v>
      </c>
      <c r="J7010" s="81" t="s">
        <v>6345</v>
      </c>
    </row>
    <row r="7011">
      <c r="A7011" s="83" t="s">
        <v>6627</v>
      </c>
      <c r="B7011" s="83" t="s">
        <v>6628</v>
      </c>
      <c r="C7011" s="81" t="s">
        <v>6333</v>
      </c>
      <c r="D7011" s="83" t="s">
        <v>4285</v>
      </c>
      <c r="E7011" s="81" t="s">
        <v>1133</v>
      </c>
      <c r="F7011" s="81">
        <v>225.0</v>
      </c>
      <c r="G7011" s="81" t="s">
        <v>45</v>
      </c>
      <c r="H7011" s="81" t="s">
        <v>6601</v>
      </c>
      <c r="I7011" s="81" t="s">
        <v>224</v>
      </c>
      <c r="J7011" s="81" t="s">
        <v>6632</v>
      </c>
    </row>
    <row r="7012">
      <c r="A7012" s="83" t="s">
        <v>6627</v>
      </c>
      <c r="B7012" s="83" t="s">
        <v>6628</v>
      </c>
      <c r="C7012" s="81" t="s">
        <v>4621</v>
      </c>
      <c r="D7012" s="83" t="s">
        <v>4287</v>
      </c>
      <c r="E7012" s="81" t="s">
        <v>1138</v>
      </c>
      <c r="F7012" s="81">
        <v>226.0</v>
      </c>
      <c r="G7012" s="81" t="s">
        <v>45</v>
      </c>
      <c r="H7012" s="81" t="s">
        <v>6601</v>
      </c>
      <c r="I7012" s="81" t="s">
        <v>1024</v>
      </c>
      <c r="J7012" s="81" t="s">
        <v>224</v>
      </c>
    </row>
    <row r="7013">
      <c r="A7013" s="83" t="s">
        <v>6627</v>
      </c>
      <c r="B7013" s="83" t="s">
        <v>6628</v>
      </c>
      <c r="C7013" s="81" t="s">
        <v>4621</v>
      </c>
      <c r="D7013" s="83" t="s">
        <v>4289</v>
      </c>
      <c r="E7013" s="81" t="s">
        <v>1142</v>
      </c>
      <c r="F7013" s="81">
        <v>227.0</v>
      </c>
      <c r="G7013" s="81" t="s">
        <v>45</v>
      </c>
      <c r="H7013" s="81" t="s">
        <v>6601</v>
      </c>
      <c r="I7013" s="81" t="s">
        <v>1024</v>
      </c>
      <c r="J7013" s="81" t="s">
        <v>224</v>
      </c>
    </row>
    <row r="7014">
      <c r="A7014" s="83" t="s">
        <v>6627</v>
      </c>
      <c r="B7014" s="83" t="s">
        <v>6628</v>
      </c>
      <c r="C7014" s="81" t="s">
        <v>4621</v>
      </c>
      <c r="D7014" s="83" t="s">
        <v>4295</v>
      </c>
      <c r="E7014" s="81" t="s">
        <v>1180</v>
      </c>
      <c r="F7014" s="81">
        <v>234.0</v>
      </c>
      <c r="G7014" s="81" t="s">
        <v>45</v>
      </c>
      <c r="H7014" s="81" t="s">
        <v>6602</v>
      </c>
      <c r="I7014" s="81" t="s">
        <v>1189</v>
      </c>
      <c r="J7014" s="81" t="s">
        <v>224</v>
      </c>
    </row>
    <row r="7015">
      <c r="A7015" s="83" t="s">
        <v>6627</v>
      </c>
      <c r="B7015" s="83" t="s">
        <v>6628</v>
      </c>
      <c r="C7015" s="81" t="s">
        <v>4082</v>
      </c>
      <c r="D7015" s="83" t="s">
        <v>4304</v>
      </c>
      <c r="E7015" s="81" t="s">
        <v>1232</v>
      </c>
      <c r="F7015" s="81">
        <v>244.0</v>
      </c>
      <c r="G7015" s="81" t="s">
        <v>41</v>
      </c>
      <c r="H7015" s="81" t="s">
        <v>1233</v>
      </c>
      <c r="I7015" s="81" t="s">
        <v>224</v>
      </c>
      <c r="J7015" s="81" t="s">
        <v>6346</v>
      </c>
    </row>
    <row r="7016">
      <c r="A7016" s="83" t="s">
        <v>6627</v>
      </c>
      <c r="B7016" s="83" t="s">
        <v>6628</v>
      </c>
      <c r="C7016" s="81" t="s">
        <v>4082</v>
      </c>
      <c r="D7016" s="83" t="s">
        <v>4306</v>
      </c>
      <c r="E7016" s="81" t="s">
        <v>1237</v>
      </c>
      <c r="F7016" s="81">
        <v>246.0</v>
      </c>
      <c r="G7016" s="81" t="s">
        <v>41</v>
      </c>
      <c r="H7016" s="81" t="s">
        <v>1237</v>
      </c>
      <c r="I7016" s="81" t="s">
        <v>224</v>
      </c>
      <c r="J7016" s="81" t="s">
        <v>6347</v>
      </c>
    </row>
    <row r="7017">
      <c r="A7017" s="83" t="s">
        <v>6627</v>
      </c>
      <c r="B7017" s="83" t="s">
        <v>6628</v>
      </c>
      <c r="C7017" s="81" t="s">
        <v>4082</v>
      </c>
      <c r="D7017" s="83" t="s">
        <v>4316</v>
      </c>
      <c r="E7017" s="81" t="s">
        <v>1313</v>
      </c>
      <c r="F7017" s="81">
        <v>256.0</v>
      </c>
      <c r="G7017" s="81" t="s">
        <v>39</v>
      </c>
      <c r="H7017" s="81" t="s">
        <v>224</v>
      </c>
      <c r="I7017" s="81" t="s">
        <v>224</v>
      </c>
      <c r="J7017" s="81" t="s">
        <v>5515</v>
      </c>
    </row>
    <row r="7018">
      <c r="A7018" s="83" t="s">
        <v>6627</v>
      </c>
      <c r="B7018" s="83" t="s">
        <v>6628</v>
      </c>
      <c r="C7018" s="81" t="s">
        <v>4082</v>
      </c>
      <c r="D7018" s="83" t="s">
        <v>4351</v>
      </c>
      <c r="E7018" s="81" t="s">
        <v>1470</v>
      </c>
      <c r="F7018" s="81">
        <v>283.0</v>
      </c>
      <c r="G7018" s="81" t="s">
        <v>41</v>
      </c>
      <c r="H7018" s="81" t="s">
        <v>55</v>
      </c>
      <c r="I7018" s="81" t="s">
        <v>224</v>
      </c>
      <c r="J7018" s="81" t="s">
        <v>6426</v>
      </c>
    </row>
    <row r="7019">
      <c r="A7019" s="83" t="s">
        <v>6627</v>
      </c>
      <c r="B7019" s="83" t="s">
        <v>6628</v>
      </c>
      <c r="C7019" s="81" t="s">
        <v>4082</v>
      </c>
      <c r="D7019" s="83" t="s">
        <v>4351</v>
      </c>
      <c r="E7019" s="81" t="s">
        <v>1474</v>
      </c>
      <c r="F7019" s="81">
        <v>284.0</v>
      </c>
      <c r="G7019" s="81" t="s">
        <v>41</v>
      </c>
      <c r="H7019" s="81" t="s">
        <v>1476</v>
      </c>
      <c r="I7019" s="81" t="s">
        <v>224</v>
      </c>
      <c r="J7019" s="81" t="s">
        <v>6348</v>
      </c>
    </row>
    <row r="7020">
      <c r="A7020" s="83" t="s">
        <v>6627</v>
      </c>
      <c r="B7020" s="83" t="s">
        <v>6628</v>
      </c>
      <c r="C7020" s="81" t="s">
        <v>6333</v>
      </c>
      <c r="D7020" s="83" t="s">
        <v>4362</v>
      </c>
      <c r="E7020" s="81" t="s">
        <v>1530</v>
      </c>
      <c r="F7020" s="81">
        <v>297.0</v>
      </c>
      <c r="G7020" s="81" t="s">
        <v>46</v>
      </c>
      <c r="H7020" s="81" t="s">
        <v>1528</v>
      </c>
      <c r="I7020" s="81" t="s">
        <v>224</v>
      </c>
      <c r="J7020" s="81" t="s">
        <v>6632</v>
      </c>
    </row>
    <row r="7021">
      <c r="A7021" s="83" t="s">
        <v>6627</v>
      </c>
      <c r="B7021" s="83" t="s">
        <v>6628</v>
      </c>
      <c r="C7021" s="81" t="s">
        <v>4082</v>
      </c>
      <c r="D7021" s="83" t="s">
        <v>4363</v>
      </c>
      <c r="E7021" s="81" t="s">
        <v>1548</v>
      </c>
      <c r="F7021" s="81">
        <v>299.0</v>
      </c>
      <c r="G7021" s="81" t="s">
        <v>41</v>
      </c>
      <c r="H7021" s="81" t="s">
        <v>1550</v>
      </c>
      <c r="I7021" s="81" t="s">
        <v>224</v>
      </c>
      <c r="J7021" s="81" t="s">
        <v>6349</v>
      </c>
    </row>
    <row r="7022">
      <c r="A7022" s="83" t="s">
        <v>6627</v>
      </c>
      <c r="B7022" s="83" t="s">
        <v>6628</v>
      </c>
      <c r="C7022" s="81" t="s">
        <v>4082</v>
      </c>
      <c r="D7022" s="83" t="s">
        <v>4380</v>
      </c>
      <c r="E7022" s="81" t="s">
        <v>1617</v>
      </c>
      <c r="F7022" s="81">
        <v>319.0</v>
      </c>
      <c r="G7022" s="81" t="s">
        <v>39</v>
      </c>
      <c r="H7022" s="81" t="s">
        <v>224</v>
      </c>
      <c r="I7022" s="81" t="s">
        <v>224</v>
      </c>
      <c r="J7022" s="81" t="s">
        <v>5616</v>
      </c>
    </row>
    <row r="7023">
      <c r="A7023" s="83" t="s">
        <v>6627</v>
      </c>
      <c r="B7023" s="83" t="s">
        <v>6628</v>
      </c>
      <c r="C7023" s="81" t="s">
        <v>4082</v>
      </c>
      <c r="D7023" s="83" t="s">
        <v>4389</v>
      </c>
      <c r="E7023" s="81" t="s">
        <v>1678</v>
      </c>
      <c r="F7023" s="81">
        <v>332.0</v>
      </c>
      <c r="G7023" s="81" t="s">
        <v>41</v>
      </c>
      <c r="H7023" s="81" t="s">
        <v>1670</v>
      </c>
      <c r="I7023" s="81" t="s">
        <v>224</v>
      </c>
      <c r="J7023" s="81" t="s">
        <v>6350</v>
      </c>
    </row>
    <row r="7024">
      <c r="A7024" s="83" t="s">
        <v>6627</v>
      </c>
      <c r="B7024" s="83" t="s">
        <v>6628</v>
      </c>
      <c r="C7024" s="81" t="s">
        <v>6333</v>
      </c>
      <c r="D7024" s="83" t="s">
        <v>4391</v>
      </c>
      <c r="E7024" s="81" t="s">
        <v>1682</v>
      </c>
      <c r="F7024" s="81">
        <v>334.0</v>
      </c>
      <c r="G7024" s="81" t="s">
        <v>45</v>
      </c>
      <c r="H7024" s="81" t="s">
        <v>6603</v>
      </c>
      <c r="I7024" s="81" t="s">
        <v>224</v>
      </c>
      <c r="J7024" s="81" t="s">
        <v>6632</v>
      </c>
    </row>
    <row r="7025">
      <c r="A7025" s="83" t="s">
        <v>6627</v>
      </c>
      <c r="B7025" s="83" t="s">
        <v>6628</v>
      </c>
      <c r="C7025" s="81" t="s">
        <v>4082</v>
      </c>
      <c r="D7025" s="83" t="s">
        <v>4391</v>
      </c>
      <c r="E7025" s="81" t="s">
        <v>1682</v>
      </c>
      <c r="F7025" s="81">
        <v>334.0</v>
      </c>
      <c r="G7025" s="81" t="s">
        <v>41</v>
      </c>
      <c r="H7025" s="81" t="s">
        <v>1687</v>
      </c>
      <c r="I7025" s="81" t="s">
        <v>224</v>
      </c>
      <c r="J7025" s="81" t="s">
        <v>6351</v>
      </c>
    </row>
    <row r="7026">
      <c r="A7026" s="83" t="s">
        <v>6627</v>
      </c>
      <c r="B7026" s="83" t="s">
        <v>6628</v>
      </c>
      <c r="C7026" s="81" t="s">
        <v>6333</v>
      </c>
      <c r="D7026" s="83" t="s">
        <v>4393</v>
      </c>
      <c r="E7026" s="81" t="s">
        <v>1690</v>
      </c>
      <c r="F7026" s="81">
        <v>335.0</v>
      </c>
      <c r="G7026" s="81" t="s">
        <v>45</v>
      </c>
      <c r="H7026" s="81" t="s">
        <v>1173</v>
      </c>
      <c r="I7026" s="81" t="s">
        <v>224</v>
      </c>
      <c r="J7026" s="81" t="s">
        <v>6632</v>
      </c>
    </row>
    <row r="7027">
      <c r="A7027" s="83" t="s">
        <v>6627</v>
      </c>
      <c r="B7027" s="83" t="s">
        <v>6628</v>
      </c>
      <c r="C7027" s="81" t="s">
        <v>4082</v>
      </c>
      <c r="D7027" s="83" t="s">
        <v>4393</v>
      </c>
      <c r="E7027" s="81" t="s">
        <v>1690</v>
      </c>
      <c r="F7027" s="81">
        <v>335.0</v>
      </c>
      <c r="G7027" s="81" t="s">
        <v>41</v>
      </c>
      <c r="H7027" s="81" t="s">
        <v>1694</v>
      </c>
      <c r="I7027" s="81" t="s">
        <v>224</v>
      </c>
      <c r="J7027" s="81" t="s">
        <v>6352</v>
      </c>
    </row>
    <row r="7028">
      <c r="A7028" s="83" t="s">
        <v>6627</v>
      </c>
      <c r="B7028" s="83" t="s">
        <v>6628</v>
      </c>
      <c r="C7028" s="81" t="s">
        <v>6333</v>
      </c>
      <c r="D7028" s="83" t="s">
        <v>4394</v>
      </c>
      <c r="E7028" s="81" t="s">
        <v>1698</v>
      </c>
      <c r="F7028" s="81">
        <v>336.0</v>
      </c>
      <c r="G7028" s="81" t="s">
        <v>45</v>
      </c>
      <c r="H7028" s="81" t="s">
        <v>1173</v>
      </c>
      <c r="I7028" s="81" t="s">
        <v>224</v>
      </c>
      <c r="J7028" s="81" t="s">
        <v>6632</v>
      </c>
    </row>
    <row r="7029">
      <c r="A7029" s="83" t="s">
        <v>6627</v>
      </c>
      <c r="B7029" s="83" t="s">
        <v>6628</v>
      </c>
      <c r="C7029" s="81" t="s">
        <v>4082</v>
      </c>
      <c r="D7029" s="83" t="s">
        <v>4406</v>
      </c>
      <c r="E7029" s="81" t="s">
        <v>1760</v>
      </c>
      <c r="F7029" s="81">
        <v>350.0</v>
      </c>
      <c r="G7029" s="81" t="s">
        <v>41</v>
      </c>
      <c r="H7029" s="81" t="s">
        <v>1761</v>
      </c>
      <c r="I7029" s="81" t="s">
        <v>224</v>
      </c>
      <c r="J7029" s="81" t="s">
        <v>6353</v>
      </c>
    </row>
    <row r="7030">
      <c r="A7030" s="83" t="s">
        <v>6627</v>
      </c>
      <c r="B7030" s="83" t="s">
        <v>6628</v>
      </c>
      <c r="C7030" s="81" t="s">
        <v>4621</v>
      </c>
      <c r="D7030" s="83" t="s">
        <v>4417</v>
      </c>
      <c r="E7030" s="81" t="s">
        <v>1825</v>
      </c>
      <c r="F7030" s="81">
        <v>363.0</v>
      </c>
      <c r="G7030" s="81" t="s">
        <v>45</v>
      </c>
      <c r="H7030" s="81" t="s">
        <v>6604</v>
      </c>
      <c r="I7030" s="81" t="s">
        <v>1840</v>
      </c>
      <c r="J7030" s="81" t="s">
        <v>224</v>
      </c>
    </row>
    <row r="7031">
      <c r="A7031" s="83" t="s">
        <v>6627</v>
      </c>
      <c r="B7031" s="83" t="s">
        <v>6628</v>
      </c>
      <c r="C7031" s="81" t="s">
        <v>4621</v>
      </c>
      <c r="D7031" s="83" t="s">
        <v>4417</v>
      </c>
      <c r="E7031" s="81" t="s">
        <v>1825</v>
      </c>
      <c r="F7031" s="81">
        <v>363.0</v>
      </c>
      <c r="G7031" s="81" t="s">
        <v>46</v>
      </c>
      <c r="H7031" s="81" t="s">
        <v>6605</v>
      </c>
      <c r="I7031" s="81" t="s">
        <v>1841</v>
      </c>
      <c r="J7031" s="81" t="s">
        <v>224</v>
      </c>
    </row>
    <row r="7032">
      <c r="A7032" s="83" t="s">
        <v>6627</v>
      </c>
      <c r="B7032" s="83" t="s">
        <v>6628</v>
      </c>
      <c r="C7032" s="81" t="s">
        <v>4621</v>
      </c>
      <c r="D7032" s="83" t="s">
        <v>4417</v>
      </c>
      <c r="E7032" s="81" t="s">
        <v>1842</v>
      </c>
      <c r="F7032" s="81">
        <v>364.0</v>
      </c>
      <c r="G7032" s="81" t="s">
        <v>45</v>
      </c>
      <c r="H7032" s="81" t="s">
        <v>6604</v>
      </c>
      <c r="I7032" s="81" t="s">
        <v>1840</v>
      </c>
      <c r="J7032" s="81" t="s">
        <v>224</v>
      </c>
    </row>
    <row r="7033">
      <c r="A7033" s="83" t="s">
        <v>6627</v>
      </c>
      <c r="B7033" s="83" t="s">
        <v>6628</v>
      </c>
      <c r="C7033" s="81" t="s">
        <v>4621</v>
      </c>
      <c r="D7033" s="83" t="s">
        <v>4417</v>
      </c>
      <c r="E7033" s="81" t="s">
        <v>1842</v>
      </c>
      <c r="F7033" s="81">
        <v>364.0</v>
      </c>
      <c r="G7033" s="81" t="s">
        <v>46</v>
      </c>
      <c r="H7033" s="81" t="s">
        <v>6605</v>
      </c>
      <c r="I7033" s="81" t="s">
        <v>1841</v>
      </c>
      <c r="J7033" s="81" t="s">
        <v>224</v>
      </c>
    </row>
    <row r="7034">
      <c r="A7034" s="83" t="s">
        <v>6627</v>
      </c>
      <c r="B7034" s="83" t="s">
        <v>6628</v>
      </c>
      <c r="C7034" s="81" t="s">
        <v>4621</v>
      </c>
      <c r="D7034" s="83" t="s">
        <v>4419</v>
      </c>
      <c r="E7034" s="81" t="s">
        <v>1843</v>
      </c>
      <c r="F7034" s="81">
        <v>365.0</v>
      </c>
      <c r="G7034" s="81" t="s">
        <v>45</v>
      </c>
      <c r="H7034" s="81" t="s">
        <v>6604</v>
      </c>
      <c r="I7034" s="81" t="s">
        <v>1840</v>
      </c>
      <c r="J7034" s="81" t="s">
        <v>224</v>
      </c>
    </row>
    <row r="7035">
      <c r="A7035" s="83" t="s">
        <v>6627</v>
      </c>
      <c r="B7035" s="83" t="s">
        <v>6628</v>
      </c>
      <c r="C7035" s="81" t="s">
        <v>4621</v>
      </c>
      <c r="D7035" s="83" t="s">
        <v>4419</v>
      </c>
      <c r="E7035" s="81" t="s">
        <v>1843</v>
      </c>
      <c r="F7035" s="81">
        <v>365.0</v>
      </c>
      <c r="G7035" s="81" t="s">
        <v>46</v>
      </c>
      <c r="H7035" s="81" t="s">
        <v>6605</v>
      </c>
      <c r="I7035" s="81" t="s">
        <v>1841</v>
      </c>
      <c r="J7035" s="81" t="s">
        <v>224</v>
      </c>
    </row>
    <row r="7036">
      <c r="A7036" s="83" t="s">
        <v>6627</v>
      </c>
      <c r="B7036" s="83" t="s">
        <v>6628</v>
      </c>
      <c r="C7036" s="81" t="s">
        <v>4621</v>
      </c>
      <c r="D7036" s="83" t="s">
        <v>4420</v>
      </c>
      <c r="E7036" s="81" t="s">
        <v>1844</v>
      </c>
      <c r="F7036" s="81">
        <v>366.0</v>
      </c>
      <c r="G7036" s="81" t="s">
        <v>45</v>
      </c>
      <c r="H7036" s="81" t="s">
        <v>6604</v>
      </c>
      <c r="I7036" s="81" t="s">
        <v>1840</v>
      </c>
      <c r="J7036" s="81" t="s">
        <v>224</v>
      </c>
    </row>
    <row r="7037">
      <c r="A7037" s="83" t="s">
        <v>6627</v>
      </c>
      <c r="B7037" s="83" t="s">
        <v>6628</v>
      </c>
      <c r="C7037" s="81" t="s">
        <v>4621</v>
      </c>
      <c r="D7037" s="83" t="s">
        <v>4420</v>
      </c>
      <c r="E7037" s="81" t="s">
        <v>1844</v>
      </c>
      <c r="F7037" s="81">
        <v>366.0</v>
      </c>
      <c r="G7037" s="81" t="s">
        <v>46</v>
      </c>
      <c r="H7037" s="81" t="s">
        <v>6605</v>
      </c>
      <c r="I7037" s="81" t="s">
        <v>1841</v>
      </c>
      <c r="J7037" s="81" t="s">
        <v>224</v>
      </c>
    </row>
    <row r="7038">
      <c r="A7038" s="83" t="s">
        <v>6627</v>
      </c>
      <c r="B7038" s="83" t="s">
        <v>6628</v>
      </c>
      <c r="C7038" s="81" t="s">
        <v>4621</v>
      </c>
      <c r="D7038" s="83" t="s">
        <v>4421</v>
      </c>
      <c r="E7038" s="81" t="s">
        <v>1848</v>
      </c>
      <c r="F7038" s="81">
        <v>367.0</v>
      </c>
      <c r="G7038" s="81" t="s">
        <v>45</v>
      </c>
      <c r="H7038" s="81" t="s">
        <v>6604</v>
      </c>
      <c r="I7038" s="81" t="s">
        <v>1840</v>
      </c>
      <c r="J7038" s="81" t="s">
        <v>224</v>
      </c>
    </row>
    <row r="7039">
      <c r="A7039" s="83" t="s">
        <v>6627</v>
      </c>
      <c r="B7039" s="83" t="s">
        <v>6628</v>
      </c>
      <c r="C7039" s="81" t="s">
        <v>4621</v>
      </c>
      <c r="D7039" s="83" t="s">
        <v>4421</v>
      </c>
      <c r="E7039" s="81" t="s">
        <v>1848</v>
      </c>
      <c r="F7039" s="81">
        <v>367.0</v>
      </c>
      <c r="G7039" s="81" t="s">
        <v>46</v>
      </c>
      <c r="H7039" s="81" t="s">
        <v>6605</v>
      </c>
      <c r="I7039" s="81" t="s">
        <v>1841</v>
      </c>
      <c r="J7039" s="81" t="s">
        <v>224</v>
      </c>
    </row>
    <row r="7040">
      <c r="A7040" s="83" t="s">
        <v>6627</v>
      </c>
      <c r="B7040" s="83" t="s">
        <v>6628</v>
      </c>
      <c r="C7040" s="81" t="s">
        <v>4621</v>
      </c>
      <c r="D7040" s="83" t="s">
        <v>4422</v>
      </c>
      <c r="E7040" s="81" t="s">
        <v>1849</v>
      </c>
      <c r="F7040" s="81">
        <v>368.0</v>
      </c>
      <c r="G7040" s="81" t="s">
        <v>45</v>
      </c>
      <c r="H7040" s="81" t="s">
        <v>6606</v>
      </c>
      <c r="I7040" s="81" t="s">
        <v>1858</v>
      </c>
      <c r="J7040" s="81" t="s">
        <v>224</v>
      </c>
    </row>
    <row r="7041">
      <c r="A7041" s="83" t="s">
        <v>6627</v>
      </c>
      <c r="B7041" s="83" t="s">
        <v>6628</v>
      </c>
      <c r="C7041" s="81" t="s">
        <v>4621</v>
      </c>
      <c r="D7041" s="83" t="s">
        <v>4422</v>
      </c>
      <c r="E7041" s="81" t="s">
        <v>1849</v>
      </c>
      <c r="F7041" s="81">
        <v>368.0</v>
      </c>
      <c r="G7041" s="81" t="s">
        <v>46</v>
      </c>
      <c r="H7041" s="81" t="s">
        <v>6607</v>
      </c>
      <c r="I7041" s="81" t="s">
        <v>1859</v>
      </c>
      <c r="J7041" s="81" t="s">
        <v>224</v>
      </c>
    </row>
    <row r="7042">
      <c r="A7042" s="83" t="s">
        <v>6627</v>
      </c>
      <c r="B7042" s="83" t="s">
        <v>6628</v>
      </c>
      <c r="C7042" s="81" t="s">
        <v>4621</v>
      </c>
      <c r="D7042" s="83" t="s">
        <v>4423</v>
      </c>
      <c r="E7042" s="81" t="s">
        <v>1860</v>
      </c>
      <c r="F7042" s="81">
        <v>369.0</v>
      </c>
      <c r="G7042" s="81" t="s">
        <v>45</v>
      </c>
      <c r="H7042" s="81" t="s">
        <v>6606</v>
      </c>
      <c r="I7042" s="81" t="s">
        <v>1858</v>
      </c>
      <c r="J7042" s="81" t="s">
        <v>224</v>
      </c>
    </row>
    <row r="7043">
      <c r="A7043" s="83" t="s">
        <v>6627</v>
      </c>
      <c r="B7043" s="83" t="s">
        <v>6628</v>
      </c>
      <c r="C7043" s="81" t="s">
        <v>4621</v>
      </c>
      <c r="D7043" s="83" t="s">
        <v>4423</v>
      </c>
      <c r="E7043" s="81" t="s">
        <v>1860</v>
      </c>
      <c r="F7043" s="81">
        <v>369.0</v>
      </c>
      <c r="G7043" s="81" t="s">
        <v>46</v>
      </c>
      <c r="H7043" s="81" t="s">
        <v>6607</v>
      </c>
      <c r="I7043" s="81" t="s">
        <v>1859</v>
      </c>
      <c r="J7043" s="81" t="s">
        <v>224</v>
      </c>
    </row>
    <row r="7044">
      <c r="A7044" s="83" t="s">
        <v>6627</v>
      </c>
      <c r="B7044" s="83" t="s">
        <v>6628</v>
      </c>
      <c r="C7044" s="81" t="s">
        <v>4621</v>
      </c>
      <c r="D7044" s="83" t="s">
        <v>4424</v>
      </c>
      <c r="E7044" s="81" t="s">
        <v>1861</v>
      </c>
      <c r="F7044" s="81">
        <v>370.0</v>
      </c>
      <c r="G7044" s="81" t="s">
        <v>45</v>
      </c>
      <c r="H7044" s="81" t="s">
        <v>6606</v>
      </c>
      <c r="I7044" s="81" t="s">
        <v>1858</v>
      </c>
      <c r="J7044" s="81" t="s">
        <v>224</v>
      </c>
    </row>
    <row r="7045">
      <c r="A7045" s="83" t="s">
        <v>6627</v>
      </c>
      <c r="B7045" s="83" t="s">
        <v>6628</v>
      </c>
      <c r="C7045" s="81" t="s">
        <v>4621</v>
      </c>
      <c r="D7045" s="83" t="s">
        <v>4424</v>
      </c>
      <c r="E7045" s="81" t="s">
        <v>1861</v>
      </c>
      <c r="F7045" s="81">
        <v>370.0</v>
      </c>
      <c r="G7045" s="81" t="s">
        <v>46</v>
      </c>
      <c r="H7045" s="81" t="s">
        <v>6607</v>
      </c>
      <c r="I7045" s="81" t="s">
        <v>1859</v>
      </c>
      <c r="J7045" s="81" t="s">
        <v>224</v>
      </c>
    </row>
    <row r="7046">
      <c r="A7046" s="83" t="s">
        <v>6627</v>
      </c>
      <c r="B7046" s="83" t="s">
        <v>6628</v>
      </c>
      <c r="C7046" s="81" t="s">
        <v>4621</v>
      </c>
      <c r="D7046" s="83" t="s">
        <v>4425</v>
      </c>
      <c r="E7046" s="81" t="s">
        <v>1863</v>
      </c>
      <c r="F7046" s="81">
        <v>371.0</v>
      </c>
      <c r="G7046" s="81" t="s">
        <v>45</v>
      </c>
      <c r="H7046" s="81" t="s">
        <v>6606</v>
      </c>
      <c r="I7046" s="81" t="s">
        <v>1858</v>
      </c>
      <c r="J7046" s="81" t="s">
        <v>224</v>
      </c>
    </row>
    <row r="7047">
      <c r="A7047" s="83" t="s">
        <v>6627</v>
      </c>
      <c r="B7047" s="83" t="s">
        <v>6628</v>
      </c>
      <c r="C7047" s="81" t="s">
        <v>4621</v>
      </c>
      <c r="D7047" s="83" t="s">
        <v>4425</v>
      </c>
      <c r="E7047" s="81" t="s">
        <v>1863</v>
      </c>
      <c r="F7047" s="81">
        <v>371.0</v>
      </c>
      <c r="G7047" s="81" t="s">
        <v>46</v>
      </c>
      <c r="H7047" s="81" t="s">
        <v>6607</v>
      </c>
      <c r="I7047" s="81" t="s">
        <v>1859</v>
      </c>
      <c r="J7047" s="81" t="s">
        <v>224</v>
      </c>
    </row>
    <row r="7048">
      <c r="A7048" s="83" t="s">
        <v>6627</v>
      </c>
      <c r="B7048" s="83" t="s">
        <v>6628</v>
      </c>
      <c r="C7048" s="81" t="s">
        <v>4621</v>
      </c>
      <c r="D7048" s="83" t="s">
        <v>4426</v>
      </c>
      <c r="E7048" s="81" t="s">
        <v>1864</v>
      </c>
      <c r="F7048" s="81">
        <v>372.0</v>
      </c>
      <c r="G7048" s="81" t="s">
        <v>45</v>
      </c>
      <c r="H7048" s="81" t="s">
        <v>6608</v>
      </c>
      <c r="I7048" s="81" t="s">
        <v>1872</v>
      </c>
      <c r="J7048" s="81" t="s">
        <v>224</v>
      </c>
    </row>
    <row r="7049">
      <c r="A7049" s="83" t="s">
        <v>6627</v>
      </c>
      <c r="B7049" s="83" t="s">
        <v>6628</v>
      </c>
      <c r="C7049" s="81" t="s">
        <v>4621</v>
      </c>
      <c r="D7049" s="83" t="s">
        <v>4426</v>
      </c>
      <c r="E7049" s="81" t="s">
        <v>1864</v>
      </c>
      <c r="F7049" s="81">
        <v>372.0</v>
      </c>
      <c r="G7049" s="81" t="s">
        <v>46</v>
      </c>
      <c r="H7049" s="81" t="s">
        <v>6609</v>
      </c>
      <c r="I7049" s="81" t="s">
        <v>1873</v>
      </c>
      <c r="J7049" s="81" t="s">
        <v>224</v>
      </c>
    </row>
    <row r="7050">
      <c r="A7050" s="83" t="s">
        <v>6627</v>
      </c>
      <c r="B7050" s="83" t="s">
        <v>6628</v>
      </c>
      <c r="C7050" s="81" t="s">
        <v>4082</v>
      </c>
      <c r="D7050" s="83" t="s">
        <v>4429</v>
      </c>
      <c r="E7050" s="81" t="s">
        <v>1900</v>
      </c>
      <c r="F7050" s="81">
        <v>375.0</v>
      </c>
      <c r="G7050" s="81" t="s">
        <v>39</v>
      </c>
      <c r="H7050" s="81" t="s">
        <v>224</v>
      </c>
      <c r="I7050" s="81" t="s">
        <v>224</v>
      </c>
      <c r="J7050" s="81" t="s">
        <v>5711</v>
      </c>
    </row>
    <row r="7051">
      <c r="A7051" s="83" t="s">
        <v>6627</v>
      </c>
      <c r="B7051" s="83" t="s">
        <v>6628</v>
      </c>
      <c r="C7051" s="81" t="s">
        <v>4621</v>
      </c>
      <c r="D7051" s="83" t="s">
        <v>4432</v>
      </c>
      <c r="E7051" s="81" t="s">
        <v>1935</v>
      </c>
      <c r="F7051" s="81">
        <v>379.0</v>
      </c>
      <c r="G7051" s="81" t="s">
        <v>45</v>
      </c>
      <c r="H7051" s="81" t="s">
        <v>6610</v>
      </c>
      <c r="I7051" s="81" t="s">
        <v>1947</v>
      </c>
      <c r="J7051" s="81" t="s">
        <v>224</v>
      </c>
    </row>
    <row r="7052">
      <c r="A7052" s="83" t="s">
        <v>6627</v>
      </c>
      <c r="B7052" s="83" t="s">
        <v>6628</v>
      </c>
      <c r="C7052" s="81" t="s">
        <v>4621</v>
      </c>
      <c r="D7052" s="83" t="s">
        <v>4433</v>
      </c>
      <c r="E7052" s="81" t="s">
        <v>1950</v>
      </c>
      <c r="F7052" s="81">
        <v>381.0</v>
      </c>
      <c r="G7052" s="81" t="s">
        <v>45</v>
      </c>
      <c r="H7052" s="81" t="s">
        <v>6611</v>
      </c>
      <c r="I7052" s="81" t="s">
        <v>1961</v>
      </c>
      <c r="J7052" s="81" t="s">
        <v>224</v>
      </c>
    </row>
    <row r="7053">
      <c r="A7053" s="83" t="s">
        <v>6627</v>
      </c>
      <c r="B7053" s="83" t="s">
        <v>6628</v>
      </c>
      <c r="C7053" s="81" t="s">
        <v>4082</v>
      </c>
      <c r="D7053" s="83" t="s">
        <v>4475</v>
      </c>
      <c r="E7053" s="81" t="s">
        <v>2225</v>
      </c>
      <c r="F7053" s="81">
        <v>426.0</v>
      </c>
      <c r="G7053" s="81" t="s">
        <v>41</v>
      </c>
      <c r="H7053" s="81" t="s">
        <v>2226</v>
      </c>
      <c r="I7053" s="81" t="s">
        <v>224</v>
      </c>
      <c r="J7053" s="81" t="s">
        <v>6354</v>
      </c>
    </row>
    <row r="7054">
      <c r="A7054" s="83" t="s">
        <v>6627</v>
      </c>
      <c r="B7054" s="83" t="s">
        <v>6628</v>
      </c>
      <c r="C7054" s="81" t="s">
        <v>4082</v>
      </c>
      <c r="D7054" s="83" t="s">
        <v>4490</v>
      </c>
      <c r="E7054" s="81" t="s">
        <v>2295</v>
      </c>
      <c r="F7054" s="81">
        <v>440.0</v>
      </c>
      <c r="G7054" s="81" t="s">
        <v>41</v>
      </c>
      <c r="H7054" s="81" t="s">
        <v>2296</v>
      </c>
      <c r="I7054" s="81" t="s">
        <v>224</v>
      </c>
      <c r="J7054" s="81" t="s">
        <v>6355</v>
      </c>
    </row>
    <row r="7055">
      <c r="A7055" s="83" t="s">
        <v>6627</v>
      </c>
      <c r="B7055" s="83" t="s">
        <v>6628</v>
      </c>
      <c r="C7055" s="81" t="s">
        <v>4621</v>
      </c>
      <c r="D7055" s="83" t="s">
        <v>4503</v>
      </c>
      <c r="E7055" s="81" t="s">
        <v>2334</v>
      </c>
      <c r="F7055" s="81">
        <v>452.0</v>
      </c>
      <c r="G7055" s="81" t="s">
        <v>45</v>
      </c>
      <c r="H7055" s="81" t="s">
        <v>6608</v>
      </c>
      <c r="I7055" s="81" t="s">
        <v>1872</v>
      </c>
      <c r="J7055" s="81" t="s">
        <v>224</v>
      </c>
    </row>
    <row r="7056">
      <c r="A7056" s="83" t="s">
        <v>6627</v>
      </c>
      <c r="B7056" s="83" t="s">
        <v>6628</v>
      </c>
      <c r="C7056" s="81" t="s">
        <v>4621</v>
      </c>
      <c r="D7056" s="83" t="s">
        <v>4503</v>
      </c>
      <c r="E7056" s="81" t="s">
        <v>2334</v>
      </c>
      <c r="F7056" s="81">
        <v>452.0</v>
      </c>
      <c r="G7056" s="81" t="s">
        <v>46</v>
      </c>
      <c r="H7056" s="81" t="s">
        <v>6609</v>
      </c>
      <c r="I7056" s="81" t="s">
        <v>1873</v>
      </c>
      <c r="J7056" s="81" t="s">
        <v>224</v>
      </c>
    </row>
    <row r="7057">
      <c r="A7057" s="83" t="s">
        <v>6627</v>
      </c>
      <c r="B7057" s="83" t="s">
        <v>6628</v>
      </c>
      <c r="C7057" s="81" t="s">
        <v>4621</v>
      </c>
      <c r="D7057" s="83" t="s">
        <v>4504</v>
      </c>
      <c r="E7057" s="81" t="s">
        <v>2335</v>
      </c>
      <c r="F7057" s="81">
        <v>453.0</v>
      </c>
      <c r="G7057" s="81" t="s">
        <v>45</v>
      </c>
      <c r="H7057" s="81" t="s">
        <v>6608</v>
      </c>
      <c r="I7057" s="81" t="s">
        <v>1872</v>
      </c>
      <c r="J7057" s="81" t="s">
        <v>224</v>
      </c>
    </row>
    <row r="7058">
      <c r="A7058" s="83" t="s">
        <v>6627</v>
      </c>
      <c r="B7058" s="83" t="s">
        <v>6628</v>
      </c>
      <c r="C7058" s="81" t="s">
        <v>4621</v>
      </c>
      <c r="D7058" s="83" t="s">
        <v>4504</v>
      </c>
      <c r="E7058" s="81" t="s">
        <v>2335</v>
      </c>
      <c r="F7058" s="81">
        <v>453.0</v>
      </c>
      <c r="G7058" s="81" t="s">
        <v>46</v>
      </c>
      <c r="H7058" s="81" t="s">
        <v>6609</v>
      </c>
      <c r="I7058" s="81" t="s">
        <v>1873</v>
      </c>
      <c r="J7058" s="81" t="s">
        <v>224</v>
      </c>
    </row>
    <row r="7059">
      <c r="A7059" s="83" t="s">
        <v>6627</v>
      </c>
      <c r="B7059" s="83" t="s">
        <v>6628</v>
      </c>
      <c r="C7059" s="81" t="s">
        <v>4621</v>
      </c>
      <c r="D7059" s="83" t="s">
        <v>4505</v>
      </c>
      <c r="E7059" s="81" t="s">
        <v>2337</v>
      </c>
      <c r="F7059" s="81">
        <v>454.0</v>
      </c>
      <c r="G7059" s="81" t="s">
        <v>45</v>
      </c>
      <c r="H7059" s="81" t="s">
        <v>6608</v>
      </c>
      <c r="I7059" s="81" t="s">
        <v>1872</v>
      </c>
      <c r="J7059" s="81" t="s">
        <v>224</v>
      </c>
    </row>
    <row r="7060">
      <c r="A7060" s="83" t="s">
        <v>6627</v>
      </c>
      <c r="B7060" s="83" t="s">
        <v>6628</v>
      </c>
      <c r="C7060" s="81" t="s">
        <v>4621</v>
      </c>
      <c r="D7060" s="83" t="s">
        <v>4505</v>
      </c>
      <c r="E7060" s="81" t="s">
        <v>2337</v>
      </c>
      <c r="F7060" s="81">
        <v>454.0</v>
      </c>
      <c r="G7060" s="81" t="s">
        <v>46</v>
      </c>
      <c r="H7060" s="81" t="s">
        <v>6609</v>
      </c>
      <c r="I7060" s="81" t="s">
        <v>1873</v>
      </c>
      <c r="J7060" s="81" t="s">
        <v>224</v>
      </c>
    </row>
    <row r="7061">
      <c r="A7061" s="83" t="s">
        <v>6627</v>
      </c>
      <c r="B7061" s="83" t="s">
        <v>6628</v>
      </c>
      <c r="C7061" s="81" t="s">
        <v>4621</v>
      </c>
      <c r="D7061" s="83" t="s">
        <v>4538</v>
      </c>
      <c r="E7061" s="81" t="s">
        <v>2533</v>
      </c>
      <c r="F7061" s="81">
        <v>485.0</v>
      </c>
      <c r="G7061" s="81" t="s">
        <v>46</v>
      </c>
      <c r="H7061" s="81" t="s">
        <v>6612</v>
      </c>
      <c r="I7061" s="81" t="s">
        <v>2547</v>
      </c>
      <c r="J7061" s="81" t="s">
        <v>224</v>
      </c>
    </row>
    <row r="7062">
      <c r="A7062" s="83" t="s">
        <v>6627</v>
      </c>
      <c r="B7062" s="83" t="s">
        <v>6628</v>
      </c>
      <c r="C7062" s="81" t="s">
        <v>4621</v>
      </c>
      <c r="D7062" s="83" t="s">
        <v>4538</v>
      </c>
      <c r="E7062" s="81" t="s">
        <v>2548</v>
      </c>
      <c r="F7062" s="81">
        <v>486.0</v>
      </c>
      <c r="G7062" s="81" t="s">
        <v>46</v>
      </c>
      <c r="H7062" s="81" t="s">
        <v>6612</v>
      </c>
      <c r="I7062" s="81" t="s">
        <v>2547</v>
      </c>
      <c r="J7062" s="81" t="s">
        <v>224</v>
      </c>
    </row>
    <row r="7063">
      <c r="A7063" s="83" t="s">
        <v>6627</v>
      </c>
      <c r="B7063" s="83" t="s">
        <v>6628</v>
      </c>
      <c r="C7063" s="81" t="s">
        <v>4621</v>
      </c>
      <c r="D7063" s="83" t="s">
        <v>4540</v>
      </c>
      <c r="E7063" s="81" t="s">
        <v>2549</v>
      </c>
      <c r="F7063" s="81">
        <v>487.0</v>
      </c>
      <c r="G7063" s="81" t="s">
        <v>46</v>
      </c>
      <c r="H7063" s="81" t="s">
        <v>6613</v>
      </c>
      <c r="I7063" s="81" t="s">
        <v>2561</v>
      </c>
      <c r="J7063" s="81" t="s">
        <v>224</v>
      </c>
    </row>
    <row r="7064">
      <c r="A7064" s="83" t="s">
        <v>6627</v>
      </c>
      <c r="B7064" s="83" t="s">
        <v>6628</v>
      </c>
      <c r="C7064" s="81" t="s">
        <v>4621</v>
      </c>
      <c r="D7064" s="83" t="s">
        <v>4540</v>
      </c>
      <c r="E7064" s="81" t="s">
        <v>2562</v>
      </c>
      <c r="F7064" s="81">
        <v>488.0</v>
      </c>
      <c r="G7064" s="81" t="s">
        <v>46</v>
      </c>
      <c r="H7064" s="81" t="s">
        <v>6613</v>
      </c>
      <c r="I7064" s="81" t="s">
        <v>2561</v>
      </c>
      <c r="J7064" s="81" t="s">
        <v>224</v>
      </c>
    </row>
    <row r="7065">
      <c r="A7065" s="83" t="s">
        <v>6627</v>
      </c>
      <c r="B7065" s="83" t="s">
        <v>6628</v>
      </c>
      <c r="C7065" s="81" t="s">
        <v>4621</v>
      </c>
      <c r="D7065" s="83" t="s">
        <v>4543</v>
      </c>
      <c r="E7065" s="81" t="s">
        <v>2563</v>
      </c>
      <c r="F7065" s="81">
        <v>489.0</v>
      </c>
      <c r="G7065" s="81" t="s">
        <v>46</v>
      </c>
      <c r="H7065" s="81" t="s">
        <v>6613</v>
      </c>
      <c r="I7065" s="81" t="s">
        <v>2561</v>
      </c>
      <c r="J7065" s="81" t="s">
        <v>224</v>
      </c>
    </row>
    <row r="7066">
      <c r="A7066" s="83" t="s">
        <v>6627</v>
      </c>
      <c r="B7066" s="83" t="s">
        <v>6628</v>
      </c>
      <c r="C7066" s="81" t="s">
        <v>4621</v>
      </c>
      <c r="D7066" s="83" t="s">
        <v>4544</v>
      </c>
      <c r="E7066" s="81" t="s">
        <v>2566</v>
      </c>
      <c r="F7066" s="81">
        <v>490.0</v>
      </c>
      <c r="G7066" s="81" t="s">
        <v>46</v>
      </c>
      <c r="H7066" s="81" t="s">
        <v>6614</v>
      </c>
      <c r="I7066" s="81" t="s">
        <v>2572</v>
      </c>
      <c r="J7066" s="81" t="s">
        <v>224</v>
      </c>
    </row>
    <row r="7067">
      <c r="A7067" s="83" t="s">
        <v>6627</v>
      </c>
      <c r="B7067" s="83" t="s">
        <v>6628</v>
      </c>
      <c r="C7067" s="81" t="s">
        <v>4621</v>
      </c>
      <c r="D7067" s="83" t="s">
        <v>4544</v>
      </c>
      <c r="E7067" s="81" t="s">
        <v>2573</v>
      </c>
      <c r="F7067" s="81">
        <v>491.0</v>
      </c>
      <c r="G7067" s="81" t="s">
        <v>46</v>
      </c>
      <c r="H7067" s="81" t="s">
        <v>6614</v>
      </c>
      <c r="I7067" s="81" t="s">
        <v>2572</v>
      </c>
      <c r="J7067" s="81" t="s">
        <v>224</v>
      </c>
    </row>
    <row r="7068">
      <c r="A7068" s="83" t="s">
        <v>6627</v>
      </c>
      <c r="B7068" s="83" t="s">
        <v>6628</v>
      </c>
      <c r="C7068" s="81" t="s">
        <v>4621</v>
      </c>
      <c r="D7068" s="83" t="s">
        <v>4546</v>
      </c>
      <c r="E7068" s="81" t="s">
        <v>2574</v>
      </c>
      <c r="F7068" s="81">
        <v>492.0</v>
      </c>
      <c r="G7068" s="81" t="s">
        <v>46</v>
      </c>
      <c r="H7068" s="81" t="s">
        <v>6614</v>
      </c>
      <c r="I7068" s="81" t="s">
        <v>2572</v>
      </c>
      <c r="J7068" s="81" t="s">
        <v>224</v>
      </c>
    </row>
    <row r="7069">
      <c r="A7069" s="83" t="s">
        <v>6627</v>
      </c>
      <c r="B7069" s="83" t="s">
        <v>6628</v>
      </c>
      <c r="C7069" s="81" t="s">
        <v>4621</v>
      </c>
      <c r="D7069" s="83" t="s">
        <v>4556</v>
      </c>
      <c r="E7069" s="81" t="s">
        <v>2613</v>
      </c>
      <c r="F7069" s="81">
        <v>502.0</v>
      </c>
      <c r="G7069" s="81" t="s">
        <v>46</v>
      </c>
      <c r="H7069" s="81" t="s">
        <v>6612</v>
      </c>
      <c r="I7069" s="81" t="s">
        <v>2547</v>
      </c>
      <c r="J7069" s="81" t="s">
        <v>224</v>
      </c>
    </row>
    <row r="7070">
      <c r="A7070" s="83" t="s">
        <v>6627</v>
      </c>
      <c r="B7070" s="83" t="s">
        <v>6628</v>
      </c>
      <c r="C7070" s="81" t="s">
        <v>4621</v>
      </c>
      <c r="D7070" s="83" t="s">
        <v>4557</v>
      </c>
      <c r="E7070" s="81" t="s">
        <v>2616</v>
      </c>
      <c r="F7070" s="81">
        <v>503.0</v>
      </c>
      <c r="G7070" s="81" t="s">
        <v>46</v>
      </c>
      <c r="H7070" s="81" t="s">
        <v>6612</v>
      </c>
      <c r="I7070" s="81" t="s">
        <v>2547</v>
      </c>
      <c r="J7070" s="81" t="s">
        <v>224</v>
      </c>
    </row>
    <row r="7071">
      <c r="A7071" s="83" t="s">
        <v>6627</v>
      </c>
      <c r="B7071" s="83" t="s">
        <v>6628</v>
      </c>
      <c r="C7071" s="81" t="s">
        <v>4082</v>
      </c>
      <c r="D7071" s="83" t="s">
        <v>4558</v>
      </c>
      <c r="E7071" s="81" t="s">
        <v>2619</v>
      </c>
      <c r="F7071" s="81">
        <v>504.0</v>
      </c>
      <c r="G7071" s="81" t="s">
        <v>41</v>
      </c>
      <c r="H7071" s="81" t="s">
        <v>2629</v>
      </c>
      <c r="I7071" s="81" t="s">
        <v>224</v>
      </c>
      <c r="J7071" s="81" t="s">
        <v>6356</v>
      </c>
    </row>
    <row r="7072">
      <c r="A7072" s="83" t="s">
        <v>6627</v>
      </c>
      <c r="B7072" s="83" t="s">
        <v>6628</v>
      </c>
      <c r="C7072" s="81" t="s">
        <v>4621</v>
      </c>
      <c r="D7072" s="83" t="s">
        <v>4563</v>
      </c>
      <c r="E7072" s="81" t="s">
        <v>2651</v>
      </c>
      <c r="F7072" s="81">
        <v>509.0</v>
      </c>
      <c r="G7072" s="81" t="s">
        <v>46</v>
      </c>
      <c r="H7072" s="81" t="s">
        <v>6615</v>
      </c>
      <c r="I7072" s="81" t="s">
        <v>2658</v>
      </c>
      <c r="J7072" s="81" t="s">
        <v>224</v>
      </c>
    </row>
    <row r="7073">
      <c r="A7073" s="83" t="s">
        <v>6627</v>
      </c>
      <c r="B7073" s="83" t="s">
        <v>6628</v>
      </c>
      <c r="C7073" s="81" t="s">
        <v>4621</v>
      </c>
      <c r="D7073" s="83" t="s">
        <v>4564</v>
      </c>
      <c r="E7073" s="81" t="s">
        <v>2659</v>
      </c>
      <c r="F7073" s="81">
        <v>510.0</v>
      </c>
      <c r="G7073" s="81" t="s">
        <v>46</v>
      </c>
      <c r="H7073" s="81" t="s">
        <v>6615</v>
      </c>
      <c r="I7073" s="81" t="s">
        <v>2658</v>
      </c>
      <c r="J7073" s="81" t="s">
        <v>224</v>
      </c>
    </row>
    <row r="7074">
      <c r="A7074" s="83" t="s">
        <v>6627</v>
      </c>
      <c r="B7074" s="83" t="s">
        <v>6628</v>
      </c>
      <c r="C7074" s="81" t="s">
        <v>4621</v>
      </c>
      <c r="D7074" s="83" t="s">
        <v>4565</v>
      </c>
      <c r="E7074" s="81" t="s">
        <v>2661</v>
      </c>
      <c r="F7074" s="81">
        <v>511.0</v>
      </c>
      <c r="G7074" s="81" t="s">
        <v>46</v>
      </c>
      <c r="H7074" s="81" t="s">
        <v>6616</v>
      </c>
      <c r="I7074" s="81" t="s">
        <v>2666</v>
      </c>
      <c r="J7074" s="81" t="s">
        <v>224</v>
      </c>
    </row>
    <row r="7075">
      <c r="A7075" s="83" t="s">
        <v>6627</v>
      </c>
      <c r="B7075" s="83" t="s">
        <v>6628</v>
      </c>
      <c r="C7075" s="81" t="s">
        <v>4621</v>
      </c>
      <c r="D7075" s="83" t="s">
        <v>4566</v>
      </c>
      <c r="E7075" s="81" t="s">
        <v>2667</v>
      </c>
      <c r="F7075" s="81">
        <v>512.0</v>
      </c>
      <c r="G7075" s="81" t="s">
        <v>46</v>
      </c>
      <c r="H7075" s="81" t="s">
        <v>6616</v>
      </c>
      <c r="I7075" s="81" t="s">
        <v>2666</v>
      </c>
      <c r="J7075" s="81" t="s">
        <v>224</v>
      </c>
    </row>
    <row r="7076">
      <c r="A7076" s="83" t="s">
        <v>6627</v>
      </c>
      <c r="B7076" s="83" t="s">
        <v>6628</v>
      </c>
      <c r="C7076" s="81" t="s">
        <v>6333</v>
      </c>
      <c r="D7076" s="83" t="s">
        <v>4601</v>
      </c>
      <c r="E7076" s="81" t="s">
        <v>2874</v>
      </c>
      <c r="F7076" s="81">
        <v>553.0</v>
      </c>
      <c r="G7076" s="81" t="s">
        <v>45</v>
      </c>
      <c r="H7076" s="81" t="s">
        <v>2408</v>
      </c>
      <c r="I7076" s="81" t="s">
        <v>224</v>
      </c>
      <c r="J7076" s="81" t="s">
        <v>6632</v>
      </c>
    </row>
    <row r="7077">
      <c r="A7077" s="83" t="s">
        <v>6627</v>
      </c>
      <c r="B7077" s="83" t="s">
        <v>6628</v>
      </c>
      <c r="C7077" s="81" t="s">
        <v>6333</v>
      </c>
      <c r="D7077" s="83" t="s">
        <v>4603</v>
      </c>
      <c r="E7077" s="81" t="s">
        <v>2881</v>
      </c>
      <c r="F7077" s="81">
        <v>554.0</v>
      </c>
      <c r="G7077" s="81" t="s">
        <v>45</v>
      </c>
      <c r="H7077" s="81" t="s">
        <v>2408</v>
      </c>
      <c r="I7077" s="81" t="s">
        <v>224</v>
      </c>
      <c r="J7077" s="81" t="s">
        <v>6632</v>
      </c>
    </row>
    <row r="7078">
      <c r="A7078" s="83" t="s">
        <v>6627</v>
      </c>
      <c r="B7078" s="83" t="s">
        <v>6628</v>
      </c>
      <c r="C7078" s="81" t="s">
        <v>6333</v>
      </c>
      <c r="D7078" s="83" t="s">
        <v>4604</v>
      </c>
      <c r="E7078" s="81" t="s">
        <v>2885</v>
      </c>
      <c r="F7078" s="81">
        <v>555.0</v>
      </c>
      <c r="G7078" s="81" t="s">
        <v>45</v>
      </c>
      <c r="H7078" s="81" t="s">
        <v>2408</v>
      </c>
      <c r="I7078" s="81" t="s">
        <v>224</v>
      </c>
      <c r="J7078" s="81" t="s">
        <v>6632</v>
      </c>
    </row>
    <row r="7079">
      <c r="A7079" s="83" t="s">
        <v>6627</v>
      </c>
      <c r="B7079" s="83" t="s">
        <v>6628</v>
      </c>
      <c r="C7079" s="81" t="s">
        <v>6333</v>
      </c>
      <c r="D7079" s="83" t="s">
        <v>4605</v>
      </c>
      <c r="E7079" s="81" t="s">
        <v>2889</v>
      </c>
      <c r="F7079" s="81">
        <v>556.0</v>
      </c>
      <c r="G7079" s="81" t="s">
        <v>45</v>
      </c>
      <c r="H7079" s="81" t="s">
        <v>2408</v>
      </c>
      <c r="I7079" s="81" t="s">
        <v>224</v>
      </c>
      <c r="J7079" s="81" t="s">
        <v>6632</v>
      </c>
    </row>
    <row r="7080">
      <c r="A7080" s="83" t="s">
        <v>6627</v>
      </c>
      <c r="B7080" s="83" t="s">
        <v>6628</v>
      </c>
      <c r="C7080" s="81" t="s">
        <v>6333</v>
      </c>
      <c r="D7080" s="83" t="s">
        <v>4606</v>
      </c>
      <c r="E7080" s="81" t="s">
        <v>2891</v>
      </c>
      <c r="F7080" s="81">
        <v>557.0</v>
      </c>
      <c r="G7080" s="81" t="s">
        <v>45</v>
      </c>
      <c r="H7080" s="81" t="s">
        <v>2408</v>
      </c>
      <c r="I7080" s="81" t="s">
        <v>224</v>
      </c>
      <c r="J7080" s="81" t="s">
        <v>6632</v>
      </c>
    </row>
    <row r="7081">
      <c r="A7081" s="83" t="s">
        <v>6627</v>
      </c>
      <c r="B7081" s="83" t="s">
        <v>6628</v>
      </c>
      <c r="C7081" s="81" t="s">
        <v>6333</v>
      </c>
      <c r="D7081" s="83" t="s">
        <v>4607</v>
      </c>
      <c r="E7081" s="81" t="s">
        <v>2893</v>
      </c>
      <c r="F7081" s="81">
        <v>558.0</v>
      </c>
      <c r="G7081" s="81" t="s">
        <v>45</v>
      </c>
      <c r="H7081" s="81" t="s">
        <v>2408</v>
      </c>
      <c r="I7081" s="81" t="s">
        <v>224</v>
      </c>
      <c r="J7081" s="81" t="s">
        <v>6632</v>
      </c>
    </row>
    <row r="7082">
      <c r="A7082" s="83" t="s">
        <v>6627</v>
      </c>
      <c r="B7082" s="83" t="s">
        <v>6628</v>
      </c>
      <c r="C7082" s="81" t="s">
        <v>4082</v>
      </c>
      <c r="D7082" s="83" t="s">
        <v>4608</v>
      </c>
      <c r="E7082" s="81" t="s">
        <v>2906</v>
      </c>
      <c r="F7082" s="81">
        <v>560.0</v>
      </c>
      <c r="G7082" s="81" t="s">
        <v>41</v>
      </c>
      <c r="H7082" s="81" t="s">
        <v>2907</v>
      </c>
      <c r="I7082" s="81" t="s">
        <v>224</v>
      </c>
      <c r="J7082" s="81" t="s">
        <v>6357</v>
      </c>
    </row>
    <row r="7083">
      <c r="A7083" s="83" t="s">
        <v>6627</v>
      </c>
      <c r="B7083" s="83" t="s">
        <v>6628</v>
      </c>
      <c r="C7083" s="81" t="s">
        <v>6333</v>
      </c>
      <c r="D7083" s="83" t="s">
        <v>4648</v>
      </c>
      <c r="E7083" s="81" t="s">
        <v>3077</v>
      </c>
      <c r="F7083" s="81">
        <v>592.0</v>
      </c>
      <c r="G7083" s="81" t="s">
        <v>45</v>
      </c>
      <c r="H7083" s="81" t="s">
        <v>6617</v>
      </c>
      <c r="I7083" s="81" t="s">
        <v>224</v>
      </c>
      <c r="J7083" s="81" t="s">
        <v>6632</v>
      </c>
    </row>
    <row r="7084">
      <c r="A7084" s="83" t="s">
        <v>6627</v>
      </c>
      <c r="B7084" s="83" t="s">
        <v>6628</v>
      </c>
      <c r="C7084" s="81" t="s">
        <v>4621</v>
      </c>
      <c r="D7084" s="83" t="s">
        <v>4648</v>
      </c>
      <c r="E7084" s="81" t="s">
        <v>3077</v>
      </c>
      <c r="F7084" s="81">
        <v>592.0</v>
      </c>
      <c r="G7084" s="81" t="s">
        <v>46</v>
      </c>
      <c r="H7084" s="81" t="s">
        <v>6618</v>
      </c>
      <c r="I7084" s="81" t="s">
        <v>3089</v>
      </c>
      <c r="J7084" s="81" t="s">
        <v>224</v>
      </c>
    </row>
    <row r="7085">
      <c r="A7085" s="83" t="s">
        <v>6627</v>
      </c>
      <c r="B7085" s="83" t="s">
        <v>6628</v>
      </c>
      <c r="C7085" s="81" t="s">
        <v>6333</v>
      </c>
      <c r="D7085" s="83" t="s">
        <v>4648</v>
      </c>
      <c r="E7085" s="81" t="s">
        <v>3090</v>
      </c>
      <c r="F7085" s="81">
        <v>593.0</v>
      </c>
      <c r="G7085" s="81" t="s">
        <v>45</v>
      </c>
      <c r="H7085" s="81" t="s">
        <v>6617</v>
      </c>
      <c r="I7085" s="81" t="s">
        <v>224</v>
      </c>
      <c r="J7085" s="81" t="s">
        <v>6632</v>
      </c>
    </row>
    <row r="7086">
      <c r="A7086" s="83" t="s">
        <v>6627</v>
      </c>
      <c r="B7086" s="83" t="s">
        <v>6628</v>
      </c>
      <c r="C7086" s="81" t="s">
        <v>4621</v>
      </c>
      <c r="D7086" s="83" t="s">
        <v>4648</v>
      </c>
      <c r="E7086" s="81" t="s">
        <v>3090</v>
      </c>
      <c r="F7086" s="81">
        <v>593.0</v>
      </c>
      <c r="G7086" s="81" t="s">
        <v>46</v>
      </c>
      <c r="H7086" s="81" t="s">
        <v>6618</v>
      </c>
      <c r="I7086" s="81" t="s">
        <v>3089</v>
      </c>
      <c r="J7086" s="81" t="s">
        <v>224</v>
      </c>
    </row>
    <row r="7087">
      <c r="A7087" s="83" t="s">
        <v>6627</v>
      </c>
      <c r="B7087" s="83" t="s">
        <v>6628</v>
      </c>
      <c r="C7087" s="81" t="s">
        <v>6333</v>
      </c>
      <c r="D7087" s="83" t="s">
        <v>4650</v>
      </c>
      <c r="E7087" s="81" t="s">
        <v>3091</v>
      </c>
      <c r="F7087" s="81">
        <v>594.0</v>
      </c>
      <c r="G7087" s="81" t="s">
        <v>45</v>
      </c>
      <c r="H7087" s="81" t="s">
        <v>6617</v>
      </c>
      <c r="I7087" s="81" t="s">
        <v>224</v>
      </c>
      <c r="J7087" s="81" t="s">
        <v>6632</v>
      </c>
    </row>
    <row r="7088">
      <c r="A7088" s="83" t="s">
        <v>6627</v>
      </c>
      <c r="B7088" s="83" t="s">
        <v>6628</v>
      </c>
      <c r="C7088" s="81" t="s">
        <v>4621</v>
      </c>
      <c r="D7088" s="83" t="s">
        <v>4650</v>
      </c>
      <c r="E7088" s="81" t="s">
        <v>3091</v>
      </c>
      <c r="F7088" s="81">
        <v>594.0</v>
      </c>
      <c r="G7088" s="81" t="s">
        <v>46</v>
      </c>
      <c r="H7088" s="81" t="s">
        <v>6618</v>
      </c>
      <c r="I7088" s="81" t="s">
        <v>3089</v>
      </c>
      <c r="J7088" s="81" t="s">
        <v>224</v>
      </c>
    </row>
    <row r="7089">
      <c r="A7089" s="83" t="s">
        <v>6627</v>
      </c>
      <c r="B7089" s="83" t="s">
        <v>6628</v>
      </c>
      <c r="C7089" s="81" t="s">
        <v>4082</v>
      </c>
      <c r="D7089" s="83" t="s">
        <v>4682</v>
      </c>
      <c r="E7089" s="81" t="s">
        <v>3226</v>
      </c>
      <c r="F7089" s="81">
        <v>613.0</v>
      </c>
      <c r="G7089" s="81" t="s">
        <v>39</v>
      </c>
      <c r="H7089" s="81" t="s">
        <v>224</v>
      </c>
      <c r="I7089" s="81" t="s">
        <v>224</v>
      </c>
      <c r="J7089" s="81" t="s">
        <v>6052</v>
      </c>
    </row>
    <row r="7090">
      <c r="A7090" s="83" t="s">
        <v>6627</v>
      </c>
      <c r="B7090" s="83" t="s">
        <v>6628</v>
      </c>
      <c r="C7090" s="81" t="s">
        <v>6333</v>
      </c>
      <c r="D7090" s="83" t="s">
        <v>4699</v>
      </c>
      <c r="E7090" s="81" t="s">
        <v>3315</v>
      </c>
      <c r="F7090" s="81">
        <v>634.0</v>
      </c>
      <c r="G7090" s="81" t="s">
        <v>45</v>
      </c>
      <c r="H7090" s="81" t="s">
        <v>6619</v>
      </c>
      <c r="I7090" s="81" t="s">
        <v>224</v>
      </c>
      <c r="J7090" s="81" t="s">
        <v>6632</v>
      </c>
    </row>
    <row r="7091">
      <c r="A7091" s="83" t="s">
        <v>6627</v>
      </c>
      <c r="B7091" s="83" t="s">
        <v>6628</v>
      </c>
      <c r="C7091" s="81" t="s">
        <v>6333</v>
      </c>
      <c r="D7091" s="83" t="s">
        <v>4699</v>
      </c>
      <c r="E7091" s="81" t="s">
        <v>3328</v>
      </c>
      <c r="F7091" s="81">
        <v>635.0</v>
      </c>
      <c r="G7091" s="81" t="s">
        <v>45</v>
      </c>
      <c r="H7091" s="81" t="s">
        <v>6619</v>
      </c>
      <c r="I7091" s="81" t="s">
        <v>224</v>
      </c>
      <c r="J7091" s="81" t="s">
        <v>6632</v>
      </c>
    </row>
    <row r="7092">
      <c r="A7092" s="83" t="s">
        <v>6627</v>
      </c>
      <c r="B7092" s="83" t="s">
        <v>6628</v>
      </c>
      <c r="C7092" s="81" t="s">
        <v>4082</v>
      </c>
      <c r="D7092" s="83" t="s">
        <v>4707</v>
      </c>
      <c r="E7092" s="81" t="s">
        <v>3362</v>
      </c>
      <c r="F7092" s="81">
        <v>641.0</v>
      </c>
      <c r="G7092" s="81" t="s">
        <v>39</v>
      </c>
      <c r="H7092" s="81" t="s">
        <v>224</v>
      </c>
      <c r="I7092" s="81" t="s">
        <v>224</v>
      </c>
      <c r="J7092" s="81" t="s">
        <v>6096</v>
      </c>
    </row>
    <row r="7093">
      <c r="A7093" s="83" t="s">
        <v>6627</v>
      </c>
      <c r="B7093" s="83" t="s">
        <v>6628</v>
      </c>
      <c r="C7093" s="81" t="s">
        <v>4082</v>
      </c>
      <c r="D7093" s="83" t="s">
        <v>4709</v>
      </c>
      <c r="E7093" s="81" t="s">
        <v>3370</v>
      </c>
      <c r="F7093" s="81">
        <v>643.0</v>
      </c>
      <c r="G7093" s="81" t="s">
        <v>39</v>
      </c>
      <c r="H7093" s="81" t="s">
        <v>224</v>
      </c>
      <c r="I7093" s="81" t="s">
        <v>224</v>
      </c>
      <c r="J7093" s="81" t="s">
        <v>6101</v>
      </c>
    </row>
    <row r="7094">
      <c r="A7094" s="83" t="s">
        <v>6627</v>
      </c>
      <c r="B7094" s="83" t="s">
        <v>6628</v>
      </c>
      <c r="C7094" s="81" t="s">
        <v>6333</v>
      </c>
      <c r="D7094" s="83" t="s">
        <v>4730</v>
      </c>
      <c r="E7094" s="81" t="s">
        <v>3500</v>
      </c>
      <c r="F7094" s="81">
        <v>660.0</v>
      </c>
      <c r="G7094" s="81" t="s">
        <v>45</v>
      </c>
      <c r="H7094" s="81" t="s">
        <v>3508</v>
      </c>
      <c r="I7094" s="81" t="s">
        <v>224</v>
      </c>
      <c r="J7094" s="81" t="s">
        <v>6632</v>
      </c>
    </row>
    <row r="7095">
      <c r="A7095" s="83" t="s">
        <v>6627</v>
      </c>
      <c r="B7095" s="83" t="s">
        <v>6628</v>
      </c>
      <c r="C7095" s="81" t="s">
        <v>6333</v>
      </c>
      <c r="D7095" s="83" t="s">
        <v>4731</v>
      </c>
      <c r="E7095" s="81" t="s">
        <v>3510</v>
      </c>
      <c r="F7095" s="81">
        <v>661.0</v>
      </c>
      <c r="G7095" s="81" t="s">
        <v>45</v>
      </c>
      <c r="H7095" s="81" t="s">
        <v>3508</v>
      </c>
      <c r="I7095" s="81" t="s">
        <v>224</v>
      </c>
      <c r="J7095" s="81" t="s">
        <v>6632</v>
      </c>
    </row>
    <row r="7096">
      <c r="A7096" s="83" t="s">
        <v>6627</v>
      </c>
      <c r="B7096" s="83" t="s">
        <v>6628</v>
      </c>
      <c r="C7096" s="81" t="s">
        <v>6333</v>
      </c>
      <c r="D7096" s="83" t="s">
        <v>4754</v>
      </c>
      <c r="E7096" s="81" t="s">
        <v>3621</v>
      </c>
      <c r="F7096" s="81">
        <v>684.0</v>
      </c>
      <c r="G7096" s="81" t="s">
        <v>45</v>
      </c>
      <c r="H7096" s="81" t="s">
        <v>6620</v>
      </c>
      <c r="I7096" s="81" t="s">
        <v>224</v>
      </c>
      <c r="J7096" s="81" t="s">
        <v>6632</v>
      </c>
    </row>
    <row r="7097">
      <c r="A7097" s="83" t="s">
        <v>6627</v>
      </c>
      <c r="B7097" s="83" t="s">
        <v>6628</v>
      </c>
      <c r="C7097" s="81" t="s">
        <v>6333</v>
      </c>
      <c r="D7097" s="83" t="s">
        <v>4755</v>
      </c>
      <c r="E7097" s="81" t="s">
        <v>3633</v>
      </c>
      <c r="F7097" s="81">
        <v>685.0</v>
      </c>
      <c r="G7097" s="81" t="s">
        <v>45</v>
      </c>
      <c r="H7097" s="81" t="s">
        <v>6620</v>
      </c>
      <c r="I7097" s="81" t="s">
        <v>224</v>
      </c>
      <c r="J7097" s="81" t="s">
        <v>6632</v>
      </c>
    </row>
    <row r="7098">
      <c r="A7098" s="83" t="s">
        <v>6627</v>
      </c>
      <c r="B7098" s="83" t="s">
        <v>6628</v>
      </c>
      <c r="C7098" s="81" t="s">
        <v>6333</v>
      </c>
      <c r="D7098" s="83" t="s">
        <v>4754</v>
      </c>
      <c r="E7098" s="81" t="s">
        <v>3636</v>
      </c>
      <c r="F7098" s="81">
        <v>686.0</v>
      </c>
      <c r="G7098" s="81" t="s">
        <v>45</v>
      </c>
      <c r="H7098" s="81" t="s">
        <v>6620</v>
      </c>
      <c r="I7098" s="81" t="s">
        <v>224</v>
      </c>
      <c r="J7098" s="81" t="s">
        <v>6632</v>
      </c>
    </row>
    <row r="7099">
      <c r="A7099" s="83" t="s">
        <v>6627</v>
      </c>
      <c r="B7099" s="83" t="s">
        <v>6628</v>
      </c>
      <c r="C7099" s="81" t="s">
        <v>6333</v>
      </c>
      <c r="D7099" s="83" t="s">
        <v>4756</v>
      </c>
      <c r="E7099" s="81" t="s">
        <v>3637</v>
      </c>
      <c r="F7099" s="81">
        <v>687.0</v>
      </c>
      <c r="G7099" s="81" t="s">
        <v>45</v>
      </c>
      <c r="H7099" s="81" t="s">
        <v>6620</v>
      </c>
      <c r="I7099" s="81" t="s">
        <v>224</v>
      </c>
      <c r="J7099" s="81" t="s">
        <v>6632</v>
      </c>
    </row>
    <row r="7100">
      <c r="A7100" s="83" t="s">
        <v>6627</v>
      </c>
      <c r="B7100" s="83" t="s">
        <v>6628</v>
      </c>
      <c r="C7100" s="81" t="s">
        <v>6333</v>
      </c>
      <c r="D7100" s="83" t="s">
        <v>4757</v>
      </c>
      <c r="E7100" s="81" t="s">
        <v>3640</v>
      </c>
      <c r="F7100" s="81">
        <v>688.0</v>
      </c>
      <c r="G7100" s="81" t="s">
        <v>45</v>
      </c>
      <c r="H7100" s="81" t="s">
        <v>6620</v>
      </c>
      <c r="I7100" s="81" t="s">
        <v>224</v>
      </c>
      <c r="J7100" s="81" t="s">
        <v>6632</v>
      </c>
    </row>
    <row r="7101">
      <c r="A7101" s="83" t="s">
        <v>6627</v>
      </c>
      <c r="B7101" s="83" t="s">
        <v>6628</v>
      </c>
      <c r="C7101" s="81" t="s">
        <v>6333</v>
      </c>
      <c r="D7101" s="83" t="s">
        <v>4758</v>
      </c>
      <c r="E7101" s="81" t="s">
        <v>3643</v>
      </c>
      <c r="F7101" s="81">
        <v>689.0</v>
      </c>
      <c r="G7101" s="81" t="s">
        <v>45</v>
      </c>
      <c r="H7101" s="81" t="s">
        <v>6620</v>
      </c>
      <c r="I7101" s="81" t="s">
        <v>224</v>
      </c>
      <c r="J7101" s="81" t="s">
        <v>6632</v>
      </c>
    </row>
    <row r="7102">
      <c r="A7102" s="83" t="s">
        <v>6627</v>
      </c>
      <c r="B7102" s="83" t="s">
        <v>6628</v>
      </c>
      <c r="C7102" s="81" t="s">
        <v>6333</v>
      </c>
      <c r="D7102" s="83" t="s">
        <v>4759</v>
      </c>
      <c r="E7102" s="81" t="s">
        <v>3646</v>
      </c>
      <c r="F7102" s="81">
        <v>690.0</v>
      </c>
      <c r="G7102" s="81" t="s">
        <v>45</v>
      </c>
      <c r="H7102" s="81" t="s">
        <v>6620</v>
      </c>
      <c r="I7102" s="81" t="s">
        <v>224</v>
      </c>
      <c r="J7102" s="81" t="s">
        <v>6632</v>
      </c>
    </row>
    <row r="7103">
      <c r="A7103" s="83" t="s">
        <v>6627</v>
      </c>
      <c r="B7103" s="83" t="s">
        <v>6628</v>
      </c>
      <c r="C7103" s="81" t="s">
        <v>6333</v>
      </c>
      <c r="D7103" s="83" t="s">
        <v>4760</v>
      </c>
      <c r="E7103" s="81" t="s">
        <v>3649</v>
      </c>
      <c r="F7103" s="81">
        <v>691.0</v>
      </c>
      <c r="G7103" s="81" t="s">
        <v>45</v>
      </c>
      <c r="H7103" s="81" t="s">
        <v>6620</v>
      </c>
      <c r="I7103" s="81" t="s">
        <v>224</v>
      </c>
      <c r="J7103" s="81" t="s">
        <v>6632</v>
      </c>
    </row>
    <row r="7104">
      <c r="A7104" s="83" t="s">
        <v>6627</v>
      </c>
      <c r="B7104" s="83" t="s">
        <v>6628</v>
      </c>
      <c r="C7104" s="81" t="s">
        <v>6333</v>
      </c>
      <c r="D7104" s="83" t="s">
        <v>4760</v>
      </c>
      <c r="E7104" s="81" t="s">
        <v>3652</v>
      </c>
      <c r="F7104" s="81">
        <v>692.0</v>
      </c>
      <c r="G7104" s="81" t="s">
        <v>45</v>
      </c>
      <c r="H7104" s="81" t="s">
        <v>6620</v>
      </c>
      <c r="I7104" s="81" t="s">
        <v>224</v>
      </c>
      <c r="J7104" s="81" t="s">
        <v>6632</v>
      </c>
    </row>
    <row r="7105">
      <c r="A7105" s="83" t="s">
        <v>6627</v>
      </c>
      <c r="B7105" s="83" t="s">
        <v>6628</v>
      </c>
      <c r="C7105" s="81" t="s">
        <v>6333</v>
      </c>
      <c r="D7105" s="83" t="s">
        <v>4761</v>
      </c>
      <c r="E7105" s="81" t="s">
        <v>3653</v>
      </c>
      <c r="F7105" s="81">
        <v>693.0</v>
      </c>
      <c r="G7105" s="81" t="s">
        <v>45</v>
      </c>
      <c r="H7105" s="81" t="s">
        <v>6620</v>
      </c>
      <c r="I7105" s="81" t="s">
        <v>224</v>
      </c>
      <c r="J7105" s="81" t="s">
        <v>6632</v>
      </c>
    </row>
    <row r="7106">
      <c r="A7106" s="83" t="s">
        <v>6627</v>
      </c>
      <c r="B7106" s="83" t="s">
        <v>6628</v>
      </c>
      <c r="C7106" s="81" t="s">
        <v>6333</v>
      </c>
      <c r="D7106" s="83" t="s">
        <v>4762</v>
      </c>
      <c r="E7106" s="81" t="s">
        <v>3656</v>
      </c>
      <c r="F7106" s="81">
        <v>694.0</v>
      </c>
      <c r="G7106" s="81" t="s">
        <v>45</v>
      </c>
      <c r="H7106" s="81" t="s">
        <v>6620</v>
      </c>
      <c r="I7106" s="81" t="s">
        <v>224</v>
      </c>
      <c r="J7106" s="81" t="s">
        <v>6632</v>
      </c>
    </row>
    <row r="7107">
      <c r="A7107" s="83" t="s">
        <v>6627</v>
      </c>
      <c r="B7107" s="83" t="s">
        <v>6628</v>
      </c>
      <c r="C7107" s="81" t="s">
        <v>6333</v>
      </c>
      <c r="D7107" s="83" t="s">
        <v>4763</v>
      </c>
      <c r="E7107" s="81" t="s">
        <v>3659</v>
      </c>
      <c r="F7107" s="81">
        <v>695.0</v>
      </c>
      <c r="G7107" s="81" t="s">
        <v>45</v>
      </c>
      <c r="H7107" s="81" t="s">
        <v>6620</v>
      </c>
      <c r="I7107" s="81" t="s">
        <v>224</v>
      </c>
      <c r="J7107" s="81" t="s">
        <v>6632</v>
      </c>
    </row>
    <row r="7108">
      <c r="A7108" s="83" t="s">
        <v>6627</v>
      </c>
      <c r="B7108" s="83" t="s">
        <v>6628</v>
      </c>
      <c r="C7108" s="81" t="s">
        <v>6333</v>
      </c>
      <c r="D7108" s="83" t="s">
        <v>4764</v>
      </c>
      <c r="E7108" s="81" t="s">
        <v>3662</v>
      </c>
      <c r="F7108" s="81">
        <v>696.0</v>
      </c>
      <c r="G7108" s="81" t="s">
        <v>45</v>
      </c>
      <c r="H7108" s="81" t="s">
        <v>6621</v>
      </c>
      <c r="I7108" s="81" t="s">
        <v>224</v>
      </c>
      <c r="J7108" s="81" t="s">
        <v>6632</v>
      </c>
    </row>
    <row r="7109">
      <c r="A7109" s="83" t="s">
        <v>6627</v>
      </c>
      <c r="B7109" s="83" t="s">
        <v>6628</v>
      </c>
      <c r="C7109" s="81" t="s">
        <v>6333</v>
      </c>
      <c r="D7109" s="83" t="s">
        <v>4764</v>
      </c>
      <c r="E7109" s="81" t="s">
        <v>3672</v>
      </c>
      <c r="F7109" s="81">
        <v>697.0</v>
      </c>
      <c r="G7109" s="81" t="s">
        <v>45</v>
      </c>
      <c r="H7109" s="81" t="s">
        <v>6621</v>
      </c>
      <c r="I7109" s="81" t="s">
        <v>224</v>
      </c>
      <c r="J7109" s="81" t="s">
        <v>6632</v>
      </c>
    </row>
    <row r="7110">
      <c r="A7110" s="83" t="s">
        <v>6627</v>
      </c>
      <c r="B7110" s="83" t="s">
        <v>6628</v>
      </c>
      <c r="C7110" s="81" t="s">
        <v>6333</v>
      </c>
      <c r="D7110" s="83" t="s">
        <v>4765</v>
      </c>
      <c r="E7110" s="81" t="s">
        <v>3673</v>
      </c>
      <c r="F7110" s="81">
        <v>698.0</v>
      </c>
      <c r="G7110" s="81" t="s">
        <v>45</v>
      </c>
      <c r="H7110" s="81" t="s">
        <v>6621</v>
      </c>
      <c r="I7110" s="81" t="s">
        <v>224</v>
      </c>
      <c r="J7110" s="81" t="s">
        <v>6632</v>
      </c>
    </row>
    <row r="7111">
      <c r="A7111" s="83" t="s">
        <v>6627</v>
      </c>
      <c r="B7111" s="83" t="s">
        <v>6628</v>
      </c>
      <c r="C7111" s="81" t="s">
        <v>6333</v>
      </c>
      <c r="D7111" s="83" t="s">
        <v>4766</v>
      </c>
      <c r="E7111" s="81" t="s">
        <v>3676</v>
      </c>
      <c r="F7111" s="81">
        <v>699.0</v>
      </c>
      <c r="G7111" s="81" t="s">
        <v>45</v>
      </c>
      <c r="H7111" s="81" t="s">
        <v>6621</v>
      </c>
      <c r="I7111" s="81" t="s">
        <v>224</v>
      </c>
      <c r="J7111" s="81" t="s">
        <v>6632</v>
      </c>
    </row>
    <row r="7112">
      <c r="A7112" s="83" t="s">
        <v>6627</v>
      </c>
      <c r="B7112" s="83" t="s">
        <v>6628</v>
      </c>
      <c r="C7112" s="81" t="s">
        <v>6333</v>
      </c>
      <c r="D7112" s="83" t="s">
        <v>4767</v>
      </c>
      <c r="E7112" s="81" t="s">
        <v>3679</v>
      </c>
      <c r="F7112" s="81">
        <v>700.0</v>
      </c>
      <c r="G7112" s="81" t="s">
        <v>45</v>
      </c>
      <c r="H7112" s="81" t="s">
        <v>6621</v>
      </c>
      <c r="I7112" s="81" t="s">
        <v>224</v>
      </c>
      <c r="J7112" s="81" t="s">
        <v>6632</v>
      </c>
    </row>
    <row r="7113">
      <c r="A7113" s="83" t="s">
        <v>6627</v>
      </c>
      <c r="B7113" s="83" t="s">
        <v>6628</v>
      </c>
      <c r="C7113" s="81" t="s">
        <v>6333</v>
      </c>
      <c r="D7113" s="83" t="s">
        <v>4768</v>
      </c>
      <c r="E7113" s="81" t="s">
        <v>3682</v>
      </c>
      <c r="F7113" s="81">
        <v>701.0</v>
      </c>
      <c r="G7113" s="81" t="s">
        <v>45</v>
      </c>
      <c r="H7113" s="81" t="s">
        <v>6621</v>
      </c>
      <c r="I7113" s="81" t="s">
        <v>224</v>
      </c>
      <c r="J7113" s="81" t="s">
        <v>6632</v>
      </c>
    </row>
    <row r="7114">
      <c r="A7114" s="83" t="s">
        <v>6627</v>
      </c>
      <c r="B7114" s="83" t="s">
        <v>6628</v>
      </c>
      <c r="C7114" s="81" t="s">
        <v>6333</v>
      </c>
      <c r="D7114" s="83" t="s">
        <v>4769</v>
      </c>
      <c r="E7114" s="81" t="s">
        <v>3685</v>
      </c>
      <c r="F7114" s="81">
        <v>702.0</v>
      </c>
      <c r="G7114" s="81" t="s">
        <v>45</v>
      </c>
      <c r="H7114" s="81" t="s">
        <v>6621</v>
      </c>
      <c r="I7114" s="81" t="s">
        <v>224</v>
      </c>
      <c r="J7114" s="81" t="s">
        <v>6632</v>
      </c>
    </row>
    <row r="7115">
      <c r="A7115" s="83" t="s">
        <v>6627</v>
      </c>
      <c r="B7115" s="83" t="s">
        <v>6628</v>
      </c>
      <c r="C7115" s="81" t="s">
        <v>6333</v>
      </c>
      <c r="D7115" s="83" t="s">
        <v>4770</v>
      </c>
      <c r="E7115" s="81" t="s">
        <v>3688</v>
      </c>
      <c r="F7115" s="81">
        <v>703.0</v>
      </c>
      <c r="G7115" s="81" t="s">
        <v>45</v>
      </c>
      <c r="H7115" s="81" t="s">
        <v>6622</v>
      </c>
      <c r="I7115" s="81" t="s">
        <v>224</v>
      </c>
      <c r="J7115" s="81" t="s">
        <v>6632</v>
      </c>
    </row>
    <row r="7116">
      <c r="A7116" s="83" t="s">
        <v>6627</v>
      </c>
      <c r="B7116" s="83" t="s">
        <v>6628</v>
      </c>
      <c r="C7116" s="81" t="s">
        <v>6333</v>
      </c>
      <c r="D7116" s="83" t="s">
        <v>4770</v>
      </c>
      <c r="E7116" s="81" t="s">
        <v>3697</v>
      </c>
      <c r="F7116" s="81">
        <v>704.0</v>
      </c>
      <c r="G7116" s="81" t="s">
        <v>45</v>
      </c>
      <c r="H7116" s="81" t="s">
        <v>6622</v>
      </c>
      <c r="I7116" s="81" t="s">
        <v>224</v>
      </c>
      <c r="J7116" s="81" t="s">
        <v>6632</v>
      </c>
    </row>
    <row r="7117">
      <c r="A7117" s="83" t="s">
        <v>6627</v>
      </c>
      <c r="B7117" s="83" t="s">
        <v>6628</v>
      </c>
      <c r="C7117" s="81" t="s">
        <v>6333</v>
      </c>
      <c r="D7117" s="83" t="s">
        <v>4771</v>
      </c>
      <c r="E7117" s="81" t="s">
        <v>3698</v>
      </c>
      <c r="F7117" s="81">
        <v>705.0</v>
      </c>
      <c r="G7117" s="81" t="s">
        <v>45</v>
      </c>
      <c r="H7117" s="81" t="s">
        <v>6622</v>
      </c>
      <c r="I7117" s="81" t="s">
        <v>224</v>
      </c>
      <c r="J7117" s="81" t="s">
        <v>6632</v>
      </c>
    </row>
    <row r="7118">
      <c r="A7118" s="83" t="s">
        <v>6627</v>
      </c>
      <c r="B7118" s="83" t="s">
        <v>6628</v>
      </c>
      <c r="C7118" s="81" t="s">
        <v>6333</v>
      </c>
      <c r="D7118" s="83" t="s">
        <v>4772</v>
      </c>
      <c r="E7118" s="81" t="s">
        <v>3701</v>
      </c>
      <c r="F7118" s="81">
        <v>706.0</v>
      </c>
      <c r="G7118" s="81" t="s">
        <v>45</v>
      </c>
      <c r="H7118" s="81" t="s">
        <v>6622</v>
      </c>
      <c r="I7118" s="81" t="s">
        <v>224</v>
      </c>
      <c r="J7118" s="81" t="s">
        <v>6632</v>
      </c>
    </row>
    <row r="7119">
      <c r="A7119" s="83" t="s">
        <v>6627</v>
      </c>
      <c r="B7119" s="83" t="s">
        <v>6628</v>
      </c>
      <c r="C7119" s="81" t="s">
        <v>6333</v>
      </c>
      <c r="D7119" s="83" t="s">
        <v>4773</v>
      </c>
      <c r="E7119" s="81" t="s">
        <v>3704</v>
      </c>
      <c r="F7119" s="81">
        <v>707.0</v>
      </c>
      <c r="G7119" s="81" t="s">
        <v>45</v>
      </c>
      <c r="H7119" s="81" t="s">
        <v>6622</v>
      </c>
      <c r="I7119" s="81" t="s">
        <v>224</v>
      </c>
      <c r="J7119" s="81" t="s">
        <v>6632</v>
      </c>
    </row>
    <row r="7120">
      <c r="A7120" s="83" t="s">
        <v>6627</v>
      </c>
      <c r="B7120" s="83" t="s">
        <v>6628</v>
      </c>
      <c r="C7120" s="81" t="s">
        <v>6333</v>
      </c>
      <c r="D7120" s="83" t="s">
        <v>4774</v>
      </c>
      <c r="E7120" s="81" t="s">
        <v>3707</v>
      </c>
      <c r="F7120" s="81">
        <v>708.0</v>
      </c>
      <c r="G7120" s="81" t="s">
        <v>45</v>
      </c>
      <c r="H7120" s="81" t="s">
        <v>6622</v>
      </c>
      <c r="I7120" s="81" t="s">
        <v>224</v>
      </c>
      <c r="J7120" s="81" t="s">
        <v>6632</v>
      </c>
    </row>
    <row r="7121">
      <c r="A7121" s="83" t="s">
        <v>6627</v>
      </c>
      <c r="B7121" s="83" t="s">
        <v>6628</v>
      </c>
      <c r="C7121" s="81" t="s">
        <v>6333</v>
      </c>
      <c r="D7121" s="83" t="s">
        <v>4775</v>
      </c>
      <c r="E7121" s="81" t="s">
        <v>3710</v>
      </c>
      <c r="F7121" s="81">
        <v>709.0</v>
      </c>
      <c r="G7121" s="81" t="s">
        <v>45</v>
      </c>
      <c r="H7121" s="81" t="s">
        <v>6622</v>
      </c>
      <c r="I7121" s="81" t="s">
        <v>224</v>
      </c>
      <c r="J7121" s="81" t="s">
        <v>6632</v>
      </c>
    </row>
    <row r="7122">
      <c r="A7122" s="83" t="s">
        <v>6627</v>
      </c>
      <c r="B7122" s="83" t="s">
        <v>6628</v>
      </c>
      <c r="C7122" s="81" t="s">
        <v>6333</v>
      </c>
      <c r="D7122" s="83" t="s">
        <v>4776</v>
      </c>
      <c r="E7122" s="81" t="s">
        <v>3713</v>
      </c>
      <c r="F7122" s="81">
        <v>710.0</v>
      </c>
      <c r="G7122" s="81" t="s">
        <v>45</v>
      </c>
      <c r="H7122" s="81" t="s">
        <v>6622</v>
      </c>
      <c r="I7122" s="81" t="s">
        <v>224</v>
      </c>
      <c r="J7122" s="81" t="s">
        <v>6632</v>
      </c>
    </row>
    <row r="7123">
      <c r="A7123" s="83" t="s">
        <v>6627</v>
      </c>
      <c r="B7123" s="83" t="s">
        <v>6628</v>
      </c>
      <c r="C7123" s="81" t="s">
        <v>4621</v>
      </c>
      <c r="D7123" s="83" t="s">
        <v>4787</v>
      </c>
      <c r="E7123" s="81" t="s">
        <v>3791</v>
      </c>
      <c r="F7123" s="81">
        <v>724.0</v>
      </c>
      <c r="G7123" s="81" t="s">
        <v>46</v>
      </c>
      <c r="H7123" s="81" t="s">
        <v>6623</v>
      </c>
      <c r="I7123" s="81" t="s">
        <v>3790</v>
      </c>
      <c r="J7123" s="81" t="s">
        <v>224</v>
      </c>
    </row>
    <row r="7124">
      <c r="A7124" s="83" t="s">
        <v>6627</v>
      </c>
      <c r="B7124" s="83" t="s">
        <v>6628</v>
      </c>
      <c r="C7124" s="81" t="s">
        <v>6333</v>
      </c>
      <c r="D7124" s="83" t="s">
        <v>4810</v>
      </c>
      <c r="E7124" s="81" t="s">
        <v>3871</v>
      </c>
      <c r="F7124" s="81">
        <v>751.0</v>
      </c>
      <c r="G7124" s="81" t="s">
        <v>45</v>
      </c>
      <c r="H7124" s="81" t="s">
        <v>6624</v>
      </c>
      <c r="I7124" s="81" t="s">
        <v>224</v>
      </c>
      <c r="J7124" s="81" t="s">
        <v>6632</v>
      </c>
    </row>
    <row r="7125">
      <c r="A7125" s="83" t="s">
        <v>6627</v>
      </c>
      <c r="B7125" s="83" t="s">
        <v>6628</v>
      </c>
      <c r="C7125" s="81" t="s">
        <v>6333</v>
      </c>
      <c r="D7125" s="83" t="s">
        <v>4814</v>
      </c>
      <c r="E7125" s="81" t="s">
        <v>3879</v>
      </c>
      <c r="F7125" s="81">
        <v>754.0</v>
      </c>
      <c r="G7125" s="81" t="s">
        <v>45</v>
      </c>
      <c r="H7125" s="81" t="s">
        <v>6625</v>
      </c>
      <c r="I7125" s="81" t="s">
        <v>224</v>
      </c>
      <c r="J7125" s="81" t="s">
        <v>6632</v>
      </c>
    </row>
    <row r="7126">
      <c r="A7126" s="83" t="s">
        <v>6627</v>
      </c>
      <c r="B7126" s="83" t="s">
        <v>6628</v>
      </c>
      <c r="C7126" s="81" t="s">
        <v>4621</v>
      </c>
      <c r="D7126" s="83" t="s">
        <v>4814</v>
      </c>
      <c r="E7126" s="81" t="s">
        <v>3879</v>
      </c>
      <c r="F7126" s="81">
        <v>754.0</v>
      </c>
      <c r="G7126" s="81" t="s">
        <v>46</v>
      </c>
      <c r="H7126" s="81" t="s">
        <v>6618</v>
      </c>
      <c r="I7126" s="81" t="s">
        <v>3089</v>
      </c>
      <c r="J7126" s="81" t="s">
        <v>224</v>
      </c>
    </row>
    <row r="7127">
      <c r="A7127" s="83" t="s">
        <v>6627</v>
      </c>
      <c r="B7127" s="83" t="s">
        <v>6628</v>
      </c>
      <c r="C7127" s="81" t="s">
        <v>6333</v>
      </c>
      <c r="D7127" s="83" t="s">
        <v>4815</v>
      </c>
      <c r="E7127" s="81" t="s">
        <v>3882</v>
      </c>
      <c r="F7127" s="81">
        <v>755.0</v>
      </c>
      <c r="G7127" s="81" t="s">
        <v>45</v>
      </c>
      <c r="H7127" s="81" t="s">
        <v>6625</v>
      </c>
      <c r="I7127" s="81" t="s">
        <v>224</v>
      </c>
      <c r="J7127" s="81" t="s">
        <v>6632</v>
      </c>
    </row>
    <row r="7128">
      <c r="A7128" s="83" t="s">
        <v>6627</v>
      </c>
      <c r="B7128" s="83" t="s">
        <v>6628</v>
      </c>
      <c r="C7128" s="81" t="s">
        <v>4621</v>
      </c>
      <c r="D7128" s="83" t="s">
        <v>4815</v>
      </c>
      <c r="E7128" s="81" t="s">
        <v>3882</v>
      </c>
      <c r="F7128" s="81">
        <v>755.0</v>
      </c>
      <c r="G7128" s="81" t="s">
        <v>46</v>
      </c>
      <c r="H7128" s="81" t="s">
        <v>6618</v>
      </c>
      <c r="I7128" s="81" t="s">
        <v>3089</v>
      </c>
      <c r="J7128" s="81" t="s">
        <v>224</v>
      </c>
    </row>
    <row r="7129">
      <c r="A7129" s="83" t="s">
        <v>6627</v>
      </c>
      <c r="B7129" s="83" t="s">
        <v>6628</v>
      </c>
      <c r="C7129" s="81" t="s">
        <v>6333</v>
      </c>
      <c r="D7129" s="83" t="s">
        <v>4776</v>
      </c>
      <c r="E7129" s="81" t="s">
        <v>3899</v>
      </c>
      <c r="F7129" s="81">
        <v>759.0</v>
      </c>
      <c r="G7129" s="81" t="s">
        <v>45</v>
      </c>
      <c r="H7129" s="81" t="s">
        <v>6622</v>
      </c>
      <c r="I7129" s="81" t="s">
        <v>224</v>
      </c>
      <c r="J7129" s="81" t="s">
        <v>6632</v>
      </c>
    </row>
    <row r="7130">
      <c r="A7130" s="83" t="s">
        <v>6627</v>
      </c>
      <c r="B7130" s="83" t="s">
        <v>6628</v>
      </c>
      <c r="C7130" s="81" t="s">
        <v>6333</v>
      </c>
      <c r="D7130" s="83" t="s">
        <v>4819</v>
      </c>
      <c r="E7130" s="81" t="s">
        <v>3900</v>
      </c>
      <c r="F7130" s="81">
        <v>760.0</v>
      </c>
      <c r="G7130" s="81" t="s">
        <v>45</v>
      </c>
      <c r="H7130" s="81" t="s">
        <v>6622</v>
      </c>
      <c r="I7130" s="81" t="s">
        <v>224</v>
      </c>
      <c r="J7130" s="81" t="s">
        <v>6632</v>
      </c>
    </row>
    <row r="7131">
      <c r="A7131" s="83" t="s">
        <v>6627</v>
      </c>
      <c r="B7131" s="83" t="s">
        <v>6628</v>
      </c>
      <c r="C7131" s="81" t="s">
        <v>6333</v>
      </c>
      <c r="D7131" s="83" t="s">
        <v>4820</v>
      </c>
      <c r="E7131" s="81" t="s">
        <v>3903</v>
      </c>
      <c r="F7131" s="81">
        <v>761.0</v>
      </c>
      <c r="G7131" s="81" t="s">
        <v>45</v>
      </c>
      <c r="H7131" s="81" t="s">
        <v>6622</v>
      </c>
      <c r="I7131" s="81" t="s">
        <v>224</v>
      </c>
      <c r="J7131" s="81" t="s">
        <v>6632</v>
      </c>
    </row>
    <row r="7132">
      <c r="A7132" s="83" t="s">
        <v>6627</v>
      </c>
      <c r="B7132" s="83" t="s">
        <v>6628</v>
      </c>
      <c r="C7132" s="81" t="s">
        <v>6333</v>
      </c>
      <c r="D7132" s="83" t="s">
        <v>4821</v>
      </c>
      <c r="E7132" s="81" t="s">
        <v>3906</v>
      </c>
      <c r="F7132" s="81">
        <v>762.0</v>
      </c>
      <c r="G7132" s="81" t="s">
        <v>45</v>
      </c>
      <c r="H7132" s="81" t="s">
        <v>6622</v>
      </c>
      <c r="I7132" s="81" t="s">
        <v>224</v>
      </c>
      <c r="J7132" s="81" t="s">
        <v>6632</v>
      </c>
    </row>
    <row r="7133">
      <c r="A7133" s="83" t="s">
        <v>6627</v>
      </c>
      <c r="B7133" s="83" t="s">
        <v>6628</v>
      </c>
      <c r="C7133" s="81" t="s">
        <v>6333</v>
      </c>
      <c r="D7133" s="83" t="s">
        <v>4822</v>
      </c>
      <c r="E7133" s="81" t="s">
        <v>3909</v>
      </c>
      <c r="F7133" s="81">
        <v>763.0</v>
      </c>
      <c r="G7133" s="81" t="s">
        <v>45</v>
      </c>
      <c r="H7133" s="81" t="s">
        <v>6626</v>
      </c>
      <c r="I7133" s="81" t="s">
        <v>224</v>
      </c>
      <c r="J7133" s="81" t="s">
        <v>6632</v>
      </c>
    </row>
    <row r="7134">
      <c r="A7134" s="83" t="s">
        <v>6627</v>
      </c>
      <c r="B7134" s="83" t="s">
        <v>6628</v>
      </c>
      <c r="C7134" s="81" t="s">
        <v>6333</v>
      </c>
      <c r="D7134" s="83" t="s">
        <v>4822</v>
      </c>
      <c r="E7134" s="81" t="s">
        <v>3916</v>
      </c>
      <c r="F7134" s="81">
        <v>764.0</v>
      </c>
      <c r="G7134" s="81" t="s">
        <v>45</v>
      </c>
      <c r="H7134" s="81" t="s">
        <v>6626</v>
      </c>
      <c r="I7134" s="81" t="s">
        <v>224</v>
      </c>
      <c r="J7134" s="81" t="s">
        <v>6632</v>
      </c>
    </row>
    <row r="7135">
      <c r="A7135" s="83" t="s">
        <v>6627</v>
      </c>
      <c r="B7135" s="83" t="s">
        <v>6628</v>
      </c>
      <c r="C7135" s="81" t="s">
        <v>6333</v>
      </c>
      <c r="D7135" s="83" t="s">
        <v>4823</v>
      </c>
      <c r="E7135" s="81" t="s">
        <v>3917</v>
      </c>
      <c r="F7135" s="81">
        <v>765.0</v>
      </c>
      <c r="G7135" s="81" t="s">
        <v>45</v>
      </c>
      <c r="H7135" s="81" t="s">
        <v>6626</v>
      </c>
      <c r="I7135" s="81" t="s">
        <v>224</v>
      </c>
      <c r="J7135" s="81" t="s">
        <v>6632</v>
      </c>
    </row>
    <row r="7136">
      <c r="A7136" s="83" t="s">
        <v>6627</v>
      </c>
      <c r="B7136" s="83" t="s">
        <v>6628</v>
      </c>
      <c r="C7136" s="81" t="s">
        <v>6333</v>
      </c>
      <c r="D7136" s="83" t="s">
        <v>4824</v>
      </c>
      <c r="E7136" s="81" t="s">
        <v>3920</v>
      </c>
      <c r="F7136" s="81">
        <v>766.0</v>
      </c>
      <c r="G7136" s="81" t="s">
        <v>45</v>
      </c>
      <c r="H7136" s="81" t="s">
        <v>6626</v>
      </c>
      <c r="I7136" s="81" t="s">
        <v>224</v>
      </c>
      <c r="J7136" s="81" t="s">
        <v>6632</v>
      </c>
    </row>
    <row r="7137">
      <c r="A7137" s="83" t="s">
        <v>6627</v>
      </c>
      <c r="B7137" s="83" t="s">
        <v>6628</v>
      </c>
      <c r="C7137" s="81" t="s">
        <v>6333</v>
      </c>
      <c r="D7137" s="83" t="s">
        <v>4825</v>
      </c>
      <c r="E7137" s="81" t="s">
        <v>3923</v>
      </c>
      <c r="F7137" s="81">
        <v>767.0</v>
      </c>
      <c r="G7137" s="81" t="s">
        <v>45</v>
      </c>
      <c r="H7137" s="81" t="s">
        <v>6626</v>
      </c>
      <c r="I7137" s="81" t="s">
        <v>224</v>
      </c>
      <c r="J7137" s="81" t="s">
        <v>6632</v>
      </c>
    </row>
    <row r="7138">
      <c r="A7138" s="83" t="s">
        <v>6627</v>
      </c>
      <c r="B7138" s="83" t="s">
        <v>6628</v>
      </c>
      <c r="C7138" s="81" t="s">
        <v>6333</v>
      </c>
      <c r="D7138" s="83" t="s">
        <v>4826</v>
      </c>
      <c r="E7138" s="81" t="s">
        <v>3926</v>
      </c>
      <c r="F7138" s="81">
        <v>768.0</v>
      </c>
      <c r="G7138" s="81" t="s">
        <v>45</v>
      </c>
      <c r="H7138" s="81" t="s">
        <v>6626</v>
      </c>
      <c r="I7138" s="81" t="s">
        <v>224</v>
      </c>
      <c r="J7138" s="81" t="s">
        <v>6632</v>
      </c>
    </row>
    <row r="7139">
      <c r="A7139" s="83" t="s">
        <v>6627</v>
      </c>
      <c r="B7139" s="83" t="s">
        <v>6628</v>
      </c>
      <c r="C7139" s="81" t="s">
        <v>6333</v>
      </c>
      <c r="D7139" s="83" t="s">
        <v>4827</v>
      </c>
      <c r="E7139" s="81" t="s">
        <v>3929</v>
      </c>
      <c r="F7139" s="81">
        <v>769.0</v>
      </c>
      <c r="G7139" s="81" t="s">
        <v>45</v>
      </c>
      <c r="H7139" s="81" t="s">
        <v>6626</v>
      </c>
      <c r="I7139" s="81" t="s">
        <v>224</v>
      </c>
      <c r="J7139" s="81" t="s">
        <v>6632</v>
      </c>
    </row>
    <row r="7140">
      <c r="A7140" s="83" t="s">
        <v>6627</v>
      </c>
      <c r="B7140" s="83" t="s">
        <v>6628</v>
      </c>
      <c r="C7140" s="81" t="s">
        <v>6333</v>
      </c>
      <c r="D7140" s="83" t="s">
        <v>4828</v>
      </c>
      <c r="E7140" s="81" t="s">
        <v>3932</v>
      </c>
      <c r="F7140" s="81">
        <v>770.0</v>
      </c>
      <c r="G7140" s="81" t="s">
        <v>45</v>
      </c>
      <c r="H7140" s="81" t="s">
        <v>6626</v>
      </c>
      <c r="I7140" s="81" t="s">
        <v>224</v>
      </c>
      <c r="J7140" s="81" t="s">
        <v>6632</v>
      </c>
    </row>
    <row r="7141">
      <c r="A7141" s="83" t="s">
        <v>6627</v>
      </c>
      <c r="B7141" s="83" t="s">
        <v>6628</v>
      </c>
      <c r="C7141" s="81" t="s">
        <v>6333</v>
      </c>
      <c r="D7141" s="83" t="s">
        <v>4828</v>
      </c>
      <c r="E7141" s="81" t="s">
        <v>3935</v>
      </c>
      <c r="F7141" s="81">
        <v>771.0</v>
      </c>
      <c r="G7141" s="81" t="s">
        <v>45</v>
      </c>
      <c r="H7141" s="81" t="s">
        <v>6626</v>
      </c>
      <c r="I7141" s="81" t="s">
        <v>224</v>
      </c>
      <c r="J7141" s="81" t="s">
        <v>6632</v>
      </c>
    </row>
    <row r="7142">
      <c r="A7142" s="83" t="s">
        <v>6627</v>
      </c>
      <c r="B7142" s="83" t="s">
        <v>6628</v>
      </c>
      <c r="C7142" s="81" t="s">
        <v>6333</v>
      </c>
      <c r="D7142" s="83" t="s">
        <v>4829</v>
      </c>
      <c r="E7142" s="81" t="s">
        <v>3936</v>
      </c>
      <c r="F7142" s="81">
        <v>772.0</v>
      </c>
      <c r="G7142" s="81" t="s">
        <v>45</v>
      </c>
      <c r="H7142" s="81" t="s">
        <v>6626</v>
      </c>
      <c r="I7142" s="81" t="s">
        <v>224</v>
      </c>
      <c r="J7142" s="81" t="s">
        <v>6632</v>
      </c>
    </row>
    <row r="7143">
      <c r="A7143" s="83" t="s">
        <v>6627</v>
      </c>
      <c r="B7143" s="83" t="s">
        <v>6628</v>
      </c>
      <c r="C7143" s="81" t="s">
        <v>6333</v>
      </c>
      <c r="D7143" s="83" t="s">
        <v>4830</v>
      </c>
      <c r="E7143" s="81" t="s">
        <v>3939</v>
      </c>
      <c r="F7143" s="81">
        <v>773.0</v>
      </c>
      <c r="G7143" s="81" t="s">
        <v>45</v>
      </c>
      <c r="H7143" s="81" t="s">
        <v>6626</v>
      </c>
      <c r="I7143" s="81" t="s">
        <v>224</v>
      </c>
      <c r="J7143" s="81" t="s">
        <v>6632</v>
      </c>
    </row>
    <row r="7144">
      <c r="A7144" s="83" t="s">
        <v>6627</v>
      </c>
      <c r="B7144" s="83" t="s">
        <v>6628</v>
      </c>
      <c r="C7144" s="81" t="s">
        <v>6333</v>
      </c>
      <c r="D7144" s="83" t="s">
        <v>4831</v>
      </c>
      <c r="E7144" s="81" t="s">
        <v>3942</v>
      </c>
      <c r="F7144" s="81">
        <v>774.0</v>
      </c>
      <c r="G7144" s="81" t="s">
        <v>45</v>
      </c>
      <c r="H7144" s="81" t="s">
        <v>6626</v>
      </c>
      <c r="I7144" s="81" t="s">
        <v>224</v>
      </c>
      <c r="J7144" s="81" t="s">
        <v>6632</v>
      </c>
    </row>
    <row r="7145">
      <c r="A7145" s="83" t="s">
        <v>6627</v>
      </c>
      <c r="B7145" s="83" t="s">
        <v>6628</v>
      </c>
      <c r="C7145" s="81" t="s">
        <v>4621</v>
      </c>
      <c r="D7145" s="83" t="s">
        <v>4257</v>
      </c>
      <c r="E7145" s="81" t="s">
        <v>1025</v>
      </c>
      <c r="F7145" s="81">
        <v>789.0</v>
      </c>
      <c r="G7145" s="81" t="s">
        <v>45</v>
      </c>
      <c r="H7145" s="81" t="s">
        <v>224</v>
      </c>
      <c r="I7145" s="81" t="s">
        <v>1024</v>
      </c>
      <c r="J7145" s="81" t="s">
        <v>224</v>
      </c>
    </row>
    <row r="7146">
      <c r="A7146" s="83" t="s">
        <v>6627</v>
      </c>
      <c r="B7146" s="83" t="s">
        <v>6628</v>
      </c>
      <c r="C7146" s="81" t="s">
        <v>4082</v>
      </c>
      <c r="D7146" s="83" t="s">
        <v>4844</v>
      </c>
      <c r="E7146" s="81" t="s">
        <v>3998</v>
      </c>
      <c r="F7146" s="81">
        <v>791.0</v>
      </c>
      <c r="G7146" s="81" t="s">
        <v>39</v>
      </c>
      <c r="H7146" s="81" t="s">
        <v>224</v>
      </c>
      <c r="I7146" s="81" t="s">
        <v>224</v>
      </c>
      <c r="J7146" s="81" t="s">
        <v>6440</v>
      </c>
    </row>
    <row r="7147">
      <c r="A7147" s="83" t="s">
        <v>6627</v>
      </c>
      <c r="B7147" s="83" t="s">
        <v>6628</v>
      </c>
      <c r="C7147" s="81" t="s">
        <v>4621</v>
      </c>
      <c r="D7147" s="83" t="s">
        <v>4844</v>
      </c>
      <c r="E7147" s="81" t="s">
        <v>3998</v>
      </c>
      <c r="F7147" s="81">
        <v>791.0</v>
      </c>
      <c r="G7147" s="81" t="s">
        <v>45</v>
      </c>
      <c r="H7147" s="81" t="s">
        <v>224</v>
      </c>
      <c r="I7147" s="81" t="s">
        <v>4001</v>
      </c>
      <c r="J7147" s="81" t="s">
        <v>224</v>
      </c>
    </row>
    <row r="7148">
      <c r="A7148" s="83" t="s">
        <v>6627</v>
      </c>
      <c r="B7148" s="83" t="s">
        <v>6628</v>
      </c>
      <c r="C7148" s="81" t="s">
        <v>4082</v>
      </c>
      <c r="D7148" s="83" t="s">
        <v>4845</v>
      </c>
      <c r="E7148" s="81" t="s">
        <v>4002</v>
      </c>
      <c r="F7148" s="81">
        <v>792.0</v>
      </c>
      <c r="G7148" s="81" t="s">
        <v>39</v>
      </c>
      <c r="H7148" s="81" t="s">
        <v>224</v>
      </c>
      <c r="I7148" s="81" t="s">
        <v>224</v>
      </c>
      <c r="J7148" s="81" t="s">
        <v>6441</v>
      </c>
    </row>
    <row r="7149">
      <c r="A7149" s="83" t="s">
        <v>6627</v>
      </c>
      <c r="B7149" s="83" t="s">
        <v>6628</v>
      </c>
      <c r="C7149" s="81" t="s">
        <v>4621</v>
      </c>
      <c r="D7149" s="83" t="s">
        <v>4845</v>
      </c>
      <c r="E7149" s="81" t="s">
        <v>4002</v>
      </c>
      <c r="F7149" s="81">
        <v>792.0</v>
      </c>
      <c r="G7149" s="81" t="s">
        <v>45</v>
      </c>
      <c r="H7149" s="81" t="s">
        <v>224</v>
      </c>
      <c r="I7149" s="81" t="s">
        <v>4001</v>
      </c>
      <c r="J7149" s="81" t="s">
        <v>224</v>
      </c>
    </row>
    <row r="7150">
      <c r="A7150" s="83" t="s">
        <v>6627</v>
      </c>
      <c r="B7150" s="83" t="s">
        <v>6628</v>
      </c>
      <c r="C7150" s="81" t="s">
        <v>4082</v>
      </c>
      <c r="D7150" s="83" t="s">
        <v>4846</v>
      </c>
      <c r="E7150" s="81" t="s">
        <v>1133</v>
      </c>
      <c r="F7150" s="81">
        <v>793.0</v>
      </c>
      <c r="G7150" s="81" t="s">
        <v>39</v>
      </c>
      <c r="H7150" s="81" t="s">
        <v>224</v>
      </c>
      <c r="I7150" s="81" t="s">
        <v>224</v>
      </c>
      <c r="J7150" s="81" t="s">
        <v>6442</v>
      </c>
    </row>
    <row r="7151">
      <c r="A7151" s="83" t="s">
        <v>6627</v>
      </c>
      <c r="B7151" s="83" t="s">
        <v>6628</v>
      </c>
      <c r="C7151" s="81" t="s">
        <v>4621</v>
      </c>
      <c r="D7151" s="83" t="s">
        <v>4846</v>
      </c>
      <c r="E7151" s="81" t="s">
        <v>1133</v>
      </c>
      <c r="F7151" s="81">
        <v>793.0</v>
      </c>
      <c r="G7151" s="81" t="s">
        <v>45</v>
      </c>
      <c r="H7151" s="81" t="s">
        <v>224</v>
      </c>
      <c r="I7151" s="81" t="s">
        <v>4001</v>
      </c>
      <c r="J7151" s="81" t="s">
        <v>224</v>
      </c>
    </row>
    <row r="7152">
      <c r="A7152" s="83" t="s">
        <v>6627</v>
      </c>
      <c r="B7152" s="83" t="s">
        <v>6628</v>
      </c>
      <c r="C7152" s="81" t="s">
        <v>4082</v>
      </c>
      <c r="D7152" s="83" t="s">
        <v>4847</v>
      </c>
      <c r="E7152" s="81" t="s">
        <v>4005</v>
      </c>
      <c r="F7152" s="81">
        <v>794.0</v>
      </c>
      <c r="G7152" s="81" t="s">
        <v>39</v>
      </c>
      <c r="H7152" s="81" t="s">
        <v>224</v>
      </c>
      <c r="I7152" s="81" t="s">
        <v>224</v>
      </c>
      <c r="J7152" s="81" t="s">
        <v>6316</v>
      </c>
    </row>
    <row r="7153">
      <c r="A7153" s="83" t="s">
        <v>6627</v>
      </c>
      <c r="B7153" s="83" t="s">
        <v>6628</v>
      </c>
      <c r="C7153" s="81" t="s">
        <v>4621</v>
      </c>
      <c r="D7153" s="83" t="s">
        <v>4847</v>
      </c>
      <c r="E7153" s="81" t="s">
        <v>4005</v>
      </c>
      <c r="F7153" s="81">
        <v>794.0</v>
      </c>
      <c r="G7153" s="81" t="s">
        <v>45</v>
      </c>
      <c r="H7153" s="81" t="s">
        <v>224</v>
      </c>
      <c r="I7153" s="81" t="s">
        <v>4001</v>
      </c>
      <c r="J7153" s="81" t="s">
        <v>224</v>
      </c>
    </row>
    <row r="7154">
      <c r="A7154" s="83" t="s">
        <v>6627</v>
      </c>
      <c r="B7154" s="83" t="s">
        <v>6628</v>
      </c>
      <c r="C7154" s="81" t="s">
        <v>4082</v>
      </c>
      <c r="D7154" s="83" t="s">
        <v>4848</v>
      </c>
      <c r="E7154" s="81" t="s">
        <v>1142</v>
      </c>
      <c r="F7154" s="81">
        <v>795.0</v>
      </c>
      <c r="G7154" s="81" t="s">
        <v>39</v>
      </c>
      <c r="H7154" s="81" t="s">
        <v>224</v>
      </c>
      <c r="I7154" s="81" t="s">
        <v>224</v>
      </c>
      <c r="J7154" s="81" t="s">
        <v>6443</v>
      </c>
    </row>
    <row r="7155">
      <c r="A7155" s="83" t="s">
        <v>6627</v>
      </c>
      <c r="B7155" s="83" t="s">
        <v>6628</v>
      </c>
      <c r="C7155" s="81" t="s">
        <v>4621</v>
      </c>
      <c r="D7155" s="83" t="s">
        <v>4848</v>
      </c>
      <c r="E7155" s="81" t="s">
        <v>1142</v>
      </c>
      <c r="F7155" s="81">
        <v>795.0</v>
      </c>
      <c r="G7155" s="81" t="s">
        <v>45</v>
      </c>
      <c r="H7155" s="81" t="s">
        <v>224</v>
      </c>
      <c r="I7155" s="81" t="s">
        <v>1024</v>
      </c>
      <c r="J7155" s="81" t="s">
        <v>224</v>
      </c>
    </row>
    <row r="7156">
      <c r="A7156" s="83" t="s">
        <v>6627</v>
      </c>
      <c r="B7156" s="83" t="s">
        <v>6628</v>
      </c>
      <c r="C7156" s="81" t="s">
        <v>4082</v>
      </c>
      <c r="D7156" s="83" t="s">
        <v>4850</v>
      </c>
      <c r="E7156" s="81" t="s">
        <v>1138</v>
      </c>
      <c r="F7156" s="81">
        <v>796.0</v>
      </c>
      <c r="G7156" s="81" t="s">
        <v>39</v>
      </c>
      <c r="H7156" s="81" t="s">
        <v>224</v>
      </c>
      <c r="I7156" s="81" t="s">
        <v>224</v>
      </c>
      <c r="J7156" s="81" t="s">
        <v>6444</v>
      </c>
    </row>
    <row r="7157">
      <c r="A7157" s="83" t="s">
        <v>6627</v>
      </c>
      <c r="B7157" s="83" t="s">
        <v>6628</v>
      </c>
      <c r="C7157" s="81" t="s">
        <v>4621</v>
      </c>
      <c r="D7157" s="83" t="s">
        <v>4850</v>
      </c>
      <c r="E7157" s="81" t="s">
        <v>1138</v>
      </c>
      <c r="F7157" s="81">
        <v>796.0</v>
      </c>
      <c r="G7157" s="81" t="s">
        <v>45</v>
      </c>
      <c r="H7157" s="81" t="s">
        <v>224</v>
      </c>
      <c r="I7157" s="81" t="s">
        <v>1024</v>
      </c>
      <c r="J7157" s="81" t="s">
        <v>224</v>
      </c>
    </row>
    <row r="7158">
      <c r="A7158" s="83" t="s">
        <v>6627</v>
      </c>
      <c r="B7158" s="83" t="s">
        <v>6628</v>
      </c>
      <c r="C7158" s="81" t="s">
        <v>4621</v>
      </c>
      <c r="D7158" s="83" t="s">
        <v>4861</v>
      </c>
      <c r="E7158" s="81" t="s">
        <v>4007</v>
      </c>
      <c r="F7158" s="81">
        <v>797.0</v>
      </c>
      <c r="G7158" s="81" t="s">
        <v>45</v>
      </c>
      <c r="H7158" s="81" t="s">
        <v>224</v>
      </c>
      <c r="I7158" s="81" t="s">
        <v>3538</v>
      </c>
      <c r="J7158" s="81" t="s">
        <v>224</v>
      </c>
    </row>
    <row r="7159">
      <c r="A7159" s="83" t="s">
        <v>6627</v>
      </c>
      <c r="B7159" s="83" t="s">
        <v>6628</v>
      </c>
      <c r="C7159" s="81" t="s">
        <v>4621</v>
      </c>
      <c r="D7159" s="83" t="s">
        <v>4862</v>
      </c>
      <c r="E7159" s="81" t="s">
        <v>4011</v>
      </c>
      <c r="F7159" s="81">
        <v>798.0</v>
      </c>
      <c r="G7159" s="81" t="s">
        <v>45</v>
      </c>
      <c r="H7159" s="81" t="s">
        <v>224</v>
      </c>
      <c r="I7159" s="81" t="s">
        <v>1840</v>
      </c>
      <c r="J7159" s="81" t="s">
        <v>224</v>
      </c>
    </row>
    <row r="7160">
      <c r="A7160" s="83" t="s">
        <v>6627</v>
      </c>
      <c r="B7160" s="83" t="s">
        <v>6628</v>
      </c>
      <c r="C7160" s="81" t="s">
        <v>4621</v>
      </c>
      <c r="D7160" s="83" t="s">
        <v>4862</v>
      </c>
      <c r="E7160" s="81" t="s">
        <v>4011</v>
      </c>
      <c r="F7160" s="81">
        <v>798.0</v>
      </c>
      <c r="G7160" s="81" t="s">
        <v>46</v>
      </c>
      <c r="H7160" s="81" t="s">
        <v>224</v>
      </c>
      <c r="I7160" s="81" t="s">
        <v>1841</v>
      </c>
      <c r="J7160" s="81" t="s">
        <v>224</v>
      </c>
    </row>
    <row r="7161">
      <c r="A7161" s="83" t="s">
        <v>6627</v>
      </c>
      <c r="B7161" s="83" t="s">
        <v>6628</v>
      </c>
      <c r="C7161" s="81" t="s">
        <v>4621</v>
      </c>
      <c r="D7161" s="83" t="s">
        <v>4863</v>
      </c>
      <c r="E7161" s="81" t="s">
        <v>4014</v>
      </c>
      <c r="F7161" s="81">
        <v>799.0</v>
      </c>
      <c r="G7161" s="81" t="s">
        <v>45</v>
      </c>
      <c r="H7161" s="81" t="s">
        <v>224</v>
      </c>
      <c r="I7161" s="81" t="s">
        <v>1840</v>
      </c>
      <c r="J7161" s="81" t="s">
        <v>224</v>
      </c>
    </row>
    <row r="7162">
      <c r="A7162" s="83" t="s">
        <v>6627</v>
      </c>
      <c r="B7162" s="83" t="s">
        <v>6628</v>
      </c>
      <c r="C7162" s="81" t="s">
        <v>4621</v>
      </c>
      <c r="D7162" s="83" t="s">
        <v>4863</v>
      </c>
      <c r="E7162" s="81" t="s">
        <v>4014</v>
      </c>
      <c r="F7162" s="81">
        <v>799.0</v>
      </c>
      <c r="G7162" s="81" t="s">
        <v>46</v>
      </c>
      <c r="H7162" s="81" t="s">
        <v>224</v>
      </c>
      <c r="I7162" s="81" t="s">
        <v>1841</v>
      </c>
      <c r="J7162" s="81" t="s">
        <v>224</v>
      </c>
    </row>
    <row r="7163">
      <c r="A7163" s="83" t="s">
        <v>6627</v>
      </c>
      <c r="B7163" s="83" t="s">
        <v>6628</v>
      </c>
      <c r="C7163" s="81" t="s">
        <v>4621</v>
      </c>
      <c r="D7163" s="83" t="s">
        <v>4864</v>
      </c>
      <c r="E7163" s="81" t="s">
        <v>4016</v>
      </c>
      <c r="F7163" s="81">
        <v>800.0</v>
      </c>
      <c r="G7163" s="81" t="s">
        <v>45</v>
      </c>
      <c r="H7163" s="81" t="s">
        <v>224</v>
      </c>
      <c r="I7163" s="81" t="s">
        <v>1858</v>
      </c>
      <c r="J7163" s="81" t="s">
        <v>224</v>
      </c>
    </row>
    <row r="7164">
      <c r="A7164" s="83" t="s">
        <v>6627</v>
      </c>
      <c r="B7164" s="83" t="s">
        <v>6628</v>
      </c>
      <c r="C7164" s="81" t="s">
        <v>4621</v>
      </c>
      <c r="D7164" s="83" t="s">
        <v>4864</v>
      </c>
      <c r="E7164" s="81" t="s">
        <v>4016</v>
      </c>
      <c r="F7164" s="81">
        <v>800.0</v>
      </c>
      <c r="G7164" s="81" t="s">
        <v>46</v>
      </c>
      <c r="H7164" s="81" t="s">
        <v>224</v>
      </c>
      <c r="I7164" s="81" t="s">
        <v>1859</v>
      </c>
      <c r="J7164" s="81" t="s">
        <v>224</v>
      </c>
    </row>
    <row r="7165">
      <c r="A7165" s="83" t="s">
        <v>6627</v>
      </c>
      <c r="B7165" s="83" t="s">
        <v>6628</v>
      </c>
      <c r="C7165" s="81" t="s">
        <v>4621</v>
      </c>
      <c r="D7165" s="83" t="s">
        <v>4865</v>
      </c>
      <c r="E7165" s="81" t="s">
        <v>4017</v>
      </c>
      <c r="F7165" s="81">
        <v>801.0</v>
      </c>
      <c r="G7165" s="81" t="s">
        <v>45</v>
      </c>
      <c r="H7165" s="81" t="s">
        <v>224</v>
      </c>
      <c r="I7165" s="81" t="s">
        <v>1858</v>
      </c>
      <c r="J7165" s="81" t="s">
        <v>224</v>
      </c>
    </row>
    <row r="7166">
      <c r="A7166" s="83" t="s">
        <v>6627</v>
      </c>
      <c r="B7166" s="83" t="s">
        <v>6628</v>
      </c>
      <c r="C7166" s="81" t="s">
        <v>4621</v>
      </c>
      <c r="D7166" s="83" t="s">
        <v>4865</v>
      </c>
      <c r="E7166" s="81" t="s">
        <v>4017</v>
      </c>
      <c r="F7166" s="81">
        <v>801.0</v>
      </c>
      <c r="G7166" s="81" t="s">
        <v>46</v>
      </c>
      <c r="H7166" s="81" t="s">
        <v>224</v>
      </c>
      <c r="I7166" s="81" t="s">
        <v>1859</v>
      </c>
      <c r="J7166" s="81" t="s">
        <v>224</v>
      </c>
    </row>
    <row r="7167">
      <c r="A7167" s="83" t="s">
        <v>6627</v>
      </c>
      <c r="B7167" s="83" t="s">
        <v>6628</v>
      </c>
      <c r="C7167" s="81" t="s">
        <v>4621</v>
      </c>
      <c r="D7167" s="83" t="s">
        <v>4866</v>
      </c>
      <c r="E7167" s="81" t="s">
        <v>4018</v>
      </c>
      <c r="F7167" s="81">
        <v>802.0</v>
      </c>
      <c r="G7167" s="81" t="s">
        <v>45</v>
      </c>
      <c r="H7167" s="81" t="s">
        <v>224</v>
      </c>
      <c r="I7167" s="81" t="s">
        <v>1872</v>
      </c>
      <c r="J7167" s="81" t="s">
        <v>224</v>
      </c>
    </row>
    <row r="7168">
      <c r="A7168" s="83" t="s">
        <v>6627</v>
      </c>
      <c r="B7168" s="83" t="s">
        <v>6628</v>
      </c>
      <c r="C7168" s="81" t="s">
        <v>4621</v>
      </c>
      <c r="D7168" s="83" t="s">
        <v>4866</v>
      </c>
      <c r="E7168" s="81" t="s">
        <v>4018</v>
      </c>
      <c r="F7168" s="81">
        <v>802.0</v>
      </c>
      <c r="G7168" s="81" t="s">
        <v>46</v>
      </c>
      <c r="H7168" s="81" t="s">
        <v>224</v>
      </c>
      <c r="I7168" s="81" t="s">
        <v>1873</v>
      </c>
      <c r="J7168" s="81" t="s">
        <v>224</v>
      </c>
    </row>
    <row r="7169">
      <c r="A7169" s="83" t="s">
        <v>6627</v>
      </c>
      <c r="B7169" s="83" t="s">
        <v>6628</v>
      </c>
      <c r="C7169" s="81" t="s">
        <v>4621</v>
      </c>
      <c r="D7169" s="83" t="s">
        <v>4867</v>
      </c>
      <c r="E7169" s="81" t="s">
        <v>4019</v>
      </c>
      <c r="F7169" s="81">
        <v>803.0</v>
      </c>
      <c r="G7169" s="81" t="s">
        <v>45</v>
      </c>
      <c r="H7169" s="81" t="s">
        <v>224</v>
      </c>
      <c r="I7169" s="81" t="s">
        <v>1872</v>
      </c>
      <c r="J7169" s="81" t="s">
        <v>224</v>
      </c>
    </row>
    <row r="7170">
      <c r="A7170" s="83" t="s">
        <v>6627</v>
      </c>
      <c r="B7170" s="83" t="s">
        <v>6628</v>
      </c>
      <c r="C7170" s="81" t="s">
        <v>4621</v>
      </c>
      <c r="D7170" s="83" t="s">
        <v>4867</v>
      </c>
      <c r="E7170" s="81" t="s">
        <v>4019</v>
      </c>
      <c r="F7170" s="81">
        <v>803.0</v>
      </c>
      <c r="G7170" s="81" t="s">
        <v>46</v>
      </c>
      <c r="H7170" s="81" t="s">
        <v>224</v>
      </c>
      <c r="I7170" s="81" t="s">
        <v>1873</v>
      </c>
      <c r="J7170" s="81" t="s">
        <v>224</v>
      </c>
    </row>
    <row r="7171">
      <c r="A7171" s="83" t="s">
        <v>6627</v>
      </c>
      <c r="B7171" s="83" t="s">
        <v>6628</v>
      </c>
      <c r="C7171" s="81" t="s">
        <v>4621</v>
      </c>
      <c r="D7171" s="83" t="s">
        <v>4868</v>
      </c>
      <c r="E7171" s="81" t="s">
        <v>4020</v>
      </c>
      <c r="F7171" s="81">
        <v>804.0</v>
      </c>
      <c r="G7171" s="81" t="s">
        <v>45</v>
      </c>
      <c r="H7171" s="81" t="s">
        <v>224</v>
      </c>
      <c r="I7171" s="81" t="s">
        <v>4030</v>
      </c>
      <c r="J7171" s="81" t="s">
        <v>224</v>
      </c>
    </row>
    <row r="7172">
      <c r="A7172" s="83" t="s">
        <v>6627</v>
      </c>
      <c r="B7172" s="83" t="s">
        <v>6628</v>
      </c>
      <c r="C7172" s="81" t="s">
        <v>4621</v>
      </c>
      <c r="D7172" s="83" t="s">
        <v>4868</v>
      </c>
      <c r="E7172" s="81" t="s">
        <v>4020</v>
      </c>
      <c r="F7172" s="81">
        <v>804.0</v>
      </c>
      <c r="G7172" s="81" t="s">
        <v>46</v>
      </c>
      <c r="H7172" s="81" t="s">
        <v>224</v>
      </c>
      <c r="I7172" s="81" t="s">
        <v>4031</v>
      </c>
      <c r="J7172" s="81" t="s">
        <v>224</v>
      </c>
    </row>
    <row r="7173">
      <c r="A7173" s="83" t="s">
        <v>6627</v>
      </c>
      <c r="B7173" s="83" t="s">
        <v>6628</v>
      </c>
      <c r="C7173" s="81" t="s">
        <v>4082</v>
      </c>
      <c r="D7173" s="83" t="s">
        <v>4868</v>
      </c>
      <c r="E7173" s="81" t="s">
        <v>4020</v>
      </c>
      <c r="F7173" s="81">
        <v>804.0</v>
      </c>
      <c r="G7173" s="81" t="s">
        <v>41</v>
      </c>
      <c r="H7173" s="81" t="s">
        <v>4027</v>
      </c>
      <c r="I7173" s="81" t="s">
        <v>224</v>
      </c>
      <c r="J7173" s="81" t="s">
        <v>6446</v>
      </c>
    </row>
    <row r="7174">
      <c r="A7174" s="83" t="s">
        <v>6627</v>
      </c>
      <c r="B7174" s="83" t="s">
        <v>6628</v>
      </c>
      <c r="C7174" s="81" t="s">
        <v>4621</v>
      </c>
      <c r="D7174" s="83" t="s">
        <v>4869</v>
      </c>
      <c r="E7174" s="81" t="s">
        <v>4032</v>
      </c>
      <c r="F7174" s="81">
        <v>805.0</v>
      </c>
      <c r="G7174" s="81" t="s">
        <v>45</v>
      </c>
      <c r="H7174" s="81" t="s">
        <v>224</v>
      </c>
      <c r="I7174" s="81" t="s">
        <v>4030</v>
      </c>
      <c r="J7174" s="81" t="s">
        <v>224</v>
      </c>
    </row>
    <row r="7175">
      <c r="A7175" s="83" t="s">
        <v>6627</v>
      </c>
      <c r="B7175" s="83" t="s">
        <v>6628</v>
      </c>
      <c r="C7175" s="81" t="s">
        <v>4621</v>
      </c>
      <c r="D7175" s="83" t="s">
        <v>4869</v>
      </c>
      <c r="E7175" s="81" t="s">
        <v>4032</v>
      </c>
      <c r="F7175" s="81">
        <v>805.0</v>
      </c>
      <c r="G7175" s="81" t="s">
        <v>46</v>
      </c>
      <c r="H7175" s="81" t="s">
        <v>224</v>
      </c>
      <c r="I7175" s="81" t="s">
        <v>4036</v>
      </c>
      <c r="J7175" s="81" t="s">
        <v>224</v>
      </c>
    </row>
    <row r="7176">
      <c r="A7176" s="83" t="s">
        <v>6627</v>
      </c>
      <c r="B7176" s="83" t="s">
        <v>6628</v>
      </c>
      <c r="C7176" s="81" t="s">
        <v>4621</v>
      </c>
      <c r="D7176" s="83" t="s">
        <v>4870</v>
      </c>
      <c r="E7176" s="81" t="s">
        <v>4037</v>
      </c>
      <c r="F7176" s="81">
        <v>806.0</v>
      </c>
      <c r="G7176" s="81" t="s">
        <v>45</v>
      </c>
      <c r="H7176" s="81" t="s">
        <v>224</v>
      </c>
      <c r="I7176" s="81" t="s">
        <v>4047</v>
      </c>
      <c r="J7176" s="81" t="s">
        <v>224</v>
      </c>
    </row>
    <row r="7177">
      <c r="A7177" s="83" t="s">
        <v>6627</v>
      </c>
      <c r="B7177" s="83" t="s">
        <v>6628</v>
      </c>
      <c r="C7177" s="81" t="s">
        <v>4621</v>
      </c>
      <c r="D7177" s="83" t="s">
        <v>4870</v>
      </c>
      <c r="E7177" s="81" t="s">
        <v>4037</v>
      </c>
      <c r="F7177" s="81">
        <v>806.0</v>
      </c>
      <c r="G7177" s="81" t="s">
        <v>46</v>
      </c>
      <c r="H7177" s="81" t="s">
        <v>224</v>
      </c>
      <c r="I7177" s="81" t="s">
        <v>4048</v>
      </c>
      <c r="J7177" s="81" t="s">
        <v>224</v>
      </c>
    </row>
    <row r="7178">
      <c r="A7178" s="83" t="s">
        <v>6627</v>
      </c>
      <c r="B7178" s="83" t="s">
        <v>6628</v>
      </c>
      <c r="C7178" s="81" t="s">
        <v>4082</v>
      </c>
      <c r="D7178" s="83" t="s">
        <v>4870</v>
      </c>
      <c r="E7178" s="81" t="s">
        <v>4037</v>
      </c>
      <c r="F7178" s="81">
        <v>806.0</v>
      </c>
      <c r="G7178" s="81" t="s">
        <v>41</v>
      </c>
      <c r="H7178" s="81" t="s">
        <v>4045</v>
      </c>
      <c r="I7178" s="81" t="s">
        <v>224</v>
      </c>
      <c r="J7178" s="81" t="s">
        <v>6449</v>
      </c>
    </row>
    <row r="7179">
      <c r="A7179" s="83" t="s">
        <v>6627</v>
      </c>
      <c r="B7179" s="83" t="s">
        <v>6628</v>
      </c>
      <c r="C7179" s="81" t="s">
        <v>4621</v>
      </c>
      <c r="D7179" s="83" t="s">
        <v>4871</v>
      </c>
      <c r="E7179" s="81" t="s">
        <v>4049</v>
      </c>
      <c r="F7179" s="81">
        <v>807.0</v>
      </c>
      <c r="G7179" s="81" t="s">
        <v>45</v>
      </c>
      <c r="H7179" s="81" t="s">
        <v>224</v>
      </c>
      <c r="I7179" s="81" t="s">
        <v>4057</v>
      </c>
      <c r="J7179" s="81" t="s">
        <v>224</v>
      </c>
    </row>
    <row r="7180">
      <c r="A7180" s="83" t="s">
        <v>6627</v>
      </c>
      <c r="B7180" s="83" t="s">
        <v>6628</v>
      </c>
      <c r="C7180" s="81" t="s">
        <v>4621</v>
      </c>
      <c r="D7180" s="83" t="s">
        <v>4871</v>
      </c>
      <c r="E7180" s="81" t="s">
        <v>4049</v>
      </c>
      <c r="F7180" s="81">
        <v>807.0</v>
      </c>
      <c r="G7180" s="81" t="s">
        <v>46</v>
      </c>
      <c r="H7180" s="81" t="s">
        <v>224</v>
      </c>
      <c r="I7180" s="81" t="s">
        <v>4058</v>
      </c>
      <c r="J7180" s="81" t="s">
        <v>224</v>
      </c>
    </row>
    <row r="7181">
      <c r="A7181" s="83" t="s">
        <v>6627</v>
      </c>
      <c r="B7181" s="83" t="s">
        <v>6628</v>
      </c>
      <c r="C7181" s="81" t="s">
        <v>4082</v>
      </c>
      <c r="D7181" s="83" t="s">
        <v>4871</v>
      </c>
      <c r="E7181" s="81" t="s">
        <v>4049</v>
      </c>
      <c r="F7181" s="81">
        <v>807.0</v>
      </c>
      <c r="G7181" s="81" t="s">
        <v>41</v>
      </c>
      <c r="H7181" s="81" t="s">
        <v>4054</v>
      </c>
      <c r="I7181" s="81" t="s">
        <v>224</v>
      </c>
      <c r="J7181" s="81" t="s">
        <v>6450</v>
      </c>
    </row>
    <row r="7182">
      <c r="A7182" s="83" t="s">
        <v>6627</v>
      </c>
      <c r="B7182" s="83" t="s">
        <v>6628</v>
      </c>
      <c r="C7182" s="81" t="s">
        <v>4621</v>
      </c>
      <c r="D7182" s="83" t="s">
        <v>4872</v>
      </c>
      <c r="E7182" s="81" t="s">
        <v>4059</v>
      </c>
      <c r="F7182" s="81">
        <v>808.0</v>
      </c>
      <c r="G7182" s="81" t="s">
        <v>45</v>
      </c>
      <c r="H7182" s="81" t="s">
        <v>224</v>
      </c>
      <c r="I7182" s="81" t="s">
        <v>4067</v>
      </c>
      <c r="J7182" s="81" t="s">
        <v>224</v>
      </c>
    </row>
    <row r="7183">
      <c r="A7183" s="83" t="s">
        <v>6627</v>
      </c>
      <c r="B7183" s="83" t="s">
        <v>6628</v>
      </c>
      <c r="C7183" s="81" t="s">
        <v>4621</v>
      </c>
      <c r="D7183" s="83" t="s">
        <v>4872</v>
      </c>
      <c r="E7183" s="81" t="s">
        <v>4059</v>
      </c>
      <c r="F7183" s="81">
        <v>808.0</v>
      </c>
      <c r="G7183" s="81" t="s">
        <v>46</v>
      </c>
      <c r="H7183" s="81" t="s">
        <v>224</v>
      </c>
      <c r="I7183" s="81" t="s">
        <v>4068</v>
      </c>
      <c r="J7183" s="81" t="s">
        <v>224</v>
      </c>
    </row>
    <row r="7184">
      <c r="A7184" s="83" t="s">
        <v>6627</v>
      </c>
      <c r="B7184" s="83" t="s">
        <v>6628</v>
      </c>
      <c r="C7184" s="81" t="s">
        <v>4082</v>
      </c>
      <c r="D7184" s="83" t="s">
        <v>4873</v>
      </c>
      <c r="E7184" s="81" t="s">
        <v>4874</v>
      </c>
      <c r="F7184" s="81">
        <v>809.0</v>
      </c>
      <c r="G7184" s="81" t="s">
        <v>41</v>
      </c>
      <c r="H7184" s="81" t="s">
        <v>4876</v>
      </c>
      <c r="I7184" s="81" t="s">
        <v>224</v>
      </c>
      <c r="J7184" s="81" t="s">
        <v>6451</v>
      </c>
    </row>
    <row r="7185">
      <c r="A7185" s="83" t="s">
        <v>6627</v>
      </c>
      <c r="B7185" s="83" t="s">
        <v>6628</v>
      </c>
      <c r="C7185" s="81" t="s">
        <v>4084</v>
      </c>
      <c r="D7185" s="81" t="s">
        <v>224</v>
      </c>
      <c r="E7185" s="81" t="s">
        <v>224</v>
      </c>
      <c r="F7185" s="81" t="s">
        <v>224</v>
      </c>
      <c r="G7185" s="81" t="s">
        <v>40</v>
      </c>
      <c r="H7185" s="81" t="s">
        <v>224</v>
      </c>
      <c r="I7185" s="81" t="s">
        <v>224</v>
      </c>
      <c r="J7185" s="81" t="s">
        <v>6452</v>
      </c>
    </row>
    <row r="7186">
      <c r="A7186" s="83" t="s">
        <v>6627</v>
      </c>
      <c r="B7186" s="83" t="s">
        <v>6628</v>
      </c>
      <c r="C7186" s="81" t="s">
        <v>4084</v>
      </c>
      <c r="D7186" s="81" t="s">
        <v>224</v>
      </c>
      <c r="E7186" s="81" t="s">
        <v>224</v>
      </c>
      <c r="F7186" s="81" t="s">
        <v>224</v>
      </c>
      <c r="G7186" s="81" t="s">
        <v>41</v>
      </c>
      <c r="H7186" s="81" t="s">
        <v>224</v>
      </c>
      <c r="I7186" s="81" t="s">
        <v>224</v>
      </c>
      <c r="J7186" s="81" t="s">
        <v>6453</v>
      </c>
    </row>
    <row r="7187">
      <c r="A7187" s="83" t="s">
        <v>6633</v>
      </c>
      <c r="B7187" s="83" t="s">
        <v>6634</v>
      </c>
      <c r="C7187" s="81" t="s">
        <v>4080</v>
      </c>
      <c r="D7187" s="81" t="s">
        <v>224</v>
      </c>
      <c r="E7187" s="81" t="s">
        <v>224</v>
      </c>
      <c r="F7187" s="81" t="s">
        <v>224</v>
      </c>
      <c r="G7187" s="81" t="s">
        <v>224</v>
      </c>
      <c r="H7187" s="81" t="s">
        <v>224</v>
      </c>
      <c r="I7187" s="81" t="s">
        <v>224</v>
      </c>
      <c r="J7187" s="81" t="s">
        <v>6635</v>
      </c>
    </row>
    <row r="7188">
      <c r="A7188" s="83" t="s">
        <v>6633</v>
      </c>
      <c r="B7188" s="83" t="s">
        <v>6634</v>
      </c>
      <c r="C7188" s="81" t="s">
        <v>4082</v>
      </c>
      <c r="D7188" s="81" t="s">
        <v>224</v>
      </c>
      <c r="E7188" s="81" t="s">
        <v>4055</v>
      </c>
      <c r="F7188" s="81" t="s">
        <v>224</v>
      </c>
      <c r="G7188" s="81" t="s">
        <v>42</v>
      </c>
      <c r="H7188" s="81" t="s">
        <v>224</v>
      </c>
      <c r="I7188" s="81" t="s">
        <v>224</v>
      </c>
      <c r="J7188" s="81" t="s">
        <v>6431</v>
      </c>
    </row>
    <row r="7189">
      <c r="A7189" s="83" t="s">
        <v>6633</v>
      </c>
      <c r="B7189" s="83" t="s">
        <v>6634</v>
      </c>
      <c r="C7189" s="81" t="s">
        <v>4082</v>
      </c>
      <c r="D7189" s="81" t="s">
        <v>224</v>
      </c>
      <c r="E7189" s="81" t="s">
        <v>6362</v>
      </c>
      <c r="F7189" s="81" t="s">
        <v>224</v>
      </c>
      <c r="G7189" s="81" t="s">
        <v>42</v>
      </c>
      <c r="H7189" s="81" t="s">
        <v>224</v>
      </c>
      <c r="I7189" s="81" t="s">
        <v>224</v>
      </c>
      <c r="J7189" s="81" t="s">
        <v>6363</v>
      </c>
    </row>
    <row r="7190">
      <c r="A7190" s="83" t="s">
        <v>6633</v>
      </c>
      <c r="B7190" s="83" t="s">
        <v>6634</v>
      </c>
      <c r="C7190" s="81" t="s">
        <v>4084</v>
      </c>
      <c r="D7190" s="81" t="s">
        <v>224</v>
      </c>
      <c r="E7190" s="81" t="s">
        <v>224</v>
      </c>
      <c r="F7190" s="81" t="s">
        <v>224</v>
      </c>
      <c r="G7190" s="81" t="s">
        <v>224</v>
      </c>
      <c r="H7190" s="81" t="s">
        <v>224</v>
      </c>
      <c r="I7190" s="81" t="s">
        <v>224</v>
      </c>
      <c r="J7190" s="81" t="s">
        <v>6636</v>
      </c>
    </row>
    <row r="7191">
      <c r="A7191" s="83" t="s">
        <v>6633</v>
      </c>
      <c r="B7191" s="83" t="s">
        <v>6634</v>
      </c>
      <c r="C7191" s="81" t="s">
        <v>4082</v>
      </c>
      <c r="D7191" s="81" t="s">
        <v>224</v>
      </c>
      <c r="E7191" s="81" t="s">
        <v>6637</v>
      </c>
      <c r="F7191" s="81" t="s">
        <v>224</v>
      </c>
      <c r="G7191" s="81" t="s">
        <v>224</v>
      </c>
      <c r="H7191" s="81" t="s">
        <v>224</v>
      </c>
      <c r="I7191" s="81" t="s">
        <v>224</v>
      </c>
      <c r="J7191" s="81" t="s">
        <v>6638</v>
      </c>
    </row>
    <row r="7192">
      <c r="A7192" s="83" t="s">
        <v>6633</v>
      </c>
      <c r="B7192" s="83" t="s">
        <v>6634</v>
      </c>
      <c r="C7192" s="81" t="s">
        <v>4082</v>
      </c>
      <c r="D7192" s="81" t="s">
        <v>224</v>
      </c>
      <c r="E7192" s="81" t="s">
        <v>6639</v>
      </c>
      <c r="F7192" s="81" t="s">
        <v>224</v>
      </c>
      <c r="G7192" s="81" t="s">
        <v>224</v>
      </c>
      <c r="H7192" s="81" t="s">
        <v>224</v>
      </c>
      <c r="I7192" s="81" t="s">
        <v>224</v>
      </c>
      <c r="J7192" s="81" t="s">
        <v>6638</v>
      </c>
    </row>
    <row r="7193">
      <c r="A7193" s="83" t="s">
        <v>6633</v>
      </c>
      <c r="B7193" s="83" t="s">
        <v>6634</v>
      </c>
      <c r="C7193" s="81" t="s">
        <v>4082</v>
      </c>
      <c r="D7193" s="81" t="s">
        <v>224</v>
      </c>
      <c r="E7193" s="81" t="s">
        <v>6458</v>
      </c>
      <c r="F7193" s="81" t="s">
        <v>224</v>
      </c>
      <c r="G7193" s="81" t="s">
        <v>224</v>
      </c>
      <c r="H7193" s="81" t="s">
        <v>224</v>
      </c>
      <c r="I7193" s="81" t="s">
        <v>224</v>
      </c>
      <c r="J7193" s="81" t="s">
        <v>6459</v>
      </c>
    </row>
    <row r="7194">
      <c r="A7194" s="83" t="s">
        <v>6633</v>
      </c>
      <c r="B7194" s="83" t="s">
        <v>6634</v>
      </c>
      <c r="C7194" s="81" t="s">
        <v>4082</v>
      </c>
      <c r="D7194" s="81" t="s">
        <v>224</v>
      </c>
      <c r="E7194" s="81" t="s">
        <v>6460</v>
      </c>
      <c r="F7194" s="81" t="s">
        <v>224</v>
      </c>
      <c r="G7194" s="81" t="s">
        <v>224</v>
      </c>
      <c r="H7194" s="81" t="s">
        <v>224</v>
      </c>
      <c r="I7194" s="81" t="s">
        <v>224</v>
      </c>
      <c r="J7194" s="81" t="s">
        <v>6461</v>
      </c>
    </row>
    <row r="7195">
      <c r="A7195" s="83" t="s">
        <v>6633</v>
      </c>
      <c r="B7195" s="83" t="s">
        <v>6634</v>
      </c>
      <c r="C7195" s="81" t="s">
        <v>4082</v>
      </c>
      <c r="D7195" s="81" t="s">
        <v>224</v>
      </c>
      <c r="E7195" s="81" t="s">
        <v>6462</v>
      </c>
      <c r="F7195" s="81" t="s">
        <v>224</v>
      </c>
      <c r="G7195" s="81" t="s">
        <v>224</v>
      </c>
      <c r="H7195" s="81" t="s">
        <v>224</v>
      </c>
      <c r="I7195" s="81" t="s">
        <v>224</v>
      </c>
      <c r="J7195" s="81" t="s">
        <v>6463</v>
      </c>
    </row>
    <row r="7196">
      <c r="A7196" s="83" t="s">
        <v>6633</v>
      </c>
      <c r="B7196" s="83" t="s">
        <v>6634</v>
      </c>
      <c r="C7196" s="81" t="s">
        <v>4082</v>
      </c>
      <c r="D7196" s="81" t="s">
        <v>224</v>
      </c>
      <c r="E7196" s="81" t="s">
        <v>6464</v>
      </c>
      <c r="F7196" s="81" t="s">
        <v>224</v>
      </c>
      <c r="G7196" s="81" t="s">
        <v>224</v>
      </c>
      <c r="H7196" s="81" t="s">
        <v>224</v>
      </c>
      <c r="I7196" s="81" t="s">
        <v>224</v>
      </c>
      <c r="J7196" s="81" t="s">
        <v>6465</v>
      </c>
    </row>
    <row r="7197">
      <c r="A7197" s="83" t="s">
        <v>6633</v>
      </c>
      <c r="B7197" s="83" t="s">
        <v>6634</v>
      </c>
      <c r="C7197" s="81" t="s">
        <v>4082</v>
      </c>
      <c r="D7197" s="81" t="s">
        <v>224</v>
      </c>
      <c r="E7197" s="81" t="s">
        <v>6466</v>
      </c>
      <c r="F7197" s="81" t="s">
        <v>224</v>
      </c>
      <c r="G7197" s="81" t="s">
        <v>224</v>
      </c>
      <c r="H7197" s="81" t="s">
        <v>224</v>
      </c>
      <c r="I7197" s="81" t="s">
        <v>224</v>
      </c>
      <c r="J7197" s="81" t="s">
        <v>6467</v>
      </c>
    </row>
    <row r="7198">
      <c r="A7198" s="83" t="s">
        <v>6633</v>
      </c>
      <c r="B7198" s="83" t="s">
        <v>6634</v>
      </c>
      <c r="C7198" s="81" t="s">
        <v>4082</v>
      </c>
      <c r="D7198" s="81" t="s">
        <v>224</v>
      </c>
      <c r="E7198" s="81" t="s">
        <v>6468</v>
      </c>
      <c r="F7198" s="81" t="s">
        <v>224</v>
      </c>
      <c r="G7198" s="81" t="s">
        <v>224</v>
      </c>
      <c r="H7198" s="81" t="s">
        <v>224</v>
      </c>
      <c r="I7198" s="81" t="s">
        <v>224</v>
      </c>
      <c r="J7198" s="81" t="s">
        <v>6469</v>
      </c>
    </row>
    <row r="7199">
      <c r="A7199" s="83" t="s">
        <v>6633</v>
      </c>
      <c r="B7199" s="83" t="s">
        <v>6634</v>
      </c>
      <c r="C7199" s="81" t="s">
        <v>4082</v>
      </c>
      <c r="D7199" s="81" t="s">
        <v>224</v>
      </c>
      <c r="E7199" s="81" t="s">
        <v>6470</v>
      </c>
      <c r="F7199" s="81" t="s">
        <v>224</v>
      </c>
      <c r="G7199" s="81" t="s">
        <v>224</v>
      </c>
      <c r="H7199" s="81" t="s">
        <v>224</v>
      </c>
      <c r="I7199" s="81" t="s">
        <v>224</v>
      </c>
      <c r="J7199" s="81" t="s">
        <v>6471</v>
      </c>
    </row>
    <row r="7200">
      <c r="A7200" s="83" t="s">
        <v>6633</v>
      </c>
      <c r="B7200" s="83" t="s">
        <v>6634</v>
      </c>
      <c r="C7200" s="81" t="s">
        <v>4082</v>
      </c>
      <c r="D7200" s="81" t="s">
        <v>224</v>
      </c>
      <c r="E7200" s="81" t="s">
        <v>6472</v>
      </c>
      <c r="F7200" s="81" t="s">
        <v>224</v>
      </c>
      <c r="G7200" s="81" t="s">
        <v>224</v>
      </c>
      <c r="H7200" s="81" t="s">
        <v>224</v>
      </c>
      <c r="I7200" s="81" t="s">
        <v>224</v>
      </c>
      <c r="J7200" s="81" t="s">
        <v>6473</v>
      </c>
    </row>
    <row r="7201">
      <c r="A7201" s="83" t="s">
        <v>6633</v>
      </c>
      <c r="B7201" s="83" t="s">
        <v>6634</v>
      </c>
      <c r="C7201" s="81" t="s">
        <v>4082</v>
      </c>
      <c r="D7201" s="81" t="s">
        <v>224</v>
      </c>
      <c r="E7201" s="81" t="s">
        <v>6474</v>
      </c>
      <c r="F7201" s="81" t="s">
        <v>224</v>
      </c>
      <c r="G7201" s="81" t="s">
        <v>224</v>
      </c>
      <c r="H7201" s="81" t="s">
        <v>224</v>
      </c>
      <c r="I7201" s="81" t="s">
        <v>224</v>
      </c>
      <c r="J7201" s="81" t="s">
        <v>6475</v>
      </c>
    </row>
    <row r="7202">
      <c r="A7202" s="83" t="s">
        <v>6633</v>
      </c>
      <c r="B7202" s="83" t="s">
        <v>6634</v>
      </c>
      <c r="C7202" s="81" t="s">
        <v>4082</v>
      </c>
      <c r="D7202" s="81" t="s">
        <v>224</v>
      </c>
      <c r="E7202" s="81" t="s">
        <v>6476</v>
      </c>
      <c r="F7202" s="81" t="s">
        <v>224</v>
      </c>
      <c r="G7202" s="81" t="s">
        <v>224</v>
      </c>
      <c r="H7202" s="81" t="s">
        <v>224</v>
      </c>
      <c r="I7202" s="81" t="s">
        <v>224</v>
      </c>
      <c r="J7202" s="81" t="s">
        <v>6477</v>
      </c>
    </row>
    <row r="7203">
      <c r="A7203" s="83" t="s">
        <v>6633</v>
      </c>
      <c r="B7203" s="83" t="s">
        <v>6634</v>
      </c>
      <c r="C7203" s="81" t="s">
        <v>4082</v>
      </c>
      <c r="D7203" s="81" t="s">
        <v>224</v>
      </c>
      <c r="E7203" s="81" t="s">
        <v>6478</v>
      </c>
      <c r="F7203" s="81" t="s">
        <v>224</v>
      </c>
      <c r="G7203" s="81" t="s">
        <v>224</v>
      </c>
      <c r="H7203" s="81" t="s">
        <v>224</v>
      </c>
      <c r="I7203" s="81" t="s">
        <v>224</v>
      </c>
      <c r="J7203" s="81" t="s">
        <v>6479</v>
      </c>
    </row>
    <row r="7204">
      <c r="A7204" s="83" t="s">
        <v>6633</v>
      </c>
      <c r="B7204" s="83" t="s">
        <v>6634</v>
      </c>
      <c r="C7204" s="81" t="s">
        <v>4082</v>
      </c>
      <c r="D7204" s="81" t="s">
        <v>224</v>
      </c>
      <c r="E7204" s="81" t="s">
        <v>6480</v>
      </c>
      <c r="F7204" s="81" t="s">
        <v>224</v>
      </c>
      <c r="G7204" s="81" t="s">
        <v>224</v>
      </c>
      <c r="H7204" s="81" t="s">
        <v>224</v>
      </c>
      <c r="I7204" s="81" t="s">
        <v>224</v>
      </c>
      <c r="J7204" s="81" t="s">
        <v>6481</v>
      </c>
    </row>
    <row r="7205">
      <c r="A7205" s="83" t="s">
        <v>6633</v>
      </c>
      <c r="B7205" s="83" t="s">
        <v>6634</v>
      </c>
      <c r="C7205" s="81" t="s">
        <v>4082</v>
      </c>
      <c r="D7205" s="81" t="s">
        <v>224</v>
      </c>
      <c r="E7205" s="81" t="s">
        <v>6482</v>
      </c>
      <c r="F7205" s="81" t="s">
        <v>224</v>
      </c>
      <c r="G7205" s="81" t="s">
        <v>224</v>
      </c>
      <c r="H7205" s="81" t="s">
        <v>224</v>
      </c>
      <c r="I7205" s="81" t="s">
        <v>224</v>
      </c>
      <c r="J7205" s="81" t="s">
        <v>6483</v>
      </c>
    </row>
    <row r="7206">
      <c r="A7206" s="83" t="s">
        <v>6633</v>
      </c>
      <c r="B7206" s="83" t="s">
        <v>6634</v>
      </c>
      <c r="C7206" s="81" t="s">
        <v>4082</v>
      </c>
      <c r="D7206" s="81" t="s">
        <v>224</v>
      </c>
      <c r="E7206" s="81" t="s">
        <v>6484</v>
      </c>
      <c r="F7206" s="81" t="s">
        <v>224</v>
      </c>
      <c r="G7206" s="81" t="s">
        <v>224</v>
      </c>
      <c r="H7206" s="81" t="s">
        <v>224</v>
      </c>
      <c r="I7206" s="81" t="s">
        <v>224</v>
      </c>
      <c r="J7206" s="81" t="s">
        <v>6485</v>
      </c>
    </row>
    <row r="7207">
      <c r="A7207" s="83" t="s">
        <v>6633</v>
      </c>
      <c r="B7207" s="83" t="s">
        <v>6634</v>
      </c>
      <c r="C7207" s="81" t="s">
        <v>4082</v>
      </c>
      <c r="D7207" s="81" t="s">
        <v>224</v>
      </c>
      <c r="E7207" s="81" t="s">
        <v>6486</v>
      </c>
      <c r="F7207" s="81" t="s">
        <v>224</v>
      </c>
      <c r="G7207" s="81" t="s">
        <v>224</v>
      </c>
      <c r="H7207" s="81" t="s">
        <v>224</v>
      </c>
      <c r="I7207" s="81" t="s">
        <v>224</v>
      </c>
      <c r="J7207" s="81" t="s">
        <v>6487</v>
      </c>
    </row>
    <row r="7208">
      <c r="A7208" s="83" t="s">
        <v>6633</v>
      </c>
      <c r="B7208" s="83" t="s">
        <v>6634</v>
      </c>
      <c r="C7208" s="81" t="s">
        <v>4082</v>
      </c>
      <c r="D7208" s="81" t="s">
        <v>224</v>
      </c>
      <c r="E7208" s="81" t="s">
        <v>6488</v>
      </c>
      <c r="F7208" s="81" t="s">
        <v>224</v>
      </c>
      <c r="G7208" s="81" t="s">
        <v>224</v>
      </c>
      <c r="H7208" s="81" t="s">
        <v>224</v>
      </c>
      <c r="I7208" s="81" t="s">
        <v>224</v>
      </c>
      <c r="J7208" s="81" t="s">
        <v>6489</v>
      </c>
    </row>
    <row r="7209">
      <c r="A7209" s="83" t="s">
        <v>6633</v>
      </c>
      <c r="B7209" s="83" t="s">
        <v>6634</v>
      </c>
      <c r="C7209" s="81" t="s">
        <v>4082</v>
      </c>
      <c r="D7209" s="81" t="s">
        <v>224</v>
      </c>
      <c r="E7209" s="81" t="s">
        <v>6490</v>
      </c>
      <c r="F7209" s="81" t="s">
        <v>224</v>
      </c>
      <c r="G7209" s="81" t="s">
        <v>224</v>
      </c>
      <c r="H7209" s="81" t="s">
        <v>224</v>
      </c>
      <c r="I7209" s="81" t="s">
        <v>224</v>
      </c>
      <c r="J7209" s="81" t="s">
        <v>6491</v>
      </c>
    </row>
    <row r="7210">
      <c r="A7210" s="83" t="s">
        <v>6633</v>
      </c>
      <c r="B7210" s="83" t="s">
        <v>6634</v>
      </c>
      <c r="C7210" s="81" t="s">
        <v>4082</v>
      </c>
      <c r="D7210" s="81" t="s">
        <v>224</v>
      </c>
      <c r="E7210" s="81" t="s">
        <v>6492</v>
      </c>
      <c r="F7210" s="81" t="s">
        <v>224</v>
      </c>
      <c r="G7210" s="81" t="s">
        <v>224</v>
      </c>
      <c r="H7210" s="81" t="s">
        <v>224</v>
      </c>
      <c r="I7210" s="81" t="s">
        <v>224</v>
      </c>
      <c r="J7210" s="81" t="s">
        <v>6493</v>
      </c>
    </row>
    <row r="7211">
      <c r="A7211" s="83" t="s">
        <v>6633</v>
      </c>
      <c r="B7211" s="83" t="s">
        <v>6634</v>
      </c>
      <c r="C7211" s="81" t="s">
        <v>4082</v>
      </c>
      <c r="D7211" s="81" t="s">
        <v>224</v>
      </c>
      <c r="E7211" s="81" t="s">
        <v>6494</v>
      </c>
      <c r="F7211" s="81" t="s">
        <v>224</v>
      </c>
      <c r="G7211" s="81" t="s">
        <v>224</v>
      </c>
      <c r="H7211" s="81" t="s">
        <v>224</v>
      </c>
      <c r="I7211" s="81" t="s">
        <v>224</v>
      </c>
      <c r="J7211" s="81" t="s">
        <v>6495</v>
      </c>
    </row>
    <row r="7212">
      <c r="A7212" s="83" t="s">
        <v>6633</v>
      </c>
      <c r="B7212" s="83" t="s">
        <v>6634</v>
      </c>
      <c r="C7212" s="81" t="s">
        <v>4082</v>
      </c>
      <c r="D7212" s="81" t="s">
        <v>224</v>
      </c>
      <c r="E7212" s="81" t="s">
        <v>6496</v>
      </c>
      <c r="F7212" s="81" t="s">
        <v>224</v>
      </c>
      <c r="G7212" s="81" t="s">
        <v>224</v>
      </c>
      <c r="H7212" s="81" t="s">
        <v>224</v>
      </c>
      <c r="I7212" s="81" t="s">
        <v>224</v>
      </c>
      <c r="J7212" s="81" t="s">
        <v>6497</v>
      </c>
    </row>
    <row r="7213">
      <c r="A7213" s="83" t="s">
        <v>6633</v>
      </c>
      <c r="B7213" s="83" t="s">
        <v>6634</v>
      </c>
      <c r="C7213" s="81" t="s">
        <v>4082</v>
      </c>
      <c r="D7213" s="81" t="s">
        <v>224</v>
      </c>
      <c r="E7213" s="81" t="s">
        <v>6498</v>
      </c>
      <c r="F7213" s="81" t="s">
        <v>224</v>
      </c>
      <c r="G7213" s="81" t="s">
        <v>224</v>
      </c>
      <c r="H7213" s="81" t="s">
        <v>224</v>
      </c>
      <c r="I7213" s="81" t="s">
        <v>224</v>
      </c>
      <c r="J7213" s="81" t="s">
        <v>6499</v>
      </c>
    </row>
    <row r="7214">
      <c r="A7214" s="83" t="s">
        <v>6633</v>
      </c>
      <c r="B7214" s="83" t="s">
        <v>6634</v>
      </c>
      <c r="C7214" s="81" t="s">
        <v>4082</v>
      </c>
      <c r="D7214" s="81" t="s">
        <v>224</v>
      </c>
      <c r="E7214" s="81" t="s">
        <v>6500</v>
      </c>
      <c r="F7214" s="81" t="s">
        <v>224</v>
      </c>
      <c r="G7214" s="81" t="s">
        <v>224</v>
      </c>
      <c r="H7214" s="81" t="s">
        <v>224</v>
      </c>
      <c r="I7214" s="81" t="s">
        <v>224</v>
      </c>
      <c r="J7214" s="81" t="s">
        <v>6501</v>
      </c>
    </row>
    <row r="7215">
      <c r="A7215" s="83" t="s">
        <v>6633</v>
      </c>
      <c r="B7215" s="83" t="s">
        <v>6634</v>
      </c>
      <c r="C7215" s="81" t="s">
        <v>4082</v>
      </c>
      <c r="D7215" s="81" t="s">
        <v>224</v>
      </c>
      <c r="E7215" s="81" t="s">
        <v>6502</v>
      </c>
      <c r="F7215" s="81" t="s">
        <v>224</v>
      </c>
      <c r="G7215" s="81" t="s">
        <v>224</v>
      </c>
      <c r="H7215" s="81" t="s">
        <v>224</v>
      </c>
      <c r="I7215" s="81" t="s">
        <v>224</v>
      </c>
      <c r="J7215" s="81" t="s">
        <v>6491</v>
      </c>
    </row>
    <row r="7216">
      <c r="A7216" s="83" t="s">
        <v>6633</v>
      </c>
      <c r="B7216" s="83" t="s">
        <v>6634</v>
      </c>
      <c r="C7216" s="81" t="s">
        <v>4082</v>
      </c>
      <c r="D7216" s="81" t="s">
        <v>224</v>
      </c>
      <c r="E7216" s="81" t="s">
        <v>6503</v>
      </c>
      <c r="F7216" s="81" t="s">
        <v>224</v>
      </c>
      <c r="G7216" s="81" t="s">
        <v>224</v>
      </c>
      <c r="H7216" s="81" t="s">
        <v>224</v>
      </c>
      <c r="I7216" s="81" t="s">
        <v>224</v>
      </c>
      <c r="J7216" s="81" t="s">
        <v>6473</v>
      </c>
    </row>
    <row r="7217">
      <c r="A7217" s="83" t="s">
        <v>6633</v>
      </c>
      <c r="B7217" s="83" t="s">
        <v>6634</v>
      </c>
      <c r="C7217" s="81" t="s">
        <v>4082</v>
      </c>
      <c r="D7217" s="81" t="s">
        <v>224</v>
      </c>
      <c r="E7217" s="81" t="s">
        <v>6504</v>
      </c>
      <c r="F7217" s="81" t="s">
        <v>224</v>
      </c>
      <c r="G7217" s="81" t="s">
        <v>224</v>
      </c>
      <c r="H7217" s="81" t="s">
        <v>224</v>
      </c>
      <c r="I7217" s="81" t="s">
        <v>224</v>
      </c>
      <c r="J7217" s="81" t="s">
        <v>6489</v>
      </c>
    </row>
    <row r="7218">
      <c r="A7218" s="83" t="s">
        <v>6633</v>
      </c>
      <c r="B7218" s="83" t="s">
        <v>6634</v>
      </c>
      <c r="C7218" s="81" t="s">
        <v>4082</v>
      </c>
      <c r="D7218" s="81" t="s">
        <v>224</v>
      </c>
      <c r="E7218" s="81" t="s">
        <v>6505</v>
      </c>
      <c r="F7218" s="81" t="s">
        <v>224</v>
      </c>
      <c r="G7218" s="81" t="s">
        <v>224</v>
      </c>
      <c r="H7218" s="81" t="s">
        <v>224</v>
      </c>
      <c r="I7218" s="81" t="s">
        <v>224</v>
      </c>
      <c r="J7218" s="81" t="s">
        <v>6469</v>
      </c>
    </row>
    <row r="7219">
      <c r="A7219" s="83" t="s">
        <v>6633</v>
      </c>
      <c r="B7219" s="83" t="s">
        <v>6634</v>
      </c>
      <c r="C7219" s="81" t="s">
        <v>4082</v>
      </c>
      <c r="D7219" s="81" t="s">
        <v>224</v>
      </c>
      <c r="E7219" s="81" t="s">
        <v>6506</v>
      </c>
      <c r="F7219" s="81" t="s">
        <v>224</v>
      </c>
      <c r="G7219" s="81" t="s">
        <v>224</v>
      </c>
      <c r="H7219" s="81" t="s">
        <v>224</v>
      </c>
      <c r="I7219" s="81" t="s">
        <v>224</v>
      </c>
      <c r="J7219" s="81" t="s">
        <v>6499</v>
      </c>
    </row>
    <row r="7220">
      <c r="A7220" s="83" t="s">
        <v>6633</v>
      </c>
      <c r="B7220" s="83" t="s">
        <v>6634</v>
      </c>
      <c r="C7220" s="81" t="s">
        <v>4082</v>
      </c>
      <c r="D7220" s="81" t="s">
        <v>224</v>
      </c>
      <c r="E7220" s="81" t="s">
        <v>6507</v>
      </c>
      <c r="F7220" s="81" t="s">
        <v>224</v>
      </c>
      <c r="G7220" s="81" t="s">
        <v>224</v>
      </c>
      <c r="H7220" s="81" t="s">
        <v>224</v>
      </c>
      <c r="I7220" s="81" t="s">
        <v>224</v>
      </c>
      <c r="J7220" s="81" t="s">
        <v>6485</v>
      </c>
    </row>
    <row r="7221">
      <c r="A7221" s="83" t="s">
        <v>6633</v>
      </c>
      <c r="B7221" s="83" t="s">
        <v>6634</v>
      </c>
      <c r="C7221" s="81" t="s">
        <v>4082</v>
      </c>
      <c r="D7221" s="81" t="s">
        <v>224</v>
      </c>
      <c r="E7221" s="81" t="s">
        <v>6508</v>
      </c>
      <c r="F7221" s="81" t="s">
        <v>224</v>
      </c>
      <c r="G7221" s="81" t="s">
        <v>224</v>
      </c>
      <c r="H7221" s="81" t="s">
        <v>224</v>
      </c>
      <c r="I7221" s="81" t="s">
        <v>224</v>
      </c>
      <c r="J7221" s="81" t="s">
        <v>6501</v>
      </c>
    </row>
    <row r="7222">
      <c r="A7222" s="83" t="s">
        <v>6633</v>
      </c>
      <c r="B7222" s="83" t="s">
        <v>6634</v>
      </c>
      <c r="C7222" s="81" t="s">
        <v>4082</v>
      </c>
      <c r="D7222" s="81" t="s">
        <v>224</v>
      </c>
      <c r="E7222" s="81" t="s">
        <v>6509</v>
      </c>
      <c r="F7222" s="81" t="s">
        <v>224</v>
      </c>
      <c r="G7222" s="81" t="s">
        <v>224</v>
      </c>
      <c r="H7222" s="81" t="s">
        <v>224</v>
      </c>
      <c r="I7222" s="81" t="s">
        <v>224</v>
      </c>
      <c r="J7222" s="81" t="s">
        <v>6481</v>
      </c>
    </row>
    <row r="7223">
      <c r="A7223" s="83" t="s">
        <v>6633</v>
      </c>
      <c r="B7223" s="83" t="s">
        <v>6634</v>
      </c>
      <c r="C7223" s="81" t="s">
        <v>4082</v>
      </c>
      <c r="D7223" s="81" t="s">
        <v>224</v>
      </c>
      <c r="E7223" s="81" t="s">
        <v>6510</v>
      </c>
      <c r="F7223" s="81" t="s">
        <v>224</v>
      </c>
      <c r="G7223" s="81" t="s">
        <v>224</v>
      </c>
      <c r="H7223" s="81" t="s">
        <v>224</v>
      </c>
      <c r="I7223" s="81" t="s">
        <v>224</v>
      </c>
      <c r="J7223" s="81" t="s">
        <v>6495</v>
      </c>
    </row>
    <row r="7224">
      <c r="A7224" s="83" t="s">
        <v>6633</v>
      </c>
      <c r="B7224" s="83" t="s">
        <v>6634</v>
      </c>
      <c r="C7224" s="81" t="s">
        <v>4082</v>
      </c>
      <c r="D7224" s="81" t="s">
        <v>224</v>
      </c>
      <c r="E7224" s="81" t="s">
        <v>6511</v>
      </c>
      <c r="F7224" s="81" t="s">
        <v>224</v>
      </c>
      <c r="G7224" s="81" t="s">
        <v>224</v>
      </c>
      <c r="H7224" s="81" t="s">
        <v>224</v>
      </c>
      <c r="I7224" s="81" t="s">
        <v>224</v>
      </c>
      <c r="J7224" s="81" t="s">
        <v>6477</v>
      </c>
    </row>
    <row r="7225">
      <c r="A7225" s="83" t="s">
        <v>6633</v>
      </c>
      <c r="B7225" s="83" t="s">
        <v>6634</v>
      </c>
      <c r="C7225" s="81" t="s">
        <v>4082</v>
      </c>
      <c r="D7225" s="81" t="s">
        <v>224</v>
      </c>
      <c r="E7225" s="81" t="s">
        <v>6512</v>
      </c>
      <c r="F7225" s="81" t="s">
        <v>224</v>
      </c>
      <c r="G7225" s="81" t="s">
        <v>224</v>
      </c>
      <c r="H7225" s="81" t="s">
        <v>224</v>
      </c>
      <c r="I7225" s="81" t="s">
        <v>224</v>
      </c>
      <c r="J7225" s="81" t="s">
        <v>6493</v>
      </c>
    </row>
    <row r="7226">
      <c r="A7226" s="83" t="s">
        <v>6633</v>
      </c>
      <c r="B7226" s="83" t="s">
        <v>6634</v>
      </c>
      <c r="C7226" s="81" t="s">
        <v>4082</v>
      </c>
      <c r="D7226" s="81" t="s">
        <v>224</v>
      </c>
      <c r="E7226" s="81" t="s">
        <v>6513</v>
      </c>
      <c r="F7226" s="81" t="s">
        <v>224</v>
      </c>
      <c r="G7226" s="81" t="s">
        <v>224</v>
      </c>
      <c r="H7226" s="81" t="s">
        <v>224</v>
      </c>
      <c r="I7226" s="81" t="s">
        <v>224</v>
      </c>
      <c r="J7226" s="81" t="s">
        <v>6475</v>
      </c>
    </row>
    <row r="7227">
      <c r="A7227" s="83" t="s">
        <v>6633</v>
      </c>
      <c r="B7227" s="83" t="s">
        <v>6634</v>
      </c>
      <c r="C7227" s="81" t="s">
        <v>4082</v>
      </c>
      <c r="D7227" s="81" t="s">
        <v>224</v>
      </c>
      <c r="E7227" s="81" t="s">
        <v>6514</v>
      </c>
      <c r="F7227" s="81" t="s">
        <v>224</v>
      </c>
      <c r="G7227" s="81" t="s">
        <v>224</v>
      </c>
      <c r="H7227" s="81" t="s">
        <v>224</v>
      </c>
      <c r="I7227" s="81" t="s">
        <v>224</v>
      </c>
      <c r="J7227" s="81" t="s">
        <v>6471</v>
      </c>
    </row>
    <row r="7228">
      <c r="A7228" s="83" t="s">
        <v>6633</v>
      </c>
      <c r="B7228" s="83" t="s">
        <v>6634</v>
      </c>
      <c r="C7228" s="81" t="s">
        <v>4082</v>
      </c>
      <c r="D7228" s="81" t="s">
        <v>224</v>
      </c>
      <c r="E7228" s="81" t="s">
        <v>6515</v>
      </c>
      <c r="F7228" s="81" t="s">
        <v>224</v>
      </c>
      <c r="G7228" s="81" t="s">
        <v>224</v>
      </c>
      <c r="H7228" s="81" t="s">
        <v>224</v>
      </c>
      <c r="I7228" s="81" t="s">
        <v>224</v>
      </c>
      <c r="J7228" s="81" t="s">
        <v>6483</v>
      </c>
    </row>
    <row r="7229">
      <c r="A7229" s="83" t="s">
        <v>6633</v>
      </c>
      <c r="B7229" s="83" t="s">
        <v>6634</v>
      </c>
      <c r="C7229" s="81" t="s">
        <v>4082</v>
      </c>
      <c r="D7229" s="81" t="s">
        <v>224</v>
      </c>
      <c r="E7229" s="81" t="s">
        <v>6516</v>
      </c>
      <c r="F7229" s="81" t="s">
        <v>224</v>
      </c>
      <c r="G7229" s="81" t="s">
        <v>224</v>
      </c>
      <c r="H7229" s="81" t="s">
        <v>224</v>
      </c>
      <c r="I7229" s="81" t="s">
        <v>224</v>
      </c>
      <c r="J7229" s="81" t="s">
        <v>6497</v>
      </c>
    </row>
    <row r="7230">
      <c r="A7230" s="83" t="s">
        <v>6633</v>
      </c>
      <c r="B7230" s="83" t="s">
        <v>6634</v>
      </c>
      <c r="C7230" s="81" t="s">
        <v>4082</v>
      </c>
      <c r="D7230" s="81" t="s">
        <v>224</v>
      </c>
      <c r="E7230" s="81" t="s">
        <v>6517</v>
      </c>
      <c r="F7230" s="81" t="s">
        <v>224</v>
      </c>
      <c r="G7230" s="81" t="s">
        <v>224</v>
      </c>
      <c r="H7230" s="81" t="s">
        <v>224</v>
      </c>
      <c r="I7230" s="81" t="s">
        <v>224</v>
      </c>
      <c r="J7230" s="81" t="s">
        <v>6479</v>
      </c>
    </row>
    <row r="7231">
      <c r="A7231" s="83" t="s">
        <v>6633</v>
      </c>
      <c r="B7231" s="83" t="s">
        <v>6634</v>
      </c>
      <c r="C7231" s="81" t="s">
        <v>4082</v>
      </c>
      <c r="D7231" s="81" t="s">
        <v>224</v>
      </c>
      <c r="E7231" s="81" t="s">
        <v>6518</v>
      </c>
      <c r="F7231" s="81" t="s">
        <v>224</v>
      </c>
      <c r="G7231" s="81" t="s">
        <v>224</v>
      </c>
      <c r="H7231" s="81" t="s">
        <v>224</v>
      </c>
      <c r="I7231" s="81" t="s">
        <v>224</v>
      </c>
      <c r="J7231" s="81" t="s">
        <v>6487</v>
      </c>
    </row>
    <row r="7232">
      <c r="A7232" s="83" t="s">
        <v>6633</v>
      </c>
      <c r="B7232" s="83" t="s">
        <v>6634</v>
      </c>
      <c r="C7232" s="81" t="s">
        <v>4082</v>
      </c>
      <c r="D7232" s="81" t="s">
        <v>224</v>
      </c>
      <c r="E7232" s="81" t="s">
        <v>6519</v>
      </c>
      <c r="F7232" s="81" t="s">
        <v>224</v>
      </c>
      <c r="G7232" s="81" t="s">
        <v>224</v>
      </c>
      <c r="H7232" s="81" t="s">
        <v>224</v>
      </c>
      <c r="I7232" s="81" t="s">
        <v>224</v>
      </c>
      <c r="J7232" s="81" t="s">
        <v>6467</v>
      </c>
    </row>
    <row r="7233">
      <c r="A7233" s="83" t="s">
        <v>6633</v>
      </c>
      <c r="B7233" s="83" t="s">
        <v>6634</v>
      </c>
      <c r="C7233" s="81" t="s">
        <v>4082</v>
      </c>
      <c r="D7233" s="81" t="s">
        <v>224</v>
      </c>
      <c r="E7233" s="81" t="s">
        <v>6520</v>
      </c>
      <c r="F7233" s="81" t="s">
        <v>224</v>
      </c>
      <c r="G7233" s="81" t="s">
        <v>224</v>
      </c>
      <c r="H7233" s="81" t="s">
        <v>224</v>
      </c>
      <c r="I7233" s="81" t="s">
        <v>224</v>
      </c>
      <c r="J7233" s="81" t="s">
        <v>6521</v>
      </c>
    </row>
    <row r="7234">
      <c r="A7234" s="83" t="s">
        <v>6633</v>
      </c>
      <c r="B7234" s="83" t="s">
        <v>6634</v>
      </c>
      <c r="C7234" s="81" t="s">
        <v>4082</v>
      </c>
      <c r="D7234" s="81" t="s">
        <v>224</v>
      </c>
      <c r="E7234" s="81" t="s">
        <v>6522</v>
      </c>
      <c r="F7234" s="81" t="s">
        <v>224</v>
      </c>
      <c r="G7234" s="81" t="s">
        <v>224</v>
      </c>
      <c r="H7234" s="81" t="s">
        <v>224</v>
      </c>
      <c r="I7234" s="81" t="s">
        <v>224</v>
      </c>
      <c r="J7234" s="81" t="s">
        <v>6521</v>
      </c>
    </row>
    <row r="7235">
      <c r="A7235" s="83" t="s">
        <v>6633</v>
      </c>
      <c r="B7235" s="83" t="s">
        <v>6634</v>
      </c>
      <c r="C7235" s="81" t="s">
        <v>4082</v>
      </c>
      <c r="D7235" s="81" t="s">
        <v>224</v>
      </c>
      <c r="E7235" s="81" t="s">
        <v>6523</v>
      </c>
      <c r="F7235" s="81" t="s">
        <v>224</v>
      </c>
      <c r="G7235" s="81" t="s">
        <v>224</v>
      </c>
      <c r="H7235" s="81" t="s">
        <v>224</v>
      </c>
      <c r="I7235" s="81" t="s">
        <v>224</v>
      </c>
      <c r="J7235" s="81" t="s">
        <v>6524</v>
      </c>
    </row>
    <row r="7236">
      <c r="A7236" s="83" t="s">
        <v>6633</v>
      </c>
      <c r="B7236" s="83" t="s">
        <v>6634</v>
      </c>
      <c r="C7236" s="81" t="s">
        <v>4082</v>
      </c>
      <c r="D7236" s="81" t="s">
        <v>224</v>
      </c>
      <c r="E7236" s="81" t="s">
        <v>6525</v>
      </c>
      <c r="F7236" s="81" t="s">
        <v>224</v>
      </c>
      <c r="G7236" s="81" t="s">
        <v>224</v>
      </c>
      <c r="H7236" s="81" t="s">
        <v>224</v>
      </c>
      <c r="I7236" s="81" t="s">
        <v>224</v>
      </c>
      <c r="J7236" s="81" t="s">
        <v>6526</v>
      </c>
    </row>
    <row r="7237">
      <c r="A7237" s="83" t="s">
        <v>6633</v>
      </c>
      <c r="B7237" s="83" t="s">
        <v>6634</v>
      </c>
      <c r="C7237" s="81" t="s">
        <v>4082</v>
      </c>
      <c r="D7237" s="81" t="s">
        <v>224</v>
      </c>
      <c r="E7237" s="81" t="s">
        <v>6527</v>
      </c>
      <c r="F7237" s="81" t="s">
        <v>224</v>
      </c>
      <c r="G7237" s="81" t="s">
        <v>224</v>
      </c>
      <c r="H7237" s="81" t="s">
        <v>224</v>
      </c>
      <c r="I7237" s="81" t="s">
        <v>224</v>
      </c>
      <c r="J7237" s="81" t="s">
        <v>6528</v>
      </c>
    </row>
    <row r="7238">
      <c r="A7238" s="83" t="s">
        <v>6633</v>
      </c>
      <c r="B7238" s="83" t="s">
        <v>6634</v>
      </c>
      <c r="C7238" s="81" t="s">
        <v>4082</v>
      </c>
      <c r="D7238" s="81" t="s">
        <v>224</v>
      </c>
      <c r="E7238" s="81" t="s">
        <v>6529</v>
      </c>
      <c r="F7238" s="81" t="s">
        <v>224</v>
      </c>
      <c r="G7238" s="81" t="s">
        <v>224</v>
      </c>
      <c r="H7238" s="81" t="s">
        <v>224</v>
      </c>
      <c r="I7238" s="81" t="s">
        <v>224</v>
      </c>
      <c r="J7238" s="81" t="s">
        <v>6530</v>
      </c>
    </row>
    <row r="7239">
      <c r="A7239" s="83" t="s">
        <v>6633</v>
      </c>
      <c r="B7239" s="83" t="s">
        <v>6634</v>
      </c>
      <c r="C7239" s="81" t="s">
        <v>4082</v>
      </c>
      <c r="D7239" s="81" t="s">
        <v>224</v>
      </c>
      <c r="E7239" s="81" t="s">
        <v>6531</v>
      </c>
      <c r="F7239" s="81" t="s">
        <v>224</v>
      </c>
      <c r="G7239" s="81" t="s">
        <v>224</v>
      </c>
      <c r="H7239" s="81" t="s">
        <v>224</v>
      </c>
      <c r="I7239" s="81" t="s">
        <v>224</v>
      </c>
      <c r="J7239" s="81" t="s">
        <v>6530</v>
      </c>
    </row>
    <row r="7240">
      <c r="A7240" s="83" t="s">
        <v>6633</v>
      </c>
      <c r="B7240" s="83" t="s">
        <v>6634</v>
      </c>
      <c r="C7240" s="81" t="s">
        <v>4082</v>
      </c>
      <c r="D7240" s="81" t="s">
        <v>224</v>
      </c>
      <c r="E7240" s="81" t="s">
        <v>6532</v>
      </c>
      <c r="F7240" s="81" t="s">
        <v>224</v>
      </c>
      <c r="G7240" s="81" t="s">
        <v>224</v>
      </c>
      <c r="H7240" s="81" t="s">
        <v>224</v>
      </c>
      <c r="I7240" s="81" t="s">
        <v>224</v>
      </c>
      <c r="J7240" s="81" t="s">
        <v>6533</v>
      </c>
    </row>
    <row r="7241">
      <c r="A7241" s="83" t="s">
        <v>6633</v>
      </c>
      <c r="B7241" s="83" t="s">
        <v>6634</v>
      </c>
      <c r="C7241" s="81" t="s">
        <v>4082</v>
      </c>
      <c r="D7241" s="81" t="s">
        <v>224</v>
      </c>
      <c r="E7241" s="81" t="s">
        <v>6534</v>
      </c>
      <c r="F7241" s="81" t="s">
        <v>224</v>
      </c>
      <c r="G7241" s="81" t="s">
        <v>224</v>
      </c>
      <c r="H7241" s="81" t="s">
        <v>224</v>
      </c>
      <c r="I7241" s="81" t="s">
        <v>224</v>
      </c>
      <c r="J7241" s="81" t="s">
        <v>6533</v>
      </c>
    </row>
    <row r="7242">
      <c r="A7242" s="83" t="s">
        <v>6633</v>
      </c>
      <c r="B7242" s="83" t="s">
        <v>6634</v>
      </c>
      <c r="C7242" s="81" t="s">
        <v>4082</v>
      </c>
      <c r="D7242" s="81" t="s">
        <v>224</v>
      </c>
      <c r="E7242" s="81" t="s">
        <v>6535</v>
      </c>
      <c r="F7242" s="81" t="s">
        <v>224</v>
      </c>
      <c r="G7242" s="81" t="s">
        <v>224</v>
      </c>
      <c r="H7242" s="81" t="s">
        <v>224</v>
      </c>
      <c r="I7242" s="81" t="s">
        <v>224</v>
      </c>
      <c r="J7242" s="81" t="s">
        <v>6536</v>
      </c>
    </row>
    <row r="7243">
      <c r="A7243" s="83" t="s">
        <v>6633</v>
      </c>
      <c r="B7243" s="83" t="s">
        <v>6634</v>
      </c>
      <c r="C7243" s="81" t="s">
        <v>4082</v>
      </c>
      <c r="D7243" s="81" t="s">
        <v>224</v>
      </c>
      <c r="E7243" s="81" t="s">
        <v>6537</v>
      </c>
      <c r="F7243" s="81" t="s">
        <v>224</v>
      </c>
      <c r="G7243" s="81" t="s">
        <v>224</v>
      </c>
      <c r="H7243" s="81" t="s">
        <v>224</v>
      </c>
      <c r="I7243" s="81" t="s">
        <v>224</v>
      </c>
      <c r="J7243" s="81" t="s">
        <v>6536</v>
      </c>
    </row>
    <row r="7244">
      <c r="A7244" s="83" t="s">
        <v>6633</v>
      </c>
      <c r="B7244" s="83" t="s">
        <v>6634</v>
      </c>
      <c r="C7244" s="81" t="s">
        <v>4082</v>
      </c>
      <c r="D7244" s="81" t="s">
        <v>224</v>
      </c>
      <c r="E7244" s="81" t="s">
        <v>6538</v>
      </c>
      <c r="F7244" s="81" t="s">
        <v>224</v>
      </c>
      <c r="G7244" s="81" t="s">
        <v>224</v>
      </c>
      <c r="H7244" s="81" t="s">
        <v>224</v>
      </c>
      <c r="I7244" s="81" t="s">
        <v>224</v>
      </c>
      <c r="J7244" s="81" t="s">
        <v>6539</v>
      </c>
    </row>
    <row r="7245">
      <c r="A7245" s="83" t="s">
        <v>6633</v>
      </c>
      <c r="B7245" s="83" t="s">
        <v>6634</v>
      </c>
      <c r="C7245" s="81" t="s">
        <v>4082</v>
      </c>
      <c r="D7245" s="81" t="s">
        <v>224</v>
      </c>
      <c r="E7245" s="81" t="s">
        <v>6540</v>
      </c>
      <c r="F7245" s="81" t="s">
        <v>224</v>
      </c>
      <c r="G7245" s="81" t="s">
        <v>224</v>
      </c>
      <c r="H7245" s="81" t="s">
        <v>224</v>
      </c>
      <c r="I7245" s="81" t="s">
        <v>224</v>
      </c>
      <c r="J7245" s="81" t="s">
        <v>6539</v>
      </c>
    </row>
    <row r="7246">
      <c r="A7246" s="83" t="s">
        <v>6633</v>
      </c>
      <c r="B7246" s="83" t="s">
        <v>6634</v>
      </c>
      <c r="C7246" s="81" t="s">
        <v>4082</v>
      </c>
      <c r="D7246" s="81" t="s">
        <v>224</v>
      </c>
      <c r="E7246" s="81" t="s">
        <v>6541</v>
      </c>
      <c r="F7246" s="81" t="s">
        <v>224</v>
      </c>
      <c r="G7246" s="81" t="s">
        <v>224</v>
      </c>
      <c r="H7246" s="81" t="s">
        <v>224</v>
      </c>
      <c r="I7246" s="81" t="s">
        <v>224</v>
      </c>
      <c r="J7246" s="81" t="s">
        <v>6542</v>
      </c>
    </row>
    <row r="7247">
      <c r="A7247" s="83" t="s">
        <v>6633</v>
      </c>
      <c r="B7247" s="83" t="s">
        <v>6634</v>
      </c>
      <c r="C7247" s="81" t="s">
        <v>4082</v>
      </c>
      <c r="D7247" s="81" t="s">
        <v>224</v>
      </c>
      <c r="E7247" s="81" t="s">
        <v>6543</v>
      </c>
      <c r="F7247" s="81" t="s">
        <v>224</v>
      </c>
      <c r="G7247" s="81" t="s">
        <v>224</v>
      </c>
      <c r="H7247" s="81" t="s">
        <v>224</v>
      </c>
      <c r="I7247" s="81" t="s">
        <v>224</v>
      </c>
      <c r="J7247" s="81" t="s">
        <v>6542</v>
      </c>
    </row>
    <row r="7248">
      <c r="A7248" s="83" t="s">
        <v>6633</v>
      </c>
      <c r="B7248" s="83" t="s">
        <v>6634</v>
      </c>
      <c r="C7248" s="81" t="s">
        <v>4082</v>
      </c>
      <c r="D7248" s="81" t="s">
        <v>224</v>
      </c>
      <c r="E7248" s="81" t="s">
        <v>6544</v>
      </c>
      <c r="F7248" s="81" t="s">
        <v>224</v>
      </c>
      <c r="G7248" s="81" t="s">
        <v>224</v>
      </c>
      <c r="H7248" s="81" t="s">
        <v>224</v>
      </c>
      <c r="I7248" s="81" t="s">
        <v>224</v>
      </c>
      <c r="J7248" s="81" t="s">
        <v>6545</v>
      </c>
    </row>
    <row r="7249">
      <c r="A7249" s="83" t="s">
        <v>6633</v>
      </c>
      <c r="B7249" s="83" t="s">
        <v>6634</v>
      </c>
      <c r="C7249" s="81" t="s">
        <v>4082</v>
      </c>
      <c r="D7249" s="81" t="s">
        <v>224</v>
      </c>
      <c r="E7249" s="81" t="s">
        <v>6546</v>
      </c>
      <c r="F7249" s="81" t="s">
        <v>224</v>
      </c>
      <c r="G7249" s="81" t="s">
        <v>224</v>
      </c>
      <c r="H7249" s="81" t="s">
        <v>224</v>
      </c>
      <c r="I7249" s="81" t="s">
        <v>224</v>
      </c>
      <c r="J7249" s="81" t="s">
        <v>6545</v>
      </c>
    </row>
    <row r="7250">
      <c r="A7250" s="83" t="s">
        <v>6633</v>
      </c>
      <c r="B7250" s="83" t="s">
        <v>6634</v>
      </c>
      <c r="C7250" s="81" t="s">
        <v>4082</v>
      </c>
      <c r="D7250" s="81" t="s">
        <v>224</v>
      </c>
      <c r="E7250" s="81" t="s">
        <v>6547</v>
      </c>
      <c r="F7250" s="81" t="s">
        <v>224</v>
      </c>
      <c r="G7250" s="81" t="s">
        <v>224</v>
      </c>
      <c r="H7250" s="81" t="s">
        <v>224</v>
      </c>
      <c r="I7250" s="81" t="s">
        <v>224</v>
      </c>
      <c r="J7250" s="81" t="s">
        <v>6548</v>
      </c>
    </row>
    <row r="7251">
      <c r="A7251" s="83" t="s">
        <v>6633</v>
      </c>
      <c r="B7251" s="83" t="s">
        <v>6634</v>
      </c>
      <c r="C7251" s="81" t="s">
        <v>4082</v>
      </c>
      <c r="D7251" s="81" t="s">
        <v>224</v>
      </c>
      <c r="E7251" s="81" t="s">
        <v>6549</v>
      </c>
      <c r="F7251" s="81" t="s">
        <v>224</v>
      </c>
      <c r="G7251" s="81" t="s">
        <v>224</v>
      </c>
      <c r="H7251" s="81" t="s">
        <v>224</v>
      </c>
      <c r="I7251" s="81" t="s">
        <v>224</v>
      </c>
      <c r="J7251" s="81" t="s">
        <v>6548</v>
      </c>
    </row>
    <row r="7252">
      <c r="A7252" s="83" t="s">
        <v>6633</v>
      </c>
      <c r="B7252" s="83" t="s">
        <v>6634</v>
      </c>
      <c r="C7252" s="81" t="s">
        <v>4082</v>
      </c>
      <c r="D7252" s="81" t="s">
        <v>224</v>
      </c>
      <c r="E7252" s="81" t="s">
        <v>6550</v>
      </c>
      <c r="F7252" s="81" t="s">
        <v>224</v>
      </c>
      <c r="G7252" s="81" t="s">
        <v>224</v>
      </c>
      <c r="H7252" s="81" t="s">
        <v>224</v>
      </c>
      <c r="I7252" s="81" t="s">
        <v>224</v>
      </c>
      <c r="J7252" s="81" t="s">
        <v>6551</v>
      </c>
    </row>
    <row r="7253">
      <c r="A7253" s="83" t="s">
        <v>6633</v>
      </c>
      <c r="B7253" s="83" t="s">
        <v>6634</v>
      </c>
      <c r="C7253" s="81" t="s">
        <v>4082</v>
      </c>
      <c r="D7253" s="81" t="s">
        <v>224</v>
      </c>
      <c r="E7253" s="81" t="s">
        <v>6552</v>
      </c>
      <c r="F7253" s="81" t="s">
        <v>224</v>
      </c>
      <c r="G7253" s="81" t="s">
        <v>224</v>
      </c>
      <c r="H7253" s="81" t="s">
        <v>224</v>
      </c>
      <c r="I7253" s="81" t="s">
        <v>224</v>
      </c>
      <c r="J7253" s="81" t="s">
        <v>6551</v>
      </c>
    </row>
    <row r="7254">
      <c r="A7254" s="83" t="s">
        <v>6633</v>
      </c>
      <c r="B7254" s="83" t="s">
        <v>6634</v>
      </c>
      <c r="C7254" s="81" t="s">
        <v>4082</v>
      </c>
      <c r="D7254" s="81" t="s">
        <v>224</v>
      </c>
      <c r="E7254" s="81" t="s">
        <v>6553</v>
      </c>
      <c r="F7254" s="81" t="s">
        <v>224</v>
      </c>
      <c r="G7254" s="81" t="s">
        <v>224</v>
      </c>
      <c r="H7254" s="81" t="s">
        <v>224</v>
      </c>
      <c r="I7254" s="81" t="s">
        <v>224</v>
      </c>
      <c r="J7254" s="81" t="s">
        <v>6554</v>
      </c>
    </row>
    <row r="7255">
      <c r="A7255" s="83" t="s">
        <v>6633</v>
      </c>
      <c r="B7255" s="83" t="s">
        <v>6634</v>
      </c>
      <c r="C7255" s="81" t="s">
        <v>4082</v>
      </c>
      <c r="D7255" s="81" t="s">
        <v>224</v>
      </c>
      <c r="E7255" s="81" t="s">
        <v>6555</v>
      </c>
      <c r="F7255" s="81" t="s">
        <v>224</v>
      </c>
      <c r="G7255" s="81" t="s">
        <v>224</v>
      </c>
      <c r="H7255" s="81" t="s">
        <v>224</v>
      </c>
      <c r="I7255" s="81" t="s">
        <v>224</v>
      </c>
      <c r="J7255" s="81" t="s">
        <v>6554</v>
      </c>
    </row>
    <row r="7256">
      <c r="A7256" s="83" t="s">
        <v>6633</v>
      </c>
      <c r="B7256" s="83" t="s">
        <v>6634</v>
      </c>
      <c r="C7256" s="81" t="s">
        <v>4082</v>
      </c>
      <c r="D7256" s="81" t="s">
        <v>224</v>
      </c>
      <c r="E7256" s="81" t="s">
        <v>6556</v>
      </c>
      <c r="F7256" s="81" t="s">
        <v>224</v>
      </c>
      <c r="G7256" s="81" t="s">
        <v>224</v>
      </c>
      <c r="H7256" s="81" t="s">
        <v>224</v>
      </c>
      <c r="I7256" s="81" t="s">
        <v>224</v>
      </c>
      <c r="J7256" s="81" t="s">
        <v>6557</v>
      </c>
    </row>
    <row r="7257">
      <c r="A7257" s="83" t="s">
        <v>6633</v>
      </c>
      <c r="B7257" s="83" t="s">
        <v>6634</v>
      </c>
      <c r="C7257" s="81" t="s">
        <v>4082</v>
      </c>
      <c r="D7257" s="81" t="s">
        <v>224</v>
      </c>
      <c r="E7257" s="81" t="s">
        <v>6558</v>
      </c>
      <c r="F7257" s="81" t="s">
        <v>224</v>
      </c>
      <c r="G7257" s="81" t="s">
        <v>224</v>
      </c>
      <c r="H7257" s="81" t="s">
        <v>224</v>
      </c>
      <c r="I7257" s="81" t="s">
        <v>224</v>
      </c>
      <c r="J7257" s="81" t="s">
        <v>6559</v>
      </c>
    </row>
    <row r="7258">
      <c r="A7258" s="83" t="s">
        <v>6633</v>
      </c>
      <c r="B7258" s="83" t="s">
        <v>6634</v>
      </c>
      <c r="C7258" s="81" t="s">
        <v>4082</v>
      </c>
      <c r="D7258" s="81" t="s">
        <v>224</v>
      </c>
      <c r="E7258" s="81" t="s">
        <v>6560</v>
      </c>
      <c r="F7258" s="81" t="s">
        <v>224</v>
      </c>
      <c r="G7258" s="81" t="s">
        <v>224</v>
      </c>
      <c r="H7258" s="81" t="s">
        <v>224</v>
      </c>
      <c r="I7258" s="81" t="s">
        <v>224</v>
      </c>
      <c r="J7258" s="81" t="s">
        <v>6561</v>
      </c>
    </row>
    <row r="7259">
      <c r="A7259" s="83" t="s">
        <v>6633</v>
      </c>
      <c r="B7259" s="83" t="s">
        <v>6634</v>
      </c>
      <c r="C7259" s="81" t="s">
        <v>4082</v>
      </c>
      <c r="D7259" s="81" t="s">
        <v>224</v>
      </c>
      <c r="E7259" s="81" t="s">
        <v>6562</v>
      </c>
      <c r="F7259" s="81" t="s">
        <v>224</v>
      </c>
      <c r="G7259" s="81" t="s">
        <v>224</v>
      </c>
      <c r="H7259" s="81" t="s">
        <v>224</v>
      </c>
      <c r="I7259" s="81" t="s">
        <v>224</v>
      </c>
      <c r="J7259" s="81" t="s">
        <v>6563</v>
      </c>
    </row>
    <row r="7260">
      <c r="A7260" s="83" t="s">
        <v>6633</v>
      </c>
      <c r="B7260" s="83" t="s">
        <v>6634</v>
      </c>
      <c r="C7260" s="81" t="s">
        <v>4082</v>
      </c>
      <c r="D7260" s="81" t="s">
        <v>224</v>
      </c>
      <c r="E7260" s="81" t="s">
        <v>6564</v>
      </c>
      <c r="F7260" s="81" t="s">
        <v>224</v>
      </c>
      <c r="G7260" s="81" t="s">
        <v>224</v>
      </c>
      <c r="H7260" s="81" t="s">
        <v>224</v>
      </c>
      <c r="I7260" s="81" t="s">
        <v>224</v>
      </c>
      <c r="J7260" s="81" t="s">
        <v>6565</v>
      </c>
    </row>
    <row r="7261">
      <c r="A7261" s="83" t="s">
        <v>6633</v>
      </c>
      <c r="B7261" s="83" t="s">
        <v>6634</v>
      </c>
      <c r="C7261" s="81" t="s">
        <v>4082</v>
      </c>
      <c r="D7261" s="81" t="s">
        <v>224</v>
      </c>
      <c r="E7261" s="81" t="s">
        <v>6566</v>
      </c>
      <c r="F7261" s="81" t="s">
        <v>224</v>
      </c>
      <c r="G7261" s="81" t="s">
        <v>224</v>
      </c>
      <c r="H7261" s="81" t="s">
        <v>224</v>
      </c>
      <c r="I7261" s="81" t="s">
        <v>224</v>
      </c>
      <c r="J7261" s="81" t="s">
        <v>6567</v>
      </c>
    </row>
    <row r="7262">
      <c r="A7262" s="83" t="s">
        <v>6633</v>
      </c>
      <c r="B7262" s="83" t="s">
        <v>6634</v>
      </c>
      <c r="C7262" s="81" t="s">
        <v>4082</v>
      </c>
      <c r="D7262" s="81" t="s">
        <v>224</v>
      </c>
      <c r="E7262" s="81" t="s">
        <v>6568</v>
      </c>
      <c r="F7262" s="81" t="s">
        <v>224</v>
      </c>
      <c r="G7262" s="81" t="s">
        <v>224</v>
      </c>
      <c r="H7262" s="81" t="s">
        <v>224</v>
      </c>
      <c r="I7262" s="81" t="s">
        <v>224</v>
      </c>
      <c r="J7262" s="81" t="s">
        <v>6569</v>
      </c>
    </row>
    <row r="7263">
      <c r="A7263" s="83" t="s">
        <v>6633</v>
      </c>
      <c r="B7263" s="83" t="s">
        <v>6634</v>
      </c>
      <c r="C7263" s="81" t="s">
        <v>4082</v>
      </c>
      <c r="D7263" s="81" t="s">
        <v>224</v>
      </c>
      <c r="E7263" s="81" t="s">
        <v>6570</v>
      </c>
      <c r="F7263" s="81" t="s">
        <v>224</v>
      </c>
      <c r="G7263" s="81" t="s">
        <v>224</v>
      </c>
      <c r="H7263" s="81" t="s">
        <v>224</v>
      </c>
      <c r="I7263" s="81" t="s">
        <v>224</v>
      </c>
      <c r="J7263" s="81" t="s">
        <v>6571</v>
      </c>
    </row>
    <row r="7264">
      <c r="A7264" s="83" t="s">
        <v>6633</v>
      </c>
      <c r="B7264" s="83" t="s">
        <v>6634</v>
      </c>
      <c r="C7264" s="81" t="s">
        <v>4082</v>
      </c>
      <c r="D7264" s="81" t="s">
        <v>224</v>
      </c>
      <c r="E7264" s="81" t="s">
        <v>6572</v>
      </c>
      <c r="F7264" s="81" t="s">
        <v>224</v>
      </c>
      <c r="G7264" s="81" t="s">
        <v>224</v>
      </c>
      <c r="H7264" s="81" t="s">
        <v>224</v>
      </c>
      <c r="I7264" s="81" t="s">
        <v>224</v>
      </c>
      <c r="J7264" s="81" t="s">
        <v>6571</v>
      </c>
    </row>
    <row r="7265">
      <c r="A7265" s="83" t="s">
        <v>6633</v>
      </c>
      <c r="B7265" s="83" t="s">
        <v>6634</v>
      </c>
      <c r="C7265" s="81" t="s">
        <v>4082</v>
      </c>
      <c r="D7265" s="81" t="s">
        <v>224</v>
      </c>
      <c r="E7265" s="81" t="s">
        <v>6573</v>
      </c>
      <c r="F7265" s="81" t="s">
        <v>224</v>
      </c>
      <c r="G7265" s="81" t="s">
        <v>224</v>
      </c>
      <c r="H7265" s="81" t="s">
        <v>224</v>
      </c>
      <c r="I7265" s="81" t="s">
        <v>224</v>
      </c>
      <c r="J7265" s="81" t="s">
        <v>6574</v>
      </c>
    </row>
    <row r="7266">
      <c r="A7266" s="83" t="s">
        <v>6633</v>
      </c>
      <c r="B7266" s="83" t="s">
        <v>6634</v>
      </c>
      <c r="C7266" s="81" t="s">
        <v>4082</v>
      </c>
      <c r="D7266" s="81" t="s">
        <v>224</v>
      </c>
      <c r="E7266" s="81" t="s">
        <v>6575</v>
      </c>
      <c r="F7266" s="81" t="s">
        <v>224</v>
      </c>
      <c r="G7266" s="81" t="s">
        <v>224</v>
      </c>
      <c r="H7266" s="81" t="s">
        <v>224</v>
      </c>
      <c r="I7266" s="81" t="s">
        <v>224</v>
      </c>
      <c r="J7266" s="81" t="s">
        <v>6574</v>
      </c>
    </row>
    <row r="7267">
      <c r="A7267" s="83" t="s">
        <v>6633</v>
      </c>
      <c r="B7267" s="83" t="s">
        <v>6634</v>
      </c>
      <c r="C7267" s="81" t="s">
        <v>4082</v>
      </c>
      <c r="D7267" s="81" t="s">
        <v>224</v>
      </c>
      <c r="E7267" s="81" t="s">
        <v>6576</v>
      </c>
      <c r="F7267" s="81" t="s">
        <v>224</v>
      </c>
      <c r="G7267" s="81" t="s">
        <v>224</v>
      </c>
      <c r="H7267" s="81" t="s">
        <v>224</v>
      </c>
      <c r="I7267" s="81" t="s">
        <v>224</v>
      </c>
      <c r="J7267" s="81" t="s">
        <v>6577</v>
      </c>
    </row>
    <row r="7268">
      <c r="A7268" s="83" t="s">
        <v>6633</v>
      </c>
      <c r="B7268" s="83" t="s">
        <v>6634</v>
      </c>
      <c r="C7268" s="81" t="s">
        <v>4082</v>
      </c>
      <c r="D7268" s="81" t="s">
        <v>224</v>
      </c>
      <c r="E7268" s="81" t="s">
        <v>6578</v>
      </c>
      <c r="F7268" s="81" t="s">
        <v>224</v>
      </c>
      <c r="G7268" s="81" t="s">
        <v>224</v>
      </c>
      <c r="H7268" s="81" t="s">
        <v>224</v>
      </c>
      <c r="I7268" s="81" t="s">
        <v>224</v>
      </c>
      <c r="J7268" s="81" t="s">
        <v>6579</v>
      </c>
    </row>
    <row r="7269">
      <c r="A7269" s="83" t="s">
        <v>6633</v>
      </c>
      <c r="B7269" s="83" t="s">
        <v>6634</v>
      </c>
      <c r="C7269" s="81" t="s">
        <v>4082</v>
      </c>
      <c r="D7269" s="81" t="s">
        <v>224</v>
      </c>
      <c r="E7269" s="81" t="s">
        <v>6580</v>
      </c>
      <c r="F7269" s="81" t="s">
        <v>224</v>
      </c>
      <c r="G7269" s="81" t="s">
        <v>224</v>
      </c>
      <c r="H7269" s="81" t="s">
        <v>224</v>
      </c>
      <c r="I7269" s="81" t="s">
        <v>224</v>
      </c>
      <c r="J7269" s="81" t="s">
        <v>6579</v>
      </c>
    </row>
    <row r="7270">
      <c r="A7270" s="83" t="s">
        <v>6633</v>
      </c>
      <c r="B7270" s="83" t="s">
        <v>6634</v>
      </c>
      <c r="C7270" s="81" t="s">
        <v>4082</v>
      </c>
      <c r="D7270" s="81" t="s">
        <v>224</v>
      </c>
      <c r="E7270" s="81" t="s">
        <v>6581</v>
      </c>
      <c r="F7270" s="81" t="s">
        <v>224</v>
      </c>
      <c r="G7270" s="81" t="s">
        <v>224</v>
      </c>
      <c r="H7270" s="81" t="s">
        <v>224</v>
      </c>
      <c r="I7270" s="81" t="s">
        <v>224</v>
      </c>
      <c r="J7270" s="81" t="s">
        <v>6582</v>
      </c>
    </row>
    <row r="7271">
      <c r="A7271" s="83" t="s">
        <v>6633</v>
      </c>
      <c r="B7271" s="83" t="s">
        <v>6634</v>
      </c>
      <c r="C7271" s="81" t="s">
        <v>4082</v>
      </c>
      <c r="D7271" s="81" t="s">
        <v>224</v>
      </c>
      <c r="E7271" s="81" t="s">
        <v>6583</v>
      </c>
      <c r="F7271" s="81" t="s">
        <v>224</v>
      </c>
      <c r="G7271" s="81" t="s">
        <v>224</v>
      </c>
      <c r="H7271" s="81" t="s">
        <v>224</v>
      </c>
      <c r="I7271" s="81" t="s">
        <v>224</v>
      </c>
      <c r="J7271" s="81" t="s">
        <v>6582</v>
      </c>
    </row>
    <row r="7272">
      <c r="A7272" s="83" t="s">
        <v>6633</v>
      </c>
      <c r="B7272" s="83" t="s">
        <v>6634</v>
      </c>
      <c r="C7272" s="81" t="s">
        <v>4082</v>
      </c>
      <c r="D7272" s="81" t="s">
        <v>224</v>
      </c>
      <c r="E7272" s="81" t="s">
        <v>6584</v>
      </c>
      <c r="F7272" s="81" t="s">
        <v>224</v>
      </c>
      <c r="G7272" s="81" t="s">
        <v>224</v>
      </c>
      <c r="H7272" s="81" t="s">
        <v>224</v>
      </c>
      <c r="I7272" s="81" t="s">
        <v>224</v>
      </c>
      <c r="J7272" s="81" t="s">
        <v>6585</v>
      </c>
    </row>
    <row r="7273">
      <c r="A7273" s="83" t="s">
        <v>6633</v>
      </c>
      <c r="B7273" s="83" t="s">
        <v>6634</v>
      </c>
      <c r="C7273" s="81" t="s">
        <v>4082</v>
      </c>
      <c r="D7273" s="81" t="s">
        <v>224</v>
      </c>
      <c r="E7273" s="81" t="s">
        <v>6586</v>
      </c>
      <c r="F7273" s="81" t="s">
        <v>224</v>
      </c>
      <c r="G7273" s="81" t="s">
        <v>224</v>
      </c>
      <c r="H7273" s="81" t="s">
        <v>224</v>
      </c>
      <c r="I7273" s="81" t="s">
        <v>224</v>
      </c>
      <c r="J7273" s="81" t="s">
        <v>6585</v>
      </c>
    </row>
    <row r="7274">
      <c r="A7274" s="83" t="s">
        <v>6633</v>
      </c>
      <c r="B7274" s="83" t="s">
        <v>6634</v>
      </c>
      <c r="C7274" s="81" t="s">
        <v>4082</v>
      </c>
      <c r="D7274" s="81" t="s">
        <v>224</v>
      </c>
      <c r="E7274" s="81" t="s">
        <v>6587</v>
      </c>
      <c r="F7274" s="81" t="s">
        <v>224</v>
      </c>
      <c r="G7274" s="81" t="s">
        <v>224</v>
      </c>
      <c r="H7274" s="81" t="s">
        <v>224</v>
      </c>
      <c r="I7274" s="81" t="s">
        <v>224</v>
      </c>
      <c r="J7274" s="81" t="s">
        <v>6588</v>
      </c>
    </row>
    <row r="7275">
      <c r="A7275" s="83" t="s">
        <v>6633</v>
      </c>
      <c r="B7275" s="83" t="s">
        <v>6634</v>
      </c>
      <c r="C7275" s="81" t="s">
        <v>4082</v>
      </c>
      <c r="D7275" s="81" t="s">
        <v>224</v>
      </c>
      <c r="E7275" s="81" t="s">
        <v>6589</v>
      </c>
      <c r="F7275" s="81" t="s">
        <v>224</v>
      </c>
      <c r="G7275" s="81" t="s">
        <v>224</v>
      </c>
      <c r="H7275" s="81" t="s">
        <v>224</v>
      </c>
      <c r="I7275" s="81" t="s">
        <v>224</v>
      </c>
      <c r="J7275" s="81" t="s">
        <v>6588</v>
      </c>
    </row>
    <row r="7276">
      <c r="A7276" s="83" t="s">
        <v>6633</v>
      </c>
      <c r="B7276" s="83" t="s">
        <v>6634</v>
      </c>
      <c r="C7276" s="81" t="s">
        <v>4082</v>
      </c>
      <c r="D7276" s="81" t="s">
        <v>224</v>
      </c>
      <c r="E7276" s="81" t="s">
        <v>6590</v>
      </c>
      <c r="F7276" s="81" t="s">
        <v>224</v>
      </c>
      <c r="G7276" s="81" t="s">
        <v>224</v>
      </c>
      <c r="H7276" s="81" t="s">
        <v>224</v>
      </c>
      <c r="I7276" s="81" t="s">
        <v>224</v>
      </c>
      <c r="J7276" s="81" t="s">
        <v>6591</v>
      </c>
    </row>
    <row r="7277">
      <c r="A7277" s="83" t="s">
        <v>6633</v>
      </c>
      <c r="B7277" s="83" t="s">
        <v>6634</v>
      </c>
      <c r="C7277" s="81" t="s">
        <v>4082</v>
      </c>
      <c r="D7277" s="81" t="s">
        <v>224</v>
      </c>
      <c r="E7277" s="81" t="s">
        <v>6592</v>
      </c>
      <c r="F7277" s="81" t="s">
        <v>224</v>
      </c>
      <c r="G7277" s="81" t="s">
        <v>224</v>
      </c>
      <c r="H7277" s="81" t="s">
        <v>224</v>
      </c>
      <c r="I7277" s="81" t="s">
        <v>224</v>
      </c>
      <c r="J7277" s="81" t="s">
        <v>6591</v>
      </c>
    </row>
    <row r="7278">
      <c r="A7278" s="83" t="s">
        <v>6633</v>
      </c>
      <c r="B7278" s="83" t="s">
        <v>6634</v>
      </c>
      <c r="C7278" s="81" t="s">
        <v>4082</v>
      </c>
      <c r="D7278" s="81" t="s">
        <v>224</v>
      </c>
      <c r="E7278" s="81" t="s">
        <v>6593</v>
      </c>
      <c r="F7278" s="81" t="s">
        <v>224</v>
      </c>
      <c r="G7278" s="81" t="s">
        <v>224</v>
      </c>
      <c r="H7278" s="81" t="s">
        <v>224</v>
      </c>
      <c r="I7278" s="81" t="s">
        <v>224</v>
      </c>
      <c r="J7278" s="81" t="s">
        <v>6594</v>
      </c>
    </row>
    <row r="7279">
      <c r="A7279" s="83" t="s">
        <v>6633</v>
      </c>
      <c r="B7279" s="83" t="s">
        <v>6634</v>
      </c>
      <c r="C7279" s="81" t="s">
        <v>4082</v>
      </c>
      <c r="D7279" s="81" t="s">
        <v>224</v>
      </c>
      <c r="E7279" s="81" t="s">
        <v>6595</v>
      </c>
      <c r="F7279" s="81" t="s">
        <v>224</v>
      </c>
      <c r="G7279" s="81" t="s">
        <v>224</v>
      </c>
      <c r="H7279" s="81" t="s">
        <v>224</v>
      </c>
      <c r="I7279" s="81" t="s">
        <v>224</v>
      </c>
      <c r="J7279" s="81" t="s">
        <v>6594</v>
      </c>
    </row>
    <row r="7280">
      <c r="A7280" s="83" t="s">
        <v>6633</v>
      </c>
      <c r="B7280" s="83" t="s">
        <v>6634</v>
      </c>
      <c r="C7280" s="81" t="s">
        <v>4082</v>
      </c>
      <c r="D7280" s="81" t="s">
        <v>224</v>
      </c>
      <c r="E7280" s="81" t="s">
        <v>6596</v>
      </c>
      <c r="F7280" s="81" t="s">
        <v>224</v>
      </c>
      <c r="G7280" s="81" t="s">
        <v>224</v>
      </c>
      <c r="H7280" s="81" t="s">
        <v>224</v>
      </c>
      <c r="I7280" s="81" t="s">
        <v>224</v>
      </c>
      <c r="J7280" s="81" t="s">
        <v>6597</v>
      </c>
    </row>
    <row r="7281">
      <c r="A7281" s="83" t="s">
        <v>6633</v>
      </c>
      <c r="B7281" s="83" t="s">
        <v>6634</v>
      </c>
      <c r="C7281" s="81" t="s">
        <v>4082</v>
      </c>
      <c r="D7281" s="81" t="s">
        <v>224</v>
      </c>
      <c r="E7281" s="81" t="s">
        <v>6598</v>
      </c>
      <c r="F7281" s="81" t="s">
        <v>224</v>
      </c>
      <c r="G7281" s="81" t="s">
        <v>224</v>
      </c>
      <c r="H7281" s="81" t="s">
        <v>224</v>
      </c>
      <c r="I7281" s="81" t="s">
        <v>224</v>
      </c>
      <c r="J7281" s="81" t="s">
        <v>6599</v>
      </c>
    </row>
    <row r="7282">
      <c r="A7282" s="83" t="s">
        <v>6633</v>
      </c>
      <c r="B7282" s="83" t="s">
        <v>6634</v>
      </c>
      <c r="C7282" s="81" t="s">
        <v>4082</v>
      </c>
      <c r="D7282" s="81" t="s">
        <v>224</v>
      </c>
      <c r="E7282" s="81" t="s">
        <v>4956</v>
      </c>
      <c r="F7282" s="81" t="s">
        <v>224</v>
      </c>
      <c r="G7282" s="81" t="s">
        <v>224</v>
      </c>
      <c r="H7282" s="81" t="s">
        <v>224</v>
      </c>
      <c r="I7282" s="81" t="s">
        <v>224</v>
      </c>
      <c r="J7282" s="81" t="s">
        <v>4957</v>
      </c>
    </row>
    <row r="7283">
      <c r="A7283" s="83" t="s">
        <v>6633</v>
      </c>
      <c r="B7283" s="83" t="s">
        <v>6634</v>
      </c>
      <c r="C7283" s="81" t="s">
        <v>4082</v>
      </c>
      <c r="D7283" s="81" t="s">
        <v>224</v>
      </c>
      <c r="E7283" s="81" t="s">
        <v>4958</v>
      </c>
      <c r="F7283" s="81" t="s">
        <v>224</v>
      </c>
      <c r="G7283" s="81" t="s">
        <v>224</v>
      </c>
      <c r="H7283" s="81" t="s">
        <v>224</v>
      </c>
      <c r="I7283" s="81" t="s">
        <v>224</v>
      </c>
      <c r="J7283" s="81" t="s">
        <v>4959</v>
      </c>
    </row>
    <row r="7284">
      <c r="A7284" s="83" t="s">
        <v>6633</v>
      </c>
      <c r="B7284" s="83" t="s">
        <v>6634</v>
      </c>
      <c r="C7284" s="81" t="s">
        <v>4082</v>
      </c>
      <c r="D7284" s="81" t="s">
        <v>224</v>
      </c>
      <c r="E7284" s="81" t="s">
        <v>4960</v>
      </c>
      <c r="F7284" s="81" t="s">
        <v>224</v>
      </c>
      <c r="G7284" s="81" t="s">
        <v>224</v>
      </c>
      <c r="H7284" s="81" t="s">
        <v>224</v>
      </c>
      <c r="I7284" s="81" t="s">
        <v>224</v>
      </c>
      <c r="J7284" s="81" t="s">
        <v>4961</v>
      </c>
    </row>
    <row r="7285">
      <c r="A7285" s="83" t="s">
        <v>6633</v>
      </c>
      <c r="B7285" s="83" t="s">
        <v>6634</v>
      </c>
      <c r="C7285" s="81" t="s">
        <v>4082</v>
      </c>
      <c r="D7285" s="81" t="s">
        <v>224</v>
      </c>
      <c r="E7285" s="81" t="s">
        <v>4962</v>
      </c>
      <c r="F7285" s="81" t="s">
        <v>224</v>
      </c>
      <c r="G7285" s="81" t="s">
        <v>224</v>
      </c>
      <c r="H7285" s="81" t="s">
        <v>224</v>
      </c>
      <c r="I7285" s="81" t="s">
        <v>224</v>
      </c>
      <c r="J7285" s="81" t="s">
        <v>4963</v>
      </c>
    </row>
    <row r="7286">
      <c r="A7286" s="83" t="s">
        <v>6633</v>
      </c>
      <c r="B7286" s="83" t="s">
        <v>6634</v>
      </c>
      <c r="C7286" s="81" t="s">
        <v>4082</v>
      </c>
      <c r="D7286" s="81" t="s">
        <v>224</v>
      </c>
      <c r="E7286" s="81" t="s">
        <v>4964</v>
      </c>
      <c r="F7286" s="81" t="s">
        <v>224</v>
      </c>
      <c r="G7286" s="81" t="s">
        <v>224</v>
      </c>
      <c r="H7286" s="81" t="s">
        <v>224</v>
      </c>
      <c r="I7286" s="81" t="s">
        <v>224</v>
      </c>
      <c r="J7286" s="81" t="s">
        <v>4963</v>
      </c>
    </row>
    <row r="7287">
      <c r="A7287" s="83" t="s">
        <v>6633</v>
      </c>
      <c r="B7287" s="83" t="s">
        <v>6634</v>
      </c>
      <c r="C7287" s="81" t="s">
        <v>4082</v>
      </c>
      <c r="D7287" s="81" t="s">
        <v>224</v>
      </c>
      <c r="E7287" s="81" t="s">
        <v>4965</v>
      </c>
      <c r="F7287" s="81" t="s">
        <v>224</v>
      </c>
      <c r="G7287" s="81" t="s">
        <v>224</v>
      </c>
      <c r="H7287" s="81" t="s">
        <v>224</v>
      </c>
      <c r="I7287" s="81" t="s">
        <v>224</v>
      </c>
      <c r="J7287" s="81" t="s">
        <v>4966</v>
      </c>
    </row>
    <row r="7288">
      <c r="A7288" s="83" t="s">
        <v>6633</v>
      </c>
      <c r="B7288" s="83" t="s">
        <v>6634</v>
      </c>
      <c r="C7288" s="81" t="s">
        <v>4082</v>
      </c>
      <c r="D7288" s="81" t="s">
        <v>224</v>
      </c>
      <c r="E7288" s="81" t="s">
        <v>4967</v>
      </c>
      <c r="F7288" s="81" t="s">
        <v>224</v>
      </c>
      <c r="G7288" s="81" t="s">
        <v>224</v>
      </c>
      <c r="H7288" s="81" t="s">
        <v>224</v>
      </c>
      <c r="I7288" s="81" t="s">
        <v>224</v>
      </c>
      <c r="J7288" s="81" t="s">
        <v>4966</v>
      </c>
    </row>
    <row r="7289">
      <c r="A7289" s="83" t="s">
        <v>6633</v>
      </c>
      <c r="B7289" s="83" t="s">
        <v>6634</v>
      </c>
      <c r="C7289" s="81" t="s">
        <v>4082</v>
      </c>
      <c r="D7289" s="81" t="s">
        <v>224</v>
      </c>
      <c r="E7289" s="81" t="s">
        <v>4968</v>
      </c>
      <c r="F7289" s="81" t="s">
        <v>224</v>
      </c>
      <c r="G7289" s="81" t="s">
        <v>224</v>
      </c>
      <c r="H7289" s="81" t="s">
        <v>224</v>
      </c>
      <c r="I7289" s="81" t="s">
        <v>224</v>
      </c>
      <c r="J7289" s="81" t="s">
        <v>4966</v>
      </c>
    </row>
    <row r="7290">
      <c r="A7290" s="83" t="s">
        <v>6633</v>
      </c>
      <c r="B7290" s="83" t="s">
        <v>6634</v>
      </c>
      <c r="C7290" s="81" t="s">
        <v>4082</v>
      </c>
      <c r="D7290" s="81" t="s">
        <v>224</v>
      </c>
      <c r="E7290" s="81" t="s">
        <v>4969</v>
      </c>
      <c r="F7290" s="81" t="s">
        <v>224</v>
      </c>
      <c r="G7290" s="81" t="s">
        <v>224</v>
      </c>
      <c r="H7290" s="81" t="s">
        <v>224</v>
      </c>
      <c r="I7290" s="81" t="s">
        <v>224</v>
      </c>
      <c r="J7290" s="81" t="s">
        <v>4966</v>
      </c>
    </row>
    <row r="7291">
      <c r="A7291" s="83" t="s">
        <v>6633</v>
      </c>
      <c r="B7291" s="83" t="s">
        <v>6634</v>
      </c>
      <c r="C7291" s="81" t="s">
        <v>4082</v>
      </c>
      <c r="D7291" s="81" t="s">
        <v>224</v>
      </c>
      <c r="E7291" s="81" t="s">
        <v>224</v>
      </c>
      <c r="F7291" s="81" t="s">
        <v>224</v>
      </c>
      <c r="G7291" s="81" t="s">
        <v>224</v>
      </c>
      <c r="H7291" s="81" t="s">
        <v>224</v>
      </c>
      <c r="I7291" s="81" t="s">
        <v>224</v>
      </c>
      <c r="J7291" s="81" t="s">
        <v>6640</v>
      </c>
    </row>
    <row r="7292">
      <c r="A7292" s="83" t="s">
        <v>6633</v>
      </c>
      <c r="B7292" s="83" t="s">
        <v>6634</v>
      </c>
      <c r="C7292" s="81" t="s">
        <v>4082</v>
      </c>
      <c r="D7292" s="83" t="s">
        <v>4201</v>
      </c>
      <c r="E7292" s="81" t="s">
        <v>754</v>
      </c>
      <c r="F7292" s="81">
        <v>127.0</v>
      </c>
      <c r="G7292" s="81" t="s">
        <v>39</v>
      </c>
      <c r="H7292" s="81" t="s">
        <v>224</v>
      </c>
      <c r="I7292" s="81" t="s">
        <v>224</v>
      </c>
      <c r="J7292" s="81" t="s">
        <v>5311</v>
      </c>
    </row>
    <row r="7293">
      <c r="A7293" s="83" t="s">
        <v>6633</v>
      </c>
      <c r="B7293" s="83" t="s">
        <v>6634</v>
      </c>
      <c r="C7293" s="81" t="s">
        <v>4082</v>
      </c>
      <c r="D7293" s="83" t="s">
        <v>4208</v>
      </c>
      <c r="E7293" s="81" t="s">
        <v>786</v>
      </c>
      <c r="F7293" s="81">
        <v>134.0</v>
      </c>
      <c r="G7293" s="81" t="s">
        <v>39</v>
      </c>
      <c r="H7293" s="81" t="s">
        <v>224</v>
      </c>
      <c r="I7293" s="81" t="s">
        <v>224</v>
      </c>
      <c r="J7293" s="81" t="s">
        <v>5322</v>
      </c>
    </row>
    <row r="7294">
      <c r="A7294" s="83" t="s">
        <v>6633</v>
      </c>
      <c r="B7294" s="83" t="s">
        <v>6634</v>
      </c>
      <c r="C7294" s="81" t="s">
        <v>4082</v>
      </c>
      <c r="D7294" s="83" t="s">
        <v>4211</v>
      </c>
      <c r="E7294" s="81" t="s">
        <v>798</v>
      </c>
      <c r="F7294" s="81">
        <v>137.0</v>
      </c>
      <c r="G7294" s="81" t="s">
        <v>39</v>
      </c>
      <c r="H7294" s="81" t="s">
        <v>224</v>
      </c>
      <c r="I7294" s="81" t="s">
        <v>224</v>
      </c>
      <c r="J7294" s="81" t="s">
        <v>5327</v>
      </c>
    </row>
    <row r="7295">
      <c r="A7295" s="83" t="s">
        <v>6633</v>
      </c>
      <c r="B7295" s="83" t="s">
        <v>6634</v>
      </c>
      <c r="C7295" s="81" t="s">
        <v>4082</v>
      </c>
      <c r="D7295" s="83" t="s">
        <v>4212</v>
      </c>
      <c r="E7295" s="81" t="s">
        <v>804</v>
      </c>
      <c r="F7295" s="81">
        <v>138.0</v>
      </c>
      <c r="G7295" s="81" t="s">
        <v>39</v>
      </c>
      <c r="H7295" s="81" t="s">
        <v>224</v>
      </c>
      <c r="I7295" s="81" t="s">
        <v>224</v>
      </c>
      <c r="J7295" s="81" t="s">
        <v>5330</v>
      </c>
    </row>
    <row r="7296">
      <c r="A7296" s="83" t="s">
        <v>6633</v>
      </c>
      <c r="B7296" s="83" t="s">
        <v>6634</v>
      </c>
      <c r="C7296" s="81" t="s">
        <v>4082</v>
      </c>
      <c r="D7296" s="83" t="s">
        <v>4238</v>
      </c>
      <c r="E7296" s="81" t="s">
        <v>918</v>
      </c>
      <c r="F7296" s="81">
        <v>163.0</v>
      </c>
      <c r="G7296" s="81" t="s">
        <v>41</v>
      </c>
      <c r="H7296" s="81" t="s">
        <v>924</v>
      </c>
      <c r="I7296" s="81" t="s">
        <v>224</v>
      </c>
      <c r="J7296" s="81" t="s">
        <v>6344</v>
      </c>
    </row>
    <row r="7297">
      <c r="A7297" s="83" t="s">
        <v>6633</v>
      </c>
      <c r="B7297" s="83" t="s">
        <v>6634</v>
      </c>
      <c r="C7297" s="81" t="s">
        <v>4082</v>
      </c>
      <c r="D7297" s="83" t="s">
        <v>4267</v>
      </c>
      <c r="E7297" s="81" t="s">
        <v>1050</v>
      </c>
      <c r="F7297" s="81">
        <v>199.0</v>
      </c>
      <c r="G7297" s="81" t="s">
        <v>41</v>
      </c>
      <c r="H7297" s="81" t="s">
        <v>1051</v>
      </c>
      <c r="I7297" s="81" t="s">
        <v>224</v>
      </c>
      <c r="J7297" s="81" t="s">
        <v>6345</v>
      </c>
    </row>
    <row r="7298">
      <c r="A7298" s="83" t="s">
        <v>6633</v>
      </c>
      <c r="B7298" s="83" t="s">
        <v>6634</v>
      </c>
      <c r="C7298" s="81" t="s">
        <v>4082</v>
      </c>
      <c r="D7298" s="83" t="s">
        <v>4304</v>
      </c>
      <c r="E7298" s="81" t="s">
        <v>1232</v>
      </c>
      <c r="F7298" s="81">
        <v>244.0</v>
      </c>
      <c r="G7298" s="81" t="s">
        <v>41</v>
      </c>
      <c r="H7298" s="81" t="s">
        <v>1233</v>
      </c>
      <c r="I7298" s="81" t="s">
        <v>224</v>
      </c>
      <c r="J7298" s="81" t="s">
        <v>6346</v>
      </c>
    </row>
    <row r="7299">
      <c r="A7299" s="83" t="s">
        <v>6633</v>
      </c>
      <c r="B7299" s="83" t="s">
        <v>6634</v>
      </c>
      <c r="C7299" s="81" t="s">
        <v>4082</v>
      </c>
      <c r="D7299" s="83" t="s">
        <v>4306</v>
      </c>
      <c r="E7299" s="81" t="s">
        <v>1237</v>
      </c>
      <c r="F7299" s="81">
        <v>246.0</v>
      </c>
      <c r="G7299" s="81" t="s">
        <v>41</v>
      </c>
      <c r="H7299" s="81" t="s">
        <v>1237</v>
      </c>
      <c r="I7299" s="81" t="s">
        <v>224</v>
      </c>
      <c r="J7299" s="81" t="s">
        <v>6347</v>
      </c>
    </row>
    <row r="7300">
      <c r="A7300" s="83" t="s">
        <v>6633</v>
      </c>
      <c r="B7300" s="83" t="s">
        <v>6634</v>
      </c>
      <c r="C7300" s="81" t="s">
        <v>4082</v>
      </c>
      <c r="D7300" s="83" t="s">
        <v>4316</v>
      </c>
      <c r="E7300" s="81" t="s">
        <v>1313</v>
      </c>
      <c r="F7300" s="81">
        <v>256.0</v>
      </c>
      <c r="G7300" s="81" t="s">
        <v>39</v>
      </c>
      <c r="H7300" s="81" t="s">
        <v>224</v>
      </c>
      <c r="I7300" s="81" t="s">
        <v>224</v>
      </c>
      <c r="J7300" s="81" t="s">
        <v>5515</v>
      </c>
    </row>
    <row r="7301">
      <c r="A7301" s="83" t="s">
        <v>6633</v>
      </c>
      <c r="B7301" s="83" t="s">
        <v>6634</v>
      </c>
      <c r="C7301" s="81" t="s">
        <v>4082</v>
      </c>
      <c r="D7301" s="83" t="s">
        <v>4351</v>
      </c>
      <c r="E7301" s="81" t="s">
        <v>1470</v>
      </c>
      <c r="F7301" s="81">
        <v>283.0</v>
      </c>
      <c r="G7301" s="81" t="s">
        <v>41</v>
      </c>
      <c r="H7301" s="81" t="s">
        <v>55</v>
      </c>
      <c r="I7301" s="81" t="s">
        <v>224</v>
      </c>
      <c r="J7301" s="81" t="s">
        <v>6426</v>
      </c>
    </row>
    <row r="7302">
      <c r="A7302" s="83" t="s">
        <v>6633</v>
      </c>
      <c r="B7302" s="83" t="s">
        <v>6634</v>
      </c>
      <c r="C7302" s="81" t="s">
        <v>4082</v>
      </c>
      <c r="D7302" s="83" t="s">
        <v>4351</v>
      </c>
      <c r="E7302" s="81" t="s">
        <v>1474</v>
      </c>
      <c r="F7302" s="81">
        <v>284.0</v>
      </c>
      <c r="G7302" s="81" t="s">
        <v>41</v>
      </c>
      <c r="H7302" s="81" t="s">
        <v>1476</v>
      </c>
      <c r="I7302" s="81" t="s">
        <v>224</v>
      </c>
      <c r="J7302" s="81" t="s">
        <v>6348</v>
      </c>
    </row>
    <row r="7303">
      <c r="A7303" s="83" t="s">
        <v>6633</v>
      </c>
      <c r="B7303" s="83" t="s">
        <v>6634</v>
      </c>
      <c r="C7303" s="81" t="s">
        <v>4082</v>
      </c>
      <c r="D7303" s="83" t="s">
        <v>4363</v>
      </c>
      <c r="E7303" s="81" t="s">
        <v>1548</v>
      </c>
      <c r="F7303" s="81">
        <v>299.0</v>
      </c>
      <c r="G7303" s="81" t="s">
        <v>41</v>
      </c>
      <c r="H7303" s="81" t="s">
        <v>1550</v>
      </c>
      <c r="I7303" s="81" t="s">
        <v>224</v>
      </c>
      <c r="J7303" s="81" t="s">
        <v>6349</v>
      </c>
    </row>
    <row r="7304">
      <c r="A7304" s="83" t="s">
        <v>6633</v>
      </c>
      <c r="B7304" s="83" t="s">
        <v>6634</v>
      </c>
      <c r="C7304" s="81" t="s">
        <v>4082</v>
      </c>
      <c r="D7304" s="83" t="s">
        <v>4380</v>
      </c>
      <c r="E7304" s="81" t="s">
        <v>1617</v>
      </c>
      <c r="F7304" s="81">
        <v>319.0</v>
      </c>
      <c r="G7304" s="81" t="s">
        <v>39</v>
      </c>
      <c r="H7304" s="81" t="s">
        <v>224</v>
      </c>
      <c r="I7304" s="81" t="s">
        <v>224</v>
      </c>
      <c r="J7304" s="81" t="s">
        <v>5616</v>
      </c>
    </row>
    <row r="7305">
      <c r="A7305" s="83" t="s">
        <v>6633</v>
      </c>
      <c r="B7305" s="83" t="s">
        <v>6634</v>
      </c>
      <c r="C7305" s="81" t="s">
        <v>4082</v>
      </c>
      <c r="D7305" s="83" t="s">
        <v>4389</v>
      </c>
      <c r="E7305" s="81" t="s">
        <v>1678</v>
      </c>
      <c r="F7305" s="81">
        <v>332.0</v>
      </c>
      <c r="G7305" s="81" t="s">
        <v>41</v>
      </c>
      <c r="H7305" s="81" t="s">
        <v>1670</v>
      </c>
      <c r="I7305" s="81" t="s">
        <v>224</v>
      </c>
      <c r="J7305" s="81" t="s">
        <v>6350</v>
      </c>
    </row>
    <row r="7306">
      <c r="A7306" s="83" t="s">
        <v>6633</v>
      </c>
      <c r="B7306" s="83" t="s">
        <v>6634</v>
      </c>
      <c r="C7306" s="81" t="s">
        <v>4082</v>
      </c>
      <c r="D7306" s="83" t="s">
        <v>4391</v>
      </c>
      <c r="E7306" s="81" t="s">
        <v>1682</v>
      </c>
      <c r="F7306" s="81">
        <v>334.0</v>
      </c>
      <c r="G7306" s="81" t="s">
        <v>41</v>
      </c>
      <c r="H7306" s="81" t="s">
        <v>1687</v>
      </c>
      <c r="I7306" s="81" t="s">
        <v>224</v>
      </c>
      <c r="J7306" s="81" t="s">
        <v>6351</v>
      </c>
    </row>
    <row r="7307">
      <c r="A7307" s="83" t="s">
        <v>6633</v>
      </c>
      <c r="B7307" s="83" t="s">
        <v>6634</v>
      </c>
      <c r="C7307" s="81" t="s">
        <v>4082</v>
      </c>
      <c r="D7307" s="83" t="s">
        <v>4393</v>
      </c>
      <c r="E7307" s="81" t="s">
        <v>1690</v>
      </c>
      <c r="F7307" s="81">
        <v>335.0</v>
      </c>
      <c r="G7307" s="81" t="s">
        <v>41</v>
      </c>
      <c r="H7307" s="81" t="s">
        <v>1694</v>
      </c>
      <c r="I7307" s="81" t="s">
        <v>224</v>
      </c>
      <c r="J7307" s="81" t="s">
        <v>6352</v>
      </c>
    </row>
    <row r="7308">
      <c r="A7308" s="83" t="s">
        <v>6633</v>
      </c>
      <c r="B7308" s="83" t="s">
        <v>6634</v>
      </c>
      <c r="C7308" s="81" t="s">
        <v>4082</v>
      </c>
      <c r="D7308" s="83" t="s">
        <v>4406</v>
      </c>
      <c r="E7308" s="81" t="s">
        <v>1760</v>
      </c>
      <c r="F7308" s="81">
        <v>350.0</v>
      </c>
      <c r="G7308" s="81" t="s">
        <v>41</v>
      </c>
      <c r="H7308" s="81" t="s">
        <v>1761</v>
      </c>
      <c r="I7308" s="81" t="s">
        <v>224</v>
      </c>
      <c r="J7308" s="81" t="s">
        <v>6353</v>
      </c>
    </row>
    <row r="7309">
      <c r="A7309" s="83" t="s">
        <v>6633</v>
      </c>
      <c r="B7309" s="83" t="s">
        <v>6634</v>
      </c>
      <c r="C7309" s="81" t="s">
        <v>4082</v>
      </c>
      <c r="D7309" s="83" t="s">
        <v>4429</v>
      </c>
      <c r="E7309" s="81" t="s">
        <v>1900</v>
      </c>
      <c r="F7309" s="81">
        <v>375.0</v>
      </c>
      <c r="G7309" s="81" t="s">
        <v>39</v>
      </c>
      <c r="H7309" s="81" t="s">
        <v>224</v>
      </c>
      <c r="I7309" s="81" t="s">
        <v>224</v>
      </c>
      <c r="J7309" s="81" t="s">
        <v>5711</v>
      </c>
    </row>
    <row r="7310">
      <c r="A7310" s="83" t="s">
        <v>6633</v>
      </c>
      <c r="B7310" s="83" t="s">
        <v>6634</v>
      </c>
      <c r="C7310" s="81" t="s">
        <v>4082</v>
      </c>
      <c r="D7310" s="83" t="s">
        <v>4475</v>
      </c>
      <c r="E7310" s="81" t="s">
        <v>2225</v>
      </c>
      <c r="F7310" s="81">
        <v>426.0</v>
      </c>
      <c r="G7310" s="81" t="s">
        <v>41</v>
      </c>
      <c r="H7310" s="81" t="s">
        <v>2226</v>
      </c>
      <c r="I7310" s="81" t="s">
        <v>224</v>
      </c>
      <c r="J7310" s="81" t="s">
        <v>6354</v>
      </c>
    </row>
    <row r="7311">
      <c r="A7311" s="83" t="s">
        <v>6633</v>
      </c>
      <c r="B7311" s="83" t="s">
        <v>6634</v>
      </c>
      <c r="C7311" s="81" t="s">
        <v>4082</v>
      </c>
      <c r="D7311" s="83" t="s">
        <v>4490</v>
      </c>
      <c r="E7311" s="81" t="s">
        <v>2295</v>
      </c>
      <c r="F7311" s="81">
        <v>440.0</v>
      </c>
      <c r="G7311" s="81" t="s">
        <v>41</v>
      </c>
      <c r="H7311" s="81" t="s">
        <v>2296</v>
      </c>
      <c r="I7311" s="81" t="s">
        <v>224</v>
      </c>
      <c r="J7311" s="81" t="s">
        <v>6355</v>
      </c>
    </row>
    <row r="7312">
      <c r="A7312" s="83" t="s">
        <v>6633</v>
      </c>
      <c r="B7312" s="83" t="s">
        <v>6634</v>
      </c>
      <c r="C7312" s="81" t="s">
        <v>4082</v>
      </c>
      <c r="D7312" s="83" t="s">
        <v>4558</v>
      </c>
      <c r="E7312" s="81" t="s">
        <v>2619</v>
      </c>
      <c r="F7312" s="81">
        <v>504.0</v>
      </c>
      <c r="G7312" s="81" t="s">
        <v>41</v>
      </c>
      <c r="H7312" s="81" t="s">
        <v>2629</v>
      </c>
      <c r="I7312" s="81" t="s">
        <v>224</v>
      </c>
      <c r="J7312" s="81" t="s">
        <v>6356</v>
      </c>
    </row>
    <row r="7313">
      <c r="A7313" s="83" t="s">
        <v>6633</v>
      </c>
      <c r="B7313" s="83" t="s">
        <v>6634</v>
      </c>
      <c r="C7313" s="81" t="s">
        <v>4082</v>
      </c>
      <c r="D7313" s="83" t="s">
        <v>4608</v>
      </c>
      <c r="E7313" s="81" t="s">
        <v>2906</v>
      </c>
      <c r="F7313" s="81">
        <v>560.0</v>
      </c>
      <c r="G7313" s="81" t="s">
        <v>41</v>
      </c>
      <c r="H7313" s="81" t="s">
        <v>2907</v>
      </c>
      <c r="I7313" s="81" t="s">
        <v>224</v>
      </c>
      <c r="J7313" s="81" t="s">
        <v>6357</v>
      </c>
    </row>
    <row r="7314">
      <c r="A7314" s="83" t="s">
        <v>6633</v>
      </c>
      <c r="B7314" s="83" t="s">
        <v>6634</v>
      </c>
      <c r="C7314" s="81" t="s">
        <v>4082</v>
      </c>
      <c r="D7314" s="83" t="s">
        <v>4682</v>
      </c>
      <c r="E7314" s="81" t="s">
        <v>3226</v>
      </c>
      <c r="F7314" s="81">
        <v>613.0</v>
      </c>
      <c r="G7314" s="81" t="s">
        <v>39</v>
      </c>
      <c r="H7314" s="81" t="s">
        <v>224</v>
      </c>
      <c r="I7314" s="81" t="s">
        <v>224</v>
      </c>
      <c r="J7314" s="81" t="s">
        <v>6052</v>
      </c>
    </row>
    <row r="7315">
      <c r="A7315" s="83" t="s">
        <v>6633</v>
      </c>
      <c r="B7315" s="83" t="s">
        <v>6634</v>
      </c>
      <c r="C7315" s="81" t="s">
        <v>4082</v>
      </c>
      <c r="D7315" s="83" t="s">
        <v>4707</v>
      </c>
      <c r="E7315" s="81" t="s">
        <v>3362</v>
      </c>
      <c r="F7315" s="81">
        <v>641.0</v>
      </c>
      <c r="G7315" s="81" t="s">
        <v>39</v>
      </c>
      <c r="H7315" s="81" t="s">
        <v>224</v>
      </c>
      <c r="I7315" s="81" t="s">
        <v>224</v>
      </c>
      <c r="J7315" s="81" t="s">
        <v>6096</v>
      </c>
    </row>
    <row r="7316">
      <c r="A7316" s="83" t="s">
        <v>6633</v>
      </c>
      <c r="B7316" s="83" t="s">
        <v>6634</v>
      </c>
      <c r="C7316" s="81" t="s">
        <v>4082</v>
      </c>
      <c r="D7316" s="83" t="s">
        <v>4709</v>
      </c>
      <c r="E7316" s="81" t="s">
        <v>3370</v>
      </c>
      <c r="F7316" s="81">
        <v>643.0</v>
      </c>
      <c r="G7316" s="81" t="s">
        <v>39</v>
      </c>
      <c r="H7316" s="81" t="s">
        <v>224</v>
      </c>
      <c r="I7316" s="81" t="s">
        <v>224</v>
      </c>
      <c r="J7316" s="81" t="s">
        <v>6101</v>
      </c>
    </row>
    <row r="7317">
      <c r="A7317" s="83" t="s">
        <v>6633</v>
      </c>
      <c r="B7317" s="83" t="s">
        <v>6634</v>
      </c>
      <c r="C7317" s="81" t="s">
        <v>4621</v>
      </c>
      <c r="D7317" s="83" t="s">
        <v>4730</v>
      </c>
      <c r="E7317" s="81" t="s">
        <v>3500</v>
      </c>
      <c r="F7317" s="81">
        <v>660.0</v>
      </c>
      <c r="G7317" s="81" t="s">
        <v>45</v>
      </c>
      <c r="H7317" s="81" t="s">
        <v>224</v>
      </c>
      <c r="I7317" s="81" t="s">
        <v>3508</v>
      </c>
      <c r="J7317" s="81" t="s">
        <v>224</v>
      </c>
    </row>
    <row r="7318">
      <c r="A7318" s="83" t="s">
        <v>6633</v>
      </c>
      <c r="B7318" s="83" t="s">
        <v>6634</v>
      </c>
      <c r="C7318" s="81" t="s">
        <v>4621</v>
      </c>
      <c r="D7318" s="83" t="s">
        <v>4731</v>
      </c>
      <c r="E7318" s="81" t="s">
        <v>3510</v>
      </c>
      <c r="F7318" s="81">
        <v>661.0</v>
      </c>
      <c r="G7318" s="81" t="s">
        <v>45</v>
      </c>
      <c r="H7318" s="81" t="s">
        <v>224</v>
      </c>
      <c r="I7318" s="81" t="s">
        <v>3508</v>
      </c>
      <c r="J7318" s="81" t="s">
        <v>224</v>
      </c>
    </row>
    <row r="7319">
      <c r="A7319" s="83" t="s">
        <v>6633</v>
      </c>
      <c r="B7319" s="83" t="s">
        <v>6634</v>
      </c>
      <c r="C7319" s="81" t="s">
        <v>4082</v>
      </c>
      <c r="D7319" s="83" t="s">
        <v>4844</v>
      </c>
      <c r="E7319" s="81" t="s">
        <v>3998</v>
      </c>
      <c r="F7319" s="81">
        <v>791.0</v>
      </c>
      <c r="G7319" s="81" t="s">
        <v>39</v>
      </c>
      <c r="H7319" s="81" t="s">
        <v>224</v>
      </c>
      <c r="I7319" s="81" t="s">
        <v>224</v>
      </c>
      <c r="J7319" s="81" t="s">
        <v>6440</v>
      </c>
    </row>
    <row r="7320">
      <c r="A7320" s="83" t="s">
        <v>6633</v>
      </c>
      <c r="B7320" s="83" t="s">
        <v>6634</v>
      </c>
      <c r="C7320" s="81" t="s">
        <v>4082</v>
      </c>
      <c r="D7320" s="83" t="s">
        <v>4845</v>
      </c>
      <c r="E7320" s="81" t="s">
        <v>4002</v>
      </c>
      <c r="F7320" s="81">
        <v>792.0</v>
      </c>
      <c r="G7320" s="81" t="s">
        <v>39</v>
      </c>
      <c r="H7320" s="81" t="s">
        <v>224</v>
      </c>
      <c r="I7320" s="81" t="s">
        <v>224</v>
      </c>
      <c r="J7320" s="81" t="s">
        <v>6441</v>
      </c>
    </row>
    <row r="7321">
      <c r="A7321" s="83" t="s">
        <v>6633</v>
      </c>
      <c r="B7321" s="83" t="s">
        <v>6634</v>
      </c>
      <c r="C7321" s="81" t="s">
        <v>4082</v>
      </c>
      <c r="D7321" s="83" t="s">
        <v>4846</v>
      </c>
      <c r="E7321" s="81" t="s">
        <v>1133</v>
      </c>
      <c r="F7321" s="81">
        <v>793.0</v>
      </c>
      <c r="G7321" s="81" t="s">
        <v>39</v>
      </c>
      <c r="H7321" s="81" t="s">
        <v>224</v>
      </c>
      <c r="I7321" s="81" t="s">
        <v>224</v>
      </c>
      <c r="J7321" s="81" t="s">
        <v>6442</v>
      </c>
    </row>
    <row r="7322">
      <c r="A7322" s="83" t="s">
        <v>6633</v>
      </c>
      <c r="B7322" s="83" t="s">
        <v>6634</v>
      </c>
      <c r="C7322" s="81" t="s">
        <v>4082</v>
      </c>
      <c r="D7322" s="83" t="s">
        <v>4847</v>
      </c>
      <c r="E7322" s="81" t="s">
        <v>4005</v>
      </c>
      <c r="F7322" s="81">
        <v>794.0</v>
      </c>
      <c r="G7322" s="81" t="s">
        <v>39</v>
      </c>
      <c r="H7322" s="81" t="s">
        <v>224</v>
      </c>
      <c r="I7322" s="81" t="s">
        <v>224</v>
      </c>
      <c r="J7322" s="81" t="s">
        <v>6316</v>
      </c>
    </row>
    <row r="7323">
      <c r="A7323" s="83" t="s">
        <v>6633</v>
      </c>
      <c r="B7323" s="83" t="s">
        <v>6634</v>
      </c>
      <c r="C7323" s="81" t="s">
        <v>4082</v>
      </c>
      <c r="D7323" s="83" t="s">
        <v>4848</v>
      </c>
      <c r="E7323" s="81" t="s">
        <v>1142</v>
      </c>
      <c r="F7323" s="81">
        <v>795.0</v>
      </c>
      <c r="G7323" s="81" t="s">
        <v>39</v>
      </c>
      <c r="H7323" s="81" t="s">
        <v>224</v>
      </c>
      <c r="I7323" s="81" t="s">
        <v>224</v>
      </c>
      <c r="J7323" s="81" t="s">
        <v>6443</v>
      </c>
    </row>
    <row r="7324">
      <c r="A7324" s="83" t="s">
        <v>6633</v>
      </c>
      <c r="B7324" s="83" t="s">
        <v>6634</v>
      </c>
      <c r="C7324" s="81" t="s">
        <v>4082</v>
      </c>
      <c r="D7324" s="83" t="s">
        <v>4850</v>
      </c>
      <c r="E7324" s="81" t="s">
        <v>1138</v>
      </c>
      <c r="F7324" s="81">
        <v>796.0</v>
      </c>
      <c r="G7324" s="81" t="s">
        <v>39</v>
      </c>
      <c r="H7324" s="81" t="s">
        <v>224</v>
      </c>
      <c r="I7324" s="81" t="s">
        <v>224</v>
      </c>
      <c r="J7324" s="81" t="s">
        <v>6444</v>
      </c>
    </row>
    <row r="7325">
      <c r="A7325" s="83" t="s">
        <v>6633</v>
      </c>
      <c r="B7325" s="83" t="s">
        <v>6634</v>
      </c>
      <c r="C7325" s="81" t="s">
        <v>4082</v>
      </c>
      <c r="D7325" s="83" t="s">
        <v>4868</v>
      </c>
      <c r="E7325" s="81" t="s">
        <v>4020</v>
      </c>
      <c r="F7325" s="81">
        <v>804.0</v>
      </c>
      <c r="G7325" s="81" t="s">
        <v>41</v>
      </c>
      <c r="H7325" s="81" t="s">
        <v>4027</v>
      </c>
      <c r="I7325" s="81" t="s">
        <v>224</v>
      </c>
      <c r="J7325" s="81" t="s">
        <v>6446</v>
      </c>
    </row>
    <row r="7326">
      <c r="A7326" s="83" t="s">
        <v>6633</v>
      </c>
      <c r="B7326" s="83" t="s">
        <v>6634</v>
      </c>
      <c r="C7326" s="81" t="s">
        <v>4082</v>
      </c>
      <c r="D7326" s="83" t="s">
        <v>4870</v>
      </c>
      <c r="E7326" s="81" t="s">
        <v>4037</v>
      </c>
      <c r="F7326" s="81">
        <v>806.0</v>
      </c>
      <c r="G7326" s="81" t="s">
        <v>41</v>
      </c>
      <c r="H7326" s="81" t="s">
        <v>4045</v>
      </c>
      <c r="I7326" s="81" t="s">
        <v>224</v>
      </c>
      <c r="J7326" s="81" t="s">
        <v>6449</v>
      </c>
    </row>
    <row r="7327">
      <c r="A7327" s="83" t="s">
        <v>6633</v>
      </c>
      <c r="B7327" s="83" t="s">
        <v>6634</v>
      </c>
      <c r="C7327" s="81" t="s">
        <v>4082</v>
      </c>
      <c r="D7327" s="83" t="s">
        <v>4871</v>
      </c>
      <c r="E7327" s="81" t="s">
        <v>4049</v>
      </c>
      <c r="F7327" s="81">
        <v>807.0</v>
      </c>
      <c r="G7327" s="81" t="s">
        <v>41</v>
      </c>
      <c r="H7327" s="81" t="s">
        <v>4054</v>
      </c>
      <c r="I7327" s="81" t="s">
        <v>224</v>
      </c>
      <c r="J7327" s="81" t="s">
        <v>6450</v>
      </c>
    </row>
    <row r="7328">
      <c r="A7328" s="83" t="s">
        <v>6633</v>
      </c>
      <c r="B7328" s="83" t="s">
        <v>6634</v>
      </c>
      <c r="C7328" s="81" t="s">
        <v>4082</v>
      </c>
      <c r="D7328" s="83" t="s">
        <v>4873</v>
      </c>
      <c r="E7328" s="81" t="s">
        <v>4874</v>
      </c>
      <c r="F7328" s="81">
        <v>809.0</v>
      </c>
      <c r="G7328" s="81" t="s">
        <v>41</v>
      </c>
      <c r="H7328" s="81" t="s">
        <v>4876</v>
      </c>
      <c r="I7328" s="81" t="s">
        <v>224</v>
      </c>
      <c r="J7328" s="81" t="s">
        <v>6451</v>
      </c>
    </row>
    <row r="7329">
      <c r="A7329" s="83" t="s">
        <v>6633</v>
      </c>
      <c r="B7329" s="83" t="s">
        <v>6634</v>
      </c>
      <c r="C7329" s="81" t="s">
        <v>4084</v>
      </c>
      <c r="D7329" s="81" t="s">
        <v>224</v>
      </c>
      <c r="E7329" s="81" t="s">
        <v>224</v>
      </c>
      <c r="F7329" s="81" t="s">
        <v>224</v>
      </c>
      <c r="G7329" s="81" t="s">
        <v>40</v>
      </c>
      <c r="H7329" s="81" t="s">
        <v>224</v>
      </c>
      <c r="I7329" s="81" t="s">
        <v>224</v>
      </c>
      <c r="J7329" s="81" t="s">
        <v>6452</v>
      </c>
    </row>
    <row r="7330">
      <c r="A7330" s="83" t="s">
        <v>6633</v>
      </c>
      <c r="B7330" s="83" t="s">
        <v>6634</v>
      </c>
      <c r="C7330" s="81" t="s">
        <v>4084</v>
      </c>
      <c r="D7330" s="81" t="s">
        <v>224</v>
      </c>
      <c r="E7330" s="81" t="s">
        <v>224</v>
      </c>
      <c r="F7330" s="81" t="s">
        <v>224</v>
      </c>
      <c r="G7330" s="81" t="s">
        <v>41</v>
      </c>
      <c r="H7330" s="81" t="s">
        <v>224</v>
      </c>
      <c r="I7330" s="81" t="s">
        <v>224</v>
      </c>
      <c r="J7330" s="81" t="s">
        <v>6453</v>
      </c>
    </row>
    <row r="7331">
      <c r="A7331" s="83" t="s">
        <v>6641</v>
      </c>
      <c r="B7331" s="83" t="s">
        <v>6642</v>
      </c>
      <c r="C7331" s="81" t="s">
        <v>4080</v>
      </c>
      <c r="D7331" s="81" t="s">
        <v>224</v>
      </c>
      <c r="E7331" s="81" t="s">
        <v>224</v>
      </c>
      <c r="F7331" s="81" t="s">
        <v>224</v>
      </c>
      <c r="G7331" s="81" t="s">
        <v>224</v>
      </c>
      <c r="H7331" s="81" t="s">
        <v>224</v>
      </c>
      <c r="I7331" s="81" t="s">
        <v>224</v>
      </c>
      <c r="J7331" s="81" t="s">
        <v>6643</v>
      </c>
    </row>
    <row r="7332">
      <c r="A7332" s="83" t="s">
        <v>6641</v>
      </c>
      <c r="B7332" s="83" t="s">
        <v>6642</v>
      </c>
      <c r="C7332" s="81" t="s">
        <v>4082</v>
      </c>
      <c r="D7332" s="81" t="s">
        <v>224</v>
      </c>
      <c r="E7332" s="81" t="s">
        <v>4055</v>
      </c>
      <c r="F7332" s="81" t="s">
        <v>224</v>
      </c>
      <c r="G7332" s="81" t="s">
        <v>42</v>
      </c>
      <c r="H7332" s="81" t="s">
        <v>224</v>
      </c>
      <c r="I7332" s="81" t="s">
        <v>224</v>
      </c>
      <c r="J7332" s="81" t="s">
        <v>6431</v>
      </c>
    </row>
    <row r="7333">
      <c r="A7333" s="83" t="s">
        <v>6641</v>
      </c>
      <c r="B7333" s="83" t="s">
        <v>6642</v>
      </c>
      <c r="C7333" s="81" t="s">
        <v>4082</v>
      </c>
      <c r="D7333" s="81" t="s">
        <v>224</v>
      </c>
      <c r="E7333" s="81" t="s">
        <v>6362</v>
      </c>
      <c r="F7333" s="81" t="s">
        <v>224</v>
      </c>
      <c r="G7333" s="81" t="s">
        <v>42</v>
      </c>
      <c r="H7333" s="81" t="s">
        <v>224</v>
      </c>
      <c r="I7333" s="81" t="s">
        <v>224</v>
      </c>
      <c r="J7333" s="81" t="s">
        <v>6363</v>
      </c>
    </row>
    <row r="7334">
      <c r="A7334" s="83" t="s">
        <v>6641</v>
      </c>
      <c r="B7334" s="83" t="s">
        <v>6642</v>
      </c>
      <c r="C7334" s="81" t="s">
        <v>4084</v>
      </c>
      <c r="D7334" s="81" t="s">
        <v>224</v>
      </c>
      <c r="E7334" s="81" t="s">
        <v>224</v>
      </c>
      <c r="F7334" s="81" t="s">
        <v>224</v>
      </c>
      <c r="G7334" s="81" t="s">
        <v>224</v>
      </c>
      <c r="H7334" s="81" t="s">
        <v>224</v>
      </c>
      <c r="I7334" s="81" t="s">
        <v>224</v>
      </c>
      <c r="J7334" s="81" t="s">
        <v>6644</v>
      </c>
    </row>
    <row r="7335">
      <c r="A7335" s="83" t="s">
        <v>6641</v>
      </c>
      <c r="B7335" s="83" t="s">
        <v>6642</v>
      </c>
      <c r="C7335" s="81" t="s">
        <v>4082</v>
      </c>
      <c r="D7335" s="81" t="s">
        <v>224</v>
      </c>
      <c r="E7335" s="81" t="s">
        <v>6637</v>
      </c>
      <c r="F7335" s="81" t="s">
        <v>224</v>
      </c>
      <c r="G7335" s="81" t="s">
        <v>224</v>
      </c>
      <c r="H7335" s="81" t="s">
        <v>224</v>
      </c>
      <c r="I7335" s="81" t="s">
        <v>224</v>
      </c>
      <c r="J7335" s="81" t="s">
        <v>6638</v>
      </c>
    </row>
    <row r="7336">
      <c r="A7336" s="83" t="s">
        <v>6641</v>
      </c>
      <c r="B7336" s="83" t="s">
        <v>6642</v>
      </c>
      <c r="C7336" s="81" t="s">
        <v>4082</v>
      </c>
      <c r="D7336" s="81" t="s">
        <v>224</v>
      </c>
      <c r="E7336" s="81" t="s">
        <v>6639</v>
      </c>
      <c r="F7336" s="81" t="s">
        <v>224</v>
      </c>
      <c r="G7336" s="81" t="s">
        <v>224</v>
      </c>
      <c r="H7336" s="81" t="s">
        <v>224</v>
      </c>
      <c r="I7336" s="81" t="s">
        <v>224</v>
      </c>
      <c r="J7336" s="81" t="s">
        <v>6638</v>
      </c>
    </row>
    <row r="7337">
      <c r="A7337" s="83" t="s">
        <v>6641</v>
      </c>
      <c r="B7337" s="83" t="s">
        <v>6642</v>
      </c>
      <c r="C7337" s="81" t="s">
        <v>4082</v>
      </c>
      <c r="D7337" s="81" t="s">
        <v>224</v>
      </c>
      <c r="E7337" s="81" t="s">
        <v>6458</v>
      </c>
      <c r="F7337" s="81" t="s">
        <v>224</v>
      </c>
      <c r="G7337" s="81" t="s">
        <v>224</v>
      </c>
      <c r="H7337" s="81" t="s">
        <v>224</v>
      </c>
      <c r="I7337" s="81" t="s">
        <v>224</v>
      </c>
      <c r="J7337" s="81" t="s">
        <v>6459</v>
      </c>
    </row>
    <row r="7338">
      <c r="A7338" s="83" t="s">
        <v>6641</v>
      </c>
      <c r="B7338" s="83" t="s">
        <v>6642</v>
      </c>
      <c r="C7338" s="81" t="s">
        <v>4082</v>
      </c>
      <c r="D7338" s="81" t="s">
        <v>224</v>
      </c>
      <c r="E7338" s="81" t="s">
        <v>6460</v>
      </c>
      <c r="F7338" s="81" t="s">
        <v>224</v>
      </c>
      <c r="G7338" s="81" t="s">
        <v>224</v>
      </c>
      <c r="H7338" s="81" t="s">
        <v>224</v>
      </c>
      <c r="I7338" s="81" t="s">
        <v>224</v>
      </c>
      <c r="J7338" s="81" t="s">
        <v>6461</v>
      </c>
    </row>
    <row r="7339">
      <c r="A7339" s="83" t="s">
        <v>6641</v>
      </c>
      <c r="B7339" s="83" t="s">
        <v>6642</v>
      </c>
      <c r="C7339" s="81" t="s">
        <v>4082</v>
      </c>
      <c r="D7339" s="81" t="s">
        <v>224</v>
      </c>
      <c r="E7339" s="81" t="s">
        <v>6462</v>
      </c>
      <c r="F7339" s="81" t="s">
        <v>224</v>
      </c>
      <c r="G7339" s="81" t="s">
        <v>224</v>
      </c>
      <c r="H7339" s="81" t="s">
        <v>224</v>
      </c>
      <c r="I7339" s="81" t="s">
        <v>224</v>
      </c>
      <c r="J7339" s="81" t="s">
        <v>6463</v>
      </c>
    </row>
    <row r="7340">
      <c r="A7340" s="83" t="s">
        <v>6641</v>
      </c>
      <c r="B7340" s="83" t="s">
        <v>6642</v>
      </c>
      <c r="C7340" s="81" t="s">
        <v>4082</v>
      </c>
      <c r="D7340" s="81" t="s">
        <v>224</v>
      </c>
      <c r="E7340" s="81" t="s">
        <v>6464</v>
      </c>
      <c r="F7340" s="81" t="s">
        <v>224</v>
      </c>
      <c r="G7340" s="81" t="s">
        <v>224</v>
      </c>
      <c r="H7340" s="81" t="s">
        <v>224</v>
      </c>
      <c r="I7340" s="81" t="s">
        <v>224</v>
      </c>
      <c r="J7340" s="81" t="s">
        <v>6465</v>
      </c>
    </row>
    <row r="7341">
      <c r="A7341" s="83" t="s">
        <v>6641</v>
      </c>
      <c r="B7341" s="83" t="s">
        <v>6642</v>
      </c>
      <c r="C7341" s="81" t="s">
        <v>4082</v>
      </c>
      <c r="D7341" s="81" t="s">
        <v>224</v>
      </c>
      <c r="E7341" s="81" t="s">
        <v>6466</v>
      </c>
      <c r="F7341" s="81" t="s">
        <v>224</v>
      </c>
      <c r="G7341" s="81" t="s">
        <v>224</v>
      </c>
      <c r="H7341" s="81" t="s">
        <v>224</v>
      </c>
      <c r="I7341" s="81" t="s">
        <v>224</v>
      </c>
      <c r="J7341" s="81" t="s">
        <v>6467</v>
      </c>
    </row>
    <row r="7342">
      <c r="A7342" s="83" t="s">
        <v>6641</v>
      </c>
      <c r="B7342" s="83" t="s">
        <v>6642</v>
      </c>
      <c r="C7342" s="81" t="s">
        <v>4082</v>
      </c>
      <c r="D7342" s="81" t="s">
        <v>224</v>
      </c>
      <c r="E7342" s="81" t="s">
        <v>6468</v>
      </c>
      <c r="F7342" s="81" t="s">
        <v>224</v>
      </c>
      <c r="G7342" s="81" t="s">
        <v>224</v>
      </c>
      <c r="H7342" s="81" t="s">
        <v>224</v>
      </c>
      <c r="I7342" s="81" t="s">
        <v>224</v>
      </c>
      <c r="J7342" s="81" t="s">
        <v>6469</v>
      </c>
    </row>
    <row r="7343">
      <c r="A7343" s="83" t="s">
        <v>6641</v>
      </c>
      <c r="B7343" s="83" t="s">
        <v>6642</v>
      </c>
      <c r="C7343" s="81" t="s">
        <v>4082</v>
      </c>
      <c r="D7343" s="81" t="s">
        <v>224</v>
      </c>
      <c r="E7343" s="81" t="s">
        <v>6470</v>
      </c>
      <c r="F7343" s="81" t="s">
        <v>224</v>
      </c>
      <c r="G7343" s="81" t="s">
        <v>224</v>
      </c>
      <c r="H7343" s="81" t="s">
        <v>224</v>
      </c>
      <c r="I7343" s="81" t="s">
        <v>224</v>
      </c>
      <c r="J7343" s="81" t="s">
        <v>6471</v>
      </c>
    </row>
    <row r="7344">
      <c r="A7344" s="83" t="s">
        <v>6641</v>
      </c>
      <c r="B7344" s="83" t="s">
        <v>6642</v>
      </c>
      <c r="C7344" s="81" t="s">
        <v>4082</v>
      </c>
      <c r="D7344" s="81" t="s">
        <v>224</v>
      </c>
      <c r="E7344" s="81" t="s">
        <v>6472</v>
      </c>
      <c r="F7344" s="81" t="s">
        <v>224</v>
      </c>
      <c r="G7344" s="81" t="s">
        <v>224</v>
      </c>
      <c r="H7344" s="81" t="s">
        <v>224</v>
      </c>
      <c r="I7344" s="81" t="s">
        <v>224</v>
      </c>
      <c r="J7344" s="81" t="s">
        <v>6473</v>
      </c>
    </row>
    <row r="7345">
      <c r="A7345" s="83" t="s">
        <v>6641</v>
      </c>
      <c r="B7345" s="83" t="s">
        <v>6642</v>
      </c>
      <c r="C7345" s="81" t="s">
        <v>4082</v>
      </c>
      <c r="D7345" s="81" t="s">
        <v>224</v>
      </c>
      <c r="E7345" s="81" t="s">
        <v>6474</v>
      </c>
      <c r="F7345" s="81" t="s">
        <v>224</v>
      </c>
      <c r="G7345" s="81" t="s">
        <v>224</v>
      </c>
      <c r="H7345" s="81" t="s">
        <v>224</v>
      </c>
      <c r="I7345" s="81" t="s">
        <v>224</v>
      </c>
      <c r="J7345" s="81" t="s">
        <v>6475</v>
      </c>
    </row>
    <row r="7346">
      <c r="A7346" s="83" t="s">
        <v>6641</v>
      </c>
      <c r="B7346" s="83" t="s">
        <v>6642</v>
      </c>
      <c r="C7346" s="81" t="s">
        <v>4082</v>
      </c>
      <c r="D7346" s="81" t="s">
        <v>224</v>
      </c>
      <c r="E7346" s="81" t="s">
        <v>6476</v>
      </c>
      <c r="F7346" s="81" t="s">
        <v>224</v>
      </c>
      <c r="G7346" s="81" t="s">
        <v>224</v>
      </c>
      <c r="H7346" s="81" t="s">
        <v>224</v>
      </c>
      <c r="I7346" s="81" t="s">
        <v>224</v>
      </c>
      <c r="J7346" s="81" t="s">
        <v>6477</v>
      </c>
    </row>
    <row r="7347">
      <c r="A7347" s="83" t="s">
        <v>6641</v>
      </c>
      <c r="B7347" s="83" t="s">
        <v>6642</v>
      </c>
      <c r="C7347" s="81" t="s">
        <v>4082</v>
      </c>
      <c r="D7347" s="81" t="s">
        <v>224</v>
      </c>
      <c r="E7347" s="81" t="s">
        <v>6478</v>
      </c>
      <c r="F7347" s="81" t="s">
        <v>224</v>
      </c>
      <c r="G7347" s="81" t="s">
        <v>224</v>
      </c>
      <c r="H7347" s="81" t="s">
        <v>224</v>
      </c>
      <c r="I7347" s="81" t="s">
        <v>224</v>
      </c>
      <c r="J7347" s="81" t="s">
        <v>6479</v>
      </c>
    </row>
    <row r="7348">
      <c r="A7348" s="83" t="s">
        <v>6641</v>
      </c>
      <c r="B7348" s="83" t="s">
        <v>6642</v>
      </c>
      <c r="C7348" s="81" t="s">
        <v>4082</v>
      </c>
      <c r="D7348" s="81" t="s">
        <v>224</v>
      </c>
      <c r="E7348" s="81" t="s">
        <v>6480</v>
      </c>
      <c r="F7348" s="81" t="s">
        <v>224</v>
      </c>
      <c r="G7348" s="81" t="s">
        <v>224</v>
      </c>
      <c r="H7348" s="81" t="s">
        <v>224</v>
      </c>
      <c r="I7348" s="81" t="s">
        <v>224</v>
      </c>
      <c r="J7348" s="81" t="s">
        <v>6481</v>
      </c>
    </row>
    <row r="7349">
      <c r="A7349" s="83" t="s">
        <v>6641</v>
      </c>
      <c r="B7349" s="83" t="s">
        <v>6642</v>
      </c>
      <c r="C7349" s="81" t="s">
        <v>4082</v>
      </c>
      <c r="D7349" s="81" t="s">
        <v>224</v>
      </c>
      <c r="E7349" s="81" t="s">
        <v>6482</v>
      </c>
      <c r="F7349" s="81" t="s">
        <v>224</v>
      </c>
      <c r="G7349" s="81" t="s">
        <v>224</v>
      </c>
      <c r="H7349" s="81" t="s">
        <v>224</v>
      </c>
      <c r="I7349" s="81" t="s">
        <v>224</v>
      </c>
      <c r="J7349" s="81" t="s">
        <v>6483</v>
      </c>
    </row>
    <row r="7350">
      <c r="A7350" s="83" t="s">
        <v>6641</v>
      </c>
      <c r="B7350" s="83" t="s">
        <v>6642</v>
      </c>
      <c r="C7350" s="81" t="s">
        <v>4082</v>
      </c>
      <c r="D7350" s="81" t="s">
        <v>224</v>
      </c>
      <c r="E7350" s="81" t="s">
        <v>6484</v>
      </c>
      <c r="F7350" s="81" t="s">
        <v>224</v>
      </c>
      <c r="G7350" s="81" t="s">
        <v>224</v>
      </c>
      <c r="H7350" s="81" t="s">
        <v>224</v>
      </c>
      <c r="I7350" s="81" t="s">
        <v>224</v>
      </c>
      <c r="J7350" s="81" t="s">
        <v>6485</v>
      </c>
    </row>
    <row r="7351">
      <c r="A7351" s="83" t="s">
        <v>6641</v>
      </c>
      <c r="B7351" s="83" t="s">
        <v>6642</v>
      </c>
      <c r="C7351" s="81" t="s">
        <v>4082</v>
      </c>
      <c r="D7351" s="81" t="s">
        <v>224</v>
      </c>
      <c r="E7351" s="81" t="s">
        <v>6486</v>
      </c>
      <c r="F7351" s="81" t="s">
        <v>224</v>
      </c>
      <c r="G7351" s="81" t="s">
        <v>224</v>
      </c>
      <c r="H7351" s="81" t="s">
        <v>224</v>
      </c>
      <c r="I7351" s="81" t="s">
        <v>224</v>
      </c>
      <c r="J7351" s="81" t="s">
        <v>6487</v>
      </c>
    </row>
    <row r="7352">
      <c r="A7352" s="83" t="s">
        <v>6641</v>
      </c>
      <c r="B7352" s="83" t="s">
        <v>6642</v>
      </c>
      <c r="C7352" s="81" t="s">
        <v>4082</v>
      </c>
      <c r="D7352" s="81" t="s">
        <v>224</v>
      </c>
      <c r="E7352" s="81" t="s">
        <v>6488</v>
      </c>
      <c r="F7352" s="81" t="s">
        <v>224</v>
      </c>
      <c r="G7352" s="81" t="s">
        <v>224</v>
      </c>
      <c r="H7352" s="81" t="s">
        <v>224</v>
      </c>
      <c r="I7352" s="81" t="s">
        <v>224</v>
      </c>
      <c r="J7352" s="81" t="s">
        <v>6489</v>
      </c>
    </row>
    <row r="7353">
      <c r="A7353" s="83" t="s">
        <v>6641</v>
      </c>
      <c r="B7353" s="83" t="s">
        <v>6642</v>
      </c>
      <c r="C7353" s="81" t="s">
        <v>4082</v>
      </c>
      <c r="D7353" s="81" t="s">
        <v>224</v>
      </c>
      <c r="E7353" s="81" t="s">
        <v>6490</v>
      </c>
      <c r="F7353" s="81" t="s">
        <v>224</v>
      </c>
      <c r="G7353" s="81" t="s">
        <v>224</v>
      </c>
      <c r="H7353" s="81" t="s">
        <v>224</v>
      </c>
      <c r="I7353" s="81" t="s">
        <v>224</v>
      </c>
      <c r="J7353" s="81" t="s">
        <v>6491</v>
      </c>
    </row>
    <row r="7354">
      <c r="A7354" s="83" t="s">
        <v>6641</v>
      </c>
      <c r="B7354" s="83" t="s">
        <v>6642</v>
      </c>
      <c r="C7354" s="81" t="s">
        <v>4082</v>
      </c>
      <c r="D7354" s="81" t="s">
        <v>224</v>
      </c>
      <c r="E7354" s="81" t="s">
        <v>6492</v>
      </c>
      <c r="F7354" s="81" t="s">
        <v>224</v>
      </c>
      <c r="G7354" s="81" t="s">
        <v>224</v>
      </c>
      <c r="H7354" s="81" t="s">
        <v>224</v>
      </c>
      <c r="I7354" s="81" t="s">
        <v>224</v>
      </c>
      <c r="J7354" s="81" t="s">
        <v>6493</v>
      </c>
    </row>
    <row r="7355">
      <c r="A7355" s="83" t="s">
        <v>6641</v>
      </c>
      <c r="B7355" s="83" t="s">
        <v>6642</v>
      </c>
      <c r="C7355" s="81" t="s">
        <v>4082</v>
      </c>
      <c r="D7355" s="81" t="s">
        <v>224</v>
      </c>
      <c r="E7355" s="81" t="s">
        <v>6494</v>
      </c>
      <c r="F7355" s="81" t="s">
        <v>224</v>
      </c>
      <c r="G7355" s="81" t="s">
        <v>224</v>
      </c>
      <c r="H7355" s="81" t="s">
        <v>224</v>
      </c>
      <c r="I7355" s="81" t="s">
        <v>224</v>
      </c>
      <c r="J7355" s="81" t="s">
        <v>6495</v>
      </c>
    </row>
    <row r="7356">
      <c r="A7356" s="83" t="s">
        <v>6641</v>
      </c>
      <c r="B7356" s="83" t="s">
        <v>6642</v>
      </c>
      <c r="C7356" s="81" t="s">
        <v>4082</v>
      </c>
      <c r="D7356" s="81" t="s">
        <v>224</v>
      </c>
      <c r="E7356" s="81" t="s">
        <v>6496</v>
      </c>
      <c r="F7356" s="81" t="s">
        <v>224</v>
      </c>
      <c r="G7356" s="81" t="s">
        <v>224</v>
      </c>
      <c r="H7356" s="81" t="s">
        <v>224</v>
      </c>
      <c r="I7356" s="81" t="s">
        <v>224</v>
      </c>
      <c r="J7356" s="81" t="s">
        <v>6497</v>
      </c>
    </row>
    <row r="7357">
      <c r="A7357" s="83" t="s">
        <v>6641</v>
      </c>
      <c r="B7357" s="83" t="s">
        <v>6642</v>
      </c>
      <c r="C7357" s="81" t="s">
        <v>4082</v>
      </c>
      <c r="D7357" s="81" t="s">
        <v>224</v>
      </c>
      <c r="E7357" s="81" t="s">
        <v>6498</v>
      </c>
      <c r="F7357" s="81" t="s">
        <v>224</v>
      </c>
      <c r="G7357" s="81" t="s">
        <v>224</v>
      </c>
      <c r="H7357" s="81" t="s">
        <v>224</v>
      </c>
      <c r="I7357" s="81" t="s">
        <v>224</v>
      </c>
      <c r="J7357" s="81" t="s">
        <v>6499</v>
      </c>
    </row>
    <row r="7358">
      <c r="A7358" s="83" t="s">
        <v>6641</v>
      </c>
      <c r="B7358" s="83" t="s">
        <v>6642</v>
      </c>
      <c r="C7358" s="81" t="s">
        <v>4082</v>
      </c>
      <c r="D7358" s="81" t="s">
        <v>224</v>
      </c>
      <c r="E7358" s="81" t="s">
        <v>6500</v>
      </c>
      <c r="F7358" s="81" t="s">
        <v>224</v>
      </c>
      <c r="G7358" s="81" t="s">
        <v>224</v>
      </c>
      <c r="H7358" s="81" t="s">
        <v>224</v>
      </c>
      <c r="I7358" s="81" t="s">
        <v>224</v>
      </c>
      <c r="J7358" s="81" t="s">
        <v>6501</v>
      </c>
    </row>
    <row r="7359">
      <c r="A7359" s="83" t="s">
        <v>6641</v>
      </c>
      <c r="B7359" s="83" t="s">
        <v>6642</v>
      </c>
      <c r="C7359" s="81" t="s">
        <v>4082</v>
      </c>
      <c r="D7359" s="81" t="s">
        <v>224</v>
      </c>
      <c r="E7359" s="81" t="s">
        <v>6502</v>
      </c>
      <c r="F7359" s="81" t="s">
        <v>224</v>
      </c>
      <c r="G7359" s="81" t="s">
        <v>224</v>
      </c>
      <c r="H7359" s="81" t="s">
        <v>224</v>
      </c>
      <c r="I7359" s="81" t="s">
        <v>224</v>
      </c>
      <c r="J7359" s="81" t="s">
        <v>6491</v>
      </c>
    </row>
    <row r="7360">
      <c r="A7360" s="83" t="s">
        <v>6641</v>
      </c>
      <c r="B7360" s="83" t="s">
        <v>6642</v>
      </c>
      <c r="C7360" s="81" t="s">
        <v>4082</v>
      </c>
      <c r="D7360" s="81" t="s">
        <v>224</v>
      </c>
      <c r="E7360" s="81" t="s">
        <v>6503</v>
      </c>
      <c r="F7360" s="81" t="s">
        <v>224</v>
      </c>
      <c r="G7360" s="81" t="s">
        <v>224</v>
      </c>
      <c r="H7360" s="81" t="s">
        <v>224</v>
      </c>
      <c r="I7360" s="81" t="s">
        <v>224</v>
      </c>
      <c r="J7360" s="81" t="s">
        <v>6473</v>
      </c>
    </row>
    <row r="7361">
      <c r="A7361" s="83" t="s">
        <v>6641</v>
      </c>
      <c r="B7361" s="83" t="s">
        <v>6642</v>
      </c>
      <c r="C7361" s="81" t="s">
        <v>4082</v>
      </c>
      <c r="D7361" s="81" t="s">
        <v>224</v>
      </c>
      <c r="E7361" s="81" t="s">
        <v>6504</v>
      </c>
      <c r="F7361" s="81" t="s">
        <v>224</v>
      </c>
      <c r="G7361" s="81" t="s">
        <v>224</v>
      </c>
      <c r="H7361" s="81" t="s">
        <v>224</v>
      </c>
      <c r="I7361" s="81" t="s">
        <v>224</v>
      </c>
      <c r="J7361" s="81" t="s">
        <v>6489</v>
      </c>
    </row>
    <row r="7362">
      <c r="A7362" s="83" t="s">
        <v>6641</v>
      </c>
      <c r="B7362" s="83" t="s">
        <v>6642</v>
      </c>
      <c r="C7362" s="81" t="s">
        <v>4082</v>
      </c>
      <c r="D7362" s="81" t="s">
        <v>224</v>
      </c>
      <c r="E7362" s="81" t="s">
        <v>6505</v>
      </c>
      <c r="F7362" s="81" t="s">
        <v>224</v>
      </c>
      <c r="G7362" s="81" t="s">
        <v>224</v>
      </c>
      <c r="H7362" s="81" t="s">
        <v>224</v>
      </c>
      <c r="I7362" s="81" t="s">
        <v>224</v>
      </c>
      <c r="J7362" s="81" t="s">
        <v>6469</v>
      </c>
    </row>
    <row r="7363">
      <c r="A7363" s="83" t="s">
        <v>6641</v>
      </c>
      <c r="B7363" s="83" t="s">
        <v>6642</v>
      </c>
      <c r="C7363" s="81" t="s">
        <v>4082</v>
      </c>
      <c r="D7363" s="81" t="s">
        <v>224</v>
      </c>
      <c r="E7363" s="81" t="s">
        <v>6506</v>
      </c>
      <c r="F7363" s="81" t="s">
        <v>224</v>
      </c>
      <c r="G7363" s="81" t="s">
        <v>224</v>
      </c>
      <c r="H7363" s="81" t="s">
        <v>224</v>
      </c>
      <c r="I7363" s="81" t="s">
        <v>224</v>
      </c>
      <c r="J7363" s="81" t="s">
        <v>6499</v>
      </c>
    </row>
    <row r="7364">
      <c r="A7364" s="83" t="s">
        <v>6641</v>
      </c>
      <c r="B7364" s="83" t="s">
        <v>6642</v>
      </c>
      <c r="C7364" s="81" t="s">
        <v>4082</v>
      </c>
      <c r="D7364" s="81" t="s">
        <v>224</v>
      </c>
      <c r="E7364" s="81" t="s">
        <v>6507</v>
      </c>
      <c r="F7364" s="81" t="s">
        <v>224</v>
      </c>
      <c r="G7364" s="81" t="s">
        <v>224</v>
      </c>
      <c r="H7364" s="81" t="s">
        <v>224</v>
      </c>
      <c r="I7364" s="81" t="s">
        <v>224</v>
      </c>
      <c r="J7364" s="81" t="s">
        <v>6485</v>
      </c>
    </row>
    <row r="7365">
      <c r="A7365" s="83" t="s">
        <v>6641</v>
      </c>
      <c r="B7365" s="83" t="s">
        <v>6642</v>
      </c>
      <c r="C7365" s="81" t="s">
        <v>4082</v>
      </c>
      <c r="D7365" s="81" t="s">
        <v>224</v>
      </c>
      <c r="E7365" s="81" t="s">
        <v>6508</v>
      </c>
      <c r="F7365" s="81" t="s">
        <v>224</v>
      </c>
      <c r="G7365" s="81" t="s">
        <v>224</v>
      </c>
      <c r="H7365" s="81" t="s">
        <v>224</v>
      </c>
      <c r="I7365" s="81" t="s">
        <v>224</v>
      </c>
      <c r="J7365" s="81" t="s">
        <v>6501</v>
      </c>
    </row>
    <row r="7366">
      <c r="A7366" s="83" t="s">
        <v>6641</v>
      </c>
      <c r="B7366" s="83" t="s">
        <v>6642</v>
      </c>
      <c r="C7366" s="81" t="s">
        <v>4082</v>
      </c>
      <c r="D7366" s="81" t="s">
        <v>224</v>
      </c>
      <c r="E7366" s="81" t="s">
        <v>6509</v>
      </c>
      <c r="F7366" s="81" t="s">
        <v>224</v>
      </c>
      <c r="G7366" s="81" t="s">
        <v>224</v>
      </c>
      <c r="H7366" s="81" t="s">
        <v>224</v>
      </c>
      <c r="I7366" s="81" t="s">
        <v>224</v>
      </c>
      <c r="J7366" s="81" t="s">
        <v>6481</v>
      </c>
    </row>
    <row r="7367">
      <c r="A7367" s="83" t="s">
        <v>6641</v>
      </c>
      <c r="B7367" s="83" t="s">
        <v>6642</v>
      </c>
      <c r="C7367" s="81" t="s">
        <v>4082</v>
      </c>
      <c r="D7367" s="81" t="s">
        <v>224</v>
      </c>
      <c r="E7367" s="81" t="s">
        <v>6510</v>
      </c>
      <c r="F7367" s="81" t="s">
        <v>224</v>
      </c>
      <c r="G7367" s="81" t="s">
        <v>224</v>
      </c>
      <c r="H7367" s="81" t="s">
        <v>224</v>
      </c>
      <c r="I7367" s="81" t="s">
        <v>224</v>
      </c>
      <c r="J7367" s="81" t="s">
        <v>6495</v>
      </c>
    </row>
    <row r="7368">
      <c r="A7368" s="83" t="s">
        <v>6641</v>
      </c>
      <c r="B7368" s="83" t="s">
        <v>6642</v>
      </c>
      <c r="C7368" s="81" t="s">
        <v>4082</v>
      </c>
      <c r="D7368" s="81" t="s">
        <v>224</v>
      </c>
      <c r="E7368" s="81" t="s">
        <v>6511</v>
      </c>
      <c r="F7368" s="81" t="s">
        <v>224</v>
      </c>
      <c r="G7368" s="81" t="s">
        <v>224</v>
      </c>
      <c r="H7368" s="81" t="s">
        <v>224</v>
      </c>
      <c r="I7368" s="81" t="s">
        <v>224</v>
      </c>
      <c r="J7368" s="81" t="s">
        <v>6477</v>
      </c>
    </row>
    <row r="7369">
      <c r="A7369" s="83" t="s">
        <v>6641</v>
      </c>
      <c r="B7369" s="83" t="s">
        <v>6642</v>
      </c>
      <c r="C7369" s="81" t="s">
        <v>4082</v>
      </c>
      <c r="D7369" s="81" t="s">
        <v>224</v>
      </c>
      <c r="E7369" s="81" t="s">
        <v>6512</v>
      </c>
      <c r="F7369" s="81" t="s">
        <v>224</v>
      </c>
      <c r="G7369" s="81" t="s">
        <v>224</v>
      </c>
      <c r="H7369" s="81" t="s">
        <v>224</v>
      </c>
      <c r="I7369" s="81" t="s">
        <v>224</v>
      </c>
      <c r="J7369" s="81" t="s">
        <v>6493</v>
      </c>
    </row>
    <row r="7370">
      <c r="A7370" s="83" t="s">
        <v>6641</v>
      </c>
      <c r="B7370" s="83" t="s">
        <v>6642</v>
      </c>
      <c r="C7370" s="81" t="s">
        <v>4082</v>
      </c>
      <c r="D7370" s="81" t="s">
        <v>224</v>
      </c>
      <c r="E7370" s="81" t="s">
        <v>6513</v>
      </c>
      <c r="F7370" s="81" t="s">
        <v>224</v>
      </c>
      <c r="G7370" s="81" t="s">
        <v>224</v>
      </c>
      <c r="H7370" s="81" t="s">
        <v>224</v>
      </c>
      <c r="I7370" s="81" t="s">
        <v>224</v>
      </c>
      <c r="J7370" s="81" t="s">
        <v>6475</v>
      </c>
    </row>
    <row r="7371">
      <c r="A7371" s="83" t="s">
        <v>6641</v>
      </c>
      <c r="B7371" s="83" t="s">
        <v>6642</v>
      </c>
      <c r="C7371" s="81" t="s">
        <v>4082</v>
      </c>
      <c r="D7371" s="81" t="s">
        <v>224</v>
      </c>
      <c r="E7371" s="81" t="s">
        <v>6514</v>
      </c>
      <c r="F7371" s="81" t="s">
        <v>224</v>
      </c>
      <c r="G7371" s="81" t="s">
        <v>224</v>
      </c>
      <c r="H7371" s="81" t="s">
        <v>224</v>
      </c>
      <c r="I7371" s="81" t="s">
        <v>224</v>
      </c>
      <c r="J7371" s="81" t="s">
        <v>6471</v>
      </c>
    </row>
    <row r="7372">
      <c r="A7372" s="83" t="s">
        <v>6641</v>
      </c>
      <c r="B7372" s="83" t="s">
        <v>6642</v>
      </c>
      <c r="C7372" s="81" t="s">
        <v>4082</v>
      </c>
      <c r="D7372" s="81" t="s">
        <v>224</v>
      </c>
      <c r="E7372" s="81" t="s">
        <v>6515</v>
      </c>
      <c r="F7372" s="81" t="s">
        <v>224</v>
      </c>
      <c r="G7372" s="81" t="s">
        <v>224</v>
      </c>
      <c r="H7372" s="81" t="s">
        <v>224</v>
      </c>
      <c r="I7372" s="81" t="s">
        <v>224</v>
      </c>
      <c r="J7372" s="81" t="s">
        <v>6483</v>
      </c>
    </row>
    <row r="7373">
      <c r="A7373" s="83" t="s">
        <v>6641</v>
      </c>
      <c r="B7373" s="83" t="s">
        <v>6642</v>
      </c>
      <c r="C7373" s="81" t="s">
        <v>4082</v>
      </c>
      <c r="D7373" s="81" t="s">
        <v>224</v>
      </c>
      <c r="E7373" s="81" t="s">
        <v>6516</v>
      </c>
      <c r="F7373" s="81" t="s">
        <v>224</v>
      </c>
      <c r="G7373" s="81" t="s">
        <v>224</v>
      </c>
      <c r="H7373" s="81" t="s">
        <v>224</v>
      </c>
      <c r="I7373" s="81" t="s">
        <v>224</v>
      </c>
      <c r="J7373" s="81" t="s">
        <v>6497</v>
      </c>
    </row>
    <row r="7374">
      <c r="A7374" s="83" t="s">
        <v>6641</v>
      </c>
      <c r="B7374" s="83" t="s">
        <v>6642</v>
      </c>
      <c r="C7374" s="81" t="s">
        <v>4082</v>
      </c>
      <c r="D7374" s="81" t="s">
        <v>224</v>
      </c>
      <c r="E7374" s="81" t="s">
        <v>6517</v>
      </c>
      <c r="F7374" s="81" t="s">
        <v>224</v>
      </c>
      <c r="G7374" s="81" t="s">
        <v>224</v>
      </c>
      <c r="H7374" s="81" t="s">
        <v>224</v>
      </c>
      <c r="I7374" s="81" t="s">
        <v>224</v>
      </c>
      <c r="J7374" s="81" t="s">
        <v>6479</v>
      </c>
    </row>
    <row r="7375">
      <c r="A7375" s="83" t="s">
        <v>6641</v>
      </c>
      <c r="B7375" s="83" t="s">
        <v>6642</v>
      </c>
      <c r="C7375" s="81" t="s">
        <v>4082</v>
      </c>
      <c r="D7375" s="81" t="s">
        <v>224</v>
      </c>
      <c r="E7375" s="81" t="s">
        <v>6518</v>
      </c>
      <c r="F7375" s="81" t="s">
        <v>224</v>
      </c>
      <c r="G7375" s="81" t="s">
        <v>224</v>
      </c>
      <c r="H7375" s="81" t="s">
        <v>224</v>
      </c>
      <c r="I7375" s="81" t="s">
        <v>224</v>
      </c>
      <c r="J7375" s="81" t="s">
        <v>6487</v>
      </c>
    </row>
    <row r="7376">
      <c r="A7376" s="83" t="s">
        <v>6641</v>
      </c>
      <c r="B7376" s="83" t="s">
        <v>6642</v>
      </c>
      <c r="C7376" s="81" t="s">
        <v>4082</v>
      </c>
      <c r="D7376" s="81" t="s">
        <v>224</v>
      </c>
      <c r="E7376" s="81" t="s">
        <v>6519</v>
      </c>
      <c r="F7376" s="81" t="s">
        <v>224</v>
      </c>
      <c r="G7376" s="81" t="s">
        <v>224</v>
      </c>
      <c r="H7376" s="81" t="s">
        <v>224</v>
      </c>
      <c r="I7376" s="81" t="s">
        <v>224</v>
      </c>
      <c r="J7376" s="81" t="s">
        <v>6467</v>
      </c>
    </row>
    <row r="7377">
      <c r="A7377" s="83" t="s">
        <v>6641</v>
      </c>
      <c r="B7377" s="83" t="s">
        <v>6642</v>
      </c>
      <c r="C7377" s="81" t="s">
        <v>4082</v>
      </c>
      <c r="D7377" s="81" t="s">
        <v>224</v>
      </c>
      <c r="E7377" s="81" t="s">
        <v>6520</v>
      </c>
      <c r="F7377" s="81" t="s">
        <v>224</v>
      </c>
      <c r="G7377" s="81" t="s">
        <v>224</v>
      </c>
      <c r="H7377" s="81" t="s">
        <v>224</v>
      </c>
      <c r="I7377" s="81" t="s">
        <v>224</v>
      </c>
      <c r="J7377" s="81" t="s">
        <v>6521</v>
      </c>
    </row>
    <row r="7378">
      <c r="A7378" s="83" t="s">
        <v>6641</v>
      </c>
      <c r="B7378" s="83" t="s">
        <v>6642</v>
      </c>
      <c r="C7378" s="81" t="s">
        <v>4082</v>
      </c>
      <c r="D7378" s="81" t="s">
        <v>224</v>
      </c>
      <c r="E7378" s="81" t="s">
        <v>6522</v>
      </c>
      <c r="F7378" s="81" t="s">
        <v>224</v>
      </c>
      <c r="G7378" s="81" t="s">
        <v>224</v>
      </c>
      <c r="H7378" s="81" t="s">
        <v>224</v>
      </c>
      <c r="I7378" s="81" t="s">
        <v>224</v>
      </c>
      <c r="J7378" s="81" t="s">
        <v>6521</v>
      </c>
    </row>
    <row r="7379">
      <c r="A7379" s="83" t="s">
        <v>6641</v>
      </c>
      <c r="B7379" s="83" t="s">
        <v>6642</v>
      </c>
      <c r="C7379" s="81" t="s">
        <v>4082</v>
      </c>
      <c r="D7379" s="81" t="s">
        <v>224</v>
      </c>
      <c r="E7379" s="81" t="s">
        <v>6523</v>
      </c>
      <c r="F7379" s="81" t="s">
        <v>224</v>
      </c>
      <c r="G7379" s="81" t="s">
        <v>224</v>
      </c>
      <c r="H7379" s="81" t="s">
        <v>224</v>
      </c>
      <c r="I7379" s="81" t="s">
        <v>224</v>
      </c>
      <c r="J7379" s="81" t="s">
        <v>6524</v>
      </c>
    </row>
    <row r="7380">
      <c r="A7380" s="83" t="s">
        <v>6641</v>
      </c>
      <c r="B7380" s="83" t="s">
        <v>6642</v>
      </c>
      <c r="C7380" s="81" t="s">
        <v>4082</v>
      </c>
      <c r="D7380" s="81" t="s">
        <v>224</v>
      </c>
      <c r="E7380" s="81" t="s">
        <v>6525</v>
      </c>
      <c r="F7380" s="81" t="s">
        <v>224</v>
      </c>
      <c r="G7380" s="81" t="s">
        <v>224</v>
      </c>
      <c r="H7380" s="81" t="s">
        <v>224</v>
      </c>
      <c r="I7380" s="81" t="s">
        <v>224</v>
      </c>
      <c r="J7380" s="81" t="s">
        <v>6526</v>
      </c>
    </row>
    <row r="7381">
      <c r="A7381" s="83" t="s">
        <v>6641</v>
      </c>
      <c r="B7381" s="83" t="s">
        <v>6642</v>
      </c>
      <c r="C7381" s="81" t="s">
        <v>4082</v>
      </c>
      <c r="D7381" s="81" t="s">
        <v>224</v>
      </c>
      <c r="E7381" s="81" t="s">
        <v>6527</v>
      </c>
      <c r="F7381" s="81" t="s">
        <v>224</v>
      </c>
      <c r="G7381" s="81" t="s">
        <v>224</v>
      </c>
      <c r="H7381" s="81" t="s">
        <v>224</v>
      </c>
      <c r="I7381" s="81" t="s">
        <v>224</v>
      </c>
      <c r="J7381" s="81" t="s">
        <v>6528</v>
      </c>
    </row>
    <row r="7382">
      <c r="A7382" s="83" t="s">
        <v>6641</v>
      </c>
      <c r="B7382" s="83" t="s">
        <v>6642</v>
      </c>
      <c r="C7382" s="81" t="s">
        <v>4082</v>
      </c>
      <c r="D7382" s="81" t="s">
        <v>224</v>
      </c>
      <c r="E7382" s="81" t="s">
        <v>6529</v>
      </c>
      <c r="F7382" s="81" t="s">
        <v>224</v>
      </c>
      <c r="G7382" s="81" t="s">
        <v>224</v>
      </c>
      <c r="H7382" s="81" t="s">
        <v>224</v>
      </c>
      <c r="I7382" s="81" t="s">
        <v>224</v>
      </c>
      <c r="J7382" s="81" t="s">
        <v>6530</v>
      </c>
    </row>
    <row r="7383">
      <c r="A7383" s="83" t="s">
        <v>6641</v>
      </c>
      <c r="B7383" s="83" t="s">
        <v>6642</v>
      </c>
      <c r="C7383" s="81" t="s">
        <v>4082</v>
      </c>
      <c r="D7383" s="81" t="s">
        <v>224</v>
      </c>
      <c r="E7383" s="81" t="s">
        <v>6531</v>
      </c>
      <c r="F7383" s="81" t="s">
        <v>224</v>
      </c>
      <c r="G7383" s="81" t="s">
        <v>224</v>
      </c>
      <c r="H7383" s="81" t="s">
        <v>224</v>
      </c>
      <c r="I7383" s="81" t="s">
        <v>224</v>
      </c>
      <c r="J7383" s="81" t="s">
        <v>6530</v>
      </c>
    </row>
    <row r="7384">
      <c r="A7384" s="83" t="s">
        <v>6641</v>
      </c>
      <c r="B7384" s="83" t="s">
        <v>6642</v>
      </c>
      <c r="C7384" s="81" t="s">
        <v>4082</v>
      </c>
      <c r="D7384" s="81" t="s">
        <v>224</v>
      </c>
      <c r="E7384" s="81" t="s">
        <v>6532</v>
      </c>
      <c r="F7384" s="81" t="s">
        <v>224</v>
      </c>
      <c r="G7384" s="81" t="s">
        <v>224</v>
      </c>
      <c r="H7384" s="81" t="s">
        <v>224</v>
      </c>
      <c r="I7384" s="81" t="s">
        <v>224</v>
      </c>
      <c r="J7384" s="81" t="s">
        <v>6533</v>
      </c>
    </row>
    <row r="7385">
      <c r="A7385" s="83" t="s">
        <v>6641</v>
      </c>
      <c r="B7385" s="83" t="s">
        <v>6642</v>
      </c>
      <c r="C7385" s="81" t="s">
        <v>4082</v>
      </c>
      <c r="D7385" s="81" t="s">
        <v>224</v>
      </c>
      <c r="E7385" s="81" t="s">
        <v>6534</v>
      </c>
      <c r="F7385" s="81" t="s">
        <v>224</v>
      </c>
      <c r="G7385" s="81" t="s">
        <v>224</v>
      </c>
      <c r="H7385" s="81" t="s">
        <v>224</v>
      </c>
      <c r="I7385" s="81" t="s">
        <v>224</v>
      </c>
      <c r="J7385" s="81" t="s">
        <v>6533</v>
      </c>
    </row>
    <row r="7386">
      <c r="A7386" s="83" t="s">
        <v>6641</v>
      </c>
      <c r="B7386" s="83" t="s">
        <v>6642</v>
      </c>
      <c r="C7386" s="81" t="s">
        <v>4082</v>
      </c>
      <c r="D7386" s="81" t="s">
        <v>224</v>
      </c>
      <c r="E7386" s="81" t="s">
        <v>6535</v>
      </c>
      <c r="F7386" s="81" t="s">
        <v>224</v>
      </c>
      <c r="G7386" s="81" t="s">
        <v>224</v>
      </c>
      <c r="H7386" s="81" t="s">
        <v>224</v>
      </c>
      <c r="I7386" s="81" t="s">
        <v>224</v>
      </c>
      <c r="J7386" s="81" t="s">
        <v>6536</v>
      </c>
    </row>
    <row r="7387">
      <c r="A7387" s="83" t="s">
        <v>6641</v>
      </c>
      <c r="B7387" s="83" t="s">
        <v>6642</v>
      </c>
      <c r="C7387" s="81" t="s">
        <v>4082</v>
      </c>
      <c r="D7387" s="81" t="s">
        <v>224</v>
      </c>
      <c r="E7387" s="81" t="s">
        <v>6537</v>
      </c>
      <c r="F7387" s="81" t="s">
        <v>224</v>
      </c>
      <c r="G7387" s="81" t="s">
        <v>224</v>
      </c>
      <c r="H7387" s="81" t="s">
        <v>224</v>
      </c>
      <c r="I7387" s="81" t="s">
        <v>224</v>
      </c>
      <c r="J7387" s="81" t="s">
        <v>6536</v>
      </c>
    </row>
    <row r="7388">
      <c r="A7388" s="83" t="s">
        <v>6641</v>
      </c>
      <c r="B7388" s="83" t="s">
        <v>6642</v>
      </c>
      <c r="C7388" s="81" t="s">
        <v>4082</v>
      </c>
      <c r="D7388" s="81" t="s">
        <v>224</v>
      </c>
      <c r="E7388" s="81" t="s">
        <v>6538</v>
      </c>
      <c r="F7388" s="81" t="s">
        <v>224</v>
      </c>
      <c r="G7388" s="81" t="s">
        <v>224</v>
      </c>
      <c r="H7388" s="81" t="s">
        <v>224</v>
      </c>
      <c r="I7388" s="81" t="s">
        <v>224</v>
      </c>
      <c r="J7388" s="81" t="s">
        <v>6539</v>
      </c>
    </row>
    <row r="7389">
      <c r="A7389" s="83" t="s">
        <v>6641</v>
      </c>
      <c r="B7389" s="83" t="s">
        <v>6642</v>
      </c>
      <c r="C7389" s="81" t="s">
        <v>4082</v>
      </c>
      <c r="D7389" s="81" t="s">
        <v>224</v>
      </c>
      <c r="E7389" s="81" t="s">
        <v>6540</v>
      </c>
      <c r="F7389" s="81" t="s">
        <v>224</v>
      </c>
      <c r="G7389" s="81" t="s">
        <v>224</v>
      </c>
      <c r="H7389" s="81" t="s">
        <v>224</v>
      </c>
      <c r="I7389" s="81" t="s">
        <v>224</v>
      </c>
      <c r="J7389" s="81" t="s">
        <v>6539</v>
      </c>
    </row>
    <row r="7390">
      <c r="A7390" s="83" t="s">
        <v>6641</v>
      </c>
      <c r="B7390" s="83" t="s">
        <v>6642</v>
      </c>
      <c r="C7390" s="81" t="s">
        <v>4082</v>
      </c>
      <c r="D7390" s="81" t="s">
        <v>224</v>
      </c>
      <c r="E7390" s="81" t="s">
        <v>6541</v>
      </c>
      <c r="F7390" s="81" t="s">
        <v>224</v>
      </c>
      <c r="G7390" s="81" t="s">
        <v>224</v>
      </c>
      <c r="H7390" s="81" t="s">
        <v>224</v>
      </c>
      <c r="I7390" s="81" t="s">
        <v>224</v>
      </c>
      <c r="J7390" s="81" t="s">
        <v>6542</v>
      </c>
    </row>
    <row r="7391">
      <c r="A7391" s="83" t="s">
        <v>6641</v>
      </c>
      <c r="B7391" s="83" t="s">
        <v>6642</v>
      </c>
      <c r="C7391" s="81" t="s">
        <v>4082</v>
      </c>
      <c r="D7391" s="81" t="s">
        <v>224</v>
      </c>
      <c r="E7391" s="81" t="s">
        <v>6543</v>
      </c>
      <c r="F7391" s="81" t="s">
        <v>224</v>
      </c>
      <c r="G7391" s="81" t="s">
        <v>224</v>
      </c>
      <c r="H7391" s="81" t="s">
        <v>224</v>
      </c>
      <c r="I7391" s="81" t="s">
        <v>224</v>
      </c>
      <c r="J7391" s="81" t="s">
        <v>6542</v>
      </c>
    </row>
    <row r="7392">
      <c r="A7392" s="83" t="s">
        <v>6641</v>
      </c>
      <c r="B7392" s="83" t="s">
        <v>6642</v>
      </c>
      <c r="C7392" s="81" t="s">
        <v>4082</v>
      </c>
      <c r="D7392" s="81" t="s">
        <v>224</v>
      </c>
      <c r="E7392" s="81" t="s">
        <v>6544</v>
      </c>
      <c r="F7392" s="81" t="s">
        <v>224</v>
      </c>
      <c r="G7392" s="81" t="s">
        <v>224</v>
      </c>
      <c r="H7392" s="81" t="s">
        <v>224</v>
      </c>
      <c r="I7392" s="81" t="s">
        <v>224</v>
      </c>
      <c r="J7392" s="81" t="s">
        <v>6545</v>
      </c>
    </row>
    <row r="7393">
      <c r="A7393" s="83" t="s">
        <v>6641</v>
      </c>
      <c r="B7393" s="83" t="s">
        <v>6642</v>
      </c>
      <c r="C7393" s="81" t="s">
        <v>4082</v>
      </c>
      <c r="D7393" s="81" t="s">
        <v>224</v>
      </c>
      <c r="E7393" s="81" t="s">
        <v>6546</v>
      </c>
      <c r="F7393" s="81" t="s">
        <v>224</v>
      </c>
      <c r="G7393" s="81" t="s">
        <v>224</v>
      </c>
      <c r="H7393" s="81" t="s">
        <v>224</v>
      </c>
      <c r="I7393" s="81" t="s">
        <v>224</v>
      </c>
      <c r="J7393" s="81" t="s">
        <v>6545</v>
      </c>
    </row>
    <row r="7394">
      <c r="A7394" s="83" t="s">
        <v>6641</v>
      </c>
      <c r="B7394" s="83" t="s">
        <v>6642</v>
      </c>
      <c r="C7394" s="81" t="s">
        <v>4082</v>
      </c>
      <c r="D7394" s="81" t="s">
        <v>224</v>
      </c>
      <c r="E7394" s="81" t="s">
        <v>6547</v>
      </c>
      <c r="F7394" s="81" t="s">
        <v>224</v>
      </c>
      <c r="G7394" s="81" t="s">
        <v>224</v>
      </c>
      <c r="H7394" s="81" t="s">
        <v>224</v>
      </c>
      <c r="I7394" s="81" t="s">
        <v>224</v>
      </c>
      <c r="J7394" s="81" t="s">
        <v>6548</v>
      </c>
    </row>
    <row r="7395">
      <c r="A7395" s="83" t="s">
        <v>6641</v>
      </c>
      <c r="B7395" s="83" t="s">
        <v>6642</v>
      </c>
      <c r="C7395" s="81" t="s">
        <v>4082</v>
      </c>
      <c r="D7395" s="81" t="s">
        <v>224</v>
      </c>
      <c r="E7395" s="81" t="s">
        <v>6549</v>
      </c>
      <c r="F7395" s="81" t="s">
        <v>224</v>
      </c>
      <c r="G7395" s="81" t="s">
        <v>224</v>
      </c>
      <c r="H7395" s="81" t="s">
        <v>224</v>
      </c>
      <c r="I7395" s="81" t="s">
        <v>224</v>
      </c>
      <c r="J7395" s="81" t="s">
        <v>6548</v>
      </c>
    </row>
    <row r="7396">
      <c r="A7396" s="83" t="s">
        <v>6641</v>
      </c>
      <c r="B7396" s="83" t="s">
        <v>6642</v>
      </c>
      <c r="C7396" s="81" t="s">
        <v>4082</v>
      </c>
      <c r="D7396" s="81" t="s">
        <v>224</v>
      </c>
      <c r="E7396" s="81" t="s">
        <v>6550</v>
      </c>
      <c r="F7396" s="81" t="s">
        <v>224</v>
      </c>
      <c r="G7396" s="81" t="s">
        <v>224</v>
      </c>
      <c r="H7396" s="81" t="s">
        <v>224</v>
      </c>
      <c r="I7396" s="81" t="s">
        <v>224</v>
      </c>
      <c r="J7396" s="81" t="s">
        <v>6551</v>
      </c>
    </row>
    <row r="7397">
      <c r="A7397" s="83" t="s">
        <v>6641</v>
      </c>
      <c r="B7397" s="83" t="s">
        <v>6642</v>
      </c>
      <c r="C7397" s="81" t="s">
        <v>4082</v>
      </c>
      <c r="D7397" s="81" t="s">
        <v>224</v>
      </c>
      <c r="E7397" s="81" t="s">
        <v>6552</v>
      </c>
      <c r="F7397" s="81" t="s">
        <v>224</v>
      </c>
      <c r="G7397" s="81" t="s">
        <v>224</v>
      </c>
      <c r="H7397" s="81" t="s">
        <v>224</v>
      </c>
      <c r="I7397" s="81" t="s">
        <v>224</v>
      </c>
      <c r="J7397" s="81" t="s">
        <v>6551</v>
      </c>
    </row>
    <row r="7398">
      <c r="A7398" s="83" t="s">
        <v>6641</v>
      </c>
      <c r="B7398" s="83" t="s">
        <v>6642</v>
      </c>
      <c r="C7398" s="81" t="s">
        <v>4082</v>
      </c>
      <c r="D7398" s="81" t="s">
        <v>224</v>
      </c>
      <c r="E7398" s="81" t="s">
        <v>6553</v>
      </c>
      <c r="F7398" s="81" t="s">
        <v>224</v>
      </c>
      <c r="G7398" s="81" t="s">
        <v>224</v>
      </c>
      <c r="H7398" s="81" t="s">
        <v>224</v>
      </c>
      <c r="I7398" s="81" t="s">
        <v>224</v>
      </c>
      <c r="J7398" s="81" t="s">
        <v>6554</v>
      </c>
    </row>
    <row r="7399">
      <c r="A7399" s="83" t="s">
        <v>6641</v>
      </c>
      <c r="B7399" s="83" t="s">
        <v>6642</v>
      </c>
      <c r="C7399" s="81" t="s">
        <v>4082</v>
      </c>
      <c r="D7399" s="81" t="s">
        <v>224</v>
      </c>
      <c r="E7399" s="81" t="s">
        <v>6555</v>
      </c>
      <c r="F7399" s="81" t="s">
        <v>224</v>
      </c>
      <c r="G7399" s="81" t="s">
        <v>224</v>
      </c>
      <c r="H7399" s="81" t="s">
        <v>224</v>
      </c>
      <c r="I7399" s="81" t="s">
        <v>224</v>
      </c>
      <c r="J7399" s="81" t="s">
        <v>6554</v>
      </c>
    </row>
    <row r="7400">
      <c r="A7400" s="83" t="s">
        <v>6641</v>
      </c>
      <c r="B7400" s="83" t="s">
        <v>6642</v>
      </c>
      <c r="C7400" s="81" t="s">
        <v>4082</v>
      </c>
      <c r="D7400" s="81" t="s">
        <v>224</v>
      </c>
      <c r="E7400" s="81" t="s">
        <v>6556</v>
      </c>
      <c r="F7400" s="81" t="s">
        <v>224</v>
      </c>
      <c r="G7400" s="81" t="s">
        <v>224</v>
      </c>
      <c r="H7400" s="81" t="s">
        <v>224</v>
      </c>
      <c r="I7400" s="81" t="s">
        <v>224</v>
      </c>
      <c r="J7400" s="81" t="s">
        <v>6557</v>
      </c>
    </row>
    <row r="7401">
      <c r="A7401" s="83" t="s">
        <v>6641</v>
      </c>
      <c r="B7401" s="83" t="s">
        <v>6642</v>
      </c>
      <c r="C7401" s="81" t="s">
        <v>4082</v>
      </c>
      <c r="D7401" s="81" t="s">
        <v>224</v>
      </c>
      <c r="E7401" s="81" t="s">
        <v>6558</v>
      </c>
      <c r="F7401" s="81" t="s">
        <v>224</v>
      </c>
      <c r="G7401" s="81" t="s">
        <v>224</v>
      </c>
      <c r="H7401" s="81" t="s">
        <v>224</v>
      </c>
      <c r="I7401" s="81" t="s">
        <v>224</v>
      </c>
      <c r="J7401" s="81" t="s">
        <v>6559</v>
      </c>
    </row>
    <row r="7402">
      <c r="A7402" s="83" t="s">
        <v>6641</v>
      </c>
      <c r="B7402" s="83" t="s">
        <v>6642</v>
      </c>
      <c r="C7402" s="81" t="s">
        <v>4082</v>
      </c>
      <c r="D7402" s="81" t="s">
        <v>224</v>
      </c>
      <c r="E7402" s="81" t="s">
        <v>6560</v>
      </c>
      <c r="F7402" s="81" t="s">
        <v>224</v>
      </c>
      <c r="G7402" s="81" t="s">
        <v>224</v>
      </c>
      <c r="H7402" s="81" t="s">
        <v>224</v>
      </c>
      <c r="I7402" s="81" t="s">
        <v>224</v>
      </c>
      <c r="J7402" s="81" t="s">
        <v>6561</v>
      </c>
    </row>
    <row r="7403">
      <c r="A7403" s="83" t="s">
        <v>6641</v>
      </c>
      <c r="B7403" s="83" t="s">
        <v>6642</v>
      </c>
      <c r="C7403" s="81" t="s">
        <v>4082</v>
      </c>
      <c r="D7403" s="81" t="s">
        <v>224</v>
      </c>
      <c r="E7403" s="81" t="s">
        <v>6562</v>
      </c>
      <c r="F7403" s="81" t="s">
        <v>224</v>
      </c>
      <c r="G7403" s="81" t="s">
        <v>224</v>
      </c>
      <c r="H7403" s="81" t="s">
        <v>224</v>
      </c>
      <c r="I7403" s="81" t="s">
        <v>224</v>
      </c>
      <c r="J7403" s="81" t="s">
        <v>6563</v>
      </c>
    </row>
    <row r="7404">
      <c r="A7404" s="83" t="s">
        <v>6641</v>
      </c>
      <c r="B7404" s="83" t="s">
        <v>6642</v>
      </c>
      <c r="C7404" s="81" t="s">
        <v>4082</v>
      </c>
      <c r="D7404" s="81" t="s">
        <v>224</v>
      </c>
      <c r="E7404" s="81" t="s">
        <v>6564</v>
      </c>
      <c r="F7404" s="81" t="s">
        <v>224</v>
      </c>
      <c r="G7404" s="81" t="s">
        <v>224</v>
      </c>
      <c r="H7404" s="81" t="s">
        <v>224</v>
      </c>
      <c r="I7404" s="81" t="s">
        <v>224</v>
      </c>
      <c r="J7404" s="81" t="s">
        <v>6565</v>
      </c>
    </row>
    <row r="7405">
      <c r="A7405" s="83" t="s">
        <v>6641</v>
      </c>
      <c r="B7405" s="83" t="s">
        <v>6642</v>
      </c>
      <c r="C7405" s="81" t="s">
        <v>4082</v>
      </c>
      <c r="D7405" s="81" t="s">
        <v>224</v>
      </c>
      <c r="E7405" s="81" t="s">
        <v>6566</v>
      </c>
      <c r="F7405" s="81" t="s">
        <v>224</v>
      </c>
      <c r="G7405" s="81" t="s">
        <v>224</v>
      </c>
      <c r="H7405" s="81" t="s">
        <v>224</v>
      </c>
      <c r="I7405" s="81" t="s">
        <v>224</v>
      </c>
      <c r="J7405" s="81" t="s">
        <v>6567</v>
      </c>
    </row>
    <row r="7406">
      <c r="A7406" s="83" t="s">
        <v>6641</v>
      </c>
      <c r="B7406" s="83" t="s">
        <v>6642</v>
      </c>
      <c r="C7406" s="81" t="s">
        <v>4082</v>
      </c>
      <c r="D7406" s="81" t="s">
        <v>224</v>
      </c>
      <c r="E7406" s="81" t="s">
        <v>6568</v>
      </c>
      <c r="F7406" s="81" t="s">
        <v>224</v>
      </c>
      <c r="G7406" s="81" t="s">
        <v>224</v>
      </c>
      <c r="H7406" s="81" t="s">
        <v>224</v>
      </c>
      <c r="I7406" s="81" t="s">
        <v>224</v>
      </c>
      <c r="J7406" s="81" t="s">
        <v>6569</v>
      </c>
    </row>
    <row r="7407">
      <c r="A7407" s="83" t="s">
        <v>6641</v>
      </c>
      <c r="B7407" s="83" t="s">
        <v>6642</v>
      </c>
      <c r="C7407" s="81" t="s">
        <v>4082</v>
      </c>
      <c r="D7407" s="81" t="s">
        <v>224</v>
      </c>
      <c r="E7407" s="81" t="s">
        <v>6570</v>
      </c>
      <c r="F7407" s="81" t="s">
        <v>224</v>
      </c>
      <c r="G7407" s="81" t="s">
        <v>224</v>
      </c>
      <c r="H7407" s="81" t="s">
        <v>224</v>
      </c>
      <c r="I7407" s="81" t="s">
        <v>224</v>
      </c>
      <c r="J7407" s="81" t="s">
        <v>6571</v>
      </c>
    </row>
    <row r="7408">
      <c r="A7408" s="83" t="s">
        <v>6641</v>
      </c>
      <c r="B7408" s="83" t="s">
        <v>6642</v>
      </c>
      <c r="C7408" s="81" t="s">
        <v>4082</v>
      </c>
      <c r="D7408" s="81" t="s">
        <v>224</v>
      </c>
      <c r="E7408" s="81" t="s">
        <v>6572</v>
      </c>
      <c r="F7408" s="81" t="s">
        <v>224</v>
      </c>
      <c r="G7408" s="81" t="s">
        <v>224</v>
      </c>
      <c r="H7408" s="81" t="s">
        <v>224</v>
      </c>
      <c r="I7408" s="81" t="s">
        <v>224</v>
      </c>
      <c r="J7408" s="81" t="s">
        <v>6571</v>
      </c>
    </row>
    <row r="7409">
      <c r="A7409" s="83" t="s">
        <v>6641</v>
      </c>
      <c r="B7409" s="83" t="s">
        <v>6642</v>
      </c>
      <c r="C7409" s="81" t="s">
        <v>4082</v>
      </c>
      <c r="D7409" s="81" t="s">
        <v>224</v>
      </c>
      <c r="E7409" s="81" t="s">
        <v>6573</v>
      </c>
      <c r="F7409" s="81" t="s">
        <v>224</v>
      </c>
      <c r="G7409" s="81" t="s">
        <v>224</v>
      </c>
      <c r="H7409" s="81" t="s">
        <v>224</v>
      </c>
      <c r="I7409" s="81" t="s">
        <v>224</v>
      </c>
      <c r="J7409" s="81" t="s">
        <v>6574</v>
      </c>
    </row>
    <row r="7410">
      <c r="A7410" s="83" t="s">
        <v>6641</v>
      </c>
      <c r="B7410" s="83" t="s">
        <v>6642</v>
      </c>
      <c r="C7410" s="81" t="s">
        <v>4082</v>
      </c>
      <c r="D7410" s="81" t="s">
        <v>224</v>
      </c>
      <c r="E7410" s="81" t="s">
        <v>6575</v>
      </c>
      <c r="F7410" s="81" t="s">
        <v>224</v>
      </c>
      <c r="G7410" s="81" t="s">
        <v>224</v>
      </c>
      <c r="H7410" s="81" t="s">
        <v>224</v>
      </c>
      <c r="I7410" s="81" t="s">
        <v>224</v>
      </c>
      <c r="J7410" s="81" t="s">
        <v>6574</v>
      </c>
    </row>
    <row r="7411">
      <c r="A7411" s="83" t="s">
        <v>6641</v>
      </c>
      <c r="B7411" s="83" t="s">
        <v>6642</v>
      </c>
      <c r="C7411" s="81" t="s">
        <v>4082</v>
      </c>
      <c r="D7411" s="81" t="s">
        <v>224</v>
      </c>
      <c r="E7411" s="81" t="s">
        <v>6576</v>
      </c>
      <c r="F7411" s="81" t="s">
        <v>224</v>
      </c>
      <c r="G7411" s="81" t="s">
        <v>224</v>
      </c>
      <c r="H7411" s="81" t="s">
        <v>224</v>
      </c>
      <c r="I7411" s="81" t="s">
        <v>224</v>
      </c>
      <c r="J7411" s="81" t="s">
        <v>6577</v>
      </c>
    </row>
    <row r="7412">
      <c r="A7412" s="83" t="s">
        <v>6641</v>
      </c>
      <c r="B7412" s="83" t="s">
        <v>6642</v>
      </c>
      <c r="C7412" s="81" t="s">
        <v>4082</v>
      </c>
      <c r="D7412" s="81" t="s">
        <v>224</v>
      </c>
      <c r="E7412" s="81" t="s">
        <v>6578</v>
      </c>
      <c r="F7412" s="81" t="s">
        <v>224</v>
      </c>
      <c r="G7412" s="81" t="s">
        <v>224</v>
      </c>
      <c r="H7412" s="81" t="s">
        <v>224</v>
      </c>
      <c r="I7412" s="81" t="s">
        <v>224</v>
      </c>
      <c r="J7412" s="81" t="s">
        <v>6579</v>
      </c>
    </row>
    <row r="7413">
      <c r="A7413" s="83" t="s">
        <v>6641</v>
      </c>
      <c r="B7413" s="83" t="s">
        <v>6642</v>
      </c>
      <c r="C7413" s="81" t="s">
        <v>4082</v>
      </c>
      <c r="D7413" s="81" t="s">
        <v>224</v>
      </c>
      <c r="E7413" s="81" t="s">
        <v>6580</v>
      </c>
      <c r="F7413" s="81" t="s">
        <v>224</v>
      </c>
      <c r="G7413" s="81" t="s">
        <v>224</v>
      </c>
      <c r="H7413" s="81" t="s">
        <v>224</v>
      </c>
      <c r="I7413" s="81" t="s">
        <v>224</v>
      </c>
      <c r="J7413" s="81" t="s">
        <v>6579</v>
      </c>
    </row>
    <row r="7414">
      <c r="A7414" s="83" t="s">
        <v>6641</v>
      </c>
      <c r="B7414" s="83" t="s">
        <v>6642</v>
      </c>
      <c r="C7414" s="81" t="s">
        <v>4082</v>
      </c>
      <c r="D7414" s="81" t="s">
        <v>224</v>
      </c>
      <c r="E7414" s="81" t="s">
        <v>6581</v>
      </c>
      <c r="F7414" s="81" t="s">
        <v>224</v>
      </c>
      <c r="G7414" s="81" t="s">
        <v>224</v>
      </c>
      <c r="H7414" s="81" t="s">
        <v>224</v>
      </c>
      <c r="I7414" s="81" t="s">
        <v>224</v>
      </c>
      <c r="J7414" s="81" t="s">
        <v>6582</v>
      </c>
    </row>
    <row r="7415">
      <c r="A7415" s="83" t="s">
        <v>6641</v>
      </c>
      <c r="B7415" s="83" t="s">
        <v>6642</v>
      </c>
      <c r="C7415" s="81" t="s">
        <v>4082</v>
      </c>
      <c r="D7415" s="81" t="s">
        <v>224</v>
      </c>
      <c r="E7415" s="81" t="s">
        <v>6583</v>
      </c>
      <c r="F7415" s="81" t="s">
        <v>224</v>
      </c>
      <c r="G7415" s="81" t="s">
        <v>224</v>
      </c>
      <c r="H7415" s="81" t="s">
        <v>224</v>
      </c>
      <c r="I7415" s="81" t="s">
        <v>224</v>
      </c>
      <c r="J7415" s="81" t="s">
        <v>6582</v>
      </c>
    </row>
    <row r="7416">
      <c r="A7416" s="83" t="s">
        <v>6641</v>
      </c>
      <c r="B7416" s="83" t="s">
        <v>6642</v>
      </c>
      <c r="C7416" s="81" t="s">
        <v>4082</v>
      </c>
      <c r="D7416" s="81" t="s">
        <v>224</v>
      </c>
      <c r="E7416" s="81" t="s">
        <v>6584</v>
      </c>
      <c r="F7416" s="81" t="s">
        <v>224</v>
      </c>
      <c r="G7416" s="81" t="s">
        <v>224</v>
      </c>
      <c r="H7416" s="81" t="s">
        <v>224</v>
      </c>
      <c r="I7416" s="81" t="s">
        <v>224</v>
      </c>
      <c r="J7416" s="81" t="s">
        <v>6585</v>
      </c>
    </row>
    <row r="7417">
      <c r="A7417" s="83" t="s">
        <v>6641</v>
      </c>
      <c r="B7417" s="83" t="s">
        <v>6642</v>
      </c>
      <c r="C7417" s="81" t="s">
        <v>4082</v>
      </c>
      <c r="D7417" s="81" t="s">
        <v>224</v>
      </c>
      <c r="E7417" s="81" t="s">
        <v>6586</v>
      </c>
      <c r="F7417" s="81" t="s">
        <v>224</v>
      </c>
      <c r="G7417" s="81" t="s">
        <v>224</v>
      </c>
      <c r="H7417" s="81" t="s">
        <v>224</v>
      </c>
      <c r="I7417" s="81" t="s">
        <v>224</v>
      </c>
      <c r="J7417" s="81" t="s">
        <v>6585</v>
      </c>
    </row>
    <row r="7418">
      <c r="A7418" s="83" t="s">
        <v>6641</v>
      </c>
      <c r="B7418" s="83" t="s">
        <v>6642</v>
      </c>
      <c r="C7418" s="81" t="s">
        <v>4082</v>
      </c>
      <c r="D7418" s="81" t="s">
        <v>224</v>
      </c>
      <c r="E7418" s="81" t="s">
        <v>6587</v>
      </c>
      <c r="F7418" s="81" t="s">
        <v>224</v>
      </c>
      <c r="G7418" s="81" t="s">
        <v>224</v>
      </c>
      <c r="H7418" s="81" t="s">
        <v>224</v>
      </c>
      <c r="I7418" s="81" t="s">
        <v>224</v>
      </c>
      <c r="J7418" s="81" t="s">
        <v>6588</v>
      </c>
    </row>
    <row r="7419">
      <c r="A7419" s="83" t="s">
        <v>6641</v>
      </c>
      <c r="B7419" s="83" t="s">
        <v>6642</v>
      </c>
      <c r="C7419" s="81" t="s">
        <v>4082</v>
      </c>
      <c r="D7419" s="81" t="s">
        <v>224</v>
      </c>
      <c r="E7419" s="81" t="s">
        <v>6589</v>
      </c>
      <c r="F7419" s="81" t="s">
        <v>224</v>
      </c>
      <c r="G7419" s="81" t="s">
        <v>224</v>
      </c>
      <c r="H7419" s="81" t="s">
        <v>224</v>
      </c>
      <c r="I7419" s="81" t="s">
        <v>224</v>
      </c>
      <c r="J7419" s="81" t="s">
        <v>6588</v>
      </c>
    </row>
    <row r="7420">
      <c r="A7420" s="83" t="s">
        <v>6641</v>
      </c>
      <c r="B7420" s="83" t="s">
        <v>6642</v>
      </c>
      <c r="C7420" s="81" t="s">
        <v>4082</v>
      </c>
      <c r="D7420" s="81" t="s">
        <v>224</v>
      </c>
      <c r="E7420" s="81" t="s">
        <v>6590</v>
      </c>
      <c r="F7420" s="81" t="s">
        <v>224</v>
      </c>
      <c r="G7420" s="81" t="s">
        <v>224</v>
      </c>
      <c r="H7420" s="81" t="s">
        <v>224</v>
      </c>
      <c r="I7420" s="81" t="s">
        <v>224</v>
      </c>
      <c r="J7420" s="81" t="s">
        <v>6591</v>
      </c>
    </row>
    <row r="7421">
      <c r="A7421" s="83" t="s">
        <v>6641</v>
      </c>
      <c r="B7421" s="83" t="s">
        <v>6642</v>
      </c>
      <c r="C7421" s="81" t="s">
        <v>4082</v>
      </c>
      <c r="D7421" s="81" t="s">
        <v>224</v>
      </c>
      <c r="E7421" s="81" t="s">
        <v>6592</v>
      </c>
      <c r="F7421" s="81" t="s">
        <v>224</v>
      </c>
      <c r="G7421" s="81" t="s">
        <v>224</v>
      </c>
      <c r="H7421" s="81" t="s">
        <v>224</v>
      </c>
      <c r="I7421" s="81" t="s">
        <v>224</v>
      </c>
      <c r="J7421" s="81" t="s">
        <v>6591</v>
      </c>
    </row>
    <row r="7422">
      <c r="A7422" s="83" t="s">
        <v>6641</v>
      </c>
      <c r="B7422" s="83" t="s">
        <v>6642</v>
      </c>
      <c r="C7422" s="81" t="s">
        <v>4082</v>
      </c>
      <c r="D7422" s="81" t="s">
        <v>224</v>
      </c>
      <c r="E7422" s="81" t="s">
        <v>6593</v>
      </c>
      <c r="F7422" s="81" t="s">
        <v>224</v>
      </c>
      <c r="G7422" s="81" t="s">
        <v>224</v>
      </c>
      <c r="H7422" s="81" t="s">
        <v>224</v>
      </c>
      <c r="I7422" s="81" t="s">
        <v>224</v>
      </c>
      <c r="J7422" s="81" t="s">
        <v>6594</v>
      </c>
    </row>
    <row r="7423">
      <c r="A7423" s="83" t="s">
        <v>6641</v>
      </c>
      <c r="B7423" s="83" t="s">
        <v>6642</v>
      </c>
      <c r="C7423" s="81" t="s">
        <v>4082</v>
      </c>
      <c r="D7423" s="81" t="s">
        <v>224</v>
      </c>
      <c r="E7423" s="81" t="s">
        <v>6595</v>
      </c>
      <c r="F7423" s="81" t="s">
        <v>224</v>
      </c>
      <c r="G7423" s="81" t="s">
        <v>224</v>
      </c>
      <c r="H7423" s="81" t="s">
        <v>224</v>
      </c>
      <c r="I7423" s="81" t="s">
        <v>224</v>
      </c>
      <c r="J7423" s="81" t="s">
        <v>6594</v>
      </c>
    </row>
    <row r="7424">
      <c r="A7424" s="83" t="s">
        <v>6641</v>
      </c>
      <c r="B7424" s="83" t="s">
        <v>6642</v>
      </c>
      <c r="C7424" s="81" t="s">
        <v>4082</v>
      </c>
      <c r="D7424" s="81" t="s">
        <v>224</v>
      </c>
      <c r="E7424" s="81" t="s">
        <v>6596</v>
      </c>
      <c r="F7424" s="81" t="s">
        <v>224</v>
      </c>
      <c r="G7424" s="81" t="s">
        <v>224</v>
      </c>
      <c r="H7424" s="81" t="s">
        <v>224</v>
      </c>
      <c r="I7424" s="81" t="s">
        <v>224</v>
      </c>
      <c r="J7424" s="81" t="s">
        <v>6597</v>
      </c>
    </row>
    <row r="7425">
      <c r="A7425" s="83" t="s">
        <v>6641</v>
      </c>
      <c r="B7425" s="83" t="s">
        <v>6642</v>
      </c>
      <c r="C7425" s="81" t="s">
        <v>4082</v>
      </c>
      <c r="D7425" s="81" t="s">
        <v>224</v>
      </c>
      <c r="E7425" s="81" t="s">
        <v>6598</v>
      </c>
      <c r="F7425" s="81" t="s">
        <v>224</v>
      </c>
      <c r="G7425" s="81" t="s">
        <v>224</v>
      </c>
      <c r="H7425" s="81" t="s">
        <v>224</v>
      </c>
      <c r="I7425" s="81" t="s">
        <v>224</v>
      </c>
      <c r="J7425" s="81" t="s">
        <v>6599</v>
      </c>
    </row>
    <row r="7426">
      <c r="A7426" s="83" t="s">
        <v>6641</v>
      </c>
      <c r="B7426" s="83" t="s">
        <v>6642</v>
      </c>
      <c r="C7426" s="81" t="s">
        <v>4082</v>
      </c>
      <c r="D7426" s="81" t="s">
        <v>224</v>
      </c>
      <c r="E7426" s="81" t="s">
        <v>4956</v>
      </c>
      <c r="F7426" s="81" t="s">
        <v>224</v>
      </c>
      <c r="G7426" s="81" t="s">
        <v>224</v>
      </c>
      <c r="H7426" s="81" t="s">
        <v>224</v>
      </c>
      <c r="I7426" s="81" t="s">
        <v>224</v>
      </c>
      <c r="J7426" s="81" t="s">
        <v>4957</v>
      </c>
    </row>
    <row r="7427">
      <c r="A7427" s="83" t="s">
        <v>6641</v>
      </c>
      <c r="B7427" s="83" t="s">
        <v>6642</v>
      </c>
      <c r="C7427" s="81" t="s">
        <v>4082</v>
      </c>
      <c r="D7427" s="81" t="s">
        <v>224</v>
      </c>
      <c r="E7427" s="81" t="s">
        <v>4958</v>
      </c>
      <c r="F7427" s="81" t="s">
        <v>224</v>
      </c>
      <c r="G7427" s="81" t="s">
        <v>224</v>
      </c>
      <c r="H7427" s="81" t="s">
        <v>224</v>
      </c>
      <c r="I7427" s="81" t="s">
        <v>224</v>
      </c>
      <c r="J7427" s="81" t="s">
        <v>4959</v>
      </c>
    </row>
    <row r="7428">
      <c r="A7428" s="83" t="s">
        <v>6641</v>
      </c>
      <c r="B7428" s="83" t="s">
        <v>6642</v>
      </c>
      <c r="C7428" s="81" t="s">
        <v>4082</v>
      </c>
      <c r="D7428" s="81" t="s">
        <v>224</v>
      </c>
      <c r="E7428" s="81" t="s">
        <v>4960</v>
      </c>
      <c r="F7428" s="81" t="s">
        <v>224</v>
      </c>
      <c r="G7428" s="81" t="s">
        <v>224</v>
      </c>
      <c r="H7428" s="81" t="s">
        <v>224</v>
      </c>
      <c r="I7428" s="81" t="s">
        <v>224</v>
      </c>
      <c r="J7428" s="81" t="s">
        <v>4961</v>
      </c>
    </row>
    <row r="7429">
      <c r="A7429" s="83" t="s">
        <v>6641</v>
      </c>
      <c r="B7429" s="83" t="s">
        <v>6642</v>
      </c>
      <c r="C7429" s="81" t="s">
        <v>4082</v>
      </c>
      <c r="D7429" s="81" t="s">
        <v>224</v>
      </c>
      <c r="E7429" s="81" t="s">
        <v>4962</v>
      </c>
      <c r="F7429" s="81" t="s">
        <v>224</v>
      </c>
      <c r="G7429" s="81" t="s">
        <v>224</v>
      </c>
      <c r="H7429" s="81" t="s">
        <v>224</v>
      </c>
      <c r="I7429" s="81" t="s">
        <v>224</v>
      </c>
      <c r="J7429" s="81" t="s">
        <v>4963</v>
      </c>
    </row>
    <row r="7430">
      <c r="A7430" s="83" t="s">
        <v>6641</v>
      </c>
      <c r="B7430" s="83" t="s">
        <v>6642</v>
      </c>
      <c r="C7430" s="81" t="s">
        <v>4082</v>
      </c>
      <c r="D7430" s="81" t="s">
        <v>224</v>
      </c>
      <c r="E7430" s="81" t="s">
        <v>4964</v>
      </c>
      <c r="F7430" s="81" t="s">
        <v>224</v>
      </c>
      <c r="G7430" s="81" t="s">
        <v>224</v>
      </c>
      <c r="H7430" s="81" t="s">
        <v>224</v>
      </c>
      <c r="I7430" s="81" t="s">
        <v>224</v>
      </c>
      <c r="J7430" s="81" t="s">
        <v>4963</v>
      </c>
    </row>
    <row r="7431">
      <c r="A7431" s="83" t="s">
        <v>6641</v>
      </c>
      <c r="B7431" s="83" t="s">
        <v>6642</v>
      </c>
      <c r="C7431" s="81" t="s">
        <v>4082</v>
      </c>
      <c r="D7431" s="81" t="s">
        <v>224</v>
      </c>
      <c r="E7431" s="81" t="s">
        <v>4965</v>
      </c>
      <c r="F7431" s="81" t="s">
        <v>224</v>
      </c>
      <c r="G7431" s="81" t="s">
        <v>224</v>
      </c>
      <c r="H7431" s="81" t="s">
        <v>224</v>
      </c>
      <c r="I7431" s="81" t="s">
        <v>224</v>
      </c>
      <c r="J7431" s="81" t="s">
        <v>4966</v>
      </c>
    </row>
    <row r="7432">
      <c r="A7432" s="83" t="s">
        <v>6641</v>
      </c>
      <c r="B7432" s="83" t="s">
        <v>6642</v>
      </c>
      <c r="C7432" s="81" t="s">
        <v>4082</v>
      </c>
      <c r="D7432" s="81" t="s">
        <v>224</v>
      </c>
      <c r="E7432" s="81" t="s">
        <v>4967</v>
      </c>
      <c r="F7432" s="81" t="s">
        <v>224</v>
      </c>
      <c r="G7432" s="81" t="s">
        <v>224</v>
      </c>
      <c r="H7432" s="81" t="s">
        <v>224</v>
      </c>
      <c r="I7432" s="81" t="s">
        <v>224</v>
      </c>
      <c r="J7432" s="81" t="s">
        <v>4966</v>
      </c>
    </row>
    <row r="7433">
      <c r="A7433" s="83" t="s">
        <v>6641</v>
      </c>
      <c r="B7433" s="83" t="s">
        <v>6642</v>
      </c>
      <c r="C7433" s="81" t="s">
        <v>4082</v>
      </c>
      <c r="D7433" s="81" t="s">
        <v>224</v>
      </c>
      <c r="E7433" s="81" t="s">
        <v>4968</v>
      </c>
      <c r="F7433" s="81" t="s">
        <v>224</v>
      </c>
      <c r="G7433" s="81" t="s">
        <v>224</v>
      </c>
      <c r="H7433" s="81" t="s">
        <v>224</v>
      </c>
      <c r="I7433" s="81" t="s">
        <v>224</v>
      </c>
      <c r="J7433" s="81" t="s">
        <v>4966</v>
      </c>
    </row>
    <row r="7434">
      <c r="A7434" s="83" t="s">
        <v>6641</v>
      </c>
      <c r="B7434" s="83" t="s">
        <v>6642</v>
      </c>
      <c r="C7434" s="81" t="s">
        <v>4082</v>
      </c>
      <c r="D7434" s="81" t="s">
        <v>224</v>
      </c>
      <c r="E7434" s="81" t="s">
        <v>4969</v>
      </c>
      <c r="F7434" s="81" t="s">
        <v>224</v>
      </c>
      <c r="G7434" s="81" t="s">
        <v>224</v>
      </c>
      <c r="H7434" s="81" t="s">
        <v>224</v>
      </c>
      <c r="I7434" s="81" t="s">
        <v>224</v>
      </c>
      <c r="J7434" s="81" t="s">
        <v>4966</v>
      </c>
    </row>
    <row r="7435">
      <c r="A7435" s="83" t="s">
        <v>6641</v>
      </c>
      <c r="B7435" s="83" t="s">
        <v>6642</v>
      </c>
      <c r="C7435" s="81" t="s">
        <v>4082</v>
      </c>
      <c r="D7435" s="81" t="s">
        <v>224</v>
      </c>
      <c r="E7435" s="81" t="s">
        <v>224</v>
      </c>
      <c r="F7435" s="81" t="s">
        <v>224</v>
      </c>
      <c r="G7435" s="81" t="s">
        <v>224</v>
      </c>
      <c r="H7435" s="81" t="s">
        <v>224</v>
      </c>
      <c r="I7435" s="81" t="s">
        <v>224</v>
      </c>
      <c r="J7435" s="81" t="s">
        <v>6640</v>
      </c>
    </row>
    <row r="7436">
      <c r="A7436" s="83" t="s">
        <v>6641</v>
      </c>
      <c r="B7436" s="83" t="s">
        <v>6642</v>
      </c>
      <c r="C7436" s="81" t="s">
        <v>4082</v>
      </c>
      <c r="D7436" s="83" t="s">
        <v>4201</v>
      </c>
      <c r="E7436" s="81" t="s">
        <v>754</v>
      </c>
      <c r="F7436" s="81">
        <v>127.0</v>
      </c>
      <c r="G7436" s="81" t="s">
        <v>39</v>
      </c>
      <c r="H7436" s="81" t="s">
        <v>224</v>
      </c>
      <c r="I7436" s="81" t="s">
        <v>224</v>
      </c>
      <c r="J7436" s="81" t="s">
        <v>5311</v>
      </c>
    </row>
    <row r="7437">
      <c r="A7437" s="83" t="s">
        <v>6641</v>
      </c>
      <c r="B7437" s="83" t="s">
        <v>6642</v>
      </c>
      <c r="C7437" s="81" t="s">
        <v>4082</v>
      </c>
      <c r="D7437" s="83" t="s">
        <v>4208</v>
      </c>
      <c r="E7437" s="81" t="s">
        <v>786</v>
      </c>
      <c r="F7437" s="81">
        <v>134.0</v>
      </c>
      <c r="G7437" s="81" t="s">
        <v>39</v>
      </c>
      <c r="H7437" s="81" t="s">
        <v>224</v>
      </c>
      <c r="I7437" s="81" t="s">
        <v>224</v>
      </c>
      <c r="J7437" s="81" t="s">
        <v>5322</v>
      </c>
    </row>
    <row r="7438">
      <c r="A7438" s="83" t="s">
        <v>6641</v>
      </c>
      <c r="B7438" s="83" t="s">
        <v>6642</v>
      </c>
      <c r="C7438" s="81" t="s">
        <v>4082</v>
      </c>
      <c r="D7438" s="83" t="s">
        <v>4211</v>
      </c>
      <c r="E7438" s="81" t="s">
        <v>798</v>
      </c>
      <c r="F7438" s="81">
        <v>137.0</v>
      </c>
      <c r="G7438" s="81" t="s">
        <v>39</v>
      </c>
      <c r="H7438" s="81" t="s">
        <v>224</v>
      </c>
      <c r="I7438" s="81" t="s">
        <v>224</v>
      </c>
      <c r="J7438" s="81" t="s">
        <v>5327</v>
      </c>
    </row>
    <row r="7439">
      <c r="A7439" s="83" t="s">
        <v>6641</v>
      </c>
      <c r="B7439" s="83" t="s">
        <v>6642</v>
      </c>
      <c r="C7439" s="81" t="s">
        <v>4082</v>
      </c>
      <c r="D7439" s="83" t="s">
        <v>4212</v>
      </c>
      <c r="E7439" s="81" t="s">
        <v>804</v>
      </c>
      <c r="F7439" s="81">
        <v>138.0</v>
      </c>
      <c r="G7439" s="81" t="s">
        <v>39</v>
      </c>
      <c r="H7439" s="81" t="s">
        <v>224</v>
      </c>
      <c r="I7439" s="81" t="s">
        <v>224</v>
      </c>
      <c r="J7439" s="81" t="s">
        <v>5330</v>
      </c>
    </row>
    <row r="7440">
      <c r="A7440" s="83" t="s">
        <v>6641</v>
      </c>
      <c r="B7440" s="83" t="s">
        <v>6642</v>
      </c>
      <c r="C7440" s="81" t="s">
        <v>4082</v>
      </c>
      <c r="D7440" s="83" t="s">
        <v>4238</v>
      </c>
      <c r="E7440" s="81" t="s">
        <v>918</v>
      </c>
      <c r="F7440" s="81">
        <v>163.0</v>
      </c>
      <c r="G7440" s="81" t="s">
        <v>41</v>
      </c>
      <c r="H7440" s="81" t="s">
        <v>924</v>
      </c>
      <c r="I7440" s="81" t="s">
        <v>224</v>
      </c>
      <c r="J7440" s="81" t="s">
        <v>6344</v>
      </c>
    </row>
    <row r="7441">
      <c r="A7441" s="83" t="s">
        <v>6641</v>
      </c>
      <c r="B7441" s="83" t="s">
        <v>6642</v>
      </c>
      <c r="C7441" s="81" t="s">
        <v>4082</v>
      </c>
      <c r="D7441" s="83" t="s">
        <v>4267</v>
      </c>
      <c r="E7441" s="81" t="s">
        <v>1050</v>
      </c>
      <c r="F7441" s="81">
        <v>199.0</v>
      </c>
      <c r="G7441" s="81" t="s">
        <v>41</v>
      </c>
      <c r="H7441" s="81" t="s">
        <v>1051</v>
      </c>
      <c r="I7441" s="81" t="s">
        <v>224</v>
      </c>
      <c r="J7441" s="81" t="s">
        <v>6345</v>
      </c>
    </row>
    <row r="7442">
      <c r="A7442" s="83" t="s">
        <v>6641</v>
      </c>
      <c r="B7442" s="83" t="s">
        <v>6642</v>
      </c>
      <c r="C7442" s="81" t="s">
        <v>4082</v>
      </c>
      <c r="D7442" s="83" t="s">
        <v>4304</v>
      </c>
      <c r="E7442" s="81" t="s">
        <v>1232</v>
      </c>
      <c r="F7442" s="81">
        <v>244.0</v>
      </c>
      <c r="G7442" s="81" t="s">
        <v>41</v>
      </c>
      <c r="H7442" s="81" t="s">
        <v>1233</v>
      </c>
      <c r="I7442" s="81" t="s">
        <v>224</v>
      </c>
      <c r="J7442" s="81" t="s">
        <v>6346</v>
      </c>
    </row>
    <row r="7443">
      <c r="A7443" s="83" t="s">
        <v>6641</v>
      </c>
      <c r="B7443" s="83" t="s">
        <v>6642</v>
      </c>
      <c r="C7443" s="81" t="s">
        <v>4082</v>
      </c>
      <c r="D7443" s="83" t="s">
        <v>4306</v>
      </c>
      <c r="E7443" s="81" t="s">
        <v>1237</v>
      </c>
      <c r="F7443" s="81">
        <v>246.0</v>
      </c>
      <c r="G7443" s="81" t="s">
        <v>41</v>
      </c>
      <c r="H7443" s="81" t="s">
        <v>1237</v>
      </c>
      <c r="I7443" s="81" t="s">
        <v>224</v>
      </c>
      <c r="J7443" s="81" t="s">
        <v>6347</v>
      </c>
    </row>
    <row r="7444">
      <c r="A7444" s="83" t="s">
        <v>6641</v>
      </c>
      <c r="B7444" s="83" t="s">
        <v>6642</v>
      </c>
      <c r="C7444" s="81" t="s">
        <v>4082</v>
      </c>
      <c r="D7444" s="83" t="s">
        <v>4316</v>
      </c>
      <c r="E7444" s="81" t="s">
        <v>1313</v>
      </c>
      <c r="F7444" s="81">
        <v>256.0</v>
      </c>
      <c r="G7444" s="81" t="s">
        <v>39</v>
      </c>
      <c r="H7444" s="81" t="s">
        <v>224</v>
      </c>
      <c r="I7444" s="81" t="s">
        <v>224</v>
      </c>
      <c r="J7444" s="81" t="s">
        <v>5515</v>
      </c>
    </row>
    <row r="7445">
      <c r="A7445" s="83" t="s">
        <v>6641</v>
      </c>
      <c r="B7445" s="83" t="s">
        <v>6642</v>
      </c>
      <c r="C7445" s="81" t="s">
        <v>4082</v>
      </c>
      <c r="D7445" s="83" t="s">
        <v>4351</v>
      </c>
      <c r="E7445" s="81" t="s">
        <v>1470</v>
      </c>
      <c r="F7445" s="81">
        <v>283.0</v>
      </c>
      <c r="G7445" s="81" t="s">
        <v>41</v>
      </c>
      <c r="H7445" s="81" t="s">
        <v>55</v>
      </c>
      <c r="I7445" s="81" t="s">
        <v>224</v>
      </c>
      <c r="J7445" s="81" t="s">
        <v>6426</v>
      </c>
    </row>
    <row r="7446">
      <c r="A7446" s="83" t="s">
        <v>6641</v>
      </c>
      <c r="B7446" s="83" t="s">
        <v>6642</v>
      </c>
      <c r="C7446" s="81" t="s">
        <v>4082</v>
      </c>
      <c r="D7446" s="83" t="s">
        <v>4351</v>
      </c>
      <c r="E7446" s="81" t="s">
        <v>1474</v>
      </c>
      <c r="F7446" s="81">
        <v>284.0</v>
      </c>
      <c r="G7446" s="81" t="s">
        <v>41</v>
      </c>
      <c r="H7446" s="81" t="s">
        <v>1476</v>
      </c>
      <c r="I7446" s="81" t="s">
        <v>224</v>
      </c>
      <c r="J7446" s="81" t="s">
        <v>6348</v>
      </c>
    </row>
    <row r="7447">
      <c r="A7447" s="83" t="s">
        <v>6641</v>
      </c>
      <c r="B7447" s="83" t="s">
        <v>6642</v>
      </c>
      <c r="C7447" s="81" t="s">
        <v>4082</v>
      </c>
      <c r="D7447" s="83" t="s">
        <v>4363</v>
      </c>
      <c r="E7447" s="81" t="s">
        <v>1548</v>
      </c>
      <c r="F7447" s="81">
        <v>299.0</v>
      </c>
      <c r="G7447" s="81" t="s">
        <v>41</v>
      </c>
      <c r="H7447" s="81" t="s">
        <v>1550</v>
      </c>
      <c r="I7447" s="81" t="s">
        <v>224</v>
      </c>
      <c r="J7447" s="81" t="s">
        <v>6349</v>
      </c>
    </row>
    <row r="7448">
      <c r="A7448" s="83" t="s">
        <v>6641</v>
      </c>
      <c r="B7448" s="83" t="s">
        <v>6642</v>
      </c>
      <c r="C7448" s="81" t="s">
        <v>4082</v>
      </c>
      <c r="D7448" s="83" t="s">
        <v>4380</v>
      </c>
      <c r="E7448" s="81" t="s">
        <v>1617</v>
      </c>
      <c r="F7448" s="81">
        <v>319.0</v>
      </c>
      <c r="G7448" s="81" t="s">
        <v>39</v>
      </c>
      <c r="H7448" s="81" t="s">
        <v>224</v>
      </c>
      <c r="I7448" s="81" t="s">
        <v>224</v>
      </c>
      <c r="J7448" s="81" t="s">
        <v>5616</v>
      </c>
    </row>
    <row r="7449">
      <c r="A7449" s="83" t="s">
        <v>6641</v>
      </c>
      <c r="B7449" s="83" t="s">
        <v>6642</v>
      </c>
      <c r="C7449" s="81" t="s">
        <v>4082</v>
      </c>
      <c r="D7449" s="83" t="s">
        <v>4389</v>
      </c>
      <c r="E7449" s="81" t="s">
        <v>1678</v>
      </c>
      <c r="F7449" s="81">
        <v>332.0</v>
      </c>
      <c r="G7449" s="81" t="s">
        <v>41</v>
      </c>
      <c r="H7449" s="81" t="s">
        <v>1670</v>
      </c>
      <c r="I7449" s="81" t="s">
        <v>224</v>
      </c>
      <c r="J7449" s="81" t="s">
        <v>6350</v>
      </c>
    </row>
    <row r="7450">
      <c r="A7450" s="83" t="s">
        <v>6641</v>
      </c>
      <c r="B7450" s="83" t="s">
        <v>6642</v>
      </c>
      <c r="C7450" s="81" t="s">
        <v>4082</v>
      </c>
      <c r="D7450" s="83" t="s">
        <v>4391</v>
      </c>
      <c r="E7450" s="81" t="s">
        <v>1682</v>
      </c>
      <c r="F7450" s="81">
        <v>334.0</v>
      </c>
      <c r="G7450" s="81" t="s">
        <v>41</v>
      </c>
      <c r="H7450" s="81" t="s">
        <v>1687</v>
      </c>
      <c r="I7450" s="81" t="s">
        <v>224</v>
      </c>
      <c r="J7450" s="81" t="s">
        <v>6351</v>
      </c>
    </row>
    <row r="7451">
      <c r="A7451" s="83" t="s">
        <v>6641</v>
      </c>
      <c r="B7451" s="83" t="s">
        <v>6642</v>
      </c>
      <c r="C7451" s="81" t="s">
        <v>4082</v>
      </c>
      <c r="D7451" s="83" t="s">
        <v>4393</v>
      </c>
      <c r="E7451" s="81" t="s">
        <v>1690</v>
      </c>
      <c r="F7451" s="81">
        <v>335.0</v>
      </c>
      <c r="G7451" s="81" t="s">
        <v>41</v>
      </c>
      <c r="H7451" s="81" t="s">
        <v>1694</v>
      </c>
      <c r="I7451" s="81" t="s">
        <v>224</v>
      </c>
      <c r="J7451" s="81" t="s">
        <v>6352</v>
      </c>
    </row>
    <row r="7452">
      <c r="A7452" s="83" t="s">
        <v>6641</v>
      </c>
      <c r="B7452" s="83" t="s">
        <v>6642</v>
      </c>
      <c r="C7452" s="81" t="s">
        <v>4082</v>
      </c>
      <c r="D7452" s="83" t="s">
        <v>4406</v>
      </c>
      <c r="E7452" s="81" t="s">
        <v>1760</v>
      </c>
      <c r="F7452" s="81">
        <v>350.0</v>
      </c>
      <c r="G7452" s="81" t="s">
        <v>41</v>
      </c>
      <c r="H7452" s="81" t="s">
        <v>1761</v>
      </c>
      <c r="I7452" s="81" t="s">
        <v>224</v>
      </c>
      <c r="J7452" s="81" t="s">
        <v>6353</v>
      </c>
    </row>
    <row r="7453">
      <c r="A7453" s="83" t="s">
        <v>6641</v>
      </c>
      <c r="B7453" s="83" t="s">
        <v>6642</v>
      </c>
      <c r="C7453" s="81" t="s">
        <v>4082</v>
      </c>
      <c r="D7453" s="83" t="s">
        <v>4429</v>
      </c>
      <c r="E7453" s="81" t="s">
        <v>1900</v>
      </c>
      <c r="F7453" s="81">
        <v>375.0</v>
      </c>
      <c r="G7453" s="81" t="s">
        <v>39</v>
      </c>
      <c r="H7453" s="81" t="s">
        <v>224</v>
      </c>
      <c r="I7453" s="81" t="s">
        <v>224</v>
      </c>
      <c r="J7453" s="81" t="s">
        <v>5711</v>
      </c>
    </row>
    <row r="7454">
      <c r="A7454" s="83" t="s">
        <v>6641</v>
      </c>
      <c r="B7454" s="83" t="s">
        <v>6642</v>
      </c>
      <c r="C7454" s="81" t="s">
        <v>4082</v>
      </c>
      <c r="D7454" s="83" t="s">
        <v>4475</v>
      </c>
      <c r="E7454" s="81" t="s">
        <v>2225</v>
      </c>
      <c r="F7454" s="81">
        <v>426.0</v>
      </c>
      <c r="G7454" s="81" t="s">
        <v>41</v>
      </c>
      <c r="H7454" s="81" t="s">
        <v>2226</v>
      </c>
      <c r="I7454" s="81" t="s">
        <v>224</v>
      </c>
      <c r="J7454" s="81" t="s">
        <v>6354</v>
      </c>
    </row>
    <row r="7455">
      <c r="A7455" s="83" t="s">
        <v>6641</v>
      </c>
      <c r="B7455" s="83" t="s">
        <v>6642</v>
      </c>
      <c r="C7455" s="81" t="s">
        <v>4082</v>
      </c>
      <c r="D7455" s="83" t="s">
        <v>4490</v>
      </c>
      <c r="E7455" s="81" t="s">
        <v>2295</v>
      </c>
      <c r="F7455" s="81">
        <v>440.0</v>
      </c>
      <c r="G7455" s="81" t="s">
        <v>41</v>
      </c>
      <c r="H7455" s="81" t="s">
        <v>2296</v>
      </c>
      <c r="I7455" s="81" t="s">
        <v>224</v>
      </c>
      <c r="J7455" s="81" t="s">
        <v>6355</v>
      </c>
    </row>
    <row r="7456">
      <c r="A7456" s="83" t="s">
        <v>6641</v>
      </c>
      <c r="B7456" s="83" t="s">
        <v>6642</v>
      </c>
      <c r="C7456" s="81" t="s">
        <v>4082</v>
      </c>
      <c r="D7456" s="83" t="s">
        <v>4558</v>
      </c>
      <c r="E7456" s="81" t="s">
        <v>2619</v>
      </c>
      <c r="F7456" s="81">
        <v>504.0</v>
      </c>
      <c r="G7456" s="81" t="s">
        <v>41</v>
      </c>
      <c r="H7456" s="81" t="s">
        <v>2629</v>
      </c>
      <c r="I7456" s="81" t="s">
        <v>224</v>
      </c>
      <c r="J7456" s="81" t="s">
        <v>6356</v>
      </c>
    </row>
    <row r="7457">
      <c r="A7457" s="83" t="s">
        <v>6641</v>
      </c>
      <c r="B7457" s="83" t="s">
        <v>6642</v>
      </c>
      <c r="C7457" s="81" t="s">
        <v>4082</v>
      </c>
      <c r="D7457" s="83" t="s">
        <v>4608</v>
      </c>
      <c r="E7457" s="81" t="s">
        <v>2906</v>
      </c>
      <c r="F7457" s="81">
        <v>560.0</v>
      </c>
      <c r="G7457" s="81" t="s">
        <v>41</v>
      </c>
      <c r="H7457" s="81" t="s">
        <v>2907</v>
      </c>
      <c r="I7457" s="81" t="s">
        <v>224</v>
      </c>
      <c r="J7457" s="81" t="s">
        <v>6357</v>
      </c>
    </row>
    <row r="7458">
      <c r="A7458" s="83" t="s">
        <v>6641</v>
      </c>
      <c r="B7458" s="83" t="s">
        <v>6642</v>
      </c>
      <c r="C7458" s="81" t="s">
        <v>4082</v>
      </c>
      <c r="D7458" s="83" t="s">
        <v>4682</v>
      </c>
      <c r="E7458" s="81" t="s">
        <v>3226</v>
      </c>
      <c r="F7458" s="81">
        <v>613.0</v>
      </c>
      <c r="G7458" s="81" t="s">
        <v>39</v>
      </c>
      <c r="H7458" s="81" t="s">
        <v>224</v>
      </c>
      <c r="I7458" s="81" t="s">
        <v>224</v>
      </c>
      <c r="J7458" s="81" t="s">
        <v>6052</v>
      </c>
    </row>
    <row r="7459">
      <c r="A7459" s="83" t="s">
        <v>6641</v>
      </c>
      <c r="B7459" s="83" t="s">
        <v>6642</v>
      </c>
      <c r="C7459" s="81" t="s">
        <v>4082</v>
      </c>
      <c r="D7459" s="83" t="s">
        <v>4707</v>
      </c>
      <c r="E7459" s="81" t="s">
        <v>3362</v>
      </c>
      <c r="F7459" s="81">
        <v>641.0</v>
      </c>
      <c r="G7459" s="81" t="s">
        <v>39</v>
      </c>
      <c r="H7459" s="81" t="s">
        <v>224</v>
      </c>
      <c r="I7459" s="81" t="s">
        <v>224</v>
      </c>
      <c r="J7459" s="81" t="s">
        <v>6096</v>
      </c>
    </row>
    <row r="7460">
      <c r="A7460" s="83" t="s">
        <v>6641</v>
      </c>
      <c r="B7460" s="83" t="s">
        <v>6642</v>
      </c>
      <c r="C7460" s="81" t="s">
        <v>4082</v>
      </c>
      <c r="D7460" s="83" t="s">
        <v>4709</v>
      </c>
      <c r="E7460" s="81" t="s">
        <v>3370</v>
      </c>
      <c r="F7460" s="81">
        <v>643.0</v>
      </c>
      <c r="G7460" s="81" t="s">
        <v>39</v>
      </c>
      <c r="H7460" s="81" t="s">
        <v>224</v>
      </c>
      <c r="I7460" s="81" t="s">
        <v>224</v>
      </c>
      <c r="J7460" s="81" t="s">
        <v>6101</v>
      </c>
    </row>
    <row r="7461">
      <c r="A7461" s="83" t="s">
        <v>6641</v>
      </c>
      <c r="B7461" s="83" t="s">
        <v>6642</v>
      </c>
      <c r="C7461" s="81" t="s">
        <v>4082</v>
      </c>
      <c r="D7461" s="83" t="s">
        <v>4844</v>
      </c>
      <c r="E7461" s="81" t="s">
        <v>3998</v>
      </c>
      <c r="F7461" s="81">
        <v>791.0</v>
      </c>
      <c r="G7461" s="81" t="s">
        <v>39</v>
      </c>
      <c r="H7461" s="81" t="s">
        <v>224</v>
      </c>
      <c r="I7461" s="81" t="s">
        <v>224</v>
      </c>
      <c r="J7461" s="81" t="s">
        <v>6440</v>
      </c>
    </row>
    <row r="7462">
      <c r="A7462" s="83" t="s">
        <v>6641</v>
      </c>
      <c r="B7462" s="83" t="s">
        <v>6642</v>
      </c>
      <c r="C7462" s="81" t="s">
        <v>4082</v>
      </c>
      <c r="D7462" s="83" t="s">
        <v>4845</v>
      </c>
      <c r="E7462" s="81" t="s">
        <v>4002</v>
      </c>
      <c r="F7462" s="81">
        <v>792.0</v>
      </c>
      <c r="G7462" s="81" t="s">
        <v>39</v>
      </c>
      <c r="H7462" s="81" t="s">
        <v>224</v>
      </c>
      <c r="I7462" s="81" t="s">
        <v>224</v>
      </c>
      <c r="J7462" s="81" t="s">
        <v>6441</v>
      </c>
    </row>
    <row r="7463">
      <c r="A7463" s="83" t="s">
        <v>6641</v>
      </c>
      <c r="B7463" s="83" t="s">
        <v>6642</v>
      </c>
      <c r="C7463" s="81" t="s">
        <v>4082</v>
      </c>
      <c r="D7463" s="83" t="s">
        <v>4846</v>
      </c>
      <c r="E7463" s="81" t="s">
        <v>1133</v>
      </c>
      <c r="F7463" s="81">
        <v>793.0</v>
      </c>
      <c r="G7463" s="81" t="s">
        <v>39</v>
      </c>
      <c r="H7463" s="81" t="s">
        <v>224</v>
      </c>
      <c r="I7463" s="81" t="s">
        <v>224</v>
      </c>
      <c r="J7463" s="81" t="s">
        <v>6442</v>
      </c>
    </row>
    <row r="7464">
      <c r="A7464" s="83" t="s">
        <v>6641</v>
      </c>
      <c r="B7464" s="83" t="s">
        <v>6642</v>
      </c>
      <c r="C7464" s="81" t="s">
        <v>4082</v>
      </c>
      <c r="D7464" s="83" t="s">
        <v>4847</v>
      </c>
      <c r="E7464" s="81" t="s">
        <v>4005</v>
      </c>
      <c r="F7464" s="81">
        <v>794.0</v>
      </c>
      <c r="G7464" s="81" t="s">
        <v>39</v>
      </c>
      <c r="H7464" s="81" t="s">
        <v>224</v>
      </c>
      <c r="I7464" s="81" t="s">
        <v>224</v>
      </c>
      <c r="J7464" s="81" t="s">
        <v>6316</v>
      </c>
    </row>
    <row r="7465">
      <c r="A7465" s="83" t="s">
        <v>6641</v>
      </c>
      <c r="B7465" s="83" t="s">
        <v>6642</v>
      </c>
      <c r="C7465" s="81" t="s">
        <v>4082</v>
      </c>
      <c r="D7465" s="83" t="s">
        <v>4848</v>
      </c>
      <c r="E7465" s="81" t="s">
        <v>1142</v>
      </c>
      <c r="F7465" s="81">
        <v>795.0</v>
      </c>
      <c r="G7465" s="81" t="s">
        <v>39</v>
      </c>
      <c r="H7465" s="81" t="s">
        <v>224</v>
      </c>
      <c r="I7465" s="81" t="s">
        <v>224</v>
      </c>
      <c r="J7465" s="81" t="s">
        <v>6443</v>
      </c>
    </row>
    <row r="7466">
      <c r="A7466" s="83" t="s">
        <v>6641</v>
      </c>
      <c r="B7466" s="83" t="s">
        <v>6642</v>
      </c>
      <c r="C7466" s="81" t="s">
        <v>4082</v>
      </c>
      <c r="D7466" s="83" t="s">
        <v>4850</v>
      </c>
      <c r="E7466" s="81" t="s">
        <v>1138</v>
      </c>
      <c r="F7466" s="81">
        <v>796.0</v>
      </c>
      <c r="G7466" s="81" t="s">
        <v>39</v>
      </c>
      <c r="H7466" s="81" t="s">
        <v>224</v>
      </c>
      <c r="I7466" s="81" t="s">
        <v>224</v>
      </c>
      <c r="J7466" s="81" t="s">
        <v>6444</v>
      </c>
    </row>
    <row r="7467">
      <c r="A7467" s="83" t="s">
        <v>6641</v>
      </c>
      <c r="B7467" s="83" t="s">
        <v>6642</v>
      </c>
      <c r="C7467" s="81" t="s">
        <v>4082</v>
      </c>
      <c r="D7467" s="83" t="s">
        <v>4868</v>
      </c>
      <c r="E7467" s="81" t="s">
        <v>4020</v>
      </c>
      <c r="F7467" s="81">
        <v>804.0</v>
      </c>
      <c r="G7467" s="81" t="s">
        <v>41</v>
      </c>
      <c r="H7467" s="81" t="s">
        <v>4027</v>
      </c>
      <c r="I7467" s="81" t="s">
        <v>224</v>
      </c>
      <c r="J7467" s="81" t="s">
        <v>6446</v>
      </c>
    </row>
    <row r="7468">
      <c r="A7468" s="83" t="s">
        <v>6641</v>
      </c>
      <c r="B7468" s="83" t="s">
        <v>6642</v>
      </c>
      <c r="C7468" s="81" t="s">
        <v>4082</v>
      </c>
      <c r="D7468" s="83" t="s">
        <v>4870</v>
      </c>
      <c r="E7468" s="81" t="s">
        <v>4037</v>
      </c>
      <c r="F7468" s="81">
        <v>806.0</v>
      </c>
      <c r="G7468" s="81" t="s">
        <v>41</v>
      </c>
      <c r="H7468" s="81" t="s">
        <v>4045</v>
      </c>
      <c r="I7468" s="81" t="s">
        <v>224</v>
      </c>
      <c r="J7468" s="81" t="s">
        <v>6449</v>
      </c>
    </row>
    <row r="7469">
      <c r="A7469" s="83" t="s">
        <v>6641</v>
      </c>
      <c r="B7469" s="83" t="s">
        <v>6642</v>
      </c>
      <c r="C7469" s="81" t="s">
        <v>4082</v>
      </c>
      <c r="D7469" s="83" t="s">
        <v>4871</v>
      </c>
      <c r="E7469" s="81" t="s">
        <v>4049</v>
      </c>
      <c r="F7469" s="81">
        <v>807.0</v>
      </c>
      <c r="G7469" s="81" t="s">
        <v>41</v>
      </c>
      <c r="H7469" s="81" t="s">
        <v>4054</v>
      </c>
      <c r="I7469" s="81" t="s">
        <v>224</v>
      </c>
      <c r="J7469" s="81" t="s">
        <v>6450</v>
      </c>
    </row>
    <row r="7470">
      <c r="A7470" s="83" t="s">
        <v>6641</v>
      </c>
      <c r="B7470" s="83" t="s">
        <v>6642</v>
      </c>
      <c r="C7470" s="81" t="s">
        <v>4082</v>
      </c>
      <c r="D7470" s="83" t="s">
        <v>4873</v>
      </c>
      <c r="E7470" s="81" t="s">
        <v>4874</v>
      </c>
      <c r="F7470" s="81">
        <v>809.0</v>
      </c>
      <c r="G7470" s="81" t="s">
        <v>41</v>
      </c>
      <c r="H7470" s="81" t="s">
        <v>4876</v>
      </c>
      <c r="I7470" s="81" t="s">
        <v>224</v>
      </c>
      <c r="J7470" s="81" t="s">
        <v>6451</v>
      </c>
    </row>
    <row r="7471">
      <c r="A7471" s="83" t="s">
        <v>6641</v>
      </c>
      <c r="B7471" s="83" t="s">
        <v>6642</v>
      </c>
      <c r="C7471" s="81" t="s">
        <v>4084</v>
      </c>
      <c r="D7471" s="81" t="s">
        <v>224</v>
      </c>
      <c r="E7471" s="81" t="s">
        <v>224</v>
      </c>
      <c r="F7471" s="81" t="s">
        <v>224</v>
      </c>
      <c r="G7471" s="81" t="s">
        <v>40</v>
      </c>
      <c r="H7471" s="81" t="s">
        <v>224</v>
      </c>
      <c r="I7471" s="81" t="s">
        <v>224</v>
      </c>
      <c r="J7471" s="81" t="s">
        <v>6452</v>
      </c>
    </row>
    <row r="7472">
      <c r="A7472" s="83" t="s">
        <v>6641</v>
      </c>
      <c r="B7472" s="83" t="s">
        <v>6642</v>
      </c>
      <c r="C7472" s="81" t="s">
        <v>4084</v>
      </c>
      <c r="D7472" s="81" t="s">
        <v>224</v>
      </c>
      <c r="E7472" s="81" t="s">
        <v>224</v>
      </c>
      <c r="F7472" s="81" t="s">
        <v>224</v>
      </c>
      <c r="G7472" s="81" t="s">
        <v>41</v>
      </c>
      <c r="H7472" s="81" t="s">
        <v>224</v>
      </c>
      <c r="I7472" s="81" t="s">
        <v>224</v>
      </c>
      <c r="J7472" s="81" t="s">
        <v>6453</v>
      </c>
    </row>
    <row r="7473">
      <c r="A7473" s="83" t="s">
        <v>6645</v>
      </c>
      <c r="B7473" s="83" t="s">
        <v>6646</v>
      </c>
      <c r="C7473" s="81" t="s">
        <v>4080</v>
      </c>
      <c r="D7473" s="81" t="s">
        <v>224</v>
      </c>
      <c r="E7473" s="81" t="s">
        <v>224</v>
      </c>
      <c r="F7473" s="81" t="s">
        <v>224</v>
      </c>
      <c r="G7473" s="81" t="s">
        <v>224</v>
      </c>
      <c r="H7473" s="81" t="s">
        <v>224</v>
      </c>
      <c r="I7473" s="81" t="s">
        <v>224</v>
      </c>
      <c r="J7473" s="81" t="s">
        <v>6647</v>
      </c>
    </row>
    <row r="7474">
      <c r="A7474" s="83" t="s">
        <v>6645</v>
      </c>
      <c r="B7474" s="83" t="s">
        <v>6646</v>
      </c>
      <c r="C7474" s="81" t="s">
        <v>4082</v>
      </c>
      <c r="D7474" s="81" t="s">
        <v>224</v>
      </c>
      <c r="E7474" s="81" t="s">
        <v>4055</v>
      </c>
      <c r="F7474" s="81" t="s">
        <v>224</v>
      </c>
      <c r="G7474" s="81" t="s">
        <v>42</v>
      </c>
      <c r="H7474" s="81" t="s">
        <v>224</v>
      </c>
      <c r="I7474" s="81" t="s">
        <v>224</v>
      </c>
      <c r="J7474" s="81" t="s">
        <v>6431</v>
      </c>
    </row>
    <row r="7475">
      <c r="A7475" s="83" t="s">
        <v>6645</v>
      </c>
      <c r="B7475" s="83" t="s">
        <v>6646</v>
      </c>
      <c r="C7475" s="81" t="s">
        <v>4082</v>
      </c>
      <c r="D7475" s="81" t="s">
        <v>224</v>
      </c>
      <c r="E7475" s="81" t="s">
        <v>6362</v>
      </c>
      <c r="F7475" s="81" t="s">
        <v>224</v>
      </c>
      <c r="G7475" s="81" t="s">
        <v>42</v>
      </c>
      <c r="H7475" s="81" t="s">
        <v>224</v>
      </c>
      <c r="I7475" s="81" t="s">
        <v>224</v>
      </c>
      <c r="J7475" s="81" t="s">
        <v>6363</v>
      </c>
    </row>
    <row r="7476">
      <c r="A7476" s="83" t="s">
        <v>6645</v>
      </c>
      <c r="B7476" s="83" t="s">
        <v>6646</v>
      </c>
      <c r="C7476" s="81" t="s">
        <v>4084</v>
      </c>
      <c r="D7476" s="81" t="s">
        <v>224</v>
      </c>
      <c r="E7476" s="81" t="s">
        <v>224</v>
      </c>
      <c r="F7476" s="81" t="s">
        <v>224</v>
      </c>
      <c r="G7476" s="81" t="s">
        <v>224</v>
      </c>
      <c r="H7476" s="81" t="s">
        <v>224</v>
      </c>
      <c r="I7476" s="81" t="s">
        <v>224</v>
      </c>
      <c r="J7476" s="81" t="s">
        <v>6648</v>
      </c>
    </row>
    <row r="7477">
      <c r="A7477" s="83" t="s">
        <v>6645</v>
      </c>
      <c r="B7477" s="83" t="s">
        <v>6646</v>
      </c>
      <c r="C7477" s="81" t="s">
        <v>4082</v>
      </c>
      <c r="D7477" s="81" t="s">
        <v>224</v>
      </c>
      <c r="E7477" s="81" t="s">
        <v>6637</v>
      </c>
      <c r="F7477" s="81" t="s">
        <v>224</v>
      </c>
      <c r="G7477" s="81" t="s">
        <v>224</v>
      </c>
      <c r="H7477" s="81" t="s">
        <v>224</v>
      </c>
      <c r="I7477" s="81" t="s">
        <v>224</v>
      </c>
      <c r="J7477" s="81" t="s">
        <v>6638</v>
      </c>
    </row>
    <row r="7478">
      <c r="A7478" s="83" t="s">
        <v>6645</v>
      </c>
      <c r="B7478" s="83" t="s">
        <v>6646</v>
      </c>
      <c r="C7478" s="81" t="s">
        <v>4082</v>
      </c>
      <c r="D7478" s="81" t="s">
        <v>224</v>
      </c>
      <c r="E7478" s="81" t="s">
        <v>6639</v>
      </c>
      <c r="F7478" s="81" t="s">
        <v>224</v>
      </c>
      <c r="G7478" s="81" t="s">
        <v>224</v>
      </c>
      <c r="H7478" s="81" t="s">
        <v>224</v>
      </c>
      <c r="I7478" s="81" t="s">
        <v>224</v>
      </c>
      <c r="J7478" s="81" t="s">
        <v>6638</v>
      </c>
    </row>
    <row r="7479">
      <c r="A7479" s="83" t="s">
        <v>6645</v>
      </c>
      <c r="B7479" s="83" t="s">
        <v>6646</v>
      </c>
      <c r="C7479" s="81" t="s">
        <v>4082</v>
      </c>
      <c r="D7479" s="81" t="s">
        <v>224</v>
      </c>
      <c r="E7479" s="81" t="s">
        <v>6458</v>
      </c>
      <c r="F7479" s="81" t="s">
        <v>224</v>
      </c>
      <c r="G7479" s="81" t="s">
        <v>224</v>
      </c>
      <c r="H7479" s="81" t="s">
        <v>224</v>
      </c>
      <c r="I7479" s="81" t="s">
        <v>224</v>
      </c>
      <c r="J7479" s="81" t="s">
        <v>6459</v>
      </c>
    </row>
    <row r="7480">
      <c r="A7480" s="83" t="s">
        <v>6645</v>
      </c>
      <c r="B7480" s="83" t="s">
        <v>6646</v>
      </c>
      <c r="C7480" s="81" t="s">
        <v>4082</v>
      </c>
      <c r="D7480" s="81" t="s">
        <v>224</v>
      </c>
      <c r="E7480" s="81" t="s">
        <v>6460</v>
      </c>
      <c r="F7480" s="81" t="s">
        <v>224</v>
      </c>
      <c r="G7480" s="81" t="s">
        <v>224</v>
      </c>
      <c r="H7480" s="81" t="s">
        <v>224</v>
      </c>
      <c r="I7480" s="81" t="s">
        <v>224</v>
      </c>
      <c r="J7480" s="81" t="s">
        <v>6461</v>
      </c>
    </row>
    <row r="7481">
      <c r="A7481" s="83" t="s">
        <v>6645</v>
      </c>
      <c r="B7481" s="83" t="s">
        <v>6646</v>
      </c>
      <c r="C7481" s="81" t="s">
        <v>4082</v>
      </c>
      <c r="D7481" s="81" t="s">
        <v>224</v>
      </c>
      <c r="E7481" s="81" t="s">
        <v>6462</v>
      </c>
      <c r="F7481" s="81" t="s">
        <v>224</v>
      </c>
      <c r="G7481" s="81" t="s">
        <v>224</v>
      </c>
      <c r="H7481" s="81" t="s">
        <v>224</v>
      </c>
      <c r="I7481" s="81" t="s">
        <v>224</v>
      </c>
      <c r="J7481" s="81" t="s">
        <v>6463</v>
      </c>
    </row>
    <row r="7482">
      <c r="A7482" s="83" t="s">
        <v>6645</v>
      </c>
      <c r="B7482" s="83" t="s">
        <v>6646</v>
      </c>
      <c r="C7482" s="81" t="s">
        <v>4082</v>
      </c>
      <c r="D7482" s="81" t="s">
        <v>224</v>
      </c>
      <c r="E7482" s="81" t="s">
        <v>6464</v>
      </c>
      <c r="F7482" s="81" t="s">
        <v>224</v>
      </c>
      <c r="G7482" s="81" t="s">
        <v>224</v>
      </c>
      <c r="H7482" s="81" t="s">
        <v>224</v>
      </c>
      <c r="I7482" s="81" t="s">
        <v>224</v>
      </c>
      <c r="J7482" s="81" t="s">
        <v>6465</v>
      </c>
    </row>
    <row r="7483">
      <c r="A7483" s="83" t="s">
        <v>6645</v>
      </c>
      <c r="B7483" s="83" t="s">
        <v>6646</v>
      </c>
      <c r="C7483" s="81" t="s">
        <v>4082</v>
      </c>
      <c r="D7483" s="81" t="s">
        <v>224</v>
      </c>
      <c r="E7483" s="81" t="s">
        <v>6466</v>
      </c>
      <c r="F7483" s="81" t="s">
        <v>224</v>
      </c>
      <c r="G7483" s="81" t="s">
        <v>224</v>
      </c>
      <c r="H7483" s="81" t="s">
        <v>224</v>
      </c>
      <c r="I7483" s="81" t="s">
        <v>224</v>
      </c>
      <c r="J7483" s="81" t="s">
        <v>6467</v>
      </c>
    </row>
    <row r="7484">
      <c r="A7484" s="83" t="s">
        <v>6645</v>
      </c>
      <c r="B7484" s="83" t="s">
        <v>6646</v>
      </c>
      <c r="C7484" s="81" t="s">
        <v>4082</v>
      </c>
      <c r="D7484" s="81" t="s">
        <v>224</v>
      </c>
      <c r="E7484" s="81" t="s">
        <v>6468</v>
      </c>
      <c r="F7484" s="81" t="s">
        <v>224</v>
      </c>
      <c r="G7484" s="81" t="s">
        <v>224</v>
      </c>
      <c r="H7484" s="81" t="s">
        <v>224</v>
      </c>
      <c r="I7484" s="81" t="s">
        <v>224</v>
      </c>
      <c r="J7484" s="81" t="s">
        <v>6469</v>
      </c>
    </row>
    <row r="7485">
      <c r="A7485" s="83" t="s">
        <v>6645</v>
      </c>
      <c r="B7485" s="83" t="s">
        <v>6646</v>
      </c>
      <c r="C7485" s="81" t="s">
        <v>4082</v>
      </c>
      <c r="D7485" s="81" t="s">
        <v>224</v>
      </c>
      <c r="E7485" s="81" t="s">
        <v>6470</v>
      </c>
      <c r="F7485" s="81" t="s">
        <v>224</v>
      </c>
      <c r="G7485" s="81" t="s">
        <v>224</v>
      </c>
      <c r="H7485" s="81" t="s">
        <v>224</v>
      </c>
      <c r="I7485" s="81" t="s">
        <v>224</v>
      </c>
      <c r="J7485" s="81" t="s">
        <v>6471</v>
      </c>
    </row>
    <row r="7486">
      <c r="A7486" s="83" t="s">
        <v>6645</v>
      </c>
      <c r="B7486" s="83" t="s">
        <v>6646</v>
      </c>
      <c r="C7486" s="81" t="s">
        <v>4082</v>
      </c>
      <c r="D7486" s="81" t="s">
        <v>224</v>
      </c>
      <c r="E7486" s="81" t="s">
        <v>6472</v>
      </c>
      <c r="F7486" s="81" t="s">
        <v>224</v>
      </c>
      <c r="G7486" s="81" t="s">
        <v>224</v>
      </c>
      <c r="H7486" s="81" t="s">
        <v>224</v>
      </c>
      <c r="I7486" s="81" t="s">
        <v>224</v>
      </c>
      <c r="J7486" s="81" t="s">
        <v>6473</v>
      </c>
    </row>
    <row r="7487">
      <c r="A7487" s="83" t="s">
        <v>6645</v>
      </c>
      <c r="B7487" s="83" t="s">
        <v>6646</v>
      </c>
      <c r="C7487" s="81" t="s">
        <v>4082</v>
      </c>
      <c r="D7487" s="81" t="s">
        <v>224</v>
      </c>
      <c r="E7487" s="81" t="s">
        <v>6474</v>
      </c>
      <c r="F7487" s="81" t="s">
        <v>224</v>
      </c>
      <c r="G7487" s="81" t="s">
        <v>224</v>
      </c>
      <c r="H7487" s="81" t="s">
        <v>224</v>
      </c>
      <c r="I7487" s="81" t="s">
        <v>224</v>
      </c>
      <c r="J7487" s="81" t="s">
        <v>6475</v>
      </c>
    </row>
    <row r="7488">
      <c r="A7488" s="83" t="s">
        <v>6645</v>
      </c>
      <c r="B7488" s="83" t="s">
        <v>6646</v>
      </c>
      <c r="C7488" s="81" t="s">
        <v>4082</v>
      </c>
      <c r="D7488" s="81" t="s">
        <v>224</v>
      </c>
      <c r="E7488" s="81" t="s">
        <v>6476</v>
      </c>
      <c r="F7488" s="81" t="s">
        <v>224</v>
      </c>
      <c r="G7488" s="81" t="s">
        <v>224</v>
      </c>
      <c r="H7488" s="81" t="s">
        <v>224</v>
      </c>
      <c r="I7488" s="81" t="s">
        <v>224</v>
      </c>
      <c r="J7488" s="81" t="s">
        <v>6477</v>
      </c>
    </row>
    <row r="7489">
      <c r="A7489" s="83" t="s">
        <v>6645</v>
      </c>
      <c r="B7489" s="83" t="s">
        <v>6646</v>
      </c>
      <c r="C7489" s="81" t="s">
        <v>4082</v>
      </c>
      <c r="D7489" s="81" t="s">
        <v>224</v>
      </c>
      <c r="E7489" s="81" t="s">
        <v>6478</v>
      </c>
      <c r="F7489" s="81" t="s">
        <v>224</v>
      </c>
      <c r="G7489" s="81" t="s">
        <v>224</v>
      </c>
      <c r="H7489" s="81" t="s">
        <v>224</v>
      </c>
      <c r="I7489" s="81" t="s">
        <v>224</v>
      </c>
      <c r="J7489" s="81" t="s">
        <v>6479</v>
      </c>
    </row>
    <row r="7490">
      <c r="A7490" s="83" t="s">
        <v>6645</v>
      </c>
      <c r="B7490" s="83" t="s">
        <v>6646</v>
      </c>
      <c r="C7490" s="81" t="s">
        <v>4082</v>
      </c>
      <c r="D7490" s="81" t="s">
        <v>224</v>
      </c>
      <c r="E7490" s="81" t="s">
        <v>6480</v>
      </c>
      <c r="F7490" s="81" t="s">
        <v>224</v>
      </c>
      <c r="G7490" s="81" t="s">
        <v>224</v>
      </c>
      <c r="H7490" s="81" t="s">
        <v>224</v>
      </c>
      <c r="I7490" s="81" t="s">
        <v>224</v>
      </c>
      <c r="J7490" s="81" t="s">
        <v>6481</v>
      </c>
    </row>
    <row r="7491">
      <c r="A7491" s="83" t="s">
        <v>6645</v>
      </c>
      <c r="B7491" s="83" t="s">
        <v>6646</v>
      </c>
      <c r="C7491" s="81" t="s">
        <v>4082</v>
      </c>
      <c r="D7491" s="81" t="s">
        <v>224</v>
      </c>
      <c r="E7491" s="81" t="s">
        <v>6482</v>
      </c>
      <c r="F7491" s="81" t="s">
        <v>224</v>
      </c>
      <c r="G7491" s="81" t="s">
        <v>224</v>
      </c>
      <c r="H7491" s="81" t="s">
        <v>224</v>
      </c>
      <c r="I7491" s="81" t="s">
        <v>224</v>
      </c>
      <c r="J7491" s="81" t="s">
        <v>6483</v>
      </c>
    </row>
    <row r="7492">
      <c r="A7492" s="83" t="s">
        <v>6645</v>
      </c>
      <c r="B7492" s="83" t="s">
        <v>6646</v>
      </c>
      <c r="C7492" s="81" t="s">
        <v>4082</v>
      </c>
      <c r="D7492" s="81" t="s">
        <v>224</v>
      </c>
      <c r="E7492" s="81" t="s">
        <v>6484</v>
      </c>
      <c r="F7492" s="81" t="s">
        <v>224</v>
      </c>
      <c r="G7492" s="81" t="s">
        <v>224</v>
      </c>
      <c r="H7492" s="81" t="s">
        <v>224</v>
      </c>
      <c r="I7492" s="81" t="s">
        <v>224</v>
      </c>
      <c r="J7492" s="81" t="s">
        <v>6485</v>
      </c>
    </row>
    <row r="7493">
      <c r="A7493" s="83" t="s">
        <v>6645</v>
      </c>
      <c r="B7493" s="83" t="s">
        <v>6646</v>
      </c>
      <c r="C7493" s="81" t="s">
        <v>4082</v>
      </c>
      <c r="D7493" s="81" t="s">
        <v>224</v>
      </c>
      <c r="E7493" s="81" t="s">
        <v>6486</v>
      </c>
      <c r="F7493" s="81" t="s">
        <v>224</v>
      </c>
      <c r="G7493" s="81" t="s">
        <v>224</v>
      </c>
      <c r="H7493" s="81" t="s">
        <v>224</v>
      </c>
      <c r="I7493" s="81" t="s">
        <v>224</v>
      </c>
      <c r="J7493" s="81" t="s">
        <v>6487</v>
      </c>
    </row>
    <row r="7494">
      <c r="A7494" s="83" t="s">
        <v>6645</v>
      </c>
      <c r="B7494" s="83" t="s">
        <v>6646</v>
      </c>
      <c r="C7494" s="81" t="s">
        <v>4082</v>
      </c>
      <c r="D7494" s="81" t="s">
        <v>224</v>
      </c>
      <c r="E7494" s="81" t="s">
        <v>6488</v>
      </c>
      <c r="F7494" s="81" t="s">
        <v>224</v>
      </c>
      <c r="G7494" s="81" t="s">
        <v>224</v>
      </c>
      <c r="H7494" s="81" t="s">
        <v>224</v>
      </c>
      <c r="I7494" s="81" t="s">
        <v>224</v>
      </c>
      <c r="J7494" s="81" t="s">
        <v>6489</v>
      </c>
    </row>
    <row r="7495">
      <c r="A7495" s="83" t="s">
        <v>6645</v>
      </c>
      <c r="B7495" s="83" t="s">
        <v>6646</v>
      </c>
      <c r="C7495" s="81" t="s">
        <v>4082</v>
      </c>
      <c r="D7495" s="81" t="s">
        <v>224</v>
      </c>
      <c r="E7495" s="81" t="s">
        <v>6490</v>
      </c>
      <c r="F7495" s="81" t="s">
        <v>224</v>
      </c>
      <c r="G7495" s="81" t="s">
        <v>224</v>
      </c>
      <c r="H7495" s="81" t="s">
        <v>224</v>
      </c>
      <c r="I7495" s="81" t="s">
        <v>224</v>
      </c>
      <c r="J7495" s="81" t="s">
        <v>6491</v>
      </c>
    </row>
    <row r="7496">
      <c r="A7496" s="83" t="s">
        <v>6645</v>
      </c>
      <c r="B7496" s="83" t="s">
        <v>6646</v>
      </c>
      <c r="C7496" s="81" t="s">
        <v>4082</v>
      </c>
      <c r="D7496" s="81" t="s">
        <v>224</v>
      </c>
      <c r="E7496" s="81" t="s">
        <v>6492</v>
      </c>
      <c r="F7496" s="81" t="s">
        <v>224</v>
      </c>
      <c r="G7496" s="81" t="s">
        <v>224</v>
      </c>
      <c r="H7496" s="81" t="s">
        <v>224</v>
      </c>
      <c r="I7496" s="81" t="s">
        <v>224</v>
      </c>
      <c r="J7496" s="81" t="s">
        <v>6493</v>
      </c>
    </row>
    <row r="7497">
      <c r="A7497" s="83" t="s">
        <v>6645</v>
      </c>
      <c r="B7497" s="83" t="s">
        <v>6646</v>
      </c>
      <c r="C7497" s="81" t="s">
        <v>4082</v>
      </c>
      <c r="D7497" s="81" t="s">
        <v>224</v>
      </c>
      <c r="E7497" s="81" t="s">
        <v>6494</v>
      </c>
      <c r="F7497" s="81" t="s">
        <v>224</v>
      </c>
      <c r="G7497" s="81" t="s">
        <v>224</v>
      </c>
      <c r="H7497" s="81" t="s">
        <v>224</v>
      </c>
      <c r="I7497" s="81" t="s">
        <v>224</v>
      </c>
      <c r="J7497" s="81" t="s">
        <v>6495</v>
      </c>
    </row>
    <row r="7498">
      <c r="A7498" s="83" t="s">
        <v>6645</v>
      </c>
      <c r="B7498" s="83" t="s">
        <v>6646</v>
      </c>
      <c r="C7498" s="81" t="s">
        <v>4082</v>
      </c>
      <c r="D7498" s="81" t="s">
        <v>224</v>
      </c>
      <c r="E7498" s="81" t="s">
        <v>6496</v>
      </c>
      <c r="F7498" s="81" t="s">
        <v>224</v>
      </c>
      <c r="G7498" s="81" t="s">
        <v>224</v>
      </c>
      <c r="H7498" s="81" t="s">
        <v>224</v>
      </c>
      <c r="I7498" s="81" t="s">
        <v>224</v>
      </c>
      <c r="J7498" s="81" t="s">
        <v>6497</v>
      </c>
    </row>
    <row r="7499">
      <c r="A7499" s="83" t="s">
        <v>6645</v>
      </c>
      <c r="B7499" s="83" t="s">
        <v>6646</v>
      </c>
      <c r="C7499" s="81" t="s">
        <v>4082</v>
      </c>
      <c r="D7499" s="81" t="s">
        <v>224</v>
      </c>
      <c r="E7499" s="81" t="s">
        <v>6498</v>
      </c>
      <c r="F7499" s="81" t="s">
        <v>224</v>
      </c>
      <c r="G7499" s="81" t="s">
        <v>224</v>
      </c>
      <c r="H7499" s="81" t="s">
        <v>224</v>
      </c>
      <c r="I7499" s="81" t="s">
        <v>224</v>
      </c>
      <c r="J7499" s="81" t="s">
        <v>6499</v>
      </c>
    </row>
    <row r="7500">
      <c r="A7500" s="83" t="s">
        <v>6645</v>
      </c>
      <c r="B7500" s="83" t="s">
        <v>6646</v>
      </c>
      <c r="C7500" s="81" t="s">
        <v>4082</v>
      </c>
      <c r="D7500" s="81" t="s">
        <v>224</v>
      </c>
      <c r="E7500" s="81" t="s">
        <v>6500</v>
      </c>
      <c r="F7500" s="81" t="s">
        <v>224</v>
      </c>
      <c r="G7500" s="81" t="s">
        <v>224</v>
      </c>
      <c r="H7500" s="81" t="s">
        <v>224</v>
      </c>
      <c r="I7500" s="81" t="s">
        <v>224</v>
      </c>
      <c r="J7500" s="81" t="s">
        <v>6501</v>
      </c>
    </row>
    <row r="7501">
      <c r="A7501" s="83" t="s">
        <v>6645</v>
      </c>
      <c r="B7501" s="83" t="s">
        <v>6646</v>
      </c>
      <c r="C7501" s="81" t="s">
        <v>4082</v>
      </c>
      <c r="D7501" s="81" t="s">
        <v>224</v>
      </c>
      <c r="E7501" s="81" t="s">
        <v>6502</v>
      </c>
      <c r="F7501" s="81" t="s">
        <v>224</v>
      </c>
      <c r="G7501" s="81" t="s">
        <v>224</v>
      </c>
      <c r="H7501" s="81" t="s">
        <v>224</v>
      </c>
      <c r="I7501" s="81" t="s">
        <v>224</v>
      </c>
      <c r="J7501" s="81" t="s">
        <v>6491</v>
      </c>
    </row>
    <row r="7502">
      <c r="A7502" s="83" t="s">
        <v>6645</v>
      </c>
      <c r="B7502" s="83" t="s">
        <v>6646</v>
      </c>
      <c r="C7502" s="81" t="s">
        <v>4082</v>
      </c>
      <c r="D7502" s="81" t="s">
        <v>224</v>
      </c>
      <c r="E7502" s="81" t="s">
        <v>6503</v>
      </c>
      <c r="F7502" s="81" t="s">
        <v>224</v>
      </c>
      <c r="G7502" s="81" t="s">
        <v>224</v>
      </c>
      <c r="H7502" s="81" t="s">
        <v>224</v>
      </c>
      <c r="I7502" s="81" t="s">
        <v>224</v>
      </c>
      <c r="J7502" s="81" t="s">
        <v>6473</v>
      </c>
    </row>
    <row r="7503">
      <c r="A7503" s="83" t="s">
        <v>6645</v>
      </c>
      <c r="B7503" s="83" t="s">
        <v>6646</v>
      </c>
      <c r="C7503" s="81" t="s">
        <v>4082</v>
      </c>
      <c r="D7503" s="81" t="s">
        <v>224</v>
      </c>
      <c r="E7503" s="81" t="s">
        <v>6504</v>
      </c>
      <c r="F7503" s="81" t="s">
        <v>224</v>
      </c>
      <c r="G7503" s="81" t="s">
        <v>224</v>
      </c>
      <c r="H7503" s="81" t="s">
        <v>224</v>
      </c>
      <c r="I7503" s="81" t="s">
        <v>224</v>
      </c>
      <c r="J7503" s="81" t="s">
        <v>6489</v>
      </c>
    </row>
    <row r="7504">
      <c r="A7504" s="83" t="s">
        <v>6645</v>
      </c>
      <c r="B7504" s="83" t="s">
        <v>6646</v>
      </c>
      <c r="C7504" s="81" t="s">
        <v>4082</v>
      </c>
      <c r="D7504" s="81" t="s">
        <v>224</v>
      </c>
      <c r="E7504" s="81" t="s">
        <v>6505</v>
      </c>
      <c r="F7504" s="81" t="s">
        <v>224</v>
      </c>
      <c r="G7504" s="81" t="s">
        <v>224</v>
      </c>
      <c r="H7504" s="81" t="s">
        <v>224</v>
      </c>
      <c r="I7504" s="81" t="s">
        <v>224</v>
      </c>
      <c r="J7504" s="81" t="s">
        <v>6469</v>
      </c>
    </row>
    <row r="7505">
      <c r="A7505" s="83" t="s">
        <v>6645</v>
      </c>
      <c r="B7505" s="83" t="s">
        <v>6646</v>
      </c>
      <c r="C7505" s="81" t="s">
        <v>4082</v>
      </c>
      <c r="D7505" s="81" t="s">
        <v>224</v>
      </c>
      <c r="E7505" s="81" t="s">
        <v>6506</v>
      </c>
      <c r="F7505" s="81" t="s">
        <v>224</v>
      </c>
      <c r="G7505" s="81" t="s">
        <v>224</v>
      </c>
      <c r="H7505" s="81" t="s">
        <v>224</v>
      </c>
      <c r="I7505" s="81" t="s">
        <v>224</v>
      </c>
      <c r="J7505" s="81" t="s">
        <v>6499</v>
      </c>
    </row>
    <row r="7506">
      <c r="A7506" s="83" t="s">
        <v>6645</v>
      </c>
      <c r="B7506" s="83" t="s">
        <v>6646</v>
      </c>
      <c r="C7506" s="81" t="s">
        <v>4082</v>
      </c>
      <c r="D7506" s="81" t="s">
        <v>224</v>
      </c>
      <c r="E7506" s="81" t="s">
        <v>6507</v>
      </c>
      <c r="F7506" s="81" t="s">
        <v>224</v>
      </c>
      <c r="G7506" s="81" t="s">
        <v>224</v>
      </c>
      <c r="H7506" s="81" t="s">
        <v>224</v>
      </c>
      <c r="I7506" s="81" t="s">
        <v>224</v>
      </c>
      <c r="J7506" s="81" t="s">
        <v>6485</v>
      </c>
    </row>
    <row r="7507">
      <c r="A7507" s="83" t="s">
        <v>6645</v>
      </c>
      <c r="B7507" s="83" t="s">
        <v>6646</v>
      </c>
      <c r="C7507" s="81" t="s">
        <v>4082</v>
      </c>
      <c r="D7507" s="81" t="s">
        <v>224</v>
      </c>
      <c r="E7507" s="81" t="s">
        <v>6508</v>
      </c>
      <c r="F7507" s="81" t="s">
        <v>224</v>
      </c>
      <c r="G7507" s="81" t="s">
        <v>224</v>
      </c>
      <c r="H7507" s="81" t="s">
        <v>224</v>
      </c>
      <c r="I7507" s="81" t="s">
        <v>224</v>
      </c>
      <c r="J7507" s="81" t="s">
        <v>6501</v>
      </c>
    </row>
    <row r="7508">
      <c r="A7508" s="83" t="s">
        <v>6645</v>
      </c>
      <c r="B7508" s="83" t="s">
        <v>6646</v>
      </c>
      <c r="C7508" s="81" t="s">
        <v>4082</v>
      </c>
      <c r="D7508" s="81" t="s">
        <v>224</v>
      </c>
      <c r="E7508" s="81" t="s">
        <v>6509</v>
      </c>
      <c r="F7508" s="81" t="s">
        <v>224</v>
      </c>
      <c r="G7508" s="81" t="s">
        <v>224</v>
      </c>
      <c r="H7508" s="81" t="s">
        <v>224</v>
      </c>
      <c r="I7508" s="81" t="s">
        <v>224</v>
      </c>
      <c r="J7508" s="81" t="s">
        <v>6481</v>
      </c>
    </row>
    <row r="7509">
      <c r="A7509" s="83" t="s">
        <v>6645</v>
      </c>
      <c r="B7509" s="83" t="s">
        <v>6646</v>
      </c>
      <c r="C7509" s="81" t="s">
        <v>4082</v>
      </c>
      <c r="D7509" s="81" t="s">
        <v>224</v>
      </c>
      <c r="E7509" s="81" t="s">
        <v>6510</v>
      </c>
      <c r="F7509" s="81" t="s">
        <v>224</v>
      </c>
      <c r="G7509" s="81" t="s">
        <v>224</v>
      </c>
      <c r="H7509" s="81" t="s">
        <v>224</v>
      </c>
      <c r="I7509" s="81" t="s">
        <v>224</v>
      </c>
      <c r="J7509" s="81" t="s">
        <v>6495</v>
      </c>
    </row>
    <row r="7510">
      <c r="A7510" s="83" t="s">
        <v>6645</v>
      </c>
      <c r="B7510" s="83" t="s">
        <v>6646</v>
      </c>
      <c r="C7510" s="81" t="s">
        <v>4082</v>
      </c>
      <c r="D7510" s="81" t="s">
        <v>224</v>
      </c>
      <c r="E7510" s="81" t="s">
        <v>6511</v>
      </c>
      <c r="F7510" s="81" t="s">
        <v>224</v>
      </c>
      <c r="G7510" s="81" t="s">
        <v>224</v>
      </c>
      <c r="H7510" s="81" t="s">
        <v>224</v>
      </c>
      <c r="I7510" s="81" t="s">
        <v>224</v>
      </c>
      <c r="J7510" s="81" t="s">
        <v>6477</v>
      </c>
    </row>
    <row r="7511">
      <c r="A7511" s="83" t="s">
        <v>6645</v>
      </c>
      <c r="B7511" s="83" t="s">
        <v>6646</v>
      </c>
      <c r="C7511" s="81" t="s">
        <v>4082</v>
      </c>
      <c r="D7511" s="81" t="s">
        <v>224</v>
      </c>
      <c r="E7511" s="81" t="s">
        <v>6512</v>
      </c>
      <c r="F7511" s="81" t="s">
        <v>224</v>
      </c>
      <c r="G7511" s="81" t="s">
        <v>224</v>
      </c>
      <c r="H7511" s="81" t="s">
        <v>224</v>
      </c>
      <c r="I7511" s="81" t="s">
        <v>224</v>
      </c>
      <c r="J7511" s="81" t="s">
        <v>6493</v>
      </c>
    </row>
    <row r="7512">
      <c r="A7512" s="83" t="s">
        <v>6645</v>
      </c>
      <c r="B7512" s="83" t="s">
        <v>6646</v>
      </c>
      <c r="C7512" s="81" t="s">
        <v>4082</v>
      </c>
      <c r="D7512" s="81" t="s">
        <v>224</v>
      </c>
      <c r="E7512" s="81" t="s">
        <v>6513</v>
      </c>
      <c r="F7512" s="81" t="s">
        <v>224</v>
      </c>
      <c r="G7512" s="81" t="s">
        <v>224</v>
      </c>
      <c r="H7512" s="81" t="s">
        <v>224</v>
      </c>
      <c r="I7512" s="81" t="s">
        <v>224</v>
      </c>
      <c r="J7512" s="81" t="s">
        <v>6475</v>
      </c>
    </row>
    <row r="7513">
      <c r="A7513" s="83" t="s">
        <v>6645</v>
      </c>
      <c r="B7513" s="83" t="s">
        <v>6646</v>
      </c>
      <c r="C7513" s="81" t="s">
        <v>4082</v>
      </c>
      <c r="D7513" s="81" t="s">
        <v>224</v>
      </c>
      <c r="E7513" s="81" t="s">
        <v>6514</v>
      </c>
      <c r="F7513" s="81" t="s">
        <v>224</v>
      </c>
      <c r="G7513" s="81" t="s">
        <v>224</v>
      </c>
      <c r="H7513" s="81" t="s">
        <v>224</v>
      </c>
      <c r="I7513" s="81" t="s">
        <v>224</v>
      </c>
      <c r="J7513" s="81" t="s">
        <v>6471</v>
      </c>
    </row>
    <row r="7514">
      <c r="A7514" s="83" t="s">
        <v>6645</v>
      </c>
      <c r="B7514" s="83" t="s">
        <v>6646</v>
      </c>
      <c r="C7514" s="81" t="s">
        <v>4082</v>
      </c>
      <c r="D7514" s="81" t="s">
        <v>224</v>
      </c>
      <c r="E7514" s="81" t="s">
        <v>6515</v>
      </c>
      <c r="F7514" s="81" t="s">
        <v>224</v>
      </c>
      <c r="G7514" s="81" t="s">
        <v>224</v>
      </c>
      <c r="H7514" s="81" t="s">
        <v>224</v>
      </c>
      <c r="I7514" s="81" t="s">
        <v>224</v>
      </c>
      <c r="J7514" s="81" t="s">
        <v>6483</v>
      </c>
    </row>
    <row r="7515">
      <c r="A7515" s="83" t="s">
        <v>6645</v>
      </c>
      <c r="B7515" s="83" t="s">
        <v>6646</v>
      </c>
      <c r="C7515" s="81" t="s">
        <v>4082</v>
      </c>
      <c r="D7515" s="81" t="s">
        <v>224</v>
      </c>
      <c r="E7515" s="81" t="s">
        <v>6516</v>
      </c>
      <c r="F7515" s="81" t="s">
        <v>224</v>
      </c>
      <c r="G7515" s="81" t="s">
        <v>224</v>
      </c>
      <c r="H7515" s="81" t="s">
        <v>224</v>
      </c>
      <c r="I7515" s="81" t="s">
        <v>224</v>
      </c>
      <c r="J7515" s="81" t="s">
        <v>6497</v>
      </c>
    </row>
    <row r="7516">
      <c r="A7516" s="83" t="s">
        <v>6645</v>
      </c>
      <c r="B7516" s="83" t="s">
        <v>6646</v>
      </c>
      <c r="C7516" s="81" t="s">
        <v>4082</v>
      </c>
      <c r="D7516" s="81" t="s">
        <v>224</v>
      </c>
      <c r="E7516" s="81" t="s">
        <v>6517</v>
      </c>
      <c r="F7516" s="81" t="s">
        <v>224</v>
      </c>
      <c r="G7516" s="81" t="s">
        <v>224</v>
      </c>
      <c r="H7516" s="81" t="s">
        <v>224</v>
      </c>
      <c r="I7516" s="81" t="s">
        <v>224</v>
      </c>
      <c r="J7516" s="81" t="s">
        <v>6479</v>
      </c>
    </row>
    <row r="7517">
      <c r="A7517" s="83" t="s">
        <v>6645</v>
      </c>
      <c r="B7517" s="83" t="s">
        <v>6646</v>
      </c>
      <c r="C7517" s="81" t="s">
        <v>4082</v>
      </c>
      <c r="D7517" s="81" t="s">
        <v>224</v>
      </c>
      <c r="E7517" s="81" t="s">
        <v>6518</v>
      </c>
      <c r="F7517" s="81" t="s">
        <v>224</v>
      </c>
      <c r="G7517" s="81" t="s">
        <v>224</v>
      </c>
      <c r="H7517" s="81" t="s">
        <v>224</v>
      </c>
      <c r="I7517" s="81" t="s">
        <v>224</v>
      </c>
      <c r="J7517" s="81" t="s">
        <v>6487</v>
      </c>
    </row>
    <row r="7518">
      <c r="A7518" s="83" t="s">
        <v>6645</v>
      </c>
      <c r="B7518" s="83" t="s">
        <v>6646</v>
      </c>
      <c r="C7518" s="81" t="s">
        <v>4082</v>
      </c>
      <c r="D7518" s="81" t="s">
        <v>224</v>
      </c>
      <c r="E7518" s="81" t="s">
        <v>6519</v>
      </c>
      <c r="F7518" s="81" t="s">
        <v>224</v>
      </c>
      <c r="G7518" s="81" t="s">
        <v>224</v>
      </c>
      <c r="H7518" s="81" t="s">
        <v>224</v>
      </c>
      <c r="I7518" s="81" t="s">
        <v>224</v>
      </c>
      <c r="J7518" s="81" t="s">
        <v>6467</v>
      </c>
    </row>
    <row r="7519">
      <c r="A7519" s="83" t="s">
        <v>6645</v>
      </c>
      <c r="B7519" s="83" t="s">
        <v>6646</v>
      </c>
      <c r="C7519" s="81" t="s">
        <v>4082</v>
      </c>
      <c r="D7519" s="81" t="s">
        <v>224</v>
      </c>
      <c r="E7519" s="81" t="s">
        <v>6520</v>
      </c>
      <c r="F7519" s="81" t="s">
        <v>224</v>
      </c>
      <c r="G7519" s="81" t="s">
        <v>224</v>
      </c>
      <c r="H7519" s="81" t="s">
        <v>224</v>
      </c>
      <c r="I7519" s="81" t="s">
        <v>224</v>
      </c>
      <c r="J7519" s="81" t="s">
        <v>6521</v>
      </c>
    </row>
    <row r="7520">
      <c r="A7520" s="83" t="s">
        <v>6645</v>
      </c>
      <c r="B7520" s="83" t="s">
        <v>6646</v>
      </c>
      <c r="C7520" s="81" t="s">
        <v>4082</v>
      </c>
      <c r="D7520" s="81" t="s">
        <v>224</v>
      </c>
      <c r="E7520" s="81" t="s">
        <v>6522</v>
      </c>
      <c r="F7520" s="81" t="s">
        <v>224</v>
      </c>
      <c r="G7520" s="81" t="s">
        <v>224</v>
      </c>
      <c r="H7520" s="81" t="s">
        <v>224</v>
      </c>
      <c r="I7520" s="81" t="s">
        <v>224</v>
      </c>
      <c r="J7520" s="81" t="s">
        <v>6521</v>
      </c>
    </row>
    <row r="7521">
      <c r="A7521" s="83" t="s">
        <v>6645</v>
      </c>
      <c r="B7521" s="83" t="s">
        <v>6646</v>
      </c>
      <c r="C7521" s="81" t="s">
        <v>4082</v>
      </c>
      <c r="D7521" s="81" t="s">
        <v>224</v>
      </c>
      <c r="E7521" s="81" t="s">
        <v>6523</v>
      </c>
      <c r="F7521" s="81" t="s">
        <v>224</v>
      </c>
      <c r="G7521" s="81" t="s">
        <v>224</v>
      </c>
      <c r="H7521" s="81" t="s">
        <v>224</v>
      </c>
      <c r="I7521" s="81" t="s">
        <v>224</v>
      </c>
      <c r="J7521" s="81" t="s">
        <v>6524</v>
      </c>
    </row>
    <row r="7522">
      <c r="A7522" s="83" t="s">
        <v>6645</v>
      </c>
      <c r="B7522" s="83" t="s">
        <v>6646</v>
      </c>
      <c r="C7522" s="81" t="s">
        <v>4082</v>
      </c>
      <c r="D7522" s="81" t="s">
        <v>224</v>
      </c>
      <c r="E7522" s="81" t="s">
        <v>6525</v>
      </c>
      <c r="F7522" s="81" t="s">
        <v>224</v>
      </c>
      <c r="G7522" s="81" t="s">
        <v>224</v>
      </c>
      <c r="H7522" s="81" t="s">
        <v>224</v>
      </c>
      <c r="I7522" s="81" t="s">
        <v>224</v>
      </c>
      <c r="J7522" s="81" t="s">
        <v>6526</v>
      </c>
    </row>
    <row r="7523">
      <c r="A7523" s="83" t="s">
        <v>6645</v>
      </c>
      <c r="B7523" s="83" t="s">
        <v>6646</v>
      </c>
      <c r="C7523" s="81" t="s">
        <v>4082</v>
      </c>
      <c r="D7523" s="81" t="s">
        <v>224</v>
      </c>
      <c r="E7523" s="81" t="s">
        <v>6527</v>
      </c>
      <c r="F7523" s="81" t="s">
        <v>224</v>
      </c>
      <c r="G7523" s="81" t="s">
        <v>224</v>
      </c>
      <c r="H7523" s="81" t="s">
        <v>224</v>
      </c>
      <c r="I7523" s="81" t="s">
        <v>224</v>
      </c>
      <c r="J7523" s="81" t="s">
        <v>6528</v>
      </c>
    </row>
    <row r="7524">
      <c r="A7524" s="83" t="s">
        <v>6645</v>
      </c>
      <c r="B7524" s="83" t="s">
        <v>6646</v>
      </c>
      <c r="C7524" s="81" t="s">
        <v>4082</v>
      </c>
      <c r="D7524" s="81" t="s">
        <v>224</v>
      </c>
      <c r="E7524" s="81" t="s">
        <v>6529</v>
      </c>
      <c r="F7524" s="81" t="s">
        <v>224</v>
      </c>
      <c r="G7524" s="81" t="s">
        <v>224</v>
      </c>
      <c r="H7524" s="81" t="s">
        <v>224</v>
      </c>
      <c r="I7524" s="81" t="s">
        <v>224</v>
      </c>
      <c r="J7524" s="81" t="s">
        <v>6530</v>
      </c>
    </row>
    <row r="7525">
      <c r="A7525" s="83" t="s">
        <v>6645</v>
      </c>
      <c r="B7525" s="83" t="s">
        <v>6646</v>
      </c>
      <c r="C7525" s="81" t="s">
        <v>4082</v>
      </c>
      <c r="D7525" s="81" t="s">
        <v>224</v>
      </c>
      <c r="E7525" s="81" t="s">
        <v>6531</v>
      </c>
      <c r="F7525" s="81" t="s">
        <v>224</v>
      </c>
      <c r="G7525" s="81" t="s">
        <v>224</v>
      </c>
      <c r="H7525" s="81" t="s">
        <v>224</v>
      </c>
      <c r="I7525" s="81" t="s">
        <v>224</v>
      </c>
      <c r="J7525" s="81" t="s">
        <v>6530</v>
      </c>
    </row>
    <row r="7526">
      <c r="A7526" s="83" t="s">
        <v>6645</v>
      </c>
      <c r="B7526" s="83" t="s">
        <v>6646</v>
      </c>
      <c r="C7526" s="81" t="s">
        <v>4082</v>
      </c>
      <c r="D7526" s="81" t="s">
        <v>224</v>
      </c>
      <c r="E7526" s="81" t="s">
        <v>6532</v>
      </c>
      <c r="F7526" s="81" t="s">
        <v>224</v>
      </c>
      <c r="G7526" s="81" t="s">
        <v>224</v>
      </c>
      <c r="H7526" s="81" t="s">
        <v>224</v>
      </c>
      <c r="I7526" s="81" t="s">
        <v>224</v>
      </c>
      <c r="J7526" s="81" t="s">
        <v>6533</v>
      </c>
    </row>
    <row r="7527">
      <c r="A7527" s="83" t="s">
        <v>6645</v>
      </c>
      <c r="B7527" s="83" t="s">
        <v>6646</v>
      </c>
      <c r="C7527" s="81" t="s">
        <v>4082</v>
      </c>
      <c r="D7527" s="81" t="s">
        <v>224</v>
      </c>
      <c r="E7527" s="81" t="s">
        <v>6534</v>
      </c>
      <c r="F7527" s="81" t="s">
        <v>224</v>
      </c>
      <c r="G7527" s="81" t="s">
        <v>224</v>
      </c>
      <c r="H7527" s="81" t="s">
        <v>224</v>
      </c>
      <c r="I7527" s="81" t="s">
        <v>224</v>
      </c>
      <c r="J7527" s="81" t="s">
        <v>6533</v>
      </c>
    </row>
    <row r="7528">
      <c r="A7528" s="83" t="s">
        <v>6645</v>
      </c>
      <c r="B7528" s="83" t="s">
        <v>6646</v>
      </c>
      <c r="C7528" s="81" t="s">
        <v>4082</v>
      </c>
      <c r="D7528" s="81" t="s">
        <v>224</v>
      </c>
      <c r="E7528" s="81" t="s">
        <v>6535</v>
      </c>
      <c r="F7528" s="81" t="s">
        <v>224</v>
      </c>
      <c r="G7528" s="81" t="s">
        <v>224</v>
      </c>
      <c r="H7528" s="81" t="s">
        <v>224</v>
      </c>
      <c r="I7528" s="81" t="s">
        <v>224</v>
      </c>
      <c r="J7528" s="81" t="s">
        <v>6536</v>
      </c>
    </row>
    <row r="7529">
      <c r="A7529" s="83" t="s">
        <v>6645</v>
      </c>
      <c r="B7529" s="83" t="s">
        <v>6646</v>
      </c>
      <c r="C7529" s="81" t="s">
        <v>4082</v>
      </c>
      <c r="D7529" s="81" t="s">
        <v>224</v>
      </c>
      <c r="E7529" s="81" t="s">
        <v>6537</v>
      </c>
      <c r="F7529" s="81" t="s">
        <v>224</v>
      </c>
      <c r="G7529" s="81" t="s">
        <v>224</v>
      </c>
      <c r="H7529" s="81" t="s">
        <v>224</v>
      </c>
      <c r="I7529" s="81" t="s">
        <v>224</v>
      </c>
      <c r="J7529" s="81" t="s">
        <v>6536</v>
      </c>
    </row>
    <row r="7530">
      <c r="A7530" s="83" t="s">
        <v>6645</v>
      </c>
      <c r="B7530" s="83" t="s">
        <v>6646</v>
      </c>
      <c r="C7530" s="81" t="s">
        <v>4082</v>
      </c>
      <c r="D7530" s="81" t="s">
        <v>224</v>
      </c>
      <c r="E7530" s="81" t="s">
        <v>6538</v>
      </c>
      <c r="F7530" s="81" t="s">
        <v>224</v>
      </c>
      <c r="G7530" s="81" t="s">
        <v>224</v>
      </c>
      <c r="H7530" s="81" t="s">
        <v>224</v>
      </c>
      <c r="I7530" s="81" t="s">
        <v>224</v>
      </c>
      <c r="J7530" s="81" t="s">
        <v>6539</v>
      </c>
    </row>
    <row r="7531">
      <c r="A7531" s="83" t="s">
        <v>6645</v>
      </c>
      <c r="B7531" s="83" t="s">
        <v>6646</v>
      </c>
      <c r="C7531" s="81" t="s">
        <v>4082</v>
      </c>
      <c r="D7531" s="81" t="s">
        <v>224</v>
      </c>
      <c r="E7531" s="81" t="s">
        <v>6540</v>
      </c>
      <c r="F7531" s="81" t="s">
        <v>224</v>
      </c>
      <c r="G7531" s="81" t="s">
        <v>224</v>
      </c>
      <c r="H7531" s="81" t="s">
        <v>224</v>
      </c>
      <c r="I7531" s="81" t="s">
        <v>224</v>
      </c>
      <c r="J7531" s="81" t="s">
        <v>6539</v>
      </c>
    </row>
    <row r="7532">
      <c r="A7532" s="83" t="s">
        <v>6645</v>
      </c>
      <c r="B7532" s="83" t="s">
        <v>6646</v>
      </c>
      <c r="C7532" s="81" t="s">
        <v>4082</v>
      </c>
      <c r="D7532" s="81" t="s">
        <v>224</v>
      </c>
      <c r="E7532" s="81" t="s">
        <v>6541</v>
      </c>
      <c r="F7532" s="81" t="s">
        <v>224</v>
      </c>
      <c r="G7532" s="81" t="s">
        <v>224</v>
      </c>
      <c r="H7532" s="81" t="s">
        <v>224</v>
      </c>
      <c r="I7532" s="81" t="s">
        <v>224</v>
      </c>
      <c r="J7532" s="81" t="s">
        <v>6542</v>
      </c>
    </row>
    <row r="7533">
      <c r="A7533" s="83" t="s">
        <v>6645</v>
      </c>
      <c r="B7533" s="83" t="s">
        <v>6646</v>
      </c>
      <c r="C7533" s="81" t="s">
        <v>4082</v>
      </c>
      <c r="D7533" s="81" t="s">
        <v>224</v>
      </c>
      <c r="E7533" s="81" t="s">
        <v>6543</v>
      </c>
      <c r="F7533" s="81" t="s">
        <v>224</v>
      </c>
      <c r="G7533" s="81" t="s">
        <v>224</v>
      </c>
      <c r="H7533" s="81" t="s">
        <v>224</v>
      </c>
      <c r="I7533" s="81" t="s">
        <v>224</v>
      </c>
      <c r="J7533" s="81" t="s">
        <v>6542</v>
      </c>
    </row>
    <row r="7534">
      <c r="A7534" s="83" t="s">
        <v>6645</v>
      </c>
      <c r="B7534" s="83" t="s">
        <v>6646</v>
      </c>
      <c r="C7534" s="81" t="s">
        <v>4082</v>
      </c>
      <c r="D7534" s="81" t="s">
        <v>224</v>
      </c>
      <c r="E7534" s="81" t="s">
        <v>6544</v>
      </c>
      <c r="F7534" s="81" t="s">
        <v>224</v>
      </c>
      <c r="G7534" s="81" t="s">
        <v>224</v>
      </c>
      <c r="H7534" s="81" t="s">
        <v>224</v>
      </c>
      <c r="I7534" s="81" t="s">
        <v>224</v>
      </c>
      <c r="J7534" s="81" t="s">
        <v>6545</v>
      </c>
    </row>
    <row r="7535">
      <c r="A7535" s="83" t="s">
        <v>6645</v>
      </c>
      <c r="B7535" s="83" t="s">
        <v>6646</v>
      </c>
      <c r="C7535" s="81" t="s">
        <v>4082</v>
      </c>
      <c r="D7535" s="81" t="s">
        <v>224</v>
      </c>
      <c r="E7535" s="81" t="s">
        <v>6546</v>
      </c>
      <c r="F7535" s="81" t="s">
        <v>224</v>
      </c>
      <c r="G7535" s="81" t="s">
        <v>224</v>
      </c>
      <c r="H7535" s="81" t="s">
        <v>224</v>
      </c>
      <c r="I7535" s="81" t="s">
        <v>224</v>
      </c>
      <c r="J7535" s="81" t="s">
        <v>6545</v>
      </c>
    </row>
    <row r="7536">
      <c r="A7536" s="83" t="s">
        <v>6645</v>
      </c>
      <c r="B7536" s="83" t="s">
        <v>6646</v>
      </c>
      <c r="C7536" s="81" t="s">
        <v>4082</v>
      </c>
      <c r="D7536" s="81" t="s">
        <v>224</v>
      </c>
      <c r="E7536" s="81" t="s">
        <v>6547</v>
      </c>
      <c r="F7536" s="81" t="s">
        <v>224</v>
      </c>
      <c r="G7536" s="81" t="s">
        <v>224</v>
      </c>
      <c r="H7536" s="81" t="s">
        <v>224</v>
      </c>
      <c r="I7536" s="81" t="s">
        <v>224</v>
      </c>
      <c r="J7536" s="81" t="s">
        <v>6548</v>
      </c>
    </row>
    <row r="7537">
      <c r="A7537" s="83" t="s">
        <v>6645</v>
      </c>
      <c r="B7537" s="83" t="s">
        <v>6646</v>
      </c>
      <c r="C7537" s="81" t="s">
        <v>4082</v>
      </c>
      <c r="D7537" s="81" t="s">
        <v>224</v>
      </c>
      <c r="E7537" s="81" t="s">
        <v>6549</v>
      </c>
      <c r="F7537" s="81" t="s">
        <v>224</v>
      </c>
      <c r="G7537" s="81" t="s">
        <v>224</v>
      </c>
      <c r="H7537" s="81" t="s">
        <v>224</v>
      </c>
      <c r="I7537" s="81" t="s">
        <v>224</v>
      </c>
      <c r="J7537" s="81" t="s">
        <v>6548</v>
      </c>
    </row>
    <row r="7538">
      <c r="A7538" s="83" t="s">
        <v>6645</v>
      </c>
      <c r="B7538" s="83" t="s">
        <v>6646</v>
      </c>
      <c r="C7538" s="81" t="s">
        <v>4082</v>
      </c>
      <c r="D7538" s="81" t="s">
        <v>224</v>
      </c>
      <c r="E7538" s="81" t="s">
        <v>6550</v>
      </c>
      <c r="F7538" s="81" t="s">
        <v>224</v>
      </c>
      <c r="G7538" s="81" t="s">
        <v>224</v>
      </c>
      <c r="H7538" s="81" t="s">
        <v>224</v>
      </c>
      <c r="I7538" s="81" t="s">
        <v>224</v>
      </c>
      <c r="J7538" s="81" t="s">
        <v>6551</v>
      </c>
    </row>
    <row r="7539">
      <c r="A7539" s="83" t="s">
        <v>6645</v>
      </c>
      <c r="B7539" s="83" t="s">
        <v>6646</v>
      </c>
      <c r="C7539" s="81" t="s">
        <v>4082</v>
      </c>
      <c r="D7539" s="81" t="s">
        <v>224</v>
      </c>
      <c r="E7539" s="81" t="s">
        <v>6552</v>
      </c>
      <c r="F7539" s="81" t="s">
        <v>224</v>
      </c>
      <c r="G7539" s="81" t="s">
        <v>224</v>
      </c>
      <c r="H7539" s="81" t="s">
        <v>224</v>
      </c>
      <c r="I7539" s="81" t="s">
        <v>224</v>
      </c>
      <c r="J7539" s="81" t="s">
        <v>6551</v>
      </c>
    </row>
    <row r="7540">
      <c r="A7540" s="83" t="s">
        <v>6645</v>
      </c>
      <c r="B7540" s="83" t="s">
        <v>6646</v>
      </c>
      <c r="C7540" s="81" t="s">
        <v>4082</v>
      </c>
      <c r="D7540" s="81" t="s">
        <v>224</v>
      </c>
      <c r="E7540" s="81" t="s">
        <v>6553</v>
      </c>
      <c r="F7540" s="81" t="s">
        <v>224</v>
      </c>
      <c r="G7540" s="81" t="s">
        <v>224</v>
      </c>
      <c r="H7540" s="81" t="s">
        <v>224</v>
      </c>
      <c r="I7540" s="81" t="s">
        <v>224</v>
      </c>
      <c r="J7540" s="81" t="s">
        <v>6554</v>
      </c>
    </row>
    <row r="7541">
      <c r="A7541" s="83" t="s">
        <v>6645</v>
      </c>
      <c r="B7541" s="83" t="s">
        <v>6646</v>
      </c>
      <c r="C7541" s="81" t="s">
        <v>4082</v>
      </c>
      <c r="D7541" s="81" t="s">
        <v>224</v>
      </c>
      <c r="E7541" s="81" t="s">
        <v>6555</v>
      </c>
      <c r="F7541" s="81" t="s">
        <v>224</v>
      </c>
      <c r="G7541" s="81" t="s">
        <v>224</v>
      </c>
      <c r="H7541" s="81" t="s">
        <v>224</v>
      </c>
      <c r="I7541" s="81" t="s">
        <v>224</v>
      </c>
      <c r="J7541" s="81" t="s">
        <v>6554</v>
      </c>
    </row>
    <row r="7542">
      <c r="A7542" s="83" t="s">
        <v>6645</v>
      </c>
      <c r="B7542" s="83" t="s">
        <v>6646</v>
      </c>
      <c r="C7542" s="81" t="s">
        <v>4082</v>
      </c>
      <c r="D7542" s="81" t="s">
        <v>224</v>
      </c>
      <c r="E7542" s="81" t="s">
        <v>6556</v>
      </c>
      <c r="F7542" s="81" t="s">
        <v>224</v>
      </c>
      <c r="G7542" s="81" t="s">
        <v>224</v>
      </c>
      <c r="H7542" s="81" t="s">
        <v>224</v>
      </c>
      <c r="I7542" s="81" t="s">
        <v>224</v>
      </c>
      <c r="J7542" s="81" t="s">
        <v>6557</v>
      </c>
    </row>
    <row r="7543">
      <c r="A7543" s="83" t="s">
        <v>6645</v>
      </c>
      <c r="B7543" s="83" t="s">
        <v>6646</v>
      </c>
      <c r="C7543" s="81" t="s">
        <v>4082</v>
      </c>
      <c r="D7543" s="81" t="s">
        <v>224</v>
      </c>
      <c r="E7543" s="81" t="s">
        <v>6558</v>
      </c>
      <c r="F7543" s="81" t="s">
        <v>224</v>
      </c>
      <c r="G7543" s="81" t="s">
        <v>224</v>
      </c>
      <c r="H7543" s="81" t="s">
        <v>224</v>
      </c>
      <c r="I7543" s="81" t="s">
        <v>224</v>
      </c>
      <c r="J7543" s="81" t="s">
        <v>6559</v>
      </c>
    </row>
    <row r="7544">
      <c r="A7544" s="83" t="s">
        <v>6645</v>
      </c>
      <c r="B7544" s="83" t="s">
        <v>6646</v>
      </c>
      <c r="C7544" s="81" t="s">
        <v>4082</v>
      </c>
      <c r="D7544" s="81" t="s">
        <v>224</v>
      </c>
      <c r="E7544" s="81" t="s">
        <v>6560</v>
      </c>
      <c r="F7544" s="81" t="s">
        <v>224</v>
      </c>
      <c r="G7544" s="81" t="s">
        <v>224</v>
      </c>
      <c r="H7544" s="81" t="s">
        <v>224</v>
      </c>
      <c r="I7544" s="81" t="s">
        <v>224</v>
      </c>
      <c r="J7544" s="81" t="s">
        <v>6561</v>
      </c>
    </row>
    <row r="7545">
      <c r="A7545" s="83" t="s">
        <v>6645</v>
      </c>
      <c r="B7545" s="83" t="s">
        <v>6646</v>
      </c>
      <c r="C7545" s="81" t="s">
        <v>4082</v>
      </c>
      <c r="D7545" s="81" t="s">
        <v>224</v>
      </c>
      <c r="E7545" s="81" t="s">
        <v>6562</v>
      </c>
      <c r="F7545" s="81" t="s">
        <v>224</v>
      </c>
      <c r="G7545" s="81" t="s">
        <v>224</v>
      </c>
      <c r="H7545" s="81" t="s">
        <v>224</v>
      </c>
      <c r="I7545" s="81" t="s">
        <v>224</v>
      </c>
      <c r="J7545" s="81" t="s">
        <v>6563</v>
      </c>
    </row>
    <row r="7546">
      <c r="A7546" s="83" t="s">
        <v>6645</v>
      </c>
      <c r="B7546" s="83" t="s">
        <v>6646</v>
      </c>
      <c r="C7546" s="81" t="s">
        <v>4082</v>
      </c>
      <c r="D7546" s="81" t="s">
        <v>224</v>
      </c>
      <c r="E7546" s="81" t="s">
        <v>6564</v>
      </c>
      <c r="F7546" s="81" t="s">
        <v>224</v>
      </c>
      <c r="G7546" s="81" t="s">
        <v>224</v>
      </c>
      <c r="H7546" s="81" t="s">
        <v>224</v>
      </c>
      <c r="I7546" s="81" t="s">
        <v>224</v>
      </c>
      <c r="J7546" s="81" t="s">
        <v>6565</v>
      </c>
    </row>
    <row r="7547">
      <c r="A7547" s="83" t="s">
        <v>6645</v>
      </c>
      <c r="B7547" s="83" t="s">
        <v>6646</v>
      </c>
      <c r="C7547" s="81" t="s">
        <v>4082</v>
      </c>
      <c r="D7547" s="81" t="s">
        <v>224</v>
      </c>
      <c r="E7547" s="81" t="s">
        <v>6566</v>
      </c>
      <c r="F7547" s="81" t="s">
        <v>224</v>
      </c>
      <c r="G7547" s="81" t="s">
        <v>224</v>
      </c>
      <c r="H7547" s="81" t="s">
        <v>224</v>
      </c>
      <c r="I7547" s="81" t="s">
        <v>224</v>
      </c>
      <c r="J7547" s="81" t="s">
        <v>6567</v>
      </c>
    </row>
    <row r="7548">
      <c r="A7548" s="83" t="s">
        <v>6645</v>
      </c>
      <c r="B7548" s="83" t="s">
        <v>6646</v>
      </c>
      <c r="C7548" s="81" t="s">
        <v>4082</v>
      </c>
      <c r="D7548" s="81" t="s">
        <v>224</v>
      </c>
      <c r="E7548" s="81" t="s">
        <v>6568</v>
      </c>
      <c r="F7548" s="81" t="s">
        <v>224</v>
      </c>
      <c r="G7548" s="81" t="s">
        <v>224</v>
      </c>
      <c r="H7548" s="81" t="s">
        <v>224</v>
      </c>
      <c r="I7548" s="81" t="s">
        <v>224</v>
      </c>
      <c r="J7548" s="81" t="s">
        <v>6569</v>
      </c>
    </row>
    <row r="7549">
      <c r="A7549" s="83" t="s">
        <v>6645</v>
      </c>
      <c r="B7549" s="83" t="s">
        <v>6646</v>
      </c>
      <c r="C7549" s="81" t="s">
        <v>4082</v>
      </c>
      <c r="D7549" s="81" t="s">
        <v>224</v>
      </c>
      <c r="E7549" s="81" t="s">
        <v>6570</v>
      </c>
      <c r="F7549" s="81" t="s">
        <v>224</v>
      </c>
      <c r="G7549" s="81" t="s">
        <v>224</v>
      </c>
      <c r="H7549" s="81" t="s">
        <v>224</v>
      </c>
      <c r="I7549" s="81" t="s">
        <v>224</v>
      </c>
      <c r="J7549" s="81" t="s">
        <v>6571</v>
      </c>
    </row>
    <row r="7550">
      <c r="A7550" s="83" t="s">
        <v>6645</v>
      </c>
      <c r="B7550" s="83" t="s">
        <v>6646</v>
      </c>
      <c r="C7550" s="81" t="s">
        <v>4082</v>
      </c>
      <c r="D7550" s="81" t="s">
        <v>224</v>
      </c>
      <c r="E7550" s="81" t="s">
        <v>6572</v>
      </c>
      <c r="F7550" s="81" t="s">
        <v>224</v>
      </c>
      <c r="G7550" s="81" t="s">
        <v>224</v>
      </c>
      <c r="H7550" s="81" t="s">
        <v>224</v>
      </c>
      <c r="I7550" s="81" t="s">
        <v>224</v>
      </c>
      <c r="J7550" s="81" t="s">
        <v>6571</v>
      </c>
    </row>
    <row r="7551">
      <c r="A7551" s="83" t="s">
        <v>6645</v>
      </c>
      <c r="B7551" s="83" t="s">
        <v>6646</v>
      </c>
      <c r="C7551" s="81" t="s">
        <v>4082</v>
      </c>
      <c r="D7551" s="81" t="s">
        <v>224</v>
      </c>
      <c r="E7551" s="81" t="s">
        <v>6573</v>
      </c>
      <c r="F7551" s="81" t="s">
        <v>224</v>
      </c>
      <c r="G7551" s="81" t="s">
        <v>224</v>
      </c>
      <c r="H7551" s="81" t="s">
        <v>224</v>
      </c>
      <c r="I7551" s="81" t="s">
        <v>224</v>
      </c>
      <c r="J7551" s="81" t="s">
        <v>6574</v>
      </c>
    </row>
    <row r="7552">
      <c r="A7552" s="83" t="s">
        <v>6645</v>
      </c>
      <c r="B7552" s="83" t="s">
        <v>6646</v>
      </c>
      <c r="C7552" s="81" t="s">
        <v>4082</v>
      </c>
      <c r="D7552" s="81" t="s">
        <v>224</v>
      </c>
      <c r="E7552" s="81" t="s">
        <v>6575</v>
      </c>
      <c r="F7552" s="81" t="s">
        <v>224</v>
      </c>
      <c r="G7552" s="81" t="s">
        <v>224</v>
      </c>
      <c r="H7552" s="81" t="s">
        <v>224</v>
      </c>
      <c r="I7552" s="81" t="s">
        <v>224</v>
      </c>
      <c r="J7552" s="81" t="s">
        <v>6574</v>
      </c>
    </row>
    <row r="7553">
      <c r="A7553" s="83" t="s">
        <v>6645</v>
      </c>
      <c r="B7553" s="83" t="s">
        <v>6646</v>
      </c>
      <c r="C7553" s="81" t="s">
        <v>4082</v>
      </c>
      <c r="D7553" s="81" t="s">
        <v>224</v>
      </c>
      <c r="E7553" s="81" t="s">
        <v>6576</v>
      </c>
      <c r="F7553" s="81" t="s">
        <v>224</v>
      </c>
      <c r="G7553" s="81" t="s">
        <v>224</v>
      </c>
      <c r="H7553" s="81" t="s">
        <v>224</v>
      </c>
      <c r="I7553" s="81" t="s">
        <v>224</v>
      </c>
      <c r="J7553" s="81" t="s">
        <v>6577</v>
      </c>
    </row>
    <row r="7554">
      <c r="A7554" s="83" t="s">
        <v>6645</v>
      </c>
      <c r="B7554" s="83" t="s">
        <v>6646</v>
      </c>
      <c r="C7554" s="81" t="s">
        <v>4082</v>
      </c>
      <c r="D7554" s="81" t="s">
        <v>224</v>
      </c>
      <c r="E7554" s="81" t="s">
        <v>6578</v>
      </c>
      <c r="F7554" s="81" t="s">
        <v>224</v>
      </c>
      <c r="G7554" s="81" t="s">
        <v>224</v>
      </c>
      <c r="H7554" s="81" t="s">
        <v>224</v>
      </c>
      <c r="I7554" s="81" t="s">
        <v>224</v>
      </c>
      <c r="J7554" s="81" t="s">
        <v>6579</v>
      </c>
    </row>
    <row r="7555">
      <c r="A7555" s="83" t="s">
        <v>6645</v>
      </c>
      <c r="B7555" s="83" t="s">
        <v>6646</v>
      </c>
      <c r="C7555" s="81" t="s">
        <v>4082</v>
      </c>
      <c r="D7555" s="81" t="s">
        <v>224</v>
      </c>
      <c r="E7555" s="81" t="s">
        <v>6580</v>
      </c>
      <c r="F7555" s="81" t="s">
        <v>224</v>
      </c>
      <c r="G7555" s="81" t="s">
        <v>224</v>
      </c>
      <c r="H7555" s="81" t="s">
        <v>224</v>
      </c>
      <c r="I7555" s="81" t="s">
        <v>224</v>
      </c>
      <c r="J7555" s="81" t="s">
        <v>6579</v>
      </c>
    </row>
    <row r="7556">
      <c r="A7556" s="83" t="s">
        <v>6645</v>
      </c>
      <c r="B7556" s="83" t="s">
        <v>6646</v>
      </c>
      <c r="C7556" s="81" t="s">
        <v>4082</v>
      </c>
      <c r="D7556" s="81" t="s">
        <v>224</v>
      </c>
      <c r="E7556" s="81" t="s">
        <v>6581</v>
      </c>
      <c r="F7556" s="81" t="s">
        <v>224</v>
      </c>
      <c r="G7556" s="81" t="s">
        <v>224</v>
      </c>
      <c r="H7556" s="81" t="s">
        <v>224</v>
      </c>
      <c r="I7556" s="81" t="s">
        <v>224</v>
      </c>
      <c r="J7556" s="81" t="s">
        <v>6582</v>
      </c>
    </row>
    <row r="7557">
      <c r="A7557" s="83" t="s">
        <v>6645</v>
      </c>
      <c r="B7557" s="83" t="s">
        <v>6646</v>
      </c>
      <c r="C7557" s="81" t="s">
        <v>4082</v>
      </c>
      <c r="D7557" s="81" t="s">
        <v>224</v>
      </c>
      <c r="E7557" s="81" t="s">
        <v>6583</v>
      </c>
      <c r="F7557" s="81" t="s">
        <v>224</v>
      </c>
      <c r="G7557" s="81" t="s">
        <v>224</v>
      </c>
      <c r="H7557" s="81" t="s">
        <v>224</v>
      </c>
      <c r="I7557" s="81" t="s">
        <v>224</v>
      </c>
      <c r="J7557" s="81" t="s">
        <v>6582</v>
      </c>
    </row>
    <row r="7558">
      <c r="A7558" s="83" t="s">
        <v>6645</v>
      </c>
      <c r="B7558" s="83" t="s">
        <v>6646</v>
      </c>
      <c r="C7558" s="81" t="s">
        <v>4082</v>
      </c>
      <c r="D7558" s="81" t="s">
        <v>224</v>
      </c>
      <c r="E7558" s="81" t="s">
        <v>6584</v>
      </c>
      <c r="F7558" s="81" t="s">
        <v>224</v>
      </c>
      <c r="G7558" s="81" t="s">
        <v>224</v>
      </c>
      <c r="H7558" s="81" t="s">
        <v>224</v>
      </c>
      <c r="I7558" s="81" t="s">
        <v>224</v>
      </c>
      <c r="J7558" s="81" t="s">
        <v>6585</v>
      </c>
    </row>
    <row r="7559">
      <c r="A7559" s="83" t="s">
        <v>6645</v>
      </c>
      <c r="B7559" s="83" t="s">
        <v>6646</v>
      </c>
      <c r="C7559" s="81" t="s">
        <v>4082</v>
      </c>
      <c r="D7559" s="81" t="s">
        <v>224</v>
      </c>
      <c r="E7559" s="81" t="s">
        <v>6586</v>
      </c>
      <c r="F7559" s="81" t="s">
        <v>224</v>
      </c>
      <c r="G7559" s="81" t="s">
        <v>224</v>
      </c>
      <c r="H7559" s="81" t="s">
        <v>224</v>
      </c>
      <c r="I7559" s="81" t="s">
        <v>224</v>
      </c>
      <c r="J7559" s="81" t="s">
        <v>6585</v>
      </c>
    </row>
    <row r="7560">
      <c r="A7560" s="83" t="s">
        <v>6645</v>
      </c>
      <c r="B7560" s="83" t="s">
        <v>6646</v>
      </c>
      <c r="C7560" s="81" t="s">
        <v>4082</v>
      </c>
      <c r="D7560" s="81" t="s">
        <v>224</v>
      </c>
      <c r="E7560" s="81" t="s">
        <v>6587</v>
      </c>
      <c r="F7560" s="81" t="s">
        <v>224</v>
      </c>
      <c r="G7560" s="81" t="s">
        <v>224</v>
      </c>
      <c r="H7560" s="81" t="s">
        <v>224</v>
      </c>
      <c r="I7560" s="81" t="s">
        <v>224</v>
      </c>
      <c r="J7560" s="81" t="s">
        <v>6588</v>
      </c>
    </row>
    <row r="7561">
      <c r="A7561" s="83" t="s">
        <v>6645</v>
      </c>
      <c r="B7561" s="83" t="s">
        <v>6646</v>
      </c>
      <c r="C7561" s="81" t="s">
        <v>4082</v>
      </c>
      <c r="D7561" s="81" t="s">
        <v>224</v>
      </c>
      <c r="E7561" s="81" t="s">
        <v>6589</v>
      </c>
      <c r="F7561" s="81" t="s">
        <v>224</v>
      </c>
      <c r="G7561" s="81" t="s">
        <v>224</v>
      </c>
      <c r="H7561" s="81" t="s">
        <v>224</v>
      </c>
      <c r="I7561" s="81" t="s">
        <v>224</v>
      </c>
      <c r="J7561" s="81" t="s">
        <v>6588</v>
      </c>
    </row>
    <row r="7562">
      <c r="A7562" s="83" t="s">
        <v>6645</v>
      </c>
      <c r="B7562" s="83" t="s">
        <v>6646</v>
      </c>
      <c r="C7562" s="81" t="s">
        <v>4082</v>
      </c>
      <c r="D7562" s="81" t="s">
        <v>224</v>
      </c>
      <c r="E7562" s="81" t="s">
        <v>6590</v>
      </c>
      <c r="F7562" s="81" t="s">
        <v>224</v>
      </c>
      <c r="G7562" s="81" t="s">
        <v>224</v>
      </c>
      <c r="H7562" s="81" t="s">
        <v>224</v>
      </c>
      <c r="I7562" s="81" t="s">
        <v>224</v>
      </c>
      <c r="J7562" s="81" t="s">
        <v>6591</v>
      </c>
    </row>
    <row r="7563">
      <c r="A7563" s="83" t="s">
        <v>6645</v>
      </c>
      <c r="B7563" s="83" t="s">
        <v>6646</v>
      </c>
      <c r="C7563" s="81" t="s">
        <v>4082</v>
      </c>
      <c r="D7563" s="81" t="s">
        <v>224</v>
      </c>
      <c r="E7563" s="81" t="s">
        <v>6592</v>
      </c>
      <c r="F7563" s="81" t="s">
        <v>224</v>
      </c>
      <c r="G7563" s="81" t="s">
        <v>224</v>
      </c>
      <c r="H7563" s="81" t="s">
        <v>224</v>
      </c>
      <c r="I7563" s="81" t="s">
        <v>224</v>
      </c>
      <c r="J7563" s="81" t="s">
        <v>6591</v>
      </c>
    </row>
    <row r="7564">
      <c r="A7564" s="83" t="s">
        <v>6645</v>
      </c>
      <c r="B7564" s="83" t="s">
        <v>6646</v>
      </c>
      <c r="C7564" s="81" t="s">
        <v>4082</v>
      </c>
      <c r="D7564" s="81" t="s">
        <v>224</v>
      </c>
      <c r="E7564" s="81" t="s">
        <v>6593</v>
      </c>
      <c r="F7564" s="81" t="s">
        <v>224</v>
      </c>
      <c r="G7564" s="81" t="s">
        <v>224</v>
      </c>
      <c r="H7564" s="81" t="s">
        <v>224</v>
      </c>
      <c r="I7564" s="81" t="s">
        <v>224</v>
      </c>
      <c r="J7564" s="81" t="s">
        <v>6594</v>
      </c>
    </row>
    <row r="7565">
      <c r="A7565" s="83" t="s">
        <v>6645</v>
      </c>
      <c r="B7565" s="83" t="s">
        <v>6646</v>
      </c>
      <c r="C7565" s="81" t="s">
        <v>4082</v>
      </c>
      <c r="D7565" s="81" t="s">
        <v>224</v>
      </c>
      <c r="E7565" s="81" t="s">
        <v>6595</v>
      </c>
      <c r="F7565" s="81" t="s">
        <v>224</v>
      </c>
      <c r="G7565" s="81" t="s">
        <v>224</v>
      </c>
      <c r="H7565" s="81" t="s">
        <v>224</v>
      </c>
      <c r="I7565" s="81" t="s">
        <v>224</v>
      </c>
      <c r="J7565" s="81" t="s">
        <v>6594</v>
      </c>
    </row>
    <row r="7566">
      <c r="A7566" s="83" t="s">
        <v>6645</v>
      </c>
      <c r="B7566" s="83" t="s">
        <v>6646</v>
      </c>
      <c r="C7566" s="81" t="s">
        <v>4082</v>
      </c>
      <c r="D7566" s="81" t="s">
        <v>224</v>
      </c>
      <c r="E7566" s="81" t="s">
        <v>6596</v>
      </c>
      <c r="F7566" s="81" t="s">
        <v>224</v>
      </c>
      <c r="G7566" s="81" t="s">
        <v>224</v>
      </c>
      <c r="H7566" s="81" t="s">
        <v>224</v>
      </c>
      <c r="I7566" s="81" t="s">
        <v>224</v>
      </c>
      <c r="J7566" s="81" t="s">
        <v>6597</v>
      </c>
    </row>
    <row r="7567">
      <c r="A7567" s="83" t="s">
        <v>6645</v>
      </c>
      <c r="B7567" s="83" t="s">
        <v>6646</v>
      </c>
      <c r="C7567" s="81" t="s">
        <v>4082</v>
      </c>
      <c r="D7567" s="81" t="s">
        <v>224</v>
      </c>
      <c r="E7567" s="81" t="s">
        <v>6598</v>
      </c>
      <c r="F7567" s="81" t="s">
        <v>224</v>
      </c>
      <c r="G7567" s="81" t="s">
        <v>224</v>
      </c>
      <c r="H7567" s="81" t="s">
        <v>224</v>
      </c>
      <c r="I7567" s="81" t="s">
        <v>224</v>
      </c>
      <c r="J7567" s="81" t="s">
        <v>6599</v>
      </c>
    </row>
    <row r="7568">
      <c r="A7568" s="83" t="s">
        <v>6645</v>
      </c>
      <c r="B7568" s="83" t="s">
        <v>6646</v>
      </c>
      <c r="C7568" s="81" t="s">
        <v>4082</v>
      </c>
      <c r="D7568" s="81" t="s">
        <v>224</v>
      </c>
      <c r="E7568" s="81" t="s">
        <v>4956</v>
      </c>
      <c r="F7568" s="81" t="s">
        <v>224</v>
      </c>
      <c r="G7568" s="81" t="s">
        <v>224</v>
      </c>
      <c r="H7568" s="81" t="s">
        <v>224</v>
      </c>
      <c r="I7568" s="81" t="s">
        <v>224</v>
      </c>
      <c r="J7568" s="81" t="s">
        <v>4957</v>
      </c>
    </row>
    <row r="7569">
      <c r="A7569" s="83" t="s">
        <v>6645</v>
      </c>
      <c r="B7569" s="83" t="s">
        <v>6646</v>
      </c>
      <c r="C7569" s="81" t="s">
        <v>4082</v>
      </c>
      <c r="D7569" s="81" t="s">
        <v>224</v>
      </c>
      <c r="E7569" s="81" t="s">
        <v>4958</v>
      </c>
      <c r="F7569" s="81" t="s">
        <v>224</v>
      </c>
      <c r="G7569" s="81" t="s">
        <v>224</v>
      </c>
      <c r="H7569" s="81" t="s">
        <v>224</v>
      </c>
      <c r="I7569" s="81" t="s">
        <v>224</v>
      </c>
      <c r="J7569" s="81" t="s">
        <v>4959</v>
      </c>
    </row>
    <row r="7570">
      <c r="A7570" s="83" t="s">
        <v>6645</v>
      </c>
      <c r="B7570" s="83" t="s">
        <v>6646</v>
      </c>
      <c r="C7570" s="81" t="s">
        <v>4082</v>
      </c>
      <c r="D7570" s="81" t="s">
        <v>224</v>
      </c>
      <c r="E7570" s="81" t="s">
        <v>4960</v>
      </c>
      <c r="F7570" s="81" t="s">
        <v>224</v>
      </c>
      <c r="G7570" s="81" t="s">
        <v>224</v>
      </c>
      <c r="H7570" s="81" t="s">
        <v>224</v>
      </c>
      <c r="I7570" s="81" t="s">
        <v>224</v>
      </c>
      <c r="J7570" s="81" t="s">
        <v>4961</v>
      </c>
    </row>
    <row r="7571">
      <c r="A7571" s="83" t="s">
        <v>6645</v>
      </c>
      <c r="B7571" s="83" t="s">
        <v>6646</v>
      </c>
      <c r="C7571" s="81" t="s">
        <v>4082</v>
      </c>
      <c r="D7571" s="81" t="s">
        <v>224</v>
      </c>
      <c r="E7571" s="81" t="s">
        <v>4962</v>
      </c>
      <c r="F7571" s="81" t="s">
        <v>224</v>
      </c>
      <c r="G7571" s="81" t="s">
        <v>224</v>
      </c>
      <c r="H7571" s="81" t="s">
        <v>224</v>
      </c>
      <c r="I7571" s="81" t="s">
        <v>224</v>
      </c>
      <c r="J7571" s="81" t="s">
        <v>4963</v>
      </c>
    </row>
    <row r="7572">
      <c r="A7572" s="83" t="s">
        <v>6645</v>
      </c>
      <c r="B7572" s="83" t="s">
        <v>6646</v>
      </c>
      <c r="C7572" s="81" t="s">
        <v>4082</v>
      </c>
      <c r="D7572" s="81" t="s">
        <v>224</v>
      </c>
      <c r="E7572" s="81" t="s">
        <v>4964</v>
      </c>
      <c r="F7572" s="81" t="s">
        <v>224</v>
      </c>
      <c r="G7572" s="81" t="s">
        <v>224</v>
      </c>
      <c r="H7572" s="81" t="s">
        <v>224</v>
      </c>
      <c r="I7572" s="81" t="s">
        <v>224</v>
      </c>
      <c r="J7572" s="81" t="s">
        <v>4963</v>
      </c>
    </row>
    <row r="7573">
      <c r="A7573" s="83" t="s">
        <v>6645</v>
      </c>
      <c r="B7573" s="83" t="s">
        <v>6646</v>
      </c>
      <c r="C7573" s="81" t="s">
        <v>4082</v>
      </c>
      <c r="D7573" s="81" t="s">
        <v>224</v>
      </c>
      <c r="E7573" s="81" t="s">
        <v>4965</v>
      </c>
      <c r="F7573" s="81" t="s">
        <v>224</v>
      </c>
      <c r="G7573" s="81" t="s">
        <v>224</v>
      </c>
      <c r="H7573" s="81" t="s">
        <v>224</v>
      </c>
      <c r="I7573" s="81" t="s">
        <v>224</v>
      </c>
      <c r="J7573" s="81" t="s">
        <v>4966</v>
      </c>
    </row>
    <row r="7574">
      <c r="A7574" s="83" t="s">
        <v>6645</v>
      </c>
      <c r="B7574" s="83" t="s">
        <v>6646</v>
      </c>
      <c r="C7574" s="81" t="s">
        <v>4082</v>
      </c>
      <c r="D7574" s="81" t="s">
        <v>224</v>
      </c>
      <c r="E7574" s="81" t="s">
        <v>4967</v>
      </c>
      <c r="F7574" s="81" t="s">
        <v>224</v>
      </c>
      <c r="G7574" s="81" t="s">
        <v>224</v>
      </c>
      <c r="H7574" s="81" t="s">
        <v>224</v>
      </c>
      <c r="I7574" s="81" t="s">
        <v>224</v>
      </c>
      <c r="J7574" s="81" t="s">
        <v>4966</v>
      </c>
    </row>
    <row r="7575">
      <c r="A7575" s="83" t="s">
        <v>6645</v>
      </c>
      <c r="B7575" s="83" t="s">
        <v>6646</v>
      </c>
      <c r="C7575" s="81" t="s">
        <v>4082</v>
      </c>
      <c r="D7575" s="81" t="s">
        <v>224</v>
      </c>
      <c r="E7575" s="81" t="s">
        <v>4968</v>
      </c>
      <c r="F7575" s="81" t="s">
        <v>224</v>
      </c>
      <c r="G7575" s="81" t="s">
        <v>224</v>
      </c>
      <c r="H7575" s="81" t="s">
        <v>224</v>
      </c>
      <c r="I7575" s="81" t="s">
        <v>224</v>
      </c>
      <c r="J7575" s="81" t="s">
        <v>4966</v>
      </c>
    </row>
    <row r="7576">
      <c r="A7576" s="83" t="s">
        <v>6645</v>
      </c>
      <c r="B7576" s="83" t="s">
        <v>6646</v>
      </c>
      <c r="C7576" s="81" t="s">
        <v>4082</v>
      </c>
      <c r="D7576" s="81" t="s">
        <v>224</v>
      </c>
      <c r="E7576" s="81" t="s">
        <v>4969</v>
      </c>
      <c r="F7576" s="81" t="s">
        <v>224</v>
      </c>
      <c r="G7576" s="81" t="s">
        <v>224</v>
      </c>
      <c r="H7576" s="81" t="s">
        <v>224</v>
      </c>
      <c r="I7576" s="81" t="s">
        <v>224</v>
      </c>
      <c r="J7576" s="81" t="s">
        <v>4966</v>
      </c>
    </row>
    <row r="7577">
      <c r="A7577" s="83" t="s">
        <v>6645</v>
      </c>
      <c r="B7577" s="83" t="s">
        <v>6646</v>
      </c>
      <c r="C7577" s="81" t="s">
        <v>4082</v>
      </c>
      <c r="D7577" s="81" t="s">
        <v>224</v>
      </c>
      <c r="E7577" s="81" t="s">
        <v>224</v>
      </c>
      <c r="F7577" s="81" t="s">
        <v>224</v>
      </c>
      <c r="G7577" s="81" t="s">
        <v>224</v>
      </c>
      <c r="H7577" s="81" t="s">
        <v>224</v>
      </c>
      <c r="I7577" s="81" t="s">
        <v>224</v>
      </c>
      <c r="J7577" s="81" t="s">
        <v>6640</v>
      </c>
    </row>
    <row r="7578">
      <c r="A7578" s="83" t="s">
        <v>6645</v>
      </c>
      <c r="B7578" s="83" t="s">
        <v>6646</v>
      </c>
      <c r="C7578" s="81" t="s">
        <v>4082</v>
      </c>
      <c r="D7578" s="83" t="s">
        <v>4201</v>
      </c>
      <c r="E7578" s="81" t="s">
        <v>754</v>
      </c>
      <c r="F7578" s="81">
        <v>127.0</v>
      </c>
      <c r="G7578" s="81" t="s">
        <v>39</v>
      </c>
      <c r="H7578" s="81" t="s">
        <v>224</v>
      </c>
      <c r="I7578" s="81" t="s">
        <v>224</v>
      </c>
      <c r="J7578" s="81" t="s">
        <v>5311</v>
      </c>
    </row>
    <row r="7579">
      <c r="A7579" s="83" t="s">
        <v>6645</v>
      </c>
      <c r="B7579" s="83" t="s">
        <v>6646</v>
      </c>
      <c r="C7579" s="81" t="s">
        <v>4082</v>
      </c>
      <c r="D7579" s="83" t="s">
        <v>4208</v>
      </c>
      <c r="E7579" s="81" t="s">
        <v>786</v>
      </c>
      <c r="F7579" s="81">
        <v>134.0</v>
      </c>
      <c r="G7579" s="81" t="s">
        <v>39</v>
      </c>
      <c r="H7579" s="81" t="s">
        <v>224</v>
      </c>
      <c r="I7579" s="81" t="s">
        <v>224</v>
      </c>
      <c r="J7579" s="81" t="s">
        <v>5322</v>
      </c>
    </row>
    <row r="7580">
      <c r="A7580" s="83" t="s">
        <v>6645</v>
      </c>
      <c r="B7580" s="83" t="s">
        <v>6646</v>
      </c>
      <c r="C7580" s="81" t="s">
        <v>4082</v>
      </c>
      <c r="D7580" s="83" t="s">
        <v>4211</v>
      </c>
      <c r="E7580" s="81" t="s">
        <v>798</v>
      </c>
      <c r="F7580" s="81">
        <v>137.0</v>
      </c>
      <c r="G7580" s="81" t="s">
        <v>39</v>
      </c>
      <c r="H7580" s="81" t="s">
        <v>224</v>
      </c>
      <c r="I7580" s="81" t="s">
        <v>224</v>
      </c>
      <c r="J7580" s="81" t="s">
        <v>5327</v>
      </c>
    </row>
    <row r="7581">
      <c r="A7581" s="83" t="s">
        <v>6645</v>
      </c>
      <c r="B7581" s="83" t="s">
        <v>6646</v>
      </c>
      <c r="C7581" s="81" t="s">
        <v>4082</v>
      </c>
      <c r="D7581" s="83" t="s">
        <v>4212</v>
      </c>
      <c r="E7581" s="81" t="s">
        <v>804</v>
      </c>
      <c r="F7581" s="81">
        <v>138.0</v>
      </c>
      <c r="G7581" s="81" t="s">
        <v>39</v>
      </c>
      <c r="H7581" s="81" t="s">
        <v>224</v>
      </c>
      <c r="I7581" s="81" t="s">
        <v>224</v>
      </c>
      <c r="J7581" s="81" t="s">
        <v>5330</v>
      </c>
    </row>
    <row r="7582">
      <c r="A7582" s="83" t="s">
        <v>6645</v>
      </c>
      <c r="B7582" s="83" t="s">
        <v>6646</v>
      </c>
      <c r="C7582" s="81" t="s">
        <v>4082</v>
      </c>
      <c r="D7582" s="83" t="s">
        <v>4238</v>
      </c>
      <c r="E7582" s="81" t="s">
        <v>918</v>
      </c>
      <c r="F7582" s="81">
        <v>163.0</v>
      </c>
      <c r="G7582" s="81" t="s">
        <v>41</v>
      </c>
      <c r="H7582" s="81" t="s">
        <v>924</v>
      </c>
      <c r="I7582" s="81" t="s">
        <v>224</v>
      </c>
      <c r="J7582" s="81" t="s">
        <v>6344</v>
      </c>
    </row>
    <row r="7583">
      <c r="A7583" s="83" t="s">
        <v>6645</v>
      </c>
      <c r="B7583" s="83" t="s">
        <v>6646</v>
      </c>
      <c r="C7583" s="81" t="s">
        <v>4082</v>
      </c>
      <c r="D7583" s="83" t="s">
        <v>4267</v>
      </c>
      <c r="E7583" s="81" t="s">
        <v>1050</v>
      </c>
      <c r="F7583" s="81">
        <v>199.0</v>
      </c>
      <c r="G7583" s="81" t="s">
        <v>41</v>
      </c>
      <c r="H7583" s="81" t="s">
        <v>1051</v>
      </c>
      <c r="I7583" s="81" t="s">
        <v>224</v>
      </c>
      <c r="J7583" s="81" t="s">
        <v>6345</v>
      </c>
    </row>
    <row r="7584">
      <c r="A7584" s="83" t="s">
        <v>6645</v>
      </c>
      <c r="B7584" s="83" t="s">
        <v>6646</v>
      </c>
      <c r="C7584" s="81" t="s">
        <v>4082</v>
      </c>
      <c r="D7584" s="83" t="s">
        <v>4304</v>
      </c>
      <c r="E7584" s="81" t="s">
        <v>1232</v>
      </c>
      <c r="F7584" s="81">
        <v>244.0</v>
      </c>
      <c r="G7584" s="81" t="s">
        <v>41</v>
      </c>
      <c r="H7584" s="81" t="s">
        <v>1233</v>
      </c>
      <c r="I7584" s="81" t="s">
        <v>224</v>
      </c>
      <c r="J7584" s="81" t="s">
        <v>6346</v>
      </c>
    </row>
    <row r="7585">
      <c r="A7585" s="83" t="s">
        <v>6645</v>
      </c>
      <c r="B7585" s="83" t="s">
        <v>6646</v>
      </c>
      <c r="C7585" s="81" t="s">
        <v>4082</v>
      </c>
      <c r="D7585" s="83" t="s">
        <v>4306</v>
      </c>
      <c r="E7585" s="81" t="s">
        <v>1237</v>
      </c>
      <c r="F7585" s="81">
        <v>246.0</v>
      </c>
      <c r="G7585" s="81" t="s">
        <v>41</v>
      </c>
      <c r="H7585" s="81" t="s">
        <v>1237</v>
      </c>
      <c r="I7585" s="81" t="s">
        <v>224</v>
      </c>
      <c r="J7585" s="81" t="s">
        <v>6347</v>
      </c>
    </row>
    <row r="7586">
      <c r="A7586" s="83" t="s">
        <v>6645</v>
      </c>
      <c r="B7586" s="83" t="s">
        <v>6646</v>
      </c>
      <c r="C7586" s="81" t="s">
        <v>4082</v>
      </c>
      <c r="D7586" s="83" t="s">
        <v>4316</v>
      </c>
      <c r="E7586" s="81" t="s">
        <v>1313</v>
      </c>
      <c r="F7586" s="81">
        <v>256.0</v>
      </c>
      <c r="G7586" s="81" t="s">
        <v>39</v>
      </c>
      <c r="H7586" s="81" t="s">
        <v>224</v>
      </c>
      <c r="I7586" s="81" t="s">
        <v>224</v>
      </c>
      <c r="J7586" s="81" t="s">
        <v>5515</v>
      </c>
    </row>
    <row r="7587">
      <c r="A7587" s="83" t="s">
        <v>6645</v>
      </c>
      <c r="B7587" s="83" t="s">
        <v>6646</v>
      </c>
      <c r="C7587" s="81" t="s">
        <v>4082</v>
      </c>
      <c r="D7587" s="83" t="s">
        <v>4351</v>
      </c>
      <c r="E7587" s="81" t="s">
        <v>1470</v>
      </c>
      <c r="F7587" s="81">
        <v>283.0</v>
      </c>
      <c r="G7587" s="81" t="s">
        <v>41</v>
      </c>
      <c r="H7587" s="81" t="s">
        <v>55</v>
      </c>
      <c r="I7587" s="81" t="s">
        <v>224</v>
      </c>
      <c r="J7587" s="81" t="s">
        <v>6426</v>
      </c>
    </row>
    <row r="7588">
      <c r="A7588" s="83" t="s">
        <v>6645</v>
      </c>
      <c r="B7588" s="83" t="s">
        <v>6646</v>
      </c>
      <c r="C7588" s="81" t="s">
        <v>4082</v>
      </c>
      <c r="D7588" s="83" t="s">
        <v>4351</v>
      </c>
      <c r="E7588" s="81" t="s">
        <v>1474</v>
      </c>
      <c r="F7588" s="81">
        <v>284.0</v>
      </c>
      <c r="G7588" s="81" t="s">
        <v>41</v>
      </c>
      <c r="H7588" s="81" t="s">
        <v>1476</v>
      </c>
      <c r="I7588" s="81" t="s">
        <v>224</v>
      </c>
      <c r="J7588" s="81" t="s">
        <v>6348</v>
      </c>
    </row>
    <row r="7589">
      <c r="A7589" s="83" t="s">
        <v>6645</v>
      </c>
      <c r="B7589" s="83" t="s">
        <v>6646</v>
      </c>
      <c r="C7589" s="81" t="s">
        <v>4082</v>
      </c>
      <c r="D7589" s="83" t="s">
        <v>4363</v>
      </c>
      <c r="E7589" s="81" t="s">
        <v>1548</v>
      </c>
      <c r="F7589" s="81">
        <v>299.0</v>
      </c>
      <c r="G7589" s="81" t="s">
        <v>41</v>
      </c>
      <c r="H7589" s="81" t="s">
        <v>1550</v>
      </c>
      <c r="I7589" s="81" t="s">
        <v>224</v>
      </c>
      <c r="J7589" s="81" t="s">
        <v>6349</v>
      </c>
    </row>
    <row r="7590">
      <c r="A7590" s="83" t="s">
        <v>6645</v>
      </c>
      <c r="B7590" s="83" t="s">
        <v>6646</v>
      </c>
      <c r="C7590" s="81" t="s">
        <v>4082</v>
      </c>
      <c r="D7590" s="83" t="s">
        <v>4380</v>
      </c>
      <c r="E7590" s="81" t="s">
        <v>1617</v>
      </c>
      <c r="F7590" s="81">
        <v>319.0</v>
      </c>
      <c r="G7590" s="81" t="s">
        <v>39</v>
      </c>
      <c r="H7590" s="81" t="s">
        <v>224</v>
      </c>
      <c r="I7590" s="81" t="s">
        <v>224</v>
      </c>
      <c r="J7590" s="81" t="s">
        <v>5616</v>
      </c>
    </row>
    <row r="7591">
      <c r="A7591" s="83" t="s">
        <v>6645</v>
      </c>
      <c r="B7591" s="83" t="s">
        <v>6646</v>
      </c>
      <c r="C7591" s="81" t="s">
        <v>4082</v>
      </c>
      <c r="D7591" s="83" t="s">
        <v>4389</v>
      </c>
      <c r="E7591" s="81" t="s">
        <v>1678</v>
      </c>
      <c r="F7591" s="81">
        <v>332.0</v>
      </c>
      <c r="G7591" s="81" t="s">
        <v>41</v>
      </c>
      <c r="H7591" s="81" t="s">
        <v>1670</v>
      </c>
      <c r="I7591" s="81" t="s">
        <v>224</v>
      </c>
      <c r="J7591" s="81" t="s">
        <v>6350</v>
      </c>
    </row>
    <row r="7592">
      <c r="A7592" s="83" t="s">
        <v>6645</v>
      </c>
      <c r="B7592" s="83" t="s">
        <v>6646</v>
      </c>
      <c r="C7592" s="81" t="s">
        <v>4082</v>
      </c>
      <c r="D7592" s="83" t="s">
        <v>4391</v>
      </c>
      <c r="E7592" s="81" t="s">
        <v>1682</v>
      </c>
      <c r="F7592" s="81">
        <v>334.0</v>
      </c>
      <c r="G7592" s="81" t="s">
        <v>41</v>
      </c>
      <c r="H7592" s="81" t="s">
        <v>1687</v>
      </c>
      <c r="I7592" s="81" t="s">
        <v>224</v>
      </c>
      <c r="J7592" s="81" t="s">
        <v>6351</v>
      </c>
    </row>
    <row r="7593">
      <c r="A7593" s="83" t="s">
        <v>6645</v>
      </c>
      <c r="B7593" s="83" t="s">
        <v>6646</v>
      </c>
      <c r="C7593" s="81" t="s">
        <v>4082</v>
      </c>
      <c r="D7593" s="83" t="s">
        <v>4393</v>
      </c>
      <c r="E7593" s="81" t="s">
        <v>1690</v>
      </c>
      <c r="F7593" s="81">
        <v>335.0</v>
      </c>
      <c r="G7593" s="81" t="s">
        <v>41</v>
      </c>
      <c r="H7593" s="81" t="s">
        <v>1694</v>
      </c>
      <c r="I7593" s="81" t="s">
        <v>224</v>
      </c>
      <c r="J7593" s="81" t="s">
        <v>6352</v>
      </c>
    </row>
    <row r="7594">
      <c r="A7594" s="83" t="s">
        <v>6645</v>
      </c>
      <c r="B7594" s="83" t="s">
        <v>6646</v>
      </c>
      <c r="C7594" s="81" t="s">
        <v>4082</v>
      </c>
      <c r="D7594" s="83" t="s">
        <v>4406</v>
      </c>
      <c r="E7594" s="81" t="s">
        <v>1760</v>
      </c>
      <c r="F7594" s="81">
        <v>350.0</v>
      </c>
      <c r="G7594" s="81" t="s">
        <v>41</v>
      </c>
      <c r="H7594" s="81" t="s">
        <v>1761</v>
      </c>
      <c r="I7594" s="81" t="s">
        <v>224</v>
      </c>
      <c r="J7594" s="81" t="s">
        <v>6353</v>
      </c>
    </row>
    <row r="7595">
      <c r="A7595" s="83" t="s">
        <v>6645</v>
      </c>
      <c r="B7595" s="83" t="s">
        <v>6646</v>
      </c>
      <c r="C7595" s="81" t="s">
        <v>4082</v>
      </c>
      <c r="D7595" s="83" t="s">
        <v>4429</v>
      </c>
      <c r="E7595" s="81" t="s">
        <v>1900</v>
      </c>
      <c r="F7595" s="81">
        <v>375.0</v>
      </c>
      <c r="G7595" s="81" t="s">
        <v>39</v>
      </c>
      <c r="H7595" s="81" t="s">
        <v>224</v>
      </c>
      <c r="I7595" s="81" t="s">
        <v>224</v>
      </c>
      <c r="J7595" s="81" t="s">
        <v>5711</v>
      </c>
    </row>
    <row r="7596">
      <c r="A7596" s="83" t="s">
        <v>6645</v>
      </c>
      <c r="B7596" s="83" t="s">
        <v>6646</v>
      </c>
      <c r="C7596" s="81" t="s">
        <v>4082</v>
      </c>
      <c r="D7596" s="83" t="s">
        <v>4475</v>
      </c>
      <c r="E7596" s="81" t="s">
        <v>2225</v>
      </c>
      <c r="F7596" s="81">
        <v>426.0</v>
      </c>
      <c r="G7596" s="81" t="s">
        <v>41</v>
      </c>
      <c r="H7596" s="81" t="s">
        <v>2226</v>
      </c>
      <c r="I7596" s="81" t="s">
        <v>224</v>
      </c>
      <c r="J7596" s="81" t="s">
        <v>6354</v>
      </c>
    </row>
    <row r="7597">
      <c r="A7597" s="83" t="s">
        <v>6645</v>
      </c>
      <c r="B7597" s="83" t="s">
        <v>6646</v>
      </c>
      <c r="C7597" s="81" t="s">
        <v>4082</v>
      </c>
      <c r="D7597" s="83" t="s">
        <v>4490</v>
      </c>
      <c r="E7597" s="81" t="s">
        <v>2295</v>
      </c>
      <c r="F7597" s="81">
        <v>440.0</v>
      </c>
      <c r="G7597" s="81" t="s">
        <v>41</v>
      </c>
      <c r="H7597" s="81" t="s">
        <v>2296</v>
      </c>
      <c r="I7597" s="81" t="s">
        <v>224</v>
      </c>
      <c r="J7597" s="81" t="s">
        <v>6355</v>
      </c>
    </row>
    <row r="7598">
      <c r="A7598" s="83" t="s">
        <v>6645</v>
      </c>
      <c r="B7598" s="83" t="s">
        <v>6646</v>
      </c>
      <c r="C7598" s="81" t="s">
        <v>4082</v>
      </c>
      <c r="D7598" s="83" t="s">
        <v>4558</v>
      </c>
      <c r="E7598" s="81" t="s">
        <v>2619</v>
      </c>
      <c r="F7598" s="81">
        <v>504.0</v>
      </c>
      <c r="G7598" s="81" t="s">
        <v>41</v>
      </c>
      <c r="H7598" s="81" t="s">
        <v>2629</v>
      </c>
      <c r="I7598" s="81" t="s">
        <v>224</v>
      </c>
      <c r="J7598" s="81" t="s">
        <v>6356</v>
      </c>
    </row>
    <row r="7599">
      <c r="A7599" s="83" t="s">
        <v>6645</v>
      </c>
      <c r="B7599" s="83" t="s">
        <v>6646</v>
      </c>
      <c r="C7599" s="81" t="s">
        <v>4082</v>
      </c>
      <c r="D7599" s="83" t="s">
        <v>4608</v>
      </c>
      <c r="E7599" s="81" t="s">
        <v>2906</v>
      </c>
      <c r="F7599" s="81">
        <v>560.0</v>
      </c>
      <c r="G7599" s="81" t="s">
        <v>41</v>
      </c>
      <c r="H7599" s="81" t="s">
        <v>2907</v>
      </c>
      <c r="I7599" s="81" t="s">
        <v>224</v>
      </c>
      <c r="J7599" s="81" t="s">
        <v>6357</v>
      </c>
    </row>
    <row r="7600">
      <c r="A7600" s="83" t="s">
        <v>6645</v>
      </c>
      <c r="B7600" s="83" t="s">
        <v>6646</v>
      </c>
      <c r="C7600" s="81" t="s">
        <v>4082</v>
      </c>
      <c r="D7600" s="83" t="s">
        <v>4682</v>
      </c>
      <c r="E7600" s="81" t="s">
        <v>3226</v>
      </c>
      <c r="F7600" s="81">
        <v>613.0</v>
      </c>
      <c r="G7600" s="81" t="s">
        <v>39</v>
      </c>
      <c r="H7600" s="81" t="s">
        <v>224</v>
      </c>
      <c r="I7600" s="81" t="s">
        <v>224</v>
      </c>
      <c r="J7600" s="81" t="s">
        <v>6052</v>
      </c>
    </row>
    <row r="7601">
      <c r="A7601" s="83" t="s">
        <v>6645</v>
      </c>
      <c r="B7601" s="83" t="s">
        <v>6646</v>
      </c>
      <c r="C7601" s="81" t="s">
        <v>4082</v>
      </c>
      <c r="D7601" s="83" t="s">
        <v>4707</v>
      </c>
      <c r="E7601" s="81" t="s">
        <v>3362</v>
      </c>
      <c r="F7601" s="81">
        <v>641.0</v>
      </c>
      <c r="G7601" s="81" t="s">
        <v>39</v>
      </c>
      <c r="H7601" s="81" t="s">
        <v>224</v>
      </c>
      <c r="I7601" s="81" t="s">
        <v>224</v>
      </c>
      <c r="J7601" s="81" t="s">
        <v>6096</v>
      </c>
    </row>
    <row r="7602">
      <c r="A7602" s="83" t="s">
        <v>6645</v>
      </c>
      <c r="B7602" s="83" t="s">
        <v>6646</v>
      </c>
      <c r="C7602" s="81" t="s">
        <v>4082</v>
      </c>
      <c r="D7602" s="83" t="s">
        <v>4709</v>
      </c>
      <c r="E7602" s="81" t="s">
        <v>3370</v>
      </c>
      <c r="F7602" s="81">
        <v>643.0</v>
      </c>
      <c r="G7602" s="81" t="s">
        <v>39</v>
      </c>
      <c r="H7602" s="81" t="s">
        <v>224</v>
      </c>
      <c r="I7602" s="81" t="s">
        <v>224</v>
      </c>
      <c r="J7602" s="81" t="s">
        <v>6101</v>
      </c>
    </row>
    <row r="7603">
      <c r="A7603" s="83" t="s">
        <v>6645</v>
      </c>
      <c r="B7603" s="83" t="s">
        <v>6646</v>
      </c>
      <c r="C7603" s="81" t="s">
        <v>4082</v>
      </c>
      <c r="D7603" s="83" t="s">
        <v>4844</v>
      </c>
      <c r="E7603" s="81" t="s">
        <v>3998</v>
      </c>
      <c r="F7603" s="81">
        <v>792.0</v>
      </c>
      <c r="G7603" s="81" t="s">
        <v>39</v>
      </c>
      <c r="H7603" s="81" t="s">
        <v>224</v>
      </c>
      <c r="I7603" s="81" t="s">
        <v>224</v>
      </c>
      <c r="J7603" s="81" t="s">
        <v>6440</v>
      </c>
    </row>
    <row r="7604">
      <c r="A7604" s="83" t="s">
        <v>6645</v>
      </c>
      <c r="B7604" s="83" t="s">
        <v>6646</v>
      </c>
      <c r="C7604" s="81" t="s">
        <v>4082</v>
      </c>
      <c r="D7604" s="83" t="s">
        <v>4845</v>
      </c>
      <c r="E7604" s="81" t="s">
        <v>4002</v>
      </c>
      <c r="F7604" s="81">
        <v>793.0</v>
      </c>
      <c r="G7604" s="81" t="s">
        <v>39</v>
      </c>
      <c r="H7604" s="81" t="s">
        <v>224</v>
      </c>
      <c r="I7604" s="81" t="s">
        <v>224</v>
      </c>
      <c r="J7604" s="81" t="s">
        <v>6441</v>
      </c>
    </row>
    <row r="7605">
      <c r="A7605" s="83" t="s">
        <v>6645</v>
      </c>
      <c r="B7605" s="83" t="s">
        <v>6646</v>
      </c>
      <c r="C7605" s="81" t="s">
        <v>4082</v>
      </c>
      <c r="D7605" s="83" t="s">
        <v>4846</v>
      </c>
      <c r="E7605" s="81" t="s">
        <v>1133</v>
      </c>
      <c r="F7605" s="81">
        <v>794.0</v>
      </c>
      <c r="G7605" s="81" t="s">
        <v>39</v>
      </c>
      <c r="H7605" s="81" t="s">
        <v>224</v>
      </c>
      <c r="I7605" s="81" t="s">
        <v>224</v>
      </c>
      <c r="J7605" s="81" t="s">
        <v>6442</v>
      </c>
    </row>
    <row r="7606">
      <c r="A7606" s="83" t="s">
        <v>6645</v>
      </c>
      <c r="B7606" s="83" t="s">
        <v>6646</v>
      </c>
      <c r="C7606" s="81" t="s">
        <v>4082</v>
      </c>
      <c r="D7606" s="83" t="s">
        <v>4847</v>
      </c>
      <c r="E7606" s="81" t="s">
        <v>4005</v>
      </c>
      <c r="F7606" s="81">
        <v>795.0</v>
      </c>
      <c r="G7606" s="81" t="s">
        <v>39</v>
      </c>
      <c r="H7606" s="81" t="s">
        <v>224</v>
      </c>
      <c r="I7606" s="81" t="s">
        <v>224</v>
      </c>
      <c r="J7606" s="81" t="s">
        <v>6316</v>
      </c>
    </row>
    <row r="7607">
      <c r="A7607" s="83" t="s">
        <v>6645</v>
      </c>
      <c r="B7607" s="83" t="s">
        <v>6646</v>
      </c>
      <c r="C7607" s="81" t="s">
        <v>4082</v>
      </c>
      <c r="D7607" s="83" t="s">
        <v>4848</v>
      </c>
      <c r="E7607" s="81" t="s">
        <v>1142</v>
      </c>
      <c r="F7607" s="81">
        <v>796.0</v>
      </c>
      <c r="G7607" s="81" t="s">
        <v>39</v>
      </c>
      <c r="H7607" s="81" t="s">
        <v>224</v>
      </c>
      <c r="I7607" s="81" t="s">
        <v>224</v>
      </c>
      <c r="J7607" s="81" t="s">
        <v>6443</v>
      </c>
    </row>
    <row r="7608">
      <c r="A7608" s="83" t="s">
        <v>6645</v>
      </c>
      <c r="B7608" s="83" t="s">
        <v>6646</v>
      </c>
      <c r="C7608" s="81" t="s">
        <v>4082</v>
      </c>
      <c r="D7608" s="83" t="s">
        <v>4850</v>
      </c>
      <c r="E7608" s="81" t="s">
        <v>1138</v>
      </c>
      <c r="F7608" s="81">
        <v>797.0</v>
      </c>
      <c r="G7608" s="81" t="s">
        <v>39</v>
      </c>
      <c r="H7608" s="81" t="s">
        <v>224</v>
      </c>
      <c r="I7608" s="81" t="s">
        <v>224</v>
      </c>
      <c r="J7608" s="81" t="s">
        <v>6444</v>
      </c>
    </row>
    <row r="7609">
      <c r="A7609" s="83" t="s">
        <v>6645</v>
      </c>
      <c r="B7609" s="83" t="s">
        <v>6646</v>
      </c>
      <c r="C7609" s="81" t="s">
        <v>4082</v>
      </c>
      <c r="D7609" s="83" t="s">
        <v>4868</v>
      </c>
      <c r="E7609" s="81" t="s">
        <v>4020</v>
      </c>
      <c r="F7609" s="81">
        <v>805.0</v>
      </c>
      <c r="G7609" s="81" t="s">
        <v>41</v>
      </c>
      <c r="H7609" s="81" t="s">
        <v>4027</v>
      </c>
      <c r="I7609" s="81" t="s">
        <v>224</v>
      </c>
      <c r="J7609" s="81" t="s">
        <v>6446</v>
      </c>
    </row>
    <row r="7610">
      <c r="A7610" s="83" t="s">
        <v>6645</v>
      </c>
      <c r="B7610" s="83" t="s">
        <v>6646</v>
      </c>
      <c r="C7610" s="81" t="s">
        <v>4082</v>
      </c>
      <c r="D7610" s="83" t="s">
        <v>4870</v>
      </c>
      <c r="E7610" s="81" t="s">
        <v>4037</v>
      </c>
      <c r="F7610" s="81">
        <v>808.0</v>
      </c>
      <c r="G7610" s="81" t="s">
        <v>41</v>
      </c>
      <c r="H7610" s="81" t="s">
        <v>4045</v>
      </c>
      <c r="I7610" s="81" t="s">
        <v>224</v>
      </c>
      <c r="J7610" s="81" t="s">
        <v>6449</v>
      </c>
    </row>
    <row r="7611">
      <c r="A7611" s="83" t="s">
        <v>6645</v>
      </c>
      <c r="B7611" s="83" t="s">
        <v>6646</v>
      </c>
      <c r="C7611" s="81" t="s">
        <v>4082</v>
      </c>
      <c r="D7611" s="83" t="s">
        <v>4871</v>
      </c>
      <c r="E7611" s="81" t="s">
        <v>4049</v>
      </c>
      <c r="F7611" s="81">
        <v>809.0</v>
      </c>
      <c r="G7611" s="81" t="s">
        <v>41</v>
      </c>
      <c r="H7611" s="81" t="s">
        <v>4054</v>
      </c>
      <c r="I7611" s="81" t="s">
        <v>224</v>
      </c>
      <c r="J7611" s="81" t="s">
        <v>6450</v>
      </c>
    </row>
    <row r="7612">
      <c r="A7612" s="83" t="s">
        <v>6645</v>
      </c>
      <c r="B7612" s="83" t="s">
        <v>6646</v>
      </c>
      <c r="C7612" s="81" t="s">
        <v>4084</v>
      </c>
      <c r="D7612" s="81" t="s">
        <v>224</v>
      </c>
      <c r="E7612" s="81" t="s">
        <v>224</v>
      </c>
      <c r="F7612" s="81" t="s">
        <v>224</v>
      </c>
      <c r="G7612" s="81" t="s">
        <v>40</v>
      </c>
      <c r="H7612" s="81" t="s">
        <v>224</v>
      </c>
      <c r="I7612" s="81" t="s">
        <v>224</v>
      </c>
      <c r="J7612" s="81" t="s">
        <v>6452</v>
      </c>
    </row>
    <row r="7613">
      <c r="A7613" s="83" t="s">
        <v>6645</v>
      </c>
      <c r="B7613" s="83" t="s">
        <v>6646</v>
      </c>
      <c r="C7613" s="81" t="s">
        <v>4084</v>
      </c>
      <c r="D7613" s="81" t="s">
        <v>224</v>
      </c>
      <c r="E7613" s="81" t="s">
        <v>224</v>
      </c>
      <c r="F7613" s="81" t="s">
        <v>224</v>
      </c>
      <c r="G7613" s="81" t="s">
        <v>41</v>
      </c>
      <c r="H7613" s="81" t="s">
        <v>224</v>
      </c>
      <c r="I7613" s="81" t="s">
        <v>224</v>
      </c>
      <c r="J7613" s="81" t="s">
        <v>6453</v>
      </c>
    </row>
    <row r="7614">
      <c r="A7614" s="83" t="s">
        <v>6649</v>
      </c>
      <c r="B7614" s="83" t="s">
        <v>6650</v>
      </c>
      <c r="C7614" s="81" t="s">
        <v>4080</v>
      </c>
      <c r="D7614" s="81" t="s">
        <v>224</v>
      </c>
      <c r="E7614" s="81" t="s">
        <v>224</v>
      </c>
      <c r="F7614" s="81" t="s">
        <v>224</v>
      </c>
      <c r="G7614" s="81" t="s">
        <v>224</v>
      </c>
      <c r="H7614" s="81" t="s">
        <v>224</v>
      </c>
      <c r="I7614" s="81" t="s">
        <v>224</v>
      </c>
      <c r="J7614" s="81" t="s">
        <v>6651</v>
      </c>
    </row>
    <row r="7615">
      <c r="A7615" s="83" t="s">
        <v>6649</v>
      </c>
      <c r="B7615" s="83" t="s">
        <v>6650</v>
      </c>
      <c r="C7615" s="81" t="s">
        <v>4082</v>
      </c>
      <c r="D7615" s="81" t="s">
        <v>224</v>
      </c>
      <c r="E7615" s="81" t="s">
        <v>6652</v>
      </c>
      <c r="F7615" s="81" t="s">
        <v>224</v>
      </c>
      <c r="G7615" s="81" t="s">
        <v>42</v>
      </c>
      <c r="H7615" s="81" t="s">
        <v>224</v>
      </c>
      <c r="I7615" s="81" t="s">
        <v>224</v>
      </c>
      <c r="J7615" s="81" t="s">
        <v>6653</v>
      </c>
    </row>
    <row r="7616">
      <c r="A7616" s="83" t="s">
        <v>6649</v>
      </c>
      <c r="B7616" s="83" t="s">
        <v>6650</v>
      </c>
      <c r="C7616" s="81" t="s">
        <v>4082</v>
      </c>
      <c r="D7616" s="81" t="s">
        <v>224</v>
      </c>
      <c r="E7616" s="81" t="s">
        <v>6654</v>
      </c>
      <c r="F7616" s="81" t="s">
        <v>224</v>
      </c>
      <c r="G7616" s="81" t="s">
        <v>42</v>
      </c>
      <c r="H7616" s="81" t="s">
        <v>224</v>
      </c>
      <c r="I7616" s="81" t="s">
        <v>224</v>
      </c>
      <c r="J7616" s="81" t="s">
        <v>6653</v>
      </c>
    </row>
    <row r="7617">
      <c r="A7617" s="83" t="s">
        <v>6649</v>
      </c>
      <c r="B7617" s="83" t="s">
        <v>6650</v>
      </c>
      <c r="C7617" s="81" t="s">
        <v>4082</v>
      </c>
      <c r="D7617" s="81" t="s">
        <v>224</v>
      </c>
      <c r="E7617" s="81" t="s">
        <v>6655</v>
      </c>
      <c r="F7617" s="81" t="s">
        <v>224</v>
      </c>
      <c r="G7617" s="81" t="s">
        <v>42</v>
      </c>
      <c r="H7617" s="81" t="s">
        <v>224</v>
      </c>
      <c r="I7617" s="81" t="s">
        <v>224</v>
      </c>
      <c r="J7617" s="81" t="s">
        <v>6653</v>
      </c>
    </row>
    <row r="7618">
      <c r="A7618" s="83" t="s">
        <v>6649</v>
      </c>
      <c r="B7618" s="83" t="s">
        <v>6650</v>
      </c>
      <c r="C7618" s="81" t="s">
        <v>4082</v>
      </c>
      <c r="D7618" s="81" t="s">
        <v>224</v>
      </c>
      <c r="E7618" s="81" t="s">
        <v>6656</v>
      </c>
      <c r="F7618" s="81" t="s">
        <v>224</v>
      </c>
      <c r="G7618" s="81" t="s">
        <v>42</v>
      </c>
      <c r="H7618" s="81" t="s">
        <v>224</v>
      </c>
      <c r="I7618" s="81" t="s">
        <v>224</v>
      </c>
      <c r="J7618" s="81" t="s">
        <v>6653</v>
      </c>
    </row>
    <row r="7619">
      <c r="A7619" s="83" t="s">
        <v>6649</v>
      </c>
      <c r="B7619" s="83" t="s">
        <v>6650</v>
      </c>
      <c r="C7619" s="81" t="s">
        <v>4082</v>
      </c>
      <c r="D7619" s="81" t="s">
        <v>224</v>
      </c>
      <c r="E7619" s="81" t="s">
        <v>6657</v>
      </c>
      <c r="F7619" s="81" t="s">
        <v>224</v>
      </c>
      <c r="G7619" s="81" t="s">
        <v>42</v>
      </c>
      <c r="H7619" s="81" t="s">
        <v>224</v>
      </c>
      <c r="I7619" s="81" t="s">
        <v>224</v>
      </c>
      <c r="J7619" s="81" t="s">
        <v>6653</v>
      </c>
    </row>
    <row r="7620">
      <c r="A7620" s="83" t="s">
        <v>6649</v>
      </c>
      <c r="B7620" s="83" t="s">
        <v>6650</v>
      </c>
      <c r="C7620" s="81" t="s">
        <v>4082</v>
      </c>
      <c r="D7620" s="81" t="s">
        <v>224</v>
      </c>
      <c r="E7620" s="81" t="s">
        <v>6658</v>
      </c>
      <c r="F7620" s="81" t="s">
        <v>224</v>
      </c>
      <c r="G7620" s="81" t="s">
        <v>42</v>
      </c>
      <c r="H7620" s="81" t="s">
        <v>224</v>
      </c>
      <c r="I7620" s="81" t="s">
        <v>224</v>
      </c>
      <c r="J7620" s="81" t="s">
        <v>6653</v>
      </c>
    </row>
    <row r="7621">
      <c r="A7621" s="83" t="s">
        <v>6649</v>
      </c>
      <c r="B7621" s="83" t="s">
        <v>6650</v>
      </c>
      <c r="C7621" s="81" t="s">
        <v>4082</v>
      </c>
      <c r="D7621" s="81" t="s">
        <v>224</v>
      </c>
      <c r="E7621" s="81" t="s">
        <v>6659</v>
      </c>
      <c r="F7621" s="81" t="s">
        <v>224</v>
      </c>
      <c r="G7621" s="81" t="s">
        <v>42</v>
      </c>
      <c r="H7621" s="81" t="s">
        <v>224</v>
      </c>
      <c r="I7621" s="81" t="s">
        <v>224</v>
      </c>
      <c r="J7621" s="81" t="s">
        <v>6653</v>
      </c>
    </row>
    <row r="7622">
      <c r="A7622" s="83" t="s">
        <v>6649</v>
      </c>
      <c r="B7622" s="83" t="s">
        <v>6650</v>
      </c>
      <c r="C7622" s="81" t="s">
        <v>4082</v>
      </c>
      <c r="D7622" s="81" t="s">
        <v>224</v>
      </c>
      <c r="E7622" s="81" t="s">
        <v>6660</v>
      </c>
      <c r="F7622" s="81" t="s">
        <v>224</v>
      </c>
      <c r="G7622" s="81" t="s">
        <v>42</v>
      </c>
      <c r="H7622" s="81" t="s">
        <v>224</v>
      </c>
      <c r="I7622" s="81" t="s">
        <v>224</v>
      </c>
      <c r="J7622" s="81" t="s">
        <v>6653</v>
      </c>
    </row>
    <row r="7623">
      <c r="A7623" s="83" t="s">
        <v>6649</v>
      </c>
      <c r="B7623" s="83" t="s">
        <v>6650</v>
      </c>
      <c r="C7623" s="81" t="s">
        <v>4082</v>
      </c>
      <c r="D7623" s="81" t="s">
        <v>224</v>
      </c>
      <c r="E7623" s="81" t="s">
        <v>6661</v>
      </c>
      <c r="F7623" s="81" t="s">
        <v>224</v>
      </c>
      <c r="G7623" s="81" t="s">
        <v>42</v>
      </c>
      <c r="H7623" s="81" t="s">
        <v>224</v>
      </c>
      <c r="I7623" s="81" t="s">
        <v>224</v>
      </c>
      <c r="J7623" s="81" t="s">
        <v>6653</v>
      </c>
    </row>
    <row r="7624">
      <c r="A7624" s="83" t="s">
        <v>6649</v>
      </c>
      <c r="B7624" s="83" t="s">
        <v>6650</v>
      </c>
      <c r="C7624" s="81" t="s">
        <v>4082</v>
      </c>
      <c r="D7624" s="81" t="s">
        <v>224</v>
      </c>
      <c r="E7624" s="81" t="s">
        <v>6662</v>
      </c>
      <c r="F7624" s="81" t="s">
        <v>224</v>
      </c>
      <c r="G7624" s="81" t="s">
        <v>42</v>
      </c>
      <c r="H7624" s="81" t="s">
        <v>224</v>
      </c>
      <c r="I7624" s="81" t="s">
        <v>224</v>
      </c>
      <c r="J7624" s="81" t="s">
        <v>6653</v>
      </c>
    </row>
    <row r="7625">
      <c r="A7625" s="83" t="s">
        <v>6649</v>
      </c>
      <c r="B7625" s="83" t="s">
        <v>6650</v>
      </c>
      <c r="C7625" s="81" t="s">
        <v>4082</v>
      </c>
      <c r="D7625" s="81" t="s">
        <v>224</v>
      </c>
      <c r="E7625" s="81" t="s">
        <v>6663</v>
      </c>
      <c r="F7625" s="81" t="s">
        <v>224</v>
      </c>
      <c r="G7625" s="81" t="s">
        <v>42</v>
      </c>
      <c r="H7625" s="81" t="s">
        <v>224</v>
      </c>
      <c r="I7625" s="81" t="s">
        <v>224</v>
      </c>
      <c r="J7625" s="81" t="s">
        <v>6653</v>
      </c>
    </row>
    <row r="7626">
      <c r="A7626" s="83" t="s">
        <v>6649</v>
      </c>
      <c r="B7626" s="83" t="s">
        <v>6650</v>
      </c>
      <c r="C7626" s="81" t="s">
        <v>4082</v>
      </c>
      <c r="D7626" s="81" t="s">
        <v>224</v>
      </c>
      <c r="E7626" s="81" t="s">
        <v>6664</v>
      </c>
      <c r="F7626" s="81" t="s">
        <v>224</v>
      </c>
      <c r="G7626" s="81" t="s">
        <v>42</v>
      </c>
      <c r="H7626" s="81" t="s">
        <v>224</v>
      </c>
      <c r="I7626" s="81" t="s">
        <v>224</v>
      </c>
      <c r="J7626" s="81" t="s">
        <v>6653</v>
      </c>
    </row>
    <row r="7627">
      <c r="A7627" s="83" t="s">
        <v>6649</v>
      </c>
      <c r="B7627" s="83" t="s">
        <v>6650</v>
      </c>
      <c r="C7627" s="81" t="s">
        <v>4082</v>
      </c>
      <c r="D7627" s="81" t="s">
        <v>224</v>
      </c>
      <c r="E7627" s="81" t="s">
        <v>6665</v>
      </c>
      <c r="F7627" s="81" t="s">
        <v>224</v>
      </c>
      <c r="G7627" s="81" t="s">
        <v>42</v>
      </c>
      <c r="H7627" s="81" t="s">
        <v>224</v>
      </c>
      <c r="I7627" s="81" t="s">
        <v>224</v>
      </c>
      <c r="J7627" s="81" t="s">
        <v>6653</v>
      </c>
    </row>
    <row r="7628">
      <c r="A7628" s="83" t="s">
        <v>6649</v>
      </c>
      <c r="B7628" s="83" t="s">
        <v>6650</v>
      </c>
      <c r="C7628" s="81" t="s">
        <v>4082</v>
      </c>
      <c r="D7628" s="81" t="s">
        <v>224</v>
      </c>
      <c r="E7628" s="81" t="s">
        <v>6666</v>
      </c>
      <c r="F7628" s="81" t="s">
        <v>224</v>
      </c>
      <c r="G7628" s="81" t="s">
        <v>42</v>
      </c>
      <c r="H7628" s="81" t="s">
        <v>224</v>
      </c>
      <c r="I7628" s="81" t="s">
        <v>224</v>
      </c>
      <c r="J7628" s="81" t="s">
        <v>6653</v>
      </c>
    </row>
    <row r="7629">
      <c r="A7629" s="83" t="s">
        <v>6649</v>
      </c>
      <c r="B7629" s="83" t="s">
        <v>6650</v>
      </c>
      <c r="C7629" s="81" t="s">
        <v>4082</v>
      </c>
      <c r="D7629" s="81" t="s">
        <v>224</v>
      </c>
      <c r="E7629" s="81" t="s">
        <v>6667</v>
      </c>
      <c r="F7629" s="81" t="s">
        <v>224</v>
      </c>
      <c r="G7629" s="81" t="s">
        <v>42</v>
      </c>
      <c r="H7629" s="81" t="s">
        <v>224</v>
      </c>
      <c r="I7629" s="81" t="s">
        <v>224</v>
      </c>
      <c r="J7629" s="81" t="s">
        <v>6653</v>
      </c>
    </row>
    <row r="7630">
      <c r="A7630" s="83" t="s">
        <v>6649</v>
      </c>
      <c r="B7630" s="83" t="s">
        <v>6650</v>
      </c>
      <c r="C7630" s="81" t="s">
        <v>4082</v>
      </c>
      <c r="D7630" s="81" t="s">
        <v>224</v>
      </c>
      <c r="E7630" s="81" t="s">
        <v>6668</v>
      </c>
      <c r="F7630" s="81" t="s">
        <v>224</v>
      </c>
      <c r="G7630" s="81" t="s">
        <v>42</v>
      </c>
      <c r="H7630" s="81" t="s">
        <v>224</v>
      </c>
      <c r="I7630" s="81" t="s">
        <v>224</v>
      </c>
      <c r="J7630" s="81" t="s">
        <v>6653</v>
      </c>
    </row>
    <row r="7631">
      <c r="A7631" s="83" t="s">
        <v>6649</v>
      </c>
      <c r="B7631" s="83" t="s">
        <v>6650</v>
      </c>
      <c r="C7631" s="81" t="s">
        <v>4082</v>
      </c>
      <c r="D7631" s="81" t="s">
        <v>224</v>
      </c>
      <c r="E7631" s="81" t="s">
        <v>6669</v>
      </c>
      <c r="F7631" s="81" t="s">
        <v>224</v>
      </c>
      <c r="G7631" s="81" t="s">
        <v>42</v>
      </c>
      <c r="H7631" s="81" t="s">
        <v>224</v>
      </c>
      <c r="I7631" s="81" t="s">
        <v>224</v>
      </c>
      <c r="J7631" s="81" t="s">
        <v>6653</v>
      </c>
    </row>
    <row r="7632">
      <c r="A7632" s="83" t="s">
        <v>6649</v>
      </c>
      <c r="B7632" s="83" t="s">
        <v>6650</v>
      </c>
      <c r="C7632" s="81" t="s">
        <v>4082</v>
      </c>
      <c r="D7632" s="81" t="s">
        <v>224</v>
      </c>
      <c r="E7632" s="81" t="s">
        <v>6670</v>
      </c>
      <c r="F7632" s="81" t="s">
        <v>224</v>
      </c>
      <c r="G7632" s="81" t="s">
        <v>42</v>
      </c>
      <c r="H7632" s="81" t="s">
        <v>224</v>
      </c>
      <c r="I7632" s="81" t="s">
        <v>224</v>
      </c>
      <c r="J7632" s="81" t="s">
        <v>6653</v>
      </c>
    </row>
    <row r="7633">
      <c r="A7633" s="83" t="s">
        <v>6649</v>
      </c>
      <c r="B7633" s="83" t="s">
        <v>6650</v>
      </c>
      <c r="C7633" s="81" t="s">
        <v>4082</v>
      </c>
      <c r="D7633" s="81" t="s">
        <v>224</v>
      </c>
      <c r="E7633" s="81" t="s">
        <v>6671</v>
      </c>
      <c r="F7633" s="81" t="s">
        <v>224</v>
      </c>
      <c r="G7633" s="81" t="s">
        <v>42</v>
      </c>
      <c r="H7633" s="81" t="s">
        <v>224</v>
      </c>
      <c r="I7633" s="81" t="s">
        <v>224</v>
      </c>
      <c r="J7633" s="81" t="s">
        <v>6653</v>
      </c>
    </row>
    <row r="7634">
      <c r="A7634" s="83" t="s">
        <v>6649</v>
      </c>
      <c r="B7634" s="83" t="s">
        <v>6650</v>
      </c>
      <c r="C7634" s="81" t="s">
        <v>4082</v>
      </c>
      <c r="D7634" s="81" t="s">
        <v>224</v>
      </c>
      <c r="E7634" s="81" t="s">
        <v>6672</v>
      </c>
      <c r="F7634" s="81" t="s">
        <v>224</v>
      </c>
      <c r="G7634" s="81" t="s">
        <v>42</v>
      </c>
      <c r="H7634" s="81" t="s">
        <v>224</v>
      </c>
      <c r="I7634" s="81" t="s">
        <v>224</v>
      </c>
      <c r="J7634" s="81" t="s">
        <v>6653</v>
      </c>
    </row>
    <row r="7635">
      <c r="A7635" s="83" t="s">
        <v>6649</v>
      </c>
      <c r="B7635" s="83" t="s">
        <v>6650</v>
      </c>
      <c r="C7635" s="81" t="s">
        <v>4082</v>
      </c>
      <c r="D7635" s="81" t="s">
        <v>224</v>
      </c>
      <c r="E7635" s="81" t="s">
        <v>6673</v>
      </c>
      <c r="F7635" s="81" t="s">
        <v>224</v>
      </c>
      <c r="G7635" s="81" t="s">
        <v>42</v>
      </c>
      <c r="H7635" s="81" t="s">
        <v>224</v>
      </c>
      <c r="I7635" s="81" t="s">
        <v>224</v>
      </c>
      <c r="J7635" s="81" t="s">
        <v>6653</v>
      </c>
    </row>
    <row r="7636">
      <c r="A7636" s="83" t="s">
        <v>6649</v>
      </c>
      <c r="B7636" s="83" t="s">
        <v>6650</v>
      </c>
      <c r="C7636" s="81" t="s">
        <v>4082</v>
      </c>
      <c r="D7636" s="81" t="s">
        <v>224</v>
      </c>
      <c r="E7636" s="81" t="s">
        <v>6674</v>
      </c>
      <c r="F7636" s="81" t="s">
        <v>224</v>
      </c>
      <c r="G7636" s="81" t="s">
        <v>42</v>
      </c>
      <c r="H7636" s="81" t="s">
        <v>224</v>
      </c>
      <c r="I7636" s="81" t="s">
        <v>224</v>
      </c>
      <c r="J7636" s="81" t="s">
        <v>6653</v>
      </c>
    </row>
    <row r="7637">
      <c r="A7637" s="83" t="s">
        <v>6649</v>
      </c>
      <c r="B7637" s="83" t="s">
        <v>6650</v>
      </c>
      <c r="C7637" s="81" t="s">
        <v>4082</v>
      </c>
      <c r="D7637" s="81" t="s">
        <v>224</v>
      </c>
      <c r="E7637" s="81" t="s">
        <v>6675</v>
      </c>
      <c r="F7637" s="81" t="s">
        <v>224</v>
      </c>
      <c r="G7637" s="81" t="s">
        <v>42</v>
      </c>
      <c r="H7637" s="81" t="s">
        <v>224</v>
      </c>
      <c r="I7637" s="81" t="s">
        <v>224</v>
      </c>
      <c r="J7637" s="81" t="s">
        <v>6653</v>
      </c>
    </row>
    <row r="7638">
      <c r="A7638" s="83" t="s">
        <v>6649</v>
      </c>
      <c r="B7638" s="83" t="s">
        <v>6650</v>
      </c>
      <c r="C7638" s="81" t="s">
        <v>4082</v>
      </c>
      <c r="D7638" s="81" t="s">
        <v>224</v>
      </c>
      <c r="E7638" s="81" t="s">
        <v>6676</v>
      </c>
      <c r="F7638" s="81" t="s">
        <v>224</v>
      </c>
      <c r="G7638" s="81" t="s">
        <v>42</v>
      </c>
      <c r="H7638" s="81" t="s">
        <v>224</v>
      </c>
      <c r="I7638" s="81" t="s">
        <v>224</v>
      </c>
      <c r="J7638" s="81" t="s">
        <v>6653</v>
      </c>
    </row>
    <row r="7639">
      <c r="A7639" s="83" t="s">
        <v>6649</v>
      </c>
      <c r="B7639" s="83" t="s">
        <v>6650</v>
      </c>
      <c r="C7639" s="81" t="s">
        <v>4082</v>
      </c>
      <c r="D7639" s="81" t="s">
        <v>224</v>
      </c>
      <c r="E7639" s="81" t="s">
        <v>6677</v>
      </c>
      <c r="F7639" s="81" t="s">
        <v>224</v>
      </c>
      <c r="G7639" s="81" t="s">
        <v>42</v>
      </c>
      <c r="H7639" s="81" t="s">
        <v>224</v>
      </c>
      <c r="I7639" s="81" t="s">
        <v>224</v>
      </c>
      <c r="J7639" s="81" t="s">
        <v>6653</v>
      </c>
    </row>
    <row r="7640">
      <c r="A7640" s="83" t="s">
        <v>6649</v>
      </c>
      <c r="B7640" s="83" t="s">
        <v>6650</v>
      </c>
      <c r="C7640" s="81" t="s">
        <v>4082</v>
      </c>
      <c r="D7640" s="81" t="s">
        <v>224</v>
      </c>
      <c r="E7640" s="81" t="s">
        <v>6678</v>
      </c>
      <c r="F7640" s="81" t="s">
        <v>224</v>
      </c>
      <c r="G7640" s="81" t="s">
        <v>42</v>
      </c>
      <c r="H7640" s="81" t="s">
        <v>224</v>
      </c>
      <c r="I7640" s="81" t="s">
        <v>224</v>
      </c>
      <c r="J7640" s="81" t="s">
        <v>6653</v>
      </c>
    </row>
    <row r="7641">
      <c r="A7641" s="83" t="s">
        <v>6649</v>
      </c>
      <c r="B7641" s="83" t="s">
        <v>6650</v>
      </c>
      <c r="C7641" s="81" t="s">
        <v>4082</v>
      </c>
      <c r="D7641" s="81" t="s">
        <v>224</v>
      </c>
      <c r="E7641" s="81" t="s">
        <v>6679</v>
      </c>
      <c r="F7641" s="81" t="s">
        <v>224</v>
      </c>
      <c r="G7641" s="81" t="s">
        <v>42</v>
      </c>
      <c r="H7641" s="81" t="s">
        <v>224</v>
      </c>
      <c r="I7641" s="81" t="s">
        <v>224</v>
      </c>
      <c r="J7641" s="81" t="s">
        <v>6653</v>
      </c>
    </row>
    <row r="7642">
      <c r="A7642" s="83" t="s">
        <v>6649</v>
      </c>
      <c r="B7642" s="83" t="s">
        <v>6650</v>
      </c>
      <c r="C7642" s="81" t="s">
        <v>4082</v>
      </c>
      <c r="D7642" s="81" t="s">
        <v>224</v>
      </c>
      <c r="E7642" s="81" t="s">
        <v>6680</v>
      </c>
      <c r="F7642" s="81" t="s">
        <v>224</v>
      </c>
      <c r="G7642" s="81" t="s">
        <v>42</v>
      </c>
      <c r="H7642" s="81" t="s">
        <v>224</v>
      </c>
      <c r="I7642" s="81" t="s">
        <v>224</v>
      </c>
      <c r="J7642" s="81" t="s">
        <v>6653</v>
      </c>
    </row>
    <row r="7643">
      <c r="A7643" s="83" t="s">
        <v>6649</v>
      </c>
      <c r="B7643" s="83" t="s">
        <v>6650</v>
      </c>
      <c r="C7643" s="81" t="s">
        <v>4082</v>
      </c>
      <c r="D7643" s="81" t="s">
        <v>224</v>
      </c>
      <c r="E7643" s="81" t="s">
        <v>6681</v>
      </c>
      <c r="F7643" s="81" t="s">
        <v>224</v>
      </c>
      <c r="G7643" s="81" t="s">
        <v>42</v>
      </c>
      <c r="H7643" s="81" t="s">
        <v>224</v>
      </c>
      <c r="I7643" s="81" t="s">
        <v>224</v>
      </c>
      <c r="J7643" s="81" t="s">
        <v>6653</v>
      </c>
    </row>
    <row r="7644">
      <c r="A7644" s="83" t="s">
        <v>6649</v>
      </c>
      <c r="B7644" s="83" t="s">
        <v>6650</v>
      </c>
      <c r="C7644" s="81" t="s">
        <v>4082</v>
      </c>
      <c r="D7644" s="81" t="s">
        <v>224</v>
      </c>
      <c r="E7644" s="81" t="s">
        <v>6682</v>
      </c>
      <c r="F7644" s="81" t="s">
        <v>224</v>
      </c>
      <c r="G7644" s="81" t="s">
        <v>42</v>
      </c>
      <c r="H7644" s="81" t="s">
        <v>224</v>
      </c>
      <c r="I7644" s="81" t="s">
        <v>224</v>
      </c>
      <c r="J7644" s="81" t="s">
        <v>6653</v>
      </c>
    </row>
    <row r="7645">
      <c r="A7645" s="83" t="s">
        <v>6649</v>
      </c>
      <c r="B7645" s="83" t="s">
        <v>6650</v>
      </c>
      <c r="C7645" s="81" t="s">
        <v>4082</v>
      </c>
      <c r="D7645" s="81" t="s">
        <v>224</v>
      </c>
      <c r="E7645" s="81" t="s">
        <v>6683</v>
      </c>
      <c r="F7645" s="81" t="s">
        <v>224</v>
      </c>
      <c r="G7645" s="81" t="s">
        <v>42</v>
      </c>
      <c r="H7645" s="81" t="s">
        <v>224</v>
      </c>
      <c r="I7645" s="81" t="s">
        <v>224</v>
      </c>
      <c r="J7645" s="81" t="s">
        <v>6653</v>
      </c>
    </row>
    <row r="7646">
      <c r="A7646" s="83" t="s">
        <v>6649</v>
      </c>
      <c r="B7646" s="83" t="s">
        <v>6650</v>
      </c>
      <c r="C7646" s="81" t="s">
        <v>4082</v>
      </c>
      <c r="D7646" s="81" t="s">
        <v>224</v>
      </c>
      <c r="E7646" s="81" t="s">
        <v>6684</v>
      </c>
      <c r="F7646" s="81" t="s">
        <v>224</v>
      </c>
      <c r="G7646" s="81" t="s">
        <v>42</v>
      </c>
      <c r="H7646" s="81" t="s">
        <v>224</v>
      </c>
      <c r="I7646" s="81" t="s">
        <v>224</v>
      </c>
      <c r="J7646" s="81" t="s">
        <v>6653</v>
      </c>
    </row>
    <row r="7647">
      <c r="A7647" s="83" t="s">
        <v>6649</v>
      </c>
      <c r="B7647" s="83" t="s">
        <v>6650</v>
      </c>
      <c r="C7647" s="81" t="s">
        <v>4082</v>
      </c>
      <c r="D7647" s="81" t="s">
        <v>224</v>
      </c>
      <c r="E7647" s="81" t="s">
        <v>6685</v>
      </c>
      <c r="F7647" s="81" t="s">
        <v>224</v>
      </c>
      <c r="G7647" s="81" t="s">
        <v>42</v>
      </c>
      <c r="H7647" s="81" t="s">
        <v>224</v>
      </c>
      <c r="I7647" s="81" t="s">
        <v>224</v>
      </c>
      <c r="J7647" s="81" t="s">
        <v>6653</v>
      </c>
    </row>
    <row r="7648">
      <c r="A7648" s="83" t="s">
        <v>6649</v>
      </c>
      <c r="B7648" s="83" t="s">
        <v>6650</v>
      </c>
      <c r="C7648" s="81" t="s">
        <v>4082</v>
      </c>
      <c r="D7648" s="81" t="s">
        <v>224</v>
      </c>
      <c r="E7648" s="81" t="s">
        <v>6686</v>
      </c>
      <c r="F7648" s="81" t="s">
        <v>224</v>
      </c>
      <c r="G7648" s="81" t="s">
        <v>42</v>
      </c>
      <c r="H7648" s="81" t="s">
        <v>224</v>
      </c>
      <c r="I7648" s="81" t="s">
        <v>224</v>
      </c>
      <c r="J7648" s="81" t="s">
        <v>6653</v>
      </c>
    </row>
    <row r="7649">
      <c r="A7649" s="83" t="s">
        <v>6649</v>
      </c>
      <c r="B7649" s="83" t="s">
        <v>6650</v>
      </c>
      <c r="C7649" s="81" t="s">
        <v>4082</v>
      </c>
      <c r="D7649" s="81" t="s">
        <v>224</v>
      </c>
      <c r="E7649" s="81" t="s">
        <v>6687</v>
      </c>
      <c r="F7649" s="81" t="s">
        <v>224</v>
      </c>
      <c r="G7649" s="81" t="s">
        <v>42</v>
      </c>
      <c r="H7649" s="81" t="s">
        <v>224</v>
      </c>
      <c r="I7649" s="81" t="s">
        <v>224</v>
      </c>
      <c r="J7649" s="81" t="s">
        <v>6653</v>
      </c>
    </row>
    <row r="7650">
      <c r="A7650" s="83" t="s">
        <v>6649</v>
      </c>
      <c r="B7650" s="83" t="s">
        <v>6650</v>
      </c>
      <c r="C7650" s="81" t="s">
        <v>4082</v>
      </c>
      <c r="D7650" s="81" t="s">
        <v>224</v>
      </c>
      <c r="E7650" s="81" t="s">
        <v>6688</v>
      </c>
      <c r="F7650" s="81" t="s">
        <v>224</v>
      </c>
      <c r="G7650" s="81" t="s">
        <v>42</v>
      </c>
      <c r="H7650" s="81" t="s">
        <v>224</v>
      </c>
      <c r="I7650" s="81" t="s">
        <v>224</v>
      </c>
      <c r="J7650" s="81" t="s">
        <v>6653</v>
      </c>
    </row>
    <row r="7651">
      <c r="A7651" s="83" t="s">
        <v>6649</v>
      </c>
      <c r="B7651" s="83" t="s">
        <v>6650</v>
      </c>
      <c r="C7651" s="81" t="s">
        <v>4082</v>
      </c>
      <c r="D7651" s="81" t="s">
        <v>224</v>
      </c>
      <c r="E7651" s="81" t="s">
        <v>6689</v>
      </c>
      <c r="F7651" s="81" t="s">
        <v>224</v>
      </c>
      <c r="G7651" s="81" t="s">
        <v>42</v>
      </c>
      <c r="H7651" s="81" t="s">
        <v>224</v>
      </c>
      <c r="I7651" s="81" t="s">
        <v>224</v>
      </c>
      <c r="J7651" s="81" t="s">
        <v>6653</v>
      </c>
    </row>
    <row r="7652">
      <c r="A7652" s="83" t="s">
        <v>6649</v>
      </c>
      <c r="B7652" s="83" t="s">
        <v>6650</v>
      </c>
      <c r="C7652" s="81" t="s">
        <v>4082</v>
      </c>
      <c r="D7652" s="81" t="s">
        <v>224</v>
      </c>
      <c r="E7652" s="81" t="s">
        <v>6690</v>
      </c>
      <c r="F7652" s="81" t="s">
        <v>224</v>
      </c>
      <c r="G7652" s="81" t="s">
        <v>42</v>
      </c>
      <c r="H7652" s="81" t="s">
        <v>224</v>
      </c>
      <c r="I7652" s="81" t="s">
        <v>224</v>
      </c>
      <c r="J7652" s="81" t="s">
        <v>6653</v>
      </c>
    </row>
    <row r="7653">
      <c r="A7653" s="83" t="s">
        <v>6649</v>
      </c>
      <c r="B7653" s="83" t="s">
        <v>6650</v>
      </c>
      <c r="C7653" s="81" t="s">
        <v>4082</v>
      </c>
      <c r="D7653" s="81" t="s">
        <v>224</v>
      </c>
      <c r="E7653" s="81" t="s">
        <v>6691</v>
      </c>
      <c r="F7653" s="81" t="s">
        <v>224</v>
      </c>
      <c r="G7653" s="81" t="s">
        <v>42</v>
      </c>
      <c r="H7653" s="81" t="s">
        <v>224</v>
      </c>
      <c r="I7653" s="81" t="s">
        <v>224</v>
      </c>
      <c r="J7653" s="81" t="s">
        <v>6653</v>
      </c>
    </row>
    <row r="7654">
      <c r="A7654" s="83" t="s">
        <v>6649</v>
      </c>
      <c r="B7654" s="83" t="s">
        <v>6650</v>
      </c>
      <c r="C7654" s="81" t="s">
        <v>4082</v>
      </c>
      <c r="D7654" s="81" t="s">
        <v>224</v>
      </c>
      <c r="E7654" s="81" t="s">
        <v>6692</v>
      </c>
      <c r="F7654" s="81" t="s">
        <v>224</v>
      </c>
      <c r="G7654" s="81" t="s">
        <v>42</v>
      </c>
      <c r="H7654" s="81" t="s">
        <v>224</v>
      </c>
      <c r="I7654" s="81" t="s">
        <v>224</v>
      </c>
      <c r="J7654" s="81" t="s">
        <v>6653</v>
      </c>
    </row>
    <row r="7655">
      <c r="A7655" s="83" t="s">
        <v>6649</v>
      </c>
      <c r="B7655" s="83" t="s">
        <v>6650</v>
      </c>
      <c r="C7655" s="81" t="s">
        <v>4082</v>
      </c>
      <c r="D7655" s="81" t="s">
        <v>224</v>
      </c>
      <c r="E7655" s="81" t="s">
        <v>6693</v>
      </c>
      <c r="F7655" s="81" t="s">
        <v>224</v>
      </c>
      <c r="G7655" s="81" t="s">
        <v>42</v>
      </c>
      <c r="H7655" s="81" t="s">
        <v>224</v>
      </c>
      <c r="I7655" s="81" t="s">
        <v>224</v>
      </c>
      <c r="J7655" s="81" t="s">
        <v>6653</v>
      </c>
    </row>
    <row r="7656">
      <c r="A7656" s="83" t="s">
        <v>6649</v>
      </c>
      <c r="B7656" s="83" t="s">
        <v>6650</v>
      </c>
      <c r="C7656" s="81" t="s">
        <v>4082</v>
      </c>
      <c r="D7656" s="81" t="s">
        <v>224</v>
      </c>
      <c r="E7656" s="81" t="s">
        <v>6694</v>
      </c>
      <c r="F7656" s="81" t="s">
        <v>224</v>
      </c>
      <c r="G7656" s="81" t="s">
        <v>42</v>
      </c>
      <c r="H7656" s="81" t="s">
        <v>224</v>
      </c>
      <c r="I7656" s="81" t="s">
        <v>224</v>
      </c>
      <c r="J7656" s="81" t="s">
        <v>6653</v>
      </c>
    </row>
    <row r="7657">
      <c r="A7657" s="83" t="s">
        <v>6649</v>
      </c>
      <c r="B7657" s="83" t="s">
        <v>6650</v>
      </c>
      <c r="C7657" s="81" t="s">
        <v>4082</v>
      </c>
      <c r="D7657" s="81" t="s">
        <v>224</v>
      </c>
      <c r="E7657" s="81" t="s">
        <v>6695</v>
      </c>
      <c r="F7657" s="81" t="s">
        <v>224</v>
      </c>
      <c r="G7657" s="81" t="s">
        <v>42</v>
      </c>
      <c r="H7657" s="81" t="s">
        <v>224</v>
      </c>
      <c r="I7657" s="81" t="s">
        <v>224</v>
      </c>
      <c r="J7657" s="81" t="s">
        <v>6653</v>
      </c>
    </row>
    <row r="7658">
      <c r="A7658" s="83" t="s">
        <v>6649</v>
      </c>
      <c r="B7658" s="83" t="s">
        <v>6650</v>
      </c>
      <c r="C7658" s="81" t="s">
        <v>4082</v>
      </c>
      <c r="D7658" s="81" t="s">
        <v>224</v>
      </c>
      <c r="E7658" s="81" t="s">
        <v>6696</v>
      </c>
      <c r="F7658" s="81" t="s">
        <v>224</v>
      </c>
      <c r="G7658" s="81" t="s">
        <v>42</v>
      </c>
      <c r="H7658" s="81" t="s">
        <v>224</v>
      </c>
      <c r="I7658" s="81" t="s">
        <v>224</v>
      </c>
      <c r="J7658" s="81" t="s">
        <v>6653</v>
      </c>
    </row>
    <row r="7659">
      <c r="A7659" s="83" t="s">
        <v>6649</v>
      </c>
      <c r="B7659" s="83" t="s">
        <v>6650</v>
      </c>
      <c r="C7659" s="81" t="s">
        <v>4082</v>
      </c>
      <c r="D7659" s="81" t="s">
        <v>224</v>
      </c>
      <c r="E7659" s="81" t="s">
        <v>6697</v>
      </c>
      <c r="F7659" s="81" t="s">
        <v>224</v>
      </c>
      <c r="G7659" s="81" t="s">
        <v>42</v>
      </c>
      <c r="H7659" s="81" t="s">
        <v>224</v>
      </c>
      <c r="I7659" s="81" t="s">
        <v>224</v>
      </c>
      <c r="J7659" s="81" t="s">
        <v>6653</v>
      </c>
    </row>
    <row r="7660">
      <c r="A7660" s="83" t="s">
        <v>6649</v>
      </c>
      <c r="B7660" s="83" t="s">
        <v>6650</v>
      </c>
      <c r="C7660" s="81" t="s">
        <v>4082</v>
      </c>
      <c r="D7660" s="81" t="s">
        <v>224</v>
      </c>
      <c r="E7660" s="81" t="s">
        <v>6698</v>
      </c>
      <c r="F7660" s="81" t="s">
        <v>224</v>
      </c>
      <c r="G7660" s="81" t="s">
        <v>42</v>
      </c>
      <c r="H7660" s="81" t="s">
        <v>224</v>
      </c>
      <c r="I7660" s="81" t="s">
        <v>224</v>
      </c>
      <c r="J7660" s="81" t="s">
        <v>6653</v>
      </c>
    </row>
    <row r="7661">
      <c r="A7661" s="83" t="s">
        <v>6649</v>
      </c>
      <c r="B7661" s="83" t="s">
        <v>6650</v>
      </c>
      <c r="C7661" s="81" t="s">
        <v>4082</v>
      </c>
      <c r="D7661" s="81" t="s">
        <v>224</v>
      </c>
      <c r="E7661" s="81" t="s">
        <v>6699</v>
      </c>
      <c r="F7661" s="81" t="s">
        <v>224</v>
      </c>
      <c r="G7661" s="81" t="s">
        <v>42</v>
      </c>
      <c r="H7661" s="81" t="s">
        <v>224</v>
      </c>
      <c r="I7661" s="81" t="s">
        <v>224</v>
      </c>
      <c r="J7661" s="81" t="s">
        <v>6653</v>
      </c>
    </row>
    <row r="7662">
      <c r="A7662" s="83" t="s">
        <v>6649</v>
      </c>
      <c r="B7662" s="83" t="s">
        <v>6650</v>
      </c>
      <c r="C7662" s="81" t="s">
        <v>4082</v>
      </c>
      <c r="D7662" s="81" t="s">
        <v>224</v>
      </c>
      <c r="E7662" s="81" t="s">
        <v>6700</v>
      </c>
      <c r="F7662" s="81" t="s">
        <v>224</v>
      </c>
      <c r="G7662" s="81" t="s">
        <v>42</v>
      </c>
      <c r="H7662" s="81" t="s">
        <v>224</v>
      </c>
      <c r="I7662" s="81" t="s">
        <v>224</v>
      </c>
      <c r="J7662" s="81" t="s">
        <v>6653</v>
      </c>
    </row>
    <row r="7663">
      <c r="A7663" s="83" t="s">
        <v>6649</v>
      </c>
      <c r="B7663" s="83" t="s">
        <v>6650</v>
      </c>
      <c r="C7663" s="81" t="s">
        <v>4082</v>
      </c>
      <c r="D7663" s="81" t="s">
        <v>224</v>
      </c>
      <c r="E7663" s="81" t="s">
        <v>6701</v>
      </c>
      <c r="F7663" s="81" t="s">
        <v>224</v>
      </c>
      <c r="G7663" s="81" t="s">
        <v>42</v>
      </c>
      <c r="H7663" s="81" t="s">
        <v>224</v>
      </c>
      <c r="I7663" s="81" t="s">
        <v>224</v>
      </c>
      <c r="J7663" s="81" t="s">
        <v>6653</v>
      </c>
    </row>
    <row r="7664">
      <c r="A7664" s="83" t="s">
        <v>6649</v>
      </c>
      <c r="B7664" s="83" t="s">
        <v>6650</v>
      </c>
      <c r="C7664" s="81" t="s">
        <v>4082</v>
      </c>
      <c r="D7664" s="81" t="s">
        <v>224</v>
      </c>
      <c r="E7664" s="81" t="s">
        <v>6702</v>
      </c>
      <c r="F7664" s="81" t="s">
        <v>224</v>
      </c>
      <c r="G7664" s="81" t="s">
        <v>42</v>
      </c>
      <c r="H7664" s="81" t="s">
        <v>224</v>
      </c>
      <c r="I7664" s="81" t="s">
        <v>224</v>
      </c>
      <c r="J7664" s="81" t="s">
        <v>6653</v>
      </c>
    </row>
    <row r="7665">
      <c r="A7665" s="83" t="s">
        <v>6649</v>
      </c>
      <c r="B7665" s="83" t="s">
        <v>6650</v>
      </c>
      <c r="C7665" s="81" t="s">
        <v>4082</v>
      </c>
      <c r="D7665" s="81" t="s">
        <v>224</v>
      </c>
      <c r="E7665" s="81" t="s">
        <v>6703</v>
      </c>
      <c r="F7665" s="81" t="s">
        <v>224</v>
      </c>
      <c r="G7665" s="81" t="s">
        <v>42</v>
      </c>
      <c r="H7665" s="81" t="s">
        <v>224</v>
      </c>
      <c r="I7665" s="81" t="s">
        <v>224</v>
      </c>
      <c r="J7665" s="81" t="s">
        <v>6653</v>
      </c>
    </row>
    <row r="7666">
      <c r="A7666" s="83" t="s">
        <v>6649</v>
      </c>
      <c r="B7666" s="83" t="s">
        <v>6650</v>
      </c>
      <c r="C7666" s="81" t="s">
        <v>4082</v>
      </c>
      <c r="D7666" s="81" t="s">
        <v>224</v>
      </c>
      <c r="E7666" s="81" t="s">
        <v>6704</v>
      </c>
      <c r="F7666" s="81" t="s">
        <v>224</v>
      </c>
      <c r="G7666" s="81" t="s">
        <v>42</v>
      </c>
      <c r="H7666" s="81" t="s">
        <v>224</v>
      </c>
      <c r="I7666" s="81" t="s">
        <v>224</v>
      </c>
      <c r="J7666" s="81" t="s">
        <v>6653</v>
      </c>
    </row>
    <row r="7667">
      <c r="A7667" s="83" t="s">
        <v>6649</v>
      </c>
      <c r="B7667" s="83" t="s">
        <v>6650</v>
      </c>
      <c r="C7667" s="81" t="s">
        <v>4082</v>
      </c>
      <c r="D7667" s="81" t="s">
        <v>224</v>
      </c>
      <c r="E7667" s="81" t="s">
        <v>6705</v>
      </c>
      <c r="F7667" s="81" t="s">
        <v>224</v>
      </c>
      <c r="G7667" s="81" t="s">
        <v>42</v>
      </c>
      <c r="H7667" s="81" t="s">
        <v>224</v>
      </c>
      <c r="I7667" s="81" t="s">
        <v>224</v>
      </c>
      <c r="J7667" s="81" t="s">
        <v>6653</v>
      </c>
    </row>
    <row r="7668">
      <c r="A7668" s="83" t="s">
        <v>6649</v>
      </c>
      <c r="B7668" s="83" t="s">
        <v>6650</v>
      </c>
      <c r="C7668" s="81" t="s">
        <v>4082</v>
      </c>
      <c r="D7668" s="81" t="s">
        <v>224</v>
      </c>
      <c r="E7668" s="81" t="s">
        <v>6706</v>
      </c>
      <c r="F7668" s="81" t="s">
        <v>224</v>
      </c>
      <c r="G7668" s="81" t="s">
        <v>42</v>
      </c>
      <c r="H7668" s="81" t="s">
        <v>224</v>
      </c>
      <c r="I7668" s="81" t="s">
        <v>224</v>
      </c>
      <c r="J7668" s="81" t="s">
        <v>6653</v>
      </c>
    </row>
    <row r="7669">
      <c r="A7669" s="83" t="s">
        <v>6649</v>
      </c>
      <c r="B7669" s="83" t="s">
        <v>6650</v>
      </c>
      <c r="C7669" s="81" t="s">
        <v>4082</v>
      </c>
      <c r="D7669" s="81" t="s">
        <v>224</v>
      </c>
      <c r="E7669" s="81" t="s">
        <v>6707</v>
      </c>
      <c r="F7669" s="81" t="s">
        <v>224</v>
      </c>
      <c r="G7669" s="81" t="s">
        <v>42</v>
      </c>
      <c r="H7669" s="81" t="s">
        <v>224</v>
      </c>
      <c r="I7669" s="81" t="s">
        <v>224</v>
      </c>
      <c r="J7669" s="81" t="s">
        <v>6653</v>
      </c>
    </row>
    <row r="7670">
      <c r="A7670" s="83" t="s">
        <v>6649</v>
      </c>
      <c r="B7670" s="83" t="s">
        <v>6650</v>
      </c>
      <c r="C7670" s="81" t="s">
        <v>4082</v>
      </c>
      <c r="D7670" s="81" t="s">
        <v>224</v>
      </c>
      <c r="E7670" s="81" t="s">
        <v>6708</v>
      </c>
      <c r="F7670" s="81" t="s">
        <v>224</v>
      </c>
      <c r="G7670" s="81" t="s">
        <v>42</v>
      </c>
      <c r="H7670" s="81" t="s">
        <v>224</v>
      </c>
      <c r="I7670" s="81" t="s">
        <v>224</v>
      </c>
      <c r="J7670" s="81" t="s">
        <v>6653</v>
      </c>
    </row>
    <row r="7671">
      <c r="A7671" s="83" t="s">
        <v>6649</v>
      </c>
      <c r="B7671" s="83" t="s">
        <v>6650</v>
      </c>
      <c r="C7671" s="81" t="s">
        <v>4082</v>
      </c>
      <c r="D7671" s="81" t="s">
        <v>224</v>
      </c>
      <c r="E7671" s="81" t="s">
        <v>6709</v>
      </c>
      <c r="F7671" s="81" t="s">
        <v>224</v>
      </c>
      <c r="G7671" s="81" t="s">
        <v>42</v>
      </c>
      <c r="H7671" s="81" t="s">
        <v>224</v>
      </c>
      <c r="I7671" s="81" t="s">
        <v>224</v>
      </c>
      <c r="J7671" s="81" t="s">
        <v>6653</v>
      </c>
    </row>
    <row r="7672">
      <c r="A7672" s="83" t="s">
        <v>6649</v>
      </c>
      <c r="B7672" s="83" t="s">
        <v>6650</v>
      </c>
      <c r="C7672" s="81" t="s">
        <v>4082</v>
      </c>
      <c r="D7672" s="81" t="s">
        <v>224</v>
      </c>
      <c r="E7672" s="81" t="s">
        <v>6710</v>
      </c>
      <c r="F7672" s="81" t="s">
        <v>224</v>
      </c>
      <c r="G7672" s="81" t="s">
        <v>42</v>
      </c>
      <c r="H7672" s="81" t="s">
        <v>224</v>
      </c>
      <c r="I7672" s="81" t="s">
        <v>224</v>
      </c>
      <c r="J7672" s="81" t="s">
        <v>6653</v>
      </c>
    </row>
    <row r="7673">
      <c r="A7673" s="83" t="s">
        <v>6649</v>
      </c>
      <c r="B7673" s="83" t="s">
        <v>6650</v>
      </c>
      <c r="C7673" s="81" t="s">
        <v>4082</v>
      </c>
      <c r="D7673" s="81" t="s">
        <v>224</v>
      </c>
      <c r="E7673" s="81" t="s">
        <v>6711</v>
      </c>
      <c r="F7673" s="81" t="s">
        <v>224</v>
      </c>
      <c r="G7673" s="81" t="s">
        <v>42</v>
      </c>
      <c r="H7673" s="81" t="s">
        <v>224</v>
      </c>
      <c r="I7673" s="81" t="s">
        <v>224</v>
      </c>
      <c r="J7673" s="81" t="s">
        <v>6653</v>
      </c>
    </row>
    <row r="7674">
      <c r="A7674" s="83" t="s">
        <v>6649</v>
      </c>
      <c r="B7674" s="83" t="s">
        <v>6650</v>
      </c>
      <c r="C7674" s="81" t="s">
        <v>4082</v>
      </c>
      <c r="D7674" s="81" t="s">
        <v>224</v>
      </c>
      <c r="E7674" s="81" t="s">
        <v>6712</v>
      </c>
      <c r="F7674" s="81" t="s">
        <v>224</v>
      </c>
      <c r="G7674" s="81" t="s">
        <v>42</v>
      </c>
      <c r="H7674" s="81" t="s">
        <v>224</v>
      </c>
      <c r="I7674" s="81" t="s">
        <v>224</v>
      </c>
      <c r="J7674" s="81" t="s">
        <v>6653</v>
      </c>
    </row>
    <row r="7675">
      <c r="A7675" s="83" t="s">
        <v>6649</v>
      </c>
      <c r="B7675" s="83" t="s">
        <v>6650</v>
      </c>
      <c r="C7675" s="81" t="s">
        <v>4082</v>
      </c>
      <c r="D7675" s="81" t="s">
        <v>224</v>
      </c>
      <c r="E7675" s="81" t="s">
        <v>2558</v>
      </c>
      <c r="F7675" s="81" t="s">
        <v>224</v>
      </c>
      <c r="G7675" s="81" t="s">
        <v>42</v>
      </c>
      <c r="H7675" s="81" t="s">
        <v>224</v>
      </c>
      <c r="I7675" s="81" t="s">
        <v>224</v>
      </c>
      <c r="J7675" s="81" t="s">
        <v>6653</v>
      </c>
    </row>
    <row r="7676">
      <c r="A7676" s="83" t="s">
        <v>6649</v>
      </c>
      <c r="B7676" s="83" t="s">
        <v>6650</v>
      </c>
      <c r="C7676" s="81" t="s">
        <v>4082</v>
      </c>
      <c r="D7676" s="81" t="s">
        <v>224</v>
      </c>
      <c r="E7676" s="81" t="s">
        <v>2732</v>
      </c>
      <c r="F7676" s="81" t="s">
        <v>224</v>
      </c>
      <c r="G7676" s="81" t="s">
        <v>42</v>
      </c>
      <c r="H7676" s="81" t="s">
        <v>224</v>
      </c>
      <c r="I7676" s="81" t="s">
        <v>224</v>
      </c>
      <c r="J7676" s="81" t="s">
        <v>6653</v>
      </c>
    </row>
    <row r="7677">
      <c r="A7677" s="83" t="s">
        <v>6649</v>
      </c>
      <c r="B7677" s="83" t="s">
        <v>6650</v>
      </c>
      <c r="C7677" s="81" t="s">
        <v>4082</v>
      </c>
      <c r="D7677" s="81" t="s">
        <v>224</v>
      </c>
      <c r="E7677" s="81" t="s">
        <v>1662</v>
      </c>
      <c r="F7677" s="81" t="s">
        <v>224</v>
      </c>
      <c r="G7677" s="81" t="s">
        <v>42</v>
      </c>
      <c r="H7677" s="81" t="s">
        <v>224</v>
      </c>
      <c r="I7677" s="81" t="s">
        <v>224</v>
      </c>
      <c r="J7677" s="81" t="s">
        <v>6653</v>
      </c>
    </row>
    <row r="7678">
      <c r="A7678" s="83" t="s">
        <v>6649</v>
      </c>
      <c r="B7678" s="83" t="s">
        <v>6650</v>
      </c>
      <c r="C7678" s="81" t="s">
        <v>4082</v>
      </c>
      <c r="D7678" s="81" t="s">
        <v>224</v>
      </c>
      <c r="E7678" s="81" t="s">
        <v>2757</v>
      </c>
      <c r="F7678" s="81" t="s">
        <v>224</v>
      </c>
      <c r="G7678" s="81" t="s">
        <v>42</v>
      </c>
      <c r="H7678" s="81" t="s">
        <v>224</v>
      </c>
      <c r="I7678" s="81" t="s">
        <v>224</v>
      </c>
      <c r="J7678" s="81" t="s">
        <v>6653</v>
      </c>
    </row>
    <row r="7679">
      <c r="A7679" s="83" t="s">
        <v>6649</v>
      </c>
      <c r="B7679" s="83" t="s">
        <v>6650</v>
      </c>
      <c r="C7679" s="81" t="s">
        <v>4082</v>
      </c>
      <c r="D7679" s="81" t="s">
        <v>224</v>
      </c>
      <c r="E7679" s="81" t="s">
        <v>2744</v>
      </c>
      <c r="F7679" s="81" t="s">
        <v>224</v>
      </c>
      <c r="G7679" s="81" t="s">
        <v>42</v>
      </c>
      <c r="H7679" s="81" t="s">
        <v>224</v>
      </c>
      <c r="I7679" s="81" t="s">
        <v>224</v>
      </c>
      <c r="J7679" s="81" t="s">
        <v>6653</v>
      </c>
    </row>
    <row r="7680">
      <c r="A7680" s="83" t="s">
        <v>6649</v>
      </c>
      <c r="B7680" s="83" t="s">
        <v>6650</v>
      </c>
      <c r="C7680" s="81" t="s">
        <v>4082</v>
      </c>
      <c r="D7680" s="81" t="s">
        <v>224</v>
      </c>
      <c r="E7680" s="81" t="s">
        <v>1511</v>
      </c>
      <c r="F7680" s="81" t="s">
        <v>224</v>
      </c>
      <c r="G7680" s="81" t="s">
        <v>42</v>
      </c>
      <c r="H7680" s="81" t="s">
        <v>224</v>
      </c>
      <c r="I7680" s="81" t="s">
        <v>224</v>
      </c>
      <c r="J7680" s="81" t="s">
        <v>6653</v>
      </c>
    </row>
    <row r="7681">
      <c r="A7681" s="83" t="s">
        <v>6649</v>
      </c>
      <c r="B7681" s="83" t="s">
        <v>6650</v>
      </c>
      <c r="C7681" s="81" t="s">
        <v>4082</v>
      </c>
      <c r="D7681" s="81" t="s">
        <v>224</v>
      </c>
      <c r="E7681" s="81" t="s">
        <v>1497</v>
      </c>
      <c r="F7681" s="81" t="s">
        <v>224</v>
      </c>
      <c r="G7681" s="81" t="s">
        <v>42</v>
      </c>
      <c r="H7681" s="81" t="s">
        <v>224</v>
      </c>
      <c r="I7681" s="81" t="s">
        <v>224</v>
      </c>
      <c r="J7681" s="81" t="s">
        <v>6653</v>
      </c>
    </row>
    <row r="7682">
      <c r="A7682" s="83" t="s">
        <v>6649</v>
      </c>
      <c r="B7682" s="83" t="s">
        <v>6650</v>
      </c>
      <c r="C7682" s="81" t="s">
        <v>4082</v>
      </c>
      <c r="D7682" s="81" t="s">
        <v>224</v>
      </c>
      <c r="E7682" s="81" t="s">
        <v>1525</v>
      </c>
      <c r="F7682" s="81" t="s">
        <v>224</v>
      </c>
      <c r="G7682" s="81" t="s">
        <v>42</v>
      </c>
      <c r="H7682" s="81" t="s">
        <v>224</v>
      </c>
      <c r="I7682" s="81" t="s">
        <v>224</v>
      </c>
      <c r="J7682" s="81" t="s">
        <v>6653</v>
      </c>
    </row>
    <row r="7683">
      <c r="A7683" s="83" t="s">
        <v>6649</v>
      </c>
      <c r="B7683" s="83" t="s">
        <v>6650</v>
      </c>
      <c r="C7683" s="81" t="s">
        <v>4082</v>
      </c>
      <c r="D7683" s="81" t="s">
        <v>224</v>
      </c>
      <c r="E7683" s="81" t="s">
        <v>6713</v>
      </c>
      <c r="F7683" s="81" t="s">
        <v>224</v>
      </c>
      <c r="G7683" s="81" t="s">
        <v>42</v>
      </c>
      <c r="H7683" s="81" t="s">
        <v>224</v>
      </c>
      <c r="I7683" s="81" t="s">
        <v>224</v>
      </c>
      <c r="J7683" s="81" t="s">
        <v>6653</v>
      </c>
    </row>
    <row r="7684">
      <c r="A7684" s="83" t="s">
        <v>6649</v>
      </c>
      <c r="B7684" s="83" t="s">
        <v>6650</v>
      </c>
      <c r="C7684" s="81" t="s">
        <v>4082</v>
      </c>
      <c r="D7684" s="81" t="s">
        <v>224</v>
      </c>
      <c r="E7684" s="81" t="s">
        <v>2604</v>
      </c>
      <c r="F7684" s="81" t="s">
        <v>224</v>
      </c>
      <c r="G7684" s="81" t="s">
        <v>42</v>
      </c>
      <c r="H7684" s="81" t="s">
        <v>224</v>
      </c>
      <c r="I7684" s="81" t="s">
        <v>224</v>
      </c>
      <c r="J7684" s="81" t="s">
        <v>6653</v>
      </c>
    </row>
    <row r="7685">
      <c r="A7685" s="83" t="s">
        <v>6649</v>
      </c>
      <c r="B7685" s="83" t="s">
        <v>6650</v>
      </c>
      <c r="C7685" s="81" t="s">
        <v>4082</v>
      </c>
      <c r="D7685" s="81" t="s">
        <v>224</v>
      </c>
      <c r="E7685" s="81" t="s">
        <v>6714</v>
      </c>
      <c r="F7685" s="81" t="s">
        <v>224</v>
      </c>
      <c r="G7685" s="81" t="s">
        <v>42</v>
      </c>
      <c r="H7685" s="81" t="s">
        <v>224</v>
      </c>
      <c r="I7685" s="81" t="s">
        <v>224</v>
      </c>
      <c r="J7685" s="81" t="s">
        <v>6653</v>
      </c>
    </row>
    <row r="7686">
      <c r="A7686" s="83" t="s">
        <v>6649</v>
      </c>
      <c r="B7686" s="83" t="s">
        <v>6650</v>
      </c>
      <c r="C7686" s="81" t="s">
        <v>4082</v>
      </c>
      <c r="D7686" s="81" t="s">
        <v>224</v>
      </c>
      <c r="E7686" s="81" t="s">
        <v>6715</v>
      </c>
      <c r="F7686" s="81" t="s">
        <v>224</v>
      </c>
      <c r="G7686" s="81" t="s">
        <v>42</v>
      </c>
      <c r="H7686" s="81" t="s">
        <v>224</v>
      </c>
      <c r="I7686" s="81" t="s">
        <v>224</v>
      </c>
      <c r="J7686" s="81" t="s">
        <v>6653</v>
      </c>
    </row>
    <row r="7687">
      <c r="A7687" s="83" t="s">
        <v>6649</v>
      </c>
      <c r="B7687" s="83" t="s">
        <v>6650</v>
      </c>
      <c r="C7687" s="81" t="s">
        <v>4082</v>
      </c>
      <c r="D7687" s="81" t="s">
        <v>224</v>
      </c>
      <c r="E7687" s="81" t="s">
        <v>6716</v>
      </c>
      <c r="F7687" s="81" t="s">
        <v>224</v>
      </c>
      <c r="G7687" s="81" t="s">
        <v>42</v>
      </c>
      <c r="H7687" s="81" t="s">
        <v>224</v>
      </c>
      <c r="I7687" s="81" t="s">
        <v>224</v>
      </c>
      <c r="J7687" s="81" t="s">
        <v>6653</v>
      </c>
    </row>
    <row r="7688">
      <c r="A7688" s="83" t="s">
        <v>6649</v>
      </c>
      <c r="B7688" s="83" t="s">
        <v>6650</v>
      </c>
      <c r="C7688" s="81" t="s">
        <v>4082</v>
      </c>
      <c r="D7688" s="81" t="s">
        <v>224</v>
      </c>
      <c r="E7688" s="81" t="s">
        <v>6717</v>
      </c>
      <c r="F7688" s="81" t="s">
        <v>224</v>
      </c>
      <c r="G7688" s="81" t="s">
        <v>42</v>
      </c>
      <c r="H7688" s="81" t="s">
        <v>224</v>
      </c>
      <c r="I7688" s="81" t="s">
        <v>224</v>
      </c>
      <c r="J7688" s="81" t="s">
        <v>6653</v>
      </c>
    </row>
    <row r="7689">
      <c r="A7689" s="83" t="s">
        <v>6649</v>
      </c>
      <c r="B7689" s="83" t="s">
        <v>6650</v>
      </c>
      <c r="C7689" s="81" t="s">
        <v>4082</v>
      </c>
      <c r="D7689" s="81" t="s">
        <v>224</v>
      </c>
      <c r="E7689" s="81" t="s">
        <v>6718</v>
      </c>
      <c r="F7689" s="81" t="s">
        <v>224</v>
      </c>
      <c r="G7689" s="81" t="s">
        <v>42</v>
      </c>
      <c r="H7689" s="81" t="s">
        <v>224</v>
      </c>
      <c r="I7689" s="81" t="s">
        <v>224</v>
      </c>
      <c r="J7689" s="81" t="s">
        <v>6653</v>
      </c>
    </row>
    <row r="7690">
      <c r="A7690" s="83" t="s">
        <v>6649</v>
      </c>
      <c r="B7690" s="83" t="s">
        <v>6650</v>
      </c>
      <c r="C7690" s="81" t="s">
        <v>4082</v>
      </c>
      <c r="D7690" s="81" t="s">
        <v>224</v>
      </c>
      <c r="E7690" s="81" t="s">
        <v>6719</v>
      </c>
      <c r="F7690" s="81" t="s">
        <v>224</v>
      </c>
      <c r="G7690" s="81" t="s">
        <v>42</v>
      </c>
      <c r="H7690" s="81" t="s">
        <v>224</v>
      </c>
      <c r="I7690" s="81" t="s">
        <v>224</v>
      </c>
      <c r="J7690" s="81" t="s">
        <v>6653</v>
      </c>
    </row>
    <row r="7691">
      <c r="A7691" s="83" t="s">
        <v>6649</v>
      </c>
      <c r="B7691" s="83" t="s">
        <v>6650</v>
      </c>
      <c r="C7691" s="81" t="s">
        <v>4082</v>
      </c>
      <c r="D7691" s="81" t="s">
        <v>224</v>
      </c>
      <c r="E7691" s="81" t="s">
        <v>6720</v>
      </c>
      <c r="F7691" s="81" t="s">
        <v>224</v>
      </c>
      <c r="G7691" s="81" t="s">
        <v>42</v>
      </c>
      <c r="H7691" s="81" t="s">
        <v>224</v>
      </c>
      <c r="I7691" s="81" t="s">
        <v>224</v>
      </c>
      <c r="J7691" s="81" t="s">
        <v>6653</v>
      </c>
    </row>
    <row r="7692">
      <c r="A7692" s="83" t="s">
        <v>6649</v>
      </c>
      <c r="B7692" s="83" t="s">
        <v>6650</v>
      </c>
      <c r="C7692" s="81" t="s">
        <v>4082</v>
      </c>
      <c r="D7692" s="81" t="s">
        <v>224</v>
      </c>
      <c r="E7692" s="81" t="s">
        <v>6721</v>
      </c>
      <c r="F7692" s="81" t="s">
        <v>224</v>
      </c>
      <c r="G7692" s="81" t="s">
        <v>42</v>
      </c>
      <c r="H7692" s="81" t="s">
        <v>224</v>
      </c>
      <c r="I7692" s="81" t="s">
        <v>224</v>
      </c>
      <c r="J7692" s="81" t="s">
        <v>6653</v>
      </c>
    </row>
    <row r="7693">
      <c r="A7693" s="83" t="s">
        <v>6649</v>
      </c>
      <c r="B7693" s="83" t="s">
        <v>6650</v>
      </c>
      <c r="C7693" s="81" t="s">
        <v>4082</v>
      </c>
      <c r="D7693" s="81" t="s">
        <v>224</v>
      </c>
      <c r="E7693" s="81" t="s">
        <v>6722</v>
      </c>
      <c r="F7693" s="81" t="s">
        <v>224</v>
      </c>
      <c r="G7693" s="81" t="s">
        <v>42</v>
      </c>
      <c r="H7693" s="81" t="s">
        <v>224</v>
      </c>
      <c r="I7693" s="81" t="s">
        <v>224</v>
      </c>
      <c r="J7693" s="81" t="s">
        <v>6653</v>
      </c>
    </row>
    <row r="7694">
      <c r="A7694" s="83" t="s">
        <v>6649</v>
      </c>
      <c r="B7694" s="83" t="s">
        <v>6650</v>
      </c>
      <c r="C7694" s="81" t="s">
        <v>4082</v>
      </c>
      <c r="D7694" s="81" t="s">
        <v>224</v>
      </c>
      <c r="E7694" s="81" t="s">
        <v>6362</v>
      </c>
      <c r="F7694" s="81" t="s">
        <v>224</v>
      </c>
      <c r="G7694" s="81" t="s">
        <v>42</v>
      </c>
      <c r="H7694" s="81" t="s">
        <v>224</v>
      </c>
      <c r="I7694" s="81" t="s">
        <v>224</v>
      </c>
      <c r="J7694" s="81" t="s">
        <v>6653</v>
      </c>
    </row>
    <row r="7695">
      <c r="A7695" s="83" t="s">
        <v>6649</v>
      </c>
      <c r="B7695" s="83" t="s">
        <v>6650</v>
      </c>
      <c r="C7695" s="81" t="s">
        <v>4082</v>
      </c>
      <c r="D7695" s="81" t="s">
        <v>224</v>
      </c>
      <c r="E7695" s="81" t="s">
        <v>6723</v>
      </c>
      <c r="F7695" s="81" t="s">
        <v>224</v>
      </c>
      <c r="G7695" s="81" t="s">
        <v>42</v>
      </c>
      <c r="H7695" s="81" t="s">
        <v>224</v>
      </c>
      <c r="I7695" s="81" t="s">
        <v>224</v>
      </c>
      <c r="J7695" s="81" t="s">
        <v>6653</v>
      </c>
    </row>
    <row r="7696">
      <c r="A7696" s="83" t="s">
        <v>6649</v>
      </c>
      <c r="B7696" s="83" t="s">
        <v>6650</v>
      </c>
      <c r="C7696" s="81" t="s">
        <v>4082</v>
      </c>
      <c r="D7696" s="81" t="s">
        <v>224</v>
      </c>
      <c r="E7696" s="81" t="s">
        <v>6724</v>
      </c>
      <c r="F7696" s="81" t="s">
        <v>224</v>
      </c>
      <c r="G7696" s="81" t="s">
        <v>42</v>
      </c>
      <c r="H7696" s="81" t="s">
        <v>224</v>
      </c>
      <c r="I7696" s="81" t="s">
        <v>224</v>
      </c>
      <c r="J7696" s="81" t="s">
        <v>6653</v>
      </c>
    </row>
    <row r="7697">
      <c r="A7697" s="83" t="s">
        <v>6649</v>
      </c>
      <c r="B7697" s="83" t="s">
        <v>6650</v>
      </c>
      <c r="C7697" s="81" t="s">
        <v>4082</v>
      </c>
      <c r="D7697" s="81" t="s">
        <v>224</v>
      </c>
      <c r="E7697" s="81" t="s">
        <v>6725</v>
      </c>
      <c r="F7697" s="81" t="s">
        <v>224</v>
      </c>
      <c r="G7697" s="81" t="s">
        <v>42</v>
      </c>
      <c r="H7697" s="81" t="s">
        <v>224</v>
      </c>
      <c r="I7697" s="81" t="s">
        <v>224</v>
      </c>
      <c r="J7697" s="81" t="s">
        <v>6653</v>
      </c>
    </row>
    <row r="7698">
      <c r="A7698" s="83" t="s">
        <v>6649</v>
      </c>
      <c r="B7698" s="83" t="s">
        <v>6650</v>
      </c>
      <c r="C7698" s="81" t="s">
        <v>4082</v>
      </c>
      <c r="D7698" s="81" t="s">
        <v>224</v>
      </c>
      <c r="E7698" s="81" t="s">
        <v>6726</v>
      </c>
      <c r="F7698" s="81" t="s">
        <v>224</v>
      </c>
      <c r="G7698" s="81" t="s">
        <v>42</v>
      </c>
      <c r="H7698" s="81" t="s">
        <v>224</v>
      </c>
      <c r="I7698" s="81" t="s">
        <v>224</v>
      </c>
      <c r="J7698" s="81" t="s">
        <v>6653</v>
      </c>
    </row>
    <row r="7699">
      <c r="A7699" s="83" t="s">
        <v>6649</v>
      </c>
      <c r="B7699" s="83" t="s">
        <v>6650</v>
      </c>
      <c r="C7699" s="81" t="s">
        <v>4082</v>
      </c>
      <c r="D7699" s="81" t="s">
        <v>224</v>
      </c>
      <c r="E7699" s="81" t="s">
        <v>6727</v>
      </c>
      <c r="F7699" s="81" t="s">
        <v>224</v>
      </c>
      <c r="G7699" s="81" t="s">
        <v>42</v>
      </c>
      <c r="H7699" s="81" t="s">
        <v>224</v>
      </c>
      <c r="I7699" s="81" t="s">
        <v>224</v>
      </c>
      <c r="J7699" s="81" t="s">
        <v>6653</v>
      </c>
    </row>
    <row r="7700">
      <c r="A7700" s="83" t="s">
        <v>6649</v>
      </c>
      <c r="B7700" s="83" t="s">
        <v>6650</v>
      </c>
      <c r="C7700" s="81" t="s">
        <v>4082</v>
      </c>
      <c r="D7700" s="81" t="s">
        <v>224</v>
      </c>
      <c r="E7700" s="81" t="s">
        <v>6728</v>
      </c>
      <c r="F7700" s="81" t="s">
        <v>224</v>
      </c>
      <c r="G7700" s="81" t="s">
        <v>42</v>
      </c>
      <c r="H7700" s="81" t="s">
        <v>224</v>
      </c>
      <c r="I7700" s="81" t="s">
        <v>224</v>
      </c>
      <c r="J7700" s="81" t="s">
        <v>6653</v>
      </c>
    </row>
    <row r="7701">
      <c r="A7701" s="83" t="s">
        <v>6649</v>
      </c>
      <c r="B7701" s="83" t="s">
        <v>6650</v>
      </c>
      <c r="C7701" s="81" t="s">
        <v>4082</v>
      </c>
      <c r="D7701" s="81" t="s">
        <v>224</v>
      </c>
      <c r="E7701" s="81" t="s">
        <v>6729</v>
      </c>
      <c r="F7701" s="81" t="s">
        <v>224</v>
      </c>
      <c r="G7701" s="81" t="s">
        <v>42</v>
      </c>
      <c r="H7701" s="81" t="s">
        <v>224</v>
      </c>
      <c r="I7701" s="81" t="s">
        <v>224</v>
      </c>
      <c r="J7701" s="81" t="s">
        <v>6653</v>
      </c>
    </row>
    <row r="7702">
      <c r="A7702" s="83" t="s">
        <v>6649</v>
      </c>
      <c r="B7702" s="83" t="s">
        <v>6650</v>
      </c>
      <c r="C7702" s="81" t="s">
        <v>4082</v>
      </c>
      <c r="D7702" s="81" t="s">
        <v>224</v>
      </c>
      <c r="E7702" s="81" t="s">
        <v>6730</v>
      </c>
      <c r="F7702" s="81" t="s">
        <v>224</v>
      </c>
      <c r="G7702" s="81" t="s">
        <v>42</v>
      </c>
      <c r="H7702" s="81" t="s">
        <v>224</v>
      </c>
      <c r="I7702" s="81" t="s">
        <v>224</v>
      </c>
      <c r="J7702" s="81" t="s">
        <v>6653</v>
      </c>
    </row>
    <row r="7703">
      <c r="A7703" s="83" t="s">
        <v>6649</v>
      </c>
      <c r="B7703" s="83" t="s">
        <v>6650</v>
      </c>
      <c r="C7703" s="81" t="s">
        <v>4082</v>
      </c>
      <c r="D7703" s="81" t="s">
        <v>224</v>
      </c>
      <c r="E7703" s="81" t="s">
        <v>6731</v>
      </c>
      <c r="F7703" s="81" t="s">
        <v>224</v>
      </c>
      <c r="G7703" s="81" t="s">
        <v>42</v>
      </c>
      <c r="H7703" s="81" t="s">
        <v>224</v>
      </c>
      <c r="I7703" s="81" t="s">
        <v>224</v>
      </c>
      <c r="J7703" s="81" t="s">
        <v>6653</v>
      </c>
    </row>
    <row r="7704">
      <c r="A7704" s="83" t="s">
        <v>6649</v>
      </c>
      <c r="B7704" s="83" t="s">
        <v>6650</v>
      </c>
      <c r="C7704" s="81" t="s">
        <v>4084</v>
      </c>
      <c r="D7704" s="81" t="s">
        <v>224</v>
      </c>
      <c r="E7704" s="81" t="s">
        <v>224</v>
      </c>
      <c r="F7704" s="81" t="s">
        <v>224</v>
      </c>
      <c r="G7704" s="81" t="s">
        <v>224</v>
      </c>
      <c r="H7704" s="81" t="s">
        <v>224</v>
      </c>
      <c r="I7704" s="81" t="s">
        <v>224</v>
      </c>
      <c r="J7704" s="81" t="s">
        <v>6732</v>
      </c>
    </row>
    <row r="7705">
      <c r="A7705" s="83" t="s">
        <v>6649</v>
      </c>
      <c r="B7705" s="83" t="s">
        <v>6650</v>
      </c>
      <c r="C7705" s="81" t="s">
        <v>4082</v>
      </c>
      <c r="D7705" s="81" t="s">
        <v>224</v>
      </c>
      <c r="E7705" s="81" t="s">
        <v>6637</v>
      </c>
      <c r="F7705" s="81" t="s">
        <v>224</v>
      </c>
      <c r="G7705" s="81" t="s">
        <v>224</v>
      </c>
      <c r="H7705" s="81" t="s">
        <v>224</v>
      </c>
      <c r="I7705" s="81" t="s">
        <v>224</v>
      </c>
      <c r="J7705" s="81" t="s">
        <v>6638</v>
      </c>
    </row>
    <row r="7706">
      <c r="A7706" s="83" t="s">
        <v>6649</v>
      </c>
      <c r="B7706" s="83" t="s">
        <v>6650</v>
      </c>
      <c r="C7706" s="81" t="s">
        <v>4082</v>
      </c>
      <c r="D7706" s="81" t="s">
        <v>224</v>
      </c>
      <c r="E7706" s="81" t="s">
        <v>6639</v>
      </c>
      <c r="F7706" s="81" t="s">
        <v>224</v>
      </c>
      <c r="G7706" s="81" t="s">
        <v>224</v>
      </c>
      <c r="H7706" s="81" t="s">
        <v>224</v>
      </c>
      <c r="I7706" s="81" t="s">
        <v>224</v>
      </c>
      <c r="J7706" s="81" t="s">
        <v>6638</v>
      </c>
    </row>
    <row r="7707">
      <c r="A7707" s="83" t="s">
        <v>6649</v>
      </c>
      <c r="B7707" s="83" t="s">
        <v>6650</v>
      </c>
      <c r="C7707" s="81" t="s">
        <v>4082</v>
      </c>
      <c r="D7707" s="81" t="s">
        <v>224</v>
      </c>
      <c r="E7707" s="81" t="s">
        <v>6733</v>
      </c>
      <c r="F7707" s="81" t="s">
        <v>224</v>
      </c>
      <c r="G7707" s="81" t="s">
        <v>224</v>
      </c>
      <c r="H7707" s="81" t="s">
        <v>224</v>
      </c>
      <c r="I7707" s="81" t="s">
        <v>224</v>
      </c>
      <c r="J7707" s="81" t="s">
        <v>6734</v>
      </c>
    </row>
    <row r="7708">
      <c r="A7708" s="83" t="s">
        <v>6649</v>
      </c>
      <c r="B7708" s="83" t="s">
        <v>6650</v>
      </c>
      <c r="C7708" s="81" t="s">
        <v>4082</v>
      </c>
      <c r="D7708" s="81" t="s">
        <v>224</v>
      </c>
      <c r="E7708" s="81" t="s">
        <v>6735</v>
      </c>
      <c r="F7708" s="81" t="s">
        <v>224</v>
      </c>
      <c r="G7708" s="81" t="s">
        <v>224</v>
      </c>
      <c r="H7708" s="81" t="s">
        <v>224</v>
      </c>
      <c r="I7708" s="81" t="s">
        <v>224</v>
      </c>
      <c r="J7708" s="81" t="s">
        <v>6734</v>
      </c>
    </row>
    <row r="7709">
      <c r="A7709" s="83" t="s">
        <v>6649</v>
      </c>
      <c r="B7709" s="83" t="s">
        <v>6650</v>
      </c>
      <c r="C7709" s="81" t="s">
        <v>4082</v>
      </c>
      <c r="D7709" s="81" t="s">
        <v>224</v>
      </c>
      <c r="E7709" s="81" t="s">
        <v>6458</v>
      </c>
      <c r="F7709" s="81" t="s">
        <v>224</v>
      </c>
      <c r="G7709" s="81" t="s">
        <v>224</v>
      </c>
      <c r="H7709" s="81" t="s">
        <v>224</v>
      </c>
      <c r="I7709" s="81" t="s">
        <v>224</v>
      </c>
      <c r="J7709" s="81" t="s">
        <v>6459</v>
      </c>
    </row>
    <row r="7710">
      <c r="A7710" s="83" t="s">
        <v>6649</v>
      </c>
      <c r="B7710" s="83" t="s">
        <v>6650</v>
      </c>
      <c r="C7710" s="81" t="s">
        <v>4082</v>
      </c>
      <c r="D7710" s="81" t="s">
        <v>224</v>
      </c>
      <c r="E7710" s="81" t="s">
        <v>6736</v>
      </c>
      <c r="F7710" s="81" t="s">
        <v>224</v>
      </c>
      <c r="G7710" s="81" t="s">
        <v>224</v>
      </c>
      <c r="H7710" s="81" t="s">
        <v>224</v>
      </c>
      <c r="I7710" s="81" t="s">
        <v>224</v>
      </c>
      <c r="J7710" s="81" t="s">
        <v>6734</v>
      </c>
    </row>
    <row r="7711">
      <c r="A7711" s="83" t="s">
        <v>6649</v>
      </c>
      <c r="B7711" s="83" t="s">
        <v>6650</v>
      </c>
      <c r="C7711" s="81" t="s">
        <v>4082</v>
      </c>
      <c r="D7711" s="81" t="s">
        <v>224</v>
      </c>
      <c r="E7711" s="81" t="s">
        <v>6460</v>
      </c>
      <c r="F7711" s="81" t="s">
        <v>224</v>
      </c>
      <c r="G7711" s="81" t="s">
        <v>224</v>
      </c>
      <c r="H7711" s="81" t="s">
        <v>224</v>
      </c>
      <c r="I7711" s="81" t="s">
        <v>224</v>
      </c>
      <c r="J7711" s="81" t="s">
        <v>6461</v>
      </c>
    </row>
    <row r="7712">
      <c r="A7712" s="83" t="s">
        <v>6649</v>
      </c>
      <c r="B7712" s="83" t="s">
        <v>6650</v>
      </c>
      <c r="C7712" s="81" t="s">
        <v>4082</v>
      </c>
      <c r="D7712" s="81" t="s">
        <v>224</v>
      </c>
      <c r="E7712" s="81" t="s">
        <v>6462</v>
      </c>
      <c r="F7712" s="81" t="s">
        <v>224</v>
      </c>
      <c r="G7712" s="81" t="s">
        <v>224</v>
      </c>
      <c r="H7712" s="81" t="s">
        <v>224</v>
      </c>
      <c r="I7712" s="81" t="s">
        <v>224</v>
      </c>
      <c r="J7712" s="81" t="s">
        <v>6463</v>
      </c>
    </row>
    <row r="7713">
      <c r="A7713" s="83" t="s">
        <v>6649</v>
      </c>
      <c r="B7713" s="83" t="s">
        <v>6650</v>
      </c>
      <c r="C7713" s="81" t="s">
        <v>4082</v>
      </c>
      <c r="D7713" s="81" t="s">
        <v>224</v>
      </c>
      <c r="E7713" s="81" t="s">
        <v>6737</v>
      </c>
      <c r="F7713" s="81" t="s">
        <v>224</v>
      </c>
      <c r="G7713" s="81" t="s">
        <v>224</v>
      </c>
      <c r="H7713" s="81" t="s">
        <v>224</v>
      </c>
      <c r="I7713" s="81" t="s">
        <v>224</v>
      </c>
      <c r="J7713" s="81" t="s">
        <v>6734</v>
      </c>
    </row>
    <row r="7714">
      <c r="A7714" s="83" t="s">
        <v>6649</v>
      </c>
      <c r="B7714" s="83" t="s">
        <v>6650</v>
      </c>
      <c r="C7714" s="81" t="s">
        <v>4082</v>
      </c>
      <c r="D7714" s="81" t="s">
        <v>224</v>
      </c>
      <c r="E7714" s="81" t="s">
        <v>6464</v>
      </c>
      <c r="F7714" s="81" t="s">
        <v>224</v>
      </c>
      <c r="G7714" s="81" t="s">
        <v>224</v>
      </c>
      <c r="H7714" s="81" t="s">
        <v>224</v>
      </c>
      <c r="I7714" s="81" t="s">
        <v>224</v>
      </c>
      <c r="J7714" s="81" t="s">
        <v>6465</v>
      </c>
    </row>
    <row r="7715">
      <c r="A7715" s="83" t="s">
        <v>6649</v>
      </c>
      <c r="B7715" s="83" t="s">
        <v>6650</v>
      </c>
      <c r="C7715" s="81" t="s">
        <v>4082</v>
      </c>
      <c r="D7715" s="81" t="s">
        <v>224</v>
      </c>
      <c r="E7715" s="81" t="s">
        <v>6466</v>
      </c>
      <c r="F7715" s="81" t="s">
        <v>224</v>
      </c>
      <c r="G7715" s="81" t="s">
        <v>224</v>
      </c>
      <c r="H7715" s="81" t="s">
        <v>224</v>
      </c>
      <c r="I7715" s="81" t="s">
        <v>224</v>
      </c>
      <c r="J7715" s="81" t="s">
        <v>6467</v>
      </c>
    </row>
    <row r="7716">
      <c r="A7716" s="83" t="s">
        <v>6649</v>
      </c>
      <c r="B7716" s="83" t="s">
        <v>6650</v>
      </c>
      <c r="C7716" s="81" t="s">
        <v>4082</v>
      </c>
      <c r="D7716" s="81" t="s">
        <v>224</v>
      </c>
      <c r="E7716" s="81" t="s">
        <v>6468</v>
      </c>
      <c r="F7716" s="81" t="s">
        <v>224</v>
      </c>
      <c r="G7716" s="81" t="s">
        <v>224</v>
      </c>
      <c r="H7716" s="81" t="s">
        <v>224</v>
      </c>
      <c r="I7716" s="81" t="s">
        <v>224</v>
      </c>
      <c r="J7716" s="81" t="s">
        <v>6469</v>
      </c>
    </row>
    <row r="7717">
      <c r="A7717" s="83" t="s">
        <v>6649</v>
      </c>
      <c r="B7717" s="83" t="s">
        <v>6650</v>
      </c>
      <c r="C7717" s="81" t="s">
        <v>4082</v>
      </c>
      <c r="D7717" s="81" t="s">
        <v>224</v>
      </c>
      <c r="E7717" s="81" t="s">
        <v>6470</v>
      </c>
      <c r="F7717" s="81" t="s">
        <v>224</v>
      </c>
      <c r="G7717" s="81" t="s">
        <v>224</v>
      </c>
      <c r="H7717" s="81" t="s">
        <v>224</v>
      </c>
      <c r="I7717" s="81" t="s">
        <v>224</v>
      </c>
      <c r="J7717" s="81" t="s">
        <v>6471</v>
      </c>
    </row>
    <row r="7718">
      <c r="A7718" s="83" t="s">
        <v>6649</v>
      </c>
      <c r="B7718" s="83" t="s">
        <v>6650</v>
      </c>
      <c r="C7718" s="81" t="s">
        <v>4082</v>
      </c>
      <c r="D7718" s="81" t="s">
        <v>224</v>
      </c>
      <c r="E7718" s="81" t="s">
        <v>6472</v>
      </c>
      <c r="F7718" s="81" t="s">
        <v>224</v>
      </c>
      <c r="G7718" s="81" t="s">
        <v>224</v>
      </c>
      <c r="H7718" s="81" t="s">
        <v>224</v>
      </c>
      <c r="I7718" s="81" t="s">
        <v>224</v>
      </c>
      <c r="J7718" s="81" t="s">
        <v>6473</v>
      </c>
    </row>
    <row r="7719">
      <c r="A7719" s="83" t="s">
        <v>6649</v>
      </c>
      <c r="B7719" s="83" t="s">
        <v>6650</v>
      </c>
      <c r="C7719" s="81" t="s">
        <v>4082</v>
      </c>
      <c r="D7719" s="81" t="s">
        <v>224</v>
      </c>
      <c r="E7719" s="81" t="s">
        <v>6474</v>
      </c>
      <c r="F7719" s="81" t="s">
        <v>224</v>
      </c>
      <c r="G7719" s="81" t="s">
        <v>224</v>
      </c>
      <c r="H7719" s="81" t="s">
        <v>224</v>
      </c>
      <c r="I7719" s="81" t="s">
        <v>224</v>
      </c>
      <c r="J7719" s="81" t="s">
        <v>6475</v>
      </c>
    </row>
    <row r="7720">
      <c r="A7720" s="83" t="s">
        <v>6649</v>
      </c>
      <c r="B7720" s="83" t="s">
        <v>6650</v>
      </c>
      <c r="C7720" s="81" t="s">
        <v>4082</v>
      </c>
      <c r="D7720" s="81" t="s">
        <v>224</v>
      </c>
      <c r="E7720" s="81" t="s">
        <v>6476</v>
      </c>
      <c r="F7720" s="81" t="s">
        <v>224</v>
      </c>
      <c r="G7720" s="81" t="s">
        <v>224</v>
      </c>
      <c r="H7720" s="81" t="s">
        <v>224</v>
      </c>
      <c r="I7720" s="81" t="s">
        <v>224</v>
      </c>
      <c r="J7720" s="81" t="s">
        <v>6477</v>
      </c>
    </row>
    <row r="7721">
      <c r="A7721" s="83" t="s">
        <v>6649</v>
      </c>
      <c r="B7721" s="83" t="s">
        <v>6650</v>
      </c>
      <c r="C7721" s="81" t="s">
        <v>4082</v>
      </c>
      <c r="D7721" s="81" t="s">
        <v>224</v>
      </c>
      <c r="E7721" s="81" t="s">
        <v>6478</v>
      </c>
      <c r="F7721" s="81" t="s">
        <v>224</v>
      </c>
      <c r="G7721" s="81" t="s">
        <v>224</v>
      </c>
      <c r="H7721" s="81" t="s">
        <v>224</v>
      </c>
      <c r="I7721" s="81" t="s">
        <v>224</v>
      </c>
      <c r="J7721" s="81" t="s">
        <v>6479</v>
      </c>
    </row>
    <row r="7722">
      <c r="A7722" s="83" t="s">
        <v>6649</v>
      </c>
      <c r="B7722" s="83" t="s">
        <v>6650</v>
      </c>
      <c r="C7722" s="81" t="s">
        <v>4082</v>
      </c>
      <c r="D7722" s="81" t="s">
        <v>224</v>
      </c>
      <c r="E7722" s="81" t="s">
        <v>6480</v>
      </c>
      <c r="F7722" s="81" t="s">
        <v>224</v>
      </c>
      <c r="G7722" s="81" t="s">
        <v>224</v>
      </c>
      <c r="H7722" s="81" t="s">
        <v>224</v>
      </c>
      <c r="I7722" s="81" t="s">
        <v>224</v>
      </c>
      <c r="J7722" s="81" t="s">
        <v>6481</v>
      </c>
    </row>
    <row r="7723">
      <c r="A7723" s="83" t="s">
        <v>6649</v>
      </c>
      <c r="B7723" s="83" t="s">
        <v>6650</v>
      </c>
      <c r="C7723" s="81" t="s">
        <v>4082</v>
      </c>
      <c r="D7723" s="81" t="s">
        <v>224</v>
      </c>
      <c r="E7723" s="81" t="s">
        <v>6482</v>
      </c>
      <c r="F7723" s="81" t="s">
        <v>224</v>
      </c>
      <c r="G7723" s="81" t="s">
        <v>224</v>
      </c>
      <c r="H7723" s="81" t="s">
        <v>224</v>
      </c>
      <c r="I7723" s="81" t="s">
        <v>224</v>
      </c>
      <c r="J7723" s="81" t="s">
        <v>6483</v>
      </c>
    </row>
    <row r="7724">
      <c r="A7724" s="83" t="s">
        <v>6649</v>
      </c>
      <c r="B7724" s="83" t="s">
        <v>6650</v>
      </c>
      <c r="C7724" s="81" t="s">
        <v>4082</v>
      </c>
      <c r="D7724" s="81" t="s">
        <v>224</v>
      </c>
      <c r="E7724" s="81" t="s">
        <v>6484</v>
      </c>
      <c r="F7724" s="81" t="s">
        <v>224</v>
      </c>
      <c r="G7724" s="81" t="s">
        <v>224</v>
      </c>
      <c r="H7724" s="81" t="s">
        <v>224</v>
      </c>
      <c r="I7724" s="81" t="s">
        <v>224</v>
      </c>
      <c r="J7724" s="81" t="s">
        <v>6485</v>
      </c>
    </row>
    <row r="7725">
      <c r="A7725" s="83" t="s">
        <v>6649</v>
      </c>
      <c r="B7725" s="83" t="s">
        <v>6650</v>
      </c>
      <c r="C7725" s="81" t="s">
        <v>4082</v>
      </c>
      <c r="D7725" s="81" t="s">
        <v>224</v>
      </c>
      <c r="E7725" s="81" t="s">
        <v>6486</v>
      </c>
      <c r="F7725" s="81" t="s">
        <v>224</v>
      </c>
      <c r="G7725" s="81" t="s">
        <v>224</v>
      </c>
      <c r="H7725" s="81" t="s">
        <v>224</v>
      </c>
      <c r="I7725" s="81" t="s">
        <v>224</v>
      </c>
      <c r="J7725" s="81" t="s">
        <v>6487</v>
      </c>
    </row>
    <row r="7726">
      <c r="A7726" s="83" t="s">
        <v>6649</v>
      </c>
      <c r="B7726" s="83" t="s">
        <v>6650</v>
      </c>
      <c r="C7726" s="81" t="s">
        <v>4082</v>
      </c>
      <c r="D7726" s="81" t="s">
        <v>224</v>
      </c>
      <c r="E7726" s="81" t="s">
        <v>6488</v>
      </c>
      <c r="F7726" s="81" t="s">
        <v>224</v>
      </c>
      <c r="G7726" s="81" t="s">
        <v>224</v>
      </c>
      <c r="H7726" s="81" t="s">
        <v>224</v>
      </c>
      <c r="I7726" s="81" t="s">
        <v>224</v>
      </c>
      <c r="J7726" s="81" t="s">
        <v>6489</v>
      </c>
    </row>
    <row r="7727">
      <c r="A7727" s="83" t="s">
        <v>6649</v>
      </c>
      <c r="B7727" s="83" t="s">
        <v>6650</v>
      </c>
      <c r="C7727" s="81" t="s">
        <v>4082</v>
      </c>
      <c r="D7727" s="81" t="s">
        <v>224</v>
      </c>
      <c r="E7727" s="81" t="s">
        <v>6490</v>
      </c>
      <c r="F7727" s="81" t="s">
        <v>224</v>
      </c>
      <c r="G7727" s="81" t="s">
        <v>224</v>
      </c>
      <c r="H7727" s="81" t="s">
        <v>224</v>
      </c>
      <c r="I7727" s="81" t="s">
        <v>224</v>
      </c>
      <c r="J7727" s="81" t="s">
        <v>6491</v>
      </c>
    </row>
    <row r="7728">
      <c r="A7728" s="83" t="s">
        <v>6649</v>
      </c>
      <c r="B7728" s="83" t="s">
        <v>6650</v>
      </c>
      <c r="C7728" s="81" t="s">
        <v>4082</v>
      </c>
      <c r="D7728" s="81" t="s">
        <v>224</v>
      </c>
      <c r="E7728" s="81" t="s">
        <v>6492</v>
      </c>
      <c r="F7728" s="81" t="s">
        <v>224</v>
      </c>
      <c r="G7728" s="81" t="s">
        <v>224</v>
      </c>
      <c r="H7728" s="81" t="s">
        <v>224</v>
      </c>
      <c r="I7728" s="81" t="s">
        <v>224</v>
      </c>
      <c r="J7728" s="81" t="s">
        <v>6493</v>
      </c>
    </row>
    <row r="7729">
      <c r="A7729" s="83" t="s">
        <v>6649</v>
      </c>
      <c r="B7729" s="83" t="s">
        <v>6650</v>
      </c>
      <c r="C7729" s="81" t="s">
        <v>4082</v>
      </c>
      <c r="D7729" s="81" t="s">
        <v>224</v>
      </c>
      <c r="E7729" s="81" t="s">
        <v>6494</v>
      </c>
      <c r="F7729" s="81" t="s">
        <v>224</v>
      </c>
      <c r="G7729" s="81" t="s">
        <v>224</v>
      </c>
      <c r="H7729" s="81" t="s">
        <v>224</v>
      </c>
      <c r="I7729" s="81" t="s">
        <v>224</v>
      </c>
      <c r="J7729" s="81" t="s">
        <v>6495</v>
      </c>
    </row>
    <row r="7730">
      <c r="A7730" s="83" t="s">
        <v>6649</v>
      </c>
      <c r="B7730" s="83" t="s">
        <v>6650</v>
      </c>
      <c r="C7730" s="81" t="s">
        <v>4082</v>
      </c>
      <c r="D7730" s="81" t="s">
        <v>224</v>
      </c>
      <c r="E7730" s="81" t="s">
        <v>6496</v>
      </c>
      <c r="F7730" s="81" t="s">
        <v>224</v>
      </c>
      <c r="G7730" s="81" t="s">
        <v>224</v>
      </c>
      <c r="H7730" s="81" t="s">
        <v>224</v>
      </c>
      <c r="I7730" s="81" t="s">
        <v>224</v>
      </c>
      <c r="J7730" s="81" t="s">
        <v>6497</v>
      </c>
    </row>
    <row r="7731">
      <c r="A7731" s="83" t="s">
        <v>6649</v>
      </c>
      <c r="B7731" s="83" t="s">
        <v>6650</v>
      </c>
      <c r="C7731" s="81" t="s">
        <v>4082</v>
      </c>
      <c r="D7731" s="81" t="s">
        <v>224</v>
      </c>
      <c r="E7731" s="81" t="s">
        <v>6498</v>
      </c>
      <c r="F7731" s="81" t="s">
        <v>224</v>
      </c>
      <c r="G7731" s="81" t="s">
        <v>224</v>
      </c>
      <c r="H7731" s="81" t="s">
        <v>224</v>
      </c>
      <c r="I7731" s="81" t="s">
        <v>224</v>
      </c>
      <c r="J7731" s="81" t="s">
        <v>6499</v>
      </c>
    </row>
    <row r="7732">
      <c r="A7732" s="83" t="s">
        <v>6649</v>
      </c>
      <c r="B7732" s="83" t="s">
        <v>6650</v>
      </c>
      <c r="C7732" s="81" t="s">
        <v>4082</v>
      </c>
      <c r="D7732" s="81" t="s">
        <v>224</v>
      </c>
      <c r="E7732" s="81" t="s">
        <v>6500</v>
      </c>
      <c r="F7732" s="81" t="s">
        <v>224</v>
      </c>
      <c r="G7732" s="81" t="s">
        <v>224</v>
      </c>
      <c r="H7732" s="81" t="s">
        <v>224</v>
      </c>
      <c r="I7732" s="81" t="s">
        <v>224</v>
      </c>
      <c r="J7732" s="81" t="s">
        <v>6501</v>
      </c>
    </row>
    <row r="7733">
      <c r="A7733" s="83" t="s">
        <v>6649</v>
      </c>
      <c r="B7733" s="83" t="s">
        <v>6650</v>
      </c>
      <c r="C7733" s="81" t="s">
        <v>4082</v>
      </c>
      <c r="D7733" s="81" t="s">
        <v>224</v>
      </c>
      <c r="E7733" s="81" t="s">
        <v>6502</v>
      </c>
      <c r="F7733" s="81" t="s">
        <v>224</v>
      </c>
      <c r="G7733" s="81" t="s">
        <v>224</v>
      </c>
      <c r="H7733" s="81" t="s">
        <v>224</v>
      </c>
      <c r="I7733" s="81" t="s">
        <v>224</v>
      </c>
      <c r="J7733" s="81" t="s">
        <v>6491</v>
      </c>
    </row>
    <row r="7734">
      <c r="A7734" s="83" t="s">
        <v>6649</v>
      </c>
      <c r="B7734" s="83" t="s">
        <v>6650</v>
      </c>
      <c r="C7734" s="81" t="s">
        <v>4082</v>
      </c>
      <c r="D7734" s="81" t="s">
        <v>224</v>
      </c>
      <c r="E7734" s="81" t="s">
        <v>6503</v>
      </c>
      <c r="F7734" s="81" t="s">
        <v>224</v>
      </c>
      <c r="G7734" s="81" t="s">
        <v>224</v>
      </c>
      <c r="H7734" s="81" t="s">
        <v>224</v>
      </c>
      <c r="I7734" s="81" t="s">
        <v>224</v>
      </c>
      <c r="J7734" s="81" t="s">
        <v>6473</v>
      </c>
    </row>
    <row r="7735">
      <c r="A7735" s="83" t="s">
        <v>6649</v>
      </c>
      <c r="B7735" s="83" t="s">
        <v>6650</v>
      </c>
      <c r="C7735" s="81" t="s">
        <v>4082</v>
      </c>
      <c r="D7735" s="81" t="s">
        <v>224</v>
      </c>
      <c r="E7735" s="81" t="s">
        <v>6504</v>
      </c>
      <c r="F7735" s="81" t="s">
        <v>224</v>
      </c>
      <c r="G7735" s="81" t="s">
        <v>224</v>
      </c>
      <c r="H7735" s="81" t="s">
        <v>224</v>
      </c>
      <c r="I7735" s="81" t="s">
        <v>224</v>
      </c>
      <c r="J7735" s="81" t="s">
        <v>6489</v>
      </c>
    </row>
    <row r="7736">
      <c r="A7736" s="83" t="s">
        <v>6649</v>
      </c>
      <c r="B7736" s="83" t="s">
        <v>6650</v>
      </c>
      <c r="C7736" s="81" t="s">
        <v>4082</v>
      </c>
      <c r="D7736" s="81" t="s">
        <v>224</v>
      </c>
      <c r="E7736" s="81" t="s">
        <v>6505</v>
      </c>
      <c r="F7736" s="81" t="s">
        <v>224</v>
      </c>
      <c r="G7736" s="81" t="s">
        <v>224</v>
      </c>
      <c r="H7736" s="81" t="s">
        <v>224</v>
      </c>
      <c r="I7736" s="81" t="s">
        <v>224</v>
      </c>
      <c r="J7736" s="81" t="s">
        <v>6469</v>
      </c>
    </row>
    <row r="7737">
      <c r="A7737" s="83" t="s">
        <v>6649</v>
      </c>
      <c r="B7737" s="83" t="s">
        <v>6650</v>
      </c>
      <c r="C7737" s="81" t="s">
        <v>4082</v>
      </c>
      <c r="D7737" s="81" t="s">
        <v>224</v>
      </c>
      <c r="E7737" s="81" t="s">
        <v>6506</v>
      </c>
      <c r="F7737" s="81" t="s">
        <v>224</v>
      </c>
      <c r="G7737" s="81" t="s">
        <v>224</v>
      </c>
      <c r="H7737" s="81" t="s">
        <v>224</v>
      </c>
      <c r="I7737" s="81" t="s">
        <v>224</v>
      </c>
      <c r="J7737" s="81" t="s">
        <v>6499</v>
      </c>
    </row>
    <row r="7738">
      <c r="A7738" s="83" t="s">
        <v>6649</v>
      </c>
      <c r="B7738" s="83" t="s">
        <v>6650</v>
      </c>
      <c r="C7738" s="81" t="s">
        <v>4082</v>
      </c>
      <c r="D7738" s="81" t="s">
        <v>224</v>
      </c>
      <c r="E7738" s="81" t="s">
        <v>6507</v>
      </c>
      <c r="F7738" s="81" t="s">
        <v>224</v>
      </c>
      <c r="G7738" s="81" t="s">
        <v>224</v>
      </c>
      <c r="H7738" s="81" t="s">
        <v>224</v>
      </c>
      <c r="I7738" s="81" t="s">
        <v>224</v>
      </c>
      <c r="J7738" s="81" t="s">
        <v>6485</v>
      </c>
    </row>
    <row r="7739">
      <c r="A7739" s="83" t="s">
        <v>6649</v>
      </c>
      <c r="B7739" s="83" t="s">
        <v>6650</v>
      </c>
      <c r="C7739" s="81" t="s">
        <v>4082</v>
      </c>
      <c r="D7739" s="81" t="s">
        <v>224</v>
      </c>
      <c r="E7739" s="81" t="s">
        <v>6508</v>
      </c>
      <c r="F7739" s="81" t="s">
        <v>224</v>
      </c>
      <c r="G7739" s="81" t="s">
        <v>224</v>
      </c>
      <c r="H7739" s="81" t="s">
        <v>224</v>
      </c>
      <c r="I7739" s="81" t="s">
        <v>224</v>
      </c>
      <c r="J7739" s="81" t="s">
        <v>6501</v>
      </c>
    </row>
    <row r="7740">
      <c r="A7740" s="83" t="s">
        <v>6649</v>
      </c>
      <c r="B7740" s="83" t="s">
        <v>6650</v>
      </c>
      <c r="C7740" s="81" t="s">
        <v>4082</v>
      </c>
      <c r="D7740" s="81" t="s">
        <v>224</v>
      </c>
      <c r="E7740" s="81" t="s">
        <v>6509</v>
      </c>
      <c r="F7740" s="81" t="s">
        <v>224</v>
      </c>
      <c r="G7740" s="81" t="s">
        <v>224</v>
      </c>
      <c r="H7740" s="81" t="s">
        <v>224</v>
      </c>
      <c r="I7740" s="81" t="s">
        <v>224</v>
      </c>
      <c r="J7740" s="81" t="s">
        <v>6481</v>
      </c>
    </row>
    <row r="7741">
      <c r="A7741" s="83" t="s">
        <v>6649</v>
      </c>
      <c r="B7741" s="83" t="s">
        <v>6650</v>
      </c>
      <c r="C7741" s="81" t="s">
        <v>4082</v>
      </c>
      <c r="D7741" s="81" t="s">
        <v>224</v>
      </c>
      <c r="E7741" s="81" t="s">
        <v>6510</v>
      </c>
      <c r="F7741" s="81" t="s">
        <v>224</v>
      </c>
      <c r="G7741" s="81" t="s">
        <v>224</v>
      </c>
      <c r="H7741" s="81" t="s">
        <v>224</v>
      </c>
      <c r="I7741" s="81" t="s">
        <v>224</v>
      </c>
      <c r="J7741" s="81" t="s">
        <v>6495</v>
      </c>
    </row>
    <row r="7742">
      <c r="A7742" s="83" t="s">
        <v>6649</v>
      </c>
      <c r="B7742" s="83" t="s">
        <v>6650</v>
      </c>
      <c r="C7742" s="81" t="s">
        <v>4082</v>
      </c>
      <c r="D7742" s="81" t="s">
        <v>224</v>
      </c>
      <c r="E7742" s="81" t="s">
        <v>6511</v>
      </c>
      <c r="F7742" s="81" t="s">
        <v>224</v>
      </c>
      <c r="G7742" s="81" t="s">
        <v>224</v>
      </c>
      <c r="H7742" s="81" t="s">
        <v>224</v>
      </c>
      <c r="I7742" s="81" t="s">
        <v>224</v>
      </c>
      <c r="J7742" s="81" t="s">
        <v>6477</v>
      </c>
    </row>
    <row r="7743">
      <c r="A7743" s="83" t="s">
        <v>6649</v>
      </c>
      <c r="B7743" s="83" t="s">
        <v>6650</v>
      </c>
      <c r="C7743" s="81" t="s">
        <v>4082</v>
      </c>
      <c r="D7743" s="81" t="s">
        <v>224</v>
      </c>
      <c r="E7743" s="81" t="s">
        <v>6512</v>
      </c>
      <c r="F7743" s="81" t="s">
        <v>224</v>
      </c>
      <c r="G7743" s="81" t="s">
        <v>224</v>
      </c>
      <c r="H7743" s="81" t="s">
        <v>224</v>
      </c>
      <c r="I7743" s="81" t="s">
        <v>224</v>
      </c>
      <c r="J7743" s="81" t="s">
        <v>6493</v>
      </c>
    </row>
    <row r="7744">
      <c r="A7744" s="83" t="s">
        <v>6649</v>
      </c>
      <c r="B7744" s="83" t="s">
        <v>6650</v>
      </c>
      <c r="C7744" s="81" t="s">
        <v>4082</v>
      </c>
      <c r="D7744" s="81" t="s">
        <v>224</v>
      </c>
      <c r="E7744" s="81" t="s">
        <v>6513</v>
      </c>
      <c r="F7744" s="81" t="s">
        <v>224</v>
      </c>
      <c r="G7744" s="81" t="s">
        <v>224</v>
      </c>
      <c r="H7744" s="81" t="s">
        <v>224</v>
      </c>
      <c r="I7744" s="81" t="s">
        <v>224</v>
      </c>
      <c r="J7744" s="81" t="s">
        <v>6475</v>
      </c>
    </row>
    <row r="7745">
      <c r="A7745" s="83" t="s">
        <v>6649</v>
      </c>
      <c r="B7745" s="83" t="s">
        <v>6650</v>
      </c>
      <c r="C7745" s="81" t="s">
        <v>4082</v>
      </c>
      <c r="D7745" s="81" t="s">
        <v>224</v>
      </c>
      <c r="E7745" s="81" t="s">
        <v>6514</v>
      </c>
      <c r="F7745" s="81" t="s">
        <v>224</v>
      </c>
      <c r="G7745" s="81" t="s">
        <v>224</v>
      </c>
      <c r="H7745" s="81" t="s">
        <v>224</v>
      </c>
      <c r="I7745" s="81" t="s">
        <v>224</v>
      </c>
      <c r="J7745" s="81" t="s">
        <v>6471</v>
      </c>
    </row>
    <row r="7746">
      <c r="A7746" s="83" t="s">
        <v>6649</v>
      </c>
      <c r="B7746" s="83" t="s">
        <v>6650</v>
      </c>
      <c r="C7746" s="81" t="s">
        <v>4082</v>
      </c>
      <c r="D7746" s="81" t="s">
        <v>224</v>
      </c>
      <c r="E7746" s="81" t="s">
        <v>6515</v>
      </c>
      <c r="F7746" s="81" t="s">
        <v>224</v>
      </c>
      <c r="G7746" s="81" t="s">
        <v>224</v>
      </c>
      <c r="H7746" s="81" t="s">
        <v>224</v>
      </c>
      <c r="I7746" s="81" t="s">
        <v>224</v>
      </c>
      <c r="J7746" s="81" t="s">
        <v>6483</v>
      </c>
    </row>
    <row r="7747">
      <c r="A7747" s="83" t="s">
        <v>6649</v>
      </c>
      <c r="B7747" s="83" t="s">
        <v>6650</v>
      </c>
      <c r="C7747" s="81" t="s">
        <v>4082</v>
      </c>
      <c r="D7747" s="81" t="s">
        <v>224</v>
      </c>
      <c r="E7747" s="81" t="s">
        <v>6516</v>
      </c>
      <c r="F7747" s="81" t="s">
        <v>224</v>
      </c>
      <c r="G7747" s="81" t="s">
        <v>224</v>
      </c>
      <c r="H7747" s="81" t="s">
        <v>224</v>
      </c>
      <c r="I7747" s="81" t="s">
        <v>224</v>
      </c>
      <c r="J7747" s="81" t="s">
        <v>6497</v>
      </c>
    </row>
    <row r="7748">
      <c r="A7748" s="83" t="s">
        <v>6649</v>
      </c>
      <c r="B7748" s="83" t="s">
        <v>6650</v>
      </c>
      <c r="C7748" s="81" t="s">
        <v>4082</v>
      </c>
      <c r="D7748" s="81" t="s">
        <v>224</v>
      </c>
      <c r="E7748" s="81" t="s">
        <v>6517</v>
      </c>
      <c r="F7748" s="81" t="s">
        <v>224</v>
      </c>
      <c r="G7748" s="81" t="s">
        <v>224</v>
      </c>
      <c r="H7748" s="81" t="s">
        <v>224</v>
      </c>
      <c r="I7748" s="81" t="s">
        <v>224</v>
      </c>
      <c r="J7748" s="81" t="s">
        <v>6479</v>
      </c>
    </row>
    <row r="7749">
      <c r="A7749" s="83" t="s">
        <v>6649</v>
      </c>
      <c r="B7749" s="83" t="s">
        <v>6650</v>
      </c>
      <c r="C7749" s="81" t="s">
        <v>4082</v>
      </c>
      <c r="D7749" s="81" t="s">
        <v>224</v>
      </c>
      <c r="E7749" s="81" t="s">
        <v>6518</v>
      </c>
      <c r="F7749" s="81" t="s">
        <v>224</v>
      </c>
      <c r="G7749" s="81" t="s">
        <v>224</v>
      </c>
      <c r="H7749" s="81" t="s">
        <v>224</v>
      </c>
      <c r="I7749" s="81" t="s">
        <v>224</v>
      </c>
      <c r="J7749" s="81" t="s">
        <v>6487</v>
      </c>
    </row>
    <row r="7750">
      <c r="A7750" s="83" t="s">
        <v>6649</v>
      </c>
      <c r="B7750" s="83" t="s">
        <v>6650</v>
      </c>
      <c r="C7750" s="81" t="s">
        <v>4082</v>
      </c>
      <c r="D7750" s="81" t="s">
        <v>224</v>
      </c>
      <c r="E7750" s="81" t="s">
        <v>6519</v>
      </c>
      <c r="F7750" s="81" t="s">
        <v>224</v>
      </c>
      <c r="G7750" s="81" t="s">
        <v>224</v>
      </c>
      <c r="H7750" s="81" t="s">
        <v>224</v>
      </c>
      <c r="I7750" s="81" t="s">
        <v>224</v>
      </c>
      <c r="J7750" s="81" t="s">
        <v>6467</v>
      </c>
    </row>
    <row r="7751">
      <c r="A7751" s="83" t="s">
        <v>6649</v>
      </c>
      <c r="B7751" s="83" t="s">
        <v>6650</v>
      </c>
      <c r="C7751" s="81" t="s">
        <v>4082</v>
      </c>
      <c r="D7751" s="81" t="s">
        <v>224</v>
      </c>
      <c r="E7751" s="81" t="s">
        <v>6520</v>
      </c>
      <c r="F7751" s="81" t="s">
        <v>224</v>
      </c>
      <c r="G7751" s="81" t="s">
        <v>224</v>
      </c>
      <c r="H7751" s="81" t="s">
        <v>224</v>
      </c>
      <c r="I7751" s="81" t="s">
        <v>224</v>
      </c>
      <c r="J7751" s="81" t="s">
        <v>6521</v>
      </c>
    </row>
    <row r="7752">
      <c r="A7752" s="83" t="s">
        <v>6649</v>
      </c>
      <c r="B7752" s="83" t="s">
        <v>6650</v>
      </c>
      <c r="C7752" s="81" t="s">
        <v>4082</v>
      </c>
      <c r="D7752" s="81" t="s">
        <v>224</v>
      </c>
      <c r="E7752" s="81" t="s">
        <v>6522</v>
      </c>
      <c r="F7752" s="81" t="s">
        <v>224</v>
      </c>
      <c r="G7752" s="81" t="s">
        <v>224</v>
      </c>
      <c r="H7752" s="81" t="s">
        <v>224</v>
      </c>
      <c r="I7752" s="81" t="s">
        <v>224</v>
      </c>
      <c r="J7752" s="81" t="s">
        <v>6521</v>
      </c>
    </row>
    <row r="7753">
      <c r="A7753" s="83" t="s">
        <v>6649</v>
      </c>
      <c r="B7753" s="83" t="s">
        <v>6650</v>
      </c>
      <c r="C7753" s="81" t="s">
        <v>4082</v>
      </c>
      <c r="D7753" s="81" t="s">
        <v>224</v>
      </c>
      <c r="E7753" s="81" t="s">
        <v>6523</v>
      </c>
      <c r="F7753" s="81" t="s">
        <v>224</v>
      </c>
      <c r="G7753" s="81" t="s">
        <v>224</v>
      </c>
      <c r="H7753" s="81" t="s">
        <v>224</v>
      </c>
      <c r="I7753" s="81" t="s">
        <v>224</v>
      </c>
      <c r="J7753" s="81" t="s">
        <v>6524</v>
      </c>
    </row>
    <row r="7754">
      <c r="A7754" s="83" t="s">
        <v>6649</v>
      </c>
      <c r="B7754" s="83" t="s">
        <v>6650</v>
      </c>
      <c r="C7754" s="81" t="s">
        <v>4082</v>
      </c>
      <c r="D7754" s="81" t="s">
        <v>224</v>
      </c>
      <c r="E7754" s="81" t="s">
        <v>6525</v>
      </c>
      <c r="F7754" s="81" t="s">
        <v>224</v>
      </c>
      <c r="G7754" s="81" t="s">
        <v>224</v>
      </c>
      <c r="H7754" s="81" t="s">
        <v>224</v>
      </c>
      <c r="I7754" s="81" t="s">
        <v>224</v>
      </c>
      <c r="J7754" s="81" t="s">
        <v>6526</v>
      </c>
    </row>
    <row r="7755">
      <c r="A7755" s="83" t="s">
        <v>6649</v>
      </c>
      <c r="B7755" s="83" t="s">
        <v>6650</v>
      </c>
      <c r="C7755" s="81" t="s">
        <v>4082</v>
      </c>
      <c r="D7755" s="81" t="s">
        <v>224</v>
      </c>
      <c r="E7755" s="81" t="s">
        <v>6527</v>
      </c>
      <c r="F7755" s="81" t="s">
        <v>224</v>
      </c>
      <c r="G7755" s="81" t="s">
        <v>224</v>
      </c>
      <c r="H7755" s="81" t="s">
        <v>224</v>
      </c>
      <c r="I7755" s="81" t="s">
        <v>224</v>
      </c>
      <c r="J7755" s="81" t="s">
        <v>6528</v>
      </c>
    </row>
    <row r="7756">
      <c r="A7756" s="83" t="s">
        <v>6649</v>
      </c>
      <c r="B7756" s="83" t="s">
        <v>6650</v>
      </c>
      <c r="C7756" s="81" t="s">
        <v>4082</v>
      </c>
      <c r="D7756" s="81" t="s">
        <v>224</v>
      </c>
      <c r="E7756" s="81" t="s">
        <v>6738</v>
      </c>
      <c r="F7756" s="81" t="s">
        <v>224</v>
      </c>
      <c r="G7756" s="81" t="s">
        <v>224</v>
      </c>
      <c r="H7756" s="81" t="s">
        <v>224</v>
      </c>
      <c r="I7756" s="81" t="s">
        <v>224</v>
      </c>
      <c r="J7756" s="81" t="s">
        <v>6734</v>
      </c>
    </row>
    <row r="7757">
      <c r="A7757" s="83" t="s">
        <v>6649</v>
      </c>
      <c r="B7757" s="83" t="s">
        <v>6650</v>
      </c>
      <c r="C7757" s="81" t="s">
        <v>4082</v>
      </c>
      <c r="D7757" s="81" t="s">
        <v>224</v>
      </c>
      <c r="E7757" s="81" t="s">
        <v>6529</v>
      </c>
      <c r="F7757" s="81" t="s">
        <v>224</v>
      </c>
      <c r="G7757" s="81" t="s">
        <v>224</v>
      </c>
      <c r="H7757" s="81" t="s">
        <v>224</v>
      </c>
      <c r="I7757" s="81" t="s">
        <v>224</v>
      </c>
      <c r="J7757" s="81" t="s">
        <v>6530</v>
      </c>
    </row>
    <row r="7758">
      <c r="A7758" s="83" t="s">
        <v>6649</v>
      </c>
      <c r="B7758" s="83" t="s">
        <v>6650</v>
      </c>
      <c r="C7758" s="81" t="s">
        <v>4082</v>
      </c>
      <c r="D7758" s="81" t="s">
        <v>224</v>
      </c>
      <c r="E7758" s="81" t="s">
        <v>6531</v>
      </c>
      <c r="F7758" s="81" t="s">
        <v>224</v>
      </c>
      <c r="G7758" s="81" t="s">
        <v>224</v>
      </c>
      <c r="H7758" s="81" t="s">
        <v>224</v>
      </c>
      <c r="I7758" s="81" t="s">
        <v>224</v>
      </c>
      <c r="J7758" s="81" t="s">
        <v>6530</v>
      </c>
    </row>
    <row r="7759">
      <c r="A7759" s="83" t="s">
        <v>6649</v>
      </c>
      <c r="B7759" s="83" t="s">
        <v>6650</v>
      </c>
      <c r="C7759" s="81" t="s">
        <v>4082</v>
      </c>
      <c r="D7759" s="81" t="s">
        <v>224</v>
      </c>
      <c r="E7759" s="81" t="s">
        <v>6532</v>
      </c>
      <c r="F7759" s="81" t="s">
        <v>224</v>
      </c>
      <c r="G7759" s="81" t="s">
        <v>224</v>
      </c>
      <c r="H7759" s="81" t="s">
        <v>224</v>
      </c>
      <c r="I7759" s="81" t="s">
        <v>224</v>
      </c>
      <c r="J7759" s="81" t="s">
        <v>6533</v>
      </c>
    </row>
    <row r="7760">
      <c r="A7760" s="83" t="s">
        <v>6649</v>
      </c>
      <c r="B7760" s="83" t="s">
        <v>6650</v>
      </c>
      <c r="C7760" s="81" t="s">
        <v>4082</v>
      </c>
      <c r="D7760" s="81" t="s">
        <v>224</v>
      </c>
      <c r="E7760" s="81" t="s">
        <v>6534</v>
      </c>
      <c r="F7760" s="81" t="s">
        <v>224</v>
      </c>
      <c r="G7760" s="81" t="s">
        <v>224</v>
      </c>
      <c r="H7760" s="81" t="s">
        <v>224</v>
      </c>
      <c r="I7760" s="81" t="s">
        <v>224</v>
      </c>
      <c r="J7760" s="81" t="s">
        <v>6533</v>
      </c>
    </row>
    <row r="7761">
      <c r="A7761" s="83" t="s">
        <v>6649</v>
      </c>
      <c r="B7761" s="83" t="s">
        <v>6650</v>
      </c>
      <c r="C7761" s="81" t="s">
        <v>4082</v>
      </c>
      <c r="D7761" s="81" t="s">
        <v>224</v>
      </c>
      <c r="E7761" s="81" t="s">
        <v>6535</v>
      </c>
      <c r="F7761" s="81" t="s">
        <v>224</v>
      </c>
      <c r="G7761" s="81" t="s">
        <v>224</v>
      </c>
      <c r="H7761" s="81" t="s">
        <v>224</v>
      </c>
      <c r="I7761" s="81" t="s">
        <v>224</v>
      </c>
      <c r="J7761" s="81" t="s">
        <v>6536</v>
      </c>
    </row>
    <row r="7762">
      <c r="A7762" s="83" t="s">
        <v>6649</v>
      </c>
      <c r="B7762" s="83" t="s">
        <v>6650</v>
      </c>
      <c r="C7762" s="81" t="s">
        <v>4082</v>
      </c>
      <c r="D7762" s="81" t="s">
        <v>224</v>
      </c>
      <c r="E7762" s="81" t="s">
        <v>6537</v>
      </c>
      <c r="F7762" s="81" t="s">
        <v>224</v>
      </c>
      <c r="G7762" s="81" t="s">
        <v>224</v>
      </c>
      <c r="H7762" s="81" t="s">
        <v>224</v>
      </c>
      <c r="I7762" s="81" t="s">
        <v>224</v>
      </c>
      <c r="J7762" s="81" t="s">
        <v>6536</v>
      </c>
    </row>
    <row r="7763">
      <c r="A7763" s="83" t="s">
        <v>6649</v>
      </c>
      <c r="B7763" s="83" t="s">
        <v>6650</v>
      </c>
      <c r="C7763" s="81" t="s">
        <v>4082</v>
      </c>
      <c r="D7763" s="81" t="s">
        <v>224</v>
      </c>
      <c r="E7763" s="81" t="s">
        <v>6538</v>
      </c>
      <c r="F7763" s="81" t="s">
        <v>224</v>
      </c>
      <c r="G7763" s="81" t="s">
        <v>224</v>
      </c>
      <c r="H7763" s="81" t="s">
        <v>224</v>
      </c>
      <c r="I7763" s="81" t="s">
        <v>224</v>
      </c>
      <c r="J7763" s="81" t="s">
        <v>6539</v>
      </c>
    </row>
    <row r="7764">
      <c r="A7764" s="83" t="s">
        <v>6649</v>
      </c>
      <c r="B7764" s="83" t="s">
        <v>6650</v>
      </c>
      <c r="C7764" s="81" t="s">
        <v>4082</v>
      </c>
      <c r="D7764" s="81" t="s">
        <v>224</v>
      </c>
      <c r="E7764" s="81" t="s">
        <v>6540</v>
      </c>
      <c r="F7764" s="81" t="s">
        <v>224</v>
      </c>
      <c r="G7764" s="81" t="s">
        <v>224</v>
      </c>
      <c r="H7764" s="81" t="s">
        <v>224</v>
      </c>
      <c r="I7764" s="81" t="s">
        <v>224</v>
      </c>
      <c r="J7764" s="81" t="s">
        <v>6539</v>
      </c>
    </row>
    <row r="7765">
      <c r="A7765" s="83" t="s">
        <v>6649</v>
      </c>
      <c r="B7765" s="83" t="s">
        <v>6650</v>
      </c>
      <c r="C7765" s="81" t="s">
        <v>4082</v>
      </c>
      <c r="D7765" s="81" t="s">
        <v>224</v>
      </c>
      <c r="E7765" s="81" t="s">
        <v>6541</v>
      </c>
      <c r="F7765" s="81" t="s">
        <v>224</v>
      </c>
      <c r="G7765" s="81" t="s">
        <v>224</v>
      </c>
      <c r="H7765" s="81" t="s">
        <v>224</v>
      </c>
      <c r="I7765" s="81" t="s">
        <v>224</v>
      </c>
      <c r="J7765" s="81" t="s">
        <v>6542</v>
      </c>
    </row>
    <row r="7766">
      <c r="A7766" s="83" t="s">
        <v>6649</v>
      </c>
      <c r="B7766" s="83" t="s">
        <v>6650</v>
      </c>
      <c r="C7766" s="81" t="s">
        <v>4082</v>
      </c>
      <c r="D7766" s="81" t="s">
        <v>224</v>
      </c>
      <c r="E7766" s="81" t="s">
        <v>6543</v>
      </c>
      <c r="F7766" s="81" t="s">
        <v>224</v>
      </c>
      <c r="G7766" s="81" t="s">
        <v>224</v>
      </c>
      <c r="H7766" s="81" t="s">
        <v>224</v>
      </c>
      <c r="I7766" s="81" t="s">
        <v>224</v>
      </c>
      <c r="J7766" s="81" t="s">
        <v>6542</v>
      </c>
    </row>
    <row r="7767">
      <c r="A7767" s="83" t="s">
        <v>6649</v>
      </c>
      <c r="B7767" s="83" t="s">
        <v>6650</v>
      </c>
      <c r="C7767" s="81" t="s">
        <v>4082</v>
      </c>
      <c r="D7767" s="81" t="s">
        <v>224</v>
      </c>
      <c r="E7767" s="81" t="s">
        <v>6544</v>
      </c>
      <c r="F7767" s="81" t="s">
        <v>224</v>
      </c>
      <c r="G7767" s="81" t="s">
        <v>224</v>
      </c>
      <c r="H7767" s="81" t="s">
        <v>224</v>
      </c>
      <c r="I7767" s="81" t="s">
        <v>224</v>
      </c>
      <c r="J7767" s="81" t="s">
        <v>6545</v>
      </c>
    </row>
    <row r="7768">
      <c r="A7768" s="83" t="s">
        <v>6649</v>
      </c>
      <c r="B7768" s="83" t="s">
        <v>6650</v>
      </c>
      <c r="C7768" s="81" t="s">
        <v>4082</v>
      </c>
      <c r="D7768" s="81" t="s">
        <v>224</v>
      </c>
      <c r="E7768" s="81" t="s">
        <v>6546</v>
      </c>
      <c r="F7768" s="81" t="s">
        <v>224</v>
      </c>
      <c r="G7768" s="81" t="s">
        <v>224</v>
      </c>
      <c r="H7768" s="81" t="s">
        <v>224</v>
      </c>
      <c r="I7768" s="81" t="s">
        <v>224</v>
      </c>
      <c r="J7768" s="81" t="s">
        <v>6545</v>
      </c>
    </row>
    <row r="7769">
      <c r="A7769" s="83" t="s">
        <v>6649</v>
      </c>
      <c r="B7769" s="83" t="s">
        <v>6650</v>
      </c>
      <c r="C7769" s="81" t="s">
        <v>4082</v>
      </c>
      <c r="D7769" s="81" t="s">
        <v>224</v>
      </c>
      <c r="E7769" s="81" t="s">
        <v>6547</v>
      </c>
      <c r="F7769" s="81" t="s">
        <v>224</v>
      </c>
      <c r="G7769" s="81" t="s">
        <v>224</v>
      </c>
      <c r="H7769" s="81" t="s">
        <v>224</v>
      </c>
      <c r="I7769" s="81" t="s">
        <v>224</v>
      </c>
      <c r="J7769" s="81" t="s">
        <v>6548</v>
      </c>
    </row>
    <row r="7770">
      <c r="A7770" s="83" t="s">
        <v>6649</v>
      </c>
      <c r="B7770" s="83" t="s">
        <v>6650</v>
      </c>
      <c r="C7770" s="81" t="s">
        <v>4082</v>
      </c>
      <c r="D7770" s="81" t="s">
        <v>224</v>
      </c>
      <c r="E7770" s="81" t="s">
        <v>6549</v>
      </c>
      <c r="F7770" s="81" t="s">
        <v>224</v>
      </c>
      <c r="G7770" s="81" t="s">
        <v>224</v>
      </c>
      <c r="H7770" s="81" t="s">
        <v>224</v>
      </c>
      <c r="I7770" s="81" t="s">
        <v>224</v>
      </c>
      <c r="J7770" s="81" t="s">
        <v>6548</v>
      </c>
    </row>
    <row r="7771">
      <c r="A7771" s="83" t="s">
        <v>6649</v>
      </c>
      <c r="B7771" s="83" t="s">
        <v>6650</v>
      </c>
      <c r="C7771" s="81" t="s">
        <v>4082</v>
      </c>
      <c r="D7771" s="81" t="s">
        <v>224</v>
      </c>
      <c r="E7771" s="81" t="s">
        <v>6550</v>
      </c>
      <c r="F7771" s="81" t="s">
        <v>224</v>
      </c>
      <c r="G7771" s="81" t="s">
        <v>224</v>
      </c>
      <c r="H7771" s="81" t="s">
        <v>224</v>
      </c>
      <c r="I7771" s="81" t="s">
        <v>224</v>
      </c>
      <c r="J7771" s="81" t="s">
        <v>6551</v>
      </c>
    </row>
    <row r="7772">
      <c r="A7772" s="83" t="s">
        <v>6649</v>
      </c>
      <c r="B7772" s="83" t="s">
        <v>6650</v>
      </c>
      <c r="C7772" s="81" t="s">
        <v>4082</v>
      </c>
      <c r="D7772" s="81" t="s">
        <v>224</v>
      </c>
      <c r="E7772" s="81" t="s">
        <v>6552</v>
      </c>
      <c r="F7772" s="81" t="s">
        <v>224</v>
      </c>
      <c r="G7772" s="81" t="s">
        <v>224</v>
      </c>
      <c r="H7772" s="81" t="s">
        <v>224</v>
      </c>
      <c r="I7772" s="81" t="s">
        <v>224</v>
      </c>
      <c r="J7772" s="81" t="s">
        <v>6551</v>
      </c>
    </row>
    <row r="7773">
      <c r="A7773" s="83" t="s">
        <v>6649</v>
      </c>
      <c r="B7773" s="83" t="s">
        <v>6650</v>
      </c>
      <c r="C7773" s="81" t="s">
        <v>4082</v>
      </c>
      <c r="D7773" s="81" t="s">
        <v>224</v>
      </c>
      <c r="E7773" s="81" t="s">
        <v>6553</v>
      </c>
      <c r="F7773" s="81" t="s">
        <v>224</v>
      </c>
      <c r="G7773" s="81" t="s">
        <v>224</v>
      </c>
      <c r="H7773" s="81" t="s">
        <v>224</v>
      </c>
      <c r="I7773" s="81" t="s">
        <v>224</v>
      </c>
      <c r="J7773" s="81" t="s">
        <v>6554</v>
      </c>
    </row>
    <row r="7774">
      <c r="A7774" s="83" t="s">
        <v>6649</v>
      </c>
      <c r="B7774" s="83" t="s">
        <v>6650</v>
      </c>
      <c r="C7774" s="81" t="s">
        <v>4082</v>
      </c>
      <c r="D7774" s="81" t="s">
        <v>224</v>
      </c>
      <c r="E7774" s="81" t="s">
        <v>6555</v>
      </c>
      <c r="F7774" s="81" t="s">
        <v>224</v>
      </c>
      <c r="G7774" s="81" t="s">
        <v>224</v>
      </c>
      <c r="H7774" s="81" t="s">
        <v>224</v>
      </c>
      <c r="I7774" s="81" t="s">
        <v>224</v>
      </c>
      <c r="J7774" s="81" t="s">
        <v>6554</v>
      </c>
    </row>
    <row r="7775">
      <c r="A7775" s="83" t="s">
        <v>6649</v>
      </c>
      <c r="B7775" s="83" t="s">
        <v>6650</v>
      </c>
      <c r="C7775" s="81" t="s">
        <v>4082</v>
      </c>
      <c r="D7775" s="81" t="s">
        <v>224</v>
      </c>
      <c r="E7775" s="81" t="s">
        <v>6556</v>
      </c>
      <c r="F7775" s="81" t="s">
        <v>224</v>
      </c>
      <c r="G7775" s="81" t="s">
        <v>224</v>
      </c>
      <c r="H7775" s="81" t="s">
        <v>224</v>
      </c>
      <c r="I7775" s="81" t="s">
        <v>224</v>
      </c>
      <c r="J7775" s="81" t="s">
        <v>6557</v>
      </c>
    </row>
    <row r="7776">
      <c r="A7776" s="83" t="s">
        <v>6649</v>
      </c>
      <c r="B7776" s="83" t="s">
        <v>6650</v>
      </c>
      <c r="C7776" s="81" t="s">
        <v>4082</v>
      </c>
      <c r="D7776" s="81" t="s">
        <v>224</v>
      </c>
      <c r="E7776" s="81" t="s">
        <v>6558</v>
      </c>
      <c r="F7776" s="81" t="s">
        <v>224</v>
      </c>
      <c r="G7776" s="81" t="s">
        <v>224</v>
      </c>
      <c r="H7776" s="81" t="s">
        <v>224</v>
      </c>
      <c r="I7776" s="81" t="s">
        <v>224</v>
      </c>
      <c r="J7776" s="81" t="s">
        <v>6559</v>
      </c>
    </row>
    <row r="7777">
      <c r="A7777" s="83" t="s">
        <v>6649</v>
      </c>
      <c r="B7777" s="83" t="s">
        <v>6650</v>
      </c>
      <c r="C7777" s="81" t="s">
        <v>4082</v>
      </c>
      <c r="D7777" s="81" t="s">
        <v>224</v>
      </c>
      <c r="E7777" s="81" t="s">
        <v>6739</v>
      </c>
      <c r="F7777" s="81" t="s">
        <v>224</v>
      </c>
      <c r="G7777" s="81" t="s">
        <v>224</v>
      </c>
      <c r="H7777" s="81" t="s">
        <v>224</v>
      </c>
      <c r="I7777" s="81" t="s">
        <v>224</v>
      </c>
      <c r="J7777" s="81" t="s">
        <v>6734</v>
      </c>
    </row>
    <row r="7778">
      <c r="A7778" s="83" t="s">
        <v>6649</v>
      </c>
      <c r="B7778" s="83" t="s">
        <v>6650</v>
      </c>
      <c r="C7778" s="81" t="s">
        <v>4082</v>
      </c>
      <c r="D7778" s="81" t="s">
        <v>224</v>
      </c>
      <c r="E7778" s="81" t="s">
        <v>6740</v>
      </c>
      <c r="F7778" s="81" t="s">
        <v>224</v>
      </c>
      <c r="G7778" s="81" t="s">
        <v>224</v>
      </c>
      <c r="H7778" s="81" t="s">
        <v>224</v>
      </c>
      <c r="I7778" s="81" t="s">
        <v>224</v>
      </c>
      <c r="J7778" s="81" t="s">
        <v>6734</v>
      </c>
    </row>
    <row r="7779">
      <c r="A7779" s="83" t="s">
        <v>6649</v>
      </c>
      <c r="B7779" s="83" t="s">
        <v>6650</v>
      </c>
      <c r="C7779" s="81" t="s">
        <v>4082</v>
      </c>
      <c r="D7779" s="81" t="s">
        <v>224</v>
      </c>
      <c r="E7779" s="81" t="s">
        <v>6741</v>
      </c>
      <c r="F7779" s="81" t="s">
        <v>224</v>
      </c>
      <c r="G7779" s="81" t="s">
        <v>224</v>
      </c>
      <c r="H7779" s="81" t="s">
        <v>224</v>
      </c>
      <c r="I7779" s="81" t="s">
        <v>224</v>
      </c>
      <c r="J7779" s="81" t="s">
        <v>6734</v>
      </c>
    </row>
    <row r="7780">
      <c r="A7780" s="83" t="s">
        <v>6649</v>
      </c>
      <c r="B7780" s="83" t="s">
        <v>6650</v>
      </c>
      <c r="C7780" s="81" t="s">
        <v>4082</v>
      </c>
      <c r="D7780" s="81" t="s">
        <v>224</v>
      </c>
      <c r="E7780" s="81" t="s">
        <v>6742</v>
      </c>
      <c r="F7780" s="81" t="s">
        <v>224</v>
      </c>
      <c r="G7780" s="81" t="s">
        <v>224</v>
      </c>
      <c r="H7780" s="81" t="s">
        <v>224</v>
      </c>
      <c r="I7780" s="81" t="s">
        <v>224</v>
      </c>
      <c r="J7780" s="81" t="s">
        <v>6734</v>
      </c>
    </row>
    <row r="7781">
      <c r="A7781" s="83" t="s">
        <v>6649</v>
      </c>
      <c r="B7781" s="83" t="s">
        <v>6650</v>
      </c>
      <c r="C7781" s="81" t="s">
        <v>4082</v>
      </c>
      <c r="D7781" s="81" t="s">
        <v>224</v>
      </c>
      <c r="E7781" s="81" t="s">
        <v>6743</v>
      </c>
      <c r="F7781" s="81" t="s">
        <v>224</v>
      </c>
      <c r="G7781" s="81" t="s">
        <v>224</v>
      </c>
      <c r="H7781" s="81" t="s">
        <v>224</v>
      </c>
      <c r="I7781" s="81" t="s">
        <v>224</v>
      </c>
      <c r="J7781" s="81" t="s">
        <v>6734</v>
      </c>
    </row>
    <row r="7782">
      <c r="A7782" s="83" t="s">
        <v>6649</v>
      </c>
      <c r="B7782" s="83" t="s">
        <v>6650</v>
      </c>
      <c r="C7782" s="81" t="s">
        <v>4082</v>
      </c>
      <c r="D7782" s="81" t="s">
        <v>224</v>
      </c>
      <c r="E7782" s="81" t="s">
        <v>6560</v>
      </c>
      <c r="F7782" s="81" t="s">
        <v>224</v>
      </c>
      <c r="G7782" s="81" t="s">
        <v>224</v>
      </c>
      <c r="H7782" s="81" t="s">
        <v>224</v>
      </c>
      <c r="I7782" s="81" t="s">
        <v>224</v>
      </c>
      <c r="J7782" s="81" t="s">
        <v>6561</v>
      </c>
    </row>
    <row r="7783">
      <c r="A7783" s="83" t="s">
        <v>6649</v>
      </c>
      <c r="B7783" s="83" t="s">
        <v>6650</v>
      </c>
      <c r="C7783" s="81" t="s">
        <v>4082</v>
      </c>
      <c r="D7783" s="81" t="s">
        <v>224</v>
      </c>
      <c r="E7783" s="81" t="s">
        <v>6562</v>
      </c>
      <c r="F7783" s="81" t="s">
        <v>224</v>
      </c>
      <c r="G7783" s="81" t="s">
        <v>224</v>
      </c>
      <c r="H7783" s="81" t="s">
        <v>224</v>
      </c>
      <c r="I7783" s="81" t="s">
        <v>224</v>
      </c>
      <c r="J7783" s="81" t="s">
        <v>6563</v>
      </c>
    </row>
    <row r="7784">
      <c r="A7784" s="83" t="s">
        <v>6649</v>
      </c>
      <c r="B7784" s="83" t="s">
        <v>6650</v>
      </c>
      <c r="C7784" s="81" t="s">
        <v>4082</v>
      </c>
      <c r="D7784" s="81" t="s">
        <v>224</v>
      </c>
      <c r="E7784" s="81" t="s">
        <v>6564</v>
      </c>
      <c r="F7784" s="81" t="s">
        <v>224</v>
      </c>
      <c r="G7784" s="81" t="s">
        <v>224</v>
      </c>
      <c r="H7784" s="81" t="s">
        <v>224</v>
      </c>
      <c r="I7784" s="81" t="s">
        <v>224</v>
      </c>
      <c r="J7784" s="81" t="s">
        <v>6565</v>
      </c>
    </row>
    <row r="7785">
      <c r="A7785" s="83" t="s">
        <v>6649</v>
      </c>
      <c r="B7785" s="83" t="s">
        <v>6650</v>
      </c>
      <c r="C7785" s="81" t="s">
        <v>4082</v>
      </c>
      <c r="D7785" s="81" t="s">
        <v>224</v>
      </c>
      <c r="E7785" s="81" t="s">
        <v>6566</v>
      </c>
      <c r="F7785" s="81" t="s">
        <v>224</v>
      </c>
      <c r="G7785" s="81" t="s">
        <v>224</v>
      </c>
      <c r="H7785" s="81" t="s">
        <v>224</v>
      </c>
      <c r="I7785" s="81" t="s">
        <v>224</v>
      </c>
      <c r="J7785" s="81" t="s">
        <v>6567</v>
      </c>
    </row>
    <row r="7786">
      <c r="A7786" s="83" t="s">
        <v>6649</v>
      </c>
      <c r="B7786" s="83" t="s">
        <v>6650</v>
      </c>
      <c r="C7786" s="81" t="s">
        <v>4082</v>
      </c>
      <c r="D7786" s="81" t="s">
        <v>224</v>
      </c>
      <c r="E7786" s="81" t="s">
        <v>6568</v>
      </c>
      <c r="F7786" s="81" t="s">
        <v>224</v>
      </c>
      <c r="G7786" s="81" t="s">
        <v>224</v>
      </c>
      <c r="H7786" s="81" t="s">
        <v>224</v>
      </c>
      <c r="I7786" s="81" t="s">
        <v>224</v>
      </c>
      <c r="J7786" s="81" t="s">
        <v>6569</v>
      </c>
    </row>
    <row r="7787">
      <c r="A7787" s="83" t="s">
        <v>6649</v>
      </c>
      <c r="B7787" s="83" t="s">
        <v>6650</v>
      </c>
      <c r="C7787" s="81" t="s">
        <v>4082</v>
      </c>
      <c r="D7787" s="81" t="s">
        <v>224</v>
      </c>
      <c r="E7787" s="81" t="s">
        <v>6744</v>
      </c>
      <c r="F7787" s="81" t="s">
        <v>224</v>
      </c>
      <c r="G7787" s="81" t="s">
        <v>224</v>
      </c>
      <c r="H7787" s="81" t="s">
        <v>224</v>
      </c>
      <c r="I7787" s="81" t="s">
        <v>224</v>
      </c>
      <c r="J7787" s="81" t="s">
        <v>6734</v>
      </c>
    </row>
    <row r="7788">
      <c r="A7788" s="83" t="s">
        <v>6649</v>
      </c>
      <c r="B7788" s="83" t="s">
        <v>6650</v>
      </c>
      <c r="C7788" s="81" t="s">
        <v>4082</v>
      </c>
      <c r="D7788" s="81" t="s">
        <v>224</v>
      </c>
      <c r="E7788" s="81" t="s">
        <v>6570</v>
      </c>
      <c r="F7788" s="81" t="s">
        <v>224</v>
      </c>
      <c r="G7788" s="81" t="s">
        <v>224</v>
      </c>
      <c r="H7788" s="81" t="s">
        <v>224</v>
      </c>
      <c r="I7788" s="81" t="s">
        <v>224</v>
      </c>
      <c r="J7788" s="81" t="s">
        <v>6571</v>
      </c>
    </row>
    <row r="7789">
      <c r="A7789" s="83" t="s">
        <v>6649</v>
      </c>
      <c r="B7789" s="83" t="s">
        <v>6650</v>
      </c>
      <c r="C7789" s="81" t="s">
        <v>4082</v>
      </c>
      <c r="D7789" s="81" t="s">
        <v>224</v>
      </c>
      <c r="E7789" s="81" t="s">
        <v>6572</v>
      </c>
      <c r="F7789" s="81" t="s">
        <v>224</v>
      </c>
      <c r="G7789" s="81" t="s">
        <v>224</v>
      </c>
      <c r="H7789" s="81" t="s">
        <v>224</v>
      </c>
      <c r="I7789" s="81" t="s">
        <v>224</v>
      </c>
      <c r="J7789" s="81" t="s">
        <v>6571</v>
      </c>
    </row>
    <row r="7790">
      <c r="A7790" s="83" t="s">
        <v>6649</v>
      </c>
      <c r="B7790" s="83" t="s">
        <v>6650</v>
      </c>
      <c r="C7790" s="81" t="s">
        <v>4082</v>
      </c>
      <c r="D7790" s="81" t="s">
        <v>224</v>
      </c>
      <c r="E7790" s="81" t="s">
        <v>6573</v>
      </c>
      <c r="F7790" s="81" t="s">
        <v>224</v>
      </c>
      <c r="G7790" s="81" t="s">
        <v>224</v>
      </c>
      <c r="H7790" s="81" t="s">
        <v>224</v>
      </c>
      <c r="I7790" s="81" t="s">
        <v>224</v>
      </c>
      <c r="J7790" s="81" t="s">
        <v>6574</v>
      </c>
    </row>
    <row r="7791">
      <c r="A7791" s="83" t="s">
        <v>6649</v>
      </c>
      <c r="B7791" s="83" t="s">
        <v>6650</v>
      </c>
      <c r="C7791" s="81" t="s">
        <v>4082</v>
      </c>
      <c r="D7791" s="81" t="s">
        <v>224</v>
      </c>
      <c r="E7791" s="81" t="s">
        <v>6575</v>
      </c>
      <c r="F7791" s="81" t="s">
        <v>224</v>
      </c>
      <c r="G7791" s="81" t="s">
        <v>224</v>
      </c>
      <c r="H7791" s="81" t="s">
        <v>224</v>
      </c>
      <c r="I7791" s="81" t="s">
        <v>224</v>
      </c>
      <c r="J7791" s="81" t="s">
        <v>6574</v>
      </c>
    </row>
    <row r="7792">
      <c r="A7792" s="83" t="s">
        <v>6649</v>
      </c>
      <c r="B7792" s="83" t="s">
        <v>6650</v>
      </c>
      <c r="C7792" s="81" t="s">
        <v>4082</v>
      </c>
      <c r="D7792" s="81" t="s">
        <v>224</v>
      </c>
      <c r="E7792" s="81" t="s">
        <v>6745</v>
      </c>
      <c r="F7792" s="81" t="s">
        <v>224</v>
      </c>
      <c r="G7792" s="81" t="s">
        <v>224</v>
      </c>
      <c r="H7792" s="81" t="s">
        <v>224</v>
      </c>
      <c r="I7792" s="81" t="s">
        <v>224</v>
      </c>
      <c r="J7792" s="81" t="s">
        <v>6734</v>
      </c>
    </row>
    <row r="7793">
      <c r="A7793" s="83" t="s">
        <v>6649</v>
      </c>
      <c r="B7793" s="83" t="s">
        <v>6650</v>
      </c>
      <c r="C7793" s="81" t="s">
        <v>4082</v>
      </c>
      <c r="D7793" s="81" t="s">
        <v>224</v>
      </c>
      <c r="E7793" s="81" t="s">
        <v>6746</v>
      </c>
      <c r="F7793" s="81" t="s">
        <v>224</v>
      </c>
      <c r="G7793" s="81" t="s">
        <v>224</v>
      </c>
      <c r="H7793" s="81" t="s">
        <v>224</v>
      </c>
      <c r="I7793" s="81" t="s">
        <v>224</v>
      </c>
      <c r="J7793" s="81" t="s">
        <v>6734</v>
      </c>
    </row>
    <row r="7794">
      <c r="A7794" s="83" t="s">
        <v>6649</v>
      </c>
      <c r="B7794" s="83" t="s">
        <v>6650</v>
      </c>
      <c r="C7794" s="81" t="s">
        <v>4082</v>
      </c>
      <c r="D7794" s="81" t="s">
        <v>224</v>
      </c>
      <c r="E7794" s="81" t="s">
        <v>6576</v>
      </c>
      <c r="F7794" s="81" t="s">
        <v>224</v>
      </c>
      <c r="G7794" s="81" t="s">
        <v>224</v>
      </c>
      <c r="H7794" s="81" t="s">
        <v>224</v>
      </c>
      <c r="I7794" s="81" t="s">
        <v>224</v>
      </c>
      <c r="J7794" s="81" t="s">
        <v>6577</v>
      </c>
    </row>
    <row r="7795">
      <c r="A7795" s="83" t="s">
        <v>6649</v>
      </c>
      <c r="B7795" s="83" t="s">
        <v>6650</v>
      </c>
      <c r="C7795" s="81" t="s">
        <v>4082</v>
      </c>
      <c r="D7795" s="81" t="s">
        <v>224</v>
      </c>
      <c r="E7795" s="81" t="s">
        <v>6578</v>
      </c>
      <c r="F7795" s="81" t="s">
        <v>224</v>
      </c>
      <c r="G7795" s="81" t="s">
        <v>224</v>
      </c>
      <c r="H7795" s="81" t="s">
        <v>224</v>
      </c>
      <c r="I7795" s="81" t="s">
        <v>224</v>
      </c>
      <c r="J7795" s="81" t="s">
        <v>6579</v>
      </c>
    </row>
    <row r="7796">
      <c r="A7796" s="83" t="s">
        <v>6649</v>
      </c>
      <c r="B7796" s="83" t="s">
        <v>6650</v>
      </c>
      <c r="C7796" s="81" t="s">
        <v>4082</v>
      </c>
      <c r="D7796" s="81" t="s">
        <v>224</v>
      </c>
      <c r="E7796" s="81" t="s">
        <v>6580</v>
      </c>
      <c r="F7796" s="81" t="s">
        <v>224</v>
      </c>
      <c r="G7796" s="81" t="s">
        <v>224</v>
      </c>
      <c r="H7796" s="81" t="s">
        <v>224</v>
      </c>
      <c r="I7796" s="81" t="s">
        <v>224</v>
      </c>
      <c r="J7796" s="81" t="s">
        <v>6579</v>
      </c>
    </row>
    <row r="7797">
      <c r="A7797" s="83" t="s">
        <v>6649</v>
      </c>
      <c r="B7797" s="83" t="s">
        <v>6650</v>
      </c>
      <c r="C7797" s="81" t="s">
        <v>4082</v>
      </c>
      <c r="D7797" s="81" t="s">
        <v>224</v>
      </c>
      <c r="E7797" s="81" t="s">
        <v>6581</v>
      </c>
      <c r="F7797" s="81" t="s">
        <v>224</v>
      </c>
      <c r="G7797" s="81" t="s">
        <v>224</v>
      </c>
      <c r="H7797" s="81" t="s">
        <v>224</v>
      </c>
      <c r="I7797" s="81" t="s">
        <v>224</v>
      </c>
      <c r="J7797" s="81" t="s">
        <v>6582</v>
      </c>
    </row>
    <row r="7798">
      <c r="A7798" s="83" t="s">
        <v>6649</v>
      </c>
      <c r="B7798" s="83" t="s">
        <v>6650</v>
      </c>
      <c r="C7798" s="81" t="s">
        <v>4082</v>
      </c>
      <c r="D7798" s="81" t="s">
        <v>224</v>
      </c>
      <c r="E7798" s="81" t="s">
        <v>6583</v>
      </c>
      <c r="F7798" s="81" t="s">
        <v>224</v>
      </c>
      <c r="G7798" s="81" t="s">
        <v>224</v>
      </c>
      <c r="H7798" s="81" t="s">
        <v>224</v>
      </c>
      <c r="I7798" s="81" t="s">
        <v>224</v>
      </c>
      <c r="J7798" s="81" t="s">
        <v>6582</v>
      </c>
    </row>
    <row r="7799">
      <c r="A7799" s="83" t="s">
        <v>6649</v>
      </c>
      <c r="B7799" s="83" t="s">
        <v>6650</v>
      </c>
      <c r="C7799" s="81" t="s">
        <v>4082</v>
      </c>
      <c r="D7799" s="81" t="s">
        <v>224</v>
      </c>
      <c r="E7799" s="81" t="s">
        <v>6584</v>
      </c>
      <c r="F7799" s="81" t="s">
        <v>224</v>
      </c>
      <c r="G7799" s="81" t="s">
        <v>224</v>
      </c>
      <c r="H7799" s="81" t="s">
        <v>224</v>
      </c>
      <c r="I7799" s="81" t="s">
        <v>224</v>
      </c>
      <c r="J7799" s="81" t="s">
        <v>6585</v>
      </c>
    </row>
    <row r="7800">
      <c r="A7800" s="83" t="s">
        <v>6649</v>
      </c>
      <c r="B7800" s="83" t="s">
        <v>6650</v>
      </c>
      <c r="C7800" s="81" t="s">
        <v>4082</v>
      </c>
      <c r="D7800" s="81" t="s">
        <v>224</v>
      </c>
      <c r="E7800" s="81" t="s">
        <v>6586</v>
      </c>
      <c r="F7800" s="81" t="s">
        <v>224</v>
      </c>
      <c r="G7800" s="81" t="s">
        <v>224</v>
      </c>
      <c r="H7800" s="81" t="s">
        <v>224</v>
      </c>
      <c r="I7800" s="81" t="s">
        <v>224</v>
      </c>
      <c r="J7800" s="81" t="s">
        <v>6585</v>
      </c>
    </row>
    <row r="7801">
      <c r="A7801" s="83" t="s">
        <v>6649</v>
      </c>
      <c r="B7801" s="83" t="s">
        <v>6650</v>
      </c>
      <c r="C7801" s="81" t="s">
        <v>4082</v>
      </c>
      <c r="D7801" s="81" t="s">
        <v>224</v>
      </c>
      <c r="E7801" s="81" t="s">
        <v>6587</v>
      </c>
      <c r="F7801" s="81" t="s">
        <v>224</v>
      </c>
      <c r="G7801" s="81" t="s">
        <v>224</v>
      </c>
      <c r="H7801" s="81" t="s">
        <v>224</v>
      </c>
      <c r="I7801" s="81" t="s">
        <v>224</v>
      </c>
      <c r="J7801" s="81" t="s">
        <v>6588</v>
      </c>
    </row>
    <row r="7802">
      <c r="A7802" s="83" t="s">
        <v>6649</v>
      </c>
      <c r="B7802" s="83" t="s">
        <v>6650</v>
      </c>
      <c r="C7802" s="81" t="s">
        <v>4082</v>
      </c>
      <c r="D7802" s="81" t="s">
        <v>224</v>
      </c>
      <c r="E7802" s="81" t="s">
        <v>6589</v>
      </c>
      <c r="F7802" s="81" t="s">
        <v>224</v>
      </c>
      <c r="G7802" s="81" t="s">
        <v>224</v>
      </c>
      <c r="H7802" s="81" t="s">
        <v>224</v>
      </c>
      <c r="I7802" s="81" t="s">
        <v>224</v>
      </c>
      <c r="J7802" s="81" t="s">
        <v>6588</v>
      </c>
    </row>
    <row r="7803">
      <c r="A7803" s="83" t="s">
        <v>6649</v>
      </c>
      <c r="B7803" s="83" t="s">
        <v>6650</v>
      </c>
      <c r="C7803" s="81" t="s">
        <v>4082</v>
      </c>
      <c r="D7803" s="81" t="s">
        <v>224</v>
      </c>
      <c r="E7803" s="81" t="s">
        <v>6590</v>
      </c>
      <c r="F7803" s="81" t="s">
        <v>224</v>
      </c>
      <c r="G7803" s="81" t="s">
        <v>224</v>
      </c>
      <c r="H7803" s="81" t="s">
        <v>224</v>
      </c>
      <c r="I7803" s="81" t="s">
        <v>224</v>
      </c>
      <c r="J7803" s="81" t="s">
        <v>6591</v>
      </c>
    </row>
    <row r="7804">
      <c r="A7804" s="83" t="s">
        <v>6649</v>
      </c>
      <c r="B7804" s="83" t="s">
        <v>6650</v>
      </c>
      <c r="C7804" s="81" t="s">
        <v>4082</v>
      </c>
      <c r="D7804" s="81" t="s">
        <v>224</v>
      </c>
      <c r="E7804" s="81" t="s">
        <v>6592</v>
      </c>
      <c r="F7804" s="81" t="s">
        <v>224</v>
      </c>
      <c r="G7804" s="81" t="s">
        <v>224</v>
      </c>
      <c r="H7804" s="81" t="s">
        <v>224</v>
      </c>
      <c r="I7804" s="81" t="s">
        <v>224</v>
      </c>
      <c r="J7804" s="81" t="s">
        <v>6591</v>
      </c>
    </row>
    <row r="7805">
      <c r="A7805" s="83" t="s">
        <v>6649</v>
      </c>
      <c r="B7805" s="83" t="s">
        <v>6650</v>
      </c>
      <c r="C7805" s="81" t="s">
        <v>4082</v>
      </c>
      <c r="D7805" s="81" t="s">
        <v>224</v>
      </c>
      <c r="E7805" s="81" t="s">
        <v>224</v>
      </c>
      <c r="F7805" s="81" t="s">
        <v>224</v>
      </c>
      <c r="G7805" s="81" t="s">
        <v>224</v>
      </c>
      <c r="H7805" s="81" t="s">
        <v>224</v>
      </c>
      <c r="I7805" s="81" t="s">
        <v>224</v>
      </c>
      <c r="J7805" s="81" t="s">
        <v>6747</v>
      </c>
    </row>
    <row r="7806">
      <c r="A7806" s="83" t="s">
        <v>6649</v>
      </c>
      <c r="B7806" s="83" t="s">
        <v>6650</v>
      </c>
      <c r="C7806" s="81" t="s">
        <v>4082</v>
      </c>
      <c r="D7806" s="83" t="s">
        <v>4201</v>
      </c>
      <c r="E7806" s="81" t="s">
        <v>754</v>
      </c>
      <c r="F7806" s="81">
        <v>127.0</v>
      </c>
      <c r="G7806" s="81" t="s">
        <v>39</v>
      </c>
      <c r="H7806" s="81" t="s">
        <v>224</v>
      </c>
      <c r="I7806" s="81" t="s">
        <v>224</v>
      </c>
      <c r="J7806" s="81" t="s">
        <v>5311</v>
      </c>
    </row>
    <row r="7807">
      <c r="A7807" s="83" t="s">
        <v>6649</v>
      </c>
      <c r="B7807" s="83" t="s">
        <v>6650</v>
      </c>
      <c r="C7807" s="81" t="s">
        <v>4082</v>
      </c>
      <c r="D7807" s="83" t="s">
        <v>4208</v>
      </c>
      <c r="E7807" s="81" t="s">
        <v>786</v>
      </c>
      <c r="F7807" s="81">
        <v>134.0</v>
      </c>
      <c r="G7807" s="81" t="s">
        <v>39</v>
      </c>
      <c r="H7807" s="81" t="s">
        <v>224</v>
      </c>
      <c r="I7807" s="81" t="s">
        <v>224</v>
      </c>
      <c r="J7807" s="81" t="s">
        <v>5322</v>
      </c>
    </row>
    <row r="7808">
      <c r="A7808" s="83" t="s">
        <v>6649</v>
      </c>
      <c r="B7808" s="83" t="s">
        <v>6650</v>
      </c>
      <c r="C7808" s="81" t="s">
        <v>4082</v>
      </c>
      <c r="D7808" s="83" t="s">
        <v>4211</v>
      </c>
      <c r="E7808" s="81" t="s">
        <v>798</v>
      </c>
      <c r="F7808" s="81">
        <v>137.0</v>
      </c>
      <c r="G7808" s="81" t="s">
        <v>39</v>
      </c>
      <c r="H7808" s="81" t="s">
        <v>224</v>
      </c>
      <c r="I7808" s="81" t="s">
        <v>224</v>
      </c>
      <c r="J7808" s="81" t="s">
        <v>5327</v>
      </c>
    </row>
    <row r="7809">
      <c r="A7809" s="83" t="s">
        <v>6649</v>
      </c>
      <c r="B7809" s="83" t="s">
        <v>6650</v>
      </c>
      <c r="C7809" s="81" t="s">
        <v>4082</v>
      </c>
      <c r="D7809" s="83" t="s">
        <v>4212</v>
      </c>
      <c r="E7809" s="81" t="s">
        <v>804</v>
      </c>
      <c r="F7809" s="81">
        <v>138.0</v>
      </c>
      <c r="G7809" s="81" t="s">
        <v>39</v>
      </c>
      <c r="H7809" s="81" t="s">
        <v>224</v>
      </c>
      <c r="I7809" s="81" t="s">
        <v>224</v>
      </c>
      <c r="J7809" s="81" t="s">
        <v>5330</v>
      </c>
    </row>
    <row r="7810">
      <c r="A7810" s="83" t="s">
        <v>6649</v>
      </c>
      <c r="B7810" s="83" t="s">
        <v>6650</v>
      </c>
      <c r="C7810" s="81" t="s">
        <v>4082</v>
      </c>
      <c r="D7810" s="83" t="s">
        <v>4238</v>
      </c>
      <c r="E7810" s="81" t="s">
        <v>918</v>
      </c>
      <c r="F7810" s="81">
        <v>163.0</v>
      </c>
      <c r="G7810" s="81" t="s">
        <v>41</v>
      </c>
      <c r="H7810" s="81" t="s">
        <v>924</v>
      </c>
      <c r="I7810" s="81" t="s">
        <v>224</v>
      </c>
      <c r="J7810" s="81" t="s">
        <v>6344</v>
      </c>
    </row>
    <row r="7811">
      <c r="A7811" s="83" t="s">
        <v>6649</v>
      </c>
      <c r="B7811" s="83" t="s">
        <v>6650</v>
      </c>
      <c r="C7811" s="81" t="s">
        <v>4082</v>
      </c>
      <c r="D7811" s="83" t="s">
        <v>4267</v>
      </c>
      <c r="E7811" s="81" t="s">
        <v>1050</v>
      </c>
      <c r="F7811" s="81">
        <v>199.0</v>
      </c>
      <c r="G7811" s="81" t="s">
        <v>41</v>
      </c>
      <c r="H7811" s="81" t="s">
        <v>1051</v>
      </c>
      <c r="I7811" s="81" t="s">
        <v>224</v>
      </c>
      <c r="J7811" s="81" t="s">
        <v>6345</v>
      </c>
    </row>
    <row r="7812">
      <c r="A7812" s="83" t="s">
        <v>6649</v>
      </c>
      <c r="B7812" s="83" t="s">
        <v>6650</v>
      </c>
      <c r="C7812" s="81" t="s">
        <v>5141</v>
      </c>
      <c r="D7812" s="83" t="s">
        <v>4285</v>
      </c>
      <c r="E7812" s="81" t="s">
        <v>1133</v>
      </c>
      <c r="F7812" s="81">
        <v>225.0</v>
      </c>
      <c r="G7812" s="81" t="s">
        <v>43</v>
      </c>
      <c r="H7812" s="81" t="s">
        <v>6748</v>
      </c>
      <c r="I7812" s="81" t="s">
        <v>224</v>
      </c>
      <c r="J7812" s="81" t="s">
        <v>6749</v>
      </c>
    </row>
    <row r="7813">
      <c r="A7813" s="83" t="s">
        <v>6649</v>
      </c>
      <c r="B7813" s="83" t="s">
        <v>6650</v>
      </c>
      <c r="C7813" s="81" t="s">
        <v>5141</v>
      </c>
      <c r="D7813" s="83" t="s">
        <v>4287</v>
      </c>
      <c r="E7813" s="81" t="s">
        <v>1138</v>
      </c>
      <c r="F7813" s="81">
        <v>226.0</v>
      </c>
      <c r="G7813" s="81" t="s">
        <v>43</v>
      </c>
      <c r="H7813" s="81" t="s">
        <v>6750</v>
      </c>
      <c r="I7813" s="81" t="s">
        <v>224</v>
      </c>
      <c r="J7813" s="81" t="s">
        <v>6749</v>
      </c>
    </row>
    <row r="7814">
      <c r="A7814" s="83" t="s">
        <v>6649</v>
      </c>
      <c r="B7814" s="83" t="s">
        <v>6650</v>
      </c>
      <c r="C7814" s="81" t="s">
        <v>5141</v>
      </c>
      <c r="D7814" s="83" t="s">
        <v>4289</v>
      </c>
      <c r="E7814" s="81" t="s">
        <v>1142</v>
      </c>
      <c r="F7814" s="81">
        <v>227.0</v>
      </c>
      <c r="G7814" s="81" t="s">
        <v>43</v>
      </c>
      <c r="H7814" s="81" t="s">
        <v>6750</v>
      </c>
      <c r="I7814" s="81" t="s">
        <v>224</v>
      </c>
      <c r="J7814" s="81" t="s">
        <v>6749</v>
      </c>
    </row>
    <row r="7815">
      <c r="A7815" s="83" t="s">
        <v>6649</v>
      </c>
      <c r="B7815" s="83" t="s">
        <v>6650</v>
      </c>
      <c r="C7815" s="81" t="s">
        <v>4082</v>
      </c>
      <c r="D7815" s="83" t="s">
        <v>4304</v>
      </c>
      <c r="E7815" s="81" t="s">
        <v>1232</v>
      </c>
      <c r="F7815" s="81">
        <v>244.0</v>
      </c>
      <c r="G7815" s="81" t="s">
        <v>41</v>
      </c>
      <c r="H7815" s="81" t="s">
        <v>1233</v>
      </c>
      <c r="I7815" s="81" t="s">
        <v>224</v>
      </c>
      <c r="J7815" s="81" t="s">
        <v>6346</v>
      </c>
    </row>
    <row r="7816">
      <c r="A7816" s="83" t="s">
        <v>6649</v>
      </c>
      <c r="B7816" s="83" t="s">
        <v>6650</v>
      </c>
      <c r="C7816" s="81" t="s">
        <v>4082</v>
      </c>
      <c r="D7816" s="83" t="s">
        <v>4306</v>
      </c>
      <c r="E7816" s="81" t="s">
        <v>1237</v>
      </c>
      <c r="F7816" s="81">
        <v>246.0</v>
      </c>
      <c r="G7816" s="81" t="s">
        <v>41</v>
      </c>
      <c r="H7816" s="81" t="s">
        <v>1237</v>
      </c>
      <c r="I7816" s="81" t="s">
        <v>224</v>
      </c>
      <c r="J7816" s="81" t="s">
        <v>6347</v>
      </c>
    </row>
    <row r="7817">
      <c r="A7817" s="83" t="s">
        <v>6649</v>
      </c>
      <c r="B7817" s="83" t="s">
        <v>6650</v>
      </c>
      <c r="C7817" s="81" t="s">
        <v>4082</v>
      </c>
      <c r="D7817" s="83" t="s">
        <v>4316</v>
      </c>
      <c r="E7817" s="81" t="s">
        <v>1313</v>
      </c>
      <c r="F7817" s="81">
        <v>256.0</v>
      </c>
      <c r="G7817" s="81" t="s">
        <v>39</v>
      </c>
      <c r="H7817" s="81" t="s">
        <v>224</v>
      </c>
      <c r="I7817" s="81" t="s">
        <v>224</v>
      </c>
      <c r="J7817" s="81" t="s">
        <v>5515</v>
      </c>
    </row>
    <row r="7818">
      <c r="A7818" s="83" t="s">
        <v>6649</v>
      </c>
      <c r="B7818" s="83" t="s">
        <v>6650</v>
      </c>
      <c r="C7818" s="81" t="s">
        <v>4082</v>
      </c>
      <c r="D7818" s="83" t="s">
        <v>4351</v>
      </c>
      <c r="E7818" s="81" t="s">
        <v>1470</v>
      </c>
      <c r="F7818" s="81">
        <v>283.0</v>
      </c>
      <c r="G7818" s="81" t="s">
        <v>41</v>
      </c>
      <c r="H7818" s="81" t="s">
        <v>55</v>
      </c>
      <c r="I7818" s="81" t="s">
        <v>224</v>
      </c>
      <c r="J7818" s="81" t="s">
        <v>6426</v>
      </c>
    </row>
    <row r="7819">
      <c r="A7819" s="83" t="s">
        <v>6649</v>
      </c>
      <c r="B7819" s="83" t="s">
        <v>6650</v>
      </c>
      <c r="C7819" s="81" t="s">
        <v>4082</v>
      </c>
      <c r="D7819" s="83" t="s">
        <v>4351</v>
      </c>
      <c r="E7819" s="81" t="s">
        <v>1474</v>
      </c>
      <c r="F7819" s="81">
        <v>284.0</v>
      </c>
      <c r="G7819" s="81" t="s">
        <v>41</v>
      </c>
      <c r="H7819" s="81" t="s">
        <v>1476</v>
      </c>
      <c r="I7819" s="81" t="s">
        <v>224</v>
      </c>
      <c r="J7819" s="81" t="s">
        <v>6348</v>
      </c>
    </row>
    <row r="7820">
      <c r="A7820" s="83" t="s">
        <v>6649</v>
      </c>
      <c r="B7820" s="83" t="s">
        <v>6650</v>
      </c>
      <c r="C7820" s="81" t="s">
        <v>5141</v>
      </c>
      <c r="D7820" s="83" t="s">
        <v>4357</v>
      </c>
      <c r="E7820" s="81" t="s">
        <v>1489</v>
      </c>
      <c r="F7820" s="81">
        <v>289.0</v>
      </c>
      <c r="G7820" s="81" t="s">
        <v>42</v>
      </c>
      <c r="H7820" s="81" t="s">
        <v>1497</v>
      </c>
      <c r="I7820" s="81" t="s">
        <v>224</v>
      </c>
      <c r="J7820" s="81" t="s">
        <v>6751</v>
      </c>
    </row>
    <row r="7821">
      <c r="A7821" s="83" t="s">
        <v>6649</v>
      </c>
      <c r="B7821" s="83" t="s">
        <v>6650</v>
      </c>
      <c r="C7821" s="81" t="s">
        <v>5141</v>
      </c>
      <c r="D7821" s="83" t="s">
        <v>4357</v>
      </c>
      <c r="E7821" s="81" t="s">
        <v>1501</v>
      </c>
      <c r="F7821" s="81">
        <v>290.0</v>
      </c>
      <c r="G7821" s="81" t="s">
        <v>42</v>
      </c>
      <c r="H7821" s="81" t="s">
        <v>1497</v>
      </c>
      <c r="I7821" s="81" t="s">
        <v>224</v>
      </c>
      <c r="J7821" s="81" t="s">
        <v>6751</v>
      </c>
    </row>
    <row r="7822">
      <c r="A7822" s="83" t="s">
        <v>6649</v>
      </c>
      <c r="B7822" s="83" t="s">
        <v>6650</v>
      </c>
      <c r="C7822" s="81" t="s">
        <v>5141</v>
      </c>
      <c r="D7822" s="83" t="s">
        <v>4358</v>
      </c>
      <c r="E7822" s="81" t="s">
        <v>1502</v>
      </c>
      <c r="F7822" s="81">
        <v>291.0</v>
      </c>
      <c r="G7822" s="81" t="s">
        <v>42</v>
      </c>
      <c r="H7822" s="81" t="s">
        <v>1497</v>
      </c>
      <c r="I7822" s="81" t="s">
        <v>224</v>
      </c>
      <c r="J7822" s="81" t="s">
        <v>6751</v>
      </c>
    </row>
    <row r="7823">
      <c r="A7823" s="83" t="s">
        <v>6649</v>
      </c>
      <c r="B7823" s="83" t="s">
        <v>6650</v>
      </c>
      <c r="C7823" s="81" t="s">
        <v>5141</v>
      </c>
      <c r="D7823" s="83" t="s">
        <v>4359</v>
      </c>
      <c r="E7823" s="81" t="s">
        <v>1505</v>
      </c>
      <c r="F7823" s="81">
        <v>292.0</v>
      </c>
      <c r="G7823" s="81" t="s">
        <v>42</v>
      </c>
      <c r="H7823" s="81" t="s">
        <v>1511</v>
      </c>
      <c r="I7823" s="81" t="s">
        <v>224</v>
      </c>
      <c r="J7823" s="81" t="s">
        <v>6751</v>
      </c>
    </row>
    <row r="7824">
      <c r="A7824" s="83" t="s">
        <v>6649</v>
      </c>
      <c r="B7824" s="83" t="s">
        <v>6650</v>
      </c>
      <c r="C7824" s="81" t="s">
        <v>5141</v>
      </c>
      <c r="D7824" s="83" t="s">
        <v>4359</v>
      </c>
      <c r="E7824" s="81" t="s">
        <v>1515</v>
      </c>
      <c r="F7824" s="81">
        <v>293.0</v>
      </c>
      <c r="G7824" s="81" t="s">
        <v>42</v>
      </c>
      <c r="H7824" s="81" t="s">
        <v>1511</v>
      </c>
      <c r="I7824" s="81" t="s">
        <v>224</v>
      </c>
      <c r="J7824" s="81" t="s">
        <v>6751</v>
      </c>
    </row>
    <row r="7825">
      <c r="A7825" s="83" t="s">
        <v>6649</v>
      </c>
      <c r="B7825" s="83" t="s">
        <v>6650</v>
      </c>
      <c r="C7825" s="81" t="s">
        <v>5141</v>
      </c>
      <c r="D7825" s="83" t="s">
        <v>4360</v>
      </c>
      <c r="E7825" s="81" t="s">
        <v>1516</v>
      </c>
      <c r="F7825" s="81">
        <v>294.0</v>
      </c>
      <c r="G7825" s="81" t="s">
        <v>42</v>
      </c>
      <c r="H7825" s="81" t="s">
        <v>1511</v>
      </c>
      <c r="I7825" s="81" t="s">
        <v>224</v>
      </c>
      <c r="J7825" s="81" t="s">
        <v>6751</v>
      </c>
    </row>
    <row r="7826">
      <c r="A7826" s="83" t="s">
        <v>6649</v>
      </c>
      <c r="B7826" s="83" t="s">
        <v>6650</v>
      </c>
      <c r="C7826" s="81" t="s">
        <v>5141</v>
      </c>
      <c r="D7826" s="83" t="s">
        <v>4361</v>
      </c>
      <c r="E7826" s="81" t="s">
        <v>1519</v>
      </c>
      <c r="F7826" s="81">
        <v>295.0</v>
      </c>
      <c r="G7826" s="81" t="s">
        <v>42</v>
      </c>
      <c r="H7826" s="81" t="s">
        <v>1525</v>
      </c>
      <c r="I7826" s="81" t="s">
        <v>224</v>
      </c>
      <c r="J7826" s="81" t="s">
        <v>6751</v>
      </c>
    </row>
    <row r="7827">
      <c r="A7827" s="83" t="s">
        <v>6649</v>
      </c>
      <c r="B7827" s="83" t="s">
        <v>6650</v>
      </c>
      <c r="C7827" s="81" t="s">
        <v>5141</v>
      </c>
      <c r="D7827" s="83" t="s">
        <v>4361</v>
      </c>
      <c r="E7827" s="81" t="s">
        <v>1529</v>
      </c>
      <c r="F7827" s="81">
        <v>296.0</v>
      </c>
      <c r="G7827" s="81" t="s">
        <v>42</v>
      </c>
      <c r="H7827" s="81" t="s">
        <v>1525</v>
      </c>
      <c r="I7827" s="81" t="s">
        <v>224</v>
      </c>
      <c r="J7827" s="81" t="s">
        <v>6751</v>
      </c>
    </row>
    <row r="7828">
      <c r="A7828" s="83" t="s">
        <v>6649</v>
      </c>
      <c r="B7828" s="83" t="s">
        <v>6650</v>
      </c>
      <c r="C7828" s="81" t="s">
        <v>5141</v>
      </c>
      <c r="D7828" s="83" t="s">
        <v>4362</v>
      </c>
      <c r="E7828" s="81" t="s">
        <v>1530</v>
      </c>
      <c r="F7828" s="81">
        <v>297.0</v>
      </c>
      <c r="G7828" s="81" t="s">
        <v>42</v>
      </c>
      <c r="H7828" s="81" t="s">
        <v>1525</v>
      </c>
      <c r="I7828" s="81" t="s">
        <v>224</v>
      </c>
      <c r="J7828" s="81" t="s">
        <v>6751</v>
      </c>
    </row>
    <row r="7829">
      <c r="A7829" s="83" t="s">
        <v>6649</v>
      </c>
      <c r="B7829" s="83" t="s">
        <v>6650</v>
      </c>
      <c r="C7829" s="81" t="s">
        <v>4082</v>
      </c>
      <c r="D7829" s="83" t="s">
        <v>4363</v>
      </c>
      <c r="E7829" s="81" t="s">
        <v>1548</v>
      </c>
      <c r="F7829" s="81">
        <v>299.0</v>
      </c>
      <c r="G7829" s="81" t="s">
        <v>41</v>
      </c>
      <c r="H7829" s="81" t="s">
        <v>1550</v>
      </c>
      <c r="I7829" s="81" t="s">
        <v>224</v>
      </c>
      <c r="J7829" s="81" t="s">
        <v>6349</v>
      </c>
    </row>
    <row r="7830">
      <c r="A7830" s="83" t="s">
        <v>6649</v>
      </c>
      <c r="B7830" s="83" t="s">
        <v>6650</v>
      </c>
      <c r="C7830" s="81" t="s">
        <v>4082</v>
      </c>
      <c r="D7830" s="83" t="s">
        <v>4380</v>
      </c>
      <c r="E7830" s="81" t="s">
        <v>1617</v>
      </c>
      <c r="F7830" s="81">
        <v>319.0</v>
      </c>
      <c r="G7830" s="81" t="s">
        <v>39</v>
      </c>
      <c r="H7830" s="81" t="s">
        <v>224</v>
      </c>
      <c r="I7830" s="81" t="s">
        <v>224</v>
      </c>
      <c r="J7830" s="81" t="s">
        <v>5616</v>
      </c>
    </row>
    <row r="7831">
      <c r="A7831" s="83" t="s">
        <v>6649</v>
      </c>
      <c r="B7831" s="83" t="s">
        <v>6650</v>
      </c>
      <c r="C7831" s="81" t="s">
        <v>4086</v>
      </c>
      <c r="D7831" s="83" t="s">
        <v>4382</v>
      </c>
      <c r="E7831" s="81" t="s">
        <v>1623</v>
      </c>
      <c r="F7831" s="81">
        <v>321.0</v>
      </c>
      <c r="G7831" s="81" t="s">
        <v>42</v>
      </c>
      <c r="H7831" s="81" t="s">
        <v>224</v>
      </c>
      <c r="I7831" s="81" t="s">
        <v>1321</v>
      </c>
      <c r="J7831" s="81" t="s">
        <v>224</v>
      </c>
    </row>
    <row r="7832">
      <c r="A7832" s="83" t="s">
        <v>6649</v>
      </c>
      <c r="B7832" s="83" t="s">
        <v>6650</v>
      </c>
      <c r="C7832" s="81" t="s">
        <v>5141</v>
      </c>
      <c r="D7832" s="83" t="s">
        <v>4387</v>
      </c>
      <c r="E7832" s="81" t="s">
        <v>1655</v>
      </c>
      <c r="F7832" s="81">
        <v>328.0</v>
      </c>
      <c r="G7832" s="81" t="s">
        <v>42</v>
      </c>
      <c r="H7832" s="81" t="s">
        <v>1662</v>
      </c>
      <c r="I7832" s="81" t="s">
        <v>224</v>
      </c>
      <c r="J7832" s="81" t="s">
        <v>6751</v>
      </c>
    </row>
    <row r="7833">
      <c r="A7833" s="83" t="s">
        <v>6649</v>
      </c>
      <c r="B7833" s="83" t="s">
        <v>6650</v>
      </c>
      <c r="C7833" s="81" t="s">
        <v>5141</v>
      </c>
      <c r="D7833" s="83" t="s">
        <v>4387</v>
      </c>
      <c r="E7833" s="81" t="s">
        <v>1665</v>
      </c>
      <c r="F7833" s="81">
        <v>329.0</v>
      </c>
      <c r="G7833" s="81" t="s">
        <v>42</v>
      </c>
      <c r="H7833" s="81" t="s">
        <v>1662</v>
      </c>
      <c r="I7833" s="81" t="s">
        <v>224</v>
      </c>
      <c r="J7833" s="81" t="s">
        <v>6751</v>
      </c>
    </row>
    <row r="7834">
      <c r="A7834" s="83" t="s">
        <v>6649</v>
      </c>
      <c r="B7834" s="83" t="s">
        <v>6650</v>
      </c>
      <c r="C7834" s="81" t="s">
        <v>5141</v>
      </c>
      <c r="D7834" s="83" t="s">
        <v>4388</v>
      </c>
      <c r="E7834" s="81" t="s">
        <v>1666</v>
      </c>
      <c r="F7834" s="81">
        <v>330.0</v>
      </c>
      <c r="G7834" s="81" t="s">
        <v>42</v>
      </c>
      <c r="H7834" s="81" t="s">
        <v>1662</v>
      </c>
      <c r="I7834" s="81" t="s">
        <v>224</v>
      </c>
      <c r="J7834" s="81" t="s">
        <v>6751</v>
      </c>
    </row>
    <row r="7835">
      <c r="A7835" s="83" t="s">
        <v>6649</v>
      </c>
      <c r="B7835" s="83" t="s">
        <v>6650</v>
      </c>
      <c r="C7835" s="81" t="s">
        <v>4082</v>
      </c>
      <c r="D7835" s="83" t="s">
        <v>4389</v>
      </c>
      <c r="E7835" s="81" t="s">
        <v>1678</v>
      </c>
      <c r="F7835" s="81">
        <v>332.0</v>
      </c>
      <c r="G7835" s="81" t="s">
        <v>41</v>
      </c>
      <c r="H7835" s="81" t="s">
        <v>1670</v>
      </c>
      <c r="I7835" s="81" t="s">
        <v>224</v>
      </c>
      <c r="J7835" s="81" t="s">
        <v>6350</v>
      </c>
    </row>
    <row r="7836">
      <c r="A7836" s="83" t="s">
        <v>6649</v>
      </c>
      <c r="B7836" s="83" t="s">
        <v>6650</v>
      </c>
      <c r="C7836" s="81" t="s">
        <v>4082</v>
      </c>
      <c r="D7836" s="83" t="s">
        <v>4391</v>
      </c>
      <c r="E7836" s="81" t="s">
        <v>1682</v>
      </c>
      <c r="F7836" s="81">
        <v>334.0</v>
      </c>
      <c r="G7836" s="81" t="s">
        <v>41</v>
      </c>
      <c r="H7836" s="81" t="s">
        <v>1687</v>
      </c>
      <c r="I7836" s="81" t="s">
        <v>224</v>
      </c>
      <c r="J7836" s="81" t="s">
        <v>6351</v>
      </c>
    </row>
    <row r="7837">
      <c r="A7837" s="83" t="s">
        <v>6649</v>
      </c>
      <c r="B7837" s="83" t="s">
        <v>6650</v>
      </c>
      <c r="C7837" s="81" t="s">
        <v>4082</v>
      </c>
      <c r="D7837" s="83" t="s">
        <v>4393</v>
      </c>
      <c r="E7837" s="81" t="s">
        <v>1690</v>
      </c>
      <c r="F7837" s="81">
        <v>335.0</v>
      </c>
      <c r="G7837" s="81" t="s">
        <v>41</v>
      </c>
      <c r="H7837" s="81" t="s">
        <v>1694</v>
      </c>
      <c r="I7837" s="81" t="s">
        <v>224</v>
      </c>
      <c r="J7837" s="81" t="s">
        <v>6352</v>
      </c>
    </row>
    <row r="7838">
      <c r="A7838" s="83" t="s">
        <v>6649</v>
      </c>
      <c r="B7838" s="83" t="s">
        <v>6650</v>
      </c>
      <c r="C7838" s="81" t="s">
        <v>5141</v>
      </c>
      <c r="D7838" s="83" t="s">
        <v>4395</v>
      </c>
      <c r="E7838" s="81" t="s">
        <v>1702</v>
      </c>
      <c r="F7838" s="81">
        <v>337.0</v>
      </c>
      <c r="G7838" s="81" t="s">
        <v>42</v>
      </c>
      <c r="H7838" s="81" t="s">
        <v>1171</v>
      </c>
      <c r="I7838" s="81" t="s">
        <v>224</v>
      </c>
      <c r="J7838" s="81" t="s">
        <v>6751</v>
      </c>
    </row>
    <row r="7839">
      <c r="A7839" s="83" t="s">
        <v>6649</v>
      </c>
      <c r="B7839" s="83" t="s">
        <v>6650</v>
      </c>
      <c r="C7839" s="81" t="s">
        <v>5141</v>
      </c>
      <c r="D7839" s="83" t="s">
        <v>4395</v>
      </c>
      <c r="E7839" s="81" t="s">
        <v>1706</v>
      </c>
      <c r="F7839" s="81">
        <v>338.0</v>
      </c>
      <c r="G7839" s="81" t="s">
        <v>42</v>
      </c>
      <c r="H7839" s="81" t="s">
        <v>1171</v>
      </c>
      <c r="I7839" s="81" t="s">
        <v>224</v>
      </c>
      <c r="J7839" s="81" t="s">
        <v>6751</v>
      </c>
    </row>
    <row r="7840">
      <c r="A7840" s="83" t="s">
        <v>6649</v>
      </c>
      <c r="B7840" s="83" t="s">
        <v>6650</v>
      </c>
      <c r="C7840" s="81" t="s">
        <v>4082</v>
      </c>
      <c r="D7840" s="83" t="s">
        <v>4406</v>
      </c>
      <c r="E7840" s="81" t="s">
        <v>1760</v>
      </c>
      <c r="F7840" s="81">
        <v>350.0</v>
      </c>
      <c r="G7840" s="81" t="s">
        <v>41</v>
      </c>
      <c r="H7840" s="81" t="s">
        <v>1761</v>
      </c>
      <c r="I7840" s="81" t="s">
        <v>224</v>
      </c>
      <c r="J7840" s="81" t="s">
        <v>6353</v>
      </c>
    </row>
    <row r="7841">
      <c r="A7841" s="83" t="s">
        <v>6649</v>
      </c>
      <c r="B7841" s="83" t="s">
        <v>6650</v>
      </c>
      <c r="C7841" s="81" t="s">
        <v>4086</v>
      </c>
      <c r="D7841" s="83" t="s">
        <v>4411</v>
      </c>
      <c r="E7841" s="81" t="s">
        <v>1775</v>
      </c>
      <c r="F7841" s="81">
        <v>355.0</v>
      </c>
      <c r="G7841" s="81" t="s">
        <v>42</v>
      </c>
      <c r="H7841" s="81" t="s">
        <v>6372</v>
      </c>
      <c r="I7841" s="81" t="s">
        <v>1785</v>
      </c>
      <c r="J7841" s="81" t="s">
        <v>224</v>
      </c>
    </row>
    <row r="7842">
      <c r="A7842" s="83" t="s">
        <v>6649</v>
      </c>
      <c r="B7842" s="83" t="s">
        <v>6650</v>
      </c>
      <c r="C7842" s="81" t="s">
        <v>4086</v>
      </c>
      <c r="D7842" s="83" t="s">
        <v>4411</v>
      </c>
      <c r="E7842" s="81" t="s">
        <v>1789</v>
      </c>
      <c r="F7842" s="81">
        <v>356.0</v>
      </c>
      <c r="G7842" s="81" t="s">
        <v>42</v>
      </c>
      <c r="H7842" s="81" t="s">
        <v>6372</v>
      </c>
      <c r="I7842" s="81" t="s">
        <v>1785</v>
      </c>
      <c r="J7842" s="81" t="s">
        <v>224</v>
      </c>
    </row>
    <row r="7843">
      <c r="A7843" s="83" t="s">
        <v>6649</v>
      </c>
      <c r="B7843" s="83" t="s">
        <v>6650</v>
      </c>
      <c r="C7843" s="81" t="s">
        <v>4086</v>
      </c>
      <c r="D7843" s="83" t="s">
        <v>4412</v>
      </c>
      <c r="E7843" s="81" t="s">
        <v>1790</v>
      </c>
      <c r="F7843" s="81">
        <v>357.0</v>
      </c>
      <c r="G7843" s="81" t="s">
        <v>42</v>
      </c>
      <c r="H7843" s="81" t="s">
        <v>6372</v>
      </c>
      <c r="I7843" s="81" t="s">
        <v>1785</v>
      </c>
      <c r="J7843" s="81" t="s">
        <v>224</v>
      </c>
    </row>
    <row r="7844">
      <c r="A7844" s="83" t="s">
        <v>6649</v>
      </c>
      <c r="B7844" s="83" t="s">
        <v>6650</v>
      </c>
      <c r="C7844" s="81" t="s">
        <v>4086</v>
      </c>
      <c r="D7844" s="83" t="s">
        <v>4417</v>
      </c>
      <c r="E7844" s="81" t="s">
        <v>1825</v>
      </c>
      <c r="F7844" s="81">
        <v>363.0</v>
      </c>
      <c r="G7844" s="81" t="s">
        <v>43</v>
      </c>
      <c r="H7844" s="81" t="s">
        <v>6752</v>
      </c>
      <c r="I7844" s="81" t="s">
        <v>1839</v>
      </c>
      <c r="J7844" s="81" t="s">
        <v>224</v>
      </c>
    </row>
    <row r="7845">
      <c r="A7845" s="83" t="s">
        <v>6649</v>
      </c>
      <c r="B7845" s="83" t="s">
        <v>6650</v>
      </c>
      <c r="C7845" s="81" t="s">
        <v>5141</v>
      </c>
      <c r="D7845" s="83" t="s">
        <v>4417</v>
      </c>
      <c r="E7845" s="81" t="s">
        <v>1825</v>
      </c>
      <c r="F7845" s="81">
        <v>363.0</v>
      </c>
      <c r="G7845" s="81" t="s">
        <v>42</v>
      </c>
      <c r="H7845" s="81" t="s">
        <v>1838</v>
      </c>
      <c r="I7845" s="81" t="s">
        <v>224</v>
      </c>
      <c r="J7845" s="81" t="s">
        <v>6751</v>
      </c>
    </row>
    <row r="7846">
      <c r="A7846" s="83" t="s">
        <v>6649</v>
      </c>
      <c r="B7846" s="83" t="s">
        <v>6650</v>
      </c>
      <c r="C7846" s="81" t="s">
        <v>4086</v>
      </c>
      <c r="D7846" s="83" t="s">
        <v>4417</v>
      </c>
      <c r="E7846" s="81" t="s">
        <v>1842</v>
      </c>
      <c r="F7846" s="81">
        <v>364.0</v>
      </c>
      <c r="G7846" s="81" t="s">
        <v>43</v>
      </c>
      <c r="H7846" s="81" t="s">
        <v>6752</v>
      </c>
      <c r="I7846" s="81" t="s">
        <v>1839</v>
      </c>
      <c r="J7846" s="81" t="s">
        <v>224</v>
      </c>
    </row>
    <row r="7847">
      <c r="A7847" s="83" t="s">
        <v>6649</v>
      </c>
      <c r="B7847" s="83" t="s">
        <v>6650</v>
      </c>
      <c r="C7847" s="81" t="s">
        <v>5141</v>
      </c>
      <c r="D7847" s="83" t="s">
        <v>4417</v>
      </c>
      <c r="E7847" s="81" t="s">
        <v>1842</v>
      </c>
      <c r="F7847" s="81">
        <v>364.0</v>
      </c>
      <c r="G7847" s="81" t="s">
        <v>42</v>
      </c>
      <c r="H7847" s="81" t="s">
        <v>1838</v>
      </c>
      <c r="I7847" s="81" t="s">
        <v>224</v>
      </c>
      <c r="J7847" s="81" t="s">
        <v>6751</v>
      </c>
    </row>
    <row r="7848">
      <c r="A7848" s="83" t="s">
        <v>6649</v>
      </c>
      <c r="B7848" s="83" t="s">
        <v>6650</v>
      </c>
      <c r="C7848" s="81" t="s">
        <v>4086</v>
      </c>
      <c r="D7848" s="83" t="s">
        <v>4419</v>
      </c>
      <c r="E7848" s="81" t="s">
        <v>1843</v>
      </c>
      <c r="F7848" s="81">
        <v>365.0</v>
      </c>
      <c r="G7848" s="81" t="s">
        <v>43</v>
      </c>
      <c r="H7848" s="81" t="s">
        <v>6752</v>
      </c>
      <c r="I7848" s="81" t="s">
        <v>1839</v>
      </c>
      <c r="J7848" s="81" t="s">
        <v>224</v>
      </c>
    </row>
    <row r="7849">
      <c r="A7849" s="83" t="s">
        <v>6649</v>
      </c>
      <c r="B7849" s="83" t="s">
        <v>6650</v>
      </c>
      <c r="C7849" s="81" t="s">
        <v>5141</v>
      </c>
      <c r="D7849" s="83" t="s">
        <v>4419</v>
      </c>
      <c r="E7849" s="81" t="s">
        <v>1843</v>
      </c>
      <c r="F7849" s="81">
        <v>365.0</v>
      </c>
      <c r="G7849" s="81" t="s">
        <v>42</v>
      </c>
      <c r="H7849" s="81" t="s">
        <v>1838</v>
      </c>
      <c r="I7849" s="81" t="s">
        <v>224</v>
      </c>
      <c r="J7849" s="81" t="s">
        <v>6751</v>
      </c>
    </row>
    <row r="7850">
      <c r="A7850" s="83" t="s">
        <v>6649</v>
      </c>
      <c r="B7850" s="83" t="s">
        <v>6650</v>
      </c>
      <c r="C7850" s="81" t="s">
        <v>4086</v>
      </c>
      <c r="D7850" s="83" t="s">
        <v>4420</v>
      </c>
      <c r="E7850" s="81" t="s">
        <v>1844</v>
      </c>
      <c r="F7850" s="81">
        <v>366.0</v>
      </c>
      <c r="G7850" s="81" t="s">
        <v>43</v>
      </c>
      <c r="H7850" s="81" t="s">
        <v>6753</v>
      </c>
      <c r="I7850" s="81" t="s">
        <v>1847</v>
      </c>
      <c r="J7850" s="81" t="s">
        <v>224</v>
      </c>
    </row>
    <row r="7851">
      <c r="A7851" s="83" t="s">
        <v>6649</v>
      </c>
      <c r="B7851" s="83" t="s">
        <v>6650</v>
      </c>
      <c r="C7851" s="81" t="s">
        <v>5141</v>
      </c>
      <c r="D7851" s="83" t="s">
        <v>4420</v>
      </c>
      <c r="E7851" s="81" t="s">
        <v>1844</v>
      </c>
      <c r="F7851" s="81">
        <v>366.0</v>
      </c>
      <c r="G7851" s="81" t="s">
        <v>42</v>
      </c>
      <c r="H7851" s="81" t="s">
        <v>1838</v>
      </c>
      <c r="I7851" s="81" t="s">
        <v>224</v>
      </c>
      <c r="J7851" s="81" t="s">
        <v>6751</v>
      </c>
    </row>
    <row r="7852">
      <c r="A7852" s="83" t="s">
        <v>6649</v>
      </c>
      <c r="B7852" s="83" t="s">
        <v>6650</v>
      </c>
      <c r="C7852" s="81" t="s">
        <v>4086</v>
      </c>
      <c r="D7852" s="83" t="s">
        <v>4421</v>
      </c>
      <c r="E7852" s="81" t="s">
        <v>1848</v>
      </c>
      <c r="F7852" s="81">
        <v>367.0</v>
      </c>
      <c r="G7852" s="81" t="s">
        <v>43</v>
      </c>
      <c r="H7852" s="81" t="s">
        <v>6753</v>
      </c>
      <c r="I7852" s="81" t="s">
        <v>1847</v>
      </c>
      <c r="J7852" s="81" t="s">
        <v>224</v>
      </c>
    </row>
    <row r="7853">
      <c r="A7853" s="83" t="s">
        <v>6649</v>
      </c>
      <c r="B7853" s="83" t="s">
        <v>6650</v>
      </c>
      <c r="C7853" s="81" t="s">
        <v>5141</v>
      </c>
      <c r="D7853" s="83" t="s">
        <v>4421</v>
      </c>
      <c r="E7853" s="81" t="s">
        <v>1848</v>
      </c>
      <c r="F7853" s="81">
        <v>367.0</v>
      </c>
      <c r="G7853" s="81" t="s">
        <v>42</v>
      </c>
      <c r="H7853" s="81" t="s">
        <v>1838</v>
      </c>
      <c r="I7853" s="81" t="s">
        <v>224</v>
      </c>
      <c r="J7853" s="81" t="s">
        <v>6751</v>
      </c>
    </row>
    <row r="7854">
      <c r="A7854" s="83" t="s">
        <v>6649</v>
      </c>
      <c r="B7854" s="83" t="s">
        <v>6650</v>
      </c>
      <c r="C7854" s="81" t="s">
        <v>4086</v>
      </c>
      <c r="D7854" s="83" t="s">
        <v>4422</v>
      </c>
      <c r="E7854" s="81" t="s">
        <v>1849</v>
      </c>
      <c r="F7854" s="81">
        <v>368.0</v>
      </c>
      <c r="G7854" s="81" t="s">
        <v>43</v>
      </c>
      <c r="H7854" s="81" t="s">
        <v>6754</v>
      </c>
      <c r="I7854" s="81" t="s">
        <v>1857</v>
      </c>
      <c r="J7854" s="81" t="s">
        <v>224</v>
      </c>
    </row>
    <row r="7855">
      <c r="A7855" s="83" t="s">
        <v>6649</v>
      </c>
      <c r="B7855" s="83" t="s">
        <v>6650</v>
      </c>
      <c r="C7855" s="81" t="s">
        <v>5141</v>
      </c>
      <c r="D7855" s="83" t="s">
        <v>4422</v>
      </c>
      <c r="E7855" s="81" t="s">
        <v>1849</v>
      </c>
      <c r="F7855" s="81">
        <v>368.0</v>
      </c>
      <c r="G7855" s="81" t="s">
        <v>42</v>
      </c>
      <c r="H7855" s="81" t="s">
        <v>1856</v>
      </c>
      <c r="I7855" s="81" t="s">
        <v>224</v>
      </c>
      <c r="J7855" s="81" t="s">
        <v>6751</v>
      </c>
    </row>
    <row r="7856">
      <c r="A7856" s="83" t="s">
        <v>6649</v>
      </c>
      <c r="B7856" s="83" t="s">
        <v>6650</v>
      </c>
      <c r="C7856" s="81" t="s">
        <v>4086</v>
      </c>
      <c r="D7856" s="83" t="s">
        <v>4423</v>
      </c>
      <c r="E7856" s="81" t="s">
        <v>1860</v>
      </c>
      <c r="F7856" s="81">
        <v>369.0</v>
      </c>
      <c r="G7856" s="81" t="s">
        <v>43</v>
      </c>
      <c r="H7856" s="81" t="s">
        <v>6754</v>
      </c>
      <c r="I7856" s="81" t="s">
        <v>1857</v>
      </c>
      <c r="J7856" s="81" t="s">
        <v>224</v>
      </c>
    </row>
    <row r="7857">
      <c r="A7857" s="83" t="s">
        <v>6649</v>
      </c>
      <c r="B7857" s="83" t="s">
        <v>6650</v>
      </c>
      <c r="C7857" s="81" t="s">
        <v>5141</v>
      </c>
      <c r="D7857" s="83" t="s">
        <v>4423</v>
      </c>
      <c r="E7857" s="81" t="s">
        <v>1860</v>
      </c>
      <c r="F7857" s="81">
        <v>369.0</v>
      </c>
      <c r="G7857" s="81" t="s">
        <v>42</v>
      </c>
      <c r="H7857" s="81" t="s">
        <v>1856</v>
      </c>
      <c r="I7857" s="81" t="s">
        <v>224</v>
      </c>
      <c r="J7857" s="81" t="s">
        <v>6751</v>
      </c>
    </row>
    <row r="7858">
      <c r="A7858" s="83" t="s">
        <v>6649</v>
      </c>
      <c r="B7858" s="83" t="s">
        <v>6650</v>
      </c>
      <c r="C7858" s="81" t="s">
        <v>4086</v>
      </c>
      <c r="D7858" s="83" t="s">
        <v>4424</v>
      </c>
      <c r="E7858" s="81" t="s">
        <v>1861</v>
      </c>
      <c r="F7858" s="81">
        <v>370.0</v>
      </c>
      <c r="G7858" s="81" t="s">
        <v>43</v>
      </c>
      <c r="H7858" s="81" t="s">
        <v>6755</v>
      </c>
      <c r="I7858" s="81" t="s">
        <v>1862</v>
      </c>
      <c r="J7858" s="81" t="s">
        <v>224</v>
      </c>
    </row>
    <row r="7859">
      <c r="A7859" s="83" t="s">
        <v>6649</v>
      </c>
      <c r="B7859" s="83" t="s">
        <v>6650</v>
      </c>
      <c r="C7859" s="81" t="s">
        <v>5141</v>
      </c>
      <c r="D7859" s="83" t="s">
        <v>4424</v>
      </c>
      <c r="E7859" s="81" t="s">
        <v>1861</v>
      </c>
      <c r="F7859" s="81">
        <v>370.0</v>
      </c>
      <c r="G7859" s="81" t="s">
        <v>42</v>
      </c>
      <c r="H7859" s="81" t="s">
        <v>1856</v>
      </c>
      <c r="I7859" s="81" t="s">
        <v>224</v>
      </c>
      <c r="J7859" s="81" t="s">
        <v>6751</v>
      </c>
    </row>
    <row r="7860">
      <c r="A7860" s="83" t="s">
        <v>6649</v>
      </c>
      <c r="B7860" s="83" t="s">
        <v>6650</v>
      </c>
      <c r="C7860" s="81" t="s">
        <v>4086</v>
      </c>
      <c r="D7860" s="83" t="s">
        <v>4425</v>
      </c>
      <c r="E7860" s="81" t="s">
        <v>1863</v>
      </c>
      <c r="F7860" s="81">
        <v>371.0</v>
      </c>
      <c r="G7860" s="81" t="s">
        <v>43</v>
      </c>
      <c r="H7860" s="81" t="s">
        <v>6755</v>
      </c>
      <c r="I7860" s="81" t="s">
        <v>1862</v>
      </c>
      <c r="J7860" s="81" t="s">
        <v>224</v>
      </c>
    </row>
    <row r="7861">
      <c r="A7861" s="83" t="s">
        <v>6649</v>
      </c>
      <c r="B7861" s="83" t="s">
        <v>6650</v>
      </c>
      <c r="C7861" s="81" t="s">
        <v>5141</v>
      </c>
      <c r="D7861" s="83" t="s">
        <v>4425</v>
      </c>
      <c r="E7861" s="81" t="s">
        <v>1863</v>
      </c>
      <c r="F7861" s="81">
        <v>371.0</v>
      </c>
      <c r="G7861" s="81" t="s">
        <v>42</v>
      </c>
      <c r="H7861" s="81" t="s">
        <v>1856</v>
      </c>
      <c r="I7861" s="81" t="s">
        <v>224</v>
      </c>
      <c r="J7861" s="81" t="s">
        <v>6751</v>
      </c>
    </row>
    <row r="7862">
      <c r="A7862" s="83" t="s">
        <v>6649</v>
      </c>
      <c r="B7862" s="83" t="s">
        <v>6650</v>
      </c>
      <c r="C7862" s="81" t="s">
        <v>4086</v>
      </c>
      <c r="D7862" s="83" t="s">
        <v>4426</v>
      </c>
      <c r="E7862" s="81" t="s">
        <v>1864</v>
      </c>
      <c r="F7862" s="81">
        <v>372.0</v>
      </c>
      <c r="G7862" s="81" t="s">
        <v>43</v>
      </c>
      <c r="H7862" s="81" t="s">
        <v>6756</v>
      </c>
      <c r="I7862" s="81" t="s">
        <v>1871</v>
      </c>
      <c r="J7862" s="81" t="s">
        <v>224</v>
      </c>
    </row>
    <row r="7863">
      <c r="A7863" s="83" t="s">
        <v>6649</v>
      </c>
      <c r="B7863" s="83" t="s">
        <v>6650</v>
      </c>
      <c r="C7863" s="81" t="s">
        <v>5141</v>
      </c>
      <c r="D7863" s="83" t="s">
        <v>4426</v>
      </c>
      <c r="E7863" s="81" t="s">
        <v>1864</v>
      </c>
      <c r="F7863" s="81">
        <v>372.0</v>
      </c>
      <c r="G7863" s="81" t="s">
        <v>42</v>
      </c>
      <c r="H7863" s="81" t="s">
        <v>1870</v>
      </c>
      <c r="I7863" s="81" t="s">
        <v>224</v>
      </c>
      <c r="J7863" s="81" t="s">
        <v>6751</v>
      </c>
    </row>
    <row r="7864">
      <c r="A7864" s="83" t="s">
        <v>6649</v>
      </c>
      <c r="B7864" s="83" t="s">
        <v>6650</v>
      </c>
      <c r="C7864" s="81" t="s">
        <v>4082</v>
      </c>
      <c r="D7864" s="83" t="s">
        <v>4429</v>
      </c>
      <c r="E7864" s="81" t="s">
        <v>1900</v>
      </c>
      <c r="F7864" s="81">
        <v>375.0</v>
      </c>
      <c r="G7864" s="81" t="s">
        <v>39</v>
      </c>
      <c r="H7864" s="81" t="s">
        <v>224</v>
      </c>
      <c r="I7864" s="81" t="s">
        <v>224</v>
      </c>
      <c r="J7864" s="81" t="s">
        <v>5711</v>
      </c>
    </row>
    <row r="7865">
      <c r="A7865" s="83" t="s">
        <v>6649</v>
      </c>
      <c r="B7865" s="83" t="s">
        <v>6650</v>
      </c>
      <c r="C7865" s="81" t="s">
        <v>4086</v>
      </c>
      <c r="D7865" s="83" t="s">
        <v>4435</v>
      </c>
      <c r="E7865" s="81" t="s">
        <v>1974</v>
      </c>
      <c r="F7865" s="81">
        <v>385.0</v>
      </c>
      <c r="G7865" s="81" t="s">
        <v>42</v>
      </c>
      <c r="H7865" s="81" t="s">
        <v>6375</v>
      </c>
      <c r="I7865" s="81" t="s">
        <v>1983</v>
      </c>
      <c r="J7865" s="81" t="s">
        <v>224</v>
      </c>
    </row>
    <row r="7866">
      <c r="A7866" s="83" t="s">
        <v>6649</v>
      </c>
      <c r="B7866" s="83" t="s">
        <v>6650</v>
      </c>
      <c r="C7866" s="81" t="s">
        <v>4086</v>
      </c>
      <c r="D7866" s="83" t="s">
        <v>4435</v>
      </c>
      <c r="E7866" s="81" t="s">
        <v>1987</v>
      </c>
      <c r="F7866" s="81">
        <v>386.0</v>
      </c>
      <c r="G7866" s="81" t="s">
        <v>42</v>
      </c>
      <c r="H7866" s="81" t="s">
        <v>6375</v>
      </c>
      <c r="I7866" s="81" t="s">
        <v>1983</v>
      </c>
      <c r="J7866" s="81" t="s">
        <v>224</v>
      </c>
    </row>
    <row r="7867">
      <c r="A7867" s="83" t="s">
        <v>6649</v>
      </c>
      <c r="B7867" s="83" t="s">
        <v>6650</v>
      </c>
      <c r="C7867" s="81" t="s">
        <v>4086</v>
      </c>
      <c r="D7867" s="83" t="s">
        <v>4436</v>
      </c>
      <c r="E7867" s="81" t="s">
        <v>1989</v>
      </c>
      <c r="F7867" s="81">
        <v>387.0</v>
      </c>
      <c r="G7867" s="81" t="s">
        <v>42</v>
      </c>
      <c r="H7867" s="81" t="s">
        <v>6375</v>
      </c>
      <c r="I7867" s="81" t="s">
        <v>1993</v>
      </c>
      <c r="J7867" s="81" t="s">
        <v>224</v>
      </c>
    </row>
    <row r="7868">
      <c r="A7868" s="83" t="s">
        <v>6649</v>
      </c>
      <c r="B7868" s="83" t="s">
        <v>6650</v>
      </c>
      <c r="C7868" s="81" t="s">
        <v>4082</v>
      </c>
      <c r="D7868" s="83" t="s">
        <v>4475</v>
      </c>
      <c r="E7868" s="81" t="s">
        <v>2225</v>
      </c>
      <c r="F7868" s="81">
        <v>426.0</v>
      </c>
      <c r="G7868" s="81" t="s">
        <v>41</v>
      </c>
      <c r="H7868" s="81" t="s">
        <v>2226</v>
      </c>
      <c r="I7868" s="81" t="s">
        <v>224</v>
      </c>
      <c r="J7868" s="81" t="s">
        <v>6354</v>
      </c>
    </row>
    <row r="7869">
      <c r="A7869" s="83" t="s">
        <v>6649</v>
      </c>
      <c r="B7869" s="83" t="s">
        <v>6650</v>
      </c>
      <c r="C7869" s="81" t="s">
        <v>4082</v>
      </c>
      <c r="D7869" s="83" t="s">
        <v>4490</v>
      </c>
      <c r="E7869" s="81" t="s">
        <v>2295</v>
      </c>
      <c r="F7869" s="81">
        <v>440.0</v>
      </c>
      <c r="G7869" s="81" t="s">
        <v>41</v>
      </c>
      <c r="H7869" s="81" t="s">
        <v>2296</v>
      </c>
      <c r="I7869" s="81" t="s">
        <v>224</v>
      </c>
      <c r="J7869" s="81" t="s">
        <v>6355</v>
      </c>
    </row>
    <row r="7870">
      <c r="A7870" s="83" t="s">
        <v>6649</v>
      </c>
      <c r="B7870" s="83" t="s">
        <v>6650</v>
      </c>
      <c r="C7870" s="81" t="s">
        <v>4086</v>
      </c>
      <c r="D7870" s="83" t="s">
        <v>4503</v>
      </c>
      <c r="E7870" s="81" t="s">
        <v>2334</v>
      </c>
      <c r="F7870" s="81">
        <v>452.0</v>
      </c>
      <c r="G7870" s="81" t="s">
        <v>43</v>
      </c>
      <c r="H7870" s="81" t="s">
        <v>6756</v>
      </c>
      <c r="I7870" s="81" t="s">
        <v>1871</v>
      </c>
      <c r="J7870" s="81" t="s">
        <v>224</v>
      </c>
    </row>
    <row r="7871">
      <c r="A7871" s="83" t="s">
        <v>6649</v>
      </c>
      <c r="B7871" s="83" t="s">
        <v>6650</v>
      </c>
      <c r="C7871" s="81" t="s">
        <v>5141</v>
      </c>
      <c r="D7871" s="83" t="s">
        <v>4503</v>
      </c>
      <c r="E7871" s="81" t="s">
        <v>2334</v>
      </c>
      <c r="F7871" s="81">
        <v>452.0</v>
      </c>
      <c r="G7871" s="81" t="s">
        <v>42</v>
      </c>
      <c r="H7871" s="81" t="s">
        <v>1870</v>
      </c>
      <c r="I7871" s="81" t="s">
        <v>224</v>
      </c>
      <c r="J7871" s="81" t="s">
        <v>6751</v>
      </c>
    </row>
    <row r="7872">
      <c r="A7872" s="83" t="s">
        <v>6649</v>
      </c>
      <c r="B7872" s="83" t="s">
        <v>6650</v>
      </c>
      <c r="C7872" s="81" t="s">
        <v>4086</v>
      </c>
      <c r="D7872" s="83" t="s">
        <v>4504</v>
      </c>
      <c r="E7872" s="81" t="s">
        <v>2335</v>
      </c>
      <c r="F7872" s="81">
        <v>453.0</v>
      </c>
      <c r="G7872" s="81" t="s">
        <v>43</v>
      </c>
      <c r="H7872" s="81" t="s">
        <v>6757</v>
      </c>
      <c r="I7872" s="81" t="s">
        <v>2336</v>
      </c>
      <c r="J7872" s="81" t="s">
        <v>224</v>
      </c>
    </row>
    <row r="7873">
      <c r="A7873" s="83" t="s">
        <v>6649</v>
      </c>
      <c r="B7873" s="83" t="s">
        <v>6650</v>
      </c>
      <c r="C7873" s="81" t="s">
        <v>5141</v>
      </c>
      <c r="D7873" s="83" t="s">
        <v>4504</v>
      </c>
      <c r="E7873" s="81" t="s">
        <v>2335</v>
      </c>
      <c r="F7873" s="81">
        <v>453.0</v>
      </c>
      <c r="G7873" s="81" t="s">
        <v>42</v>
      </c>
      <c r="H7873" s="81" t="s">
        <v>1870</v>
      </c>
      <c r="I7873" s="81" t="s">
        <v>224</v>
      </c>
      <c r="J7873" s="81" t="s">
        <v>6751</v>
      </c>
    </row>
    <row r="7874">
      <c r="A7874" s="83" t="s">
        <v>6649</v>
      </c>
      <c r="B7874" s="83" t="s">
        <v>6650</v>
      </c>
      <c r="C7874" s="81" t="s">
        <v>4086</v>
      </c>
      <c r="D7874" s="83" t="s">
        <v>4505</v>
      </c>
      <c r="E7874" s="81" t="s">
        <v>2337</v>
      </c>
      <c r="F7874" s="81">
        <v>454.0</v>
      </c>
      <c r="G7874" s="81" t="s">
        <v>43</v>
      </c>
      <c r="H7874" s="81" t="s">
        <v>6757</v>
      </c>
      <c r="I7874" s="81" t="s">
        <v>2336</v>
      </c>
      <c r="J7874" s="81" t="s">
        <v>224</v>
      </c>
    </row>
    <row r="7875">
      <c r="A7875" s="83" t="s">
        <v>6649</v>
      </c>
      <c r="B7875" s="83" t="s">
        <v>6650</v>
      </c>
      <c r="C7875" s="81" t="s">
        <v>5141</v>
      </c>
      <c r="D7875" s="83" t="s">
        <v>4505</v>
      </c>
      <c r="E7875" s="81" t="s">
        <v>2337</v>
      </c>
      <c r="F7875" s="81">
        <v>454.0</v>
      </c>
      <c r="G7875" s="81" t="s">
        <v>42</v>
      </c>
      <c r="H7875" s="81" t="s">
        <v>1870</v>
      </c>
      <c r="I7875" s="81" t="s">
        <v>224</v>
      </c>
      <c r="J7875" s="81" t="s">
        <v>6751</v>
      </c>
    </row>
    <row r="7876">
      <c r="A7876" s="83" t="s">
        <v>6649</v>
      </c>
      <c r="B7876" s="83" t="s">
        <v>6650</v>
      </c>
      <c r="C7876" s="81" t="s">
        <v>5141</v>
      </c>
      <c r="D7876" s="83" t="s">
        <v>4517</v>
      </c>
      <c r="E7876" s="81" t="s">
        <v>2380</v>
      </c>
      <c r="F7876" s="81">
        <v>465.0</v>
      </c>
      <c r="G7876" s="81" t="s">
        <v>42</v>
      </c>
      <c r="H7876" s="81" t="s">
        <v>2388</v>
      </c>
      <c r="I7876" s="81" t="s">
        <v>224</v>
      </c>
      <c r="J7876" s="81" t="s">
        <v>6751</v>
      </c>
    </row>
    <row r="7877">
      <c r="A7877" s="83" t="s">
        <v>6649</v>
      </c>
      <c r="B7877" s="83" t="s">
        <v>6650</v>
      </c>
      <c r="C7877" s="81" t="s">
        <v>5141</v>
      </c>
      <c r="D7877" s="83" t="s">
        <v>4517</v>
      </c>
      <c r="E7877" s="81" t="s">
        <v>2391</v>
      </c>
      <c r="F7877" s="81">
        <v>466.0</v>
      </c>
      <c r="G7877" s="81" t="s">
        <v>42</v>
      </c>
      <c r="H7877" s="81" t="s">
        <v>2388</v>
      </c>
      <c r="I7877" s="81" t="s">
        <v>224</v>
      </c>
      <c r="J7877" s="81" t="s">
        <v>6751</v>
      </c>
    </row>
    <row r="7878">
      <c r="A7878" s="83" t="s">
        <v>6649</v>
      </c>
      <c r="B7878" s="83" t="s">
        <v>6650</v>
      </c>
      <c r="C7878" s="81" t="s">
        <v>5141</v>
      </c>
      <c r="D7878" s="83" t="s">
        <v>4518</v>
      </c>
      <c r="E7878" s="81" t="s">
        <v>2393</v>
      </c>
      <c r="F7878" s="81">
        <v>467.0</v>
      </c>
      <c r="G7878" s="81" t="s">
        <v>42</v>
      </c>
      <c r="H7878" s="81" t="s">
        <v>2399</v>
      </c>
      <c r="I7878" s="81" t="s">
        <v>224</v>
      </c>
      <c r="J7878" s="81" t="s">
        <v>6751</v>
      </c>
    </row>
    <row r="7879">
      <c r="A7879" s="83" t="s">
        <v>6649</v>
      </c>
      <c r="B7879" s="83" t="s">
        <v>6650</v>
      </c>
      <c r="C7879" s="81" t="s">
        <v>5141</v>
      </c>
      <c r="D7879" s="83" t="s">
        <v>4519</v>
      </c>
      <c r="E7879" s="81" t="s">
        <v>2402</v>
      </c>
      <c r="F7879" s="81">
        <v>468.0</v>
      </c>
      <c r="G7879" s="81" t="s">
        <v>42</v>
      </c>
      <c r="H7879" s="81" t="s">
        <v>2406</v>
      </c>
      <c r="I7879" s="81" t="s">
        <v>224</v>
      </c>
      <c r="J7879" s="81" t="s">
        <v>6751</v>
      </c>
    </row>
    <row r="7880">
      <c r="A7880" s="83" t="s">
        <v>6649</v>
      </c>
      <c r="B7880" s="83" t="s">
        <v>6650</v>
      </c>
      <c r="C7880" s="81" t="s">
        <v>4086</v>
      </c>
      <c r="D7880" s="83" t="s">
        <v>4532</v>
      </c>
      <c r="E7880" s="81" t="s">
        <v>2504</v>
      </c>
      <c r="F7880" s="81">
        <v>479.0</v>
      </c>
      <c r="G7880" s="81" t="s">
        <v>43</v>
      </c>
      <c r="H7880" s="81" t="s">
        <v>5865</v>
      </c>
      <c r="I7880" s="81" t="s">
        <v>2512</v>
      </c>
      <c r="J7880" s="81" t="s">
        <v>224</v>
      </c>
    </row>
    <row r="7881">
      <c r="A7881" s="83" t="s">
        <v>6649</v>
      </c>
      <c r="B7881" s="83" t="s">
        <v>6650</v>
      </c>
      <c r="C7881" s="81" t="s">
        <v>4086</v>
      </c>
      <c r="D7881" s="83" t="s">
        <v>4532</v>
      </c>
      <c r="E7881" s="81" t="s">
        <v>2515</v>
      </c>
      <c r="F7881" s="81">
        <v>480.0</v>
      </c>
      <c r="G7881" s="81" t="s">
        <v>43</v>
      </c>
      <c r="H7881" s="81" t="s">
        <v>5865</v>
      </c>
      <c r="I7881" s="81" t="s">
        <v>2512</v>
      </c>
      <c r="J7881" s="81" t="s">
        <v>224</v>
      </c>
    </row>
    <row r="7882">
      <c r="A7882" s="83" t="s">
        <v>6649</v>
      </c>
      <c r="B7882" s="83" t="s">
        <v>6650</v>
      </c>
      <c r="C7882" s="81" t="s">
        <v>4086</v>
      </c>
      <c r="D7882" s="83" t="s">
        <v>4534</v>
      </c>
      <c r="E7882" s="81" t="s">
        <v>2516</v>
      </c>
      <c r="F7882" s="81">
        <v>481.0</v>
      </c>
      <c r="G7882" s="81" t="s">
        <v>43</v>
      </c>
      <c r="H7882" s="81" t="s">
        <v>224</v>
      </c>
      <c r="I7882" s="81" t="s">
        <v>2512</v>
      </c>
      <c r="J7882" s="81" t="s">
        <v>224</v>
      </c>
    </row>
    <row r="7883">
      <c r="A7883" s="83" t="s">
        <v>6649</v>
      </c>
      <c r="B7883" s="83" t="s">
        <v>6650</v>
      </c>
      <c r="C7883" s="81" t="s">
        <v>5141</v>
      </c>
      <c r="D7883" s="83" t="s">
        <v>4540</v>
      </c>
      <c r="E7883" s="81" t="s">
        <v>2549</v>
      </c>
      <c r="F7883" s="81">
        <v>487.0</v>
      </c>
      <c r="G7883" s="81" t="s">
        <v>42</v>
      </c>
      <c r="H7883" s="81" t="s">
        <v>6380</v>
      </c>
      <c r="I7883" s="81" t="s">
        <v>224</v>
      </c>
      <c r="J7883" s="81" t="s">
        <v>6751</v>
      </c>
    </row>
    <row r="7884">
      <c r="A7884" s="83" t="s">
        <v>6649</v>
      </c>
      <c r="B7884" s="83" t="s">
        <v>6650</v>
      </c>
      <c r="C7884" s="81" t="s">
        <v>5141</v>
      </c>
      <c r="D7884" s="83" t="s">
        <v>4540</v>
      </c>
      <c r="E7884" s="81" t="s">
        <v>2562</v>
      </c>
      <c r="F7884" s="81">
        <v>488.0</v>
      </c>
      <c r="G7884" s="81" t="s">
        <v>42</v>
      </c>
      <c r="H7884" s="81" t="s">
        <v>6380</v>
      </c>
      <c r="I7884" s="81" t="s">
        <v>224</v>
      </c>
      <c r="J7884" s="81" t="s">
        <v>6751</v>
      </c>
    </row>
    <row r="7885">
      <c r="A7885" s="83" t="s">
        <v>6649</v>
      </c>
      <c r="B7885" s="83" t="s">
        <v>6650</v>
      </c>
      <c r="C7885" s="81" t="s">
        <v>5141</v>
      </c>
      <c r="D7885" s="83" t="s">
        <v>4543</v>
      </c>
      <c r="E7885" s="81" t="s">
        <v>2563</v>
      </c>
      <c r="F7885" s="81">
        <v>489.0</v>
      </c>
      <c r="G7885" s="81" t="s">
        <v>42</v>
      </c>
      <c r="H7885" s="81" t="s">
        <v>6380</v>
      </c>
      <c r="I7885" s="81" t="s">
        <v>224</v>
      </c>
      <c r="J7885" s="81" t="s">
        <v>6751</v>
      </c>
    </row>
    <row r="7886">
      <c r="A7886" s="83" t="s">
        <v>6649</v>
      </c>
      <c r="B7886" s="83" t="s">
        <v>6650</v>
      </c>
      <c r="C7886" s="81" t="s">
        <v>5141</v>
      </c>
      <c r="D7886" s="83" t="s">
        <v>4544</v>
      </c>
      <c r="E7886" s="81" t="s">
        <v>2566</v>
      </c>
      <c r="F7886" s="81">
        <v>490.0</v>
      </c>
      <c r="G7886" s="81" t="s">
        <v>42</v>
      </c>
      <c r="H7886" s="81" t="s">
        <v>6380</v>
      </c>
      <c r="I7886" s="81" t="s">
        <v>224</v>
      </c>
      <c r="J7886" s="81" t="s">
        <v>6751</v>
      </c>
    </row>
    <row r="7887">
      <c r="A7887" s="83" t="s">
        <v>6649</v>
      </c>
      <c r="B7887" s="83" t="s">
        <v>6650</v>
      </c>
      <c r="C7887" s="81" t="s">
        <v>5141</v>
      </c>
      <c r="D7887" s="83" t="s">
        <v>4544</v>
      </c>
      <c r="E7887" s="81" t="s">
        <v>2573</v>
      </c>
      <c r="F7887" s="81">
        <v>491.0</v>
      </c>
      <c r="G7887" s="81" t="s">
        <v>42</v>
      </c>
      <c r="H7887" s="81" t="s">
        <v>6380</v>
      </c>
      <c r="I7887" s="81" t="s">
        <v>224</v>
      </c>
      <c r="J7887" s="81" t="s">
        <v>6751</v>
      </c>
    </row>
    <row r="7888">
      <c r="A7888" s="83" t="s">
        <v>6649</v>
      </c>
      <c r="B7888" s="83" t="s">
        <v>6650</v>
      </c>
      <c r="C7888" s="81" t="s">
        <v>5141</v>
      </c>
      <c r="D7888" s="83" t="s">
        <v>4546</v>
      </c>
      <c r="E7888" s="81" t="s">
        <v>2574</v>
      </c>
      <c r="F7888" s="81">
        <v>492.0</v>
      </c>
      <c r="G7888" s="81" t="s">
        <v>42</v>
      </c>
      <c r="H7888" s="81" t="s">
        <v>6380</v>
      </c>
      <c r="I7888" s="81" t="s">
        <v>224</v>
      </c>
      <c r="J7888" s="81" t="s">
        <v>6751</v>
      </c>
    </row>
    <row r="7889">
      <c r="A7889" s="83" t="s">
        <v>6649</v>
      </c>
      <c r="B7889" s="83" t="s">
        <v>6650</v>
      </c>
      <c r="C7889" s="81" t="s">
        <v>5141</v>
      </c>
      <c r="D7889" s="83" t="s">
        <v>4550</v>
      </c>
      <c r="E7889" s="81" t="s">
        <v>2591</v>
      </c>
      <c r="F7889" s="81">
        <v>496.0</v>
      </c>
      <c r="G7889" s="81" t="s">
        <v>42</v>
      </c>
      <c r="H7889" s="81" t="s">
        <v>2388</v>
      </c>
      <c r="I7889" s="81" t="s">
        <v>224</v>
      </c>
      <c r="J7889" s="81" t="s">
        <v>6751</v>
      </c>
    </row>
    <row r="7890">
      <c r="A7890" s="83" t="s">
        <v>6649</v>
      </c>
      <c r="B7890" s="83" t="s">
        <v>6650</v>
      </c>
      <c r="C7890" s="81" t="s">
        <v>5141</v>
      </c>
      <c r="D7890" s="83" t="s">
        <v>4551</v>
      </c>
      <c r="E7890" s="81" t="s">
        <v>2594</v>
      </c>
      <c r="F7890" s="81">
        <v>497.0</v>
      </c>
      <c r="G7890" s="81" t="s">
        <v>42</v>
      </c>
      <c r="H7890" s="81" t="s">
        <v>2399</v>
      </c>
      <c r="I7890" s="81" t="s">
        <v>224</v>
      </c>
      <c r="J7890" s="81" t="s">
        <v>6751</v>
      </c>
    </row>
    <row r="7891">
      <c r="A7891" s="83" t="s">
        <v>6649</v>
      </c>
      <c r="B7891" s="83" t="s">
        <v>6650</v>
      </c>
      <c r="C7891" s="81" t="s">
        <v>5141</v>
      </c>
      <c r="D7891" s="83" t="s">
        <v>4552</v>
      </c>
      <c r="E7891" s="81" t="s">
        <v>2596</v>
      </c>
      <c r="F7891" s="81">
        <v>498.0</v>
      </c>
      <c r="G7891" s="81" t="s">
        <v>42</v>
      </c>
      <c r="H7891" s="81" t="s">
        <v>2406</v>
      </c>
      <c r="I7891" s="81" t="s">
        <v>224</v>
      </c>
      <c r="J7891" s="81" t="s">
        <v>6751</v>
      </c>
    </row>
    <row r="7892">
      <c r="A7892" s="83" t="s">
        <v>6649</v>
      </c>
      <c r="B7892" s="83" t="s">
        <v>6650</v>
      </c>
      <c r="C7892" s="81" t="s">
        <v>5141</v>
      </c>
      <c r="D7892" s="83" t="s">
        <v>4553</v>
      </c>
      <c r="E7892" s="81" t="s">
        <v>2598</v>
      </c>
      <c r="F7892" s="81">
        <v>499.0</v>
      </c>
      <c r="G7892" s="81" t="s">
        <v>42</v>
      </c>
      <c r="H7892" s="81" t="s">
        <v>2604</v>
      </c>
      <c r="I7892" s="81" t="s">
        <v>224</v>
      </c>
      <c r="J7892" s="81" t="s">
        <v>6751</v>
      </c>
    </row>
    <row r="7893">
      <c r="A7893" s="83" t="s">
        <v>6649</v>
      </c>
      <c r="B7893" s="83" t="s">
        <v>6650</v>
      </c>
      <c r="C7893" s="81" t="s">
        <v>5141</v>
      </c>
      <c r="D7893" s="83" t="s">
        <v>4553</v>
      </c>
      <c r="E7893" s="81" t="s">
        <v>2608</v>
      </c>
      <c r="F7893" s="81">
        <v>500.0</v>
      </c>
      <c r="G7893" s="81" t="s">
        <v>42</v>
      </c>
      <c r="H7893" s="81" t="s">
        <v>2604</v>
      </c>
      <c r="I7893" s="81" t="s">
        <v>224</v>
      </c>
      <c r="J7893" s="81" t="s">
        <v>6751</v>
      </c>
    </row>
    <row r="7894">
      <c r="A7894" s="83" t="s">
        <v>6649</v>
      </c>
      <c r="B7894" s="83" t="s">
        <v>6650</v>
      </c>
      <c r="C7894" s="81" t="s">
        <v>5141</v>
      </c>
      <c r="D7894" s="83" t="s">
        <v>4555</v>
      </c>
      <c r="E7894" s="81" t="s">
        <v>2610</v>
      </c>
      <c r="F7894" s="81">
        <v>501.0</v>
      </c>
      <c r="G7894" s="81" t="s">
        <v>42</v>
      </c>
      <c r="H7894" s="81" t="s">
        <v>2604</v>
      </c>
      <c r="I7894" s="81" t="s">
        <v>224</v>
      </c>
      <c r="J7894" s="81" t="s">
        <v>6751</v>
      </c>
    </row>
    <row r="7895">
      <c r="A7895" s="83" t="s">
        <v>6649</v>
      </c>
      <c r="B7895" s="83" t="s">
        <v>6650</v>
      </c>
      <c r="C7895" s="81" t="s">
        <v>4086</v>
      </c>
      <c r="D7895" s="83" t="s">
        <v>4558</v>
      </c>
      <c r="E7895" s="81" t="s">
        <v>2619</v>
      </c>
      <c r="F7895" s="81">
        <v>504.0</v>
      </c>
      <c r="G7895" s="81" t="s">
        <v>42</v>
      </c>
      <c r="H7895" s="81" t="s">
        <v>6381</v>
      </c>
      <c r="I7895" s="81" t="s">
        <v>2630</v>
      </c>
      <c r="J7895" s="81" t="s">
        <v>224</v>
      </c>
    </row>
    <row r="7896">
      <c r="A7896" s="83" t="s">
        <v>6649</v>
      </c>
      <c r="B7896" s="83" t="s">
        <v>6650</v>
      </c>
      <c r="C7896" s="81" t="s">
        <v>4082</v>
      </c>
      <c r="D7896" s="83" t="s">
        <v>4558</v>
      </c>
      <c r="E7896" s="81" t="s">
        <v>2619</v>
      </c>
      <c r="F7896" s="81">
        <v>504.0</v>
      </c>
      <c r="G7896" s="81" t="s">
        <v>41</v>
      </c>
      <c r="H7896" s="81" t="s">
        <v>2629</v>
      </c>
      <c r="I7896" s="81" t="s">
        <v>224</v>
      </c>
      <c r="J7896" s="81" t="s">
        <v>6356</v>
      </c>
    </row>
    <row r="7897">
      <c r="A7897" s="83" t="s">
        <v>6649</v>
      </c>
      <c r="B7897" s="83" t="s">
        <v>6650</v>
      </c>
      <c r="C7897" s="81" t="s">
        <v>4086</v>
      </c>
      <c r="D7897" s="83" t="s">
        <v>4558</v>
      </c>
      <c r="E7897" s="81" t="s">
        <v>2634</v>
      </c>
      <c r="F7897" s="81">
        <v>505.0</v>
      </c>
      <c r="G7897" s="81" t="s">
        <v>42</v>
      </c>
      <c r="H7897" s="81" t="s">
        <v>6381</v>
      </c>
      <c r="I7897" s="81" t="s">
        <v>2630</v>
      </c>
      <c r="J7897" s="81" t="s">
        <v>224</v>
      </c>
    </row>
    <row r="7898">
      <c r="A7898" s="83" t="s">
        <v>6649</v>
      </c>
      <c r="B7898" s="83" t="s">
        <v>6650</v>
      </c>
      <c r="C7898" s="81" t="s">
        <v>4086</v>
      </c>
      <c r="D7898" s="83" t="s">
        <v>4560</v>
      </c>
      <c r="E7898" s="81" t="s">
        <v>2635</v>
      </c>
      <c r="F7898" s="81">
        <v>506.0</v>
      </c>
      <c r="G7898" s="81" t="s">
        <v>42</v>
      </c>
      <c r="H7898" s="81" t="s">
        <v>6381</v>
      </c>
      <c r="I7898" s="81" t="s">
        <v>2630</v>
      </c>
      <c r="J7898" s="81" t="s">
        <v>224</v>
      </c>
    </row>
    <row r="7899">
      <c r="A7899" s="83" t="s">
        <v>6649</v>
      </c>
      <c r="B7899" s="83" t="s">
        <v>6650</v>
      </c>
      <c r="C7899" s="81" t="s">
        <v>4086</v>
      </c>
      <c r="D7899" s="83" t="s">
        <v>4561</v>
      </c>
      <c r="E7899" s="81" t="s">
        <v>2638</v>
      </c>
      <c r="F7899" s="81">
        <v>507.0</v>
      </c>
      <c r="G7899" s="81" t="s">
        <v>42</v>
      </c>
      <c r="H7899" s="81" t="s">
        <v>6381</v>
      </c>
      <c r="I7899" s="81" t="s">
        <v>2644</v>
      </c>
      <c r="J7899" s="81" t="s">
        <v>224</v>
      </c>
    </row>
    <row r="7900">
      <c r="A7900" s="83" t="s">
        <v>6649</v>
      </c>
      <c r="B7900" s="83" t="s">
        <v>6650</v>
      </c>
      <c r="C7900" s="81" t="s">
        <v>4086</v>
      </c>
      <c r="D7900" s="83" t="s">
        <v>4562</v>
      </c>
      <c r="E7900" s="81" t="s">
        <v>2648</v>
      </c>
      <c r="F7900" s="81">
        <v>508.0</v>
      </c>
      <c r="G7900" s="81" t="s">
        <v>42</v>
      </c>
      <c r="H7900" s="81" t="s">
        <v>6381</v>
      </c>
      <c r="I7900" s="81" t="s">
        <v>2644</v>
      </c>
      <c r="J7900" s="81" t="s">
        <v>224</v>
      </c>
    </row>
    <row r="7901">
      <c r="A7901" s="83" t="s">
        <v>6649</v>
      </c>
      <c r="B7901" s="83" t="s">
        <v>6650</v>
      </c>
      <c r="C7901" s="81" t="s">
        <v>5141</v>
      </c>
      <c r="D7901" s="83" t="s">
        <v>4563</v>
      </c>
      <c r="E7901" s="81" t="s">
        <v>2651</v>
      </c>
      <c r="F7901" s="81">
        <v>509.0</v>
      </c>
      <c r="G7901" s="81" t="s">
        <v>42</v>
      </c>
      <c r="H7901" s="81" t="s">
        <v>6380</v>
      </c>
      <c r="I7901" s="81" t="s">
        <v>224</v>
      </c>
      <c r="J7901" s="81" t="s">
        <v>6751</v>
      </c>
    </row>
    <row r="7902">
      <c r="A7902" s="83" t="s">
        <v>6649</v>
      </c>
      <c r="B7902" s="83" t="s">
        <v>6650</v>
      </c>
      <c r="C7902" s="81" t="s">
        <v>5141</v>
      </c>
      <c r="D7902" s="83" t="s">
        <v>4564</v>
      </c>
      <c r="E7902" s="81" t="s">
        <v>2659</v>
      </c>
      <c r="F7902" s="81">
        <v>510.0</v>
      </c>
      <c r="G7902" s="81" t="s">
        <v>42</v>
      </c>
      <c r="H7902" s="81" t="s">
        <v>6380</v>
      </c>
      <c r="I7902" s="81" t="s">
        <v>224</v>
      </c>
      <c r="J7902" s="81" t="s">
        <v>6751</v>
      </c>
    </row>
    <row r="7903">
      <c r="A7903" s="83" t="s">
        <v>6649</v>
      </c>
      <c r="B7903" s="83" t="s">
        <v>6650</v>
      </c>
      <c r="C7903" s="81" t="s">
        <v>5141</v>
      </c>
      <c r="D7903" s="83" t="s">
        <v>4565</v>
      </c>
      <c r="E7903" s="81" t="s">
        <v>2661</v>
      </c>
      <c r="F7903" s="81">
        <v>511.0</v>
      </c>
      <c r="G7903" s="81" t="s">
        <v>42</v>
      </c>
      <c r="H7903" s="81" t="s">
        <v>6380</v>
      </c>
      <c r="I7903" s="81" t="s">
        <v>224</v>
      </c>
      <c r="J7903" s="81" t="s">
        <v>6751</v>
      </c>
    </row>
    <row r="7904">
      <c r="A7904" s="83" t="s">
        <v>6649</v>
      </c>
      <c r="B7904" s="83" t="s">
        <v>6650</v>
      </c>
      <c r="C7904" s="81" t="s">
        <v>5141</v>
      </c>
      <c r="D7904" s="83" t="s">
        <v>4566</v>
      </c>
      <c r="E7904" s="81" t="s">
        <v>2667</v>
      </c>
      <c r="F7904" s="81">
        <v>512.0</v>
      </c>
      <c r="G7904" s="81" t="s">
        <v>42</v>
      </c>
      <c r="H7904" s="81" t="s">
        <v>6380</v>
      </c>
      <c r="I7904" s="81" t="s">
        <v>224</v>
      </c>
      <c r="J7904" s="81" t="s">
        <v>6751</v>
      </c>
    </row>
    <row r="7905">
      <c r="A7905" s="83" t="s">
        <v>6649</v>
      </c>
      <c r="B7905" s="83" t="s">
        <v>6650</v>
      </c>
      <c r="C7905" s="81" t="s">
        <v>5141</v>
      </c>
      <c r="D7905" s="83" t="s">
        <v>4579</v>
      </c>
      <c r="E7905" s="81" t="s">
        <v>2727</v>
      </c>
      <c r="F7905" s="81">
        <v>528.0</v>
      </c>
      <c r="G7905" s="81" t="s">
        <v>42</v>
      </c>
      <c r="H7905" s="81" t="s">
        <v>2732</v>
      </c>
      <c r="I7905" s="81" t="s">
        <v>224</v>
      </c>
      <c r="J7905" s="81" t="s">
        <v>6751</v>
      </c>
    </row>
    <row r="7906">
      <c r="A7906" s="83" t="s">
        <v>6649</v>
      </c>
      <c r="B7906" s="83" t="s">
        <v>6650</v>
      </c>
      <c r="C7906" s="81" t="s">
        <v>5141</v>
      </c>
      <c r="D7906" s="83" t="s">
        <v>4579</v>
      </c>
      <c r="E7906" s="81" t="s">
        <v>2736</v>
      </c>
      <c r="F7906" s="81">
        <v>529.0</v>
      </c>
      <c r="G7906" s="81" t="s">
        <v>42</v>
      </c>
      <c r="H7906" s="81" t="s">
        <v>2732</v>
      </c>
      <c r="I7906" s="81" t="s">
        <v>224</v>
      </c>
      <c r="J7906" s="81" t="s">
        <v>6751</v>
      </c>
    </row>
    <row r="7907">
      <c r="A7907" s="83" t="s">
        <v>6649</v>
      </c>
      <c r="B7907" s="83" t="s">
        <v>6650</v>
      </c>
      <c r="C7907" s="81" t="s">
        <v>5141</v>
      </c>
      <c r="D7907" s="83" t="s">
        <v>4581</v>
      </c>
      <c r="E7907" s="81" t="s">
        <v>2737</v>
      </c>
      <c r="F7907" s="81">
        <v>530.0</v>
      </c>
      <c r="G7907" s="81" t="s">
        <v>42</v>
      </c>
      <c r="H7907" s="81" t="s">
        <v>2732</v>
      </c>
      <c r="I7907" s="81" t="s">
        <v>224</v>
      </c>
      <c r="J7907" s="81" t="s">
        <v>6751</v>
      </c>
    </row>
    <row r="7908">
      <c r="A7908" s="83" t="s">
        <v>6649</v>
      </c>
      <c r="B7908" s="83" t="s">
        <v>6650</v>
      </c>
      <c r="C7908" s="81" t="s">
        <v>5141</v>
      </c>
      <c r="D7908" s="83" t="s">
        <v>4582</v>
      </c>
      <c r="E7908" s="81" t="s">
        <v>2740</v>
      </c>
      <c r="F7908" s="81">
        <v>531.0</v>
      </c>
      <c r="G7908" s="81" t="s">
        <v>42</v>
      </c>
      <c r="H7908" s="81" t="s">
        <v>2744</v>
      </c>
      <c r="I7908" s="81" t="s">
        <v>224</v>
      </c>
      <c r="J7908" s="81" t="s">
        <v>6751</v>
      </c>
    </row>
    <row r="7909">
      <c r="A7909" s="83" t="s">
        <v>6649</v>
      </c>
      <c r="B7909" s="83" t="s">
        <v>6650</v>
      </c>
      <c r="C7909" s="81" t="s">
        <v>5141</v>
      </c>
      <c r="D7909" s="83" t="s">
        <v>4582</v>
      </c>
      <c r="E7909" s="81" t="s">
        <v>2748</v>
      </c>
      <c r="F7909" s="81">
        <v>532.0</v>
      </c>
      <c r="G7909" s="81" t="s">
        <v>42</v>
      </c>
      <c r="H7909" s="81" t="s">
        <v>2744</v>
      </c>
      <c r="I7909" s="81" t="s">
        <v>224</v>
      </c>
      <c r="J7909" s="81" t="s">
        <v>6751</v>
      </c>
    </row>
    <row r="7910">
      <c r="A7910" s="83" t="s">
        <v>6649</v>
      </c>
      <c r="B7910" s="83" t="s">
        <v>6650</v>
      </c>
      <c r="C7910" s="81" t="s">
        <v>5141</v>
      </c>
      <c r="D7910" s="83" t="s">
        <v>4584</v>
      </c>
      <c r="E7910" s="81" t="s">
        <v>2749</v>
      </c>
      <c r="F7910" s="81">
        <v>533.0</v>
      </c>
      <c r="G7910" s="81" t="s">
        <v>42</v>
      </c>
      <c r="H7910" s="81" t="s">
        <v>2744</v>
      </c>
      <c r="I7910" s="81" t="s">
        <v>224</v>
      </c>
      <c r="J7910" s="81" t="s">
        <v>6751</v>
      </c>
    </row>
    <row r="7911">
      <c r="A7911" s="83" t="s">
        <v>6649</v>
      </c>
      <c r="B7911" s="83" t="s">
        <v>6650</v>
      </c>
      <c r="C7911" s="81" t="s">
        <v>5141</v>
      </c>
      <c r="D7911" s="83" t="s">
        <v>4585</v>
      </c>
      <c r="E7911" s="81" t="s">
        <v>2752</v>
      </c>
      <c r="F7911" s="81">
        <v>534.0</v>
      </c>
      <c r="G7911" s="81" t="s">
        <v>42</v>
      </c>
      <c r="H7911" s="81" t="s">
        <v>2757</v>
      </c>
      <c r="I7911" s="81" t="s">
        <v>224</v>
      </c>
      <c r="J7911" s="81" t="s">
        <v>6751</v>
      </c>
    </row>
    <row r="7912">
      <c r="A7912" s="83" t="s">
        <v>6649</v>
      </c>
      <c r="B7912" s="83" t="s">
        <v>6650</v>
      </c>
      <c r="C7912" s="81" t="s">
        <v>5141</v>
      </c>
      <c r="D7912" s="83" t="s">
        <v>4585</v>
      </c>
      <c r="E7912" s="81" t="s">
        <v>2761</v>
      </c>
      <c r="F7912" s="81">
        <v>535.0</v>
      </c>
      <c r="G7912" s="81" t="s">
        <v>42</v>
      </c>
      <c r="H7912" s="81" t="s">
        <v>2757</v>
      </c>
      <c r="I7912" s="81" t="s">
        <v>224</v>
      </c>
      <c r="J7912" s="81" t="s">
        <v>6751</v>
      </c>
    </row>
    <row r="7913">
      <c r="A7913" s="83" t="s">
        <v>6649</v>
      </c>
      <c r="B7913" s="83" t="s">
        <v>6650</v>
      </c>
      <c r="C7913" s="81" t="s">
        <v>5141</v>
      </c>
      <c r="D7913" s="83" t="s">
        <v>4586</v>
      </c>
      <c r="E7913" s="81" t="s">
        <v>2763</v>
      </c>
      <c r="F7913" s="81">
        <v>536.0</v>
      </c>
      <c r="G7913" s="81" t="s">
        <v>42</v>
      </c>
      <c r="H7913" s="81" t="s">
        <v>2757</v>
      </c>
      <c r="I7913" s="81" t="s">
        <v>224</v>
      </c>
      <c r="J7913" s="81" t="s">
        <v>6751</v>
      </c>
    </row>
    <row r="7914">
      <c r="A7914" s="83" t="s">
        <v>6649</v>
      </c>
      <c r="B7914" s="83" t="s">
        <v>6650</v>
      </c>
      <c r="C7914" s="81" t="s">
        <v>5141</v>
      </c>
      <c r="D7914" s="83" t="s">
        <v>4601</v>
      </c>
      <c r="E7914" s="81" t="s">
        <v>2874</v>
      </c>
      <c r="F7914" s="81">
        <v>553.0</v>
      </c>
      <c r="G7914" s="81" t="s">
        <v>42</v>
      </c>
      <c r="H7914" s="81" t="s">
        <v>2879</v>
      </c>
      <c r="I7914" s="81" t="s">
        <v>224</v>
      </c>
      <c r="J7914" s="81" t="s">
        <v>6751</v>
      </c>
    </row>
    <row r="7915">
      <c r="A7915" s="83" t="s">
        <v>6649</v>
      </c>
      <c r="B7915" s="83" t="s">
        <v>6650</v>
      </c>
      <c r="C7915" s="81" t="s">
        <v>5141</v>
      </c>
      <c r="D7915" s="83" t="s">
        <v>4603</v>
      </c>
      <c r="E7915" s="81" t="s">
        <v>2881</v>
      </c>
      <c r="F7915" s="81">
        <v>554.0</v>
      </c>
      <c r="G7915" s="81" t="s">
        <v>42</v>
      </c>
      <c r="H7915" s="81" t="s">
        <v>2883</v>
      </c>
      <c r="I7915" s="81" t="s">
        <v>224</v>
      </c>
      <c r="J7915" s="81" t="s">
        <v>6751</v>
      </c>
    </row>
    <row r="7916">
      <c r="A7916" s="83" t="s">
        <v>6649</v>
      </c>
      <c r="B7916" s="83" t="s">
        <v>6650</v>
      </c>
      <c r="C7916" s="81" t="s">
        <v>5141</v>
      </c>
      <c r="D7916" s="83" t="s">
        <v>4604</v>
      </c>
      <c r="E7916" s="81" t="s">
        <v>2885</v>
      </c>
      <c r="F7916" s="81">
        <v>555.0</v>
      </c>
      <c r="G7916" s="81" t="s">
        <v>42</v>
      </c>
      <c r="H7916" s="81" t="s">
        <v>2887</v>
      </c>
      <c r="I7916" s="81" t="s">
        <v>224</v>
      </c>
      <c r="J7916" s="81" t="s">
        <v>6751</v>
      </c>
    </row>
    <row r="7917">
      <c r="A7917" s="83" t="s">
        <v>6649</v>
      </c>
      <c r="B7917" s="83" t="s">
        <v>6650</v>
      </c>
      <c r="C7917" s="81" t="s">
        <v>5141</v>
      </c>
      <c r="D7917" s="83" t="s">
        <v>4605</v>
      </c>
      <c r="E7917" s="81" t="s">
        <v>2889</v>
      </c>
      <c r="F7917" s="81">
        <v>556.0</v>
      </c>
      <c r="G7917" s="81" t="s">
        <v>42</v>
      </c>
      <c r="H7917" s="81" t="s">
        <v>2879</v>
      </c>
      <c r="I7917" s="81" t="s">
        <v>224</v>
      </c>
      <c r="J7917" s="81" t="s">
        <v>6751</v>
      </c>
    </row>
    <row r="7918">
      <c r="A7918" s="83" t="s">
        <v>6649</v>
      </c>
      <c r="B7918" s="83" t="s">
        <v>6650</v>
      </c>
      <c r="C7918" s="81" t="s">
        <v>5141</v>
      </c>
      <c r="D7918" s="83" t="s">
        <v>4606</v>
      </c>
      <c r="E7918" s="81" t="s">
        <v>2891</v>
      </c>
      <c r="F7918" s="81">
        <v>557.0</v>
      </c>
      <c r="G7918" s="81" t="s">
        <v>42</v>
      </c>
      <c r="H7918" s="81" t="s">
        <v>2883</v>
      </c>
      <c r="I7918" s="81" t="s">
        <v>224</v>
      </c>
      <c r="J7918" s="81" t="s">
        <v>6751</v>
      </c>
    </row>
    <row r="7919">
      <c r="A7919" s="83" t="s">
        <v>6649</v>
      </c>
      <c r="B7919" s="83" t="s">
        <v>6650</v>
      </c>
      <c r="C7919" s="81" t="s">
        <v>5141</v>
      </c>
      <c r="D7919" s="83" t="s">
        <v>4607</v>
      </c>
      <c r="E7919" s="81" t="s">
        <v>2893</v>
      </c>
      <c r="F7919" s="81">
        <v>558.0</v>
      </c>
      <c r="G7919" s="81" t="s">
        <v>42</v>
      </c>
      <c r="H7919" s="81" t="s">
        <v>2887</v>
      </c>
      <c r="I7919" s="81" t="s">
        <v>224</v>
      </c>
      <c r="J7919" s="81" t="s">
        <v>6751</v>
      </c>
    </row>
    <row r="7920">
      <c r="A7920" s="83" t="s">
        <v>6649</v>
      </c>
      <c r="B7920" s="83" t="s">
        <v>6650</v>
      </c>
      <c r="C7920" s="81" t="s">
        <v>4082</v>
      </c>
      <c r="D7920" s="83" t="s">
        <v>4608</v>
      </c>
      <c r="E7920" s="81" t="s">
        <v>2906</v>
      </c>
      <c r="F7920" s="81">
        <v>560.0</v>
      </c>
      <c r="G7920" s="81" t="s">
        <v>41</v>
      </c>
      <c r="H7920" s="81" t="s">
        <v>2907</v>
      </c>
      <c r="I7920" s="81" t="s">
        <v>224</v>
      </c>
      <c r="J7920" s="81" t="s">
        <v>6357</v>
      </c>
    </row>
    <row r="7921">
      <c r="A7921" s="83" t="s">
        <v>6649</v>
      </c>
      <c r="B7921" s="83" t="s">
        <v>6650</v>
      </c>
      <c r="C7921" s="81" t="s">
        <v>4086</v>
      </c>
      <c r="D7921" s="83" t="s">
        <v>4637</v>
      </c>
      <c r="E7921" s="81" t="s">
        <v>3013</v>
      </c>
      <c r="F7921" s="81">
        <v>580.0</v>
      </c>
      <c r="G7921" s="81" t="s">
        <v>43</v>
      </c>
      <c r="H7921" s="81" t="s">
        <v>5992</v>
      </c>
      <c r="I7921" s="81" t="s">
        <v>3023</v>
      </c>
      <c r="J7921" s="81" t="s">
        <v>224</v>
      </c>
    </row>
    <row r="7922">
      <c r="A7922" s="83" t="s">
        <v>6649</v>
      </c>
      <c r="B7922" s="83" t="s">
        <v>6650</v>
      </c>
      <c r="C7922" s="81" t="s">
        <v>4086</v>
      </c>
      <c r="D7922" s="83" t="s">
        <v>4637</v>
      </c>
      <c r="E7922" s="81" t="s">
        <v>3026</v>
      </c>
      <c r="F7922" s="81">
        <v>581.0</v>
      </c>
      <c r="G7922" s="81" t="s">
        <v>43</v>
      </c>
      <c r="H7922" s="81" t="s">
        <v>5992</v>
      </c>
      <c r="I7922" s="81" t="s">
        <v>3023</v>
      </c>
      <c r="J7922" s="81" t="s">
        <v>224</v>
      </c>
    </row>
    <row r="7923">
      <c r="A7923" s="83" t="s">
        <v>6649</v>
      </c>
      <c r="B7923" s="83" t="s">
        <v>6650</v>
      </c>
      <c r="C7923" s="81" t="s">
        <v>4086</v>
      </c>
      <c r="D7923" s="83" t="s">
        <v>4639</v>
      </c>
      <c r="E7923" s="81" t="s">
        <v>3027</v>
      </c>
      <c r="F7923" s="81">
        <v>582.0</v>
      </c>
      <c r="G7923" s="81" t="s">
        <v>43</v>
      </c>
      <c r="H7923" s="81" t="s">
        <v>224</v>
      </c>
      <c r="I7923" s="81" t="s">
        <v>3023</v>
      </c>
      <c r="J7923" s="81" t="s">
        <v>224</v>
      </c>
    </row>
    <row r="7924">
      <c r="A7924" s="83" t="s">
        <v>6649</v>
      </c>
      <c r="B7924" s="83" t="s">
        <v>6650</v>
      </c>
      <c r="C7924" s="81" t="s">
        <v>4086</v>
      </c>
      <c r="D7924" s="83" t="s">
        <v>4643</v>
      </c>
      <c r="E7924" s="81" t="s">
        <v>3046</v>
      </c>
      <c r="F7924" s="81">
        <v>586.0</v>
      </c>
      <c r="G7924" s="81" t="s">
        <v>43</v>
      </c>
      <c r="H7924" s="81" t="s">
        <v>6003</v>
      </c>
      <c r="I7924" s="81" t="s">
        <v>3055</v>
      </c>
      <c r="J7924" s="81" t="s">
        <v>224</v>
      </c>
    </row>
    <row r="7925">
      <c r="A7925" s="83" t="s">
        <v>6649</v>
      </c>
      <c r="B7925" s="83" t="s">
        <v>6650</v>
      </c>
      <c r="C7925" s="81" t="s">
        <v>4086</v>
      </c>
      <c r="D7925" s="83" t="s">
        <v>4643</v>
      </c>
      <c r="E7925" s="81" t="s">
        <v>3058</v>
      </c>
      <c r="F7925" s="81">
        <v>587.0</v>
      </c>
      <c r="G7925" s="81" t="s">
        <v>43</v>
      </c>
      <c r="H7925" s="81" t="s">
        <v>6003</v>
      </c>
      <c r="I7925" s="81" t="s">
        <v>3055</v>
      </c>
      <c r="J7925" s="81" t="s">
        <v>224</v>
      </c>
    </row>
    <row r="7926">
      <c r="A7926" s="83" t="s">
        <v>6649</v>
      </c>
      <c r="B7926" s="83" t="s">
        <v>6650</v>
      </c>
      <c r="C7926" s="81" t="s">
        <v>4086</v>
      </c>
      <c r="D7926" s="83" t="s">
        <v>4644</v>
      </c>
      <c r="E7926" s="81" t="s">
        <v>3059</v>
      </c>
      <c r="F7926" s="81">
        <v>588.0</v>
      </c>
      <c r="G7926" s="81" t="s">
        <v>43</v>
      </c>
      <c r="H7926" s="81" t="s">
        <v>224</v>
      </c>
      <c r="I7926" s="81" t="s">
        <v>3055</v>
      </c>
      <c r="J7926" s="81" t="s">
        <v>224</v>
      </c>
    </row>
    <row r="7927">
      <c r="A7927" s="83" t="s">
        <v>6649</v>
      </c>
      <c r="B7927" s="83" t="s">
        <v>6650</v>
      </c>
      <c r="C7927" s="81" t="s">
        <v>5141</v>
      </c>
      <c r="D7927" s="83" t="s">
        <v>4648</v>
      </c>
      <c r="E7927" s="81" t="s">
        <v>3077</v>
      </c>
      <c r="F7927" s="81">
        <v>592.0</v>
      </c>
      <c r="G7927" s="81" t="s">
        <v>43</v>
      </c>
      <c r="H7927" s="81" t="s">
        <v>6758</v>
      </c>
      <c r="I7927" s="81" t="s">
        <v>224</v>
      </c>
      <c r="J7927" s="81" t="s">
        <v>6749</v>
      </c>
    </row>
    <row r="7928">
      <c r="A7928" s="83" t="s">
        <v>6649</v>
      </c>
      <c r="B7928" s="83" t="s">
        <v>6650</v>
      </c>
      <c r="C7928" s="81" t="s">
        <v>5141</v>
      </c>
      <c r="D7928" s="83" t="s">
        <v>4648</v>
      </c>
      <c r="E7928" s="81" t="s">
        <v>3090</v>
      </c>
      <c r="F7928" s="81">
        <v>593.0</v>
      </c>
      <c r="G7928" s="81" t="s">
        <v>43</v>
      </c>
      <c r="H7928" s="81" t="s">
        <v>6758</v>
      </c>
      <c r="I7928" s="81" t="s">
        <v>224</v>
      </c>
      <c r="J7928" s="81" t="s">
        <v>6749</v>
      </c>
    </row>
    <row r="7929">
      <c r="A7929" s="83" t="s">
        <v>6649</v>
      </c>
      <c r="B7929" s="83" t="s">
        <v>6650</v>
      </c>
      <c r="C7929" s="81" t="s">
        <v>5141</v>
      </c>
      <c r="D7929" s="83" t="s">
        <v>4650</v>
      </c>
      <c r="E7929" s="81" t="s">
        <v>3091</v>
      </c>
      <c r="F7929" s="81">
        <v>594.0</v>
      </c>
      <c r="G7929" s="81" t="s">
        <v>43</v>
      </c>
      <c r="H7929" s="81" t="s">
        <v>6758</v>
      </c>
      <c r="I7929" s="81" t="s">
        <v>224</v>
      </c>
      <c r="J7929" s="81" t="s">
        <v>6749</v>
      </c>
    </row>
    <row r="7930">
      <c r="A7930" s="83" t="s">
        <v>6649</v>
      </c>
      <c r="B7930" s="83" t="s">
        <v>6650</v>
      </c>
      <c r="C7930" s="81" t="s">
        <v>4086</v>
      </c>
      <c r="D7930" s="83" t="s">
        <v>4651</v>
      </c>
      <c r="E7930" s="81" t="s">
        <v>3094</v>
      </c>
      <c r="F7930" s="81">
        <v>595.0</v>
      </c>
      <c r="G7930" s="81" t="s">
        <v>42</v>
      </c>
      <c r="H7930" s="81" t="s">
        <v>6393</v>
      </c>
      <c r="I7930" s="81" t="s">
        <v>3103</v>
      </c>
      <c r="J7930" s="81" t="s">
        <v>224</v>
      </c>
    </row>
    <row r="7931">
      <c r="A7931" s="83" t="s">
        <v>6649</v>
      </c>
      <c r="B7931" s="83" t="s">
        <v>6650</v>
      </c>
      <c r="C7931" s="81" t="s">
        <v>4086</v>
      </c>
      <c r="D7931" s="83" t="s">
        <v>4672</v>
      </c>
      <c r="E7931" s="81" t="s">
        <v>3170</v>
      </c>
      <c r="F7931" s="81">
        <v>602.0</v>
      </c>
      <c r="G7931" s="81" t="s">
        <v>43</v>
      </c>
      <c r="H7931" s="81" t="s">
        <v>6034</v>
      </c>
      <c r="I7931" s="81" t="s">
        <v>3179</v>
      </c>
      <c r="J7931" s="81" t="s">
        <v>224</v>
      </c>
    </row>
    <row r="7932">
      <c r="A7932" s="83" t="s">
        <v>6649</v>
      </c>
      <c r="B7932" s="83" t="s">
        <v>6650</v>
      </c>
      <c r="C7932" s="81" t="s">
        <v>4086</v>
      </c>
      <c r="D7932" s="83" t="s">
        <v>4672</v>
      </c>
      <c r="E7932" s="81" t="s">
        <v>3182</v>
      </c>
      <c r="F7932" s="81">
        <v>603.0</v>
      </c>
      <c r="G7932" s="81" t="s">
        <v>43</v>
      </c>
      <c r="H7932" s="81" t="s">
        <v>6034</v>
      </c>
      <c r="I7932" s="81" t="s">
        <v>3179</v>
      </c>
      <c r="J7932" s="81" t="s">
        <v>224</v>
      </c>
    </row>
    <row r="7933">
      <c r="A7933" s="83" t="s">
        <v>6649</v>
      </c>
      <c r="B7933" s="83" t="s">
        <v>6650</v>
      </c>
      <c r="C7933" s="81" t="s">
        <v>4086</v>
      </c>
      <c r="D7933" s="83" t="s">
        <v>4674</v>
      </c>
      <c r="E7933" s="81" t="s">
        <v>3183</v>
      </c>
      <c r="F7933" s="81">
        <v>604.0</v>
      </c>
      <c r="G7933" s="81" t="s">
        <v>43</v>
      </c>
      <c r="H7933" s="81" t="s">
        <v>224</v>
      </c>
      <c r="I7933" s="81" t="s">
        <v>3179</v>
      </c>
      <c r="J7933" s="81" t="s">
        <v>224</v>
      </c>
    </row>
    <row r="7934">
      <c r="A7934" s="83" t="s">
        <v>6649</v>
      </c>
      <c r="B7934" s="83" t="s">
        <v>6650</v>
      </c>
      <c r="C7934" s="81" t="s">
        <v>4086</v>
      </c>
      <c r="D7934" s="83" t="s">
        <v>4674</v>
      </c>
      <c r="E7934" s="81" t="s">
        <v>3183</v>
      </c>
      <c r="F7934" s="81">
        <v>604.0</v>
      </c>
      <c r="G7934" s="81" t="s">
        <v>42</v>
      </c>
      <c r="H7934" s="81" t="s">
        <v>224</v>
      </c>
      <c r="I7934" s="81" t="s">
        <v>3178</v>
      </c>
      <c r="J7934" s="81" t="s">
        <v>224</v>
      </c>
    </row>
    <row r="7935">
      <c r="A7935" s="83" t="s">
        <v>6649</v>
      </c>
      <c r="B7935" s="83" t="s">
        <v>6650</v>
      </c>
      <c r="C7935" s="81" t="s">
        <v>4082</v>
      </c>
      <c r="D7935" s="83" t="s">
        <v>4682</v>
      </c>
      <c r="E7935" s="81" t="s">
        <v>3226</v>
      </c>
      <c r="F7935" s="81">
        <v>613.0</v>
      </c>
      <c r="G7935" s="81" t="s">
        <v>39</v>
      </c>
      <c r="H7935" s="81" t="s">
        <v>224</v>
      </c>
      <c r="I7935" s="81" t="s">
        <v>224</v>
      </c>
      <c r="J7935" s="81" t="s">
        <v>6052</v>
      </c>
    </row>
    <row r="7936">
      <c r="A7936" s="83" t="s">
        <v>6649</v>
      </c>
      <c r="B7936" s="83" t="s">
        <v>6650</v>
      </c>
      <c r="C7936" s="81" t="s">
        <v>4086</v>
      </c>
      <c r="D7936" s="83" t="s">
        <v>4699</v>
      </c>
      <c r="E7936" s="81" t="s">
        <v>3315</v>
      </c>
      <c r="F7936" s="81">
        <v>634.0</v>
      </c>
      <c r="G7936" s="81" t="s">
        <v>43</v>
      </c>
      <c r="H7936" s="81" t="s">
        <v>6759</v>
      </c>
      <c r="I7936" s="81" t="s">
        <v>3326</v>
      </c>
      <c r="J7936" s="81" t="s">
        <v>224</v>
      </c>
    </row>
    <row r="7937">
      <c r="A7937" s="83" t="s">
        <v>6649</v>
      </c>
      <c r="B7937" s="83" t="s">
        <v>6650</v>
      </c>
      <c r="C7937" s="81" t="s">
        <v>4086</v>
      </c>
      <c r="D7937" s="83" t="s">
        <v>4699</v>
      </c>
      <c r="E7937" s="81" t="s">
        <v>3315</v>
      </c>
      <c r="F7937" s="81">
        <v>634.0</v>
      </c>
      <c r="G7937" s="81" t="s">
        <v>42</v>
      </c>
      <c r="H7937" s="81" t="s">
        <v>6401</v>
      </c>
      <c r="I7937" s="81" t="s">
        <v>3325</v>
      </c>
      <c r="J7937" s="81" t="s">
        <v>224</v>
      </c>
    </row>
    <row r="7938">
      <c r="A7938" s="83" t="s">
        <v>6649</v>
      </c>
      <c r="B7938" s="83" t="s">
        <v>6650</v>
      </c>
      <c r="C7938" s="81" t="s">
        <v>4086</v>
      </c>
      <c r="D7938" s="83" t="s">
        <v>4699</v>
      </c>
      <c r="E7938" s="81" t="s">
        <v>3328</v>
      </c>
      <c r="F7938" s="81">
        <v>635.0</v>
      </c>
      <c r="G7938" s="81" t="s">
        <v>43</v>
      </c>
      <c r="H7938" s="81" t="s">
        <v>6759</v>
      </c>
      <c r="I7938" s="81" t="s">
        <v>3326</v>
      </c>
      <c r="J7938" s="81" t="s">
        <v>224</v>
      </c>
    </row>
    <row r="7939">
      <c r="A7939" s="83" t="s">
        <v>6649</v>
      </c>
      <c r="B7939" s="83" t="s">
        <v>6650</v>
      </c>
      <c r="C7939" s="81" t="s">
        <v>4086</v>
      </c>
      <c r="D7939" s="83" t="s">
        <v>4699</v>
      </c>
      <c r="E7939" s="81" t="s">
        <v>3328</v>
      </c>
      <c r="F7939" s="81">
        <v>635.0</v>
      </c>
      <c r="G7939" s="81" t="s">
        <v>42</v>
      </c>
      <c r="H7939" s="81" t="s">
        <v>6401</v>
      </c>
      <c r="I7939" s="81" t="s">
        <v>3325</v>
      </c>
      <c r="J7939" s="81" t="s">
        <v>224</v>
      </c>
    </row>
    <row r="7940">
      <c r="A7940" s="83" t="s">
        <v>6649</v>
      </c>
      <c r="B7940" s="83" t="s">
        <v>6650</v>
      </c>
      <c r="C7940" s="81" t="s">
        <v>4086</v>
      </c>
      <c r="D7940" s="83" t="s">
        <v>4701</v>
      </c>
      <c r="E7940" s="81" t="s">
        <v>3329</v>
      </c>
      <c r="F7940" s="81">
        <v>636.0</v>
      </c>
      <c r="G7940" s="81" t="s">
        <v>43</v>
      </c>
      <c r="H7940" s="81" t="s">
        <v>6760</v>
      </c>
      <c r="I7940" s="81" t="s">
        <v>3336</v>
      </c>
      <c r="J7940" s="81" t="s">
        <v>224</v>
      </c>
    </row>
    <row r="7941">
      <c r="A7941" s="83" t="s">
        <v>6649</v>
      </c>
      <c r="B7941" s="83" t="s">
        <v>6650</v>
      </c>
      <c r="C7941" s="81" t="s">
        <v>4086</v>
      </c>
      <c r="D7941" s="83" t="s">
        <v>4701</v>
      </c>
      <c r="E7941" s="81" t="s">
        <v>3329</v>
      </c>
      <c r="F7941" s="81">
        <v>636.0</v>
      </c>
      <c r="G7941" s="81" t="s">
        <v>42</v>
      </c>
      <c r="H7941" s="81" t="s">
        <v>6401</v>
      </c>
      <c r="I7941" s="81" t="s">
        <v>3335</v>
      </c>
      <c r="J7941" s="81" t="s">
        <v>224</v>
      </c>
    </row>
    <row r="7942">
      <c r="A7942" s="83" t="s">
        <v>6649</v>
      </c>
      <c r="B7942" s="83" t="s">
        <v>6650</v>
      </c>
      <c r="C7942" s="81" t="s">
        <v>4082</v>
      </c>
      <c r="D7942" s="83" t="s">
        <v>4707</v>
      </c>
      <c r="E7942" s="81" t="s">
        <v>3362</v>
      </c>
      <c r="F7942" s="81">
        <v>641.0</v>
      </c>
      <c r="G7942" s="81" t="s">
        <v>39</v>
      </c>
      <c r="H7942" s="81" t="s">
        <v>224</v>
      </c>
      <c r="I7942" s="81" t="s">
        <v>224</v>
      </c>
      <c r="J7942" s="81" t="s">
        <v>6096</v>
      </c>
    </row>
    <row r="7943">
      <c r="A7943" s="83" t="s">
        <v>6649</v>
      </c>
      <c r="B7943" s="83" t="s">
        <v>6650</v>
      </c>
      <c r="C7943" s="81" t="s">
        <v>4082</v>
      </c>
      <c r="D7943" s="83" t="s">
        <v>4709</v>
      </c>
      <c r="E7943" s="81" t="s">
        <v>3370</v>
      </c>
      <c r="F7943" s="81">
        <v>643.0</v>
      </c>
      <c r="G7943" s="81" t="s">
        <v>39</v>
      </c>
      <c r="H7943" s="81" t="s">
        <v>224</v>
      </c>
      <c r="I7943" s="81" t="s">
        <v>224</v>
      </c>
      <c r="J7943" s="81" t="s">
        <v>6101</v>
      </c>
    </row>
    <row r="7944">
      <c r="A7944" s="83" t="s">
        <v>6649</v>
      </c>
      <c r="B7944" s="83" t="s">
        <v>6650</v>
      </c>
      <c r="C7944" s="81" t="s">
        <v>4086</v>
      </c>
      <c r="D7944" s="83" t="s">
        <v>4727</v>
      </c>
      <c r="E7944" s="81" t="s">
        <v>3483</v>
      </c>
      <c r="F7944" s="81">
        <v>657.0</v>
      </c>
      <c r="G7944" s="81" t="s">
        <v>43</v>
      </c>
      <c r="H7944" s="81" t="s">
        <v>6761</v>
      </c>
      <c r="I7944" s="81" t="s">
        <v>3493</v>
      </c>
      <c r="J7944" s="81" t="s">
        <v>224</v>
      </c>
    </row>
    <row r="7945">
      <c r="A7945" s="83" t="s">
        <v>6649</v>
      </c>
      <c r="B7945" s="83" t="s">
        <v>6650</v>
      </c>
      <c r="C7945" s="81" t="s">
        <v>4086</v>
      </c>
      <c r="D7945" s="83" t="s">
        <v>4727</v>
      </c>
      <c r="E7945" s="81" t="s">
        <v>3496</v>
      </c>
      <c r="F7945" s="81">
        <v>658.0</v>
      </c>
      <c r="G7945" s="81" t="s">
        <v>43</v>
      </c>
      <c r="H7945" s="81" t="s">
        <v>6761</v>
      </c>
      <c r="I7945" s="81" t="s">
        <v>3493</v>
      </c>
      <c r="J7945" s="81" t="s">
        <v>224</v>
      </c>
    </row>
    <row r="7946">
      <c r="A7946" s="83" t="s">
        <v>6649</v>
      </c>
      <c r="B7946" s="83" t="s">
        <v>6650</v>
      </c>
      <c r="C7946" s="81" t="s">
        <v>4086</v>
      </c>
      <c r="D7946" s="83" t="s">
        <v>4729</v>
      </c>
      <c r="E7946" s="81" t="s">
        <v>3497</v>
      </c>
      <c r="F7946" s="81">
        <v>659.0</v>
      </c>
      <c r="G7946" s="81" t="s">
        <v>43</v>
      </c>
      <c r="H7946" s="81" t="s">
        <v>6761</v>
      </c>
      <c r="I7946" s="81" t="s">
        <v>3493</v>
      </c>
      <c r="J7946" s="81" t="s">
        <v>224</v>
      </c>
    </row>
    <row r="7947">
      <c r="A7947" s="83" t="s">
        <v>6649</v>
      </c>
      <c r="B7947" s="83" t="s">
        <v>6650</v>
      </c>
      <c r="C7947" s="81" t="s">
        <v>4086</v>
      </c>
      <c r="D7947" s="83" t="s">
        <v>4735</v>
      </c>
      <c r="E7947" s="81" t="s">
        <v>3529</v>
      </c>
      <c r="F7947" s="81">
        <v>665.0</v>
      </c>
      <c r="G7947" s="81" t="s">
        <v>43</v>
      </c>
      <c r="H7947" s="81" t="s">
        <v>6762</v>
      </c>
      <c r="I7947" s="81" t="s">
        <v>3537</v>
      </c>
      <c r="J7947" s="81" t="s">
        <v>224</v>
      </c>
    </row>
    <row r="7948">
      <c r="A7948" s="83" t="s">
        <v>6649</v>
      </c>
      <c r="B7948" s="83" t="s">
        <v>6650</v>
      </c>
      <c r="C7948" s="81" t="s">
        <v>4086</v>
      </c>
      <c r="D7948" s="83" t="s">
        <v>4735</v>
      </c>
      <c r="E7948" s="81" t="s">
        <v>3539</v>
      </c>
      <c r="F7948" s="81">
        <v>666.0</v>
      </c>
      <c r="G7948" s="81" t="s">
        <v>43</v>
      </c>
      <c r="H7948" s="81" t="s">
        <v>6762</v>
      </c>
      <c r="I7948" s="81" t="s">
        <v>3537</v>
      </c>
      <c r="J7948" s="81" t="s">
        <v>224</v>
      </c>
    </row>
    <row r="7949">
      <c r="A7949" s="83" t="s">
        <v>6649</v>
      </c>
      <c r="B7949" s="83" t="s">
        <v>6650</v>
      </c>
      <c r="C7949" s="81" t="s">
        <v>4086</v>
      </c>
      <c r="D7949" s="83" t="s">
        <v>4737</v>
      </c>
      <c r="E7949" s="81" t="s">
        <v>3540</v>
      </c>
      <c r="F7949" s="81">
        <v>667.0</v>
      </c>
      <c r="G7949" s="81" t="s">
        <v>43</v>
      </c>
      <c r="H7949" s="81" t="s">
        <v>6762</v>
      </c>
      <c r="I7949" s="81" t="s">
        <v>3537</v>
      </c>
      <c r="J7949" s="81" t="s">
        <v>224</v>
      </c>
    </row>
    <row r="7950">
      <c r="A7950" s="83" t="s">
        <v>6649</v>
      </c>
      <c r="B7950" s="83" t="s">
        <v>6650</v>
      </c>
      <c r="C7950" s="81" t="s">
        <v>4086</v>
      </c>
      <c r="D7950" s="83" t="s">
        <v>4754</v>
      </c>
      <c r="E7950" s="81" t="s">
        <v>3621</v>
      </c>
      <c r="F7950" s="81">
        <v>684.0</v>
      </c>
      <c r="G7950" s="81" t="s">
        <v>42</v>
      </c>
      <c r="H7950" s="81" t="s">
        <v>224</v>
      </c>
      <c r="I7950" s="81" t="s">
        <v>3631</v>
      </c>
      <c r="J7950" s="81" t="s">
        <v>224</v>
      </c>
    </row>
    <row r="7951">
      <c r="A7951" s="83" t="s">
        <v>6649</v>
      </c>
      <c r="B7951" s="83" t="s">
        <v>6650</v>
      </c>
      <c r="C7951" s="81" t="s">
        <v>4086</v>
      </c>
      <c r="D7951" s="83" t="s">
        <v>4755</v>
      </c>
      <c r="E7951" s="81" t="s">
        <v>3633</v>
      </c>
      <c r="F7951" s="81">
        <v>685.0</v>
      </c>
      <c r="G7951" s="81" t="s">
        <v>42</v>
      </c>
      <c r="H7951" s="81" t="s">
        <v>224</v>
      </c>
      <c r="I7951" s="81" t="s">
        <v>3631</v>
      </c>
      <c r="J7951" s="81" t="s">
        <v>224</v>
      </c>
    </row>
    <row r="7952">
      <c r="A7952" s="83" t="s">
        <v>6649</v>
      </c>
      <c r="B7952" s="83" t="s">
        <v>6650</v>
      </c>
      <c r="C7952" s="81" t="s">
        <v>4086</v>
      </c>
      <c r="D7952" s="83" t="s">
        <v>4754</v>
      </c>
      <c r="E7952" s="81" t="s">
        <v>3636</v>
      </c>
      <c r="F7952" s="81">
        <v>686.0</v>
      </c>
      <c r="G7952" s="81" t="s">
        <v>42</v>
      </c>
      <c r="H7952" s="81" t="s">
        <v>224</v>
      </c>
      <c r="I7952" s="81" t="s">
        <v>3631</v>
      </c>
      <c r="J7952" s="81" t="s">
        <v>224</v>
      </c>
    </row>
    <row r="7953">
      <c r="A7953" s="83" t="s">
        <v>6649</v>
      </c>
      <c r="B7953" s="83" t="s">
        <v>6650</v>
      </c>
      <c r="C7953" s="81" t="s">
        <v>4086</v>
      </c>
      <c r="D7953" s="83" t="s">
        <v>4756</v>
      </c>
      <c r="E7953" s="81" t="s">
        <v>3637</v>
      </c>
      <c r="F7953" s="81">
        <v>687.0</v>
      </c>
      <c r="G7953" s="81" t="s">
        <v>42</v>
      </c>
      <c r="H7953" s="81" t="s">
        <v>224</v>
      </c>
      <c r="I7953" s="81" t="s">
        <v>3631</v>
      </c>
      <c r="J7953" s="81" t="s">
        <v>224</v>
      </c>
    </row>
    <row r="7954">
      <c r="A7954" s="83" t="s">
        <v>6649</v>
      </c>
      <c r="B7954" s="83" t="s">
        <v>6650</v>
      </c>
      <c r="C7954" s="81" t="s">
        <v>4086</v>
      </c>
      <c r="D7954" s="83" t="s">
        <v>4757</v>
      </c>
      <c r="E7954" s="81" t="s">
        <v>3640</v>
      </c>
      <c r="F7954" s="81">
        <v>688.0</v>
      </c>
      <c r="G7954" s="81" t="s">
        <v>42</v>
      </c>
      <c r="H7954" s="81" t="s">
        <v>224</v>
      </c>
      <c r="I7954" s="81" t="s">
        <v>3631</v>
      </c>
      <c r="J7954" s="81" t="s">
        <v>224</v>
      </c>
    </row>
    <row r="7955">
      <c r="A7955" s="83" t="s">
        <v>6649</v>
      </c>
      <c r="B7955" s="83" t="s">
        <v>6650</v>
      </c>
      <c r="C7955" s="81" t="s">
        <v>4086</v>
      </c>
      <c r="D7955" s="83" t="s">
        <v>4758</v>
      </c>
      <c r="E7955" s="81" t="s">
        <v>3643</v>
      </c>
      <c r="F7955" s="81">
        <v>689.0</v>
      </c>
      <c r="G7955" s="81" t="s">
        <v>42</v>
      </c>
      <c r="H7955" s="81" t="s">
        <v>224</v>
      </c>
      <c r="I7955" s="81" t="s">
        <v>3631</v>
      </c>
      <c r="J7955" s="81" t="s">
        <v>224</v>
      </c>
    </row>
    <row r="7956">
      <c r="A7956" s="83" t="s">
        <v>6649</v>
      </c>
      <c r="B7956" s="83" t="s">
        <v>6650</v>
      </c>
      <c r="C7956" s="81" t="s">
        <v>4086</v>
      </c>
      <c r="D7956" s="83" t="s">
        <v>4759</v>
      </c>
      <c r="E7956" s="81" t="s">
        <v>3646</v>
      </c>
      <c r="F7956" s="81">
        <v>690.0</v>
      </c>
      <c r="G7956" s="81" t="s">
        <v>42</v>
      </c>
      <c r="H7956" s="81" t="s">
        <v>224</v>
      </c>
      <c r="I7956" s="81" t="s">
        <v>3631</v>
      </c>
      <c r="J7956" s="81" t="s">
        <v>224</v>
      </c>
    </row>
    <row r="7957">
      <c r="A7957" s="83" t="s">
        <v>6649</v>
      </c>
      <c r="B7957" s="83" t="s">
        <v>6650</v>
      </c>
      <c r="C7957" s="81" t="s">
        <v>4086</v>
      </c>
      <c r="D7957" s="83" t="s">
        <v>4760</v>
      </c>
      <c r="E7957" s="81" t="s">
        <v>3649</v>
      </c>
      <c r="F7957" s="81">
        <v>691.0</v>
      </c>
      <c r="G7957" s="81" t="s">
        <v>42</v>
      </c>
      <c r="H7957" s="81" t="s">
        <v>224</v>
      </c>
      <c r="I7957" s="81" t="s">
        <v>3631</v>
      </c>
      <c r="J7957" s="81" t="s">
        <v>224</v>
      </c>
    </row>
    <row r="7958">
      <c r="A7958" s="83" t="s">
        <v>6649</v>
      </c>
      <c r="B7958" s="83" t="s">
        <v>6650</v>
      </c>
      <c r="C7958" s="81" t="s">
        <v>4086</v>
      </c>
      <c r="D7958" s="83" t="s">
        <v>4760</v>
      </c>
      <c r="E7958" s="81" t="s">
        <v>3652</v>
      </c>
      <c r="F7958" s="81">
        <v>692.0</v>
      </c>
      <c r="G7958" s="81" t="s">
        <v>42</v>
      </c>
      <c r="H7958" s="81" t="s">
        <v>224</v>
      </c>
      <c r="I7958" s="81" t="s">
        <v>3631</v>
      </c>
      <c r="J7958" s="81" t="s">
        <v>224</v>
      </c>
    </row>
    <row r="7959">
      <c r="A7959" s="83" t="s">
        <v>6649</v>
      </c>
      <c r="B7959" s="83" t="s">
        <v>6650</v>
      </c>
      <c r="C7959" s="81" t="s">
        <v>4086</v>
      </c>
      <c r="D7959" s="83" t="s">
        <v>4761</v>
      </c>
      <c r="E7959" s="81" t="s">
        <v>3653</v>
      </c>
      <c r="F7959" s="81">
        <v>693.0</v>
      </c>
      <c r="G7959" s="81" t="s">
        <v>42</v>
      </c>
      <c r="H7959" s="81" t="s">
        <v>224</v>
      </c>
      <c r="I7959" s="81" t="s">
        <v>3631</v>
      </c>
      <c r="J7959" s="81" t="s">
        <v>224</v>
      </c>
    </row>
    <row r="7960">
      <c r="A7960" s="83" t="s">
        <v>6649</v>
      </c>
      <c r="B7960" s="83" t="s">
        <v>6650</v>
      </c>
      <c r="C7960" s="81" t="s">
        <v>4086</v>
      </c>
      <c r="D7960" s="83" t="s">
        <v>4762</v>
      </c>
      <c r="E7960" s="81" t="s">
        <v>3656</v>
      </c>
      <c r="F7960" s="81">
        <v>694.0</v>
      </c>
      <c r="G7960" s="81" t="s">
        <v>42</v>
      </c>
      <c r="H7960" s="81" t="s">
        <v>224</v>
      </c>
      <c r="I7960" s="81" t="s">
        <v>3631</v>
      </c>
      <c r="J7960" s="81" t="s">
        <v>224</v>
      </c>
    </row>
    <row r="7961">
      <c r="A7961" s="83" t="s">
        <v>6649</v>
      </c>
      <c r="B7961" s="83" t="s">
        <v>6650</v>
      </c>
      <c r="C7961" s="81" t="s">
        <v>4086</v>
      </c>
      <c r="D7961" s="83" t="s">
        <v>4763</v>
      </c>
      <c r="E7961" s="81" t="s">
        <v>3659</v>
      </c>
      <c r="F7961" s="81">
        <v>695.0</v>
      </c>
      <c r="G7961" s="81" t="s">
        <v>42</v>
      </c>
      <c r="H7961" s="81" t="s">
        <v>224</v>
      </c>
      <c r="I7961" s="81" t="s">
        <v>3631</v>
      </c>
      <c r="J7961" s="81" t="s">
        <v>224</v>
      </c>
    </row>
    <row r="7962">
      <c r="A7962" s="83" t="s">
        <v>6649</v>
      </c>
      <c r="B7962" s="83" t="s">
        <v>6650</v>
      </c>
      <c r="C7962" s="81" t="s">
        <v>4086</v>
      </c>
      <c r="D7962" s="83" t="s">
        <v>4764</v>
      </c>
      <c r="E7962" s="81" t="s">
        <v>3662</v>
      </c>
      <c r="F7962" s="81">
        <v>696.0</v>
      </c>
      <c r="G7962" s="81" t="s">
        <v>42</v>
      </c>
      <c r="H7962" s="81" t="s">
        <v>224</v>
      </c>
      <c r="I7962" s="81" t="s">
        <v>3670</v>
      </c>
      <c r="J7962" s="81" t="s">
        <v>224</v>
      </c>
    </row>
    <row r="7963">
      <c r="A7963" s="83" t="s">
        <v>6649</v>
      </c>
      <c r="B7963" s="83" t="s">
        <v>6650</v>
      </c>
      <c r="C7963" s="81" t="s">
        <v>4086</v>
      </c>
      <c r="D7963" s="83" t="s">
        <v>4764</v>
      </c>
      <c r="E7963" s="81" t="s">
        <v>3672</v>
      </c>
      <c r="F7963" s="81">
        <v>697.0</v>
      </c>
      <c r="G7963" s="81" t="s">
        <v>42</v>
      </c>
      <c r="H7963" s="81" t="s">
        <v>224</v>
      </c>
      <c r="I7963" s="81" t="s">
        <v>3670</v>
      </c>
      <c r="J7963" s="81" t="s">
        <v>224</v>
      </c>
    </row>
    <row r="7964">
      <c r="A7964" s="83" t="s">
        <v>6649</v>
      </c>
      <c r="B7964" s="83" t="s">
        <v>6650</v>
      </c>
      <c r="C7964" s="81" t="s">
        <v>4086</v>
      </c>
      <c r="D7964" s="83" t="s">
        <v>4765</v>
      </c>
      <c r="E7964" s="81" t="s">
        <v>3673</v>
      </c>
      <c r="F7964" s="81">
        <v>698.0</v>
      </c>
      <c r="G7964" s="81" t="s">
        <v>42</v>
      </c>
      <c r="H7964" s="81" t="s">
        <v>224</v>
      </c>
      <c r="I7964" s="81" t="s">
        <v>3670</v>
      </c>
      <c r="J7964" s="81" t="s">
        <v>224</v>
      </c>
    </row>
    <row r="7965">
      <c r="A7965" s="83" t="s">
        <v>6649</v>
      </c>
      <c r="B7965" s="83" t="s">
        <v>6650</v>
      </c>
      <c r="C7965" s="81" t="s">
        <v>4086</v>
      </c>
      <c r="D7965" s="83" t="s">
        <v>4766</v>
      </c>
      <c r="E7965" s="81" t="s">
        <v>3676</v>
      </c>
      <c r="F7965" s="81">
        <v>699.0</v>
      </c>
      <c r="G7965" s="81" t="s">
        <v>42</v>
      </c>
      <c r="H7965" s="81" t="s">
        <v>224</v>
      </c>
      <c r="I7965" s="81" t="s">
        <v>3670</v>
      </c>
      <c r="J7965" s="81" t="s">
        <v>224</v>
      </c>
    </row>
    <row r="7966">
      <c r="A7966" s="83" t="s">
        <v>6649</v>
      </c>
      <c r="B7966" s="83" t="s">
        <v>6650</v>
      </c>
      <c r="C7966" s="81" t="s">
        <v>4086</v>
      </c>
      <c r="D7966" s="83" t="s">
        <v>4767</v>
      </c>
      <c r="E7966" s="81" t="s">
        <v>3679</v>
      </c>
      <c r="F7966" s="81">
        <v>700.0</v>
      </c>
      <c r="G7966" s="81" t="s">
        <v>42</v>
      </c>
      <c r="H7966" s="81" t="s">
        <v>224</v>
      </c>
      <c r="I7966" s="81" t="s">
        <v>3670</v>
      </c>
      <c r="J7966" s="81" t="s">
        <v>224</v>
      </c>
    </row>
    <row r="7967">
      <c r="A7967" s="83" t="s">
        <v>6649</v>
      </c>
      <c r="B7967" s="83" t="s">
        <v>6650</v>
      </c>
      <c r="C7967" s="81" t="s">
        <v>4086</v>
      </c>
      <c r="D7967" s="83" t="s">
        <v>4768</v>
      </c>
      <c r="E7967" s="81" t="s">
        <v>3682</v>
      </c>
      <c r="F7967" s="81">
        <v>701.0</v>
      </c>
      <c r="G7967" s="81" t="s">
        <v>42</v>
      </c>
      <c r="H7967" s="81" t="s">
        <v>224</v>
      </c>
      <c r="I7967" s="81" t="s">
        <v>3670</v>
      </c>
      <c r="J7967" s="81" t="s">
        <v>224</v>
      </c>
    </row>
    <row r="7968">
      <c r="A7968" s="83" t="s">
        <v>6649</v>
      </c>
      <c r="B7968" s="83" t="s">
        <v>6650</v>
      </c>
      <c r="C7968" s="81" t="s">
        <v>4086</v>
      </c>
      <c r="D7968" s="83" t="s">
        <v>4769</v>
      </c>
      <c r="E7968" s="81" t="s">
        <v>3685</v>
      </c>
      <c r="F7968" s="81">
        <v>702.0</v>
      </c>
      <c r="G7968" s="81" t="s">
        <v>42</v>
      </c>
      <c r="H7968" s="81" t="s">
        <v>224</v>
      </c>
      <c r="I7968" s="81" t="s">
        <v>3670</v>
      </c>
      <c r="J7968" s="81" t="s">
        <v>224</v>
      </c>
    </row>
    <row r="7969">
      <c r="A7969" s="83" t="s">
        <v>6649</v>
      </c>
      <c r="B7969" s="83" t="s">
        <v>6650</v>
      </c>
      <c r="C7969" s="81" t="s">
        <v>4086</v>
      </c>
      <c r="D7969" s="83" t="s">
        <v>4770</v>
      </c>
      <c r="E7969" s="81" t="s">
        <v>3688</v>
      </c>
      <c r="F7969" s="81">
        <v>703.0</v>
      </c>
      <c r="G7969" s="81" t="s">
        <v>42</v>
      </c>
      <c r="H7969" s="81" t="s">
        <v>224</v>
      </c>
      <c r="I7969" s="81" t="s">
        <v>3696</v>
      </c>
      <c r="J7969" s="81" t="s">
        <v>224</v>
      </c>
    </row>
    <row r="7970">
      <c r="A7970" s="83" t="s">
        <v>6649</v>
      </c>
      <c r="B7970" s="83" t="s">
        <v>6650</v>
      </c>
      <c r="C7970" s="81" t="s">
        <v>4086</v>
      </c>
      <c r="D7970" s="83" t="s">
        <v>4770</v>
      </c>
      <c r="E7970" s="81" t="s">
        <v>3697</v>
      </c>
      <c r="F7970" s="81">
        <v>704.0</v>
      </c>
      <c r="G7970" s="81" t="s">
        <v>42</v>
      </c>
      <c r="H7970" s="81" t="s">
        <v>224</v>
      </c>
      <c r="I7970" s="81" t="s">
        <v>3696</v>
      </c>
      <c r="J7970" s="81" t="s">
        <v>224</v>
      </c>
    </row>
    <row r="7971">
      <c r="A7971" s="83" t="s">
        <v>6649</v>
      </c>
      <c r="B7971" s="83" t="s">
        <v>6650</v>
      </c>
      <c r="C7971" s="81" t="s">
        <v>4086</v>
      </c>
      <c r="D7971" s="83" t="s">
        <v>4771</v>
      </c>
      <c r="E7971" s="81" t="s">
        <v>3698</v>
      </c>
      <c r="F7971" s="81">
        <v>705.0</v>
      </c>
      <c r="G7971" s="81" t="s">
        <v>42</v>
      </c>
      <c r="H7971" s="81" t="s">
        <v>224</v>
      </c>
      <c r="I7971" s="81" t="s">
        <v>3696</v>
      </c>
      <c r="J7971" s="81" t="s">
        <v>224</v>
      </c>
    </row>
    <row r="7972">
      <c r="A7972" s="83" t="s">
        <v>6649</v>
      </c>
      <c r="B7972" s="83" t="s">
        <v>6650</v>
      </c>
      <c r="C7972" s="81" t="s">
        <v>4086</v>
      </c>
      <c r="D7972" s="83" t="s">
        <v>4772</v>
      </c>
      <c r="E7972" s="81" t="s">
        <v>3701</v>
      </c>
      <c r="F7972" s="81">
        <v>706.0</v>
      </c>
      <c r="G7972" s="81" t="s">
        <v>42</v>
      </c>
      <c r="H7972" s="81" t="s">
        <v>224</v>
      </c>
      <c r="I7972" s="81" t="s">
        <v>3696</v>
      </c>
      <c r="J7972" s="81" t="s">
        <v>224</v>
      </c>
    </row>
    <row r="7973">
      <c r="A7973" s="83" t="s">
        <v>6649</v>
      </c>
      <c r="B7973" s="83" t="s">
        <v>6650</v>
      </c>
      <c r="C7973" s="81" t="s">
        <v>4086</v>
      </c>
      <c r="D7973" s="83" t="s">
        <v>4773</v>
      </c>
      <c r="E7973" s="81" t="s">
        <v>3704</v>
      </c>
      <c r="F7973" s="81">
        <v>707.0</v>
      </c>
      <c r="G7973" s="81" t="s">
        <v>42</v>
      </c>
      <c r="H7973" s="81" t="s">
        <v>224</v>
      </c>
      <c r="I7973" s="81" t="s">
        <v>3696</v>
      </c>
      <c r="J7973" s="81" t="s">
        <v>224</v>
      </c>
    </row>
    <row r="7974">
      <c r="A7974" s="83" t="s">
        <v>6649</v>
      </c>
      <c r="B7974" s="83" t="s">
        <v>6650</v>
      </c>
      <c r="C7974" s="81" t="s">
        <v>4086</v>
      </c>
      <c r="D7974" s="83" t="s">
        <v>4774</v>
      </c>
      <c r="E7974" s="81" t="s">
        <v>3707</v>
      </c>
      <c r="F7974" s="81">
        <v>708.0</v>
      </c>
      <c r="G7974" s="81" t="s">
        <v>42</v>
      </c>
      <c r="H7974" s="81" t="s">
        <v>224</v>
      </c>
      <c r="I7974" s="81" t="s">
        <v>3696</v>
      </c>
      <c r="J7974" s="81" t="s">
        <v>224</v>
      </c>
    </row>
    <row r="7975">
      <c r="A7975" s="83" t="s">
        <v>6649</v>
      </c>
      <c r="B7975" s="83" t="s">
        <v>6650</v>
      </c>
      <c r="C7975" s="81" t="s">
        <v>4086</v>
      </c>
      <c r="D7975" s="83" t="s">
        <v>4775</v>
      </c>
      <c r="E7975" s="81" t="s">
        <v>3710</v>
      </c>
      <c r="F7975" s="81">
        <v>709.0</v>
      </c>
      <c r="G7975" s="81" t="s">
        <v>42</v>
      </c>
      <c r="H7975" s="81" t="s">
        <v>224</v>
      </c>
      <c r="I7975" s="81" t="s">
        <v>3696</v>
      </c>
      <c r="J7975" s="81" t="s">
        <v>224</v>
      </c>
    </row>
    <row r="7976">
      <c r="A7976" s="83" t="s">
        <v>6649</v>
      </c>
      <c r="B7976" s="83" t="s">
        <v>6650</v>
      </c>
      <c r="C7976" s="81" t="s">
        <v>4086</v>
      </c>
      <c r="D7976" s="83" t="s">
        <v>4776</v>
      </c>
      <c r="E7976" s="81" t="s">
        <v>3713</v>
      </c>
      <c r="F7976" s="81">
        <v>710.0</v>
      </c>
      <c r="G7976" s="81" t="s">
        <v>42</v>
      </c>
      <c r="H7976" s="81" t="s">
        <v>224</v>
      </c>
      <c r="I7976" s="81" t="s">
        <v>3696</v>
      </c>
      <c r="J7976" s="81" t="s">
        <v>224</v>
      </c>
    </row>
    <row r="7977">
      <c r="A7977" s="83" t="s">
        <v>6649</v>
      </c>
      <c r="B7977" s="83" t="s">
        <v>6650</v>
      </c>
      <c r="C7977" s="81" t="s">
        <v>4086</v>
      </c>
      <c r="D7977" s="83" t="s">
        <v>4777</v>
      </c>
      <c r="E7977" s="81" t="s">
        <v>3716</v>
      </c>
      <c r="F7977" s="81">
        <v>711.0</v>
      </c>
      <c r="G7977" s="81" t="s">
        <v>43</v>
      </c>
      <c r="H7977" s="81" t="s">
        <v>224</v>
      </c>
      <c r="I7977" s="81" t="s">
        <v>3727</v>
      </c>
      <c r="J7977" s="81" t="s">
        <v>224</v>
      </c>
    </row>
    <row r="7978">
      <c r="A7978" s="83" t="s">
        <v>6649</v>
      </c>
      <c r="B7978" s="83" t="s">
        <v>6650</v>
      </c>
      <c r="C7978" s="81" t="s">
        <v>4086</v>
      </c>
      <c r="D7978" s="83" t="s">
        <v>4777</v>
      </c>
      <c r="E7978" s="81" t="s">
        <v>3716</v>
      </c>
      <c r="F7978" s="81">
        <v>711.0</v>
      </c>
      <c r="G7978" s="81" t="s">
        <v>42</v>
      </c>
      <c r="H7978" s="81" t="s">
        <v>224</v>
      </c>
      <c r="I7978" s="81" t="s">
        <v>3726</v>
      </c>
      <c r="J7978" s="81" t="s">
        <v>224</v>
      </c>
    </row>
    <row r="7979">
      <c r="A7979" s="83" t="s">
        <v>6649</v>
      </c>
      <c r="B7979" s="83" t="s">
        <v>6650</v>
      </c>
      <c r="C7979" s="81" t="s">
        <v>4086</v>
      </c>
      <c r="D7979" s="83" t="s">
        <v>4777</v>
      </c>
      <c r="E7979" s="81" t="s">
        <v>3730</v>
      </c>
      <c r="F7979" s="81">
        <v>712.0</v>
      </c>
      <c r="G7979" s="81" t="s">
        <v>43</v>
      </c>
      <c r="H7979" s="81" t="s">
        <v>224</v>
      </c>
      <c r="I7979" s="81" t="s">
        <v>3727</v>
      </c>
      <c r="J7979" s="81" t="s">
        <v>224</v>
      </c>
    </row>
    <row r="7980">
      <c r="A7980" s="83" t="s">
        <v>6649</v>
      </c>
      <c r="B7980" s="83" t="s">
        <v>6650</v>
      </c>
      <c r="C7980" s="81" t="s">
        <v>4086</v>
      </c>
      <c r="D7980" s="83" t="s">
        <v>4778</v>
      </c>
      <c r="E7980" s="81" t="s">
        <v>3731</v>
      </c>
      <c r="F7980" s="81">
        <v>713.0</v>
      </c>
      <c r="G7980" s="81" t="s">
        <v>43</v>
      </c>
      <c r="H7980" s="81" t="s">
        <v>224</v>
      </c>
      <c r="I7980" s="81" t="s">
        <v>3727</v>
      </c>
      <c r="J7980" s="81" t="s">
        <v>224</v>
      </c>
    </row>
    <row r="7981">
      <c r="A7981" s="83" t="s">
        <v>6649</v>
      </c>
      <c r="B7981" s="83" t="s">
        <v>6650</v>
      </c>
      <c r="C7981" s="81" t="s">
        <v>4086</v>
      </c>
      <c r="D7981" s="83" t="s">
        <v>4779</v>
      </c>
      <c r="E7981" s="81" t="s">
        <v>3735</v>
      </c>
      <c r="F7981" s="81">
        <v>714.0</v>
      </c>
      <c r="G7981" s="81" t="s">
        <v>43</v>
      </c>
      <c r="H7981" s="81" t="s">
        <v>224</v>
      </c>
      <c r="I7981" s="81" t="s">
        <v>3743</v>
      </c>
      <c r="J7981" s="81" t="s">
        <v>224</v>
      </c>
    </row>
    <row r="7982">
      <c r="A7982" s="83" t="s">
        <v>6649</v>
      </c>
      <c r="B7982" s="83" t="s">
        <v>6650</v>
      </c>
      <c r="C7982" s="81" t="s">
        <v>4086</v>
      </c>
      <c r="D7982" s="83" t="s">
        <v>4779</v>
      </c>
      <c r="E7982" s="81" t="s">
        <v>3735</v>
      </c>
      <c r="F7982" s="81">
        <v>714.0</v>
      </c>
      <c r="G7982" s="81" t="s">
        <v>42</v>
      </c>
      <c r="H7982" s="81" t="s">
        <v>224</v>
      </c>
      <c r="I7982" s="81" t="s">
        <v>3742</v>
      </c>
      <c r="J7982" s="81" t="s">
        <v>224</v>
      </c>
    </row>
    <row r="7983">
      <c r="A7983" s="83" t="s">
        <v>6649</v>
      </c>
      <c r="B7983" s="83" t="s">
        <v>6650</v>
      </c>
      <c r="C7983" s="81" t="s">
        <v>4086</v>
      </c>
      <c r="D7983" s="83" t="s">
        <v>4779</v>
      </c>
      <c r="E7983" s="81" t="s">
        <v>3746</v>
      </c>
      <c r="F7983" s="81">
        <v>715.0</v>
      </c>
      <c r="G7983" s="81" t="s">
        <v>43</v>
      </c>
      <c r="H7983" s="81" t="s">
        <v>224</v>
      </c>
      <c r="I7983" s="81" t="s">
        <v>3743</v>
      </c>
      <c r="J7983" s="81" t="s">
        <v>224</v>
      </c>
    </row>
    <row r="7984">
      <c r="A7984" s="83" t="s">
        <v>6649</v>
      </c>
      <c r="B7984" s="83" t="s">
        <v>6650</v>
      </c>
      <c r="C7984" s="81" t="s">
        <v>4086</v>
      </c>
      <c r="D7984" s="83" t="s">
        <v>4780</v>
      </c>
      <c r="E7984" s="81" t="s">
        <v>3747</v>
      </c>
      <c r="F7984" s="81">
        <v>716.0</v>
      </c>
      <c r="G7984" s="81" t="s">
        <v>43</v>
      </c>
      <c r="H7984" s="81" t="s">
        <v>224</v>
      </c>
      <c r="I7984" s="81" t="s">
        <v>3743</v>
      </c>
      <c r="J7984" s="81" t="s">
        <v>224</v>
      </c>
    </row>
    <row r="7985">
      <c r="A7985" s="83" t="s">
        <v>6649</v>
      </c>
      <c r="B7985" s="83" t="s">
        <v>6650</v>
      </c>
      <c r="C7985" s="81" t="s">
        <v>4086</v>
      </c>
      <c r="D7985" s="83" t="s">
        <v>4781</v>
      </c>
      <c r="E7985" s="81" t="s">
        <v>3751</v>
      </c>
      <c r="F7985" s="81">
        <v>717.0</v>
      </c>
      <c r="G7985" s="81" t="s">
        <v>43</v>
      </c>
      <c r="H7985" s="81" t="s">
        <v>224</v>
      </c>
      <c r="I7985" s="81" t="s">
        <v>3758</v>
      </c>
      <c r="J7985" s="81" t="s">
        <v>224</v>
      </c>
    </row>
    <row r="7986">
      <c r="A7986" s="83" t="s">
        <v>6649</v>
      </c>
      <c r="B7986" s="83" t="s">
        <v>6650</v>
      </c>
      <c r="C7986" s="81" t="s">
        <v>4086</v>
      </c>
      <c r="D7986" s="83" t="s">
        <v>4781</v>
      </c>
      <c r="E7986" s="81" t="s">
        <v>3751</v>
      </c>
      <c r="F7986" s="81">
        <v>717.0</v>
      </c>
      <c r="G7986" s="81" t="s">
        <v>42</v>
      </c>
      <c r="H7986" s="81" t="s">
        <v>224</v>
      </c>
      <c r="I7986" s="81" t="s">
        <v>3757</v>
      </c>
      <c r="J7986" s="81" t="s">
        <v>224</v>
      </c>
    </row>
    <row r="7987">
      <c r="A7987" s="83" t="s">
        <v>6649</v>
      </c>
      <c r="B7987" s="83" t="s">
        <v>6650</v>
      </c>
      <c r="C7987" s="81" t="s">
        <v>4086</v>
      </c>
      <c r="D7987" s="83" t="s">
        <v>4781</v>
      </c>
      <c r="E7987" s="81" t="s">
        <v>3761</v>
      </c>
      <c r="F7987" s="81">
        <v>718.0</v>
      </c>
      <c r="G7987" s="81" t="s">
        <v>43</v>
      </c>
      <c r="H7987" s="81" t="s">
        <v>224</v>
      </c>
      <c r="I7987" s="81" t="s">
        <v>3758</v>
      </c>
      <c r="J7987" s="81" t="s">
        <v>224</v>
      </c>
    </row>
    <row r="7988">
      <c r="A7988" s="83" t="s">
        <v>6649</v>
      </c>
      <c r="B7988" s="83" t="s">
        <v>6650</v>
      </c>
      <c r="C7988" s="81" t="s">
        <v>4086</v>
      </c>
      <c r="D7988" s="83" t="s">
        <v>4782</v>
      </c>
      <c r="E7988" s="81" t="s">
        <v>3762</v>
      </c>
      <c r="F7988" s="81">
        <v>719.0</v>
      </c>
      <c r="G7988" s="81" t="s">
        <v>43</v>
      </c>
      <c r="H7988" s="81" t="s">
        <v>224</v>
      </c>
      <c r="I7988" s="81" t="s">
        <v>3758</v>
      </c>
      <c r="J7988" s="81" t="s">
        <v>224</v>
      </c>
    </row>
    <row r="7989">
      <c r="A7989" s="83" t="s">
        <v>6649</v>
      </c>
      <c r="B7989" s="83" t="s">
        <v>6650</v>
      </c>
      <c r="C7989" s="81" t="s">
        <v>4086</v>
      </c>
      <c r="D7989" s="83" t="s">
        <v>4810</v>
      </c>
      <c r="E7989" s="81" t="s">
        <v>3871</v>
      </c>
      <c r="F7989" s="81">
        <v>751.0</v>
      </c>
      <c r="G7989" s="81" t="s">
        <v>43</v>
      </c>
      <c r="H7989" s="81" t="s">
        <v>224</v>
      </c>
      <c r="I7989" s="81" t="s">
        <v>3326</v>
      </c>
      <c r="J7989" s="81" t="s">
        <v>224</v>
      </c>
    </row>
    <row r="7990">
      <c r="A7990" s="83" t="s">
        <v>6649</v>
      </c>
      <c r="B7990" s="83" t="s">
        <v>6650</v>
      </c>
      <c r="C7990" s="81" t="s">
        <v>4086</v>
      </c>
      <c r="D7990" s="83" t="s">
        <v>4810</v>
      </c>
      <c r="E7990" s="81" t="s">
        <v>3871</v>
      </c>
      <c r="F7990" s="81">
        <v>751.0</v>
      </c>
      <c r="G7990" s="81" t="s">
        <v>42</v>
      </c>
      <c r="H7990" s="81" t="s">
        <v>6401</v>
      </c>
      <c r="I7990" s="81" t="s">
        <v>3325</v>
      </c>
      <c r="J7990" s="81" t="s">
        <v>224</v>
      </c>
    </row>
    <row r="7991">
      <c r="A7991" s="83" t="s">
        <v>6649</v>
      </c>
      <c r="B7991" s="83" t="s">
        <v>6650</v>
      </c>
      <c r="C7991" s="81" t="s">
        <v>4086</v>
      </c>
      <c r="D7991" s="83" t="s">
        <v>4811</v>
      </c>
      <c r="E7991" s="81" t="s">
        <v>3874</v>
      </c>
      <c r="F7991" s="81">
        <v>752.0</v>
      </c>
      <c r="G7991" s="81" t="s">
        <v>42</v>
      </c>
      <c r="H7991" s="81" t="s">
        <v>224</v>
      </c>
      <c r="I7991" s="81" t="s">
        <v>3809</v>
      </c>
      <c r="J7991" s="81" t="s">
        <v>224</v>
      </c>
    </row>
    <row r="7992">
      <c r="A7992" s="83" t="s">
        <v>6649</v>
      </c>
      <c r="B7992" s="83" t="s">
        <v>6650</v>
      </c>
      <c r="C7992" s="81" t="s">
        <v>4086</v>
      </c>
      <c r="D7992" s="83" t="s">
        <v>4813</v>
      </c>
      <c r="E7992" s="81" t="s">
        <v>3877</v>
      </c>
      <c r="F7992" s="81">
        <v>753.0</v>
      </c>
      <c r="G7992" s="81" t="s">
        <v>42</v>
      </c>
      <c r="H7992" s="81" t="s">
        <v>224</v>
      </c>
      <c r="I7992" s="81" t="s">
        <v>3818</v>
      </c>
      <c r="J7992" s="81" t="s">
        <v>224</v>
      </c>
    </row>
    <row r="7993">
      <c r="A7993" s="83" t="s">
        <v>6649</v>
      </c>
      <c r="B7993" s="83" t="s">
        <v>6650</v>
      </c>
      <c r="C7993" s="81" t="s">
        <v>4086</v>
      </c>
      <c r="D7993" s="83" t="s">
        <v>4816</v>
      </c>
      <c r="E7993" s="81" t="s">
        <v>3885</v>
      </c>
      <c r="F7993" s="81">
        <v>756.0</v>
      </c>
      <c r="G7993" s="81" t="s">
        <v>43</v>
      </c>
      <c r="H7993" s="81" t="s">
        <v>224</v>
      </c>
      <c r="I7993" s="81" t="s">
        <v>3892</v>
      </c>
      <c r="J7993" s="81" t="s">
        <v>224</v>
      </c>
    </row>
    <row r="7994">
      <c r="A7994" s="83" t="s">
        <v>6649</v>
      </c>
      <c r="B7994" s="83" t="s">
        <v>6650</v>
      </c>
      <c r="C7994" s="81" t="s">
        <v>4086</v>
      </c>
      <c r="D7994" s="83" t="s">
        <v>4816</v>
      </c>
      <c r="E7994" s="81" t="s">
        <v>3885</v>
      </c>
      <c r="F7994" s="81">
        <v>756.0</v>
      </c>
      <c r="G7994" s="81" t="s">
        <v>42</v>
      </c>
      <c r="H7994" s="81" t="s">
        <v>3088</v>
      </c>
      <c r="I7994" s="81" t="s">
        <v>3891</v>
      </c>
      <c r="J7994" s="81" t="s">
        <v>224</v>
      </c>
    </row>
    <row r="7995">
      <c r="A7995" s="83" t="s">
        <v>6649</v>
      </c>
      <c r="B7995" s="83" t="s">
        <v>6650</v>
      </c>
      <c r="C7995" s="81" t="s">
        <v>4086</v>
      </c>
      <c r="D7995" s="83" t="s">
        <v>4816</v>
      </c>
      <c r="E7995" s="81" t="s">
        <v>3895</v>
      </c>
      <c r="F7995" s="81">
        <v>757.0</v>
      </c>
      <c r="G7995" s="81" t="s">
        <v>43</v>
      </c>
      <c r="H7995" s="81" t="s">
        <v>224</v>
      </c>
      <c r="I7995" s="81" t="s">
        <v>3892</v>
      </c>
      <c r="J7995" s="81" t="s">
        <v>224</v>
      </c>
    </row>
    <row r="7996">
      <c r="A7996" s="83" t="s">
        <v>6649</v>
      </c>
      <c r="B7996" s="83" t="s">
        <v>6650</v>
      </c>
      <c r="C7996" s="81" t="s">
        <v>4086</v>
      </c>
      <c r="D7996" s="83" t="s">
        <v>4816</v>
      </c>
      <c r="E7996" s="81" t="s">
        <v>3895</v>
      </c>
      <c r="F7996" s="81">
        <v>757.0</v>
      </c>
      <c r="G7996" s="81" t="s">
        <v>42</v>
      </c>
      <c r="H7996" s="81" t="s">
        <v>3088</v>
      </c>
      <c r="I7996" s="81" t="s">
        <v>3891</v>
      </c>
      <c r="J7996" s="81" t="s">
        <v>224</v>
      </c>
    </row>
    <row r="7997">
      <c r="A7997" s="83" t="s">
        <v>6649</v>
      </c>
      <c r="B7997" s="83" t="s">
        <v>6650</v>
      </c>
      <c r="C7997" s="81" t="s">
        <v>4086</v>
      </c>
      <c r="D7997" s="83" t="s">
        <v>4818</v>
      </c>
      <c r="E7997" s="81" t="s">
        <v>3896</v>
      </c>
      <c r="F7997" s="81">
        <v>758.0</v>
      </c>
      <c r="G7997" s="81" t="s">
        <v>43</v>
      </c>
      <c r="H7997" s="81" t="s">
        <v>224</v>
      </c>
      <c r="I7997" s="81" t="s">
        <v>3892</v>
      </c>
      <c r="J7997" s="81" t="s">
        <v>224</v>
      </c>
    </row>
    <row r="7998">
      <c r="A7998" s="83" t="s">
        <v>6649</v>
      </c>
      <c r="B7998" s="83" t="s">
        <v>6650</v>
      </c>
      <c r="C7998" s="81" t="s">
        <v>4086</v>
      </c>
      <c r="D7998" s="83" t="s">
        <v>4818</v>
      </c>
      <c r="E7998" s="81" t="s">
        <v>3896</v>
      </c>
      <c r="F7998" s="81">
        <v>758.0</v>
      </c>
      <c r="G7998" s="81" t="s">
        <v>42</v>
      </c>
      <c r="H7998" s="81" t="s">
        <v>3088</v>
      </c>
      <c r="I7998" s="81" t="s">
        <v>3891</v>
      </c>
      <c r="J7998" s="81" t="s">
        <v>224</v>
      </c>
    </row>
    <row r="7999">
      <c r="A7999" s="83" t="s">
        <v>6649</v>
      </c>
      <c r="B7999" s="83" t="s">
        <v>6650</v>
      </c>
      <c r="C7999" s="81" t="s">
        <v>4086</v>
      </c>
      <c r="D7999" s="83" t="s">
        <v>4776</v>
      </c>
      <c r="E7999" s="81" t="s">
        <v>3899</v>
      </c>
      <c r="F7999" s="81">
        <v>759.0</v>
      </c>
      <c r="G7999" s="81" t="s">
        <v>42</v>
      </c>
      <c r="H7999" s="81" t="s">
        <v>224</v>
      </c>
      <c r="I7999" s="81" t="s">
        <v>3696</v>
      </c>
      <c r="J7999" s="81" t="s">
        <v>224</v>
      </c>
    </row>
    <row r="8000">
      <c r="A8000" s="83" t="s">
        <v>6649</v>
      </c>
      <c r="B8000" s="83" t="s">
        <v>6650</v>
      </c>
      <c r="C8000" s="81" t="s">
        <v>4086</v>
      </c>
      <c r="D8000" s="83" t="s">
        <v>4819</v>
      </c>
      <c r="E8000" s="81" t="s">
        <v>3900</v>
      </c>
      <c r="F8000" s="81">
        <v>760.0</v>
      </c>
      <c r="G8000" s="81" t="s">
        <v>42</v>
      </c>
      <c r="H8000" s="81" t="s">
        <v>224</v>
      </c>
      <c r="I8000" s="81" t="s">
        <v>3696</v>
      </c>
      <c r="J8000" s="81" t="s">
        <v>224</v>
      </c>
    </row>
    <row r="8001">
      <c r="A8001" s="83" t="s">
        <v>6649</v>
      </c>
      <c r="B8001" s="83" t="s">
        <v>6650</v>
      </c>
      <c r="C8001" s="81" t="s">
        <v>4086</v>
      </c>
      <c r="D8001" s="83" t="s">
        <v>4820</v>
      </c>
      <c r="E8001" s="81" t="s">
        <v>3903</v>
      </c>
      <c r="F8001" s="81">
        <v>761.0</v>
      </c>
      <c r="G8001" s="81" t="s">
        <v>42</v>
      </c>
      <c r="H8001" s="81" t="s">
        <v>224</v>
      </c>
      <c r="I8001" s="81" t="s">
        <v>3696</v>
      </c>
      <c r="J8001" s="81" t="s">
        <v>224</v>
      </c>
    </row>
    <row r="8002">
      <c r="A8002" s="83" t="s">
        <v>6649</v>
      </c>
      <c r="B8002" s="83" t="s">
        <v>6650</v>
      </c>
      <c r="C8002" s="81" t="s">
        <v>4086</v>
      </c>
      <c r="D8002" s="83" t="s">
        <v>4821</v>
      </c>
      <c r="E8002" s="81" t="s">
        <v>3906</v>
      </c>
      <c r="F8002" s="81">
        <v>762.0</v>
      </c>
      <c r="G8002" s="81" t="s">
        <v>42</v>
      </c>
      <c r="H8002" s="81" t="s">
        <v>224</v>
      </c>
      <c r="I8002" s="81" t="s">
        <v>3696</v>
      </c>
      <c r="J8002" s="81" t="s">
        <v>224</v>
      </c>
    </row>
    <row r="8003">
      <c r="A8003" s="83" t="s">
        <v>6649</v>
      </c>
      <c r="B8003" s="83" t="s">
        <v>6650</v>
      </c>
      <c r="C8003" s="81" t="s">
        <v>4086</v>
      </c>
      <c r="D8003" s="83" t="s">
        <v>4822</v>
      </c>
      <c r="E8003" s="81" t="s">
        <v>3909</v>
      </c>
      <c r="F8003" s="81">
        <v>763.0</v>
      </c>
      <c r="G8003" s="81" t="s">
        <v>42</v>
      </c>
      <c r="H8003" s="81" t="s">
        <v>224</v>
      </c>
      <c r="I8003" s="81" t="s">
        <v>3915</v>
      </c>
      <c r="J8003" s="81" t="s">
        <v>224</v>
      </c>
    </row>
    <row r="8004">
      <c r="A8004" s="83" t="s">
        <v>6649</v>
      </c>
      <c r="B8004" s="83" t="s">
        <v>6650</v>
      </c>
      <c r="C8004" s="81" t="s">
        <v>4086</v>
      </c>
      <c r="D8004" s="83" t="s">
        <v>4822</v>
      </c>
      <c r="E8004" s="81" t="s">
        <v>3916</v>
      </c>
      <c r="F8004" s="81">
        <v>764.0</v>
      </c>
      <c r="G8004" s="81" t="s">
        <v>42</v>
      </c>
      <c r="H8004" s="81" t="s">
        <v>224</v>
      </c>
      <c r="I8004" s="81" t="s">
        <v>3915</v>
      </c>
      <c r="J8004" s="81" t="s">
        <v>224</v>
      </c>
    </row>
    <row r="8005">
      <c r="A8005" s="83" t="s">
        <v>6649</v>
      </c>
      <c r="B8005" s="83" t="s">
        <v>6650</v>
      </c>
      <c r="C8005" s="81" t="s">
        <v>4086</v>
      </c>
      <c r="D8005" s="83" t="s">
        <v>4823</v>
      </c>
      <c r="E8005" s="81" t="s">
        <v>3917</v>
      </c>
      <c r="F8005" s="81">
        <v>765.0</v>
      </c>
      <c r="G8005" s="81" t="s">
        <v>42</v>
      </c>
      <c r="H8005" s="81" t="s">
        <v>224</v>
      </c>
      <c r="I8005" s="81" t="s">
        <v>3915</v>
      </c>
      <c r="J8005" s="81" t="s">
        <v>224</v>
      </c>
    </row>
    <row r="8006">
      <c r="A8006" s="83" t="s">
        <v>6649</v>
      </c>
      <c r="B8006" s="83" t="s">
        <v>6650</v>
      </c>
      <c r="C8006" s="81" t="s">
        <v>4086</v>
      </c>
      <c r="D8006" s="83" t="s">
        <v>4824</v>
      </c>
      <c r="E8006" s="81" t="s">
        <v>3920</v>
      </c>
      <c r="F8006" s="81">
        <v>766.0</v>
      </c>
      <c r="G8006" s="81" t="s">
        <v>42</v>
      </c>
      <c r="H8006" s="81" t="s">
        <v>224</v>
      </c>
      <c r="I8006" s="81" t="s">
        <v>3915</v>
      </c>
      <c r="J8006" s="81" t="s">
        <v>224</v>
      </c>
    </row>
    <row r="8007">
      <c r="A8007" s="83" t="s">
        <v>6649</v>
      </c>
      <c r="B8007" s="83" t="s">
        <v>6650</v>
      </c>
      <c r="C8007" s="81" t="s">
        <v>4086</v>
      </c>
      <c r="D8007" s="83" t="s">
        <v>4825</v>
      </c>
      <c r="E8007" s="81" t="s">
        <v>3923</v>
      </c>
      <c r="F8007" s="81">
        <v>767.0</v>
      </c>
      <c r="G8007" s="81" t="s">
        <v>42</v>
      </c>
      <c r="H8007" s="81" t="s">
        <v>224</v>
      </c>
      <c r="I8007" s="81" t="s">
        <v>3915</v>
      </c>
      <c r="J8007" s="81" t="s">
        <v>224</v>
      </c>
    </row>
    <row r="8008">
      <c r="A8008" s="83" t="s">
        <v>6649</v>
      </c>
      <c r="B8008" s="83" t="s">
        <v>6650</v>
      </c>
      <c r="C8008" s="81" t="s">
        <v>4086</v>
      </c>
      <c r="D8008" s="83" t="s">
        <v>4826</v>
      </c>
      <c r="E8008" s="81" t="s">
        <v>3926</v>
      </c>
      <c r="F8008" s="81">
        <v>768.0</v>
      </c>
      <c r="G8008" s="81" t="s">
        <v>42</v>
      </c>
      <c r="H8008" s="81" t="s">
        <v>224</v>
      </c>
      <c r="I8008" s="81" t="s">
        <v>3915</v>
      </c>
      <c r="J8008" s="81" t="s">
        <v>224</v>
      </c>
    </row>
    <row r="8009">
      <c r="A8009" s="83" t="s">
        <v>6649</v>
      </c>
      <c r="B8009" s="83" t="s">
        <v>6650</v>
      </c>
      <c r="C8009" s="81" t="s">
        <v>4086</v>
      </c>
      <c r="D8009" s="83" t="s">
        <v>4827</v>
      </c>
      <c r="E8009" s="81" t="s">
        <v>3929</v>
      </c>
      <c r="F8009" s="81">
        <v>769.0</v>
      </c>
      <c r="G8009" s="81" t="s">
        <v>42</v>
      </c>
      <c r="H8009" s="81" t="s">
        <v>224</v>
      </c>
      <c r="I8009" s="81" t="s">
        <v>3915</v>
      </c>
      <c r="J8009" s="81" t="s">
        <v>224</v>
      </c>
    </row>
    <row r="8010">
      <c r="A8010" s="83" t="s">
        <v>6649</v>
      </c>
      <c r="B8010" s="83" t="s">
        <v>6650</v>
      </c>
      <c r="C8010" s="81" t="s">
        <v>4086</v>
      </c>
      <c r="D8010" s="83" t="s">
        <v>4828</v>
      </c>
      <c r="E8010" s="81" t="s">
        <v>3932</v>
      </c>
      <c r="F8010" s="81">
        <v>770.0</v>
      </c>
      <c r="G8010" s="81" t="s">
        <v>42</v>
      </c>
      <c r="H8010" s="81" t="s">
        <v>224</v>
      </c>
      <c r="I8010" s="81" t="s">
        <v>3915</v>
      </c>
      <c r="J8010" s="81" t="s">
        <v>224</v>
      </c>
    </row>
    <row r="8011">
      <c r="A8011" s="83" t="s">
        <v>6649</v>
      </c>
      <c r="B8011" s="83" t="s">
        <v>6650</v>
      </c>
      <c r="C8011" s="81" t="s">
        <v>4086</v>
      </c>
      <c r="D8011" s="83" t="s">
        <v>4828</v>
      </c>
      <c r="E8011" s="81" t="s">
        <v>3935</v>
      </c>
      <c r="F8011" s="81">
        <v>771.0</v>
      </c>
      <c r="G8011" s="81" t="s">
        <v>42</v>
      </c>
      <c r="H8011" s="81" t="s">
        <v>224</v>
      </c>
      <c r="I8011" s="81" t="s">
        <v>3915</v>
      </c>
      <c r="J8011" s="81" t="s">
        <v>224</v>
      </c>
    </row>
    <row r="8012">
      <c r="A8012" s="83" t="s">
        <v>6649</v>
      </c>
      <c r="B8012" s="83" t="s">
        <v>6650</v>
      </c>
      <c r="C8012" s="81" t="s">
        <v>4086</v>
      </c>
      <c r="D8012" s="83" t="s">
        <v>4829</v>
      </c>
      <c r="E8012" s="81" t="s">
        <v>3936</v>
      </c>
      <c r="F8012" s="81">
        <v>772.0</v>
      </c>
      <c r="G8012" s="81" t="s">
        <v>42</v>
      </c>
      <c r="H8012" s="81" t="s">
        <v>224</v>
      </c>
      <c r="I8012" s="81" t="s">
        <v>3915</v>
      </c>
      <c r="J8012" s="81" t="s">
        <v>224</v>
      </c>
    </row>
    <row r="8013">
      <c r="A8013" s="83" t="s">
        <v>6649</v>
      </c>
      <c r="B8013" s="83" t="s">
        <v>6650</v>
      </c>
      <c r="C8013" s="81" t="s">
        <v>4086</v>
      </c>
      <c r="D8013" s="83" t="s">
        <v>4830</v>
      </c>
      <c r="E8013" s="81" t="s">
        <v>3939</v>
      </c>
      <c r="F8013" s="81">
        <v>773.0</v>
      </c>
      <c r="G8013" s="81" t="s">
        <v>42</v>
      </c>
      <c r="H8013" s="81" t="s">
        <v>224</v>
      </c>
      <c r="I8013" s="81" t="s">
        <v>3915</v>
      </c>
      <c r="J8013" s="81" t="s">
        <v>224</v>
      </c>
    </row>
    <row r="8014">
      <c r="A8014" s="83" t="s">
        <v>6649</v>
      </c>
      <c r="B8014" s="83" t="s">
        <v>6650</v>
      </c>
      <c r="C8014" s="81" t="s">
        <v>4086</v>
      </c>
      <c r="D8014" s="83" t="s">
        <v>4831</v>
      </c>
      <c r="E8014" s="81" t="s">
        <v>3942</v>
      </c>
      <c r="F8014" s="81">
        <v>774.0</v>
      </c>
      <c r="G8014" s="81" t="s">
        <v>42</v>
      </c>
      <c r="H8014" s="81" t="s">
        <v>224</v>
      </c>
      <c r="I8014" s="81" t="s">
        <v>3915</v>
      </c>
      <c r="J8014" s="81" t="s">
        <v>224</v>
      </c>
    </row>
    <row r="8015">
      <c r="A8015" s="83" t="s">
        <v>6649</v>
      </c>
      <c r="B8015" s="83" t="s">
        <v>6650</v>
      </c>
      <c r="C8015" s="81" t="s">
        <v>4086</v>
      </c>
      <c r="D8015" s="83" t="s">
        <v>4832</v>
      </c>
      <c r="E8015" s="81" t="s">
        <v>3945</v>
      </c>
      <c r="F8015" s="81">
        <v>775.0</v>
      </c>
      <c r="G8015" s="81" t="s">
        <v>43</v>
      </c>
      <c r="H8015" s="81" t="s">
        <v>224</v>
      </c>
      <c r="I8015" s="81" t="s">
        <v>3953</v>
      </c>
      <c r="J8015" s="81" t="s">
        <v>224</v>
      </c>
    </row>
    <row r="8016">
      <c r="A8016" s="83" t="s">
        <v>6649</v>
      </c>
      <c r="B8016" s="83" t="s">
        <v>6650</v>
      </c>
      <c r="C8016" s="81" t="s">
        <v>4086</v>
      </c>
      <c r="D8016" s="83" t="s">
        <v>4832</v>
      </c>
      <c r="E8016" s="81" t="s">
        <v>3945</v>
      </c>
      <c r="F8016" s="81">
        <v>775.0</v>
      </c>
      <c r="G8016" s="81" t="s">
        <v>42</v>
      </c>
      <c r="H8016" s="81" t="s">
        <v>224</v>
      </c>
      <c r="I8016" s="81" t="s">
        <v>3952</v>
      </c>
      <c r="J8016" s="81" t="s">
        <v>224</v>
      </c>
    </row>
    <row r="8017">
      <c r="A8017" s="83" t="s">
        <v>6649</v>
      </c>
      <c r="B8017" s="83" t="s">
        <v>6650</v>
      </c>
      <c r="C8017" s="81" t="s">
        <v>4086</v>
      </c>
      <c r="D8017" s="83" t="s">
        <v>4832</v>
      </c>
      <c r="E8017" s="81" t="s">
        <v>3955</v>
      </c>
      <c r="F8017" s="81">
        <v>776.0</v>
      </c>
      <c r="G8017" s="81" t="s">
        <v>43</v>
      </c>
      <c r="H8017" s="81" t="s">
        <v>224</v>
      </c>
      <c r="I8017" s="81" t="s">
        <v>3953</v>
      </c>
      <c r="J8017" s="81" t="s">
        <v>224</v>
      </c>
    </row>
    <row r="8018">
      <c r="A8018" s="83" t="s">
        <v>6649</v>
      </c>
      <c r="B8018" s="83" t="s">
        <v>6650</v>
      </c>
      <c r="C8018" s="81" t="s">
        <v>4086</v>
      </c>
      <c r="D8018" s="83" t="s">
        <v>4832</v>
      </c>
      <c r="E8018" s="81" t="s">
        <v>3955</v>
      </c>
      <c r="F8018" s="81">
        <v>776.0</v>
      </c>
      <c r="G8018" s="81" t="s">
        <v>42</v>
      </c>
      <c r="H8018" s="81" t="s">
        <v>224</v>
      </c>
      <c r="I8018" s="81" t="s">
        <v>3952</v>
      </c>
      <c r="J8018" s="81" t="s">
        <v>224</v>
      </c>
    </row>
    <row r="8019">
      <c r="A8019" s="83" t="s">
        <v>6649</v>
      </c>
      <c r="B8019" s="83" t="s">
        <v>6650</v>
      </c>
      <c r="C8019" s="81" t="s">
        <v>4086</v>
      </c>
      <c r="D8019" s="83" t="s">
        <v>4833</v>
      </c>
      <c r="E8019" s="81" t="s">
        <v>3956</v>
      </c>
      <c r="F8019" s="81">
        <v>777.0</v>
      </c>
      <c r="G8019" s="81" t="s">
        <v>43</v>
      </c>
      <c r="H8019" s="81" t="s">
        <v>224</v>
      </c>
      <c r="I8019" s="81" t="s">
        <v>3953</v>
      </c>
      <c r="J8019" s="81" t="s">
        <v>224</v>
      </c>
    </row>
    <row r="8020">
      <c r="A8020" s="83" t="s">
        <v>6649</v>
      </c>
      <c r="B8020" s="83" t="s">
        <v>6650</v>
      </c>
      <c r="C8020" s="81" t="s">
        <v>4086</v>
      </c>
      <c r="D8020" s="83" t="s">
        <v>4833</v>
      </c>
      <c r="E8020" s="81" t="s">
        <v>3956</v>
      </c>
      <c r="F8020" s="81">
        <v>777.0</v>
      </c>
      <c r="G8020" s="81" t="s">
        <v>42</v>
      </c>
      <c r="H8020" s="81" t="s">
        <v>224</v>
      </c>
      <c r="I8020" s="81" t="s">
        <v>3952</v>
      </c>
      <c r="J8020" s="81" t="s">
        <v>224</v>
      </c>
    </row>
    <row r="8021">
      <c r="A8021" s="83" t="s">
        <v>6649</v>
      </c>
      <c r="B8021" s="83" t="s">
        <v>6650</v>
      </c>
      <c r="C8021" s="81" t="s">
        <v>4086</v>
      </c>
      <c r="D8021" s="83" t="s">
        <v>4834</v>
      </c>
      <c r="E8021" s="81" t="s">
        <v>3959</v>
      </c>
      <c r="F8021" s="81">
        <v>778.0</v>
      </c>
      <c r="G8021" s="81" t="s">
        <v>43</v>
      </c>
      <c r="H8021" s="81" t="s">
        <v>224</v>
      </c>
      <c r="I8021" s="81" t="s">
        <v>3953</v>
      </c>
      <c r="J8021" s="81" t="s">
        <v>224</v>
      </c>
    </row>
    <row r="8022">
      <c r="A8022" s="83" t="s">
        <v>6649</v>
      </c>
      <c r="B8022" s="83" t="s">
        <v>6650</v>
      </c>
      <c r="C8022" s="81" t="s">
        <v>4086</v>
      </c>
      <c r="D8022" s="83" t="s">
        <v>4834</v>
      </c>
      <c r="E8022" s="81" t="s">
        <v>3959</v>
      </c>
      <c r="F8022" s="81">
        <v>778.0</v>
      </c>
      <c r="G8022" s="81" t="s">
        <v>42</v>
      </c>
      <c r="H8022" s="81" t="s">
        <v>224</v>
      </c>
      <c r="I8022" s="81" t="s">
        <v>3952</v>
      </c>
      <c r="J8022" s="81" t="s">
        <v>224</v>
      </c>
    </row>
    <row r="8023">
      <c r="A8023" s="83" t="s">
        <v>6649</v>
      </c>
      <c r="B8023" s="83" t="s">
        <v>6650</v>
      </c>
      <c r="C8023" s="81" t="s">
        <v>4086</v>
      </c>
      <c r="D8023" s="83" t="s">
        <v>4835</v>
      </c>
      <c r="E8023" s="81" t="s">
        <v>3962</v>
      </c>
      <c r="F8023" s="81">
        <v>779.0</v>
      </c>
      <c r="G8023" s="81" t="s">
        <v>43</v>
      </c>
      <c r="H8023" s="81" t="s">
        <v>224</v>
      </c>
      <c r="I8023" s="81" t="s">
        <v>3953</v>
      </c>
      <c r="J8023" s="81" t="s">
        <v>224</v>
      </c>
    </row>
    <row r="8024">
      <c r="A8024" s="83" t="s">
        <v>6649</v>
      </c>
      <c r="B8024" s="83" t="s">
        <v>6650</v>
      </c>
      <c r="C8024" s="81" t="s">
        <v>4086</v>
      </c>
      <c r="D8024" s="83" t="s">
        <v>4835</v>
      </c>
      <c r="E8024" s="81" t="s">
        <v>3962</v>
      </c>
      <c r="F8024" s="81">
        <v>779.0</v>
      </c>
      <c r="G8024" s="81" t="s">
        <v>42</v>
      </c>
      <c r="H8024" s="81" t="s">
        <v>224</v>
      </c>
      <c r="I8024" s="81" t="s">
        <v>3952</v>
      </c>
      <c r="J8024" s="81" t="s">
        <v>224</v>
      </c>
    </row>
    <row r="8025">
      <c r="A8025" s="83" t="s">
        <v>6649</v>
      </c>
      <c r="B8025" s="83" t="s">
        <v>6650</v>
      </c>
      <c r="C8025" s="81" t="s">
        <v>4086</v>
      </c>
      <c r="D8025" s="83" t="s">
        <v>4836</v>
      </c>
      <c r="E8025" s="81" t="s">
        <v>3965</v>
      </c>
      <c r="F8025" s="81">
        <v>780.0</v>
      </c>
      <c r="G8025" s="81" t="s">
        <v>43</v>
      </c>
      <c r="H8025" s="81" t="s">
        <v>224</v>
      </c>
      <c r="I8025" s="81" t="s">
        <v>3953</v>
      </c>
      <c r="J8025" s="81" t="s">
        <v>224</v>
      </c>
    </row>
    <row r="8026">
      <c r="A8026" s="83" t="s">
        <v>6649</v>
      </c>
      <c r="B8026" s="83" t="s">
        <v>6650</v>
      </c>
      <c r="C8026" s="81" t="s">
        <v>4086</v>
      </c>
      <c r="D8026" s="83" t="s">
        <v>4836</v>
      </c>
      <c r="E8026" s="81" t="s">
        <v>3965</v>
      </c>
      <c r="F8026" s="81">
        <v>780.0</v>
      </c>
      <c r="G8026" s="81" t="s">
        <v>42</v>
      </c>
      <c r="H8026" s="81" t="s">
        <v>224</v>
      </c>
      <c r="I8026" s="81" t="s">
        <v>3952</v>
      </c>
      <c r="J8026" s="81" t="s">
        <v>224</v>
      </c>
    </row>
    <row r="8027">
      <c r="A8027" s="83" t="s">
        <v>6649</v>
      </c>
      <c r="B8027" s="83" t="s">
        <v>6650</v>
      </c>
      <c r="C8027" s="81" t="s">
        <v>4086</v>
      </c>
      <c r="D8027" s="83" t="s">
        <v>4837</v>
      </c>
      <c r="E8027" s="81" t="s">
        <v>3968</v>
      </c>
      <c r="F8027" s="81">
        <v>781.0</v>
      </c>
      <c r="G8027" s="81" t="s">
        <v>43</v>
      </c>
      <c r="H8027" s="81" t="s">
        <v>224</v>
      </c>
      <c r="I8027" s="81" t="s">
        <v>3953</v>
      </c>
      <c r="J8027" s="81" t="s">
        <v>224</v>
      </c>
    </row>
    <row r="8028">
      <c r="A8028" s="83" t="s">
        <v>6649</v>
      </c>
      <c r="B8028" s="83" t="s">
        <v>6650</v>
      </c>
      <c r="C8028" s="81" t="s">
        <v>4086</v>
      </c>
      <c r="D8028" s="83" t="s">
        <v>4837</v>
      </c>
      <c r="E8028" s="81" t="s">
        <v>3968</v>
      </c>
      <c r="F8028" s="81">
        <v>781.0</v>
      </c>
      <c r="G8028" s="81" t="s">
        <v>42</v>
      </c>
      <c r="H8028" s="81" t="s">
        <v>224</v>
      </c>
      <c r="I8028" s="81" t="s">
        <v>3952</v>
      </c>
      <c r="J8028" s="81" t="s">
        <v>224</v>
      </c>
    </row>
    <row r="8029">
      <c r="A8029" s="83" t="s">
        <v>6649</v>
      </c>
      <c r="B8029" s="83" t="s">
        <v>6650</v>
      </c>
      <c r="C8029" s="81" t="s">
        <v>4086</v>
      </c>
      <c r="D8029" s="83" t="s">
        <v>4838</v>
      </c>
      <c r="E8029" s="81" t="s">
        <v>3971</v>
      </c>
      <c r="F8029" s="81">
        <v>782.0</v>
      </c>
      <c r="G8029" s="81" t="s">
        <v>43</v>
      </c>
      <c r="H8029" s="81" t="s">
        <v>224</v>
      </c>
      <c r="I8029" s="81" t="s">
        <v>3979</v>
      </c>
      <c r="J8029" s="81" t="s">
        <v>224</v>
      </c>
    </row>
    <row r="8030">
      <c r="A8030" s="83" t="s">
        <v>6649</v>
      </c>
      <c r="B8030" s="83" t="s">
        <v>6650</v>
      </c>
      <c r="C8030" s="81" t="s">
        <v>4086</v>
      </c>
      <c r="D8030" s="83" t="s">
        <v>4838</v>
      </c>
      <c r="E8030" s="81" t="s">
        <v>3971</v>
      </c>
      <c r="F8030" s="81">
        <v>782.0</v>
      </c>
      <c r="G8030" s="81" t="s">
        <v>42</v>
      </c>
      <c r="H8030" s="81" t="s">
        <v>224</v>
      </c>
      <c r="I8030" s="81" t="s">
        <v>3978</v>
      </c>
      <c r="J8030" s="81" t="s">
        <v>224</v>
      </c>
    </row>
    <row r="8031">
      <c r="A8031" s="83" t="s">
        <v>6649</v>
      </c>
      <c r="B8031" s="83" t="s">
        <v>6650</v>
      </c>
      <c r="C8031" s="81" t="s">
        <v>4086</v>
      </c>
      <c r="D8031" s="83" t="s">
        <v>4838</v>
      </c>
      <c r="E8031" s="81" t="s">
        <v>3981</v>
      </c>
      <c r="F8031" s="81">
        <v>783.0</v>
      </c>
      <c r="G8031" s="81" t="s">
        <v>43</v>
      </c>
      <c r="H8031" s="81" t="s">
        <v>224</v>
      </c>
      <c r="I8031" s="81" t="s">
        <v>3979</v>
      </c>
      <c r="J8031" s="81" t="s">
        <v>224</v>
      </c>
    </row>
    <row r="8032">
      <c r="A8032" s="83" t="s">
        <v>6649</v>
      </c>
      <c r="B8032" s="83" t="s">
        <v>6650</v>
      </c>
      <c r="C8032" s="81" t="s">
        <v>4086</v>
      </c>
      <c r="D8032" s="83" t="s">
        <v>4838</v>
      </c>
      <c r="E8032" s="81" t="s">
        <v>3981</v>
      </c>
      <c r="F8032" s="81">
        <v>783.0</v>
      </c>
      <c r="G8032" s="81" t="s">
        <v>42</v>
      </c>
      <c r="H8032" s="81" t="s">
        <v>224</v>
      </c>
      <c r="I8032" s="81" t="s">
        <v>3978</v>
      </c>
      <c r="J8032" s="81" t="s">
        <v>224</v>
      </c>
    </row>
    <row r="8033">
      <c r="A8033" s="83" t="s">
        <v>6649</v>
      </c>
      <c r="B8033" s="83" t="s">
        <v>6650</v>
      </c>
      <c r="C8033" s="81" t="s">
        <v>4086</v>
      </c>
      <c r="D8033" s="83" t="s">
        <v>4839</v>
      </c>
      <c r="E8033" s="81" t="s">
        <v>3982</v>
      </c>
      <c r="F8033" s="81">
        <v>784.0</v>
      </c>
      <c r="G8033" s="81" t="s">
        <v>43</v>
      </c>
      <c r="H8033" s="81" t="s">
        <v>224</v>
      </c>
      <c r="I8033" s="81" t="s">
        <v>3979</v>
      </c>
      <c r="J8033" s="81" t="s">
        <v>224</v>
      </c>
    </row>
    <row r="8034">
      <c r="A8034" s="83" t="s">
        <v>6649</v>
      </c>
      <c r="B8034" s="83" t="s">
        <v>6650</v>
      </c>
      <c r="C8034" s="81" t="s">
        <v>4086</v>
      </c>
      <c r="D8034" s="83" t="s">
        <v>4839</v>
      </c>
      <c r="E8034" s="81" t="s">
        <v>3982</v>
      </c>
      <c r="F8034" s="81">
        <v>784.0</v>
      </c>
      <c r="G8034" s="81" t="s">
        <v>42</v>
      </c>
      <c r="H8034" s="81" t="s">
        <v>224</v>
      </c>
      <c r="I8034" s="81" t="s">
        <v>3978</v>
      </c>
      <c r="J8034" s="81" t="s">
        <v>224</v>
      </c>
    </row>
    <row r="8035">
      <c r="A8035" s="83" t="s">
        <v>6649</v>
      </c>
      <c r="B8035" s="83" t="s">
        <v>6650</v>
      </c>
      <c r="C8035" s="81" t="s">
        <v>4086</v>
      </c>
      <c r="D8035" s="83" t="s">
        <v>4840</v>
      </c>
      <c r="E8035" s="81" t="s">
        <v>3985</v>
      </c>
      <c r="F8035" s="81">
        <v>785.0</v>
      </c>
      <c r="G8035" s="81" t="s">
        <v>43</v>
      </c>
      <c r="H8035" s="81" t="s">
        <v>224</v>
      </c>
      <c r="I8035" s="81" t="s">
        <v>3979</v>
      </c>
      <c r="J8035" s="81" t="s">
        <v>224</v>
      </c>
    </row>
    <row r="8036">
      <c r="A8036" s="83" t="s">
        <v>6649</v>
      </c>
      <c r="B8036" s="83" t="s">
        <v>6650</v>
      </c>
      <c r="C8036" s="81" t="s">
        <v>4086</v>
      </c>
      <c r="D8036" s="83" t="s">
        <v>4840</v>
      </c>
      <c r="E8036" s="81" t="s">
        <v>3985</v>
      </c>
      <c r="F8036" s="81">
        <v>785.0</v>
      </c>
      <c r="G8036" s="81" t="s">
        <v>42</v>
      </c>
      <c r="H8036" s="81" t="s">
        <v>224</v>
      </c>
      <c r="I8036" s="81" t="s">
        <v>3978</v>
      </c>
      <c r="J8036" s="81" t="s">
        <v>224</v>
      </c>
    </row>
    <row r="8037">
      <c r="A8037" s="83" t="s">
        <v>6649</v>
      </c>
      <c r="B8037" s="83" t="s">
        <v>6650</v>
      </c>
      <c r="C8037" s="81" t="s">
        <v>4086</v>
      </c>
      <c r="D8037" s="83" t="s">
        <v>4841</v>
      </c>
      <c r="E8037" s="81" t="s">
        <v>3988</v>
      </c>
      <c r="F8037" s="81">
        <v>786.0</v>
      </c>
      <c r="G8037" s="81" t="s">
        <v>43</v>
      </c>
      <c r="H8037" s="81" t="s">
        <v>224</v>
      </c>
      <c r="I8037" s="81" t="s">
        <v>3979</v>
      </c>
      <c r="J8037" s="81" t="s">
        <v>224</v>
      </c>
    </row>
    <row r="8038">
      <c r="A8038" s="83" t="s">
        <v>6649</v>
      </c>
      <c r="B8038" s="83" t="s">
        <v>6650</v>
      </c>
      <c r="C8038" s="81" t="s">
        <v>4086</v>
      </c>
      <c r="D8038" s="83" t="s">
        <v>4841</v>
      </c>
      <c r="E8038" s="81" t="s">
        <v>3988</v>
      </c>
      <c r="F8038" s="81">
        <v>786.0</v>
      </c>
      <c r="G8038" s="81" t="s">
        <v>42</v>
      </c>
      <c r="H8038" s="81" t="s">
        <v>224</v>
      </c>
      <c r="I8038" s="81" t="s">
        <v>3978</v>
      </c>
      <c r="J8038" s="81" t="s">
        <v>224</v>
      </c>
    </row>
    <row r="8039">
      <c r="A8039" s="83" t="s">
        <v>6649</v>
      </c>
      <c r="B8039" s="83" t="s">
        <v>6650</v>
      </c>
      <c r="C8039" s="81" t="s">
        <v>4086</v>
      </c>
      <c r="D8039" s="83" t="s">
        <v>4842</v>
      </c>
      <c r="E8039" s="81" t="s">
        <v>3991</v>
      </c>
      <c r="F8039" s="81">
        <v>787.0</v>
      </c>
      <c r="G8039" s="81" t="s">
        <v>43</v>
      </c>
      <c r="H8039" s="81" t="s">
        <v>224</v>
      </c>
      <c r="I8039" s="81" t="s">
        <v>3979</v>
      </c>
      <c r="J8039" s="81" t="s">
        <v>224</v>
      </c>
    </row>
    <row r="8040">
      <c r="A8040" s="83" t="s">
        <v>6649</v>
      </c>
      <c r="B8040" s="83" t="s">
        <v>6650</v>
      </c>
      <c r="C8040" s="81" t="s">
        <v>4086</v>
      </c>
      <c r="D8040" s="83" t="s">
        <v>4842</v>
      </c>
      <c r="E8040" s="81" t="s">
        <v>3991</v>
      </c>
      <c r="F8040" s="81">
        <v>787.0</v>
      </c>
      <c r="G8040" s="81" t="s">
        <v>42</v>
      </c>
      <c r="H8040" s="81" t="s">
        <v>224</v>
      </c>
      <c r="I8040" s="81" t="s">
        <v>3978</v>
      </c>
      <c r="J8040" s="81" t="s">
        <v>224</v>
      </c>
    </row>
    <row r="8041">
      <c r="A8041" s="83" t="s">
        <v>6649</v>
      </c>
      <c r="B8041" s="83" t="s">
        <v>6650</v>
      </c>
      <c r="C8041" s="81" t="s">
        <v>4086</v>
      </c>
      <c r="D8041" s="83" t="s">
        <v>4843</v>
      </c>
      <c r="E8041" s="81" t="s">
        <v>3994</v>
      </c>
      <c r="F8041" s="81">
        <v>788.0</v>
      </c>
      <c r="G8041" s="81" t="s">
        <v>43</v>
      </c>
      <c r="H8041" s="81" t="s">
        <v>224</v>
      </c>
      <c r="I8041" s="81" t="s">
        <v>3979</v>
      </c>
      <c r="J8041" s="81" t="s">
        <v>224</v>
      </c>
    </row>
    <row r="8042">
      <c r="A8042" s="83" t="s">
        <v>6649</v>
      </c>
      <c r="B8042" s="83" t="s">
        <v>6650</v>
      </c>
      <c r="C8042" s="81" t="s">
        <v>4086</v>
      </c>
      <c r="D8042" s="83" t="s">
        <v>4843</v>
      </c>
      <c r="E8042" s="81" t="s">
        <v>3994</v>
      </c>
      <c r="F8042" s="81">
        <v>788.0</v>
      </c>
      <c r="G8042" s="81" t="s">
        <v>42</v>
      </c>
      <c r="H8042" s="81" t="s">
        <v>224</v>
      </c>
      <c r="I8042" s="81" t="s">
        <v>3978</v>
      </c>
      <c r="J8042" s="81" t="s">
        <v>224</v>
      </c>
    </row>
    <row r="8043">
      <c r="A8043" s="83" t="s">
        <v>6649</v>
      </c>
      <c r="B8043" s="83" t="s">
        <v>6650</v>
      </c>
      <c r="C8043" s="81" t="s">
        <v>4082</v>
      </c>
      <c r="D8043" s="83" t="s">
        <v>4844</v>
      </c>
      <c r="E8043" s="81" t="s">
        <v>3998</v>
      </c>
      <c r="F8043" s="81">
        <v>792.0</v>
      </c>
      <c r="G8043" s="81" t="s">
        <v>39</v>
      </c>
      <c r="H8043" s="81" t="s">
        <v>224</v>
      </c>
      <c r="I8043" s="81" t="s">
        <v>224</v>
      </c>
      <c r="J8043" s="81" t="s">
        <v>6440</v>
      </c>
    </row>
    <row r="8044">
      <c r="A8044" s="83" t="s">
        <v>6649</v>
      </c>
      <c r="B8044" s="83" t="s">
        <v>6650</v>
      </c>
      <c r="C8044" s="81" t="s">
        <v>4086</v>
      </c>
      <c r="D8044" s="83" t="s">
        <v>4844</v>
      </c>
      <c r="E8044" s="81" t="s">
        <v>3998</v>
      </c>
      <c r="F8044" s="81">
        <v>792.0</v>
      </c>
      <c r="G8044" s="81" t="s">
        <v>43</v>
      </c>
      <c r="H8044" s="81" t="s">
        <v>224</v>
      </c>
      <c r="I8044" s="81" t="s">
        <v>4000</v>
      </c>
      <c r="J8044" s="81" t="s">
        <v>224</v>
      </c>
    </row>
    <row r="8045">
      <c r="A8045" s="83" t="s">
        <v>6649</v>
      </c>
      <c r="B8045" s="83" t="s">
        <v>6650</v>
      </c>
      <c r="C8045" s="81" t="s">
        <v>4082</v>
      </c>
      <c r="D8045" s="83" t="s">
        <v>4845</v>
      </c>
      <c r="E8045" s="81" t="s">
        <v>4002</v>
      </c>
      <c r="F8045" s="81">
        <v>793.0</v>
      </c>
      <c r="G8045" s="81" t="s">
        <v>39</v>
      </c>
      <c r="H8045" s="81" t="s">
        <v>224</v>
      </c>
      <c r="I8045" s="81" t="s">
        <v>224</v>
      </c>
      <c r="J8045" s="81" t="s">
        <v>6441</v>
      </c>
    </row>
    <row r="8046">
      <c r="A8046" s="83" t="s">
        <v>6649</v>
      </c>
      <c r="B8046" s="83" t="s">
        <v>6650</v>
      </c>
      <c r="C8046" s="81" t="s">
        <v>4086</v>
      </c>
      <c r="D8046" s="83" t="s">
        <v>4845</v>
      </c>
      <c r="E8046" s="81" t="s">
        <v>4002</v>
      </c>
      <c r="F8046" s="81">
        <v>793.0</v>
      </c>
      <c r="G8046" s="81" t="s">
        <v>43</v>
      </c>
      <c r="H8046" s="81" t="s">
        <v>224</v>
      </c>
      <c r="I8046" s="81" t="s">
        <v>4000</v>
      </c>
      <c r="J8046" s="81" t="s">
        <v>224</v>
      </c>
    </row>
    <row r="8047">
      <c r="A8047" s="83" t="s">
        <v>6649</v>
      </c>
      <c r="B8047" s="83" t="s">
        <v>6650</v>
      </c>
      <c r="C8047" s="81" t="s">
        <v>4082</v>
      </c>
      <c r="D8047" s="83" t="s">
        <v>4846</v>
      </c>
      <c r="E8047" s="81" t="s">
        <v>1133</v>
      </c>
      <c r="F8047" s="81">
        <v>794.0</v>
      </c>
      <c r="G8047" s="81" t="s">
        <v>39</v>
      </c>
      <c r="H8047" s="81" t="s">
        <v>224</v>
      </c>
      <c r="I8047" s="81" t="s">
        <v>224</v>
      </c>
      <c r="J8047" s="81" t="s">
        <v>6442</v>
      </c>
    </row>
    <row r="8048">
      <c r="A8048" s="83" t="s">
        <v>6649</v>
      </c>
      <c r="B8048" s="83" t="s">
        <v>6650</v>
      </c>
      <c r="C8048" s="81" t="s">
        <v>4086</v>
      </c>
      <c r="D8048" s="83" t="s">
        <v>4846</v>
      </c>
      <c r="E8048" s="81" t="s">
        <v>1133</v>
      </c>
      <c r="F8048" s="81">
        <v>794.0</v>
      </c>
      <c r="G8048" s="81" t="s">
        <v>43</v>
      </c>
      <c r="H8048" s="81" t="s">
        <v>224</v>
      </c>
      <c r="I8048" s="81" t="s">
        <v>4004</v>
      </c>
      <c r="J8048" s="81" t="s">
        <v>224</v>
      </c>
    </row>
    <row r="8049">
      <c r="A8049" s="83" t="s">
        <v>6649</v>
      </c>
      <c r="B8049" s="83" t="s">
        <v>6650</v>
      </c>
      <c r="C8049" s="81" t="s">
        <v>4082</v>
      </c>
      <c r="D8049" s="83" t="s">
        <v>4847</v>
      </c>
      <c r="E8049" s="81" t="s">
        <v>4005</v>
      </c>
      <c r="F8049" s="81">
        <v>795.0</v>
      </c>
      <c r="G8049" s="81" t="s">
        <v>39</v>
      </c>
      <c r="H8049" s="81" t="s">
        <v>224</v>
      </c>
      <c r="I8049" s="81" t="s">
        <v>224</v>
      </c>
      <c r="J8049" s="81" t="s">
        <v>6316</v>
      </c>
    </row>
    <row r="8050">
      <c r="A8050" s="83" t="s">
        <v>6649</v>
      </c>
      <c r="B8050" s="83" t="s">
        <v>6650</v>
      </c>
      <c r="C8050" s="81" t="s">
        <v>4086</v>
      </c>
      <c r="D8050" s="83" t="s">
        <v>4847</v>
      </c>
      <c r="E8050" s="81" t="s">
        <v>4005</v>
      </c>
      <c r="F8050" s="81">
        <v>795.0</v>
      </c>
      <c r="G8050" s="81" t="s">
        <v>43</v>
      </c>
      <c r="H8050" s="81" t="s">
        <v>224</v>
      </c>
      <c r="I8050" s="81" t="s">
        <v>4004</v>
      </c>
      <c r="J8050" s="81" t="s">
        <v>224</v>
      </c>
    </row>
    <row r="8051">
      <c r="A8051" s="83" t="s">
        <v>6649</v>
      </c>
      <c r="B8051" s="83" t="s">
        <v>6650</v>
      </c>
      <c r="C8051" s="81" t="s">
        <v>4082</v>
      </c>
      <c r="D8051" s="83" t="s">
        <v>4848</v>
      </c>
      <c r="E8051" s="81" t="s">
        <v>1142</v>
      </c>
      <c r="F8051" s="81">
        <v>796.0</v>
      </c>
      <c r="G8051" s="81" t="s">
        <v>39</v>
      </c>
      <c r="H8051" s="81" t="s">
        <v>224</v>
      </c>
      <c r="I8051" s="81" t="s">
        <v>224</v>
      </c>
      <c r="J8051" s="81" t="s">
        <v>6443</v>
      </c>
    </row>
    <row r="8052">
      <c r="A8052" s="83" t="s">
        <v>6649</v>
      </c>
      <c r="B8052" s="83" t="s">
        <v>6650</v>
      </c>
      <c r="C8052" s="81" t="s">
        <v>4086</v>
      </c>
      <c r="D8052" s="83" t="s">
        <v>4848</v>
      </c>
      <c r="E8052" s="81" t="s">
        <v>1142</v>
      </c>
      <c r="F8052" s="81">
        <v>796.0</v>
      </c>
      <c r="G8052" s="81" t="s">
        <v>43</v>
      </c>
      <c r="H8052" s="81" t="s">
        <v>224</v>
      </c>
      <c r="I8052" s="81" t="s">
        <v>4006</v>
      </c>
      <c r="J8052" s="81" t="s">
        <v>224</v>
      </c>
    </row>
    <row r="8053">
      <c r="A8053" s="83" t="s">
        <v>6649</v>
      </c>
      <c r="B8053" s="83" t="s">
        <v>6650</v>
      </c>
      <c r="C8053" s="81" t="s">
        <v>4082</v>
      </c>
      <c r="D8053" s="83" t="s">
        <v>4850</v>
      </c>
      <c r="E8053" s="81" t="s">
        <v>1138</v>
      </c>
      <c r="F8053" s="81">
        <v>797.0</v>
      </c>
      <c r="G8053" s="81" t="s">
        <v>39</v>
      </c>
      <c r="H8053" s="81" t="s">
        <v>224</v>
      </c>
      <c r="I8053" s="81" t="s">
        <v>224</v>
      </c>
      <c r="J8053" s="81" t="s">
        <v>6444</v>
      </c>
    </row>
    <row r="8054">
      <c r="A8054" s="83" t="s">
        <v>6649</v>
      </c>
      <c r="B8054" s="83" t="s">
        <v>6650</v>
      </c>
      <c r="C8054" s="81" t="s">
        <v>4086</v>
      </c>
      <c r="D8054" s="83" t="s">
        <v>4850</v>
      </c>
      <c r="E8054" s="81" t="s">
        <v>1138</v>
      </c>
      <c r="F8054" s="81">
        <v>797.0</v>
      </c>
      <c r="G8054" s="81" t="s">
        <v>43</v>
      </c>
      <c r="H8054" s="81" t="s">
        <v>224</v>
      </c>
      <c r="I8054" s="81" t="s">
        <v>4006</v>
      </c>
      <c r="J8054" s="81" t="s">
        <v>224</v>
      </c>
    </row>
    <row r="8055">
      <c r="A8055" s="83" t="s">
        <v>6649</v>
      </c>
      <c r="B8055" s="83" t="s">
        <v>6650</v>
      </c>
      <c r="C8055" s="81" t="s">
        <v>4086</v>
      </c>
      <c r="D8055" s="83" t="s">
        <v>4861</v>
      </c>
      <c r="E8055" s="81" t="s">
        <v>4007</v>
      </c>
      <c r="F8055" s="81">
        <v>798.0</v>
      </c>
      <c r="G8055" s="81" t="s">
        <v>43</v>
      </c>
      <c r="H8055" s="81" t="s">
        <v>224</v>
      </c>
      <c r="I8055" s="81" t="s">
        <v>3537</v>
      </c>
      <c r="J8055" s="81" t="s">
        <v>224</v>
      </c>
    </row>
    <row r="8056">
      <c r="A8056" s="83" t="s">
        <v>6649</v>
      </c>
      <c r="B8056" s="83" t="s">
        <v>6650</v>
      </c>
      <c r="C8056" s="81" t="s">
        <v>4086</v>
      </c>
      <c r="D8056" s="83" t="s">
        <v>4862</v>
      </c>
      <c r="E8056" s="81" t="s">
        <v>4011</v>
      </c>
      <c r="F8056" s="81">
        <v>799.0</v>
      </c>
      <c r="G8056" s="81" t="s">
        <v>43</v>
      </c>
      <c r="H8056" s="81" t="s">
        <v>224</v>
      </c>
      <c r="I8056" s="81" t="s">
        <v>1839</v>
      </c>
      <c r="J8056" s="81" t="s">
        <v>224</v>
      </c>
    </row>
    <row r="8057">
      <c r="A8057" s="83" t="s">
        <v>6649</v>
      </c>
      <c r="B8057" s="83" t="s">
        <v>6650</v>
      </c>
      <c r="C8057" s="81" t="s">
        <v>5141</v>
      </c>
      <c r="D8057" s="83" t="s">
        <v>4862</v>
      </c>
      <c r="E8057" s="81" t="s">
        <v>4011</v>
      </c>
      <c r="F8057" s="81">
        <v>799.0</v>
      </c>
      <c r="G8057" s="81" t="s">
        <v>42</v>
      </c>
      <c r="H8057" s="81" t="s">
        <v>1838</v>
      </c>
      <c r="I8057" s="81" t="s">
        <v>224</v>
      </c>
      <c r="J8057" s="81" t="s">
        <v>6751</v>
      </c>
    </row>
    <row r="8058">
      <c r="A8058" s="83" t="s">
        <v>6649</v>
      </c>
      <c r="B8058" s="83" t="s">
        <v>6650</v>
      </c>
      <c r="C8058" s="81" t="s">
        <v>4086</v>
      </c>
      <c r="D8058" s="83" t="s">
        <v>4863</v>
      </c>
      <c r="E8058" s="81" t="s">
        <v>4014</v>
      </c>
      <c r="F8058" s="81">
        <v>800.0</v>
      </c>
      <c r="G8058" s="81" t="s">
        <v>43</v>
      </c>
      <c r="H8058" s="81" t="s">
        <v>224</v>
      </c>
      <c r="I8058" s="81" t="s">
        <v>1847</v>
      </c>
      <c r="J8058" s="81" t="s">
        <v>224</v>
      </c>
    </row>
    <row r="8059">
      <c r="A8059" s="83" t="s">
        <v>6649</v>
      </c>
      <c r="B8059" s="83" t="s">
        <v>6650</v>
      </c>
      <c r="C8059" s="81" t="s">
        <v>5141</v>
      </c>
      <c r="D8059" s="83" t="s">
        <v>4863</v>
      </c>
      <c r="E8059" s="81" t="s">
        <v>4014</v>
      </c>
      <c r="F8059" s="81">
        <v>800.0</v>
      </c>
      <c r="G8059" s="81" t="s">
        <v>42</v>
      </c>
      <c r="H8059" s="81" t="s">
        <v>6445</v>
      </c>
      <c r="I8059" s="81" t="s">
        <v>224</v>
      </c>
      <c r="J8059" s="81" t="s">
        <v>6751</v>
      </c>
    </row>
    <row r="8060">
      <c r="A8060" s="83" t="s">
        <v>6649</v>
      </c>
      <c r="B8060" s="83" t="s">
        <v>6650</v>
      </c>
      <c r="C8060" s="81" t="s">
        <v>4086</v>
      </c>
      <c r="D8060" s="83" t="s">
        <v>4864</v>
      </c>
      <c r="E8060" s="81" t="s">
        <v>4016</v>
      </c>
      <c r="F8060" s="81">
        <v>801.0</v>
      </c>
      <c r="G8060" s="81" t="s">
        <v>43</v>
      </c>
      <c r="H8060" s="81" t="s">
        <v>224</v>
      </c>
      <c r="I8060" s="81" t="s">
        <v>1857</v>
      </c>
      <c r="J8060" s="81" t="s">
        <v>224</v>
      </c>
    </row>
    <row r="8061">
      <c r="A8061" s="83" t="s">
        <v>6649</v>
      </c>
      <c r="B8061" s="83" t="s">
        <v>6650</v>
      </c>
      <c r="C8061" s="81" t="s">
        <v>5141</v>
      </c>
      <c r="D8061" s="83" t="s">
        <v>4864</v>
      </c>
      <c r="E8061" s="81" t="s">
        <v>4016</v>
      </c>
      <c r="F8061" s="81">
        <v>801.0</v>
      </c>
      <c r="G8061" s="81" t="s">
        <v>42</v>
      </c>
      <c r="H8061" s="81" t="s">
        <v>1856</v>
      </c>
      <c r="I8061" s="81" t="s">
        <v>224</v>
      </c>
      <c r="J8061" s="81" t="s">
        <v>6751</v>
      </c>
    </row>
    <row r="8062">
      <c r="A8062" s="83" t="s">
        <v>6649</v>
      </c>
      <c r="B8062" s="83" t="s">
        <v>6650</v>
      </c>
      <c r="C8062" s="81" t="s">
        <v>4086</v>
      </c>
      <c r="D8062" s="83" t="s">
        <v>4865</v>
      </c>
      <c r="E8062" s="81" t="s">
        <v>4017</v>
      </c>
      <c r="F8062" s="81">
        <v>802.0</v>
      </c>
      <c r="G8062" s="81" t="s">
        <v>43</v>
      </c>
      <c r="H8062" s="81" t="s">
        <v>224</v>
      </c>
      <c r="I8062" s="81" t="s">
        <v>1862</v>
      </c>
      <c r="J8062" s="81" t="s">
        <v>224</v>
      </c>
    </row>
    <row r="8063">
      <c r="A8063" s="83" t="s">
        <v>6649</v>
      </c>
      <c r="B8063" s="83" t="s">
        <v>6650</v>
      </c>
      <c r="C8063" s="81" t="s">
        <v>5141</v>
      </c>
      <c r="D8063" s="83" t="s">
        <v>4865</v>
      </c>
      <c r="E8063" s="81" t="s">
        <v>4017</v>
      </c>
      <c r="F8063" s="81">
        <v>802.0</v>
      </c>
      <c r="G8063" s="81" t="s">
        <v>42</v>
      </c>
      <c r="H8063" s="81" t="s">
        <v>1856</v>
      </c>
      <c r="I8063" s="81" t="s">
        <v>224</v>
      </c>
      <c r="J8063" s="81" t="s">
        <v>6751</v>
      </c>
    </row>
    <row r="8064">
      <c r="A8064" s="83" t="s">
        <v>6649</v>
      </c>
      <c r="B8064" s="83" t="s">
        <v>6650</v>
      </c>
      <c r="C8064" s="81" t="s">
        <v>4086</v>
      </c>
      <c r="D8064" s="83" t="s">
        <v>4866</v>
      </c>
      <c r="E8064" s="81" t="s">
        <v>4018</v>
      </c>
      <c r="F8064" s="81">
        <v>803.0</v>
      </c>
      <c r="G8064" s="81" t="s">
        <v>43</v>
      </c>
      <c r="H8064" s="81" t="s">
        <v>224</v>
      </c>
      <c r="I8064" s="81" t="s">
        <v>1871</v>
      </c>
      <c r="J8064" s="81" t="s">
        <v>224</v>
      </c>
    </row>
    <row r="8065">
      <c r="A8065" s="83" t="s">
        <v>6649</v>
      </c>
      <c r="B8065" s="83" t="s">
        <v>6650</v>
      </c>
      <c r="C8065" s="81" t="s">
        <v>4086</v>
      </c>
      <c r="D8065" s="83" t="s">
        <v>4867</v>
      </c>
      <c r="E8065" s="81" t="s">
        <v>4019</v>
      </c>
      <c r="F8065" s="81">
        <v>804.0</v>
      </c>
      <c r="G8065" s="81" t="s">
        <v>43</v>
      </c>
      <c r="H8065" s="81" t="s">
        <v>224</v>
      </c>
      <c r="I8065" s="81" t="s">
        <v>2336</v>
      </c>
      <c r="J8065" s="81" t="s">
        <v>224</v>
      </c>
    </row>
    <row r="8066">
      <c r="A8066" s="83" t="s">
        <v>6649</v>
      </c>
      <c r="B8066" s="83" t="s">
        <v>6650</v>
      </c>
      <c r="C8066" s="81" t="s">
        <v>5141</v>
      </c>
      <c r="D8066" s="83" t="s">
        <v>4867</v>
      </c>
      <c r="E8066" s="81" t="s">
        <v>4019</v>
      </c>
      <c r="F8066" s="81">
        <v>804.0</v>
      </c>
      <c r="G8066" s="81" t="s">
        <v>42</v>
      </c>
      <c r="H8066" s="81" t="s">
        <v>1870</v>
      </c>
      <c r="I8066" s="81" t="s">
        <v>224</v>
      </c>
      <c r="J8066" s="81" t="s">
        <v>6751</v>
      </c>
    </row>
    <row r="8067">
      <c r="A8067" s="83" t="s">
        <v>6649</v>
      </c>
      <c r="B8067" s="83" t="s">
        <v>6650</v>
      </c>
      <c r="C8067" s="81" t="s">
        <v>4082</v>
      </c>
      <c r="D8067" s="83" t="s">
        <v>4868</v>
      </c>
      <c r="E8067" s="81" t="s">
        <v>4020</v>
      </c>
      <c r="F8067" s="81">
        <v>805.0</v>
      </c>
      <c r="G8067" s="81" t="s">
        <v>41</v>
      </c>
      <c r="H8067" s="81" t="s">
        <v>4027</v>
      </c>
      <c r="I8067" s="81" t="s">
        <v>224</v>
      </c>
      <c r="J8067" s="81" t="s">
        <v>6446</v>
      </c>
    </row>
    <row r="8068">
      <c r="A8068" s="83" t="s">
        <v>6649</v>
      </c>
      <c r="B8068" s="83" t="s">
        <v>6650</v>
      </c>
      <c r="C8068" s="81" t="s">
        <v>4086</v>
      </c>
      <c r="D8068" s="83" t="s">
        <v>4869</v>
      </c>
      <c r="E8068" s="81" t="s">
        <v>4032</v>
      </c>
      <c r="F8068" s="81">
        <v>807.0</v>
      </c>
      <c r="G8068" s="81" t="s">
        <v>42</v>
      </c>
      <c r="H8068" s="81" t="s">
        <v>4028</v>
      </c>
      <c r="I8068" s="81" t="s">
        <v>4035</v>
      </c>
      <c r="J8068" s="81" t="s">
        <v>224</v>
      </c>
    </row>
    <row r="8069">
      <c r="A8069" s="83" t="s">
        <v>6649</v>
      </c>
      <c r="B8069" s="83" t="s">
        <v>6650</v>
      </c>
      <c r="C8069" s="81" t="s">
        <v>4082</v>
      </c>
      <c r="D8069" s="83" t="s">
        <v>4870</v>
      </c>
      <c r="E8069" s="81" t="s">
        <v>4037</v>
      </c>
      <c r="F8069" s="81">
        <v>808.0</v>
      </c>
      <c r="G8069" s="81" t="s">
        <v>39</v>
      </c>
      <c r="H8069" s="81" t="s">
        <v>224</v>
      </c>
      <c r="I8069" s="81" t="s">
        <v>224</v>
      </c>
      <c r="J8069" s="81" t="s">
        <v>6763</v>
      </c>
    </row>
    <row r="8070">
      <c r="A8070" s="83" t="s">
        <v>6649</v>
      </c>
      <c r="B8070" s="83" t="s">
        <v>6650</v>
      </c>
      <c r="C8070" s="81" t="s">
        <v>5141</v>
      </c>
      <c r="D8070" s="83" t="s">
        <v>4870</v>
      </c>
      <c r="E8070" s="81" t="s">
        <v>4037</v>
      </c>
      <c r="F8070" s="81">
        <v>808.0</v>
      </c>
      <c r="G8070" s="81" t="s">
        <v>39</v>
      </c>
      <c r="H8070" s="81" t="s">
        <v>6447</v>
      </c>
      <c r="I8070" s="81" t="s">
        <v>224</v>
      </c>
      <c r="J8070" s="81" t="s">
        <v>5143</v>
      </c>
    </row>
    <row r="8071">
      <c r="A8071" s="83" t="s">
        <v>6649</v>
      </c>
      <c r="B8071" s="83" t="s">
        <v>6650</v>
      </c>
      <c r="C8071" s="81" t="s">
        <v>4086</v>
      </c>
      <c r="D8071" s="83" t="s">
        <v>4870</v>
      </c>
      <c r="E8071" s="81" t="s">
        <v>4037</v>
      </c>
      <c r="F8071" s="81">
        <v>808.0</v>
      </c>
      <c r="G8071" s="81" t="s">
        <v>40</v>
      </c>
      <c r="H8071" s="81" t="s">
        <v>6448</v>
      </c>
      <c r="I8071" s="81" t="s">
        <v>4044</v>
      </c>
      <c r="J8071" s="81" t="s">
        <v>224</v>
      </c>
    </row>
    <row r="8072">
      <c r="A8072" s="83" t="s">
        <v>6649</v>
      </c>
      <c r="B8072" s="83" t="s">
        <v>6650</v>
      </c>
      <c r="C8072" s="81" t="s">
        <v>4082</v>
      </c>
      <c r="D8072" s="83" t="s">
        <v>4870</v>
      </c>
      <c r="E8072" s="81" t="s">
        <v>4037</v>
      </c>
      <c r="F8072" s="81">
        <v>808.0</v>
      </c>
      <c r="G8072" s="81" t="s">
        <v>41</v>
      </c>
      <c r="H8072" s="81" t="s">
        <v>4045</v>
      </c>
      <c r="I8072" s="81" t="s">
        <v>224</v>
      </c>
      <c r="J8072" s="81" t="s">
        <v>6449</v>
      </c>
    </row>
    <row r="8073">
      <c r="A8073" s="83" t="s">
        <v>6649</v>
      </c>
      <c r="B8073" s="83" t="s">
        <v>6650</v>
      </c>
      <c r="C8073" s="81" t="s">
        <v>4086</v>
      </c>
      <c r="D8073" s="83" t="s">
        <v>4871</v>
      </c>
      <c r="E8073" s="81" t="s">
        <v>4049</v>
      </c>
      <c r="F8073" s="81">
        <v>809.0</v>
      </c>
      <c r="G8073" s="81" t="s">
        <v>42</v>
      </c>
      <c r="H8073" s="81" t="s">
        <v>224</v>
      </c>
      <c r="I8073" s="81" t="s">
        <v>4055</v>
      </c>
      <c r="J8073" s="81" t="s">
        <v>224</v>
      </c>
    </row>
    <row r="8074">
      <c r="A8074" s="83" t="s">
        <v>6649</v>
      </c>
      <c r="B8074" s="83" t="s">
        <v>6650</v>
      </c>
      <c r="C8074" s="81" t="s">
        <v>4082</v>
      </c>
      <c r="D8074" s="83" t="s">
        <v>4871</v>
      </c>
      <c r="E8074" s="81" t="s">
        <v>4049</v>
      </c>
      <c r="F8074" s="81">
        <v>809.0</v>
      </c>
      <c r="G8074" s="81" t="s">
        <v>41</v>
      </c>
      <c r="H8074" s="81" t="s">
        <v>4054</v>
      </c>
      <c r="I8074" s="81" t="s">
        <v>224</v>
      </c>
      <c r="J8074" s="81" t="s">
        <v>6450</v>
      </c>
    </row>
    <row r="8075">
      <c r="A8075" s="83" t="s">
        <v>6649</v>
      </c>
      <c r="B8075" s="83" t="s">
        <v>6650</v>
      </c>
      <c r="C8075" s="81" t="s">
        <v>4086</v>
      </c>
      <c r="D8075" s="83" t="s">
        <v>4871</v>
      </c>
      <c r="E8075" s="81" t="s">
        <v>4049</v>
      </c>
      <c r="F8075" s="81">
        <v>810.0</v>
      </c>
      <c r="G8075" s="81" t="s">
        <v>42</v>
      </c>
      <c r="H8075" s="81" t="s">
        <v>224</v>
      </c>
      <c r="I8075" s="81" t="s">
        <v>4055</v>
      </c>
      <c r="J8075" s="81" t="s">
        <v>224</v>
      </c>
    </row>
    <row r="8076">
      <c r="A8076" s="83" t="s">
        <v>6649</v>
      </c>
      <c r="B8076" s="83" t="s">
        <v>6650</v>
      </c>
      <c r="C8076" s="81" t="s">
        <v>4084</v>
      </c>
      <c r="D8076" s="81" t="s">
        <v>224</v>
      </c>
      <c r="E8076" s="81" t="s">
        <v>224</v>
      </c>
      <c r="F8076" s="81" t="s">
        <v>224</v>
      </c>
      <c r="G8076" s="81" t="s">
        <v>40</v>
      </c>
      <c r="H8076" s="81" t="s">
        <v>224</v>
      </c>
      <c r="I8076" s="81" t="s">
        <v>224</v>
      </c>
      <c r="J8076" s="81" t="s">
        <v>6452</v>
      </c>
    </row>
    <row r="8077">
      <c r="A8077" s="83" t="s">
        <v>6649</v>
      </c>
      <c r="B8077" s="83" t="s">
        <v>6650</v>
      </c>
      <c r="C8077" s="81" t="s">
        <v>4084</v>
      </c>
      <c r="D8077" s="81" t="s">
        <v>224</v>
      </c>
      <c r="E8077" s="81" t="s">
        <v>224</v>
      </c>
      <c r="F8077" s="81" t="s">
        <v>224</v>
      </c>
      <c r="G8077" s="81" t="s">
        <v>41</v>
      </c>
      <c r="H8077" s="81" t="s">
        <v>224</v>
      </c>
      <c r="I8077" s="81" t="s">
        <v>224</v>
      </c>
      <c r="J8077" s="81" t="s">
        <v>6453</v>
      </c>
    </row>
    <row r="8078">
      <c r="A8078" s="83" t="s">
        <v>6764</v>
      </c>
      <c r="B8078" s="83" t="s">
        <v>6765</v>
      </c>
      <c r="C8078" s="81" t="s">
        <v>4080</v>
      </c>
      <c r="D8078" s="81" t="s">
        <v>224</v>
      </c>
      <c r="E8078" s="81" t="s">
        <v>224</v>
      </c>
      <c r="F8078" s="81" t="s">
        <v>224</v>
      </c>
      <c r="G8078" s="81" t="s">
        <v>224</v>
      </c>
      <c r="H8078" s="81" t="s">
        <v>224</v>
      </c>
      <c r="I8078" s="81" t="s">
        <v>224</v>
      </c>
      <c r="J8078" s="81" t="s">
        <v>6766</v>
      </c>
    </row>
    <row r="8079">
      <c r="A8079" s="83" t="s">
        <v>6764</v>
      </c>
      <c r="B8079" s="83" t="s">
        <v>6765</v>
      </c>
      <c r="C8079" s="81" t="s">
        <v>4082</v>
      </c>
      <c r="D8079" s="81" t="s">
        <v>224</v>
      </c>
      <c r="E8079" s="81" t="s">
        <v>6652</v>
      </c>
      <c r="F8079" s="81" t="s">
        <v>224</v>
      </c>
      <c r="G8079" s="81" t="s">
        <v>42</v>
      </c>
      <c r="H8079" s="81" t="s">
        <v>224</v>
      </c>
      <c r="I8079" s="81" t="s">
        <v>224</v>
      </c>
      <c r="J8079" s="81" t="s">
        <v>6653</v>
      </c>
    </row>
    <row r="8080">
      <c r="A8080" s="83" t="s">
        <v>6764</v>
      </c>
      <c r="B8080" s="83" t="s">
        <v>6765</v>
      </c>
      <c r="C8080" s="81" t="s">
        <v>4082</v>
      </c>
      <c r="D8080" s="81" t="s">
        <v>224</v>
      </c>
      <c r="E8080" s="81" t="s">
        <v>6654</v>
      </c>
      <c r="F8080" s="81" t="s">
        <v>224</v>
      </c>
      <c r="G8080" s="81" t="s">
        <v>42</v>
      </c>
      <c r="H8080" s="81" t="s">
        <v>224</v>
      </c>
      <c r="I8080" s="81" t="s">
        <v>224</v>
      </c>
      <c r="J8080" s="81" t="s">
        <v>6653</v>
      </c>
    </row>
    <row r="8081">
      <c r="A8081" s="83" t="s">
        <v>6764</v>
      </c>
      <c r="B8081" s="83" t="s">
        <v>6765</v>
      </c>
      <c r="C8081" s="81" t="s">
        <v>4082</v>
      </c>
      <c r="D8081" s="81" t="s">
        <v>224</v>
      </c>
      <c r="E8081" s="81" t="s">
        <v>6655</v>
      </c>
      <c r="F8081" s="81" t="s">
        <v>224</v>
      </c>
      <c r="G8081" s="81" t="s">
        <v>42</v>
      </c>
      <c r="H8081" s="81" t="s">
        <v>224</v>
      </c>
      <c r="I8081" s="81" t="s">
        <v>224</v>
      </c>
      <c r="J8081" s="81" t="s">
        <v>6653</v>
      </c>
    </row>
    <row r="8082">
      <c r="A8082" s="83" t="s">
        <v>6764</v>
      </c>
      <c r="B8082" s="83" t="s">
        <v>6765</v>
      </c>
      <c r="C8082" s="81" t="s">
        <v>4082</v>
      </c>
      <c r="D8082" s="81" t="s">
        <v>224</v>
      </c>
      <c r="E8082" s="81" t="s">
        <v>6656</v>
      </c>
      <c r="F8082" s="81" t="s">
        <v>224</v>
      </c>
      <c r="G8082" s="81" t="s">
        <v>42</v>
      </c>
      <c r="H8082" s="81" t="s">
        <v>224</v>
      </c>
      <c r="I8082" s="81" t="s">
        <v>224</v>
      </c>
      <c r="J8082" s="81" t="s">
        <v>6653</v>
      </c>
    </row>
    <row r="8083">
      <c r="A8083" s="83" t="s">
        <v>6764</v>
      </c>
      <c r="B8083" s="83" t="s">
        <v>6765</v>
      </c>
      <c r="C8083" s="81" t="s">
        <v>4082</v>
      </c>
      <c r="D8083" s="81" t="s">
        <v>224</v>
      </c>
      <c r="E8083" s="81" t="s">
        <v>6657</v>
      </c>
      <c r="F8083" s="81" t="s">
        <v>224</v>
      </c>
      <c r="G8083" s="81" t="s">
        <v>42</v>
      </c>
      <c r="H8083" s="81" t="s">
        <v>224</v>
      </c>
      <c r="I8083" s="81" t="s">
        <v>224</v>
      </c>
      <c r="J8083" s="81" t="s">
        <v>6653</v>
      </c>
    </row>
    <row r="8084">
      <c r="A8084" s="83" t="s">
        <v>6764</v>
      </c>
      <c r="B8084" s="83" t="s">
        <v>6765</v>
      </c>
      <c r="C8084" s="81" t="s">
        <v>4082</v>
      </c>
      <c r="D8084" s="81" t="s">
        <v>224</v>
      </c>
      <c r="E8084" s="81" t="s">
        <v>6658</v>
      </c>
      <c r="F8084" s="81" t="s">
        <v>224</v>
      </c>
      <c r="G8084" s="81" t="s">
        <v>42</v>
      </c>
      <c r="H8084" s="81" t="s">
        <v>224</v>
      </c>
      <c r="I8084" s="81" t="s">
        <v>224</v>
      </c>
      <c r="J8084" s="81" t="s">
        <v>6653</v>
      </c>
    </row>
    <row r="8085">
      <c r="A8085" s="83" t="s">
        <v>6764</v>
      </c>
      <c r="B8085" s="83" t="s">
        <v>6765</v>
      </c>
      <c r="C8085" s="81" t="s">
        <v>4082</v>
      </c>
      <c r="D8085" s="81" t="s">
        <v>224</v>
      </c>
      <c r="E8085" s="81" t="s">
        <v>6659</v>
      </c>
      <c r="F8085" s="81" t="s">
        <v>224</v>
      </c>
      <c r="G8085" s="81" t="s">
        <v>42</v>
      </c>
      <c r="H8085" s="81" t="s">
        <v>224</v>
      </c>
      <c r="I8085" s="81" t="s">
        <v>224</v>
      </c>
      <c r="J8085" s="81" t="s">
        <v>6653</v>
      </c>
    </row>
    <row r="8086">
      <c r="A8086" s="83" t="s">
        <v>6764</v>
      </c>
      <c r="B8086" s="83" t="s">
        <v>6765</v>
      </c>
      <c r="C8086" s="81" t="s">
        <v>4082</v>
      </c>
      <c r="D8086" s="81" t="s">
        <v>224</v>
      </c>
      <c r="E8086" s="81" t="s">
        <v>6660</v>
      </c>
      <c r="F8086" s="81" t="s">
        <v>224</v>
      </c>
      <c r="G8086" s="81" t="s">
        <v>42</v>
      </c>
      <c r="H8086" s="81" t="s">
        <v>224</v>
      </c>
      <c r="I8086" s="81" t="s">
        <v>224</v>
      </c>
      <c r="J8086" s="81" t="s">
        <v>6653</v>
      </c>
    </row>
    <row r="8087">
      <c r="A8087" s="83" t="s">
        <v>6764</v>
      </c>
      <c r="B8087" s="83" t="s">
        <v>6765</v>
      </c>
      <c r="C8087" s="81" t="s">
        <v>4082</v>
      </c>
      <c r="D8087" s="81" t="s">
        <v>224</v>
      </c>
      <c r="E8087" s="81" t="s">
        <v>6661</v>
      </c>
      <c r="F8087" s="81" t="s">
        <v>224</v>
      </c>
      <c r="G8087" s="81" t="s">
        <v>42</v>
      </c>
      <c r="H8087" s="81" t="s">
        <v>224</v>
      </c>
      <c r="I8087" s="81" t="s">
        <v>224</v>
      </c>
      <c r="J8087" s="81" t="s">
        <v>6653</v>
      </c>
    </row>
    <row r="8088">
      <c r="A8088" s="83" t="s">
        <v>6764</v>
      </c>
      <c r="B8088" s="83" t="s">
        <v>6765</v>
      </c>
      <c r="C8088" s="81" t="s">
        <v>4082</v>
      </c>
      <c r="D8088" s="81" t="s">
        <v>224</v>
      </c>
      <c r="E8088" s="81" t="s">
        <v>6662</v>
      </c>
      <c r="F8088" s="81" t="s">
        <v>224</v>
      </c>
      <c r="G8088" s="81" t="s">
        <v>42</v>
      </c>
      <c r="H8088" s="81" t="s">
        <v>224</v>
      </c>
      <c r="I8088" s="81" t="s">
        <v>224</v>
      </c>
      <c r="J8088" s="81" t="s">
        <v>6653</v>
      </c>
    </row>
    <row r="8089">
      <c r="A8089" s="83" t="s">
        <v>6764</v>
      </c>
      <c r="B8089" s="83" t="s">
        <v>6765</v>
      </c>
      <c r="C8089" s="81" t="s">
        <v>4082</v>
      </c>
      <c r="D8089" s="81" t="s">
        <v>224</v>
      </c>
      <c r="E8089" s="81" t="s">
        <v>6663</v>
      </c>
      <c r="F8089" s="81" t="s">
        <v>224</v>
      </c>
      <c r="G8089" s="81" t="s">
        <v>42</v>
      </c>
      <c r="H8089" s="81" t="s">
        <v>224</v>
      </c>
      <c r="I8089" s="81" t="s">
        <v>224</v>
      </c>
      <c r="J8089" s="81" t="s">
        <v>6653</v>
      </c>
    </row>
    <row r="8090">
      <c r="A8090" s="83" t="s">
        <v>6764</v>
      </c>
      <c r="B8090" s="83" t="s">
        <v>6765</v>
      </c>
      <c r="C8090" s="81" t="s">
        <v>4082</v>
      </c>
      <c r="D8090" s="81" t="s">
        <v>224</v>
      </c>
      <c r="E8090" s="81" t="s">
        <v>6664</v>
      </c>
      <c r="F8090" s="81" t="s">
        <v>224</v>
      </c>
      <c r="G8090" s="81" t="s">
        <v>42</v>
      </c>
      <c r="H8090" s="81" t="s">
        <v>224</v>
      </c>
      <c r="I8090" s="81" t="s">
        <v>224</v>
      </c>
      <c r="J8090" s="81" t="s">
        <v>6653</v>
      </c>
    </row>
    <row r="8091">
      <c r="A8091" s="83" t="s">
        <v>6764</v>
      </c>
      <c r="B8091" s="83" t="s">
        <v>6765</v>
      </c>
      <c r="C8091" s="81" t="s">
        <v>4082</v>
      </c>
      <c r="D8091" s="81" t="s">
        <v>224</v>
      </c>
      <c r="E8091" s="81" t="s">
        <v>6665</v>
      </c>
      <c r="F8091" s="81" t="s">
        <v>224</v>
      </c>
      <c r="G8091" s="81" t="s">
        <v>42</v>
      </c>
      <c r="H8091" s="81" t="s">
        <v>224</v>
      </c>
      <c r="I8091" s="81" t="s">
        <v>224</v>
      </c>
      <c r="J8091" s="81" t="s">
        <v>6653</v>
      </c>
    </row>
    <row r="8092">
      <c r="A8092" s="83" t="s">
        <v>6764</v>
      </c>
      <c r="B8092" s="83" t="s">
        <v>6765</v>
      </c>
      <c r="C8092" s="81" t="s">
        <v>4082</v>
      </c>
      <c r="D8092" s="81" t="s">
        <v>224</v>
      </c>
      <c r="E8092" s="81" t="s">
        <v>6666</v>
      </c>
      <c r="F8092" s="81" t="s">
        <v>224</v>
      </c>
      <c r="G8092" s="81" t="s">
        <v>42</v>
      </c>
      <c r="H8092" s="81" t="s">
        <v>224</v>
      </c>
      <c r="I8092" s="81" t="s">
        <v>224</v>
      </c>
      <c r="J8092" s="81" t="s">
        <v>6653</v>
      </c>
    </row>
    <row r="8093">
      <c r="A8093" s="83" t="s">
        <v>6764</v>
      </c>
      <c r="B8093" s="83" t="s">
        <v>6765</v>
      </c>
      <c r="C8093" s="81" t="s">
        <v>4082</v>
      </c>
      <c r="D8093" s="81" t="s">
        <v>224</v>
      </c>
      <c r="E8093" s="81" t="s">
        <v>6667</v>
      </c>
      <c r="F8093" s="81" t="s">
        <v>224</v>
      </c>
      <c r="G8093" s="81" t="s">
        <v>42</v>
      </c>
      <c r="H8093" s="81" t="s">
        <v>224</v>
      </c>
      <c r="I8093" s="81" t="s">
        <v>224</v>
      </c>
      <c r="J8093" s="81" t="s">
        <v>6653</v>
      </c>
    </row>
    <row r="8094">
      <c r="A8094" s="83" t="s">
        <v>6764</v>
      </c>
      <c r="B8094" s="83" t="s">
        <v>6765</v>
      </c>
      <c r="C8094" s="81" t="s">
        <v>4082</v>
      </c>
      <c r="D8094" s="81" t="s">
        <v>224</v>
      </c>
      <c r="E8094" s="81" t="s">
        <v>6668</v>
      </c>
      <c r="F8094" s="81" t="s">
        <v>224</v>
      </c>
      <c r="G8094" s="81" t="s">
        <v>42</v>
      </c>
      <c r="H8094" s="81" t="s">
        <v>224</v>
      </c>
      <c r="I8094" s="81" t="s">
        <v>224</v>
      </c>
      <c r="J8094" s="81" t="s">
        <v>6653</v>
      </c>
    </row>
    <row r="8095">
      <c r="A8095" s="83" t="s">
        <v>6764</v>
      </c>
      <c r="B8095" s="83" t="s">
        <v>6765</v>
      </c>
      <c r="C8095" s="81" t="s">
        <v>4082</v>
      </c>
      <c r="D8095" s="81" t="s">
        <v>224</v>
      </c>
      <c r="E8095" s="81" t="s">
        <v>6669</v>
      </c>
      <c r="F8095" s="81" t="s">
        <v>224</v>
      </c>
      <c r="G8095" s="81" t="s">
        <v>42</v>
      </c>
      <c r="H8095" s="81" t="s">
        <v>224</v>
      </c>
      <c r="I8095" s="81" t="s">
        <v>224</v>
      </c>
      <c r="J8095" s="81" t="s">
        <v>6653</v>
      </c>
    </row>
    <row r="8096">
      <c r="A8096" s="83" t="s">
        <v>6764</v>
      </c>
      <c r="B8096" s="83" t="s">
        <v>6765</v>
      </c>
      <c r="C8096" s="81" t="s">
        <v>4082</v>
      </c>
      <c r="D8096" s="81" t="s">
        <v>224</v>
      </c>
      <c r="E8096" s="81" t="s">
        <v>6670</v>
      </c>
      <c r="F8096" s="81" t="s">
        <v>224</v>
      </c>
      <c r="G8096" s="81" t="s">
        <v>42</v>
      </c>
      <c r="H8096" s="81" t="s">
        <v>224</v>
      </c>
      <c r="I8096" s="81" t="s">
        <v>224</v>
      </c>
      <c r="J8096" s="81" t="s">
        <v>6653</v>
      </c>
    </row>
    <row r="8097">
      <c r="A8097" s="83" t="s">
        <v>6764</v>
      </c>
      <c r="B8097" s="83" t="s">
        <v>6765</v>
      </c>
      <c r="C8097" s="81" t="s">
        <v>4082</v>
      </c>
      <c r="D8097" s="81" t="s">
        <v>224</v>
      </c>
      <c r="E8097" s="81" t="s">
        <v>6671</v>
      </c>
      <c r="F8097" s="81" t="s">
        <v>224</v>
      </c>
      <c r="G8097" s="81" t="s">
        <v>42</v>
      </c>
      <c r="H8097" s="81" t="s">
        <v>224</v>
      </c>
      <c r="I8097" s="81" t="s">
        <v>224</v>
      </c>
      <c r="J8097" s="81" t="s">
        <v>6653</v>
      </c>
    </row>
    <row r="8098">
      <c r="A8098" s="83" t="s">
        <v>6764</v>
      </c>
      <c r="B8098" s="83" t="s">
        <v>6765</v>
      </c>
      <c r="C8098" s="81" t="s">
        <v>4082</v>
      </c>
      <c r="D8098" s="81" t="s">
        <v>224</v>
      </c>
      <c r="E8098" s="81" t="s">
        <v>6672</v>
      </c>
      <c r="F8098" s="81" t="s">
        <v>224</v>
      </c>
      <c r="G8098" s="81" t="s">
        <v>42</v>
      </c>
      <c r="H8098" s="81" t="s">
        <v>224</v>
      </c>
      <c r="I8098" s="81" t="s">
        <v>224</v>
      </c>
      <c r="J8098" s="81" t="s">
        <v>6653</v>
      </c>
    </row>
    <row r="8099">
      <c r="A8099" s="83" t="s">
        <v>6764</v>
      </c>
      <c r="B8099" s="83" t="s">
        <v>6765</v>
      </c>
      <c r="C8099" s="81" t="s">
        <v>4082</v>
      </c>
      <c r="D8099" s="81" t="s">
        <v>224</v>
      </c>
      <c r="E8099" s="81" t="s">
        <v>6673</v>
      </c>
      <c r="F8099" s="81" t="s">
        <v>224</v>
      </c>
      <c r="G8099" s="81" t="s">
        <v>42</v>
      </c>
      <c r="H8099" s="81" t="s">
        <v>224</v>
      </c>
      <c r="I8099" s="81" t="s">
        <v>224</v>
      </c>
      <c r="J8099" s="81" t="s">
        <v>6653</v>
      </c>
    </row>
    <row r="8100">
      <c r="A8100" s="83" t="s">
        <v>6764</v>
      </c>
      <c r="B8100" s="83" t="s">
        <v>6765</v>
      </c>
      <c r="C8100" s="81" t="s">
        <v>4082</v>
      </c>
      <c r="D8100" s="81" t="s">
        <v>224</v>
      </c>
      <c r="E8100" s="81" t="s">
        <v>6674</v>
      </c>
      <c r="F8100" s="81" t="s">
        <v>224</v>
      </c>
      <c r="G8100" s="81" t="s">
        <v>42</v>
      </c>
      <c r="H8100" s="81" t="s">
        <v>224</v>
      </c>
      <c r="I8100" s="81" t="s">
        <v>224</v>
      </c>
      <c r="J8100" s="81" t="s">
        <v>6653</v>
      </c>
    </row>
    <row r="8101">
      <c r="A8101" s="83" t="s">
        <v>6764</v>
      </c>
      <c r="B8101" s="83" t="s">
        <v>6765</v>
      </c>
      <c r="C8101" s="81" t="s">
        <v>4082</v>
      </c>
      <c r="D8101" s="81" t="s">
        <v>224</v>
      </c>
      <c r="E8101" s="81" t="s">
        <v>6675</v>
      </c>
      <c r="F8101" s="81" t="s">
        <v>224</v>
      </c>
      <c r="G8101" s="81" t="s">
        <v>42</v>
      </c>
      <c r="H8101" s="81" t="s">
        <v>224</v>
      </c>
      <c r="I8101" s="81" t="s">
        <v>224</v>
      </c>
      <c r="J8101" s="81" t="s">
        <v>6653</v>
      </c>
    </row>
    <row r="8102">
      <c r="A8102" s="83" t="s">
        <v>6764</v>
      </c>
      <c r="B8102" s="83" t="s">
        <v>6765</v>
      </c>
      <c r="C8102" s="81" t="s">
        <v>4082</v>
      </c>
      <c r="D8102" s="81" t="s">
        <v>224</v>
      </c>
      <c r="E8102" s="81" t="s">
        <v>6676</v>
      </c>
      <c r="F8102" s="81" t="s">
        <v>224</v>
      </c>
      <c r="G8102" s="81" t="s">
        <v>42</v>
      </c>
      <c r="H8102" s="81" t="s">
        <v>224</v>
      </c>
      <c r="I8102" s="81" t="s">
        <v>224</v>
      </c>
      <c r="J8102" s="81" t="s">
        <v>6653</v>
      </c>
    </row>
    <row r="8103">
      <c r="A8103" s="83" t="s">
        <v>6764</v>
      </c>
      <c r="B8103" s="83" t="s">
        <v>6765</v>
      </c>
      <c r="C8103" s="81" t="s">
        <v>4082</v>
      </c>
      <c r="D8103" s="81" t="s">
        <v>224</v>
      </c>
      <c r="E8103" s="81" t="s">
        <v>6677</v>
      </c>
      <c r="F8103" s="81" t="s">
        <v>224</v>
      </c>
      <c r="G8103" s="81" t="s">
        <v>42</v>
      </c>
      <c r="H8103" s="81" t="s">
        <v>224</v>
      </c>
      <c r="I8103" s="81" t="s">
        <v>224</v>
      </c>
      <c r="J8103" s="81" t="s">
        <v>6653</v>
      </c>
    </row>
    <row r="8104">
      <c r="A8104" s="83" t="s">
        <v>6764</v>
      </c>
      <c r="B8104" s="83" t="s">
        <v>6765</v>
      </c>
      <c r="C8104" s="81" t="s">
        <v>4082</v>
      </c>
      <c r="D8104" s="81" t="s">
        <v>224</v>
      </c>
      <c r="E8104" s="81" t="s">
        <v>6678</v>
      </c>
      <c r="F8104" s="81" t="s">
        <v>224</v>
      </c>
      <c r="G8104" s="81" t="s">
        <v>42</v>
      </c>
      <c r="H8104" s="81" t="s">
        <v>224</v>
      </c>
      <c r="I8104" s="81" t="s">
        <v>224</v>
      </c>
      <c r="J8104" s="81" t="s">
        <v>6653</v>
      </c>
    </row>
    <row r="8105">
      <c r="A8105" s="83" t="s">
        <v>6764</v>
      </c>
      <c r="B8105" s="83" t="s">
        <v>6765</v>
      </c>
      <c r="C8105" s="81" t="s">
        <v>4082</v>
      </c>
      <c r="D8105" s="81" t="s">
        <v>224</v>
      </c>
      <c r="E8105" s="81" t="s">
        <v>6679</v>
      </c>
      <c r="F8105" s="81" t="s">
        <v>224</v>
      </c>
      <c r="G8105" s="81" t="s">
        <v>42</v>
      </c>
      <c r="H8105" s="81" t="s">
        <v>224</v>
      </c>
      <c r="I8105" s="81" t="s">
        <v>224</v>
      </c>
      <c r="J8105" s="81" t="s">
        <v>6653</v>
      </c>
    </row>
    <row r="8106">
      <c r="A8106" s="83" t="s">
        <v>6764</v>
      </c>
      <c r="B8106" s="83" t="s">
        <v>6765</v>
      </c>
      <c r="C8106" s="81" t="s">
        <v>4082</v>
      </c>
      <c r="D8106" s="81" t="s">
        <v>224</v>
      </c>
      <c r="E8106" s="81" t="s">
        <v>6680</v>
      </c>
      <c r="F8106" s="81" t="s">
        <v>224</v>
      </c>
      <c r="G8106" s="81" t="s">
        <v>42</v>
      </c>
      <c r="H8106" s="81" t="s">
        <v>224</v>
      </c>
      <c r="I8106" s="81" t="s">
        <v>224</v>
      </c>
      <c r="J8106" s="81" t="s">
        <v>6653</v>
      </c>
    </row>
    <row r="8107">
      <c r="A8107" s="83" t="s">
        <v>6764</v>
      </c>
      <c r="B8107" s="83" t="s">
        <v>6765</v>
      </c>
      <c r="C8107" s="81" t="s">
        <v>4082</v>
      </c>
      <c r="D8107" s="81" t="s">
        <v>224</v>
      </c>
      <c r="E8107" s="81" t="s">
        <v>6681</v>
      </c>
      <c r="F8107" s="81" t="s">
        <v>224</v>
      </c>
      <c r="G8107" s="81" t="s">
        <v>42</v>
      </c>
      <c r="H8107" s="81" t="s">
        <v>224</v>
      </c>
      <c r="I8107" s="81" t="s">
        <v>224</v>
      </c>
      <c r="J8107" s="81" t="s">
        <v>6653</v>
      </c>
    </row>
    <row r="8108">
      <c r="A8108" s="83" t="s">
        <v>6764</v>
      </c>
      <c r="B8108" s="83" t="s">
        <v>6765</v>
      </c>
      <c r="C8108" s="81" t="s">
        <v>4082</v>
      </c>
      <c r="D8108" s="81" t="s">
        <v>224</v>
      </c>
      <c r="E8108" s="81" t="s">
        <v>6682</v>
      </c>
      <c r="F8108" s="81" t="s">
        <v>224</v>
      </c>
      <c r="G8108" s="81" t="s">
        <v>42</v>
      </c>
      <c r="H8108" s="81" t="s">
        <v>224</v>
      </c>
      <c r="I8108" s="81" t="s">
        <v>224</v>
      </c>
      <c r="J8108" s="81" t="s">
        <v>6653</v>
      </c>
    </row>
    <row r="8109">
      <c r="A8109" s="83" t="s">
        <v>6764</v>
      </c>
      <c r="B8109" s="83" t="s">
        <v>6765</v>
      </c>
      <c r="C8109" s="81" t="s">
        <v>4082</v>
      </c>
      <c r="D8109" s="81" t="s">
        <v>224</v>
      </c>
      <c r="E8109" s="81" t="s">
        <v>6683</v>
      </c>
      <c r="F8109" s="81" t="s">
        <v>224</v>
      </c>
      <c r="G8109" s="81" t="s">
        <v>42</v>
      </c>
      <c r="H8109" s="81" t="s">
        <v>224</v>
      </c>
      <c r="I8109" s="81" t="s">
        <v>224</v>
      </c>
      <c r="J8109" s="81" t="s">
        <v>6653</v>
      </c>
    </row>
    <row r="8110">
      <c r="A8110" s="83" t="s">
        <v>6764</v>
      </c>
      <c r="B8110" s="83" t="s">
        <v>6765</v>
      </c>
      <c r="C8110" s="81" t="s">
        <v>4082</v>
      </c>
      <c r="D8110" s="81" t="s">
        <v>224</v>
      </c>
      <c r="E8110" s="81" t="s">
        <v>6684</v>
      </c>
      <c r="F8110" s="81" t="s">
        <v>224</v>
      </c>
      <c r="G8110" s="81" t="s">
        <v>42</v>
      </c>
      <c r="H8110" s="81" t="s">
        <v>224</v>
      </c>
      <c r="I8110" s="81" t="s">
        <v>224</v>
      </c>
      <c r="J8110" s="81" t="s">
        <v>6653</v>
      </c>
    </row>
    <row r="8111">
      <c r="A8111" s="83" t="s">
        <v>6764</v>
      </c>
      <c r="B8111" s="83" t="s">
        <v>6765</v>
      </c>
      <c r="C8111" s="81" t="s">
        <v>4082</v>
      </c>
      <c r="D8111" s="81" t="s">
        <v>224</v>
      </c>
      <c r="E8111" s="81" t="s">
        <v>6685</v>
      </c>
      <c r="F8111" s="81" t="s">
        <v>224</v>
      </c>
      <c r="G8111" s="81" t="s">
        <v>42</v>
      </c>
      <c r="H8111" s="81" t="s">
        <v>224</v>
      </c>
      <c r="I8111" s="81" t="s">
        <v>224</v>
      </c>
      <c r="J8111" s="81" t="s">
        <v>6653</v>
      </c>
    </row>
    <row r="8112">
      <c r="A8112" s="83" t="s">
        <v>6764</v>
      </c>
      <c r="B8112" s="83" t="s">
        <v>6765</v>
      </c>
      <c r="C8112" s="81" t="s">
        <v>4082</v>
      </c>
      <c r="D8112" s="81" t="s">
        <v>224</v>
      </c>
      <c r="E8112" s="81" t="s">
        <v>6686</v>
      </c>
      <c r="F8112" s="81" t="s">
        <v>224</v>
      </c>
      <c r="G8112" s="81" t="s">
        <v>42</v>
      </c>
      <c r="H8112" s="81" t="s">
        <v>224</v>
      </c>
      <c r="I8112" s="81" t="s">
        <v>224</v>
      </c>
      <c r="J8112" s="81" t="s">
        <v>6653</v>
      </c>
    </row>
    <row r="8113">
      <c r="A8113" s="83" t="s">
        <v>6764</v>
      </c>
      <c r="B8113" s="83" t="s">
        <v>6765</v>
      </c>
      <c r="C8113" s="81" t="s">
        <v>4082</v>
      </c>
      <c r="D8113" s="81" t="s">
        <v>224</v>
      </c>
      <c r="E8113" s="81" t="s">
        <v>6687</v>
      </c>
      <c r="F8113" s="81" t="s">
        <v>224</v>
      </c>
      <c r="G8113" s="81" t="s">
        <v>42</v>
      </c>
      <c r="H8113" s="81" t="s">
        <v>224</v>
      </c>
      <c r="I8113" s="81" t="s">
        <v>224</v>
      </c>
      <c r="J8113" s="81" t="s">
        <v>6653</v>
      </c>
    </row>
    <row r="8114">
      <c r="A8114" s="83" t="s">
        <v>6764</v>
      </c>
      <c r="B8114" s="83" t="s">
        <v>6765</v>
      </c>
      <c r="C8114" s="81" t="s">
        <v>4082</v>
      </c>
      <c r="D8114" s="81" t="s">
        <v>224</v>
      </c>
      <c r="E8114" s="81" t="s">
        <v>6688</v>
      </c>
      <c r="F8114" s="81" t="s">
        <v>224</v>
      </c>
      <c r="G8114" s="81" t="s">
        <v>42</v>
      </c>
      <c r="H8114" s="81" t="s">
        <v>224</v>
      </c>
      <c r="I8114" s="81" t="s">
        <v>224</v>
      </c>
      <c r="J8114" s="81" t="s">
        <v>6653</v>
      </c>
    </row>
    <row r="8115">
      <c r="A8115" s="83" t="s">
        <v>6764</v>
      </c>
      <c r="B8115" s="83" t="s">
        <v>6765</v>
      </c>
      <c r="C8115" s="81" t="s">
        <v>4082</v>
      </c>
      <c r="D8115" s="81" t="s">
        <v>224</v>
      </c>
      <c r="E8115" s="81" t="s">
        <v>6689</v>
      </c>
      <c r="F8115" s="81" t="s">
        <v>224</v>
      </c>
      <c r="G8115" s="81" t="s">
        <v>42</v>
      </c>
      <c r="H8115" s="81" t="s">
        <v>224</v>
      </c>
      <c r="I8115" s="81" t="s">
        <v>224</v>
      </c>
      <c r="J8115" s="81" t="s">
        <v>6653</v>
      </c>
    </row>
    <row r="8116">
      <c r="A8116" s="83" t="s">
        <v>6764</v>
      </c>
      <c r="B8116" s="83" t="s">
        <v>6765</v>
      </c>
      <c r="C8116" s="81" t="s">
        <v>4082</v>
      </c>
      <c r="D8116" s="81" t="s">
        <v>224</v>
      </c>
      <c r="E8116" s="81" t="s">
        <v>6690</v>
      </c>
      <c r="F8116" s="81" t="s">
        <v>224</v>
      </c>
      <c r="G8116" s="81" t="s">
        <v>42</v>
      </c>
      <c r="H8116" s="81" t="s">
        <v>224</v>
      </c>
      <c r="I8116" s="81" t="s">
        <v>224</v>
      </c>
      <c r="J8116" s="81" t="s">
        <v>6653</v>
      </c>
    </row>
    <row r="8117">
      <c r="A8117" s="83" t="s">
        <v>6764</v>
      </c>
      <c r="B8117" s="83" t="s">
        <v>6765</v>
      </c>
      <c r="C8117" s="81" t="s">
        <v>4082</v>
      </c>
      <c r="D8117" s="81" t="s">
        <v>224</v>
      </c>
      <c r="E8117" s="81" t="s">
        <v>6691</v>
      </c>
      <c r="F8117" s="81" t="s">
        <v>224</v>
      </c>
      <c r="G8117" s="81" t="s">
        <v>42</v>
      </c>
      <c r="H8117" s="81" t="s">
        <v>224</v>
      </c>
      <c r="I8117" s="81" t="s">
        <v>224</v>
      </c>
      <c r="J8117" s="81" t="s">
        <v>6653</v>
      </c>
    </row>
    <row r="8118">
      <c r="A8118" s="83" t="s">
        <v>6764</v>
      </c>
      <c r="B8118" s="83" t="s">
        <v>6765</v>
      </c>
      <c r="C8118" s="81" t="s">
        <v>4082</v>
      </c>
      <c r="D8118" s="81" t="s">
        <v>224</v>
      </c>
      <c r="E8118" s="81" t="s">
        <v>6692</v>
      </c>
      <c r="F8118" s="81" t="s">
        <v>224</v>
      </c>
      <c r="G8118" s="81" t="s">
        <v>42</v>
      </c>
      <c r="H8118" s="81" t="s">
        <v>224</v>
      </c>
      <c r="I8118" s="81" t="s">
        <v>224</v>
      </c>
      <c r="J8118" s="81" t="s">
        <v>6653</v>
      </c>
    </row>
    <row r="8119">
      <c r="A8119" s="83" t="s">
        <v>6764</v>
      </c>
      <c r="B8119" s="83" t="s">
        <v>6765</v>
      </c>
      <c r="C8119" s="81" t="s">
        <v>4082</v>
      </c>
      <c r="D8119" s="81" t="s">
        <v>224</v>
      </c>
      <c r="E8119" s="81" t="s">
        <v>6702</v>
      </c>
      <c r="F8119" s="81" t="s">
        <v>224</v>
      </c>
      <c r="G8119" s="81" t="s">
        <v>42</v>
      </c>
      <c r="H8119" s="81" t="s">
        <v>224</v>
      </c>
      <c r="I8119" s="81" t="s">
        <v>224</v>
      </c>
      <c r="J8119" s="81" t="s">
        <v>6653</v>
      </c>
    </row>
    <row r="8120">
      <c r="A8120" s="83" t="s">
        <v>6764</v>
      </c>
      <c r="B8120" s="83" t="s">
        <v>6765</v>
      </c>
      <c r="C8120" s="81" t="s">
        <v>4082</v>
      </c>
      <c r="D8120" s="81" t="s">
        <v>224</v>
      </c>
      <c r="E8120" s="81" t="s">
        <v>6703</v>
      </c>
      <c r="F8120" s="81" t="s">
        <v>224</v>
      </c>
      <c r="G8120" s="81" t="s">
        <v>42</v>
      </c>
      <c r="H8120" s="81" t="s">
        <v>224</v>
      </c>
      <c r="I8120" s="81" t="s">
        <v>224</v>
      </c>
      <c r="J8120" s="81" t="s">
        <v>6653</v>
      </c>
    </row>
    <row r="8121">
      <c r="A8121" s="83" t="s">
        <v>6764</v>
      </c>
      <c r="B8121" s="83" t="s">
        <v>6765</v>
      </c>
      <c r="C8121" s="81" t="s">
        <v>4082</v>
      </c>
      <c r="D8121" s="81" t="s">
        <v>224</v>
      </c>
      <c r="E8121" s="81" t="s">
        <v>6704</v>
      </c>
      <c r="F8121" s="81" t="s">
        <v>224</v>
      </c>
      <c r="G8121" s="81" t="s">
        <v>42</v>
      </c>
      <c r="H8121" s="81" t="s">
        <v>224</v>
      </c>
      <c r="I8121" s="81" t="s">
        <v>224</v>
      </c>
      <c r="J8121" s="81" t="s">
        <v>6653</v>
      </c>
    </row>
    <row r="8122">
      <c r="A8122" s="83" t="s">
        <v>6764</v>
      </c>
      <c r="B8122" s="83" t="s">
        <v>6765</v>
      </c>
      <c r="C8122" s="81" t="s">
        <v>4082</v>
      </c>
      <c r="D8122" s="81" t="s">
        <v>224</v>
      </c>
      <c r="E8122" s="81" t="s">
        <v>6705</v>
      </c>
      <c r="F8122" s="81" t="s">
        <v>224</v>
      </c>
      <c r="G8122" s="81" t="s">
        <v>42</v>
      </c>
      <c r="H8122" s="81" t="s">
        <v>224</v>
      </c>
      <c r="I8122" s="81" t="s">
        <v>224</v>
      </c>
      <c r="J8122" s="81" t="s">
        <v>6653</v>
      </c>
    </row>
    <row r="8123">
      <c r="A8123" s="83" t="s">
        <v>6764</v>
      </c>
      <c r="B8123" s="83" t="s">
        <v>6765</v>
      </c>
      <c r="C8123" s="81" t="s">
        <v>4082</v>
      </c>
      <c r="D8123" s="81" t="s">
        <v>224</v>
      </c>
      <c r="E8123" s="81" t="s">
        <v>6706</v>
      </c>
      <c r="F8123" s="81" t="s">
        <v>224</v>
      </c>
      <c r="G8123" s="81" t="s">
        <v>42</v>
      </c>
      <c r="H8123" s="81" t="s">
        <v>224</v>
      </c>
      <c r="I8123" s="81" t="s">
        <v>224</v>
      </c>
      <c r="J8123" s="81" t="s">
        <v>6653</v>
      </c>
    </row>
    <row r="8124">
      <c r="A8124" s="83" t="s">
        <v>6764</v>
      </c>
      <c r="B8124" s="83" t="s">
        <v>6765</v>
      </c>
      <c r="C8124" s="81" t="s">
        <v>4082</v>
      </c>
      <c r="D8124" s="81" t="s">
        <v>224</v>
      </c>
      <c r="E8124" s="81" t="s">
        <v>6707</v>
      </c>
      <c r="F8124" s="81" t="s">
        <v>224</v>
      </c>
      <c r="G8124" s="81" t="s">
        <v>42</v>
      </c>
      <c r="H8124" s="81" t="s">
        <v>224</v>
      </c>
      <c r="I8124" s="81" t="s">
        <v>224</v>
      </c>
      <c r="J8124" s="81" t="s">
        <v>6653</v>
      </c>
    </row>
    <row r="8125">
      <c r="A8125" s="83" t="s">
        <v>6764</v>
      </c>
      <c r="B8125" s="83" t="s">
        <v>6765</v>
      </c>
      <c r="C8125" s="81" t="s">
        <v>4082</v>
      </c>
      <c r="D8125" s="81" t="s">
        <v>224</v>
      </c>
      <c r="E8125" s="81" t="s">
        <v>6708</v>
      </c>
      <c r="F8125" s="81" t="s">
        <v>224</v>
      </c>
      <c r="G8125" s="81" t="s">
        <v>42</v>
      </c>
      <c r="H8125" s="81" t="s">
        <v>224</v>
      </c>
      <c r="I8125" s="81" t="s">
        <v>224</v>
      </c>
      <c r="J8125" s="81" t="s">
        <v>6653</v>
      </c>
    </row>
    <row r="8126">
      <c r="A8126" s="83" t="s">
        <v>6764</v>
      </c>
      <c r="B8126" s="83" t="s">
        <v>6765</v>
      </c>
      <c r="C8126" s="81" t="s">
        <v>4082</v>
      </c>
      <c r="D8126" s="81" t="s">
        <v>224</v>
      </c>
      <c r="E8126" s="81" t="s">
        <v>6709</v>
      </c>
      <c r="F8126" s="81" t="s">
        <v>224</v>
      </c>
      <c r="G8126" s="81" t="s">
        <v>42</v>
      </c>
      <c r="H8126" s="81" t="s">
        <v>224</v>
      </c>
      <c r="I8126" s="81" t="s">
        <v>224</v>
      </c>
      <c r="J8126" s="81" t="s">
        <v>6653</v>
      </c>
    </row>
    <row r="8127">
      <c r="A8127" s="83" t="s">
        <v>6764</v>
      </c>
      <c r="B8127" s="83" t="s">
        <v>6765</v>
      </c>
      <c r="C8127" s="81" t="s">
        <v>4082</v>
      </c>
      <c r="D8127" s="81" t="s">
        <v>224</v>
      </c>
      <c r="E8127" s="81" t="s">
        <v>6710</v>
      </c>
      <c r="F8127" s="81" t="s">
        <v>224</v>
      </c>
      <c r="G8127" s="81" t="s">
        <v>42</v>
      </c>
      <c r="H8127" s="81" t="s">
        <v>224</v>
      </c>
      <c r="I8127" s="81" t="s">
        <v>224</v>
      </c>
      <c r="J8127" s="81" t="s">
        <v>6653</v>
      </c>
    </row>
    <row r="8128">
      <c r="A8128" s="83" t="s">
        <v>6764</v>
      </c>
      <c r="B8128" s="83" t="s">
        <v>6765</v>
      </c>
      <c r="C8128" s="81" t="s">
        <v>4082</v>
      </c>
      <c r="D8128" s="81" t="s">
        <v>224</v>
      </c>
      <c r="E8128" s="81" t="s">
        <v>6711</v>
      </c>
      <c r="F8128" s="81" t="s">
        <v>224</v>
      </c>
      <c r="G8128" s="81" t="s">
        <v>42</v>
      </c>
      <c r="H8128" s="81" t="s">
        <v>224</v>
      </c>
      <c r="I8128" s="81" t="s">
        <v>224</v>
      </c>
      <c r="J8128" s="81" t="s">
        <v>6653</v>
      </c>
    </row>
    <row r="8129">
      <c r="A8129" s="83" t="s">
        <v>6764</v>
      </c>
      <c r="B8129" s="83" t="s">
        <v>6765</v>
      </c>
      <c r="C8129" s="81" t="s">
        <v>4082</v>
      </c>
      <c r="D8129" s="81" t="s">
        <v>224</v>
      </c>
      <c r="E8129" s="81" t="s">
        <v>6712</v>
      </c>
      <c r="F8129" s="81" t="s">
        <v>224</v>
      </c>
      <c r="G8129" s="81" t="s">
        <v>42</v>
      </c>
      <c r="H8129" s="81" t="s">
        <v>224</v>
      </c>
      <c r="I8129" s="81" t="s">
        <v>224</v>
      </c>
      <c r="J8129" s="81" t="s">
        <v>6653</v>
      </c>
    </row>
    <row r="8130">
      <c r="A8130" s="83" t="s">
        <v>6764</v>
      </c>
      <c r="B8130" s="83" t="s">
        <v>6765</v>
      </c>
      <c r="C8130" s="81" t="s">
        <v>4082</v>
      </c>
      <c r="D8130" s="81" t="s">
        <v>224</v>
      </c>
      <c r="E8130" s="81" t="s">
        <v>2558</v>
      </c>
      <c r="F8130" s="81" t="s">
        <v>224</v>
      </c>
      <c r="G8130" s="81" t="s">
        <v>42</v>
      </c>
      <c r="H8130" s="81" t="s">
        <v>224</v>
      </c>
      <c r="I8130" s="81" t="s">
        <v>224</v>
      </c>
      <c r="J8130" s="81" t="s">
        <v>6653</v>
      </c>
    </row>
    <row r="8131">
      <c r="A8131" s="83" t="s">
        <v>6764</v>
      </c>
      <c r="B8131" s="83" t="s">
        <v>6765</v>
      </c>
      <c r="C8131" s="81" t="s">
        <v>4082</v>
      </c>
      <c r="D8131" s="81" t="s">
        <v>224</v>
      </c>
      <c r="E8131" s="81" t="s">
        <v>6713</v>
      </c>
      <c r="F8131" s="81" t="s">
        <v>224</v>
      </c>
      <c r="G8131" s="81" t="s">
        <v>42</v>
      </c>
      <c r="H8131" s="81" t="s">
        <v>224</v>
      </c>
      <c r="I8131" s="81" t="s">
        <v>224</v>
      </c>
      <c r="J8131" s="81" t="s">
        <v>6653</v>
      </c>
    </row>
    <row r="8132">
      <c r="A8132" s="83" t="s">
        <v>6764</v>
      </c>
      <c r="B8132" s="83" t="s">
        <v>6765</v>
      </c>
      <c r="C8132" s="81" t="s">
        <v>4082</v>
      </c>
      <c r="D8132" s="81" t="s">
        <v>224</v>
      </c>
      <c r="E8132" s="81" t="s">
        <v>6362</v>
      </c>
      <c r="F8132" s="81" t="s">
        <v>224</v>
      </c>
      <c r="G8132" s="81" t="s">
        <v>42</v>
      </c>
      <c r="H8132" s="81" t="s">
        <v>224</v>
      </c>
      <c r="I8132" s="81" t="s">
        <v>224</v>
      </c>
      <c r="J8132" s="81" t="s">
        <v>6653</v>
      </c>
    </row>
    <row r="8133">
      <c r="A8133" s="83" t="s">
        <v>6764</v>
      </c>
      <c r="B8133" s="83" t="s">
        <v>6765</v>
      </c>
      <c r="C8133" s="81" t="s">
        <v>4084</v>
      </c>
      <c r="D8133" s="81" t="s">
        <v>224</v>
      </c>
      <c r="E8133" s="81" t="s">
        <v>224</v>
      </c>
      <c r="F8133" s="81" t="s">
        <v>224</v>
      </c>
      <c r="G8133" s="81" t="s">
        <v>224</v>
      </c>
      <c r="H8133" s="81" t="s">
        <v>224</v>
      </c>
      <c r="I8133" s="81" t="s">
        <v>224</v>
      </c>
      <c r="J8133" s="81" t="s">
        <v>6767</v>
      </c>
    </row>
    <row r="8134">
      <c r="A8134" s="83" t="s">
        <v>6764</v>
      </c>
      <c r="B8134" s="83" t="s">
        <v>6765</v>
      </c>
      <c r="C8134" s="81" t="s">
        <v>4082</v>
      </c>
      <c r="D8134" s="81" t="s">
        <v>224</v>
      </c>
      <c r="E8134" s="81" t="s">
        <v>6768</v>
      </c>
      <c r="F8134" s="81" t="s">
        <v>224</v>
      </c>
      <c r="G8134" s="81" t="s">
        <v>224</v>
      </c>
      <c r="H8134" s="81" t="s">
        <v>224</v>
      </c>
      <c r="I8134" s="81" t="s">
        <v>224</v>
      </c>
      <c r="J8134" s="81" t="s">
        <v>6769</v>
      </c>
    </row>
    <row r="8135">
      <c r="A8135" s="83" t="s">
        <v>6764</v>
      </c>
      <c r="B8135" s="83" t="s">
        <v>6765</v>
      </c>
      <c r="C8135" s="81" t="s">
        <v>4082</v>
      </c>
      <c r="D8135" s="81" t="s">
        <v>224</v>
      </c>
      <c r="E8135" s="81" t="s">
        <v>6770</v>
      </c>
      <c r="F8135" s="81" t="s">
        <v>224</v>
      </c>
      <c r="G8135" s="81" t="s">
        <v>224</v>
      </c>
      <c r="H8135" s="81" t="s">
        <v>224</v>
      </c>
      <c r="I8135" s="81" t="s">
        <v>224</v>
      </c>
      <c r="J8135" s="81" t="s">
        <v>6771</v>
      </c>
    </row>
    <row r="8136">
      <c r="A8136" s="83" t="s">
        <v>6764</v>
      </c>
      <c r="B8136" s="83" t="s">
        <v>6765</v>
      </c>
      <c r="C8136" s="81" t="s">
        <v>4082</v>
      </c>
      <c r="D8136" s="81" t="s">
        <v>224</v>
      </c>
      <c r="E8136" s="81" t="s">
        <v>6637</v>
      </c>
      <c r="F8136" s="81" t="s">
        <v>224</v>
      </c>
      <c r="G8136" s="81" t="s">
        <v>224</v>
      </c>
      <c r="H8136" s="81" t="s">
        <v>224</v>
      </c>
      <c r="I8136" s="81" t="s">
        <v>224</v>
      </c>
      <c r="J8136" s="81" t="s">
        <v>6638</v>
      </c>
    </row>
    <row r="8137">
      <c r="A8137" s="83" t="s">
        <v>6764</v>
      </c>
      <c r="B8137" s="83" t="s">
        <v>6765</v>
      </c>
      <c r="C8137" s="81" t="s">
        <v>4082</v>
      </c>
      <c r="D8137" s="81" t="s">
        <v>224</v>
      </c>
      <c r="E8137" s="81" t="s">
        <v>6639</v>
      </c>
      <c r="F8137" s="81" t="s">
        <v>224</v>
      </c>
      <c r="G8137" s="81" t="s">
        <v>224</v>
      </c>
      <c r="H8137" s="81" t="s">
        <v>224</v>
      </c>
      <c r="I8137" s="81" t="s">
        <v>224</v>
      </c>
      <c r="J8137" s="81" t="s">
        <v>6638</v>
      </c>
    </row>
    <row r="8138">
      <c r="A8138" s="83" t="s">
        <v>6764</v>
      </c>
      <c r="B8138" s="83" t="s">
        <v>6765</v>
      </c>
      <c r="C8138" s="81" t="s">
        <v>4082</v>
      </c>
      <c r="D8138" s="81" t="s">
        <v>224</v>
      </c>
      <c r="E8138" s="81" t="s">
        <v>6733</v>
      </c>
      <c r="F8138" s="81" t="s">
        <v>224</v>
      </c>
      <c r="G8138" s="81" t="s">
        <v>224</v>
      </c>
      <c r="H8138" s="81" t="s">
        <v>224</v>
      </c>
      <c r="I8138" s="81" t="s">
        <v>224</v>
      </c>
      <c r="J8138" s="81" t="s">
        <v>6734</v>
      </c>
    </row>
    <row r="8139">
      <c r="A8139" s="83" t="s">
        <v>6764</v>
      </c>
      <c r="B8139" s="83" t="s">
        <v>6765</v>
      </c>
      <c r="C8139" s="81" t="s">
        <v>4082</v>
      </c>
      <c r="D8139" s="81" t="s">
        <v>224</v>
      </c>
      <c r="E8139" s="81" t="s">
        <v>6735</v>
      </c>
      <c r="F8139" s="81" t="s">
        <v>224</v>
      </c>
      <c r="G8139" s="81" t="s">
        <v>224</v>
      </c>
      <c r="H8139" s="81" t="s">
        <v>224</v>
      </c>
      <c r="I8139" s="81" t="s">
        <v>224</v>
      </c>
      <c r="J8139" s="81" t="s">
        <v>6734</v>
      </c>
    </row>
    <row r="8140">
      <c r="A8140" s="83" t="s">
        <v>6764</v>
      </c>
      <c r="B8140" s="83" t="s">
        <v>6765</v>
      </c>
      <c r="C8140" s="81" t="s">
        <v>4082</v>
      </c>
      <c r="D8140" s="81" t="s">
        <v>224</v>
      </c>
      <c r="E8140" s="81" t="s">
        <v>6458</v>
      </c>
      <c r="F8140" s="81" t="s">
        <v>224</v>
      </c>
      <c r="G8140" s="81" t="s">
        <v>224</v>
      </c>
      <c r="H8140" s="81" t="s">
        <v>224</v>
      </c>
      <c r="I8140" s="81" t="s">
        <v>224</v>
      </c>
      <c r="J8140" s="81" t="s">
        <v>6459</v>
      </c>
    </row>
    <row r="8141">
      <c r="A8141" s="83" t="s">
        <v>6764</v>
      </c>
      <c r="B8141" s="83" t="s">
        <v>6765</v>
      </c>
      <c r="C8141" s="81" t="s">
        <v>4082</v>
      </c>
      <c r="D8141" s="81" t="s">
        <v>224</v>
      </c>
      <c r="E8141" s="81" t="s">
        <v>6736</v>
      </c>
      <c r="F8141" s="81" t="s">
        <v>224</v>
      </c>
      <c r="G8141" s="81" t="s">
        <v>224</v>
      </c>
      <c r="H8141" s="81" t="s">
        <v>224</v>
      </c>
      <c r="I8141" s="81" t="s">
        <v>224</v>
      </c>
      <c r="J8141" s="81" t="s">
        <v>6734</v>
      </c>
    </row>
    <row r="8142">
      <c r="A8142" s="83" t="s">
        <v>6764</v>
      </c>
      <c r="B8142" s="83" t="s">
        <v>6765</v>
      </c>
      <c r="C8142" s="81" t="s">
        <v>4082</v>
      </c>
      <c r="D8142" s="81" t="s">
        <v>224</v>
      </c>
      <c r="E8142" s="81" t="s">
        <v>6460</v>
      </c>
      <c r="F8142" s="81" t="s">
        <v>224</v>
      </c>
      <c r="G8142" s="81" t="s">
        <v>224</v>
      </c>
      <c r="H8142" s="81" t="s">
        <v>224</v>
      </c>
      <c r="I8142" s="81" t="s">
        <v>224</v>
      </c>
      <c r="J8142" s="81" t="s">
        <v>6461</v>
      </c>
    </row>
    <row r="8143">
      <c r="A8143" s="83" t="s">
        <v>6764</v>
      </c>
      <c r="B8143" s="83" t="s">
        <v>6765</v>
      </c>
      <c r="C8143" s="81" t="s">
        <v>4082</v>
      </c>
      <c r="D8143" s="81" t="s">
        <v>224</v>
      </c>
      <c r="E8143" s="81" t="s">
        <v>6462</v>
      </c>
      <c r="F8143" s="81" t="s">
        <v>224</v>
      </c>
      <c r="G8143" s="81" t="s">
        <v>224</v>
      </c>
      <c r="H8143" s="81" t="s">
        <v>224</v>
      </c>
      <c r="I8143" s="81" t="s">
        <v>224</v>
      </c>
      <c r="J8143" s="81" t="s">
        <v>6463</v>
      </c>
    </row>
    <row r="8144">
      <c r="A8144" s="83" t="s">
        <v>6764</v>
      </c>
      <c r="B8144" s="83" t="s">
        <v>6765</v>
      </c>
      <c r="C8144" s="81" t="s">
        <v>4082</v>
      </c>
      <c r="D8144" s="81" t="s">
        <v>224</v>
      </c>
      <c r="E8144" s="81" t="s">
        <v>6737</v>
      </c>
      <c r="F8144" s="81" t="s">
        <v>224</v>
      </c>
      <c r="G8144" s="81" t="s">
        <v>224</v>
      </c>
      <c r="H8144" s="81" t="s">
        <v>224</v>
      </c>
      <c r="I8144" s="81" t="s">
        <v>224</v>
      </c>
      <c r="J8144" s="81" t="s">
        <v>6734</v>
      </c>
    </row>
    <row r="8145">
      <c r="A8145" s="83" t="s">
        <v>6764</v>
      </c>
      <c r="B8145" s="83" t="s">
        <v>6765</v>
      </c>
      <c r="C8145" s="81" t="s">
        <v>4082</v>
      </c>
      <c r="D8145" s="81" t="s">
        <v>224</v>
      </c>
      <c r="E8145" s="81" t="s">
        <v>6464</v>
      </c>
      <c r="F8145" s="81" t="s">
        <v>224</v>
      </c>
      <c r="G8145" s="81" t="s">
        <v>224</v>
      </c>
      <c r="H8145" s="81" t="s">
        <v>224</v>
      </c>
      <c r="I8145" s="81" t="s">
        <v>224</v>
      </c>
      <c r="J8145" s="81" t="s">
        <v>6465</v>
      </c>
    </row>
    <row r="8146">
      <c r="A8146" s="83" t="s">
        <v>6764</v>
      </c>
      <c r="B8146" s="83" t="s">
        <v>6765</v>
      </c>
      <c r="C8146" s="81" t="s">
        <v>4082</v>
      </c>
      <c r="D8146" s="81" t="s">
        <v>224</v>
      </c>
      <c r="E8146" s="81" t="s">
        <v>6466</v>
      </c>
      <c r="F8146" s="81" t="s">
        <v>224</v>
      </c>
      <c r="G8146" s="81" t="s">
        <v>224</v>
      </c>
      <c r="H8146" s="81" t="s">
        <v>224</v>
      </c>
      <c r="I8146" s="81" t="s">
        <v>224</v>
      </c>
      <c r="J8146" s="81" t="s">
        <v>6467</v>
      </c>
    </row>
    <row r="8147">
      <c r="A8147" s="83" t="s">
        <v>6764</v>
      </c>
      <c r="B8147" s="83" t="s">
        <v>6765</v>
      </c>
      <c r="C8147" s="81" t="s">
        <v>4082</v>
      </c>
      <c r="D8147" s="81" t="s">
        <v>224</v>
      </c>
      <c r="E8147" s="81" t="s">
        <v>6468</v>
      </c>
      <c r="F8147" s="81" t="s">
        <v>224</v>
      </c>
      <c r="G8147" s="81" t="s">
        <v>224</v>
      </c>
      <c r="H8147" s="81" t="s">
        <v>224</v>
      </c>
      <c r="I8147" s="81" t="s">
        <v>224</v>
      </c>
      <c r="J8147" s="81" t="s">
        <v>6469</v>
      </c>
    </row>
    <row r="8148">
      <c r="A8148" s="83" t="s">
        <v>6764</v>
      </c>
      <c r="B8148" s="83" t="s">
        <v>6765</v>
      </c>
      <c r="C8148" s="81" t="s">
        <v>4082</v>
      </c>
      <c r="D8148" s="81" t="s">
        <v>224</v>
      </c>
      <c r="E8148" s="81" t="s">
        <v>6470</v>
      </c>
      <c r="F8148" s="81" t="s">
        <v>224</v>
      </c>
      <c r="G8148" s="81" t="s">
        <v>224</v>
      </c>
      <c r="H8148" s="81" t="s">
        <v>224</v>
      </c>
      <c r="I8148" s="81" t="s">
        <v>224</v>
      </c>
      <c r="J8148" s="81" t="s">
        <v>6471</v>
      </c>
    </row>
    <row r="8149">
      <c r="A8149" s="83" t="s">
        <v>6764</v>
      </c>
      <c r="B8149" s="83" t="s">
        <v>6765</v>
      </c>
      <c r="C8149" s="81" t="s">
        <v>4082</v>
      </c>
      <c r="D8149" s="81" t="s">
        <v>224</v>
      </c>
      <c r="E8149" s="81" t="s">
        <v>6472</v>
      </c>
      <c r="F8149" s="81" t="s">
        <v>224</v>
      </c>
      <c r="G8149" s="81" t="s">
        <v>224</v>
      </c>
      <c r="H8149" s="81" t="s">
        <v>224</v>
      </c>
      <c r="I8149" s="81" t="s">
        <v>224</v>
      </c>
      <c r="J8149" s="81" t="s">
        <v>6473</v>
      </c>
    </row>
    <row r="8150">
      <c r="A8150" s="83" t="s">
        <v>6764</v>
      </c>
      <c r="B8150" s="83" t="s">
        <v>6765</v>
      </c>
      <c r="C8150" s="81" t="s">
        <v>4082</v>
      </c>
      <c r="D8150" s="81" t="s">
        <v>224</v>
      </c>
      <c r="E8150" s="81" t="s">
        <v>6474</v>
      </c>
      <c r="F8150" s="81" t="s">
        <v>224</v>
      </c>
      <c r="G8150" s="81" t="s">
        <v>224</v>
      </c>
      <c r="H8150" s="81" t="s">
        <v>224</v>
      </c>
      <c r="I8150" s="81" t="s">
        <v>224</v>
      </c>
      <c r="J8150" s="81" t="s">
        <v>6475</v>
      </c>
    </row>
    <row r="8151">
      <c r="A8151" s="83" t="s">
        <v>6764</v>
      </c>
      <c r="B8151" s="83" t="s">
        <v>6765</v>
      </c>
      <c r="C8151" s="81" t="s">
        <v>4082</v>
      </c>
      <c r="D8151" s="81" t="s">
        <v>224</v>
      </c>
      <c r="E8151" s="81" t="s">
        <v>6476</v>
      </c>
      <c r="F8151" s="81" t="s">
        <v>224</v>
      </c>
      <c r="G8151" s="81" t="s">
        <v>224</v>
      </c>
      <c r="H8151" s="81" t="s">
        <v>224</v>
      </c>
      <c r="I8151" s="81" t="s">
        <v>224</v>
      </c>
      <c r="J8151" s="81" t="s">
        <v>6477</v>
      </c>
    </row>
    <row r="8152">
      <c r="A8152" s="83" t="s">
        <v>6764</v>
      </c>
      <c r="B8152" s="83" t="s">
        <v>6765</v>
      </c>
      <c r="C8152" s="81" t="s">
        <v>4082</v>
      </c>
      <c r="D8152" s="81" t="s">
        <v>224</v>
      </c>
      <c r="E8152" s="81" t="s">
        <v>6478</v>
      </c>
      <c r="F8152" s="81" t="s">
        <v>224</v>
      </c>
      <c r="G8152" s="81" t="s">
        <v>224</v>
      </c>
      <c r="H8152" s="81" t="s">
        <v>224</v>
      </c>
      <c r="I8152" s="81" t="s">
        <v>224</v>
      </c>
      <c r="J8152" s="81" t="s">
        <v>6479</v>
      </c>
    </row>
    <row r="8153">
      <c r="A8153" s="83" t="s">
        <v>6764</v>
      </c>
      <c r="B8153" s="83" t="s">
        <v>6765</v>
      </c>
      <c r="C8153" s="81" t="s">
        <v>4082</v>
      </c>
      <c r="D8153" s="81" t="s">
        <v>224</v>
      </c>
      <c r="E8153" s="81" t="s">
        <v>6480</v>
      </c>
      <c r="F8153" s="81" t="s">
        <v>224</v>
      </c>
      <c r="G8153" s="81" t="s">
        <v>224</v>
      </c>
      <c r="H8153" s="81" t="s">
        <v>224</v>
      </c>
      <c r="I8153" s="81" t="s">
        <v>224</v>
      </c>
      <c r="J8153" s="81" t="s">
        <v>6481</v>
      </c>
    </row>
    <row r="8154">
      <c r="A8154" s="83" t="s">
        <v>6764</v>
      </c>
      <c r="B8154" s="83" t="s">
        <v>6765</v>
      </c>
      <c r="C8154" s="81" t="s">
        <v>4082</v>
      </c>
      <c r="D8154" s="81" t="s">
        <v>224</v>
      </c>
      <c r="E8154" s="81" t="s">
        <v>6482</v>
      </c>
      <c r="F8154" s="81" t="s">
        <v>224</v>
      </c>
      <c r="G8154" s="81" t="s">
        <v>224</v>
      </c>
      <c r="H8154" s="81" t="s">
        <v>224</v>
      </c>
      <c r="I8154" s="81" t="s">
        <v>224</v>
      </c>
      <c r="J8154" s="81" t="s">
        <v>6483</v>
      </c>
    </row>
    <row r="8155">
      <c r="A8155" s="83" t="s">
        <v>6764</v>
      </c>
      <c r="B8155" s="83" t="s">
        <v>6765</v>
      </c>
      <c r="C8155" s="81" t="s">
        <v>4082</v>
      </c>
      <c r="D8155" s="81" t="s">
        <v>224</v>
      </c>
      <c r="E8155" s="81" t="s">
        <v>6484</v>
      </c>
      <c r="F8155" s="81" t="s">
        <v>224</v>
      </c>
      <c r="G8155" s="81" t="s">
        <v>224</v>
      </c>
      <c r="H8155" s="81" t="s">
        <v>224</v>
      </c>
      <c r="I8155" s="81" t="s">
        <v>224</v>
      </c>
      <c r="J8155" s="81" t="s">
        <v>6485</v>
      </c>
    </row>
    <row r="8156">
      <c r="A8156" s="83" t="s">
        <v>6764</v>
      </c>
      <c r="B8156" s="83" t="s">
        <v>6765</v>
      </c>
      <c r="C8156" s="81" t="s">
        <v>4082</v>
      </c>
      <c r="D8156" s="81" t="s">
        <v>224</v>
      </c>
      <c r="E8156" s="81" t="s">
        <v>6486</v>
      </c>
      <c r="F8156" s="81" t="s">
        <v>224</v>
      </c>
      <c r="G8156" s="81" t="s">
        <v>224</v>
      </c>
      <c r="H8156" s="81" t="s">
        <v>224</v>
      </c>
      <c r="I8156" s="81" t="s">
        <v>224</v>
      </c>
      <c r="J8156" s="81" t="s">
        <v>6487</v>
      </c>
    </row>
    <row r="8157">
      <c r="A8157" s="83" t="s">
        <v>6764</v>
      </c>
      <c r="B8157" s="83" t="s">
        <v>6765</v>
      </c>
      <c r="C8157" s="81" t="s">
        <v>4082</v>
      </c>
      <c r="D8157" s="81" t="s">
        <v>224</v>
      </c>
      <c r="E8157" s="81" t="s">
        <v>6488</v>
      </c>
      <c r="F8157" s="81" t="s">
        <v>224</v>
      </c>
      <c r="G8157" s="81" t="s">
        <v>224</v>
      </c>
      <c r="H8157" s="81" t="s">
        <v>224</v>
      </c>
      <c r="I8157" s="81" t="s">
        <v>224</v>
      </c>
      <c r="J8157" s="81" t="s">
        <v>6489</v>
      </c>
    </row>
    <row r="8158">
      <c r="A8158" s="83" t="s">
        <v>6764</v>
      </c>
      <c r="B8158" s="83" t="s">
        <v>6765</v>
      </c>
      <c r="C8158" s="81" t="s">
        <v>4082</v>
      </c>
      <c r="D8158" s="81" t="s">
        <v>224</v>
      </c>
      <c r="E8158" s="81" t="s">
        <v>6490</v>
      </c>
      <c r="F8158" s="81" t="s">
        <v>224</v>
      </c>
      <c r="G8158" s="81" t="s">
        <v>224</v>
      </c>
      <c r="H8158" s="81" t="s">
        <v>224</v>
      </c>
      <c r="I8158" s="81" t="s">
        <v>224</v>
      </c>
      <c r="J8158" s="81" t="s">
        <v>6491</v>
      </c>
    </row>
    <row r="8159">
      <c r="A8159" s="83" t="s">
        <v>6764</v>
      </c>
      <c r="B8159" s="83" t="s">
        <v>6765</v>
      </c>
      <c r="C8159" s="81" t="s">
        <v>4082</v>
      </c>
      <c r="D8159" s="81" t="s">
        <v>224</v>
      </c>
      <c r="E8159" s="81" t="s">
        <v>6492</v>
      </c>
      <c r="F8159" s="81" t="s">
        <v>224</v>
      </c>
      <c r="G8159" s="81" t="s">
        <v>224</v>
      </c>
      <c r="H8159" s="81" t="s">
        <v>224</v>
      </c>
      <c r="I8159" s="81" t="s">
        <v>224</v>
      </c>
      <c r="J8159" s="81" t="s">
        <v>6493</v>
      </c>
    </row>
    <row r="8160">
      <c r="A8160" s="83" t="s">
        <v>6764</v>
      </c>
      <c r="B8160" s="83" t="s">
        <v>6765</v>
      </c>
      <c r="C8160" s="81" t="s">
        <v>4082</v>
      </c>
      <c r="D8160" s="81" t="s">
        <v>224</v>
      </c>
      <c r="E8160" s="81" t="s">
        <v>6494</v>
      </c>
      <c r="F8160" s="81" t="s">
        <v>224</v>
      </c>
      <c r="G8160" s="81" t="s">
        <v>224</v>
      </c>
      <c r="H8160" s="81" t="s">
        <v>224</v>
      </c>
      <c r="I8160" s="81" t="s">
        <v>224</v>
      </c>
      <c r="J8160" s="81" t="s">
        <v>6495</v>
      </c>
    </row>
    <row r="8161">
      <c r="A8161" s="83" t="s">
        <v>6764</v>
      </c>
      <c r="B8161" s="83" t="s">
        <v>6765</v>
      </c>
      <c r="C8161" s="81" t="s">
        <v>4082</v>
      </c>
      <c r="D8161" s="81" t="s">
        <v>224</v>
      </c>
      <c r="E8161" s="81" t="s">
        <v>6496</v>
      </c>
      <c r="F8161" s="81" t="s">
        <v>224</v>
      </c>
      <c r="G8161" s="81" t="s">
        <v>224</v>
      </c>
      <c r="H8161" s="81" t="s">
        <v>224</v>
      </c>
      <c r="I8161" s="81" t="s">
        <v>224</v>
      </c>
      <c r="J8161" s="81" t="s">
        <v>6497</v>
      </c>
    </row>
    <row r="8162">
      <c r="A8162" s="83" t="s">
        <v>6764</v>
      </c>
      <c r="B8162" s="83" t="s">
        <v>6765</v>
      </c>
      <c r="C8162" s="81" t="s">
        <v>4082</v>
      </c>
      <c r="D8162" s="81" t="s">
        <v>224</v>
      </c>
      <c r="E8162" s="81" t="s">
        <v>6498</v>
      </c>
      <c r="F8162" s="81" t="s">
        <v>224</v>
      </c>
      <c r="G8162" s="81" t="s">
        <v>224</v>
      </c>
      <c r="H8162" s="81" t="s">
        <v>224</v>
      </c>
      <c r="I8162" s="81" t="s">
        <v>224</v>
      </c>
      <c r="J8162" s="81" t="s">
        <v>6499</v>
      </c>
    </row>
    <row r="8163">
      <c r="A8163" s="83" t="s">
        <v>6764</v>
      </c>
      <c r="B8163" s="83" t="s">
        <v>6765</v>
      </c>
      <c r="C8163" s="81" t="s">
        <v>4082</v>
      </c>
      <c r="D8163" s="81" t="s">
        <v>224</v>
      </c>
      <c r="E8163" s="81" t="s">
        <v>6500</v>
      </c>
      <c r="F8163" s="81" t="s">
        <v>224</v>
      </c>
      <c r="G8163" s="81" t="s">
        <v>224</v>
      </c>
      <c r="H8163" s="81" t="s">
        <v>224</v>
      </c>
      <c r="I8163" s="81" t="s">
        <v>224</v>
      </c>
      <c r="J8163" s="81" t="s">
        <v>6501</v>
      </c>
    </row>
    <row r="8164">
      <c r="A8164" s="83" t="s">
        <v>6764</v>
      </c>
      <c r="B8164" s="83" t="s">
        <v>6765</v>
      </c>
      <c r="C8164" s="81" t="s">
        <v>4082</v>
      </c>
      <c r="D8164" s="81" t="s">
        <v>224</v>
      </c>
      <c r="E8164" s="81" t="s">
        <v>6502</v>
      </c>
      <c r="F8164" s="81" t="s">
        <v>224</v>
      </c>
      <c r="G8164" s="81" t="s">
        <v>224</v>
      </c>
      <c r="H8164" s="81" t="s">
        <v>224</v>
      </c>
      <c r="I8164" s="81" t="s">
        <v>224</v>
      </c>
      <c r="J8164" s="81" t="s">
        <v>6491</v>
      </c>
    </row>
    <row r="8165">
      <c r="A8165" s="83" t="s">
        <v>6764</v>
      </c>
      <c r="B8165" s="83" t="s">
        <v>6765</v>
      </c>
      <c r="C8165" s="81" t="s">
        <v>4082</v>
      </c>
      <c r="D8165" s="81" t="s">
        <v>224</v>
      </c>
      <c r="E8165" s="81" t="s">
        <v>6503</v>
      </c>
      <c r="F8165" s="81" t="s">
        <v>224</v>
      </c>
      <c r="G8165" s="81" t="s">
        <v>224</v>
      </c>
      <c r="H8165" s="81" t="s">
        <v>224</v>
      </c>
      <c r="I8165" s="81" t="s">
        <v>224</v>
      </c>
      <c r="J8165" s="81" t="s">
        <v>6473</v>
      </c>
    </row>
    <row r="8166">
      <c r="A8166" s="83" t="s">
        <v>6764</v>
      </c>
      <c r="B8166" s="83" t="s">
        <v>6765</v>
      </c>
      <c r="C8166" s="81" t="s">
        <v>4082</v>
      </c>
      <c r="D8166" s="81" t="s">
        <v>224</v>
      </c>
      <c r="E8166" s="81" t="s">
        <v>6504</v>
      </c>
      <c r="F8166" s="81" t="s">
        <v>224</v>
      </c>
      <c r="G8166" s="81" t="s">
        <v>224</v>
      </c>
      <c r="H8166" s="81" t="s">
        <v>224</v>
      </c>
      <c r="I8166" s="81" t="s">
        <v>224</v>
      </c>
      <c r="J8166" s="81" t="s">
        <v>6489</v>
      </c>
    </row>
    <row r="8167">
      <c r="A8167" s="83" t="s">
        <v>6764</v>
      </c>
      <c r="B8167" s="83" t="s">
        <v>6765</v>
      </c>
      <c r="C8167" s="81" t="s">
        <v>4082</v>
      </c>
      <c r="D8167" s="81" t="s">
        <v>224</v>
      </c>
      <c r="E8167" s="81" t="s">
        <v>6505</v>
      </c>
      <c r="F8167" s="81" t="s">
        <v>224</v>
      </c>
      <c r="G8167" s="81" t="s">
        <v>224</v>
      </c>
      <c r="H8167" s="81" t="s">
        <v>224</v>
      </c>
      <c r="I8167" s="81" t="s">
        <v>224</v>
      </c>
      <c r="J8167" s="81" t="s">
        <v>6469</v>
      </c>
    </row>
    <row r="8168">
      <c r="A8168" s="83" t="s">
        <v>6764</v>
      </c>
      <c r="B8168" s="83" t="s">
        <v>6765</v>
      </c>
      <c r="C8168" s="81" t="s">
        <v>4082</v>
      </c>
      <c r="D8168" s="81" t="s">
        <v>224</v>
      </c>
      <c r="E8168" s="81" t="s">
        <v>6506</v>
      </c>
      <c r="F8168" s="81" t="s">
        <v>224</v>
      </c>
      <c r="G8168" s="81" t="s">
        <v>224</v>
      </c>
      <c r="H8168" s="81" t="s">
        <v>224</v>
      </c>
      <c r="I8168" s="81" t="s">
        <v>224</v>
      </c>
      <c r="J8168" s="81" t="s">
        <v>6499</v>
      </c>
    </row>
    <row r="8169">
      <c r="A8169" s="83" t="s">
        <v>6764</v>
      </c>
      <c r="B8169" s="83" t="s">
        <v>6765</v>
      </c>
      <c r="C8169" s="81" t="s">
        <v>4082</v>
      </c>
      <c r="D8169" s="81" t="s">
        <v>224</v>
      </c>
      <c r="E8169" s="81" t="s">
        <v>6507</v>
      </c>
      <c r="F8169" s="81" t="s">
        <v>224</v>
      </c>
      <c r="G8169" s="81" t="s">
        <v>224</v>
      </c>
      <c r="H8169" s="81" t="s">
        <v>224</v>
      </c>
      <c r="I8169" s="81" t="s">
        <v>224</v>
      </c>
      <c r="J8169" s="81" t="s">
        <v>6485</v>
      </c>
    </row>
    <row r="8170">
      <c r="A8170" s="83" t="s">
        <v>6764</v>
      </c>
      <c r="B8170" s="83" t="s">
        <v>6765</v>
      </c>
      <c r="C8170" s="81" t="s">
        <v>4082</v>
      </c>
      <c r="D8170" s="81" t="s">
        <v>224</v>
      </c>
      <c r="E8170" s="81" t="s">
        <v>6508</v>
      </c>
      <c r="F8170" s="81" t="s">
        <v>224</v>
      </c>
      <c r="G8170" s="81" t="s">
        <v>224</v>
      </c>
      <c r="H8170" s="81" t="s">
        <v>224</v>
      </c>
      <c r="I8170" s="81" t="s">
        <v>224</v>
      </c>
      <c r="J8170" s="81" t="s">
        <v>6501</v>
      </c>
    </row>
    <row r="8171">
      <c r="A8171" s="83" t="s">
        <v>6764</v>
      </c>
      <c r="B8171" s="83" t="s">
        <v>6765</v>
      </c>
      <c r="C8171" s="81" t="s">
        <v>4082</v>
      </c>
      <c r="D8171" s="81" t="s">
        <v>224</v>
      </c>
      <c r="E8171" s="81" t="s">
        <v>6509</v>
      </c>
      <c r="F8171" s="81" t="s">
        <v>224</v>
      </c>
      <c r="G8171" s="81" t="s">
        <v>224</v>
      </c>
      <c r="H8171" s="81" t="s">
        <v>224</v>
      </c>
      <c r="I8171" s="81" t="s">
        <v>224</v>
      </c>
      <c r="J8171" s="81" t="s">
        <v>6481</v>
      </c>
    </row>
    <row r="8172">
      <c r="A8172" s="83" t="s">
        <v>6764</v>
      </c>
      <c r="B8172" s="83" t="s">
        <v>6765</v>
      </c>
      <c r="C8172" s="81" t="s">
        <v>4082</v>
      </c>
      <c r="D8172" s="81" t="s">
        <v>224</v>
      </c>
      <c r="E8172" s="81" t="s">
        <v>6510</v>
      </c>
      <c r="F8172" s="81" t="s">
        <v>224</v>
      </c>
      <c r="G8172" s="81" t="s">
        <v>224</v>
      </c>
      <c r="H8172" s="81" t="s">
        <v>224</v>
      </c>
      <c r="I8172" s="81" t="s">
        <v>224</v>
      </c>
      <c r="J8172" s="81" t="s">
        <v>6495</v>
      </c>
    </row>
    <row r="8173">
      <c r="A8173" s="83" t="s">
        <v>6764</v>
      </c>
      <c r="B8173" s="83" t="s">
        <v>6765</v>
      </c>
      <c r="C8173" s="81" t="s">
        <v>4082</v>
      </c>
      <c r="D8173" s="81" t="s">
        <v>224</v>
      </c>
      <c r="E8173" s="81" t="s">
        <v>6511</v>
      </c>
      <c r="F8173" s="81" t="s">
        <v>224</v>
      </c>
      <c r="G8173" s="81" t="s">
        <v>224</v>
      </c>
      <c r="H8173" s="81" t="s">
        <v>224</v>
      </c>
      <c r="I8173" s="81" t="s">
        <v>224</v>
      </c>
      <c r="J8173" s="81" t="s">
        <v>6477</v>
      </c>
    </row>
    <row r="8174">
      <c r="A8174" s="83" t="s">
        <v>6764</v>
      </c>
      <c r="B8174" s="83" t="s">
        <v>6765</v>
      </c>
      <c r="C8174" s="81" t="s">
        <v>4082</v>
      </c>
      <c r="D8174" s="81" t="s">
        <v>224</v>
      </c>
      <c r="E8174" s="81" t="s">
        <v>6512</v>
      </c>
      <c r="F8174" s="81" t="s">
        <v>224</v>
      </c>
      <c r="G8174" s="81" t="s">
        <v>224</v>
      </c>
      <c r="H8174" s="81" t="s">
        <v>224</v>
      </c>
      <c r="I8174" s="81" t="s">
        <v>224</v>
      </c>
      <c r="J8174" s="81" t="s">
        <v>6493</v>
      </c>
    </row>
    <row r="8175">
      <c r="A8175" s="83" t="s">
        <v>6764</v>
      </c>
      <c r="B8175" s="83" t="s">
        <v>6765</v>
      </c>
      <c r="C8175" s="81" t="s">
        <v>4082</v>
      </c>
      <c r="D8175" s="81" t="s">
        <v>224</v>
      </c>
      <c r="E8175" s="81" t="s">
        <v>6513</v>
      </c>
      <c r="F8175" s="81" t="s">
        <v>224</v>
      </c>
      <c r="G8175" s="81" t="s">
        <v>224</v>
      </c>
      <c r="H8175" s="81" t="s">
        <v>224</v>
      </c>
      <c r="I8175" s="81" t="s">
        <v>224</v>
      </c>
      <c r="J8175" s="81" t="s">
        <v>6475</v>
      </c>
    </row>
    <row r="8176">
      <c r="A8176" s="83" t="s">
        <v>6764</v>
      </c>
      <c r="B8176" s="83" t="s">
        <v>6765</v>
      </c>
      <c r="C8176" s="81" t="s">
        <v>4082</v>
      </c>
      <c r="D8176" s="81" t="s">
        <v>224</v>
      </c>
      <c r="E8176" s="81" t="s">
        <v>6514</v>
      </c>
      <c r="F8176" s="81" t="s">
        <v>224</v>
      </c>
      <c r="G8176" s="81" t="s">
        <v>224</v>
      </c>
      <c r="H8176" s="81" t="s">
        <v>224</v>
      </c>
      <c r="I8176" s="81" t="s">
        <v>224</v>
      </c>
      <c r="J8176" s="81" t="s">
        <v>6471</v>
      </c>
    </row>
    <row r="8177">
      <c r="A8177" s="83" t="s">
        <v>6764</v>
      </c>
      <c r="B8177" s="83" t="s">
        <v>6765</v>
      </c>
      <c r="C8177" s="81" t="s">
        <v>4082</v>
      </c>
      <c r="D8177" s="81" t="s">
        <v>224</v>
      </c>
      <c r="E8177" s="81" t="s">
        <v>6515</v>
      </c>
      <c r="F8177" s="81" t="s">
        <v>224</v>
      </c>
      <c r="G8177" s="81" t="s">
        <v>224</v>
      </c>
      <c r="H8177" s="81" t="s">
        <v>224</v>
      </c>
      <c r="I8177" s="81" t="s">
        <v>224</v>
      </c>
      <c r="J8177" s="81" t="s">
        <v>6483</v>
      </c>
    </row>
    <row r="8178">
      <c r="A8178" s="83" t="s">
        <v>6764</v>
      </c>
      <c r="B8178" s="83" t="s">
        <v>6765</v>
      </c>
      <c r="C8178" s="81" t="s">
        <v>4082</v>
      </c>
      <c r="D8178" s="81" t="s">
        <v>224</v>
      </c>
      <c r="E8178" s="81" t="s">
        <v>6516</v>
      </c>
      <c r="F8178" s="81" t="s">
        <v>224</v>
      </c>
      <c r="G8178" s="81" t="s">
        <v>224</v>
      </c>
      <c r="H8178" s="81" t="s">
        <v>224</v>
      </c>
      <c r="I8178" s="81" t="s">
        <v>224</v>
      </c>
      <c r="J8178" s="81" t="s">
        <v>6497</v>
      </c>
    </row>
    <row r="8179">
      <c r="A8179" s="83" t="s">
        <v>6764</v>
      </c>
      <c r="B8179" s="83" t="s">
        <v>6765</v>
      </c>
      <c r="C8179" s="81" t="s">
        <v>4082</v>
      </c>
      <c r="D8179" s="81" t="s">
        <v>224</v>
      </c>
      <c r="E8179" s="81" t="s">
        <v>6517</v>
      </c>
      <c r="F8179" s="81" t="s">
        <v>224</v>
      </c>
      <c r="G8179" s="81" t="s">
        <v>224</v>
      </c>
      <c r="H8179" s="81" t="s">
        <v>224</v>
      </c>
      <c r="I8179" s="81" t="s">
        <v>224</v>
      </c>
      <c r="J8179" s="81" t="s">
        <v>6479</v>
      </c>
    </row>
    <row r="8180">
      <c r="A8180" s="83" t="s">
        <v>6764</v>
      </c>
      <c r="B8180" s="83" t="s">
        <v>6765</v>
      </c>
      <c r="C8180" s="81" t="s">
        <v>4082</v>
      </c>
      <c r="D8180" s="81" t="s">
        <v>224</v>
      </c>
      <c r="E8180" s="81" t="s">
        <v>6518</v>
      </c>
      <c r="F8180" s="81" t="s">
        <v>224</v>
      </c>
      <c r="G8180" s="81" t="s">
        <v>224</v>
      </c>
      <c r="H8180" s="81" t="s">
        <v>224</v>
      </c>
      <c r="I8180" s="81" t="s">
        <v>224</v>
      </c>
      <c r="J8180" s="81" t="s">
        <v>6487</v>
      </c>
    </row>
    <row r="8181">
      <c r="A8181" s="83" t="s">
        <v>6764</v>
      </c>
      <c r="B8181" s="83" t="s">
        <v>6765</v>
      </c>
      <c r="C8181" s="81" t="s">
        <v>4082</v>
      </c>
      <c r="D8181" s="81" t="s">
        <v>224</v>
      </c>
      <c r="E8181" s="81" t="s">
        <v>6519</v>
      </c>
      <c r="F8181" s="81" t="s">
        <v>224</v>
      </c>
      <c r="G8181" s="81" t="s">
        <v>224</v>
      </c>
      <c r="H8181" s="81" t="s">
        <v>224</v>
      </c>
      <c r="I8181" s="81" t="s">
        <v>224</v>
      </c>
      <c r="J8181" s="81" t="s">
        <v>6467</v>
      </c>
    </row>
    <row r="8182">
      <c r="A8182" s="83" t="s">
        <v>6764</v>
      </c>
      <c r="B8182" s="83" t="s">
        <v>6765</v>
      </c>
      <c r="C8182" s="81" t="s">
        <v>4082</v>
      </c>
      <c r="D8182" s="81" t="s">
        <v>224</v>
      </c>
      <c r="E8182" s="81" t="s">
        <v>6520</v>
      </c>
      <c r="F8182" s="81" t="s">
        <v>224</v>
      </c>
      <c r="G8182" s="81" t="s">
        <v>224</v>
      </c>
      <c r="H8182" s="81" t="s">
        <v>224</v>
      </c>
      <c r="I8182" s="81" t="s">
        <v>224</v>
      </c>
      <c r="J8182" s="81" t="s">
        <v>6521</v>
      </c>
    </row>
    <row r="8183">
      <c r="A8183" s="83" t="s">
        <v>6764</v>
      </c>
      <c r="B8183" s="83" t="s">
        <v>6765</v>
      </c>
      <c r="C8183" s="81" t="s">
        <v>4082</v>
      </c>
      <c r="D8183" s="81" t="s">
        <v>224</v>
      </c>
      <c r="E8183" s="81" t="s">
        <v>6522</v>
      </c>
      <c r="F8183" s="81" t="s">
        <v>224</v>
      </c>
      <c r="G8183" s="81" t="s">
        <v>224</v>
      </c>
      <c r="H8183" s="81" t="s">
        <v>224</v>
      </c>
      <c r="I8183" s="81" t="s">
        <v>224</v>
      </c>
      <c r="J8183" s="81" t="s">
        <v>6521</v>
      </c>
    </row>
    <row r="8184">
      <c r="A8184" s="83" t="s">
        <v>6764</v>
      </c>
      <c r="B8184" s="83" t="s">
        <v>6765</v>
      </c>
      <c r="C8184" s="81" t="s">
        <v>4082</v>
      </c>
      <c r="D8184" s="81" t="s">
        <v>224</v>
      </c>
      <c r="E8184" s="81" t="s">
        <v>6523</v>
      </c>
      <c r="F8184" s="81" t="s">
        <v>224</v>
      </c>
      <c r="G8184" s="81" t="s">
        <v>224</v>
      </c>
      <c r="H8184" s="81" t="s">
        <v>224</v>
      </c>
      <c r="I8184" s="81" t="s">
        <v>224</v>
      </c>
      <c r="J8184" s="81" t="s">
        <v>6524</v>
      </c>
    </row>
    <row r="8185">
      <c r="A8185" s="83" t="s">
        <v>6764</v>
      </c>
      <c r="B8185" s="83" t="s">
        <v>6765</v>
      </c>
      <c r="C8185" s="81" t="s">
        <v>4082</v>
      </c>
      <c r="D8185" s="81" t="s">
        <v>224</v>
      </c>
      <c r="E8185" s="81" t="s">
        <v>6525</v>
      </c>
      <c r="F8185" s="81" t="s">
        <v>224</v>
      </c>
      <c r="G8185" s="81" t="s">
        <v>224</v>
      </c>
      <c r="H8185" s="81" t="s">
        <v>224</v>
      </c>
      <c r="I8185" s="81" t="s">
        <v>224</v>
      </c>
      <c r="J8185" s="81" t="s">
        <v>6526</v>
      </c>
    </row>
    <row r="8186">
      <c r="A8186" s="83" t="s">
        <v>6764</v>
      </c>
      <c r="B8186" s="83" t="s">
        <v>6765</v>
      </c>
      <c r="C8186" s="81" t="s">
        <v>4082</v>
      </c>
      <c r="D8186" s="81" t="s">
        <v>224</v>
      </c>
      <c r="E8186" s="81" t="s">
        <v>6527</v>
      </c>
      <c r="F8186" s="81" t="s">
        <v>224</v>
      </c>
      <c r="G8186" s="81" t="s">
        <v>224</v>
      </c>
      <c r="H8186" s="81" t="s">
        <v>224</v>
      </c>
      <c r="I8186" s="81" t="s">
        <v>224</v>
      </c>
      <c r="J8186" s="81" t="s">
        <v>6528</v>
      </c>
    </row>
    <row r="8187">
      <c r="A8187" s="83" t="s">
        <v>6764</v>
      </c>
      <c r="B8187" s="83" t="s">
        <v>6765</v>
      </c>
      <c r="C8187" s="81" t="s">
        <v>4082</v>
      </c>
      <c r="D8187" s="81" t="s">
        <v>224</v>
      </c>
      <c r="E8187" s="81" t="s">
        <v>6738</v>
      </c>
      <c r="F8187" s="81" t="s">
        <v>224</v>
      </c>
      <c r="G8187" s="81" t="s">
        <v>224</v>
      </c>
      <c r="H8187" s="81" t="s">
        <v>224</v>
      </c>
      <c r="I8187" s="81" t="s">
        <v>224</v>
      </c>
      <c r="J8187" s="81" t="s">
        <v>6734</v>
      </c>
    </row>
    <row r="8188">
      <c r="A8188" s="83" t="s">
        <v>6764</v>
      </c>
      <c r="B8188" s="83" t="s">
        <v>6765</v>
      </c>
      <c r="C8188" s="81" t="s">
        <v>4082</v>
      </c>
      <c r="D8188" s="81" t="s">
        <v>224</v>
      </c>
      <c r="E8188" s="81" t="s">
        <v>6529</v>
      </c>
      <c r="F8188" s="81" t="s">
        <v>224</v>
      </c>
      <c r="G8188" s="81" t="s">
        <v>224</v>
      </c>
      <c r="H8188" s="81" t="s">
        <v>224</v>
      </c>
      <c r="I8188" s="81" t="s">
        <v>224</v>
      </c>
      <c r="J8188" s="81" t="s">
        <v>6530</v>
      </c>
    </row>
    <row r="8189">
      <c r="A8189" s="83" t="s">
        <v>6764</v>
      </c>
      <c r="B8189" s="83" t="s">
        <v>6765</v>
      </c>
      <c r="C8189" s="81" t="s">
        <v>4082</v>
      </c>
      <c r="D8189" s="81" t="s">
        <v>224</v>
      </c>
      <c r="E8189" s="81" t="s">
        <v>6531</v>
      </c>
      <c r="F8189" s="81" t="s">
        <v>224</v>
      </c>
      <c r="G8189" s="81" t="s">
        <v>224</v>
      </c>
      <c r="H8189" s="81" t="s">
        <v>224</v>
      </c>
      <c r="I8189" s="81" t="s">
        <v>224</v>
      </c>
      <c r="J8189" s="81" t="s">
        <v>6530</v>
      </c>
    </row>
    <row r="8190">
      <c r="A8190" s="83" t="s">
        <v>6764</v>
      </c>
      <c r="B8190" s="83" t="s">
        <v>6765</v>
      </c>
      <c r="C8190" s="81" t="s">
        <v>4082</v>
      </c>
      <c r="D8190" s="81" t="s">
        <v>224</v>
      </c>
      <c r="E8190" s="81" t="s">
        <v>6532</v>
      </c>
      <c r="F8190" s="81" t="s">
        <v>224</v>
      </c>
      <c r="G8190" s="81" t="s">
        <v>224</v>
      </c>
      <c r="H8190" s="81" t="s">
        <v>224</v>
      </c>
      <c r="I8190" s="81" t="s">
        <v>224</v>
      </c>
      <c r="J8190" s="81" t="s">
        <v>6533</v>
      </c>
    </row>
    <row r="8191">
      <c r="A8191" s="83" t="s">
        <v>6764</v>
      </c>
      <c r="B8191" s="83" t="s">
        <v>6765</v>
      </c>
      <c r="C8191" s="81" t="s">
        <v>4082</v>
      </c>
      <c r="D8191" s="81" t="s">
        <v>224</v>
      </c>
      <c r="E8191" s="81" t="s">
        <v>6534</v>
      </c>
      <c r="F8191" s="81" t="s">
        <v>224</v>
      </c>
      <c r="G8191" s="81" t="s">
        <v>224</v>
      </c>
      <c r="H8191" s="81" t="s">
        <v>224</v>
      </c>
      <c r="I8191" s="81" t="s">
        <v>224</v>
      </c>
      <c r="J8191" s="81" t="s">
        <v>6533</v>
      </c>
    </row>
    <row r="8192">
      <c r="A8192" s="83" t="s">
        <v>6764</v>
      </c>
      <c r="B8192" s="83" t="s">
        <v>6765</v>
      </c>
      <c r="C8192" s="81" t="s">
        <v>4082</v>
      </c>
      <c r="D8192" s="81" t="s">
        <v>224</v>
      </c>
      <c r="E8192" s="81" t="s">
        <v>6535</v>
      </c>
      <c r="F8192" s="81" t="s">
        <v>224</v>
      </c>
      <c r="G8192" s="81" t="s">
        <v>224</v>
      </c>
      <c r="H8192" s="81" t="s">
        <v>224</v>
      </c>
      <c r="I8192" s="81" t="s">
        <v>224</v>
      </c>
      <c r="J8192" s="81" t="s">
        <v>6536</v>
      </c>
    </row>
    <row r="8193">
      <c r="A8193" s="83" t="s">
        <v>6764</v>
      </c>
      <c r="B8193" s="83" t="s">
        <v>6765</v>
      </c>
      <c r="C8193" s="81" t="s">
        <v>4082</v>
      </c>
      <c r="D8193" s="81" t="s">
        <v>224</v>
      </c>
      <c r="E8193" s="81" t="s">
        <v>6537</v>
      </c>
      <c r="F8193" s="81" t="s">
        <v>224</v>
      </c>
      <c r="G8193" s="81" t="s">
        <v>224</v>
      </c>
      <c r="H8193" s="81" t="s">
        <v>224</v>
      </c>
      <c r="I8193" s="81" t="s">
        <v>224</v>
      </c>
      <c r="J8193" s="81" t="s">
        <v>6536</v>
      </c>
    </row>
    <row r="8194">
      <c r="A8194" s="83" t="s">
        <v>6764</v>
      </c>
      <c r="B8194" s="83" t="s">
        <v>6765</v>
      </c>
      <c r="C8194" s="81" t="s">
        <v>4082</v>
      </c>
      <c r="D8194" s="81" t="s">
        <v>224</v>
      </c>
      <c r="E8194" s="81" t="s">
        <v>6538</v>
      </c>
      <c r="F8194" s="81" t="s">
        <v>224</v>
      </c>
      <c r="G8194" s="81" t="s">
        <v>224</v>
      </c>
      <c r="H8194" s="81" t="s">
        <v>224</v>
      </c>
      <c r="I8194" s="81" t="s">
        <v>224</v>
      </c>
      <c r="J8194" s="81" t="s">
        <v>6539</v>
      </c>
    </row>
    <row r="8195">
      <c r="A8195" s="83" t="s">
        <v>6764</v>
      </c>
      <c r="B8195" s="83" t="s">
        <v>6765</v>
      </c>
      <c r="C8195" s="81" t="s">
        <v>4082</v>
      </c>
      <c r="D8195" s="81" t="s">
        <v>224</v>
      </c>
      <c r="E8195" s="81" t="s">
        <v>6540</v>
      </c>
      <c r="F8195" s="81" t="s">
        <v>224</v>
      </c>
      <c r="G8195" s="81" t="s">
        <v>224</v>
      </c>
      <c r="H8195" s="81" t="s">
        <v>224</v>
      </c>
      <c r="I8195" s="81" t="s">
        <v>224</v>
      </c>
      <c r="J8195" s="81" t="s">
        <v>6539</v>
      </c>
    </row>
    <row r="8196">
      <c r="A8196" s="83" t="s">
        <v>6764</v>
      </c>
      <c r="B8196" s="83" t="s">
        <v>6765</v>
      </c>
      <c r="C8196" s="81" t="s">
        <v>4082</v>
      </c>
      <c r="D8196" s="81" t="s">
        <v>224</v>
      </c>
      <c r="E8196" s="81" t="s">
        <v>6541</v>
      </c>
      <c r="F8196" s="81" t="s">
        <v>224</v>
      </c>
      <c r="G8196" s="81" t="s">
        <v>224</v>
      </c>
      <c r="H8196" s="81" t="s">
        <v>224</v>
      </c>
      <c r="I8196" s="81" t="s">
        <v>224</v>
      </c>
      <c r="J8196" s="81" t="s">
        <v>6542</v>
      </c>
    </row>
    <row r="8197">
      <c r="A8197" s="83" t="s">
        <v>6764</v>
      </c>
      <c r="B8197" s="83" t="s">
        <v>6765</v>
      </c>
      <c r="C8197" s="81" t="s">
        <v>4082</v>
      </c>
      <c r="D8197" s="81" t="s">
        <v>224</v>
      </c>
      <c r="E8197" s="81" t="s">
        <v>6543</v>
      </c>
      <c r="F8197" s="81" t="s">
        <v>224</v>
      </c>
      <c r="G8197" s="81" t="s">
        <v>224</v>
      </c>
      <c r="H8197" s="81" t="s">
        <v>224</v>
      </c>
      <c r="I8197" s="81" t="s">
        <v>224</v>
      </c>
      <c r="J8197" s="81" t="s">
        <v>6542</v>
      </c>
    </row>
    <row r="8198">
      <c r="A8198" s="83" t="s">
        <v>6764</v>
      </c>
      <c r="B8198" s="83" t="s">
        <v>6765</v>
      </c>
      <c r="C8198" s="81" t="s">
        <v>4082</v>
      </c>
      <c r="D8198" s="81" t="s">
        <v>224</v>
      </c>
      <c r="E8198" s="81" t="s">
        <v>6544</v>
      </c>
      <c r="F8198" s="81" t="s">
        <v>224</v>
      </c>
      <c r="G8198" s="81" t="s">
        <v>224</v>
      </c>
      <c r="H8198" s="81" t="s">
        <v>224</v>
      </c>
      <c r="I8198" s="81" t="s">
        <v>224</v>
      </c>
      <c r="J8198" s="81" t="s">
        <v>6545</v>
      </c>
    </row>
    <row r="8199">
      <c r="A8199" s="83" t="s">
        <v>6764</v>
      </c>
      <c r="B8199" s="83" t="s">
        <v>6765</v>
      </c>
      <c r="C8199" s="81" t="s">
        <v>4082</v>
      </c>
      <c r="D8199" s="81" t="s">
        <v>224</v>
      </c>
      <c r="E8199" s="81" t="s">
        <v>6546</v>
      </c>
      <c r="F8199" s="81" t="s">
        <v>224</v>
      </c>
      <c r="G8199" s="81" t="s">
        <v>224</v>
      </c>
      <c r="H8199" s="81" t="s">
        <v>224</v>
      </c>
      <c r="I8199" s="81" t="s">
        <v>224</v>
      </c>
      <c r="J8199" s="81" t="s">
        <v>6545</v>
      </c>
    </row>
    <row r="8200">
      <c r="A8200" s="83" t="s">
        <v>6764</v>
      </c>
      <c r="B8200" s="83" t="s">
        <v>6765</v>
      </c>
      <c r="C8200" s="81" t="s">
        <v>4082</v>
      </c>
      <c r="D8200" s="81" t="s">
        <v>224</v>
      </c>
      <c r="E8200" s="81" t="s">
        <v>6547</v>
      </c>
      <c r="F8200" s="81" t="s">
        <v>224</v>
      </c>
      <c r="G8200" s="81" t="s">
        <v>224</v>
      </c>
      <c r="H8200" s="81" t="s">
        <v>224</v>
      </c>
      <c r="I8200" s="81" t="s">
        <v>224</v>
      </c>
      <c r="J8200" s="81" t="s">
        <v>6548</v>
      </c>
    </row>
    <row r="8201">
      <c r="A8201" s="83" t="s">
        <v>6764</v>
      </c>
      <c r="B8201" s="83" t="s">
        <v>6765</v>
      </c>
      <c r="C8201" s="81" t="s">
        <v>4082</v>
      </c>
      <c r="D8201" s="81" t="s">
        <v>224</v>
      </c>
      <c r="E8201" s="81" t="s">
        <v>6549</v>
      </c>
      <c r="F8201" s="81" t="s">
        <v>224</v>
      </c>
      <c r="G8201" s="81" t="s">
        <v>224</v>
      </c>
      <c r="H8201" s="81" t="s">
        <v>224</v>
      </c>
      <c r="I8201" s="81" t="s">
        <v>224</v>
      </c>
      <c r="J8201" s="81" t="s">
        <v>6548</v>
      </c>
    </row>
    <row r="8202">
      <c r="A8202" s="83" t="s">
        <v>6764</v>
      </c>
      <c r="B8202" s="83" t="s">
        <v>6765</v>
      </c>
      <c r="C8202" s="81" t="s">
        <v>4082</v>
      </c>
      <c r="D8202" s="81" t="s">
        <v>224</v>
      </c>
      <c r="E8202" s="81" t="s">
        <v>6550</v>
      </c>
      <c r="F8202" s="81" t="s">
        <v>224</v>
      </c>
      <c r="G8202" s="81" t="s">
        <v>224</v>
      </c>
      <c r="H8202" s="81" t="s">
        <v>224</v>
      </c>
      <c r="I8202" s="81" t="s">
        <v>224</v>
      </c>
      <c r="J8202" s="81" t="s">
        <v>6551</v>
      </c>
    </row>
    <row r="8203">
      <c r="A8203" s="83" t="s">
        <v>6764</v>
      </c>
      <c r="B8203" s="83" t="s">
        <v>6765</v>
      </c>
      <c r="C8203" s="81" t="s">
        <v>4082</v>
      </c>
      <c r="D8203" s="81" t="s">
        <v>224</v>
      </c>
      <c r="E8203" s="81" t="s">
        <v>6552</v>
      </c>
      <c r="F8203" s="81" t="s">
        <v>224</v>
      </c>
      <c r="G8203" s="81" t="s">
        <v>224</v>
      </c>
      <c r="H8203" s="81" t="s">
        <v>224</v>
      </c>
      <c r="I8203" s="81" t="s">
        <v>224</v>
      </c>
      <c r="J8203" s="81" t="s">
        <v>6551</v>
      </c>
    </row>
    <row r="8204">
      <c r="A8204" s="83" t="s">
        <v>6764</v>
      </c>
      <c r="B8204" s="83" t="s">
        <v>6765</v>
      </c>
      <c r="C8204" s="81" t="s">
        <v>4082</v>
      </c>
      <c r="D8204" s="81" t="s">
        <v>224</v>
      </c>
      <c r="E8204" s="81" t="s">
        <v>6553</v>
      </c>
      <c r="F8204" s="81" t="s">
        <v>224</v>
      </c>
      <c r="G8204" s="81" t="s">
        <v>224</v>
      </c>
      <c r="H8204" s="81" t="s">
        <v>224</v>
      </c>
      <c r="I8204" s="81" t="s">
        <v>224</v>
      </c>
      <c r="J8204" s="81" t="s">
        <v>6554</v>
      </c>
    </row>
    <row r="8205">
      <c r="A8205" s="83" t="s">
        <v>6764</v>
      </c>
      <c r="B8205" s="83" t="s">
        <v>6765</v>
      </c>
      <c r="C8205" s="81" t="s">
        <v>4082</v>
      </c>
      <c r="D8205" s="81" t="s">
        <v>224</v>
      </c>
      <c r="E8205" s="81" t="s">
        <v>6555</v>
      </c>
      <c r="F8205" s="81" t="s">
        <v>224</v>
      </c>
      <c r="G8205" s="81" t="s">
        <v>224</v>
      </c>
      <c r="H8205" s="81" t="s">
        <v>224</v>
      </c>
      <c r="I8205" s="81" t="s">
        <v>224</v>
      </c>
      <c r="J8205" s="81" t="s">
        <v>6554</v>
      </c>
    </row>
    <row r="8206">
      <c r="A8206" s="83" t="s">
        <v>6764</v>
      </c>
      <c r="B8206" s="83" t="s">
        <v>6765</v>
      </c>
      <c r="C8206" s="81" t="s">
        <v>4082</v>
      </c>
      <c r="D8206" s="81" t="s">
        <v>224</v>
      </c>
      <c r="E8206" s="81" t="s">
        <v>6556</v>
      </c>
      <c r="F8206" s="81" t="s">
        <v>224</v>
      </c>
      <c r="G8206" s="81" t="s">
        <v>224</v>
      </c>
      <c r="H8206" s="81" t="s">
        <v>224</v>
      </c>
      <c r="I8206" s="81" t="s">
        <v>224</v>
      </c>
      <c r="J8206" s="81" t="s">
        <v>6557</v>
      </c>
    </row>
    <row r="8207">
      <c r="A8207" s="83" t="s">
        <v>6764</v>
      </c>
      <c r="B8207" s="83" t="s">
        <v>6765</v>
      </c>
      <c r="C8207" s="81" t="s">
        <v>4082</v>
      </c>
      <c r="D8207" s="81" t="s">
        <v>224</v>
      </c>
      <c r="E8207" s="81" t="s">
        <v>6558</v>
      </c>
      <c r="F8207" s="81" t="s">
        <v>224</v>
      </c>
      <c r="G8207" s="81" t="s">
        <v>224</v>
      </c>
      <c r="H8207" s="81" t="s">
        <v>224</v>
      </c>
      <c r="I8207" s="81" t="s">
        <v>224</v>
      </c>
      <c r="J8207" s="81" t="s">
        <v>6559</v>
      </c>
    </row>
    <row r="8208">
      <c r="A8208" s="83" t="s">
        <v>6764</v>
      </c>
      <c r="B8208" s="83" t="s">
        <v>6765</v>
      </c>
      <c r="C8208" s="81" t="s">
        <v>4082</v>
      </c>
      <c r="D8208" s="81" t="s">
        <v>224</v>
      </c>
      <c r="E8208" s="81" t="s">
        <v>6739</v>
      </c>
      <c r="F8208" s="81" t="s">
        <v>224</v>
      </c>
      <c r="G8208" s="81" t="s">
        <v>224</v>
      </c>
      <c r="H8208" s="81" t="s">
        <v>224</v>
      </c>
      <c r="I8208" s="81" t="s">
        <v>224</v>
      </c>
      <c r="J8208" s="81" t="s">
        <v>6734</v>
      </c>
    </row>
    <row r="8209">
      <c r="A8209" s="83" t="s">
        <v>6764</v>
      </c>
      <c r="B8209" s="83" t="s">
        <v>6765</v>
      </c>
      <c r="C8209" s="81" t="s">
        <v>4082</v>
      </c>
      <c r="D8209" s="81" t="s">
        <v>224</v>
      </c>
      <c r="E8209" s="81" t="s">
        <v>6740</v>
      </c>
      <c r="F8209" s="81" t="s">
        <v>224</v>
      </c>
      <c r="G8209" s="81" t="s">
        <v>224</v>
      </c>
      <c r="H8209" s="81" t="s">
        <v>224</v>
      </c>
      <c r="I8209" s="81" t="s">
        <v>224</v>
      </c>
      <c r="J8209" s="81" t="s">
        <v>6734</v>
      </c>
    </row>
    <row r="8210">
      <c r="A8210" s="83" t="s">
        <v>6764</v>
      </c>
      <c r="B8210" s="83" t="s">
        <v>6765</v>
      </c>
      <c r="C8210" s="81" t="s">
        <v>4082</v>
      </c>
      <c r="D8210" s="81" t="s">
        <v>224</v>
      </c>
      <c r="E8210" s="81" t="s">
        <v>6741</v>
      </c>
      <c r="F8210" s="81" t="s">
        <v>224</v>
      </c>
      <c r="G8210" s="81" t="s">
        <v>224</v>
      </c>
      <c r="H8210" s="81" t="s">
        <v>224</v>
      </c>
      <c r="I8210" s="81" t="s">
        <v>224</v>
      </c>
      <c r="J8210" s="81" t="s">
        <v>6734</v>
      </c>
    </row>
    <row r="8211">
      <c r="A8211" s="83" t="s">
        <v>6764</v>
      </c>
      <c r="B8211" s="83" t="s">
        <v>6765</v>
      </c>
      <c r="C8211" s="81" t="s">
        <v>4082</v>
      </c>
      <c r="D8211" s="81" t="s">
        <v>224</v>
      </c>
      <c r="E8211" s="81" t="s">
        <v>6742</v>
      </c>
      <c r="F8211" s="81" t="s">
        <v>224</v>
      </c>
      <c r="G8211" s="81" t="s">
        <v>224</v>
      </c>
      <c r="H8211" s="81" t="s">
        <v>224</v>
      </c>
      <c r="I8211" s="81" t="s">
        <v>224</v>
      </c>
      <c r="J8211" s="81" t="s">
        <v>6734</v>
      </c>
    </row>
    <row r="8212">
      <c r="A8212" s="83" t="s">
        <v>6764</v>
      </c>
      <c r="B8212" s="83" t="s">
        <v>6765</v>
      </c>
      <c r="C8212" s="81" t="s">
        <v>4082</v>
      </c>
      <c r="D8212" s="81" t="s">
        <v>224</v>
      </c>
      <c r="E8212" s="81" t="s">
        <v>6743</v>
      </c>
      <c r="F8212" s="81" t="s">
        <v>224</v>
      </c>
      <c r="G8212" s="81" t="s">
        <v>224</v>
      </c>
      <c r="H8212" s="81" t="s">
        <v>224</v>
      </c>
      <c r="I8212" s="81" t="s">
        <v>224</v>
      </c>
      <c r="J8212" s="81" t="s">
        <v>6734</v>
      </c>
    </row>
    <row r="8213">
      <c r="A8213" s="83" t="s">
        <v>6764</v>
      </c>
      <c r="B8213" s="83" t="s">
        <v>6765</v>
      </c>
      <c r="C8213" s="81" t="s">
        <v>4082</v>
      </c>
      <c r="D8213" s="81" t="s">
        <v>224</v>
      </c>
      <c r="E8213" s="81" t="s">
        <v>6560</v>
      </c>
      <c r="F8213" s="81" t="s">
        <v>224</v>
      </c>
      <c r="G8213" s="81" t="s">
        <v>224</v>
      </c>
      <c r="H8213" s="81" t="s">
        <v>224</v>
      </c>
      <c r="I8213" s="81" t="s">
        <v>224</v>
      </c>
      <c r="J8213" s="81" t="s">
        <v>6561</v>
      </c>
    </row>
    <row r="8214">
      <c r="A8214" s="83" t="s">
        <v>6764</v>
      </c>
      <c r="B8214" s="83" t="s">
        <v>6765</v>
      </c>
      <c r="C8214" s="81" t="s">
        <v>4082</v>
      </c>
      <c r="D8214" s="81" t="s">
        <v>224</v>
      </c>
      <c r="E8214" s="81" t="s">
        <v>6562</v>
      </c>
      <c r="F8214" s="81" t="s">
        <v>224</v>
      </c>
      <c r="G8214" s="81" t="s">
        <v>224</v>
      </c>
      <c r="H8214" s="81" t="s">
        <v>224</v>
      </c>
      <c r="I8214" s="81" t="s">
        <v>224</v>
      </c>
      <c r="J8214" s="81" t="s">
        <v>6563</v>
      </c>
    </row>
    <row r="8215">
      <c r="A8215" s="83" t="s">
        <v>6764</v>
      </c>
      <c r="B8215" s="83" t="s">
        <v>6765</v>
      </c>
      <c r="C8215" s="81" t="s">
        <v>4082</v>
      </c>
      <c r="D8215" s="81" t="s">
        <v>224</v>
      </c>
      <c r="E8215" s="81" t="s">
        <v>6564</v>
      </c>
      <c r="F8215" s="81" t="s">
        <v>224</v>
      </c>
      <c r="G8215" s="81" t="s">
        <v>224</v>
      </c>
      <c r="H8215" s="81" t="s">
        <v>224</v>
      </c>
      <c r="I8215" s="81" t="s">
        <v>224</v>
      </c>
      <c r="J8215" s="81" t="s">
        <v>6565</v>
      </c>
    </row>
    <row r="8216">
      <c r="A8216" s="83" t="s">
        <v>6764</v>
      </c>
      <c r="B8216" s="83" t="s">
        <v>6765</v>
      </c>
      <c r="C8216" s="81" t="s">
        <v>4082</v>
      </c>
      <c r="D8216" s="81" t="s">
        <v>224</v>
      </c>
      <c r="E8216" s="81" t="s">
        <v>6566</v>
      </c>
      <c r="F8216" s="81" t="s">
        <v>224</v>
      </c>
      <c r="G8216" s="81" t="s">
        <v>224</v>
      </c>
      <c r="H8216" s="81" t="s">
        <v>224</v>
      </c>
      <c r="I8216" s="81" t="s">
        <v>224</v>
      </c>
      <c r="J8216" s="81" t="s">
        <v>6567</v>
      </c>
    </row>
    <row r="8217">
      <c r="A8217" s="83" t="s">
        <v>6764</v>
      </c>
      <c r="B8217" s="83" t="s">
        <v>6765</v>
      </c>
      <c r="C8217" s="81" t="s">
        <v>4082</v>
      </c>
      <c r="D8217" s="81" t="s">
        <v>224</v>
      </c>
      <c r="E8217" s="81" t="s">
        <v>6568</v>
      </c>
      <c r="F8217" s="81" t="s">
        <v>224</v>
      </c>
      <c r="G8217" s="81" t="s">
        <v>224</v>
      </c>
      <c r="H8217" s="81" t="s">
        <v>224</v>
      </c>
      <c r="I8217" s="81" t="s">
        <v>224</v>
      </c>
      <c r="J8217" s="81" t="s">
        <v>6569</v>
      </c>
    </row>
    <row r="8218">
      <c r="A8218" s="83" t="s">
        <v>6764</v>
      </c>
      <c r="B8218" s="83" t="s">
        <v>6765</v>
      </c>
      <c r="C8218" s="81" t="s">
        <v>4082</v>
      </c>
      <c r="D8218" s="81" t="s">
        <v>224</v>
      </c>
      <c r="E8218" s="81" t="s">
        <v>6744</v>
      </c>
      <c r="F8218" s="81" t="s">
        <v>224</v>
      </c>
      <c r="G8218" s="81" t="s">
        <v>224</v>
      </c>
      <c r="H8218" s="81" t="s">
        <v>224</v>
      </c>
      <c r="I8218" s="81" t="s">
        <v>224</v>
      </c>
      <c r="J8218" s="81" t="s">
        <v>6734</v>
      </c>
    </row>
    <row r="8219">
      <c r="A8219" s="83" t="s">
        <v>6764</v>
      </c>
      <c r="B8219" s="83" t="s">
        <v>6765</v>
      </c>
      <c r="C8219" s="81" t="s">
        <v>4082</v>
      </c>
      <c r="D8219" s="81" t="s">
        <v>224</v>
      </c>
      <c r="E8219" s="81" t="s">
        <v>6570</v>
      </c>
      <c r="F8219" s="81" t="s">
        <v>224</v>
      </c>
      <c r="G8219" s="81" t="s">
        <v>224</v>
      </c>
      <c r="H8219" s="81" t="s">
        <v>224</v>
      </c>
      <c r="I8219" s="81" t="s">
        <v>224</v>
      </c>
      <c r="J8219" s="81" t="s">
        <v>6571</v>
      </c>
    </row>
    <row r="8220">
      <c r="A8220" s="83" t="s">
        <v>6764</v>
      </c>
      <c r="B8220" s="83" t="s">
        <v>6765</v>
      </c>
      <c r="C8220" s="81" t="s">
        <v>4082</v>
      </c>
      <c r="D8220" s="81" t="s">
        <v>224</v>
      </c>
      <c r="E8220" s="81" t="s">
        <v>6572</v>
      </c>
      <c r="F8220" s="81" t="s">
        <v>224</v>
      </c>
      <c r="G8220" s="81" t="s">
        <v>224</v>
      </c>
      <c r="H8220" s="81" t="s">
        <v>224</v>
      </c>
      <c r="I8220" s="81" t="s">
        <v>224</v>
      </c>
      <c r="J8220" s="81" t="s">
        <v>6571</v>
      </c>
    </row>
    <row r="8221">
      <c r="A8221" s="83" t="s">
        <v>6764</v>
      </c>
      <c r="B8221" s="83" t="s">
        <v>6765</v>
      </c>
      <c r="C8221" s="81" t="s">
        <v>4082</v>
      </c>
      <c r="D8221" s="81" t="s">
        <v>224</v>
      </c>
      <c r="E8221" s="81" t="s">
        <v>6573</v>
      </c>
      <c r="F8221" s="81" t="s">
        <v>224</v>
      </c>
      <c r="G8221" s="81" t="s">
        <v>224</v>
      </c>
      <c r="H8221" s="81" t="s">
        <v>224</v>
      </c>
      <c r="I8221" s="81" t="s">
        <v>224</v>
      </c>
      <c r="J8221" s="81" t="s">
        <v>6574</v>
      </c>
    </row>
    <row r="8222">
      <c r="A8222" s="83" t="s">
        <v>6764</v>
      </c>
      <c r="B8222" s="83" t="s">
        <v>6765</v>
      </c>
      <c r="C8222" s="81" t="s">
        <v>4082</v>
      </c>
      <c r="D8222" s="81" t="s">
        <v>224</v>
      </c>
      <c r="E8222" s="81" t="s">
        <v>6575</v>
      </c>
      <c r="F8222" s="81" t="s">
        <v>224</v>
      </c>
      <c r="G8222" s="81" t="s">
        <v>224</v>
      </c>
      <c r="H8222" s="81" t="s">
        <v>224</v>
      </c>
      <c r="I8222" s="81" t="s">
        <v>224</v>
      </c>
      <c r="J8222" s="81" t="s">
        <v>6574</v>
      </c>
    </row>
    <row r="8223">
      <c r="A8223" s="83" t="s">
        <v>6764</v>
      </c>
      <c r="B8223" s="83" t="s">
        <v>6765</v>
      </c>
      <c r="C8223" s="81" t="s">
        <v>4082</v>
      </c>
      <c r="D8223" s="81" t="s">
        <v>224</v>
      </c>
      <c r="E8223" s="81" t="s">
        <v>6745</v>
      </c>
      <c r="F8223" s="81" t="s">
        <v>224</v>
      </c>
      <c r="G8223" s="81" t="s">
        <v>224</v>
      </c>
      <c r="H8223" s="81" t="s">
        <v>224</v>
      </c>
      <c r="I8223" s="81" t="s">
        <v>224</v>
      </c>
      <c r="J8223" s="81" t="s">
        <v>6734</v>
      </c>
    </row>
    <row r="8224">
      <c r="A8224" s="83" t="s">
        <v>6764</v>
      </c>
      <c r="B8224" s="83" t="s">
        <v>6765</v>
      </c>
      <c r="C8224" s="81" t="s">
        <v>4082</v>
      </c>
      <c r="D8224" s="81" t="s">
        <v>224</v>
      </c>
      <c r="E8224" s="81" t="s">
        <v>6746</v>
      </c>
      <c r="F8224" s="81" t="s">
        <v>224</v>
      </c>
      <c r="G8224" s="81" t="s">
        <v>224</v>
      </c>
      <c r="H8224" s="81" t="s">
        <v>224</v>
      </c>
      <c r="I8224" s="81" t="s">
        <v>224</v>
      </c>
      <c r="J8224" s="81" t="s">
        <v>6734</v>
      </c>
    </row>
    <row r="8225">
      <c r="A8225" s="83" t="s">
        <v>6764</v>
      </c>
      <c r="B8225" s="83" t="s">
        <v>6765</v>
      </c>
      <c r="C8225" s="81" t="s">
        <v>4082</v>
      </c>
      <c r="D8225" s="81" t="s">
        <v>224</v>
      </c>
      <c r="E8225" s="81" t="s">
        <v>6576</v>
      </c>
      <c r="F8225" s="81" t="s">
        <v>224</v>
      </c>
      <c r="G8225" s="81" t="s">
        <v>224</v>
      </c>
      <c r="H8225" s="81" t="s">
        <v>224</v>
      </c>
      <c r="I8225" s="81" t="s">
        <v>224</v>
      </c>
      <c r="J8225" s="81" t="s">
        <v>6577</v>
      </c>
    </row>
    <row r="8226">
      <c r="A8226" s="83" t="s">
        <v>6764</v>
      </c>
      <c r="B8226" s="83" t="s">
        <v>6765</v>
      </c>
      <c r="C8226" s="81" t="s">
        <v>4082</v>
      </c>
      <c r="D8226" s="81" t="s">
        <v>224</v>
      </c>
      <c r="E8226" s="81" t="s">
        <v>6578</v>
      </c>
      <c r="F8226" s="81" t="s">
        <v>224</v>
      </c>
      <c r="G8226" s="81" t="s">
        <v>224</v>
      </c>
      <c r="H8226" s="81" t="s">
        <v>224</v>
      </c>
      <c r="I8226" s="81" t="s">
        <v>224</v>
      </c>
      <c r="J8226" s="81" t="s">
        <v>6579</v>
      </c>
    </row>
    <row r="8227">
      <c r="A8227" s="83" t="s">
        <v>6764</v>
      </c>
      <c r="B8227" s="83" t="s">
        <v>6765</v>
      </c>
      <c r="C8227" s="81" t="s">
        <v>4082</v>
      </c>
      <c r="D8227" s="81" t="s">
        <v>224</v>
      </c>
      <c r="E8227" s="81" t="s">
        <v>6580</v>
      </c>
      <c r="F8227" s="81" t="s">
        <v>224</v>
      </c>
      <c r="G8227" s="81" t="s">
        <v>224</v>
      </c>
      <c r="H8227" s="81" t="s">
        <v>224</v>
      </c>
      <c r="I8227" s="81" t="s">
        <v>224</v>
      </c>
      <c r="J8227" s="81" t="s">
        <v>6579</v>
      </c>
    </row>
    <row r="8228">
      <c r="A8228" s="83" t="s">
        <v>6764</v>
      </c>
      <c r="B8228" s="83" t="s">
        <v>6765</v>
      </c>
      <c r="C8228" s="81" t="s">
        <v>4082</v>
      </c>
      <c r="D8228" s="81" t="s">
        <v>224</v>
      </c>
      <c r="E8228" s="81" t="s">
        <v>6581</v>
      </c>
      <c r="F8228" s="81" t="s">
        <v>224</v>
      </c>
      <c r="G8228" s="81" t="s">
        <v>224</v>
      </c>
      <c r="H8228" s="81" t="s">
        <v>224</v>
      </c>
      <c r="I8228" s="81" t="s">
        <v>224</v>
      </c>
      <c r="J8228" s="81" t="s">
        <v>6582</v>
      </c>
    </row>
    <row r="8229">
      <c r="A8229" s="83" t="s">
        <v>6764</v>
      </c>
      <c r="B8229" s="83" t="s">
        <v>6765</v>
      </c>
      <c r="C8229" s="81" t="s">
        <v>4082</v>
      </c>
      <c r="D8229" s="81" t="s">
        <v>224</v>
      </c>
      <c r="E8229" s="81" t="s">
        <v>6583</v>
      </c>
      <c r="F8229" s="81" t="s">
        <v>224</v>
      </c>
      <c r="G8229" s="81" t="s">
        <v>224</v>
      </c>
      <c r="H8229" s="81" t="s">
        <v>224</v>
      </c>
      <c r="I8229" s="81" t="s">
        <v>224</v>
      </c>
      <c r="J8229" s="81" t="s">
        <v>6582</v>
      </c>
    </row>
    <row r="8230">
      <c r="A8230" s="83" t="s">
        <v>6764</v>
      </c>
      <c r="B8230" s="83" t="s">
        <v>6765</v>
      </c>
      <c r="C8230" s="81" t="s">
        <v>4082</v>
      </c>
      <c r="D8230" s="81" t="s">
        <v>224</v>
      </c>
      <c r="E8230" s="81" t="s">
        <v>6584</v>
      </c>
      <c r="F8230" s="81" t="s">
        <v>224</v>
      </c>
      <c r="G8230" s="81" t="s">
        <v>224</v>
      </c>
      <c r="H8230" s="81" t="s">
        <v>224</v>
      </c>
      <c r="I8230" s="81" t="s">
        <v>224</v>
      </c>
      <c r="J8230" s="81" t="s">
        <v>6585</v>
      </c>
    </row>
    <row r="8231">
      <c r="A8231" s="83" t="s">
        <v>6764</v>
      </c>
      <c r="B8231" s="83" t="s">
        <v>6765</v>
      </c>
      <c r="C8231" s="81" t="s">
        <v>4082</v>
      </c>
      <c r="D8231" s="81" t="s">
        <v>224</v>
      </c>
      <c r="E8231" s="81" t="s">
        <v>6586</v>
      </c>
      <c r="F8231" s="81" t="s">
        <v>224</v>
      </c>
      <c r="G8231" s="81" t="s">
        <v>224</v>
      </c>
      <c r="H8231" s="81" t="s">
        <v>224</v>
      </c>
      <c r="I8231" s="81" t="s">
        <v>224</v>
      </c>
      <c r="J8231" s="81" t="s">
        <v>6585</v>
      </c>
    </row>
    <row r="8232">
      <c r="A8232" s="83" t="s">
        <v>6764</v>
      </c>
      <c r="B8232" s="83" t="s">
        <v>6765</v>
      </c>
      <c r="C8232" s="81" t="s">
        <v>4082</v>
      </c>
      <c r="D8232" s="81" t="s">
        <v>224</v>
      </c>
      <c r="E8232" s="81" t="s">
        <v>6587</v>
      </c>
      <c r="F8232" s="81" t="s">
        <v>224</v>
      </c>
      <c r="G8232" s="81" t="s">
        <v>224</v>
      </c>
      <c r="H8232" s="81" t="s">
        <v>224</v>
      </c>
      <c r="I8232" s="81" t="s">
        <v>224</v>
      </c>
      <c r="J8232" s="81" t="s">
        <v>6588</v>
      </c>
    </row>
    <row r="8233">
      <c r="A8233" s="83" t="s">
        <v>6764</v>
      </c>
      <c r="B8233" s="83" t="s">
        <v>6765</v>
      </c>
      <c r="C8233" s="81" t="s">
        <v>4082</v>
      </c>
      <c r="D8233" s="81" t="s">
        <v>224</v>
      </c>
      <c r="E8233" s="81" t="s">
        <v>6589</v>
      </c>
      <c r="F8233" s="81" t="s">
        <v>224</v>
      </c>
      <c r="G8233" s="81" t="s">
        <v>224</v>
      </c>
      <c r="H8233" s="81" t="s">
        <v>224</v>
      </c>
      <c r="I8233" s="81" t="s">
        <v>224</v>
      </c>
      <c r="J8233" s="81" t="s">
        <v>6588</v>
      </c>
    </row>
    <row r="8234">
      <c r="A8234" s="83" t="s">
        <v>6764</v>
      </c>
      <c r="B8234" s="83" t="s">
        <v>6765</v>
      </c>
      <c r="C8234" s="81" t="s">
        <v>4082</v>
      </c>
      <c r="D8234" s="81" t="s">
        <v>224</v>
      </c>
      <c r="E8234" s="81" t="s">
        <v>224</v>
      </c>
      <c r="F8234" s="81" t="s">
        <v>224</v>
      </c>
      <c r="G8234" s="81" t="s">
        <v>224</v>
      </c>
      <c r="H8234" s="81" t="s">
        <v>224</v>
      </c>
      <c r="I8234" s="81" t="s">
        <v>224</v>
      </c>
      <c r="J8234" s="81" t="s">
        <v>6772</v>
      </c>
    </row>
    <row r="8235">
      <c r="A8235" s="83" t="s">
        <v>6764</v>
      </c>
      <c r="B8235" s="83" t="s">
        <v>6765</v>
      </c>
      <c r="C8235" s="81" t="s">
        <v>4082</v>
      </c>
      <c r="D8235" s="83" t="s">
        <v>4201</v>
      </c>
      <c r="E8235" s="81" t="s">
        <v>754</v>
      </c>
      <c r="F8235" s="81">
        <v>127.0</v>
      </c>
      <c r="G8235" s="81" t="s">
        <v>39</v>
      </c>
      <c r="H8235" s="81" t="s">
        <v>224</v>
      </c>
      <c r="I8235" s="81" t="s">
        <v>224</v>
      </c>
      <c r="J8235" s="81" t="s">
        <v>5311</v>
      </c>
    </row>
    <row r="8236">
      <c r="A8236" s="83" t="s">
        <v>6764</v>
      </c>
      <c r="B8236" s="83" t="s">
        <v>6765</v>
      </c>
      <c r="C8236" s="81" t="s">
        <v>4082</v>
      </c>
      <c r="D8236" s="83" t="s">
        <v>4208</v>
      </c>
      <c r="E8236" s="81" t="s">
        <v>786</v>
      </c>
      <c r="F8236" s="81">
        <v>134.0</v>
      </c>
      <c r="G8236" s="81" t="s">
        <v>39</v>
      </c>
      <c r="H8236" s="81" t="s">
        <v>224</v>
      </c>
      <c r="I8236" s="81" t="s">
        <v>224</v>
      </c>
      <c r="J8236" s="81" t="s">
        <v>5322</v>
      </c>
    </row>
    <row r="8237">
      <c r="A8237" s="83" t="s">
        <v>6764</v>
      </c>
      <c r="B8237" s="83" t="s">
        <v>6765</v>
      </c>
      <c r="C8237" s="81" t="s">
        <v>4082</v>
      </c>
      <c r="D8237" s="83" t="s">
        <v>4211</v>
      </c>
      <c r="E8237" s="81" t="s">
        <v>798</v>
      </c>
      <c r="F8237" s="81">
        <v>137.0</v>
      </c>
      <c r="G8237" s="81" t="s">
        <v>39</v>
      </c>
      <c r="H8237" s="81" t="s">
        <v>224</v>
      </c>
      <c r="I8237" s="81" t="s">
        <v>224</v>
      </c>
      <c r="J8237" s="81" t="s">
        <v>5327</v>
      </c>
    </row>
    <row r="8238">
      <c r="A8238" s="83" t="s">
        <v>6764</v>
      </c>
      <c r="B8238" s="83" t="s">
        <v>6765</v>
      </c>
      <c r="C8238" s="81" t="s">
        <v>4082</v>
      </c>
      <c r="D8238" s="83" t="s">
        <v>4212</v>
      </c>
      <c r="E8238" s="81" t="s">
        <v>804</v>
      </c>
      <c r="F8238" s="81">
        <v>138.0</v>
      </c>
      <c r="G8238" s="81" t="s">
        <v>39</v>
      </c>
      <c r="H8238" s="81" t="s">
        <v>224</v>
      </c>
      <c r="I8238" s="81" t="s">
        <v>224</v>
      </c>
      <c r="J8238" s="81" t="s">
        <v>5330</v>
      </c>
    </row>
    <row r="8239">
      <c r="A8239" s="83" t="s">
        <v>6764</v>
      </c>
      <c r="B8239" s="83" t="s">
        <v>6765</v>
      </c>
      <c r="C8239" s="81" t="s">
        <v>4082</v>
      </c>
      <c r="D8239" s="83" t="s">
        <v>4238</v>
      </c>
      <c r="E8239" s="81" t="s">
        <v>918</v>
      </c>
      <c r="F8239" s="81">
        <v>163.0</v>
      </c>
      <c r="G8239" s="81" t="s">
        <v>41</v>
      </c>
      <c r="H8239" s="81" t="s">
        <v>924</v>
      </c>
      <c r="I8239" s="81" t="s">
        <v>224</v>
      </c>
      <c r="J8239" s="81" t="s">
        <v>6344</v>
      </c>
    </row>
    <row r="8240">
      <c r="A8240" s="83" t="s">
        <v>6764</v>
      </c>
      <c r="B8240" s="83" t="s">
        <v>6765</v>
      </c>
      <c r="C8240" s="81" t="s">
        <v>4082</v>
      </c>
      <c r="D8240" s="83" t="s">
        <v>4267</v>
      </c>
      <c r="E8240" s="81" t="s">
        <v>1050</v>
      </c>
      <c r="F8240" s="81">
        <v>199.0</v>
      </c>
      <c r="G8240" s="81" t="s">
        <v>41</v>
      </c>
      <c r="H8240" s="81" t="s">
        <v>1051</v>
      </c>
      <c r="I8240" s="81" t="s">
        <v>224</v>
      </c>
      <c r="J8240" s="81" t="s">
        <v>6345</v>
      </c>
    </row>
    <row r="8241">
      <c r="A8241" s="83" t="s">
        <v>6764</v>
      </c>
      <c r="B8241" s="83" t="s">
        <v>6765</v>
      </c>
      <c r="C8241" s="81" t="s">
        <v>5141</v>
      </c>
      <c r="D8241" s="83" t="s">
        <v>4285</v>
      </c>
      <c r="E8241" s="81" t="s">
        <v>1133</v>
      </c>
      <c r="F8241" s="81">
        <v>225.0</v>
      </c>
      <c r="G8241" s="81" t="s">
        <v>43</v>
      </c>
      <c r="H8241" s="81" t="s">
        <v>6748</v>
      </c>
      <c r="I8241" s="81" t="s">
        <v>224</v>
      </c>
      <c r="J8241" s="81" t="s">
        <v>6749</v>
      </c>
    </row>
    <row r="8242">
      <c r="A8242" s="83" t="s">
        <v>6764</v>
      </c>
      <c r="B8242" s="83" t="s">
        <v>6765</v>
      </c>
      <c r="C8242" s="81" t="s">
        <v>5141</v>
      </c>
      <c r="D8242" s="83" t="s">
        <v>4287</v>
      </c>
      <c r="E8242" s="81" t="s">
        <v>1138</v>
      </c>
      <c r="F8242" s="81">
        <v>226.0</v>
      </c>
      <c r="G8242" s="81" t="s">
        <v>43</v>
      </c>
      <c r="H8242" s="81" t="s">
        <v>6750</v>
      </c>
      <c r="I8242" s="81" t="s">
        <v>224</v>
      </c>
      <c r="J8242" s="81" t="s">
        <v>6749</v>
      </c>
    </row>
    <row r="8243">
      <c r="A8243" s="83" t="s">
        <v>6764</v>
      </c>
      <c r="B8243" s="83" t="s">
        <v>6765</v>
      </c>
      <c r="C8243" s="81" t="s">
        <v>5141</v>
      </c>
      <c r="D8243" s="83" t="s">
        <v>4289</v>
      </c>
      <c r="E8243" s="81" t="s">
        <v>1142</v>
      </c>
      <c r="F8243" s="81">
        <v>227.0</v>
      </c>
      <c r="G8243" s="81" t="s">
        <v>43</v>
      </c>
      <c r="H8243" s="81" t="s">
        <v>6750</v>
      </c>
      <c r="I8243" s="81" t="s">
        <v>224</v>
      </c>
      <c r="J8243" s="81" t="s">
        <v>6749</v>
      </c>
    </row>
    <row r="8244">
      <c r="A8244" s="83" t="s">
        <v>6764</v>
      </c>
      <c r="B8244" s="83" t="s">
        <v>6765</v>
      </c>
      <c r="C8244" s="81" t="s">
        <v>4082</v>
      </c>
      <c r="D8244" s="83" t="s">
        <v>4304</v>
      </c>
      <c r="E8244" s="81" t="s">
        <v>1232</v>
      </c>
      <c r="F8244" s="81">
        <v>244.0</v>
      </c>
      <c r="G8244" s="81" t="s">
        <v>41</v>
      </c>
      <c r="H8244" s="81" t="s">
        <v>1233</v>
      </c>
      <c r="I8244" s="81" t="s">
        <v>224</v>
      </c>
      <c r="J8244" s="81" t="s">
        <v>6346</v>
      </c>
    </row>
    <row r="8245">
      <c r="A8245" s="83" t="s">
        <v>6764</v>
      </c>
      <c r="B8245" s="83" t="s">
        <v>6765</v>
      </c>
      <c r="C8245" s="81" t="s">
        <v>4082</v>
      </c>
      <c r="D8245" s="83" t="s">
        <v>4306</v>
      </c>
      <c r="E8245" s="81" t="s">
        <v>1237</v>
      </c>
      <c r="F8245" s="81">
        <v>246.0</v>
      </c>
      <c r="G8245" s="81" t="s">
        <v>41</v>
      </c>
      <c r="H8245" s="81" t="s">
        <v>1237</v>
      </c>
      <c r="I8245" s="81" t="s">
        <v>224</v>
      </c>
      <c r="J8245" s="81" t="s">
        <v>6347</v>
      </c>
    </row>
    <row r="8246">
      <c r="A8246" s="83" t="s">
        <v>6764</v>
      </c>
      <c r="B8246" s="83" t="s">
        <v>6765</v>
      </c>
      <c r="C8246" s="81" t="s">
        <v>4082</v>
      </c>
      <c r="D8246" s="83" t="s">
        <v>4316</v>
      </c>
      <c r="E8246" s="81" t="s">
        <v>1313</v>
      </c>
      <c r="F8246" s="81">
        <v>256.0</v>
      </c>
      <c r="G8246" s="81" t="s">
        <v>39</v>
      </c>
      <c r="H8246" s="81" t="s">
        <v>224</v>
      </c>
      <c r="I8246" s="81" t="s">
        <v>224</v>
      </c>
      <c r="J8246" s="81" t="s">
        <v>5515</v>
      </c>
    </row>
    <row r="8247">
      <c r="A8247" s="83" t="s">
        <v>6764</v>
      </c>
      <c r="B8247" s="83" t="s">
        <v>6765</v>
      </c>
      <c r="C8247" s="81" t="s">
        <v>4082</v>
      </c>
      <c r="D8247" s="83" t="s">
        <v>4351</v>
      </c>
      <c r="E8247" s="81" t="s">
        <v>1470</v>
      </c>
      <c r="F8247" s="81">
        <v>283.0</v>
      </c>
      <c r="G8247" s="81" t="s">
        <v>41</v>
      </c>
      <c r="H8247" s="81" t="s">
        <v>55</v>
      </c>
      <c r="I8247" s="81" t="s">
        <v>224</v>
      </c>
      <c r="J8247" s="81" t="s">
        <v>6426</v>
      </c>
    </row>
    <row r="8248">
      <c r="A8248" s="83" t="s">
        <v>6764</v>
      </c>
      <c r="B8248" s="83" t="s">
        <v>6765</v>
      </c>
      <c r="C8248" s="81" t="s">
        <v>4082</v>
      </c>
      <c r="D8248" s="83" t="s">
        <v>4351</v>
      </c>
      <c r="E8248" s="81" t="s">
        <v>1474</v>
      </c>
      <c r="F8248" s="81">
        <v>284.0</v>
      </c>
      <c r="G8248" s="81" t="s">
        <v>41</v>
      </c>
      <c r="H8248" s="81" t="s">
        <v>1476</v>
      </c>
      <c r="I8248" s="81" t="s">
        <v>224</v>
      </c>
      <c r="J8248" s="81" t="s">
        <v>6348</v>
      </c>
    </row>
    <row r="8249">
      <c r="A8249" s="83" t="s">
        <v>6764</v>
      </c>
      <c r="B8249" s="83" t="s">
        <v>6765</v>
      </c>
      <c r="C8249" s="81" t="s">
        <v>4082</v>
      </c>
      <c r="D8249" s="83" t="s">
        <v>4363</v>
      </c>
      <c r="E8249" s="81" t="s">
        <v>1548</v>
      </c>
      <c r="F8249" s="81">
        <v>299.0</v>
      </c>
      <c r="G8249" s="81" t="s">
        <v>41</v>
      </c>
      <c r="H8249" s="81" t="s">
        <v>1550</v>
      </c>
      <c r="I8249" s="81" t="s">
        <v>224</v>
      </c>
      <c r="J8249" s="81" t="s">
        <v>6349</v>
      </c>
    </row>
    <row r="8250">
      <c r="A8250" s="83" t="s">
        <v>6764</v>
      </c>
      <c r="B8250" s="83" t="s">
        <v>6765</v>
      </c>
      <c r="C8250" s="81" t="s">
        <v>4082</v>
      </c>
      <c r="D8250" s="83" t="s">
        <v>4380</v>
      </c>
      <c r="E8250" s="81" t="s">
        <v>1617</v>
      </c>
      <c r="F8250" s="81">
        <v>319.0</v>
      </c>
      <c r="G8250" s="81" t="s">
        <v>39</v>
      </c>
      <c r="H8250" s="81" t="s">
        <v>224</v>
      </c>
      <c r="I8250" s="81" t="s">
        <v>224</v>
      </c>
      <c r="J8250" s="81" t="s">
        <v>5616</v>
      </c>
    </row>
    <row r="8251">
      <c r="A8251" s="83" t="s">
        <v>6764</v>
      </c>
      <c r="B8251" s="83" t="s">
        <v>6765</v>
      </c>
      <c r="C8251" s="81" t="s">
        <v>4086</v>
      </c>
      <c r="D8251" s="83" t="s">
        <v>4382</v>
      </c>
      <c r="E8251" s="81" t="s">
        <v>1623</v>
      </c>
      <c r="F8251" s="81">
        <v>321.0</v>
      </c>
      <c r="G8251" s="81" t="s">
        <v>42</v>
      </c>
      <c r="H8251" s="81" t="s">
        <v>224</v>
      </c>
      <c r="I8251" s="81" t="s">
        <v>1321</v>
      </c>
      <c r="J8251" s="81" t="s">
        <v>224</v>
      </c>
    </row>
    <row r="8252">
      <c r="A8252" s="83" t="s">
        <v>6764</v>
      </c>
      <c r="B8252" s="83" t="s">
        <v>6765</v>
      </c>
      <c r="C8252" s="81" t="s">
        <v>4082</v>
      </c>
      <c r="D8252" s="83" t="s">
        <v>4389</v>
      </c>
      <c r="E8252" s="81" t="s">
        <v>1678</v>
      </c>
      <c r="F8252" s="81">
        <v>332.0</v>
      </c>
      <c r="G8252" s="81" t="s">
        <v>41</v>
      </c>
      <c r="H8252" s="81" t="s">
        <v>1670</v>
      </c>
      <c r="I8252" s="81" t="s">
        <v>224</v>
      </c>
      <c r="J8252" s="81" t="s">
        <v>6350</v>
      </c>
    </row>
    <row r="8253">
      <c r="A8253" s="83" t="s">
        <v>6764</v>
      </c>
      <c r="B8253" s="83" t="s">
        <v>6765</v>
      </c>
      <c r="C8253" s="81" t="s">
        <v>4082</v>
      </c>
      <c r="D8253" s="83" t="s">
        <v>4391</v>
      </c>
      <c r="E8253" s="81" t="s">
        <v>1682</v>
      </c>
      <c r="F8253" s="81">
        <v>334.0</v>
      </c>
      <c r="G8253" s="81" t="s">
        <v>41</v>
      </c>
      <c r="H8253" s="81" t="s">
        <v>1687</v>
      </c>
      <c r="I8253" s="81" t="s">
        <v>224</v>
      </c>
      <c r="J8253" s="81" t="s">
        <v>6351</v>
      </c>
    </row>
    <row r="8254">
      <c r="A8254" s="83" t="s">
        <v>6764</v>
      </c>
      <c r="B8254" s="83" t="s">
        <v>6765</v>
      </c>
      <c r="C8254" s="81" t="s">
        <v>4082</v>
      </c>
      <c r="D8254" s="83" t="s">
        <v>4393</v>
      </c>
      <c r="E8254" s="81" t="s">
        <v>1690</v>
      </c>
      <c r="F8254" s="81">
        <v>335.0</v>
      </c>
      <c r="G8254" s="81" t="s">
        <v>41</v>
      </c>
      <c r="H8254" s="81" t="s">
        <v>1694</v>
      </c>
      <c r="I8254" s="81" t="s">
        <v>224</v>
      </c>
      <c r="J8254" s="81" t="s">
        <v>6352</v>
      </c>
    </row>
    <row r="8255">
      <c r="A8255" s="83" t="s">
        <v>6764</v>
      </c>
      <c r="B8255" s="83" t="s">
        <v>6765</v>
      </c>
      <c r="C8255" s="81" t="s">
        <v>4086</v>
      </c>
      <c r="D8255" s="83" t="s">
        <v>4395</v>
      </c>
      <c r="E8255" s="81" t="s">
        <v>1702</v>
      </c>
      <c r="F8255" s="81">
        <v>337.0</v>
      </c>
      <c r="G8255" s="81" t="s">
        <v>42</v>
      </c>
      <c r="H8255" s="81" t="s">
        <v>1171</v>
      </c>
      <c r="I8255" s="81" t="s">
        <v>1705</v>
      </c>
      <c r="J8255" s="81" t="s">
        <v>224</v>
      </c>
    </row>
    <row r="8256">
      <c r="A8256" s="83" t="s">
        <v>6764</v>
      </c>
      <c r="B8256" s="83" t="s">
        <v>6765</v>
      </c>
      <c r="C8256" s="81" t="s">
        <v>4086</v>
      </c>
      <c r="D8256" s="83" t="s">
        <v>4395</v>
      </c>
      <c r="E8256" s="81" t="s">
        <v>1706</v>
      </c>
      <c r="F8256" s="81">
        <v>338.0</v>
      </c>
      <c r="G8256" s="81" t="s">
        <v>42</v>
      </c>
      <c r="H8256" s="81" t="s">
        <v>1171</v>
      </c>
      <c r="I8256" s="81" t="s">
        <v>1705</v>
      </c>
      <c r="J8256" s="81" t="s">
        <v>224</v>
      </c>
    </row>
    <row r="8257">
      <c r="A8257" s="83" t="s">
        <v>6764</v>
      </c>
      <c r="B8257" s="83" t="s">
        <v>6765</v>
      </c>
      <c r="C8257" s="81" t="s">
        <v>4082</v>
      </c>
      <c r="D8257" s="83" t="s">
        <v>4406</v>
      </c>
      <c r="E8257" s="81" t="s">
        <v>1760</v>
      </c>
      <c r="F8257" s="81">
        <v>350.0</v>
      </c>
      <c r="G8257" s="81" t="s">
        <v>41</v>
      </c>
      <c r="H8257" s="81" t="s">
        <v>1761</v>
      </c>
      <c r="I8257" s="81" t="s">
        <v>224</v>
      </c>
      <c r="J8257" s="81" t="s">
        <v>6353</v>
      </c>
    </row>
    <row r="8258">
      <c r="A8258" s="83" t="s">
        <v>6764</v>
      </c>
      <c r="B8258" s="83" t="s">
        <v>6765</v>
      </c>
      <c r="C8258" s="81" t="s">
        <v>4086</v>
      </c>
      <c r="D8258" s="83" t="s">
        <v>4411</v>
      </c>
      <c r="E8258" s="81" t="s">
        <v>1775</v>
      </c>
      <c r="F8258" s="81">
        <v>355.0</v>
      </c>
      <c r="G8258" s="81" t="s">
        <v>42</v>
      </c>
      <c r="H8258" s="81" t="s">
        <v>6372</v>
      </c>
      <c r="I8258" s="81" t="s">
        <v>1785</v>
      </c>
      <c r="J8258" s="81" t="s">
        <v>224</v>
      </c>
    </row>
    <row r="8259">
      <c r="A8259" s="83" t="s">
        <v>6764</v>
      </c>
      <c r="B8259" s="83" t="s">
        <v>6765</v>
      </c>
      <c r="C8259" s="81" t="s">
        <v>4086</v>
      </c>
      <c r="D8259" s="83" t="s">
        <v>4411</v>
      </c>
      <c r="E8259" s="81" t="s">
        <v>1789</v>
      </c>
      <c r="F8259" s="81">
        <v>356.0</v>
      </c>
      <c r="G8259" s="81" t="s">
        <v>42</v>
      </c>
      <c r="H8259" s="81" t="s">
        <v>6372</v>
      </c>
      <c r="I8259" s="81" t="s">
        <v>1785</v>
      </c>
      <c r="J8259" s="81" t="s">
        <v>224</v>
      </c>
    </row>
    <row r="8260">
      <c r="A8260" s="83" t="s">
        <v>6764</v>
      </c>
      <c r="B8260" s="83" t="s">
        <v>6765</v>
      </c>
      <c r="C8260" s="81" t="s">
        <v>4086</v>
      </c>
      <c r="D8260" s="83" t="s">
        <v>4412</v>
      </c>
      <c r="E8260" s="81" t="s">
        <v>1790</v>
      </c>
      <c r="F8260" s="81">
        <v>357.0</v>
      </c>
      <c r="G8260" s="81" t="s">
        <v>42</v>
      </c>
      <c r="H8260" s="81" t="s">
        <v>6372</v>
      </c>
      <c r="I8260" s="81" t="s">
        <v>1785</v>
      </c>
      <c r="J8260" s="81" t="s">
        <v>224</v>
      </c>
    </row>
    <row r="8261">
      <c r="A8261" s="83" t="s">
        <v>6764</v>
      </c>
      <c r="B8261" s="83" t="s">
        <v>6765</v>
      </c>
      <c r="C8261" s="81" t="s">
        <v>4086</v>
      </c>
      <c r="D8261" s="83" t="s">
        <v>4417</v>
      </c>
      <c r="E8261" s="81" t="s">
        <v>1825</v>
      </c>
      <c r="F8261" s="81">
        <v>363.0</v>
      </c>
      <c r="G8261" s="81" t="s">
        <v>43</v>
      </c>
      <c r="H8261" s="81" t="s">
        <v>6752</v>
      </c>
      <c r="I8261" s="81" t="s">
        <v>1839</v>
      </c>
      <c r="J8261" s="81" t="s">
        <v>224</v>
      </c>
    </row>
    <row r="8262">
      <c r="A8262" s="83" t="s">
        <v>6764</v>
      </c>
      <c r="B8262" s="83" t="s">
        <v>6765</v>
      </c>
      <c r="C8262" s="81" t="s">
        <v>4086</v>
      </c>
      <c r="D8262" s="83" t="s">
        <v>4417</v>
      </c>
      <c r="E8262" s="81" t="s">
        <v>1842</v>
      </c>
      <c r="F8262" s="81">
        <v>364.0</v>
      </c>
      <c r="G8262" s="81" t="s">
        <v>43</v>
      </c>
      <c r="H8262" s="81" t="s">
        <v>6752</v>
      </c>
      <c r="I8262" s="81" t="s">
        <v>1839</v>
      </c>
      <c r="J8262" s="81" t="s">
        <v>224</v>
      </c>
    </row>
    <row r="8263">
      <c r="A8263" s="83" t="s">
        <v>6764</v>
      </c>
      <c r="B8263" s="83" t="s">
        <v>6765</v>
      </c>
      <c r="C8263" s="81" t="s">
        <v>4086</v>
      </c>
      <c r="D8263" s="83" t="s">
        <v>4419</v>
      </c>
      <c r="E8263" s="81" t="s">
        <v>1843</v>
      </c>
      <c r="F8263" s="81">
        <v>365.0</v>
      </c>
      <c r="G8263" s="81" t="s">
        <v>43</v>
      </c>
      <c r="H8263" s="81" t="s">
        <v>6752</v>
      </c>
      <c r="I8263" s="81" t="s">
        <v>1839</v>
      </c>
      <c r="J8263" s="81" t="s">
        <v>224</v>
      </c>
    </row>
    <row r="8264">
      <c r="A8264" s="83" t="s">
        <v>6764</v>
      </c>
      <c r="B8264" s="83" t="s">
        <v>6765</v>
      </c>
      <c r="C8264" s="81" t="s">
        <v>4086</v>
      </c>
      <c r="D8264" s="83" t="s">
        <v>4420</v>
      </c>
      <c r="E8264" s="81" t="s">
        <v>1844</v>
      </c>
      <c r="F8264" s="81">
        <v>366.0</v>
      </c>
      <c r="G8264" s="81" t="s">
        <v>43</v>
      </c>
      <c r="H8264" s="81" t="s">
        <v>6753</v>
      </c>
      <c r="I8264" s="81" t="s">
        <v>1847</v>
      </c>
      <c r="J8264" s="81" t="s">
        <v>224</v>
      </c>
    </row>
    <row r="8265">
      <c r="A8265" s="83" t="s">
        <v>6764</v>
      </c>
      <c r="B8265" s="83" t="s">
        <v>6765</v>
      </c>
      <c r="C8265" s="81" t="s">
        <v>4086</v>
      </c>
      <c r="D8265" s="83" t="s">
        <v>4421</v>
      </c>
      <c r="E8265" s="81" t="s">
        <v>1848</v>
      </c>
      <c r="F8265" s="81">
        <v>367.0</v>
      </c>
      <c r="G8265" s="81" t="s">
        <v>43</v>
      </c>
      <c r="H8265" s="81" t="s">
        <v>6753</v>
      </c>
      <c r="I8265" s="81" t="s">
        <v>1847</v>
      </c>
      <c r="J8265" s="81" t="s">
        <v>224</v>
      </c>
    </row>
    <row r="8266">
      <c r="A8266" s="83" t="s">
        <v>6764</v>
      </c>
      <c r="B8266" s="83" t="s">
        <v>6765</v>
      </c>
      <c r="C8266" s="81" t="s">
        <v>4086</v>
      </c>
      <c r="D8266" s="83" t="s">
        <v>4422</v>
      </c>
      <c r="E8266" s="81" t="s">
        <v>1849</v>
      </c>
      <c r="F8266" s="81">
        <v>368.0</v>
      </c>
      <c r="G8266" s="81" t="s">
        <v>43</v>
      </c>
      <c r="H8266" s="81" t="s">
        <v>6754</v>
      </c>
      <c r="I8266" s="81" t="s">
        <v>1857</v>
      </c>
      <c r="J8266" s="81" t="s">
        <v>224</v>
      </c>
    </row>
    <row r="8267">
      <c r="A8267" s="83" t="s">
        <v>6764</v>
      </c>
      <c r="B8267" s="83" t="s">
        <v>6765</v>
      </c>
      <c r="C8267" s="81" t="s">
        <v>4086</v>
      </c>
      <c r="D8267" s="83" t="s">
        <v>4423</v>
      </c>
      <c r="E8267" s="81" t="s">
        <v>1860</v>
      </c>
      <c r="F8267" s="81">
        <v>369.0</v>
      </c>
      <c r="G8267" s="81" t="s">
        <v>43</v>
      </c>
      <c r="H8267" s="81" t="s">
        <v>6754</v>
      </c>
      <c r="I8267" s="81" t="s">
        <v>1857</v>
      </c>
      <c r="J8267" s="81" t="s">
        <v>224</v>
      </c>
    </row>
    <row r="8268">
      <c r="A8268" s="83" t="s">
        <v>6764</v>
      </c>
      <c r="B8268" s="83" t="s">
        <v>6765</v>
      </c>
      <c r="C8268" s="81" t="s">
        <v>4086</v>
      </c>
      <c r="D8268" s="83" t="s">
        <v>4424</v>
      </c>
      <c r="E8268" s="81" t="s">
        <v>1861</v>
      </c>
      <c r="F8268" s="81">
        <v>370.0</v>
      </c>
      <c r="G8268" s="81" t="s">
        <v>43</v>
      </c>
      <c r="H8268" s="81" t="s">
        <v>6755</v>
      </c>
      <c r="I8268" s="81" t="s">
        <v>1862</v>
      </c>
      <c r="J8268" s="81" t="s">
        <v>224</v>
      </c>
    </row>
    <row r="8269">
      <c r="A8269" s="83" t="s">
        <v>6764</v>
      </c>
      <c r="B8269" s="83" t="s">
        <v>6765</v>
      </c>
      <c r="C8269" s="81" t="s">
        <v>4086</v>
      </c>
      <c r="D8269" s="83" t="s">
        <v>4425</v>
      </c>
      <c r="E8269" s="81" t="s">
        <v>1863</v>
      </c>
      <c r="F8269" s="81">
        <v>371.0</v>
      </c>
      <c r="G8269" s="81" t="s">
        <v>43</v>
      </c>
      <c r="H8269" s="81" t="s">
        <v>6755</v>
      </c>
      <c r="I8269" s="81" t="s">
        <v>1862</v>
      </c>
      <c r="J8269" s="81" t="s">
        <v>224</v>
      </c>
    </row>
    <row r="8270">
      <c r="A8270" s="83" t="s">
        <v>6764</v>
      </c>
      <c r="B8270" s="83" t="s">
        <v>6765</v>
      </c>
      <c r="C8270" s="81" t="s">
        <v>4086</v>
      </c>
      <c r="D8270" s="83" t="s">
        <v>4426</v>
      </c>
      <c r="E8270" s="81" t="s">
        <v>1864</v>
      </c>
      <c r="F8270" s="81">
        <v>372.0</v>
      </c>
      <c r="G8270" s="81" t="s">
        <v>43</v>
      </c>
      <c r="H8270" s="81" t="s">
        <v>6756</v>
      </c>
      <c r="I8270" s="81" t="s">
        <v>1871</v>
      </c>
      <c r="J8270" s="81" t="s">
        <v>224</v>
      </c>
    </row>
    <row r="8271">
      <c r="A8271" s="83" t="s">
        <v>6764</v>
      </c>
      <c r="B8271" s="83" t="s">
        <v>6765</v>
      </c>
      <c r="C8271" s="81" t="s">
        <v>4082</v>
      </c>
      <c r="D8271" s="83" t="s">
        <v>4429</v>
      </c>
      <c r="E8271" s="81" t="s">
        <v>1900</v>
      </c>
      <c r="F8271" s="81">
        <v>375.0</v>
      </c>
      <c r="G8271" s="81" t="s">
        <v>39</v>
      </c>
      <c r="H8271" s="81" t="s">
        <v>224</v>
      </c>
      <c r="I8271" s="81" t="s">
        <v>224</v>
      </c>
      <c r="J8271" s="81" t="s">
        <v>5711</v>
      </c>
    </row>
    <row r="8272">
      <c r="A8272" s="83" t="s">
        <v>6764</v>
      </c>
      <c r="B8272" s="83" t="s">
        <v>6765</v>
      </c>
      <c r="C8272" s="81" t="s">
        <v>4086</v>
      </c>
      <c r="D8272" s="83" t="s">
        <v>4435</v>
      </c>
      <c r="E8272" s="81" t="s">
        <v>1974</v>
      </c>
      <c r="F8272" s="81">
        <v>385.0</v>
      </c>
      <c r="G8272" s="81" t="s">
        <v>42</v>
      </c>
      <c r="H8272" s="81" t="s">
        <v>6375</v>
      </c>
      <c r="I8272" s="81" t="s">
        <v>1983</v>
      </c>
      <c r="J8272" s="81" t="s">
        <v>224</v>
      </c>
    </row>
    <row r="8273">
      <c r="A8273" s="83" t="s">
        <v>6764</v>
      </c>
      <c r="B8273" s="83" t="s">
        <v>6765</v>
      </c>
      <c r="C8273" s="81" t="s">
        <v>4086</v>
      </c>
      <c r="D8273" s="83" t="s">
        <v>4435</v>
      </c>
      <c r="E8273" s="81" t="s">
        <v>1987</v>
      </c>
      <c r="F8273" s="81">
        <v>386.0</v>
      </c>
      <c r="G8273" s="81" t="s">
        <v>42</v>
      </c>
      <c r="H8273" s="81" t="s">
        <v>6375</v>
      </c>
      <c r="I8273" s="81" t="s">
        <v>1983</v>
      </c>
      <c r="J8273" s="81" t="s">
        <v>224</v>
      </c>
    </row>
    <row r="8274">
      <c r="A8274" s="83" t="s">
        <v>6764</v>
      </c>
      <c r="B8274" s="83" t="s">
        <v>6765</v>
      </c>
      <c r="C8274" s="81" t="s">
        <v>4086</v>
      </c>
      <c r="D8274" s="83" t="s">
        <v>4436</v>
      </c>
      <c r="E8274" s="81" t="s">
        <v>1989</v>
      </c>
      <c r="F8274" s="81">
        <v>387.0</v>
      </c>
      <c r="G8274" s="81" t="s">
        <v>42</v>
      </c>
      <c r="H8274" s="81" t="s">
        <v>6375</v>
      </c>
      <c r="I8274" s="81" t="s">
        <v>1993</v>
      </c>
      <c r="J8274" s="81" t="s">
        <v>224</v>
      </c>
    </row>
    <row r="8275">
      <c r="A8275" s="83" t="s">
        <v>6764</v>
      </c>
      <c r="B8275" s="83" t="s">
        <v>6765</v>
      </c>
      <c r="C8275" s="81" t="s">
        <v>4082</v>
      </c>
      <c r="D8275" s="83" t="s">
        <v>4475</v>
      </c>
      <c r="E8275" s="81" t="s">
        <v>2225</v>
      </c>
      <c r="F8275" s="81">
        <v>426.0</v>
      </c>
      <c r="G8275" s="81" t="s">
        <v>41</v>
      </c>
      <c r="H8275" s="81" t="s">
        <v>2226</v>
      </c>
      <c r="I8275" s="81" t="s">
        <v>224</v>
      </c>
      <c r="J8275" s="81" t="s">
        <v>6354</v>
      </c>
    </row>
    <row r="8276">
      <c r="A8276" s="83" t="s">
        <v>6764</v>
      </c>
      <c r="B8276" s="83" t="s">
        <v>6765</v>
      </c>
      <c r="C8276" s="81" t="s">
        <v>4082</v>
      </c>
      <c r="D8276" s="83" t="s">
        <v>4490</v>
      </c>
      <c r="E8276" s="81" t="s">
        <v>2295</v>
      </c>
      <c r="F8276" s="81">
        <v>440.0</v>
      </c>
      <c r="G8276" s="81" t="s">
        <v>41</v>
      </c>
      <c r="H8276" s="81" t="s">
        <v>2296</v>
      </c>
      <c r="I8276" s="81" t="s">
        <v>224</v>
      </c>
      <c r="J8276" s="81" t="s">
        <v>6355</v>
      </c>
    </row>
    <row r="8277">
      <c r="A8277" s="83" t="s">
        <v>6764</v>
      </c>
      <c r="B8277" s="83" t="s">
        <v>6765</v>
      </c>
      <c r="C8277" s="81" t="s">
        <v>4086</v>
      </c>
      <c r="D8277" s="83" t="s">
        <v>4503</v>
      </c>
      <c r="E8277" s="81" t="s">
        <v>2334</v>
      </c>
      <c r="F8277" s="81">
        <v>452.0</v>
      </c>
      <c r="G8277" s="81" t="s">
        <v>43</v>
      </c>
      <c r="H8277" s="81" t="s">
        <v>6756</v>
      </c>
      <c r="I8277" s="81" t="s">
        <v>1871</v>
      </c>
      <c r="J8277" s="81" t="s">
        <v>224</v>
      </c>
    </row>
    <row r="8278">
      <c r="A8278" s="83" t="s">
        <v>6764</v>
      </c>
      <c r="B8278" s="83" t="s">
        <v>6765</v>
      </c>
      <c r="C8278" s="81" t="s">
        <v>4086</v>
      </c>
      <c r="D8278" s="83" t="s">
        <v>4504</v>
      </c>
      <c r="E8278" s="81" t="s">
        <v>2335</v>
      </c>
      <c r="F8278" s="81">
        <v>453.0</v>
      </c>
      <c r="G8278" s="81" t="s">
        <v>43</v>
      </c>
      <c r="H8278" s="81" t="s">
        <v>6757</v>
      </c>
      <c r="I8278" s="81" t="s">
        <v>2336</v>
      </c>
      <c r="J8278" s="81" t="s">
        <v>224</v>
      </c>
    </row>
    <row r="8279">
      <c r="A8279" s="83" t="s">
        <v>6764</v>
      </c>
      <c r="B8279" s="83" t="s">
        <v>6765</v>
      </c>
      <c r="C8279" s="81" t="s">
        <v>4086</v>
      </c>
      <c r="D8279" s="83" t="s">
        <v>4505</v>
      </c>
      <c r="E8279" s="81" t="s">
        <v>2337</v>
      </c>
      <c r="F8279" s="81">
        <v>454.0</v>
      </c>
      <c r="G8279" s="81" t="s">
        <v>43</v>
      </c>
      <c r="H8279" s="81" t="s">
        <v>6757</v>
      </c>
      <c r="I8279" s="81" t="s">
        <v>2336</v>
      </c>
      <c r="J8279" s="81" t="s">
        <v>224</v>
      </c>
    </row>
    <row r="8280">
      <c r="A8280" s="83" t="s">
        <v>6764</v>
      </c>
      <c r="B8280" s="83" t="s">
        <v>6765</v>
      </c>
      <c r="C8280" s="81" t="s">
        <v>4086</v>
      </c>
      <c r="D8280" s="83" t="s">
        <v>4532</v>
      </c>
      <c r="E8280" s="81" t="s">
        <v>2504</v>
      </c>
      <c r="F8280" s="81">
        <v>479.0</v>
      </c>
      <c r="G8280" s="81" t="s">
        <v>43</v>
      </c>
      <c r="H8280" s="81" t="s">
        <v>5865</v>
      </c>
      <c r="I8280" s="81" t="s">
        <v>2512</v>
      </c>
      <c r="J8280" s="81" t="s">
        <v>224</v>
      </c>
    </row>
    <row r="8281">
      <c r="A8281" s="83" t="s">
        <v>6764</v>
      </c>
      <c r="B8281" s="83" t="s">
        <v>6765</v>
      </c>
      <c r="C8281" s="81" t="s">
        <v>4086</v>
      </c>
      <c r="D8281" s="83" t="s">
        <v>4532</v>
      </c>
      <c r="E8281" s="81" t="s">
        <v>2515</v>
      </c>
      <c r="F8281" s="81">
        <v>480.0</v>
      </c>
      <c r="G8281" s="81" t="s">
        <v>43</v>
      </c>
      <c r="H8281" s="81" t="s">
        <v>5865</v>
      </c>
      <c r="I8281" s="81" t="s">
        <v>2512</v>
      </c>
      <c r="J8281" s="81" t="s">
        <v>224</v>
      </c>
    </row>
    <row r="8282">
      <c r="A8282" s="83" t="s">
        <v>6764</v>
      </c>
      <c r="B8282" s="83" t="s">
        <v>6765</v>
      </c>
      <c r="C8282" s="81" t="s">
        <v>4086</v>
      </c>
      <c r="D8282" s="83" t="s">
        <v>4534</v>
      </c>
      <c r="E8282" s="81" t="s">
        <v>2516</v>
      </c>
      <c r="F8282" s="81">
        <v>481.0</v>
      </c>
      <c r="G8282" s="81" t="s">
        <v>43</v>
      </c>
      <c r="H8282" s="81" t="s">
        <v>224</v>
      </c>
      <c r="I8282" s="81" t="s">
        <v>2512</v>
      </c>
      <c r="J8282" s="81" t="s">
        <v>224</v>
      </c>
    </row>
    <row r="8283">
      <c r="A8283" s="83" t="s">
        <v>6764</v>
      </c>
      <c r="B8283" s="83" t="s">
        <v>6765</v>
      </c>
      <c r="C8283" s="81" t="s">
        <v>5141</v>
      </c>
      <c r="D8283" s="83" t="s">
        <v>4540</v>
      </c>
      <c r="E8283" s="81" t="s">
        <v>2549</v>
      </c>
      <c r="F8283" s="81">
        <v>487.0</v>
      </c>
      <c r="G8283" s="81" t="s">
        <v>42</v>
      </c>
      <c r="H8283" s="81" t="s">
        <v>6380</v>
      </c>
      <c r="I8283" s="81" t="s">
        <v>224</v>
      </c>
      <c r="J8283" s="81" t="s">
        <v>6751</v>
      </c>
    </row>
    <row r="8284">
      <c r="A8284" s="83" t="s">
        <v>6764</v>
      </c>
      <c r="B8284" s="83" t="s">
        <v>6765</v>
      </c>
      <c r="C8284" s="81" t="s">
        <v>5141</v>
      </c>
      <c r="D8284" s="83" t="s">
        <v>4540</v>
      </c>
      <c r="E8284" s="81" t="s">
        <v>2562</v>
      </c>
      <c r="F8284" s="81">
        <v>488.0</v>
      </c>
      <c r="G8284" s="81" t="s">
        <v>42</v>
      </c>
      <c r="H8284" s="81" t="s">
        <v>6380</v>
      </c>
      <c r="I8284" s="81" t="s">
        <v>224</v>
      </c>
      <c r="J8284" s="81" t="s">
        <v>6751</v>
      </c>
    </row>
    <row r="8285">
      <c r="A8285" s="83" t="s">
        <v>6764</v>
      </c>
      <c r="B8285" s="83" t="s">
        <v>6765</v>
      </c>
      <c r="C8285" s="81" t="s">
        <v>5141</v>
      </c>
      <c r="D8285" s="83" t="s">
        <v>4543</v>
      </c>
      <c r="E8285" s="81" t="s">
        <v>2563</v>
      </c>
      <c r="F8285" s="81">
        <v>489.0</v>
      </c>
      <c r="G8285" s="81" t="s">
        <v>42</v>
      </c>
      <c r="H8285" s="81" t="s">
        <v>6380</v>
      </c>
      <c r="I8285" s="81" t="s">
        <v>224</v>
      </c>
      <c r="J8285" s="81" t="s">
        <v>6751</v>
      </c>
    </row>
    <row r="8286">
      <c r="A8286" s="83" t="s">
        <v>6764</v>
      </c>
      <c r="B8286" s="83" t="s">
        <v>6765</v>
      </c>
      <c r="C8286" s="81" t="s">
        <v>5141</v>
      </c>
      <c r="D8286" s="83" t="s">
        <v>4544</v>
      </c>
      <c r="E8286" s="81" t="s">
        <v>2566</v>
      </c>
      <c r="F8286" s="81">
        <v>490.0</v>
      </c>
      <c r="G8286" s="81" t="s">
        <v>42</v>
      </c>
      <c r="H8286" s="81" t="s">
        <v>6380</v>
      </c>
      <c r="I8286" s="81" t="s">
        <v>224</v>
      </c>
      <c r="J8286" s="81" t="s">
        <v>6751</v>
      </c>
    </row>
    <row r="8287">
      <c r="A8287" s="83" t="s">
        <v>6764</v>
      </c>
      <c r="B8287" s="83" t="s">
        <v>6765</v>
      </c>
      <c r="C8287" s="81" t="s">
        <v>5141</v>
      </c>
      <c r="D8287" s="83" t="s">
        <v>4544</v>
      </c>
      <c r="E8287" s="81" t="s">
        <v>2573</v>
      </c>
      <c r="F8287" s="81">
        <v>491.0</v>
      </c>
      <c r="G8287" s="81" t="s">
        <v>42</v>
      </c>
      <c r="H8287" s="81" t="s">
        <v>6380</v>
      </c>
      <c r="I8287" s="81" t="s">
        <v>224</v>
      </c>
      <c r="J8287" s="81" t="s">
        <v>6751</v>
      </c>
    </row>
    <row r="8288">
      <c r="A8288" s="83" t="s">
        <v>6764</v>
      </c>
      <c r="B8288" s="83" t="s">
        <v>6765</v>
      </c>
      <c r="C8288" s="81" t="s">
        <v>5141</v>
      </c>
      <c r="D8288" s="83" t="s">
        <v>4546</v>
      </c>
      <c r="E8288" s="81" t="s">
        <v>2574</v>
      </c>
      <c r="F8288" s="81">
        <v>492.0</v>
      </c>
      <c r="G8288" s="81" t="s">
        <v>42</v>
      </c>
      <c r="H8288" s="81" t="s">
        <v>6380</v>
      </c>
      <c r="I8288" s="81" t="s">
        <v>224</v>
      </c>
      <c r="J8288" s="81" t="s">
        <v>6751</v>
      </c>
    </row>
    <row r="8289">
      <c r="A8289" s="83" t="s">
        <v>6764</v>
      </c>
      <c r="B8289" s="83" t="s">
        <v>6765</v>
      </c>
      <c r="C8289" s="81" t="s">
        <v>4086</v>
      </c>
      <c r="D8289" s="83" t="s">
        <v>4558</v>
      </c>
      <c r="E8289" s="81" t="s">
        <v>2619</v>
      </c>
      <c r="F8289" s="81">
        <v>504.0</v>
      </c>
      <c r="G8289" s="81" t="s">
        <v>42</v>
      </c>
      <c r="H8289" s="81" t="s">
        <v>6381</v>
      </c>
      <c r="I8289" s="81" t="s">
        <v>2630</v>
      </c>
      <c r="J8289" s="81" t="s">
        <v>224</v>
      </c>
    </row>
    <row r="8290">
      <c r="A8290" s="83" t="s">
        <v>6764</v>
      </c>
      <c r="B8290" s="83" t="s">
        <v>6765</v>
      </c>
      <c r="C8290" s="81" t="s">
        <v>4082</v>
      </c>
      <c r="D8290" s="83" t="s">
        <v>4558</v>
      </c>
      <c r="E8290" s="81" t="s">
        <v>2619</v>
      </c>
      <c r="F8290" s="81">
        <v>504.0</v>
      </c>
      <c r="G8290" s="81" t="s">
        <v>41</v>
      </c>
      <c r="H8290" s="81" t="s">
        <v>2629</v>
      </c>
      <c r="I8290" s="81" t="s">
        <v>224</v>
      </c>
      <c r="J8290" s="81" t="s">
        <v>6356</v>
      </c>
    </row>
    <row r="8291">
      <c r="A8291" s="83" t="s">
        <v>6764</v>
      </c>
      <c r="B8291" s="83" t="s">
        <v>6765</v>
      </c>
      <c r="C8291" s="81" t="s">
        <v>4086</v>
      </c>
      <c r="D8291" s="83" t="s">
        <v>4558</v>
      </c>
      <c r="E8291" s="81" t="s">
        <v>2634</v>
      </c>
      <c r="F8291" s="81">
        <v>505.0</v>
      </c>
      <c r="G8291" s="81" t="s">
        <v>42</v>
      </c>
      <c r="H8291" s="81" t="s">
        <v>6381</v>
      </c>
      <c r="I8291" s="81" t="s">
        <v>2630</v>
      </c>
      <c r="J8291" s="81" t="s">
        <v>224</v>
      </c>
    </row>
    <row r="8292">
      <c r="A8292" s="83" t="s">
        <v>6764</v>
      </c>
      <c r="B8292" s="83" t="s">
        <v>6765</v>
      </c>
      <c r="C8292" s="81" t="s">
        <v>4086</v>
      </c>
      <c r="D8292" s="83" t="s">
        <v>4560</v>
      </c>
      <c r="E8292" s="81" t="s">
        <v>2635</v>
      </c>
      <c r="F8292" s="81">
        <v>506.0</v>
      </c>
      <c r="G8292" s="81" t="s">
        <v>42</v>
      </c>
      <c r="H8292" s="81" t="s">
        <v>6381</v>
      </c>
      <c r="I8292" s="81" t="s">
        <v>2630</v>
      </c>
      <c r="J8292" s="81" t="s">
        <v>224</v>
      </c>
    </row>
    <row r="8293">
      <c r="A8293" s="83" t="s">
        <v>6764</v>
      </c>
      <c r="B8293" s="83" t="s">
        <v>6765</v>
      </c>
      <c r="C8293" s="81" t="s">
        <v>4086</v>
      </c>
      <c r="D8293" s="83" t="s">
        <v>4561</v>
      </c>
      <c r="E8293" s="81" t="s">
        <v>2638</v>
      </c>
      <c r="F8293" s="81">
        <v>507.0</v>
      </c>
      <c r="G8293" s="81" t="s">
        <v>42</v>
      </c>
      <c r="H8293" s="81" t="s">
        <v>6381</v>
      </c>
      <c r="I8293" s="81" t="s">
        <v>2644</v>
      </c>
      <c r="J8293" s="81" t="s">
        <v>224</v>
      </c>
    </row>
    <row r="8294">
      <c r="A8294" s="83" t="s">
        <v>6764</v>
      </c>
      <c r="B8294" s="83" t="s">
        <v>6765</v>
      </c>
      <c r="C8294" s="81" t="s">
        <v>4086</v>
      </c>
      <c r="D8294" s="83" t="s">
        <v>4562</v>
      </c>
      <c r="E8294" s="81" t="s">
        <v>2648</v>
      </c>
      <c r="F8294" s="81">
        <v>508.0</v>
      </c>
      <c r="G8294" s="81" t="s">
        <v>42</v>
      </c>
      <c r="H8294" s="81" t="s">
        <v>6381</v>
      </c>
      <c r="I8294" s="81" t="s">
        <v>2644</v>
      </c>
      <c r="J8294" s="81" t="s">
        <v>224</v>
      </c>
    </row>
    <row r="8295">
      <c r="A8295" s="83" t="s">
        <v>6764</v>
      </c>
      <c r="B8295" s="83" t="s">
        <v>6765</v>
      </c>
      <c r="C8295" s="81" t="s">
        <v>5141</v>
      </c>
      <c r="D8295" s="83" t="s">
        <v>4563</v>
      </c>
      <c r="E8295" s="81" t="s">
        <v>2651</v>
      </c>
      <c r="F8295" s="81">
        <v>509.0</v>
      </c>
      <c r="G8295" s="81" t="s">
        <v>42</v>
      </c>
      <c r="H8295" s="81" t="s">
        <v>6380</v>
      </c>
      <c r="I8295" s="81" t="s">
        <v>224</v>
      </c>
      <c r="J8295" s="81" t="s">
        <v>6751</v>
      </c>
    </row>
    <row r="8296">
      <c r="A8296" s="83" t="s">
        <v>6764</v>
      </c>
      <c r="B8296" s="83" t="s">
        <v>6765</v>
      </c>
      <c r="C8296" s="81" t="s">
        <v>5141</v>
      </c>
      <c r="D8296" s="83" t="s">
        <v>4564</v>
      </c>
      <c r="E8296" s="81" t="s">
        <v>2659</v>
      </c>
      <c r="F8296" s="81">
        <v>510.0</v>
      </c>
      <c r="G8296" s="81" t="s">
        <v>42</v>
      </c>
      <c r="H8296" s="81" t="s">
        <v>6380</v>
      </c>
      <c r="I8296" s="81" t="s">
        <v>224</v>
      </c>
      <c r="J8296" s="81" t="s">
        <v>6751</v>
      </c>
    </row>
    <row r="8297">
      <c r="A8297" s="83" t="s">
        <v>6764</v>
      </c>
      <c r="B8297" s="83" t="s">
        <v>6765</v>
      </c>
      <c r="C8297" s="81" t="s">
        <v>5141</v>
      </c>
      <c r="D8297" s="83" t="s">
        <v>4565</v>
      </c>
      <c r="E8297" s="81" t="s">
        <v>2661</v>
      </c>
      <c r="F8297" s="81">
        <v>511.0</v>
      </c>
      <c r="G8297" s="81" t="s">
        <v>42</v>
      </c>
      <c r="H8297" s="81" t="s">
        <v>6380</v>
      </c>
      <c r="I8297" s="81" t="s">
        <v>224</v>
      </c>
      <c r="J8297" s="81" t="s">
        <v>6751</v>
      </c>
    </row>
    <row r="8298">
      <c r="A8298" s="83" t="s">
        <v>6764</v>
      </c>
      <c r="B8298" s="83" t="s">
        <v>6765</v>
      </c>
      <c r="C8298" s="81" t="s">
        <v>5141</v>
      </c>
      <c r="D8298" s="83" t="s">
        <v>4566</v>
      </c>
      <c r="E8298" s="81" t="s">
        <v>2667</v>
      </c>
      <c r="F8298" s="81">
        <v>512.0</v>
      </c>
      <c r="G8298" s="81" t="s">
        <v>42</v>
      </c>
      <c r="H8298" s="81" t="s">
        <v>6380</v>
      </c>
      <c r="I8298" s="81" t="s">
        <v>224</v>
      </c>
      <c r="J8298" s="81" t="s">
        <v>6751</v>
      </c>
    </row>
    <row r="8299">
      <c r="A8299" s="83" t="s">
        <v>6764</v>
      </c>
      <c r="B8299" s="83" t="s">
        <v>6765</v>
      </c>
      <c r="C8299" s="81" t="s">
        <v>4082</v>
      </c>
      <c r="D8299" s="83" t="s">
        <v>4608</v>
      </c>
      <c r="E8299" s="81" t="s">
        <v>2906</v>
      </c>
      <c r="F8299" s="81">
        <v>560.0</v>
      </c>
      <c r="G8299" s="81" t="s">
        <v>41</v>
      </c>
      <c r="H8299" s="81" t="s">
        <v>2907</v>
      </c>
      <c r="I8299" s="81" t="s">
        <v>224</v>
      </c>
      <c r="J8299" s="81" t="s">
        <v>6357</v>
      </c>
    </row>
    <row r="8300">
      <c r="A8300" s="83" t="s">
        <v>6764</v>
      </c>
      <c r="B8300" s="83" t="s">
        <v>6765</v>
      </c>
      <c r="C8300" s="81" t="s">
        <v>4086</v>
      </c>
      <c r="D8300" s="83" t="s">
        <v>4637</v>
      </c>
      <c r="E8300" s="81" t="s">
        <v>3013</v>
      </c>
      <c r="F8300" s="81">
        <v>580.0</v>
      </c>
      <c r="G8300" s="81" t="s">
        <v>43</v>
      </c>
      <c r="H8300" s="81" t="s">
        <v>5992</v>
      </c>
      <c r="I8300" s="81" t="s">
        <v>3023</v>
      </c>
      <c r="J8300" s="81" t="s">
        <v>224</v>
      </c>
    </row>
    <row r="8301">
      <c r="A8301" s="83" t="s">
        <v>6764</v>
      </c>
      <c r="B8301" s="83" t="s">
        <v>6765</v>
      </c>
      <c r="C8301" s="81" t="s">
        <v>4086</v>
      </c>
      <c r="D8301" s="83" t="s">
        <v>4637</v>
      </c>
      <c r="E8301" s="81" t="s">
        <v>3026</v>
      </c>
      <c r="F8301" s="81">
        <v>581.0</v>
      </c>
      <c r="G8301" s="81" t="s">
        <v>43</v>
      </c>
      <c r="H8301" s="81" t="s">
        <v>5992</v>
      </c>
      <c r="I8301" s="81" t="s">
        <v>3023</v>
      </c>
      <c r="J8301" s="81" t="s">
        <v>224</v>
      </c>
    </row>
    <row r="8302">
      <c r="A8302" s="83" t="s">
        <v>6764</v>
      </c>
      <c r="B8302" s="83" t="s">
        <v>6765</v>
      </c>
      <c r="C8302" s="81" t="s">
        <v>4086</v>
      </c>
      <c r="D8302" s="83" t="s">
        <v>4639</v>
      </c>
      <c r="E8302" s="81" t="s">
        <v>3027</v>
      </c>
      <c r="F8302" s="81">
        <v>582.0</v>
      </c>
      <c r="G8302" s="81" t="s">
        <v>43</v>
      </c>
      <c r="H8302" s="81" t="s">
        <v>224</v>
      </c>
      <c r="I8302" s="81" t="s">
        <v>3023</v>
      </c>
      <c r="J8302" s="81" t="s">
        <v>224</v>
      </c>
    </row>
    <row r="8303">
      <c r="A8303" s="83" t="s">
        <v>6764</v>
      </c>
      <c r="B8303" s="83" t="s">
        <v>6765</v>
      </c>
      <c r="C8303" s="81" t="s">
        <v>4086</v>
      </c>
      <c r="D8303" s="83" t="s">
        <v>4643</v>
      </c>
      <c r="E8303" s="81" t="s">
        <v>3046</v>
      </c>
      <c r="F8303" s="81">
        <v>586.0</v>
      </c>
      <c r="G8303" s="81" t="s">
        <v>43</v>
      </c>
      <c r="H8303" s="81" t="s">
        <v>6003</v>
      </c>
      <c r="I8303" s="81" t="s">
        <v>3055</v>
      </c>
      <c r="J8303" s="81" t="s">
        <v>224</v>
      </c>
    </row>
    <row r="8304">
      <c r="A8304" s="83" t="s">
        <v>6764</v>
      </c>
      <c r="B8304" s="83" t="s">
        <v>6765</v>
      </c>
      <c r="C8304" s="81" t="s">
        <v>4086</v>
      </c>
      <c r="D8304" s="83" t="s">
        <v>4643</v>
      </c>
      <c r="E8304" s="81" t="s">
        <v>3058</v>
      </c>
      <c r="F8304" s="81">
        <v>587.0</v>
      </c>
      <c r="G8304" s="81" t="s">
        <v>43</v>
      </c>
      <c r="H8304" s="81" t="s">
        <v>6003</v>
      </c>
      <c r="I8304" s="81" t="s">
        <v>3055</v>
      </c>
      <c r="J8304" s="81" t="s">
        <v>224</v>
      </c>
    </row>
    <row r="8305">
      <c r="A8305" s="83" t="s">
        <v>6764</v>
      </c>
      <c r="B8305" s="83" t="s">
        <v>6765</v>
      </c>
      <c r="C8305" s="81" t="s">
        <v>4086</v>
      </c>
      <c r="D8305" s="83" t="s">
        <v>4644</v>
      </c>
      <c r="E8305" s="81" t="s">
        <v>3059</v>
      </c>
      <c r="F8305" s="81">
        <v>588.0</v>
      </c>
      <c r="G8305" s="81" t="s">
        <v>43</v>
      </c>
      <c r="H8305" s="81" t="s">
        <v>224</v>
      </c>
      <c r="I8305" s="81" t="s">
        <v>3055</v>
      </c>
      <c r="J8305" s="81" t="s">
        <v>224</v>
      </c>
    </row>
    <row r="8306">
      <c r="A8306" s="83" t="s">
        <v>6764</v>
      </c>
      <c r="B8306" s="83" t="s">
        <v>6765</v>
      </c>
      <c r="C8306" s="81" t="s">
        <v>5141</v>
      </c>
      <c r="D8306" s="83" t="s">
        <v>4648</v>
      </c>
      <c r="E8306" s="81" t="s">
        <v>3077</v>
      </c>
      <c r="F8306" s="81">
        <v>592.0</v>
      </c>
      <c r="G8306" s="81" t="s">
        <v>43</v>
      </c>
      <c r="H8306" s="81" t="s">
        <v>6758</v>
      </c>
      <c r="I8306" s="81" t="s">
        <v>224</v>
      </c>
      <c r="J8306" s="81" t="s">
        <v>6749</v>
      </c>
    </row>
    <row r="8307">
      <c r="A8307" s="83" t="s">
        <v>6764</v>
      </c>
      <c r="B8307" s="83" t="s">
        <v>6765</v>
      </c>
      <c r="C8307" s="81" t="s">
        <v>5141</v>
      </c>
      <c r="D8307" s="83" t="s">
        <v>4648</v>
      </c>
      <c r="E8307" s="81" t="s">
        <v>3090</v>
      </c>
      <c r="F8307" s="81">
        <v>593.0</v>
      </c>
      <c r="G8307" s="81" t="s">
        <v>43</v>
      </c>
      <c r="H8307" s="81" t="s">
        <v>6758</v>
      </c>
      <c r="I8307" s="81" t="s">
        <v>224</v>
      </c>
      <c r="J8307" s="81" t="s">
        <v>6749</v>
      </c>
    </row>
    <row r="8308">
      <c r="A8308" s="83" t="s">
        <v>6764</v>
      </c>
      <c r="B8308" s="83" t="s">
        <v>6765</v>
      </c>
      <c r="C8308" s="81" t="s">
        <v>5141</v>
      </c>
      <c r="D8308" s="83" t="s">
        <v>4650</v>
      </c>
      <c r="E8308" s="81" t="s">
        <v>3091</v>
      </c>
      <c r="F8308" s="81">
        <v>594.0</v>
      </c>
      <c r="G8308" s="81" t="s">
        <v>43</v>
      </c>
      <c r="H8308" s="81" t="s">
        <v>6758</v>
      </c>
      <c r="I8308" s="81" t="s">
        <v>224</v>
      </c>
      <c r="J8308" s="81" t="s">
        <v>6749</v>
      </c>
    </row>
    <row r="8309">
      <c r="A8309" s="83" t="s">
        <v>6764</v>
      </c>
      <c r="B8309" s="83" t="s">
        <v>6765</v>
      </c>
      <c r="C8309" s="81" t="s">
        <v>4086</v>
      </c>
      <c r="D8309" s="83" t="s">
        <v>4651</v>
      </c>
      <c r="E8309" s="81" t="s">
        <v>3094</v>
      </c>
      <c r="F8309" s="81">
        <v>595.0</v>
      </c>
      <c r="G8309" s="81" t="s">
        <v>42</v>
      </c>
      <c r="H8309" s="81" t="s">
        <v>6393</v>
      </c>
      <c r="I8309" s="81" t="s">
        <v>3103</v>
      </c>
      <c r="J8309" s="81" t="s">
        <v>224</v>
      </c>
    </row>
    <row r="8310">
      <c r="A8310" s="83" t="s">
        <v>6764</v>
      </c>
      <c r="B8310" s="83" t="s">
        <v>6765</v>
      </c>
      <c r="C8310" s="81" t="s">
        <v>4086</v>
      </c>
      <c r="D8310" s="83" t="s">
        <v>4672</v>
      </c>
      <c r="E8310" s="81" t="s">
        <v>3170</v>
      </c>
      <c r="F8310" s="81">
        <v>602.0</v>
      </c>
      <c r="G8310" s="81" t="s">
        <v>43</v>
      </c>
      <c r="H8310" s="81" t="s">
        <v>6034</v>
      </c>
      <c r="I8310" s="81" t="s">
        <v>3179</v>
      </c>
      <c r="J8310" s="81" t="s">
        <v>224</v>
      </c>
    </row>
    <row r="8311">
      <c r="A8311" s="83" t="s">
        <v>6764</v>
      </c>
      <c r="B8311" s="83" t="s">
        <v>6765</v>
      </c>
      <c r="C8311" s="81" t="s">
        <v>4086</v>
      </c>
      <c r="D8311" s="83" t="s">
        <v>4672</v>
      </c>
      <c r="E8311" s="81" t="s">
        <v>3182</v>
      </c>
      <c r="F8311" s="81">
        <v>603.0</v>
      </c>
      <c r="G8311" s="81" t="s">
        <v>43</v>
      </c>
      <c r="H8311" s="81" t="s">
        <v>6034</v>
      </c>
      <c r="I8311" s="81" t="s">
        <v>3179</v>
      </c>
      <c r="J8311" s="81" t="s">
        <v>224</v>
      </c>
    </row>
    <row r="8312">
      <c r="A8312" s="83" t="s">
        <v>6764</v>
      </c>
      <c r="B8312" s="83" t="s">
        <v>6765</v>
      </c>
      <c r="C8312" s="81" t="s">
        <v>4086</v>
      </c>
      <c r="D8312" s="83" t="s">
        <v>4674</v>
      </c>
      <c r="E8312" s="81" t="s">
        <v>3183</v>
      </c>
      <c r="F8312" s="81">
        <v>604.0</v>
      </c>
      <c r="G8312" s="81" t="s">
        <v>43</v>
      </c>
      <c r="H8312" s="81" t="s">
        <v>224</v>
      </c>
      <c r="I8312" s="81" t="s">
        <v>3179</v>
      </c>
      <c r="J8312" s="81" t="s">
        <v>224</v>
      </c>
    </row>
    <row r="8313">
      <c r="A8313" s="83" t="s">
        <v>6764</v>
      </c>
      <c r="B8313" s="83" t="s">
        <v>6765</v>
      </c>
      <c r="C8313" s="81" t="s">
        <v>4086</v>
      </c>
      <c r="D8313" s="83" t="s">
        <v>4674</v>
      </c>
      <c r="E8313" s="81" t="s">
        <v>3183</v>
      </c>
      <c r="F8313" s="81">
        <v>604.0</v>
      </c>
      <c r="G8313" s="81" t="s">
        <v>42</v>
      </c>
      <c r="H8313" s="81" t="s">
        <v>224</v>
      </c>
      <c r="I8313" s="81" t="s">
        <v>3178</v>
      </c>
      <c r="J8313" s="81" t="s">
        <v>224</v>
      </c>
    </row>
    <row r="8314">
      <c r="A8314" s="83" t="s">
        <v>6764</v>
      </c>
      <c r="B8314" s="83" t="s">
        <v>6765</v>
      </c>
      <c r="C8314" s="81" t="s">
        <v>4082</v>
      </c>
      <c r="D8314" s="83" t="s">
        <v>4682</v>
      </c>
      <c r="E8314" s="81" t="s">
        <v>3226</v>
      </c>
      <c r="F8314" s="81">
        <v>613.0</v>
      </c>
      <c r="G8314" s="81" t="s">
        <v>39</v>
      </c>
      <c r="H8314" s="81" t="s">
        <v>224</v>
      </c>
      <c r="I8314" s="81" t="s">
        <v>224</v>
      </c>
      <c r="J8314" s="81" t="s">
        <v>6052</v>
      </c>
    </row>
    <row r="8315">
      <c r="A8315" s="83" t="s">
        <v>6764</v>
      </c>
      <c r="B8315" s="83" t="s">
        <v>6765</v>
      </c>
      <c r="C8315" s="81" t="s">
        <v>4086</v>
      </c>
      <c r="D8315" s="83" t="s">
        <v>4699</v>
      </c>
      <c r="E8315" s="81" t="s">
        <v>3315</v>
      </c>
      <c r="F8315" s="81">
        <v>634.0</v>
      </c>
      <c r="G8315" s="81" t="s">
        <v>43</v>
      </c>
      <c r="H8315" s="81" t="s">
        <v>6759</v>
      </c>
      <c r="I8315" s="81" t="s">
        <v>3326</v>
      </c>
      <c r="J8315" s="81" t="s">
        <v>224</v>
      </c>
    </row>
    <row r="8316">
      <c r="A8316" s="83" t="s">
        <v>6764</v>
      </c>
      <c r="B8316" s="83" t="s">
        <v>6765</v>
      </c>
      <c r="C8316" s="81" t="s">
        <v>4086</v>
      </c>
      <c r="D8316" s="83" t="s">
        <v>4699</v>
      </c>
      <c r="E8316" s="81" t="s">
        <v>3315</v>
      </c>
      <c r="F8316" s="81">
        <v>634.0</v>
      </c>
      <c r="G8316" s="81" t="s">
        <v>42</v>
      </c>
      <c r="H8316" s="81" t="s">
        <v>6401</v>
      </c>
      <c r="I8316" s="81" t="s">
        <v>3325</v>
      </c>
      <c r="J8316" s="81" t="s">
        <v>224</v>
      </c>
    </row>
    <row r="8317">
      <c r="A8317" s="83" t="s">
        <v>6764</v>
      </c>
      <c r="B8317" s="83" t="s">
        <v>6765</v>
      </c>
      <c r="C8317" s="81" t="s">
        <v>4086</v>
      </c>
      <c r="D8317" s="83" t="s">
        <v>4699</v>
      </c>
      <c r="E8317" s="81" t="s">
        <v>3328</v>
      </c>
      <c r="F8317" s="81">
        <v>635.0</v>
      </c>
      <c r="G8317" s="81" t="s">
        <v>43</v>
      </c>
      <c r="H8317" s="81" t="s">
        <v>6759</v>
      </c>
      <c r="I8317" s="81" t="s">
        <v>3326</v>
      </c>
      <c r="J8317" s="81" t="s">
        <v>224</v>
      </c>
    </row>
    <row r="8318">
      <c r="A8318" s="83" t="s">
        <v>6764</v>
      </c>
      <c r="B8318" s="83" t="s">
        <v>6765</v>
      </c>
      <c r="C8318" s="81" t="s">
        <v>4086</v>
      </c>
      <c r="D8318" s="83" t="s">
        <v>4699</v>
      </c>
      <c r="E8318" s="81" t="s">
        <v>3328</v>
      </c>
      <c r="F8318" s="81">
        <v>635.0</v>
      </c>
      <c r="G8318" s="81" t="s">
        <v>42</v>
      </c>
      <c r="H8318" s="81" t="s">
        <v>6401</v>
      </c>
      <c r="I8318" s="81" t="s">
        <v>3325</v>
      </c>
      <c r="J8318" s="81" t="s">
        <v>224</v>
      </c>
    </row>
    <row r="8319">
      <c r="A8319" s="83" t="s">
        <v>6764</v>
      </c>
      <c r="B8319" s="83" t="s">
        <v>6765</v>
      </c>
      <c r="C8319" s="81" t="s">
        <v>4086</v>
      </c>
      <c r="D8319" s="83" t="s">
        <v>4701</v>
      </c>
      <c r="E8319" s="81" t="s">
        <v>3329</v>
      </c>
      <c r="F8319" s="81">
        <v>636.0</v>
      </c>
      <c r="G8319" s="81" t="s">
        <v>43</v>
      </c>
      <c r="H8319" s="81" t="s">
        <v>6760</v>
      </c>
      <c r="I8319" s="81" t="s">
        <v>3336</v>
      </c>
      <c r="J8319" s="81" t="s">
        <v>224</v>
      </c>
    </row>
    <row r="8320">
      <c r="A8320" s="83" t="s">
        <v>6764</v>
      </c>
      <c r="B8320" s="83" t="s">
        <v>6765</v>
      </c>
      <c r="C8320" s="81" t="s">
        <v>4086</v>
      </c>
      <c r="D8320" s="83" t="s">
        <v>4701</v>
      </c>
      <c r="E8320" s="81" t="s">
        <v>3329</v>
      </c>
      <c r="F8320" s="81">
        <v>636.0</v>
      </c>
      <c r="G8320" s="81" t="s">
        <v>42</v>
      </c>
      <c r="H8320" s="81" t="s">
        <v>6401</v>
      </c>
      <c r="I8320" s="81" t="s">
        <v>3335</v>
      </c>
      <c r="J8320" s="81" t="s">
        <v>224</v>
      </c>
    </row>
    <row r="8321">
      <c r="A8321" s="83" t="s">
        <v>6764</v>
      </c>
      <c r="B8321" s="83" t="s">
        <v>6765</v>
      </c>
      <c r="C8321" s="81" t="s">
        <v>4082</v>
      </c>
      <c r="D8321" s="83" t="s">
        <v>4707</v>
      </c>
      <c r="E8321" s="81" t="s">
        <v>3362</v>
      </c>
      <c r="F8321" s="81">
        <v>641.0</v>
      </c>
      <c r="G8321" s="81" t="s">
        <v>39</v>
      </c>
      <c r="H8321" s="81" t="s">
        <v>224</v>
      </c>
      <c r="I8321" s="81" t="s">
        <v>224</v>
      </c>
      <c r="J8321" s="81" t="s">
        <v>6096</v>
      </c>
    </row>
    <row r="8322">
      <c r="A8322" s="83" t="s">
        <v>6764</v>
      </c>
      <c r="B8322" s="83" t="s">
        <v>6765</v>
      </c>
      <c r="C8322" s="81" t="s">
        <v>4082</v>
      </c>
      <c r="D8322" s="83" t="s">
        <v>4709</v>
      </c>
      <c r="E8322" s="81" t="s">
        <v>3370</v>
      </c>
      <c r="F8322" s="81">
        <v>643.0</v>
      </c>
      <c r="G8322" s="81" t="s">
        <v>39</v>
      </c>
      <c r="H8322" s="81" t="s">
        <v>224</v>
      </c>
      <c r="I8322" s="81" t="s">
        <v>224</v>
      </c>
      <c r="J8322" s="81" t="s">
        <v>6101</v>
      </c>
    </row>
    <row r="8323">
      <c r="A8323" s="83" t="s">
        <v>6764</v>
      </c>
      <c r="B8323" s="83" t="s">
        <v>6765</v>
      </c>
      <c r="C8323" s="81" t="s">
        <v>4086</v>
      </c>
      <c r="D8323" s="83" t="s">
        <v>4727</v>
      </c>
      <c r="E8323" s="81" t="s">
        <v>3483</v>
      </c>
      <c r="F8323" s="81">
        <v>657.0</v>
      </c>
      <c r="G8323" s="81" t="s">
        <v>43</v>
      </c>
      <c r="H8323" s="81" t="s">
        <v>6761</v>
      </c>
      <c r="I8323" s="81" t="s">
        <v>3493</v>
      </c>
      <c r="J8323" s="81" t="s">
        <v>224</v>
      </c>
    </row>
    <row r="8324">
      <c r="A8324" s="83" t="s">
        <v>6764</v>
      </c>
      <c r="B8324" s="83" t="s">
        <v>6765</v>
      </c>
      <c r="C8324" s="81" t="s">
        <v>4086</v>
      </c>
      <c r="D8324" s="83" t="s">
        <v>4727</v>
      </c>
      <c r="E8324" s="81" t="s">
        <v>3496</v>
      </c>
      <c r="F8324" s="81">
        <v>658.0</v>
      </c>
      <c r="G8324" s="81" t="s">
        <v>43</v>
      </c>
      <c r="H8324" s="81" t="s">
        <v>6761</v>
      </c>
      <c r="I8324" s="81" t="s">
        <v>3493</v>
      </c>
      <c r="J8324" s="81" t="s">
        <v>224</v>
      </c>
    </row>
    <row r="8325">
      <c r="A8325" s="83" t="s">
        <v>6764</v>
      </c>
      <c r="B8325" s="83" t="s">
        <v>6765</v>
      </c>
      <c r="C8325" s="81" t="s">
        <v>4086</v>
      </c>
      <c r="D8325" s="83" t="s">
        <v>4729</v>
      </c>
      <c r="E8325" s="81" t="s">
        <v>3497</v>
      </c>
      <c r="F8325" s="81">
        <v>659.0</v>
      </c>
      <c r="G8325" s="81" t="s">
        <v>43</v>
      </c>
      <c r="H8325" s="81" t="s">
        <v>6761</v>
      </c>
      <c r="I8325" s="81" t="s">
        <v>3493</v>
      </c>
      <c r="J8325" s="81" t="s">
        <v>224</v>
      </c>
    </row>
    <row r="8326">
      <c r="A8326" s="83" t="s">
        <v>6764</v>
      </c>
      <c r="B8326" s="83" t="s">
        <v>6765</v>
      </c>
      <c r="C8326" s="81" t="s">
        <v>4086</v>
      </c>
      <c r="D8326" s="83" t="s">
        <v>4735</v>
      </c>
      <c r="E8326" s="81" t="s">
        <v>3529</v>
      </c>
      <c r="F8326" s="81">
        <v>665.0</v>
      </c>
      <c r="G8326" s="81" t="s">
        <v>43</v>
      </c>
      <c r="H8326" s="81" t="s">
        <v>6762</v>
      </c>
      <c r="I8326" s="81" t="s">
        <v>3537</v>
      </c>
      <c r="J8326" s="81" t="s">
        <v>224</v>
      </c>
    </row>
    <row r="8327">
      <c r="A8327" s="83" t="s">
        <v>6764</v>
      </c>
      <c r="B8327" s="83" t="s">
        <v>6765</v>
      </c>
      <c r="C8327" s="81" t="s">
        <v>4086</v>
      </c>
      <c r="D8327" s="83" t="s">
        <v>4735</v>
      </c>
      <c r="E8327" s="81" t="s">
        <v>3539</v>
      </c>
      <c r="F8327" s="81">
        <v>666.0</v>
      </c>
      <c r="G8327" s="81" t="s">
        <v>43</v>
      </c>
      <c r="H8327" s="81" t="s">
        <v>6762</v>
      </c>
      <c r="I8327" s="81" t="s">
        <v>3537</v>
      </c>
      <c r="J8327" s="81" t="s">
        <v>224</v>
      </c>
    </row>
    <row r="8328">
      <c r="A8328" s="83" t="s">
        <v>6764</v>
      </c>
      <c r="B8328" s="83" t="s">
        <v>6765</v>
      </c>
      <c r="C8328" s="81" t="s">
        <v>4086</v>
      </c>
      <c r="D8328" s="83" t="s">
        <v>4737</v>
      </c>
      <c r="E8328" s="81" t="s">
        <v>3540</v>
      </c>
      <c r="F8328" s="81">
        <v>667.0</v>
      </c>
      <c r="G8328" s="81" t="s">
        <v>43</v>
      </c>
      <c r="H8328" s="81" t="s">
        <v>6762</v>
      </c>
      <c r="I8328" s="81" t="s">
        <v>3537</v>
      </c>
      <c r="J8328" s="81" t="s">
        <v>224</v>
      </c>
    </row>
    <row r="8329">
      <c r="A8329" s="83" t="s">
        <v>6764</v>
      </c>
      <c r="B8329" s="83" t="s">
        <v>6765</v>
      </c>
      <c r="C8329" s="81" t="s">
        <v>4086</v>
      </c>
      <c r="D8329" s="83" t="s">
        <v>4754</v>
      </c>
      <c r="E8329" s="81" t="s">
        <v>3621</v>
      </c>
      <c r="F8329" s="81">
        <v>684.0</v>
      </c>
      <c r="G8329" s="81" t="s">
        <v>42</v>
      </c>
      <c r="H8329" s="81" t="s">
        <v>224</v>
      </c>
      <c r="I8329" s="81" t="s">
        <v>3631</v>
      </c>
      <c r="J8329" s="81" t="s">
        <v>224</v>
      </c>
    </row>
    <row r="8330">
      <c r="A8330" s="83" t="s">
        <v>6764</v>
      </c>
      <c r="B8330" s="83" t="s">
        <v>6765</v>
      </c>
      <c r="C8330" s="81" t="s">
        <v>4086</v>
      </c>
      <c r="D8330" s="83" t="s">
        <v>4755</v>
      </c>
      <c r="E8330" s="81" t="s">
        <v>3633</v>
      </c>
      <c r="F8330" s="81">
        <v>685.0</v>
      </c>
      <c r="G8330" s="81" t="s">
        <v>42</v>
      </c>
      <c r="H8330" s="81" t="s">
        <v>224</v>
      </c>
      <c r="I8330" s="81" t="s">
        <v>3631</v>
      </c>
      <c r="J8330" s="81" t="s">
        <v>224</v>
      </c>
    </row>
    <row r="8331">
      <c r="A8331" s="83" t="s">
        <v>6764</v>
      </c>
      <c r="B8331" s="83" t="s">
        <v>6765</v>
      </c>
      <c r="C8331" s="81" t="s">
        <v>4086</v>
      </c>
      <c r="D8331" s="83" t="s">
        <v>4754</v>
      </c>
      <c r="E8331" s="81" t="s">
        <v>3636</v>
      </c>
      <c r="F8331" s="81">
        <v>686.0</v>
      </c>
      <c r="G8331" s="81" t="s">
        <v>42</v>
      </c>
      <c r="H8331" s="81" t="s">
        <v>224</v>
      </c>
      <c r="I8331" s="81" t="s">
        <v>3631</v>
      </c>
      <c r="J8331" s="81" t="s">
        <v>224</v>
      </c>
    </row>
    <row r="8332">
      <c r="A8332" s="83" t="s">
        <v>6764</v>
      </c>
      <c r="B8332" s="83" t="s">
        <v>6765</v>
      </c>
      <c r="C8332" s="81" t="s">
        <v>4086</v>
      </c>
      <c r="D8332" s="83" t="s">
        <v>4756</v>
      </c>
      <c r="E8332" s="81" t="s">
        <v>3637</v>
      </c>
      <c r="F8332" s="81">
        <v>687.0</v>
      </c>
      <c r="G8332" s="81" t="s">
        <v>42</v>
      </c>
      <c r="H8332" s="81" t="s">
        <v>224</v>
      </c>
      <c r="I8332" s="81" t="s">
        <v>3631</v>
      </c>
      <c r="J8332" s="81" t="s">
        <v>224</v>
      </c>
    </row>
    <row r="8333">
      <c r="A8333" s="83" t="s">
        <v>6764</v>
      </c>
      <c r="B8333" s="83" t="s">
        <v>6765</v>
      </c>
      <c r="C8333" s="81" t="s">
        <v>4086</v>
      </c>
      <c r="D8333" s="83" t="s">
        <v>4757</v>
      </c>
      <c r="E8333" s="81" t="s">
        <v>3640</v>
      </c>
      <c r="F8333" s="81">
        <v>688.0</v>
      </c>
      <c r="G8333" s="81" t="s">
        <v>42</v>
      </c>
      <c r="H8333" s="81" t="s">
        <v>224</v>
      </c>
      <c r="I8333" s="81" t="s">
        <v>3631</v>
      </c>
      <c r="J8333" s="81" t="s">
        <v>224</v>
      </c>
    </row>
    <row r="8334">
      <c r="A8334" s="83" t="s">
        <v>6764</v>
      </c>
      <c r="B8334" s="83" t="s">
        <v>6765</v>
      </c>
      <c r="C8334" s="81" t="s">
        <v>4086</v>
      </c>
      <c r="D8334" s="83" t="s">
        <v>4758</v>
      </c>
      <c r="E8334" s="81" t="s">
        <v>3643</v>
      </c>
      <c r="F8334" s="81">
        <v>689.0</v>
      </c>
      <c r="G8334" s="81" t="s">
        <v>42</v>
      </c>
      <c r="H8334" s="81" t="s">
        <v>224</v>
      </c>
      <c r="I8334" s="81" t="s">
        <v>3631</v>
      </c>
      <c r="J8334" s="81" t="s">
        <v>224</v>
      </c>
    </row>
    <row r="8335">
      <c r="A8335" s="83" t="s">
        <v>6764</v>
      </c>
      <c r="B8335" s="83" t="s">
        <v>6765</v>
      </c>
      <c r="C8335" s="81" t="s">
        <v>4086</v>
      </c>
      <c r="D8335" s="83" t="s">
        <v>4759</v>
      </c>
      <c r="E8335" s="81" t="s">
        <v>3646</v>
      </c>
      <c r="F8335" s="81">
        <v>690.0</v>
      </c>
      <c r="G8335" s="81" t="s">
        <v>42</v>
      </c>
      <c r="H8335" s="81" t="s">
        <v>224</v>
      </c>
      <c r="I8335" s="81" t="s">
        <v>3631</v>
      </c>
      <c r="J8335" s="81" t="s">
        <v>224</v>
      </c>
    </row>
    <row r="8336">
      <c r="A8336" s="83" t="s">
        <v>6764</v>
      </c>
      <c r="B8336" s="83" t="s">
        <v>6765</v>
      </c>
      <c r="C8336" s="81" t="s">
        <v>4086</v>
      </c>
      <c r="D8336" s="83" t="s">
        <v>4760</v>
      </c>
      <c r="E8336" s="81" t="s">
        <v>3649</v>
      </c>
      <c r="F8336" s="81">
        <v>691.0</v>
      </c>
      <c r="G8336" s="81" t="s">
        <v>42</v>
      </c>
      <c r="H8336" s="81" t="s">
        <v>224</v>
      </c>
      <c r="I8336" s="81" t="s">
        <v>3631</v>
      </c>
      <c r="J8336" s="81" t="s">
        <v>224</v>
      </c>
    </row>
    <row r="8337">
      <c r="A8337" s="83" t="s">
        <v>6764</v>
      </c>
      <c r="B8337" s="83" t="s">
        <v>6765</v>
      </c>
      <c r="C8337" s="81" t="s">
        <v>4086</v>
      </c>
      <c r="D8337" s="83" t="s">
        <v>4760</v>
      </c>
      <c r="E8337" s="81" t="s">
        <v>3652</v>
      </c>
      <c r="F8337" s="81">
        <v>692.0</v>
      </c>
      <c r="G8337" s="81" t="s">
        <v>42</v>
      </c>
      <c r="H8337" s="81" t="s">
        <v>224</v>
      </c>
      <c r="I8337" s="81" t="s">
        <v>3631</v>
      </c>
      <c r="J8337" s="81" t="s">
        <v>224</v>
      </c>
    </row>
    <row r="8338">
      <c r="A8338" s="83" t="s">
        <v>6764</v>
      </c>
      <c r="B8338" s="83" t="s">
        <v>6765</v>
      </c>
      <c r="C8338" s="81" t="s">
        <v>4086</v>
      </c>
      <c r="D8338" s="83" t="s">
        <v>4761</v>
      </c>
      <c r="E8338" s="81" t="s">
        <v>3653</v>
      </c>
      <c r="F8338" s="81">
        <v>693.0</v>
      </c>
      <c r="G8338" s="81" t="s">
        <v>42</v>
      </c>
      <c r="H8338" s="81" t="s">
        <v>224</v>
      </c>
      <c r="I8338" s="81" t="s">
        <v>3631</v>
      </c>
      <c r="J8338" s="81" t="s">
        <v>224</v>
      </c>
    </row>
    <row r="8339">
      <c r="A8339" s="83" t="s">
        <v>6764</v>
      </c>
      <c r="B8339" s="83" t="s">
        <v>6765</v>
      </c>
      <c r="C8339" s="81" t="s">
        <v>4086</v>
      </c>
      <c r="D8339" s="83" t="s">
        <v>4762</v>
      </c>
      <c r="E8339" s="81" t="s">
        <v>3656</v>
      </c>
      <c r="F8339" s="81">
        <v>694.0</v>
      </c>
      <c r="G8339" s="81" t="s">
        <v>42</v>
      </c>
      <c r="H8339" s="81" t="s">
        <v>224</v>
      </c>
      <c r="I8339" s="81" t="s">
        <v>3631</v>
      </c>
      <c r="J8339" s="81" t="s">
        <v>224</v>
      </c>
    </row>
    <row r="8340">
      <c r="A8340" s="83" t="s">
        <v>6764</v>
      </c>
      <c r="B8340" s="83" t="s">
        <v>6765</v>
      </c>
      <c r="C8340" s="81" t="s">
        <v>4086</v>
      </c>
      <c r="D8340" s="83" t="s">
        <v>4763</v>
      </c>
      <c r="E8340" s="81" t="s">
        <v>3659</v>
      </c>
      <c r="F8340" s="81">
        <v>695.0</v>
      </c>
      <c r="G8340" s="81" t="s">
        <v>42</v>
      </c>
      <c r="H8340" s="81" t="s">
        <v>224</v>
      </c>
      <c r="I8340" s="81" t="s">
        <v>3631</v>
      </c>
      <c r="J8340" s="81" t="s">
        <v>224</v>
      </c>
    </row>
    <row r="8341">
      <c r="A8341" s="83" t="s">
        <v>6764</v>
      </c>
      <c r="B8341" s="83" t="s">
        <v>6765</v>
      </c>
      <c r="C8341" s="81" t="s">
        <v>4086</v>
      </c>
      <c r="D8341" s="83" t="s">
        <v>4764</v>
      </c>
      <c r="E8341" s="81" t="s">
        <v>3662</v>
      </c>
      <c r="F8341" s="81">
        <v>696.0</v>
      </c>
      <c r="G8341" s="81" t="s">
        <v>42</v>
      </c>
      <c r="H8341" s="81" t="s">
        <v>224</v>
      </c>
      <c r="I8341" s="81" t="s">
        <v>3670</v>
      </c>
      <c r="J8341" s="81" t="s">
        <v>224</v>
      </c>
    </row>
    <row r="8342">
      <c r="A8342" s="83" t="s">
        <v>6764</v>
      </c>
      <c r="B8342" s="83" t="s">
        <v>6765</v>
      </c>
      <c r="C8342" s="81" t="s">
        <v>4086</v>
      </c>
      <c r="D8342" s="83" t="s">
        <v>4764</v>
      </c>
      <c r="E8342" s="81" t="s">
        <v>3672</v>
      </c>
      <c r="F8342" s="81">
        <v>697.0</v>
      </c>
      <c r="G8342" s="81" t="s">
        <v>42</v>
      </c>
      <c r="H8342" s="81" t="s">
        <v>224</v>
      </c>
      <c r="I8342" s="81" t="s">
        <v>3670</v>
      </c>
      <c r="J8342" s="81" t="s">
        <v>224</v>
      </c>
    </row>
    <row r="8343">
      <c r="A8343" s="83" t="s">
        <v>6764</v>
      </c>
      <c r="B8343" s="83" t="s">
        <v>6765</v>
      </c>
      <c r="C8343" s="81" t="s">
        <v>4086</v>
      </c>
      <c r="D8343" s="83" t="s">
        <v>4765</v>
      </c>
      <c r="E8343" s="81" t="s">
        <v>3673</v>
      </c>
      <c r="F8343" s="81">
        <v>698.0</v>
      </c>
      <c r="G8343" s="81" t="s">
        <v>42</v>
      </c>
      <c r="H8343" s="81" t="s">
        <v>224</v>
      </c>
      <c r="I8343" s="81" t="s">
        <v>3670</v>
      </c>
      <c r="J8343" s="81" t="s">
        <v>224</v>
      </c>
    </row>
    <row r="8344">
      <c r="A8344" s="83" t="s">
        <v>6764</v>
      </c>
      <c r="B8344" s="83" t="s">
        <v>6765</v>
      </c>
      <c r="C8344" s="81" t="s">
        <v>4086</v>
      </c>
      <c r="D8344" s="83" t="s">
        <v>4766</v>
      </c>
      <c r="E8344" s="81" t="s">
        <v>3676</v>
      </c>
      <c r="F8344" s="81">
        <v>699.0</v>
      </c>
      <c r="G8344" s="81" t="s">
        <v>42</v>
      </c>
      <c r="H8344" s="81" t="s">
        <v>224</v>
      </c>
      <c r="I8344" s="81" t="s">
        <v>3670</v>
      </c>
      <c r="J8344" s="81" t="s">
        <v>224</v>
      </c>
    </row>
    <row r="8345">
      <c r="A8345" s="83" t="s">
        <v>6764</v>
      </c>
      <c r="B8345" s="83" t="s">
        <v>6765</v>
      </c>
      <c r="C8345" s="81" t="s">
        <v>4086</v>
      </c>
      <c r="D8345" s="83" t="s">
        <v>4767</v>
      </c>
      <c r="E8345" s="81" t="s">
        <v>3679</v>
      </c>
      <c r="F8345" s="81">
        <v>700.0</v>
      </c>
      <c r="G8345" s="81" t="s">
        <v>42</v>
      </c>
      <c r="H8345" s="81" t="s">
        <v>224</v>
      </c>
      <c r="I8345" s="81" t="s">
        <v>3670</v>
      </c>
      <c r="J8345" s="81" t="s">
        <v>224</v>
      </c>
    </row>
    <row r="8346">
      <c r="A8346" s="83" t="s">
        <v>6764</v>
      </c>
      <c r="B8346" s="83" t="s">
        <v>6765</v>
      </c>
      <c r="C8346" s="81" t="s">
        <v>4086</v>
      </c>
      <c r="D8346" s="83" t="s">
        <v>4768</v>
      </c>
      <c r="E8346" s="81" t="s">
        <v>3682</v>
      </c>
      <c r="F8346" s="81">
        <v>701.0</v>
      </c>
      <c r="G8346" s="81" t="s">
        <v>42</v>
      </c>
      <c r="H8346" s="81" t="s">
        <v>224</v>
      </c>
      <c r="I8346" s="81" t="s">
        <v>3670</v>
      </c>
      <c r="J8346" s="81" t="s">
        <v>224</v>
      </c>
    </row>
    <row r="8347">
      <c r="A8347" s="83" t="s">
        <v>6764</v>
      </c>
      <c r="B8347" s="83" t="s">
        <v>6765</v>
      </c>
      <c r="C8347" s="81" t="s">
        <v>4086</v>
      </c>
      <c r="D8347" s="83" t="s">
        <v>4769</v>
      </c>
      <c r="E8347" s="81" t="s">
        <v>3685</v>
      </c>
      <c r="F8347" s="81">
        <v>702.0</v>
      </c>
      <c r="G8347" s="81" t="s">
        <v>42</v>
      </c>
      <c r="H8347" s="81" t="s">
        <v>224</v>
      </c>
      <c r="I8347" s="81" t="s">
        <v>3670</v>
      </c>
      <c r="J8347" s="81" t="s">
        <v>224</v>
      </c>
    </row>
    <row r="8348">
      <c r="A8348" s="83" t="s">
        <v>6764</v>
      </c>
      <c r="B8348" s="83" t="s">
        <v>6765</v>
      </c>
      <c r="C8348" s="81" t="s">
        <v>4086</v>
      </c>
      <c r="D8348" s="83" t="s">
        <v>4770</v>
      </c>
      <c r="E8348" s="81" t="s">
        <v>3688</v>
      </c>
      <c r="F8348" s="81">
        <v>703.0</v>
      </c>
      <c r="G8348" s="81" t="s">
        <v>42</v>
      </c>
      <c r="H8348" s="81" t="s">
        <v>224</v>
      </c>
      <c r="I8348" s="81" t="s">
        <v>3696</v>
      </c>
      <c r="J8348" s="81" t="s">
        <v>224</v>
      </c>
    </row>
    <row r="8349">
      <c r="A8349" s="83" t="s">
        <v>6764</v>
      </c>
      <c r="B8349" s="83" t="s">
        <v>6765</v>
      </c>
      <c r="C8349" s="81" t="s">
        <v>4086</v>
      </c>
      <c r="D8349" s="83" t="s">
        <v>4770</v>
      </c>
      <c r="E8349" s="81" t="s">
        <v>3697</v>
      </c>
      <c r="F8349" s="81">
        <v>704.0</v>
      </c>
      <c r="G8349" s="81" t="s">
        <v>42</v>
      </c>
      <c r="H8349" s="81" t="s">
        <v>224</v>
      </c>
      <c r="I8349" s="81" t="s">
        <v>3696</v>
      </c>
      <c r="J8349" s="81" t="s">
        <v>224</v>
      </c>
    </row>
    <row r="8350">
      <c r="A8350" s="83" t="s">
        <v>6764</v>
      </c>
      <c r="B8350" s="83" t="s">
        <v>6765</v>
      </c>
      <c r="C8350" s="81" t="s">
        <v>4086</v>
      </c>
      <c r="D8350" s="83" t="s">
        <v>4771</v>
      </c>
      <c r="E8350" s="81" t="s">
        <v>3698</v>
      </c>
      <c r="F8350" s="81">
        <v>705.0</v>
      </c>
      <c r="G8350" s="81" t="s">
        <v>42</v>
      </c>
      <c r="H8350" s="81" t="s">
        <v>224</v>
      </c>
      <c r="I8350" s="81" t="s">
        <v>3696</v>
      </c>
      <c r="J8350" s="81" t="s">
        <v>224</v>
      </c>
    </row>
    <row r="8351">
      <c r="A8351" s="83" t="s">
        <v>6764</v>
      </c>
      <c r="B8351" s="83" t="s">
        <v>6765</v>
      </c>
      <c r="C8351" s="81" t="s">
        <v>4086</v>
      </c>
      <c r="D8351" s="83" t="s">
        <v>4772</v>
      </c>
      <c r="E8351" s="81" t="s">
        <v>3701</v>
      </c>
      <c r="F8351" s="81">
        <v>706.0</v>
      </c>
      <c r="G8351" s="81" t="s">
        <v>42</v>
      </c>
      <c r="H8351" s="81" t="s">
        <v>224</v>
      </c>
      <c r="I8351" s="81" t="s">
        <v>3696</v>
      </c>
      <c r="J8351" s="81" t="s">
        <v>224</v>
      </c>
    </row>
    <row r="8352">
      <c r="A8352" s="83" t="s">
        <v>6764</v>
      </c>
      <c r="B8352" s="83" t="s">
        <v>6765</v>
      </c>
      <c r="C8352" s="81" t="s">
        <v>4086</v>
      </c>
      <c r="D8352" s="83" t="s">
        <v>4773</v>
      </c>
      <c r="E8352" s="81" t="s">
        <v>3704</v>
      </c>
      <c r="F8352" s="81">
        <v>707.0</v>
      </c>
      <c r="G8352" s="81" t="s">
        <v>42</v>
      </c>
      <c r="H8352" s="81" t="s">
        <v>224</v>
      </c>
      <c r="I8352" s="81" t="s">
        <v>3696</v>
      </c>
      <c r="J8352" s="81" t="s">
        <v>224</v>
      </c>
    </row>
    <row r="8353">
      <c r="A8353" s="83" t="s">
        <v>6764</v>
      </c>
      <c r="B8353" s="83" t="s">
        <v>6765</v>
      </c>
      <c r="C8353" s="81" t="s">
        <v>4086</v>
      </c>
      <c r="D8353" s="83" t="s">
        <v>4774</v>
      </c>
      <c r="E8353" s="81" t="s">
        <v>3707</v>
      </c>
      <c r="F8353" s="81">
        <v>708.0</v>
      </c>
      <c r="G8353" s="81" t="s">
        <v>42</v>
      </c>
      <c r="H8353" s="81" t="s">
        <v>224</v>
      </c>
      <c r="I8353" s="81" t="s">
        <v>3696</v>
      </c>
      <c r="J8353" s="81" t="s">
        <v>224</v>
      </c>
    </row>
    <row r="8354">
      <c r="A8354" s="83" t="s">
        <v>6764</v>
      </c>
      <c r="B8354" s="83" t="s">
        <v>6765</v>
      </c>
      <c r="C8354" s="81" t="s">
        <v>4086</v>
      </c>
      <c r="D8354" s="83" t="s">
        <v>4775</v>
      </c>
      <c r="E8354" s="81" t="s">
        <v>3710</v>
      </c>
      <c r="F8354" s="81">
        <v>709.0</v>
      </c>
      <c r="G8354" s="81" t="s">
        <v>42</v>
      </c>
      <c r="H8354" s="81" t="s">
        <v>224</v>
      </c>
      <c r="I8354" s="81" t="s">
        <v>3696</v>
      </c>
      <c r="J8354" s="81" t="s">
        <v>224</v>
      </c>
    </row>
    <row r="8355">
      <c r="A8355" s="83" t="s">
        <v>6764</v>
      </c>
      <c r="B8355" s="83" t="s">
        <v>6765</v>
      </c>
      <c r="C8355" s="81" t="s">
        <v>4086</v>
      </c>
      <c r="D8355" s="83" t="s">
        <v>4776</v>
      </c>
      <c r="E8355" s="81" t="s">
        <v>3713</v>
      </c>
      <c r="F8355" s="81">
        <v>710.0</v>
      </c>
      <c r="G8355" s="81" t="s">
        <v>42</v>
      </c>
      <c r="H8355" s="81" t="s">
        <v>224</v>
      </c>
      <c r="I8355" s="81" t="s">
        <v>3696</v>
      </c>
      <c r="J8355" s="81" t="s">
        <v>224</v>
      </c>
    </row>
    <row r="8356">
      <c r="A8356" s="83" t="s">
        <v>6764</v>
      </c>
      <c r="B8356" s="83" t="s">
        <v>6765</v>
      </c>
      <c r="C8356" s="81" t="s">
        <v>4086</v>
      </c>
      <c r="D8356" s="83" t="s">
        <v>4777</v>
      </c>
      <c r="E8356" s="81" t="s">
        <v>3716</v>
      </c>
      <c r="F8356" s="81">
        <v>711.0</v>
      </c>
      <c r="G8356" s="81" t="s">
        <v>43</v>
      </c>
      <c r="H8356" s="81" t="s">
        <v>224</v>
      </c>
      <c r="I8356" s="81" t="s">
        <v>3727</v>
      </c>
      <c r="J8356" s="81" t="s">
        <v>224</v>
      </c>
    </row>
    <row r="8357">
      <c r="A8357" s="83" t="s">
        <v>6764</v>
      </c>
      <c r="B8357" s="83" t="s">
        <v>6765</v>
      </c>
      <c r="C8357" s="81" t="s">
        <v>4086</v>
      </c>
      <c r="D8357" s="83" t="s">
        <v>4777</v>
      </c>
      <c r="E8357" s="81" t="s">
        <v>3716</v>
      </c>
      <c r="F8357" s="81">
        <v>711.0</v>
      </c>
      <c r="G8357" s="81" t="s">
        <v>42</v>
      </c>
      <c r="H8357" s="81" t="s">
        <v>224</v>
      </c>
      <c r="I8357" s="81" t="s">
        <v>3726</v>
      </c>
      <c r="J8357" s="81" t="s">
        <v>224</v>
      </c>
    </row>
    <row r="8358">
      <c r="A8358" s="83" t="s">
        <v>6764</v>
      </c>
      <c r="B8358" s="83" t="s">
        <v>6765</v>
      </c>
      <c r="C8358" s="81" t="s">
        <v>4086</v>
      </c>
      <c r="D8358" s="83" t="s">
        <v>4777</v>
      </c>
      <c r="E8358" s="81" t="s">
        <v>3730</v>
      </c>
      <c r="F8358" s="81">
        <v>712.0</v>
      </c>
      <c r="G8358" s="81" t="s">
        <v>43</v>
      </c>
      <c r="H8358" s="81" t="s">
        <v>224</v>
      </c>
      <c r="I8358" s="81" t="s">
        <v>3727</v>
      </c>
      <c r="J8358" s="81" t="s">
        <v>224</v>
      </c>
    </row>
    <row r="8359">
      <c r="A8359" s="83" t="s">
        <v>6764</v>
      </c>
      <c r="B8359" s="83" t="s">
        <v>6765</v>
      </c>
      <c r="C8359" s="81" t="s">
        <v>4086</v>
      </c>
      <c r="D8359" s="83" t="s">
        <v>4778</v>
      </c>
      <c r="E8359" s="81" t="s">
        <v>3731</v>
      </c>
      <c r="F8359" s="81">
        <v>713.0</v>
      </c>
      <c r="G8359" s="81" t="s">
        <v>43</v>
      </c>
      <c r="H8359" s="81" t="s">
        <v>224</v>
      </c>
      <c r="I8359" s="81" t="s">
        <v>3727</v>
      </c>
      <c r="J8359" s="81" t="s">
        <v>224</v>
      </c>
    </row>
    <row r="8360">
      <c r="A8360" s="83" t="s">
        <v>6764</v>
      </c>
      <c r="B8360" s="83" t="s">
        <v>6765</v>
      </c>
      <c r="C8360" s="81" t="s">
        <v>4086</v>
      </c>
      <c r="D8360" s="83" t="s">
        <v>4779</v>
      </c>
      <c r="E8360" s="81" t="s">
        <v>3735</v>
      </c>
      <c r="F8360" s="81">
        <v>714.0</v>
      </c>
      <c r="G8360" s="81" t="s">
        <v>43</v>
      </c>
      <c r="H8360" s="81" t="s">
        <v>224</v>
      </c>
      <c r="I8360" s="81" t="s">
        <v>3743</v>
      </c>
      <c r="J8360" s="81" t="s">
        <v>224</v>
      </c>
    </row>
    <row r="8361">
      <c r="A8361" s="83" t="s">
        <v>6764</v>
      </c>
      <c r="B8361" s="83" t="s">
        <v>6765</v>
      </c>
      <c r="C8361" s="81" t="s">
        <v>4086</v>
      </c>
      <c r="D8361" s="83" t="s">
        <v>4779</v>
      </c>
      <c r="E8361" s="81" t="s">
        <v>3735</v>
      </c>
      <c r="F8361" s="81">
        <v>714.0</v>
      </c>
      <c r="G8361" s="81" t="s">
        <v>42</v>
      </c>
      <c r="H8361" s="81" t="s">
        <v>224</v>
      </c>
      <c r="I8361" s="81" t="s">
        <v>3742</v>
      </c>
      <c r="J8361" s="81" t="s">
        <v>224</v>
      </c>
    </row>
    <row r="8362">
      <c r="A8362" s="83" t="s">
        <v>6764</v>
      </c>
      <c r="B8362" s="83" t="s">
        <v>6765</v>
      </c>
      <c r="C8362" s="81" t="s">
        <v>4086</v>
      </c>
      <c r="D8362" s="83" t="s">
        <v>4779</v>
      </c>
      <c r="E8362" s="81" t="s">
        <v>3746</v>
      </c>
      <c r="F8362" s="81">
        <v>715.0</v>
      </c>
      <c r="G8362" s="81" t="s">
        <v>43</v>
      </c>
      <c r="H8362" s="81" t="s">
        <v>224</v>
      </c>
      <c r="I8362" s="81" t="s">
        <v>3743</v>
      </c>
      <c r="J8362" s="81" t="s">
        <v>224</v>
      </c>
    </row>
    <row r="8363">
      <c r="A8363" s="83" t="s">
        <v>6764</v>
      </c>
      <c r="B8363" s="83" t="s">
        <v>6765</v>
      </c>
      <c r="C8363" s="81" t="s">
        <v>4086</v>
      </c>
      <c r="D8363" s="83" t="s">
        <v>4780</v>
      </c>
      <c r="E8363" s="81" t="s">
        <v>3747</v>
      </c>
      <c r="F8363" s="81">
        <v>716.0</v>
      </c>
      <c r="G8363" s="81" t="s">
        <v>43</v>
      </c>
      <c r="H8363" s="81" t="s">
        <v>224</v>
      </c>
      <c r="I8363" s="81" t="s">
        <v>3743</v>
      </c>
      <c r="J8363" s="81" t="s">
        <v>224</v>
      </c>
    </row>
    <row r="8364">
      <c r="A8364" s="83" t="s">
        <v>6764</v>
      </c>
      <c r="B8364" s="83" t="s">
        <v>6765</v>
      </c>
      <c r="C8364" s="81" t="s">
        <v>4086</v>
      </c>
      <c r="D8364" s="83" t="s">
        <v>4781</v>
      </c>
      <c r="E8364" s="81" t="s">
        <v>3751</v>
      </c>
      <c r="F8364" s="81">
        <v>717.0</v>
      </c>
      <c r="G8364" s="81" t="s">
        <v>43</v>
      </c>
      <c r="H8364" s="81" t="s">
        <v>224</v>
      </c>
      <c r="I8364" s="81" t="s">
        <v>3758</v>
      </c>
      <c r="J8364" s="81" t="s">
        <v>224</v>
      </c>
    </row>
    <row r="8365">
      <c r="A8365" s="83" t="s">
        <v>6764</v>
      </c>
      <c r="B8365" s="83" t="s">
        <v>6765</v>
      </c>
      <c r="C8365" s="81" t="s">
        <v>4086</v>
      </c>
      <c r="D8365" s="83" t="s">
        <v>4781</v>
      </c>
      <c r="E8365" s="81" t="s">
        <v>3751</v>
      </c>
      <c r="F8365" s="81">
        <v>717.0</v>
      </c>
      <c r="G8365" s="81" t="s">
        <v>42</v>
      </c>
      <c r="H8365" s="81" t="s">
        <v>224</v>
      </c>
      <c r="I8365" s="81" t="s">
        <v>3757</v>
      </c>
      <c r="J8365" s="81" t="s">
        <v>224</v>
      </c>
    </row>
    <row r="8366">
      <c r="A8366" s="83" t="s">
        <v>6764</v>
      </c>
      <c r="B8366" s="83" t="s">
        <v>6765</v>
      </c>
      <c r="C8366" s="81" t="s">
        <v>4086</v>
      </c>
      <c r="D8366" s="83" t="s">
        <v>4781</v>
      </c>
      <c r="E8366" s="81" t="s">
        <v>3761</v>
      </c>
      <c r="F8366" s="81">
        <v>718.0</v>
      </c>
      <c r="G8366" s="81" t="s">
        <v>43</v>
      </c>
      <c r="H8366" s="81" t="s">
        <v>224</v>
      </c>
      <c r="I8366" s="81" t="s">
        <v>3758</v>
      </c>
      <c r="J8366" s="81" t="s">
        <v>224</v>
      </c>
    </row>
    <row r="8367">
      <c r="A8367" s="83" t="s">
        <v>6764</v>
      </c>
      <c r="B8367" s="83" t="s">
        <v>6765</v>
      </c>
      <c r="C8367" s="81" t="s">
        <v>4086</v>
      </c>
      <c r="D8367" s="83" t="s">
        <v>4782</v>
      </c>
      <c r="E8367" s="81" t="s">
        <v>3762</v>
      </c>
      <c r="F8367" s="81">
        <v>719.0</v>
      </c>
      <c r="G8367" s="81" t="s">
        <v>43</v>
      </c>
      <c r="H8367" s="81" t="s">
        <v>224</v>
      </c>
      <c r="I8367" s="81" t="s">
        <v>3758</v>
      </c>
      <c r="J8367" s="81" t="s">
        <v>224</v>
      </c>
    </row>
    <row r="8368">
      <c r="A8368" s="83" t="s">
        <v>6764</v>
      </c>
      <c r="B8368" s="83" t="s">
        <v>6765</v>
      </c>
      <c r="C8368" s="81" t="s">
        <v>4086</v>
      </c>
      <c r="D8368" s="83" t="s">
        <v>4810</v>
      </c>
      <c r="E8368" s="81" t="s">
        <v>3871</v>
      </c>
      <c r="F8368" s="81">
        <v>751.0</v>
      </c>
      <c r="G8368" s="81" t="s">
        <v>43</v>
      </c>
      <c r="H8368" s="81" t="s">
        <v>224</v>
      </c>
      <c r="I8368" s="81" t="s">
        <v>3326</v>
      </c>
      <c r="J8368" s="81" t="s">
        <v>224</v>
      </c>
    </row>
    <row r="8369">
      <c r="A8369" s="83" t="s">
        <v>6764</v>
      </c>
      <c r="B8369" s="83" t="s">
        <v>6765</v>
      </c>
      <c r="C8369" s="81" t="s">
        <v>4086</v>
      </c>
      <c r="D8369" s="83" t="s">
        <v>4810</v>
      </c>
      <c r="E8369" s="81" t="s">
        <v>3871</v>
      </c>
      <c r="F8369" s="81">
        <v>751.0</v>
      </c>
      <c r="G8369" s="81" t="s">
        <v>42</v>
      </c>
      <c r="H8369" s="81" t="s">
        <v>6401</v>
      </c>
      <c r="I8369" s="81" t="s">
        <v>3325</v>
      </c>
      <c r="J8369" s="81" t="s">
        <v>224</v>
      </c>
    </row>
    <row r="8370">
      <c r="A8370" s="83" t="s">
        <v>6764</v>
      </c>
      <c r="B8370" s="83" t="s">
        <v>6765</v>
      </c>
      <c r="C8370" s="81" t="s">
        <v>4086</v>
      </c>
      <c r="D8370" s="83" t="s">
        <v>4811</v>
      </c>
      <c r="E8370" s="81" t="s">
        <v>3874</v>
      </c>
      <c r="F8370" s="81">
        <v>752.0</v>
      </c>
      <c r="G8370" s="81" t="s">
        <v>42</v>
      </c>
      <c r="H8370" s="81" t="s">
        <v>224</v>
      </c>
      <c r="I8370" s="81" t="s">
        <v>3809</v>
      </c>
      <c r="J8370" s="81" t="s">
        <v>224</v>
      </c>
    </row>
    <row r="8371">
      <c r="A8371" s="83" t="s">
        <v>6764</v>
      </c>
      <c r="B8371" s="83" t="s">
        <v>6765</v>
      </c>
      <c r="C8371" s="81" t="s">
        <v>4086</v>
      </c>
      <c r="D8371" s="83" t="s">
        <v>4813</v>
      </c>
      <c r="E8371" s="81" t="s">
        <v>3877</v>
      </c>
      <c r="F8371" s="81">
        <v>753.0</v>
      </c>
      <c r="G8371" s="81" t="s">
        <v>42</v>
      </c>
      <c r="H8371" s="81" t="s">
        <v>224</v>
      </c>
      <c r="I8371" s="81" t="s">
        <v>3818</v>
      </c>
      <c r="J8371" s="81" t="s">
        <v>224</v>
      </c>
    </row>
    <row r="8372">
      <c r="A8372" s="83" t="s">
        <v>6764</v>
      </c>
      <c r="B8372" s="83" t="s">
        <v>6765</v>
      </c>
      <c r="C8372" s="81" t="s">
        <v>4086</v>
      </c>
      <c r="D8372" s="83" t="s">
        <v>4816</v>
      </c>
      <c r="E8372" s="81" t="s">
        <v>3885</v>
      </c>
      <c r="F8372" s="81">
        <v>756.0</v>
      </c>
      <c r="G8372" s="81" t="s">
        <v>43</v>
      </c>
      <c r="H8372" s="81" t="s">
        <v>224</v>
      </c>
      <c r="I8372" s="81" t="s">
        <v>3892</v>
      </c>
      <c r="J8372" s="81" t="s">
        <v>224</v>
      </c>
    </row>
    <row r="8373">
      <c r="A8373" s="83" t="s">
        <v>6764</v>
      </c>
      <c r="B8373" s="83" t="s">
        <v>6765</v>
      </c>
      <c r="C8373" s="81" t="s">
        <v>4086</v>
      </c>
      <c r="D8373" s="83" t="s">
        <v>4816</v>
      </c>
      <c r="E8373" s="81" t="s">
        <v>3885</v>
      </c>
      <c r="F8373" s="81">
        <v>756.0</v>
      </c>
      <c r="G8373" s="81" t="s">
        <v>42</v>
      </c>
      <c r="H8373" s="81" t="s">
        <v>3088</v>
      </c>
      <c r="I8373" s="81" t="s">
        <v>3891</v>
      </c>
      <c r="J8373" s="81" t="s">
        <v>224</v>
      </c>
    </row>
    <row r="8374">
      <c r="A8374" s="83" t="s">
        <v>6764</v>
      </c>
      <c r="B8374" s="83" t="s">
        <v>6765</v>
      </c>
      <c r="C8374" s="81" t="s">
        <v>4086</v>
      </c>
      <c r="D8374" s="83" t="s">
        <v>4816</v>
      </c>
      <c r="E8374" s="81" t="s">
        <v>3895</v>
      </c>
      <c r="F8374" s="81">
        <v>757.0</v>
      </c>
      <c r="G8374" s="81" t="s">
        <v>43</v>
      </c>
      <c r="H8374" s="81" t="s">
        <v>224</v>
      </c>
      <c r="I8374" s="81" t="s">
        <v>3892</v>
      </c>
      <c r="J8374" s="81" t="s">
        <v>224</v>
      </c>
    </row>
    <row r="8375">
      <c r="A8375" s="83" t="s">
        <v>6764</v>
      </c>
      <c r="B8375" s="83" t="s">
        <v>6765</v>
      </c>
      <c r="C8375" s="81" t="s">
        <v>4086</v>
      </c>
      <c r="D8375" s="83" t="s">
        <v>4816</v>
      </c>
      <c r="E8375" s="81" t="s">
        <v>3895</v>
      </c>
      <c r="F8375" s="81">
        <v>757.0</v>
      </c>
      <c r="G8375" s="81" t="s">
        <v>42</v>
      </c>
      <c r="H8375" s="81" t="s">
        <v>3088</v>
      </c>
      <c r="I8375" s="81" t="s">
        <v>3891</v>
      </c>
      <c r="J8375" s="81" t="s">
        <v>224</v>
      </c>
    </row>
    <row r="8376">
      <c r="A8376" s="83" t="s">
        <v>6764</v>
      </c>
      <c r="B8376" s="83" t="s">
        <v>6765</v>
      </c>
      <c r="C8376" s="81" t="s">
        <v>4086</v>
      </c>
      <c r="D8376" s="83" t="s">
        <v>4818</v>
      </c>
      <c r="E8376" s="81" t="s">
        <v>3896</v>
      </c>
      <c r="F8376" s="81">
        <v>758.0</v>
      </c>
      <c r="G8376" s="81" t="s">
        <v>43</v>
      </c>
      <c r="H8376" s="81" t="s">
        <v>224</v>
      </c>
      <c r="I8376" s="81" t="s">
        <v>3892</v>
      </c>
      <c r="J8376" s="81" t="s">
        <v>224</v>
      </c>
    </row>
    <row r="8377">
      <c r="A8377" s="83" t="s">
        <v>6764</v>
      </c>
      <c r="B8377" s="83" t="s">
        <v>6765</v>
      </c>
      <c r="C8377" s="81" t="s">
        <v>4086</v>
      </c>
      <c r="D8377" s="83" t="s">
        <v>4818</v>
      </c>
      <c r="E8377" s="81" t="s">
        <v>3896</v>
      </c>
      <c r="F8377" s="81">
        <v>758.0</v>
      </c>
      <c r="G8377" s="81" t="s">
        <v>42</v>
      </c>
      <c r="H8377" s="81" t="s">
        <v>3088</v>
      </c>
      <c r="I8377" s="81" t="s">
        <v>3891</v>
      </c>
      <c r="J8377" s="81" t="s">
        <v>224</v>
      </c>
    </row>
    <row r="8378">
      <c r="A8378" s="83" t="s">
        <v>6764</v>
      </c>
      <c r="B8378" s="83" t="s">
        <v>6765</v>
      </c>
      <c r="C8378" s="81" t="s">
        <v>4086</v>
      </c>
      <c r="D8378" s="83" t="s">
        <v>4776</v>
      </c>
      <c r="E8378" s="81" t="s">
        <v>3899</v>
      </c>
      <c r="F8378" s="81">
        <v>759.0</v>
      </c>
      <c r="G8378" s="81" t="s">
        <v>42</v>
      </c>
      <c r="H8378" s="81" t="s">
        <v>224</v>
      </c>
      <c r="I8378" s="81" t="s">
        <v>3696</v>
      </c>
      <c r="J8378" s="81" t="s">
        <v>224</v>
      </c>
    </row>
    <row r="8379">
      <c r="A8379" s="83" t="s">
        <v>6764</v>
      </c>
      <c r="B8379" s="83" t="s">
        <v>6765</v>
      </c>
      <c r="C8379" s="81" t="s">
        <v>4086</v>
      </c>
      <c r="D8379" s="83" t="s">
        <v>4819</v>
      </c>
      <c r="E8379" s="81" t="s">
        <v>3900</v>
      </c>
      <c r="F8379" s="81">
        <v>760.0</v>
      </c>
      <c r="G8379" s="81" t="s">
        <v>42</v>
      </c>
      <c r="H8379" s="81" t="s">
        <v>224</v>
      </c>
      <c r="I8379" s="81" t="s">
        <v>3696</v>
      </c>
      <c r="J8379" s="81" t="s">
        <v>224</v>
      </c>
    </row>
    <row r="8380">
      <c r="A8380" s="83" t="s">
        <v>6764</v>
      </c>
      <c r="B8380" s="83" t="s">
        <v>6765</v>
      </c>
      <c r="C8380" s="81" t="s">
        <v>4086</v>
      </c>
      <c r="D8380" s="83" t="s">
        <v>4820</v>
      </c>
      <c r="E8380" s="81" t="s">
        <v>3903</v>
      </c>
      <c r="F8380" s="81">
        <v>761.0</v>
      </c>
      <c r="G8380" s="81" t="s">
        <v>42</v>
      </c>
      <c r="H8380" s="81" t="s">
        <v>224</v>
      </c>
      <c r="I8380" s="81" t="s">
        <v>3696</v>
      </c>
      <c r="J8380" s="81" t="s">
        <v>224</v>
      </c>
    </row>
    <row r="8381">
      <c r="A8381" s="83" t="s">
        <v>6764</v>
      </c>
      <c r="B8381" s="83" t="s">
        <v>6765</v>
      </c>
      <c r="C8381" s="81" t="s">
        <v>4086</v>
      </c>
      <c r="D8381" s="83" t="s">
        <v>4821</v>
      </c>
      <c r="E8381" s="81" t="s">
        <v>3906</v>
      </c>
      <c r="F8381" s="81">
        <v>762.0</v>
      </c>
      <c r="G8381" s="81" t="s">
        <v>42</v>
      </c>
      <c r="H8381" s="81" t="s">
        <v>224</v>
      </c>
      <c r="I8381" s="81" t="s">
        <v>3696</v>
      </c>
      <c r="J8381" s="81" t="s">
        <v>224</v>
      </c>
    </row>
    <row r="8382">
      <c r="A8382" s="83" t="s">
        <v>6764</v>
      </c>
      <c r="B8382" s="83" t="s">
        <v>6765</v>
      </c>
      <c r="C8382" s="81" t="s">
        <v>4086</v>
      </c>
      <c r="D8382" s="83" t="s">
        <v>4822</v>
      </c>
      <c r="E8382" s="81" t="s">
        <v>3909</v>
      </c>
      <c r="F8382" s="81">
        <v>763.0</v>
      </c>
      <c r="G8382" s="81" t="s">
        <v>42</v>
      </c>
      <c r="H8382" s="81" t="s">
        <v>224</v>
      </c>
      <c r="I8382" s="81" t="s">
        <v>3915</v>
      </c>
      <c r="J8382" s="81" t="s">
        <v>224</v>
      </c>
    </row>
    <row r="8383">
      <c r="A8383" s="83" t="s">
        <v>6764</v>
      </c>
      <c r="B8383" s="83" t="s">
        <v>6765</v>
      </c>
      <c r="C8383" s="81" t="s">
        <v>4086</v>
      </c>
      <c r="D8383" s="83" t="s">
        <v>4822</v>
      </c>
      <c r="E8383" s="81" t="s">
        <v>3916</v>
      </c>
      <c r="F8383" s="81">
        <v>764.0</v>
      </c>
      <c r="G8383" s="81" t="s">
        <v>42</v>
      </c>
      <c r="H8383" s="81" t="s">
        <v>224</v>
      </c>
      <c r="I8383" s="81" t="s">
        <v>3915</v>
      </c>
      <c r="J8383" s="81" t="s">
        <v>224</v>
      </c>
    </row>
    <row r="8384">
      <c r="A8384" s="83" t="s">
        <v>6764</v>
      </c>
      <c r="B8384" s="83" t="s">
        <v>6765</v>
      </c>
      <c r="C8384" s="81" t="s">
        <v>4086</v>
      </c>
      <c r="D8384" s="83" t="s">
        <v>4823</v>
      </c>
      <c r="E8384" s="81" t="s">
        <v>3917</v>
      </c>
      <c r="F8384" s="81">
        <v>765.0</v>
      </c>
      <c r="G8384" s="81" t="s">
        <v>42</v>
      </c>
      <c r="H8384" s="81" t="s">
        <v>224</v>
      </c>
      <c r="I8384" s="81" t="s">
        <v>3915</v>
      </c>
      <c r="J8384" s="81" t="s">
        <v>224</v>
      </c>
    </row>
    <row r="8385">
      <c r="A8385" s="83" t="s">
        <v>6764</v>
      </c>
      <c r="B8385" s="83" t="s">
        <v>6765</v>
      </c>
      <c r="C8385" s="81" t="s">
        <v>4086</v>
      </c>
      <c r="D8385" s="83" t="s">
        <v>4824</v>
      </c>
      <c r="E8385" s="81" t="s">
        <v>3920</v>
      </c>
      <c r="F8385" s="81">
        <v>766.0</v>
      </c>
      <c r="G8385" s="81" t="s">
        <v>42</v>
      </c>
      <c r="H8385" s="81" t="s">
        <v>224</v>
      </c>
      <c r="I8385" s="81" t="s">
        <v>3915</v>
      </c>
      <c r="J8385" s="81" t="s">
        <v>224</v>
      </c>
    </row>
    <row r="8386">
      <c r="A8386" s="83" t="s">
        <v>6764</v>
      </c>
      <c r="B8386" s="83" t="s">
        <v>6765</v>
      </c>
      <c r="C8386" s="81" t="s">
        <v>4086</v>
      </c>
      <c r="D8386" s="83" t="s">
        <v>4825</v>
      </c>
      <c r="E8386" s="81" t="s">
        <v>3923</v>
      </c>
      <c r="F8386" s="81">
        <v>767.0</v>
      </c>
      <c r="G8386" s="81" t="s">
        <v>42</v>
      </c>
      <c r="H8386" s="81" t="s">
        <v>224</v>
      </c>
      <c r="I8386" s="81" t="s">
        <v>3915</v>
      </c>
      <c r="J8386" s="81" t="s">
        <v>224</v>
      </c>
    </row>
    <row r="8387">
      <c r="A8387" s="83" t="s">
        <v>6764</v>
      </c>
      <c r="B8387" s="83" t="s">
        <v>6765</v>
      </c>
      <c r="C8387" s="81" t="s">
        <v>4086</v>
      </c>
      <c r="D8387" s="83" t="s">
        <v>4826</v>
      </c>
      <c r="E8387" s="81" t="s">
        <v>3926</v>
      </c>
      <c r="F8387" s="81">
        <v>768.0</v>
      </c>
      <c r="G8387" s="81" t="s">
        <v>42</v>
      </c>
      <c r="H8387" s="81" t="s">
        <v>224</v>
      </c>
      <c r="I8387" s="81" t="s">
        <v>3915</v>
      </c>
      <c r="J8387" s="81" t="s">
        <v>224</v>
      </c>
    </row>
    <row r="8388">
      <c r="A8388" s="83" t="s">
        <v>6764</v>
      </c>
      <c r="B8388" s="83" t="s">
        <v>6765</v>
      </c>
      <c r="C8388" s="81" t="s">
        <v>4086</v>
      </c>
      <c r="D8388" s="83" t="s">
        <v>4827</v>
      </c>
      <c r="E8388" s="81" t="s">
        <v>3929</v>
      </c>
      <c r="F8388" s="81">
        <v>769.0</v>
      </c>
      <c r="G8388" s="81" t="s">
        <v>42</v>
      </c>
      <c r="H8388" s="81" t="s">
        <v>224</v>
      </c>
      <c r="I8388" s="81" t="s">
        <v>3915</v>
      </c>
      <c r="J8388" s="81" t="s">
        <v>224</v>
      </c>
    </row>
    <row r="8389">
      <c r="A8389" s="83" t="s">
        <v>6764</v>
      </c>
      <c r="B8389" s="83" t="s">
        <v>6765</v>
      </c>
      <c r="C8389" s="81" t="s">
        <v>4086</v>
      </c>
      <c r="D8389" s="83" t="s">
        <v>4828</v>
      </c>
      <c r="E8389" s="81" t="s">
        <v>3932</v>
      </c>
      <c r="F8389" s="81">
        <v>770.0</v>
      </c>
      <c r="G8389" s="81" t="s">
        <v>42</v>
      </c>
      <c r="H8389" s="81" t="s">
        <v>224</v>
      </c>
      <c r="I8389" s="81" t="s">
        <v>3915</v>
      </c>
      <c r="J8389" s="81" t="s">
        <v>224</v>
      </c>
    </row>
    <row r="8390">
      <c r="A8390" s="83" t="s">
        <v>6764</v>
      </c>
      <c r="B8390" s="83" t="s">
        <v>6765</v>
      </c>
      <c r="C8390" s="81" t="s">
        <v>4086</v>
      </c>
      <c r="D8390" s="83" t="s">
        <v>4828</v>
      </c>
      <c r="E8390" s="81" t="s">
        <v>3935</v>
      </c>
      <c r="F8390" s="81">
        <v>771.0</v>
      </c>
      <c r="G8390" s="81" t="s">
        <v>42</v>
      </c>
      <c r="H8390" s="81" t="s">
        <v>224</v>
      </c>
      <c r="I8390" s="81" t="s">
        <v>3915</v>
      </c>
      <c r="J8390" s="81" t="s">
        <v>224</v>
      </c>
    </row>
    <row r="8391">
      <c r="A8391" s="83" t="s">
        <v>6764</v>
      </c>
      <c r="B8391" s="83" t="s">
        <v>6765</v>
      </c>
      <c r="C8391" s="81" t="s">
        <v>4086</v>
      </c>
      <c r="D8391" s="83" t="s">
        <v>4829</v>
      </c>
      <c r="E8391" s="81" t="s">
        <v>3936</v>
      </c>
      <c r="F8391" s="81">
        <v>772.0</v>
      </c>
      <c r="G8391" s="81" t="s">
        <v>42</v>
      </c>
      <c r="H8391" s="81" t="s">
        <v>224</v>
      </c>
      <c r="I8391" s="81" t="s">
        <v>3915</v>
      </c>
      <c r="J8391" s="81" t="s">
        <v>224</v>
      </c>
    </row>
    <row r="8392">
      <c r="A8392" s="83" t="s">
        <v>6764</v>
      </c>
      <c r="B8392" s="83" t="s">
        <v>6765</v>
      </c>
      <c r="C8392" s="81" t="s">
        <v>4086</v>
      </c>
      <c r="D8392" s="83" t="s">
        <v>4830</v>
      </c>
      <c r="E8392" s="81" t="s">
        <v>3939</v>
      </c>
      <c r="F8392" s="81">
        <v>773.0</v>
      </c>
      <c r="G8392" s="81" t="s">
        <v>42</v>
      </c>
      <c r="H8392" s="81" t="s">
        <v>224</v>
      </c>
      <c r="I8392" s="81" t="s">
        <v>3915</v>
      </c>
      <c r="J8392" s="81" t="s">
        <v>224</v>
      </c>
    </row>
    <row r="8393">
      <c r="A8393" s="83" t="s">
        <v>6764</v>
      </c>
      <c r="B8393" s="83" t="s">
        <v>6765</v>
      </c>
      <c r="C8393" s="81" t="s">
        <v>4086</v>
      </c>
      <c r="D8393" s="83" t="s">
        <v>4831</v>
      </c>
      <c r="E8393" s="81" t="s">
        <v>3942</v>
      </c>
      <c r="F8393" s="81">
        <v>774.0</v>
      </c>
      <c r="G8393" s="81" t="s">
        <v>42</v>
      </c>
      <c r="H8393" s="81" t="s">
        <v>224</v>
      </c>
      <c r="I8393" s="81" t="s">
        <v>3915</v>
      </c>
      <c r="J8393" s="81" t="s">
        <v>224</v>
      </c>
    </row>
    <row r="8394">
      <c r="A8394" s="83" t="s">
        <v>6764</v>
      </c>
      <c r="B8394" s="83" t="s">
        <v>6765</v>
      </c>
      <c r="C8394" s="81" t="s">
        <v>4086</v>
      </c>
      <c r="D8394" s="83" t="s">
        <v>4832</v>
      </c>
      <c r="E8394" s="81" t="s">
        <v>3945</v>
      </c>
      <c r="F8394" s="81">
        <v>775.0</v>
      </c>
      <c r="G8394" s="81" t="s">
        <v>43</v>
      </c>
      <c r="H8394" s="81" t="s">
        <v>224</v>
      </c>
      <c r="I8394" s="81" t="s">
        <v>3953</v>
      </c>
      <c r="J8394" s="81" t="s">
        <v>224</v>
      </c>
    </row>
    <row r="8395">
      <c r="A8395" s="83" t="s">
        <v>6764</v>
      </c>
      <c r="B8395" s="83" t="s">
        <v>6765</v>
      </c>
      <c r="C8395" s="81" t="s">
        <v>4086</v>
      </c>
      <c r="D8395" s="83" t="s">
        <v>4832</v>
      </c>
      <c r="E8395" s="81" t="s">
        <v>3945</v>
      </c>
      <c r="F8395" s="81">
        <v>775.0</v>
      </c>
      <c r="G8395" s="81" t="s">
        <v>42</v>
      </c>
      <c r="H8395" s="81" t="s">
        <v>224</v>
      </c>
      <c r="I8395" s="81" t="s">
        <v>3952</v>
      </c>
      <c r="J8395" s="81" t="s">
        <v>224</v>
      </c>
    </row>
    <row r="8396">
      <c r="A8396" s="83" t="s">
        <v>6764</v>
      </c>
      <c r="B8396" s="83" t="s">
        <v>6765</v>
      </c>
      <c r="C8396" s="81" t="s">
        <v>4086</v>
      </c>
      <c r="D8396" s="83" t="s">
        <v>4832</v>
      </c>
      <c r="E8396" s="81" t="s">
        <v>3955</v>
      </c>
      <c r="F8396" s="81">
        <v>776.0</v>
      </c>
      <c r="G8396" s="81" t="s">
        <v>43</v>
      </c>
      <c r="H8396" s="81" t="s">
        <v>224</v>
      </c>
      <c r="I8396" s="81" t="s">
        <v>3953</v>
      </c>
      <c r="J8396" s="81" t="s">
        <v>224</v>
      </c>
    </row>
    <row r="8397">
      <c r="A8397" s="83" t="s">
        <v>6764</v>
      </c>
      <c r="B8397" s="83" t="s">
        <v>6765</v>
      </c>
      <c r="C8397" s="81" t="s">
        <v>4086</v>
      </c>
      <c r="D8397" s="83" t="s">
        <v>4832</v>
      </c>
      <c r="E8397" s="81" t="s">
        <v>3955</v>
      </c>
      <c r="F8397" s="81">
        <v>776.0</v>
      </c>
      <c r="G8397" s="81" t="s">
        <v>42</v>
      </c>
      <c r="H8397" s="81" t="s">
        <v>224</v>
      </c>
      <c r="I8397" s="81" t="s">
        <v>3952</v>
      </c>
      <c r="J8397" s="81" t="s">
        <v>224</v>
      </c>
    </row>
    <row r="8398">
      <c r="A8398" s="83" t="s">
        <v>6764</v>
      </c>
      <c r="B8398" s="83" t="s">
        <v>6765</v>
      </c>
      <c r="C8398" s="81" t="s">
        <v>4086</v>
      </c>
      <c r="D8398" s="83" t="s">
        <v>4833</v>
      </c>
      <c r="E8398" s="81" t="s">
        <v>3956</v>
      </c>
      <c r="F8398" s="81">
        <v>777.0</v>
      </c>
      <c r="G8398" s="81" t="s">
        <v>43</v>
      </c>
      <c r="H8398" s="81" t="s">
        <v>224</v>
      </c>
      <c r="I8398" s="81" t="s">
        <v>3953</v>
      </c>
      <c r="J8398" s="81" t="s">
        <v>224</v>
      </c>
    </row>
    <row r="8399">
      <c r="A8399" s="83" t="s">
        <v>6764</v>
      </c>
      <c r="B8399" s="83" t="s">
        <v>6765</v>
      </c>
      <c r="C8399" s="81" t="s">
        <v>4086</v>
      </c>
      <c r="D8399" s="83" t="s">
        <v>4833</v>
      </c>
      <c r="E8399" s="81" t="s">
        <v>3956</v>
      </c>
      <c r="F8399" s="81">
        <v>777.0</v>
      </c>
      <c r="G8399" s="81" t="s">
        <v>42</v>
      </c>
      <c r="H8399" s="81" t="s">
        <v>224</v>
      </c>
      <c r="I8399" s="81" t="s">
        <v>3952</v>
      </c>
      <c r="J8399" s="81" t="s">
        <v>224</v>
      </c>
    </row>
    <row r="8400">
      <c r="A8400" s="83" t="s">
        <v>6764</v>
      </c>
      <c r="B8400" s="83" t="s">
        <v>6765</v>
      </c>
      <c r="C8400" s="81" t="s">
        <v>4086</v>
      </c>
      <c r="D8400" s="83" t="s">
        <v>4834</v>
      </c>
      <c r="E8400" s="81" t="s">
        <v>3959</v>
      </c>
      <c r="F8400" s="81">
        <v>778.0</v>
      </c>
      <c r="G8400" s="81" t="s">
        <v>43</v>
      </c>
      <c r="H8400" s="81" t="s">
        <v>224</v>
      </c>
      <c r="I8400" s="81" t="s">
        <v>3953</v>
      </c>
      <c r="J8400" s="81" t="s">
        <v>224</v>
      </c>
    </row>
    <row r="8401">
      <c r="A8401" s="83" t="s">
        <v>6764</v>
      </c>
      <c r="B8401" s="83" t="s">
        <v>6765</v>
      </c>
      <c r="C8401" s="81" t="s">
        <v>4086</v>
      </c>
      <c r="D8401" s="83" t="s">
        <v>4834</v>
      </c>
      <c r="E8401" s="81" t="s">
        <v>3959</v>
      </c>
      <c r="F8401" s="81">
        <v>778.0</v>
      </c>
      <c r="G8401" s="81" t="s">
        <v>42</v>
      </c>
      <c r="H8401" s="81" t="s">
        <v>224</v>
      </c>
      <c r="I8401" s="81" t="s">
        <v>3952</v>
      </c>
      <c r="J8401" s="81" t="s">
        <v>224</v>
      </c>
    </row>
    <row r="8402">
      <c r="A8402" s="83" t="s">
        <v>6764</v>
      </c>
      <c r="B8402" s="83" t="s">
        <v>6765</v>
      </c>
      <c r="C8402" s="81" t="s">
        <v>4086</v>
      </c>
      <c r="D8402" s="83" t="s">
        <v>4835</v>
      </c>
      <c r="E8402" s="81" t="s">
        <v>3962</v>
      </c>
      <c r="F8402" s="81">
        <v>779.0</v>
      </c>
      <c r="G8402" s="81" t="s">
        <v>43</v>
      </c>
      <c r="H8402" s="81" t="s">
        <v>224</v>
      </c>
      <c r="I8402" s="81" t="s">
        <v>3953</v>
      </c>
      <c r="J8402" s="81" t="s">
        <v>224</v>
      </c>
    </row>
    <row r="8403">
      <c r="A8403" s="83" t="s">
        <v>6764</v>
      </c>
      <c r="B8403" s="83" t="s">
        <v>6765</v>
      </c>
      <c r="C8403" s="81" t="s">
        <v>4086</v>
      </c>
      <c r="D8403" s="83" t="s">
        <v>4835</v>
      </c>
      <c r="E8403" s="81" t="s">
        <v>3962</v>
      </c>
      <c r="F8403" s="81">
        <v>779.0</v>
      </c>
      <c r="G8403" s="81" t="s">
        <v>42</v>
      </c>
      <c r="H8403" s="81" t="s">
        <v>224</v>
      </c>
      <c r="I8403" s="81" t="s">
        <v>3952</v>
      </c>
      <c r="J8403" s="81" t="s">
        <v>224</v>
      </c>
    </row>
    <row r="8404">
      <c r="A8404" s="83" t="s">
        <v>6764</v>
      </c>
      <c r="B8404" s="83" t="s">
        <v>6765</v>
      </c>
      <c r="C8404" s="81" t="s">
        <v>4086</v>
      </c>
      <c r="D8404" s="83" t="s">
        <v>4836</v>
      </c>
      <c r="E8404" s="81" t="s">
        <v>3965</v>
      </c>
      <c r="F8404" s="81">
        <v>780.0</v>
      </c>
      <c r="G8404" s="81" t="s">
        <v>43</v>
      </c>
      <c r="H8404" s="81" t="s">
        <v>224</v>
      </c>
      <c r="I8404" s="81" t="s">
        <v>3953</v>
      </c>
      <c r="J8404" s="81" t="s">
        <v>224</v>
      </c>
    </row>
    <row r="8405">
      <c r="A8405" s="83" t="s">
        <v>6764</v>
      </c>
      <c r="B8405" s="83" t="s">
        <v>6765</v>
      </c>
      <c r="C8405" s="81" t="s">
        <v>4086</v>
      </c>
      <c r="D8405" s="83" t="s">
        <v>4836</v>
      </c>
      <c r="E8405" s="81" t="s">
        <v>3965</v>
      </c>
      <c r="F8405" s="81">
        <v>780.0</v>
      </c>
      <c r="G8405" s="81" t="s">
        <v>42</v>
      </c>
      <c r="H8405" s="81" t="s">
        <v>224</v>
      </c>
      <c r="I8405" s="81" t="s">
        <v>3952</v>
      </c>
      <c r="J8405" s="81" t="s">
        <v>224</v>
      </c>
    </row>
    <row r="8406">
      <c r="A8406" s="83" t="s">
        <v>6764</v>
      </c>
      <c r="B8406" s="83" t="s">
        <v>6765</v>
      </c>
      <c r="C8406" s="81" t="s">
        <v>4086</v>
      </c>
      <c r="D8406" s="83" t="s">
        <v>4837</v>
      </c>
      <c r="E8406" s="81" t="s">
        <v>3968</v>
      </c>
      <c r="F8406" s="81">
        <v>781.0</v>
      </c>
      <c r="G8406" s="81" t="s">
        <v>43</v>
      </c>
      <c r="H8406" s="81" t="s">
        <v>224</v>
      </c>
      <c r="I8406" s="81" t="s">
        <v>3953</v>
      </c>
      <c r="J8406" s="81" t="s">
        <v>224</v>
      </c>
    </row>
    <row r="8407">
      <c r="A8407" s="83" t="s">
        <v>6764</v>
      </c>
      <c r="B8407" s="83" t="s">
        <v>6765</v>
      </c>
      <c r="C8407" s="81" t="s">
        <v>4086</v>
      </c>
      <c r="D8407" s="83" t="s">
        <v>4837</v>
      </c>
      <c r="E8407" s="81" t="s">
        <v>3968</v>
      </c>
      <c r="F8407" s="81">
        <v>781.0</v>
      </c>
      <c r="G8407" s="81" t="s">
        <v>42</v>
      </c>
      <c r="H8407" s="81" t="s">
        <v>224</v>
      </c>
      <c r="I8407" s="81" t="s">
        <v>3952</v>
      </c>
      <c r="J8407" s="81" t="s">
        <v>224</v>
      </c>
    </row>
    <row r="8408">
      <c r="A8408" s="83" t="s">
        <v>6764</v>
      </c>
      <c r="B8408" s="83" t="s">
        <v>6765</v>
      </c>
      <c r="C8408" s="81" t="s">
        <v>4086</v>
      </c>
      <c r="D8408" s="83" t="s">
        <v>4838</v>
      </c>
      <c r="E8408" s="81" t="s">
        <v>3971</v>
      </c>
      <c r="F8408" s="81">
        <v>782.0</v>
      </c>
      <c r="G8408" s="81" t="s">
        <v>43</v>
      </c>
      <c r="H8408" s="81" t="s">
        <v>224</v>
      </c>
      <c r="I8408" s="81" t="s">
        <v>3979</v>
      </c>
      <c r="J8408" s="81" t="s">
        <v>224</v>
      </c>
    </row>
    <row r="8409">
      <c r="A8409" s="83" t="s">
        <v>6764</v>
      </c>
      <c r="B8409" s="83" t="s">
        <v>6765</v>
      </c>
      <c r="C8409" s="81" t="s">
        <v>4086</v>
      </c>
      <c r="D8409" s="83" t="s">
        <v>4838</v>
      </c>
      <c r="E8409" s="81" t="s">
        <v>3971</v>
      </c>
      <c r="F8409" s="81">
        <v>782.0</v>
      </c>
      <c r="G8409" s="81" t="s">
        <v>42</v>
      </c>
      <c r="H8409" s="81" t="s">
        <v>224</v>
      </c>
      <c r="I8409" s="81" t="s">
        <v>3978</v>
      </c>
      <c r="J8409" s="81" t="s">
        <v>224</v>
      </c>
    </row>
    <row r="8410">
      <c r="A8410" s="83" t="s">
        <v>6764</v>
      </c>
      <c r="B8410" s="83" t="s">
        <v>6765</v>
      </c>
      <c r="C8410" s="81" t="s">
        <v>4086</v>
      </c>
      <c r="D8410" s="83" t="s">
        <v>4838</v>
      </c>
      <c r="E8410" s="81" t="s">
        <v>3981</v>
      </c>
      <c r="F8410" s="81">
        <v>783.0</v>
      </c>
      <c r="G8410" s="81" t="s">
        <v>43</v>
      </c>
      <c r="H8410" s="81" t="s">
        <v>224</v>
      </c>
      <c r="I8410" s="81" t="s">
        <v>3979</v>
      </c>
      <c r="J8410" s="81" t="s">
        <v>224</v>
      </c>
    </row>
    <row r="8411">
      <c r="A8411" s="83" t="s">
        <v>6764</v>
      </c>
      <c r="B8411" s="83" t="s">
        <v>6765</v>
      </c>
      <c r="C8411" s="81" t="s">
        <v>4086</v>
      </c>
      <c r="D8411" s="83" t="s">
        <v>4838</v>
      </c>
      <c r="E8411" s="81" t="s">
        <v>3981</v>
      </c>
      <c r="F8411" s="81">
        <v>783.0</v>
      </c>
      <c r="G8411" s="81" t="s">
        <v>42</v>
      </c>
      <c r="H8411" s="81" t="s">
        <v>224</v>
      </c>
      <c r="I8411" s="81" t="s">
        <v>3978</v>
      </c>
      <c r="J8411" s="81" t="s">
        <v>224</v>
      </c>
    </row>
    <row r="8412">
      <c r="A8412" s="83" t="s">
        <v>6764</v>
      </c>
      <c r="B8412" s="83" t="s">
        <v>6765</v>
      </c>
      <c r="C8412" s="81" t="s">
        <v>4086</v>
      </c>
      <c r="D8412" s="83" t="s">
        <v>4839</v>
      </c>
      <c r="E8412" s="81" t="s">
        <v>3982</v>
      </c>
      <c r="F8412" s="81">
        <v>784.0</v>
      </c>
      <c r="G8412" s="81" t="s">
        <v>43</v>
      </c>
      <c r="H8412" s="81" t="s">
        <v>224</v>
      </c>
      <c r="I8412" s="81" t="s">
        <v>3979</v>
      </c>
      <c r="J8412" s="81" t="s">
        <v>224</v>
      </c>
    </row>
    <row r="8413">
      <c r="A8413" s="83" t="s">
        <v>6764</v>
      </c>
      <c r="B8413" s="83" t="s">
        <v>6765</v>
      </c>
      <c r="C8413" s="81" t="s">
        <v>4086</v>
      </c>
      <c r="D8413" s="83" t="s">
        <v>4839</v>
      </c>
      <c r="E8413" s="81" t="s">
        <v>3982</v>
      </c>
      <c r="F8413" s="81">
        <v>784.0</v>
      </c>
      <c r="G8413" s="81" t="s">
        <v>42</v>
      </c>
      <c r="H8413" s="81" t="s">
        <v>224</v>
      </c>
      <c r="I8413" s="81" t="s">
        <v>3978</v>
      </c>
      <c r="J8413" s="81" t="s">
        <v>224</v>
      </c>
    </row>
    <row r="8414">
      <c r="A8414" s="83" t="s">
        <v>6764</v>
      </c>
      <c r="B8414" s="83" t="s">
        <v>6765</v>
      </c>
      <c r="C8414" s="81" t="s">
        <v>4086</v>
      </c>
      <c r="D8414" s="83" t="s">
        <v>4840</v>
      </c>
      <c r="E8414" s="81" t="s">
        <v>3985</v>
      </c>
      <c r="F8414" s="81">
        <v>785.0</v>
      </c>
      <c r="G8414" s="81" t="s">
        <v>43</v>
      </c>
      <c r="H8414" s="81" t="s">
        <v>224</v>
      </c>
      <c r="I8414" s="81" t="s">
        <v>3979</v>
      </c>
      <c r="J8414" s="81" t="s">
        <v>224</v>
      </c>
    </row>
    <row r="8415">
      <c r="A8415" s="83" t="s">
        <v>6764</v>
      </c>
      <c r="B8415" s="83" t="s">
        <v>6765</v>
      </c>
      <c r="C8415" s="81" t="s">
        <v>4086</v>
      </c>
      <c r="D8415" s="83" t="s">
        <v>4840</v>
      </c>
      <c r="E8415" s="81" t="s">
        <v>3985</v>
      </c>
      <c r="F8415" s="81">
        <v>785.0</v>
      </c>
      <c r="G8415" s="81" t="s">
        <v>42</v>
      </c>
      <c r="H8415" s="81" t="s">
        <v>224</v>
      </c>
      <c r="I8415" s="81" t="s">
        <v>3978</v>
      </c>
      <c r="J8415" s="81" t="s">
        <v>224</v>
      </c>
    </row>
    <row r="8416">
      <c r="A8416" s="83" t="s">
        <v>6764</v>
      </c>
      <c r="B8416" s="83" t="s">
        <v>6765</v>
      </c>
      <c r="C8416" s="81" t="s">
        <v>4086</v>
      </c>
      <c r="D8416" s="83" t="s">
        <v>4841</v>
      </c>
      <c r="E8416" s="81" t="s">
        <v>3988</v>
      </c>
      <c r="F8416" s="81">
        <v>786.0</v>
      </c>
      <c r="G8416" s="81" t="s">
        <v>43</v>
      </c>
      <c r="H8416" s="81" t="s">
        <v>224</v>
      </c>
      <c r="I8416" s="81" t="s">
        <v>3979</v>
      </c>
      <c r="J8416" s="81" t="s">
        <v>224</v>
      </c>
    </row>
    <row r="8417">
      <c r="A8417" s="83" t="s">
        <v>6764</v>
      </c>
      <c r="B8417" s="83" t="s">
        <v>6765</v>
      </c>
      <c r="C8417" s="81" t="s">
        <v>4086</v>
      </c>
      <c r="D8417" s="83" t="s">
        <v>4841</v>
      </c>
      <c r="E8417" s="81" t="s">
        <v>3988</v>
      </c>
      <c r="F8417" s="81">
        <v>786.0</v>
      </c>
      <c r="G8417" s="81" t="s">
        <v>42</v>
      </c>
      <c r="H8417" s="81" t="s">
        <v>224</v>
      </c>
      <c r="I8417" s="81" t="s">
        <v>3978</v>
      </c>
      <c r="J8417" s="81" t="s">
        <v>224</v>
      </c>
    </row>
    <row r="8418">
      <c r="A8418" s="83" t="s">
        <v>6764</v>
      </c>
      <c r="B8418" s="83" t="s">
        <v>6765</v>
      </c>
      <c r="C8418" s="81" t="s">
        <v>4086</v>
      </c>
      <c r="D8418" s="83" t="s">
        <v>4842</v>
      </c>
      <c r="E8418" s="81" t="s">
        <v>3991</v>
      </c>
      <c r="F8418" s="81">
        <v>787.0</v>
      </c>
      <c r="G8418" s="81" t="s">
        <v>43</v>
      </c>
      <c r="H8418" s="81" t="s">
        <v>224</v>
      </c>
      <c r="I8418" s="81" t="s">
        <v>3979</v>
      </c>
      <c r="J8418" s="81" t="s">
        <v>224</v>
      </c>
    </row>
    <row r="8419">
      <c r="A8419" s="83" t="s">
        <v>6764</v>
      </c>
      <c r="B8419" s="83" t="s">
        <v>6765</v>
      </c>
      <c r="C8419" s="81" t="s">
        <v>4086</v>
      </c>
      <c r="D8419" s="83" t="s">
        <v>4842</v>
      </c>
      <c r="E8419" s="81" t="s">
        <v>3991</v>
      </c>
      <c r="F8419" s="81">
        <v>787.0</v>
      </c>
      <c r="G8419" s="81" t="s">
        <v>42</v>
      </c>
      <c r="H8419" s="81" t="s">
        <v>224</v>
      </c>
      <c r="I8419" s="81" t="s">
        <v>3978</v>
      </c>
      <c r="J8419" s="81" t="s">
        <v>224</v>
      </c>
    </row>
    <row r="8420">
      <c r="A8420" s="83" t="s">
        <v>6764</v>
      </c>
      <c r="B8420" s="83" t="s">
        <v>6765</v>
      </c>
      <c r="C8420" s="81" t="s">
        <v>4086</v>
      </c>
      <c r="D8420" s="83" t="s">
        <v>4843</v>
      </c>
      <c r="E8420" s="81" t="s">
        <v>3994</v>
      </c>
      <c r="F8420" s="81">
        <v>788.0</v>
      </c>
      <c r="G8420" s="81" t="s">
        <v>43</v>
      </c>
      <c r="H8420" s="81" t="s">
        <v>224</v>
      </c>
      <c r="I8420" s="81" t="s">
        <v>3979</v>
      </c>
      <c r="J8420" s="81" t="s">
        <v>224</v>
      </c>
    </row>
    <row r="8421">
      <c r="A8421" s="83" t="s">
        <v>6764</v>
      </c>
      <c r="B8421" s="83" t="s">
        <v>6765</v>
      </c>
      <c r="C8421" s="81" t="s">
        <v>4086</v>
      </c>
      <c r="D8421" s="83" t="s">
        <v>4843</v>
      </c>
      <c r="E8421" s="81" t="s">
        <v>3994</v>
      </c>
      <c r="F8421" s="81">
        <v>788.0</v>
      </c>
      <c r="G8421" s="81" t="s">
        <v>42</v>
      </c>
      <c r="H8421" s="81" t="s">
        <v>224</v>
      </c>
      <c r="I8421" s="81" t="s">
        <v>3978</v>
      </c>
      <c r="J8421" s="81" t="s">
        <v>224</v>
      </c>
    </row>
    <row r="8422">
      <c r="A8422" s="83" t="s">
        <v>6764</v>
      </c>
      <c r="B8422" s="83" t="s">
        <v>6765</v>
      </c>
      <c r="C8422" s="81" t="s">
        <v>4082</v>
      </c>
      <c r="D8422" s="83" t="s">
        <v>4844</v>
      </c>
      <c r="E8422" s="81" t="s">
        <v>3998</v>
      </c>
      <c r="F8422" s="81">
        <v>792.0</v>
      </c>
      <c r="G8422" s="81" t="s">
        <v>39</v>
      </c>
      <c r="H8422" s="81" t="s">
        <v>224</v>
      </c>
      <c r="I8422" s="81" t="s">
        <v>224</v>
      </c>
      <c r="J8422" s="81" t="s">
        <v>6440</v>
      </c>
    </row>
    <row r="8423">
      <c r="A8423" s="83" t="s">
        <v>6764</v>
      </c>
      <c r="B8423" s="83" t="s">
        <v>6765</v>
      </c>
      <c r="C8423" s="81" t="s">
        <v>4086</v>
      </c>
      <c r="D8423" s="83" t="s">
        <v>4844</v>
      </c>
      <c r="E8423" s="81" t="s">
        <v>3998</v>
      </c>
      <c r="F8423" s="81">
        <v>792.0</v>
      </c>
      <c r="G8423" s="81" t="s">
        <v>43</v>
      </c>
      <c r="H8423" s="81" t="s">
        <v>224</v>
      </c>
      <c r="I8423" s="81" t="s">
        <v>4000</v>
      </c>
      <c r="J8423" s="81" t="s">
        <v>224</v>
      </c>
    </row>
    <row r="8424">
      <c r="A8424" s="83" t="s">
        <v>6764</v>
      </c>
      <c r="B8424" s="83" t="s">
        <v>6765</v>
      </c>
      <c r="C8424" s="81" t="s">
        <v>4082</v>
      </c>
      <c r="D8424" s="83" t="s">
        <v>4845</v>
      </c>
      <c r="E8424" s="81" t="s">
        <v>4002</v>
      </c>
      <c r="F8424" s="81">
        <v>793.0</v>
      </c>
      <c r="G8424" s="81" t="s">
        <v>39</v>
      </c>
      <c r="H8424" s="81" t="s">
        <v>224</v>
      </c>
      <c r="I8424" s="81" t="s">
        <v>224</v>
      </c>
      <c r="J8424" s="81" t="s">
        <v>6441</v>
      </c>
    </row>
    <row r="8425">
      <c r="A8425" s="83" t="s">
        <v>6764</v>
      </c>
      <c r="B8425" s="83" t="s">
        <v>6765</v>
      </c>
      <c r="C8425" s="81" t="s">
        <v>4086</v>
      </c>
      <c r="D8425" s="83" t="s">
        <v>4845</v>
      </c>
      <c r="E8425" s="81" t="s">
        <v>4002</v>
      </c>
      <c r="F8425" s="81">
        <v>793.0</v>
      </c>
      <c r="G8425" s="81" t="s">
        <v>43</v>
      </c>
      <c r="H8425" s="81" t="s">
        <v>224</v>
      </c>
      <c r="I8425" s="81" t="s">
        <v>4000</v>
      </c>
      <c r="J8425" s="81" t="s">
        <v>224</v>
      </c>
    </row>
    <row r="8426">
      <c r="A8426" s="83" t="s">
        <v>6764</v>
      </c>
      <c r="B8426" s="83" t="s">
        <v>6765</v>
      </c>
      <c r="C8426" s="81" t="s">
        <v>4082</v>
      </c>
      <c r="D8426" s="83" t="s">
        <v>4846</v>
      </c>
      <c r="E8426" s="81" t="s">
        <v>1133</v>
      </c>
      <c r="F8426" s="81">
        <v>794.0</v>
      </c>
      <c r="G8426" s="81" t="s">
        <v>39</v>
      </c>
      <c r="H8426" s="81" t="s">
        <v>224</v>
      </c>
      <c r="I8426" s="81" t="s">
        <v>224</v>
      </c>
      <c r="J8426" s="81" t="s">
        <v>6442</v>
      </c>
    </row>
    <row r="8427">
      <c r="A8427" s="83" t="s">
        <v>6764</v>
      </c>
      <c r="B8427" s="83" t="s">
        <v>6765</v>
      </c>
      <c r="C8427" s="81" t="s">
        <v>4086</v>
      </c>
      <c r="D8427" s="83" t="s">
        <v>4846</v>
      </c>
      <c r="E8427" s="81" t="s">
        <v>1133</v>
      </c>
      <c r="F8427" s="81">
        <v>794.0</v>
      </c>
      <c r="G8427" s="81" t="s">
        <v>43</v>
      </c>
      <c r="H8427" s="81" t="s">
        <v>224</v>
      </c>
      <c r="I8427" s="81" t="s">
        <v>4004</v>
      </c>
      <c r="J8427" s="81" t="s">
        <v>224</v>
      </c>
    </row>
    <row r="8428">
      <c r="A8428" s="83" t="s">
        <v>6764</v>
      </c>
      <c r="B8428" s="83" t="s">
        <v>6765</v>
      </c>
      <c r="C8428" s="81" t="s">
        <v>4082</v>
      </c>
      <c r="D8428" s="83" t="s">
        <v>4847</v>
      </c>
      <c r="E8428" s="81" t="s">
        <v>4005</v>
      </c>
      <c r="F8428" s="81">
        <v>795.0</v>
      </c>
      <c r="G8428" s="81" t="s">
        <v>39</v>
      </c>
      <c r="H8428" s="81" t="s">
        <v>224</v>
      </c>
      <c r="I8428" s="81" t="s">
        <v>224</v>
      </c>
      <c r="J8428" s="81" t="s">
        <v>6316</v>
      </c>
    </row>
    <row r="8429">
      <c r="A8429" s="83" t="s">
        <v>6764</v>
      </c>
      <c r="B8429" s="83" t="s">
        <v>6765</v>
      </c>
      <c r="C8429" s="81" t="s">
        <v>4086</v>
      </c>
      <c r="D8429" s="83" t="s">
        <v>4847</v>
      </c>
      <c r="E8429" s="81" t="s">
        <v>4005</v>
      </c>
      <c r="F8429" s="81">
        <v>795.0</v>
      </c>
      <c r="G8429" s="81" t="s">
        <v>43</v>
      </c>
      <c r="H8429" s="81" t="s">
        <v>224</v>
      </c>
      <c r="I8429" s="81" t="s">
        <v>4004</v>
      </c>
      <c r="J8429" s="81" t="s">
        <v>224</v>
      </c>
    </row>
    <row r="8430">
      <c r="A8430" s="83" t="s">
        <v>6764</v>
      </c>
      <c r="B8430" s="83" t="s">
        <v>6765</v>
      </c>
      <c r="C8430" s="81" t="s">
        <v>4082</v>
      </c>
      <c r="D8430" s="83" t="s">
        <v>4848</v>
      </c>
      <c r="E8430" s="81" t="s">
        <v>1142</v>
      </c>
      <c r="F8430" s="81">
        <v>796.0</v>
      </c>
      <c r="G8430" s="81" t="s">
        <v>39</v>
      </c>
      <c r="H8430" s="81" t="s">
        <v>224</v>
      </c>
      <c r="I8430" s="81" t="s">
        <v>224</v>
      </c>
      <c r="J8430" s="81" t="s">
        <v>6443</v>
      </c>
    </row>
    <row r="8431">
      <c r="A8431" s="83" t="s">
        <v>6764</v>
      </c>
      <c r="B8431" s="83" t="s">
        <v>6765</v>
      </c>
      <c r="C8431" s="81" t="s">
        <v>4086</v>
      </c>
      <c r="D8431" s="83" t="s">
        <v>4848</v>
      </c>
      <c r="E8431" s="81" t="s">
        <v>1142</v>
      </c>
      <c r="F8431" s="81">
        <v>796.0</v>
      </c>
      <c r="G8431" s="81" t="s">
        <v>43</v>
      </c>
      <c r="H8431" s="81" t="s">
        <v>224</v>
      </c>
      <c r="I8431" s="81" t="s">
        <v>4006</v>
      </c>
      <c r="J8431" s="81" t="s">
        <v>224</v>
      </c>
    </row>
    <row r="8432">
      <c r="A8432" s="83" t="s">
        <v>6764</v>
      </c>
      <c r="B8432" s="83" t="s">
        <v>6765</v>
      </c>
      <c r="C8432" s="81" t="s">
        <v>4082</v>
      </c>
      <c r="D8432" s="83" t="s">
        <v>4850</v>
      </c>
      <c r="E8432" s="81" t="s">
        <v>1138</v>
      </c>
      <c r="F8432" s="81">
        <v>797.0</v>
      </c>
      <c r="G8432" s="81" t="s">
        <v>39</v>
      </c>
      <c r="H8432" s="81" t="s">
        <v>224</v>
      </c>
      <c r="I8432" s="81" t="s">
        <v>224</v>
      </c>
      <c r="J8432" s="81" t="s">
        <v>6444</v>
      </c>
    </row>
    <row r="8433">
      <c r="A8433" s="83" t="s">
        <v>6764</v>
      </c>
      <c r="B8433" s="83" t="s">
        <v>6765</v>
      </c>
      <c r="C8433" s="81" t="s">
        <v>4086</v>
      </c>
      <c r="D8433" s="83" t="s">
        <v>4850</v>
      </c>
      <c r="E8433" s="81" t="s">
        <v>1138</v>
      </c>
      <c r="F8433" s="81">
        <v>797.0</v>
      </c>
      <c r="G8433" s="81" t="s">
        <v>43</v>
      </c>
      <c r="H8433" s="81" t="s">
        <v>224</v>
      </c>
      <c r="I8433" s="81" t="s">
        <v>4006</v>
      </c>
      <c r="J8433" s="81" t="s">
        <v>224</v>
      </c>
    </row>
    <row r="8434">
      <c r="A8434" s="83" t="s">
        <v>6764</v>
      </c>
      <c r="B8434" s="83" t="s">
        <v>6765</v>
      </c>
      <c r="C8434" s="81" t="s">
        <v>4086</v>
      </c>
      <c r="D8434" s="83" t="s">
        <v>4861</v>
      </c>
      <c r="E8434" s="81" t="s">
        <v>4007</v>
      </c>
      <c r="F8434" s="81">
        <v>798.0</v>
      </c>
      <c r="G8434" s="81" t="s">
        <v>43</v>
      </c>
      <c r="H8434" s="81" t="s">
        <v>224</v>
      </c>
      <c r="I8434" s="81" t="s">
        <v>3537</v>
      </c>
      <c r="J8434" s="81" t="s">
        <v>224</v>
      </c>
    </row>
    <row r="8435">
      <c r="A8435" s="83" t="s">
        <v>6764</v>
      </c>
      <c r="B8435" s="83" t="s">
        <v>6765</v>
      </c>
      <c r="C8435" s="81" t="s">
        <v>4086</v>
      </c>
      <c r="D8435" s="83" t="s">
        <v>4862</v>
      </c>
      <c r="E8435" s="81" t="s">
        <v>4011</v>
      </c>
      <c r="F8435" s="81">
        <v>799.0</v>
      </c>
      <c r="G8435" s="81" t="s">
        <v>43</v>
      </c>
      <c r="H8435" s="81" t="s">
        <v>224</v>
      </c>
      <c r="I8435" s="81" t="s">
        <v>1839</v>
      </c>
      <c r="J8435" s="81" t="s">
        <v>224</v>
      </c>
    </row>
    <row r="8436">
      <c r="A8436" s="83" t="s">
        <v>6764</v>
      </c>
      <c r="B8436" s="83" t="s">
        <v>6765</v>
      </c>
      <c r="C8436" s="81" t="s">
        <v>4086</v>
      </c>
      <c r="D8436" s="83" t="s">
        <v>4863</v>
      </c>
      <c r="E8436" s="81" t="s">
        <v>4014</v>
      </c>
      <c r="F8436" s="81">
        <v>800.0</v>
      </c>
      <c r="G8436" s="81" t="s">
        <v>43</v>
      </c>
      <c r="H8436" s="81" t="s">
        <v>224</v>
      </c>
      <c r="I8436" s="81" t="s">
        <v>1847</v>
      </c>
      <c r="J8436" s="81" t="s">
        <v>224</v>
      </c>
    </row>
    <row r="8437">
      <c r="A8437" s="83" t="s">
        <v>6764</v>
      </c>
      <c r="B8437" s="83" t="s">
        <v>6765</v>
      </c>
      <c r="C8437" s="81" t="s">
        <v>4086</v>
      </c>
      <c r="D8437" s="83" t="s">
        <v>4863</v>
      </c>
      <c r="E8437" s="81" t="s">
        <v>4014</v>
      </c>
      <c r="F8437" s="81">
        <v>800.0</v>
      </c>
      <c r="G8437" s="81" t="s">
        <v>42</v>
      </c>
      <c r="H8437" s="81" t="s">
        <v>6445</v>
      </c>
      <c r="I8437" s="81" t="s">
        <v>1838</v>
      </c>
      <c r="J8437" s="81" t="s">
        <v>224</v>
      </c>
    </row>
    <row r="8438">
      <c r="A8438" s="83" t="s">
        <v>6764</v>
      </c>
      <c r="B8438" s="83" t="s">
        <v>6765</v>
      </c>
      <c r="C8438" s="81" t="s">
        <v>4086</v>
      </c>
      <c r="D8438" s="83" t="s">
        <v>4864</v>
      </c>
      <c r="E8438" s="81" t="s">
        <v>4016</v>
      </c>
      <c r="F8438" s="81">
        <v>801.0</v>
      </c>
      <c r="G8438" s="81" t="s">
        <v>43</v>
      </c>
      <c r="H8438" s="81" t="s">
        <v>224</v>
      </c>
      <c r="I8438" s="81" t="s">
        <v>1857</v>
      </c>
      <c r="J8438" s="81" t="s">
        <v>224</v>
      </c>
    </row>
    <row r="8439">
      <c r="A8439" s="83" t="s">
        <v>6764</v>
      </c>
      <c r="B8439" s="83" t="s">
        <v>6765</v>
      </c>
      <c r="C8439" s="81" t="s">
        <v>4086</v>
      </c>
      <c r="D8439" s="83" t="s">
        <v>4865</v>
      </c>
      <c r="E8439" s="81" t="s">
        <v>4017</v>
      </c>
      <c r="F8439" s="81">
        <v>802.0</v>
      </c>
      <c r="G8439" s="81" t="s">
        <v>43</v>
      </c>
      <c r="H8439" s="81" t="s">
        <v>224</v>
      </c>
      <c r="I8439" s="81" t="s">
        <v>1862</v>
      </c>
      <c r="J8439" s="81" t="s">
        <v>224</v>
      </c>
    </row>
    <row r="8440">
      <c r="A8440" s="83" t="s">
        <v>6764</v>
      </c>
      <c r="B8440" s="83" t="s">
        <v>6765</v>
      </c>
      <c r="C8440" s="81" t="s">
        <v>4086</v>
      </c>
      <c r="D8440" s="83" t="s">
        <v>4866</v>
      </c>
      <c r="E8440" s="81" t="s">
        <v>4018</v>
      </c>
      <c r="F8440" s="81">
        <v>803.0</v>
      </c>
      <c r="G8440" s="81" t="s">
        <v>43</v>
      </c>
      <c r="H8440" s="81" t="s">
        <v>224</v>
      </c>
      <c r="I8440" s="81" t="s">
        <v>1871</v>
      </c>
      <c r="J8440" s="81" t="s">
        <v>224</v>
      </c>
    </row>
    <row r="8441">
      <c r="A8441" s="83" t="s">
        <v>6764</v>
      </c>
      <c r="B8441" s="83" t="s">
        <v>6765</v>
      </c>
      <c r="C8441" s="81" t="s">
        <v>4086</v>
      </c>
      <c r="D8441" s="83" t="s">
        <v>4866</v>
      </c>
      <c r="E8441" s="81" t="s">
        <v>4018</v>
      </c>
      <c r="F8441" s="81">
        <v>803.0</v>
      </c>
      <c r="G8441" s="81" t="s">
        <v>42</v>
      </c>
      <c r="H8441" s="81" t="s">
        <v>224</v>
      </c>
      <c r="I8441" s="81" t="s">
        <v>1870</v>
      </c>
      <c r="J8441" s="81" t="s">
        <v>224</v>
      </c>
    </row>
    <row r="8442">
      <c r="A8442" s="83" t="s">
        <v>6764</v>
      </c>
      <c r="B8442" s="83" t="s">
        <v>6765</v>
      </c>
      <c r="C8442" s="81" t="s">
        <v>4086</v>
      </c>
      <c r="D8442" s="83" t="s">
        <v>4867</v>
      </c>
      <c r="E8442" s="81" t="s">
        <v>4019</v>
      </c>
      <c r="F8442" s="81">
        <v>804.0</v>
      </c>
      <c r="G8442" s="81" t="s">
        <v>43</v>
      </c>
      <c r="H8442" s="81" t="s">
        <v>224</v>
      </c>
      <c r="I8442" s="81" t="s">
        <v>2336</v>
      </c>
      <c r="J8442" s="81" t="s">
        <v>224</v>
      </c>
    </row>
    <row r="8443">
      <c r="A8443" s="83" t="s">
        <v>6764</v>
      </c>
      <c r="B8443" s="83" t="s">
        <v>6765</v>
      </c>
      <c r="C8443" s="81" t="s">
        <v>4082</v>
      </c>
      <c r="D8443" s="83" t="s">
        <v>4868</v>
      </c>
      <c r="E8443" s="81" t="s">
        <v>4020</v>
      </c>
      <c r="F8443" s="81">
        <v>805.0</v>
      </c>
      <c r="G8443" s="81" t="s">
        <v>41</v>
      </c>
      <c r="H8443" s="81" t="s">
        <v>4027</v>
      </c>
      <c r="I8443" s="81" t="s">
        <v>224</v>
      </c>
      <c r="J8443" s="81" t="s">
        <v>6446</v>
      </c>
    </row>
    <row r="8444">
      <c r="A8444" s="83" t="s">
        <v>6764</v>
      </c>
      <c r="B8444" s="83" t="s">
        <v>6765</v>
      </c>
      <c r="C8444" s="81" t="s">
        <v>4086</v>
      </c>
      <c r="D8444" s="83" t="s">
        <v>4869</v>
      </c>
      <c r="E8444" s="81" t="s">
        <v>4032</v>
      </c>
      <c r="F8444" s="81">
        <v>807.0</v>
      </c>
      <c r="G8444" s="81" t="s">
        <v>42</v>
      </c>
      <c r="H8444" s="81" t="s">
        <v>4028</v>
      </c>
      <c r="I8444" s="81" t="s">
        <v>4035</v>
      </c>
      <c r="J8444" s="81" t="s">
        <v>224</v>
      </c>
    </row>
    <row r="8445">
      <c r="A8445" s="83" t="s">
        <v>6764</v>
      </c>
      <c r="B8445" s="83" t="s">
        <v>6765</v>
      </c>
      <c r="C8445" s="81" t="s">
        <v>4082</v>
      </c>
      <c r="D8445" s="83" t="s">
        <v>4870</v>
      </c>
      <c r="E8445" s="81" t="s">
        <v>4037</v>
      </c>
      <c r="F8445" s="81">
        <v>808.0</v>
      </c>
      <c r="G8445" s="81" t="s">
        <v>39</v>
      </c>
      <c r="H8445" s="81" t="s">
        <v>224</v>
      </c>
      <c r="I8445" s="81" t="s">
        <v>224</v>
      </c>
      <c r="J8445" s="81" t="s">
        <v>6763</v>
      </c>
    </row>
    <row r="8446">
      <c r="A8446" s="83" t="s">
        <v>6764</v>
      </c>
      <c r="B8446" s="83" t="s">
        <v>6765</v>
      </c>
      <c r="C8446" s="81" t="s">
        <v>5141</v>
      </c>
      <c r="D8446" s="83" t="s">
        <v>4870</v>
      </c>
      <c r="E8446" s="81" t="s">
        <v>4037</v>
      </c>
      <c r="F8446" s="81">
        <v>808.0</v>
      </c>
      <c r="G8446" s="81" t="s">
        <v>39</v>
      </c>
      <c r="H8446" s="81" t="s">
        <v>6447</v>
      </c>
      <c r="I8446" s="81" t="s">
        <v>224</v>
      </c>
      <c r="J8446" s="81" t="s">
        <v>5143</v>
      </c>
    </row>
    <row r="8447">
      <c r="A8447" s="83" t="s">
        <v>6764</v>
      </c>
      <c r="B8447" s="83" t="s">
        <v>6765</v>
      </c>
      <c r="C8447" s="81" t="s">
        <v>4086</v>
      </c>
      <c r="D8447" s="83" t="s">
        <v>4870</v>
      </c>
      <c r="E8447" s="81" t="s">
        <v>4037</v>
      </c>
      <c r="F8447" s="81">
        <v>808.0</v>
      </c>
      <c r="G8447" s="81" t="s">
        <v>40</v>
      </c>
      <c r="H8447" s="81" t="s">
        <v>6448</v>
      </c>
      <c r="I8447" s="81" t="s">
        <v>4044</v>
      </c>
      <c r="J8447" s="81" t="s">
        <v>224</v>
      </c>
    </row>
    <row r="8448">
      <c r="A8448" s="83" t="s">
        <v>6764</v>
      </c>
      <c r="B8448" s="83" t="s">
        <v>6765</v>
      </c>
      <c r="C8448" s="81" t="s">
        <v>4082</v>
      </c>
      <c r="D8448" s="83" t="s">
        <v>4870</v>
      </c>
      <c r="E8448" s="81" t="s">
        <v>4037</v>
      </c>
      <c r="F8448" s="81">
        <v>808.0</v>
      </c>
      <c r="G8448" s="81" t="s">
        <v>41</v>
      </c>
      <c r="H8448" s="81" t="s">
        <v>4045</v>
      </c>
      <c r="I8448" s="81" t="s">
        <v>224</v>
      </c>
      <c r="J8448" s="81" t="s">
        <v>6449</v>
      </c>
    </row>
    <row r="8449">
      <c r="A8449" s="83" t="s">
        <v>6764</v>
      </c>
      <c r="B8449" s="83" t="s">
        <v>6765</v>
      </c>
      <c r="C8449" s="81" t="s">
        <v>4086</v>
      </c>
      <c r="D8449" s="83" t="s">
        <v>4871</v>
      </c>
      <c r="E8449" s="81" t="s">
        <v>4049</v>
      </c>
      <c r="F8449" s="81">
        <v>809.0</v>
      </c>
      <c r="G8449" s="81" t="s">
        <v>42</v>
      </c>
      <c r="H8449" s="81" t="s">
        <v>224</v>
      </c>
      <c r="I8449" s="81" t="s">
        <v>4055</v>
      </c>
      <c r="J8449" s="81" t="s">
        <v>224</v>
      </c>
    </row>
    <row r="8450">
      <c r="A8450" s="83" t="s">
        <v>6764</v>
      </c>
      <c r="B8450" s="83" t="s">
        <v>6765</v>
      </c>
      <c r="C8450" s="81" t="s">
        <v>4082</v>
      </c>
      <c r="D8450" s="83" t="s">
        <v>4871</v>
      </c>
      <c r="E8450" s="81" t="s">
        <v>4049</v>
      </c>
      <c r="F8450" s="81">
        <v>809.0</v>
      </c>
      <c r="G8450" s="81" t="s">
        <v>41</v>
      </c>
      <c r="H8450" s="81" t="s">
        <v>4054</v>
      </c>
      <c r="I8450" s="81" t="s">
        <v>224</v>
      </c>
      <c r="J8450" s="81" t="s">
        <v>6450</v>
      </c>
    </row>
    <row r="8451">
      <c r="A8451" s="83" t="s">
        <v>6764</v>
      </c>
      <c r="B8451" s="83" t="s">
        <v>6765</v>
      </c>
      <c r="C8451" s="81" t="s">
        <v>4086</v>
      </c>
      <c r="D8451" s="83" t="s">
        <v>4871</v>
      </c>
      <c r="E8451" s="81" t="s">
        <v>4049</v>
      </c>
      <c r="F8451" s="81">
        <v>810.0</v>
      </c>
      <c r="G8451" s="81" t="s">
        <v>42</v>
      </c>
      <c r="H8451" s="81" t="s">
        <v>224</v>
      </c>
      <c r="I8451" s="81" t="s">
        <v>4055</v>
      </c>
      <c r="J8451" s="81" t="s">
        <v>224</v>
      </c>
    </row>
    <row r="8452">
      <c r="A8452" s="83" t="s">
        <v>6764</v>
      </c>
      <c r="B8452" s="83" t="s">
        <v>6765</v>
      </c>
      <c r="C8452" s="81" t="s">
        <v>4084</v>
      </c>
      <c r="D8452" s="81" t="s">
        <v>224</v>
      </c>
      <c r="E8452" s="81" t="s">
        <v>224</v>
      </c>
      <c r="F8452" s="81" t="s">
        <v>224</v>
      </c>
      <c r="G8452" s="81" t="s">
        <v>40</v>
      </c>
      <c r="H8452" s="81" t="s">
        <v>224</v>
      </c>
      <c r="I8452" s="81" t="s">
        <v>224</v>
      </c>
      <c r="J8452" s="81" t="s">
        <v>6452</v>
      </c>
    </row>
    <row r="8453">
      <c r="A8453" s="83" t="s">
        <v>6764</v>
      </c>
      <c r="B8453" s="83" t="s">
        <v>6765</v>
      </c>
      <c r="C8453" s="81" t="s">
        <v>4084</v>
      </c>
      <c r="D8453" s="81" t="s">
        <v>224</v>
      </c>
      <c r="E8453" s="81" t="s">
        <v>224</v>
      </c>
      <c r="F8453" s="81" t="s">
        <v>224</v>
      </c>
      <c r="G8453" s="81" t="s">
        <v>41</v>
      </c>
      <c r="H8453" s="81" t="s">
        <v>224</v>
      </c>
      <c r="I8453" s="81" t="s">
        <v>224</v>
      </c>
      <c r="J8453" s="81" t="s">
        <v>6453</v>
      </c>
    </row>
    <row r="8454">
      <c r="A8454" s="83" t="s">
        <v>6773</v>
      </c>
      <c r="B8454" s="83" t="s">
        <v>6774</v>
      </c>
      <c r="C8454" s="81" t="s">
        <v>4080</v>
      </c>
      <c r="D8454" s="81" t="s">
        <v>224</v>
      </c>
      <c r="E8454" s="81" t="s">
        <v>224</v>
      </c>
      <c r="F8454" s="81" t="s">
        <v>224</v>
      </c>
      <c r="G8454" s="81" t="s">
        <v>224</v>
      </c>
      <c r="H8454" s="81" t="s">
        <v>224</v>
      </c>
      <c r="I8454" s="81" t="s">
        <v>224</v>
      </c>
      <c r="J8454" s="81" t="s">
        <v>6775</v>
      </c>
    </row>
    <row r="8455">
      <c r="A8455" s="83" t="s">
        <v>6773</v>
      </c>
      <c r="B8455" s="83" t="s">
        <v>6774</v>
      </c>
      <c r="C8455" s="81" t="s">
        <v>4082</v>
      </c>
      <c r="D8455" s="81" t="s">
        <v>224</v>
      </c>
      <c r="E8455" s="81" t="s">
        <v>6652</v>
      </c>
      <c r="F8455" s="81" t="s">
        <v>224</v>
      </c>
      <c r="G8455" s="81" t="s">
        <v>42</v>
      </c>
      <c r="H8455" s="81" t="s">
        <v>224</v>
      </c>
      <c r="I8455" s="81" t="s">
        <v>224</v>
      </c>
      <c r="J8455" s="81" t="s">
        <v>6653</v>
      </c>
    </row>
    <row r="8456">
      <c r="A8456" s="83" t="s">
        <v>6773</v>
      </c>
      <c r="B8456" s="83" t="s">
        <v>6774</v>
      </c>
      <c r="C8456" s="81" t="s">
        <v>4082</v>
      </c>
      <c r="D8456" s="81" t="s">
        <v>224</v>
      </c>
      <c r="E8456" s="81" t="s">
        <v>6654</v>
      </c>
      <c r="F8456" s="81" t="s">
        <v>224</v>
      </c>
      <c r="G8456" s="81" t="s">
        <v>42</v>
      </c>
      <c r="H8456" s="81" t="s">
        <v>224</v>
      </c>
      <c r="I8456" s="81" t="s">
        <v>224</v>
      </c>
      <c r="J8456" s="81" t="s">
        <v>6653</v>
      </c>
    </row>
    <row r="8457">
      <c r="A8457" s="83" t="s">
        <v>6773</v>
      </c>
      <c r="B8457" s="83" t="s">
        <v>6774</v>
      </c>
      <c r="C8457" s="81" t="s">
        <v>4082</v>
      </c>
      <c r="D8457" s="81" t="s">
        <v>224</v>
      </c>
      <c r="E8457" s="81" t="s">
        <v>6655</v>
      </c>
      <c r="F8457" s="81" t="s">
        <v>224</v>
      </c>
      <c r="G8457" s="81" t="s">
        <v>42</v>
      </c>
      <c r="H8457" s="81" t="s">
        <v>224</v>
      </c>
      <c r="I8457" s="81" t="s">
        <v>224</v>
      </c>
      <c r="J8457" s="81" t="s">
        <v>6653</v>
      </c>
    </row>
    <row r="8458">
      <c r="A8458" s="83" t="s">
        <v>6773</v>
      </c>
      <c r="B8458" s="83" t="s">
        <v>6774</v>
      </c>
      <c r="C8458" s="81" t="s">
        <v>4082</v>
      </c>
      <c r="D8458" s="81" t="s">
        <v>224</v>
      </c>
      <c r="E8458" s="81" t="s">
        <v>6656</v>
      </c>
      <c r="F8458" s="81" t="s">
        <v>224</v>
      </c>
      <c r="G8458" s="81" t="s">
        <v>42</v>
      </c>
      <c r="H8458" s="81" t="s">
        <v>224</v>
      </c>
      <c r="I8458" s="81" t="s">
        <v>224</v>
      </c>
      <c r="J8458" s="81" t="s">
        <v>6653</v>
      </c>
    </row>
    <row r="8459">
      <c r="A8459" s="83" t="s">
        <v>6773</v>
      </c>
      <c r="B8459" s="83" t="s">
        <v>6774</v>
      </c>
      <c r="C8459" s="81" t="s">
        <v>4082</v>
      </c>
      <c r="D8459" s="81" t="s">
        <v>224</v>
      </c>
      <c r="E8459" s="81" t="s">
        <v>6657</v>
      </c>
      <c r="F8459" s="81" t="s">
        <v>224</v>
      </c>
      <c r="G8459" s="81" t="s">
        <v>42</v>
      </c>
      <c r="H8459" s="81" t="s">
        <v>224</v>
      </c>
      <c r="I8459" s="81" t="s">
        <v>224</v>
      </c>
      <c r="J8459" s="81" t="s">
        <v>6653</v>
      </c>
    </row>
    <row r="8460">
      <c r="A8460" s="83" t="s">
        <v>6773</v>
      </c>
      <c r="B8460" s="83" t="s">
        <v>6774</v>
      </c>
      <c r="C8460" s="81" t="s">
        <v>4082</v>
      </c>
      <c r="D8460" s="81" t="s">
        <v>224</v>
      </c>
      <c r="E8460" s="81" t="s">
        <v>6658</v>
      </c>
      <c r="F8460" s="81" t="s">
        <v>224</v>
      </c>
      <c r="G8460" s="81" t="s">
        <v>42</v>
      </c>
      <c r="H8460" s="81" t="s">
        <v>224</v>
      </c>
      <c r="I8460" s="81" t="s">
        <v>224</v>
      </c>
      <c r="J8460" s="81" t="s">
        <v>6653</v>
      </c>
    </row>
    <row r="8461">
      <c r="A8461" s="83" t="s">
        <v>6773</v>
      </c>
      <c r="B8461" s="83" t="s">
        <v>6774</v>
      </c>
      <c r="C8461" s="81" t="s">
        <v>4082</v>
      </c>
      <c r="D8461" s="81" t="s">
        <v>224</v>
      </c>
      <c r="E8461" s="81" t="s">
        <v>6659</v>
      </c>
      <c r="F8461" s="81" t="s">
        <v>224</v>
      </c>
      <c r="G8461" s="81" t="s">
        <v>42</v>
      </c>
      <c r="H8461" s="81" t="s">
        <v>224</v>
      </c>
      <c r="I8461" s="81" t="s">
        <v>224</v>
      </c>
      <c r="J8461" s="81" t="s">
        <v>6653</v>
      </c>
    </row>
    <row r="8462">
      <c r="A8462" s="83" t="s">
        <v>6773</v>
      </c>
      <c r="B8462" s="83" t="s">
        <v>6774</v>
      </c>
      <c r="C8462" s="81" t="s">
        <v>4082</v>
      </c>
      <c r="D8462" s="81" t="s">
        <v>224</v>
      </c>
      <c r="E8462" s="81" t="s">
        <v>6660</v>
      </c>
      <c r="F8462" s="81" t="s">
        <v>224</v>
      </c>
      <c r="G8462" s="81" t="s">
        <v>42</v>
      </c>
      <c r="H8462" s="81" t="s">
        <v>224</v>
      </c>
      <c r="I8462" s="81" t="s">
        <v>224</v>
      </c>
      <c r="J8462" s="81" t="s">
        <v>6653</v>
      </c>
    </row>
    <row r="8463">
      <c r="A8463" s="83" t="s">
        <v>6773</v>
      </c>
      <c r="B8463" s="83" t="s">
        <v>6774</v>
      </c>
      <c r="C8463" s="81" t="s">
        <v>4082</v>
      </c>
      <c r="D8463" s="81" t="s">
        <v>224</v>
      </c>
      <c r="E8463" s="81" t="s">
        <v>6661</v>
      </c>
      <c r="F8463" s="81" t="s">
        <v>224</v>
      </c>
      <c r="G8463" s="81" t="s">
        <v>42</v>
      </c>
      <c r="H8463" s="81" t="s">
        <v>224</v>
      </c>
      <c r="I8463" s="81" t="s">
        <v>224</v>
      </c>
      <c r="J8463" s="81" t="s">
        <v>6653</v>
      </c>
    </row>
    <row r="8464">
      <c r="A8464" s="83" t="s">
        <v>6773</v>
      </c>
      <c r="B8464" s="83" t="s">
        <v>6774</v>
      </c>
      <c r="C8464" s="81" t="s">
        <v>4082</v>
      </c>
      <c r="D8464" s="81" t="s">
        <v>224</v>
      </c>
      <c r="E8464" s="81" t="s">
        <v>6662</v>
      </c>
      <c r="F8464" s="81" t="s">
        <v>224</v>
      </c>
      <c r="G8464" s="81" t="s">
        <v>42</v>
      </c>
      <c r="H8464" s="81" t="s">
        <v>224</v>
      </c>
      <c r="I8464" s="81" t="s">
        <v>224</v>
      </c>
      <c r="J8464" s="81" t="s">
        <v>6653</v>
      </c>
    </row>
    <row r="8465">
      <c r="A8465" s="83" t="s">
        <v>6773</v>
      </c>
      <c r="B8465" s="83" t="s">
        <v>6774</v>
      </c>
      <c r="C8465" s="81" t="s">
        <v>4082</v>
      </c>
      <c r="D8465" s="81" t="s">
        <v>224</v>
      </c>
      <c r="E8465" s="81" t="s">
        <v>6663</v>
      </c>
      <c r="F8465" s="81" t="s">
        <v>224</v>
      </c>
      <c r="G8465" s="81" t="s">
        <v>42</v>
      </c>
      <c r="H8465" s="81" t="s">
        <v>224</v>
      </c>
      <c r="I8465" s="81" t="s">
        <v>224</v>
      </c>
      <c r="J8465" s="81" t="s">
        <v>6653</v>
      </c>
    </row>
    <row r="8466">
      <c r="A8466" s="83" t="s">
        <v>6773</v>
      </c>
      <c r="B8466" s="83" t="s">
        <v>6774</v>
      </c>
      <c r="C8466" s="81" t="s">
        <v>4082</v>
      </c>
      <c r="D8466" s="81" t="s">
        <v>224</v>
      </c>
      <c r="E8466" s="81" t="s">
        <v>6664</v>
      </c>
      <c r="F8466" s="81" t="s">
        <v>224</v>
      </c>
      <c r="G8466" s="81" t="s">
        <v>42</v>
      </c>
      <c r="H8466" s="81" t="s">
        <v>224</v>
      </c>
      <c r="I8466" s="81" t="s">
        <v>224</v>
      </c>
      <c r="J8466" s="81" t="s">
        <v>6653</v>
      </c>
    </row>
    <row r="8467">
      <c r="A8467" s="83" t="s">
        <v>6773</v>
      </c>
      <c r="B8467" s="83" t="s">
        <v>6774</v>
      </c>
      <c r="C8467" s="81" t="s">
        <v>4082</v>
      </c>
      <c r="D8467" s="81" t="s">
        <v>224</v>
      </c>
      <c r="E8467" s="81" t="s">
        <v>6665</v>
      </c>
      <c r="F8467" s="81" t="s">
        <v>224</v>
      </c>
      <c r="G8467" s="81" t="s">
        <v>42</v>
      </c>
      <c r="H8467" s="81" t="s">
        <v>224</v>
      </c>
      <c r="I8467" s="81" t="s">
        <v>224</v>
      </c>
      <c r="J8467" s="81" t="s">
        <v>6653</v>
      </c>
    </row>
    <row r="8468">
      <c r="A8468" s="83" t="s">
        <v>6773</v>
      </c>
      <c r="B8468" s="83" t="s">
        <v>6774</v>
      </c>
      <c r="C8468" s="81" t="s">
        <v>4082</v>
      </c>
      <c r="D8468" s="81" t="s">
        <v>224</v>
      </c>
      <c r="E8468" s="81" t="s">
        <v>6666</v>
      </c>
      <c r="F8468" s="81" t="s">
        <v>224</v>
      </c>
      <c r="G8468" s="81" t="s">
        <v>42</v>
      </c>
      <c r="H8468" s="81" t="s">
        <v>224</v>
      </c>
      <c r="I8468" s="81" t="s">
        <v>224</v>
      </c>
      <c r="J8468" s="81" t="s">
        <v>6653</v>
      </c>
    </row>
    <row r="8469">
      <c r="A8469" s="83" t="s">
        <v>6773</v>
      </c>
      <c r="B8469" s="83" t="s">
        <v>6774</v>
      </c>
      <c r="C8469" s="81" t="s">
        <v>4082</v>
      </c>
      <c r="D8469" s="81" t="s">
        <v>224</v>
      </c>
      <c r="E8469" s="81" t="s">
        <v>6667</v>
      </c>
      <c r="F8469" s="81" t="s">
        <v>224</v>
      </c>
      <c r="G8469" s="81" t="s">
        <v>42</v>
      </c>
      <c r="H8469" s="81" t="s">
        <v>224</v>
      </c>
      <c r="I8469" s="81" t="s">
        <v>224</v>
      </c>
      <c r="J8469" s="81" t="s">
        <v>6653</v>
      </c>
    </row>
    <row r="8470">
      <c r="A8470" s="83" t="s">
        <v>6773</v>
      </c>
      <c r="B8470" s="83" t="s">
        <v>6774</v>
      </c>
      <c r="C8470" s="81" t="s">
        <v>4082</v>
      </c>
      <c r="D8470" s="81" t="s">
        <v>224</v>
      </c>
      <c r="E8470" s="81" t="s">
        <v>6668</v>
      </c>
      <c r="F8470" s="81" t="s">
        <v>224</v>
      </c>
      <c r="G8470" s="81" t="s">
        <v>42</v>
      </c>
      <c r="H8470" s="81" t="s">
        <v>224</v>
      </c>
      <c r="I8470" s="81" t="s">
        <v>224</v>
      </c>
      <c r="J8470" s="81" t="s">
        <v>6653</v>
      </c>
    </row>
    <row r="8471">
      <c r="A8471" s="83" t="s">
        <v>6773</v>
      </c>
      <c r="B8471" s="83" t="s">
        <v>6774</v>
      </c>
      <c r="C8471" s="81" t="s">
        <v>4082</v>
      </c>
      <c r="D8471" s="81" t="s">
        <v>224</v>
      </c>
      <c r="E8471" s="81" t="s">
        <v>6669</v>
      </c>
      <c r="F8471" s="81" t="s">
        <v>224</v>
      </c>
      <c r="G8471" s="81" t="s">
        <v>42</v>
      </c>
      <c r="H8471" s="81" t="s">
        <v>224</v>
      </c>
      <c r="I8471" s="81" t="s">
        <v>224</v>
      </c>
      <c r="J8471" s="81" t="s">
        <v>6653</v>
      </c>
    </row>
    <row r="8472">
      <c r="A8472" s="83" t="s">
        <v>6773</v>
      </c>
      <c r="B8472" s="83" t="s">
        <v>6774</v>
      </c>
      <c r="C8472" s="81" t="s">
        <v>4082</v>
      </c>
      <c r="D8472" s="81" t="s">
        <v>224</v>
      </c>
      <c r="E8472" s="81" t="s">
        <v>6670</v>
      </c>
      <c r="F8472" s="81" t="s">
        <v>224</v>
      </c>
      <c r="G8472" s="81" t="s">
        <v>42</v>
      </c>
      <c r="H8472" s="81" t="s">
        <v>224</v>
      </c>
      <c r="I8472" s="81" t="s">
        <v>224</v>
      </c>
      <c r="J8472" s="81" t="s">
        <v>6653</v>
      </c>
    </row>
    <row r="8473">
      <c r="A8473" s="83" t="s">
        <v>6773</v>
      </c>
      <c r="B8473" s="83" t="s">
        <v>6774</v>
      </c>
      <c r="C8473" s="81" t="s">
        <v>4082</v>
      </c>
      <c r="D8473" s="81" t="s">
        <v>224</v>
      </c>
      <c r="E8473" s="81" t="s">
        <v>6671</v>
      </c>
      <c r="F8473" s="81" t="s">
        <v>224</v>
      </c>
      <c r="G8473" s="81" t="s">
        <v>42</v>
      </c>
      <c r="H8473" s="81" t="s">
        <v>224</v>
      </c>
      <c r="I8473" s="81" t="s">
        <v>224</v>
      </c>
      <c r="J8473" s="81" t="s">
        <v>6653</v>
      </c>
    </row>
    <row r="8474">
      <c r="A8474" s="83" t="s">
        <v>6773</v>
      </c>
      <c r="B8474" s="83" t="s">
        <v>6774</v>
      </c>
      <c r="C8474" s="81" t="s">
        <v>4082</v>
      </c>
      <c r="D8474" s="81" t="s">
        <v>224</v>
      </c>
      <c r="E8474" s="81" t="s">
        <v>6672</v>
      </c>
      <c r="F8474" s="81" t="s">
        <v>224</v>
      </c>
      <c r="G8474" s="81" t="s">
        <v>42</v>
      </c>
      <c r="H8474" s="81" t="s">
        <v>224</v>
      </c>
      <c r="I8474" s="81" t="s">
        <v>224</v>
      </c>
      <c r="J8474" s="81" t="s">
        <v>6653</v>
      </c>
    </row>
    <row r="8475">
      <c r="A8475" s="83" t="s">
        <v>6773</v>
      </c>
      <c r="B8475" s="83" t="s">
        <v>6774</v>
      </c>
      <c r="C8475" s="81" t="s">
        <v>4082</v>
      </c>
      <c r="D8475" s="81" t="s">
        <v>224</v>
      </c>
      <c r="E8475" s="81" t="s">
        <v>6673</v>
      </c>
      <c r="F8475" s="81" t="s">
        <v>224</v>
      </c>
      <c r="G8475" s="81" t="s">
        <v>42</v>
      </c>
      <c r="H8475" s="81" t="s">
        <v>224</v>
      </c>
      <c r="I8475" s="81" t="s">
        <v>224</v>
      </c>
      <c r="J8475" s="81" t="s">
        <v>6653</v>
      </c>
    </row>
    <row r="8476">
      <c r="A8476" s="83" t="s">
        <v>6773</v>
      </c>
      <c r="B8476" s="83" t="s">
        <v>6774</v>
      </c>
      <c r="C8476" s="81" t="s">
        <v>4082</v>
      </c>
      <c r="D8476" s="81" t="s">
        <v>224</v>
      </c>
      <c r="E8476" s="81" t="s">
        <v>6674</v>
      </c>
      <c r="F8476" s="81" t="s">
        <v>224</v>
      </c>
      <c r="G8476" s="81" t="s">
        <v>42</v>
      </c>
      <c r="H8476" s="81" t="s">
        <v>224</v>
      </c>
      <c r="I8476" s="81" t="s">
        <v>224</v>
      </c>
      <c r="J8476" s="81" t="s">
        <v>6653</v>
      </c>
    </row>
    <row r="8477">
      <c r="A8477" s="83" t="s">
        <v>6773</v>
      </c>
      <c r="B8477" s="83" t="s">
        <v>6774</v>
      </c>
      <c r="C8477" s="81" t="s">
        <v>4082</v>
      </c>
      <c r="D8477" s="81" t="s">
        <v>224</v>
      </c>
      <c r="E8477" s="81" t="s">
        <v>6675</v>
      </c>
      <c r="F8477" s="81" t="s">
        <v>224</v>
      </c>
      <c r="G8477" s="81" t="s">
        <v>42</v>
      </c>
      <c r="H8477" s="81" t="s">
        <v>224</v>
      </c>
      <c r="I8477" s="81" t="s">
        <v>224</v>
      </c>
      <c r="J8477" s="81" t="s">
        <v>6653</v>
      </c>
    </row>
    <row r="8478">
      <c r="A8478" s="83" t="s">
        <v>6773</v>
      </c>
      <c r="B8478" s="83" t="s">
        <v>6774</v>
      </c>
      <c r="C8478" s="81" t="s">
        <v>4082</v>
      </c>
      <c r="D8478" s="81" t="s">
        <v>224</v>
      </c>
      <c r="E8478" s="81" t="s">
        <v>6676</v>
      </c>
      <c r="F8478" s="81" t="s">
        <v>224</v>
      </c>
      <c r="G8478" s="81" t="s">
        <v>42</v>
      </c>
      <c r="H8478" s="81" t="s">
        <v>224</v>
      </c>
      <c r="I8478" s="81" t="s">
        <v>224</v>
      </c>
      <c r="J8478" s="81" t="s">
        <v>6653</v>
      </c>
    </row>
    <row r="8479">
      <c r="A8479" s="83" t="s">
        <v>6773</v>
      </c>
      <c r="B8479" s="83" t="s">
        <v>6774</v>
      </c>
      <c r="C8479" s="81" t="s">
        <v>4082</v>
      </c>
      <c r="D8479" s="81" t="s">
        <v>224</v>
      </c>
      <c r="E8479" s="81" t="s">
        <v>6677</v>
      </c>
      <c r="F8479" s="81" t="s">
        <v>224</v>
      </c>
      <c r="G8479" s="81" t="s">
        <v>42</v>
      </c>
      <c r="H8479" s="81" t="s">
        <v>224</v>
      </c>
      <c r="I8479" s="81" t="s">
        <v>224</v>
      </c>
      <c r="J8479" s="81" t="s">
        <v>6653</v>
      </c>
    </row>
    <row r="8480">
      <c r="A8480" s="83" t="s">
        <v>6773</v>
      </c>
      <c r="B8480" s="83" t="s">
        <v>6774</v>
      </c>
      <c r="C8480" s="81" t="s">
        <v>4082</v>
      </c>
      <c r="D8480" s="81" t="s">
        <v>224</v>
      </c>
      <c r="E8480" s="81" t="s">
        <v>6678</v>
      </c>
      <c r="F8480" s="81" t="s">
        <v>224</v>
      </c>
      <c r="G8480" s="81" t="s">
        <v>42</v>
      </c>
      <c r="H8480" s="81" t="s">
        <v>224</v>
      </c>
      <c r="I8480" s="81" t="s">
        <v>224</v>
      </c>
      <c r="J8480" s="81" t="s">
        <v>6653</v>
      </c>
    </row>
    <row r="8481">
      <c r="A8481" s="83" t="s">
        <v>6773</v>
      </c>
      <c r="B8481" s="83" t="s">
        <v>6774</v>
      </c>
      <c r="C8481" s="81" t="s">
        <v>4082</v>
      </c>
      <c r="D8481" s="81" t="s">
        <v>224</v>
      </c>
      <c r="E8481" s="81" t="s">
        <v>6679</v>
      </c>
      <c r="F8481" s="81" t="s">
        <v>224</v>
      </c>
      <c r="G8481" s="81" t="s">
        <v>42</v>
      </c>
      <c r="H8481" s="81" t="s">
        <v>224</v>
      </c>
      <c r="I8481" s="81" t="s">
        <v>224</v>
      </c>
      <c r="J8481" s="81" t="s">
        <v>6653</v>
      </c>
    </row>
    <row r="8482">
      <c r="A8482" s="83" t="s">
        <v>6773</v>
      </c>
      <c r="B8482" s="83" t="s">
        <v>6774</v>
      </c>
      <c r="C8482" s="81" t="s">
        <v>4082</v>
      </c>
      <c r="D8482" s="81" t="s">
        <v>224</v>
      </c>
      <c r="E8482" s="81" t="s">
        <v>6680</v>
      </c>
      <c r="F8482" s="81" t="s">
        <v>224</v>
      </c>
      <c r="G8482" s="81" t="s">
        <v>42</v>
      </c>
      <c r="H8482" s="81" t="s">
        <v>224</v>
      </c>
      <c r="I8482" s="81" t="s">
        <v>224</v>
      </c>
      <c r="J8482" s="81" t="s">
        <v>6653</v>
      </c>
    </row>
    <row r="8483">
      <c r="A8483" s="83" t="s">
        <v>6773</v>
      </c>
      <c r="B8483" s="83" t="s">
        <v>6774</v>
      </c>
      <c r="C8483" s="81" t="s">
        <v>4082</v>
      </c>
      <c r="D8483" s="81" t="s">
        <v>224</v>
      </c>
      <c r="E8483" s="81" t="s">
        <v>6681</v>
      </c>
      <c r="F8483" s="81" t="s">
        <v>224</v>
      </c>
      <c r="G8483" s="81" t="s">
        <v>42</v>
      </c>
      <c r="H8483" s="81" t="s">
        <v>224</v>
      </c>
      <c r="I8483" s="81" t="s">
        <v>224</v>
      </c>
      <c r="J8483" s="81" t="s">
        <v>6653</v>
      </c>
    </row>
    <row r="8484">
      <c r="A8484" s="83" t="s">
        <v>6773</v>
      </c>
      <c r="B8484" s="83" t="s">
        <v>6774</v>
      </c>
      <c r="C8484" s="81" t="s">
        <v>4082</v>
      </c>
      <c r="D8484" s="81" t="s">
        <v>224</v>
      </c>
      <c r="E8484" s="81" t="s">
        <v>6682</v>
      </c>
      <c r="F8484" s="81" t="s">
        <v>224</v>
      </c>
      <c r="G8484" s="81" t="s">
        <v>42</v>
      </c>
      <c r="H8484" s="81" t="s">
        <v>224</v>
      </c>
      <c r="I8484" s="81" t="s">
        <v>224</v>
      </c>
      <c r="J8484" s="81" t="s">
        <v>6653</v>
      </c>
    </row>
    <row r="8485">
      <c r="A8485" s="83" t="s">
        <v>6773</v>
      </c>
      <c r="B8485" s="83" t="s">
        <v>6774</v>
      </c>
      <c r="C8485" s="81" t="s">
        <v>4082</v>
      </c>
      <c r="D8485" s="81" t="s">
        <v>224</v>
      </c>
      <c r="E8485" s="81" t="s">
        <v>6683</v>
      </c>
      <c r="F8485" s="81" t="s">
        <v>224</v>
      </c>
      <c r="G8485" s="81" t="s">
        <v>42</v>
      </c>
      <c r="H8485" s="81" t="s">
        <v>224</v>
      </c>
      <c r="I8485" s="81" t="s">
        <v>224</v>
      </c>
      <c r="J8485" s="81" t="s">
        <v>6653</v>
      </c>
    </row>
    <row r="8486">
      <c r="A8486" s="83" t="s">
        <v>6773</v>
      </c>
      <c r="B8486" s="83" t="s">
        <v>6774</v>
      </c>
      <c r="C8486" s="81" t="s">
        <v>4082</v>
      </c>
      <c r="D8486" s="81" t="s">
        <v>224</v>
      </c>
      <c r="E8486" s="81" t="s">
        <v>6684</v>
      </c>
      <c r="F8486" s="81" t="s">
        <v>224</v>
      </c>
      <c r="G8486" s="81" t="s">
        <v>42</v>
      </c>
      <c r="H8486" s="81" t="s">
        <v>224</v>
      </c>
      <c r="I8486" s="81" t="s">
        <v>224</v>
      </c>
      <c r="J8486" s="81" t="s">
        <v>6653</v>
      </c>
    </row>
    <row r="8487">
      <c r="A8487" s="83" t="s">
        <v>6773</v>
      </c>
      <c r="B8487" s="83" t="s">
        <v>6774</v>
      </c>
      <c r="C8487" s="81" t="s">
        <v>4082</v>
      </c>
      <c r="D8487" s="81" t="s">
        <v>224</v>
      </c>
      <c r="E8487" s="81" t="s">
        <v>6685</v>
      </c>
      <c r="F8487" s="81" t="s">
        <v>224</v>
      </c>
      <c r="G8487" s="81" t="s">
        <v>42</v>
      </c>
      <c r="H8487" s="81" t="s">
        <v>224</v>
      </c>
      <c r="I8487" s="81" t="s">
        <v>224</v>
      </c>
      <c r="J8487" s="81" t="s">
        <v>6653</v>
      </c>
    </row>
    <row r="8488">
      <c r="A8488" s="83" t="s">
        <v>6773</v>
      </c>
      <c r="B8488" s="83" t="s">
        <v>6774</v>
      </c>
      <c r="C8488" s="81" t="s">
        <v>4082</v>
      </c>
      <c r="D8488" s="81" t="s">
        <v>224</v>
      </c>
      <c r="E8488" s="81" t="s">
        <v>6686</v>
      </c>
      <c r="F8488" s="81" t="s">
        <v>224</v>
      </c>
      <c r="G8488" s="81" t="s">
        <v>42</v>
      </c>
      <c r="H8488" s="81" t="s">
        <v>224</v>
      </c>
      <c r="I8488" s="81" t="s">
        <v>224</v>
      </c>
      <c r="J8488" s="81" t="s">
        <v>6653</v>
      </c>
    </row>
    <row r="8489">
      <c r="A8489" s="83" t="s">
        <v>6773</v>
      </c>
      <c r="B8489" s="83" t="s">
        <v>6774</v>
      </c>
      <c r="C8489" s="81" t="s">
        <v>4082</v>
      </c>
      <c r="D8489" s="81" t="s">
        <v>224</v>
      </c>
      <c r="E8489" s="81" t="s">
        <v>6687</v>
      </c>
      <c r="F8489" s="81" t="s">
        <v>224</v>
      </c>
      <c r="G8489" s="81" t="s">
        <v>42</v>
      </c>
      <c r="H8489" s="81" t="s">
        <v>224</v>
      </c>
      <c r="I8489" s="81" t="s">
        <v>224</v>
      </c>
      <c r="J8489" s="81" t="s">
        <v>6653</v>
      </c>
    </row>
    <row r="8490">
      <c r="A8490" s="83" t="s">
        <v>6773</v>
      </c>
      <c r="B8490" s="83" t="s">
        <v>6774</v>
      </c>
      <c r="C8490" s="81" t="s">
        <v>4082</v>
      </c>
      <c r="D8490" s="81" t="s">
        <v>224</v>
      </c>
      <c r="E8490" s="81" t="s">
        <v>6688</v>
      </c>
      <c r="F8490" s="81" t="s">
        <v>224</v>
      </c>
      <c r="G8490" s="81" t="s">
        <v>42</v>
      </c>
      <c r="H8490" s="81" t="s">
        <v>224</v>
      </c>
      <c r="I8490" s="81" t="s">
        <v>224</v>
      </c>
      <c r="J8490" s="81" t="s">
        <v>6653</v>
      </c>
    </row>
    <row r="8491">
      <c r="A8491" s="83" t="s">
        <v>6773</v>
      </c>
      <c r="B8491" s="83" t="s">
        <v>6774</v>
      </c>
      <c r="C8491" s="81" t="s">
        <v>4082</v>
      </c>
      <c r="D8491" s="81" t="s">
        <v>224</v>
      </c>
      <c r="E8491" s="81" t="s">
        <v>6689</v>
      </c>
      <c r="F8491" s="81" t="s">
        <v>224</v>
      </c>
      <c r="G8491" s="81" t="s">
        <v>42</v>
      </c>
      <c r="H8491" s="81" t="s">
        <v>224</v>
      </c>
      <c r="I8491" s="81" t="s">
        <v>224</v>
      </c>
      <c r="J8491" s="81" t="s">
        <v>6653</v>
      </c>
    </row>
    <row r="8492">
      <c r="A8492" s="83" t="s">
        <v>6773</v>
      </c>
      <c r="B8492" s="83" t="s">
        <v>6774</v>
      </c>
      <c r="C8492" s="81" t="s">
        <v>4082</v>
      </c>
      <c r="D8492" s="81" t="s">
        <v>224</v>
      </c>
      <c r="E8492" s="81" t="s">
        <v>6690</v>
      </c>
      <c r="F8492" s="81" t="s">
        <v>224</v>
      </c>
      <c r="G8492" s="81" t="s">
        <v>42</v>
      </c>
      <c r="H8492" s="81" t="s">
        <v>224</v>
      </c>
      <c r="I8492" s="81" t="s">
        <v>224</v>
      </c>
      <c r="J8492" s="81" t="s">
        <v>6653</v>
      </c>
    </row>
    <row r="8493">
      <c r="A8493" s="83" t="s">
        <v>6773</v>
      </c>
      <c r="B8493" s="83" t="s">
        <v>6774</v>
      </c>
      <c r="C8493" s="81" t="s">
        <v>4082</v>
      </c>
      <c r="D8493" s="81" t="s">
        <v>224</v>
      </c>
      <c r="E8493" s="81" t="s">
        <v>6691</v>
      </c>
      <c r="F8493" s="81" t="s">
        <v>224</v>
      </c>
      <c r="G8493" s="81" t="s">
        <v>42</v>
      </c>
      <c r="H8493" s="81" t="s">
        <v>224</v>
      </c>
      <c r="I8493" s="81" t="s">
        <v>224</v>
      </c>
      <c r="J8493" s="81" t="s">
        <v>6653</v>
      </c>
    </row>
    <row r="8494">
      <c r="A8494" s="83" t="s">
        <v>6773</v>
      </c>
      <c r="B8494" s="83" t="s">
        <v>6774</v>
      </c>
      <c r="C8494" s="81" t="s">
        <v>4082</v>
      </c>
      <c r="D8494" s="81" t="s">
        <v>224</v>
      </c>
      <c r="E8494" s="81" t="s">
        <v>6692</v>
      </c>
      <c r="F8494" s="81" t="s">
        <v>224</v>
      </c>
      <c r="G8494" s="81" t="s">
        <v>42</v>
      </c>
      <c r="H8494" s="81" t="s">
        <v>224</v>
      </c>
      <c r="I8494" s="81" t="s">
        <v>224</v>
      </c>
      <c r="J8494" s="81" t="s">
        <v>6653</v>
      </c>
    </row>
    <row r="8495">
      <c r="A8495" s="83" t="s">
        <v>6773</v>
      </c>
      <c r="B8495" s="83" t="s">
        <v>6774</v>
      </c>
      <c r="C8495" s="81" t="s">
        <v>4082</v>
      </c>
      <c r="D8495" s="81" t="s">
        <v>224</v>
      </c>
      <c r="E8495" s="81" t="s">
        <v>6702</v>
      </c>
      <c r="F8495" s="81" t="s">
        <v>224</v>
      </c>
      <c r="G8495" s="81" t="s">
        <v>42</v>
      </c>
      <c r="H8495" s="81" t="s">
        <v>224</v>
      </c>
      <c r="I8495" s="81" t="s">
        <v>224</v>
      </c>
      <c r="J8495" s="81" t="s">
        <v>6653</v>
      </c>
    </row>
    <row r="8496">
      <c r="A8496" s="83" t="s">
        <v>6773</v>
      </c>
      <c r="B8496" s="83" t="s">
        <v>6774</v>
      </c>
      <c r="C8496" s="81" t="s">
        <v>4082</v>
      </c>
      <c r="D8496" s="81" t="s">
        <v>224</v>
      </c>
      <c r="E8496" s="81" t="s">
        <v>6703</v>
      </c>
      <c r="F8496" s="81" t="s">
        <v>224</v>
      </c>
      <c r="G8496" s="81" t="s">
        <v>42</v>
      </c>
      <c r="H8496" s="81" t="s">
        <v>224</v>
      </c>
      <c r="I8496" s="81" t="s">
        <v>224</v>
      </c>
      <c r="J8496" s="81" t="s">
        <v>6653</v>
      </c>
    </row>
    <row r="8497">
      <c r="A8497" s="83" t="s">
        <v>6773</v>
      </c>
      <c r="B8497" s="83" t="s">
        <v>6774</v>
      </c>
      <c r="C8497" s="81" t="s">
        <v>4082</v>
      </c>
      <c r="D8497" s="81" t="s">
        <v>224</v>
      </c>
      <c r="E8497" s="81" t="s">
        <v>6704</v>
      </c>
      <c r="F8497" s="81" t="s">
        <v>224</v>
      </c>
      <c r="G8497" s="81" t="s">
        <v>42</v>
      </c>
      <c r="H8497" s="81" t="s">
        <v>224</v>
      </c>
      <c r="I8497" s="81" t="s">
        <v>224</v>
      </c>
      <c r="J8497" s="81" t="s">
        <v>6653</v>
      </c>
    </row>
    <row r="8498">
      <c r="A8498" s="83" t="s">
        <v>6773</v>
      </c>
      <c r="B8498" s="83" t="s">
        <v>6774</v>
      </c>
      <c r="C8498" s="81" t="s">
        <v>4082</v>
      </c>
      <c r="D8498" s="81" t="s">
        <v>224</v>
      </c>
      <c r="E8498" s="81" t="s">
        <v>6705</v>
      </c>
      <c r="F8498" s="81" t="s">
        <v>224</v>
      </c>
      <c r="G8498" s="81" t="s">
        <v>42</v>
      </c>
      <c r="H8498" s="81" t="s">
        <v>224</v>
      </c>
      <c r="I8498" s="81" t="s">
        <v>224</v>
      </c>
      <c r="J8498" s="81" t="s">
        <v>6653</v>
      </c>
    </row>
    <row r="8499">
      <c r="A8499" s="83" t="s">
        <v>6773</v>
      </c>
      <c r="B8499" s="83" t="s">
        <v>6774</v>
      </c>
      <c r="C8499" s="81" t="s">
        <v>4082</v>
      </c>
      <c r="D8499" s="81" t="s">
        <v>224</v>
      </c>
      <c r="E8499" s="81" t="s">
        <v>6706</v>
      </c>
      <c r="F8499" s="81" t="s">
        <v>224</v>
      </c>
      <c r="G8499" s="81" t="s">
        <v>42</v>
      </c>
      <c r="H8499" s="81" t="s">
        <v>224</v>
      </c>
      <c r="I8499" s="81" t="s">
        <v>224</v>
      </c>
      <c r="J8499" s="81" t="s">
        <v>6653</v>
      </c>
    </row>
    <row r="8500">
      <c r="A8500" s="83" t="s">
        <v>6773</v>
      </c>
      <c r="B8500" s="83" t="s">
        <v>6774</v>
      </c>
      <c r="C8500" s="81" t="s">
        <v>4082</v>
      </c>
      <c r="D8500" s="81" t="s">
        <v>224</v>
      </c>
      <c r="E8500" s="81" t="s">
        <v>6707</v>
      </c>
      <c r="F8500" s="81" t="s">
        <v>224</v>
      </c>
      <c r="G8500" s="81" t="s">
        <v>42</v>
      </c>
      <c r="H8500" s="81" t="s">
        <v>224</v>
      </c>
      <c r="I8500" s="81" t="s">
        <v>224</v>
      </c>
      <c r="J8500" s="81" t="s">
        <v>6653</v>
      </c>
    </row>
    <row r="8501">
      <c r="A8501" s="83" t="s">
        <v>6773</v>
      </c>
      <c r="B8501" s="83" t="s">
        <v>6774</v>
      </c>
      <c r="C8501" s="81" t="s">
        <v>4082</v>
      </c>
      <c r="D8501" s="81" t="s">
        <v>224</v>
      </c>
      <c r="E8501" s="81" t="s">
        <v>6708</v>
      </c>
      <c r="F8501" s="81" t="s">
        <v>224</v>
      </c>
      <c r="G8501" s="81" t="s">
        <v>42</v>
      </c>
      <c r="H8501" s="81" t="s">
        <v>224</v>
      </c>
      <c r="I8501" s="81" t="s">
        <v>224</v>
      </c>
      <c r="J8501" s="81" t="s">
        <v>6653</v>
      </c>
    </row>
    <row r="8502">
      <c r="A8502" s="83" t="s">
        <v>6773</v>
      </c>
      <c r="B8502" s="83" t="s">
        <v>6774</v>
      </c>
      <c r="C8502" s="81" t="s">
        <v>4082</v>
      </c>
      <c r="D8502" s="81" t="s">
        <v>224</v>
      </c>
      <c r="E8502" s="81" t="s">
        <v>6709</v>
      </c>
      <c r="F8502" s="81" t="s">
        <v>224</v>
      </c>
      <c r="G8502" s="81" t="s">
        <v>42</v>
      </c>
      <c r="H8502" s="81" t="s">
        <v>224</v>
      </c>
      <c r="I8502" s="81" t="s">
        <v>224</v>
      </c>
      <c r="J8502" s="81" t="s">
        <v>6653</v>
      </c>
    </row>
    <row r="8503">
      <c r="A8503" s="83" t="s">
        <v>6773</v>
      </c>
      <c r="B8503" s="83" t="s">
        <v>6774</v>
      </c>
      <c r="C8503" s="81" t="s">
        <v>4082</v>
      </c>
      <c r="D8503" s="81" t="s">
        <v>224</v>
      </c>
      <c r="E8503" s="81" t="s">
        <v>6710</v>
      </c>
      <c r="F8503" s="81" t="s">
        <v>224</v>
      </c>
      <c r="G8503" s="81" t="s">
        <v>42</v>
      </c>
      <c r="H8503" s="81" t="s">
        <v>224</v>
      </c>
      <c r="I8503" s="81" t="s">
        <v>224</v>
      </c>
      <c r="J8503" s="81" t="s">
        <v>6653</v>
      </c>
    </row>
    <row r="8504">
      <c r="A8504" s="83" t="s">
        <v>6773</v>
      </c>
      <c r="B8504" s="83" t="s">
        <v>6774</v>
      </c>
      <c r="C8504" s="81" t="s">
        <v>4082</v>
      </c>
      <c r="D8504" s="81" t="s">
        <v>224</v>
      </c>
      <c r="E8504" s="81" t="s">
        <v>6711</v>
      </c>
      <c r="F8504" s="81" t="s">
        <v>224</v>
      </c>
      <c r="G8504" s="81" t="s">
        <v>42</v>
      </c>
      <c r="H8504" s="81" t="s">
        <v>224</v>
      </c>
      <c r="I8504" s="81" t="s">
        <v>224</v>
      </c>
      <c r="J8504" s="81" t="s">
        <v>6653</v>
      </c>
    </row>
    <row r="8505">
      <c r="A8505" s="83" t="s">
        <v>6773</v>
      </c>
      <c r="B8505" s="83" t="s">
        <v>6774</v>
      </c>
      <c r="C8505" s="81" t="s">
        <v>4082</v>
      </c>
      <c r="D8505" s="81" t="s">
        <v>224</v>
      </c>
      <c r="E8505" s="81" t="s">
        <v>6712</v>
      </c>
      <c r="F8505" s="81" t="s">
        <v>224</v>
      </c>
      <c r="G8505" s="81" t="s">
        <v>42</v>
      </c>
      <c r="H8505" s="81" t="s">
        <v>224</v>
      </c>
      <c r="I8505" s="81" t="s">
        <v>224</v>
      </c>
      <c r="J8505" s="81" t="s">
        <v>6653</v>
      </c>
    </row>
    <row r="8506">
      <c r="A8506" s="83" t="s">
        <v>6773</v>
      </c>
      <c r="B8506" s="83" t="s">
        <v>6774</v>
      </c>
      <c r="C8506" s="81" t="s">
        <v>4082</v>
      </c>
      <c r="D8506" s="81" t="s">
        <v>224</v>
      </c>
      <c r="E8506" s="81" t="s">
        <v>6713</v>
      </c>
      <c r="F8506" s="81" t="s">
        <v>224</v>
      </c>
      <c r="G8506" s="81" t="s">
        <v>42</v>
      </c>
      <c r="H8506" s="81" t="s">
        <v>224</v>
      </c>
      <c r="I8506" s="81" t="s">
        <v>224</v>
      </c>
      <c r="J8506" s="81" t="s">
        <v>6653</v>
      </c>
    </row>
    <row r="8507">
      <c r="A8507" s="83" t="s">
        <v>6773</v>
      </c>
      <c r="B8507" s="83" t="s">
        <v>6774</v>
      </c>
      <c r="C8507" s="81" t="s">
        <v>4082</v>
      </c>
      <c r="D8507" s="81" t="s">
        <v>224</v>
      </c>
      <c r="E8507" s="81" t="s">
        <v>6362</v>
      </c>
      <c r="F8507" s="81" t="s">
        <v>224</v>
      </c>
      <c r="G8507" s="81" t="s">
        <v>42</v>
      </c>
      <c r="H8507" s="81" t="s">
        <v>224</v>
      </c>
      <c r="I8507" s="81" t="s">
        <v>224</v>
      </c>
      <c r="J8507" s="81" t="s">
        <v>6653</v>
      </c>
    </row>
    <row r="8508">
      <c r="A8508" s="83" t="s">
        <v>6773</v>
      </c>
      <c r="B8508" s="83" t="s">
        <v>6774</v>
      </c>
      <c r="C8508" s="81" t="s">
        <v>4084</v>
      </c>
      <c r="D8508" s="81" t="s">
        <v>224</v>
      </c>
      <c r="E8508" s="81" t="s">
        <v>224</v>
      </c>
      <c r="F8508" s="81" t="s">
        <v>224</v>
      </c>
      <c r="G8508" s="81" t="s">
        <v>224</v>
      </c>
      <c r="H8508" s="81" t="s">
        <v>224</v>
      </c>
      <c r="I8508" s="81" t="s">
        <v>224</v>
      </c>
      <c r="J8508" s="81" t="s">
        <v>6776</v>
      </c>
    </row>
    <row r="8509">
      <c r="A8509" s="83" t="s">
        <v>6773</v>
      </c>
      <c r="B8509" s="83" t="s">
        <v>6774</v>
      </c>
      <c r="C8509" s="81" t="s">
        <v>4082</v>
      </c>
      <c r="D8509" s="81" t="s">
        <v>224</v>
      </c>
      <c r="E8509" s="81" t="s">
        <v>6768</v>
      </c>
      <c r="F8509" s="81" t="s">
        <v>224</v>
      </c>
      <c r="G8509" s="81" t="s">
        <v>224</v>
      </c>
      <c r="H8509" s="81" t="s">
        <v>224</v>
      </c>
      <c r="I8509" s="81" t="s">
        <v>224</v>
      </c>
      <c r="J8509" s="81" t="s">
        <v>6769</v>
      </c>
    </row>
    <row r="8510">
      <c r="A8510" s="83" t="s">
        <v>6773</v>
      </c>
      <c r="B8510" s="83" t="s">
        <v>6774</v>
      </c>
      <c r="C8510" s="81" t="s">
        <v>4082</v>
      </c>
      <c r="D8510" s="81" t="s">
        <v>224</v>
      </c>
      <c r="E8510" s="81" t="s">
        <v>6770</v>
      </c>
      <c r="F8510" s="81" t="s">
        <v>224</v>
      </c>
      <c r="G8510" s="81" t="s">
        <v>224</v>
      </c>
      <c r="H8510" s="81" t="s">
        <v>224</v>
      </c>
      <c r="I8510" s="81" t="s">
        <v>224</v>
      </c>
      <c r="J8510" s="81" t="s">
        <v>6771</v>
      </c>
    </row>
    <row r="8511">
      <c r="A8511" s="83" t="s">
        <v>6773</v>
      </c>
      <c r="B8511" s="83" t="s">
        <v>6774</v>
      </c>
      <c r="C8511" s="81" t="s">
        <v>4082</v>
      </c>
      <c r="D8511" s="81" t="s">
        <v>224</v>
      </c>
      <c r="E8511" s="81" t="s">
        <v>6637</v>
      </c>
      <c r="F8511" s="81" t="s">
        <v>224</v>
      </c>
      <c r="G8511" s="81" t="s">
        <v>224</v>
      </c>
      <c r="H8511" s="81" t="s">
        <v>224</v>
      </c>
      <c r="I8511" s="81" t="s">
        <v>224</v>
      </c>
      <c r="J8511" s="81" t="s">
        <v>6638</v>
      </c>
    </row>
    <row r="8512">
      <c r="A8512" s="83" t="s">
        <v>6773</v>
      </c>
      <c r="B8512" s="83" t="s">
        <v>6774</v>
      </c>
      <c r="C8512" s="81" t="s">
        <v>4082</v>
      </c>
      <c r="D8512" s="81" t="s">
        <v>224</v>
      </c>
      <c r="E8512" s="81" t="s">
        <v>6639</v>
      </c>
      <c r="F8512" s="81" t="s">
        <v>224</v>
      </c>
      <c r="G8512" s="81" t="s">
        <v>224</v>
      </c>
      <c r="H8512" s="81" t="s">
        <v>224</v>
      </c>
      <c r="I8512" s="81" t="s">
        <v>224</v>
      </c>
      <c r="J8512" s="81" t="s">
        <v>6638</v>
      </c>
    </row>
    <row r="8513">
      <c r="A8513" s="83" t="s">
        <v>6773</v>
      </c>
      <c r="B8513" s="83" t="s">
        <v>6774</v>
      </c>
      <c r="C8513" s="81" t="s">
        <v>4082</v>
      </c>
      <c r="D8513" s="81" t="s">
        <v>224</v>
      </c>
      <c r="E8513" s="81" t="s">
        <v>6733</v>
      </c>
      <c r="F8513" s="81" t="s">
        <v>224</v>
      </c>
      <c r="G8513" s="81" t="s">
        <v>224</v>
      </c>
      <c r="H8513" s="81" t="s">
        <v>224</v>
      </c>
      <c r="I8513" s="81" t="s">
        <v>224</v>
      </c>
      <c r="J8513" s="81" t="s">
        <v>6734</v>
      </c>
    </row>
    <row r="8514">
      <c r="A8514" s="83" t="s">
        <v>6773</v>
      </c>
      <c r="B8514" s="83" t="s">
        <v>6774</v>
      </c>
      <c r="C8514" s="81" t="s">
        <v>4082</v>
      </c>
      <c r="D8514" s="81" t="s">
        <v>224</v>
      </c>
      <c r="E8514" s="81" t="s">
        <v>6735</v>
      </c>
      <c r="F8514" s="81" t="s">
        <v>224</v>
      </c>
      <c r="G8514" s="81" t="s">
        <v>224</v>
      </c>
      <c r="H8514" s="81" t="s">
        <v>224</v>
      </c>
      <c r="I8514" s="81" t="s">
        <v>224</v>
      </c>
      <c r="J8514" s="81" t="s">
        <v>6734</v>
      </c>
    </row>
    <row r="8515">
      <c r="A8515" s="83" t="s">
        <v>6773</v>
      </c>
      <c r="B8515" s="83" t="s">
        <v>6774</v>
      </c>
      <c r="C8515" s="81" t="s">
        <v>4082</v>
      </c>
      <c r="D8515" s="81" t="s">
        <v>224</v>
      </c>
      <c r="E8515" s="81" t="s">
        <v>6458</v>
      </c>
      <c r="F8515" s="81" t="s">
        <v>224</v>
      </c>
      <c r="G8515" s="81" t="s">
        <v>224</v>
      </c>
      <c r="H8515" s="81" t="s">
        <v>224</v>
      </c>
      <c r="I8515" s="81" t="s">
        <v>224</v>
      </c>
      <c r="J8515" s="81" t="s">
        <v>6459</v>
      </c>
    </row>
    <row r="8516">
      <c r="A8516" s="83" t="s">
        <v>6773</v>
      </c>
      <c r="B8516" s="83" t="s">
        <v>6774</v>
      </c>
      <c r="C8516" s="81" t="s">
        <v>4082</v>
      </c>
      <c r="D8516" s="81" t="s">
        <v>224</v>
      </c>
      <c r="E8516" s="81" t="s">
        <v>6736</v>
      </c>
      <c r="F8516" s="81" t="s">
        <v>224</v>
      </c>
      <c r="G8516" s="81" t="s">
        <v>224</v>
      </c>
      <c r="H8516" s="81" t="s">
        <v>224</v>
      </c>
      <c r="I8516" s="81" t="s">
        <v>224</v>
      </c>
      <c r="J8516" s="81" t="s">
        <v>6734</v>
      </c>
    </row>
    <row r="8517">
      <c r="A8517" s="83" t="s">
        <v>6773</v>
      </c>
      <c r="B8517" s="83" t="s">
        <v>6774</v>
      </c>
      <c r="C8517" s="81" t="s">
        <v>4082</v>
      </c>
      <c r="D8517" s="81" t="s">
        <v>224</v>
      </c>
      <c r="E8517" s="81" t="s">
        <v>6460</v>
      </c>
      <c r="F8517" s="81" t="s">
        <v>224</v>
      </c>
      <c r="G8517" s="81" t="s">
        <v>224</v>
      </c>
      <c r="H8517" s="81" t="s">
        <v>224</v>
      </c>
      <c r="I8517" s="81" t="s">
        <v>224</v>
      </c>
      <c r="J8517" s="81" t="s">
        <v>6461</v>
      </c>
    </row>
    <row r="8518">
      <c r="A8518" s="83" t="s">
        <v>6773</v>
      </c>
      <c r="B8518" s="83" t="s">
        <v>6774</v>
      </c>
      <c r="C8518" s="81" t="s">
        <v>4082</v>
      </c>
      <c r="D8518" s="81" t="s">
        <v>224</v>
      </c>
      <c r="E8518" s="81" t="s">
        <v>6462</v>
      </c>
      <c r="F8518" s="81" t="s">
        <v>224</v>
      </c>
      <c r="G8518" s="81" t="s">
        <v>224</v>
      </c>
      <c r="H8518" s="81" t="s">
        <v>224</v>
      </c>
      <c r="I8518" s="81" t="s">
        <v>224</v>
      </c>
      <c r="J8518" s="81" t="s">
        <v>6463</v>
      </c>
    </row>
    <row r="8519">
      <c r="A8519" s="83" t="s">
        <v>6773</v>
      </c>
      <c r="B8519" s="83" t="s">
        <v>6774</v>
      </c>
      <c r="C8519" s="81" t="s">
        <v>4082</v>
      </c>
      <c r="D8519" s="81" t="s">
        <v>224</v>
      </c>
      <c r="E8519" s="81" t="s">
        <v>6737</v>
      </c>
      <c r="F8519" s="81" t="s">
        <v>224</v>
      </c>
      <c r="G8519" s="81" t="s">
        <v>224</v>
      </c>
      <c r="H8519" s="81" t="s">
        <v>224</v>
      </c>
      <c r="I8519" s="81" t="s">
        <v>224</v>
      </c>
      <c r="J8519" s="81" t="s">
        <v>6734</v>
      </c>
    </row>
    <row r="8520">
      <c r="A8520" s="83" t="s">
        <v>6773</v>
      </c>
      <c r="B8520" s="83" t="s">
        <v>6774</v>
      </c>
      <c r="C8520" s="81" t="s">
        <v>4082</v>
      </c>
      <c r="D8520" s="81" t="s">
        <v>224</v>
      </c>
      <c r="E8520" s="81" t="s">
        <v>6464</v>
      </c>
      <c r="F8520" s="81" t="s">
        <v>224</v>
      </c>
      <c r="G8520" s="81" t="s">
        <v>224</v>
      </c>
      <c r="H8520" s="81" t="s">
        <v>224</v>
      </c>
      <c r="I8520" s="81" t="s">
        <v>224</v>
      </c>
      <c r="J8520" s="81" t="s">
        <v>6465</v>
      </c>
    </row>
    <row r="8521">
      <c r="A8521" s="83" t="s">
        <v>6773</v>
      </c>
      <c r="B8521" s="83" t="s">
        <v>6774</v>
      </c>
      <c r="C8521" s="81" t="s">
        <v>4082</v>
      </c>
      <c r="D8521" s="81" t="s">
        <v>224</v>
      </c>
      <c r="E8521" s="81" t="s">
        <v>6466</v>
      </c>
      <c r="F8521" s="81" t="s">
        <v>224</v>
      </c>
      <c r="G8521" s="81" t="s">
        <v>224</v>
      </c>
      <c r="H8521" s="81" t="s">
        <v>224</v>
      </c>
      <c r="I8521" s="81" t="s">
        <v>224</v>
      </c>
      <c r="J8521" s="81" t="s">
        <v>6467</v>
      </c>
    </row>
    <row r="8522">
      <c r="A8522" s="83" t="s">
        <v>6773</v>
      </c>
      <c r="B8522" s="83" t="s">
        <v>6774</v>
      </c>
      <c r="C8522" s="81" t="s">
        <v>4082</v>
      </c>
      <c r="D8522" s="81" t="s">
        <v>224</v>
      </c>
      <c r="E8522" s="81" t="s">
        <v>6468</v>
      </c>
      <c r="F8522" s="81" t="s">
        <v>224</v>
      </c>
      <c r="G8522" s="81" t="s">
        <v>224</v>
      </c>
      <c r="H8522" s="81" t="s">
        <v>224</v>
      </c>
      <c r="I8522" s="81" t="s">
        <v>224</v>
      </c>
      <c r="J8522" s="81" t="s">
        <v>6469</v>
      </c>
    </row>
    <row r="8523">
      <c r="A8523" s="83" t="s">
        <v>6773</v>
      </c>
      <c r="B8523" s="83" t="s">
        <v>6774</v>
      </c>
      <c r="C8523" s="81" t="s">
        <v>4082</v>
      </c>
      <c r="D8523" s="81" t="s">
        <v>224</v>
      </c>
      <c r="E8523" s="81" t="s">
        <v>6470</v>
      </c>
      <c r="F8523" s="81" t="s">
        <v>224</v>
      </c>
      <c r="G8523" s="81" t="s">
        <v>224</v>
      </c>
      <c r="H8523" s="81" t="s">
        <v>224</v>
      </c>
      <c r="I8523" s="81" t="s">
        <v>224</v>
      </c>
      <c r="J8523" s="81" t="s">
        <v>6471</v>
      </c>
    </row>
    <row r="8524">
      <c r="A8524" s="83" t="s">
        <v>6773</v>
      </c>
      <c r="B8524" s="83" t="s">
        <v>6774</v>
      </c>
      <c r="C8524" s="81" t="s">
        <v>4082</v>
      </c>
      <c r="D8524" s="81" t="s">
        <v>224</v>
      </c>
      <c r="E8524" s="81" t="s">
        <v>6472</v>
      </c>
      <c r="F8524" s="81" t="s">
        <v>224</v>
      </c>
      <c r="G8524" s="81" t="s">
        <v>224</v>
      </c>
      <c r="H8524" s="81" t="s">
        <v>224</v>
      </c>
      <c r="I8524" s="81" t="s">
        <v>224</v>
      </c>
      <c r="J8524" s="81" t="s">
        <v>6473</v>
      </c>
    </row>
    <row r="8525">
      <c r="A8525" s="83" t="s">
        <v>6773</v>
      </c>
      <c r="B8525" s="83" t="s">
        <v>6774</v>
      </c>
      <c r="C8525" s="81" t="s">
        <v>4082</v>
      </c>
      <c r="D8525" s="81" t="s">
        <v>224</v>
      </c>
      <c r="E8525" s="81" t="s">
        <v>6474</v>
      </c>
      <c r="F8525" s="81" t="s">
        <v>224</v>
      </c>
      <c r="G8525" s="81" t="s">
        <v>224</v>
      </c>
      <c r="H8525" s="81" t="s">
        <v>224</v>
      </c>
      <c r="I8525" s="81" t="s">
        <v>224</v>
      </c>
      <c r="J8525" s="81" t="s">
        <v>6475</v>
      </c>
    </row>
    <row r="8526">
      <c r="A8526" s="83" t="s">
        <v>6773</v>
      </c>
      <c r="B8526" s="83" t="s">
        <v>6774</v>
      </c>
      <c r="C8526" s="81" t="s">
        <v>4082</v>
      </c>
      <c r="D8526" s="81" t="s">
        <v>224</v>
      </c>
      <c r="E8526" s="81" t="s">
        <v>6476</v>
      </c>
      <c r="F8526" s="81" t="s">
        <v>224</v>
      </c>
      <c r="G8526" s="81" t="s">
        <v>224</v>
      </c>
      <c r="H8526" s="81" t="s">
        <v>224</v>
      </c>
      <c r="I8526" s="81" t="s">
        <v>224</v>
      </c>
      <c r="J8526" s="81" t="s">
        <v>6477</v>
      </c>
    </row>
    <row r="8527">
      <c r="A8527" s="83" t="s">
        <v>6773</v>
      </c>
      <c r="B8527" s="83" t="s">
        <v>6774</v>
      </c>
      <c r="C8527" s="81" t="s">
        <v>4082</v>
      </c>
      <c r="D8527" s="81" t="s">
        <v>224</v>
      </c>
      <c r="E8527" s="81" t="s">
        <v>6478</v>
      </c>
      <c r="F8527" s="81" t="s">
        <v>224</v>
      </c>
      <c r="G8527" s="81" t="s">
        <v>224</v>
      </c>
      <c r="H8527" s="81" t="s">
        <v>224</v>
      </c>
      <c r="I8527" s="81" t="s">
        <v>224</v>
      </c>
      <c r="J8527" s="81" t="s">
        <v>6479</v>
      </c>
    </row>
    <row r="8528">
      <c r="A8528" s="83" t="s">
        <v>6773</v>
      </c>
      <c r="B8528" s="83" t="s">
        <v>6774</v>
      </c>
      <c r="C8528" s="81" t="s">
        <v>4082</v>
      </c>
      <c r="D8528" s="81" t="s">
        <v>224</v>
      </c>
      <c r="E8528" s="81" t="s">
        <v>6480</v>
      </c>
      <c r="F8528" s="81" t="s">
        <v>224</v>
      </c>
      <c r="G8528" s="81" t="s">
        <v>224</v>
      </c>
      <c r="H8528" s="81" t="s">
        <v>224</v>
      </c>
      <c r="I8528" s="81" t="s">
        <v>224</v>
      </c>
      <c r="J8528" s="81" t="s">
        <v>6481</v>
      </c>
    </row>
    <row r="8529">
      <c r="A8529" s="83" t="s">
        <v>6773</v>
      </c>
      <c r="B8529" s="83" t="s">
        <v>6774</v>
      </c>
      <c r="C8529" s="81" t="s">
        <v>4082</v>
      </c>
      <c r="D8529" s="81" t="s">
        <v>224</v>
      </c>
      <c r="E8529" s="81" t="s">
        <v>6482</v>
      </c>
      <c r="F8529" s="81" t="s">
        <v>224</v>
      </c>
      <c r="G8529" s="81" t="s">
        <v>224</v>
      </c>
      <c r="H8529" s="81" t="s">
        <v>224</v>
      </c>
      <c r="I8529" s="81" t="s">
        <v>224</v>
      </c>
      <c r="J8529" s="81" t="s">
        <v>6483</v>
      </c>
    </row>
    <row r="8530">
      <c r="A8530" s="83" t="s">
        <v>6773</v>
      </c>
      <c r="B8530" s="83" t="s">
        <v>6774</v>
      </c>
      <c r="C8530" s="81" t="s">
        <v>4082</v>
      </c>
      <c r="D8530" s="81" t="s">
        <v>224</v>
      </c>
      <c r="E8530" s="81" t="s">
        <v>6484</v>
      </c>
      <c r="F8530" s="81" t="s">
        <v>224</v>
      </c>
      <c r="G8530" s="81" t="s">
        <v>224</v>
      </c>
      <c r="H8530" s="81" t="s">
        <v>224</v>
      </c>
      <c r="I8530" s="81" t="s">
        <v>224</v>
      </c>
      <c r="J8530" s="81" t="s">
        <v>6485</v>
      </c>
    </row>
    <row r="8531">
      <c r="A8531" s="83" t="s">
        <v>6773</v>
      </c>
      <c r="B8531" s="83" t="s">
        <v>6774</v>
      </c>
      <c r="C8531" s="81" t="s">
        <v>4082</v>
      </c>
      <c r="D8531" s="81" t="s">
        <v>224</v>
      </c>
      <c r="E8531" s="81" t="s">
        <v>6486</v>
      </c>
      <c r="F8531" s="81" t="s">
        <v>224</v>
      </c>
      <c r="G8531" s="81" t="s">
        <v>224</v>
      </c>
      <c r="H8531" s="81" t="s">
        <v>224</v>
      </c>
      <c r="I8531" s="81" t="s">
        <v>224</v>
      </c>
      <c r="J8531" s="81" t="s">
        <v>6487</v>
      </c>
    </row>
    <row r="8532">
      <c r="A8532" s="83" t="s">
        <v>6773</v>
      </c>
      <c r="B8532" s="83" t="s">
        <v>6774</v>
      </c>
      <c r="C8532" s="81" t="s">
        <v>4082</v>
      </c>
      <c r="D8532" s="81" t="s">
        <v>224</v>
      </c>
      <c r="E8532" s="81" t="s">
        <v>6488</v>
      </c>
      <c r="F8532" s="81" t="s">
        <v>224</v>
      </c>
      <c r="G8532" s="81" t="s">
        <v>224</v>
      </c>
      <c r="H8532" s="81" t="s">
        <v>224</v>
      </c>
      <c r="I8532" s="81" t="s">
        <v>224</v>
      </c>
      <c r="J8532" s="81" t="s">
        <v>6489</v>
      </c>
    </row>
    <row r="8533">
      <c r="A8533" s="83" t="s">
        <v>6773</v>
      </c>
      <c r="B8533" s="83" t="s">
        <v>6774</v>
      </c>
      <c r="C8533" s="81" t="s">
        <v>4082</v>
      </c>
      <c r="D8533" s="81" t="s">
        <v>224</v>
      </c>
      <c r="E8533" s="81" t="s">
        <v>6490</v>
      </c>
      <c r="F8533" s="81" t="s">
        <v>224</v>
      </c>
      <c r="G8533" s="81" t="s">
        <v>224</v>
      </c>
      <c r="H8533" s="81" t="s">
        <v>224</v>
      </c>
      <c r="I8533" s="81" t="s">
        <v>224</v>
      </c>
      <c r="J8533" s="81" t="s">
        <v>6491</v>
      </c>
    </row>
    <row r="8534">
      <c r="A8534" s="83" t="s">
        <v>6773</v>
      </c>
      <c r="B8534" s="83" t="s">
        <v>6774</v>
      </c>
      <c r="C8534" s="81" t="s">
        <v>4082</v>
      </c>
      <c r="D8534" s="81" t="s">
        <v>224</v>
      </c>
      <c r="E8534" s="81" t="s">
        <v>6492</v>
      </c>
      <c r="F8534" s="81" t="s">
        <v>224</v>
      </c>
      <c r="G8534" s="81" t="s">
        <v>224</v>
      </c>
      <c r="H8534" s="81" t="s">
        <v>224</v>
      </c>
      <c r="I8534" s="81" t="s">
        <v>224</v>
      </c>
      <c r="J8534" s="81" t="s">
        <v>6493</v>
      </c>
    </row>
    <row r="8535">
      <c r="A8535" s="83" t="s">
        <v>6773</v>
      </c>
      <c r="B8535" s="83" t="s">
        <v>6774</v>
      </c>
      <c r="C8535" s="81" t="s">
        <v>4082</v>
      </c>
      <c r="D8535" s="81" t="s">
        <v>224</v>
      </c>
      <c r="E8535" s="81" t="s">
        <v>6494</v>
      </c>
      <c r="F8535" s="81" t="s">
        <v>224</v>
      </c>
      <c r="G8535" s="81" t="s">
        <v>224</v>
      </c>
      <c r="H8535" s="81" t="s">
        <v>224</v>
      </c>
      <c r="I8535" s="81" t="s">
        <v>224</v>
      </c>
      <c r="J8535" s="81" t="s">
        <v>6495</v>
      </c>
    </row>
    <row r="8536">
      <c r="A8536" s="83" t="s">
        <v>6773</v>
      </c>
      <c r="B8536" s="83" t="s">
        <v>6774</v>
      </c>
      <c r="C8536" s="81" t="s">
        <v>4082</v>
      </c>
      <c r="D8536" s="81" t="s">
        <v>224</v>
      </c>
      <c r="E8536" s="81" t="s">
        <v>6496</v>
      </c>
      <c r="F8536" s="81" t="s">
        <v>224</v>
      </c>
      <c r="G8536" s="81" t="s">
        <v>224</v>
      </c>
      <c r="H8536" s="81" t="s">
        <v>224</v>
      </c>
      <c r="I8536" s="81" t="s">
        <v>224</v>
      </c>
      <c r="J8536" s="81" t="s">
        <v>6497</v>
      </c>
    </row>
    <row r="8537">
      <c r="A8537" s="83" t="s">
        <v>6773</v>
      </c>
      <c r="B8537" s="83" t="s">
        <v>6774</v>
      </c>
      <c r="C8537" s="81" t="s">
        <v>4082</v>
      </c>
      <c r="D8537" s="81" t="s">
        <v>224</v>
      </c>
      <c r="E8537" s="81" t="s">
        <v>6498</v>
      </c>
      <c r="F8537" s="81" t="s">
        <v>224</v>
      </c>
      <c r="G8537" s="81" t="s">
        <v>224</v>
      </c>
      <c r="H8537" s="81" t="s">
        <v>224</v>
      </c>
      <c r="I8537" s="81" t="s">
        <v>224</v>
      </c>
      <c r="J8537" s="81" t="s">
        <v>6499</v>
      </c>
    </row>
    <row r="8538">
      <c r="A8538" s="83" t="s">
        <v>6773</v>
      </c>
      <c r="B8538" s="83" t="s">
        <v>6774</v>
      </c>
      <c r="C8538" s="81" t="s">
        <v>4082</v>
      </c>
      <c r="D8538" s="81" t="s">
        <v>224</v>
      </c>
      <c r="E8538" s="81" t="s">
        <v>6500</v>
      </c>
      <c r="F8538" s="81" t="s">
        <v>224</v>
      </c>
      <c r="G8538" s="81" t="s">
        <v>224</v>
      </c>
      <c r="H8538" s="81" t="s">
        <v>224</v>
      </c>
      <c r="I8538" s="81" t="s">
        <v>224</v>
      </c>
      <c r="J8538" s="81" t="s">
        <v>6501</v>
      </c>
    </row>
    <row r="8539">
      <c r="A8539" s="83" t="s">
        <v>6773</v>
      </c>
      <c r="B8539" s="83" t="s">
        <v>6774</v>
      </c>
      <c r="C8539" s="81" t="s">
        <v>4082</v>
      </c>
      <c r="D8539" s="81" t="s">
        <v>224</v>
      </c>
      <c r="E8539" s="81" t="s">
        <v>6502</v>
      </c>
      <c r="F8539" s="81" t="s">
        <v>224</v>
      </c>
      <c r="G8539" s="81" t="s">
        <v>224</v>
      </c>
      <c r="H8539" s="81" t="s">
        <v>224</v>
      </c>
      <c r="I8539" s="81" t="s">
        <v>224</v>
      </c>
      <c r="J8539" s="81" t="s">
        <v>6491</v>
      </c>
    </row>
    <row r="8540">
      <c r="A8540" s="83" t="s">
        <v>6773</v>
      </c>
      <c r="B8540" s="83" t="s">
        <v>6774</v>
      </c>
      <c r="C8540" s="81" t="s">
        <v>4082</v>
      </c>
      <c r="D8540" s="81" t="s">
        <v>224</v>
      </c>
      <c r="E8540" s="81" t="s">
        <v>6503</v>
      </c>
      <c r="F8540" s="81" t="s">
        <v>224</v>
      </c>
      <c r="G8540" s="81" t="s">
        <v>224</v>
      </c>
      <c r="H8540" s="81" t="s">
        <v>224</v>
      </c>
      <c r="I8540" s="81" t="s">
        <v>224</v>
      </c>
      <c r="J8540" s="81" t="s">
        <v>6473</v>
      </c>
    </row>
    <row r="8541">
      <c r="A8541" s="83" t="s">
        <v>6773</v>
      </c>
      <c r="B8541" s="83" t="s">
        <v>6774</v>
      </c>
      <c r="C8541" s="81" t="s">
        <v>4082</v>
      </c>
      <c r="D8541" s="81" t="s">
        <v>224</v>
      </c>
      <c r="E8541" s="81" t="s">
        <v>6504</v>
      </c>
      <c r="F8541" s="81" t="s">
        <v>224</v>
      </c>
      <c r="G8541" s="81" t="s">
        <v>224</v>
      </c>
      <c r="H8541" s="81" t="s">
        <v>224</v>
      </c>
      <c r="I8541" s="81" t="s">
        <v>224</v>
      </c>
      <c r="J8541" s="81" t="s">
        <v>6489</v>
      </c>
    </row>
    <row r="8542">
      <c r="A8542" s="83" t="s">
        <v>6773</v>
      </c>
      <c r="B8542" s="83" t="s">
        <v>6774</v>
      </c>
      <c r="C8542" s="81" t="s">
        <v>4082</v>
      </c>
      <c r="D8542" s="81" t="s">
        <v>224</v>
      </c>
      <c r="E8542" s="81" t="s">
        <v>6505</v>
      </c>
      <c r="F8542" s="81" t="s">
        <v>224</v>
      </c>
      <c r="G8542" s="81" t="s">
        <v>224</v>
      </c>
      <c r="H8542" s="81" t="s">
        <v>224</v>
      </c>
      <c r="I8542" s="81" t="s">
        <v>224</v>
      </c>
      <c r="J8542" s="81" t="s">
        <v>6469</v>
      </c>
    </row>
    <row r="8543">
      <c r="A8543" s="83" t="s">
        <v>6773</v>
      </c>
      <c r="B8543" s="83" t="s">
        <v>6774</v>
      </c>
      <c r="C8543" s="81" t="s">
        <v>4082</v>
      </c>
      <c r="D8543" s="81" t="s">
        <v>224</v>
      </c>
      <c r="E8543" s="81" t="s">
        <v>6506</v>
      </c>
      <c r="F8543" s="81" t="s">
        <v>224</v>
      </c>
      <c r="G8543" s="81" t="s">
        <v>224</v>
      </c>
      <c r="H8543" s="81" t="s">
        <v>224</v>
      </c>
      <c r="I8543" s="81" t="s">
        <v>224</v>
      </c>
      <c r="J8543" s="81" t="s">
        <v>6499</v>
      </c>
    </row>
    <row r="8544">
      <c r="A8544" s="83" t="s">
        <v>6773</v>
      </c>
      <c r="B8544" s="83" t="s">
        <v>6774</v>
      </c>
      <c r="C8544" s="81" t="s">
        <v>4082</v>
      </c>
      <c r="D8544" s="81" t="s">
        <v>224</v>
      </c>
      <c r="E8544" s="81" t="s">
        <v>6507</v>
      </c>
      <c r="F8544" s="81" t="s">
        <v>224</v>
      </c>
      <c r="G8544" s="81" t="s">
        <v>224</v>
      </c>
      <c r="H8544" s="81" t="s">
        <v>224</v>
      </c>
      <c r="I8544" s="81" t="s">
        <v>224</v>
      </c>
      <c r="J8544" s="81" t="s">
        <v>6485</v>
      </c>
    </row>
    <row r="8545">
      <c r="A8545" s="83" t="s">
        <v>6773</v>
      </c>
      <c r="B8545" s="83" t="s">
        <v>6774</v>
      </c>
      <c r="C8545" s="81" t="s">
        <v>4082</v>
      </c>
      <c r="D8545" s="81" t="s">
        <v>224</v>
      </c>
      <c r="E8545" s="81" t="s">
        <v>6508</v>
      </c>
      <c r="F8545" s="81" t="s">
        <v>224</v>
      </c>
      <c r="G8545" s="81" t="s">
        <v>224</v>
      </c>
      <c r="H8545" s="81" t="s">
        <v>224</v>
      </c>
      <c r="I8545" s="81" t="s">
        <v>224</v>
      </c>
      <c r="J8545" s="81" t="s">
        <v>6501</v>
      </c>
    </row>
    <row r="8546">
      <c r="A8546" s="83" t="s">
        <v>6773</v>
      </c>
      <c r="B8546" s="83" t="s">
        <v>6774</v>
      </c>
      <c r="C8546" s="81" t="s">
        <v>4082</v>
      </c>
      <c r="D8546" s="81" t="s">
        <v>224</v>
      </c>
      <c r="E8546" s="81" t="s">
        <v>6509</v>
      </c>
      <c r="F8546" s="81" t="s">
        <v>224</v>
      </c>
      <c r="G8546" s="81" t="s">
        <v>224</v>
      </c>
      <c r="H8546" s="81" t="s">
        <v>224</v>
      </c>
      <c r="I8546" s="81" t="s">
        <v>224</v>
      </c>
      <c r="J8546" s="81" t="s">
        <v>6481</v>
      </c>
    </row>
    <row r="8547">
      <c r="A8547" s="83" t="s">
        <v>6773</v>
      </c>
      <c r="B8547" s="83" t="s">
        <v>6774</v>
      </c>
      <c r="C8547" s="81" t="s">
        <v>4082</v>
      </c>
      <c r="D8547" s="81" t="s">
        <v>224</v>
      </c>
      <c r="E8547" s="81" t="s">
        <v>6510</v>
      </c>
      <c r="F8547" s="81" t="s">
        <v>224</v>
      </c>
      <c r="G8547" s="81" t="s">
        <v>224</v>
      </c>
      <c r="H8547" s="81" t="s">
        <v>224</v>
      </c>
      <c r="I8547" s="81" t="s">
        <v>224</v>
      </c>
      <c r="J8547" s="81" t="s">
        <v>6495</v>
      </c>
    </row>
    <row r="8548">
      <c r="A8548" s="83" t="s">
        <v>6773</v>
      </c>
      <c r="B8548" s="83" t="s">
        <v>6774</v>
      </c>
      <c r="C8548" s="81" t="s">
        <v>4082</v>
      </c>
      <c r="D8548" s="81" t="s">
        <v>224</v>
      </c>
      <c r="E8548" s="81" t="s">
        <v>6511</v>
      </c>
      <c r="F8548" s="81" t="s">
        <v>224</v>
      </c>
      <c r="G8548" s="81" t="s">
        <v>224</v>
      </c>
      <c r="H8548" s="81" t="s">
        <v>224</v>
      </c>
      <c r="I8548" s="81" t="s">
        <v>224</v>
      </c>
      <c r="J8548" s="81" t="s">
        <v>6477</v>
      </c>
    </row>
    <row r="8549">
      <c r="A8549" s="83" t="s">
        <v>6773</v>
      </c>
      <c r="B8549" s="83" t="s">
        <v>6774</v>
      </c>
      <c r="C8549" s="81" t="s">
        <v>4082</v>
      </c>
      <c r="D8549" s="81" t="s">
        <v>224</v>
      </c>
      <c r="E8549" s="81" t="s">
        <v>6512</v>
      </c>
      <c r="F8549" s="81" t="s">
        <v>224</v>
      </c>
      <c r="G8549" s="81" t="s">
        <v>224</v>
      </c>
      <c r="H8549" s="81" t="s">
        <v>224</v>
      </c>
      <c r="I8549" s="81" t="s">
        <v>224</v>
      </c>
      <c r="J8549" s="81" t="s">
        <v>6493</v>
      </c>
    </row>
    <row r="8550">
      <c r="A8550" s="83" t="s">
        <v>6773</v>
      </c>
      <c r="B8550" s="83" t="s">
        <v>6774</v>
      </c>
      <c r="C8550" s="81" t="s">
        <v>4082</v>
      </c>
      <c r="D8550" s="81" t="s">
        <v>224</v>
      </c>
      <c r="E8550" s="81" t="s">
        <v>6513</v>
      </c>
      <c r="F8550" s="81" t="s">
        <v>224</v>
      </c>
      <c r="G8550" s="81" t="s">
        <v>224</v>
      </c>
      <c r="H8550" s="81" t="s">
        <v>224</v>
      </c>
      <c r="I8550" s="81" t="s">
        <v>224</v>
      </c>
      <c r="J8550" s="81" t="s">
        <v>6475</v>
      </c>
    </row>
    <row r="8551">
      <c r="A8551" s="83" t="s">
        <v>6773</v>
      </c>
      <c r="B8551" s="83" t="s">
        <v>6774</v>
      </c>
      <c r="C8551" s="81" t="s">
        <v>4082</v>
      </c>
      <c r="D8551" s="81" t="s">
        <v>224</v>
      </c>
      <c r="E8551" s="81" t="s">
        <v>6514</v>
      </c>
      <c r="F8551" s="81" t="s">
        <v>224</v>
      </c>
      <c r="G8551" s="81" t="s">
        <v>224</v>
      </c>
      <c r="H8551" s="81" t="s">
        <v>224</v>
      </c>
      <c r="I8551" s="81" t="s">
        <v>224</v>
      </c>
      <c r="J8551" s="81" t="s">
        <v>6471</v>
      </c>
    </row>
    <row r="8552">
      <c r="A8552" s="83" t="s">
        <v>6773</v>
      </c>
      <c r="B8552" s="83" t="s">
        <v>6774</v>
      </c>
      <c r="C8552" s="81" t="s">
        <v>4082</v>
      </c>
      <c r="D8552" s="81" t="s">
        <v>224</v>
      </c>
      <c r="E8552" s="81" t="s">
        <v>6515</v>
      </c>
      <c r="F8552" s="81" t="s">
        <v>224</v>
      </c>
      <c r="G8552" s="81" t="s">
        <v>224</v>
      </c>
      <c r="H8552" s="81" t="s">
        <v>224</v>
      </c>
      <c r="I8552" s="81" t="s">
        <v>224</v>
      </c>
      <c r="J8552" s="81" t="s">
        <v>6483</v>
      </c>
    </row>
    <row r="8553">
      <c r="A8553" s="83" t="s">
        <v>6773</v>
      </c>
      <c r="B8553" s="83" t="s">
        <v>6774</v>
      </c>
      <c r="C8553" s="81" t="s">
        <v>4082</v>
      </c>
      <c r="D8553" s="81" t="s">
        <v>224</v>
      </c>
      <c r="E8553" s="81" t="s">
        <v>6516</v>
      </c>
      <c r="F8553" s="81" t="s">
        <v>224</v>
      </c>
      <c r="G8553" s="81" t="s">
        <v>224</v>
      </c>
      <c r="H8553" s="81" t="s">
        <v>224</v>
      </c>
      <c r="I8553" s="81" t="s">
        <v>224</v>
      </c>
      <c r="J8553" s="81" t="s">
        <v>6497</v>
      </c>
    </row>
    <row r="8554">
      <c r="A8554" s="83" t="s">
        <v>6773</v>
      </c>
      <c r="B8554" s="83" t="s">
        <v>6774</v>
      </c>
      <c r="C8554" s="81" t="s">
        <v>4082</v>
      </c>
      <c r="D8554" s="81" t="s">
        <v>224</v>
      </c>
      <c r="E8554" s="81" t="s">
        <v>6517</v>
      </c>
      <c r="F8554" s="81" t="s">
        <v>224</v>
      </c>
      <c r="G8554" s="81" t="s">
        <v>224</v>
      </c>
      <c r="H8554" s="81" t="s">
        <v>224</v>
      </c>
      <c r="I8554" s="81" t="s">
        <v>224</v>
      </c>
      <c r="J8554" s="81" t="s">
        <v>6479</v>
      </c>
    </row>
    <row r="8555">
      <c r="A8555" s="83" t="s">
        <v>6773</v>
      </c>
      <c r="B8555" s="83" t="s">
        <v>6774</v>
      </c>
      <c r="C8555" s="81" t="s">
        <v>4082</v>
      </c>
      <c r="D8555" s="81" t="s">
        <v>224</v>
      </c>
      <c r="E8555" s="81" t="s">
        <v>6518</v>
      </c>
      <c r="F8555" s="81" t="s">
        <v>224</v>
      </c>
      <c r="G8555" s="81" t="s">
        <v>224</v>
      </c>
      <c r="H8555" s="81" t="s">
        <v>224</v>
      </c>
      <c r="I8555" s="81" t="s">
        <v>224</v>
      </c>
      <c r="J8555" s="81" t="s">
        <v>6487</v>
      </c>
    </row>
    <row r="8556">
      <c r="A8556" s="83" t="s">
        <v>6773</v>
      </c>
      <c r="B8556" s="83" t="s">
        <v>6774</v>
      </c>
      <c r="C8556" s="81" t="s">
        <v>4082</v>
      </c>
      <c r="D8556" s="81" t="s">
        <v>224</v>
      </c>
      <c r="E8556" s="81" t="s">
        <v>6519</v>
      </c>
      <c r="F8556" s="81" t="s">
        <v>224</v>
      </c>
      <c r="G8556" s="81" t="s">
        <v>224</v>
      </c>
      <c r="H8556" s="81" t="s">
        <v>224</v>
      </c>
      <c r="I8556" s="81" t="s">
        <v>224</v>
      </c>
      <c r="J8556" s="81" t="s">
        <v>6467</v>
      </c>
    </row>
    <row r="8557">
      <c r="A8557" s="83" t="s">
        <v>6773</v>
      </c>
      <c r="B8557" s="83" t="s">
        <v>6774</v>
      </c>
      <c r="C8557" s="81" t="s">
        <v>4082</v>
      </c>
      <c r="D8557" s="81" t="s">
        <v>224</v>
      </c>
      <c r="E8557" s="81" t="s">
        <v>6520</v>
      </c>
      <c r="F8557" s="81" t="s">
        <v>224</v>
      </c>
      <c r="G8557" s="81" t="s">
        <v>224</v>
      </c>
      <c r="H8557" s="81" t="s">
        <v>224</v>
      </c>
      <c r="I8557" s="81" t="s">
        <v>224</v>
      </c>
      <c r="J8557" s="81" t="s">
        <v>6521</v>
      </c>
    </row>
    <row r="8558">
      <c r="A8558" s="83" t="s">
        <v>6773</v>
      </c>
      <c r="B8558" s="83" t="s">
        <v>6774</v>
      </c>
      <c r="C8558" s="81" t="s">
        <v>4082</v>
      </c>
      <c r="D8558" s="81" t="s">
        <v>224</v>
      </c>
      <c r="E8558" s="81" t="s">
        <v>6522</v>
      </c>
      <c r="F8558" s="81" t="s">
        <v>224</v>
      </c>
      <c r="G8558" s="81" t="s">
        <v>224</v>
      </c>
      <c r="H8558" s="81" t="s">
        <v>224</v>
      </c>
      <c r="I8558" s="81" t="s">
        <v>224</v>
      </c>
      <c r="J8558" s="81" t="s">
        <v>6521</v>
      </c>
    </row>
    <row r="8559">
      <c r="A8559" s="83" t="s">
        <v>6773</v>
      </c>
      <c r="B8559" s="83" t="s">
        <v>6774</v>
      </c>
      <c r="C8559" s="81" t="s">
        <v>4082</v>
      </c>
      <c r="D8559" s="81" t="s">
        <v>224</v>
      </c>
      <c r="E8559" s="81" t="s">
        <v>6523</v>
      </c>
      <c r="F8559" s="81" t="s">
        <v>224</v>
      </c>
      <c r="G8559" s="81" t="s">
        <v>224</v>
      </c>
      <c r="H8559" s="81" t="s">
        <v>224</v>
      </c>
      <c r="I8559" s="81" t="s">
        <v>224</v>
      </c>
      <c r="J8559" s="81" t="s">
        <v>6524</v>
      </c>
    </row>
    <row r="8560">
      <c r="A8560" s="83" t="s">
        <v>6773</v>
      </c>
      <c r="B8560" s="83" t="s">
        <v>6774</v>
      </c>
      <c r="C8560" s="81" t="s">
        <v>4082</v>
      </c>
      <c r="D8560" s="81" t="s">
        <v>224</v>
      </c>
      <c r="E8560" s="81" t="s">
        <v>6525</v>
      </c>
      <c r="F8560" s="81" t="s">
        <v>224</v>
      </c>
      <c r="G8560" s="81" t="s">
        <v>224</v>
      </c>
      <c r="H8560" s="81" t="s">
        <v>224</v>
      </c>
      <c r="I8560" s="81" t="s">
        <v>224</v>
      </c>
      <c r="J8560" s="81" t="s">
        <v>6526</v>
      </c>
    </row>
    <row r="8561">
      <c r="A8561" s="83" t="s">
        <v>6773</v>
      </c>
      <c r="B8561" s="83" t="s">
        <v>6774</v>
      </c>
      <c r="C8561" s="81" t="s">
        <v>4082</v>
      </c>
      <c r="D8561" s="81" t="s">
        <v>224</v>
      </c>
      <c r="E8561" s="81" t="s">
        <v>6527</v>
      </c>
      <c r="F8561" s="81" t="s">
        <v>224</v>
      </c>
      <c r="G8561" s="81" t="s">
        <v>224</v>
      </c>
      <c r="H8561" s="81" t="s">
        <v>224</v>
      </c>
      <c r="I8561" s="81" t="s">
        <v>224</v>
      </c>
      <c r="J8561" s="81" t="s">
        <v>6528</v>
      </c>
    </row>
    <row r="8562">
      <c r="A8562" s="83" t="s">
        <v>6773</v>
      </c>
      <c r="B8562" s="83" t="s">
        <v>6774</v>
      </c>
      <c r="C8562" s="81" t="s">
        <v>4082</v>
      </c>
      <c r="D8562" s="81" t="s">
        <v>224</v>
      </c>
      <c r="E8562" s="81" t="s">
        <v>6738</v>
      </c>
      <c r="F8562" s="81" t="s">
        <v>224</v>
      </c>
      <c r="G8562" s="81" t="s">
        <v>224</v>
      </c>
      <c r="H8562" s="81" t="s">
        <v>224</v>
      </c>
      <c r="I8562" s="81" t="s">
        <v>224</v>
      </c>
      <c r="J8562" s="81" t="s">
        <v>6734</v>
      </c>
    </row>
    <row r="8563">
      <c r="A8563" s="83" t="s">
        <v>6773</v>
      </c>
      <c r="B8563" s="83" t="s">
        <v>6774</v>
      </c>
      <c r="C8563" s="81" t="s">
        <v>4082</v>
      </c>
      <c r="D8563" s="81" t="s">
        <v>224</v>
      </c>
      <c r="E8563" s="81" t="s">
        <v>6529</v>
      </c>
      <c r="F8563" s="81" t="s">
        <v>224</v>
      </c>
      <c r="G8563" s="81" t="s">
        <v>224</v>
      </c>
      <c r="H8563" s="81" t="s">
        <v>224</v>
      </c>
      <c r="I8563" s="81" t="s">
        <v>224</v>
      </c>
      <c r="J8563" s="81" t="s">
        <v>6530</v>
      </c>
    </row>
    <row r="8564">
      <c r="A8564" s="83" t="s">
        <v>6773</v>
      </c>
      <c r="B8564" s="83" t="s">
        <v>6774</v>
      </c>
      <c r="C8564" s="81" t="s">
        <v>4082</v>
      </c>
      <c r="D8564" s="81" t="s">
        <v>224</v>
      </c>
      <c r="E8564" s="81" t="s">
        <v>6531</v>
      </c>
      <c r="F8564" s="81" t="s">
        <v>224</v>
      </c>
      <c r="G8564" s="81" t="s">
        <v>224</v>
      </c>
      <c r="H8564" s="81" t="s">
        <v>224</v>
      </c>
      <c r="I8564" s="81" t="s">
        <v>224</v>
      </c>
      <c r="J8564" s="81" t="s">
        <v>6530</v>
      </c>
    </row>
    <row r="8565">
      <c r="A8565" s="83" t="s">
        <v>6773</v>
      </c>
      <c r="B8565" s="83" t="s">
        <v>6774</v>
      </c>
      <c r="C8565" s="81" t="s">
        <v>4082</v>
      </c>
      <c r="D8565" s="81" t="s">
        <v>224</v>
      </c>
      <c r="E8565" s="81" t="s">
        <v>6532</v>
      </c>
      <c r="F8565" s="81" t="s">
        <v>224</v>
      </c>
      <c r="G8565" s="81" t="s">
        <v>224</v>
      </c>
      <c r="H8565" s="81" t="s">
        <v>224</v>
      </c>
      <c r="I8565" s="81" t="s">
        <v>224</v>
      </c>
      <c r="J8565" s="81" t="s">
        <v>6533</v>
      </c>
    </row>
    <row r="8566">
      <c r="A8566" s="83" t="s">
        <v>6773</v>
      </c>
      <c r="B8566" s="83" t="s">
        <v>6774</v>
      </c>
      <c r="C8566" s="81" t="s">
        <v>4082</v>
      </c>
      <c r="D8566" s="81" t="s">
        <v>224</v>
      </c>
      <c r="E8566" s="81" t="s">
        <v>6534</v>
      </c>
      <c r="F8566" s="81" t="s">
        <v>224</v>
      </c>
      <c r="G8566" s="81" t="s">
        <v>224</v>
      </c>
      <c r="H8566" s="81" t="s">
        <v>224</v>
      </c>
      <c r="I8566" s="81" t="s">
        <v>224</v>
      </c>
      <c r="J8566" s="81" t="s">
        <v>6533</v>
      </c>
    </row>
    <row r="8567">
      <c r="A8567" s="83" t="s">
        <v>6773</v>
      </c>
      <c r="B8567" s="83" t="s">
        <v>6774</v>
      </c>
      <c r="C8567" s="81" t="s">
        <v>4082</v>
      </c>
      <c r="D8567" s="81" t="s">
        <v>224</v>
      </c>
      <c r="E8567" s="81" t="s">
        <v>6535</v>
      </c>
      <c r="F8567" s="81" t="s">
        <v>224</v>
      </c>
      <c r="G8567" s="81" t="s">
        <v>224</v>
      </c>
      <c r="H8567" s="81" t="s">
        <v>224</v>
      </c>
      <c r="I8567" s="81" t="s">
        <v>224</v>
      </c>
      <c r="J8567" s="81" t="s">
        <v>6536</v>
      </c>
    </row>
    <row r="8568">
      <c r="A8568" s="83" t="s">
        <v>6773</v>
      </c>
      <c r="B8568" s="83" t="s">
        <v>6774</v>
      </c>
      <c r="C8568" s="81" t="s">
        <v>4082</v>
      </c>
      <c r="D8568" s="81" t="s">
        <v>224</v>
      </c>
      <c r="E8568" s="81" t="s">
        <v>6537</v>
      </c>
      <c r="F8568" s="81" t="s">
        <v>224</v>
      </c>
      <c r="G8568" s="81" t="s">
        <v>224</v>
      </c>
      <c r="H8568" s="81" t="s">
        <v>224</v>
      </c>
      <c r="I8568" s="81" t="s">
        <v>224</v>
      </c>
      <c r="J8568" s="81" t="s">
        <v>6536</v>
      </c>
    </row>
    <row r="8569">
      <c r="A8569" s="83" t="s">
        <v>6773</v>
      </c>
      <c r="B8569" s="83" t="s">
        <v>6774</v>
      </c>
      <c r="C8569" s="81" t="s">
        <v>4082</v>
      </c>
      <c r="D8569" s="81" t="s">
        <v>224</v>
      </c>
      <c r="E8569" s="81" t="s">
        <v>6538</v>
      </c>
      <c r="F8569" s="81" t="s">
        <v>224</v>
      </c>
      <c r="G8569" s="81" t="s">
        <v>224</v>
      </c>
      <c r="H8569" s="81" t="s">
        <v>224</v>
      </c>
      <c r="I8569" s="81" t="s">
        <v>224</v>
      </c>
      <c r="J8569" s="81" t="s">
        <v>6539</v>
      </c>
    </row>
    <row r="8570">
      <c r="A8570" s="83" t="s">
        <v>6773</v>
      </c>
      <c r="B8570" s="83" t="s">
        <v>6774</v>
      </c>
      <c r="C8570" s="81" t="s">
        <v>4082</v>
      </c>
      <c r="D8570" s="81" t="s">
        <v>224</v>
      </c>
      <c r="E8570" s="81" t="s">
        <v>6540</v>
      </c>
      <c r="F8570" s="81" t="s">
        <v>224</v>
      </c>
      <c r="G8570" s="81" t="s">
        <v>224</v>
      </c>
      <c r="H8570" s="81" t="s">
        <v>224</v>
      </c>
      <c r="I8570" s="81" t="s">
        <v>224</v>
      </c>
      <c r="J8570" s="81" t="s">
        <v>6539</v>
      </c>
    </row>
    <row r="8571">
      <c r="A8571" s="83" t="s">
        <v>6773</v>
      </c>
      <c r="B8571" s="83" t="s">
        <v>6774</v>
      </c>
      <c r="C8571" s="81" t="s">
        <v>4082</v>
      </c>
      <c r="D8571" s="81" t="s">
        <v>224</v>
      </c>
      <c r="E8571" s="81" t="s">
        <v>6541</v>
      </c>
      <c r="F8571" s="81" t="s">
        <v>224</v>
      </c>
      <c r="G8571" s="81" t="s">
        <v>224</v>
      </c>
      <c r="H8571" s="81" t="s">
        <v>224</v>
      </c>
      <c r="I8571" s="81" t="s">
        <v>224</v>
      </c>
      <c r="J8571" s="81" t="s">
        <v>6542</v>
      </c>
    </row>
    <row r="8572">
      <c r="A8572" s="83" t="s">
        <v>6773</v>
      </c>
      <c r="B8572" s="83" t="s">
        <v>6774</v>
      </c>
      <c r="C8572" s="81" t="s">
        <v>4082</v>
      </c>
      <c r="D8572" s="81" t="s">
        <v>224</v>
      </c>
      <c r="E8572" s="81" t="s">
        <v>6543</v>
      </c>
      <c r="F8572" s="81" t="s">
        <v>224</v>
      </c>
      <c r="G8572" s="81" t="s">
        <v>224</v>
      </c>
      <c r="H8572" s="81" t="s">
        <v>224</v>
      </c>
      <c r="I8572" s="81" t="s">
        <v>224</v>
      </c>
      <c r="J8572" s="81" t="s">
        <v>6542</v>
      </c>
    </row>
    <row r="8573">
      <c r="A8573" s="83" t="s">
        <v>6773</v>
      </c>
      <c r="B8573" s="83" t="s">
        <v>6774</v>
      </c>
      <c r="C8573" s="81" t="s">
        <v>4082</v>
      </c>
      <c r="D8573" s="81" t="s">
        <v>224</v>
      </c>
      <c r="E8573" s="81" t="s">
        <v>6544</v>
      </c>
      <c r="F8573" s="81" t="s">
        <v>224</v>
      </c>
      <c r="G8573" s="81" t="s">
        <v>224</v>
      </c>
      <c r="H8573" s="81" t="s">
        <v>224</v>
      </c>
      <c r="I8573" s="81" t="s">
        <v>224</v>
      </c>
      <c r="J8573" s="81" t="s">
        <v>6545</v>
      </c>
    </row>
    <row r="8574">
      <c r="A8574" s="83" t="s">
        <v>6773</v>
      </c>
      <c r="B8574" s="83" t="s">
        <v>6774</v>
      </c>
      <c r="C8574" s="81" t="s">
        <v>4082</v>
      </c>
      <c r="D8574" s="81" t="s">
        <v>224</v>
      </c>
      <c r="E8574" s="81" t="s">
        <v>6546</v>
      </c>
      <c r="F8574" s="81" t="s">
        <v>224</v>
      </c>
      <c r="G8574" s="81" t="s">
        <v>224</v>
      </c>
      <c r="H8574" s="81" t="s">
        <v>224</v>
      </c>
      <c r="I8574" s="81" t="s">
        <v>224</v>
      </c>
      <c r="J8574" s="81" t="s">
        <v>6545</v>
      </c>
    </row>
    <row r="8575">
      <c r="A8575" s="83" t="s">
        <v>6773</v>
      </c>
      <c r="B8575" s="83" t="s">
        <v>6774</v>
      </c>
      <c r="C8575" s="81" t="s">
        <v>4082</v>
      </c>
      <c r="D8575" s="81" t="s">
        <v>224</v>
      </c>
      <c r="E8575" s="81" t="s">
        <v>6547</v>
      </c>
      <c r="F8575" s="81" t="s">
        <v>224</v>
      </c>
      <c r="G8575" s="81" t="s">
        <v>224</v>
      </c>
      <c r="H8575" s="81" t="s">
        <v>224</v>
      </c>
      <c r="I8575" s="81" t="s">
        <v>224</v>
      </c>
      <c r="J8575" s="81" t="s">
        <v>6548</v>
      </c>
    </row>
    <row r="8576">
      <c r="A8576" s="83" t="s">
        <v>6773</v>
      </c>
      <c r="B8576" s="83" t="s">
        <v>6774</v>
      </c>
      <c r="C8576" s="81" t="s">
        <v>4082</v>
      </c>
      <c r="D8576" s="81" t="s">
        <v>224</v>
      </c>
      <c r="E8576" s="81" t="s">
        <v>6549</v>
      </c>
      <c r="F8576" s="81" t="s">
        <v>224</v>
      </c>
      <c r="G8576" s="81" t="s">
        <v>224</v>
      </c>
      <c r="H8576" s="81" t="s">
        <v>224</v>
      </c>
      <c r="I8576" s="81" t="s">
        <v>224</v>
      </c>
      <c r="J8576" s="81" t="s">
        <v>6548</v>
      </c>
    </row>
    <row r="8577">
      <c r="A8577" s="83" t="s">
        <v>6773</v>
      </c>
      <c r="B8577" s="83" t="s">
        <v>6774</v>
      </c>
      <c r="C8577" s="81" t="s">
        <v>4082</v>
      </c>
      <c r="D8577" s="81" t="s">
        <v>224</v>
      </c>
      <c r="E8577" s="81" t="s">
        <v>6550</v>
      </c>
      <c r="F8577" s="81" t="s">
        <v>224</v>
      </c>
      <c r="G8577" s="81" t="s">
        <v>224</v>
      </c>
      <c r="H8577" s="81" t="s">
        <v>224</v>
      </c>
      <c r="I8577" s="81" t="s">
        <v>224</v>
      </c>
      <c r="J8577" s="81" t="s">
        <v>6551</v>
      </c>
    </row>
    <row r="8578">
      <c r="A8578" s="83" t="s">
        <v>6773</v>
      </c>
      <c r="B8578" s="83" t="s">
        <v>6774</v>
      </c>
      <c r="C8578" s="81" t="s">
        <v>4082</v>
      </c>
      <c r="D8578" s="81" t="s">
        <v>224</v>
      </c>
      <c r="E8578" s="81" t="s">
        <v>6552</v>
      </c>
      <c r="F8578" s="81" t="s">
        <v>224</v>
      </c>
      <c r="G8578" s="81" t="s">
        <v>224</v>
      </c>
      <c r="H8578" s="81" t="s">
        <v>224</v>
      </c>
      <c r="I8578" s="81" t="s">
        <v>224</v>
      </c>
      <c r="J8578" s="81" t="s">
        <v>6551</v>
      </c>
    </row>
    <row r="8579">
      <c r="A8579" s="83" t="s">
        <v>6773</v>
      </c>
      <c r="B8579" s="83" t="s">
        <v>6774</v>
      </c>
      <c r="C8579" s="81" t="s">
        <v>4082</v>
      </c>
      <c r="D8579" s="81" t="s">
        <v>224</v>
      </c>
      <c r="E8579" s="81" t="s">
        <v>6553</v>
      </c>
      <c r="F8579" s="81" t="s">
        <v>224</v>
      </c>
      <c r="G8579" s="81" t="s">
        <v>224</v>
      </c>
      <c r="H8579" s="81" t="s">
        <v>224</v>
      </c>
      <c r="I8579" s="81" t="s">
        <v>224</v>
      </c>
      <c r="J8579" s="81" t="s">
        <v>6554</v>
      </c>
    </row>
    <row r="8580">
      <c r="A8580" s="83" t="s">
        <v>6773</v>
      </c>
      <c r="B8580" s="83" t="s">
        <v>6774</v>
      </c>
      <c r="C8580" s="81" t="s">
        <v>4082</v>
      </c>
      <c r="D8580" s="81" t="s">
        <v>224</v>
      </c>
      <c r="E8580" s="81" t="s">
        <v>6555</v>
      </c>
      <c r="F8580" s="81" t="s">
        <v>224</v>
      </c>
      <c r="G8580" s="81" t="s">
        <v>224</v>
      </c>
      <c r="H8580" s="81" t="s">
        <v>224</v>
      </c>
      <c r="I8580" s="81" t="s">
        <v>224</v>
      </c>
      <c r="J8580" s="81" t="s">
        <v>6554</v>
      </c>
    </row>
    <row r="8581">
      <c r="A8581" s="83" t="s">
        <v>6773</v>
      </c>
      <c r="B8581" s="83" t="s">
        <v>6774</v>
      </c>
      <c r="C8581" s="81" t="s">
        <v>4082</v>
      </c>
      <c r="D8581" s="81" t="s">
        <v>224</v>
      </c>
      <c r="E8581" s="81" t="s">
        <v>6556</v>
      </c>
      <c r="F8581" s="81" t="s">
        <v>224</v>
      </c>
      <c r="G8581" s="81" t="s">
        <v>224</v>
      </c>
      <c r="H8581" s="81" t="s">
        <v>224</v>
      </c>
      <c r="I8581" s="81" t="s">
        <v>224</v>
      </c>
      <c r="J8581" s="81" t="s">
        <v>6557</v>
      </c>
    </row>
    <row r="8582">
      <c r="A8582" s="83" t="s">
        <v>6773</v>
      </c>
      <c r="B8582" s="83" t="s">
        <v>6774</v>
      </c>
      <c r="C8582" s="81" t="s">
        <v>4082</v>
      </c>
      <c r="D8582" s="81" t="s">
        <v>224</v>
      </c>
      <c r="E8582" s="81" t="s">
        <v>6558</v>
      </c>
      <c r="F8582" s="81" t="s">
        <v>224</v>
      </c>
      <c r="G8582" s="81" t="s">
        <v>224</v>
      </c>
      <c r="H8582" s="81" t="s">
        <v>224</v>
      </c>
      <c r="I8582" s="81" t="s">
        <v>224</v>
      </c>
      <c r="J8582" s="81" t="s">
        <v>6559</v>
      </c>
    </row>
    <row r="8583">
      <c r="A8583" s="83" t="s">
        <v>6773</v>
      </c>
      <c r="B8583" s="83" t="s">
        <v>6774</v>
      </c>
      <c r="C8583" s="81" t="s">
        <v>4082</v>
      </c>
      <c r="D8583" s="81" t="s">
        <v>224</v>
      </c>
      <c r="E8583" s="81" t="s">
        <v>6739</v>
      </c>
      <c r="F8583" s="81" t="s">
        <v>224</v>
      </c>
      <c r="G8583" s="81" t="s">
        <v>224</v>
      </c>
      <c r="H8583" s="81" t="s">
        <v>224</v>
      </c>
      <c r="I8583" s="81" t="s">
        <v>224</v>
      </c>
      <c r="J8583" s="81" t="s">
        <v>6734</v>
      </c>
    </row>
    <row r="8584">
      <c r="A8584" s="83" t="s">
        <v>6773</v>
      </c>
      <c r="B8584" s="83" t="s">
        <v>6774</v>
      </c>
      <c r="C8584" s="81" t="s">
        <v>4082</v>
      </c>
      <c r="D8584" s="81" t="s">
        <v>224</v>
      </c>
      <c r="E8584" s="81" t="s">
        <v>6740</v>
      </c>
      <c r="F8584" s="81" t="s">
        <v>224</v>
      </c>
      <c r="G8584" s="81" t="s">
        <v>224</v>
      </c>
      <c r="H8584" s="81" t="s">
        <v>224</v>
      </c>
      <c r="I8584" s="81" t="s">
        <v>224</v>
      </c>
      <c r="J8584" s="81" t="s">
        <v>6734</v>
      </c>
    </row>
    <row r="8585">
      <c r="A8585" s="83" t="s">
        <v>6773</v>
      </c>
      <c r="B8585" s="83" t="s">
        <v>6774</v>
      </c>
      <c r="C8585" s="81" t="s">
        <v>4082</v>
      </c>
      <c r="D8585" s="81" t="s">
        <v>224</v>
      </c>
      <c r="E8585" s="81" t="s">
        <v>6741</v>
      </c>
      <c r="F8585" s="81" t="s">
        <v>224</v>
      </c>
      <c r="G8585" s="81" t="s">
        <v>224</v>
      </c>
      <c r="H8585" s="81" t="s">
        <v>224</v>
      </c>
      <c r="I8585" s="81" t="s">
        <v>224</v>
      </c>
      <c r="J8585" s="81" t="s">
        <v>6734</v>
      </c>
    </row>
    <row r="8586">
      <c r="A8586" s="83" t="s">
        <v>6773</v>
      </c>
      <c r="B8586" s="83" t="s">
        <v>6774</v>
      </c>
      <c r="C8586" s="81" t="s">
        <v>4082</v>
      </c>
      <c r="D8586" s="81" t="s">
        <v>224</v>
      </c>
      <c r="E8586" s="81" t="s">
        <v>6742</v>
      </c>
      <c r="F8586" s="81" t="s">
        <v>224</v>
      </c>
      <c r="G8586" s="81" t="s">
        <v>224</v>
      </c>
      <c r="H8586" s="81" t="s">
        <v>224</v>
      </c>
      <c r="I8586" s="81" t="s">
        <v>224</v>
      </c>
      <c r="J8586" s="81" t="s">
        <v>6734</v>
      </c>
    </row>
    <row r="8587">
      <c r="A8587" s="83" t="s">
        <v>6773</v>
      </c>
      <c r="B8587" s="83" t="s">
        <v>6774</v>
      </c>
      <c r="C8587" s="81" t="s">
        <v>4082</v>
      </c>
      <c r="D8587" s="81" t="s">
        <v>224</v>
      </c>
      <c r="E8587" s="81" t="s">
        <v>6743</v>
      </c>
      <c r="F8587" s="81" t="s">
        <v>224</v>
      </c>
      <c r="G8587" s="81" t="s">
        <v>224</v>
      </c>
      <c r="H8587" s="81" t="s">
        <v>224</v>
      </c>
      <c r="I8587" s="81" t="s">
        <v>224</v>
      </c>
      <c r="J8587" s="81" t="s">
        <v>6734</v>
      </c>
    </row>
    <row r="8588">
      <c r="A8588" s="83" t="s">
        <v>6773</v>
      </c>
      <c r="B8588" s="83" t="s">
        <v>6774</v>
      </c>
      <c r="C8588" s="81" t="s">
        <v>4082</v>
      </c>
      <c r="D8588" s="81" t="s">
        <v>224</v>
      </c>
      <c r="E8588" s="81" t="s">
        <v>6560</v>
      </c>
      <c r="F8588" s="81" t="s">
        <v>224</v>
      </c>
      <c r="G8588" s="81" t="s">
        <v>224</v>
      </c>
      <c r="H8588" s="81" t="s">
        <v>224</v>
      </c>
      <c r="I8588" s="81" t="s">
        <v>224</v>
      </c>
      <c r="J8588" s="81" t="s">
        <v>6561</v>
      </c>
    </row>
    <row r="8589">
      <c r="A8589" s="83" t="s">
        <v>6773</v>
      </c>
      <c r="B8589" s="83" t="s">
        <v>6774</v>
      </c>
      <c r="C8589" s="81" t="s">
        <v>4082</v>
      </c>
      <c r="D8589" s="81" t="s">
        <v>224</v>
      </c>
      <c r="E8589" s="81" t="s">
        <v>6562</v>
      </c>
      <c r="F8589" s="81" t="s">
        <v>224</v>
      </c>
      <c r="G8589" s="81" t="s">
        <v>224</v>
      </c>
      <c r="H8589" s="81" t="s">
        <v>224</v>
      </c>
      <c r="I8589" s="81" t="s">
        <v>224</v>
      </c>
      <c r="J8589" s="81" t="s">
        <v>6563</v>
      </c>
    </row>
    <row r="8590">
      <c r="A8590" s="83" t="s">
        <v>6773</v>
      </c>
      <c r="B8590" s="83" t="s">
        <v>6774</v>
      </c>
      <c r="C8590" s="81" t="s">
        <v>4082</v>
      </c>
      <c r="D8590" s="81" t="s">
        <v>224</v>
      </c>
      <c r="E8590" s="81" t="s">
        <v>6564</v>
      </c>
      <c r="F8590" s="81" t="s">
        <v>224</v>
      </c>
      <c r="G8590" s="81" t="s">
        <v>224</v>
      </c>
      <c r="H8590" s="81" t="s">
        <v>224</v>
      </c>
      <c r="I8590" s="81" t="s">
        <v>224</v>
      </c>
      <c r="J8590" s="81" t="s">
        <v>6565</v>
      </c>
    </row>
    <row r="8591">
      <c r="A8591" s="83" t="s">
        <v>6773</v>
      </c>
      <c r="B8591" s="83" t="s">
        <v>6774</v>
      </c>
      <c r="C8591" s="81" t="s">
        <v>4082</v>
      </c>
      <c r="D8591" s="81" t="s">
        <v>224</v>
      </c>
      <c r="E8591" s="81" t="s">
        <v>6566</v>
      </c>
      <c r="F8591" s="81" t="s">
        <v>224</v>
      </c>
      <c r="G8591" s="81" t="s">
        <v>224</v>
      </c>
      <c r="H8591" s="81" t="s">
        <v>224</v>
      </c>
      <c r="I8591" s="81" t="s">
        <v>224</v>
      </c>
      <c r="J8591" s="81" t="s">
        <v>6567</v>
      </c>
    </row>
    <row r="8592">
      <c r="A8592" s="83" t="s">
        <v>6773</v>
      </c>
      <c r="B8592" s="83" t="s">
        <v>6774</v>
      </c>
      <c r="C8592" s="81" t="s">
        <v>4082</v>
      </c>
      <c r="D8592" s="81" t="s">
        <v>224</v>
      </c>
      <c r="E8592" s="81" t="s">
        <v>6568</v>
      </c>
      <c r="F8592" s="81" t="s">
        <v>224</v>
      </c>
      <c r="G8592" s="81" t="s">
        <v>224</v>
      </c>
      <c r="H8592" s="81" t="s">
        <v>224</v>
      </c>
      <c r="I8592" s="81" t="s">
        <v>224</v>
      </c>
      <c r="J8592" s="81" t="s">
        <v>6569</v>
      </c>
    </row>
    <row r="8593">
      <c r="A8593" s="83" t="s">
        <v>6773</v>
      </c>
      <c r="B8593" s="83" t="s">
        <v>6774</v>
      </c>
      <c r="C8593" s="81" t="s">
        <v>4082</v>
      </c>
      <c r="D8593" s="81" t="s">
        <v>224</v>
      </c>
      <c r="E8593" s="81" t="s">
        <v>6744</v>
      </c>
      <c r="F8593" s="81" t="s">
        <v>224</v>
      </c>
      <c r="G8593" s="81" t="s">
        <v>224</v>
      </c>
      <c r="H8593" s="81" t="s">
        <v>224</v>
      </c>
      <c r="I8593" s="81" t="s">
        <v>224</v>
      </c>
      <c r="J8593" s="81" t="s">
        <v>6734</v>
      </c>
    </row>
    <row r="8594">
      <c r="A8594" s="83" t="s">
        <v>6773</v>
      </c>
      <c r="B8594" s="83" t="s">
        <v>6774</v>
      </c>
      <c r="C8594" s="81" t="s">
        <v>4082</v>
      </c>
      <c r="D8594" s="81" t="s">
        <v>224</v>
      </c>
      <c r="E8594" s="81" t="s">
        <v>6570</v>
      </c>
      <c r="F8594" s="81" t="s">
        <v>224</v>
      </c>
      <c r="G8594" s="81" t="s">
        <v>224</v>
      </c>
      <c r="H8594" s="81" t="s">
        <v>224</v>
      </c>
      <c r="I8594" s="81" t="s">
        <v>224</v>
      </c>
      <c r="J8594" s="81" t="s">
        <v>6571</v>
      </c>
    </row>
    <row r="8595">
      <c r="A8595" s="83" t="s">
        <v>6773</v>
      </c>
      <c r="B8595" s="83" t="s">
        <v>6774</v>
      </c>
      <c r="C8595" s="81" t="s">
        <v>4082</v>
      </c>
      <c r="D8595" s="81" t="s">
        <v>224</v>
      </c>
      <c r="E8595" s="81" t="s">
        <v>6572</v>
      </c>
      <c r="F8595" s="81" t="s">
        <v>224</v>
      </c>
      <c r="G8595" s="81" t="s">
        <v>224</v>
      </c>
      <c r="H8595" s="81" t="s">
        <v>224</v>
      </c>
      <c r="I8595" s="81" t="s">
        <v>224</v>
      </c>
      <c r="J8595" s="81" t="s">
        <v>6571</v>
      </c>
    </row>
    <row r="8596">
      <c r="A8596" s="83" t="s">
        <v>6773</v>
      </c>
      <c r="B8596" s="83" t="s">
        <v>6774</v>
      </c>
      <c r="C8596" s="81" t="s">
        <v>4082</v>
      </c>
      <c r="D8596" s="81" t="s">
        <v>224</v>
      </c>
      <c r="E8596" s="81" t="s">
        <v>6573</v>
      </c>
      <c r="F8596" s="81" t="s">
        <v>224</v>
      </c>
      <c r="G8596" s="81" t="s">
        <v>224</v>
      </c>
      <c r="H8596" s="81" t="s">
        <v>224</v>
      </c>
      <c r="I8596" s="81" t="s">
        <v>224</v>
      </c>
      <c r="J8596" s="81" t="s">
        <v>6574</v>
      </c>
    </row>
    <row r="8597">
      <c r="A8597" s="83" t="s">
        <v>6773</v>
      </c>
      <c r="B8597" s="83" t="s">
        <v>6774</v>
      </c>
      <c r="C8597" s="81" t="s">
        <v>4082</v>
      </c>
      <c r="D8597" s="81" t="s">
        <v>224</v>
      </c>
      <c r="E8597" s="81" t="s">
        <v>6575</v>
      </c>
      <c r="F8597" s="81" t="s">
        <v>224</v>
      </c>
      <c r="G8597" s="81" t="s">
        <v>224</v>
      </c>
      <c r="H8597" s="81" t="s">
        <v>224</v>
      </c>
      <c r="I8597" s="81" t="s">
        <v>224</v>
      </c>
      <c r="J8597" s="81" t="s">
        <v>6574</v>
      </c>
    </row>
    <row r="8598">
      <c r="A8598" s="83" t="s">
        <v>6773</v>
      </c>
      <c r="B8598" s="83" t="s">
        <v>6774</v>
      </c>
      <c r="C8598" s="81" t="s">
        <v>4082</v>
      </c>
      <c r="D8598" s="81" t="s">
        <v>224</v>
      </c>
      <c r="E8598" s="81" t="s">
        <v>6745</v>
      </c>
      <c r="F8598" s="81" t="s">
        <v>224</v>
      </c>
      <c r="G8598" s="81" t="s">
        <v>224</v>
      </c>
      <c r="H8598" s="81" t="s">
        <v>224</v>
      </c>
      <c r="I8598" s="81" t="s">
        <v>224</v>
      </c>
      <c r="J8598" s="81" t="s">
        <v>6734</v>
      </c>
    </row>
    <row r="8599">
      <c r="A8599" s="83" t="s">
        <v>6773</v>
      </c>
      <c r="B8599" s="83" t="s">
        <v>6774</v>
      </c>
      <c r="C8599" s="81" t="s">
        <v>4082</v>
      </c>
      <c r="D8599" s="81" t="s">
        <v>224</v>
      </c>
      <c r="E8599" s="81" t="s">
        <v>6746</v>
      </c>
      <c r="F8599" s="81" t="s">
        <v>224</v>
      </c>
      <c r="G8599" s="81" t="s">
        <v>224</v>
      </c>
      <c r="H8599" s="81" t="s">
        <v>224</v>
      </c>
      <c r="I8599" s="81" t="s">
        <v>224</v>
      </c>
      <c r="J8599" s="81" t="s">
        <v>6734</v>
      </c>
    </row>
    <row r="8600">
      <c r="A8600" s="83" t="s">
        <v>6773</v>
      </c>
      <c r="B8600" s="83" t="s">
        <v>6774</v>
      </c>
      <c r="C8600" s="81" t="s">
        <v>4082</v>
      </c>
      <c r="D8600" s="81" t="s">
        <v>224</v>
      </c>
      <c r="E8600" s="81" t="s">
        <v>6576</v>
      </c>
      <c r="F8600" s="81" t="s">
        <v>224</v>
      </c>
      <c r="G8600" s="81" t="s">
        <v>224</v>
      </c>
      <c r="H8600" s="81" t="s">
        <v>224</v>
      </c>
      <c r="I8600" s="81" t="s">
        <v>224</v>
      </c>
      <c r="J8600" s="81" t="s">
        <v>6577</v>
      </c>
    </row>
    <row r="8601">
      <c r="A8601" s="83" t="s">
        <v>6773</v>
      </c>
      <c r="B8601" s="83" t="s">
        <v>6774</v>
      </c>
      <c r="C8601" s="81" t="s">
        <v>4082</v>
      </c>
      <c r="D8601" s="81" t="s">
        <v>224</v>
      </c>
      <c r="E8601" s="81" t="s">
        <v>6578</v>
      </c>
      <c r="F8601" s="81" t="s">
        <v>224</v>
      </c>
      <c r="G8601" s="81" t="s">
        <v>224</v>
      </c>
      <c r="H8601" s="81" t="s">
        <v>224</v>
      </c>
      <c r="I8601" s="81" t="s">
        <v>224</v>
      </c>
      <c r="J8601" s="81" t="s">
        <v>6579</v>
      </c>
    </row>
    <row r="8602">
      <c r="A8602" s="83" t="s">
        <v>6773</v>
      </c>
      <c r="B8602" s="83" t="s">
        <v>6774</v>
      </c>
      <c r="C8602" s="81" t="s">
        <v>4082</v>
      </c>
      <c r="D8602" s="81" t="s">
        <v>224</v>
      </c>
      <c r="E8602" s="81" t="s">
        <v>6580</v>
      </c>
      <c r="F8602" s="81" t="s">
        <v>224</v>
      </c>
      <c r="G8602" s="81" t="s">
        <v>224</v>
      </c>
      <c r="H8602" s="81" t="s">
        <v>224</v>
      </c>
      <c r="I8602" s="81" t="s">
        <v>224</v>
      </c>
      <c r="J8602" s="81" t="s">
        <v>6579</v>
      </c>
    </row>
    <row r="8603">
      <c r="A8603" s="83" t="s">
        <v>6773</v>
      </c>
      <c r="B8603" s="83" t="s">
        <v>6774</v>
      </c>
      <c r="C8603" s="81" t="s">
        <v>4082</v>
      </c>
      <c r="D8603" s="81" t="s">
        <v>224</v>
      </c>
      <c r="E8603" s="81" t="s">
        <v>6581</v>
      </c>
      <c r="F8603" s="81" t="s">
        <v>224</v>
      </c>
      <c r="G8603" s="81" t="s">
        <v>224</v>
      </c>
      <c r="H8603" s="81" t="s">
        <v>224</v>
      </c>
      <c r="I8603" s="81" t="s">
        <v>224</v>
      </c>
      <c r="J8603" s="81" t="s">
        <v>6582</v>
      </c>
    </row>
    <row r="8604">
      <c r="A8604" s="83" t="s">
        <v>6773</v>
      </c>
      <c r="B8604" s="83" t="s">
        <v>6774</v>
      </c>
      <c r="C8604" s="81" t="s">
        <v>4082</v>
      </c>
      <c r="D8604" s="81" t="s">
        <v>224</v>
      </c>
      <c r="E8604" s="81" t="s">
        <v>6583</v>
      </c>
      <c r="F8604" s="81" t="s">
        <v>224</v>
      </c>
      <c r="G8604" s="81" t="s">
        <v>224</v>
      </c>
      <c r="H8604" s="81" t="s">
        <v>224</v>
      </c>
      <c r="I8604" s="81" t="s">
        <v>224</v>
      </c>
      <c r="J8604" s="81" t="s">
        <v>6582</v>
      </c>
    </row>
    <row r="8605">
      <c r="A8605" s="83" t="s">
        <v>6773</v>
      </c>
      <c r="B8605" s="83" t="s">
        <v>6774</v>
      </c>
      <c r="C8605" s="81" t="s">
        <v>4082</v>
      </c>
      <c r="D8605" s="81" t="s">
        <v>224</v>
      </c>
      <c r="E8605" s="81" t="s">
        <v>6584</v>
      </c>
      <c r="F8605" s="81" t="s">
        <v>224</v>
      </c>
      <c r="G8605" s="81" t="s">
        <v>224</v>
      </c>
      <c r="H8605" s="81" t="s">
        <v>224</v>
      </c>
      <c r="I8605" s="81" t="s">
        <v>224</v>
      </c>
      <c r="J8605" s="81" t="s">
        <v>6585</v>
      </c>
    </row>
    <row r="8606">
      <c r="A8606" s="83" t="s">
        <v>6773</v>
      </c>
      <c r="B8606" s="83" t="s">
        <v>6774</v>
      </c>
      <c r="C8606" s="81" t="s">
        <v>4082</v>
      </c>
      <c r="D8606" s="81" t="s">
        <v>224</v>
      </c>
      <c r="E8606" s="81" t="s">
        <v>6586</v>
      </c>
      <c r="F8606" s="81" t="s">
        <v>224</v>
      </c>
      <c r="G8606" s="81" t="s">
        <v>224</v>
      </c>
      <c r="H8606" s="81" t="s">
        <v>224</v>
      </c>
      <c r="I8606" s="81" t="s">
        <v>224</v>
      </c>
      <c r="J8606" s="81" t="s">
        <v>6585</v>
      </c>
    </row>
    <row r="8607">
      <c r="A8607" s="83" t="s">
        <v>6773</v>
      </c>
      <c r="B8607" s="83" t="s">
        <v>6774</v>
      </c>
      <c r="C8607" s="81" t="s">
        <v>4082</v>
      </c>
      <c r="D8607" s="81" t="s">
        <v>224</v>
      </c>
      <c r="E8607" s="81" t="s">
        <v>6587</v>
      </c>
      <c r="F8607" s="81" t="s">
        <v>224</v>
      </c>
      <c r="G8607" s="81" t="s">
        <v>224</v>
      </c>
      <c r="H8607" s="81" t="s">
        <v>224</v>
      </c>
      <c r="I8607" s="81" t="s">
        <v>224</v>
      </c>
      <c r="J8607" s="81" t="s">
        <v>6588</v>
      </c>
    </row>
    <row r="8608">
      <c r="A8608" s="83" t="s">
        <v>6773</v>
      </c>
      <c r="B8608" s="83" t="s">
        <v>6774</v>
      </c>
      <c r="C8608" s="81" t="s">
        <v>4082</v>
      </c>
      <c r="D8608" s="81" t="s">
        <v>224</v>
      </c>
      <c r="E8608" s="81" t="s">
        <v>6589</v>
      </c>
      <c r="F8608" s="81" t="s">
        <v>224</v>
      </c>
      <c r="G8608" s="81" t="s">
        <v>224</v>
      </c>
      <c r="H8608" s="81" t="s">
        <v>224</v>
      </c>
      <c r="I8608" s="81" t="s">
        <v>224</v>
      </c>
      <c r="J8608" s="81" t="s">
        <v>6588</v>
      </c>
    </row>
    <row r="8609">
      <c r="A8609" s="83" t="s">
        <v>6773</v>
      </c>
      <c r="B8609" s="83" t="s">
        <v>6774</v>
      </c>
      <c r="C8609" s="81" t="s">
        <v>4082</v>
      </c>
      <c r="D8609" s="81" t="s">
        <v>224</v>
      </c>
      <c r="E8609" s="81" t="s">
        <v>224</v>
      </c>
      <c r="F8609" s="81" t="s">
        <v>224</v>
      </c>
      <c r="G8609" s="81" t="s">
        <v>224</v>
      </c>
      <c r="H8609" s="81" t="s">
        <v>224</v>
      </c>
      <c r="I8609" s="81" t="s">
        <v>224</v>
      </c>
      <c r="J8609" s="81" t="s">
        <v>6772</v>
      </c>
    </row>
    <row r="8610">
      <c r="A8610" s="83" t="s">
        <v>6773</v>
      </c>
      <c r="B8610" s="83" t="s">
        <v>6774</v>
      </c>
      <c r="C8610" s="81" t="s">
        <v>4082</v>
      </c>
      <c r="D8610" s="83" t="s">
        <v>4201</v>
      </c>
      <c r="E8610" s="81" t="s">
        <v>754</v>
      </c>
      <c r="F8610" s="81">
        <v>127.0</v>
      </c>
      <c r="G8610" s="81" t="s">
        <v>39</v>
      </c>
      <c r="H8610" s="81" t="s">
        <v>224</v>
      </c>
      <c r="I8610" s="81" t="s">
        <v>224</v>
      </c>
      <c r="J8610" s="81" t="s">
        <v>5311</v>
      </c>
    </row>
    <row r="8611">
      <c r="A8611" s="83" t="s">
        <v>6773</v>
      </c>
      <c r="B8611" s="83" t="s">
        <v>6774</v>
      </c>
      <c r="C8611" s="81" t="s">
        <v>4082</v>
      </c>
      <c r="D8611" s="83" t="s">
        <v>4208</v>
      </c>
      <c r="E8611" s="81" t="s">
        <v>786</v>
      </c>
      <c r="F8611" s="81">
        <v>134.0</v>
      </c>
      <c r="G8611" s="81" t="s">
        <v>39</v>
      </c>
      <c r="H8611" s="81" t="s">
        <v>224</v>
      </c>
      <c r="I8611" s="81" t="s">
        <v>224</v>
      </c>
      <c r="J8611" s="81" t="s">
        <v>5322</v>
      </c>
    </row>
    <row r="8612">
      <c r="A8612" s="83" t="s">
        <v>6773</v>
      </c>
      <c r="B8612" s="83" t="s">
        <v>6774</v>
      </c>
      <c r="C8612" s="81" t="s">
        <v>4082</v>
      </c>
      <c r="D8612" s="83" t="s">
        <v>4211</v>
      </c>
      <c r="E8612" s="81" t="s">
        <v>798</v>
      </c>
      <c r="F8612" s="81">
        <v>137.0</v>
      </c>
      <c r="G8612" s="81" t="s">
        <v>39</v>
      </c>
      <c r="H8612" s="81" t="s">
        <v>224</v>
      </c>
      <c r="I8612" s="81" t="s">
        <v>224</v>
      </c>
      <c r="J8612" s="81" t="s">
        <v>5327</v>
      </c>
    </row>
    <row r="8613">
      <c r="A8613" s="83" t="s">
        <v>6773</v>
      </c>
      <c r="B8613" s="83" t="s">
        <v>6774</v>
      </c>
      <c r="C8613" s="81" t="s">
        <v>4082</v>
      </c>
      <c r="D8613" s="83" t="s">
        <v>4212</v>
      </c>
      <c r="E8613" s="81" t="s">
        <v>804</v>
      </c>
      <c r="F8613" s="81">
        <v>138.0</v>
      </c>
      <c r="G8613" s="81" t="s">
        <v>39</v>
      </c>
      <c r="H8613" s="81" t="s">
        <v>224</v>
      </c>
      <c r="I8613" s="81" t="s">
        <v>224</v>
      </c>
      <c r="J8613" s="81" t="s">
        <v>5330</v>
      </c>
    </row>
    <row r="8614">
      <c r="A8614" s="83" t="s">
        <v>6773</v>
      </c>
      <c r="B8614" s="83" t="s">
        <v>6774</v>
      </c>
      <c r="C8614" s="81" t="s">
        <v>4082</v>
      </c>
      <c r="D8614" s="83" t="s">
        <v>4238</v>
      </c>
      <c r="E8614" s="81" t="s">
        <v>918</v>
      </c>
      <c r="F8614" s="81">
        <v>163.0</v>
      </c>
      <c r="G8614" s="81" t="s">
        <v>41</v>
      </c>
      <c r="H8614" s="81" t="s">
        <v>924</v>
      </c>
      <c r="I8614" s="81" t="s">
        <v>224</v>
      </c>
      <c r="J8614" s="81" t="s">
        <v>6344</v>
      </c>
    </row>
    <row r="8615">
      <c r="A8615" s="83" t="s">
        <v>6773</v>
      </c>
      <c r="B8615" s="83" t="s">
        <v>6774</v>
      </c>
      <c r="C8615" s="81" t="s">
        <v>4082</v>
      </c>
      <c r="D8615" s="83" t="s">
        <v>4267</v>
      </c>
      <c r="E8615" s="81" t="s">
        <v>1050</v>
      </c>
      <c r="F8615" s="81">
        <v>199.0</v>
      </c>
      <c r="G8615" s="81" t="s">
        <v>41</v>
      </c>
      <c r="H8615" s="81" t="s">
        <v>1051</v>
      </c>
      <c r="I8615" s="81" t="s">
        <v>224</v>
      </c>
      <c r="J8615" s="81" t="s">
        <v>6345</v>
      </c>
    </row>
    <row r="8616">
      <c r="A8616" s="83" t="s">
        <v>6773</v>
      </c>
      <c r="B8616" s="83" t="s">
        <v>6774</v>
      </c>
      <c r="C8616" s="81" t="s">
        <v>6333</v>
      </c>
      <c r="D8616" s="83" t="s">
        <v>4285</v>
      </c>
      <c r="E8616" s="81" t="s">
        <v>1133</v>
      </c>
      <c r="F8616" s="81">
        <v>225.0</v>
      </c>
      <c r="G8616" s="81" t="s">
        <v>43</v>
      </c>
      <c r="H8616" s="81" t="s">
        <v>6748</v>
      </c>
      <c r="I8616" s="81" t="s">
        <v>224</v>
      </c>
      <c r="J8616" s="81" t="s">
        <v>6749</v>
      </c>
    </row>
    <row r="8617">
      <c r="A8617" s="83" t="s">
        <v>6773</v>
      </c>
      <c r="B8617" s="83" t="s">
        <v>6774</v>
      </c>
      <c r="C8617" s="81" t="s">
        <v>6333</v>
      </c>
      <c r="D8617" s="83" t="s">
        <v>4287</v>
      </c>
      <c r="E8617" s="81" t="s">
        <v>1138</v>
      </c>
      <c r="F8617" s="81">
        <v>226.0</v>
      </c>
      <c r="G8617" s="81" t="s">
        <v>43</v>
      </c>
      <c r="H8617" s="81" t="s">
        <v>6750</v>
      </c>
      <c r="I8617" s="81" t="s">
        <v>224</v>
      </c>
      <c r="J8617" s="81" t="s">
        <v>6749</v>
      </c>
    </row>
    <row r="8618">
      <c r="A8618" s="83" t="s">
        <v>6773</v>
      </c>
      <c r="B8618" s="83" t="s">
        <v>6774</v>
      </c>
      <c r="C8618" s="81" t="s">
        <v>6333</v>
      </c>
      <c r="D8618" s="83" t="s">
        <v>4289</v>
      </c>
      <c r="E8618" s="81" t="s">
        <v>1142</v>
      </c>
      <c r="F8618" s="81">
        <v>227.0</v>
      </c>
      <c r="G8618" s="81" t="s">
        <v>43</v>
      </c>
      <c r="H8618" s="81" t="s">
        <v>6750</v>
      </c>
      <c r="I8618" s="81" t="s">
        <v>224</v>
      </c>
      <c r="J8618" s="81" t="s">
        <v>6749</v>
      </c>
    </row>
    <row r="8619">
      <c r="A8619" s="83" t="s">
        <v>6773</v>
      </c>
      <c r="B8619" s="83" t="s">
        <v>6774</v>
      </c>
      <c r="C8619" s="81" t="s">
        <v>4082</v>
      </c>
      <c r="D8619" s="83" t="s">
        <v>4304</v>
      </c>
      <c r="E8619" s="81" t="s">
        <v>1232</v>
      </c>
      <c r="F8619" s="81">
        <v>244.0</v>
      </c>
      <c r="G8619" s="81" t="s">
        <v>41</v>
      </c>
      <c r="H8619" s="81" t="s">
        <v>1233</v>
      </c>
      <c r="I8619" s="81" t="s">
        <v>224</v>
      </c>
      <c r="J8619" s="81" t="s">
        <v>6346</v>
      </c>
    </row>
    <row r="8620">
      <c r="A8620" s="83" t="s">
        <v>6773</v>
      </c>
      <c r="B8620" s="83" t="s">
        <v>6774</v>
      </c>
      <c r="C8620" s="81" t="s">
        <v>4082</v>
      </c>
      <c r="D8620" s="83" t="s">
        <v>4306</v>
      </c>
      <c r="E8620" s="81" t="s">
        <v>1237</v>
      </c>
      <c r="F8620" s="81">
        <v>246.0</v>
      </c>
      <c r="G8620" s="81" t="s">
        <v>41</v>
      </c>
      <c r="H8620" s="81" t="s">
        <v>1237</v>
      </c>
      <c r="I8620" s="81" t="s">
        <v>224</v>
      </c>
      <c r="J8620" s="81" t="s">
        <v>6347</v>
      </c>
    </row>
    <row r="8621">
      <c r="A8621" s="83" t="s">
        <v>6773</v>
      </c>
      <c r="B8621" s="83" t="s">
        <v>6774</v>
      </c>
      <c r="C8621" s="81" t="s">
        <v>4082</v>
      </c>
      <c r="D8621" s="83" t="s">
        <v>4316</v>
      </c>
      <c r="E8621" s="81" t="s">
        <v>1313</v>
      </c>
      <c r="F8621" s="81">
        <v>256.0</v>
      </c>
      <c r="G8621" s="81" t="s">
        <v>39</v>
      </c>
      <c r="H8621" s="81" t="s">
        <v>224</v>
      </c>
      <c r="I8621" s="81" t="s">
        <v>224</v>
      </c>
      <c r="J8621" s="81" t="s">
        <v>5515</v>
      </c>
    </row>
    <row r="8622">
      <c r="A8622" s="83" t="s">
        <v>6773</v>
      </c>
      <c r="B8622" s="83" t="s">
        <v>6774</v>
      </c>
      <c r="C8622" s="81" t="s">
        <v>4082</v>
      </c>
      <c r="D8622" s="83" t="s">
        <v>4351</v>
      </c>
      <c r="E8622" s="81" t="s">
        <v>1470</v>
      </c>
      <c r="F8622" s="81">
        <v>283.0</v>
      </c>
      <c r="G8622" s="81" t="s">
        <v>41</v>
      </c>
      <c r="H8622" s="81" t="s">
        <v>55</v>
      </c>
      <c r="I8622" s="81" t="s">
        <v>224</v>
      </c>
      <c r="J8622" s="81" t="s">
        <v>6426</v>
      </c>
    </row>
    <row r="8623">
      <c r="A8623" s="83" t="s">
        <v>6773</v>
      </c>
      <c r="B8623" s="83" t="s">
        <v>6774</v>
      </c>
      <c r="C8623" s="81" t="s">
        <v>4082</v>
      </c>
      <c r="D8623" s="83" t="s">
        <v>4351</v>
      </c>
      <c r="E8623" s="81" t="s">
        <v>1474</v>
      </c>
      <c r="F8623" s="81">
        <v>284.0</v>
      </c>
      <c r="G8623" s="81" t="s">
        <v>41</v>
      </c>
      <c r="H8623" s="81" t="s">
        <v>1476</v>
      </c>
      <c r="I8623" s="81" t="s">
        <v>224</v>
      </c>
      <c r="J8623" s="81" t="s">
        <v>6348</v>
      </c>
    </row>
    <row r="8624">
      <c r="A8624" s="83" t="s">
        <v>6773</v>
      </c>
      <c r="B8624" s="83" t="s">
        <v>6774</v>
      </c>
      <c r="C8624" s="81" t="s">
        <v>4082</v>
      </c>
      <c r="D8624" s="83" t="s">
        <v>4363</v>
      </c>
      <c r="E8624" s="81" t="s">
        <v>1548</v>
      </c>
      <c r="F8624" s="81">
        <v>299.0</v>
      </c>
      <c r="G8624" s="81" t="s">
        <v>41</v>
      </c>
      <c r="H8624" s="81" t="s">
        <v>1550</v>
      </c>
      <c r="I8624" s="81" t="s">
        <v>224</v>
      </c>
      <c r="J8624" s="81" t="s">
        <v>6349</v>
      </c>
    </row>
    <row r="8625">
      <c r="A8625" s="83" t="s">
        <v>6773</v>
      </c>
      <c r="B8625" s="83" t="s">
        <v>6774</v>
      </c>
      <c r="C8625" s="81" t="s">
        <v>4082</v>
      </c>
      <c r="D8625" s="83" t="s">
        <v>4380</v>
      </c>
      <c r="E8625" s="81" t="s">
        <v>1617</v>
      </c>
      <c r="F8625" s="81">
        <v>319.0</v>
      </c>
      <c r="G8625" s="81" t="s">
        <v>39</v>
      </c>
      <c r="H8625" s="81" t="s">
        <v>224</v>
      </c>
      <c r="I8625" s="81" t="s">
        <v>224</v>
      </c>
      <c r="J8625" s="81" t="s">
        <v>5616</v>
      </c>
    </row>
    <row r="8626">
      <c r="A8626" s="83" t="s">
        <v>6773</v>
      </c>
      <c r="B8626" s="83" t="s">
        <v>6774</v>
      </c>
      <c r="C8626" s="81" t="s">
        <v>4621</v>
      </c>
      <c r="D8626" s="83" t="s">
        <v>4382</v>
      </c>
      <c r="E8626" s="81" t="s">
        <v>1623</v>
      </c>
      <c r="F8626" s="81">
        <v>321.0</v>
      </c>
      <c r="G8626" s="81" t="s">
        <v>42</v>
      </c>
      <c r="H8626" s="81" t="s">
        <v>224</v>
      </c>
      <c r="I8626" s="81" t="s">
        <v>1321</v>
      </c>
      <c r="J8626" s="81" t="s">
        <v>224</v>
      </c>
    </row>
    <row r="8627">
      <c r="A8627" s="83" t="s">
        <v>6773</v>
      </c>
      <c r="B8627" s="83" t="s">
        <v>6774</v>
      </c>
      <c r="C8627" s="81" t="s">
        <v>4082</v>
      </c>
      <c r="D8627" s="83" t="s">
        <v>4389</v>
      </c>
      <c r="E8627" s="81" t="s">
        <v>1678</v>
      </c>
      <c r="F8627" s="81">
        <v>332.0</v>
      </c>
      <c r="G8627" s="81" t="s">
        <v>41</v>
      </c>
      <c r="H8627" s="81" t="s">
        <v>1670</v>
      </c>
      <c r="I8627" s="81" t="s">
        <v>224</v>
      </c>
      <c r="J8627" s="81" t="s">
        <v>6350</v>
      </c>
    </row>
    <row r="8628">
      <c r="A8628" s="83" t="s">
        <v>6773</v>
      </c>
      <c r="B8628" s="83" t="s">
        <v>6774</v>
      </c>
      <c r="C8628" s="81" t="s">
        <v>4082</v>
      </c>
      <c r="D8628" s="83" t="s">
        <v>4391</v>
      </c>
      <c r="E8628" s="81" t="s">
        <v>1682</v>
      </c>
      <c r="F8628" s="81">
        <v>334.0</v>
      </c>
      <c r="G8628" s="81" t="s">
        <v>41</v>
      </c>
      <c r="H8628" s="81" t="s">
        <v>1687</v>
      </c>
      <c r="I8628" s="81" t="s">
        <v>224</v>
      </c>
      <c r="J8628" s="81" t="s">
        <v>6351</v>
      </c>
    </row>
    <row r="8629">
      <c r="A8629" s="83" t="s">
        <v>6773</v>
      </c>
      <c r="B8629" s="83" t="s">
        <v>6774</v>
      </c>
      <c r="C8629" s="81" t="s">
        <v>4082</v>
      </c>
      <c r="D8629" s="83" t="s">
        <v>4393</v>
      </c>
      <c r="E8629" s="81" t="s">
        <v>1690</v>
      </c>
      <c r="F8629" s="81">
        <v>335.0</v>
      </c>
      <c r="G8629" s="81" t="s">
        <v>41</v>
      </c>
      <c r="H8629" s="81" t="s">
        <v>1694</v>
      </c>
      <c r="I8629" s="81" t="s">
        <v>224</v>
      </c>
      <c r="J8629" s="81" t="s">
        <v>6352</v>
      </c>
    </row>
    <row r="8630">
      <c r="A8630" s="83" t="s">
        <v>6773</v>
      </c>
      <c r="B8630" s="83" t="s">
        <v>6774</v>
      </c>
      <c r="C8630" s="81" t="s">
        <v>4621</v>
      </c>
      <c r="D8630" s="83" t="s">
        <v>4395</v>
      </c>
      <c r="E8630" s="81" t="s">
        <v>1702</v>
      </c>
      <c r="F8630" s="81">
        <v>337.0</v>
      </c>
      <c r="G8630" s="81" t="s">
        <v>42</v>
      </c>
      <c r="H8630" s="81" t="s">
        <v>1171</v>
      </c>
      <c r="I8630" s="81" t="s">
        <v>1705</v>
      </c>
      <c r="J8630" s="81" t="s">
        <v>224</v>
      </c>
    </row>
    <row r="8631">
      <c r="A8631" s="83" t="s">
        <v>6773</v>
      </c>
      <c r="B8631" s="83" t="s">
        <v>6774</v>
      </c>
      <c r="C8631" s="81" t="s">
        <v>4621</v>
      </c>
      <c r="D8631" s="83" t="s">
        <v>4395</v>
      </c>
      <c r="E8631" s="81" t="s">
        <v>1706</v>
      </c>
      <c r="F8631" s="81">
        <v>338.0</v>
      </c>
      <c r="G8631" s="81" t="s">
        <v>42</v>
      </c>
      <c r="H8631" s="81" t="s">
        <v>1171</v>
      </c>
      <c r="I8631" s="81" t="s">
        <v>1705</v>
      </c>
      <c r="J8631" s="81" t="s">
        <v>224</v>
      </c>
    </row>
    <row r="8632">
      <c r="A8632" s="83" t="s">
        <v>6773</v>
      </c>
      <c r="B8632" s="83" t="s">
        <v>6774</v>
      </c>
      <c r="C8632" s="81" t="s">
        <v>4082</v>
      </c>
      <c r="D8632" s="83" t="s">
        <v>4406</v>
      </c>
      <c r="E8632" s="81" t="s">
        <v>1760</v>
      </c>
      <c r="F8632" s="81">
        <v>350.0</v>
      </c>
      <c r="G8632" s="81" t="s">
        <v>41</v>
      </c>
      <c r="H8632" s="81" t="s">
        <v>1761</v>
      </c>
      <c r="I8632" s="81" t="s">
        <v>224</v>
      </c>
      <c r="J8632" s="81" t="s">
        <v>6353</v>
      </c>
    </row>
    <row r="8633">
      <c r="A8633" s="83" t="s">
        <v>6773</v>
      </c>
      <c r="B8633" s="83" t="s">
        <v>6774</v>
      </c>
      <c r="C8633" s="81" t="s">
        <v>4621</v>
      </c>
      <c r="D8633" s="83" t="s">
        <v>4411</v>
      </c>
      <c r="E8633" s="81" t="s">
        <v>1775</v>
      </c>
      <c r="F8633" s="81">
        <v>355.0</v>
      </c>
      <c r="G8633" s="81" t="s">
        <v>42</v>
      </c>
      <c r="H8633" s="81" t="s">
        <v>6372</v>
      </c>
      <c r="I8633" s="81" t="s">
        <v>1785</v>
      </c>
      <c r="J8633" s="81" t="s">
        <v>224</v>
      </c>
    </row>
    <row r="8634">
      <c r="A8634" s="83" t="s">
        <v>6773</v>
      </c>
      <c r="B8634" s="83" t="s">
        <v>6774</v>
      </c>
      <c r="C8634" s="81" t="s">
        <v>4621</v>
      </c>
      <c r="D8634" s="83" t="s">
        <v>4411</v>
      </c>
      <c r="E8634" s="81" t="s">
        <v>1789</v>
      </c>
      <c r="F8634" s="81">
        <v>356.0</v>
      </c>
      <c r="G8634" s="81" t="s">
        <v>42</v>
      </c>
      <c r="H8634" s="81" t="s">
        <v>6372</v>
      </c>
      <c r="I8634" s="81" t="s">
        <v>1785</v>
      </c>
      <c r="J8634" s="81" t="s">
        <v>224</v>
      </c>
    </row>
    <row r="8635">
      <c r="A8635" s="83" t="s">
        <v>6773</v>
      </c>
      <c r="B8635" s="83" t="s">
        <v>6774</v>
      </c>
      <c r="C8635" s="81" t="s">
        <v>4621</v>
      </c>
      <c r="D8635" s="83" t="s">
        <v>4412</v>
      </c>
      <c r="E8635" s="81" t="s">
        <v>1790</v>
      </c>
      <c r="F8635" s="81">
        <v>357.0</v>
      </c>
      <c r="G8635" s="81" t="s">
        <v>42</v>
      </c>
      <c r="H8635" s="81" t="s">
        <v>6372</v>
      </c>
      <c r="I8635" s="81" t="s">
        <v>1785</v>
      </c>
      <c r="J8635" s="81" t="s">
        <v>224</v>
      </c>
    </row>
    <row r="8636">
      <c r="A8636" s="83" t="s">
        <v>6773</v>
      </c>
      <c r="B8636" s="83" t="s">
        <v>6774</v>
      </c>
      <c r="C8636" s="81" t="s">
        <v>4621</v>
      </c>
      <c r="D8636" s="83" t="s">
        <v>4417</v>
      </c>
      <c r="E8636" s="81" t="s">
        <v>1825</v>
      </c>
      <c r="F8636" s="81">
        <v>363.0</v>
      </c>
      <c r="G8636" s="81" t="s">
        <v>43</v>
      </c>
      <c r="H8636" s="81" t="s">
        <v>6752</v>
      </c>
      <c r="I8636" s="81" t="s">
        <v>1839</v>
      </c>
      <c r="J8636" s="81" t="s">
        <v>224</v>
      </c>
    </row>
    <row r="8637">
      <c r="A8637" s="83" t="s">
        <v>6773</v>
      </c>
      <c r="B8637" s="83" t="s">
        <v>6774</v>
      </c>
      <c r="C8637" s="81" t="s">
        <v>4621</v>
      </c>
      <c r="D8637" s="83" t="s">
        <v>4417</v>
      </c>
      <c r="E8637" s="81" t="s">
        <v>1842</v>
      </c>
      <c r="F8637" s="81">
        <v>364.0</v>
      </c>
      <c r="G8637" s="81" t="s">
        <v>43</v>
      </c>
      <c r="H8637" s="81" t="s">
        <v>6752</v>
      </c>
      <c r="I8637" s="81" t="s">
        <v>1839</v>
      </c>
      <c r="J8637" s="81" t="s">
        <v>224</v>
      </c>
    </row>
    <row r="8638">
      <c r="A8638" s="83" t="s">
        <v>6773</v>
      </c>
      <c r="B8638" s="83" t="s">
        <v>6774</v>
      </c>
      <c r="C8638" s="81" t="s">
        <v>4621</v>
      </c>
      <c r="D8638" s="83" t="s">
        <v>4419</v>
      </c>
      <c r="E8638" s="81" t="s">
        <v>1843</v>
      </c>
      <c r="F8638" s="81">
        <v>365.0</v>
      </c>
      <c r="G8638" s="81" t="s">
        <v>43</v>
      </c>
      <c r="H8638" s="81" t="s">
        <v>6752</v>
      </c>
      <c r="I8638" s="81" t="s">
        <v>1839</v>
      </c>
      <c r="J8638" s="81" t="s">
        <v>224</v>
      </c>
    </row>
    <row r="8639">
      <c r="A8639" s="83" t="s">
        <v>6773</v>
      </c>
      <c r="B8639" s="83" t="s">
        <v>6774</v>
      </c>
      <c r="C8639" s="81" t="s">
        <v>4621</v>
      </c>
      <c r="D8639" s="83" t="s">
        <v>4420</v>
      </c>
      <c r="E8639" s="81" t="s">
        <v>1844</v>
      </c>
      <c r="F8639" s="81">
        <v>366.0</v>
      </c>
      <c r="G8639" s="81" t="s">
        <v>43</v>
      </c>
      <c r="H8639" s="81" t="s">
        <v>6753</v>
      </c>
      <c r="I8639" s="81" t="s">
        <v>1847</v>
      </c>
      <c r="J8639" s="81" t="s">
        <v>224</v>
      </c>
    </row>
    <row r="8640">
      <c r="A8640" s="83" t="s">
        <v>6773</v>
      </c>
      <c r="B8640" s="83" t="s">
        <v>6774</v>
      </c>
      <c r="C8640" s="81" t="s">
        <v>4621</v>
      </c>
      <c r="D8640" s="83" t="s">
        <v>4421</v>
      </c>
      <c r="E8640" s="81" t="s">
        <v>1848</v>
      </c>
      <c r="F8640" s="81">
        <v>367.0</v>
      </c>
      <c r="G8640" s="81" t="s">
        <v>43</v>
      </c>
      <c r="H8640" s="81" t="s">
        <v>6753</v>
      </c>
      <c r="I8640" s="81" t="s">
        <v>1847</v>
      </c>
      <c r="J8640" s="81" t="s">
        <v>224</v>
      </c>
    </row>
    <row r="8641">
      <c r="A8641" s="83" t="s">
        <v>6773</v>
      </c>
      <c r="B8641" s="83" t="s">
        <v>6774</v>
      </c>
      <c r="C8641" s="81" t="s">
        <v>4621</v>
      </c>
      <c r="D8641" s="83" t="s">
        <v>4422</v>
      </c>
      <c r="E8641" s="81" t="s">
        <v>1849</v>
      </c>
      <c r="F8641" s="81">
        <v>368.0</v>
      </c>
      <c r="G8641" s="81" t="s">
        <v>43</v>
      </c>
      <c r="H8641" s="81" t="s">
        <v>6754</v>
      </c>
      <c r="I8641" s="81" t="s">
        <v>1857</v>
      </c>
      <c r="J8641" s="81" t="s">
        <v>224</v>
      </c>
    </row>
    <row r="8642">
      <c r="A8642" s="83" t="s">
        <v>6773</v>
      </c>
      <c r="B8642" s="83" t="s">
        <v>6774</v>
      </c>
      <c r="C8642" s="81" t="s">
        <v>4621</v>
      </c>
      <c r="D8642" s="83" t="s">
        <v>4423</v>
      </c>
      <c r="E8642" s="81" t="s">
        <v>1860</v>
      </c>
      <c r="F8642" s="81">
        <v>369.0</v>
      </c>
      <c r="G8642" s="81" t="s">
        <v>43</v>
      </c>
      <c r="H8642" s="81" t="s">
        <v>6754</v>
      </c>
      <c r="I8642" s="81" t="s">
        <v>1857</v>
      </c>
      <c r="J8642" s="81" t="s">
        <v>224</v>
      </c>
    </row>
    <row r="8643">
      <c r="A8643" s="83" t="s">
        <v>6773</v>
      </c>
      <c r="B8643" s="83" t="s">
        <v>6774</v>
      </c>
      <c r="C8643" s="81" t="s">
        <v>4621</v>
      </c>
      <c r="D8643" s="83" t="s">
        <v>4424</v>
      </c>
      <c r="E8643" s="81" t="s">
        <v>1861</v>
      </c>
      <c r="F8643" s="81">
        <v>370.0</v>
      </c>
      <c r="G8643" s="81" t="s">
        <v>43</v>
      </c>
      <c r="H8643" s="81" t="s">
        <v>6755</v>
      </c>
      <c r="I8643" s="81" t="s">
        <v>1862</v>
      </c>
      <c r="J8643" s="81" t="s">
        <v>224</v>
      </c>
    </row>
    <row r="8644">
      <c r="A8644" s="83" t="s">
        <v>6773</v>
      </c>
      <c r="B8644" s="83" t="s">
        <v>6774</v>
      </c>
      <c r="C8644" s="81" t="s">
        <v>4621</v>
      </c>
      <c r="D8644" s="83" t="s">
        <v>4425</v>
      </c>
      <c r="E8644" s="81" t="s">
        <v>1863</v>
      </c>
      <c r="F8644" s="81">
        <v>371.0</v>
      </c>
      <c r="G8644" s="81" t="s">
        <v>43</v>
      </c>
      <c r="H8644" s="81" t="s">
        <v>6755</v>
      </c>
      <c r="I8644" s="81" t="s">
        <v>1862</v>
      </c>
      <c r="J8644" s="81" t="s">
        <v>224</v>
      </c>
    </row>
    <row r="8645">
      <c r="A8645" s="83" t="s">
        <v>6773</v>
      </c>
      <c r="B8645" s="83" t="s">
        <v>6774</v>
      </c>
      <c r="C8645" s="81" t="s">
        <v>4621</v>
      </c>
      <c r="D8645" s="83" t="s">
        <v>4426</v>
      </c>
      <c r="E8645" s="81" t="s">
        <v>1864</v>
      </c>
      <c r="F8645" s="81">
        <v>372.0</v>
      </c>
      <c r="G8645" s="81" t="s">
        <v>43</v>
      </c>
      <c r="H8645" s="81" t="s">
        <v>6756</v>
      </c>
      <c r="I8645" s="81" t="s">
        <v>1871</v>
      </c>
      <c r="J8645" s="81" t="s">
        <v>224</v>
      </c>
    </row>
    <row r="8646">
      <c r="A8646" s="83" t="s">
        <v>6773</v>
      </c>
      <c r="B8646" s="83" t="s">
        <v>6774</v>
      </c>
      <c r="C8646" s="81" t="s">
        <v>4082</v>
      </c>
      <c r="D8646" s="83" t="s">
        <v>4429</v>
      </c>
      <c r="E8646" s="81" t="s">
        <v>1900</v>
      </c>
      <c r="F8646" s="81">
        <v>375.0</v>
      </c>
      <c r="G8646" s="81" t="s">
        <v>39</v>
      </c>
      <c r="H8646" s="81" t="s">
        <v>224</v>
      </c>
      <c r="I8646" s="81" t="s">
        <v>224</v>
      </c>
      <c r="J8646" s="81" t="s">
        <v>5711</v>
      </c>
    </row>
    <row r="8647">
      <c r="A8647" s="83" t="s">
        <v>6773</v>
      </c>
      <c r="B8647" s="83" t="s">
        <v>6774</v>
      </c>
      <c r="C8647" s="81" t="s">
        <v>4621</v>
      </c>
      <c r="D8647" s="83" t="s">
        <v>4435</v>
      </c>
      <c r="E8647" s="81" t="s">
        <v>1974</v>
      </c>
      <c r="F8647" s="81">
        <v>385.0</v>
      </c>
      <c r="G8647" s="81" t="s">
        <v>42</v>
      </c>
      <c r="H8647" s="81" t="s">
        <v>6375</v>
      </c>
      <c r="I8647" s="81" t="s">
        <v>1983</v>
      </c>
      <c r="J8647" s="81" t="s">
        <v>224</v>
      </c>
    </row>
    <row r="8648">
      <c r="A8648" s="83" t="s">
        <v>6773</v>
      </c>
      <c r="B8648" s="83" t="s">
        <v>6774</v>
      </c>
      <c r="C8648" s="81" t="s">
        <v>4621</v>
      </c>
      <c r="D8648" s="83" t="s">
        <v>4435</v>
      </c>
      <c r="E8648" s="81" t="s">
        <v>1987</v>
      </c>
      <c r="F8648" s="81">
        <v>386.0</v>
      </c>
      <c r="G8648" s="81" t="s">
        <v>42</v>
      </c>
      <c r="H8648" s="81" t="s">
        <v>6375</v>
      </c>
      <c r="I8648" s="81" t="s">
        <v>1983</v>
      </c>
      <c r="J8648" s="81" t="s">
        <v>224</v>
      </c>
    </row>
    <row r="8649">
      <c r="A8649" s="83" t="s">
        <v>6773</v>
      </c>
      <c r="B8649" s="83" t="s">
        <v>6774</v>
      </c>
      <c r="C8649" s="81" t="s">
        <v>4621</v>
      </c>
      <c r="D8649" s="83" t="s">
        <v>4436</v>
      </c>
      <c r="E8649" s="81" t="s">
        <v>1989</v>
      </c>
      <c r="F8649" s="81">
        <v>387.0</v>
      </c>
      <c r="G8649" s="81" t="s">
        <v>42</v>
      </c>
      <c r="H8649" s="81" t="s">
        <v>6375</v>
      </c>
      <c r="I8649" s="81" t="s">
        <v>1993</v>
      </c>
      <c r="J8649" s="81" t="s">
        <v>224</v>
      </c>
    </row>
    <row r="8650">
      <c r="A8650" s="83" t="s">
        <v>6773</v>
      </c>
      <c r="B8650" s="83" t="s">
        <v>6774</v>
      </c>
      <c r="C8650" s="81" t="s">
        <v>4082</v>
      </c>
      <c r="D8650" s="83" t="s">
        <v>4475</v>
      </c>
      <c r="E8650" s="81" t="s">
        <v>2225</v>
      </c>
      <c r="F8650" s="81">
        <v>426.0</v>
      </c>
      <c r="G8650" s="81" t="s">
        <v>41</v>
      </c>
      <c r="H8650" s="81" t="s">
        <v>2226</v>
      </c>
      <c r="I8650" s="81" t="s">
        <v>224</v>
      </c>
      <c r="J8650" s="81" t="s">
        <v>6354</v>
      </c>
    </row>
    <row r="8651">
      <c r="A8651" s="83" t="s">
        <v>6773</v>
      </c>
      <c r="B8651" s="83" t="s">
        <v>6774</v>
      </c>
      <c r="C8651" s="81" t="s">
        <v>4082</v>
      </c>
      <c r="D8651" s="83" t="s">
        <v>4490</v>
      </c>
      <c r="E8651" s="81" t="s">
        <v>2295</v>
      </c>
      <c r="F8651" s="81">
        <v>440.0</v>
      </c>
      <c r="G8651" s="81" t="s">
        <v>41</v>
      </c>
      <c r="H8651" s="81" t="s">
        <v>2296</v>
      </c>
      <c r="I8651" s="81" t="s">
        <v>224</v>
      </c>
      <c r="J8651" s="81" t="s">
        <v>6355</v>
      </c>
    </row>
    <row r="8652">
      <c r="A8652" s="83" t="s">
        <v>6773</v>
      </c>
      <c r="B8652" s="83" t="s">
        <v>6774</v>
      </c>
      <c r="C8652" s="81" t="s">
        <v>4621</v>
      </c>
      <c r="D8652" s="83" t="s">
        <v>4503</v>
      </c>
      <c r="E8652" s="81" t="s">
        <v>2334</v>
      </c>
      <c r="F8652" s="81">
        <v>452.0</v>
      </c>
      <c r="G8652" s="81" t="s">
        <v>43</v>
      </c>
      <c r="H8652" s="81" t="s">
        <v>6756</v>
      </c>
      <c r="I8652" s="81" t="s">
        <v>1871</v>
      </c>
      <c r="J8652" s="81" t="s">
        <v>224</v>
      </c>
    </row>
    <row r="8653">
      <c r="A8653" s="83" t="s">
        <v>6773</v>
      </c>
      <c r="B8653" s="83" t="s">
        <v>6774</v>
      </c>
      <c r="C8653" s="81" t="s">
        <v>4621</v>
      </c>
      <c r="D8653" s="83" t="s">
        <v>4504</v>
      </c>
      <c r="E8653" s="81" t="s">
        <v>2335</v>
      </c>
      <c r="F8653" s="81">
        <v>453.0</v>
      </c>
      <c r="G8653" s="81" t="s">
        <v>43</v>
      </c>
      <c r="H8653" s="81" t="s">
        <v>6757</v>
      </c>
      <c r="I8653" s="81" t="s">
        <v>2336</v>
      </c>
      <c r="J8653" s="81" t="s">
        <v>224</v>
      </c>
    </row>
    <row r="8654">
      <c r="A8654" s="83" t="s">
        <v>6773</v>
      </c>
      <c r="B8654" s="83" t="s">
        <v>6774</v>
      </c>
      <c r="C8654" s="81" t="s">
        <v>4621</v>
      </c>
      <c r="D8654" s="83" t="s">
        <v>4505</v>
      </c>
      <c r="E8654" s="81" t="s">
        <v>2337</v>
      </c>
      <c r="F8654" s="81">
        <v>454.0</v>
      </c>
      <c r="G8654" s="81" t="s">
        <v>43</v>
      </c>
      <c r="H8654" s="81" t="s">
        <v>6757</v>
      </c>
      <c r="I8654" s="81" t="s">
        <v>2336</v>
      </c>
      <c r="J8654" s="81" t="s">
        <v>224</v>
      </c>
    </row>
    <row r="8655">
      <c r="A8655" s="83" t="s">
        <v>6773</v>
      </c>
      <c r="B8655" s="83" t="s">
        <v>6774</v>
      </c>
      <c r="C8655" s="81" t="s">
        <v>4621</v>
      </c>
      <c r="D8655" s="83" t="s">
        <v>4532</v>
      </c>
      <c r="E8655" s="81" t="s">
        <v>2504</v>
      </c>
      <c r="F8655" s="81">
        <v>479.0</v>
      </c>
      <c r="G8655" s="81" t="s">
        <v>43</v>
      </c>
      <c r="H8655" s="81" t="s">
        <v>5865</v>
      </c>
      <c r="I8655" s="81" t="s">
        <v>2512</v>
      </c>
      <c r="J8655" s="81" t="s">
        <v>224</v>
      </c>
    </row>
    <row r="8656">
      <c r="A8656" s="83" t="s">
        <v>6773</v>
      </c>
      <c r="B8656" s="83" t="s">
        <v>6774</v>
      </c>
      <c r="C8656" s="81" t="s">
        <v>4621</v>
      </c>
      <c r="D8656" s="83" t="s">
        <v>4532</v>
      </c>
      <c r="E8656" s="81" t="s">
        <v>2515</v>
      </c>
      <c r="F8656" s="81">
        <v>480.0</v>
      </c>
      <c r="G8656" s="81" t="s">
        <v>43</v>
      </c>
      <c r="H8656" s="81" t="s">
        <v>5865</v>
      </c>
      <c r="I8656" s="81" t="s">
        <v>2512</v>
      </c>
      <c r="J8656" s="81" t="s">
        <v>224</v>
      </c>
    </row>
    <row r="8657">
      <c r="A8657" s="83" t="s">
        <v>6773</v>
      </c>
      <c r="B8657" s="83" t="s">
        <v>6774</v>
      </c>
      <c r="C8657" s="81" t="s">
        <v>4621</v>
      </c>
      <c r="D8657" s="83" t="s">
        <v>4534</v>
      </c>
      <c r="E8657" s="81" t="s">
        <v>2516</v>
      </c>
      <c r="F8657" s="81">
        <v>481.0</v>
      </c>
      <c r="G8657" s="81" t="s">
        <v>43</v>
      </c>
      <c r="H8657" s="81" t="s">
        <v>224</v>
      </c>
      <c r="I8657" s="81" t="s">
        <v>2512</v>
      </c>
      <c r="J8657" s="81" t="s">
        <v>224</v>
      </c>
    </row>
    <row r="8658">
      <c r="A8658" s="83" t="s">
        <v>6773</v>
      </c>
      <c r="B8658" s="83" t="s">
        <v>6774</v>
      </c>
      <c r="C8658" s="81" t="s">
        <v>4621</v>
      </c>
      <c r="D8658" s="83" t="s">
        <v>4540</v>
      </c>
      <c r="E8658" s="81" t="s">
        <v>2549</v>
      </c>
      <c r="F8658" s="81">
        <v>487.0</v>
      </c>
      <c r="G8658" s="81" t="s">
        <v>42</v>
      </c>
      <c r="H8658" s="81" t="s">
        <v>6380</v>
      </c>
      <c r="I8658" s="81" t="s">
        <v>2558</v>
      </c>
      <c r="J8658" s="81" t="s">
        <v>224</v>
      </c>
    </row>
    <row r="8659">
      <c r="A8659" s="83" t="s">
        <v>6773</v>
      </c>
      <c r="B8659" s="83" t="s">
        <v>6774</v>
      </c>
      <c r="C8659" s="81" t="s">
        <v>4621</v>
      </c>
      <c r="D8659" s="83" t="s">
        <v>4540</v>
      </c>
      <c r="E8659" s="81" t="s">
        <v>2562</v>
      </c>
      <c r="F8659" s="81">
        <v>488.0</v>
      </c>
      <c r="G8659" s="81" t="s">
        <v>42</v>
      </c>
      <c r="H8659" s="81" t="s">
        <v>6380</v>
      </c>
      <c r="I8659" s="81" t="s">
        <v>2558</v>
      </c>
      <c r="J8659" s="81" t="s">
        <v>224</v>
      </c>
    </row>
    <row r="8660">
      <c r="A8660" s="83" t="s">
        <v>6773</v>
      </c>
      <c r="B8660" s="83" t="s">
        <v>6774</v>
      </c>
      <c r="C8660" s="81" t="s">
        <v>4621</v>
      </c>
      <c r="D8660" s="83" t="s">
        <v>4543</v>
      </c>
      <c r="E8660" s="81" t="s">
        <v>2563</v>
      </c>
      <c r="F8660" s="81">
        <v>489.0</v>
      </c>
      <c r="G8660" s="81" t="s">
        <v>42</v>
      </c>
      <c r="H8660" s="81" t="s">
        <v>6380</v>
      </c>
      <c r="I8660" s="81" t="s">
        <v>2558</v>
      </c>
      <c r="J8660" s="81" t="s">
        <v>224</v>
      </c>
    </row>
    <row r="8661">
      <c r="A8661" s="83" t="s">
        <v>6773</v>
      </c>
      <c r="B8661" s="83" t="s">
        <v>6774</v>
      </c>
      <c r="C8661" s="81" t="s">
        <v>4621</v>
      </c>
      <c r="D8661" s="83" t="s">
        <v>4544</v>
      </c>
      <c r="E8661" s="81" t="s">
        <v>2566</v>
      </c>
      <c r="F8661" s="81">
        <v>490.0</v>
      </c>
      <c r="G8661" s="81" t="s">
        <v>42</v>
      </c>
      <c r="H8661" s="81" t="s">
        <v>6380</v>
      </c>
      <c r="I8661" s="81" t="s">
        <v>2558</v>
      </c>
      <c r="J8661" s="81" t="s">
        <v>224</v>
      </c>
    </row>
    <row r="8662">
      <c r="A8662" s="83" t="s">
        <v>6773</v>
      </c>
      <c r="B8662" s="83" t="s">
        <v>6774</v>
      </c>
      <c r="C8662" s="81" t="s">
        <v>4621</v>
      </c>
      <c r="D8662" s="83" t="s">
        <v>4544</v>
      </c>
      <c r="E8662" s="81" t="s">
        <v>2573</v>
      </c>
      <c r="F8662" s="81">
        <v>491.0</v>
      </c>
      <c r="G8662" s="81" t="s">
        <v>42</v>
      </c>
      <c r="H8662" s="81" t="s">
        <v>6380</v>
      </c>
      <c r="I8662" s="81" t="s">
        <v>2558</v>
      </c>
      <c r="J8662" s="81" t="s">
        <v>224</v>
      </c>
    </row>
    <row r="8663">
      <c r="A8663" s="83" t="s">
        <v>6773</v>
      </c>
      <c r="B8663" s="83" t="s">
        <v>6774</v>
      </c>
      <c r="C8663" s="81" t="s">
        <v>4621</v>
      </c>
      <c r="D8663" s="83" t="s">
        <v>4546</v>
      </c>
      <c r="E8663" s="81" t="s">
        <v>2574</v>
      </c>
      <c r="F8663" s="81">
        <v>492.0</v>
      </c>
      <c r="G8663" s="81" t="s">
        <v>42</v>
      </c>
      <c r="H8663" s="81" t="s">
        <v>6380</v>
      </c>
      <c r="I8663" s="81" t="s">
        <v>2558</v>
      </c>
      <c r="J8663" s="81" t="s">
        <v>224</v>
      </c>
    </row>
    <row r="8664">
      <c r="A8664" s="83" t="s">
        <v>6773</v>
      </c>
      <c r="B8664" s="83" t="s">
        <v>6774</v>
      </c>
      <c r="C8664" s="81" t="s">
        <v>4621</v>
      </c>
      <c r="D8664" s="83" t="s">
        <v>4558</v>
      </c>
      <c r="E8664" s="81" t="s">
        <v>2619</v>
      </c>
      <c r="F8664" s="81">
        <v>504.0</v>
      </c>
      <c r="G8664" s="81" t="s">
        <v>42</v>
      </c>
      <c r="H8664" s="81" t="s">
        <v>6381</v>
      </c>
      <c r="I8664" s="81" t="s">
        <v>2630</v>
      </c>
      <c r="J8664" s="81" t="s">
        <v>224</v>
      </c>
    </row>
    <row r="8665">
      <c r="A8665" s="83" t="s">
        <v>6773</v>
      </c>
      <c r="B8665" s="83" t="s">
        <v>6774</v>
      </c>
      <c r="C8665" s="81" t="s">
        <v>4082</v>
      </c>
      <c r="D8665" s="83" t="s">
        <v>4558</v>
      </c>
      <c r="E8665" s="81" t="s">
        <v>2619</v>
      </c>
      <c r="F8665" s="81">
        <v>504.0</v>
      </c>
      <c r="G8665" s="81" t="s">
        <v>41</v>
      </c>
      <c r="H8665" s="81" t="s">
        <v>2629</v>
      </c>
      <c r="I8665" s="81" t="s">
        <v>224</v>
      </c>
      <c r="J8665" s="81" t="s">
        <v>6356</v>
      </c>
    </row>
    <row r="8666">
      <c r="A8666" s="83" t="s">
        <v>6773</v>
      </c>
      <c r="B8666" s="83" t="s">
        <v>6774</v>
      </c>
      <c r="C8666" s="81" t="s">
        <v>4621</v>
      </c>
      <c r="D8666" s="83" t="s">
        <v>4558</v>
      </c>
      <c r="E8666" s="81" t="s">
        <v>2634</v>
      </c>
      <c r="F8666" s="81">
        <v>505.0</v>
      </c>
      <c r="G8666" s="81" t="s">
        <v>42</v>
      </c>
      <c r="H8666" s="81" t="s">
        <v>6381</v>
      </c>
      <c r="I8666" s="81" t="s">
        <v>2630</v>
      </c>
      <c r="J8666" s="81" t="s">
        <v>224</v>
      </c>
    </row>
    <row r="8667">
      <c r="A8667" s="83" t="s">
        <v>6773</v>
      </c>
      <c r="B8667" s="83" t="s">
        <v>6774</v>
      </c>
      <c r="C8667" s="81" t="s">
        <v>4621</v>
      </c>
      <c r="D8667" s="83" t="s">
        <v>4560</v>
      </c>
      <c r="E8667" s="81" t="s">
        <v>2635</v>
      </c>
      <c r="F8667" s="81">
        <v>506.0</v>
      </c>
      <c r="G8667" s="81" t="s">
        <v>42</v>
      </c>
      <c r="H8667" s="81" t="s">
        <v>6381</v>
      </c>
      <c r="I8667" s="81" t="s">
        <v>2630</v>
      </c>
      <c r="J8667" s="81" t="s">
        <v>224</v>
      </c>
    </row>
    <row r="8668">
      <c r="A8668" s="83" t="s">
        <v>6773</v>
      </c>
      <c r="B8668" s="83" t="s">
        <v>6774</v>
      </c>
      <c r="C8668" s="81" t="s">
        <v>4621</v>
      </c>
      <c r="D8668" s="83" t="s">
        <v>4561</v>
      </c>
      <c r="E8668" s="81" t="s">
        <v>2638</v>
      </c>
      <c r="F8668" s="81">
        <v>507.0</v>
      </c>
      <c r="G8668" s="81" t="s">
        <v>42</v>
      </c>
      <c r="H8668" s="81" t="s">
        <v>6381</v>
      </c>
      <c r="I8668" s="81" t="s">
        <v>2644</v>
      </c>
      <c r="J8668" s="81" t="s">
        <v>224</v>
      </c>
    </row>
    <row r="8669">
      <c r="A8669" s="83" t="s">
        <v>6773</v>
      </c>
      <c r="B8669" s="83" t="s">
        <v>6774</v>
      </c>
      <c r="C8669" s="81" t="s">
        <v>4621</v>
      </c>
      <c r="D8669" s="83" t="s">
        <v>4562</v>
      </c>
      <c r="E8669" s="81" t="s">
        <v>2648</v>
      </c>
      <c r="F8669" s="81">
        <v>508.0</v>
      </c>
      <c r="G8669" s="81" t="s">
        <v>42</v>
      </c>
      <c r="H8669" s="81" t="s">
        <v>6381</v>
      </c>
      <c r="I8669" s="81" t="s">
        <v>2644</v>
      </c>
      <c r="J8669" s="81" t="s">
        <v>224</v>
      </c>
    </row>
    <row r="8670">
      <c r="A8670" s="83" t="s">
        <v>6773</v>
      </c>
      <c r="B8670" s="83" t="s">
        <v>6774</v>
      </c>
      <c r="C8670" s="81" t="s">
        <v>6333</v>
      </c>
      <c r="D8670" s="83" t="s">
        <v>4563</v>
      </c>
      <c r="E8670" s="81" t="s">
        <v>2651</v>
      </c>
      <c r="F8670" s="81">
        <v>509.0</v>
      </c>
      <c r="G8670" s="81" t="s">
        <v>42</v>
      </c>
      <c r="H8670" s="81" t="s">
        <v>6380</v>
      </c>
      <c r="I8670" s="81" t="s">
        <v>224</v>
      </c>
      <c r="J8670" s="81" t="s">
        <v>6751</v>
      </c>
    </row>
    <row r="8671">
      <c r="A8671" s="83" t="s">
        <v>6773</v>
      </c>
      <c r="B8671" s="83" t="s">
        <v>6774</v>
      </c>
      <c r="C8671" s="81" t="s">
        <v>6333</v>
      </c>
      <c r="D8671" s="83" t="s">
        <v>4564</v>
      </c>
      <c r="E8671" s="81" t="s">
        <v>2659</v>
      </c>
      <c r="F8671" s="81">
        <v>510.0</v>
      </c>
      <c r="G8671" s="81" t="s">
        <v>42</v>
      </c>
      <c r="H8671" s="81" t="s">
        <v>6380</v>
      </c>
      <c r="I8671" s="81" t="s">
        <v>224</v>
      </c>
      <c r="J8671" s="81" t="s">
        <v>6751</v>
      </c>
    </row>
    <row r="8672">
      <c r="A8672" s="83" t="s">
        <v>6773</v>
      </c>
      <c r="B8672" s="83" t="s">
        <v>6774</v>
      </c>
      <c r="C8672" s="81" t="s">
        <v>6333</v>
      </c>
      <c r="D8672" s="83" t="s">
        <v>4565</v>
      </c>
      <c r="E8672" s="81" t="s">
        <v>2661</v>
      </c>
      <c r="F8672" s="81">
        <v>511.0</v>
      </c>
      <c r="G8672" s="81" t="s">
        <v>42</v>
      </c>
      <c r="H8672" s="81" t="s">
        <v>6380</v>
      </c>
      <c r="I8672" s="81" t="s">
        <v>224</v>
      </c>
      <c r="J8672" s="81" t="s">
        <v>6751</v>
      </c>
    </row>
    <row r="8673">
      <c r="A8673" s="83" t="s">
        <v>6773</v>
      </c>
      <c r="B8673" s="83" t="s">
        <v>6774</v>
      </c>
      <c r="C8673" s="81" t="s">
        <v>6333</v>
      </c>
      <c r="D8673" s="83" t="s">
        <v>4566</v>
      </c>
      <c r="E8673" s="81" t="s">
        <v>2667</v>
      </c>
      <c r="F8673" s="81">
        <v>512.0</v>
      </c>
      <c r="G8673" s="81" t="s">
        <v>42</v>
      </c>
      <c r="H8673" s="81" t="s">
        <v>6380</v>
      </c>
      <c r="I8673" s="81" t="s">
        <v>224</v>
      </c>
      <c r="J8673" s="81" t="s">
        <v>6751</v>
      </c>
    </row>
    <row r="8674">
      <c r="A8674" s="83" t="s">
        <v>6773</v>
      </c>
      <c r="B8674" s="83" t="s">
        <v>6774</v>
      </c>
      <c r="C8674" s="81" t="s">
        <v>4082</v>
      </c>
      <c r="D8674" s="83" t="s">
        <v>4608</v>
      </c>
      <c r="E8674" s="81" t="s">
        <v>2906</v>
      </c>
      <c r="F8674" s="81">
        <v>560.0</v>
      </c>
      <c r="G8674" s="81" t="s">
        <v>41</v>
      </c>
      <c r="H8674" s="81" t="s">
        <v>2907</v>
      </c>
      <c r="I8674" s="81" t="s">
        <v>224</v>
      </c>
      <c r="J8674" s="81" t="s">
        <v>6357</v>
      </c>
    </row>
    <row r="8675">
      <c r="A8675" s="83" t="s">
        <v>6773</v>
      </c>
      <c r="B8675" s="83" t="s">
        <v>6774</v>
      </c>
      <c r="C8675" s="81" t="s">
        <v>4621</v>
      </c>
      <c r="D8675" s="83" t="s">
        <v>4637</v>
      </c>
      <c r="E8675" s="81" t="s">
        <v>3013</v>
      </c>
      <c r="F8675" s="81">
        <v>580.0</v>
      </c>
      <c r="G8675" s="81" t="s">
        <v>43</v>
      </c>
      <c r="H8675" s="81" t="s">
        <v>5992</v>
      </c>
      <c r="I8675" s="81" t="s">
        <v>3023</v>
      </c>
      <c r="J8675" s="81" t="s">
        <v>224</v>
      </c>
    </row>
    <row r="8676">
      <c r="A8676" s="83" t="s">
        <v>6773</v>
      </c>
      <c r="B8676" s="83" t="s">
        <v>6774</v>
      </c>
      <c r="C8676" s="81" t="s">
        <v>4621</v>
      </c>
      <c r="D8676" s="83" t="s">
        <v>4637</v>
      </c>
      <c r="E8676" s="81" t="s">
        <v>3026</v>
      </c>
      <c r="F8676" s="81">
        <v>581.0</v>
      </c>
      <c r="G8676" s="81" t="s">
        <v>43</v>
      </c>
      <c r="H8676" s="81" t="s">
        <v>5992</v>
      </c>
      <c r="I8676" s="81" t="s">
        <v>3023</v>
      </c>
      <c r="J8676" s="81" t="s">
        <v>224</v>
      </c>
    </row>
    <row r="8677">
      <c r="A8677" s="83" t="s">
        <v>6773</v>
      </c>
      <c r="B8677" s="83" t="s">
        <v>6774</v>
      </c>
      <c r="C8677" s="81" t="s">
        <v>4621</v>
      </c>
      <c r="D8677" s="83" t="s">
        <v>4639</v>
      </c>
      <c r="E8677" s="81" t="s">
        <v>3027</v>
      </c>
      <c r="F8677" s="81">
        <v>582.0</v>
      </c>
      <c r="G8677" s="81" t="s">
        <v>43</v>
      </c>
      <c r="H8677" s="81" t="s">
        <v>224</v>
      </c>
      <c r="I8677" s="81" t="s">
        <v>3023</v>
      </c>
      <c r="J8677" s="81" t="s">
        <v>224</v>
      </c>
    </row>
    <row r="8678">
      <c r="A8678" s="83" t="s">
        <v>6773</v>
      </c>
      <c r="B8678" s="83" t="s">
        <v>6774</v>
      </c>
      <c r="C8678" s="81" t="s">
        <v>4621</v>
      </c>
      <c r="D8678" s="83" t="s">
        <v>4643</v>
      </c>
      <c r="E8678" s="81" t="s">
        <v>3046</v>
      </c>
      <c r="F8678" s="81">
        <v>586.0</v>
      </c>
      <c r="G8678" s="81" t="s">
        <v>43</v>
      </c>
      <c r="H8678" s="81" t="s">
        <v>6003</v>
      </c>
      <c r="I8678" s="81" t="s">
        <v>3055</v>
      </c>
      <c r="J8678" s="81" t="s">
        <v>224</v>
      </c>
    </row>
    <row r="8679">
      <c r="A8679" s="83" t="s">
        <v>6773</v>
      </c>
      <c r="B8679" s="83" t="s">
        <v>6774</v>
      </c>
      <c r="C8679" s="81" t="s">
        <v>4621</v>
      </c>
      <c r="D8679" s="83" t="s">
        <v>4643</v>
      </c>
      <c r="E8679" s="81" t="s">
        <v>3058</v>
      </c>
      <c r="F8679" s="81">
        <v>587.0</v>
      </c>
      <c r="G8679" s="81" t="s">
        <v>43</v>
      </c>
      <c r="H8679" s="81" t="s">
        <v>6003</v>
      </c>
      <c r="I8679" s="81" t="s">
        <v>3055</v>
      </c>
      <c r="J8679" s="81" t="s">
        <v>224</v>
      </c>
    </row>
    <row r="8680">
      <c r="A8680" s="83" t="s">
        <v>6773</v>
      </c>
      <c r="B8680" s="83" t="s">
        <v>6774</v>
      </c>
      <c r="C8680" s="81" t="s">
        <v>4621</v>
      </c>
      <c r="D8680" s="83" t="s">
        <v>4644</v>
      </c>
      <c r="E8680" s="81" t="s">
        <v>3059</v>
      </c>
      <c r="F8680" s="81">
        <v>588.0</v>
      </c>
      <c r="G8680" s="81" t="s">
        <v>43</v>
      </c>
      <c r="H8680" s="81" t="s">
        <v>224</v>
      </c>
      <c r="I8680" s="81" t="s">
        <v>3055</v>
      </c>
      <c r="J8680" s="81" t="s">
        <v>224</v>
      </c>
    </row>
    <row r="8681">
      <c r="A8681" s="83" t="s">
        <v>6773</v>
      </c>
      <c r="B8681" s="83" t="s">
        <v>6774</v>
      </c>
      <c r="C8681" s="81" t="s">
        <v>6333</v>
      </c>
      <c r="D8681" s="83" t="s">
        <v>4648</v>
      </c>
      <c r="E8681" s="81" t="s">
        <v>3077</v>
      </c>
      <c r="F8681" s="81">
        <v>592.0</v>
      </c>
      <c r="G8681" s="81" t="s">
        <v>43</v>
      </c>
      <c r="H8681" s="81" t="s">
        <v>6758</v>
      </c>
      <c r="I8681" s="81" t="s">
        <v>224</v>
      </c>
      <c r="J8681" s="81" t="s">
        <v>6749</v>
      </c>
    </row>
    <row r="8682">
      <c r="A8682" s="83" t="s">
        <v>6773</v>
      </c>
      <c r="B8682" s="83" t="s">
        <v>6774</v>
      </c>
      <c r="C8682" s="81" t="s">
        <v>6333</v>
      </c>
      <c r="D8682" s="83" t="s">
        <v>4648</v>
      </c>
      <c r="E8682" s="81" t="s">
        <v>3090</v>
      </c>
      <c r="F8682" s="81">
        <v>593.0</v>
      </c>
      <c r="G8682" s="81" t="s">
        <v>43</v>
      </c>
      <c r="H8682" s="81" t="s">
        <v>6758</v>
      </c>
      <c r="I8682" s="81" t="s">
        <v>224</v>
      </c>
      <c r="J8682" s="81" t="s">
        <v>6749</v>
      </c>
    </row>
    <row r="8683">
      <c r="A8683" s="83" t="s">
        <v>6773</v>
      </c>
      <c r="B8683" s="83" t="s">
        <v>6774</v>
      </c>
      <c r="C8683" s="81" t="s">
        <v>6333</v>
      </c>
      <c r="D8683" s="83" t="s">
        <v>4650</v>
      </c>
      <c r="E8683" s="81" t="s">
        <v>3091</v>
      </c>
      <c r="F8683" s="81">
        <v>594.0</v>
      </c>
      <c r="G8683" s="81" t="s">
        <v>43</v>
      </c>
      <c r="H8683" s="81" t="s">
        <v>6758</v>
      </c>
      <c r="I8683" s="81" t="s">
        <v>224</v>
      </c>
      <c r="J8683" s="81" t="s">
        <v>6749</v>
      </c>
    </row>
    <row r="8684">
      <c r="A8684" s="83" t="s">
        <v>6773</v>
      </c>
      <c r="B8684" s="83" t="s">
        <v>6774</v>
      </c>
      <c r="C8684" s="81" t="s">
        <v>4621</v>
      </c>
      <c r="D8684" s="83" t="s">
        <v>4651</v>
      </c>
      <c r="E8684" s="81" t="s">
        <v>3094</v>
      </c>
      <c r="F8684" s="81">
        <v>595.0</v>
      </c>
      <c r="G8684" s="81" t="s">
        <v>42</v>
      </c>
      <c r="H8684" s="81" t="s">
        <v>6393</v>
      </c>
      <c r="I8684" s="81" t="s">
        <v>3103</v>
      </c>
      <c r="J8684" s="81" t="s">
        <v>224</v>
      </c>
    </row>
    <row r="8685">
      <c r="A8685" s="83" t="s">
        <v>6773</v>
      </c>
      <c r="B8685" s="83" t="s">
        <v>6774</v>
      </c>
      <c r="C8685" s="81" t="s">
        <v>4621</v>
      </c>
      <c r="D8685" s="83" t="s">
        <v>4672</v>
      </c>
      <c r="E8685" s="81" t="s">
        <v>3170</v>
      </c>
      <c r="F8685" s="81">
        <v>602.0</v>
      </c>
      <c r="G8685" s="81" t="s">
        <v>43</v>
      </c>
      <c r="H8685" s="81" t="s">
        <v>6034</v>
      </c>
      <c r="I8685" s="81" t="s">
        <v>3179</v>
      </c>
      <c r="J8685" s="81" t="s">
        <v>224</v>
      </c>
    </row>
    <row r="8686">
      <c r="A8686" s="83" t="s">
        <v>6773</v>
      </c>
      <c r="B8686" s="83" t="s">
        <v>6774</v>
      </c>
      <c r="C8686" s="81" t="s">
        <v>4621</v>
      </c>
      <c r="D8686" s="83" t="s">
        <v>4672</v>
      </c>
      <c r="E8686" s="81" t="s">
        <v>3182</v>
      </c>
      <c r="F8686" s="81">
        <v>603.0</v>
      </c>
      <c r="G8686" s="81" t="s">
        <v>43</v>
      </c>
      <c r="H8686" s="81" t="s">
        <v>6034</v>
      </c>
      <c r="I8686" s="81" t="s">
        <v>3179</v>
      </c>
      <c r="J8686" s="81" t="s">
        <v>224</v>
      </c>
    </row>
    <row r="8687">
      <c r="A8687" s="83" t="s">
        <v>6773</v>
      </c>
      <c r="B8687" s="83" t="s">
        <v>6774</v>
      </c>
      <c r="C8687" s="81" t="s">
        <v>4621</v>
      </c>
      <c r="D8687" s="83" t="s">
        <v>4674</v>
      </c>
      <c r="E8687" s="81" t="s">
        <v>3183</v>
      </c>
      <c r="F8687" s="81">
        <v>604.0</v>
      </c>
      <c r="G8687" s="81" t="s">
        <v>43</v>
      </c>
      <c r="H8687" s="81" t="s">
        <v>224</v>
      </c>
      <c r="I8687" s="81" t="s">
        <v>3179</v>
      </c>
      <c r="J8687" s="81" t="s">
        <v>224</v>
      </c>
    </row>
    <row r="8688">
      <c r="A8688" s="83" t="s">
        <v>6773</v>
      </c>
      <c r="B8688" s="83" t="s">
        <v>6774</v>
      </c>
      <c r="C8688" s="81" t="s">
        <v>4621</v>
      </c>
      <c r="D8688" s="83" t="s">
        <v>4674</v>
      </c>
      <c r="E8688" s="81" t="s">
        <v>3183</v>
      </c>
      <c r="F8688" s="81">
        <v>604.0</v>
      </c>
      <c r="G8688" s="81" t="s">
        <v>42</v>
      </c>
      <c r="H8688" s="81" t="s">
        <v>224</v>
      </c>
      <c r="I8688" s="81" t="s">
        <v>3178</v>
      </c>
      <c r="J8688" s="81" t="s">
        <v>224</v>
      </c>
    </row>
    <row r="8689">
      <c r="A8689" s="83" t="s">
        <v>6773</v>
      </c>
      <c r="B8689" s="83" t="s">
        <v>6774</v>
      </c>
      <c r="C8689" s="81" t="s">
        <v>4082</v>
      </c>
      <c r="D8689" s="83" t="s">
        <v>4682</v>
      </c>
      <c r="E8689" s="81" t="s">
        <v>3226</v>
      </c>
      <c r="F8689" s="81">
        <v>613.0</v>
      </c>
      <c r="G8689" s="81" t="s">
        <v>39</v>
      </c>
      <c r="H8689" s="81" t="s">
        <v>224</v>
      </c>
      <c r="I8689" s="81" t="s">
        <v>224</v>
      </c>
      <c r="J8689" s="81" t="s">
        <v>6052</v>
      </c>
    </row>
    <row r="8690">
      <c r="A8690" s="83" t="s">
        <v>6773</v>
      </c>
      <c r="B8690" s="83" t="s">
        <v>6774</v>
      </c>
      <c r="C8690" s="81" t="s">
        <v>4621</v>
      </c>
      <c r="D8690" s="83" t="s">
        <v>4699</v>
      </c>
      <c r="E8690" s="81" t="s">
        <v>3315</v>
      </c>
      <c r="F8690" s="81">
        <v>634.0</v>
      </c>
      <c r="G8690" s="81" t="s">
        <v>43</v>
      </c>
      <c r="H8690" s="81" t="s">
        <v>6759</v>
      </c>
      <c r="I8690" s="81" t="s">
        <v>3326</v>
      </c>
      <c r="J8690" s="81" t="s">
        <v>224</v>
      </c>
    </row>
    <row r="8691">
      <c r="A8691" s="83" t="s">
        <v>6773</v>
      </c>
      <c r="B8691" s="83" t="s">
        <v>6774</v>
      </c>
      <c r="C8691" s="81" t="s">
        <v>4621</v>
      </c>
      <c r="D8691" s="83" t="s">
        <v>4699</v>
      </c>
      <c r="E8691" s="81" t="s">
        <v>3315</v>
      </c>
      <c r="F8691" s="81">
        <v>634.0</v>
      </c>
      <c r="G8691" s="81" t="s">
        <v>42</v>
      </c>
      <c r="H8691" s="81" t="s">
        <v>6401</v>
      </c>
      <c r="I8691" s="81" t="s">
        <v>3325</v>
      </c>
      <c r="J8691" s="81" t="s">
        <v>224</v>
      </c>
    </row>
    <row r="8692">
      <c r="A8692" s="83" t="s">
        <v>6773</v>
      </c>
      <c r="B8692" s="83" t="s">
        <v>6774</v>
      </c>
      <c r="C8692" s="81" t="s">
        <v>4621</v>
      </c>
      <c r="D8692" s="83" t="s">
        <v>4699</v>
      </c>
      <c r="E8692" s="81" t="s">
        <v>3328</v>
      </c>
      <c r="F8692" s="81">
        <v>635.0</v>
      </c>
      <c r="G8692" s="81" t="s">
        <v>43</v>
      </c>
      <c r="H8692" s="81" t="s">
        <v>6759</v>
      </c>
      <c r="I8692" s="81" t="s">
        <v>3326</v>
      </c>
      <c r="J8692" s="81" t="s">
        <v>224</v>
      </c>
    </row>
    <row r="8693">
      <c r="A8693" s="83" t="s">
        <v>6773</v>
      </c>
      <c r="B8693" s="83" t="s">
        <v>6774</v>
      </c>
      <c r="C8693" s="81" t="s">
        <v>4621</v>
      </c>
      <c r="D8693" s="83" t="s">
        <v>4699</v>
      </c>
      <c r="E8693" s="81" t="s">
        <v>3328</v>
      </c>
      <c r="F8693" s="81">
        <v>635.0</v>
      </c>
      <c r="G8693" s="81" t="s">
        <v>42</v>
      </c>
      <c r="H8693" s="81" t="s">
        <v>6401</v>
      </c>
      <c r="I8693" s="81" t="s">
        <v>3325</v>
      </c>
      <c r="J8693" s="81" t="s">
        <v>224</v>
      </c>
    </row>
    <row r="8694">
      <c r="A8694" s="83" t="s">
        <v>6773</v>
      </c>
      <c r="B8694" s="83" t="s">
        <v>6774</v>
      </c>
      <c r="C8694" s="81" t="s">
        <v>4621</v>
      </c>
      <c r="D8694" s="83" t="s">
        <v>4701</v>
      </c>
      <c r="E8694" s="81" t="s">
        <v>3329</v>
      </c>
      <c r="F8694" s="81">
        <v>636.0</v>
      </c>
      <c r="G8694" s="81" t="s">
        <v>43</v>
      </c>
      <c r="H8694" s="81" t="s">
        <v>6760</v>
      </c>
      <c r="I8694" s="81" t="s">
        <v>3336</v>
      </c>
      <c r="J8694" s="81" t="s">
        <v>224</v>
      </c>
    </row>
    <row r="8695">
      <c r="A8695" s="83" t="s">
        <v>6773</v>
      </c>
      <c r="B8695" s="83" t="s">
        <v>6774</v>
      </c>
      <c r="C8695" s="81" t="s">
        <v>4621</v>
      </c>
      <c r="D8695" s="83" t="s">
        <v>4701</v>
      </c>
      <c r="E8695" s="81" t="s">
        <v>3329</v>
      </c>
      <c r="F8695" s="81">
        <v>636.0</v>
      </c>
      <c r="G8695" s="81" t="s">
        <v>42</v>
      </c>
      <c r="H8695" s="81" t="s">
        <v>6401</v>
      </c>
      <c r="I8695" s="81" t="s">
        <v>3335</v>
      </c>
      <c r="J8695" s="81" t="s">
        <v>224</v>
      </c>
    </row>
    <row r="8696">
      <c r="A8696" s="83" t="s">
        <v>6773</v>
      </c>
      <c r="B8696" s="83" t="s">
        <v>6774</v>
      </c>
      <c r="C8696" s="81" t="s">
        <v>4082</v>
      </c>
      <c r="D8696" s="83" t="s">
        <v>4707</v>
      </c>
      <c r="E8696" s="81" t="s">
        <v>3362</v>
      </c>
      <c r="F8696" s="81">
        <v>641.0</v>
      </c>
      <c r="G8696" s="81" t="s">
        <v>39</v>
      </c>
      <c r="H8696" s="81" t="s">
        <v>224</v>
      </c>
      <c r="I8696" s="81" t="s">
        <v>224</v>
      </c>
      <c r="J8696" s="81" t="s">
        <v>6096</v>
      </c>
    </row>
    <row r="8697">
      <c r="A8697" s="83" t="s">
        <v>6773</v>
      </c>
      <c r="B8697" s="83" t="s">
        <v>6774</v>
      </c>
      <c r="C8697" s="81" t="s">
        <v>4082</v>
      </c>
      <c r="D8697" s="83" t="s">
        <v>4709</v>
      </c>
      <c r="E8697" s="81" t="s">
        <v>3370</v>
      </c>
      <c r="F8697" s="81">
        <v>643.0</v>
      </c>
      <c r="G8697" s="81" t="s">
        <v>39</v>
      </c>
      <c r="H8697" s="81" t="s">
        <v>224</v>
      </c>
      <c r="I8697" s="81" t="s">
        <v>224</v>
      </c>
      <c r="J8697" s="81" t="s">
        <v>6101</v>
      </c>
    </row>
    <row r="8698">
      <c r="A8698" s="83" t="s">
        <v>6773</v>
      </c>
      <c r="B8698" s="83" t="s">
        <v>6774</v>
      </c>
      <c r="C8698" s="81" t="s">
        <v>4621</v>
      </c>
      <c r="D8698" s="83" t="s">
        <v>4727</v>
      </c>
      <c r="E8698" s="81" t="s">
        <v>3483</v>
      </c>
      <c r="F8698" s="81">
        <v>657.0</v>
      </c>
      <c r="G8698" s="81" t="s">
        <v>43</v>
      </c>
      <c r="H8698" s="81" t="s">
        <v>6761</v>
      </c>
      <c r="I8698" s="81" t="s">
        <v>3493</v>
      </c>
      <c r="J8698" s="81" t="s">
        <v>224</v>
      </c>
    </row>
    <row r="8699">
      <c r="A8699" s="83" t="s">
        <v>6773</v>
      </c>
      <c r="B8699" s="83" t="s">
        <v>6774</v>
      </c>
      <c r="C8699" s="81" t="s">
        <v>4621</v>
      </c>
      <c r="D8699" s="83" t="s">
        <v>4727</v>
      </c>
      <c r="E8699" s="81" t="s">
        <v>3496</v>
      </c>
      <c r="F8699" s="81">
        <v>658.0</v>
      </c>
      <c r="G8699" s="81" t="s">
        <v>43</v>
      </c>
      <c r="H8699" s="81" t="s">
        <v>6761</v>
      </c>
      <c r="I8699" s="81" t="s">
        <v>3493</v>
      </c>
      <c r="J8699" s="81" t="s">
        <v>224</v>
      </c>
    </row>
    <row r="8700">
      <c r="A8700" s="83" t="s">
        <v>6773</v>
      </c>
      <c r="B8700" s="83" t="s">
        <v>6774</v>
      </c>
      <c r="C8700" s="81" t="s">
        <v>4621</v>
      </c>
      <c r="D8700" s="83" t="s">
        <v>4729</v>
      </c>
      <c r="E8700" s="81" t="s">
        <v>3497</v>
      </c>
      <c r="F8700" s="81">
        <v>659.0</v>
      </c>
      <c r="G8700" s="81" t="s">
        <v>43</v>
      </c>
      <c r="H8700" s="81" t="s">
        <v>6761</v>
      </c>
      <c r="I8700" s="81" t="s">
        <v>3493</v>
      </c>
      <c r="J8700" s="81" t="s">
        <v>224</v>
      </c>
    </row>
    <row r="8701">
      <c r="A8701" s="83" t="s">
        <v>6773</v>
      </c>
      <c r="B8701" s="83" t="s">
        <v>6774</v>
      </c>
      <c r="C8701" s="81" t="s">
        <v>4621</v>
      </c>
      <c r="D8701" s="83" t="s">
        <v>4735</v>
      </c>
      <c r="E8701" s="81" t="s">
        <v>3529</v>
      </c>
      <c r="F8701" s="81">
        <v>665.0</v>
      </c>
      <c r="G8701" s="81" t="s">
        <v>43</v>
      </c>
      <c r="H8701" s="81" t="s">
        <v>6762</v>
      </c>
      <c r="I8701" s="81" t="s">
        <v>3537</v>
      </c>
      <c r="J8701" s="81" t="s">
        <v>224</v>
      </c>
    </row>
    <row r="8702">
      <c r="A8702" s="83" t="s">
        <v>6773</v>
      </c>
      <c r="B8702" s="83" t="s">
        <v>6774</v>
      </c>
      <c r="C8702" s="81" t="s">
        <v>4621</v>
      </c>
      <c r="D8702" s="83" t="s">
        <v>4735</v>
      </c>
      <c r="E8702" s="81" t="s">
        <v>3539</v>
      </c>
      <c r="F8702" s="81">
        <v>666.0</v>
      </c>
      <c r="G8702" s="81" t="s">
        <v>43</v>
      </c>
      <c r="H8702" s="81" t="s">
        <v>6762</v>
      </c>
      <c r="I8702" s="81" t="s">
        <v>3537</v>
      </c>
      <c r="J8702" s="81" t="s">
        <v>224</v>
      </c>
    </row>
    <row r="8703">
      <c r="A8703" s="83" t="s">
        <v>6773</v>
      </c>
      <c r="B8703" s="83" t="s">
        <v>6774</v>
      </c>
      <c r="C8703" s="81" t="s">
        <v>4621</v>
      </c>
      <c r="D8703" s="83" t="s">
        <v>4737</v>
      </c>
      <c r="E8703" s="81" t="s">
        <v>3540</v>
      </c>
      <c r="F8703" s="81">
        <v>667.0</v>
      </c>
      <c r="G8703" s="81" t="s">
        <v>43</v>
      </c>
      <c r="H8703" s="81" t="s">
        <v>6762</v>
      </c>
      <c r="I8703" s="81" t="s">
        <v>3537</v>
      </c>
      <c r="J8703" s="81" t="s">
        <v>224</v>
      </c>
    </row>
    <row r="8704">
      <c r="A8704" s="83" t="s">
        <v>6773</v>
      </c>
      <c r="B8704" s="83" t="s">
        <v>6774</v>
      </c>
      <c r="C8704" s="81" t="s">
        <v>4621</v>
      </c>
      <c r="D8704" s="83" t="s">
        <v>4754</v>
      </c>
      <c r="E8704" s="81" t="s">
        <v>3621</v>
      </c>
      <c r="F8704" s="81">
        <v>684.0</v>
      </c>
      <c r="G8704" s="81" t="s">
        <v>42</v>
      </c>
      <c r="H8704" s="81" t="s">
        <v>224</v>
      </c>
      <c r="I8704" s="81" t="s">
        <v>3631</v>
      </c>
      <c r="J8704" s="81" t="s">
        <v>224</v>
      </c>
    </row>
    <row r="8705">
      <c r="A8705" s="83" t="s">
        <v>6773</v>
      </c>
      <c r="B8705" s="83" t="s">
        <v>6774</v>
      </c>
      <c r="C8705" s="81" t="s">
        <v>4621</v>
      </c>
      <c r="D8705" s="83" t="s">
        <v>4755</v>
      </c>
      <c r="E8705" s="81" t="s">
        <v>3633</v>
      </c>
      <c r="F8705" s="81">
        <v>685.0</v>
      </c>
      <c r="G8705" s="81" t="s">
        <v>42</v>
      </c>
      <c r="H8705" s="81" t="s">
        <v>224</v>
      </c>
      <c r="I8705" s="81" t="s">
        <v>3631</v>
      </c>
      <c r="J8705" s="81" t="s">
        <v>224</v>
      </c>
    </row>
    <row r="8706">
      <c r="A8706" s="83" t="s">
        <v>6773</v>
      </c>
      <c r="B8706" s="83" t="s">
        <v>6774</v>
      </c>
      <c r="C8706" s="81" t="s">
        <v>4621</v>
      </c>
      <c r="D8706" s="83" t="s">
        <v>4754</v>
      </c>
      <c r="E8706" s="81" t="s">
        <v>3636</v>
      </c>
      <c r="F8706" s="81">
        <v>686.0</v>
      </c>
      <c r="G8706" s="81" t="s">
        <v>42</v>
      </c>
      <c r="H8706" s="81" t="s">
        <v>224</v>
      </c>
      <c r="I8706" s="81" t="s">
        <v>3631</v>
      </c>
      <c r="J8706" s="81" t="s">
        <v>224</v>
      </c>
    </row>
    <row r="8707">
      <c r="A8707" s="83" t="s">
        <v>6773</v>
      </c>
      <c r="B8707" s="83" t="s">
        <v>6774</v>
      </c>
      <c r="C8707" s="81" t="s">
        <v>4621</v>
      </c>
      <c r="D8707" s="83" t="s">
        <v>4756</v>
      </c>
      <c r="E8707" s="81" t="s">
        <v>3637</v>
      </c>
      <c r="F8707" s="81">
        <v>687.0</v>
      </c>
      <c r="G8707" s="81" t="s">
        <v>42</v>
      </c>
      <c r="H8707" s="81" t="s">
        <v>224</v>
      </c>
      <c r="I8707" s="81" t="s">
        <v>3631</v>
      </c>
      <c r="J8707" s="81" t="s">
        <v>224</v>
      </c>
    </row>
    <row r="8708">
      <c r="A8708" s="83" t="s">
        <v>6773</v>
      </c>
      <c r="B8708" s="83" t="s">
        <v>6774</v>
      </c>
      <c r="C8708" s="81" t="s">
        <v>4621</v>
      </c>
      <c r="D8708" s="83" t="s">
        <v>4757</v>
      </c>
      <c r="E8708" s="81" t="s">
        <v>3640</v>
      </c>
      <c r="F8708" s="81">
        <v>688.0</v>
      </c>
      <c r="G8708" s="81" t="s">
        <v>42</v>
      </c>
      <c r="H8708" s="81" t="s">
        <v>224</v>
      </c>
      <c r="I8708" s="81" t="s">
        <v>3631</v>
      </c>
      <c r="J8708" s="81" t="s">
        <v>224</v>
      </c>
    </row>
    <row r="8709">
      <c r="A8709" s="83" t="s">
        <v>6773</v>
      </c>
      <c r="B8709" s="83" t="s">
        <v>6774</v>
      </c>
      <c r="C8709" s="81" t="s">
        <v>4621</v>
      </c>
      <c r="D8709" s="83" t="s">
        <v>4758</v>
      </c>
      <c r="E8709" s="81" t="s">
        <v>3643</v>
      </c>
      <c r="F8709" s="81">
        <v>689.0</v>
      </c>
      <c r="G8709" s="81" t="s">
        <v>42</v>
      </c>
      <c r="H8709" s="81" t="s">
        <v>224</v>
      </c>
      <c r="I8709" s="81" t="s">
        <v>3631</v>
      </c>
      <c r="J8709" s="81" t="s">
        <v>224</v>
      </c>
    </row>
    <row r="8710">
      <c r="A8710" s="83" t="s">
        <v>6773</v>
      </c>
      <c r="B8710" s="83" t="s">
        <v>6774</v>
      </c>
      <c r="C8710" s="81" t="s">
        <v>4621</v>
      </c>
      <c r="D8710" s="83" t="s">
        <v>4759</v>
      </c>
      <c r="E8710" s="81" t="s">
        <v>3646</v>
      </c>
      <c r="F8710" s="81">
        <v>690.0</v>
      </c>
      <c r="G8710" s="81" t="s">
        <v>42</v>
      </c>
      <c r="H8710" s="81" t="s">
        <v>224</v>
      </c>
      <c r="I8710" s="81" t="s">
        <v>3631</v>
      </c>
      <c r="J8710" s="81" t="s">
        <v>224</v>
      </c>
    </row>
    <row r="8711">
      <c r="A8711" s="83" t="s">
        <v>6773</v>
      </c>
      <c r="B8711" s="83" t="s">
        <v>6774</v>
      </c>
      <c r="C8711" s="81" t="s">
        <v>4621</v>
      </c>
      <c r="D8711" s="83" t="s">
        <v>4760</v>
      </c>
      <c r="E8711" s="81" t="s">
        <v>3649</v>
      </c>
      <c r="F8711" s="81">
        <v>691.0</v>
      </c>
      <c r="G8711" s="81" t="s">
        <v>42</v>
      </c>
      <c r="H8711" s="81" t="s">
        <v>224</v>
      </c>
      <c r="I8711" s="81" t="s">
        <v>3631</v>
      </c>
      <c r="J8711" s="81" t="s">
        <v>224</v>
      </c>
    </row>
    <row r="8712">
      <c r="A8712" s="83" t="s">
        <v>6773</v>
      </c>
      <c r="B8712" s="83" t="s">
        <v>6774</v>
      </c>
      <c r="C8712" s="81" t="s">
        <v>4621</v>
      </c>
      <c r="D8712" s="83" t="s">
        <v>4760</v>
      </c>
      <c r="E8712" s="81" t="s">
        <v>3652</v>
      </c>
      <c r="F8712" s="81">
        <v>692.0</v>
      </c>
      <c r="G8712" s="81" t="s">
        <v>42</v>
      </c>
      <c r="H8712" s="81" t="s">
        <v>224</v>
      </c>
      <c r="I8712" s="81" t="s">
        <v>3631</v>
      </c>
      <c r="J8712" s="81" t="s">
        <v>224</v>
      </c>
    </row>
    <row r="8713">
      <c r="A8713" s="83" t="s">
        <v>6773</v>
      </c>
      <c r="B8713" s="83" t="s">
        <v>6774</v>
      </c>
      <c r="C8713" s="81" t="s">
        <v>4621</v>
      </c>
      <c r="D8713" s="83" t="s">
        <v>4761</v>
      </c>
      <c r="E8713" s="81" t="s">
        <v>3653</v>
      </c>
      <c r="F8713" s="81">
        <v>693.0</v>
      </c>
      <c r="G8713" s="81" t="s">
        <v>42</v>
      </c>
      <c r="H8713" s="81" t="s">
        <v>224</v>
      </c>
      <c r="I8713" s="81" t="s">
        <v>3631</v>
      </c>
      <c r="J8713" s="81" t="s">
        <v>224</v>
      </c>
    </row>
    <row r="8714">
      <c r="A8714" s="83" t="s">
        <v>6773</v>
      </c>
      <c r="B8714" s="83" t="s">
        <v>6774</v>
      </c>
      <c r="C8714" s="81" t="s">
        <v>4621</v>
      </c>
      <c r="D8714" s="83" t="s">
        <v>4762</v>
      </c>
      <c r="E8714" s="81" t="s">
        <v>3656</v>
      </c>
      <c r="F8714" s="81">
        <v>694.0</v>
      </c>
      <c r="G8714" s="81" t="s">
        <v>42</v>
      </c>
      <c r="H8714" s="81" t="s">
        <v>224</v>
      </c>
      <c r="I8714" s="81" t="s">
        <v>3631</v>
      </c>
      <c r="J8714" s="81" t="s">
        <v>224</v>
      </c>
    </row>
    <row r="8715">
      <c r="A8715" s="83" t="s">
        <v>6773</v>
      </c>
      <c r="B8715" s="83" t="s">
        <v>6774</v>
      </c>
      <c r="C8715" s="81" t="s">
        <v>4621</v>
      </c>
      <c r="D8715" s="83" t="s">
        <v>4763</v>
      </c>
      <c r="E8715" s="81" t="s">
        <v>3659</v>
      </c>
      <c r="F8715" s="81">
        <v>695.0</v>
      </c>
      <c r="G8715" s="81" t="s">
        <v>42</v>
      </c>
      <c r="H8715" s="81" t="s">
        <v>224</v>
      </c>
      <c r="I8715" s="81" t="s">
        <v>3631</v>
      </c>
      <c r="J8715" s="81" t="s">
        <v>224</v>
      </c>
    </row>
    <row r="8716">
      <c r="A8716" s="83" t="s">
        <v>6773</v>
      </c>
      <c r="B8716" s="83" t="s">
        <v>6774</v>
      </c>
      <c r="C8716" s="81" t="s">
        <v>4621</v>
      </c>
      <c r="D8716" s="83" t="s">
        <v>4764</v>
      </c>
      <c r="E8716" s="81" t="s">
        <v>3662</v>
      </c>
      <c r="F8716" s="81">
        <v>696.0</v>
      </c>
      <c r="G8716" s="81" t="s">
        <v>42</v>
      </c>
      <c r="H8716" s="81" t="s">
        <v>224</v>
      </c>
      <c r="I8716" s="81" t="s">
        <v>3670</v>
      </c>
      <c r="J8716" s="81" t="s">
        <v>224</v>
      </c>
    </row>
    <row r="8717">
      <c r="A8717" s="83" t="s">
        <v>6773</v>
      </c>
      <c r="B8717" s="83" t="s">
        <v>6774</v>
      </c>
      <c r="C8717" s="81" t="s">
        <v>4621</v>
      </c>
      <c r="D8717" s="83" t="s">
        <v>4764</v>
      </c>
      <c r="E8717" s="81" t="s">
        <v>3672</v>
      </c>
      <c r="F8717" s="81">
        <v>697.0</v>
      </c>
      <c r="G8717" s="81" t="s">
        <v>42</v>
      </c>
      <c r="H8717" s="81" t="s">
        <v>224</v>
      </c>
      <c r="I8717" s="81" t="s">
        <v>3670</v>
      </c>
      <c r="J8717" s="81" t="s">
        <v>224</v>
      </c>
    </row>
    <row r="8718">
      <c r="A8718" s="83" t="s">
        <v>6773</v>
      </c>
      <c r="B8718" s="83" t="s">
        <v>6774</v>
      </c>
      <c r="C8718" s="81" t="s">
        <v>4621</v>
      </c>
      <c r="D8718" s="83" t="s">
        <v>4765</v>
      </c>
      <c r="E8718" s="81" t="s">
        <v>3673</v>
      </c>
      <c r="F8718" s="81">
        <v>698.0</v>
      </c>
      <c r="G8718" s="81" t="s">
        <v>42</v>
      </c>
      <c r="H8718" s="81" t="s">
        <v>224</v>
      </c>
      <c r="I8718" s="81" t="s">
        <v>3670</v>
      </c>
      <c r="J8718" s="81" t="s">
        <v>224</v>
      </c>
    </row>
    <row r="8719">
      <c r="A8719" s="83" t="s">
        <v>6773</v>
      </c>
      <c r="B8719" s="83" t="s">
        <v>6774</v>
      </c>
      <c r="C8719" s="81" t="s">
        <v>4621</v>
      </c>
      <c r="D8719" s="83" t="s">
        <v>4766</v>
      </c>
      <c r="E8719" s="81" t="s">
        <v>3676</v>
      </c>
      <c r="F8719" s="81">
        <v>699.0</v>
      </c>
      <c r="G8719" s="81" t="s">
        <v>42</v>
      </c>
      <c r="H8719" s="81" t="s">
        <v>224</v>
      </c>
      <c r="I8719" s="81" t="s">
        <v>3670</v>
      </c>
      <c r="J8719" s="81" t="s">
        <v>224</v>
      </c>
    </row>
    <row r="8720">
      <c r="A8720" s="83" t="s">
        <v>6773</v>
      </c>
      <c r="B8720" s="83" t="s">
        <v>6774</v>
      </c>
      <c r="C8720" s="81" t="s">
        <v>4621</v>
      </c>
      <c r="D8720" s="83" t="s">
        <v>4767</v>
      </c>
      <c r="E8720" s="81" t="s">
        <v>3679</v>
      </c>
      <c r="F8720" s="81">
        <v>700.0</v>
      </c>
      <c r="G8720" s="81" t="s">
        <v>42</v>
      </c>
      <c r="H8720" s="81" t="s">
        <v>224</v>
      </c>
      <c r="I8720" s="81" t="s">
        <v>3670</v>
      </c>
      <c r="J8720" s="81" t="s">
        <v>224</v>
      </c>
    </row>
    <row r="8721">
      <c r="A8721" s="83" t="s">
        <v>6773</v>
      </c>
      <c r="B8721" s="83" t="s">
        <v>6774</v>
      </c>
      <c r="C8721" s="81" t="s">
        <v>4621</v>
      </c>
      <c r="D8721" s="83" t="s">
        <v>4768</v>
      </c>
      <c r="E8721" s="81" t="s">
        <v>3682</v>
      </c>
      <c r="F8721" s="81">
        <v>701.0</v>
      </c>
      <c r="G8721" s="81" t="s">
        <v>42</v>
      </c>
      <c r="H8721" s="81" t="s">
        <v>224</v>
      </c>
      <c r="I8721" s="81" t="s">
        <v>3670</v>
      </c>
      <c r="J8721" s="81" t="s">
        <v>224</v>
      </c>
    </row>
    <row r="8722">
      <c r="A8722" s="83" t="s">
        <v>6773</v>
      </c>
      <c r="B8722" s="83" t="s">
        <v>6774</v>
      </c>
      <c r="C8722" s="81" t="s">
        <v>4621</v>
      </c>
      <c r="D8722" s="83" t="s">
        <v>4769</v>
      </c>
      <c r="E8722" s="81" t="s">
        <v>3685</v>
      </c>
      <c r="F8722" s="81">
        <v>702.0</v>
      </c>
      <c r="G8722" s="81" t="s">
        <v>42</v>
      </c>
      <c r="H8722" s="81" t="s">
        <v>224</v>
      </c>
      <c r="I8722" s="81" t="s">
        <v>3670</v>
      </c>
      <c r="J8722" s="81" t="s">
        <v>224</v>
      </c>
    </row>
    <row r="8723">
      <c r="A8723" s="83" t="s">
        <v>6773</v>
      </c>
      <c r="B8723" s="83" t="s">
        <v>6774</v>
      </c>
      <c r="C8723" s="81" t="s">
        <v>4621</v>
      </c>
      <c r="D8723" s="83" t="s">
        <v>4770</v>
      </c>
      <c r="E8723" s="81" t="s">
        <v>3688</v>
      </c>
      <c r="F8723" s="81">
        <v>703.0</v>
      </c>
      <c r="G8723" s="81" t="s">
        <v>42</v>
      </c>
      <c r="H8723" s="81" t="s">
        <v>224</v>
      </c>
      <c r="I8723" s="81" t="s">
        <v>3696</v>
      </c>
      <c r="J8723" s="81" t="s">
        <v>224</v>
      </c>
    </row>
    <row r="8724">
      <c r="A8724" s="83" t="s">
        <v>6773</v>
      </c>
      <c r="B8724" s="83" t="s">
        <v>6774</v>
      </c>
      <c r="C8724" s="81" t="s">
        <v>4621</v>
      </c>
      <c r="D8724" s="83" t="s">
        <v>4770</v>
      </c>
      <c r="E8724" s="81" t="s">
        <v>3697</v>
      </c>
      <c r="F8724" s="81">
        <v>704.0</v>
      </c>
      <c r="G8724" s="81" t="s">
        <v>42</v>
      </c>
      <c r="H8724" s="81" t="s">
        <v>224</v>
      </c>
      <c r="I8724" s="81" t="s">
        <v>3696</v>
      </c>
      <c r="J8724" s="81" t="s">
        <v>224</v>
      </c>
    </row>
    <row r="8725">
      <c r="A8725" s="83" t="s">
        <v>6773</v>
      </c>
      <c r="B8725" s="83" t="s">
        <v>6774</v>
      </c>
      <c r="C8725" s="81" t="s">
        <v>4621</v>
      </c>
      <c r="D8725" s="83" t="s">
        <v>4771</v>
      </c>
      <c r="E8725" s="81" t="s">
        <v>3698</v>
      </c>
      <c r="F8725" s="81">
        <v>705.0</v>
      </c>
      <c r="G8725" s="81" t="s">
        <v>42</v>
      </c>
      <c r="H8725" s="81" t="s">
        <v>224</v>
      </c>
      <c r="I8725" s="81" t="s">
        <v>3696</v>
      </c>
      <c r="J8725" s="81" t="s">
        <v>224</v>
      </c>
    </row>
    <row r="8726">
      <c r="A8726" s="83" t="s">
        <v>6773</v>
      </c>
      <c r="B8726" s="83" t="s">
        <v>6774</v>
      </c>
      <c r="C8726" s="81" t="s">
        <v>4621</v>
      </c>
      <c r="D8726" s="83" t="s">
        <v>4772</v>
      </c>
      <c r="E8726" s="81" t="s">
        <v>3701</v>
      </c>
      <c r="F8726" s="81">
        <v>706.0</v>
      </c>
      <c r="G8726" s="81" t="s">
        <v>42</v>
      </c>
      <c r="H8726" s="81" t="s">
        <v>224</v>
      </c>
      <c r="I8726" s="81" t="s">
        <v>3696</v>
      </c>
      <c r="J8726" s="81" t="s">
        <v>224</v>
      </c>
    </row>
    <row r="8727">
      <c r="A8727" s="83" t="s">
        <v>6773</v>
      </c>
      <c r="B8727" s="83" t="s">
        <v>6774</v>
      </c>
      <c r="C8727" s="81" t="s">
        <v>4621</v>
      </c>
      <c r="D8727" s="83" t="s">
        <v>4773</v>
      </c>
      <c r="E8727" s="81" t="s">
        <v>3704</v>
      </c>
      <c r="F8727" s="81">
        <v>707.0</v>
      </c>
      <c r="G8727" s="81" t="s">
        <v>42</v>
      </c>
      <c r="H8727" s="81" t="s">
        <v>224</v>
      </c>
      <c r="I8727" s="81" t="s">
        <v>3696</v>
      </c>
      <c r="J8727" s="81" t="s">
        <v>224</v>
      </c>
    </row>
    <row r="8728">
      <c r="A8728" s="83" t="s">
        <v>6773</v>
      </c>
      <c r="B8728" s="83" t="s">
        <v>6774</v>
      </c>
      <c r="C8728" s="81" t="s">
        <v>4621</v>
      </c>
      <c r="D8728" s="83" t="s">
        <v>4774</v>
      </c>
      <c r="E8728" s="81" t="s">
        <v>3707</v>
      </c>
      <c r="F8728" s="81">
        <v>708.0</v>
      </c>
      <c r="G8728" s="81" t="s">
        <v>42</v>
      </c>
      <c r="H8728" s="81" t="s">
        <v>224</v>
      </c>
      <c r="I8728" s="81" t="s">
        <v>3696</v>
      </c>
      <c r="J8728" s="81" t="s">
        <v>224</v>
      </c>
    </row>
    <row r="8729">
      <c r="A8729" s="83" t="s">
        <v>6773</v>
      </c>
      <c r="B8729" s="83" t="s">
        <v>6774</v>
      </c>
      <c r="C8729" s="81" t="s">
        <v>4621</v>
      </c>
      <c r="D8729" s="83" t="s">
        <v>4775</v>
      </c>
      <c r="E8729" s="81" t="s">
        <v>3710</v>
      </c>
      <c r="F8729" s="81">
        <v>709.0</v>
      </c>
      <c r="G8729" s="81" t="s">
        <v>42</v>
      </c>
      <c r="H8729" s="81" t="s">
        <v>224</v>
      </c>
      <c r="I8729" s="81" t="s">
        <v>3696</v>
      </c>
      <c r="J8729" s="81" t="s">
        <v>224</v>
      </c>
    </row>
    <row r="8730">
      <c r="A8730" s="83" t="s">
        <v>6773</v>
      </c>
      <c r="B8730" s="83" t="s">
        <v>6774</v>
      </c>
      <c r="C8730" s="81" t="s">
        <v>4621</v>
      </c>
      <c r="D8730" s="83" t="s">
        <v>4776</v>
      </c>
      <c r="E8730" s="81" t="s">
        <v>3713</v>
      </c>
      <c r="F8730" s="81">
        <v>710.0</v>
      </c>
      <c r="G8730" s="81" t="s">
        <v>42</v>
      </c>
      <c r="H8730" s="81" t="s">
        <v>224</v>
      </c>
      <c r="I8730" s="81" t="s">
        <v>3696</v>
      </c>
      <c r="J8730" s="81" t="s">
        <v>224</v>
      </c>
    </row>
    <row r="8731">
      <c r="A8731" s="83" t="s">
        <v>6773</v>
      </c>
      <c r="B8731" s="83" t="s">
        <v>6774</v>
      </c>
      <c r="C8731" s="81" t="s">
        <v>4621</v>
      </c>
      <c r="D8731" s="83" t="s">
        <v>4777</v>
      </c>
      <c r="E8731" s="81" t="s">
        <v>3716</v>
      </c>
      <c r="F8731" s="81">
        <v>711.0</v>
      </c>
      <c r="G8731" s="81" t="s">
        <v>43</v>
      </c>
      <c r="H8731" s="81" t="s">
        <v>224</v>
      </c>
      <c r="I8731" s="81" t="s">
        <v>3727</v>
      </c>
      <c r="J8731" s="81" t="s">
        <v>224</v>
      </c>
    </row>
    <row r="8732">
      <c r="A8732" s="83" t="s">
        <v>6773</v>
      </c>
      <c r="B8732" s="83" t="s">
        <v>6774</v>
      </c>
      <c r="C8732" s="81" t="s">
        <v>4621</v>
      </c>
      <c r="D8732" s="83" t="s">
        <v>4777</v>
      </c>
      <c r="E8732" s="81" t="s">
        <v>3716</v>
      </c>
      <c r="F8732" s="81">
        <v>711.0</v>
      </c>
      <c r="G8732" s="81" t="s">
        <v>42</v>
      </c>
      <c r="H8732" s="81" t="s">
        <v>224</v>
      </c>
      <c r="I8732" s="81" t="s">
        <v>3726</v>
      </c>
      <c r="J8732" s="81" t="s">
        <v>224</v>
      </c>
    </row>
    <row r="8733">
      <c r="A8733" s="83" t="s">
        <v>6773</v>
      </c>
      <c r="B8733" s="83" t="s">
        <v>6774</v>
      </c>
      <c r="C8733" s="81" t="s">
        <v>4621</v>
      </c>
      <c r="D8733" s="83" t="s">
        <v>4777</v>
      </c>
      <c r="E8733" s="81" t="s">
        <v>3730</v>
      </c>
      <c r="F8733" s="81">
        <v>712.0</v>
      </c>
      <c r="G8733" s="81" t="s">
        <v>43</v>
      </c>
      <c r="H8733" s="81" t="s">
        <v>224</v>
      </c>
      <c r="I8733" s="81" t="s">
        <v>3727</v>
      </c>
      <c r="J8733" s="81" t="s">
        <v>224</v>
      </c>
    </row>
    <row r="8734">
      <c r="A8734" s="83" t="s">
        <v>6773</v>
      </c>
      <c r="B8734" s="83" t="s">
        <v>6774</v>
      </c>
      <c r="C8734" s="81" t="s">
        <v>4621</v>
      </c>
      <c r="D8734" s="83" t="s">
        <v>4778</v>
      </c>
      <c r="E8734" s="81" t="s">
        <v>3731</v>
      </c>
      <c r="F8734" s="81">
        <v>713.0</v>
      </c>
      <c r="G8734" s="81" t="s">
        <v>43</v>
      </c>
      <c r="H8734" s="81" t="s">
        <v>224</v>
      </c>
      <c r="I8734" s="81" t="s">
        <v>3727</v>
      </c>
      <c r="J8734" s="81" t="s">
        <v>224</v>
      </c>
    </row>
    <row r="8735">
      <c r="A8735" s="83" t="s">
        <v>6773</v>
      </c>
      <c r="B8735" s="83" t="s">
        <v>6774</v>
      </c>
      <c r="C8735" s="81" t="s">
        <v>4621</v>
      </c>
      <c r="D8735" s="83" t="s">
        <v>4779</v>
      </c>
      <c r="E8735" s="81" t="s">
        <v>3735</v>
      </c>
      <c r="F8735" s="81">
        <v>714.0</v>
      </c>
      <c r="G8735" s="81" t="s">
        <v>43</v>
      </c>
      <c r="H8735" s="81" t="s">
        <v>224</v>
      </c>
      <c r="I8735" s="81" t="s">
        <v>3743</v>
      </c>
      <c r="J8735" s="81" t="s">
        <v>224</v>
      </c>
    </row>
    <row r="8736">
      <c r="A8736" s="83" t="s">
        <v>6773</v>
      </c>
      <c r="B8736" s="83" t="s">
        <v>6774</v>
      </c>
      <c r="C8736" s="81" t="s">
        <v>4621</v>
      </c>
      <c r="D8736" s="83" t="s">
        <v>4779</v>
      </c>
      <c r="E8736" s="81" t="s">
        <v>3735</v>
      </c>
      <c r="F8736" s="81">
        <v>714.0</v>
      </c>
      <c r="G8736" s="81" t="s">
        <v>42</v>
      </c>
      <c r="H8736" s="81" t="s">
        <v>224</v>
      </c>
      <c r="I8736" s="81" t="s">
        <v>3742</v>
      </c>
      <c r="J8736" s="81" t="s">
        <v>224</v>
      </c>
    </row>
    <row r="8737">
      <c r="A8737" s="83" t="s">
        <v>6773</v>
      </c>
      <c r="B8737" s="83" t="s">
        <v>6774</v>
      </c>
      <c r="C8737" s="81" t="s">
        <v>4621</v>
      </c>
      <c r="D8737" s="83" t="s">
        <v>4779</v>
      </c>
      <c r="E8737" s="81" t="s">
        <v>3746</v>
      </c>
      <c r="F8737" s="81">
        <v>715.0</v>
      </c>
      <c r="G8737" s="81" t="s">
        <v>43</v>
      </c>
      <c r="H8737" s="81" t="s">
        <v>224</v>
      </c>
      <c r="I8737" s="81" t="s">
        <v>3743</v>
      </c>
      <c r="J8737" s="81" t="s">
        <v>224</v>
      </c>
    </row>
    <row r="8738">
      <c r="A8738" s="83" t="s">
        <v>6773</v>
      </c>
      <c r="B8738" s="83" t="s">
        <v>6774</v>
      </c>
      <c r="C8738" s="81" t="s">
        <v>4621</v>
      </c>
      <c r="D8738" s="83" t="s">
        <v>4780</v>
      </c>
      <c r="E8738" s="81" t="s">
        <v>3747</v>
      </c>
      <c r="F8738" s="81">
        <v>716.0</v>
      </c>
      <c r="G8738" s="81" t="s">
        <v>43</v>
      </c>
      <c r="H8738" s="81" t="s">
        <v>224</v>
      </c>
      <c r="I8738" s="81" t="s">
        <v>3743</v>
      </c>
      <c r="J8738" s="81" t="s">
        <v>224</v>
      </c>
    </row>
    <row r="8739">
      <c r="A8739" s="83" t="s">
        <v>6773</v>
      </c>
      <c r="B8739" s="83" t="s">
        <v>6774</v>
      </c>
      <c r="C8739" s="81" t="s">
        <v>4621</v>
      </c>
      <c r="D8739" s="83" t="s">
        <v>4781</v>
      </c>
      <c r="E8739" s="81" t="s">
        <v>3751</v>
      </c>
      <c r="F8739" s="81">
        <v>717.0</v>
      </c>
      <c r="G8739" s="81" t="s">
        <v>43</v>
      </c>
      <c r="H8739" s="81" t="s">
        <v>224</v>
      </c>
      <c r="I8739" s="81" t="s">
        <v>3758</v>
      </c>
      <c r="J8739" s="81" t="s">
        <v>224</v>
      </c>
    </row>
    <row r="8740">
      <c r="A8740" s="83" t="s">
        <v>6773</v>
      </c>
      <c r="B8740" s="83" t="s">
        <v>6774</v>
      </c>
      <c r="C8740" s="81" t="s">
        <v>4621</v>
      </c>
      <c r="D8740" s="83" t="s">
        <v>4781</v>
      </c>
      <c r="E8740" s="81" t="s">
        <v>3751</v>
      </c>
      <c r="F8740" s="81">
        <v>717.0</v>
      </c>
      <c r="G8740" s="81" t="s">
        <v>42</v>
      </c>
      <c r="H8740" s="81" t="s">
        <v>224</v>
      </c>
      <c r="I8740" s="81" t="s">
        <v>3757</v>
      </c>
      <c r="J8740" s="81" t="s">
        <v>224</v>
      </c>
    </row>
    <row r="8741">
      <c r="A8741" s="83" t="s">
        <v>6773</v>
      </c>
      <c r="B8741" s="83" t="s">
        <v>6774</v>
      </c>
      <c r="C8741" s="81" t="s">
        <v>4621</v>
      </c>
      <c r="D8741" s="83" t="s">
        <v>4781</v>
      </c>
      <c r="E8741" s="81" t="s">
        <v>3761</v>
      </c>
      <c r="F8741" s="81">
        <v>718.0</v>
      </c>
      <c r="G8741" s="81" t="s">
        <v>43</v>
      </c>
      <c r="H8741" s="81" t="s">
        <v>224</v>
      </c>
      <c r="I8741" s="81" t="s">
        <v>3758</v>
      </c>
      <c r="J8741" s="81" t="s">
        <v>224</v>
      </c>
    </row>
    <row r="8742">
      <c r="A8742" s="83" t="s">
        <v>6773</v>
      </c>
      <c r="B8742" s="83" t="s">
        <v>6774</v>
      </c>
      <c r="C8742" s="81" t="s">
        <v>4621</v>
      </c>
      <c r="D8742" s="83" t="s">
        <v>4782</v>
      </c>
      <c r="E8742" s="81" t="s">
        <v>3762</v>
      </c>
      <c r="F8742" s="81">
        <v>719.0</v>
      </c>
      <c r="G8742" s="81" t="s">
        <v>43</v>
      </c>
      <c r="H8742" s="81" t="s">
        <v>224</v>
      </c>
      <c r="I8742" s="81" t="s">
        <v>3758</v>
      </c>
      <c r="J8742" s="81" t="s">
        <v>224</v>
      </c>
    </row>
    <row r="8743">
      <c r="A8743" s="83" t="s">
        <v>6773</v>
      </c>
      <c r="B8743" s="83" t="s">
        <v>6774</v>
      </c>
      <c r="C8743" s="81" t="s">
        <v>4621</v>
      </c>
      <c r="D8743" s="83" t="s">
        <v>4810</v>
      </c>
      <c r="E8743" s="81" t="s">
        <v>3871</v>
      </c>
      <c r="F8743" s="81">
        <v>751.0</v>
      </c>
      <c r="G8743" s="81" t="s">
        <v>43</v>
      </c>
      <c r="H8743" s="81" t="s">
        <v>224</v>
      </c>
      <c r="I8743" s="81" t="s">
        <v>3326</v>
      </c>
      <c r="J8743" s="81" t="s">
        <v>224</v>
      </c>
    </row>
    <row r="8744">
      <c r="A8744" s="83" t="s">
        <v>6773</v>
      </c>
      <c r="B8744" s="83" t="s">
        <v>6774</v>
      </c>
      <c r="C8744" s="81" t="s">
        <v>4621</v>
      </c>
      <c r="D8744" s="83" t="s">
        <v>4810</v>
      </c>
      <c r="E8744" s="81" t="s">
        <v>3871</v>
      </c>
      <c r="F8744" s="81">
        <v>751.0</v>
      </c>
      <c r="G8744" s="81" t="s">
        <v>42</v>
      </c>
      <c r="H8744" s="81" t="s">
        <v>6401</v>
      </c>
      <c r="I8744" s="81" t="s">
        <v>3325</v>
      </c>
      <c r="J8744" s="81" t="s">
        <v>224</v>
      </c>
    </row>
    <row r="8745">
      <c r="A8745" s="83" t="s">
        <v>6773</v>
      </c>
      <c r="B8745" s="83" t="s">
        <v>6774</v>
      </c>
      <c r="C8745" s="81" t="s">
        <v>4621</v>
      </c>
      <c r="D8745" s="83" t="s">
        <v>4811</v>
      </c>
      <c r="E8745" s="81" t="s">
        <v>3874</v>
      </c>
      <c r="F8745" s="81">
        <v>752.0</v>
      </c>
      <c r="G8745" s="81" t="s">
        <v>42</v>
      </c>
      <c r="H8745" s="81" t="s">
        <v>224</v>
      </c>
      <c r="I8745" s="81" t="s">
        <v>3809</v>
      </c>
      <c r="J8745" s="81" t="s">
        <v>224</v>
      </c>
    </row>
    <row r="8746">
      <c r="A8746" s="83" t="s">
        <v>6773</v>
      </c>
      <c r="B8746" s="83" t="s">
        <v>6774</v>
      </c>
      <c r="C8746" s="81" t="s">
        <v>4621</v>
      </c>
      <c r="D8746" s="83" t="s">
        <v>4813</v>
      </c>
      <c r="E8746" s="81" t="s">
        <v>3877</v>
      </c>
      <c r="F8746" s="81">
        <v>753.0</v>
      </c>
      <c r="G8746" s="81" t="s">
        <v>42</v>
      </c>
      <c r="H8746" s="81" t="s">
        <v>224</v>
      </c>
      <c r="I8746" s="81" t="s">
        <v>3818</v>
      </c>
      <c r="J8746" s="81" t="s">
        <v>224</v>
      </c>
    </row>
    <row r="8747">
      <c r="A8747" s="83" t="s">
        <v>6773</v>
      </c>
      <c r="B8747" s="83" t="s">
        <v>6774</v>
      </c>
      <c r="C8747" s="81" t="s">
        <v>4621</v>
      </c>
      <c r="D8747" s="83" t="s">
        <v>4816</v>
      </c>
      <c r="E8747" s="81" t="s">
        <v>3885</v>
      </c>
      <c r="F8747" s="81">
        <v>756.0</v>
      </c>
      <c r="G8747" s="81" t="s">
        <v>43</v>
      </c>
      <c r="H8747" s="81" t="s">
        <v>224</v>
      </c>
      <c r="I8747" s="81" t="s">
        <v>3892</v>
      </c>
      <c r="J8747" s="81" t="s">
        <v>224</v>
      </c>
    </row>
    <row r="8748">
      <c r="A8748" s="83" t="s">
        <v>6773</v>
      </c>
      <c r="B8748" s="83" t="s">
        <v>6774</v>
      </c>
      <c r="C8748" s="81" t="s">
        <v>4621</v>
      </c>
      <c r="D8748" s="83" t="s">
        <v>4816</v>
      </c>
      <c r="E8748" s="81" t="s">
        <v>3885</v>
      </c>
      <c r="F8748" s="81">
        <v>756.0</v>
      </c>
      <c r="G8748" s="81" t="s">
        <v>42</v>
      </c>
      <c r="H8748" s="81" t="s">
        <v>3088</v>
      </c>
      <c r="I8748" s="81" t="s">
        <v>3891</v>
      </c>
      <c r="J8748" s="81" t="s">
        <v>224</v>
      </c>
    </row>
    <row r="8749">
      <c r="A8749" s="83" t="s">
        <v>6773</v>
      </c>
      <c r="B8749" s="83" t="s">
        <v>6774</v>
      </c>
      <c r="C8749" s="81" t="s">
        <v>4621</v>
      </c>
      <c r="D8749" s="83" t="s">
        <v>4816</v>
      </c>
      <c r="E8749" s="81" t="s">
        <v>3895</v>
      </c>
      <c r="F8749" s="81">
        <v>757.0</v>
      </c>
      <c r="G8749" s="81" t="s">
        <v>43</v>
      </c>
      <c r="H8749" s="81" t="s">
        <v>224</v>
      </c>
      <c r="I8749" s="81" t="s">
        <v>3892</v>
      </c>
      <c r="J8749" s="81" t="s">
        <v>224</v>
      </c>
    </row>
    <row r="8750">
      <c r="A8750" s="83" t="s">
        <v>6773</v>
      </c>
      <c r="B8750" s="83" t="s">
        <v>6774</v>
      </c>
      <c r="C8750" s="81" t="s">
        <v>4621</v>
      </c>
      <c r="D8750" s="83" t="s">
        <v>4816</v>
      </c>
      <c r="E8750" s="81" t="s">
        <v>3895</v>
      </c>
      <c r="F8750" s="81">
        <v>757.0</v>
      </c>
      <c r="G8750" s="81" t="s">
        <v>42</v>
      </c>
      <c r="H8750" s="81" t="s">
        <v>3088</v>
      </c>
      <c r="I8750" s="81" t="s">
        <v>3891</v>
      </c>
      <c r="J8750" s="81" t="s">
        <v>224</v>
      </c>
    </row>
    <row r="8751">
      <c r="A8751" s="83" t="s">
        <v>6773</v>
      </c>
      <c r="B8751" s="83" t="s">
        <v>6774</v>
      </c>
      <c r="C8751" s="81" t="s">
        <v>4621</v>
      </c>
      <c r="D8751" s="83" t="s">
        <v>4818</v>
      </c>
      <c r="E8751" s="81" t="s">
        <v>3896</v>
      </c>
      <c r="F8751" s="81">
        <v>758.0</v>
      </c>
      <c r="G8751" s="81" t="s">
        <v>43</v>
      </c>
      <c r="H8751" s="81" t="s">
        <v>224</v>
      </c>
      <c r="I8751" s="81" t="s">
        <v>3892</v>
      </c>
      <c r="J8751" s="81" t="s">
        <v>224</v>
      </c>
    </row>
    <row r="8752">
      <c r="A8752" s="83" t="s">
        <v>6773</v>
      </c>
      <c r="B8752" s="83" t="s">
        <v>6774</v>
      </c>
      <c r="C8752" s="81" t="s">
        <v>4621</v>
      </c>
      <c r="D8752" s="83" t="s">
        <v>4818</v>
      </c>
      <c r="E8752" s="81" t="s">
        <v>3896</v>
      </c>
      <c r="F8752" s="81">
        <v>758.0</v>
      </c>
      <c r="G8752" s="81" t="s">
        <v>42</v>
      </c>
      <c r="H8752" s="81" t="s">
        <v>3088</v>
      </c>
      <c r="I8752" s="81" t="s">
        <v>3891</v>
      </c>
      <c r="J8752" s="81" t="s">
        <v>224</v>
      </c>
    </row>
    <row r="8753">
      <c r="A8753" s="83" t="s">
        <v>6773</v>
      </c>
      <c r="B8753" s="83" t="s">
        <v>6774</v>
      </c>
      <c r="C8753" s="81" t="s">
        <v>4621</v>
      </c>
      <c r="D8753" s="83" t="s">
        <v>4776</v>
      </c>
      <c r="E8753" s="81" t="s">
        <v>3899</v>
      </c>
      <c r="F8753" s="81">
        <v>759.0</v>
      </c>
      <c r="G8753" s="81" t="s">
        <v>42</v>
      </c>
      <c r="H8753" s="81" t="s">
        <v>224</v>
      </c>
      <c r="I8753" s="81" t="s">
        <v>3696</v>
      </c>
      <c r="J8753" s="81" t="s">
        <v>224</v>
      </c>
    </row>
    <row r="8754">
      <c r="A8754" s="83" t="s">
        <v>6773</v>
      </c>
      <c r="B8754" s="83" t="s">
        <v>6774</v>
      </c>
      <c r="C8754" s="81" t="s">
        <v>4621</v>
      </c>
      <c r="D8754" s="83" t="s">
        <v>4819</v>
      </c>
      <c r="E8754" s="81" t="s">
        <v>3900</v>
      </c>
      <c r="F8754" s="81">
        <v>760.0</v>
      </c>
      <c r="G8754" s="81" t="s">
        <v>42</v>
      </c>
      <c r="H8754" s="81" t="s">
        <v>224</v>
      </c>
      <c r="I8754" s="81" t="s">
        <v>3696</v>
      </c>
      <c r="J8754" s="81" t="s">
        <v>224</v>
      </c>
    </row>
    <row r="8755">
      <c r="A8755" s="83" t="s">
        <v>6773</v>
      </c>
      <c r="B8755" s="83" t="s">
        <v>6774</v>
      </c>
      <c r="C8755" s="81" t="s">
        <v>4621</v>
      </c>
      <c r="D8755" s="83" t="s">
        <v>4820</v>
      </c>
      <c r="E8755" s="81" t="s">
        <v>3903</v>
      </c>
      <c r="F8755" s="81">
        <v>761.0</v>
      </c>
      <c r="G8755" s="81" t="s">
        <v>42</v>
      </c>
      <c r="H8755" s="81" t="s">
        <v>224</v>
      </c>
      <c r="I8755" s="81" t="s">
        <v>3696</v>
      </c>
      <c r="J8755" s="81" t="s">
        <v>224</v>
      </c>
    </row>
    <row r="8756">
      <c r="A8756" s="83" t="s">
        <v>6773</v>
      </c>
      <c r="B8756" s="83" t="s">
        <v>6774</v>
      </c>
      <c r="C8756" s="81" t="s">
        <v>4621</v>
      </c>
      <c r="D8756" s="83" t="s">
        <v>4821</v>
      </c>
      <c r="E8756" s="81" t="s">
        <v>3906</v>
      </c>
      <c r="F8756" s="81">
        <v>762.0</v>
      </c>
      <c r="G8756" s="81" t="s">
        <v>42</v>
      </c>
      <c r="H8756" s="81" t="s">
        <v>224</v>
      </c>
      <c r="I8756" s="81" t="s">
        <v>3696</v>
      </c>
      <c r="J8756" s="81" t="s">
        <v>224</v>
      </c>
    </row>
    <row r="8757">
      <c r="A8757" s="83" t="s">
        <v>6773</v>
      </c>
      <c r="B8757" s="83" t="s">
        <v>6774</v>
      </c>
      <c r="C8757" s="81" t="s">
        <v>4621</v>
      </c>
      <c r="D8757" s="83" t="s">
        <v>4822</v>
      </c>
      <c r="E8757" s="81" t="s">
        <v>3909</v>
      </c>
      <c r="F8757" s="81">
        <v>763.0</v>
      </c>
      <c r="G8757" s="81" t="s">
        <v>42</v>
      </c>
      <c r="H8757" s="81" t="s">
        <v>224</v>
      </c>
      <c r="I8757" s="81" t="s">
        <v>3915</v>
      </c>
      <c r="J8757" s="81" t="s">
        <v>224</v>
      </c>
    </row>
    <row r="8758">
      <c r="A8758" s="83" t="s">
        <v>6773</v>
      </c>
      <c r="B8758" s="83" t="s">
        <v>6774</v>
      </c>
      <c r="C8758" s="81" t="s">
        <v>4621</v>
      </c>
      <c r="D8758" s="83" t="s">
        <v>4822</v>
      </c>
      <c r="E8758" s="81" t="s">
        <v>3916</v>
      </c>
      <c r="F8758" s="81">
        <v>764.0</v>
      </c>
      <c r="G8758" s="81" t="s">
        <v>42</v>
      </c>
      <c r="H8758" s="81" t="s">
        <v>224</v>
      </c>
      <c r="I8758" s="81" t="s">
        <v>3915</v>
      </c>
      <c r="J8758" s="81" t="s">
        <v>224</v>
      </c>
    </row>
    <row r="8759">
      <c r="A8759" s="83" t="s">
        <v>6773</v>
      </c>
      <c r="B8759" s="83" t="s">
        <v>6774</v>
      </c>
      <c r="C8759" s="81" t="s">
        <v>4621</v>
      </c>
      <c r="D8759" s="83" t="s">
        <v>4823</v>
      </c>
      <c r="E8759" s="81" t="s">
        <v>3917</v>
      </c>
      <c r="F8759" s="81">
        <v>765.0</v>
      </c>
      <c r="G8759" s="81" t="s">
        <v>42</v>
      </c>
      <c r="H8759" s="81" t="s">
        <v>224</v>
      </c>
      <c r="I8759" s="81" t="s">
        <v>3915</v>
      </c>
      <c r="J8759" s="81" t="s">
        <v>224</v>
      </c>
    </row>
    <row r="8760">
      <c r="A8760" s="83" t="s">
        <v>6773</v>
      </c>
      <c r="B8760" s="83" t="s">
        <v>6774</v>
      </c>
      <c r="C8760" s="81" t="s">
        <v>4621</v>
      </c>
      <c r="D8760" s="83" t="s">
        <v>4824</v>
      </c>
      <c r="E8760" s="81" t="s">
        <v>3920</v>
      </c>
      <c r="F8760" s="81">
        <v>766.0</v>
      </c>
      <c r="G8760" s="81" t="s">
        <v>42</v>
      </c>
      <c r="H8760" s="81" t="s">
        <v>224</v>
      </c>
      <c r="I8760" s="81" t="s">
        <v>3915</v>
      </c>
      <c r="J8760" s="81" t="s">
        <v>224</v>
      </c>
    </row>
    <row r="8761">
      <c r="A8761" s="83" t="s">
        <v>6773</v>
      </c>
      <c r="B8761" s="83" t="s">
        <v>6774</v>
      </c>
      <c r="C8761" s="81" t="s">
        <v>4621</v>
      </c>
      <c r="D8761" s="83" t="s">
        <v>4825</v>
      </c>
      <c r="E8761" s="81" t="s">
        <v>3923</v>
      </c>
      <c r="F8761" s="81">
        <v>767.0</v>
      </c>
      <c r="G8761" s="81" t="s">
        <v>42</v>
      </c>
      <c r="H8761" s="81" t="s">
        <v>224</v>
      </c>
      <c r="I8761" s="81" t="s">
        <v>3915</v>
      </c>
      <c r="J8761" s="81" t="s">
        <v>224</v>
      </c>
    </row>
    <row r="8762">
      <c r="A8762" s="83" t="s">
        <v>6773</v>
      </c>
      <c r="B8762" s="83" t="s">
        <v>6774</v>
      </c>
      <c r="C8762" s="81" t="s">
        <v>4621</v>
      </c>
      <c r="D8762" s="83" t="s">
        <v>4826</v>
      </c>
      <c r="E8762" s="81" t="s">
        <v>3926</v>
      </c>
      <c r="F8762" s="81">
        <v>768.0</v>
      </c>
      <c r="G8762" s="81" t="s">
        <v>42</v>
      </c>
      <c r="H8762" s="81" t="s">
        <v>224</v>
      </c>
      <c r="I8762" s="81" t="s">
        <v>3915</v>
      </c>
      <c r="J8762" s="81" t="s">
        <v>224</v>
      </c>
    </row>
    <row r="8763">
      <c r="A8763" s="83" t="s">
        <v>6773</v>
      </c>
      <c r="B8763" s="83" t="s">
        <v>6774</v>
      </c>
      <c r="C8763" s="81" t="s">
        <v>4621</v>
      </c>
      <c r="D8763" s="83" t="s">
        <v>4827</v>
      </c>
      <c r="E8763" s="81" t="s">
        <v>3929</v>
      </c>
      <c r="F8763" s="81">
        <v>769.0</v>
      </c>
      <c r="G8763" s="81" t="s">
        <v>42</v>
      </c>
      <c r="H8763" s="81" t="s">
        <v>224</v>
      </c>
      <c r="I8763" s="81" t="s">
        <v>3915</v>
      </c>
      <c r="J8763" s="81" t="s">
        <v>224</v>
      </c>
    </row>
    <row r="8764">
      <c r="A8764" s="83" t="s">
        <v>6773</v>
      </c>
      <c r="B8764" s="83" t="s">
        <v>6774</v>
      </c>
      <c r="C8764" s="81" t="s">
        <v>4621</v>
      </c>
      <c r="D8764" s="83" t="s">
        <v>4828</v>
      </c>
      <c r="E8764" s="81" t="s">
        <v>3932</v>
      </c>
      <c r="F8764" s="81">
        <v>770.0</v>
      </c>
      <c r="G8764" s="81" t="s">
        <v>42</v>
      </c>
      <c r="H8764" s="81" t="s">
        <v>224</v>
      </c>
      <c r="I8764" s="81" t="s">
        <v>3915</v>
      </c>
      <c r="J8764" s="81" t="s">
        <v>224</v>
      </c>
    </row>
    <row r="8765">
      <c r="A8765" s="83" t="s">
        <v>6773</v>
      </c>
      <c r="B8765" s="83" t="s">
        <v>6774</v>
      </c>
      <c r="C8765" s="81" t="s">
        <v>4621</v>
      </c>
      <c r="D8765" s="83" t="s">
        <v>4828</v>
      </c>
      <c r="E8765" s="81" t="s">
        <v>3935</v>
      </c>
      <c r="F8765" s="81">
        <v>771.0</v>
      </c>
      <c r="G8765" s="81" t="s">
        <v>42</v>
      </c>
      <c r="H8765" s="81" t="s">
        <v>224</v>
      </c>
      <c r="I8765" s="81" t="s">
        <v>3915</v>
      </c>
      <c r="J8765" s="81" t="s">
        <v>224</v>
      </c>
    </row>
    <row r="8766">
      <c r="A8766" s="83" t="s">
        <v>6773</v>
      </c>
      <c r="B8766" s="83" t="s">
        <v>6774</v>
      </c>
      <c r="C8766" s="81" t="s">
        <v>4621</v>
      </c>
      <c r="D8766" s="83" t="s">
        <v>4829</v>
      </c>
      <c r="E8766" s="81" t="s">
        <v>3936</v>
      </c>
      <c r="F8766" s="81">
        <v>772.0</v>
      </c>
      <c r="G8766" s="81" t="s">
        <v>42</v>
      </c>
      <c r="H8766" s="81" t="s">
        <v>224</v>
      </c>
      <c r="I8766" s="81" t="s">
        <v>3915</v>
      </c>
      <c r="J8766" s="81" t="s">
        <v>224</v>
      </c>
    </row>
    <row r="8767">
      <c r="A8767" s="83" t="s">
        <v>6773</v>
      </c>
      <c r="B8767" s="83" t="s">
        <v>6774</v>
      </c>
      <c r="C8767" s="81" t="s">
        <v>4621</v>
      </c>
      <c r="D8767" s="83" t="s">
        <v>4830</v>
      </c>
      <c r="E8767" s="81" t="s">
        <v>3939</v>
      </c>
      <c r="F8767" s="81">
        <v>773.0</v>
      </c>
      <c r="G8767" s="81" t="s">
        <v>42</v>
      </c>
      <c r="H8767" s="81" t="s">
        <v>224</v>
      </c>
      <c r="I8767" s="81" t="s">
        <v>3915</v>
      </c>
      <c r="J8767" s="81" t="s">
        <v>224</v>
      </c>
    </row>
    <row r="8768">
      <c r="A8768" s="83" t="s">
        <v>6773</v>
      </c>
      <c r="B8768" s="83" t="s">
        <v>6774</v>
      </c>
      <c r="C8768" s="81" t="s">
        <v>4621</v>
      </c>
      <c r="D8768" s="83" t="s">
        <v>4831</v>
      </c>
      <c r="E8768" s="81" t="s">
        <v>3942</v>
      </c>
      <c r="F8768" s="81">
        <v>774.0</v>
      </c>
      <c r="G8768" s="81" t="s">
        <v>42</v>
      </c>
      <c r="H8768" s="81" t="s">
        <v>224</v>
      </c>
      <c r="I8768" s="81" t="s">
        <v>3915</v>
      </c>
      <c r="J8768" s="81" t="s">
        <v>224</v>
      </c>
    </row>
    <row r="8769">
      <c r="A8769" s="83" t="s">
        <v>6773</v>
      </c>
      <c r="B8769" s="83" t="s">
        <v>6774</v>
      </c>
      <c r="C8769" s="81" t="s">
        <v>4621</v>
      </c>
      <c r="D8769" s="83" t="s">
        <v>4832</v>
      </c>
      <c r="E8769" s="81" t="s">
        <v>3945</v>
      </c>
      <c r="F8769" s="81">
        <v>775.0</v>
      </c>
      <c r="G8769" s="81" t="s">
        <v>43</v>
      </c>
      <c r="H8769" s="81" t="s">
        <v>224</v>
      </c>
      <c r="I8769" s="81" t="s">
        <v>3953</v>
      </c>
      <c r="J8769" s="81" t="s">
        <v>224</v>
      </c>
    </row>
    <row r="8770">
      <c r="A8770" s="83" t="s">
        <v>6773</v>
      </c>
      <c r="B8770" s="83" t="s">
        <v>6774</v>
      </c>
      <c r="C8770" s="81" t="s">
        <v>4621</v>
      </c>
      <c r="D8770" s="83" t="s">
        <v>4832</v>
      </c>
      <c r="E8770" s="81" t="s">
        <v>3945</v>
      </c>
      <c r="F8770" s="81">
        <v>775.0</v>
      </c>
      <c r="G8770" s="81" t="s">
        <v>42</v>
      </c>
      <c r="H8770" s="81" t="s">
        <v>224</v>
      </c>
      <c r="I8770" s="81" t="s">
        <v>3952</v>
      </c>
      <c r="J8770" s="81" t="s">
        <v>224</v>
      </c>
    </row>
    <row r="8771">
      <c r="A8771" s="83" t="s">
        <v>6773</v>
      </c>
      <c r="B8771" s="83" t="s">
        <v>6774</v>
      </c>
      <c r="C8771" s="81" t="s">
        <v>4621</v>
      </c>
      <c r="D8771" s="83" t="s">
        <v>4832</v>
      </c>
      <c r="E8771" s="81" t="s">
        <v>3955</v>
      </c>
      <c r="F8771" s="81">
        <v>776.0</v>
      </c>
      <c r="G8771" s="81" t="s">
        <v>43</v>
      </c>
      <c r="H8771" s="81" t="s">
        <v>224</v>
      </c>
      <c r="I8771" s="81" t="s">
        <v>3953</v>
      </c>
      <c r="J8771" s="81" t="s">
        <v>224</v>
      </c>
    </row>
    <row r="8772">
      <c r="A8772" s="83" t="s">
        <v>6773</v>
      </c>
      <c r="B8772" s="83" t="s">
        <v>6774</v>
      </c>
      <c r="C8772" s="81" t="s">
        <v>4621</v>
      </c>
      <c r="D8772" s="83" t="s">
        <v>4832</v>
      </c>
      <c r="E8772" s="81" t="s">
        <v>3955</v>
      </c>
      <c r="F8772" s="81">
        <v>776.0</v>
      </c>
      <c r="G8772" s="81" t="s">
        <v>42</v>
      </c>
      <c r="H8772" s="81" t="s">
        <v>224</v>
      </c>
      <c r="I8772" s="81" t="s">
        <v>3952</v>
      </c>
      <c r="J8772" s="81" t="s">
        <v>224</v>
      </c>
    </row>
    <row r="8773">
      <c r="A8773" s="83" t="s">
        <v>6773</v>
      </c>
      <c r="B8773" s="83" t="s">
        <v>6774</v>
      </c>
      <c r="C8773" s="81" t="s">
        <v>4621</v>
      </c>
      <c r="D8773" s="83" t="s">
        <v>4833</v>
      </c>
      <c r="E8773" s="81" t="s">
        <v>3956</v>
      </c>
      <c r="F8773" s="81">
        <v>777.0</v>
      </c>
      <c r="G8773" s="81" t="s">
        <v>43</v>
      </c>
      <c r="H8773" s="81" t="s">
        <v>224</v>
      </c>
      <c r="I8773" s="81" t="s">
        <v>3953</v>
      </c>
      <c r="J8773" s="81" t="s">
        <v>224</v>
      </c>
    </row>
    <row r="8774">
      <c r="A8774" s="83" t="s">
        <v>6773</v>
      </c>
      <c r="B8774" s="83" t="s">
        <v>6774</v>
      </c>
      <c r="C8774" s="81" t="s">
        <v>4621</v>
      </c>
      <c r="D8774" s="83" t="s">
        <v>4833</v>
      </c>
      <c r="E8774" s="81" t="s">
        <v>3956</v>
      </c>
      <c r="F8774" s="81">
        <v>777.0</v>
      </c>
      <c r="G8774" s="81" t="s">
        <v>42</v>
      </c>
      <c r="H8774" s="81" t="s">
        <v>224</v>
      </c>
      <c r="I8774" s="81" t="s">
        <v>3952</v>
      </c>
      <c r="J8774" s="81" t="s">
        <v>224</v>
      </c>
    </row>
    <row r="8775">
      <c r="A8775" s="83" t="s">
        <v>6773</v>
      </c>
      <c r="B8775" s="83" t="s">
        <v>6774</v>
      </c>
      <c r="C8775" s="81" t="s">
        <v>4621</v>
      </c>
      <c r="D8775" s="83" t="s">
        <v>4834</v>
      </c>
      <c r="E8775" s="81" t="s">
        <v>3959</v>
      </c>
      <c r="F8775" s="81">
        <v>778.0</v>
      </c>
      <c r="G8775" s="81" t="s">
        <v>43</v>
      </c>
      <c r="H8775" s="81" t="s">
        <v>224</v>
      </c>
      <c r="I8775" s="81" t="s">
        <v>3953</v>
      </c>
      <c r="J8775" s="81" t="s">
        <v>224</v>
      </c>
    </row>
    <row r="8776">
      <c r="A8776" s="83" t="s">
        <v>6773</v>
      </c>
      <c r="B8776" s="83" t="s">
        <v>6774</v>
      </c>
      <c r="C8776" s="81" t="s">
        <v>4621</v>
      </c>
      <c r="D8776" s="83" t="s">
        <v>4834</v>
      </c>
      <c r="E8776" s="81" t="s">
        <v>3959</v>
      </c>
      <c r="F8776" s="81">
        <v>778.0</v>
      </c>
      <c r="G8776" s="81" t="s">
        <v>42</v>
      </c>
      <c r="H8776" s="81" t="s">
        <v>224</v>
      </c>
      <c r="I8776" s="81" t="s">
        <v>3952</v>
      </c>
      <c r="J8776" s="81" t="s">
        <v>224</v>
      </c>
    </row>
    <row r="8777">
      <c r="A8777" s="83" t="s">
        <v>6773</v>
      </c>
      <c r="B8777" s="83" t="s">
        <v>6774</v>
      </c>
      <c r="C8777" s="81" t="s">
        <v>4621</v>
      </c>
      <c r="D8777" s="83" t="s">
        <v>4835</v>
      </c>
      <c r="E8777" s="81" t="s">
        <v>3962</v>
      </c>
      <c r="F8777" s="81">
        <v>779.0</v>
      </c>
      <c r="G8777" s="81" t="s">
        <v>43</v>
      </c>
      <c r="H8777" s="81" t="s">
        <v>224</v>
      </c>
      <c r="I8777" s="81" t="s">
        <v>3953</v>
      </c>
      <c r="J8777" s="81" t="s">
        <v>224</v>
      </c>
    </row>
    <row r="8778">
      <c r="A8778" s="83" t="s">
        <v>6773</v>
      </c>
      <c r="B8778" s="83" t="s">
        <v>6774</v>
      </c>
      <c r="C8778" s="81" t="s">
        <v>4621</v>
      </c>
      <c r="D8778" s="83" t="s">
        <v>4835</v>
      </c>
      <c r="E8778" s="81" t="s">
        <v>3962</v>
      </c>
      <c r="F8778" s="81">
        <v>779.0</v>
      </c>
      <c r="G8778" s="81" t="s">
        <v>42</v>
      </c>
      <c r="H8778" s="81" t="s">
        <v>224</v>
      </c>
      <c r="I8778" s="81" t="s">
        <v>3952</v>
      </c>
      <c r="J8778" s="81" t="s">
        <v>224</v>
      </c>
    </row>
    <row r="8779">
      <c r="A8779" s="83" t="s">
        <v>6773</v>
      </c>
      <c r="B8779" s="83" t="s">
        <v>6774</v>
      </c>
      <c r="C8779" s="81" t="s">
        <v>4621</v>
      </c>
      <c r="D8779" s="83" t="s">
        <v>4836</v>
      </c>
      <c r="E8779" s="81" t="s">
        <v>3965</v>
      </c>
      <c r="F8779" s="81">
        <v>780.0</v>
      </c>
      <c r="G8779" s="81" t="s">
        <v>43</v>
      </c>
      <c r="H8779" s="81" t="s">
        <v>224</v>
      </c>
      <c r="I8779" s="81" t="s">
        <v>3953</v>
      </c>
      <c r="J8779" s="81" t="s">
        <v>224</v>
      </c>
    </row>
    <row r="8780">
      <c r="A8780" s="83" t="s">
        <v>6773</v>
      </c>
      <c r="B8780" s="83" t="s">
        <v>6774</v>
      </c>
      <c r="C8780" s="81" t="s">
        <v>4621</v>
      </c>
      <c r="D8780" s="83" t="s">
        <v>4836</v>
      </c>
      <c r="E8780" s="81" t="s">
        <v>3965</v>
      </c>
      <c r="F8780" s="81">
        <v>780.0</v>
      </c>
      <c r="G8780" s="81" t="s">
        <v>42</v>
      </c>
      <c r="H8780" s="81" t="s">
        <v>224</v>
      </c>
      <c r="I8780" s="81" t="s">
        <v>3952</v>
      </c>
      <c r="J8780" s="81" t="s">
        <v>224</v>
      </c>
    </row>
    <row r="8781">
      <c r="A8781" s="83" t="s">
        <v>6773</v>
      </c>
      <c r="B8781" s="83" t="s">
        <v>6774</v>
      </c>
      <c r="C8781" s="81" t="s">
        <v>4621</v>
      </c>
      <c r="D8781" s="83" t="s">
        <v>4837</v>
      </c>
      <c r="E8781" s="81" t="s">
        <v>3968</v>
      </c>
      <c r="F8781" s="81">
        <v>781.0</v>
      </c>
      <c r="G8781" s="81" t="s">
        <v>43</v>
      </c>
      <c r="H8781" s="81" t="s">
        <v>224</v>
      </c>
      <c r="I8781" s="81" t="s">
        <v>3953</v>
      </c>
      <c r="J8781" s="81" t="s">
        <v>224</v>
      </c>
    </row>
    <row r="8782">
      <c r="A8782" s="83" t="s">
        <v>6773</v>
      </c>
      <c r="B8782" s="83" t="s">
        <v>6774</v>
      </c>
      <c r="C8782" s="81" t="s">
        <v>4621</v>
      </c>
      <c r="D8782" s="83" t="s">
        <v>4837</v>
      </c>
      <c r="E8782" s="81" t="s">
        <v>3968</v>
      </c>
      <c r="F8782" s="81">
        <v>781.0</v>
      </c>
      <c r="G8782" s="81" t="s">
        <v>42</v>
      </c>
      <c r="H8782" s="81" t="s">
        <v>224</v>
      </c>
      <c r="I8782" s="81" t="s">
        <v>3952</v>
      </c>
      <c r="J8782" s="81" t="s">
        <v>224</v>
      </c>
    </row>
    <row r="8783">
      <c r="A8783" s="83" t="s">
        <v>6773</v>
      </c>
      <c r="B8783" s="83" t="s">
        <v>6774</v>
      </c>
      <c r="C8783" s="81" t="s">
        <v>4621</v>
      </c>
      <c r="D8783" s="83" t="s">
        <v>4838</v>
      </c>
      <c r="E8783" s="81" t="s">
        <v>3971</v>
      </c>
      <c r="F8783" s="81">
        <v>782.0</v>
      </c>
      <c r="G8783" s="81" t="s">
        <v>43</v>
      </c>
      <c r="H8783" s="81" t="s">
        <v>224</v>
      </c>
      <c r="I8783" s="81" t="s">
        <v>3979</v>
      </c>
      <c r="J8783" s="81" t="s">
        <v>224</v>
      </c>
    </row>
    <row r="8784">
      <c r="A8784" s="83" t="s">
        <v>6773</v>
      </c>
      <c r="B8784" s="83" t="s">
        <v>6774</v>
      </c>
      <c r="C8784" s="81" t="s">
        <v>4621</v>
      </c>
      <c r="D8784" s="83" t="s">
        <v>4838</v>
      </c>
      <c r="E8784" s="81" t="s">
        <v>3971</v>
      </c>
      <c r="F8784" s="81">
        <v>782.0</v>
      </c>
      <c r="G8784" s="81" t="s">
        <v>42</v>
      </c>
      <c r="H8784" s="81" t="s">
        <v>224</v>
      </c>
      <c r="I8784" s="81" t="s">
        <v>3978</v>
      </c>
      <c r="J8784" s="81" t="s">
        <v>224</v>
      </c>
    </row>
    <row r="8785">
      <c r="A8785" s="83" t="s">
        <v>6773</v>
      </c>
      <c r="B8785" s="83" t="s">
        <v>6774</v>
      </c>
      <c r="C8785" s="81" t="s">
        <v>4621</v>
      </c>
      <c r="D8785" s="83" t="s">
        <v>4838</v>
      </c>
      <c r="E8785" s="81" t="s">
        <v>3981</v>
      </c>
      <c r="F8785" s="81">
        <v>783.0</v>
      </c>
      <c r="G8785" s="81" t="s">
        <v>43</v>
      </c>
      <c r="H8785" s="81" t="s">
        <v>224</v>
      </c>
      <c r="I8785" s="81" t="s">
        <v>3979</v>
      </c>
      <c r="J8785" s="81" t="s">
        <v>224</v>
      </c>
    </row>
    <row r="8786">
      <c r="A8786" s="83" t="s">
        <v>6773</v>
      </c>
      <c r="B8786" s="83" t="s">
        <v>6774</v>
      </c>
      <c r="C8786" s="81" t="s">
        <v>4621</v>
      </c>
      <c r="D8786" s="83" t="s">
        <v>4838</v>
      </c>
      <c r="E8786" s="81" t="s">
        <v>3981</v>
      </c>
      <c r="F8786" s="81">
        <v>783.0</v>
      </c>
      <c r="G8786" s="81" t="s">
        <v>42</v>
      </c>
      <c r="H8786" s="81" t="s">
        <v>224</v>
      </c>
      <c r="I8786" s="81" t="s">
        <v>3978</v>
      </c>
      <c r="J8786" s="81" t="s">
        <v>224</v>
      </c>
    </row>
    <row r="8787">
      <c r="A8787" s="83" t="s">
        <v>6773</v>
      </c>
      <c r="B8787" s="83" t="s">
        <v>6774</v>
      </c>
      <c r="C8787" s="81" t="s">
        <v>4621</v>
      </c>
      <c r="D8787" s="83" t="s">
        <v>4839</v>
      </c>
      <c r="E8787" s="81" t="s">
        <v>3982</v>
      </c>
      <c r="F8787" s="81">
        <v>784.0</v>
      </c>
      <c r="G8787" s="81" t="s">
        <v>43</v>
      </c>
      <c r="H8787" s="81" t="s">
        <v>224</v>
      </c>
      <c r="I8787" s="81" t="s">
        <v>3979</v>
      </c>
      <c r="J8787" s="81" t="s">
        <v>224</v>
      </c>
    </row>
    <row r="8788">
      <c r="A8788" s="83" t="s">
        <v>6773</v>
      </c>
      <c r="B8788" s="83" t="s">
        <v>6774</v>
      </c>
      <c r="C8788" s="81" t="s">
        <v>4621</v>
      </c>
      <c r="D8788" s="83" t="s">
        <v>4839</v>
      </c>
      <c r="E8788" s="81" t="s">
        <v>3982</v>
      </c>
      <c r="F8788" s="81">
        <v>784.0</v>
      </c>
      <c r="G8788" s="81" t="s">
        <v>42</v>
      </c>
      <c r="H8788" s="81" t="s">
        <v>224</v>
      </c>
      <c r="I8788" s="81" t="s">
        <v>3978</v>
      </c>
      <c r="J8788" s="81" t="s">
        <v>224</v>
      </c>
    </row>
    <row r="8789">
      <c r="A8789" s="83" t="s">
        <v>6773</v>
      </c>
      <c r="B8789" s="83" t="s">
        <v>6774</v>
      </c>
      <c r="C8789" s="81" t="s">
        <v>4621</v>
      </c>
      <c r="D8789" s="83" t="s">
        <v>4840</v>
      </c>
      <c r="E8789" s="81" t="s">
        <v>3985</v>
      </c>
      <c r="F8789" s="81">
        <v>785.0</v>
      </c>
      <c r="G8789" s="81" t="s">
        <v>43</v>
      </c>
      <c r="H8789" s="81" t="s">
        <v>224</v>
      </c>
      <c r="I8789" s="81" t="s">
        <v>3979</v>
      </c>
      <c r="J8789" s="81" t="s">
        <v>224</v>
      </c>
    </row>
    <row r="8790">
      <c r="A8790" s="83" t="s">
        <v>6773</v>
      </c>
      <c r="B8790" s="83" t="s">
        <v>6774</v>
      </c>
      <c r="C8790" s="81" t="s">
        <v>4621</v>
      </c>
      <c r="D8790" s="83" t="s">
        <v>4840</v>
      </c>
      <c r="E8790" s="81" t="s">
        <v>3985</v>
      </c>
      <c r="F8790" s="81">
        <v>785.0</v>
      </c>
      <c r="G8790" s="81" t="s">
        <v>42</v>
      </c>
      <c r="H8790" s="81" t="s">
        <v>224</v>
      </c>
      <c r="I8790" s="81" t="s">
        <v>3978</v>
      </c>
      <c r="J8790" s="81" t="s">
        <v>224</v>
      </c>
    </row>
    <row r="8791">
      <c r="A8791" s="83" t="s">
        <v>6773</v>
      </c>
      <c r="B8791" s="83" t="s">
        <v>6774</v>
      </c>
      <c r="C8791" s="81" t="s">
        <v>4621</v>
      </c>
      <c r="D8791" s="83" t="s">
        <v>4841</v>
      </c>
      <c r="E8791" s="81" t="s">
        <v>3988</v>
      </c>
      <c r="F8791" s="81">
        <v>786.0</v>
      </c>
      <c r="G8791" s="81" t="s">
        <v>43</v>
      </c>
      <c r="H8791" s="81" t="s">
        <v>224</v>
      </c>
      <c r="I8791" s="81" t="s">
        <v>3979</v>
      </c>
      <c r="J8791" s="81" t="s">
        <v>224</v>
      </c>
    </row>
    <row r="8792">
      <c r="A8792" s="83" t="s">
        <v>6773</v>
      </c>
      <c r="B8792" s="83" t="s">
        <v>6774</v>
      </c>
      <c r="C8792" s="81" t="s">
        <v>4621</v>
      </c>
      <c r="D8792" s="83" t="s">
        <v>4841</v>
      </c>
      <c r="E8792" s="81" t="s">
        <v>3988</v>
      </c>
      <c r="F8792" s="81">
        <v>786.0</v>
      </c>
      <c r="G8792" s="81" t="s">
        <v>42</v>
      </c>
      <c r="H8792" s="81" t="s">
        <v>224</v>
      </c>
      <c r="I8792" s="81" t="s">
        <v>3978</v>
      </c>
      <c r="J8792" s="81" t="s">
        <v>224</v>
      </c>
    </row>
    <row r="8793">
      <c r="A8793" s="83" t="s">
        <v>6773</v>
      </c>
      <c r="B8793" s="83" t="s">
        <v>6774</v>
      </c>
      <c r="C8793" s="81" t="s">
        <v>4621</v>
      </c>
      <c r="D8793" s="83" t="s">
        <v>4842</v>
      </c>
      <c r="E8793" s="81" t="s">
        <v>3991</v>
      </c>
      <c r="F8793" s="81">
        <v>787.0</v>
      </c>
      <c r="G8793" s="81" t="s">
        <v>43</v>
      </c>
      <c r="H8793" s="81" t="s">
        <v>224</v>
      </c>
      <c r="I8793" s="81" t="s">
        <v>3979</v>
      </c>
      <c r="J8793" s="81" t="s">
        <v>224</v>
      </c>
    </row>
    <row r="8794">
      <c r="A8794" s="83" t="s">
        <v>6773</v>
      </c>
      <c r="B8794" s="83" t="s">
        <v>6774</v>
      </c>
      <c r="C8794" s="81" t="s">
        <v>4621</v>
      </c>
      <c r="D8794" s="83" t="s">
        <v>4842</v>
      </c>
      <c r="E8794" s="81" t="s">
        <v>3991</v>
      </c>
      <c r="F8794" s="81">
        <v>787.0</v>
      </c>
      <c r="G8794" s="81" t="s">
        <v>42</v>
      </c>
      <c r="H8794" s="81" t="s">
        <v>224</v>
      </c>
      <c r="I8794" s="81" t="s">
        <v>3978</v>
      </c>
      <c r="J8794" s="81" t="s">
        <v>224</v>
      </c>
    </row>
    <row r="8795">
      <c r="A8795" s="83" t="s">
        <v>6773</v>
      </c>
      <c r="B8795" s="83" t="s">
        <v>6774</v>
      </c>
      <c r="C8795" s="81" t="s">
        <v>4621</v>
      </c>
      <c r="D8795" s="83" t="s">
        <v>4843</v>
      </c>
      <c r="E8795" s="81" t="s">
        <v>3994</v>
      </c>
      <c r="F8795" s="81">
        <v>788.0</v>
      </c>
      <c r="G8795" s="81" t="s">
        <v>43</v>
      </c>
      <c r="H8795" s="81" t="s">
        <v>224</v>
      </c>
      <c r="I8795" s="81" t="s">
        <v>3979</v>
      </c>
      <c r="J8795" s="81" t="s">
        <v>224</v>
      </c>
    </row>
    <row r="8796">
      <c r="A8796" s="83" t="s">
        <v>6773</v>
      </c>
      <c r="B8796" s="83" t="s">
        <v>6774</v>
      </c>
      <c r="C8796" s="81" t="s">
        <v>4621</v>
      </c>
      <c r="D8796" s="83" t="s">
        <v>4843</v>
      </c>
      <c r="E8796" s="81" t="s">
        <v>3994</v>
      </c>
      <c r="F8796" s="81">
        <v>788.0</v>
      </c>
      <c r="G8796" s="81" t="s">
        <v>42</v>
      </c>
      <c r="H8796" s="81" t="s">
        <v>224</v>
      </c>
      <c r="I8796" s="81" t="s">
        <v>3978</v>
      </c>
      <c r="J8796" s="81" t="s">
        <v>224</v>
      </c>
    </row>
    <row r="8797">
      <c r="A8797" s="83" t="s">
        <v>6773</v>
      </c>
      <c r="B8797" s="83" t="s">
        <v>6774</v>
      </c>
      <c r="C8797" s="81" t="s">
        <v>4082</v>
      </c>
      <c r="D8797" s="83" t="s">
        <v>4844</v>
      </c>
      <c r="E8797" s="81" t="s">
        <v>3998</v>
      </c>
      <c r="F8797" s="81">
        <v>792.0</v>
      </c>
      <c r="G8797" s="81" t="s">
        <v>39</v>
      </c>
      <c r="H8797" s="81" t="s">
        <v>224</v>
      </c>
      <c r="I8797" s="81" t="s">
        <v>224</v>
      </c>
      <c r="J8797" s="81" t="s">
        <v>6440</v>
      </c>
    </row>
    <row r="8798">
      <c r="A8798" s="83" t="s">
        <v>6773</v>
      </c>
      <c r="B8798" s="83" t="s">
        <v>6774</v>
      </c>
      <c r="C8798" s="81" t="s">
        <v>4621</v>
      </c>
      <c r="D8798" s="83" t="s">
        <v>4844</v>
      </c>
      <c r="E8798" s="81" t="s">
        <v>3998</v>
      </c>
      <c r="F8798" s="81">
        <v>792.0</v>
      </c>
      <c r="G8798" s="81" t="s">
        <v>43</v>
      </c>
      <c r="H8798" s="81" t="s">
        <v>224</v>
      </c>
      <c r="I8798" s="81" t="s">
        <v>4000</v>
      </c>
      <c r="J8798" s="81" t="s">
        <v>224</v>
      </c>
    </row>
    <row r="8799">
      <c r="A8799" s="83" t="s">
        <v>6773</v>
      </c>
      <c r="B8799" s="83" t="s">
        <v>6774</v>
      </c>
      <c r="C8799" s="81" t="s">
        <v>4082</v>
      </c>
      <c r="D8799" s="83" t="s">
        <v>4845</v>
      </c>
      <c r="E8799" s="81" t="s">
        <v>4002</v>
      </c>
      <c r="F8799" s="81">
        <v>793.0</v>
      </c>
      <c r="G8799" s="81" t="s">
        <v>39</v>
      </c>
      <c r="H8799" s="81" t="s">
        <v>224</v>
      </c>
      <c r="I8799" s="81" t="s">
        <v>224</v>
      </c>
      <c r="J8799" s="81" t="s">
        <v>6441</v>
      </c>
    </row>
    <row r="8800">
      <c r="A8800" s="83" t="s">
        <v>6773</v>
      </c>
      <c r="B8800" s="83" t="s">
        <v>6774</v>
      </c>
      <c r="C8800" s="81" t="s">
        <v>4621</v>
      </c>
      <c r="D8800" s="83" t="s">
        <v>4845</v>
      </c>
      <c r="E8800" s="81" t="s">
        <v>4002</v>
      </c>
      <c r="F8800" s="81">
        <v>793.0</v>
      </c>
      <c r="G8800" s="81" t="s">
        <v>43</v>
      </c>
      <c r="H8800" s="81" t="s">
        <v>224</v>
      </c>
      <c r="I8800" s="81" t="s">
        <v>4000</v>
      </c>
      <c r="J8800" s="81" t="s">
        <v>224</v>
      </c>
    </row>
    <row r="8801">
      <c r="A8801" s="83" t="s">
        <v>6773</v>
      </c>
      <c r="B8801" s="83" t="s">
        <v>6774</v>
      </c>
      <c r="C8801" s="81" t="s">
        <v>4082</v>
      </c>
      <c r="D8801" s="83" t="s">
        <v>4846</v>
      </c>
      <c r="E8801" s="81" t="s">
        <v>1133</v>
      </c>
      <c r="F8801" s="81">
        <v>794.0</v>
      </c>
      <c r="G8801" s="81" t="s">
        <v>39</v>
      </c>
      <c r="H8801" s="81" t="s">
        <v>224</v>
      </c>
      <c r="I8801" s="81" t="s">
        <v>224</v>
      </c>
      <c r="J8801" s="81" t="s">
        <v>6442</v>
      </c>
    </row>
    <row r="8802">
      <c r="A8802" s="83" t="s">
        <v>6773</v>
      </c>
      <c r="B8802" s="83" t="s">
        <v>6774</v>
      </c>
      <c r="C8802" s="81" t="s">
        <v>4621</v>
      </c>
      <c r="D8802" s="83" t="s">
        <v>4846</v>
      </c>
      <c r="E8802" s="81" t="s">
        <v>1133</v>
      </c>
      <c r="F8802" s="81">
        <v>794.0</v>
      </c>
      <c r="G8802" s="81" t="s">
        <v>43</v>
      </c>
      <c r="H8802" s="81" t="s">
        <v>224</v>
      </c>
      <c r="I8802" s="81" t="s">
        <v>4004</v>
      </c>
      <c r="J8802" s="81" t="s">
        <v>224</v>
      </c>
    </row>
    <row r="8803">
      <c r="A8803" s="83" t="s">
        <v>6773</v>
      </c>
      <c r="B8803" s="83" t="s">
        <v>6774</v>
      </c>
      <c r="C8803" s="81" t="s">
        <v>4082</v>
      </c>
      <c r="D8803" s="83" t="s">
        <v>4847</v>
      </c>
      <c r="E8803" s="81" t="s">
        <v>4005</v>
      </c>
      <c r="F8803" s="81">
        <v>795.0</v>
      </c>
      <c r="G8803" s="81" t="s">
        <v>39</v>
      </c>
      <c r="H8803" s="81" t="s">
        <v>224</v>
      </c>
      <c r="I8803" s="81" t="s">
        <v>224</v>
      </c>
      <c r="J8803" s="81" t="s">
        <v>6316</v>
      </c>
    </row>
    <row r="8804">
      <c r="A8804" s="83" t="s">
        <v>6773</v>
      </c>
      <c r="B8804" s="83" t="s">
        <v>6774</v>
      </c>
      <c r="C8804" s="81" t="s">
        <v>4621</v>
      </c>
      <c r="D8804" s="83" t="s">
        <v>4847</v>
      </c>
      <c r="E8804" s="81" t="s">
        <v>4005</v>
      </c>
      <c r="F8804" s="81">
        <v>795.0</v>
      </c>
      <c r="G8804" s="81" t="s">
        <v>43</v>
      </c>
      <c r="H8804" s="81" t="s">
        <v>224</v>
      </c>
      <c r="I8804" s="81" t="s">
        <v>4004</v>
      </c>
      <c r="J8804" s="81" t="s">
        <v>224</v>
      </c>
    </row>
    <row r="8805">
      <c r="A8805" s="83" t="s">
        <v>6773</v>
      </c>
      <c r="B8805" s="83" t="s">
        <v>6774</v>
      </c>
      <c r="C8805" s="81" t="s">
        <v>4082</v>
      </c>
      <c r="D8805" s="83" t="s">
        <v>4848</v>
      </c>
      <c r="E8805" s="81" t="s">
        <v>1142</v>
      </c>
      <c r="F8805" s="81">
        <v>796.0</v>
      </c>
      <c r="G8805" s="81" t="s">
        <v>39</v>
      </c>
      <c r="H8805" s="81" t="s">
        <v>224</v>
      </c>
      <c r="I8805" s="81" t="s">
        <v>224</v>
      </c>
      <c r="J8805" s="81" t="s">
        <v>6443</v>
      </c>
    </row>
    <row r="8806">
      <c r="A8806" s="83" t="s">
        <v>6773</v>
      </c>
      <c r="B8806" s="83" t="s">
        <v>6774</v>
      </c>
      <c r="C8806" s="81" t="s">
        <v>4621</v>
      </c>
      <c r="D8806" s="83" t="s">
        <v>4848</v>
      </c>
      <c r="E8806" s="81" t="s">
        <v>1142</v>
      </c>
      <c r="F8806" s="81">
        <v>796.0</v>
      </c>
      <c r="G8806" s="81" t="s">
        <v>43</v>
      </c>
      <c r="H8806" s="81" t="s">
        <v>224</v>
      </c>
      <c r="I8806" s="81" t="s">
        <v>4006</v>
      </c>
      <c r="J8806" s="81" t="s">
        <v>224</v>
      </c>
    </row>
    <row r="8807">
      <c r="A8807" s="83" t="s">
        <v>6773</v>
      </c>
      <c r="B8807" s="83" t="s">
        <v>6774</v>
      </c>
      <c r="C8807" s="81" t="s">
        <v>4082</v>
      </c>
      <c r="D8807" s="83" t="s">
        <v>4850</v>
      </c>
      <c r="E8807" s="81" t="s">
        <v>1138</v>
      </c>
      <c r="F8807" s="81">
        <v>797.0</v>
      </c>
      <c r="G8807" s="81" t="s">
        <v>39</v>
      </c>
      <c r="H8807" s="81" t="s">
        <v>224</v>
      </c>
      <c r="I8807" s="81" t="s">
        <v>224</v>
      </c>
      <c r="J8807" s="81" t="s">
        <v>6444</v>
      </c>
    </row>
    <row r="8808">
      <c r="A8808" s="83" t="s">
        <v>6773</v>
      </c>
      <c r="B8808" s="83" t="s">
        <v>6774</v>
      </c>
      <c r="C8808" s="81" t="s">
        <v>4621</v>
      </c>
      <c r="D8808" s="83" t="s">
        <v>4850</v>
      </c>
      <c r="E8808" s="81" t="s">
        <v>1138</v>
      </c>
      <c r="F8808" s="81">
        <v>797.0</v>
      </c>
      <c r="G8808" s="81" t="s">
        <v>43</v>
      </c>
      <c r="H8808" s="81" t="s">
        <v>224</v>
      </c>
      <c r="I8808" s="81" t="s">
        <v>4006</v>
      </c>
      <c r="J8808" s="81" t="s">
        <v>224</v>
      </c>
    </row>
    <row r="8809">
      <c r="A8809" s="83" t="s">
        <v>6773</v>
      </c>
      <c r="B8809" s="83" t="s">
        <v>6774</v>
      </c>
      <c r="C8809" s="81" t="s">
        <v>4621</v>
      </c>
      <c r="D8809" s="83" t="s">
        <v>4861</v>
      </c>
      <c r="E8809" s="81" t="s">
        <v>4007</v>
      </c>
      <c r="F8809" s="81">
        <v>798.0</v>
      </c>
      <c r="G8809" s="81" t="s">
        <v>43</v>
      </c>
      <c r="H8809" s="81" t="s">
        <v>224</v>
      </c>
      <c r="I8809" s="81" t="s">
        <v>3537</v>
      </c>
      <c r="J8809" s="81" t="s">
        <v>224</v>
      </c>
    </row>
    <row r="8810">
      <c r="A8810" s="83" t="s">
        <v>6773</v>
      </c>
      <c r="B8810" s="83" t="s">
        <v>6774</v>
      </c>
      <c r="C8810" s="81" t="s">
        <v>4621</v>
      </c>
      <c r="D8810" s="83" t="s">
        <v>4862</v>
      </c>
      <c r="E8810" s="81" t="s">
        <v>4011</v>
      </c>
      <c r="F8810" s="81">
        <v>799.0</v>
      </c>
      <c r="G8810" s="81" t="s">
        <v>43</v>
      </c>
      <c r="H8810" s="81" t="s">
        <v>224</v>
      </c>
      <c r="I8810" s="81" t="s">
        <v>1839</v>
      </c>
      <c r="J8810" s="81" t="s">
        <v>224</v>
      </c>
    </row>
    <row r="8811">
      <c r="A8811" s="83" t="s">
        <v>6773</v>
      </c>
      <c r="B8811" s="83" t="s">
        <v>6774</v>
      </c>
      <c r="C8811" s="81" t="s">
        <v>4621</v>
      </c>
      <c r="D8811" s="83" t="s">
        <v>4863</v>
      </c>
      <c r="E8811" s="81" t="s">
        <v>4014</v>
      </c>
      <c r="F8811" s="81">
        <v>800.0</v>
      </c>
      <c r="G8811" s="81" t="s">
        <v>43</v>
      </c>
      <c r="H8811" s="81" t="s">
        <v>224</v>
      </c>
      <c r="I8811" s="81" t="s">
        <v>1847</v>
      </c>
      <c r="J8811" s="81" t="s">
        <v>224</v>
      </c>
    </row>
    <row r="8812">
      <c r="A8812" s="83" t="s">
        <v>6773</v>
      </c>
      <c r="B8812" s="83" t="s">
        <v>6774</v>
      </c>
      <c r="C8812" s="81" t="s">
        <v>4621</v>
      </c>
      <c r="D8812" s="83" t="s">
        <v>4863</v>
      </c>
      <c r="E8812" s="81" t="s">
        <v>4014</v>
      </c>
      <c r="F8812" s="81">
        <v>800.0</v>
      </c>
      <c r="G8812" s="81" t="s">
        <v>42</v>
      </c>
      <c r="H8812" s="81" t="s">
        <v>6445</v>
      </c>
      <c r="I8812" s="81" t="s">
        <v>1838</v>
      </c>
      <c r="J8812" s="81" t="s">
        <v>224</v>
      </c>
    </row>
    <row r="8813">
      <c r="A8813" s="83" t="s">
        <v>6773</v>
      </c>
      <c r="B8813" s="83" t="s">
        <v>6774</v>
      </c>
      <c r="C8813" s="81" t="s">
        <v>4621</v>
      </c>
      <c r="D8813" s="83" t="s">
        <v>4864</v>
      </c>
      <c r="E8813" s="81" t="s">
        <v>4016</v>
      </c>
      <c r="F8813" s="81">
        <v>801.0</v>
      </c>
      <c r="G8813" s="81" t="s">
        <v>43</v>
      </c>
      <c r="H8813" s="81" t="s">
        <v>224</v>
      </c>
      <c r="I8813" s="81" t="s">
        <v>1857</v>
      </c>
      <c r="J8813" s="81" t="s">
        <v>224</v>
      </c>
    </row>
    <row r="8814">
      <c r="A8814" s="83" t="s">
        <v>6773</v>
      </c>
      <c r="B8814" s="83" t="s">
        <v>6774</v>
      </c>
      <c r="C8814" s="81" t="s">
        <v>4621</v>
      </c>
      <c r="D8814" s="83" t="s">
        <v>4865</v>
      </c>
      <c r="E8814" s="81" t="s">
        <v>4017</v>
      </c>
      <c r="F8814" s="81">
        <v>802.0</v>
      </c>
      <c r="G8814" s="81" t="s">
        <v>43</v>
      </c>
      <c r="H8814" s="81" t="s">
        <v>224</v>
      </c>
      <c r="I8814" s="81" t="s">
        <v>1862</v>
      </c>
      <c r="J8814" s="81" t="s">
        <v>224</v>
      </c>
    </row>
    <row r="8815">
      <c r="A8815" s="83" t="s">
        <v>6773</v>
      </c>
      <c r="B8815" s="83" t="s">
        <v>6774</v>
      </c>
      <c r="C8815" s="81" t="s">
        <v>4621</v>
      </c>
      <c r="D8815" s="83" t="s">
        <v>4866</v>
      </c>
      <c r="E8815" s="81" t="s">
        <v>4018</v>
      </c>
      <c r="F8815" s="81">
        <v>803.0</v>
      </c>
      <c r="G8815" s="81" t="s">
        <v>43</v>
      </c>
      <c r="H8815" s="81" t="s">
        <v>224</v>
      </c>
      <c r="I8815" s="81" t="s">
        <v>1871</v>
      </c>
      <c r="J8815" s="81" t="s">
        <v>224</v>
      </c>
    </row>
    <row r="8816">
      <c r="A8816" s="83" t="s">
        <v>6773</v>
      </c>
      <c r="B8816" s="83" t="s">
        <v>6774</v>
      </c>
      <c r="C8816" s="81" t="s">
        <v>4621</v>
      </c>
      <c r="D8816" s="83" t="s">
        <v>4866</v>
      </c>
      <c r="E8816" s="81" t="s">
        <v>4018</v>
      </c>
      <c r="F8816" s="81">
        <v>803.0</v>
      </c>
      <c r="G8816" s="81" t="s">
        <v>42</v>
      </c>
      <c r="H8816" s="81" t="s">
        <v>224</v>
      </c>
      <c r="I8816" s="81" t="s">
        <v>1870</v>
      </c>
      <c r="J8816" s="81" t="s">
        <v>224</v>
      </c>
    </row>
    <row r="8817">
      <c r="A8817" s="83" t="s">
        <v>6773</v>
      </c>
      <c r="B8817" s="83" t="s">
        <v>6774</v>
      </c>
      <c r="C8817" s="81" t="s">
        <v>4621</v>
      </c>
      <c r="D8817" s="83" t="s">
        <v>4867</v>
      </c>
      <c r="E8817" s="81" t="s">
        <v>4019</v>
      </c>
      <c r="F8817" s="81">
        <v>804.0</v>
      </c>
      <c r="G8817" s="81" t="s">
        <v>43</v>
      </c>
      <c r="H8817" s="81" t="s">
        <v>224</v>
      </c>
      <c r="I8817" s="81" t="s">
        <v>2336</v>
      </c>
      <c r="J8817" s="81" t="s">
        <v>224</v>
      </c>
    </row>
    <row r="8818">
      <c r="A8818" s="83" t="s">
        <v>6773</v>
      </c>
      <c r="B8818" s="83" t="s">
        <v>6774</v>
      </c>
      <c r="C8818" s="81" t="s">
        <v>4082</v>
      </c>
      <c r="D8818" s="83" t="s">
        <v>4868</v>
      </c>
      <c r="E8818" s="81" t="s">
        <v>4020</v>
      </c>
      <c r="F8818" s="81">
        <v>805.0</v>
      </c>
      <c r="G8818" s="81" t="s">
        <v>41</v>
      </c>
      <c r="H8818" s="81" t="s">
        <v>4027</v>
      </c>
      <c r="I8818" s="81" t="s">
        <v>224</v>
      </c>
      <c r="J8818" s="81" t="s">
        <v>6446</v>
      </c>
    </row>
    <row r="8819">
      <c r="A8819" s="83" t="s">
        <v>6773</v>
      </c>
      <c r="B8819" s="83" t="s">
        <v>6774</v>
      </c>
      <c r="C8819" s="81" t="s">
        <v>4621</v>
      </c>
      <c r="D8819" s="83" t="s">
        <v>4869</v>
      </c>
      <c r="E8819" s="81" t="s">
        <v>4032</v>
      </c>
      <c r="F8819" s="81">
        <v>807.0</v>
      </c>
      <c r="G8819" s="81" t="s">
        <v>42</v>
      </c>
      <c r="H8819" s="81" t="s">
        <v>4028</v>
      </c>
      <c r="I8819" s="81" t="s">
        <v>4035</v>
      </c>
      <c r="J8819" s="81" t="s">
        <v>224</v>
      </c>
    </row>
    <row r="8820">
      <c r="A8820" s="83" t="s">
        <v>6773</v>
      </c>
      <c r="B8820" s="83" t="s">
        <v>6774</v>
      </c>
      <c r="C8820" s="81" t="s">
        <v>4082</v>
      </c>
      <c r="D8820" s="83" t="s">
        <v>4870</v>
      </c>
      <c r="E8820" s="81" t="s">
        <v>4037</v>
      </c>
      <c r="F8820" s="81">
        <v>808.0</v>
      </c>
      <c r="G8820" s="81" t="s">
        <v>39</v>
      </c>
      <c r="H8820" s="81" t="s">
        <v>224</v>
      </c>
      <c r="I8820" s="81" t="s">
        <v>224</v>
      </c>
      <c r="J8820" s="81" t="s">
        <v>6763</v>
      </c>
    </row>
    <row r="8821">
      <c r="A8821" s="83" t="s">
        <v>6773</v>
      </c>
      <c r="B8821" s="83" t="s">
        <v>6774</v>
      </c>
      <c r="C8821" s="81" t="s">
        <v>6333</v>
      </c>
      <c r="D8821" s="83" t="s">
        <v>4870</v>
      </c>
      <c r="E8821" s="81" t="s">
        <v>4037</v>
      </c>
      <c r="F8821" s="81">
        <v>808.0</v>
      </c>
      <c r="G8821" s="81" t="s">
        <v>39</v>
      </c>
      <c r="H8821" s="81" t="s">
        <v>6447</v>
      </c>
      <c r="I8821" s="81" t="s">
        <v>224</v>
      </c>
      <c r="J8821" s="81" t="s">
        <v>5143</v>
      </c>
    </row>
    <row r="8822">
      <c r="A8822" s="83" t="s">
        <v>6773</v>
      </c>
      <c r="B8822" s="83" t="s">
        <v>6774</v>
      </c>
      <c r="C8822" s="81" t="s">
        <v>4621</v>
      </c>
      <c r="D8822" s="83" t="s">
        <v>4870</v>
      </c>
      <c r="E8822" s="81" t="s">
        <v>4037</v>
      </c>
      <c r="F8822" s="81">
        <v>808.0</v>
      </c>
      <c r="G8822" s="81" t="s">
        <v>40</v>
      </c>
      <c r="H8822" s="81" t="s">
        <v>6448</v>
      </c>
      <c r="I8822" s="81" t="s">
        <v>4044</v>
      </c>
      <c r="J8822" s="81" t="s">
        <v>224</v>
      </c>
    </row>
    <row r="8823">
      <c r="A8823" s="83" t="s">
        <v>6773</v>
      </c>
      <c r="B8823" s="83" t="s">
        <v>6774</v>
      </c>
      <c r="C8823" s="81" t="s">
        <v>4082</v>
      </c>
      <c r="D8823" s="83" t="s">
        <v>4870</v>
      </c>
      <c r="E8823" s="81" t="s">
        <v>4037</v>
      </c>
      <c r="F8823" s="81">
        <v>808.0</v>
      </c>
      <c r="G8823" s="81" t="s">
        <v>41</v>
      </c>
      <c r="H8823" s="81" t="s">
        <v>4045</v>
      </c>
      <c r="I8823" s="81" t="s">
        <v>224</v>
      </c>
      <c r="J8823" s="81" t="s">
        <v>6449</v>
      </c>
    </row>
    <row r="8824">
      <c r="A8824" s="83" t="s">
        <v>6773</v>
      </c>
      <c r="B8824" s="83" t="s">
        <v>6774</v>
      </c>
      <c r="C8824" s="81" t="s">
        <v>4621</v>
      </c>
      <c r="D8824" s="83" t="s">
        <v>4871</v>
      </c>
      <c r="E8824" s="81" t="s">
        <v>4049</v>
      </c>
      <c r="F8824" s="81">
        <v>809.0</v>
      </c>
      <c r="G8824" s="81" t="s">
        <v>42</v>
      </c>
      <c r="H8824" s="81" t="s">
        <v>224</v>
      </c>
      <c r="I8824" s="81" t="s">
        <v>4055</v>
      </c>
      <c r="J8824" s="81" t="s">
        <v>224</v>
      </c>
    </row>
    <row r="8825">
      <c r="A8825" s="83" t="s">
        <v>6773</v>
      </c>
      <c r="B8825" s="83" t="s">
        <v>6774</v>
      </c>
      <c r="C8825" s="81" t="s">
        <v>4082</v>
      </c>
      <c r="D8825" s="83" t="s">
        <v>4871</v>
      </c>
      <c r="E8825" s="81" t="s">
        <v>4049</v>
      </c>
      <c r="F8825" s="81">
        <v>809.0</v>
      </c>
      <c r="G8825" s="81" t="s">
        <v>41</v>
      </c>
      <c r="H8825" s="81" t="s">
        <v>4054</v>
      </c>
      <c r="I8825" s="81" t="s">
        <v>224</v>
      </c>
      <c r="J8825" s="81" t="s">
        <v>6450</v>
      </c>
    </row>
    <row r="8826">
      <c r="A8826" s="83" t="s">
        <v>6773</v>
      </c>
      <c r="B8826" s="83" t="s">
        <v>6774</v>
      </c>
      <c r="C8826" s="81" t="s">
        <v>4621</v>
      </c>
      <c r="D8826" s="83" t="s">
        <v>4871</v>
      </c>
      <c r="E8826" s="81" t="s">
        <v>4049</v>
      </c>
      <c r="F8826" s="81">
        <v>810.0</v>
      </c>
      <c r="G8826" s="81" t="s">
        <v>42</v>
      </c>
      <c r="H8826" s="81" t="s">
        <v>224</v>
      </c>
      <c r="I8826" s="81" t="s">
        <v>4055</v>
      </c>
      <c r="J8826" s="81" t="s">
        <v>224</v>
      </c>
    </row>
    <row r="8827">
      <c r="A8827" s="83" t="s">
        <v>6773</v>
      </c>
      <c r="B8827" s="83" t="s">
        <v>6774</v>
      </c>
      <c r="C8827" s="81" t="s">
        <v>4084</v>
      </c>
      <c r="D8827" s="81" t="s">
        <v>224</v>
      </c>
      <c r="E8827" s="81" t="s">
        <v>224</v>
      </c>
      <c r="F8827" s="81" t="s">
        <v>224</v>
      </c>
      <c r="G8827" s="81" t="s">
        <v>40</v>
      </c>
      <c r="H8827" s="81" t="s">
        <v>224</v>
      </c>
      <c r="I8827" s="81" t="s">
        <v>224</v>
      </c>
      <c r="J8827" s="81" t="s">
        <v>6452</v>
      </c>
    </row>
    <row r="8828">
      <c r="A8828" s="83" t="s">
        <v>6773</v>
      </c>
      <c r="B8828" s="83" t="s">
        <v>6774</v>
      </c>
      <c r="C8828" s="81" t="s">
        <v>4084</v>
      </c>
      <c r="D8828" s="81" t="s">
        <v>224</v>
      </c>
      <c r="E8828" s="81" t="s">
        <v>224</v>
      </c>
      <c r="F8828" s="81" t="s">
        <v>224</v>
      </c>
      <c r="G8828" s="81" t="s">
        <v>41</v>
      </c>
      <c r="H8828" s="81" t="s">
        <v>224</v>
      </c>
      <c r="I8828" s="81" t="s">
        <v>224</v>
      </c>
      <c r="J8828" s="81" t="s">
        <v>6453</v>
      </c>
    </row>
    <row r="8829">
      <c r="A8829" s="83" t="s">
        <v>6777</v>
      </c>
      <c r="B8829" s="83" t="s">
        <v>6778</v>
      </c>
      <c r="C8829" s="81" t="s">
        <v>4080</v>
      </c>
      <c r="D8829" s="81" t="s">
        <v>224</v>
      </c>
      <c r="E8829" s="81" t="s">
        <v>224</v>
      </c>
      <c r="F8829" s="81" t="s">
        <v>224</v>
      </c>
      <c r="G8829" s="81" t="s">
        <v>224</v>
      </c>
      <c r="H8829" s="81" t="s">
        <v>224</v>
      </c>
      <c r="I8829" s="81" t="s">
        <v>224</v>
      </c>
      <c r="J8829" s="81" t="s">
        <v>6779</v>
      </c>
    </row>
    <row r="8830">
      <c r="A8830" s="83" t="s">
        <v>6777</v>
      </c>
      <c r="B8830" s="83" t="s">
        <v>6778</v>
      </c>
      <c r="C8830" s="81" t="s">
        <v>4082</v>
      </c>
      <c r="D8830" s="81" t="s">
        <v>224</v>
      </c>
      <c r="E8830" s="81" t="s">
        <v>6652</v>
      </c>
      <c r="F8830" s="81" t="s">
        <v>224</v>
      </c>
      <c r="G8830" s="81" t="s">
        <v>42</v>
      </c>
      <c r="H8830" s="81" t="s">
        <v>224</v>
      </c>
      <c r="I8830" s="81" t="s">
        <v>224</v>
      </c>
      <c r="J8830" s="81" t="s">
        <v>6653</v>
      </c>
    </row>
    <row r="8831">
      <c r="A8831" s="83" t="s">
        <v>6777</v>
      </c>
      <c r="B8831" s="83" t="s">
        <v>6778</v>
      </c>
      <c r="C8831" s="81" t="s">
        <v>4082</v>
      </c>
      <c r="D8831" s="81" t="s">
        <v>224</v>
      </c>
      <c r="E8831" s="81" t="s">
        <v>6654</v>
      </c>
      <c r="F8831" s="81" t="s">
        <v>224</v>
      </c>
      <c r="G8831" s="81" t="s">
        <v>42</v>
      </c>
      <c r="H8831" s="81" t="s">
        <v>224</v>
      </c>
      <c r="I8831" s="81" t="s">
        <v>224</v>
      </c>
      <c r="J8831" s="81" t="s">
        <v>6653</v>
      </c>
    </row>
    <row r="8832">
      <c r="A8832" s="83" t="s">
        <v>6777</v>
      </c>
      <c r="B8832" s="83" t="s">
        <v>6778</v>
      </c>
      <c r="C8832" s="81" t="s">
        <v>4082</v>
      </c>
      <c r="D8832" s="81" t="s">
        <v>224</v>
      </c>
      <c r="E8832" s="81" t="s">
        <v>6655</v>
      </c>
      <c r="F8832" s="81" t="s">
        <v>224</v>
      </c>
      <c r="G8832" s="81" t="s">
        <v>42</v>
      </c>
      <c r="H8832" s="81" t="s">
        <v>224</v>
      </c>
      <c r="I8832" s="81" t="s">
        <v>224</v>
      </c>
      <c r="J8832" s="81" t="s">
        <v>6653</v>
      </c>
    </row>
    <row r="8833">
      <c r="A8833" s="83" t="s">
        <v>6777</v>
      </c>
      <c r="B8833" s="83" t="s">
        <v>6778</v>
      </c>
      <c r="C8833" s="81" t="s">
        <v>4082</v>
      </c>
      <c r="D8833" s="81" t="s">
        <v>224</v>
      </c>
      <c r="E8833" s="81" t="s">
        <v>6656</v>
      </c>
      <c r="F8833" s="81" t="s">
        <v>224</v>
      </c>
      <c r="G8833" s="81" t="s">
        <v>42</v>
      </c>
      <c r="H8833" s="81" t="s">
        <v>224</v>
      </c>
      <c r="I8833" s="81" t="s">
        <v>224</v>
      </c>
      <c r="J8833" s="81" t="s">
        <v>6653</v>
      </c>
    </row>
    <row r="8834">
      <c r="A8834" s="83" t="s">
        <v>6777</v>
      </c>
      <c r="B8834" s="83" t="s">
        <v>6778</v>
      </c>
      <c r="C8834" s="81" t="s">
        <v>4082</v>
      </c>
      <c r="D8834" s="81" t="s">
        <v>224</v>
      </c>
      <c r="E8834" s="81" t="s">
        <v>6657</v>
      </c>
      <c r="F8834" s="81" t="s">
        <v>224</v>
      </c>
      <c r="G8834" s="81" t="s">
        <v>42</v>
      </c>
      <c r="H8834" s="81" t="s">
        <v>224</v>
      </c>
      <c r="I8834" s="81" t="s">
        <v>224</v>
      </c>
      <c r="J8834" s="81" t="s">
        <v>6653</v>
      </c>
    </row>
    <row r="8835">
      <c r="A8835" s="83" t="s">
        <v>6777</v>
      </c>
      <c r="B8835" s="83" t="s">
        <v>6778</v>
      </c>
      <c r="C8835" s="81" t="s">
        <v>4082</v>
      </c>
      <c r="D8835" s="81" t="s">
        <v>224</v>
      </c>
      <c r="E8835" s="81" t="s">
        <v>6658</v>
      </c>
      <c r="F8835" s="81" t="s">
        <v>224</v>
      </c>
      <c r="G8835" s="81" t="s">
        <v>42</v>
      </c>
      <c r="H8835" s="81" t="s">
        <v>224</v>
      </c>
      <c r="I8835" s="81" t="s">
        <v>224</v>
      </c>
      <c r="J8835" s="81" t="s">
        <v>6653</v>
      </c>
    </row>
    <row r="8836">
      <c r="A8836" s="83" t="s">
        <v>6777</v>
      </c>
      <c r="B8836" s="83" t="s">
        <v>6778</v>
      </c>
      <c r="C8836" s="81" t="s">
        <v>4082</v>
      </c>
      <c r="D8836" s="81" t="s">
        <v>224</v>
      </c>
      <c r="E8836" s="81" t="s">
        <v>6659</v>
      </c>
      <c r="F8836" s="81" t="s">
        <v>224</v>
      </c>
      <c r="G8836" s="81" t="s">
        <v>42</v>
      </c>
      <c r="H8836" s="81" t="s">
        <v>224</v>
      </c>
      <c r="I8836" s="81" t="s">
        <v>224</v>
      </c>
      <c r="J8836" s="81" t="s">
        <v>6653</v>
      </c>
    </row>
    <row r="8837">
      <c r="A8837" s="83" t="s">
        <v>6777</v>
      </c>
      <c r="B8837" s="83" t="s">
        <v>6778</v>
      </c>
      <c r="C8837" s="81" t="s">
        <v>4082</v>
      </c>
      <c r="D8837" s="81" t="s">
        <v>224</v>
      </c>
      <c r="E8837" s="81" t="s">
        <v>6660</v>
      </c>
      <c r="F8837" s="81" t="s">
        <v>224</v>
      </c>
      <c r="G8837" s="81" t="s">
        <v>42</v>
      </c>
      <c r="H8837" s="81" t="s">
        <v>224</v>
      </c>
      <c r="I8837" s="81" t="s">
        <v>224</v>
      </c>
      <c r="J8837" s="81" t="s">
        <v>6653</v>
      </c>
    </row>
    <row r="8838">
      <c r="A8838" s="83" t="s">
        <v>6777</v>
      </c>
      <c r="B8838" s="83" t="s">
        <v>6778</v>
      </c>
      <c r="C8838" s="81" t="s">
        <v>4082</v>
      </c>
      <c r="D8838" s="81" t="s">
        <v>224</v>
      </c>
      <c r="E8838" s="81" t="s">
        <v>6661</v>
      </c>
      <c r="F8838" s="81" t="s">
        <v>224</v>
      </c>
      <c r="G8838" s="81" t="s">
        <v>42</v>
      </c>
      <c r="H8838" s="81" t="s">
        <v>224</v>
      </c>
      <c r="I8838" s="81" t="s">
        <v>224</v>
      </c>
      <c r="J8838" s="81" t="s">
        <v>6653</v>
      </c>
    </row>
    <row r="8839">
      <c r="A8839" s="83" t="s">
        <v>6777</v>
      </c>
      <c r="B8839" s="83" t="s">
        <v>6778</v>
      </c>
      <c r="C8839" s="81" t="s">
        <v>4082</v>
      </c>
      <c r="D8839" s="81" t="s">
        <v>224</v>
      </c>
      <c r="E8839" s="81" t="s">
        <v>6662</v>
      </c>
      <c r="F8839" s="81" t="s">
        <v>224</v>
      </c>
      <c r="G8839" s="81" t="s">
        <v>42</v>
      </c>
      <c r="H8839" s="81" t="s">
        <v>224</v>
      </c>
      <c r="I8839" s="81" t="s">
        <v>224</v>
      </c>
      <c r="J8839" s="81" t="s">
        <v>6653</v>
      </c>
    </row>
    <row r="8840">
      <c r="A8840" s="83" t="s">
        <v>6777</v>
      </c>
      <c r="B8840" s="83" t="s">
        <v>6778</v>
      </c>
      <c r="C8840" s="81" t="s">
        <v>4082</v>
      </c>
      <c r="D8840" s="81" t="s">
        <v>224</v>
      </c>
      <c r="E8840" s="81" t="s">
        <v>6663</v>
      </c>
      <c r="F8840" s="81" t="s">
        <v>224</v>
      </c>
      <c r="G8840" s="81" t="s">
        <v>42</v>
      </c>
      <c r="H8840" s="81" t="s">
        <v>224</v>
      </c>
      <c r="I8840" s="81" t="s">
        <v>224</v>
      </c>
      <c r="J8840" s="81" t="s">
        <v>6653</v>
      </c>
    </row>
    <row r="8841">
      <c r="A8841" s="83" t="s">
        <v>6777</v>
      </c>
      <c r="B8841" s="83" t="s">
        <v>6778</v>
      </c>
      <c r="C8841" s="81" t="s">
        <v>4082</v>
      </c>
      <c r="D8841" s="81" t="s">
        <v>224</v>
      </c>
      <c r="E8841" s="81" t="s">
        <v>6664</v>
      </c>
      <c r="F8841" s="81" t="s">
        <v>224</v>
      </c>
      <c r="G8841" s="81" t="s">
        <v>42</v>
      </c>
      <c r="H8841" s="81" t="s">
        <v>224</v>
      </c>
      <c r="I8841" s="81" t="s">
        <v>224</v>
      </c>
      <c r="J8841" s="81" t="s">
        <v>6653</v>
      </c>
    </row>
    <row r="8842">
      <c r="A8842" s="83" t="s">
        <v>6777</v>
      </c>
      <c r="B8842" s="83" t="s">
        <v>6778</v>
      </c>
      <c r="C8842" s="81" t="s">
        <v>4082</v>
      </c>
      <c r="D8842" s="81" t="s">
        <v>224</v>
      </c>
      <c r="E8842" s="81" t="s">
        <v>6665</v>
      </c>
      <c r="F8842" s="81" t="s">
        <v>224</v>
      </c>
      <c r="G8842" s="81" t="s">
        <v>42</v>
      </c>
      <c r="H8842" s="81" t="s">
        <v>224</v>
      </c>
      <c r="I8842" s="81" t="s">
        <v>224</v>
      </c>
      <c r="J8842" s="81" t="s">
        <v>6653</v>
      </c>
    </row>
    <row r="8843">
      <c r="A8843" s="83" t="s">
        <v>6777</v>
      </c>
      <c r="B8843" s="83" t="s">
        <v>6778</v>
      </c>
      <c r="C8843" s="81" t="s">
        <v>4082</v>
      </c>
      <c r="D8843" s="81" t="s">
        <v>224</v>
      </c>
      <c r="E8843" s="81" t="s">
        <v>6666</v>
      </c>
      <c r="F8843" s="81" t="s">
        <v>224</v>
      </c>
      <c r="G8843" s="81" t="s">
        <v>42</v>
      </c>
      <c r="H8843" s="81" t="s">
        <v>224</v>
      </c>
      <c r="I8843" s="81" t="s">
        <v>224</v>
      </c>
      <c r="J8843" s="81" t="s">
        <v>6653</v>
      </c>
    </row>
    <row r="8844">
      <c r="A8844" s="83" t="s">
        <v>6777</v>
      </c>
      <c r="B8844" s="83" t="s">
        <v>6778</v>
      </c>
      <c r="C8844" s="81" t="s">
        <v>4082</v>
      </c>
      <c r="D8844" s="81" t="s">
        <v>224</v>
      </c>
      <c r="E8844" s="81" t="s">
        <v>6667</v>
      </c>
      <c r="F8844" s="81" t="s">
        <v>224</v>
      </c>
      <c r="G8844" s="81" t="s">
        <v>42</v>
      </c>
      <c r="H8844" s="81" t="s">
        <v>224</v>
      </c>
      <c r="I8844" s="81" t="s">
        <v>224</v>
      </c>
      <c r="J8844" s="81" t="s">
        <v>6653</v>
      </c>
    </row>
    <row r="8845">
      <c r="A8845" s="83" t="s">
        <v>6777</v>
      </c>
      <c r="B8845" s="83" t="s">
        <v>6778</v>
      </c>
      <c r="C8845" s="81" t="s">
        <v>4082</v>
      </c>
      <c r="D8845" s="81" t="s">
        <v>224</v>
      </c>
      <c r="E8845" s="81" t="s">
        <v>6668</v>
      </c>
      <c r="F8845" s="81" t="s">
        <v>224</v>
      </c>
      <c r="G8845" s="81" t="s">
        <v>42</v>
      </c>
      <c r="H8845" s="81" t="s">
        <v>224</v>
      </c>
      <c r="I8845" s="81" t="s">
        <v>224</v>
      </c>
      <c r="J8845" s="81" t="s">
        <v>6653</v>
      </c>
    </row>
    <row r="8846">
      <c r="A8846" s="83" t="s">
        <v>6777</v>
      </c>
      <c r="B8846" s="83" t="s">
        <v>6778</v>
      </c>
      <c r="C8846" s="81" t="s">
        <v>4082</v>
      </c>
      <c r="D8846" s="81" t="s">
        <v>224</v>
      </c>
      <c r="E8846" s="81" t="s">
        <v>6669</v>
      </c>
      <c r="F8846" s="81" t="s">
        <v>224</v>
      </c>
      <c r="G8846" s="81" t="s">
        <v>42</v>
      </c>
      <c r="H8846" s="81" t="s">
        <v>224</v>
      </c>
      <c r="I8846" s="81" t="s">
        <v>224</v>
      </c>
      <c r="J8846" s="81" t="s">
        <v>6653</v>
      </c>
    </row>
    <row r="8847">
      <c r="A8847" s="83" t="s">
        <v>6777</v>
      </c>
      <c r="B8847" s="83" t="s">
        <v>6778</v>
      </c>
      <c r="C8847" s="81" t="s">
        <v>4082</v>
      </c>
      <c r="D8847" s="81" t="s">
        <v>224</v>
      </c>
      <c r="E8847" s="81" t="s">
        <v>6670</v>
      </c>
      <c r="F8847" s="81" t="s">
        <v>224</v>
      </c>
      <c r="G8847" s="81" t="s">
        <v>42</v>
      </c>
      <c r="H8847" s="81" t="s">
        <v>224</v>
      </c>
      <c r="I8847" s="81" t="s">
        <v>224</v>
      </c>
      <c r="J8847" s="81" t="s">
        <v>6653</v>
      </c>
    </row>
    <row r="8848">
      <c r="A8848" s="83" t="s">
        <v>6777</v>
      </c>
      <c r="B8848" s="83" t="s">
        <v>6778</v>
      </c>
      <c r="C8848" s="81" t="s">
        <v>4082</v>
      </c>
      <c r="D8848" s="81" t="s">
        <v>224</v>
      </c>
      <c r="E8848" s="81" t="s">
        <v>6671</v>
      </c>
      <c r="F8848" s="81" t="s">
        <v>224</v>
      </c>
      <c r="G8848" s="81" t="s">
        <v>42</v>
      </c>
      <c r="H8848" s="81" t="s">
        <v>224</v>
      </c>
      <c r="I8848" s="81" t="s">
        <v>224</v>
      </c>
      <c r="J8848" s="81" t="s">
        <v>6653</v>
      </c>
    </row>
    <row r="8849">
      <c r="A8849" s="83" t="s">
        <v>6777</v>
      </c>
      <c r="B8849" s="83" t="s">
        <v>6778</v>
      </c>
      <c r="C8849" s="81" t="s">
        <v>4082</v>
      </c>
      <c r="D8849" s="81" t="s">
        <v>224</v>
      </c>
      <c r="E8849" s="81" t="s">
        <v>6672</v>
      </c>
      <c r="F8849" s="81" t="s">
        <v>224</v>
      </c>
      <c r="G8849" s="81" t="s">
        <v>42</v>
      </c>
      <c r="H8849" s="81" t="s">
        <v>224</v>
      </c>
      <c r="I8849" s="81" t="s">
        <v>224</v>
      </c>
      <c r="J8849" s="81" t="s">
        <v>6653</v>
      </c>
    </row>
    <row r="8850">
      <c r="A8850" s="83" t="s">
        <v>6777</v>
      </c>
      <c r="B8850" s="83" t="s">
        <v>6778</v>
      </c>
      <c r="C8850" s="81" t="s">
        <v>4082</v>
      </c>
      <c r="D8850" s="81" t="s">
        <v>224</v>
      </c>
      <c r="E8850" s="81" t="s">
        <v>6673</v>
      </c>
      <c r="F8850" s="81" t="s">
        <v>224</v>
      </c>
      <c r="G8850" s="81" t="s">
        <v>42</v>
      </c>
      <c r="H8850" s="81" t="s">
        <v>224</v>
      </c>
      <c r="I8850" s="81" t="s">
        <v>224</v>
      </c>
      <c r="J8850" s="81" t="s">
        <v>6653</v>
      </c>
    </row>
    <row r="8851">
      <c r="A8851" s="83" t="s">
        <v>6777</v>
      </c>
      <c r="B8851" s="83" t="s">
        <v>6778</v>
      </c>
      <c r="C8851" s="81" t="s">
        <v>4082</v>
      </c>
      <c r="D8851" s="81" t="s">
        <v>224</v>
      </c>
      <c r="E8851" s="81" t="s">
        <v>6674</v>
      </c>
      <c r="F8851" s="81" t="s">
        <v>224</v>
      </c>
      <c r="G8851" s="81" t="s">
        <v>42</v>
      </c>
      <c r="H8851" s="81" t="s">
        <v>224</v>
      </c>
      <c r="I8851" s="81" t="s">
        <v>224</v>
      </c>
      <c r="J8851" s="81" t="s">
        <v>6653</v>
      </c>
    </row>
    <row r="8852">
      <c r="A8852" s="83" t="s">
        <v>6777</v>
      </c>
      <c r="B8852" s="83" t="s">
        <v>6778</v>
      </c>
      <c r="C8852" s="81" t="s">
        <v>4082</v>
      </c>
      <c r="D8852" s="81" t="s">
        <v>224</v>
      </c>
      <c r="E8852" s="81" t="s">
        <v>6675</v>
      </c>
      <c r="F8852" s="81" t="s">
        <v>224</v>
      </c>
      <c r="G8852" s="81" t="s">
        <v>42</v>
      </c>
      <c r="H8852" s="81" t="s">
        <v>224</v>
      </c>
      <c r="I8852" s="81" t="s">
        <v>224</v>
      </c>
      <c r="J8852" s="81" t="s">
        <v>6653</v>
      </c>
    </row>
    <row r="8853">
      <c r="A8853" s="83" t="s">
        <v>6777</v>
      </c>
      <c r="B8853" s="83" t="s">
        <v>6778</v>
      </c>
      <c r="C8853" s="81" t="s">
        <v>4082</v>
      </c>
      <c r="D8853" s="81" t="s">
        <v>224</v>
      </c>
      <c r="E8853" s="81" t="s">
        <v>6676</v>
      </c>
      <c r="F8853" s="81" t="s">
        <v>224</v>
      </c>
      <c r="G8853" s="81" t="s">
        <v>42</v>
      </c>
      <c r="H8853" s="81" t="s">
        <v>224</v>
      </c>
      <c r="I8853" s="81" t="s">
        <v>224</v>
      </c>
      <c r="J8853" s="81" t="s">
        <v>6653</v>
      </c>
    </row>
    <row r="8854">
      <c r="A8854" s="83" t="s">
        <v>6777</v>
      </c>
      <c r="B8854" s="83" t="s">
        <v>6778</v>
      </c>
      <c r="C8854" s="81" t="s">
        <v>4082</v>
      </c>
      <c r="D8854" s="81" t="s">
        <v>224</v>
      </c>
      <c r="E8854" s="81" t="s">
        <v>6677</v>
      </c>
      <c r="F8854" s="81" t="s">
        <v>224</v>
      </c>
      <c r="G8854" s="81" t="s">
        <v>42</v>
      </c>
      <c r="H8854" s="81" t="s">
        <v>224</v>
      </c>
      <c r="I8854" s="81" t="s">
        <v>224</v>
      </c>
      <c r="J8854" s="81" t="s">
        <v>6653</v>
      </c>
    </row>
    <row r="8855">
      <c r="A8855" s="83" t="s">
        <v>6777</v>
      </c>
      <c r="B8855" s="83" t="s">
        <v>6778</v>
      </c>
      <c r="C8855" s="81" t="s">
        <v>4082</v>
      </c>
      <c r="D8855" s="81" t="s">
        <v>224</v>
      </c>
      <c r="E8855" s="81" t="s">
        <v>6678</v>
      </c>
      <c r="F8855" s="81" t="s">
        <v>224</v>
      </c>
      <c r="G8855" s="81" t="s">
        <v>42</v>
      </c>
      <c r="H8855" s="81" t="s">
        <v>224</v>
      </c>
      <c r="I8855" s="81" t="s">
        <v>224</v>
      </c>
      <c r="J8855" s="81" t="s">
        <v>6653</v>
      </c>
    </row>
    <row r="8856">
      <c r="A8856" s="83" t="s">
        <v>6777</v>
      </c>
      <c r="B8856" s="83" t="s">
        <v>6778</v>
      </c>
      <c r="C8856" s="81" t="s">
        <v>4082</v>
      </c>
      <c r="D8856" s="81" t="s">
        <v>224</v>
      </c>
      <c r="E8856" s="81" t="s">
        <v>6679</v>
      </c>
      <c r="F8856" s="81" t="s">
        <v>224</v>
      </c>
      <c r="G8856" s="81" t="s">
        <v>42</v>
      </c>
      <c r="H8856" s="81" t="s">
        <v>224</v>
      </c>
      <c r="I8856" s="81" t="s">
        <v>224</v>
      </c>
      <c r="J8856" s="81" t="s">
        <v>6653</v>
      </c>
    </row>
    <row r="8857">
      <c r="A8857" s="83" t="s">
        <v>6777</v>
      </c>
      <c r="B8857" s="83" t="s">
        <v>6778</v>
      </c>
      <c r="C8857" s="81" t="s">
        <v>4082</v>
      </c>
      <c r="D8857" s="81" t="s">
        <v>224</v>
      </c>
      <c r="E8857" s="81" t="s">
        <v>6680</v>
      </c>
      <c r="F8857" s="81" t="s">
        <v>224</v>
      </c>
      <c r="G8857" s="81" t="s">
        <v>42</v>
      </c>
      <c r="H8857" s="81" t="s">
        <v>224</v>
      </c>
      <c r="I8857" s="81" t="s">
        <v>224</v>
      </c>
      <c r="J8857" s="81" t="s">
        <v>6653</v>
      </c>
    </row>
    <row r="8858">
      <c r="A8858" s="83" t="s">
        <v>6777</v>
      </c>
      <c r="B8858" s="83" t="s">
        <v>6778</v>
      </c>
      <c r="C8858" s="81" t="s">
        <v>4082</v>
      </c>
      <c r="D8858" s="81" t="s">
        <v>224</v>
      </c>
      <c r="E8858" s="81" t="s">
        <v>6681</v>
      </c>
      <c r="F8858" s="81" t="s">
        <v>224</v>
      </c>
      <c r="G8858" s="81" t="s">
        <v>42</v>
      </c>
      <c r="H8858" s="81" t="s">
        <v>224</v>
      </c>
      <c r="I8858" s="81" t="s">
        <v>224</v>
      </c>
      <c r="J8858" s="81" t="s">
        <v>6653</v>
      </c>
    </row>
    <row r="8859">
      <c r="A8859" s="83" t="s">
        <v>6777</v>
      </c>
      <c r="B8859" s="83" t="s">
        <v>6778</v>
      </c>
      <c r="C8859" s="81" t="s">
        <v>4082</v>
      </c>
      <c r="D8859" s="81" t="s">
        <v>224</v>
      </c>
      <c r="E8859" s="81" t="s">
        <v>6682</v>
      </c>
      <c r="F8859" s="81" t="s">
        <v>224</v>
      </c>
      <c r="G8859" s="81" t="s">
        <v>42</v>
      </c>
      <c r="H8859" s="81" t="s">
        <v>224</v>
      </c>
      <c r="I8859" s="81" t="s">
        <v>224</v>
      </c>
      <c r="J8859" s="81" t="s">
        <v>6653</v>
      </c>
    </row>
    <row r="8860">
      <c r="A8860" s="83" t="s">
        <v>6777</v>
      </c>
      <c r="B8860" s="83" t="s">
        <v>6778</v>
      </c>
      <c r="C8860" s="81" t="s">
        <v>4082</v>
      </c>
      <c r="D8860" s="81" t="s">
        <v>224</v>
      </c>
      <c r="E8860" s="81" t="s">
        <v>6683</v>
      </c>
      <c r="F8860" s="81" t="s">
        <v>224</v>
      </c>
      <c r="G8860" s="81" t="s">
        <v>42</v>
      </c>
      <c r="H8860" s="81" t="s">
        <v>224</v>
      </c>
      <c r="I8860" s="81" t="s">
        <v>224</v>
      </c>
      <c r="J8860" s="81" t="s">
        <v>6653</v>
      </c>
    </row>
    <row r="8861">
      <c r="A8861" s="83" t="s">
        <v>6777</v>
      </c>
      <c r="B8861" s="83" t="s">
        <v>6778</v>
      </c>
      <c r="C8861" s="81" t="s">
        <v>4082</v>
      </c>
      <c r="D8861" s="81" t="s">
        <v>224</v>
      </c>
      <c r="E8861" s="81" t="s">
        <v>6684</v>
      </c>
      <c r="F8861" s="81" t="s">
        <v>224</v>
      </c>
      <c r="G8861" s="81" t="s">
        <v>42</v>
      </c>
      <c r="H8861" s="81" t="s">
        <v>224</v>
      </c>
      <c r="I8861" s="81" t="s">
        <v>224</v>
      </c>
      <c r="J8861" s="81" t="s">
        <v>6653</v>
      </c>
    </row>
    <row r="8862">
      <c r="A8862" s="83" t="s">
        <v>6777</v>
      </c>
      <c r="B8862" s="83" t="s">
        <v>6778</v>
      </c>
      <c r="C8862" s="81" t="s">
        <v>4082</v>
      </c>
      <c r="D8862" s="81" t="s">
        <v>224</v>
      </c>
      <c r="E8862" s="81" t="s">
        <v>6685</v>
      </c>
      <c r="F8862" s="81" t="s">
        <v>224</v>
      </c>
      <c r="G8862" s="81" t="s">
        <v>42</v>
      </c>
      <c r="H8862" s="81" t="s">
        <v>224</v>
      </c>
      <c r="I8862" s="81" t="s">
        <v>224</v>
      </c>
      <c r="J8862" s="81" t="s">
        <v>6653</v>
      </c>
    </row>
    <row r="8863">
      <c r="A8863" s="83" t="s">
        <v>6777</v>
      </c>
      <c r="B8863" s="83" t="s">
        <v>6778</v>
      </c>
      <c r="C8863" s="81" t="s">
        <v>4082</v>
      </c>
      <c r="D8863" s="81" t="s">
        <v>224</v>
      </c>
      <c r="E8863" s="81" t="s">
        <v>6686</v>
      </c>
      <c r="F8863" s="81" t="s">
        <v>224</v>
      </c>
      <c r="G8863" s="81" t="s">
        <v>42</v>
      </c>
      <c r="H8863" s="81" t="s">
        <v>224</v>
      </c>
      <c r="I8863" s="81" t="s">
        <v>224</v>
      </c>
      <c r="J8863" s="81" t="s">
        <v>6653</v>
      </c>
    </row>
    <row r="8864">
      <c r="A8864" s="83" t="s">
        <v>6777</v>
      </c>
      <c r="B8864" s="83" t="s">
        <v>6778</v>
      </c>
      <c r="C8864" s="81" t="s">
        <v>4082</v>
      </c>
      <c r="D8864" s="81" t="s">
        <v>224</v>
      </c>
      <c r="E8864" s="81" t="s">
        <v>6687</v>
      </c>
      <c r="F8864" s="81" t="s">
        <v>224</v>
      </c>
      <c r="G8864" s="81" t="s">
        <v>42</v>
      </c>
      <c r="H8864" s="81" t="s">
        <v>224</v>
      </c>
      <c r="I8864" s="81" t="s">
        <v>224</v>
      </c>
      <c r="J8864" s="81" t="s">
        <v>6653</v>
      </c>
    </row>
    <row r="8865">
      <c r="A8865" s="83" t="s">
        <v>6777</v>
      </c>
      <c r="B8865" s="83" t="s">
        <v>6778</v>
      </c>
      <c r="C8865" s="81" t="s">
        <v>4082</v>
      </c>
      <c r="D8865" s="81" t="s">
        <v>224</v>
      </c>
      <c r="E8865" s="81" t="s">
        <v>6688</v>
      </c>
      <c r="F8865" s="81" t="s">
        <v>224</v>
      </c>
      <c r="G8865" s="81" t="s">
        <v>42</v>
      </c>
      <c r="H8865" s="81" t="s">
        <v>224</v>
      </c>
      <c r="I8865" s="81" t="s">
        <v>224</v>
      </c>
      <c r="J8865" s="81" t="s">
        <v>6653</v>
      </c>
    </row>
    <row r="8866">
      <c r="A8866" s="83" t="s">
        <v>6777</v>
      </c>
      <c r="B8866" s="83" t="s">
        <v>6778</v>
      </c>
      <c r="C8866" s="81" t="s">
        <v>4082</v>
      </c>
      <c r="D8866" s="81" t="s">
        <v>224</v>
      </c>
      <c r="E8866" s="81" t="s">
        <v>6689</v>
      </c>
      <c r="F8866" s="81" t="s">
        <v>224</v>
      </c>
      <c r="G8866" s="81" t="s">
        <v>42</v>
      </c>
      <c r="H8866" s="81" t="s">
        <v>224</v>
      </c>
      <c r="I8866" s="81" t="s">
        <v>224</v>
      </c>
      <c r="J8866" s="81" t="s">
        <v>6653</v>
      </c>
    </row>
    <row r="8867">
      <c r="A8867" s="83" t="s">
        <v>6777</v>
      </c>
      <c r="B8867" s="83" t="s">
        <v>6778</v>
      </c>
      <c r="C8867" s="81" t="s">
        <v>4082</v>
      </c>
      <c r="D8867" s="81" t="s">
        <v>224</v>
      </c>
      <c r="E8867" s="81" t="s">
        <v>6690</v>
      </c>
      <c r="F8867" s="81" t="s">
        <v>224</v>
      </c>
      <c r="G8867" s="81" t="s">
        <v>42</v>
      </c>
      <c r="H8867" s="81" t="s">
        <v>224</v>
      </c>
      <c r="I8867" s="81" t="s">
        <v>224</v>
      </c>
      <c r="J8867" s="81" t="s">
        <v>6653</v>
      </c>
    </row>
    <row r="8868">
      <c r="A8868" s="83" t="s">
        <v>6777</v>
      </c>
      <c r="B8868" s="83" t="s">
        <v>6778</v>
      </c>
      <c r="C8868" s="81" t="s">
        <v>4082</v>
      </c>
      <c r="D8868" s="81" t="s">
        <v>224</v>
      </c>
      <c r="E8868" s="81" t="s">
        <v>6691</v>
      </c>
      <c r="F8868" s="81" t="s">
        <v>224</v>
      </c>
      <c r="G8868" s="81" t="s">
        <v>42</v>
      </c>
      <c r="H8868" s="81" t="s">
        <v>224</v>
      </c>
      <c r="I8868" s="81" t="s">
        <v>224</v>
      </c>
      <c r="J8868" s="81" t="s">
        <v>6653</v>
      </c>
    </row>
    <row r="8869">
      <c r="A8869" s="83" t="s">
        <v>6777</v>
      </c>
      <c r="B8869" s="83" t="s">
        <v>6778</v>
      </c>
      <c r="C8869" s="81" t="s">
        <v>4082</v>
      </c>
      <c r="D8869" s="81" t="s">
        <v>224</v>
      </c>
      <c r="E8869" s="81" t="s">
        <v>6692</v>
      </c>
      <c r="F8869" s="81" t="s">
        <v>224</v>
      </c>
      <c r="G8869" s="81" t="s">
        <v>42</v>
      </c>
      <c r="H8869" s="81" t="s">
        <v>224</v>
      </c>
      <c r="I8869" s="81" t="s">
        <v>224</v>
      </c>
      <c r="J8869" s="81" t="s">
        <v>6653</v>
      </c>
    </row>
    <row r="8870">
      <c r="A8870" s="83" t="s">
        <v>6777</v>
      </c>
      <c r="B8870" s="83" t="s">
        <v>6778</v>
      </c>
      <c r="C8870" s="81" t="s">
        <v>4082</v>
      </c>
      <c r="D8870" s="81" t="s">
        <v>224</v>
      </c>
      <c r="E8870" s="81" t="s">
        <v>6702</v>
      </c>
      <c r="F8870" s="81" t="s">
        <v>224</v>
      </c>
      <c r="G8870" s="81" t="s">
        <v>42</v>
      </c>
      <c r="H8870" s="81" t="s">
        <v>224</v>
      </c>
      <c r="I8870" s="81" t="s">
        <v>224</v>
      </c>
      <c r="J8870" s="81" t="s">
        <v>6653</v>
      </c>
    </row>
    <row r="8871">
      <c r="A8871" s="83" t="s">
        <v>6777</v>
      </c>
      <c r="B8871" s="83" t="s">
        <v>6778</v>
      </c>
      <c r="C8871" s="81" t="s">
        <v>4082</v>
      </c>
      <c r="D8871" s="81" t="s">
        <v>224</v>
      </c>
      <c r="E8871" s="81" t="s">
        <v>6703</v>
      </c>
      <c r="F8871" s="81" t="s">
        <v>224</v>
      </c>
      <c r="G8871" s="81" t="s">
        <v>42</v>
      </c>
      <c r="H8871" s="81" t="s">
        <v>224</v>
      </c>
      <c r="I8871" s="81" t="s">
        <v>224</v>
      </c>
      <c r="J8871" s="81" t="s">
        <v>6653</v>
      </c>
    </row>
    <row r="8872">
      <c r="A8872" s="83" t="s">
        <v>6777</v>
      </c>
      <c r="B8872" s="83" t="s">
        <v>6778</v>
      </c>
      <c r="C8872" s="81" t="s">
        <v>4082</v>
      </c>
      <c r="D8872" s="81" t="s">
        <v>224</v>
      </c>
      <c r="E8872" s="81" t="s">
        <v>6704</v>
      </c>
      <c r="F8872" s="81" t="s">
        <v>224</v>
      </c>
      <c r="G8872" s="81" t="s">
        <v>42</v>
      </c>
      <c r="H8872" s="81" t="s">
        <v>224</v>
      </c>
      <c r="I8872" s="81" t="s">
        <v>224</v>
      </c>
      <c r="J8872" s="81" t="s">
        <v>6653</v>
      </c>
    </row>
    <row r="8873">
      <c r="A8873" s="83" t="s">
        <v>6777</v>
      </c>
      <c r="B8873" s="83" t="s">
        <v>6778</v>
      </c>
      <c r="C8873" s="81" t="s">
        <v>4082</v>
      </c>
      <c r="D8873" s="81" t="s">
        <v>224</v>
      </c>
      <c r="E8873" s="81" t="s">
        <v>6705</v>
      </c>
      <c r="F8873" s="81" t="s">
        <v>224</v>
      </c>
      <c r="G8873" s="81" t="s">
        <v>42</v>
      </c>
      <c r="H8873" s="81" t="s">
        <v>224</v>
      </c>
      <c r="I8873" s="81" t="s">
        <v>224</v>
      </c>
      <c r="J8873" s="81" t="s">
        <v>6653</v>
      </c>
    </row>
    <row r="8874">
      <c r="A8874" s="83" t="s">
        <v>6777</v>
      </c>
      <c r="B8874" s="83" t="s">
        <v>6778</v>
      </c>
      <c r="C8874" s="81" t="s">
        <v>4082</v>
      </c>
      <c r="D8874" s="81" t="s">
        <v>224</v>
      </c>
      <c r="E8874" s="81" t="s">
        <v>6706</v>
      </c>
      <c r="F8874" s="81" t="s">
        <v>224</v>
      </c>
      <c r="G8874" s="81" t="s">
        <v>42</v>
      </c>
      <c r="H8874" s="81" t="s">
        <v>224</v>
      </c>
      <c r="I8874" s="81" t="s">
        <v>224</v>
      </c>
      <c r="J8874" s="81" t="s">
        <v>6653</v>
      </c>
    </row>
    <row r="8875">
      <c r="A8875" s="83" t="s">
        <v>6777</v>
      </c>
      <c r="B8875" s="83" t="s">
        <v>6778</v>
      </c>
      <c r="C8875" s="81" t="s">
        <v>4082</v>
      </c>
      <c r="D8875" s="81" t="s">
        <v>224</v>
      </c>
      <c r="E8875" s="81" t="s">
        <v>6707</v>
      </c>
      <c r="F8875" s="81" t="s">
        <v>224</v>
      </c>
      <c r="G8875" s="81" t="s">
        <v>42</v>
      </c>
      <c r="H8875" s="81" t="s">
        <v>224</v>
      </c>
      <c r="I8875" s="81" t="s">
        <v>224</v>
      </c>
      <c r="J8875" s="81" t="s">
        <v>6653</v>
      </c>
    </row>
    <row r="8876">
      <c r="A8876" s="83" t="s">
        <v>6777</v>
      </c>
      <c r="B8876" s="83" t="s">
        <v>6778</v>
      </c>
      <c r="C8876" s="81" t="s">
        <v>4082</v>
      </c>
      <c r="D8876" s="81" t="s">
        <v>224</v>
      </c>
      <c r="E8876" s="81" t="s">
        <v>6708</v>
      </c>
      <c r="F8876" s="81" t="s">
        <v>224</v>
      </c>
      <c r="G8876" s="81" t="s">
        <v>42</v>
      </c>
      <c r="H8876" s="81" t="s">
        <v>224</v>
      </c>
      <c r="I8876" s="81" t="s">
        <v>224</v>
      </c>
      <c r="J8876" s="81" t="s">
        <v>6653</v>
      </c>
    </row>
    <row r="8877">
      <c r="A8877" s="83" t="s">
        <v>6777</v>
      </c>
      <c r="B8877" s="83" t="s">
        <v>6778</v>
      </c>
      <c r="C8877" s="81" t="s">
        <v>4082</v>
      </c>
      <c r="D8877" s="81" t="s">
        <v>224</v>
      </c>
      <c r="E8877" s="81" t="s">
        <v>6709</v>
      </c>
      <c r="F8877" s="81" t="s">
        <v>224</v>
      </c>
      <c r="G8877" s="81" t="s">
        <v>42</v>
      </c>
      <c r="H8877" s="81" t="s">
        <v>224</v>
      </c>
      <c r="I8877" s="81" t="s">
        <v>224</v>
      </c>
      <c r="J8877" s="81" t="s">
        <v>6653</v>
      </c>
    </row>
    <row r="8878">
      <c r="A8878" s="83" t="s">
        <v>6777</v>
      </c>
      <c r="B8878" s="83" t="s">
        <v>6778</v>
      </c>
      <c r="C8878" s="81" t="s">
        <v>4082</v>
      </c>
      <c r="D8878" s="81" t="s">
        <v>224</v>
      </c>
      <c r="E8878" s="81" t="s">
        <v>6710</v>
      </c>
      <c r="F8878" s="81" t="s">
        <v>224</v>
      </c>
      <c r="G8878" s="81" t="s">
        <v>42</v>
      </c>
      <c r="H8878" s="81" t="s">
        <v>224</v>
      </c>
      <c r="I8878" s="81" t="s">
        <v>224</v>
      </c>
      <c r="J8878" s="81" t="s">
        <v>6653</v>
      </c>
    </row>
    <row r="8879">
      <c r="A8879" s="83" t="s">
        <v>6777</v>
      </c>
      <c r="B8879" s="83" t="s">
        <v>6778</v>
      </c>
      <c r="C8879" s="81" t="s">
        <v>4082</v>
      </c>
      <c r="D8879" s="81" t="s">
        <v>224</v>
      </c>
      <c r="E8879" s="81" t="s">
        <v>6711</v>
      </c>
      <c r="F8879" s="81" t="s">
        <v>224</v>
      </c>
      <c r="G8879" s="81" t="s">
        <v>42</v>
      </c>
      <c r="H8879" s="81" t="s">
        <v>224</v>
      </c>
      <c r="I8879" s="81" t="s">
        <v>224</v>
      </c>
      <c r="J8879" s="81" t="s">
        <v>6653</v>
      </c>
    </row>
    <row r="8880">
      <c r="A8880" s="83" t="s">
        <v>6777</v>
      </c>
      <c r="B8880" s="83" t="s">
        <v>6778</v>
      </c>
      <c r="C8880" s="81" t="s">
        <v>4082</v>
      </c>
      <c r="D8880" s="81" t="s">
        <v>224</v>
      </c>
      <c r="E8880" s="81" t="s">
        <v>6712</v>
      </c>
      <c r="F8880" s="81" t="s">
        <v>224</v>
      </c>
      <c r="G8880" s="81" t="s">
        <v>42</v>
      </c>
      <c r="H8880" s="81" t="s">
        <v>224</v>
      </c>
      <c r="I8880" s="81" t="s">
        <v>224</v>
      </c>
      <c r="J8880" s="81" t="s">
        <v>6653</v>
      </c>
    </row>
    <row r="8881">
      <c r="A8881" s="83" t="s">
        <v>6777</v>
      </c>
      <c r="B8881" s="83" t="s">
        <v>6778</v>
      </c>
      <c r="C8881" s="81" t="s">
        <v>4082</v>
      </c>
      <c r="D8881" s="81" t="s">
        <v>224</v>
      </c>
      <c r="E8881" s="81" t="s">
        <v>6713</v>
      </c>
      <c r="F8881" s="81" t="s">
        <v>224</v>
      </c>
      <c r="G8881" s="81" t="s">
        <v>42</v>
      </c>
      <c r="H8881" s="81" t="s">
        <v>224</v>
      </c>
      <c r="I8881" s="81" t="s">
        <v>224</v>
      </c>
      <c r="J8881" s="81" t="s">
        <v>6653</v>
      </c>
    </row>
    <row r="8882">
      <c r="A8882" s="83" t="s">
        <v>6777</v>
      </c>
      <c r="B8882" s="83" t="s">
        <v>6778</v>
      </c>
      <c r="C8882" s="81" t="s">
        <v>4082</v>
      </c>
      <c r="D8882" s="81" t="s">
        <v>224</v>
      </c>
      <c r="E8882" s="81" t="s">
        <v>6362</v>
      </c>
      <c r="F8882" s="81" t="s">
        <v>224</v>
      </c>
      <c r="G8882" s="81" t="s">
        <v>42</v>
      </c>
      <c r="H8882" s="81" t="s">
        <v>224</v>
      </c>
      <c r="I8882" s="81" t="s">
        <v>224</v>
      </c>
      <c r="J8882" s="81" t="s">
        <v>6653</v>
      </c>
    </row>
    <row r="8883">
      <c r="A8883" s="83" t="s">
        <v>6777</v>
      </c>
      <c r="B8883" s="83" t="s">
        <v>6778</v>
      </c>
      <c r="C8883" s="81" t="s">
        <v>4084</v>
      </c>
      <c r="D8883" s="81" t="s">
        <v>224</v>
      </c>
      <c r="E8883" s="81" t="s">
        <v>224</v>
      </c>
      <c r="F8883" s="81" t="s">
        <v>224</v>
      </c>
      <c r="G8883" s="81" t="s">
        <v>224</v>
      </c>
      <c r="H8883" s="81" t="s">
        <v>224</v>
      </c>
      <c r="I8883" s="81" t="s">
        <v>224</v>
      </c>
      <c r="J8883" s="81" t="s">
        <v>6780</v>
      </c>
    </row>
    <row r="8884">
      <c r="A8884" s="83" t="s">
        <v>6777</v>
      </c>
      <c r="B8884" s="83" t="s">
        <v>6778</v>
      </c>
      <c r="C8884" s="81" t="s">
        <v>4082</v>
      </c>
      <c r="D8884" s="81" t="s">
        <v>224</v>
      </c>
      <c r="E8884" s="81" t="s">
        <v>6781</v>
      </c>
      <c r="F8884" s="81" t="s">
        <v>224</v>
      </c>
      <c r="G8884" s="81" t="s">
        <v>224</v>
      </c>
      <c r="H8884" s="81" t="s">
        <v>224</v>
      </c>
      <c r="I8884" s="81" t="s">
        <v>224</v>
      </c>
      <c r="J8884" s="81" t="s">
        <v>6734</v>
      </c>
    </row>
    <row r="8885">
      <c r="A8885" s="83" t="s">
        <v>6777</v>
      </c>
      <c r="B8885" s="83" t="s">
        <v>6778</v>
      </c>
      <c r="C8885" s="81" t="s">
        <v>4082</v>
      </c>
      <c r="D8885" s="81" t="s">
        <v>224</v>
      </c>
      <c r="E8885" s="81" t="s">
        <v>6782</v>
      </c>
      <c r="F8885" s="81" t="s">
        <v>224</v>
      </c>
      <c r="G8885" s="81" t="s">
        <v>224</v>
      </c>
      <c r="H8885" s="81" t="s">
        <v>224</v>
      </c>
      <c r="I8885" s="81" t="s">
        <v>224</v>
      </c>
      <c r="J8885" s="81" t="s">
        <v>6734</v>
      </c>
    </row>
    <row r="8886">
      <c r="A8886" s="83" t="s">
        <v>6777</v>
      </c>
      <c r="B8886" s="83" t="s">
        <v>6778</v>
      </c>
      <c r="C8886" s="81" t="s">
        <v>4082</v>
      </c>
      <c r="D8886" s="81" t="s">
        <v>224</v>
      </c>
      <c r="E8886" s="81" t="s">
        <v>6768</v>
      </c>
      <c r="F8886" s="81" t="s">
        <v>224</v>
      </c>
      <c r="G8886" s="81" t="s">
        <v>224</v>
      </c>
      <c r="H8886" s="81" t="s">
        <v>224</v>
      </c>
      <c r="I8886" s="81" t="s">
        <v>224</v>
      </c>
      <c r="J8886" s="81" t="s">
        <v>6769</v>
      </c>
    </row>
    <row r="8887">
      <c r="A8887" s="83" t="s">
        <v>6777</v>
      </c>
      <c r="B8887" s="83" t="s">
        <v>6778</v>
      </c>
      <c r="C8887" s="81" t="s">
        <v>4082</v>
      </c>
      <c r="D8887" s="81" t="s">
        <v>224</v>
      </c>
      <c r="E8887" s="81" t="s">
        <v>6770</v>
      </c>
      <c r="F8887" s="81" t="s">
        <v>224</v>
      </c>
      <c r="G8887" s="81" t="s">
        <v>224</v>
      </c>
      <c r="H8887" s="81" t="s">
        <v>224</v>
      </c>
      <c r="I8887" s="81" t="s">
        <v>224</v>
      </c>
      <c r="J8887" s="81" t="s">
        <v>6771</v>
      </c>
    </row>
    <row r="8888">
      <c r="A8888" s="83" t="s">
        <v>6777</v>
      </c>
      <c r="B8888" s="83" t="s">
        <v>6778</v>
      </c>
      <c r="C8888" s="81" t="s">
        <v>4082</v>
      </c>
      <c r="D8888" s="81" t="s">
        <v>224</v>
      </c>
      <c r="E8888" s="81" t="s">
        <v>6637</v>
      </c>
      <c r="F8888" s="81" t="s">
        <v>224</v>
      </c>
      <c r="G8888" s="81" t="s">
        <v>224</v>
      </c>
      <c r="H8888" s="81" t="s">
        <v>224</v>
      </c>
      <c r="I8888" s="81" t="s">
        <v>224</v>
      </c>
      <c r="J8888" s="81" t="s">
        <v>6638</v>
      </c>
    </row>
    <row r="8889">
      <c r="A8889" s="83" t="s">
        <v>6777</v>
      </c>
      <c r="B8889" s="83" t="s">
        <v>6778</v>
      </c>
      <c r="C8889" s="81" t="s">
        <v>4082</v>
      </c>
      <c r="D8889" s="81" t="s">
        <v>224</v>
      </c>
      <c r="E8889" s="81" t="s">
        <v>6639</v>
      </c>
      <c r="F8889" s="81" t="s">
        <v>224</v>
      </c>
      <c r="G8889" s="81" t="s">
        <v>224</v>
      </c>
      <c r="H8889" s="81" t="s">
        <v>224</v>
      </c>
      <c r="I8889" s="81" t="s">
        <v>224</v>
      </c>
      <c r="J8889" s="81" t="s">
        <v>6638</v>
      </c>
    </row>
    <row r="8890">
      <c r="A8890" s="83" t="s">
        <v>6777</v>
      </c>
      <c r="B8890" s="83" t="s">
        <v>6778</v>
      </c>
      <c r="C8890" s="81" t="s">
        <v>4082</v>
      </c>
      <c r="D8890" s="81" t="s">
        <v>224</v>
      </c>
      <c r="E8890" s="81" t="s">
        <v>6733</v>
      </c>
      <c r="F8890" s="81" t="s">
        <v>224</v>
      </c>
      <c r="G8890" s="81" t="s">
        <v>224</v>
      </c>
      <c r="H8890" s="81" t="s">
        <v>224</v>
      </c>
      <c r="I8890" s="81" t="s">
        <v>224</v>
      </c>
      <c r="J8890" s="81" t="s">
        <v>6734</v>
      </c>
    </row>
    <row r="8891">
      <c r="A8891" s="83" t="s">
        <v>6777</v>
      </c>
      <c r="B8891" s="83" t="s">
        <v>6778</v>
      </c>
      <c r="C8891" s="81" t="s">
        <v>4082</v>
      </c>
      <c r="D8891" s="81" t="s">
        <v>224</v>
      </c>
      <c r="E8891" s="81" t="s">
        <v>6735</v>
      </c>
      <c r="F8891" s="81" t="s">
        <v>224</v>
      </c>
      <c r="G8891" s="81" t="s">
        <v>224</v>
      </c>
      <c r="H8891" s="81" t="s">
        <v>224</v>
      </c>
      <c r="I8891" s="81" t="s">
        <v>224</v>
      </c>
      <c r="J8891" s="81" t="s">
        <v>6734</v>
      </c>
    </row>
    <row r="8892">
      <c r="A8892" s="83" t="s">
        <v>6777</v>
      </c>
      <c r="B8892" s="83" t="s">
        <v>6778</v>
      </c>
      <c r="C8892" s="81" t="s">
        <v>4082</v>
      </c>
      <c r="D8892" s="81" t="s">
        <v>224</v>
      </c>
      <c r="E8892" s="81" t="s">
        <v>6458</v>
      </c>
      <c r="F8892" s="81" t="s">
        <v>224</v>
      </c>
      <c r="G8892" s="81" t="s">
        <v>224</v>
      </c>
      <c r="H8892" s="81" t="s">
        <v>224</v>
      </c>
      <c r="I8892" s="81" t="s">
        <v>224</v>
      </c>
      <c r="J8892" s="81" t="s">
        <v>6459</v>
      </c>
    </row>
    <row r="8893">
      <c r="A8893" s="83" t="s">
        <v>6777</v>
      </c>
      <c r="B8893" s="83" t="s">
        <v>6778</v>
      </c>
      <c r="C8893" s="81" t="s">
        <v>4082</v>
      </c>
      <c r="D8893" s="81" t="s">
        <v>224</v>
      </c>
      <c r="E8893" s="81" t="s">
        <v>6736</v>
      </c>
      <c r="F8893" s="81" t="s">
        <v>224</v>
      </c>
      <c r="G8893" s="81" t="s">
        <v>224</v>
      </c>
      <c r="H8893" s="81" t="s">
        <v>224</v>
      </c>
      <c r="I8893" s="81" t="s">
        <v>224</v>
      </c>
      <c r="J8893" s="81" t="s">
        <v>6734</v>
      </c>
    </row>
    <row r="8894">
      <c r="A8894" s="83" t="s">
        <v>6777</v>
      </c>
      <c r="B8894" s="83" t="s">
        <v>6778</v>
      </c>
      <c r="C8894" s="81" t="s">
        <v>4082</v>
      </c>
      <c r="D8894" s="81" t="s">
        <v>224</v>
      </c>
      <c r="E8894" s="81" t="s">
        <v>6460</v>
      </c>
      <c r="F8894" s="81" t="s">
        <v>224</v>
      </c>
      <c r="G8894" s="81" t="s">
        <v>224</v>
      </c>
      <c r="H8894" s="81" t="s">
        <v>224</v>
      </c>
      <c r="I8894" s="81" t="s">
        <v>224</v>
      </c>
      <c r="J8894" s="81" t="s">
        <v>6461</v>
      </c>
    </row>
    <row r="8895">
      <c r="A8895" s="83" t="s">
        <v>6777</v>
      </c>
      <c r="B8895" s="83" t="s">
        <v>6778</v>
      </c>
      <c r="C8895" s="81" t="s">
        <v>4082</v>
      </c>
      <c r="D8895" s="81" t="s">
        <v>224</v>
      </c>
      <c r="E8895" s="81" t="s">
        <v>6462</v>
      </c>
      <c r="F8895" s="81" t="s">
        <v>224</v>
      </c>
      <c r="G8895" s="81" t="s">
        <v>224</v>
      </c>
      <c r="H8895" s="81" t="s">
        <v>224</v>
      </c>
      <c r="I8895" s="81" t="s">
        <v>224</v>
      </c>
      <c r="J8895" s="81" t="s">
        <v>6463</v>
      </c>
    </row>
    <row r="8896">
      <c r="A8896" s="83" t="s">
        <v>6777</v>
      </c>
      <c r="B8896" s="83" t="s">
        <v>6778</v>
      </c>
      <c r="C8896" s="81" t="s">
        <v>4082</v>
      </c>
      <c r="D8896" s="81" t="s">
        <v>224</v>
      </c>
      <c r="E8896" s="81" t="s">
        <v>6737</v>
      </c>
      <c r="F8896" s="81" t="s">
        <v>224</v>
      </c>
      <c r="G8896" s="81" t="s">
        <v>224</v>
      </c>
      <c r="H8896" s="81" t="s">
        <v>224</v>
      </c>
      <c r="I8896" s="81" t="s">
        <v>224</v>
      </c>
      <c r="J8896" s="81" t="s">
        <v>6734</v>
      </c>
    </row>
    <row r="8897">
      <c r="A8897" s="83" t="s">
        <v>6777</v>
      </c>
      <c r="B8897" s="83" t="s">
        <v>6778</v>
      </c>
      <c r="C8897" s="81" t="s">
        <v>4082</v>
      </c>
      <c r="D8897" s="81" t="s">
        <v>224</v>
      </c>
      <c r="E8897" s="81" t="s">
        <v>6464</v>
      </c>
      <c r="F8897" s="81" t="s">
        <v>224</v>
      </c>
      <c r="G8897" s="81" t="s">
        <v>224</v>
      </c>
      <c r="H8897" s="81" t="s">
        <v>224</v>
      </c>
      <c r="I8897" s="81" t="s">
        <v>224</v>
      </c>
      <c r="J8897" s="81" t="s">
        <v>6465</v>
      </c>
    </row>
    <row r="8898">
      <c r="A8898" s="83" t="s">
        <v>6777</v>
      </c>
      <c r="B8898" s="83" t="s">
        <v>6778</v>
      </c>
      <c r="C8898" s="81" t="s">
        <v>4082</v>
      </c>
      <c r="D8898" s="81" t="s">
        <v>224</v>
      </c>
      <c r="E8898" s="81" t="s">
        <v>6466</v>
      </c>
      <c r="F8898" s="81" t="s">
        <v>224</v>
      </c>
      <c r="G8898" s="81" t="s">
        <v>224</v>
      </c>
      <c r="H8898" s="81" t="s">
        <v>224</v>
      </c>
      <c r="I8898" s="81" t="s">
        <v>224</v>
      </c>
      <c r="J8898" s="81" t="s">
        <v>6467</v>
      </c>
    </row>
    <row r="8899">
      <c r="A8899" s="83" t="s">
        <v>6777</v>
      </c>
      <c r="B8899" s="83" t="s">
        <v>6778</v>
      </c>
      <c r="C8899" s="81" t="s">
        <v>4082</v>
      </c>
      <c r="D8899" s="81" t="s">
        <v>224</v>
      </c>
      <c r="E8899" s="81" t="s">
        <v>6468</v>
      </c>
      <c r="F8899" s="81" t="s">
        <v>224</v>
      </c>
      <c r="G8899" s="81" t="s">
        <v>224</v>
      </c>
      <c r="H8899" s="81" t="s">
        <v>224</v>
      </c>
      <c r="I8899" s="81" t="s">
        <v>224</v>
      </c>
      <c r="J8899" s="81" t="s">
        <v>6469</v>
      </c>
    </row>
    <row r="8900">
      <c r="A8900" s="83" t="s">
        <v>6777</v>
      </c>
      <c r="B8900" s="83" t="s">
        <v>6778</v>
      </c>
      <c r="C8900" s="81" t="s">
        <v>4082</v>
      </c>
      <c r="D8900" s="81" t="s">
        <v>224</v>
      </c>
      <c r="E8900" s="81" t="s">
        <v>6470</v>
      </c>
      <c r="F8900" s="81" t="s">
        <v>224</v>
      </c>
      <c r="G8900" s="81" t="s">
        <v>224</v>
      </c>
      <c r="H8900" s="81" t="s">
        <v>224</v>
      </c>
      <c r="I8900" s="81" t="s">
        <v>224</v>
      </c>
      <c r="J8900" s="81" t="s">
        <v>6471</v>
      </c>
    </row>
    <row r="8901">
      <c r="A8901" s="83" t="s">
        <v>6777</v>
      </c>
      <c r="B8901" s="83" t="s">
        <v>6778</v>
      </c>
      <c r="C8901" s="81" t="s">
        <v>4082</v>
      </c>
      <c r="D8901" s="81" t="s">
        <v>224</v>
      </c>
      <c r="E8901" s="81" t="s">
        <v>6472</v>
      </c>
      <c r="F8901" s="81" t="s">
        <v>224</v>
      </c>
      <c r="G8901" s="81" t="s">
        <v>224</v>
      </c>
      <c r="H8901" s="81" t="s">
        <v>224</v>
      </c>
      <c r="I8901" s="81" t="s">
        <v>224</v>
      </c>
      <c r="J8901" s="81" t="s">
        <v>6473</v>
      </c>
    </row>
    <row r="8902">
      <c r="A8902" s="83" t="s">
        <v>6777</v>
      </c>
      <c r="B8902" s="83" t="s">
        <v>6778</v>
      </c>
      <c r="C8902" s="81" t="s">
        <v>4082</v>
      </c>
      <c r="D8902" s="81" t="s">
        <v>224</v>
      </c>
      <c r="E8902" s="81" t="s">
        <v>6474</v>
      </c>
      <c r="F8902" s="81" t="s">
        <v>224</v>
      </c>
      <c r="G8902" s="81" t="s">
        <v>224</v>
      </c>
      <c r="H8902" s="81" t="s">
        <v>224</v>
      </c>
      <c r="I8902" s="81" t="s">
        <v>224</v>
      </c>
      <c r="J8902" s="81" t="s">
        <v>6475</v>
      </c>
    </row>
    <row r="8903">
      <c r="A8903" s="83" t="s">
        <v>6777</v>
      </c>
      <c r="B8903" s="83" t="s">
        <v>6778</v>
      </c>
      <c r="C8903" s="81" t="s">
        <v>4082</v>
      </c>
      <c r="D8903" s="81" t="s">
        <v>224</v>
      </c>
      <c r="E8903" s="81" t="s">
        <v>6476</v>
      </c>
      <c r="F8903" s="81" t="s">
        <v>224</v>
      </c>
      <c r="G8903" s="81" t="s">
        <v>224</v>
      </c>
      <c r="H8903" s="81" t="s">
        <v>224</v>
      </c>
      <c r="I8903" s="81" t="s">
        <v>224</v>
      </c>
      <c r="J8903" s="81" t="s">
        <v>6477</v>
      </c>
    </row>
    <row r="8904">
      <c r="A8904" s="83" t="s">
        <v>6777</v>
      </c>
      <c r="B8904" s="83" t="s">
        <v>6778</v>
      </c>
      <c r="C8904" s="81" t="s">
        <v>4082</v>
      </c>
      <c r="D8904" s="81" t="s">
        <v>224</v>
      </c>
      <c r="E8904" s="81" t="s">
        <v>6478</v>
      </c>
      <c r="F8904" s="81" t="s">
        <v>224</v>
      </c>
      <c r="G8904" s="81" t="s">
        <v>224</v>
      </c>
      <c r="H8904" s="81" t="s">
        <v>224</v>
      </c>
      <c r="I8904" s="81" t="s">
        <v>224</v>
      </c>
      <c r="J8904" s="81" t="s">
        <v>6479</v>
      </c>
    </row>
    <row r="8905">
      <c r="A8905" s="83" t="s">
        <v>6777</v>
      </c>
      <c r="B8905" s="83" t="s">
        <v>6778</v>
      </c>
      <c r="C8905" s="81" t="s">
        <v>4082</v>
      </c>
      <c r="D8905" s="81" t="s">
        <v>224</v>
      </c>
      <c r="E8905" s="81" t="s">
        <v>6480</v>
      </c>
      <c r="F8905" s="81" t="s">
        <v>224</v>
      </c>
      <c r="G8905" s="81" t="s">
        <v>224</v>
      </c>
      <c r="H8905" s="81" t="s">
        <v>224</v>
      </c>
      <c r="I8905" s="81" t="s">
        <v>224</v>
      </c>
      <c r="J8905" s="81" t="s">
        <v>6481</v>
      </c>
    </row>
    <row r="8906">
      <c r="A8906" s="83" t="s">
        <v>6777</v>
      </c>
      <c r="B8906" s="83" t="s">
        <v>6778</v>
      </c>
      <c r="C8906" s="81" t="s">
        <v>4082</v>
      </c>
      <c r="D8906" s="81" t="s">
        <v>224</v>
      </c>
      <c r="E8906" s="81" t="s">
        <v>6482</v>
      </c>
      <c r="F8906" s="81" t="s">
        <v>224</v>
      </c>
      <c r="G8906" s="81" t="s">
        <v>224</v>
      </c>
      <c r="H8906" s="81" t="s">
        <v>224</v>
      </c>
      <c r="I8906" s="81" t="s">
        <v>224</v>
      </c>
      <c r="J8906" s="81" t="s">
        <v>6483</v>
      </c>
    </row>
    <row r="8907">
      <c r="A8907" s="83" t="s">
        <v>6777</v>
      </c>
      <c r="B8907" s="83" t="s">
        <v>6778</v>
      </c>
      <c r="C8907" s="81" t="s">
        <v>4082</v>
      </c>
      <c r="D8907" s="81" t="s">
        <v>224</v>
      </c>
      <c r="E8907" s="81" t="s">
        <v>6484</v>
      </c>
      <c r="F8907" s="81" t="s">
        <v>224</v>
      </c>
      <c r="G8907" s="81" t="s">
        <v>224</v>
      </c>
      <c r="H8907" s="81" t="s">
        <v>224</v>
      </c>
      <c r="I8907" s="81" t="s">
        <v>224</v>
      </c>
      <c r="J8907" s="81" t="s">
        <v>6485</v>
      </c>
    </row>
    <row r="8908">
      <c r="A8908" s="83" t="s">
        <v>6777</v>
      </c>
      <c r="B8908" s="83" t="s">
        <v>6778</v>
      </c>
      <c r="C8908" s="81" t="s">
        <v>4082</v>
      </c>
      <c r="D8908" s="81" t="s">
        <v>224</v>
      </c>
      <c r="E8908" s="81" t="s">
        <v>6486</v>
      </c>
      <c r="F8908" s="81" t="s">
        <v>224</v>
      </c>
      <c r="G8908" s="81" t="s">
        <v>224</v>
      </c>
      <c r="H8908" s="81" t="s">
        <v>224</v>
      </c>
      <c r="I8908" s="81" t="s">
        <v>224</v>
      </c>
      <c r="J8908" s="81" t="s">
        <v>6487</v>
      </c>
    </row>
    <row r="8909">
      <c r="A8909" s="83" t="s">
        <v>6777</v>
      </c>
      <c r="B8909" s="83" t="s">
        <v>6778</v>
      </c>
      <c r="C8909" s="81" t="s">
        <v>4082</v>
      </c>
      <c r="D8909" s="81" t="s">
        <v>224</v>
      </c>
      <c r="E8909" s="81" t="s">
        <v>6488</v>
      </c>
      <c r="F8909" s="81" t="s">
        <v>224</v>
      </c>
      <c r="G8909" s="81" t="s">
        <v>224</v>
      </c>
      <c r="H8909" s="81" t="s">
        <v>224</v>
      </c>
      <c r="I8909" s="81" t="s">
        <v>224</v>
      </c>
      <c r="J8909" s="81" t="s">
        <v>6489</v>
      </c>
    </row>
    <row r="8910">
      <c r="A8910" s="83" t="s">
        <v>6777</v>
      </c>
      <c r="B8910" s="83" t="s">
        <v>6778</v>
      </c>
      <c r="C8910" s="81" t="s">
        <v>4082</v>
      </c>
      <c r="D8910" s="81" t="s">
        <v>224</v>
      </c>
      <c r="E8910" s="81" t="s">
        <v>6490</v>
      </c>
      <c r="F8910" s="81" t="s">
        <v>224</v>
      </c>
      <c r="G8910" s="81" t="s">
        <v>224</v>
      </c>
      <c r="H8910" s="81" t="s">
        <v>224</v>
      </c>
      <c r="I8910" s="81" t="s">
        <v>224</v>
      </c>
      <c r="J8910" s="81" t="s">
        <v>6491</v>
      </c>
    </row>
    <row r="8911">
      <c r="A8911" s="83" t="s">
        <v>6777</v>
      </c>
      <c r="B8911" s="83" t="s">
        <v>6778</v>
      </c>
      <c r="C8911" s="81" t="s">
        <v>4082</v>
      </c>
      <c r="D8911" s="81" t="s">
        <v>224</v>
      </c>
      <c r="E8911" s="81" t="s">
        <v>6492</v>
      </c>
      <c r="F8911" s="81" t="s">
        <v>224</v>
      </c>
      <c r="G8911" s="81" t="s">
        <v>224</v>
      </c>
      <c r="H8911" s="81" t="s">
        <v>224</v>
      </c>
      <c r="I8911" s="81" t="s">
        <v>224</v>
      </c>
      <c r="J8911" s="81" t="s">
        <v>6493</v>
      </c>
    </row>
    <row r="8912">
      <c r="A8912" s="83" t="s">
        <v>6777</v>
      </c>
      <c r="B8912" s="83" t="s">
        <v>6778</v>
      </c>
      <c r="C8912" s="81" t="s">
        <v>4082</v>
      </c>
      <c r="D8912" s="81" t="s">
        <v>224</v>
      </c>
      <c r="E8912" s="81" t="s">
        <v>6494</v>
      </c>
      <c r="F8912" s="81" t="s">
        <v>224</v>
      </c>
      <c r="G8912" s="81" t="s">
        <v>224</v>
      </c>
      <c r="H8912" s="81" t="s">
        <v>224</v>
      </c>
      <c r="I8912" s="81" t="s">
        <v>224</v>
      </c>
      <c r="J8912" s="81" t="s">
        <v>6495</v>
      </c>
    </row>
    <row r="8913">
      <c r="A8913" s="83" t="s">
        <v>6777</v>
      </c>
      <c r="B8913" s="83" t="s">
        <v>6778</v>
      </c>
      <c r="C8913" s="81" t="s">
        <v>4082</v>
      </c>
      <c r="D8913" s="81" t="s">
        <v>224</v>
      </c>
      <c r="E8913" s="81" t="s">
        <v>6496</v>
      </c>
      <c r="F8913" s="81" t="s">
        <v>224</v>
      </c>
      <c r="G8913" s="81" t="s">
        <v>224</v>
      </c>
      <c r="H8913" s="81" t="s">
        <v>224</v>
      </c>
      <c r="I8913" s="81" t="s">
        <v>224</v>
      </c>
      <c r="J8913" s="81" t="s">
        <v>6497</v>
      </c>
    </row>
    <row r="8914">
      <c r="A8914" s="83" t="s">
        <v>6777</v>
      </c>
      <c r="B8914" s="83" t="s">
        <v>6778</v>
      </c>
      <c r="C8914" s="81" t="s">
        <v>4082</v>
      </c>
      <c r="D8914" s="81" t="s">
        <v>224</v>
      </c>
      <c r="E8914" s="81" t="s">
        <v>6498</v>
      </c>
      <c r="F8914" s="81" t="s">
        <v>224</v>
      </c>
      <c r="G8914" s="81" t="s">
        <v>224</v>
      </c>
      <c r="H8914" s="81" t="s">
        <v>224</v>
      </c>
      <c r="I8914" s="81" t="s">
        <v>224</v>
      </c>
      <c r="J8914" s="81" t="s">
        <v>6499</v>
      </c>
    </row>
    <row r="8915">
      <c r="A8915" s="83" t="s">
        <v>6777</v>
      </c>
      <c r="B8915" s="83" t="s">
        <v>6778</v>
      </c>
      <c r="C8915" s="81" t="s">
        <v>4082</v>
      </c>
      <c r="D8915" s="81" t="s">
        <v>224</v>
      </c>
      <c r="E8915" s="81" t="s">
        <v>6500</v>
      </c>
      <c r="F8915" s="81" t="s">
        <v>224</v>
      </c>
      <c r="G8915" s="81" t="s">
        <v>224</v>
      </c>
      <c r="H8915" s="81" t="s">
        <v>224</v>
      </c>
      <c r="I8915" s="81" t="s">
        <v>224</v>
      </c>
      <c r="J8915" s="81" t="s">
        <v>6501</v>
      </c>
    </row>
    <row r="8916">
      <c r="A8916" s="83" t="s">
        <v>6777</v>
      </c>
      <c r="B8916" s="83" t="s">
        <v>6778</v>
      </c>
      <c r="C8916" s="81" t="s">
        <v>4082</v>
      </c>
      <c r="D8916" s="81" t="s">
        <v>224</v>
      </c>
      <c r="E8916" s="81" t="s">
        <v>6502</v>
      </c>
      <c r="F8916" s="81" t="s">
        <v>224</v>
      </c>
      <c r="G8916" s="81" t="s">
        <v>224</v>
      </c>
      <c r="H8916" s="81" t="s">
        <v>224</v>
      </c>
      <c r="I8916" s="81" t="s">
        <v>224</v>
      </c>
      <c r="J8916" s="81" t="s">
        <v>6491</v>
      </c>
    </row>
    <row r="8917">
      <c r="A8917" s="83" t="s">
        <v>6777</v>
      </c>
      <c r="B8917" s="83" t="s">
        <v>6778</v>
      </c>
      <c r="C8917" s="81" t="s">
        <v>4082</v>
      </c>
      <c r="D8917" s="81" t="s">
        <v>224</v>
      </c>
      <c r="E8917" s="81" t="s">
        <v>6503</v>
      </c>
      <c r="F8917" s="81" t="s">
        <v>224</v>
      </c>
      <c r="G8917" s="81" t="s">
        <v>224</v>
      </c>
      <c r="H8917" s="81" t="s">
        <v>224</v>
      </c>
      <c r="I8917" s="81" t="s">
        <v>224</v>
      </c>
      <c r="J8917" s="81" t="s">
        <v>6473</v>
      </c>
    </row>
    <row r="8918">
      <c r="A8918" s="83" t="s">
        <v>6777</v>
      </c>
      <c r="B8918" s="83" t="s">
        <v>6778</v>
      </c>
      <c r="C8918" s="81" t="s">
        <v>4082</v>
      </c>
      <c r="D8918" s="81" t="s">
        <v>224</v>
      </c>
      <c r="E8918" s="81" t="s">
        <v>6504</v>
      </c>
      <c r="F8918" s="81" t="s">
        <v>224</v>
      </c>
      <c r="G8918" s="81" t="s">
        <v>224</v>
      </c>
      <c r="H8918" s="81" t="s">
        <v>224</v>
      </c>
      <c r="I8918" s="81" t="s">
        <v>224</v>
      </c>
      <c r="J8918" s="81" t="s">
        <v>6489</v>
      </c>
    </row>
    <row r="8919">
      <c r="A8919" s="83" t="s">
        <v>6777</v>
      </c>
      <c r="B8919" s="83" t="s">
        <v>6778</v>
      </c>
      <c r="C8919" s="81" t="s">
        <v>4082</v>
      </c>
      <c r="D8919" s="81" t="s">
        <v>224</v>
      </c>
      <c r="E8919" s="81" t="s">
        <v>6505</v>
      </c>
      <c r="F8919" s="81" t="s">
        <v>224</v>
      </c>
      <c r="G8919" s="81" t="s">
        <v>224</v>
      </c>
      <c r="H8919" s="81" t="s">
        <v>224</v>
      </c>
      <c r="I8919" s="81" t="s">
        <v>224</v>
      </c>
      <c r="J8919" s="81" t="s">
        <v>6469</v>
      </c>
    </row>
    <row r="8920">
      <c r="A8920" s="83" t="s">
        <v>6777</v>
      </c>
      <c r="B8920" s="83" t="s">
        <v>6778</v>
      </c>
      <c r="C8920" s="81" t="s">
        <v>4082</v>
      </c>
      <c r="D8920" s="81" t="s">
        <v>224</v>
      </c>
      <c r="E8920" s="81" t="s">
        <v>6506</v>
      </c>
      <c r="F8920" s="81" t="s">
        <v>224</v>
      </c>
      <c r="G8920" s="81" t="s">
        <v>224</v>
      </c>
      <c r="H8920" s="81" t="s">
        <v>224</v>
      </c>
      <c r="I8920" s="81" t="s">
        <v>224</v>
      </c>
      <c r="J8920" s="81" t="s">
        <v>6499</v>
      </c>
    </row>
    <row r="8921">
      <c r="A8921" s="83" t="s">
        <v>6777</v>
      </c>
      <c r="B8921" s="83" t="s">
        <v>6778</v>
      </c>
      <c r="C8921" s="81" t="s">
        <v>4082</v>
      </c>
      <c r="D8921" s="81" t="s">
        <v>224</v>
      </c>
      <c r="E8921" s="81" t="s">
        <v>6507</v>
      </c>
      <c r="F8921" s="81" t="s">
        <v>224</v>
      </c>
      <c r="G8921" s="81" t="s">
        <v>224</v>
      </c>
      <c r="H8921" s="81" t="s">
        <v>224</v>
      </c>
      <c r="I8921" s="81" t="s">
        <v>224</v>
      </c>
      <c r="J8921" s="81" t="s">
        <v>6485</v>
      </c>
    </row>
    <row r="8922">
      <c r="A8922" s="83" t="s">
        <v>6777</v>
      </c>
      <c r="B8922" s="83" t="s">
        <v>6778</v>
      </c>
      <c r="C8922" s="81" t="s">
        <v>4082</v>
      </c>
      <c r="D8922" s="81" t="s">
        <v>224</v>
      </c>
      <c r="E8922" s="81" t="s">
        <v>6508</v>
      </c>
      <c r="F8922" s="81" t="s">
        <v>224</v>
      </c>
      <c r="G8922" s="81" t="s">
        <v>224</v>
      </c>
      <c r="H8922" s="81" t="s">
        <v>224</v>
      </c>
      <c r="I8922" s="81" t="s">
        <v>224</v>
      </c>
      <c r="J8922" s="81" t="s">
        <v>6501</v>
      </c>
    </row>
    <row r="8923">
      <c r="A8923" s="83" t="s">
        <v>6777</v>
      </c>
      <c r="B8923" s="83" t="s">
        <v>6778</v>
      </c>
      <c r="C8923" s="81" t="s">
        <v>4082</v>
      </c>
      <c r="D8923" s="81" t="s">
        <v>224</v>
      </c>
      <c r="E8923" s="81" t="s">
        <v>6509</v>
      </c>
      <c r="F8923" s="81" t="s">
        <v>224</v>
      </c>
      <c r="G8923" s="81" t="s">
        <v>224</v>
      </c>
      <c r="H8923" s="81" t="s">
        <v>224</v>
      </c>
      <c r="I8923" s="81" t="s">
        <v>224</v>
      </c>
      <c r="J8923" s="81" t="s">
        <v>6481</v>
      </c>
    </row>
    <row r="8924">
      <c r="A8924" s="83" t="s">
        <v>6777</v>
      </c>
      <c r="B8924" s="83" t="s">
        <v>6778</v>
      </c>
      <c r="C8924" s="81" t="s">
        <v>4082</v>
      </c>
      <c r="D8924" s="81" t="s">
        <v>224</v>
      </c>
      <c r="E8924" s="81" t="s">
        <v>6510</v>
      </c>
      <c r="F8924" s="81" t="s">
        <v>224</v>
      </c>
      <c r="G8924" s="81" t="s">
        <v>224</v>
      </c>
      <c r="H8924" s="81" t="s">
        <v>224</v>
      </c>
      <c r="I8924" s="81" t="s">
        <v>224</v>
      </c>
      <c r="J8924" s="81" t="s">
        <v>6495</v>
      </c>
    </row>
    <row r="8925">
      <c r="A8925" s="83" t="s">
        <v>6777</v>
      </c>
      <c r="B8925" s="83" t="s">
        <v>6778</v>
      </c>
      <c r="C8925" s="81" t="s">
        <v>4082</v>
      </c>
      <c r="D8925" s="81" t="s">
        <v>224</v>
      </c>
      <c r="E8925" s="81" t="s">
        <v>6511</v>
      </c>
      <c r="F8925" s="81" t="s">
        <v>224</v>
      </c>
      <c r="G8925" s="81" t="s">
        <v>224</v>
      </c>
      <c r="H8925" s="81" t="s">
        <v>224</v>
      </c>
      <c r="I8925" s="81" t="s">
        <v>224</v>
      </c>
      <c r="J8925" s="81" t="s">
        <v>6477</v>
      </c>
    </row>
    <row r="8926">
      <c r="A8926" s="83" t="s">
        <v>6777</v>
      </c>
      <c r="B8926" s="83" t="s">
        <v>6778</v>
      </c>
      <c r="C8926" s="81" t="s">
        <v>4082</v>
      </c>
      <c r="D8926" s="81" t="s">
        <v>224</v>
      </c>
      <c r="E8926" s="81" t="s">
        <v>6512</v>
      </c>
      <c r="F8926" s="81" t="s">
        <v>224</v>
      </c>
      <c r="G8926" s="81" t="s">
        <v>224</v>
      </c>
      <c r="H8926" s="81" t="s">
        <v>224</v>
      </c>
      <c r="I8926" s="81" t="s">
        <v>224</v>
      </c>
      <c r="J8926" s="81" t="s">
        <v>6493</v>
      </c>
    </row>
    <row r="8927">
      <c r="A8927" s="83" t="s">
        <v>6777</v>
      </c>
      <c r="B8927" s="83" t="s">
        <v>6778</v>
      </c>
      <c r="C8927" s="81" t="s">
        <v>4082</v>
      </c>
      <c r="D8927" s="81" t="s">
        <v>224</v>
      </c>
      <c r="E8927" s="81" t="s">
        <v>6513</v>
      </c>
      <c r="F8927" s="81" t="s">
        <v>224</v>
      </c>
      <c r="G8927" s="81" t="s">
        <v>224</v>
      </c>
      <c r="H8927" s="81" t="s">
        <v>224</v>
      </c>
      <c r="I8927" s="81" t="s">
        <v>224</v>
      </c>
      <c r="J8927" s="81" t="s">
        <v>6475</v>
      </c>
    </row>
    <row r="8928">
      <c r="A8928" s="83" t="s">
        <v>6777</v>
      </c>
      <c r="B8928" s="83" t="s">
        <v>6778</v>
      </c>
      <c r="C8928" s="81" t="s">
        <v>4082</v>
      </c>
      <c r="D8928" s="81" t="s">
        <v>224</v>
      </c>
      <c r="E8928" s="81" t="s">
        <v>6514</v>
      </c>
      <c r="F8928" s="81" t="s">
        <v>224</v>
      </c>
      <c r="G8928" s="81" t="s">
        <v>224</v>
      </c>
      <c r="H8928" s="81" t="s">
        <v>224</v>
      </c>
      <c r="I8928" s="81" t="s">
        <v>224</v>
      </c>
      <c r="J8928" s="81" t="s">
        <v>6471</v>
      </c>
    </row>
    <row r="8929">
      <c r="A8929" s="83" t="s">
        <v>6777</v>
      </c>
      <c r="B8929" s="83" t="s">
        <v>6778</v>
      </c>
      <c r="C8929" s="81" t="s">
        <v>4082</v>
      </c>
      <c r="D8929" s="81" t="s">
        <v>224</v>
      </c>
      <c r="E8929" s="81" t="s">
        <v>6515</v>
      </c>
      <c r="F8929" s="81" t="s">
        <v>224</v>
      </c>
      <c r="G8929" s="81" t="s">
        <v>224</v>
      </c>
      <c r="H8929" s="81" t="s">
        <v>224</v>
      </c>
      <c r="I8929" s="81" t="s">
        <v>224</v>
      </c>
      <c r="J8929" s="81" t="s">
        <v>6483</v>
      </c>
    </row>
    <row r="8930">
      <c r="A8930" s="83" t="s">
        <v>6777</v>
      </c>
      <c r="B8930" s="83" t="s">
        <v>6778</v>
      </c>
      <c r="C8930" s="81" t="s">
        <v>4082</v>
      </c>
      <c r="D8930" s="81" t="s">
        <v>224</v>
      </c>
      <c r="E8930" s="81" t="s">
        <v>6516</v>
      </c>
      <c r="F8930" s="81" t="s">
        <v>224</v>
      </c>
      <c r="G8930" s="81" t="s">
        <v>224</v>
      </c>
      <c r="H8930" s="81" t="s">
        <v>224</v>
      </c>
      <c r="I8930" s="81" t="s">
        <v>224</v>
      </c>
      <c r="J8930" s="81" t="s">
        <v>6497</v>
      </c>
    </row>
    <row r="8931">
      <c r="A8931" s="83" t="s">
        <v>6777</v>
      </c>
      <c r="B8931" s="83" t="s">
        <v>6778</v>
      </c>
      <c r="C8931" s="81" t="s">
        <v>4082</v>
      </c>
      <c r="D8931" s="81" t="s">
        <v>224</v>
      </c>
      <c r="E8931" s="81" t="s">
        <v>6517</v>
      </c>
      <c r="F8931" s="81" t="s">
        <v>224</v>
      </c>
      <c r="G8931" s="81" t="s">
        <v>224</v>
      </c>
      <c r="H8931" s="81" t="s">
        <v>224</v>
      </c>
      <c r="I8931" s="81" t="s">
        <v>224</v>
      </c>
      <c r="J8931" s="81" t="s">
        <v>6479</v>
      </c>
    </row>
    <row r="8932">
      <c r="A8932" s="83" t="s">
        <v>6777</v>
      </c>
      <c r="B8932" s="83" t="s">
        <v>6778</v>
      </c>
      <c r="C8932" s="81" t="s">
        <v>4082</v>
      </c>
      <c r="D8932" s="81" t="s">
        <v>224</v>
      </c>
      <c r="E8932" s="81" t="s">
        <v>6518</v>
      </c>
      <c r="F8932" s="81" t="s">
        <v>224</v>
      </c>
      <c r="G8932" s="81" t="s">
        <v>224</v>
      </c>
      <c r="H8932" s="81" t="s">
        <v>224</v>
      </c>
      <c r="I8932" s="81" t="s">
        <v>224</v>
      </c>
      <c r="J8932" s="81" t="s">
        <v>6487</v>
      </c>
    </row>
    <row r="8933">
      <c r="A8933" s="83" t="s">
        <v>6777</v>
      </c>
      <c r="B8933" s="83" t="s">
        <v>6778</v>
      </c>
      <c r="C8933" s="81" t="s">
        <v>4082</v>
      </c>
      <c r="D8933" s="81" t="s">
        <v>224</v>
      </c>
      <c r="E8933" s="81" t="s">
        <v>6519</v>
      </c>
      <c r="F8933" s="81" t="s">
        <v>224</v>
      </c>
      <c r="G8933" s="81" t="s">
        <v>224</v>
      </c>
      <c r="H8933" s="81" t="s">
        <v>224</v>
      </c>
      <c r="I8933" s="81" t="s">
        <v>224</v>
      </c>
      <c r="J8933" s="81" t="s">
        <v>6467</v>
      </c>
    </row>
    <row r="8934">
      <c r="A8934" s="83" t="s">
        <v>6777</v>
      </c>
      <c r="B8934" s="83" t="s">
        <v>6778</v>
      </c>
      <c r="C8934" s="81" t="s">
        <v>4082</v>
      </c>
      <c r="D8934" s="81" t="s">
        <v>224</v>
      </c>
      <c r="E8934" s="81" t="s">
        <v>6520</v>
      </c>
      <c r="F8934" s="81" t="s">
        <v>224</v>
      </c>
      <c r="G8934" s="81" t="s">
        <v>224</v>
      </c>
      <c r="H8934" s="81" t="s">
        <v>224</v>
      </c>
      <c r="I8934" s="81" t="s">
        <v>224</v>
      </c>
      <c r="J8934" s="81" t="s">
        <v>6521</v>
      </c>
    </row>
    <row r="8935">
      <c r="A8935" s="83" t="s">
        <v>6777</v>
      </c>
      <c r="B8935" s="83" t="s">
        <v>6778</v>
      </c>
      <c r="C8935" s="81" t="s">
        <v>4082</v>
      </c>
      <c r="D8935" s="81" t="s">
        <v>224</v>
      </c>
      <c r="E8935" s="81" t="s">
        <v>6522</v>
      </c>
      <c r="F8935" s="81" t="s">
        <v>224</v>
      </c>
      <c r="G8935" s="81" t="s">
        <v>224</v>
      </c>
      <c r="H8935" s="81" t="s">
        <v>224</v>
      </c>
      <c r="I8935" s="81" t="s">
        <v>224</v>
      </c>
      <c r="J8935" s="81" t="s">
        <v>6521</v>
      </c>
    </row>
    <row r="8936">
      <c r="A8936" s="83" t="s">
        <v>6777</v>
      </c>
      <c r="B8936" s="83" t="s">
        <v>6778</v>
      </c>
      <c r="C8936" s="81" t="s">
        <v>4082</v>
      </c>
      <c r="D8936" s="81" t="s">
        <v>224</v>
      </c>
      <c r="E8936" s="81" t="s">
        <v>6523</v>
      </c>
      <c r="F8936" s="81" t="s">
        <v>224</v>
      </c>
      <c r="G8936" s="81" t="s">
        <v>224</v>
      </c>
      <c r="H8936" s="81" t="s">
        <v>224</v>
      </c>
      <c r="I8936" s="81" t="s">
        <v>224</v>
      </c>
      <c r="J8936" s="81" t="s">
        <v>6524</v>
      </c>
    </row>
    <row r="8937">
      <c r="A8937" s="83" t="s">
        <v>6777</v>
      </c>
      <c r="B8937" s="83" t="s">
        <v>6778</v>
      </c>
      <c r="C8937" s="81" t="s">
        <v>4082</v>
      </c>
      <c r="D8937" s="81" t="s">
        <v>224</v>
      </c>
      <c r="E8937" s="81" t="s">
        <v>6525</v>
      </c>
      <c r="F8937" s="81" t="s">
        <v>224</v>
      </c>
      <c r="G8937" s="81" t="s">
        <v>224</v>
      </c>
      <c r="H8937" s="81" t="s">
        <v>224</v>
      </c>
      <c r="I8937" s="81" t="s">
        <v>224</v>
      </c>
      <c r="J8937" s="81" t="s">
        <v>6526</v>
      </c>
    </row>
    <row r="8938">
      <c r="A8938" s="83" t="s">
        <v>6777</v>
      </c>
      <c r="B8938" s="83" t="s">
        <v>6778</v>
      </c>
      <c r="C8938" s="81" t="s">
        <v>4082</v>
      </c>
      <c r="D8938" s="81" t="s">
        <v>224</v>
      </c>
      <c r="E8938" s="81" t="s">
        <v>6527</v>
      </c>
      <c r="F8938" s="81" t="s">
        <v>224</v>
      </c>
      <c r="G8938" s="81" t="s">
        <v>224</v>
      </c>
      <c r="H8938" s="81" t="s">
        <v>224</v>
      </c>
      <c r="I8938" s="81" t="s">
        <v>224</v>
      </c>
      <c r="J8938" s="81" t="s">
        <v>6528</v>
      </c>
    </row>
    <row r="8939">
      <c r="A8939" s="83" t="s">
        <v>6777</v>
      </c>
      <c r="B8939" s="83" t="s">
        <v>6778</v>
      </c>
      <c r="C8939" s="81" t="s">
        <v>4082</v>
      </c>
      <c r="D8939" s="81" t="s">
        <v>224</v>
      </c>
      <c r="E8939" s="81" t="s">
        <v>6738</v>
      </c>
      <c r="F8939" s="81" t="s">
        <v>224</v>
      </c>
      <c r="G8939" s="81" t="s">
        <v>224</v>
      </c>
      <c r="H8939" s="81" t="s">
        <v>224</v>
      </c>
      <c r="I8939" s="81" t="s">
        <v>224</v>
      </c>
      <c r="J8939" s="81" t="s">
        <v>6734</v>
      </c>
    </row>
    <row r="8940">
      <c r="A8940" s="83" t="s">
        <v>6777</v>
      </c>
      <c r="B8940" s="83" t="s">
        <v>6778</v>
      </c>
      <c r="C8940" s="81" t="s">
        <v>4082</v>
      </c>
      <c r="D8940" s="81" t="s">
        <v>224</v>
      </c>
      <c r="E8940" s="81" t="s">
        <v>6529</v>
      </c>
      <c r="F8940" s="81" t="s">
        <v>224</v>
      </c>
      <c r="G8940" s="81" t="s">
        <v>224</v>
      </c>
      <c r="H8940" s="81" t="s">
        <v>224</v>
      </c>
      <c r="I8940" s="81" t="s">
        <v>224</v>
      </c>
      <c r="J8940" s="81" t="s">
        <v>6530</v>
      </c>
    </row>
    <row r="8941">
      <c r="A8941" s="83" t="s">
        <v>6777</v>
      </c>
      <c r="B8941" s="83" t="s">
        <v>6778</v>
      </c>
      <c r="C8941" s="81" t="s">
        <v>4082</v>
      </c>
      <c r="D8941" s="81" t="s">
        <v>224</v>
      </c>
      <c r="E8941" s="81" t="s">
        <v>6531</v>
      </c>
      <c r="F8941" s="81" t="s">
        <v>224</v>
      </c>
      <c r="G8941" s="81" t="s">
        <v>224</v>
      </c>
      <c r="H8941" s="81" t="s">
        <v>224</v>
      </c>
      <c r="I8941" s="81" t="s">
        <v>224</v>
      </c>
      <c r="J8941" s="81" t="s">
        <v>6530</v>
      </c>
    </row>
    <row r="8942">
      <c r="A8942" s="83" t="s">
        <v>6777</v>
      </c>
      <c r="B8942" s="83" t="s">
        <v>6778</v>
      </c>
      <c r="C8942" s="81" t="s">
        <v>4082</v>
      </c>
      <c r="D8942" s="81" t="s">
        <v>224</v>
      </c>
      <c r="E8942" s="81" t="s">
        <v>6532</v>
      </c>
      <c r="F8942" s="81" t="s">
        <v>224</v>
      </c>
      <c r="G8942" s="81" t="s">
        <v>224</v>
      </c>
      <c r="H8942" s="81" t="s">
        <v>224</v>
      </c>
      <c r="I8942" s="81" t="s">
        <v>224</v>
      </c>
      <c r="J8942" s="81" t="s">
        <v>6533</v>
      </c>
    </row>
    <row r="8943">
      <c r="A8943" s="83" t="s">
        <v>6777</v>
      </c>
      <c r="B8943" s="83" t="s">
        <v>6778</v>
      </c>
      <c r="C8943" s="81" t="s">
        <v>4082</v>
      </c>
      <c r="D8943" s="81" t="s">
        <v>224</v>
      </c>
      <c r="E8943" s="81" t="s">
        <v>6534</v>
      </c>
      <c r="F8943" s="81" t="s">
        <v>224</v>
      </c>
      <c r="G8943" s="81" t="s">
        <v>224</v>
      </c>
      <c r="H8943" s="81" t="s">
        <v>224</v>
      </c>
      <c r="I8943" s="81" t="s">
        <v>224</v>
      </c>
      <c r="J8943" s="81" t="s">
        <v>6533</v>
      </c>
    </row>
    <row r="8944">
      <c r="A8944" s="83" t="s">
        <v>6777</v>
      </c>
      <c r="B8944" s="83" t="s">
        <v>6778</v>
      </c>
      <c r="C8944" s="81" t="s">
        <v>4082</v>
      </c>
      <c r="D8944" s="81" t="s">
        <v>224</v>
      </c>
      <c r="E8944" s="81" t="s">
        <v>6535</v>
      </c>
      <c r="F8944" s="81" t="s">
        <v>224</v>
      </c>
      <c r="G8944" s="81" t="s">
        <v>224</v>
      </c>
      <c r="H8944" s="81" t="s">
        <v>224</v>
      </c>
      <c r="I8944" s="81" t="s">
        <v>224</v>
      </c>
      <c r="J8944" s="81" t="s">
        <v>6536</v>
      </c>
    </row>
    <row r="8945">
      <c r="A8945" s="83" t="s">
        <v>6777</v>
      </c>
      <c r="B8945" s="83" t="s">
        <v>6778</v>
      </c>
      <c r="C8945" s="81" t="s">
        <v>4082</v>
      </c>
      <c r="D8945" s="81" t="s">
        <v>224</v>
      </c>
      <c r="E8945" s="81" t="s">
        <v>6537</v>
      </c>
      <c r="F8945" s="81" t="s">
        <v>224</v>
      </c>
      <c r="G8945" s="81" t="s">
        <v>224</v>
      </c>
      <c r="H8945" s="81" t="s">
        <v>224</v>
      </c>
      <c r="I8945" s="81" t="s">
        <v>224</v>
      </c>
      <c r="J8945" s="81" t="s">
        <v>6536</v>
      </c>
    </row>
    <row r="8946">
      <c r="A8946" s="83" t="s">
        <v>6777</v>
      </c>
      <c r="B8946" s="83" t="s">
        <v>6778</v>
      </c>
      <c r="C8946" s="81" t="s">
        <v>4082</v>
      </c>
      <c r="D8946" s="81" t="s">
        <v>224</v>
      </c>
      <c r="E8946" s="81" t="s">
        <v>6538</v>
      </c>
      <c r="F8946" s="81" t="s">
        <v>224</v>
      </c>
      <c r="G8946" s="81" t="s">
        <v>224</v>
      </c>
      <c r="H8946" s="81" t="s">
        <v>224</v>
      </c>
      <c r="I8946" s="81" t="s">
        <v>224</v>
      </c>
      <c r="J8946" s="81" t="s">
        <v>6539</v>
      </c>
    </row>
    <row r="8947">
      <c r="A8947" s="83" t="s">
        <v>6777</v>
      </c>
      <c r="B8947" s="83" t="s">
        <v>6778</v>
      </c>
      <c r="C8947" s="81" t="s">
        <v>4082</v>
      </c>
      <c r="D8947" s="81" t="s">
        <v>224</v>
      </c>
      <c r="E8947" s="81" t="s">
        <v>6540</v>
      </c>
      <c r="F8947" s="81" t="s">
        <v>224</v>
      </c>
      <c r="G8947" s="81" t="s">
        <v>224</v>
      </c>
      <c r="H8947" s="81" t="s">
        <v>224</v>
      </c>
      <c r="I8947" s="81" t="s">
        <v>224</v>
      </c>
      <c r="J8947" s="81" t="s">
        <v>6539</v>
      </c>
    </row>
    <row r="8948">
      <c r="A8948" s="83" t="s">
        <v>6777</v>
      </c>
      <c r="B8948" s="83" t="s">
        <v>6778</v>
      </c>
      <c r="C8948" s="81" t="s">
        <v>4082</v>
      </c>
      <c r="D8948" s="81" t="s">
        <v>224</v>
      </c>
      <c r="E8948" s="81" t="s">
        <v>6541</v>
      </c>
      <c r="F8948" s="81" t="s">
        <v>224</v>
      </c>
      <c r="G8948" s="81" t="s">
        <v>224</v>
      </c>
      <c r="H8948" s="81" t="s">
        <v>224</v>
      </c>
      <c r="I8948" s="81" t="s">
        <v>224</v>
      </c>
      <c r="J8948" s="81" t="s">
        <v>6542</v>
      </c>
    </row>
    <row r="8949">
      <c r="A8949" s="83" t="s">
        <v>6777</v>
      </c>
      <c r="B8949" s="83" t="s">
        <v>6778</v>
      </c>
      <c r="C8949" s="81" t="s">
        <v>4082</v>
      </c>
      <c r="D8949" s="81" t="s">
        <v>224</v>
      </c>
      <c r="E8949" s="81" t="s">
        <v>6543</v>
      </c>
      <c r="F8949" s="81" t="s">
        <v>224</v>
      </c>
      <c r="G8949" s="81" t="s">
        <v>224</v>
      </c>
      <c r="H8949" s="81" t="s">
        <v>224</v>
      </c>
      <c r="I8949" s="81" t="s">
        <v>224</v>
      </c>
      <c r="J8949" s="81" t="s">
        <v>6542</v>
      </c>
    </row>
    <row r="8950">
      <c r="A8950" s="83" t="s">
        <v>6777</v>
      </c>
      <c r="B8950" s="83" t="s">
        <v>6778</v>
      </c>
      <c r="C8950" s="81" t="s">
        <v>4082</v>
      </c>
      <c r="D8950" s="81" t="s">
        <v>224</v>
      </c>
      <c r="E8950" s="81" t="s">
        <v>6544</v>
      </c>
      <c r="F8950" s="81" t="s">
        <v>224</v>
      </c>
      <c r="G8950" s="81" t="s">
        <v>224</v>
      </c>
      <c r="H8950" s="81" t="s">
        <v>224</v>
      </c>
      <c r="I8950" s="81" t="s">
        <v>224</v>
      </c>
      <c r="J8950" s="81" t="s">
        <v>6545</v>
      </c>
    </row>
    <row r="8951">
      <c r="A8951" s="83" t="s">
        <v>6777</v>
      </c>
      <c r="B8951" s="83" t="s">
        <v>6778</v>
      </c>
      <c r="C8951" s="81" t="s">
        <v>4082</v>
      </c>
      <c r="D8951" s="81" t="s">
        <v>224</v>
      </c>
      <c r="E8951" s="81" t="s">
        <v>6546</v>
      </c>
      <c r="F8951" s="81" t="s">
        <v>224</v>
      </c>
      <c r="G8951" s="81" t="s">
        <v>224</v>
      </c>
      <c r="H8951" s="81" t="s">
        <v>224</v>
      </c>
      <c r="I8951" s="81" t="s">
        <v>224</v>
      </c>
      <c r="J8951" s="81" t="s">
        <v>6545</v>
      </c>
    </row>
    <row r="8952">
      <c r="A8952" s="83" t="s">
        <v>6777</v>
      </c>
      <c r="B8952" s="83" t="s">
        <v>6778</v>
      </c>
      <c r="C8952" s="81" t="s">
        <v>4082</v>
      </c>
      <c r="D8952" s="81" t="s">
        <v>224</v>
      </c>
      <c r="E8952" s="81" t="s">
        <v>6547</v>
      </c>
      <c r="F8952" s="81" t="s">
        <v>224</v>
      </c>
      <c r="G8952" s="81" t="s">
        <v>224</v>
      </c>
      <c r="H8952" s="81" t="s">
        <v>224</v>
      </c>
      <c r="I8952" s="81" t="s">
        <v>224</v>
      </c>
      <c r="J8952" s="81" t="s">
        <v>6548</v>
      </c>
    </row>
    <row r="8953">
      <c r="A8953" s="83" t="s">
        <v>6777</v>
      </c>
      <c r="B8953" s="83" t="s">
        <v>6778</v>
      </c>
      <c r="C8953" s="81" t="s">
        <v>4082</v>
      </c>
      <c r="D8953" s="81" t="s">
        <v>224</v>
      </c>
      <c r="E8953" s="81" t="s">
        <v>6549</v>
      </c>
      <c r="F8953" s="81" t="s">
        <v>224</v>
      </c>
      <c r="G8953" s="81" t="s">
        <v>224</v>
      </c>
      <c r="H8953" s="81" t="s">
        <v>224</v>
      </c>
      <c r="I8953" s="81" t="s">
        <v>224</v>
      </c>
      <c r="J8953" s="81" t="s">
        <v>6548</v>
      </c>
    </row>
    <row r="8954">
      <c r="A8954" s="83" t="s">
        <v>6777</v>
      </c>
      <c r="B8954" s="83" t="s">
        <v>6778</v>
      </c>
      <c r="C8954" s="81" t="s">
        <v>4082</v>
      </c>
      <c r="D8954" s="81" t="s">
        <v>224</v>
      </c>
      <c r="E8954" s="81" t="s">
        <v>6550</v>
      </c>
      <c r="F8954" s="81" t="s">
        <v>224</v>
      </c>
      <c r="G8954" s="81" t="s">
        <v>224</v>
      </c>
      <c r="H8954" s="81" t="s">
        <v>224</v>
      </c>
      <c r="I8954" s="81" t="s">
        <v>224</v>
      </c>
      <c r="J8954" s="81" t="s">
        <v>6551</v>
      </c>
    </row>
    <row r="8955">
      <c r="A8955" s="83" t="s">
        <v>6777</v>
      </c>
      <c r="B8955" s="83" t="s">
        <v>6778</v>
      </c>
      <c r="C8955" s="81" t="s">
        <v>4082</v>
      </c>
      <c r="D8955" s="81" t="s">
        <v>224</v>
      </c>
      <c r="E8955" s="81" t="s">
        <v>6552</v>
      </c>
      <c r="F8955" s="81" t="s">
        <v>224</v>
      </c>
      <c r="G8955" s="81" t="s">
        <v>224</v>
      </c>
      <c r="H8955" s="81" t="s">
        <v>224</v>
      </c>
      <c r="I8955" s="81" t="s">
        <v>224</v>
      </c>
      <c r="J8955" s="81" t="s">
        <v>6551</v>
      </c>
    </row>
    <row r="8956">
      <c r="A8956" s="83" t="s">
        <v>6777</v>
      </c>
      <c r="B8956" s="83" t="s">
        <v>6778</v>
      </c>
      <c r="C8956" s="81" t="s">
        <v>4082</v>
      </c>
      <c r="D8956" s="81" t="s">
        <v>224</v>
      </c>
      <c r="E8956" s="81" t="s">
        <v>6553</v>
      </c>
      <c r="F8956" s="81" t="s">
        <v>224</v>
      </c>
      <c r="G8956" s="81" t="s">
        <v>224</v>
      </c>
      <c r="H8956" s="81" t="s">
        <v>224</v>
      </c>
      <c r="I8956" s="81" t="s">
        <v>224</v>
      </c>
      <c r="J8956" s="81" t="s">
        <v>6554</v>
      </c>
    </row>
    <row r="8957">
      <c r="A8957" s="83" t="s">
        <v>6777</v>
      </c>
      <c r="B8957" s="83" t="s">
        <v>6778</v>
      </c>
      <c r="C8957" s="81" t="s">
        <v>4082</v>
      </c>
      <c r="D8957" s="81" t="s">
        <v>224</v>
      </c>
      <c r="E8957" s="81" t="s">
        <v>6555</v>
      </c>
      <c r="F8957" s="81" t="s">
        <v>224</v>
      </c>
      <c r="G8957" s="81" t="s">
        <v>224</v>
      </c>
      <c r="H8957" s="81" t="s">
        <v>224</v>
      </c>
      <c r="I8957" s="81" t="s">
        <v>224</v>
      </c>
      <c r="J8957" s="81" t="s">
        <v>6554</v>
      </c>
    </row>
    <row r="8958">
      <c r="A8958" s="83" t="s">
        <v>6777</v>
      </c>
      <c r="B8958" s="83" t="s">
        <v>6778</v>
      </c>
      <c r="C8958" s="81" t="s">
        <v>4082</v>
      </c>
      <c r="D8958" s="81" t="s">
        <v>224</v>
      </c>
      <c r="E8958" s="81" t="s">
        <v>6556</v>
      </c>
      <c r="F8958" s="81" t="s">
        <v>224</v>
      </c>
      <c r="G8958" s="81" t="s">
        <v>224</v>
      </c>
      <c r="H8958" s="81" t="s">
        <v>224</v>
      </c>
      <c r="I8958" s="81" t="s">
        <v>224</v>
      </c>
      <c r="J8958" s="81" t="s">
        <v>6557</v>
      </c>
    </row>
    <row r="8959">
      <c r="A8959" s="83" t="s">
        <v>6777</v>
      </c>
      <c r="B8959" s="83" t="s">
        <v>6778</v>
      </c>
      <c r="C8959" s="81" t="s">
        <v>4082</v>
      </c>
      <c r="D8959" s="81" t="s">
        <v>224</v>
      </c>
      <c r="E8959" s="81" t="s">
        <v>6558</v>
      </c>
      <c r="F8959" s="81" t="s">
        <v>224</v>
      </c>
      <c r="G8959" s="81" t="s">
        <v>224</v>
      </c>
      <c r="H8959" s="81" t="s">
        <v>224</v>
      </c>
      <c r="I8959" s="81" t="s">
        <v>224</v>
      </c>
      <c r="J8959" s="81" t="s">
        <v>6559</v>
      </c>
    </row>
    <row r="8960">
      <c r="A8960" s="83" t="s">
        <v>6777</v>
      </c>
      <c r="B8960" s="83" t="s">
        <v>6778</v>
      </c>
      <c r="C8960" s="81" t="s">
        <v>4082</v>
      </c>
      <c r="D8960" s="81" t="s">
        <v>224</v>
      </c>
      <c r="E8960" s="81" t="s">
        <v>6739</v>
      </c>
      <c r="F8960" s="81" t="s">
        <v>224</v>
      </c>
      <c r="G8960" s="81" t="s">
        <v>224</v>
      </c>
      <c r="H8960" s="81" t="s">
        <v>224</v>
      </c>
      <c r="I8960" s="81" t="s">
        <v>224</v>
      </c>
      <c r="J8960" s="81" t="s">
        <v>6734</v>
      </c>
    </row>
    <row r="8961">
      <c r="A8961" s="83" t="s">
        <v>6777</v>
      </c>
      <c r="B8961" s="83" t="s">
        <v>6778</v>
      </c>
      <c r="C8961" s="81" t="s">
        <v>4082</v>
      </c>
      <c r="D8961" s="81" t="s">
        <v>224</v>
      </c>
      <c r="E8961" s="81" t="s">
        <v>6740</v>
      </c>
      <c r="F8961" s="81" t="s">
        <v>224</v>
      </c>
      <c r="G8961" s="81" t="s">
        <v>224</v>
      </c>
      <c r="H8961" s="81" t="s">
        <v>224</v>
      </c>
      <c r="I8961" s="81" t="s">
        <v>224</v>
      </c>
      <c r="J8961" s="81" t="s">
        <v>6734</v>
      </c>
    </row>
    <row r="8962">
      <c r="A8962" s="83" t="s">
        <v>6777</v>
      </c>
      <c r="B8962" s="83" t="s">
        <v>6778</v>
      </c>
      <c r="C8962" s="81" t="s">
        <v>4082</v>
      </c>
      <c r="D8962" s="81" t="s">
        <v>224</v>
      </c>
      <c r="E8962" s="81" t="s">
        <v>6741</v>
      </c>
      <c r="F8962" s="81" t="s">
        <v>224</v>
      </c>
      <c r="G8962" s="81" t="s">
        <v>224</v>
      </c>
      <c r="H8962" s="81" t="s">
        <v>224</v>
      </c>
      <c r="I8962" s="81" t="s">
        <v>224</v>
      </c>
      <c r="J8962" s="81" t="s">
        <v>6734</v>
      </c>
    </row>
    <row r="8963">
      <c r="A8963" s="83" t="s">
        <v>6777</v>
      </c>
      <c r="B8963" s="83" t="s">
        <v>6778</v>
      </c>
      <c r="C8963" s="81" t="s">
        <v>4082</v>
      </c>
      <c r="D8963" s="81" t="s">
        <v>224</v>
      </c>
      <c r="E8963" s="81" t="s">
        <v>6742</v>
      </c>
      <c r="F8963" s="81" t="s">
        <v>224</v>
      </c>
      <c r="G8963" s="81" t="s">
        <v>224</v>
      </c>
      <c r="H8963" s="81" t="s">
        <v>224</v>
      </c>
      <c r="I8963" s="81" t="s">
        <v>224</v>
      </c>
      <c r="J8963" s="81" t="s">
        <v>6734</v>
      </c>
    </row>
    <row r="8964">
      <c r="A8964" s="83" t="s">
        <v>6777</v>
      </c>
      <c r="B8964" s="83" t="s">
        <v>6778</v>
      </c>
      <c r="C8964" s="81" t="s">
        <v>4082</v>
      </c>
      <c r="D8964" s="81" t="s">
        <v>224</v>
      </c>
      <c r="E8964" s="81" t="s">
        <v>6743</v>
      </c>
      <c r="F8964" s="81" t="s">
        <v>224</v>
      </c>
      <c r="G8964" s="81" t="s">
        <v>224</v>
      </c>
      <c r="H8964" s="81" t="s">
        <v>224</v>
      </c>
      <c r="I8964" s="81" t="s">
        <v>224</v>
      </c>
      <c r="J8964" s="81" t="s">
        <v>6734</v>
      </c>
    </row>
    <row r="8965">
      <c r="A8965" s="83" t="s">
        <v>6777</v>
      </c>
      <c r="B8965" s="83" t="s">
        <v>6778</v>
      </c>
      <c r="C8965" s="81" t="s">
        <v>4082</v>
      </c>
      <c r="D8965" s="81" t="s">
        <v>224</v>
      </c>
      <c r="E8965" s="81" t="s">
        <v>6560</v>
      </c>
      <c r="F8965" s="81" t="s">
        <v>224</v>
      </c>
      <c r="G8965" s="81" t="s">
        <v>224</v>
      </c>
      <c r="H8965" s="81" t="s">
        <v>224</v>
      </c>
      <c r="I8965" s="81" t="s">
        <v>224</v>
      </c>
      <c r="J8965" s="81" t="s">
        <v>6561</v>
      </c>
    </row>
    <row r="8966">
      <c r="A8966" s="83" t="s">
        <v>6777</v>
      </c>
      <c r="B8966" s="83" t="s">
        <v>6778</v>
      </c>
      <c r="C8966" s="81" t="s">
        <v>4082</v>
      </c>
      <c r="D8966" s="81" t="s">
        <v>224</v>
      </c>
      <c r="E8966" s="81" t="s">
        <v>6562</v>
      </c>
      <c r="F8966" s="81" t="s">
        <v>224</v>
      </c>
      <c r="G8966" s="81" t="s">
        <v>224</v>
      </c>
      <c r="H8966" s="81" t="s">
        <v>224</v>
      </c>
      <c r="I8966" s="81" t="s">
        <v>224</v>
      </c>
      <c r="J8966" s="81" t="s">
        <v>6563</v>
      </c>
    </row>
    <row r="8967">
      <c r="A8967" s="83" t="s">
        <v>6777</v>
      </c>
      <c r="B8967" s="83" t="s">
        <v>6778</v>
      </c>
      <c r="C8967" s="81" t="s">
        <v>4082</v>
      </c>
      <c r="D8967" s="81" t="s">
        <v>224</v>
      </c>
      <c r="E8967" s="81" t="s">
        <v>6564</v>
      </c>
      <c r="F8967" s="81" t="s">
        <v>224</v>
      </c>
      <c r="G8967" s="81" t="s">
        <v>224</v>
      </c>
      <c r="H8967" s="81" t="s">
        <v>224</v>
      </c>
      <c r="I8967" s="81" t="s">
        <v>224</v>
      </c>
      <c r="J8967" s="81" t="s">
        <v>6565</v>
      </c>
    </row>
    <row r="8968">
      <c r="A8968" s="83" t="s">
        <v>6777</v>
      </c>
      <c r="B8968" s="83" t="s">
        <v>6778</v>
      </c>
      <c r="C8968" s="81" t="s">
        <v>4082</v>
      </c>
      <c r="D8968" s="81" t="s">
        <v>224</v>
      </c>
      <c r="E8968" s="81" t="s">
        <v>6566</v>
      </c>
      <c r="F8968" s="81" t="s">
        <v>224</v>
      </c>
      <c r="G8968" s="81" t="s">
        <v>224</v>
      </c>
      <c r="H8968" s="81" t="s">
        <v>224</v>
      </c>
      <c r="I8968" s="81" t="s">
        <v>224</v>
      </c>
      <c r="J8968" s="81" t="s">
        <v>6567</v>
      </c>
    </row>
    <row r="8969">
      <c r="A8969" s="83" t="s">
        <v>6777</v>
      </c>
      <c r="B8969" s="83" t="s">
        <v>6778</v>
      </c>
      <c r="C8969" s="81" t="s">
        <v>4082</v>
      </c>
      <c r="D8969" s="81" t="s">
        <v>224</v>
      </c>
      <c r="E8969" s="81" t="s">
        <v>6568</v>
      </c>
      <c r="F8969" s="81" t="s">
        <v>224</v>
      </c>
      <c r="G8969" s="81" t="s">
        <v>224</v>
      </c>
      <c r="H8969" s="81" t="s">
        <v>224</v>
      </c>
      <c r="I8969" s="81" t="s">
        <v>224</v>
      </c>
      <c r="J8969" s="81" t="s">
        <v>6569</v>
      </c>
    </row>
    <row r="8970">
      <c r="A8970" s="83" t="s">
        <v>6777</v>
      </c>
      <c r="B8970" s="83" t="s">
        <v>6778</v>
      </c>
      <c r="C8970" s="81" t="s">
        <v>4082</v>
      </c>
      <c r="D8970" s="81" t="s">
        <v>224</v>
      </c>
      <c r="E8970" s="81" t="s">
        <v>6744</v>
      </c>
      <c r="F8970" s="81" t="s">
        <v>224</v>
      </c>
      <c r="G8970" s="81" t="s">
        <v>224</v>
      </c>
      <c r="H8970" s="81" t="s">
        <v>224</v>
      </c>
      <c r="I8970" s="81" t="s">
        <v>224</v>
      </c>
      <c r="J8970" s="81" t="s">
        <v>6734</v>
      </c>
    </row>
    <row r="8971">
      <c r="A8971" s="83" t="s">
        <v>6777</v>
      </c>
      <c r="B8971" s="83" t="s">
        <v>6778</v>
      </c>
      <c r="C8971" s="81" t="s">
        <v>4082</v>
      </c>
      <c r="D8971" s="81" t="s">
        <v>224</v>
      </c>
      <c r="E8971" s="81" t="s">
        <v>6570</v>
      </c>
      <c r="F8971" s="81" t="s">
        <v>224</v>
      </c>
      <c r="G8971" s="81" t="s">
        <v>224</v>
      </c>
      <c r="H8971" s="81" t="s">
        <v>224</v>
      </c>
      <c r="I8971" s="81" t="s">
        <v>224</v>
      </c>
      <c r="J8971" s="81" t="s">
        <v>6571</v>
      </c>
    </row>
    <row r="8972">
      <c r="A8972" s="83" t="s">
        <v>6777</v>
      </c>
      <c r="B8972" s="83" t="s">
        <v>6778</v>
      </c>
      <c r="C8972" s="81" t="s">
        <v>4082</v>
      </c>
      <c r="D8972" s="81" t="s">
        <v>224</v>
      </c>
      <c r="E8972" s="81" t="s">
        <v>6572</v>
      </c>
      <c r="F8972" s="81" t="s">
        <v>224</v>
      </c>
      <c r="G8972" s="81" t="s">
        <v>224</v>
      </c>
      <c r="H8972" s="81" t="s">
        <v>224</v>
      </c>
      <c r="I8972" s="81" t="s">
        <v>224</v>
      </c>
      <c r="J8972" s="81" t="s">
        <v>6571</v>
      </c>
    </row>
    <row r="8973">
      <c r="A8973" s="83" t="s">
        <v>6777</v>
      </c>
      <c r="B8973" s="83" t="s">
        <v>6778</v>
      </c>
      <c r="C8973" s="81" t="s">
        <v>4082</v>
      </c>
      <c r="D8973" s="81" t="s">
        <v>224</v>
      </c>
      <c r="E8973" s="81" t="s">
        <v>6573</v>
      </c>
      <c r="F8973" s="81" t="s">
        <v>224</v>
      </c>
      <c r="G8973" s="81" t="s">
        <v>224</v>
      </c>
      <c r="H8973" s="81" t="s">
        <v>224</v>
      </c>
      <c r="I8973" s="81" t="s">
        <v>224</v>
      </c>
      <c r="J8973" s="81" t="s">
        <v>6574</v>
      </c>
    </row>
    <row r="8974">
      <c r="A8974" s="83" t="s">
        <v>6777</v>
      </c>
      <c r="B8974" s="83" t="s">
        <v>6778</v>
      </c>
      <c r="C8974" s="81" t="s">
        <v>4082</v>
      </c>
      <c r="D8974" s="81" t="s">
        <v>224</v>
      </c>
      <c r="E8974" s="81" t="s">
        <v>6575</v>
      </c>
      <c r="F8974" s="81" t="s">
        <v>224</v>
      </c>
      <c r="G8974" s="81" t="s">
        <v>224</v>
      </c>
      <c r="H8974" s="81" t="s">
        <v>224</v>
      </c>
      <c r="I8974" s="81" t="s">
        <v>224</v>
      </c>
      <c r="J8974" s="81" t="s">
        <v>6574</v>
      </c>
    </row>
    <row r="8975">
      <c r="A8975" s="83" t="s">
        <v>6777</v>
      </c>
      <c r="B8975" s="83" t="s">
        <v>6778</v>
      </c>
      <c r="C8975" s="81" t="s">
        <v>4082</v>
      </c>
      <c r="D8975" s="81" t="s">
        <v>224</v>
      </c>
      <c r="E8975" s="81" t="s">
        <v>6745</v>
      </c>
      <c r="F8975" s="81" t="s">
        <v>224</v>
      </c>
      <c r="G8975" s="81" t="s">
        <v>224</v>
      </c>
      <c r="H8975" s="81" t="s">
        <v>224</v>
      </c>
      <c r="I8975" s="81" t="s">
        <v>224</v>
      </c>
      <c r="J8975" s="81" t="s">
        <v>6734</v>
      </c>
    </row>
    <row r="8976">
      <c r="A8976" s="83" t="s">
        <v>6777</v>
      </c>
      <c r="B8976" s="83" t="s">
        <v>6778</v>
      </c>
      <c r="C8976" s="81" t="s">
        <v>4082</v>
      </c>
      <c r="D8976" s="81" t="s">
        <v>224</v>
      </c>
      <c r="E8976" s="81" t="s">
        <v>6746</v>
      </c>
      <c r="F8976" s="81" t="s">
        <v>224</v>
      </c>
      <c r="G8976" s="81" t="s">
        <v>224</v>
      </c>
      <c r="H8976" s="81" t="s">
        <v>224</v>
      </c>
      <c r="I8976" s="81" t="s">
        <v>224</v>
      </c>
      <c r="J8976" s="81" t="s">
        <v>6734</v>
      </c>
    </row>
    <row r="8977">
      <c r="A8977" s="83" t="s">
        <v>6777</v>
      </c>
      <c r="B8977" s="83" t="s">
        <v>6778</v>
      </c>
      <c r="C8977" s="81" t="s">
        <v>4082</v>
      </c>
      <c r="D8977" s="81" t="s">
        <v>224</v>
      </c>
      <c r="E8977" s="81" t="s">
        <v>6576</v>
      </c>
      <c r="F8977" s="81" t="s">
        <v>224</v>
      </c>
      <c r="G8977" s="81" t="s">
        <v>224</v>
      </c>
      <c r="H8977" s="81" t="s">
        <v>224</v>
      </c>
      <c r="I8977" s="81" t="s">
        <v>224</v>
      </c>
      <c r="J8977" s="81" t="s">
        <v>6577</v>
      </c>
    </row>
    <row r="8978">
      <c r="A8978" s="83" t="s">
        <v>6777</v>
      </c>
      <c r="B8978" s="83" t="s">
        <v>6778</v>
      </c>
      <c r="C8978" s="81" t="s">
        <v>4082</v>
      </c>
      <c r="D8978" s="81" t="s">
        <v>224</v>
      </c>
      <c r="E8978" s="81" t="s">
        <v>6578</v>
      </c>
      <c r="F8978" s="81" t="s">
        <v>224</v>
      </c>
      <c r="G8978" s="81" t="s">
        <v>224</v>
      </c>
      <c r="H8978" s="81" t="s">
        <v>224</v>
      </c>
      <c r="I8978" s="81" t="s">
        <v>224</v>
      </c>
      <c r="J8978" s="81" t="s">
        <v>6579</v>
      </c>
    </row>
    <row r="8979">
      <c r="A8979" s="83" t="s">
        <v>6777</v>
      </c>
      <c r="B8979" s="83" t="s">
        <v>6778</v>
      </c>
      <c r="C8979" s="81" t="s">
        <v>4082</v>
      </c>
      <c r="D8979" s="81" t="s">
        <v>224</v>
      </c>
      <c r="E8979" s="81" t="s">
        <v>6580</v>
      </c>
      <c r="F8979" s="81" t="s">
        <v>224</v>
      </c>
      <c r="G8979" s="81" t="s">
        <v>224</v>
      </c>
      <c r="H8979" s="81" t="s">
        <v>224</v>
      </c>
      <c r="I8979" s="81" t="s">
        <v>224</v>
      </c>
      <c r="J8979" s="81" t="s">
        <v>6579</v>
      </c>
    </row>
    <row r="8980">
      <c r="A8980" s="83" t="s">
        <v>6777</v>
      </c>
      <c r="B8980" s="83" t="s">
        <v>6778</v>
      </c>
      <c r="C8980" s="81" t="s">
        <v>4082</v>
      </c>
      <c r="D8980" s="81" t="s">
        <v>224</v>
      </c>
      <c r="E8980" s="81" t="s">
        <v>6581</v>
      </c>
      <c r="F8980" s="81" t="s">
        <v>224</v>
      </c>
      <c r="G8980" s="81" t="s">
        <v>224</v>
      </c>
      <c r="H8980" s="81" t="s">
        <v>224</v>
      </c>
      <c r="I8980" s="81" t="s">
        <v>224</v>
      </c>
      <c r="J8980" s="81" t="s">
        <v>6582</v>
      </c>
    </row>
    <row r="8981">
      <c r="A8981" s="83" t="s">
        <v>6777</v>
      </c>
      <c r="B8981" s="83" t="s">
        <v>6778</v>
      </c>
      <c r="C8981" s="81" t="s">
        <v>4082</v>
      </c>
      <c r="D8981" s="81" t="s">
        <v>224</v>
      </c>
      <c r="E8981" s="81" t="s">
        <v>6583</v>
      </c>
      <c r="F8981" s="81" t="s">
        <v>224</v>
      </c>
      <c r="G8981" s="81" t="s">
        <v>224</v>
      </c>
      <c r="H8981" s="81" t="s">
        <v>224</v>
      </c>
      <c r="I8981" s="81" t="s">
        <v>224</v>
      </c>
      <c r="J8981" s="81" t="s">
        <v>6582</v>
      </c>
    </row>
    <row r="8982">
      <c r="A8982" s="83" t="s">
        <v>6777</v>
      </c>
      <c r="B8982" s="83" t="s">
        <v>6778</v>
      </c>
      <c r="C8982" s="81" t="s">
        <v>4082</v>
      </c>
      <c r="D8982" s="81" t="s">
        <v>224</v>
      </c>
      <c r="E8982" s="81" t="s">
        <v>6584</v>
      </c>
      <c r="F8982" s="81" t="s">
        <v>224</v>
      </c>
      <c r="G8982" s="81" t="s">
        <v>224</v>
      </c>
      <c r="H8982" s="81" t="s">
        <v>224</v>
      </c>
      <c r="I8982" s="81" t="s">
        <v>224</v>
      </c>
      <c r="J8982" s="81" t="s">
        <v>6585</v>
      </c>
    </row>
    <row r="8983">
      <c r="A8983" s="83" t="s">
        <v>6777</v>
      </c>
      <c r="B8983" s="83" t="s">
        <v>6778</v>
      </c>
      <c r="C8983" s="81" t="s">
        <v>4082</v>
      </c>
      <c r="D8983" s="81" t="s">
        <v>224</v>
      </c>
      <c r="E8983" s="81" t="s">
        <v>6586</v>
      </c>
      <c r="F8983" s="81" t="s">
        <v>224</v>
      </c>
      <c r="G8983" s="81" t="s">
        <v>224</v>
      </c>
      <c r="H8983" s="81" t="s">
        <v>224</v>
      </c>
      <c r="I8983" s="81" t="s">
        <v>224</v>
      </c>
      <c r="J8983" s="81" t="s">
        <v>6585</v>
      </c>
    </row>
    <row r="8984">
      <c r="A8984" s="83" t="s">
        <v>6777</v>
      </c>
      <c r="B8984" s="83" t="s">
        <v>6778</v>
      </c>
      <c r="C8984" s="81" t="s">
        <v>4082</v>
      </c>
      <c r="D8984" s="81" t="s">
        <v>224</v>
      </c>
      <c r="E8984" s="81" t="s">
        <v>224</v>
      </c>
      <c r="F8984" s="81" t="s">
        <v>224</v>
      </c>
      <c r="G8984" s="81" t="s">
        <v>224</v>
      </c>
      <c r="H8984" s="81" t="s">
        <v>224</v>
      </c>
      <c r="I8984" s="81" t="s">
        <v>224</v>
      </c>
      <c r="J8984" s="81" t="s">
        <v>6783</v>
      </c>
    </row>
    <row r="8985">
      <c r="A8985" s="83" t="s">
        <v>6777</v>
      </c>
      <c r="B8985" s="83" t="s">
        <v>6778</v>
      </c>
      <c r="C8985" s="81" t="s">
        <v>4082</v>
      </c>
      <c r="D8985" s="83" t="s">
        <v>4201</v>
      </c>
      <c r="E8985" s="81" t="s">
        <v>754</v>
      </c>
      <c r="F8985" s="81">
        <v>127.0</v>
      </c>
      <c r="G8985" s="81" t="s">
        <v>39</v>
      </c>
      <c r="H8985" s="81" t="s">
        <v>224</v>
      </c>
      <c r="I8985" s="81" t="s">
        <v>224</v>
      </c>
      <c r="J8985" s="81" t="s">
        <v>5311</v>
      </c>
    </row>
    <row r="8986">
      <c r="A8986" s="83" t="s">
        <v>6777</v>
      </c>
      <c r="B8986" s="83" t="s">
        <v>6778</v>
      </c>
      <c r="C8986" s="81" t="s">
        <v>4082</v>
      </c>
      <c r="D8986" s="83" t="s">
        <v>4208</v>
      </c>
      <c r="E8986" s="81" t="s">
        <v>786</v>
      </c>
      <c r="F8986" s="81">
        <v>134.0</v>
      </c>
      <c r="G8986" s="81" t="s">
        <v>39</v>
      </c>
      <c r="H8986" s="81" t="s">
        <v>224</v>
      </c>
      <c r="I8986" s="81" t="s">
        <v>224</v>
      </c>
      <c r="J8986" s="81" t="s">
        <v>5322</v>
      </c>
    </row>
    <row r="8987">
      <c r="A8987" s="83" t="s">
        <v>6777</v>
      </c>
      <c r="B8987" s="83" t="s">
        <v>6778</v>
      </c>
      <c r="C8987" s="81" t="s">
        <v>4082</v>
      </c>
      <c r="D8987" s="83" t="s">
        <v>4211</v>
      </c>
      <c r="E8987" s="81" t="s">
        <v>798</v>
      </c>
      <c r="F8987" s="81">
        <v>137.0</v>
      </c>
      <c r="G8987" s="81" t="s">
        <v>39</v>
      </c>
      <c r="H8987" s="81" t="s">
        <v>224</v>
      </c>
      <c r="I8987" s="81" t="s">
        <v>224</v>
      </c>
      <c r="J8987" s="81" t="s">
        <v>5327</v>
      </c>
    </row>
    <row r="8988">
      <c r="A8988" s="83" t="s">
        <v>6777</v>
      </c>
      <c r="B8988" s="83" t="s">
        <v>6778</v>
      </c>
      <c r="C8988" s="81" t="s">
        <v>4082</v>
      </c>
      <c r="D8988" s="83" t="s">
        <v>4212</v>
      </c>
      <c r="E8988" s="81" t="s">
        <v>804</v>
      </c>
      <c r="F8988" s="81">
        <v>138.0</v>
      </c>
      <c r="G8988" s="81" t="s">
        <v>39</v>
      </c>
      <c r="H8988" s="81" t="s">
        <v>224</v>
      </c>
      <c r="I8988" s="81" t="s">
        <v>224</v>
      </c>
      <c r="J8988" s="81" t="s">
        <v>5330</v>
      </c>
    </row>
    <row r="8989">
      <c r="A8989" s="83" t="s">
        <v>6777</v>
      </c>
      <c r="B8989" s="83" t="s">
        <v>6778</v>
      </c>
      <c r="C8989" s="81" t="s">
        <v>4082</v>
      </c>
      <c r="D8989" s="83" t="s">
        <v>4238</v>
      </c>
      <c r="E8989" s="81" t="s">
        <v>918</v>
      </c>
      <c r="F8989" s="81">
        <v>163.0</v>
      </c>
      <c r="G8989" s="81" t="s">
        <v>41</v>
      </c>
      <c r="H8989" s="81" t="s">
        <v>924</v>
      </c>
      <c r="I8989" s="81" t="s">
        <v>224</v>
      </c>
      <c r="J8989" s="81" t="s">
        <v>6344</v>
      </c>
    </row>
    <row r="8990">
      <c r="A8990" s="83" t="s">
        <v>6777</v>
      </c>
      <c r="B8990" s="83" t="s">
        <v>6778</v>
      </c>
      <c r="C8990" s="81" t="s">
        <v>4082</v>
      </c>
      <c r="D8990" s="83" t="s">
        <v>4267</v>
      </c>
      <c r="E8990" s="81" t="s">
        <v>1050</v>
      </c>
      <c r="F8990" s="81">
        <v>199.0</v>
      </c>
      <c r="G8990" s="81" t="s">
        <v>41</v>
      </c>
      <c r="H8990" s="81" t="s">
        <v>1051</v>
      </c>
      <c r="I8990" s="81" t="s">
        <v>224</v>
      </c>
      <c r="J8990" s="81" t="s">
        <v>6345</v>
      </c>
    </row>
    <row r="8991">
      <c r="A8991" s="83" t="s">
        <v>6777</v>
      </c>
      <c r="B8991" s="83" t="s">
        <v>6778</v>
      </c>
      <c r="C8991" s="81" t="s">
        <v>4082</v>
      </c>
      <c r="D8991" s="83" t="s">
        <v>4304</v>
      </c>
      <c r="E8991" s="81" t="s">
        <v>1232</v>
      </c>
      <c r="F8991" s="81">
        <v>244.0</v>
      </c>
      <c r="G8991" s="81" t="s">
        <v>41</v>
      </c>
      <c r="H8991" s="81" t="s">
        <v>1233</v>
      </c>
      <c r="I8991" s="81" t="s">
        <v>224</v>
      </c>
      <c r="J8991" s="81" t="s">
        <v>6346</v>
      </c>
    </row>
    <row r="8992">
      <c r="A8992" s="83" t="s">
        <v>6777</v>
      </c>
      <c r="B8992" s="83" t="s">
        <v>6778</v>
      </c>
      <c r="C8992" s="81" t="s">
        <v>4082</v>
      </c>
      <c r="D8992" s="83" t="s">
        <v>4306</v>
      </c>
      <c r="E8992" s="81" t="s">
        <v>1237</v>
      </c>
      <c r="F8992" s="81">
        <v>246.0</v>
      </c>
      <c r="G8992" s="81" t="s">
        <v>41</v>
      </c>
      <c r="H8992" s="81" t="s">
        <v>1237</v>
      </c>
      <c r="I8992" s="81" t="s">
        <v>224</v>
      </c>
      <c r="J8992" s="81" t="s">
        <v>6347</v>
      </c>
    </row>
    <row r="8993">
      <c r="A8993" s="83" t="s">
        <v>6777</v>
      </c>
      <c r="B8993" s="83" t="s">
        <v>6778</v>
      </c>
      <c r="C8993" s="81" t="s">
        <v>4082</v>
      </c>
      <c r="D8993" s="83" t="s">
        <v>4316</v>
      </c>
      <c r="E8993" s="81" t="s">
        <v>1313</v>
      </c>
      <c r="F8993" s="81">
        <v>256.0</v>
      </c>
      <c r="G8993" s="81" t="s">
        <v>39</v>
      </c>
      <c r="H8993" s="81" t="s">
        <v>224</v>
      </c>
      <c r="I8993" s="81" t="s">
        <v>224</v>
      </c>
      <c r="J8993" s="81" t="s">
        <v>5515</v>
      </c>
    </row>
    <row r="8994">
      <c r="A8994" s="83" t="s">
        <v>6777</v>
      </c>
      <c r="B8994" s="83" t="s">
        <v>6778</v>
      </c>
      <c r="C8994" s="81" t="s">
        <v>4082</v>
      </c>
      <c r="D8994" s="83" t="s">
        <v>4351</v>
      </c>
      <c r="E8994" s="81" t="s">
        <v>1470</v>
      </c>
      <c r="F8994" s="81">
        <v>283.0</v>
      </c>
      <c r="G8994" s="81" t="s">
        <v>41</v>
      </c>
      <c r="H8994" s="81" t="s">
        <v>55</v>
      </c>
      <c r="I8994" s="81" t="s">
        <v>224</v>
      </c>
      <c r="J8994" s="81" t="s">
        <v>6426</v>
      </c>
    </row>
    <row r="8995">
      <c r="A8995" s="83" t="s">
        <v>6777</v>
      </c>
      <c r="B8995" s="83" t="s">
        <v>6778</v>
      </c>
      <c r="C8995" s="81" t="s">
        <v>4082</v>
      </c>
      <c r="D8995" s="83" t="s">
        <v>4351</v>
      </c>
      <c r="E8995" s="81" t="s">
        <v>1474</v>
      </c>
      <c r="F8995" s="81">
        <v>284.0</v>
      </c>
      <c r="G8995" s="81" t="s">
        <v>41</v>
      </c>
      <c r="H8995" s="81" t="s">
        <v>1476</v>
      </c>
      <c r="I8995" s="81" t="s">
        <v>224</v>
      </c>
      <c r="J8995" s="81" t="s">
        <v>6348</v>
      </c>
    </row>
    <row r="8996">
      <c r="A8996" s="83" t="s">
        <v>6777</v>
      </c>
      <c r="B8996" s="83" t="s">
        <v>6778</v>
      </c>
      <c r="C8996" s="81" t="s">
        <v>4082</v>
      </c>
      <c r="D8996" s="83" t="s">
        <v>4363</v>
      </c>
      <c r="E8996" s="81" t="s">
        <v>1548</v>
      </c>
      <c r="F8996" s="81">
        <v>299.0</v>
      </c>
      <c r="G8996" s="81" t="s">
        <v>41</v>
      </c>
      <c r="H8996" s="81" t="s">
        <v>1550</v>
      </c>
      <c r="I8996" s="81" t="s">
        <v>224</v>
      </c>
      <c r="J8996" s="81" t="s">
        <v>6349</v>
      </c>
    </row>
    <row r="8997">
      <c r="A8997" s="83" t="s">
        <v>6777</v>
      </c>
      <c r="B8997" s="83" t="s">
        <v>6778</v>
      </c>
      <c r="C8997" s="81" t="s">
        <v>4082</v>
      </c>
      <c r="D8997" s="83" t="s">
        <v>4380</v>
      </c>
      <c r="E8997" s="81" t="s">
        <v>1617</v>
      </c>
      <c r="F8997" s="81">
        <v>319.0</v>
      </c>
      <c r="G8997" s="81" t="s">
        <v>39</v>
      </c>
      <c r="H8997" s="81" t="s">
        <v>224</v>
      </c>
      <c r="I8997" s="81" t="s">
        <v>224</v>
      </c>
      <c r="J8997" s="81" t="s">
        <v>5616</v>
      </c>
    </row>
    <row r="8998">
      <c r="A8998" s="83" t="s">
        <v>6777</v>
      </c>
      <c r="B8998" s="83" t="s">
        <v>6778</v>
      </c>
      <c r="C8998" s="81" t="s">
        <v>4082</v>
      </c>
      <c r="D8998" s="83" t="s">
        <v>4389</v>
      </c>
      <c r="E8998" s="81" t="s">
        <v>1678</v>
      </c>
      <c r="F8998" s="81">
        <v>332.0</v>
      </c>
      <c r="G8998" s="81" t="s">
        <v>41</v>
      </c>
      <c r="H8998" s="81" t="s">
        <v>1670</v>
      </c>
      <c r="I8998" s="81" t="s">
        <v>224</v>
      </c>
      <c r="J8998" s="81" t="s">
        <v>6350</v>
      </c>
    </row>
    <row r="8999">
      <c r="A8999" s="83" t="s">
        <v>6777</v>
      </c>
      <c r="B8999" s="83" t="s">
        <v>6778</v>
      </c>
      <c r="C8999" s="81" t="s">
        <v>4082</v>
      </c>
      <c r="D8999" s="83" t="s">
        <v>4391</v>
      </c>
      <c r="E8999" s="81" t="s">
        <v>1682</v>
      </c>
      <c r="F8999" s="81">
        <v>334.0</v>
      </c>
      <c r="G8999" s="81" t="s">
        <v>41</v>
      </c>
      <c r="H8999" s="81" t="s">
        <v>1687</v>
      </c>
      <c r="I8999" s="81" t="s">
        <v>224</v>
      </c>
      <c r="J8999" s="81" t="s">
        <v>6351</v>
      </c>
    </row>
    <row r="9000">
      <c r="A9000" s="83" t="s">
        <v>6777</v>
      </c>
      <c r="B9000" s="83" t="s">
        <v>6778</v>
      </c>
      <c r="C9000" s="81" t="s">
        <v>4082</v>
      </c>
      <c r="D9000" s="83" t="s">
        <v>4393</v>
      </c>
      <c r="E9000" s="81" t="s">
        <v>1690</v>
      </c>
      <c r="F9000" s="81">
        <v>335.0</v>
      </c>
      <c r="G9000" s="81" t="s">
        <v>41</v>
      </c>
      <c r="H9000" s="81" t="s">
        <v>1694</v>
      </c>
      <c r="I9000" s="81" t="s">
        <v>224</v>
      </c>
      <c r="J9000" s="81" t="s">
        <v>6352</v>
      </c>
    </row>
    <row r="9001">
      <c r="A9001" s="83" t="s">
        <v>6777</v>
      </c>
      <c r="B9001" s="83" t="s">
        <v>6778</v>
      </c>
      <c r="C9001" s="81" t="s">
        <v>4082</v>
      </c>
      <c r="D9001" s="83" t="s">
        <v>4406</v>
      </c>
      <c r="E9001" s="81" t="s">
        <v>1760</v>
      </c>
      <c r="F9001" s="81">
        <v>350.0</v>
      </c>
      <c r="G9001" s="81" t="s">
        <v>41</v>
      </c>
      <c r="H9001" s="81" t="s">
        <v>1761</v>
      </c>
      <c r="I9001" s="81" t="s">
        <v>224</v>
      </c>
      <c r="J9001" s="81" t="s">
        <v>6353</v>
      </c>
    </row>
    <row r="9002">
      <c r="A9002" s="83" t="s">
        <v>6777</v>
      </c>
      <c r="B9002" s="83" t="s">
        <v>6778</v>
      </c>
      <c r="C9002" s="81" t="s">
        <v>4082</v>
      </c>
      <c r="D9002" s="83" t="s">
        <v>4429</v>
      </c>
      <c r="E9002" s="81" t="s">
        <v>1900</v>
      </c>
      <c r="F9002" s="81">
        <v>375.0</v>
      </c>
      <c r="G9002" s="81" t="s">
        <v>39</v>
      </c>
      <c r="H9002" s="81" t="s">
        <v>224</v>
      </c>
      <c r="I9002" s="81" t="s">
        <v>224</v>
      </c>
      <c r="J9002" s="81" t="s">
        <v>5711</v>
      </c>
    </row>
    <row r="9003">
      <c r="A9003" s="83" t="s">
        <v>6777</v>
      </c>
      <c r="B9003" s="83" t="s">
        <v>6778</v>
      </c>
      <c r="C9003" s="81" t="s">
        <v>4082</v>
      </c>
      <c r="D9003" s="83" t="s">
        <v>4475</v>
      </c>
      <c r="E9003" s="81" t="s">
        <v>2225</v>
      </c>
      <c r="F9003" s="81">
        <v>426.0</v>
      </c>
      <c r="G9003" s="81" t="s">
        <v>41</v>
      </c>
      <c r="H9003" s="81" t="s">
        <v>2226</v>
      </c>
      <c r="I9003" s="81" t="s">
        <v>224</v>
      </c>
      <c r="J9003" s="81" t="s">
        <v>6354</v>
      </c>
    </row>
    <row r="9004">
      <c r="A9004" s="83" t="s">
        <v>6777</v>
      </c>
      <c r="B9004" s="83" t="s">
        <v>6778</v>
      </c>
      <c r="C9004" s="81" t="s">
        <v>4082</v>
      </c>
      <c r="D9004" s="83" t="s">
        <v>4490</v>
      </c>
      <c r="E9004" s="81" t="s">
        <v>2295</v>
      </c>
      <c r="F9004" s="81">
        <v>440.0</v>
      </c>
      <c r="G9004" s="81" t="s">
        <v>41</v>
      </c>
      <c r="H9004" s="81" t="s">
        <v>2296</v>
      </c>
      <c r="I9004" s="81" t="s">
        <v>224</v>
      </c>
      <c r="J9004" s="81" t="s">
        <v>6355</v>
      </c>
    </row>
    <row r="9005">
      <c r="A9005" s="83" t="s">
        <v>6777</v>
      </c>
      <c r="B9005" s="83" t="s">
        <v>6778</v>
      </c>
      <c r="C9005" s="81" t="s">
        <v>4082</v>
      </c>
      <c r="D9005" s="83" t="s">
        <v>4558</v>
      </c>
      <c r="E9005" s="81" t="s">
        <v>2619</v>
      </c>
      <c r="F9005" s="81">
        <v>504.0</v>
      </c>
      <c r="G9005" s="81" t="s">
        <v>41</v>
      </c>
      <c r="H9005" s="81" t="s">
        <v>2629</v>
      </c>
      <c r="I9005" s="81" t="s">
        <v>224</v>
      </c>
      <c r="J9005" s="81" t="s">
        <v>6356</v>
      </c>
    </row>
    <row r="9006">
      <c r="A9006" s="83" t="s">
        <v>6777</v>
      </c>
      <c r="B9006" s="83" t="s">
        <v>6778</v>
      </c>
      <c r="C9006" s="81" t="s">
        <v>4082</v>
      </c>
      <c r="D9006" s="83" t="s">
        <v>4608</v>
      </c>
      <c r="E9006" s="81" t="s">
        <v>2906</v>
      </c>
      <c r="F9006" s="81">
        <v>560.0</v>
      </c>
      <c r="G9006" s="81" t="s">
        <v>41</v>
      </c>
      <c r="H9006" s="81" t="s">
        <v>2907</v>
      </c>
      <c r="I9006" s="81" t="s">
        <v>224</v>
      </c>
      <c r="J9006" s="81" t="s">
        <v>6357</v>
      </c>
    </row>
    <row r="9007">
      <c r="A9007" s="83" t="s">
        <v>6777</v>
      </c>
      <c r="B9007" s="83" t="s">
        <v>6778</v>
      </c>
      <c r="C9007" s="81" t="s">
        <v>4082</v>
      </c>
      <c r="D9007" s="83" t="s">
        <v>4682</v>
      </c>
      <c r="E9007" s="81" t="s">
        <v>3226</v>
      </c>
      <c r="F9007" s="81">
        <v>613.0</v>
      </c>
      <c r="G9007" s="81" t="s">
        <v>39</v>
      </c>
      <c r="H9007" s="81" t="s">
        <v>224</v>
      </c>
      <c r="I9007" s="81" t="s">
        <v>224</v>
      </c>
      <c r="J9007" s="81" t="s">
        <v>6052</v>
      </c>
    </row>
    <row r="9008">
      <c r="A9008" s="83" t="s">
        <v>6777</v>
      </c>
      <c r="B9008" s="83" t="s">
        <v>6778</v>
      </c>
      <c r="C9008" s="81" t="s">
        <v>4082</v>
      </c>
      <c r="D9008" s="83" t="s">
        <v>4707</v>
      </c>
      <c r="E9008" s="81" t="s">
        <v>3362</v>
      </c>
      <c r="F9008" s="81">
        <v>641.0</v>
      </c>
      <c r="G9008" s="81" t="s">
        <v>39</v>
      </c>
      <c r="H9008" s="81" t="s">
        <v>224</v>
      </c>
      <c r="I9008" s="81" t="s">
        <v>224</v>
      </c>
      <c r="J9008" s="81" t="s">
        <v>6096</v>
      </c>
    </row>
    <row r="9009">
      <c r="A9009" s="83" t="s">
        <v>6777</v>
      </c>
      <c r="B9009" s="83" t="s">
        <v>6778</v>
      </c>
      <c r="C9009" s="81" t="s">
        <v>4082</v>
      </c>
      <c r="D9009" s="83" t="s">
        <v>4709</v>
      </c>
      <c r="E9009" s="81" t="s">
        <v>3370</v>
      </c>
      <c r="F9009" s="81">
        <v>643.0</v>
      </c>
      <c r="G9009" s="81" t="s">
        <v>39</v>
      </c>
      <c r="H9009" s="81" t="s">
        <v>224</v>
      </c>
      <c r="I9009" s="81" t="s">
        <v>224</v>
      </c>
      <c r="J9009" s="81" t="s">
        <v>6101</v>
      </c>
    </row>
    <row r="9010">
      <c r="A9010" s="83" t="s">
        <v>6777</v>
      </c>
      <c r="B9010" s="83" t="s">
        <v>6778</v>
      </c>
      <c r="C9010" s="81" t="s">
        <v>4621</v>
      </c>
      <c r="D9010" s="83" t="s">
        <v>4754</v>
      </c>
      <c r="E9010" s="81" t="s">
        <v>3621</v>
      </c>
      <c r="F9010" s="81">
        <v>684.0</v>
      </c>
      <c r="G9010" s="81" t="s">
        <v>43</v>
      </c>
      <c r="H9010" s="81" t="s">
        <v>224</v>
      </c>
      <c r="I9010" s="81" t="s">
        <v>3632</v>
      </c>
      <c r="J9010" s="81" t="s">
        <v>224</v>
      </c>
    </row>
    <row r="9011">
      <c r="A9011" s="83" t="s">
        <v>6777</v>
      </c>
      <c r="B9011" s="83" t="s">
        <v>6778</v>
      </c>
      <c r="C9011" s="81" t="s">
        <v>4621</v>
      </c>
      <c r="D9011" s="83" t="s">
        <v>4755</v>
      </c>
      <c r="E9011" s="81" t="s">
        <v>3633</v>
      </c>
      <c r="F9011" s="81">
        <v>685.0</v>
      </c>
      <c r="G9011" s="81" t="s">
        <v>43</v>
      </c>
      <c r="H9011" s="81" t="s">
        <v>224</v>
      </c>
      <c r="I9011" s="81" t="s">
        <v>3632</v>
      </c>
      <c r="J9011" s="81" t="s">
        <v>224</v>
      </c>
    </row>
    <row r="9012">
      <c r="A9012" s="83" t="s">
        <v>6777</v>
      </c>
      <c r="B9012" s="83" t="s">
        <v>6778</v>
      </c>
      <c r="C9012" s="81" t="s">
        <v>4621</v>
      </c>
      <c r="D9012" s="83" t="s">
        <v>4754</v>
      </c>
      <c r="E9012" s="81" t="s">
        <v>3636</v>
      </c>
      <c r="F9012" s="81">
        <v>686.0</v>
      </c>
      <c r="G9012" s="81" t="s">
        <v>43</v>
      </c>
      <c r="H9012" s="81" t="s">
        <v>224</v>
      </c>
      <c r="I9012" s="81" t="s">
        <v>3632</v>
      </c>
      <c r="J9012" s="81" t="s">
        <v>224</v>
      </c>
    </row>
    <row r="9013">
      <c r="A9013" s="83" t="s">
        <v>6777</v>
      </c>
      <c r="B9013" s="83" t="s">
        <v>6778</v>
      </c>
      <c r="C9013" s="81" t="s">
        <v>4621</v>
      </c>
      <c r="D9013" s="83" t="s">
        <v>4756</v>
      </c>
      <c r="E9013" s="81" t="s">
        <v>3637</v>
      </c>
      <c r="F9013" s="81">
        <v>687.0</v>
      </c>
      <c r="G9013" s="81" t="s">
        <v>43</v>
      </c>
      <c r="H9013" s="81" t="s">
        <v>224</v>
      </c>
      <c r="I9013" s="81" t="s">
        <v>3632</v>
      </c>
      <c r="J9013" s="81" t="s">
        <v>224</v>
      </c>
    </row>
    <row r="9014">
      <c r="A9014" s="83" t="s">
        <v>6777</v>
      </c>
      <c r="B9014" s="83" t="s">
        <v>6778</v>
      </c>
      <c r="C9014" s="81" t="s">
        <v>4621</v>
      </c>
      <c r="D9014" s="83" t="s">
        <v>4760</v>
      </c>
      <c r="E9014" s="81" t="s">
        <v>3649</v>
      </c>
      <c r="F9014" s="81">
        <v>691.0</v>
      </c>
      <c r="G9014" s="81" t="s">
        <v>43</v>
      </c>
      <c r="H9014" s="81" t="s">
        <v>224</v>
      </c>
      <c r="I9014" s="81" t="s">
        <v>3632</v>
      </c>
      <c r="J9014" s="81" t="s">
        <v>224</v>
      </c>
    </row>
    <row r="9015">
      <c r="A9015" s="83" t="s">
        <v>6777</v>
      </c>
      <c r="B9015" s="83" t="s">
        <v>6778</v>
      </c>
      <c r="C9015" s="81" t="s">
        <v>4621</v>
      </c>
      <c r="D9015" s="83" t="s">
        <v>4760</v>
      </c>
      <c r="E9015" s="81" t="s">
        <v>3652</v>
      </c>
      <c r="F9015" s="81">
        <v>692.0</v>
      </c>
      <c r="G9015" s="81" t="s">
        <v>43</v>
      </c>
      <c r="H9015" s="81" t="s">
        <v>224</v>
      </c>
      <c r="I9015" s="81" t="s">
        <v>3632</v>
      </c>
      <c r="J9015" s="81" t="s">
        <v>224</v>
      </c>
    </row>
    <row r="9016">
      <c r="A9016" s="83" t="s">
        <v>6777</v>
      </c>
      <c r="B9016" s="83" t="s">
        <v>6778</v>
      </c>
      <c r="C9016" s="81" t="s">
        <v>4621</v>
      </c>
      <c r="D9016" s="83" t="s">
        <v>4761</v>
      </c>
      <c r="E9016" s="81" t="s">
        <v>3653</v>
      </c>
      <c r="F9016" s="81">
        <v>693.0</v>
      </c>
      <c r="G9016" s="81" t="s">
        <v>43</v>
      </c>
      <c r="H9016" s="81" t="s">
        <v>224</v>
      </c>
      <c r="I9016" s="81" t="s">
        <v>3632</v>
      </c>
      <c r="J9016" s="81" t="s">
        <v>224</v>
      </c>
    </row>
    <row r="9017">
      <c r="A9017" s="83" t="s">
        <v>6777</v>
      </c>
      <c r="B9017" s="83" t="s">
        <v>6778</v>
      </c>
      <c r="C9017" s="81" t="s">
        <v>4621</v>
      </c>
      <c r="D9017" s="83" t="s">
        <v>4764</v>
      </c>
      <c r="E9017" s="81" t="s">
        <v>3662</v>
      </c>
      <c r="F9017" s="81">
        <v>696.0</v>
      </c>
      <c r="G9017" s="81" t="s">
        <v>43</v>
      </c>
      <c r="H9017" s="81" t="s">
        <v>224</v>
      </c>
      <c r="I9017" s="81" t="s">
        <v>3671</v>
      </c>
      <c r="J9017" s="81" t="s">
        <v>224</v>
      </c>
    </row>
    <row r="9018">
      <c r="A9018" s="83" t="s">
        <v>6777</v>
      </c>
      <c r="B9018" s="83" t="s">
        <v>6778</v>
      </c>
      <c r="C9018" s="81" t="s">
        <v>4621</v>
      </c>
      <c r="D9018" s="83" t="s">
        <v>4764</v>
      </c>
      <c r="E9018" s="81" t="s">
        <v>3672</v>
      </c>
      <c r="F9018" s="81">
        <v>697.0</v>
      </c>
      <c r="G9018" s="81" t="s">
        <v>43</v>
      </c>
      <c r="H9018" s="81" t="s">
        <v>224</v>
      </c>
      <c r="I9018" s="81" t="s">
        <v>3671</v>
      </c>
      <c r="J9018" s="81" t="s">
        <v>224</v>
      </c>
    </row>
    <row r="9019">
      <c r="A9019" s="83" t="s">
        <v>6777</v>
      </c>
      <c r="B9019" s="83" t="s">
        <v>6778</v>
      </c>
      <c r="C9019" s="81" t="s">
        <v>4621</v>
      </c>
      <c r="D9019" s="83" t="s">
        <v>4765</v>
      </c>
      <c r="E9019" s="81" t="s">
        <v>3673</v>
      </c>
      <c r="F9019" s="81">
        <v>698.0</v>
      </c>
      <c r="G9019" s="81" t="s">
        <v>43</v>
      </c>
      <c r="H9019" s="81" t="s">
        <v>224</v>
      </c>
      <c r="I9019" s="81" t="s">
        <v>3671</v>
      </c>
      <c r="J9019" s="81" t="s">
        <v>224</v>
      </c>
    </row>
    <row r="9020">
      <c r="A9020" s="83" t="s">
        <v>6777</v>
      </c>
      <c r="B9020" s="83" t="s">
        <v>6778</v>
      </c>
      <c r="C9020" s="81" t="s">
        <v>4621</v>
      </c>
      <c r="D9020" s="83" t="s">
        <v>4766</v>
      </c>
      <c r="E9020" s="81" t="s">
        <v>3676</v>
      </c>
      <c r="F9020" s="81">
        <v>699.0</v>
      </c>
      <c r="G9020" s="81" t="s">
        <v>43</v>
      </c>
      <c r="H9020" s="81" t="s">
        <v>224</v>
      </c>
      <c r="I9020" s="81" t="s">
        <v>3671</v>
      </c>
      <c r="J9020" s="81" t="s">
        <v>224</v>
      </c>
    </row>
    <row r="9021">
      <c r="A9021" s="83" t="s">
        <v>6777</v>
      </c>
      <c r="B9021" s="83" t="s">
        <v>6778</v>
      </c>
      <c r="C9021" s="81" t="s">
        <v>4082</v>
      </c>
      <c r="D9021" s="83" t="s">
        <v>4844</v>
      </c>
      <c r="E9021" s="81" t="s">
        <v>3998</v>
      </c>
      <c r="F9021" s="81">
        <v>792.0</v>
      </c>
      <c r="G9021" s="81" t="s">
        <v>39</v>
      </c>
      <c r="H9021" s="81" t="s">
        <v>224</v>
      </c>
      <c r="I9021" s="81" t="s">
        <v>224</v>
      </c>
      <c r="J9021" s="81" t="s">
        <v>6440</v>
      </c>
    </row>
    <row r="9022">
      <c r="A9022" s="83" t="s">
        <v>6777</v>
      </c>
      <c r="B9022" s="83" t="s">
        <v>6778</v>
      </c>
      <c r="C9022" s="81" t="s">
        <v>4082</v>
      </c>
      <c r="D9022" s="83" t="s">
        <v>4845</v>
      </c>
      <c r="E9022" s="81" t="s">
        <v>4002</v>
      </c>
      <c r="F9022" s="81">
        <v>793.0</v>
      </c>
      <c r="G9022" s="81" t="s">
        <v>39</v>
      </c>
      <c r="H9022" s="81" t="s">
        <v>224</v>
      </c>
      <c r="I9022" s="81" t="s">
        <v>224</v>
      </c>
      <c r="J9022" s="81" t="s">
        <v>6441</v>
      </c>
    </row>
    <row r="9023">
      <c r="A9023" s="83" t="s">
        <v>6777</v>
      </c>
      <c r="B9023" s="83" t="s">
        <v>6778</v>
      </c>
      <c r="C9023" s="81" t="s">
        <v>4082</v>
      </c>
      <c r="D9023" s="83" t="s">
        <v>4846</v>
      </c>
      <c r="E9023" s="81" t="s">
        <v>1133</v>
      </c>
      <c r="F9023" s="81">
        <v>794.0</v>
      </c>
      <c r="G9023" s="81" t="s">
        <v>39</v>
      </c>
      <c r="H9023" s="81" t="s">
        <v>224</v>
      </c>
      <c r="I9023" s="81" t="s">
        <v>224</v>
      </c>
      <c r="J9023" s="81" t="s">
        <v>6442</v>
      </c>
    </row>
    <row r="9024">
      <c r="A9024" s="83" t="s">
        <v>6777</v>
      </c>
      <c r="B9024" s="83" t="s">
        <v>6778</v>
      </c>
      <c r="C9024" s="81" t="s">
        <v>4082</v>
      </c>
      <c r="D9024" s="83" t="s">
        <v>4847</v>
      </c>
      <c r="E9024" s="81" t="s">
        <v>4005</v>
      </c>
      <c r="F9024" s="81">
        <v>795.0</v>
      </c>
      <c r="G9024" s="81" t="s">
        <v>39</v>
      </c>
      <c r="H9024" s="81" t="s">
        <v>224</v>
      </c>
      <c r="I9024" s="81" t="s">
        <v>224</v>
      </c>
      <c r="J9024" s="81" t="s">
        <v>6316</v>
      </c>
    </row>
    <row r="9025">
      <c r="A9025" s="83" t="s">
        <v>6777</v>
      </c>
      <c r="B9025" s="83" t="s">
        <v>6778</v>
      </c>
      <c r="C9025" s="81" t="s">
        <v>4082</v>
      </c>
      <c r="D9025" s="83" t="s">
        <v>4848</v>
      </c>
      <c r="E9025" s="81" t="s">
        <v>1142</v>
      </c>
      <c r="F9025" s="81">
        <v>796.0</v>
      </c>
      <c r="G9025" s="81" t="s">
        <v>39</v>
      </c>
      <c r="H9025" s="81" t="s">
        <v>224</v>
      </c>
      <c r="I9025" s="81" t="s">
        <v>224</v>
      </c>
      <c r="J9025" s="81" t="s">
        <v>6443</v>
      </c>
    </row>
    <row r="9026">
      <c r="A9026" s="83" t="s">
        <v>6777</v>
      </c>
      <c r="B9026" s="83" t="s">
        <v>6778</v>
      </c>
      <c r="C9026" s="81" t="s">
        <v>4082</v>
      </c>
      <c r="D9026" s="83" t="s">
        <v>4850</v>
      </c>
      <c r="E9026" s="81" t="s">
        <v>1138</v>
      </c>
      <c r="F9026" s="81">
        <v>797.0</v>
      </c>
      <c r="G9026" s="81" t="s">
        <v>39</v>
      </c>
      <c r="H9026" s="81" t="s">
        <v>224</v>
      </c>
      <c r="I9026" s="81" t="s">
        <v>224</v>
      </c>
      <c r="J9026" s="81" t="s">
        <v>6444</v>
      </c>
    </row>
    <row r="9027">
      <c r="A9027" s="83" t="s">
        <v>6777</v>
      </c>
      <c r="B9027" s="83" t="s">
        <v>6778</v>
      </c>
      <c r="C9027" s="81" t="s">
        <v>4082</v>
      </c>
      <c r="D9027" s="83" t="s">
        <v>4868</v>
      </c>
      <c r="E9027" s="81" t="s">
        <v>4020</v>
      </c>
      <c r="F9027" s="81">
        <v>805.0</v>
      </c>
      <c r="G9027" s="81" t="s">
        <v>41</v>
      </c>
      <c r="H9027" s="81" t="s">
        <v>4027</v>
      </c>
      <c r="I9027" s="81" t="s">
        <v>224</v>
      </c>
      <c r="J9027" s="81" t="s">
        <v>6446</v>
      </c>
    </row>
    <row r="9028">
      <c r="A9028" s="83" t="s">
        <v>6777</v>
      </c>
      <c r="B9028" s="83" t="s">
        <v>6778</v>
      </c>
      <c r="C9028" s="81" t="s">
        <v>4082</v>
      </c>
      <c r="D9028" s="83" t="s">
        <v>4870</v>
      </c>
      <c r="E9028" s="81" t="s">
        <v>4037</v>
      </c>
      <c r="F9028" s="81">
        <v>808.0</v>
      </c>
      <c r="G9028" s="81" t="s">
        <v>39</v>
      </c>
      <c r="H9028" s="81" t="s">
        <v>224</v>
      </c>
      <c r="I9028" s="81" t="s">
        <v>224</v>
      </c>
      <c r="J9028" s="81" t="s">
        <v>6763</v>
      </c>
    </row>
    <row r="9029">
      <c r="A9029" s="83" t="s">
        <v>6777</v>
      </c>
      <c r="B9029" s="83" t="s">
        <v>6778</v>
      </c>
      <c r="C9029" s="81" t="s">
        <v>4082</v>
      </c>
      <c r="D9029" s="83" t="s">
        <v>4870</v>
      </c>
      <c r="E9029" s="81" t="s">
        <v>4037</v>
      </c>
      <c r="F9029" s="81">
        <v>808.0</v>
      </c>
      <c r="G9029" s="81" t="s">
        <v>41</v>
      </c>
      <c r="H9029" s="81" t="s">
        <v>4045</v>
      </c>
      <c r="I9029" s="81" t="s">
        <v>224</v>
      </c>
      <c r="J9029" s="81" t="s">
        <v>6449</v>
      </c>
    </row>
    <row r="9030">
      <c r="A9030" s="83" t="s">
        <v>6777</v>
      </c>
      <c r="B9030" s="83" t="s">
        <v>6778</v>
      </c>
      <c r="C9030" s="81" t="s">
        <v>4082</v>
      </c>
      <c r="D9030" s="83" t="s">
        <v>4871</v>
      </c>
      <c r="E9030" s="81" t="s">
        <v>4049</v>
      </c>
      <c r="F9030" s="81">
        <v>809.0</v>
      </c>
      <c r="G9030" s="81" t="s">
        <v>41</v>
      </c>
      <c r="H9030" s="81" t="s">
        <v>4054</v>
      </c>
      <c r="I9030" s="81" t="s">
        <v>224</v>
      </c>
      <c r="J9030" s="81" t="s">
        <v>6450</v>
      </c>
    </row>
    <row r="9031">
      <c r="A9031" s="83" t="s">
        <v>6777</v>
      </c>
      <c r="B9031" s="83" t="s">
        <v>6778</v>
      </c>
      <c r="C9031" s="81" t="s">
        <v>4084</v>
      </c>
      <c r="D9031" s="81" t="s">
        <v>224</v>
      </c>
      <c r="E9031" s="81" t="s">
        <v>224</v>
      </c>
      <c r="F9031" s="81" t="s">
        <v>224</v>
      </c>
      <c r="G9031" s="81" t="s">
        <v>40</v>
      </c>
      <c r="H9031" s="81" t="s">
        <v>224</v>
      </c>
      <c r="I9031" s="81" t="s">
        <v>224</v>
      </c>
      <c r="J9031" s="81" t="s">
        <v>6452</v>
      </c>
    </row>
    <row r="9032">
      <c r="A9032" s="83" t="s">
        <v>6777</v>
      </c>
      <c r="B9032" s="83" t="s">
        <v>6778</v>
      </c>
      <c r="C9032" s="81" t="s">
        <v>4084</v>
      </c>
      <c r="D9032" s="81" t="s">
        <v>224</v>
      </c>
      <c r="E9032" s="81" t="s">
        <v>224</v>
      </c>
      <c r="F9032" s="81" t="s">
        <v>224</v>
      </c>
      <c r="G9032" s="81" t="s">
        <v>41</v>
      </c>
      <c r="H9032" s="81" t="s">
        <v>224</v>
      </c>
      <c r="I9032" s="81" t="s">
        <v>224</v>
      </c>
      <c r="J9032" s="81" t="s">
        <v>6453</v>
      </c>
    </row>
    <row r="9033">
      <c r="A9033" s="83" t="s">
        <v>6784</v>
      </c>
      <c r="B9033" s="83" t="s">
        <v>6785</v>
      </c>
      <c r="C9033" s="81" t="s">
        <v>4080</v>
      </c>
      <c r="D9033" s="81" t="s">
        <v>224</v>
      </c>
      <c r="E9033" s="81" t="s">
        <v>224</v>
      </c>
      <c r="F9033" s="81" t="s">
        <v>224</v>
      </c>
      <c r="G9033" s="81" t="s">
        <v>224</v>
      </c>
      <c r="H9033" s="81" t="s">
        <v>224</v>
      </c>
      <c r="I9033" s="81" t="s">
        <v>224</v>
      </c>
      <c r="J9033" s="81" t="s">
        <v>6786</v>
      </c>
    </row>
    <row r="9034">
      <c r="A9034" s="83" t="s">
        <v>6784</v>
      </c>
      <c r="B9034" s="83" t="s">
        <v>6785</v>
      </c>
      <c r="C9034" s="81" t="s">
        <v>4082</v>
      </c>
      <c r="D9034" s="81" t="s">
        <v>224</v>
      </c>
      <c r="E9034" s="81" t="s">
        <v>6652</v>
      </c>
      <c r="F9034" s="81" t="s">
        <v>224</v>
      </c>
      <c r="G9034" s="81" t="s">
        <v>42</v>
      </c>
      <c r="H9034" s="81" t="s">
        <v>224</v>
      </c>
      <c r="I9034" s="81" t="s">
        <v>224</v>
      </c>
      <c r="J9034" s="81" t="s">
        <v>6653</v>
      </c>
    </row>
    <row r="9035">
      <c r="A9035" s="83" t="s">
        <v>6784</v>
      </c>
      <c r="B9035" s="83" t="s">
        <v>6785</v>
      </c>
      <c r="C9035" s="81" t="s">
        <v>4082</v>
      </c>
      <c r="D9035" s="81" t="s">
        <v>224</v>
      </c>
      <c r="E9035" s="81" t="s">
        <v>6654</v>
      </c>
      <c r="F9035" s="81" t="s">
        <v>224</v>
      </c>
      <c r="G9035" s="81" t="s">
        <v>42</v>
      </c>
      <c r="H9035" s="81" t="s">
        <v>224</v>
      </c>
      <c r="I9035" s="81" t="s">
        <v>224</v>
      </c>
      <c r="J9035" s="81" t="s">
        <v>6653</v>
      </c>
    </row>
    <row r="9036">
      <c r="A9036" s="83" t="s">
        <v>6784</v>
      </c>
      <c r="B9036" s="83" t="s">
        <v>6785</v>
      </c>
      <c r="C9036" s="81" t="s">
        <v>4082</v>
      </c>
      <c r="D9036" s="81" t="s">
        <v>224</v>
      </c>
      <c r="E9036" s="81" t="s">
        <v>6655</v>
      </c>
      <c r="F9036" s="81" t="s">
        <v>224</v>
      </c>
      <c r="G9036" s="81" t="s">
        <v>42</v>
      </c>
      <c r="H9036" s="81" t="s">
        <v>224</v>
      </c>
      <c r="I9036" s="81" t="s">
        <v>224</v>
      </c>
      <c r="J9036" s="81" t="s">
        <v>6653</v>
      </c>
    </row>
    <row r="9037">
      <c r="A9037" s="83" t="s">
        <v>6784</v>
      </c>
      <c r="B9037" s="83" t="s">
        <v>6785</v>
      </c>
      <c r="C9037" s="81" t="s">
        <v>4082</v>
      </c>
      <c r="D9037" s="81" t="s">
        <v>224</v>
      </c>
      <c r="E9037" s="81" t="s">
        <v>6656</v>
      </c>
      <c r="F9037" s="81" t="s">
        <v>224</v>
      </c>
      <c r="G9037" s="81" t="s">
        <v>42</v>
      </c>
      <c r="H9037" s="81" t="s">
        <v>224</v>
      </c>
      <c r="I9037" s="81" t="s">
        <v>224</v>
      </c>
      <c r="J9037" s="81" t="s">
        <v>6653</v>
      </c>
    </row>
    <row r="9038">
      <c r="A9038" s="83" t="s">
        <v>6784</v>
      </c>
      <c r="B9038" s="83" t="s">
        <v>6785</v>
      </c>
      <c r="C9038" s="81" t="s">
        <v>4082</v>
      </c>
      <c r="D9038" s="81" t="s">
        <v>224</v>
      </c>
      <c r="E9038" s="81" t="s">
        <v>6657</v>
      </c>
      <c r="F9038" s="81" t="s">
        <v>224</v>
      </c>
      <c r="G9038" s="81" t="s">
        <v>42</v>
      </c>
      <c r="H9038" s="81" t="s">
        <v>224</v>
      </c>
      <c r="I9038" s="81" t="s">
        <v>224</v>
      </c>
      <c r="J9038" s="81" t="s">
        <v>6653</v>
      </c>
    </row>
    <row r="9039">
      <c r="A9039" s="83" t="s">
        <v>6784</v>
      </c>
      <c r="B9039" s="83" t="s">
        <v>6785</v>
      </c>
      <c r="C9039" s="81" t="s">
        <v>4082</v>
      </c>
      <c r="D9039" s="81" t="s">
        <v>224</v>
      </c>
      <c r="E9039" s="81" t="s">
        <v>6658</v>
      </c>
      <c r="F9039" s="81" t="s">
        <v>224</v>
      </c>
      <c r="G9039" s="81" t="s">
        <v>42</v>
      </c>
      <c r="H9039" s="81" t="s">
        <v>224</v>
      </c>
      <c r="I9039" s="81" t="s">
        <v>224</v>
      </c>
      <c r="J9039" s="81" t="s">
        <v>6653</v>
      </c>
    </row>
    <row r="9040">
      <c r="A9040" s="83" t="s">
        <v>6784</v>
      </c>
      <c r="B9040" s="83" t="s">
        <v>6785</v>
      </c>
      <c r="C9040" s="81" t="s">
        <v>4082</v>
      </c>
      <c r="D9040" s="81" t="s">
        <v>224</v>
      </c>
      <c r="E9040" s="81" t="s">
        <v>6659</v>
      </c>
      <c r="F9040" s="81" t="s">
        <v>224</v>
      </c>
      <c r="G9040" s="81" t="s">
        <v>42</v>
      </c>
      <c r="H9040" s="81" t="s">
        <v>224</v>
      </c>
      <c r="I9040" s="81" t="s">
        <v>224</v>
      </c>
      <c r="J9040" s="81" t="s">
        <v>6653</v>
      </c>
    </row>
    <row r="9041">
      <c r="A9041" s="83" t="s">
        <v>6784</v>
      </c>
      <c r="B9041" s="83" t="s">
        <v>6785</v>
      </c>
      <c r="C9041" s="81" t="s">
        <v>4082</v>
      </c>
      <c r="D9041" s="81" t="s">
        <v>224</v>
      </c>
      <c r="E9041" s="81" t="s">
        <v>6660</v>
      </c>
      <c r="F9041" s="81" t="s">
        <v>224</v>
      </c>
      <c r="G9041" s="81" t="s">
        <v>42</v>
      </c>
      <c r="H9041" s="81" t="s">
        <v>224</v>
      </c>
      <c r="I9041" s="81" t="s">
        <v>224</v>
      </c>
      <c r="J9041" s="81" t="s">
        <v>6653</v>
      </c>
    </row>
    <row r="9042">
      <c r="A9042" s="83" t="s">
        <v>6784</v>
      </c>
      <c r="B9042" s="83" t="s">
        <v>6785</v>
      </c>
      <c r="C9042" s="81" t="s">
        <v>4082</v>
      </c>
      <c r="D9042" s="81" t="s">
        <v>224</v>
      </c>
      <c r="E9042" s="81" t="s">
        <v>6661</v>
      </c>
      <c r="F9042" s="81" t="s">
        <v>224</v>
      </c>
      <c r="G9042" s="81" t="s">
        <v>42</v>
      </c>
      <c r="H9042" s="81" t="s">
        <v>224</v>
      </c>
      <c r="I9042" s="81" t="s">
        <v>224</v>
      </c>
      <c r="J9042" s="81" t="s">
        <v>6653</v>
      </c>
    </row>
    <row r="9043">
      <c r="A9043" s="83" t="s">
        <v>6784</v>
      </c>
      <c r="B9043" s="83" t="s">
        <v>6785</v>
      </c>
      <c r="C9043" s="81" t="s">
        <v>4082</v>
      </c>
      <c r="D9043" s="81" t="s">
        <v>224</v>
      </c>
      <c r="E9043" s="81" t="s">
        <v>6662</v>
      </c>
      <c r="F9043" s="81" t="s">
        <v>224</v>
      </c>
      <c r="G9043" s="81" t="s">
        <v>42</v>
      </c>
      <c r="H9043" s="81" t="s">
        <v>224</v>
      </c>
      <c r="I9043" s="81" t="s">
        <v>224</v>
      </c>
      <c r="J9043" s="81" t="s">
        <v>6653</v>
      </c>
    </row>
    <row r="9044">
      <c r="A9044" s="83" t="s">
        <v>6784</v>
      </c>
      <c r="B9044" s="83" t="s">
        <v>6785</v>
      </c>
      <c r="C9044" s="81" t="s">
        <v>4082</v>
      </c>
      <c r="D9044" s="81" t="s">
        <v>224</v>
      </c>
      <c r="E9044" s="81" t="s">
        <v>6663</v>
      </c>
      <c r="F9044" s="81" t="s">
        <v>224</v>
      </c>
      <c r="G9044" s="81" t="s">
        <v>42</v>
      </c>
      <c r="H9044" s="81" t="s">
        <v>224</v>
      </c>
      <c r="I9044" s="81" t="s">
        <v>224</v>
      </c>
      <c r="J9044" s="81" t="s">
        <v>6653</v>
      </c>
    </row>
    <row r="9045">
      <c r="A9045" s="83" t="s">
        <v>6784</v>
      </c>
      <c r="B9045" s="83" t="s">
        <v>6785</v>
      </c>
      <c r="C9045" s="81" t="s">
        <v>4082</v>
      </c>
      <c r="D9045" s="81" t="s">
        <v>224</v>
      </c>
      <c r="E9045" s="81" t="s">
        <v>6664</v>
      </c>
      <c r="F9045" s="81" t="s">
        <v>224</v>
      </c>
      <c r="G9045" s="81" t="s">
        <v>42</v>
      </c>
      <c r="H9045" s="81" t="s">
        <v>224</v>
      </c>
      <c r="I9045" s="81" t="s">
        <v>224</v>
      </c>
      <c r="J9045" s="81" t="s">
        <v>6653</v>
      </c>
    </row>
    <row r="9046">
      <c r="A9046" s="83" t="s">
        <v>6784</v>
      </c>
      <c r="B9046" s="83" t="s">
        <v>6785</v>
      </c>
      <c r="C9046" s="81" t="s">
        <v>4082</v>
      </c>
      <c r="D9046" s="81" t="s">
        <v>224</v>
      </c>
      <c r="E9046" s="81" t="s">
        <v>6665</v>
      </c>
      <c r="F9046" s="81" t="s">
        <v>224</v>
      </c>
      <c r="G9046" s="81" t="s">
        <v>42</v>
      </c>
      <c r="H9046" s="81" t="s">
        <v>224</v>
      </c>
      <c r="I9046" s="81" t="s">
        <v>224</v>
      </c>
      <c r="J9046" s="81" t="s">
        <v>6653</v>
      </c>
    </row>
    <row r="9047">
      <c r="A9047" s="83" t="s">
        <v>6784</v>
      </c>
      <c r="B9047" s="83" t="s">
        <v>6785</v>
      </c>
      <c r="C9047" s="81" t="s">
        <v>4082</v>
      </c>
      <c r="D9047" s="81" t="s">
        <v>224</v>
      </c>
      <c r="E9047" s="81" t="s">
        <v>6666</v>
      </c>
      <c r="F9047" s="81" t="s">
        <v>224</v>
      </c>
      <c r="G9047" s="81" t="s">
        <v>42</v>
      </c>
      <c r="H9047" s="81" t="s">
        <v>224</v>
      </c>
      <c r="I9047" s="81" t="s">
        <v>224</v>
      </c>
      <c r="J9047" s="81" t="s">
        <v>6653</v>
      </c>
    </row>
    <row r="9048">
      <c r="A9048" s="83" t="s">
        <v>6784</v>
      </c>
      <c r="B9048" s="83" t="s">
        <v>6785</v>
      </c>
      <c r="C9048" s="81" t="s">
        <v>4082</v>
      </c>
      <c r="D9048" s="81" t="s">
        <v>224</v>
      </c>
      <c r="E9048" s="81" t="s">
        <v>6667</v>
      </c>
      <c r="F9048" s="81" t="s">
        <v>224</v>
      </c>
      <c r="G9048" s="81" t="s">
        <v>42</v>
      </c>
      <c r="H9048" s="81" t="s">
        <v>224</v>
      </c>
      <c r="I9048" s="81" t="s">
        <v>224</v>
      </c>
      <c r="J9048" s="81" t="s">
        <v>6653</v>
      </c>
    </row>
    <row r="9049">
      <c r="A9049" s="83" t="s">
        <v>6784</v>
      </c>
      <c r="B9049" s="83" t="s">
        <v>6785</v>
      </c>
      <c r="C9049" s="81" t="s">
        <v>4082</v>
      </c>
      <c r="D9049" s="81" t="s">
        <v>224</v>
      </c>
      <c r="E9049" s="81" t="s">
        <v>6668</v>
      </c>
      <c r="F9049" s="81" t="s">
        <v>224</v>
      </c>
      <c r="G9049" s="81" t="s">
        <v>42</v>
      </c>
      <c r="H9049" s="81" t="s">
        <v>224</v>
      </c>
      <c r="I9049" s="81" t="s">
        <v>224</v>
      </c>
      <c r="J9049" s="81" t="s">
        <v>6653</v>
      </c>
    </row>
    <row r="9050">
      <c r="A9050" s="83" t="s">
        <v>6784</v>
      </c>
      <c r="B9050" s="83" t="s">
        <v>6785</v>
      </c>
      <c r="C9050" s="81" t="s">
        <v>4082</v>
      </c>
      <c r="D9050" s="81" t="s">
        <v>224</v>
      </c>
      <c r="E9050" s="81" t="s">
        <v>6669</v>
      </c>
      <c r="F9050" s="81" t="s">
        <v>224</v>
      </c>
      <c r="G9050" s="81" t="s">
        <v>42</v>
      </c>
      <c r="H9050" s="81" t="s">
        <v>224</v>
      </c>
      <c r="I9050" s="81" t="s">
        <v>224</v>
      </c>
      <c r="J9050" s="81" t="s">
        <v>6653</v>
      </c>
    </row>
    <row r="9051">
      <c r="A9051" s="83" t="s">
        <v>6784</v>
      </c>
      <c r="B9051" s="83" t="s">
        <v>6785</v>
      </c>
      <c r="C9051" s="81" t="s">
        <v>4082</v>
      </c>
      <c r="D9051" s="81" t="s">
        <v>224</v>
      </c>
      <c r="E9051" s="81" t="s">
        <v>6670</v>
      </c>
      <c r="F9051" s="81" t="s">
        <v>224</v>
      </c>
      <c r="G9051" s="81" t="s">
        <v>42</v>
      </c>
      <c r="H9051" s="81" t="s">
        <v>224</v>
      </c>
      <c r="I9051" s="81" t="s">
        <v>224</v>
      </c>
      <c r="J9051" s="81" t="s">
        <v>6653</v>
      </c>
    </row>
    <row r="9052">
      <c r="A9052" s="83" t="s">
        <v>6784</v>
      </c>
      <c r="B9052" s="83" t="s">
        <v>6785</v>
      </c>
      <c r="C9052" s="81" t="s">
        <v>4082</v>
      </c>
      <c r="D9052" s="81" t="s">
        <v>224</v>
      </c>
      <c r="E9052" s="81" t="s">
        <v>6671</v>
      </c>
      <c r="F9052" s="81" t="s">
        <v>224</v>
      </c>
      <c r="G9052" s="81" t="s">
        <v>42</v>
      </c>
      <c r="H9052" s="81" t="s">
        <v>224</v>
      </c>
      <c r="I9052" s="81" t="s">
        <v>224</v>
      </c>
      <c r="J9052" s="81" t="s">
        <v>6653</v>
      </c>
    </row>
    <row r="9053">
      <c r="A9053" s="83" t="s">
        <v>6784</v>
      </c>
      <c r="B9053" s="83" t="s">
        <v>6785</v>
      </c>
      <c r="C9053" s="81" t="s">
        <v>4082</v>
      </c>
      <c r="D9053" s="81" t="s">
        <v>224</v>
      </c>
      <c r="E9053" s="81" t="s">
        <v>6672</v>
      </c>
      <c r="F9053" s="81" t="s">
        <v>224</v>
      </c>
      <c r="G9053" s="81" t="s">
        <v>42</v>
      </c>
      <c r="H9053" s="81" t="s">
        <v>224</v>
      </c>
      <c r="I9053" s="81" t="s">
        <v>224</v>
      </c>
      <c r="J9053" s="81" t="s">
        <v>6653</v>
      </c>
    </row>
    <row r="9054">
      <c r="A9054" s="83" t="s">
        <v>6784</v>
      </c>
      <c r="B9054" s="83" t="s">
        <v>6785</v>
      </c>
      <c r="C9054" s="81" t="s">
        <v>4082</v>
      </c>
      <c r="D9054" s="81" t="s">
        <v>224</v>
      </c>
      <c r="E9054" s="81" t="s">
        <v>6673</v>
      </c>
      <c r="F9054" s="81" t="s">
        <v>224</v>
      </c>
      <c r="G9054" s="81" t="s">
        <v>42</v>
      </c>
      <c r="H9054" s="81" t="s">
        <v>224</v>
      </c>
      <c r="I9054" s="81" t="s">
        <v>224</v>
      </c>
      <c r="J9054" s="81" t="s">
        <v>6653</v>
      </c>
    </row>
    <row r="9055">
      <c r="A9055" s="83" t="s">
        <v>6784</v>
      </c>
      <c r="B9055" s="83" t="s">
        <v>6785</v>
      </c>
      <c r="C9055" s="81" t="s">
        <v>4082</v>
      </c>
      <c r="D9055" s="81" t="s">
        <v>224</v>
      </c>
      <c r="E9055" s="81" t="s">
        <v>6674</v>
      </c>
      <c r="F9055" s="81" t="s">
        <v>224</v>
      </c>
      <c r="G9055" s="81" t="s">
        <v>42</v>
      </c>
      <c r="H9055" s="81" t="s">
        <v>224</v>
      </c>
      <c r="I9055" s="81" t="s">
        <v>224</v>
      </c>
      <c r="J9055" s="81" t="s">
        <v>6653</v>
      </c>
    </row>
    <row r="9056">
      <c r="A9056" s="83" t="s">
        <v>6784</v>
      </c>
      <c r="B9056" s="83" t="s">
        <v>6785</v>
      </c>
      <c r="C9056" s="81" t="s">
        <v>4082</v>
      </c>
      <c r="D9056" s="81" t="s">
        <v>224</v>
      </c>
      <c r="E9056" s="81" t="s">
        <v>6675</v>
      </c>
      <c r="F9056" s="81" t="s">
        <v>224</v>
      </c>
      <c r="G9056" s="81" t="s">
        <v>42</v>
      </c>
      <c r="H9056" s="81" t="s">
        <v>224</v>
      </c>
      <c r="I9056" s="81" t="s">
        <v>224</v>
      </c>
      <c r="J9056" s="81" t="s">
        <v>6653</v>
      </c>
    </row>
    <row r="9057">
      <c r="A9057" s="83" t="s">
        <v>6784</v>
      </c>
      <c r="B9057" s="83" t="s">
        <v>6785</v>
      </c>
      <c r="C9057" s="81" t="s">
        <v>4082</v>
      </c>
      <c r="D9057" s="81" t="s">
        <v>224</v>
      </c>
      <c r="E9057" s="81" t="s">
        <v>6676</v>
      </c>
      <c r="F9057" s="81" t="s">
        <v>224</v>
      </c>
      <c r="G9057" s="81" t="s">
        <v>42</v>
      </c>
      <c r="H9057" s="81" t="s">
        <v>224</v>
      </c>
      <c r="I9057" s="81" t="s">
        <v>224</v>
      </c>
      <c r="J9057" s="81" t="s">
        <v>6653</v>
      </c>
    </row>
    <row r="9058">
      <c r="A9058" s="83" t="s">
        <v>6784</v>
      </c>
      <c r="B9058" s="83" t="s">
        <v>6785</v>
      </c>
      <c r="C9058" s="81" t="s">
        <v>4082</v>
      </c>
      <c r="D9058" s="81" t="s">
        <v>224</v>
      </c>
      <c r="E9058" s="81" t="s">
        <v>6677</v>
      </c>
      <c r="F9058" s="81" t="s">
        <v>224</v>
      </c>
      <c r="G9058" s="81" t="s">
        <v>42</v>
      </c>
      <c r="H9058" s="81" t="s">
        <v>224</v>
      </c>
      <c r="I9058" s="81" t="s">
        <v>224</v>
      </c>
      <c r="J9058" s="81" t="s">
        <v>6653</v>
      </c>
    </row>
    <row r="9059">
      <c r="A9059" s="83" t="s">
        <v>6784</v>
      </c>
      <c r="B9059" s="83" t="s">
        <v>6785</v>
      </c>
      <c r="C9059" s="81" t="s">
        <v>4082</v>
      </c>
      <c r="D9059" s="81" t="s">
        <v>224</v>
      </c>
      <c r="E9059" s="81" t="s">
        <v>6678</v>
      </c>
      <c r="F9059" s="81" t="s">
        <v>224</v>
      </c>
      <c r="G9059" s="81" t="s">
        <v>42</v>
      </c>
      <c r="H9059" s="81" t="s">
        <v>224</v>
      </c>
      <c r="I9059" s="81" t="s">
        <v>224</v>
      </c>
      <c r="J9059" s="81" t="s">
        <v>6653</v>
      </c>
    </row>
    <row r="9060">
      <c r="A9060" s="83" t="s">
        <v>6784</v>
      </c>
      <c r="B9060" s="83" t="s">
        <v>6785</v>
      </c>
      <c r="C9060" s="81" t="s">
        <v>4082</v>
      </c>
      <c r="D9060" s="81" t="s">
        <v>224</v>
      </c>
      <c r="E9060" s="81" t="s">
        <v>6679</v>
      </c>
      <c r="F9060" s="81" t="s">
        <v>224</v>
      </c>
      <c r="G9060" s="81" t="s">
        <v>42</v>
      </c>
      <c r="H9060" s="81" t="s">
        <v>224</v>
      </c>
      <c r="I9060" s="81" t="s">
        <v>224</v>
      </c>
      <c r="J9060" s="81" t="s">
        <v>6653</v>
      </c>
    </row>
    <row r="9061">
      <c r="A9061" s="83" t="s">
        <v>6784</v>
      </c>
      <c r="B9061" s="83" t="s">
        <v>6785</v>
      </c>
      <c r="C9061" s="81" t="s">
        <v>4082</v>
      </c>
      <c r="D9061" s="81" t="s">
        <v>224</v>
      </c>
      <c r="E9061" s="81" t="s">
        <v>6680</v>
      </c>
      <c r="F9061" s="81" t="s">
        <v>224</v>
      </c>
      <c r="G9061" s="81" t="s">
        <v>42</v>
      </c>
      <c r="H9061" s="81" t="s">
        <v>224</v>
      </c>
      <c r="I9061" s="81" t="s">
        <v>224</v>
      </c>
      <c r="J9061" s="81" t="s">
        <v>6653</v>
      </c>
    </row>
    <row r="9062">
      <c r="A9062" s="83" t="s">
        <v>6784</v>
      </c>
      <c r="B9062" s="83" t="s">
        <v>6785</v>
      </c>
      <c r="C9062" s="81" t="s">
        <v>4082</v>
      </c>
      <c r="D9062" s="81" t="s">
        <v>224</v>
      </c>
      <c r="E9062" s="81" t="s">
        <v>6681</v>
      </c>
      <c r="F9062" s="81" t="s">
        <v>224</v>
      </c>
      <c r="G9062" s="81" t="s">
        <v>42</v>
      </c>
      <c r="H9062" s="81" t="s">
        <v>224</v>
      </c>
      <c r="I9062" s="81" t="s">
        <v>224</v>
      </c>
      <c r="J9062" s="81" t="s">
        <v>6653</v>
      </c>
    </row>
    <row r="9063">
      <c r="A9063" s="83" t="s">
        <v>6784</v>
      </c>
      <c r="B9063" s="83" t="s">
        <v>6785</v>
      </c>
      <c r="C9063" s="81" t="s">
        <v>4082</v>
      </c>
      <c r="D9063" s="81" t="s">
        <v>224</v>
      </c>
      <c r="E9063" s="81" t="s">
        <v>6682</v>
      </c>
      <c r="F9063" s="81" t="s">
        <v>224</v>
      </c>
      <c r="G9063" s="81" t="s">
        <v>42</v>
      </c>
      <c r="H9063" s="81" t="s">
        <v>224</v>
      </c>
      <c r="I9063" s="81" t="s">
        <v>224</v>
      </c>
      <c r="J9063" s="81" t="s">
        <v>6653</v>
      </c>
    </row>
    <row r="9064">
      <c r="A9064" s="83" t="s">
        <v>6784</v>
      </c>
      <c r="B9064" s="83" t="s">
        <v>6785</v>
      </c>
      <c r="C9064" s="81" t="s">
        <v>4082</v>
      </c>
      <c r="D9064" s="81" t="s">
        <v>224</v>
      </c>
      <c r="E9064" s="81" t="s">
        <v>6683</v>
      </c>
      <c r="F9064" s="81" t="s">
        <v>224</v>
      </c>
      <c r="G9064" s="81" t="s">
        <v>42</v>
      </c>
      <c r="H9064" s="81" t="s">
        <v>224</v>
      </c>
      <c r="I9064" s="81" t="s">
        <v>224</v>
      </c>
      <c r="J9064" s="81" t="s">
        <v>6653</v>
      </c>
    </row>
    <row r="9065">
      <c r="A9065" s="83" t="s">
        <v>6784</v>
      </c>
      <c r="B9065" s="83" t="s">
        <v>6785</v>
      </c>
      <c r="C9065" s="81" t="s">
        <v>4082</v>
      </c>
      <c r="D9065" s="81" t="s">
        <v>224</v>
      </c>
      <c r="E9065" s="81" t="s">
        <v>6684</v>
      </c>
      <c r="F9065" s="81" t="s">
        <v>224</v>
      </c>
      <c r="G9065" s="81" t="s">
        <v>42</v>
      </c>
      <c r="H9065" s="81" t="s">
        <v>224</v>
      </c>
      <c r="I9065" s="81" t="s">
        <v>224</v>
      </c>
      <c r="J9065" s="81" t="s">
        <v>6653</v>
      </c>
    </row>
    <row r="9066">
      <c r="A9066" s="83" t="s">
        <v>6784</v>
      </c>
      <c r="B9066" s="83" t="s">
        <v>6785</v>
      </c>
      <c r="C9066" s="81" t="s">
        <v>4082</v>
      </c>
      <c r="D9066" s="81" t="s">
        <v>224</v>
      </c>
      <c r="E9066" s="81" t="s">
        <v>6685</v>
      </c>
      <c r="F9066" s="81" t="s">
        <v>224</v>
      </c>
      <c r="G9066" s="81" t="s">
        <v>42</v>
      </c>
      <c r="H9066" s="81" t="s">
        <v>224</v>
      </c>
      <c r="I9066" s="81" t="s">
        <v>224</v>
      </c>
      <c r="J9066" s="81" t="s">
        <v>6653</v>
      </c>
    </row>
    <row r="9067">
      <c r="A9067" s="83" t="s">
        <v>6784</v>
      </c>
      <c r="B9067" s="83" t="s">
        <v>6785</v>
      </c>
      <c r="C9067" s="81" t="s">
        <v>4082</v>
      </c>
      <c r="D9067" s="81" t="s">
        <v>224</v>
      </c>
      <c r="E9067" s="81" t="s">
        <v>6686</v>
      </c>
      <c r="F9067" s="81" t="s">
        <v>224</v>
      </c>
      <c r="G9067" s="81" t="s">
        <v>42</v>
      </c>
      <c r="H9067" s="81" t="s">
        <v>224</v>
      </c>
      <c r="I9067" s="81" t="s">
        <v>224</v>
      </c>
      <c r="J9067" s="81" t="s">
        <v>6653</v>
      </c>
    </row>
    <row r="9068">
      <c r="A9068" s="83" t="s">
        <v>6784</v>
      </c>
      <c r="B9068" s="83" t="s">
        <v>6785</v>
      </c>
      <c r="C9068" s="81" t="s">
        <v>4082</v>
      </c>
      <c r="D9068" s="81" t="s">
        <v>224</v>
      </c>
      <c r="E9068" s="81" t="s">
        <v>6687</v>
      </c>
      <c r="F9068" s="81" t="s">
        <v>224</v>
      </c>
      <c r="G9068" s="81" t="s">
        <v>42</v>
      </c>
      <c r="H9068" s="81" t="s">
        <v>224</v>
      </c>
      <c r="I9068" s="81" t="s">
        <v>224</v>
      </c>
      <c r="J9068" s="81" t="s">
        <v>6653</v>
      </c>
    </row>
    <row r="9069">
      <c r="A9069" s="83" t="s">
        <v>6784</v>
      </c>
      <c r="B9069" s="83" t="s">
        <v>6785</v>
      </c>
      <c r="C9069" s="81" t="s">
        <v>4082</v>
      </c>
      <c r="D9069" s="81" t="s">
        <v>224</v>
      </c>
      <c r="E9069" s="81" t="s">
        <v>6688</v>
      </c>
      <c r="F9069" s="81" t="s">
        <v>224</v>
      </c>
      <c r="G9069" s="81" t="s">
        <v>42</v>
      </c>
      <c r="H9069" s="81" t="s">
        <v>224</v>
      </c>
      <c r="I9069" s="81" t="s">
        <v>224</v>
      </c>
      <c r="J9069" s="81" t="s">
        <v>6653</v>
      </c>
    </row>
    <row r="9070">
      <c r="A9070" s="83" t="s">
        <v>6784</v>
      </c>
      <c r="B9070" s="83" t="s">
        <v>6785</v>
      </c>
      <c r="C9070" s="81" t="s">
        <v>4082</v>
      </c>
      <c r="D9070" s="81" t="s">
        <v>224</v>
      </c>
      <c r="E9070" s="81" t="s">
        <v>6689</v>
      </c>
      <c r="F9070" s="81" t="s">
        <v>224</v>
      </c>
      <c r="G9070" s="81" t="s">
        <v>42</v>
      </c>
      <c r="H9070" s="81" t="s">
        <v>224</v>
      </c>
      <c r="I9070" s="81" t="s">
        <v>224</v>
      </c>
      <c r="J9070" s="81" t="s">
        <v>6653</v>
      </c>
    </row>
    <row r="9071">
      <c r="A9071" s="83" t="s">
        <v>6784</v>
      </c>
      <c r="B9071" s="83" t="s">
        <v>6785</v>
      </c>
      <c r="C9071" s="81" t="s">
        <v>4082</v>
      </c>
      <c r="D9071" s="81" t="s">
        <v>224</v>
      </c>
      <c r="E9071" s="81" t="s">
        <v>6690</v>
      </c>
      <c r="F9071" s="81" t="s">
        <v>224</v>
      </c>
      <c r="G9071" s="81" t="s">
        <v>42</v>
      </c>
      <c r="H9071" s="81" t="s">
        <v>224</v>
      </c>
      <c r="I9071" s="81" t="s">
        <v>224</v>
      </c>
      <c r="J9071" s="81" t="s">
        <v>6653</v>
      </c>
    </row>
    <row r="9072">
      <c r="A9072" s="83" t="s">
        <v>6784</v>
      </c>
      <c r="B9072" s="83" t="s">
        <v>6785</v>
      </c>
      <c r="C9072" s="81" t="s">
        <v>4082</v>
      </c>
      <c r="D9072" s="81" t="s">
        <v>224</v>
      </c>
      <c r="E9072" s="81" t="s">
        <v>6691</v>
      </c>
      <c r="F9072" s="81" t="s">
        <v>224</v>
      </c>
      <c r="G9072" s="81" t="s">
        <v>42</v>
      </c>
      <c r="H9072" s="81" t="s">
        <v>224</v>
      </c>
      <c r="I9072" s="81" t="s">
        <v>224</v>
      </c>
      <c r="J9072" s="81" t="s">
        <v>6653</v>
      </c>
    </row>
    <row r="9073">
      <c r="A9073" s="83" t="s">
        <v>6784</v>
      </c>
      <c r="B9073" s="83" t="s">
        <v>6785</v>
      </c>
      <c r="C9073" s="81" t="s">
        <v>4082</v>
      </c>
      <c r="D9073" s="81" t="s">
        <v>224</v>
      </c>
      <c r="E9073" s="81" t="s">
        <v>6692</v>
      </c>
      <c r="F9073" s="81" t="s">
        <v>224</v>
      </c>
      <c r="G9073" s="81" t="s">
        <v>42</v>
      </c>
      <c r="H9073" s="81" t="s">
        <v>224</v>
      </c>
      <c r="I9073" s="81" t="s">
        <v>224</v>
      </c>
      <c r="J9073" s="81" t="s">
        <v>6653</v>
      </c>
    </row>
    <row r="9074">
      <c r="A9074" s="83" t="s">
        <v>6784</v>
      </c>
      <c r="B9074" s="83" t="s">
        <v>6785</v>
      </c>
      <c r="C9074" s="81" t="s">
        <v>4082</v>
      </c>
      <c r="D9074" s="81" t="s">
        <v>224</v>
      </c>
      <c r="E9074" s="81" t="s">
        <v>6702</v>
      </c>
      <c r="F9074" s="81" t="s">
        <v>224</v>
      </c>
      <c r="G9074" s="81" t="s">
        <v>42</v>
      </c>
      <c r="H9074" s="81" t="s">
        <v>224</v>
      </c>
      <c r="I9074" s="81" t="s">
        <v>224</v>
      </c>
      <c r="J9074" s="81" t="s">
        <v>6653</v>
      </c>
    </row>
    <row r="9075">
      <c r="A9075" s="83" t="s">
        <v>6784</v>
      </c>
      <c r="B9075" s="83" t="s">
        <v>6785</v>
      </c>
      <c r="C9075" s="81" t="s">
        <v>4082</v>
      </c>
      <c r="D9075" s="81" t="s">
        <v>224</v>
      </c>
      <c r="E9075" s="81" t="s">
        <v>6703</v>
      </c>
      <c r="F9075" s="81" t="s">
        <v>224</v>
      </c>
      <c r="G9075" s="81" t="s">
        <v>42</v>
      </c>
      <c r="H9075" s="81" t="s">
        <v>224</v>
      </c>
      <c r="I9075" s="81" t="s">
        <v>224</v>
      </c>
      <c r="J9075" s="81" t="s">
        <v>6653</v>
      </c>
    </row>
    <row r="9076">
      <c r="A9076" s="83" t="s">
        <v>6784</v>
      </c>
      <c r="B9076" s="83" t="s">
        <v>6785</v>
      </c>
      <c r="C9076" s="81" t="s">
        <v>4082</v>
      </c>
      <c r="D9076" s="81" t="s">
        <v>224</v>
      </c>
      <c r="E9076" s="81" t="s">
        <v>6704</v>
      </c>
      <c r="F9076" s="81" t="s">
        <v>224</v>
      </c>
      <c r="G9076" s="81" t="s">
        <v>42</v>
      </c>
      <c r="H9076" s="81" t="s">
        <v>224</v>
      </c>
      <c r="I9076" s="81" t="s">
        <v>224</v>
      </c>
      <c r="J9076" s="81" t="s">
        <v>6653</v>
      </c>
    </row>
    <row r="9077">
      <c r="A9077" s="83" t="s">
        <v>6784</v>
      </c>
      <c r="B9077" s="83" t="s">
        <v>6785</v>
      </c>
      <c r="C9077" s="81" t="s">
        <v>4082</v>
      </c>
      <c r="D9077" s="81" t="s">
        <v>224</v>
      </c>
      <c r="E9077" s="81" t="s">
        <v>6705</v>
      </c>
      <c r="F9077" s="81" t="s">
        <v>224</v>
      </c>
      <c r="G9077" s="81" t="s">
        <v>42</v>
      </c>
      <c r="H9077" s="81" t="s">
        <v>224</v>
      </c>
      <c r="I9077" s="81" t="s">
        <v>224</v>
      </c>
      <c r="J9077" s="81" t="s">
        <v>6653</v>
      </c>
    </row>
    <row r="9078">
      <c r="A9078" s="83" t="s">
        <v>6784</v>
      </c>
      <c r="B9078" s="83" t="s">
        <v>6785</v>
      </c>
      <c r="C9078" s="81" t="s">
        <v>4082</v>
      </c>
      <c r="D9078" s="81" t="s">
        <v>224</v>
      </c>
      <c r="E9078" s="81" t="s">
        <v>6706</v>
      </c>
      <c r="F9078" s="81" t="s">
        <v>224</v>
      </c>
      <c r="G9078" s="81" t="s">
        <v>42</v>
      </c>
      <c r="H9078" s="81" t="s">
        <v>224</v>
      </c>
      <c r="I9078" s="81" t="s">
        <v>224</v>
      </c>
      <c r="J9078" s="81" t="s">
        <v>6653</v>
      </c>
    </row>
    <row r="9079">
      <c r="A9079" s="83" t="s">
        <v>6784</v>
      </c>
      <c r="B9079" s="83" t="s">
        <v>6785</v>
      </c>
      <c r="C9079" s="81" t="s">
        <v>4082</v>
      </c>
      <c r="D9079" s="81" t="s">
        <v>224</v>
      </c>
      <c r="E9079" s="81" t="s">
        <v>6707</v>
      </c>
      <c r="F9079" s="81" t="s">
        <v>224</v>
      </c>
      <c r="G9079" s="81" t="s">
        <v>42</v>
      </c>
      <c r="H9079" s="81" t="s">
        <v>224</v>
      </c>
      <c r="I9079" s="81" t="s">
        <v>224</v>
      </c>
      <c r="J9079" s="81" t="s">
        <v>6653</v>
      </c>
    </row>
    <row r="9080">
      <c r="A9080" s="83" t="s">
        <v>6784</v>
      </c>
      <c r="B9080" s="83" t="s">
        <v>6785</v>
      </c>
      <c r="C9080" s="81" t="s">
        <v>4082</v>
      </c>
      <c r="D9080" s="81" t="s">
        <v>224</v>
      </c>
      <c r="E9080" s="81" t="s">
        <v>6708</v>
      </c>
      <c r="F9080" s="81" t="s">
        <v>224</v>
      </c>
      <c r="G9080" s="81" t="s">
        <v>42</v>
      </c>
      <c r="H9080" s="81" t="s">
        <v>224</v>
      </c>
      <c r="I9080" s="81" t="s">
        <v>224</v>
      </c>
      <c r="J9080" s="81" t="s">
        <v>6653</v>
      </c>
    </row>
    <row r="9081">
      <c r="A9081" s="83" t="s">
        <v>6784</v>
      </c>
      <c r="B9081" s="83" t="s">
        <v>6785</v>
      </c>
      <c r="C9081" s="81" t="s">
        <v>4082</v>
      </c>
      <c r="D9081" s="81" t="s">
        <v>224</v>
      </c>
      <c r="E9081" s="81" t="s">
        <v>6709</v>
      </c>
      <c r="F9081" s="81" t="s">
        <v>224</v>
      </c>
      <c r="G9081" s="81" t="s">
        <v>42</v>
      </c>
      <c r="H9081" s="81" t="s">
        <v>224</v>
      </c>
      <c r="I9081" s="81" t="s">
        <v>224</v>
      </c>
      <c r="J9081" s="81" t="s">
        <v>6653</v>
      </c>
    </row>
    <row r="9082">
      <c r="A9082" s="83" t="s">
        <v>6784</v>
      </c>
      <c r="B9082" s="83" t="s">
        <v>6785</v>
      </c>
      <c r="C9082" s="81" t="s">
        <v>4082</v>
      </c>
      <c r="D9082" s="81" t="s">
        <v>224</v>
      </c>
      <c r="E9082" s="81" t="s">
        <v>6710</v>
      </c>
      <c r="F9082" s="81" t="s">
        <v>224</v>
      </c>
      <c r="G9082" s="81" t="s">
        <v>42</v>
      </c>
      <c r="H9082" s="81" t="s">
        <v>224</v>
      </c>
      <c r="I9082" s="81" t="s">
        <v>224</v>
      </c>
      <c r="J9082" s="81" t="s">
        <v>6653</v>
      </c>
    </row>
    <row r="9083">
      <c r="A9083" s="83" t="s">
        <v>6784</v>
      </c>
      <c r="B9083" s="83" t="s">
        <v>6785</v>
      </c>
      <c r="C9083" s="81" t="s">
        <v>4082</v>
      </c>
      <c r="D9083" s="81" t="s">
        <v>224</v>
      </c>
      <c r="E9083" s="81" t="s">
        <v>6711</v>
      </c>
      <c r="F9083" s="81" t="s">
        <v>224</v>
      </c>
      <c r="G9083" s="81" t="s">
        <v>42</v>
      </c>
      <c r="H9083" s="81" t="s">
        <v>224</v>
      </c>
      <c r="I9083" s="81" t="s">
        <v>224</v>
      </c>
      <c r="J9083" s="81" t="s">
        <v>6653</v>
      </c>
    </row>
    <row r="9084">
      <c r="A9084" s="83" t="s">
        <v>6784</v>
      </c>
      <c r="B9084" s="83" t="s">
        <v>6785</v>
      </c>
      <c r="C9084" s="81" t="s">
        <v>4082</v>
      </c>
      <c r="D9084" s="81" t="s">
        <v>224</v>
      </c>
      <c r="E9084" s="81" t="s">
        <v>6712</v>
      </c>
      <c r="F9084" s="81" t="s">
        <v>224</v>
      </c>
      <c r="G9084" s="81" t="s">
        <v>42</v>
      </c>
      <c r="H9084" s="81" t="s">
        <v>224</v>
      </c>
      <c r="I9084" s="81" t="s">
        <v>224</v>
      </c>
      <c r="J9084" s="81" t="s">
        <v>6653</v>
      </c>
    </row>
    <row r="9085">
      <c r="A9085" s="83" t="s">
        <v>6784</v>
      </c>
      <c r="B9085" s="83" t="s">
        <v>6785</v>
      </c>
      <c r="C9085" s="81" t="s">
        <v>4082</v>
      </c>
      <c r="D9085" s="81" t="s">
        <v>224</v>
      </c>
      <c r="E9085" s="81" t="s">
        <v>6713</v>
      </c>
      <c r="F9085" s="81" t="s">
        <v>224</v>
      </c>
      <c r="G9085" s="81" t="s">
        <v>42</v>
      </c>
      <c r="H9085" s="81" t="s">
        <v>224</v>
      </c>
      <c r="I9085" s="81" t="s">
        <v>224</v>
      </c>
      <c r="J9085" s="81" t="s">
        <v>6653</v>
      </c>
    </row>
    <row r="9086">
      <c r="A9086" s="83" t="s">
        <v>6784</v>
      </c>
      <c r="B9086" s="83" t="s">
        <v>6785</v>
      </c>
      <c r="C9086" s="81" t="s">
        <v>4082</v>
      </c>
      <c r="D9086" s="81" t="s">
        <v>224</v>
      </c>
      <c r="E9086" s="81" t="s">
        <v>6362</v>
      </c>
      <c r="F9086" s="81" t="s">
        <v>224</v>
      </c>
      <c r="G9086" s="81" t="s">
        <v>42</v>
      </c>
      <c r="H9086" s="81" t="s">
        <v>224</v>
      </c>
      <c r="I9086" s="81" t="s">
        <v>224</v>
      </c>
      <c r="J9086" s="81" t="s">
        <v>6653</v>
      </c>
    </row>
    <row r="9087">
      <c r="A9087" s="83" t="s">
        <v>6784</v>
      </c>
      <c r="B9087" s="83" t="s">
        <v>6785</v>
      </c>
      <c r="C9087" s="81" t="s">
        <v>4084</v>
      </c>
      <c r="D9087" s="81" t="s">
        <v>224</v>
      </c>
      <c r="E9087" s="81" t="s">
        <v>224</v>
      </c>
      <c r="F9087" s="81" t="s">
        <v>224</v>
      </c>
      <c r="G9087" s="81" t="s">
        <v>224</v>
      </c>
      <c r="H9087" s="81" t="s">
        <v>224</v>
      </c>
      <c r="I9087" s="81" t="s">
        <v>224</v>
      </c>
      <c r="J9087" s="81" t="s">
        <v>6787</v>
      </c>
    </row>
    <row r="9088">
      <c r="A9088" s="83" t="s">
        <v>6784</v>
      </c>
      <c r="B9088" s="83" t="s">
        <v>6785</v>
      </c>
      <c r="C9088" s="81" t="s">
        <v>4082</v>
      </c>
      <c r="D9088" s="81" t="s">
        <v>224</v>
      </c>
      <c r="E9088" s="81" t="s">
        <v>6781</v>
      </c>
      <c r="F9088" s="81" t="s">
        <v>224</v>
      </c>
      <c r="G9088" s="81" t="s">
        <v>224</v>
      </c>
      <c r="H9088" s="81" t="s">
        <v>224</v>
      </c>
      <c r="I9088" s="81" t="s">
        <v>224</v>
      </c>
      <c r="J9088" s="81" t="s">
        <v>6734</v>
      </c>
    </row>
    <row r="9089">
      <c r="A9089" s="83" t="s">
        <v>6784</v>
      </c>
      <c r="B9089" s="83" t="s">
        <v>6785</v>
      </c>
      <c r="C9089" s="81" t="s">
        <v>4082</v>
      </c>
      <c r="D9089" s="81" t="s">
        <v>224</v>
      </c>
      <c r="E9089" s="81" t="s">
        <v>6782</v>
      </c>
      <c r="F9089" s="81" t="s">
        <v>224</v>
      </c>
      <c r="G9089" s="81" t="s">
        <v>224</v>
      </c>
      <c r="H9089" s="81" t="s">
        <v>224</v>
      </c>
      <c r="I9089" s="81" t="s">
        <v>224</v>
      </c>
      <c r="J9089" s="81" t="s">
        <v>6734</v>
      </c>
    </row>
    <row r="9090">
      <c r="A9090" s="83" t="s">
        <v>6784</v>
      </c>
      <c r="B9090" s="83" t="s">
        <v>6785</v>
      </c>
      <c r="C9090" s="81" t="s">
        <v>4082</v>
      </c>
      <c r="D9090" s="81" t="s">
        <v>224</v>
      </c>
      <c r="E9090" s="81" t="s">
        <v>6768</v>
      </c>
      <c r="F9090" s="81" t="s">
        <v>224</v>
      </c>
      <c r="G9090" s="81" t="s">
        <v>224</v>
      </c>
      <c r="H9090" s="81" t="s">
        <v>224</v>
      </c>
      <c r="I9090" s="81" t="s">
        <v>224</v>
      </c>
      <c r="J9090" s="81" t="s">
        <v>6769</v>
      </c>
    </row>
    <row r="9091">
      <c r="A9091" s="83" t="s">
        <v>6784</v>
      </c>
      <c r="B9091" s="83" t="s">
        <v>6785</v>
      </c>
      <c r="C9091" s="81" t="s">
        <v>4082</v>
      </c>
      <c r="D9091" s="81" t="s">
        <v>224</v>
      </c>
      <c r="E9091" s="81" t="s">
        <v>6770</v>
      </c>
      <c r="F9091" s="81" t="s">
        <v>224</v>
      </c>
      <c r="G9091" s="81" t="s">
        <v>224</v>
      </c>
      <c r="H9091" s="81" t="s">
        <v>224</v>
      </c>
      <c r="I9091" s="81" t="s">
        <v>224</v>
      </c>
      <c r="J9091" s="81" t="s">
        <v>6771</v>
      </c>
    </row>
    <row r="9092">
      <c r="A9092" s="83" t="s">
        <v>6784</v>
      </c>
      <c r="B9092" s="83" t="s">
        <v>6785</v>
      </c>
      <c r="C9092" s="81" t="s">
        <v>4082</v>
      </c>
      <c r="D9092" s="81" t="s">
        <v>224</v>
      </c>
      <c r="E9092" s="81" t="s">
        <v>6637</v>
      </c>
      <c r="F9092" s="81" t="s">
        <v>224</v>
      </c>
      <c r="G9092" s="81" t="s">
        <v>224</v>
      </c>
      <c r="H9092" s="81" t="s">
        <v>224</v>
      </c>
      <c r="I9092" s="81" t="s">
        <v>224</v>
      </c>
      <c r="J9092" s="81" t="s">
        <v>6638</v>
      </c>
    </row>
    <row r="9093">
      <c r="A9093" s="83" t="s">
        <v>6784</v>
      </c>
      <c r="B9093" s="83" t="s">
        <v>6785</v>
      </c>
      <c r="C9093" s="81" t="s">
        <v>4082</v>
      </c>
      <c r="D9093" s="81" t="s">
        <v>224</v>
      </c>
      <c r="E9093" s="81" t="s">
        <v>6639</v>
      </c>
      <c r="F9093" s="81" t="s">
        <v>224</v>
      </c>
      <c r="G9093" s="81" t="s">
        <v>224</v>
      </c>
      <c r="H9093" s="81" t="s">
        <v>224</v>
      </c>
      <c r="I9093" s="81" t="s">
        <v>224</v>
      </c>
      <c r="J9093" s="81" t="s">
        <v>6638</v>
      </c>
    </row>
    <row r="9094">
      <c r="A9094" s="83" t="s">
        <v>6784</v>
      </c>
      <c r="B9094" s="83" t="s">
        <v>6785</v>
      </c>
      <c r="C9094" s="81" t="s">
        <v>4082</v>
      </c>
      <c r="D9094" s="81" t="s">
        <v>224</v>
      </c>
      <c r="E9094" s="81" t="s">
        <v>6733</v>
      </c>
      <c r="F9094" s="81" t="s">
        <v>224</v>
      </c>
      <c r="G9094" s="81" t="s">
        <v>224</v>
      </c>
      <c r="H9094" s="81" t="s">
        <v>224</v>
      </c>
      <c r="I9094" s="81" t="s">
        <v>224</v>
      </c>
      <c r="J9094" s="81" t="s">
        <v>6734</v>
      </c>
    </row>
    <row r="9095">
      <c r="A9095" s="83" t="s">
        <v>6784</v>
      </c>
      <c r="B9095" s="83" t="s">
        <v>6785</v>
      </c>
      <c r="C9095" s="81" t="s">
        <v>4082</v>
      </c>
      <c r="D9095" s="81" t="s">
        <v>224</v>
      </c>
      <c r="E9095" s="81" t="s">
        <v>6735</v>
      </c>
      <c r="F9095" s="81" t="s">
        <v>224</v>
      </c>
      <c r="G9095" s="81" t="s">
        <v>224</v>
      </c>
      <c r="H9095" s="81" t="s">
        <v>224</v>
      </c>
      <c r="I9095" s="81" t="s">
        <v>224</v>
      </c>
      <c r="J9095" s="81" t="s">
        <v>6734</v>
      </c>
    </row>
    <row r="9096">
      <c r="A9096" s="83" t="s">
        <v>6784</v>
      </c>
      <c r="B9096" s="83" t="s">
        <v>6785</v>
      </c>
      <c r="C9096" s="81" t="s">
        <v>4082</v>
      </c>
      <c r="D9096" s="81" t="s">
        <v>224</v>
      </c>
      <c r="E9096" s="81" t="s">
        <v>6458</v>
      </c>
      <c r="F9096" s="81" t="s">
        <v>224</v>
      </c>
      <c r="G9096" s="81" t="s">
        <v>224</v>
      </c>
      <c r="H9096" s="81" t="s">
        <v>224</v>
      </c>
      <c r="I9096" s="81" t="s">
        <v>224</v>
      </c>
      <c r="J9096" s="81" t="s">
        <v>6459</v>
      </c>
    </row>
    <row r="9097">
      <c r="A9097" s="83" t="s">
        <v>6784</v>
      </c>
      <c r="B9097" s="83" t="s">
        <v>6785</v>
      </c>
      <c r="C9097" s="81" t="s">
        <v>4082</v>
      </c>
      <c r="D9097" s="81" t="s">
        <v>224</v>
      </c>
      <c r="E9097" s="81" t="s">
        <v>6736</v>
      </c>
      <c r="F9097" s="81" t="s">
        <v>224</v>
      </c>
      <c r="G9097" s="81" t="s">
        <v>224</v>
      </c>
      <c r="H9097" s="81" t="s">
        <v>224</v>
      </c>
      <c r="I9097" s="81" t="s">
        <v>224</v>
      </c>
      <c r="J9097" s="81" t="s">
        <v>6734</v>
      </c>
    </row>
    <row r="9098">
      <c r="A9098" s="83" t="s">
        <v>6784</v>
      </c>
      <c r="B9098" s="83" t="s">
        <v>6785</v>
      </c>
      <c r="C9098" s="81" t="s">
        <v>4082</v>
      </c>
      <c r="D9098" s="81" t="s">
        <v>224</v>
      </c>
      <c r="E9098" s="81" t="s">
        <v>6460</v>
      </c>
      <c r="F9098" s="81" t="s">
        <v>224</v>
      </c>
      <c r="G9098" s="81" t="s">
        <v>224</v>
      </c>
      <c r="H9098" s="81" t="s">
        <v>224</v>
      </c>
      <c r="I9098" s="81" t="s">
        <v>224</v>
      </c>
      <c r="J9098" s="81" t="s">
        <v>6461</v>
      </c>
    </row>
    <row r="9099">
      <c r="A9099" s="83" t="s">
        <v>6784</v>
      </c>
      <c r="B9099" s="83" t="s">
        <v>6785</v>
      </c>
      <c r="C9099" s="81" t="s">
        <v>4082</v>
      </c>
      <c r="D9099" s="81" t="s">
        <v>224</v>
      </c>
      <c r="E9099" s="81" t="s">
        <v>6462</v>
      </c>
      <c r="F9099" s="81" t="s">
        <v>224</v>
      </c>
      <c r="G9099" s="81" t="s">
        <v>224</v>
      </c>
      <c r="H9099" s="81" t="s">
        <v>224</v>
      </c>
      <c r="I9099" s="81" t="s">
        <v>224</v>
      </c>
      <c r="J9099" s="81" t="s">
        <v>6463</v>
      </c>
    </row>
    <row r="9100">
      <c r="A9100" s="83" t="s">
        <v>6784</v>
      </c>
      <c r="B9100" s="83" t="s">
        <v>6785</v>
      </c>
      <c r="C9100" s="81" t="s">
        <v>4082</v>
      </c>
      <c r="D9100" s="81" t="s">
        <v>224</v>
      </c>
      <c r="E9100" s="81" t="s">
        <v>6737</v>
      </c>
      <c r="F9100" s="81" t="s">
        <v>224</v>
      </c>
      <c r="G9100" s="81" t="s">
        <v>224</v>
      </c>
      <c r="H9100" s="81" t="s">
        <v>224</v>
      </c>
      <c r="I9100" s="81" t="s">
        <v>224</v>
      </c>
      <c r="J9100" s="81" t="s">
        <v>6734</v>
      </c>
    </row>
    <row r="9101">
      <c r="A9101" s="83" t="s">
        <v>6784</v>
      </c>
      <c r="B9101" s="83" t="s">
        <v>6785</v>
      </c>
      <c r="C9101" s="81" t="s">
        <v>4082</v>
      </c>
      <c r="D9101" s="81" t="s">
        <v>224</v>
      </c>
      <c r="E9101" s="81" t="s">
        <v>6464</v>
      </c>
      <c r="F9101" s="81" t="s">
        <v>224</v>
      </c>
      <c r="G9101" s="81" t="s">
        <v>224</v>
      </c>
      <c r="H9101" s="81" t="s">
        <v>224</v>
      </c>
      <c r="I9101" s="81" t="s">
        <v>224</v>
      </c>
      <c r="J9101" s="81" t="s">
        <v>6465</v>
      </c>
    </row>
    <row r="9102">
      <c r="A9102" s="83" t="s">
        <v>6784</v>
      </c>
      <c r="B9102" s="83" t="s">
        <v>6785</v>
      </c>
      <c r="C9102" s="81" t="s">
        <v>4082</v>
      </c>
      <c r="D9102" s="81" t="s">
        <v>224</v>
      </c>
      <c r="E9102" s="81" t="s">
        <v>6466</v>
      </c>
      <c r="F9102" s="81" t="s">
        <v>224</v>
      </c>
      <c r="G9102" s="81" t="s">
        <v>224</v>
      </c>
      <c r="H9102" s="81" t="s">
        <v>224</v>
      </c>
      <c r="I9102" s="81" t="s">
        <v>224</v>
      </c>
      <c r="J9102" s="81" t="s">
        <v>6467</v>
      </c>
    </row>
    <row r="9103">
      <c r="A9103" s="83" t="s">
        <v>6784</v>
      </c>
      <c r="B9103" s="83" t="s">
        <v>6785</v>
      </c>
      <c r="C9103" s="81" t="s">
        <v>4082</v>
      </c>
      <c r="D9103" s="81" t="s">
        <v>224</v>
      </c>
      <c r="E9103" s="81" t="s">
        <v>6468</v>
      </c>
      <c r="F9103" s="81" t="s">
        <v>224</v>
      </c>
      <c r="G9103" s="81" t="s">
        <v>224</v>
      </c>
      <c r="H9103" s="81" t="s">
        <v>224</v>
      </c>
      <c r="I9103" s="81" t="s">
        <v>224</v>
      </c>
      <c r="J9103" s="81" t="s">
        <v>6469</v>
      </c>
    </row>
    <row r="9104">
      <c r="A9104" s="83" t="s">
        <v>6784</v>
      </c>
      <c r="B9104" s="83" t="s">
        <v>6785</v>
      </c>
      <c r="C9104" s="81" t="s">
        <v>4082</v>
      </c>
      <c r="D9104" s="81" t="s">
        <v>224</v>
      </c>
      <c r="E9104" s="81" t="s">
        <v>6470</v>
      </c>
      <c r="F9104" s="81" t="s">
        <v>224</v>
      </c>
      <c r="G9104" s="81" t="s">
        <v>224</v>
      </c>
      <c r="H9104" s="81" t="s">
        <v>224</v>
      </c>
      <c r="I9104" s="81" t="s">
        <v>224</v>
      </c>
      <c r="J9104" s="81" t="s">
        <v>6471</v>
      </c>
    </row>
    <row r="9105">
      <c r="A9105" s="83" t="s">
        <v>6784</v>
      </c>
      <c r="B9105" s="83" t="s">
        <v>6785</v>
      </c>
      <c r="C9105" s="81" t="s">
        <v>4082</v>
      </c>
      <c r="D9105" s="81" t="s">
        <v>224</v>
      </c>
      <c r="E9105" s="81" t="s">
        <v>6472</v>
      </c>
      <c r="F9105" s="81" t="s">
        <v>224</v>
      </c>
      <c r="G9105" s="81" t="s">
        <v>224</v>
      </c>
      <c r="H9105" s="81" t="s">
        <v>224</v>
      </c>
      <c r="I9105" s="81" t="s">
        <v>224</v>
      </c>
      <c r="J9105" s="81" t="s">
        <v>6473</v>
      </c>
    </row>
    <row r="9106">
      <c r="A9106" s="83" t="s">
        <v>6784</v>
      </c>
      <c r="B9106" s="83" t="s">
        <v>6785</v>
      </c>
      <c r="C9106" s="81" t="s">
        <v>4082</v>
      </c>
      <c r="D9106" s="81" t="s">
        <v>224</v>
      </c>
      <c r="E9106" s="81" t="s">
        <v>6474</v>
      </c>
      <c r="F9106" s="81" t="s">
        <v>224</v>
      </c>
      <c r="G9106" s="81" t="s">
        <v>224</v>
      </c>
      <c r="H9106" s="81" t="s">
        <v>224</v>
      </c>
      <c r="I9106" s="81" t="s">
        <v>224</v>
      </c>
      <c r="J9106" s="81" t="s">
        <v>6475</v>
      </c>
    </row>
    <row r="9107">
      <c r="A9107" s="83" t="s">
        <v>6784</v>
      </c>
      <c r="B9107" s="83" t="s">
        <v>6785</v>
      </c>
      <c r="C9107" s="81" t="s">
        <v>4082</v>
      </c>
      <c r="D9107" s="81" t="s">
        <v>224</v>
      </c>
      <c r="E9107" s="81" t="s">
        <v>6476</v>
      </c>
      <c r="F9107" s="81" t="s">
        <v>224</v>
      </c>
      <c r="G9107" s="81" t="s">
        <v>224</v>
      </c>
      <c r="H9107" s="81" t="s">
        <v>224</v>
      </c>
      <c r="I9107" s="81" t="s">
        <v>224</v>
      </c>
      <c r="J9107" s="81" t="s">
        <v>6477</v>
      </c>
    </row>
    <row r="9108">
      <c r="A9108" s="83" t="s">
        <v>6784</v>
      </c>
      <c r="B9108" s="83" t="s">
        <v>6785</v>
      </c>
      <c r="C9108" s="81" t="s">
        <v>4082</v>
      </c>
      <c r="D9108" s="81" t="s">
        <v>224</v>
      </c>
      <c r="E9108" s="81" t="s">
        <v>6478</v>
      </c>
      <c r="F9108" s="81" t="s">
        <v>224</v>
      </c>
      <c r="G9108" s="81" t="s">
        <v>224</v>
      </c>
      <c r="H9108" s="81" t="s">
        <v>224</v>
      </c>
      <c r="I9108" s="81" t="s">
        <v>224</v>
      </c>
      <c r="J9108" s="81" t="s">
        <v>6479</v>
      </c>
    </row>
    <row r="9109">
      <c r="A9109" s="83" t="s">
        <v>6784</v>
      </c>
      <c r="B9109" s="83" t="s">
        <v>6785</v>
      </c>
      <c r="C9109" s="81" t="s">
        <v>4082</v>
      </c>
      <c r="D9109" s="81" t="s">
        <v>224</v>
      </c>
      <c r="E9109" s="81" t="s">
        <v>6480</v>
      </c>
      <c r="F9109" s="81" t="s">
        <v>224</v>
      </c>
      <c r="G9109" s="81" t="s">
        <v>224</v>
      </c>
      <c r="H9109" s="81" t="s">
        <v>224</v>
      </c>
      <c r="I9109" s="81" t="s">
        <v>224</v>
      </c>
      <c r="J9109" s="81" t="s">
        <v>6481</v>
      </c>
    </row>
    <row r="9110">
      <c r="A9110" s="83" t="s">
        <v>6784</v>
      </c>
      <c r="B9110" s="83" t="s">
        <v>6785</v>
      </c>
      <c r="C9110" s="81" t="s">
        <v>4082</v>
      </c>
      <c r="D9110" s="81" t="s">
        <v>224</v>
      </c>
      <c r="E9110" s="81" t="s">
        <v>6482</v>
      </c>
      <c r="F9110" s="81" t="s">
        <v>224</v>
      </c>
      <c r="G9110" s="81" t="s">
        <v>224</v>
      </c>
      <c r="H9110" s="81" t="s">
        <v>224</v>
      </c>
      <c r="I9110" s="81" t="s">
        <v>224</v>
      </c>
      <c r="J9110" s="81" t="s">
        <v>6483</v>
      </c>
    </row>
    <row r="9111">
      <c r="A9111" s="83" t="s">
        <v>6784</v>
      </c>
      <c r="B9111" s="83" t="s">
        <v>6785</v>
      </c>
      <c r="C9111" s="81" t="s">
        <v>4082</v>
      </c>
      <c r="D9111" s="81" t="s">
        <v>224</v>
      </c>
      <c r="E9111" s="81" t="s">
        <v>6484</v>
      </c>
      <c r="F9111" s="81" t="s">
        <v>224</v>
      </c>
      <c r="G9111" s="81" t="s">
        <v>224</v>
      </c>
      <c r="H9111" s="81" t="s">
        <v>224</v>
      </c>
      <c r="I9111" s="81" t="s">
        <v>224</v>
      </c>
      <c r="J9111" s="81" t="s">
        <v>6485</v>
      </c>
    </row>
    <row r="9112">
      <c r="A9112" s="83" t="s">
        <v>6784</v>
      </c>
      <c r="B9112" s="83" t="s">
        <v>6785</v>
      </c>
      <c r="C9112" s="81" t="s">
        <v>4082</v>
      </c>
      <c r="D9112" s="81" t="s">
        <v>224</v>
      </c>
      <c r="E9112" s="81" t="s">
        <v>6486</v>
      </c>
      <c r="F9112" s="81" t="s">
        <v>224</v>
      </c>
      <c r="G9112" s="81" t="s">
        <v>224</v>
      </c>
      <c r="H9112" s="81" t="s">
        <v>224</v>
      </c>
      <c r="I9112" s="81" t="s">
        <v>224</v>
      </c>
      <c r="J9112" s="81" t="s">
        <v>6487</v>
      </c>
    </row>
    <row r="9113">
      <c r="A9113" s="83" t="s">
        <v>6784</v>
      </c>
      <c r="B9113" s="83" t="s">
        <v>6785</v>
      </c>
      <c r="C9113" s="81" t="s">
        <v>4082</v>
      </c>
      <c r="D9113" s="81" t="s">
        <v>224</v>
      </c>
      <c r="E9113" s="81" t="s">
        <v>6488</v>
      </c>
      <c r="F9113" s="81" t="s">
        <v>224</v>
      </c>
      <c r="G9113" s="81" t="s">
        <v>224</v>
      </c>
      <c r="H9113" s="81" t="s">
        <v>224</v>
      </c>
      <c r="I9113" s="81" t="s">
        <v>224</v>
      </c>
      <c r="J9113" s="81" t="s">
        <v>6489</v>
      </c>
    </row>
    <row r="9114">
      <c r="A9114" s="83" t="s">
        <v>6784</v>
      </c>
      <c r="B9114" s="83" t="s">
        <v>6785</v>
      </c>
      <c r="C9114" s="81" t="s">
        <v>4082</v>
      </c>
      <c r="D9114" s="81" t="s">
        <v>224</v>
      </c>
      <c r="E9114" s="81" t="s">
        <v>6490</v>
      </c>
      <c r="F9114" s="81" t="s">
        <v>224</v>
      </c>
      <c r="G9114" s="81" t="s">
        <v>224</v>
      </c>
      <c r="H9114" s="81" t="s">
        <v>224</v>
      </c>
      <c r="I9114" s="81" t="s">
        <v>224</v>
      </c>
      <c r="J9114" s="81" t="s">
        <v>6491</v>
      </c>
    </row>
    <row r="9115">
      <c r="A9115" s="83" t="s">
        <v>6784</v>
      </c>
      <c r="B9115" s="83" t="s">
        <v>6785</v>
      </c>
      <c r="C9115" s="81" t="s">
        <v>4082</v>
      </c>
      <c r="D9115" s="81" t="s">
        <v>224</v>
      </c>
      <c r="E9115" s="81" t="s">
        <v>6492</v>
      </c>
      <c r="F9115" s="81" t="s">
        <v>224</v>
      </c>
      <c r="G9115" s="81" t="s">
        <v>224</v>
      </c>
      <c r="H9115" s="81" t="s">
        <v>224</v>
      </c>
      <c r="I9115" s="81" t="s">
        <v>224</v>
      </c>
      <c r="J9115" s="81" t="s">
        <v>6493</v>
      </c>
    </row>
    <row r="9116">
      <c r="A9116" s="83" t="s">
        <v>6784</v>
      </c>
      <c r="B9116" s="83" t="s">
        <v>6785</v>
      </c>
      <c r="C9116" s="81" t="s">
        <v>4082</v>
      </c>
      <c r="D9116" s="81" t="s">
        <v>224</v>
      </c>
      <c r="E9116" s="81" t="s">
        <v>6494</v>
      </c>
      <c r="F9116" s="81" t="s">
        <v>224</v>
      </c>
      <c r="G9116" s="81" t="s">
        <v>224</v>
      </c>
      <c r="H9116" s="81" t="s">
        <v>224</v>
      </c>
      <c r="I9116" s="81" t="s">
        <v>224</v>
      </c>
      <c r="J9116" s="81" t="s">
        <v>6495</v>
      </c>
    </row>
    <row r="9117">
      <c r="A9117" s="83" t="s">
        <v>6784</v>
      </c>
      <c r="B9117" s="83" t="s">
        <v>6785</v>
      </c>
      <c r="C9117" s="81" t="s">
        <v>4082</v>
      </c>
      <c r="D9117" s="81" t="s">
        <v>224</v>
      </c>
      <c r="E9117" s="81" t="s">
        <v>6496</v>
      </c>
      <c r="F9117" s="81" t="s">
        <v>224</v>
      </c>
      <c r="G9117" s="81" t="s">
        <v>224</v>
      </c>
      <c r="H9117" s="81" t="s">
        <v>224</v>
      </c>
      <c r="I9117" s="81" t="s">
        <v>224</v>
      </c>
      <c r="J9117" s="81" t="s">
        <v>6497</v>
      </c>
    </row>
    <row r="9118">
      <c r="A9118" s="83" t="s">
        <v>6784</v>
      </c>
      <c r="B9118" s="83" t="s">
        <v>6785</v>
      </c>
      <c r="C9118" s="81" t="s">
        <v>4082</v>
      </c>
      <c r="D9118" s="81" t="s">
        <v>224</v>
      </c>
      <c r="E9118" s="81" t="s">
        <v>6498</v>
      </c>
      <c r="F9118" s="81" t="s">
        <v>224</v>
      </c>
      <c r="G9118" s="81" t="s">
        <v>224</v>
      </c>
      <c r="H9118" s="81" t="s">
        <v>224</v>
      </c>
      <c r="I9118" s="81" t="s">
        <v>224</v>
      </c>
      <c r="J9118" s="81" t="s">
        <v>6499</v>
      </c>
    </row>
    <row r="9119">
      <c r="A9119" s="83" t="s">
        <v>6784</v>
      </c>
      <c r="B9119" s="83" t="s">
        <v>6785</v>
      </c>
      <c r="C9119" s="81" t="s">
        <v>4082</v>
      </c>
      <c r="D9119" s="81" t="s">
        <v>224</v>
      </c>
      <c r="E9119" s="81" t="s">
        <v>6500</v>
      </c>
      <c r="F9119" s="81" t="s">
        <v>224</v>
      </c>
      <c r="G9119" s="81" t="s">
        <v>224</v>
      </c>
      <c r="H9119" s="81" t="s">
        <v>224</v>
      </c>
      <c r="I9119" s="81" t="s">
        <v>224</v>
      </c>
      <c r="J9119" s="81" t="s">
        <v>6501</v>
      </c>
    </row>
    <row r="9120">
      <c r="A9120" s="83" t="s">
        <v>6784</v>
      </c>
      <c r="B9120" s="83" t="s">
        <v>6785</v>
      </c>
      <c r="C9120" s="81" t="s">
        <v>4082</v>
      </c>
      <c r="D9120" s="81" t="s">
        <v>224</v>
      </c>
      <c r="E9120" s="81" t="s">
        <v>6502</v>
      </c>
      <c r="F9120" s="81" t="s">
        <v>224</v>
      </c>
      <c r="G9120" s="81" t="s">
        <v>224</v>
      </c>
      <c r="H9120" s="81" t="s">
        <v>224</v>
      </c>
      <c r="I9120" s="81" t="s">
        <v>224</v>
      </c>
      <c r="J9120" s="81" t="s">
        <v>6491</v>
      </c>
    </row>
    <row r="9121">
      <c r="A9121" s="83" t="s">
        <v>6784</v>
      </c>
      <c r="B9121" s="83" t="s">
        <v>6785</v>
      </c>
      <c r="C9121" s="81" t="s">
        <v>4082</v>
      </c>
      <c r="D9121" s="81" t="s">
        <v>224</v>
      </c>
      <c r="E9121" s="81" t="s">
        <v>6503</v>
      </c>
      <c r="F9121" s="81" t="s">
        <v>224</v>
      </c>
      <c r="G9121" s="81" t="s">
        <v>224</v>
      </c>
      <c r="H9121" s="81" t="s">
        <v>224</v>
      </c>
      <c r="I9121" s="81" t="s">
        <v>224</v>
      </c>
      <c r="J9121" s="81" t="s">
        <v>6473</v>
      </c>
    </row>
    <row r="9122">
      <c r="A9122" s="83" t="s">
        <v>6784</v>
      </c>
      <c r="B9122" s="83" t="s">
        <v>6785</v>
      </c>
      <c r="C9122" s="81" t="s">
        <v>4082</v>
      </c>
      <c r="D9122" s="81" t="s">
        <v>224</v>
      </c>
      <c r="E9122" s="81" t="s">
        <v>6504</v>
      </c>
      <c r="F9122" s="81" t="s">
        <v>224</v>
      </c>
      <c r="G9122" s="81" t="s">
        <v>224</v>
      </c>
      <c r="H9122" s="81" t="s">
        <v>224</v>
      </c>
      <c r="I9122" s="81" t="s">
        <v>224</v>
      </c>
      <c r="J9122" s="81" t="s">
        <v>6489</v>
      </c>
    </row>
    <row r="9123">
      <c r="A9123" s="83" t="s">
        <v>6784</v>
      </c>
      <c r="B9123" s="83" t="s">
        <v>6785</v>
      </c>
      <c r="C9123" s="81" t="s">
        <v>4082</v>
      </c>
      <c r="D9123" s="81" t="s">
        <v>224</v>
      </c>
      <c r="E9123" s="81" t="s">
        <v>6505</v>
      </c>
      <c r="F9123" s="81" t="s">
        <v>224</v>
      </c>
      <c r="G9123" s="81" t="s">
        <v>224</v>
      </c>
      <c r="H9123" s="81" t="s">
        <v>224</v>
      </c>
      <c r="I9123" s="81" t="s">
        <v>224</v>
      </c>
      <c r="J9123" s="81" t="s">
        <v>6469</v>
      </c>
    </row>
    <row r="9124">
      <c r="A9124" s="83" t="s">
        <v>6784</v>
      </c>
      <c r="B9124" s="83" t="s">
        <v>6785</v>
      </c>
      <c r="C9124" s="81" t="s">
        <v>4082</v>
      </c>
      <c r="D9124" s="81" t="s">
        <v>224</v>
      </c>
      <c r="E9124" s="81" t="s">
        <v>6506</v>
      </c>
      <c r="F9124" s="81" t="s">
        <v>224</v>
      </c>
      <c r="G9124" s="81" t="s">
        <v>224</v>
      </c>
      <c r="H9124" s="81" t="s">
        <v>224</v>
      </c>
      <c r="I9124" s="81" t="s">
        <v>224</v>
      </c>
      <c r="J9124" s="81" t="s">
        <v>6499</v>
      </c>
    </row>
    <row r="9125">
      <c r="A9125" s="83" t="s">
        <v>6784</v>
      </c>
      <c r="B9125" s="83" t="s">
        <v>6785</v>
      </c>
      <c r="C9125" s="81" t="s">
        <v>4082</v>
      </c>
      <c r="D9125" s="81" t="s">
        <v>224</v>
      </c>
      <c r="E9125" s="81" t="s">
        <v>6507</v>
      </c>
      <c r="F9125" s="81" t="s">
        <v>224</v>
      </c>
      <c r="G9125" s="81" t="s">
        <v>224</v>
      </c>
      <c r="H9125" s="81" t="s">
        <v>224</v>
      </c>
      <c r="I9125" s="81" t="s">
        <v>224</v>
      </c>
      <c r="J9125" s="81" t="s">
        <v>6485</v>
      </c>
    </row>
    <row r="9126">
      <c r="A9126" s="83" t="s">
        <v>6784</v>
      </c>
      <c r="B9126" s="83" t="s">
        <v>6785</v>
      </c>
      <c r="C9126" s="81" t="s">
        <v>4082</v>
      </c>
      <c r="D9126" s="81" t="s">
        <v>224</v>
      </c>
      <c r="E9126" s="81" t="s">
        <v>6508</v>
      </c>
      <c r="F9126" s="81" t="s">
        <v>224</v>
      </c>
      <c r="G9126" s="81" t="s">
        <v>224</v>
      </c>
      <c r="H9126" s="81" t="s">
        <v>224</v>
      </c>
      <c r="I9126" s="81" t="s">
        <v>224</v>
      </c>
      <c r="J9126" s="81" t="s">
        <v>6501</v>
      </c>
    </row>
    <row r="9127">
      <c r="A9127" s="83" t="s">
        <v>6784</v>
      </c>
      <c r="B9127" s="83" t="s">
        <v>6785</v>
      </c>
      <c r="C9127" s="81" t="s">
        <v>4082</v>
      </c>
      <c r="D9127" s="81" t="s">
        <v>224</v>
      </c>
      <c r="E9127" s="81" t="s">
        <v>6509</v>
      </c>
      <c r="F9127" s="81" t="s">
        <v>224</v>
      </c>
      <c r="G9127" s="81" t="s">
        <v>224</v>
      </c>
      <c r="H9127" s="81" t="s">
        <v>224</v>
      </c>
      <c r="I9127" s="81" t="s">
        <v>224</v>
      </c>
      <c r="J9127" s="81" t="s">
        <v>6481</v>
      </c>
    </row>
    <row r="9128">
      <c r="A9128" s="83" t="s">
        <v>6784</v>
      </c>
      <c r="B9128" s="83" t="s">
        <v>6785</v>
      </c>
      <c r="C9128" s="81" t="s">
        <v>4082</v>
      </c>
      <c r="D9128" s="81" t="s">
        <v>224</v>
      </c>
      <c r="E9128" s="81" t="s">
        <v>6510</v>
      </c>
      <c r="F9128" s="81" t="s">
        <v>224</v>
      </c>
      <c r="G9128" s="81" t="s">
        <v>224</v>
      </c>
      <c r="H9128" s="81" t="s">
        <v>224</v>
      </c>
      <c r="I9128" s="81" t="s">
        <v>224</v>
      </c>
      <c r="J9128" s="81" t="s">
        <v>6495</v>
      </c>
    </row>
    <row r="9129">
      <c r="A9129" s="83" t="s">
        <v>6784</v>
      </c>
      <c r="B9129" s="83" t="s">
        <v>6785</v>
      </c>
      <c r="C9129" s="81" t="s">
        <v>4082</v>
      </c>
      <c r="D9129" s="81" t="s">
        <v>224</v>
      </c>
      <c r="E9129" s="81" t="s">
        <v>6511</v>
      </c>
      <c r="F9129" s="81" t="s">
        <v>224</v>
      </c>
      <c r="G9129" s="81" t="s">
        <v>224</v>
      </c>
      <c r="H9129" s="81" t="s">
        <v>224</v>
      </c>
      <c r="I9129" s="81" t="s">
        <v>224</v>
      </c>
      <c r="J9129" s="81" t="s">
        <v>6477</v>
      </c>
    </row>
    <row r="9130">
      <c r="A9130" s="83" t="s">
        <v>6784</v>
      </c>
      <c r="B9130" s="83" t="s">
        <v>6785</v>
      </c>
      <c r="C9130" s="81" t="s">
        <v>4082</v>
      </c>
      <c r="D9130" s="81" t="s">
        <v>224</v>
      </c>
      <c r="E9130" s="81" t="s">
        <v>6512</v>
      </c>
      <c r="F9130" s="81" t="s">
        <v>224</v>
      </c>
      <c r="G9130" s="81" t="s">
        <v>224</v>
      </c>
      <c r="H9130" s="81" t="s">
        <v>224</v>
      </c>
      <c r="I9130" s="81" t="s">
        <v>224</v>
      </c>
      <c r="J9130" s="81" t="s">
        <v>6493</v>
      </c>
    </row>
    <row r="9131">
      <c r="A9131" s="83" t="s">
        <v>6784</v>
      </c>
      <c r="B9131" s="83" t="s">
        <v>6785</v>
      </c>
      <c r="C9131" s="81" t="s">
        <v>4082</v>
      </c>
      <c r="D9131" s="81" t="s">
        <v>224</v>
      </c>
      <c r="E9131" s="81" t="s">
        <v>6513</v>
      </c>
      <c r="F9131" s="81" t="s">
        <v>224</v>
      </c>
      <c r="G9131" s="81" t="s">
        <v>224</v>
      </c>
      <c r="H9131" s="81" t="s">
        <v>224</v>
      </c>
      <c r="I9131" s="81" t="s">
        <v>224</v>
      </c>
      <c r="J9131" s="81" t="s">
        <v>6475</v>
      </c>
    </row>
    <row r="9132">
      <c r="A9132" s="83" t="s">
        <v>6784</v>
      </c>
      <c r="B9132" s="83" t="s">
        <v>6785</v>
      </c>
      <c r="C9132" s="81" t="s">
        <v>4082</v>
      </c>
      <c r="D9132" s="81" t="s">
        <v>224</v>
      </c>
      <c r="E9132" s="81" t="s">
        <v>6514</v>
      </c>
      <c r="F9132" s="81" t="s">
        <v>224</v>
      </c>
      <c r="G9132" s="81" t="s">
        <v>224</v>
      </c>
      <c r="H9132" s="81" t="s">
        <v>224</v>
      </c>
      <c r="I9132" s="81" t="s">
        <v>224</v>
      </c>
      <c r="J9132" s="81" t="s">
        <v>6471</v>
      </c>
    </row>
    <row r="9133">
      <c r="A9133" s="83" t="s">
        <v>6784</v>
      </c>
      <c r="B9133" s="83" t="s">
        <v>6785</v>
      </c>
      <c r="C9133" s="81" t="s">
        <v>4082</v>
      </c>
      <c r="D9133" s="81" t="s">
        <v>224</v>
      </c>
      <c r="E9133" s="81" t="s">
        <v>6515</v>
      </c>
      <c r="F9133" s="81" t="s">
        <v>224</v>
      </c>
      <c r="G9133" s="81" t="s">
        <v>224</v>
      </c>
      <c r="H9133" s="81" t="s">
        <v>224</v>
      </c>
      <c r="I9133" s="81" t="s">
        <v>224</v>
      </c>
      <c r="J9133" s="81" t="s">
        <v>6483</v>
      </c>
    </row>
    <row r="9134">
      <c r="A9134" s="83" t="s">
        <v>6784</v>
      </c>
      <c r="B9134" s="83" t="s">
        <v>6785</v>
      </c>
      <c r="C9134" s="81" t="s">
        <v>4082</v>
      </c>
      <c r="D9134" s="81" t="s">
        <v>224</v>
      </c>
      <c r="E9134" s="81" t="s">
        <v>6516</v>
      </c>
      <c r="F9134" s="81" t="s">
        <v>224</v>
      </c>
      <c r="G9134" s="81" t="s">
        <v>224</v>
      </c>
      <c r="H9134" s="81" t="s">
        <v>224</v>
      </c>
      <c r="I9134" s="81" t="s">
        <v>224</v>
      </c>
      <c r="J9134" s="81" t="s">
        <v>6497</v>
      </c>
    </row>
    <row r="9135">
      <c r="A9135" s="83" t="s">
        <v>6784</v>
      </c>
      <c r="B9135" s="83" t="s">
        <v>6785</v>
      </c>
      <c r="C9135" s="81" t="s">
        <v>4082</v>
      </c>
      <c r="D9135" s="81" t="s">
        <v>224</v>
      </c>
      <c r="E9135" s="81" t="s">
        <v>6517</v>
      </c>
      <c r="F9135" s="81" t="s">
        <v>224</v>
      </c>
      <c r="G9135" s="81" t="s">
        <v>224</v>
      </c>
      <c r="H9135" s="81" t="s">
        <v>224</v>
      </c>
      <c r="I9135" s="81" t="s">
        <v>224</v>
      </c>
      <c r="J9135" s="81" t="s">
        <v>6479</v>
      </c>
    </row>
    <row r="9136">
      <c r="A9136" s="83" t="s">
        <v>6784</v>
      </c>
      <c r="B9136" s="83" t="s">
        <v>6785</v>
      </c>
      <c r="C9136" s="81" t="s">
        <v>4082</v>
      </c>
      <c r="D9136" s="81" t="s">
        <v>224</v>
      </c>
      <c r="E9136" s="81" t="s">
        <v>6518</v>
      </c>
      <c r="F9136" s="81" t="s">
        <v>224</v>
      </c>
      <c r="G9136" s="81" t="s">
        <v>224</v>
      </c>
      <c r="H9136" s="81" t="s">
        <v>224</v>
      </c>
      <c r="I9136" s="81" t="s">
        <v>224</v>
      </c>
      <c r="J9136" s="81" t="s">
        <v>6487</v>
      </c>
    </row>
    <row r="9137">
      <c r="A9137" s="83" t="s">
        <v>6784</v>
      </c>
      <c r="B9137" s="83" t="s">
        <v>6785</v>
      </c>
      <c r="C9137" s="81" t="s">
        <v>4082</v>
      </c>
      <c r="D9137" s="81" t="s">
        <v>224</v>
      </c>
      <c r="E9137" s="81" t="s">
        <v>6519</v>
      </c>
      <c r="F9137" s="81" t="s">
        <v>224</v>
      </c>
      <c r="G9137" s="81" t="s">
        <v>224</v>
      </c>
      <c r="H9137" s="81" t="s">
        <v>224</v>
      </c>
      <c r="I9137" s="81" t="s">
        <v>224</v>
      </c>
      <c r="J9137" s="81" t="s">
        <v>6467</v>
      </c>
    </row>
    <row r="9138">
      <c r="A9138" s="83" t="s">
        <v>6784</v>
      </c>
      <c r="B9138" s="83" t="s">
        <v>6785</v>
      </c>
      <c r="C9138" s="81" t="s">
        <v>4082</v>
      </c>
      <c r="D9138" s="81" t="s">
        <v>224</v>
      </c>
      <c r="E9138" s="81" t="s">
        <v>6520</v>
      </c>
      <c r="F9138" s="81" t="s">
        <v>224</v>
      </c>
      <c r="G9138" s="81" t="s">
        <v>224</v>
      </c>
      <c r="H9138" s="81" t="s">
        <v>224</v>
      </c>
      <c r="I9138" s="81" t="s">
        <v>224</v>
      </c>
      <c r="J9138" s="81" t="s">
        <v>6521</v>
      </c>
    </row>
    <row r="9139">
      <c r="A9139" s="83" t="s">
        <v>6784</v>
      </c>
      <c r="B9139" s="83" t="s">
        <v>6785</v>
      </c>
      <c r="C9139" s="81" t="s">
        <v>4082</v>
      </c>
      <c r="D9139" s="81" t="s">
        <v>224</v>
      </c>
      <c r="E9139" s="81" t="s">
        <v>6522</v>
      </c>
      <c r="F9139" s="81" t="s">
        <v>224</v>
      </c>
      <c r="G9139" s="81" t="s">
        <v>224</v>
      </c>
      <c r="H9139" s="81" t="s">
        <v>224</v>
      </c>
      <c r="I9139" s="81" t="s">
        <v>224</v>
      </c>
      <c r="J9139" s="81" t="s">
        <v>6521</v>
      </c>
    </row>
    <row r="9140">
      <c r="A9140" s="83" t="s">
        <v>6784</v>
      </c>
      <c r="B9140" s="83" t="s">
        <v>6785</v>
      </c>
      <c r="C9140" s="81" t="s">
        <v>4082</v>
      </c>
      <c r="D9140" s="81" t="s">
        <v>224</v>
      </c>
      <c r="E9140" s="81" t="s">
        <v>6523</v>
      </c>
      <c r="F9140" s="81" t="s">
        <v>224</v>
      </c>
      <c r="G9140" s="81" t="s">
        <v>224</v>
      </c>
      <c r="H9140" s="81" t="s">
        <v>224</v>
      </c>
      <c r="I9140" s="81" t="s">
        <v>224</v>
      </c>
      <c r="J9140" s="81" t="s">
        <v>6524</v>
      </c>
    </row>
    <row r="9141">
      <c r="A9141" s="83" t="s">
        <v>6784</v>
      </c>
      <c r="B9141" s="83" t="s">
        <v>6785</v>
      </c>
      <c r="C9141" s="81" t="s">
        <v>4082</v>
      </c>
      <c r="D9141" s="81" t="s">
        <v>224</v>
      </c>
      <c r="E9141" s="81" t="s">
        <v>6525</v>
      </c>
      <c r="F9141" s="81" t="s">
        <v>224</v>
      </c>
      <c r="G9141" s="81" t="s">
        <v>224</v>
      </c>
      <c r="H9141" s="81" t="s">
        <v>224</v>
      </c>
      <c r="I9141" s="81" t="s">
        <v>224</v>
      </c>
      <c r="J9141" s="81" t="s">
        <v>6526</v>
      </c>
    </row>
    <row r="9142">
      <c r="A9142" s="83" t="s">
        <v>6784</v>
      </c>
      <c r="B9142" s="83" t="s">
        <v>6785</v>
      </c>
      <c r="C9142" s="81" t="s">
        <v>4082</v>
      </c>
      <c r="D9142" s="81" t="s">
        <v>224</v>
      </c>
      <c r="E9142" s="81" t="s">
        <v>6527</v>
      </c>
      <c r="F9142" s="81" t="s">
        <v>224</v>
      </c>
      <c r="G9142" s="81" t="s">
        <v>224</v>
      </c>
      <c r="H9142" s="81" t="s">
        <v>224</v>
      </c>
      <c r="I9142" s="81" t="s">
        <v>224</v>
      </c>
      <c r="J9142" s="81" t="s">
        <v>6528</v>
      </c>
    </row>
    <row r="9143">
      <c r="A9143" s="83" t="s">
        <v>6784</v>
      </c>
      <c r="B9143" s="83" t="s">
        <v>6785</v>
      </c>
      <c r="C9143" s="81" t="s">
        <v>4082</v>
      </c>
      <c r="D9143" s="81" t="s">
        <v>224</v>
      </c>
      <c r="E9143" s="81" t="s">
        <v>6738</v>
      </c>
      <c r="F9143" s="81" t="s">
        <v>224</v>
      </c>
      <c r="G9143" s="81" t="s">
        <v>224</v>
      </c>
      <c r="H9143" s="81" t="s">
        <v>224</v>
      </c>
      <c r="I9143" s="81" t="s">
        <v>224</v>
      </c>
      <c r="J9143" s="81" t="s">
        <v>6734</v>
      </c>
    </row>
    <row r="9144">
      <c r="A9144" s="83" t="s">
        <v>6784</v>
      </c>
      <c r="B9144" s="83" t="s">
        <v>6785</v>
      </c>
      <c r="C9144" s="81" t="s">
        <v>4082</v>
      </c>
      <c r="D9144" s="81" t="s">
        <v>224</v>
      </c>
      <c r="E9144" s="81" t="s">
        <v>6529</v>
      </c>
      <c r="F9144" s="81" t="s">
        <v>224</v>
      </c>
      <c r="G9144" s="81" t="s">
        <v>224</v>
      </c>
      <c r="H9144" s="81" t="s">
        <v>224</v>
      </c>
      <c r="I9144" s="81" t="s">
        <v>224</v>
      </c>
      <c r="J9144" s="81" t="s">
        <v>6530</v>
      </c>
    </row>
    <row r="9145">
      <c r="A9145" s="83" t="s">
        <v>6784</v>
      </c>
      <c r="B9145" s="83" t="s">
        <v>6785</v>
      </c>
      <c r="C9145" s="81" t="s">
        <v>4082</v>
      </c>
      <c r="D9145" s="81" t="s">
        <v>224</v>
      </c>
      <c r="E9145" s="81" t="s">
        <v>6531</v>
      </c>
      <c r="F9145" s="81" t="s">
        <v>224</v>
      </c>
      <c r="G9145" s="81" t="s">
        <v>224</v>
      </c>
      <c r="H9145" s="81" t="s">
        <v>224</v>
      </c>
      <c r="I9145" s="81" t="s">
        <v>224</v>
      </c>
      <c r="J9145" s="81" t="s">
        <v>6530</v>
      </c>
    </row>
    <row r="9146">
      <c r="A9146" s="83" t="s">
        <v>6784</v>
      </c>
      <c r="B9146" s="83" t="s">
        <v>6785</v>
      </c>
      <c r="C9146" s="81" t="s">
        <v>4082</v>
      </c>
      <c r="D9146" s="81" t="s">
        <v>224</v>
      </c>
      <c r="E9146" s="81" t="s">
        <v>6532</v>
      </c>
      <c r="F9146" s="81" t="s">
        <v>224</v>
      </c>
      <c r="G9146" s="81" t="s">
        <v>224</v>
      </c>
      <c r="H9146" s="81" t="s">
        <v>224</v>
      </c>
      <c r="I9146" s="81" t="s">
        <v>224</v>
      </c>
      <c r="J9146" s="81" t="s">
        <v>6533</v>
      </c>
    </row>
    <row r="9147">
      <c r="A9147" s="83" t="s">
        <v>6784</v>
      </c>
      <c r="B9147" s="83" t="s">
        <v>6785</v>
      </c>
      <c r="C9147" s="81" t="s">
        <v>4082</v>
      </c>
      <c r="D9147" s="81" t="s">
        <v>224</v>
      </c>
      <c r="E9147" s="81" t="s">
        <v>6534</v>
      </c>
      <c r="F9147" s="81" t="s">
        <v>224</v>
      </c>
      <c r="G9147" s="81" t="s">
        <v>224</v>
      </c>
      <c r="H9147" s="81" t="s">
        <v>224</v>
      </c>
      <c r="I9147" s="81" t="s">
        <v>224</v>
      </c>
      <c r="J9147" s="81" t="s">
        <v>6533</v>
      </c>
    </row>
    <row r="9148">
      <c r="A9148" s="83" t="s">
        <v>6784</v>
      </c>
      <c r="B9148" s="83" t="s">
        <v>6785</v>
      </c>
      <c r="C9148" s="81" t="s">
        <v>4082</v>
      </c>
      <c r="D9148" s="81" t="s">
        <v>224</v>
      </c>
      <c r="E9148" s="81" t="s">
        <v>6535</v>
      </c>
      <c r="F9148" s="81" t="s">
        <v>224</v>
      </c>
      <c r="G9148" s="81" t="s">
        <v>224</v>
      </c>
      <c r="H9148" s="81" t="s">
        <v>224</v>
      </c>
      <c r="I9148" s="81" t="s">
        <v>224</v>
      </c>
      <c r="J9148" s="81" t="s">
        <v>6536</v>
      </c>
    </row>
    <row r="9149">
      <c r="A9149" s="83" t="s">
        <v>6784</v>
      </c>
      <c r="B9149" s="83" t="s">
        <v>6785</v>
      </c>
      <c r="C9149" s="81" t="s">
        <v>4082</v>
      </c>
      <c r="D9149" s="81" t="s">
        <v>224</v>
      </c>
      <c r="E9149" s="81" t="s">
        <v>6537</v>
      </c>
      <c r="F9149" s="81" t="s">
        <v>224</v>
      </c>
      <c r="G9149" s="81" t="s">
        <v>224</v>
      </c>
      <c r="H9149" s="81" t="s">
        <v>224</v>
      </c>
      <c r="I9149" s="81" t="s">
        <v>224</v>
      </c>
      <c r="J9149" s="81" t="s">
        <v>6536</v>
      </c>
    </row>
    <row r="9150">
      <c r="A9150" s="83" t="s">
        <v>6784</v>
      </c>
      <c r="B9150" s="83" t="s">
        <v>6785</v>
      </c>
      <c r="C9150" s="81" t="s">
        <v>4082</v>
      </c>
      <c r="D9150" s="81" t="s">
        <v>224</v>
      </c>
      <c r="E9150" s="81" t="s">
        <v>6538</v>
      </c>
      <c r="F9150" s="81" t="s">
        <v>224</v>
      </c>
      <c r="G9150" s="81" t="s">
        <v>224</v>
      </c>
      <c r="H9150" s="81" t="s">
        <v>224</v>
      </c>
      <c r="I9150" s="81" t="s">
        <v>224</v>
      </c>
      <c r="J9150" s="81" t="s">
        <v>6539</v>
      </c>
    </row>
    <row r="9151">
      <c r="A9151" s="83" t="s">
        <v>6784</v>
      </c>
      <c r="B9151" s="83" t="s">
        <v>6785</v>
      </c>
      <c r="C9151" s="81" t="s">
        <v>4082</v>
      </c>
      <c r="D9151" s="81" t="s">
        <v>224</v>
      </c>
      <c r="E9151" s="81" t="s">
        <v>6540</v>
      </c>
      <c r="F9151" s="81" t="s">
        <v>224</v>
      </c>
      <c r="G9151" s="81" t="s">
        <v>224</v>
      </c>
      <c r="H9151" s="81" t="s">
        <v>224</v>
      </c>
      <c r="I9151" s="81" t="s">
        <v>224</v>
      </c>
      <c r="J9151" s="81" t="s">
        <v>6539</v>
      </c>
    </row>
    <row r="9152">
      <c r="A9152" s="83" t="s">
        <v>6784</v>
      </c>
      <c r="B9152" s="83" t="s">
        <v>6785</v>
      </c>
      <c r="C9152" s="81" t="s">
        <v>4082</v>
      </c>
      <c r="D9152" s="81" t="s">
        <v>224</v>
      </c>
      <c r="E9152" s="81" t="s">
        <v>6541</v>
      </c>
      <c r="F9152" s="81" t="s">
        <v>224</v>
      </c>
      <c r="G9152" s="81" t="s">
        <v>224</v>
      </c>
      <c r="H9152" s="81" t="s">
        <v>224</v>
      </c>
      <c r="I9152" s="81" t="s">
        <v>224</v>
      </c>
      <c r="J9152" s="81" t="s">
        <v>6542</v>
      </c>
    </row>
    <row r="9153">
      <c r="A9153" s="83" t="s">
        <v>6784</v>
      </c>
      <c r="B9153" s="83" t="s">
        <v>6785</v>
      </c>
      <c r="C9153" s="81" t="s">
        <v>4082</v>
      </c>
      <c r="D9153" s="81" t="s">
        <v>224</v>
      </c>
      <c r="E9153" s="81" t="s">
        <v>6543</v>
      </c>
      <c r="F9153" s="81" t="s">
        <v>224</v>
      </c>
      <c r="G9153" s="81" t="s">
        <v>224</v>
      </c>
      <c r="H9153" s="81" t="s">
        <v>224</v>
      </c>
      <c r="I9153" s="81" t="s">
        <v>224</v>
      </c>
      <c r="J9153" s="81" t="s">
        <v>6542</v>
      </c>
    </row>
    <row r="9154">
      <c r="A9154" s="83" t="s">
        <v>6784</v>
      </c>
      <c r="B9154" s="83" t="s">
        <v>6785</v>
      </c>
      <c r="C9154" s="81" t="s">
        <v>4082</v>
      </c>
      <c r="D9154" s="81" t="s">
        <v>224</v>
      </c>
      <c r="E9154" s="81" t="s">
        <v>6544</v>
      </c>
      <c r="F9154" s="81" t="s">
        <v>224</v>
      </c>
      <c r="G9154" s="81" t="s">
        <v>224</v>
      </c>
      <c r="H9154" s="81" t="s">
        <v>224</v>
      </c>
      <c r="I9154" s="81" t="s">
        <v>224</v>
      </c>
      <c r="J9154" s="81" t="s">
        <v>6545</v>
      </c>
    </row>
    <row r="9155">
      <c r="A9155" s="83" t="s">
        <v>6784</v>
      </c>
      <c r="B9155" s="83" t="s">
        <v>6785</v>
      </c>
      <c r="C9155" s="81" t="s">
        <v>4082</v>
      </c>
      <c r="D9155" s="81" t="s">
        <v>224</v>
      </c>
      <c r="E9155" s="81" t="s">
        <v>6546</v>
      </c>
      <c r="F9155" s="81" t="s">
        <v>224</v>
      </c>
      <c r="G9155" s="81" t="s">
        <v>224</v>
      </c>
      <c r="H9155" s="81" t="s">
        <v>224</v>
      </c>
      <c r="I9155" s="81" t="s">
        <v>224</v>
      </c>
      <c r="J9155" s="81" t="s">
        <v>6545</v>
      </c>
    </row>
    <row r="9156">
      <c r="A9156" s="83" t="s">
        <v>6784</v>
      </c>
      <c r="B9156" s="83" t="s">
        <v>6785</v>
      </c>
      <c r="C9156" s="81" t="s">
        <v>4082</v>
      </c>
      <c r="D9156" s="81" t="s">
        <v>224</v>
      </c>
      <c r="E9156" s="81" t="s">
        <v>6547</v>
      </c>
      <c r="F9156" s="81" t="s">
        <v>224</v>
      </c>
      <c r="G9156" s="81" t="s">
        <v>224</v>
      </c>
      <c r="H9156" s="81" t="s">
        <v>224</v>
      </c>
      <c r="I9156" s="81" t="s">
        <v>224</v>
      </c>
      <c r="J9156" s="81" t="s">
        <v>6548</v>
      </c>
    </row>
    <row r="9157">
      <c r="A9157" s="83" t="s">
        <v>6784</v>
      </c>
      <c r="B9157" s="83" t="s">
        <v>6785</v>
      </c>
      <c r="C9157" s="81" t="s">
        <v>4082</v>
      </c>
      <c r="D9157" s="81" t="s">
        <v>224</v>
      </c>
      <c r="E9157" s="81" t="s">
        <v>6549</v>
      </c>
      <c r="F9157" s="81" t="s">
        <v>224</v>
      </c>
      <c r="G9157" s="81" t="s">
        <v>224</v>
      </c>
      <c r="H9157" s="81" t="s">
        <v>224</v>
      </c>
      <c r="I9157" s="81" t="s">
        <v>224</v>
      </c>
      <c r="J9157" s="81" t="s">
        <v>6548</v>
      </c>
    </row>
    <row r="9158">
      <c r="A9158" s="83" t="s">
        <v>6784</v>
      </c>
      <c r="B9158" s="83" t="s">
        <v>6785</v>
      </c>
      <c r="C9158" s="81" t="s">
        <v>4082</v>
      </c>
      <c r="D9158" s="81" t="s">
        <v>224</v>
      </c>
      <c r="E9158" s="81" t="s">
        <v>6550</v>
      </c>
      <c r="F9158" s="81" t="s">
        <v>224</v>
      </c>
      <c r="G9158" s="81" t="s">
        <v>224</v>
      </c>
      <c r="H9158" s="81" t="s">
        <v>224</v>
      </c>
      <c r="I9158" s="81" t="s">
        <v>224</v>
      </c>
      <c r="J9158" s="81" t="s">
        <v>6551</v>
      </c>
    </row>
    <row r="9159">
      <c r="A9159" s="83" t="s">
        <v>6784</v>
      </c>
      <c r="B9159" s="83" t="s">
        <v>6785</v>
      </c>
      <c r="C9159" s="81" t="s">
        <v>4082</v>
      </c>
      <c r="D9159" s="81" t="s">
        <v>224</v>
      </c>
      <c r="E9159" s="81" t="s">
        <v>6552</v>
      </c>
      <c r="F9159" s="81" t="s">
        <v>224</v>
      </c>
      <c r="G9159" s="81" t="s">
        <v>224</v>
      </c>
      <c r="H9159" s="81" t="s">
        <v>224</v>
      </c>
      <c r="I9159" s="81" t="s">
        <v>224</v>
      </c>
      <c r="J9159" s="81" t="s">
        <v>6551</v>
      </c>
    </row>
    <row r="9160">
      <c r="A9160" s="83" t="s">
        <v>6784</v>
      </c>
      <c r="B9160" s="83" t="s">
        <v>6785</v>
      </c>
      <c r="C9160" s="81" t="s">
        <v>4082</v>
      </c>
      <c r="D9160" s="81" t="s">
        <v>224</v>
      </c>
      <c r="E9160" s="81" t="s">
        <v>6553</v>
      </c>
      <c r="F9160" s="81" t="s">
        <v>224</v>
      </c>
      <c r="G9160" s="81" t="s">
        <v>224</v>
      </c>
      <c r="H9160" s="81" t="s">
        <v>224</v>
      </c>
      <c r="I9160" s="81" t="s">
        <v>224</v>
      </c>
      <c r="J9160" s="81" t="s">
        <v>6554</v>
      </c>
    </row>
    <row r="9161">
      <c r="A9161" s="83" t="s">
        <v>6784</v>
      </c>
      <c r="B9161" s="83" t="s">
        <v>6785</v>
      </c>
      <c r="C9161" s="81" t="s">
        <v>4082</v>
      </c>
      <c r="D9161" s="81" t="s">
        <v>224</v>
      </c>
      <c r="E9161" s="81" t="s">
        <v>6555</v>
      </c>
      <c r="F9161" s="81" t="s">
        <v>224</v>
      </c>
      <c r="G9161" s="81" t="s">
        <v>224</v>
      </c>
      <c r="H9161" s="81" t="s">
        <v>224</v>
      </c>
      <c r="I9161" s="81" t="s">
        <v>224</v>
      </c>
      <c r="J9161" s="81" t="s">
        <v>6554</v>
      </c>
    </row>
    <row r="9162">
      <c r="A9162" s="83" t="s">
        <v>6784</v>
      </c>
      <c r="B9162" s="83" t="s">
        <v>6785</v>
      </c>
      <c r="C9162" s="81" t="s">
        <v>4082</v>
      </c>
      <c r="D9162" s="81" t="s">
        <v>224</v>
      </c>
      <c r="E9162" s="81" t="s">
        <v>6556</v>
      </c>
      <c r="F9162" s="81" t="s">
        <v>224</v>
      </c>
      <c r="G9162" s="81" t="s">
        <v>224</v>
      </c>
      <c r="H9162" s="81" t="s">
        <v>224</v>
      </c>
      <c r="I9162" s="81" t="s">
        <v>224</v>
      </c>
      <c r="J9162" s="81" t="s">
        <v>6557</v>
      </c>
    </row>
    <row r="9163">
      <c r="A9163" s="83" t="s">
        <v>6784</v>
      </c>
      <c r="B9163" s="83" t="s">
        <v>6785</v>
      </c>
      <c r="C9163" s="81" t="s">
        <v>4082</v>
      </c>
      <c r="D9163" s="81" t="s">
        <v>224</v>
      </c>
      <c r="E9163" s="81" t="s">
        <v>6558</v>
      </c>
      <c r="F9163" s="81" t="s">
        <v>224</v>
      </c>
      <c r="G9163" s="81" t="s">
        <v>224</v>
      </c>
      <c r="H9163" s="81" t="s">
        <v>224</v>
      </c>
      <c r="I9163" s="81" t="s">
        <v>224</v>
      </c>
      <c r="J9163" s="81" t="s">
        <v>6559</v>
      </c>
    </row>
    <row r="9164">
      <c r="A9164" s="83" t="s">
        <v>6784</v>
      </c>
      <c r="B9164" s="83" t="s">
        <v>6785</v>
      </c>
      <c r="C9164" s="81" t="s">
        <v>4082</v>
      </c>
      <c r="D9164" s="81" t="s">
        <v>224</v>
      </c>
      <c r="E9164" s="81" t="s">
        <v>6739</v>
      </c>
      <c r="F9164" s="81" t="s">
        <v>224</v>
      </c>
      <c r="G9164" s="81" t="s">
        <v>224</v>
      </c>
      <c r="H9164" s="81" t="s">
        <v>224</v>
      </c>
      <c r="I9164" s="81" t="s">
        <v>224</v>
      </c>
      <c r="J9164" s="81" t="s">
        <v>6734</v>
      </c>
    </row>
    <row r="9165">
      <c r="A9165" s="83" t="s">
        <v>6784</v>
      </c>
      <c r="B9165" s="83" t="s">
        <v>6785</v>
      </c>
      <c r="C9165" s="81" t="s">
        <v>4082</v>
      </c>
      <c r="D9165" s="81" t="s">
        <v>224</v>
      </c>
      <c r="E9165" s="81" t="s">
        <v>6740</v>
      </c>
      <c r="F9165" s="81" t="s">
        <v>224</v>
      </c>
      <c r="G9165" s="81" t="s">
        <v>224</v>
      </c>
      <c r="H9165" s="81" t="s">
        <v>224</v>
      </c>
      <c r="I9165" s="81" t="s">
        <v>224</v>
      </c>
      <c r="J9165" s="81" t="s">
        <v>6734</v>
      </c>
    </row>
    <row r="9166">
      <c r="A9166" s="83" t="s">
        <v>6784</v>
      </c>
      <c r="B9166" s="83" t="s">
        <v>6785</v>
      </c>
      <c r="C9166" s="81" t="s">
        <v>4082</v>
      </c>
      <c r="D9166" s="81" t="s">
        <v>224</v>
      </c>
      <c r="E9166" s="81" t="s">
        <v>6741</v>
      </c>
      <c r="F9166" s="81" t="s">
        <v>224</v>
      </c>
      <c r="G9166" s="81" t="s">
        <v>224</v>
      </c>
      <c r="H9166" s="81" t="s">
        <v>224</v>
      </c>
      <c r="I9166" s="81" t="s">
        <v>224</v>
      </c>
      <c r="J9166" s="81" t="s">
        <v>6734</v>
      </c>
    </row>
    <row r="9167">
      <c r="A9167" s="83" t="s">
        <v>6784</v>
      </c>
      <c r="B9167" s="83" t="s">
        <v>6785</v>
      </c>
      <c r="C9167" s="81" t="s">
        <v>4082</v>
      </c>
      <c r="D9167" s="81" t="s">
        <v>224</v>
      </c>
      <c r="E9167" s="81" t="s">
        <v>6742</v>
      </c>
      <c r="F9167" s="81" t="s">
        <v>224</v>
      </c>
      <c r="G9167" s="81" t="s">
        <v>224</v>
      </c>
      <c r="H9167" s="81" t="s">
        <v>224</v>
      </c>
      <c r="I9167" s="81" t="s">
        <v>224</v>
      </c>
      <c r="J9167" s="81" t="s">
        <v>6734</v>
      </c>
    </row>
    <row r="9168">
      <c r="A9168" s="83" t="s">
        <v>6784</v>
      </c>
      <c r="B9168" s="83" t="s">
        <v>6785</v>
      </c>
      <c r="C9168" s="81" t="s">
        <v>4082</v>
      </c>
      <c r="D9168" s="81" t="s">
        <v>224</v>
      </c>
      <c r="E9168" s="81" t="s">
        <v>6743</v>
      </c>
      <c r="F9168" s="81" t="s">
        <v>224</v>
      </c>
      <c r="G9168" s="81" t="s">
        <v>224</v>
      </c>
      <c r="H9168" s="81" t="s">
        <v>224</v>
      </c>
      <c r="I9168" s="81" t="s">
        <v>224</v>
      </c>
      <c r="J9168" s="81" t="s">
        <v>6734</v>
      </c>
    </row>
    <row r="9169">
      <c r="A9169" s="83" t="s">
        <v>6784</v>
      </c>
      <c r="B9169" s="83" t="s">
        <v>6785</v>
      </c>
      <c r="C9169" s="81" t="s">
        <v>4082</v>
      </c>
      <c r="D9169" s="81" t="s">
        <v>224</v>
      </c>
      <c r="E9169" s="81" t="s">
        <v>6560</v>
      </c>
      <c r="F9169" s="81" t="s">
        <v>224</v>
      </c>
      <c r="G9169" s="81" t="s">
        <v>224</v>
      </c>
      <c r="H9169" s="81" t="s">
        <v>224</v>
      </c>
      <c r="I9169" s="81" t="s">
        <v>224</v>
      </c>
      <c r="J9169" s="81" t="s">
        <v>6561</v>
      </c>
    </row>
    <row r="9170">
      <c r="A9170" s="83" t="s">
        <v>6784</v>
      </c>
      <c r="B9170" s="83" t="s">
        <v>6785</v>
      </c>
      <c r="C9170" s="81" t="s">
        <v>4082</v>
      </c>
      <c r="D9170" s="81" t="s">
        <v>224</v>
      </c>
      <c r="E9170" s="81" t="s">
        <v>6562</v>
      </c>
      <c r="F9170" s="81" t="s">
        <v>224</v>
      </c>
      <c r="G9170" s="81" t="s">
        <v>224</v>
      </c>
      <c r="H9170" s="81" t="s">
        <v>224</v>
      </c>
      <c r="I9170" s="81" t="s">
        <v>224</v>
      </c>
      <c r="J9170" s="81" t="s">
        <v>6563</v>
      </c>
    </row>
    <row r="9171">
      <c r="A9171" s="83" t="s">
        <v>6784</v>
      </c>
      <c r="B9171" s="83" t="s">
        <v>6785</v>
      </c>
      <c r="C9171" s="81" t="s">
        <v>4082</v>
      </c>
      <c r="D9171" s="81" t="s">
        <v>224</v>
      </c>
      <c r="E9171" s="81" t="s">
        <v>6564</v>
      </c>
      <c r="F9171" s="81" t="s">
        <v>224</v>
      </c>
      <c r="G9171" s="81" t="s">
        <v>224</v>
      </c>
      <c r="H9171" s="81" t="s">
        <v>224</v>
      </c>
      <c r="I9171" s="81" t="s">
        <v>224</v>
      </c>
      <c r="J9171" s="81" t="s">
        <v>6565</v>
      </c>
    </row>
    <row r="9172">
      <c r="A9172" s="83" t="s">
        <v>6784</v>
      </c>
      <c r="B9172" s="83" t="s">
        <v>6785</v>
      </c>
      <c r="C9172" s="81" t="s">
        <v>4082</v>
      </c>
      <c r="D9172" s="81" t="s">
        <v>224</v>
      </c>
      <c r="E9172" s="81" t="s">
        <v>6566</v>
      </c>
      <c r="F9172" s="81" t="s">
        <v>224</v>
      </c>
      <c r="G9172" s="81" t="s">
        <v>224</v>
      </c>
      <c r="H9172" s="81" t="s">
        <v>224</v>
      </c>
      <c r="I9172" s="81" t="s">
        <v>224</v>
      </c>
      <c r="J9172" s="81" t="s">
        <v>6567</v>
      </c>
    </row>
    <row r="9173">
      <c r="A9173" s="83" t="s">
        <v>6784</v>
      </c>
      <c r="B9173" s="83" t="s">
        <v>6785</v>
      </c>
      <c r="C9173" s="81" t="s">
        <v>4082</v>
      </c>
      <c r="D9173" s="81" t="s">
        <v>224</v>
      </c>
      <c r="E9173" s="81" t="s">
        <v>6568</v>
      </c>
      <c r="F9173" s="81" t="s">
        <v>224</v>
      </c>
      <c r="G9173" s="81" t="s">
        <v>224</v>
      </c>
      <c r="H9173" s="81" t="s">
        <v>224</v>
      </c>
      <c r="I9173" s="81" t="s">
        <v>224</v>
      </c>
      <c r="J9173" s="81" t="s">
        <v>6569</v>
      </c>
    </row>
    <row r="9174">
      <c r="A9174" s="83" t="s">
        <v>6784</v>
      </c>
      <c r="B9174" s="83" t="s">
        <v>6785</v>
      </c>
      <c r="C9174" s="81" t="s">
        <v>4082</v>
      </c>
      <c r="D9174" s="81" t="s">
        <v>224</v>
      </c>
      <c r="E9174" s="81" t="s">
        <v>6744</v>
      </c>
      <c r="F9174" s="81" t="s">
        <v>224</v>
      </c>
      <c r="G9174" s="81" t="s">
        <v>224</v>
      </c>
      <c r="H9174" s="81" t="s">
        <v>224</v>
      </c>
      <c r="I9174" s="81" t="s">
        <v>224</v>
      </c>
      <c r="J9174" s="81" t="s">
        <v>6734</v>
      </c>
    </row>
    <row r="9175">
      <c r="A9175" s="83" t="s">
        <v>6784</v>
      </c>
      <c r="B9175" s="83" t="s">
        <v>6785</v>
      </c>
      <c r="C9175" s="81" t="s">
        <v>4082</v>
      </c>
      <c r="D9175" s="81" t="s">
        <v>224</v>
      </c>
      <c r="E9175" s="81" t="s">
        <v>6570</v>
      </c>
      <c r="F9175" s="81" t="s">
        <v>224</v>
      </c>
      <c r="G9175" s="81" t="s">
        <v>224</v>
      </c>
      <c r="H9175" s="81" t="s">
        <v>224</v>
      </c>
      <c r="I9175" s="81" t="s">
        <v>224</v>
      </c>
      <c r="J9175" s="81" t="s">
        <v>6571</v>
      </c>
    </row>
    <row r="9176">
      <c r="A9176" s="83" t="s">
        <v>6784</v>
      </c>
      <c r="B9176" s="83" t="s">
        <v>6785</v>
      </c>
      <c r="C9176" s="81" t="s">
        <v>4082</v>
      </c>
      <c r="D9176" s="81" t="s">
        <v>224</v>
      </c>
      <c r="E9176" s="81" t="s">
        <v>6572</v>
      </c>
      <c r="F9176" s="81" t="s">
        <v>224</v>
      </c>
      <c r="G9176" s="81" t="s">
        <v>224</v>
      </c>
      <c r="H9176" s="81" t="s">
        <v>224</v>
      </c>
      <c r="I9176" s="81" t="s">
        <v>224</v>
      </c>
      <c r="J9176" s="81" t="s">
        <v>6571</v>
      </c>
    </row>
    <row r="9177">
      <c r="A9177" s="83" t="s">
        <v>6784</v>
      </c>
      <c r="B9177" s="83" t="s">
        <v>6785</v>
      </c>
      <c r="C9177" s="81" t="s">
        <v>4082</v>
      </c>
      <c r="D9177" s="81" t="s">
        <v>224</v>
      </c>
      <c r="E9177" s="81" t="s">
        <v>6573</v>
      </c>
      <c r="F9177" s="81" t="s">
        <v>224</v>
      </c>
      <c r="G9177" s="81" t="s">
        <v>224</v>
      </c>
      <c r="H9177" s="81" t="s">
        <v>224</v>
      </c>
      <c r="I9177" s="81" t="s">
        <v>224</v>
      </c>
      <c r="J9177" s="81" t="s">
        <v>6574</v>
      </c>
    </row>
    <row r="9178">
      <c r="A9178" s="83" t="s">
        <v>6784</v>
      </c>
      <c r="B9178" s="83" t="s">
        <v>6785</v>
      </c>
      <c r="C9178" s="81" t="s">
        <v>4082</v>
      </c>
      <c r="D9178" s="81" t="s">
        <v>224</v>
      </c>
      <c r="E9178" s="81" t="s">
        <v>6575</v>
      </c>
      <c r="F9178" s="81" t="s">
        <v>224</v>
      </c>
      <c r="G9178" s="81" t="s">
        <v>224</v>
      </c>
      <c r="H9178" s="81" t="s">
        <v>224</v>
      </c>
      <c r="I9178" s="81" t="s">
        <v>224</v>
      </c>
      <c r="J9178" s="81" t="s">
        <v>6574</v>
      </c>
    </row>
    <row r="9179">
      <c r="A9179" s="83" t="s">
        <v>6784</v>
      </c>
      <c r="B9179" s="83" t="s">
        <v>6785</v>
      </c>
      <c r="C9179" s="81" t="s">
        <v>4082</v>
      </c>
      <c r="D9179" s="81" t="s">
        <v>224</v>
      </c>
      <c r="E9179" s="81" t="s">
        <v>6745</v>
      </c>
      <c r="F9179" s="81" t="s">
        <v>224</v>
      </c>
      <c r="G9179" s="81" t="s">
        <v>224</v>
      </c>
      <c r="H9179" s="81" t="s">
        <v>224</v>
      </c>
      <c r="I9179" s="81" t="s">
        <v>224</v>
      </c>
      <c r="J9179" s="81" t="s">
        <v>6734</v>
      </c>
    </row>
    <row r="9180">
      <c r="A9180" s="83" t="s">
        <v>6784</v>
      </c>
      <c r="B9180" s="83" t="s">
        <v>6785</v>
      </c>
      <c r="C9180" s="81" t="s">
        <v>4082</v>
      </c>
      <c r="D9180" s="81" t="s">
        <v>224</v>
      </c>
      <c r="E9180" s="81" t="s">
        <v>6746</v>
      </c>
      <c r="F9180" s="81" t="s">
        <v>224</v>
      </c>
      <c r="G9180" s="81" t="s">
        <v>224</v>
      </c>
      <c r="H9180" s="81" t="s">
        <v>224</v>
      </c>
      <c r="I9180" s="81" t="s">
        <v>224</v>
      </c>
      <c r="J9180" s="81" t="s">
        <v>6734</v>
      </c>
    </row>
    <row r="9181">
      <c r="A9181" s="83" t="s">
        <v>6784</v>
      </c>
      <c r="B9181" s="83" t="s">
        <v>6785</v>
      </c>
      <c r="C9181" s="81" t="s">
        <v>4082</v>
      </c>
      <c r="D9181" s="81" t="s">
        <v>224</v>
      </c>
      <c r="E9181" s="81" t="s">
        <v>6576</v>
      </c>
      <c r="F9181" s="81" t="s">
        <v>224</v>
      </c>
      <c r="G9181" s="81" t="s">
        <v>224</v>
      </c>
      <c r="H9181" s="81" t="s">
        <v>224</v>
      </c>
      <c r="I9181" s="81" t="s">
        <v>224</v>
      </c>
      <c r="J9181" s="81" t="s">
        <v>6577</v>
      </c>
    </row>
    <row r="9182">
      <c r="A9182" s="83" t="s">
        <v>6784</v>
      </c>
      <c r="B9182" s="83" t="s">
        <v>6785</v>
      </c>
      <c r="C9182" s="81" t="s">
        <v>4082</v>
      </c>
      <c r="D9182" s="81" t="s">
        <v>224</v>
      </c>
      <c r="E9182" s="81" t="s">
        <v>6578</v>
      </c>
      <c r="F9182" s="81" t="s">
        <v>224</v>
      </c>
      <c r="G9182" s="81" t="s">
        <v>224</v>
      </c>
      <c r="H9182" s="81" t="s">
        <v>224</v>
      </c>
      <c r="I9182" s="81" t="s">
        <v>224</v>
      </c>
      <c r="J9182" s="81" t="s">
        <v>6579</v>
      </c>
    </row>
    <row r="9183">
      <c r="A9183" s="83" t="s">
        <v>6784</v>
      </c>
      <c r="B9183" s="83" t="s">
        <v>6785</v>
      </c>
      <c r="C9183" s="81" t="s">
        <v>4082</v>
      </c>
      <c r="D9183" s="81" t="s">
        <v>224</v>
      </c>
      <c r="E9183" s="81" t="s">
        <v>6580</v>
      </c>
      <c r="F9183" s="81" t="s">
        <v>224</v>
      </c>
      <c r="G9183" s="81" t="s">
        <v>224</v>
      </c>
      <c r="H9183" s="81" t="s">
        <v>224</v>
      </c>
      <c r="I9183" s="81" t="s">
        <v>224</v>
      </c>
      <c r="J9183" s="81" t="s">
        <v>6579</v>
      </c>
    </row>
    <row r="9184">
      <c r="A9184" s="83" t="s">
        <v>6784</v>
      </c>
      <c r="B9184" s="83" t="s">
        <v>6785</v>
      </c>
      <c r="C9184" s="81" t="s">
        <v>4082</v>
      </c>
      <c r="D9184" s="81" t="s">
        <v>224</v>
      </c>
      <c r="E9184" s="81" t="s">
        <v>6581</v>
      </c>
      <c r="F9184" s="81" t="s">
        <v>224</v>
      </c>
      <c r="G9184" s="81" t="s">
        <v>224</v>
      </c>
      <c r="H9184" s="81" t="s">
        <v>224</v>
      </c>
      <c r="I9184" s="81" t="s">
        <v>224</v>
      </c>
      <c r="J9184" s="81" t="s">
        <v>6582</v>
      </c>
    </row>
    <row r="9185">
      <c r="A9185" s="83" t="s">
        <v>6784</v>
      </c>
      <c r="B9185" s="83" t="s">
        <v>6785</v>
      </c>
      <c r="C9185" s="81" t="s">
        <v>4082</v>
      </c>
      <c r="D9185" s="81" t="s">
        <v>224</v>
      </c>
      <c r="E9185" s="81" t="s">
        <v>6583</v>
      </c>
      <c r="F9185" s="81" t="s">
        <v>224</v>
      </c>
      <c r="G9185" s="81" t="s">
        <v>224</v>
      </c>
      <c r="H9185" s="81" t="s">
        <v>224</v>
      </c>
      <c r="I9185" s="81" t="s">
        <v>224</v>
      </c>
      <c r="J9185" s="81" t="s">
        <v>6582</v>
      </c>
    </row>
    <row r="9186">
      <c r="A9186" s="83" t="s">
        <v>6784</v>
      </c>
      <c r="B9186" s="83" t="s">
        <v>6785</v>
      </c>
      <c r="C9186" s="81" t="s">
        <v>4082</v>
      </c>
      <c r="D9186" s="81" t="s">
        <v>224</v>
      </c>
      <c r="E9186" s="81" t="s">
        <v>6584</v>
      </c>
      <c r="F9186" s="81" t="s">
        <v>224</v>
      </c>
      <c r="G9186" s="81" t="s">
        <v>224</v>
      </c>
      <c r="H9186" s="81" t="s">
        <v>224</v>
      </c>
      <c r="I9186" s="81" t="s">
        <v>224</v>
      </c>
      <c r="J9186" s="81" t="s">
        <v>6585</v>
      </c>
    </row>
    <row r="9187">
      <c r="A9187" s="83" t="s">
        <v>6784</v>
      </c>
      <c r="B9187" s="83" t="s">
        <v>6785</v>
      </c>
      <c r="C9187" s="81" t="s">
        <v>4082</v>
      </c>
      <c r="D9187" s="81" t="s">
        <v>224</v>
      </c>
      <c r="E9187" s="81" t="s">
        <v>6586</v>
      </c>
      <c r="F9187" s="81" t="s">
        <v>224</v>
      </c>
      <c r="G9187" s="81" t="s">
        <v>224</v>
      </c>
      <c r="H9187" s="81" t="s">
        <v>224</v>
      </c>
      <c r="I9187" s="81" t="s">
        <v>224</v>
      </c>
      <c r="J9187" s="81" t="s">
        <v>6585</v>
      </c>
    </row>
    <row r="9188">
      <c r="A9188" s="83" t="s">
        <v>6784</v>
      </c>
      <c r="B9188" s="83" t="s">
        <v>6785</v>
      </c>
      <c r="C9188" s="81" t="s">
        <v>4082</v>
      </c>
      <c r="D9188" s="81" t="s">
        <v>224</v>
      </c>
      <c r="E9188" s="81" t="s">
        <v>224</v>
      </c>
      <c r="F9188" s="81" t="s">
        <v>224</v>
      </c>
      <c r="G9188" s="81" t="s">
        <v>224</v>
      </c>
      <c r="H9188" s="81" t="s">
        <v>224</v>
      </c>
      <c r="I9188" s="81" t="s">
        <v>224</v>
      </c>
      <c r="J9188" s="81" t="s">
        <v>6783</v>
      </c>
    </row>
    <row r="9189">
      <c r="A9189" s="83" t="s">
        <v>6784</v>
      </c>
      <c r="B9189" s="83" t="s">
        <v>6785</v>
      </c>
      <c r="C9189" s="81" t="s">
        <v>4082</v>
      </c>
      <c r="D9189" s="83" t="s">
        <v>4201</v>
      </c>
      <c r="E9189" s="81" t="s">
        <v>754</v>
      </c>
      <c r="F9189" s="81">
        <v>127.0</v>
      </c>
      <c r="G9189" s="81" t="s">
        <v>39</v>
      </c>
      <c r="H9189" s="81" t="s">
        <v>224</v>
      </c>
      <c r="I9189" s="81" t="s">
        <v>224</v>
      </c>
      <c r="J9189" s="81" t="s">
        <v>5311</v>
      </c>
    </row>
    <row r="9190">
      <c r="A9190" s="83" t="s">
        <v>6784</v>
      </c>
      <c r="B9190" s="83" t="s">
        <v>6785</v>
      </c>
      <c r="C9190" s="81" t="s">
        <v>4082</v>
      </c>
      <c r="D9190" s="83" t="s">
        <v>4208</v>
      </c>
      <c r="E9190" s="81" t="s">
        <v>786</v>
      </c>
      <c r="F9190" s="81">
        <v>134.0</v>
      </c>
      <c r="G9190" s="81" t="s">
        <v>39</v>
      </c>
      <c r="H9190" s="81" t="s">
        <v>224</v>
      </c>
      <c r="I9190" s="81" t="s">
        <v>224</v>
      </c>
      <c r="J9190" s="81" t="s">
        <v>5322</v>
      </c>
    </row>
    <row r="9191">
      <c r="A9191" s="83" t="s">
        <v>6784</v>
      </c>
      <c r="B9191" s="83" t="s">
        <v>6785</v>
      </c>
      <c r="C9191" s="81" t="s">
        <v>4082</v>
      </c>
      <c r="D9191" s="83" t="s">
        <v>4211</v>
      </c>
      <c r="E9191" s="81" t="s">
        <v>798</v>
      </c>
      <c r="F9191" s="81">
        <v>137.0</v>
      </c>
      <c r="G9191" s="81" t="s">
        <v>39</v>
      </c>
      <c r="H9191" s="81" t="s">
        <v>224</v>
      </c>
      <c r="I9191" s="81" t="s">
        <v>224</v>
      </c>
      <c r="J9191" s="81" t="s">
        <v>5327</v>
      </c>
    </row>
    <row r="9192">
      <c r="A9192" s="83" t="s">
        <v>6784</v>
      </c>
      <c r="B9192" s="83" t="s">
        <v>6785</v>
      </c>
      <c r="C9192" s="81" t="s">
        <v>4082</v>
      </c>
      <c r="D9192" s="83" t="s">
        <v>4212</v>
      </c>
      <c r="E9192" s="81" t="s">
        <v>804</v>
      </c>
      <c r="F9192" s="81">
        <v>138.0</v>
      </c>
      <c r="G9192" s="81" t="s">
        <v>39</v>
      </c>
      <c r="H9192" s="81" t="s">
        <v>224</v>
      </c>
      <c r="I9192" s="81" t="s">
        <v>224</v>
      </c>
      <c r="J9192" s="81" t="s">
        <v>5330</v>
      </c>
    </row>
    <row r="9193">
      <c r="A9193" s="83" t="s">
        <v>6784</v>
      </c>
      <c r="B9193" s="83" t="s">
        <v>6785</v>
      </c>
      <c r="C9193" s="81" t="s">
        <v>4082</v>
      </c>
      <c r="D9193" s="83" t="s">
        <v>4238</v>
      </c>
      <c r="E9193" s="81" t="s">
        <v>918</v>
      </c>
      <c r="F9193" s="81">
        <v>163.0</v>
      </c>
      <c r="G9193" s="81" t="s">
        <v>41</v>
      </c>
      <c r="H9193" s="81" t="s">
        <v>924</v>
      </c>
      <c r="I9193" s="81" t="s">
        <v>224</v>
      </c>
      <c r="J9193" s="81" t="s">
        <v>6344</v>
      </c>
    </row>
    <row r="9194">
      <c r="A9194" s="83" t="s">
        <v>6784</v>
      </c>
      <c r="B9194" s="83" t="s">
        <v>6785</v>
      </c>
      <c r="C9194" s="81" t="s">
        <v>4082</v>
      </c>
      <c r="D9194" s="83" t="s">
        <v>4267</v>
      </c>
      <c r="E9194" s="81" t="s">
        <v>1050</v>
      </c>
      <c r="F9194" s="81">
        <v>199.0</v>
      </c>
      <c r="G9194" s="81" t="s">
        <v>41</v>
      </c>
      <c r="H9194" s="81" t="s">
        <v>1051</v>
      </c>
      <c r="I9194" s="81" t="s">
        <v>224</v>
      </c>
      <c r="J9194" s="81" t="s">
        <v>6345</v>
      </c>
    </row>
    <row r="9195">
      <c r="A9195" s="83" t="s">
        <v>6784</v>
      </c>
      <c r="B9195" s="83" t="s">
        <v>6785</v>
      </c>
      <c r="C9195" s="81" t="s">
        <v>4082</v>
      </c>
      <c r="D9195" s="83" t="s">
        <v>4304</v>
      </c>
      <c r="E9195" s="81" t="s">
        <v>1232</v>
      </c>
      <c r="F9195" s="81">
        <v>244.0</v>
      </c>
      <c r="G9195" s="81" t="s">
        <v>41</v>
      </c>
      <c r="H9195" s="81" t="s">
        <v>1233</v>
      </c>
      <c r="I9195" s="81" t="s">
        <v>224</v>
      </c>
      <c r="J9195" s="81" t="s">
        <v>6346</v>
      </c>
    </row>
    <row r="9196">
      <c r="A9196" s="83" t="s">
        <v>6784</v>
      </c>
      <c r="B9196" s="83" t="s">
        <v>6785</v>
      </c>
      <c r="C9196" s="81" t="s">
        <v>4082</v>
      </c>
      <c r="D9196" s="83" t="s">
        <v>4306</v>
      </c>
      <c r="E9196" s="81" t="s">
        <v>1237</v>
      </c>
      <c r="F9196" s="81">
        <v>246.0</v>
      </c>
      <c r="G9196" s="81" t="s">
        <v>41</v>
      </c>
      <c r="H9196" s="81" t="s">
        <v>1237</v>
      </c>
      <c r="I9196" s="81" t="s">
        <v>224</v>
      </c>
      <c r="J9196" s="81" t="s">
        <v>6347</v>
      </c>
    </row>
    <row r="9197">
      <c r="A9197" s="83" t="s">
        <v>6784</v>
      </c>
      <c r="B9197" s="83" t="s">
        <v>6785</v>
      </c>
      <c r="C9197" s="81" t="s">
        <v>4082</v>
      </c>
      <c r="D9197" s="83" t="s">
        <v>4316</v>
      </c>
      <c r="E9197" s="81" t="s">
        <v>1313</v>
      </c>
      <c r="F9197" s="81">
        <v>256.0</v>
      </c>
      <c r="G9197" s="81" t="s">
        <v>39</v>
      </c>
      <c r="H9197" s="81" t="s">
        <v>224</v>
      </c>
      <c r="I9197" s="81" t="s">
        <v>224</v>
      </c>
      <c r="J9197" s="81" t="s">
        <v>5515</v>
      </c>
    </row>
    <row r="9198">
      <c r="A9198" s="83" t="s">
        <v>6784</v>
      </c>
      <c r="B9198" s="83" t="s">
        <v>6785</v>
      </c>
      <c r="C9198" s="81" t="s">
        <v>4082</v>
      </c>
      <c r="D9198" s="83" t="s">
        <v>4351</v>
      </c>
      <c r="E9198" s="81" t="s">
        <v>1470</v>
      </c>
      <c r="F9198" s="81">
        <v>283.0</v>
      </c>
      <c r="G9198" s="81" t="s">
        <v>41</v>
      </c>
      <c r="H9198" s="81" t="s">
        <v>55</v>
      </c>
      <c r="I9198" s="81" t="s">
        <v>224</v>
      </c>
      <c r="J9198" s="81" t="s">
        <v>6426</v>
      </c>
    </row>
    <row r="9199">
      <c r="A9199" s="83" t="s">
        <v>6784</v>
      </c>
      <c r="B9199" s="83" t="s">
        <v>6785</v>
      </c>
      <c r="C9199" s="81" t="s">
        <v>4082</v>
      </c>
      <c r="D9199" s="83" t="s">
        <v>4351</v>
      </c>
      <c r="E9199" s="81" t="s">
        <v>1474</v>
      </c>
      <c r="F9199" s="81">
        <v>284.0</v>
      </c>
      <c r="G9199" s="81" t="s">
        <v>41</v>
      </c>
      <c r="H9199" s="81" t="s">
        <v>1476</v>
      </c>
      <c r="I9199" s="81" t="s">
        <v>224</v>
      </c>
      <c r="J9199" s="81" t="s">
        <v>6348</v>
      </c>
    </row>
    <row r="9200">
      <c r="A9200" s="83" t="s">
        <v>6784</v>
      </c>
      <c r="B9200" s="83" t="s">
        <v>6785</v>
      </c>
      <c r="C9200" s="81" t="s">
        <v>4082</v>
      </c>
      <c r="D9200" s="83" t="s">
        <v>4363</v>
      </c>
      <c r="E9200" s="81" t="s">
        <v>1548</v>
      </c>
      <c r="F9200" s="81">
        <v>299.0</v>
      </c>
      <c r="G9200" s="81" t="s">
        <v>41</v>
      </c>
      <c r="H9200" s="81" t="s">
        <v>1550</v>
      </c>
      <c r="I9200" s="81" t="s">
        <v>224</v>
      </c>
      <c r="J9200" s="81" t="s">
        <v>6349</v>
      </c>
    </row>
    <row r="9201">
      <c r="A9201" s="83" t="s">
        <v>6784</v>
      </c>
      <c r="B9201" s="83" t="s">
        <v>6785</v>
      </c>
      <c r="C9201" s="81" t="s">
        <v>4082</v>
      </c>
      <c r="D9201" s="83" t="s">
        <v>4380</v>
      </c>
      <c r="E9201" s="81" t="s">
        <v>1617</v>
      </c>
      <c r="F9201" s="81">
        <v>319.0</v>
      </c>
      <c r="G9201" s="81" t="s">
        <v>39</v>
      </c>
      <c r="H9201" s="81" t="s">
        <v>224</v>
      </c>
      <c r="I9201" s="81" t="s">
        <v>224</v>
      </c>
      <c r="J9201" s="81" t="s">
        <v>5616</v>
      </c>
    </row>
    <row r="9202">
      <c r="A9202" s="83" t="s">
        <v>6784</v>
      </c>
      <c r="B9202" s="83" t="s">
        <v>6785</v>
      </c>
      <c r="C9202" s="81" t="s">
        <v>4082</v>
      </c>
      <c r="D9202" s="83" t="s">
        <v>4389</v>
      </c>
      <c r="E9202" s="81" t="s">
        <v>1678</v>
      </c>
      <c r="F9202" s="81">
        <v>332.0</v>
      </c>
      <c r="G9202" s="81" t="s">
        <v>41</v>
      </c>
      <c r="H9202" s="81" t="s">
        <v>1670</v>
      </c>
      <c r="I9202" s="81" t="s">
        <v>224</v>
      </c>
      <c r="J9202" s="81" t="s">
        <v>6350</v>
      </c>
    </row>
    <row r="9203">
      <c r="A9203" s="83" t="s">
        <v>6784</v>
      </c>
      <c r="B9203" s="83" t="s">
        <v>6785</v>
      </c>
      <c r="C9203" s="81" t="s">
        <v>4082</v>
      </c>
      <c r="D9203" s="83" t="s">
        <v>4391</v>
      </c>
      <c r="E9203" s="81" t="s">
        <v>1682</v>
      </c>
      <c r="F9203" s="81">
        <v>334.0</v>
      </c>
      <c r="G9203" s="81" t="s">
        <v>41</v>
      </c>
      <c r="H9203" s="81" t="s">
        <v>1687</v>
      </c>
      <c r="I9203" s="81" t="s">
        <v>224</v>
      </c>
      <c r="J9203" s="81" t="s">
        <v>6351</v>
      </c>
    </row>
    <row r="9204">
      <c r="A9204" s="83" t="s">
        <v>6784</v>
      </c>
      <c r="B9204" s="83" t="s">
        <v>6785</v>
      </c>
      <c r="C9204" s="81" t="s">
        <v>4082</v>
      </c>
      <c r="D9204" s="83" t="s">
        <v>4393</v>
      </c>
      <c r="E9204" s="81" t="s">
        <v>1690</v>
      </c>
      <c r="F9204" s="81">
        <v>335.0</v>
      </c>
      <c r="G9204" s="81" t="s">
        <v>41</v>
      </c>
      <c r="H9204" s="81" t="s">
        <v>1694</v>
      </c>
      <c r="I9204" s="81" t="s">
        <v>224</v>
      </c>
      <c r="J9204" s="81" t="s">
        <v>6352</v>
      </c>
    </row>
    <row r="9205">
      <c r="A9205" s="83" t="s">
        <v>6784</v>
      </c>
      <c r="B9205" s="83" t="s">
        <v>6785</v>
      </c>
      <c r="C9205" s="81" t="s">
        <v>4082</v>
      </c>
      <c r="D9205" s="83" t="s">
        <v>4406</v>
      </c>
      <c r="E9205" s="81" t="s">
        <v>1760</v>
      </c>
      <c r="F9205" s="81">
        <v>350.0</v>
      </c>
      <c r="G9205" s="81" t="s">
        <v>41</v>
      </c>
      <c r="H9205" s="81" t="s">
        <v>1761</v>
      </c>
      <c r="I9205" s="81" t="s">
        <v>224</v>
      </c>
      <c r="J9205" s="81" t="s">
        <v>6353</v>
      </c>
    </row>
    <row r="9206">
      <c r="A9206" s="83" t="s">
        <v>6784</v>
      </c>
      <c r="B9206" s="83" t="s">
        <v>6785</v>
      </c>
      <c r="C9206" s="81" t="s">
        <v>4082</v>
      </c>
      <c r="D9206" s="83" t="s">
        <v>4429</v>
      </c>
      <c r="E9206" s="81" t="s">
        <v>1900</v>
      </c>
      <c r="F9206" s="81">
        <v>375.0</v>
      </c>
      <c r="G9206" s="81" t="s">
        <v>39</v>
      </c>
      <c r="H9206" s="81" t="s">
        <v>224</v>
      </c>
      <c r="I9206" s="81" t="s">
        <v>224</v>
      </c>
      <c r="J9206" s="81" t="s">
        <v>5711</v>
      </c>
    </row>
    <row r="9207">
      <c r="A9207" s="83" t="s">
        <v>6784</v>
      </c>
      <c r="B9207" s="83" t="s">
        <v>6785</v>
      </c>
      <c r="C9207" s="81" t="s">
        <v>4082</v>
      </c>
      <c r="D9207" s="83" t="s">
        <v>4475</v>
      </c>
      <c r="E9207" s="81" t="s">
        <v>2225</v>
      </c>
      <c r="F9207" s="81">
        <v>426.0</v>
      </c>
      <c r="G9207" s="81" t="s">
        <v>41</v>
      </c>
      <c r="H9207" s="81" t="s">
        <v>2226</v>
      </c>
      <c r="I9207" s="81" t="s">
        <v>224</v>
      </c>
      <c r="J9207" s="81" t="s">
        <v>6354</v>
      </c>
    </row>
    <row r="9208">
      <c r="A9208" s="83" t="s">
        <v>6784</v>
      </c>
      <c r="B9208" s="83" t="s">
        <v>6785</v>
      </c>
      <c r="C9208" s="81" t="s">
        <v>4082</v>
      </c>
      <c r="D9208" s="83" t="s">
        <v>4490</v>
      </c>
      <c r="E9208" s="81" t="s">
        <v>2295</v>
      </c>
      <c r="F9208" s="81">
        <v>440.0</v>
      </c>
      <c r="G9208" s="81" t="s">
        <v>41</v>
      </c>
      <c r="H9208" s="81" t="s">
        <v>2296</v>
      </c>
      <c r="I9208" s="81" t="s">
        <v>224</v>
      </c>
      <c r="J9208" s="81" t="s">
        <v>6355</v>
      </c>
    </row>
    <row r="9209">
      <c r="A9209" s="83" t="s">
        <v>6784</v>
      </c>
      <c r="B9209" s="83" t="s">
        <v>6785</v>
      </c>
      <c r="C9209" s="81" t="s">
        <v>4082</v>
      </c>
      <c r="D9209" s="83" t="s">
        <v>4558</v>
      </c>
      <c r="E9209" s="81" t="s">
        <v>2619</v>
      </c>
      <c r="F9209" s="81">
        <v>504.0</v>
      </c>
      <c r="G9209" s="81" t="s">
        <v>41</v>
      </c>
      <c r="H9209" s="81" t="s">
        <v>2629</v>
      </c>
      <c r="I9209" s="81" t="s">
        <v>224</v>
      </c>
      <c r="J9209" s="81" t="s">
        <v>6356</v>
      </c>
    </row>
    <row r="9210">
      <c r="A9210" s="83" t="s">
        <v>6784</v>
      </c>
      <c r="B9210" s="83" t="s">
        <v>6785</v>
      </c>
      <c r="C9210" s="81" t="s">
        <v>4082</v>
      </c>
      <c r="D9210" s="83" t="s">
        <v>4608</v>
      </c>
      <c r="E9210" s="81" t="s">
        <v>2906</v>
      </c>
      <c r="F9210" s="81">
        <v>560.0</v>
      </c>
      <c r="G9210" s="81" t="s">
        <v>41</v>
      </c>
      <c r="H9210" s="81" t="s">
        <v>2907</v>
      </c>
      <c r="I9210" s="81" t="s">
        <v>224</v>
      </c>
      <c r="J9210" s="81" t="s">
        <v>6357</v>
      </c>
    </row>
    <row r="9211">
      <c r="A9211" s="83" t="s">
        <v>6784</v>
      </c>
      <c r="B9211" s="83" t="s">
        <v>6785</v>
      </c>
      <c r="C9211" s="81" t="s">
        <v>4082</v>
      </c>
      <c r="D9211" s="83" t="s">
        <v>4682</v>
      </c>
      <c r="E9211" s="81" t="s">
        <v>3226</v>
      </c>
      <c r="F9211" s="81">
        <v>613.0</v>
      </c>
      <c r="G9211" s="81" t="s">
        <v>39</v>
      </c>
      <c r="H9211" s="81" t="s">
        <v>224</v>
      </c>
      <c r="I9211" s="81" t="s">
        <v>224</v>
      </c>
      <c r="J9211" s="81" t="s">
        <v>6052</v>
      </c>
    </row>
    <row r="9212">
      <c r="A9212" s="83" t="s">
        <v>6784</v>
      </c>
      <c r="B9212" s="83" t="s">
        <v>6785</v>
      </c>
      <c r="C9212" s="81" t="s">
        <v>4082</v>
      </c>
      <c r="D9212" s="83" t="s">
        <v>4707</v>
      </c>
      <c r="E9212" s="81" t="s">
        <v>3362</v>
      </c>
      <c r="F9212" s="81">
        <v>641.0</v>
      </c>
      <c r="G9212" s="81" t="s">
        <v>39</v>
      </c>
      <c r="H9212" s="81" t="s">
        <v>224</v>
      </c>
      <c r="I9212" s="81" t="s">
        <v>224</v>
      </c>
      <c r="J9212" s="81" t="s">
        <v>6096</v>
      </c>
    </row>
    <row r="9213">
      <c r="A9213" s="83" t="s">
        <v>6784</v>
      </c>
      <c r="B9213" s="83" t="s">
        <v>6785</v>
      </c>
      <c r="C9213" s="81" t="s">
        <v>4082</v>
      </c>
      <c r="D9213" s="83" t="s">
        <v>4709</v>
      </c>
      <c r="E9213" s="81" t="s">
        <v>3370</v>
      </c>
      <c r="F9213" s="81">
        <v>643.0</v>
      </c>
      <c r="G9213" s="81" t="s">
        <v>39</v>
      </c>
      <c r="H9213" s="81" t="s">
        <v>224</v>
      </c>
      <c r="I9213" s="81" t="s">
        <v>224</v>
      </c>
      <c r="J9213" s="81" t="s">
        <v>6101</v>
      </c>
    </row>
    <row r="9214">
      <c r="A9214" s="83" t="s">
        <v>6784</v>
      </c>
      <c r="B9214" s="83" t="s">
        <v>6785</v>
      </c>
      <c r="C9214" s="81" t="s">
        <v>4082</v>
      </c>
      <c r="D9214" s="83" t="s">
        <v>4844</v>
      </c>
      <c r="E9214" s="81" t="s">
        <v>3998</v>
      </c>
      <c r="F9214" s="81">
        <v>792.0</v>
      </c>
      <c r="G9214" s="81" t="s">
        <v>39</v>
      </c>
      <c r="H9214" s="81" t="s">
        <v>224</v>
      </c>
      <c r="I9214" s="81" t="s">
        <v>224</v>
      </c>
      <c r="J9214" s="81" t="s">
        <v>6440</v>
      </c>
    </row>
    <row r="9215">
      <c r="A9215" s="83" t="s">
        <v>6784</v>
      </c>
      <c r="B9215" s="83" t="s">
        <v>6785</v>
      </c>
      <c r="C9215" s="81" t="s">
        <v>4082</v>
      </c>
      <c r="D9215" s="83" t="s">
        <v>4845</v>
      </c>
      <c r="E9215" s="81" t="s">
        <v>4002</v>
      </c>
      <c r="F9215" s="81">
        <v>793.0</v>
      </c>
      <c r="G9215" s="81" t="s">
        <v>39</v>
      </c>
      <c r="H9215" s="81" t="s">
        <v>224</v>
      </c>
      <c r="I9215" s="81" t="s">
        <v>224</v>
      </c>
      <c r="J9215" s="81" t="s">
        <v>6441</v>
      </c>
    </row>
    <row r="9216">
      <c r="A9216" s="83" t="s">
        <v>6784</v>
      </c>
      <c r="B9216" s="83" t="s">
        <v>6785</v>
      </c>
      <c r="C9216" s="81" t="s">
        <v>4082</v>
      </c>
      <c r="D9216" s="83" t="s">
        <v>4846</v>
      </c>
      <c r="E9216" s="81" t="s">
        <v>1133</v>
      </c>
      <c r="F9216" s="81">
        <v>794.0</v>
      </c>
      <c r="G9216" s="81" t="s">
        <v>39</v>
      </c>
      <c r="H9216" s="81" t="s">
        <v>224</v>
      </c>
      <c r="I9216" s="81" t="s">
        <v>224</v>
      </c>
      <c r="J9216" s="81" t="s">
        <v>6442</v>
      </c>
    </row>
    <row r="9217">
      <c r="A9217" s="83" t="s">
        <v>6784</v>
      </c>
      <c r="B9217" s="83" t="s">
        <v>6785</v>
      </c>
      <c r="C9217" s="81" t="s">
        <v>4082</v>
      </c>
      <c r="D9217" s="83" t="s">
        <v>4847</v>
      </c>
      <c r="E9217" s="81" t="s">
        <v>4005</v>
      </c>
      <c r="F9217" s="81">
        <v>795.0</v>
      </c>
      <c r="G9217" s="81" t="s">
        <v>39</v>
      </c>
      <c r="H9217" s="81" t="s">
        <v>224</v>
      </c>
      <c r="I9217" s="81" t="s">
        <v>224</v>
      </c>
      <c r="J9217" s="81" t="s">
        <v>6316</v>
      </c>
    </row>
    <row r="9218">
      <c r="A9218" s="83" t="s">
        <v>6784</v>
      </c>
      <c r="B9218" s="83" t="s">
        <v>6785</v>
      </c>
      <c r="C9218" s="81" t="s">
        <v>4082</v>
      </c>
      <c r="D9218" s="83" t="s">
        <v>4848</v>
      </c>
      <c r="E9218" s="81" t="s">
        <v>1142</v>
      </c>
      <c r="F9218" s="81">
        <v>796.0</v>
      </c>
      <c r="G9218" s="81" t="s">
        <v>39</v>
      </c>
      <c r="H9218" s="81" t="s">
        <v>224</v>
      </c>
      <c r="I9218" s="81" t="s">
        <v>224</v>
      </c>
      <c r="J9218" s="81" t="s">
        <v>6443</v>
      </c>
    </row>
    <row r="9219">
      <c r="A9219" s="83" t="s">
        <v>6784</v>
      </c>
      <c r="B9219" s="83" t="s">
        <v>6785</v>
      </c>
      <c r="C9219" s="81" t="s">
        <v>4082</v>
      </c>
      <c r="D9219" s="83" t="s">
        <v>4850</v>
      </c>
      <c r="E9219" s="81" t="s">
        <v>1138</v>
      </c>
      <c r="F9219" s="81">
        <v>797.0</v>
      </c>
      <c r="G9219" s="81" t="s">
        <v>39</v>
      </c>
      <c r="H9219" s="81" t="s">
        <v>224</v>
      </c>
      <c r="I9219" s="81" t="s">
        <v>224</v>
      </c>
      <c r="J9219" s="81" t="s">
        <v>6444</v>
      </c>
    </row>
    <row r="9220">
      <c r="A9220" s="83" t="s">
        <v>6784</v>
      </c>
      <c r="B9220" s="83" t="s">
        <v>6785</v>
      </c>
      <c r="C9220" s="81" t="s">
        <v>4082</v>
      </c>
      <c r="D9220" s="83" t="s">
        <v>4868</v>
      </c>
      <c r="E9220" s="81" t="s">
        <v>4020</v>
      </c>
      <c r="F9220" s="81">
        <v>805.0</v>
      </c>
      <c r="G9220" s="81" t="s">
        <v>41</v>
      </c>
      <c r="H9220" s="81" t="s">
        <v>4027</v>
      </c>
      <c r="I9220" s="81" t="s">
        <v>224</v>
      </c>
      <c r="J9220" s="81" t="s">
        <v>6446</v>
      </c>
    </row>
    <row r="9221">
      <c r="A9221" s="83" t="s">
        <v>6784</v>
      </c>
      <c r="B9221" s="83" t="s">
        <v>6785</v>
      </c>
      <c r="C9221" s="81" t="s">
        <v>4082</v>
      </c>
      <c r="D9221" s="83" t="s">
        <v>4870</v>
      </c>
      <c r="E9221" s="81" t="s">
        <v>4037</v>
      </c>
      <c r="F9221" s="81">
        <v>808.0</v>
      </c>
      <c r="G9221" s="81" t="s">
        <v>39</v>
      </c>
      <c r="H9221" s="81" t="s">
        <v>224</v>
      </c>
      <c r="I9221" s="81" t="s">
        <v>224</v>
      </c>
      <c r="J9221" s="81" t="s">
        <v>6763</v>
      </c>
    </row>
    <row r="9222">
      <c r="A9222" s="83" t="s">
        <v>6784</v>
      </c>
      <c r="B9222" s="83" t="s">
        <v>6785</v>
      </c>
      <c r="C9222" s="81" t="s">
        <v>4082</v>
      </c>
      <c r="D9222" s="83" t="s">
        <v>4870</v>
      </c>
      <c r="E9222" s="81" t="s">
        <v>4037</v>
      </c>
      <c r="F9222" s="81">
        <v>808.0</v>
      </c>
      <c r="G9222" s="81" t="s">
        <v>41</v>
      </c>
      <c r="H9222" s="81" t="s">
        <v>4045</v>
      </c>
      <c r="I9222" s="81" t="s">
        <v>224</v>
      </c>
      <c r="J9222" s="81" t="s">
        <v>6449</v>
      </c>
    </row>
    <row r="9223">
      <c r="A9223" s="83" t="s">
        <v>6784</v>
      </c>
      <c r="B9223" s="83" t="s">
        <v>6785</v>
      </c>
      <c r="C9223" s="81" t="s">
        <v>4082</v>
      </c>
      <c r="D9223" s="83" t="s">
        <v>4871</v>
      </c>
      <c r="E9223" s="81" t="s">
        <v>4049</v>
      </c>
      <c r="F9223" s="81">
        <v>809.0</v>
      </c>
      <c r="G9223" s="81" t="s">
        <v>41</v>
      </c>
      <c r="H9223" s="81" t="s">
        <v>4054</v>
      </c>
      <c r="I9223" s="81" t="s">
        <v>224</v>
      </c>
      <c r="J9223" s="81" t="s">
        <v>6450</v>
      </c>
    </row>
    <row r="9224">
      <c r="A9224" s="83" t="s">
        <v>6784</v>
      </c>
      <c r="B9224" s="83" t="s">
        <v>6785</v>
      </c>
      <c r="C9224" s="81" t="s">
        <v>4084</v>
      </c>
      <c r="D9224" s="81" t="s">
        <v>224</v>
      </c>
      <c r="E9224" s="81" t="s">
        <v>224</v>
      </c>
      <c r="F9224" s="81" t="s">
        <v>224</v>
      </c>
      <c r="G9224" s="81" t="s">
        <v>40</v>
      </c>
      <c r="H9224" s="81" t="s">
        <v>224</v>
      </c>
      <c r="I9224" s="81" t="s">
        <v>224</v>
      </c>
      <c r="J9224" s="81" t="s">
        <v>6452</v>
      </c>
    </row>
    <row r="9225">
      <c r="A9225" s="83" t="s">
        <v>6784</v>
      </c>
      <c r="B9225" s="83" t="s">
        <v>6785</v>
      </c>
      <c r="C9225" s="81" t="s">
        <v>4084</v>
      </c>
      <c r="D9225" s="81" t="s">
        <v>224</v>
      </c>
      <c r="E9225" s="81" t="s">
        <v>224</v>
      </c>
      <c r="F9225" s="81" t="s">
        <v>224</v>
      </c>
      <c r="G9225" s="81" t="s">
        <v>41</v>
      </c>
      <c r="H9225" s="81" t="s">
        <v>224</v>
      </c>
      <c r="I9225" s="81" t="s">
        <v>224</v>
      </c>
      <c r="J9225" s="81" t="s">
        <v>6453</v>
      </c>
    </row>
  </sheetData>
  <autoFilter ref="$A$1:$J$7186">
    <filterColumn colId="0">
      <filters>
        <filter val="08/10/2026 10:53:04"/>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7" t="str">
        <f>IFERROR(__xludf.DUMMYFUNCTION("IMPORTRANGE(""1NXKz4FJxvMPArDiZcuihmoZEuR0lIARH_GAtjDlFofE"",""Luminaría!A1:BG"")"),"SKU")</f>
        <v>SKU</v>
      </c>
      <c r="B1" s="97" t="str">
        <f>IFERROR(__xludf.DUMMYFUNCTION("""COMPUTED_VALUE"""),"Nombre")</f>
        <v>Nombre</v>
      </c>
      <c r="C1" s="97" t="str">
        <f>IFERROR(__xludf.DUMMYFUNCTION("""COMPUTED_VALUE"""),"Descripción")</f>
        <v>Descripción</v>
      </c>
      <c r="D1" s="97" t="str">
        <f>IFERROR(__xludf.DUMMYFUNCTION("""COMPUTED_VALUE"""),"EAN")</f>
        <v>EAN</v>
      </c>
      <c r="E1" s="97" t="str">
        <f>IFERROR(__xludf.DUMMYFUNCTION("""COMPUTED_VALUE"""),"Código (certificado)")</f>
        <v>Código (certificado)</v>
      </c>
      <c r="F1" s="97" t="str">
        <f>IFERROR(__xludf.DUMMYFUNCTION("""COMPUTED_VALUE"""),"Fuente Lumínica")</f>
        <v>Fuente Lumínica</v>
      </c>
      <c r="G1" s="97" t="str">
        <f>IFERROR(__xludf.DUMMYFUNCTION("""COMPUTED_VALUE"""),"Marca LED")</f>
        <v>Marca LED</v>
      </c>
      <c r="H1" s="97" t="str">
        <f>IFERROR(__xludf.DUMMYFUNCTION("""COMPUTED_VALUE"""),"Marca Driver")</f>
        <v>Marca Driver</v>
      </c>
      <c r="I1" s="97" t="str">
        <f>IFERROR(__xludf.DUMMYFUNCTION("""COMPUTED_VALUE"""),"Flicker Free")</f>
        <v>Flicker Free</v>
      </c>
      <c r="J1" s="97" t="str">
        <f>IFERROR(__xludf.DUMMYFUNCTION("""COMPUTED_VALUE"""),"Modelo Driver")</f>
        <v>Modelo Driver</v>
      </c>
      <c r="K1" s="97" t="str">
        <f>IFERROR(__xludf.DUMMYFUNCTION("""COMPUTED_VALUE"""),"Control")</f>
        <v>Control</v>
      </c>
      <c r="L1" s="97" t="str">
        <f>IFERROR(__xludf.DUMMYFUNCTION("""COMPUTED_VALUE"""),"Alimentación [Vac]")</f>
        <v>Alimentación [Vac]</v>
      </c>
      <c r="M1" s="97" t="str">
        <f>IFERROR(__xludf.DUMMYFUNCTION("""COMPUTED_VALUE"""),"Frecuencia [Hz]")</f>
        <v>Frecuencia [Hz]</v>
      </c>
      <c r="N1" s="97" t="str">
        <f>IFERROR(__xludf.DUMMYFUNCTION("""COMPUTED_VALUE"""),"Distribución lumínica")</f>
        <v>Distribución lumínica</v>
      </c>
      <c r="O1" s="97" t="str">
        <f>IFERROR(__xludf.DUMMYFUNCTION("""COMPUTED_VALUE"""),"Potencia [W]")</f>
        <v>Potencia [W]</v>
      </c>
      <c r="P1" s="97" t="str">
        <f>IFERROR(__xludf.DUMMYFUNCTION("""COMPUTED_VALUE"""),"Potencia real [W]")</f>
        <v>Potencia real [W]</v>
      </c>
      <c r="Q1" s="97" t="str">
        <f>IFERROR(__xludf.DUMMYFUNCTION("""COMPUTED_VALUE"""),"Fp (factor de potencia)")</f>
        <v>Fp (factor de potencia)</v>
      </c>
      <c r="R1" s="97" t="str">
        <f>IFERROR(__xludf.DUMMYFUNCTION("""COMPUTED_VALUE"""),"Lúmenes LED [lm]")</f>
        <v>Lúmenes LED [lm]</v>
      </c>
      <c r="S1" s="97" t="str">
        <f>IFERROR(__xludf.DUMMYFUNCTION("""COMPUTED_VALUE"""),"Eficacia luminosa LED [lm/W]")</f>
        <v>Eficacia luminosa LED [lm/W]</v>
      </c>
      <c r="T1" s="97" t="str">
        <f>IFERROR(__xludf.DUMMYFUNCTION("""COMPUTED_VALUE"""),"Flujo luminoso [lm]")</f>
        <v>Flujo luminoso [lm]</v>
      </c>
      <c r="U1" s="97" t="str">
        <f>IFERROR(__xludf.DUMMYFUNCTION("""COMPUTED_VALUE"""),"Eficacia luminosa [lm/W]")</f>
        <v>Eficacia luminosa [lm/W]</v>
      </c>
      <c r="V1" s="97" t="str">
        <f>IFERROR(__xludf.DUMMYFUNCTION("""COMPUTED_VALUE"""),"Angulo de apertura [°]")</f>
        <v>Angulo de apertura [°]</v>
      </c>
      <c r="W1" s="97" t="str">
        <f>IFERROR(__xludf.DUMMYFUNCTION("""COMPUTED_VALUE"""),"Índice de Deslumbramiento Unificado (UGR)")</f>
        <v>Índice de Deslumbramiento Unificado (UGR)</v>
      </c>
      <c r="X1" s="97" t="str">
        <f>IFERROR(__xludf.DUMMYFUNCTION("""COMPUTED_VALUE"""),"Temp. Color / CCT (±5%) [K] ")</f>
        <v>Temp. Color / CCT (±5%) [K] </v>
      </c>
      <c r="Y1" s="97" t="str">
        <f>IFERROR(__xludf.DUMMYFUNCTION("""COMPUTED_VALUE"""),"Índice de Rep. Cromatica (CRI) [Ra]")</f>
        <v>Índice de Rep. Cromatica (CRI) [Ra]</v>
      </c>
      <c r="Z1" s="97" t="str">
        <f>IFERROR(__xludf.DUMMYFUNCTION("""COMPUTED_VALUE"""),"Métrica de Color TM-30 (Fidelidad) [Rf]")</f>
        <v>Métrica de Color TM-30 (Fidelidad) [Rf]</v>
      </c>
      <c r="AA1" s="97" t="str">
        <f>IFERROR(__xludf.DUMMYFUNCTION("""COMPUTED_VALUE"""),"Métrica de Color TM-30 (Saturación) [Rg]")</f>
        <v>Métrica de Color TM-30 (Saturación) [Rg]</v>
      </c>
      <c r="AB1" s="97" t="str">
        <f>IFERROR(__xludf.DUMMYFUNCTION("""COMPUTED_VALUE"""),"Tolerancia Cromática [SDCM]")</f>
        <v>Tolerancia Cromática [SDCM]</v>
      </c>
      <c r="AC1" s="97" t="str">
        <f>IFERROR(__xludf.DUMMYFUNCTION("""COMPUTED_VALUE"""),"Desviación Cromática (Duv)")</f>
        <v>Desviación Cromática (Duv)</v>
      </c>
      <c r="AD1" s="97" t="str">
        <f>IFERROR(__xludf.DUMMYFUNCTION("""COMPUTED_VALUE"""),"Índice de Protección")</f>
        <v>Índice de Protección</v>
      </c>
      <c r="AE1" s="97" t="str">
        <f>IFERROR(__xludf.DUMMYFUNCTION("""COMPUTED_VALUE"""),"Clase de Aislación")</f>
        <v>Clase de Aislación</v>
      </c>
      <c r="AF1" s="97" t="str">
        <f>IFERROR(__xludf.DUMMYFUNCTION("""COMPUTED_VALUE"""),"Fijación")</f>
        <v>Fijación</v>
      </c>
      <c r="AG1" s="97" t="str">
        <f>IFERROR(__xludf.DUMMYFUNCTION("""COMPUTED_VALUE"""),"Dimensión Producto (Ancho*Profundo*Alto) [mm]")</f>
        <v>Dimensión Producto (Ancho*Profundo*Alto) [mm]</v>
      </c>
      <c r="AH1" s="97" t="str">
        <f>IFERROR(__xludf.DUMMYFUNCTION("""COMPUTED_VALUE"""),"Dimensión Calado [mm]")</f>
        <v>Dimensión Calado [mm]</v>
      </c>
      <c r="AI1" s="97" t="str">
        <f>IFERROR(__xludf.DUMMYFUNCTION("""COMPUTED_VALUE"""),"Profundidad Calado [mm]")</f>
        <v>Profundidad Calado [mm]</v>
      </c>
      <c r="AJ1" s="97" t="str">
        <f>IFERROR(__xludf.DUMMYFUNCTION("""COMPUTED_VALUE"""),"Difusor")</f>
        <v>Difusor</v>
      </c>
      <c r="AK1" s="97" t="str">
        <f>IFERROR(__xludf.DUMMYFUNCTION("""COMPUTED_VALUE"""),"Material")</f>
        <v>Material</v>
      </c>
      <c r="AL1" s="97" t="str">
        <f>IFERROR(__xludf.DUMMYFUNCTION("""COMPUTED_VALUE"""),"Terminación Producto")</f>
        <v>Terminación Producto</v>
      </c>
      <c r="AM1" s="97" t="str">
        <f>IFERROR(__xludf.DUMMYFUNCTION("""COMPUTED_VALUE"""),"Temp. Operativa [°C]")</f>
        <v>Temp. Operativa [°C]</v>
      </c>
      <c r="AN1" s="97" t="str">
        <f>IFERROR(__xludf.DUMMYFUNCTION("""COMPUTED_VALUE"""),"Vida Útil")</f>
        <v>Vida Útil</v>
      </c>
      <c r="AO1" s="97" t="str">
        <f>IFERROR(__xludf.DUMMYFUNCTION("""COMPUTED_VALUE"""),"Garantía [años]")</f>
        <v>Garantía [años]</v>
      </c>
      <c r="AP1" s="97" t="str">
        <f>IFERROR(__xludf.DUMMYFUNCTION("""COMPUTED_VALUE"""),"Curva de distribución de la intensidad luminosa")</f>
        <v>Curva de distribución de la intensidad luminosa</v>
      </c>
      <c r="AQ1" s="97" t="str">
        <f>IFERROR(__xludf.DUMMYFUNCTION("""COMPUTED_VALUE"""),"Distribución de iluminancia a distancia")</f>
        <v>Distribución de iluminancia a distancia</v>
      </c>
      <c r="AR1" s="97" t="str">
        <f>IFERROR(__xludf.DUMMYFUNCTION("""COMPUTED_VALUE"""),"Archivo .LDT")</f>
        <v>Archivo .LDT</v>
      </c>
      <c r="AS1" s="97" t="str">
        <f>IFERROR(__xludf.DUMMYFUNCTION("""COMPUTED_VALUE"""),"Dibujo técnico")</f>
        <v>Dibujo técnico</v>
      </c>
      <c r="AT1" s="97" t="str">
        <f>IFERROR(__xludf.DUMMYFUNCTION("""COMPUTED_VALUE"""),"Bloque CAD")</f>
        <v>Bloque CAD</v>
      </c>
      <c r="AU1" s="97" t="str">
        <f>IFERROR(__xludf.DUMMYFUNCTION("""COMPUTED_VALUE"""),"Manual de Instalación")</f>
        <v>Manual de Instalación</v>
      </c>
      <c r="AV1" s="97" t="str">
        <f>IFERROR(__xludf.DUMMYFUNCTION("""COMPUTED_VALUE"""),"Subfamilia")</f>
        <v>Subfamilia</v>
      </c>
      <c r="AW1" s="97" t="str">
        <f>IFERROR(__xludf.DUMMYFUNCTION("""COMPUTED_VALUE"""),"Familia")</f>
        <v>Familia</v>
      </c>
      <c r="AX1" s="97" t="str">
        <f>IFERROR(__xludf.DUMMYFUNCTION("""COMPUTED_VALUE"""),"Vertical")</f>
        <v>Vertical</v>
      </c>
      <c r="AY1" s="97" t="str">
        <f>IFERROR(__xludf.DUMMYFUNCTION("""COMPUTED_VALUE"""),"Colección")</f>
        <v>Colección</v>
      </c>
      <c r="AZ1" s="97" t="str">
        <f>IFERROR(__xludf.DUMMYFUNCTION("""COMPUTED_VALUE"""),"Comentarios")</f>
        <v>Comentarios</v>
      </c>
      <c r="BA1" s="97" t="str">
        <f>IFERROR(__xludf.DUMMYFUNCTION("""COMPUTED_VALUE"""),"Cant. por Caja Master")</f>
        <v>Cant. por Caja Master</v>
      </c>
      <c r="BB1" s="97" t="str">
        <f>IFERROR(__xludf.DUMMYFUNCTION("""COMPUTED_VALUE"""),"Peso Neto [Kg]")</f>
        <v>Peso Neto [Kg]</v>
      </c>
      <c r="BC1" s="97" t="str">
        <f>IFERROR(__xludf.DUMMYFUNCTION("""COMPUTED_VALUE"""),"Peso Bruto [Kg]")</f>
        <v>Peso Bruto [Kg]</v>
      </c>
      <c r="BD1" s="97" t="str">
        <f>IFERROR(__xludf.DUMMYFUNCTION("""COMPUTED_VALUE"""),"Nombre Ficha Técnica")</f>
        <v>Nombre Ficha Técnica</v>
      </c>
      <c r="BE1" s="98" t="str">
        <f>IFERROR(__xludf.DUMMYFUNCTION("""COMPUTED_VALUE"""),"Ficha Técnica")</f>
        <v>Ficha Técnica</v>
      </c>
      <c r="BF1" s="97" t="str">
        <f>IFERROR(__xludf.DUMMYFUNCTION("""COMPUTED_VALUE"""),"Reemplazo")</f>
        <v>Reemplazo</v>
      </c>
      <c r="BG1" s="98" t="str">
        <f>IFERROR(__xludf.DUMMYFUNCTION("""COMPUTED_VALUE"""),"Estado")</f>
        <v>Estado</v>
      </c>
    </row>
    <row r="2">
      <c r="A2" s="97">
        <f>IFERROR(__xludf.DUMMYFUNCTION("""COMPUTED_VALUE"""),3351.0)</f>
        <v>3351</v>
      </c>
      <c r="B2" s="97" t="str">
        <f>IFERROR(__xludf.DUMMYFUNCTION("""COMPUTED_VALUE"""),"CIRCE")</f>
        <v>CIRCE</v>
      </c>
      <c r="C2" s="97" t="str">
        <f>IFERROR(__xludf.DUMMYFUNCTION("""COMPUTED_VALUE"""),"COLGANTE CIRCE LEUK")</f>
        <v>COLGANTE CIRCE LEUK</v>
      </c>
      <c r="D2" s="97">
        <f>IFERROR(__xludf.DUMMYFUNCTION("""COMPUTED_VALUE"""),7.798328752499E12)</f>
        <v>7798328752499</v>
      </c>
      <c r="E2" s="97"/>
      <c r="F2" s="97"/>
      <c r="G2" s="97"/>
      <c r="H2" s="97"/>
      <c r="I2" s="97"/>
      <c r="J2" s="97"/>
      <c r="K2" s="97"/>
      <c r="L2" s="97"/>
      <c r="M2" s="97"/>
      <c r="N2" s="97"/>
      <c r="O2" s="97"/>
      <c r="P2" s="97"/>
      <c r="Q2" s="97"/>
      <c r="R2" s="97"/>
      <c r="S2" s="97"/>
      <c r="T2" s="97"/>
      <c r="U2" s="97"/>
      <c r="V2" s="97"/>
      <c r="W2" s="97"/>
      <c r="X2" s="97"/>
      <c r="Y2" s="97"/>
      <c r="Z2" s="97"/>
      <c r="AA2" s="97"/>
      <c r="AB2" s="97"/>
      <c r="AC2" s="97"/>
      <c r="AD2" s="97" t="str">
        <f>IFERROR(__xludf.DUMMYFUNCTION("""COMPUTED_VALUE"""),"IP20")</f>
        <v>IP20</v>
      </c>
      <c r="AE2" s="97"/>
      <c r="AF2" s="97" t="str">
        <f>IFERROR(__xludf.DUMMYFUNCTION("""COMPUTED_VALUE"""),"Suspender")</f>
        <v>Suspender</v>
      </c>
      <c r="AG2" s="97"/>
      <c r="AH2" s="97"/>
      <c r="AI2" s="97"/>
      <c r="AJ2" s="97"/>
      <c r="AK2" s="97"/>
      <c r="AL2" s="97"/>
      <c r="AM2" s="97"/>
      <c r="AN2" s="97"/>
      <c r="AO2" s="97" t="str">
        <f>IFERROR(__xludf.DUMMYFUNCTION("""COMPUTED_VALUE"""),"1 Año")</f>
        <v>1 Año</v>
      </c>
      <c r="AP2" s="97"/>
      <c r="AQ2" s="97"/>
      <c r="AR2" s="97"/>
      <c r="AS2" s="97"/>
      <c r="AT2" s="97"/>
      <c r="AU2" s="97"/>
      <c r="AV2" s="97" t="str">
        <f>IFERROR(__xludf.DUMMYFUNCTION("""COMPUTED_VALUE"""),"Colgante")</f>
        <v>Colgante</v>
      </c>
      <c r="AW2" s="97" t="str">
        <f>IFERROR(__xludf.DUMMYFUNCTION("""COMPUTED_VALUE"""),"De Techo")</f>
        <v>De Techo</v>
      </c>
      <c r="AX2" s="97" t="str">
        <f>IFERROR(__xludf.DUMMYFUNCTION("""COMPUTED_VALUE"""),"Interior")</f>
        <v>Interior</v>
      </c>
      <c r="AY2" s="97"/>
      <c r="AZ2" s="97"/>
      <c r="BA2" s="97">
        <f>IFERROR(__xludf.DUMMYFUNCTION("""COMPUTED_VALUE"""),1.0)</f>
        <v>1</v>
      </c>
      <c r="BB2" s="97"/>
      <c r="BC2" s="97"/>
      <c r="BD2" s="97" t="str">
        <f>IFERROR(__xludf.DUMMYFUNCTION("""COMPUTED_VALUE"""),"CIRCE")</f>
        <v>CIRCE</v>
      </c>
      <c r="BE2" s="97" t="str">
        <f>IFERROR(__xludf.DUMMYFUNCTION("""COMPUTED_VALUE"""),"Sin Ficha")</f>
        <v>Sin Ficha</v>
      </c>
      <c r="BF2" s="97"/>
      <c r="BG2" s="97" t="str">
        <f>IFERROR(__xludf.DUMMYFUNCTION("""COMPUTED_VALUE"""),"Discontinuo")</f>
        <v>Discontinuo</v>
      </c>
    </row>
    <row r="3">
      <c r="A3" s="97">
        <f>IFERROR(__xludf.DUMMYFUNCTION("""COMPUTED_VALUE"""),3352.0)</f>
        <v>3352</v>
      </c>
      <c r="B3" s="97" t="str">
        <f>IFERROR(__xludf.DUMMYFUNCTION("""COMPUTED_VALUE"""),"ICARO")</f>
        <v>ICARO</v>
      </c>
      <c r="C3" s="97" t="str">
        <f>IFERROR(__xludf.DUMMYFUNCTION("""COMPUTED_VALUE"""),"COLGANTE ICARO LEUK")</f>
        <v>COLGANTE ICARO LEUK</v>
      </c>
      <c r="D3" s="97">
        <f>IFERROR(__xludf.DUMMYFUNCTION("""COMPUTED_VALUE"""),7.798328752574E12)</f>
        <v>7798328752574</v>
      </c>
      <c r="E3" s="97"/>
      <c r="F3" s="97"/>
      <c r="G3" s="97"/>
      <c r="H3" s="97"/>
      <c r="I3" s="97"/>
      <c r="J3" s="97"/>
      <c r="K3" s="97"/>
      <c r="L3" s="97"/>
      <c r="M3" s="97"/>
      <c r="N3" s="97"/>
      <c r="O3" s="97"/>
      <c r="P3" s="97"/>
      <c r="Q3" s="97"/>
      <c r="R3" s="97"/>
      <c r="S3" s="97"/>
      <c r="T3" s="97"/>
      <c r="U3" s="97"/>
      <c r="V3" s="97"/>
      <c r="W3" s="97"/>
      <c r="X3" s="97"/>
      <c r="Y3" s="97"/>
      <c r="Z3" s="97"/>
      <c r="AA3" s="97"/>
      <c r="AB3" s="97"/>
      <c r="AC3" s="97"/>
      <c r="AD3" s="97" t="str">
        <f>IFERROR(__xludf.DUMMYFUNCTION("""COMPUTED_VALUE"""),"IP20")</f>
        <v>IP20</v>
      </c>
      <c r="AE3" s="97"/>
      <c r="AF3" s="97" t="str">
        <f>IFERROR(__xludf.DUMMYFUNCTION("""COMPUTED_VALUE"""),"Suspender")</f>
        <v>Suspender</v>
      </c>
      <c r="AG3" s="97"/>
      <c r="AH3" s="97"/>
      <c r="AI3" s="97"/>
      <c r="AJ3" s="97"/>
      <c r="AK3" s="97"/>
      <c r="AL3" s="97"/>
      <c r="AM3" s="97"/>
      <c r="AN3" s="97"/>
      <c r="AO3" s="97" t="str">
        <f>IFERROR(__xludf.DUMMYFUNCTION("""COMPUTED_VALUE"""),"1 Año")</f>
        <v>1 Año</v>
      </c>
      <c r="AP3" s="97"/>
      <c r="AQ3" s="97"/>
      <c r="AR3" s="97"/>
      <c r="AS3" s="97"/>
      <c r="AT3" s="97"/>
      <c r="AU3" s="97"/>
      <c r="AV3" s="97" t="str">
        <f>IFERROR(__xludf.DUMMYFUNCTION("""COMPUTED_VALUE"""),"Colgante")</f>
        <v>Colgante</v>
      </c>
      <c r="AW3" s="97" t="str">
        <f>IFERROR(__xludf.DUMMYFUNCTION("""COMPUTED_VALUE"""),"De Techo")</f>
        <v>De Techo</v>
      </c>
      <c r="AX3" s="97" t="str">
        <f>IFERROR(__xludf.DUMMYFUNCTION("""COMPUTED_VALUE"""),"Interior")</f>
        <v>Interior</v>
      </c>
      <c r="AY3" s="97"/>
      <c r="AZ3" s="97"/>
      <c r="BA3" s="97"/>
      <c r="BB3" s="97"/>
      <c r="BC3" s="97"/>
      <c r="BD3" s="97" t="str">
        <f>IFERROR(__xludf.DUMMYFUNCTION("""COMPUTED_VALUE"""),"ICARO")</f>
        <v>ICARO</v>
      </c>
      <c r="BE3" s="97" t="str">
        <f>IFERROR(__xludf.DUMMYFUNCTION("""COMPUTED_VALUE"""),"Sin Ficha")</f>
        <v>Sin Ficha</v>
      </c>
      <c r="BF3" s="97"/>
      <c r="BG3" s="97" t="str">
        <f>IFERROR(__xludf.DUMMYFUNCTION("""COMPUTED_VALUE"""),"Discontinuo")</f>
        <v>Discontinuo</v>
      </c>
    </row>
    <row r="4">
      <c r="A4" s="97">
        <f>IFERROR(__xludf.DUMMYFUNCTION("""COMPUTED_VALUE"""),3353.0)</f>
        <v>3353</v>
      </c>
      <c r="B4" s="97" t="str">
        <f>IFERROR(__xludf.DUMMYFUNCTION("""COMPUTED_VALUE"""),"KAL RUST CABLE TEXTIL")</f>
        <v>KAL RUST CABLE TEXTIL</v>
      </c>
      <c r="C4" s="97" t="str">
        <f>IFERROR(__xludf.DUMMYFUNCTION("""COMPUTED_VALUE"""),"COLGANTE KAL RUST CABLE TEXTIL LEUK")</f>
        <v>COLGANTE KAL RUST CABLE TEXTIL LEUK</v>
      </c>
      <c r="D4" s="97"/>
      <c r="E4" s="97"/>
      <c r="F4" s="97"/>
      <c r="G4" s="97"/>
      <c r="H4" s="97"/>
      <c r="I4" s="97"/>
      <c r="J4" s="97"/>
      <c r="K4" s="97"/>
      <c r="L4" s="97"/>
      <c r="M4" s="97"/>
      <c r="N4" s="97"/>
      <c r="O4" s="97"/>
      <c r="P4" s="97"/>
      <c r="Q4" s="97"/>
      <c r="R4" s="97"/>
      <c r="S4" s="97"/>
      <c r="T4" s="97"/>
      <c r="U4" s="97"/>
      <c r="V4" s="97"/>
      <c r="W4" s="97"/>
      <c r="X4" s="97"/>
      <c r="Y4" s="97"/>
      <c r="Z4" s="97"/>
      <c r="AA4" s="97"/>
      <c r="AB4" s="97"/>
      <c r="AC4" s="97"/>
      <c r="AD4" s="97" t="str">
        <f>IFERROR(__xludf.DUMMYFUNCTION("""COMPUTED_VALUE"""),"IP20")</f>
        <v>IP20</v>
      </c>
      <c r="AE4" s="97"/>
      <c r="AF4" s="97" t="str">
        <f>IFERROR(__xludf.DUMMYFUNCTION("""COMPUTED_VALUE"""),"Suspender")</f>
        <v>Suspender</v>
      </c>
      <c r="AG4" s="97"/>
      <c r="AH4" s="97"/>
      <c r="AI4" s="97"/>
      <c r="AJ4" s="97"/>
      <c r="AK4" s="97"/>
      <c r="AL4" s="97"/>
      <c r="AM4" s="97"/>
      <c r="AN4" s="97"/>
      <c r="AO4" s="97" t="str">
        <f>IFERROR(__xludf.DUMMYFUNCTION("""COMPUTED_VALUE"""),"1 Año")</f>
        <v>1 Año</v>
      </c>
      <c r="AP4" s="97"/>
      <c r="AQ4" s="97"/>
      <c r="AR4" s="97"/>
      <c r="AS4" s="97"/>
      <c r="AT4" s="97"/>
      <c r="AU4" s="97"/>
      <c r="AV4" s="97" t="str">
        <f>IFERROR(__xludf.DUMMYFUNCTION("""COMPUTED_VALUE"""),"Colgante")</f>
        <v>Colgante</v>
      </c>
      <c r="AW4" s="97" t="str">
        <f>IFERROR(__xludf.DUMMYFUNCTION("""COMPUTED_VALUE"""),"De Techo")</f>
        <v>De Techo</v>
      </c>
      <c r="AX4" s="97" t="str">
        <f>IFERROR(__xludf.DUMMYFUNCTION("""COMPUTED_VALUE"""),"Interior")</f>
        <v>Interior</v>
      </c>
      <c r="AY4" s="97"/>
      <c r="AZ4" s="97"/>
      <c r="BA4" s="97"/>
      <c r="BB4" s="97"/>
      <c r="BC4" s="97"/>
      <c r="BD4" s="97" t="str">
        <f>IFERROR(__xludf.DUMMYFUNCTION("""COMPUTED_VALUE"""),"KAL")</f>
        <v>KAL</v>
      </c>
      <c r="BE4" s="97" t="str">
        <f>IFERROR(__xludf.DUMMYFUNCTION("""COMPUTED_VALUE"""),"Sin Ficha")</f>
        <v>Sin Ficha</v>
      </c>
      <c r="BF4" s="97"/>
      <c r="BG4" s="97" t="str">
        <f>IFERROR(__xludf.DUMMYFUNCTION("""COMPUTED_VALUE"""),"Discontinuo")</f>
        <v>Discontinuo</v>
      </c>
    </row>
    <row r="5">
      <c r="A5" s="97">
        <f>IFERROR(__xludf.DUMMYFUNCTION("""COMPUTED_VALUE"""),3354.0)</f>
        <v>3354</v>
      </c>
      <c r="B5" s="97" t="str">
        <f>IFERROR(__xludf.DUMMYFUNCTION("""COMPUTED_VALUE"""),"KYRIL")</f>
        <v>KYRIL</v>
      </c>
      <c r="C5" s="97" t="str">
        <f>IFERROR(__xludf.DUMMYFUNCTION("""COMPUTED_VALUE"""),"COLGANTE KYRIL LEUK")</f>
        <v>COLGANTE KYRIL LEUK</v>
      </c>
      <c r="D5" s="97">
        <f>IFERROR(__xludf.DUMMYFUNCTION("""COMPUTED_VALUE"""),7.798328752604E12)</f>
        <v>7798328752604</v>
      </c>
      <c r="E5" s="97"/>
      <c r="F5" s="97"/>
      <c r="G5" s="97"/>
      <c r="H5" s="97"/>
      <c r="I5" s="97"/>
      <c r="J5" s="97"/>
      <c r="K5" s="97"/>
      <c r="L5" s="97"/>
      <c r="M5" s="97"/>
      <c r="N5" s="97"/>
      <c r="O5" s="97"/>
      <c r="P5" s="97"/>
      <c r="Q5" s="97"/>
      <c r="R5" s="97"/>
      <c r="S5" s="97"/>
      <c r="T5" s="97"/>
      <c r="U5" s="97"/>
      <c r="V5" s="97"/>
      <c r="W5" s="97"/>
      <c r="X5" s="97"/>
      <c r="Y5" s="97"/>
      <c r="Z5" s="97"/>
      <c r="AA5" s="97"/>
      <c r="AB5" s="97"/>
      <c r="AC5" s="97"/>
      <c r="AD5" s="97" t="str">
        <f>IFERROR(__xludf.DUMMYFUNCTION("""COMPUTED_VALUE"""),"IP20")</f>
        <v>IP20</v>
      </c>
      <c r="AE5" s="97"/>
      <c r="AF5" s="97" t="str">
        <f>IFERROR(__xludf.DUMMYFUNCTION("""COMPUTED_VALUE"""),"Suspender")</f>
        <v>Suspender</v>
      </c>
      <c r="AG5" s="97"/>
      <c r="AH5" s="97"/>
      <c r="AI5" s="97"/>
      <c r="AJ5" s="97"/>
      <c r="AK5" s="97"/>
      <c r="AL5" s="97"/>
      <c r="AM5" s="97"/>
      <c r="AN5" s="97"/>
      <c r="AO5" s="97" t="str">
        <f>IFERROR(__xludf.DUMMYFUNCTION("""COMPUTED_VALUE"""),"1 Año")</f>
        <v>1 Año</v>
      </c>
      <c r="AP5" s="97"/>
      <c r="AQ5" s="97"/>
      <c r="AR5" s="97"/>
      <c r="AS5" s="97"/>
      <c r="AT5" s="97"/>
      <c r="AU5" s="97"/>
      <c r="AV5" s="97" t="str">
        <f>IFERROR(__xludf.DUMMYFUNCTION("""COMPUTED_VALUE"""),"Colgante")</f>
        <v>Colgante</v>
      </c>
      <c r="AW5" s="97" t="str">
        <f>IFERROR(__xludf.DUMMYFUNCTION("""COMPUTED_VALUE"""),"De Techo")</f>
        <v>De Techo</v>
      </c>
      <c r="AX5" s="97" t="str">
        <f>IFERROR(__xludf.DUMMYFUNCTION("""COMPUTED_VALUE"""),"Interior")</f>
        <v>Interior</v>
      </c>
      <c r="AY5" s="97"/>
      <c r="AZ5" s="97"/>
      <c r="BA5" s="97"/>
      <c r="BB5" s="97"/>
      <c r="BC5" s="97"/>
      <c r="BD5" s="97" t="str">
        <f>IFERROR(__xludf.DUMMYFUNCTION("""COMPUTED_VALUE"""),"KYRIL")</f>
        <v>KYRIL</v>
      </c>
      <c r="BE5" s="97" t="str">
        <f>IFERROR(__xludf.DUMMYFUNCTION("""COMPUTED_VALUE"""),"Sin Ficha")</f>
        <v>Sin Ficha</v>
      </c>
      <c r="BF5" s="97"/>
      <c r="BG5" s="97" t="str">
        <f>IFERROR(__xludf.DUMMYFUNCTION("""COMPUTED_VALUE"""),"Discontinuo")</f>
        <v>Discontinuo</v>
      </c>
    </row>
    <row r="6">
      <c r="A6" s="97">
        <f>IFERROR(__xludf.DUMMYFUNCTION("""COMPUTED_VALUE"""),3355.0)</f>
        <v>3355</v>
      </c>
      <c r="B6" s="97" t="str">
        <f>IFERROR(__xludf.DUMMYFUNCTION("""COMPUTED_VALUE"""),"OTIS")</f>
        <v>OTIS</v>
      </c>
      <c r="C6" s="97" t="str">
        <f>IFERROR(__xludf.DUMMYFUNCTION("""COMPUTED_VALUE"""),"COLGANTE OTIS LEUK")</f>
        <v>COLGANTE OTIS LEUK</v>
      </c>
      <c r="D6" s="97">
        <f>IFERROR(__xludf.DUMMYFUNCTION("""COMPUTED_VALUE"""),7.798328752611E12)</f>
        <v>7798328752611</v>
      </c>
      <c r="E6" s="97"/>
      <c r="F6" s="97"/>
      <c r="G6" s="97"/>
      <c r="H6" s="97"/>
      <c r="I6" s="97"/>
      <c r="J6" s="97"/>
      <c r="K6" s="97"/>
      <c r="L6" s="97"/>
      <c r="M6" s="97"/>
      <c r="N6" s="97"/>
      <c r="O6" s="97"/>
      <c r="P6" s="97"/>
      <c r="Q6" s="97"/>
      <c r="R6" s="97"/>
      <c r="S6" s="97"/>
      <c r="T6" s="97"/>
      <c r="U6" s="97"/>
      <c r="V6" s="97"/>
      <c r="W6" s="97"/>
      <c r="X6" s="97"/>
      <c r="Y6" s="97"/>
      <c r="Z6" s="97"/>
      <c r="AA6" s="97"/>
      <c r="AB6" s="97"/>
      <c r="AC6" s="97"/>
      <c r="AD6" s="97" t="str">
        <f>IFERROR(__xludf.DUMMYFUNCTION("""COMPUTED_VALUE"""),"IP20")</f>
        <v>IP20</v>
      </c>
      <c r="AE6" s="97"/>
      <c r="AF6" s="97" t="str">
        <f>IFERROR(__xludf.DUMMYFUNCTION("""COMPUTED_VALUE"""),"Suspender")</f>
        <v>Suspender</v>
      </c>
      <c r="AG6" s="97"/>
      <c r="AH6" s="97"/>
      <c r="AI6" s="97"/>
      <c r="AJ6" s="97"/>
      <c r="AK6" s="97"/>
      <c r="AL6" s="97"/>
      <c r="AM6" s="97"/>
      <c r="AN6" s="97"/>
      <c r="AO6" s="97" t="str">
        <f>IFERROR(__xludf.DUMMYFUNCTION("""COMPUTED_VALUE"""),"1 Año")</f>
        <v>1 Año</v>
      </c>
      <c r="AP6" s="97"/>
      <c r="AQ6" s="97"/>
      <c r="AR6" s="97"/>
      <c r="AS6" s="97"/>
      <c r="AT6" s="97"/>
      <c r="AU6" s="97"/>
      <c r="AV6" s="97" t="str">
        <f>IFERROR(__xludf.DUMMYFUNCTION("""COMPUTED_VALUE"""),"Colgante")</f>
        <v>Colgante</v>
      </c>
      <c r="AW6" s="97" t="str">
        <f>IFERROR(__xludf.DUMMYFUNCTION("""COMPUTED_VALUE"""),"De Techo")</f>
        <v>De Techo</v>
      </c>
      <c r="AX6" s="97" t="str">
        <f>IFERROR(__xludf.DUMMYFUNCTION("""COMPUTED_VALUE"""),"Interior")</f>
        <v>Interior</v>
      </c>
      <c r="AY6" s="97"/>
      <c r="AZ6" s="97"/>
      <c r="BA6" s="97"/>
      <c r="BB6" s="97"/>
      <c r="BC6" s="97"/>
      <c r="BD6" s="97" t="str">
        <f>IFERROR(__xludf.DUMMYFUNCTION("""COMPUTED_VALUE"""),"OTIS")</f>
        <v>OTIS</v>
      </c>
      <c r="BE6" s="97" t="str">
        <f>IFERROR(__xludf.DUMMYFUNCTION("""COMPUTED_VALUE"""),"Sin Ficha")</f>
        <v>Sin Ficha</v>
      </c>
      <c r="BF6" s="97"/>
      <c r="BG6" s="97" t="str">
        <f>IFERROR(__xludf.DUMMYFUNCTION("""COMPUTED_VALUE"""),"Discontinuo")</f>
        <v>Discontinuo</v>
      </c>
    </row>
    <row r="7">
      <c r="A7" s="97">
        <f>IFERROR(__xludf.DUMMYFUNCTION("""COMPUTED_VALUE"""),3356.0)</f>
        <v>3356</v>
      </c>
      <c r="B7" s="97" t="str">
        <f>IFERROR(__xludf.DUMMYFUNCTION("""COMPUTED_VALUE"""),"FIDIAS")</f>
        <v>FIDIAS</v>
      </c>
      <c r="C7" s="97" t="str">
        <f>IFERROR(__xludf.DUMMYFUNCTION("""COMPUTED_VALUE"""),"COLGANTE FIDIAS LEUK")</f>
        <v>COLGANTE FIDIAS LEUK</v>
      </c>
      <c r="D7" s="97">
        <f>IFERROR(__xludf.DUMMYFUNCTION("""COMPUTED_VALUE"""),7.798328752628E12)</f>
        <v>7798328752628</v>
      </c>
      <c r="E7" s="97"/>
      <c r="F7" s="97"/>
      <c r="G7" s="97"/>
      <c r="H7" s="97"/>
      <c r="I7" s="97"/>
      <c r="J7" s="97"/>
      <c r="K7" s="97"/>
      <c r="L7" s="97"/>
      <c r="M7" s="97"/>
      <c r="N7" s="97"/>
      <c r="O7" s="97"/>
      <c r="P7" s="97"/>
      <c r="Q7" s="97"/>
      <c r="R7" s="97"/>
      <c r="S7" s="97"/>
      <c r="T7" s="97"/>
      <c r="U7" s="97"/>
      <c r="V7" s="97"/>
      <c r="W7" s="97"/>
      <c r="X7" s="97"/>
      <c r="Y7" s="97"/>
      <c r="Z7" s="97"/>
      <c r="AA7" s="97"/>
      <c r="AB7" s="97"/>
      <c r="AC7" s="97"/>
      <c r="AD7" s="97" t="str">
        <f>IFERROR(__xludf.DUMMYFUNCTION("""COMPUTED_VALUE"""),"IP20")</f>
        <v>IP20</v>
      </c>
      <c r="AE7" s="97"/>
      <c r="AF7" s="97" t="str">
        <f>IFERROR(__xludf.DUMMYFUNCTION("""COMPUTED_VALUE"""),"Suspender")</f>
        <v>Suspender</v>
      </c>
      <c r="AG7" s="97"/>
      <c r="AH7" s="97"/>
      <c r="AI7" s="97"/>
      <c r="AJ7" s="97"/>
      <c r="AK7" s="97"/>
      <c r="AL7" s="97"/>
      <c r="AM7" s="97"/>
      <c r="AN7" s="97"/>
      <c r="AO7" s="97" t="str">
        <f>IFERROR(__xludf.DUMMYFUNCTION("""COMPUTED_VALUE"""),"1 Año")</f>
        <v>1 Año</v>
      </c>
      <c r="AP7" s="97"/>
      <c r="AQ7" s="97"/>
      <c r="AR7" s="97"/>
      <c r="AS7" s="97"/>
      <c r="AT7" s="97"/>
      <c r="AU7" s="97"/>
      <c r="AV7" s="97" t="str">
        <f>IFERROR(__xludf.DUMMYFUNCTION("""COMPUTED_VALUE"""),"Colgante")</f>
        <v>Colgante</v>
      </c>
      <c r="AW7" s="97" t="str">
        <f>IFERROR(__xludf.DUMMYFUNCTION("""COMPUTED_VALUE"""),"De Techo")</f>
        <v>De Techo</v>
      </c>
      <c r="AX7" s="97" t="str">
        <f>IFERROR(__xludf.DUMMYFUNCTION("""COMPUTED_VALUE"""),"Interior")</f>
        <v>Interior</v>
      </c>
      <c r="AY7" s="97"/>
      <c r="AZ7" s="97"/>
      <c r="BA7" s="97"/>
      <c r="BB7" s="97"/>
      <c r="BC7" s="97"/>
      <c r="BD7" s="97" t="str">
        <f>IFERROR(__xludf.DUMMYFUNCTION("""COMPUTED_VALUE"""),"FIDIAS")</f>
        <v>FIDIAS</v>
      </c>
      <c r="BE7" s="97" t="str">
        <f>IFERROR(__xludf.DUMMYFUNCTION("""COMPUTED_VALUE"""),"Sin Ficha")</f>
        <v>Sin Ficha</v>
      </c>
      <c r="BF7" s="97"/>
      <c r="BG7" s="97" t="str">
        <f>IFERROR(__xludf.DUMMYFUNCTION("""COMPUTED_VALUE"""),"Discontinuo")</f>
        <v>Discontinuo</v>
      </c>
    </row>
    <row r="8">
      <c r="A8" s="97">
        <f>IFERROR(__xludf.DUMMYFUNCTION("""COMPUTED_VALUE"""),3357.0)</f>
        <v>3357</v>
      </c>
      <c r="B8" s="97" t="str">
        <f>IFERROR(__xludf.DUMMYFUNCTION("""COMPUTED_VALUE"""),"VANKO")</f>
        <v>VANKO</v>
      </c>
      <c r="C8" s="97" t="str">
        <f>IFERROR(__xludf.DUMMYFUNCTION("""COMPUTED_VALUE"""),"COLGANTE VANKO LEUK")</f>
        <v>COLGANTE VANKO LEUK</v>
      </c>
      <c r="D8" s="97">
        <f>IFERROR(__xludf.DUMMYFUNCTION("""COMPUTED_VALUE"""),7.798328752635E12)</f>
        <v>7798328752635</v>
      </c>
      <c r="E8" s="97"/>
      <c r="F8" s="97"/>
      <c r="G8" s="97"/>
      <c r="H8" s="97"/>
      <c r="I8" s="97"/>
      <c r="J8" s="97"/>
      <c r="K8" s="97"/>
      <c r="L8" s="97"/>
      <c r="M8" s="97"/>
      <c r="N8" s="97"/>
      <c r="O8" s="97"/>
      <c r="P8" s="97"/>
      <c r="Q8" s="97"/>
      <c r="R8" s="97"/>
      <c r="S8" s="97"/>
      <c r="T8" s="97"/>
      <c r="U8" s="97"/>
      <c r="V8" s="97"/>
      <c r="W8" s="97"/>
      <c r="X8" s="97"/>
      <c r="Y8" s="97"/>
      <c r="Z8" s="97"/>
      <c r="AA8" s="97"/>
      <c r="AB8" s="97"/>
      <c r="AC8" s="97"/>
      <c r="AD8" s="97" t="str">
        <f>IFERROR(__xludf.DUMMYFUNCTION("""COMPUTED_VALUE"""),"IP20")</f>
        <v>IP20</v>
      </c>
      <c r="AE8" s="97"/>
      <c r="AF8" s="97" t="str">
        <f>IFERROR(__xludf.DUMMYFUNCTION("""COMPUTED_VALUE"""),"Suspender")</f>
        <v>Suspender</v>
      </c>
      <c r="AG8" s="97"/>
      <c r="AH8" s="97"/>
      <c r="AI8" s="97"/>
      <c r="AJ8" s="97"/>
      <c r="AK8" s="97"/>
      <c r="AL8" s="97"/>
      <c r="AM8" s="97"/>
      <c r="AN8" s="97"/>
      <c r="AO8" s="97" t="str">
        <f>IFERROR(__xludf.DUMMYFUNCTION("""COMPUTED_VALUE"""),"1 Año")</f>
        <v>1 Año</v>
      </c>
      <c r="AP8" s="97"/>
      <c r="AQ8" s="97"/>
      <c r="AR8" s="97"/>
      <c r="AS8" s="97"/>
      <c r="AT8" s="97"/>
      <c r="AU8" s="97"/>
      <c r="AV8" s="97" t="str">
        <f>IFERROR(__xludf.DUMMYFUNCTION("""COMPUTED_VALUE"""),"Colgante")</f>
        <v>Colgante</v>
      </c>
      <c r="AW8" s="97" t="str">
        <f>IFERROR(__xludf.DUMMYFUNCTION("""COMPUTED_VALUE"""),"De Techo")</f>
        <v>De Techo</v>
      </c>
      <c r="AX8" s="97" t="str">
        <f>IFERROR(__xludf.DUMMYFUNCTION("""COMPUTED_VALUE"""),"Interior")</f>
        <v>Interior</v>
      </c>
      <c r="AY8" s="97"/>
      <c r="AZ8" s="97"/>
      <c r="BA8" s="97"/>
      <c r="BB8" s="97"/>
      <c r="BC8" s="97"/>
      <c r="BD8" s="97" t="str">
        <f>IFERROR(__xludf.DUMMYFUNCTION("""COMPUTED_VALUE"""),"VANKO")</f>
        <v>VANKO</v>
      </c>
      <c r="BE8" s="97" t="str">
        <f>IFERROR(__xludf.DUMMYFUNCTION("""COMPUTED_VALUE"""),"Sin Ficha")</f>
        <v>Sin Ficha</v>
      </c>
      <c r="BF8" s="97"/>
      <c r="BG8" s="97" t="str">
        <f>IFERROR(__xludf.DUMMYFUNCTION("""COMPUTED_VALUE"""),"Discontinuo")</f>
        <v>Discontinuo</v>
      </c>
    </row>
    <row r="9">
      <c r="A9" s="97">
        <f>IFERROR(__xludf.DUMMYFUNCTION("""COMPUTED_VALUE"""),3358.0)</f>
        <v>3358</v>
      </c>
      <c r="B9" s="97" t="str">
        <f>IFERROR(__xludf.DUMMYFUNCTION("""COMPUTED_VALUE"""),"QUINN")</f>
        <v>QUINN</v>
      </c>
      <c r="C9" s="97" t="str">
        <f>IFERROR(__xludf.DUMMYFUNCTION("""COMPUTED_VALUE"""),"COLGANTE QUINN LEUK")</f>
        <v>COLGANTE QUINN LEUK</v>
      </c>
      <c r="D9" s="97">
        <f>IFERROR(__xludf.DUMMYFUNCTION("""COMPUTED_VALUE"""),7.798328752642E12)</f>
        <v>7798328752642</v>
      </c>
      <c r="E9" s="97"/>
      <c r="F9" s="97"/>
      <c r="G9" s="97"/>
      <c r="H9" s="97"/>
      <c r="I9" s="97"/>
      <c r="J9" s="97"/>
      <c r="K9" s="97"/>
      <c r="L9" s="97"/>
      <c r="M9" s="97"/>
      <c r="N9" s="97"/>
      <c r="O9" s="97"/>
      <c r="P9" s="97"/>
      <c r="Q9" s="97"/>
      <c r="R9" s="97"/>
      <c r="S9" s="97"/>
      <c r="T9" s="97"/>
      <c r="U9" s="97"/>
      <c r="V9" s="97"/>
      <c r="W9" s="97"/>
      <c r="X9" s="97"/>
      <c r="Y9" s="97"/>
      <c r="Z9" s="97"/>
      <c r="AA9" s="97"/>
      <c r="AB9" s="97"/>
      <c r="AC9" s="97"/>
      <c r="AD9" s="97" t="str">
        <f>IFERROR(__xludf.DUMMYFUNCTION("""COMPUTED_VALUE"""),"IP20")</f>
        <v>IP20</v>
      </c>
      <c r="AE9" s="97"/>
      <c r="AF9" s="97" t="str">
        <f>IFERROR(__xludf.DUMMYFUNCTION("""COMPUTED_VALUE"""),"Suspender")</f>
        <v>Suspender</v>
      </c>
      <c r="AG9" s="97"/>
      <c r="AH9" s="97"/>
      <c r="AI9" s="97"/>
      <c r="AJ9" s="97"/>
      <c r="AK9" s="97"/>
      <c r="AL9" s="97"/>
      <c r="AM9" s="97"/>
      <c r="AN9" s="97"/>
      <c r="AO9" s="97" t="str">
        <f>IFERROR(__xludf.DUMMYFUNCTION("""COMPUTED_VALUE"""),"1 Año")</f>
        <v>1 Año</v>
      </c>
      <c r="AP9" s="97"/>
      <c r="AQ9" s="97"/>
      <c r="AR9" s="97"/>
      <c r="AS9" s="97"/>
      <c r="AT9" s="97"/>
      <c r="AU9" s="97"/>
      <c r="AV9" s="97" t="str">
        <f>IFERROR(__xludf.DUMMYFUNCTION("""COMPUTED_VALUE"""),"Colgante")</f>
        <v>Colgante</v>
      </c>
      <c r="AW9" s="97" t="str">
        <f>IFERROR(__xludf.DUMMYFUNCTION("""COMPUTED_VALUE"""),"De Techo")</f>
        <v>De Techo</v>
      </c>
      <c r="AX9" s="97" t="str">
        <f>IFERROR(__xludf.DUMMYFUNCTION("""COMPUTED_VALUE"""),"Interior")</f>
        <v>Interior</v>
      </c>
      <c r="AY9" s="97"/>
      <c r="AZ9" s="97"/>
      <c r="BA9" s="97">
        <f>IFERROR(__xludf.DUMMYFUNCTION("""COMPUTED_VALUE"""),1.0)</f>
        <v>1</v>
      </c>
      <c r="BB9" s="97"/>
      <c r="BC9" s="97"/>
      <c r="BD9" s="97" t="str">
        <f>IFERROR(__xludf.DUMMYFUNCTION("""COMPUTED_VALUE"""),"QUINN")</f>
        <v>QUINN</v>
      </c>
      <c r="BE9" s="97" t="str">
        <f>IFERROR(__xludf.DUMMYFUNCTION("""COMPUTED_VALUE"""),"Sin Ficha")</f>
        <v>Sin Ficha</v>
      </c>
      <c r="BF9" s="97"/>
      <c r="BG9" s="97" t="str">
        <f>IFERROR(__xludf.DUMMYFUNCTION("""COMPUTED_VALUE"""),"Discontinuo")</f>
        <v>Discontinuo</v>
      </c>
    </row>
    <row r="10">
      <c r="A10" s="97">
        <f>IFERROR(__xludf.DUMMYFUNCTION("""COMPUTED_VALUE"""),3359.0)</f>
        <v>3359</v>
      </c>
      <c r="B10" s="97" t="str">
        <f>IFERROR(__xludf.DUMMYFUNCTION("""COMPUTED_VALUE"""),"ANKER")</f>
        <v>ANKER</v>
      </c>
      <c r="C10" s="97" t="str">
        <f>IFERROR(__xludf.DUMMYFUNCTION("""COMPUTED_VALUE"""),"COLGANTE ANKER LEUK")</f>
        <v>COLGANTE ANKER LEUK</v>
      </c>
      <c r="D10" s="97">
        <f>IFERROR(__xludf.DUMMYFUNCTION("""COMPUTED_VALUE"""),7.798328752659E12)</f>
        <v>7798328752659</v>
      </c>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t="str">
        <f>IFERROR(__xludf.DUMMYFUNCTION("""COMPUTED_VALUE"""),"IP20")</f>
        <v>IP20</v>
      </c>
      <c r="AE10" s="97"/>
      <c r="AF10" s="97" t="str">
        <f>IFERROR(__xludf.DUMMYFUNCTION("""COMPUTED_VALUE"""),"Suspender")</f>
        <v>Suspender</v>
      </c>
      <c r="AG10" s="97"/>
      <c r="AH10" s="97"/>
      <c r="AI10" s="97"/>
      <c r="AJ10" s="97"/>
      <c r="AK10" s="97"/>
      <c r="AL10" s="97"/>
      <c r="AM10" s="97"/>
      <c r="AN10" s="97"/>
      <c r="AO10" s="97" t="str">
        <f>IFERROR(__xludf.DUMMYFUNCTION("""COMPUTED_VALUE"""),"1 Año")</f>
        <v>1 Año</v>
      </c>
      <c r="AP10" s="97"/>
      <c r="AQ10" s="97"/>
      <c r="AR10" s="97"/>
      <c r="AS10" s="97"/>
      <c r="AT10" s="97"/>
      <c r="AU10" s="97"/>
      <c r="AV10" s="97" t="str">
        <f>IFERROR(__xludf.DUMMYFUNCTION("""COMPUTED_VALUE"""),"Colgante")</f>
        <v>Colgante</v>
      </c>
      <c r="AW10" s="97" t="str">
        <f>IFERROR(__xludf.DUMMYFUNCTION("""COMPUTED_VALUE"""),"De Techo")</f>
        <v>De Techo</v>
      </c>
      <c r="AX10" s="97" t="str">
        <f>IFERROR(__xludf.DUMMYFUNCTION("""COMPUTED_VALUE"""),"Interior")</f>
        <v>Interior</v>
      </c>
      <c r="AY10" s="97"/>
      <c r="AZ10" s="97"/>
      <c r="BA10" s="97"/>
      <c r="BB10" s="97"/>
      <c r="BC10" s="97"/>
      <c r="BD10" s="97" t="str">
        <f>IFERROR(__xludf.DUMMYFUNCTION("""COMPUTED_VALUE"""),"ANKER")</f>
        <v>ANKER</v>
      </c>
      <c r="BE10" s="97" t="str">
        <f>IFERROR(__xludf.DUMMYFUNCTION("""COMPUTED_VALUE"""),"Sin Ficha")</f>
        <v>Sin Ficha</v>
      </c>
      <c r="BF10" s="97"/>
      <c r="BG10" s="97" t="str">
        <f>IFERROR(__xludf.DUMMYFUNCTION("""COMPUTED_VALUE"""),"Discontinuo")</f>
        <v>Discontinuo</v>
      </c>
    </row>
    <row r="11">
      <c r="A11" s="97">
        <f>IFERROR(__xludf.DUMMYFUNCTION("""COMPUTED_VALUE"""),3360.0)</f>
        <v>3360</v>
      </c>
      <c r="B11" s="97" t="str">
        <f>IFERROR(__xludf.DUMMYFUNCTION("""COMPUTED_VALUE"""),"HIEDRA")</f>
        <v>HIEDRA</v>
      </c>
      <c r="C11" s="97" t="str">
        <f>IFERROR(__xludf.DUMMYFUNCTION("""COMPUTED_VALUE"""),"COLGANTE HIEDRA LEUK")</f>
        <v>COLGANTE HIEDRA LEUK</v>
      </c>
      <c r="D11" s="97">
        <f>IFERROR(__xludf.DUMMYFUNCTION("""COMPUTED_VALUE"""),7.798328752666E12)</f>
        <v>7798328752666</v>
      </c>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t="str">
        <f>IFERROR(__xludf.DUMMYFUNCTION("""COMPUTED_VALUE"""),"IP20")</f>
        <v>IP20</v>
      </c>
      <c r="AE11" s="97"/>
      <c r="AF11" s="97" t="str">
        <f>IFERROR(__xludf.DUMMYFUNCTION("""COMPUTED_VALUE"""),"Suspender")</f>
        <v>Suspender</v>
      </c>
      <c r="AG11" s="97"/>
      <c r="AH11" s="97"/>
      <c r="AI11" s="97"/>
      <c r="AJ11" s="97"/>
      <c r="AK11" s="97"/>
      <c r="AL11" s="97"/>
      <c r="AM11" s="97"/>
      <c r="AN11" s="97"/>
      <c r="AO11" s="97" t="str">
        <f>IFERROR(__xludf.DUMMYFUNCTION("""COMPUTED_VALUE"""),"1 Año")</f>
        <v>1 Año</v>
      </c>
      <c r="AP11" s="97"/>
      <c r="AQ11" s="97"/>
      <c r="AR11" s="97"/>
      <c r="AS11" s="97"/>
      <c r="AT11" s="97"/>
      <c r="AU11" s="97"/>
      <c r="AV11" s="97" t="str">
        <f>IFERROR(__xludf.DUMMYFUNCTION("""COMPUTED_VALUE"""),"Colgante")</f>
        <v>Colgante</v>
      </c>
      <c r="AW11" s="97" t="str">
        <f>IFERROR(__xludf.DUMMYFUNCTION("""COMPUTED_VALUE"""),"De Techo")</f>
        <v>De Techo</v>
      </c>
      <c r="AX11" s="97" t="str">
        <f>IFERROR(__xludf.DUMMYFUNCTION("""COMPUTED_VALUE"""),"Interior")</f>
        <v>Interior</v>
      </c>
      <c r="AY11" s="97"/>
      <c r="AZ11" s="97"/>
      <c r="BA11" s="97"/>
      <c r="BB11" s="97"/>
      <c r="BC11" s="97"/>
      <c r="BD11" s="97" t="str">
        <f>IFERROR(__xludf.DUMMYFUNCTION("""COMPUTED_VALUE"""),"HIEDRA")</f>
        <v>HIEDRA</v>
      </c>
      <c r="BE11" s="97" t="str">
        <f>IFERROR(__xludf.DUMMYFUNCTION("""COMPUTED_VALUE"""),"Sin Ficha")</f>
        <v>Sin Ficha</v>
      </c>
      <c r="BF11" s="97"/>
      <c r="BG11" s="97" t="str">
        <f>IFERROR(__xludf.DUMMYFUNCTION("""COMPUTED_VALUE"""),"Discontinuo")</f>
        <v>Discontinuo</v>
      </c>
    </row>
    <row r="12">
      <c r="A12" s="97">
        <f>IFERROR(__xludf.DUMMYFUNCTION("""COMPUTED_VALUE"""),3361.0)</f>
        <v>3361</v>
      </c>
      <c r="B12" s="97" t="str">
        <f>IFERROR(__xludf.DUMMYFUNCTION("""COMPUTED_VALUE"""),"KAIA")</f>
        <v>KAIA</v>
      </c>
      <c r="C12" s="97" t="str">
        <f>IFERROR(__xludf.DUMMYFUNCTION("""COMPUTED_VALUE"""),"COLGANTE KAIA LEUK")</f>
        <v>COLGANTE KAIA LEUK</v>
      </c>
      <c r="D12" s="97">
        <f>IFERROR(__xludf.DUMMYFUNCTION("""COMPUTED_VALUE"""),7.79832875268E12)</f>
        <v>7798328752680</v>
      </c>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t="str">
        <f>IFERROR(__xludf.DUMMYFUNCTION("""COMPUTED_VALUE"""),"IP20")</f>
        <v>IP20</v>
      </c>
      <c r="AE12" s="97"/>
      <c r="AF12" s="97" t="str">
        <f>IFERROR(__xludf.DUMMYFUNCTION("""COMPUTED_VALUE"""),"Suspender")</f>
        <v>Suspender</v>
      </c>
      <c r="AG12" s="97"/>
      <c r="AH12" s="97"/>
      <c r="AI12" s="97"/>
      <c r="AJ12" s="97"/>
      <c r="AK12" s="97"/>
      <c r="AL12" s="97"/>
      <c r="AM12" s="97"/>
      <c r="AN12" s="97"/>
      <c r="AO12" s="97" t="str">
        <f>IFERROR(__xludf.DUMMYFUNCTION("""COMPUTED_VALUE"""),"1 Año")</f>
        <v>1 Año</v>
      </c>
      <c r="AP12" s="97"/>
      <c r="AQ12" s="97"/>
      <c r="AR12" s="97"/>
      <c r="AS12" s="97"/>
      <c r="AT12" s="97"/>
      <c r="AU12" s="97"/>
      <c r="AV12" s="97" t="str">
        <f>IFERROR(__xludf.DUMMYFUNCTION("""COMPUTED_VALUE"""),"Colgante")</f>
        <v>Colgante</v>
      </c>
      <c r="AW12" s="97" t="str">
        <f>IFERROR(__xludf.DUMMYFUNCTION("""COMPUTED_VALUE"""),"De Techo")</f>
        <v>De Techo</v>
      </c>
      <c r="AX12" s="97" t="str">
        <f>IFERROR(__xludf.DUMMYFUNCTION("""COMPUTED_VALUE"""),"Interior")</f>
        <v>Interior</v>
      </c>
      <c r="AY12" s="97"/>
      <c r="AZ12" s="97"/>
      <c r="BA12" s="97"/>
      <c r="BB12" s="97"/>
      <c r="BC12" s="97"/>
      <c r="BD12" s="97" t="str">
        <f>IFERROR(__xludf.DUMMYFUNCTION("""COMPUTED_VALUE"""),"KAIA")</f>
        <v>KAIA</v>
      </c>
      <c r="BE12" s="97" t="str">
        <f>IFERROR(__xludf.DUMMYFUNCTION("""COMPUTED_VALUE"""),"Sin Ficha")</f>
        <v>Sin Ficha</v>
      </c>
      <c r="BF12" s="97"/>
      <c r="BG12" s="97" t="str">
        <f>IFERROR(__xludf.DUMMYFUNCTION("""COMPUTED_VALUE"""),"Discontinuo")</f>
        <v>Discontinuo</v>
      </c>
    </row>
    <row r="13">
      <c r="A13" s="97">
        <f>IFERROR(__xludf.DUMMYFUNCTION("""COMPUTED_VALUE"""),3362.0)</f>
        <v>3362</v>
      </c>
      <c r="B13" s="97" t="str">
        <f>IFERROR(__xludf.DUMMYFUNCTION("""COMPUTED_VALUE"""),"BRONTE")</f>
        <v>BRONTE</v>
      </c>
      <c r="C13" s="97" t="str">
        <f>IFERROR(__xludf.DUMMYFUNCTION("""COMPUTED_VALUE"""),"COLGANTE BRONTE LEUK")</f>
        <v>COLGANTE BRONTE LEUK</v>
      </c>
      <c r="D13" s="97">
        <f>IFERROR(__xludf.DUMMYFUNCTION("""COMPUTED_VALUE"""),7.798328752697E12)</f>
        <v>7798328752697</v>
      </c>
      <c r="E13" s="97"/>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t="str">
        <f>IFERROR(__xludf.DUMMYFUNCTION("""COMPUTED_VALUE"""),"IP20")</f>
        <v>IP20</v>
      </c>
      <c r="AE13" s="97"/>
      <c r="AF13" s="97" t="str">
        <f>IFERROR(__xludf.DUMMYFUNCTION("""COMPUTED_VALUE"""),"Suspender")</f>
        <v>Suspender</v>
      </c>
      <c r="AG13" s="97"/>
      <c r="AH13" s="97"/>
      <c r="AI13" s="97"/>
      <c r="AJ13" s="97"/>
      <c r="AK13" s="97"/>
      <c r="AL13" s="97"/>
      <c r="AM13" s="97"/>
      <c r="AN13" s="97"/>
      <c r="AO13" s="97" t="str">
        <f>IFERROR(__xludf.DUMMYFUNCTION("""COMPUTED_VALUE"""),"1 Año")</f>
        <v>1 Año</v>
      </c>
      <c r="AP13" s="97"/>
      <c r="AQ13" s="97"/>
      <c r="AR13" s="97"/>
      <c r="AS13" s="97"/>
      <c r="AT13" s="97"/>
      <c r="AU13" s="97"/>
      <c r="AV13" s="97" t="str">
        <f>IFERROR(__xludf.DUMMYFUNCTION("""COMPUTED_VALUE"""),"Colgante")</f>
        <v>Colgante</v>
      </c>
      <c r="AW13" s="97" t="str">
        <f>IFERROR(__xludf.DUMMYFUNCTION("""COMPUTED_VALUE"""),"De Techo")</f>
        <v>De Techo</v>
      </c>
      <c r="AX13" s="97" t="str">
        <f>IFERROR(__xludf.DUMMYFUNCTION("""COMPUTED_VALUE"""),"Interior")</f>
        <v>Interior</v>
      </c>
      <c r="AY13" s="97"/>
      <c r="AZ13" s="97"/>
      <c r="BA13" s="97"/>
      <c r="BB13" s="97"/>
      <c r="BC13" s="97"/>
      <c r="BD13" s="97" t="str">
        <f>IFERROR(__xludf.DUMMYFUNCTION("""COMPUTED_VALUE"""),"BRONTE")</f>
        <v>BRONTE</v>
      </c>
      <c r="BE13" s="97" t="str">
        <f>IFERROR(__xludf.DUMMYFUNCTION("""COMPUTED_VALUE"""),"Sin Ficha")</f>
        <v>Sin Ficha</v>
      </c>
      <c r="BF13" s="97"/>
      <c r="BG13" s="97" t="str">
        <f>IFERROR(__xludf.DUMMYFUNCTION("""COMPUTED_VALUE"""),"Discontinuo")</f>
        <v>Discontinuo</v>
      </c>
    </row>
    <row r="14">
      <c r="A14" s="97">
        <f>IFERROR(__xludf.DUMMYFUNCTION("""COMPUTED_VALUE"""),3363.0)</f>
        <v>3363</v>
      </c>
      <c r="B14" s="97" t="str">
        <f>IFERROR(__xludf.DUMMYFUNCTION("""COMPUTED_VALUE"""),"DENNIS")</f>
        <v>DENNIS</v>
      </c>
      <c r="C14" s="97" t="str">
        <f>IFERROR(__xludf.DUMMYFUNCTION("""COMPUTED_VALUE"""),"COLGANTE DENNIS LEUK")</f>
        <v>COLGANTE DENNIS LEUK</v>
      </c>
      <c r="D14" s="97">
        <f>IFERROR(__xludf.DUMMYFUNCTION("""COMPUTED_VALUE"""),7.798328752703E12)</f>
        <v>7798328752703</v>
      </c>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t="str">
        <f>IFERROR(__xludf.DUMMYFUNCTION("""COMPUTED_VALUE"""),"IP20")</f>
        <v>IP20</v>
      </c>
      <c r="AE14" s="97"/>
      <c r="AF14" s="97" t="str">
        <f>IFERROR(__xludf.DUMMYFUNCTION("""COMPUTED_VALUE"""),"Suspender")</f>
        <v>Suspender</v>
      </c>
      <c r="AG14" s="97"/>
      <c r="AH14" s="97"/>
      <c r="AI14" s="97"/>
      <c r="AJ14" s="97"/>
      <c r="AK14" s="97"/>
      <c r="AL14" s="97"/>
      <c r="AM14" s="97"/>
      <c r="AN14" s="97"/>
      <c r="AO14" s="97" t="str">
        <f>IFERROR(__xludf.DUMMYFUNCTION("""COMPUTED_VALUE"""),"1 Año")</f>
        <v>1 Año</v>
      </c>
      <c r="AP14" s="97"/>
      <c r="AQ14" s="97"/>
      <c r="AR14" s="97"/>
      <c r="AS14" s="97"/>
      <c r="AT14" s="97"/>
      <c r="AU14" s="97"/>
      <c r="AV14" s="97" t="str">
        <f>IFERROR(__xludf.DUMMYFUNCTION("""COMPUTED_VALUE"""),"Colgante")</f>
        <v>Colgante</v>
      </c>
      <c r="AW14" s="97" t="str">
        <f>IFERROR(__xludf.DUMMYFUNCTION("""COMPUTED_VALUE"""),"De Techo")</f>
        <v>De Techo</v>
      </c>
      <c r="AX14" s="97" t="str">
        <f>IFERROR(__xludf.DUMMYFUNCTION("""COMPUTED_VALUE"""),"Interior")</f>
        <v>Interior</v>
      </c>
      <c r="AY14" s="97"/>
      <c r="AZ14" s="97"/>
      <c r="BA14" s="97"/>
      <c r="BB14" s="97"/>
      <c r="BC14" s="97"/>
      <c r="BD14" s="97" t="str">
        <f>IFERROR(__xludf.DUMMYFUNCTION("""COMPUTED_VALUE"""),"DENNIS")</f>
        <v>DENNIS</v>
      </c>
      <c r="BE14" s="97" t="str">
        <f>IFERROR(__xludf.DUMMYFUNCTION("""COMPUTED_VALUE"""),"Sin Ficha")</f>
        <v>Sin Ficha</v>
      </c>
      <c r="BF14" s="97"/>
      <c r="BG14" s="97" t="str">
        <f>IFERROR(__xludf.DUMMYFUNCTION("""COMPUTED_VALUE"""),"Discontinuo")</f>
        <v>Discontinuo</v>
      </c>
    </row>
    <row r="15">
      <c r="A15" s="97">
        <f>IFERROR(__xludf.DUMMYFUNCTION("""COMPUTED_VALUE"""),3364.0)</f>
        <v>3364</v>
      </c>
      <c r="B15" s="97" t="str">
        <f>IFERROR(__xludf.DUMMYFUNCTION("""COMPUTED_VALUE"""),"BEAT TALL NG")</f>
        <v>BEAT TALL NG</v>
      </c>
      <c r="C15" s="97" t="str">
        <f>IFERROR(__xludf.DUMMYFUNCTION("""COMPUTED_VALUE"""),"COLGANTE BEAT TALL LEUK NEGRO")</f>
        <v>COLGANTE BEAT TALL LEUK NEGRO</v>
      </c>
      <c r="D15" s="97">
        <f>IFERROR(__xludf.DUMMYFUNCTION("""COMPUTED_VALUE"""),7.79832875271E12)</f>
        <v>7798328752710</v>
      </c>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t="str">
        <f>IFERROR(__xludf.DUMMYFUNCTION("""COMPUTED_VALUE"""),"IP20")</f>
        <v>IP20</v>
      </c>
      <c r="AE15" s="97"/>
      <c r="AF15" s="97" t="str">
        <f>IFERROR(__xludf.DUMMYFUNCTION("""COMPUTED_VALUE"""),"Suspender")</f>
        <v>Suspender</v>
      </c>
      <c r="AG15" s="97"/>
      <c r="AH15" s="97"/>
      <c r="AI15" s="97"/>
      <c r="AJ15" s="97"/>
      <c r="AK15" s="97"/>
      <c r="AL15" s="97"/>
      <c r="AM15" s="97"/>
      <c r="AN15" s="97"/>
      <c r="AO15" s="97" t="str">
        <f>IFERROR(__xludf.DUMMYFUNCTION("""COMPUTED_VALUE"""),"1 Año")</f>
        <v>1 Año</v>
      </c>
      <c r="AP15" s="97"/>
      <c r="AQ15" s="97"/>
      <c r="AR15" s="97"/>
      <c r="AS15" s="97"/>
      <c r="AT15" s="97"/>
      <c r="AU15" s="97"/>
      <c r="AV15" s="97" t="str">
        <f>IFERROR(__xludf.DUMMYFUNCTION("""COMPUTED_VALUE"""),"Colgante")</f>
        <v>Colgante</v>
      </c>
      <c r="AW15" s="97" t="str">
        <f>IFERROR(__xludf.DUMMYFUNCTION("""COMPUTED_VALUE"""),"De Techo")</f>
        <v>De Techo</v>
      </c>
      <c r="AX15" s="97" t="str">
        <f>IFERROR(__xludf.DUMMYFUNCTION("""COMPUTED_VALUE"""),"Interior")</f>
        <v>Interior</v>
      </c>
      <c r="AY15" s="97"/>
      <c r="AZ15" s="97"/>
      <c r="BA15" s="97"/>
      <c r="BB15" s="97"/>
      <c r="BC15" s="97"/>
      <c r="BD15" s="97" t="str">
        <f>IFERROR(__xludf.DUMMYFUNCTION("""COMPUTED_VALUE"""),"BEAT TALL")</f>
        <v>BEAT TALL</v>
      </c>
      <c r="BE15" s="97" t="str">
        <f>IFERROR(__xludf.DUMMYFUNCTION("""COMPUTED_VALUE"""),"Sin Ficha")</f>
        <v>Sin Ficha</v>
      </c>
      <c r="BF15" s="97"/>
      <c r="BG15" s="97" t="str">
        <f>IFERROR(__xludf.DUMMYFUNCTION("""COMPUTED_VALUE"""),"Discontinuo")</f>
        <v>Discontinuo</v>
      </c>
    </row>
    <row r="16">
      <c r="A16" s="97">
        <f>IFERROR(__xludf.DUMMYFUNCTION("""COMPUTED_VALUE"""),3365.0)</f>
        <v>3365</v>
      </c>
      <c r="B16" s="97" t="str">
        <f>IFERROR(__xludf.DUMMYFUNCTION("""COMPUTED_VALUE"""),"BEAT TALL BL")</f>
        <v>BEAT TALL BL</v>
      </c>
      <c r="C16" s="97" t="str">
        <f>IFERROR(__xludf.DUMMYFUNCTION("""COMPUTED_VALUE"""),"COLGANTE BEAT TALL LEUK BLANCO")</f>
        <v>COLGANTE BEAT TALL LEUK BLANCO</v>
      </c>
      <c r="D16" s="97">
        <f>IFERROR(__xludf.DUMMYFUNCTION("""COMPUTED_VALUE"""),7.798328752758E12)</f>
        <v>7798328752758</v>
      </c>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t="str">
        <f>IFERROR(__xludf.DUMMYFUNCTION("""COMPUTED_VALUE"""),"IP20")</f>
        <v>IP20</v>
      </c>
      <c r="AE16" s="97"/>
      <c r="AF16" s="97" t="str">
        <f>IFERROR(__xludf.DUMMYFUNCTION("""COMPUTED_VALUE"""),"Suspender")</f>
        <v>Suspender</v>
      </c>
      <c r="AG16" s="97"/>
      <c r="AH16" s="97"/>
      <c r="AI16" s="97"/>
      <c r="AJ16" s="97"/>
      <c r="AK16" s="97"/>
      <c r="AL16" s="97"/>
      <c r="AM16" s="97"/>
      <c r="AN16" s="97"/>
      <c r="AO16" s="97" t="str">
        <f>IFERROR(__xludf.DUMMYFUNCTION("""COMPUTED_VALUE"""),"1 Año")</f>
        <v>1 Año</v>
      </c>
      <c r="AP16" s="97"/>
      <c r="AQ16" s="97"/>
      <c r="AR16" s="97"/>
      <c r="AS16" s="97"/>
      <c r="AT16" s="97"/>
      <c r="AU16" s="97"/>
      <c r="AV16" s="97" t="str">
        <f>IFERROR(__xludf.DUMMYFUNCTION("""COMPUTED_VALUE"""),"Colgante")</f>
        <v>Colgante</v>
      </c>
      <c r="AW16" s="97" t="str">
        <f>IFERROR(__xludf.DUMMYFUNCTION("""COMPUTED_VALUE"""),"De Techo")</f>
        <v>De Techo</v>
      </c>
      <c r="AX16" s="97" t="str">
        <f>IFERROR(__xludf.DUMMYFUNCTION("""COMPUTED_VALUE"""),"Interior")</f>
        <v>Interior</v>
      </c>
      <c r="AY16" s="97"/>
      <c r="AZ16" s="97"/>
      <c r="BA16" s="97"/>
      <c r="BB16" s="97"/>
      <c r="BC16" s="97"/>
      <c r="BD16" s="97" t="str">
        <f>IFERROR(__xludf.DUMMYFUNCTION("""COMPUTED_VALUE"""),"BEAT TALL")</f>
        <v>BEAT TALL</v>
      </c>
      <c r="BE16" s="97" t="str">
        <f>IFERROR(__xludf.DUMMYFUNCTION("""COMPUTED_VALUE"""),"Sin Ficha")</f>
        <v>Sin Ficha</v>
      </c>
      <c r="BF16" s="97"/>
      <c r="BG16" s="97" t="str">
        <f>IFERROR(__xludf.DUMMYFUNCTION("""COMPUTED_VALUE"""),"Discontinuo")</f>
        <v>Discontinuo</v>
      </c>
    </row>
    <row r="17">
      <c r="A17" s="97">
        <f>IFERROR(__xludf.DUMMYFUNCTION("""COMPUTED_VALUE"""),3366.0)</f>
        <v>3366</v>
      </c>
      <c r="B17" s="97" t="str">
        <f>IFERROR(__xludf.DUMMYFUNCTION("""COMPUTED_VALUE"""),"BEAT WIDE NG")</f>
        <v>BEAT WIDE NG</v>
      </c>
      <c r="C17" s="97" t="str">
        <f>IFERROR(__xludf.DUMMYFUNCTION("""COMPUTED_VALUE"""),"COLGANTE BEAT WIDE LEUK NEGRO")</f>
        <v>COLGANTE BEAT WIDE LEUK NEGRO</v>
      </c>
      <c r="D17" s="97">
        <f>IFERROR(__xludf.DUMMYFUNCTION("""COMPUTED_VALUE"""),7.798328752727E12)</f>
        <v>7798328752727</v>
      </c>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t="str">
        <f>IFERROR(__xludf.DUMMYFUNCTION("""COMPUTED_VALUE"""),"IP20")</f>
        <v>IP20</v>
      </c>
      <c r="AE17" s="97"/>
      <c r="AF17" s="97" t="str">
        <f>IFERROR(__xludf.DUMMYFUNCTION("""COMPUTED_VALUE"""),"Suspender")</f>
        <v>Suspender</v>
      </c>
      <c r="AG17" s="97"/>
      <c r="AH17" s="97"/>
      <c r="AI17" s="97"/>
      <c r="AJ17" s="97"/>
      <c r="AK17" s="97"/>
      <c r="AL17" s="97"/>
      <c r="AM17" s="97"/>
      <c r="AN17" s="97"/>
      <c r="AO17" s="97" t="str">
        <f>IFERROR(__xludf.DUMMYFUNCTION("""COMPUTED_VALUE"""),"1 Año")</f>
        <v>1 Año</v>
      </c>
      <c r="AP17" s="97"/>
      <c r="AQ17" s="97"/>
      <c r="AR17" s="97"/>
      <c r="AS17" s="97"/>
      <c r="AT17" s="97"/>
      <c r="AU17" s="97"/>
      <c r="AV17" s="97" t="str">
        <f>IFERROR(__xludf.DUMMYFUNCTION("""COMPUTED_VALUE"""),"Colgante")</f>
        <v>Colgante</v>
      </c>
      <c r="AW17" s="97" t="str">
        <f>IFERROR(__xludf.DUMMYFUNCTION("""COMPUTED_VALUE"""),"De Techo")</f>
        <v>De Techo</v>
      </c>
      <c r="AX17" s="97" t="str">
        <f>IFERROR(__xludf.DUMMYFUNCTION("""COMPUTED_VALUE"""),"Interior")</f>
        <v>Interior</v>
      </c>
      <c r="AY17" s="97"/>
      <c r="AZ17" s="97"/>
      <c r="BA17" s="97"/>
      <c r="BB17" s="97"/>
      <c r="BC17" s="97"/>
      <c r="BD17" s="97" t="str">
        <f>IFERROR(__xludf.DUMMYFUNCTION("""COMPUTED_VALUE"""),"BEAT WIDE")</f>
        <v>BEAT WIDE</v>
      </c>
      <c r="BE17" s="97" t="str">
        <f>IFERROR(__xludf.DUMMYFUNCTION("""COMPUTED_VALUE"""),"Sin Ficha")</f>
        <v>Sin Ficha</v>
      </c>
      <c r="BF17" s="97"/>
      <c r="BG17" s="97" t="str">
        <f>IFERROR(__xludf.DUMMYFUNCTION("""COMPUTED_VALUE"""),"Discontinuo")</f>
        <v>Discontinuo</v>
      </c>
    </row>
    <row r="18">
      <c r="A18" s="97">
        <f>IFERROR(__xludf.DUMMYFUNCTION("""COMPUTED_VALUE"""),3367.0)</f>
        <v>3367</v>
      </c>
      <c r="B18" s="97" t="str">
        <f>IFERROR(__xludf.DUMMYFUNCTION("""COMPUTED_VALUE"""),"BEAT WIDE BL")</f>
        <v>BEAT WIDE BL</v>
      </c>
      <c r="C18" s="97" t="str">
        <f>IFERROR(__xludf.DUMMYFUNCTION("""COMPUTED_VALUE"""),"COLGANTE BEAT WIDE LEUK BLANCO")</f>
        <v>COLGANTE BEAT WIDE LEUK BLANCO</v>
      </c>
      <c r="D18" s="97">
        <f>IFERROR(__xludf.DUMMYFUNCTION("""COMPUTED_VALUE"""),7.798328752765E12)</f>
        <v>7798328752765</v>
      </c>
      <c r="E18" s="97"/>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t="str">
        <f>IFERROR(__xludf.DUMMYFUNCTION("""COMPUTED_VALUE"""),"IP20")</f>
        <v>IP20</v>
      </c>
      <c r="AE18" s="97"/>
      <c r="AF18" s="97" t="str">
        <f>IFERROR(__xludf.DUMMYFUNCTION("""COMPUTED_VALUE"""),"Suspender")</f>
        <v>Suspender</v>
      </c>
      <c r="AG18" s="97"/>
      <c r="AH18" s="97"/>
      <c r="AI18" s="97"/>
      <c r="AJ18" s="97"/>
      <c r="AK18" s="97"/>
      <c r="AL18" s="97"/>
      <c r="AM18" s="97"/>
      <c r="AN18" s="97"/>
      <c r="AO18" s="97" t="str">
        <f>IFERROR(__xludf.DUMMYFUNCTION("""COMPUTED_VALUE"""),"1 Año")</f>
        <v>1 Año</v>
      </c>
      <c r="AP18" s="97"/>
      <c r="AQ18" s="97"/>
      <c r="AR18" s="97"/>
      <c r="AS18" s="97"/>
      <c r="AT18" s="97"/>
      <c r="AU18" s="97"/>
      <c r="AV18" s="97" t="str">
        <f>IFERROR(__xludf.DUMMYFUNCTION("""COMPUTED_VALUE"""),"Colgante")</f>
        <v>Colgante</v>
      </c>
      <c r="AW18" s="97" t="str">
        <f>IFERROR(__xludf.DUMMYFUNCTION("""COMPUTED_VALUE"""),"De Techo")</f>
        <v>De Techo</v>
      </c>
      <c r="AX18" s="97" t="str">
        <f>IFERROR(__xludf.DUMMYFUNCTION("""COMPUTED_VALUE"""),"Interior")</f>
        <v>Interior</v>
      </c>
      <c r="AY18" s="97"/>
      <c r="AZ18" s="97"/>
      <c r="BA18" s="97"/>
      <c r="BB18" s="97"/>
      <c r="BC18" s="97"/>
      <c r="BD18" s="97" t="str">
        <f>IFERROR(__xludf.DUMMYFUNCTION("""COMPUTED_VALUE"""),"BEAT WIDE")</f>
        <v>BEAT WIDE</v>
      </c>
      <c r="BE18" s="97" t="str">
        <f>IFERROR(__xludf.DUMMYFUNCTION("""COMPUTED_VALUE"""),"Sin Ficha")</f>
        <v>Sin Ficha</v>
      </c>
      <c r="BF18" s="97"/>
      <c r="BG18" s="97" t="str">
        <f>IFERROR(__xludf.DUMMYFUNCTION("""COMPUTED_VALUE"""),"Discontinuo")</f>
        <v>Discontinuo</v>
      </c>
    </row>
    <row r="19">
      <c r="A19" s="97">
        <f>IFERROR(__xludf.DUMMYFUNCTION("""COMPUTED_VALUE"""),3368.0)</f>
        <v>3368</v>
      </c>
      <c r="B19" s="97" t="str">
        <f>IFERROR(__xludf.DUMMYFUNCTION("""COMPUTED_VALUE"""),"BEAT FAT NG")</f>
        <v>BEAT FAT NG</v>
      </c>
      <c r="C19" s="97" t="str">
        <f>IFERROR(__xludf.DUMMYFUNCTION("""COMPUTED_VALUE"""),"COLGANTE BEAT FAT LEUK NEGRO")</f>
        <v>COLGANTE BEAT FAT LEUK NEGRO</v>
      </c>
      <c r="D19" s="97">
        <f>IFERROR(__xludf.DUMMYFUNCTION("""COMPUTED_VALUE"""),7.798328752734E12)</f>
        <v>7798328752734</v>
      </c>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t="str">
        <f>IFERROR(__xludf.DUMMYFUNCTION("""COMPUTED_VALUE"""),"IP20")</f>
        <v>IP20</v>
      </c>
      <c r="AE19" s="97"/>
      <c r="AF19" s="97" t="str">
        <f>IFERROR(__xludf.DUMMYFUNCTION("""COMPUTED_VALUE"""),"Suspender")</f>
        <v>Suspender</v>
      </c>
      <c r="AG19" s="97"/>
      <c r="AH19" s="97"/>
      <c r="AI19" s="97"/>
      <c r="AJ19" s="97"/>
      <c r="AK19" s="97"/>
      <c r="AL19" s="97"/>
      <c r="AM19" s="97"/>
      <c r="AN19" s="97"/>
      <c r="AO19" s="97" t="str">
        <f>IFERROR(__xludf.DUMMYFUNCTION("""COMPUTED_VALUE"""),"1 Año")</f>
        <v>1 Año</v>
      </c>
      <c r="AP19" s="97"/>
      <c r="AQ19" s="97"/>
      <c r="AR19" s="97"/>
      <c r="AS19" s="97"/>
      <c r="AT19" s="97"/>
      <c r="AU19" s="97"/>
      <c r="AV19" s="97" t="str">
        <f>IFERROR(__xludf.DUMMYFUNCTION("""COMPUTED_VALUE"""),"Colgante")</f>
        <v>Colgante</v>
      </c>
      <c r="AW19" s="97" t="str">
        <f>IFERROR(__xludf.DUMMYFUNCTION("""COMPUTED_VALUE"""),"De Techo")</f>
        <v>De Techo</v>
      </c>
      <c r="AX19" s="97" t="str">
        <f>IFERROR(__xludf.DUMMYFUNCTION("""COMPUTED_VALUE"""),"Interior")</f>
        <v>Interior</v>
      </c>
      <c r="AY19" s="97"/>
      <c r="AZ19" s="97"/>
      <c r="BA19" s="97"/>
      <c r="BB19" s="97"/>
      <c r="BC19" s="97"/>
      <c r="BD19" s="97" t="str">
        <f>IFERROR(__xludf.DUMMYFUNCTION("""COMPUTED_VALUE"""),"BEAT FAT")</f>
        <v>BEAT FAT</v>
      </c>
      <c r="BE19" s="97" t="str">
        <f>IFERROR(__xludf.DUMMYFUNCTION("""COMPUTED_VALUE"""),"Sin Ficha")</f>
        <v>Sin Ficha</v>
      </c>
      <c r="BF19" s="97"/>
      <c r="BG19" s="97" t="str">
        <f>IFERROR(__xludf.DUMMYFUNCTION("""COMPUTED_VALUE"""),"Discontinuo")</f>
        <v>Discontinuo</v>
      </c>
    </row>
    <row r="20">
      <c r="A20" s="97">
        <f>IFERROR(__xludf.DUMMYFUNCTION("""COMPUTED_VALUE"""),3369.0)</f>
        <v>3369</v>
      </c>
      <c r="B20" s="97" t="str">
        <f>IFERROR(__xludf.DUMMYFUNCTION("""COMPUTED_VALUE"""),"BEAT FAT BL")</f>
        <v>BEAT FAT BL</v>
      </c>
      <c r="C20" s="97" t="str">
        <f>IFERROR(__xludf.DUMMYFUNCTION("""COMPUTED_VALUE"""),"COLGANTE BEAT FAT LEUK BLANCO")</f>
        <v>COLGANTE BEAT FAT LEUK BLANCO</v>
      </c>
      <c r="D20" s="97">
        <f>IFERROR(__xludf.DUMMYFUNCTION("""COMPUTED_VALUE"""),7.798328752772E12)</f>
        <v>7798328752772</v>
      </c>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t="str">
        <f>IFERROR(__xludf.DUMMYFUNCTION("""COMPUTED_VALUE"""),"IP20")</f>
        <v>IP20</v>
      </c>
      <c r="AE20" s="97"/>
      <c r="AF20" s="97" t="str">
        <f>IFERROR(__xludf.DUMMYFUNCTION("""COMPUTED_VALUE"""),"Suspender")</f>
        <v>Suspender</v>
      </c>
      <c r="AG20" s="97"/>
      <c r="AH20" s="97"/>
      <c r="AI20" s="97"/>
      <c r="AJ20" s="97"/>
      <c r="AK20" s="97"/>
      <c r="AL20" s="97"/>
      <c r="AM20" s="97"/>
      <c r="AN20" s="97"/>
      <c r="AO20" s="97" t="str">
        <f>IFERROR(__xludf.DUMMYFUNCTION("""COMPUTED_VALUE"""),"1 Año")</f>
        <v>1 Año</v>
      </c>
      <c r="AP20" s="97"/>
      <c r="AQ20" s="97"/>
      <c r="AR20" s="97"/>
      <c r="AS20" s="97"/>
      <c r="AT20" s="97"/>
      <c r="AU20" s="97"/>
      <c r="AV20" s="97" t="str">
        <f>IFERROR(__xludf.DUMMYFUNCTION("""COMPUTED_VALUE"""),"Colgante")</f>
        <v>Colgante</v>
      </c>
      <c r="AW20" s="97" t="str">
        <f>IFERROR(__xludf.DUMMYFUNCTION("""COMPUTED_VALUE"""),"De Techo")</f>
        <v>De Techo</v>
      </c>
      <c r="AX20" s="97" t="str">
        <f>IFERROR(__xludf.DUMMYFUNCTION("""COMPUTED_VALUE"""),"Interior")</f>
        <v>Interior</v>
      </c>
      <c r="AY20" s="97"/>
      <c r="AZ20" s="97"/>
      <c r="BA20" s="97"/>
      <c r="BB20" s="97"/>
      <c r="BC20" s="97"/>
      <c r="BD20" s="97" t="str">
        <f>IFERROR(__xludf.DUMMYFUNCTION("""COMPUTED_VALUE"""),"BEAT FAT")</f>
        <v>BEAT FAT</v>
      </c>
      <c r="BE20" s="97" t="str">
        <f>IFERROR(__xludf.DUMMYFUNCTION("""COMPUTED_VALUE"""),"Sin Ficha")</f>
        <v>Sin Ficha</v>
      </c>
      <c r="BF20" s="97"/>
      <c r="BG20" s="97" t="str">
        <f>IFERROR(__xludf.DUMMYFUNCTION("""COMPUTED_VALUE"""),"Discontinuo")</f>
        <v>Discontinuo</v>
      </c>
    </row>
    <row r="21">
      <c r="A21" s="97">
        <f>IFERROR(__xludf.DUMMYFUNCTION("""COMPUTED_VALUE"""),3370.0)</f>
        <v>3370</v>
      </c>
      <c r="B21" s="97" t="str">
        <f>IFERROR(__xludf.DUMMYFUNCTION("""COMPUTED_VALUE"""),"BEAT LINEAR NG")</f>
        <v>BEAT LINEAR NG</v>
      </c>
      <c r="C21" s="97" t="str">
        <f>IFERROR(__xludf.DUMMYFUNCTION("""COMPUTED_VALUE"""),"COLGANTE BEAT LINEAR LEUK NEGRO")</f>
        <v>COLGANTE BEAT LINEAR LEUK NEGRO</v>
      </c>
      <c r="D21" s="97">
        <f>IFERROR(__xludf.DUMMYFUNCTION("""COMPUTED_VALUE"""),7.798328752741E12)</f>
        <v>7798328752741</v>
      </c>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t="str">
        <f>IFERROR(__xludf.DUMMYFUNCTION("""COMPUTED_VALUE"""),"IP20")</f>
        <v>IP20</v>
      </c>
      <c r="AE21" s="97"/>
      <c r="AF21" s="97" t="str">
        <f>IFERROR(__xludf.DUMMYFUNCTION("""COMPUTED_VALUE"""),"Suspender")</f>
        <v>Suspender</v>
      </c>
      <c r="AG21" s="97"/>
      <c r="AH21" s="97"/>
      <c r="AI21" s="97"/>
      <c r="AJ21" s="97"/>
      <c r="AK21" s="97"/>
      <c r="AL21" s="97"/>
      <c r="AM21" s="97"/>
      <c r="AN21" s="97"/>
      <c r="AO21" s="97" t="str">
        <f>IFERROR(__xludf.DUMMYFUNCTION("""COMPUTED_VALUE"""),"1 Año")</f>
        <v>1 Año</v>
      </c>
      <c r="AP21" s="97"/>
      <c r="AQ21" s="97"/>
      <c r="AR21" s="97"/>
      <c r="AS21" s="97"/>
      <c r="AT21" s="97"/>
      <c r="AU21" s="97"/>
      <c r="AV21" s="97" t="str">
        <f>IFERROR(__xludf.DUMMYFUNCTION("""COMPUTED_VALUE"""),"Colgante")</f>
        <v>Colgante</v>
      </c>
      <c r="AW21" s="97" t="str">
        <f>IFERROR(__xludf.DUMMYFUNCTION("""COMPUTED_VALUE"""),"De Techo")</f>
        <v>De Techo</v>
      </c>
      <c r="AX21" s="97" t="str">
        <f>IFERROR(__xludf.DUMMYFUNCTION("""COMPUTED_VALUE"""),"Interior")</f>
        <v>Interior</v>
      </c>
      <c r="AY21" s="97"/>
      <c r="AZ21" s="97"/>
      <c r="BA21" s="97"/>
      <c r="BB21" s="97"/>
      <c r="BC21" s="97"/>
      <c r="BD21" s="97" t="str">
        <f>IFERROR(__xludf.DUMMYFUNCTION("""COMPUTED_VALUE"""),"BEATINEAR")</f>
        <v>BEATINEAR</v>
      </c>
      <c r="BE21" s="97" t="str">
        <f>IFERROR(__xludf.DUMMYFUNCTION("""COMPUTED_VALUE"""),"Sin Ficha")</f>
        <v>Sin Ficha</v>
      </c>
      <c r="BF21" s="97"/>
      <c r="BG21" s="97" t="str">
        <f>IFERROR(__xludf.DUMMYFUNCTION("""COMPUTED_VALUE"""),"Discontinuo")</f>
        <v>Discontinuo</v>
      </c>
    </row>
    <row r="22">
      <c r="A22" s="97">
        <f>IFERROR(__xludf.DUMMYFUNCTION("""COMPUTED_VALUE"""),3371.0)</f>
        <v>3371</v>
      </c>
      <c r="B22" s="97" t="str">
        <f>IFERROR(__xludf.DUMMYFUNCTION("""COMPUTED_VALUE"""),"BEAT LINEAR BL")</f>
        <v>BEAT LINEAR BL</v>
      </c>
      <c r="C22" s="97" t="str">
        <f>IFERROR(__xludf.DUMMYFUNCTION("""COMPUTED_VALUE"""),"COLGANTE BEAT LINEAR LEUK BLANCO")</f>
        <v>COLGANTE BEAT LINEAR LEUK BLANCO</v>
      </c>
      <c r="D22" s="97">
        <f>IFERROR(__xludf.DUMMYFUNCTION("""COMPUTED_VALUE"""),7.798328752789E12)</f>
        <v>7798328752789</v>
      </c>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t="str">
        <f>IFERROR(__xludf.DUMMYFUNCTION("""COMPUTED_VALUE"""),"IP20")</f>
        <v>IP20</v>
      </c>
      <c r="AE22" s="97"/>
      <c r="AF22" s="97" t="str">
        <f>IFERROR(__xludf.DUMMYFUNCTION("""COMPUTED_VALUE"""),"Suspender")</f>
        <v>Suspender</v>
      </c>
      <c r="AG22" s="97"/>
      <c r="AH22" s="97"/>
      <c r="AI22" s="97"/>
      <c r="AJ22" s="97"/>
      <c r="AK22" s="97"/>
      <c r="AL22" s="97"/>
      <c r="AM22" s="97"/>
      <c r="AN22" s="97"/>
      <c r="AO22" s="97" t="str">
        <f>IFERROR(__xludf.DUMMYFUNCTION("""COMPUTED_VALUE"""),"1 Año")</f>
        <v>1 Año</v>
      </c>
      <c r="AP22" s="97"/>
      <c r="AQ22" s="97"/>
      <c r="AR22" s="97"/>
      <c r="AS22" s="97"/>
      <c r="AT22" s="97"/>
      <c r="AU22" s="97"/>
      <c r="AV22" s="97" t="str">
        <f>IFERROR(__xludf.DUMMYFUNCTION("""COMPUTED_VALUE"""),"Colgante")</f>
        <v>Colgante</v>
      </c>
      <c r="AW22" s="97" t="str">
        <f>IFERROR(__xludf.DUMMYFUNCTION("""COMPUTED_VALUE"""),"De Techo")</f>
        <v>De Techo</v>
      </c>
      <c r="AX22" s="97" t="str">
        <f>IFERROR(__xludf.DUMMYFUNCTION("""COMPUTED_VALUE"""),"Interior")</f>
        <v>Interior</v>
      </c>
      <c r="AY22" s="97"/>
      <c r="AZ22" s="97"/>
      <c r="BA22" s="97"/>
      <c r="BB22" s="97"/>
      <c r="BC22" s="97"/>
      <c r="BD22" s="97" t="str">
        <f>IFERROR(__xludf.DUMMYFUNCTION("""COMPUTED_VALUE"""),"BEATINEAR")</f>
        <v>BEATINEAR</v>
      </c>
      <c r="BE22" s="97" t="str">
        <f>IFERROR(__xludf.DUMMYFUNCTION("""COMPUTED_VALUE"""),"Sin Ficha")</f>
        <v>Sin Ficha</v>
      </c>
      <c r="BF22" s="97"/>
      <c r="BG22" s="97" t="str">
        <f>IFERROR(__xludf.DUMMYFUNCTION("""COMPUTED_VALUE"""),"Discontinuo")</f>
        <v>Discontinuo</v>
      </c>
    </row>
    <row r="23">
      <c r="A23" s="97">
        <f>IFERROR(__xludf.DUMMYFUNCTION("""COMPUTED_VALUE"""),3372.0)</f>
        <v>3372</v>
      </c>
      <c r="B23" s="97" t="str">
        <f>IFERROR(__xludf.DUMMYFUNCTION("""COMPUTED_VALUE"""),"SYNA BL")</f>
        <v>SYNA BL</v>
      </c>
      <c r="C23" s="97" t="str">
        <f>IFERROR(__xludf.DUMMYFUNCTION("""COMPUTED_VALUE"""),"COLGANTE SYNA BLANCO LEUK")</f>
        <v>COLGANTE SYNA BLANCO LEUK</v>
      </c>
      <c r="D23" s="97">
        <f>IFERROR(__xludf.DUMMYFUNCTION("""COMPUTED_VALUE"""),7.798328752796E12)</f>
        <v>7798328752796</v>
      </c>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t="str">
        <f>IFERROR(__xludf.DUMMYFUNCTION("""COMPUTED_VALUE"""),"IP20")</f>
        <v>IP20</v>
      </c>
      <c r="AE23" s="97"/>
      <c r="AF23" s="97" t="str">
        <f>IFERROR(__xludf.DUMMYFUNCTION("""COMPUTED_VALUE"""),"Suspender")</f>
        <v>Suspender</v>
      </c>
      <c r="AG23" s="97"/>
      <c r="AH23" s="97"/>
      <c r="AI23" s="97"/>
      <c r="AJ23" s="97"/>
      <c r="AK23" s="97"/>
      <c r="AL23" s="97"/>
      <c r="AM23" s="97"/>
      <c r="AN23" s="97"/>
      <c r="AO23" s="97" t="str">
        <f>IFERROR(__xludf.DUMMYFUNCTION("""COMPUTED_VALUE"""),"1 Año")</f>
        <v>1 Año</v>
      </c>
      <c r="AP23" s="97"/>
      <c r="AQ23" s="97"/>
      <c r="AR23" s="97"/>
      <c r="AS23" s="97"/>
      <c r="AT23" s="97"/>
      <c r="AU23" s="97"/>
      <c r="AV23" s="97" t="str">
        <f>IFERROR(__xludf.DUMMYFUNCTION("""COMPUTED_VALUE"""),"Colgante")</f>
        <v>Colgante</v>
      </c>
      <c r="AW23" s="97" t="str">
        <f>IFERROR(__xludf.DUMMYFUNCTION("""COMPUTED_VALUE"""),"De Techo")</f>
        <v>De Techo</v>
      </c>
      <c r="AX23" s="97" t="str">
        <f>IFERROR(__xludf.DUMMYFUNCTION("""COMPUTED_VALUE"""),"Interior")</f>
        <v>Interior</v>
      </c>
      <c r="AY23" s="97"/>
      <c r="AZ23" s="97"/>
      <c r="BA23" s="97"/>
      <c r="BB23" s="97"/>
      <c r="BC23" s="97"/>
      <c r="BD23" s="97" t="str">
        <f>IFERROR(__xludf.DUMMYFUNCTION("""COMPUTED_VALUE"""),"SYNA")</f>
        <v>SYNA</v>
      </c>
      <c r="BE23" s="97" t="str">
        <f>IFERROR(__xludf.DUMMYFUNCTION("""COMPUTED_VALUE"""),"Sin Ficha")</f>
        <v>Sin Ficha</v>
      </c>
      <c r="BF23" s="97"/>
      <c r="BG23" s="97" t="str">
        <f>IFERROR(__xludf.DUMMYFUNCTION("""COMPUTED_VALUE"""),"Discontinuo")</f>
        <v>Discontinuo</v>
      </c>
    </row>
    <row r="24">
      <c r="A24" s="97">
        <f>IFERROR(__xludf.DUMMYFUNCTION("""COMPUTED_VALUE"""),3373.0)</f>
        <v>3373</v>
      </c>
      <c r="B24" s="97" t="str">
        <f>IFERROR(__xludf.DUMMYFUNCTION("""COMPUTED_VALUE"""),"IONA NG")</f>
        <v>IONA NG</v>
      </c>
      <c r="C24" s="97" t="str">
        <f>IFERROR(__xludf.DUMMYFUNCTION("""COMPUTED_VALUE"""),"COLGANTE IONA LEUK NEGRO")</f>
        <v>COLGANTE IONA LEUK NEGRO</v>
      </c>
      <c r="D24" s="97">
        <f>IFERROR(__xludf.DUMMYFUNCTION("""COMPUTED_VALUE"""),7.798328752802E12)</f>
        <v>7798328752802</v>
      </c>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t="str">
        <f>IFERROR(__xludf.DUMMYFUNCTION("""COMPUTED_VALUE"""),"IP20")</f>
        <v>IP20</v>
      </c>
      <c r="AE24" s="97"/>
      <c r="AF24" s="97" t="str">
        <f>IFERROR(__xludf.DUMMYFUNCTION("""COMPUTED_VALUE"""),"Suspender")</f>
        <v>Suspender</v>
      </c>
      <c r="AG24" s="97"/>
      <c r="AH24" s="97"/>
      <c r="AI24" s="97"/>
      <c r="AJ24" s="97"/>
      <c r="AK24" s="97"/>
      <c r="AL24" s="97"/>
      <c r="AM24" s="97"/>
      <c r="AN24" s="97"/>
      <c r="AO24" s="97" t="str">
        <f>IFERROR(__xludf.DUMMYFUNCTION("""COMPUTED_VALUE"""),"1 Año")</f>
        <v>1 Año</v>
      </c>
      <c r="AP24" s="97"/>
      <c r="AQ24" s="97"/>
      <c r="AR24" s="97"/>
      <c r="AS24" s="97"/>
      <c r="AT24" s="97"/>
      <c r="AU24" s="97"/>
      <c r="AV24" s="97" t="str">
        <f>IFERROR(__xludf.DUMMYFUNCTION("""COMPUTED_VALUE"""),"Colgante")</f>
        <v>Colgante</v>
      </c>
      <c r="AW24" s="97" t="str">
        <f>IFERROR(__xludf.DUMMYFUNCTION("""COMPUTED_VALUE"""),"De Techo")</f>
        <v>De Techo</v>
      </c>
      <c r="AX24" s="97" t="str">
        <f>IFERROR(__xludf.DUMMYFUNCTION("""COMPUTED_VALUE"""),"Interior")</f>
        <v>Interior</v>
      </c>
      <c r="AY24" s="97"/>
      <c r="AZ24" s="97"/>
      <c r="BA24" s="97"/>
      <c r="BB24" s="97"/>
      <c r="BC24" s="97"/>
      <c r="BD24" s="97" t="str">
        <f>IFERROR(__xludf.DUMMYFUNCTION("""COMPUTED_VALUE"""),"IONA")</f>
        <v>IONA</v>
      </c>
      <c r="BE24" s="97" t="str">
        <f>IFERROR(__xludf.DUMMYFUNCTION("""COMPUTED_VALUE"""),"Sin Ficha")</f>
        <v>Sin Ficha</v>
      </c>
      <c r="BF24" s="97"/>
      <c r="BG24" s="97" t="str">
        <f>IFERROR(__xludf.DUMMYFUNCTION("""COMPUTED_VALUE"""),"Discontinuo")</f>
        <v>Discontinuo</v>
      </c>
    </row>
    <row r="25">
      <c r="A25" s="97">
        <f>IFERROR(__xludf.DUMMYFUNCTION("""COMPUTED_VALUE"""),3374.0)</f>
        <v>3374</v>
      </c>
      <c r="B25" s="97" t="str">
        <f>IFERROR(__xludf.DUMMYFUNCTION("""COMPUTED_VALUE"""),"IONA BL")</f>
        <v>IONA BL</v>
      </c>
      <c r="C25" s="97" t="str">
        <f>IFERROR(__xludf.DUMMYFUNCTION("""COMPUTED_VALUE"""),"COLGANTE IONA LEUK BLANCO")</f>
        <v>COLGANTE IONA LEUK BLANCO</v>
      </c>
      <c r="D25" s="97">
        <f>IFERROR(__xludf.DUMMYFUNCTION("""COMPUTED_VALUE"""),7.798328752819E12)</f>
        <v>7798328752819</v>
      </c>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t="str">
        <f>IFERROR(__xludf.DUMMYFUNCTION("""COMPUTED_VALUE"""),"IP20")</f>
        <v>IP20</v>
      </c>
      <c r="AE25" s="97"/>
      <c r="AF25" s="97" t="str">
        <f>IFERROR(__xludf.DUMMYFUNCTION("""COMPUTED_VALUE"""),"Suspender")</f>
        <v>Suspender</v>
      </c>
      <c r="AG25" s="97"/>
      <c r="AH25" s="97"/>
      <c r="AI25" s="97"/>
      <c r="AJ25" s="97"/>
      <c r="AK25" s="97"/>
      <c r="AL25" s="97"/>
      <c r="AM25" s="97"/>
      <c r="AN25" s="97"/>
      <c r="AO25" s="97" t="str">
        <f>IFERROR(__xludf.DUMMYFUNCTION("""COMPUTED_VALUE"""),"1 Año")</f>
        <v>1 Año</v>
      </c>
      <c r="AP25" s="97"/>
      <c r="AQ25" s="97"/>
      <c r="AR25" s="97"/>
      <c r="AS25" s="97"/>
      <c r="AT25" s="97"/>
      <c r="AU25" s="97"/>
      <c r="AV25" s="97" t="str">
        <f>IFERROR(__xludf.DUMMYFUNCTION("""COMPUTED_VALUE"""),"Colgante")</f>
        <v>Colgante</v>
      </c>
      <c r="AW25" s="97" t="str">
        <f>IFERROR(__xludf.DUMMYFUNCTION("""COMPUTED_VALUE"""),"De Techo")</f>
        <v>De Techo</v>
      </c>
      <c r="AX25" s="97" t="str">
        <f>IFERROR(__xludf.DUMMYFUNCTION("""COMPUTED_VALUE"""),"Interior")</f>
        <v>Interior</v>
      </c>
      <c r="AY25" s="97"/>
      <c r="AZ25" s="97"/>
      <c r="BA25" s="97"/>
      <c r="BB25" s="97"/>
      <c r="BC25" s="97"/>
      <c r="BD25" s="97" t="str">
        <f>IFERROR(__xludf.DUMMYFUNCTION("""COMPUTED_VALUE"""),"IONA")</f>
        <v>IONA</v>
      </c>
      <c r="BE25" s="97" t="str">
        <f>IFERROR(__xludf.DUMMYFUNCTION("""COMPUTED_VALUE"""),"Sin Ficha")</f>
        <v>Sin Ficha</v>
      </c>
      <c r="BF25" s="97"/>
      <c r="BG25" s="97" t="str">
        <f>IFERROR(__xludf.DUMMYFUNCTION("""COMPUTED_VALUE"""),"Discontinuo")</f>
        <v>Discontinuo</v>
      </c>
    </row>
    <row r="26">
      <c r="A26" s="97">
        <f>IFERROR(__xludf.DUMMYFUNCTION("""COMPUTED_VALUE"""),3375.0)</f>
        <v>3375</v>
      </c>
      <c r="B26" s="97" t="str">
        <f>IFERROR(__xludf.DUMMYFUNCTION("""COMPUTED_VALUE"""),"IONA RJ")</f>
        <v>IONA RJ</v>
      </c>
      <c r="C26" s="97" t="str">
        <f>IFERROR(__xludf.DUMMYFUNCTION("""COMPUTED_VALUE"""),"COLGANTE IONA LEUK ROJO")</f>
        <v>COLGANTE IONA LEUK ROJO</v>
      </c>
      <c r="D26" s="97">
        <f>IFERROR(__xludf.DUMMYFUNCTION("""COMPUTED_VALUE"""),7.798328752826E12)</f>
        <v>7798328752826</v>
      </c>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t="str">
        <f>IFERROR(__xludf.DUMMYFUNCTION("""COMPUTED_VALUE"""),"IP20")</f>
        <v>IP20</v>
      </c>
      <c r="AE26" s="97"/>
      <c r="AF26" s="97" t="str">
        <f>IFERROR(__xludf.DUMMYFUNCTION("""COMPUTED_VALUE"""),"Suspender")</f>
        <v>Suspender</v>
      </c>
      <c r="AG26" s="97"/>
      <c r="AH26" s="97"/>
      <c r="AI26" s="97"/>
      <c r="AJ26" s="97"/>
      <c r="AK26" s="97"/>
      <c r="AL26" s="97"/>
      <c r="AM26" s="97"/>
      <c r="AN26" s="97"/>
      <c r="AO26" s="97" t="str">
        <f>IFERROR(__xludf.DUMMYFUNCTION("""COMPUTED_VALUE"""),"1 Año")</f>
        <v>1 Año</v>
      </c>
      <c r="AP26" s="97"/>
      <c r="AQ26" s="97"/>
      <c r="AR26" s="97"/>
      <c r="AS26" s="97"/>
      <c r="AT26" s="97"/>
      <c r="AU26" s="97"/>
      <c r="AV26" s="97" t="str">
        <f>IFERROR(__xludf.DUMMYFUNCTION("""COMPUTED_VALUE"""),"Colgante")</f>
        <v>Colgante</v>
      </c>
      <c r="AW26" s="97" t="str">
        <f>IFERROR(__xludf.DUMMYFUNCTION("""COMPUTED_VALUE"""),"De Techo")</f>
        <v>De Techo</v>
      </c>
      <c r="AX26" s="97" t="str">
        <f>IFERROR(__xludf.DUMMYFUNCTION("""COMPUTED_VALUE"""),"Interior")</f>
        <v>Interior</v>
      </c>
      <c r="AY26" s="97"/>
      <c r="AZ26" s="97"/>
      <c r="BA26" s="97"/>
      <c r="BB26" s="97"/>
      <c r="BC26" s="97"/>
      <c r="BD26" s="97" t="str">
        <f>IFERROR(__xludf.DUMMYFUNCTION("""COMPUTED_VALUE"""),"IONA")</f>
        <v>IONA</v>
      </c>
      <c r="BE26" s="97" t="str">
        <f>IFERROR(__xludf.DUMMYFUNCTION("""COMPUTED_VALUE"""),"Sin Ficha")</f>
        <v>Sin Ficha</v>
      </c>
      <c r="BF26" s="97"/>
      <c r="BG26" s="97" t="str">
        <f>IFERROR(__xludf.DUMMYFUNCTION("""COMPUTED_VALUE"""),"Discontinuo")</f>
        <v>Discontinuo</v>
      </c>
    </row>
    <row r="27">
      <c r="A27" s="97">
        <f>IFERROR(__xludf.DUMMYFUNCTION("""COMPUTED_VALUE"""),3376.0)</f>
        <v>3376</v>
      </c>
      <c r="B27" s="97" t="str">
        <f>IFERROR(__xludf.DUMMYFUNCTION("""COMPUTED_VALUE"""),"IONA CL")</f>
        <v>IONA CL</v>
      </c>
      <c r="C27" s="97" t="str">
        <f>IFERROR(__xludf.DUMMYFUNCTION("""COMPUTED_VALUE"""),"COLGANTE IONA LEUK CELESTE")</f>
        <v>COLGANTE IONA LEUK CELESTE</v>
      </c>
      <c r="D27" s="97">
        <f>IFERROR(__xludf.DUMMYFUNCTION("""COMPUTED_VALUE"""),7.798328752833E12)</f>
        <v>7798328752833</v>
      </c>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t="str">
        <f>IFERROR(__xludf.DUMMYFUNCTION("""COMPUTED_VALUE"""),"IP20")</f>
        <v>IP20</v>
      </c>
      <c r="AE27" s="97"/>
      <c r="AF27" s="97" t="str">
        <f>IFERROR(__xludf.DUMMYFUNCTION("""COMPUTED_VALUE"""),"Suspender")</f>
        <v>Suspender</v>
      </c>
      <c r="AG27" s="97"/>
      <c r="AH27" s="97"/>
      <c r="AI27" s="97"/>
      <c r="AJ27" s="97"/>
      <c r="AK27" s="97"/>
      <c r="AL27" s="97"/>
      <c r="AM27" s="97"/>
      <c r="AN27" s="97"/>
      <c r="AO27" s="97" t="str">
        <f>IFERROR(__xludf.DUMMYFUNCTION("""COMPUTED_VALUE"""),"1 Año")</f>
        <v>1 Año</v>
      </c>
      <c r="AP27" s="97"/>
      <c r="AQ27" s="97"/>
      <c r="AR27" s="97"/>
      <c r="AS27" s="97"/>
      <c r="AT27" s="97"/>
      <c r="AU27" s="97"/>
      <c r="AV27" s="97" t="str">
        <f>IFERROR(__xludf.DUMMYFUNCTION("""COMPUTED_VALUE"""),"Colgante")</f>
        <v>Colgante</v>
      </c>
      <c r="AW27" s="97" t="str">
        <f>IFERROR(__xludf.DUMMYFUNCTION("""COMPUTED_VALUE"""),"De Techo")</f>
        <v>De Techo</v>
      </c>
      <c r="AX27" s="97" t="str">
        <f>IFERROR(__xludf.DUMMYFUNCTION("""COMPUTED_VALUE"""),"Interior")</f>
        <v>Interior</v>
      </c>
      <c r="AY27" s="97"/>
      <c r="AZ27" s="97"/>
      <c r="BA27" s="97"/>
      <c r="BB27" s="97"/>
      <c r="BC27" s="97"/>
      <c r="BD27" s="97" t="str">
        <f>IFERROR(__xludf.DUMMYFUNCTION("""COMPUTED_VALUE"""),"IONA")</f>
        <v>IONA</v>
      </c>
      <c r="BE27" s="97" t="str">
        <f>IFERROR(__xludf.DUMMYFUNCTION("""COMPUTED_VALUE"""),"Sin Ficha")</f>
        <v>Sin Ficha</v>
      </c>
      <c r="BF27" s="97"/>
      <c r="BG27" s="97" t="str">
        <f>IFERROR(__xludf.DUMMYFUNCTION("""COMPUTED_VALUE"""),"Discontinuo")</f>
        <v>Discontinuo</v>
      </c>
    </row>
    <row r="28">
      <c r="A28" s="97">
        <f>IFERROR(__xludf.DUMMYFUNCTION("""COMPUTED_VALUE"""),3377.0)</f>
        <v>3377</v>
      </c>
      <c r="B28" s="97" t="str">
        <f>IFERROR(__xludf.DUMMYFUNCTION("""COMPUTED_VALUE"""),"IONA VR")</f>
        <v>IONA VR</v>
      </c>
      <c r="C28" s="97" t="str">
        <f>IFERROR(__xludf.DUMMYFUNCTION("""COMPUTED_VALUE"""),"COLGANTE IONA LEUK VERDE")</f>
        <v>COLGANTE IONA LEUK VERDE</v>
      </c>
      <c r="D28" s="97">
        <f>IFERROR(__xludf.DUMMYFUNCTION("""COMPUTED_VALUE"""),7.79832875284E12)</f>
        <v>7798328752840</v>
      </c>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t="str">
        <f>IFERROR(__xludf.DUMMYFUNCTION("""COMPUTED_VALUE"""),"IP20")</f>
        <v>IP20</v>
      </c>
      <c r="AE28" s="97"/>
      <c r="AF28" s="97" t="str">
        <f>IFERROR(__xludf.DUMMYFUNCTION("""COMPUTED_VALUE"""),"Suspender")</f>
        <v>Suspender</v>
      </c>
      <c r="AG28" s="97"/>
      <c r="AH28" s="97"/>
      <c r="AI28" s="97"/>
      <c r="AJ28" s="97"/>
      <c r="AK28" s="97"/>
      <c r="AL28" s="97"/>
      <c r="AM28" s="97"/>
      <c r="AN28" s="97"/>
      <c r="AO28" s="97" t="str">
        <f>IFERROR(__xludf.DUMMYFUNCTION("""COMPUTED_VALUE"""),"1 Año")</f>
        <v>1 Año</v>
      </c>
      <c r="AP28" s="97"/>
      <c r="AQ28" s="97"/>
      <c r="AR28" s="97"/>
      <c r="AS28" s="97"/>
      <c r="AT28" s="97"/>
      <c r="AU28" s="97"/>
      <c r="AV28" s="97" t="str">
        <f>IFERROR(__xludf.DUMMYFUNCTION("""COMPUTED_VALUE"""),"Colgante")</f>
        <v>Colgante</v>
      </c>
      <c r="AW28" s="97" t="str">
        <f>IFERROR(__xludf.DUMMYFUNCTION("""COMPUTED_VALUE"""),"De Techo")</f>
        <v>De Techo</v>
      </c>
      <c r="AX28" s="97" t="str">
        <f>IFERROR(__xludf.DUMMYFUNCTION("""COMPUTED_VALUE"""),"Interior")</f>
        <v>Interior</v>
      </c>
      <c r="AY28" s="97"/>
      <c r="AZ28" s="97"/>
      <c r="BA28" s="97"/>
      <c r="BB28" s="97"/>
      <c r="BC28" s="97"/>
      <c r="BD28" s="97" t="str">
        <f>IFERROR(__xludf.DUMMYFUNCTION("""COMPUTED_VALUE"""),"IONA")</f>
        <v>IONA</v>
      </c>
      <c r="BE28" s="97" t="str">
        <f>IFERROR(__xludf.DUMMYFUNCTION("""COMPUTED_VALUE"""),"Sin Ficha")</f>
        <v>Sin Ficha</v>
      </c>
      <c r="BF28" s="97"/>
      <c r="BG28" s="97" t="str">
        <f>IFERROR(__xludf.DUMMYFUNCTION("""COMPUTED_VALUE"""),"Discontinuo")</f>
        <v>Discontinuo</v>
      </c>
    </row>
    <row r="29">
      <c r="A29" s="97">
        <f>IFERROR(__xludf.DUMMYFUNCTION("""COMPUTED_VALUE"""),3378.0)</f>
        <v>3378</v>
      </c>
      <c r="B29" s="97" t="str">
        <f>IFERROR(__xludf.DUMMYFUNCTION("""COMPUTED_VALUE"""),"NERIN NG")</f>
        <v>NERIN NG</v>
      </c>
      <c r="C29" s="97" t="str">
        <f>IFERROR(__xludf.DUMMYFUNCTION("""COMPUTED_VALUE"""),"COLGANTE NERIN LEUK NEGRO")</f>
        <v>COLGANTE NERIN LEUK NEGRO</v>
      </c>
      <c r="D29" s="97">
        <f>IFERROR(__xludf.DUMMYFUNCTION("""COMPUTED_VALUE"""),7.798328753229E12)</f>
        <v>7798328753229</v>
      </c>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t="str">
        <f>IFERROR(__xludf.DUMMYFUNCTION("""COMPUTED_VALUE"""),"IP20")</f>
        <v>IP20</v>
      </c>
      <c r="AE29" s="97"/>
      <c r="AF29" s="97" t="str">
        <f>IFERROR(__xludf.DUMMYFUNCTION("""COMPUTED_VALUE"""),"Suspender")</f>
        <v>Suspender</v>
      </c>
      <c r="AG29" s="97"/>
      <c r="AH29" s="97"/>
      <c r="AI29" s="97"/>
      <c r="AJ29" s="97"/>
      <c r="AK29" s="97"/>
      <c r="AL29" s="97"/>
      <c r="AM29" s="97"/>
      <c r="AN29" s="97"/>
      <c r="AO29" s="97" t="str">
        <f>IFERROR(__xludf.DUMMYFUNCTION("""COMPUTED_VALUE"""),"1 Año")</f>
        <v>1 Año</v>
      </c>
      <c r="AP29" s="97"/>
      <c r="AQ29" s="97"/>
      <c r="AR29" s="97"/>
      <c r="AS29" s="97"/>
      <c r="AT29" s="97"/>
      <c r="AU29" s="97"/>
      <c r="AV29" s="97" t="str">
        <f>IFERROR(__xludf.DUMMYFUNCTION("""COMPUTED_VALUE"""),"Colgante")</f>
        <v>Colgante</v>
      </c>
      <c r="AW29" s="97" t="str">
        <f>IFERROR(__xludf.DUMMYFUNCTION("""COMPUTED_VALUE"""),"De Techo")</f>
        <v>De Techo</v>
      </c>
      <c r="AX29" s="97" t="str">
        <f>IFERROR(__xludf.DUMMYFUNCTION("""COMPUTED_VALUE"""),"Interior")</f>
        <v>Interior</v>
      </c>
      <c r="AY29" s="97"/>
      <c r="AZ29" s="97"/>
      <c r="BA29" s="97">
        <f>IFERROR(__xludf.DUMMYFUNCTION("""COMPUTED_VALUE"""),1.0)</f>
        <v>1</v>
      </c>
      <c r="BB29" s="97"/>
      <c r="BC29" s="97"/>
      <c r="BD29" s="97" t="str">
        <f>IFERROR(__xludf.DUMMYFUNCTION("""COMPUTED_VALUE"""),"NERIN")</f>
        <v>NERIN</v>
      </c>
      <c r="BE29" s="97" t="str">
        <f>IFERROR(__xludf.DUMMYFUNCTION("""COMPUTED_VALUE"""),"Sin Ficha")</f>
        <v>Sin Ficha</v>
      </c>
      <c r="BF29" s="97"/>
      <c r="BG29" s="97" t="str">
        <f>IFERROR(__xludf.DUMMYFUNCTION("""COMPUTED_VALUE"""),"Discontinuo")</f>
        <v>Discontinuo</v>
      </c>
    </row>
    <row r="30">
      <c r="A30" s="97">
        <f>IFERROR(__xludf.DUMMYFUNCTION("""COMPUTED_VALUE"""),3379.0)</f>
        <v>3379</v>
      </c>
      <c r="B30" s="97" t="str">
        <f>IFERROR(__xludf.DUMMYFUNCTION("""COMPUTED_VALUE"""),"NERIN BL")</f>
        <v>NERIN BL</v>
      </c>
      <c r="C30" s="97" t="str">
        <f>IFERROR(__xludf.DUMMYFUNCTION("""COMPUTED_VALUE"""),"COLGANTE NERIN LEUK BLANCO")</f>
        <v>COLGANTE NERIN LEUK BLANCO</v>
      </c>
      <c r="D30" s="97">
        <f>IFERROR(__xludf.DUMMYFUNCTION("""COMPUTED_VALUE"""),7.798328753236E12)</f>
        <v>7798328753236</v>
      </c>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t="str">
        <f>IFERROR(__xludf.DUMMYFUNCTION("""COMPUTED_VALUE"""),"IP20")</f>
        <v>IP20</v>
      </c>
      <c r="AE30" s="97"/>
      <c r="AF30" s="97" t="str">
        <f>IFERROR(__xludf.DUMMYFUNCTION("""COMPUTED_VALUE"""),"Suspender")</f>
        <v>Suspender</v>
      </c>
      <c r="AG30" s="97"/>
      <c r="AH30" s="97"/>
      <c r="AI30" s="97"/>
      <c r="AJ30" s="97"/>
      <c r="AK30" s="97"/>
      <c r="AL30" s="97"/>
      <c r="AM30" s="97"/>
      <c r="AN30" s="97"/>
      <c r="AO30" s="97" t="str">
        <f>IFERROR(__xludf.DUMMYFUNCTION("""COMPUTED_VALUE"""),"1 Año")</f>
        <v>1 Año</v>
      </c>
      <c r="AP30" s="97"/>
      <c r="AQ30" s="97"/>
      <c r="AR30" s="97"/>
      <c r="AS30" s="97"/>
      <c r="AT30" s="97"/>
      <c r="AU30" s="97"/>
      <c r="AV30" s="97" t="str">
        <f>IFERROR(__xludf.DUMMYFUNCTION("""COMPUTED_VALUE"""),"Colgante")</f>
        <v>Colgante</v>
      </c>
      <c r="AW30" s="97" t="str">
        <f>IFERROR(__xludf.DUMMYFUNCTION("""COMPUTED_VALUE"""),"De Techo")</f>
        <v>De Techo</v>
      </c>
      <c r="AX30" s="97" t="str">
        <f>IFERROR(__xludf.DUMMYFUNCTION("""COMPUTED_VALUE"""),"Interior")</f>
        <v>Interior</v>
      </c>
      <c r="AY30" s="97"/>
      <c r="AZ30" s="97"/>
      <c r="BA30" s="97"/>
      <c r="BB30" s="97"/>
      <c r="BC30" s="97"/>
      <c r="BD30" s="97" t="str">
        <f>IFERROR(__xludf.DUMMYFUNCTION("""COMPUTED_VALUE"""),"NERIN")</f>
        <v>NERIN</v>
      </c>
      <c r="BE30" s="97" t="str">
        <f>IFERROR(__xludf.DUMMYFUNCTION("""COMPUTED_VALUE"""),"Sin Ficha")</f>
        <v>Sin Ficha</v>
      </c>
      <c r="BF30" s="97"/>
      <c r="BG30" s="97" t="str">
        <f>IFERROR(__xludf.DUMMYFUNCTION("""COMPUTED_VALUE"""),"Discontinuo")</f>
        <v>Discontinuo</v>
      </c>
    </row>
    <row r="31">
      <c r="A31" s="97">
        <f>IFERROR(__xludf.DUMMYFUNCTION("""COMPUTED_VALUE"""),3380.0)</f>
        <v>3380</v>
      </c>
      <c r="B31" s="97" t="str">
        <f>IFERROR(__xludf.DUMMYFUNCTION("""COMPUTED_VALUE"""),"NERIN VR")</f>
        <v>NERIN VR</v>
      </c>
      <c r="C31" s="97" t="str">
        <f>IFERROR(__xludf.DUMMYFUNCTION("""COMPUTED_VALUE"""),"COLGANTE NERIN LEUK VERDE")</f>
        <v>COLGANTE NERIN LEUK VERDE</v>
      </c>
      <c r="D31" s="97">
        <f>IFERROR(__xludf.DUMMYFUNCTION("""COMPUTED_VALUE"""),7.798328753243E12)</f>
        <v>7798328753243</v>
      </c>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t="str">
        <f>IFERROR(__xludf.DUMMYFUNCTION("""COMPUTED_VALUE"""),"IP20")</f>
        <v>IP20</v>
      </c>
      <c r="AE31" s="97"/>
      <c r="AF31" s="97" t="str">
        <f>IFERROR(__xludf.DUMMYFUNCTION("""COMPUTED_VALUE"""),"Suspender")</f>
        <v>Suspender</v>
      </c>
      <c r="AG31" s="97"/>
      <c r="AH31" s="97"/>
      <c r="AI31" s="97"/>
      <c r="AJ31" s="97"/>
      <c r="AK31" s="97"/>
      <c r="AL31" s="97"/>
      <c r="AM31" s="97"/>
      <c r="AN31" s="97"/>
      <c r="AO31" s="97" t="str">
        <f>IFERROR(__xludf.DUMMYFUNCTION("""COMPUTED_VALUE"""),"1 Año")</f>
        <v>1 Año</v>
      </c>
      <c r="AP31" s="97"/>
      <c r="AQ31" s="97"/>
      <c r="AR31" s="97"/>
      <c r="AS31" s="97"/>
      <c r="AT31" s="97"/>
      <c r="AU31" s="97"/>
      <c r="AV31" s="97" t="str">
        <f>IFERROR(__xludf.DUMMYFUNCTION("""COMPUTED_VALUE"""),"Colgante")</f>
        <v>Colgante</v>
      </c>
      <c r="AW31" s="97" t="str">
        <f>IFERROR(__xludf.DUMMYFUNCTION("""COMPUTED_VALUE"""),"De Techo")</f>
        <v>De Techo</v>
      </c>
      <c r="AX31" s="97" t="str">
        <f>IFERROR(__xludf.DUMMYFUNCTION("""COMPUTED_VALUE"""),"Interior")</f>
        <v>Interior</v>
      </c>
      <c r="AY31" s="97"/>
      <c r="AZ31" s="97"/>
      <c r="BA31" s="97">
        <f>IFERROR(__xludf.DUMMYFUNCTION("""COMPUTED_VALUE"""),10.0)</f>
        <v>10</v>
      </c>
      <c r="BB31" s="97"/>
      <c r="BC31" s="97"/>
      <c r="BD31" s="97" t="str">
        <f>IFERROR(__xludf.DUMMYFUNCTION("""COMPUTED_VALUE"""),"NERIN")</f>
        <v>NERIN</v>
      </c>
      <c r="BE31" s="97" t="str">
        <f>IFERROR(__xludf.DUMMYFUNCTION("""COMPUTED_VALUE"""),"Sin Ficha")</f>
        <v>Sin Ficha</v>
      </c>
      <c r="BF31" s="97"/>
      <c r="BG31" s="97" t="str">
        <f>IFERROR(__xludf.DUMMYFUNCTION("""COMPUTED_VALUE"""),"Discontinuo")</f>
        <v>Discontinuo</v>
      </c>
    </row>
    <row r="32">
      <c r="A32" s="97">
        <f>IFERROR(__xludf.DUMMYFUNCTION("""COMPUTED_VALUE"""),3381.0)</f>
        <v>3381</v>
      </c>
      <c r="B32" s="97" t="str">
        <f>IFERROR(__xludf.DUMMYFUNCTION("""COMPUTED_VALUE"""),"PYRENA NG")</f>
        <v>PYRENA NG</v>
      </c>
      <c r="C32" s="97" t="str">
        <f>IFERROR(__xludf.DUMMYFUNCTION("""COMPUTED_VALUE"""),"COLGANTE PYRENA LEUK NEGRO")</f>
        <v>COLGANTE PYRENA LEUK NEGRO</v>
      </c>
      <c r="D32" s="97">
        <f>IFERROR(__xludf.DUMMYFUNCTION("""COMPUTED_VALUE"""),7.798328753205E12)</f>
        <v>7798328753205</v>
      </c>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t="str">
        <f>IFERROR(__xludf.DUMMYFUNCTION("""COMPUTED_VALUE"""),"IP20")</f>
        <v>IP20</v>
      </c>
      <c r="AE32" s="97"/>
      <c r="AF32" s="97" t="str">
        <f>IFERROR(__xludf.DUMMYFUNCTION("""COMPUTED_VALUE"""),"Suspender")</f>
        <v>Suspender</v>
      </c>
      <c r="AG32" s="97"/>
      <c r="AH32" s="97"/>
      <c r="AI32" s="97"/>
      <c r="AJ32" s="97"/>
      <c r="AK32" s="97"/>
      <c r="AL32" s="97"/>
      <c r="AM32" s="97"/>
      <c r="AN32" s="97"/>
      <c r="AO32" s="97" t="str">
        <f>IFERROR(__xludf.DUMMYFUNCTION("""COMPUTED_VALUE"""),"1 Año")</f>
        <v>1 Año</v>
      </c>
      <c r="AP32" s="97"/>
      <c r="AQ32" s="97"/>
      <c r="AR32" s="97"/>
      <c r="AS32" s="97"/>
      <c r="AT32" s="97"/>
      <c r="AU32" s="97"/>
      <c r="AV32" s="97" t="str">
        <f>IFERROR(__xludf.DUMMYFUNCTION("""COMPUTED_VALUE"""),"Colgante")</f>
        <v>Colgante</v>
      </c>
      <c r="AW32" s="97" t="str">
        <f>IFERROR(__xludf.DUMMYFUNCTION("""COMPUTED_VALUE"""),"De Techo")</f>
        <v>De Techo</v>
      </c>
      <c r="AX32" s="97" t="str">
        <f>IFERROR(__xludf.DUMMYFUNCTION("""COMPUTED_VALUE"""),"Interior")</f>
        <v>Interior</v>
      </c>
      <c r="AY32" s="97"/>
      <c r="AZ32" s="97"/>
      <c r="BA32" s="97"/>
      <c r="BB32" s="97"/>
      <c r="BC32" s="97"/>
      <c r="BD32" s="97" t="str">
        <f>IFERROR(__xludf.DUMMYFUNCTION("""COMPUTED_VALUE"""),"PYRENA")</f>
        <v>PYRENA</v>
      </c>
      <c r="BE32" s="97" t="str">
        <f>IFERROR(__xludf.DUMMYFUNCTION("""COMPUTED_VALUE"""),"Sin Ficha")</f>
        <v>Sin Ficha</v>
      </c>
      <c r="BF32" s="97"/>
      <c r="BG32" s="97" t="str">
        <f>IFERROR(__xludf.DUMMYFUNCTION("""COMPUTED_VALUE"""),"Discontinuo")</f>
        <v>Discontinuo</v>
      </c>
    </row>
    <row r="33">
      <c r="A33" s="97">
        <f>IFERROR(__xludf.DUMMYFUNCTION("""COMPUTED_VALUE"""),3382.0)</f>
        <v>3382</v>
      </c>
      <c r="B33" s="97" t="str">
        <f>IFERROR(__xludf.DUMMYFUNCTION("""COMPUTED_VALUE"""),"PYRENA AZ")</f>
        <v>PYRENA AZ</v>
      </c>
      <c r="C33" s="97" t="str">
        <f>IFERROR(__xludf.DUMMYFUNCTION("""COMPUTED_VALUE"""),"COLGANTE PYRENA LEUK AZUL")</f>
        <v>COLGANTE PYRENA LEUK AZUL</v>
      </c>
      <c r="D33" s="97">
        <f>IFERROR(__xludf.DUMMYFUNCTION("""COMPUTED_VALUE"""),7.798328753267E12)</f>
        <v>7798328753267</v>
      </c>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t="str">
        <f>IFERROR(__xludf.DUMMYFUNCTION("""COMPUTED_VALUE"""),"IP20")</f>
        <v>IP20</v>
      </c>
      <c r="AE33" s="97"/>
      <c r="AF33" s="97" t="str">
        <f>IFERROR(__xludf.DUMMYFUNCTION("""COMPUTED_VALUE"""),"Suspender")</f>
        <v>Suspender</v>
      </c>
      <c r="AG33" s="97"/>
      <c r="AH33" s="97"/>
      <c r="AI33" s="97"/>
      <c r="AJ33" s="97"/>
      <c r="AK33" s="97"/>
      <c r="AL33" s="97"/>
      <c r="AM33" s="97"/>
      <c r="AN33" s="97"/>
      <c r="AO33" s="97" t="str">
        <f>IFERROR(__xludf.DUMMYFUNCTION("""COMPUTED_VALUE"""),"1 Año")</f>
        <v>1 Año</v>
      </c>
      <c r="AP33" s="97"/>
      <c r="AQ33" s="97"/>
      <c r="AR33" s="97"/>
      <c r="AS33" s="97"/>
      <c r="AT33" s="97"/>
      <c r="AU33" s="97"/>
      <c r="AV33" s="97" t="str">
        <f>IFERROR(__xludf.DUMMYFUNCTION("""COMPUTED_VALUE"""),"Colgante")</f>
        <v>Colgante</v>
      </c>
      <c r="AW33" s="97" t="str">
        <f>IFERROR(__xludf.DUMMYFUNCTION("""COMPUTED_VALUE"""),"De Techo")</f>
        <v>De Techo</v>
      </c>
      <c r="AX33" s="97" t="str">
        <f>IFERROR(__xludf.DUMMYFUNCTION("""COMPUTED_VALUE"""),"Interior")</f>
        <v>Interior</v>
      </c>
      <c r="AY33" s="97"/>
      <c r="AZ33" s="97"/>
      <c r="BA33" s="97"/>
      <c r="BB33" s="97"/>
      <c r="BC33" s="97"/>
      <c r="BD33" s="97" t="str">
        <f>IFERROR(__xludf.DUMMYFUNCTION("""COMPUTED_VALUE"""),"PYRENA")</f>
        <v>PYRENA</v>
      </c>
      <c r="BE33" s="97" t="str">
        <f>IFERROR(__xludf.DUMMYFUNCTION("""COMPUTED_VALUE"""),"Sin Ficha")</f>
        <v>Sin Ficha</v>
      </c>
      <c r="BF33" s="97"/>
      <c r="BG33" s="97" t="str">
        <f>IFERROR(__xludf.DUMMYFUNCTION("""COMPUTED_VALUE"""),"Discontinuo")</f>
        <v>Discontinuo</v>
      </c>
    </row>
    <row r="34">
      <c r="A34" s="97">
        <f>IFERROR(__xludf.DUMMYFUNCTION("""COMPUTED_VALUE"""),3383.0)</f>
        <v>3383</v>
      </c>
      <c r="B34" s="97" t="str">
        <f>IFERROR(__xludf.DUMMYFUNCTION("""COMPUTED_VALUE"""),"XANDER")</f>
        <v>XANDER</v>
      </c>
      <c r="C34" s="97" t="str">
        <f>IFERROR(__xludf.DUMMYFUNCTION("""COMPUTED_VALUE"""),"COLGANTE XANDER LEUK")</f>
        <v>COLGANTE XANDER LEUK</v>
      </c>
      <c r="D34" s="97">
        <f>IFERROR(__xludf.DUMMYFUNCTION("""COMPUTED_VALUE"""),7.798328753212E12)</f>
        <v>7798328753212</v>
      </c>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t="str">
        <f>IFERROR(__xludf.DUMMYFUNCTION("""COMPUTED_VALUE"""),"IP20")</f>
        <v>IP20</v>
      </c>
      <c r="AE34" s="97"/>
      <c r="AF34" s="97" t="str">
        <f>IFERROR(__xludf.DUMMYFUNCTION("""COMPUTED_VALUE"""),"Suspender")</f>
        <v>Suspender</v>
      </c>
      <c r="AG34" s="97"/>
      <c r="AH34" s="97"/>
      <c r="AI34" s="97"/>
      <c r="AJ34" s="97"/>
      <c r="AK34" s="97"/>
      <c r="AL34" s="97"/>
      <c r="AM34" s="97"/>
      <c r="AN34" s="97"/>
      <c r="AO34" s="97" t="str">
        <f>IFERROR(__xludf.DUMMYFUNCTION("""COMPUTED_VALUE"""),"1 Año")</f>
        <v>1 Año</v>
      </c>
      <c r="AP34" s="97"/>
      <c r="AQ34" s="97"/>
      <c r="AR34" s="97"/>
      <c r="AS34" s="97"/>
      <c r="AT34" s="97"/>
      <c r="AU34" s="97"/>
      <c r="AV34" s="97" t="str">
        <f>IFERROR(__xludf.DUMMYFUNCTION("""COMPUTED_VALUE"""),"Colgante")</f>
        <v>Colgante</v>
      </c>
      <c r="AW34" s="97" t="str">
        <f>IFERROR(__xludf.DUMMYFUNCTION("""COMPUTED_VALUE"""),"De Techo")</f>
        <v>De Techo</v>
      </c>
      <c r="AX34" s="97" t="str">
        <f>IFERROR(__xludf.DUMMYFUNCTION("""COMPUTED_VALUE"""),"Interior")</f>
        <v>Interior</v>
      </c>
      <c r="AY34" s="97"/>
      <c r="AZ34" s="97"/>
      <c r="BA34" s="97"/>
      <c r="BB34" s="97"/>
      <c r="BC34" s="97"/>
      <c r="BD34" s="97" t="str">
        <f>IFERROR(__xludf.DUMMYFUNCTION("""COMPUTED_VALUE"""),"XANDER")</f>
        <v>XANDER</v>
      </c>
      <c r="BE34" s="97" t="str">
        <f>IFERROR(__xludf.DUMMYFUNCTION("""COMPUTED_VALUE"""),"Sin Ficha")</f>
        <v>Sin Ficha</v>
      </c>
      <c r="BF34" s="97"/>
      <c r="BG34" s="97" t="str">
        <f>IFERROR(__xludf.DUMMYFUNCTION("""COMPUTED_VALUE"""),"Discontinuo")</f>
        <v>Discontinuo</v>
      </c>
    </row>
    <row r="35">
      <c r="A35" s="97">
        <f>IFERROR(__xludf.DUMMYFUNCTION("""COMPUTED_VALUE"""),3384.0)</f>
        <v>3384</v>
      </c>
      <c r="B35" s="97" t="str">
        <f>IFERROR(__xludf.DUMMYFUNCTION("""COMPUTED_VALUE"""),"VESNA")</f>
        <v>VESNA</v>
      </c>
      <c r="C35" s="97" t="str">
        <f>IFERROR(__xludf.DUMMYFUNCTION("""COMPUTED_VALUE"""),"COLGANTE VESNA LEUK")</f>
        <v>COLGANTE VESNA LEUK</v>
      </c>
      <c r="D35" s="97">
        <f>IFERROR(__xludf.DUMMYFUNCTION("""COMPUTED_VALUE"""),7.79832875325E12)</f>
        <v>7798328753250</v>
      </c>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t="str">
        <f>IFERROR(__xludf.DUMMYFUNCTION("""COMPUTED_VALUE"""),"IP20")</f>
        <v>IP20</v>
      </c>
      <c r="AE35" s="97"/>
      <c r="AF35" s="97" t="str">
        <f>IFERROR(__xludf.DUMMYFUNCTION("""COMPUTED_VALUE"""),"Suspender")</f>
        <v>Suspender</v>
      </c>
      <c r="AG35" s="97"/>
      <c r="AH35" s="97"/>
      <c r="AI35" s="97"/>
      <c r="AJ35" s="97"/>
      <c r="AK35" s="97"/>
      <c r="AL35" s="97"/>
      <c r="AM35" s="97"/>
      <c r="AN35" s="97"/>
      <c r="AO35" s="97" t="str">
        <f>IFERROR(__xludf.DUMMYFUNCTION("""COMPUTED_VALUE"""),"1 Año")</f>
        <v>1 Año</v>
      </c>
      <c r="AP35" s="97"/>
      <c r="AQ35" s="97"/>
      <c r="AR35" s="97"/>
      <c r="AS35" s="97"/>
      <c r="AT35" s="97"/>
      <c r="AU35" s="97"/>
      <c r="AV35" s="97" t="str">
        <f>IFERROR(__xludf.DUMMYFUNCTION("""COMPUTED_VALUE"""),"Colgante")</f>
        <v>Colgante</v>
      </c>
      <c r="AW35" s="97" t="str">
        <f>IFERROR(__xludf.DUMMYFUNCTION("""COMPUTED_VALUE"""),"De Techo")</f>
        <v>De Techo</v>
      </c>
      <c r="AX35" s="97" t="str">
        <f>IFERROR(__xludf.DUMMYFUNCTION("""COMPUTED_VALUE"""),"Interior")</f>
        <v>Interior</v>
      </c>
      <c r="AY35" s="97"/>
      <c r="AZ35" s="97"/>
      <c r="BA35" s="97"/>
      <c r="BB35" s="97"/>
      <c r="BC35" s="97"/>
      <c r="BD35" s="97" t="str">
        <f>IFERROR(__xludf.DUMMYFUNCTION("""COMPUTED_VALUE"""),"VESNA")</f>
        <v>VESNA</v>
      </c>
      <c r="BE35" s="97" t="str">
        <f>IFERROR(__xludf.DUMMYFUNCTION("""COMPUTED_VALUE"""),"Sin Ficha")</f>
        <v>Sin Ficha</v>
      </c>
      <c r="BF35" s="97"/>
      <c r="BG35" s="97" t="str">
        <f>IFERROR(__xludf.DUMMYFUNCTION("""COMPUTED_VALUE"""),"Discontinuo")</f>
        <v>Discontinuo</v>
      </c>
    </row>
    <row r="36">
      <c r="A36" s="97">
        <f>IFERROR(__xludf.DUMMYFUNCTION("""COMPUTED_VALUE"""),3385.0)</f>
        <v>3385</v>
      </c>
      <c r="B36" s="97" t="str">
        <f>IFERROR(__xludf.DUMMYFUNCTION("""COMPUTED_VALUE"""),"KAIROS")</f>
        <v>KAIROS</v>
      </c>
      <c r="C36" s="97" t="str">
        <f>IFERROR(__xludf.DUMMYFUNCTION("""COMPUTED_VALUE"""),"COLGANTE KAIROS LEUK")</f>
        <v>COLGANTE KAIROS LEUK</v>
      </c>
      <c r="D36" s="97">
        <f>IFERROR(__xludf.DUMMYFUNCTION("""COMPUTED_VALUE"""),7.798328752857E12)</f>
        <v>7798328752857</v>
      </c>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t="str">
        <f>IFERROR(__xludf.DUMMYFUNCTION("""COMPUTED_VALUE"""),"IP20")</f>
        <v>IP20</v>
      </c>
      <c r="AE36" s="97"/>
      <c r="AF36" s="97" t="str">
        <f>IFERROR(__xludf.DUMMYFUNCTION("""COMPUTED_VALUE"""),"Suspender")</f>
        <v>Suspender</v>
      </c>
      <c r="AG36" s="97"/>
      <c r="AH36" s="97"/>
      <c r="AI36" s="97"/>
      <c r="AJ36" s="97"/>
      <c r="AK36" s="97"/>
      <c r="AL36" s="97"/>
      <c r="AM36" s="97"/>
      <c r="AN36" s="97"/>
      <c r="AO36" s="97" t="str">
        <f>IFERROR(__xludf.DUMMYFUNCTION("""COMPUTED_VALUE"""),"1 Año")</f>
        <v>1 Año</v>
      </c>
      <c r="AP36" s="97"/>
      <c r="AQ36" s="97"/>
      <c r="AR36" s="97"/>
      <c r="AS36" s="97"/>
      <c r="AT36" s="97"/>
      <c r="AU36" s="97"/>
      <c r="AV36" s="97" t="str">
        <f>IFERROR(__xludf.DUMMYFUNCTION("""COMPUTED_VALUE"""),"Colgante")</f>
        <v>Colgante</v>
      </c>
      <c r="AW36" s="97" t="str">
        <f>IFERROR(__xludf.DUMMYFUNCTION("""COMPUTED_VALUE"""),"De Techo")</f>
        <v>De Techo</v>
      </c>
      <c r="AX36" s="97" t="str">
        <f>IFERROR(__xludf.DUMMYFUNCTION("""COMPUTED_VALUE"""),"Interior")</f>
        <v>Interior</v>
      </c>
      <c r="AY36" s="97"/>
      <c r="AZ36" s="97"/>
      <c r="BA36" s="97"/>
      <c r="BB36" s="97"/>
      <c r="BC36" s="97"/>
      <c r="BD36" s="97" t="str">
        <f>IFERROR(__xludf.DUMMYFUNCTION("""COMPUTED_VALUE"""),"KAIROS")</f>
        <v>KAIROS</v>
      </c>
      <c r="BE36" s="97" t="str">
        <f>IFERROR(__xludf.DUMMYFUNCTION("""COMPUTED_VALUE"""),"Sin Ficha")</f>
        <v>Sin Ficha</v>
      </c>
      <c r="BF36" s="97"/>
      <c r="BG36" s="97" t="str">
        <f>IFERROR(__xludf.DUMMYFUNCTION("""COMPUTED_VALUE"""),"Discontinuo")</f>
        <v>Discontinuo</v>
      </c>
    </row>
    <row r="37">
      <c r="A37" s="97">
        <f>IFERROR(__xludf.DUMMYFUNCTION("""COMPUTED_VALUE"""),3386.0)</f>
        <v>3386</v>
      </c>
      <c r="B37" s="97" t="str">
        <f>IFERROR(__xludf.DUMMYFUNCTION("""COMPUTED_VALUE"""),"KASSIA")</f>
        <v>KASSIA</v>
      </c>
      <c r="C37" s="97" t="str">
        <f>IFERROR(__xludf.DUMMYFUNCTION("""COMPUTED_VALUE"""),"COLGANTE KASSIA LEUK")</f>
        <v>COLGANTE KASSIA LEUK</v>
      </c>
      <c r="D37" s="97">
        <f>IFERROR(__xludf.DUMMYFUNCTION("""COMPUTED_VALUE"""),7.798328752864E12)</f>
        <v>7798328752864</v>
      </c>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t="str">
        <f>IFERROR(__xludf.DUMMYFUNCTION("""COMPUTED_VALUE"""),"IP20")</f>
        <v>IP20</v>
      </c>
      <c r="AE37" s="97"/>
      <c r="AF37" s="97" t="str">
        <f>IFERROR(__xludf.DUMMYFUNCTION("""COMPUTED_VALUE"""),"Suspender")</f>
        <v>Suspender</v>
      </c>
      <c r="AG37" s="97"/>
      <c r="AH37" s="97"/>
      <c r="AI37" s="97"/>
      <c r="AJ37" s="97"/>
      <c r="AK37" s="97"/>
      <c r="AL37" s="97"/>
      <c r="AM37" s="97"/>
      <c r="AN37" s="97"/>
      <c r="AO37" s="97" t="str">
        <f>IFERROR(__xludf.DUMMYFUNCTION("""COMPUTED_VALUE"""),"1 Año")</f>
        <v>1 Año</v>
      </c>
      <c r="AP37" s="97"/>
      <c r="AQ37" s="97"/>
      <c r="AR37" s="97"/>
      <c r="AS37" s="97"/>
      <c r="AT37" s="97"/>
      <c r="AU37" s="97"/>
      <c r="AV37" s="97" t="str">
        <f>IFERROR(__xludf.DUMMYFUNCTION("""COMPUTED_VALUE"""),"Colgante")</f>
        <v>Colgante</v>
      </c>
      <c r="AW37" s="97" t="str">
        <f>IFERROR(__xludf.DUMMYFUNCTION("""COMPUTED_VALUE"""),"De Techo")</f>
        <v>De Techo</v>
      </c>
      <c r="AX37" s="97" t="str">
        <f>IFERROR(__xludf.DUMMYFUNCTION("""COMPUTED_VALUE"""),"Interior")</f>
        <v>Interior</v>
      </c>
      <c r="AY37" s="97"/>
      <c r="AZ37" s="97"/>
      <c r="BA37" s="97"/>
      <c r="BB37" s="97"/>
      <c r="BC37" s="97"/>
      <c r="BD37" s="97" t="str">
        <f>IFERROR(__xludf.DUMMYFUNCTION("""COMPUTED_VALUE"""),"KASSIA")</f>
        <v>KASSIA</v>
      </c>
      <c r="BE37" s="97" t="str">
        <f>IFERROR(__xludf.DUMMYFUNCTION("""COMPUTED_VALUE"""),"Sin Ficha")</f>
        <v>Sin Ficha</v>
      </c>
      <c r="BF37" s="97"/>
      <c r="BG37" s="97" t="str">
        <f>IFERROR(__xludf.DUMMYFUNCTION("""COMPUTED_VALUE"""),"Discontinuo")</f>
        <v>Discontinuo</v>
      </c>
    </row>
    <row r="38">
      <c r="A38" s="97">
        <f>IFERROR(__xludf.DUMMYFUNCTION("""COMPUTED_VALUE"""),3387.0)</f>
        <v>3387</v>
      </c>
      <c r="B38" s="97" t="str">
        <f>IFERROR(__xludf.DUMMYFUNCTION("""COMPUTED_VALUE"""),"ZANDER NG")</f>
        <v>ZANDER NG</v>
      </c>
      <c r="C38" s="97" t="str">
        <f>IFERROR(__xludf.DUMMYFUNCTION("""COMPUTED_VALUE"""),"COLGANTE ZANDER LEUK NEGRO")</f>
        <v>COLGANTE ZANDER LEUK NEGRO</v>
      </c>
      <c r="D38" s="97">
        <f>IFERROR(__xludf.DUMMYFUNCTION("""COMPUTED_VALUE"""),7.798328752871E12)</f>
        <v>7798328752871</v>
      </c>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t="str">
        <f>IFERROR(__xludf.DUMMYFUNCTION("""COMPUTED_VALUE"""),"IP20")</f>
        <v>IP20</v>
      </c>
      <c r="AE38" s="97"/>
      <c r="AF38" s="97" t="str">
        <f>IFERROR(__xludf.DUMMYFUNCTION("""COMPUTED_VALUE"""),"Suspender")</f>
        <v>Suspender</v>
      </c>
      <c r="AG38" s="97"/>
      <c r="AH38" s="97"/>
      <c r="AI38" s="97"/>
      <c r="AJ38" s="97"/>
      <c r="AK38" s="97"/>
      <c r="AL38" s="97"/>
      <c r="AM38" s="97"/>
      <c r="AN38" s="97"/>
      <c r="AO38" s="97" t="str">
        <f>IFERROR(__xludf.DUMMYFUNCTION("""COMPUTED_VALUE"""),"1 Año")</f>
        <v>1 Año</v>
      </c>
      <c r="AP38" s="97"/>
      <c r="AQ38" s="97"/>
      <c r="AR38" s="97"/>
      <c r="AS38" s="97"/>
      <c r="AT38" s="97"/>
      <c r="AU38" s="97"/>
      <c r="AV38" s="97" t="str">
        <f>IFERROR(__xludf.DUMMYFUNCTION("""COMPUTED_VALUE"""),"Colgante")</f>
        <v>Colgante</v>
      </c>
      <c r="AW38" s="97" t="str">
        <f>IFERROR(__xludf.DUMMYFUNCTION("""COMPUTED_VALUE"""),"De Techo")</f>
        <v>De Techo</v>
      </c>
      <c r="AX38" s="97" t="str">
        <f>IFERROR(__xludf.DUMMYFUNCTION("""COMPUTED_VALUE"""),"Interior")</f>
        <v>Interior</v>
      </c>
      <c r="AY38" s="97"/>
      <c r="AZ38" s="97"/>
      <c r="BA38" s="97">
        <f>IFERROR(__xludf.DUMMYFUNCTION("""COMPUTED_VALUE"""),1.0)</f>
        <v>1</v>
      </c>
      <c r="BB38" s="97"/>
      <c r="BC38" s="97"/>
      <c r="BD38" s="97" t="str">
        <f>IFERROR(__xludf.DUMMYFUNCTION("""COMPUTED_VALUE"""),"ZANDER")</f>
        <v>ZANDER</v>
      </c>
      <c r="BE38" s="97" t="str">
        <f>IFERROR(__xludf.DUMMYFUNCTION("""COMPUTED_VALUE"""),"Sin Ficha")</f>
        <v>Sin Ficha</v>
      </c>
      <c r="BF38" s="97"/>
      <c r="BG38" s="97" t="str">
        <f>IFERROR(__xludf.DUMMYFUNCTION("""COMPUTED_VALUE"""),"Discontinuo")</f>
        <v>Discontinuo</v>
      </c>
    </row>
    <row r="39">
      <c r="A39" s="97">
        <f>IFERROR(__xludf.DUMMYFUNCTION("""COMPUTED_VALUE"""),3388.0)</f>
        <v>3388</v>
      </c>
      <c r="B39" s="97" t="str">
        <f>IFERROR(__xludf.DUMMYFUNCTION("""COMPUTED_VALUE"""),"ZANDER BL")</f>
        <v>ZANDER BL</v>
      </c>
      <c r="C39" s="97" t="str">
        <f>IFERROR(__xludf.DUMMYFUNCTION("""COMPUTED_VALUE"""),"COLGANTE ZANDER LEUK BLANCO")</f>
        <v>COLGANTE ZANDER LEUK BLANCO</v>
      </c>
      <c r="D39" s="97">
        <f>IFERROR(__xludf.DUMMYFUNCTION("""COMPUTED_VALUE"""),7.798328753786E12)</f>
        <v>7798328753786</v>
      </c>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t="str">
        <f>IFERROR(__xludf.DUMMYFUNCTION("""COMPUTED_VALUE"""),"IP20")</f>
        <v>IP20</v>
      </c>
      <c r="AE39" s="97"/>
      <c r="AF39" s="97" t="str">
        <f>IFERROR(__xludf.DUMMYFUNCTION("""COMPUTED_VALUE"""),"Suspender")</f>
        <v>Suspender</v>
      </c>
      <c r="AG39" s="97"/>
      <c r="AH39" s="97"/>
      <c r="AI39" s="97"/>
      <c r="AJ39" s="97"/>
      <c r="AK39" s="97"/>
      <c r="AL39" s="97"/>
      <c r="AM39" s="97"/>
      <c r="AN39" s="97"/>
      <c r="AO39" s="97" t="str">
        <f>IFERROR(__xludf.DUMMYFUNCTION("""COMPUTED_VALUE"""),"1 Año")</f>
        <v>1 Año</v>
      </c>
      <c r="AP39" s="97"/>
      <c r="AQ39" s="97"/>
      <c r="AR39" s="97"/>
      <c r="AS39" s="97"/>
      <c r="AT39" s="97"/>
      <c r="AU39" s="97"/>
      <c r="AV39" s="97" t="str">
        <f>IFERROR(__xludf.DUMMYFUNCTION("""COMPUTED_VALUE"""),"Colgante")</f>
        <v>Colgante</v>
      </c>
      <c r="AW39" s="97" t="str">
        <f>IFERROR(__xludf.DUMMYFUNCTION("""COMPUTED_VALUE"""),"De Techo")</f>
        <v>De Techo</v>
      </c>
      <c r="AX39" s="97" t="str">
        <f>IFERROR(__xludf.DUMMYFUNCTION("""COMPUTED_VALUE"""),"Interior")</f>
        <v>Interior</v>
      </c>
      <c r="AY39" s="97"/>
      <c r="AZ39" s="97"/>
      <c r="BA39" s="97"/>
      <c r="BB39" s="97"/>
      <c r="BC39" s="97"/>
      <c r="BD39" s="97" t="str">
        <f>IFERROR(__xludf.DUMMYFUNCTION("""COMPUTED_VALUE"""),"ZANDER")</f>
        <v>ZANDER</v>
      </c>
      <c r="BE39" s="97" t="str">
        <f>IFERROR(__xludf.DUMMYFUNCTION("""COMPUTED_VALUE"""),"Sin Ficha")</f>
        <v>Sin Ficha</v>
      </c>
      <c r="BF39" s="97"/>
      <c r="BG39" s="97" t="str">
        <f>IFERROR(__xludf.DUMMYFUNCTION("""COMPUTED_VALUE"""),"Discontinuo")</f>
        <v>Discontinuo</v>
      </c>
    </row>
    <row r="40">
      <c r="A40" s="97">
        <f>IFERROR(__xludf.DUMMYFUNCTION("""COMPUTED_VALUE"""),3389.0)</f>
        <v>3389</v>
      </c>
      <c r="B40" s="97" t="str">
        <f>IFERROR(__xludf.DUMMYFUNCTION("""COMPUTED_VALUE"""),"ZETH NG")</f>
        <v>ZETH NG</v>
      </c>
      <c r="C40" s="97" t="str">
        <f>IFERROR(__xludf.DUMMYFUNCTION("""COMPUTED_VALUE"""),"COLGANTE ZETH LEUK NEGRO")</f>
        <v>COLGANTE ZETH LEUK NEGRO</v>
      </c>
      <c r="D40" s="97">
        <f>IFERROR(__xludf.DUMMYFUNCTION("""COMPUTED_VALUE"""),7.798328752888E12)</f>
        <v>7798328752888</v>
      </c>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t="str">
        <f>IFERROR(__xludf.DUMMYFUNCTION("""COMPUTED_VALUE"""),"IP20")</f>
        <v>IP20</v>
      </c>
      <c r="AE40" s="97"/>
      <c r="AF40" s="97" t="str">
        <f>IFERROR(__xludf.DUMMYFUNCTION("""COMPUTED_VALUE"""),"Suspender")</f>
        <v>Suspender</v>
      </c>
      <c r="AG40" s="97"/>
      <c r="AH40" s="97"/>
      <c r="AI40" s="97"/>
      <c r="AJ40" s="97"/>
      <c r="AK40" s="97"/>
      <c r="AL40" s="97"/>
      <c r="AM40" s="97"/>
      <c r="AN40" s="97"/>
      <c r="AO40" s="97" t="str">
        <f>IFERROR(__xludf.DUMMYFUNCTION("""COMPUTED_VALUE"""),"1 Año")</f>
        <v>1 Año</v>
      </c>
      <c r="AP40" s="97"/>
      <c r="AQ40" s="97"/>
      <c r="AR40" s="97"/>
      <c r="AS40" s="97"/>
      <c r="AT40" s="97"/>
      <c r="AU40" s="97"/>
      <c r="AV40" s="97" t="str">
        <f>IFERROR(__xludf.DUMMYFUNCTION("""COMPUTED_VALUE"""),"Colgante")</f>
        <v>Colgante</v>
      </c>
      <c r="AW40" s="97" t="str">
        <f>IFERROR(__xludf.DUMMYFUNCTION("""COMPUTED_VALUE"""),"De Techo")</f>
        <v>De Techo</v>
      </c>
      <c r="AX40" s="97" t="str">
        <f>IFERROR(__xludf.DUMMYFUNCTION("""COMPUTED_VALUE"""),"Interior")</f>
        <v>Interior</v>
      </c>
      <c r="AY40" s="97"/>
      <c r="AZ40" s="97"/>
      <c r="BA40" s="97">
        <f>IFERROR(__xludf.DUMMYFUNCTION("""COMPUTED_VALUE"""),1.0)</f>
        <v>1</v>
      </c>
      <c r="BB40" s="97"/>
      <c r="BC40" s="97"/>
      <c r="BD40" s="97" t="str">
        <f>IFERROR(__xludf.DUMMYFUNCTION("""COMPUTED_VALUE"""),"ZETH")</f>
        <v>ZETH</v>
      </c>
      <c r="BE40" s="97" t="str">
        <f>IFERROR(__xludf.DUMMYFUNCTION("""COMPUTED_VALUE"""),"Sin Ficha")</f>
        <v>Sin Ficha</v>
      </c>
      <c r="BF40" s="97"/>
      <c r="BG40" s="97" t="str">
        <f>IFERROR(__xludf.DUMMYFUNCTION("""COMPUTED_VALUE"""),"Discontinuo")</f>
        <v>Discontinuo</v>
      </c>
    </row>
    <row r="41">
      <c r="A41" s="97">
        <f>IFERROR(__xludf.DUMMYFUNCTION("""COMPUTED_VALUE"""),3390.0)</f>
        <v>3390</v>
      </c>
      <c r="B41" s="97" t="str">
        <f>IFERROR(__xludf.DUMMYFUNCTION("""COMPUTED_VALUE"""),"ZETH BL")</f>
        <v>ZETH BL</v>
      </c>
      <c r="C41" s="97" t="str">
        <f>IFERROR(__xludf.DUMMYFUNCTION("""COMPUTED_VALUE"""),"COLGANTE ZETH LEUK BLANCO")</f>
        <v>COLGANTE ZETH LEUK BLANCO</v>
      </c>
      <c r="D41" s="97">
        <f>IFERROR(__xludf.DUMMYFUNCTION("""COMPUTED_VALUE"""),7.798328753793E12)</f>
        <v>7798328753793</v>
      </c>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t="str">
        <f>IFERROR(__xludf.DUMMYFUNCTION("""COMPUTED_VALUE"""),"IP20")</f>
        <v>IP20</v>
      </c>
      <c r="AE41" s="97"/>
      <c r="AF41" s="97" t="str">
        <f>IFERROR(__xludf.DUMMYFUNCTION("""COMPUTED_VALUE"""),"Suspender")</f>
        <v>Suspender</v>
      </c>
      <c r="AG41" s="97"/>
      <c r="AH41" s="97"/>
      <c r="AI41" s="97"/>
      <c r="AJ41" s="97"/>
      <c r="AK41" s="97"/>
      <c r="AL41" s="97"/>
      <c r="AM41" s="97"/>
      <c r="AN41" s="97"/>
      <c r="AO41" s="97" t="str">
        <f>IFERROR(__xludf.DUMMYFUNCTION("""COMPUTED_VALUE"""),"1 Año")</f>
        <v>1 Año</v>
      </c>
      <c r="AP41" s="97"/>
      <c r="AQ41" s="97"/>
      <c r="AR41" s="97"/>
      <c r="AS41" s="97"/>
      <c r="AT41" s="97"/>
      <c r="AU41" s="97"/>
      <c r="AV41" s="97" t="str">
        <f>IFERROR(__xludf.DUMMYFUNCTION("""COMPUTED_VALUE"""),"Colgante")</f>
        <v>Colgante</v>
      </c>
      <c r="AW41" s="97" t="str">
        <f>IFERROR(__xludf.DUMMYFUNCTION("""COMPUTED_VALUE"""),"De Techo")</f>
        <v>De Techo</v>
      </c>
      <c r="AX41" s="97" t="str">
        <f>IFERROR(__xludf.DUMMYFUNCTION("""COMPUTED_VALUE"""),"Interior")</f>
        <v>Interior</v>
      </c>
      <c r="AY41" s="97"/>
      <c r="AZ41" s="97"/>
      <c r="BA41" s="97"/>
      <c r="BB41" s="97"/>
      <c r="BC41" s="97"/>
      <c r="BD41" s="97" t="str">
        <f>IFERROR(__xludf.DUMMYFUNCTION("""COMPUTED_VALUE"""),"ZETH")</f>
        <v>ZETH</v>
      </c>
      <c r="BE41" s="97" t="str">
        <f>IFERROR(__xludf.DUMMYFUNCTION("""COMPUTED_VALUE"""),"Sin Ficha")</f>
        <v>Sin Ficha</v>
      </c>
      <c r="BF41" s="97"/>
      <c r="BG41" s="97" t="str">
        <f>IFERROR(__xludf.DUMMYFUNCTION("""COMPUTED_VALUE"""),"Discontinuo")</f>
        <v>Discontinuo</v>
      </c>
    </row>
    <row r="42">
      <c r="A42" s="97">
        <f>IFERROR(__xludf.DUMMYFUNCTION("""COMPUTED_VALUE"""),3391.0)</f>
        <v>3391</v>
      </c>
      <c r="B42" s="97" t="str">
        <f>IFERROR(__xludf.DUMMYFUNCTION("""COMPUTED_VALUE"""),"ZAREK NG")</f>
        <v>ZAREK NG</v>
      </c>
      <c r="C42" s="97" t="str">
        <f>IFERROR(__xludf.DUMMYFUNCTION("""COMPUTED_VALUE"""),"COLGANTE ZAREK LEUK NEGRO")</f>
        <v>COLGANTE ZAREK LEUK NEGRO</v>
      </c>
      <c r="D42" s="97">
        <f>IFERROR(__xludf.DUMMYFUNCTION("""COMPUTED_VALUE"""),7.798328752895E12)</f>
        <v>7798328752895</v>
      </c>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t="str">
        <f>IFERROR(__xludf.DUMMYFUNCTION("""COMPUTED_VALUE"""),"IP20")</f>
        <v>IP20</v>
      </c>
      <c r="AE42" s="97"/>
      <c r="AF42" s="97" t="str">
        <f>IFERROR(__xludf.DUMMYFUNCTION("""COMPUTED_VALUE"""),"Suspender")</f>
        <v>Suspender</v>
      </c>
      <c r="AG42" s="97"/>
      <c r="AH42" s="97"/>
      <c r="AI42" s="97"/>
      <c r="AJ42" s="97"/>
      <c r="AK42" s="97"/>
      <c r="AL42" s="97"/>
      <c r="AM42" s="97"/>
      <c r="AN42" s="97"/>
      <c r="AO42" s="97" t="str">
        <f>IFERROR(__xludf.DUMMYFUNCTION("""COMPUTED_VALUE"""),"1 Año")</f>
        <v>1 Año</v>
      </c>
      <c r="AP42" s="97"/>
      <c r="AQ42" s="97"/>
      <c r="AR42" s="97"/>
      <c r="AS42" s="97"/>
      <c r="AT42" s="97"/>
      <c r="AU42" s="97"/>
      <c r="AV42" s="97" t="str">
        <f>IFERROR(__xludf.DUMMYFUNCTION("""COMPUTED_VALUE"""),"Colgante")</f>
        <v>Colgante</v>
      </c>
      <c r="AW42" s="97" t="str">
        <f>IFERROR(__xludf.DUMMYFUNCTION("""COMPUTED_VALUE"""),"De Techo")</f>
        <v>De Techo</v>
      </c>
      <c r="AX42" s="97" t="str">
        <f>IFERROR(__xludf.DUMMYFUNCTION("""COMPUTED_VALUE"""),"Interior")</f>
        <v>Interior</v>
      </c>
      <c r="AY42" s="97"/>
      <c r="AZ42" s="97"/>
      <c r="BA42" s="97">
        <f>IFERROR(__xludf.DUMMYFUNCTION("""COMPUTED_VALUE"""),1.0)</f>
        <v>1</v>
      </c>
      <c r="BB42" s="97"/>
      <c r="BC42" s="97"/>
      <c r="BD42" s="97" t="str">
        <f>IFERROR(__xludf.DUMMYFUNCTION("""COMPUTED_VALUE"""),"ZAREK")</f>
        <v>ZAREK</v>
      </c>
      <c r="BE42" s="97" t="str">
        <f>IFERROR(__xludf.DUMMYFUNCTION("""COMPUTED_VALUE"""),"Sin Ficha")</f>
        <v>Sin Ficha</v>
      </c>
      <c r="BF42" s="97"/>
      <c r="BG42" s="97" t="str">
        <f>IFERROR(__xludf.DUMMYFUNCTION("""COMPUTED_VALUE"""),"Discontinuo")</f>
        <v>Discontinuo</v>
      </c>
    </row>
    <row r="43">
      <c r="A43" s="97">
        <f>IFERROR(__xludf.DUMMYFUNCTION("""COMPUTED_VALUE"""),3392.0)</f>
        <v>3392</v>
      </c>
      <c r="B43" s="97" t="str">
        <f>IFERROR(__xludf.DUMMYFUNCTION("""COMPUTED_VALUE"""),"ZAREK BL")</f>
        <v>ZAREK BL</v>
      </c>
      <c r="C43" s="97" t="str">
        <f>IFERROR(__xludf.DUMMYFUNCTION("""COMPUTED_VALUE"""),"COLGANTE ZAREK LEUK BLANCO")</f>
        <v>COLGANTE ZAREK LEUK BLANCO</v>
      </c>
      <c r="D43" s="97">
        <f>IFERROR(__xludf.DUMMYFUNCTION("""COMPUTED_VALUE"""),7.798328753809E12)</f>
        <v>7798328753809</v>
      </c>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t="str">
        <f>IFERROR(__xludf.DUMMYFUNCTION("""COMPUTED_VALUE"""),"IP20")</f>
        <v>IP20</v>
      </c>
      <c r="AE43" s="97"/>
      <c r="AF43" s="97" t="str">
        <f>IFERROR(__xludf.DUMMYFUNCTION("""COMPUTED_VALUE"""),"Suspender")</f>
        <v>Suspender</v>
      </c>
      <c r="AG43" s="97"/>
      <c r="AH43" s="97"/>
      <c r="AI43" s="97"/>
      <c r="AJ43" s="97"/>
      <c r="AK43" s="97"/>
      <c r="AL43" s="97"/>
      <c r="AM43" s="97"/>
      <c r="AN43" s="97"/>
      <c r="AO43" s="97" t="str">
        <f>IFERROR(__xludf.DUMMYFUNCTION("""COMPUTED_VALUE"""),"1 Año")</f>
        <v>1 Año</v>
      </c>
      <c r="AP43" s="97"/>
      <c r="AQ43" s="97"/>
      <c r="AR43" s="97"/>
      <c r="AS43" s="97"/>
      <c r="AT43" s="97"/>
      <c r="AU43" s="97"/>
      <c r="AV43" s="97" t="str">
        <f>IFERROR(__xludf.DUMMYFUNCTION("""COMPUTED_VALUE"""),"Colgante")</f>
        <v>Colgante</v>
      </c>
      <c r="AW43" s="97" t="str">
        <f>IFERROR(__xludf.DUMMYFUNCTION("""COMPUTED_VALUE"""),"De Techo")</f>
        <v>De Techo</v>
      </c>
      <c r="AX43" s="97" t="str">
        <f>IFERROR(__xludf.DUMMYFUNCTION("""COMPUTED_VALUE"""),"Interior")</f>
        <v>Interior</v>
      </c>
      <c r="AY43" s="97"/>
      <c r="AZ43" s="97"/>
      <c r="BA43" s="97"/>
      <c r="BB43" s="97"/>
      <c r="BC43" s="97"/>
      <c r="BD43" s="97" t="str">
        <f>IFERROR(__xludf.DUMMYFUNCTION("""COMPUTED_VALUE"""),"ZAREK")</f>
        <v>ZAREK</v>
      </c>
      <c r="BE43" s="97" t="str">
        <f>IFERROR(__xludf.DUMMYFUNCTION("""COMPUTED_VALUE"""),"Sin Ficha")</f>
        <v>Sin Ficha</v>
      </c>
      <c r="BF43" s="97"/>
      <c r="BG43" s="97" t="str">
        <f>IFERROR(__xludf.DUMMYFUNCTION("""COMPUTED_VALUE"""),"Discontinuo")</f>
        <v>Discontinuo</v>
      </c>
    </row>
    <row r="44">
      <c r="A44" s="97">
        <f>IFERROR(__xludf.DUMMYFUNCTION("""COMPUTED_VALUE"""),3393.0)</f>
        <v>3393</v>
      </c>
      <c r="B44" s="97" t="str">
        <f>IFERROR(__xludf.DUMMYFUNCTION("""COMPUTED_VALUE"""),"NYX NG")</f>
        <v>NYX NG</v>
      </c>
      <c r="C44" s="97" t="str">
        <f>IFERROR(__xludf.DUMMYFUNCTION("""COMPUTED_VALUE"""),"COLGANTE NYX MATE LEUK NEGRO")</f>
        <v>COLGANTE NYX MATE LEUK NEGRO</v>
      </c>
      <c r="D44" s="97">
        <f>IFERROR(__xludf.DUMMYFUNCTION("""COMPUTED_VALUE"""),7.798328752901E12)</f>
        <v>7798328752901</v>
      </c>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t="str">
        <f>IFERROR(__xludf.DUMMYFUNCTION("""COMPUTED_VALUE"""),"IP20")</f>
        <v>IP20</v>
      </c>
      <c r="AE44" s="97"/>
      <c r="AF44" s="97" t="str">
        <f>IFERROR(__xludf.DUMMYFUNCTION("""COMPUTED_VALUE"""),"Suspender")</f>
        <v>Suspender</v>
      </c>
      <c r="AG44" s="97"/>
      <c r="AH44" s="97"/>
      <c r="AI44" s="97"/>
      <c r="AJ44" s="97"/>
      <c r="AK44" s="97"/>
      <c r="AL44" s="97"/>
      <c r="AM44" s="97"/>
      <c r="AN44" s="97"/>
      <c r="AO44" s="97" t="str">
        <f>IFERROR(__xludf.DUMMYFUNCTION("""COMPUTED_VALUE"""),"1 Año")</f>
        <v>1 Año</v>
      </c>
      <c r="AP44" s="97"/>
      <c r="AQ44" s="97"/>
      <c r="AR44" s="97"/>
      <c r="AS44" s="97"/>
      <c r="AT44" s="97"/>
      <c r="AU44" s="97"/>
      <c r="AV44" s="97" t="str">
        <f>IFERROR(__xludf.DUMMYFUNCTION("""COMPUTED_VALUE"""),"Colgante")</f>
        <v>Colgante</v>
      </c>
      <c r="AW44" s="97" t="str">
        <f>IFERROR(__xludf.DUMMYFUNCTION("""COMPUTED_VALUE"""),"De Techo")</f>
        <v>De Techo</v>
      </c>
      <c r="AX44" s="97" t="str">
        <f>IFERROR(__xludf.DUMMYFUNCTION("""COMPUTED_VALUE"""),"Interior")</f>
        <v>Interior</v>
      </c>
      <c r="AY44" s="97"/>
      <c r="AZ44" s="97"/>
      <c r="BA44" s="97"/>
      <c r="BB44" s="97"/>
      <c r="BC44" s="97"/>
      <c r="BD44" s="97" t="str">
        <f>IFERROR(__xludf.DUMMYFUNCTION("""COMPUTED_VALUE"""),"NYX")</f>
        <v>NYX</v>
      </c>
      <c r="BE44" s="97" t="str">
        <f>IFERROR(__xludf.DUMMYFUNCTION("""COMPUTED_VALUE"""),"Sin Ficha")</f>
        <v>Sin Ficha</v>
      </c>
      <c r="BF44" s="97"/>
      <c r="BG44" s="97" t="str">
        <f>IFERROR(__xludf.DUMMYFUNCTION("""COMPUTED_VALUE"""),"Discontinuo")</f>
        <v>Discontinuo</v>
      </c>
    </row>
    <row r="45">
      <c r="A45" s="97">
        <f>IFERROR(__xludf.DUMMYFUNCTION("""COMPUTED_VALUE"""),3394.0)</f>
        <v>3394</v>
      </c>
      <c r="B45" s="97" t="str">
        <f>IFERROR(__xludf.DUMMYFUNCTION("""COMPUTED_VALUE"""),"NYX BL")</f>
        <v>NYX BL</v>
      </c>
      <c r="C45" s="97" t="str">
        <f>IFERROR(__xludf.DUMMYFUNCTION("""COMPUTED_VALUE"""),"COLGANTE NYX MATE LEUK BLANCO")</f>
        <v>COLGANTE NYX MATE LEUK BLANCO</v>
      </c>
      <c r="D45" s="97">
        <f>IFERROR(__xludf.DUMMYFUNCTION("""COMPUTED_VALUE"""),7.798328752918E12)</f>
        <v>7798328752918</v>
      </c>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t="str">
        <f>IFERROR(__xludf.DUMMYFUNCTION("""COMPUTED_VALUE"""),"IP20")</f>
        <v>IP20</v>
      </c>
      <c r="AE45" s="97"/>
      <c r="AF45" s="97" t="str">
        <f>IFERROR(__xludf.DUMMYFUNCTION("""COMPUTED_VALUE"""),"Suspender")</f>
        <v>Suspender</v>
      </c>
      <c r="AG45" s="97"/>
      <c r="AH45" s="97"/>
      <c r="AI45" s="97"/>
      <c r="AJ45" s="97"/>
      <c r="AK45" s="97"/>
      <c r="AL45" s="97"/>
      <c r="AM45" s="97"/>
      <c r="AN45" s="97"/>
      <c r="AO45" s="97" t="str">
        <f>IFERROR(__xludf.DUMMYFUNCTION("""COMPUTED_VALUE"""),"1 Año")</f>
        <v>1 Año</v>
      </c>
      <c r="AP45" s="97"/>
      <c r="AQ45" s="97"/>
      <c r="AR45" s="97"/>
      <c r="AS45" s="97"/>
      <c r="AT45" s="97"/>
      <c r="AU45" s="97"/>
      <c r="AV45" s="97" t="str">
        <f>IFERROR(__xludf.DUMMYFUNCTION("""COMPUTED_VALUE"""),"Colgante")</f>
        <v>Colgante</v>
      </c>
      <c r="AW45" s="97" t="str">
        <f>IFERROR(__xludf.DUMMYFUNCTION("""COMPUTED_VALUE"""),"De Techo")</f>
        <v>De Techo</v>
      </c>
      <c r="AX45" s="97" t="str">
        <f>IFERROR(__xludf.DUMMYFUNCTION("""COMPUTED_VALUE"""),"Interior")</f>
        <v>Interior</v>
      </c>
      <c r="AY45" s="97"/>
      <c r="AZ45" s="97"/>
      <c r="BA45" s="97"/>
      <c r="BB45" s="97"/>
      <c r="BC45" s="97"/>
      <c r="BD45" s="97" t="str">
        <f>IFERROR(__xludf.DUMMYFUNCTION("""COMPUTED_VALUE"""),"NYX")</f>
        <v>NYX</v>
      </c>
      <c r="BE45" s="97" t="str">
        <f>IFERROR(__xludf.DUMMYFUNCTION("""COMPUTED_VALUE"""),"Sin Ficha")</f>
        <v>Sin Ficha</v>
      </c>
      <c r="BF45" s="97"/>
      <c r="BG45" s="97" t="str">
        <f>IFERROR(__xludf.DUMMYFUNCTION("""COMPUTED_VALUE"""),"Discontinuo")</f>
        <v>Discontinuo</v>
      </c>
    </row>
    <row r="46">
      <c r="A46" s="97">
        <f>IFERROR(__xludf.DUMMYFUNCTION("""COMPUTED_VALUE"""),3395.0)</f>
        <v>3395</v>
      </c>
      <c r="B46" s="97" t="str">
        <f>IFERROR(__xludf.DUMMYFUNCTION("""COMPUTED_VALUE"""),"MINTA")</f>
        <v>MINTA</v>
      </c>
      <c r="C46" s="97" t="str">
        <f>IFERROR(__xludf.DUMMYFUNCTION("""COMPUTED_VALUE"""),"COLGANTE MINTA LEUK")</f>
        <v>COLGANTE MINTA LEUK</v>
      </c>
      <c r="D46" s="97">
        <f>IFERROR(__xludf.DUMMYFUNCTION("""COMPUTED_VALUE"""),7.798328753199E12)</f>
        <v>7798328753199</v>
      </c>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t="str">
        <f>IFERROR(__xludf.DUMMYFUNCTION("""COMPUTED_VALUE"""),"IP20")</f>
        <v>IP20</v>
      </c>
      <c r="AE46" s="97"/>
      <c r="AF46" s="97" t="str">
        <f>IFERROR(__xludf.DUMMYFUNCTION("""COMPUTED_VALUE"""),"Suspender")</f>
        <v>Suspender</v>
      </c>
      <c r="AG46" s="97"/>
      <c r="AH46" s="97"/>
      <c r="AI46" s="97"/>
      <c r="AJ46" s="97"/>
      <c r="AK46" s="97"/>
      <c r="AL46" s="97"/>
      <c r="AM46" s="97"/>
      <c r="AN46" s="97"/>
      <c r="AO46" s="97" t="str">
        <f>IFERROR(__xludf.DUMMYFUNCTION("""COMPUTED_VALUE"""),"1 Año")</f>
        <v>1 Año</v>
      </c>
      <c r="AP46" s="97"/>
      <c r="AQ46" s="97"/>
      <c r="AR46" s="97"/>
      <c r="AS46" s="97"/>
      <c r="AT46" s="97"/>
      <c r="AU46" s="97"/>
      <c r="AV46" s="97" t="str">
        <f>IFERROR(__xludf.DUMMYFUNCTION("""COMPUTED_VALUE"""),"Colgante")</f>
        <v>Colgante</v>
      </c>
      <c r="AW46" s="97" t="str">
        <f>IFERROR(__xludf.DUMMYFUNCTION("""COMPUTED_VALUE"""),"De Techo")</f>
        <v>De Techo</v>
      </c>
      <c r="AX46" s="97" t="str">
        <f>IFERROR(__xludf.DUMMYFUNCTION("""COMPUTED_VALUE"""),"Interior")</f>
        <v>Interior</v>
      </c>
      <c r="AY46" s="97"/>
      <c r="AZ46" s="97"/>
      <c r="BA46" s="97"/>
      <c r="BB46" s="97"/>
      <c r="BC46" s="97"/>
      <c r="BD46" s="97" t="str">
        <f>IFERROR(__xludf.DUMMYFUNCTION("""COMPUTED_VALUE"""),"MINTA")</f>
        <v>MINTA</v>
      </c>
      <c r="BE46" s="97" t="str">
        <f>IFERROR(__xludf.DUMMYFUNCTION("""COMPUTED_VALUE"""),"Sin Ficha")</f>
        <v>Sin Ficha</v>
      </c>
      <c r="BF46" s="97"/>
      <c r="BG46" s="97" t="str">
        <f>IFERROR(__xludf.DUMMYFUNCTION("""COMPUTED_VALUE"""),"Discontinuo")</f>
        <v>Discontinuo</v>
      </c>
    </row>
    <row r="47">
      <c r="A47" s="97">
        <f>IFERROR(__xludf.DUMMYFUNCTION("""COMPUTED_VALUE"""),3396.0)</f>
        <v>3396</v>
      </c>
      <c r="B47" s="97" t="str">
        <f>IFERROR(__xludf.DUMMYFUNCTION("""COMPUTED_VALUE"""),"RHEA E14")</f>
        <v>RHEA E14</v>
      </c>
      <c r="C47" s="97" t="str">
        <f>IFERROR(__xludf.DUMMYFUNCTION("""COMPUTED_VALUE"""),"COLGANTE RHEA E14 LEUK")</f>
        <v>COLGANTE RHEA E14 LEUK</v>
      </c>
      <c r="D47" s="97">
        <f>IFERROR(__xludf.DUMMYFUNCTION("""COMPUTED_VALUE"""),7.798328752925E12)</f>
        <v>7798328752925</v>
      </c>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t="str">
        <f>IFERROR(__xludf.DUMMYFUNCTION("""COMPUTED_VALUE"""),"IP20")</f>
        <v>IP20</v>
      </c>
      <c r="AE47" s="97"/>
      <c r="AF47" s="97" t="str">
        <f>IFERROR(__xludf.DUMMYFUNCTION("""COMPUTED_VALUE"""),"Suspender")</f>
        <v>Suspender</v>
      </c>
      <c r="AG47" s="97"/>
      <c r="AH47" s="97"/>
      <c r="AI47" s="97"/>
      <c r="AJ47" s="97"/>
      <c r="AK47" s="97"/>
      <c r="AL47" s="97"/>
      <c r="AM47" s="97"/>
      <c r="AN47" s="97"/>
      <c r="AO47" s="97" t="str">
        <f>IFERROR(__xludf.DUMMYFUNCTION("""COMPUTED_VALUE"""),"1 Año")</f>
        <v>1 Año</v>
      </c>
      <c r="AP47" s="97"/>
      <c r="AQ47" s="97"/>
      <c r="AR47" s="97"/>
      <c r="AS47" s="97"/>
      <c r="AT47" s="97"/>
      <c r="AU47" s="97"/>
      <c r="AV47" s="97" t="str">
        <f>IFERROR(__xludf.DUMMYFUNCTION("""COMPUTED_VALUE"""),"Colgante")</f>
        <v>Colgante</v>
      </c>
      <c r="AW47" s="97" t="str">
        <f>IFERROR(__xludf.DUMMYFUNCTION("""COMPUTED_VALUE"""),"De Techo")</f>
        <v>De Techo</v>
      </c>
      <c r="AX47" s="97" t="str">
        <f>IFERROR(__xludf.DUMMYFUNCTION("""COMPUTED_VALUE"""),"Interior")</f>
        <v>Interior</v>
      </c>
      <c r="AY47" s="97"/>
      <c r="AZ47" s="97"/>
      <c r="BA47" s="97"/>
      <c r="BB47" s="97"/>
      <c r="BC47" s="97"/>
      <c r="BD47" s="97" t="str">
        <f>IFERROR(__xludf.DUMMYFUNCTION("""COMPUTED_VALUE"""),"RHEA")</f>
        <v>RHEA</v>
      </c>
      <c r="BE47" s="97" t="str">
        <f>IFERROR(__xludf.DUMMYFUNCTION("""COMPUTED_VALUE"""),"Sin Ficha")</f>
        <v>Sin Ficha</v>
      </c>
      <c r="BF47" s="97"/>
      <c r="BG47" s="97" t="str">
        <f>IFERROR(__xludf.DUMMYFUNCTION("""COMPUTED_VALUE"""),"Discontinuo")</f>
        <v>Discontinuo</v>
      </c>
    </row>
    <row r="48">
      <c r="A48" s="97">
        <f>IFERROR(__xludf.DUMMYFUNCTION("""COMPUTED_VALUE"""),3397.0)</f>
        <v>3397</v>
      </c>
      <c r="B48" s="97" t="str">
        <f>IFERROR(__xludf.DUMMYFUNCTION("""COMPUTED_VALUE"""),"ERYX")</f>
        <v>ERYX</v>
      </c>
      <c r="C48" s="97" t="str">
        <f>IFERROR(__xludf.DUMMYFUNCTION("""COMPUTED_VALUE"""),"COLGANTE ERYX LEUK")</f>
        <v>COLGANTE ERYX LEUK</v>
      </c>
      <c r="D48" s="97">
        <f>IFERROR(__xludf.DUMMYFUNCTION("""COMPUTED_VALUE"""),7.798328752932E12)</f>
        <v>7798328752932</v>
      </c>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t="str">
        <f>IFERROR(__xludf.DUMMYFUNCTION("""COMPUTED_VALUE"""),"IP20")</f>
        <v>IP20</v>
      </c>
      <c r="AE48" s="97"/>
      <c r="AF48" s="97" t="str">
        <f>IFERROR(__xludf.DUMMYFUNCTION("""COMPUTED_VALUE"""),"Suspender")</f>
        <v>Suspender</v>
      </c>
      <c r="AG48" s="97"/>
      <c r="AH48" s="97"/>
      <c r="AI48" s="97"/>
      <c r="AJ48" s="97"/>
      <c r="AK48" s="97"/>
      <c r="AL48" s="97"/>
      <c r="AM48" s="97"/>
      <c r="AN48" s="97"/>
      <c r="AO48" s="97" t="str">
        <f>IFERROR(__xludf.DUMMYFUNCTION("""COMPUTED_VALUE"""),"1 Año")</f>
        <v>1 Año</v>
      </c>
      <c r="AP48" s="97"/>
      <c r="AQ48" s="97"/>
      <c r="AR48" s="97"/>
      <c r="AS48" s="97"/>
      <c r="AT48" s="97"/>
      <c r="AU48" s="97"/>
      <c r="AV48" s="97" t="str">
        <f>IFERROR(__xludf.DUMMYFUNCTION("""COMPUTED_VALUE"""),"Colgante")</f>
        <v>Colgante</v>
      </c>
      <c r="AW48" s="97" t="str">
        <f>IFERROR(__xludf.DUMMYFUNCTION("""COMPUTED_VALUE"""),"De Techo")</f>
        <v>De Techo</v>
      </c>
      <c r="AX48" s="97" t="str">
        <f>IFERROR(__xludf.DUMMYFUNCTION("""COMPUTED_VALUE"""),"Interior")</f>
        <v>Interior</v>
      </c>
      <c r="AY48" s="97"/>
      <c r="AZ48" s="97"/>
      <c r="BA48" s="97"/>
      <c r="BB48" s="97"/>
      <c r="BC48" s="97"/>
      <c r="BD48" s="97" t="str">
        <f>IFERROR(__xludf.DUMMYFUNCTION("""COMPUTED_VALUE"""),"ERYX")</f>
        <v>ERYX</v>
      </c>
      <c r="BE48" s="97" t="str">
        <f>IFERROR(__xludf.DUMMYFUNCTION("""COMPUTED_VALUE"""),"Sin Ficha")</f>
        <v>Sin Ficha</v>
      </c>
      <c r="BF48" s="97"/>
      <c r="BG48" s="97" t="str">
        <f>IFERROR(__xludf.DUMMYFUNCTION("""COMPUTED_VALUE"""),"Discontinuo")</f>
        <v>Discontinuo</v>
      </c>
    </row>
    <row r="49">
      <c r="A49" s="97">
        <f>IFERROR(__xludf.DUMMYFUNCTION("""COMPUTED_VALUE"""),3398.0)</f>
        <v>3398</v>
      </c>
      <c r="B49" s="97" t="str">
        <f>IFERROR(__xludf.DUMMYFUNCTION("""COMPUTED_VALUE"""),"JENO I")</f>
        <v>JENO I</v>
      </c>
      <c r="C49" s="97" t="str">
        <f>IFERROR(__xludf.DUMMYFUNCTION("""COMPUTED_VALUE"""),"COLGANTE JENO I LEUK")</f>
        <v>COLGANTE JENO I LEUK</v>
      </c>
      <c r="D49" s="97">
        <f>IFERROR(__xludf.DUMMYFUNCTION("""COMPUTED_VALUE"""),7.798328752949E12)</f>
        <v>7798328752949</v>
      </c>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t="str">
        <f>IFERROR(__xludf.DUMMYFUNCTION("""COMPUTED_VALUE"""),"IP20")</f>
        <v>IP20</v>
      </c>
      <c r="AE49" s="97"/>
      <c r="AF49" s="97" t="str">
        <f>IFERROR(__xludf.DUMMYFUNCTION("""COMPUTED_VALUE"""),"Suspender")</f>
        <v>Suspender</v>
      </c>
      <c r="AG49" s="97"/>
      <c r="AH49" s="97"/>
      <c r="AI49" s="97"/>
      <c r="AJ49" s="97"/>
      <c r="AK49" s="97"/>
      <c r="AL49" s="97"/>
      <c r="AM49" s="97"/>
      <c r="AN49" s="97"/>
      <c r="AO49" s="97" t="str">
        <f>IFERROR(__xludf.DUMMYFUNCTION("""COMPUTED_VALUE"""),"1 Año")</f>
        <v>1 Año</v>
      </c>
      <c r="AP49" s="97"/>
      <c r="AQ49" s="97"/>
      <c r="AR49" s="97"/>
      <c r="AS49" s="97"/>
      <c r="AT49" s="97"/>
      <c r="AU49" s="97"/>
      <c r="AV49" s="97" t="str">
        <f>IFERROR(__xludf.DUMMYFUNCTION("""COMPUTED_VALUE"""),"Colgante")</f>
        <v>Colgante</v>
      </c>
      <c r="AW49" s="97" t="str">
        <f>IFERROR(__xludf.DUMMYFUNCTION("""COMPUTED_VALUE"""),"De Techo")</f>
        <v>De Techo</v>
      </c>
      <c r="AX49" s="97" t="str">
        <f>IFERROR(__xludf.DUMMYFUNCTION("""COMPUTED_VALUE"""),"Interior")</f>
        <v>Interior</v>
      </c>
      <c r="AY49" s="97"/>
      <c r="AZ49" s="97"/>
      <c r="BA49" s="97"/>
      <c r="BB49" s="97"/>
      <c r="BC49" s="97"/>
      <c r="BD49" s="97" t="str">
        <f>IFERROR(__xludf.DUMMYFUNCTION("""COMPUTED_VALUE"""),"JENO")</f>
        <v>JENO</v>
      </c>
      <c r="BE49" s="97" t="str">
        <f>IFERROR(__xludf.DUMMYFUNCTION("""COMPUTED_VALUE"""),"Sin Ficha")</f>
        <v>Sin Ficha</v>
      </c>
      <c r="BF49" s="97"/>
      <c r="BG49" s="97" t="str">
        <f>IFERROR(__xludf.DUMMYFUNCTION("""COMPUTED_VALUE"""),"Discontinuo")</f>
        <v>Discontinuo</v>
      </c>
    </row>
    <row r="50">
      <c r="A50" s="97">
        <f>IFERROR(__xludf.DUMMYFUNCTION("""COMPUTED_VALUE"""),3399.0)</f>
        <v>3399</v>
      </c>
      <c r="B50" s="97" t="str">
        <f>IFERROR(__xludf.DUMMYFUNCTION("""COMPUTED_VALUE"""),"JENO II")</f>
        <v>JENO II</v>
      </c>
      <c r="C50" s="97" t="str">
        <f>IFERROR(__xludf.DUMMYFUNCTION("""COMPUTED_VALUE"""),"COLGANTE JENO II LEUK")</f>
        <v>COLGANTE JENO II LEUK</v>
      </c>
      <c r="D50" s="97">
        <f>IFERROR(__xludf.DUMMYFUNCTION("""COMPUTED_VALUE"""),7.798328752956E12)</f>
        <v>7798328752956</v>
      </c>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t="str">
        <f>IFERROR(__xludf.DUMMYFUNCTION("""COMPUTED_VALUE"""),"IP20")</f>
        <v>IP20</v>
      </c>
      <c r="AE50" s="97"/>
      <c r="AF50" s="97" t="str">
        <f>IFERROR(__xludf.DUMMYFUNCTION("""COMPUTED_VALUE"""),"Suspender")</f>
        <v>Suspender</v>
      </c>
      <c r="AG50" s="97"/>
      <c r="AH50" s="97"/>
      <c r="AI50" s="97"/>
      <c r="AJ50" s="97"/>
      <c r="AK50" s="97"/>
      <c r="AL50" s="97"/>
      <c r="AM50" s="97"/>
      <c r="AN50" s="97"/>
      <c r="AO50" s="97" t="str">
        <f>IFERROR(__xludf.DUMMYFUNCTION("""COMPUTED_VALUE"""),"1 Año")</f>
        <v>1 Año</v>
      </c>
      <c r="AP50" s="97"/>
      <c r="AQ50" s="97"/>
      <c r="AR50" s="97"/>
      <c r="AS50" s="97"/>
      <c r="AT50" s="97"/>
      <c r="AU50" s="97"/>
      <c r="AV50" s="97" t="str">
        <f>IFERROR(__xludf.DUMMYFUNCTION("""COMPUTED_VALUE"""),"Colgante")</f>
        <v>Colgante</v>
      </c>
      <c r="AW50" s="97" t="str">
        <f>IFERROR(__xludf.DUMMYFUNCTION("""COMPUTED_VALUE"""),"De Techo")</f>
        <v>De Techo</v>
      </c>
      <c r="AX50" s="97" t="str">
        <f>IFERROR(__xludf.DUMMYFUNCTION("""COMPUTED_VALUE"""),"Interior")</f>
        <v>Interior</v>
      </c>
      <c r="AY50" s="97"/>
      <c r="AZ50" s="97"/>
      <c r="BA50" s="97"/>
      <c r="BB50" s="97"/>
      <c r="BC50" s="97"/>
      <c r="BD50" s="97" t="str">
        <f>IFERROR(__xludf.DUMMYFUNCTION("""COMPUTED_VALUE"""),"JENO")</f>
        <v>JENO</v>
      </c>
      <c r="BE50" s="97" t="str">
        <f>IFERROR(__xludf.DUMMYFUNCTION("""COMPUTED_VALUE"""),"Sin Ficha")</f>
        <v>Sin Ficha</v>
      </c>
      <c r="BF50" s="97"/>
      <c r="BG50" s="97" t="str">
        <f>IFERROR(__xludf.DUMMYFUNCTION("""COMPUTED_VALUE"""),"Discontinuo")</f>
        <v>Discontinuo</v>
      </c>
    </row>
    <row r="51">
      <c r="A51" s="97">
        <f>IFERROR(__xludf.DUMMYFUNCTION("""COMPUTED_VALUE"""),3400.0)</f>
        <v>3400</v>
      </c>
      <c r="B51" s="97" t="str">
        <f>IFERROR(__xludf.DUMMYFUNCTION("""COMPUTED_VALUE"""),"TARYN")</f>
        <v>TARYN</v>
      </c>
      <c r="C51" s="97" t="str">
        <f>IFERROR(__xludf.DUMMYFUNCTION("""COMPUTED_VALUE"""),"COLGANTE TARYN LEUK")</f>
        <v>COLGANTE TARYN LEUK</v>
      </c>
      <c r="D51" s="97">
        <f>IFERROR(__xludf.DUMMYFUNCTION("""COMPUTED_VALUE"""),7.798328752963E12)</f>
        <v>7798328752963</v>
      </c>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t="str">
        <f>IFERROR(__xludf.DUMMYFUNCTION("""COMPUTED_VALUE"""),"IP20")</f>
        <v>IP20</v>
      </c>
      <c r="AE51" s="97"/>
      <c r="AF51" s="97" t="str">
        <f>IFERROR(__xludf.DUMMYFUNCTION("""COMPUTED_VALUE"""),"Suspender")</f>
        <v>Suspender</v>
      </c>
      <c r="AG51" s="97"/>
      <c r="AH51" s="97"/>
      <c r="AI51" s="97"/>
      <c r="AJ51" s="97"/>
      <c r="AK51" s="97"/>
      <c r="AL51" s="97"/>
      <c r="AM51" s="97"/>
      <c r="AN51" s="97"/>
      <c r="AO51" s="97" t="str">
        <f>IFERROR(__xludf.DUMMYFUNCTION("""COMPUTED_VALUE"""),"1 Año")</f>
        <v>1 Año</v>
      </c>
      <c r="AP51" s="97"/>
      <c r="AQ51" s="97"/>
      <c r="AR51" s="97"/>
      <c r="AS51" s="97"/>
      <c r="AT51" s="97"/>
      <c r="AU51" s="97"/>
      <c r="AV51" s="97" t="str">
        <f>IFERROR(__xludf.DUMMYFUNCTION("""COMPUTED_VALUE"""),"Colgante")</f>
        <v>Colgante</v>
      </c>
      <c r="AW51" s="97" t="str">
        <f>IFERROR(__xludf.DUMMYFUNCTION("""COMPUTED_VALUE"""),"De Techo")</f>
        <v>De Techo</v>
      </c>
      <c r="AX51" s="97" t="str">
        <f>IFERROR(__xludf.DUMMYFUNCTION("""COMPUTED_VALUE"""),"Interior")</f>
        <v>Interior</v>
      </c>
      <c r="AY51" s="97"/>
      <c r="AZ51" s="97"/>
      <c r="BA51" s="97">
        <f>IFERROR(__xludf.DUMMYFUNCTION("""COMPUTED_VALUE"""),1.0)</f>
        <v>1</v>
      </c>
      <c r="BB51" s="97"/>
      <c r="BC51" s="97"/>
      <c r="BD51" s="97" t="str">
        <f>IFERROR(__xludf.DUMMYFUNCTION("""COMPUTED_VALUE"""),"TARYN")</f>
        <v>TARYN</v>
      </c>
      <c r="BE51" s="97" t="str">
        <f>IFERROR(__xludf.DUMMYFUNCTION("""COMPUTED_VALUE"""),"Sin Ficha")</f>
        <v>Sin Ficha</v>
      </c>
      <c r="BF51" s="97"/>
      <c r="BG51" s="97" t="str">
        <f>IFERROR(__xludf.DUMMYFUNCTION("""COMPUTED_VALUE"""),"Discontinuo")</f>
        <v>Discontinuo</v>
      </c>
    </row>
    <row r="52">
      <c r="A52" s="97">
        <f>IFERROR(__xludf.DUMMYFUNCTION("""COMPUTED_VALUE"""),3401.0)</f>
        <v>3401</v>
      </c>
      <c r="B52" s="97" t="str">
        <f>IFERROR(__xludf.DUMMYFUNCTION("""COMPUTED_VALUE"""),"LYRIS")</f>
        <v>LYRIS</v>
      </c>
      <c r="C52" s="97" t="str">
        <f>IFERROR(__xludf.DUMMYFUNCTION("""COMPUTED_VALUE"""),"COLGANTE LYRIS LEUK")</f>
        <v>COLGANTE LYRIS LEUK</v>
      </c>
      <c r="D52" s="97">
        <f>IFERROR(__xludf.DUMMYFUNCTION("""COMPUTED_VALUE"""),7.79832875297E12)</f>
        <v>7798328752970</v>
      </c>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t="str">
        <f>IFERROR(__xludf.DUMMYFUNCTION("""COMPUTED_VALUE"""),"IP20")</f>
        <v>IP20</v>
      </c>
      <c r="AE52" s="97"/>
      <c r="AF52" s="97" t="str">
        <f>IFERROR(__xludf.DUMMYFUNCTION("""COMPUTED_VALUE"""),"Suspender")</f>
        <v>Suspender</v>
      </c>
      <c r="AG52" s="97"/>
      <c r="AH52" s="97"/>
      <c r="AI52" s="97"/>
      <c r="AJ52" s="97"/>
      <c r="AK52" s="97"/>
      <c r="AL52" s="97"/>
      <c r="AM52" s="97"/>
      <c r="AN52" s="97"/>
      <c r="AO52" s="97" t="str">
        <f>IFERROR(__xludf.DUMMYFUNCTION("""COMPUTED_VALUE"""),"1 Año")</f>
        <v>1 Año</v>
      </c>
      <c r="AP52" s="97"/>
      <c r="AQ52" s="97"/>
      <c r="AR52" s="97"/>
      <c r="AS52" s="97"/>
      <c r="AT52" s="97"/>
      <c r="AU52" s="97"/>
      <c r="AV52" s="97" t="str">
        <f>IFERROR(__xludf.DUMMYFUNCTION("""COMPUTED_VALUE"""),"Colgante")</f>
        <v>Colgante</v>
      </c>
      <c r="AW52" s="97" t="str">
        <f>IFERROR(__xludf.DUMMYFUNCTION("""COMPUTED_VALUE"""),"De Techo")</f>
        <v>De Techo</v>
      </c>
      <c r="AX52" s="97" t="str">
        <f>IFERROR(__xludf.DUMMYFUNCTION("""COMPUTED_VALUE"""),"Interior")</f>
        <v>Interior</v>
      </c>
      <c r="AY52" s="97"/>
      <c r="AZ52" s="97"/>
      <c r="BA52" s="97">
        <f>IFERROR(__xludf.DUMMYFUNCTION("""COMPUTED_VALUE"""),1.0)</f>
        <v>1</v>
      </c>
      <c r="BB52" s="97"/>
      <c r="BC52" s="97"/>
      <c r="BD52" s="97" t="str">
        <f>IFERROR(__xludf.DUMMYFUNCTION("""COMPUTED_VALUE"""),"LYRIS")</f>
        <v>LYRIS</v>
      </c>
      <c r="BE52" s="97" t="str">
        <f>IFERROR(__xludf.DUMMYFUNCTION("""COMPUTED_VALUE"""),"Sin Ficha")</f>
        <v>Sin Ficha</v>
      </c>
      <c r="BF52" s="97"/>
      <c r="BG52" s="97" t="str">
        <f>IFERROR(__xludf.DUMMYFUNCTION("""COMPUTED_VALUE"""),"Discontinuo")</f>
        <v>Discontinuo</v>
      </c>
    </row>
    <row r="53">
      <c r="A53" s="97">
        <f>IFERROR(__xludf.DUMMYFUNCTION("""COMPUTED_VALUE"""),3402.0)</f>
        <v>3402</v>
      </c>
      <c r="B53" s="97" t="str">
        <f>IFERROR(__xludf.DUMMYFUNCTION("""COMPUTED_VALUE"""),"DYSIS")</f>
        <v>DYSIS</v>
      </c>
      <c r="C53" s="97" t="str">
        <f>IFERROR(__xludf.DUMMYFUNCTION("""COMPUTED_VALUE"""),"COLGANTE DYSIS LEUK")</f>
        <v>COLGANTE DYSIS LEUK</v>
      </c>
      <c r="D53" s="97">
        <f>IFERROR(__xludf.DUMMYFUNCTION("""COMPUTED_VALUE"""),7.798328752987E12)</f>
        <v>7798328752987</v>
      </c>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t="str">
        <f>IFERROR(__xludf.DUMMYFUNCTION("""COMPUTED_VALUE"""),"IP20")</f>
        <v>IP20</v>
      </c>
      <c r="AE53" s="97"/>
      <c r="AF53" s="97" t="str">
        <f>IFERROR(__xludf.DUMMYFUNCTION("""COMPUTED_VALUE"""),"Suspender")</f>
        <v>Suspender</v>
      </c>
      <c r="AG53" s="97"/>
      <c r="AH53" s="97"/>
      <c r="AI53" s="97"/>
      <c r="AJ53" s="97"/>
      <c r="AK53" s="97"/>
      <c r="AL53" s="97"/>
      <c r="AM53" s="97"/>
      <c r="AN53" s="97"/>
      <c r="AO53" s="97" t="str">
        <f>IFERROR(__xludf.DUMMYFUNCTION("""COMPUTED_VALUE"""),"1 Año")</f>
        <v>1 Año</v>
      </c>
      <c r="AP53" s="97"/>
      <c r="AQ53" s="97"/>
      <c r="AR53" s="97"/>
      <c r="AS53" s="97"/>
      <c r="AT53" s="97"/>
      <c r="AU53" s="97"/>
      <c r="AV53" s="97" t="str">
        <f>IFERROR(__xludf.DUMMYFUNCTION("""COMPUTED_VALUE"""),"Colgante")</f>
        <v>Colgante</v>
      </c>
      <c r="AW53" s="97" t="str">
        <f>IFERROR(__xludf.DUMMYFUNCTION("""COMPUTED_VALUE"""),"De Techo")</f>
        <v>De Techo</v>
      </c>
      <c r="AX53" s="97" t="str">
        <f>IFERROR(__xludf.DUMMYFUNCTION("""COMPUTED_VALUE"""),"Interior")</f>
        <v>Interior</v>
      </c>
      <c r="AY53" s="97"/>
      <c r="AZ53" s="97"/>
      <c r="BA53" s="97"/>
      <c r="BB53" s="97"/>
      <c r="BC53" s="97"/>
      <c r="BD53" s="97" t="str">
        <f>IFERROR(__xludf.DUMMYFUNCTION("""COMPUTED_VALUE"""),"DYSIS")</f>
        <v>DYSIS</v>
      </c>
      <c r="BE53" s="97" t="str">
        <f>IFERROR(__xludf.DUMMYFUNCTION("""COMPUTED_VALUE"""),"Sin Ficha")</f>
        <v>Sin Ficha</v>
      </c>
      <c r="BF53" s="97"/>
      <c r="BG53" s="97" t="str">
        <f>IFERROR(__xludf.DUMMYFUNCTION("""COMPUTED_VALUE"""),"Discontinuo")</f>
        <v>Discontinuo</v>
      </c>
    </row>
    <row r="54">
      <c r="A54" s="97">
        <f>IFERROR(__xludf.DUMMYFUNCTION("""COMPUTED_VALUE"""),3403.0)</f>
        <v>3403</v>
      </c>
      <c r="B54" s="97" t="str">
        <f>IFERROR(__xludf.DUMMYFUNCTION("""COMPUTED_VALUE"""),"ARES")</f>
        <v>ARES</v>
      </c>
      <c r="C54" s="97" t="str">
        <f>IFERROR(__xludf.DUMMYFUNCTION("""COMPUTED_VALUE"""),"APLIQUE ARES LEUK")</f>
        <v>APLIQUE ARES LEUK</v>
      </c>
      <c r="D54" s="97">
        <f>IFERROR(__xludf.DUMMYFUNCTION("""COMPUTED_VALUE"""),7.798328753007E12)</f>
        <v>7798328753007</v>
      </c>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t="str">
        <f>IFERROR(__xludf.DUMMYFUNCTION("""COMPUTED_VALUE"""),"IP20")</f>
        <v>IP20</v>
      </c>
      <c r="AE54" s="97"/>
      <c r="AF54" s="97" t="str">
        <f>IFERROR(__xludf.DUMMYFUNCTION("""COMPUTED_VALUE"""),"Aplicar")</f>
        <v>Aplicar</v>
      </c>
      <c r="AG54" s="97"/>
      <c r="AH54" s="97"/>
      <c r="AI54" s="97"/>
      <c r="AJ54" s="97"/>
      <c r="AK54" s="97"/>
      <c r="AL54" s="97"/>
      <c r="AM54" s="97"/>
      <c r="AN54" s="97"/>
      <c r="AO54" s="97" t="str">
        <f>IFERROR(__xludf.DUMMYFUNCTION("""COMPUTED_VALUE"""),"1 Año")</f>
        <v>1 Año</v>
      </c>
      <c r="AP54" s="97"/>
      <c r="AQ54" s="97"/>
      <c r="AR54" s="97"/>
      <c r="AS54" s="97"/>
      <c r="AT54" s="97"/>
      <c r="AU54" s="97"/>
      <c r="AV54" s="97" t="str">
        <f>IFERROR(__xludf.DUMMYFUNCTION("""COMPUTED_VALUE"""),"Aplique")</f>
        <v>Aplique</v>
      </c>
      <c r="AW54" s="97" t="str">
        <f>IFERROR(__xludf.DUMMYFUNCTION("""COMPUTED_VALUE"""),"De Pared")</f>
        <v>De Pared</v>
      </c>
      <c r="AX54" s="97" t="str">
        <f>IFERROR(__xludf.DUMMYFUNCTION("""COMPUTED_VALUE"""),"Interior")</f>
        <v>Interior</v>
      </c>
      <c r="AY54" s="97"/>
      <c r="AZ54" s="97"/>
      <c r="BA54" s="97"/>
      <c r="BB54" s="97"/>
      <c r="BC54" s="97"/>
      <c r="BD54" s="97" t="str">
        <f>IFERROR(__xludf.DUMMYFUNCTION("""COMPUTED_VALUE"""),"ARES")</f>
        <v>ARES</v>
      </c>
      <c r="BE54" s="97" t="str">
        <f>IFERROR(__xludf.DUMMYFUNCTION("""COMPUTED_VALUE"""),"Sin Ficha")</f>
        <v>Sin Ficha</v>
      </c>
      <c r="BF54" s="97"/>
      <c r="BG54" s="97" t="str">
        <f>IFERROR(__xludf.DUMMYFUNCTION("""COMPUTED_VALUE"""),"Discontinuo")</f>
        <v>Discontinuo</v>
      </c>
    </row>
    <row r="55">
      <c r="A55" s="97">
        <f>IFERROR(__xludf.DUMMYFUNCTION("""COMPUTED_VALUE"""),3404.0)</f>
        <v>3404</v>
      </c>
      <c r="B55" s="97" t="str">
        <f>IFERROR(__xludf.DUMMYFUNCTION("""COMPUTED_VALUE"""),"LOTO NG")</f>
        <v>LOTO NG</v>
      </c>
      <c r="C55" s="97" t="str">
        <f>IFERROR(__xludf.DUMMYFUNCTION("""COMPUTED_VALUE"""),"APLIQUE LOTO LEUK NEGRO")</f>
        <v>APLIQUE LOTO LEUK NEGRO</v>
      </c>
      <c r="D55" s="97">
        <f>IFERROR(__xludf.DUMMYFUNCTION("""COMPUTED_VALUE"""),7.798328753823E12)</f>
        <v>7798328753823</v>
      </c>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t="str">
        <f>IFERROR(__xludf.DUMMYFUNCTION("""COMPUTED_VALUE"""),"IP20")</f>
        <v>IP20</v>
      </c>
      <c r="AE55" s="97"/>
      <c r="AF55" s="97" t="str">
        <f>IFERROR(__xludf.DUMMYFUNCTION("""COMPUTED_VALUE"""),"Aplicar")</f>
        <v>Aplicar</v>
      </c>
      <c r="AG55" s="97"/>
      <c r="AH55" s="97"/>
      <c r="AI55" s="97"/>
      <c r="AJ55" s="97"/>
      <c r="AK55" s="97"/>
      <c r="AL55" s="97"/>
      <c r="AM55" s="97"/>
      <c r="AN55" s="97"/>
      <c r="AO55" s="97" t="str">
        <f>IFERROR(__xludf.DUMMYFUNCTION("""COMPUTED_VALUE"""),"1 Año")</f>
        <v>1 Año</v>
      </c>
      <c r="AP55" s="97"/>
      <c r="AQ55" s="97"/>
      <c r="AR55" s="97"/>
      <c r="AS55" s="97"/>
      <c r="AT55" s="97"/>
      <c r="AU55" s="97"/>
      <c r="AV55" s="97" t="str">
        <f>IFERROR(__xludf.DUMMYFUNCTION("""COMPUTED_VALUE"""),"Aplique")</f>
        <v>Aplique</v>
      </c>
      <c r="AW55" s="97" t="str">
        <f>IFERROR(__xludf.DUMMYFUNCTION("""COMPUTED_VALUE"""),"De Pared")</f>
        <v>De Pared</v>
      </c>
      <c r="AX55" s="97" t="str">
        <f>IFERROR(__xludf.DUMMYFUNCTION("""COMPUTED_VALUE"""),"Interior")</f>
        <v>Interior</v>
      </c>
      <c r="AY55" s="97"/>
      <c r="AZ55" s="97"/>
      <c r="BA55" s="97"/>
      <c r="BB55" s="97"/>
      <c r="BC55" s="97"/>
      <c r="BD55" s="97" t="str">
        <f>IFERROR(__xludf.DUMMYFUNCTION("""COMPUTED_VALUE"""),"LOTO")</f>
        <v>LOTO</v>
      </c>
      <c r="BE55" s="97" t="str">
        <f>IFERROR(__xludf.DUMMYFUNCTION("""COMPUTED_VALUE"""),"Sin Ficha")</f>
        <v>Sin Ficha</v>
      </c>
      <c r="BF55" s="97"/>
      <c r="BG55" s="97" t="str">
        <f>IFERROR(__xludf.DUMMYFUNCTION("""COMPUTED_VALUE"""),"Discontinuo")</f>
        <v>Discontinuo</v>
      </c>
    </row>
    <row r="56">
      <c r="A56" s="97">
        <f>IFERROR(__xludf.DUMMYFUNCTION("""COMPUTED_VALUE"""),3405.0)</f>
        <v>3405</v>
      </c>
      <c r="B56" s="97" t="str">
        <f>IFERROR(__xludf.DUMMYFUNCTION("""COMPUTED_VALUE"""),"LOTO BL")</f>
        <v>LOTO BL</v>
      </c>
      <c r="C56" s="97" t="str">
        <f>IFERROR(__xludf.DUMMYFUNCTION("""COMPUTED_VALUE"""),"APLIQUE LOTO LEUK BLANCO")</f>
        <v>APLIQUE LOTO LEUK BLANCO</v>
      </c>
      <c r="D56" s="97">
        <f>IFERROR(__xludf.DUMMYFUNCTION("""COMPUTED_VALUE"""),7.798328753014E12)</f>
        <v>7798328753014</v>
      </c>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t="str">
        <f>IFERROR(__xludf.DUMMYFUNCTION("""COMPUTED_VALUE"""),"IP20")</f>
        <v>IP20</v>
      </c>
      <c r="AE56" s="97"/>
      <c r="AF56" s="97" t="str">
        <f>IFERROR(__xludf.DUMMYFUNCTION("""COMPUTED_VALUE"""),"Aplicar")</f>
        <v>Aplicar</v>
      </c>
      <c r="AG56" s="97"/>
      <c r="AH56" s="97"/>
      <c r="AI56" s="97"/>
      <c r="AJ56" s="97"/>
      <c r="AK56" s="97"/>
      <c r="AL56" s="97"/>
      <c r="AM56" s="97"/>
      <c r="AN56" s="97"/>
      <c r="AO56" s="97" t="str">
        <f>IFERROR(__xludf.DUMMYFUNCTION("""COMPUTED_VALUE"""),"1 Año")</f>
        <v>1 Año</v>
      </c>
      <c r="AP56" s="97"/>
      <c r="AQ56" s="97"/>
      <c r="AR56" s="97"/>
      <c r="AS56" s="97"/>
      <c r="AT56" s="97"/>
      <c r="AU56" s="97"/>
      <c r="AV56" s="97" t="str">
        <f>IFERROR(__xludf.DUMMYFUNCTION("""COMPUTED_VALUE"""),"Aplique")</f>
        <v>Aplique</v>
      </c>
      <c r="AW56" s="97" t="str">
        <f>IFERROR(__xludf.DUMMYFUNCTION("""COMPUTED_VALUE"""),"De Pared")</f>
        <v>De Pared</v>
      </c>
      <c r="AX56" s="97" t="str">
        <f>IFERROR(__xludf.DUMMYFUNCTION("""COMPUTED_VALUE"""),"Interior")</f>
        <v>Interior</v>
      </c>
      <c r="AY56" s="97"/>
      <c r="AZ56" s="97"/>
      <c r="BA56" s="97"/>
      <c r="BB56" s="97"/>
      <c r="BC56" s="97"/>
      <c r="BD56" s="97" t="str">
        <f>IFERROR(__xludf.DUMMYFUNCTION("""COMPUTED_VALUE"""),"LOTO")</f>
        <v>LOTO</v>
      </c>
      <c r="BE56" s="97" t="str">
        <f>IFERROR(__xludf.DUMMYFUNCTION("""COMPUTED_VALUE"""),"Sin Ficha")</f>
        <v>Sin Ficha</v>
      </c>
      <c r="BF56" s="97"/>
      <c r="BG56" s="97" t="str">
        <f>IFERROR(__xludf.DUMMYFUNCTION("""COMPUTED_VALUE"""),"Discontinuo")</f>
        <v>Discontinuo</v>
      </c>
    </row>
    <row r="57">
      <c r="A57" s="97">
        <f>IFERROR(__xludf.DUMMYFUNCTION("""COMPUTED_VALUE"""),3406.0)</f>
        <v>3406</v>
      </c>
      <c r="B57" s="97" t="str">
        <f>IFERROR(__xludf.DUMMYFUNCTION("""COMPUTED_VALUE"""),"OMEGA")</f>
        <v>OMEGA</v>
      </c>
      <c r="C57" s="97" t="str">
        <f>IFERROR(__xludf.DUMMYFUNCTION("""COMPUTED_VALUE"""),"COLGANTE OMEGA LEUK")</f>
        <v>COLGANTE OMEGA LEUK</v>
      </c>
      <c r="D57" s="97">
        <f>IFERROR(__xludf.DUMMYFUNCTION("""COMPUTED_VALUE"""),7.798328753021E12)</f>
        <v>7798328753021</v>
      </c>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t="str">
        <f>IFERROR(__xludf.DUMMYFUNCTION("""COMPUTED_VALUE"""),"IP20")</f>
        <v>IP20</v>
      </c>
      <c r="AE57" s="97"/>
      <c r="AF57" s="97" t="str">
        <f>IFERROR(__xludf.DUMMYFUNCTION("""COMPUTED_VALUE"""),"Suspender")</f>
        <v>Suspender</v>
      </c>
      <c r="AG57" s="97"/>
      <c r="AH57" s="97"/>
      <c r="AI57" s="97"/>
      <c r="AJ57" s="97"/>
      <c r="AK57" s="97"/>
      <c r="AL57" s="97"/>
      <c r="AM57" s="97"/>
      <c r="AN57" s="97"/>
      <c r="AO57" s="97" t="str">
        <f>IFERROR(__xludf.DUMMYFUNCTION("""COMPUTED_VALUE"""),"1 Año")</f>
        <v>1 Año</v>
      </c>
      <c r="AP57" s="97"/>
      <c r="AQ57" s="97"/>
      <c r="AR57" s="97"/>
      <c r="AS57" s="97"/>
      <c r="AT57" s="97"/>
      <c r="AU57" s="97"/>
      <c r="AV57" s="97" t="str">
        <f>IFERROR(__xludf.DUMMYFUNCTION("""COMPUTED_VALUE"""),"Colgante")</f>
        <v>Colgante</v>
      </c>
      <c r="AW57" s="97" t="str">
        <f>IFERROR(__xludf.DUMMYFUNCTION("""COMPUTED_VALUE"""),"De Techo")</f>
        <v>De Techo</v>
      </c>
      <c r="AX57" s="97" t="str">
        <f>IFERROR(__xludf.DUMMYFUNCTION("""COMPUTED_VALUE"""),"Interior")</f>
        <v>Interior</v>
      </c>
      <c r="AY57" s="97"/>
      <c r="AZ57" s="97"/>
      <c r="BA57" s="97">
        <f>IFERROR(__xludf.DUMMYFUNCTION("""COMPUTED_VALUE"""),1.0)</f>
        <v>1</v>
      </c>
      <c r="BB57" s="97"/>
      <c r="BC57" s="97"/>
      <c r="BD57" s="97" t="str">
        <f>IFERROR(__xludf.DUMMYFUNCTION("""COMPUTED_VALUE"""),"OMEGA")</f>
        <v>OMEGA</v>
      </c>
      <c r="BE57" s="97" t="str">
        <f>IFERROR(__xludf.DUMMYFUNCTION("""COMPUTED_VALUE"""),"Sin Ficha")</f>
        <v>Sin Ficha</v>
      </c>
      <c r="BF57" s="97"/>
      <c r="BG57" s="97" t="str">
        <f>IFERROR(__xludf.DUMMYFUNCTION("""COMPUTED_VALUE"""),"Discontinuo")</f>
        <v>Discontinuo</v>
      </c>
    </row>
    <row r="58">
      <c r="A58" s="97">
        <f>IFERROR(__xludf.DUMMYFUNCTION("""COMPUTED_VALUE"""),3407.0)</f>
        <v>3407</v>
      </c>
      <c r="B58" s="97" t="str">
        <f>IFERROR(__xludf.DUMMYFUNCTION("""COMPUTED_VALUE"""),"KOMMI NG")</f>
        <v>KOMMI NG</v>
      </c>
      <c r="C58" s="97" t="str">
        <f>IFERROR(__xludf.DUMMYFUNCTION("""COMPUTED_VALUE"""),"COLGANTE KOMMI NEGRO LEUK")</f>
        <v>COLGANTE KOMMI NEGRO LEUK</v>
      </c>
      <c r="D58" s="97">
        <f>IFERROR(__xludf.DUMMYFUNCTION("""COMPUTED_VALUE"""),7.798328753038E12)</f>
        <v>7798328753038</v>
      </c>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t="str">
        <f>IFERROR(__xludf.DUMMYFUNCTION("""COMPUTED_VALUE"""),"IP20")</f>
        <v>IP20</v>
      </c>
      <c r="AE58" s="97"/>
      <c r="AF58" s="97" t="str">
        <f>IFERROR(__xludf.DUMMYFUNCTION("""COMPUTED_VALUE"""),"Suspender")</f>
        <v>Suspender</v>
      </c>
      <c r="AG58" s="97"/>
      <c r="AH58" s="97"/>
      <c r="AI58" s="97"/>
      <c r="AJ58" s="97"/>
      <c r="AK58" s="97"/>
      <c r="AL58" s="97"/>
      <c r="AM58" s="97"/>
      <c r="AN58" s="97"/>
      <c r="AO58" s="97" t="str">
        <f>IFERROR(__xludf.DUMMYFUNCTION("""COMPUTED_VALUE"""),"1 Año")</f>
        <v>1 Año</v>
      </c>
      <c r="AP58" s="97"/>
      <c r="AQ58" s="97"/>
      <c r="AR58" s="97"/>
      <c r="AS58" s="97"/>
      <c r="AT58" s="97"/>
      <c r="AU58" s="97"/>
      <c r="AV58" s="97" t="str">
        <f>IFERROR(__xludf.DUMMYFUNCTION("""COMPUTED_VALUE"""),"Colgante")</f>
        <v>Colgante</v>
      </c>
      <c r="AW58" s="97" t="str">
        <f>IFERROR(__xludf.DUMMYFUNCTION("""COMPUTED_VALUE"""),"De Techo")</f>
        <v>De Techo</v>
      </c>
      <c r="AX58" s="97" t="str">
        <f>IFERROR(__xludf.DUMMYFUNCTION("""COMPUTED_VALUE"""),"Interior")</f>
        <v>Interior</v>
      </c>
      <c r="AY58" s="97"/>
      <c r="AZ58" s="97"/>
      <c r="BA58" s="97"/>
      <c r="BB58" s="97"/>
      <c r="BC58" s="97"/>
      <c r="BD58" s="97" t="str">
        <f>IFERROR(__xludf.DUMMYFUNCTION("""COMPUTED_VALUE"""),"KOMMI")</f>
        <v>KOMMI</v>
      </c>
      <c r="BE58" s="97" t="str">
        <f>IFERROR(__xludf.DUMMYFUNCTION("""COMPUTED_VALUE"""),"Sin Ficha")</f>
        <v>Sin Ficha</v>
      </c>
      <c r="BF58" s="97"/>
      <c r="BG58" s="97" t="str">
        <f>IFERROR(__xludf.DUMMYFUNCTION("""COMPUTED_VALUE"""),"Discontinuo")</f>
        <v>Discontinuo</v>
      </c>
    </row>
    <row r="59">
      <c r="A59" s="97">
        <f>IFERROR(__xludf.DUMMYFUNCTION("""COMPUTED_VALUE"""),3408.0)</f>
        <v>3408</v>
      </c>
      <c r="B59" s="97" t="str">
        <f>IFERROR(__xludf.DUMMYFUNCTION("""COMPUTED_VALUE"""),"KOMMI BL")</f>
        <v>KOMMI BL</v>
      </c>
      <c r="C59" s="97" t="str">
        <f>IFERROR(__xludf.DUMMYFUNCTION("""COMPUTED_VALUE"""),"COLGANTE KOMMI BLANCO LEUK")</f>
        <v>COLGANTE KOMMI BLANCO LEUK</v>
      </c>
      <c r="D59" s="97">
        <f>IFERROR(__xludf.DUMMYFUNCTION("""COMPUTED_VALUE"""),7.798328753045E12)</f>
        <v>7798328753045</v>
      </c>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t="str">
        <f>IFERROR(__xludf.DUMMYFUNCTION("""COMPUTED_VALUE"""),"IP20")</f>
        <v>IP20</v>
      </c>
      <c r="AE59" s="97"/>
      <c r="AF59" s="97" t="str">
        <f>IFERROR(__xludf.DUMMYFUNCTION("""COMPUTED_VALUE"""),"Suspender")</f>
        <v>Suspender</v>
      </c>
      <c r="AG59" s="97"/>
      <c r="AH59" s="97"/>
      <c r="AI59" s="97"/>
      <c r="AJ59" s="97"/>
      <c r="AK59" s="97"/>
      <c r="AL59" s="97"/>
      <c r="AM59" s="97"/>
      <c r="AN59" s="97"/>
      <c r="AO59" s="97" t="str">
        <f>IFERROR(__xludf.DUMMYFUNCTION("""COMPUTED_VALUE"""),"1 Año")</f>
        <v>1 Año</v>
      </c>
      <c r="AP59" s="97"/>
      <c r="AQ59" s="97"/>
      <c r="AR59" s="97"/>
      <c r="AS59" s="97"/>
      <c r="AT59" s="97"/>
      <c r="AU59" s="97"/>
      <c r="AV59" s="97" t="str">
        <f>IFERROR(__xludf.DUMMYFUNCTION("""COMPUTED_VALUE"""),"Colgante")</f>
        <v>Colgante</v>
      </c>
      <c r="AW59" s="97" t="str">
        <f>IFERROR(__xludf.DUMMYFUNCTION("""COMPUTED_VALUE"""),"De Techo")</f>
        <v>De Techo</v>
      </c>
      <c r="AX59" s="97" t="str">
        <f>IFERROR(__xludf.DUMMYFUNCTION("""COMPUTED_VALUE"""),"Interior")</f>
        <v>Interior</v>
      </c>
      <c r="AY59" s="97"/>
      <c r="AZ59" s="97"/>
      <c r="BA59" s="97">
        <f>IFERROR(__xludf.DUMMYFUNCTION("""COMPUTED_VALUE"""),50.0)</f>
        <v>50</v>
      </c>
      <c r="BB59" s="97"/>
      <c r="BC59" s="97"/>
      <c r="BD59" s="97" t="str">
        <f>IFERROR(__xludf.DUMMYFUNCTION("""COMPUTED_VALUE"""),"KOMMI")</f>
        <v>KOMMI</v>
      </c>
      <c r="BE59" s="97" t="str">
        <f>IFERROR(__xludf.DUMMYFUNCTION("""COMPUTED_VALUE"""),"Sin Ficha")</f>
        <v>Sin Ficha</v>
      </c>
      <c r="BF59" s="97"/>
      <c r="BG59" s="97" t="str">
        <f>IFERROR(__xludf.DUMMYFUNCTION("""COMPUTED_VALUE"""),"Discontinuo")</f>
        <v>Discontinuo</v>
      </c>
    </row>
    <row r="60">
      <c r="A60" s="97">
        <f>IFERROR(__xludf.DUMMYFUNCTION("""COMPUTED_VALUE"""),3409.0)</f>
        <v>3409</v>
      </c>
      <c r="B60" s="97" t="str">
        <f>IFERROR(__xludf.DUMMYFUNCTION("""COMPUTED_VALUE"""),"KOMMI RJ")</f>
        <v>KOMMI RJ</v>
      </c>
      <c r="C60" s="97" t="str">
        <f>IFERROR(__xludf.DUMMYFUNCTION("""COMPUTED_VALUE"""),"COLGANTE KOMMI ROJO LEUK")</f>
        <v>COLGANTE KOMMI ROJO LEUK</v>
      </c>
      <c r="D60" s="97">
        <f>IFERROR(__xludf.DUMMYFUNCTION("""COMPUTED_VALUE"""),7.798328753052E12)</f>
        <v>7798328753052</v>
      </c>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t="str">
        <f>IFERROR(__xludf.DUMMYFUNCTION("""COMPUTED_VALUE"""),"IP20")</f>
        <v>IP20</v>
      </c>
      <c r="AE60" s="97"/>
      <c r="AF60" s="97" t="str">
        <f>IFERROR(__xludf.DUMMYFUNCTION("""COMPUTED_VALUE"""),"Suspender")</f>
        <v>Suspender</v>
      </c>
      <c r="AG60" s="97"/>
      <c r="AH60" s="97"/>
      <c r="AI60" s="97"/>
      <c r="AJ60" s="97"/>
      <c r="AK60" s="97"/>
      <c r="AL60" s="97"/>
      <c r="AM60" s="97"/>
      <c r="AN60" s="97"/>
      <c r="AO60" s="97" t="str">
        <f>IFERROR(__xludf.DUMMYFUNCTION("""COMPUTED_VALUE"""),"1 Año")</f>
        <v>1 Año</v>
      </c>
      <c r="AP60" s="97"/>
      <c r="AQ60" s="97"/>
      <c r="AR60" s="97"/>
      <c r="AS60" s="97"/>
      <c r="AT60" s="97"/>
      <c r="AU60" s="97"/>
      <c r="AV60" s="97" t="str">
        <f>IFERROR(__xludf.DUMMYFUNCTION("""COMPUTED_VALUE"""),"Colgante")</f>
        <v>Colgante</v>
      </c>
      <c r="AW60" s="97" t="str">
        <f>IFERROR(__xludf.DUMMYFUNCTION("""COMPUTED_VALUE"""),"De Techo")</f>
        <v>De Techo</v>
      </c>
      <c r="AX60" s="97" t="str">
        <f>IFERROR(__xludf.DUMMYFUNCTION("""COMPUTED_VALUE"""),"Interior")</f>
        <v>Interior</v>
      </c>
      <c r="AY60" s="97"/>
      <c r="AZ60" s="97"/>
      <c r="BA60" s="97"/>
      <c r="BB60" s="97"/>
      <c r="BC60" s="97"/>
      <c r="BD60" s="97" t="str">
        <f>IFERROR(__xludf.DUMMYFUNCTION("""COMPUTED_VALUE"""),"KOMMI")</f>
        <v>KOMMI</v>
      </c>
      <c r="BE60" s="97" t="str">
        <f>IFERROR(__xludf.DUMMYFUNCTION("""COMPUTED_VALUE"""),"Sin Ficha")</f>
        <v>Sin Ficha</v>
      </c>
      <c r="BF60" s="97"/>
      <c r="BG60" s="97" t="str">
        <f>IFERROR(__xludf.DUMMYFUNCTION("""COMPUTED_VALUE"""),"Discontinuo")</f>
        <v>Discontinuo</v>
      </c>
    </row>
    <row r="61">
      <c r="A61" s="97">
        <f>IFERROR(__xludf.DUMMYFUNCTION("""COMPUTED_VALUE"""),3410.0)</f>
        <v>3410</v>
      </c>
      <c r="B61" s="97" t="str">
        <f>IFERROR(__xludf.DUMMYFUNCTION("""COMPUTED_VALUE"""),"ADMES")</f>
        <v>ADMES</v>
      </c>
      <c r="C61" s="97" t="str">
        <f>IFERROR(__xludf.DUMMYFUNCTION("""COMPUTED_VALUE"""),"COLGANTE ADMES LEUK")</f>
        <v>COLGANTE ADMES LEUK</v>
      </c>
      <c r="D61" s="97">
        <f>IFERROR(__xludf.DUMMYFUNCTION("""COMPUTED_VALUE"""),7.798328753069E12)</f>
        <v>7798328753069</v>
      </c>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t="str">
        <f>IFERROR(__xludf.DUMMYFUNCTION("""COMPUTED_VALUE"""),"IP20")</f>
        <v>IP20</v>
      </c>
      <c r="AE61" s="97"/>
      <c r="AF61" s="97" t="str">
        <f>IFERROR(__xludf.DUMMYFUNCTION("""COMPUTED_VALUE"""),"Suspender")</f>
        <v>Suspender</v>
      </c>
      <c r="AG61" s="97"/>
      <c r="AH61" s="97"/>
      <c r="AI61" s="97"/>
      <c r="AJ61" s="97"/>
      <c r="AK61" s="97"/>
      <c r="AL61" s="97"/>
      <c r="AM61" s="97"/>
      <c r="AN61" s="97"/>
      <c r="AO61" s="97" t="str">
        <f>IFERROR(__xludf.DUMMYFUNCTION("""COMPUTED_VALUE"""),"1 Año")</f>
        <v>1 Año</v>
      </c>
      <c r="AP61" s="97"/>
      <c r="AQ61" s="97"/>
      <c r="AR61" s="97"/>
      <c r="AS61" s="97"/>
      <c r="AT61" s="97"/>
      <c r="AU61" s="97"/>
      <c r="AV61" s="97" t="str">
        <f>IFERROR(__xludf.DUMMYFUNCTION("""COMPUTED_VALUE"""),"Colgante")</f>
        <v>Colgante</v>
      </c>
      <c r="AW61" s="97" t="str">
        <f>IFERROR(__xludf.DUMMYFUNCTION("""COMPUTED_VALUE"""),"De Techo")</f>
        <v>De Techo</v>
      </c>
      <c r="AX61" s="97" t="str">
        <f>IFERROR(__xludf.DUMMYFUNCTION("""COMPUTED_VALUE"""),"Interior")</f>
        <v>Interior</v>
      </c>
      <c r="AY61" s="97"/>
      <c r="AZ61" s="97"/>
      <c r="BA61" s="97">
        <f>IFERROR(__xludf.DUMMYFUNCTION("""COMPUTED_VALUE"""),27.0)</f>
        <v>27</v>
      </c>
      <c r="BB61" s="97"/>
      <c r="BC61" s="97"/>
      <c r="BD61" s="97" t="str">
        <f>IFERROR(__xludf.DUMMYFUNCTION("""COMPUTED_VALUE"""),"ADMES")</f>
        <v>ADMES</v>
      </c>
      <c r="BE61" s="97" t="str">
        <f>IFERROR(__xludf.DUMMYFUNCTION("""COMPUTED_VALUE"""),"Sin Ficha")</f>
        <v>Sin Ficha</v>
      </c>
      <c r="BF61" s="97"/>
      <c r="BG61" s="97" t="str">
        <f>IFERROR(__xludf.DUMMYFUNCTION("""COMPUTED_VALUE"""),"Discontinuo")</f>
        <v>Discontinuo</v>
      </c>
    </row>
    <row r="62">
      <c r="A62" s="97">
        <f>IFERROR(__xludf.DUMMYFUNCTION("""COMPUTED_VALUE"""),3411.0)</f>
        <v>3411</v>
      </c>
      <c r="B62" s="97" t="str">
        <f>IFERROR(__xludf.DUMMYFUNCTION("""COMPUTED_VALUE"""),"XENA")</f>
        <v>XENA</v>
      </c>
      <c r="C62" s="97" t="str">
        <f>IFERROR(__xludf.DUMMYFUNCTION("""COMPUTED_VALUE"""),"COLGANTE XENA LEUK")</f>
        <v>COLGANTE XENA LEUK</v>
      </c>
      <c r="D62" s="97">
        <f>IFERROR(__xludf.DUMMYFUNCTION("""COMPUTED_VALUE"""),7.798328753076E12)</f>
        <v>7798328753076</v>
      </c>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t="str">
        <f>IFERROR(__xludf.DUMMYFUNCTION("""COMPUTED_VALUE"""),"IP20")</f>
        <v>IP20</v>
      </c>
      <c r="AE62" s="97"/>
      <c r="AF62" s="97" t="str">
        <f>IFERROR(__xludf.DUMMYFUNCTION("""COMPUTED_VALUE"""),"Suspender")</f>
        <v>Suspender</v>
      </c>
      <c r="AG62" s="97"/>
      <c r="AH62" s="97"/>
      <c r="AI62" s="97"/>
      <c r="AJ62" s="97"/>
      <c r="AK62" s="97"/>
      <c r="AL62" s="97"/>
      <c r="AM62" s="97"/>
      <c r="AN62" s="97"/>
      <c r="AO62" s="97" t="str">
        <f>IFERROR(__xludf.DUMMYFUNCTION("""COMPUTED_VALUE"""),"1 Año")</f>
        <v>1 Año</v>
      </c>
      <c r="AP62" s="97"/>
      <c r="AQ62" s="97"/>
      <c r="AR62" s="97"/>
      <c r="AS62" s="97"/>
      <c r="AT62" s="97"/>
      <c r="AU62" s="97"/>
      <c r="AV62" s="97" t="str">
        <f>IFERROR(__xludf.DUMMYFUNCTION("""COMPUTED_VALUE"""),"Colgante")</f>
        <v>Colgante</v>
      </c>
      <c r="AW62" s="97" t="str">
        <f>IFERROR(__xludf.DUMMYFUNCTION("""COMPUTED_VALUE"""),"De Techo")</f>
        <v>De Techo</v>
      </c>
      <c r="AX62" s="97" t="str">
        <f>IFERROR(__xludf.DUMMYFUNCTION("""COMPUTED_VALUE"""),"Interior")</f>
        <v>Interior</v>
      </c>
      <c r="AY62" s="97"/>
      <c r="AZ62" s="97"/>
      <c r="BA62" s="97"/>
      <c r="BB62" s="97"/>
      <c r="BC62" s="97"/>
      <c r="BD62" s="97" t="str">
        <f>IFERROR(__xludf.DUMMYFUNCTION("""COMPUTED_VALUE"""),"XENA")</f>
        <v>XENA</v>
      </c>
      <c r="BE62" s="97" t="str">
        <f>IFERROR(__xludf.DUMMYFUNCTION("""COMPUTED_VALUE"""),"Sin Ficha")</f>
        <v>Sin Ficha</v>
      </c>
      <c r="BF62" s="97"/>
      <c r="BG62" s="97" t="str">
        <f>IFERROR(__xludf.DUMMYFUNCTION("""COMPUTED_VALUE"""),"Discontinuo")</f>
        <v>Discontinuo</v>
      </c>
    </row>
    <row r="63">
      <c r="A63" s="97">
        <f>IFERROR(__xludf.DUMMYFUNCTION("""COMPUTED_VALUE"""),3412.0)</f>
        <v>3412</v>
      </c>
      <c r="B63" s="97" t="str">
        <f>IFERROR(__xludf.DUMMYFUNCTION("""COMPUTED_VALUE"""),"TANSY NG")</f>
        <v>TANSY NG</v>
      </c>
      <c r="C63" s="97" t="str">
        <f>IFERROR(__xludf.DUMMYFUNCTION("""COMPUTED_VALUE"""),"COLGANTE TANSY LEUK NEGRO")</f>
        <v>COLGANTE TANSY LEUK NEGRO</v>
      </c>
      <c r="D63" s="97">
        <f>IFERROR(__xludf.DUMMYFUNCTION("""COMPUTED_VALUE"""),7.798328753083E12)</f>
        <v>7798328753083</v>
      </c>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t="str">
        <f>IFERROR(__xludf.DUMMYFUNCTION("""COMPUTED_VALUE"""),"IP20")</f>
        <v>IP20</v>
      </c>
      <c r="AE63" s="97"/>
      <c r="AF63" s="97" t="str">
        <f>IFERROR(__xludf.DUMMYFUNCTION("""COMPUTED_VALUE"""),"Suspender")</f>
        <v>Suspender</v>
      </c>
      <c r="AG63" s="97"/>
      <c r="AH63" s="97"/>
      <c r="AI63" s="97"/>
      <c r="AJ63" s="97"/>
      <c r="AK63" s="97"/>
      <c r="AL63" s="97"/>
      <c r="AM63" s="97"/>
      <c r="AN63" s="97"/>
      <c r="AO63" s="97" t="str">
        <f>IFERROR(__xludf.DUMMYFUNCTION("""COMPUTED_VALUE"""),"1 Año")</f>
        <v>1 Año</v>
      </c>
      <c r="AP63" s="97"/>
      <c r="AQ63" s="97"/>
      <c r="AR63" s="97"/>
      <c r="AS63" s="97"/>
      <c r="AT63" s="97"/>
      <c r="AU63" s="97"/>
      <c r="AV63" s="97" t="str">
        <f>IFERROR(__xludf.DUMMYFUNCTION("""COMPUTED_VALUE"""),"Colgante")</f>
        <v>Colgante</v>
      </c>
      <c r="AW63" s="97" t="str">
        <f>IFERROR(__xludf.DUMMYFUNCTION("""COMPUTED_VALUE"""),"De Techo")</f>
        <v>De Techo</v>
      </c>
      <c r="AX63" s="97" t="str">
        <f>IFERROR(__xludf.DUMMYFUNCTION("""COMPUTED_VALUE"""),"Interior")</f>
        <v>Interior</v>
      </c>
      <c r="AY63" s="97"/>
      <c r="AZ63" s="97"/>
      <c r="BA63" s="97">
        <f>IFERROR(__xludf.DUMMYFUNCTION("""COMPUTED_VALUE"""),50.0)</f>
        <v>50</v>
      </c>
      <c r="BB63" s="97"/>
      <c r="BC63" s="97"/>
      <c r="BD63" s="97" t="str">
        <f>IFERROR(__xludf.DUMMYFUNCTION("""COMPUTED_VALUE"""),"TANSY")</f>
        <v>TANSY</v>
      </c>
      <c r="BE63" s="97" t="str">
        <f>IFERROR(__xludf.DUMMYFUNCTION("""COMPUTED_VALUE"""),"Sin Ficha")</f>
        <v>Sin Ficha</v>
      </c>
      <c r="BF63" s="97"/>
      <c r="BG63" s="97" t="str">
        <f>IFERROR(__xludf.DUMMYFUNCTION("""COMPUTED_VALUE"""),"Discontinuo")</f>
        <v>Discontinuo</v>
      </c>
    </row>
    <row r="64">
      <c r="A64" s="97">
        <f>IFERROR(__xludf.DUMMYFUNCTION("""COMPUTED_VALUE"""),3413.0)</f>
        <v>3413</v>
      </c>
      <c r="B64" s="97" t="str">
        <f>IFERROR(__xludf.DUMMYFUNCTION("""COMPUTED_VALUE"""),"TANSY BL")</f>
        <v>TANSY BL</v>
      </c>
      <c r="C64" s="97" t="str">
        <f>IFERROR(__xludf.DUMMYFUNCTION("""COMPUTED_VALUE"""),"COLGANTE TANSY LEUK BLANCO")</f>
        <v>COLGANTE TANSY LEUK BLANCO</v>
      </c>
      <c r="D64" s="97">
        <f>IFERROR(__xludf.DUMMYFUNCTION("""COMPUTED_VALUE"""),7.79832875383E12)</f>
        <v>7798328753830</v>
      </c>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t="str">
        <f>IFERROR(__xludf.DUMMYFUNCTION("""COMPUTED_VALUE"""),"IP20")</f>
        <v>IP20</v>
      </c>
      <c r="AE64" s="97"/>
      <c r="AF64" s="97" t="str">
        <f>IFERROR(__xludf.DUMMYFUNCTION("""COMPUTED_VALUE"""),"Suspender")</f>
        <v>Suspender</v>
      </c>
      <c r="AG64" s="97"/>
      <c r="AH64" s="97"/>
      <c r="AI64" s="97"/>
      <c r="AJ64" s="97"/>
      <c r="AK64" s="97"/>
      <c r="AL64" s="97"/>
      <c r="AM64" s="97"/>
      <c r="AN64" s="97"/>
      <c r="AO64" s="97" t="str">
        <f>IFERROR(__xludf.DUMMYFUNCTION("""COMPUTED_VALUE"""),"1 Año")</f>
        <v>1 Año</v>
      </c>
      <c r="AP64" s="97"/>
      <c r="AQ64" s="97"/>
      <c r="AR64" s="97"/>
      <c r="AS64" s="97"/>
      <c r="AT64" s="97"/>
      <c r="AU64" s="97"/>
      <c r="AV64" s="97" t="str">
        <f>IFERROR(__xludf.DUMMYFUNCTION("""COMPUTED_VALUE"""),"Colgante")</f>
        <v>Colgante</v>
      </c>
      <c r="AW64" s="97" t="str">
        <f>IFERROR(__xludf.DUMMYFUNCTION("""COMPUTED_VALUE"""),"De Techo")</f>
        <v>De Techo</v>
      </c>
      <c r="AX64" s="97" t="str">
        <f>IFERROR(__xludf.DUMMYFUNCTION("""COMPUTED_VALUE"""),"Interior")</f>
        <v>Interior</v>
      </c>
      <c r="AY64" s="97"/>
      <c r="AZ64" s="97"/>
      <c r="BA64" s="97"/>
      <c r="BB64" s="97"/>
      <c r="BC64" s="97"/>
      <c r="BD64" s="97" t="str">
        <f>IFERROR(__xludf.DUMMYFUNCTION("""COMPUTED_VALUE"""),"TANSY")</f>
        <v>TANSY</v>
      </c>
      <c r="BE64" s="97" t="str">
        <f>IFERROR(__xludf.DUMMYFUNCTION("""COMPUTED_VALUE"""),"Sin Ficha")</f>
        <v>Sin Ficha</v>
      </c>
      <c r="BF64" s="97"/>
      <c r="BG64" s="97" t="str">
        <f>IFERROR(__xludf.DUMMYFUNCTION("""COMPUTED_VALUE"""),"Discontinuo")</f>
        <v>Discontinuo</v>
      </c>
    </row>
    <row r="65">
      <c r="A65" s="97">
        <f>IFERROR(__xludf.DUMMYFUNCTION("""COMPUTED_VALUE"""),3414.0)</f>
        <v>3414</v>
      </c>
      <c r="B65" s="97" t="str">
        <f>IFERROR(__xludf.DUMMYFUNCTION("""COMPUTED_VALUE"""),"THEO")</f>
        <v>THEO</v>
      </c>
      <c r="C65" s="97" t="str">
        <f>IFERROR(__xludf.DUMMYFUNCTION("""COMPUTED_VALUE"""),"COLGANTE THEO LEUK")</f>
        <v>COLGANTE THEO LEUK</v>
      </c>
      <c r="D65" s="97">
        <f>IFERROR(__xludf.DUMMYFUNCTION("""COMPUTED_VALUE"""),7.79832875309E12)</f>
        <v>7798328753090</v>
      </c>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t="str">
        <f>IFERROR(__xludf.DUMMYFUNCTION("""COMPUTED_VALUE"""),"IP20")</f>
        <v>IP20</v>
      </c>
      <c r="AE65" s="97"/>
      <c r="AF65" s="97" t="str">
        <f>IFERROR(__xludf.DUMMYFUNCTION("""COMPUTED_VALUE"""),"Suspender")</f>
        <v>Suspender</v>
      </c>
      <c r="AG65" s="97"/>
      <c r="AH65" s="97"/>
      <c r="AI65" s="97"/>
      <c r="AJ65" s="97"/>
      <c r="AK65" s="97"/>
      <c r="AL65" s="97"/>
      <c r="AM65" s="97"/>
      <c r="AN65" s="97"/>
      <c r="AO65" s="97" t="str">
        <f>IFERROR(__xludf.DUMMYFUNCTION("""COMPUTED_VALUE"""),"1 Año")</f>
        <v>1 Año</v>
      </c>
      <c r="AP65" s="97"/>
      <c r="AQ65" s="97"/>
      <c r="AR65" s="97"/>
      <c r="AS65" s="97"/>
      <c r="AT65" s="97"/>
      <c r="AU65" s="97"/>
      <c r="AV65" s="97" t="str">
        <f>IFERROR(__xludf.DUMMYFUNCTION("""COMPUTED_VALUE"""),"Colgante")</f>
        <v>Colgante</v>
      </c>
      <c r="AW65" s="97" t="str">
        <f>IFERROR(__xludf.DUMMYFUNCTION("""COMPUTED_VALUE"""),"De Techo")</f>
        <v>De Techo</v>
      </c>
      <c r="AX65" s="97" t="str">
        <f>IFERROR(__xludf.DUMMYFUNCTION("""COMPUTED_VALUE"""),"Interior")</f>
        <v>Interior</v>
      </c>
      <c r="AY65" s="97"/>
      <c r="AZ65" s="97"/>
      <c r="BA65" s="97"/>
      <c r="BB65" s="97"/>
      <c r="BC65" s="97"/>
      <c r="BD65" s="97" t="str">
        <f>IFERROR(__xludf.DUMMYFUNCTION("""COMPUTED_VALUE"""),"THEO")</f>
        <v>THEO</v>
      </c>
      <c r="BE65" s="97" t="str">
        <f>IFERROR(__xludf.DUMMYFUNCTION("""COMPUTED_VALUE"""),"Sin Ficha")</f>
        <v>Sin Ficha</v>
      </c>
      <c r="BF65" s="97"/>
      <c r="BG65" s="97" t="str">
        <f>IFERROR(__xludf.DUMMYFUNCTION("""COMPUTED_VALUE"""),"Discontinuo")</f>
        <v>Discontinuo</v>
      </c>
    </row>
    <row r="66">
      <c r="A66" s="97">
        <f>IFERROR(__xludf.DUMMYFUNCTION("""COMPUTED_VALUE"""),3415.0)</f>
        <v>3415</v>
      </c>
      <c r="B66" s="97" t="str">
        <f>IFERROR(__xludf.DUMMYFUNCTION("""COMPUTED_VALUE"""),"MYLES")</f>
        <v>MYLES</v>
      </c>
      <c r="C66" s="97" t="str">
        <f>IFERROR(__xludf.DUMMYFUNCTION("""COMPUTED_VALUE"""),"COLGANTE MYLES LEUK")</f>
        <v>COLGANTE MYLES LEUK</v>
      </c>
      <c r="D66" s="97">
        <f>IFERROR(__xludf.DUMMYFUNCTION("""COMPUTED_VALUE"""),7.798328753106E12)</f>
        <v>7798328753106</v>
      </c>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t="str">
        <f>IFERROR(__xludf.DUMMYFUNCTION("""COMPUTED_VALUE"""),"IP20")</f>
        <v>IP20</v>
      </c>
      <c r="AE66" s="97"/>
      <c r="AF66" s="97" t="str">
        <f>IFERROR(__xludf.DUMMYFUNCTION("""COMPUTED_VALUE"""),"Suspender")</f>
        <v>Suspender</v>
      </c>
      <c r="AG66" s="97"/>
      <c r="AH66" s="97"/>
      <c r="AI66" s="97"/>
      <c r="AJ66" s="97"/>
      <c r="AK66" s="97"/>
      <c r="AL66" s="97"/>
      <c r="AM66" s="97"/>
      <c r="AN66" s="97"/>
      <c r="AO66" s="97" t="str">
        <f>IFERROR(__xludf.DUMMYFUNCTION("""COMPUTED_VALUE"""),"1 Año")</f>
        <v>1 Año</v>
      </c>
      <c r="AP66" s="97"/>
      <c r="AQ66" s="97"/>
      <c r="AR66" s="97"/>
      <c r="AS66" s="97"/>
      <c r="AT66" s="97"/>
      <c r="AU66" s="97"/>
      <c r="AV66" s="97" t="str">
        <f>IFERROR(__xludf.DUMMYFUNCTION("""COMPUTED_VALUE"""),"Colgante")</f>
        <v>Colgante</v>
      </c>
      <c r="AW66" s="97" t="str">
        <f>IFERROR(__xludf.DUMMYFUNCTION("""COMPUTED_VALUE"""),"De Techo")</f>
        <v>De Techo</v>
      </c>
      <c r="AX66" s="97" t="str">
        <f>IFERROR(__xludf.DUMMYFUNCTION("""COMPUTED_VALUE"""),"Interior")</f>
        <v>Interior</v>
      </c>
      <c r="AY66" s="97"/>
      <c r="AZ66" s="97"/>
      <c r="BA66" s="97"/>
      <c r="BB66" s="97"/>
      <c r="BC66" s="97"/>
      <c r="BD66" s="97" t="str">
        <f>IFERROR(__xludf.DUMMYFUNCTION("""COMPUTED_VALUE"""),"MYLES")</f>
        <v>MYLES</v>
      </c>
      <c r="BE66" s="97" t="str">
        <f>IFERROR(__xludf.DUMMYFUNCTION("""COMPUTED_VALUE"""),"Sin Ficha")</f>
        <v>Sin Ficha</v>
      </c>
      <c r="BF66" s="97"/>
      <c r="BG66" s="97" t="str">
        <f>IFERROR(__xludf.DUMMYFUNCTION("""COMPUTED_VALUE"""),"Discontinuo")</f>
        <v>Discontinuo</v>
      </c>
    </row>
    <row r="67">
      <c r="A67" s="97">
        <f>IFERROR(__xludf.DUMMYFUNCTION("""COMPUTED_VALUE"""),3416.0)</f>
        <v>3416</v>
      </c>
      <c r="B67" s="97" t="str">
        <f>IFERROR(__xludf.DUMMYFUNCTION("""COMPUTED_VALUE"""),"TOM DIXON I CU")</f>
        <v>TOM DIXON I CU</v>
      </c>
      <c r="C67" s="97" t="str">
        <f>IFERROR(__xludf.DUMMYFUNCTION("""COMPUTED_VALUE"""),"COLGANTE TOM DIXON I LEUK COBRE")</f>
        <v>COLGANTE TOM DIXON I LEUK COBRE</v>
      </c>
      <c r="D67" s="97">
        <f>IFERROR(__xludf.DUMMYFUNCTION("""COMPUTED_VALUE"""),7.798328753113E12)</f>
        <v>7798328753113</v>
      </c>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t="str">
        <f>IFERROR(__xludf.DUMMYFUNCTION("""COMPUTED_VALUE"""),"IP20")</f>
        <v>IP20</v>
      </c>
      <c r="AE67" s="97"/>
      <c r="AF67" s="97" t="str">
        <f>IFERROR(__xludf.DUMMYFUNCTION("""COMPUTED_VALUE"""),"Suspender")</f>
        <v>Suspender</v>
      </c>
      <c r="AG67" s="97"/>
      <c r="AH67" s="97"/>
      <c r="AI67" s="97"/>
      <c r="AJ67" s="97"/>
      <c r="AK67" s="97"/>
      <c r="AL67" s="97"/>
      <c r="AM67" s="97"/>
      <c r="AN67" s="97"/>
      <c r="AO67" s="97" t="str">
        <f>IFERROR(__xludf.DUMMYFUNCTION("""COMPUTED_VALUE"""),"1 Año")</f>
        <v>1 Año</v>
      </c>
      <c r="AP67" s="97"/>
      <c r="AQ67" s="97"/>
      <c r="AR67" s="97"/>
      <c r="AS67" s="97"/>
      <c r="AT67" s="97"/>
      <c r="AU67" s="97"/>
      <c r="AV67" s="97" t="str">
        <f>IFERROR(__xludf.DUMMYFUNCTION("""COMPUTED_VALUE"""),"Colgante")</f>
        <v>Colgante</v>
      </c>
      <c r="AW67" s="97" t="str">
        <f>IFERROR(__xludf.DUMMYFUNCTION("""COMPUTED_VALUE"""),"De Techo")</f>
        <v>De Techo</v>
      </c>
      <c r="AX67" s="97" t="str">
        <f>IFERROR(__xludf.DUMMYFUNCTION("""COMPUTED_VALUE"""),"Interior")</f>
        <v>Interior</v>
      </c>
      <c r="AY67" s="97"/>
      <c r="AZ67" s="97"/>
      <c r="BA67" s="97"/>
      <c r="BB67" s="97"/>
      <c r="BC67" s="97"/>
      <c r="BD67" s="97" t="str">
        <f>IFERROR(__xludf.DUMMYFUNCTION("""COMPUTED_VALUE"""),"TOM DIXON")</f>
        <v>TOM DIXON</v>
      </c>
      <c r="BE67" s="97" t="str">
        <f>IFERROR(__xludf.DUMMYFUNCTION("""COMPUTED_VALUE"""),"Sin Ficha")</f>
        <v>Sin Ficha</v>
      </c>
      <c r="BF67" s="97"/>
      <c r="BG67" s="97" t="str">
        <f>IFERROR(__xludf.DUMMYFUNCTION("""COMPUTED_VALUE"""),"Discontinuo")</f>
        <v>Discontinuo</v>
      </c>
    </row>
    <row r="68">
      <c r="A68" s="97">
        <f>IFERROR(__xludf.DUMMYFUNCTION("""COMPUTED_VALUE"""),3417.0)</f>
        <v>3417</v>
      </c>
      <c r="B68" s="97" t="str">
        <f>IFERROR(__xludf.DUMMYFUNCTION("""COMPUTED_VALUE"""),"TOM DIXON I AG")</f>
        <v>TOM DIXON I AG</v>
      </c>
      <c r="C68" s="97" t="str">
        <f>IFERROR(__xludf.DUMMYFUNCTION("""COMPUTED_VALUE"""),"COLGANTE TOM DIXON I LEUK PLATEADO")</f>
        <v>COLGANTE TOM DIXON I LEUK PLATEADO</v>
      </c>
      <c r="D68" s="97">
        <f>IFERROR(__xludf.DUMMYFUNCTION("""COMPUTED_VALUE"""),7.79832875312E12)</f>
        <v>7798328753120</v>
      </c>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t="str">
        <f>IFERROR(__xludf.DUMMYFUNCTION("""COMPUTED_VALUE"""),"IP20")</f>
        <v>IP20</v>
      </c>
      <c r="AE68" s="97"/>
      <c r="AF68" s="97" t="str">
        <f>IFERROR(__xludf.DUMMYFUNCTION("""COMPUTED_VALUE"""),"Suspender")</f>
        <v>Suspender</v>
      </c>
      <c r="AG68" s="97"/>
      <c r="AH68" s="97"/>
      <c r="AI68" s="97"/>
      <c r="AJ68" s="97"/>
      <c r="AK68" s="97"/>
      <c r="AL68" s="97"/>
      <c r="AM68" s="97"/>
      <c r="AN68" s="97"/>
      <c r="AO68" s="97" t="str">
        <f>IFERROR(__xludf.DUMMYFUNCTION("""COMPUTED_VALUE"""),"1 Año")</f>
        <v>1 Año</v>
      </c>
      <c r="AP68" s="97"/>
      <c r="AQ68" s="97"/>
      <c r="AR68" s="97"/>
      <c r="AS68" s="97"/>
      <c r="AT68" s="97"/>
      <c r="AU68" s="97"/>
      <c r="AV68" s="97" t="str">
        <f>IFERROR(__xludf.DUMMYFUNCTION("""COMPUTED_VALUE"""),"Colgante")</f>
        <v>Colgante</v>
      </c>
      <c r="AW68" s="97" t="str">
        <f>IFERROR(__xludf.DUMMYFUNCTION("""COMPUTED_VALUE"""),"De Techo")</f>
        <v>De Techo</v>
      </c>
      <c r="AX68" s="97" t="str">
        <f>IFERROR(__xludf.DUMMYFUNCTION("""COMPUTED_VALUE"""),"Interior")</f>
        <v>Interior</v>
      </c>
      <c r="AY68" s="97"/>
      <c r="AZ68" s="97"/>
      <c r="BA68" s="97"/>
      <c r="BB68" s="97"/>
      <c r="BC68" s="97"/>
      <c r="BD68" s="97" t="str">
        <f>IFERROR(__xludf.DUMMYFUNCTION("""COMPUTED_VALUE"""),"TOM DIXON")</f>
        <v>TOM DIXON</v>
      </c>
      <c r="BE68" s="97" t="str">
        <f>IFERROR(__xludf.DUMMYFUNCTION("""COMPUTED_VALUE"""),"Sin Ficha")</f>
        <v>Sin Ficha</v>
      </c>
      <c r="BF68" s="97"/>
      <c r="BG68" s="97" t="str">
        <f>IFERROR(__xludf.DUMMYFUNCTION("""COMPUTED_VALUE"""),"Discontinuo")</f>
        <v>Discontinuo</v>
      </c>
    </row>
    <row r="69">
      <c r="A69" s="97">
        <f>IFERROR(__xludf.DUMMYFUNCTION("""COMPUTED_VALUE"""),3418.0)</f>
        <v>3418</v>
      </c>
      <c r="B69" s="97" t="str">
        <f>IFERROR(__xludf.DUMMYFUNCTION("""COMPUTED_VALUE"""),"TOM DIXON II CU")</f>
        <v>TOM DIXON II CU</v>
      </c>
      <c r="C69" s="97" t="str">
        <f>IFERROR(__xludf.DUMMYFUNCTION("""COMPUTED_VALUE"""),"COLGANTE TOM DIXON II LEUK COBRE")</f>
        <v>COLGANTE TOM DIXON II LEUK COBRE</v>
      </c>
      <c r="D69" s="97">
        <f>IFERROR(__xludf.DUMMYFUNCTION("""COMPUTED_VALUE"""),7.798328753137E12)</f>
        <v>7798328753137</v>
      </c>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t="str">
        <f>IFERROR(__xludf.DUMMYFUNCTION("""COMPUTED_VALUE"""),"IP20")</f>
        <v>IP20</v>
      </c>
      <c r="AE69" s="97"/>
      <c r="AF69" s="97" t="str">
        <f>IFERROR(__xludf.DUMMYFUNCTION("""COMPUTED_VALUE"""),"Suspender")</f>
        <v>Suspender</v>
      </c>
      <c r="AG69" s="97"/>
      <c r="AH69" s="97"/>
      <c r="AI69" s="97"/>
      <c r="AJ69" s="97"/>
      <c r="AK69" s="97"/>
      <c r="AL69" s="97"/>
      <c r="AM69" s="97"/>
      <c r="AN69" s="97"/>
      <c r="AO69" s="97" t="str">
        <f>IFERROR(__xludf.DUMMYFUNCTION("""COMPUTED_VALUE"""),"1 Año")</f>
        <v>1 Año</v>
      </c>
      <c r="AP69" s="97"/>
      <c r="AQ69" s="97"/>
      <c r="AR69" s="97"/>
      <c r="AS69" s="97"/>
      <c r="AT69" s="97"/>
      <c r="AU69" s="97"/>
      <c r="AV69" s="97" t="str">
        <f>IFERROR(__xludf.DUMMYFUNCTION("""COMPUTED_VALUE"""),"Colgante")</f>
        <v>Colgante</v>
      </c>
      <c r="AW69" s="97" t="str">
        <f>IFERROR(__xludf.DUMMYFUNCTION("""COMPUTED_VALUE"""),"De Techo")</f>
        <v>De Techo</v>
      </c>
      <c r="AX69" s="97" t="str">
        <f>IFERROR(__xludf.DUMMYFUNCTION("""COMPUTED_VALUE"""),"Interior")</f>
        <v>Interior</v>
      </c>
      <c r="AY69" s="97"/>
      <c r="AZ69" s="97"/>
      <c r="BA69" s="97"/>
      <c r="BB69" s="97"/>
      <c r="BC69" s="97"/>
      <c r="BD69" s="97" t="str">
        <f>IFERROR(__xludf.DUMMYFUNCTION("""COMPUTED_VALUE"""),"TOM DIXON")</f>
        <v>TOM DIXON</v>
      </c>
      <c r="BE69" s="97" t="str">
        <f>IFERROR(__xludf.DUMMYFUNCTION("""COMPUTED_VALUE"""),"Sin Ficha")</f>
        <v>Sin Ficha</v>
      </c>
      <c r="BF69" s="97"/>
      <c r="BG69" s="97" t="str">
        <f>IFERROR(__xludf.DUMMYFUNCTION("""COMPUTED_VALUE"""),"Discontinuo")</f>
        <v>Discontinuo</v>
      </c>
    </row>
    <row r="70">
      <c r="A70" s="97">
        <f>IFERROR(__xludf.DUMMYFUNCTION("""COMPUTED_VALUE"""),3419.0)</f>
        <v>3419</v>
      </c>
      <c r="B70" s="97" t="str">
        <f>IFERROR(__xludf.DUMMYFUNCTION("""COMPUTED_VALUE"""),"TOM DIXON II AG")</f>
        <v>TOM DIXON II AG</v>
      </c>
      <c r="C70" s="97" t="str">
        <f>IFERROR(__xludf.DUMMYFUNCTION("""COMPUTED_VALUE"""),"COLGANTE TOM DIXON II LEUK PLATEADO")</f>
        <v>COLGANTE TOM DIXON II LEUK PLATEADO</v>
      </c>
      <c r="D70" s="97">
        <f>IFERROR(__xludf.DUMMYFUNCTION("""COMPUTED_VALUE"""),7.798328753144E12)</f>
        <v>7798328753144</v>
      </c>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t="str">
        <f>IFERROR(__xludf.DUMMYFUNCTION("""COMPUTED_VALUE"""),"IP20")</f>
        <v>IP20</v>
      </c>
      <c r="AE70" s="97"/>
      <c r="AF70" s="97" t="str">
        <f>IFERROR(__xludf.DUMMYFUNCTION("""COMPUTED_VALUE"""),"Suspender")</f>
        <v>Suspender</v>
      </c>
      <c r="AG70" s="97"/>
      <c r="AH70" s="97"/>
      <c r="AI70" s="97"/>
      <c r="AJ70" s="97"/>
      <c r="AK70" s="97"/>
      <c r="AL70" s="97"/>
      <c r="AM70" s="97"/>
      <c r="AN70" s="97"/>
      <c r="AO70" s="97" t="str">
        <f>IFERROR(__xludf.DUMMYFUNCTION("""COMPUTED_VALUE"""),"1 Año")</f>
        <v>1 Año</v>
      </c>
      <c r="AP70" s="97"/>
      <c r="AQ70" s="97"/>
      <c r="AR70" s="97"/>
      <c r="AS70" s="97"/>
      <c r="AT70" s="97"/>
      <c r="AU70" s="97"/>
      <c r="AV70" s="97" t="str">
        <f>IFERROR(__xludf.DUMMYFUNCTION("""COMPUTED_VALUE"""),"Colgante")</f>
        <v>Colgante</v>
      </c>
      <c r="AW70" s="97" t="str">
        <f>IFERROR(__xludf.DUMMYFUNCTION("""COMPUTED_VALUE"""),"De Techo")</f>
        <v>De Techo</v>
      </c>
      <c r="AX70" s="97" t="str">
        <f>IFERROR(__xludf.DUMMYFUNCTION("""COMPUTED_VALUE"""),"Interior")</f>
        <v>Interior</v>
      </c>
      <c r="AY70" s="97"/>
      <c r="AZ70" s="97"/>
      <c r="BA70" s="97"/>
      <c r="BB70" s="97"/>
      <c r="BC70" s="97"/>
      <c r="BD70" s="97" t="str">
        <f>IFERROR(__xludf.DUMMYFUNCTION("""COMPUTED_VALUE"""),"TOM DIXON")</f>
        <v>TOM DIXON</v>
      </c>
      <c r="BE70" s="97" t="str">
        <f>IFERROR(__xludf.DUMMYFUNCTION("""COMPUTED_VALUE"""),"Sin Ficha")</f>
        <v>Sin Ficha</v>
      </c>
      <c r="BF70" s="97"/>
      <c r="BG70" s="97" t="str">
        <f>IFERROR(__xludf.DUMMYFUNCTION("""COMPUTED_VALUE"""),"Discontinuo")</f>
        <v>Discontinuo</v>
      </c>
    </row>
    <row r="71">
      <c r="A71" s="97">
        <f>IFERROR(__xludf.DUMMYFUNCTION("""COMPUTED_VALUE"""),3420.0)</f>
        <v>3420</v>
      </c>
      <c r="B71" s="97" t="str">
        <f>IFERROR(__xludf.DUMMYFUNCTION("""COMPUTED_VALUE"""),"TOM DIXON III CU")</f>
        <v>TOM DIXON III CU</v>
      </c>
      <c r="C71" s="97" t="str">
        <f>IFERROR(__xludf.DUMMYFUNCTION("""COMPUTED_VALUE"""),"COLGANTE TOM DIXON III LEUK COBRE")</f>
        <v>COLGANTE TOM DIXON III LEUK COBRE</v>
      </c>
      <c r="D71" s="97">
        <f>IFERROR(__xludf.DUMMYFUNCTION("""COMPUTED_VALUE"""),7.798328753151E12)</f>
        <v>7798328753151</v>
      </c>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t="str">
        <f>IFERROR(__xludf.DUMMYFUNCTION("""COMPUTED_VALUE"""),"IP20")</f>
        <v>IP20</v>
      </c>
      <c r="AE71" s="97"/>
      <c r="AF71" s="97" t="str">
        <f>IFERROR(__xludf.DUMMYFUNCTION("""COMPUTED_VALUE"""),"Suspender")</f>
        <v>Suspender</v>
      </c>
      <c r="AG71" s="97"/>
      <c r="AH71" s="97"/>
      <c r="AI71" s="97"/>
      <c r="AJ71" s="97"/>
      <c r="AK71" s="97"/>
      <c r="AL71" s="97"/>
      <c r="AM71" s="97"/>
      <c r="AN71" s="97"/>
      <c r="AO71" s="97" t="str">
        <f>IFERROR(__xludf.DUMMYFUNCTION("""COMPUTED_VALUE"""),"1 Año")</f>
        <v>1 Año</v>
      </c>
      <c r="AP71" s="97"/>
      <c r="AQ71" s="97"/>
      <c r="AR71" s="97"/>
      <c r="AS71" s="97"/>
      <c r="AT71" s="97"/>
      <c r="AU71" s="97"/>
      <c r="AV71" s="97" t="str">
        <f>IFERROR(__xludf.DUMMYFUNCTION("""COMPUTED_VALUE"""),"Colgante")</f>
        <v>Colgante</v>
      </c>
      <c r="AW71" s="97" t="str">
        <f>IFERROR(__xludf.DUMMYFUNCTION("""COMPUTED_VALUE"""),"De Techo")</f>
        <v>De Techo</v>
      </c>
      <c r="AX71" s="97" t="str">
        <f>IFERROR(__xludf.DUMMYFUNCTION("""COMPUTED_VALUE"""),"Interior")</f>
        <v>Interior</v>
      </c>
      <c r="AY71" s="97"/>
      <c r="AZ71" s="97"/>
      <c r="BA71" s="97"/>
      <c r="BB71" s="97"/>
      <c r="BC71" s="97"/>
      <c r="BD71" s="97" t="str">
        <f>IFERROR(__xludf.DUMMYFUNCTION("""COMPUTED_VALUE"""),"TOM DIXON")</f>
        <v>TOM DIXON</v>
      </c>
      <c r="BE71" s="97" t="str">
        <f>IFERROR(__xludf.DUMMYFUNCTION("""COMPUTED_VALUE"""),"Sin Ficha")</f>
        <v>Sin Ficha</v>
      </c>
      <c r="BF71" s="97"/>
      <c r="BG71" s="97" t="str">
        <f>IFERROR(__xludf.DUMMYFUNCTION("""COMPUTED_VALUE"""),"Discontinuo")</f>
        <v>Discontinuo</v>
      </c>
    </row>
    <row r="72">
      <c r="A72" s="97">
        <f>IFERROR(__xludf.DUMMYFUNCTION("""COMPUTED_VALUE"""),3421.0)</f>
        <v>3421</v>
      </c>
      <c r="B72" s="97" t="str">
        <f>IFERROR(__xludf.DUMMYFUNCTION("""COMPUTED_VALUE"""),"TOM DIXON III AG")</f>
        <v>TOM DIXON III AG</v>
      </c>
      <c r="C72" s="97" t="str">
        <f>IFERROR(__xludf.DUMMYFUNCTION("""COMPUTED_VALUE"""),"COLGANTE TOM DIXON III LEUK PLATEADO")</f>
        <v>COLGANTE TOM DIXON III LEUK PLATEADO</v>
      </c>
      <c r="D72" s="97">
        <f>IFERROR(__xludf.DUMMYFUNCTION("""COMPUTED_VALUE"""),7.798328753168E12)</f>
        <v>7798328753168</v>
      </c>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t="str">
        <f>IFERROR(__xludf.DUMMYFUNCTION("""COMPUTED_VALUE"""),"IP20")</f>
        <v>IP20</v>
      </c>
      <c r="AE72" s="97"/>
      <c r="AF72" s="97" t="str">
        <f>IFERROR(__xludf.DUMMYFUNCTION("""COMPUTED_VALUE"""),"Suspender")</f>
        <v>Suspender</v>
      </c>
      <c r="AG72" s="97"/>
      <c r="AH72" s="97"/>
      <c r="AI72" s="97"/>
      <c r="AJ72" s="97"/>
      <c r="AK72" s="97"/>
      <c r="AL72" s="97"/>
      <c r="AM72" s="97"/>
      <c r="AN72" s="97"/>
      <c r="AO72" s="97" t="str">
        <f>IFERROR(__xludf.DUMMYFUNCTION("""COMPUTED_VALUE"""),"1 Año")</f>
        <v>1 Año</v>
      </c>
      <c r="AP72" s="97"/>
      <c r="AQ72" s="97"/>
      <c r="AR72" s="97"/>
      <c r="AS72" s="97"/>
      <c r="AT72" s="97"/>
      <c r="AU72" s="97"/>
      <c r="AV72" s="97" t="str">
        <f>IFERROR(__xludf.DUMMYFUNCTION("""COMPUTED_VALUE"""),"Colgante")</f>
        <v>Colgante</v>
      </c>
      <c r="AW72" s="97" t="str">
        <f>IFERROR(__xludf.DUMMYFUNCTION("""COMPUTED_VALUE"""),"De Techo")</f>
        <v>De Techo</v>
      </c>
      <c r="AX72" s="97" t="str">
        <f>IFERROR(__xludf.DUMMYFUNCTION("""COMPUTED_VALUE"""),"Interior")</f>
        <v>Interior</v>
      </c>
      <c r="AY72" s="97"/>
      <c r="AZ72" s="97"/>
      <c r="BA72" s="97">
        <f>IFERROR(__xludf.DUMMYFUNCTION("""COMPUTED_VALUE"""),1.0)</f>
        <v>1</v>
      </c>
      <c r="BB72" s="97"/>
      <c r="BC72" s="97"/>
      <c r="BD72" s="97" t="str">
        <f>IFERROR(__xludf.DUMMYFUNCTION("""COMPUTED_VALUE"""),"TOM DIXON")</f>
        <v>TOM DIXON</v>
      </c>
      <c r="BE72" s="97" t="str">
        <f>IFERROR(__xludf.DUMMYFUNCTION("""COMPUTED_VALUE"""),"Sin Ficha")</f>
        <v>Sin Ficha</v>
      </c>
      <c r="BF72" s="97"/>
      <c r="BG72" s="97" t="str">
        <f>IFERROR(__xludf.DUMMYFUNCTION("""COMPUTED_VALUE"""),"Discontinuo")</f>
        <v>Discontinuo</v>
      </c>
    </row>
    <row r="73">
      <c r="A73" s="97">
        <f>IFERROR(__xludf.DUMMYFUNCTION("""COMPUTED_VALUE"""),3422.0)</f>
        <v>3422</v>
      </c>
      <c r="B73" s="97" t="str">
        <f>IFERROR(__xludf.DUMMYFUNCTION("""COMPUTED_VALUE"""),"TOM DIXON TRIPLE CU")</f>
        <v>TOM DIXON TRIPLE CU</v>
      </c>
      <c r="C73" s="97" t="str">
        <f>IFERROR(__xludf.DUMMYFUNCTION("""COMPUTED_VALUE"""),"COLGANTE TOM DIXON TRIPLE LEUK COBRE")</f>
        <v>COLGANTE TOM DIXON TRIPLE LEUK COBRE</v>
      </c>
      <c r="D73" s="97">
        <f>IFERROR(__xludf.DUMMYFUNCTION("""COMPUTED_VALUE"""),7.798328753175E12)</f>
        <v>7798328753175</v>
      </c>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t="str">
        <f>IFERROR(__xludf.DUMMYFUNCTION("""COMPUTED_VALUE"""),"IP20")</f>
        <v>IP20</v>
      </c>
      <c r="AE73" s="97"/>
      <c r="AF73" s="97" t="str">
        <f>IFERROR(__xludf.DUMMYFUNCTION("""COMPUTED_VALUE"""),"Suspender")</f>
        <v>Suspender</v>
      </c>
      <c r="AG73" s="97"/>
      <c r="AH73" s="97"/>
      <c r="AI73" s="97"/>
      <c r="AJ73" s="97"/>
      <c r="AK73" s="97"/>
      <c r="AL73" s="97"/>
      <c r="AM73" s="97"/>
      <c r="AN73" s="97"/>
      <c r="AO73" s="97" t="str">
        <f>IFERROR(__xludf.DUMMYFUNCTION("""COMPUTED_VALUE"""),"1 Año")</f>
        <v>1 Año</v>
      </c>
      <c r="AP73" s="97"/>
      <c r="AQ73" s="97"/>
      <c r="AR73" s="97"/>
      <c r="AS73" s="97"/>
      <c r="AT73" s="97"/>
      <c r="AU73" s="97"/>
      <c r="AV73" s="97" t="str">
        <f>IFERROR(__xludf.DUMMYFUNCTION("""COMPUTED_VALUE"""),"Colgante")</f>
        <v>Colgante</v>
      </c>
      <c r="AW73" s="97" t="str">
        <f>IFERROR(__xludf.DUMMYFUNCTION("""COMPUTED_VALUE"""),"De Techo")</f>
        <v>De Techo</v>
      </c>
      <c r="AX73" s="97" t="str">
        <f>IFERROR(__xludf.DUMMYFUNCTION("""COMPUTED_VALUE"""),"Interior")</f>
        <v>Interior</v>
      </c>
      <c r="AY73" s="97"/>
      <c r="AZ73" s="97"/>
      <c r="BA73" s="97"/>
      <c r="BB73" s="97"/>
      <c r="BC73" s="97"/>
      <c r="BD73" s="97" t="str">
        <f>IFERROR(__xludf.DUMMYFUNCTION("""COMPUTED_VALUE"""),"TOM DIXON")</f>
        <v>TOM DIXON</v>
      </c>
      <c r="BE73" s="97" t="str">
        <f>IFERROR(__xludf.DUMMYFUNCTION("""COMPUTED_VALUE"""),"Sin Ficha")</f>
        <v>Sin Ficha</v>
      </c>
      <c r="BF73" s="97"/>
      <c r="BG73" s="97" t="str">
        <f>IFERROR(__xludf.DUMMYFUNCTION("""COMPUTED_VALUE"""),"Discontinuo")</f>
        <v>Discontinuo</v>
      </c>
    </row>
    <row r="74">
      <c r="A74" s="97">
        <f>IFERROR(__xludf.DUMMYFUNCTION("""COMPUTED_VALUE"""),3423.0)</f>
        <v>3423</v>
      </c>
      <c r="B74" s="97" t="str">
        <f>IFERROR(__xludf.DUMMYFUNCTION("""COMPUTED_VALUE"""),"TOM DIXON TRIPLE AG")</f>
        <v>TOM DIXON TRIPLE AG</v>
      </c>
      <c r="C74" s="97" t="str">
        <f>IFERROR(__xludf.DUMMYFUNCTION("""COMPUTED_VALUE"""),"COLGANTE TOM DIXON TRIPLE LEUK PLATEADO")</f>
        <v>COLGANTE TOM DIXON TRIPLE LEUK PLATEADO</v>
      </c>
      <c r="D74" s="97">
        <f>IFERROR(__xludf.DUMMYFUNCTION("""COMPUTED_VALUE"""),7.798328753182E12)</f>
        <v>7798328753182</v>
      </c>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t="str">
        <f>IFERROR(__xludf.DUMMYFUNCTION("""COMPUTED_VALUE"""),"IP20")</f>
        <v>IP20</v>
      </c>
      <c r="AE74" s="97"/>
      <c r="AF74" s="97" t="str">
        <f>IFERROR(__xludf.DUMMYFUNCTION("""COMPUTED_VALUE"""),"Suspender")</f>
        <v>Suspender</v>
      </c>
      <c r="AG74" s="97"/>
      <c r="AH74" s="97"/>
      <c r="AI74" s="97"/>
      <c r="AJ74" s="97"/>
      <c r="AK74" s="97"/>
      <c r="AL74" s="97"/>
      <c r="AM74" s="97"/>
      <c r="AN74" s="97"/>
      <c r="AO74" s="97" t="str">
        <f>IFERROR(__xludf.DUMMYFUNCTION("""COMPUTED_VALUE"""),"1 Año")</f>
        <v>1 Año</v>
      </c>
      <c r="AP74" s="97"/>
      <c r="AQ74" s="97"/>
      <c r="AR74" s="97"/>
      <c r="AS74" s="97"/>
      <c r="AT74" s="97"/>
      <c r="AU74" s="97"/>
      <c r="AV74" s="97" t="str">
        <f>IFERROR(__xludf.DUMMYFUNCTION("""COMPUTED_VALUE"""),"Colgante")</f>
        <v>Colgante</v>
      </c>
      <c r="AW74" s="97" t="str">
        <f>IFERROR(__xludf.DUMMYFUNCTION("""COMPUTED_VALUE"""),"De Techo")</f>
        <v>De Techo</v>
      </c>
      <c r="AX74" s="97" t="str">
        <f>IFERROR(__xludf.DUMMYFUNCTION("""COMPUTED_VALUE"""),"Interior")</f>
        <v>Interior</v>
      </c>
      <c r="AY74" s="97"/>
      <c r="AZ74" s="97"/>
      <c r="BA74" s="97"/>
      <c r="BB74" s="97"/>
      <c r="BC74" s="97"/>
      <c r="BD74" s="97" t="str">
        <f>IFERROR(__xludf.DUMMYFUNCTION("""COMPUTED_VALUE"""),"TOM DIXON")</f>
        <v>TOM DIXON</v>
      </c>
      <c r="BE74" s="97" t="str">
        <f>IFERROR(__xludf.DUMMYFUNCTION("""COMPUTED_VALUE"""),"Sin Ficha")</f>
        <v>Sin Ficha</v>
      </c>
      <c r="BF74" s="97"/>
      <c r="BG74" s="97" t="str">
        <f>IFERROR(__xludf.DUMMYFUNCTION("""COMPUTED_VALUE"""),"Discontinuo")</f>
        <v>Discontinuo</v>
      </c>
    </row>
    <row r="75">
      <c r="A75" s="97">
        <f>IFERROR(__xludf.DUMMYFUNCTION("""COMPUTED_VALUE"""),3425.0)</f>
        <v>3425</v>
      </c>
      <c r="B75" s="97" t="str">
        <f>IFERROR(__xludf.DUMMYFUNCTION("""COMPUTED_VALUE"""),"TALES")</f>
        <v>TALES</v>
      </c>
      <c r="C75" s="97" t="str">
        <f>IFERROR(__xludf.DUMMYFUNCTION("""COMPUTED_VALUE"""),"APLIQUE TALES LEUK")</f>
        <v>APLIQUE TALES LEUK</v>
      </c>
      <c r="D75" s="97">
        <f>IFERROR(__xludf.DUMMYFUNCTION("""COMPUTED_VALUE"""),7.798328752994E12)</f>
        <v>7798328752994</v>
      </c>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t="str">
        <f>IFERROR(__xludf.DUMMYFUNCTION("""COMPUTED_VALUE"""),"IP20")</f>
        <v>IP20</v>
      </c>
      <c r="AE75" s="97"/>
      <c r="AF75" s="97" t="str">
        <f>IFERROR(__xludf.DUMMYFUNCTION("""COMPUTED_VALUE"""),"Aplicar")</f>
        <v>Aplicar</v>
      </c>
      <c r="AG75" s="97"/>
      <c r="AH75" s="97"/>
      <c r="AI75" s="97"/>
      <c r="AJ75" s="97"/>
      <c r="AK75" s="97"/>
      <c r="AL75" s="97"/>
      <c r="AM75" s="97"/>
      <c r="AN75" s="97"/>
      <c r="AO75" s="97" t="str">
        <f>IFERROR(__xludf.DUMMYFUNCTION("""COMPUTED_VALUE"""),"1 Año")</f>
        <v>1 Año</v>
      </c>
      <c r="AP75" s="97"/>
      <c r="AQ75" s="97"/>
      <c r="AR75" s="97"/>
      <c r="AS75" s="97"/>
      <c r="AT75" s="97"/>
      <c r="AU75" s="97"/>
      <c r="AV75" s="97" t="str">
        <f>IFERROR(__xludf.DUMMYFUNCTION("""COMPUTED_VALUE"""),"Aplique")</f>
        <v>Aplique</v>
      </c>
      <c r="AW75" s="97" t="str">
        <f>IFERROR(__xludf.DUMMYFUNCTION("""COMPUTED_VALUE"""),"De Pared")</f>
        <v>De Pared</v>
      </c>
      <c r="AX75" s="97" t="str">
        <f>IFERROR(__xludf.DUMMYFUNCTION("""COMPUTED_VALUE"""),"Interior")</f>
        <v>Interior</v>
      </c>
      <c r="AY75" s="97"/>
      <c r="AZ75" s="97"/>
      <c r="BA75" s="97">
        <f>IFERROR(__xludf.DUMMYFUNCTION("""COMPUTED_VALUE"""),1.0)</f>
        <v>1</v>
      </c>
      <c r="BB75" s="97"/>
      <c r="BC75" s="97"/>
      <c r="BD75" s="97" t="str">
        <f>IFERROR(__xludf.DUMMYFUNCTION("""COMPUTED_VALUE"""),"TALES")</f>
        <v>TALES</v>
      </c>
      <c r="BE75" s="97" t="str">
        <f>IFERROR(__xludf.DUMMYFUNCTION("""COMPUTED_VALUE"""),"Sin Ficha")</f>
        <v>Sin Ficha</v>
      </c>
      <c r="BF75" s="97"/>
      <c r="BG75" s="97" t="str">
        <f>IFERROR(__xludf.DUMMYFUNCTION("""COMPUTED_VALUE"""),"Discontinuo")</f>
        <v>Discontinuo</v>
      </c>
    </row>
    <row r="76">
      <c r="A76" s="97">
        <f>IFERROR(__xludf.DUMMYFUNCTION("""COMPUTED_VALUE"""),3441.0)</f>
        <v>3441</v>
      </c>
      <c r="B76" s="97" t="str">
        <f>IFERROR(__xludf.DUMMYFUNCTION("""COMPUTED_VALUE"""),"LUX I NI")</f>
        <v>LUX I NI</v>
      </c>
      <c r="C76" s="97" t="str">
        <f>IFERROR(__xludf.DUMMYFUNCTION("""COMPUTED_VALUE"""),"APLIQUE LUX I NIQUEL LEUK")</f>
        <v>APLIQUE LUX I NIQUEL LEUK</v>
      </c>
      <c r="D76" s="97">
        <f>IFERROR(__xludf.DUMMYFUNCTION("""COMPUTED_VALUE"""),7.798328753274E12)</f>
        <v>7798328753274</v>
      </c>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t="str">
        <f>IFERROR(__xludf.DUMMYFUNCTION("""COMPUTED_VALUE"""),"IP20")</f>
        <v>IP20</v>
      </c>
      <c r="AE76" s="97"/>
      <c r="AF76" s="97" t="str">
        <f>IFERROR(__xludf.DUMMYFUNCTION("""COMPUTED_VALUE"""),"Aplicar")</f>
        <v>Aplicar</v>
      </c>
      <c r="AG76" s="97"/>
      <c r="AH76" s="97"/>
      <c r="AI76" s="97"/>
      <c r="AJ76" s="97"/>
      <c r="AK76" s="97"/>
      <c r="AL76" s="97"/>
      <c r="AM76" s="97"/>
      <c r="AN76" s="97"/>
      <c r="AO76" s="97" t="str">
        <f>IFERROR(__xludf.DUMMYFUNCTION("""COMPUTED_VALUE"""),"1 Año")</f>
        <v>1 Año</v>
      </c>
      <c r="AP76" s="97"/>
      <c r="AQ76" s="97"/>
      <c r="AR76" s="97"/>
      <c r="AS76" s="97"/>
      <c r="AT76" s="97"/>
      <c r="AU76" s="97"/>
      <c r="AV76" s="97" t="str">
        <f>IFERROR(__xludf.DUMMYFUNCTION("""COMPUTED_VALUE"""),"Aplique")</f>
        <v>Aplique</v>
      </c>
      <c r="AW76" s="97" t="str">
        <f>IFERROR(__xludf.DUMMYFUNCTION("""COMPUTED_VALUE"""),"De Techo")</f>
        <v>De Techo</v>
      </c>
      <c r="AX76" s="97" t="str">
        <f>IFERROR(__xludf.DUMMYFUNCTION("""COMPUTED_VALUE"""),"Interior")</f>
        <v>Interior</v>
      </c>
      <c r="AY76" s="97"/>
      <c r="AZ76" s="97"/>
      <c r="BA76" s="97"/>
      <c r="BB76" s="97"/>
      <c r="BC76" s="97"/>
      <c r="BD76" s="97" t="str">
        <f>IFERROR(__xludf.DUMMYFUNCTION("""COMPUTED_VALUE"""),"LUX")</f>
        <v>LUX</v>
      </c>
      <c r="BE76" s="97" t="str">
        <f>IFERROR(__xludf.DUMMYFUNCTION("""COMPUTED_VALUE"""),"Sin Ficha")</f>
        <v>Sin Ficha</v>
      </c>
      <c r="BF76" s="97"/>
      <c r="BG76" s="97" t="str">
        <f>IFERROR(__xludf.DUMMYFUNCTION("""COMPUTED_VALUE"""),"Discontinuo")</f>
        <v>Discontinuo</v>
      </c>
    </row>
    <row r="77">
      <c r="A77" s="97">
        <f>IFERROR(__xludf.DUMMYFUNCTION("""COMPUTED_VALUE"""),3442.0)</f>
        <v>3442</v>
      </c>
      <c r="B77" s="97" t="str">
        <f>IFERROR(__xludf.DUMMYFUNCTION("""COMPUTED_VALUE"""),"LUX II NI")</f>
        <v>LUX II NI</v>
      </c>
      <c r="C77" s="97" t="str">
        <f>IFERROR(__xludf.DUMMYFUNCTION("""COMPUTED_VALUE"""),"APLIQUE LUX II NIQUEL LEUK")</f>
        <v>APLIQUE LUX II NIQUEL LEUK</v>
      </c>
      <c r="D77" s="97">
        <f>IFERROR(__xludf.DUMMYFUNCTION("""COMPUTED_VALUE"""),7.798328753281E12)</f>
        <v>7798328753281</v>
      </c>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t="str">
        <f>IFERROR(__xludf.DUMMYFUNCTION("""COMPUTED_VALUE"""),"IP20")</f>
        <v>IP20</v>
      </c>
      <c r="AE77" s="97"/>
      <c r="AF77" s="97" t="str">
        <f>IFERROR(__xludf.DUMMYFUNCTION("""COMPUTED_VALUE"""),"Aplicar")</f>
        <v>Aplicar</v>
      </c>
      <c r="AG77" s="97"/>
      <c r="AH77" s="97"/>
      <c r="AI77" s="97"/>
      <c r="AJ77" s="97"/>
      <c r="AK77" s="97"/>
      <c r="AL77" s="97"/>
      <c r="AM77" s="97"/>
      <c r="AN77" s="97"/>
      <c r="AO77" s="97" t="str">
        <f>IFERROR(__xludf.DUMMYFUNCTION("""COMPUTED_VALUE"""),"1 Año")</f>
        <v>1 Año</v>
      </c>
      <c r="AP77" s="97"/>
      <c r="AQ77" s="97"/>
      <c r="AR77" s="97"/>
      <c r="AS77" s="97"/>
      <c r="AT77" s="97"/>
      <c r="AU77" s="97"/>
      <c r="AV77" s="97" t="str">
        <f>IFERROR(__xludf.DUMMYFUNCTION("""COMPUTED_VALUE"""),"Aplique")</f>
        <v>Aplique</v>
      </c>
      <c r="AW77" s="97" t="str">
        <f>IFERROR(__xludf.DUMMYFUNCTION("""COMPUTED_VALUE"""),"De Techo")</f>
        <v>De Techo</v>
      </c>
      <c r="AX77" s="97" t="str">
        <f>IFERROR(__xludf.DUMMYFUNCTION("""COMPUTED_VALUE"""),"Interior")</f>
        <v>Interior</v>
      </c>
      <c r="AY77" s="97"/>
      <c r="AZ77" s="97"/>
      <c r="BA77" s="97"/>
      <c r="BB77" s="97"/>
      <c r="BC77" s="97"/>
      <c r="BD77" s="97" t="str">
        <f>IFERROR(__xludf.DUMMYFUNCTION("""COMPUTED_VALUE"""),"LUX")</f>
        <v>LUX</v>
      </c>
      <c r="BE77" s="97" t="str">
        <f>IFERROR(__xludf.DUMMYFUNCTION("""COMPUTED_VALUE"""),"Sin Ficha")</f>
        <v>Sin Ficha</v>
      </c>
      <c r="BF77" s="97"/>
      <c r="BG77" s="97" t="str">
        <f>IFERROR(__xludf.DUMMYFUNCTION("""COMPUTED_VALUE"""),"Discontinuo")</f>
        <v>Discontinuo</v>
      </c>
    </row>
    <row r="78">
      <c r="A78" s="97">
        <f>IFERROR(__xludf.DUMMYFUNCTION("""COMPUTED_VALUE"""),3443.0)</f>
        <v>3443</v>
      </c>
      <c r="B78" s="97" t="str">
        <f>IFERROR(__xludf.DUMMYFUNCTION("""COMPUTED_VALUE"""),"LUX III NI")</f>
        <v>LUX III NI</v>
      </c>
      <c r="C78" s="97" t="str">
        <f>IFERROR(__xludf.DUMMYFUNCTION("""COMPUTED_VALUE"""),"APLIQUE LUX III NIQUEL LEUK")</f>
        <v>APLIQUE LUX III NIQUEL LEUK</v>
      </c>
      <c r="D78" s="97">
        <f>IFERROR(__xludf.DUMMYFUNCTION("""COMPUTED_VALUE"""),7.798328753298E12)</f>
        <v>7798328753298</v>
      </c>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t="str">
        <f>IFERROR(__xludf.DUMMYFUNCTION("""COMPUTED_VALUE"""),"IP20")</f>
        <v>IP20</v>
      </c>
      <c r="AE78" s="97"/>
      <c r="AF78" s="97" t="str">
        <f>IFERROR(__xludf.DUMMYFUNCTION("""COMPUTED_VALUE"""),"Aplicar")</f>
        <v>Aplicar</v>
      </c>
      <c r="AG78" s="97"/>
      <c r="AH78" s="97"/>
      <c r="AI78" s="97"/>
      <c r="AJ78" s="97"/>
      <c r="AK78" s="97"/>
      <c r="AL78" s="97"/>
      <c r="AM78" s="97"/>
      <c r="AN78" s="97"/>
      <c r="AO78" s="97" t="str">
        <f>IFERROR(__xludf.DUMMYFUNCTION("""COMPUTED_VALUE"""),"1 Año")</f>
        <v>1 Año</v>
      </c>
      <c r="AP78" s="97"/>
      <c r="AQ78" s="97"/>
      <c r="AR78" s="97"/>
      <c r="AS78" s="97"/>
      <c r="AT78" s="97"/>
      <c r="AU78" s="97"/>
      <c r="AV78" s="97" t="str">
        <f>IFERROR(__xludf.DUMMYFUNCTION("""COMPUTED_VALUE"""),"Aplique")</f>
        <v>Aplique</v>
      </c>
      <c r="AW78" s="97" t="str">
        <f>IFERROR(__xludf.DUMMYFUNCTION("""COMPUTED_VALUE"""),"De Techo")</f>
        <v>De Techo</v>
      </c>
      <c r="AX78" s="97" t="str">
        <f>IFERROR(__xludf.DUMMYFUNCTION("""COMPUTED_VALUE"""),"Interior")</f>
        <v>Interior</v>
      </c>
      <c r="AY78" s="97"/>
      <c r="AZ78" s="97"/>
      <c r="BA78" s="97"/>
      <c r="BB78" s="97"/>
      <c r="BC78" s="97"/>
      <c r="BD78" s="97" t="str">
        <f>IFERROR(__xludf.DUMMYFUNCTION("""COMPUTED_VALUE"""),"LUX")</f>
        <v>LUX</v>
      </c>
      <c r="BE78" s="97" t="str">
        <f>IFERROR(__xludf.DUMMYFUNCTION("""COMPUTED_VALUE"""),"Sin Ficha")</f>
        <v>Sin Ficha</v>
      </c>
      <c r="BF78" s="97"/>
      <c r="BG78" s="97" t="str">
        <f>IFERROR(__xludf.DUMMYFUNCTION("""COMPUTED_VALUE"""),"Discontinuo")</f>
        <v>Discontinuo</v>
      </c>
    </row>
    <row r="79">
      <c r="A79" s="97">
        <f>IFERROR(__xludf.DUMMYFUNCTION("""COMPUTED_VALUE"""),3444.0)</f>
        <v>3444</v>
      </c>
      <c r="B79" s="97" t="str">
        <f>IFERROR(__xludf.DUMMYFUNCTION("""COMPUTED_VALUE"""),"LUX IV NI")</f>
        <v>LUX IV NI</v>
      </c>
      <c r="C79" s="97" t="str">
        <f>IFERROR(__xludf.DUMMYFUNCTION("""COMPUTED_VALUE"""),"APLIQUE LUX IV NIQUEL LEUK")</f>
        <v>APLIQUE LUX IV NIQUEL LEUK</v>
      </c>
      <c r="D79" s="97">
        <f>IFERROR(__xludf.DUMMYFUNCTION("""COMPUTED_VALUE"""),7.798328753304E12)</f>
        <v>7798328753304</v>
      </c>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t="str">
        <f>IFERROR(__xludf.DUMMYFUNCTION("""COMPUTED_VALUE"""),"IP20")</f>
        <v>IP20</v>
      </c>
      <c r="AE79" s="97"/>
      <c r="AF79" s="97" t="str">
        <f>IFERROR(__xludf.DUMMYFUNCTION("""COMPUTED_VALUE"""),"Aplicar")</f>
        <v>Aplicar</v>
      </c>
      <c r="AG79" s="97"/>
      <c r="AH79" s="97"/>
      <c r="AI79" s="97"/>
      <c r="AJ79" s="97"/>
      <c r="AK79" s="97"/>
      <c r="AL79" s="97"/>
      <c r="AM79" s="97"/>
      <c r="AN79" s="97"/>
      <c r="AO79" s="97" t="str">
        <f>IFERROR(__xludf.DUMMYFUNCTION("""COMPUTED_VALUE"""),"1 Año")</f>
        <v>1 Año</v>
      </c>
      <c r="AP79" s="97"/>
      <c r="AQ79" s="97"/>
      <c r="AR79" s="97"/>
      <c r="AS79" s="97"/>
      <c r="AT79" s="97"/>
      <c r="AU79" s="97"/>
      <c r="AV79" s="97" t="str">
        <f>IFERROR(__xludf.DUMMYFUNCTION("""COMPUTED_VALUE"""),"Aplique")</f>
        <v>Aplique</v>
      </c>
      <c r="AW79" s="97" t="str">
        <f>IFERROR(__xludf.DUMMYFUNCTION("""COMPUTED_VALUE"""),"De Techo")</f>
        <v>De Techo</v>
      </c>
      <c r="AX79" s="97" t="str">
        <f>IFERROR(__xludf.DUMMYFUNCTION("""COMPUTED_VALUE"""),"Interior")</f>
        <v>Interior</v>
      </c>
      <c r="AY79" s="97"/>
      <c r="AZ79" s="97"/>
      <c r="BA79" s="97"/>
      <c r="BB79" s="97"/>
      <c r="BC79" s="97"/>
      <c r="BD79" s="97" t="str">
        <f>IFERROR(__xludf.DUMMYFUNCTION("""COMPUTED_VALUE"""),"LUX")</f>
        <v>LUX</v>
      </c>
      <c r="BE79" s="97" t="str">
        <f>IFERROR(__xludf.DUMMYFUNCTION("""COMPUTED_VALUE"""),"Sin Ficha")</f>
        <v>Sin Ficha</v>
      </c>
      <c r="BF79" s="97"/>
      <c r="BG79" s="97" t="str">
        <f>IFERROR(__xludf.DUMMYFUNCTION("""COMPUTED_VALUE"""),"Discontinuo")</f>
        <v>Discontinuo</v>
      </c>
    </row>
    <row r="80">
      <c r="A80" s="97">
        <f>IFERROR(__xludf.DUMMYFUNCTION("""COMPUTED_VALUE"""),3445.0)</f>
        <v>3445</v>
      </c>
      <c r="B80" s="97" t="str">
        <f>IFERROR(__xludf.DUMMYFUNCTION("""COMPUTED_VALUE"""),"ELLEN I CU")</f>
        <v>ELLEN I CU</v>
      </c>
      <c r="C80" s="97" t="str">
        <f>IFERROR(__xludf.DUMMYFUNCTION("""COMPUTED_VALUE"""),"APLIQUE ELLEN I COBRE LEUK")</f>
        <v>APLIQUE ELLEN I COBRE LEUK</v>
      </c>
      <c r="D80" s="97">
        <f>IFERROR(__xludf.DUMMYFUNCTION("""COMPUTED_VALUE"""),7.798328753311E12)</f>
        <v>7798328753311</v>
      </c>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t="str">
        <f>IFERROR(__xludf.DUMMYFUNCTION("""COMPUTED_VALUE"""),"IP20")</f>
        <v>IP20</v>
      </c>
      <c r="AE80" s="97"/>
      <c r="AF80" s="97" t="str">
        <f>IFERROR(__xludf.DUMMYFUNCTION("""COMPUTED_VALUE"""),"Aplicar")</f>
        <v>Aplicar</v>
      </c>
      <c r="AG80" s="97"/>
      <c r="AH80" s="97"/>
      <c r="AI80" s="97"/>
      <c r="AJ80" s="97"/>
      <c r="AK80" s="97"/>
      <c r="AL80" s="97"/>
      <c r="AM80" s="97"/>
      <c r="AN80" s="97"/>
      <c r="AO80" s="97" t="str">
        <f>IFERROR(__xludf.DUMMYFUNCTION("""COMPUTED_VALUE"""),"1 Año")</f>
        <v>1 Año</v>
      </c>
      <c r="AP80" s="97"/>
      <c r="AQ80" s="97"/>
      <c r="AR80" s="97"/>
      <c r="AS80" s="97"/>
      <c r="AT80" s="97"/>
      <c r="AU80" s="97"/>
      <c r="AV80" s="97" t="str">
        <f>IFERROR(__xludf.DUMMYFUNCTION("""COMPUTED_VALUE"""),"Aplique")</f>
        <v>Aplique</v>
      </c>
      <c r="AW80" s="97" t="str">
        <f>IFERROR(__xludf.DUMMYFUNCTION("""COMPUTED_VALUE"""),"De Techo")</f>
        <v>De Techo</v>
      </c>
      <c r="AX80" s="97" t="str">
        <f>IFERROR(__xludf.DUMMYFUNCTION("""COMPUTED_VALUE"""),"Interior")</f>
        <v>Interior</v>
      </c>
      <c r="AY80" s="97"/>
      <c r="AZ80" s="97"/>
      <c r="BA80" s="97"/>
      <c r="BB80" s="97"/>
      <c r="BC80" s="97"/>
      <c r="BD80" s="97" t="str">
        <f>IFERROR(__xludf.DUMMYFUNCTION("""COMPUTED_VALUE"""),"ELLEN")</f>
        <v>ELLEN</v>
      </c>
      <c r="BE80" s="97" t="str">
        <f>IFERROR(__xludf.DUMMYFUNCTION("""COMPUTED_VALUE"""),"Sin Ficha")</f>
        <v>Sin Ficha</v>
      </c>
      <c r="BF80" s="97"/>
      <c r="BG80" s="97" t="str">
        <f>IFERROR(__xludf.DUMMYFUNCTION("""COMPUTED_VALUE"""),"Discontinuo")</f>
        <v>Discontinuo</v>
      </c>
    </row>
    <row r="81">
      <c r="A81" s="97">
        <f>IFERROR(__xludf.DUMMYFUNCTION("""COMPUTED_VALUE"""),3446.0)</f>
        <v>3446</v>
      </c>
      <c r="B81" s="97" t="str">
        <f>IFERROR(__xludf.DUMMYFUNCTION("""COMPUTED_VALUE"""),"ELLEN II CU")</f>
        <v>ELLEN II CU</v>
      </c>
      <c r="C81" s="97" t="str">
        <f>IFERROR(__xludf.DUMMYFUNCTION("""COMPUTED_VALUE"""),"APLIQUE ELLEN II COBRE LEUK")</f>
        <v>APLIQUE ELLEN II COBRE LEUK</v>
      </c>
      <c r="D81" s="97">
        <f>IFERROR(__xludf.DUMMYFUNCTION("""COMPUTED_VALUE"""),7.798328753328E12)</f>
        <v>7798328753328</v>
      </c>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t="str">
        <f>IFERROR(__xludf.DUMMYFUNCTION("""COMPUTED_VALUE"""),"IP20")</f>
        <v>IP20</v>
      </c>
      <c r="AE81" s="97"/>
      <c r="AF81" s="97" t="str">
        <f>IFERROR(__xludf.DUMMYFUNCTION("""COMPUTED_VALUE"""),"Aplicar")</f>
        <v>Aplicar</v>
      </c>
      <c r="AG81" s="97"/>
      <c r="AH81" s="97"/>
      <c r="AI81" s="97"/>
      <c r="AJ81" s="97"/>
      <c r="AK81" s="97"/>
      <c r="AL81" s="97"/>
      <c r="AM81" s="97"/>
      <c r="AN81" s="97"/>
      <c r="AO81" s="97" t="str">
        <f>IFERROR(__xludf.DUMMYFUNCTION("""COMPUTED_VALUE"""),"1 Año")</f>
        <v>1 Año</v>
      </c>
      <c r="AP81" s="97"/>
      <c r="AQ81" s="97"/>
      <c r="AR81" s="97"/>
      <c r="AS81" s="97"/>
      <c r="AT81" s="97"/>
      <c r="AU81" s="97"/>
      <c r="AV81" s="97" t="str">
        <f>IFERROR(__xludf.DUMMYFUNCTION("""COMPUTED_VALUE"""),"Aplique")</f>
        <v>Aplique</v>
      </c>
      <c r="AW81" s="97" t="str">
        <f>IFERROR(__xludf.DUMMYFUNCTION("""COMPUTED_VALUE"""),"De Techo")</f>
        <v>De Techo</v>
      </c>
      <c r="AX81" s="97" t="str">
        <f>IFERROR(__xludf.DUMMYFUNCTION("""COMPUTED_VALUE"""),"Interior")</f>
        <v>Interior</v>
      </c>
      <c r="AY81" s="97"/>
      <c r="AZ81" s="97"/>
      <c r="BA81" s="97"/>
      <c r="BB81" s="97"/>
      <c r="BC81" s="97"/>
      <c r="BD81" s="97" t="str">
        <f>IFERROR(__xludf.DUMMYFUNCTION("""COMPUTED_VALUE"""),"ELLEN")</f>
        <v>ELLEN</v>
      </c>
      <c r="BE81" s="97" t="str">
        <f>IFERROR(__xludf.DUMMYFUNCTION("""COMPUTED_VALUE"""),"Sin Ficha")</f>
        <v>Sin Ficha</v>
      </c>
      <c r="BF81" s="97"/>
      <c r="BG81" s="97" t="str">
        <f>IFERROR(__xludf.DUMMYFUNCTION("""COMPUTED_VALUE"""),"Discontinuo")</f>
        <v>Discontinuo</v>
      </c>
    </row>
    <row r="82">
      <c r="A82" s="97">
        <f>IFERROR(__xludf.DUMMYFUNCTION("""COMPUTED_VALUE"""),3447.0)</f>
        <v>3447</v>
      </c>
      <c r="B82" s="97" t="str">
        <f>IFERROR(__xludf.DUMMYFUNCTION("""COMPUTED_VALUE"""),"ELLEN III CU")</f>
        <v>ELLEN III CU</v>
      </c>
      <c r="C82" s="97" t="str">
        <f>IFERROR(__xludf.DUMMYFUNCTION("""COMPUTED_VALUE"""),"APLIQUE ELLEN III COBRE LEUK")</f>
        <v>APLIQUE ELLEN III COBRE LEUK</v>
      </c>
      <c r="D82" s="97">
        <f>IFERROR(__xludf.DUMMYFUNCTION("""COMPUTED_VALUE"""),7.798328753335E12)</f>
        <v>7798328753335</v>
      </c>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t="str">
        <f>IFERROR(__xludf.DUMMYFUNCTION("""COMPUTED_VALUE"""),"IP20")</f>
        <v>IP20</v>
      </c>
      <c r="AE82" s="97"/>
      <c r="AF82" s="97" t="str">
        <f>IFERROR(__xludf.DUMMYFUNCTION("""COMPUTED_VALUE"""),"Aplicar")</f>
        <v>Aplicar</v>
      </c>
      <c r="AG82" s="97"/>
      <c r="AH82" s="97"/>
      <c r="AI82" s="97"/>
      <c r="AJ82" s="97"/>
      <c r="AK82" s="97"/>
      <c r="AL82" s="97"/>
      <c r="AM82" s="97"/>
      <c r="AN82" s="97"/>
      <c r="AO82" s="97" t="str">
        <f>IFERROR(__xludf.DUMMYFUNCTION("""COMPUTED_VALUE"""),"1 Año")</f>
        <v>1 Año</v>
      </c>
      <c r="AP82" s="97"/>
      <c r="AQ82" s="97"/>
      <c r="AR82" s="97"/>
      <c r="AS82" s="97"/>
      <c r="AT82" s="97"/>
      <c r="AU82" s="97"/>
      <c r="AV82" s="97" t="str">
        <f>IFERROR(__xludf.DUMMYFUNCTION("""COMPUTED_VALUE"""),"Aplique")</f>
        <v>Aplique</v>
      </c>
      <c r="AW82" s="97" t="str">
        <f>IFERROR(__xludf.DUMMYFUNCTION("""COMPUTED_VALUE"""),"De Techo")</f>
        <v>De Techo</v>
      </c>
      <c r="AX82" s="97" t="str">
        <f>IFERROR(__xludf.DUMMYFUNCTION("""COMPUTED_VALUE"""),"Interior")</f>
        <v>Interior</v>
      </c>
      <c r="AY82" s="97"/>
      <c r="AZ82" s="97"/>
      <c r="BA82" s="97"/>
      <c r="BB82" s="97"/>
      <c r="BC82" s="97"/>
      <c r="BD82" s="97" t="str">
        <f>IFERROR(__xludf.DUMMYFUNCTION("""COMPUTED_VALUE"""),"ELLEN")</f>
        <v>ELLEN</v>
      </c>
      <c r="BE82" s="97" t="str">
        <f>IFERROR(__xludf.DUMMYFUNCTION("""COMPUTED_VALUE"""),"Sin Ficha")</f>
        <v>Sin Ficha</v>
      </c>
      <c r="BF82" s="97"/>
      <c r="BG82" s="97" t="str">
        <f>IFERROR(__xludf.DUMMYFUNCTION("""COMPUTED_VALUE"""),"Discontinuo")</f>
        <v>Discontinuo</v>
      </c>
    </row>
    <row r="83">
      <c r="A83" s="97">
        <f>IFERROR(__xludf.DUMMYFUNCTION("""COMPUTED_VALUE"""),3448.0)</f>
        <v>3448</v>
      </c>
      <c r="B83" s="97" t="str">
        <f>IFERROR(__xludf.DUMMYFUNCTION("""COMPUTED_VALUE"""),"ELLEN IV CU")</f>
        <v>ELLEN IV CU</v>
      </c>
      <c r="C83" s="97" t="str">
        <f>IFERROR(__xludf.DUMMYFUNCTION("""COMPUTED_VALUE"""),"APLIQUE ELLEN IV COBRE LEUK")</f>
        <v>APLIQUE ELLEN IV COBRE LEUK</v>
      </c>
      <c r="D83" s="97">
        <f>IFERROR(__xludf.DUMMYFUNCTION("""COMPUTED_VALUE"""),7.798328753342E12)</f>
        <v>7798328753342</v>
      </c>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t="str">
        <f>IFERROR(__xludf.DUMMYFUNCTION("""COMPUTED_VALUE"""),"IP20")</f>
        <v>IP20</v>
      </c>
      <c r="AE83" s="97"/>
      <c r="AF83" s="97" t="str">
        <f>IFERROR(__xludf.DUMMYFUNCTION("""COMPUTED_VALUE"""),"Aplicar")</f>
        <v>Aplicar</v>
      </c>
      <c r="AG83" s="97"/>
      <c r="AH83" s="97"/>
      <c r="AI83" s="97"/>
      <c r="AJ83" s="97"/>
      <c r="AK83" s="97"/>
      <c r="AL83" s="97"/>
      <c r="AM83" s="97"/>
      <c r="AN83" s="97"/>
      <c r="AO83" s="97" t="str">
        <f>IFERROR(__xludf.DUMMYFUNCTION("""COMPUTED_VALUE"""),"1 Año")</f>
        <v>1 Año</v>
      </c>
      <c r="AP83" s="97"/>
      <c r="AQ83" s="97"/>
      <c r="AR83" s="97"/>
      <c r="AS83" s="97"/>
      <c r="AT83" s="97"/>
      <c r="AU83" s="97"/>
      <c r="AV83" s="97" t="str">
        <f>IFERROR(__xludf.DUMMYFUNCTION("""COMPUTED_VALUE"""),"Aplique")</f>
        <v>Aplique</v>
      </c>
      <c r="AW83" s="97" t="str">
        <f>IFERROR(__xludf.DUMMYFUNCTION("""COMPUTED_VALUE"""),"De Techo")</f>
        <v>De Techo</v>
      </c>
      <c r="AX83" s="97" t="str">
        <f>IFERROR(__xludf.DUMMYFUNCTION("""COMPUTED_VALUE"""),"Interior")</f>
        <v>Interior</v>
      </c>
      <c r="AY83" s="97"/>
      <c r="AZ83" s="97"/>
      <c r="BA83" s="97"/>
      <c r="BB83" s="97"/>
      <c r="BC83" s="97"/>
      <c r="BD83" s="97" t="str">
        <f>IFERROR(__xludf.DUMMYFUNCTION("""COMPUTED_VALUE"""),"ELLEN")</f>
        <v>ELLEN</v>
      </c>
      <c r="BE83" s="97" t="str">
        <f>IFERROR(__xludf.DUMMYFUNCTION("""COMPUTED_VALUE"""),"Sin Ficha")</f>
        <v>Sin Ficha</v>
      </c>
      <c r="BF83" s="97"/>
      <c r="BG83" s="97" t="str">
        <f>IFERROR(__xludf.DUMMYFUNCTION("""COMPUTED_VALUE"""),"Discontinuo")</f>
        <v>Discontinuo</v>
      </c>
    </row>
    <row r="84">
      <c r="A84" s="97">
        <f>IFERROR(__xludf.DUMMYFUNCTION("""COMPUTED_VALUE"""),3449.0)</f>
        <v>3449</v>
      </c>
      <c r="B84" s="97" t="str">
        <f>IFERROR(__xludf.DUMMYFUNCTION("""COMPUTED_VALUE"""),"SPIRO CABECERA NI")</f>
        <v>SPIRO CABECERA NI</v>
      </c>
      <c r="C84" s="97" t="str">
        <f>IFERROR(__xludf.DUMMYFUNCTION("""COMPUTED_VALUE"""),"APLIQUE SPIRO CABECERA NIQUEL SATINADO LEUK")</f>
        <v>APLIQUE SPIRO CABECERA NIQUEL SATINADO LEUK</v>
      </c>
      <c r="D84" s="97">
        <f>IFERROR(__xludf.DUMMYFUNCTION("""COMPUTED_VALUE"""),7.798328753359E12)</f>
        <v>7798328753359</v>
      </c>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t="str">
        <f>IFERROR(__xludf.DUMMYFUNCTION("""COMPUTED_VALUE"""),"Aplicar")</f>
        <v>Aplicar</v>
      </c>
      <c r="AG84" s="97"/>
      <c r="AH84" s="97"/>
      <c r="AI84" s="97"/>
      <c r="AJ84" s="97"/>
      <c r="AK84" s="97"/>
      <c r="AL84" s="97"/>
      <c r="AM84" s="97"/>
      <c r="AN84" s="97"/>
      <c r="AO84" s="97" t="str">
        <f>IFERROR(__xludf.DUMMYFUNCTION("""COMPUTED_VALUE"""),"1 Año")</f>
        <v>1 Año</v>
      </c>
      <c r="AP84" s="97"/>
      <c r="AQ84" s="97"/>
      <c r="AR84" s="97"/>
      <c r="AS84" s="97"/>
      <c r="AT84" s="97"/>
      <c r="AU84" s="97"/>
      <c r="AV84" s="97" t="str">
        <f>IFERROR(__xludf.DUMMYFUNCTION("""COMPUTED_VALUE"""),"Aplique")</f>
        <v>Aplique</v>
      </c>
      <c r="AW84" s="97" t="str">
        <f>IFERROR(__xludf.DUMMYFUNCTION("""COMPUTED_VALUE"""),"De Pared")</f>
        <v>De Pared</v>
      </c>
      <c r="AX84" s="97" t="str">
        <f>IFERROR(__xludf.DUMMYFUNCTION("""COMPUTED_VALUE"""),"Interior")</f>
        <v>Interior</v>
      </c>
      <c r="AY84" s="97"/>
      <c r="AZ84" s="97"/>
      <c r="BA84" s="97"/>
      <c r="BB84" s="97"/>
      <c r="BC84" s="97"/>
      <c r="BD84" s="97" t="str">
        <f>IFERROR(__xludf.DUMMYFUNCTION("""COMPUTED_VALUE"""),"SPIRO")</f>
        <v>SPIRO</v>
      </c>
      <c r="BE84" s="97" t="str">
        <f>IFERROR(__xludf.DUMMYFUNCTION("""COMPUTED_VALUE"""),"Sin Ficha")</f>
        <v>Sin Ficha</v>
      </c>
      <c r="BF84" s="97"/>
      <c r="BG84" s="97" t="str">
        <f>IFERROR(__xludf.DUMMYFUNCTION("""COMPUTED_VALUE"""),"Discontinuo")</f>
        <v>Discontinuo</v>
      </c>
    </row>
    <row r="85">
      <c r="A85" s="97">
        <f>IFERROR(__xludf.DUMMYFUNCTION("""COMPUTED_VALUE"""),3450.0)</f>
        <v>3450</v>
      </c>
      <c r="B85" s="97" t="str">
        <f>IFERROR(__xludf.DUMMYFUNCTION("""COMPUTED_VALUE"""),"ODELL I NI")</f>
        <v>ODELL I NI</v>
      </c>
      <c r="C85" s="97" t="str">
        <f>IFERROR(__xludf.DUMMYFUNCTION("""COMPUTED_VALUE"""),"APLIQUE ODELL I NIQUEL SATINADO LEUK")</f>
        <v>APLIQUE ODELL I NIQUEL SATINADO LEUK</v>
      </c>
      <c r="D85" s="97">
        <f>IFERROR(__xludf.DUMMYFUNCTION("""COMPUTED_VALUE"""),7.798328753366E12)</f>
        <v>7798328753366</v>
      </c>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t="str">
        <f>IFERROR(__xludf.DUMMYFUNCTION("""COMPUTED_VALUE"""),"IP20")</f>
        <v>IP20</v>
      </c>
      <c r="AE85" s="97"/>
      <c r="AF85" s="97" t="str">
        <f>IFERROR(__xludf.DUMMYFUNCTION("""COMPUTED_VALUE"""),"Aplicar")</f>
        <v>Aplicar</v>
      </c>
      <c r="AG85" s="97"/>
      <c r="AH85" s="97"/>
      <c r="AI85" s="97"/>
      <c r="AJ85" s="97"/>
      <c r="AK85" s="97"/>
      <c r="AL85" s="97"/>
      <c r="AM85" s="97"/>
      <c r="AN85" s="97"/>
      <c r="AO85" s="97" t="str">
        <f>IFERROR(__xludf.DUMMYFUNCTION("""COMPUTED_VALUE"""),"1 Año")</f>
        <v>1 Año</v>
      </c>
      <c r="AP85" s="97"/>
      <c r="AQ85" s="97"/>
      <c r="AR85" s="97"/>
      <c r="AS85" s="97"/>
      <c r="AT85" s="97"/>
      <c r="AU85" s="97"/>
      <c r="AV85" s="97" t="str">
        <f>IFERROR(__xludf.DUMMYFUNCTION("""COMPUTED_VALUE"""),"Aplique")</f>
        <v>Aplique</v>
      </c>
      <c r="AW85" s="97" t="str">
        <f>IFERROR(__xludf.DUMMYFUNCTION("""COMPUTED_VALUE"""),"De Techo")</f>
        <v>De Techo</v>
      </c>
      <c r="AX85" s="97" t="str">
        <f>IFERROR(__xludf.DUMMYFUNCTION("""COMPUTED_VALUE"""),"Interior")</f>
        <v>Interior</v>
      </c>
      <c r="AY85" s="97"/>
      <c r="AZ85" s="97"/>
      <c r="BA85" s="97"/>
      <c r="BB85" s="97"/>
      <c r="BC85" s="97"/>
      <c r="BD85" s="97" t="str">
        <f>IFERROR(__xludf.DUMMYFUNCTION("""COMPUTED_VALUE"""),"ODELL")</f>
        <v>ODELL</v>
      </c>
      <c r="BE85" s="97" t="str">
        <f>IFERROR(__xludf.DUMMYFUNCTION("""COMPUTED_VALUE"""),"Sin Ficha")</f>
        <v>Sin Ficha</v>
      </c>
      <c r="BF85" s="97"/>
      <c r="BG85" s="97" t="str">
        <f>IFERROR(__xludf.DUMMYFUNCTION("""COMPUTED_VALUE"""),"Discontinuo")</f>
        <v>Discontinuo</v>
      </c>
    </row>
    <row r="86">
      <c r="A86" s="97">
        <f>IFERROR(__xludf.DUMMYFUNCTION("""COMPUTED_VALUE"""),3451.0)</f>
        <v>3451</v>
      </c>
      <c r="B86" s="97" t="str">
        <f>IFERROR(__xludf.DUMMYFUNCTION("""COMPUTED_VALUE"""),"ODELL II NI")</f>
        <v>ODELL II NI</v>
      </c>
      <c r="C86" s="97" t="str">
        <f>IFERROR(__xludf.DUMMYFUNCTION("""COMPUTED_VALUE"""),"APLIQUE ODELL II NIQUEL SATINADO LEUK")</f>
        <v>APLIQUE ODELL II NIQUEL SATINADO LEUK</v>
      </c>
      <c r="D86" s="97">
        <f>IFERROR(__xludf.DUMMYFUNCTION("""COMPUTED_VALUE"""),7.798328753373E12)</f>
        <v>7798328753373</v>
      </c>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t="str">
        <f>IFERROR(__xludf.DUMMYFUNCTION("""COMPUTED_VALUE"""),"IP20")</f>
        <v>IP20</v>
      </c>
      <c r="AE86" s="97"/>
      <c r="AF86" s="97" t="str">
        <f>IFERROR(__xludf.DUMMYFUNCTION("""COMPUTED_VALUE"""),"Aplicar")</f>
        <v>Aplicar</v>
      </c>
      <c r="AG86" s="97"/>
      <c r="AH86" s="97"/>
      <c r="AI86" s="97"/>
      <c r="AJ86" s="97"/>
      <c r="AK86" s="97"/>
      <c r="AL86" s="97"/>
      <c r="AM86" s="97"/>
      <c r="AN86" s="97"/>
      <c r="AO86" s="97" t="str">
        <f>IFERROR(__xludf.DUMMYFUNCTION("""COMPUTED_VALUE"""),"1 Año")</f>
        <v>1 Año</v>
      </c>
      <c r="AP86" s="97"/>
      <c r="AQ86" s="97"/>
      <c r="AR86" s="97"/>
      <c r="AS86" s="97"/>
      <c r="AT86" s="97"/>
      <c r="AU86" s="97"/>
      <c r="AV86" s="97" t="str">
        <f>IFERROR(__xludf.DUMMYFUNCTION("""COMPUTED_VALUE"""),"Aplique")</f>
        <v>Aplique</v>
      </c>
      <c r="AW86" s="97" t="str">
        <f>IFERROR(__xludf.DUMMYFUNCTION("""COMPUTED_VALUE"""),"De Techo")</f>
        <v>De Techo</v>
      </c>
      <c r="AX86" s="97" t="str">
        <f>IFERROR(__xludf.DUMMYFUNCTION("""COMPUTED_VALUE"""),"Interior")</f>
        <v>Interior</v>
      </c>
      <c r="AY86" s="97"/>
      <c r="AZ86" s="97"/>
      <c r="BA86" s="97"/>
      <c r="BB86" s="97"/>
      <c r="BC86" s="97"/>
      <c r="BD86" s="97" t="str">
        <f>IFERROR(__xludf.DUMMYFUNCTION("""COMPUTED_VALUE"""),"ODELL")</f>
        <v>ODELL</v>
      </c>
      <c r="BE86" s="97" t="str">
        <f>IFERROR(__xludf.DUMMYFUNCTION("""COMPUTED_VALUE"""),"Sin Ficha")</f>
        <v>Sin Ficha</v>
      </c>
      <c r="BF86" s="97"/>
      <c r="BG86" s="97" t="str">
        <f>IFERROR(__xludf.DUMMYFUNCTION("""COMPUTED_VALUE"""),"Discontinuo")</f>
        <v>Discontinuo</v>
      </c>
    </row>
    <row r="87">
      <c r="A87" s="97">
        <f>IFERROR(__xludf.DUMMYFUNCTION("""COMPUTED_VALUE"""),3452.0)</f>
        <v>3452</v>
      </c>
      <c r="B87" s="97" t="str">
        <f>IFERROR(__xludf.DUMMYFUNCTION("""COMPUTED_VALUE"""),"ODELL III NI")</f>
        <v>ODELL III NI</v>
      </c>
      <c r="C87" s="97" t="str">
        <f>IFERROR(__xludf.DUMMYFUNCTION("""COMPUTED_VALUE"""),"APLIQUE ODELL III NIQUEL SATINADO LEUK")</f>
        <v>APLIQUE ODELL III NIQUEL SATINADO LEUK</v>
      </c>
      <c r="D87" s="97">
        <f>IFERROR(__xludf.DUMMYFUNCTION("""COMPUTED_VALUE"""),7.79832875338E12)</f>
        <v>7798328753380</v>
      </c>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t="str">
        <f>IFERROR(__xludf.DUMMYFUNCTION("""COMPUTED_VALUE"""),"IP20")</f>
        <v>IP20</v>
      </c>
      <c r="AE87" s="97"/>
      <c r="AF87" s="97" t="str">
        <f>IFERROR(__xludf.DUMMYFUNCTION("""COMPUTED_VALUE"""),"Aplicar")</f>
        <v>Aplicar</v>
      </c>
      <c r="AG87" s="97"/>
      <c r="AH87" s="97"/>
      <c r="AI87" s="97"/>
      <c r="AJ87" s="97"/>
      <c r="AK87" s="97"/>
      <c r="AL87" s="97"/>
      <c r="AM87" s="97"/>
      <c r="AN87" s="97"/>
      <c r="AO87" s="97" t="str">
        <f>IFERROR(__xludf.DUMMYFUNCTION("""COMPUTED_VALUE"""),"1 Año")</f>
        <v>1 Año</v>
      </c>
      <c r="AP87" s="97"/>
      <c r="AQ87" s="97"/>
      <c r="AR87" s="97"/>
      <c r="AS87" s="97"/>
      <c r="AT87" s="97"/>
      <c r="AU87" s="97"/>
      <c r="AV87" s="97" t="str">
        <f>IFERROR(__xludf.DUMMYFUNCTION("""COMPUTED_VALUE"""),"Aplique")</f>
        <v>Aplique</v>
      </c>
      <c r="AW87" s="97" t="str">
        <f>IFERROR(__xludf.DUMMYFUNCTION("""COMPUTED_VALUE"""),"De Techo")</f>
        <v>De Techo</v>
      </c>
      <c r="AX87" s="97" t="str">
        <f>IFERROR(__xludf.DUMMYFUNCTION("""COMPUTED_VALUE"""),"Interior")</f>
        <v>Interior</v>
      </c>
      <c r="AY87" s="97"/>
      <c r="AZ87" s="97"/>
      <c r="BA87" s="97"/>
      <c r="BB87" s="97"/>
      <c r="BC87" s="97"/>
      <c r="BD87" s="97" t="str">
        <f>IFERROR(__xludf.DUMMYFUNCTION("""COMPUTED_VALUE"""),"ODELL")</f>
        <v>ODELL</v>
      </c>
      <c r="BE87" s="97" t="str">
        <f>IFERROR(__xludf.DUMMYFUNCTION("""COMPUTED_VALUE"""),"Sin Ficha")</f>
        <v>Sin Ficha</v>
      </c>
      <c r="BF87" s="97"/>
      <c r="BG87" s="97" t="str">
        <f>IFERROR(__xludf.DUMMYFUNCTION("""COMPUTED_VALUE"""),"Discontinuo")</f>
        <v>Discontinuo</v>
      </c>
    </row>
    <row r="88">
      <c r="A88" s="97">
        <f>IFERROR(__xludf.DUMMYFUNCTION("""COMPUTED_VALUE"""),3453.0)</f>
        <v>3453</v>
      </c>
      <c r="B88" s="97" t="str">
        <f>IFERROR(__xludf.DUMMYFUNCTION("""COMPUTED_VALUE"""),"ODELL IV NI")</f>
        <v>ODELL IV NI</v>
      </c>
      <c r="C88" s="97" t="str">
        <f>IFERROR(__xludf.DUMMYFUNCTION("""COMPUTED_VALUE"""),"APLIQUE ODELL IV NIQUEL SATINADO LEUK")</f>
        <v>APLIQUE ODELL IV NIQUEL SATINADO LEUK</v>
      </c>
      <c r="D88" s="97">
        <f>IFERROR(__xludf.DUMMYFUNCTION("""COMPUTED_VALUE"""),7.798328753397E12)</f>
        <v>7798328753397</v>
      </c>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t="str">
        <f>IFERROR(__xludf.DUMMYFUNCTION("""COMPUTED_VALUE"""),"IP20")</f>
        <v>IP20</v>
      </c>
      <c r="AE88" s="97"/>
      <c r="AF88" s="97" t="str">
        <f>IFERROR(__xludf.DUMMYFUNCTION("""COMPUTED_VALUE"""),"Aplicar")</f>
        <v>Aplicar</v>
      </c>
      <c r="AG88" s="97"/>
      <c r="AH88" s="97"/>
      <c r="AI88" s="97"/>
      <c r="AJ88" s="97"/>
      <c r="AK88" s="97"/>
      <c r="AL88" s="97"/>
      <c r="AM88" s="97"/>
      <c r="AN88" s="97"/>
      <c r="AO88" s="97" t="str">
        <f>IFERROR(__xludf.DUMMYFUNCTION("""COMPUTED_VALUE"""),"1 Año")</f>
        <v>1 Año</v>
      </c>
      <c r="AP88" s="97"/>
      <c r="AQ88" s="97"/>
      <c r="AR88" s="97"/>
      <c r="AS88" s="97"/>
      <c r="AT88" s="97"/>
      <c r="AU88" s="97"/>
      <c r="AV88" s="97" t="str">
        <f>IFERROR(__xludf.DUMMYFUNCTION("""COMPUTED_VALUE"""),"Aplique")</f>
        <v>Aplique</v>
      </c>
      <c r="AW88" s="97" t="str">
        <f>IFERROR(__xludf.DUMMYFUNCTION("""COMPUTED_VALUE"""),"De Techo")</f>
        <v>De Techo</v>
      </c>
      <c r="AX88" s="97" t="str">
        <f>IFERROR(__xludf.DUMMYFUNCTION("""COMPUTED_VALUE"""),"Interior")</f>
        <v>Interior</v>
      </c>
      <c r="AY88" s="97"/>
      <c r="AZ88" s="97"/>
      <c r="BA88" s="97"/>
      <c r="BB88" s="97"/>
      <c r="BC88" s="97"/>
      <c r="BD88" s="97" t="str">
        <f>IFERROR(__xludf.DUMMYFUNCTION("""COMPUTED_VALUE"""),"ODELL")</f>
        <v>ODELL</v>
      </c>
      <c r="BE88" s="97" t="str">
        <f>IFERROR(__xludf.DUMMYFUNCTION("""COMPUTED_VALUE"""),"Sin Ficha")</f>
        <v>Sin Ficha</v>
      </c>
      <c r="BF88" s="97"/>
      <c r="BG88" s="97" t="str">
        <f>IFERROR(__xludf.DUMMYFUNCTION("""COMPUTED_VALUE"""),"Discontinuo")</f>
        <v>Discontinuo</v>
      </c>
    </row>
    <row r="89">
      <c r="A89" s="97">
        <f>IFERROR(__xludf.DUMMYFUNCTION("""COMPUTED_VALUE"""),3454.0)</f>
        <v>3454</v>
      </c>
      <c r="B89" s="97" t="str">
        <f>IFERROR(__xludf.DUMMYFUNCTION("""COMPUTED_VALUE"""),"DESA I NI")</f>
        <v>DESA I NI</v>
      </c>
      <c r="C89" s="97" t="str">
        <f>IFERROR(__xludf.DUMMYFUNCTION("""COMPUTED_VALUE"""),"APLIQUE DESA I NIQUEL LEUK")</f>
        <v>APLIQUE DESA I NIQUEL LEUK</v>
      </c>
      <c r="D89" s="97">
        <f>IFERROR(__xludf.DUMMYFUNCTION("""COMPUTED_VALUE"""),7.798328753403E12)</f>
        <v>7798328753403</v>
      </c>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t="str">
        <f>IFERROR(__xludf.DUMMYFUNCTION("""COMPUTED_VALUE"""),"IP20")</f>
        <v>IP20</v>
      </c>
      <c r="AE89" s="97"/>
      <c r="AF89" s="97" t="str">
        <f>IFERROR(__xludf.DUMMYFUNCTION("""COMPUTED_VALUE"""),"Aplicar")</f>
        <v>Aplicar</v>
      </c>
      <c r="AG89" s="97"/>
      <c r="AH89" s="97"/>
      <c r="AI89" s="97"/>
      <c r="AJ89" s="97"/>
      <c r="AK89" s="97"/>
      <c r="AL89" s="97"/>
      <c r="AM89" s="97"/>
      <c r="AN89" s="97"/>
      <c r="AO89" s="97" t="str">
        <f>IFERROR(__xludf.DUMMYFUNCTION("""COMPUTED_VALUE"""),"1 Año")</f>
        <v>1 Año</v>
      </c>
      <c r="AP89" s="97"/>
      <c r="AQ89" s="97"/>
      <c r="AR89" s="97"/>
      <c r="AS89" s="97"/>
      <c r="AT89" s="97"/>
      <c r="AU89" s="97"/>
      <c r="AV89" s="97" t="str">
        <f>IFERROR(__xludf.DUMMYFUNCTION("""COMPUTED_VALUE"""),"Aplique")</f>
        <v>Aplique</v>
      </c>
      <c r="AW89" s="97" t="str">
        <f>IFERROR(__xludf.DUMMYFUNCTION("""COMPUTED_VALUE"""),"De Techo")</f>
        <v>De Techo</v>
      </c>
      <c r="AX89" s="97" t="str">
        <f>IFERROR(__xludf.DUMMYFUNCTION("""COMPUTED_VALUE"""),"Interior")</f>
        <v>Interior</v>
      </c>
      <c r="AY89" s="97"/>
      <c r="AZ89" s="97"/>
      <c r="BA89" s="97"/>
      <c r="BB89" s="97"/>
      <c r="BC89" s="97"/>
      <c r="BD89" s="97" t="str">
        <f>IFERROR(__xludf.DUMMYFUNCTION("""COMPUTED_VALUE"""),"DESA")</f>
        <v>DESA</v>
      </c>
      <c r="BE89" s="97" t="str">
        <f>IFERROR(__xludf.DUMMYFUNCTION("""COMPUTED_VALUE"""),"Sin Ficha")</f>
        <v>Sin Ficha</v>
      </c>
      <c r="BF89" s="97"/>
      <c r="BG89" s="97" t="str">
        <f>IFERROR(__xludf.DUMMYFUNCTION("""COMPUTED_VALUE"""),"Discontinuo")</f>
        <v>Discontinuo</v>
      </c>
    </row>
    <row r="90">
      <c r="A90" s="97">
        <f>IFERROR(__xludf.DUMMYFUNCTION("""COMPUTED_VALUE"""),3455.0)</f>
        <v>3455</v>
      </c>
      <c r="B90" s="97" t="str">
        <f>IFERROR(__xludf.DUMMYFUNCTION("""COMPUTED_VALUE"""),"DESA II NI")</f>
        <v>DESA II NI</v>
      </c>
      <c r="C90" s="97" t="str">
        <f>IFERROR(__xludf.DUMMYFUNCTION("""COMPUTED_VALUE"""),"APLIQUE DESA II NIQUEL LEUK")</f>
        <v>APLIQUE DESA II NIQUEL LEUK</v>
      </c>
      <c r="D90" s="97">
        <f>IFERROR(__xludf.DUMMYFUNCTION("""COMPUTED_VALUE"""),7.79832875341E12)</f>
        <v>7798328753410</v>
      </c>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t="str">
        <f>IFERROR(__xludf.DUMMYFUNCTION("""COMPUTED_VALUE"""),"IP20")</f>
        <v>IP20</v>
      </c>
      <c r="AE90" s="97"/>
      <c r="AF90" s="97" t="str">
        <f>IFERROR(__xludf.DUMMYFUNCTION("""COMPUTED_VALUE"""),"Aplicar")</f>
        <v>Aplicar</v>
      </c>
      <c r="AG90" s="97"/>
      <c r="AH90" s="97"/>
      <c r="AI90" s="97"/>
      <c r="AJ90" s="97"/>
      <c r="AK90" s="97"/>
      <c r="AL90" s="97"/>
      <c r="AM90" s="97"/>
      <c r="AN90" s="97"/>
      <c r="AO90" s="97" t="str">
        <f>IFERROR(__xludf.DUMMYFUNCTION("""COMPUTED_VALUE"""),"1 Año")</f>
        <v>1 Año</v>
      </c>
      <c r="AP90" s="97"/>
      <c r="AQ90" s="97"/>
      <c r="AR90" s="97"/>
      <c r="AS90" s="97"/>
      <c r="AT90" s="97"/>
      <c r="AU90" s="97"/>
      <c r="AV90" s="97" t="str">
        <f>IFERROR(__xludf.DUMMYFUNCTION("""COMPUTED_VALUE"""),"Aplique")</f>
        <v>Aplique</v>
      </c>
      <c r="AW90" s="97" t="str">
        <f>IFERROR(__xludf.DUMMYFUNCTION("""COMPUTED_VALUE"""),"De Techo")</f>
        <v>De Techo</v>
      </c>
      <c r="AX90" s="97" t="str">
        <f>IFERROR(__xludf.DUMMYFUNCTION("""COMPUTED_VALUE"""),"Interior")</f>
        <v>Interior</v>
      </c>
      <c r="AY90" s="97"/>
      <c r="AZ90" s="97"/>
      <c r="BA90" s="97"/>
      <c r="BB90" s="97"/>
      <c r="BC90" s="97"/>
      <c r="BD90" s="97" t="str">
        <f>IFERROR(__xludf.DUMMYFUNCTION("""COMPUTED_VALUE"""),"DESA")</f>
        <v>DESA</v>
      </c>
      <c r="BE90" s="97" t="str">
        <f>IFERROR(__xludf.DUMMYFUNCTION("""COMPUTED_VALUE"""),"Sin Ficha")</f>
        <v>Sin Ficha</v>
      </c>
      <c r="BF90" s="97"/>
      <c r="BG90" s="97" t="str">
        <f>IFERROR(__xludf.DUMMYFUNCTION("""COMPUTED_VALUE"""),"Discontinuo")</f>
        <v>Discontinuo</v>
      </c>
    </row>
    <row r="91">
      <c r="A91" s="97">
        <f>IFERROR(__xludf.DUMMYFUNCTION("""COMPUTED_VALUE"""),3456.0)</f>
        <v>3456</v>
      </c>
      <c r="B91" s="97" t="str">
        <f>IFERROR(__xludf.DUMMYFUNCTION("""COMPUTED_VALUE"""),"DESA IV NI")</f>
        <v>DESA IV NI</v>
      </c>
      <c r="C91" s="97" t="str">
        <f>IFERROR(__xludf.DUMMYFUNCTION("""COMPUTED_VALUE"""),"APLIQUE DESA IV NIQUEL LEUK")</f>
        <v>APLIQUE DESA IV NIQUEL LEUK</v>
      </c>
      <c r="D91" s="97">
        <f>IFERROR(__xludf.DUMMYFUNCTION("""COMPUTED_VALUE"""),7.798328753427E12)</f>
        <v>7798328753427</v>
      </c>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t="str">
        <f>IFERROR(__xludf.DUMMYFUNCTION("""COMPUTED_VALUE"""),"IP20")</f>
        <v>IP20</v>
      </c>
      <c r="AE91" s="97"/>
      <c r="AF91" s="97" t="str">
        <f>IFERROR(__xludf.DUMMYFUNCTION("""COMPUTED_VALUE"""),"Aplicar")</f>
        <v>Aplicar</v>
      </c>
      <c r="AG91" s="97"/>
      <c r="AH91" s="97"/>
      <c r="AI91" s="97"/>
      <c r="AJ91" s="97"/>
      <c r="AK91" s="97"/>
      <c r="AL91" s="97"/>
      <c r="AM91" s="97"/>
      <c r="AN91" s="97"/>
      <c r="AO91" s="97" t="str">
        <f>IFERROR(__xludf.DUMMYFUNCTION("""COMPUTED_VALUE"""),"1 Año")</f>
        <v>1 Año</v>
      </c>
      <c r="AP91" s="97"/>
      <c r="AQ91" s="97"/>
      <c r="AR91" s="97"/>
      <c r="AS91" s="97"/>
      <c r="AT91" s="97"/>
      <c r="AU91" s="97"/>
      <c r="AV91" s="97" t="str">
        <f>IFERROR(__xludf.DUMMYFUNCTION("""COMPUTED_VALUE"""),"Aplique")</f>
        <v>Aplique</v>
      </c>
      <c r="AW91" s="97" t="str">
        <f>IFERROR(__xludf.DUMMYFUNCTION("""COMPUTED_VALUE"""),"De Techo")</f>
        <v>De Techo</v>
      </c>
      <c r="AX91" s="97" t="str">
        <f>IFERROR(__xludf.DUMMYFUNCTION("""COMPUTED_VALUE"""),"Interior")</f>
        <v>Interior</v>
      </c>
      <c r="AY91" s="97"/>
      <c r="AZ91" s="97"/>
      <c r="BA91" s="97"/>
      <c r="BB91" s="97"/>
      <c r="BC91" s="97"/>
      <c r="BD91" s="97" t="str">
        <f>IFERROR(__xludf.DUMMYFUNCTION("""COMPUTED_VALUE"""),"DESA")</f>
        <v>DESA</v>
      </c>
      <c r="BE91" s="97" t="str">
        <f>IFERROR(__xludf.DUMMYFUNCTION("""COMPUTED_VALUE"""),"Sin Ficha")</f>
        <v>Sin Ficha</v>
      </c>
      <c r="BF91" s="97"/>
      <c r="BG91" s="97" t="str">
        <f>IFERROR(__xludf.DUMMYFUNCTION("""COMPUTED_VALUE"""),"Discontinuo")</f>
        <v>Discontinuo</v>
      </c>
    </row>
    <row r="92">
      <c r="A92" s="97">
        <f>IFERROR(__xludf.DUMMYFUNCTION("""COMPUTED_VALUE"""),3457.0)</f>
        <v>3457</v>
      </c>
      <c r="B92" s="97" t="str">
        <f>IFERROR(__xludf.DUMMYFUNCTION("""COMPUTED_VALUE"""),"FINN I CU")</f>
        <v>FINN I CU</v>
      </c>
      <c r="C92" s="97" t="str">
        <f>IFERROR(__xludf.DUMMYFUNCTION("""COMPUTED_VALUE"""),"APLIQUE FINN I COBRE LEUK")</f>
        <v>APLIQUE FINN I COBRE LEUK</v>
      </c>
      <c r="D92" s="97">
        <f>IFERROR(__xludf.DUMMYFUNCTION("""COMPUTED_VALUE"""),7.798328753434E12)</f>
        <v>7798328753434</v>
      </c>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t="str">
        <f>IFERROR(__xludf.DUMMYFUNCTION("""COMPUTED_VALUE"""),"Aplicar")</f>
        <v>Aplicar</v>
      </c>
      <c r="AG92" s="97"/>
      <c r="AH92" s="97"/>
      <c r="AI92" s="97"/>
      <c r="AJ92" s="97"/>
      <c r="AK92" s="97"/>
      <c r="AL92" s="97"/>
      <c r="AM92" s="97"/>
      <c r="AN92" s="97"/>
      <c r="AO92" s="97" t="str">
        <f>IFERROR(__xludf.DUMMYFUNCTION("""COMPUTED_VALUE"""),"1 Año")</f>
        <v>1 Año</v>
      </c>
      <c r="AP92" s="97"/>
      <c r="AQ92" s="97"/>
      <c r="AR92" s="97"/>
      <c r="AS92" s="97"/>
      <c r="AT92" s="97"/>
      <c r="AU92" s="97"/>
      <c r="AV92" s="97" t="str">
        <f>IFERROR(__xludf.DUMMYFUNCTION("""COMPUTED_VALUE"""),"Aplique")</f>
        <v>Aplique</v>
      </c>
      <c r="AW92" s="97" t="str">
        <f>IFERROR(__xludf.DUMMYFUNCTION("""COMPUTED_VALUE"""),"De Techo")</f>
        <v>De Techo</v>
      </c>
      <c r="AX92" s="97" t="str">
        <f>IFERROR(__xludf.DUMMYFUNCTION("""COMPUTED_VALUE"""),"Interior")</f>
        <v>Interior</v>
      </c>
      <c r="AY92" s="97"/>
      <c r="AZ92" s="97"/>
      <c r="BA92" s="97"/>
      <c r="BB92" s="97"/>
      <c r="BC92" s="97"/>
      <c r="BD92" s="97" t="str">
        <f>IFERROR(__xludf.DUMMYFUNCTION("""COMPUTED_VALUE"""),"FINN")</f>
        <v>FINN</v>
      </c>
      <c r="BE92" s="97" t="str">
        <f>IFERROR(__xludf.DUMMYFUNCTION("""COMPUTED_VALUE"""),"Sin Ficha")</f>
        <v>Sin Ficha</v>
      </c>
      <c r="BF92" s="97"/>
      <c r="BG92" s="97" t="str">
        <f>IFERROR(__xludf.DUMMYFUNCTION("""COMPUTED_VALUE"""),"Discontinuo")</f>
        <v>Discontinuo</v>
      </c>
    </row>
    <row r="93">
      <c r="A93" s="97">
        <f>IFERROR(__xludf.DUMMYFUNCTION("""COMPUTED_VALUE"""),3458.0)</f>
        <v>3458</v>
      </c>
      <c r="B93" s="97" t="str">
        <f>IFERROR(__xludf.DUMMYFUNCTION("""COMPUTED_VALUE"""),"FINN II CU")</f>
        <v>FINN II CU</v>
      </c>
      <c r="C93" s="97" t="str">
        <f>IFERROR(__xludf.DUMMYFUNCTION("""COMPUTED_VALUE"""),"APLIQUE FINN II COBRE LEUK")</f>
        <v>APLIQUE FINN II COBRE LEUK</v>
      </c>
      <c r="D93" s="97">
        <f>IFERROR(__xludf.DUMMYFUNCTION("""COMPUTED_VALUE"""),7.798328753441E12)</f>
        <v>7798328753441</v>
      </c>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t="str">
        <f>IFERROR(__xludf.DUMMYFUNCTION("""COMPUTED_VALUE"""),"Aplicar")</f>
        <v>Aplicar</v>
      </c>
      <c r="AG93" s="97"/>
      <c r="AH93" s="97"/>
      <c r="AI93" s="97"/>
      <c r="AJ93" s="97"/>
      <c r="AK93" s="97"/>
      <c r="AL93" s="97"/>
      <c r="AM93" s="97"/>
      <c r="AN93" s="97"/>
      <c r="AO93" s="97" t="str">
        <f>IFERROR(__xludf.DUMMYFUNCTION("""COMPUTED_VALUE"""),"1 Año")</f>
        <v>1 Año</v>
      </c>
      <c r="AP93" s="97"/>
      <c r="AQ93" s="97"/>
      <c r="AR93" s="97"/>
      <c r="AS93" s="97"/>
      <c r="AT93" s="97"/>
      <c r="AU93" s="97"/>
      <c r="AV93" s="97" t="str">
        <f>IFERROR(__xludf.DUMMYFUNCTION("""COMPUTED_VALUE"""),"Aplique")</f>
        <v>Aplique</v>
      </c>
      <c r="AW93" s="97" t="str">
        <f>IFERROR(__xludf.DUMMYFUNCTION("""COMPUTED_VALUE"""),"De Techo")</f>
        <v>De Techo</v>
      </c>
      <c r="AX93" s="97" t="str">
        <f>IFERROR(__xludf.DUMMYFUNCTION("""COMPUTED_VALUE"""),"Interior")</f>
        <v>Interior</v>
      </c>
      <c r="AY93" s="97"/>
      <c r="AZ93" s="97"/>
      <c r="BA93" s="97"/>
      <c r="BB93" s="97"/>
      <c r="BC93" s="97"/>
      <c r="BD93" s="97" t="str">
        <f>IFERROR(__xludf.DUMMYFUNCTION("""COMPUTED_VALUE"""),"FINN")</f>
        <v>FINN</v>
      </c>
      <c r="BE93" s="97" t="str">
        <f>IFERROR(__xludf.DUMMYFUNCTION("""COMPUTED_VALUE"""),"Sin Ficha")</f>
        <v>Sin Ficha</v>
      </c>
      <c r="BF93" s="97"/>
      <c r="BG93" s="97" t="str">
        <f>IFERROR(__xludf.DUMMYFUNCTION("""COMPUTED_VALUE"""),"Discontinuo")</f>
        <v>Discontinuo</v>
      </c>
    </row>
    <row r="94">
      <c r="A94" s="97">
        <f>IFERROR(__xludf.DUMMYFUNCTION("""COMPUTED_VALUE"""),3459.0)</f>
        <v>3459</v>
      </c>
      <c r="B94" s="97" t="str">
        <f>IFERROR(__xludf.DUMMYFUNCTION("""COMPUTED_VALUE"""),"FINN III CU")</f>
        <v>FINN III CU</v>
      </c>
      <c r="C94" s="97" t="str">
        <f>IFERROR(__xludf.DUMMYFUNCTION("""COMPUTED_VALUE"""),"APLIQUE FINN III COBRE LEUK")</f>
        <v>APLIQUE FINN III COBRE LEUK</v>
      </c>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t="str">
        <f>IFERROR(__xludf.DUMMYFUNCTION("""COMPUTED_VALUE"""),"Aplicar")</f>
        <v>Aplicar</v>
      </c>
      <c r="AG94" s="97"/>
      <c r="AH94" s="97"/>
      <c r="AI94" s="97"/>
      <c r="AJ94" s="97"/>
      <c r="AK94" s="97"/>
      <c r="AL94" s="97"/>
      <c r="AM94" s="97"/>
      <c r="AN94" s="97"/>
      <c r="AO94" s="97" t="str">
        <f>IFERROR(__xludf.DUMMYFUNCTION("""COMPUTED_VALUE"""),"1 Año")</f>
        <v>1 Año</v>
      </c>
      <c r="AP94" s="97"/>
      <c r="AQ94" s="97"/>
      <c r="AR94" s="97"/>
      <c r="AS94" s="97"/>
      <c r="AT94" s="97"/>
      <c r="AU94" s="97"/>
      <c r="AV94" s="97" t="str">
        <f>IFERROR(__xludf.DUMMYFUNCTION("""COMPUTED_VALUE"""),"Aplique")</f>
        <v>Aplique</v>
      </c>
      <c r="AW94" s="97" t="str">
        <f>IFERROR(__xludf.DUMMYFUNCTION("""COMPUTED_VALUE"""),"De Techo")</f>
        <v>De Techo</v>
      </c>
      <c r="AX94" s="97" t="str">
        <f>IFERROR(__xludf.DUMMYFUNCTION("""COMPUTED_VALUE"""),"Interior")</f>
        <v>Interior</v>
      </c>
      <c r="AY94" s="97"/>
      <c r="AZ94" s="97"/>
      <c r="BA94" s="97"/>
      <c r="BB94" s="97"/>
      <c r="BC94" s="97"/>
      <c r="BD94" s="97" t="str">
        <f>IFERROR(__xludf.DUMMYFUNCTION("""COMPUTED_VALUE"""),"FINN")</f>
        <v>FINN</v>
      </c>
      <c r="BE94" s="97" t="str">
        <f>IFERROR(__xludf.DUMMYFUNCTION("""COMPUTED_VALUE"""),"Sin Ficha")</f>
        <v>Sin Ficha</v>
      </c>
      <c r="BF94" s="97"/>
      <c r="BG94" s="97" t="str">
        <f>IFERROR(__xludf.DUMMYFUNCTION("""COMPUTED_VALUE"""),"Discontinuo")</f>
        <v>Discontinuo</v>
      </c>
    </row>
    <row r="95">
      <c r="A95" s="97">
        <f>IFERROR(__xludf.DUMMYFUNCTION("""COMPUTED_VALUE"""),3460.0)</f>
        <v>3460</v>
      </c>
      <c r="B95" s="97" t="str">
        <f>IFERROR(__xludf.DUMMYFUNCTION("""COMPUTED_VALUE"""),"FINN IV CU")</f>
        <v>FINN IV CU</v>
      </c>
      <c r="C95" s="97" t="str">
        <f>IFERROR(__xludf.DUMMYFUNCTION("""COMPUTED_VALUE"""),"APLIQUE FINN IV COBRE LEUK")</f>
        <v>APLIQUE FINN IV COBRE LEUK</v>
      </c>
      <c r="D95" s="97">
        <f>IFERROR(__xludf.DUMMYFUNCTION("""COMPUTED_VALUE"""),7.798328753458E12)</f>
        <v>7798328753458</v>
      </c>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t="str">
        <f>IFERROR(__xludf.DUMMYFUNCTION("""COMPUTED_VALUE"""),"Aplicar")</f>
        <v>Aplicar</v>
      </c>
      <c r="AG95" s="97"/>
      <c r="AH95" s="97"/>
      <c r="AI95" s="97"/>
      <c r="AJ95" s="97"/>
      <c r="AK95" s="97"/>
      <c r="AL95" s="97"/>
      <c r="AM95" s="97"/>
      <c r="AN95" s="97"/>
      <c r="AO95" s="97" t="str">
        <f>IFERROR(__xludf.DUMMYFUNCTION("""COMPUTED_VALUE"""),"1 Año")</f>
        <v>1 Año</v>
      </c>
      <c r="AP95" s="97"/>
      <c r="AQ95" s="97"/>
      <c r="AR95" s="97"/>
      <c r="AS95" s="97"/>
      <c r="AT95" s="97"/>
      <c r="AU95" s="97"/>
      <c r="AV95" s="97" t="str">
        <f>IFERROR(__xludf.DUMMYFUNCTION("""COMPUTED_VALUE"""),"Aplique")</f>
        <v>Aplique</v>
      </c>
      <c r="AW95" s="97" t="str">
        <f>IFERROR(__xludf.DUMMYFUNCTION("""COMPUTED_VALUE"""),"De Techo")</f>
        <v>De Techo</v>
      </c>
      <c r="AX95" s="97" t="str">
        <f>IFERROR(__xludf.DUMMYFUNCTION("""COMPUTED_VALUE"""),"Interior")</f>
        <v>Interior</v>
      </c>
      <c r="AY95" s="97"/>
      <c r="AZ95" s="97"/>
      <c r="BA95" s="97"/>
      <c r="BB95" s="97"/>
      <c r="BC95" s="97"/>
      <c r="BD95" s="97" t="str">
        <f>IFERROR(__xludf.DUMMYFUNCTION("""COMPUTED_VALUE"""),"FINN")</f>
        <v>FINN</v>
      </c>
      <c r="BE95" s="97" t="str">
        <f>IFERROR(__xludf.DUMMYFUNCTION("""COMPUTED_VALUE"""),"Sin Ficha")</f>
        <v>Sin Ficha</v>
      </c>
      <c r="BF95" s="97"/>
      <c r="BG95" s="97" t="str">
        <f>IFERROR(__xludf.DUMMYFUNCTION("""COMPUTED_VALUE"""),"Discontinuo")</f>
        <v>Discontinuo</v>
      </c>
    </row>
    <row r="96">
      <c r="A96" s="97">
        <f>IFERROR(__xludf.DUMMYFUNCTION("""COMPUTED_VALUE"""),3461.0)</f>
        <v>3461</v>
      </c>
      <c r="B96" s="97" t="str">
        <f>IFERROR(__xludf.DUMMYFUNCTION("""COMPUTED_VALUE"""),"ASYMI I NI")</f>
        <v>ASYMI I NI</v>
      </c>
      <c r="C96" s="97" t="str">
        <f>IFERROR(__xludf.DUMMYFUNCTION("""COMPUTED_VALUE"""),"APLIQUE ASYMI I NIQUEL LEUK")</f>
        <v>APLIQUE ASYMI I NIQUEL LEUK</v>
      </c>
      <c r="D96" s="97">
        <f>IFERROR(__xludf.DUMMYFUNCTION("""COMPUTED_VALUE"""),7.798328753465E12)</f>
        <v>7798328753465</v>
      </c>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t="str">
        <f>IFERROR(__xludf.DUMMYFUNCTION("""COMPUTED_VALUE"""),"IP20")</f>
        <v>IP20</v>
      </c>
      <c r="AE96" s="97"/>
      <c r="AF96" s="97" t="str">
        <f>IFERROR(__xludf.DUMMYFUNCTION("""COMPUTED_VALUE"""),"Aplicar")</f>
        <v>Aplicar</v>
      </c>
      <c r="AG96" s="97"/>
      <c r="AH96" s="97"/>
      <c r="AI96" s="97"/>
      <c r="AJ96" s="97"/>
      <c r="AK96" s="97"/>
      <c r="AL96" s="97"/>
      <c r="AM96" s="97"/>
      <c r="AN96" s="97"/>
      <c r="AO96" s="97" t="str">
        <f>IFERROR(__xludf.DUMMYFUNCTION("""COMPUTED_VALUE"""),"1 Año")</f>
        <v>1 Año</v>
      </c>
      <c r="AP96" s="97"/>
      <c r="AQ96" s="97"/>
      <c r="AR96" s="97"/>
      <c r="AS96" s="97"/>
      <c r="AT96" s="97"/>
      <c r="AU96" s="97"/>
      <c r="AV96" s="97" t="str">
        <f>IFERROR(__xludf.DUMMYFUNCTION("""COMPUTED_VALUE"""),"Aplique")</f>
        <v>Aplique</v>
      </c>
      <c r="AW96" s="97" t="str">
        <f>IFERROR(__xludf.DUMMYFUNCTION("""COMPUTED_VALUE"""),"De Techo")</f>
        <v>De Techo</v>
      </c>
      <c r="AX96" s="97" t="str">
        <f>IFERROR(__xludf.DUMMYFUNCTION("""COMPUTED_VALUE"""),"Interior")</f>
        <v>Interior</v>
      </c>
      <c r="AY96" s="97"/>
      <c r="AZ96" s="97"/>
      <c r="BA96" s="97"/>
      <c r="BB96" s="97"/>
      <c r="BC96" s="97"/>
      <c r="BD96" s="97" t="str">
        <f>IFERROR(__xludf.DUMMYFUNCTION("""COMPUTED_VALUE"""),"ASYMI")</f>
        <v>ASYMI</v>
      </c>
      <c r="BE96" s="97" t="str">
        <f>IFERROR(__xludf.DUMMYFUNCTION("""COMPUTED_VALUE"""),"Sin Ficha")</f>
        <v>Sin Ficha</v>
      </c>
      <c r="BF96" s="97"/>
      <c r="BG96" s="97" t="str">
        <f>IFERROR(__xludf.DUMMYFUNCTION("""COMPUTED_VALUE"""),"Discontinuo")</f>
        <v>Discontinuo</v>
      </c>
    </row>
    <row r="97">
      <c r="A97" s="97">
        <f>IFERROR(__xludf.DUMMYFUNCTION("""COMPUTED_VALUE"""),3462.0)</f>
        <v>3462</v>
      </c>
      <c r="B97" s="97" t="str">
        <f>IFERROR(__xludf.DUMMYFUNCTION("""COMPUTED_VALUE"""),"ASYMI II NI")</f>
        <v>ASYMI II NI</v>
      </c>
      <c r="C97" s="97" t="str">
        <f>IFERROR(__xludf.DUMMYFUNCTION("""COMPUTED_VALUE"""),"APLIQUE ASYMI II NIQUEL LEUK")</f>
        <v>APLIQUE ASYMI II NIQUEL LEUK</v>
      </c>
      <c r="D97" s="97">
        <f>IFERROR(__xludf.DUMMYFUNCTION("""COMPUTED_VALUE"""),7.798328753472E12)</f>
        <v>7798328753472</v>
      </c>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t="str">
        <f>IFERROR(__xludf.DUMMYFUNCTION("""COMPUTED_VALUE"""),"IP20")</f>
        <v>IP20</v>
      </c>
      <c r="AE97" s="97"/>
      <c r="AF97" s="97" t="str">
        <f>IFERROR(__xludf.DUMMYFUNCTION("""COMPUTED_VALUE"""),"Aplicar")</f>
        <v>Aplicar</v>
      </c>
      <c r="AG97" s="97"/>
      <c r="AH97" s="97"/>
      <c r="AI97" s="97"/>
      <c r="AJ97" s="97"/>
      <c r="AK97" s="97"/>
      <c r="AL97" s="97"/>
      <c r="AM97" s="97"/>
      <c r="AN97" s="97"/>
      <c r="AO97" s="97" t="str">
        <f>IFERROR(__xludf.DUMMYFUNCTION("""COMPUTED_VALUE"""),"1 Año")</f>
        <v>1 Año</v>
      </c>
      <c r="AP97" s="97"/>
      <c r="AQ97" s="97"/>
      <c r="AR97" s="97"/>
      <c r="AS97" s="97"/>
      <c r="AT97" s="97"/>
      <c r="AU97" s="97"/>
      <c r="AV97" s="97" t="str">
        <f>IFERROR(__xludf.DUMMYFUNCTION("""COMPUTED_VALUE"""),"Aplique")</f>
        <v>Aplique</v>
      </c>
      <c r="AW97" s="97" t="str">
        <f>IFERROR(__xludf.DUMMYFUNCTION("""COMPUTED_VALUE"""),"De Techo")</f>
        <v>De Techo</v>
      </c>
      <c r="AX97" s="97" t="str">
        <f>IFERROR(__xludf.DUMMYFUNCTION("""COMPUTED_VALUE"""),"Interior")</f>
        <v>Interior</v>
      </c>
      <c r="AY97" s="97"/>
      <c r="AZ97" s="97"/>
      <c r="BA97" s="97"/>
      <c r="BB97" s="97"/>
      <c r="BC97" s="97"/>
      <c r="BD97" s="97" t="str">
        <f>IFERROR(__xludf.DUMMYFUNCTION("""COMPUTED_VALUE"""),"ASYMI")</f>
        <v>ASYMI</v>
      </c>
      <c r="BE97" s="97" t="str">
        <f>IFERROR(__xludf.DUMMYFUNCTION("""COMPUTED_VALUE"""),"Sin Ficha")</f>
        <v>Sin Ficha</v>
      </c>
      <c r="BF97" s="97"/>
      <c r="BG97" s="97" t="str">
        <f>IFERROR(__xludf.DUMMYFUNCTION("""COMPUTED_VALUE"""),"Discontinuo")</f>
        <v>Discontinuo</v>
      </c>
    </row>
    <row r="98">
      <c r="A98" s="97">
        <f>IFERROR(__xludf.DUMMYFUNCTION("""COMPUTED_VALUE"""),3463.0)</f>
        <v>3463</v>
      </c>
      <c r="B98" s="97" t="str">
        <f>IFERROR(__xludf.DUMMYFUNCTION("""COMPUTED_VALUE"""),"ASYMI III NI")</f>
        <v>ASYMI III NI</v>
      </c>
      <c r="C98" s="97" t="str">
        <f>IFERROR(__xludf.DUMMYFUNCTION("""COMPUTED_VALUE"""),"APLIQUE ASYMI III NIQUEL LEUK")</f>
        <v>APLIQUE ASYMI III NIQUEL LEUK</v>
      </c>
      <c r="D98" s="97">
        <f>IFERROR(__xludf.DUMMYFUNCTION("""COMPUTED_VALUE"""),7.798328753489E12)</f>
        <v>7798328753489</v>
      </c>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t="str">
        <f>IFERROR(__xludf.DUMMYFUNCTION("""COMPUTED_VALUE"""),"IP20")</f>
        <v>IP20</v>
      </c>
      <c r="AE98" s="97"/>
      <c r="AF98" s="97" t="str">
        <f>IFERROR(__xludf.DUMMYFUNCTION("""COMPUTED_VALUE"""),"Aplicar")</f>
        <v>Aplicar</v>
      </c>
      <c r="AG98" s="97"/>
      <c r="AH98" s="97"/>
      <c r="AI98" s="97"/>
      <c r="AJ98" s="97"/>
      <c r="AK98" s="97"/>
      <c r="AL98" s="97"/>
      <c r="AM98" s="97"/>
      <c r="AN98" s="97"/>
      <c r="AO98" s="97" t="str">
        <f>IFERROR(__xludf.DUMMYFUNCTION("""COMPUTED_VALUE"""),"1 Año")</f>
        <v>1 Año</v>
      </c>
      <c r="AP98" s="97"/>
      <c r="AQ98" s="97"/>
      <c r="AR98" s="97"/>
      <c r="AS98" s="97"/>
      <c r="AT98" s="97"/>
      <c r="AU98" s="97"/>
      <c r="AV98" s="97" t="str">
        <f>IFERROR(__xludf.DUMMYFUNCTION("""COMPUTED_VALUE"""),"Aplique")</f>
        <v>Aplique</v>
      </c>
      <c r="AW98" s="97" t="str">
        <f>IFERROR(__xludf.DUMMYFUNCTION("""COMPUTED_VALUE"""),"De Techo")</f>
        <v>De Techo</v>
      </c>
      <c r="AX98" s="97" t="str">
        <f>IFERROR(__xludf.DUMMYFUNCTION("""COMPUTED_VALUE"""),"Interior")</f>
        <v>Interior</v>
      </c>
      <c r="AY98" s="97"/>
      <c r="AZ98" s="97"/>
      <c r="BA98" s="97"/>
      <c r="BB98" s="97"/>
      <c r="BC98" s="97"/>
      <c r="BD98" s="97" t="str">
        <f>IFERROR(__xludf.DUMMYFUNCTION("""COMPUTED_VALUE"""),"ASYMI")</f>
        <v>ASYMI</v>
      </c>
      <c r="BE98" s="97" t="str">
        <f>IFERROR(__xludf.DUMMYFUNCTION("""COMPUTED_VALUE"""),"Sin Ficha")</f>
        <v>Sin Ficha</v>
      </c>
      <c r="BF98" s="97"/>
      <c r="BG98" s="97" t="str">
        <f>IFERROR(__xludf.DUMMYFUNCTION("""COMPUTED_VALUE"""),"Discontinuo")</f>
        <v>Discontinuo</v>
      </c>
    </row>
    <row r="99">
      <c r="A99" s="97">
        <f>IFERROR(__xludf.DUMMYFUNCTION("""COMPUTED_VALUE"""),3464.0)</f>
        <v>3464</v>
      </c>
      <c r="B99" s="97" t="str">
        <f>IFERROR(__xludf.DUMMYFUNCTION("""COMPUTED_VALUE"""),"ASYMI IV NI")</f>
        <v>ASYMI IV NI</v>
      </c>
      <c r="C99" s="97" t="str">
        <f>IFERROR(__xludf.DUMMYFUNCTION("""COMPUTED_VALUE"""),"APLIQUE ASYMI IV NIQUEL LEUK")</f>
        <v>APLIQUE ASYMI IV NIQUEL LEUK</v>
      </c>
      <c r="D99" s="97">
        <f>IFERROR(__xludf.DUMMYFUNCTION("""COMPUTED_VALUE"""),7.798328753496E12)</f>
        <v>7798328753496</v>
      </c>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t="str">
        <f>IFERROR(__xludf.DUMMYFUNCTION("""COMPUTED_VALUE"""),"IP20")</f>
        <v>IP20</v>
      </c>
      <c r="AE99" s="97"/>
      <c r="AF99" s="97" t="str">
        <f>IFERROR(__xludf.DUMMYFUNCTION("""COMPUTED_VALUE"""),"Aplicar")</f>
        <v>Aplicar</v>
      </c>
      <c r="AG99" s="97"/>
      <c r="AH99" s="97"/>
      <c r="AI99" s="97"/>
      <c r="AJ99" s="97"/>
      <c r="AK99" s="97"/>
      <c r="AL99" s="97"/>
      <c r="AM99" s="97"/>
      <c r="AN99" s="97"/>
      <c r="AO99" s="97" t="str">
        <f>IFERROR(__xludf.DUMMYFUNCTION("""COMPUTED_VALUE"""),"1 Año")</f>
        <v>1 Año</v>
      </c>
      <c r="AP99" s="97"/>
      <c r="AQ99" s="97"/>
      <c r="AR99" s="97"/>
      <c r="AS99" s="97"/>
      <c r="AT99" s="97"/>
      <c r="AU99" s="97"/>
      <c r="AV99" s="97" t="str">
        <f>IFERROR(__xludf.DUMMYFUNCTION("""COMPUTED_VALUE"""),"Aplique")</f>
        <v>Aplique</v>
      </c>
      <c r="AW99" s="97" t="str">
        <f>IFERROR(__xludf.DUMMYFUNCTION("""COMPUTED_VALUE"""),"De Techo")</f>
        <v>De Techo</v>
      </c>
      <c r="AX99" s="97" t="str">
        <f>IFERROR(__xludf.DUMMYFUNCTION("""COMPUTED_VALUE"""),"Interior")</f>
        <v>Interior</v>
      </c>
      <c r="AY99" s="97"/>
      <c r="AZ99" s="97"/>
      <c r="BA99" s="97"/>
      <c r="BB99" s="97"/>
      <c r="BC99" s="97"/>
      <c r="BD99" s="97" t="str">
        <f>IFERROR(__xludf.DUMMYFUNCTION("""COMPUTED_VALUE"""),"ASYMI")</f>
        <v>ASYMI</v>
      </c>
      <c r="BE99" s="97" t="str">
        <f>IFERROR(__xludf.DUMMYFUNCTION("""COMPUTED_VALUE"""),"Sin Ficha")</f>
        <v>Sin Ficha</v>
      </c>
      <c r="BF99" s="97"/>
      <c r="BG99" s="97" t="str">
        <f>IFERROR(__xludf.DUMMYFUNCTION("""COMPUTED_VALUE"""),"Discontinuo")</f>
        <v>Discontinuo</v>
      </c>
    </row>
    <row r="100">
      <c r="A100" s="97">
        <f>IFERROR(__xludf.DUMMYFUNCTION("""COMPUTED_VALUE"""),3465.0)</f>
        <v>3465</v>
      </c>
      <c r="B100" s="97" t="str">
        <f>IFERROR(__xludf.DUMMYFUNCTION("""COMPUTED_VALUE"""),"AGNES I BL")</f>
        <v>AGNES I BL</v>
      </c>
      <c r="C100" s="97" t="str">
        <f>IFERROR(__xludf.DUMMYFUNCTION("""COMPUTED_VALUE"""),"APLIQUE AGNES I BLANCO LEUK")</f>
        <v>APLIQUE AGNES I BLANCO LEUK</v>
      </c>
      <c r="D100" s="97">
        <f>IFERROR(__xludf.DUMMYFUNCTION("""COMPUTED_VALUE"""),7.798328753502E12)</f>
        <v>7798328753502</v>
      </c>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t="str">
        <f>IFERROR(__xludf.DUMMYFUNCTION("""COMPUTED_VALUE"""),"IP20")</f>
        <v>IP20</v>
      </c>
      <c r="AE100" s="97"/>
      <c r="AF100" s="97" t="str">
        <f>IFERROR(__xludf.DUMMYFUNCTION("""COMPUTED_VALUE"""),"Aplicar")</f>
        <v>Aplicar</v>
      </c>
      <c r="AG100" s="97"/>
      <c r="AH100" s="97"/>
      <c r="AI100" s="97"/>
      <c r="AJ100" s="97"/>
      <c r="AK100" s="97"/>
      <c r="AL100" s="97"/>
      <c r="AM100" s="97"/>
      <c r="AN100" s="97"/>
      <c r="AO100" s="97" t="str">
        <f>IFERROR(__xludf.DUMMYFUNCTION("""COMPUTED_VALUE"""),"1 Año")</f>
        <v>1 Año</v>
      </c>
      <c r="AP100" s="97"/>
      <c r="AQ100" s="97"/>
      <c r="AR100" s="97"/>
      <c r="AS100" s="97"/>
      <c r="AT100" s="97"/>
      <c r="AU100" s="97"/>
      <c r="AV100" s="97" t="str">
        <f>IFERROR(__xludf.DUMMYFUNCTION("""COMPUTED_VALUE"""),"Aplique")</f>
        <v>Aplique</v>
      </c>
      <c r="AW100" s="97" t="str">
        <f>IFERROR(__xludf.DUMMYFUNCTION("""COMPUTED_VALUE"""),"De Techo")</f>
        <v>De Techo</v>
      </c>
      <c r="AX100" s="97" t="str">
        <f>IFERROR(__xludf.DUMMYFUNCTION("""COMPUTED_VALUE"""),"Interior")</f>
        <v>Interior</v>
      </c>
      <c r="AY100" s="97"/>
      <c r="AZ100" s="97"/>
      <c r="BA100" s="97"/>
      <c r="BB100" s="97"/>
      <c r="BC100" s="97"/>
      <c r="BD100" s="97" t="str">
        <f>IFERROR(__xludf.DUMMYFUNCTION("""COMPUTED_VALUE"""),"AGNES")</f>
        <v>AGNES</v>
      </c>
      <c r="BE100" s="97" t="str">
        <f>IFERROR(__xludf.DUMMYFUNCTION("""COMPUTED_VALUE"""),"Sin Ficha")</f>
        <v>Sin Ficha</v>
      </c>
      <c r="BF100" s="97"/>
      <c r="BG100" s="97" t="str">
        <f>IFERROR(__xludf.DUMMYFUNCTION("""COMPUTED_VALUE"""),"Discontinuo")</f>
        <v>Discontinuo</v>
      </c>
    </row>
    <row r="101">
      <c r="A101" s="97">
        <f>IFERROR(__xludf.DUMMYFUNCTION("""COMPUTED_VALUE"""),3466.0)</f>
        <v>3466</v>
      </c>
      <c r="B101" s="97" t="str">
        <f>IFERROR(__xludf.DUMMYFUNCTION("""COMPUTED_VALUE"""),"AGNES II BL")</f>
        <v>AGNES II BL</v>
      </c>
      <c r="C101" s="97" t="str">
        <f>IFERROR(__xludf.DUMMYFUNCTION("""COMPUTED_VALUE"""),"APLIQUE AGNES II BLANCO LEUK")</f>
        <v>APLIQUE AGNES II BLANCO LEUK</v>
      </c>
      <c r="D101" s="97">
        <f>IFERROR(__xludf.DUMMYFUNCTION("""COMPUTED_VALUE"""),7.798328753519E12)</f>
        <v>7798328753519</v>
      </c>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t="str">
        <f>IFERROR(__xludf.DUMMYFUNCTION("""COMPUTED_VALUE"""),"IP20")</f>
        <v>IP20</v>
      </c>
      <c r="AE101" s="97"/>
      <c r="AF101" s="97" t="str">
        <f>IFERROR(__xludf.DUMMYFUNCTION("""COMPUTED_VALUE"""),"Aplicar")</f>
        <v>Aplicar</v>
      </c>
      <c r="AG101" s="97"/>
      <c r="AH101" s="97"/>
      <c r="AI101" s="97"/>
      <c r="AJ101" s="97"/>
      <c r="AK101" s="97"/>
      <c r="AL101" s="97"/>
      <c r="AM101" s="97"/>
      <c r="AN101" s="97"/>
      <c r="AO101" s="97" t="str">
        <f>IFERROR(__xludf.DUMMYFUNCTION("""COMPUTED_VALUE"""),"1 Año")</f>
        <v>1 Año</v>
      </c>
      <c r="AP101" s="97"/>
      <c r="AQ101" s="97"/>
      <c r="AR101" s="97"/>
      <c r="AS101" s="97"/>
      <c r="AT101" s="97"/>
      <c r="AU101" s="97"/>
      <c r="AV101" s="97" t="str">
        <f>IFERROR(__xludf.DUMMYFUNCTION("""COMPUTED_VALUE"""),"Aplique")</f>
        <v>Aplique</v>
      </c>
      <c r="AW101" s="97" t="str">
        <f>IFERROR(__xludf.DUMMYFUNCTION("""COMPUTED_VALUE"""),"De Techo")</f>
        <v>De Techo</v>
      </c>
      <c r="AX101" s="97" t="str">
        <f>IFERROR(__xludf.DUMMYFUNCTION("""COMPUTED_VALUE"""),"Interior")</f>
        <v>Interior</v>
      </c>
      <c r="AY101" s="97"/>
      <c r="AZ101" s="97"/>
      <c r="BA101" s="97"/>
      <c r="BB101" s="97"/>
      <c r="BC101" s="97"/>
      <c r="BD101" s="97" t="str">
        <f>IFERROR(__xludf.DUMMYFUNCTION("""COMPUTED_VALUE"""),"AGNES")</f>
        <v>AGNES</v>
      </c>
      <c r="BE101" s="97" t="str">
        <f>IFERROR(__xludf.DUMMYFUNCTION("""COMPUTED_VALUE"""),"Sin Ficha")</f>
        <v>Sin Ficha</v>
      </c>
      <c r="BF101" s="97"/>
      <c r="BG101" s="97" t="str">
        <f>IFERROR(__xludf.DUMMYFUNCTION("""COMPUTED_VALUE"""),"Discontinuo")</f>
        <v>Discontinuo</v>
      </c>
    </row>
    <row r="102">
      <c r="A102" s="97">
        <f>IFERROR(__xludf.DUMMYFUNCTION("""COMPUTED_VALUE"""),3467.0)</f>
        <v>3467</v>
      </c>
      <c r="B102" s="97" t="str">
        <f>IFERROR(__xludf.DUMMYFUNCTION("""COMPUTED_VALUE"""),"AGNES III BL")</f>
        <v>AGNES III BL</v>
      </c>
      <c r="C102" s="97" t="str">
        <f>IFERROR(__xludf.DUMMYFUNCTION("""COMPUTED_VALUE"""),"APLIQUE AGNES III BLANCO LEUK")</f>
        <v>APLIQUE AGNES III BLANCO LEUK</v>
      </c>
      <c r="D102" s="97">
        <f>IFERROR(__xludf.DUMMYFUNCTION("""COMPUTED_VALUE"""),7.798328753526E12)</f>
        <v>7798328753526</v>
      </c>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t="str">
        <f>IFERROR(__xludf.DUMMYFUNCTION("""COMPUTED_VALUE"""),"IP20")</f>
        <v>IP20</v>
      </c>
      <c r="AE102" s="97"/>
      <c r="AF102" s="97" t="str">
        <f>IFERROR(__xludf.DUMMYFUNCTION("""COMPUTED_VALUE"""),"Aplicar")</f>
        <v>Aplicar</v>
      </c>
      <c r="AG102" s="97"/>
      <c r="AH102" s="97"/>
      <c r="AI102" s="97"/>
      <c r="AJ102" s="97"/>
      <c r="AK102" s="97"/>
      <c r="AL102" s="97"/>
      <c r="AM102" s="97"/>
      <c r="AN102" s="97"/>
      <c r="AO102" s="97" t="str">
        <f>IFERROR(__xludf.DUMMYFUNCTION("""COMPUTED_VALUE"""),"1 Año")</f>
        <v>1 Año</v>
      </c>
      <c r="AP102" s="97"/>
      <c r="AQ102" s="97"/>
      <c r="AR102" s="97"/>
      <c r="AS102" s="97"/>
      <c r="AT102" s="97"/>
      <c r="AU102" s="97"/>
      <c r="AV102" s="97" t="str">
        <f>IFERROR(__xludf.DUMMYFUNCTION("""COMPUTED_VALUE"""),"Aplique")</f>
        <v>Aplique</v>
      </c>
      <c r="AW102" s="97" t="str">
        <f>IFERROR(__xludf.DUMMYFUNCTION("""COMPUTED_VALUE"""),"De Techo")</f>
        <v>De Techo</v>
      </c>
      <c r="AX102" s="97" t="str">
        <f>IFERROR(__xludf.DUMMYFUNCTION("""COMPUTED_VALUE"""),"Interior")</f>
        <v>Interior</v>
      </c>
      <c r="AY102" s="97"/>
      <c r="AZ102" s="97"/>
      <c r="BA102" s="97"/>
      <c r="BB102" s="97"/>
      <c r="BC102" s="97"/>
      <c r="BD102" s="97" t="str">
        <f>IFERROR(__xludf.DUMMYFUNCTION("""COMPUTED_VALUE"""),"AGNES")</f>
        <v>AGNES</v>
      </c>
      <c r="BE102" s="97" t="str">
        <f>IFERROR(__xludf.DUMMYFUNCTION("""COMPUTED_VALUE"""),"Sin Ficha")</f>
        <v>Sin Ficha</v>
      </c>
      <c r="BF102" s="97"/>
      <c r="BG102" s="97" t="str">
        <f>IFERROR(__xludf.DUMMYFUNCTION("""COMPUTED_VALUE"""),"Discontinuo")</f>
        <v>Discontinuo</v>
      </c>
    </row>
    <row r="103">
      <c r="A103" s="97">
        <f>IFERROR(__xludf.DUMMYFUNCTION("""COMPUTED_VALUE"""),3468.0)</f>
        <v>3468</v>
      </c>
      <c r="B103" s="97" t="str">
        <f>IFERROR(__xludf.DUMMYFUNCTION("""COMPUTED_VALUE"""),"AGNES IV BL")</f>
        <v>AGNES IV BL</v>
      </c>
      <c r="C103" s="97" t="str">
        <f>IFERROR(__xludf.DUMMYFUNCTION("""COMPUTED_VALUE"""),"APLIQUE AGNES IV BLANCO LEUK")</f>
        <v>APLIQUE AGNES IV BLANCO LEUK</v>
      </c>
      <c r="D103" s="97">
        <f>IFERROR(__xludf.DUMMYFUNCTION("""COMPUTED_VALUE"""),7.798328753533E12)</f>
        <v>7798328753533</v>
      </c>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t="str">
        <f>IFERROR(__xludf.DUMMYFUNCTION("""COMPUTED_VALUE"""),"IP20")</f>
        <v>IP20</v>
      </c>
      <c r="AE103" s="97"/>
      <c r="AF103" s="97" t="str">
        <f>IFERROR(__xludf.DUMMYFUNCTION("""COMPUTED_VALUE"""),"Aplicar")</f>
        <v>Aplicar</v>
      </c>
      <c r="AG103" s="97"/>
      <c r="AH103" s="97"/>
      <c r="AI103" s="97"/>
      <c r="AJ103" s="97"/>
      <c r="AK103" s="97"/>
      <c r="AL103" s="97"/>
      <c r="AM103" s="97"/>
      <c r="AN103" s="97"/>
      <c r="AO103" s="97" t="str">
        <f>IFERROR(__xludf.DUMMYFUNCTION("""COMPUTED_VALUE"""),"1 Año")</f>
        <v>1 Año</v>
      </c>
      <c r="AP103" s="97"/>
      <c r="AQ103" s="97"/>
      <c r="AR103" s="97"/>
      <c r="AS103" s="97"/>
      <c r="AT103" s="97"/>
      <c r="AU103" s="97"/>
      <c r="AV103" s="97" t="str">
        <f>IFERROR(__xludf.DUMMYFUNCTION("""COMPUTED_VALUE"""),"Aplique")</f>
        <v>Aplique</v>
      </c>
      <c r="AW103" s="97" t="str">
        <f>IFERROR(__xludf.DUMMYFUNCTION("""COMPUTED_VALUE"""),"De Techo")</f>
        <v>De Techo</v>
      </c>
      <c r="AX103" s="97" t="str">
        <f>IFERROR(__xludf.DUMMYFUNCTION("""COMPUTED_VALUE"""),"Interior")</f>
        <v>Interior</v>
      </c>
      <c r="AY103" s="97"/>
      <c r="AZ103" s="97"/>
      <c r="BA103" s="97"/>
      <c r="BB103" s="97"/>
      <c r="BC103" s="97"/>
      <c r="BD103" s="97" t="str">
        <f>IFERROR(__xludf.DUMMYFUNCTION("""COMPUTED_VALUE"""),"AGNES")</f>
        <v>AGNES</v>
      </c>
      <c r="BE103" s="97" t="str">
        <f>IFERROR(__xludf.DUMMYFUNCTION("""COMPUTED_VALUE"""),"Sin Ficha")</f>
        <v>Sin Ficha</v>
      </c>
      <c r="BF103" s="97"/>
      <c r="BG103" s="97" t="str">
        <f>IFERROR(__xludf.DUMMYFUNCTION("""COMPUTED_VALUE"""),"Discontinuo")</f>
        <v>Discontinuo</v>
      </c>
    </row>
    <row r="104">
      <c r="A104" s="97">
        <f>IFERROR(__xludf.DUMMYFUNCTION("""COMPUTED_VALUE"""),3469.0)</f>
        <v>3469</v>
      </c>
      <c r="B104" s="97" t="str">
        <f>IFERROR(__xludf.DUMMYFUNCTION("""COMPUTED_VALUE"""),"RISTO I NG")</f>
        <v>RISTO I NG</v>
      </c>
      <c r="C104" s="97" t="str">
        <f>IFERROR(__xludf.DUMMYFUNCTION("""COMPUTED_VALUE"""),"APLIQUE RISTO I NEGRO LEUK")</f>
        <v>APLIQUE RISTO I NEGRO LEUK</v>
      </c>
      <c r="D104" s="97">
        <f>IFERROR(__xludf.DUMMYFUNCTION("""COMPUTED_VALUE"""),7.79832875354E12)</f>
        <v>7798328753540</v>
      </c>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t="str">
        <f>IFERROR(__xludf.DUMMYFUNCTION("""COMPUTED_VALUE"""),"IP20")</f>
        <v>IP20</v>
      </c>
      <c r="AE104" s="97"/>
      <c r="AF104" s="97" t="str">
        <f>IFERROR(__xludf.DUMMYFUNCTION("""COMPUTED_VALUE"""),"Aplicar")</f>
        <v>Aplicar</v>
      </c>
      <c r="AG104" s="97"/>
      <c r="AH104" s="97"/>
      <c r="AI104" s="97"/>
      <c r="AJ104" s="97"/>
      <c r="AK104" s="97"/>
      <c r="AL104" s="97"/>
      <c r="AM104" s="97"/>
      <c r="AN104" s="97"/>
      <c r="AO104" s="97" t="str">
        <f>IFERROR(__xludf.DUMMYFUNCTION("""COMPUTED_VALUE"""),"1 Año")</f>
        <v>1 Año</v>
      </c>
      <c r="AP104" s="97"/>
      <c r="AQ104" s="97"/>
      <c r="AR104" s="97"/>
      <c r="AS104" s="97"/>
      <c r="AT104" s="97"/>
      <c r="AU104" s="97"/>
      <c r="AV104" s="97" t="str">
        <f>IFERROR(__xludf.DUMMYFUNCTION("""COMPUTED_VALUE"""),"Aplique")</f>
        <v>Aplique</v>
      </c>
      <c r="AW104" s="97" t="str">
        <f>IFERROR(__xludf.DUMMYFUNCTION("""COMPUTED_VALUE"""),"De Techo")</f>
        <v>De Techo</v>
      </c>
      <c r="AX104" s="97" t="str">
        <f>IFERROR(__xludf.DUMMYFUNCTION("""COMPUTED_VALUE"""),"Interior")</f>
        <v>Interior</v>
      </c>
      <c r="AY104" s="97"/>
      <c r="AZ104" s="97"/>
      <c r="BA104" s="97"/>
      <c r="BB104" s="97"/>
      <c r="BC104" s="97"/>
      <c r="BD104" s="97" t="str">
        <f>IFERROR(__xludf.DUMMYFUNCTION("""COMPUTED_VALUE"""),"RISTO")</f>
        <v>RISTO</v>
      </c>
      <c r="BE104" s="97" t="str">
        <f>IFERROR(__xludf.DUMMYFUNCTION("""COMPUTED_VALUE"""),"Sin Ficha")</f>
        <v>Sin Ficha</v>
      </c>
      <c r="BF104" s="97"/>
      <c r="BG104" s="97" t="str">
        <f>IFERROR(__xludf.DUMMYFUNCTION("""COMPUTED_VALUE"""),"Discontinuo")</f>
        <v>Discontinuo</v>
      </c>
    </row>
    <row r="105">
      <c r="A105" s="97">
        <f>IFERROR(__xludf.DUMMYFUNCTION("""COMPUTED_VALUE"""),3470.0)</f>
        <v>3470</v>
      </c>
      <c r="B105" s="97" t="str">
        <f>IFERROR(__xludf.DUMMYFUNCTION("""COMPUTED_VALUE"""),"RISTO II NG")</f>
        <v>RISTO II NG</v>
      </c>
      <c r="C105" s="97" t="str">
        <f>IFERROR(__xludf.DUMMYFUNCTION("""COMPUTED_VALUE"""),"APLIQUE RISTO II NEGRO LEUK")</f>
        <v>APLIQUE RISTO II NEGRO LEUK</v>
      </c>
      <c r="D105" s="97">
        <f>IFERROR(__xludf.DUMMYFUNCTION("""COMPUTED_VALUE"""),7.798328753557E12)</f>
        <v>7798328753557</v>
      </c>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t="str">
        <f>IFERROR(__xludf.DUMMYFUNCTION("""COMPUTED_VALUE"""),"IP20")</f>
        <v>IP20</v>
      </c>
      <c r="AE105" s="97"/>
      <c r="AF105" s="97" t="str">
        <f>IFERROR(__xludf.DUMMYFUNCTION("""COMPUTED_VALUE"""),"Aplicar")</f>
        <v>Aplicar</v>
      </c>
      <c r="AG105" s="97"/>
      <c r="AH105" s="97"/>
      <c r="AI105" s="97"/>
      <c r="AJ105" s="97"/>
      <c r="AK105" s="97"/>
      <c r="AL105" s="97"/>
      <c r="AM105" s="97"/>
      <c r="AN105" s="97"/>
      <c r="AO105" s="97" t="str">
        <f>IFERROR(__xludf.DUMMYFUNCTION("""COMPUTED_VALUE"""),"1 Año")</f>
        <v>1 Año</v>
      </c>
      <c r="AP105" s="97"/>
      <c r="AQ105" s="97"/>
      <c r="AR105" s="97"/>
      <c r="AS105" s="97"/>
      <c r="AT105" s="97"/>
      <c r="AU105" s="97"/>
      <c r="AV105" s="97" t="str">
        <f>IFERROR(__xludf.DUMMYFUNCTION("""COMPUTED_VALUE"""),"Aplique")</f>
        <v>Aplique</v>
      </c>
      <c r="AW105" s="97" t="str">
        <f>IFERROR(__xludf.DUMMYFUNCTION("""COMPUTED_VALUE"""),"De Techo")</f>
        <v>De Techo</v>
      </c>
      <c r="AX105" s="97" t="str">
        <f>IFERROR(__xludf.DUMMYFUNCTION("""COMPUTED_VALUE"""),"Interior")</f>
        <v>Interior</v>
      </c>
      <c r="AY105" s="97"/>
      <c r="AZ105" s="97"/>
      <c r="BA105" s="97"/>
      <c r="BB105" s="97"/>
      <c r="BC105" s="97"/>
      <c r="BD105" s="97" t="str">
        <f>IFERROR(__xludf.DUMMYFUNCTION("""COMPUTED_VALUE"""),"RISTO")</f>
        <v>RISTO</v>
      </c>
      <c r="BE105" s="97" t="str">
        <f>IFERROR(__xludf.DUMMYFUNCTION("""COMPUTED_VALUE"""),"Sin Ficha")</f>
        <v>Sin Ficha</v>
      </c>
      <c r="BF105" s="97"/>
      <c r="BG105" s="97" t="str">
        <f>IFERROR(__xludf.DUMMYFUNCTION("""COMPUTED_VALUE"""),"Discontinuo")</f>
        <v>Discontinuo</v>
      </c>
    </row>
    <row r="106">
      <c r="A106" s="97">
        <f>IFERROR(__xludf.DUMMYFUNCTION("""COMPUTED_VALUE"""),3471.0)</f>
        <v>3471</v>
      </c>
      <c r="B106" s="97" t="str">
        <f>IFERROR(__xludf.DUMMYFUNCTION("""COMPUTED_VALUE"""),"RISTO III NG")</f>
        <v>RISTO III NG</v>
      </c>
      <c r="C106" s="97" t="str">
        <f>IFERROR(__xludf.DUMMYFUNCTION("""COMPUTED_VALUE"""),"APLIQUE RISTO III NEGRO LEUK")</f>
        <v>APLIQUE RISTO III NEGRO LEUK</v>
      </c>
      <c r="D106" s="97">
        <f>IFERROR(__xludf.DUMMYFUNCTION("""COMPUTED_VALUE"""),7.798328753564E12)</f>
        <v>7798328753564</v>
      </c>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t="str">
        <f>IFERROR(__xludf.DUMMYFUNCTION("""COMPUTED_VALUE"""),"IP20")</f>
        <v>IP20</v>
      </c>
      <c r="AE106" s="97"/>
      <c r="AF106" s="97" t="str">
        <f>IFERROR(__xludf.DUMMYFUNCTION("""COMPUTED_VALUE"""),"Aplicar")</f>
        <v>Aplicar</v>
      </c>
      <c r="AG106" s="97"/>
      <c r="AH106" s="97"/>
      <c r="AI106" s="97"/>
      <c r="AJ106" s="97"/>
      <c r="AK106" s="97"/>
      <c r="AL106" s="97"/>
      <c r="AM106" s="97"/>
      <c r="AN106" s="97"/>
      <c r="AO106" s="97" t="str">
        <f>IFERROR(__xludf.DUMMYFUNCTION("""COMPUTED_VALUE"""),"1 Año")</f>
        <v>1 Año</v>
      </c>
      <c r="AP106" s="97"/>
      <c r="AQ106" s="97"/>
      <c r="AR106" s="97"/>
      <c r="AS106" s="97"/>
      <c r="AT106" s="97"/>
      <c r="AU106" s="97"/>
      <c r="AV106" s="97" t="str">
        <f>IFERROR(__xludf.DUMMYFUNCTION("""COMPUTED_VALUE"""),"Aplique")</f>
        <v>Aplique</v>
      </c>
      <c r="AW106" s="97" t="str">
        <f>IFERROR(__xludf.DUMMYFUNCTION("""COMPUTED_VALUE"""),"De Techo")</f>
        <v>De Techo</v>
      </c>
      <c r="AX106" s="97" t="str">
        <f>IFERROR(__xludf.DUMMYFUNCTION("""COMPUTED_VALUE"""),"Interior")</f>
        <v>Interior</v>
      </c>
      <c r="AY106" s="97"/>
      <c r="AZ106" s="97"/>
      <c r="BA106" s="97"/>
      <c r="BB106" s="97"/>
      <c r="BC106" s="97"/>
      <c r="BD106" s="97" t="str">
        <f>IFERROR(__xludf.DUMMYFUNCTION("""COMPUTED_VALUE"""),"RISTO")</f>
        <v>RISTO</v>
      </c>
      <c r="BE106" s="97" t="str">
        <f>IFERROR(__xludf.DUMMYFUNCTION("""COMPUTED_VALUE"""),"Sin Ficha")</f>
        <v>Sin Ficha</v>
      </c>
      <c r="BF106" s="97"/>
      <c r="BG106" s="97" t="str">
        <f>IFERROR(__xludf.DUMMYFUNCTION("""COMPUTED_VALUE"""),"Discontinuo")</f>
        <v>Discontinuo</v>
      </c>
    </row>
    <row r="107">
      <c r="A107" s="97">
        <f>IFERROR(__xludf.DUMMYFUNCTION("""COMPUTED_VALUE"""),3472.0)</f>
        <v>3472</v>
      </c>
      <c r="B107" s="97" t="str">
        <f>IFERROR(__xludf.DUMMYFUNCTION("""COMPUTED_VALUE"""),"RISTO IV NG")</f>
        <v>RISTO IV NG</v>
      </c>
      <c r="C107" s="97" t="str">
        <f>IFERROR(__xludf.DUMMYFUNCTION("""COMPUTED_VALUE"""),"APLIQUE RISTO IV NEGRO LEUK")</f>
        <v>APLIQUE RISTO IV NEGRO LEUK</v>
      </c>
      <c r="D107" s="97">
        <f>IFERROR(__xludf.DUMMYFUNCTION("""COMPUTED_VALUE"""),7.798328753571E12)</f>
        <v>7798328753571</v>
      </c>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t="str">
        <f>IFERROR(__xludf.DUMMYFUNCTION("""COMPUTED_VALUE"""),"IP20")</f>
        <v>IP20</v>
      </c>
      <c r="AE107" s="97"/>
      <c r="AF107" s="97" t="str">
        <f>IFERROR(__xludf.DUMMYFUNCTION("""COMPUTED_VALUE"""),"Aplicar")</f>
        <v>Aplicar</v>
      </c>
      <c r="AG107" s="97"/>
      <c r="AH107" s="97"/>
      <c r="AI107" s="97"/>
      <c r="AJ107" s="97"/>
      <c r="AK107" s="97"/>
      <c r="AL107" s="97"/>
      <c r="AM107" s="97"/>
      <c r="AN107" s="97"/>
      <c r="AO107" s="97" t="str">
        <f>IFERROR(__xludf.DUMMYFUNCTION("""COMPUTED_VALUE"""),"1 Año")</f>
        <v>1 Año</v>
      </c>
      <c r="AP107" s="97"/>
      <c r="AQ107" s="97"/>
      <c r="AR107" s="97"/>
      <c r="AS107" s="97"/>
      <c r="AT107" s="97"/>
      <c r="AU107" s="97"/>
      <c r="AV107" s="97" t="str">
        <f>IFERROR(__xludf.DUMMYFUNCTION("""COMPUTED_VALUE"""),"Aplique")</f>
        <v>Aplique</v>
      </c>
      <c r="AW107" s="97" t="str">
        <f>IFERROR(__xludf.DUMMYFUNCTION("""COMPUTED_VALUE"""),"De Techo")</f>
        <v>De Techo</v>
      </c>
      <c r="AX107" s="97" t="str">
        <f>IFERROR(__xludf.DUMMYFUNCTION("""COMPUTED_VALUE"""),"Interior")</f>
        <v>Interior</v>
      </c>
      <c r="AY107" s="97"/>
      <c r="AZ107" s="97"/>
      <c r="BA107" s="97"/>
      <c r="BB107" s="97"/>
      <c r="BC107" s="97"/>
      <c r="BD107" s="97" t="str">
        <f>IFERROR(__xludf.DUMMYFUNCTION("""COMPUTED_VALUE"""),"RISTO")</f>
        <v>RISTO</v>
      </c>
      <c r="BE107" s="97" t="str">
        <f>IFERROR(__xludf.DUMMYFUNCTION("""COMPUTED_VALUE"""),"Sin Ficha")</f>
        <v>Sin Ficha</v>
      </c>
      <c r="BF107" s="97"/>
      <c r="BG107" s="97" t="str">
        <f>IFERROR(__xludf.DUMMYFUNCTION("""COMPUTED_VALUE"""),"Discontinuo")</f>
        <v>Discontinuo</v>
      </c>
    </row>
    <row r="108">
      <c r="A108" s="97">
        <f>IFERROR(__xludf.DUMMYFUNCTION("""COMPUTED_VALUE"""),3473.0)</f>
        <v>3473</v>
      </c>
      <c r="B108" s="97" t="str">
        <f>IFERROR(__xludf.DUMMYFUNCTION("""COMPUTED_VALUE"""),"DEO I GR")</f>
        <v>DEO I GR</v>
      </c>
      <c r="C108" s="97" t="str">
        <f>IFERROR(__xludf.DUMMYFUNCTION("""COMPUTED_VALUE"""),"APLIQUE DEO I ACERO LEUK")</f>
        <v>APLIQUE DEO I ACERO LEUK</v>
      </c>
      <c r="D108" s="97">
        <f>IFERROR(__xludf.DUMMYFUNCTION("""COMPUTED_VALUE"""),7.798328753588E12)</f>
        <v>7798328753588</v>
      </c>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t="str">
        <f>IFERROR(__xludf.DUMMYFUNCTION("""COMPUTED_VALUE"""),"IP20")</f>
        <v>IP20</v>
      </c>
      <c r="AE108" s="97"/>
      <c r="AF108" s="97" t="str">
        <f>IFERROR(__xludf.DUMMYFUNCTION("""COMPUTED_VALUE"""),"Aplicar")</f>
        <v>Aplicar</v>
      </c>
      <c r="AG108" s="97"/>
      <c r="AH108" s="97"/>
      <c r="AI108" s="97"/>
      <c r="AJ108" s="97"/>
      <c r="AK108" s="97"/>
      <c r="AL108" s="97"/>
      <c r="AM108" s="97"/>
      <c r="AN108" s="97"/>
      <c r="AO108" s="97" t="str">
        <f>IFERROR(__xludf.DUMMYFUNCTION("""COMPUTED_VALUE"""),"1 Año")</f>
        <v>1 Año</v>
      </c>
      <c r="AP108" s="97"/>
      <c r="AQ108" s="97"/>
      <c r="AR108" s="97"/>
      <c r="AS108" s="97"/>
      <c r="AT108" s="97"/>
      <c r="AU108" s="97"/>
      <c r="AV108" s="97" t="str">
        <f>IFERROR(__xludf.DUMMYFUNCTION("""COMPUTED_VALUE"""),"Aplique")</f>
        <v>Aplique</v>
      </c>
      <c r="AW108" s="97" t="str">
        <f>IFERROR(__xludf.DUMMYFUNCTION("""COMPUTED_VALUE"""),"De Techo")</f>
        <v>De Techo</v>
      </c>
      <c r="AX108" s="97" t="str">
        <f>IFERROR(__xludf.DUMMYFUNCTION("""COMPUTED_VALUE"""),"Interior")</f>
        <v>Interior</v>
      </c>
      <c r="AY108" s="97"/>
      <c r="AZ108" s="97"/>
      <c r="BA108" s="97"/>
      <c r="BB108" s="97"/>
      <c r="BC108" s="97"/>
      <c r="BD108" s="97" t="str">
        <f>IFERROR(__xludf.DUMMYFUNCTION("""COMPUTED_VALUE"""),"DEO")</f>
        <v>DEO</v>
      </c>
      <c r="BE108" s="97" t="str">
        <f>IFERROR(__xludf.DUMMYFUNCTION("""COMPUTED_VALUE"""),"Sin Ficha")</f>
        <v>Sin Ficha</v>
      </c>
      <c r="BF108" s="97"/>
      <c r="BG108" s="97" t="str">
        <f>IFERROR(__xludf.DUMMYFUNCTION("""COMPUTED_VALUE"""),"Discontinuo")</f>
        <v>Discontinuo</v>
      </c>
    </row>
    <row r="109">
      <c r="A109" s="97">
        <f>IFERROR(__xludf.DUMMYFUNCTION("""COMPUTED_VALUE"""),3474.0)</f>
        <v>3474</v>
      </c>
      <c r="B109" s="97" t="str">
        <f>IFERROR(__xludf.DUMMYFUNCTION("""COMPUTED_VALUE"""),"DEO II GR")</f>
        <v>DEO II GR</v>
      </c>
      <c r="C109" s="97" t="str">
        <f>IFERROR(__xludf.DUMMYFUNCTION("""COMPUTED_VALUE"""),"APLIQUE DEO II ACERO LEUK")</f>
        <v>APLIQUE DEO II ACERO LEUK</v>
      </c>
      <c r="D109" s="97">
        <f>IFERROR(__xludf.DUMMYFUNCTION("""COMPUTED_VALUE"""),7.798328753595E12)</f>
        <v>7798328753595</v>
      </c>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t="str">
        <f>IFERROR(__xludf.DUMMYFUNCTION("""COMPUTED_VALUE"""),"IP20")</f>
        <v>IP20</v>
      </c>
      <c r="AE109" s="97"/>
      <c r="AF109" s="97" t="str">
        <f>IFERROR(__xludf.DUMMYFUNCTION("""COMPUTED_VALUE"""),"Aplicar")</f>
        <v>Aplicar</v>
      </c>
      <c r="AG109" s="97"/>
      <c r="AH109" s="97"/>
      <c r="AI109" s="97"/>
      <c r="AJ109" s="97"/>
      <c r="AK109" s="97"/>
      <c r="AL109" s="97"/>
      <c r="AM109" s="97"/>
      <c r="AN109" s="97"/>
      <c r="AO109" s="97" t="str">
        <f>IFERROR(__xludf.DUMMYFUNCTION("""COMPUTED_VALUE"""),"1 Año")</f>
        <v>1 Año</v>
      </c>
      <c r="AP109" s="97"/>
      <c r="AQ109" s="97"/>
      <c r="AR109" s="97"/>
      <c r="AS109" s="97"/>
      <c r="AT109" s="97"/>
      <c r="AU109" s="97"/>
      <c r="AV109" s="97" t="str">
        <f>IFERROR(__xludf.DUMMYFUNCTION("""COMPUTED_VALUE"""),"Aplique")</f>
        <v>Aplique</v>
      </c>
      <c r="AW109" s="97" t="str">
        <f>IFERROR(__xludf.DUMMYFUNCTION("""COMPUTED_VALUE"""),"De Techo")</f>
        <v>De Techo</v>
      </c>
      <c r="AX109" s="97" t="str">
        <f>IFERROR(__xludf.DUMMYFUNCTION("""COMPUTED_VALUE"""),"Interior")</f>
        <v>Interior</v>
      </c>
      <c r="AY109" s="97"/>
      <c r="AZ109" s="97"/>
      <c r="BA109" s="97"/>
      <c r="BB109" s="97"/>
      <c r="BC109" s="97"/>
      <c r="BD109" s="97" t="str">
        <f>IFERROR(__xludf.DUMMYFUNCTION("""COMPUTED_VALUE"""),"DEO")</f>
        <v>DEO</v>
      </c>
      <c r="BE109" s="97" t="str">
        <f>IFERROR(__xludf.DUMMYFUNCTION("""COMPUTED_VALUE"""),"Sin Ficha")</f>
        <v>Sin Ficha</v>
      </c>
      <c r="BF109" s="97"/>
      <c r="BG109" s="97" t="str">
        <f>IFERROR(__xludf.DUMMYFUNCTION("""COMPUTED_VALUE"""),"Discontinuo")</f>
        <v>Discontinuo</v>
      </c>
    </row>
    <row r="110">
      <c r="A110" s="97">
        <f>IFERROR(__xludf.DUMMYFUNCTION("""COMPUTED_VALUE"""),3475.0)</f>
        <v>3475</v>
      </c>
      <c r="B110" s="97" t="str">
        <f>IFERROR(__xludf.DUMMYFUNCTION("""COMPUTED_VALUE"""),"DEO III GR")</f>
        <v>DEO III GR</v>
      </c>
      <c r="C110" s="97" t="str">
        <f>IFERROR(__xludf.DUMMYFUNCTION("""COMPUTED_VALUE"""),"APLIQUE DEO III ACERO LEUK")</f>
        <v>APLIQUE DEO III ACERO LEUK</v>
      </c>
      <c r="D110" s="97">
        <f>IFERROR(__xludf.DUMMYFUNCTION("""COMPUTED_VALUE"""),7.798328753601E12)</f>
        <v>7798328753601</v>
      </c>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t="str">
        <f>IFERROR(__xludf.DUMMYFUNCTION("""COMPUTED_VALUE"""),"IP20")</f>
        <v>IP20</v>
      </c>
      <c r="AE110" s="97"/>
      <c r="AF110" s="97" t="str">
        <f>IFERROR(__xludf.DUMMYFUNCTION("""COMPUTED_VALUE"""),"Aplicar")</f>
        <v>Aplicar</v>
      </c>
      <c r="AG110" s="97"/>
      <c r="AH110" s="97"/>
      <c r="AI110" s="97"/>
      <c r="AJ110" s="97"/>
      <c r="AK110" s="97"/>
      <c r="AL110" s="97"/>
      <c r="AM110" s="97"/>
      <c r="AN110" s="97"/>
      <c r="AO110" s="97" t="str">
        <f>IFERROR(__xludf.DUMMYFUNCTION("""COMPUTED_VALUE"""),"1 Año")</f>
        <v>1 Año</v>
      </c>
      <c r="AP110" s="97"/>
      <c r="AQ110" s="97"/>
      <c r="AR110" s="97"/>
      <c r="AS110" s="97"/>
      <c r="AT110" s="97"/>
      <c r="AU110" s="97"/>
      <c r="AV110" s="97" t="str">
        <f>IFERROR(__xludf.DUMMYFUNCTION("""COMPUTED_VALUE"""),"Aplique")</f>
        <v>Aplique</v>
      </c>
      <c r="AW110" s="97" t="str">
        <f>IFERROR(__xludf.DUMMYFUNCTION("""COMPUTED_VALUE"""),"De Techo")</f>
        <v>De Techo</v>
      </c>
      <c r="AX110" s="97" t="str">
        <f>IFERROR(__xludf.DUMMYFUNCTION("""COMPUTED_VALUE"""),"Interior")</f>
        <v>Interior</v>
      </c>
      <c r="AY110" s="97"/>
      <c r="AZ110" s="97"/>
      <c r="BA110" s="97"/>
      <c r="BB110" s="97"/>
      <c r="BC110" s="97"/>
      <c r="BD110" s="97" t="str">
        <f>IFERROR(__xludf.DUMMYFUNCTION("""COMPUTED_VALUE"""),"DEO")</f>
        <v>DEO</v>
      </c>
      <c r="BE110" s="97" t="str">
        <f>IFERROR(__xludf.DUMMYFUNCTION("""COMPUTED_VALUE"""),"Sin Ficha")</f>
        <v>Sin Ficha</v>
      </c>
      <c r="BF110" s="97"/>
      <c r="BG110" s="97" t="str">
        <f>IFERROR(__xludf.DUMMYFUNCTION("""COMPUTED_VALUE"""),"Discontinuo")</f>
        <v>Discontinuo</v>
      </c>
    </row>
    <row r="111">
      <c r="A111" s="97">
        <f>IFERROR(__xludf.DUMMYFUNCTION("""COMPUTED_VALUE"""),3476.0)</f>
        <v>3476</v>
      </c>
      <c r="B111" s="97" t="str">
        <f>IFERROR(__xludf.DUMMYFUNCTION("""COMPUTED_VALUE"""),"DEO IV GR")</f>
        <v>DEO IV GR</v>
      </c>
      <c r="C111" s="97" t="str">
        <f>IFERROR(__xludf.DUMMYFUNCTION("""COMPUTED_VALUE"""),"APLIQUE DEO IV ACERO LEUK")</f>
        <v>APLIQUE DEO IV ACERO LEUK</v>
      </c>
      <c r="D111" s="97">
        <f>IFERROR(__xludf.DUMMYFUNCTION("""COMPUTED_VALUE"""),7.798328753618E12)</f>
        <v>7798328753618</v>
      </c>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t="str">
        <f>IFERROR(__xludf.DUMMYFUNCTION("""COMPUTED_VALUE"""),"IP20")</f>
        <v>IP20</v>
      </c>
      <c r="AE111" s="97"/>
      <c r="AF111" s="97" t="str">
        <f>IFERROR(__xludf.DUMMYFUNCTION("""COMPUTED_VALUE"""),"Aplicar")</f>
        <v>Aplicar</v>
      </c>
      <c r="AG111" s="97"/>
      <c r="AH111" s="97"/>
      <c r="AI111" s="97"/>
      <c r="AJ111" s="97"/>
      <c r="AK111" s="97"/>
      <c r="AL111" s="97"/>
      <c r="AM111" s="97"/>
      <c r="AN111" s="97"/>
      <c r="AO111" s="97" t="str">
        <f>IFERROR(__xludf.DUMMYFUNCTION("""COMPUTED_VALUE"""),"1 Año")</f>
        <v>1 Año</v>
      </c>
      <c r="AP111" s="97"/>
      <c r="AQ111" s="97"/>
      <c r="AR111" s="97"/>
      <c r="AS111" s="97"/>
      <c r="AT111" s="97"/>
      <c r="AU111" s="97"/>
      <c r="AV111" s="97" t="str">
        <f>IFERROR(__xludf.DUMMYFUNCTION("""COMPUTED_VALUE"""),"Aplique")</f>
        <v>Aplique</v>
      </c>
      <c r="AW111" s="97" t="str">
        <f>IFERROR(__xludf.DUMMYFUNCTION("""COMPUTED_VALUE"""),"De Techo")</f>
        <v>De Techo</v>
      </c>
      <c r="AX111" s="97" t="str">
        <f>IFERROR(__xludf.DUMMYFUNCTION("""COMPUTED_VALUE"""),"Interior")</f>
        <v>Interior</v>
      </c>
      <c r="AY111" s="97"/>
      <c r="AZ111" s="97"/>
      <c r="BA111" s="97"/>
      <c r="BB111" s="97"/>
      <c r="BC111" s="97"/>
      <c r="BD111" s="97" t="str">
        <f>IFERROR(__xludf.DUMMYFUNCTION("""COMPUTED_VALUE"""),"DEO")</f>
        <v>DEO</v>
      </c>
      <c r="BE111" s="97" t="str">
        <f>IFERROR(__xludf.DUMMYFUNCTION("""COMPUTED_VALUE"""),"Sin Ficha")</f>
        <v>Sin Ficha</v>
      </c>
      <c r="BF111" s="97"/>
      <c r="BG111" s="97" t="str">
        <f>IFERROR(__xludf.DUMMYFUNCTION("""COMPUTED_VALUE"""),"Discontinuo")</f>
        <v>Discontinuo</v>
      </c>
    </row>
    <row r="112">
      <c r="A112" s="97">
        <f>IFERROR(__xludf.DUMMYFUNCTION("""COMPUTED_VALUE"""),3477.0)</f>
        <v>3477</v>
      </c>
      <c r="B112" s="97" t="str">
        <f>IFERROR(__xludf.DUMMYFUNCTION("""COMPUTED_VALUE"""),"SCHARA I NG")</f>
        <v>SCHARA I NG</v>
      </c>
      <c r="C112" s="97" t="str">
        <f>IFERROR(__xludf.DUMMYFUNCTION("""COMPUTED_VALUE"""),"APLIQUE SCHARA I NEGRO LEUK")</f>
        <v>APLIQUE SCHARA I NEGRO LEUK</v>
      </c>
      <c r="D112" s="97">
        <f>IFERROR(__xludf.DUMMYFUNCTION("""COMPUTED_VALUE"""),7.798328753625E12)</f>
        <v>7798328753625</v>
      </c>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t="str">
        <f>IFERROR(__xludf.DUMMYFUNCTION("""COMPUTED_VALUE"""),"IP20")</f>
        <v>IP20</v>
      </c>
      <c r="AE112" s="97"/>
      <c r="AF112" s="97" t="str">
        <f>IFERROR(__xludf.DUMMYFUNCTION("""COMPUTED_VALUE"""),"Aplicar")</f>
        <v>Aplicar</v>
      </c>
      <c r="AG112" s="97"/>
      <c r="AH112" s="97"/>
      <c r="AI112" s="97"/>
      <c r="AJ112" s="97"/>
      <c r="AK112" s="97"/>
      <c r="AL112" s="97"/>
      <c r="AM112" s="97"/>
      <c r="AN112" s="97"/>
      <c r="AO112" s="97" t="str">
        <f>IFERROR(__xludf.DUMMYFUNCTION("""COMPUTED_VALUE"""),"1 Año")</f>
        <v>1 Año</v>
      </c>
      <c r="AP112" s="97"/>
      <c r="AQ112" s="97"/>
      <c r="AR112" s="97"/>
      <c r="AS112" s="97"/>
      <c r="AT112" s="97"/>
      <c r="AU112" s="97"/>
      <c r="AV112" s="97" t="str">
        <f>IFERROR(__xludf.DUMMYFUNCTION("""COMPUTED_VALUE"""),"Aplique")</f>
        <v>Aplique</v>
      </c>
      <c r="AW112" s="97" t="str">
        <f>IFERROR(__xludf.DUMMYFUNCTION("""COMPUTED_VALUE"""),"De Techo")</f>
        <v>De Techo</v>
      </c>
      <c r="AX112" s="97" t="str">
        <f>IFERROR(__xludf.DUMMYFUNCTION("""COMPUTED_VALUE"""),"Interior")</f>
        <v>Interior</v>
      </c>
      <c r="AY112" s="97"/>
      <c r="AZ112" s="97"/>
      <c r="BA112" s="97"/>
      <c r="BB112" s="97"/>
      <c r="BC112" s="97"/>
      <c r="BD112" s="97" t="str">
        <f>IFERROR(__xludf.DUMMYFUNCTION("""COMPUTED_VALUE"""),"SCHARA")</f>
        <v>SCHARA</v>
      </c>
      <c r="BE112" s="97" t="str">
        <f>IFERROR(__xludf.DUMMYFUNCTION("""COMPUTED_VALUE"""),"Sin Ficha")</f>
        <v>Sin Ficha</v>
      </c>
      <c r="BF112" s="97"/>
      <c r="BG112" s="97" t="str">
        <f>IFERROR(__xludf.DUMMYFUNCTION("""COMPUTED_VALUE"""),"Discontinuo")</f>
        <v>Discontinuo</v>
      </c>
    </row>
    <row r="113">
      <c r="A113" s="97">
        <f>IFERROR(__xludf.DUMMYFUNCTION("""COMPUTED_VALUE"""),3478.0)</f>
        <v>3478</v>
      </c>
      <c r="B113" s="97" t="str">
        <f>IFERROR(__xludf.DUMMYFUNCTION("""COMPUTED_VALUE"""),"SCHARA II NG")</f>
        <v>SCHARA II NG</v>
      </c>
      <c r="C113" s="97" t="str">
        <f>IFERROR(__xludf.DUMMYFUNCTION("""COMPUTED_VALUE"""),"APLIQUE SCHARA II NEGRO LEUK")</f>
        <v>APLIQUE SCHARA II NEGRO LEUK</v>
      </c>
      <c r="D113" s="97">
        <f>IFERROR(__xludf.DUMMYFUNCTION("""COMPUTED_VALUE"""),7.798328753632E12)</f>
        <v>7798328753632</v>
      </c>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t="str">
        <f>IFERROR(__xludf.DUMMYFUNCTION("""COMPUTED_VALUE"""),"IP20")</f>
        <v>IP20</v>
      </c>
      <c r="AE113" s="97"/>
      <c r="AF113" s="97" t="str">
        <f>IFERROR(__xludf.DUMMYFUNCTION("""COMPUTED_VALUE"""),"Aplicar")</f>
        <v>Aplicar</v>
      </c>
      <c r="AG113" s="97"/>
      <c r="AH113" s="97"/>
      <c r="AI113" s="97"/>
      <c r="AJ113" s="97"/>
      <c r="AK113" s="97"/>
      <c r="AL113" s="97"/>
      <c r="AM113" s="97"/>
      <c r="AN113" s="97"/>
      <c r="AO113" s="97" t="str">
        <f>IFERROR(__xludf.DUMMYFUNCTION("""COMPUTED_VALUE"""),"1 Año")</f>
        <v>1 Año</v>
      </c>
      <c r="AP113" s="97"/>
      <c r="AQ113" s="97"/>
      <c r="AR113" s="97"/>
      <c r="AS113" s="97"/>
      <c r="AT113" s="97"/>
      <c r="AU113" s="97"/>
      <c r="AV113" s="97" t="str">
        <f>IFERROR(__xludf.DUMMYFUNCTION("""COMPUTED_VALUE"""),"Aplique")</f>
        <v>Aplique</v>
      </c>
      <c r="AW113" s="97" t="str">
        <f>IFERROR(__xludf.DUMMYFUNCTION("""COMPUTED_VALUE"""),"De Techo")</f>
        <v>De Techo</v>
      </c>
      <c r="AX113" s="97" t="str">
        <f>IFERROR(__xludf.DUMMYFUNCTION("""COMPUTED_VALUE"""),"Interior")</f>
        <v>Interior</v>
      </c>
      <c r="AY113" s="97"/>
      <c r="AZ113" s="97"/>
      <c r="BA113" s="97"/>
      <c r="BB113" s="97"/>
      <c r="BC113" s="97"/>
      <c r="BD113" s="97" t="str">
        <f>IFERROR(__xludf.DUMMYFUNCTION("""COMPUTED_VALUE"""),"SCHARA")</f>
        <v>SCHARA</v>
      </c>
      <c r="BE113" s="97" t="str">
        <f>IFERROR(__xludf.DUMMYFUNCTION("""COMPUTED_VALUE"""),"Sin Ficha")</f>
        <v>Sin Ficha</v>
      </c>
      <c r="BF113" s="97"/>
      <c r="BG113" s="97" t="str">
        <f>IFERROR(__xludf.DUMMYFUNCTION("""COMPUTED_VALUE"""),"Discontinuo")</f>
        <v>Discontinuo</v>
      </c>
    </row>
    <row r="114">
      <c r="A114" s="97">
        <f>IFERROR(__xludf.DUMMYFUNCTION("""COMPUTED_VALUE"""),3479.0)</f>
        <v>3479</v>
      </c>
      <c r="B114" s="97" t="str">
        <f>IFERROR(__xludf.DUMMYFUNCTION("""COMPUTED_VALUE"""),"SCHARA III NG")</f>
        <v>SCHARA III NG</v>
      </c>
      <c r="C114" s="97" t="str">
        <f>IFERROR(__xludf.DUMMYFUNCTION("""COMPUTED_VALUE"""),"APLIQUE SCHARA III NEGRO LEUK")</f>
        <v>APLIQUE SCHARA III NEGRO LEUK</v>
      </c>
      <c r="D114" s="97">
        <f>IFERROR(__xludf.DUMMYFUNCTION("""COMPUTED_VALUE"""),7.798328753649E12)</f>
        <v>7798328753649</v>
      </c>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t="str">
        <f>IFERROR(__xludf.DUMMYFUNCTION("""COMPUTED_VALUE"""),"IP20")</f>
        <v>IP20</v>
      </c>
      <c r="AE114" s="97"/>
      <c r="AF114" s="97" t="str">
        <f>IFERROR(__xludf.DUMMYFUNCTION("""COMPUTED_VALUE"""),"Aplicar")</f>
        <v>Aplicar</v>
      </c>
      <c r="AG114" s="97"/>
      <c r="AH114" s="97"/>
      <c r="AI114" s="97"/>
      <c r="AJ114" s="97"/>
      <c r="AK114" s="97"/>
      <c r="AL114" s="97"/>
      <c r="AM114" s="97"/>
      <c r="AN114" s="97"/>
      <c r="AO114" s="97" t="str">
        <f>IFERROR(__xludf.DUMMYFUNCTION("""COMPUTED_VALUE"""),"1 Año")</f>
        <v>1 Año</v>
      </c>
      <c r="AP114" s="97"/>
      <c r="AQ114" s="97"/>
      <c r="AR114" s="97"/>
      <c r="AS114" s="97"/>
      <c r="AT114" s="97"/>
      <c r="AU114" s="97"/>
      <c r="AV114" s="97" t="str">
        <f>IFERROR(__xludf.DUMMYFUNCTION("""COMPUTED_VALUE"""),"Aplique")</f>
        <v>Aplique</v>
      </c>
      <c r="AW114" s="97" t="str">
        <f>IFERROR(__xludf.DUMMYFUNCTION("""COMPUTED_VALUE"""),"De Techo")</f>
        <v>De Techo</v>
      </c>
      <c r="AX114" s="97" t="str">
        <f>IFERROR(__xludf.DUMMYFUNCTION("""COMPUTED_VALUE"""),"Interior")</f>
        <v>Interior</v>
      </c>
      <c r="AY114" s="97"/>
      <c r="AZ114" s="97"/>
      <c r="BA114" s="97"/>
      <c r="BB114" s="97"/>
      <c r="BC114" s="97"/>
      <c r="BD114" s="97" t="str">
        <f>IFERROR(__xludf.DUMMYFUNCTION("""COMPUTED_VALUE"""),"SCHARA")</f>
        <v>SCHARA</v>
      </c>
      <c r="BE114" s="97" t="str">
        <f>IFERROR(__xludf.DUMMYFUNCTION("""COMPUTED_VALUE"""),"Sin Ficha")</f>
        <v>Sin Ficha</v>
      </c>
      <c r="BF114" s="97"/>
      <c r="BG114" s="97" t="str">
        <f>IFERROR(__xludf.DUMMYFUNCTION("""COMPUTED_VALUE"""),"Discontinuo")</f>
        <v>Discontinuo</v>
      </c>
    </row>
    <row r="115">
      <c r="A115" s="97">
        <f>IFERROR(__xludf.DUMMYFUNCTION("""COMPUTED_VALUE"""),3480.0)</f>
        <v>3480</v>
      </c>
      <c r="B115" s="97" t="str">
        <f>IFERROR(__xludf.DUMMYFUNCTION("""COMPUTED_VALUE"""),"SCHARA IV NG")</f>
        <v>SCHARA IV NG</v>
      </c>
      <c r="C115" s="97" t="str">
        <f>IFERROR(__xludf.DUMMYFUNCTION("""COMPUTED_VALUE"""),"APLIQUE SCHARA IV NEGRO LEUK")</f>
        <v>APLIQUE SCHARA IV NEGRO LEUK</v>
      </c>
      <c r="D115" s="97">
        <f>IFERROR(__xludf.DUMMYFUNCTION("""COMPUTED_VALUE"""),7.798328753656E12)</f>
        <v>7798328753656</v>
      </c>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t="str">
        <f>IFERROR(__xludf.DUMMYFUNCTION("""COMPUTED_VALUE"""),"IP20")</f>
        <v>IP20</v>
      </c>
      <c r="AE115" s="97"/>
      <c r="AF115" s="97" t="str">
        <f>IFERROR(__xludf.DUMMYFUNCTION("""COMPUTED_VALUE"""),"Aplicar")</f>
        <v>Aplicar</v>
      </c>
      <c r="AG115" s="97"/>
      <c r="AH115" s="97"/>
      <c r="AI115" s="97"/>
      <c r="AJ115" s="97"/>
      <c r="AK115" s="97"/>
      <c r="AL115" s="97"/>
      <c r="AM115" s="97"/>
      <c r="AN115" s="97"/>
      <c r="AO115" s="97" t="str">
        <f>IFERROR(__xludf.DUMMYFUNCTION("""COMPUTED_VALUE"""),"1 Año")</f>
        <v>1 Año</v>
      </c>
      <c r="AP115" s="97"/>
      <c r="AQ115" s="97"/>
      <c r="AR115" s="97"/>
      <c r="AS115" s="97"/>
      <c r="AT115" s="97"/>
      <c r="AU115" s="97"/>
      <c r="AV115" s="97" t="str">
        <f>IFERROR(__xludf.DUMMYFUNCTION("""COMPUTED_VALUE"""),"Aplique")</f>
        <v>Aplique</v>
      </c>
      <c r="AW115" s="97" t="str">
        <f>IFERROR(__xludf.DUMMYFUNCTION("""COMPUTED_VALUE"""),"De Techo")</f>
        <v>De Techo</v>
      </c>
      <c r="AX115" s="97" t="str">
        <f>IFERROR(__xludf.DUMMYFUNCTION("""COMPUTED_VALUE"""),"Interior")</f>
        <v>Interior</v>
      </c>
      <c r="AY115" s="97"/>
      <c r="AZ115" s="97"/>
      <c r="BA115" s="97"/>
      <c r="BB115" s="97"/>
      <c r="BC115" s="97"/>
      <c r="BD115" s="97" t="str">
        <f>IFERROR(__xludf.DUMMYFUNCTION("""COMPUTED_VALUE"""),"SCHARA")</f>
        <v>SCHARA</v>
      </c>
      <c r="BE115" s="97" t="str">
        <f>IFERROR(__xludf.DUMMYFUNCTION("""COMPUTED_VALUE"""),"Sin Ficha")</f>
        <v>Sin Ficha</v>
      </c>
      <c r="BF115" s="97"/>
      <c r="BG115" s="97" t="str">
        <f>IFERROR(__xludf.DUMMYFUNCTION("""COMPUTED_VALUE"""),"Discontinuo")</f>
        <v>Discontinuo</v>
      </c>
    </row>
    <row r="116">
      <c r="A116" s="97">
        <f>IFERROR(__xludf.DUMMYFUNCTION("""COMPUTED_VALUE"""),3481.0)</f>
        <v>3481</v>
      </c>
      <c r="B116" s="97" t="str">
        <f>IFERROR(__xludf.DUMMYFUNCTION("""COMPUTED_VALUE"""),"ZOE I NI")</f>
        <v>ZOE I NI</v>
      </c>
      <c r="C116" s="97" t="str">
        <f>IFERROR(__xludf.DUMMYFUNCTION("""COMPUTED_VALUE"""),"APLIQUE ZOE I NIQUEL LEUK")</f>
        <v>APLIQUE ZOE I NIQUEL LEUK</v>
      </c>
      <c r="D116" s="97">
        <f>IFERROR(__xludf.DUMMYFUNCTION("""COMPUTED_VALUE"""),7.798328753663E12)</f>
        <v>7798328753663</v>
      </c>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t="str">
        <f>IFERROR(__xludf.DUMMYFUNCTION("""COMPUTED_VALUE"""),"IP20")</f>
        <v>IP20</v>
      </c>
      <c r="AE116" s="97"/>
      <c r="AF116" s="97" t="str">
        <f>IFERROR(__xludf.DUMMYFUNCTION("""COMPUTED_VALUE"""),"Aplicar")</f>
        <v>Aplicar</v>
      </c>
      <c r="AG116" s="97"/>
      <c r="AH116" s="97"/>
      <c r="AI116" s="97"/>
      <c r="AJ116" s="97"/>
      <c r="AK116" s="97"/>
      <c r="AL116" s="97"/>
      <c r="AM116" s="97"/>
      <c r="AN116" s="97"/>
      <c r="AO116" s="97" t="str">
        <f>IFERROR(__xludf.DUMMYFUNCTION("""COMPUTED_VALUE"""),"1 Año")</f>
        <v>1 Año</v>
      </c>
      <c r="AP116" s="97"/>
      <c r="AQ116" s="97"/>
      <c r="AR116" s="97"/>
      <c r="AS116" s="97"/>
      <c r="AT116" s="97"/>
      <c r="AU116" s="97"/>
      <c r="AV116" s="97" t="str">
        <f>IFERROR(__xludf.DUMMYFUNCTION("""COMPUTED_VALUE"""),"Aplique")</f>
        <v>Aplique</v>
      </c>
      <c r="AW116" s="97" t="str">
        <f>IFERROR(__xludf.DUMMYFUNCTION("""COMPUTED_VALUE"""),"De Techo")</f>
        <v>De Techo</v>
      </c>
      <c r="AX116" s="97" t="str">
        <f>IFERROR(__xludf.DUMMYFUNCTION("""COMPUTED_VALUE"""),"Interior")</f>
        <v>Interior</v>
      </c>
      <c r="AY116" s="97"/>
      <c r="AZ116" s="97"/>
      <c r="BA116" s="97"/>
      <c r="BB116" s="97"/>
      <c r="BC116" s="97"/>
      <c r="BD116" s="97" t="str">
        <f>IFERROR(__xludf.DUMMYFUNCTION("""COMPUTED_VALUE"""),"ZOE")</f>
        <v>ZOE</v>
      </c>
      <c r="BE116" s="97" t="str">
        <f>IFERROR(__xludf.DUMMYFUNCTION("""COMPUTED_VALUE"""),"Sin Ficha")</f>
        <v>Sin Ficha</v>
      </c>
      <c r="BF116" s="97"/>
      <c r="BG116" s="97" t="str">
        <f>IFERROR(__xludf.DUMMYFUNCTION("""COMPUTED_VALUE"""),"Discontinuo")</f>
        <v>Discontinuo</v>
      </c>
    </row>
    <row r="117">
      <c r="A117" s="97">
        <f>IFERROR(__xludf.DUMMYFUNCTION("""COMPUTED_VALUE"""),3482.0)</f>
        <v>3482</v>
      </c>
      <c r="B117" s="97" t="str">
        <f>IFERROR(__xludf.DUMMYFUNCTION("""COMPUTED_VALUE"""),"ZOE II NI")</f>
        <v>ZOE II NI</v>
      </c>
      <c r="C117" s="97" t="str">
        <f>IFERROR(__xludf.DUMMYFUNCTION("""COMPUTED_VALUE"""),"APLIQUE ZOE II NIQUEL LEUK")</f>
        <v>APLIQUE ZOE II NIQUEL LEUK</v>
      </c>
      <c r="D117" s="97">
        <f>IFERROR(__xludf.DUMMYFUNCTION("""COMPUTED_VALUE"""),7.79832875367E12)</f>
        <v>7798328753670</v>
      </c>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t="str">
        <f>IFERROR(__xludf.DUMMYFUNCTION("""COMPUTED_VALUE"""),"IP20")</f>
        <v>IP20</v>
      </c>
      <c r="AE117" s="97"/>
      <c r="AF117" s="97" t="str">
        <f>IFERROR(__xludf.DUMMYFUNCTION("""COMPUTED_VALUE"""),"Aplicar")</f>
        <v>Aplicar</v>
      </c>
      <c r="AG117" s="97"/>
      <c r="AH117" s="97"/>
      <c r="AI117" s="97"/>
      <c r="AJ117" s="97"/>
      <c r="AK117" s="97"/>
      <c r="AL117" s="97"/>
      <c r="AM117" s="97"/>
      <c r="AN117" s="97"/>
      <c r="AO117" s="97" t="str">
        <f>IFERROR(__xludf.DUMMYFUNCTION("""COMPUTED_VALUE"""),"1 Año")</f>
        <v>1 Año</v>
      </c>
      <c r="AP117" s="97"/>
      <c r="AQ117" s="97"/>
      <c r="AR117" s="97"/>
      <c r="AS117" s="97"/>
      <c r="AT117" s="97"/>
      <c r="AU117" s="97"/>
      <c r="AV117" s="97" t="str">
        <f>IFERROR(__xludf.DUMMYFUNCTION("""COMPUTED_VALUE"""),"Aplique")</f>
        <v>Aplique</v>
      </c>
      <c r="AW117" s="97" t="str">
        <f>IFERROR(__xludf.DUMMYFUNCTION("""COMPUTED_VALUE"""),"De Techo")</f>
        <v>De Techo</v>
      </c>
      <c r="AX117" s="97" t="str">
        <f>IFERROR(__xludf.DUMMYFUNCTION("""COMPUTED_VALUE"""),"Interior")</f>
        <v>Interior</v>
      </c>
      <c r="AY117" s="97"/>
      <c r="AZ117" s="97"/>
      <c r="BA117" s="97"/>
      <c r="BB117" s="97"/>
      <c r="BC117" s="97"/>
      <c r="BD117" s="97" t="str">
        <f>IFERROR(__xludf.DUMMYFUNCTION("""COMPUTED_VALUE"""),"ZOE")</f>
        <v>ZOE</v>
      </c>
      <c r="BE117" s="97" t="str">
        <f>IFERROR(__xludf.DUMMYFUNCTION("""COMPUTED_VALUE"""),"Sin Ficha")</f>
        <v>Sin Ficha</v>
      </c>
      <c r="BF117" s="97"/>
      <c r="BG117" s="97" t="str">
        <f>IFERROR(__xludf.DUMMYFUNCTION("""COMPUTED_VALUE"""),"Discontinuo")</f>
        <v>Discontinuo</v>
      </c>
    </row>
    <row r="118">
      <c r="A118" s="97">
        <f>IFERROR(__xludf.DUMMYFUNCTION("""COMPUTED_VALUE"""),3483.0)</f>
        <v>3483</v>
      </c>
      <c r="B118" s="97" t="str">
        <f>IFERROR(__xludf.DUMMYFUNCTION("""COMPUTED_VALUE"""),"ZOE III NI")</f>
        <v>ZOE III NI</v>
      </c>
      <c r="C118" s="97" t="str">
        <f>IFERROR(__xludf.DUMMYFUNCTION("""COMPUTED_VALUE"""),"APLIQUE ZOE III NIQUEL LEUK")</f>
        <v>APLIQUE ZOE III NIQUEL LEUK</v>
      </c>
      <c r="D118" s="97">
        <f>IFERROR(__xludf.DUMMYFUNCTION("""COMPUTED_VALUE"""),7.798328753687E12)</f>
        <v>7798328753687</v>
      </c>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t="str">
        <f>IFERROR(__xludf.DUMMYFUNCTION("""COMPUTED_VALUE"""),"IP20")</f>
        <v>IP20</v>
      </c>
      <c r="AE118" s="97"/>
      <c r="AF118" s="97" t="str">
        <f>IFERROR(__xludf.DUMMYFUNCTION("""COMPUTED_VALUE"""),"Aplicar")</f>
        <v>Aplicar</v>
      </c>
      <c r="AG118" s="97"/>
      <c r="AH118" s="97"/>
      <c r="AI118" s="97"/>
      <c r="AJ118" s="97"/>
      <c r="AK118" s="97"/>
      <c r="AL118" s="97"/>
      <c r="AM118" s="97"/>
      <c r="AN118" s="97"/>
      <c r="AO118" s="97" t="str">
        <f>IFERROR(__xludf.DUMMYFUNCTION("""COMPUTED_VALUE"""),"1 Año")</f>
        <v>1 Año</v>
      </c>
      <c r="AP118" s="97"/>
      <c r="AQ118" s="97"/>
      <c r="AR118" s="97"/>
      <c r="AS118" s="97"/>
      <c r="AT118" s="97"/>
      <c r="AU118" s="97"/>
      <c r="AV118" s="97" t="str">
        <f>IFERROR(__xludf.DUMMYFUNCTION("""COMPUTED_VALUE"""),"Aplique")</f>
        <v>Aplique</v>
      </c>
      <c r="AW118" s="97" t="str">
        <f>IFERROR(__xludf.DUMMYFUNCTION("""COMPUTED_VALUE"""),"De Techo")</f>
        <v>De Techo</v>
      </c>
      <c r="AX118" s="97" t="str">
        <f>IFERROR(__xludf.DUMMYFUNCTION("""COMPUTED_VALUE"""),"Interior")</f>
        <v>Interior</v>
      </c>
      <c r="AY118" s="97"/>
      <c r="AZ118" s="97"/>
      <c r="BA118" s="97"/>
      <c r="BB118" s="97"/>
      <c r="BC118" s="97"/>
      <c r="BD118" s="97" t="str">
        <f>IFERROR(__xludf.DUMMYFUNCTION("""COMPUTED_VALUE"""),"ZOE")</f>
        <v>ZOE</v>
      </c>
      <c r="BE118" s="97" t="str">
        <f>IFERROR(__xludf.DUMMYFUNCTION("""COMPUTED_VALUE"""),"Sin Ficha")</f>
        <v>Sin Ficha</v>
      </c>
      <c r="BF118" s="97"/>
      <c r="BG118" s="97" t="str">
        <f>IFERROR(__xludf.DUMMYFUNCTION("""COMPUTED_VALUE"""),"Discontinuo")</f>
        <v>Discontinuo</v>
      </c>
    </row>
    <row r="119">
      <c r="A119" s="97">
        <f>IFERROR(__xludf.DUMMYFUNCTION("""COMPUTED_VALUE"""),3484.0)</f>
        <v>3484</v>
      </c>
      <c r="B119" s="97" t="str">
        <f>IFERROR(__xludf.DUMMYFUNCTION("""COMPUTED_VALUE"""),"ZOE IV NI")</f>
        <v>ZOE IV NI</v>
      </c>
      <c r="C119" s="97" t="str">
        <f>IFERROR(__xludf.DUMMYFUNCTION("""COMPUTED_VALUE"""),"APLIQUE ZOE IV NIQUEL LEUK")</f>
        <v>APLIQUE ZOE IV NIQUEL LEUK</v>
      </c>
      <c r="D119" s="97">
        <f>IFERROR(__xludf.DUMMYFUNCTION("""COMPUTED_VALUE"""),7.798328753694E12)</f>
        <v>7798328753694</v>
      </c>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t="str">
        <f>IFERROR(__xludf.DUMMYFUNCTION("""COMPUTED_VALUE"""),"IP20")</f>
        <v>IP20</v>
      </c>
      <c r="AE119" s="97"/>
      <c r="AF119" s="97" t="str">
        <f>IFERROR(__xludf.DUMMYFUNCTION("""COMPUTED_VALUE"""),"Aplicar")</f>
        <v>Aplicar</v>
      </c>
      <c r="AG119" s="97"/>
      <c r="AH119" s="97"/>
      <c r="AI119" s="97"/>
      <c r="AJ119" s="97"/>
      <c r="AK119" s="97"/>
      <c r="AL119" s="97"/>
      <c r="AM119" s="97"/>
      <c r="AN119" s="97"/>
      <c r="AO119" s="97" t="str">
        <f>IFERROR(__xludf.DUMMYFUNCTION("""COMPUTED_VALUE"""),"1 Año")</f>
        <v>1 Año</v>
      </c>
      <c r="AP119" s="97"/>
      <c r="AQ119" s="97"/>
      <c r="AR119" s="97"/>
      <c r="AS119" s="97"/>
      <c r="AT119" s="97"/>
      <c r="AU119" s="97"/>
      <c r="AV119" s="97" t="str">
        <f>IFERROR(__xludf.DUMMYFUNCTION("""COMPUTED_VALUE"""),"Aplique")</f>
        <v>Aplique</v>
      </c>
      <c r="AW119" s="97" t="str">
        <f>IFERROR(__xludf.DUMMYFUNCTION("""COMPUTED_VALUE"""),"De Techo")</f>
        <v>De Techo</v>
      </c>
      <c r="AX119" s="97" t="str">
        <f>IFERROR(__xludf.DUMMYFUNCTION("""COMPUTED_VALUE"""),"Interior")</f>
        <v>Interior</v>
      </c>
      <c r="AY119" s="97"/>
      <c r="AZ119" s="97"/>
      <c r="BA119" s="97"/>
      <c r="BB119" s="97"/>
      <c r="BC119" s="97"/>
      <c r="BD119" s="97" t="str">
        <f>IFERROR(__xludf.DUMMYFUNCTION("""COMPUTED_VALUE"""),"ZOE")</f>
        <v>ZOE</v>
      </c>
      <c r="BE119" s="97" t="str">
        <f>IFERROR(__xludf.DUMMYFUNCTION("""COMPUTED_VALUE"""),"Sin Ficha")</f>
        <v>Sin Ficha</v>
      </c>
      <c r="BF119" s="97"/>
      <c r="BG119" s="97" t="str">
        <f>IFERROR(__xludf.DUMMYFUNCTION("""COMPUTED_VALUE"""),"Discontinuo")</f>
        <v>Discontinuo</v>
      </c>
    </row>
    <row r="120">
      <c r="A120" s="97">
        <f>IFERROR(__xludf.DUMMYFUNCTION("""COMPUTED_VALUE"""),3485.0)</f>
        <v>3485</v>
      </c>
      <c r="B120" s="97" t="str">
        <f>IFERROR(__xludf.DUMMYFUNCTION("""COMPUTED_VALUE"""),"TADD I CU")</f>
        <v>TADD I CU</v>
      </c>
      <c r="C120" s="97" t="str">
        <f>IFERROR(__xludf.DUMMYFUNCTION("""COMPUTED_VALUE"""),"APLIQUE TADD I COBRE LEUK")</f>
        <v>APLIQUE TADD I COBRE LEUK</v>
      </c>
      <c r="D120" s="97">
        <f>IFERROR(__xludf.DUMMYFUNCTION("""COMPUTED_VALUE"""),7.7983287537E12)</f>
        <v>7798328753700</v>
      </c>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t="str">
        <f>IFERROR(__xludf.DUMMYFUNCTION("""COMPUTED_VALUE"""),"IP20")</f>
        <v>IP20</v>
      </c>
      <c r="AE120" s="97"/>
      <c r="AF120" s="97" t="str">
        <f>IFERROR(__xludf.DUMMYFUNCTION("""COMPUTED_VALUE"""),"Aplicar")</f>
        <v>Aplicar</v>
      </c>
      <c r="AG120" s="97"/>
      <c r="AH120" s="97"/>
      <c r="AI120" s="97"/>
      <c r="AJ120" s="97"/>
      <c r="AK120" s="97"/>
      <c r="AL120" s="97"/>
      <c r="AM120" s="97"/>
      <c r="AN120" s="97"/>
      <c r="AO120" s="97" t="str">
        <f>IFERROR(__xludf.DUMMYFUNCTION("""COMPUTED_VALUE"""),"1 Año")</f>
        <v>1 Año</v>
      </c>
      <c r="AP120" s="97"/>
      <c r="AQ120" s="97"/>
      <c r="AR120" s="97"/>
      <c r="AS120" s="97"/>
      <c r="AT120" s="97"/>
      <c r="AU120" s="97"/>
      <c r="AV120" s="97" t="str">
        <f>IFERROR(__xludf.DUMMYFUNCTION("""COMPUTED_VALUE"""),"Aplique")</f>
        <v>Aplique</v>
      </c>
      <c r="AW120" s="97" t="str">
        <f>IFERROR(__xludf.DUMMYFUNCTION("""COMPUTED_VALUE"""),"De Techo")</f>
        <v>De Techo</v>
      </c>
      <c r="AX120" s="97" t="str">
        <f>IFERROR(__xludf.DUMMYFUNCTION("""COMPUTED_VALUE"""),"Interior")</f>
        <v>Interior</v>
      </c>
      <c r="AY120" s="97"/>
      <c r="AZ120" s="97"/>
      <c r="BA120" s="97"/>
      <c r="BB120" s="97"/>
      <c r="BC120" s="97"/>
      <c r="BD120" s="97" t="str">
        <f>IFERROR(__xludf.DUMMYFUNCTION("""COMPUTED_VALUE"""),"TADD")</f>
        <v>TADD</v>
      </c>
      <c r="BE120" s="97" t="str">
        <f>IFERROR(__xludf.DUMMYFUNCTION("""COMPUTED_VALUE"""),"Sin Ficha")</f>
        <v>Sin Ficha</v>
      </c>
      <c r="BF120" s="97"/>
      <c r="BG120" s="97" t="str">
        <f>IFERROR(__xludf.DUMMYFUNCTION("""COMPUTED_VALUE"""),"Discontinuo")</f>
        <v>Discontinuo</v>
      </c>
    </row>
    <row r="121">
      <c r="A121" s="97">
        <f>IFERROR(__xludf.DUMMYFUNCTION("""COMPUTED_VALUE"""),3486.0)</f>
        <v>3486</v>
      </c>
      <c r="B121" s="97" t="str">
        <f>IFERROR(__xludf.DUMMYFUNCTION("""COMPUTED_VALUE"""),"TADD II CU")</f>
        <v>TADD II CU</v>
      </c>
      <c r="C121" s="97" t="str">
        <f>IFERROR(__xludf.DUMMYFUNCTION("""COMPUTED_VALUE"""),"APLIQUE TADD II COBRE LEUK")</f>
        <v>APLIQUE TADD II COBRE LEUK</v>
      </c>
      <c r="D121" s="97">
        <f>IFERROR(__xludf.DUMMYFUNCTION("""COMPUTED_VALUE"""),7.798328753717E12)</f>
        <v>7798328753717</v>
      </c>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t="str">
        <f>IFERROR(__xludf.DUMMYFUNCTION("""COMPUTED_VALUE"""),"IP20")</f>
        <v>IP20</v>
      </c>
      <c r="AE121" s="97"/>
      <c r="AF121" s="97" t="str">
        <f>IFERROR(__xludf.DUMMYFUNCTION("""COMPUTED_VALUE"""),"Aplicar")</f>
        <v>Aplicar</v>
      </c>
      <c r="AG121" s="97"/>
      <c r="AH121" s="97"/>
      <c r="AI121" s="97"/>
      <c r="AJ121" s="97"/>
      <c r="AK121" s="97"/>
      <c r="AL121" s="97"/>
      <c r="AM121" s="97"/>
      <c r="AN121" s="97"/>
      <c r="AO121" s="97" t="str">
        <f>IFERROR(__xludf.DUMMYFUNCTION("""COMPUTED_VALUE"""),"1 Año")</f>
        <v>1 Año</v>
      </c>
      <c r="AP121" s="97"/>
      <c r="AQ121" s="97"/>
      <c r="AR121" s="97"/>
      <c r="AS121" s="97"/>
      <c r="AT121" s="97"/>
      <c r="AU121" s="97"/>
      <c r="AV121" s="97" t="str">
        <f>IFERROR(__xludf.DUMMYFUNCTION("""COMPUTED_VALUE"""),"Aplique")</f>
        <v>Aplique</v>
      </c>
      <c r="AW121" s="97" t="str">
        <f>IFERROR(__xludf.DUMMYFUNCTION("""COMPUTED_VALUE"""),"De Techo")</f>
        <v>De Techo</v>
      </c>
      <c r="AX121" s="97" t="str">
        <f>IFERROR(__xludf.DUMMYFUNCTION("""COMPUTED_VALUE"""),"Interior")</f>
        <v>Interior</v>
      </c>
      <c r="AY121" s="97"/>
      <c r="AZ121" s="97"/>
      <c r="BA121" s="97"/>
      <c r="BB121" s="97"/>
      <c r="BC121" s="97"/>
      <c r="BD121" s="97" t="str">
        <f>IFERROR(__xludf.DUMMYFUNCTION("""COMPUTED_VALUE"""),"TADD")</f>
        <v>TADD</v>
      </c>
      <c r="BE121" s="97" t="str">
        <f>IFERROR(__xludf.DUMMYFUNCTION("""COMPUTED_VALUE"""),"Sin Ficha")</f>
        <v>Sin Ficha</v>
      </c>
      <c r="BF121" s="97"/>
      <c r="BG121" s="97" t="str">
        <f>IFERROR(__xludf.DUMMYFUNCTION("""COMPUTED_VALUE"""),"Discontinuo")</f>
        <v>Discontinuo</v>
      </c>
    </row>
    <row r="122">
      <c r="A122" s="97">
        <f>IFERROR(__xludf.DUMMYFUNCTION("""COMPUTED_VALUE"""),3487.0)</f>
        <v>3487</v>
      </c>
      <c r="B122" s="97" t="str">
        <f>IFERROR(__xludf.DUMMYFUNCTION("""COMPUTED_VALUE"""),"TADD III CU")</f>
        <v>TADD III CU</v>
      </c>
      <c r="C122" s="97" t="str">
        <f>IFERROR(__xludf.DUMMYFUNCTION("""COMPUTED_VALUE"""),"APLIQUE TADD III COBRE LEUK")</f>
        <v>APLIQUE TADD III COBRE LEUK</v>
      </c>
      <c r="D122" s="97">
        <f>IFERROR(__xludf.DUMMYFUNCTION("""COMPUTED_VALUE"""),7.798328753724E12)</f>
        <v>7798328753724</v>
      </c>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t="str">
        <f>IFERROR(__xludf.DUMMYFUNCTION("""COMPUTED_VALUE"""),"IP20")</f>
        <v>IP20</v>
      </c>
      <c r="AE122" s="97"/>
      <c r="AF122" s="97" t="str">
        <f>IFERROR(__xludf.DUMMYFUNCTION("""COMPUTED_VALUE"""),"Aplicar")</f>
        <v>Aplicar</v>
      </c>
      <c r="AG122" s="97"/>
      <c r="AH122" s="97"/>
      <c r="AI122" s="97"/>
      <c r="AJ122" s="97"/>
      <c r="AK122" s="97"/>
      <c r="AL122" s="97"/>
      <c r="AM122" s="97"/>
      <c r="AN122" s="97"/>
      <c r="AO122" s="97" t="str">
        <f>IFERROR(__xludf.DUMMYFUNCTION("""COMPUTED_VALUE"""),"1 Año")</f>
        <v>1 Año</v>
      </c>
      <c r="AP122" s="97"/>
      <c r="AQ122" s="97"/>
      <c r="AR122" s="97"/>
      <c r="AS122" s="97"/>
      <c r="AT122" s="97"/>
      <c r="AU122" s="97"/>
      <c r="AV122" s="97" t="str">
        <f>IFERROR(__xludf.DUMMYFUNCTION("""COMPUTED_VALUE"""),"Aplique")</f>
        <v>Aplique</v>
      </c>
      <c r="AW122" s="97" t="str">
        <f>IFERROR(__xludf.DUMMYFUNCTION("""COMPUTED_VALUE"""),"De Techo")</f>
        <v>De Techo</v>
      </c>
      <c r="AX122" s="97" t="str">
        <f>IFERROR(__xludf.DUMMYFUNCTION("""COMPUTED_VALUE"""),"Interior")</f>
        <v>Interior</v>
      </c>
      <c r="AY122" s="97"/>
      <c r="AZ122" s="97"/>
      <c r="BA122" s="97"/>
      <c r="BB122" s="97"/>
      <c r="BC122" s="97"/>
      <c r="BD122" s="97" t="str">
        <f>IFERROR(__xludf.DUMMYFUNCTION("""COMPUTED_VALUE"""),"TADD")</f>
        <v>TADD</v>
      </c>
      <c r="BE122" s="97" t="str">
        <f>IFERROR(__xludf.DUMMYFUNCTION("""COMPUTED_VALUE"""),"Sin Ficha")</f>
        <v>Sin Ficha</v>
      </c>
      <c r="BF122" s="97"/>
      <c r="BG122" s="97" t="str">
        <f>IFERROR(__xludf.DUMMYFUNCTION("""COMPUTED_VALUE"""),"Discontinuo")</f>
        <v>Discontinuo</v>
      </c>
    </row>
    <row r="123">
      <c r="A123" s="97">
        <f>IFERROR(__xludf.DUMMYFUNCTION("""COMPUTED_VALUE"""),3488.0)</f>
        <v>3488</v>
      </c>
      <c r="B123" s="97" t="str">
        <f>IFERROR(__xludf.DUMMYFUNCTION("""COMPUTED_VALUE"""),"TADD IV CU")</f>
        <v>TADD IV CU</v>
      </c>
      <c r="C123" s="97" t="str">
        <f>IFERROR(__xludf.DUMMYFUNCTION("""COMPUTED_VALUE"""),"APLIQUE TADD IV COBRE LEUK")</f>
        <v>APLIQUE TADD IV COBRE LEUK</v>
      </c>
      <c r="D123" s="97">
        <f>IFERROR(__xludf.DUMMYFUNCTION("""COMPUTED_VALUE"""),7.798328753731E12)</f>
        <v>7798328753731</v>
      </c>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t="str">
        <f>IFERROR(__xludf.DUMMYFUNCTION("""COMPUTED_VALUE"""),"IP20")</f>
        <v>IP20</v>
      </c>
      <c r="AE123" s="97"/>
      <c r="AF123" s="97" t="str">
        <f>IFERROR(__xludf.DUMMYFUNCTION("""COMPUTED_VALUE"""),"Aplicar")</f>
        <v>Aplicar</v>
      </c>
      <c r="AG123" s="97"/>
      <c r="AH123" s="97"/>
      <c r="AI123" s="97"/>
      <c r="AJ123" s="97"/>
      <c r="AK123" s="97"/>
      <c r="AL123" s="97"/>
      <c r="AM123" s="97"/>
      <c r="AN123" s="97"/>
      <c r="AO123" s="97" t="str">
        <f>IFERROR(__xludf.DUMMYFUNCTION("""COMPUTED_VALUE"""),"1 Año")</f>
        <v>1 Año</v>
      </c>
      <c r="AP123" s="97"/>
      <c r="AQ123" s="97"/>
      <c r="AR123" s="97"/>
      <c r="AS123" s="97"/>
      <c r="AT123" s="97"/>
      <c r="AU123" s="97"/>
      <c r="AV123" s="97" t="str">
        <f>IFERROR(__xludf.DUMMYFUNCTION("""COMPUTED_VALUE"""),"Aplique")</f>
        <v>Aplique</v>
      </c>
      <c r="AW123" s="97" t="str">
        <f>IFERROR(__xludf.DUMMYFUNCTION("""COMPUTED_VALUE"""),"De Techo")</f>
        <v>De Techo</v>
      </c>
      <c r="AX123" s="97" t="str">
        <f>IFERROR(__xludf.DUMMYFUNCTION("""COMPUTED_VALUE"""),"Interior")</f>
        <v>Interior</v>
      </c>
      <c r="AY123" s="97"/>
      <c r="AZ123" s="97"/>
      <c r="BA123" s="97"/>
      <c r="BB123" s="97"/>
      <c r="BC123" s="97"/>
      <c r="BD123" s="97" t="str">
        <f>IFERROR(__xludf.DUMMYFUNCTION("""COMPUTED_VALUE"""),"TADD")</f>
        <v>TADD</v>
      </c>
      <c r="BE123" s="97" t="str">
        <f>IFERROR(__xludf.DUMMYFUNCTION("""COMPUTED_VALUE"""),"Sin Ficha")</f>
        <v>Sin Ficha</v>
      </c>
      <c r="BF123" s="97"/>
      <c r="BG123" s="97" t="str">
        <f>IFERROR(__xludf.DUMMYFUNCTION("""COMPUTED_VALUE"""),"Discontinuo")</f>
        <v>Discontinuo</v>
      </c>
    </row>
    <row r="124">
      <c r="A124" s="97">
        <f>IFERROR(__xludf.DUMMYFUNCTION("""COMPUTED_VALUE"""),3489.0)</f>
        <v>3489</v>
      </c>
      <c r="B124" s="97" t="str">
        <f>IFERROR(__xludf.DUMMYFUNCTION("""COMPUTED_VALUE"""),"XYLO II MDNI")</f>
        <v>XYLO II MDNI</v>
      </c>
      <c r="C124" s="97" t="str">
        <f>IFERROR(__xludf.DUMMYFUNCTION("""COMPUTED_VALUE"""),"APLIQUE XYLO II MADERA Y NIQUEL SATINADO LEUK")</f>
        <v>APLIQUE XYLO II MADERA Y NIQUEL SATINADO LEUK</v>
      </c>
      <c r="D124" s="97">
        <f>IFERROR(__xludf.DUMMYFUNCTION("""COMPUTED_VALUE"""),7.798328753755E12)</f>
        <v>7798328753755</v>
      </c>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t="str">
        <f>IFERROR(__xludf.DUMMYFUNCTION("""COMPUTED_VALUE"""),"IP20")</f>
        <v>IP20</v>
      </c>
      <c r="AE124" s="97"/>
      <c r="AF124" s="97" t="str">
        <f>IFERROR(__xludf.DUMMYFUNCTION("""COMPUTED_VALUE"""),"Aplicar")</f>
        <v>Aplicar</v>
      </c>
      <c r="AG124" s="97"/>
      <c r="AH124" s="97"/>
      <c r="AI124" s="97"/>
      <c r="AJ124" s="97"/>
      <c r="AK124" s="97"/>
      <c r="AL124" s="97"/>
      <c r="AM124" s="97"/>
      <c r="AN124" s="97"/>
      <c r="AO124" s="97" t="str">
        <f>IFERROR(__xludf.DUMMYFUNCTION("""COMPUTED_VALUE"""),"1 Año")</f>
        <v>1 Año</v>
      </c>
      <c r="AP124" s="97"/>
      <c r="AQ124" s="97"/>
      <c r="AR124" s="97"/>
      <c r="AS124" s="97"/>
      <c r="AT124" s="97"/>
      <c r="AU124" s="97"/>
      <c r="AV124" s="97" t="str">
        <f>IFERROR(__xludf.DUMMYFUNCTION("""COMPUTED_VALUE"""),"Aplique")</f>
        <v>Aplique</v>
      </c>
      <c r="AW124" s="97" t="str">
        <f>IFERROR(__xludf.DUMMYFUNCTION("""COMPUTED_VALUE"""),"De Techo")</f>
        <v>De Techo</v>
      </c>
      <c r="AX124" s="97" t="str">
        <f>IFERROR(__xludf.DUMMYFUNCTION("""COMPUTED_VALUE"""),"Interior")</f>
        <v>Interior</v>
      </c>
      <c r="AY124" s="97"/>
      <c r="AZ124" s="97"/>
      <c r="BA124" s="97"/>
      <c r="BB124" s="97"/>
      <c r="BC124" s="97"/>
      <c r="BD124" s="97" t="str">
        <f>IFERROR(__xludf.DUMMYFUNCTION("""COMPUTED_VALUE"""),"XYLO")</f>
        <v>XYLO</v>
      </c>
      <c r="BE124" s="97" t="str">
        <f>IFERROR(__xludf.DUMMYFUNCTION("""COMPUTED_VALUE"""),"Sin Ficha")</f>
        <v>Sin Ficha</v>
      </c>
      <c r="BF124" s="97"/>
      <c r="BG124" s="97" t="str">
        <f>IFERROR(__xludf.DUMMYFUNCTION("""COMPUTED_VALUE"""),"Discontinuo")</f>
        <v>Discontinuo</v>
      </c>
    </row>
    <row r="125">
      <c r="A125" s="97">
        <f>IFERROR(__xludf.DUMMYFUNCTION("""COMPUTED_VALUE"""),3490.0)</f>
        <v>3490</v>
      </c>
      <c r="B125" s="97" t="str">
        <f>IFERROR(__xludf.DUMMYFUNCTION("""COMPUTED_VALUE"""),"XYLO III MDNI")</f>
        <v>XYLO III MDNI</v>
      </c>
      <c r="C125" s="97" t="str">
        <f>IFERROR(__xludf.DUMMYFUNCTION("""COMPUTED_VALUE"""),"APLIQUE XYLO III MADERA Y NIQUEL SATINADO LEUK")</f>
        <v>APLIQUE XYLO III MADERA Y NIQUEL SATINADO LEUK</v>
      </c>
      <c r="D125" s="97">
        <f>IFERROR(__xludf.DUMMYFUNCTION("""COMPUTED_VALUE"""),7.798328753762E12)</f>
        <v>7798328753762</v>
      </c>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t="str">
        <f>IFERROR(__xludf.DUMMYFUNCTION("""COMPUTED_VALUE"""),"IP20")</f>
        <v>IP20</v>
      </c>
      <c r="AE125" s="97"/>
      <c r="AF125" s="97" t="str">
        <f>IFERROR(__xludf.DUMMYFUNCTION("""COMPUTED_VALUE"""),"Aplicar")</f>
        <v>Aplicar</v>
      </c>
      <c r="AG125" s="97"/>
      <c r="AH125" s="97"/>
      <c r="AI125" s="97"/>
      <c r="AJ125" s="97"/>
      <c r="AK125" s="97"/>
      <c r="AL125" s="97"/>
      <c r="AM125" s="97"/>
      <c r="AN125" s="97"/>
      <c r="AO125" s="97" t="str">
        <f>IFERROR(__xludf.DUMMYFUNCTION("""COMPUTED_VALUE"""),"1 Año")</f>
        <v>1 Año</v>
      </c>
      <c r="AP125" s="97"/>
      <c r="AQ125" s="97"/>
      <c r="AR125" s="97"/>
      <c r="AS125" s="97"/>
      <c r="AT125" s="97"/>
      <c r="AU125" s="97"/>
      <c r="AV125" s="97" t="str">
        <f>IFERROR(__xludf.DUMMYFUNCTION("""COMPUTED_VALUE"""),"Aplique")</f>
        <v>Aplique</v>
      </c>
      <c r="AW125" s="97" t="str">
        <f>IFERROR(__xludf.DUMMYFUNCTION("""COMPUTED_VALUE"""),"De Techo")</f>
        <v>De Techo</v>
      </c>
      <c r="AX125" s="97" t="str">
        <f>IFERROR(__xludf.DUMMYFUNCTION("""COMPUTED_VALUE"""),"Interior")</f>
        <v>Interior</v>
      </c>
      <c r="AY125" s="97"/>
      <c r="AZ125" s="97"/>
      <c r="BA125" s="97"/>
      <c r="BB125" s="97"/>
      <c r="BC125" s="97"/>
      <c r="BD125" s="97" t="str">
        <f>IFERROR(__xludf.DUMMYFUNCTION("""COMPUTED_VALUE"""),"XYLO")</f>
        <v>XYLO</v>
      </c>
      <c r="BE125" s="97" t="str">
        <f>IFERROR(__xludf.DUMMYFUNCTION("""COMPUTED_VALUE"""),"Sin Ficha")</f>
        <v>Sin Ficha</v>
      </c>
      <c r="BF125" s="97"/>
      <c r="BG125" s="97" t="str">
        <f>IFERROR(__xludf.DUMMYFUNCTION("""COMPUTED_VALUE"""),"Discontinuo")</f>
        <v>Discontinuo</v>
      </c>
    </row>
    <row r="126">
      <c r="A126" s="97">
        <f>IFERROR(__xludf.DUMMYFUNCTION("""COMPUTED_VALUE"""),3491.0)</f>
        <v>3491</v>
      </c>
      <c r="B126" s="97" t="str">
        <f>IFERROR(__xludf.DUMMYFUNCTION("""COMPUTED_VALUE"""),"XYLO IV MDNI")</f>
        <v>XYLO IV MDNI</v>
      </c>
      <c r="C126" s="97" t="str">
        <f>IFERROR(__xludf.DUMMYFUNCTION("""COMPUTED_VALUE"""),"APLIQUE XYLO IV MADERA Y NIQUEL SATINADO LEUK")</f>
        <v>APLIQUE XYLO IV MADERA Y NIQUEL SATINADO LEUK</v>
      </c>
      <c r="D126" s="97">
        <f>IFERROR(__xludf.DUMMYFUNCTION("""COMPUTED_VALUE"""),7.798328753779E12)</f>
        <v>7798328753779</v>
      </c>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t="str">
        <f>IFERROR(__xludf.DUMMYFUNCTION("""COMPUTED_VALUE"""),"IP20")</f>
        <v>IP20</v>
      </c>
      <c r="AE126" s="97"/>
      <c r="AF126" s="97" t="str">
        <f>IFERROR(__xludf.DUMMYFUNCTION("""COMPUTED_VALUE"""),"Aplicar")</f>
        <v>Aplicar</v>
      </c>
      <c r="AG126" s="97"/>
      <c r="AH126" s="97"/>
      <c r="AI126" s="97"/>
      <c r="AJ126" s="97"/>
      <c r="AK126" s="97"/>
      <c r="AL126" s="97"/>
      <c r="AM126" s="97"/>
      <c r="AN126" s="97"/>
      <c r="AO126" s="97" t="str">
        <f>IFERROR(__xludf.DUMMYFUNCTION("""COMPUTED_VALUE"""),"1 Año")</f>
        <v>1 Año</v>
      </c>
      <c r="AP126" s="97"/>
      <c r="AQ126" s="97"/>
      <c r="AR126" s="97"/>
      <c r="AS126" s="97"/>
      <c r="AT126" s="97"/>
      <c r="AU126" s="97"/>
      <c r="AV126" s="97" t="str">
        <f>IFERROR(__xludf.DUMMYFUNCTION("""COMPUTED_VALUE"""),"Aplique")</f>
        <v>Aplique</v>
      </c>
      <c r="AW126" s="97" t="str">
        <f>IFERROR(__xludf.DUMMYFUNCTION("""COMPUTED_VALUE"""),"De Techo")</f>
        <v>De Techo</v>
      </c>
      <c r="AX126" s="97" t="str">
        <f>IFERROR(__xludf.DUMMYFUNCTION("""COMPUTED_VALUE"""),"Interior")</f>
        <v>Interior</v>
      </c>
      <c r="AY126" s="97"/>
      <c r="AZ126" s="97"/>
      <c r="BA126" s="97"/>
      <c r="BB126" s="97"/>
      <c r="BC126" s="97"/>
      <c r="BD126" s="97" t="str">
        <f>IFERROR(__xludf.DUMMYFUNCTION("""COMPUTED_VALUE"""),"XYLO")</f>
        <v>XYLO</v>
      </c>
      <c r="BE126" s="97" t="str">
        <f>IFERROR(__xludf.DUMMYFUNCTION("""COMPUTED_VALUE"""),"Sin Ficha")</f>
        <v>Sin Ficha</v>
      </c>
      <c r="BF126" s="97"/>
      <c r="BG126" s="97" t="str">
        <f>IFERROR(__xludf.DUMMYFUNCTION("""COMPUTED_VALUE"""),"Discontinuo")</f>
        <v>Discontinuo</v>
      </c>
    </row>
    <row r="127">
      <c r="A127" s="97">
        <f>IFERROR(__xludf.DUMMYFUNCTION("""COMPUTED_VALUE"""),3492.0)</f>
        <v>3492</v>
      </c>
      <c r="B127" s="97" t="str">
        <f>IFERROR(__xludf.DUMMYFUNCTION("""COMPUTED_VALUE"""),"XYLO I MDNI")</f>
        <v>XYLO I MDNI</v>
      </c>
      <c r="C127" s="97" t="str">
        <f>IFERROR(__xludf.DUMMYFUNCTION("""COMPUTED_VALUE"""),"APLIQUE XYLO I MADERA Y NIQUEL SATINADO LEUK")</f>
        <v>APLIQUE XYLO I MADERA Y NIQUEL SATINADO LEUK</v>
      </c>
      <c r="D127" s="97">
        <f>IFERROR(__xludf.DUMMYFUNCTION("""COMPUTED_VALUE"""),7.798328753748E12)</f>
        <v>7798328753748</v>
      </c>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t="str">
        <f>IFERROR(__xludf.DUMMYFUNCTION("""COMPUTED_VALUE"""),"IP20")</f>
        <v>IP20</v>
      </c>
      <c r="AE127" s="97"/>
      <c r="AF127" s="97" t="str">
        <f>IFERROR(__xludf.DUMMYFUNCTION("""COMPUTED_VALUE"""),"Aplicar")</f>
        <v>Aplicar</v>
      </c>
      <c r="AG127" s="97"/>
      <c r="AH127" s="97"/>
      <c r="AI127" s="97"/>
      <c r="AJ127" s="97"/>
      <c r="AK127" s="97"/>
      <c r="AL127" s="97"/>
      <c r="AM127" s="97"/>
      <c r="AN127" s="97"/>
      <c r="AO127" s="97" t="str">
        <f>IFERROR(__xludf.DUMMYFUNCTION("""COMPUTED_VALUE"""),"1 Año")</f>
        <v>1 Año</v>
      </c>
      <c r="AP127" s="97"/>
      <c r="AQ127" s="97"/>
      <c r="AR127" s="97"/>
      <c r="AS127" s="97"/>
      <c r="AT127" s="97"/>
      <c r="AU127" s="97"/>
      <c r="AV127" s="97" t="str">
        <f>IFERROR(__xludf.DUMMYFUNCTION("""COMPUTED_VALUE"""),"Aplique")</f>
        <v>Aplique</v>
      </c>
      <c r="AW127" s="97" t="str">
        <f>IFERROR(__xludf.DUMMYFUNCTION("""COMPUTED_VALUE"""),"De Techo")</f>
        <v>De Techo</v>
      </c>
      <c r="AX127" s="97" t="str">
        <f>IFERROR(__xludf.DUMMYFUNCTION("""COMPUTED_VALUE"""),"Interior")</f>
        <v>Interior</v>
      </c>
      <c r="AY127" s="97"/>
      <c r="AZ127" s="97"/>
      <c r="BA127" s="97"/>
      <c r="BB127" s="97"/>
      <c r="BC127" s="97"/>
      <c r="BD127" s="97" t="str">
        <f>IFERROR(__xludf.DUMMYFUNCTION("""COMPUTED_VALUE"""),"XYLO")</f>
        <v>XYLO</v>
      </c>
      <c r="BE127" s="97" t="str">
        <f>IFERROR(__xludf.DUMMYFUNCTION("""COMPUTED_VALUE"""),"Sin Ficha")</f>
        <v>Sin Ficha</v>
      </c>
      <c r="BF127" s="97"/>
      <c r="BG127" s="97" t="str">
        <f>IFERROR(__xludf.DUMMYFUNCTION("""COMPUTED_VALUE"""),"Discontinuo")</f>
        <v>Discontinuo</v>
      </c>
    </row>
    <row r="128">
      <c r="A128" s="97">
        <f>IFERROR(__xludf.DUMMYFUNCTION("""COMPUTED_VALUE"""),3493.0)</f>
        <v>3493</v>
      </c>
      <c r="B128" s="97" t="str">
        <f>IFERROR(__xludf.DUMMYFUNCTION("""COMPUTED_VALUE"""),"DESA III NI")</f>
        <v>DESA III NI</v>
      </c>
      <c r="C128" s="97" t="str">
        <f>IFERROR(__xludf.DUMMYFUNCTION("""COMPUTED_VALUE"""),"APLIQUE DESA III NIQUEL LEUK")</f>
        <v>APLIQUE DESA III NIQUEL LEUK</v>
      </c>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t="str">
        <f>IFERROR(__xludf.DUMMYFUNCTION("""COMPUTED_VALUE"""),"IP20")</f>
        <v>IP20</v>
      </c>
      <c r="AE128" s="97"/>
      <c r="AF128" s="97" t="str">
        <f>IFERROR(__xludf.DUMMYFUNCTION("""COMPUTED_VALUE"""),"Aplicar")</f>
        <v>Aplicar</v>
      </c>
      <c r="AG128" s="97"/>
      <c r="AH128" s="97"/>
      <c r="AI128" s="97"/>
      <c r="AJ128" s="97"/>
      <c r="AK128" s="97"/>
      <c r="AL128" s="97"/>
      <c r="AM128" s="97"/>
      <c r="AN128" s="97"/>
      <c r="AO128" s="97" t="str">
        <f>IFERROR(__xludf.DUMMYFUNCTION("""COMPUTED_VALUE"""),"1 Año")</f>
        <v>1 Año</v>
      </c>
      <c r="AP128" s="97"/>
      <c r="AQ128" s="97"/>
      <c r="AR128" s="97"/>
      <c r="AS128" s="97"/>
      <c r="AT128" s="97"/>
      <c r="AU128" s="97"/>
      <c r="AV128" s="97" t="str">
        <f>IFERROR(__xludf.DUMMYFUNCTION("""COMPUTED_VALUE"""),"Aplique")</f>
        <v>Aplique</v>
      </c>
      <c r="AW128" s="97" t="str">
        <f>IFERROR(__xludf.DUMMYFUNCTION("""COMPUTED_VALUE"""),"De Techo")</f>
        <v>De Techo</v>
      </c>
      <c r="AX128" s="97" t="str">
        <f>IFERROR(__xludf.DUMMYFUNCTION("""COMPUTED_VALUE"""),"Interior")</f>
        <v>Interior</v>
      </c>
      <c r="AY128" s="97"/>
      <c r="AZ128" s="97"/>
      <c r="BA128" s="97"/>
      <c r="BB128" s="97"/>
      <c r="BC128" s="97"/>
      <c r="BD128" s="97" t="str">
        <f>IFERROR(__xludf.DUMMYFUNCTION("""COMPUTED_VALUE"""),"DESA")</f>
        <v>DESA</v>
      </c>
      <c r="BE128" s="97" t="str">
        <f>IFERROR(__xludf.DUMMYFUNCTION("""COMPUTED_VALUE"""),"Sin Ficha")</f>
        <v>Sin Ficha</v>
      </c>
      <c r="BF128" s="97"/>
      <c r="BG128" s="97" t="str">
        <f>IFERROR(__xludf.DUMMYFUNCTION("""COMPUTED_VALUE"""),"Discontinuo")</f>
        <v>Discontinuo</v>
      </c>
    </row>
    <row r="129">
      <c r="A129" s="97">
        <f>IFERROR(__xludf.DUMMYFUNCTION("""COMPUTED_VALUE"""),3494.0)</f>
        <v>3494</v>
      </c>
      <c r="B129" s="97" t="str">
        <f>IFERROR(__xludf.DUMMYFUNCTION("""COMPUTED_VALUE"""),"AFRO")</f>
        <v>AFRO</v>
      </c>
      <c r="C129" s="97" t="str">
        <f>IFERROR(__xludf.DUMMYFUNCTION("""COMPUTED_VALUE"""),"COLGANTE AFRO LEUK")</f>
        <v>COLGANTE AFRO LEUK</v>
      </c>
      <c r="D129" s="97">
        <f>IFERROR(__xludf.DUMMYFUNCTION("""COMPUTED_VALUE"""),7.798328752406E12)</f>
        <v>7798328752406</v>
      </c>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t="str">
        <f>IFERROR(__xludf.DUMMYFUNCTION("""COMPUTED_VALUE"""),"IP20")</f>
        <v>IP20</v>
      </c>
      <c r="AE129" s="97"/>
      <c r="AF129" s="97" t="str">
        <f>IFERROR(__xludf.DUMMYFUNCTION("""COMPUTED_VALUE"""),"Suspender")</f>
        <v>Suspender</v>
      </c>
      <c r="AG129" s="97"/>
      <c r="AH129" s="97"/>
      <c r="AI129" s="97"/>
      <c r="AJ129" s="97"/>
      <c r="AK129" s="97"/>
      <c r="AL129" s="97"/>
      <c r="AM129" s="97"/>
      <c r="AN129" s="97"/>
      <c r="AO129" s="97" t="str">
        <f>IFERROR(__xludf.DUMMYFUNCTION("""COMPUTED_VALUE"""),"1 Año")</f>
        <v>1 Año</v>
      </c>
      <c r="AP129" s="97"/>
      <c r="AQ129" s="97"/>
      <c r="AR129" s="97"/>
      <c r="AS129" s="97"/>
      <c r="AT129" s="97"/>
      <c r="AU129" s="97"/>
      <c r="AV129" s="97" t="str">
        <f>IFERROR(__xludf.DUMMYFUNCTION("""COMPUTED_VALUE"""),"Colgante")</f>
        <v>Colgante</v>
      </c>
      <c r="AW129" s="97" t="str">
        <f>IFERROR(__xludf.DUMMYFUNCTION("""COMPUTED_VALUE"""),"De Techo")</f>
        <v>De Techo</v>
      </c>
      <c r="AX129" s="97" t="str">
        <f>IFERROR(__xludf.DUMMYFUNCTION("""COMPUTED_VALUE"""),"Interior")</f>
        <v>Interior</v>
      </c>
      <c r="AY129" s="97"/>
      <c r="AZ129" s="97"/>
      <c r="BA129" s="97"/>
      <c r="BB129" s="97"/>
      <c r="BC129" s="97"/>
      <c r="BD129" s="97" t="str">
        <f>IFERROR(__xludf.DUMMYFUNCTION("""COMPUTED_VALUE"""),"AFRO")</f>
        <v>AFRO</v>
      </c>
      <c r="BE129" s="97" t="str">
        <f>IFERROR(__xludf.DUMMYFUNCTION("""COMPUTED_VALUE"""),"Sin Ficha")</f>
        <v>Sin Ficha</v>
      </c>
      <c r="BF129" s="97"/>
      <c r="BG129" s="97" t="str">
        <f>IFERROR(__xludf.DUMMYFUNCTION("""COMPUTED_VALUE"""),"Discontinuo")</f>
        <v>Discontinuo</v>
      </c>
    </row>
    <row r="130">
      <c r="A130" s="97">
        <f>IFERROR(__xludf.DUMMYFUNCTION("""COMPUTED_VALUE"""),3495.0)</f>
        <v>3495</v>
      </c>
      <c r="B130" s="97" t="str">
        <f>IFERROR(__xludf.DUMMYFUNCTION("""COMPUTED_VALUE"""),"PERSA NG")</f>
        <v>PERSA NG</v>
      </c>
      <c r="C130" s="97" t="str">
        <f>IFERROR(__xludf.DUMMYFUNCTION("""COMPUTED_VALUE"""),"COLGANTE PERSA LEUK NEGRO")</f>
        <v>COLGANTE PERSA LEUK NEGRO</v>
      </c>
      <c r="D130" s="97">
        <f>IFERROR(__xludf.DUMMYFUNCTION("""COMPUTED_VALUE"""),7.798328752413E12)</f>
        <v>7798328752413</v>
      </c>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t="str">
        <f>IFERROR(__xludf.DUMMYFUNCTION("""COMPUTED_VALUE"""),"IP20")</f>
        <v>IP20</v>
      </c>
      <c r="AE130" s="97"/>
      <c r="AF130" s="97" t="str">
        <f>IFERROR(__xludf.DUMMYFUNCTION("""COMPUTED_VALUE"""),"Suspender")</f>
        <v>Suspender</v>
      </c>
      <c r="AG130" s="97"/>
      <c r="AH130" s="97"/>
      <c r="AI130" s="97"/>
      <c r="AJ130" s="97"/>
      <c r="AK130" s="97"/>
      <c r="AL130" s="97"/>
      <c r="AM130" s="97"/>
      <c r="AN130" s="97"/>
      <c r="AO130" s="97" t="str">
        <f>IFERROR(__xludf.DUMMYFUNCTION("""COMPUTED_VALUE"""),"1 Año")</f>
        <v>1 Año</v>
      </c>
      <c r="AP130" s="97"/>
      <c r="AQ130" s="97"/>
      <c r="AR130" s="97"/>
      <c r="AS130" s="97"/>
      <c r="AT130" s="97"/>
      <c r="AU130" s="97"/>
      <c r="AV130" s="97" t="str">
        <f>IFERROR(__xludf.DUMMYFUNCTION("""COMPUTED_VALUE"""),"Colgante")</f>
        <v>Colgante</v>
      </c>
      <c r="AW130" s="97" t="str">
        <f>IFERROR(__xludf.DUMMYFUNCTION("""COMPUTED_VALUE"""),"De Techo")</f>
        <v>De Techo</v>
      </c>
      <c r="AX130" s="97" t="str">
        <f>IFERROR(__xludf.DUMMYFUNCTION("""COMPUTED_VALUE"""),"Interior")</f>
        <v>Interior</v>
      </c>
      <c r="AY130" s="97"/>
      <c r="AZ130" s="97"/>
      <c r="BA130" s="97"/>
      <c r="BB130" s="97"/>
      <c r="BC130" s="97"/>
      <c r="BD130" s="97" t="str">
        <f>IFERROR(__xludf.DUMMYFUNCTION("""COMPUTED_VALUE"""),"PERSA")</f>
        <v>PERSA</v>
      </c>
      <c r="BE130" s="97" t="str">
        <f>IFERROR(__xludf.DUMMYFUNCTION("""COMPUTED_VALUE"""),"Sin Ficha")</f>
        <v>Sin Ficha</v>
      </c>
      <c r="BF130" s="97"/>
      <c r="BG130" s="97" t="str">
        <f>IFERROR(__xludf.DUMMYFUNCTION("""COMPUTED_VALUE"""),"Discontinuo")</f>
        <v>Discontinuo</v>
      </c>
    </row>
    <row r="131">
      <c r="A131" s="97">
        <f>IFERROR(__xludf.DUMMYFUNCTION("""COMPUTED_VALUE"""),3496.0)</f>
        <v>3496</v>
      </c>
      <c r="B131" s="97" t="str">
        <f>IFERROR(__xludf.DUMMYFUNCTION("""COMPUTED_VALUE"""),"PERSA BL")</f>
        <v>PERSA BL</v>
      </c>
      <c r="C131" s="97" t="str">
        <f>IFERROR(__xludf.DUMMYFUNCTION("""COMPUTED_VALUE"""),"COLGANTE PERSA LEUK BLANCO")</f>
        <v>COLGANTE PERSA LEUK BLANCO</v>
      </c>
      <c r="D131" s="97">
        <f>IFERROR(__xludf.DUMMYFUNCTION("""COMPUTED_VALUE"""),7.79832875242E12)</f>
        <v>7798328752420</v>
      </c>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t="str">
        <f>IFERROR(__xludf.DUMMYFUNCTION("""COMPUTED_VALUE"""),"IP20")</f>
        <v>IP20</v>
      </c>
      <c r="AE131" s="97"/>
      <c r="AF131" s="97" t="str">
        <f>IFERROR(__xludf.DUMMYFUNCTION("""COMPUTED_VALUE"""),"Suspender")</f>
        <v>Suspender</v>
      </c>
      <c r="AG131" s="97"/>
      <c r="AH131" s="97"/>
      <c r="AI131" s="97"/>
      <c r="AJ131" s="97"/>
      <c r="AK131" s="97"/>
      <c r="AL131" s="97"/>
      <c r="AM131" s="97"/>
      <c r="AN131" s="97"/>
      <c r="AO131" s="97" t="str">
        <f>IFERROR(__xludf.DUMMYFUNCTION("""COMPUTED_VALUE"""),"1 Año")</f>
        <v>1 Año</v>
      </c>
      <c r="AP131" s="97"/>
      <c r="AQ131" s="97"/>
      <c r="AR131" s="97"/>
      <c r="AS131" s="97"/>
      <c r="AT131" s="97"/>
      <c r="AU131" s="97"/>
      <c r="AV131" s="97" t="str">
        <f>IFERROR(__xludf.DUMMYFUNCTION("""COMPUTED_VALUE"""),"Colgante")</f>
        <v>Colgante</v>
      </c>
      <c r="AW131" s="97" t="str">
        <f>IFERROR(__xludf.DUMMYFUNCTION("""COMPUTED_VALUE"""),"De Techo")</f>
        <v>De Techo</v>
      </c>
      <c r="AX131" s="97" t="str">
        <f>IFERROR(__xludf.DUMMYFUNCTION("""COMPUTED_VALUE"""),"Interior")</f>
        <v>Interior</v>
      </c>
      <c r="AY131" s="97"/>
      <c r="AZ131" s="97"/>
      <c r="BA131" s="97"/>
      <c r="BB131" s="97"/>
      <c r="BC131" s="97"/>
      <c r="BD131" s="97" t="str">
        <f>IFERROR(__xludf.DUMMYFUNCTION("""COMPUTED_VALUE"""),"PERSA")</f>
        <v>PERSA</v>
      </c>
      <c r="BE131" s="97" t="str">
        <f>IFERROR(__xludf.DUMMYFUNCTION("""COMPUTED_VALUE"""),"Sin Ficha")</f>
        <v>Sin Ficha</v>
      </c>
      <c r="BF131" s="97"/>
      <c r="BG131" s="97" t="str">
        <f>IFERROR(__xludf.DUMMYFUNCTION("""COMPUTED_VALUE"""),"Discontinuo")</f>
        <v>Discontinuo</v>
      </c>
    </row>
    <row r="132">
      <c r="A132" s="97">
        <f>IFERROR(__xludf.DUMMYFUNCTION("""COMPUTED_VALUE"""),3497.0)</f>
        <v>3497</v>
      </c>
      <c r="B132" s="97" t="str">
        <f>IFERROR(__xludf.DUMMYFUNCTION("""COMPUTED_VALUE"""),"HERA")</f>
        <v>HERA</v>
      </c>
      <c r="C132" s="97" t="str">
        <f>IFERROR(__xludf.DUMMYFUNCTION("""COMPUTED_VALUE"""),"COLGANTE HERA LEUK")</f>
        <v>COLGANTE HERA LEUK</v>
      </c>
      <c r="D132" s="97">
        <f>IFERROR(__xludf.DUMMYFUNCTION("""COMPUTED_VALUE"""),7.798328752437E12)</f>
        <v>7798328752437</v>
      </c>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t="str">
        <f>IFERROR(__xludf.DUMMYFUNCTION("""COMPUTED_VALUE"""),"IP20")</f>
        <v>IP20</v>
      </c>
      <c r="AE132" s="97"/>
      <c r="AF132" s="97" t="str">
        <f>IFERROR(__xludf.DUMMYFUNCTION("""COMPUTED_VALUE"""),"Suspender")</f>
        <v>Suspender</v>
      </c>
      <c r="AG132" s="97"/>
      <c r="AH132" s="97"/>
      <c r="AI132" s="97"/>
      <c r="AJ132" s="97"/>
      <c r="AK132" s="97"/>
      <c r="AL132" s="97"/>
      <c r="AM132" s="97"/>
      <c r="AN132" s="97"/>
      <c r="AO132" s="97" t="str">
        <f>IFERROR(__xludf.DUMMYFUNCTION("""COMPUTED_VALUE"""),"1 Año")</f>
        <v>1 Año</v>
      </c>
      <c r="AP132" s="97"/>
      <c r="AQ132" s="97"/>
      <c r="AR132" s="97"/>
      <c r="AS132" s="97"/>
      <c r="AT132" s="97"/>
      <c r="AU132" s="97"/>
      <c r="AV132" s="97" t="str">
        <f>IFERROR(__xludf.DUMMYFUNCTION("""COMPUTED_VALUE"""),"Colgante")</f>
        <v>Colgante</v>
      </c>
      <c r="AW132" s="97" t="str">
        <f>IFERROR(__xludf.DUMMYFUNCTION("""COMPUTED_VALUE"""),"De Techo")</f>
        <v>De Techo</v>
      </c>
      <c r="AX132" s="97" t="str">
        <f>IFERROR(__xludf.DUMMYFUNCTION("""COMPUTED_VALUE"""),"Interior")</f>
        <v>Interior</v>
      </c>
      <c r="AY132" s="97"/>
      <c r="AZ132" s="97"/>
      <c r="BA132" s="97"/>
      <c r="BB132" s="97"/>
      <c r="BC132" s="97"/>
      <c r="BD132" s="97" t="str">
        <f>IFERROR(__xludf.DUMMYFUNCTION("""COMPUTED_VALUE"""),"HERA")</f>
        <v>HERA</v>
      </c>
      <c r="BE132" s="97" t="str">
        <f>IFERROR(__xludf.DUMMYFUNCTION("""COMPUTED_VALUE"""),"Sin Ficha")</f>
        <v>Sin Ficha</v>
      </c>
      <c r="BF132" s="97"/>
      <c r="BG132" s="97" t="str">
        <f>IFERROR(__xludf.DUMMYFUNCTION("""COMPUTED_VALUE"""),"Discontinuo")</f>
        <v>Discontinuo</v>
      </c>
    </row>
    <row r="133">
      <c r="A133" s="97">
        <f>IFERROR(__xludf.DUMMYFUNCTION("""COMPUTED_VALUE"""),3498.0)</f>
        <v>3498</v>
      </c>
      <c r="B133" s="97" t="str">
        <f>IFERROR(__xludf.DUMMYFUNCTION("""COMPUTED_VALUE"""),"KYVOS NG")</f>
        <v>KYVOS NG</v>
      </c>
      <c r="C133" s="97" t="str">
        <f>IFERROR(__xludf.DUMMYFUNCTION("""COMPUTED_VALUE"""),"COLGANTE KYVOS LEUK NEGRO")</f>
        <v>COLGANTE KYVOS LEUK NEGRO</v>
      </c>
      <c r="D133" s="97">
        <f>IFERROR(__xludf.DUMMYFUNCTION("""COMPUTED_VALUE"""),7.798328752444E12)</f>
        <v>7798328752444</v>
      </c>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t="str">
        <f>IFERROR(__xludf.DUMMYFUNCTION("""COMPUTED_VALUE"""),"IP20")</f>
        <v>IP20</v>
      </c>
      <c r="AE133" s="97"/>
      <c r="AF133" s="97" t="str">
        <f>IFERROR(__xludf.DUMMYFUNCTION("""COMPUTED_VALUE"""),"Suspender")</f>
        <v>Suspender</v>
      </c>
      <c r="AG133" s="97"/>
      <c r="AH133" s="97"/>
      <c r="AI133" s="97"/>
      <c r="AJ133" s="97"/>
      <c r="AK133" s="97"/>
      <c r="AL133" s="97"/>
      <c r="AM133" s="97"/>
      <c r="AN133" s="97"/>
      <c r="AO133" s="97" t="str">
        <f>IFERROR(__xludf.DUMMYFUNCTION("""COMPUTED_VALUE"""),"1 Año")</f>
        <v>1 Año</v>
      </c>
      <c r="AP133" s="97"/>
      <c r="AQ133" s="97"/>
      <c r="AR133" s="97"/>
      <c r="AS133" s="97"/>
      <c r="AT133" s="97"/>
      <c r="AU133" s="97"/>
      <c r="AV133" s="97" t="str">
        <f>IFERROR(__xludf.DUMMYFUNCTION("""COMPUTED_VALUE"""),"Colgante")</f>
        <v>Colgante</v>
      </c>
      <c r="AW133" s="97" t="str">
        <f>IFERROR(__xludf.DUMMYFUNCTION("""COMPUTED_VALUE"""),"De Techo")</f>
        <v>De Techo</v>
      </c>
      <c r="AX133" s="97" t="str">
        <f>IFERROR(__xludf.DUMMYFUNCTION("""COMPUTED_VALUE"""),"Interior")</f>
        <v>Interior</v>
      </c>
      <c r="AY133" s="97"/>
      <c r="AZ133" s="97"/>
      <c r="BA133" s="97"/>
      <c r="BB133" s="97"/>
      <c r="BC133" s="97"/>
      <c r="BD133" s="97" t="str">
        <f>IFERROR(__xludf.DUMMYFUNCTION("""COMPUTED_VALUE"""),"KYVOS")</f>
        <v>KYVOS</v>
      </c>
      <c r="BE133" s="97" t="str">
        <f>IFERROR(__xludf.DUMMYFUNCTION("""COMPUTED_VALUE"""),"Sin Ficha")</f>
        <v>Sin Ficha</v>
      </c>
      <c r="BF133" s="97"/>
      <c r="BG133" s="97" t="str">
        <f>IFERROR(__xludf.DUMMYFUNCTION("""COMPUTED_VALUE"""),"Discontinuo")</f>
        <v>Discontinuo</v>
      </c>
    </row>
    <row r="134">
      <c r="A134" s="97">
        <f>IFERROR(__xludf.DUMMYFUNCTION("""COMPUTED_VALUE"""),3499.0)</f>
        <v>3499</v>
      </c>
      <c r="B134" s="97" t="str">
        <f>IFERROR(__xludf.DUMMYFUNCTION("""COMPUTED_VALUE"""),"TRIKYVOS NG")</f>
        <v>TRIKYVOS NG</v>
      </c>
      <c r="C134" s="97" t="str">
        <f>IFERROR(__xludf.DUMMYFUNCTION("""COMPUTED_VALUE"""),"COLGANTE TRIKYVOS LEUK NEGRO")</f>
        <v>COLGANTE TRIKYVOS LEUK NEGRO</v>
      </c>
      <c r="D134" s="97">
        <f>IFERROR(__xludf.DUMMYFUNCTION("""COMPUTED_VALUE"""),7.798328752451E12)</f>
        <v>7798328752451</v>
      </c>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t="str">
        <f>IFERROR(__xludf.DUMMYFUNCTION("""COMPUTED_VALUE"""),"IP20")</f>
        <v>IP20</v>
      </c>
      <c r="AE134" s="97"/>
      <c r="AF134" s="97" t="str">
        <f>IFERROR(__xludf.DUMMYFUNCTION("""COMPUTED_VALUE"""),"Suspender")</f>
        <v>Suspender</v>
      </c>
      <c r="AG134" s="97"/>
      <c r="AH134" s="97"/>
      <c r="AI134" s="97"/>
      <c r="AJ134" s="97"/>
      <c r="AK134" s="97"/>
      <c r="AL134" s="97"/>
      <c r="AM134" s="97"/>
      <c r="AN134" s="97"/>
      <c r="AO134" s="97" t="str">
        <f>IFERROR(__xludf.DUMMYFUNCTION("""COMPUTED_VALUE"""),"1 Año")</f>
        <v>1 Año</v>
      </c>
      <c r="AP134" s="97"/>
      <c r="AQ134" s="97"/>
      <c r="AR134" s="97"/>
      <c r="AS134" s="97"/>
      <c r="AT134" s="97"/>
      <c r="AU134" s="97"/>
      <c r="AV134" s="97" t="str">
        <f>IFERROR(__xludf.DUMMYFUNCTION("""COMPUTED_VALUE"""),"Colgante")</f>
        <v>Colgante</v>
      </c>
      <c r="AW134" s="97" t="str">
        <f>IFERROR(__xludf.DUMMYFUNCTION("""COMPUTED_VALUE"""),"De Techo")</f>
        <v>De Techo</v>
      </c>
      <c r="AX134" s="97" t="str">
        <f>IFERROR(__xludf.DUMMYFUNCTION("""COMPUTED_VALUE"""),"Interior")</f>
        <v>Interior</v>
      </c>
      <c r="AY134" s="97"/>
      <c r="AZ134" s="97"/>
      <c r="BA134" s="97"/>
      <c r="BB134" s="97"/>
      <c r="BC134" s="97"/>
      <c r="BD134" s="97" t="str">
        <f>IFERROR(__xludf.DUMMYFUNCTION("""COMPUTED_VALUE"""),"TRIKYVOS")</f>
        <v>TRIKYVOS</v>
      </c>
      <c r="BE134" s="97" t="str">
        <f>IFERROR(__xludf.DUMMYFUNCTION("""COMPUTED_VALUE"""),"Sin Ficha")</f>
        <v>Sin Ficha</v>
      </c>
      <c r="BF134" s="97"/>
      <c r="BG134" s="97" t="str">
        <f>IFERROR(__xludf.DUMMYFUNCTION("""COMPUTED_VALUE"""),"Discontinuo")</f>
        <v>Discontinuo</v>
      </c>
    </row>
    <row r="135">
      <c r="A135" s="97">
        <f>IFERROR(__xludf.DUMMYFUNCTION("""COMPUTED_VALUE"""),3500.0)</f>
        <v>3500</v>
      </c>
      <c r="B135" s="97" t="str">
        <f>IFERROR(__xludf.DUMMYFUNCTION("""COMPUTED_VALUE"""),"TRIKYVOS BL")</f>
        <v>TRIKYVOS BL</v>
      </c>
      <c r="C135" s="97" t="str">
        <f>IFERROR(__xludf.DUMMYFUNCTION("""COMPUTED_VALUE"""),"COLGANTE TRIKYVOS LEUK BLANCO")</f>
        <v>COLGANTE TRIKYVOS LEUK BLANCO</v>
      </c>
      <c r="D135" s="97">
        <f>IFERROR(__xludf.DUMMYFUNCTION("""COMPUTED_VALUE"""),7.798328752468E12)</f>
        <v>7798328752468</v>
      </c>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t="str">
        <f>IFERROR(__xludf.DUMMYFUNCTION("""COMPUTED_VALUE"""),"IP20")</f>
        <v>IP20</v>
      </c>
      <c r="AE135" s="97"/>
      <c r="AF135" s="97" t="str">
        <f>IFERROR(__xludf.DUMMYFUNCTION("""COMPUTED_VALUE"""),"Suspender")</f>
        <v>Suspender</v>
      </c>
      <c r="AG135" s="97"/>
      <c r="AH135" s="97"/>
      <c r="AI135" s="97"/>
      <c r="AJ135" s="97"/>
      <c r="AK135" s="97"/>
      <c r="AL135" s="97"/>
      <c r="AM135" s="97"/>
      <c r="AN135" s="97"/>
      <c r="AO135" s="97" t="str">
        <f>IFERROR(__xludf.DUMMYFUNCTION("""COMPUTED_VALUE"""),"1 Año")</f>
        <v>1 Año</v>
      </c>
      <c r="AP135" s="97"/>
      <c r="AQ135" s="97"/>
      <c r="AR135" s="97"/>
      <c r="AS135" s="97"/>
      <c r="AT135" s="97"/>
      <c r="AU135" s="97"/>
      <c r="AV135" s="97" t="str">
        <f>IFERROR(__xludf.DUMMYFUNCTION("""COMPUTED_VALUE"""),"Colgante")</f>
        <v>Colgante</v>
      </c>
      <c r="AW135" s="97" t="str">
        <f>IFERROR(__xludf.DUMMYFUNCTION("""COMPUTED_VALUE"""),"De Techo")</f>
        <v>De Techo</v>
      </c>
      <c r="AX135" s="97" t="str">
        <f>IFERROR(__xludf.DUMMYFUNCTION("""COMPUTED_VALUE"""),"Interior")</f>
        <v>Interior</v>
      </c>
      <c r="AY135" s="97"/>
      <c r="AZ135" s="97"/>
      <c r="BA135" s="97"/>
      <c r="BB135" s="97"/>
      <c r="BC135" s="97"/>
      <c r="BD135" s="97" t="str">
        <f>IFERROR(__xludf.DUMMYFUNCTION("""COMPUTED_VALUE"""),"TRIKYVOS")</f>
        <v>TRIKYVOS</v>
      </c>
      <c r="BE135" s="97" t="str">
        <f>IFERROR(__xludf.DUMMYFUNCTION("""COMPUTED_VALUE"""),"Sin Ficha")</f>
        <v>Sin Ficha</v>
      </c>
      <c r="BF135" s="97"/>
      <c r="BG135" s="97" t="str">
        <f>IFERROR(__xludf.DUMMYFUNCTION("""COMPUTED_VALUE"""),"Discontinuo")</f>
        <v>Discontinuo</v>
      </c>
    </row>
    <row r="136">
      <c r="A136" s="97">
        <f>IFERROR(__xludf.DUMMYFUNCTION("""COMPUTED_VALUE"""),3501.0)</f>
        <v>3501</v>
      </c>
      <c r="B136" s="97" t="str">
        <f>IFERROR(__xludf.DUMMYFUNCTION("""COMPUTED_VALUE"""),"CALIX")</f>
        <v>CALIX</v>
      </c>
      <c r="C136" s="97" t="str">
        <f>IFERROR(__xludf.DUMMYFUNCTION("""COMPUTED_VALUE"""),"COLGANTE CALIX LEUK")</f>
        <v>COLGANTE CALIX LEUK</v>
      </c>
      <c r="D136" s="97">
        <f>IFERROR(__xludf.DUMMYFUNCTION("""COMPUTED_VALUE"""),7.798328752475E12)</f>
        <v>7798328752475</v>
      </c>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t="str">
        <f>IFERROR(__xludf.DUMMYFUNCTION("""COMPUTED_VALUE"""),"IP20")</f>
        <v>IP20</v>
      </c>
      <c r="AE136" s="97"/>
      <c r="AF136" s="97" t="str">
        <f>IFERROR(__xludf.DUMMYFUNCTION("""COMPUTED_VALUE"""),"Suspender")</f>
        <v>Suspender</v>
      </c>
      <c r="AG136" s="97"/>
      <c r="AH136" s="97"/>
      <c r="AI136" s="97"/>
      <c r="AJ136" s="97"/>
      <c r="AK136" s="97"/>
      <c r="AL136" s="97"/>
      <c r="AM136" s="97"/>
      <c r="AN136" s="97"/>
      <c r="AO136" s="97" t="str">
        <f>IFERROR(__xludf.DUMMYFUNCTION("""COMPUTED_VALUE"""),"1 Año")</f>
        <v>1 Año</v>
      </c>
      <c r="AP136" s="97"/>
      <c r="AQ136" s="97"/>
      <c r="AR136" s="97"/>
      <c r="AS136" s="97"/>
      <c r="AT136" s="97"/>
      <c r="AU136" s="97"/>
      <c r="AV136" s="97" t="str">
        <f>IFERROR(__xludf.DUMMYFUNCTION("""COMPUTED_VALUE"""),"Colgante")</f>
        <v>Colgante</v>
      </c>
      <c r="AW136" s="97" t="str">
        <f>IFERROR(__xludf.DUMMYFUNCTION("""COMPUTED_VALUE"""),"De Techo")</f>
        <v>De Techo</v>
      </c>
      <c r="AX136" s="97" t="str">
        <f>IFERROR(__xludf.DUMMYFUNCTION("""COMPUTED_VALUE"""),"Interior")</f>
        <v>Interior</v>
      </c>
      <c r="AY136" s="97"/>
      <c r="AZ136" s="97"/>
      <c r="BA136" s="97"/>
      <c r="BB136" s="97"/>
      <c r="BC136" s="97"/>
      <c r="BD136" s="97" t="str">
        <f>IFERROR(__xludf.DUMMYFUNCTION("""COMPUTED_VALUE"""),"CALIX")</f>
        <v>CALIX</v>
      </c>
      <c r="BE136" s="97" t="str">
        <f>IFERROR(__xludf.DUMMYFUNCTION("""COMPUTED_VALUE"""),"Sin Ficha")</f>
        <v>Sin Ficha</v>
      </c>
      <c r="BF136" s="97"/>
      <c r="BG136" s="97" t="str">
        <f>IFERROR(__xludf.DUMMYFUNCTION("""COMPUTED_VALUE"""),"Discontinuo")</f>
        <v>Discontinuo</v>
      </c>
    </row>
    <row r="137">
      <c r="A137" s="97">
        <f>IFERROR(__xludf.DUMMYFUNCTION("""COMPUTED_VALUE"""),3502.0)</f>
        <v>3502</v>
      </c>
      <c r="B137" s="97" t="str">
        <f>IFERROR(__xludf.DUMMYFUNCTION("""COMPUTED_VALUE"""),"KOSMO")</f>
        <v>KOSMO</v>
      </c>
      <c r="C137" s="97" t="str">
        <f>IFERROR(__xludf.DUMMYFUNCTION("""COMPUTED_VALUE"""),"COLGANTE KOSMO LEUK")</f>
        <v>COLGANTE KOSMO LEUK</v>
      </c>
      <c r="D137" s="97">
        <f>IFERROR(__xludf.DUMMYFUNCTION("""COMPUTED_VALUE"""),7.798328752482E12)</f>
        <v>7798328752482</v>
      </c>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t="str">
        <f>IFERROR(__xludf.DUMMYFUNCTION("""COMPUTED_VALUE"""),"IP20")</f>
        <v>IP20</v>
      </c>
      <c r="AE137" s="97"/>
      <c r="AF137" s="97" t="str">
        <f>IFERROR(__xludf.DUMMYFUNCTION("""COMPUTED_VALUE"""),"Suspender")</f>
        <v>Suspender</v>
      </c>
      <c r="AG137" s="97"/>
      <c r="AH137" s="97"/>
      <c r="AI137" s="97"/>
      <c r="AJ137" s="97"/>
      <c r="AK137" s="97"/>
      <c r="AL137" s="97"/>
      <c r="AM137" s="97"/>
      <c r="AN137" s="97"/>
      <c r="AO137" s="97" t="str">
        <f>IFERROR(__xludf.DUMMYFUNCTION("""COMPUTED_VALUE"""),"1 Año")</f>
        <v>1 Año</v>
      </c>
      <c r="AP137" s="97"/>
      <c r="AQ137" s="97"/>
      <c r="AR137" s="97"/>
      <c r="AS137" s="97"/>
      <c r="AT137" s="97"/>
      <c r="AU137" s="97"/>
      <c r="AV137" s="97" t="str">
        <f>IFERROR(__xludf.DUMMYFUNCTION("""COMPUTED_VALUE"""),"Colgante")</f>
        <v>Colgante</v>
      </c>
      <c r="AW137" s="97" t="str">
        <f>IFERROR(__xludf.DUMMYFUNCTION("""COMPUTED_VALUE"""),"De Techo")</f>
        <v>De Techo</v>
      </c>
      <c r="AX137" s="97" t="str">
        <f>IFERROR(__xludf.DUMMYFUNCTION("""COMPUTED_VALUE"""),"Interior")</f>
        <v>Interior</v>
      </c>
      <c r="AY137" s="97"/>
      <c r="AZ137" s="97"/>
      <c r="BA137" s="97"/>
      <c r="BB137" s="97"/>
      <c r="BC137" s="97"/>
      <c r="BD137" s="97" t="str">
        <f>IFERROR(__xludf.DUMMYFUNCTION("""COMPUTED_VALUE"""),"KOSMO")</f>
        <v>KOSMO</v>
      </c>
      <c r="BE137" s="97" t="str">
        <f>IFERROR(__xludf.DUMMYFUNCTION("""COMPUTED_VALUE"""),"Sin Ficha")</f>
        <v>Sin Ficha</v>
      </c>
      <c r="BF137" s="97"/>
      <c r="BG137" s="97" t="str">
        <f>IFERROR(__xludf.DUMMYFUNCTION("""COMPUTED_VALUE"""),"Discontinuo")</f>
        <v>Discontinuo</v>
      </c>
    </row>
    <row r="138">
      <c r="A138" s="97">
        <f>IFERROR(__xludf.DUMMYFUNCTION("""COMPUTED_VALUE"""),3503.0)</f>
        <v>3503</v>
      </c>
      <c r="B138" s="97" t="str">
        <f>IFERROR(__xludf.DUMMYFUNCTION("""COMPUTED_VALUE"""),"HESTIA")</f>
        <v>HESTIA</v>
      </c>
      <c r="C138" s="97" t="str">
        <f>IFERROR(__xludf.DUMMYFUNCTION("""COMPUTED_VALUE"""),"COLGANTE HESTIA LEUK")</f>
        <v>COLGANTE HESTIA LEUK</v>
      </c>
      <c r="D138" s="97">
        <f>IFERROR(__xludf.DUMMYFUNCTION("""COMPUTED_VALUE"""),7.798328752505E12)</f>
        <v>7798328752505</v>
      </c>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t="str">
        <f>IFERROR(__xludf.DUMMYFUNCTION("""COMPUTED_VALUE"""),"IP20")</f>
        <v>IP20</v>
      </c>
      <c r="AE138" s="97"/>
      <c r="AF138" s="97" t="str">
        <f>IFERROR(__xludf.DUMMYFUNCTION("""COMPUTED_VALUE"""),"Suspender")</f>
        <v>Suspender</v>
      </c>
      <c r="AG138" s="97"/>
      <c r="AH138" s="97"/>
      <c r="AI138" s="97"/>
      <c r="AJ138" s="97"/>
      <c r="AK138" s="97"/>
      <c r="AL138" s="97"/>
      <c r="AM138" s="97"/>
      <c r="AN138" s="97"/>
      <c r="AO138" s="97" t="str">
        <f>IFERROR(__xludf.DUMMYFUNCTION("""COMPUTED_VALUE"""),"1 Año")</f>
        <v>1 Año</v>
      </c>
      <c r="AP138" s="97"/>
      <c r="AQ138" s="97"/>
      <c r="AR138" s="97"/>
      <c r="AS138" s="97"/>
      <c r="AT138" s="97"/>
      <c r="AU138" s="97"/>
      <c r="AV138" s="97" t="str">
        <f>IFERROR(__xludf.DUMMYFUNCTION("""COMPUTED_VALUE"""),"Colgante")</f>
        <v>Colgante</v>
      </c>
      <c r="AW138" s="97" t="str">
        <f>IFERROR(__xludf.DUMMYFUNCTION("""COMPUTED_VALUE"""),"De Techo")</f>
        <v>De Techo</v>
      </c>
      <c r="AX138" s="97" t="str">
        <f>IFERROR(__xludf.DUMMYFUNCTION("""COMPUTED_VALUE"""),"Interior")</f>
        <v>Interior</v>
      </c>
      <c r="AY138" s="97"/>
      <c r="AZ138" s="97"/>
      <c r="BA138" s="97"/>
      <c r="BB138" s="97"/>
      <c r="BC138" s="97"/>
      <c r="BD138" s="97" t="str">
        <f>IFERROR(__xludf.DUMMYFUNCTION("""COMPUTED_VALUE"""),"HESTIA")</f>
        <v>HESTIA</v>
      </c>
      <c r="BE138" s="97" t="str">
        <f>IFERROR(__xludf.DUMMYFUNCTION("""COMPUTED_VALUE"""),"Sin Ficha")</f>
        <v>Sin Ficha</v>
      </c>
      <c r="BF138" s="97"/>
      <c r="BG138" s="97" t="str">
        <f>IFERROR(__xludf.DUMMYFUNCTION("""COMPUTED_VALUE"""),"Discontinuo")</f>
        <v>Discontinuo</v>
      </c>
    </row>
    <row r="139">
      <c r="A139" s="97">
        <f>IFERROR(__xludf.DUMMYFUNCTION("""COMPUTED_VALUE"""),3504.0)</f>
        <v>3504</v>
      </c>
      <c r="B139" s="97" t="str">
        <f>IFERROR(__xludf.DUMMYFUNCTION("""COMPUTED_VALUE"""),"AMONET")</f>
        <v>AMONET</v>
      </c>
      <c r="C139" s="97" t="str">
        <f>IFERROR(__xludf.DUMMYFUNCTION("""COMPUTED_VALUE"""),"COLGANTE AMONET LEUK")</f>
        <v>COLGANTE AMONET LEUK</v>
      </c>
      <c r="D139" s="97">
        <f>IFERROR(__xludf.DUMMYFUNCTION("""COMPUTED_VALUE"""),7.798328752512E12)</f>
        <v>7798328752512</v>
      </c>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t="str">
        <f>IFERROR(__xludf.DUMMYFUNCTION("""COMPUTED_VALUE"""),"IP20")</f>
        <v>IP20</v>
      </c>
      <c r="AE139" s="97"/>
      <c r="AF139" s="97" t="str">
        <f>IFERROR(__xludf.DUMMYFUNCTION("""COMPUTED_VALUE"""),"Suspender")</f>
        <v>Suspender</v>
      </c>
      <c r="AG139" s="97"/>
      <c r="AH139" s="97"/>
      <c r="AI139" s="97"/>
      <c r="AJ139" s="97"/>
      <c r="AK139" s="97"/>
      <c r="AL139" s="97"/>
      <c r="AM139" s="97"/>
      <c r="AN139" s="97"/>
      <c r="AO139" s="97" t="str">
        <f>IFERROR(__xludf.DUMMYFUNCTION("""COMPUTED_VALUE"""),"1 Año")</f>
        <v>1 Año</v>
      </c>
      <c r="AP139" s="97"/>
      <c r="AQ139" s="97"/>
      <c r="AR139" s="97"/>
      <c r="AS139" s="97"/>
      <c r="AT139" s="97"/>
      <c r="AU139" s="97"/>
      <c r="AV139" s="97" t="str">
        <f>IFERROR(__xludf.DUMMYFUNCTION("""COMPUTED_VALUE"""),"Colgante")</f>
        <v>Colgante</v>
      </c>
      <c r="AW139" s="97" t="str">
        <f>IFERROR(__xludf.DUMMYFUNCTION("""COMPUTED_VALUE"""),"De Techo")</f>
        <v>De Techo</v>
      </c>
      <c r="AX139" s="97" t="str">
        <f>IFERROR(__xludf.DUMMYFUNCTION("""COMPUTED_VALUE"""),"Interior")</f>
        <v>Interior</v>
      </c>
      <c r="AY139" s="97"/>
      <c r="AZ139" s="97"/>
      <c r="BA139" s="97"/>
      <c r="BB139" s="97"/>
      <c r="BC139" s="97"/>
      <c r="BD139" s="97" t="str">
        <f>IFERROR(__xludf.DUMMYFUNCTION("""COMPUTED_VALUE"""),"AMONET")</f>
        <v>AMONET</v>
      </c>
      <c r="BE139" s="97" t="str">
        <f>IFERROR(__xludf.DUMMYFUNCTION("""COMPUTED_VALUE"""),"Sin Ficha")</f>
        <v>Sin Ficha</v>
      </c>
      <c r="BF139" s="97"/>
      <c r="BG139" s="97" t="str">
        <f>IFERROR(__xludf.DUMMYFUNCTION("""COMPUTED_VALUE"""),"Discontinuo")</f>
        <v>Discontinuo</v>
      </c>
    </row>
    <row r="140">
      <c r="A140" s="97">
        <f>IFERROR(__xludf.DUMMYFUNCTION("""COMPUTED_VALUE"""),3505.0)</f>
        <v>3505</v>
      </c>
      <c r="B140" s="97" t="str">
        <f>IFERROR(__xludf.DUMMYFUNCTION("""COMPUTED_VALUE"""),"CICERO")</f>
        <v>CICERO</v>
      </c>
      <c r="C140" s="97" t="str">
        <f>IFERROR(__xludf.DUMMYFUNCTION("""COMPUTED_VALUE"""),"COLGANTE CICERO LEUK")</f>
        <v>COLGANTE CICERO LEUK</v>
      </c>
      <c r="D140" s="97">
        <f>IFERROR(__xludf.DUMMYFUNCTION("""COMPUTED_VALUE"""),7.798328752529E12)</f>
        <v>7798328752529</v>
      </c>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t="str">
        <f>IFERROR(__xludf.DUMMYFUNCTION("""COMPUTED_VALUE"""),"IP20")</f>
        <v>IP20</v>
      </c>
      <c r="AE140" s="97"/>
      <c r="AF140" s="97" t="str">
        <f>IFERROR(__xludf.DUMMYFUNCTION("""COMPUTED_VALUE"""),"Suspender")</f>
        <v>Suspender</v>
      </c>
      <c r="AG140" s="97"/>
      <c r="AH140" s="97"/>
      <c r="AI140" s="97"/>
      <c r="AJ140" s="97"/>
      <c r="AK140" s="97"/>
      <c r="AL140" s="97"/>
      <c r="AM140" s="97"/>
      <c r="AN140" s="97"/>
      <c r="AO140" s="97" t="str">
        <f>IFERROR(__xludf.DUMMYFUNCTION("""COMPUTED_VALUE"""),"1 Año")</f>
        <v>1 Año</v>
      </c>
      <c r="AP140" s="97"/>
      <c r="AQ140" s="97"/>
      <c r="AR140" s="97"/>
      <c r="AS140" s="97"/>
      <c r="AT140" s="97"/>
      <c r="AU140" s="97"/>
      <c r="AV140" s="97" t="str">
        <f>IFERROR(__xludf.DUMMYFUNCTION("""COMPUTED_VALUE"""),"Colgante")</f>
        <v>Colgante</v>
      </c>
      <c r="AW140" s="97" t="str">
        <f>IFERROR(__xludf.DUMMYFUNCTION("""COMPUTED_VALUE"""),"De Techo")</f>
        <v>De Techo</v>
      </c>
      <c r="AX140" s="97" t="str">
        <f>IFERROR(__xludf.DUMMYFUNCTION("""COMPUTED_VALUE"""),"Interior")</f>
        <v>Interior</v>
      </c>
      <c r="AY140" s="97"/>
      <c r="AZ140" s="97"/>
      <c r="BA140" s="97"/>
      <c r="BB140" s="97"/>
      <c r="BC140" s="97"/>
      <c r="BD140" s="97" t="str">
        <f>IFERROR(__xludf.DUMMYFUNCTION("""COMPUTED_VALUE"""),"CICERO")</f>
        <v>CICERO</v>
      </c>
      <c r="BE140" s="97" t="str">
        <f>IFERROR(__xludf.DUMMYFUNCTION("""COMPUTED_VALUE"""),"Sin Ficha")</f>
        <v>Sin Ficha</v>
      </c>
      <c r="BF140" s="97"/>
      <c r="BG140" s="97" t="str">
        <f>IFERROR(__xludf.DUMMYFUNCTION("""COMPUTED_VALUE"""),"Discontinuo")</f>
        <v>Discontinuo</v>
      </c>
    </row>
    <row r="141">
      <c r="A141" s="97">
        <f>IFERROR(__xludf.DUMMYFUNCTION("""COMPUTED_VALUE"""),3506.0)</f>
        <v>3506</v>
      </c>
      <c r="B141" s="97" t="str">
        <f>IFERROR(__xludf.DUMMYFUNCTION("""COMPUTED_VALUE"""),"EROS NG")</f>
        <v>EROS NG</v>
      </c>
      <c r="C141" s="97" t="str">
        <f>IFERROR(__xludf.DUMMYFUNCTION("""COMPUTED_VALUE"""),"COLGANTE EROS LEUK NEGRO")</f>
        <v>COLGANTE EROS LEUK NEGRO</v>
      </c>
      <c r="D141" s="97">
        <f>IFERROR(__xludf.DUMMYFUNCTION("""COMPUTED_VALUE"""),7.798328752536E12)</f>
        <v>7798328752536</v>
      </c>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t="str">
        <f>IFERROR(__xludf.DUMMYFUNCTION("""COMPUTED_VALUE"""),"IP20")</f>
        <v>IP20</v>
      </c>
      <c r="AE141" s="97"/>
      <c r="AF141" s="97" t="str">
        <f>IFERROR(__xludf.DUMMYFUNCTION("""COMPUTED_VALUE"""),"Suspender")</f>
        <v>Suspender</v>
      </c>
      <c r="AG141" s="97"/>
      <c r="AH141" s="97"/>
      <c r="AI141" s="97"/>
      <c r="AJ141" s="97"/>
      <c r="AK141" s="97"/>
      <c r="AL141" s="97"/>
      <c r="AM141" s="97"/>
      <c r="AN141" s="97"/>
      <c r="AO141" s="97" t="str">
        <f>IFERROR(__xludf.DUMMYFUNCTION("""COMPUTED_VALUE"""),"1 Año")</f>
        <v>1 Año</v>
      </c>
      <c r="AP141" s="97"/>
      <c r="AQ141" s="97"/>
      <c r="AR141" s="97"/>
      <c r="AS141" s="97"/>
      <c r="AT141" s="97"/>
      <c r="AU141" s="97"/>
      <c r="AV141" s="97" t="str">
        <f>IFERROR(__xludf.DUMMYFUNCTION("""COMPUTED_VALUE"""),"Colgante")</f>
        <v>Colgante</v>
      </c>
      <c r="AW141" s="97" t="str">
        <f>IFERROR(__xludf.DUMMYFUNCTION("""COMPUTED_VALUE"""),"De Techo")</f>
        <v>De Techo</v>
      </c>
      <c r="AX141" s="97" t="str">
        <f>IFERROR(__xludf.DUMMYFUNCTION("""COMPUTED_VALUE"""),"Interior")</f>
        <v>Interior</v>
      </c>
      <c r="AY141" s="97"/>
      <c r="AZ141" s="97"/>
      <c r="BA141" s="97"/>
      <c r="BB141" s="97"/>
      <c r="BC141" s="97"/>
      <c r="BD141" s="97" t="str">
        <f>IFERROR(__xludf.DUMMYFUNCTION("""COMPUTED_VALUE"""),"EROS")</f>
        <v>EROS</v>
      </c>
      <c r="BE141" s="97" t="str">
        <f>IFERROR(__xludf.DUMMYFUNCTION("""COMPUTED_VALUE"""),"Sin Ficha")</f>
        <v>Sin Ficha</v>
      </c>
      <c r="BF141" s="97"/>
      <c r="BG141" s="97" t="str">
        <f>IFERROR(__xludf.DUMMYFUNCTION("""COMPUTED_VALUE"""),"Discontinuo")</f>
        <v>Discontinuo</v>
      </c>
    </row>
    <row r="142">
      <c r="A142" s="97">
        <f>IFERROR(__xludf.DUMMYFUNCTION("""COMPUTED_VALUE"""),3507.0)</f>
        <v>3507</v>
      </c>
      <c r="B142" s="97" t="str">
        <f>IFERROR(__xludf.DUMMYFUNCTION("""COMPUTED_VALUE"""),"EROS BL")</f>
        <v>EROS BL</v>
      </c>
      <c r="C142" s="97" t="str">
        <f>IFERROR(__xludf.DUMMYFUNCTION("""COMPUTED_VALUE"""),"COLGANTE EROS LEUK BLANCO")</f>
        <v>COLGANTE EROS LEUK BLANCO</v>
      </c>
      <c r="D142" s="97">
        <f>IFERROR(__xludf.DUMMYFUNCTION("""COMPUTED_VALUE"""),7.798328752543E12)</f>
        <v>7798328752543</v>
      </c>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t="str">
        <f>IFERROR(__xludf.DUMMYFUNCTION("""COMPUTED_VALUE"""),"IP20")</f>
        <v>IP20</v>
      </c>
      <c r="AE142" s="97"/>
      <c r="AF142" s="97" t="str">
        <f>IFERROR(__xludf.DUMMYFUNCTION("""COMPUTED_VALUE"""),"Suspender")</f>
        <v>Suspender</v>
      </c>
      <c r="AG142" s="97"/>
      <c r="AH142" s="97"/>
      <c r="AI142" s="97"/>
      <c r="AJ142" s="97"/>
      <c r="AK142" s="97"/>
      <c r="AL142" s="97"/>
      <c r="AM142" s="97"/>
      <c r="AN142" s="97"/>
      <c r="AO142" s="97" t="str">
        <f>IFERROR(__xludf.DUMMYFUNCTION("""COMPUTED_VALUE"""),"1 Año")</f>
        <v>1 Año</v>
      </c>
      <c r="AP142" s="97"/>
      <c r="AQ142" s="97"/>
      <c r="AR142" s="97"/>
      <c r="AS142" s="97"/>
      <c r="AT142" s="97"/>
      <c r="AU142" s="97"/>
      <c r="AV142" s="97" t="str">
        <f>IFERROR(__xludf.DUMMYFUNCTION("""COMPUTED_VALUE"""),"Colgante")</f>
        <v>Colgante</v>
      </c>
      <c r="AW142" s="97" t="str">
        <f>IFERROR(__xludf.DUMMYFUNCTION("""COMPUTED_VALUE"""),"De Techo")</f>
        <v>De Techo</v>
      </c>
      <c r="AX142" s="97" t="str">
        <f>IFERROR(__xludf.DUMMYFUNCTION("""COMPUTED_VALUE"""),"Interior")</f>
        <v>Interior</v>
      </c>
      <c r="AY142" s="97"/>
      <c r="AZ142" s="97"/>
      <c r="BA142" s="97"/>
      <c r="BB142" s="97"/>
      <c r="BC142" s="97"/>
      <c r="BD142" s="97" t="str">
        <f>IFERROR(__xludf.DUMMYFUNCTION("""COMPUTED_VALUE"""),"EROS")</f>
        <v>EROS</v>
      </c>
      <c r="BE142" s="97" t="str">
        <f>IFERROR(__xludf.DUMMYFUNCTION("""COMPUTED_VALUE"""),"Sin Ficha")</f>
        <v>Sin Ficha</v>
      </c>
      <c r="BF142" s="97"/>
      <c r="BG142" s="97" t="str">
        <f>IFERROR(__xludf.DUMMYFUNCTION("""COMPUTED_VALUE"""),"Discontinuo")</f>
        <v>Discontinuo</v>
      </c>
    </row>
    <row r="143">
      <c r="A143" s="97">
        <f>IFERROR(__xludf.DUMMYFUNCTION("""COMPUTED_VALUE"""),3508.0)</f>
        <v>3508</v>
      </c>
      <c r="B143" s="97" t="str">
        <f>IFERROR(__xludf.DUMMYFUNCTION("""COMPUTED_VALUE"""),"GEA")</f>
        <v>GEA</v>
      </c>
      <c r="C143" s="97" t="str">
        <f>IFERROR(__xludf.DUMMYFUNCTION("""COMPUTED_VALUE"""),"COLGANTE GEA LEUK")</f>
        <v>COLGANTE GEA LEUK</v>
      </c>
      <c r="D143" s="97">
        <f>IFERROR(__xludf.DUMMYFUNCTION("""COMPUTED_VALUE"""),7.79832875255E12)</f>
        <v>7798328752550</v>
      </c>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t="str">
        <f>IFERROR(__xludf.DUMMYFUNCTION("""COMPUTED_VALUE"""),"IP20")</f>
        <v>IP20</v>
      </c>
      <c r="AE143" s="97"/>
      <c r="AF143" s="97" t="str">
        <f>IFERROR(__xludf.DUMMYFUNCTION("""COMPUTED_VALUE"""),"Suspender")</f>
        <v>Suspender</v>
      </c>
      <c r="AG143" s="97"/>
      <c r="AH143" s="97"/>
      <c r="AI143" s="97"/>
      <c r="AJ143" s="97"/>
      <c r="AK143" s="97"/>
      <c r="AL143" s="97"/>
      <c r="AM143" s="97"/>
      <c r="AN143" s="97"/>
      <c r="AO143" s="97" t="str">
        <f>IFERROR(__xludf.DUMMYFUNCTION("""COMPUTED_VALUE"""),"1 Año")</f>
        <v>1 Año</v>
      </c>
      <c r="AP143" s="97"/>
      <c r="AQ143" s="97"/>
      <c r="AR143" s="97"/>
      <c r="AS143" s="97"/>
      <c r="AT143" s="97"/>
      <c r="AU143" s="97"/>
      <c r="AV143" s="97" t="str">
        <f>IFERROR(__xludf.DUMMYFUNCTION("""COMPUTED_VALUE"""),"Colgante")</f>
        <v>Colgante</v>
      </c>
      <c r="AW143" s="97" t="str">
        <f>IFERROR(__xludf.DUMMYFUNCTION("""COMPUTED_VALUE"""),"De Techo")</f>
        <v>De Techo</v>
      </c>
      <c r="AX143" s="97" t="str">
        <f>IFERROR(__xludf.DUMMYFUNCTION("""COMPUTED_VALUE"""),"Interior")</f>
        <v>Interior</v>
      </c>
      <c r="AY143" s="97"/>
      <c r="AZ143" s="97"/>
      <c r="BA143" s="97"/>
      <c r="BB143" s="97"/>
      <c r="BC143" s="97"/>
      <c r="BD143" s="97" t="str">
        <f>IFERROR(__xludf.DUMMYFUNCTION("""COMPUTED_VALUE"""),"GEA")</f>
        <v>GEA</v>
      </c>
      <c r="BE143" s="97" t="str">
        <f>IFERROR(__xludf.DUMMYFUNCTION("""COMPUTED_VALUE"""),"Sin Ficha")</f>
        <v>Sin Ficha</v>
      </c>
      <c r="BF143" s="97"/>
      <c r="BG143" s="97" t="str">
        <f>IFERROR(__xludf.DUMMYFUNCTION("""COMPUTED_VALUE"""),"Discontinuo")</f>
        <v>Discontinuo</v>
      </c>
    </row>
    <row r="144">
      <c r="A144" s="97">
        <f>IFERROR(__xludf.DUMMYFUNCTION("""COMPUTED_VALUE"""),3509.0)</f>
        <v>3509</v>
      </c>
      <c r="B144" s="97" t="str">
        <f>IFERROR(__xludf.DUMMYFUNCTION("""COMPUTED_VALUE"""),"EVAN")</f>
        <v>EVAN</v>
      </c>
      <c r="C144" s="97" t="str">
        <f>IFERROR(__xludf.DUMMYFUNCTION("""COMPUTED_VALUE"""),"COLGANTE EVAN LEUK")</f>
        <v>COLGANTE EVAN LEUK</v>
      </c>
      <c r="D144" s="97">
        <f>IFERROR(__xludf.DUMMYFUNCTION("""COMPUTED_VALUE"""),7.798328752567E12)</f>
        <v>7798328752567</v>
      </c>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t="str">
        <f>IFERROR(__xludf.DUMMYFUNCTION("""COMPUTED_VALUE"""),"IP20")</f>
        <v>IP20</v>
      </c>
      <c r="AE144" s="97"/>
      <c r="AF144" s="97" t="str">
        <f>IFERROR(__xludf.DUMMYFUNCTION("""COMPUTED_VALUE"""),"Suspender")</f>
        <v>Suspender</v>
      </c>
      <c r="AG144" s="97"/>
      <c r="AH144" s="97"/>
      <c r="AI144" s="97"/>
      <c r="AJ144" s="97"/>
      <c r="AK144" s="97"/>
      <c r="AL144" s="97"/>
      <c r="AM144" s="97"/>
      <c r="AN144" s="97"/>
      <c r="AO144" s="97" t="str">
        <f>IFERROR(__xludf.DUMMYFUNCTION("""COMPUTED_VALUE"""),"1 Año")</f>
        <v>1 Año</v>
      </c>
      <c r="AP144" s="97"/>
      <c r="AQ144" s="97"/>
      <c r="AR144" s="97"/>
      <c r="AS144" s="97"/>
      <c r="AT144" s="97"/>
      <c r="AU144" s="97"/>
      <c r="AV144" s="97" t="str">
        <f>IFERROR(__xludf.DUMMYFUNCTION("""COMPUTED_VALUE"""),"Colgante")</f>
        <v>Colgante</v>
      </c>
      <c r="AW144" s="97" t="str">
        <f>IFERROR(__xludf.DUMMYFUNCTION("""COMPUTED_VALUE"""),"De Techo")</f>
        <v>De Techo</v>
      </c>
      <c r="AX144" s="97" t="str">
        <f>IFERROR(__xludf.DUMMYFUNCTION("""COMPUTED_VALUE"""),"Interior")</f>
        <v>Interior</v>
      </c>
      <c r="AY144" s="97"/>
      <c r="AZ144" s="97"/>
      <c r="BA144" s="97"/>
      <c r="BB144" s="97"/>
      <c r="BC144" s="97"/>
      <c r="BD144" s="97" t="str">
        <f>IFERROR(__xludf.DUMMYFUNCTION("""COMPUTED_VALUE"""),"EVAN")</f>
        <v>EVAN</v>
      </c>
      <c r="BE144" s="97" t="str">
        <f>IFERROR(__xludf.DUMMYFUNCTION("""COMPUTED_VALUE"""),"Sin Ficha")</f>
        <v>Sin Ficha</v>
      </c>
      <c r="BF144" s="97"/>
      <c r="BG144" s="97" t="str">
        <f>IFERROR(__xludf.DUMMYFUNCTION("""COMPUTED_VALUE"""),"Discontinuo")</f>
        <v>Discontinuo</v>
      </c>
    </row>
    <row r="145">
      <c r="A145" s="97">
        <f>IFERROR(__xludf.DUMMYFUNCTION("""COMPUTED_VALUE"""),3510.0)</f>
        <v>3510</v>
      </c>
      <c r="B145" s="97" t="str">
        <f>IFERROR(__xludf.DUMMYFUNCTION("""COMPUTED_VALUE"""),"KAL NG CABLE TEXTIL")</f>
        <v>KAL NG CABLE TEXTIL</v>
      </c>
      <c r="C145" s="97" t="str">
        <f>IFERROR(__xludf.DUMMYFUNCTION("""COMPUTED_VALUE"""),"COLGANTE KAL NEGRO CABLE TEXTIL LEUK")</f>
        <v>COLGANTE KAL NEGRO CABLE TEXTIL LEUK</v>
      </c>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t="str">
        <f>IFERROR(__xludf.DUMMYFUNCTION("""COMPUTED_VALUE"""),"IP20")</f>
        <v>IP20</v>
      </c>
      <c r="AE145" s="97"/>
      <c r="AF145" s="97" t="str">
        <f>IFERROR(__xludf.DUMMYFUNCTION("""COMPUTED_VALUE"""),"Suspender")</f>
        <v>Suspender</v>
      </c>
      <c r="AG145" s="97"/>
      <c r="AH145" s="97"/>
      <c r="AI145" s="97"/>
      <c r="AJ145" s="97"/>
      <c r="AK145" s="97"/>
      <c r="AL145" s="97"/>
      <c r="AM145" s="97"/>
      <c r="AN145" s="97"/>
      <c r="AO145" s="97" t="str">
        <f>IFERROR(__xludf.DUMMYFUNCTION("""COMPUTED_VALUE"""),"1 Año")</f>
        <v>1 Año</v>
      </c>
      <c r="AP145" s="97"/>
      <c r="AQ145" s="97"/>
      <c r="AR145" s="97"/>
      <c r="AS145" s="97"/>
      <c r="AT145" s="97"/>
      <c r="AU145" s="97"/>
      <c r="AV145" s="97" t="str">
        <f>IFERROR(__xludf.DUMMYFUNCTION("""COMPUTED_VALUE"""),"Colgante")</f>
        <v>Colgante</v>
      </c>
      <c r="AW145" s="97" t="str">
        <f>IFERROR(__xludf.DUMMYFUNCTION("""COMPUTED_VALUE"""),"De Techo")</f>
        <v>De Techo</v>
      </c>
      <c r="AX145" s="97" t="str">
        <f>IFERROR(__xludf.DUMMYFUNCTION("""COMPUTED_VALUE"""),"Interior")</f>
        <v>Interior</v>
      </c>
      <c r="AY145" s="97"/>
      <c r="AZ145" s="97"/>
      <c r="BA145" s="97"/>
      <c r="BB145" s="97"/>
      <c r="BC145" s="97"/>
      <c r="BD145" s="97" t="str">
        <f>IFERROR(__xludf.DUMMYFUNCTION("""COMPUTED_VALUE"""),"KAL")</f>
        <v>KAL</v>
      </c>
      <c r="BE145" s="97" t="str">
        <f>IFERROR(__xludf.DUMMYFUNCTION("""COMPUTED_VALUE"""),"Sin Ficha")</f>
        <v>Sin Ficha</v>
      </c>
      <c r="BF145" s="97"/>
      <c r="BG145" s="97" t="str">
        <f>IFERROR(__xludf.DUMMYFUNCTION("""COMPUTED_VALUE"""),"Discontinuo")</f>
        <v>Discontinuo</v>
      </c>
    </row>
    <row r="146">
      <c r="A146" s="97">
        <f>IFERROR(__xludf.DUMMYFUNCTION("""COMPUTED_VALUE"""),3511.0)</f>
        <v>3511</v>
      </c>
      <c r="B146" s="97" t="str">
        <f>IFERROR(__xludf.DUMMYFUNCTION("""COMPUTED_VALUE"""),"MEDUSA")</f>
        <v>MEDUSA</v>
      </c>
      <c r="C146" s="97" t="str">
        <f>IFERROR(__xludf.DUMMYFUNCTION("""COMPUTED_VALUE"""),"COLGANTE MEDUSA LEUK")</f>
        <v>COLGANTE MEDUSA LEUK</v>
      </c>
      <c r="D146" s="97">
        <f>IFERROR(__xludf.DUMMYFUNCTION("""COMPUTED_VALUE"""),7.798328752673E12)</f>
        <v>7798328752673</v>
      </c>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t="str">
        <f>IFERROR(__xludf.DUMMYFUNCTION("""COMPUTED_VALUE"""),"IP20")</f>
        <v>IP20</v>
      </c>
      <c r="AE146" s="97"/>
      <c r="AF146" s="97" t="str">
        <f>IFERROR(__xludf.DUMMYFUNCTION("""COMPUTED_VALUE"""),"Suspender")</f>
        <v>Suspender</v>
      </c>
      <c r="AG146" s="97"/>
      <c r="AH146" s="97"/>
      <c r="AI146" s="97"/>
      <c r="AJ146" s="97"/>
      <c r="AK146" s="97"/>
      <c r="AL146" s="97"/>
      <c r="AM146" s="97"/>
      <c r="AN146" s="97"/>
      <c r="AO146" s="97" t="str">
        <f>IFERROR(__xludf.DUMMYFUNCTION("""COMPUTED_VALUE"""),"1 Año")</f>
        <v>1 Año</v>
      </c>
      <c r="AP146" s="97"/>
      <c r="AQ146" s="97"/>
      <c r="AR146" s="97"/>
      <c r="AS146" s="97"/>
      <c r="AT146" s="97"/>
      <c r="AU146" s="97"/>
      <c r="AV146" s="97" t="str">
        <f>IFERROR(__xludf.DUMMYFUNCTION("""COMPUTED_VALUE"""),"Colgante")</f>
        <v>Colgante</v>
      </c>
      <c r="AW146" s="97" t="str">
        <f>IFERROR(__xludf.DUMMYFUNCTION("""COMPUTED_VALUE"""),"De Techo")</f>
        <v>De Techo</v>
      </c>
      <c r="AX146" s="97" t="str">
        <f>IFERROR(__xludf.DUMMYFUNCTION("""COMPUTED_VALUE"""),"Interior")</f>
        <v>Interior</v>
      </c>
      <c r="AY146" s="97"/>
      <c r="AZ146" s="97"/>
      <c r="BA146" s="97"/>
      <c r="BB146" s="97"/>
      <c r="BC146" s="97"/>
      <c r="BD146" s="97" t="str">
        <f>IFERROR(__xludf.DUMMYFUNCTION("""COMPUTED_VALUE"""),"MEDUSA")</f>
        <v>MEDUSA</v>
      </c>
      <c r="BE146" s="97" t="str">
        <f>IFERROR(__xludf.DUMMYFUNCTION("""COMPUTED_VALUE"""),"Sin Ficha")</f>
        <v>Sin Ficha</v>
      </c>
      <c r="BF146" s="97"/>
      <c r="BG146" s="97" t="str">
        <f>IFERROR(__xludf.DUMMYFUNCTION("""COMPUTED_VALUE"""),"Discontinuo")</f>
        <v>Discontinuo</v>
      </c>
    </row>
    <row r="147">
      <c r="A147" s="97">
        <f>IFERROR(__xludf.DUMMYFUNCTION("""COMPUTED_VALUE"""),3660.0)</f>
        <v>3660</v>
      </c>
      <c r="B147" s="97" t="str">
        <f>IFERROR(__xludf.DUMMYFUNCTION("""COMPUTED_VALUE"""),"SFYRI")</f>
        <v>SFYRI</v>
      </c>
      <c r="C147" s="97" t="str">
        <f>IFERROR(__xludf.DUMMYFUNCTION("""COMPUTED_VALUE"""),"COLGANTE SFYRI LEUK")</f>
        <v>COLGANTE SFYRI LEUK</v>
      </c>
      <c r="D147" s="97">
        <f>IFERROR(__xludf.DUMMYFUNCTION("""COMPUTED_VALUE"""),7.798328755032E12)</f>
        <v>7798328755032</v>
      </c>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t="str">
        <f>IFERROR(__xludf.DUMMYFUNCTION("""COMPUTED_VALUE"""),"IP20")</f>
        <v>IP20</v>
      </c>
      <c r="AE147" s="97"/>
      <c r="AF147" s="97" t="str">
        <f>IFERROR(__xludf.DUMMYFUNCTION("""COMPUTED_VALUE"""),"Suspender")</f>
        <v>Suspender</v>
      </c>
      <c r="AG147" s="97"/>
      <c r="AH147" s="97"/>
      <c r="AI147" s="97"/>
      <c r="AJ147" s="97"/>
      <c r="AK147" s="97"/>
      <c r="AL147" s="97"/>
      <c r="AM147" s="97"/>
      <c r="AN147" s="97"/>
      <c r="AO147" s="97" t="str">
        <f>IFERROR(__xludf.DUMMYFUNCTION("""COMPUTED_VALUE"""),"1 Año")</f>
        <v>1 Año</v>
      </c>
      <c r="AP147" s="97"/>
      <c r="AQ147" s="97"/>
      <c r="AR147" s="97"/>
      <c r="AS147" s="97"/>
      <c r="AT147" s="97"/>
      <c r="AU147" s="97"/>
      <c r="AV147" s="97" t="str">
        <f>IFERROR(__xludf.DUMMYFUNCTION("""COMPUTED_VALUE"""),"Colgante")</f>
        <v>Colgante</v>
      </c>
      <c r="AW147" s="97" t="str">
        <f>IFERROR(__xludf.DUMMYFUNCTION("""COMPUTED_VALUE"""),"De Techo")</f>
        <v>De Techo</v>
      </c>
      <c r="AX147" s="97" t="str">
        <f>IFERROR(__xludf.DUMMYFUNCTION("""COMPUTED_VALUE"""),"Interior")</f>
        <v>Interior</v>
      </c>
      <c r="AY147" s="97"/>
      <c r="AZ147" s="97"/>
      <c r="BA147" s="97"/>
      <c r="BB147" s="97"/>
      <c r="BC147" s="97"/>
      <c r="BD147" s="97" t="str">
        <f>IFERROR(__xludf.DUMMYFUNCTION("""COMPUTED_VALUE"""),"SFYRI")</f>
        <v>SFYRI</v>
      </c>
      <c r="BE147" s="97" t="str">
        <f>IFERROR(__xludf.DUMMYFUNCTION("""COMPUTED_VALUE"""),"Sin Ficha")</f>
        <v>Sin Ficha</v>
      </c>
      <c r="BF147" s="97"/>
      <c r="BG147" s="97" t="str">
        <f>IFERROR(__xludf.DUMMYFUNCTION("""COMPUTED_VALUE"""),"Discontinuo")</f>
        <v>Discontinuo</v>
      </c>
    </row>
    <row r="148">
      <c r="A148" s="97">
        <f>IFERROR(__xludf.DUMMYFUNCTION("""COMPUTED_VALUE"""),3661.0)</f>
        <v>3661</v>
      </c>
      <c r="B148" s="97" t="str">
        <f>IFERROR(__xludf.DUMMYFUNCTION("""COMPUTED_VALUE"""),"NYX NG")</f>
        <v>NYX NG</v>
      </c>
      <c r="C148" s="97" t="str">
        <f>IFERROR(__xludf.DUMMYFUNCTION("""COMPUTED_VALUE"""),"COLGANTE NYX BRILLANTE LEUK NEGRO")</f>
        <v>COLGANTE NYX BRILLANTE LEUK NEGRO</v>
      </c>
      <c r="D148" s="97">
        <f>IFERROR(__xludf.DUMMYFUNCTION("""COMPUTED_VALUE"""),36610.0)</f>
        <v>36610</v>
      </c>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t="str">
        <f>IFERROR(__xludf.DUMMYFUNCTION("""COMPUTED_VALUE"""),"IP20")</f>
        <v>IP20</v>
      </c>
      <c r="AE148" s="97"/>
      <c r="AF148" s="97" t="str">
        <f>IFERROR(__xludf.DUMMYFUNCTION("""COMPUTED_VALUE"""),"Suspender")</f>
        <v>Suspender</v>
      </c>
      <c r="AG148" s="97"/>
      <c r="AH148" s="97"/>
      <c r="AI148" s="97"/>
      <c r="AJ148" s="97"/>
      <c r="AK148" s="97"/>
      <c r="AL148" s="97"/>
      <c r="AM148" s="97"/>
      <c r="AN148" s="97"/>
      <c r="AO148" s="97" t="str">
        <f>IFERROR(__xludf.DUMMYFUNCTION("""COMPUTED_VALUE"""),"1 Año")</f>
        <v>1 Año</v>
      </c>
      <c r="AP148" s="97"/>
      <c r="AQ148" s="97"/>
      <c r="AR148" s="97"/>
      <c r="AS148" s="97"/>
      <c r="AT148" s="97"/>
      <c r="AU148" s="97"/>
      <c r="AV148" s="97" t="str">
        <f>IFERROR(__xludf.DUMMYFUNCTION("""COMPUTED_VALUE"""),"Colgante")</f>
        <v>Colgante</v>
      </c>
      <c r="AW148" s="97" t="str">
        <f>IFERROR(__xludf.DUMMYFUNCTION("""COMPUTED_VALUE"""),"De Techo")</f>
        <v>De Techo</v>
      </c>
      <c r="AX148" s="97" t="str">
        <f>IFERROR(__xludf.DUMMYFUNCTION("""COMPUTED_VALUE"""),"Interior")</f>
        <v>Interior</v>
      </c>
      <c r="AY148" s="97"/>
      <c r="AZ148" s="97"/>
      <c r="BA148" s="97"/>
      <c r="BB148" s="97"/>
      <c r="BC148" s="97"/>
      <c r="BD148" s="97" t="str">
        <f>IFERROR(__xludf.DUMMYFUNCTION("""COMPUTED_VALUE"""),"NYX")</f>
        <v>NYX</v>
      </c>
      <c r="BE148" s="97" t="str">
        <f>IFERROR(__xludf.DUMMYFUNCTION("""COMPUTED_VALUE"""),"Sin Ficha")</f>
        <v>Sin Ficha</v>
      </c>
      <c r="BF148" s="97"/>
      <c r="BG148" s="97" t="str">
        <f>IFERROR(__xludf.DUMMYFUNCTION("""COMPUTED_VALUE"""),"Discontinuo")</f>
        <v>Discontinuo</v>
      </c>
    </row>
    <row r="149">
      <c r="A149" s="97">
        <f>IFERROR(__xludf.DUMMYFUNCTION("""COMPUTED_VALUE"""),3662.0)</f>
        <v>3662</v>
      </c>
      <c r="B149" s="97" t="str">
        <f>IFERROR(__xludf.DUMMYFUNCTION("""COMPUTED_VALUE"""),"NYX BL")</f>
        <v>NYX BL</v>
      </c>
      <c r="C149" s="97" t="str">
        <f>IFERROR(__xludf.DUMMYFUNCTION("""COMPUTED_VALUE"""),"COLGANTE NYX BRILLANTE LEUK BLANCO")</f>
        <v>COLGANTE NYX BRILLANTE LEUK BLANCO</v>
      </c>
      <c r="D149" s="97">
        <f>IFERROR(__xludf.DUMMYFUNCTION("""COMPUTED_VALUE"""),36627.0)</f>
        <v>36627</v>
      </c>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t="str">
        <f>IFERROR(__xludf.DUMMYFUNCTION("""COMPUTED_VALUE"""),"IP20")</f>
        <v>IP20</v>
      </c>
      <c r="AE149" s="97"/>
      <c r="AF149" s="97" t="str">
        <f>IFERROR(__xludf.DUMMYFUNCTION("""COMPUTED_VALUE"""),"Suspender")</f>
        <v>Suspender</v>
      </c>
      <c r="AG149" s="97"/>
      <c r="AH149" s="97"/>
      <c r="AI149" s="97"/>
      <c r="AJ149" s="97"/>
      <c r="AK149" s="97"/>
      <c r="AL149" s="97"/>
      <c r="AM149" s="97"/>
      <c r="AN149" s="97"/>
      <c r="AO149" s="97" t="str">
        <f>IFERROR(__xludf.DUMMYFUNCTION("""COMPUTED_VALUE"""),"1 Año")</f>
        <v>1 Año</v>
      </c>
      <c r="AP149" s="97"/>
      <c r="AQ149" s="97"/>
      <c r="AR149" s="97"/>
      <c r="AS149" s="97"/>
      <c r="AT149" s="97"/>
      <c r="AU149" s="97"/>
      <c r="AV149" s="97" t="str">
        <f>IFERROR(__xludf.DUMMYFUNCTION("""COMPUTED_VALUE"""),"Colgante")</f>
        <v>Colgante</v>
      </c>
      <c r="AW149" s="97" t="str">
        <f>IFERROR(__xludf.DUMMYFUNCTION("""COMPUTED_VALUE"""),"De Techo")</f>
        <v>De Techo</v>
      </c>
      <c r="AX149" s="97" t="str">
        <f>IFERROR(__xludf.DUMMYFUNCTION("""COMPUTED_VALUE"""),"Interior")</f>
        <v>Interior</v>
      </c>
      <c r="AY149" s="97"/>
      <c r="AZ149" s="97"/>
      <c r="BA149" s="97"/>
      <c r="BB149" s="97"/>
      <c r="BC149" s="97"/>
      <c r="BD149" s="97" t="str">
        <f>IFERROR(__xludf.DUMMYFUNCTION("""COMPUTED_VALUE"""),"NYX")</f>
        <v>NYX</v>
      </c>
      <c r="BE149" s="97" t="str">
        <f>IFERROR(__xludf.DUMMYFUNCTION("""COMPUTED_VALUE"""),"Sin Ficha")</f>
        <v>Sin Ficha</v>
      </c>
      <c r="BF149" s="97"/>
      <c r="BG149" s="97" t="str">
        <f>IFERROR(__xludf.DUMMYFUNCTION("""COMPUTED_VALUE"""),"Discontinuo")</f>
        <v>Discontinuo</v>
      </c>
    </row>
    <row r="150">
      <c r="A150" s="97">
        <f>IFERROR(__xludf.DUMMYFUNCTION("""COMPUTED_VALUE"""),3663.0)</f>
        <v>3663</v>
      </c>
      <c r="B150" s="97" t="str">
        <f>IFERROR(__xludf.DUMMYFUNCTION("""COMPUTED_VALUE"""),"VESNA")</f>
        <v>VESNA</v>
      </c>
      <c r="C150" s="97" t="str">
        <f>IFERROR(__xludf.DUMMYFUNCTION("""COMPUTED_VALUE"""),"COLGANTE VESNA BRILLANTE LEUK")</f>
        <v>COLGANTE VESNA BRILLANTE LEUK</v>
      </c>
      <c r="D150" s="97">
        <f>IFERROR(__xludf.DUMMYFUNCTION("""COMPUTED_VALUE"""),36634.0)</f>
        <v>36634</v>
      </c>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t="str">
        <f>IFERROR(__xludf.DUMMYFUNCTION("""COMPUTED_VALUE"""),"IP20")</f>
        <v>IP20</v>
      </c>
      <c r="AE150" s="97"/>
      <c r="AF150" s="97" t="str">
        <f>IFERROR(__xludf.DUMMYFUNCTION("""COMPUTED_VALUE"""),"Suspender")</f>
        <v>Suspender</v>
      </c>
      <c r="AG150" s="97"/>
      <c r="AH150" s="97"/>
      <c r="AI150" s="97"/>
      <c r="AJ150" s="97"/>
      <c r="AK150" s="97"/>
      <c r="AL150" s="97"/>
      <c r="AM150" s="97"/>
      <c r="AN150" s="97"/>
      <c r="AO150" s="97" t="str">
        <f>IFERROR(__xludf.DUMMYFUNCTION("""COMPUTED_VALUE"""),"1 Año")</f>
        <v>1 Año</v>
      </c>
      <c r="AP150" s="97"/>
      <c r="AQ150" s="97"/>
      <c r="AR150" s="97"/>
      <c r="AS150" s="97"/>
      <c r="AT150" s="97"/>
      <c r="AU150" s="97"/>
      <c r="AV150" s="97" t="str">
        <f>IFERROR(__xludf.DUMMYFUNCTION("""COMPUTED_VALUE"""),"Colgante")</f>
        <v>Colgante</v>
      </c>
      <c r="AW150" s="97" t="str">
        <f>IFERROR(__xludf.DUMMYFUNCTION("""COMPUTED_VALUE"""),"De Techo")</f>
        <v>De Techo</v>
      </c>
      <c r="AX150" s="97" t="str">
        <f>IFERROR(__xludf.DUMMYFUNCTION("""COMPUTED_VALUE"""),"Interior")</f>
        <v>Interior</v>
      </c>
      <c r="AY150" s="97"/>
      <c r="AZ150" s="97"/>
      <c r="BA150" s="97"/>
      <c r="BB150" s="97"/>
      <c r="BC150" s="97"/>
      <c r="BD150" s="97" t="str">
        <f>IFERROR(__xludf.DUMMYFUNCTION("""COMPUTED_VALUE"""),"VESNA")</f>
        <v>VESNA</v>
      </c>
      <c r="BE150" s="97" t="str">
        <f>IFERROR(__xludf.DUMMYFUNCTION("""COMPUTED_VALUE"""),"Sin Ficha")</f>
        <v>Sin Ficha</v>
      </c>
      <c r="BF150" s="97"/>
      <c r="BG150" s="97" t="str">
        <f>IFERROR(__xludf.DUMMYFUNCTION("""COMPUTED_VALUE"""),"Discontinuo")</f>
        <v>Discontinuo</v>
      </c>
    </row>
    <row r="151">
      <c r="A151" s="97">
        <f>IFERROR(__xludf.DUMMYFUNCTION("""COMPUTED_VALUE"""),3664.0)</f>
        <v>3664</v>
      </c>
      <c r="B151" s="97" t="str">
        <f>IFERROR(__xludf.DUMMYFUNCTION("""COMPUTED_VALUE"""),"PYRENA")</f>
        <v>PYRENA</v>
      </c>
      <c r="C151" s="97" t="str">
        <f>IFERROR(__xludf.DUMMYFUNCTION("""COMPUTED_VALUE"""),"COLGANTE PYRENA BRILLANTE LEUK AZUL")</f>
        <v>COLGANTE PYRENA BRILLANTE LEUK AZUL</v>
      </c>
      <c r="D151" s="97">
        <f>IFERROR(__xludf.DUMMYFUNCTION("""COMPUTED_VALUE"""),36641.0)</f>
        <v>36641</v>
      </c>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t="str">
        <f>IFERROR(__xludf.DUMMYFUNCTION("""COMPUTED_VALUE"""),"IP20")</f>
        <v>IP20</v>
      </c>
      <c r="AE151" s="97"/>
      <c r="AF151" s="97" t="str">
        <f>IFERROR(__xludf.DUMMYFUNCTION("""COMPUTED_VALUE"""),"Suspender")</f>
        <v>Suspender</v>
      </c>
      <c r="AG151" s="97"/>
      <c r="AH151" s="97"/>
      <c r="AI151" s="97"/>
      <c r="AJ151" s="97"/>
      <c r="AK151" s="97"/>
      <c r="AL151" s="97"/>
      <c r="AM151" s="97"/>
      <c r="AN151" s="97"/>
      <c r="AO151" s="97" t="str">
        <f>IFERROR(__xludf.DUMMYFUNCTION("""COMPUTED_VALUE"""),"1 Año")</f>
        <v>1 Año</v>
      </c>
      <c r="AP151" s="97"/>
      <c r="AQ151" s="97"/>
      <c r="AR151" s="97"/>
      <c r="AS151" s="97"/>
      <c r="AT151" s="97"/>
      <c r="AU151" s="97"/>
      <c r="AV151" s="97" t="str">
        <f>IFERROR(__xludf.DUMMYFUNCTION("""COMPUTED_VALUE"""),"Colgante")</f>
        <v>Colgante</v>
      </c>
      <c r="AW151" s="97" t="str">
        <f>IFERROR(__xludf.DUMMYFUNCTION("""COMPUTED_VALUE"""),"De Techo")</f>
        <v>De Techo</v>
      </c>
      <c r="AX151" s="97" t="str">
        <f>IFERROR(__xludf.DUMMYFUNCTION("""COMPUTED_VALUE"""),"Interior")</f>
        <v>Interior</v>
      </c>
      <c r="AY151" s="97"/>
      <c r="AZ151" s="97"/>
      <c r="BA151" s="97"/>
      <c r="BB151" s="97"/>
      <c r="BC151" s="97"/>
      <c r="BD151" s="97" t="str">
        <f>IFERROR(__xludf.DUMMYFUNCTION("""COMPUTED_VALUE"""),"PYRENA")</f>
        <v>PYRENA</v>
      </c>
      <c r="BE151" s="97" t="str">
        <f>IFERROR(__xludf.DUMMYFUNCTION("""COMPUTED_VALUE"""),"Sin Ficha")</f>
        <v>Sin Ficha</v>
      </c>
      <c r="BF151" s="97"/>
      <c r="BG151" s="97" t="str">
        <f>IFERROR(__xludf.DUMMYFUNCTION("""COMPUTED_VALUE"""),"Discontinuo")</f>
        <v>Discontinuo</v>
      </c>
    </row>
    <row r="152">
      <c r="A152" s="97">
        <f>IFERROR(__xludf.DUMMYFUNCTION("""COMPUTED_VALUE"""),3665.0)</f>
        <v>3665</v>
      </c>
      <c r="B152" s="97" t="str">
        <f>IFERROR(__xludf.DUMMYFUNCTION("""COMPUTED_VALUE"""),"PYRENA")</f>
        <v>PYRENA</v>
      </c>
      <c r="C152" s="97" t="str">
        <f>IFERROR(__xludf.DUMMYFUNCTION("""COMPUTED_VALUE"""),"COLGANTE PYRENA BRILLANTE LEUK NEGRO")</f>
        <v>COLGANTE PYRENA BRILLANTE LEUK NEGRO</v>
      </c>
      <c r="D152" s="97">
        <f>IFERROR(__xludf.DUMMYFUNCTION("""COMPUTED_VALUE"""),36658.0)</f>
        <v>36658</v>
      </c>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t="str">
        <f>IFERROR(__xludf.DUMMYFUNCTION("""COMPUTED_VALUE"""),"IP20")</f>
        <v>IP20</v>
      </c>
      <c r="AE152" s="97"/>
      <c r="AF152" s="97" t="str">
        <f>IFERROR(__xludf.DUMMYFUNCTION("""COMPUTED_VALUE"""),"Suspender")</f>
        <v>Suspender</v>
      </c>
      <c r="AG152" s="97"/>
      <c r="AH152" s="97"/>
      <c r="AI152" s="97"/>
      <c r="AJ152" s="97"/>
      <c r="AK152" s="97"/>
      <c r="AL152" s="97"/>
      <c r="AM152" s="97"/>
      <c r="AN152" s="97"/>
      <c r="AO152" s="97" t="str">
        <f>IFERROR(__xludf.DUMMYFUNCTION("""COMPUTED_VALUE"""),"1 Año")</f>
        <v>1 Año</v>
      </c>
      <c r="AP152" s="97"/>
      <c r="AQ152" s="97"/>
      <c r="AR152" s="97"/>
      <c r="AS152" s="97"/>
      <c r="AT152" s="97"/>
      <c r="AU152" s="97"/>
      <c r="AV152" s="97" t="str">
        <f>IFERROR(__xludf.DUMMYFUNCTION("""COMPUTED_VALUE"""),"Colgante")</f>
        <v>Colgante</v>
      </c>
      <c r="AW152" s="97" t="str">
        <f>IFERROR(__xludf.DUMMYFUNCTION("""COMPUTED_VALUE"""),"De Techo")</f>
        <v>De Techo</v>
      </c>
      <c r="AX152" s="97" t="str">
        <f>IFERROR(__xludf.DUMMYFUNCTION("""COMPUTED_VALUE"""),"Interior")</f>
        <v>Interior</v>
      </c>
      <c r="AY152" s="97"/>
      <c r="AZ152" s="97"/>
      <c r="BA152" s="97"/>
      <c r="BB152" s="97"/>
      <c r="BC152" s="97"/>
      <c r="BD152" s="97" t="str">
        <f>IFERROR(__xludf.DUMMYFUNCTION("""COMPUTED_VALUE"""),"PYRENA")</f>
        <v>PYRENA</v>
      </c>
      <c r="BE152" s="97" t="str">
        <f>IFERROR(__xludf.DUMMYFUNCTION("""COMPUTED_VALUE"""),"Sin Ficha")</f>
        <v>Sin Ficha</v>
      </c>
      <c r="BF152" s="97"/>
      <c r="BG152" s="97" t="str">
        <f>IFERROR(__xludf.DUMMYFUNCTION("""COMPUTED_VALUE"""),"Discontinuo")</f>
        <v>Discontinuo</v>
      </c>
    </row>
    <row r="153">
      <c r="A153" s="97">
        <f>IFERROR(__xludf.DUMMYFUNCTION("""COMPUTED_VALUE"""),3666.0)</f>
        <v>3666</v>
      </c>
      <c r="B153" s="97" t="str">
        <f>IFERROR(__xludf.DUMMYFUNCTION("""COMPUTED_VALUE"""),"KAL CON CADENA")</f>
        <v>KAL CON CADENA</v>
      </c>
      <c r="C153" s="97" t="str">
        <f>IFERROR(__xludf.DUMMYFUNCTION("""COMPUTED_VALUE"""),"COLGANTE KAL NEGRO CON CADENA LEUK")</f>
        <v>COLGANTE KAL NEGRO CON CADENA LEUK</v>
      </c>
      <c r="D153" s="97">
        <f>IFERROR(__xludf.DUMMYFUNCTION("""COMPUTED_VALUE"""),7.798328752581E12)</f>
        <v>7798328752581</v>
      </c>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t="str">
        <f>IFERROR(__xludf.DUMMYFUNCTION("""COMPUTED_VALUE"""),"IP20")</f>
        <v>IP20</v>
      </c>
      <c r="AE153" s="97"/>
      <c r="AF153" s="97" t="str">
        <f>IFERROR(__xludf.DUMMYFUNCTION("""COMPUTED_VALUE"""),"Suspender")</f>
        <v>Suspender</v>
      </c>
      <c r="AG153" s="97"/>
      <c r="AH153" s="97"/>
      <c r="AI153" s="97"/>
      <c r="AJ153" s="97"/>
      <c r="AK153" s="97"/>
      <c r="AL153" s="97"/>
      <c r="AM153" s="97"/>
      <c r="AN153" s="97"/>
      <c r="AO153" s="97" t="str">
        <f>IFERROR(__xludf.DUMMYFUNCTION("""COMPUTED_VALUE"""),"1 Año")</f>
        <v>1 Año</v>
      </c>
      <c r="AP153" s="97"/>
      <c r="AQ153" s="97"/>
      <c r="AR153" s="97"/>
      <c r="AS153" s="97"/>
      <c r="AT153" s="97"/>
      <c r="AU153" s="97"/>
      <c r="AV153" s="97" t="str">
        <f>IFERROR(__xludf.DUMMYFUNCTION("""COMPUTED_VALUE"""),"Colgante")</f>
        <v>Colgante</v>
      </c>
      <c r="AW153" s="97" t="str">
        <f>IFERROR(__xludf.DUMMYFUNCTION("""COMPUTED_VALUE"""),"De Techo")</f>
        <v>De Techo</v>
      </c>
      <c r="AX153" s="97" t="str">
        <f>IFERROR(__xludf.DUMMYFUNCTION("""COMPUTED_VALUE"""),"Interior")</f>
        <v>Interior</v>
      </c>
      <c r="AY153" s="97"/>
      <c r="AZ153" s="97"/>
      <c r="BA153" s="97">
        <f>IFERROR(__xludf.DUMMYFUNCTION("""COMPUTED_VALUE"""),1.0)</f>
        <v>1</v>
      </c>
      <c r="BB153" s="97"/>
      <c r="BC153" s="97"/>
      <c r="BD153" s="97" t="str">
        <f>IFERROR(__xludf.DUMMYFUNCTION("""COMPUTED_VALUE"""),"KAL")</f>
        <v>KAL</v>
      </c>
      <c r="BE153" s="97" t="str">
        <f>IFERROR(__xludf.DUMMYFUNCTION("""COMPUTED_VALUE"""),"Sin Ficha")</f>
        <v>Sin Ficha</v>
      </c>
      <c r="BF153" s="97"/>
      <c r="BG153" s="97" t="str">
        <f>IFERROR(__xludf.DUMMYFUNCTION("""COMPUTED_VALUE"""),"Discontinuo")</f>
        <v>Discontinuo</v>
      </c>
    </row>
    <row r="154">
      <c r="A154" s="97">
        <f>IFERROR(__xludf.DUMMYFUNCTION("""COMPUTED_VALUE"""),3667.0)</f>
        <v>3667</v>
      </c>
      <c r="B154" s="97" t="str">
        <f>IFERROR(__xludf.DUMMYFUNCTION("""COMPUTED_VALUE"""),"KAL RUST CON CADENA")</f>
        <v>KAL RUST CON CADENA</v>
      </c>
      <c r="C154" s="97" t="str">
        <f>IFERROR(__xludf.DUMMYFUNCTION("""COMPUTED_VALUE"""),"COLGANTE KAL RUST CON CADENA LEUK")</f>
        <v>COLGANTE KAL RUST CON CADENA LEUK</v>
      </c>
      <c r="D154" s="97">
        <f>IFERROR(__xludf.DUMMYFUNCTION("""COMPUTED_VALUE"""),7.798328752598E12)</f>
        <v>7798328752598</v>
      </c>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t="str">
        <f>IFERROR(__xludf.DUMMYFUNCTION("""COMPUTED_VALUE"""),"IP20")</f>
        <v>IP20</v>
      </c>
      <c r="AE154" s="97"/>
      <c r="AF154" s="97" t="str">
        <f>IFERROR(__xludf.DUMMYFUNCTION("""COMPUTED_VALUE"""),"Suspender")</f>
        <v>Suspender</v>
      </c>
      <c r="AG154" s="97"/>
      <c r="AH154" s="97"/>
      <c r="AI154" s="97"/>
      <c r="AJ154" s="97"/>
      <c r="AK154" s="97"/>
      <c r="AL154" s="97"/>
      <c r="AM154" s="97"/>
      <c r="AN154" s="97"/>
      <c r="AO154" s="97" t="str">
        <f>IFERROR(__xludf.DUMMYFUNCTION("""COMPUTED_VALUE"""),"1 Año")</f>
        <v>1 Año</v>
      </c>
      <c r="AP154" s="97"/>
      <c r="AQ154" s="97"/>
      <c r="AR154" s="97"/>
      <c r="AS154" s="97"/>
      <c r="AT154" s="97"/>
      <c r="AU154" s="97"/>
      <c r="AV154" s="97" t="str">
        <f>IFERROR(__xludf.DUMMYFUNCTION("""COMPUTED_VALUE"""),"Colgante")</f>
        <v>Colgante</v>
      </c>
      <c r="AW154" s="97" t="str">
        <f>IFERROR(__xludf.DUMMYFUNCTION("""COMPUTED_VALUE"""),"De Techo")</f>
        <v>De Techo</v>
      </c>
      <c r="AX154" s="97" t="str">
        <f>IFERROR(__xludf.DUMMYFUNCTION("""COMPUTED_VALUE"""),"Interior")</f>
        <v>Interior</v>
      </c>
      <c r="AY154" s="97"/>
      <c r="AZ154" s="97"/>
      <c r="BA154" s="97"/>
      <c r="BB154" s="97"/>
      <c r="BC154" s="97"/>
      <c r="BD154" s="97" t="str">
        <f>IFERROR(__xludf.DUMMYFUNCTION("""COMPUTED_VALUE"""),"KAL")</f>
        <v>KAL</v>
      </c>
      <c r="BE154" s="97" t="str">
        <f>IFERROR(__xludf.DUMMYFUNCTION("""COMPUTED_VALUE"""),"Sin Ficha")</f>
        <v>Sin Ficha</v>
      </c>
      <c r="BF154" s="97"/>
      <c r="BG154" s="97" t="str">
        <f>IFERROR(__xludf.DUMMYFUNCTION("""COMPUTED_VALUE"""),"Discontinuo")</f>
        <v>Discontinuo</v>
      </c>
    </row>
    <row r="155">
      <c r="A155" s="97">
        <f>IFERROR(__xludf.DUMMYFUNCTION("""COMPUTED_VALUE"""),3668.0)</f>
        <v>3668</v>
      </c>
      <c r="B155" s="97" t="str">
        <f>IFERROR(__xludf.DUMMYFUNCTION("""COMPUTED_VALUE"""),"APLI")</f>
        <v>APLI</v>
      </c>
      <c r="C155" s="97" t="str">
        <f>IFERROR(__xludf.DUMMYFUNCTION("""COMPUTED_VALUE"""),"COLGANTE APLI LEUK")</f>
        <v>COLGANTE APLI LEUK</v>
      </c>
      <c r="D155" s="97">
        <f>IFERROR(__xludf.DUMMYFUNCTION("""COMPUTED_VALUE"""),7.798328755025E12)</f>
        <v>7798328755025</v>
      </c>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t="str">
        <f>IFERROR(__xludf.DUMMYFUNCTION("""COMPUTED_VALUE"""),"IP20")</f>
        <v>IP20</v>
      </c>
      <c r="AE155" s="97"/>
      <c r="AF155" s="97" t="str">
        <f>IFERROR(__xludf.DUMMYFUNCTION("""COMPUTED_VALUE"""),"Suspender")</f>
        <v>Suspender</v>
      </c>
      <c r="AG155" s="97"/>
      <c r="AH155" s="97"/>
      <c r="AI155" s="97"/>
      <c r="AJ155" s="97"/>
      <c r="AK155" s="97"/>
      <c r="AL155" s="97"/>
      <c r="AM155" s="97"/>
      <c r="AN155" s="97"/>
      <c r="AO155" s="97" t="str">
        <f>IFERROR(__xludf.DUMMYFUNCTION("""COMPUTED_VALUE"""),"1 Año")</f>
        <v>1 Año</v>
      </c>
      <c r="AP155" s="97"/>
      <c r="AQ155" s="97"/>
      <c r="AR155" s="97"/>
      <c r="AS155" s="97"/>
      <c r="AT155" s="97"/>
      <c r="AU155" s="97"/>
      <c r="AV155" s="97" t="str">
        <f>IFERROR(__xludf.DUMMYFUNCTION("""COMPUTED_VALUE"""),"Colgante")</f>
        <v>Colgante</v>
      </c>
      <c r="AW155" s="97" t="str">
        <f>IFERROR(__xludf.DUMMYFUNCTION("""COMPUTED_VALUE"""),"De Techo")</f>
        <v>De Techo</v>
      </c>
      <c r="AX155" s="97" t="str">
        <f>IFERROR(__xludf.DUMMYFUNCTION("""COMPUTED_VALUE"""),"Interior")</f>
        <v>Interior</v>
      </c>
      <c r="AY155" s="97"/>
      <c r="AZ155" s="97"/>
      <c r="BA155" s="97"/>
      <c r="BB155" s="97"/>
      <c r="BC155" s="97"/>
      <c r="BD155" s="97" t="str">
        <f>IFERROR(__xludf.DUMMYFUNCTION("""COMPUTED_VALUE"""),"APLI")</f>
        <v>APLI</v>
      </c>
      <c r="BE155" s="97" t="str">
        <f>IFERROR(__xludf.DUMMYFUNCTION("""COMPUTED_VALUE"""),"Sin Ficha")</f>
        <v>Sin Ficha</v>
      </c>
      <c r="BF155" s="97"/>
      <c r="BG155" s="97" t="str">
        <f>IFERROR(__xludf.DUMMYFUNCTION("""COMPUTED_VALUE"""),"Discontinuo")</f>
        <v>Discontinuo</v>
      </c>
    </row>
    <row r="156">
      <c r="A156" s="97">
        <f>IFERROR(__xludf.DUMMYFUNCTION("""COMPUTED_VALUE"""),3669.0)</f>
        <v>3669</v>
      </c>
      <c r="B156" s="97" t="str">
        <f>IFERROR(__xludf.DUMMYFUNCTION("""COMPUTED_VALUE"""),"GELIO")</f>
        <v>GELIO</v>
      </c>
      <c r="C156" s="97" t="str">
        <f>IFERROR(__xludf.DUMMYFUNCTION("""COMPUTED_VALUE"""),"COLGANTE GELIO LEUK")</f>
        <v>COLGANTE GELIO LEUK</v>
      </c>
      <c r="D156" s="97">
        <f>IFERROR(__xludf.DUMMYFUNCTION("""COMPUTED_VALUE"""),7.798328755049E12)</f>
        <v>7798328755049</v>
      </c>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t="str">
        <f>IFERROR(__xludf.DUMMYFUNCTION("""COMPUTED_VALUE"""),"IP20")</f>
        <v>IP20</v>
      </c>
      <c r="AE156" s="97"/>
      <c r="AF156" s="97" t="str">
        <f>IFERROR(__xludf.DUMMYFUNCTION("""COMPUTED_VALUE"""),"Suspender")</f>
        <v>Suspender</v>
      </c>
      <c r="AG156" s="97"/>
      <c r="AH156" s="97"/>
      <c r="AI156" s="97"/>
      <c r="AJ156" s="97"/>
      <c r="AK156" s="97"/>
      <c r="AL156" s="97"/>
      <c r="AM156" s="97"/>
      <c r="AN156" s="97"/>
      <c r="AO156" s="97" t="str">
        <f>IFERROR(__xludf.DUMMYFUNCTION("""COMPUTED_VALUE"""),"1 Año")</f>
        <v>1 Año</v>
      </c>
      <c r="AP156" s="97"/>
      <c r="AQ156" s="97"/>
      <c r="AR156" s="97"/>
      <c r="AS156" s="97"/>
      <c r="AT156" s="97"/>
      <c r="AU156" s="97"/>
      <c r="AV156" s="97" t="str">
        <f>IFERROR(__xludf.DUMMYFUNCTION("""COMPUTED_VALUE"""),"Colgante")</f>
        <v>Colgante</v>
      </c>
      <c r="AW156" s="97" t="str">
        <f>IFERROR(__xludf.DUMMYFUNCTION("""COMPUTED_VALUE"""),"De Techo")</f>
        <v>De Techo</v>
      </c>
      <c r="AX156" s="97" t="str">
        <f>IFERROR(__xludf.DUMMYFUNCTION("""COMPUTED_VALUE"""),"Interior")</f>
        <v>Interior</v>
      </c>
      <c r="AY156" s="97"/>
      <c r="AZ156" s="97"/>
      <c r="BA156" s="97"/>
      <c r="BB156" s="97"/>
      <c r="BC156" s="97"/>
      <c r="BD156" s="97" t="str">
        <f>IFERROR(__xludf.DUMMYFUNCTION("""COMPUTED_VALUE"""),"GELIO")</f>
        <v>GELIO</v>
      </c>
      <c r="BE156" s="97" t="str">
        <f>IFERROR(__xludf.DUMMYFUNCTION("""COMPUTED_VALUE"""),"Sin Ficha")</f>
        <v>Sin Ficha</v>
      </c>
      <c r="BF156" s="97"/>
      <c r="BG156" s="97" t="str">
        <f>IFERROR(__xludf.DUMMYFUNCTION("""COMPUTED_VALUE"""),"Discontinuo")</f>
        <v>Discontinuo</v>
      </c>
    </row>
    <row r="157">
      <c r="A157" s="97">
        <f>IFERROR(__xludf.DUMMYFUNCTION("""COMPUTED_VALUE"""),3670.0)</f>
        <v>3670</v>
      </c>
      <c r="B157" s="97" t="str">
        <f>IFERROR(__xludf.DUMMYFUNCTION("""COMPUTED_VALUE"""),"BLE NG")</f>
        <v>BLE NG</v>
      </c>
      <c r="C157" s="97" t="str">
        <f>IFERROR(__xludf.DUMMYFUNCTION("""COMPUTED_VALUE"""),"COLGANTE BLE NEGRO LEUK")</f>
        <v>COLGANTE BLE NEGRO LEUK</v>
      </c>
      <c r="D157" s="97">
        <f>IFERROR(__xludf.DUMMYFUNCTION("""COMPUTED_VALUE"""),7.798328755353E12)</f>
        <v>7798328755353</v>
      </c>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t="str">
        <f>IFERROR(__xludf.DUMMYFUNCTION("""COMPUTED_VALUE"""),"IP20")</f>
        <v>IP20</v>
      </c>
      <c r="AE157" s="97"/>
      <c r="AF157" s="97" t="str">
        <f>IFERROR(__xludf.DUMMYFUNCTION("""COMPUTED_VALUE"""),"Suspender")</f>
        <v>Suspender</v>
      </c>
      <c r="AG157" s="97"/>
      <c r="AH157" s="97"/>
      <c r="AI157" s="97"/>
      <c r="AJ157" s="97"/>
      <c r="AK157" s="97"/>
      <c r="AL157" s="97"/>
      <c r="AM157" s="97"/>
      <c r="AN157" s="97"/>
      <c r="AO157" s="97" t="str">
        <f>IFERROR(__xludf.DUMMYFUNCTION("""COMPUTED_VALUE"""),"1 Año")</f>
        <v>1 Año</v>
      </c>
      <c r="AP157" s="97"/>
      <c r="AQ157" s="97"/>
      <c r="AR157" s="97"/>
      <c r="AS157" s="97"/>
      <c r="AT157" s="97"/>
      <c r="AU157" s="97"/>
      <c r="AV157" s="97" t="str">
        <f>IFERROR(__xludf.DUMMYFUNCTION("""COMPUTED_VALUE"""),"Colgante")</f>
        <v>Colgante</v>
      </c>
      <c r="AW157" s="97" t="str">
        <f>IFERROR(__xludf.DUMMYFUNCTION("""COMPUTED_VALUE"""),"De Techo")</f>
        <v>De Techo</v>
      </c>
      <c r="AX157" s="97" t="str">
        <f>IFERROR(__xludf.DUMMYFUNCTION("""COMPUTED_VALUE"""),"Interior")</f>
        <v>Interior</v>
      </c>
      <c r="AY157" s="97"/>
      <c r="AZ157" s="97"/>
      <c r="BA157" s="97"/>
      <c r="BB157" s="97"/>
      <c r="BC157" s="97"/>
      <c r="BD157" s="97" t="str">
        <f>IFERROR(__xludf.DUMMYFUNCTION("""COMPUTED_VALUE"""),"BLE")</f>
        <v>BLE</v>
      </c>
      <c r="BE157" s="97" t="str">
        <f>IFERROR(__xludf.DUMMYFUNCTION("""COMPUTED_VALUE"""),"Sin Ficha")</f>
        <v>Sin Ficha</v>
      </c>
      <c r="BF157" s="97"/>
      <c r="BG157" s="97" t="str">
        <f>IFERROR(__xludf.DUMMYFUNCTION("""COMPUTED_VALUE"""),"Discontinuo")</f>
        <v>Discontinuo</v>
      </c>
    </row>
    <row r="158">
      <c r="A158" s="97">
        <f>IFERROR(__xludf.DUMMYFUNCTION("""COMPUTED_VALUE"""),3671.0)</f>
        <v>3671</v>
      </c>
      <c r="B158" s="97" t="str">
        <f>IFERROR(__xludf.DUMMYFUNCTION("""COMPUTED_VALUE"""),"BLE BL")</f>
        <v>BLE BL</v>
      </c>
      <c r="C158" s="97" t="str">
        <f>IFERROR(__xludf.DUMMYFUNCTION("""COMPUTED_VALUE"""),"COLGANTE BLE BLANCO LEUK")</f>
        <v>COLGANTE BLE BLANCO LEUK</v>
      </c>
      <c r="D158" s="97">
        <f>IFERROR(__xludf.DUMMYFUNCTION("""COMPUTED_VALUE"""),7.79832875536E12)</f>
        <v>7798328755360</v>
      </c>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t="str">
        <f>IFERROR(__xludf.DUMMYFUNCTION("""COMPUTED_VALUE"""),"IP20")</f>
        <v>IP20</v>
      </c>
      <c r="AE158" s="97"/>
      <c r="AF158" s="97" t="str">
        <f>IFERROR(__xludf.DUMMYFUNCTION("""COMPUTED_VALUE"""),"Suspender")</f>
        <v>Suspender</v>
      </c>
      <c r="AG158" s="97"/>
      <c r="AH158" s="97"/>
      <c r="AI158" s="97"/>
      <c r="AJ158" s="97"/>
      <c r="AK158" s="97"/>
      <c r="AL158" s="97"/>
      <c r="AM158" s="97"/>
      <c r="AN158" s="97"/>
      <c r="AO158" s="97" t="str">
        <f>IFERROR(__xludf.DUMMYFUNCTION("""COMPUTED_VALUE"""),"1 Año")</f>
        <v>1 Año</v>
      </c>
      <c r="AP158" s="97"/>
      <c r="AQ158" s="97"/>
      <c r="AR158" s="97"/>
      <c r="AS158" s="97"/>
      <c r="AT158" s="97"/>
      <c r="AU158" s="97"/>
      <c r="AV158" s="97" t="str">
        <f>IFERROR(__xludf.DUMMYFUNCTION("""COMPUTED_VALUE"""),"Colgante")</f>
        <v>Colgante</v>
      </c>
      <c r="AW158" s="97" t="str">
        <f>IFERROR(__xludf.DUMMYFUNCTION("""COMPUTED_VALUE"""),"De Techo")</f>
        <v>De Techo</v>
      </c>
      <c r="AX158" s="97" t="str">
        <f>IFERROR(__xludf.DUMMYFUNCTION("""COMPUTED_VALUE"""),"Interior")</f>
        <v>Interior</v>
      </c>
      <c r="AY158" s="97"/>
      <c r="AZ158" s="97"/>
      <c r="BA158" s="97">
        <f>IFERROR(__xludf.DUMMYFUNCTION("""COMPUTED_VALUE"""),1.0)</f>
        <v>1</v>
      </c>
      <c r="BB158" s="97"/>
      <c r="BC158" s="97"/>
      <c r="BD158" s="97" t="str">
        <f>IFERROR(__xludf.DUMMYFUNCTION("""COMPUTED_VALUE"""),"BLE")</f>
        <v>BLE</v>
      </c>
      <c r="BE158" s="97" t="str">
        <f>IFERROR(__xludf.DUMMYFUNCTION("""COMPUTED_VALUE"""),"Sin Ficha")</f>
        <v>Sin Ficha</v>
      </c>
      <c r="BF158" s="97"/>
      <c r="BG158" s="97" t="str">
        <f>IFERROR(__xludf.DUMMYFUNCTION("""COMPUTED_VALUE"""),"Discontinuo")</f>
        <v>Discontinuo</v>
      </c>
    </row>
    <row r="159">
      <c r="A159" s="97">
        <f>IFERROR(__xludf.DUMMYFUNCTION("""COMPUTED_VALUE"""),3672.0)</f>
        <v>3672</v>
      </c>
      <c r="B159" s="97" t="str">
        <f>IFERROR(__xludf.DUMMYFUNCTION("""COMPUTED_VALUE"""),"NERO")</f>
        <v>NERO</v>
      </c>
      <c r="C159" s="97" t="str">
        <f>IFERROR(__xludf.DUMMYFUNCTION("""COMPUTED_VALUE"""),"COLGANTE NERO LEUK")</f>
        <v>COLGANTE NERO LEUK</v>
      </c>
      <c r="D159" s="97">
        <f>IFERROR(__xludf.DUMMYFUNCTION("""COMPUTED_VALUE"""),7.798328755094E12)</f>
        <v>7798328755094</v>
      </c>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t="str">
        <f>IFERROR(__xludf.DUMMYFUNCTION("""COMPUTED_VALUE"""),"IP20")</f>
        <v>IP20</v>
      </c>
      <c r="AE159" s="97"/>
      <c r="AF159" s="97" t="str">
        <f>IFERROR(__xludf.DUMMYFUNCTION("""COMPUTED_VALUE"""),"Suspender")</f>
        <v>Suspender</v>
      </c>
      <c r="AG159" s="97"/>
      <c r="AH159" s="97"/>
      <c r="AI159" s="97"/>
      <c r="AJ159" s="97"/>
      <c r="AK159" s="97"/>
      <c r="AL159" s="97"/>
      <c r="AM159" s="97"/>
      <c r="AN159" s="97"/>
      <c r="AO159" s="97" t="str">
        <f>IFERROR(__xludf.DUMMYFUNCTION("""COMPUTED_VALUE"""),"1 Año")</f>
        <v>1 Año</v>
      </c>
      <c r="AP159" s="97"/>
      <c r="AQ159" s="97"/>
      <c r="AR159" s="97"/>
      <c r="AS159" s="97"/>
      <c r="AT159" s="97"/>
      <c r="AU159" s="97"/>
      <c r="AV159" s="97" t="str">
        <f>IFERROR(__xludf.DUMMYFUNCTION("""COMPUTED_VALUE"""),"Colgante")</f>
        <v>Colgante</v>
      </c>
      <c r="AW159" s="97" t="str">
        <f>IFERROR(__xludf.DUMMYFUNCTION("""COMPUTED_VALUE"""),"De Techo")</f>
        <v>De Techo</v>
      </c>
      <c r="AX159" s="97" t="str">
        <f>IFERROR(__xludf.DUMMYFUNCTION("""COMPUTED_VALUE"""),"Interior")</f>
        <v>Interior</v>
      </c>
      <c r="AY159" s="97"/>
      <c r="AZ159" s="97"/>
      <c r="BA159" s="97"/>
      <c r="BB159" s="97"/>
      <c r="BC159" s="97"/>
      <c r="BD159" s="97" t="str">
        <f>IFERROR(__xludf.DUMMYFUNCTION("""COMPUTED_VALUE"""),"NERO")</f>
        <v>NERO</v>
      </c>
      <c r="BE159" s="97" t="str">
        <f>IFERROR(__xludf.DUMMYFUNCTION("""COMPUTED_VALUE"""),"Sin Ficha")</f>
        <v>Sin Ficha</v>
      </c>
      <c r="BF159" s="97"/>
      <c r="BG159" s="97" t="str">
        <f>IFERROR(__xludf.DUMMYFUNCTION("""COMPUTED_VALUE"""),"Discontinuo")</f>
        <v>Discontinuo</v>
      </c>
    </row>
    <row r="160">
      <c r="A160" s="97">
        <f>IFERROR(__xludf.DUMMYFUNCTION("""COMPUTED_VALUE"""),3673.0)</f>
        <v>3673</v>
      </c>
      <c r="B160" s="97" t="str">
        <f>IFERROR(__xludf.DUMMYFUNCTION("""COMPUTED_VALUE"""),"TARDIA")</f>
        <v>TARDIA</v>
      </c>
      <c r="C160" s="97" t="str">
        <f>IFERROR(__xludf.DUMMYFUNCTION("""COMPUTED_VALUE"""),"COLGANTE TARDIA LEUK")</f>
        <v>COLGANTE TARDIA LEUK</v>
      </c>
      <c r="D160" s="97">
        <f>IFERROR(__xludf.DUMMYFUNCTION("""COMPUTED_VALUE"""),7.7983287551E12)</f>
        <v>7798328755100</v>
      </c>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t="str">
        <f>IFERROR(__xludf.DUMMYFUNCTION("""COMPUTED_VALUE"""),"IP20")</f>
        <v>IP20</v>
      </c>
      <c r="AE160" s="97"/>
      <c r="AF160" s="97" t="str">
        <f>IFERROR(__xludf.DUMMYFUNCTION("""COMPUTED_VALUE"""),"Suspender")</f>
        <v>Suspender</v>
      </c>
      <c r="AG160" s="97"/>
      <c r="AH160" s="97"/>
      <c r="AI160" s="97"/>
      <c r="AJ160" s="97"/>
      <c r="AK160" s="97"/>
      <c r="AL160" s="97"/>
      <c r="AM160" s="97"/>
      <c r="AN160" s="97"/>
      <c r="AO160" s="97" t="str">
        <f>IFERROR(__xludf.DUMMYFUNCTION("""COMPUTED_VALUE"""),"1 Año")</f>
        <v>1 Año</v>
      </c>
      <c r="AP160" s="97"/>
      <c r="AQ160" s="97"/>
      <c r="AR160" s="97"/>
      <c r="AS160" s="97"/>
      <c r="AT160" s="97"/>
      <c r="AU160" s="97"/>
      <c r="AV160" s="97" t="str">
        <f>IFERROR(__xludf.DUMMYFUNCTION("""COMPUTED_VALUE"""),"Colgante")</f>
        <v>Colgante</v>
      </c>
      <c r="AW160" s="97" t="str">
        <f>IFERROR(__xludf.DUMMYFUNCTION("""COMPUTED_VALUE"""),"De Techo")</f>
        <v>De Techo</v>
      </c>
      <c r="AX160" s="97" t="str">
        <f>IFERROR(__xludf.DUMMYFUNCTION("""COMPUTED_VALUE"""),"Interior")</f>
        <v>Interior</v>
      </c>
      <c r="AY160" s="97"/>
      <c r="AZ160" s="97"/>
      <c r="BA160" s="97"/>
      <c r="BB160" s="97"/>
      <c r="BC160" s="97"/>
      <c r="BD160" s="97" t="str">
        <f>IFERROR(__xludf.DUMMYFUNCTION("""COMPUTED_VALUE"""),"TARDIA")</f>
        <v>TARDIA</v>
      </c>
      <c r="BE160" s="97" t="str">
        <f>IFERROR(__xludf.DUMMYFUNCTION("""COMPUTED_VALUE"""),"Sin Ficha")</f>
        <v>Sin Ficha</v>
      </c>
      <c r="BF160" s="97"/>
      <c r="BG160" s="97" t="str">
        <f>IFERROR(__xludf.DUMMYFUNCTION("""COMPUTED_VALUE"""),"Discontinuo")</f>
        <v>Discontinuo</v>
      </c>
    </row>
    <row r="161">
      <c r="A161" s="97">
        <f>IFERROR(__xludf.DUMMYFUNCTION("""COMPUTED_VALUE"""),3674.0)</f>
        <v>3674</v>
      </c>
      <c r="B161" s="97" t="str">
        <f>IFERROR(__xludf.DUMMYFUNCTION("""COMPUTED_VALUE"""),"KRASI")</f>
        <v>KRASI</v>
      </c>
      <c r="C161" s="97" t="str">
        <f>IFERROR(__xludf.DUMMYFUNCTION("""COMPUTED_VALUE"""),"COLGANTE KRASI LEUK")</f>
        <v>COLGANTE KRASI LEUK</v>
      </c>
      <c r="D161" s="97">
        <f>IFERROR(__xludf.DUMMYFUNCTION("""COMPUTED_VALUE"""),7.798328755155E12)</f>
        <v>7798328755155</v>
      </c>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t="str">
        <f>IFERROR(__xludf.DUMMYFUNCTION("""COMPUTED_VALUE"""),"IP20")</f>
        <v>IP20</v>
      </c>
      <c r="AE161" s="97"/>
      <c r="AF161" s="97" t="str">
        <f>IFERROR(__xludf.DUMMYFUNCTION("""COMPUTED_VALUE"""),"Suspender")</f>
        <v>Suspender</v>
      </c>
      <c r="AG161" s="97"/>
      <c r="AH161" s="97"/>
      <c r="AI161" s="97"/>
      <c r="AJ161" s="97"/>
      <c r="AK161" s="97"/>
      <c r="AL161" s="97"/>
      <c r="AM161" s="97"/>
      <c r="AN161" s="97"/>
      <c r="AO161" s="97" t="str">
        <f>IFERROR(__xludf.DUMMYFUNCTION("""COMPUTED_VALUE"""),"1 Año")</f>
        <v>1 Año</v>
      </c>
      <c r="AP161" s="97"/>
      <c r="AQ161" s="97"/>
      <c r="AR161" s="97"/>
      <c r="AS161" s="97"/>
      <c r="AT161" s="97"/>
      <c r="AU161" s="97"/>
      <c r="AV161" s="97" t="str">
        <f>IFERROR(__xludf.DUMMYFUNCTION("""COMPUTED_VALUE"""),"Colgante")</f>
        <v>Colgante</v>
      </c>
      <c r="AW161" s="97" t="str">
        <f>IFERROR(__xludf.DUMMYFUNCTION("""COMPUTED_VALUE"""),"De Techo")</f>
        <v>De Techo</v>
      </c>
      <c r="AX161" s="97" t="str">
        <f>IFERROR(__xludf.DUMMYFUNCTION("""COMPUTED_VALUE"""),"Interior")</f>
        <v>Interior</v>
      </c>
      <c r="AY161" s="97"/>
      <c r="AZ161" s="97"/>
      <c r="BA161" s="97"/>
      <c r="BB161" s="97"/>
      <c r="BC161" s="97"/>
      <c r="BD161" s="97" t="str">
        <f>IFERROR(__xludf.DUMMYFUNCTION("""COMPUTED_VALUE"""),"KRASI")</f>
        <v>KRASI</v>
      </c>
      <c r="BE161" s="97" t="str">
        <f>IFERROR(__xludf.DUMMYFUNCTION("""COMPUTED_VALUE"""),"Sin Ficha")</f>
        <v>Sin Ficha</v>
      </c>
      <c r="BF161" s="97"/>
      <c r="BG161" s="97" t="str">
        <f>IFERROR(__xludf.DUMMYFUNCTION("""COMPUTED_VALUE"""),"Discontinuo")</f>
        <v>Discontinuo</v>
      </c>
    </row>
    <row r="162">
      <c r="A162" s="97">
        <f>IFERROR(__xludf.DUMMYFUNCTION("""COMPUTED_VALUE"""),3675.0)</f>
        <v>3675</v>
      </c>
      <c r="B162" s="97" t="str">
        <f>IFERROR(__xludf.DUMMYFUNCTION("""COMPUTED_VALUE"""),"METALLO")</f>
        <v>METALLO</v>
      </c>
      <c r="C162" s="97" t="str">
        <f>IFERROR(__xludf.DUMMYFUNCTION("""COMPUTED_VALUE"""),"COLGANTE METALLO LEUK")</f>
        <v>COLGANTE METALLO LEUK</v>
      </c>
      <c r="D162" s="97">
        <f>IFERROR(__xludf.DUMMYFUNCTION("""COMPUTED_VALUE"""),7.798328755179E12)</f>
        <v>7798328755179</v>
      </c>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t="str">
        <f>IFERROR(__xludf.DUMMYFUNCTION("""COMPUTED_VALUE"""),"IP20")</f>
        <v>IP20</v>
      </c>
      <c r="AE162" s="97"/>
      <c r="AF162" s="97" t="str">
        <f>IFERROR(__xludf.DUMMYFUNCTION("""COMPUTED_VALUE"""),"Suspender")</f>
        <v>Suspender</v>
      </c>
      <c r="AG162" s="97"/>
      <c r="AH162" s="97"/>
      <c r="AI162" s="97"/>
      <c r="AJ162" s="97"/>
      <c r="AK162" s="97"/>
      <c r="AL162" s="97"/>
      <c r="AM162" s="97"/>
      <c r="AN162" s="97"/>
      <c r="AO162" s="97" t="str">
        <f>IFERROR(__xludf.DUMMYFUNCTION("""COMPUTED_VALUE"""),"1 Año")</f>
        <v>1 Año</v>
      </c>
      <c r="AP162" s="97"/>
      <c r="AQ162" s="97"/>
      <c r="AR162" s="97"/>
      <c r="AS162" s="97"/>
      <c r="AT162" s="97"/>
      <c r="AU162" s="97"/>
      <c r="AV162" s="97" t="str">
        <f>IFERROR(__xludf.DUMMYFUNCTION("""COMPUTED_VALUE"""),"Colgante")</f>
        <v>Colgante</v>
      </c>
      <c r="AW162" s="97" t="str">
        <f>IFERROR(__xludf.DUMMYFUNCTION("""COMPUTED_VALUE"""),"De Techo")</f>
        <v>De Techo</v>
      </c>
      <c r="AX162" s="97" t="str">
        <f>IFERROR(__xludf.DUMMYFUNCTION("""COMPUTED_VALUE"""),"Interior")</f>
        <v>Interior</v>
      </c>
      <c r="AY162" s="97"/>
      <c r="AZ162" s="97"/>
      <c r="BA162" s="97"/>
      <c r="BB162" s="97"/>
      <c r="BC162" s="97"/>
      <c r="BD162" s="97" t="str">
        <f>IFERROR(__xludf.DUMMYFUNCTION("""COMPUTED_VALUE"""),"METALLO")</f>
        <v>METALLO</v>
      </c>
      <c r="BE162" s="97" t="str">
        <f>IFERROR(__xludf.DUMMYFUNCTION("""COMPUTED_VALUE"""),"Sin Ficha")</f>
        <v>Sin Ficha</v>
      </c>
      <c r="BF162" s="97"/>
      <c r="BG162" s="97" t="str">
        <f>IFERROR(__xludf.DUMMYFUNCTION("""COMPUTED_VALUE"""),"Discontinuo")</f>
        <v>Discontinuo</v>
      </c>
    </row>
    <row r="163">
      <c r="A163" s="97">
        <f>IFERROR(__xludf.DUMMYFUNCTION("""COMPUTED_VALUE"""),3676.0)</f>
        <v>3676</v>
      </c>
      <c r="B163" s="97" t="str">
        <f>IFERROR(__xludf.DUMMYFUNCTION("""COMPUTED_VALUE"""),"KERI")</f>
        <v>KERI</v>
      </c>
      <c r="C163" s="97" t="str">
        <f>IFERROR(__xludf.DUMMYFUNCTION("""COMPUTED_VALUE"""),"COLGANTE KERI LEUK")</f>
        <v>COLGANTE KERI LEUK</v>
      </c>
      <c r="D163" s="97">
        <f>IFERROR(__xludf.DUMMYFUNCTION("""COMPUTED_VALUE"""),7.798328755322E12)</f>
        <v>7798328755322</v>
      </c>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t="str">
        <f>IFERROR(__xludf.DUMMYFUNCTION("""COMPUTED_VALUE"""),"IP20")</f>
        <v>IP20</v>
      </c>
      <c r="AE163" s="97"/>
      <c r="AF163" s="97" t="str">
        <f>IFERROR(__xludf.DUMMYFUNCTION("""COMPUTED_VALUE"""),"Suspender")</f>
        <v>Suspender</v>
      </c>
      <c r="AG163" s="97"/>
      <c r="AH163" s="97"/>
      <c r="AI163" s="97"/>
      <c r="AJ163" s="97"/>
      <c r="AK163" s="97"/>
      <c r="AL163" s="97"/>
      <c r="AM163" s="97"/>
      <c r="AN163" s="97"/>
      <c r="AO163" s="97" t="str">
        <f>IFERROR(__xludf.DUMMYFUNCTION("""COMPUTED_VALUE"""),"1 Año")</f>
        <v>1 Año</v>
      </c>
      <c r="AP163" s="97"/>
      <c r="AQ163" s="97"/>
      <c r="AR163" s="97"/>
      <c r="AS163" s="97"/>
      <c r="AT163" s="97"/>
      <c r="AU163" s="97"/>
      <c r="AV163" s="97" t="str">
        <f>IFERROR(__xludf.DUMMYFUNCTION("""COMPUTED_VALUE"""),"Colgante")</f>
        <v>Colgante</v>
      </c>
      <c r="AW163" s="97" t="str">
        <f>IFERROR(__xludf.DUMMYFUNCTION("""COMPUTED_VALUE"""),"De Techo")</f>
        <v>De Techo</v>
      </c>
      <c r="AX163" s="97" t="str">
        <f>IFERROR(__xludf.DUMMYFUNCTION("""COMPUTED_VALUE"""),"Interior")</f>
        <v>Interior</v>
      </c>
      <c r="AY163" s="97"/>
      <c r="AZ163" s="97"/>
      <c r="BA163" s="97"/>
      <c r="BB163" s="97"/>
      <c r="BC163" s="97"/>
      <c r="BD163" s="97" t="str">
        <f>IFERROR(__xludf.DUMMYFUNCTION("""COMPUTED_VALUE"""),"KERI")</f>
        <v>KERI</v>
      </c>
      <c r="BE163" s="97" t="str">
        <f>IFERROR(__xludf.DUMMYFUNCTION("""COMPUTED_VALUE"""),"Sin Ficha")</f>
        <v>Sin Ficha</v>
      </c>
      <c r="BF163" s="97"/>
      <c r="BG163" s="97" t="str">
        <f>IFERROR(__xludf.DUMMYFUNCTION("""COMPUTED_VALUE"""),"Discontinuo")</f>
        <v>Discontinuo</v>
      </c>
    </row>
    <row r="164">
      <c r="A164" s="97">
        <f>IFERROR(__xludf.DUMMYFUNCTION("""COMPUTED_VALUE"""),3677.0)</f>
        <v>3677</v>
      </c>
      <c r="B164" s="97" t="str">
        <f>IFERROR(__xludf.DUMMYFUNCTION("""COMPUTED_VALUE"""),"PRASINO")</f>
        <v>PRASINO</v>
      </c>
      <c r="C164" s="97" t="str">
        <f>IFERROR(__xludf.DUMMYFUNCTION("""COMPUTED_VALUE"""),"COLGANTE PRASINO BLANCO LEUK")</f>
        <v>COLGANTE PRASINO BLANCO LEUK</v>
      </c>
      <c r="D164" s="97">
        <f>IFERROR(__xludf.DUMMYFUNCTION("""COMPUTED_VALUE"""),7.798328755223E12)</f>
        <v>7798328755223</v>
      </c>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t="str">
        <f>IFERROR(__xludf.DUMMYFUNCTION("""COMPUTED_VALUE"""),"IP20")</f>
        <v>IP20</v>
      </c>
      <c r="AE164" s="97"/>
      <c r="AF164" s="97" t="str">
        <f>IFERROR(__xludf.DUMMYFUNCTION("""COMPUTED_VALUE"""),"Suspender")</f>
        <v>Suspender</v>
      </c>
      <c r="AG164" s="97"/>
      <c r="AH164" s="97"/>
      <c r="AI164" s="97"/>
      <c r="AJ164" s="97"/>
      <c r="AK164" s="97"/>
      <c r="AL164" s="97"/>
      <c r="AM164" s="97"/>
      <c r="AN164" s="97"/>
      <c r="AO164" s="97" t="str">
        <f>IFERROR(__xludf.DUMMYFUNCTION("""COMPUTED_VALUE"""),"1 Año")</f>
        <v>1 Año</v>
      </c>
      <c r="AP164" s="97"/>
      <c r="AQ164" s="97"/>
      <c r="AR164" s="97"/>
      <c r="AS164" s="97"/>
      <c r="AT164" s="97"/>
      <c r="AU164" s="97"/>
      <c r="AV164" s="97" t="str">
        <f>IFERROR(__xludf.DUMMYFUNCTION("""COMPUTED_VALUE"""),"Colgante")</f>
        <v>Colgante</v>
      </c>
      <c r="AW164" s="97" t="str">
        <f>IFERROR(__xludf.DUMMYFUNCTION("""COMPUTED_VALUE"""),"De Techo")</f>
        <v>De Techo</v>
      </c>
      <c r="AX164" s="97" t="str">
        <f>IFERROR(__xludf.DUMMYFUNCTION("""COMPUTED_VALUE"""),"Interior")</f>
        <v>Interior</v>
      </c>
      <c r="AY164" s="97"/>
      <c r="AZ164" s="97"/>
      <c r="BA164" s="97"/>
      <c r="BB164" s="97"/>
      <c r="BC164" s="97"/>
      <c r="BD164" s="97" t="str">
        <f>IFERROR(__xludf.DUMMYFUNCTION("""COMPUTED_VALUE"""),"PRASINO")</f>
        <v>PRASINO</v>
      </c>
      <c r="BE164" s="97" t="str">
        <f>IFERROR(__xludf.DUMMYFUNCTION("""COMPUTED_VALUE"""),"Sin Ficha")</f>
        <v>Sin Ficha</v>
      </c>
      <c r="BF164" s="97"/>
      <c r="BG164" s="97" t="str">
        <f>IFERROR(__xludf.DUMMYFUNCTION("""COMPUTED_VALUE"""),"Discontinuo")</f>
        <v>Discontinuo</v>
      </c>
    </row>
    <row r="165">
      <c r="A165" s="97">
        <f>IFERROR(__xludf.DUMMYFUNCTION("""COMPUTED_VALUE"""),3679.0)</f>
        <v>3679</v>
      </c>
      <c r="B165" s="97" t="str">
        <f>IFERROR(__xludf.DUMMYFUNCTION("""COMPUTED_VALUE"""),"EDAFOS")</f>
        <v>EDAFOS</v>
      </c>
      <c r="C165" s="97" t="str">
        <f>IFERROR(__xludf.DUMMYFUNCTION("""COMPUTED_VALUE"""),"COLGANTE EDAFOS LEUK")</f>
        <v>COLGANTE EDAFOS LEUK</v>
      </c>
      <c r="D165" s="97">
        <f>IFERROR(__xludf.DUMMYFUNCTION("""COMPUTED_VALUE"""),7.798328755315E12)</f>
        <v>7798328755315</v>
      </c>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t="str">
        <f>IFERROR(__xludf.DUMMYFUNCTION("""COMPUTED_VALUE"""),"IP20")</f>
        <v>IP20</v>
      </c>
      <c r="AE165" s="97"/>
      <c r="AF165" s="97" t="str">
        <f>IFERROR(__xludf.DUMMYFUNCTION("""COMPUTED_VALUE"""),"Suspender")</f>
        <v>Suspender</v>
      </c>
      <c r="AG165" s="97"/>
      <c r="AH165" s="97"/>
      <c r="AI165" s="97"/>
      <c r="AJ165" s="97"/>
      <c r="AK165" s="97"/>
      <c r="AL165" s="97"/>
      <c r="AM165" s="97"/>
      <c r="AN165" s="97"/>
      <c r="AO165" s="97" t="str">
        <f>IFERROR(__xludf.DUMMYFUNCTION("""COMPUTED_VALUE"""),"1 Año")</f>
        <v>1 Año</v>
      </c>
      <c r="AP165" s="97"/>
      <c r="AQ165" s="97"/>
      <c r="AR165" s="97"/>
      <c r="AS165" s="97"/>
      <c r="AT165" s="97"/>
      <c r="AU165" s="97"/>
      <c r="AV165" s="97" t="str">
        <f>IFERROR(__xludf.DUMMYFUNCTION("""COMPUTED_VALUE"""),"Colgante")</f>
        <v>Colgante</v>
      </c>
      <c r="AW165" s="97" t="str">
        <f>IFERROR(__xludf.DUMMYFUNCTION("""COMPUTED_VALUE"""),"De Techo")</f>
        <v>De Techo</v>
      </c>
      <c r="AX165" s="97" t="str">
        <f>IFERROR(__xludf.DUMMYFUNCTION("""COMPUTED_VALUE"""),"Interior")</f>
        <v>Interior</v>
      </c>
      <c r="AY165" s="97"/>
      <c r="AZ165" s="97"/>
      <c r="BA165" s="97"/>
      <c r="BB165" s="97"/>
      <c r="BC165" s="97"/>
      <c r="BD165" s="97" t="str">
        <f>IFERROR(__xludf.DUMMYFUNCTION("""COMPUTED_VALUE"""),"EDAFOS")</f>
        <v>EDAFOS</v>
      </c>
      <c r="BE165" s="97" t="str">
        <f>IFERROR(__xludf.DUMMYFUNCTION("""COMPUTED_VALUE"""),"Sin Ficha")</f>
        <v>Sin Ficha</v>
      </c>
      <c r="BF165" s="97"/>
      <c r="BG165" s="97" t="str">
        <f>IFERROR(__xludf.DUMMYFUNCTION("""COMPUTED_VALUE"""),"Discontinuo")</f>
        <v>Discontinuo</v>
      </c>
    </row>
    <row r="166">
      <c r="A166" s="97">
        <f>IFERROR(__xludf.DUMMYFUNCTION("""COMPUTED_VALUE"""),3680.0)</f>
        <v>3680</v>
      </c>
      <c r="B166" s="97" t="str">
        <f>IFERROR(__xludf.DUMMYFUNCTION("""COMPUTED_VALUE"""),"GYALI")</f>
        <v>GYALI</v>
      </c>
      <c r="C166" s="97" t="str">
        <f>IFERROR(__xludf.DUMMYFUNCTION("""COMPUTED_VALUE"""),"COLGANTE GYALI LEUK")</f>
        <v>COLGANTE GYALI LEUK</v>
      </c>
      <c r="D166" s="97">
        <f>IFERROR(__xludf.DUMMYFUNCTION("""COMPUTED_VALUE"""),7.798328755247E12)</f>
        <v>7798328755247</v>
      </c>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t="str">
        <f>IFERROR(__xludf.DUMMYFUNCTION("""COMPUTED_VALUE"""),"IP20")</f>
        <v>IP20</v>
      </c>
      <c r="AE166" s="97"/>
      <c r="AF166" s="97" t="str">
        <f>IFERROR(__xludf.DUMMYFUNCTION("""COMPUTED_VALUE"""),"Suspender")</f>
        <v>Suspender</v>
      </c>
      <c r="AG166" s="97"/>
      <c r="AH166" s="97"/>
      <c r="AI166" s="97"/>
      <c r="AJ166" s="97"/>
      <c r="AK166" s="97"/>
      <c r="AL166" s="97"/>
      <c r="AM166" s="97"/>
      <c r="AN166" s="97"/>
      <c r="AO166" s="97" t="str">
        <f>IFERROR(__xludf.DUMMYFUNCTION("""COMPUTED_VALUE"""),"1 Año")</f>
        <v>1 Año</v>
      </c>
      <c r="AP166" s="97"/>
      <c r="AQ166" s="97"/>
      <c r="AR166" s="97"/>
      <c r="AS166" s="97"/>
      <c r="AT166" s="97"/>
      <c r="AU166" s="97"/>
      <c r="AV166" s="97" t="str">
        <f>IFERROR(__xludf.DUMMYFUNCTION("""COMPUTED_VALUE"""),"Colgante")</f>
        <v>Colgante</v>
      </c>
      <c r="AW166" s="97" t="str">
        <f>IFERROR(__xludf.DUMMYFUNCTION("""COMPUTED_VALUE"""),"De Techo")</f>
        <v>De Techo</v>
      </c>
      <c r="AX166" s="97" t="str">
        <f>IFERROR(__xludf.DUMMYFUNCTION("""COMPUTED_VALUE"""),"Interior")</f>
        <v>Interior</v>
      </c>
      <c r="AY166" s="97"/>
      <c r="AZ166" s="97"/>
      <c r="BA166" s="97"/>
      <c r="BB166" s="97"/>
      <c r="BC166" s="97"/>
      <c r="BD166" s="97" t="str">
        <f>IFERROR(__xludf.DUMMYFUNCTION("""COMPUTED_VALUE"""),"GYALI")</f>
        <v>GYALI</v>
      </c>
      <c r="BE166" s="97" t="str">
        <f>IFERROR(__xludf.DUMMYFUNCTION("""COMPUTED_VALUE"""),"Sin Ficha")</f>
        <v>Sin Ficha</v>
      </c>
      <c r="BF166" s="97"/>
      <c r="BG166" s="97" t="str">
        <f>IFERROR(__xludf.DUMMYFUNCTION("""COMPUTED_VALUE"""),"Discontinuo")</f>
        <v>Discontinuo</v>
      </c>
    </row>
    <row r="167">
      <c r="A167" s="97">
        <f>IFERROR(__xludf.DUMMYFUNCTION("""COMPUTED_VALUE"""),3681.0)</f>
        <v>3681</v>
      </c>
      <c r="B167" s="97" t="str">
        <f>IFERROR(__xludf.DUMMYFUNCTION("""COMPUTED_VALUE"""),"FYLLO NG")</f>
        <v>FYLLO NG</v>
      </c>
      <c r="C167" s="97" t="str">
        <f>IFERROR(__xludf.DUMMYFUNCTION("""COMPUTED_VALUE"""),"COLGANTE FYLLO NEGRO LEUK")</f>
        <v>COLGANTE FYLLO NEGRO LEUK</v>
      </c>
      <c r="D167" s="97">
        <f>IFERROR(__xludf.DUMMYFUNCTION("""COMPUTED_VALUE"""),7.798328755261E12)</f>
        <v>7798328755261</v>
      </c>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t="str">
        <f>IFERROR(__xludf.DUMMYFUNCTION("""COMPUTED_VALUE"""),"IP20")</f>
        <v>IP20</v>
      </c>
      <c r="AE167" s="97"/>
      <c r="AF167" s="97" t="str">
        <f>IFERROR(__xludf.DUMMYFUNCTION("""COMPUTED_VALUE"""),"Suspender")</f>
        <v>Suspender</v>
      </c>
      <c r="AG167" s="97"/>
      <c r="AH167" s="97"/>
      <c r="AI167" s="97"/>
      <c r="AJ167" s="97"/>
      <c r="AK167" s="97"/>
      <c r="AL167" s="97"/>
      <c r="AM167" s="97"/>
      <c r="AN167" s="97"/>
      <c r="AO167" s="97" t="str">
        <f>IFERROR(__xludf.DUMMYFUNCTION("""COMPUTED_VALUE"""),"1 Año")</f>
        <v>1 Año</v>
      </c>
      <c r="AP167" s="97"/>
      <c r="AQ167" s="97"/>
      <c r="AR167" s="97"/>
      <c r="AS167" s="97"/>
      <c r="AT167" s="97"/>
      <c r="AU167" s="97"/>
      <c r="AV167" s="97" t="str">
        <f>IFERROR(__xludf.DUMMYFUNCTION("""COMPUTED_VALUE"""),"Colgante")</f>
        <v>Colgante</v>
      </c>
      <c r="AW167" s="97" t="str">
        <f>IFERROR(__xludf.DUMMYFUNCTION("""COMPUTED_VALUE"""),"De Techo")</f>
        <v>De Techo</v>
      </c>
      <c r="AX167" s="97" t="str">
        <f>IFERROR(__xludf.DUMMYFUNCTION("""COMPUTED_VALUE"""),"Interior")</f>
        <v>Interior</v>
      </c>
      <c r="AY167" s="97"/>
      <c r="AZ167" s="97"/>
      <c r="BA167" s="97"/>
      <c r="BB167" s="97"/>
      <c r="BC167" s="97"/>
      <c r="BD167" s="97" t="str">
        <f>IFERROR(__xludf.DUMMYFUNCTION("""COMPUTED_VALUE"""),"FYLLO")</f>
        <v>FYLLO</v>
      </c>
      <c r="BE167" s="97" t="str">
        <f>IFERROR(__xludf.DUMMYFUNCTION("""COMPUTED_VALUE"""),"Sin Ficha")</f>
        <v>Sin Ficha</v>
      </c>
      <c r="BF167" s="97"/>
      <c r="BG167" s="97" t="str">
        <f>IFERROR(__xludf.DUMMYFUNCTION("""COMPUTED_VALUE"""),"Discontinuo")</f>
        <v>Discontinuo</v>
      </c>
    </row>
    <row r="168">
      <c r="A168" s="97">
        <f>IFERROR(__xludf.DUMMYFUNCTION("""COMPUTED_VALUE"""),3682.0)</f>
        <v>3682</v>
      </c>
      <c r="B168" s="97" t="str">
        <f>IFERROR(__xludf.DUMMYFUNCTION("""COMPUTED_VALUE"""),"FYLLO GR")</f>
        <v>FYLLO GR</v>
      </c>
      <c r="C168" s="97" t="str">
        <f>IFERROR(__xludf.DUMMYFUNCTION("""COMPUTED_VALUE"""),"COLGANTE FYLLO GRIS LEUK")</f>
        <v>COLGANTE FYLLO GRIS LEUK</v>
      </c>
      <c r="D168" s="97">
        <f>IFERROR(__xludf.DUMMYFUNCTION("""COMPUTED_VALUE"""),7.798328755278E12)</f>
        <v>7798328755278</v>
      </c>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t="str">
        <f>IFERROR(__xludf.DUMMYFUNCTION("""COMPUTED_VALUE"""),"IP20")</f>
        <v>IP20</v>
      </c>
      <c r="AE168" s="97"/>
      <c r="AF168" s="97" t="str">
        <f>IFERROR(__xludf.DUMMYFUNCTION("""COMPUTED_VALUE"""),"Suspender")</f>
        <v>Suspender</v>
      </c>
      <c r="AG168" s="97"/>
      <c r="AH168" s="97"/>
      <c r="AI168" s="97"/>
      <c r="AJ168" s="97"/>
      <c r="AK168" s="97"/>
      <c r="AL168" s="97"/>
      <c r="AM168" s="97"/>
      <c r="AN168" s="97"/>
      <c r="AO168" s="97" t="str">
        <f>IFERROR(__xludf.DUMMYFUNCTION("""COMPUTED_VALUE"""),"1 Año")</f>
        <v>1 Año</v>
      </c>
      <c r="AP168" s="97"/>
      <c r="AQ168" s="97"/>
      <c r="AR168" s="97"/>
      <c r="AS168" s="97"/>
      <c r="AT168" s="97"/>
      <c r="AU168" s="97"/>
      <c r="AV168" s="97" t="str">
        <f>IFERROR(__xludf.DUMMYFUNCTION("""COMPUTED_VALUE"""),"Colgante")</f>
        <v>Colgante</v>
      </c>
      <c r="AW168" s="97" t="str">
        <f>IFERROR(__xludf.DUMMYFUNCTION("""COMPUTED_VALUE"""),"De Techo")</f>
        <v>De Techo</v>
      </c>
      <c r="AX168" s="97" t="str">
        <f>IFERROR(__xludf.DUMMYFUNCTION("""COMPUTED_VALUE"""),"Interior")</f>
        <v>Interior</v>
      </c>
      <c r="AY168" s="97"/>
      <c r="AZ168" s="97"/>
      <c r="BA168" s="97"/>
      <c r="BB168" s="97"/>
      <c r="BC168" s="97"/>
      <c r="BD168" s="97" t="str">
        <f>IFERROR(__xludf.DUMMYFUNCTION("""COMPUTED_VALUE"""),"FYLLO")</f>
        <v>FYLLO</v>
      </c>
      <c r="BE168" s="97" t="str">
        <f>IFERROR(__xludf.DUMMYFUNCTION("""COMPUTED_VALUE"""),"Sin Ficha")</f>
        <v>Sin Ficha</v>
      </c>
      <c r="BF168" s="97"/>
      <c r="BG168" s="97" t="str">
        <f>IFERROR(__xludf.DUMMYFUNCTION("""COMPUTED_VALUE"""),"Discontinuo")</f>
        <v>Discontinuo</v>
      </c>
    </row>
    <row r="169">
      <c r="A169" s="97">
        <f>IFERROR(__xludf.DUMMYFUNCTION("""COMPUTED_VALUE"""),3683.0)</f>
        <v>3683</v>
      </c>
      <c r="B169" s="97" t="str">
        <f>IFERROR(__xludf.DUMMYFUNCTION("""COMPUTED_VALUE"""),"FYLLO VR")</f>
        <v>FYLLO VR</v>
      </c>
      <c r="C169" s="97" t="str">
        <f>IFERROR(__xludf.DUMMYFUNCTION("""COMPUTED_VALUE"""),"COLGANTE FYLLO VERDE LEUK")</f>
        <v>COLGANTE FYLLO VERDE LEUK</v>
      </c>
      <c r="D169" s="97">
        <f>IFERROR(__xludf.DUMMYFUNCTION("""COMPUTED_VALUE"""),7.798328755285E12)</f>
        <v>7798328755285</v>
      </c>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t="str">
        <f>IFERROR(__xludf.DUMMYFUNCTION("""COMPUTED_VALUE"""),"IP20")</f>
        <v>IP20</v>
      </c>
      <c r="AE169" s="97"/>
      <c r="AF169" s="97" t="str">
        <f>IFERROR(__xludf.DUMMYFUNCTION("""COMPUTED_VALUE"""),"Suspender")</f>
        <v>Suspender</v>
      </c>
      <c r="AG169" s="97"/>
      <c r="AH169" s="97"/>
      <c r="AI169" s="97"/>
      <c r="AJ169" s="97"/>
      <c r="AK169" s="97"/>
      <c r="AL169" s="97"/>
      <c r="AM169" s="97"/>
      <c r="AN169" s="97"/>
      <c r="AO169" s="97" t="str">
        <f>IFERROR(__xludf.DUMMYFUNCTION("""COMPUTED_VALUE"""),"1 Año")</f>
        <v>1 Año</v>
      </c>
      <c r="AP169" s="97"/>
      <c r="AQ169" s="97"/>
      <c r="AR169" s="97"/>
      <c r="AS169" s="97"/>
      <c r="AT169" s="97"/>
      <c r="AU169" s="97"/>
      <c r="AV169" s="97" t="str">
        <f>IFERROR(__xludf.DUMMYFUNCTION("""COMPUTED_VALUE"""),"Colgante")</f>
        <v>Colgante</v>
      </c>
      <c r="AW169" s="97" t="str">
        <f>IFERROR(__xludf.DUMMYFUNCTION("""COMPUTED_VALUE"""),"De Techo")</f>
        <v>De Techo</v>
      </c>
      <c r="AX169" s="97" t="str">
        <f>IFERROR(__xludf.DUMMYFUNCTION("""COMPUTED_VALUE"""),"Interior")</f>
        <v>Interior</v>
      </c>
      <c r="AY169" s="97"/>
      <c r="AZ169" s="97"/>
      <c r="BA169" s="97"/>
      <c r="BB169" s="97"/>
      <c r="BC169" s="97"/>
      <c r="BD169" s="97" t="str">
        <f>IFERROR(__xludf.DUMMYFUNCTION("""COMPUTED_VALUE"""),"FYLLO")</f>
        <v>FYLLO</v>
      </c>
      <c r="BE169" s="97" t="str">
        <f>IFERROR(__xludf.DUMMYFUNCTION("""COMPUTED_VALUE"""),"Sin Ficha")</f>
        <v>Sin Ficha</v>
      </c>
      <c r="BF169" s="97"/>
      <c r="BG169" s="97" t="str">
        <f>IFERROR(__xludf.DUMMYFUNCTION("""COMPUTED_VALUE"""),"Discontinuo")</f>
        <v>Discontinuo</v>
      </c>
    </row>
    <row r="170">
      <c r="A170" s="97">
        <f>IFERROR(__xludf.DUMMYFUNCTION("""COMPUTED_VALUE"""),3684.0)</f>
        <v>3684</v>
      </c>
      <c r="B170" s="97" t="str">
        <f>IFERROR(__xludf.DUMMYFUNCTION("""COMPUTED_VALUE"""),"FYLLO NJ")</f>
        <v>FYLLO NJ</v>
      </c>
      <c r="C170" s="97" t="str">
        <f>IFERROR(__xludf.DUMMYFUNCTION("""COMPUTED_VALUE"""),"COLGANTE FYLLO NARANJA LEUK")</f>
        <v>COLGANTE FYLLO NARANJA LEUK</v>
      </c>
      <c r="D170" s="97">
        <f>IFERROR(__xludf.DUMMYFUNCTION("""COMPUTED_VALUE"""),7.798328755292E12)</f>
        <v>7798328755292</v>
      </c>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t="str">
        <f>IFERROR(__xludf.DUMMYFUNCTION("""COMPUTED_VALUE"""),"IP20")</f>
        <v>IP20</v>
      </c>
      <c r="AE170" s="97"/>
      <c r="AF170" s="97" t="str">
        <f>IFERROR(__xludf.DUMMYFUNCTION("""COMPUTED_VALUE"""),"Suspender")</f>
        <v>Suspender</v>
      </c>
      <c r="AG170" s="97"/>
      <c r="AH170" s="97"/>
      <c r="AI170" s="97"/>
      <c r="AJ170" s="97"/>
      <c r="AK170" s="97"/>
      <c r="AL170" s="97"/>
      <c r="AM170" s="97"/>
      <c r="AN170" s="97"/>
      <c r="AO170" s="97" t="str">
        <f>IFERROR(__xludf.DUMMYFUNCTION("""COMPUTED_VALUE"""),"1 Año")</f>
        <v>1 Año</v>
      </c>
      <c r="AP170" s="97"/>
      <c r="AQ170" s="97"/>
      <c r="AR170" s="97"/>
      <c r="AS170" s="97"/>
      <c r="AT170" s="97"/>
      <c r="AU170" s="97"/>
      <c r="AV170" s="97" t="str">
        <f>IFERROR(__xludf.DUMMYFUNCTION("""COMPUTED_VALUE"""),"Colgante")</f>
        <v>Colgante</v>
      </c>
      <c r="AW170" s="97" t="str">
        <f>IFERROR(__xludf.DUMMYFUNCTION("""COMPUTED_VALUE"""),"De Techo")</f>
        <v>De Techo</v>
      </c>
      <c r="AX170" s="97" t="str">
        <f>IFERROR(__xludf.DUMMYFUNCTION("""COMPUTED_VALUE"""),"Interior")</f>
        <v>Interior</v>
      </c>
      <c r="AY170" s="97"/>
      <c r="AZ170" s="97"/>
      <c r="BA170" s="97"/>
      <c r="BB170" s="97"/>
      <c r="BC170" s="97"/>
      <c r="BD170" s="97" t="str">
        <f>IFERROR(__xludf.DUMMYFUNCTION("""COMPUTED_VALUE"""),"FYLLO")</f>
        <v>FYLLO</v>
      </c>
      <c r="BE170" s="97" t="str">
        <f>IFERROR(__xludf.DUMMYFUNCTION("""COMPUTED_VALUE"""),"Sin Ficha")</f>
        <v>Sin Ficha</v>
      </c>
      <c r="BF170" s="97"/>
      <c r="BG170" s="97" t="str">
        <f>IFERROR(__xludf.DUMMYFUNCTION("""COMPUTED_VALUE"""),"Discontinuo")</f>
        <v>Discontinuo</v>
      </c>
    </row>
    <row r="171">
      <c r="A171" s="97">
        <f>IFERROR(__xludf.DUMMYFUNCTION("""COMPUTED_VALUE"""),3685.0)</f>
        <v>3685</v>
      </c>
      <c r="B171" s="97" t="str">
        <f>IFERROR(__xludf.DUMMYFUNCTION("""COMPUTED_VALUE"""),"FYLLO BL")</f>
        <v>FYLLO BL</v>
      </c>
      <c r="C171" s="97" t="str">
        <f>IFERROR(__xludf.DUMMYFUNCTION("""COMPUTED_VALUE"""),"COLGANTE FYLLO BLANCO LEUK")</f>
        <v>COLGANTE FYLLO BLANCO LEUK</v>
      </c>
      <c r="D171" s="97">
        <f>IFERROR(__xludf.DUMMYFUNCTION("""COMPUTED_VALUE"""),7.798328755308E12)</f>
        <v>7798328755308</v>
      </c>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t="str">
        <f>IFERROR(__xludf.DUMMYFUNCTION("""COMPUTED_VALUE"""),"IP20")</f>
        <v>IP20</v>
      </c>
      <c r="AE171" s="97"/>
      <c r="AF171" s="97" t="str">
        <f>IFERROR(__xludf.DUMMYFUNCTION("""COMPUTED_VALUE"""),"Suspender")</f>
        <v>Suspender</v>
      </c>
      <c r="AG171" s="97"/>
      <c r="AH171" s="97"/>
      <c r="AI171" s="97"/>
      <c r="AJ171" s="97"/>
      <c r="AK171" s="97"/>
      <c r="AL171" s="97"/>
      <c r="AM171" s="97"/>
      <c r="AN171" s="97"/>
      <c r="AO171" s="97" t="str">
        <f>IFERROR(__xludf.DUMMYFUNCTION("""COMPUTED_VALUE"""),"1 Año")</f>
        <v>1 Año</v>
      </c>
      <c r="AP171" s="97"/>
      <c r="AQ171" s="97"/>
      <c r="AR171" s="97"/>
      <c r="AS171" s="97"/>
      <c r="AT171" s="97"/>
      <c r="AU171" s="97"/>
      <c r="AV171" s="97" t="str">
        <f>IFERROR(__xludf.DUMMYFUNCTION("""COMPUTED_VALUE"""),"Colgante")</f>
        <v>Colgante</v>
      </c>
      <c r="AW171" s="97" t="str">
        <f>IFERROR(__xludf.DUMMYFUNCTION("""COMPUTED_VALUE"""),"De Techo")</f>
        <v>De Techo</v>
      </c>
      <c r="AX171" s="97" t="str">
        <f>IFERROR(__xludf.DUMMYFUNCTION("""COMPUTED_VALUE"""),"Interior")</f>
        <v>Interior</v>
      </c>
      <c r="AY171" s="97"/>
      <c r="AZ171" s="97"/>
      <c r="BA171" s="97"/>
      <c r="BB171" s="97"/>
      <c r="BC171" s="97"/>
      <c r="BD171" s="97" t="str">
        <f>IFERROR(__xludf.DUMMYFUNCTION("""COMPUTED_VALUE"""),"FYLLO")</f>
        <v>FYLLO</v>
      </c>
      <c r="BE171" s="97" t="str">
        <f>IFERROR(__xludf.DUMMYFUNCTION("""COMPUTED_VALUE"""),"Sin Ficha")</f>
        <v>Sin Ficha</v>
      </c>
      <c r="BF171" s="97"/>
      <c r="BG171" s="97" t="str">
        <f>IFERROR(__xludf.DUMMYFUNCTION("""COMPUTED_VALUE"""),"Discontinuo")</f>
        <v>Discontinuo</v>
      </c>
    </row>
    <row r="172">
      <c r="A172" s="97">
        <f>IFERROR(__xludf.DUMMYFUNCTION("""COMPUTED_VALUE"""),3686.0)</f>
        <v>3686</v>
      </c>
      <c r="B172" s="97" t="str">
        <f>IFERROR(__xludf.DUMMYFUNCTION("""COMPUTED_VALUE"""),"ORAIA")</f>
        <v>ORAIA</v>
      </c>
      <c r="C172" s="97" t="str">
        <f>IFERROR(__xludf.DUMMYFUNCTION("""COMPUTED_VALUE"""),"COLGANTE ORAIA LEUK")</f>
        <v>COLGANTE ORAIA LEUK</v>
      </c>
      <c r="D172" s="97">
        <f>IFERROR(__xludf.DUMMYFUNCTION("""COMPUTED_VALUE"""),7.798328755803E12)</f>
        <v>7798328755803</v>
      </c>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t="str">
        <f>IFERROR(__xludf.DUMMYFUNCTION("""COMPUTED_VALUE"""),"IP20")</f>
        <v>IP20</v>
      </c>
      <c r="AE172" s="97"/>
      <c r="AF172" s="97" t="str">
        <f>IFERROR(__xludf.DUMMYFUNCTION("""COMPUTED_VALUE"""),"Suspender")</f>
        <v>Suspender</v>
      </c>
      <c r="AG172" s="97"/>
      <c r="AH172" s="97"/>
      <c r="AI172" s="97"/>
      <c r="AJ172" s="97"/>
      <c r="AK172" s="97"/>
      <c r="AL172" s="97"/>
      <c r="AM172" s="97"/>
      <c r="AN172" s="97"/>
      <c r="AO172" s="97" t="str">
        <f>IFERROR(__xludf.DUMMYFUNCTION("""COMPUTED_VALUE"""),"1 Año")</f>
        <v>1 Año</v>
      </c>
      <c r="AP172" s="97"/>
      <c r="AQ172" s="97"/>
      <c r="AR172" s="97"/>
      <c r="AS172" s="97"/>
      <c r="AT172" s="97"/>
      <c r="AU172" s="97"/>
      <c r="AV172" s="97" t="str">
        <f>IFERROR(__xludf.DUMMYFUNCTION("""COMPUTED_VALUE"""),"Colgante")</f>
        <v>Colgante</v>
      </c>
      <c r="AW172" s="97" t="str">
        <f>IFERROR(__xludf.DUMMYFUNCTION("""COMPUTED_VALUE"""),"De Techo")</f>
        <v>De Techo</v>
      </c>
      <c r="AX172" s="97" t="str">
        <f>IFERROR(__xludf.DUMMYFUNCTION("""COMPUTED_VALUE"""),"Interior")</f>
        <v>Interior</v>
      </c>
      <c r="AY172" s="97"/>
      <c r="AZ172" s="97"/>
      <c r="BA172" s="97"/>
      <c r="BB172" s="97"/>
      <c r="BC172" s="97"/>
      <c r="BD172" s="97" t="str">
        <f>IFERROR(__xludf.DUMMYFUNCTION("""COMPUTED_VALUE"""),"ORAIA")</f>
        <v>ORAIA</v>
      </c>
      <c r="BE172" s="97" t="str">
        <f>IFERROR(__xludf.DUMMYFUNCTION("""COMPUTED_VALUE"""),"Sin Ficha")</f>
        <v>Sin Ficha</v>
      </c>
      <c r="BF172" s="97"/>
      <c r="BG172" s="97" t="str">
        <f>IFERROR(__xludf.DUMMYFUNCTION("""COMPUTED_VALUE"""),"Discontinuo")</f>
        <v>Discontinuo</v>
      </c>
    </row>
    <row r="173">
      <c r="A173" s="97">
        <f>IFERROR(__xludf.DUMMYFUNCTION("""COMPUTED_VALUE"""),3687.0)</f>
        <v>3687</v>
      </c>
      <c r="B173" s="97" t="str">
        <f>IFERROR(__xludf.DUMMYFUNCTION("""COMPUTED_VALUE"""),"BOUKALI")</f>
        <v>BOUKALI</v>
      </c>
      <c r="C173" s="97" t="str">
        <f>IFERROR(__xludf.DUMMYFUNCTION("""COMPUTED_VALUE"""),"COLGANTE BOUKALI LEUK")</f>
        <v>COLGANTE BOUKALI LEUK</v>
      </c>
      <c r="D173" s="97">
        <f>IFERROR(__xludf.DUMMYFUNCTION("""COMPUTED_VALUE"""),7.798328755001E12)</f>
        <v>7798328755001</v>
      </c>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t="str">
        <f>IFERROR(__xludf.DUMMYFUNCTION("""COMPUTED_VALUE"""),"IP20")</f>
        <v>IP20</v>
      </c>
      <c r="AE173" s="97"/>
      <c r="AF173" s="97" t="str">
        <f>IFERROR(__xludf.DUMMYFUNCTION("""COMPUTED_VALUE"""),"Suspender")</f>
        <v>Suspender</v>
      </c>
      <c r="AG173" s="97"/>
      <c r="AH173" s="97"/>
      <c r="AI173" s="97"/>
      <c r="AJ173" s="97"/>
      <c r="AK173" s="97"/>
      <c r="AL173" s="97"/>
      <c r="AM173" s="97"/>
      <c r="AN173" s="97"/>
      <c r="AO173" s="97" t="str">
        <f>IFERROR(__xludf.DUMMYFUNCTION("""COMPUTED_VALUE"""),"1 Año")</f>
        <v>1 Año</v>
      </c>
      <c r="AP173" s="97"/>
      <c r="AQ173" s="97"/>
      <c r="AR173" s="97"/>
      <c r="AS173" s="97"/>
      <c r="AT173" s="97"/>
      <c r="AU173" s="97"/>
      <c r="AV173" s="97" t="str">
        <f>IFERROR(__xludf.DUMMYFUNCTION("""COMPUTED_VALUE"""),"Colgante")</f>
        <v>Colgante</v>
      </c>
      <c r="AW173" s="97" t="str">
        <f>IFERROR(__xludf.DUMMYFUNCTION("""COMPUTED_VALUE"""),"De Techo")</f>
        <v>De Techo</v>
      </c>
      <c r="AX173" s="97" t="str">
        <f>IFERROR(__xludf.DUMMYFUNCTION("""COMPUTED_VALUE"""),"Interior")</f>
        <v>Interior</v>
      </c>
      <c r="AY173" s="97"/>
      <c r="AZ173" s="97"/>
      <c r="BA173" s="97"/>
      <c r="BB173" s="97"/>
      <c r="BC173" s="97"/>
      <c r="BD173" s="97" t="str">
        <f>IFERROR(__xludf.DUMMYFUNCTION("""COMPUTED_VALUE"""),"BOUKALI")</f>
        <v>BOUKALI</v>
      </c>
      <c r="BE173" s="97" t="str">
        <f>IFERROR(__xludf.DUMMYFUNCTION("""COMPUTED_VALUE"""),"Sin Ficha")</f>
        <v>Sin Ficha</v>
      </c>
      <c r="BF173" s="97"/>
      <c r="BG173" s="97" t="str">
        <f>IFERROR(__xludf.DUMMYFUNCTION("""COMPUTED_VALUE"""),"Discontinuo")</f>
        <v>Discontinuo</v>
      </c>
    </row>
    <row r="174">
      <c r="A174" s="97">
        <f>IFERROR(__xludf.DUMMYFUNCTION("""COMPUTED_VALUE"""),3688.0)</f>
        <v>3688</v>
      </c>
      <c r="B174" s="97" t="str">
        <f>IFERROR(__xludf.DUMMYFUNCTION("""COMPUTED_VALUE"""),"VIVLIO")</f>
        <v>VIVLIO</v>
      </c>
      <c r="C174" s="97" t="str">
        <f>IFERROR(__xludf.DUMMYFUNCTION("""COMPUTED_VALUE"""),"COLGANTE VIVLIO LEUK")</f>
        <v>COLGANTE VIVLIO LEUK</v>
      </c>
      <c r="D174" s="97">
        <f>IFERROR(__xludf.DUMMYFUNCTION("""COMPUTED_VALUE"""),7.798328755117E12)</f>
        <v>7798328755117</v>
      </c>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t="str">
        <f>IFERROR(__xludf.DUMMYFUNCTION("""COMPUTED_VALUE"""),"IP20")</f>
        <v>IP20</v>
      </c>
      <c r="AE174" s="97"/>
      <c r="AF174" s="97" t="str">
        <f>IFERROR(__xludf.DUMMYFUNCTION("""COMPUTED_VALUE"""),"Suspender")</f>
        <v>Suspender</v>
      </c>
      <c r="AG174" s="97"/>
      <c r="AH174" s="97"/>
      <c r="AI174" s="97"/>
      <c r="AJ174" s="97"/>
      <c r="AK174" s="97"/>
      <c r="AL174" s="97"/>
      <c r="AM174" s="97"/>
      <c r="AN174" s="97"/>
      <c r="AO174" s="97" t="str">
        <f>IFERROR(__xludf.DUMMYFUNCTION("""COMPUTED_VALUE"""),"1 Año")</f>
        <v>1 Año</v>
      </c>
      <c r="AP174" s="97"/>
      <c r="AQ174" s="97"/>
      <c r="AR174" s="97"/>
      <c r="AS174" s="97"/>
      <c r="AT174" s="97"/>
      <c r="AU174" s="97"/>
      <c r="AV174" s="97" t="str">
        <f>IFERROR(__xludf.DUMMYFUNCTION("""COMPUTED_VALUE"""),"Colgante")</f>
        <v>Colgante</v>
      </c>
      <c r="AW174" s="97" t="str">
        <f>IFERROR(__xludf.DUMMYFUNCTION("""COMPUTED_VALUE"""),"De Techo")</f>
        <v>De Techo</v>
      </c>
      <c r="AX174" s="97" t="str">
        <f>IFERROR(__xludf.DUMMYFUNCTION("""COMPUTED_VALUE"""),"Interior")</f>
        <v>Interior</v>
      </c>
      <c r="AY174" s="97"/>
      <c r="AZ174" s="97"/>
      <c r="BA174" s="97"/>
      <c r="BB174" s="97"/>
      <c r="BC174" s="97"/>
      <c r="BD174" s="97" t="str">
        <f>IFERROR(__xludf.DUMMYFUNCTION("""COMPUTED_VALUE"""),"VIVLIO")</f>
        <v>VIVLIO</v>
      </c>
      <c r="BE174" s="97" t="str">
        <f>IFERROR(__xludf.DUMMYFUNCTION("""COMPUTED_VALUE"""),"Sin Ficha")</f>
        <v>Sin Ficha</v>
      </c>
      <c r="BF174" s="97"/>
      <c r="BG174" s="97" t="str">
        <f>IFERROR(__xludf.DUMMYFUNCTION("""COMPUTED_VALUE"""),"Discontinuo")</f>
        <v>Discontinuo</v>
      </c>
    </row>
    <row r="175">
      <c r="A175" s="97">
        <f>IFERROR(__xludf.DUMMYFUNCTION("""COMPUTED_VALUE"""),3689.0)</f>
        <v>3689</v>
      </c>
      <c r="B175" s="97" t="str">
        <f>IFERROR(__xludf.DUMMYFUNCTION("""COMPUTED_VALUE"""),"ANEMOS")</f>
        <v>ANEMOS</v>
      </c>
      <c r="C175" s="97" t="str">
        <f>IFERROR(__xludf.DUMMYFUNCTION("""COMPUTED_VALUE"""),"COLGANTE ANEMOS LEUK")</f>
        <v>COLGANTE ANEMOS LEUK</v>
      </c>
      <c r="D175" s="97">
        <f>IFERROR(__xludf.DUMMYFUNCTION("""COMPUTED_VALUE"""),7.798328755131E12)</f>
        <v>7798328755131</v>
      </c>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t="str">
        <f>IFERROR(__xludf.DUMMYFUNCTION("""COMPUTED_VALUE"""),"IP20")</f>
        <v>IP20</v>
      </c>
      <c r="AE175" s="97"/>
      <c r="AF175" s="97" t="str">
        <f>IFERROR(__xludf.DUMMYFUNCTION("""COMPUTED_VALUE"""),"Suspender")</f>
        <v>Suspender</v>
      </c>
      <c r="AG175" s="97"/>
      <c r="AH175" s="97"/>
      <c r="AI175" s="97"/>
      <c r="AJ175" s="97"/>
      <c r="AK175" s="97"/>
      <c r="AL175" s="97"/>
      <c r="AM175" s="97"/>
      <c r="AN175" s="97"/>
      <c r="AO175" s="97" t="str">
        <f>IFERROR(__xludf.DUMMYFUNCTION("""COMPUTED_VALUE"""),"1 Año")</f>
        <v>1 Año</v>
      </c>
      <c r="AP175" s="97"/>
      <c r="AQ175" s="97"/>
      <c r="AR175" s="97"/>
      <c r="AS175" s="97"/>
      <c r="AT175" s="97"/>
      <c r="AU175" s="97"/>
      <c r="AV175" s="97" t="str">
        <f>IFERROR(__xludf.DUMMYFUNCTION("""COMPUTED_VALUE"""),"Colgante")</f>
        <v>Colgante</v>
      </c>
      <c r="AW175" s="97" t="str">
        <f>IFERROR(__xludf.DUMMYFUNCTION("""COMPUTED_VALUE"""),"De Techo")</f>
        <v>De Techo</v>
      </c>
      <c r="AX175" s="97" t="str">
        <f>IFERROR(__xludf.DUMMYFUNCTION("""COMPUTED_VALUE"""),"Interior")</f>
        <v>Interior</v>
      </c>
      <c r="AY175" s="97"/>
      <c r="AZ175" s="97"/>
      <c r="BA175" s="97"/>
      <c r="BB175" s="97"/>
      <c r="BC175" s="97"/>
      <c r="BD175" s="97" t="str">
        <f>IFERROR(__xludf.DUMMYFUNCTION("""COMPUTED_VALUE"""),"ANEMOS")</f>
        <v>ANEMOS</v>
      </c>
      <c r="BE175" s="97" t="str">
        <f>IFERROR(__xludf.DUMMYFUNCTION("""COMPUTED_VALUE"""),"Sin Ficha")</f>
        <v>Sin Ficha</v>
      </c>
      <c r="BF175" s="97"/>
      <c r="BG175" s="97" t="str">
        <f>IFERROR(__xludf.DUMMYFUNCTION("""COMPUTED_VALUE"""),"Discontinuo")</f>
        <v>Discontinuo</v>
      </c>
    </row>
    <row r="176">
      <c r="A176" s="97">
        <f>IFERROR(__xludf.DUMMYFUNCTION("""COMPUTED_VALUE"""),3690.0)</f>
        <v>3690</v>
      </c>
      <c r="B176" s="97" t="str">
        <f>IFERROR(__xludf.DUMMYFUNCTION("""COMPUTED_VALUE"""),"RHEA")</f>
        <v>RHEA</v>
      </c>
      <c r="C176" s="97" t="str">
        <f>IFERROR(__xludf.DUMMYFUNCTION("""COMPUTED_VALUE"""),"COLGANTE RHEA E27 LEUK")</f>
        <v>COLGANTE RHEA E27 LEUK</v>
      </c>
      <c r="D176" s="97">
        <f>IFERROR(__xludf.DUMMYFUNCTION("""COMPUTED_VALUE"""),36900.0)</f>
        <v>36900</v>
      </c>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t="str">
        <f>IFERROR(__xludf.DUMMYFUNCTION("""COMPUTED_VALUE"""),"IP20")</f>
        <v>IP20</v>
      </c>
      <c r="AE176" s="97"/>
      <c r="AF176" s="97" t="str">
        <f>IFERROR(__xludf.DUMMYFUNCTION("""COMPUTED_VALUE"""),"Suspender")</f>
        <v>Suspender</v>
      </c>
      <c r="AG176" s="97"/>
      <c r="AH176" s="97"/>
      <c r="AI176" s="97"/>
      <c r="AJ176" s="97"/>
      <c r="AK176" s="97"/>
      <c r="AL176" s="97"/>
      <c r="AM176" s="97"/>
      <c r="AN176" s="97"/>
      <c r="AO176" s="97" t="str">
        <f>IFERROR(__xludf.DUMMYFUNCTION("""COMPUTED_VALUE"""),"1 Año")</f>
        <v>1 Año</v>
      </c>
      <c r="AP176" s="97"/>
      <c r="AQ176" s="97"/>
      <c r="AR176" s="97"/>
      <c r="AS176" s="97"/>
      <c r="AT176" s="97"/>
      <c r="AU176" s="97"/>
      <c r="AV176" s="97" t="str">
        <f>IFERROR(__xludf.DUMMYFUNCTION("""COMPUTED_VALUE"""),"Colgante")</f>
        <v>Colgante</v>
      </c>
      <c r="AW176" s="97" t="str">
        <f>IFERROR(__xludf.DUMMYFUNCTION("""COMPUTED_VALUE"""),"De Techo")</f>
        <v>De Techo</v>
      </c>
      <c r="AX176" s="97" t="str">
        <f>IFERROR(__xludf.DUMMYFUNCTION("""COMPUTED_VALUE"""),"Interior")</f>
        <v>Interior</v>
      </c>
      <c r="AY176" s="97"/>
      <c r="AZ176" s="97"/>
      <c r="BA176" s="97"/>
      <c r="BB176" s="97"/>
      <c r="BC176" s="97"/>
      <c r="BD176" s="97" t="str">
        <f>IFERROR(__xludf.DUMMYFUNCTION("""COMPUTED_VALUE"""),"RHEA")</f>
        <v>RHEA</v>
      </c>
      <c r="BE176" s="97" t="str">
        <f>IFERROR(__xludf.DUMMYFUNCTION("""COMPUTED_VALUE"""),"Sin Ficha")</f>
        <v>Sin Ficha</v>
      </c>
      <c r="BF176" s="97"/>
      <c r="BG176" s="97" t="str">
        <f>IFERROR(__xludf.DUMMYFUNCTION("""COMPUTED_VALUE"""),"Discontinuo")</f>
        <v>Discontinuo</v>
      </c>
    </row>
    <row r="177">
      <c r="A177" s="97">
        <f>IFERROR(__xludf.DUMMYFUNCTION("""COMPUTED_VALUE"""),3755.0)</f>
        <v>3755</v>
      </c>
      <c r="B177" s="97" t="str">
        <f>IFERROR(__xludf.DUMMYFUNCTION("""COMPUTED_VALUE"""),"OMORFIA")</f>
        <v>OMORFIA</v>
      </c>
      <c r="C177" s="97" t="str">
        <f>IFERROR(__xludf.DUMMYFUNCTION("""COMPUTED_VALUE"""),"COLGANTE OMORFIA LEUK")</f>
        <v>COLGANTE OMORFIA LEUK</v>
      </c>
      <c r="D177" s="97">
        <f>IFERROR(__xludf.DUMMYFUNCTION("""COMPUTED_VALUE"""),7.798328755407E12)</f>
        <v>7798328755407</v>
      </c>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t="str">
        <f>IFERROR(__xludf.DUMMYFUNCTION("""COMPUTED_VALUE"""),"IP20")</f>
        <v>IP20</v>
      </c>
      <c r="AE177" s="97"/>
      <c r="AF177" s="97" t="str">
        <f>IFERROR(__xludf.DUMMYFUNCTION("""COMPUTED_VALUE"""),"Suspender")</f>
        <v>Suspender</v>
      </c>
      <c r="AG177" s="97"/>
      <c r="AH177" s="97"/>
      <c r="AI177" s="97"/>
      <c r="AJ177" s="97"/>
      <c r="AK177" s="97"/>
      <c r="AL177" s="97"/>
      <c r="AM177" s="97"/>
      <c r="AN177" s="97"/>
      <c r="AO177" s="97" t="str">
        <f>IFERROR(__xludf.DUMMYFUNCTION("""COMPUTED_VALUE"""),"1 Año")</f>
        <v>1 Año</v>
      </c>
      <c r="AP177" s="97"/>
      <c r="AQ177" s="97"/>
      <c r="AR177" s="97"/>
      <c r="AS177" s="97"/>
      <c r="AT177" s="97"/>
      <c r="AU177" s="97"/>
      <c r="AV177" s="97" t="str">
        <f>IFERROR(__xludf.DUMMYFUNCTION("""COMPUTED_VALUE"""),"Colgante")</f>
        <v>Colgante</v>
      </c>
      <c r="AW177" s="97" t="str">
        <f>IFERROR(__xludf.DUMMYFUNCTION("""COMPUTED_VALUE"""),"De Techo")</f>
        <v>De Techo</v>
      </c>
      <c r="AX177" s="97" t="str">
        <f>IFERROR(__xludf.DUMMYFUNCTION("""COMPUTED_VALUE"""),"Interior")</f>
        <v>Interior</v>
      </c>
      <c r="AY177" s="97"/>
      <c r="AZ177" s="97"/>
      <c r="BA177" s="97">
        <f>IFERROR(__xludf.DUMMYFUNCTION("""COMPUTED_VALUE"""),10.0)</f>
        <v>10</v>
      </c>
      <c r="BB177" s="97"/>
      <c r="BC177" s="97"/>
      <c r="BD177" s="97" t="str">
        <f>IFERROR(__xludf.DUMMYFUNCTION("""COMPUTED_VALUE"""),"OMORFIA")</f>
        <v>OMORFIA</v>
      </c>
      <c r="BE177" s="97" t="str">
        <f>IFERROR(__xludf.DUMMYFUNCTION("""COMPUTED_VALUE"""),"Sin Ficha")</f>
        <v>Sin Ficha</v>
      </c>
      <c r="BF177" s="97"/>
      <c r="BG177" s="97" t="str">
        <f>IFERROR(__xludf.DUMMYFUNCTION("""COMPUTED_VALUE"""),"Discontinuo")</f>
        <v>Discontinuo</v>
      </c>
    </row>
    <row r="178">
      <c r="A178" s="97">
        <f>IFERROR(__xludf.DUMMYFUNCTION("""COMPUTED_VALUE"""),3756.0)</f>
        <v>3756</v>
      </c>
      <c r="B178" s="97" t="str">
        <f>IFERROR(__xludf.DUMMYFUNCTION("""COMPUTED_VALUE"""),"ALENKRIA")</f>
        <v>ALENKRIA</v>
      </c>
      <c r="C178" s="97" t="str">
        <f>IFERROR(__xludf.DUMMYFUNCTION("""COMPUTED_VALUE"""),"COLGANTE ALENKRIA LEUK")</f>
        <v>COLGANTE ALENKRIA LEUK</v>
      </c>
      <c r="D178" s="97">
        <f>IFERROR(__xludf.DUMMYFUNCTION("""COMPUTED_VALUE"""),7.798328755056E12)</f>
        <v>7798328755056</v>
      </c>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t="str">
        <f>IFERROR(__xludf.DUMMYFUNCTION("""COMPUTED_VALUE"""),"IP20")</f>
        <v>IP20</v>
      </c>
      <c r="AE178" s="97"/>
      <c r="AF178" s="97" t="str">
        <f>IFERROR(__xludf.DUMMYFUNCTION("""COMPUTED_VALUE"""),"Suspender")</f>
        <v>Suspender</v>
      </c>
      <c r="AG178" s="97"/>
      <c r="AH178" s="97"/>
      <c r="AI178" s="97"/>
      <c r="AJ178" s="97"/>
      <c r="AK178" s="97"/>
      <c r="AL178" s="97"/>
      <c r="AM178" s="97"/>
      <c r="AN178" s="97"/>
      <c r="AO178" s="97" t="str">
        <f>IFERROR(__xludf.DUMMYFUNCTION("""COMPUTED_VALUE"""),"1 Año")</f>
        <v>1 Año</v>
      </c>
      <c r="AP178" s="97"/>
      <c r="AQ178" s="97"/>
      <c r="AR178" s="97"/>
      <c r="AS178" s="97"/>
      <c r="AT178" s="97"/>
      <c r="AU178" s="97"/>
      <c r="AV178" s="97" t="str">
        <f>IFERROR(__xludf.DUMMYFUNCTION("""COMPUTED_VALUE"""),"Colgante")</f>
        <v>Colgante</v>
      </c>
      <c r="AW178" s="97" t="str">
        <f>IFERROR(__xludf.DUMMYFUNCTION("""COMPUTED_VALUE"""),"De Techo")</f>
        <v>De Techo</v>
      </c>
      <c r="AX178" s="97" t="str">
        <f>IFERROR(__xludf.DUMMYFUNCTION("""COMPUTED_VALUE"""),"Interior")</f>
        <v>Interior</v>
      </c>
      <c r="AY178" s="97"/>
      <c r="AZ178" s="97"/>
      <c r="BA178" s="97">
        <f>IFERROR(__xludf.DUMMYFUNCTION("""COMPUTED_VALUE"""),1.0)</f>
        <v>1</v>
      </c>
      <c r="BB178" s="97"/>
      <c r="BC178" s="97"/>
      <c r="BD178" s="97" t="str">
        <f>IFERROR(__xludf.DUMMYFUNCTION("""COMPUTED_VALUE"""),"ALENKRIA")</f>
        <v>ALENKRIA</v>
      </c>
      <c r="BE178" s="97" t="str">
        <f>IFERROR(__xludf.DUMMYFUNCTION("""COMPUTED_VALUE"""),"Sin Ficha")</f>
        <v>Sin Ficha</v>
      </c>
      <c r="BF178" s="97"/>
      <c r="BG178" s="97" t="str">
        <f>IFERROR(__xludf.DUMMYFUNCTION("""COMPUTED_VALUE"""),"Discontinuo")</f>
        <v>Discontinuo</v>
      </c>
    </row>
    <row r="179">
      <c r="A179" s="97">
        <f>IFERROR(__xludf.DUMMYFUNCTION("""COMPUTED_VALUE"""),3757.0)</f>
        <v>3757</v>
      </c>
      <c r="B179" s="97" t="str">
        <f>IFERROR(__xludf.DUMMYFUNCTION("""COMPUTED_VALUE"""),"CHARTI NG")</f>
        <v>CHARTI NG</v>
      </c>
      <c r="C179" s="97" t="str">
        <f>IFERROR(__xludf.DUMMYFUNCTION("""COMPUTED_VALUE"""),"COLGANTE CHARTI LEUK NEGRO")</f>
        <v>COLGANTE CHARTI LEUK NEGRO</v>
      </c>
      <c r="D179" s="97">
        <f>IFERROR(__xludf.DUMMYFUNCTION("""COMPUTED_VALUE"""),7.798328755063E12)</f>
        <v>7798328755063</v>
      </c>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t="str">
        <f>IFERROR(__xludf.DUMMYFUNCTION("""COMPUTED_VALUE"""),"IP20")</f>
        <v>IP20</v>
      </c>
      <c r="AE179" s="97"/>
      <c r="AF179" s="97" t="str">
        <f>IFERROR(__xludf.DUMMYFUNCTION("""COMPUTED_VALUE"""),"Suspender")</f>
        <v>Suspender</v>
      </c>
      <c r="AG179" s="97"/>
      <c r="AH179" s="97"/>
      <c r="AI179" s="97"/>
      <c r="AJ179" s="97"/>
      <c r="AK179" s="97"/>
      <c r="AL179" s="97"/>
      <c r="AM179" s="97"/>
      <c r="AN179" s="97"/>
      <c r="AO179" s="97" t="str">
        <f>IFERROR(__xludf.DUMMYFUNCTION("""COMPUTED_VALUE"""),"1 Año")</f>
        <v>1 Año</v>
      </c>
      <c r="AP179" s="97"/>
      <c r="AQ179" s="97"/>
      <c r="AR179" s="97"/>
      <c r="AS179" s="97"/>
      <c r="AT179" s="97"/>
      <c r="AU179" s="97"/>
      <c r="AV179" s="97" t="str">
        <f>IFERROR(__xludf.DUMMYFUNCTION("""COMPUTED_VALUE"""),"Colgante")</f>
        <v>Colgante</v>
      </c>
      <c r="AW179" s="97" t="str">
        <f>IFERROR(__xludf.DUMMYFUNCTION("""COMPUTED_VALUE"""),"De Techo")</f>
        <v>De Techo</v>
      </c>
      <c r="AX179" s="97" t="str">
        <f>IFERROR(__xludf.DUMMYFUNCTION("""COMPUTED_VALUE"""),"Interior")</f>
        <v>Interior</v>
      </c>
      <c r="AY179" s="97"/>
      <c r="AZ179" s="97"/>
      <c r="BA179" s="97"/>
      <c r="BB179" s="97"/>
      <c r="BC179" s="97"/>
      <c r="BD179" s="97" t="str">
        <f>IFERROR(__xludf.DUMMYFUNCTION("""COMPUTED_VALUE"""),"CHARTI")</f>
        <v>CHARTI</v>
      </c>
      <c r="BE179" s="97" t="str">
        <f>IFERROR(__xludf.DUMMYFUNCTION("""COMPUTED_VALUE"""),"Sin Ficha")</f>
        <v>Sin Ficha</v>
      </c>
      <c r="BF179" s="97"/>
      <c r="BG179" s="97" t="str">
        <f>IFERROR(__xludf.DUMMYFUNCTION("""COMPUTED_VALUE"""),"Discontinuo")</f>
        <v>Discontinuo</v>
      </c>
    </row>
    <row r="180">
      <c r="A180" s="97">
        <f>IFERROR(__xludf.DUMMYFUNCTION("""COMPUTED_VALUE"""),3758.0)</f>
        <v>3758</v>
      </c>
      <c r="B180" s="97" t="str">
        <f>IFERROR(__xludf.DUMMYFUNCTION("""COMPUTED_VALUE"""),"CHARTI BL")</f>
        <v>CHARTI BL</v>
      </c>
      <c r="C180" s="97" t="str">
        <f>IFERROR(__xludf.DUMMYFUNCTION("""COMPUTED_VALUE"""),"COLGANTE CHARTI LEUK BLANCO")</f>
        <v>COLGANTE CHARTI LEUK BLANCO</v>
      </c>
      <c r="D180" s="97">
        <f>IFERROR(__xludf.DUMMYFUNCTION("""COMPUTED_VALUE"""),7.79832875507E12)</f>
        <v>7798328755070</v>
      </c>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t="str">
        <f>IFERROR(__xludf.DUMMYFUNCTION("""COMPUTED_VALUE"""),"IP20")</f>
        <v>IP20</v>
      </c>
      <c r="AE180" s="97"/>
      <c r="AF180" s="97" t="str">
        <f>IFERROR(__xludf.DUMMYFUNCTION("""COMPUTED_VALUE"""),"Suspender")</f>
        <v>Suspender</v>
      </c>
      <c r="AG180" s="97"/>
      <c r="AH180" s="97"/>
      <c r="AI180" s="97"/>
      <c r="AJ180" s="97"/>
      <c r="AK180" s="97"/>
      <c r="AL180" s="97"/>
      <c r="AM180" s="97"/>
      <c r="AN180" s="97"/>
      <c r="AO180" s="97" t="str">
        <f>IFERROR(__xludf.DUMMYFUNCTION("""COMPUTED_VALUE"""),"1 Año")</f>
        <v>1 Año</v>
      </c>
      <c r="AP180" s="97"/>
      <c r="AQ180" s="97"/>
      <c r="AR180" s="97"/>
      <c r="AS180" s="97"/>
      <c r="AT180" s="97"/>
      <c r="AU180" s="97"/>
      <c r="AV180" s="97" t="str">
        <f>IFERROR(__xludf.DUMMYFUNCTION("""COMPUTED_VALUE"""),"Colgante")</f>
        <v>Colgante</v>
      </c>
      <c r="AW180" s="97" t="str">
        <f>IFERROR(__xludf.DUMMYFUNCTION("""COMPUTED_VALUE"""),"De Techo")</f>
        <v>De Techo</v>
      </c>
      <c r="AX180" s="97" t="str">
        <f>IFERROR(__xludf.DUMMYFUNCTION("""COMPUTED_VALUE"""),"Interior")</f>
        <v>Interior</v>
      </c>
      <c r="AY180" s="97"/>
      <c r="AZ180" s="97"/>
      <c r="BA180" s="97"/>
      <c r="BB180" s="97"/>
      <c r="BC180" s="97"/>
      <c r="BD180" s="97" t="str">
        <f>IFERROR(__xludf.DUMMYFUNCTION("""COMPUTED_VALUE"""),"CHARTI")</f>
        <v>CHARTI</v>
      </c>
      <c r="BE180" s="97" t="str">
        <f>IFERROR(__xludf.DUMMYFUNCTION("""COMPUTED_VALUE"""),"Sin Ficha")</f>
        <v>Sin Ficha</v>
      </c>
      <c r="BF180" s="97"/>
      <c r="BG180" s="97" t="str">
        <f>IFERROR(__xludf.DUMMYFUNCTION("""COMPUTED_VALUE"""),"Discontinuo")</f>
        <v>Discontinuo</v>
      </c>
    </row>
    <row r="181">
      <c r="A181" s="97">
        <f>IFERROR(__xludf.DUMMYFUNCTION("""COMPUTED_VALUE"""),3759.0)</f>
        <v>3759</v>
      </c>
      <c r="B181" s="97" t="str">
        <f>IFERROR(__xludf.DUMMYFUNCTION("""COMPUTED_VALUE"""),"FOTIA")</f>
        <v>FOTIA</v>
      </c>
      <c r="C181" s="97" t="str">
        <f>IFERROR(__xludf.DUMMYFUNCTION("""COMPUTED_VALUE"""),"COLGANTE FOTIA LEUK")</f>
        <v>COLGANTE FOTIA LEUK</v>
      </c>
      <c r="D181" s="97">
        <f>IFERROR(__xludf.DUMMYFUNCTION("""COMPUTED_VALUE"""),7.798328755087E12)</f>
        <v>7798328755087</v>
      </c>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t="str">
        <f>IFERROR(__xludf.DUMMYFUNCTION("""COMPUTED_VALUE"""),"IP20")</f>
        <v>IP20</v>
      </c>
      <c r="AE181" s="97"/>
      <c r="AF181" s="97" t="str">
        <f>IFERROR(__xludf.DUMMYFUNCTION("""COMPUTED_VALUE"""),"Suspender")</f>
        <v>Suspender</v>
      </c>
      <c r="AG181" s="97"/>
      <c r="AH181" s="97"/>
      <c r="AI181" s="97"/>
      <c r="AJ181" s="97"/>
      <c r="AK181" s="97"/>
      <c r="AL181" s="97"/>
      <c r="AM181" s="97"/>
      <c r="AN181" s="97"/>
      <c r="AO181" s="97" t="str">
        <f>IFERROR(__xludf.DUMMYFUNCTION("""COMPUTED_VALUE"""),"1 Año")</f>
        <v>1 Año</v>
      </c>
      <c r="AP181" s="97"/>
      <c r="AQ181" s="97"/>
      <c r="AR181" s="97"/>
      <c r="AS181" s="97"/>
      <c r="AT181" s="97"/>
      <c r="AU181" s="97"/>
      <c r="AV181" s="97" t="str">
        <f>IFERROR(__xludf.DUMMYFUNCTION("""COMPUTED_VALUE"""),"Colgante")</f>
        <v>Colgante</v>
      </c>
      <c r="AW181" s="97" t="str">
        <f>IFERROR(__xludf.DUMMYFUNCTION("""COMPUTED_VALUE"""),"De Techo")</f>
        <v>De Techo</v>
      </c>
      <c r="AX181" s="97" t="str">
        <f>IFERROR(__xludf.DUMMYFUNCTION("""COMPUTED_VALUE"""),"Interior")</f>
        <v>Interior</v>
      </c>
      <c r="AY181" s="97"/>
      <c r="AZ181" s="97"/>
      <c r="BA181" s="97">
        <f>IFERROR(__xludf.DUMMYFUNCTION("""COMPUTED_VALUE"""),1.0)</f>
        <v>1</v>
      </c>
      <c r="BB181" s="97"/>
      <c r="BC181" s="97"/>
      <c r="BD181" s="97" t="str">
        <f>IFERROR(__xludf.DUMMYFUNCTION("""COMPUTED_VALUE"""),"FOTIA")</f>
        <v>FOTIA</v>
      </c>
      <c r="BE181" s="97" t="str">
        <f>IFERROR(__xludf.DUMMYFUNCTION("""COMPUTED_VALUE"""),"Sin Ficha")</f>
        <v>Sin Ficha</v>
      </c>
      <c r="BF181" s="97"/>
      <c r="BG181" s="97" t="str">
        <f>IFERROR(__xludf.DUMMYFUNCTION("""COMPUTED_VALUE"""),"Discontinuo")</f>
        <v>Discontinuo</v>
      </c>
    </row>
    <row r="182">
      <c r="A182" s="97">
        <f>IFERROR(__xludf.DUMMYFUNCTION("""COMPUTED_VALUE"""),3760.0)</f>
        <v>3760</v>
      </c>
      <c r="B182" s="97" t="str">
        <f>IFERROR(__xludf.DUMMYFUNCTION("""COMPUTED_VALUE"""),"AGAPI")</f>
        <v>AGAPI</v>
      </c>
      <c r="C182" s="97" t="str">
        <f>IFERROR(__xludf.DUMMYFUNCTION("""COMPUTED_VALUE"""),"COLGANTE AGAPI LEUK")</f>
        <v>COLGANTE AGAPI LEUK</v>
      </c>
      <c r="D182" s="97">
        <f>IFERROR(__xludf.DUMMYFUNCTION("""COMPUTED_VALUE"""),7.798328755162E12)</f>
        <v>7798328755162</v>
      </c>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t="str">
        <f>IFERROR(__xludf.DUMMYFUNCTION("""COMPUTED_VALUE"""),"IP20")</f>
        <v>IP20</v>
      </c>
      <c r="AE182" s="97"/>
      <c r="AF182" s="97" t="str">
        <f>IFERROR(__xludf.DUMMYFUNCTION("""COMPUTED_VALUE"""),"Suspender")</f>
        <v>Suspender</v>
      </c>
      <c r="AG182" s="97"/>
      <c r="AH182" s="97"/>
      <c r="AI182" s="97"/>
      <c r="AJ182" s="97"/>
      <c r="AK182" s="97"/>
      <c r="AL182" s="97"/>
      <c r="AM182" s="97"/>
      <c r="AN182" s="97"/>
      <c r="AO182" s="97" t="str">
        <f>IFERROR(__xludf.DUMMYFUNCTION("""COMPUTED_VALUE"""),"1 Año")</f>
        <v>1 Año</v>
      </c>
      <c r="AP182" s="97"/>
      <c r="AQ182" s="97"/>
      <c r="AR182" s="97"/>
      <c r="AS182" s="97"/>
      <c r="AT182" s="97"/>
      <c r="AU182" s="97"/>
      <c r="AV182" s="97" t="str">
        <f>IFERROR(__xludf.DUMMYFUNCTION("""COMPUTED_VALUE"""),"Colgante")</f>
        <v>Colgante</v>
      </c>
      <c r="AW182" s="97" t="str">
        <f>IFERROR(__xludf.DUMMYFUNCTION("""COMPUTED_VALUE"""),"De Techo")</f>
        <v>De Techo</v>
      </c>
      <c r="AX182" s="97" t="str">
        <f>IFERROR(__xludf.DUMMYFUNCTION("""COMPUTED_VALUE"""),"Interior")</f>
        <v>Interior</v>
      </c>
      <c r="AY182" s="97"/>
      <c r="AZ182" s="97"/>
      <c r="BA182" s="97"/>
      <c r="BB182" s="97"/>
      <c r="BC182" s="97"/>
      <c r="BD182" s="97" t="str">
        <f>IFERROR(__xludf.DUMMYFUNCTION("""COMPUTED_VALUE"""),"AGAPI")</f>
        <v>AGAPI</v>
      </c>
      <c r="BE182" s="97" t="str">
        <f>IFERROR(__xludf.DUMMYFUNCTION("""COMPUTED_VALUE"""),"Sin Ficha")</f>
        <v>Sin Ficha</v>
      </c>
      <c r="BF182" s="97"/>
      <c r="BG182" s="97" t="str">
        <f>IFERROR(__xludf.DUMMYFUNCTION("""COMPUTED_VALUE"""),"Discontinuo")</f>
        <v>Discontinuo</v>
      </c>
    </row>
    <row r="183">
      <c r="A183" s="97">
        <f>IFERROR(__xludf.DUMMYFUNCTION("""COMPUTED_VALUE"""),3761.0)</f>
        <v>3761</v>
      </c>
      <c r="B183" s="97" t="str">
        <f>IFERROR(__xludf.DUMMYFUNCTION("""COMPUTED_VALUE"""),"LAMPA")</f>
        <v>LAMPA</v>
      </c>
      <c r="C183" s="97" t="str">
        <f>IFERROR(__xludf.DUMMYFUNCTION("""COMPUTED_VALUE"""),"COLGANTE LAMPA LEUK VERDE")</f>
        <v>COLGANTE LAMPA LEUK VERDE</v>
      </c>
      <c r="D183" s="97">
        <f>IFERROR(__xludf.DUMMYFUNCTION("""COMPUTED_VALUE"""),7.798328755254E12)</f>
        <v>7798328755254</v>
      </c>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t="str">
        <f>IFERROR(__xludf.DUMMYFUNCTION("""COMPUTED_VALUE"""),"IP20")</f>
        <v>IP20</v>
      </c>
      <c r="AE183" s="97"/>
      <c r="AF183" s="97" t="str">
        <f>IFERROR(__xludf.DUMMYFUNCTION("""COMPUTED_VALUE"""),"Suspender")</f>
        <v>Suspender</v>
      </c>
      <c r="AG183" s="97"/>
      <c r="AH183" s="97"/>
      <c r="AI183" s="97"/>
      <c r="AJ183" s="97"/>
      <c r="AK183" s="97"/>
      <c r="AL183" s="97"/>
      <c r="AM183" s="97"/>
      <c r="AN183" s="97"/>
      <c r="AO183" s="97" t="str">
        <f>IFERROR(__xludf.DUMMYFUNCTION("""COMPUTED_VALUE"""),"1 Año")</f>
        <v>1 Año</v>
      </c>
      <c r="AP183" s="97"/>
      <c r="AQ183" s="97"/>
      <c r="AR183" s="97"/>
      <c r="AS183" s="97"/>
      <c r="AT183" s="97"/>
      <c r="AU183" s="97"/>
      <c r="AV183" s="97" t="str">
        <f>IFERROR(__xludf.DUMMYFUNCTION("""COMPUTED_VALUE"""),"Colgante")</f>
        <v>Colgante</v>
      </c>
      <c r="AW183" s="97" t="str">
        <f>IFERROR(__xludf.DUMMYFUNCTION("""COMPUTED_VALUE"""),"De Techo")</f>
        <v>De Techo</v>
      </c>
      <c r="AX183" s="97" t="str">
        <f>IFERROR(__xludf.DUMMYFUNCTION("""COMPUTED_VALUE"""),"Interior")</f>
        <v>Interior</v>
      </c>
      <c r="AY183" s="97"/>
      <c r="AZ183" s="97"/>
      <c r="BA183" s="97"/>
      <c r="BB183" s="97"/>
      <c r="BC183" s="97"/>
      <c r="BD183" s="97" t="str">
        <f>IFERROR(__xludf.DUMMYFUNCTION("""COMPUTED_VALUE"""),"LAMPA")</f>
        <v>LAMPA</v>
      </c>
      <c r="BE183" s="97" t="str">
        <f>IFERROR(__xludf.DUMMYFUNCTION("""COMPUTED_VALUE"""),"Sin Ficha")</f>
        <v>Sin Ficha</v>
      </c>
      <c r="BF183" s="97"/>
      <c r="BG183" s="97" t="str">
        <f>IFERROR(__xludf.DUMMYFUNCTION("""COMPUTED_VALUE"""),"Discontinuo")</f>
        <v>Discontinuo</v>
      </c>
    </row>
    <row r="184">
      <c r="A184" s="97">
        <f>IFERROR(__xludf.DUMMYFUNCTION("""COMPUTED_VALUE"""),3762.0)</f>
        <v>3762</v>
      </c>
      <c r="B184" s="97" t="str">
        <f>IFERROR(__xludf.DUMMYFUNCTION("""COMPUTED_VALUE"""),"LAMPA")</f>
        <v>LAMPA</v>
      </c>
      <c r="C184" s="97" t="str">
        <f>IFERROR(__xludf.DUMMYFUNCTION("""COMPUTED_VALUE"""),"COLGANTE LAMPA LEUK NEGRO")</f>
        <v>COLGANTE LAMPA LEUK NEGRO</v>
      </c>
      <c r="D184" s="97">
        <f>IFERROR(__xludf.DUMMYFUNCTION("""COMPUTED_VALUE"""),7.798328755186E12)</f>
        <v>7798328755186</v>
      </c>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t="str">
        <f>IFERROR(__xludf.DUMMYFUNCTION("""COMPUTED_VALUE"""),"IP20")</f>
        <v>IP20</v>
      </c>
      <c r="AE184" s="97"/>
      <c r="AF184" s="97" t="str">
        <f>IFERROR(__xludf.DUMMYFUNCTION("""COMPUTED_VALUE"""),"Suspender")</f>
        <v>Suspender</v>
      </c>
      <c r="AG184" s="97"/>
      <c r="AH184" s="97"/>
      <c r="AI184" s="97"/>
      <c r="AJ184" s="97"/>
      <c r="AK184" s="97"/>
      <c r="AL184" s="97"/>
      <c r="AM184" s="97"/>
      <c r="AN184" s="97"/>
      <c r="AO184" s="97" t="str">
        <f>IFERROR(__xludf.DUMMYFUNCTION("""COMPUTED_VALUE"""),"1 Año")</f>
        <v>1 Año</v>
      </c>
      <c r="AP184" s="97"/>
      <c r="AQ184" s="97"/>
      <c r="AR184" s="97"/>
      <c r="AS184" s="97"/>
      <c r="AT184" s="97"/>
      <c r="AU184" s="97"/>
      <c r="AV184" s="97" t="str">
        <f>IFERROR(__xludf.DUMMYFUNCTION("""COMPUTED_VALUE"""),"Colgante")</f>
        <v>Colgante</v>
      </c>
      <c r="AW184" s="97" t="str">
        <f>IFERROR(__xludf.DUMMYFUNCTION("""COMPUTED_VALUE"""),"De Techo")</f>
        <v>De Techo</v>
      </c>
      <c r="AX184" s="97" t="str">
        <f>IFERROR(__xludf.DUMMYFUNCTION("""COMPUTED_VALUE"""),"Interior")</f>
        <v>Interior</v>
      </c>
      <c r="AY184" s="97"/>
      <c r="AZ184" s="97"/>
      <c r="BA184" s="97"/>
      <c r="BB184" s="97"/>
      <c r="BC184" s="97"/>
      <c r="BD184" s="97" t="str">
        <f>IFERROR(__xludf.DUMMYFUNCTION("""COMPUTED_VALUE"""),"LAMPA")</f>
        <v>LAMPA</v>
      </c>
      <c r="BE184" s="97" t="str">
        <f>IFERROR(__xludf.DUMMYFUNCTION("""COMPUTED_VALUE"""),"Sin Ficha")</f>
        <v>Sin Ficha</v>
      </c>
      <c r="BF184" s="97"/>
      <c r="BG184" s="97" t="str">
        <f>IFERROR(__xludf.DUMMYFUNCTION("""COMPUTED_VALUE"""),"Discontinuo")</f>
        <v>Discontinuo</v>
      </c>
    </row>
    <row r="185">
      <c r="A185" s="97">
        <f>IFERROR(__xludf.DUMMYFUNCTION("""COMPUTED_VALUE"""),3763.0)</f>
        <v>3763</v>
      </c>
      <c r="B185" s="97" t="str">
        <f>IFERROR(__xludf.DUMMYFUNCTION("""COMPUTED_VALUE"""),"KITRINO")</f>
        <v>KITRINO</v>
      </c>
      <c r="C185" s="97" t="str">
        <f>IFERROR(__xludf.DUMMYFUNCTION("""COMPUTED_VALUE"""),"COLGANTE KITRINO LEUK BLANCO")</f>
        <v>COLGANTE KITRINO LEUK BLANCO</v>
      </c>
      <c r="D185" s="97">
        <f>IFERROR(__xludf.DUMMYFUNCTION("""COMPUTED_VALUE"""),7.798328755346E12)</f>
        <v>7798328755346</v>
      </c>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t="str">
        <f>IFERROR(__xludf.DUMMYFUNCTION("""COMPUTED_VALUE"""),"IP20")</f>
        <v>IP20</v>
      </c>
      <c r="AE185" s="97"/>
      <c r="AF185" s="97" t="str">
        <f>IFERROR(__xludf.DUMMYFUNCTION("""COMPUTED_VALUE"""),"Suspender")</f>
        <v>Suspender</v>
      </c>
      <c r="AG185" s="97"/>
      <c r="AH185" s="97"/>
      <c r="AI185" s="97"/>
      <c r="AJ185" s="97"/>
      <c r="AK185" s="97"/>
      <c r="AL185" s="97"/>
      <c r="AM185" s="97"/>
      <c r="AN185" s="97"/>
      <c r="AO185" s="97" t="str">
        <f>IFERROR(__xludf.DUMMYFUNCTION("""COMPUTED_VALUE"""),"1 Año")</f>
        <v>1 Año</v>
      </c>
      <c r="AP185" s="97"/>
      <c r="AQ185" s="97"/>
      <c r="AR185" s="97"/>
      <c r="AS185" s="97"/>
      <c r="AT185" s="97"/>
      <c r="AU185" s="97"/>
      <c r="AV185" s="97" t="str">
        <f>IFERROR(__xludf.DUMMYFUNCTION("""COMPUTED_VALUE"""),"Colgante")</f>
        <v>Colgante</v>
      </c>
      <c r="AW185" s="97" t="str">
        <f>IFERROR(__xludf.DUMMYFUNCTION("""COMPUTED_VALUE"""),"De Techo")</f>
        <v>De Techo</v>
      </c>
      <c r="AX185" s="97" t="str">
        <f>IFERROR(__xludf.DUMMYFUNCTION("""COMPUTED_VALUE"""),"Interior")</f>
        <v>Interior</v>
      </c>
      <c r="AY185" s="97"/>
      <c r="AZ185" s="97"/>
      <c r="BA185" s="97"/>
      <c r="BB185" s="97"/>
      <c r="BC185" s="97"/>
      <c r="BD185" s="97" t="str">
        <f>IFERROR(__xludf.DUMMYFUNCTION("""COMPUTED_VALUE"""),"KITRINO")</f>
        <v>KITRINO</v>
      </c>
      <c r="BE185" s="97" t="str">
        <f>IFERROR(__xludf.DUMMYFUNCTION("""COMPUTED_VALUE"""),"Sin Ficha")</f>
        <v>Sin Ficha</v>
      </c>
      <c r="BF185" s="97"/>
      <c r="BG185" s="97" t="str">
        <f>IFERROR(__xludf.DUMMYFUNCTION("""COMPUTED_VALUE"""),"Discontinuo")</f>
        <v>Discontinuo</v>
      </c>
    </row>
    <row r="186">
      <c r="A186" s="97">
        <f>IFERROR(__xludf.DUMMYFUNCTION("""COMPUTED_VALUE"""),3764.0)</f>
        <v>3764</v>
      </c>
      <c r="B186" s="97" t="str">
        <f>IFERROR(__xludf.DUMMYFUNCTION("""COMPUTED_VALUE"""),"KITRINO")</f>
        <v>KITRINO</v>
      </c>
      <c r="C186" s="97" t="str">
        <f>IFERROR(__xludf.DUMMYFUNCTION("""COMPUTED_VALUE"""),"COLGANTE KITRINO LEUK NEGRO")</f>
        <v>COLGANTE KITRINO LEUK NEGRO</v>
      </c>
      <c r="D186" s="97">
        <f>IFERROR(__xludf.DUMMYFUNCTION("""COMPUTED_VALUE"""),7.798328755339E12)</f>
        <v>7798328755339</v>
      </c>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t="str">
        <f>IFERROR(__xludf.DUMMYFUNCTION("""COMPUTED_VALUE"""),"IP20")</f>
        <v>IP20</v>
      </c>
      <c r="AE186" s="97"/>
      <c r="AF186" s="97" t="str">
        <f>IFERROR(__xludf.DUMMYFUNCTION("""COMPUTED_VALUE"""),"Suspender")</f>
        <v>Suspender</v>
      </c>
      <c r="AG186" s="97"/>
      <c r="AH186" s="97"/>
      <c r="AI186" s="97"/>
      <c r="AJ186" s="97"/>
      <c r="AK186" s="97"/>
      <c r="AL186" s="97"/>
      <c r="AM186" s="97"/>
      <c r="AN186" s="97"/>
      <c r="AO186" s="97" t="str">
        <f>IFERROR(__xludf.DUMMYFUNCTION("""COMPUTED_VALUE"""),"1 Año")</f>
        <v>1 Año</v>
      </c>
      <c r="AP186" s="97"/>
      <c r="AQ186" s="97"/>
      <c r="AR186" s="97"/>
      <c r="AS186" s="97"/>
      <c r="AT186" s="97"/>
      <c r="AU186" s="97"/>
      <c r="AV186" s="97" t="str">
        <f>IFERROR(__xludf.DUMMYFUNCTION("""COMPUTED_VALUE"""),"Colgante")</f>
        <v>Colgante</v>
      </c>
      <c r="AW186" s="97" t="str">
        <f>IFERROR(__xludf.DUMMYFUNCTION("""COMPUTED_VALUE"""),"De Techo")</f>
        <v>De Techo</v>
      </c>
      <c r="AX186" s="97" t="str">
        <f>IFERROR(__xludf.DUMMYFUNCTION("""COMPUTED_VALUE"""),"Interior")</f>
        <v>Interior</v>
      </c>
      <c r="AY186" s="97"/>
      <c r="AZ186" s="97"/>
      <c r="BA186" s="97"/>
      <c r="BB186" s="97"/>
      <c r="BC186" s="97"/>
      <c r="BD186" s="97" t="str">
        <f>IFERROR(__xludf.DUMMYFUNCTION("""COMPUTED_VALUE"""),"KITRINO")</f>
        <v>KITRINO</v>
      </c>
      <c r="BE186" s="97" t="str">
        <f>IFERROR(__xludf.DUMMYFUNCTION("""COMPUTED_VALUE"""),"Sin Ficha")</f>
        <v>Sin Ficha</v>
      </c>
      <c r="BF186" s="97"/>
      <c r="BG186" s="97" t="str">
        <f>IFERROR(__xludf.DUMMYFUNCTION("""COMPUTED_VALUE"""),"Discontinuo")</f>
        <v>Discontinuo</v>
      </c>
    </row>
    <row r="187">
      <c r="A187" s="97">
        <f>IFERROR(__xludf.DUMMYFUNCTION("""COMPUTED_VALUE"""),3765.0)</f>
        <v>3765</v>
      </c>
      <c r="B187" s="97" t="str">
        <f>IFERROR(__xludf.DUMMYFUNCTION("""COMPUTED_VALUE"""),"BEAT STOUT BL")</f>
        <v>BEAT STOUT BL</v>
      </c>
      <c r="C187" s="97" t="str">
        <f>IFERROR(__xludf.DUMMYFUNCTION("""COMPUTED_VALUE"""),"COLGANTE BEAT STOUT LEUK BLANCO")</f>
        <v>COLGANTE BEAT STOUT LEUK BLANCO</v>
      </c>
      <c r="D187" s="97">
        <f>IFERROR(__xludf.DUMMYFUNCTION("""COMPUTED_VALUE"""),7.798328755209E12)</f>
        <v>7798328755209</v>
      </c>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t="str">
        <f>IFERROR(__xludf.DUMMYFUNCTION("""COMPUTED_VALUE"""),"IP20")</f>
        <v>IP20</v>
      </c>
      <c r="AE187" s="97"/>
      <c r="AF187" s="97" t="str">
        <f>IFERROR(__xludf.DUMMYFUNCTION("""COMPUTED_VALUE"""),"Suspender")</f>
        <v>Suspender</v>
      </c>
      <c r="AG187" s="97"/>
      <c r="AH187" s="97"/>
      <c r="AI187" s="97"/>
      <c r="AJ187" s="97"/>
      <c r="AK187" s="97"/>
      <c r="AL187" s="97"/>
      <c r="AM187" s="97"/>
      <c r="AN187" s="97"/>
      <c r="AO187" s="97" t="str">
        <f>IFERROR(__xludf.DUMMYFUNCTION("""COMPUTED_VALUE"""),"1 Año")</f>
        <v>1 Año</v>
      </c>
      <c r="AP187" s="97"/>
      <c r="AQ187" s="97"/>
      <c r="AR187" s="97"/>
      <c r="AS187" s="97"/>
      <c r="AT187" s="97"/>
      <c r="AU187" s="97"/>
      <c r="AV187" s="97" t="str">
        <f>IFERROR(__xludf.DUMMYFUNCTION("""COMPUTED_VALUE"""),"Colgante")</f>
        <v>Colgante</v>
      </c>
      <c r="AW187" s="97" t="str">
        <f>IFERROR(__xludf.DUMMYFUNCTION("""COMPUTED_VALUE"""),"De Techo")</f>
        <v>De Techo</v>
      </c>
      <c r="AX187" s="97" t="str">
        <f>IFERROR(__xludf.DUMMYFUNCTION("""COMPUTED_VALUE"""),"Interior")</f>
        <v>Interior</v>
      </c>
      <c r="AY187" s="97"/>
      <c r="AZ187" s="97"/>
      <c r="BA187" s="97"/>
      <c r="BB187" s="97"/>
      <c r="BC187" s="97"/>
      <c r="BD187" s="97" t="str">
        <f>IFERROR(__xludf.DUMMYFUNCTION("""COMPUTED_VALUE"""),"BEAT STOUT")</f>
        <v>BEAT STOUT</v>
      </c>
      <c r="BE187" s="97" t="str">
        <f>IFERROR(__xludf.DUMMYFUNCTION("""COMPUTED_VALUE"""),"Sin Ficha")</f>
        <v>Sin Ficha</v>
      </c>
      <c r="BF187" s="97"/>
      <c r="BG187" s="97" t="str">
        <f>IFERROR(__xludf.DUMMYFUNCTION("""COMPUTED_VALUE"""),"Discontinuo")</f>
        <v>Discontinuo</v>
      </c>
    </row>
    <row r="188">
      <c r="A188" s="97">
        <f>IFERROR(__xludf.DUMMYFUNCTION("""COMPUTED_VALUE"""),3766.0)</f>
        <v>3766</v>
      </c>
      <c r="B188" s="97" t="str">
        <f>IFERROR(__xludf.DUMMYFUNCTION("""COMPUTED_VALUE"""),"BEAT STOUT NG")</f>
        <v>BEAT STOUT NG</v>
      </c>
      <c r="C188" s="97" t="str">
        <f>IFERROR(__xludf.DUMMYFUNCTION("""COMPUTED_VALUE"""),"COLGANTE BEAT STOUT LEUK NEGRO")</f>
        <v>COLGANTE BEAT STOUT LEUK NEGRO</v>
      </c>
      <c r="D188" s="97">
        <f>IFERROR(__xludf.DUMMYFUNCTION("""COMPUTED_VALUE"""),7.798328755193E12)</f>
        <v>7798328755193</v>
      </c>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t="str">
        <f>IFERROR(__xludf.DUMMYFUNCTION("""COMPUTED_VALUE"""),"IP20")</f>
        <v>IP20</v>
      </c>
      <c r="AE188" s="97"/>
      <c r="AF188" s="97" t="str">
        <f>IFERROR(__xludf.DUMMYFUNCTION("""COMPUTED_VALUE"""),"Suspender")</f>
        <v>Suspender</v>
      </c>
      <c r="AG188" s="97"/>
      <c r="AH188" s="97"/>
      <c r="AI188" s="97"/>
      <c r="AJ188" s="97"/>
      <c r="AK188" s="97"/>
      <c r="AL188" s="97"/>
      <c r="AM188" s="97"/>
      <c r="AN188" s="97"/>
      <c r="AO188" s="97" t="str">
        <f>IFERROR(__xludf.DUMMYFUNCTION("""COMPUTED_VALUE"""),"1 Año")</f>
        <v>1 Año</v>
      </c>
      <c r="AP188" s="97"/>
      <c r="AQ188" s="97"/>
      <c r="AR188" s="97"/>
      <c r="AS188" s="97"/>
      <c r="AT188" s="97"/>
      <c r="AU188" s="97"/>
      <c r="AV188" s="97" t="str">
        <f>IFERROR(__xludf.DUMMYFUNCTION("""COMPUTED_VALUE"""),"Colgante")</f>
        <v>Colgante</v>
      </c>
      <c r="AW188" s="97" t="str">
        <f>IFERROR(__xludf.DUMMYFUNCTION("""COMPUTED_VALUE"""),"De Techo")</f>
        <v>De Techo</v>
      </c>
      <c r="AX188" s="97" t="str">
        <f>IFERROR(__xludf.DUMMYFUNCTION("""COMPUTED_VALUE"""),"Interior")</f>
        <v>Interior</v>
      </c>
      <c r="AY188" s="97"/>
      <c r="AZ188" s="97"/>
      <c r="BA188" s="97"/>
      <c r="BB188" s="97"/>
      <c r="BC188" s="97"/>
      <c r="BD188" s="97" t="str">
        <f>IFERROR(__xludf.DUMMYFUNCTION("""COMPUTED_VALUE"""),"BEAT STOUT")</f>
        <v>BEAT STOUT</v>
      </c>
      <c r="BE188" s="97" t="str">
        <f>IFERROR(__xludf.DUMMYFUNCTION("""COMPUTED_VALUE"""),"Sin Ficha")</f>
        <v>Sin Ficha</v>
      </c>
      <c r="BF188" s="97"/>
      <c r="BG188" s="97" t="str">
        <f>IFERROR(__xludf.DUMMYFUNCTION("""COMPUTED_VALUE"""),"Discontinuo")</f>
        <v>Discontinuo</v>
      </c>
    </row>
    <row r="189">
      <c r="A189" s="97">
        <f>IFERROR(__xludf.DUMMYFUNCTION("""COMPUTED_VALUE"""),3767.0)</f>
        <v>3767</v>
      </c>
      <c r="B189" s="97" t="str">
        <f>IFERROR(__xludf.DUMMYFUNCTION("""COMPUTED_VALUE"""),"PRASINO")</f>
        <v>PRASINO</v>
      </c>
      <c r="C189" s="97" t="str">
        <f>IFERROR(__xludf.DUMMYFUNCTION("""COMPUTED_VALUE"""),"COLGANTE PRASINO NEGRO LEUK")</f>
        <v>COLGANTE PRASINO NEGRO LEUK</v>
      </c>
      <c r="D189" s="97">
        <f>IFERROR(__xludf.DUMMYFUNCTION("""COMPUTED_VALUE"""),7.798328755216E12)</f>
        <v>7798328755216</v>
      </c>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t="str">
        <f>IFERROR(__xludf.DUMMYFUNCTION("""COMPUTED_VALUE"""),"IP20")</f>
        <v>IP20</v>
      </c>
      <c r="AE189" s="97"/>
      <c r="AF189" s="97" t="str">
        <f>IFERROR(__xludf.DUMMYFUNCTION("""COMPUTED_VALUE"""),"Suspender")</f>
        <v>Suspender</v>
      </c>
      <c r="AG189" s="97"/>
      <c r="AH189" s="97"/>
      <c r="AI189" s="97"/>
      <c r="AJ189" s="97"/>
      <c r="AK189" s="97"/>
      <c r="AL189" s="97"/>
      <c r="AM189" s="97"/>
      <c r="AN189" s="97"/>
      <c r="AO189" s="97" t="str">
        <f>IFERROR(__xludf.DUMMYFUNCTION("""COMPUTED_VALUE"""),"1 Año")</f>
        <v>1 Año</v>
      </c>
      <c r="AP189" s="97"/>
      <c r="AQ189" s="97"/>
      <c r="AR189" s="97"/>
      <c r="AS189" s="97"/>
      <c r="AT189" s="97"/>
      <c r="AU189" s="97"/>
      <c r="AV189" s="97" t="str">
        <f>IFERROR(__xludf.DUMMYFUNCTION("""COMPUTED_VALUE"""),"Colgante")</f>
        <v>Colgante</v>
      </c>
      <c r="AW189" s="97" t="str">
        <f>IFERROR(__xludf.DUMMYFUNCTION("""COMPUTED_VALUE"""),"De Techo")</f>
        <v>De Techo</v>
      </c>
      <c r="AX189" s="97" t="str">
        <f>IFERROR(__xludf.DUMMYFUNCTION("""COMPUTED_VALUE"""),"Interior")</f>
        <v>Interior</v>
      </c>
      <c r="AY189" s="97"/>
      <c r="AZ189" s="97"/>
      <c r="BA189" s="97"/>
      <c r="BB189" s="97"/>
      <c r="BC189" s="97"/>
      <c r="BD189" s="97" t="str">
        <f>IFERROR(__xludf.DUMMYFUNCTION("""COMPUTED_VALUE"""),"PRASINO")</f>
        <v>PRASINO</v>
      </c>
      <c r="BE189" s="97" t="str">
        <f>IFERROR(__xludf.DUMMYFUNCTION("""COMPUTED_VALUE"""),"Sin Ficha")</f>
        <v>Sin Ficha</v>
      </c>
      <c r="BF189" s="97"/>
      <c r="BG189" s="97" t="str">
        <f>IFERROR(__xludf.DUMMYFUNCTION("""COMPUTED_VALUE"""),"Discontinuo")</f>
        <v>Discontinuo</v>
      </c>
    </row>
    <row r="190">
      <c r="A190" s="97">
        <f>IFERROR(__xludf.DUMMYFUNCTION("""COMPUTED_VALUE"""),3768.0)</f>
        <v>3768</v>
      </c>
      <c r="B190" s="97" t="str">
        <f>IFERROR(__xludf.DUMMYFUNCTION("""COMPUTED_VALUE"""),"OTHONI")</f>
        <v>OTHONI</v>
      </c>
      <c r="C190" s="97" t="str">
        <f>IFERROR(__xludf.DUMMYFUNCTION("""COMPUTED_VALUE"""),"COLGANTE OTHONI LEUK")</f>
        <v>COLGANTE OTHONI LEUK</v>
      </c>
      <c r="D190" s="97">
        <f>IFERROR(__xludf.DUMMYFUNCTION("""COMPUTED_VALUE"""),7.798328755377E12)</f>
        <v>7798328755377</v>
      </c>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t="str">
        <f>IFERROR(__xludf.DUMMYFUNCTION("""COMPUTED_VALUE"""),"IP20")</f>
        <v>IP20</v>
      </c>
      <c r="AE190" s="97"/>
      <c r="AF190" s="97" t="str">
        <f>IFERROR(__xludf.DUMMYFUNCTION("""COMPUTED_VALUE"""),"Suspender")</f>
        <v>Suspender</v>
      </c>
      <c r="AG190" s="97"/>
      <c r="AH190" s="97"/>
      <c r="AI190" s="97"/>
      <c r="AJ190" s="97"/>
      <c r="AK190" s="97"/>
      <c r="AL190" s="97"/>
      <c r="AM190" s="97"/>
      <c r="AN190" s="97"/>
      <c r="AO190" s="97" t="str">
        <f>IFERROR(__xludf.DUMMYFUNCTION("""COMPUTED_VALUE"""),"1 Año")</f>
        <v>1 Año</v>
      </c>
      <c r="AP190" s="97"/>
      <c r="AQ190" s="97"/>
      <c r="AR190" s="97"/>
      <c r="AS190" s="97"/>
      <c r="AT190" s="97"/>
      <c r="AU190" s="97"/>
      <c r="AV190" s="97" t="str">
        <f>IFERROR(__xludf.DUMMYFUNCTION("""COMPUTED_VALUE"""),"Colgante")</f>
        <v>Colgante</v>
      </c>
      <c r="AW190" s="97" t="str">
        <f>IFERROR(__xludf.DUMMYFUNCTION("""COMPUTED_VALUE"""),"De Techo")</f>
        <v>De Techo</v>
      </c>
      <c r="AX190" s="97" t="str">
        <f>IFERROR(__xludf.DUMMYFUNCTION("""COMPUTED_VALUE"""),"Interior")</f>
        <v>Interior</v>
      </c>
      <c r="AY190" s="97"/>
      <c r="AZ190" s="97"/>
      <c r="BA190" s="97"/>
      <c r="BB190" s="97"/>
      <c r="BC190" s="97"/>
      <c r="BD190" s="97" t="str">
        <f>IFERROR(__xludf.DUMMYFUNCTION("""COMPUTED_VALUE"""),"OTHONI")</f>
        <v>OTHONI</v>
      </c>
      <c r="BE190" s="97" t="str">
        <f>IFERROR(__xludf.DUMMYFUNCTION("""COMPUTED_VALUE"""),"Sin Ficha")</f>
        <v>Sin Ficha</v>
      </c>
      <c r="BF190" s="97"/>
      <c r="BG190" s="97" t="str">
        <f>IFERROR(__xludf.DUMMYFUNCTION("""COMPUTED_VALUE"""),"Discontinuo")</f>
        <v>Discontinuo</v>
      </c>
    </row>
    <row r="191">
      <c r="A191" s="97">
        <f>IFERROR(__xludf.DUMMYFUNCTION("""COMPUTED_VALUE"""),3769.0)</f>
        <v>3769</v>
      </c>
      <c r="B191" s="97" t="str">
        <f>IFERROR(__xludf.DUMMYFUNCTION("""COMPUTED_VALUE"""),"LYRIKOS")</f>
        <v>LYRIKOS</v>
      </c>
      <c r="C191" s="97" t="str">
        <f>IFERROR(__xludf.DUMMYFUNCTION("""COMPUTED_VALUE"""),"COLGANTE LYRIKOS LEUK")</f>
        <v>COLGANTE LYRIKOS LEUK</v>
      </c>
      <c r="D191" s="97">
        <f>IFERROR(__xludf.DUMMYFUNCTION("""COMPUTED_VALUE"""),7.798328755018E12)</f>
        <v>7798328755018</v>
      </c>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t="str">
        <f>IFERROR(__xludf.DUMMYFUNCTION("""COMPUTED_VALUE"""),"IP20")</f>
        <v>IP20</v>
      </c>
      <c r="AE191" s="97"/>
      <c r="AF191" s="97" t="str">
        <f>IFERROR(__xludf.DUMMYFUNCTION("""COMPUTED_VALUE"""),"Suspender")</f>
        <v>Suspender</v>
      </c>
      <c r="AG191" s="97"/>
      <c r="AH191" s="97"/>
      <c r="AI191" s="97"/>
      <c r="AJ191" s="97"/>
      <c r="AK191" s="97"/>
      <c r="AL191" s="97"/>
      <c r="AM191" s="97"/>
      <c r="AN191" s="97"/>
      <c r="AO191" s="97" t="str">
        <f>IFERROR(__xludf.DUMMYFUNCTION("""COMPUTED_VALUE"""),"1 Año")</f>
        <v>1 Año</v>
      </c>
      <c r="AP191" s="97"/>
      <c r="AQ191" s="97"/>
      <c r="AR191" s="97"/>
      <c r="AS191" s="97"/>
      <c r="AT191" s="97"/>
      <c r="AU191" s="97"/>
      <c r="AV191" s="97" t="str">
        <f>IFERROR(__xludf.DUMMYFUNCTION("""COMPUTED_VALUE"""),"Colgante")</f>
        <v>Colgante</v>
      </c>
      <c r="AW191" s="97" t="str">
        <f>IFERROR(__xludf.DUMMYFUNCTION("""COMPUTED_VALUE"""),"De Techo")</f>
        <v>De Techo</v>
      </c>
      <c r="AX191" s="97" t="str">
        <f>IFERROR(__xludf.DUMMYFUNCTION("""COMPUTED_VALUE"""),"Interior")</f>
        <v>Interior</v>
      </c>
      <c r="AY191" s="97"/>
      <c r="AZ191" s="97"/>
      <c r="BA191" s="97"/>
      <c r="BB191" s="97"/>
      <c r="BC191" s="97"/>
      <c r="BD191" s="97" t="str">
        <f>IFERROR(__xludf.DUMMYFUNCTION("""COMPUTED_VALUE"""),"LYRIKOS")</f>
        <v>LYRIKOS</v>
      </c>
      <c r="BE191" s="97" t="str">
        <f>IFERROR(__xludf.DUMMYFUNCTION("""COMPUTED_VALUE"""),"Sin Ficha")</f>
        <v>Sin Ficha</v>
      </c>
      <c r="BF191" s="97"/>
      <c r="BG191" s="97" t="str">
        <f>IFERROR(__xludf.DUMMYFUNCTION("""COMPUTED_VALUE"""),"Discontinuo")</f>
        <v>Discontinuo</v>
      </c>
    </row>
    <row r="192">
      <c r="A192" s="97">
        <f>IFERROR(__xludf.DUMMYFUNCTION("""COMPUTED_VALUE"""),3770.0)</f>
        <v>3770</v>
      </c>
      <c r="B192" s="97" t="str">
        <f>IFERROR(__xludf.DUMMYFUNCTION("""COMPUTED_VALUE"""),"DYNAMI")</f>
        <v>DYNAMI</v>
      </c>
      <c r="C192" s="97" t="str">
        <f>IFERROR(__xludf.DUMMYFUNCTION("""COMPUTED_VALUE"""),"COLGANTE DYNAMI LEUK")</f>
        <v>COLGANTE DYNAMI LEUK</v>
      </c>
      <c r="D192" s="97">
        <f>IFERROR(__xludf.DUMMYFUNCTION("""COMPUTED_VALUE"""),7.798328755124E12)</f>
        <v>7798328755124</v>
      </c>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t="str">
        <f>IFERROR(__xludf.DUMMYFUNCTION("""COMPUTED_VALUE"""),"IP20")</f>
        <v>IP20</v>
      </c>
      <c r="AE192" s="97"/>
      <c r="AF192" s="97" t="str">
        <f>IFERROR(__xludf.DUMMYFUNCTION("""COMPUTED_VALUE"""),"Suspender")</f>
        <v>Suspender</v>
      </c>
      <c r="AG192" s="97"/>
      <c r="AH192" s="97" t="str">
        <f>IFERROR(__xludf.DUMMYFUNCTION("""COMPUTED_VALUE"""),"N/A")</f>
        <v>N/A</v>
      </c>
      <c r="AI192" s="97" t="str">
        <f>IFERROR(__xludf.DUMMYFUNCTION("""COMPUTED_VALUE"""),"N/A")</f>
        <v>N/A</v>
      </c>
      <c r="AJ192" s="97"/>
      <c r="AK192" s="97"/>
      <c r="AL192" s="97"/>
      <c r="AM192" s="97"/>
      <c r="AN192" s="97"/>
      <c r="AO192" s="97" t="str">
        <f>IFERROR(__xludf.DUMMYFUNCTION("""COMPUTED_VALUE"""),"1 Año")</f>
        <v>1 Año</v>
      </c>
      <c r="AP192" s="97"/>
      <c r="AQ192" s="97"/>
      <c r="AR192" s="97"/>
      <c r="AS192" s="97"/>
      <c r="AT192" s="97"/>
      <c r="AU192" s="97"/>
      <c r="AV192" s="97" t="str">
        <f>IFERROR(__xludf.DUMMYFUNCTION("""COMPUTED_VALUE"""),"Colgante")</f>
        <v>Colgante</v>
      </c>
      <c r="AW192" s="97" t="str">
        <f>IFERROR(__xludf.DUMMYFUNCTION("""COMPUTED_VALUE"""),"De Techo")</f>
        <v>De Techo</v>
      </c>
      <c r="AX192" s="97" t="str">
        <f>IFERROR(__xludf.DUMMYFUNCTION("""COMPUTED_VALUE"""),"Interior")</f>
        <v>Interior</v>
      </c>
      <c r="AY192" s="97"/>
      <c r="AZ192" s="97"/>
      <c r="BA192" s="97">
        <f>IFERROR(__xludf.DUMMYFUNCTION("""COMPUTED_VALUE"""),1.0)</f>
        <v>1</v>
      </c>
      <c r="BB192" s="97"/>
      <c r="BC192" s="97"/>
      <c r="BD192" s="97" t="str">
        <f>IFERROR(__xludf.DUMMYFUNCTION("""COMPUTED_VALUE"""),"DYNAMI")</f>
        <v>DYNAMI</v>
      </c>
      <c r="BE192" s="97" t="str">
        <f>IFERROR(__xludf.DUMMYFUNCTION("""COMPUTED_VALUE"""),"Sin Ficha")</f>
        <v>Sin Ficha</v>
      </c>
      <c r="BF192" s="97"/>
      <c r="BG192" s="97" t="str">
        <f>IFERROR(__xludf.DUMMYFUNCTION("""COMPUTED_VALUE"""),"Discontinuo")</f>
        <v>Discontinuo</v>
      </c>
    </row>
    <row r="193">
      <c r="A193" s="97">
        <f>IFERROR(__xludf.DUMMYFUNCTION("""COMPUTED_VALUE"""),3771.0)</f>
        <v>3771</v>
      </c>
      <c r="B193" s="97" t="str">
        <f>IFERROR(__xludf.DUMMYFUNCTION("""COMPUTED_VALUE"""),"SIDIROU")</f>
        <v>SIDIROU</v>
      </c>
      <c r="C193" s="97" t="str">
        <f>IFERROR(__xludf.DUMMYFUNCTION("""COMPUTED_VALUE"""),"COLGANTE SIDIROU LEUK")</f>
        <v>COLGANTE SIDIROU LEUK</v>
      </c>
      <c r="D193" s="97">
        <f>IFERROR(__xludf.DUMMYFUNCTION("""COMPUTED_VALUE"""),7.798328755148E12)</f>
        <v>7798328755148</v>
      </c>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t="str">
        <f>IFERROR(__xludf.DUMMYFUNCTION("""COMPUTED_VALUE"""),"IP20")</f>
        <v>IP20</v>
      </c>
      <c r="AE193" s="97"/>
      <c r="AF193" s="97" t="str">
        <f>IFERROR(__xludf.DUMMYFUNCTION("""COMPUTED_VALUE"""),"Suspender")</f>
        <v>Suspender</v>
      </c>
      <c r="AG193" s="97"/>
      <c r="AH193" s="97"/>
      <c r="AI193" s="97"/>
      <c r="AJ193" s="97"/>
      <c r="AK193" s="97"/>
      <c r="AL193" s="97"/>
      <c r="AM193" s="97"/>
      <c r="AN193" s="97"/>
      <c r="AO193" s="97" t="str">
        <f>IFERROR(__xludf.DUMMYFUNCTION("""COMPUTED_VALUE"""),"1 Año")</f>
        <v>1 Año</v>
      </c>
      <c r="AP193" s="97"/>
      <c r="AQ193" s="97"/>
      <c r="AR193" s="97"/>
      <c r="AS193" s="97"/>
      <c r="AT193" s="97"/>
      <c r="AU193" s="97"/>
      <c r="AV193" s="97" t="str">
        <f>IFERROR(__xludf.DUMMYFUNCTION("""COMPUTED_VALUE"""),"Colgante")</f>
        <v>Colgante</v>
      </c>
      <c r="AW193" s="97" t="str">
        <f>IFERROR(__xludf.DUMMYFUNCTION("""COMPUTED_VALUE"""),"De Techo")</f>
        <v>De Techo</v>
      </c>
      <c r="AX193" s="97" t="str">
        <f>IFERROR(__xludf.DUMMYFUNCTION("""COMPUTED_VALUE"""),"Interior")</f>
        <v>Interior</v>
      </c>
      <c r="AY193" s="97"/>
      <c r="AZ193" s="97"/>
      <c r="BA193" s="97"/>
      <c r="BB193" s="97"/>
      <c r="BC193" s="97"/>
      <c r="BD193" s="97" t="str">
        <f>IFERROR(__xludf.DUMMYFUNCTION("""COMPUTED_VALUE"""),"SIDIROU")</f>
        <v>SIDIROU</v>
      </c>
      <c r="BE193" s="97" t="str">
        <f>IFERROR(__xludf.DUMMYFUNCTION("""COMPUTED_VALUE"""),"Sin Ficha")</f>
        <v>Sin Ficha</v>
      </c>
      <c r="BF193" s="97"/>
      <c r="BG193" s="97" t="str">
        <f>IFERROR(__xludf.DUMMYFUNCTION("""COMPUTED_VALUE"""),"Discontinuo")</f>
        <v>Discontinuo</v>
      </c>
    </row>
    <row r="194">
      <c r="A194" s="97">
        <f>IFERROR(__xludf.DUMMYFUNCTION("""COMPUTED_VALUE"""),3774.0)</f>
        <v>3774</v>
      </c>
      <c r="B194" s="97" t="str">
        <f>IFERROR(__xludf.DUMMYFUNCTION("""COMPUTED_VALUE"""),"ROLOI I")</f>
        <v>ROLOI I</v>
      </c>
      <c r="C194" s="97" t="str">
        <f>IFERROR(__xludf.DUMMYFUNCTION("""COMPUTED_VALUE"""),"APLIQUE ROLOI I LEUK")</f>
        <v>APLIQUE ROLOI I LEUK</v>
      </c>
      <c r="D194" s="97">
        <f>IFERROR(__xludf.DUMMYFUNCTION("""COMPUTED_VALUE"""),7.798328756008E12)</f>
        <v>7798328756008</v>
      </c>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t="str">
        <f>IFERROR(__xludf.DUMMYFUNCTION("""COMPUTED_VALUE"""),"IP20")</f>
        <v>IP20</v>
      </c>
      <c r="AE194" s="97"/>
      <c r="AF194" s="97" t="str">
        <f>IFERROR(__xludf.DUMMYFUNCTION("""COMPUTED_VALUE"""),"Aplicar")</f>
        <v>Aplicar</v>
      </c>
      <c r="AG194" s="97"/>
      <c r="AH194" s="97"/>
      <c r="AI194" s="97"/>
      <c r="AJ194" s="97"/>
      <c r="AK194" s="97"/>
      <c r="AL194" s="97"/>
      <c r="AM194" s="97"/>
      <c r="AN194" s="97"/>
      <c r="AO194" s="97" t="str">
        <f>IFERROR(__xludf.DUMMYFUNCTION("""COMPUTED_VALUE"""),"1 Año")</f>
        <v>1 Año</v>
      </c>
      <c r="AP194" s="97"/>
      <c r="AQ194" s="97"/>
      <c r="AR194" s="97"/>
      <c r="AS194" s="97"/>
      <c r="AT194" s="97"/>
      <c r="AU194" s="97"/>
      <c r="AV194" s="97" t="str">
        <f>IFERROR(__xludf.DUMMYFUNCTION("""COMPUTED_VALUE"""),"Aplique")</f>
        <v>Aplique</v>
      </c>
      <c r="AW194" s="97" t="str">
        <f>IFERROR(__xludf.DUMMYFUNCTION("""COMPUTED_VALUE"""),"De Techo")</f>
        <v>De Techo</v>
      </c>
      <c r="AX194" s="97" t="str">
        <f>IFERROR(__xludf.DUMMYFUNCTION("""COMPUTED_VALUE"""),"Interior")</f>
        <v>Interior</v>
      </c>
      <c r="AY194" s="97"/>
      <c r="AZ194" s="97"/>
      <c r="BA194" s="97"/>
      <c r="BB194" s="97"/>
      <c r="BC194" s="97"/>
      <c r="BD194" s="97" t="str">
        <f>IFERROR(__xludf.DUMMYFUNCTION("""COMPUTED_VALUE"""),"ROLOI")</f>
        <v>ROLOI</v>
      </c>
      <c r="BE194" s="97" t="str">
        <f>IFERROR(__xludf.DUMMYFUNCTION("""COMPUTED_VALUE"""),"Sin Ficha")</f>
        <v>Sin Ficha</v>
      </c>
      <c r="BF194" s="97"/>
      <c r="BG194" s="97" t="str">
        <f>IFERROR(__xludf.DUMMYFUNCTION("""COMPUTED_VALUE"""),"Discontinuo")</f>
        <v>Discontinuo</v>
      </c>
    </row>
    <row r="195">
      <c r="A195" s="97">
        <f>IFERROR(__xludf.DUMMYFUNCTION("""COMPUTED_VALUE"""),3775.0)</f>
        <v>3775</v>
      </c>
      <c r="B195" s="97" t="str">
        <f>IFERROR(__xludf.DUMMYFUNCTION("""COMPUTED_VALUE"""),"ROLOI II")</f>
        <v>ROLOI II</v>
      </c>
      <c r="C195" s="97" t="str">
        <f>IFERROR(__xludf.DUMMYFUNCTION("""COMPUTED_VALUE"""),"APLIQUE ROLOI II LEUK")</f>
        <v>APLIQUE ROLOI II LEUK</v>
      </c>
      <c r="D195" s="97">
        <f>IFERROR(__xludf.DUMMYFUNCTION("""COMPUTED_VALUE"""),7.798328756015E12)</f>
        <v>7798328756015</v>
      </c>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t="str">
        <f>IFERROR(__xludf.DUMMYFUNCTION("""COMPUTED_VALUE"""),"IP20")</f>
        <v>IP20</v>
      </c>
      <c r="AE195" s="97"/>
      <c r="AF195" s="97" t="str">
        <f>IFERROR(__xludf.DUMMYFUNCTION("""COMPUTED_VALUE"""),"Aplicar")</f>
        <v>Aplicar</v>
      </c>
      <c r="AG195" s="97"/>
      <c r="AH195" s="97"/>
      <c r="AI195" s="97"/>
      <c r="AJ195" s="97"/>
      <c r="AK195" s="97"/>
      <c r="AL195" s="97"/>
      <c r="AM195" s="97"/>
      <c r="AN195" s="97"/>
      <c r="AO195" s="97" t="str">
        <f>IFERROR(__xludf.DUMMYFUNCTION("""COMPUTED_VALUE"""),"1 Año")</f>
        <v>1 Año</v>
      </c>
      <c r="AP195" s="97"/>
      <c r="AQ195" s="97"/>
      <c r="AR195" s="97"/>
      <c r="AS195" s="97"/>
      <c r="AT195" s="97"/>
      <c r="AU195" s="97"/>
      <c r="AV195" s="97" t="str">
        <f>IFERROR(__xludf.DUMMYFUNCTION("""COMPUTED_VALUE"""),"Aplique")</f>
        <v>Aplique</v>
      </c>
      <c r="AW195" s="97" t="str">
        <f>IFERROR(__xludf.DUMMYFUNCTION("""COMPUTED_VALUE"""),"De Techo")</f>
        <v>De Techo</v>
      </c>
      <c r="AX195" s="97" t="str">
        <f>IFERROR(__xludf.DUMMYFUNCTION("""COMPUTED_VALUE"""),"Interior")</f>
        <v>Interior</v>
      </c>
      <c r="AY195" s="97"/>
      <c r="AZ195" s="97"/>
      <c r="BA195" s="97"/>
      <c r="BB195" s="97"/>
      <c r="BC195" s="97"/>
      <c r="BD195" s="97" t="str">
        <f>IFERROR(__xludf.DUMMYFUNCTION("""COMPUTED_VALUE"""),"ROLOI")</f>
        <v>ROLOI</v>
      </c>
      <c r="BE195" s="97" t="str">
        <f>IFERROR(__xludf.DUMMYFUNCTION("""COMPUTED_VALUE"""),"Sin Ficha")</f>
        <v>Sin Ficha</v>
      </c>
      <c r="BF195" s="97"/>
      <c r="BG195" s="97" t="str">
        <f>IFERROR(__xludf.DUMMYFUNCTION("""COMPUTED_VALUE"""),"Discontinuo")</f>
        <v>Discontinuo</v>
      </c>
    </row>
    <row r="196">
      <c r="A196" s="97">
        <f>IFERROR(__xludf.DUMMYFUNCTION("""COMPUTED_VALUE"""),3776.0)</f>
        <v>3776</v>
      </c>
      <c r="B196" s="97" t="str">
        <f>IFERROR(__xludf.DUMMYFUNCTION("""COMPUTED_VALUE"""),"ROLOI III")</f>
        <v>ROLOI III</v>
      </c>
      <c r="C196" s="97" t="str">
        <f>IFERROR(__xludf.DUMMYFUNCTION("""COMPUTED_VALUE"""),"APLIQUE ROLOI III LEUK")</f>
        <v>APLIQUE ROLOI III LEUK</v>
      </c>
      <c r="D196" s="97">
        <f>IFERROR(__xludf.DUMMYFUNCTION("""COMPUTED_VALUE"""),7.798328756022E12)</f>
        <v>7798328756022</v>
      </c>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t="str">
        <f>IFERROR(__xludf.DUMMYFUNCTION("""COMPUTED_VALUE"""),"IP20")</f>
        <v>IP20</v>
      </c>
      <c r="AE196" s="97"/>
      <c r="AF196" s="97" t="str">
        <f>IFERROR(__xludf.DUMMYFUNCTION("""COMPUTED_VALUE"""),"Aplicar")</f>
        <v>Aplicar</v>
      </c>
      <c r="AG196" s="97"/>
      <c r="AH196" s="97"/>
      <c r="AI196" s="97"/>
      <c r="AJ196" s="97"/>
      <c r="AK196" s="97"/>
      <c r="AL196" s="97"/>
      <c r="AM196" s="97"/>
      <c r="AN196" s="97"/>
      <c r="AO196" s="97" t="str">
        <f>IFERROR(__xludf.DUMMYFUNCTION("""COMPUTED_VALUE"""),"1 Año")</f>
        <v>1 Año</v>
      </c>
      <c r="AP196" s="97"/>
      <c r="AQ196" s="97"/>
      <c r="AR196" s="97"/>
      <c r="AS196" s="97"/>
      <c r="AT196" s="97"/>
      <c r="AU196" s="97"/>
      <c r="AV196" s="97" t="str">
        <f>IFERROR(__xludf.DUMMYFUNCTION("""COMPUTED_VALUE"""),"Aplique")</f>
        <v>Aplique</v>
      </c>
      <c r="AW196" s="97" t="str">
        <f>IFERROR(__xludf.DUMMYFUNCTION("""COMPUTED_VALUE"""),"De Techo")</f>
        <v>De Techo</v>
      </c>
      <c r="AX196" s="97" t="str">
        <f>IFERROR(__xludf.DUMMYFUNCTION("""COMPUTED_VALUE"""),"Interior")</f>
        <v>Interior</v>
      </c>
      <c r="AY196" s="97"/>
      <c r="AZ196" s="97"/>
      <c r="BA196" s="97"/>
      <c r="BB196" s="97"/>
      <c r="BC196" s="97"/>
      <c r="BD196" s="97" t="str">
        <f>IFERROR(__xludf.DUMMYFUNCTION("""COMPUTED_VALUE"""),"ROLOI")</f>
        <v>ROLOI</v>
      </c>
      <c r="BE196" s="97" t="str">
        <f>IFERROR(__xludf.DUMMYFUNCTION("""COMPUTED_VALUE"""),"Sin Ficha")</f>
        <v>Sin Ficha</v>
      </c>
      <c r="BF196" s="97"/>
      <c r="BG196" s="97" t="str">
        <f>IFERROR(__xludf.DUMMYFUNCTION("""COMPUTED_VALUE"""),"Discontinuo")</f>
        <v>Discontinuo</v>
      </c>
    </row>
    <row r="197">
      <c r="A197" s="97">
        <f>IFERROR(__xludf.DUMMYFUNCTION("""COMPUTED_VALUE"""),3777.0)</f>
        <v>3777</v>
      </c>
      <c r="B197" s="97" t="str">
        <f>IFERROR(__xludf.DUMMYFUNCTION("""COMPUTED_VALUE"""),"ROLOI IV")</f>
        <v>ROLOI IV</v>
      </c>
      <c r="C197" s="97" t="str">
        <f>IFERROR(__xludf.DUMMYFUNCTION("""COMPUTED_VALUE"""),"APLIQUE ROLOI IV LEUK")</f>
        <v>APLIQUE ROLOI IV LEUK</v>
      </c>
      <c r="D197" s="97">
        <f>IFERROR(__xludf.DUMMYFUNCTION("""COMPUTED_VALUE"""),7.798328756039E12)</f>
        <v>7798328756039</v>
      </c>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t="str">
        <f>IFERROR(__xludf.DUMMYFUNCTION("""COMPUTED_VALUE"""),"IP20")</f>
        <v>IP20</v>
      </c>
      <c r="AE197" s="97"/>
      <c r="AF197" s="97" t="str">
        <f>IFERROR(__xludf.DUMMYFUNCTION("""COMPUTED_VALUE"""),"Aplicar")</f>
        <v>Aplicar</v>
      </c>
      <c r="AG197" s="97"/>
      <c r="AH197" s="97"/>
      <c r="AI197" s="97"/>
      <c r="AJ197" s="97"/>
      <c r="AK197" s="97"/>
      <c r="AL197" s="97"/>
      <c r="AM197" s="97"/>
      <c r="AN197" s="97"/>
      <c r="AO197" s="97" t="str">
        <f>IFERROR(__xludf.DUMMYFUNCTION("""COMPUTED_VALUE"""),"1 Año")</f>
        <v>1 Año</v>
      </c>
      <c r="AP197" s="97"/>
      <c r="AQ197" s="97"/>
      <c r="AR197" s="97"/>
      <c r="AS197" s="97"/>
      <c r="AT197" s="97"/>
      <c r="AU197" s="97"/>
      <c r="AV197" s="97" t="str">
        <f>IFERROR(__xludf.DUMMYFUNCTION("""COMPUTED_VALUE"""),"Aplique")</f>
        <v>Aplique</v>
      </c>
      <c r="AW197" s="97" t="str">
        <f>IFERROR(__xludf.DUMMYFUNCTION("""COMPUTED_VALUE"""),"De Techo")</f>
        <v>De Techo</v>
      </c>
      <c r="AX197" s="97" t="str">
        <f>IFERROR(__xludf.DUMMYFUNCTION("""COMPUTED_VALUE"""),"Interior")</f>
        <v>Interior</v>
      </c>
      <c r="AY197" s="97"/>
      <c r="AZ197" s="97"/>
      <c r="BA197" s="97"/>
      <c r="BB197" s="97"/>
      <c r="BC197" s="97"/>
      <c r="BD197" s="97" t="str">
        <f>IFERROR(__xludf.DUMMYFUNCTION("""COMPUTED_VALUE"""),"ROLOI")</f>
        <v>ROLOI</v>
      </c>
      <c r="BE197" s="97" t="str">
        <f>IFERROR(__xludf.DUMMYFUNCTION("""COMPUTED_VALUE"""),"Sin Ficha")</f>
        <v>Sin Ficha</v>
      </c>
      <c r="BF197" s="97"/>
      <c r="BG197" s="97" t="str">
        <f>IFERROR(__xludf.DUMMYFUNCTION("""COMPUTED_VALUE"""),"Discontinuo")</f>
        <v>Discontinuo</v>
      </c>
    </row>
    <row r="198">
      <c r="A198" s="97">
        <f>IFERROR(__xludf.DUMMYFUNCTION("""COMPUTED_VALUE"""),3778.0)</f>
        <v>3778</v>
      </c>
      <c r="B198" s="97" t="str">
        <f>IFERROR(__xludf.DUMMYFUNCTION("""COMPUTED_VALUE"""),"OPLA")</f>
        <v>OPLA</v>
      </c>
      <c r="C198" s="97" t="str">
        <f>IFERROR(__xludf.DUMMYFUNCTION("""COMPUTED_VALUE"""),"COLGANTE OPLA LEUK")</f>
        <v>COLGANTE OPLA LEUK</v>
      </c>
      <c r="D198" s="97">
        <f>IFERROR(__xludf.DUMMYFUNCTION("""COMPUTED_VALUE"""),7.798328755957E12)</f>
        <v>7798328755957</v>
      </c>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t="str">
        <f>IFERROR(__xludf.DUMMYFUNCTION("""COMPUTED_VALUE"""),"IP20")</f>
        <v>IP20</v>
      </c>
      <c r="AE198" s="97"/>
      <c r="AF198" s="97" t="str">
        <f>IFERROR(__xludf.DUMMYFUNCTION("""COMPUTED_VALUE"""),"Suspender")</f>
        <v>Suspender</v>
      </c>
      <c r="AG198" s="97"/>
      <c r="AH198" s="97"/>
      <c r="AI198" s="97"/>
      <c r="AJ198" s="97"/>
      <c r="AK198" s="97"/>
      <c r="AL198" s="97"/>
      <c r="AM198" s="97"/>
      <c r="AN198" s="97"/>
      <c r="AO198" s="97" t="str">
        <f>IFERROR(__xludf.DUMMYFUNCTION("""COMPUTED_VALUE"""),"1 Año")</f>
        <v>1 Año</v>
      </c>
      <c r="AP198" s="97"/>
      <c r="AQ198" s="97"/>
      <c r="AR198" s="97"/>
      <c r="AS198" s="97"/>
      <c r="AT198" s="97"/>
      <c r="AU198" s="97"/>
      <c r="AV198" s="97" t="str">
        <f>IFERROR(__xludf.DUMMYFUNCTION("""COMPUTED_VALUE"""),"Colgante")</f>
        <v>Colgante</v>
      </c>
      <c r="AW198" s="97" t="str">
        <f>IFERROR(__xludf.DUMMYFUNCTION("""COMPUTED_VALUE"""),"De Techo")</f>
        <v>De Techo</v>
      </c>
      <c r="AX198" s="97" t="str">
        <f>IFERROR(__xludf.DUMMYFUNCTION("""COMPUTED_VALUE"""),"Interior")</f>
        <v>Interior</v>
      </c>
      <c r="AY198" s="97"/>
      <c r="AZ198" s="97"/>
      <c r="BA198" s="97"/>
      <c r="BB198" s="97"/>
      <c r="BC198" s="97"/>
      <c r="BD198" s="97" t="str">
        <f>IFERROR(__xludf.DUMMYFUNCTION("""COMPUTED_VALUE"""),"OPLA")</f>
        <v>OPLA</v>
      </c>
      <c r="BE198" s="97" t="str">
        <f>IFERROR(__xludf.DUMMYFUNCTION("""COMPUTED_VALUE"""),"Sin Ficha")</f>
        <v>Sin Ficha</v>
      </c>
      <c r="BF198" s="97"/>
      <c r="BG198" s="97" t="str">
        <f>IFERROR(__xludf.DUMMYFUNCTION("""COMPUTED_VALUE"""),"Discontinuo")</f>
        <v>Discontinuo</v>
      </c>
    </row>
    <row r="199">
      <c r="A199" s="97">
        <f>IFERROR(__xludf.DUMMYFUNCTION("""COMPUTED_VALUE"""),3779.0)</f>
        <v>3779</v>
      </c>
      <c r="B199" s="97" t="str">
        <f>IFERROR(__xludf.DUMMYFUNCTION("""COMPUTED_VALUE"""),"SYNA")</f>
        <v>SYNA</v>
      </c>
      <c r="C199" s="97" t="str">
        <f>IFERROR(__xludf.DUMMYFUNCTION("""COMPUTED_VALUE"""),"COLGANTE SYNA NEGRO LEUK")</f>
        <v>COLGANTE SYNA NEGRO LEUK</v>
      </c>
      <c r="D199" s="97">
        <f>IFERROR(__xludf.DUMMYFUNCTION("""COMPUTED_VALUE"""),7.79832875523E12)</f>
        <v>7798328755230</v>
      </c>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t="str">
        <f>IFERROR(__xludf.DUMMYFUNCTION("""COMPUTED_VALUE"""),"IP20")</f>
        <v>IP20</v>
      </c>
      <c r="AE199" s="97"/>
      <c r="AF199" s="97" t="str">
        <f>IFERROR(__xludf.DUMMYFUNCTION("""COMPUTED_VALUE"""),"Suspender")</f>
        <v>Suspender</v>
      </c>
      <c r="AG199" s="97"/>
      <c r="AH199" s="97"/>
      <c r="AI199" s="97"/>
      <c r="AJ199" s="97"/>
      <c r="AK199" s="97"/>
      <c r="AL199" s="97"/>
      <c r="AM199" s="97"/>
      <c r="AN199" s="97"/>
      <c r="AO199" s="97" t="str">
        <f>IFERROR(__xludf.DUMMYFUNCTION("""COMPUTED_VALUE"""),"1 Año")</f>
        <v>1 Año</v>
      </c>
      <c r="AP199" s="97"/>
      <c r="AQ199" s="97"/>
      <c r="AR199" s="97"/>
      <c r="AS199" s="97"/>
      <c r="AT199" s="97"/>
      <c r="AU199" s="97"/>
      <c r="AV199" s="97" t="str">
        <f>IFERROR(__xludf.DUMMYFUNCTION("""COMPUTED_VALUE"""),"Colgante")</f>
        <v>Colgante</v>
      </c>
      <c r="AW199" s="97" t="str">
        <f>IFERROR(__xludf.DUMMYFUNCTION("""COMPUTED_VALUE"""),"De Techo")</f>
        <v>De Techo</v>
      </c>
      <c r="AX199" s="97" t="str">
        <f>IFERROR(__xludf.DUMMYFUNCTION("""COMPUTED_VALUE"""),"Interior")</f>
        <v>Interior</v>
      </c>
      <c r="AY199" s="97"/>
      <c r="AZ199" s="97"/>
      <c r="BA199" s="97"/>
      <c r="BB199" s="97"/>
      <c r="BC199" s="97"/>
      <c r="BD199" s="97" t="str">
        <f>IFERROR(__xludf.DUMMYFUNCTION("""COMPUTED_VALUE"""),"SYNA")</f>
        <v>SYNA</v>
      </c>
      <c r="BE199" s="97" t="str">
        <f>IFERROR(__xludf.DUMMYFUNCTION("""COMPUTED_VALUE"""),"Sin Ficha")</f>
        <v>Sin Ficha</v>
      </c>
      <c r="BF199" s="97"/>
      <c r="BG199" s="97" t="str">
        <f>IFERROR(__xludf.DUMMYFUNCTION("""COMPUTED_VALUE"""),"Discontinuo")</f>
        <v>Discontinuo</v>
      </c>
    </row>
    <row r="200">
      <c r="A200" s="97">
        <f>IFERROR(__xludf.DUMMYFUNCTION("""COMPUTED_VALUE"""),3780.0)</f>
        <v>3780</v>
      </c>
      <c r="B200" s="97" t="str">
        <f>IFERROR(__xludf.DUMMYFUNCTION("""COMPUTED_VALUE"""),"CHRYSO")</f>
        <v>CHRYSO</v>
      </c>
      <c r="C200" s="97" t="str">
        <f>IFERROR(__xludf.DUMMYFUNCTION("""COMPUTED_VALUE"""),"COLGANTE CHRYSO LEUK")</f>
        <v>COLGANTE CHRYSO LEUK</v>
      </c>
      <c r="D200" s="97">
        <f>IFERROR(__xludf.DUMMYFUNCTION("""COMPUTED_VALUE"""),7.798328755933E12)</f>
        <v>7798328755933</v>
      </c>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t="str">
        <f>IFERROR(__xludf.DUMMYFUNCTION("""COMPUTED_VALUE"""),"IP20")</f>
        <v>IP20</v>
      </c>
      <c r="AE200" s="97"/>
      <c r="AF200" s="97" t="str">
        <f>IFERROR(__xludf.DUMMYFUNCTION("""COMPUTED_VALUE"""),"Suspender")</f>
        <v>Suspender</v>
      </c>
      <c r="AG200" s="97"/>
      <c r="AH200" s="97"/>
      <c r="AI200" s="97"/>
      <c r="AJ200" s="97"/>
      <c r="AK200" s="97"/>
      <c r="AL200" s="97"/>
      <c r="AM200" s="97"/>
      <c r="AN200" s="97"/>
      <c r="AO200" s="97" t="str">
        <f>IFERROR(__xludf.DUMMYFUNCTION("""COMPUTED_VALUE"""),"1 Año")</f>
        <v>1 Año</v>
      </c>
      <c r="AP200" s="97"/>
      <c r="AQ200" s="97"/>
      <c r="AR200" s="97"/>
      <c r="AS200" s="97"/>
      <c r="AT200" s="97"/>
      <c r="AU200" s="97"/>
      <c r="AV200" s="97" t="str">
        <f>IFERROR(__xludf.DUMMYFUNCTION("""COMPUTED_VALUE"""),"Colgante")</f>
        <v>Colgante</v>
      </c>
      <c r="AW200" s="97" t="str">
        <f>IFERROR(__xludf.DUMMYFUNCTION("""COMPUTED_VALUE"""),"De Techo")</f>
        <v>De Techo</v>
      </c>
      <c r="AX200" s="97" t="str">
        <f>IFERROR(__xludf.DUMMYFUNCTION("""COMPUTED_VALUE"""),"Interior")</f>
        <v>Interior</v>
      </c>
      <c r="AY200" s="97"/>
      <c r="AZ200" s="97"/>
      <c r="BA200" s="97"/>
      <c r="BB200" s="97"/>
      <c r="BC200" s="97"/>
      <c r="BD200" s="97" t="str">
        <f>IFERROR(__xludf.DUMMYFUNCTION("""COMPUTED_VALUE"""),"CHRYSO")</f>
        <v>CHRYSO</v>
      </c>
      <c r="BE200" s="97" t="str">
        <f>IFERROR(__xludf.DUMMYFUNCTION("""COMPUTED_VALUE"""),"Sin Ficha")</f>
        <v>Sin Ficha</v>
      </c>
      <c r="BF200" s="97"/>
      <c r="BG200" s="97" t="str">
        <f>IFERROR(__xludf.DUMMYFUNCTION("""COMPUTED_VALUE"""),"Discontinuo")</f>
        <v>Discontinuo</v>
      </c>
    </row>
    <row r="201">
      <c r="A201" s="97">
        <f>IFERROR(__xludf.DUMMYFUNCTION("""COMPUTED_VALUE"""),3781.0)</f>
        <v>3781</v>
      </c>
      <c r="B201" s="97" t="str">
        <f>IFERROR(__xludf.DUMMYFUNCTION("""COMPUTED_VALUE"""),"VOLVOS")</f>
        <v>VOLVOS</v>
      </c>
      <c r="C201" s="97" t="str">
        <f>IFERROR(__xludf.DUMMYFUNCTION("""COMPUTED_VALUE"""),"COLGANTE VOLVOS LEUK")</f>
        <v>COLGANTE VOLVOS LEUK</v>
      </c>
      <c r="D201" s="97">
        <f>IFERROR(__xludf.DUMMYFUNCTION("""COMPUTED_VALUE"""),7.798328755902E12)</f>
        <v>7798328755902</v>
      </c>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t="str">
        <f>IFERROR(__xludf.DUMMYFUNCTION("""COMPUTED_VALUE"""),"IP20")</f>
        <v>IP20</v>
      </c>
      <c r="AE201" s="97"/>
      <c r="AF201" s="97" t="str">
        <f>IFERROR(__xludf.DUMMYFUNCTION("""COMPUTED_VALUE"""),"Suspender")</f>
        <v>Suspender</v>
      </c>
      <c r="AG201" s="97"/>
      <c r="AH201" s="97"/>
      <c r="AI201" s="97"/>
      <c r="AJ201" s="97"/>
      <c r="AK201" s="97"/>
      <c r="AL201" s="97"/>
      <c r="AM201" s="97"/>
      <c r="AN201" s="97"/>
      <c r="AO201" s="97" t="str">
        <f>IFERROR(__xludf.DUMMYFUNCTION("""COMPUTED_VALUE"""),"1 Año")</f>
        <v>1 Año</v>
      </c>
      <c r="AP201" s="97"/>
      <c r="AQ201" s="97"/>
      <c r="AR201" s="97"/>
      <c r="AS201" s="97"/>
      <c r="AT201" s="97"/>
      <c r="AU201" s="97"/>
      <c r="AV201" s="97" t="str">
        <f>IFERROR(__xludf.DUMMYFUNCTION("""COMPUTED_VALUE"""),"Colgante")</f>
        <v>Colgante</v>
      </c>
      <c r="AW201" s="97" t="str">
        <f>IFERROR(__xludf.DUMMYFUNCTION("""COMPUTED_VALUE"""),"De Techo")</f>
        <v>De Techo</v>
      </c>
      <c r="AX201" s="97" t="str">
        <f>IFERROR(__xludf.DUMMYFUNCTION("""COMPUTED_VALUE"""),"Interior")</f>
        <v>Interior</v>
      </c>
      <c r="AY201" s="97"/>
      <c r="AZ201" s="97"/>
      <c r="BA201" s="97"/>
      <c r="BB201" s="97"/>
      <c r="BC201" s="97"/>
      <c r="BD201" s="97" t="str">
        <f>IFERROR(__xludf.DUMMYFUNCTION("""COMPUTED_VALUE"""),"VOLVOS")</f>
        <v>VOLVOS</v>
      </c>
      <c r="BE201" s="97" t="str">
        <f>IFERROR(__xludf.DUMMYFUNCTION("""COMPUTED_VALUE"""),"Sin Ficha")</f>
        <v>Sin Ficha</v>
      </c>
      <c r="BF201" s="97"/>
      <c r="BG201" s="97" t="str">
        <f>IFERROR(__xludf.DUMMYFUNCTION("""COMPUTED_VALUE"""),"Discontinuo")</f>
        <v>Discontinuo</v>
      </c>
    </row>
    <row r="202">
      <c r="A202" s="97">
        <f>IFERROR(__xludf.DUMMYFUNCTION("""COMPUTED_VALUE"""),3782.0)</f>
        <v>3782</v>
      </c>
      <c r="B202" s="97" t="str">
        <f>IFERROR(__xludf.DUMMYFUNCTION("""COMPUTED_VALUE"""),"TERASTIA")</f>
        <v>TERASTIA</v>
      </c>
      <c r="C202" s="97" t="str">
        <f>IFERROR(__xludf.DUMMYFUNCTION("""COMPUTED_VALUE"""),"COLGANTE TERASTIA NEGRO LEUK")</f>
        <v>COLGANTE TERASTIA NEGRO LEUK</v>
      </c>
      <c r="D202" s="97">
        <f>IFERROR(__xludf.DUMMYFUNCTION("""COMPUTED_VALUE"""),7.798328755964E12)</f>
        <v>7798328755964</v>
      </c>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t="str">
        <f>IFERROR(__xludf.DUMMYFUNCTION("""COMPUTED_VALUE"""),"IP20")</f>
        <v>IP20</v>
      </c>
      <c r="AE202" s="97"/>
      <c r="AF202" s="97" t="str">
        <f>IFERROR(__xludf.DUMMYFUNCTION("""COMPUTED_VALUE"""),"Suspender")</f>
        <v>Suspender</v>
      </c>
      <c r="AG202" s="97"/>
      <c r="AH202" s="97"/>
      <c r="AI202" s="97"/>
      <c r="AJ202" s="97"/>
      <c r="AK202" s="97"/>
      <c r="AL202" s="97"/>
      <c r="AM202" s="97"/>
      <c r="AN202" s="97"/>
      <c r="AO202" s="97" t="str">
        <f>IFERROR(__xludf.DUMMYFUNCTION("""COMPUTED_VALUE"""),"1 Año")</f>
        <v>1 Año</v>
      </c>
      <c r="AP202" s="97"/>
      <c r="AQ202" s="97"/>
      <c r="AR202" s="97"/>
      <c r="AS202" s="97"/>
      <c r="AT202" s="97"/>
      <c r="AU202" s="97"/>
      <c r="AV202" s="97" t="str">
        <f>IFERROR(__xludf.DUMMYFUNCTION("""COMPUTED_VALUE"""),"Colgante")</f>
        <v>Colgante</v>
      </c>
      <c r="AW202" s="97" t="str">
        <f>IFERROR(__xludf.DUMMYFUNCTION("""COMPUTED_VALUE"""),"De Techo")</f>
        <v>De Techo</v>
      </c>
      <c r="AX202" s="97" t="str">
        <f>IFERROR(__xludf.DUMMYFUNCTION("""COMPUTED_VALUE"""),"Interior")</f>
        <v>Interior</v>
      </c>
      <c r="AY202" s="97"/>
      <c r="AZ202" s="97"/>
      <c r="BA202" s="97"/>
      <c r="BB202" s="97"/>
      <c r="BC202" s="97"/>
      <c r="BD202" s="97" t="str">
        <f>IFERROR(__xludf.DUMMYFUNCTION("""COMPUTED_VALUE"""),"TERASTIA")</f>
        <v>TERASTIA</v>
      </c>
      <c r="BE202" s="97" t="str">
        <f>IFERROR(__xludf.DUMMYFUNCTION("""COMPUTED_VALUE"""),"Sin Ficha")</f>
        <v>Sin Ficha</v>
      </c>
      <c r="BF202" s="97"/>
      <c r="BG202" s="97" t="str">
        <f>IFERROR(__xludf.DUMMYFUNCTION("""COMPUTED_VALUE"""),"Discontinuo")</f>
        <v>Discontinuo</v>
      </c>
    </row>
    <row r="203">
      <c r="A203" s="97">
        <f>IFERROR(__xludf.DUMMYFUNCTION("""COMPUTED_VALUE"""),3783.0)</f>
        <v>3783</v>
      </c>
      <c r="B203" s="97" t="str">
        <f>IFERROR(__xludf.DUMMYFUNCTION("""COMPUTED_VALUE"""),"MONIKI")</f>
        <v>MONIKI</v>
      </c>
      <c r="C203" s="97" t="str">
        <f>IFERROR(__xludf.DUMMYFUNCTION("""COMPUTED_VALUE"""),"COLGANTE MONIKI LEUK")</f>
        <v>COLGANTE MONIKI LEUK</v>
      </c>
      <c r="D203" s="97">
        <f>IFERROR(__xludf.DUMMYFUNCTION("""COMPUTED_VALUE"""),7.79832875606E12)</f>
        <v>7798328756060</v>
      </c>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t="str">
        <f>IFERROR(__xludf.DUMMYFUNCTION("""COMPUTED_VALUE"""),"IP20")</f>
        <v>IP20</v>
      </c>
      <c r="AE203" s="97"/>
      <c r="AF203" s="97" t="str">
        <f>IFERROR(__xludf.DUMMYFUNCTION("""COMPUTED_VALUE"""),"Suspender")</f>
        <v>Suspender</v>
      </c>
      <c r="AG203" s="97"/>
      <c r="AH203" s="97"/>
      <c r="AI203" s="97"/>
      <c r="AJ203" s="97"/>
      <c r="AK203" s="97"/>
      <c r="AL203" s="97"/>
      <c r="AM203" s="97"/>
      <c r="AN203" s="97"/>
      <c r="AO203" s="97" t="str">
        <f>IFERROR(__xludf.DUMMYFUNCTION("""COMPUTED_VALUE"""),"1 Año")</f>
        <v>1 Año</v>
      </c>
      <c r="AP203" s="97"/>
      <c r="AQ203" s="97"/>
      <c r="AR203" s="97"/>
      <c r="AS203" s="97"/>
      <c r="AT203" s="97"/>
      <c r="AU203" s="97"/>
      <c r="AV203" s="97" t="str">
        <f>IFERROR(__xludf.DUMMYFUNCTION("""COMPUTED_VALUE"""),"Colgante")</f>
        <v>Colgante</v>
      </c>
      <c r="AW203" s="97" t="str">
        <f>IFERROR(__xludf.DUMMYFUNCTION("""COMPUTED_VALUE"""),"De Techo")</f>
        <v>De Techo</v>
      </c>
      <c r="AX203" s="97" t="str">
        <f>IFERROR(__xludf.DUMMYFUNCTION("""COMPUTED_VALUE"""),"Interior")</f>
        <v>Interior</v>
      </c>
      <c r="AY203" s="97"/>
      <c r="AZ203" s="97"/>
      <c r="BA203" s="97"/>
      <c r="BB203" s="97"/>
      <c r="BC203" s="97"/>
      <c r="BD203" s="97" t="str">
        <f>IFERROR(__xludf.DUMMYFUNCTION("""COMPUTED_VALUE"""),"MONIKI")</f>
        <v>MONIKI</v>
      </c>
      <c r="BE203" s="97" t="str">
        <f>IFERROR(__xludf.DUMMYFUNCTION("""COMPUTED_VALUE"""),"Sin Ficha")</f>
        <v>Sin Ficha</v>
      </c>
      <c r="BF203" s="97"/>
      <c r="BG203" s="97" t="str">
        <f>IFERROR(__xludf.DUMMYFUNCTION("""COMPUTED_VALUE"""),"Discontinuo")</f>
        <v>Discontinuo</v>
      </c>
    </row>
    <row r="204">
      <c r="A204" s="97">
        <f>IFERROR(__xludf.DUMMYFUNCTION("""COMPUTED_VALUE"""),3784.0)</f>
        <v>3784</v>
      </c>
      <c r="B204" s="97" t="str">
        <f>IFERROR(__xludf.DUMMYFUNCTION("""COMPUTED_VALUE"""),"FINETSA I")</f>
        <v>FINETSA I</v>
      </c>
      <c r="C204" s="97" t="str">
        <f>IFERROR(__xludf.DUMMYFUNCTION("""COMPUTED_VALUE"""),"APLIQUE FINETSA I LEUK")</f>
        <v>APLIQUE FINETSA I LEUK</v>
      </c>
      <c r="D204" s="97">
        <f>IFERROR(__xludf.DUMMYFUNCTION("""COMPUTED_VALUE"""),7.798328756046E12)</f>
        <v>7798328756046</v>
      </c>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t="str">
        <f>IFERROR(__xludf.DUMMYFUNCTION("""COMPUTED_VALUE"""),"IP20")</f>
        <v>IP20</v>
      </c>
      <c r="AE204" s="97"/>
      <c r="AF204" s="97" t="str">
        <f>IFERROR(__xludf.DUMMYFUNCTION("""COMPUTED_VALUE"""),"Aplicar")</f>
        <v>Aplicar</v>
      </c>
      <c r="AG204" s="97"/>
      <c r="AH204" s="97"/>
      <c r="AI204" s="97"/>
      <c r="AJ204" s="97"/>
      <c r="AK204" s="97"/>
      <c r="AL204" s="97"/>
      <c r="AM204" s="97"/>
      <c r="AN204" s="97"/>
      <c r="AO204" s="97" t="str">
        <f>IFERROR(__xludf.DUMMYFUNCTION("""COMPUTED_VALUE"""),"1 Año")</f>
        <v>1 Año</v>
      </c>
      <c r="AP204" s="97"/>
      <c r="AQ204" s="97"/>
      <c r="AR204" s="97"/>
      <c r="AS204" s="97"/>
      <c r="AT204" s="97"/>
      <c r="AU204" s="97"/>
      <c r="AV204" s="97" t="str">
        <f>IFERROR(__xludf.DUMMYFUNCTION("""COMPUTED_VALUE"""),"Aplique")</f>
        <v>Aplique</v>
      </c>
      <c r="AW204" s="97" t="str">
        <f>IFERROR(__xludf.DUMMYFUNCTION("""COMPUTED_VALUE"""),"De Techo")</f>
        <v>De Techo</v>
      </c>
      <c r="AX204" s="97" t="str">
        <f>IFERROR(__xludf.DUMMYFUNCTION("""COMPUTED_VALUE"""),"Interior")</f>
        <v>Interior</v>
      </c>
      <c r="AY204" s="97"/>
      <c r="AZ204" s="97"/>
      <c r="BA204" s="97">
        <f>IFERROR(__xludf.DUMMYFUNCTION("""COMPUTED_VALUE"""),30.0)</f>
        <v>30</v>
      </c>
      <c r="BB204" s="97"/>
      <c r="BC204" s="97"/>
      <c r="BD204" s="97" t="str">
        <f>IFERROR(__xludf.DUMMYFUNCTION("""COMPUTED_VALUE"""),"FINETSA")</f>
        <v>FINETSA</v>
      </c>
      <c r="BE204" s="97" t="str">
        <f>IFERROR(__xludf.DUMMYFUNCTION("""COMPUTED_VALUE"""),"Sin Ficha")</f>
        <v>Sin Ficha</v>
      </c>
      <c r="BF204" s="97"/>
      <c r="BG204" s="97" t="str">
        <f>IFERROR(__xludf.DUMMYFUNCTION("""COMPUTED_VALUE"""),"Discontinuo")</f>
        <v>Discontinuo</v>
      </c>
    </row>
    <row r="205">
      <c r="A205" s="97">
        <f>IFERROR(__xludf.DUMMYFUNCTION("""COMPUTED_VALUE"""),3811.0)</f>
        <v>3811</v>
      </c>
      <c r="B205" s="97" t="str">
        <f>IFERROR(__xludf.DUMMYFUNCTION("""COMPUTED_VALUE"""),"BASE P/ COLGANTE PLANA 3L NG")</f>
        <v>BASE P/ COLGANTE PLANA 3L NG</v>
      </c>
      <c r="C205" s="97" t="str">
        <f>IFERROR(__xludf.DUMMYFUNCTION("""COMPUTED_VALUE"""),"BASE P/ COLGANTE PLANA 3L NEGRO")</f>
        <v>BASE P/ COLGANTE PLANA 3L NEGRO</v>
      </c>
      <c r="D205" s="97"/>
      <c r="E205" s="97"/>
      <c r="F205" s="97" t="str">
        <f>IFERROR(__xludf.DUMMYFUNCTION("""COMPUTED_VALUE"""),"N/A")</f>
        <v>N/A</v>
      </c>
      <c r="G205" s="97" t="str">
        <f>IFERROR(__xludf.DUMMYFUNCTION("""COMPUTED_VALUE"""),"N/A")</f>
        <v>N/A</v>
      </c>
      <c r="H205" s="97" t="str">
        <f>IFERROR(__xludf.DUMMYFUNCTION("""COMPUTED_VALUE"""),"N/A")</f>
        <v>N/A</v>
      </c>
      <c r="I205" s="97" t="str">
        <f>IFERROR(__xludf.DUMMYFUNCTION("""COMPUTED_VALUE"""),"N/A")</f>
        <v>N/A</v>
      </c>
      <c r="J205" s="97"/>
      <c r="K205" s="97" t="str">
        <f>IFERROR(__xludf.DUMMYFUNCTION("""COMPUTED_VALUE"""),"N/A")</f>
        <v>N/A</v>
      </c>
      <c r="L205" s="97"/>
      <c r="M205" s="97"/>
      <c r="N205" s="97"/>
      <c r="O205" s="97"/>
      <c r="P205" s="97"/>
      <c r="Q205" s="97" t="str">
        <f>IFERROR(__xludf.DUMMYFUNCTION("""COMPUTED_VALUE"""),"-")</f>
        <v>-</v>
      </c>
      <c r="R205" s="97" t="str">
        <f>IFERROR(__xludf.DUMMYFUNCTION("""COMPUTED_VALUE"""),"-")</f>
        <v>-</v>
      </c>
      <c r="S205" s="97" t="str">
        <f>IFERROR(__xludf.DUMMYFUNCTION("""COMPUTED_VALUE"""),"-")</f>
        <v>-</v>
      </c>
      <c r="T205" s="97" t="str">
        <f>IFERROR(__xludf.DUMMYFUNCTION("""COMPUTED_VALUE"""),"-")</f>
        <v>-</v>
      </c>
      <c r="U205" s="97" t="str">
        <f>IFERROR(__xludf.DUMMYFUNCTION("""COMPUTED_VALUE"""),"-")</f>
        <v>-</v>
      </c>
      <c r="V205" s="97" t="str">
        <f>IFERROR(__xludf.DUMMYFUNCTION("""COMPUTED_VALUE"""),"N/A")</f>
        <v>N/A</v>
      </c>
      <c r="W205" s="97" t="str">
        <f>IFERROR(__xludf.DUMMYFUNCTION("""COMPUTED_VALUE"""),"N/A")</f>
        <v>N/A</v>
      </c>
      <c r="X205" s="97" t="str">
        <f>IFERROR(__xludf.DUMMYFUNCTION("""COMPUTED_VALUE"""),"-")</f>
        <v>-</v>
      </c>
      <c r="Y205" s="97" t="str">
        <f>IFERROR(__xludf.DUMMYFUNCTION("""COMPUTED_VALUE"""),"N/A")</f>
        <v>N/A</v>
      </c>
      <c r="Z205" s="97" t="str">
        <f>IFERROR(__xludf.DUMMYFUNCTION("""COMPUTED_VALUE"""),"N/A")</f>
        <v>N/A</v>
      </c>
      <c r="AA205" s="97" t="str">
        <f>IFERROR(__xludf.DUMMYFUNCTION("""COMPUTED_VALUE"""),"N/A")</f>
        <v>N/A</v>
      </c>
      <c r="AB205" s="97" t="str">
        <f>IFERROR(__xludf.DUMMYFUNCTION("""COMPUTED_VALUE"""),"N/A")</f>
        <v>N/A</v>
      </c>
      <c r="AC205" s="97" t="str">
        <f>IFERROR(__xludf.DUMMYFUNCTION("""COMPUTED_VALUE"""),"N/A")</f>
        <v>N/A</v>
      </c>
      <c r="AD205" s="97" t="str">
        <f>IFERROR(__xludf.DUMMYFUNCTION("""COMPUTED_VALUE"""),"N/A")</f>
        <v>N/A</v>
      </c>
      <c r="AE205" s="97" t="str">
        <f>IFERROR(__xludf.DUMMYFUNCTION("""COMPUTED_VALUE"""),"N/A")</f>
        <v>N/A</v>
      </c>
      <c r="AF205" s="97" t="str">
        <f>IFERROR(__xludf.DUMMYFUNCTION("""COMPUTED_VALUE"""),"N/A")</f>
        <v>N/A</v>
      </c>
      <c r="AG205" s="97"/>
      <c r="AH205" s="97"/>
      <c r="AI205" s="97"/>
      <c r="AJ205" s="97" t="str">
        <f>IFERROR(__xludf.DUMMYFUNCTION("""COMPUTED_VALUE"""),"N/A")</f>
        <v>N/A</v>
      </c>
      <c r="AK205" s="97"/>
      <c r="AL205" s="97"/>
      <c r="AM205" s="97" t="str">
        <f>IFERROR(__xludf.DUMMYFUNCTION("""COMPUTED_VALUE"""),"-")</f>
        <v>-</v>
      </c>
      <c r="AN205" s="97" t="str">
        <f>IFERROR(__xludf.DUMMYFUNCTION("""COMPUTED_VALUE"""),"N/A")</f>
        <v>N/A</v>
      </c>
      <c r="AO205" s="97" t="str">
        <f>IFERROR(__xludf.DUMMYFUNCTION("""COMPUTED_VALUE"""),"1 Año")</f>
        <v>1 Año</v>
      </c>
      <c r="AP205" s="97" t="str">
        <f>IFERROR(__xludf.DUMMYFUNCTION("""COMPUTED_VALUE"""),"No Aplica")</f>
        <v>No Aplica</v>
      </c>
      <c r="AQ205" s="97" t="str">
        <f>IFERROR(__xludf.DUMMYFUNCTION("""COMPUTED_VALUE"""),"No Aplica")</f>
        <v>No Aplica</v>
      </c>
      <c r="AR205" s="97" t="str">
        <f>IFERROR(__xludf.DUMMYFUNCTION("""COMPUTED_VALUE"""),"No Aplica")</f>
        <v>No Aplica</v>
      </c>
      <c r="AS205" s="97"/>
      <c r="AT205" s="97"/>
      <c r="AU205" s="97"/>
      <c r="AV205" s="97" t="str">
        <f>IFERROR(__xludf.DUMMYFUNCTION("""COMPUTED_VALUE"""),"Accesorio")</f>
        <v>Accesorio</v>
      </c>
      <c r="AW205" s="97" t="str">
        <f>IFERROR(__xludf.DUMMYFUNCTION("""COMPUTED_VALUE"""),"De Techo")</f>
        <v>De Techo</v>
      </c>
      <c r="AX205" s="97" t="str">
        <f>IFERROR(__xludf.DUMMYFUNCTION("""COMPUTED_VALUE"""),"Interior")</f>
        <v>Interior</v>
      </c>
      <c r="AY205" s="97"/>
      <c r="AZ205" s="97"/>
      <c r="BA205" s="97"/>
      <c r="BB205" s="97"/>
      <c r="BC205" s="97"/>
      <c r="BD205" s="97" t="str">
        <f>IFERROR(__xludf.DUMMYFUNCTION("""COMPUTED_VALUE"""),"BASE P/ COLGANTE PLANA 3L")</f>
        <v>BASE P/ COLGANTE PLANA 3L</v>
      </c>
      <c r="BE205" s="97" t="str">
        <f>IFERROR(__xludf.DUMMYFUNCTION("""COMPUTED_VALUE"""),"Sin Ficha")</f>
        <v>Sin Ficha</v>
      </c>
      <c r="BF205" s="97"/>
      <c r="BG205" s="97" t="str">
        <f>IFERROR(__xludf.DUMMYFUNCTION("""COMPUTED_VALUE"""),"Discontinuo")</f>
        <v>Discontinuo</v>
      </c>
    </row>
    <row r="206">
      <c r="A206" s="97">
        <f>IFERROR(__xludf.DUMMYFUNCTION("""COMPUTED_VALUE"""),3812.0)</f>
        <v>3812</v>
      </c>
      <c r="B206" s="97" t="str">
        <f>IFERROR(__xludf.DUMMYFUNCTION("""COMPUTED_VALUE"""),"BASE P/ COLGANTE CUBO 4L NG")</f>
        <v>BASE P/ COLGANTE CUBO 4L NG</v>
      </c>
      <c r="C206" s="97" t="str">
        <f>IFERROR(__xludf.DUMMYFUNCTION("""COMPUTED_VALUE"""),"BASE P/ COLGANTE CUBO 4L NEGRO")</f>
        <v>BASE P/ COLGANTE CUBO 4L NEGRO</v>
      </c>
      <c r="D206" s="97"/>
      <c r="E206" s="97"/>
      <c r="F206" s="97" t="str">
        <f>IFERROR(__xludf.DUMMYFUNCTION("""COMPUTED_VALUE"""),"N/A")</f>
        <v>N/A</v>
      </c>
      <c r="G206" s="97" t="str">
        <f>IFERROR(__xludf.DUMMYFUNCTION("""COMPUTED_VALUE"""),"N/A")</f>
        <v>N/A</v>
      </c>
      <c r="H206" s="97" t="str">
        <f>IFERROR(__xludf.DUMMYFUNCTION("""COMPUTED_VALUE"""),"N/A")</f>
        <v>N/A</v>
      </c>
      <c r="I206" s="97" t="str">
        <f>IFERROR(__xludf.DUMMYFUNCTION("""COMPUTED_VALUE"""),"N/A")</f>
        <v>N/A</v>
      </c>
      <c r="J206" s="97"/>
      <c r="K206" s="97" t="str">
        <f>IFERROR(__xludf.DUMMYFUNCTION("""COMPUTED_VALUE"""),"N/A")</f>
        <v>N/A</v>
      </c>
      <c r="L206" s="97"/>
      <c r="M206" s="97"/>
      <c r="N206" s="97"/>
      <c r="O206" s="97"/>
      <c r="P206" s="97"/>
      <c r="Q206" s="97" t="str">
        <f>IFERROR(__xludf.DUMMYFUNCTION("""COMPUTED_VALUE"""),"-")</f>
        <v>-</v>
      </c>
      <c r="R206" s="97" t="str">
        <f>IFERROR(__xludf.DUMMYFUNCTION("""COMPUTED_VALUE"""),"-")</f>
        <v>-</v>
      </c>
      <c r="S206" s="97" t="str">
        <f>IFERROR(__xludf.DUMMYFUNCTION("""COMPUTED_VALUE"""),"-")</f>
        <v>-</v>
      </c>
      <c r="T206" s="97" t="str">
        <f>IFERROR(__xludf.DUMMYFUNCTION("""COMPUTED_VALUE"""),"-")</f>
        <v>-</v>
      </c>
      <c r="U206" s="97" t="str">
        <f>IFERROR(__xludf.DUMMYFUNCTION("""COMPUTED_VALUE"""),"-")</f>
        <v>-</v>
      </c>
      <c r="V206" s="97" t="str">
        <f>IFERROR(__xludf.DUMMYFUNCTION("""COMPUTED_VALUE"""),"N/A")</f>
        <v>N/A</v>
      </c>
      <c r="W206" s="97" t="str">
        <f>IFERROR(__xludf.DUMMYFUNCTION("""COMPUTED_VALUE"""),"N/A")</f>
        <v>N/A</v>
      </c>
      <c r="X206" s="97" t="str">
        <f>IFERROR(__xludf.DUMMYFUNCTION("""COMPUTED_VALUE"""),"-")</f>
        <v>-</v>
      </c>
      <c r="Y206" s="97" t="str">
        <f>IFERROR(__xludf.DUMMYFUNCTION("""COMPUTED_VALUE"""),"N/A")</f>
        <v>N/A</v>
      </c>
      <c r="Z206" s="97" t="str">
        <f>IFERROR(__xludf.DUMMYFUNCTION("""COMPUTED_VALUE"""),"N/A")</f>
        <v>N/A</v>
      </c>
      <c r="AA206" s="97" t="str">
        <f>IFERROR(__xludf.DUMMYFUNCTION("""COMPUTED_VALUE"""),"N/A")</f>
        <v>N/A</v>
      </c>
      <c r="AB206" s="97" t="str">
        <f>IFERROR(__xludf.DUMMYFUNCTION("""COMPUTED_VALUE"""),"N/A")</f>
        <v>N/A</v>
      </c>
      <c r="AC206" s="97" t="str">
        <f>IFERROR(__xludf.DUMMYFUNCTION("""COMPUTED_VALUE"""),"N/A")</f>
        <v>N/A</v>
      </c>
      <c r="AD206" s="97" t="str">
        <f>IFERROR(__xludf.DUMMYFUNCTION("""COMPUTED_VALUE"""),"N/A")</f>
        <v>N/A</v>
      </c>
      <c r="AE206" s="97" t="str">
        <f>IFERROR(__xludf.DUMMYFUNCTION("""COMPUTED_VALUE"""),"N/A")</f>
        <v>N/A</v>
      </c>
      <c r="AF206" s="97" t="str">
        <f>IFERROR(__xludf.DUMMYFUNCTION("""COMPUTED_VALUE"""),"N/A")</f>
        <v>N/A</v>
      </c>
      <c r="AG206" s="97"/>
      <c r="AH206" s="97"/>
      <c r="AI206" s="97"/>
      <c r="AJ206" s="97" t="str">
        <f>IFERROR(__xludf.DUMMYFUNCTION("""COMPUTED_VALUE"""),"N/A")</f>
        <v>N/A</v>
      </c>
      <c r="AK206" s="97"/>
      <c r="AL206" s="97"/>
      <c r="AM206" s="97" t="str">
        <f>IFERROR(__xludf.DUMMYFUNCTION("""COMPUTED_VALUE"""),"-")</f>
        <v>-</v>
      </c>
      <c r="AN206" s="97" t="str">
        <f>IFERROR(__xludf.DUMMYFUNCTION("""COMPUTED_VALUE"""),"N/A")</f>
        <v>N/A</v>
      </c>
      <c r="AO206" s="97" t="str">
        <f>IFERROR(__xludf.DUMMYFUNCTION("""COMPUTED_VALUE"""),"1 Año")</f>
        <v>1 Año</v>
      </c>
      <c r="AP206" s="97" t="str">
        <f>IFERROR(__xludf.DUMMYFUNCTION("""COMPUTED_VALUE"""),"No Aplica")</f>
        <v>No Aplica</v>
      </c>
      <c r="AQ206" s="97" t="str">
        <f>IFERROR(__xludf.DUMMYFUNCTION("""COMPUTED_VALUE"""),"No Aplica")</f>
        <v>No Aplica</v>
      </c>
      <c r="AR206" s="97" t="str">
        <f>IFERROR(__xludf.DUMMYFUNCTION("""COMPUTED_VALUE"""),"No Aplica")</f>
        <v>No Aplica</v>
      </c>
      <c r="AS206" s="97"/>
      <c r="AT206" s="97"/>
      <c r="AU206" s="97"/>
      <c r="AV206" s="97" t="str">
        <f>IFERROR(__xludf.DUMMYFUNCTION("""COMPUTED_VALUE"""),"Accesorio")</f>
        <v>Accesorio</v>
      </c>
      <c r="AW206" s="97" t="str">
        <f>IFERROR(__xludf.DUMMYFUNCTION("""COMPUTED_VALUE"""),"De Techo")</f>
        <v>De Techo</v>
      </c>
      <c r="AX206" s="97" t="str">
        <f>IFERROR(__xludf.DUMMYFUNCTION("""COMPUTED_VALUE"""),"Interior")</f>
        <v>Interior</v>
      </c>
      <c r="AY206" s="97"/>
      <c r="AZ206" s="97"/>
      <c r="BA206" s="97"/>
      <c r="BB206" s="97"/>
      <c r="BC206" s="97"/>
      <c r="BD206" s="97" t="str">
        <f>IFERROR(__xludf.DUMMYFUNCTION("""COMPUTED_VALUE"""),"BASE P/ COLGANTE CUBO 4L")</f>
        <v>BASE P/ COLGANTE CUBO 4L</v>
      </c>
      <c r="BE206" s="97" t="str">
        <f>IFERROR(__xludf.DUMMYFUNCTION("""COMPUTED_VALUE"""),"Sin Ficha")</f>
        <v>Sin Ficha</v>
      </c>
      <c r="BF206" s="97"/>
      <c r="BG206" s="97" t="str">
        <f>IFERROR(__xludf.DUMMYFUNCTION("""COMPUTED_VALUE"""),"Discontinuo")</f>
        <v>Discontinuo</v>
      </c>
    </row>
    <row r="207">
      <c r="A207" s="97">
        <f>IFERROR(__xludf.DUMMYFUNCTION("""COMPUTED_VALUE"""),3826.0)</f>
        <v>3826</v>
      </c>
      <c r="B207" s="97" t="str">
        <f>IFERROR(__xludf.DUMMYFUNCTION("""COMPUTED_VALUE"""),"BASE P/COLGANTE CUBO 2L BL")</f>
        <v>BASE P/COLGANTE CUBO 2L BL</v>
      </c>
      <c r="C207" s="97" t="str">
        <f>IFERROR(__xludf.DUMMYFUNCTION("""COMPUTED_VALUE"""),"BASE P/COLGANTE CUBO 2L BLANCO ")</f>
        <v>BASE P/COLGANTE CUBO 2L BLANCO </v>
      </c>
      <c r="D207" s="97"/>
      <c r="E207" s="97"/>
      <c r="F207" s="97" t="str">
        <f>IFERROR(__xludf.DUMMYFUNCTION("""COMPUTED_VALUE"""),"N/A")</f>
        <v>N/A</v>
      </c>
      <c r="G207" s="97" t="str">
        <f>IFERROR(__xludf.DUMMYFUNCTION("""COMPUTED_VALUE"""),"N/A")</f>
        <v>N/A</v>
      </c>
      <c r="H207" s="97" t="str">
        <f>IFERROR(__xludf.DUMMYFUNCTION("""COMPUTED_VALUE"""),"N/A")</f>
        <v>N/A</v>
      </c>
      <c r="I207" s="97" t="str">
        <f>IFERROR(__xludf.DUMMYFUNCTION("""COMPUTED_VALUE"""),"N/A")</f>
        <v>N/A</v>
      </c>
      <c r="J207" s="97"/>
      <c r="K207" s="97" t="str">
        <f>IFERROR(__xludf.DUMMYFUNCTION("""COMPUTED_VALUE"""),"N/A")</f>
        <v>N/A</v>
      </c>
      <c r="L207" s="97"/>
      <c r="M207" s="97"/>
      <c r="N207" s="97"/>
      <c r="O207" s="97"/>
      <c r="P207" s="97"/>
      <c r="Q207" s="97" t="str">
        <f>IFERROR(__xludf.DUMMYFUNCTION("""COMPUTED_VALUE"""),"-")</f>
        <v>-</v>
      </c>
      <c r="R207" s="97" t="str">
        <f>IFERROR(__xludf.DUMMYFUNCTION("""COMPUTED_VALUE"""),"-")</f>
        <v>-</v>
      </c>
      <c r="S207" s="97" t="str">
        <f>IFERROR(__xludf.DUMMYFUNCTION("""COMPUTED_VALUE"""),"-")</f>
        <v>-</v>
      </c>
      <c r="T207" s="97" t="str">
        <f>IFERROR(__xludf.DUMMYFUNCTION("""COMPUTED_VALUE"""),"-")</f>
        <v>-</v>
      </c>
      <c r="U207" s="97" t="str">
        <f>IFERROR(__xludf.DUMMYFUNCTION("""COMPUTED_VALUE"""),"-")</f>
        <v>-</v>
      </c>
      <c r="V207" s="97" t="str">
        <f>IFERROR(__xludf.DUMMYFUNCTION("""COMPUTED_VALUE"""),"N/A")</f>
        <v>N/A</v>
      </c>
      <c r="W207" s="97" t="str">
        <f>IFERROR(__xludf.DUMMYFUNCTION("""COMPUTED_VALUE"""),"N/A")</f>
        <v>N/A</v>
      </c>
      <c r="X207" s="97" t="str">
        <f>IFERROR(__xludf.DUMMYFUNCTION("""COMPUTED_VALUE"""),"-")</f>
        <v>-</v>
      </c>
      <c r="Y207" s="97" t="str">
        <f>IFERROR(__xludf.DUMMYFUNCTION("""COMPUTED_VALUE"""),"N/A")</f>
        <v>N/A</v>
      </c>
      <c r="Z207" s="97" t="str">
        <f>IFERROR(__xludf.DUMMYFUNCTION("""COMPUTED_VALUE"""),"N/A")</f>
        <v>N/A</v>
      </c>
      <c r="AA207" s="97" t="str">
        <f>IFERROR(__xludf.DUMMYFUNCTION("""COMPUTED_VALUE"""),"N/A")</f>
        <v>N/A</v>
      </c>
      <c r="AB207" s="97" t="str">
        <f>IFERROR(__xludf.DUMMYFUNCTION("""COMPUTED_VALUE"""),"N/A")</f>
        <v>N/A</v>
      </c>
      <c r="AC207" s="97" t="str">
        <f>IFERROR(__xludf.DUMMYFUNCTION("""COMPUTED_VALUE"""),"N/A")</f>
        <v>N/A</v>
      </c>
      <c r="AD207" s="97" t="str">
        <f>IFERROR(__xludf.DUMMYFUNCTION("""COMPUTED_VALUE"""),"N/A")</f>
        <v>N/A</v>
      </c>
      <c r="AE207" s="97" t="str">
        <f>IFERROR(__xludf.DUMMYFUNCTION("""COMPUTED_VALUE"""),"N/A")</f>
        <v>N/A</v>
      </c>
      <c r="AF207" s="97" t="str">
        <f>IFERROR(__xludf.DUMMYFUNCTION("""COMPUTED_VALUE"""),"N/A")</f>
        <v>N/A</v>
      </c>
      <c r="AG207" s="97"/>
      <c r="AH207" s="97"/>
      <c r="AI207" s="97"/>
      <c r="AJ207" s="97" t="str">
        <f>IFERROR(__xludf.DUMMYFUNCTION("""COMPUTED_VALUE"""),"N/A")</f>
        <v>N/A</v>
      </c>
      <c r="AK207" s="97"/>
      <c r="AL207" s="97"/>
      <c r="AM207" s="97" t="str">
        <f>IFERROR(__xludf.DUMMYFUNCTION("""COMPUTED_VALUE"""),"-")</f>
        <v>-</v>
      </c>
      <c r="AN207" s="97" t="str">
        <f>IFERROR(__xludf.DUMMYFUNCTION("""COMPUTED_VALUE"""),"N/A")</f>
        <v>N/A</v>
      </c>
      <c r="AO207" s="97" t="str">
        <f>IFERROR(__xludf.DUMMYFUNCTION("""COMPUTED_VALUE"""),"1 Año")</f>
        <v>1 Año</v>
      </c>
      <c r="AP207" s="97" t="str">
        <f>IFERROR(__xludf.DUMMYFUNCTION("""COMPUTED_VALUE"""),"No Aplica")</f>
        <v>No Aplica</v>
      </c>
      <c r="AQ207" s="97" t="str">
        <f>IFERROR(__xludf.DUMMYFUNCTION("""COMPUTED_VALUE"""),"No Aplica")</f>
        <v>No Aplica</v>
      </c>
      <c r="AR207" s="97" t="str">
        <f>IFERROR(__xludf.DUMMYFUNCTION("""COMPUTED_VALUE"""),"No Aplica")</f>
        <v>No Aplica</v>
      </c>
      <c r="AS207" s="97"/>
      <c r="AT207" s="97"/>
      <c r="AU207" s="97"/>
      <c r="AV207" s="97" t="str">
        <f>IFERROR(__xludf.DUMMYFUNCTION("""COMPUTED_VALUE"""),"Accesorio")</f>
        <v>Accesorio</v>
      </c>
      <c r="AW207" s="97" t="str">
        <f>IFERROR(__xludf.DUMMYFUNCTION("""COMPUTED_VALUE"""),"De Techo")</f>
        <v>De Techo</v>
      </c>
      <c r="AX207" s="97" t="str">
        <f>IFERROR(__xludf.DUMMYFUNCTION("""COMPUTED_VALUE"""),"Interior")</f>
        <v>Interior</v>
      </c>
      <c r="AY207" s="97"/>
      <c r="AZ207" s="97"/>
      <c r="BA207" s="97"/>
      <c r="BB207" s="97"/>
      <c r="BC207" s="97"/>
      <c r="BD207" s="97" t="str">
        <f>IFERROR(__xludf.DUMMYFUNCTION("""COMPUTED_VALUE"""),"BASE P/COLGANTE CUBO 2L ")</f>
        <v>BASE P/COLGANTE CUBO 2L </v>
      </c>
      <c r="BE207" s="97" t="str">
        <f>IFERROR(__xludf.DUMMYFUNCTION("""COMPUTED_VALUE"""),"Sin Ficha")</f>
        <v>Sin Ficha</v>
      </c>
      <c r="BF207" s="97"/>
      <c r="BG207" s="97" t="str">
        <f>IFERROR(__xludf.DUMMYFUNCTION("""COMPUTED_VALUE"""),"Discontinuo")</f>
        <v>Discontinuo</v>
      </c>
    </row>
    <row r="208">
      <c r="A208" s="97">
        <f>IFERROR(__xludf.DUMMYFUNCTION("""COMPUTED_VALUE"""),3827.0)</f>
        <v>3827</v>
      </c>
      <c r="B208" s="97" t="str">
        <f>IFERROR(__xludf.DUMMYFUNCTION("""COMPUTED_VALUE"""),"BASE P/COLGANTE CUBO 2L NG")</f>
        <v>BASE P/COLGANTE CUBO 2L NG</v>
      </c>
      <c r="C208" s="97" t="str">
        <f>IFERROR(__xludf.DUMMYFUNCTION("""COMPUTED_VALUE"""),"BASE P/COLGANTE CUBO 2L NEGRO ")</f>
        <v>BASE P/COLGANTE CUBO 2L NEGRO </v>
      </c>
      <c r="D208" s="97"/>
      <c r="E208" s="97"/>
      <c r="F208" s="97" t="str">
        <f>IFERROR(__xludf.DUMMYFUNCTION("""COMPUTED_VALUE"""),"N/A")</f>
        <v>N/A</v>
      </c>
      <c r="G208" s="97" t="str">
        <f>IFERROR(__xludf.DUMMYFUNCTION("""COMPUTED_VALUE"""),"N/A")</f>
        <v>N/A</v>
      </c>
      <c r="H208" s="97" t="str">
        <f>IFERROR(__xludf.DUMMYFUNCTION("""COMPUTED_VALUE"""),"N/A")</f>
        <v>N/A</v>
      </c>
      <c r="I208" s="97" t="str">
        <f>IFERROR(__xludf.DUMMYFUNCTION("""COMPUTED_VALUE"""),"N/A")</f>
        <v>N/A</v>
      </c>
      <c r="J208" s="97"/>
      <c r="K208" s="97" t="str">
        <f>IFERROR(__xludf.DUMMYFUNCTION("""COMPUTED_VALUE"""),"N/A")</f>
        <v>N/A</v>
      </c>
      <c r="L208" s="97"/>
      <c r="M208" s="97"/>
      <c r="N208" s="97"/>
      <c r="O208" s="97"/>
      <c r="P208" s="97"/>
      <c r="Q208" s="97" t="str">
        <f>IFERROR(__xludf.DUMMYFUNCTION("""COMPUTED_VALUE"""),"-")</f>
        <v>-</v>
      </c>
      <c r="R208" s="97" t="str">
        <f>IFERROR(__xludf.DUMMYFUNCTION("""COMPUTED_VALUE"""),"-")</f>
        <v>-</v>
      </c>
      <c r="S208" s="97" t="str">
        <f>IFERROR(__xludf.DUMMYFUNCTION("""COMPUTED_VALUE"""),"-")</f>
        <v>-</v>
      </c>
      <c r="T208" s="97" t="str">
        <f>IFERROR(__xludf.DUMMYFUNCTION("""COMPUTED_VALUE"""),"-")</f>
        <v>-</v>
      </c>
      <c r="U208" s="97" t="str">
        <f>IFERROR(__xludf.DUMMYFUNCTION("""COMPUTED_VALUE"""),"-")</f>
        <v>-</v>
      </c>
      <c r="V208" s="97" t="str">
        <f>IFERROR(__xludf.DUMMYFUNCTION("""COMPUTED_VALUE"""),"N/A")</f>
        <v>N/A</v>
      </c>
      <c r="W208" s="97" t="str">
        <f>IFERROR(__xludf.DUMMYFUNCTION("""COMPUTED_VALUE"""),"N/A")</f>
        <v>N/A</v>
      </c>
      <c r="X208" s="97" t="str">
        <f>IFERROR(__xludf.DUMMYFUNCTION("""COMPUTED_VALUE"""),"-")</f>
        <v>-</v>
      </c>
      <c r="Y208" s="97" t="str">
        <f>IFERROR(__xludf.DUMMYFUNCTION("""COMPUTED_VALUE"""),"N/A")</f>
        <v>N/A</v>
      </c>
      <c r="Z208" s="97" t="str">
        <f>IFERROR(__xludf.DUMMYFUNCTION("""COMPUTED_VALUE"""),"N/A")</f>
        <v>N/A</v>
      </c>
      <c r="AA208" s="97" t="str">
        <f>IFERROR(__xludf.DUMMYFUNCTION("""COMPUTED_VALUE"""),"N/A")</f>
        <v>N/A</v>
      </c>
      <c r="AB208" s="97" t="str">
        <f>IFERROR(__xludf.DUMMYFUNCTION("""COMPUTED_VALUE"""),"N/A")</f>
        <v>N/A</v>
      </c>
      <c r="AC208" s="97" t="str">
        <f>IFERROR(__xludf.DUMMYFUNCTION("""COMPUTED_VALUE"""),"N/A")</f>
        <v>N/A</v>
      </c>
      <c r="AD208" s="97" t="str">
        <f>IFERROR(__xludf.DUMMYFUNCTION("""COMPUTED_VALUE"""),"N/A")</f>
        <v>N/A</v>
      </c>
      <c r="AE208" s="97" t="str">
        <f>IFERROR(__xludf.DUMMYFUNCTION("""COMPUTED_VALUE"""),"N/A")</f>
        <v>N/A</v>
      </c>
      <c r="AF208" s="97" t="str">
        <f>IFERROR(__xludf.DUMMYFUNCTION("""COMPUTED_VALUE"""),"N/A")</f>
        <v>N/A</v>
      </c>
      <c r="AG208" s="97"/>
      <c r="AH208" s="97"/>
      <c r="AI208" s="97"/>
      <c r="AJ208" s="97" t="str">
        <f>IFERROR(__xludf.DUMMYFUNCTION("""COMPUTED_VALUE"""),"N/A")</f>
        <v>N/A</v>
      </c>
      <c r="AK208" s="97"/>
      <c r="AL208" s="97"/>
      <c r="AM208" s="97" t="str">
        <f>IFERROR(__xludf.DUMMYFUNCTION("""COMPUTED_VALUE"""),"-")</f>
        <v>-</v>
      </c>
      <c r="AN208" s="97" t="str">
        <f>IFERROR(__xludf.DUMMYFUNCTION("""COMPUTED_VALUE"""),"N/A")</f>
        <v>N/A</v>
      </c>
      <c r="AO208" s="97" t="str">
        <f>IFERROR(__xludf.DUMMYFUNCTION("""COMPUTED_VALUE"""),"1 Año")</f>
        <v>1 Año</v>
      </c>
      <c r="AP208" s="97" t="str">
        <f>IFERROR(__xludf.DUMMYFUNCTION("""COMPUTED_VALUE"""),"No Aplica")</f>
        <v>No Aplica</v>
      </c>
      <c r="AQ208" s="97" t="str">
        <f>IFERROR(__xludf.DUMMYFUNCTION("""COMPUTED_VALUE"""),"No Aplica")</f>
        <v>No Aplica</v>
      </c>
      <c r="AR208" s="97" t="str">
        <f>IFERROR(__xludf.DUMMYFUNCTION("""COMPUTED_VALUE"""),"No Aplica")</f>
        <v>No Aplica</v>
      </c>
      <c r="AS208" s="97"/>
      <c r="AT208" s="97"/>
      <c r="AU208" s="97"/>
      <c r="AV208" s="97" t="str">
        <f>IFERROR(__xludf.DUMMYFUNCTION("""COMPUTED_VALUE"""),"Accesorio")</f>
        <v>Accesorio</v>
      </c>
      <c r="AW208" s="97" t="str">
        <f>IFERROR(__xludf.DUMMYFUNCTION("""COMPUTED_VALUE"""),"De Techo")</f>
        <v>De Techo</v>
      </c>
      <c r="AX208" s="97" t="str">
        <f>IFERROR(__xludf.DUMMYFUNCTION("""COMPUTED_VALUE"""),"Interior")</f>
        <v>Interior</v>
      </c>
      <c r="AY208" s="97"/>
      <c r="AZ208" s="97"/>
      <c r="BA208" s="97"/>
      <c r="BB208" s="97"/>
      <c r="BC208" s="97"/>
      <c r="BD208" s="97" t="str">
        <f>IFERROR(__xludf.DUMMYFUNCTION("""COMPUTED_VALUE"""),"BASE P/COLGANTE CUBO 2L ")</f>
        <v>BASE P/COLGANTE CUBO 2L </v>
      </c>
      <c r="BE208" s="97" t="str">
        <f>IFERROR(__xludf.DUMMYFUNCTION("""COMPUTED_VALUE"""),"Sin Ficha")</f>
        <v>Sin Ficha</v>
      </c>
      <c r="BF208" s="97"/>
      <c r="BG208" s="97" t="str">
        <f>IFERROR(__xludf.DUMMYFUNCTION("""COMPUTED_VALUE"""),"Discontinuo")</f>
        <v>Discontinuo</v>
      </c>
    </row>
    <row r="209">
      <c r="A209" s="97">
        <f>IFERROR(__xludf.DUMMYFUNCTION("""COMPUTED_VALUE"""),3828.0)</f>
        <v>3828</v>
      </c>
      <c r="B209" s="97" t="str">
        <f>IFERROR(__xludf.DUMMYFUNCTION("""COMPUTED_VALUE"""),"BASE P/COLGANTE PLANA 2L BL")</f>
        <v>BASE P/COLGANTE PLANA 2L BL</v>
      </c>
      <c r="C209" s="97" t="str">
        <f>IFERROR(__xludf.DUMMYFUNCTION("""COMPUTED_VALUE"""),"BASE P/COLGANTE PLANA 2L BLANCO")</f>
        <v>BASE P/COLGANTE PLANA 2L BLANCO</v>
      </c>
      <c r="D209" s="97"/>
      <c r="E209" s="97"/>
      <c r="F209" s="97" t="str">
        <f>IFERROR(__xludf.DUMMYFUNCTION("""COMPUTED_VALUE"""),"N/A")</f>
        <v>N/A</v>
      </c>
      <c r="G209" s="97" t="str">
        <f>IFERROR(__xludf.DUMMYFUNCTION("""COMPUTED_VALUE"""),"N/A")</f>
        <v>N/A</v>
      </c>
      <c r="H209" s="97" t="str">
        <f>IFERROR(__xludf.DUMMYFUNCTION("""COMPUTED_VALUE"""),"N/A")</f>
        <v>N/A</v>
      </c>
      <c r="I209" s="97" t="str">
        <f>IFERROR(__xludf.DUMMYFUNCTION("""COMPUTED_VALUE"""),"N/A")</f>
        <v>N/A</v>
      </c>
      <c r="J209" s="97"/>
      <c r="K209" s="97" t="str">
        <f>IFERROR(__xludf.DUMMYFUNCTION("""COMPUTED_VALUE"""),"N/A")</f>
        <v>N/A</v>
      </c>
      <c r="L209" s="97"/>
      <c r="M209" s="97"/>
      <c r="N209" s="97"/>
      <c r="O209" s="97"/>
      <c r="P209" s="97"/>
      <c r="Q209" s="97" t="str">
        <f>IFERROR(__xludf.DUMMYFUNCTION("""COMPUTED_VALUE"""),"-")</f>
        <v>-</v>
      </c>
      <c r="R209" s="97" t="str">
        <f>IFERROR(__xludf.DUMMYFUNCTION("""COMPUTED_VALUE"""),"-")</f>
        <v>-</v>
      </c>
      <c r="S209" s="97" t="str">
        <f>IFERROR(__xludf.DUMMYFUNCTION("""COMPUTED_VALUE"""),"-")</f>
        <v>-</v>
      </c>
      <c r="T209" s="97" t="str">
        <f>IFERROR(__xludf.DUMMYFUNCTION("""COMPUTED_VALUE"""),"-")</f>
        <v>-</v>
      </c>
      <c r="U209" s="97" t="str">
        <f>IFERROR(__xludf.DUMMYFUNCTION("""COMPUTED_VALUE"""),"-")</f>
        <v>-</v>
      </c>
      <c r="V209" s="97" t="str">
        <f>IFERROR(__xludf.DUMMYFUNCTION("""COMPUTED_VALUE"""),"N/A")</f>
        <v>N/A</v>
      </c>
      <c r="W209" s="97" t="str">
        <f>IFERROR(__xludf.DUMMYFUNCTION("""COMPUTED_VALUE"""),"N/A")</f>
        <v>N/A</v>
      </c>
      <c r="X209" s="97" t="str">
        <f>IFERROR(__xludf.DUMMYFUNCTION("""COMPUTED_VALUE"""),"-")</f>
        <v>-</v>
      </c>
      <c r="Y209" s="97" t="str">
        <f>IFERROR(__xludf.DUMMYFUNCTION("""COMPUTED_VALUE"""),"N/A")</f>
        <v>N/A</v>
      </c>
      <c r="Z209" s="97" t="str">
        <f>IFERROR(__xludf.DUMMYFUNCTION("""COMPUTED_VALUE"""),"N/A")</f>
        <v>N/A</v>
      </c>
      <c r="AA209" s="97" t="str">
        <f>IFERROR(__xludf.DUMMYFUNCTION("""COMPUTED_VALUE"""),"N/A")</f>
        <v>N/A</v>
      </c>
      <c r="AB209" s="97" t="str">
        <f>IFERROR(__xludf.DUMMYFUNCTION("""COMPUTED_VALUE"""),"N/A")</f>
        <v>N/A</v>
      </c>
      <c r="AC209" s="97" t="str">
        <f>IFERROR(__xludf.DUMMYFUNCTION("""COMPUTED_VALUE"""),"N/A")</f>
        <v>N/A</v>
      </c>
      <c r="AD209" s="97" t="str">
        <f>IFERROR(__xludf.DUMMYFUNCTION("""COMPUTED_VALUE"""),"N/A")</f>
        <v>N/A</v>
      </c>
      <c r="AE209" s="97" t="str">
        <f>IFERROR(__xludf.DUMMYFUNCTION("""COMPUTED_VALUE"""),"N/A")</f>
        <v>N/A</v>
      </c>
      <c r="AF209" s="97" t="str">
        <f>IFERROR(__xludf.DUMMYFUNCTION("""COMPUTED_VALUE"""),"N/A")</f>
        <v>N/A</v>
      </c>
      <c r="AG209" s="97"/>
      <c r="AH209" s="97"/>
      <c r="AI209" s="97"/>
      <c r="AJ209" s="97" t="str">
        <f>IFERROR(__xludf.DUMMYFUNCTION("""COMPUTED_VALUE"""),"N/A")</f>
        <v>N/A</v>
      </c>
      <c r="AK209" s="97"/>
      <c r="AL209" s="97"/>
      <c r="AM209" s="97" t="str">
        <f>IFERROR(__xludf.DUMMYFUNCTION("""COMPUTED_VALUE"""),"-")</f>
        <v>-</v>
      </c>
      <c r="AN209" s="97" t="str">
        <f>IFERROR(__xludf.DUMMYFUNCTION("""COMPUTED_VALUE"""),"N/A")</f>
        <v>N/A</v>
      </c>
      <c r="AO209" s="97" t="str">
        <f>IFERROR(__xludf.DUMMYFUNCTION("""COMPUTED_VALUE"""),"1 Año")</f>
        <v>1 Año</v>
      </c>
      <c r="AP209" s="97" t="str">
        <f>IFERROR(__xludf.DUMMYFUNCTION("""COMPUTED_VALUE"""),"No Aplica")</f>
        <v>No Aplica</v>
      </c>
      <c r="AQ209" s="97" t="str">
        <f>IFERROR(__xludf.DUMMYFUNCTION("""COMPUTED_VALUE"""),"No Aplica")</f>
        <v>No Aplica</v>
      </c>
      <c r="AR209" s="97" t="str">
        <f>IFERROR(__xludf.DUMMYFUNCTION("""COMPUTED_VALUE"""),"No Aplica")</f>
        <v>No Aplica</v>
      </c>
      <c r="AS209" s="97"/>
      <c r="AT209" s="97"/>
      <c r="AU209" s="97"/>
      <c r="AV209" s="97" t="str">
        <f>IFERROR(__xludf.DUMMYFUNCTION("""COMPUTED_VALUE"""),"Accesorio")</f>
        <v>Accesorio</v>
      </c>
      <c r="AW209" s="97" t="str">
        <f>IFERROR(__xludf.DUMMYFUNCTION("""COMPUTED_VALUE"""),"De Techo")</f>
        <v>De Techo</v>
      </c>
      <c r="AX209" s="97" t="str">
        <f>IFERROR(__xludf.DUMMYFUNCTION("""COMPUTED_VALUE"""),"Interior")</f>
        <v>Interior</v>
      </c>
      <c r="AY209" s="97"/>
      <c r="AZ209" s="97"/>
      <c r="BA209" s="97"/>
      <c r="BB209" s="97"/>
      <c r="BC209" s="97"/>
      <c r="BD209" s="97" t="str">
        <f>IFERROR(__xludf.DUMMYFUNCTION("""COMPUTED_VALUE"""),"BASE P/COLGANTE PLANA 2L")</f>
        <v>BASE P/COLGANTE PLANA 2L</v>
      </c>
      <c r="BE209" s="97" t="str">
        <f>IFERROR(__xludf.DUMMYFUNCTION("""COMPUTED_VALUE"""),"Sin Ficha")</f>
        <v>Sin Ficha</v>
      </c>
      <c r="BF209" s="97"/>
      <c r="BG209" s="97" t="str">
        <f>IFERROR(__xludf.DUMMYFUNCTION("""COMPUTED_VALUE"""),"Discontinuo")</f>
        <v>Discontinuo</v>
      </c>
    </row>
    <row r="210">
      <c r="A210" s="97">
        <f>IFERROR(__xludf.DUMMYFUNCTION("""COMPUTED_VALUE"""),3829.0)</f>
        <v>3829</v>
      </c>
      <c r="B210" s="97" t="str">
        <f>IFERROR(__xludf.DUMMYFUNCTION("""COMPUTED_VALUE"""),"BASE P/COLGANTE PLANA 2L NG")</f>
        <v>BASE P/COLGANTE PLANA 2L NG</v>
      </c>
      <c r="C210" s="97" t="str">
        <f>IFERROR(__xludf.DUMMYFUNCTION("""COMPUTED_VALUE"""),"BASE P/COLGANTE PLANA 2L NEGRO ")</f>
        <v>BASE P/COLGANTE PLANA 2L NEGRO </v>
      </c>
      <c r="D210" s="97"/>
      <c r="E210" s="97"/>
      <c r="F210" s="97" t="str">
        <f>IFERROR(__xludf.DUMMYFUNCTION("""COMPUTED_VALUE"""),"N/A")</f>
        <v>N/A</v>
      </c>
      <c r="G210" s="97" t="str">
        <f>IFERROR(__xludf.DUMMYFUNCTION("""COMPUTED_VALUE"""),"N/A")</f>
        <v>N/A</v>
      </c>
      <c r="H210" s="97" t="str">
        <f>IFERROR(__xludf.DUMMYFUNCTION("""COMPUTED_VALUE"""),"N/A")</f>
        <v>N/A</v>
      </c>
      <c r="I210" s="97" t="str">
        <f>IFERROR(__xludf.DUMMYFUNCTION("""COMPUTED_VALUE"""),"N/A")</f>
        <v>N/A</v>
      </c>
      <c r="J210" s="97"/>
      <c r="K210" s="97" t="str">
        <f>IFERROR(__xludf.DUMMYFUNCTION("""COMPUTED_VALUE"""),"N/A")</f>
        <v>N/A</v>
      </c>
      <c r="L210" s="97"/>
      <c r="M210" s="97"/>
      <c r="N210" s="97"/>
      <c r="O210" s="97"/>
      <c r="P210" s="97"/>
      <c r="Q210" s="97" t="str">
        <f>IFERROR(__xludf.DUMMYFUNCTION("""COMPUTED_VALUE"""),"-")</f>
        <v>-</v>
      </c>
      <c r="R210" s="97" t="str">
        <f>IFERROR(__xludf.DUMMYFUNCTION("""COMPUTED_VALUE"""),"-")</f>
        <v>-</v>
      </c>
      <c r="S210" s="97" t="str">
        <f>IFERROR(__xludf.DUMMYFUNCTION("""COMPUTED_VALUE"""),"-")</f>
        <v>-</v>
      </c>
      <c r="T210" s="97" t="str">
        <f>IFERROR(__xludf.DUMMYFUNCTION("""COMPUTED_VALUE"""),"-")</f>
        <v>-</v>
      </c>
      <c r="U210" s="97" t="str">
        <f>IFERROR(__xludf.DUMMYFUNCTION("""COMPUTED_VALUE"""),"-")</f>
        <v>-</v>
      </c>
      <c r="V210" s="97" t="str">
        <f>IFERROR(__xludf.DUMMYFUNCTION("""COMPUTED_VALUE"""),"N/A")</f>
        <v>N/A</v>
      </c>
      <c r="W210" s="97" t="str">
        <f>IFERROR(__xludf.DUMMYFUNCTION("""COMPUTED_VALUE"""),"N/A")</f>
        <v>N/A</v>
      </c>
      <c r="X210" s="97" t="str">
        <f>IFERROR(__xludf.DUMMYFUNCTION("""COMPUTED_VALUE"""),"-")</f>
        <v>-</v>
      </c>
      <c r="Y210" s="97" t="str">
        <f>IFERROR(__xludf.DUMMYFUNCTION("""COMPUTED_VALUE"""),"N/A")</f>
        <v>N/A</v>
      </c>
      <c r="Z210" s="97" t="str">
        <f>IFERROR(__xludf.DUMMYFUNCTION("""COMPUTED_VALUE"""),"N/A")</f>
        <v>N/A</v>
      </c>
      <c r="AA210" s="97" t="str">
        <f>IFERROR(__xludf.DUMMYFUNCTION("""COMPUTED_VALUE"""),"N/A")</f>
        <v>N/A</v>
      </c>
      <c r="AB210" s="97" t="str">
        <f>IFERROR(__xludf.DUMMYFUNCTION("""COMPUTED_VALUE"""),"N/A")</f>
        <v>N/A</v>
      </c>
      <c r="AC210" s="97" t="str">
        <f>IFERROR(__xludf.DUMMYFUNCTION("""COMPUTED_VALUE"""),"N/A")</f>
        <v>N/A</v>
      </c>
      <c r="AD210" s="97" t="str">
        <f>IFERROR(__xludf.DUMMYFUNCTION("""COMPUTED_VALUE"""),"N/A")</f>
        <v>N/A</v>
      </c>
      <c r="AE210" s="97" t="str">
        <f>IFERROR(__xludf.DUMMYFUNCTION("""COMPUTED_VALUE"""),"N/A")</f>
        <v>N/A</v>
      </c>
      <c r="AF210" s="97" t="str">
        <f>IFERROR(__xludf.DUMMYFUNCTION("""COMPUTED_VALUE"""),"N/A")</f>
        <v>N/A</v>
      </c>
      <c r="AG210" s="97"/>
      <c r="AH210" s="97"/>
      <c r="AI210" s="97"/>
      <c r="AJ210" s="97" t="str">
        <f>IFERROR(__xludf.DUMMYFUNCTION("""COMPUTED_VALUE"""),"N/A")</f>
        <v>N/A</v>
      </c>
      <c r="AK210" s="97"/>
      <c r="AL210" s="97"/>
      <c r="AM210" s="97" t="str">
        <f>IFERROR(__xludf.DUMMYFUNCTION("""COMPUTED_VALUE"""),"-")</f>
        <v>-</v>
      </c>
      <c r="AN210" s="97" t="str">
        <f>IFERROR(__xludf.DUMMYFUNCTION("""COMPUTED_VALUE"""),"N/A")</f>
        <v>N/A</v>
      </c>
      <c r="AO210" s="97" t="str">
        <f>IFERROR(__xludf.DUMMYFUNCTION("""COMPUTED_VALUE"""),"1 Año")</f>
        <v>1 Año</v>
      </c>
      <c r="AP210" s="97" t="str">
        <f>IFERROR(__xludf.DUMMYFUNCTION("""COMPUTED_VALUE"""),"No Aplica")</f>
        <v>No Aplica</v>
      </c>
      <c r="AQ210" s="97" t="str">
        <f>IFERROR(__xludf.DUMMYFUNCTION("""COMPUTED_VALUE"""),"No Aplica")</f>
        <v>No Aplica</v>
      </c>
      <c r="AR210" s="97" t="str">
        <f>IFERROR(__xludf.DUMMYFUNCTION("""COMPUTED_VALUE"""),"No Aplica")</f>
        <v>No Aplica</v>
      </c>
      <c r="AS210" s="97"/>
      <c r="AT210" s="97"/>
      <c r="AU210" s="97"/>
      <c r="AV210" s="97" t="str">
        <f>IFERROR(__xludf.DUMMYFUNCTION("""COMPUTED_VALUE"""),"Accesorio")</f>
        <v>Accesorio</v>
      </c>
      <c r="AW210" s="97" t="str">
        <f>IFERROR(__xludf.DUMMYFUNCTION("""COMPUTED_VALUE"""),"De Techo")</f>
        <v>De Techo</v>
      </c>
      <c r="AX210" s="97" t="str">
        <f>IFERROR(__xludf.DUMMYFUNCTION("""COMPUTED_VALUE"""),"Interior")</f>
        <v>Interior</v>
      </c>
      <c r="AY210" s="97"/>
      <c r="AZ210" s="97"/>
      <c r="BA210" s="97"/>
      <c r="BB210" s="97"/>
      <c r="BC210" s="97"/>
      <c r="BD210" s="97" t="str">
        <f>IFERROR(__xludf.DUMMYFUNCTION("""COMPUTED_VALUE"""),"BASE P/COLGANTE PLANA 2L ")</f>
        <v>BASE P/COLGANTE PLANA 2L </v>
      </c>
      <c r="BE210" s="97" t="str">
        <f>IFERROR(__xludf.DUMMYFUNCTION("""COMPUTED_VALUE"""),"Sin Ficha")</f>
        <v>Sin Ficha</v>
      </c>
      <c r="BF210" s="97"/>
      <c r="BG210" s="97" t="str">
        <f>IFERROR(__xludf.DUMMYFUNCTION("""COMPUTED_VALUE"""),"Discontinuo")</f>
        <v>Discontinuo</v>
      </c>
    </row>
    <row r="211">
      <c r="A211" s="97">
        <f>IFERROR(__xludf.DUMMYFUNCTION("""COMPUTED_VALUE"""),3830.0)</f>
        <v>3830</v>
      </c>
      <c r="B211" s="97" t="str">
        <f>IFERROR(__xludf.DUMMYFUNCTION("""COMPUTED_VALUE"""),"BASE P/COLGANTE CUBO 3L NG")</f>
        <v>BASE P/COLGANTE CUBO 3L NG</v>
      </c>
      <c r="C211" s="97" t="str">
        <f>IFERROR(__xludf.DUMMYFUNCTION("""COMPUTED_VALUE"""),"BASE P/COLGANTE CUBO 3L NEGRO")</f>
        <v>BASE P/COLGANTE CUBO 3L NEGRO</v>
      </c>
      <c r="D211" s="97"/>
      <c r="E211" s="97"/>
      <c r="F211" s="97" t="str">
        <f>IFERROR(__xludf.DUMMYFUNCTION("""COMPUTED_VALUE"""),"N/A")</f>
        <v>N/A</v>
      </c>
      <c r="G211" s="97" t="str">
        <f>IFERROR(__xludf.DUMMYFUNCTION("""COMPUTED_VALUE"""),"N/A")</f>
        <v>N/A</v>
      </c>
      <c r="H211" s="97" t="str">
        <f>IFERROR(__xludf.DUMMYFUNCTION("""COMPUTED_VALUE"""),"N/A")</f>
        <v>N/A</v>
      </c>
      <c r="I211" s="97" t="str">
        <f>IFERROR(__xludf.DUMMYFUNCTION("""COMPUTED_VALUE"""),"N/A")</f>
        <v>N/A</v>
      </c>
      <c r="J211" s="97"/>
      <c r="K211" s="97" t="str">
        <f>IFERROR(__xludf.DUMMYFUNCTION("""COMPUTED_VALUE"""),"N/A")</f>
        <v>N/A</v>
      </c>
      <c r="L211" s="97"/>
      <c r="M211" s="97"/>
      <c r="N211" s="97"/>
      <c r="O211" s="97"/>
      <c r="P211" s="97"/>
      <c r="Q211" s="97" t="str">
        <f>IFERROR(__xludf.DUMMYFUNCTION("""COMPUTED_VALUE"""),"-")</f>
        <v>-</v>
      </c>
      <c r="R211" s="97" t="str">
        <f>IFERROR(__xludf.DUMMYFUNCTION("""COMPUTED_VALUE"""),"-")</f>
        <v>-</v>
      </c>
      <c r="S211" s="97" t="str">
        <f>IFERROR(__xludf.DUMMYFUNCTION("""COMPUTED_VALUE"""),"-")</f>
        <v>-</v>
      </c>
      <c r="T211" s="97" t="str">
        <f>IFERROR(__xludf.DUMMYFUNCTION("""COMPUTED_VALUE"""),"-")</f>
        <v>-</v>
      </c>
      <c r="U211" s="97" t="str">
        <f>IFERROR(__xludf.DUMMYFUNCTION("""COMPUTED_VALUE"""),"-")</f>
        <v>-</v>
      </c>
      <c r="V211" s="97" t="str">
        <f>IFERROR(__xludf.DUMMYFUNCTION("""COMPUTED_VALUE"""),"N/A")</f>
        <v>N/A</v>
      </c>
      <c r="W211" s="97" t="str">
        <f>IFERROR(__xludf.DUMMYFUNCTION("""COMPUTED_VALUE"""),"N/A")</f>
        <v>N/A</v>
      </c>
      <c r="X211" s="97" t="str">
        <f>IFERROR(__xludf.DUMMYFUNCTION("""COMPUTED_VALUE"""),"-")</f>
        <v>-</v>
      </c>
      <c r="Y211" s="97" t="str">
        <f>IFERROR(__xludf.DUMMYFUNCTION("""COMPUTED_VALUE"""),"N/A")</f>
        <v>N/A</v>
      </c>
      <c r="Z211" s="97" t="str">
        <f>IFERROR(__xludf.DUMMYFUNCTION("""COMPUTED_VALUE"""),"N/A")</f>
        <v>N/A</v>
      </c>
      <c r="AA211" s="97" t="str">
        <f>IFERROR(__xludf.DUMMYFUNCTION("""COMPUTED_VALUE"""),"N/A")</f>
        <v>N/A</v>
      </c>
      <c r="AB211" s="97" t="str">
        <f>IFERROR(__xludf.DUMMYFUNCTION("""COMPUTED_VALUE"""),"N/A")</f>
        <v>N/A</v>
      </c>
      <c r="AC211" s="97" t="str">
        <f>IFERROR(__xludf.DUMMYFUNCTION("""COMPUTED_VALUE"""),"N/A")</f>
        <v>N/A</v>
      </c>
      <c r="AD211" s="97" t="str">
        <f>IFERROR(__xludf.DUMMYFUNCTION("""COMPUTED_VALUE"""),"N/A")</f>
        <v>N/A</v>
      </c>
      <c r="AE211" s="97" t="str">
        <f>IFERROR(__xludf.DUMMYFUNCTION("""COMPUTED_VALUE"""),"N/A")</f>
        <v>N/A</v>
      </c>
      <c r="AF211" s="97" t="str">
        <f>IFERROR(__xludf.DUMMYFUNCTION("""COMPUTED_VALUE"""),"N/A")</f>
        <v>N/A</v>
      </c>
      <c r="AG211" s="97"/>
      <c r="AH211" s="97"/>
      <c r="AI211" s="97"/>
      <c r="AJ211" s="97" t="str">
        <f>IFERROR(__xludf.DUMMYFUNCTION("""COMPUTED_VALUE"""),"N/A")</f>
        <v>N/A</v>
      </c>
      <c r="AK211" s="97"/>
      <c r="AL211" s="97"/>
      <c r="AM211" s="97" t="str">
        <f>IFERROR(__xludf.DUMMYFUNCTION("""COMPUTED_VALUE"""),"-")</f>
        <v>-</v>
      </c>
      <c r="AN211" s="97" t="str">
        <f>IFERROR(__xludf.DUMMYFUNCTION("""COMPUTED_VALUE"""),"N/A")</f>
        <v>N/A</v>
      </c>
      <c r="AO211" s="97" t="str">
        <f>IFERROR(__xludf.DUMMYFUNCTION("""COMPUTED_VALUE"""),"1 Año")</f>
        <v>1 Año</v>
      </c>
      <c r="AP211" s="97" t="str">
        <f>IFERROR(__xludf.DUMMYFUNCTION("""COMPUTED_VALUE"""),"No Aplica")</f>
        <v>No Aplica</v>
      </c>
      <c r="AQ211" s="97" t="str">
        <f>IFERROR(__xludf.DUMMYFUNCTION("""COMPUTED_VALUE"""),"No Aplica")</f>
        <v>No Aplica</v>
      </c>
      <c r="AR211" s="97" t="str">
        <f>IFERROR(__xludf.DUMMYFUNCTION("""COMPUTED_VALUE"""),"No Aplica")</f>
        <v>No Aplica</v>
      </c>
      <c r="AS211" s="97"/>
      <c r="AT211" s="97"/>
      <c r="AU211" s="97"/>
      <c r="AV211" s="97" t="str">
        <f>IFERROR(__xludf.DUMMYFUNCTION("""COMPUTED_VALUE"""),"Accesorio")</f>
        <v>Accesorio</v>
      </c>
      <c r="AW211" s="97" t="str">
        <f>IFERROR(__xludf.DUMMYFUNCTION("""COMPUTED_VALUE"""),"De Techo")</f>
        <v>De Techo</v>
      </c>
      <c r="AX211" s="97" t="str">
        <f>IFERROR(__xludf.DUMMYFUNCTION("""COMPUTED_VALUE"""),"Interior")</f>
        <v>Interior</v>
      </c>
      <c r="AY211" s="97"/>
      <c r="AZ211" s="97"/>
      <c r="BA211" s="97"/>
      <c r="BB211" s="97"/>
      <c r="BC211" s="97"/>
      <c r="BD211" s="97" t="str">
        <f>IFERROR(__xludf.DUMMYFUNCTION("""COMPUTED_VALUE"""),"BASE P/COLGANTE CUBO 3L")</f>
        <v>BASE P/COLGANTE CUBO 3L</v>
      </c>
      <c r="BE211" s="97" t="str">
        <f>IFERROR(__xludf.DUMMYFUNCTION("""COMPUTED_VALUE"""),"Sin Ficha")</f>
        <v>Sin Ficha</v>
      </c>
      <c r="BF211" s="97"/>
      <c r="BG211" s="97" t="str">
        <f>IFERROR(__xludf.DUMMYFUNCTION("""COMPUTED_VALUE"""),"Discontinuo")</f>
        <v>Discontinuo</v>
      </c>
    </row>
    <row r="212">
      <c r="A212" s="97">
        <f>IFERROR(__xludf.DUMMYFUNCTION("""COMPUTED_VALUE"""),3831.0)</f>
        <v>3831</v>
      </c>
      <c r="B212" s="97" t="str">
        <f>IFERROR(__xludf.DUMMYFUNCTION("""COMPUTED_VALUE"""),"BASE P/COLGANTE PLANA 3L BL")</f>
        <v>BASE P/COLGANTE PLANA 3L BL</v>
      </c>
      <c r="C212" s="97" t="str">
        <f>IFERROR(__xludf.DUMMYFUNCTION("""COMPUTED_VALUE"""),"BASE P/COLGANTE PLANA 3L BLANCO")</f>
        <v>BASE P/COLGANTE PLANA 3L BLANCO</v>
      </c>
      <c r="D212" s="97"/>
      <c r="E212" s="97"/>
      <c r="F212" s="97" t="str">
        <f>IFERROR(__xludf.DUMMYFUNCTION("""COMPUTED_VALUE"""),"N/A")</f>
        <v>N/A</v>
      </c>
      <c r="G212" s="97" t="str">
        <f>IFERROR(__xludf.DUMMYFUNCTION("""COMPUTED_VALUE"""),"N/A")</f>
        <v>N/A</v>
      </c>
      <c r="H212" s="97" t="str">
        <f>IFERROR(__xludf.DUMMYFUNCTION("""COMPUTED_VALUE"""),"N/A")</f>
        <v>N/A</v>
      </c>
      <c r="I212" s="97" t="str">
        <f>IFERROR(__xludf.DUMMYFUNCTION("""COMPUTED_VALUE"""),"N/A")</f>
        <v>N/A</v>
      </c>
      <c r="J212" s="97"/>
      <c r="K212" s="97" t="str">
        <f>IFERROR(__xludf.DUMMYFUNCTION("""COMPUTED_VALUE"""),"N/A")</f>
        <v>N/A</v>
      </c>
      <c r="L212" s="97"/>
      <c r="M212" s="97"/>
      <c r="N212" s="97"/>
      <c r="O212" s="97"/>
      <c r="P212" s="97"/>
      <c r="Q212" s="97" t="str">
        <f>IFERROR(__xludf.DUMMYFUNCTION("""COMPUTED_VALUE"""),"-")</f>
        <v>-</v>
      </c>
      <c r="R212" s="97" t="str">
        <f>IFERROR(__xludf.DUMMYFUNCTION("""COMPUTED_VALUE"""),"-")</f>
        <v>-</v>
      </c>
      <c r="S212" s="97" t="str">
        <f>IFERROR(__xludf.DUMMYFUNCTION("""COMPUTED_VALUE"""),"-")</f>
        <v>-</v>
      </c>
      <c r="T212" s="97" t="str">
        <f>IFERROR(__xludf.DUMMYFUNCTION("""COMPUTED_VALUE"""),"-")</f>
        <v>-</v>
      </c>
      <c r="U212" s="97" t="str">
        <f>IFERROR(__xludf.DUMMYFUNCTION("""COMPUTED_VALUE"""),"-")</f>
        <v>-</v>
      </c>
      <c r="V212" s="97" t="str">
        <f>IFERROR(__xludf.DUMMYFUNCTION("""COMPUTED_VALUE"""),"N/A")</f>
        <v>N/A</v>
      </c>
      <c r="W212" s="97" t="str">
        <f>IFERROR(__xludf.DUMMYFUNCTION("""COMPUTED_VALUE"""),"N/A")</f>
        <v>N/A</v>
      </c>
      <c r="X212" s="97" t="str">
        <f>IFERROR(__xludf.DUMMYFUNCTION("""COMPUTED_VALUE"""),"-")</f>
        <v>-</v>
      </c>
      <c r="Y212" s="97" t="str">
        <f>IFERROR(__xludf.DUMMYFUNCTION("""COMPUTED_VALUE"""),"N/A")</f>
        <v>N/A</v>
      </c>
      <c r="Z212" s="97" t="str">
        <f>IFERROR(__xludf.DUMMYFUNCTION("""COMPUTED_VALUE"""),"N/A")</f>
        <v>N/A</v>
      </c>
      <c r="AA212" s="97" t="str">
        <f>IFERROR(__xludf.DUMMYFUNCTION("""COMPUTED_VALUE"""),"N/A")</f>
        <v>N/A</v>
      </c>
      <c r="AB212" s="97" t="str">
        <f>IFERROR(__xludf.DUMMYFUNCTION("""COMPUTED_VALUE"""),"N/A")</f>
        <v>N/A</v>
      </c>
      <c r="AC212" s="97" t="str">
        <f>IFERROR(__xludf.DUMMYFUNCTION("""COMPUTED_VALUE"""),"N/A")</f>
        <v>N/A</v>
      </c>
      <c r="AD212" s="97" t="str">
        <f>IFERROR(__xludf.DUMMYFUNCTION("""COMPUTED_VALUE"""),"N/A")</f>
        <v>N/A</v>
      </c>
      <c r="AE212" s="97" t="str">
        <f>IFERROR(__xludf.DUMMYFUNCTION("""COMPUTED_VALUE"""),"N/A")</f>
        <v>N/A</v>
      </c>
      <c r="AF212" s="97" t="str">
        <f>IFERROR(__xludf.DUMMYFUNCTION("""COMPUTED_VALUE"""),"N/A")</f>
        <v>N/A</v>
      </c>
      <c r="AG212" s="97"/>
      <c r="AH212" s="97"/>
      <c r="AI212" s="97"/>
      <c r="AJ212" s="97" t="str">
        <f>IFERROR(__xludf.DUMMYFUNCTION("""COMPUTED_VALUE"""),"N/A")</f>
        <v>N/A</v>
      </c>
      <c r="AK212" s="97"/>
      <c r="AL212" s="97"/>
      <c r="AM212" s="97" t="str">
        <f>IFERROR(__xludf.DUMMYFUNCTION("""COMPUTED_VALUE"""),"-")</f>
        <v>-</v>
      </c>
      <c r="AN212" s="97" t="str">
        <f>IFERROR(__xludf.DUMMYFUNCTION("""COMPUTED_VALUE"""),"N/A")</f>
        <v>N/A</v>
      </c>
      <c r="AO212" s="97" t="str">
        <f>IFERROR(__xludf.DUMMYFUNCTION("""COMPUTED_VALUE"""),"1 Año")</f>
        <v>1 Año</v>
      </c>
      <c r="AP212" s="97" t="str">
        <f>IFERROR(__xludf.DUMMYFUNCTION("""COMPUTED_VALUE"""),"No Aplica")</f>
        <v>No Aplica</v>
      </c>
      <c r="AQ212" s="97" t="str">
        <f>IFERROR(__xludf.DUMMYFUNCTION("""COMPUTED_VALUE"""),"No Aplica")</f>
        <v>No Aplica</v>
      </c>
      <c r="AR212" s="97" t="str">
        <f>IFERROR(__xludf.DUMMYFUNCTION("""COMPUTED_VALUE"""),"No Aplica")</f>
        <v>No Aplica</v>
      </c>
      <c r="AS212" s="97"/>
      <c r="AT212" s="97"/>
      <c r="AU212" s="97"/>
      <c r="AV212" s="97" t="str">
        <f>IFERROR(__xludf.DUMMYFUNCTION("""COMPUTED_VALUE"""),"Accesorio")</f>
        <v>Accesorio</v>
      </c>
      <c r="AW212" s="97" t="str">
        <f>IFERROR(__xludf.DUMMYFUNCTION("""COMPUTED_VALUE"""),"De Techo")</f>
        <v>De Techo</v>
      </c>
      <c r="AX212" s="97" t="str">
        <f>IFERROR(__xludf.DUMMYFUNCTION("""COMPUTED_VALUE"""),"Interior")</f>
        <v>Interior</v>
      </c>
      <c r="AY212" s="97"/>
      <c r="AZ212" s="97"/>
      <c r="BA212" s="97"/>
      <c r="BB212" s="97"/>
      <c r="BC212" s="97"/>
      <c r="BD212" s="97" t="str">
        <f>IFERROR(__xludf.DUMMYFUNCTION("""COMPUTED_VALUE"""),"BASE P/COLGANTE PLANA 3L")</f>
        <v>BASE P/COLGANTE PLANA 3L</v>
      </c>
      <c r="BE212" s="97" t="str">
        <f>IFERROR(__xludf.DUMMYFUNCTION("""COMPUTED_VALUE"""),"Sin Ficha")</f>
        <v>Sin Ficha</v>
      </c>
      <c r="BF212" s="97"/>
      <c r="BG212" s="97" t="str">
        <f>IFERROR(__xludf.DUMMYFUNCTION("""COMPUTED_VALUE"""),"Discontinuo")</f>
        <v>Discontinuo</v>
      </c>
    </row>
    <row r="213">
      <c r="A213" s="97">
        <f>IFERROR(__xludf.DUMMYFUNCTION("""COMPUTED_VALUE"""),3832.0)</f>
        <v>3832</v>
      </c>
      <c r="B213" s="97" t="str">
        <f>IFERROR(__xludf.DUMMYFUNCTION("""COMPUTED_VALUE"""),"BASE P/COLGANTE CUBO 4L BL")</f>
        <v>BASE P/COLGANTE CUBO 4L BL</v>
      </c>
      <c r="C213" s="97" t="str">
        <f>IFERROR(__xludf.DUMMYFUNCTION("""COMPUTED_VALUE"""),"BASE P/COLGANTE CUBO 4L BLANCO ")</f>
        <v>BASE P/COLGANTE CUBO 4L BLANCO </v>
      </c>
      <c r="D213" s="97"/>
      <c r="E213" s="97"/>
      <c r="F213" s="97" t="str">
        <f>IFERROR(__xludf.DUMMYFUNCTION("""COMPUTED_VALUE"""),"N/A")</f>
        <v>N/A</v>
      </c>
      <c r="G213" s="97" t="str">
        <f>IFERROR(__xludf.DUMMYFUNCTION("""COMPUTED_VALUE"""),"N/A")</f>
        <v>N/A</v>
      </c>
      <c r="H213" s="97" t="str">
        <f>IFERROR(__xludf.DUMMYFUNCTION("""COMPUTED_VALUE"""),"N/A")</f>
        <v>N/A</v>
      </c>
      <c r="I213" s="97" t="str">
        <f>IFERROR(__xludf.DUMMYFUNCTION("""COMPUTED_VALUE"""),"N/A")</f>
        <v>N/A</v>
      </c>
      <c r="J213" s="97"/>
      <c r="K213" s="97" t="str">
        <f>IFERROR(__xludf.DUMMYFUNCTION("""COMPUTED_VALUE"""),"N/A")</f>
        <v>N/A</v>
      </c>
      <c r="L213" s="97"/>
      <c r="M213" s="97"/>
      <c r="N213" s="97"/>
      <c r="O213" s="97"/>
      <c r="P213" s="97"/>
      <c r="Q213" s="97" t="str">
        <f>IFERROR(__xludf.DUMMYFUNCTION("""COMPUTED_VALUE"""),"-")</f>
        <v>-</v>
      </c>
      <c r="R213" s="97" t="str">
        <f>IFERROR(__xludf.DUMMYFUNCTION("""COMPUTED_VALUE"""),"-")</f>
        <v>-</v>
      </c>
      <c r="S213" s="97" t="str">
        <f>IFERROR(__xludf.DUMMYFUNCTION("""COMPUTED_VALUE"""),"-")</f>
        <v>-</v>
      </c>
      <c r="T213" s="97" t="str">
        <f>IFERROR(__xludf.DUMMYFUNCTION("""COMPUTED_VALUE"""),"-")</f>
        <v>-</v>
      </c>
      <c r="U213" s="97" t="str">
        <f>IFERROR(__xludf.DUMMYFUNCTION("""COMPUTED_VALUE"""),"-")</f>
        <v>-</v>
      </c>
      <c r="V213" s="97" t="str">
        <f>IFERROR(__xludf.DUMMYFUNCTION("""COMPUTED_VALUE"""),"N/A")</f>
        <v>N/A</v>
      </c>
      <c r="W213" s="97" t="str">
        <f>IFERROR(__xludf.DUMMYFUNCTION("""COMPUTED_VALUE"""),"N/A")</f>
        <v>N/A</v>
      </c>
      <c r="X213" s="97" t="str">
        <f>IFERROR(__xludf.DUMMYFUNCTION("""COMPUTED_VALUE"""),"-")</f>
        <v>-</v>
      </c>
      <c r="Y213" s="97" t="str">
        <f>IFERROR(__xludf.DUMMYFUNCTION("""COMPUTED_VALUE"""),"N/A")</f>
        <v>N/A</v>
      </c>
      <c r="Z213" s="97" t="str">
        <f>IFERROR(__xludf.DUMMYFUNCTION("""COMPUTED_VALUE"""),"N/A")</f>
        <v>N/A</v>
      </c>
      <c r="AA213" s="97" t="str">
        <f>IFERROR(__xludf.DUMMYFUNCTION("""COMPUTED_VALUE"""),"N/A")</f>
        <v>N/A</v>
      </c>
      <c r="AB213" s="97" t="str">
        <f>IFERROR(__xludf.DUMMYFUNCTION("""COMPUTED_VALUE"""),"N/A")</f>
        <v>N/A</v>
      </c>
      <c r="AC213" s="97" t="str">
        <f>IFERROR(__xludf.DUMMYFUNCTION("""COMPUTED_VALUE"""),"N/A")</f>
        <v>N/A</v>
      </c>
      <c r="AD213" s="97" t="str">
        <f>IFERROR(__xludf.DUMMYFUNCTION("""COMPUTED_VALUE"""),"N/A")</f>
        <v>N/A</v>
      </c>
      <c r="AE213" s="97" t="str">
        <f>IFERROR(__xludf.DUMMYFUNCTION("""COMPUTED_VALUE"""),"N/A")</f>
        <v>N/A</v>
      </c>
      <c r="AF213" s="97" t="str">
        <f>IFERROR(__xludf.DUMMYFUNCTION("""COMPUTED_VALUE"""),"N/A")</f>
        <v>N/A</v>
      </c>
      <c r="AG213" s="97"/>
      <c r="AH213" s="97"/>
      <c r="AI213" s="97"/>
      <c r="AJ213" s="97" t="str">
        <f>IFERROR(__xludf.DUMMYFUNCTION("""COMPUTED_VALUE"""),"N/A")</f>
        <v>N/A</v>
      </c>
      <c r="AK213" s="97"/>
      <c r="AL213" s="97"/>
      <c r="AM213" s="97" t="str">
        <f>IFERROR(__xludf.DUMMYFUNCTION("""COMPUTED_VALUE"""),"-")</f>
        <v>-</v>
      </c>
      <c r="AN213" s="97" t="str">
        <f>IFERROR(__xludf.DUMMYFUNCTION("""COMPUTED_VALUE"""),"N/A")</f>
        <v>N/A</v>
      </c>
      <c r="AO213" s="97" t="str">
        <f>IFERROR(__xludf.DUMMYFUNCTION("""COMPUTED_VALUE"""),"1 Año")</f>
        <v>1 Año</v>
      </c>
      <c r="AP213" s="97" t="str">
        <f>IFERROR(__xludf.DUMMYFUNCTION("""COMPUTED_VALUE"""),"No Aplica")</f>
        <v>No Aplica</v>
      </c>
      <c r="AQ213" s="97" t="str">
        <f>IFERROR(__xludf.DUMMYFUNCTION("""COMPUTED_VALUE"""),"No Aplica")</f>
        <v>No Aplica</v>
      </c>
      <c r="AR213" s="97" t="str">
        <f>IFERROR(__xludf.DUMMYFUNCTION("""COMPUTED_VALUE"""),"No Aplica")</f>
        <v>No Aplica</v>
      </c>
      <c r="AS213" s="97"/>
      <c r="AT213" s="97"/>
      <c r="AU213" s="97"/>
      <c r="AV213" s="97" t="str">
        <f>IFERROR(__xludf.DUMMYFUNCTION("""COMPUTED_VALUE"""),"Accesorio")</f>
        <v>Accesorio</v>
      </c>
      <c r="AW213" s="97" t="str">
        <f>IFERROR(__xludf.DUMMYFUNCTION("""COMPUTED_VALUE"""),"De Techo")</f>
        <v>De Techo</v>
      </c>
      <c r="AX213" s="97" t="str">
        <f>IFERROR(__xludf.DUMMYFUNCTION("""COMPUTED_VALUE"""),"Interior")</f>
        <v>Interior</v>
      </c>
      <c r="AY213" s="97"/>
      <c r="AZ213" s="97"/>
      <c r="BA213" s="97"/>
      <c r="BB213" s="97"/>
      <c r="BC213" s="97"/>
      <c r="BD213" s="97" t="str">
        <f>IFERROR(__xludf.DUMMYFUNCTION("""COMPUTED_VALUE"""),"BASE P/COLGANTE CUBO 4L ")</f>
        <v>BASE P/COLGANTE CUBO 4L </v>
      </c>
      <c r="BE213" s="97" t="str">
        <f>IFERROR(__xludf.DUMMYFUNCTION("""COMPUTED_VALUE"""),"Sin Ficha")</f>
        <v>Sin Ficha</v>
      </c>
      <c r="BF213" s="97"/>
      <c r="BG213" s="97" t="str">
        <f>IFERROR(__xludf.DUMMYFUNCTION("""COMPUTED_VALUE"""),"Discontinuo")</f>
        <v>Discontinuo</v>
      </c>
    </row>
    <row r="214">
      <c r="A214" s="97">
        <f>IFERROR(__xludf.DUMMYFUNCTION("""COMPUTED_VALUE"""),3918.0)</f>
        <v>3918</v>
      </c>
      <c r="B214" s="97" t="str">
        <f>IFERROR(__xludf.DUMMYFUNCTION("""COMPUTED_VALUE"""),"TACHO AR111 BL")</f>
        <v>TACHO AR111 BL</v>
      </c>
      <c r="C214" s="97" t="str">
        <f>IFERROR(__xludf.DUMMYFUNCTION("""COMPUTED_VALUE"""),"TACHO CABEZAL AR111 BLANCO PROYECTOR")</f>
        <v>TACHO CABEZAL AR111 BLANCO PROYECTOR</v>
      </c>
      <c r="D214" s="97">
        <f>IFERROR(__xludf.DUMMYFUNCTION("""COMPUTED_VALUE"""),7.798328754509E12)</f>
        <v>7798328754509</v>
      </c>
      <c r="E214" s="97" t="str">
        <f>IFERROR(__xludf.DUMMYFUNCTION("""COMPUTED_VALUE"""),"-")</f>
        <v>-</v>
      </c>
      <c r="F214" s="97" t="str">
        <f>IFERROR(__xludf.DUMMYFUNCTION("""COMPUTED_VALUE"""),"1xGU10 AR111")</f>
        <v>1xGU10 AR111</v>
      </c>
      <c r="G214" s="97"/>
      <c r="H214" s="97"/>
      <c r="I214" s="97" t="str">
        <f>IFERROR(__xludf.DUMMYFUNCTION("""COMPUTED_VALUE"""),"N/A")</f>
        <v>N/A</v>
      </c>
      <c r="J214" s="97"/>
      <c r="K214" s="97" t="str">
        <f>IFERROR(__xludf.DUMMYFUNCTION("""COMPUTED_VALUE"""),"N/A")</f>
        <v>N/A</v>
      </c>
      <c r="L214" s="97"/>
      <c r="M214" s="97"/>
      <c r="N214" s="97"/>
      <c r="O214" s="97"/>
      <c r="P214" s="97"/>
      <c r="Q214" s="97"/>
      <c r="R214" s="97"/>
      <c r="S214" s="97"/>
      <c r="T214" s="97"/>
      <c r="U214" s="97"/>
      <c r="V214" s="97"/>
      <c r="W214" s="97"/>
      <c r="X214" s="97"/>
      <c r="Y214" s="97"/>
      <c r="Z214" s="97"/>
      <c r="AA214" s="97"/>
      <c r="AB214" s="97"/>
      <c r="AC214" s="97"/>
      <c r="AD214" s="97" t="str">
        <f>IFERROR(__xludf.DUMMYFUNCTION("""COMPUTED_VALUE"""),"IP20")</f>
        <v>IP20</v>
      </c>
      <c r="AE214" s="97"/>
      <c r="AF214" s="97" t="str">
        <f>IFERROR(__xludf.DUMMYFUNCTION("""COMPUTED_VALUE"""),"Cabezal")</f>
        <v>Cabezal</v>
      </c>
      <c r="AG214" s="97"/>
      <c r="AH214" s="97"/>
      <c r="AI214" s="97"/>
      <c r="AJ214" s="97"/>
      <c r="AK214" s="97"/>
      <c r="AL214" s="97"/>
      <c r="AM214" s="97"/>
      <c r="AN214" s="97"/>
      <c r="AO214" s="97" t="str">
        <f>IFERROR(__xludf.DUMMYFUNCTION("""COMPUTED_VALUE"""),"2 Años")</f>
        <v>2 Años</v>
      </c>
      <c r="AP214" s="97"/>
      <c r="AQ214" s="97"/>
      <c r="AR214" s="97"/>
      <c r="AS214" s="97"/>
      <c r="AT214" s="97"/>
      <c r="AU214" s="97"/>
      <c r="AV214" s="97" t="str">
        <f>IFERROR(__xludf.DUMMYFUNCTION("""COMPUTED_VALUE"""),"Cabezal")</f>
        <v>Cabezal</v>
      </c>
      <c r="AW214" s="97" t="str">
        <f>IFERROR(__xludf.DUMMYFUNCTION("""COMPUTED_VALUE"""),"De Techo")</f>
        <v>De Techo</v>
      </c>
      <c r="AX214" s="97" t="str">
        <f>IFERROR(__xludf.DUMMYFUNCTION("""COMPUTED_VALUE"""),"Interior")</f>
        <v>Interior</v>
      </c>
      <c r="AY214" s="97"/>
      <c r="AZ214" s="97"/>
      <c r="BA214" s="97"/>
      <c r="BB214" s="97"/>
      <c r="BC214" s="97"/>
      <c r="BD214" s="97" t="str">
        <f>IFERROR(__xludf.DUMMYFUNCTION("""COMPUTED_VALUE"""),"TACHO AR111")</f>
        <v>TACHO AR111</v>
      </c>
      <c r="BE214" s="97" t="str">
        <f>IFERROR(__xludf.DUMMYFUNCTION("""COMPUTED_VALUE"""),"Sin Ficha")</f>
        <v>Sin Ficha</v>
      </c>
      <c r="BF214" s="97"/>
      <c r="BG214" s="97" t="str">
        <f>IFERROR(__xludf.DUMMYFUNCTION("""COMPUTED_VALUE"""),"Discontinuo")</f>
        <v>Discontinuo</v>
      </c>
    </row>
    <row r="215">
      <c r="A215" s="97">
        <f>IFERROR(__xludf.DUMMYFUNCTION("""COMPUTED_VALUE"""),3919.0)</f>
        <v>3919</v>
      </c>
      <c r="B215" s="97" t="str">
        <f>IFERROR(__xludf.DUMMYFUNCTION("""COMPUTED_VALUE"""),"SPOT AR111 BL")</f>
        <v>SPOT AR111 BL</v>
      </c>
      <c r="C215" s="97" t="str">
        <f>IFERROR(__xludf.DUMMYFUNCTION("""COMPUTED_VALUE"""),"SPOT SEMIEMBUTIDO REDONDO BLANCO AR111 LEUK")</f>
        <v>SPOT SEMIEMBUTIDO REDONDO BLANCO AR111 LEUK</v>
      </c>
      <c r="D215" s="97"/>
      <c r="E215" s="97" t="str">
        <f>IFERROR(__xludf.DUMMYFUNCTION("""COMPUTED_VALUE"""),"-")</f>
        <v>-</v>
      </c>
      <c r="F215" s="97" t="str">
        <f>IFERROR(__xludf.DUMMYFUNCTION("""COMPUTED_VALUE"""),"1 x GU10")</f>
        <v>1 x GU10</v>
      </c>
      <c r="G215" s="97" t="str">
        <f>IFERROR(__xludf.DUMMYFUNCTION("""COMPUTED_VALUE"""),"N/A")</f>
        <v>N/A</v>
      </c>
      <c r="H215" s="97" t="str">
        <f>IFERROR(__xludf.DUMMYFUNCTION("""COMPUTED_VALUE"""),"N/A")</f>
        <v>N/A</v>
      </c>
      <c r="I215" s="97" t="str">
        <f>IFERROR(__xludf.DUMMYFUNCTION("""COMPUTED_VALUE"""),"N/A")</f>
        <v>N/A</v>
      </c>
      <c r="J215" s="97"/>
      <c r="K215" s="97" t="str">
        <f>IFERROR(__xludf.DUMMYFUNCTION("""COMPUTED_VALUE"""),"N/A")</f>
        <v>N/A</v>
      </c>
      <c r="L215" s="97">
        <f>IFERROR(__xludf.DUMMYFUNCTION("""COMPUTED_VALUE"""),220.0)</f>
        <v>220</v>
      </c>
      <c r="M215" s="97">
        <f>IFERROR(__xludf.DUMMYFUNCTION("""COMPUTED_VALUE"""),50.0)</f>
        <v>50</v>
      </c>
      <c r="N215" s="97"/>
      <c r="O215" s="97" t="str">
        <f>IFERROR(__xludf.DUMMYFUNCTION("""COMPUTED_VALUE"""),"1 x 50W Max")</f>
        <v>1 x 50W Max</v>
      </c>
      <c r="P215" s="97"/>
      <c r="Q215" s="97" t="str">
        <f>IFERROR(__xludf.DUMMYFUNCTION("""COMPUTED_VALUE"""),"-")</f>
        <v>-</v>
      </c>
      <c r="R215" s="97" t="str">
        <f>IFERROR(__xludf.DUMMYFUNCTION("""COMPUTED_VALUE"""),"-")</f>
        <v>-</v>
      </c>
      <c r="S215" s="97" t="str">
        <f>IFERROR(__xludf.DUMMYFUNCTION("""COMPUTED_VALUE"""),"-")</f>
        <v>-</v>
      </c>
      <c r="T215" s="97" t="str">
        <f>IFERROR(__xludf.DUMMYFUNCTION("""COMPUTED_VALUE"""),"-")</f>
        <v>-</v>
      </c>
      <c r="U215" s="97" t="str">
        <f>IFERROR(__xludf.DUMMYFUNCTION("""COMPUTED_VALUE"""),"-")</f>
        <v>-</v>
      </c>
      <c r="V215" s="97" t="str">
        <f>IFERROR(__xludf.DUMMYFUNCTION("""COMPUTED_VALUE"""),"N/A")</f>
        <v>N/A</v>
      </c>
      <c r="W215" s="97" t="str">
        <f>IFERROR(__xludf.DUMMYFUNCTION("""COMPUTED_VALUE"""),"N/A")</f>
        <v>N/A</v>
      </c>
      <c r="X215" s="97" t="str">
        <f>IFERROR(__xludf.DUMMYFUNCTION("""COMPUTED_VALUE"""),"-")</f>
        <v>-</v>
      </c>
      <c r="Y215" s="97" t="str">
        <f>IFERROR(__xludf.DUMMYFUNCTION("""COMPUTED_VALUE"""),"N/A")</f>
        <v>N/A</v>
      </c>
      <c r="Z215" s="97" t="str">
        <f>IFERROR(__xludf.DUMMYFUNCTION("""COMPUTED_VALUE"""),"N/A")</f>
        <v>N/A</v>
      </c>
      <c r="AA215" s="97" t="str">
        <f>IFERROR(__xludf.DUMMYFUNCTION("""COMPUTED_VALUE"""),"N/A")</f>
        <v>N/A</v>
      </c>
      <c r="AB215" s="97" t="str">
        <f>IFERROR(__xludf.DUMMYFUNCTION("""COMPUTED_VALUE"""),"N/A")</f>
        <v>N/A</v>
      </c>
      <c r="AC215" s="97" t="str">
        <f>IFERROR(__xludf.DUMMYFUNCTION("""COMPUTED_VALUE"""),"N/A")</f>
        <v>N/A</v>
      </c>
      <c r="AD215" s="97" t="str">
        <f>IFERROR(__xludf.DUMMYFUNCTION("""COMPUTED_VALUE"""),"IP20")</f>
        <v>IP20</v>
      </c>
      <c r="AE215" s="97" t="str">
        <f>IFERROR(__xludf.DUMMYFUNCTION("""COMPUTED_VALUE"""),"N/A")</f>
        <v>N/A</v>
      </c>
      <c r="AF215" s="97" t="str">
        <f>IFERROR(__xludf.DUMMYFUNCTION("""COMPUTED_VALUE"""),"Embutir")</f>
        <v>Embutir</v>
      </c>
      <c r="AG215" s="97" t="str">
        <f>IFERROR(__xludf.DUMMYFUNCTION("""COMPUTED_VALUE"""),"-")</f>
        <v>-</v>
      </c>
      <c r="AH215" s="97" t="str">
        <f>IFERROR(__xludf.DUMMYFUNCTION("""COMPUTED_VALUE"""),"-")</f>
        <v>-</v>
      </c>
      <c r="AI215" s="97" t="str">
        <f>IFERROR(__xludf.DUMMYFUNCTION("""COMPUTED_VALUE"""),"-")</f>
        <v>-</v>
      </c>
      <c r="AJ215" s="97" t="str">
        <f>IFERROR(__xludf.DUMMYFUNCTION("""COMPUTED_VALUE"""),"N/A")</f>
        <v>N/A</v>
      </c>
      <c r="AK215" s="97" t="str">
        <f>IFERROR(__xludf.DUMMYFUNCTION("""COMPUTED_VALUE"""),"Acero")</f>
        <v>Acero</v>
      </c>
      <c r="AL215" s="97"/>
      <c r="AM215" s="97" t="str">
        <f>IFERROR(__xludf.DUMMYFUNCTION("""COMPUTED_VALUE"""),"-")</f>
        <v>-</v>
      </c>
      <c r="AN215" s="97" t="str">
        <f>IFERROR(__xludf.DUMMYFUNCTION("""COMPUTED_VALUE"""),"N/A")</f>
        <v>N/A</v>
      </c>
      <c r="AO215" s="97" t="str">
        <f>IFERROR(__xludf.DUMMYFUNCTION("""COMPUTED_VALUE"""),"1 Año")</f>
        <v>1 Año</v>
      </c>
      <c r="AP215" s="97" t="str">
        <f>IFERROR(__xludf.DUMMYFUNCTION("""COMPUTED_VALUE"""),"No Aplica")</f>
        <v>No Aplica</v>
      </c>
      <c r="AQ215" s="97" t="str">
        <f>IFERROR(__xludf.DUMMYFUNCTION("""COMPUTED_VALUE"""),"No Aplica")</f>
        <v>No Aplica</v>
      </c>
      <c r="AR215" s="97" t="str">
        <f>IFERROR(__xludf.DUMMYFUNCTION("""COMPUTED_VALUE"""),"No Aplica")</f>
        <v>No Aplica</v>
      </c>
      <c r="AS215" s="97"/>
      <c r="AT215" s="97"/>
      <c r="AU215" s="97"/>
      <c r="AV215" s="97" t="str">
        <f>IFERROR(__xludf.DUMMYFUNCTION("""COMPUTED_VALUE"""),"Empotrable")</f>
        <v>Empotrable</v>
      </c>
      <c r="AW215" s="97" t="str">
        <f>IFERROR(__xludf.DUMMYFUNCTION("""COMPUTED_VALUE"""),"De Techo")</f>
        <v>De Techo</v>
      </c>
      <c r="AX215" s="97" t="str">
        <f>IFERROR(__xludf.DUMMYFUNCTION("""COMPUTED_VALUE"""),"Interior")</f>
        <v>Interior</v>
      </c>
      <c r="AY215" s="97"/>
      <c r="AZ215" s="97"/>
      <c r="BA215" s="97"/>
      <c r="BB215" s="97"/>
      <c r="BC215" s="97"/>
      <c r="BD215" s="97" t="str">
        <f>IFERROR(__xludf.DUMMYFUNCTION("""COMPUTED_VALUE"""),"SPOT AR111")</f>
        <v>SPOT AR111</v>
      </c>
      <c r="BE215" s="97" t="str">
        <f>IFERROR(__xludf.DUMMYFUNCTION("""COMPUTED_VALUE"""),"Sin Ficha")</f>
        <v>Sin Ficha</v>
      </c>
      <c r="BF215" s="97"/>
      <c r="BG215" s="97" t="str">
        <f>IFERROR(__xludf.DUMMYFUNCTION("""COMPUTED_VALUE"""),"Discontinuo")</f>
        <v>Discontinuo</v>
      </c>
    </row>
    <row r="216">
      <c r="A216" s="97">
        <f>IFERROR(__xludf.DUMMYFUNCTION("""COMPUTED_VALUE"""),4020.0)</f>
        <v>4020</v>
      </c>
      <c r="B216" s="97" t="str">
        <f>IFERROR(__xludf.DUMMYFUNCTION("""COMPUTED_VALUE"""),"SPOT AR111 NG")</f>
        <v>SPOT AR111 NG</v>
      </c>
      <c r="C216" s="97" t="str">
        <f>IFERROR(__xludf.DUMMYFUNCTION("""COMPUTED_VALUE"""),"SPOT SEMIEMBUTIDO REDONDO NEGRO AR111 LEUK")</f>
        <v>SPOT SEMIEMBUTIDO REDONDO NEGRO AR111 LEUK</v>
      </c>
      <c r="D216" s="97"/>
      <c r="E216" s="97" t="str">
        <f>IFERROR(__xludf.DUMMYFUNCTION("""COMPUTED_VALUE"""),"-")</f>
        <v>-</v>
      </c>
      <c r="F216" s="97" t="str">
        <f>IFERROR(__xludf.DUMMYFUNCTION("""COMPUTED_VALUE"""),"1 x GU10")</f>
        <v>1 x GU10</v>
      </c>
      <c r="G216" s="97" t="str">
        <f>IFERROR(__xludf.DUMMYFUNCTION("""COMPUTED_VALUE"""),"N/A")</f>
        <v>N/A</v>
      </c>
      <c r="H216" s="97" t="str">
        <f>IFERROR(__xludf.DUMMYFUNCTION("""COMPUTED_VALUE"""),"N/A")</f>
        <v>N/A</v>
      </c>
      <c r="I216" s="97" t="str">
        <f>IFERROR(__xludf.DUMMYFUNCTION("""COMPUTED_VALUE"""),"N/A")</f>
        <v>N/A</v>
      </c>
      <c r="J216" s="97"/>
      <c r="K216" s="97" t="str">
        <f>IFERROR(__xludf.DUMMYFUNCTION("""COMPUTED_VALUE"""),"N/A")</f>
        <v>N/A</v>
      </c>
      <c r="L216" s="97">
        <f>IFERROR(__xludf.DUMMYFUNCTION("""COMPUTED_VALUE"""),220.0)</f>
        <v>220</v>
      </c>
      <c r="M216" s="97">
        <f>IFERROR(__xludf.DUMMYFUNCTION("""COMPUTED_VALUE"""),50.0)</f>
        <v>50</v>
      </c>
      <c r="N216" s="97"/>
      <c r="O216" s="97" t="str">
        <f>IFERROR(__xludf.DUMMYFUNCTION("""COMPUTED_VALUE"""),"1 x 50W Max")</f>
        <v>1 x 50W Max</v>
      </c>
      <c r="P216" s="97"/>
      <c r="Q216" s="97" t="str">
        <f>IFERROR(__xludf.DUMMYFUNCTION("""COMPUTED_VALUE"""),"-")</f>
        <v>-</v>
      </c>
      <c r="R216" s="97" t="str">
        <f>IFERROR(__xludf.DUMMYFUNCTION("""COMPUTED_VALUE"""),"-")</f>
        <v>-</v>
      </c>
      <c r="S216" s="97" t="str">
        <f>IFERROR(__xludf.DUMMYFUNCTION("""COMPUTED_VALUE"""),"-")</f>
        <v>-</v>
      </c>
      <c r="T216" s="97" t="str">
        <f>IFERROR(__xludf.DUMMYFUNCTION("""COMPUTED_VALUE"""),"-")</f>
        <v>-</v>
      </c>
      <c r="U216" s="97" t="str">
        <f>IFERROR(__xludf.DUMMYFUNCTION("""COMPUTED_VALUE"""),"-")</f>
        <v>-</v>
      </c>
      <c r="V216" s="97" t="str">
        <f>IFERROR(__xludf.DUMMYFUNCTION("""COMPUTED_VALUE"""),"N/A")</f>
        <v>N/A</v>
      </c>
      <c r="W216" s="97" t="str">
        <f>IFERROR(__xludf.DUMMYFUNCTION("""COMPUTED_VALUE"""),"N/A")</f>
        <v>N/A</v>
      </c>
      <c r="X216" s="97" t="str">
        <f>IFERROR(__xludf.DUMMYFUNCTION("""COMPUTED_VALUE"""),"-")</f>
        <v>-</v>
      </c>
      <c r="Y216" s="97" t="str">
        <f>IFERROR(__xludf.DUMMYFUNCTION("""COMPUTED_VALUE"""),"N/A")</f>
        <v>N/A</v>
      </c>
      <c r="Z216" s="97" t="str">
        <f>IFERROR(__xludf.DUMMYFUNCTION("""COMPUTED_VALUE"""),"N/A")</f>
        <v>N/A</v>
      </c>
      <c r="AA216" s="97" t="str">
        <f>IFERROR(__xludf.DUMMYFUNCTION("""COMPUTED_VALUE"""),"N/A")</f>
        <v>N/A</v>
      </c>
      <c r="AB216" s="97" t="str">
        <f>IFERROR(__xludf.DUMMYFUNCTION("""COMPUTED_VALUE"""),"N/A")</f>
        <v>N/A</v>
      </c>
      <c r="AC216" s="97" t="str">
        <f>IFERROR(__xludf.DUMMYFUNCTION("""COMPUTED_VALUE"""),"N/A")</f>
        <v>N/A</v>
      </c>
      <c r="AD216" s="97" t="str">
        <f>IFERROR(__xludf.DUMMYFUNCTION("""COMPUTED_VALUE"""),"IP20")</f>
        <v>IP20</v>
      </c>
      <c r="AE216" s="97" t="str">
        <f>IFERROR(__xludf.DUMMYFUNCTION("""COMPUTED_VALUE"""),"N/A")</f>
        <v>N/A</v>
      </c>
      <c r="AF216" s="97" t="str">
        <f>IFERROR(__xludf.DUMMYFUNCTION("""COMPUTED_VALUE"""),"Embutir")</f>
        <v>Embutir</v>
      </c>
      <c r="AG216" s="97" t="str">
        <f>IFERROR(__xludf.DUMMYFUNCTION("""COMPUTED_VALUE"""),"-")</f>
        <v>-</v>
      </c>
      <c r="AH216" s="97" t="str">
        <f>IFERROR(__xludf.DUMMYFUNCTION("""COMPUTED_VALUE"""),"-")</f>
        <v>-</v>
      </c>
      <c r="AI216" s="97" t="str">
        <f>IFERROR(__xludf.DUMMYFUNCTION("""COMPUTED_VALUE"""),"-")</f>
        <v>-</v>
      </c>
      <c r="AJ216" s="97" t="str">
        <f>IFERROR(__xludf.DUMMYFUNCTION("""COMPUTED_VALUE"""),"N/A")</f>
        <v>N/A</v>
      </c>
      <c r="AK216" s="97" t="str">
        <f>IFERROR(__xludf.DUMMYFUNCTION("""COMPUTED_VALUE"""),"Acero")</f>
        <v>Acero</v>
      </c>
      <c r="AL216" s="97"/>
      <c r="AM216" s="97" t="str">
        <f>IFERROR(__xludf.DUMMYFUNCTION("""COMPUTED_VALUE"""),"-")</f>
        <v>-</v>
      </c>
      <c r="AN216" s="97" t="str">
        <f>IFERROR(__xludf.DUMMYFUNCTION("""COMPUTED_VALUE"""),"N/A")</f>
        <v>N/A</v>
      </c>
      <c r="AO216" s="97" t="str">
        <f>IFERROR(__xludf.DUMMYFUNCTION("""COMPUTED_VALUE"""),"1 Año")</f>
        <v>1 Año</v>
      </c>
      <c r="AP216" s="97" t="str">
        <f>IFERROR(__xludf.DUMMYFUNCTION("""COMPUTED_VALUE"""),"No Aplica")</f>
        <v>No Aplica</v>
      </c>
      <c r="AQ216" s="97" t="str">
        <f>IFERROR(__xludf.DUMMYFUNCTION("""COMPUTED_VALUE"""),"No Aplica")</f>
        <v>No Aplica</v>
      </c>
      <c r="AR216" s="97" t="str">
        <f>IFERROR(__xludf.DUMMYFUNCTION("""COMPUTED_VALUE"""),"No Aplica")</f>
        <v>No Aplica</v>
      </c>
      <c r="AS216" s="97"/>
      <c r="AT216" s="97"/>
      <c r="AU216" s="97"/>
      <c r="AV216" s="97" t="str">
        <f>IFERROR(__xludf.DUMMYFUNCTION("""COMPUTED_VALUE"""),"Empotrable")</f>
        <v>Empotrable</v>
      </c>
      <c r="AW216" s="97" t="str">
        <f>IFERROR(__xludf.DUMMYFUNCTION("""COMPUTED_VALUE"""),"De Techo")</f>
        <v>De Techo</v>
      </c>
      <c r="AX216" s="97" t="str">
        <f>IFERROR(__xludf.DUMMYFUNCTION("""COMPUTED_VALUE"""),"Interior")</f>
        <v>Interior</v>
      </c>
      <c r="AY216" s="97"/>
      <c r="AZ216" s="97"/>
      <c r="BA216" s="97"/>
      <c r="BB216" s="97"/>
      <c r="BC216" s="97"/>
      <c r="BD216" s="97" t="str">
        <f>IFERROR(__xludf.DUMMYFUNCTION("""COMPUTED_VALUE"""),"SPOT AR111")</f>
        <v>SPOT AR111</v>
      </c>
      <c r="BE216" s="97" t="str">
        <f>IFERROR(__xludf.DUMMYFUNCTION("""COMPUTED_VALUE"""),"Sin Ficha")</f>
        <v>Sin Ficha</v>
      </c>
      <c r="BF216" s="97"/>
      <c r="BG216" s="97" t="str">
        <f>IFERROR(__xludf.DUMMYFUNCTION("""COMPUTED_VALUE"""),"Discontinuo")</f>
        <v>Discontinuo</v>
      </c>
    </row>
    <row r="217">
      <c r="A217" s="97">
        <f>IFERROR(__xludf.DUMMYFUNCTION("""COMPUTED_VALUE"""),4021.0)</f>
        <v>4021</v>
      </c>
      <c r="B217" s="97" t="str">
        <f>IFERROR(__xludf.DUMMYFUNCTION("""COMPUTED_VALUE"""),"TACHO AR111 NG")</f>
        <v>TACHO AR111 NG</v>
      </c>
      <c r="C217" s="97" t="str">
        <f>IFERROR(__xludf.DUMMYFUNCTION("""COMPUTED_VALUE"""),"TACHO CABEZAL AR111 NEGRO PROYECTOR")</f>
        <v>TACHO CABEZAL AR111 NEGRO PROYECTOR</v>
      </c>
      <c r="D217" s="97">
        <f>IFERROR(__xludf.DUMMYFUNCTION("""COMPUTED_VALUE"""),7.798328754516E12)</f>
        <v>7798328754516</v>
      </c>
      <c r="E217" s="97" t="str">
        <f>IFERROR(__xludf.DUMMYFUNCTION("""COMPUTED_VALUE"""),"-")</f>
        <v>-</v>
      </c>
      <c r="F217" s="97" t="str">
        <f>IFERROR(__xludf.DUMMYFUNCTION("""COMPUTED_VALUE"""),"1xGU10 AR111")</f>
        <v>1xGU10 AR111</v>
      </c>
      <c r="G217" s="97"/>
      <c r="H217" s="97"/>
      <c r="I217" s="97" t="str">
        <f>IFERROR(__xludf.DUMMYFUNCTION("""COMPUTED_VALUE"""),"N/A")</f>
        <v>N/A</v>
      </c>
      <c r="J217" s="97"/>
      <c r="K217" s="97" t="str">
        <f>IFERROR(__xludf.DUMMYFUNCTION("""COMPUTED_VALUE"""),"N/A")</f>
        <v>N/A</v>
      </c>
      <c r="L217" s="97"/>
      <c r="M217" s="97"/>
      <c r="N217" s="97"/>
      <c r="O217" s="97"/>
      <c r="P217" s="97"/>
      <c r="Q217" s="97"/>
      <c r="R217" s="97"/>
      <c r="S217" s="97"/>
      <c r="T217" s="97"/>
      <c r="U217" s="97"/>
      <c r="V217" s="97"/>
      <c r="W217" s="97"/>
      <c r="X217" s="97"/>
      <c r="Y217" s="97"/>
      <c r="Z217" s="97"/>
      <c r="AA217" s="97"/>
      <c r="AB217" s="97"/>
      <c r="AC217" s="97"/>
      <c r="AD217" s="97" t="str">
        <f>IFERROR(__xludf.DUMMYFUNCTION("""COMPUTED_VALUE"""),"IP20")</f>
        <v>IP20</v>
      </c>
      <c r="AE217" s="97"/>
      <c r="AF217" s="97" t="str">
        <f>IFERROR(__xludf.DUMMYFUNCTION("""COMPUTED_VALUE"""),"Cabezal")</f>
        <v>Cabezal</v>
      </c>
      <c r="AG217" s="97"/>
      <c r="AH217" s="97"/>
      <c r="AI217" s="97"/>
      <c r="AJ217" s="97"/>
      <c r="AK217" s="97"/>
      <c r="AL217" s="97"/>
      <c r="AM217" s="97"/>
      <c r="AN217" s="97"/>
      <c r="AO217" s="97" t="str">
        <f>IFERROR(__xludf.DUMMYFUNCTION("""COMPUTED_VALUE"""),"2 Años")</f>
        <v>2 Años</v>
      </c>
      <c r="AP217" s="97"/>
      <c r="AQ217" s="97"/>
      <c r="AR217" s="97"/>
      <c r="AS217" s="97"/>
      <c r="AT217" s="97"/>
      <c r="AU217" s="97"/>
      <c r="AV217" s="97" t="str">
        <f>IFERROR(__xludf.DUMMYFUNCTION("""COMPUTED_VALUE"""),"Cabezal")</f>
        <v>Cabezal</v>
      </c>
      <c r="AW217" s="97" t="str">
        <f>IFERROR(__xludf.DUMMYFUNCTION("""COMPUTED_VALUE"""),"De Techo")</f>
        <v>De Techo</v>
      </c>
      <c r="AX217" s="97" t="str">
        <f>IFERROR(__xludf.DUMMYFUNCTION("""COMPUTED_VALUE"""),"Interior")</f>
        <v>Interior</v>
      </c>
      <c r="AY217" s="97"/>
      <c r="AZ217" s="97"/>
      <c r="BA217" s="97"/>
      <c r="BB217" s="97"/>
      <c r="BC217" s="97"/>
      <c r="BD217" s="97" t="str">
        <f>IFERROR(__xludf.DUMMYFUNCTION("""COMPUTED_VALUE"""),"TACHO AR111")</f>
        <v>TACHO AR111</v>
      </c>
      <c r="BE217" s="97" t="str">
        <f>IFERROR(__xludf.DUMMYFUNCTION("""COMPUTED_VALUE"""),"Sin Ficha")</f>
        <v>Sin Ficha</v>
      </c>
      <c r="BF217" s="97"/>
      <c r="BG217" s="97" t="str">
        <f>IFERROR(__xludf.DUMMYFUNCTION("""COMPUTED_VALUE"""),"Discontinuo")</f>
        <v>Discontinuo</v>
      </c>
    </row>
    <row r="218">
      <c r="A218" s="97">
        <f>IFERROR(__xludf.DUMMYFUNCTION("""COMPUTED_VALUE"""),4022.0)</f>
        <v>4022</v>
      </c>
      <c r="B218" s="97" t="str">
        <f>IFERROR(__xludf.DUMMYFUNCTION("""COMPUTED_VALUE"""),"SPOT DICROICA R BL")</f>
        <v>SPOT DICROICA R BL</v>
      </c>
      <c r="C218" s="97" t="str">
        <f>IFERROR(__xludf.DUMMYFUNCTION("""COMPUTED_VALUE"""),"SPOT SEMIEMBUTIDO REDONDO BLANCO DICROICA LEUK")</f>
        <v>SPOT SEMIEMBUTIDO REDONDO BLANCO DICROICA LEUK</v>
      </c>
      <c r="D218" s="97">
        <f>IFERROR(__xludf.DUMMYFUNCTION("""COMPUTED_VALUE"""),7.798328754554E12)</f>
        <v>7798328754554</v>
      </c>
      <c r="E218" s="97" t="str">
        <f>IFERROR(__xludf.DUMMYFUNCTION("""COMPUTED_VALUE"""),"-")</f>
        <v>-</v>
      </c>
      <c r="F218" s="97" t="str">
        <f>IFERROR(__xludf.DUMMYFUNCTION("""COMPUTED_VALUE"""),"1 x GU10")</f>
        <v>1 x GU10</v>
      </c>
      <c r="G218" s="97" t="str">
        <f>IFERROR(__xludf.DUMMYFUNCTION("""COMPUTED_VALUE"""),"N/A")</f>
        <v>N/A</v>
      </c>
      <c r="H218" s="97" t="str">
        <f>IFERROR(__xludf.DUMMYFUNCTION("""COMPUTED_VALUE"""),"N/A")</f>
        <v>N/A</v>
      </c>
      <c r="I218" s="97" t="str">
        <f>IFERROR(__xludf.DUMMYFUNCTION("""COMPUTED_VALUE"""),"N/A")</f>
        <v>N/A</v>
      </c>
      <c r="J218" s="97"/>
      <c r="K218" s="97" t="str">
        <f>IFERROR(__xludf.DUMMYFUNCTION("""COMPUTED_VALUE"""),"N/A")</f>
        <v>N/A</v>
      </c>
      <c r="L218" s="97">
        <f>IFERROR(__xludf.DUMMYFUNCTION("""COMPUTED_VALUE"""),220.0)</f>
        <v>220</v>
      </c>
      <c r="M218" s="97">
        <f>IFERROR(__xludf.DUMMYFUNCTION("""COMPUTED_VALUE"""),50.0)</f>
        <v>50</v>
      </c>
      <c r="N218" s="97"/>
      <c r="O218" s="97" t="str">
        <f>IFERROR(__xludf.DUMMYFUNCTION("""COMPUTED_VALUE"""),"1 x 50W Max")</f>
        <v>1 x 50W Max</v>
      </c>
      <c r="P218" s="97"/>
      <c r="Q218" s="97" t="str">
        <f>IFERROR(__xludf.DUMMYFUNCTION("""COMPUTED_VALUE"""),"-")</f>
        <v>-</v>
      </c>
      <c r="R218" s="97" t="str">
        <f>IFERROR(__xludf.DUMMYFUNCTION("""COMPUTED_VALUE"""),"-")</f>
        <v>-</v>
      </c>
      <c r="S218" s="97" t="str">
        <f>IFERROR(__xludf.DUMMYFUNCTION("""COMPUTED_VALUE"""),"-")</f>
        <v>-</v>
      </c>
      <c r="T218" s="97" t="str">
        <f>IFERROR(__xludf.DUMMYFUNCTION("""COMPUTED_VALUE"""),"-")</f>
        <v>-</v>
      </c>
      <c r="U218" s="97" t="str">
        <f>IFERROR(__xludf.DUMMYFUNCTION("""COMPUTED_VALUE"""),"-")</f>
        <v>-</v>
      </c>
      <c r="V218" s="97" t="str">
        <f>IFERROR(__xludf.DUMMYFUNCTION("""COMPUTED_VALUE"""),"N/A")</f>
        <v>N/A</v>
      </c>
      <c r="W218" s="97" t="str">
        <f>IFERROR(__xludf.DUMMYFUNCTION("""COMPUTED_VALUE"""),"N/A")</f>
        <v>N/A</v>
      </c>
      <c r="X218" s="97" t="str">
        <f>IFERROR(__xludf.DUMMYFUNCTION("""COMPUTED_VALUE"""),"-")</f>
        <v>-</v>
      </c>
      <c r="Y218" s="97" t="str">
        <f>IFERROR(__xludf.DUMMYFUNCTION("""COMPUTED_VALUE"""),"N/A")</f>
        <v>N/A</v>
      </c>
      <c r="Z218" s="97" t="str">
        <f>IFERROR(__xludf.DUMMYFUNCTION("""COMPUTED_VALUE"""),"N/A")</f>
        <v>N/A</v>
      </c>
      <c r="AA218" s="97" t="str">
        <f>IFERROR(__xludf.DUMMYFUNCTION("""COMPUTED_VALUE"""),"N/A")</f>
        <v>N/A</v>
      </c>
      <c r="AB218" s="97" t="str">
        <f>IFERROR(__xludf.DUMMYFUNCTION("""COMPUTED_VALUE"""),"N/A")</f>
        <v>N/A</v>
      </c>
      <c r="AC218" s="97" t="str">
        <f>IFERROR(__xludf.DUMMYFUNCTION("""COMPUTED_VALUE"""),"N/A")</f>
        <v>N/A</v>
      </c>
      <c r="AD218" s="97" t="str">
        <f>IFERROR(__xludf.DUMMYFUNCTION("""COMPUTED_VALUE"""),"IP20")</f>
        <v>IP20</v>
      </c>
      <c r="AE218" s="97" t="str">
        <f>IFERROR(__xludf.DUMMYFUNCTION("""COMPUTED_VALUE"""),"N/A")</f>
        <v>N/A</v>
      </c>
      <c r="AF218" s="97" t="str">
        <f>IFERROR(__xludf.DUMMYFUNCTION("""COMPUTED_VALUE"""),"Embutir")</f>
        <v>Embutir</v>
      </c>
      <c r="AG218" s="97" t="str">
        <f>IFERROR(__xludf.DUMMYFUNCTION("""COMPUTED_VALUE"""),"-")</f>
        <v>-</v>
      </c>
      <c r="AH218" s="97" t="str">
        <f>IFERROR(__xludf.DUMMYFUNCTION("""COMPUTED_VALUE"""),"-")</f>
        <v>-</v>
      </c>
      <c r="AI218" s="97" t="str">
        <f>IFERROR(__xludf.DUMMYFUNCTION("""COMPUTED_VALUE"""),"-")</f>
        <v>-</v>
      </c>
      <c r="AJ218" s="97" t="str">
        <f>IFERROR(__xludf.DUMMYFUNCTION("""COMPUTED_VALUE"""),"N/A")</f>
        <v>N/A</v>
      </c>
      <c r="AK218" s="97" t="str">
        <f>IFERROR(__xludf.DUMMYFUNCTION("""COMPUTED_VALUE"""),"Acero")</f>
        <v>Acero</v>
      </c>
      <c r="AL218" s="97"/>
      <c r="AM218" s="97" t="str">
        <f>IFERROR(__xludf.DUMMYFUNCTION("""COMPUTED_VALUE"""),"-")</f>
        <v>-</v>
      </c>
      <c r="AN218" s="97" t="str">
        <f>IFERROR(__xludf.DUMMYFUNCTION("""COMPUTED_VALUE"""),"N/A")</f>
        <v>N/A</v>
      </c>
      <c r="AO218" s="97" t="str">
        <f>IFERROR(__xludf.DUMMYFUNCTION("""COMPUTED_VALUE"""),"1 Año")</f>
        <v>1 Año</v>
      </c>
      <c r="AP218" s="97" t="str">
        <f>IFERROR(__xludf.DUMMYFUNCTION("""COMPUTED_VALUE"""),"No Aplica")</f>
        <v>No Aplica</v>
      </c>
      <c r="AQ218" s="97" t="str">
        <f>IFERROR(__xludf.DUMMYFUNCTION("""COMPUTED_VALUE"""),"No Aplica")</f>
        <v>No Aplica</v>
      </c>
      <c r="AR218" s="97" t="str">
        <f>IFERROR(__xludf.DUMMYFUNCTION("""COMPUTED_VALUE"""),"No Aplica")</f>
        <v>No Aplica</v>
      </c>
      <c r="AS218" s="97"/>
      <c r="AT218" s="97"/>
      <c r="AU218" s="97"/>
      <c r="AV218" s="97" t="str">
        <f>IFERROR(__xludf.DUMMYFUNCTION("""COMPUTED_VALUE"""),"Empotrable")</f>
        <v>Empotrable</v>
      </c>
      <c r="AW218" s="97" t="str">
        <f>IFERROR(__xludf.DUMMYFUNCTION("""COMPUTED_VALUE"""),"De Techo")</f>
        <v>De Techo</v>
      </c>
      <c r="AX218" s="97" t="str">
        <f>IFERROR(__xludf.DUMMYFUNCTION("""COMPUTED_VALUE"""),"Interior")</f>
        <v>Interior</v>
      </c>
      <c r="AY218" s="97"/>
      <c r="AZ218" s="97"/>
      <c r="BA218" s="97"/>
      <c r="BB218" s="97"/>
      <c r="BC218" s="97"/>
      <c r="BD218" s="97" t="str">
        <f>IFERROR(__xludf.DUMMYFUNCTION("""COMPUTED_VALUE"""),"SPOT DICROICA")</f>
        <v>SPOT DICROICA</v>
      </c>
      <c r="BE218" s="97" t="str">
        <f>IFERROR(__xludf.DUMMYFUNCTION("""COMPUTED_VALUE"""),"Sin Ficha")</f>
        <v>Sin Ficha</v>
      </c>
      <c r="BF218" s="97"/>
      <c r="BG218" s="97" t="str">
        <f>IFERROR(__xludf.DUMMYFUNCTION("""COMPUTED_VALUE"""),"Discontinuo")</f>
        <v>Discontinuo</v>
      </c>
    </row>
    <row r="219">
      <c r="A219" s="97">
        <f>IFERROR(__xludf.DUMMYFUNCTION("""COMPUTED_VALUE"""),4023.0)</f>
        <v>4023</v>
      </c>
      <c r="B219" s="97" t="str">
        <f>IFERROR(__xludf.DUMMYFUNCTION("""COMPUTED_VALUE"""),"SPOT DICROICA R NG")</f>
        <v>SPOT DICROICA R NG</v>
      </c>
      <c r="C219" s="97" t="str">
        <f>IFERROR(__xludf.DUMMYFUNCTION("""COMPUTED_VALUE"""),"SPOT SEMIEMBUTIDO REDONDO NEGRO DICROICA LEUK")</f>
        <v>SPOT SEMIEMBUTIDO REDONDO NEGRO DICROICA LEUK</v>
      </c>
      <c r="D219" s="97">
        <f>IFERROR(__xludf.DUMMYFUNCTION("""COMPUTED_VALUE"""),7.798328754561E12)</f>
        <v>7798328754561</v>
      </c>
      <c r="E219" s="97" t="str">
        <f>IFERROR(__xludf.DUMMYFUNCTION("""COMPUTED_VALUE"""),"-")</f>
        <v>-</v>
      </c>
      <c r="F219" s="97" t="str">
        <f>IFERROR(__xludf.DUMMYFUNCTION("""COMPUTED_VALUE"""),"1 x GU10")</f>
        <v>1 x GU10</v>
      </c>
      <c r="G219" s="97" t="str">
        <f>IFERROR(__xludf.DUMMYFUNCTION("""COMPUTED_VALUE"""),"N/A")</f>
        <v>N/A</v>
      </c>
      <c r="H219" s="97" t="str">
        <f>IFERROR(__xludf.DUMMYFUNCTION("""COMPUTED_VALUE"""),"N/A")</f>
        <v>N/A</v>
      </c>
      <c r="I219" s="97" t="str">
        <f>IFERROR(__xludf.DUMMYFUNCTION("""COMPUTED_VALUE"""),"N/A")</f>
        <v>N/A</v>
      </c>
      <c r="J219" s="97"/>
      <c r="K219" s="97" t="str">
        <f>IFERROR(__xludf.DUMMYFUNCTION("""COMPUTED_VALUE"""),"N/A")</f>
        <v>N/A</v>
      </c>
      <c r="L219" s="97">
        <f>IFERROR(__xludf.DUMMYFUNCTION("""COMPUTED_VALUE"""),220.0)</f>
        <v>220</v>
      </c>
      <c r="M219" s="97">
        <f>IFERROR(__xludf.DUMMYFUNCTION("""COMPUTED_VALUE"""),50.0)</f>
        <v>50</v>
      </c>
      <c r="N219" s="97"/>
      <c r="O219" s="97" t="str">
        <f>IFERROR(__xludf.DUMMYFUNCTION("""COMPUTED_VALUE"""),"1 x 50W Max")</f>
        <v>1 x 50W Max</v>
      </c>
      <c r="P219" s="97"/>
      <c r="Q219" s="97" t="str">
        <f>IFERROR(__xludf.DUMMYFUNCTION("""COMPUTED_VALUE"""),"-")</f>
        <v>-</v>
      </c>
      <c r="R219" s="97" t="str">
        <f>IFERROR(__xludf.DUMMYFUNCTION("""COMPUTED_VALUE"""),"-")</f>
        <v>-</v>
      </c>
      <c r="S219" s="97" t="str">
        <f>IFERROR(__xludf.DUMMYFUNCTION("""COMPUTED_VALUE"""),"-")</f>
        <v>-</v>
      </c>
      <c r="T219" s="97" t="str">
        <f>IFERROR(__xludf.DUMMYFUNCTION("""COMPUTED_VALUE"""),"-")</f>
        <v>-</v>
      </c>
      <c r="U219" s="97" t="str">
        <f>IFERROR(__xludf.DUMMYFUNCTION("""COMPUTED_VALUE"""),"-")</f>
        <v>-</v>
      </c>
      <c r="V219" s="97" t="str">
        <f>IFERROR(__xludf.DUMMYFUNCTION("""COMPUTED_VALUE"""),"N/A")</f>
        <v>N/A</v>
      </c>
      <c r="W219" s="97" t="str">
        <f>IFERROR(__xludf.DUMMYFUNCTION("""COMPUTED_VALUE"""),"N/A")</f>
        <v>N/A</v>
      </c>
      <c r="X219" s="97" t="str">
        <f>IFERROR(__xludf.DUMMYFUNCTION("""COMPUTED_VALUE"""),"-")</f>
        <v>-</v>
      </c>
      <c r="Y219" s="97" t="str">
        <f>IFERROR(__xludf.DUMMYFUNCTION("""COMPUTED_VALUE"""),"N/A")</f>
        <v>N/A</v>
      </c>
      <c r="Z219" s="97" t="str">
        <f>IFERROR(__xludf.DUMMYFUNCTION("""COMPUTED_VALUE"""),"N/A")</f>
        <v>N/A</v>
      </c>
      <c r="AA219" s="97" t="str">
        <f>IFERROR(__xludf.DUMMYFUNCTION("""COMPUTED_VALUE"""),"N/A")</f>
        <v>N/A</v>
      </c>
      <c r="AB219" s="97" t="str">
        <f>IFERROR(__xludf.DUMMYFUNCTION("""COMPUTED_VALUE"""),"N/A")</f>
        <v>N/A</v>
      </c>
      <c r="AC219" s="97" t="str">
        <f>IFERROR(__xludf.DUMMYFUNCTION("""COMPUTED_VALUE"""),"N/A")</f>
        <v>N/A</v>
      </c>
      <c r="AD219" s="97" t="str">
        <f>IFERROR(__xludf.DUMMYFUNCTION("""COMPUTED_VALUE"""),"IP20")</f>
        <v>IP20</v>
      </c>
      <c r="AE219" s="97" t="str">
        <f>IFERROR(__xludf.DUMMYFUNCTION("""COMPUTED_VALUE"""),"N/A")</f>
        <v>N/A</v>
      </c>
      <c r="AF219" s="97" t="str">
        <f>IFERROR(__xludf.DUMMYFUNCTION("""COMPUTED_VALUE"""),"Embutir")</f>
        <v>Embutir</v>
      </c>
      <c r="AG219" s="97" t="str">
        <f>IFERROR(__xludf.DUMMYFUNCTION("""COMPUTED_VALUE"""),"-")</f>
        <v>-</v>
      </c>
      <c r="AH219" s="97" t="str">
        <f>IFERROR(__xludf.DUMMYFUNCTION("""COMPUTED_VALUE"""),"-")</f>
        <v>-</v>
      </c>
      <c r="AI219" s="97" t="str">
        <f>IFERROR(__xludf.DUMMYFUNCTION("""COMPUTED_VALUE"""),"-")</f>
        <v>-</v>
      </c>
      <c r="AJ219" s="97" t="str">
        <f>IFERROR(__xludf.DUMMYFUNCTION("""COMPUTED_VALUE"""),"N/A")</f>
        <v>N/A</v>
      </c>
      <c r="AK219" s="97" t="str">
        <f>IFERROR(__xludf.DUMMYFUNCTION("""COMPUTED_VALUE"""),"Acero")</f>
        <v>Acero</v>
      </c>
      <c r="AL219" s="97"/>
      <c r="AM219" s="97" t="str">
        <f>IFERROR(__xludf.DUMMYFUNCTION("""COMPUTED_VALUE"""),"-")</f>
        <v>-</v>
      </c>
      <c r="AN219" s="97" t="str">
        <f>IFERROR(__xludf.DUMMYFUNCTION("""COMPUTED_VALUE"""),"N/A")</f>
        <v>N/A</v>
      </c>
      <c r="AO219" s="97" t="str">
        <f>IFERROR(__xludf.DUMMYFUNCTION("""COMPUTED_VALUE"""),"1 Año")</f>
        <v>1 Año</v>
      </c>
      <c r="AP219" s="97" t="str">
        <f>IFERROR(__xludf.DUMMYFUNCTION("""COMPUTED_VALUE"""),"No Aplica")</f>
        <v>No Aplica</v>
      </c>
      <c r="AQ219" s="97" t="str">
        <f>IFERROR(__xludf.DUMMYFUNCTION("""COMPUTED_VALUE"""),"No Aplica")</f>
        <v>No Aplica</v>
      </c>
      <c r="AR219" s="97" t="str">
        <f>IFERROR(__xludf.DUMMYFUNCTION("""COMPUTED_VALUE"""),"No Aplica")</f>
        <v>No Aplica</v>
      </c>
      <c r="AS219" s="97"/>
      <c r="AT219" s="97"/>
      <c r="AU219" s="97"/>
      <c r="AV219" s="97" t="str">
        <f>IFERROR(__xludf.DUMMYFUNCTION("""COMPUTED_VALUE"""),"Empotrable")</f>
        <v>Empotrable</v>
      </c>
      <c r="AW219" s="97" t="str">
        <f>IFERROR(__xludf.DUMMYFUNCTION("""COMPUTED_VALUE"""),"De Techo")</f>
        <v>De Techo</v>
      </c>
      <c r="AX219" s="97" t="str">
        <f>IFERROR(__xludf.DUMMYFUNCTION("""COMPUTED_VALUE"""),"Interior")</f>
        <v>Interior</v>
      </c>
      <c r="AY219" s="97"/>
      <c r="AZ219" s="97"/>
      <c r="BA219" s="97"/>
      <c r="BB219" s="97"/>
      <c r="BC219" s="97"/>
      <c r="BD219" s="97" t="str">
        <f>IFERROR(__xludf.DUMMYFUNCTION("""COMPUTED_VALUE"""),"SPOT DICROICA")</f>
        <v>SPOT DICROICA</v>
      </c>
      <c r="BE219" s="97" t="str">
        <f>IFERROR(__xludf.DUMMYFUNCTION("""COMPUTED_VALUE"""),"Sin Ficha")</f>
        <v>Sin Ficha</v>
      </c>
      <c r="BF219" s="97"/>
      <c r="BG219" s="97" t="str">
        <f>IFERROR(__xludf.DUMMYFUNCTION("""COMPUTED_VALUE"""),"Discontinuo")</f>
        <v>Discontinuo</v>
      </c>
    </row>
    <row r="220">
      <c r="A220" s="97">
        <f>IFERROR(__xludf.DUMMYFUNCTION("""COMPUTED_VALUE"""),4049.0)</f>
        <v>4049</v>
      </c>
      <c r="B220" s="97" t="str">
        <f>IFERROR(__xludf.DUMMYFUNCTION("""COMPUTED_VALUE"""),"STATHE")</f>
        <v>STATHE</v>
      </c>
      <c r="C220" s="97" t="str">
        <f>IFERROR(__xludf.DUMMYFUNCTION("""COMPUTED_VALUE"""),"COLGANTE STATHE BLANCO LEUK")</f>
        <v>COLGANTE STATHE BLANCO LEUK</v>
      </c>
      <c r="D220" s="97">
        <f>IFERROR(__xludf.DUMMYFUNCTION("""COMPUTED_VALUE"""),7.798328758736E12)</f>
        <v>7798328758736</v>
      </c>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t="str">
        <f>IFERROR(__xludf.DUMMYFUNCTION("""COMPUTED_VALUE"""),"IP20")</f>
        <v>IP20</v>
      </c>
      <c r="AE220" s="97"/>
      <c r="AF220" s="97" t="str">
        <f>IFERROR(__xludf.DUMMYFUNCTION("""COMPUTED_VALUE"""),"Suspender")</f>
        <v>Suspender</v>
      </c>
      <c r="AG220" s="97"/>
      <c r="AH220" s="97"/>
      <c r="AI220" s="97"/>
      <c r="AJ220" s="97"/>
      <c r="AK220" s="97"/>
      <c r="AL220" s="97"/>
      <c r="AM220" s="97"/>
      <c r="AN220" s="97"/>
      <c r="AO220" s="97" t="str">
        <f>IFERROR(__xludf.DUMMYFUNCTION("""COMPUTED_VALUE"""),"1 Año")</f>
        <v>1 Año</v>
      </c>
      <c r="AP220" s="97"/>
      <c r="AQ220" s="97"/>
      <c r="AR220" s="97"/>
      <c r="AS220" s="97"/>
      <c r="AT220" s="97"/>
      <c r="AU220" s="97"/>
      <c r="AV220" s="97" t="str">
        <f>IFERROR(__xludf.DUMMYFUNCTION("""COMPUTED_VALUE"""),"Colgante")</f>
        <v>Colgante</v>
      </c>
      <c r="AW220" s="97" t="str">
        <f>IFERROR(__xludf.DUMMYFUNCTION("""COMPUTED_VALUE"""),"De Techo")</f>
        <v>De Techo</v>
      </c>
      <c r="AX220" s="97" t="str">
        <f>IFERROR(__xludf.DUMMYFUNCTION("""COMPUTED_VALUE"""),"Interior")</f>
        <v>Interior</v>
      </c>
      <c r="AY220" s="97"/>
      <c r="AZ220" s="97"/>
      <c r="BA220" s="97"/>
      <c r="BB220" s="97"/>
      <c r="BC220" s="97"/>
      <c r="BD220" s="97" t="str">
        <f>IFERROR(__xludf.DUMMYFUNCTION("""COMPUTED_VALUE"""),"STATHE")</f>
        <v>STATHE</v>
      </c>
      <c r="BE220" s="97" t="str">
        <f>IFERROR(__xludf.DUMMYFUNCTION("""COMPUTED_VALUE"""),"Sin Ficha")</f>
        <v>Sin Ficha</v>
      </c>
      <c r="BF220" s="97"/>
      <c r="BG220" s="97" t="str">
        <f>IFERROR(__xludf.DUMMYFUNCTION("""COMPUTED_VALUE"""),"Discontinuo")</f>
        <v>Discontinuo</v>
      </c>
    </row>
    <row r="221">
      <c r="A221" s="97">
        <f>IFERROR(__xludf.DUMMYFUNCTION("""COMPUTED_VALUE"""),4050.0)</f>
        <v>4050</v>
      </c>
      <c r="B221" s="97" t="str">
        <f>IFERROR(__xludf.DUMMYFUNCTION("""COMPUTED_VALUE"""),"STATHE")</f>
        <v>STATHE</v>
      </c>
      <c r="C221" s="97" t="str">
        <f>IFERROR(__xludf.DUMMYFUNCTION("""COMPUTED_VALUE"""),"COLGANTE STATHE NEGRO LEUK")</f>
        <v>COLGANTE STATHE NEGRO LEUK</v>
      </c>
      <c r="D221" s="97">
        <f>IFERROR(__xludf.DUMMYFUNCTION("""COMPUTED_VALUE"""),7.798328758729E12)</f>
        <v>7798328758729</v>
      </c>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t="str">
        <f>IFERROR(__xludf.DUMMYFUNCTION("""COMPUTED_VALUE"""),"IP20")</f>
        <v>IP20</v>
      </c>
      <c r="AE221" s="97"/>
      <c r="AF221" s="97" t="str">
        <f>IFERROR(__xludf.DUMMYFUNCTION("""COMPUTED_VALUE"""),"Suspender")</f>
        <v>Suspender</v>
      </c>
      <c r="AG221" s="97"/>
      <c r="AH221" s="97"/>
      <c r="AI221" s="97"/>
      <c r="AJ221" s="97"/>
      <c r="AK221" s="97"/>
      <c r="AL221" s="97"/>
      <c r="AM221" s="97"/>
      <c r="AN221" s="97"/>
      <c r="AO221" s="97" t="str">
        <f>IFERROR(__xludf.DUMMYFUNCTION("""COMPUTED_VALUE"""),"1 Año")</f>
        <v>1 Año</v>
      </c>
      <c r="AP221" s="97"/>
      <c r="AQ221" s="97"/>
      <c r="AR221" s="97"/>
      <c r="AS221" s="97"/>
      <c r="AT221" s="97"/>
      <c r="AU221" s="97"/>
      <c r="AV221" s="97" t="str">
        <f>IFERROR(__xludf.DUMMYFUNCTION("""COMPUTED_VALUE"""),"Colgante")</f>
        <v>Colgante</v>
      </c>
      <c r="AW221" s="97" t="str">
        <f>IFERROR(__xludf.DUMMYFUNCTION("""COMPUTED_VALUE"""),"De Techo")</f>
        <v>De Techo</v>
      </c>
      <c r="AX221" s="97" t="str">
        <f>IFERROR(__xludf.DUMMYFUNCTION("""COMPUTED_VALUE"""),"Interior")</f>
        <v>Interior</v>
      </c>
      <c r="AY221" s="97"/>
      <c r="AZ221" s="97"/>
      <c r="BA221" s="97"/>
      <c r="BB221" s="97"/>
      <c r="BC221" s="97"/>
      <c r="BD221" s="97" t="str">
        <f>IFERROR(__xludf.DUMMYFUNCTION("""COMPUTED_VALUE"""),"STATHE")</f>
        <v>STATHE</v>
      </c>
      <c r="BE221" s="97" t="str">
        <f>IFERROR(__xludf.DUMMYFUNCTION("""COMPUTED_VALUE"""),"Sin Ficha")</f>
        <v>Sin Ficha</v>
      </c>
      <c r="BF221" s="97"/>
      <c r="BG221" s="97" t="str">
        <f>IFERROR(__xludf.DUMMYFUNCTION("""COMPUTED_VALUE"""),"Discontinuo")</f>
        <v>Discontinuo</v>
      </c>
    </row>
    <row r="222">
      <c r="A222" s="97">
        <f>IFERROR(__xludf.DUMMYFUNCTION("""COMPUTED_VALUE"""),4051.0)</f>
        <v>4051</v>
      </c>
      <c r="B222" s="97" t="str">
        <f>IFERROR(__xludf.DUMMYFUNCTION("""COMPUTED_VALUE"""),"BASTO BL")</f>
        <v>BASTO BL</v>
      </c>
      <c r="C222" s="97" t="str">
        <f>IFERROR(__xludf.DUMMYFUNCTION("""COMPUTED_VALUE"""),"COLGANTE BASTO BLANCO LEUK")</f>
        <v>COLGANTE BASTO BLANCO LEUK</v>
      </c>
      <c r="D222" s="97">
        <f>IFERROR(__xludf.DUMMYFUNCTION("""COMPUTED_VALUE"""),7.798328758798E12)</f>
        <v>7798328758798</v>
      </c>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t="str">
        <f>IFERROR(__xludf.DUMMYFUNCTION("""COMPUTED_VALUE"""),"IP20")</f>
        <v>IP20</v>
      </c>
      <c r="AE222" s="97"/>
      <c r="AF222" s="97" t="str">
        <f>IFERROR(__xludf.DUMMYFUNCTION("""COMPUTED_VALUE"""),"Suspender")</f>
        <v>Suspender</v>
      </c>
      <c r="AG222" s="97"/>
      <c r="AH222" s="97"/>
      <c r="AI222" s="97"/>
      <c r="AJ222" s="97"/>
      <c r="AK222" s="97"/>
      <c r="AL222" s="97"/>
      <c r="AM222" s="97"/>
      <c r="AN222" s="97"/>
      <c r="AO222" s="97" t="str">
        <f>IFERROR(__xludf.DUMMYFUNCTION("""COMPUTED_VALUE"""),"1 Año")</f>
        <v>1 Año</v>
      </c>
      <c r="AP222" s="97"/>
      <c r="AQ222" s="97"/>
      <c r="AR222" s="97"/>
      <c r="AS222" s="97"/>
      <c r="AT222" s="97"/>
      <c r="AU222" s="97"/>
      <c r="AV222" s="97" t="str">
        <f>IFERROR(__xludf.DUMMYFUNCTION("""COMPUTED_VALUE"""),"Colgante")</f>
        <v>Colgante</v>
      </c>
      <c r="AW222" s="97" t="str">
        <f>IFERROR(__xludf.DUMMYFUNCTION("""COMPUTED_VALUE"""),"De Techo")</f>
        <v>De Techo</v>
      </c>
      <c r="AX222" s="97" t="str">
        <f>IFERROR(__xludf.DUMMYFUNCTION("""COMPUTED_VALUE"""),"Interior")</f>
        <v>Interior</v>
      </c>
      <c r="AY222" s="97"/>
      <c r="AZ222" s="97"/>
      <c r="BA222" s="97"/>
      <c r="BB222" s="97"/>
      <c r="BC222" s="97"/>
      <c r="BD222" s="97" t="str">
        <f>IFERROR(__xludf.DUMMYFUNCTION("""COMPUTED_VALUE"""),"BASTO")</f>
        <v>BASTO</v>
      </c>
      <c r="BE222" s="97" t="str">
        <f>IFERROR(__xludf.DUMMYFUNCTION("""COMPUTED_VALUE"""),"Sin Ficha")</f>
        <v>Sin Ficha</v>
      </c>
      <c r="BF222" s="97"/>
      <c r="BG222" s="97" t="str">
        <f>IFERROR(__xludf.DUMMYFUNCTION("""COMPUTED_VALUE"""),"Discontinuo")</f>
        <v>Discontinuo</v>
      </c>
    </row>
    <row r="223">
      <c r="A223" s="97">
        <f>IFERROR(__xludf.DUMMYFUNCTION("""COMPUTED_VALUE"""),4052.0)</f>
        <v>4052</v>
      </c>
      <c r="B223" s="97" t="str">
        <f>IFERROR(__xludf.DUMMYFUNCTION("""COMPUTED_VALUE"""),"BASTO NG")</f>
        <v>BASTO NG</v>
      </c>
      <c r="C223" s="97" t="str">
        <f>IFERROR(__xludf.DUMMYFUNCTION("""COMPUTED_VALUE"""),"COLGANTE BASTO NEGRO LEUK")</f>
        <v>COLGANTE BASTO NEGRO LEUK</v>
      </c>
      <c r="D223" s="97">
        <f>IFERROR(__xludf.DUMMYFUNCTION("""COMPUTED_VALUE"""),7.798328758781E12)</f>
        <v>7798328758781</v>
      </c>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t="str">
        <f>IFERROR(__xludf.DUMMYFUNCTION("""COMPUTED_VALUE"""),"IP20")</f>
        <v>IP20</v>
      </c>
      <c r="AE223" s="97"/>
      <c r="AF223" s="97" t="str">
        <f>IFERROR(__xludf.DUMMYFUNCTION("""COMPUTED_VALUE"""),"Suspender")</f>
        <v>Suspender</v>
      </c>
      <c r="AG223" s="97"/>
      <c r="AH223" s="97"/>
      <c r="AI223" s="97"/>
      <c r="AJ223" s="97"/>
      <c r="AK223" s="97"/>
      <c r="AL223" s="97"/>
      <c r="AM223" s="97"/>
      <c r="AN223" s="97"/>
      <c r="AO223" s="97" t="str">
        <f>IFERROR(__xludf.DUMMYFUNCTION("""COMPUTED_VALUE"""),"1 Año")</f>
        <v>1 Año</v>
      </c>
      <c r="AP223" s="97"/>
      <c r="AQ223" s="97"/>
      <c r="AR223" s="97"/>
      <c r="AS223" s="97"/>
      <c r="AT223" s="97"/>
      <c r="AU223" s="97"/>
      <c r="AV223" s="97" t="str">
        <f>IFERROR(__xludf.DUMMYFUNCTION("""COMPUTED_VALUE"""),"Colgante")</f>
        <v>Colgante</v>
      </c>
      <c r="AW223" s="97" t="str">
        <f>IFERROR(__xludf.DUMMYFUNCTION("""COMPUTED_VALUE"""),"De Techo")</f>
        <v>De Techo</v>
      </c>
      <c r="AX223" s="97" t="str">
        <f>IFERROR(__xludf.DUMMYFUNCTION("""COMPUTED_VALUE"""),"Interior")</f>
        <v>Interior</v>
      </c>
      <c r="AY223" s="97"/>
      <c r="AZ223" s="97"/>
      <c r="BA223" s="97"/>
      <c r="BB223" s="97"/>
      <c r="BC223" s="97"/>
      <c r="BD223" s="97" t="str">
        <f>IFERROR(__xludf.DUMMYFUNCTION("""COMPUTED_VALUE"""),"BASTO")</f>
        <v>BASTO</v>
      </c>
      <c r="BE223" s="97" t="str">
        <f>IFERROR(__xludf.DUMMYFUNCTION("""COMPUTED_VALUE"""),"Sin Ficha")</f>
        <v>Sin Ficha</v>
      </c>
      <c r="BF223" s="97"/>
      <c r="BG223" s="97" t="str">
        <f>IFERROR(__xludf.DUMMYFUNCTION("""COMPUTED_VALUE"""),"Discontinuo")</f>
        <v>Discontinuo</v>
      </c>
    </row>
    <row r="224">
      <c r="A224" s="97">
        <f>IFERROR(__xludf.DUMMYFUNCTION("""COMPUTED_VALUE"""),4053.0)</f>
        <v>4053</v>
      </c>
      <c r="B224" s="97" t="str">
        <f>IFERROR(__xludf.DUMMYFUNCTION("""COMPUTED_VALUE"""),"VOUR")</f>
        <v>VOUR</v>
      </c>
      <c r="C224" s="97" t="str">
        <f>IFERROR(__xludf.DUMMYFUNCTION("""COMPUTED_VALUE"""),"COLGANTE VOUR BLANCO LEUK")</f>
        <v>COLGANTE VOUR BLANCO LEUK</v>
      </c>
      <c r="D224" s="97">
        <f>IFERROR(__xludf.DUMMYFUNCTION("""COMPUTED_VALUE"""),7.798328758811E12)</f>
        <v>7798328758811</v>
      </c>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t="str">
        <f>IFERROR(__xludf.DUMMYFUNCTION("""COMPUTED_VALUE"""),"IP20")</f>
        <v>IP20</v>
      </c>
      <c r="AE224" s="97"/>
      <c r="AF224" s="97" t="str">
        <f>IFERROR(__xludf.DUMMYFUNCTION("""COMPUTED_VALUE"""),"Suspender")</f>
        <v>Suspender</v>
      </c>
      <c r="AG224" s="97"/>
      <c r="AH224" s="97"/>
      <c r="AI224" s="97"/>
      <c r="AJ224" s="97"/>
      <c r="AK224" s="97"/>
      <c r="AL224" s="97"/>
      <c r="AM224" s="97"/>
      <c r="AN224" s="97"/>
      <c r="AO224" s="97" t="str">
        <f>IFERROR(__xludf.DUMMYFUNCTION("""COMPUTED_VALUE"""),"1 Año")</f>
        <v>1 Año</v>
      </c>
      <c r="AP224" s="97"/>
      <c r="AQ224" s="97"/>
      <c r="AR224" s="97"/>
      <c r="AS224" s="97"/>
      <c r="AT224" s="97"/>
      <c r="AU224" s="97"/>
      <c r="AV224" s="97" t="str">
        <f>IFERROR(__xludf.DUMMYFUNCTION("""COMPUTED_VALUE"""),"Colgante")</f>
        <v>Colgante</v>
      </c>
      <c r="AW224" s="97" t="str">
        <f>IFERROR(__xludf.DUMMYFUNCTION("""COMPUTED_VALUE"""),"De Techo")</f>
        <v>De Techo</v>
      </c>
      <c r="AX224" s="97" t="str">
        <f>IFERROR(__xludf.DUMMYFUNCTION("""COMPUTED_VALUE"""),"Interior")</f>
        <v>Interior</v>
      </c>
      <c r="AY224" s="97"/>
      <c r="AZ224" s="97"/>
      <c r="BA224" s="97"/>
      <c r="BB224" s="97"/>
      <c r="BC224" s="97"/>
      <c r="BD224" s="97" t="str">
        <f>IFERROR(__xludf.DUMMYFUNCTION("""COMPUTED_VALUE"""),"VOUR")</f>
        <v>VOUR</v>
      </c>
      <c r="BE224" s="97" t="str">
        <f>IFERROR(__xludf.DUMMYFUNCTION("""COMPUTED_VALUE"""),"Sin Ficha")</f>
        <v>Sin Ficha</v>
      </c>
      <c r="BF224" s="97"/>
      <c r="BG224" s="97" t="str">
        <f>IFERROR(__xludf.DUMMYFUNCTION("""COMPUTED_VALUE"""),"Discontinuo")</f>
        <v>Discontinuo</v>
      </c>
    </row>
    <row r="225">
      <c r="A225" s="97">
        <f>IFERROR(__xludf.DUMMYFUNCTION("""COMPUTED_VALUE"""),4054.0)</f>
        <v>4054</v>
      </c>
      <c r="B225" s="97" t="str">
        <f>IFERROR(__xludf.DUMMYFUNCTION("""COMPUTED_VALUE"""),"VOUR")</f>
        <v>VOUR</v>
      </c>
      <c r="C225" s="97" t="str">
        <f>IFERROR(__xludf.DUMMYFUNCTION("""COMPUTED_VALUE"""),"COLGANTE VOUR NEGRO LEUK")</f>
        <v>COLGANTE VOUR NEGRO LEUK</v>
      </c>
      <c r="D225" s="97">
        <f>IFERROR(__xludf.DUMMYFUNCTION("""COMPUTED_VALUE"""),7.798328758804E12)</f>
        <v>7798328758804</v>
      </c>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t="str">
        <f>IFERROR(__xludf.DUMMYFUNCTION("""COMPUTED_VALUE"""),"IP20")</f>
        <v>IP20</v>
      </c>
      <c r="AE225" s="97"/>
      <c r="AF225" s="97" t="str">
        <f>IFERROR(__xludf.DUMMYFUNCTION("""COMPUTED_VALUE"""),"Suspender")</f>
        <v>Suspender</v>
      </c>
      <c r="AG225" s="97"/>
      <c r="AH225" s="97"/>
      <c r="AI225" s="97"/>
      <c r="AJ225" s="97"/>
      <c r="AK225" s="97"/>
      <c r="AL225" s="97"/>
      <c r="AM225" s="97"/>
      <c r="AN225" s="97"/>
      <c r="AO225" s="97" t="str">
        <f>IFERROR(__xludf.DUMMYFUNCTION("""COMPUTED_VALUE"""),"1 Año")</f>
        <v>1 Año</v>
      </c>
      <c r="AP225" s="97"/>
      <c r="AQ225" s="97"/>
      <c r="AR225" s="97"/>
      <c r="AS225" s="97"/>
      <c r="AT225" s="97"/>
      <c r="AU225" s="97"/>
      <c r="AV225" s="97" t="str">
        <f>IFERROR(__xludf.DUMMYFUNCTION("""COMPUTED_VALUE"""),"Colgante")</f>
        <v>Colgante</v>
      </c>
      <c r="AW225" s="97" t="str">
        <f>IFERROR(__xludf.DUMMYFUNCTION("""COMPUTED_VALUE"""),"De Techo")</f>
        <v>De Techo</v>
      </c>
      <c r="AX225" s="97" t="str">
        <f>IFERROR(__xludf.DUMMYFUNCTION("""COMPUTED_VALUE"""),"Interior")</f>
        <v>Interior</v>
      </c>
      <c r="AY225" s="97"/>
      <c r="AZ225" s="97"/>
      <c r="BA225" s="97"/>
      <c r="BB225" s="97"/>
      <c r="BC225" s="97"/>
      <c r="BD225" s="97" t="str">
        <f>IFERROR(__xludf.DUMMYFUNCTION("""COMPUTED_VALUE"""),"VOUR")</f>
        <v>VOUR</v>
      </c>
      <c r="BE225" s="97" t="str">
        <f>IFERROR(__xludf.DUMMYFUNCTION("""COMPUTED_VALUE"""),"Sin Ficha")</f>
        <v>Sin Ficha</v>
      </c>
      <c r="BF225" s="97"/>
      <c r="BG225" s="97" t="str">
        <f>IFERROR(__xludf.DUMMYFUNCTION("""COMPUTED_VALUE"""),"Discontinuo")</f>
        <v>Discontinuo</v>
      </c>
    </row>
    <row r="226">
      <c r="A226" s="97">
        <f>IFERROR(__xludf.DUMMYFUNCTION("""COMPUTED_VALUE"""),4055.0)</f>
        <v>4055</v>
      </c>
      <c r="B226" s="97" t="str">
        <f>IFERROR(__xludf.DUMMYFUNCTION("""COMPUTED_VALUE"""),"BUGGY BL")</f>
        <v>BUGGY BL</v>
      </c>
      <c r="C226" s="97" t="str">
        <f>IFERROR(__xludf.DUMMYFUNCTION("""COMPUTED_VALUE"""),"COLGANTE BUGGY BLANCO LEUK")</f>
        <v>COLGANTE BUGGY BLANCO LEUK</v>
      </c>
      <c r="D226" s="97">
        <f>IFERROR(__xludf.DUMMYFUNCTION("""COMPUTED_VALUE"""),7.798328758835E12)</f>
        <v>7798328758835</v>
      </c>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t="str">
        <f>IFERROR(__xludf.DUMMYFUNCTION("""COMPUTED_VALUE"""),"IP20")</f>
        <v>IP20</v>
      </c>
      <c r="AE226" s="97"/>
      <c r="AF226" s="97" t="str">
        <f>IFERROR(__xludf.DUMMYFUNCTION("""COMPUTED_VALUE"""),"Suspender")</f>
        <v>Suspender</v>
      </c>
      <c r="AG226" s="97"/>
      <c r="AH226" s="97"/>
      <c r="AI226" s="97"/>
      <c r="AJ226" s="97"/>
      <c r="AK226" s="97"/>
      <c r="AL226" s="97"/>
      <c r="AM226" s="97"/>
      <c r="AN226" s="97"/>
      <c r="AO226" s="97" t="str">
        <f>IFERROR(__xludf.DUMMYFUNCTION("""COMPUTED_VALUE"""),"1 Año")</f>
        <v>1 Año</v>
      </c>
      <c r="AP226" s="97"/>
      <c r="AQ226" s="97"/>
      <c r="AR226" s="97"/>
      <c r="AS226" s="97"/>
      <c r="AT226" s="97"/>
      <c r="AU226" s="97"/>
      <c r="AV226" s="97" t="str">
        <f>IFERROR(__xludf.DUMMYFUNCTION("""COMPUTED_VALUE"""),"Colgante")</f>
        <v>Colgante</v>
      </c>
      <c r="AW226" s="97" t="str">
        <f>IFERROR(__xludf.DUMMYFUNCTION("""COMPUTED_VALUE"""),"De Techo")</f>
        <v>De Techo</v>
      </c>
      <c r="AX226" s="97" t="str">
        <f>IFERROR(__xludf.DUMMYFUNCTION("""COMPUTED_VALUE"""),"Interior")</f>
        <v>Interior</v>
      </c>
      <c r="AY226" s="97"/>
      <c r="AZ226" s="97"/>
      <c r="BA226" s="97"/>
      <c r="BB226" s="97"/>
      <c r="BC226" s="97"/>
      <c r="BD226" s="97" t="str">
        <f>IFERROR(__xludf.DUMMYFUNCTION("""COMPUTED_VALUE"""),"BUGGY")</f>
        <v>BUGGY</v>
      </c>
      <c r="BE226" s="97" t="str">
        <f>IFERROR(__xludf.DUMMYFUNCTION("""COMPUTED_VALUE"""),"Sin Ficha")</f>
        <v>Sin Ficha</v>
      </c>
      <c r="BF226" s="97"/>
      <c r="BG226" s="97" t="str">
        <f>IFERROR(__xludf.DUMMYFUNCTION("""COMPUTED_VALUE"""),"Discontinuo")</f>
        <v>Discontinuo</v>
      </c>
    </row>
    <row r="227">
      <c r="A227" s="97">
        <f>IFERROR(__xludf.DUMMYFUNCTION("""COMPUTED_VALUE"""),4056.0)</f>
        <v>4056</v>
      </c>
      <c r="B227" s="97" t="str">
        <f>IFERROR(__xludf.DUMMYFUNCTION("""COMPUTED_VALUE"""),"BUGGY NG")</f>
        <v>BUGGY NG</v>
      </c>
      <c r="C227" s="97" t="str">
        <f>IFERROR(__xludf.DUMMYFUNCTION("""COMPUTED_VALUE"""),"COLGANTE BUGGY NEGRO LEUK")</f>
        <v>COLGANTE BUGGY NEGRO LEUK</v>
      </c>
      <c r="D227" s="97">
        <f>IFERROR(__xludf.DUMMYFUNCTION("""COMPUTED_VALUE"""),7.798328758828E12)</f>
        <v>7798328758828</v>
      </c>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t="str">
        <f>IFERROR(__xludf.DUMMYFUNCTION("""COMPUTED_VALUE"""),"IP20")</f>
        <v>IP20</v>
      </c>
      <c r="AE227" s="97"/>
      <c r="AF227" s="97" t="str">
        <f>IFERROR(__xludf.DUMMYFUNCTION("""COMPUTED_VALUE"""),"Suspender")</f>
        <v>Suspender</v>
      </c>
      <c r="AG227" s="97"/>
      <c r="AH227" s="97"/>
      <c r="AI227" s="97"/>
      <c r="AJ227" s="97"/>
      <c r="AK227" s="97"/>
      <c r="AL227" s="97"/>
      <c r="AM227" s="97"/>
      <c r="AN227" s="97"/>
      <c r="AO227" s="97" t="str">
        <f>IFERROR(__xludf.DUMMYFUNCTION("""COMPUTED_VALUE"""),"1 Año")</f>
        <v>1 Año</v>
      </c>
      <c r="AP227" s="97"/>
      <c r="AQ227" s="97"/>
      <c r="AR227" s="97"/>
      <c r="AS227" s="97"/>
      <c r="AT227" s="97"/>
      <c r="AU227" s="97"/>
      <c r="AV227" s="97" t="str">
        <f>IFERROR(__xludf.DUMMYFUNCTION("""COMPUTED_VALUE"""),"Colgante")</f>
        <v>Colgante</v>
      </c>
      <c r="AW227" s="97" t="str">
        <f>IFERROR(__xludf.DUMMYFUNCTION("""COMPUTED_VALUE"""),"De Techo")</f>
        <v>De Techo</v>
      </c>
      <c r="AX227" s="97" t="str">
        <f>IFERROR(__xludf.DUMMYFUNCTION("""COMPUTED_VALUE"""),"Interior")</f>
        <v>Interior</v>
      </c>
      <c r="AY227" s="97"/>
      <c r="AZ227" s="97"/>
      <c r="BA227" s="97"/>
      <c r="BB227" s="97"/>
      <c r="BC227" s="97"/>
      <c r="BD227" s="97" t="str">
        <f>IFERROR(__xludf.DUMMYFUNCTION("""COMPUTED_VALUE"""),"BUGGY")</f>
        <v>BUGGY</v>
      </c>
      <c r="BE227" s="97" t="str">
        <f>IFERROR(__xludf.DUMMYFUNCTION("""COMPUTED_VALUE"""),"Sin Ficha")</f>
        <v>Sin Ficha</v>
      </c>
      <c r="BF227" s="97"/>
      <c r="BG227" s="97" t="str">
        <f>IFERROR(__xludf.DUMMYFUNCTION("""COMPUTED_VALUE"""),"Discontinuo")</f>
        <v>Discontinuo</v>
      </c>
    </row>
    <row r="228">
      <c r="A228" s="97">
        <f>IFERROR(__xludf.DUMMYFUNCTION("""COMPUTED_VALUE"""),4057.0)</f>
        <v>4057</v>
      </c>
      <c r="B228" s="97" t="str">
        <f>IFERROR(__xludf.DUMMYFUNCTION("""COMPUTED_VALUE"""),"EKRIXI")</f>
        <v>EKRIXI</v>
      </c>
      <c r="C228" s="97" t="str">
        <f>IFERROR(__xludf.DUMMYFUNCTION("""COMPUTED_VALUE"""),"COLGANTE EKRIXI LEUK")</f>
        <v>COLGANTE EKRIXI LEUK</v>
      </c>
      <c r="D228" s="97">
        <f>IFERROR(__xludf.DUMMYFUNCTION("""COMPUTED_VALUE"""),7.798328758842E12)</f>
        <v>7798328758842</v>
      </c>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t="str">
        <f>IFERROR(__xludf.DUMMYFUNCTION("""COMPUTED_VALUE"""),"IP20")</f>
        <v>IP20</v>
      </c>
      <c r="AE228" s="97"/>
      <c r="AF228" s="97" t="str">
        <f>IFERROR(__xludf.DUMMYFUNCTION("""COMPUTED_VALUE"""),"Suspender")</f>
        <v>Suspender</v>
      </c>
      <c r="AG228" s="97"/>
      <c r="AH228" s="97"/>
      <c r="AI228" s="97"/>
      <c r="AJ228" s="97"/>
      <c r="AK228" s="97"/>
      <c r="AL228" s="97"/>
      <c r="AM228" s="97"/>
      <c r="AN228" s="97"/>
      <c r="AO228" s="97" t="str">
        <f>IFERROR(__xludf.DUMMYFUNCTION("""COMPUTED_VALUE"""),"1 Año")</f>
        <v>1 Año</v>
      </c>
      <c r="AP228" s="97"/>
      <c r="AQ228" s="97"/>
      <c r="AR228" s="97"/>
      <c r="AS228" s="97"/>
      <c r="AT228" s="97"/>
      <c r="AU228" s="97"/>
      <c r="AV228" s="97" t="str">
        <f>IFERROR(__xludf.DUMMYFUNCTION("""COMPUTED_VALUE"""),"Colgante")</f>
        <v>Colgante</v>
      </c>
      <c r="AW228" s="97" t="str">
        <f>IFERROR(__xludf.DUMMYFUNCTION("""COMPUTED_VALUE"""),"De Techo")</f>
        <v>De Techo</v>
      </c>
      <c r="AX228" s="97" t="str">
        <f>IFERROR(__xludf.DUMMYFUNCTION("""COMPUTED_VALUE"""),"Interior")</f>
        <v>Interior</v>
      </c>
      <c r="AY228" s="97"/>
      <c r="AZ228" s="97"/>
      <c r="BA228" s="97"/>
      <c r="BB228" s="97"/>
      <c r="BC228" s="97"/>
      <c r="BD228" s="97" t="str">
        <f>IFERROR(__xludf.DUMMYFUNCTION("""COMPUTED_VALUE"""),"EKRIXI")</f>
        <v>EKRIXI</v>
      </c>
      <c r="BE228" s="97" t="str">
        <f>IFERROR(__xludf.DUMMYFUNCTION("""COMPUTED_VALUE"""),"Sin Ficha")</f>
        <v>Sin Ficha</v>
      </c>
      <c r="BF228" s="97"/>
      <c r="BG228" s="97" t="str">
        <f>IFERROR(__xludf.DUMMYFUNCTION("""COMPUTED_VALUE"""),"Discontinuo")</f>
        <v>Discontinuo</v>
      </c>
    </row>
    <row r="229">
      <c r="A229" s="97">
        <f>IFERROR(__xludf.DUMMYFUNCTION("""COMPUTED_VALUE"""),4058.0)</f>
        <v>4058</v>
      </c>
      <c r="B229" s="97" t="str">
        <f>IFERROR(__xludf.DUMMYFUNCTION("""COMPUTED_VALUE"""),"LIGO")</f>
        <v>LIGO</v>
      </c>
      <c r="C229" s="97" t="str">
        <f>IFERROR(__xludf.DUMMYFUNCTION("""COMPUTED_VALUE"""),"COLGANTE LIGO BLANCO LEUK")</f>
        <v>COLGANTE LIGO BLANCO LEUK</v>
      </c>
      <c r="D229" s="97">
        <f>IFERROR(__xludf.DUMMYFUNCTION("""COMPUTED_VALUE"""),7.798328758866E12)</f>
        <v>7798328758866</v>
      </c>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t="str">
        <f>IFERROR(__xludf.DUMMYFUNCTION("""COMPUTED_VALUE"""),"IP20")</f>
        <v>IP20</v>
      </c>
      <c r="AE229" s="97"/>
      <c r="AF229" s="97" t="str">
        <f>IFERROR(__xludf.DUMMYFUNCTION("""COMPUTED_VALUE"""),"Suspender")</f>
        <v>Suspender</v>
      </c>
      <c r="AG229" s="97"/>
      <c r="AH229" s="97"/>
      <c r="AI229" s="97"/>
      <c r="AJ229" s="97"/>
      <c r="AK229" s="97"/>
      <c r="AL229" s="97"/>
      <c r="AM229" s="97"/>
      <c r="AN229" s="97"/>
      <c r="AO229" s="97" t="str">
        <f>IFERROR(__xludf.DUMMYFUNCTION("""COMPUTED_VALUE"""),"1 Año")</f>
        <v>1 Año</v>
      </c>
      <c r="AP229" s="97"/>
      <c r="AQ229" s="97"/>
      <c r="AR229" s="97"/>
      <c r="AS229" s="97"/>
      <c r="AT229" s="97"/>
      <c r="AU229" s="97"/>
      <c r="AV229" s="97" t="str">
        <f>IFERROR(__xludf.DUMMYFUNCTION("""COMPUTED_VALUE"""),"Colgante")</f>
        <v>Colgante</v>
      </c>
      <c r="AW229" s="97" t="str">
        <f>IFERROR(__xludf.DUMMYFUNCTION("""COMPUTED_VALUE"""),"De Techo")</f>
        <v>De Techo</v>
      </c>
      <c r="AX229" s="97" t="str">
        <f>IFERROR(__xludf.DUMMYFUNCTION("""COMPUTED_VALUE"""),"Interior")</f>
        <v>Interior</v>
      </c>
      <c r="AY229" s="97"/>
      <c r="AZ229" s="97"/>
      <c r="BA229" s="97"/>
      <c r="BB229" s="97"/>
      <c r="BC229" s="97"/>
      <c r="BD229" s="97" t="str">
        <f>IFERROR(__xludf.DUMMYFUNCTION("""COMPUTED_VALUE"""),"LIGO")</f>
        <v>LIGO</v>
      </c>
      <c r="BE229" s="97" t="str">
        <f>IFERROR(__xludf.DUMMYFUNCTION("""COMPUTED_VALUE"""),"Sin Ficha")</f>
        <v>Sin Ficha</v>
      </c>
      <c r="BF229" s="97"/>
      <c r="BG229" s="97" t="str">
        <f>IFERROR(__xludf.DUMMYFUNCTION("""COMPUTED_VALUE"""),"Discontinuo")</f>
        <v>Discontinuo</v>
      </c>
    </row>
    <row r="230">
      <c r="A230" s="97">
        <f>IFERROR(__xludf.DUMMYFUNCTION("""COMPUTED_VALUE"""),4059.0)</f>
        <v>4059</v>
      </c>
      <c r="B230" s="97" t="str">
        <f>IFERROR(__xludf.DUMMYFUNCTION("""COMPUTED_VALUE"""),"LIGO")</f>
        <v>LIGO</v>
      </c>
      <c r="C230" s="97" t="str">
        <f>IFERROR(__xludf.DUMMYFUNCTION("""COMPUTED_VALUE"""),"COLGANTE LIGO NEGRO LEUK")</f>
        <v>COLGANTE LIGO NEGRO LEUK</v>
      </c>
      <c r="D230" s="97">
        <f>IFERROR(__xludf.DUMMYFUNCTION("""COMPUTED_VALUE"""),7.798328758859E12)</f>
        <v>7798328758859</v>
      </c>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t="str">
        <f>IFERROR(__xludf.DUMMYFUNCTION("""COMPUTED_VALUE"""),"IP20")</f>
        <v>IP20</v>
      </c>
      <c r="AE230" s="97"/>
      <c r="AF230" s="97" t="str">
        <f>IFERROR(__xludf.DUMMYFUNCTION("""COMPUTED_VALUE"""),"Suspender")</f>
        <v>Suspender</v>
      </c>
      <c r="AG230" s="97"/>
      <c r="AH230" s="97"/>
      <c r="AI230" s="97"/>
      <c r="AJ230" s="97"/>
      <c r="AK230" s="97"/>
      <c r="AL230" s="97"/>
      <c r="AM230" s="97"/>
      <c r="AN230" s="97"/>
      <c r="AO230" s="97" t="str">
        <f>IFERROR(__xludf.DUMMYFUNCTION("""COMPUTED_VALUE"""),"1 Año")</f>
        <v>1 Año</v>
      </c>
      <c r="AP230" s="97"/>
      <c r="AQ230" s="97"/>
      <c r="AR230" s="97"/>
      <c r="AS230" s="97"/>
      <c r="AT230" s="97"/>
      <c r="AU230" s="97"/>
      <c r="AV230" s="97" t="str">
        <f>IFERROR(__xludf.DUMMYFUNCTION("""COMPUTED_VALUE"""),"Colgante")</f>
        <v>Colgante</v>
      </c>
      <c r="AW230" s="97" t="str">
        <f>IFERROR(__xludf.DUMMYFUNCTION("""COMPUTED_VALUE"""),"De Techo")</f>
        <v>De Techo</v>
      </c>
      <c r="AX230" s="97" t="str">
        <f>IFERROR(__xludf.DUMMYFUNCTION("""COMPUTED_VALUE"""),"Interior")</f>
        <v>Interior</v>
      </c>
      <c r="AY230" s="97"/>
      <c r="AZ230" s="97"/>
      <c r="BA230" s="97"/>
      <c r="BB230" s="97"/>
      <c r="BC230" s="97"/>
      <c r="BD230" s="97" t="str">
        <f>IFERROR(__xludf.DUMMYFUNCTION("""COMPUTED_VALUE"""),"LIGO")</f>
        <v>LIGO</v>
      </c>
      <c r="BE230" s="97" t="str">
        <f>IFERROR(__xludf.DUMMYFUNCTION("""COMPUTED_VALUE"""),"Sin Ficha")</f>
        <v>Sin Ficha</v>
      </c>
      <c r="BF230" s="97"/>
      <c r="BG230" s="97" t="str">
        <f>IFERROR(__xludf.DUMMYFUNCTION("""COMPUTED_VALUE"""),"Discontinuo")</f>
        <v>Discontinuo</v>
      </c>
    </row>
    <row r="231">
      <c r="A231" s="97">
        <f>IFERROR(__xludf.DUMMYFUNCTION("""COMPUTED_VALUE"""),4060.0)</f>
        <v>4060</v>
      </c>
      <c r="B231" s="97" t="str">
        <f>IFERROR(__xludf.DUMMYFUNCTION("""COMPUTED_VALUE"""),"PARAXENO")</f>
        <v>PARAXENO</v>
      </c>
      <c r="C231" s="97" t="str">
        <f>IFERROR(__xludf.DUMMYFUNCTION("""COMPUTED_VALUE"""),"COLGANTE PARAXENO LEUK")</f>
        <v>COLGANTE PARAXENO LEUK</v>
      </c>
      <c r="D231" s="97">
        <f>IFERROR(__xludf.DUMMYFUNCTION("""COMPUTED_VALUE"""),7.798328758873E12)</f>
        <v>7798328758873</v>
      </c>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t="str">
        <f>IFERROR(__xludf.DUMMYFUNCTION("""COMPUTED_VALUE"""),"IP20")</f>
        <v>IP20</v>
      </c>
      <c r="AE231" s="97"/>
      <c r="AF231" s="97" t="str">
        <f>IFERROR(__xludf.DUMMYFUNCTION("""COMPUTED_VALUE"""),"Suspender")</f>
        <v>Suspender</v>
      </c>
      <c r="AG231" s="97"/>
      <c r="AH231" s="97"/>
      <c r="AI231" s="97"/>
      <c r="AJ231" s="97"/>
      <c r="AK231" s="97"/>
      <c r="AL231" s="97"/>
      <c r="AM231" s="97"/>
      <c r="AN231" s="97"/>
      <c r="AO231" s="97" t="str">
        <f>IFERROR(__xludf.DUMMYFUNCTION("""COMPUTED_VALUE"""),"1 Año")</f>
        <v>1 Año</v>
      </c>
      <c r="AP231" s="97"/>
      <c r="AQ231" s="97"/>
      <c r="AR231" s="97"/>
      <c r="AS231" s="97"/>
      <c r="AT231" s="97"/>
      <c r="AU231" s="97"/>
      <c r="AV231" s="97" t="str">
        <f>IFERROR(__xludf.DUMMYFUNCTION("""COMPUTED_VALUE"""),"Colgante")</f>
        <v>Colgante</v>
      </c>
      <c r="AW231" s="97" t="str">
        <f>IFERROR(__xludf.DUMMYFUNCTION("""COMPUTED_VALUE"""),"De Techo")</f>
        <v>De Techo</v>
      </c>
      <c r="AX231" s="97" t="str">
        <f>IFERROR(__xludf.DUMMYFUNCTION("""COMPUTED_VALUE"""),"Interior")</f>
        <v>Interior</v>
      </c>
      <c r="AY231" s="97"/>
      <c r="AZ231" s="97"/>
      <c r="BA231" s="97"/>
      <c r="BB231" s="97"/>
      <c r="BC231" s="97"/>
      <c r="BD231" s="97" t="str">
        <f>IFERROR(__xludf.DUMMYFUNCTION("""COMPUTED_VALUE"""),"PARAXENO")</f>
        <v>PARAXENO</v>
      </c>
      <c r="BE231" s="97" t="str">
        <f>IFERROR(__xludf.DUMMYFUNCTION("""COMPUTED_VALUE"""),"Sin Ficha")</f>
        <v>Sin Ficha</v>
      </c>
      <c r="BF231" s="97"/>
      <c r="BG231" s="97" t="str">
        <f>IFERROR(__xludf.DUMMYFUNCTION("""COMPUTED_VALUE"""),"Discontinuo")</f>
        <v>Discontinuo</v>
      </c>
    </row>
    <row r="232">
      <c r="A232" s="97">
        <f>IFERROR(__xludf.DUMMYFUNCTION("""COMPUTED_VALUE"""),4061.0)</f>
        <v>4061</v>
      </c>
      <c r="B232" s="97" t="str">
        <f>IFERROR(__xludf.DUMMYFUNCTION("""COMPUTED_VALUE"""),"TRICHES")</f>
        <v>TRICHES</v>
      </c>
      <c r="C232" s="97" t="str">
        <f>IFERROR(__xludf.DUMMYFUNCTION("""COMPUTED_VALUE"""),"COLGANTE TRICHES LEUK")</f>
        <v>COLGANTE TRICHES LEUK</v>
      </c>
      <c r="D232" s="97">
        <f>IFERROR(__xludf.DUMMYFUNCTION("""COMPUTED_VALUE"""),7.79832875888E12)</f>
        <v>7798328758880</v>
      </c>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t="str">
        <f>IFERROR(__xludf.DUMMYFUNCTION("""COMPUTED_VALUE"""),"IP20")</f>
        <v>IP20</v>
      </c>
      <c r="AE232" s="97"/>
      <c r="AF232" s="97" t="str">
        <f>IFERROR(__xludf.DUMMYFUNCTION("""COMPUTED_VALUE"""),"Suspender")</f>
        <v>Suspender</v>
      </c>
      <c r="AG232" s="97"/>
      <c r="AH232" s="97"/>
      <c r="AI232" s="97"/>
      <c r="AJ232" s="97"/>
      <c r="AK232" s="97"/>
      <c r="AL232" s="97"/>
      <c r="AM232" s="97"/>
      <c r="AN232" s="97"/>
      <c r="AO232" s="97" t="str">
        <f>IFERROR(__xludf.DUMMYFUNCTION("""COMPUTED_VALUE"""),"1 Año")</f>
        <v>1 Año</v>
      </c>
      <c r="AP232" s="97"/>
      <c r="AQ232" s="97"/>
      <c r="AR232" s="97"/>
      <c r="AS232" s="97"/>
      <c r="AT232" s="97"/>
      <c r="AU232" s="97"/>
      <c r="AV232" s="97" t="str">
        <f>IFERROR(__xludf.DUMMYFUNCTION("""COMPUTED_VALUE"""),"Colgante")</f>
        <v>Colgante</v>
      </c>
      <c r="AW232" s="97" t="str">
        <f>IFERROR(__xludf.DUMMYFUNCTION("""COMPUTED_VALUE"""),"De Techo")</f>
        <v>De Techo</v>
      </c>
      <c r="AX232" s="97" t="str">
        <f>IFERROR(__xludf.DUMMYFUNCTION("""COMPUTED_VALUE"""),"Interior")</f>
        <v>Interior</v>
      </c>
      <c r="AY232" s="97"/>
      <c r="AZ232" s="97"/>
      <c r="BA232" s="97"/>
      <c r="BB232" s="97"/>
      <c r="BC232" s="97"/>
      <c r="BD232" s="97" t="str">
        <f>IFERROR(__xludf.DUMMYFUNCTION("""COMPUTED_VALUE"""),"TRICHES")</f>
        <v>TRICHES</v>
      </c>
      <c r="BE232" s="97" t="str">
        <f>IFERROR(__xludf.DUMMYFUNCTION("""COMPUTED_VALUE"""),"Sin Ficha")</f>
        <v>Sin Ficha</v>
      </c>
      <c r="BF232" s="97"/>
      <c r="BG232" s="97" t="str">
        <f>IFERROR(__xludf.DUMMYFUNCTION("""COMPUTED_VALUE"""),"Discontinuo")</f>
        <v>Discontinuo</v>
      </c>
    </row>
    <row r="233">
      <c r="A233" s="97">
        <f>IFERROR(__xludf.DUMMYFUNCTION("""COMPUTED_VALUE"""),4062.0)</f>
        <v>4062</v>
      </c>
      <c r="B233" s="97" t="str">
        <f>IFERROR(__xludf.DUMMYFUNCTION("""COMPUTED_VALUE"""),"TERASTIA")</f>
        <v>TERASTIA</v>
      </c>
      <c r="C233" s="97" t="str">
        <f>IFERROR(__xludf.DUMMYFUNCTION("""COMPUTED_VALUE"""),"COLGANTE TERASTIA BLANCO LEUK")</f>
        <v>COLGANTE TERASTIA BLANCO LEUK</v>
      </c>
      <c r="D233" s="97">
        <f>IFERROR(__xludf.DUMMYFUNCTION("""COMPUTED_VALUE"""),7.798328759276E12)</f>
        <v>7798328759276</v>
      </c>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t="str">
        <f>IFERROR(__xludf.DUMMYFUNCTION("""COMPUTED_VALUE"""),"IP20")</f>
        <v>IP20</v>
      </c>
      <c r="AE233" s="97"/>
      <c r="AF233" s="97" t="str">
        <f>IFERROR(__xludf.DUMMYFUNCTION("""COMPUTED_VALUE"""),"Suspender")</f>
        <v>Suspender</v>
      </c>
      <c r="AG233" s="97"/>
      <c r="AH233" s="97"/>
      <c r="AI233" s="97"/>
      <c r="AJ233" s="97"/>
      <c r="AK233" s="97"/>
      <c r="AL233" s="97"/>
      <c r="AM233" s="97"/>
      <c r="AN233" s="97"/>
      <c r="AO233" s="97" t="str">
        <f>IFERROR(__xludf.DUMMYFUNCTION("""COMPUTED_VALUE"""),"1 Año")</f>
        <v>1 Año</v>
      </c>
      <c r="AP233" s="97"/>
      <c r="AQ233" s="97"/>
      <c r="AR233" s="97"/>
      <c r="AS233" s="97"/>
      <c r="AT233" s="97"/>
      <c r="AU233" s="97"/>
      <c r="AV233" s="97" t="str">
        <f>IFERROR(__xludf.DUMMYFUNCTION("""COMPUTED_VALUE"""),"Colgante")</f>
        <v>Colgante</v>
      </c>
      <c r="AW233" s="97" t="str">
        <f>IFERROR(__xludf.DUMMYFUNCTION("""COMPUTED_VALUE"""),"De Techo")</f>
        <v>De Techo</v>
      </c>
      <c r="AX233" s="97" t="str">
        <f>IFERROR(__xludf.DUMMYFUNCTION("""COMPUTED_VALUE"""),"Interior")</f>
        <v>Interior</v>
      </c>
      <c r="AY233" s="97"/>
      <c r="AZ233" s="97"/>
      <c r="BA233" s="97"/>
      <c r="BB233" s="97"/>
      <c r="BC233" s="97"/>
      <c r="BD233" s="97" t="str">
        <f>IFERROR(__xludf.DUMMYFUNCTION("""COMPUTED_VALUE"""),"TERASTIA")</f>
        <v>TERASTIA</v>
      </c>
      <c r="BE233" s="97" t="str">
        <f>IFERROR(__xludf.DUMMYFUNCTION("""COMPUTED_VALUE"""),"Sin Ficha")</f>
        <v>Sin Ficha</v>
      </c>
      <c r="BF233" s="97"/>
      <c r="BG233" s="97" t="str">
        <f>IFERROR(__xludf.DUMMYFUNCTION("""COMPUTED_VALUE"""),"Discontinuo")</f>
        <v>Discontinuo</v>
      </c>
    </row>
    <row r="234">
      <c r="A234" s="97">
        <f>IFERROR(__xludf.DUMMYFUNCTION("""COMPUTED_VALUE"""),4063.0)</f>
        <v>4063</v>
      </c>
      <c r="B234" s="97" t="str">
        <f>IFERROR(__xludf.DUMMYFUNCTION("""COMPUTED_VALUE"""),"KIRIE")</f>
        <v>KIRIE</v>
      </c>
      <c r="C234" s="97" t="str">
        <f>IFERROR(__xludf.DUMMYFUNCTION("""COMPUTED_VALUE"""),"COLGANTE KIRIE BLANCO LEUK")</f>
        <v>COLGANTE KIRIE BLANCO LEUK</v>
      </c>
      <c r="D234" s="97">
        <f>IFERROR(__xludf.DUMMYFUNCTION("""COMPUTED_VALUE"""),7.798328759023E12)</f>
        <v>7798328759023</v>
      </c>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t="str">
        <f>IFERROR(__xludf.DUMMYFUNCTION("""COMPUTED_VALUE"""),"IP20")</f>
        <v>IP20</v>
      </c>
      <c r="AE234" s="97"/>
      <c r="AF234" s="97" t="str">
        <f>IFERROR(__xludf.DUMMYFUNCTION("""COMPUTED_VALUE"""),"Suspender")</f>
        <v>Suspender</v>
      </c>
      <c r="AG234" s="97"/>
      <c r="AH234" s="97"/>
      <c r="AI234" s="97"/>
      <c r="AJ234" s="97"/>
      <c r="AK234" s="97"/>
      <c r="AL234" s="97"/>
      <c r="AM234" s="97"/>
      <c r="AN234" s="97"/>
      <c r="AO234" s="97" t="str">
        <f>IFERROR(__xludf.DUMMYFUNCTION("""COMPUTED_VALUE"""),"1 Año")</f>
        <v>1 Año</v>
      </c>
      <c r="AP234" s="97"/>
      <c r="AQ234" s="97"/>
      <c r="AR234" s="97"/>
      <c r="AS234" s="97"/>
      <c r="AT234" s="97"/>
      <c r="AU234" s="97"/>
      <c r="AV234" s="97" t="str">
        <f>IFERROR(__xludf.DUMMYFUNCTION("""COMPUTED_VALUE"""),"Colgante")</f>
        <v>Colgante</v>
      </c>
      <c r="AW234" s="97" t="str">
        <f>IFERROR(__xludf.DUMMYFUNCTION("""COMPUTED_VALUE"""),"De Techo")</f>
        <v>De Techo</v>
      </c>
      <c r="AX234" s="97" t="str">
        <f>IFERROR(__xludf.DUMMYFUNCTION("""COMPUTED_VALUE"""),"Interior")</f>
        <v>Interior</v>
      </c>
      <c r="AY234" s="97"/>
      <c r="AZ234" s="97"/>
      <c r="BA234" s="97"/>
      <c r="BB234" s="97"/>
      <c r="BC234" s="97"/>
      <c r="BD234" s="97" t="str">
        <f>IFERROR(__xludf.DUMMYFUNCTION("""COMPUTED_VALUE"""),"KIRIE")</f>
        <v>KIRIE</v>
      </c>
      <c r="BE234" s="97" t="str">
        <f>IFERROR(__xludf.DUMMYFUNCTION("""COMPUTED_VALUE"""),"Sin Ficha")</f>
        <v>Sin Ficha</v>
      </c>
      <c r="BF234" s="97"/>
      <c r="BG234" s="97" t="str">
        <f>IFERROR(__xludf.DUMMYFUNCTION("""COMPUTED_VALUE"""),"Discontinuo")</f>
        <v>Discontinuo</v>
      </c>
    </row>
    <row r="235">
      <c r="A235" s="97">
        <f>IFERROR(__xludf.DUMMYFUNCTION("""COMPUTED_VALUE"""),4064.0)</f>
        <v>4064</v>
      </c>
      <c r="B235" s="97" t="str">
        <f>IFERROR(__xludf.DUMMYFUNCTION("""COMPUTED_VALUE"""),"KIRIE")</f>
        <v>KIRIE</v>
      </c>
      <c r="C235" s="97" t="str">
        <f>IFERROR(__xludf.DUMMYFUNCTION("""COMPUTED_VALUE"""),"COLGANTE KIRIE NEGRO LEUK")</f>
        <v>COLGANTE KIRIE NEGRO LEUK</v>
      </c>
      <c r="D235" s="97">
        <f>IFERROR(__xludf.DUMMYFUNCTION("""COMPUTED_VALUE"""),7.798328759481E12)</f>
        <v>7798328759481</v>
      </c>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t="str">
        <f>IFERROR(__xludf.DUMMYFUNCTION("""COMPUTED_VALUE"""),"IP20")</f>
        <v>IP20</v>
      </c>
      <c r="AE235" s="97"/>
      <c r="AF235" s="97" t="str">
        <f>IFERROR(__xludf.DUMMYFUNCTION("""COMPUTED_VALUE"""),"Suspender")</f>
        <v>Suspender</v>
      </c>
      <c r="AG235" s="97"/>
      <c r="AH235" s="97"/>
      <c r="AI235" s="97"/>
      <c r="AJ235" s="97"/>
      <c r="AK235" s="97"/>
      <c r="AL235" s="97"/>
      <c r="AM235" s="97"/>
      <c r="AN235" s="97"/>
      <c r="AO235" s="97" t="str">
        <f>IFERROR(__xludf.DUMMYFUNCTION("""COMPUTED_VALUE"""),"1 Año")</f>
        <v>1 Año</v>
      </c>
      <c r="AP235" s="97"/>
      <c r="AQ235" s="97"/>
      <c r="AR235" s="97"/>
      <c r="AS235" s="97"/>
      <c r="AT235" s="97"/>
      <c r="AU235" s="97"/>
      <c r="AV235" s="97" t="str">
        <f>IFERROR(__xludf.DUMMYFUNCTION("""COMPUTED_VALUE"""),"Colgante")</f>
        <v>Colgante</v>
      </c>
      <c r="AW235" s="97" t="str">
        <f>IFERROR(__xludf.DUMMYFUNCTION("""COMPUTED_VALUE"""),"De Techo")</f>
        <v>De Techo</v>
      </c>
      <c r="AX235" s="97" t="str">
        <f>IFERROR(__xludf.DUMMYFUNCTION("""COMPUTED_VALUE"""),"Interior")</f>
        <v>Interior</v>
      </c>
      <c r="AY235" s="97"/>
      <c r="AZ235" s="97"/>
      <c r="BA235" s="97"/>
      <c r="BB235" s="97"/>
      <c r="BC235" s="97"/>
      <c r="BD235" s="97" t="str">
        <f>IFERROR(__xludf.DUMMYFUNCTION("""COMPUTED_VALUE"""),"KIRIE")</f>
        <v>KIRIE</v>
      </c>
      <c r="BE235" s="97" t="str">
        <f>IFERROR(__xludf.DUMMYFUNCTION("""COMPUTED_VALUE"""),"Sin Ficha")</f>
        <v>Sin Ficha</v>
      </c>
      <c r="BF235" s="97"/>
      <c r="BG235" s="97" t="str">
        <f>IFERROR(__xludf.DUMMYFUNCTION("""COMPUTED_VALUE"""),"Discontinuo")</f>
        <v>Discontinuo</v>
      </c>
    </row>
    <row r="236">
      <c r="A236" s="97">
        <f>IFERROR(__xludf.DUMMYFUNCTION("""COMPUTED_VALUE"""),4065.0)</f>
        <v>4065</v>
      </c>
      <c r="B236" s="97" t="str">
        <f>IFERROR(__xludf.DUMMYFUNCTION("""COMPUTED_VALUE"""),"TIPOTA")</f>
        <v>TIPOTA</v>
      </c>
      <c r="C236" s="97" t="str">
        <f>IFERROR(__xludf.DUMMYFUNCTION("""COMPUTED_VALUE"""),"COLGANTE TIPOTA BLANCO LEUK")</f>
        <v>COLGANTE TIPOTA BLANCO LEUK</v>
      </c>
      <c r="D236" s="97">
        <f>IFERROR(__xludf.DUMMYFUNCTION("""COMPUTED_VALUE"""),7.79832875903E12)</f>
        <v>7798328759030</v>
      </c>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t="str">
        <f>IFERROR(__xludf.DUMMYFUNCTION("""COMPUTED_VALUE"""),"IP20")</f>
        <v>IP20</v>
      </c>
      <c r="AE236" s="97"/>
      <c r="AF236" s="97" t="str">
        <f>IFERROR(__xludf.DUMMYFUNCTION("""COMPUTED_VALUE"""),"Suspender")</f>
        <v>Suspender</v>
      </c>
      <c r="AG236" s="97"/>
      <c r="AH236" s="97"/>
      <c r="AI236" s="97"/>
      <c r="AJ236" s="97"/>
      <c r="AK236" s="97"/>
      <c r="AL236" s="97"/>
      <c r="AM236" s="97"/>
      <c r="AN236" s="97"/>
      <c r="AO236" s="97" t="str">
        <f>IFERROR(__xludf.DUMMYFUNCTION("""COMPUTED_VALUE"""),"1 Año")</f>
        <v>1 Año</v>
      </c>
      <c r="AP236" s="97"/>
      <c r="AQ236" s="97"/>
      <c r="AR236" s="97"/>
      <c r="AS236" s="97"/>
      <c r="AT236" s="97"/>
      <c r="AU236" s="97"/>
      <c r="AV236" s="97" t="str">
        <f>IFERROR(__xludf.DUMMYFUNCTION("""COMPUTED_VALUE"""),"Colgante")</f>
        <v>Colgante</v>
      </c>
      <c r="AW236" s="97" t="str">
        <f>IFERROR(__xludf.DUMMYFUNCTION("""COMPUTED_VALUE"""),"De Techo")</f>
        <v>De Techo</v>
      </c>
      <c r="AX236" s="97" t="str">
        <f>IFERROR(__xludf.DUMMYFUNCTION("""COMPUTED_VALUE"""),"Interior")</f>
        <v>Interior</v>
      </c>
      <c r="AY236" s="97"/>
      <c r="AZ236" s="97"/>
      <c r="BA236" s="97"/>
      <c r="BB236" s="97"/>
      <c r="BC236" s="97"/>
      <c r="BD236" s="97" t="str">
        <f>IFERROR(__xludf.DUMMYFUNCTION("""COMPUTED_VALUE"""),"TIPOTA")</f>
        <v>TIPOTA</v>
      </c>
      <c r="BE236" s="97" t="str">
        <f>IFERROR(__xludf.DUMMYFUNCTION("""COMPUTED_VALUE"""),"Sin Ficha")</f>
        <v>Sin Ficha</v>
      </c>
      <c r="BF236" s="97"/>
      <c r="BG236" s="97" t="str">
        <f>IFERROR(__xludf.DUMMYFUNCTION("""COMPUTED_VALUE"""),"Discontinuo")</f>
        <v>Discontinuo</v>
      </c>
    </row>
    <row r="237">
      <c r="A237" s="97">
        <f>IFERROR(__xludf.DUMMYFUNCTION("""COMPUTED_VALUE"""),4066.0)</f>
        <v>4066</v>
      </c>
      <c r="B237" s="97" t="str">
        <f>IFERROR(__xludf.DUMMYFUNCTION("""COMPUTED_VALUE"""),"TIPOTA")</f>
        <v>TIPOTA</v>
      </c>
      <c r="C237" s="97" t="str">
        <f>IFERROR(__xludf.DUMMYFUNCTION("""COMPUTED_VALUE"""),"COLGANTE TIPOTA NEGRO LEUK")</f>
        <v>COLGANTE TIPOTA NEGRO LEUK</v>
      </c>
      <c r="D237" s="97">
        <f>IFERROR(__xludf.DUMMYFUNCTION("""COMPUTED_VALUE"""),7.798328759498E12)</f>
        <v>7798328759498</v>
      </c>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t="str">
        <f>IFERROR(__xludf.DUMMYFUNCTION("""COMPUTED_VALUE"""),"IP20")</f>
        <v>IP20</v>
      </c>
      <c r="AE237" s="97"/>
      <c r="AF237" s="97" t="str">
        <f>IFERROR(__xludf.DUMMYFUNCTION("""COMPUTED_VALUE"""),"Suspender")</f>
        <v>Suspender</v>
      </c>
      <c r="AG237" s="97"/>
      <c r="AH237" s="97"/>
      <c r="AI237" s="97"/>
      <c r="AJ237" s="97"/>
      <c r="AK237" s="97"/>
      <c r="AL237" s="97"/>
      <c r="AM237" s="97"/>
      <c r="AN237" s="97"/>
      <c r="AO237" s="97" t="str">
        <f>IFERROR(__xludf.DUMMYFUNCTION("""COMPUTED_VALUE"""),"1 Año")</f>
        <v>1 Año</v>
      </c>
      <c r="AP237" s="97"/>
      <c r="AQ237" s="97"/>
      <c r="AR237" s="97"/>
      <c r="AS237" s="97"/>
      <c r="AT237" s="97"/>
      <c r="AU237" s="97"/>
      <c r="AV237" s="97" t="str">
        <f>IFERROR(__xludf.DUMMYFUNCTION("""COMPUTED_VALUE"""),"Colgante")</f>
        <v>Colgante</v>
      </c>
      <c r="AW237" s="97" t="str">
        <f>IFERROR(__xludf.DUMMYFUNCTION("""COMPUTED_VALUE"""),"De Techo")</f>
        <v>De Techo</v>
      </c>
      <c r="AX237" s="97" t="str">
        <f>IFERROR(__xludf.DUMMYFUNCTION("""COMPUTED_VALUE"""),"Interior")</f>
        <v>Interior</v>
      </c>
      <c r="AY237" s="97"/>
      <c r="AZ237" s="97"/>
      <c r="BA237" s="97"/>
      <c r="BB237" s="97"/>
      <c r="BC237" s="97"/>
      <c r="BD237" s="97" t="str">
        <f>IFERROR(__xludf.DUMMYFUNCTION("""COMPUTED_VALUE"""),"TIPOTA")</f>
        <v>TIPOTA</v>
      </c>
      <c r="BE237" s="97" t="str">
        <f>IFERROR(__xludf.DUMMYFUNCTION("""COMPUTED_VALUE"""),"Sin Ficha")</f>
        <v>Sin Ficha</v>
      </c>
      <c r="BF237" s="97"/>
      <c r="BG237" s="97" t="str">
        <f>IFERROR(__xludf.DUMMYFUNCTION("""COMPUTED_VALUE"""),"Discontinuo")</f>
        <v>Discontinuo</v>
      </c>
    </row>
    <row r="238">
      <c r="A238" s="97">
        <f>IFERROR(__xludf.DUMMYFUNCTION("""COMPUTED_VALUE"""),4067.0)</f>
        <v>4067</v>
      </c>
      <c r="B238" s="97" t="str">
        <f>IFERROR(__xludf.DUMMYFUNCTION("""COMPUTED_VALUE"""),"YASAS BL")</f>
        <v>YASAS BL</v>
      </c>
      <c r="C238" s="97" t="str">
        <f>IFERROR(__xludf.DUMMYFUNCTION("""COMPUTED_VALUE"""),"COLGANTE YASAS BLANCO LEUK")</f>
        <v>COLGANTE YASAS BLANCO LEUK</v>
      </c>
      <c r="D238" s="97">
        <f>IFERROR(__xludf.DUMMYFUNCTION("""COMPUTED_VALUE"""),7.798328759047E12)</f>
        <v>7798328759047</v>
      </c>
      <c r="E238" s="97"/>
      <c r="F238" s="97" t="str">
        <f>IFERROR(__xludf.DUMMYFUNCTION("""COMPUTED_VALUE"""),"LED integrado")</f>
        <v>LED integrado</v>
      </c>
      <c r="G238" s="97" t="str">
        <f>IFERROR(__xludf.DUMMYFUNCTION("""COMPUTED_VALUE"""),"-")</f>
        <v>-</v>
      </c>
      <c r="H238" s="97" t="str">
        <f>IFERROR(__xludf.DUMMYFUNCTION("""COMPUTED_VALUE"""),"-")</f>
        <v>-</v>
      </c>
      <c r="I238" s="97"/>
      <c r="J238" s="97" t="str">
        <f>IFERROR(__xludf.DUMMYFUNCTION("""COMPUTED_VALUE"""),"Modelo: CX-37-50Wx1
In: 175-265Vac 50/60Hz
Out: 110-175V 220mA")</f>
        <v>Modelo: CX-37-50Wx1
In: 175-265Vac 50/60Hz
Out: 110-175V 220mA</v>
      </c>
      <c r="K238" s="97" t="str">
        <f>IFERROR(__xludf.DUMMYFUNCTION("""COMPUTED_VALUE"""),"ON/OFF")</f>
        <v>ON/OFF</v>
      </c>
      <c r="L238" s="97" t="str">
        <f>IFERROR(__xludf.DUMMYFUNCTION("""COMPUTED_VALUE"""),"220-240")</f>
        <v>220-240</v>
      </c>
      <c r="M238" s="97" t="str">
        <f>IFERROR(__xludf.DUMMYFUNCTION("""COMPUTED_VALUE"""),"50/60")</f>
        <v>50/60</v>
      </c>
      <c r="N238" s="97"/>
      <c r="O238" s="97">
        <f>IFERROR(__xludf.DUMMYFUNCTION("""COMPUTED_VALUE"""),48.0)</f>
        <v>48</v>
      </c>
      <c r="P238" s="97"/>
      <c r="Q238" s="97">
        <f>IFERROR(__xludf.DUMMYFUNCTION("""COMPUTED_VALUE"""),0.48)</f>
        <v>0.48</v>
      </c>
      <c r="R238" s="97" t="str">
        <f>IFERROR(__xludf.DUMMYFUNCTION("""COMPUTED_VALUE"""),"-")</f>
        <v>-</v>
      </c>
      <c r="S238" s="97" t="str">
        <f>IFERROR(__xludf.DUMMYFUNCTION("""COMPUTED_VALUE"""),"-")</f>
        <v>-</v>
      </c>
      <c r="T238" s="97">
        <f>IFERROR(__xludf.DUMMYFUNCTION("""COMPUTED_VALUE"""),850.0)</f>
        <v>850</v>
      </c>
      <c r="U238" s="99">
        <f>IFERROR(__xludf.DUMMYFUNCTION("""COMPUTED_VALUE"""),17.708333333333332)</f>
        <v>17.70833333</v>
      </c>
      <c r="V238" s="97">
        <f>IFERROR(__xludf.DUMMYFUNCTION("""COMPUTED_VALUE"""),112.0)</f>
        <v>112</v>
      </c>
      <c r="W238" s="97" t="str">
        <f>IFERROR(__xludf.DUMMYFUNCTION("""COMPUTED_VALUE"""),"&lt; 20")</f>
        <v>&lt; 20</v>
      </c>
      <c r="X238" s="97">
        <f>IFERROR(__xludf.DUMMYFUNCTION("""COMPUTED_VALUE"""),3000.0)</f>
        <v>3000</v>
      </c>
      <c r="Y238" s="97" t="str">
        <f>IFERROR(__xludf.DUMMYFUNCTION("""COMPUTED_VALUE"""),"&gt;80")</f>
        <v>&gt;80</v>
      </c>
      <c r="Z238" s="97" t="str">
        <f>IFERROR(__xludf.DUMMYFUNCTION("""COMPUTED_VALUE"""),"-")</f>
        <v>-</v>
      </c>
      <c r="AA238" s="97" t="str">
        <f>IFERROR(__xludf.DUMMYFUNCTION("""COMPUTED_VALUE"""),"-")</f>
        <v>-</v>
      </c>
      <c r="AB238" s="97"/>
      <c r="AC238" s="97"/>
      <c r="AD238" s="97" t="str">
        <f>IFERROR(__xludf.DUMMYFUNCTION("""COMPUTED_VALUE"""),"IP20")</f>
        <v>IP20</v>
      </c>
      <c r="AE238" s="97" t="str">
        <f>IFERROR(__xludf.DUMMYFUNCTION("""COMPUTED_VALUE"""),"Clase l")</f>
        <v>Clase l</v>
      </c>
      <c r="AF238" s="97" t="str">
        <f>IFERROR(__xludf.DUMMYFUNCTION("""COMPUTED_VALUE"""),"Suspender")</f>
        <v>Suspender</v>
      </c>
      <c r="AG238" s="97" t="str">
        <f>IFERROR(__xludf.DUMMYFUNCTION("""COMPUTED_VALUE"""),"Ø600 x 80 ")</f>
        <v>Ø600 x 80 </v>
      </c>
      <c r="AH238" s="97" t="str">
        <f>IFERROR(__xludf.DUMMYFUNCTION("""COMPUTED_VALUE"""),"N/A")</f>
        <v>N/A</v>
      </c>
      <c r="AI238" s="97" t="str">
        <f>IFERROR(__xludf.DUMMYFUNCTION("""COMPUTED_VALUE"""),"N/A")</f>
        <v>N/A</v>
      </c>
      <c r="AJ238" s="97" t="str">
        <f>IFERROR(__xludf.DUMMYFUNCTION("""COMPUTED_VALUE"""),"PVC")</f>
        <v>PVC</v>
      </c>
      <c r="AK238" s="97" t="str">
        <f>IFERROR(__xludf.DUMMYFUNCTION("""COMPUTED_VALUE"""),"Acero")</f>
        <v>Acero</v>
      </c>
      <c r="AL238" s="97" t="str">
        <f>IFERROR(__xludf.DUMMYFUNCTION("""COMPUTED_VALUE"""),"Blanco Satinado")</f>
        <v>Blanco Satinado</v>
      </c>
      <c r="AM238" s="97" t="str">
        <f>IFERROR(__xludf.DUMMYFUNCTION("""COMPUTED_VALUE"""),"-")</f>
        <v>-</v>
      </c>
      <c r="AN238" s="97" t="str">
        <f>IFERROR(__xludf.DUMMYFUNCTION("""COMPUTED_VALUE"""),"-")</f>
        <v>-</v>
      </c>
      <c r="AO238" s="97" t="str">
        <f>IFERROR(__xludf.DUMMYFUNCTION("""COMPUTED_VALUE"""),"1 Año")</f>
        <v>1 Año</v>
      </c>
      <c r="AP238" s="97"/>
      <c r="AQ238" s="97"/>
      <c r="AR238" s="97"/>
      <c r="AS238" s="97"/>
      <c r="AT238" s="97"/>
      <c r="AU238" s="97"/>
      <c r="AV238" s="97" t="str">
        <f>IFERROR(__xludf.DUMMYFUNCTION("""COMPUTED_VALUE"""),"Colgante")</f>
        <v>Colgante</v>
      </c>
      <c r="AW238" s="97" t="str">
        <f>IFERROR(__xludf.DUMMYFUNCTION("""COMPUTED_VALUE"""),"De Techo")</f>
        <v>De Techo</v>
      </c>
      <c r="AX238" s="97" t="str">
        <f>IFERROR(__xludf.DUMMYFUNCTION("""COMPUTED_VALUE"""),"Interior")</f>
        <v>Interior</v>
      </c>
      <c r="AY238" s="97"/>
      <c r="AZ238" s="97" t="str">
        <f>IFERROR(__xludf.DUMMYFUNCTION("""COMPUTED_VALUE"""),"Florón: Ø150 x 30mm")</f>
        <v>Florón: Ø150 x 30mm</v>
      </c>
      <c r="BA238" s="97"/>
      <c r="BB238" s="97"/>
      <c r="BC238" s="97"/>
      <c r="BD238" s="97" t="str">
        <f>IFERROR(__xludf.DUMMYFUNCTION("""COMPUTED_VALUE"""),"YASAS")</f>
        <v>YASAS</v>
      </c>
      <c r="BE238" s="97" t="str">
        <f>IFERROR(__xludf.DUMMYFUNCTION("""COMPUTED_VALUE"""),"Finalizada")</f>
        <v>Finalizada</v>
      </c>
      <c r="BF238" s="97"/>
      <c r="BG238" s="97" t="str">
        <f>IFERROR(__xludf.DUMMYFUNCTION("""COMPUTED_VALUE"""),"Discontinuo")</f>
        <v>Discontinuo</v>
      </c>
    </row>
    <row r="239">
      <c r="A239" s="97">
        <f>IFERROR(__xludf.DUMMYFUNCTION("""COMPUTED_VALUE"""),4068.0)</f>
        <v>4068</v>
      </c>
      <c r="B239" s="97" t="str">
        <f>IFERROR(__xludf.DUMMYFUNCTION("""COMPUTED_VALUE"""),"YASAS NG")</f>
        <v>YASAS NG</v>
      </c>
      <c r="C239" s="97" t="str">
        <f>IFERROR(__xludf.DUMMYFUNCTION("""COMPUTED_VALUE"""),"COLGANTE YASAS NEGRO LEUK")</f>
        <v>COLGANTE YASAS NEGRO LEUK</v>
      </c>
      <c r="D239" s="97">
        <f>IFERROR(__xludf.DUMMYFUNCTION("""COMPUTED_VALUE"""),7.798328759504E12)</f>
        <v>7798328759504</v>
      </c>
      <c r="E239" s="97"/>
      <c r="F239" s="97" t="str">
        <f>IFERROR(__xludf.DUMMYFUNCTION("""COMPUTED_VALUE"""),"LED integrado")</f>
        <v>LED integrado</v>
      </c>
      <c r="G239" s="97" t="str">
        <f>IFERROR(__xludf.DUMMYFUNCTION("""COMPUTED_VALUE"""),"-")</f>
        <v>-</v>
      </c>
      <c r="H239" s="97" t="str">
        <f>IFERROR(__xludf.DUMMYFUNCTION("""COMPUTED_VALUE"""),"-")</f>
        <v>-</v>
      </c>
      <c r="I239" s="97"/>
      <c r="J239" s="97" t="str">
        <f>IFERROR(__xludf.DUMMYFUNCTION("""COMPUTED_VALUE"""),"Modelo: CX-37-50Wx1
In: 175-265Vac 50/60Hz
Out: 110-175V 220mA")</f>
        <v>Modelo: CX-37-50Wx1
In: 175-265Vac 50/60Hz
Out: 110-175V 220mA</v>
      </c>
      <c r="K239" s="97" t="str">
        <f>IFERROR(__xludf.DUMMYFUNCTION("""COMPUTED_VALUE"""),"ON/OFF")</f>
        <v>ON/OFF</v>
      </c>
      <c r="L239" s="97" t="str">
        <f>IFERROR(__xludf.DUMMYFUNCTION("""COMPUTED_VALUE"""),"220-240")</f>
        <v>220-240</v>
      </c>
      <c r="M239" s="97" t="str">
        <f>IFERROR(__xludf.DUMMYFUNCTION("""COMPUTED_VALUE"""),"50/60")</f>
        <v>50/60</v>
      </c>
      <c r="N239" s="97"/>
      <c r="O239" s="97">
        <f>IFERROR(__xludf.DUMMYFUNCTION("""COMPUTED_VALUE"""),48.0)</f>
        <v>48</v>
      </c>
      <c r="P239" s="97"/>
      <c r="Q239" s="97">
        <f>IFERROR(__xludf.DUMMYFUNCTION("""COMPUTED_VALUE"""),0.48)</f>
        <v>0.48</v>
      </c>
      <c r="R239" s="97" t="str">
        <f>IFERROR(__xludf.DUMMYFUNCTION("""COMPUTED_VALUE"""),"-")</f>
        <v>-</v>
      </c>
      <c r="S239" s="97" t="str">
        <f>IFERROR(__xludf.DUMMYFUNCTION("""COMPUTED_VALUE"""),"-")</f>
        <v>-</v>
      </c>
      <c r="T239" s="97">
        <f>IFERROR(__xludf.DUMMYFUNCTION("""COMPUTED_VALUE"""),850.0)</f>
        <v>850</v>
      </c>
      <c r="U239" s="99">
        <f>IFERROR(__xludf.DUMMYFUNCTION("""COMPUTED_VALUE"""),17.708333333333332)</f>
        <v>17.70833333</v>
      </c>
      <c r="V239" s="97">
        <f>IFERROR(__xludf.DUMMYFUNCTION("""COMPUTED_VALUE"""),112.0)</f>
        <v>112</v>
      </c>
      <c r="W239" s="97" t="str">
        <f>IFERROR(__xludf.DUMMYFUNCTION("""COMPUTED_VALUE"""),"&lt; 20")</f>
        <v>&lt; 20</v>
      </c>
      <c r="X239" s="97">
        <f>IFERROR(__xludf.DUMMYFUNCTION("""COMPUTED_VALUE"""),3000.0)</f>
        <v>3000</v>
      </c>
      <c r="Y239" s="97" t="str">
        <f>IFERROR(__xludf.DUMMYFUNCTION("""COMPUTED_VALUE"""),"&gt;80")</f>
        <v>&gt;80</v>
      </c>
      <c r="Z239" s="97" t="str">
        <f>IFERROR(__xludf.DUMMYFUNCTION("""COMPUTED_VALUE"""),"-")</f>
        <v>-</v>
      </c>
      <c r="AA239" s="97" t="str">
        <f>IFERROR(__xludf.DUMMYFUNCTION("""COMPUTED_VALUE"""),"-")</f>
        <v>-</v>
      </c>
      <c r="AB239" s="97"/>
      <c r="AC239" s="97"/>
      <c r="AD239" s="97" t="str">
        <f>IFERROR(__xludf.DUMMYFUNCTION("""COMPUTED_VALUE"""),"IP20")</f>
        <v>IP20</v>
      </c>
      <c r="AE239" s="97" t="str">
        <f>IFERROR(__xludf.DUMMYFUNCTION("""COMPUTED_VALUE"""),"Clase l")</f>
        <v>Clase l</v>
      </c>
      <c r="AF239" s="97" t="str">
        <f>IFERROR(__xludf.DUMMYFUNCTION("""COMPUTED_VALUE"""),"Suspender")</f>
        <v>Suspender</v>
      </c>
      <c r="AG239" s="97" t="str">
        <f>IFERROR(__xludf.DUMMYFUNCTION("""COMPUTED_VALUE"""),"Ø600 x 80 ")</f>
        <v>Ø600 x 80 </v>
      </c>
      <c r="AH239" s="97" t="str">
        <f>IFERROR(__xludf.DUMMYFUNCTION("""COMPUTED_VALUE"""),"N/A")</f>
        <v>N/A</v>
      </c>
      <c r="AI239" s="97" t="str">
        <f>IFERROR(__xludf.DUMMYFUNCTION("""COMPUTED_VALUE"""),"N/A")</f>
        <v>N/A</v>
      </c>
      <c r="AJ239" s="97" t="str">
        <f>IFERROR(__xludf.DUMMYFUNCTION("""COMPUTED_VALUE"""),"PVC")</f>
        <v>PVC</v>
      </c>
      <c r="AK239" s="97" t="str">
        <f>IFERROR(__xludf.DUMMYFUNCTION("""COMPUTED_VALUE"""),"Acero")</f>
        <v>Acero</v>
      </c>
      <c r="AL239" s="97" t="str">
        <f>IFERROR(__xludf.DUMMYFUNCTION("""COMPUTED_VALUE"""),"Negro Satinado")</f>
        <v>Negro Satinado</v>
      </c>
      <c r="AM239" s="97" t="str">
        <f>IFERROR(__xludf.DUMMYFUNCTION("""COMPUTED_VALUE"""),"-")</f>
        <v>-</v>
      </c>
      <c r="AN239" s="97" t="str">
        <f>IFERROR(__xludf.DUMMYFUNCTION("""COMPUTED_VALUE"""),"-")</f>
        <v>-</v>
      </c>
      <c r="AO239" s="97" t="str">
        <f>IFERROR(__xludf.DUMMYFUNCTION("""COMPUTED_VALUE"""),"1 Año")</f>
        <v>1 Año</v>
      </c>
      <c r="AP239" s="97"/>
      <c r="AQ239" s="97"/>
      <c r="AR239" s="97"/>
      <c r="AS239" s="97"/>
      <c r="AT239" s="97"/>
      <c r="AU239" s="97"/>
      <c r="AV239" s="97" t="str">
        <f>IFERROR(__xludf.DUMMYFUNCTION("""COMPUTED_VALUE"""),"Colgante")</f>
        <v>Colgante</v>
      </c>
      <c r="AW239" s="97" t="str">
        <f>IFERROR(__xludf.DUMMYFUNCTION("""COMPUTED_VALUE"""),"De Techo")</f>
        <v>De Techo</v>
      </c>
      <c r="AX239" s="97" t="str">
        <f>IFERROR(__xludf.DUMMYFUNCTION("""COMPUTED_VALUE"""),"Interior")</f>
        <v>Interior</v>
      </c>
      <c r="AY239" s="97"/>
      <c r="AZ239" s="97" t="str">
        <f>IFERROR(__xludf.DUMMYFUNCTION("""COMPUTED_VALUE"""),"Florón: Ø150 x 30mm")</f>
        <v>Florón: Ø150 x 30mm</v>
      </c>
      <c r="BA239" s="97"/>
      <c r="BB239" s="97"/>
      <c r="BC239" s="97"/>
      <c r="BD239" s="97" t="str">
        <f>IFERROR(__xludf.DUMMYFUNCTION("""COMPUTED_VALUE"""),"YASAS")</f>
        <v>YASAS</v>
      </c>
      <c r="BE239" s="97" t="str">
        <f>IFERROR(__xludf.DUMMYFUNCTION("""COMPUTED_VALUE"""),"Finalizada")</f>
        <v>Finalizada</v>
      </c>
      <c r="BF239" s="97"/>
      <c r="BG239" s="97" t="str">
        <f>IFERROR(__xludf.DUMMYFUNCTION("""COMPUTED_VALUE"""),"Discontinuo")</f>
        <v>Discontinuo</v>
      </c>
    </row>
    <row r="240">
      <c r="A240" s="97">
        <f>IFERROR(__xludf.DUMMYFUNCTION("""COMPUTED_VALUE"""),4069.0)</f>
        <v>4069</v>
      </c>
      <c r="B240" s="97" t="str">
        <f>IFERROR(__xludf.DUMMYFUNCTION("""COMPUTED_VALUE"""),"CONDA BL")</f>
        <v>CONDA BL</v>
      </c>
      <c r="C240" s="97" t="str">
        <f>IFERROR(__xludf.DUMMYFUNCTION("""COMPUTED_VALUE"""),"COLGANTE CONDA BLANCO LEUK")</f>
        <v>COLGANTE CONDA BLANCO LEUK</v>
      </c>
      <c r="D240" s="97">
        <f>IFERROR(__xludf.DUMMYFUNCTION("""COMPUTED_VALUE"""),7.798328759054E12)</f>
        <v>7798328759054</v>
      </c>
      <c r="E240" s="97" t="str">
        <f>IFERROR(__xludf.DUMMYFUNCTION("""COMPUTED_VALUE"""),"A67")</f>
        <v>A67</v>
      </c>
      <c r="F240" s="97" t="str">
        <f>IFERROR(__xludf.DUMMYFUNCTION("""COMPUTED_VALUE"""),"LED integrado")</f>
        <v>LED integrado</v>
      </c>
      <c r="G240" s="97" t="str">
        <f>IFERROR(__xludf.DUMMYFUNCTION("""COMPUTED_VALUE"""),"-")</f>
        <v>-</v>
      </c>
      <c r="H240" s="97" t="str">
        <f>IFERROR(__xludf.DUMMYFUNCTION("""COMPUTED_VALUE"""),"-")</f>
        <v>-</v>
      </c>
      <c r="I240" s="97"/>
      <c r="J240" s="97"/>
      <c r="K240" s="97" t="str">
        <f>IFERROR(__xludf.DUMMYFUNCTION("""COMPUTED_VALUE"""),"ON/OFF")</f>
        <v>ON/OFF</v>
      </c>
      <c r="L240" s="97" t="str">
        <f>IFERROR(__xludf.DUMMYFUNCTION("""COMPUTED_VALUE"""),"220-240")</f>
        <v>220-240</v>
      </c>
      <c r="M240" s="97" t="str">
        <f>IFERROR(__xludf.DUMMYFUNCTION("""COMPUTED_VALUE"""),"50/60")</f>
        <v>50/60</v>
      </c>
      <c r="N240" s="97"/>
      <c r="O240" s="97">
        <f>IFERROR(__xludf.DUMMYFUNCTION("""COMPUTED_VALUE"""),84.0)</f>
        <v>84</v>
      </c>
      <c r="P240" s="97"/>
      <c r="Q240" s="97">
        <f>IFERROR(__xludf.DUMMYFUNCTION("""COMPUTED_VALUE"""),0.49)</f>
        <v>0.49</v>
      </c>
      <c r="R240" s="97" t="str">
        <f>IFERROR(__xludf.DUMMYFUNCTION("""COMPUTED_VALUE"""),"-")</f>
        <v>-</v>
      </c>
      <c r="S240" s="97" t="str">
        <f>IFERROR(__xludf.DUMMYFUNCTION("""COMPUTED_VALUE"""),"-")</f>
        <v>-</v>
      </c>
      <c r="T240" s="97">
        <f>IFERROR(__xludf.DUMMYFUNCTION("""COMPUTED_VALUE"""),5675.0)</f>
        <v>5675</v>
      </c>
      <c r="U240" s="99">
        <f>IFERROR(__xludf.DUMMYFUNCTION("""COMPUTED_VALUE"""),67.55952380952381)</f>
        <v>67.55952381</v>
      </c>
      <c r="V240" s="97">
        <f>IFERROR(__xludf.DUMMYFUNCTION("""COMPUTED_VALUE"""),113.0)</f>
        <v>113</v>
      </c>
      <c r="W240" s="97" t="str">
        <f>IFERROR(__xludf.DUMMYFUNCTION("""COMPUTED_VALUE"""),"&lt; 20")</f>
        <v>&lt; 20</v>
      </c>
      <c r="X240" s="97">
        <f>IFERROR(__xludf.DUMMYFUNCTION("""COMPUTED_VALUE"""),3000.0)</f>
        <v>3000</v>
      </c>
      <c r="Y240" s="97" t="str">
        <f>IFERROR(__xludf.DUMMYFUNCTION("""COMPUTED_VALUE"""),"&gt;80")</f>
        <v>&gt;80</v>
      </c>
      <c r="Z240" s="97" t="str">
        <f>IFERROR(__xludf.DUMMYFUNCTION("""COMPUTED_VALUE"""),"-")</f>
        <v>-</v>
      </c>
      <c r="AA240" s="97" t="str">
        <f>IFERROR(__xludf.DUMMYFUNCTION("""COMPUTED_VALUE"""),"-")</f>
        <v>-</v>
      </c>
      <c r="AB240" s="97"/>
      <c r="AC240" s="97"/>
      <c r="AD240" s="97" t="str">
        <f>IFERROR(__xludf.DUMMYFUNCTION("""COMPUTED_VALUE"""),"IP20")</f>
        <v>IP20</v>
      </c>
      <c r="AE240" s="97" t="str">
        <f>IFERROR(__xludf.DUMMYFUNCTION("""COMPUTED_VALUE"""),"Clase l")</f>
        <v>Clase l</v>
      </c>
      <c r="AF240" s="97" t="str">
        <f>IFERROR(__xludf.DUMMYFUNCTION("""COMPUTED_VALUE"""),"Suspender")</f>
        <v>Suspender</v>
      </c>
      <c r="AG240" s="97" t="str">
        <f>IFERROR(__xludf.DUMMYFUNCTION("""COMPUTED_VALUE"""),"Ø800 x 80 ")</f>
        <v>Ø800 x 80 </v>
      </c>
      <c r="AH240" s="97" t="str">
        <f>IFERROR(__xludf.DUMMYFUNCTION("""COMPUTED_VALUE"""),"N/A")</f>
        <v>N/A</v>
      </c>
      <c r="AI240" s="97" t="str">
        <f>IFERROR(__xludf.DUMMYFUNCTION("""COMPUTED_VALUE"""),"N/A")</f>
        <v>N/A</v>
      </c>
      <c r="AJ240" s="97" t="str">
        <f>IFERROR(__xludf.DUMMYFUNCTION("""COMPUTED_VALUE"""),"PVC")</f>
        <v>PVC</v>
      </c>
      <c r="AK240" s="97" t="str">
        <f>IFERROR(__xludf.DUMMYFUNCTION("""COMPUTED_VALUE"""),"Acero")</f>
        <v>Acero</v>
      </c>
      <c r="AL240" s="97" t="str">
        <f>IFERROR(__xludf.DUMMYFUNCTION("""COMPUTED_VALUE"""),"Blanco Satinado")</f>
        <v>Blanco Satinado</v>
      </c>
      <c r="AM240" s="97" t="str">
        <f>IFERROR(__xludf.DUMMYFUNCTION("""COMPUTED_VALUE"""),"-")</f>
        <v>-</v>
      </c>
      <c r="AN240" s="97" t="str">
        <f>IFERROR(__xludf.DUMMYFUNCTION("""COMPUTED_VALUE"""),"-")</f>
        <v>-</v>
      </c>
      <c r="AO240" s="97" t="str">
        <f>IFERROR(__xludf.DUMMYFUNCTION("""COMPUTED_VALUE"""),"1 Año")</f>
        <v>1 Año</v>
      </c>
      <c r="AP240" s="97"/>
      <c r="AQ240" s="97"/>
      <c r="AR240" s="97"/>
      <c r="AS240" s="97"/>
      <c r="AT240" s="97"/>
      <c r="AU240" s="97"/>
      <c r="AV240" s="97" t="str">
        <f>IFERROR(__xludf.DUMMYFUNCTION("""COMPUTED_VALUE"""),"Colgante")</f>
        <v>Colgante</v>
      </c>
      <c r="AW240" s="97" t="str">
        <f>IFERROR(__xludf.DUMMYFUNCTION("""COMPUTED_VALUE"""),"De Techo")</f>
        <v>De Techo</v>
      </c>
      <c r="AX240" s="97" t="str">
        <f>IFERROR(__xludf.DUMMYFUNCTION("""COMPUTED_VALUE"""),"Interior")</f>
        <v>Interior</v>
      </c>
      <c r="AY240" s="97"/>
      <c r="AZ240" s="97"/>
      <c r="BA240" s="97">
        <f>IFERROR(__xludf.DUMMYFUNCTION("""COMPUTED_VALUE"""),4.0)</f>
        <v>4</v>
      </c>
      <c r="BB240" s="97"/>
      <c r="BC240" s="97"/>
      <c r="BD240" s="97" t="str">
        <f>IFERROR(__xludf.DUMMYFUNCTION("""COMPUTED_VALUE"""),"CONDA")</f>
        <v>CONDA</v>
      </c>
      <c r="BE240" s="97" t="str">
        <f>IFERROR(__xludf.DUMMYFUNCTION("""COMPUTED_VALUE"""),"Finalizada")</f>
        <v>Finalizada</v>
      </c>
      <c r="BF240" s="97"/>
      <c r="BG240" s="97" t="str">
        <f>IFERROR(__xludf.DUMMYFUNCTION("""COMPUTED_VALUE"""),"Discontinuo")</f>
        <v>Discontinuo</v>
      </c>
    </row>
    <row r="241">
      <c r="A241" s="97">
        <f>IFERROR(__xludf.DUMMYFUNCTION("""COMPUTED_VALUE"""),4070.0)</f>
        <v>4070</v>
      </c>
      <c r="B241" s="97" t="str">
        <f>IFERROR(__xludf.DUMMYFUNCTION("""COMPUTED_VALUE"""),"CONDA NG")</f>
        <v>CONDA NG</v>
      </c>
      <c r="C241" s="97" t="str">
        <f>IFERROR(__xludf.DUMMYFUNCTION("""COMPUTED_VALUE"""),"COLGANTE CONDA NEGRO LEUK")</f>
        <v>COLGANTE CONDA NEGRO LEUK</v>
      </c>
      <c r="D241" s="97">
        <f>IFERROR(__xludf.DUMMYFUNCTION("""COMPUTED_VALUE"""),7.798328759511E12)</f>
        <v>7798328759511</v>
      </c>
      <c r="E241" s="97" t="str">
        <f>IFERROR(__xludf.DUMMYFUNCTION("""COMPUTED_VALUE"""),"A67")</f>
        <v>A67</v>
      </c>
      <c r="F241" s="97" t="str">
        <f>IFERROR(__xludf.DUMMYFUNCTION("""COMPUTED_VALUE"""),"LED integrado")</f>
        <v>LED integrado</v>
      </c>
      <c r="G241" s="97" t="str">
        <f>IFERROR(__xludf.DUMMYFUNCTION("""COMPUTED_VALUE"""),"-")</f>
        <v>-</v>
      </c>
      <c r="H241" s="97" t="str">
        <f>IFERROR(__xludf.DUMMYFUNCTION("""COMPUTED_VALUE"""),"-")</f>
        <v>-</v>
      </c>
      <c r="I241" s="97"/>
      <c r="J241" s="97"/>
      <c r="K241" s="97" t="str">
        <f>IFERROR(__xludf.DUMMYFUNCTION("""COMPUTED_VALUE"""),"ON/OFF")</f>
        <v>ON/OFF</v>
      </c>
      <c r="L241" s="97" t="str">
        <f>IFERROR(__xludf.DUMMYFUNCTION("""COMPUTED_VALUE"""),"220-240")</f>
        <v>220-240</v>
      </c>
      <c r="M241" s="97" t="str">
        <f>IFERROR(__xludf.DUMMYFUNCTION("""COMPUTED_VALUE"""),"50/60")</f>
        <v>50/60</v>
      </c>
      <c r="N241" s="97"/>
      <c r="O241" s="97">
        <f>IFERROR(__xludf.DUMMYFUNCTION("""COMPUTED_VALUE"""),84.0)</f>
        <v>84</v>
      </c>
      <c r="P241" s="97"/>
      <c r="Q241" s="97">
        <f>IFERROR(__xludf.DUMMYFUNCTION("""COMPUTED_VALUE"""),0.49)</f>
        <v>0.49</v>
      </c>
      <c r="R241" s="97" t="str">
        <f>IFERROR(__xludf.DUMMYFUNCTION("""COMPUTED_VALUE"""),"-")</f>
        <v>-</v>
      </c>
      <c r="S241" s="97" t="str">
        <f>IFERROR(__xludf.DUMMYFUNCTION("""COMPUTED_VALUE"""),"-")</f>
        <v>-</v>
      </c>
      <c r="T241" s="97">
        <f>IFERROR(__xludf.DUMMYFUNCTION("""COMPUTED_VALUE"""),5675.0)</f>
        <v>5675</v>
      </c>
      <c r="U241" s="99">
        <f>IFERROR(__xludf.DUMMYFUNCTION("""COMPUTED_VALUE"""),67.55952380952381)</f>
        <v>67.55952381</v>
      </c>
      <c r="V241" s="97">
        <f>IFERROR(__xludf.DUMMYFUNCTION("""COMPUTED_VALUE"""),113.0)</f>
        <v>113</v>
      </c>
      <c r="W241" s="97" t="str">
        <f>IFERROR(__xludf.DUMMYFUNCTION("""COMPUTED_VALUE"""),"&lt; 20")</f>
        <v>&lt; 20</v>
      </c>
      <c r="X241" s="97">
        <f>IFERROR(__xludf.DUMMYFUNCTION("""COMPUTED_VALUE"""),3000.0)</f>
        <v>3000</v>
      </c>
      <c r="Y241" s="97" t="str">
        <f>IFERROR(__xludf.DUMMYFUNCTION("""COMPUTED_VALUE"""),"&gt;80")</f>
        <v>&gt;80</v>
      </c>
      <c r="Z241" s="97" t="str">
        <f>IFERROR(__xludf.DUMMYFUNCTION("""COMPUTED_VALUE"""),"-")</f>
        <v>-</v>
      </c>
      <c r="AA241" s="97" t="str">
        <f>IFERROR(__xludf.DUMMYFUNCTION("""COMPUTED_VALUE"""),"-")</f>
        <v>-</v>
      </c>
      <c r="AB241" s="97"/>
      <c r="AC241" s="97"/>
      <c r="AD241" s="97" t="str">
        <f>IFERROR(__xludf.DUMMYFUNCTION("""COMPUTED_VALUE"""),"IP20")</f>
        <v>IP20</v>
      </c>
      <c r="AE241" s="97" t="str">
        <f>IFERROR(__xludf.DUMMYFUNCTION("""COMPUTED_VALUE"""),"Clase l")</f>
        <v>Clase l</v>
      </c>
      <c r="AF241" s="97" t="str">
        <f>IFERROR(__xludf.DUMMYFUNCTION("""COMPUTED_VALUE"""),"Suspender")</f>
        <v>Suspender</v>
      </c>
      <c r="AG241" s="97" t="str">
        <f>IFERROR(__xludf.DUMMYFUNCTION("""COMPUTED_VALUE"""),"Ø800 x 80 ")</f>
        <v>Ø800 x 80 </v>
      </c>
      <c r="AH241" s="97" t="str">
        <f>IFERROR(__xludf.DUMMYFUNCTION("""COMPUTED_VALUE"""),"N/A")</f>
        <v>N/A</v>
      </c>
      <c r="AI241" s="97" t="str">
        <f>IFERROR(__xludf.DUMMYFUNCTION("""COMPUTED_VALUE"""),"N/A")</f>
        <v>N/A</v>
      </c>
      <c r="AJ241" s="97" t="str">
        <f>IFERROR(__xludf.DUMMYFUNCTION("""COMPUTED_VALUE"""),"PVC")</f>
        <v>PVC</v>
      </c>
      <c r="AK241" s="97" t="str">
        <f>IFERROR(__xludf.DUMMYFUNCTION("""COMPUTED_VALUE"""),"Acero")</f>
        <v>Acero</v>
      </c>
      <c r="AL241" s="97" t="str">
        <f>IFERROR(__xludf.DUMMYFUNCTION("""COMPUTED_VALUE"""),"Negro Satinado")</f>
        <v>Negro Satinado</v>
      </c>
      <c r="AM241" s="97" t="str">
        <f>IFERROR(__xludf.DUMMYFUNCTION("""COMPUTED_VALUE"""),"-")</f>
        <v>-</v>
      </c>
      <c r="AN241" s="97" t="str">
        <f>IFERROR(__xludf.DUMMYFUNCTION("""COMPUTED_VALUE"""),"-")</f>
        <v>-</v>
      </c>
      <c r="AO241" s="97" t="str">
        <f>IFERROR(__xludf.DUMMYFUNCTION("""COMPUTED_VALUE"""),"1 Año")</f>
        <v>1 Año</v>
      </c>
      <c r="AP241" s="97"/>
      <c r="AQ241" s="97"/>
      <c r="AR241" s="97"/>
      <c r="AS241" s="97"/>
      <c r="AT241" s="97"/>
      <c r="AU241" s="97"/>
      <c r="AV241" s="97" t="str">
        <f>IFERROR(__xludf.DUMMYFUNCTION("""COMPUTED_VALUE"""),"Colgante")</f>
        <v>Colgante</v>
      </c>
      <c r="AW241" s="97" t="str">
        <f>IFERROR(__xludf.DUMMYFUNCTION("""COMPUTED_VALUE"""),"De Techo")</f>
        <v>De Techo</v>
      </c>
      <c r="AX241" s="97" t="str">
        <f>IFERROR(__xludf.DUMMYFUNCTION("""COMPUTED_VALUE"""),"Interior")</f>
        <v>Interior</v>
      </c>
      <c r="AY241" s="97"/>
      <c r="AZ241" s="97"/>
      <c r="BA241" s="97">
        <f>IFERROR(__xludf.DUMMYFUNCTION("""COMPUTED_VALUE"""),4.0)</f>
        <v>4</v>
      </c>
      <c r="BB241" s="97"/>
      <c r="BC241" s="97"/>
      <c r="BD241" s="97" t="str">
        <f>IFERROR(__xludf.DUMMYFUNCTION("""COMPUTED_VALUE"""),"CONDA")</f>
        <v>CONDA</v>
      </c>
      <c r="BE241" s="97" t="str">
        <f>IFERROR(__xludf.DUMMYFUNCTION("""COMPUTED_VALUE"""),"Finalizada")</f>
        <v>Finalizada</v>
      </c>
      <c r="BF241" s="97"/>
      <c r="BG241" s="97" t="str">
        <f>IFERROR(__xludf.DUMMYFUNCTION("""COMPUTED_VALUE"""),"Discontinuo")</f>
        <v>Discontinuo</v>
      </c>
    </row>
    <row r="242">
      <c r="A242" s="97">
        <f>IFERROR(__xludf.DUMMYFUNCTION("""COMPUTED_VALUE"""),4071.0)</f>
        <v>4071</v>
      </c>
      <c r="B242" s="97" t="str">
        <f>IFERROR(__xludf.DUMMYFUNCTION("""COMPUTED_VALUE"""),"TOM DIXON TRIPLE")</f>
        <v>TOM DIXON TRIPLE</v>
      </c>
      <c r="C242" s="97" t="str">
        <f>IFERROR(__xludf.DUMMYFUNCTION("""COMPUTED_VALUE"""),"COLGANTE TOM DIXON TRIPLE NEGRO LEUK")</f>
        <v>COLGANTE TOM DIXON TRIPLE NEGRO LEUK</v>
      </c>
      <c r="D242" s="97">
        <f>IFERROR(__xludf.DUMMYFUNCTION("""COMPUTED_VALUE"""),7.798328759351E12)</f>
        <v>7798328759351</v>
      </c>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t="str">
        <f>IFERROR(__xludf.DUMMYFUNCTION("""COMPUTED_VALUE"""),"IP20")</f>
        <v>IP20</v>
      </c>
      <c r="AE242" s="97"/>
      <c r="AF242" s="97" t="str">
        <f>IFERROR(__xludf.DUMMYFUNCTION("""COMPUTED_VALUE"""),"Suspender")</f>
        <v>Suspender</v>
      </c>
      <c r="AG242" s="97"/>
      <c r="AH242" s="97"/>
      <c r="AI242" s="97"/>
      <c r="AJ242" s="97"/>
      <c r="AK242" s="97"/>
      <c r="AL242" s="97"/>
      <c r="AM242" s="97"/>
      <c r="AN242" s="97"/>
      <c r="AO242" s="97" t="str">
        <f>IFERROR(__xludf.DUMMYFUNCTION("""COMPUTED_VALUE"""),"1 Año")</f>
        <v>1 Año</v>
      </c>
      <c r="AP242" s="97"/>
      <c r="AQ242" s="97"/>
      <c r="AR242" s="97"/>
      <c r="AS242" s="97"/>
      <c r="AT242" s="97"/>
      <c r="AU242" s="97"/>
      <c r="AV242" s="97" t="str">
        <f>IFERROR(__xludf.DUMMYFUNCTION("""COMPUTED_VALUE"""),"Colgante")</f>
        <v>Colgante</v>
      </c>
      <c r="AW242" s="97" t="str">
        <f>IFERROR(__xludf.DUMMYFUNCTION("""COMPUTED_VALUE"""),"De Techo")</f>
        <v>De Techo</v>
      </c>
      <c r="AX242" s="97" t="str">
        <f>IFERROR(__xludf.DUMMYFUNCTION("""COMPUTED_VALUE"""),"Interior")</f>
        <v>Interior</v>
      </c>
      <c r="AY242" s="97"/>
      <c r="AZ242" s="97"/>
      <c r="BA242" s="97"/>
      <c r="BB242" s="97"/>
      <c r="BC242" s="97"/>
      <c r="BD242" s="97" t="str">
        <f>IFERROR(__xludf.DUMMYFUNCTION("""COMPUTED_VALUE"""),"TOM DIXON")</f>
        <v>TOM DIXON</v>
      </c>
      <c r="BE242" s="97" t="str">
        <f>IFERROR(__xludf.DUMMYFUNCTION("""COMPUTED_VALUE"""),"Sin Ficha")</f>
        <v>Sin Ficha</v>
      </c>
      <c r="BF242" s="97"/>
      <c r="BG242" s="97" t="str">
        <f>IFERROR(__xludf.DUMMYFUNCTION("""COMPUTED_VALUE"""),"Discontinuo")</f>
        <v>Discontinuo</v>
      </c>
    </row>
    <row r="243">
      <c r="A243" s="97">
        <f>IFERROR(__xludf.DUMMYFUNCTION("""COMPUTED_VALUE"""),4072.0)</f>
        <v>4072</v>
      </c>
      <c r="B243" s="97" t="str">
        <f>IFERROR(__xludf.DUMMYFUNCTION("""COMPUTED_VALUE"""),"BIOS FAT NJ")</f>
        <v>BIOS FAT NJ</v>
      </c>
      <c r="C243" s="97" t="str">
        <f>IFERROR(__xludf.DUMMYFUNCTION("""COMPUTED_VALUE"""),"COLGANTE BIOS FAT NARANJA LEUK")</f>
        <v>COLGANTE BIOS FAT NARANJA LEUK</v>
      </c>
      <c r="D243" s="97">
        <f>IFERROR(__xludf.DUMMYFUNCTION("""COMPUTED_VALUE"""),7.798328759368E12)</f>
        <v>7798328759368</v>
      </c>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t="str">
        <f>IFERROR(__xludf.DUMMYFUNCTION("""COMPUTED_VALUE"""),"IP20")</f>
        <v>IP20</v>
      </c>
      <c r="AE243" s="97"/>
      <c r="AF243" s="97" t="str">
        <f>IFERROR(__xludf.DUMMYFUNCTION("""COMPUTED_VALUE"""),"Suspender")</f>
        <v>Suspender</v>
      </c>
      <c r="AG243" s="97"/>
      <c r="AH243" s="97"/>
      <c r="AI243" s="97"/>
      <c r="AJ243" s="97"/>
      <c r="AK243" s="97"/>
      <c r="AL243" s="97"/>
      <c r="AM243" s="97"/>
      <c r="AN243" s="97"/>
      <c r="AO243" s="97" t="str">
        <f>IFERROR(__xludf.DUMMYFUNCTION("""COMPUTED_VALUE"""),"1 Año")</f>
        <v>1 Año</v>
      </c>
      <c r="AP243" s="97"/>
      <c r="AQ243" s="97"/>
      <c r="AR243" s="97"/>
      <c r="AS243" s="97"/>
      <c r="AT243" s="97"/>
      <c r="AU243" s="97"/>
      <c r="AV243" s="97" t="str">
        <f>IFERROR(__xludf.DUMMYFUNCTION("""COMPUTED_VALUE"""),"Colgante")</f>
        <v>Colgante</v>
      </c>
      <c r="AW243" s="97" t="str">
        <f>IFERROR(__xludf.DUMMYFUNCTION("""COMPUTED_VALUE"""),"De Techo")</f>
        <v>De Techo</v>
      </c>
      <c r="AX243" s="97" t="str">
        <f>IFERROR(__xludf.DUMMYFUNCTION("""COMPUTED_VALUE"""),"Interior")</f>
        <v>Interior</v>
      </c>
      <c r="AY243" s="97"/>
      <c r="AZ243" s="97"/>
      <c r="BA243" s="97"/>
      <c r="BB243" s="97"/>
      <c r="BC243" s="97"/>
      <c r="BD243" s="97" t="str">
        <f>IFERROR(__xludf.DUMMYFUNCTION("""COMPUTED_VALUE"""),"BIOS FAT")</f>
        <v>BIOS FAT</v>
      </c>
      <c r="BE243" s="97" t="str">
        <f>IFERROR(__xludf.DUMMYFUNCTION("""COMPUTED_VALUE"""),"Sin Ficha")</f>
        <v>Sin Ficha</v>
      </c>
      <c r="BF243" s="97"/>
      <c r="BG243" s="97" t="str">
        <f>IFERROR(__xludf.DUMMYFUNCTION("""COMPUTED_VALUE"""),"Discontinuo")</f>
        <v>Discontinuo</v>
      </c>
    </row>
    <row r="244">
      <c r="A244" s="97">
        <f>IFERROR(__xludf.DUMMYFUNCTION("""COMPUTED_VALUE"""),4073.0)</f>
        <v>4073</v>
      </c>
      <c r="B244" s="97" t="str">
        <f>IFERROR(__xludf.DUMMYFUNCTION("""COMPUTED_VALUE"""),"BIOS FAT RJ")</f>
        <v>BIOS FAT RJ</v>
      </c>
      <c r="C244" s="97" t="str">
        <f>IFERROR(__xludf.DUMMYFUNCTION("""COMPUTED_VALUE"""),"COLGANTE BIOS FAT ROJO LEUK")</f>
        <v>COLGANTE BIOS FAT ROJO LEUK</v>
      </c>
      <c r="D244" s="97">
        <f>IFERROR(__xludf.DUMMYFUNCTION("""COMPUTED_VALUE"""),7.798328759399E12)</f>
        <v>7798328759399</v>
      </c>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t="str">
        <f>IFERROR(__xludf.DUMMYFUNCTION("""COMPUTED_VALUE"""),"IP20")</f>
        <v>IP20</v>
      </c>
      <c r="AE244" s="97"/>
      <c r="AF244" s="97" t="str">
        <f>IFERROR(__xludf.DUMMYFUNCTION("""COMPUTED_VALUE"""),"Suspender")</f>
        <v>Suspender</v>
      </c>
      <c r="AG244" s="97"/>
      <c r="AH244" s="97"/>
      <c r="AI244" s="97"/>
      <c r="AJ244" s="97"/>
      <c r="AK244" s="97"/>
      <c r="AL244" s="97"/>
      <c r="AM244" s="97"/>
      <c r="AN244" s="97"/>
      <c r="AO244" s="97" t="str">
        <f>IFERROR(__xludf.DUMMYFUNCTION("""COMPUTED_VALUE"""),"1 Año")</f>
        <v>1 Año</v>
      </c>
      <c r="AP244" s="97"/>
      <c r="AQ244" s="97"/>
      <c r="AR244" s="97"/>
      <c r="AS244" s="97"/>
      <c r="AT244" s="97"/>
      <c r="AU244" s="97"/>
      <c r="AV244" s="97" t="str">
        <f>IFERROR(__xludf.DUMMYFUNCTION("""COMPUTED_VALUE"""),"Colgante")</f>
        <v>Colgante</v>
      </c>
      <c r="AW244" s="97" t="str">
        <f>IFERROR(__xludf.DUMMYFUNCTION("""COMPUTED_VALUE"""),"De Techo")</f>
        <v>De Techo</v>
      </c>
      <c r="AX244" s="97" t="str">
        <f>IFERROR(__xludf.DUMMYFUNCTION("""COMPUTED_VALUE"""),"Interior")</f>
        <v>Interior</v>
      </c>
      <c r="AY244" s="97"/>
      <c r="AZ244" s="97"/>
      <c r="BA244" s="97"/>
      <c r="BB244" s="97"/>
      <c r="BC244" s="97"/>
      <c r="BD244" s="97" t="str">
        <f>IFERROR(__xludf.DUMMYFUNCTION("""COMPUTED_VALUE"""),"BIOS FAT")</f>
        <v>BIOS FAT</v>
      </c>
      <c r="BE244" s="97" t="str">
        <f>IFERROR(__xludf.DUMMYFUNCTION("""COMPUTED_VALUE"""),"Sin Ficha")</f>
        <v>Sin Ficha</v>
      </c>
      <c r="BF244" s="97"/>
      <c r="BG244" s="97" t="str">
        <f>IFERROR(__xludf.DUMMYFUNCTION("""COMPUTED_VALUE"""),"Discontinuo")</f>
        <v>Discontinuo</v>
      </c>
    </row>
    <row r="245">
      <c r="A245" s="97">
        <f>IFERROR(__xludf.DUMMYFUNCTION("""COMPUTED_VALUE"""),4074.0)</f>
        <v>4074</v>
      </c>
      <c r="B245" s="97" t="str">
        <f>IFERROR(__xludf.DUMMYFUNCTION("""COMPUTED_VALUE"""),"BIOS FAT GR")</f>
        <v>BIOS FAT GR</v>
      </c>
      <c r="C245" s="97" t="str">
        <f>IFERROR(__xludf.DUMMYFUNCTION("""COMPUTED_VALUE"""),"COLGANTE BIOS FAT GRIS LEUK")</f>
        <v>COLGANTE BIOS FAT GRIS LEUK</v>
      </c>
      <c r="D245" s="97">
        <f>IFERROR(__xludf.DUMMYFUNCTION("""COMPUTED_VALUE"""),7.798328759429E12)</f>
        <v>7798328759429</v>
      </c>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t="str">
        <f>IFERROR(__xludf.DUMMYFUNCTION("""COMPUTED_VALUE"""),"IP20")</f>
        <v>IP20</v>
      </c>
      <c r="AE245" s="97"/>
      <c r="AF245" s="97" t="str">
        <f>IFERROR(__xludf.DUMMYFUNCTION("""COMPUTED_VALUE"""),"Suspender")</f>
        <v>Suspender</v>
      </c>
      <c r="AG245" s="97"/>
      <c r="AH245" s="97"/>
      <c r="AI245" s="97"/>
      <c r="AJ245" s="97"/>
      <c r="AK245" s="97"/>
      <c r="AL245" s="97"/>
      <c r="AM245" s="97"/>
      <c r="AN245" s="97"/>
      <c r="AO245" s="97" t="str">
        <f>IFERROR(__xludf.DUMMYFUNCTION("""COMPUTED_VALUE"""),"1 Año")</f>
        <v>1 Año</v>
      </c>
      <c r="AP245" s="97"/>
      <c r="AQ245" s="97"/>
      <c r="AR245" s="97"/>
      <c r="AS245" s="97"/>
      <c r="AT245" s="97"/>
      <c r="AU245" s="97"/>
      <c r="AV245" s="97" t="str">
        <f>IFERROR(__xludf.DUMMYFUNCTION("""COMPUTED_VALUE"""),"Colgante")</f>
        <v>Colgante</v>
      </c>
      <c r="AW245" s="97" t="str">
        <f>IFERROR(__xludf.DUMMYFUNCTION("""COMPUTED_VALUE"""),"De Techo")</f>
        <v>De Techo</v>
      </c>
      <c r="AX245" s="97" t="str">
        <f>IFERROR(__xludf.DUMMYFUNCTION("""COMPUTED_VALUE"""),"Interior")</f>
        <v>Interior</v>
      </c>
      <c r="AY245" s="97"/>
      <c r="AZ245" s="97"/>
      <c r="BA245" s="97"/>
      <c r="BB245" s="97"/>
      <c r="BC245" s="97"/>
      <c r="BD245" s="97" t="str">
        <f>IFERROR(__xludf.DUMMYFUNCTION("""COMPUTED_VALUE"""),"BIOS FAT")</f>
        <v>BIOS FAT</v>
      </c>
      <c r="BE245" s="97" t="str">
        <f>IFERROR(__xludf.DUMMYFUNCTION("""COMPUTED_VALUE"""),"Sin Ficha")</f>
        <v>Sin Ficha</v>
      </c>
      <c r="BF245" s="97"/>
      <c r="BG245" s="97" t="str">
        <f>IFERROR(__xludf.DUMMYFUNCTION("""COMPUTED_VALUE"""),"Discontinuo")</f>
        <v>Discontinuo</v>
      </c>
    </row>
    <row r="246">
      <c r="A246" s="97">
        <f>IFERROR(__xludf.DUMMYFUNCTION("""COMPUTED_VALUE"""),4075.0)</f>
        <v>4075</v>
      </c>
      <c r="B246" s="97" t="str">
        <f>IFERROR(__xludf.DUMMYFUNCTION("""COMPUTED_VALUE"""),"BIOS FAT VD")</f>
        <v>BIOS FAT VD</v>
      </c>
      <c r="C246" s="97" t="str">
        <f>IFERROR(__xludf.DUMMYFUNCTION("""COMPUTED_VALUE"""),"COLGANTE BIOS FAT VIDRIO LEUK")</f>
        <v>COLGANTE BIOS FAT VIDRIO LEUK</v>
      </c>
      <c r="D246" s="97">
        <f>IFERROR(__xludf.DUMMYFUNCTION("""COMPUTED_VALUE"""),7.79832875945E12)</f>
        <v>7798328759450</v>
      </c>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t="str">
        <f>IFERROR(__xludf.DUMMYFUNCTION("""COMPUTED_VALUE"""),"IP20")</f>
        <v>IP20</v>
      </c>
      <c r="AE246" s="97"/>
      <c r="AF246" s="97" t="str">
        <f>IFERROR(__xludf.DUMMYFUNCTION("""COMPUTED_VALUE"""),"Suspender")</f>
        <v>Suspender</v>
      </c>
      <c r="AG246" s="97"/>
      <c r="AH246" s="97"/>
      <c r="AI246" s="97"/>
      <c r="AJ246" s="97"/>
      <c r="AK246" s="97"/>
      <c r="AL246" s="97"/>
      <c r="AM246" s="97"/>
      <c r="AN246" s="97"/>
      <c r="AO246" s="97" t="str">
        <f>IFERROR(__xludf.DUMMYFUNCTION("""COMPUTED_VALUE"""),"1 Año")</f>
        <v>1 Año</v>
      </c>
      <c r="AP246" s="97"/>
      <c r="AQ246" s="97"/>
      <c r="AR246" s="97"/>
      <c r="AS246" s="97"/>
      <c r="AT246" s="97"/>
      <c r="AU246" s="97"/>
      <c r="AV246" s="97" t="str">
        <f>IFERROR(__xludf.DUMMYFUNCTION("""COMPUTED_VALUE"""),"Colgante")</f>
        <v>Colgante</v>
      </c>
      <c r="AW246" s="97" t="str">
        <f>IFERROR(__xludf.DUMMYFUNCTION("""COMPUTED_VALUE"""),"De Techo")</f>
        <v>De Techo</v>
      </c>
      <c r="AX246" s="97" t="str">
        <f>IFERROR(__xludf.DUMMYFUNCTION("""COMPUTED_VALUE"""),"Interior")</f>
        <v>Interior</v>
      </c>
      <c r="AY246" s="97"/>
      <c r="AZ246" s="97"/>
      <c r="BA246" s="97"/>
      <c r="BB246" s="97"/>
      <c r="BC246" s="97"/>
      <c r="BD246" s="97" t="str">
        <f>IFERROR(__xludf.DUMMYFUNCTION("""COMPUTED_VALUE"""),"BIOS FAT")</f>
        <v>BIOS FAT</v>
      </c>
      <c r="BE246" s="97" t="str">
        <f>IFERROR(__xludf.DUMMYFUNCTION("""COMPUTED_VALUE"""),"Sin Ficha")</f>
        <v>Sin Ficha</v>
      </c>
      <c r="BF246" s="97"/>
      <c r="BG246" s="97" t="str">
        <f>IFERROR(__xludf.DUMMYFUNCTION("""COMPUTED_VALUE"""),"Discontinuo")</f>
        <v>Discontinuo</v>
      </c>
    </row>
    <row r="247">
      <c r="A247" s="97">
        <f>IFERROR(__xludf.DUMMYFUNCTION("""COMPUTED_VALUE"""),4076.0)</f>
        <v>4076</v>
      </c>
      <c r="B247" s="97" t="str">
        <f>IFERROR(__xludf.DUMMYFUNCTION("""COMPUTED_VALUE"""),"BIOS TALL NJ")</f>
        <v>BIOS TALL NJ</v>
      </c>
      <c r="C247" s="97" t="str">
        <f>IFERROR(__xludf.DUMMYFUNCTION("""COMPUTED_VALUE"""),"COLGANTE BIOS TALL NARANJA LEUK")</f>
        <v>COLGANTE BIOS TALL NARANJA LEUK</v>
      </c>
      <c r="D247" s="97">
        <f>IFERROR(__xludf.DUMMYFUNCTION("""COMPUTED_VALUE"""),7.798328759375E12)</f>
        <v>7798328759375</v>
      </c>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t="str">
        <f>IFERROR(__xludf.DUMMYFUNCTION("""COMPUTED_VALUE"""),"IP20")</f>
        <v>IP20</v>
      </c>
      <c r="AE247" s="97"/>
      <c r="AF247" s="97" t="str">
        <f>IFERROR(__xludf.DUMMYFUNCTION("""COMPUTED_VALUE"""),"Suspender")</f>
        <v>Suspender</v>
      </c>
      <c r="AG247" s="97"/>
      <c r="AH247" s="97"/>
      <c r="AI247" s="97"/>
      <c r="AJ247" s="97"/>
      <c r="AK247" s="97"/>
      <c r="AL247" s="97"/>
      <c r="AM247" s="97"/>
      <c r="AN247" s="97"/>
      <c r="AO247" s="97" t="str">
        <f>IFERROR(__xludf.DUMMYFUNCTION("""COMPUTED_VALUE"""),"1 Año")</f>
        <v>1 Año</v>
      </c>
      <c r="AP247" s="97"/>
      <c r="AQ247" s="97"/>
      <c r="AR247" s="97"/>
      <c r="AS247" s="97"/>
      <c r="AT247" s="97"/>
      <c r="AU247" s="97"/>
      <c r="AV247" s="97" t="str">
        <f>IFERROR(__xludf.DUMMYFUNCTION("""COMPUTED_VALUE"""),"Colgante")</f>
        <v>Colgante</v>
      </c>
      <c r="AW247" s="97" t="str">
        <f>IFERROR(__xludf.DUMMYFUNCTION("""COMPUTED_VALUE"""),"De Techo")</f>
        <v>De Techo</v>
      </c>
      <c r="AX247" s="97" t="str">
        <f>IFERROR(__xludf.DUMMYFUNCTION("""COMPUTED_VALUE"""),"Interior")</f>
        <v>Interior</v>
      </c>
      <c r="AY247" s="97"/>
      <c r="AZ247" s="97"/>
      <c r="BA247" s="97"/>
      <c r="BB247" s="97"/>
      <c r="BC247" s="97"/>
      <c r="BD247" s="97" t="str">
        <f>IFERROR(__xludf.DUMMYFUNCTION("""COMPUTED_VALUE"""),"BIOS TALL")</f>
        <v>BIOS TALL</v>
      </c>
      <c r="BE247" s="97" t="str">
        <f>IFERROR(__xludf.DUMMYFUNCTION("""COMPUTED_VALUE"""),"Sin Ficha")</f>
        <v>Sin Ficha</v>
      </c>
      <c r="BF247" s="97"/>
      <c r="BG247" s="97" t="str">
        <f>IFERROR(__xludf.DUMMYFUNCTION("""COMPUTED_VALUE"""),"Discontinuo")</f>
        <v>Discontinuo</v>
      </c>
    </row>
    <row r="248">
      <c r="A248" s="97">
        <f>IFERROR(__xludf.DUMMYFUNCTION("""COMPUTED_VALUE"""),4077.0)</f>
        <v>4077</v>
      </c>
      <c r="B248" s="97" t="str">
        <f>IFERROR(__xludf.DUMMYFUNCTION("""COMPUTED_VALUE"""),"BIOS TALL RJ")</f>
        <v>BIOS TALL RJ</v>
      </c>
      <c r="C248" s="97" t="str">
        <f>IFERROR(__xludf.DUMMYFUNCTION("""COMPUTED_VALUE"""),"COLGANTE BIOS TALL ROJO LEUK")</f>
        <v>COLGANTE BIOS TALL ROJO LEUK</v>
      </c>
      <c r="D248" s="97">
        <f>IFERROR(__xludf.DUMMYFUNCTION("""COMPUTED_VALUE"""),7.798328759405E12)</f>
        <v>7798328759405</v>
      </c>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t="str">
        <f>IFERROR(__xludf.DUMMYFUNCTION("""COMPUTED_VALUE"""),"IP20")</f>
        <v>IP20</v>
      </c>
      <c r="AE248" s="97"/>
      <c r="AF248" s="97" t="str">
        <f>IFERROR(__xludf.DUMMYFUNCTION("""COMPUTED_VALUE"""),"Suspender")</f>
        <v>Suspender</v>
      </c>
      <c r="AG248" s="97"/>
      <c r="AH248" s="97"/>
      <c r="AI248" s="97"/>
      <c r="AJ248" s="97"/>
      <c r="AK248" s="97"/>
      <c r="AL248" s="97"/>
      <c r="AM248" s="97"/>
      <c r="AN248" s="97"/>
      <c r="AO248" s="97" t="str">
        <f>IFERROR(__xludf.DUMMYFUNCTION("""COMPUTED_VALUE"""),"1 Año")</f>
        <v>1 Año</v>
      </c>
      <c r="AP248" s="97"/>
      <c r="AQ248" s="97"/>
      <c r="AR248" s="97"/>
      <c r="AS248" s="97"/>
      <c r="AT248" s="97"/>
      <c r="AU248" s="97"/>
      <c r="AV248" s="97" t="str">
        <f>IFERROR(__xludf.DUMMYFUNCTION("""COMPUTED_VALUE"""),"Colgante")</f>
        <v>Colgante</v>
      </c>
      <c r="AW248" s="97" t="str">
        <f>IFERROR(__xludf.DUMMYFUNCTION("""COMPUTED_VALUE"""),"De Techo")</f>
        <v>De Techo</v>
      </c>
      <c r="AX248" s="97" t="str">
        <f>IFERROR(__xludf.DUMMYFUNCTION("""COMPUTED_VALUE"""),"Interior")</f>
        <v>Interior</v>
      </c>
      <c r="AY248" s="97"/>
      <c r="AZ248" s="97"/>
      <c r="BA248" s="97"/>
      <c r="BB248" s="97"/>
      <c r="BC248" s="97"/>
      <c r="BD248" s="97" t="str">
        <f>IFERROR(__xludf.DUMMYFUNCTION("""COMPUTED_VALUE"""),"BIOS TALL")</f>
        <v>BIOS TALL</v>
      </c>
      <c r="BE248" s="97" t="str">
        <f>IFERROR(__xludf.DUMMYFUNCTION("""COMPUTED_VALUE"""),"Sin Ficha")</f>
        <v>Sin Ficha</v>
      </c>
      <c r="BF248" s="97"/>
      <c r="BG248" s="97" t="str">
        <f>IFERROR(__xludf.DUMMYFUNCTION("""COMPUTED_VALUE"""),"Discontinuo")</f>
        <v>Discontinuo</v>
      </c>
    </row>
    <row r="249">
      <c r="A249" s="97">
        <f>IFERROR(__xludf.DUMMYFUNCTION("""COMPUTED_VALUE"""),4078.0)</f>
        <v>4078</v>
      </c>
      <c r="B249" s="97" t="str">
        <f>IFERROR(__xludf.DUMMYFUNCTION("""COMPUTED_VALUE"""),"BIOS TALL GR")</f>
        <v>BIOS TALL GR</v>
      </c>
      <c r="C249" s="97" t="str">
        <f>IFERROR(__xludf.DUMMYFUNCTION("""COMPUTED_VALUE"""),"COLGANTE BIOS TALL GRIS LEUK")</f>
        <v>COLGANTE BIOS TALL GRIS LEUK</v>
      </c>
      <c r="D249" s="97">
        <f>IFERROR(__xludf.DUMMYFUNCTION("""COMPUTED_VALUE"""),7.798328759436E12)</f>
        <v>7798328759436</v>
      </c>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t="str">
        <f>IFERROR(__xludf.DUMMYFUNCTION("""COMPUTED_VALUE"""),"IP20")</f>
        <v>IP20</v>
      </c>
      <c r="AE249" s="97"/>
      <c r="AF249" s="97" t="str">
        <f>IFERROR(__xludf.DUMMYFUNCTION("""COMPUTED_VALUE"""),"Suspender")</f>
        <v>Suspender</v>
      </c>
      <c r="AG249" s="97"/>
      <c r="AH249" s="97"/>
      <c r="AI249" s="97"/>
      <c r="AJ249" s="97"/>
      <c r="AK249" s="97"/>
      <c r="AL249" s="97"/>
      <c r="AM249" s="97"/>
      <c r="AN249" s="97"/>
      <c r="AO249" s="97" t="str">
        <f>IFERROR(__xludf.DUMMYFUNCTION("""COMPUTED_VALUE"""),"1 Año")</f>
        <v>1 Año</v>
      </c>
      <c r="AP249" s="97"/>
      <c r="AQ249" s="97"/>
      <c r="AR249" s="97"/>
      <c r="AS249" s="97"/>
      <c r="AT249" s="97"/>
      <c r="AU249" s="97"/>
      <c r="AV249" s="97" t="str">
        <f>IFERROR(__xludf.DUMMYFUNCTION("""COMPUTED_VALUE"""),"Colgante")</f>
        <v>Colgante</v>
      </c>
      <c r="AW249" s="97" t="str">
        <f>IFERROR(__xludf.DUMMYFUNCTION("""COMPUTED_VALUE"""),"De Techo")</f>
        <v>De Techo</v>
      </c>
      <c r="AX249" s="97" t="str">
        <f>IFERROR(__xludf.DUMMYFUNCTION("""COMPUTED_VALUE"""),"Interior")</f>
        <v>Interior</v>
      </c>
      <c r="AY249" s="97"/>
      <c r="AZ249" s="97"/>
      <c r="BA249" s="97"/>
      <c r="BB249" s="97"/>
      <c r="BC249" s="97"/>
      <c r="BD249" s="97" t="str">
        <f>IFERROR(__xludf.DUMMYFUNCTION("""COMPUTED_VALUE"""),"BIOS TALL")</f>
        <v>BIOS TALL</v>
      </c>
      <c r="BE249" s="97" t="str">
        <f>IFERROR(__xludf.DUMMYFUNCTION("""COMPUTED_VALUE"""),"Sin Ficha")</f>
        <v>Sin Ficha</v>
      </c>
      <c r="BF249" s="97"/>
      <c r="BG249" s="97" t="str">
        <f>IFERROR(__xludf.DUMMYFUNCTION("""COMPUTED_VALUE"""),"Discontinuo")</f>
        <v>Discontinuo</v>
      </c>
    </row>
    <row r="250">
      <c r="A250" s="97">
        <f>IFERROR(__xludf.DUMMYFUNCTION("""COMPUTED_VALUE"""),4079.0)</f>
        <v>4079</v>
      </c>
      <c r="B250" s="97" t="str">
        <f>IFERROR(__xludf.DUMMYFUNCTION("""COMPUTED_VALUE"""),"BIOS TALL VD")</f>
        <v>BIOS TALL VD</v>
      </c>
      <c r="C250" s="97" t="str">
        <f>IFERROR(__xludf.DUMMYFUNCTION("""COMPUTED_VALUE"""),"COLGANTE BIOS TALL VIDRIO LEUK")</f>
        <v>COLGANTE BIOS TALL VIDRIO LEUK</v>
      </c>
      <c r="D250" s="97">
        <f>IFERROR(__xludf.DUMMYFUNCTION("""COMPUTED_VALUE"""),7.798328759467E12)</f>
        <v>7798328759467</v>
      </c>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t="str">
        <f>IFERROR(__xludf.DUMMYFUNCTION("""COMPUTED_VALUE"""),"IP20")</f>
        <v>IP20</v>
      </c>
      <c r="AE250" s="97"/>
      <c r="AF250" s="97" t="str">
        <f>IFERROR(__xludf.DUMMYFUNCTION("""COMPUTED_VALUE"""),"Suspender")</f>
        <v>Suspender</v>
      </c>
      <c r="AG250" s="97"/>
      <c r="AH250" s="97"/>
      <c r="AI250" s="97"/>
      <c r="AJ250" s="97"/>
      <c r="AK250" s="97"/>
      <c r="AL250" s="97"/>
      <c r="AM250" s="97"/>
      <c r="AN250" s="97"/>
      <c r="AO250" s="97" t="str">
        <f>IFERROR(__xludf.DUMMYFUNCTION("""COMPUTED_VALUE"""),"1 Año")</f>
        <v>1 Año</v>
      </c>
      <c r="AP250" s="97"/>
      <c r="AQ250" s="97"/>
      <c r="AR250" s="97"/>
      <c r="AS250" s="97"/>
      <c r="AT250" s="97"/>
      <c r="AU250" s="97"/>
      <c r="AV250" s="97" t="str">
        <f>IFERROR(__xludf.DUMMYFUNCTION("""COMPUTED_VALUE"""),"Colgante")</f>
        <v>Colgante</v>
      </c>
      <c r="AW250" s="97" t="str">
        <f>IFERROR(__xludf.DUMMYFUNCTION("""COMPUTED_VALUE"""),"De Techo")</f>
        <v>De Techo</v>
      </c>
      <c r="AX250" s="97" t="str">
        <f>IFERROR(__xludf.DUMMYFUNCTION("""COMPUTED_VALUE"""),"Interior")</f>
        <v>Interior</v>
      </c>
      <c r="AY250" s="97"/>
      <c r="AZ250" s="97"/>
      <c r="BA250" s="97"/>
      <c r="BB250" s="97"/>
      <c r="BC250" s="97"/>
      <c r="BD250" s="97" t="str">
        <f>IFERROR(__xludf.DUMMYFUNCTION("""COMPUTED_VALUE"""),"BIOS TALL")</f>
        <v>BIOS TALL</v>
      </c>
      <c r="BE250" s="97" t="str">
        <f>IFERROR(__xludf.DUMMYFUNCTION("""COMPUTED_VALUE"""),"Sin Ficha")</f>
        <v>Sin Ficha</v>
      </c>
      <c r="BF250" s="97"/>
      <c r="BG250" s="97" t="str">
        <f>IFERROR(__xludf.DUMMYFUNCTION("""COMPUTED_VALUE"""),"Discontinuo")</f>
        <v>Discontinuo</v>
      </c>
    </row>
    <row r="251">
      <c r="A251" s="97">
        <f>IFERROR(__xludf.DUMMYFUNCTION("""COMPUTED_VALUE"""),4080.0)</f>
        <v>4080</v>
      </c>
      <c r="B251" s="97" t="str">
        <f>IFERROR(__xludf.DUMMYFUNCTION("""COMPUTED_VALUE"""),"BIOS WIDE NJ")</f>
        <v>BIOS WIDE NJ</v>
      </c>
      <c r="C251" s="97" t="str">
        <f>IFERROR(__xludf.DUMMYFUNCTION("""COMPUTED_VALUE"""),"COLGANTE BIOS WIDE NARANJA LEUK")</f>
        <v>COLGANTE BIOS WIDE NARANJA LEUK</v>
      </c>
      <c r="D251" s="97">
        <f>IFERROR(__xludf.DUMMYFUNCTION("""COMPUTED_VALUE"""),7.798328759382E12)</f>
        <v>7798328759382</v>
      </c>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t="str">
        <f>IFERROR(__xludf.DUMMYFUNCTION("""COMPUTED_VALUE"""),"IP20")</f>
        <v>IP20</v>
      </c>
      <c r="AE251" s="97"/>
      <c r="AF251" s="97" t="str">
        <f>IFERROR(__xludf.DUMMYFUNCTION("""COMPUTED_VALUE"""),"Suspender")</f>
        <v>Suspender</v>
      </c>
      <c r="AG251" s="97"/>
      <c r="AH251" s="97"/>
      <c r="AI251" s="97"/>
      <c r="AJ251" s="97"/>
      <c r="AK251" s="97"/>
      <c r="AL251" s="97"/>
      <c r="AM251" s="97"/>
      <c r="AN251" s="97"/>
      <c r="AO251" s="97" t="str">
        <f>IFERROR(__xludf.DUMMYFUNCTION("""COMPUTED_VALUE"""),"1 Año")</f>
        <v>1 Año</v>
      </c>
      <c r="AP251" s="97"/>
      <c r="AQ251" s="97"/>
      <c r="AR251" s="97"/>
      <c r="AS251" s="97"/>
      <c r="AT251" s="97"/>
      <c r="AU251" s="97"/>
      <c r="AV251" s="97" t="str">
        <f>IFERROR(__xludf.DUMMYFUNCTION("""COMPUTED_VALUE"""),"Colgante")</f>
        <v>Colgante</v>
      </c>
      <c r="AW251" s="97" t="str">
        <f>IFERROR(__xludf.DUMMYFUNCTION("""COMPUTED_VALUE"""),"De Techo")</f>
        <v>De Techo</v>
      </c>
      <c r="AX251" s="97" t="str">
        <f>IFERROR(__xludf.DUMMYFUNCTION("""COMPUTED_VALUE"""),"Interior")</f>
        <v>Interior</v>
      </c>
      <c r="AY251" s="97"/>
      <c r="AZ251" s="97"/>
      <c r="BA251" s="97"/>
      <c r="BB251" s="97"/>
      <c r="BC251" s="97"/>
      <c r="BD251" s="97" t="str">
        <f>IFERROR(__xludf.DUMMYFUNCTION("""COMPUTED_VALUE"""),"BIOS WIDE")</f>
        <v>BIOS WIDE</v>
      </c>
      <c r="BE251" s="97" t="str">
        <f>IFERROR(__xludf.DUMMYFUNCTION("""COMPUTED_VALUE"""),"Sin Ficha")</f>
        <v>Sin Ficha</v>
      </c>
      <c r="BF251" s="97"/>
      <c r="BG251" s="97" t="str">
        <f>IFERROR(__xludf.DUMMYFUNCTION("""COMPUTED_VALUE"""),"Discontinuo")</f>
        <v>Discontinuo</v>
      </c>
    </row>
    <row r="252">
      <c r="A252" s="97">
        <f>IFERROR(__xludf.DUMMYFUNCTION("""COMPUTED_VALUE"""),4081.0)</f>
        <v>4081</v>
      </c>
      <c r="B252" s="97" t="str">
        <f>IFERROR(__xludf.DUMMYFUNCTION("""COMPUTED_VALUE"""),"BIOS WIDE RJ")</f>
        <v>BIOS WIDE RJ</v>
      </c>
      <c r="C252" s="97" t="str">
        <f>IFERROR(__xludf.DUMMYFUNCTION("""COMPUTED_VALUE"""),"COLGANTE BIOS WIDE ROJO LEUK")</f>
        <v>COLGANTE BIOS WIDE ROJO LEUK</v>
      </c>
      <c r="D252" s="97">
        <f>IFERROR(__xludf.DUMMYFUNCTION("""COMPUTED_VALUE"""),7.798328759412E12)</f>
        <v>7798328759412</v>
      </c>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t="str">
        <f>IFERROR(__xludf.DUMMYFUNCTION("""COMPUTED_VALUE"""),"IP20")</f>
        <v>IP20</v>
      </c>
      <c r="AE252" s="97"/>
      <c r="AF252" s="97" t="str">
        <f>IFERROR(__xludf.DUMMYFUNCTION("""COMPUTED_VALUE"""),"Suspender")</f>
        <v>Suspender</v>
      </c>
      <c r="AG252" s="97"/>
      <c r="AH252" s="97"/>
      <c r="AI252" s="97"/>
      <c r="AJ252" s="97"/>
      <c r="AK252" s="97"/>
      <c r="AL252" s="97"/>
      <c r="AM252" s="97"/>
      <c r="AN252" s="97"/>
      <c r="AO252" s="97" t="str">
        <f>IFERROR(__xludf.DUMMYFUNCTION("""COMPUTED_VALUE"""),"1 Año")</f>
        <v>1 Año</v>
      </c>
      <c r="AP252" s="97"/>
      <c r="AQ252" s="97"/>
      <c r="AR252" s="97"/>
      <c r="AS252" s="97"/>
      <c r="AT252" s="97"/>
      <c r="AU252" s="97"/>
      <c r="AV252" s="97" t="str">
        <f>IFERROR(__xludf.DUMMYFUNCTION("""COMPUTED_VALUE"""),"Colgante")</f>
        <v>Colgante</v>
      </c>
      <c r="AW252" s="97" t="str">
        <f>IFERROR(__xludf.DUMMYFUNCTION("""COMPUTED_VALUE"""),"De Techo")</f>
        <v>De Techo</v>
      </c>
      <c r="AX252" s="97" t="str">
        <f>IFERROR(__xludf.DUMMYFUNCTION("""COMPUTED_VALUE"""),"Interior")</f>
        <v>Interior</v>
      </c>
      <c r="AY252" s="97"/>
      <c r="AZ252" s="97"/>
      <c r="BA252" s="97"/>
      <c r="BB252" s="97"/>
      <c r="BC252" s="97"/>
      <c r="BD252" s="97" t="str">
        <f>IFERROR(__xludf.DUMMYFUNCTION("""COMPUTED_VALUE"""),"BIOS WIDE")</f>
        <v>BIOS WIDE</v>
      </c>
      <c r="BE252" s="97" t="str">
        <f>IFERROR(__xludf.DUMMYFUNCTION("""COMPUTED_VALUE"""),"Sin Ficha")</f>
        <v>Sin Ficha</v>
      </c>
      <c r="BF252" s="97"/>
      <c r="BG252" s="97" t="str">
        <f>IFERROR(__xludf.DUMMYFUNCTION("""COMPUTED_VALUE"""),"Discontinuo")</f>
        <v>Discontinuo</v>
      </c>
    </row>
    <row r="253">
      <c r="A253" s="97">
        <f>IFERROR(__xludf.DUMMYFUNCTION("""COMPUTED_VALUE"""),4082.0)</f>
        <v>4082</v>
      </c>
      <c r="B253" s="97" t="str">
        <f>IFERROR(__xludf.DUMMYFUNCTION("""COMPUTED_VALUE"""),"BIOS WIDE GR")</f>
        <v>BIOS WIDE GR</v>
      </c>
      <c r="C253" s="97" t="str">
        <f>IFERROR(__xludf.DUMMYFUNCTION("""COMPUTED_VALUE"""),"COLGANTE BIOS WIDE GRIS LEUK")</f>
        <v>COLGANTE BIOS WIDE GRIS LEUK</v>
      </c>
      <c r="D253" s="97">
        <f>IFERROR(__xludf.DUMMYFUNCTION("""COMPUTED_VALUE"""),7.798328759443E12)</f>
        <v>7798328759443</v>
      </c>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t="str">
        <f>IFERROR(__xludf.DUMMYFUNCTION("""COMPUTED_VALUE"""),"IP20")</f>
        <v>IP20</v>
      </c>
      <c r="AE253" s="97"/>
      <c r="AF253" s="97" t="str">
        <f>IFERROR(__xludf.DUMMYFUNCTION("""COMPUTED_VALUE"""),"Suspender")</f>
        <v>Suspender</v>
      </c>
      <c r="AG253" s="97"/>
      <c r="AH253" s="97"/>
      <c r="AI253" s="97"/>
      <c r="AJ253" s="97"/>
      <c r="AK253" s="97"/>
      <c r="AL253" s="97"/>
      <c r="AM253" s="97"/>
      <c r="AN253" s="97"/>
      <c r="AO253" s="97" t="str">
        <f>IFERROR(__xludf.DUMMYFUNCTION("""COMPUTED_VALUE"""),"1 Año")</f>
        <v>1 Año</v>
      </c>
      <c r="AP253" s="97"/>
      <c r="AQ253" s="97"/>
      <c r="AR253" s="97"/>
      <c r="AS253" s="97"/>
      <c r="AT253" s="97"/>
      <c r="AU253" s="97"/>
      <c r="AV253" s="97" t="str">
        <f>IFERROR(__xludf.DUMMYFUNCTION("""COMPUTED_VALUE"""),"Colgante")</f>
        <v>Colgante</v>
      </c>
      <c r="AW253" s="97" t="str">
        <f>IFERROR(__xludf.DUMMYFUNCTION("""COMPUTED_VALUE"""),"De Techo")</f>
        <v>De Techo</v>
      </c>
      <c r="AX253" s="97" t="str">
        <f>IFERROR(__xludf.DUMMYFUNCTION("""COMPUTED_VALUE"""),"Interior")</f>
        <v>Interior</v>
      </c>
      <c r="AY253" s="97"/>
      <c r="AZ253" s="97"/>
      <c r="BA253" s="97"/>
      <c r="BB253" s="97"/>
      <c r="BC253" s="97"/>
      <c r="BD253" s="97" t="str">
        <f>IFERROR(__xludf.DUMMYFUNCTION("""COMPUTED_VALUE"""),"BIOS WIDE")</f>
        <v>BIOS WIDE</v>
      </c>
      <c r="BE253" s="97" t="str">
        <f>IFERROR(__xludf.DUMMYFUNCTION("""COMPUTED_VALUE"""),"Sin Ficha")</f>
        <v>Sin Ficha</v>
      </c>
      <c r="BF253" s="97"/>
      <c r="BG253" s="97" t="str">
        <f>IFERROR(__xludf.DUMMYFUNCTION("""COMPUTED_VALUE"""),"Discontinuo")</f>
        <v>Discontinuo</v>
      </c>
    </row>
    <row r="254">
      <c r="A254" s="97">
        <f>IFERROR(__xludf.DUMMYFUNCTION("""COMPUTED_VALUE"""),4083.0)</f>
        <v>4083</v>
      </c>
      <c r="B254" s="97" t="str">
        <f>IFERROR(__xludf.DUMMYFUNCTION("""COMPUTED_VALUE"""),"BIOS WIDE VD")</f>
        <v>BIOS WIDE VD</v>
      </c>
      <c r="C254" s="97" t="str">
        <f>IFERROR(__xludf.DUMMYFUNCTION("""COMPUTED_VALUE"""),"COLGANTE BIOS WIDE VIDRIO LEUK")</f>
        <v>COLGANTE BIOS WIDE VIDRIO LEUK</v>
      </c>
      <c r="D254" s="97">
        <f>IFERROR(__xludf.DUMMYFUNCTION("""COMPUTED_VALUE"""),7.798328759474E12)</f>
        <v>7798328759474</v>
      </c>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t="str">
        <f>IFERROR(__xludf.DUMMYFUNCTION("""COMPUTED_VALUE"""),"IP20")</f>
        <v>IP20</v>
      </c>
      <c r="AE254" s="97"/>
      <c r="AF254" s="97" t="str">
        <f>IFERROR(__xludf.DUMMYFUNCTION("""COMPUTED_VALUE"""),"Suspender")</f>
        <v>Suspender</v>
      </c>
      <c r="AG254" s="97"/>
      <c r="AH254" s="97"/>
      <c r="AI254" s="97"/>
      <c r="AJ254" s="97"/>
      <c r="AK254" s="97"/>
      <c r="AL254" s="97"/>
      <c r="AM254" s="97"/>
      <c r="AN254" s="97"/>
      <c r="AO254" s="97" t="str">
        <f>IFERROR(__xludf.DUMMYFUNCTION("""COMPUTED_VALUE"""),"1 Año")</f>
        <v>1 Año</v>
      </c>
      <c r="AP254" s="97"/>
      <c r="AQ254" s="97"/>
      <c r="AR254" s="97"/>
      <c r="AS254" s="97"/>
      <c r="AT254" s="97"/>
      <c r="AU254" s="97"/>
      <c r="AV254" s="97" t="str">
        <f>IFERROR(__xludf.DUMMYFUNCTION("""COMPUTED_VALUE"""),"Colgante")</f>
        <v>Colgante</v>
      </c>
      <c r="AW254" s="97" t="str">
        <f>IFERROR(__xludf.DUMMYFUNCTION("""COMPUTED_VALUE"""),"De Techo")</f>
        <v>De Techo</v>
      </c>
      <c r="AX254" s="97" t="str">
        <f>IFERROR(__xludf.DUMMYFUNCTION("""COMPUTED_VALUE"""),"Interior")</f>
        <v>Interior</v>
      </c>
      <c r="AY254" s="97"/>
      <c r="AZ254" s="97"/>
      <c r="BA254" s="97"/>
      <c r="BB254" s="97"/>
      <c r="BC254" s="97"/>
      <c r="BD254" s="97" t="str">
        <f>IFERROR(__xludf.DUMMYFUNCTION("""COMPUTED_VALUE"""),"BIOS WIDE")</f>
        <v>BIOS WIDE</v>
      </c>
      <c r="BE254" s="97" t="str">
        <f>IFERROR(__xludf.DUMMYFUNCTION("""COMPUTED_VALUE"""),"Sin Ficha")</f>
        <v>Sin Ficha</v>
      </c>
      <c r="BF254" s="97"/>
      <c r="BG254" s="97" t="str">
        <f>IFERROR(__xludf.DUMMYFUNCTION("""COMPUTED_VALUE"""),"Discontinuo")</f>
        <v>Discontinuo</v>
      </c>
    </row>
    <row r="255">
      <c r="A255" s="97">
        <f>IFERROR(__xludf.DUMMYFUNCTION("""COMPUTED_VALUE"""),4084.0)</f>
        <v>4084</v>
      </c>
      <c r="B255" s="97" t="str">
        <f>IFERROR(__xludf.DUMMYFUNCTION("""COMPUTED_VALUE"""),"ANISSOS")</f>
        <v>ANISSOS</v>
      </c>
      <c r="C255" s="97" t="str">
        <f>IFERROR(__xludf.DUMMYFUNCTION("""COMPUTED_VALUE"""),"COLGANTE ANISSOS LEUK")</f>
        <v>COLGANTE ANISSOS LEUK</v>
      </c>
      <c r="D255" s="97">
        <f>IFERROR(__xludf.DUMMYFUNCTION("""COMPUTED_VALUE"""),7.798328759283E12)</f>
        <v>7798328759283</v>
      </c>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t="str">
        <f>IFERROR(__xludf.DUMMYFUNCTION("""COMPUTED_VALUE"""),"IP20")</f>
        <v>IP20</v>
      </c>
      <c r="AE255" s="97"/>
      <c r="AF255" s="97" t="str">
        <f>IFERROR(__xludf.DUMMYFUNCTION("""COMPUTED_VALUE"""),"Suspender")</f>
        <v>Suspender</v>
      </c>
      <c r="AG255" s="97"/>
      <c r="AH255" s="97"/>
      <c r="AI255" s="97"/>
      <c r="AJ255" s="97"/>
      <c r="AK255" s="97"/>
      <c r="AL255" s="97"/>
      <c r="AM255" s="97"/>
      <c r="AN255" s="97"/>
      <c r="AO255" s="97" t="str">
        <f>IFERROR(__xludf.DUMMYFUNCTION("""COMPUTED_VALUE"""),"1 Año")</f>
        <v>1 Año</v>
      </c>
      <c r="AP255" s="97"/>
      <c r="AQ255" s="97"/>
      <c r="AR255" s="97"/>
      <c r="AS255" s="97"/>
      <c r="AT255" s="97"/>
      <c r="AU255" s="97"/>
      <c r="AV255" s="97" t="str">
        <f>IFERROR(__xludf.DUMMYFUNCTION("""COMPUTED_VALUE"""),"Colgante")</f>
        <v>Colgante</v>
      </c>
      <c r="AW255" s="97" t="str">
        <f>IFERROR(__xludf.DUMMYFUNCTION("""COMPUTED_VALUE"""),"De Techo")</f>
        <v>De Techo</v>
      </c>
      <c r="AX255" s="97" t="str">
        <f>IFERROR(__xludf.DUMMYFUNCTION("""COMPUTED_VALUE"""),"Interior")</f>
        <v>Interior</v>
      </c>
      <c r="AY255" s="97"/>
      <c r="AZ255" s="97"/>
      <c r="BA255" s="97"/>
      <c r="BB255" s="97"/>
      <c r="BC255" s="97"/>
      <c r="BD255" s="97" t="str">
        <f>IFERROR(__xludf.DUMMYFUNCTION("""COMPUTED_VALUE"""),"ANISSOS")</f>
        <v>ANISSOS</v>
      </c>
      <c r="BE255" s="97" t="str">
        <f>IFERROR(__xludf.DUMMYFUNCTION("""COMPUTED_VALUE"""),"Sin Ficha")</f>
        <v>Sin Ficha</v>
      </c>
      <c r="BF255" s="97"/>
      <c r="BG255" s="97" t="str">
        <f>IFERROR(__xludf.DUMMYFUNCTION("""COMPUTED_VALUE"""),"Discontinuo")</f>
        <v>Discontinuo</v>
      </c>
    </row>
    <row r="256">
      <c r="A256" s="97">
        <f>IFERROR(__xludf.DUMMYFUNCTION("""COMPUTED_VALUE"""),4085.0)</f>
        <v>4085</v>
      </c>
      <c r="B256" s="97" t="str">
        <f>IFERROR(__xludf.DUMMYFUNCTION("""COMPUTED_VALUE"""),"BROSTA")</f>
        <v>BROSTA</v>
      </c>
      <c r="C256" s="97" t="str">
        <f>IFERROR(__xludf.DUMMYFUNCTION("""COMPUTED_VALUE"""),"COLGANTE BROSTA LEUK")</f>
        <v>COLGANTE BROSTA LEUK</v>
      </c>
      <c r="D256" s="97">
        <f>IFERROR(__xludf.DUMMYFUNCTION("""COMPUTED_VALUE"""),7.798328759078E12)</f>
        <v>7798328759078</v>
      </c>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t="str">
        <f>IFERROR(__xludf.DUMMYFUNCTION("""COMPUTED_VALUE"""),"IP20")</f>
        <v>IP20</v>
      </c>
      <c r="AE256" s="97"/>
      <c r="AF256" s="97" t="str">
        <f>IFERROR(__xludf.DUMMYFUNCTION("""COMPUTED_VALUE"""),"Suspender")</f>
        <v>Suspender</v>
      </c>
      <c r="AG256" s="97"/>
      <c r="AH256" s="97"/>
      <c r="AI256" s="97"/>
      <c r="AJ256" s="97"/>
      <c r="AK256" s="97"/>
      <c r="AL256" s="97"/>
      <c r="AM256" s="97"/>
      <c r="AN256" s="97"/>
      <c r="AO256" s="97" t="str">
        <f>IFERROR(__xludf.DUMMYFUNCTION("""COMPUTED_VALUE"""),"1 Año")</f>
        <v>1 Año</v>
      </c>
      <c r="AP256" s="97"/>
      <c r="AQ256" s="97"/>
      <c r="AR256" s="97"/>
      <c r="AS256" s="97"/>
      <c r="AT256" s="97"/>
      <c r="AU256" s="97"/>
      <c r="AV256" s="97" t="str">
        <f>IFERROR(__xludf.DUMMYFUNCTION("""COMPUTED_VALUE"""),"Colgante")</f>
        <v>Colgante</v>
      </c>
      <c r="AW256" s="97" t="str">
        <f>IFERROR(__xludf.DUMMYFUNCTION("""COMPUTED_VALUE"""),"De Techo")</f>
        <v>De Techo</v>
      </c>
      <c r="AX256" s="97" t="str">
        <f>IFERROR(__xludf.DUMMYFUNCTION("""COMPUTED_VALUE"""),"Interior")</f>
        <v>Interior</v>
      </c>
      <c r="AY256" s="97"/>
      <c r="AZ256" s="97"/>
      <c r="BA256" s="97"/>
      <c r="BB256" s="97"/>
      <c r="BC256" s="97"/>
      <c r="BD256" s="97" t="str">
        <f>IFERROR(__xludf.DUMMYFUNCTION("""COMPUTED_VALUE"""),"BROSTA")</f>
        <v>BROSTA</v>
      </c>
      <c r="BE256" s="97" t="str">
        <f>IFERROR(__xludf.DUMMYFUNCTION("""COMPUTED_VALUE"""),"Sin Ficha")</f>
        <v>Sin Ficha</v>
      </c>
      <c r="BF256" s="97"/>
      <c r="BG256" s="97" t="str">
        <f>IFERROR(__xludf.DUMMYFUNCTION("""COMPUTED_VALUE"""),"Discontinuo")</f>
        <v>Discontinuo</v>
      </c>
    </row>
    <row r="257">
      <c r="A257" s="97">
        <f>IFERROR(__xludf.DUMMYFUNCTION("""COMPUTED_VALUE"""),4086.0)</f>
        <v>4086</v>
      </c>
      <c r="B257" s="97" t="str">
        <f>IFERROR(__xludf.DUMMYFUNCTION("""COMPUTED_VALUE"""),"KALA")</f>
        <v>KALA</v>
      </c>
      <c r="C257" s="97" t="str">
        <f>IFERROR(__xludf.DUMMYFUNCTION("""COMPUTED_VALUE"""),"COLGANTE KALA BLANCO LEUK")</f>
        <v>COLGANTE KALA BLANCO LEUK</v>
      </c>
      <c r="D257" s="97">
        <f>IFERROR(__xludf.DUMMYFUNCTION("""COMPUTED_VALUE"""),7.798328759528E12)</f>
        <v>7798328759528</v>
      </c>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t="str">
        <f>IFERROR(__xludf.DUMMYFUNCTION("""COMPUTED_VALUE"""),"IP20")</f>
        <v>IP20</v>
      </c>
      <c r="AE257" s="97"/>
      <c r="AF257" s="97" t="str">
        <f>IFERROR(__xludf.DUMMYFUNCTION("""COMPUTED_VALUE"""),"Suspender")</f>
        <v>Suspender</v>
      </c>
      <c r="AG257" s="97"/>
      <c r="AH257" s="97"/>
      <c r="AI257" s="97"/>
      <c r="AJ257" s="97"/>
      <c r="AK257" s="97"/>
      <c r="AL257" s="97"/>
      <c r="AM257" s="97"/>
      <c r="AN257" s="97"/>
      <c r="AO257" s="97" t="str">
        <f>IFERROR(__xludf.DUMMYFUNCTION("""COMPUTED_VALUE"""),"1 Año")</f>
        <v>1 Año</v>
      </c>
      <c r="AP257" s="97"/>
      <c r="AQ257" s="97"/>
      <c r="AR257" s="97"/>
      <c r="AS257" s="97"/>
      <c r="AT257" s="97"/>
      <c r="AU257" s="97"/>
      <c r="AV257" s="97" t="str">
        <f>IFERROR(__xludf.DUMMYFUNCTION("""COMPUTED_VALUE"""),"Colgante")</f>
        <v>Colgante</v>
      </c>
      <c r="AW257" s="97" t="str">
        <f>IFERROR(__xludf.DUMMYFUNCTION("""COMPUTED_VALUE"""),"De Techo")</f>
        <v>De Techo</v>
      </c>
      <c r="AX257" s="97" t="str">
        <f>IFERROR(__xludf.DUMMYFUNCTION("""COMPUTED_VALUE"""),"Interior")</f>
        <v>Interior</v>
      </c>
      <c r="AY257" s="97"/>
      <c r="AZ257" s="97"/>
      <c r="BA257" s="97"/>
      <c r="BB257" s="97"/>
      <c r="BC257" s="97"/>
      <c r="BD257" s="97" t="str">
        <f>IFERROR(__xludf.DUMMYFUNCTION("""COMPUTED_VALUE"""),"KALA")</f>
        <v>KALA</v>
      </c>
      <c r="BE257" s="97" t="str">
        <f>IFERROR(__xludf.DUMMYFUNCTION("""COMPUTED_VALUE"""),"Sin Ficha")</f>
        <v>Sin Ficha</v>
      </c>
      <c r="BF257" s="97"/>
      <c r="BG257" s="97" t="str">
        <f>IFERROR(__xludf.DUMMYFUNCTION("""COMPUTED_VALUE"""),"Discontinuo")</f>
        <v>Discontinuo</v>
      </c>
    </row>
    <row r="258">
      <c r="A258" s="97">
        <f>IFERROR(__xludf.DUMMYFUNCTION("""COMPUTED_VALUE"""),4087.0)</f>
        <v>4087</v>
      </c>
      <c r="B258" s="97" t="str">
        <f>IFERROR(__xludf.DUMMYFUNCTION("""COMPUTED_VALUE"""),"KALA")</f>
        <v>KALA</v>
      </c>
      <c r="C258" s="97" t="str">
        <f>IFERROR(__xludf.DUMMYFUNCTION("""COMPUTED_VALUE"""),"COLGANTE KALA NEGRO LEUK")</f>
        <v>COLGANTE KALA NEGRO LEUK</v>
      </c>
      <c r="D258" s="97">
        <f>IFERROR(__xludf.DUMMYFUNCTION("""COMPUTED_VALUE"""),7.798328759085E12)</f>
        <v>7798328759085</v>
      </c>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t="str">
        <f>IFERROR(__xludf.DUMMYFUNCTION("""COMPUTED_VALUE"""),"IP20")</f>
        <v>IP20</v>
      </c>
      <c r="AE258" s="97"/>
      <c r="AF258" s="97" t="str">
        <f>IFERROR(__xludf.DUMMYFUNCTION("""COMPUTED_VALUE"""),"Suspender")</f>
        <v>Suspender</v>
      </c>
      <c r="AG258" s="97"/>
      <c r="AH258" s="97"/>
      <c r="AI258" s="97"/>
      <c r="AJ258" s="97"/>
      <c r="AK258" s="97"/>
      <c r="AL258" s="97"/>
      <c r="AM258" s="97"/>
      <c r="AN258" s="97"/>
      <c r="AO258" s="97" t="str">
        <f>IFERROR(__xludf.DUMMYFUNCTION("""COMPUTED_VALUE"""),"1 Año")</f>
        <v>1 Año</v>
      </c>
      <c r="AP258" s="97"/>
      <c r="AQ258" s="97"/>
      <c r="AR258" s="97"/>
      <c r="AS258" s="97"/>
      <c r="AT258" s="97"/>
      <c r="AU258" s="97"/>
      <c r="AV258" s="97" t="str">
        <f>IFERROR(__xludf.DUMMYFUNCTION("""COMPUTED_VALUE"""),"Colgante")</f>
        <v>Colgante</v>
      </c>
      <c r="AW258" s="97" t="str">
        <f>IFERROR(__xludf.DUMMYFUNCTION("""COMPUTED_VALUE"""),"De Techo")</f>
        <v>De Techo</v>
      </c>
      <c r="AX258" s="97" t="str">
        <f>IFERROR(__xludf.DUMMYFUNCTION("""COMPUTED_VALUE"""),"Interior")</f>
        <v>Interior</v>
      </c>
      <c r="AY258" s="97"/>
      <c r="AZ258" s="97"/>
      <c r="BA258" s="97"/>
      <c r="BB258" s="97"/>
      <c r="BC258" s="97"/>
      <c r="BD258" s="97" t="str">
        <f>IFERROR(__xludf.DUMMYFUNCTION("""COMPUTED_VALUE"""),"KALA")</f>
        <v>KALA</v>
      </c>
      <c r="BE258" s="97" t="str">
        <f>IFERROR(__xludf.DUMMYFUNCTION("""COMPUTED_VALUE"""),"Sin Ficha")</f>
        <v>Sin Ficha</v>
      </c>
      <c r="BF258" s="97"/>
      <c r="BG258" s="97" t="str">
        <f>IFERROR(__xludf.DUMMYFUNCTION("""COMPUTED_VALUE"""),"Discontinuo")</f>
        <v>Discontinuo</v>
      </c>
    </row>
    <row r="259">
      <c r="A259" s="97">
        <f>IFERROR(__xludf.DUMMYFUNCTION("""COMPUTED_VALUE"""),4088.0)</f>
        <v>4088</v>
      </c>
      <c r="B259" s="97" t="str">
        <f>IFERROR(__xludf.DUMMYFUNCTION("""COMPUTED_VALUE"""),"APONIA")</f>
        <v>APONIA</v>
      </c>
      <c r="C259" s="97" t="str">
        <f>IFERROR(__xludf.DUMMYFUNCTION("""COMPUTED_VALUE"""),"COLGANTE APONIA LEUK")</f>
        <v>COLGANTE APONIA LEUK</v>
      </c>
      <c r="D259" s="97">
        <f>IFERROR(__xludf.DUMMYFUNCTION("""COMPUTED_VALUE"""),7.79832875929E12)</f>
        <v>7798328759290</v>
      </c>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t="str">
        <f>IFERROR(__xludf.DUMMYFUNCTION("""COMPUTED_VALUE"""),"IP20")</f>
        <v>IP20</v>
      </c>
      <c r="AE259" s="97"/>
      <c r="AF259" s="97" t="str">
        <f>IFERROR(__xludf.DUMMYFUNCTION("""COMPUTED_VALUE"""),"Suspender")</f>
        <v>Suspender</v>
      </c>
      <c r="AG259" s="97"/>
      <c r="AH259" s="97"/>
      <c r="AI259" s="97"/>
      <c r="AJ259" s="97"/>
      <c r="AK259" s="97"/>
      <c r="AL259" s="97"/>
      <c r="AM259" s="97"/>
      <c r="AN259" s="97"/>
      <c r="AO259" s="97" t="str">
        <f>IFERROR(__xludf.DUMMYFUNCTION("""COMPUTED_VALUE"""),"1 Año")</f>
        <v>1 Año</v>
      </c>
      <c r="AP259" s="97"/>
      <c r="AQ259" s="97"/>
      <c r="AR259" s="97"/>
      <c r="AS259" s="97"/>
      <c r="AT259" s="97"/>
      <c r="AU259" s="97"/>
      <c r="AV259" s="97" t="str">
        <f>IFERROR(__xludf.DUMMYFUNCTION("""COMPUTED_VALUE"""),"Colgante")</f>
        <v>Colgante</v>
      </c>
      <c r="AW259" s="97" t="str">
        <f>IFERROR(__xludf.DUMMYFUNCTION("""COMPUTED_VALUE"""),"De Techo")</f>
        <v>De Techo</v>
      </c>
      <c r="AX259" s="97" t="str">
        <f>IFERROR(__xludf.DUMMYFUNCTION("""COMPUTED_VALUE"""),"Interior")</f>
        <v>Interior</v>
      </c>
      <c r="AY259" s="97"/>
      <c r="AZ259" s="97"/>
      <c r="BA259" s="97"/>
      <c r="BB259" s="97"/>
      <c r="BC259" s="97"/>
      <c r="BD259" s="97" t="str">
        <f>IFERROR(__xludf.DUMMYFUNCTION("""COMPUTED_VALUE"""),"APONIA")</f>
        <v>APONIA</v>
      </c>
      <c r="BE259" s="97" t="str">
        <f>IFERROR(__xludf.DUMMYFUNCTION("""COMPUTED_VALUE"""),"Sin Ficha")</f>
        <v>Sin Ficha</v>
      </c>
      <c r="BF259" s="97"/>
      <c r="BG259" s="97" t="str">
        <f>IFERROR(__xludf.DUMMYFUNCTION("""COMPUTED_VALUE"""),"Discontinuo")</f>
        <v>Discontinuo</v>
      </c>
    </row>
    <row r="260">
      <c r="A260" s="97">
        <f>IFERROR(__xludf.DUMMYFUNCTION("""COMPUTED_VALUE"""),4089.0)</f>
        <v>4089</v>
      </c>
      <c r="B260" s="97" t="str">
        <f>IFERROR(__xludf.DUMMYFUNCTION("""COMPUTED_VALUE"""),"AFTINO")</f>
        <v>AFTINO</v>
      </c>
      <c r="C260" s="97" t="str">
        <f>IFERROR(__xludf.DUMMYFUNCTION("""COMPUTED_VALUE"""),"COLGANTE AFTINO LEUK")</f>
        <v>COLGANTE AFTINO LEUK</v>
      </c>
      <c r="D260" s="97">
        <f>IFERROR(__xludf.DUMMYFUNCTION("""COMPUTED_VALUE"""),7.798328759108E12)</f>
        <v>7798328759108</v>
      </c>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t="str">
        <f>IFERROR(__xludf.DUMMYFUNCTION("""COMPUTED_VALUE"""),"IP20")</f>
        <v>IP20</v>
      </c>
      <c r="AE260" s="97"/>
      <c r="AF260" s="97" t="str">
        <f>IFERROR(__xludf.DUMMYFUNCTION("""COMPUTED_VALUE"""),"Suspender")</f>
        <v>Suspender</v>
      </c>
      <c r="AG260" s="97"/>
      <c r="AH260" s="97"/>
      <c r="AI260" s="97"/>
      <c r="AJ260" s="97"/>
      <c r="AK260" s="97"/>
      <c r="AL260" s="97"/>
      <c r="AM260" s="97"/>
      <c r="AN260" s="97"/>
      <c r="AO260" s="97" t="str">
        <f>IFERROR(__xludf.DUMMYFUNCTION("""COMPUTED_VALUE"""),"1 Año")</f>
        <v>1 Año</v>
      </c>
      <c r="AP260" s="97"/>
      <c r="AQ260" s="97"/>
      <c r="AR260" s="97"/>
      <c r="AS260" s="97"/>
      <c r="AT260" s="97"/>
      <c r="AU260" s="97"/>
      <c r="AV260" s="97" t="str">
        <f>IFERROR(__xludf.DUMMYFUNCTION("""COMPUTED_VALUE"""),"Colgante")</f>
        <v>Colgante</v>
      </c>
      <c r="AW260" s="97" t="str">
        <f>IFERROR(__xludf.DUMMYFUNCTION("""COMPUTED_VALUE"""),"De Techo")</f>
        <v>De Techo</v>
      </c>
      <c r="AX260" s="97" t="str">
        <f>IFERROR(__xludf.DUMMYFUNCTION("""COMPUTED_VALUE"""),"Interior")</f>
        <v>Interior</v>
      </c>
      <c r="AY260" s="97"/>
      <c r="AZ260" s="97"/>
      <c r="BA260" s="97"/>
      <c r="BB260" s="97"/>
      <c r="BC260" s="97"/>
      <c r="BD260" s="97" t="str">
        <f>IFERROR(__xludf.DUMMYFUNCTION("""COMPUTED_VALUE"""),"AFTINO")</f>
        <v>AFTINO</v>
      </c>
      <c r="BE260" s="97" t="str">
        <f>IFERROR(__xludf.DUMMYFUNCTION("""COMPUTED_VALUE"""),"Sin Ficha")</f>
        <v>Sin Ficha</v>
      </c>
      <c r="BF260" s="97"/>
      <c r="BG260" s="97" t="str">
        <f>IFERROR(__xludf.DUMMYFUNCTION("""COMPUTED_VALUE"""),"Discontinuo")</f>
        <v>Discontinuo</v>
      </c>
    </row>
    <row r="261">
      <c r="A261" s="97">
        <f>IFERROR(__xludf.DUMMYFUNCTION("""COMPUTED_VALUE"""),4090.0)</f>
        <v>4090</v>
      </c>
      <c r="B261" s="97" t="str">
        <f>IFERROR(__xludf.DUMMYFUNCTION("""COMPUTED_VALUE"""),"FTANI")</f>
        <v>FTANI</v>
      </c>
      <c r="C261" s="97" t="str">
        <f>IFERROR(__xludf.DUMMYFUNCTION("""COMPUTED_VALUE"""),"COLGANTE FTANI LEUK")</f>
        <v>COLGANTE FTANI LEUK</v>
      </c>
      <c r="D261" s="97">
        <f>IFERROR(__xludf.DUMMYFUNCTION("""COMPUTED_VALUE"""),7.798328759115E12)</f>
        <v>7798328759115</v>
      </c>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t="str">
        <f>IFERROR(__xludf.DUMMYFUNCTION("""COMPUTED_VALUE"""),"IP20")</f>
        <v>IP20</v>
      </c>
      <c r="AE261" s="97"/>
      <c r="AF261" s="97" t="str">
        <f>IFERROR(__xludf.DUMMYFUNCTION("""COMPUTED_VALUE"""),"Suspender")</f>
        <v>Suspender</v>
      </c>
      <c r="AG261" s="97"/>
      <c r="AH261" s="97"/>
      <c r="AI261" s="97"/>
      <c r="AJ261" s="97"/>
      <c r="AK261" s="97"/>
      <c r="AL261" s="97"/>
      <c r="AM261" s="97"/>
      <c r="AN261" s="97"/>
      <c r="AO261" s="97" t="str">
        <f>IFERROR(__xludf.DUMMYFUNCTION("""COMPUTED_VALUE"""),"1 Año")</f>
        <v>1 Año</v>
      </c>
      <c r="AP261" s="97"/>
      <c r="AQ261" s="97"/>
      <c r="AR261" s="97"/>
      <c r="AS261" s="97"/>
      <c r="AT261" s="97"/>
      <c r="AU261" s="97"/>
      <c r="AV261" s="97" t="str">
        <f>IFERROR(__xludf.DUMMYFUNCTION("""COMPUTED_VALUE"""),"Colgante")</f>
        <v>Colgante</v>
      </c>
      <c r="AW261" s="97" t="str">
        <f>IFERROR(__xludf.DUMMYFUNCTION("""COMPUTED_VALUE"""),"De Techo")</f>
        <v>De Techo</v>
      </c>
      <c r="AX261" s="97" t="str">
        <f>IFERROR(__xludf.DUMMYFUNCTION("""COMPUTED_VALUE"""),"Interior")</f>
        <v>Interior</v>
      </c>
      <c r="AY261" s="97"/>
      <c r="AZ261" s="97"/>
      <c r="BA261" s="97"/>
      <c r="BB261" s="97"/>
      <c r="BC261" s="97"/>
      <c r="BD261" s="97" t="str">
        <f>IFERROR(__xludf.DUMMYFUNCTION("""COMPUTED_VALUE"""),"FTANI")</f>
        <v>FTANI</v>
      </c>
      <c r="BE261" s="97" t="str">
        <f>IFERROR(__xludf.DUMMYFUNCTION("""COMPUTED_VALUE"""),"Sin Ficha")</f>
        <v>Sin Ficha</v>
      </c>
      <c r="BF261" s="97"/>
      <c r="BG261" s="97" t="str">
        <f>IFERROR(__xludf.DUMMYFUNCTION("""COMPUTED_VALUE"""),"Discontinuo")</f>
        <v>Discontinuo</v>
      </c>
    </row>
    <row r="262">
      <c r="A262" s="97">
        <f>IFERROR(__xludf.DUMMYFUNCTION("""COMPUTED_VALUE"""),4091.0)</f>
        <v>4091</v>
      </c>
      <c r="B262" s="97" t="str">
        <f>IFERROR(__xludf.DUMMYFUNCTION("""COMPUTED_VALUE"""),"DROMOS AZ")</f>
        <v>DROMOS AZ</v>
      </c>
      <c r="C262" s="97" t="str">
        <f>IFERROR(__xludf.DUMMYFUNCTION("""COMPUTED_VALUE"""),"COLGANTE DROMOS AZUL LEUK")</f>
        <v>COLGANTE DROMOS AZUL LEUK</v>
      </c>
      <c r="D262" s="97">
        <f>IFERROR(__xludf.DUMMYFUNCTION("""COMPUTED_VALUE"""),7.798328759122E12)</f>
        <v>7798328759122</v>
      </c>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t="str">
        <f>IFERROR(__xludf.DUMMYFUNCTION("""COMPUTED_VALUE"""),"IP20")</f>
        <v>IP20</v>
      </c>
      <c r="AE262" s="97"/>
      <c r="AF262" s="97" t="str">
        <f>IFERROR(__xludf.DUMMYFUNCTION("""COMPUTED_VALUE"""),"Suspender")</f>
        <v>Suspender</v>
      </c>
      <c r="AG262" s="97"/>
      <c r="AH262" s="97"/>
      <c r="AI262" s="97"/>
      <c r="AJ262" s="97"/>
      <c r="AK262" s="97"/>
      <c r="AL262" s="97"/>
      <c r="AM262" s="97"/>
      <c r="AN262" s="97"/>
      <c r="AO262" s="97" t="str">
        <f>IFERROR(__xludf.DUMMYFUNCTION("""COMPUTED_VALUE"""),"1 Año")</f>
        <v>1 Año</v>
      </c>
      <c r="AP262" s="97"/>
      <c r="AQ262" s="97"/>
      <c r="AR262" s="97"/>
      <c r="AS262" s="97"/>
      <c r="AT262" s="97"/>
      <c r="AU262" s="97"/>
      <c r="AV262" s="97" t="str">
        <f>IFERROR(__xludf.DUMMYFUNCTION("""COMPUTED_VALUE"""),"Colgante")</f>
        <v>Colgante</v>
      </c>
      <c r="AW262" s="97" t="str">
        <f>IFERROR(__xludf.DUMMYFUNCTION("""COMPUTED_VALUE"""),"De Techo")</f>
        <v>De Techo</v>
      </c>
      <c r="AX262" s="97" t="str">
        <f>IFERROR(__xludf.DUMMYFUNCTION("""COMPUTED_VALUE"""),"Interior")</f>
        <v>Interior</v>
      </c>
      <c r="AY262" s="97"/>
      <c r="AZ262" s="97"/>
      <c r="BA262" s="97"/>
      <c r="BB262" s="97"/>
      <c r="BC262" s="97"/>
      <c r="BD262" s="97" t="str">
        <f>IFERROR(__xludf.DUMMYFUNCTION("""COMPUTED_VALUE"""),"DROMOS")</f>
        <v>DROMOS</v>
      </c>
      <c r="BE262" s="97" t="str">
        <f>IFERROR(__xludf.DUMMYFUNCTION("""COMPUTED_VALUE"""),"Sin Ficha")</f>
        <v>Sin Ficha</v>
      </c>
      <c r="BF262" s="97"/>
      <c r="BG262" s="97" t="str">
        <f>IFERROR(__xludf.DUMMYFUNCTION("""COMPUTED_VALUE"""),"Discontinuo")</f>
        <v>Discontinuo</v>
      </c>
    </row>
    <row r="263">
      <c r="A263" s="97">
        <f>IFERROR(__xludf.DUMMYFUNCTION("""COMPUTED_VALUE"""),4092.0)</f>
        <v>4092</v>
      </c>
      <c r="B263" s="97" t="str">
        <f>IFERROR(__xludf.DUMMYFUNCTION("""COMPUTED_VALUE"""),"DROMOS RJ")</f>
        <v>DROMOS RJ</v>
      </c>
      <c r="C263" s="97" t="str">
        <f>IFERROR(__xludf.DUMMYFUNCTION("""COMPUTED_VALUE"""),"COLGANTE DROMOS ROJO LEUK")</f>
        <v>COLGANTE DROMOS ROJO LEUK</v>
      </c>
      <c r="D263" s="97">
        <f>IFERROR(__xludf.DUMMYFUNCTION("""COMPUTED_VALUE"""),7.81718848862E11)</f>
        <v>781718848862</v>
      </c>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t="str">
        <f>IFERROR(__xludf.DUMMYFUNCTION("""COMPUTED_VALUE"""),"IP20")</f>
        <v>IP20</v>
      </c>
      <c r="AE263" s="97"/>
      <c r="AF263" s="97" t="str">
        <f>IFERROR(__xludf.DUMMYFUNCTION("""COMPUTED_VALUE"""),"Suspender")</f>
        <v>Suspender</v>
      </c>
      <c r="AG263" s="97"/>
      <c r="AH263" s="97"/>
      <c r="AI263" s="97"/>
      <c r="AJ263" s="97"/>
      <c r="AK263" s="97"/>
      <c r="AL263" s="97"/>
      <c r="AM263" s="97"/>
      <c r="AN263" s="97"/>
      <c r="AO263" s="97" t="str">
        <f>IFERROR(__xludf.DUMMYFUNCTION("""COMPUTED_VALUE"""),"1 Año")</f>
        <v>1 Año</v>
      </c>
      <c r="AP263" s="97"/>
      <c r="AQ263" s="97"/>
      <c r="AR263" s="97"/>
      <c r="AS263" s="97"/>
      <c r="AT263" s="97"/>
      <c r="AU263" s="97"/>
      <c r="AV263" s="97" t="str">
        <f>IFERROR(__xludf.DUMMYFUNCTION("""COMPUTED_VALUE"""),"Colgante")</f>
        <v>Colgante</v>
      </c>
      <c r="AW263" s="97" t="str">
        <f>IFERROR(__xludf.DUMMYFUNCTION("""COMPUTED_VALUE"""),"De Techo")</f>
        <v>De Techo</v>
      </c>
      <c r="AX263" s="97" t="str">
        <f>IFERROR(__xludf.DUMMYFUNCTION("""COMPUTED_VALUE"""),"Interior")</f>
        <v>Interior</v>
      </c>
      <c r="AY263" s="97"/>
      <c r="AZ263" s="97"/>
      <c r="BA263" s="97"/>
      <c r="BB263" s="97"/>
      <c r="BC263" s="97"/>
      <c r="BD263" s="97" t="str">
        <f>IFERROR(__xludf.DUMMYFUNCTION("""COMPUTED_VALUE"""),"DROMOS")</f>
        <v>DROMOS</v>
      </c>
      <c r="BE263" s="97" t="str">
        <f>IFERROR(__xludf.DUMMYFUNCTION("""COMPUTED_VALUE"""),"Sin Ficha")</f>
        <v>Sin Ficha</v>
      </c>
      <c r="BF263" s="97"/>
      <c r="BG263" s="97" t="str">
        <f>IFERROR(__xludf.DUMMYFUNCTION("""COMPUTED_VALUE"""),"Discontinuo")</f>
        <v>Discontinuo</v>
      </c>
    </row>
    <row r="264">
      <c r="A264" s="97">
        <f>IFERROR(__xludf.DUMMYFUNCTION("""COMPUTED_VALUE"""),4093.0)</f>
        <v>4093</v>
      </c>
      <c r="B264" s="97" t="str">
        <f>IFERROR(__xludf.DUMMYFUNCTION("""COMPUTED_VALUE"""),"DROMOS BL")</f>
        <v>DROMOS BL</v>
      </c>
      <c r="C264" s="97" t="str">
        <f>IFERROR(__xludf.DUMMYFUNCTION("""COMPUTED_VALUE"""),"COLGANTE DROMOS BLANCO LEUK")</f>
        <v>COLGANTE DROMOS BLANCO LEUK</v>
      </c>
      <c r="D264" s="97">
        <f>IFERROR(__xludf.DUMMYFUNCTION("""COMPUTED_VALUE"""),7.798328759542E12)</f>
        <v>7798328759542</v>
      </c>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t="str">
        <f>IFERROR(__xludf.DUMMYFUNCTION("""COMPUTED_VALUE"""),"IP20")</f>
        <v>IP20</v>
      </c>
      <c r="AE264" s="97"/>
      <c r="AF264" s="97" t="str">
        <f>IFERROR(__xludf.DUMMYFUNCTION("""COMPUTED_VALUE"""),"Suspender")</f>
        <v>Suspender</v>
      </c>
      <c r="AG264" s="97"/>
      <c r="AH264" s="97"/>
      <c r="AI264" s="97"/>
      <c r="AJ264" s="97"/>
      <c r="AK264" s="97"/>
      <c r="AL264" s="97"/>
      <c r="AM264" s="97"/>
      <c r="AN264" s="97"/>
      <c r="AO264" s="97" t="str">
        <f>IFERROR(__xludf.DUMMYFUNCTION("""COMPUTED_VALUE"""),"1 Año")</f>
        <v>1 Año</v>
      </c>
      <c r="AP264" s="97"/>
      <c r="AQ264" s="97"/>
      <c r="AR264" s="97"/>
      <c r="AS264" s="97"/>
      <c r="AT264" s="97"/>
      <c r="AU264" s="97"/>
      <c r="AV264" s="97" t="str">
        <f>IFERROR(__xludf.DUMMYFUNCTION("""COMPUTED_VALUE"""),"Colgante")</f>
        <v>Colgante</v>
      </c>
      <c r="AW264" s="97" t="str">
        <f>IFERROR(__xludf.DUMMYFUNCTION("""COMPUTED_VALUE"""),"De Techo")</f>
        <v>De Techo</v>
      </c>
      <c r="AX264" s="97" t="str">
        <f>IFERROR(__xludf.DUMMYFUNCTION("""COMPUTED_VALUE"""),"Interior")</f>
        <v>Interior</v>
      </c>
      <c r="AY264" s="97"/>
      <c r="AZ264" s="97"/>
      <c r="BA264" s="97"/>
      <c r="BB264" s="97"/>
      <c r="BC264" s="97"/>
      <c r="BD264" s="97" t="str">
        <f>IFERROR(__xludf.DUMMYFUNCTION("""COMPUTED_VALUE"""),"DROMOS")</f>
        <v>DROMOS</v>
      </c>
      <c r="BE264" s="97" t="str">
        <f>IFERROR(__xludf.DUMMYFUNCTION("""COMPUTED_VALUE"""),"Sin Ficha")</f>
        <v>Sin Ficha</v>
      </c>
      <c r="BF264" s="97"/>
      <c r="BG264" s="97" t="str">
        <f>IFERROR(__xludf.DUMMYFUNCTION("""COMPUTED_VALUE"""),"Discontinuo")</f>
        <v>Discontinuo</v>
      </c>
    </row>
    <row r="265">
      <c r="A265" s="97">
        <f>IFERROR(__xludf.DUMMYFUNCTION("""COMPUTED_VALUE"""),4094.0)</f>
        <v>4094</v>
      </c>
      <c r="B265" s="97" t="str">
        <f>IFERROR(__xludf.DUMMYFUNCTION("""COMPUTED_VALUE"""),"PIPERI")</f>
        <v>PIPERI</v>
      </c>
      <c r="C265" s="97" t="str">
        <f>IFERROR(__xludf.DUMMYFUNCTION("""COMPUTED_VALUE"""),"COLGANTE PIPERI LEUK")</f>
        <v>COLGANTE PIPERI LEUK</v>
      </c>
      <c r="D265" s="97">
        <f>IFERROR(__xludf.DUMMYFUNCTION("""COMPUTED_VALUE"""),7.79832875916E12)</f>
        <v>7798328759160</v>
      </c>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t="str">
        <f>IFERROR(__xludf.DUMMYFUNCTION("""COMPUTED_VALUE"""),"IP20")</f>
        <v>IP20</v>
      </c>
      <c r="AE265" s="97"/>
      <c r="AF265" s="97" t="str">
        <f>IFERROR(__xludf.DUMMYFUNCTION("""COMPUTED_VALUE"""),"Suspender")</f>
        <v>Suspender</v>
      </c>
      <c r="AG265" s="97"/>
      <c r="AH265" s="97"/>
      <c r="AI265" s="97"/>
      <c r="AJ265" s="97"/>
      <c r="AK265" s="97"/>
      <c r="AL265" s="97"/>
      <c r="AM265" s="97"/>
      <c r="AN265" s="97"/>
      <c r="AO265" s="97" t="str">
        <f>IFERROR(__xludf.DUMMYFUNCTION("""COMPUTED_VALUE"""),"1 Año")</f>
        <v>1 Año</v>
      </c>
      <c r="AP265" s="97"/>
      <c r="AQ265" s="97"/>
      <c r="AR265" s="97"/>
      <c r="AS265" s="97"/>
      <c r="AT265" s="97"/>
      <c r="AU265" s="97"/>
      <c r="AV265" s="97" t="str">
        <f>IFERROR(__xludf.DUMMYFUNCTION("""COMPUTED_VALUE"""),"Colgante")</f>
        <v>Colgante</v>
      </c>
      <c r="AW265" s="97" t="str">
        <f>IFERROR(__xludf.DUMMYFUNCTION("""COMPUTED_VALUE"""),"De Techo")</f>
        <v>De Techo</v>
      </c>
      <c r="AX265" s="97" t="str">
        <f>IFERROR(__xludf.DUMMYFUNCTION("""COMPUTED_VALUE"""),"Interior")</f>
        <v>Interior</v>
      </c>
      <c r="AY265" s="97"/>
      <c r="AZ265" s="97"/>
      <c r="BA265" s="97"/>
      <c r="BB265" s="97"/>
      <c r="BC265" s="97"/>
      <c r="BD265" s="97" t="str">
        <f>IFERROR(__xludf.DUMMYFUNCTION("""COMPUTED_VALUE"""),"PIPERI")</f>
        <v>PIPERI</v>
      </c>
      <c r="BE265" s="97" t="str">
        <f>IFERROR(__xludf.DUMMYFUNCTION("""COMPUTED_VALUE"""),"Sin Ficha")</f>
        <v>Sin Ficha</v>
      </c>
      <c r="BF265" s="97"/>
      <c r="BG265" s="97" t="str">
        <f>IFERROR(__xludf.DUMMYFUNCTION("""COMPUTED_VALUE"""),"Discontinuo")</f>
        <v>Discontinuo</v>
      </c>
    </row>
    <row r="266">
      <c r="A266" s="97">
        <f>IFERROR(__xludf.DUMMYFUNCTION("""COMPUTED_VALUE"""),4095.0)</f>
        <v>4095</v>
      </c>
      <c r="B266" s="97" t="str">
        <f>IFERROR(__xludf.DUMMYFUNCTION("""COMPUTED_VALUE"""),"CARPUSI")</f>
        <v>CARPUSI</v>
      </c>
      <c r="C266" s="97" t="str">
        <f>IFERROR(__xludf.DUMMYFUNCTION("""COMPUTED_VALUE"""),"COLGANTE CARPUSI LEUK")</f>
        <v>COLGANTE CARPUSI LEUK</v>
      </c>
      <c r="D266" s="97">
        <f>IFERROR(__xludf.DUMMYFUNCTION("""COMPUTED_VALUE"""),7.798328759177E12)</f>
        <v>7798328759177</v>
      </c>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t="str">
        <f>IFERROR(__xludf.DUMMYFUNCTION("""COMPUTED_VALUE"""),"IP20")</f>
        <v>IP20</v>
      </c>
      <c r="AE266" s="97"/>
      <c r="AF266" s="97" t="str">
        <f>IFERROR(__xludf.DUMMYFUNCTION("""COMPUTED_VALUE"""),"Suspender")</f>
        <v>Suspender</v>
      </c>
      <c r="AG266" s="97"/>
      <c r="AH266" s="97"/>
      <c r="AI266" s="97"/>
      <c r="AJ266" s="97"/>
      <c r="AK266" s="97"/>
      <c r="AL266" s="97"/>
      <c r="AM266" s="97"/>
      <c r="AN266" s="97"/>
      <c r="AO266" s="97" t="str">
        <f>IFERROR(__xludf.DUMMYFUNCTION("""COMPUTED_VALUE"""),"1 Año")</f>
        <v>1 Año</v>
      </c>
      <c r="AP266" s="97"/>
      <c r="AQ266" s="97"/>
      <c r="AR266" s="97"/>
      <c r="AS266" s="97"/>
      <c r="AT266" s="97"/>
      <c r="AU266" s="97"/>
      <c r="AV266" s="97" t="str">
        <f>IFERROR(__xludf.DUMMYFUNCTION("""COMPUTED_VALUE"""),"Colgante")</f>
        <v>Colgante</v>
      </c>
      <c r="AW266" s="97" t="str">
        <f>IFERROR(__xludf.DUMMYFUNCTION("""COMPUTED_VALUE"""),"De Techo")</f>
        <v>De Techo</v>
      </c>
      <c r="AX266" s="97" t="str">
        <f>IFERROR(__xludf.DUMMYFUNCTION("""COMPUTED_VALUE"""),"Interior")</f>
        <v>Interior</v>
      </c>
      <c r="AY266" s="97"/>
      <c r="AZ266" s="97"/>
      <c r="BA266" s="97">
        <f>IFERROR(__xludf.DUMMYFUNCTION("""COMPUTED_VALUE"""),1.0)</f>
        <v>1</v>
      </c>
      <c r="BB266" s="97"/>
      <c r="BC266" s="97"/>
      <c r="BD266" s="97" t="str">
        <f>IFERROR(__xludf.DUMMYFUNCTION("""COMPUTED_VALUE"""),"CARPUSI")</f>
        <v>CARPUSI</v>
      </c>
      <c r="BE266" s="97" t="str">
        <f>IFERROR(__xludf.DUMMYFUNCTION("""COMPUTED_VALUE"""),"Sin Ficha")</f>
        <v>Sin Ficha</v>
      </c>
      <c r="BF266" s="97"/>
      <c r="BG266" s="97" t="str">
        <f>IFERROR(__xludf.DUMMYFUNCTION("""COMPUTED_VALUE"""),"Discontinuo")</f>
        <v>Discontinuo</v>
      </c>
    </row>
    <row r="267">
      <c r="A267" s="97">
        <f>IFERROR(__xludf.DUMMYFUNCTION("""COMPUTED_VALUE"""),4096.0)</f>
        <v>4096</v>
      </c>
      <c r="B267" s="97" t="str">
        <f>IFERROR(__xludf.DUMMYFUNCTION("""COMPUTED_VALUE"""),"PROI")</f>
        <v>PROI</v>
      </c>
      <c r="C267" s="97" t="str">
        <f>IFERROR(__xludf.DUMMYFUNCTION("""COMPUTED_VALUE"""),"COLGANTE PROI BLANCO LEUK")</f>
        <v>COLGANTE PROI BLANCO LEUK</v>
      </c>
      <c r="D267" s="97">
        <f>IFERROR(__xludf.DUMMYFUNCTION("""COMPUTED_VALUE"""),7.798328759153E12)</f>
        <v>7798328759153</v>
      </c>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t="str">
        <f>IFERROR(__xludf.DUMMYFUNCTION("""COMPUTED_VALUE"""),"IP20")</f>
        <v>IP20</v>
      </c>
      <c r="AE267" s="97"/>
      <c r="AF267" s="97" t="str">
        <f>IFERROR(__xludf.DUMMYFUNCTION("""COMPUTED_VALUE"""),"Suspender")</f>
        <v>Suspender</v>
      </c>
      <c r="AG267" s="97"/>
      <c r="AH267" s="97"/>
      <c r="AI267" s="97"/>
      <c r="AJ267" s="97"/>
      <c r="AK267" s="97"/>
      <c r="AL267" s="97"/>
      <c r="AM267" s="97"/>
      <c r="AN267" s="97"/>
      <c r="AO267" s="97" t="str">
        <f>IFERROR(__xludf.DUMMYFUNCTION("""COMPUTED_VALUE"""),"1 Año")</f>
        <v>1 Año</v>
      </c>
      <c r="AP267" s="97"/>
      <c r="AQ267" s="97"/>
      <c r="AR267" s="97"/>
      <c r="AS267" s="97"/>
      <c r="AT267" s="97"/>
      <c r="AU267" s="97"/>
      <c r="AV267" s="97" t="str">
        <f>IFERROR(__xludf.DUMMYFUNCTION("""COMPUTED_VALUE"""),"Colgante")</f>
        <v>Colgante</v>
      </c>
      <c r="AW267" s="97" t="str">
        <f>IFERROR(__xludf.DUMMYFUNCTION("""COMPUTED_VALUE"""),"De Techo")</f>
        <v>De Techo</v>
      </c>
      <c r="AX267" s="97" t="str">
        <f>IFERROR(__xludf.DUMMYFUNCTION("""COMPUTED_VALUE"""),"Interior")</f>
        <v>Interior</v>
      </c>
      <c r="AY267" s="97"/>
      <c r="AZ267" s="97"/>
      <c r="BA267" s="97"/>
      <c r="BB267" s="97"/>
      <c r="BC267" s="97"/>
      <c r="BD267" s="97" t="str">
        <f>IFERROR(__xludf.DUMMYFUNCTION("""COMPUTED_VALUE"""),"PROI")</f>
        <v>PROI</v>
      </c>
      <c r="BE267" s="97" t="str">
        <f>IFERROR(__xludf.DUMMYFUNCTION("""COMPUTED_VALUE"""),"Sin Ficha")</f>
        <v>Sin Ficha</v>
      </c>
      <c r="BF267" s="97"/>
      <c r="BG267" s="97" t="str">
        <f>IFERROR(__xludf.DUMMYFUNCTION("""COMPUTED_VALUE"""),"Discontinuo")</f>
        <v>Discontinuo</v>
      </c>
    </row>
    <row r="268">
      <c r="A268" s="97">
        <f>IFERROR(__xludf.DUMMYFUNCTION("""COMPUTED_VALUE"""),4097.0)</f>
        <v>4097</v>
      </c>
      <c r="B268" s="97" t="str">
        <f>IFERROR(__xludf.DUMMYFUNCTION("""COMPUTED_VALUE"""),"PROI")</f>
        <v>PROI</v>
      </c>
      <c r="C268" s="97" t="str">
        <f>IFERROR(__xludf.DUMMYFUNCTION("""COMPUTED_VALUE"""),"COLGANTE PROI NEGRO LEUK")</f>
        <v>COLGANTE PROI NEGRO LEUK</v>
      </c>
      <c r="D268" s="97">
        <f>IFERROR(__xludf.DUMMYFUNCTION("""COMPUTED_VALUE"""),7.798328759719E12)</f>
        <v>7798328759719</v>
      </c>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t="str">
        <f>IFERROR(__xludf.DUMMYFUNCTION("""COMPUTED_VALUE"""),"IP20")</f>
        <v>IP20</v>
      </c>
      <c r="AE268" s="97"/>
      <c r="AF268" s="97" t="str">
        <f>IFERROR(__xludf.DUMMYFUNCTION("""COMPUTED_VALUE"""),"Suspender")</f>
        <v>Suspender</v>
      </c>
      <c r="AG268" s="97"/>
      <c r="AH268" s="97"/>
      <c r="AI268" s="97"/>
      <c r="AJ268" s="97"/>
      <c r="AK268" s="97"/>
      <c r="AL268" s="97"/>
      <c r="AM268" s="97"/>
      <c r="AN268" s="97"/>
      <c r="AO268" s="97" t="str">
        <f>IFERROR(__xludf.DUMMYFUNCTION("""COMPUTED_VALUE"""),"1 Año")</f>
        <v>1 Año</v>
      </c>
      <c r="AP268" s="97"/>
      <c r="AQ268" s="97"/>
      <c r="AR268" s="97"/>
      <c r="AS268" s="97"/>
      <c r="AT268" s="97"/>
      <c r="AU268" s="97"/>
      <c r="AV268" s="97" t="str">
        <f>IFERROR(__xludf.DUMMYFUNCTION("""COMPUTED_VALUE"""),"Colgante")</f>
        <v>Colgante</v>
      </c>
      <c r="AW268" s="97" t="str">
        <f>IFERROR(__xludf.DUMMYFUNCTION("""COMPUTED_VALUE"""),"De Techo")</f>
        <v>De Techo</v>
      </c>
      <c r="AX268" s="97" t="str">
        <f>IFERROR(__xludf.DUMMYFUNCTION("""COMPUTED_VALUE"""),"Interior")</f>
        <v>Interior</v>
      </c>
      <c r="AY268" s="97"/>
      <c r="AZ268" s="97"/>
      <c r="BA268" s="97"/>
      <c r="BB268" s="97"/>
      <c r="BC268" s="97"/>
      <c r="BD268" s="97" t="str">
        <f>IFERROR(__xludf.DUMMYFUNCTION("""COMPUTED_VALUE"""),"PROI")</f>
        <v>PROI</v>
      </c>
      <c r="BE268" s="97" t="str">
        <f>IFERROR(__xludf.DUMMYFUNCTION("""COMPUTED_VALUE"""),"Sin Ficha")</f>
        <v>Sin Ficha</v>
      </c>
      <c r="BF268" s="97"/>
      <c r="BG268" s="97" t="str">
        <f>IFERROR(__xludf.DUMMYFUNCTION("""COMPUTED_VALUE"""),"Discontinuo")</f>
        <v>Discontinuo</v>
      </c>
    </row>
    <row r="269">
      <c r="A269" s="97">
        <f>IFERROR(__xludf.DUMMYFUNCTION("""COMPUTED_VALUE"""),4098.0)</f>
        <v>4098</v>
      </c>
      <c r="B269" s="97" t="str">
        <f>IFERROR(__xludf.DUMMYFUNCTION("""COMPUTED_VALUE"""),"TRIA")</f>
        <v>TRIA</v>
      </c>
      <c r="C269" s="97" t="str">
        <f>IFERROR(__xludf.DUMMYFUNCTION("""COMPUTED_VALUE"""),"COLGANTE TRIA LEUK")</f>
        <v>COLGANTE TRIA LEUK</v>
      </c>
      <c r="D269" s="97">
        <f>IFERROR(__xludf.DUMMYFUNCTION("""COMPUTED_VALUE"""),7.798328759191E12)</f>
        <v>7798328759191</v>
      </c>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t="str">
        <f>IFERROR(__xludf.DUMMYFUNCTION("""COMPUTED_VALUE"""),"IP20")</f>
        <v>IP20</v>
      </c>
      <c r="AE269" s="97"/>
      <c r="AF269" s="97" t="str">
        <f>IFERROR(__xludf.DUMMYFUNCTION("""COMPUTED_VALUE"""),"Suspender")</f>
        <v>Suspender</v>
      </c>
      <c r="AG269" s="97"/>
      <c r="AH269" s="97"/>
      <c r="AI269" s="97"/>
      <c r="AJ269" s="97"/>
      <c r="AK269" s="97"/>
      <c r="AL269" s="97"/>
      <c r="AM269" s="97"/>
      <c r="AN269" s="97"/>
      <c r="AO269" s="97" t="str">
        <f>IFERROR(__xludf.DUMMYFUNCTION("""COMPUTED_VALUE"""),"1 Año")</f>
        <v>1 Año</v>
      </c>
      <c r="AP269" s="97"/>
      <c r="AQ269" s="97"/>
      <c r="AR269" s="97"/>
      <c r="AS269" s="97"/>
      <c r="AT269" s="97"/>
      <c r="AU269" s="97"/>
      <c r="AV269" s="97" t="str">
        <f>IFERROR(__xludf.DUMMYFUNCTION("""COMPUTED_VALUE"""),"Colgante")</f>
        <v>Colgante</v>
      </c>
      <c r="AW269" s="97" t="str">
        <f>IFERROR(__xludf.DUMMYFUNCTION("""COMPUTED_VALUE"""),"De Techo")</f>
        <v>De Techo</v>
      </c>
      <c r="AX269" s="97" t="str">
        <f>IFERROR(__xludf.DUMMYFUNCTION("""COMPUTED_VALUE"""),"Interior")</f>
        <v>Interior</v>
      </c>
      <c r="AY269" s="97"/>
      <c r="AZ269" s="97"/>
      <c r="BA269" s="97"/>
      <c r="BB269" s="97"/>
      <c r="BC269" s="97"/>
      <c r="BD269" s="97" t="str">
        <f>IFERROR(__xludf.DUMMYFUNCTION("""COMPUTED_VALUE"""),"TRIA")</f>
        <v>TRIA</v>
      </c>
      <c r="BE269" s="97" t="str">
        <f>IFERROR(__xludf.DUMMYFUNCTION("""COMPUTED_VALUE"""),"Sin Ficha")</f>
        <v>Sin Ficha</v>
      </c>
      <c r="BF269" s="97"/>
      <c r="BG269" s="97" t="str">
        <f>IFERROR(__xludf.DUMMYFUNCTION("""COMPUTED_VALUE"""),"Discontinuo")</f>
        <v>Discontinuo</v>
      </c>
    </row>
    <row r="270">
      <c r="A270" s="97">
        <f>IFERROR(__xludf.DUMMYFUNCTION("""COMPUTED_VALUE"""),4099.0)</f>
        <v>4099</v>
      </c>
      <c r="B270" s="97" t="str">
        <f>IFERROR(__xludf.DUMMYFUNCTION("""COMPUTED_VALUE"""),"EXINTA")</f>
        <v>EXINTA</v>
      </c>
      <c r="C270" s="97" t="str">
        <f>IFERROR(__xludf.DUMMYFUNCTION("""COMPUTED_VALUE"""),"COLGANTE EXINTA LEUK")</f>
        <v>COLGANTE EXINTA LEUK</v>
      </c>
      <c r="D270" s="97">
        <f>IFERROR(__xludf.DUMMYFUNCTION("""COMPUTED_VALUE"""),7.798328759238E12)</f>
        <v>7798328759238</v>
      </c>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t="str">
        <f>IFERROR(__xludf.DUMMYFUNCTION("""COMPUTED_VALUE"""),"IP20")</f>
        <v>IP20</v>
      </c>
      <c r="AE270" s="97"/>
      <c r="AF270" s="97" t="str">
        <f>IFERROR(__xludf.DUMMYFUNCTION("""COMPUTED_VALUE"""),"Suspender")</f>
        <v>Suspender</v>
      </c>
      <c r="AG270" s="97"/>
      <c r="AH270" s="97"/>
      <c r="AI270" s="97"/>
      <c r="AJ270" s="97"/>
      <c r="AK270" s="97"/>
      <c r="AL270" s="97"/>
      <c r="AM270" s="97"/>
      <c r="AN270" s="97"/>
      <c r="AO270" s="97" t="str">
        <f>IFERROR(__xludf.DUMMYFUNCTION("""COMPUTED_VALUE"""),"1 Año")</f>
        <v>1 Año</v>
      </c>
      <c r="AP270" s="97"/>
      <c r="AQ270" s="97"/>
      <c r="AR270" s="97"/>
      <c r="AS270" s="97"/>
      <c r="AT270" s="97"/>
      <c r="AU270" s="97"/>
      <c r="AV270" s="97" t="str">
        <f>IFERROR(__xludf.DUMMYFUNCTION("""COMPUTED_VALUE"""),"Colgante")</f>
        <v>Colgante</v>
      </c>
      <c r="AW270" s="97" t="str">
        <f>IFERROR(__xludf.DUMMYFUNCTION("""COMPUTED_VALUE"""),"De Techo")</f>
        <v>De Techo</v>
      </c>
      <c r="AX270" s="97" t="str">
        <f>IFERROR(__xludf.DUMMYFUNCTION("""COMPUTED_VALUE"""),"Interior")</f>
        <v>Interior</v>
      </c>
      <c r="AY270" s="97"/>
      <c r="AZ270" s="97"/>
      <c r="BA270" s="97">
        <f>IFERROR(__xludf.DUMMYFUNCTION("""COMPUTED_VALUE"""),1.0)</f>
        <v>1</v>
      </c>
      <c r="BB270" s="97"/>
      <c r="BC270" s="97"/>
      <c r="BD270" s="97" t="str">
        <f>IFERROR(__xludf.DUMMYFUNCTION("""COMPUTED_VALUE"""),"EXINTA")</f>
        <v>EXINTA</v>
      </c>
      <c r="BE270" s="97" t="str">
        <f>IFERROR(__xludf.DUMMYFUNCTION("""COMPUTED_VALUE"""),"Sin Ficha")</f>
        <v>Sin Ficha</v>
      </c>
      <c r="BF270" s="97"/>
      <c r="BG270" s="97" t="str">
        <f>IFERROR(__xludf.DUMMYFUNCTION("""COMPUTED_VALUE"""),"Discontinuo")</f>
        <v>Discontinuo</v>
      </c>
    </row>
    <row r="271">
      <c r="A271" s="97">
        <f>IFERROR(__xludf.DUMMYFUNCTION("""COMPUTED_VALUE"""),4100.0)</f>
        <v>4100</v>
      </c>
      <c r="B271" s="97" t="str">
        <f>IFERROR(__xludf.DUMMYFUNCTION("""COMPUTED_VALUE"""),"ADIKIA")</f>
        <v>ADIKIA</v>
      </c>
      <c r="C271" s="97" t="str">
        <f>IFERROR(__xludf.DUMMYFUNCTION("""COMPUTED_VALUE"""),"COLGANTE ADIKIA LEUK")</f>
        <v>COLGANTE ADIKIA LEUK</v>
      </c>
      <c r="D271" s="97">
        <f>IFERROR(__xludf.DUMMYFUNCTION("""COMPUTED_VALUE"""),7.798328759245E12)</f>
        <v>7798328759245</v>
      </c>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t="str">
        <f>IFERROR(__xludf.DUMMYFUNCTION("""COMPUTED_VALUE"""),"IP20")</f>
        <v>IP20</v>
      </c>
      <c r="AE271" s="97"/>
      <c r="AF271" s="97" t="str">
        <f>IFERROR(__xludf.DUMMYFUNCTION("""COMPUTED_VALUE"""),"Suspender")</f>
        <v>Suspender</v>
      </c>
      <c r="AG271" s="97"/>
      <c r="AH271" s="97"/>
      <c r="AI271" s="97"/>
      <c r="AJ271" s="97"/>
      <c r="AK271" s="97"/>
      <c r="AL271" s="97"/>
      <c r="AM271" s="97"/>
      <c r="AN271" s="97"/>
      <c r="AO271" s="97" t="str">
        <f>IFERROR(__xludf.DUMMYFUNCTION("""COMPUTED_VALUE"""),"1 Año")</f>
        <v>1 Año</v>
      </c>
      <c r="AP271" s="97"/>
      <c r="AQ271" s="97"/>
      <c r="AR271" s="97"/>
      <c r="AS271" s="97"/>
      <c r="AT271" s="97"/>
      <c r="AU271" s="97"/>
      <c r="AV271" s="97" t="str">
        <f>IFERROR(__xludf.DUMMYFUNCTION("""COMPUTED_VALUE"""),"Colgante")</f>
        <v>Colgante</v>
      </c>
      <c r="AW271" s="97" t="str">
        <f>IFERROR(__xludf.DUMMYFUNCTION("""COMPUTED_VALUE"""),"De Techo")</f>
        <v>De Techo</v>
      </c>
      <c r="AX271" s="97" t="str">
        <f>IFERROR(__xludf.DUMMYFUNCTION("""COMPUTED_VALUE"""),"Interior")</f>
        <v>Interior</v>
      </c>
      <c r="AY271" s="97"/>
      <c r="AZ271" s="97"/>
      <c r="BA271" s="97"/>
      <c r="BB271" s="97"/>
      <c r="BC271" s="97"/>
      <c r="BD271" s="97" t="str">
        <f>IFERROR(__xludf.DUMMYFUNCTION("""COMPUTED_VALUE"""),"ADIKIA")</f>
        <v>ADIKIA</v>
      </c>
      <c r="BE271" s="97" t="str">
        <f>IFERROR(__xludf.DUMMYFUNCTION("""COMPUTED_VALUE"""),"Sin Ficha")</f>
        <v>Sin Ficha</v>
      </c>
      <c r="BF271" s="97"/>
      <c r="BG271" s="97" t="str">
        <f>IFERROR(__xludf.DUMMYFUNCTION("""COMPUTED_VALUE"""),"Discontinuo")</f>
        <v>Discontinuo</v>
      </c>
    </row>
    <row r="272">
      <c r="A272" s="97">
        <f>IFERROR(__xludf.DUMMYFUNCTION("""COMPUTED_VALUE"""),4101.0)</f>
        <v>4101</v>
      </c>
      <c r="B272" s="97" t="str">
        <f>IFERROR(__xludf.DUMMYFUNCTION("""COMPUTED_VALUE"""),"AGATON")</f>
        <v>AGATON</v>
      </c>
      <c r="C272" s="97" t="str">
        <f>IFERROR(__xludf.DUMMYFUNCTION("""COMPUTED_VALUE"""),"COLGANTE AGATON LEUK")</f>
        <v>COLGANTE AGATON LEUK</v>
      </c>
      <c r="D272" s="97">
        <f>IFERROR(__xludf.DUMMYFUNCTION("""COMPUTED_VALUE"""),7.798328759252E12)</f>
        <v>7798328759252</v>
      </c>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t="str">
        <f>IFERROR(__xludf.DUMMYFUNCTION("""COMPUTED_VALUE"""),"IP20")</f>
        <v>IP20</v>
      </c>
      <c r="AE272" s="97"/>
      <c r="AF272" s="97" t="str">
        <f>IFERROR(__xludf.DUMMYFUNCTION("""COMPUTED_VALUE"""),"Suspender")</f>
        <v>Suspender</v>
      </c>
      <c r="AG272" s="97"/>
      <c r="AH272" s="97"/>
      <c r="AI272" s="97"/>
      <c r="AJ272" s="97"/>
      <c r="AK272" s="97"/>
      <c r="AL272" s="97"/>
      <c r="AM272" s="97"/>
      <c r="AN272" s="97"/>
      <c r="AO272" s="97" t="str">
        <f>IFERROR(__xludf.DUMMYFUNCTION("""COMPUTED_VALUE"""),"1 Año")</f>
        <v>1 Año</v>
      </c>
      <c r="AP272" s="97"/>
      <c r="AQ272" s="97"/>
      <c r="AR272" s="97"/>
      <c r="AS272" s="97"/>
      <c r="AT272" s="97"/>
      <c r="AU272" s="97"/>
      <c r="AV272" s="97" t="str">
        <f>IFERROR(__xludf.DUMMYFUNCTION("""COMPUTED_VALUE"""),"Colgante")</f>
        <v>Colgante</v>
      </c>
      <c r="AW272" s="97" t="str">
        <f>IFERROR(__xludf.DUMMYFUNCTION("""COMPUTED_VALUE"""),"De Techo")</f>
        <v>De Techo</v>
      </c>
      <c r="AX272" s="97" t="str">
        <f>IFERROR(__xludf.DUMMYFUNCTION("""COMPUTED_VALUE"""),"Interior")</f>
        <v>Interior</v>
      </c>
      <c r="AY272" s="97"/>
      <c r="AZ272" s="97"/>
      <c r="BA272" s="97"/>
      <c r="BB272" s="97"/>
      <c r="BC272" s="97"/>
      <c r="BD272" s="97" t="str">
        <f>IFERROR(__xludf.DUMMYFUNCTION("""COMPUTED_VALUE"""),"AGATON")</f>
        <v>AGATON</v>
      </c>
      <c r="BE272" s="97" t="str">
        <f>IFERROR(__xludf.DUMMYFUNCTION("""COMPUTED_VALUE"""),"Sin Ficha")</f>
        <v>Sin Ficha</v>
      </c>
      <c r="BF272" s="97"/>
      <c r="BG272" s="97" t="str">
        <f>IFERROR(__xludf.DUMMYFUNCTION("""COMPUTED_VALUE"""),"Discontinuo")</f>
        <v>Discontinuo</v>
      </c>
    </row>
    <row r="273">
      <c r="A273" s="97">
        <f>IFERROR(__xludf.DUMMYFUNCTION("""COMPUTED_VALUE"""),4102.0)</f>
        <v>4102</v>
      </c>
      <c r="B273" s="97" t="str">
        <f>IFERROR(__xludf.DUMMYFUNCTION("""COMPUTED_VALUE"""),"CHARITO")</f>
        <v>CHARITO</v>
      </c>
      <c r="C273" s="97" t="str">
        <f>IFERROR(__xludf.DUMMYFUNCTION("""COMPUTED_VALUE"""),"COLGANTE CHARITO LEUK")</f>
        <v>COLGANTE CHARITO LEUK</v>
      </c>
      <c r="D273" s="97">
        <f>IFERROR(__xludf.DUMMYFUNCTION("""COMPUTED_VALUE"""),7.798328758897E12)</f>
        <v>7798328758897</v>
      </c>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t="str">
        <f>IFERROR(__xludf.DUMMYFUNCTION("""COMPUTED_VALUE"""),"IP20")</f>
        <v>IP20</v>
      </c>
      <c r="AE273" s="97"/>
      <c r="AF273" s="97" t="str">
        <f>IFERROR(__xludf.DUMMYFUNCTION("""COMPUTED_VALUE"""),"Suspender")</f>
        <v>Suspender</v>
      </c>
      <c r="AG273" s="97"/>
      <c r="AH273" s="97"/>
      <c r="AI273" s="97"/>
      <c r="AJ273" s="97"/>
      <c r="AK273" s="97"/>
      <c r="AL273" s="97"/>
      <c r="AM273" s="97"/>
      <c r="AN273" s="97"/>
      <c r="AO273" s="97" t="str">
        <f>IFERROR(__xludf.DUMMYFUNCTION("""COMPUTED_VALUE"""),"1 Año")</f>
        <v>1 Año</v>
      </c>
      <c r="AP273" s="97"/>
      <c r="AQ273" s="97"/>
      <c r="AR273" s="97"/>
      <c r="AS273" s="97"/>
      <c r="AT273" s="97"/>
      <c r="AU273" s="97"/>
      <c r="AV273" s="97" t="str">
        <f>IFERROR(__xludf.DUMMYFUNCTION("""COMPUTED_VALUE"""),"Colgante")</f>
        <v>Colgante</v>
      </c>
      <c r="AW273" s="97" t="str">
        <f>IFERROR(__xludf.DUMMYFUNCTION("""COMPUTED_VALUE"""),"De Techo")</f>
        <v>De Techo</v>
      </c>
      <c r="AX273" s="97" t="str">
        <f>IFERROR(__xludf.DUMMYFUNCTION("""COMPUTED_VALUE"""),"Interior")</f>
        <v>Interior</v>
      </c>
      <c r="AY273" s="97"/>
      <c r="AZ273" s="97"/>
      <c r="BA273" s="97"/>
      <c r="BB273" s="97"/>
      <c r="BC273" s="97"/>
      <c r="BD273" s="97" t="str">
        <f>IFERROR(__xludf.DUMMYFUNCTION("""COMPUTED_VALUE"""),"CHARITO")</f>
        <v>CHARITO</v>
      </c>
      <c r="BE273" s="97" t="str">
        <f>IFERROR(__xludf.DUMMYFUNCTION("""COMPUTED_VALUE"""),"Sin Ficha")</f>
        <v>Sin Ficha</v>
      </c>
      <c r="BF273" s="97"/>
      <c r="BG273" s="97" t="str">
        <f>IFERROR(__xludf.DUMMYFUNCTION("""COMPUTED_VALUE"""),"Discontinuo")</f>
        <v>Discontinuo</v>
      </c>
    </row>
    <row r="274">
      <c r="A274" s="97">
        <f>IFERROR(__xludf.DUMMYFUNCTION("""COMPUTED_VALUE"""),4103.0)</f>
        <v>4103</v>
      </c>
      <c r="B274" s="97" t="str">
        <f>IFERROR(__xludf.DUMMYFUNCTION("""COMPUTED_VALUE"""),"SYRMA")</f>
        <v>SYRMA</v>
      </c>
      <c r="C274" s="97" t="str">
        <f>IFERROR(__xludf.DUMMYFUNCTION("""COMPUTED_VALUE"""),"COLGANTE SYRMA LEUK")</f>
        <v>COLGANTE SYRMA LEUK</v>
      </c>
      <c r="D274" s="97">
        <f>IFERROR(__xludf.DUMMYFUNCTION("""COMPUTED_VALUE"""),7.798328758903E12)</f>
        <v>7798328758903</v>
      </c>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t="str">
        <f>IFERROR(__xludf.DUMMYFUNCTION("""COMPUTED_VALUE"""),"IP20")</f>
        <v>IP20</v>
      </c>
      <c r="AE274" s="97"/>
      <c r="AF274" s="97" t="str">
        <f>IFERROR(__xludf.DUMMYFUNCTION("""COMPUTED_VALUE"""),"Suspender")</f>
        <v>Suspender</v>
      </c>
      <c r="AG274" s="97"/>
      <c r="AH274" s="97"/>
      <c r="AI274" s="97"/>
      <c r="AJ274" s="97"/>
      <c r="AK274" s="97"/>
      <c r="AL274" s="97"/>
      <c r="AM274" s="97"/>
      <c r="AN274" s="97"/>
      <c r="AO274" s="97" t="str">
        <f>IFERROR(__xludf.DUMMYFUNCTION("""COMPUTED_VALUE"""),"1 Año")</f>
        <v>1 Año</v>
      </c>
      <c r="AP274" s="97"/>
      <c r="AQ274" s="97"/>
      <c r="AR274" s="97"/>
      <c r="AS274" s="97"/>
      <c r="AT274" s="97"/>
      <c r="AU274" s="97"/>
      <c r="AV274" s="97" t="str">
        <f>IFERROR(__xludf.DUMMYFUNCTION("""COMPUTED_VALUE"""),"Colgante")</f>
        <v>Colgante</v>
      </c>
      <c r="AW274" s="97" t="str">
        <f>IFERROR(__xludf.DUMMYFUNCTION("""COMPUTED_VALUE"""),"De Techo")</f>
        <v>De Techo</v>
      </c>
      <c r="AX274" s="97" t="str">
        <f>IFERROR(__xludf.DUMMYFUNCTION("""COMPUTED_VALUE"""),"Interior")</f>
        <v>Interior</v>
      </c>
      <c r="AY274" s="97"/>
      <c r="AZ274" s="97"/>
      <c r="BA274" s="97"/>
      <c r="BB274" s="97"/>
      <c r="BC274" s="97"/>
      <c r="BD274" s="97" t="str">
        <f>IFERROR(__xludf.DUMMYFUNCTION("""COMPUTED_VALUE"""),"SYRMA")</f>
        <v>SYRMA</v>
      </c>
      <c r="BE274" s="97" t="str">
        <f>IFERROR(__xludf.DUMMYFUNCTION("""COMPUTED_VALUE"""),"Sin Ficha")</f>
        <v>Sin Ficha</v>
      </c>
      <c r="BF274" s="97"/>
      <c r="BG274" s="97" t="str">
        <f>IFERROR(__xludf.DUMMYFUNCTION("""COMPUTED_VALUE"""),"Discontinuo")</f>
        <v>Discontinuo</v>
      </c>
    </row>
    <row r="275">
      <c r="A275" s="97">
        <f>IFERROR(__xludf.DUMMYFUNCTION("""COMPUTED_VALUE"""),4104.0)</f>
        <v>4104</v>
      </c>
      <c r="B275" s="97" t="str">
        <f>IFERROR(__xludf.DUMMYFUNCTION("""COMPUTED_VALUE"""),"NIMA")</f>
        <v>NIMA</v>
      </c>
      <c r="C275" s="97" t="str">
        <f>IFERROR(__xludf.DUMMYFUNCTION("""COMPUTED_VALUE"""),"COLGANTE NIMA NARANJA LEUK")</f>
        <v>COLGANTE NIMA NARANJA LEUK</v>
      </c>
      <c r="D275" s="97">
        <f>IFERROR(__xludf.DUMMYFUNCTION("""COMPUTED_VALUE"""),7.79832875891E12)</f>
        <v>7798328758910</v>
      </c>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t="str">
        <f>IFERROR(__xludf.DUMMYFUNCTION("""COMPUTED_VALUE"""),"IP20")</f>
        <v>IP20</v>
      </c>
      <c r="AE275" s="97"/>
      <c r="AF275" s="97" t="str">
        <f>IFERROR(__xludf.DUMMYFUNCTION("""COMPUTED_VALUE"""),"Suspender")</f>
        <v>Suspender</v>
      </c>
      <c r="AG275" s="97"/>
      <c r="AH275" s="97"/>
      <c r="AI275" s="97"/>
      <c r="AJ275" s="97"/>
      <c r="AK275" s="97"/>
      <c r="AL275" s="97"/>
      <c r="AM275" s="97"/>
      <c r="AN275" s="97"/>
      <c r="AO275" s="97" t="str">
        <f>IFERROR(__xludf.DUMMYFUNCTION("""COMPUTED_VALUE"""),"1 Año")</f>
        <v>1 Año</v>
      </c>
      <c r="AP275" s="97"/>
      <c r="AQ275" s="97"/>
      <c r="AR275" s="97"/>
      <c r="AS275" s="97"/>
      <c r="AT275" s="97"/>
      <c r="AU275" s="97"/>
      <c r="AV275" s="97" t="str">
        <f>IFERROR(__xludf.DUMMYFUNCTION("""COMPUTED_VALUE"""),"Colgante")</f>
        <v>Colgante</v>
      </c>
      <c r="AW275" s="97" t="str">
        <f>IFERROR(__xludf.DUMMYFUNCTION("""COMPUTED_VALUE"""),"De Techo")</f>
        <v>De Techo</v>
      </c>
      <c r="AX275" s="97" t="str">
        <f>IFERROR(__xludf.DUMMYFUNCTION("""COMPUTED_VALUE"""),"Interior")</f>
        <v>Interior</v>
      </c>
      <c r="AY275" s="97"/>
      <c r="AZ275" s="97"/>
      <c r="BA275" s="97"/>
      <c r="BB275" s="97"/>
      <c r="BC275" s="97"/>
      <c r="BD275" s="97" t="str">
        <f>IFERROR(__xludf.DUMMYFUNCTION("""COMPUTED_VALUE"""),"NIMA")</f>
        <v>NIMA</v>
      </c>
      <c r="BE275" s="97" t="str">
        <f>IFERROR(__xludf.DUMMYFUNCTION("""COMPUTED_VALUE"""),"Sin Ficha")</f>
        <v>Sin Ficha</v>
      </c>
      <c r="BF275" s="97"/>
      <c r="BG275" s="97" t="str">
        <f>IFERROR(__xludf.DUMMYFUNCTION("""COMPUTED_VALUE"""),"Discontinuo")</f>
        <v>Discontinuo</v>
      </c>
    </row>
    <row r="276">
      <c r="A276" s="97">
        <f>IFERROR(__xludf.DUMMYFUNCTION("""COMPUTED_VALUE"""),4105.0)</f>
        <v>4105</v>
      </c>
      <c r="B276" s="97" t="str">
        <f>IFERROR(__xludf.DUMMYFUNCTION("""COMPUTED_VALUE"""),"NIMA")</f>
        <v>NIMA</v>
      </c>
      <c r="C276" s="97" t="str">
        <f>IFERROR(__xludf.DUMMYFUNCTION("""COMPUTED_VALUE"""),"COLGANTE NIMA NEGRO LEUK")</f>
        <v>COLGANTE NIMA NEGRO LEUK</v>
      </c>
      <c r="D276" s="97">
        <f>IFERROR(__xludf.DUMMYFUNCTION("""COMPUTED_VALUE"""),7.798328758927E12)</f>
        <v>7798328758927</v>
      </c>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t="str">
        <f>IFERROR(__xludf.DUMMYFUNCTION("""COMPUTED_VALUE"""),"IP20")</f>
        <v>IP20</v>
      </c>
      <c r="AE276" s="97"/>
      <c r="AF276" s="97" t="str">
        <f>IFERROR(__xludf.DUMMYFUNCTION("""COMPUTED_VALUE"""),"Suspender")</f>
        <v>Suspender</v>
      </c>
      <c r="AG276" s="97"/>
      <c r="AH276" s="97"/>
      <c r="AI276" s="97"/>
      <c r="AJ276" s="97"/>
      <c r="AK276" s="97"/>
      <c r="AL276" s="97"/>
      <c r="AM276" s="97"/>
      <c r="AN276" s="97"/>
      <c r="AO276" s="97" t="str">
        <f>IFERROR(__xludf.DUMMYFUNCTION("""COMPUTED_VALUE"""),"1 Año")</f>
        <v>1 Año</v>
      </c>
      <c r="AP276" s="97"/>
      <c r="AQ276" s="97"/>
      <c r="AR276" s="97"/>
      <c r="AS276" s="97"/>
      <c r="AT276" s="97"/>
      <c r="AU276" s="97"/>
      <c r="AV276" s="97" t="str">
        <f>IFERROR(__xludf.DUMMYFUNCTION("""COMPUTED_VALUE"""),"Colgante")</f>
        <v>Colgante</v>
      </c>
      <c r="AW276" s="97" t="str">
        <f>IFERROR(__xludf.DUMMYFUNCTION("""COMPUTED_VALUE"""),"De Techo")</f>
        <v>De Techo</v>
      </c>
      <c r="AX276" s="97" t="str">
        <f>IFERROR(__xludf.DUMMYFUNCTION("""COMPUTED_VALUE"""),"Interior")</f>
        <v>Interior</v>
      </c>
      <c r="AY276" s="97"/>
      <c r="AZ276" s="97"/>
      <c r="BA276" s="97"/>
      <c r="BB276" s="97"/>
      <c r="BC276" s="97"/>
      <c r="BD276" s="97" t="str">
        <f>IFERROR(__xludf.DUMMYFUNCTION("""COMPUTED_VALUE"""),"NIMA")</f>
        <v>NIMA</v>
      </c>
      <c r="BE276" s="97" t="str">
        <f>IFERROR(__xludf.DUMMYFUNCTION("""COMPUTED_VALUE"""),"Sin Ficha")</f>
        <v>Sin Ficha</v>
      </c>
      <c r="BF276" s="97"/>
      <c r="BG276" s="97" t="str">
        <f>IFERROR(__xludf.DUMMYFUNCTION("""COMPUTED_VALUE"""),"Discontinuo")</f>
        <v>Discontinuo</v>
      </c>
    </row>
    <row r="277">
      <c r="A277" s="97">
        <f>IFERROR(__xludf.DUMMYFUNCTION("""COMPUTED_VALUE"""),4106.0)</f>
        <v>4106</v>
      </c>
      <c r="B277" s="97" t="str">
        <f>IFERROR(__xludf.DUMMYFUNCTION("""COMPUTED_VALUE"""),"ION TR")</f>
        <v>ION TR</v>
      </c>
      <c r="C277" s="97" t="str">
        <f>IFERROR(__xludf.DUMMYFUNCTION("""COMPUTED_VALUE"""),"COLGANTE ION TR LEUK")</f>
        <v>COLGANTE ION TR LEUK</v>
      </c>
      <c r="D277" s="97">
        <f>IFERROR(__xludf.DUMMYFUNCTION("""COMPUTED_VALUE"""),7.798328758934E12)</f>
        <v>7798328758934</v>
      </c>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t="str">
        <f>IFERROR(__xludf.DUMMYFUNCTION("""COMPUTED_VALUE"""),"IP20")</f>
        <v>IP20</v>
      </c>
      <c r="AE277" s="97"/>
      <c r="AF277" s="97" t="str">
        <f>IFERROR(__xludf.DUMMYFUNCTION("""COMPUTED_VALUE"""),"Suspender")</f>
        <v>Suspender</v>
      </c>
      <c r="AG277" s="97"/>
      <c r="AH277" s="97"/>
      <c r="AI277" s="97"/>
      <c r="AJ277" s="97"/>
      <c r="AK277" s="97"/>
      <c r="AL277" s="97"/>
      <c r="AM277" s="97"/>
      <c r="AN277" s="97"/>
      <c r="AO277" s="97" t="str">
        <f>IFERROR(__xludf.DUMMYFUNCTION("""COMPUTED_VALUE"""),"1 Año")</f>
        <v>1 Año</v>
      </c>
      <c r="AP277" s="97"/>
      <c r="AQ277" s="97"/>
      <c r="AR277" s="97"/>
      <c r="AS277" s="97"/>
      <c r="AT277" s="97"/>
      <c r="AU277" s="97"/>
      <c r="AV277" s="97" t="str">
        <f>IFERROR(__xludf.DUMMYFUNCTION("""COMPUTED_VALUE"""),"Colgante")</f>
        <v>Colgante</v>
      </c>
      <c r="AW277" s="97" t="str">
        <f>IFERROR(__xludf.DUMMYFUNCTION("""COMPUTED_VALUE"""),"De Techo")</f>
        <v>De Techo</v>
      </c>
      <c r="AX277" s="97" t="str">
        <f>IFERROR(__xludf.DUMMYFUNCTION("""COMPUTED_VALUE"""),"Interior")</f>
        <v>Interior</v>
      </c>
      <c r="AY277" s="97"/>
      <c r="AZ277" s="97"/>
      <c r="BA277" s="97"/>
      <c r="BB277" s="97"/>
      <c r="BC277" s="97"/>
      <c r="BD277" s="97" t="str">
        <f>IFERROR(__xludf.DUMMYFUNCTION("""COMPUTED_VALUE"""),"ION")</f>
        <v>ION</v>
      </c>
      <c r="BE277" s="97" t="str">
        <f>IFERROR(__xludf.DUMMYFUNCTION("""COMPUTED_VALUE"""),"Sin Ficha")</f>
        <v>Sin Ficha</v>
      </c>
      <c r="BF277" s="97"/>
      <c r="BG277" s="97" t="str">
        <f>IFERROR(__xludf.DUMMYFUNCTION("""COMPUTED_VALUE"""),"Discontinuo")</f>
        <v>Discontinuo</v>
      </c>
    </row>
    <row r="278">
      <c r="A278" s="97">
        <f>IFERROR(__xludf.DUMMYFUNCTION("""COMPUTED_VALUE"""),4107.0)</f>
        <v>4107</v>
      </c>
      <c r="B278" s="97" t="str">
        <f>IFERROR(__xludf.DUMMYFUNCTION("""COMPUTED_VALUE"""),"ION GR")</f>
        <v>ION GR</v>
      </c>
      <c r="C278" s="97" t="str">
        <f>IFERROR(__xludf.DUMMYFUNCTION("""COMPUTED_VALUE"""),"COLGANTE ION GRIS LEUK")</f>
        <v>COLGANTE ION GRIS LEUK</v>
      </c>
      <c r="D278" s="97">
        <f>IFERROR(__xludf.DUMMYFUNCTION("""COMPUTED_VALUE"""),7.798328758941E12)</f>
        <v>7798328758941</v>
      </c>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t="str">
        <f>IFERROR(__xludf.DUMMYFUNCTION("""COMPUTED_VALUE"""),"IP20")</f>
        <v>IP20</v>
      </c>
      <c r="AE278" s="97"/>
      <c r="AF278" s="97" t="str">
        <f>IFERROR(__xludf.DUMMYFUNCTION("""COMPUTED_VALUE"""),"Suspender")</f>
        <v>Suspender</v>
      </c>
      <c r="AG278" s="97"/>
      <c r="AH278" s="97"/>
      <c r="AI278" s="97"/>
      <c r="AJ278" s="97"/>
      <c r="AK278" s="97"/>
      <c r="AL278" s="97"/>
      <c r="AM278" s="97"/>
      <c r="AN278" s="97"/>
      <c r="AO278" s="97" t="str">
        <f>IFERROR(__xludf.DUMMYFUNCTION("""COMPUTED_VALUE"""),"1 Año")</f>
        <v>1 Año</v>
      </c>
      <c r="AP278" s="97"/>
      <c r="AQ278" s="97"/>
      <c r="AR278" s="97"/>
      <c r="AS278" s="97"/>
      <c r="AT278" s="97"/>
      <c r="AU278" s="97"/>
      <c r="AV278" s="97" t="str">
        <f>IFERROR(__xludf.DUMMYFUNCTION("""COMPUTED_VALUE"""),"Colgante")</f>
        <v>Colgante</v>
      </c>
      <c r="AW278" s="97" t="str">
        <f>IFERROR(__xludf.DUMMYFUNCTION("""COMPUTED_VALUE"""),"De Techo")</f>
        <v>De Techo</v>
      </c>
      <c r="AX278" s="97" t="str">
        <f>IFERROR(__xludf.DUMMYFUNCTION("""COMPUTED_VALUE"""),"Interior")</f>
        <v>Interior</v>
      </c>
      <c r="AY278" s="97"/>
      <c r="AZ278" s="97"/>
      <c r="BA278" s="97"/>
      <c r="BB278" s="97"/>
      <c r="BC278" s="97"/>
      <c r="BD278" s="97" t="str">
        <f>IFERROR(__xludf.DUMMYFUNCTION("""COMPUTED_VALUE"""),"ION")</f>
        <v>ION</v>
      </c>
      <c r="BE278" s="97" t="str">
        <f>IFERROR(__xludf.DUMMYFUNCTION("""COMPUTED_VALUE"""),"Sin Ficha")</f>
        <v>Sin Ficha</v>
      </c>
      <c r="BF278" s="97"/>
      <c r="BG278" s="97" t="str">
        <f>IFERROR(__xludf.DUMMYFUNCTION("""COMPUTED_VALUE"""),"Discontinuo")</f>
        <v>Discontinuo</v>
      </c>
    </row>
    <row r="279">
      <c r="A279" s="97">
        <f>IFERROR(__xludf.DUMMYFUNCTION("""COMPUTED_VALUE"""),4108.0)</f>
        <v>4108</v>
      </c>
      <c r="B279" s="97" t="str">
        <f>IFERROR(__xludf.DUMMYFUNCTION("""COMPUTED_VALUE"""),"ION AZ")</f>
        <v>ION AZ</v>
      </c>
      <c r="C279" s="97" t="str">
        <f>IFERROR(__xludf.DUMMYFUNCTION("""COMPUTED_VALUE"""),"COLGANTE ION AZUL LEUK")</f>
        <v>COLGANTE ION AZUL LEUK</v>
      </c>
      <c r="D279" s="97">
        <f>IFERROR(__xludf.DUMMYFUNCTION("""COMPUTED_VALUE"""),7.798328758958E12)</f>
        <v>7798328758958</v>
      </c>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t="str">
        <f>IFERROR(__xludf.DUMMYFUNCTION("""COMPUTED_VALUE"""),"IP20")</f>
        <v>IP20</v>
      </c>
      <c r="AE279" s="97"/>
      <c r="AF279" s="97" t="str">
        <f>IFERROR(__xludf.DUMMYFUNCTION("""COMPUTED_VALUE"""),"Suspender")</f>
        <v>Suspender</v>
      </c>
      <c r="AG279" s="97"/>
      <c r="AH279" s="97"/>
      <c r="AI279" s="97"/>
      <c r="AJ279" s="97"/>
      <c r="AK279" s="97"/>
      <c r="AL279" s="97"/>
      <c r="AM279" s="97"/>
      <c r="AN279" s="97"/>
      <c r="AO279" s="97" t="str">
        <f>IFERROR(__xludf.DUMMYFUNCTION("""COMPUTED_VALUE"""),"1 Año")</f>
        <v>1 Año</v>
      </c>
      <c r="AP279" s="97"/>
      <c r="AQ279" s="97"/>
      <c r="AR279" s="97"/>
      <c r="AS279" s="97"/>
      <c r="AT279" s="97"/>
      <c r="AU279" s="97"/>
      <c r="AV279" s="97" t="str">
        <f>IFERROR(__xludf.DUMMYFUNCTION("""COMPUTED_VALUE"""),"Colgante")</f>
        <v>Colgante</v>
      </c>
      <c r="AW279" s="97" t="str">
        <f>IFERROR(__xludf.DUMMYFUNCTION("""COMPUTED_VALUE"""),"De Techo")</f>
        <v>De Techo</v>
      </c>
      <c r="AX279" s="97" t="str">
        <f>IFERROR(__xludf.DUMMYFUNCTION("""COMPUTED_VALUE"""),"Interior")</f>
        <v>Interior</v>
      </c>
      <c r="AY279" s="97"/>
      <c r="AZ279" s="97"/>
      <c r="BA279" s="97"/>
      <c r="BB279" s="97"/>
      <c r="BC279" s="97"/>
      <c r="BD279" s="97" t="str">
        <f>IFERROR(__xludf.DUMMYFUNCTION("""COMPUTED_VALUE"""),"ION")</f>
        <v>ION</v>
      </c>
      <c r="BE279" s="97" t="str">
        <f>IFERROR(__xludf.DUMMYFUNCTION("""COMPUTED_VALUE"""),"Sin Ficha")</f>
        <v>Sin Ficha</v>
      </c>
      <c r="BF279" s="97"/>
      <c r="BG279" s="97" t="str">
        <f>IFERROR(__xludf.DUMMYFUNCTION("""COMPUTED_VALUE"""),"Discontinuo")</f>
        <v>Discontinuo</v>
      </c>
    </row>
    <row r="280">
      <c r="A280" s="97">
        <f>IFERROR(__xludf.DUMMYFUNCTION("""COMPUTED_VALUE"""),4109.0)</f>
        <v>4109</v>
      </c>
      <c r="B280" s="97" t="str">
        <f>IFERROR(__xludf.DUMMYFUNCTION("""COMPUTED_VALUE"""),"ION NJ")</f>
        <v>ION NJ</v>
      </c>
      <c r="C280" s="97" t="str">
        <f>IFERROR(__xludf.DUMMYFUNCTION("""COMPUTED_VALUE"""),"COLGANTE ION NARANJA LEUK")</f>
        <v>COLGANTE ION NARANJA LEUK</v>
      </c>
      <c r="D280" s="97">
        <f>IFERROR(__xludf.DUMMYFUNCTION("""COMPUTED_VALUE"""),7.798328758965E12)</f>
        <v>7798328758965</v>
      </c>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t="str">
        <f>IFERROR(__xludf.DUMMYFUNCTION("""COMPUTED_VALUE"""),"IP20")</f>
        <v>IP20</v>
      </c>
      <c r="AE280" s="97"/>
      <c r="AF280" s="97" t="str">
        <f>IFERROR(__xludf.DUMMYFUNCTION("""COMPUTED_VALUE"""),"Suspender")</f>
        <v>Suspender</v>
      </c>
      <c r="AG280" s="97"/>
      <c r="AH280" s="97"/>
      <c r="AI280" s="97"/>
      <c r="AJ280" s="97"/>
      <c r="AK280" s="97"/>
      <c r="AL280" s="97"/>
      <c r="AM280" s="97"/>
      <c r="AN280" s="97"/>
      <c r="AO280" s="97" t="str">
        <f>IFERROR(__xludf.DUMMYFUNCTION("""COMPUTED_VALUE"""),"1 Año")</f>
        <v>1 Año</v>
      </c>
      <c r="AP280" s="97"/>
      <c r="AQ280" s="97"/>
      <c r="AR280" s="97"/>
      <c r="AS280" s="97"/>
      <c r="AT280" s="97"/>
      <c r="AU280" s="97"/>
      <c r="AV280" s="97" t="str">
        <f>IFERROR(__xludf.DUMMYFUNCTION("""COMPUTED_VALUE"""),"Colgante")</f>
        <v>Colgante</v>
      </c>
      <c r="AW280" s="97" t="str">
        <f>IFERROR(__xludf.DUMMYFUNCTION("""COMPUTED_VALUE"""),"De Techo")</f>
        <v>De Techo</v>
      </c>
      <c r="AX280" s="97" t="str">
        <f>IFERROR(__xludf.DUMMYFUNCTION("""COMPUTED_VALUE"""),"Interior")</f>
        <v>Interior</v>
      </c>
      <c r="AY280" s="97"/>
      <c r="AZ280" s="97"/>
      <c r="BA280" s="97"/>
      <c r="BB280" s="97"/>
      <c r="BC280" s="97"/>
      <c r="BD280" s="97" t="str">
        <f>IFERROR(__xludf.DUMMYFUNCTION("""COMPUTED_VALUE"""),"ION")</f>
        <v>ION</v>
      </c>
      <c r="BE280" s="97" t="str">
        <f>IFERROR(__xludf.DUMMYFUNCTION("""COMPUTED_VALUE"""),"Sin Ficha")</f>
        <v>Sin Ficha</v>
      </c>
      <c r="BF280" s="97"/>
      <c r="BG280" s="97" t="str">
        <f>IFERROR(__xludf.DUMMYFUNCTION("""COMPUTED_VALUE"""),"Discontinuo")</f>
        <v>Discontinuo</v>
      </c>
    </row>
    <row r="281">
      <c r="A281" s="97">
        <f>IFERROR(__xludf.DUMMYFUNCTION("""COMPUTED_VALUE"""),4110.0)</f>
        <v>4110</v>
      </c>
      <c r="B281" s="97" t="str">
        <f>IFERROR(__xludf.DUMMYFUNCTION("""COMPUTED_VALUE"""),"GEROS")</f>
        <v>GEROS</v>
      </c>
      <c r="C281" s="97" t="str">
        <f>IFERROR(__xludf.DUMMYFUNCTION("""COMPUTED_VALUE"""),"COLGANTE GEROS LEUK")</f>
        <v>COLGANTE GEROS LEUK</v>
      </c>
      <c r="D281" s="97">
        <f>IFERROR(__xludf.DUMMYFUNCTION("""COMPUTED_VALUE"""),7.798328758972E12)</f>
        <v>7798328758972</v>
      </c>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t="str">
        <f>IFERROR(__xludf.DUMMYFUNCTION("""COMPUTED_VALUE"""),"IP20")</f>
        <v>IP20</v>
      </c>
      <c r="AE281" s="97"/>
      <c r="AF281" s="97" t="str">
        <f>IFERROR(__xludf.DUMMYFUNCTION("""COMPUTED_VALUE"""),"Suspender")</f>
        <v>Suspender</v>
      </c>
      <c r="AG281" s="97"/>
      <c r="AH281" s="97"/>
      <c r="AI281" s="97"/>
      <c r="AJ281" s="97"/>
      <c r="AK281" s="97"/>
      <c r="AL281" s="97"/>
      <c r="AM281" s="97"/>
      <c r="AN281" s="97"/>
      <c r="AO281" s="97" t="str">
        <f>IFERROR(__xludf.DUMMYFUNCTION("""COMPUTED_VALUE"""),"1 Año")</f>
        <v>1 Año</v>
      </c>
      <c r="AP281" s="97"/>
      <c r="AQ281" s="97"/>
      <c r="AR281" s="97"/>
      <c r="AS281" s="97"/>
      <c r="AT281" s="97"/>
      <c r="AU281" s="97"/>
      <c r="AV281" s="97" t="str">
        <f>IFERROR(__xludf.DUMMYFUNCTION("""COMPUTED_VALUE"""),"Colgante")</f>
        <v>Colgante</v>
      </c>
      <c r="AW281" s="97" t="str">
        <f>IFERROR(__xludf.DUMMYFUNCTION("""COMPUTED_VALUE"""),"De Techo")</f>
        <v>De Techo</v>
      </c>
      <c r="AX281" s="97" t="str">
        <f>IFERROR(__xludf.DUMMYFUNCTION("""COMPUTED_VALUE"""),"Interior")</f>
        <v>Interior</v>
      </c>
      <c r="AY281" s="97"/>
      <c r="AZ281" s="97"/>
      <c r="BA281" s="97"/>
      <c r="BB281" s="97"/>
      <c r="BC281" s="97"/>
      <c r="BD281" s="97" t="str">
        <f>IFERROR(__xludf.DUMMYFUNCTION("""COMPUTED_VALUE"""),"GEROS")</f>
        <v>GEROS</v>
      </c>
      <c r="BE281" s="97" t="str">
        <f>IFERROR(__xludf.DUMMYFUNCTION("""COMPUTED_VALUE"""),"Sin Ficha")</f>
        <v>Sin Ficha</v>
      </c>
      <c r="BF281" s="97"/>
      <c r="BG281" s="97" t="str">
        <f>IFERROR(__xludf.DUMMYFUNCTION("""COMPUTED_VALUE"""),"Discontinuo")</f>
        <v>Discontinuo</v>
      </c>
    </row>
    <row r="282">
      <c r="A282" s="97">
        <f>IFERROR(__xludf.DUMMYFUNCTION("""COMPUTED_VALUE"""),4111.0)</f>
        <v>4111</v>
      </c>
      <c r="B282" s="97" t="str">
        <f>IFERROR(__xludf.DUMMYFUNCTION("""COMPUTED_VALUE"""),"MIKRO TR")</f>
        <v>MIKRO TR</v>
      </c>
      <c r="C282" s="97" t="str">
        <f>IFERROR(__xludf.DUMMYFUNCTION("""COMPUTED_VALUE"""),"COLGANTE MIKRO TR LEUK")</f>
        <v>COLGANTE MIKRO TR LEUK</v>
      </c>
      <c r="D282" s="97">
        <f>IFERROR(__xludf.DUMMYFUNCTION("""COMPUTED_VALUE"""),7.798328758989E12)</f>
        <v>7798328758989</v>
      </c>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t="str">
        <f>IFERROR(__xludf.DUMMYFUNCTION("""COMPUTED_VALUE"""),"IP20")</f>
        <v>IP20</v>
      </c>
      <c r="AE282" s="97"/>
      <c r="AF282" s="97" t="str">
        <f>IFERROR(__xludf.DUMMYFUNCTION("""COMPUTED_VALUE"""),"Suspender")</f>
        <v>Suspender</v>
      </c>
      <c r="AG282" s="97"/>
      <c r="AH282" s="97"/>
      <c r="AI282" s="97"/>
      <c r="AJ282" s="97"/>
      <c r="AK282" s="97"/>
      <c r="AL282" s="97"/>
      <c r="AM282" s="97"/>
      <c r="AN282" s="97"/>
      <c r="AO282" s="97" t="str">
        <f>IFERROR(__xludf.DUMMYFUNCTION("""COMPUTED_VALUE"""),"1 Año")</f>
        <v>1 Año</v>
      </c>
      <c r="AP282" s="97"/>
      <c r="AQ282" s="97"/>
      <c r="AR282" s="97"/>
      <c r="AS282" s="97"/>
      <c r="AT282" s="97"/>
      <c r="AU282" s="97"/>
      <c r="AV282" s="97" t="str">
        <f>IFERROR(__xludf.DUMMYFUNCTION("""COMPUTED_VALUE"""),"Colgante")</f>
        <v>Colgante</v>
      </c>
      <c r="AW282" s="97" t="str">
        <f>IFERROR(__xludf.DUMMYFUNCTION("""COMPUTED_VALUE"""),"De Techo")</f>
        <v>De Techo</v>
      </c>
      <c r="AX282" s="97" t="str">
        <f>IFERROR(__xludf.DUMMYFUNCTION("""COMPUTED_VALUE"""),"Interior")</f>
        <v>Interior</v>
      </c>
      <c r="AY282" s="97"/>
      <c r="AZ282" s="97"/>
      <c r="BA282" s="97"/>
      <c r="BB282" s="97"/>
      <c r="BC282" s="97"/>
      <c r="BD282" s="97" t="str">
        <f>IFERROR(__xludf.DUMMYFUNCTION("""COMPUTED_VALUE"""),"MIKRO TR")</f>
        <v>MIKRO TR</v>
      </c>
      <c r="BE282" s="97" t="str">
        <f>IFERROR(__xludf.DUMMYFUNCTION("""COMPUTED_VALUE"""),"Sin Ficha")</f>
        <v>Sin Ficha</v>
      </c>
      <c r="BF282" s="97"/>
      <c r="BG282" s="97" t="str">
        <f>IFERROR(__xludf.DUMMYFUNCTION("""COMPUTED_VALUE"""),"Discontinuo")</f>
        <v>Discontinuo</v>
      </c>
    </row>
    <row r="283">
      <c r="A283" s="97">
        <f>IFERROR(__xludf.DUMMYFUNCTION("""COMPUTED_VALUE"""),4112.0)</f>
        <v>4112</v>
      </c>
      <c r="B283" s="97" t="str">
        <f>IFERROR(__xludf.DUMMYFUNCTION("""COMPUTED_VALUE"""),"MIKRO")</f>
        <v>MIKRO</v>
      </c>
      <c r="C283" s="97" t="str">
        <f>IFERROR(__xludf.DUMMYFUNCTION("""COMPUTED_VALUE"""),"COLGANTE MIKRO AZUL LEUK")</f>
        <v>COLGANTE MIKRO AZUL LEUK</v>
      </c>
      <c r="D283" s="97">
        <f>IFERROR(__xludf.DUMMYFUNCTION("""COMPUTED_VALUE"""),7.798328758996E12)</f>
        <v>7798328758996</v>
      </c>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t="str">
        <f>IFERROR(__xludf.DUMMYFUNCTION("""COMPUTED_VALUE"""),"IP20")</f>
        <v>IP20</v>
      </c>
      <c r="AE283" s="97"/>
      <c r="AF283" s="97" t="str">
        <f>IFERROR(__xludf.DUMMYFUNCTION("""COMPUTED_VALUE"""),"Suspender")</f>
        <v>Suspender</v>
      </c>
      <c r="AG283" s="97"/>
      <c r="AH283" s="97"/>
      <c r="AI283" s="97"/>
      <c r="AJ283" s="97"/>
      <c r="AK283" s="97"/>
      <c r="AL283" s="97"/>
      <c r="AM283" s="97"/>
      <c r="AN283" s="97"/>
      <c r="AO283" s="97" t="str">
        <f>IFERROR(__xludf.DUMMYFUNCTION("""COMPUTED_VALUE"""),"1 Año")</f>
        <v>1 Año</v>
      </c>
      <c r="AP283" s="97"/>
      <c r="AQ283" s="97"/>
      <c r="AR283" s="97"/>
      <c r="AS283" s="97"/>
      <c r="AT283" s="97"/>
      <c r="AU283" s="97"/>
      <c r="AV283" s="97" t="str">
        <f>IFERROR(__xludf.DUMMYFUNCTION("""COMPUTED_VALUE"""),"Colgante")</f>
        <v>Colgante</v>
      </c>
      <c r="AW283" s="97" t="str">
        <f>IFERROR(__xludf.DUMMYFUNCTION("""COMPUTED_VALUE"""),"De Techo")</f>
        <v>De Techo</v>
      </c>
      <c r="AX283" s="97" t="str">
        <f>IFERROR(__xludf.DUMMYFUNCTION("""COMPUTED_VALUE"""),"Interior")</f>
        <v>Interior</v>
      </c>
      <c r="AY283" s="97"/>
      <c r="AZ283" s="97"/>
      <c r="BA283" s="97"/>
      <c r="BB283" s="97"/>
      <c r="BC283" s="97"/>
      <c r="BD283" s="97" t="str">
        <f>IFERROR(__xludf.DUMMYFUNCTION("""COMPUTED_VALUE"""),"MIKRO")</f>
        <v>MIKRO</v>
      </c>
      <c r="BE283" s="97" t="str">
        <f>IFERROR(__xludf.DUMMYFUNCTION("""COMPUTED_VALUE"""),"Sin Ficha")</f>
        <v>Sin Ficha</v>
      </c>
      <c r="BF283" s="97"/>
      <c r="BG283" s="97" t="str">
        <f>IFERROR(__xludf.DUMMYFUNCTION("""COMPUTED_VALUE"""),"Discontinuo")</f>
        <v>Discontinuo</v>
      </c>
    </row>
    <row r="284">
      <c r="A284" s="97">
        <f>IFERROR(__xludf.DUMMYFUNCTION("""COMPUTED_VALUE"""),4113.0)</f>
        <v>4113</v>
      </c>
      <c r="B284" s="97" t="str">
        <f>IFERROR(__xludf.DUMMYFUNCTION("""COMPUTED_VALUE"""),"MIKRO")</f>
        <v>MIKRO</v>
      </c>
      <c r="C284" s="97" t="str">
        <f>IFERROR(__xludf.DUMMYFUNCTION("""COMPUTED_VALUE"""),"COLGANTE MIKRO ROJO LEUK")</f>
        <v>COLGANTE MIKRO ROJO LEUK</v>
      </c>
      <c r="D284" s="97">
        <f>IFERROR(__xludf.DUMMYFUNCTION("""COMPUTED_VALUE"""),7.798328759009E12)</f>
        <v>7798328759009</v>
      </c>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t="str">
        <f>IFERROR(__xludf.DUMMYFUNCTION("""COMPUTED_VALUE"""),"IP20")</f>
        <v>IP20</v>
      </c>
      <c r="AE284" s="97"/>
      <c r="AF284" s="97" t="str">
        <f>IFERROR(__xludf.DUMMYFUNCTION("""COMPUTED_VALUE"""),"Suspender")</f>
        <v>Suspender</v>
      </c>
      <c r="AG284" s="97"/>
      <c r="AH284" s="97"/>
      <c r="AI284" s="97"/>
      <c r="AJ284" s="97"/>
      <c r="AK284" s="97"/>
      <c r="AL284" s="97"/>
      <c r="AM284" s="97"/>
      <c r="AN284" s="97"/>
      <c r="AO284" s="97" t="str">
        <f>IFERROR(__xludf.DUMMYFUNCTION("""COMPUTED_VALUE"""),"1 Año")</f>
        <v>1 Año</v>
      </c>
      <c r="AP284" s="97"/>
      <c r="AQ284" s="97"/>
      <c r="AR284" s="97"/>
      <c r="AS284" s="97"/>
      <c r="AT284" s="97"/>
      <c r="AU284" s="97"/>
      <c r="AV284" s="97" t="str">
        <f>IFERROR(__xludf.DUMMYFUNCTION("""COMPUTED_VALUE"""),"Colgante")</f>
        <v>Colgante</v>
      </c>
      <c r="AW284" s="97" t="str">
        <f>IFERROR(__xludf.DUMMYFUNCTION("""COMPUTED_VALUE"""),"De Techo")</f>
        <v>De Techo</v>
      </c>
      <c r="AX284" s="97" t="str">
        <f>IFERROR(__xludf.DUMMYFUNCTION("""COMPUTED_VALUE"""),"Interior")</f>
        <v>Interior</v>
      </c>
      <c r="AY284" s="97"/>
      <c r="AZ284" s="97"/>
      <c r="BA284" s="97"/>
      <c r="BB284" s="97"/>
      <c r="BC284" s="97"/>
      <c r="BD284" s="97" t="str">
        <f>IFERROR(__xludf.DUMMYFUNCTION("""COMPUTED_VALUE"""),"MIKRO")</f>
        <v>MIKRO</v>
      </c>
      <c r="BE284" s="97" t="str">
        <f>IFERROR(__xludf.DUMMYFUNCTION("""COMPUTED_VALUE"""),"Sin Ficha")</f>
        <v>Sin Ficha</v>
      </c>
      <c r="BF284" s="97"/>
      <c r="BG284" s="97" t="str">
        <f>IFERROR(__xludf.DUMMYFUNCTION("""COMPUTED_VALUE"""),"Discontinuo")</f>
        <v>Discontinuo</v>
      </c>
    </row>
    <row r="285">
      <c r="A285" s="97">
        <f>IFERROR(__xludf.DUMMYFUNCTION("""COMPUTED_VALUE"""),4114.0)</f>
        <v>4114</v>
      </c>
      <c r="B285" s="97" t="str">
        <f>IFERROR(__xludf.DUMMYFUNCTION("""COMPUTED_VALUE"""),"MIKRO")</f>
        <v>MIKRO</v>
      </c>
      <c r="C285" s="97" t="str">
        <f>IFERROR(__xludf.DUMMYFUNCTION("""COMPUTED_VALUE"""),"COLGANTE MIKRO VERDE LEUK")</f>
        <v>COLGANTE MIKRO VERDE LEUK</v>
      </c>
      <c r="D285" s="97">
        <f>IFERROR(__xludf.DUMMYFUNCTION("""COMPUTED_VALUE"""),7.798328759016E12)</f>
        <v>7798328759016</v>
      </c>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t="str">
        <f>IFERROR(__xludf.DUMMYFUNCTION("""COMPUTED_VALUE"""),"IP20")</f>
        <v>IP20</v>
      </c>
      <c r="AE285" s="97"/>
      <c r="AF285" s="97" t="str">
        <f>IFERROR(__xludf.DUMMYFUNCTION("""COMPUTED_VALUE"""),"Suspender")</f>
        <v>Suspender</v>
      </c>
      <c r="AG285" s="97"/>
      <c r="AH285" s="97"/>
      <c r="AI285" s="97"/>
      <c r="AJ285" s="97"/>
      <c r="AK285" s="97"/>
      <c r="AL285" s="97"/>
      <c r="AM285" s="97"/>
      <c r="AN285" s="97"/>
      <c r="AO285" s="97" t="str">
        <f>IFERROR(__xludf.DUMMYFUNCTION("""COMPUTED_VALUE"""),"1 Año")</f>
        <v>1 Año</v>
      </c>
      <c r="AP285" s="97"/>
      <c r="AQ285" s="97"/>
      <c r="AR285" s="97"/>
      <c r="AS285" s="97"/>
      <c r="AT285" s="97"/>
      <c r="AU285" s="97"/>
      <c r="AV285" s="97" t="str">
        <f>IFERROR(__xludf.DUMMYFUNCTION("""COMPUTED_VALUE"""),"Colgante")</f>
        <v>Colgante</v>
      </c>
      <c r="AW285" s="97" t="str">
        <f>IFERROR(__xludf.DUMMYFUNCTION("""COMPUTED_VALUE"""),"De Techo")</f>
        <v>De Techo</v>
      </c>
      <c r="AX285" s="97" t="str">
        <f>IFERROR(__xludf.DUMMYFUNCTION("""COMPUTED_VALUE"""),"Interior")</f>
        <v>Interior</v>
      </c>
      <c r="AY285" s="97"/>
      <c r="AZ285" s="97"/>
      <c r="BA285" s="97"/>
      <c r="BB285" s="97"/>
      <c r="BC285" s="97"/>
      <c r="BD285" s="97" t="str">
        <f>IFERROR(__xludf.DUMMYFUNCTION("""COMPUTED_VALUE"""),"MIKRO")</f>
        <v>MIKRO</v>
      </c>
      <c r="BE285" s="97" t="str">
        <f>IFERROR(__xludf.DUMMYFUNCTION("""COMPUTED_VALUE"""),"Sin Ficha")</f>
        <v>Sin Ficha</v>
      </c>
      <c r="BF285" s="97"/>
      <c r="BG285" s="97" t="str">
        <f>IFERROR(__xludf.DUMMYFUNCTION("""COMPUTED_VALUE"""),"Discontinuo")</f>
        <v>Discontinuo</v>
      </c>
    </row>
    <row r="286">
      <c r="A286" s="97">
        <f>IFERROR(__xludf.DUMMYFUNCTION("""COMPUTED_VALUE"""),4115.0)</f>
        <v>4115</v>
      </c>
      <c r="B286" s="97" t="str">
        <f>IFERROR(__xludf.DUMMYFUNCTION("""COMPUTED_VALUE"""),"MIKRO")</f>
        <v>MIKRO</v>
      </c>
      <c r="C286" s="97" t="str">
        <f>IFERROR(__xludf.DUMMYFUNCTION("""COMPUTED_VALUE"""),"COLGANTE MIKRO NARANJA LEUK")</f>
        <v>COLGANTE MIKRO NARANJA LEUK</v>
      </c>
      <c r="D286" s="97">
        <f>IFERROR(__xludf.DUMMYFUNCTION("""COMPUTED_VALUE"""),7.798328754998E12)</f>
        <v>7798328754998</v>
      </c>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t="str">
        <f>IFERROR(__xludf.DUMMYFUNCTION("""COMPUTED_VALUE"""),"IP20")</f>
        <v>IP20</v>
      </c>
      <c r="AE286" s="97"/>
      <c r="AF286" s="97" t="str">
        <f>IFERROR(__xludf.DUMMYFUNCTION("""COMPUTED_VALUE"""),"Suspender")</f>
        <v>Suspender</v>
      </c>
      <c r="AG286" s="97"/>
      <c r="AH286" s="97"/>
      <c r="AI286" s="97"/>
      <c r="AJ286" s="97"/>
      <c r="AK286" s="97"/>
      <c r="AL286" s="97"/>
      <c r="AM286" s="97"/>
      <c r="AN286" s="97"/>
      <c r="AO286" s="97" t="str">
        <f>IFERROR(__xludf.DUMMYFUNCTION("""COMPUTED_VALUE"""),"1 Año")</f>
        <v>1 Año</v>
      </c>
      <c r="AP286" s="97"/>
      <c r="AQ286" s="97"/>
      <c r="AR286" s="97"/>
      <c r="AS286" s="97"/>
      <c r="AT286" s="97"/>
      <c r="AU286" s="97"/>
      <c r="AV286" s="97" t="str">
        <f>IFERROR(__xludf.DUMMYFUNCTION("""COMPUTED_VALUE"""),"Colgante")</f>
        <v>Colgante</v>
      </c>
      <c r="AW286" s="97" t="str">
        <f>IFERROR(__xludf.DUMMYFUNCTION("""COMPUTED_VALUE"""),"De Techo")</f>
        <v>De Techo</v>
      </c>
      <c r="AX286" s="97" t="str">
        <f>IFERROR(__xludf.DUMMYFUNCTION("""COMPUTED_VALUE"""),"Interior")</f>
        <v>Interior</v>
      </c>
      <c r="AY286" s="97"/>
      <c r="AZ286" s="97"/>
      <c r="BA286" s="97"/>
      <c r="BB286" s="97"/>
      <c r="BC286" s="97"/>
      <c r="BD286" s="97" t="str">
        <f>IFERROR(__xludf.DUMMYFUNCTION("""COMPUTED_VALUE"""),"MIKRO")</f>
        <v>MIKRO</v>
      </c>
      <c r="BE286" s="97" t="str">
        <f>IFERROR(__xludf.DUMMYFUNCTION("""COMPUTED_VALUE"""),"Sin Ficha")</f>
        <v>Sin Ficha</v>
      </c>
      <c r="BF286" s="97"/>
      <c r="BG286" s="97" t="str">
        <f>IFERROR(__xludf.DUMMYFUNCTION("""COMPUTED_VALUE"""),"Discontinuo")</f>
        <v>Discontinuo</v>
      </c>
    </row>
    <row r="287">
      <c r="A287" s="97">
        <f>IFERROR(__xludf.DUMMYFUNCTION("""COMPUTED_VALUE"""),4116.0)</f>
        <v>4116</v>
      </c>
      <c r="B287" s="97" t="str">
        <f>IFERROR(__xludf.DUMMYFUNCTION("""COMPUTED_VALUE"""),"EPICH TALL")</f>
        <v>EPICH TALL</v>
      </c>
      <c r="C287" s="97" t="str">
        <f>IFERROR(__xludf.DUMMYFUNCTION("""COMPUTED_VALUE"""),"COLGANTE EPICH TALL LEUK")</f>
        <v>COLGANTE EPICH TALL LEUK</v>
      </c>
      <c r="D287" s="97">
        <f>IFERROR(__xludf.DUMMYFUNCTION("""COMPUTED_VALUE"""),7.798328754967E12)</f>
        <v>7798328754967</v>
      </c>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t="str">
        <f>IFERROR(__xludf.DUMMYFUNCTION("""COMPUTED_VALUE"""),"IP20")</f>
        <v>IP20</v>
      </c>
      <c r="AE287" s="97"/>
      <c r="AF287" s="97" t="str">
        <f>IFERROR(__xludf.DUMMYFUNCTION("""COMPUTED_VALUE"""),"Suspender")</f>
        <v>Suspender</v>
      </c>
      <c r="AG287" s="97"/>
      <c r="AH287" s="97"/>
      <c r="AI287" s="97"/>
      <c r="AJ287" s="97"/>
      <c r="AK287" s="97"/>
      <c r="AL287" s="97"/>
      <c r="AM287" s="97"/>
      <c r="AN287" s="97"/>
      <c r="AO287" s="97" t="str">
        <f>IFERROR(__xludf.DUMMYFUNCTION("""COMPUTED_VALUE"""),"1 Año")</f>
        <v>1 Año</v>
      </c>
      <c r="AP287" s="97"/>
      <c r="AQ287" s="97"/>
      <c r="AR287" s="97"/>
      <c r="AS287" s="97"/>
      <c r="AT287" s="97"/>
      <c r="AU287" s="97"/>
      <c r="AV287" s="97" t="str">
        <f>IFERROR(__xludf.DUMMYFUNCTION("""COMPUTED_VALUE"""),"Colgante")</f>
        <v>Colgante</v>
      </c>
      <c r="AW287" s="97" t="str">
        <f>IFERROR(__xludf.DUMMYFUNCTION("""COMPUTED_VALUE"""),"De Techo")</f>
        <v>De Techo</v>
      </c>
      <c r="AX287" s="97" t="str">
        <f>IFERROR(__xludf.DUMMYFUNCTION("""COMPUTED_VALUE"""),"Interior")</f>
        <v>Interior</v>
      </c>
      <c r="AY287" s="97"/>
      <c r="AZ287" s="97"/>
      <c r="BA287" s="97"/>
      <c r="BB287" s="97"/>
      <c r="BC287" s="97"/>
      <c r="BD287" s="97" t="str">
        <f>IFERROR(__xludf.DUMMYFUNCTION("""COMPUTED_VALUE"""),"EPICH TALL")</f>
        <v>EPICH TALL</v>
      </c>
      <c r="BE287" s="97" t="str">
        <f>IFERROR(__xludf.DUMMYFUNCTION("""COMPUTED_VALUE"""),"Sin Ficha")</f>
        <v>Sin Ficha</v>
      </c>
      <c r="BF287" s="97"/>
      <c r="BG287" s="97" t="str">
        <f>IFERROR(__xludf.DUMMYFUNCTION("""COMPUTED_VALUE"""),"Discontinuo")</f>
        <v>Discontinuo</v>
      </c>
    </row>
    <row r="288">
      <c r="A288" s="97">
        <f>IFERROR(__xludf.DUMMYFUNCTION("""COMPUTED_VALUE"""),4117.0)</f>
        <v>4117</v>
      </c>
      <c r="B288" s="97" t="str">
        <f>IFERROR(__xludf.DUMMYFUNCTION("""COMPUTED_VALUE"""),"EPICH WIDE")</f>
        <v>EPICH WIDE</v>
      </c>
      <c r="C288" s="97" t="str">
        <f>IFERROR(__xludf.DUMMYFUNCTION("""COMPUTED_VALUE"""),"COLGANTE EPICH WIDE LEUK")</f>
        <v>COLGANTE EPICH WIDE LEUK</v>
      </c>
      <c r="D288" s="97">
        <f>IFERROR(__xludf.DUMMYFUNCTION("""COMPUTED_VALUE"""),7.798328754974E12)</f>
        <v>7798328754974</v>
      </c>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t="str">
        <f>IFERROR(__xludf.DUMMYFUNCTION("""COMPUTED_VALUE"""),"IP20")</f>
        <v>IP20</v>
      </c>
      <c r="AE288" s="97"/>
      <c r="AF288" s="97" t="str">
        <f>IFERROR(__xludf.DUMMYFUNCTION("""COMPUTED_VALUE"""),"Suspender")</f>
        <v>Suspender</v>
      </c>
      <c r="AG288" s="97"/>
      <c r="AH288" s="97"/>
      <c r="AI288" s="97"/>
      <c r="AJ288" s="97"/>
      <c r="AK288" s="97"/>
      <c r="AL288" s="97"/>
      <c r="AM288" s="97"/>
      <c r="AN288" s="97"/>
      <c r="AO288" s="97" t="str">
        <f>IFERROR(__xludf.DUMMYFUNCTION("""COMPUTED_VALUE"""),"1 Año")</f>
        <v>1 Año</v>
      </c>
      <c r="AP288" s="97"/>
      <c r="AQ288" s="97"/>
      <c r="AR288" s="97"/>
      <c r="AS288" s="97"/>
      <c r="AT288" s="97"/>
      <c r="AU288" s="97"/>
      <c r="AV288" s="97" t="str">
        <f>IFERROR(__xludf.DUMMYFUNCTION("""COMPUTED_VALUE"""),"Colgante")</f>
        <v>Colgante</v>
      </c>
      <c r="AW288" s="97" t="str">
        <f>IFERROR(__xludf.DUMMYFUNCTION("""COMPUTED_VALUE"""),"De Techo")</f>
        <v>De Techo</v>
      </c>
      <c r="AX288" s="97" t="str">
        <f>IFERROR(__xludf.DUMMYFUNCTION("""COMPUTED_VALUE"""),"Interior")</f>
        <v>Interior</v>
      </c>
      <c r="AY288" s="97"/>
      <c r="AZ288" s="97"/>
      <c r="BA288" s="97"/>
      <c r="BB288" s="97"/>
      <c r="BC288" s="97"/>
      <c r="BD288" s="97" t="str">
        <f>IFERROR(__xludf.DUMMYFUNCTION("""COMPUTED_VALUE"""),"EPICH WIDE")</f>
        <v>EPICH WIDE</v>
      </c>
      <c r="BE288" s="97" t="str">
        <f>IFERROR(__xludf.DUMMYFUNCTION("""COMPUTED_VALUE"""),"Sin Ficha")</f>
        <v>Sin Ficha</v>
      </c>
      <c r="BF288" s="97"/>
      <c r="BG288" s="97" t="str">
        <f>IFERROR(__xludf.DUMMYFUNCTION("""COMPUTED_VALUE"""),"Discontinuo")</f>
        <v>Discontinuo</v>
      </c>
    </row>
    <row r="289">
      <c r="A289" s="97">
        <f>IFERROR(__xludf.DUMMYFUNCTION("""COMPUTED_VALUE"""),4118.0)</f>
        <v>4118</v>
      </c>
      <c r="B289" s="97" t="str">
        <f>IFERROR(__xludf.DUMMYFUNCTION("""COMPUTED_VALUE"""),"STOMIO")</f>
        <v>STOMIO</v>
      </c>
      <c r="C289" s="97" t="str">
        <f>IFERROR(__xludf.DUMMYFUNCTION("""COMPUTED_VALUE"""),"COLGANTE STOMIO LEUK")</f>
        <v>COLGANTE STOMIO LEUK</v>
      </c>
      <c r="D289" s="97">
        <f>IFERROR(__xludf.DUMMYFUNCTION("""COMPUTED_VALUE"""),7.79832875495E12)</f>
        <v>7798328754950</v>
      </c>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t="str">
        <f>IFERROR(__xludf.DUMMYFUNCTION("""COMPUTED_VALUE"""),"IP20")</f>
        <v>IP20</v>
      </c>
      <c r="AE289" s="97"/>
      <c r="AF289" s="97" t="str">
        <f>IFERROR(__xludf.DUMMYFUNCTION("""COMPUTED_VALUE"""),"Suspender")</f>
        <v>Suspender</v>
      </c>
      <c r="AG289" s="97"/>
      <c r="AH289" s="97"/>
      <c r="AI289" s="97"/>
      <c r="AJ289" s="97"/>
      <c r="AK289" s="97"/>
      <c r="AL289" s="97"/>
      <c r="AM289" s="97"/>
      <c r="AN289" s="97"/>
      <c r="AO289" s="97" t="str">
        <f>IFERROR(__xludf.DUMMYFUNCTION("""COMPUTED_VALUE"""),"1 Año")</f>
        <v>1 Año</v>
      </c>
      <c r="AP289" s="97"/>
      <c r="AQ289" s="97"/>
      <c r="AR289" s="97"/>
      <c r="AS289" s="97"/>
      <c r="AT289" s="97"/>
      <c r="AU289" s="97"/>
      <c r="AV289" s="97" t="str">
        <f>IFERROR(__xludf.DUMMYFUNCTION("""COMPUTED_VALUE"""),"Colgante")</f>
        <v>Colgante</v>
      </c>
      <c r="AW289" s="97" t="str">
        <f>IFERROR(__xludf.DUMMYFUNCTION("""COMPUTED_VALUE"""),"De Techo")</f>
        <v>De Techo</v>
      </c>
      <c r="AX289" s="97" t="str">
        <f>IFERROR(__xludf.DUMMYFUNCTION("""COMPUTED_VALUE"""),"Interior")</f>
        <v>Interior</v>
      </c>
      <c r="AY289" s="97"/>
      <c r="AZ289" s="97"/>
      <c r="BA289" s="97"/>
      <c r="BB289" s="97"/>
      <c r="BC289" s="97"/>
      <c r="BD289" s="97" t="str">
        <f>IFERROR(__xludf.DUMMYFUNCTION("""COMPUTED_VALUE"""),"STOMIO")</f>
        <v>STOMIO</v>
      </c>
      <c r="BE289" s="97" t="str">
        <f>IFERROR(__xludf.DUMMYFUNCTION("""COMPUTED_VALUE"""),"Sin Ficha")</f>
        <v>Sin Ficha</v>
      </c>
      <c r="BF289" s="97"/>
      <c r="BG289" s="97" t="str">
        <f>IFERROR(__xludf.DUMMYFUNCTION("""COMPUTED_VALUE"""),"Discontinuo")</f>
        <v>Discontinuo</v>
      </c>
    </row>
    <row r="290">
      <c r="A290" s="97">
        <f>IFERROR(__xludf.DUMMYFUNCTION("""COMPUTED_VALUE"""),4119.0)</f>
        <v>4119</v>
      </c>
      <c r="B290" s="97" t="str">
        <f>IFERROR(__xludf.DUMMYFUNCTION("""COMPUTED_VALUE"""),"BALA I GR")</f>
        <v>BALA I GR</v>
      </c>
      <c r="C290" s="97" t="str">
        <f>IFERROR(__xludf.DUMMYFUNCTION("""COMPUTED_VALUE"""),"COLGANTE BALA I GRIS LEUK")</f>
        <v>COLGANTE BALA I GRIS LEUK</v>
      </c>
      <c r="D290" s="97">
        <f>IFERROR(__xludf.DUMMYFUNCTION("""COMPUTED_VALUE"""),7.798328755698E12)</f>
        <v>7798328755698</v>
      </c>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t="str">
        <f>IFERROR(__xludf.DUMMYFUNCTION("""COMPUTED_VALUE"""),"IP20")</f>
        <v>IP20</v>
      </c>
      <c r="AE290" s="97"/>
      <c r="AF290" s="97" t="str">
        <f>IFERROR(__xludf.DUMMYFUNCTION("""COMPUTED_VALUE"""),"Suspender")</f>
        <v>Suspender</v>
      </c>
      <c r="AG290" s="97"/>
      <c r="AH290" s="97"/>
      <c r="AI290" s="97"/>
      <c r="AJ290" s="97"/>
      <c r="AK290" s="97"/>
      <c r="AL290" s="97"/>
      <c r="AM290" s="97"/>
      <c r="AN290" s="97"/>
      <c r="AO290" s="97" t="str">
        <f>IFERROR(__xludf.DUMMYFUNCTION("""COMPUTED_VALUE"""),"1 Año")</f>
        <v>1 Año</v>
      </c>
      <c r="AP290" s="97"/>
      <c r="AQ290" s="97"/>
      <c r="AR290" s="97"/>
      <c r="AS290" s="97"/>
      <c r="AT290" s="97"/>
      <c r="AU290" s="97"/>
      <c r="AV290" s="97" t="str">
        <f>IFERROR(__xludf.DUMMYFUNCTION("""COMPUTED_VALUE"""),"Colgante")</f>
        <v>Colgante</v>
      </c>
      <c r="AW290" s="97" t="str">
        <f>IFERROR(__xludf.DUMMYFUNCTION("""COMPUTED_VALUE"""),"De Techo")</f>
        <v>De Techo</v>
      </c>
      <c r="AX290" s="97" t="str">
        <f>IFERROR(__xludf.DUMMYFUNCTION("""COMPUTED_VALUE"""),"Interior")</f>
        <v>Interior</v>
      </c>
      <c r="AY290" s="97"/>
      <c r="AZ290" s="97"/>
      <c r="BA290" s="97"/>
      <c r="BB290" s="97"/>
      <c r="BC290" s="97"/>
      <c r="BD290" s="97" t="str">
        <f>IFERROR(__xludf.DUMMYFUNCTION("""COMPUTED_VALUE"""),"BALA")</f>
        <v>BALA</v>
      </c>
      <c r="BE290" s="97" t="str">
        <f>IFERROR(__xludf.DUMMYFUNCTION("""COMPUTED_VALUE"""),"Sin Ficha")</f>
        <v>Sin Ficha</v>
      </c>
      <c r="BF290" s="97"/>
      <c r="BG290" s="97" t="str">
        <f>IFERROR(__xludf.DUMMYFUNCTION("""COMPUTED_VALUE"""),"Discontinuo")</f>
        <v>Discontinuo</v>
      </c>
    </row>
    <row r="291">
      <c r="A291" s="97">
        <f>IFERROR(__xludf.DUMMYFUNCTION("""COMPUTED_VALUE"""),4120.0)</f>
        <v>4120</v>
      </c>
      <c r="B291" s="97" t="str">
        <f>IFERROR(__xludf.DUMMYFUNCTION("""COMPUTED_VALUE"""),"BALA I NG")</f>
        <v>BALA I NG</v>
      </c>
      <c r="C291" s="97" t="str">
        <f>IFERROR(__xludf.DUMMYFUNCTION("""COMPUTED_VALUE"""),"COLGANTE BALA I NEGRO LEUK")</f>
        <v>COLGANTE BALA I NEGRO LEUK</v>
      </c>
      <c r="D291" s="97">
        <f>IFERROR(__xludf.DUMMYFUNCTION("""COMPUTED_VALUE"""),7.798328755704E12)</f>
        <v>7798328755704</v>
      </c>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t="str">
        <f>IFERROR(__xludf.DUMMYFUNCTION("""COMPUTED_VALUE"""),"IP20")</f>
        <v>IP20</v>
      </c>
      <c r="AE291" s="97"/>
      <c r="AF291" s="97" t="str">
        <f>IFERROR(__xludf.DUMMYFUNCTION("""COMPUTED_VALUE"""),"Suspender")</f>
        <v>Suspender</v>
      </c>
      <c r="AG291" s="97"/>
      <c r="AH291" s="97"/>
      <c r="AI291" s="97"/>
      <c r="AJ291" s="97"/>
      <c r="AK291" s="97"/>
      <c r="AL291" s="97"/>
      <c r="AM291" s="97"/>
      <c r="AN291" s="97"/>
      <c r="AO291" s="97" t="str">
        <f>IFERROR(__xludf.DUMMYFUNCTION("""COMPUTED_VALUE"""),"1 Año")</f>
        <v>1 Año</v>
      </c>
      <c r="AP291" s="97"/>
      <c r="AQ291" s="97"/>
      <c r="AR291" s="97"/>
      <c r="AS291" s="97"/>
      <c r="AT291" s="97"/>
      <c r="AU291" s="97"/>
      <c r="AV291" s="97" t="str">
        <f>IFERROR(__xludf.DUMMYFUNCTION("""COMPUTED_VALUE"""),"Colgante")</f>
        <v>Colgante</v>
      </c>
      <c r="AW291" s="97" t="str">
        <f>IFERROR(__xludf.DUMMYFUNCTION("""COMPUTED_VALUE"""),"De Techo")</f>
        <v>De Techo</v>
      </c>
      <c r="AX291" s="97" t="str">
        <f>IFERROR(__xludf.DUMMYFUNCTION("""COMPUTED_VALUE"""),"Interior")</f>
        <v>Interior</v>
      </c>
      <c r="AY291" s="97"/>
      <c r="AZ291" s="97"/>
      <c r="BA291" s="97"/>
      <c r="BB291" s="97"/>
      <c r="BC291" s="97"/>
      <c r="BD291" s="97" t="str">
        <f>IFERROR(__xludf.DUMMYFUNCTION("""COMPUTED_VALUE"""),"BALA")</f>
        <v>BALA</v>
      </c>
      <c r="BE291" s="97" t="str">
        <f>IFERROR(__xludf.DUMMYFUNCTION("""COMPUTED_VALUE"""),"Sin Ficha")</f>
        <v>Sin Ficha</v>
      </c>
      <c r="BF291" s="97"/>
      <c r="BG291" s="97" t="str">
        <f>IFERROR(__xludf.DUMMYFUNCTION("""COMPUTED_VALUE"""),"Discontinuo")</f>
        <v>Discontinuo</v>
      </c>
    </row>
    <row r="292">
      <c r="A292" s="97">
        <f>IFERROR(__xludf.DUMMYFUNCTION("""COMPUTED_VALUE"""),4121.0)</f>
        <v>4121</v>
      </c>
      <c r="B292" s="97" t="str">
        <f>IFERROR(__xludf.DUMMYFUNCTION("""COMPUTED_VALUE"""),"BALA I AZ")</f>
        <v>BALA I AZ</v>
      </c>
      <c r="C292" s="97" t="str">
        <f>IFERROR(__xludf.DUMMYFUNCTION("""COMPUTED_VALUE"""),"COLGANTE BALA I AZUL LEUK")</f>
        <v>COLGANTE BALA I AZUL LEUK</v>
      </c>
      <c r="D292" s="97">
        <f>IFERROR(__xludf.DUMMYFUNCTION("""COMPUTED_VALUE"""),7.798328755711E12)</f>
        <v>7798328755711</v>
      </c>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t="str">
        <f>IFERROR(__xludf.DUMMYFUNCTION("""COMPUTED_VALUE"""),"IP20")</f>
        <v>IP20</v>
      </c>
      <c r="AE292" s="97"/>
      <c r="AF292" s="97" t="str">
        <f>IFERROR(__xludf.DUMMYFUNCTION("""COMPUTED_VALUE"""),"Suspender")</f>
        <v>Suspender</v>
      </c>
      <c r="AG292" s="97"/>
      <c r="AH292" s="97"/>
      <c r="AI292" s="97"/>
      <c r="AJ292" s="97"/>
      <c r="AK292" s="97"/>
      <c r="AL292" s="97"/>
      <c r="AM292" s="97"/>
      <c r="AN292" s="97"/>
      <c r="AO292" s="97" t="str">
        <f>IFERROR(__xludf.DUMMYFUNCTION("""COMPUTED_VALUE"""),"1 Año")</f>
        <v>1 Año</v>
      </c>
      <c r="AP292" s="97"/>
      <c r="AQ292" s="97"/>
      <c r="AR292" s="97"/>
      <c r="AS292" s="97"/>
      <c r="AT292" s="97"/>
      <c r="AU292" s="97"/>
      <c r="AV292" s="97" t="str">
        <f>IFERROR(__xludf.DUMMYFUNCTION("""COMPUTED_VALUE"""),"Colgante")</f>
        <v>Colgante</v>
      </c>
      <c r="AW292" s="97" t="str">
        <f>IFERROR(__xludf.DUMMYFUNCTION("""COMPUTED_VALUE"""),"De Techo")</f>
        <v>De Techo</v>
      </c>
      <c r="AX292" s="97" t="str">
        <f>IFERROR(__xludf.DUMMYFUNCTION("""COMPUTED_VALUE"""),"Interior")</f>
        <v>Interior</v>
      </c>
      <c r="AY292" s="97"/>
      <c r="AZ292" s="97"/>
      <c r="BA292" s="97"/>
      <c r="BB292" s="97"/>
      <c r="BC292" s="97"/>
      <c r="BD292" s="97" t="str">
        <f>IFERROR(__xludf.DUMMYFUNCTION("""COMPUTED_VALUE"""),"BALA")</f>
        <v>BALA</v>
      </c>
      <c r="BE292" s="97" t="str">
        <f>IFERROR(__xludf.DUMMYFUNCTION("""COMPUTED_VALUE"""),"Sin Ficha")</f>
        <v>Sin Ficha</v>
      </c>
      <c r="BF292" s="97"/>
      <c r="BG292" s="97" t="str">
        <f>IFERROR(__xludf.DUMMYFUNCTION("""COMPUTED_VALUE"""),"Discontinuo")</f>
        <v>Discontinuo</v>
      </c>
    </row>
    <row r="293">
      <c r="A293" s="97">
        <f>IFERROR(__xludf.DUMMYFUNCTION("""COMPUTED_VALUE"""),4122.0)</f>
        <v>4122</v>
      </c>
      <c r="B293" s="97" t="str">
        <f>IFERROR(__xludf.DUMMYFUNCTION("""COMPUTED_VALUE"""),"BALA II NG")</f>
        <v>BALA II NG</v>
      </c>
      <c r="C293" s="97" t="str">
        <f>IFERROR(__xludf.DUMMYFUNCTION("""COMPUTED_VALUE"""),"COLGANTE BALA II NEGRO LEUK")</f>
        <v>COLGANTE BALA II NEGRO LEUK</v>
      </c>
      <c r="D293" s="97">
        <f>IFERROR(__xludf.DUMMYFUNCTION("""COMPUTED_VALUE"""),7.798328755681E12)</f>
        <v>7798328755681</v>
      </c>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t="str">
        <f>IFERROR(__xludf.DUMMYFUNCTION("""COMPUTED_VALUE"""),"IP20")</f>
        <v>IP20</v>
      </c>
      <c r="AE293" s="97"/>
      <c r="AF293" s="97" t="str">
        <f>IFERROR(__xludf.DUMMYFUNCTION("""COMPUTED_VALUE"""),"Suspender")</f>
        <v>Suspender</v>
      </c>
      <c r="AG293" s="97"/>
      <c r="AH293" s="97"/>
      <c r="AI293" s="97"/>
      <c r="AJ293" s="97"/>
      <c r="AK293" s="97"/>
      <c r="AL293" s="97"/>
      <c r="AM293" s="97"/>
      <c r="AN293" s="97"/>
      <c r="AO293" s="97" t="str">
        <f>IFERROR(__xludf.DUMMYFUNCTION("""COMPUTED_VALUE"""),"1 Año")</f>
        <v>1 Año</v>
      </c>
      <c r="AP293" s="97"/>
      <c r="AQ293" s="97"/>
      <c r="AR293" s="97"/>
      <c r="AS293" s="97"/>
      <c r="AT293" s="97"/>
      <c r="AU293" s="97"/>
      <c r="AV293" s="97" t="str">
        <f>IFERROR(__xludf.DUMMYFUNCTION("""COMPUTED_VALUE"""),"Colgante")</f>
        <v>Colgante</v>
      </c>
      <c r="AW293" s="97" t="str">
        <f>IFERROR(__xludf.DUMMYFUNCTION("""COMPUTED_VALUE"""),"De Techo")</f>
        <v>De Techo</v>
      </c>
      <c r="AX293" s="97" t="str">
        <f>IFERROR(__xludf.DUMMYFUNCTION("""COMPUTED_VALUE"""),"Interior")</f>
        <v>Interior</v>
      </c>
      <c r="AY293" s="97"/>
      <c r="AZ293" s="97"/>
      <c r="BA293" s="97"/>
      <c r="BB293" s="97"/>
      <c r="BC293" s="97"/>
      <c r="BD293" s="97" t="str">
        <f>IFERROR(__xludf.DUMMYFUNCTION("""COMPUTED_VALUE"""),"BALA")</f>
        <v>BALA</v>
      </c>
      <c r="BE293" s="97" t="str">
        <f>IFERROR(__xludf.DUMMYFUNCTION("""COMPUTED_VALUE"""),"Sin Ficha")</f>
        <v>Sin Ficha</v>
      </c>
      <c r="BF293" s="97"/>
      <c r="BG293" s="97" t="str">
        <f>IFERROR(__xludf.DUMMYFUNCTION("""COMPUTED_VALUE"""),"Discontinuo")</f>
        <v>Discontinuo</v>
      </c>
    </row>
    <row r="294">
      <c r="A294" s="97">
        <f>IFERROR(__xludf.DUMMYFUNCTION("""COMPUTED_VALUE"""),4123.0)</f>
        <v>4123</v>
      </c>
      <c r="B294" s="97" t="str">
        <f>IFERROR(__xludf.DUMMYFUNCTION("""COMPUTED_VALUE"""),"BALA III AZ")</f>
        <v>BALA III AZ</v>
      </c>
      <c r="C294" s="97" t="str">
        <f>IFERROR(__xludf.DUMMYFUNCTION("""COMPUTED_VALUE"""),"COLGANTE BALA III AZUL LEUK")</f>
        <v>COLGANTE BALA III AZUL LEUK</v>
      </c>
      <c r="D294" s="97">
        <f>IFERROR(__xludf.DUMMYFUNCTION("""COMPUTED_VALUE"""),7.798328755667E12)</f>
        <v>7798328755667</v>
      </c>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t="str">
        <f>IFERROR(__xludf.DUMMYFUNCTION("""COMPUTED_VALUE"""),"IP20")</f>
        <v>IP20</v>
      </c>
      <c r="AE294" s="97"/>
      <c r="AF294" s="97" t="str">
        <f>IFERROR(__xludf.DUMMYFUNCTION("""COMPUTED_VALUE"""),"Suspender")</f>
        <v>Suspender</v>
      </c>
      <c r="AG294" s="97"/>
      <c r="AH294" s="97"/>
      <c r="AI294" s="97"/>
      <c r="AJ294" s="97"/>
      <c r="AK294" s="97"/>
      <c r="AL294" s="97"/>
      <c r="AM294" s="97"/>
      <c r="AN294" s="97"/>
      <c r="AO294" s="97" t="str">
        <f>IFERROR(__xludf.DUMMYFUNCTION("""COMPUTED_VALUE"""),"1 Año")</f>
        <v>1 Año</v>
      </c>
      <c r="AP294" s="97"/>
      <c r="AQ294" s="97"/>
      <c r="AR294" s="97"/>
      <c r="AS294" s="97"/>
      <c r="AT294" s="97"/>
      <c r="AU294" s="97"/>
      <c r="AV294" s="97" t="str">
        <f>IFERROR(__xludf.DUMMYFUNCTION("""COMPUTED_VALUE"""),"Colgante")</f>
        <v>Colgante</v>
      </c>
      <c r="AW294" s="97" t="str">
        <f>IFERROR(__xludf.DUMMYFUNCTION("""COMPUTED_VALUE"""),"De Techo")</f>
        <v>De Techo</v>
      </c>
      <c r="AX294" s="97" t="str">
        <f>IFERROR(__xludf.DUMMYFUNCTION("""COMPUTED_VALUE"""),"Interior")</f>
        <v>Interior</v>
      </c>
      <c r="AY294" s="97"/>
      <c r="AZ294" s="97"/>
      <c r="BA294" s="97"/>
      <c r="BB294" s="97"/>
      <c r="BC294" s="97"/>
      <c r="BD294" s="97" t="str">
        <f>IFERROR(__xludf.DUMMYFUNCTION("""COMPUTED_VALUE"""),"BALA")</f>
        <v>BALA</v>
      </c>
      <c r="BE294" s="97" t="str">
        <f>IFERROR(__xludf.DUMMYFUNCTION("""COMPUTED_VALUE"""),"Sin Ficha")</f>
        <v>Sin Ficha</v>
      </c>
      <c r="BF294" s="97"/>
      <c r="BG294" s="97" t="str">
        <f>IFERROR(__xludf.DUMMYFUNCTION("""COMPUTED_VALUE"""),"Discontinuo")</f>
        <v>Discontinuo</v>
      </c>
    </row>
    <row r="295">
      <c r="A295" s="97">
        <f>IFERROR(__xludf.DUMMYFUNCTION("""COMPUTED_VALUE"""),4124.0)</f>
        <v>4124</v>
      </c>
      <c r="B295" s="97" t="str">
        <f>IFERROR(__xludf.DUMMYFUNCTION("""COMPUTED_VALUE"""),"BALA III NG")</f>
        <v>BALA III NG</v>
      </c>
      <c r="C295" s="97" t="str">
        <f>IFERROR(__xludf.DUMMYFUNCTION("""COMPUTED_VALUE"""),"COLGANTE BALA III NEGRO LEUK")</f>
        <v>COLGANTE BALA III NEGRO LEUK</v>
      </c>
      <c r="D295" s="97">
        <f>IFERROR(__xludf.DUMMYFUNCTION("""COMPUTED_VALUE"""),7.798328755674E12)</f>
        <v>7798328755674</v>
      </c>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t="str">
        <f>IFERROR(__xludf.DUMMYFUNCTION("""COMPUTED_VALUE"""),"IP20")</f>
        <v>IP20</v>
      </c>
      <c r="AE295" s="97"/>
      <c r="AF295" s="97" t="str">
        <f>IFERROR(__xludf.DUMMYFUNCTION("""COMPUTED_VALUE"""),"Suspender")</f>
        <v>Suspender</v>
      </c>
      <c r="AG295" s="97"/>
      <c r="AH295" s="97"/>
      <c r="AI295" s="97"/>
      <c r="AJ295" s="97"/>
      <c r="AK295" s="97"/>
      <c r="AL295" s="97"/>
      <c r="AM295" s="97"/>
      <c r="AN295" s="97"/>
      <c r="AO295" s="97" t="str">
        <f>IFERROR(__xludf.DUMMYFUNCTION("""COMPUTED_VALUE"""),"1 Año")</f>
        <v>1 Año</v>
      </c>
      <c r="AP295" s="97"/>
      <c r="AQ295" s="97"/>
      <c r="AR295" s="97"/>
      <c r="AS295" s="97"/>
      <c r="AT295" s="97"/>
      <c r="AU295" s="97"/>
      <c r="AV295" s="97" t="str">
        <f>IFERROR(__xludf.DUMMYFUNCTION("""COMPUTED_VALUE"""),"Colgante")</f>
        <v>Colgante</v>
      </c>
      <c r="AW295" s="97" t="str">
        <f>IFERROR(__xludf.DUMMYFUNCTION("""COMPUTED_VALUE"""),"De Techo")</f>
        <v>De Techo</v>
      </c>
      <c r="AX295" s="97" t="str">
        <f>IFERROR(__xludf.DUMMYFUNCTION("""COMPUTED_VALUE"""),"Interior")</f>
        <v>Interior</v>
      </c>
      <c r="AY295" s="97"/>
      <c r="AZ295" s="97"/>
      <c r="BA295" s="97"/>
      <c r="BB295" s="97"/>
      <c r="BC295" s="97"/>
      <c r="BD295" s="97" t="str">
        <f>IFERROR(__xludf.DUMMYFUNCTION("""COMPUTED_VALUE"""),"BALA")</f>
        <v>BALA</v>
      </c>
      <c r="BE295" s="97" t="str">
        <f>IFERROR(__xludf.DUMMYFUNCTION("""COMPUTED_VALUE"""),"Sin Ficha")</f>
        <v>Sin Ficha</v>
      </c>
      <c r="BF295" s="97"/>
      <c r="BG295" s="97" t="str">
        <f>IFERROR(__xludf.DUMMYFUNCTION("""COMPUTED_VALUE"""),"Discontinuo")</f>
        <v>Discontinuo</v>
      </c>
    </row>
    <row r="296">
      <c r="A296" s="97">
        <f>IFERROR(__xludf.DUMMYFUNCTION("""COMPUTED_VALUE"""),4125.0)</f>
        <v>4125</v>
      </c>
      <c r="B296" s="97" t="str">
        <f>IFERROR(__xludf.DUMMYFUNCTION("""COMPUTED_VALUE"""),"DEKA")</f>
        <v>DEKA</v>
      </c>
      <c r="C296" s="97" t="str">
        <f>IFERROR(__xludf.DUMMYFUNCTION("""COMPUTED_VALUE"""),"COLGANTE DEKA LEUK")</f>
        <v>COLGANTE DEKA LEUK</v>
      </c>
      <c r="D296" s="97">
        <f>IFERROR(__xludf.DUMMYFUNCTION("""COMPUTED_VALUE"""),7.798328755636E12)</f>
        <v>7798328755636</v>
      </c>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t="str">
        <f>IFERROR(__xludf.DUMMYFUNCTION("""COMPUTED_VALUE"""),"IP20")</f>
        <v>IP20</v>
      </c>
      <c r="AE296" s="97"/>
      <c r="AF296" s="97" t="str">
        <f>IFERROR(__xludf.DUMMYFUNCTION("""COMPUTED_VALUE"""),"Suspender")</f>
        <v>Suspender</v>
      </c>
      <c r="AG296" s="97"/>
      <c r="AH296" s="97"/>
      <c r="AI296" s="97"/>
      <c r="AJ296" s="97"/>
      <c r="AK296" s="97"/>
      <c r="AL296" s="97"/>
      <c r="AM296" s="97"/>
      <c r="AN296" s="97"/>
      <c r="AO296" s="97" t="str">
        <f>IFERROR(__xludf.DUMMYFUNCTION("""COMPUTED_VALUE"""),"1 Año")</f>
        <v>1 Año</v>
      </c>
      <c r="AP296" s="97"/>
      <c r="AQ296" s="97"/>
      <c r="AR296" s="97"/>
      <c r="AS296" s="97"/>
      <c r="AT296" s="97"/>
      <c r="AU296" s="97"/>
      <c r="AV296" s="97" t="str">
        <f>IFERROR(__xludf.DUMMYFUNCTION("""COMPUTED_VALUE"""),"Colgante")</f>
        <v>Colgante</v>
      </c>
      <c r="AW296" s="97" t="str">
        <f>IFERROR(__xludf.DUMMYFUNCTION("""COMPUTED_VALUE"""),"De Techo")</f>
        <v>De Techo</v>
      </c>
      <c r="AX296" s="97" t="str">
        <f>IFERROR(__xludf.DUMMYFUNCTION("""COMPUTED_VALUE"""),"Interior")</f>
        <v>Interior</v>
      </c>
      <c r="AY296" s="97"/>
      <c r="AZ296" s="97"/>
      <c r="BA296" s="97"/>
      <c r="BB296" s="97"/>
      <c r="BC296" s="97"/>
      <c r="BD296" s="97" t="str">
        <f>IFERROR(__xludf.DUMMYFUNCTION("""COMPUTED_VALUE"""),"DEKA")</f>
        <v>DEKA</v>
      </c>
      <c r="BE296" s="97" t="str">
        <f>IFERROR(__xludf.DUMMYFUNCTION("""COMPUTED_VALUE"""),"Sin Ficha")</f>
        <v>Sin Ficha</v>
      </c>
      <c r="BF296" s="97"/>
      <c r="BG296" s="97" t="str">
        <f>IFERROR(__xludf.DUMMYFUNCTION("""COMPUTED_VALUE"""),"Discontinuo")</f>
        <v>Discontinuo</v>
      </c>
    </row>
    <row r="297">
      <c r="A297" s="97">
        <f>IFERROR(__xludf.DUMMYFUNCTION("""COMPUTED_VALUE"""),4126.0)</f>
        <v>4126</v>
      </c>
      <c r="B297" s="97" t="str">
        <f>IFERROR(__xludf.DUMMYFUNCTION("""COMPUTED_VALUE"""),"MIKRI")</f>
        <v>MIKRI</v>
      </c>
      <c r="C297" s="97" t="str">
        <f>IFERROR(__xludf.DUMMYFUNCTION("""COMPUTED_VALUE"""),"COLGANTE MIKRI AZUL LEUK")</f>
        <v>COLGANTE MIKRI AZUL LEUK</v>
      </c>
      <c r="D297" s="97">
        <f>IFERROR(__xludf.DUMMYFUNCTION("""COMPUTED_VALUE"""),7.798328755612E12)</f>
        <v>7798328755612</v>
      </c>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t="str">
        <f>IFERROR(__xludf.DUMMYFUNCTION("""COMPUTED_VALUE"""),"IP20")</f>
        <v>IP20</v>
      </c>
      <c r="AE297" s="97"/>
      <c r="AF297" s="97" t="str">
        <f>IFERROR(__xludf.DUMMYFUNCTION("""COMPUTED_VALUE"""),"Suspender")</f>
        <v>Suspender</v>
      </c>
      <c r="AG297" s="97"/>
      <c r="AH297" s="97"/>
      <c r="AI297" s="97"/>
      <c r="AJ297" s="97"/>
      <c r="AK297" s="97"/>
      <c r="AL297" s="97"/>
      <c r="AM297" s="97"/>
      <c r="AN297" s="97"/>
      <c r="AO297" s="97" t="str">
        <f>IFERROR(__xludf.DUMMYFUNCTION("""COMPUTED_VALUE"""),"1 Año")</f>
        <v>1 Año</v>
      </c>
      <c r="AP297" s="97"/>
      <c r="AQ297" s="97"/>
      <c r="AR297" s="97"/>
      <c r="AS297" s="97"/>
      <c r="AT297" s="97"/>
      <c r="AU297" s="97"/>
      <c r="AV297" s="97" t="str">
        <f>IFERROR(__xludf.DUMMYFUNCTION("""COMPUTED_VALUE"""),"Colgante")</f>
        <v>Colgante</v>
      </c>
      <c r="AW297" s="97" t="str">
        <f>IFERROR(__xludf.DUMMYFUNCTION("""COMPUTED_VALUE"""),"De Techo")</f>
        <v>De Techo</v>
      </c>
      <c r="AX297" s="97" t="str">
        <f>IFERROR(__xludf.DUMMYFUNCTION("""COMPUTED_VALUE"""),"Interior")</f>
        <v>Interior</v>
      </c>
      <c r="AY297" s="97"/>
      <c r="AZ297" s="97"/>
      <c r="BA297" s="97"/>
      <c r="BB297" s="97"/>
      <c r="BC297" s="97"/>
      <c r="BD297" s="97" t="str">
        <f>IFERROR(__xludf.DUMMYFUNCTION("""COMPUTED_VALUE"""),"MIKRI")</f>
        <v>MIKRI</v>
      </c>
      <c r="BE297" s="97" t="str">
        <f>IFERROR(__xludf.DUMMYFUNCTION("""COMPUTED_VALUE"""),"Sin Ficha")</f>
        <v>Sin Ficha</v>
      </c>
      <c r="BF297" s="97"/>
      <c r="BG297" s="97" t="str">
        <f>IFERROR(__xludf.DUMMYFUNCTION("""COMPUTED_VALUE"""),"Discontinuo")</f>
        <v>Discontinuo</v>
      </c>
    </row>
    <row r="298">
      <c r="A298" s="97">
        <f>IFERROR(__xludf.DUMMYFUNCTION("""COMPUTED_VALUE"""),4127.0)</f>
        <v>4127</v>
      </c>
      <c r="B298" s="97" t="str">
        <f>IFERROR(__xludf.DUMMYFUNCTION("""COMPUTED_VALUE"""),"MIKRI")</f>
        <v>MIKRI</v>
      </c>
      <c r="C298" s="97" t="str">
        <f>IFERROR(__xludf.DUMMYFUNCTION("""COMPUTED_VALUE"""),"COLGANTE MIKRI NEGRO LEUK")</f>
        <v>COLGANTE MIKRI NEGRO LEUK</v>
      </c>
      <c r="D298" s="97">
        <f>IFERROR(__xludf.DUMMYFUNCTION("""COMPUTED_VALUE"""),7.798328755629E12)</f>
        <v>7798328755629</v>
      </c>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t="str">
        <f>IFERROR(__xludf.DUMMYFUNCTION("""COMPUTED_VALUE"""),"IP20")</f>
        <v>IP20</v>
      </c>
      <c r="AE298" s="97"/>
      <c r="AF298" s="97" t="str">
        <f>IFERROR(__xludf.DUMMYFUNCTION("""COMPUTED_VALUE"""),"Suspender")</f>
        <v>Suspender</v>
      </c>
      <c r="AG298" s="97"/>
      <c r="AH298" s="97"/>
      <c r="AI298" s="97"/>
      <c r="AJ298" s="97"/>
      <c r="AK298" s="97"/>
      <c r="AL298" s="97"/>
      <c r="AM298" s="97"/>
      <c r="AN298" s="97"/>
      <c r="AO298" s="97" t="str">
        <f>IFERROR(__xludf.DUMMYFUNCTION("""COMPUTED_VALUE"""),"1 Año")</f>
        <v>1 Año</v>
      </c>
      <c r="AP298" s="97"/>
      <c r="AQ298" s="97"/>
      <c r="AR298" s="97"/>
      <c r="AS298" s="97"/>
      <c r="AT298" s="97"/>
      <c r="AU298" s="97"/>
      <c r="AV298" s="97" t="str">
        <f>IFERROR(__xludf.DUMMYFUNCTION("""COMPUTED_VALUE"""),"Colgante")</f>
        <v>Colgante</v>
      </c>
      <c r="AW298" s="97" t="str">
        <f>IFERROR(__xludf.DUMMYFUNCTION("""COMPUTED_VALUE"""),"De Techo")</f>
        <v>De Techo</v>
      </c>
      <c r="AX298" s="97" t="str">
        <f>IFERROR(__xludf.DUMMYFUNCTION("""COMPUTED_VALUE"""),"Interior")</f>
        <v>Interior</v>
      </c>
      <c r="AY298" s="97"/>
      <c r="AZ298" s="97"/>
      <c r="BA298" s="97"/>
      <c r="BB298" s="97"/>
      <c r="BC298" s="97"/>
      <c r="BD298" s="97" t="str">
        <f>IFERROR(__xludf.DUMMYFUNCTION("""COMPUTED_VALUE"""),"MIKRI")</f>
        <v>MIKRI</v>
      </c>
      <c r="BE298" s="97" t="str">
        <f>IFERROR(__xludf.DUMMYFUNCTION("""COMPUTED_VALUE"""),"Sin Ficha")</f>
        <v>Sin Ficha</v>
      </c>
      <c r="BF298" s="97"/>
      <c r="BG298" s="97" t="str">
        <f>IFERROR(__xludf.DUMMYFUNCTION("""COMPUTED_VALUE"""),"Discontinuo")</f>
        <v>Discontinuo</v>
      </c>
    </row>
    <row r="299">
      <c r="A299" s="97">
        <f>IFERROR(__xludf.DUMMYFUNCTION("""COMPUTED_VALUE"""),4128.0)</f>
        <v>4128</v>
      </c>
      <c r="B299" s="97" t="str">
        <f>IFERROR(__xludf.DUMMYFUNCTION("""COMPUTED_VALUE"""),"MIKRI")</f>
        <v>MIKRI</v>
      </c>
      <c r="C299" s="97" t="str">
        <f>IFERROR(__xludf.DUMMYFUNCTION("""COMPUTED_VALUE"""),"COLGANTE MIKRI GRIS LEUK")</f>
        <v>COLGANTE MIKRI GRIS LEUK</v>
      </c>
      <c r="D299" s="97">
        <f>IFERROR(__xludf.DUMMYFUNCTION("""COMPUTED_VALUE"""),7.798328755605E12)</f>
        <v>7798328755605</v>
      </c>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t="str">
        <f>IFERROR(__xludf.DUMMYFUNCTION("""COMPUTED_VALUE"""),"IP20")</f>
        <v>IP20</v>
      </c>
      <c r="AE299" s="97"/>
      <c r="AF299" s="97" t="str">
        <f>IFERROR(__xludf.DUMMYFUNCTION("""COMPUTED_VALUE"""),"Suspender")</f>
        <v>Suspender</v>
      </c>
      <c r="AG299" s="97"/>
      <c r="AH299" s="97"/>
      <c r="AI299" s="97"/>
      <c r="AJ299" s="97"/>
      <c r="AK299" s="97"/>
      <c r="AL299" s="97"/>
      <c r="AM299" s="97"/>
      <c r="AN299" s="97"/>
      <c r="AO299" s="97" t="str">
        <f>IFERROR(__xludf.DUMMYFUNCTION("""COMPUTED_VALUE"""),"1 Año")</f>
        <v>1 Año</v>
      </c>
      <c r="AP299" s="97"/>
      <c r="AQ299" s="97"/>
      <c r="AR299" s="97"/>
      <c r="AS299" s="97"/>
      <c r="AT299" s="97"/>
      <c r="AU299" s="97"/>
      <c r="AV299" s="97" t="str">
        <f>IFERROR(__xludf.DUMMYFUNCTION("""COMPUTED_VALUE"""),"Colgante")</f>
        <v>Colgante</v>
      </c>
      <c r="AW299" s="97" t="str">
        <f>IFERROR(__xludf.DUMMYFUNCTION("""COMPUTED_VALUE"""),"De Techo")</f>
        <v>De Techo</v>
      </c>
      <c r="AX299" s="97" t="str">
        <f>IFERROR(__xludf.DUMMYFUNCTION("""COMPUTED_VALUE"""),"Interior")</f>
        <v>Interior</v>
      </c>
      <c r="AY299" s="97"/>
      <c r="AZ299" s="97"/>
      <c r="BA299" s="97"/>
      <c r="BB299" s="97"/>
      <c r="BC299" s="97"/>
      <c r="BD299" s="97" t="str">
        <f>IFERROR(__xludf.DUMMYFUNCTION("""COMPUTED_VALUE"""),"MIKRI")</f>
        <v>MIKRI</v>
      </c>
      <c r="BE299" s="97" t="str">
        <f>IFERROR(__xludf.DUMMYFUNCTION("""COMPUTED_VALUE"""),"Sin Ficha")</f>
        <v>Sin Ficha</v>
      </c>
      <c r="BF299" s="97"/>
      <c r="BG299" s="97" t="str">
        <f>IFERROR(__xludf.DUMMYFUNCTION("""COMPUTED_VALUE"""),"Discontinuo")</f>
        <v>Discontinuo</v>
      </c>
    </row>
    <row r="300">
      <c r="A300" s="97">
        <f>IFERROR(__xludf.DUMMYFUNCTION("""COMPUTED_VALUE"""),4129.0)</f>
        <v>4129</v>
      </c>
      <c r="B300" s="97" t="str">
        <f>IFERROR(__xludf.DUMMYFUNCTION("""COMPUTED_VALUE"""),"TRIGON")</f>
        <v>TRIGON</v>
      </c>
      <c r="C300" s="97" t="str">
        <f>IFERROR(__xludf.DUMMYFUNCTION("""COMPUTED_VALUE"""),"COLGANTE TRIGON BLANCO LEUK")</f>
        <v>COLGANTE TRIGON BLANCO LEUK</v>
      </c>
      <c r="D300" s="97">
        <f>IFERROR(__xludf.DUMMYFUNCTION("""COMPUTED_VALUE"""),7.798328755582E12)</f>
        <v>7798328755582</v>
      </c>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t="str">
        <f>IFERROR(__xludf.DUMMYFUNCTION("""COMPUTED_VALUE"""),"IP20")</f>
        <v>IP20</v>
      </c>
      <c r="AE300" s="97"/>
      <c r="AF300" s="97" t="str">
        <f>IFERROR(__xludf.DUMMYFUNCTION("""COMPUTED_VALUE"""),"Suspender")</f>
        <v>Suspender</v>
      </c>
      <c r="AG300" s="97"/>
      <c r="AH300" s="97"/>
      <c r="AI300" s="97"/>
      <c r="AJ300" s="97"/>
      <c r="AK300" s="97"/>
      <c r="AL300" s="97"/>
      <c r="AM300" s="97"/>
      <c r="AN300" s="97"/>
      <c r="AO300" s="97" t="str">
        <f>IFERROR(__xludf.DUMMYFUNCTION("""COMPUTED_VALUE"""),"1 Año")</f>
        <v>1 Año</v>
      </c>
      <c r="AP300" s="97"/>
      <c r="AQ300" s="97"/>
      <c r="AR300" s="97"/>
      <c r="AS300" s="97"/>
      <c r="AT300" s="97"/>
      <c r="AU300" s="97"/>
      <c r="AV300" s="97" t="str">
        <f>IFERROR(__xludf.DUMMYFUNCTION("""COMPUTED_VALUE"""),"Colgante")</f>
        <v>Colgante</v>
      </c>
      <c r="AW300" s="97" t="str">
        <f>IFERROR(__xludf.DUMMYFUNCTION("""COMPUTED_VALUE"""),"De Techo")</f>
        <v>De Techo</v>
      </c>
      <c r="AX300" s="97" t="str">
        <f>IFERROR(__xludf.DUMMYFUNCTION("""COMPUTED_VALUE"""),"Interior")</f>
        <v>Interior</v>
      </c>
      <c r="AY300" s="97"/>
      <c r="AZ300" s="97"/>
      <c r="BA300" s="97"/>
      <c r="BB300" s="97"/>
      <c r="BC300" s="97"/>
      <c r="BD300" s="97" t="str">
        <f>IFERROR(__xludf.DUMMYFUNCTION("""COMPUTED_VALUE"""),"TRIGON")</f>
        <v>TRIGON</v>
      </c>
      <c r="BE300" s="97" t="str">
        <f>IFERROR(__xludf.DUMMYFUNCTION("""COMPUTED_VALUE"""),"Sin Ficha")</f>
        <v>Sin Ficha</v>
      </c>
      <c r="BF300" s="97"/>
      <c r="BG300" s="97" t="str">
        <f>IFERROR(__xludf.DUMMYFUNCTION("""COMPUTED_VALUE"""),"Discontinuo")</f>
        <v>Discontinuo</v>
      </c>
    </row>
    <row r="301">
      <c r="A301" s="97">
        <f>IFERROR(__xludf.DUMMYFUNCTION("""COMPUTED_VALUE"""),4130.0)</f>
        <v>4130</v>
      </c>
      <c r="B301" s="97" t="str">
        <f>IFERROR(__xludf.DUMMYFUNCTION("""COMPUTED_VALUE"""),"TRIGON")</f>
        <v>TRIGON</v>
      </c>
      <c r="C301" s="97" t="str">
        <f>IFERROR(__xludf.DUMMYFUNCTION("""COMPUTED_VALUE"""),"COLGANTE TRIGON NEGRO LEUK")</f>
        <v>COLGANTE TRIGON NEGRO LEUK</v>
      </c>
      <c r="D301" s="97">
        <f>IFERROR(__xludf.DUMMYFUNCTION("""COMPUTED_VALUE"""),7.798328755599E12)</f>
        <v>7798328755599</v>
      </c>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t="str">
        <f>IFERROR(__xludf.DUMMYFUNCTION("""COMPUTED_VALUE"""),"IP20")</f>
        <v>IP20</v>
      </c>
      <c r="AE301" s="97"/>
      <c r="AF301" s="97" t="str">
        <f>IFERROR(__xludf.DUMMYFUNCTION("""COMPUTED_VALUE"""),"Suspender")</f>
        <v>Suspender</v>
      </c>
      <c r="AG301" s="97"/>
      <c r="AH301" s="97"/>
      <c r="AI301" s="97"/>
      <c r="AJ301" s="97"/>
      <c r="AK301" s="97"/>
      <c r="AL301" s="97"/>
      <c r="AM301" s="97"/>
      <c r="AN301" s="97"/>
      <c r="AO301" s="97" t="str">
        <f>IFERROR(__xludf.DUMMYFUNCTION("""COMPUTED_VALUE"""),"1 Año")</f>
        <v>1 Año</v>
      </c>
      <c r="AP301" s="97"/>
      <c r="AQ301" s="97"/>
      <c r="AR301" s="97"/>
      <c r="AS301" s="97"/>
      <c r="AT301" s="97"/>
      <c r="AU301" s="97"/>
      <c r="AV301" s="97" t="str">
        <f>IFERROR(__xludf.DUMMYFUNCTION("""COMPUTED_VALUE"""),"Colgante")</f>
        <v>Colgante</v>
      </c>
      <c r="AW301" s="97" t="str">
        <f>IFERROR(__xludf.DUMMYFUNCTION("""COMPUTED_VALUE"""),"De Techo")</f>
        <v>De Techo</v>
      </c>
      <c r="AX301" s="97" t="str">
        <f>IFERROR(__xludf.DUMMYFUNCTION("""COMPUTED_VALUE"""),"Interior")</f>
        <v>Interior</v>
      </c>
      <c r="AY301" s="97"/>
      <c r="AZ301" s="97"/>
      <c r="BA301" s="97"/>
      <c r="BB301" s="97"/>
      <c r="BC301" s="97"/>
      <c r="BD301" s="97" t="str">
        <f>IFERROR(__xludf.DUMMYFUNCTION("""COMPUTED_VALUE"""),"TRIGON")</f>
        <v>TRIGON</v>
      </c>
      <c r="BE301" s="97" t="str">
        <f>IFERROR(__xludf.DUMMYFUNCTION("""COMPUTED_VALUE"""),"Sin Ficha")</f>
        <v>Sin Ficha</v>
      </c>
      <c r="BF301" s="97"/>
      <c r="BG301" s="97" t="str">
        <f>IFERROR(__xludf.DUMMYFUNCTION("""COMPUTED_VALUE"""),"Discontinuo")</f>
        <v>Discontinuo</v>
      </c>
    </row>
    <row r="302">
      <c r="A302" s="97">
        <f>IFERROR(__xludf.DUMMYFUNCTION("""COMPUTED_VALUE"""),4131.0)</f>
        <v>4131</v>
      </c>
      <c r="B302" s="97" t="str">
        <f>IFERROR(__xludf.DUMMYFUNCTION("""COMPUTED_VALUE"""),"TRIGON")</f>
        <v>TRIGON</v>
      </c>
      <c r="C302" s="97" t="str">
        <f>IFERROR(__xludf.DUMMYFUNCTION("""COMPUTED_VALUE"""),"COLGANTE TRIGON GRIS LEUK")</f>
        <v>COLGANTE TRIGON GRIS LEUK</v>
      </c>
      <c r="D302" s="97">
        <f>IFERROR(__xludf.DUMMYFUNCTION("""COMPUTED_VALUE"""),7.798328755575E12)</f>
        <v>7798328755575</v>
      </c>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t="str">
        <f>IFERROR(__xludf.DUMMYFUNCTION("""COMPUTED_VALUE"""),"IP20")</f>
        <v>IP20</v>
      </c>
      <c r="AE302" s="97"/>
      <c r="AF302" s="97" t="str">
        <f>IFERROR(__xludf.DUMMYFUNCTION("""COMPUTED_VALUE"""),"Suspender")</f>
        <v>Suspender</v>
      </c>
      <c r="AG302" s="97"/>
      <c r="AH302" s="97"/>
      <c r="AI302" s="97"/>
      <c r="AJ302" s="97"/>
      <c r="AK302" s="97"/>
      <c r="AL302" s="97"/>
      <c r="AM302" s="97"/>
      <c r="AN302" s="97"/>
      <c r="AO302" s="97" t="str">
        <f>IFERROR(__xludf.DUMMYFUNCTION("""COMPUTED_VALUE"""),"1 Año")</f>
        <v>1 Año</v>
      </c>
      <c r="AP302" s="97"/>
      <c r="AQ302" s="97"/>
      <c r="AR302" s="97"/>
      <c r="AS302" s="97"/>
      <c r="AT302" s="97"/>
      <c r="AU302" s="97"/>
      <c r="AV302" s="97" t="str">
        <f>IFERROR(__xludf.DUMMYFUNCTION("""COMPUTED_VALUE"""),"Colgante")</f>
        <v>Colgante</v>
      </c>
      <c r="AW302" s="97" t="str">
        <f>IFERROR(__xludf.DUMMYFUNCTION("""COMPUTED_VALUE"""),"De Techo")</f>
        <v>De Techo</v>
      </c>
      <c r="AX302" s="97" t="str">
        <f>IFERROR(__xludf.DUMMYFUNCTION("""COMPUTED_VALUE"""),"Interior")</f>
        <v>Interior</v>
      </c>
      <c r="AY302" s="97"/>
      <c r="AZ302" s="97"/>
      <c r="BA302" s="97"/>
      <c r="BB302" s="97"/>
      <c r="BC302" s="97"/>
      <c r="BD302" s="97" t="str">
        <f>IFERROR(__xludf.DUMMYFUNCTION("""COMPUTED_VALUE"""),"TRIGON")</f>
        <v>TRIGON</v>
      </c>
      <c r="BE302" s="97" t="str">
        <f>IFERROR(__xludf.DUMMYFUNCTION("""COMPUTED_VALUE"""),"Sin Ficha")</f>
        <v>Sin Ficha</v>
      </c>
      <c r="BF302" s="97"/>
      <c r="BG302" s="97" t="str">
        <f>IFERROR(__xludf.DUMMYFUNCTION("""COMPUTED_VALUE"""),"Discontinuo")</f>
        <v>Discontinuo</v>
      </c>
    </row>
    <row r="303">
      <c r="A303" s="97">
        <f>IFERROR(__xludf.DUMMYFUNCTION("""COMPUTED_VALUE"""),4132.0)</f>
        <v>4132</v>
      </c>
      <c r="B303" s="97" t="str">
        <f>IFERROR(__xludf.DUMMYFUNCTION("""COMPUTED_VALUE"""),"TRIGON TRIPLE")</f>
        <v>TRIGON TRIPLE</v>
      </c>
      <c r="C303" s="97" t="str">
        <f>IFERROR(__xludf.DUMMYFUNCTION("""COMPUTED_VALUE"""),"COLGANTE TRIGON TRIPLE NEGRO LEUK")</f>
        <v>COLGANTE TRIGON TRIPLE NEGRO LEUK</v>
      </c>
      <c r="D303" s="97">
        <f>IFERROR(__xludf.DUMMYFUNCTION("""COMPUTED_VALUE"""),7.798328755568E12)</f>
        <v>7798328755568</v>
      </c>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t="str">
        <f>IFERROR(__xludf.DUMMYFUNCTION("""COMPUTED_VALUE"""),"IP20")</f>
        <v>IP20</v>
      </c>
      <c r="AE303" s="97"/>
      <c r="AF303" s="97" t="str">
        <f>IFERROR(__xludf.DUMMYFUNCTION("""COMPUTED_VALUE"""),"Suspender")</f>
        <v>Suspender</v>
      </c>
      <c r="AG303" s="97"/>
      <c r="AH303" s="97"/>
      <c r="AI303" s="97"/>
      <c r="AJ303" s="97"/>
      <c r="AK303" s="97"/>
      <c r="AL303" s="97"/>
      <c r="AM303" s="97"/>
      <c r="AN303" s="97"/>
      <c r="AO303" s="97" t="str">
        <f>IFERROR(__xludf.DUMMYFUNCTION("""COMPUTED_VALUE"""),"1 Año")</f>
        <v>1 Año</v>
      </c>
      <c r="AP303" s="97"/>
      <c r="AQ303" s="97"/>
      <c r="AR303" s="97"/>
      <c r="AS303" s="97"/>
      <c r="AT303" s="97"/>
      <c r="AU303" s="97"/>
      <c r="AV303" s="97" t="str">
        <f>IFERROR(__xludf.DUMMYFUNCTION("""COMPUTED_VALUE"""),"Colgante")</f>
        <v>Colgante</v>
      </c>
      <c r="AW303" s="97" t="str">
        <f>IFERROR(__xludf.DUMMYFUNCTION("""COMPUTED_VALUE"""),"De Techo")</f>
        <v>De Techo</v>
      </c>
      <c r="AX303" s="97" t="str">
        <f>IFERROR(__xludf.DUMMYFUNCTION("""COMPUTED_VALUE"""),"Interior")</f>
        <v>Interior</v>
      </c>
      <c r="AY303" s="97"/>
      <c r="AZ303" s="97"/>
      <c r="BA303" s="97"/>
      <c r="BB303" s="97"/>
      <c r="BC303" s="97"/>
      <c r="BD303" s="97" t="str">
        <f>IFERROR(__xludf.DUMMYFUNCTION("""COMPUTED_VALUE"""),"TRIGON TRIPLE")</f>
        <v>TRIGON TRIPLE</v>
      </c>
      <c r="BE303" s="97" t="str">
        <f>IFERROR(__xludf.DUMMYFUNCTION("""COMPUTED_VALUE"""),"Sin Ficha")</f>
        <v>Sin Ficha</v>
      </c>
      <c r="BF303" s="97"/>
      <c r="BG303" s="97" t="str">
        <f>IFERROR(__xludf.DUMMYFUNCTION("""COMPUTED_VALUE"""),"Discontinuo")</f>
        <v>Discontinuo</v>
      </c>
    </row>
    <row r="304">
      <c r="A304" s="97">
        <f>IFERROR(__xludf.DUMMYFUNCTION("""COMPUTED_VALUE"""),4133.0)</f>
        <v>4133</v>
      </c>
      <c r="B304" s="97" t="str">
        <f>IFERROR(__xludf.DUMMYFUNCTION("""COMPUTED_VALUE"""),"PIATA II")</f>
        <v>PIATA II</v>
      </c>
      <c r="C304" s="97" t="str">
        <f>IFERROR(__xludf.DUMMYFUNCTION("""COMPUTED_VALUE"""),"COLGANTE PIATA II LEUK")</f>
        <v>COLGANTE PIATA II LEUK</v>
      </c>
      <c r="D304" s="97">
        <f>IFERROR(__xludf.DUMMYFUNCTION("""COMPUTED_VALUE"""),7.798328755551E12)</f>
        <v>7798328755551</v>
      </c>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t="str">
        <f>IFERROR(__xludf.DUMMYFUNCTION("""COMPUTED_VALUE"""),"IP20")</f>
        <v>IP20</v>
      </c>
      <c r="AE304" s="97"/>
      <c r="AF304" s="97" t="str">
        <f>IFERROR(__xludf.DUMMYFUNCTION("""COMPUTED_VALUE"""),"Suspender")</f>
        <v>Suspender</v>
      </c>
      <c r="AG304" s="97"/>
      <c r="AH304" s="97"/>
      <c r="AI304" s="97"/>
      <c r="AJ304" s="97"/>
      <c r="AK304" s="97"/>
      <c r="AL304" s="97"/>
      <c r="AM304" s="97"/>
      <c r="AN304" s="97"/>
      <c r="AO304" s="97" t="str">
        <f>IFERROR(__xludf.DUMMYFUNCTION("""COMPUTED_VALUE"""),"1 Año")</f>
        <v>1 Año</v>
      </c>
      <c r="AP304" s="97"/>
      <c r="AQ304" s="97"/>
      <c r="AR304" s="97"/>
      <c r="AS304" s="97"/>
      <c r="AT304" s="97"/>
      <c r="AU304" s="97"/>
      <c r="AV304" s="97" t="str">
        <f>IFERROR(__xludf.DUMMYFUNCTION("""COMPUTED_VALUE"""),"Colgante")</f>
        <v>Colgante</v>
      </c>
      <c r="AW304" s="97" t="str">
        <f>IFERROR(__xludf.DUMMYFUNCTION("""COMPUTED_VALUE"""),"De Techo")</f>
        <v>De Techo</v>
      </c>
      <c r="AX304" s="97" t="str">
        <f>IFERROR(__xludf.DUMMYFUNCTION("""COMPUTED_VALUE"""),"Interior")</f>
        <v>Interior</v>
      </c>
      <c r="AY304" s="97"/>
      <c r="AZ304" s="97"/>
      <c r="BA304" s="97"/>
      <c r="BB304" s="97"/>
      <c r="BC304" s="97"/>
      <c r="BD304" s="97" t="str">
        <f>IFERROR(__xludf.DUMMYFUNCTION("""COMPUTED_VALUE"""),"PIATA")</f>
        <v>PIATA</v>
      </c>
      <c r="BE304" s="97" t="str">
        <f>IFERROR(__xludf.DUMMYFUNCTION("""COMPUTED_VALUE"""),"Sin Ficha")</f>
        <v>Sin Ficha</v>
      </c>
      <c r="BF304" s="97"/>
      <c r="BG304" s="97" t="str">
        <f>IFERROR(__xludf.DUMMYFUNCTION("""COMPUTED_VALUE"""),"Discontinuo")</f>
        <v>Discontinuo</v>
      </c>
    </row>
    <row r="305">
      <c r="A305" s="97">
        <f>IFERROR(__xludf.DUMMYFUNCTION("""COMPUTED_VALUE"""),4134.0)</f>
        <v>4134</v>
      </c>
      <c r="B305" s="97" t="str">
        <f>IFERROR(__xludf.DUMMYFUNCTION("""COMPUTED_VALUE"""),"PIATA VI")</f>
        <v>PIATA VI</v>
      </c>
      <c r="C305" s="97" t="str">
        <f>IFERROR(__xludf.DUMMYFUNCTION("""COMPUTED_VALUE"""),"COLGANTE PIATA VI LEUK")</f>
        <v>COLGANTE PIATA VI LEUK</v>
      </c>
      <c r="D305" s="97">
        <f>IFERROR(__xludf.DUMMYFUNCTION("""COMPUTED_VALUE"""),7.798328755544E12)</f>
        <v>7798328755544</v>
      </c>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t="str">
        <f>IFERROR(__xludf.DUMMYFUNCTION("""COMPUTED_VALUE"""),"IP20")</f>
        <v>IP20</v>
      </c>
      <c r="AE305" s="97"/>
      <c r="AF305" s="97" t="str">
        <f>IFERROR(__xludf.DUMMYFUNCTION("""COMPUTED_VALUE"""),"Suspender")</f>
        <v>Suspender</v>
      </c>
      <c r="AG305" s="97"/>
      <c r="AH305" s="97"/>
      <c r="AI305" s="97"/>
      <c r="AJ305" s="97"/>
      <c r="AK305" s="97"/>
      <c r="AL305" s="97"/>
      <c r="AM305" s="97"/>
      <c r="AN305" s="97"/>
      <c r="AO305" s="97" t="str">
        <f>IFERROR(__xludf.DUMMYFUNCTION("""COMPUTED_VALUE"""),"1 Año")</f>
        <v>1 Año</v>
      </c>
      <c r="AP305" s="97"/>
      <c r="AQ305" s="97"/>
      <c r="AR305" s="97"/>
      <c r="AS305" s="97"/>
      <c r="AT305" s="97"/>
      <c r="AU305" s="97"/>
      <c r="AV305" s="97" t="str">
        <f>IFERROR(__xludf.DUMMYFUNCTION("""COMPUTED_VALUE"""),"Colgante")</f>
        <v>Colgante</v>
      </c>
      <c r="AW305" s="97" t="str">
        <f>IFERROR(__xludf.DUMMYFUNCTION("""COMPUTED_VALUE"""),"De Techo")</f>
        <v>De Techo</v>
      </c>
      <c r="AX305" s="97" t="str">
        <f>IFERROR(__xludf.DUMMYFUNCTION("""COMPUTED_VALUE"""),"Interior")</f>
        <v>Interior</v>
      </c>
      <c r="AY305" s="97"/>
      <c r="AZ305" s="97"/>
      <c r="BA305" s="97"/>
      <c r="BB305" s="97"/>
      <c r="BC305" s="97"/>
      <c r="BD305" s="97" t="str">
        <f>IFERROR(__xludf.DUMMYFUNCTION("""COMPUTED_VALUE"""),"PIATA")</f>
        <v>PIATA</v>
      </c>
      <c r="BE305" s="97" t="str">
        <f>IFERROR(__xludf.DUMMYFUNCTION("""COMPUTED_VALUE"""),"Sin Ficha")</f>
        <v>Sin Ficha</v>
      </c>
      <c r="BF305" s="97"/>
      <c r="BG305" s="97" t="str">
        <f>IFERROR(__xludf.DUMMYFUNCTION("""COMPUTED_VALUE"""),"Discontinuo")</f>
        <v>Discontinuo</v>
      </c>
    </row>
    <row r="306">
      <c r="A306" s="97">
        <f>IFERROR(__xludf.DUMMYFUNCTION("""COMPUTED_VALUE"""),4135.0)</f>
        <v>4135</v>
      </c>
      <c r="B306" s="97" t="str">
        <f>IFERROR(__xludf.DUMMYFUNCTION("""COMPUTED_VALUE"""),"LEPTO")</f>
        <v>LEPTO</v>
      </c>
      <c r="C306" s="97" t="str">
        <f>IFERROR(__xludf.DUMMYFUNCTION("""COMPUTED_VALUE"""),"COLGANTE LEPTO BLANCO LEUK")</f>
        <v>COLGANTE LEPTO BLANCO LEUK</v>
      </c>
      <c r="D306" s="97">
        <f>IFERROR(__xludf.DUMMYFUNCTION("""COMPUTED_VALUE"""),7.79832875552E12)</f>
        <v>7798328755520</v>
      </c>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t="str">
        <f>IFERROR(__xludf.DUMMYFUNCTION("""COMPUTED_VALUE"""),"IP20")</f>
        <v>IP20</v>
      </c>
      <c r="AE306" s="97"/>
      <c r="AF306" s="97" t="str">
        <f>IFERROR(__xludf.DUMMYFUNCTION("""COMPUTED_VALUE"""),"Suspender")</f>
        <v>Suspender</v>
      </c>
      <c r="AG306" s="97"/>
      <c r="AH306" s="97"/>
      <c r="AI306" s="97"/>
      <c r="AJ306" s="97"/>
      <c r="AK306" s="97"/>
      <c r="AL306" s="97"/>
      <c r="AM306" s="97"/>
      <c r="AN306" s="97"/>
      <c r="AO306" s="97" t="str">
        <f>IFERROR(__xludf.DUMMYFUNCTION("""COMPUTED_VALUE"""),"1 Año")</f>
        <v>1 Año</v>
      </c>
      <c r="AP306" s="97"/>
      <c r="AQ306" s="97"/>
      <c r="AR306" s="97"/>
      <c r="AS306" s="97"/>
      <c r="AT306" s="97"/>
      <c r="AU306" s="97"/>
      <c r="AV306" s="97" t="str">
        <f>IFERROR(__xludf.DUMMYFUNCTION("""COMPUTED_VALUE"""),"Colgante")</f>
        <v>Colgante</v>
      </c>
      <c r="AW306" s="97" t="str">
        <f>IFERROR(__xludf.DUMMYFUNCTION("""COMPUTED_VALUE"""),"De Techo")</f>
        <v>De Techo</v>
      </c>
      <c r="AX306" s="97" t="str">
        <f>IFERROR(__xludf.DUMMYFUNCTION("""COMPUTED_VALUE"""),"Interior")</f>
        <v>Interior</v>
      </c>
      <c r="AY306" s="97"/>
      <c r="AZ306" s="97"/>
      <c r="BA306" s="97"/>
      <c r="BB306" s="97"/>
      <c r="BC306" s="97"/>
      <c r="BD306" s="97" t="str">
        <f>IFERROR(__xludf.DUMMYFUNCTION("""COMPUTED_VALUE"""),"LEPTO")</f>
        <v>LEPTO</v>
      </c>
      <c r="BE306" s="97" t="str">
        <f>IFERROR(__xludf.DUMMYFUNCTION("""COMPUTED_VALUE"""),"Sin Ficha")</f>
        <v>Sin Ficha</v>
      </c>
      <c r="BF306" s="97"/>
      <c r="BG306" s="97" t="str">
        <f>IFERROR(__xludf.DUMMYFUNCTION("""COMPUTED_VALUE"""),"Discontinuo")</f>
        <v>Discontinuo</v>
      </c>
    </row>
    <row r="307">
      <c r="A307" s="97">
        <f>IFERROR(__xludf.DUMMYFUNCTION("""COMPUTED_VALUE"""),4136.0)</f>
        <v>4136</v>
      </c>
      <c r="B307" s="97" t="str">
        <f>IFERROR(__xludf.DUMMYFUNCTION("""COMPUTED_VALUE"""),"LEPTO")</f>
        <v>LEPTO</v>
      </c>
      <c r="C307" s="97" t="str">
        <f>IFERROR(__xludf.DUMMYFUNCTION("""COMPUTED_VALUE"""),"COLGANTE LEPTO NEGRO LEUK")</f>
        <v>COLGANTE LEPTO NEGRO LEUK</v>
      </c>
      <c r="D307" s="97">
        <f>IFERROR(__xludf.DUMMYFUNCTION("""COMPUTED_VALUE"""),7.798328755537E12)</f>
        <v>7798328755537</v>
      </c>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t="str">
        <f>IFERROR(__xludf.DUMMYFUNCTION("""COMPUTED_VALUE"""),"IP20")</f>
        <v>IP20</v>
      </c>
      <c r="AE307" s="97"/>
      <c r="AF307" s="97" t="str">
        <f>IFERROR(__xludf.DUMMYFUNCTION("""COMPUTED_VALUE"""),"Suspender")</f>
        <v>Suspender</v>
      </c>
      <c r="AG307" s="97"/>
      <c r="AH307" s="97"/>
      <c r="AI307" s="97"/>
      <c r="AJ307" s="97"/>
      <c r="AK307" s="97"/>
      <c r="AL307" s="97"/>
      <c r="AM307" s="97"/>
      <c r="AN307" s="97"/>
      <c r="AO307" s="97" t="str">
        <f>IFERROR(__xludf.DUMMYFUNCTION("""COMPUTED_VALUE"""),"1 Año")</f>
        <v>1 Año</v>
      </c>
      <c r="AP307" s="97"/>
      <c r="AQ307" s="97"/>
      <c r="AR307" s="97"/>
      <c r="AS307" s="97"/>
      <c r="AT307" s="97"/>
      <c r="AU307" s="97"/>
      <c r="AV307" s="97" t="str">
        <f>IFERROR(__xludf.DUMMYFUNCTION("""COMPUTED_VALUE"""),"Colgante")</f>
        <v>Colgante</v>
      </c>
      <c r="AW307" s="97" t="str">
        <f>IFERROR(__xludf.DUMMYFUNCTION("""COMPUTED_VALUE"""),"De Techo")</f>
        <v>De Techo</v>
      </c>
      <c r="AX307" s="97" t="str">
        <f>IFERROR(__xludf.DUMMYFUNCTION("""COMPUTED_VALUE"""),"Interior")</f>
        <v>Interior</v>
      </c>
      <c r="AY307" s="97"/>
      <c r="AZ307" s="97"/>
      <c r="BA307" s="97"/>
      <c r="BB307" s="97"/>
      <c r="BC307" s="97"/>
      <c r="BD307" s="97" t="str">
        <f>IFERROR(__xludf.DUMMYFUNCTION("""COMPUTED_VALUE"""),"LEPTO")</f>
        <v>LEPTO</v>
      </c>
      <c r="BE307" s="97" t="str">
        <f>IFERROR(__xludf.DUMMYFUNCTION("""COMPUTED_VALUE"""),"Sin Ficha")</f>
        <v>Sin Ficha</v>
      </c>
      <c r="BF307" s="97"/>
      <c r="BG307" s="97" t="str">
        <f>IFERROR(__xludf.DUMMYFUNCTION("""COMPUTED_VALUE"""),"Discontinuo")</f>
        <v>Discontinuo</v>
      </c>
    </row>
    <row r="308">
      <c r="A308" s="97">
        <f>IFERROR(__xludf.DUMMYFUNCTION("""COMPUTED_VALUE"""),4137.0)</f>
        <v>4137</v>
      </c>
      <c r="B308" s="97" t="str">
        <f>IFERROR(__xludf.DUMMYFUNCTION("""COMPUTED_VALUE"""),"STRAVO")</f>
        <v>STRAVO</v>
      </c>
      <c r="C308" s="97" t="str">
        <f>IFERROR(__xludf.DUMMYFUNCTION("""COMPUTED_VALUE"""),"COLGANTE STRAVO BLANCO LEUK")</f>
        <v>COLGANTE STRAVO BLANCO LEUK</v>
      </c>
      <c r="D308" s="97">
        <f>IFERROR(__xludf.DUMMYFUNCTION("""COMPUTED_VALUE"""),7.798328756091E12)</f>
        <v>7798328756091</v>
      </c>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t="str">
        <f>IFERROR(__xludf.DUMMYFUNCTION("""COMPUTED_VALUE"""),"IP20")</f>
        <v>IP20</v>
      </c>
      <c r="AE308" s="97"/>
      <c r="AF308" s="97" t="str">
        <f>IFERROR(__xludf.DUMMYFUNCTION("""COMPUTED_VALUE"""),"Suspender")</f>
        <v>Suspender</v>
      </c>
      <c r="AG308" s="97"/>
      <c r="AH308" s="97"/>
      <c r="AI308" s="97"/>
      <c r="AJ308" s="97"/>
      <c r="AK308" s="97"/>
      <c r="AL308" s="97"/>
      <c r="AM308" s="97"/>
      <c r="AN308" s="97"/>
      <c r="AO308" s="97" t="str">
        <f>IFERROR(__xludf.DUMMYFUNCTION("""COMPUTED_VALUE"""),"1 Año")</f>
        <v>1 Año</v>
      </c>
      <c r="AP308" s="97"/>
      <c r="AQ308" s="97"/>
      <c r="AR308" s="97"/>
      <c r="AS308" s="97"/>
      <c r="AT308" s="97"/>
      <c r="AU308" s="97"/>
      <c r="AV308" s="97" t="str">
        <f>IFERROR(__xludf.DUMMYFUNCTION("""COMPUTED_VALUE"""),"Colgante")</f>
        <v>Colgante</v>
      </c>
      <c r="AW308" s="97" t="str">
        <f>IFERROR(__xludf.DUMMYFUNCTION("""COMPUTED_VALUE"""),"De Techo")</f>
        <v>De Techo</v>
      </c>
      <c r="AX308" s="97" t="str">
        <f>IFERROR(__xludf.DUMMYFUNCTION("""COMPUTED_VALUE"""),"Interior")</f>
        <v>Interior</v>
      </c>
      <c r="AY308" s="97"/>
      <c r="AZ308" s="97"/>
      <c r="BA308" s="97"/>
      <c r="BB308" s="97"/>
      <c r="BC308" s="97"/>
      <c r="BD308" s="97" t="str">
        <f>IFERROR(__xludf.DUMMYFUNCTION("""COMPUTED_VALUE"""),"STRAVO")</f>
        <v>STRAVO</v>
      </c>
      <c r="BE308" s="97" t="str">
        <f>IFERROR(__xludf.DUMMYFUNCTION("""COMPUTED_VALUE"""),"Sin Ficha")</f>
        <v>Sin Ficha</v>
      </c>
      <c r="BF308" s="97"/>
      <c r="BG308" s="97" t="str">
        <f>IFERROR(__xludf.DUMMYFUNCTION("""COMPUTED_VALUE"""),"Discontinuo")</f>
        <v>Discontinuo</v>
      </c>
    </row>
    <row r="309">
      <c r="A309" s="97">
        <f>IFERROR(__xludf.DUMMYFUNCTION("""COMPUTED_VALUE"""),4138.0)</f>
        <v>4138</v>
      </c>
      <c r="B309" s="97" t="str">
        <f>IFERROR(__xludf.DUMMYFUNCTION("""COMPUTED_VALUE"""),"STRAVO")</f>
        <v>STRAVO</v>
      </c>
      <c r="C309" s="97" t="str">
        <f>IFERROR(__xludf.DUMMYFUNCTION("""COMPUTED_VALUE"""),"COLGANTE STRAVO NEGRO LEUK")</f>
        <v>COLGANTE STRAVO NEGRO LEUK</v>
      </c>
      <c r="D309" s="97">
        <f>IFERROR(__xludf.DUMMYFUNCTION("""COMPUTED_VALUE"""),7.798328756084E12)</f>
        <v>7798328756084</v>
      </c>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t="str">
        <f>IFERROR(__xludf.DUMMYFUNCTION("""COMPUTED_VALUE"""),"IP20")</f>
        <v>IP20</v>
      </c>
      <c r="AE309" s="97"/>
      <c r="AF309" s="97" t="str">
        <f>IFERROR(__xludf.DUMMYFUNCTION("""COMPUTED_VALUE"""),"Suspender")</f>
        <v>Suspender</v>
      </c>
      <c r="AG309" s="97"/>
      <c r="AH309" s="97"/>
      <c r="AI309" s="97"/>
      <c r="AJ309" s="97"/>
      <c r="AK309" s="97"/>
      <c r="AL309" s="97"/>
      <c r="AM309" s="97"/>
      <c r="AN309" s="97"/>
      <c r="AO309" s="97" t="str">
        <f>IFERROR(__xludf.DUMMYFUNCTION("""COMPUTED_VALUE"""),"1 Año")</f>
        <v>1 Año</v>
      </c>
      <c r="AP309" s="97"/>
      <c r="AQ309" s="97"/>
      <c r="AR309" s="97"/>
      <c r="AS309" s="97"/>
      <c r="AT309" s="97"/>
      <c r="AU309" s="97"/>
      <c r="AV309" s="97" t="str">
        <f>IFERROR(__xludf.DUMMYFUNCTION("""COMPUTED_VALUE"""),"Colgante")</f>
        <v>Colgante</v>
      </c>
      <c r="AW309" s="97" t="str">
        <f>IFERROR(__xludf.DUMMYFUNCTION("""COMPUTED_VALUE"""),"De Techo")</f>
        <v>De Techo</v>
      </c>
      <c r="AX309" s="97" t="str">
        <f>IFERROR(__xludf.DUMMYFUNCTION("""COMPUTED_VALUE"""),"Interior")</f>
        <v>Interior</v>
      </c>
      <c r="AY309" s="97"/>
      <c r="AZ309" s="97"/>
      <c r="BA309" s="97"/>
      <c r="BB309" s="97"/>
      <c r="BC309" s="97"/>
      <c r="BD309" s="97" t="str">
        <f>IFERROR(__xludf.DUMMYFUNCTION("""COMPUTED_VALUE"""),"STRAVO")</f>
        <v>STRAVO</v>
      </c>
      <c r="BE309" s="97" t="str">
        <f>IFERROR(__xludf.DUMMYFUNCTION("""COMPUTED_VALUE"""),"Sin Ficha")</f>
        <v>Sin Ficha</v>
      </c>
      <c r="BF309" s="97"/>
      <c r="BG309" s="97" t="str">
        <f>IFERROR(__xludf.DUMMYFUNCTION("""COMPUTED_VALUE"""),"Discontinuo")</f>
        <v>Discontinuo</v>
      </c>
    </row>
    <row r="310">
      <c r="A310" s="97">
        <f>IFERROR(__xludf.DUMMYFUNCTION("""COMPUTED_VALUE"""),4139.0)</f>
        <v>4139</v>
      </c>
      <c r="B310" s="97" t="str">
        <f>IFERROR(__xludf.DUMMYFUNCTION("""COMPUTED_VALUE"""),"MEGALO")</f>
        <v>MEGALO</v>
      </c>
      <c r="C310" s="97" t="str">
        <f>IFERROR(__xludf.DUMMYFUNCTION("""COMPUTED_VALUE"""),"COLGANTE MEGALO ROJO LEUK")</f>
        <v>COLGANTE MEGALO ROJO LEUK</v>
      </c>
      <c r="D310" s="97">
        <f>IFERROR(__xludf.DUMMYFUNCTION("""COMPUTED_VALUE"""),7.79832875549E12)</f>
        <v>7798328755490</v>
      </c>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t="str">
        <f>IFERROR(__xludf.DUMMYFUNCTION("""COMPUTED_VALUE"""),"IP20")</f>
        <v>IP20</v>
      </c>
      <c r="AE310" s="97"/>
      <c r="AF310" s="97" t="str">
        <f>IFERROR(__xludf.DUMMYFUNCTION("""COMPUTED_VALUE"""),"Suspender")</f>
        <v>Suspender</v>
      </c>
      <c r="AG310" s="97"/>
      <c r="AH310" s="97"/>
      <c r="AI310" s="97"/>
      <c r="AJ310" s="97"/>
      <c r="AK310" s="97"/>
      <c r="AL310" s="97"/>
      <c r="AM310" s="97"/>
      <c r="AN310" s="97"/>
      <c r="AO310" s="97" t="str">
        <f>IFERROR(__xludf.DUMMYFUNCTION("""COMPUTED_VALUE"""),"1 Año")</f>
        <v>1 Año</v>
      </c>
      <c r="AP310" s="97"/>
      <c r="AQ310" s="97"/>
      <c r="AR310" s="97"/>
      <c r="AS310" s="97"/>
      <c r="AT310" s="97"/>
      <c r="AU310" s="97"/>
      <c r="AV310" s="97" t="str">
        <f>IFERROR(__xludf.DUMMYFUNCTION("""COMPUTED_VALUE"""),"Colgante")</f>
        <v>Colgante</v>
      </c>
      <c r="AW310" s="97" t="str">
        <f>IFERROR(__xludf.DUMMYFUNCTION("""COMPUTED_VALUE"""),"De Techo")</f>
        <v>De Techo</v>
      </c>
      <c r="AX310" s="97" t="str">
        <f>IFERROR(__xludf.DUMMYFUNCTION("""COMPUTED_VALUE"""),"Interior")</f>
        <v>Interior</v>
      </c>
      <c r="AY310" s="97"/>
      <c r="AZ310" s="97"/>
      <c r="BA310" s="97"/>
      <c r="BB310" s="97"/>
      <c r="BC310" s="97"/>
      <c r="BD310" s="97" t="str">
        <f>IFERROR(__xludf.DUMMYFUNCTION("""COMPUTED_VALUE"""),"MEGALO")</f>
        <v>MEGALO</v>
      </c>
      <c r="BE310" s="97" t="str">
        <f>IFERROR(__xludf.DUMMYFUNCTION("""COMPUTED_VALUE"""),"Sin Ficha")</f>
        <v>Sin Ficha</v>
      </c>
      <c r="BF310" s="97"/>
      <c r="BG310" s="97" t="str">
        <f>IFERROR(__xludf.DUMMYFUNCTION("""COMPUTED_VALUE"""),"Discontinuo")</f>
        <v>Discontinuo</v>
      </c>
    </row>
    <row r="311">
      <c r="A311" s="97">
        <f>IFERROR(__xludf.DUMMYFUNCTION("""COMPUTED_VALUE"""),4140.0)</f>
        <v>4140</v>
      </c>
      <c r="B311" s="97" t="str">
        <f>IFERROR(__xludf.DUMMYFUNCTION("""COMPUTED_VALUE"""),"UFO I")</f>
        <v>UFO I</v>
      </c>
      <c r="C311" s="97" t="str">
        <f>IFERROR(__xludf.DUMMYFUNCTION("""COMPUTED_VALUE"""),"COLGANTE UFO I BLANCO LEUK")</f>
        <v>COLGANTE UFO I BLANCO LEUK</v>
      </c>
      <c r="D311" s="97">
        <f>IFERROR(__xludf.DUMMYFUNCTION("""COMPUTED_VALUE"""),7.798328755476E12)</f>
        <v>7798328755476</v>
      </c>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t="str">
        <f>IFERROR(__xludf.DUMMYFUNCTION("""COMPUTED_VALUE"""),"IP20")</f>
        <v>IP20</v>
      </c>
      <c r="AE311" s="97"/>
      <c r="AF311" s="97" t="str">
        <f>IFERROR(__xludf.DUMMYFUNCTION("""COMPUTED_VALUE"""),"Suspender")</f>
        <v>Suspender</v>
      </c>
      <c r="AG311" s="97"/>
      <c r="AH311" s="97"/>
      <c r="AI311" s="97"/>
      <c r="AJ311" s="97"/>
      <c r="AK311" s="97"/>
      <c r="AL311" s="97"/>
      <c r="AM311" s="97"/>
      <c r="AN311" s="97"/>
      <c r="AO311" s="97" t="str">
        <f>IFERROR(__xludf.DUMMYFUNCTION("""COMPUTED_VALUE"""),"1 Año")</f>
        <v>1 Año</v>
      </c>
      <c r="AP311" s="97"/>
      <c r="AQ311" s="97"/>
      <c r="AR311" s="97"/>
      <c r="AS311" s="97"/>
      <c r="AT311" s="97"/>
      <c r="AU311" s="97"/>
      <c r="AV311" s="97" t="str">
        <f>IFERROR(__xludf.DUMMYFUNCTION("""COMPUTED_VALUE"""),"Colgante")</f>
        <v>Colgante</v>
      </c>
      <c r="AW311" s="97" t="str">
        <f>IFERROR(__xludf.DUMMYFUNCTION("""COMPUTED_VALUE"""),"De Techo")</f>
        <v>De Techo</v>
      </c>
      <c r="AX311" s="97" t="str">
        <f>IFERROR(__xludf.DUMMYFUNCTION("""COMPUTED_VALUE"""),"Interior")</f>
        <v>Interior</v>
      </c>
      <c r="AY311" s="97"/>
      <c r="AZ311" s="97"/>
      <c r="BA311" s="97"/>
      <c r="BB311" s="97"/>
      <c r="BC311" s="97"/>
      <c r="BD311" s="97" t="str">
        <f>IFERROR(__xludf.DUMMYFUNCTION("""COMPUTED_VALUE"""),"UFO")</f>
        <v>UFO</v>
      </c>
      <c r="BE311" s="97" t="str">
        <f>IFERROR(__xludf.DUMMYFUNCTION("""COMPUTED_VALUE"""),"Sin Ficha")</f>
        <v>Sin Ficha</v>
      </c>
      <c r="BF311" s="97"/>
      <c r="BG311" s="97" t="str">
        <f>IFERROR(__xludf.DUMMYFUNCTION("""COMPUTED_VALUE"""),"Discontinuo")</f>
        <v>Discontinuo</v>
      </c>
    </row>
    <row r="312">
      <c r="A312" s="97">
        <f>IFERROR(__xludf.DUMMYFUNCTION("""COMPUTED_VALUE"""),4141.0)</f>
        <v>4141</v>
      </c>
      <c r="B312" s="97" t="str">
        <f>IFERROR(__xludf.DUMMYFUNCTION("""COMPUTED_VALUE"""),"UFO I")</f>
        <v>UFO I</v>
      </c>
      <c r="C312" s="97" t="str">
        <f>IFERROR(__xludf.DUMMYFUNCTION("""COMPUTED_VALUE"""),"COLGANTE UFO I NEGRO LEUK")</f>
        <v>COLGANTE UFO I NEGRO LEUK</v>
      </c>
      <c r="D312" s="97">
        <f>IFERROR(__xludf.DUMMYFUNCTION("""COMPUTED_VALUE"""),7.798328755483E12)</f>
        <v>7798328755483</v>
      </c>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t="str">
        <f>IFERROR(__xludf.DUMMYFUNCTION("""COMPUTED_VALUE"""),"IP20")</f>
        <v>IP20</v>
      </c>
      <c r="AE312" s="97"/>
      <c r="AF312" s="97" t="str">
        <f>IFERROR(__xludf.DUMMYFUNCTION("""COMPUTED_VALUE"""),"Suspender")</f>
        <v>Suspender</v>
      </c>
      <c r="AG312" s="97"/>
      <c r="AH312" s="97"/>
      <c r="AI312" s="97"/>
      <c r="AJ312" s="97"/>
      <c r="AK312" s="97"/>
      <c r="AL312" s="97"/>
      <c r="AM312" s="97"/>
      <c r="AN312" s="97"/>
      <c r="AO312" s="97" t="str">
        <f>IFERROR(__xludf.DUMMYFUNCTION("""COMPUTED_VALUE"""),"1 Año")</f>
        <v>1 Año</v>
      </c>
      <c r="AP312" s="97"/>
      <c r="AQ312" s="97"/>
      <c r="AR312" s="97"/>
      <c r="AS312" s="97"/>
      <c r="AT312" s="97"/>
      <c r="AU312" s="97"/>
      <c r="AV312" s="97" t="str">
        <f>IFERROR(__xludf.DUMMYFUNCTION("""COMPUTED_VALUE"""),"Colgante")</f>
        <v>Colgante</v>
      </c>
      <c r="AW312" s="97" t="str">
        <f>IFERROR(__xludf.DUMMYFUNCTION("""COMPUTED_VALUE"""),"De Techo")</f>
        <v>De Techo</v>
      </c>
      <c r="AX312" s="97" t="str">
        <f>IFERROR(__xludf.DUMMYFUNCTION("""COMPUTED_VALUE"""),"Interior")</f>
        <v>Interior</v>
      </c>
      <c r="AY312" s="97"/>
      <c r="AZ312" s="97"/>
      <c r="BA312" s="97"/>
      <c r="BB312" s="97"/>
      <c r="BC312" s="97"/>
      <c r="BD312" s="97" t="str">
        <f>IFERROR(__xludf.DUMMYFUNCTION("""COMPUTED_VALUE"""),"UFO")</f>
        <v>UFO</v>
      </c>
      <c r="BE312" s="97" t="str">
        <f>IFERROR(__xludf.DUMMYFUNCTION("""COMPUTED_VALUE"""),"Sin Ficha")</f>
        <v>Sin Ficha</v>
      </c>
      <c r="BF312" s="97"/>
      <c r="BG312" s="97" t="str">
        <f>IFERROR(__xludf.DUMMYFUNCTION("""COMPUTED_VALUE"""),"Discontinuo")</f>
        <v>Discontinuo</v>
      </c>
    </row>
    <row r="313">
      <c r="A313" s="97">
        <f>IFERROR(__xludf.DUMMYFUNCTION("""COMPUTED_VALUE"""),4142.0)</f>
        <v>4142</v>
      </c>
      <c r="B313" s="97" t="str">
        <f>IFERROR(__xludf.DUMMYFUNCTION("""COMPUTED_VALUE"""),"UFO III")</f>
        <v>UFO III</v>
      </c>
      <c r="C313" s="97" t="str">
        <f>IFERROR(__xludf.DUMMYFUNCTION("""COMPUTED_VALUE"""),"COLGANTE UFO III NEGRO LEUK")</f>
        <v>COLGANTE UFO III NEGRO LEUK</v>
      </c>
      <c r="D313" s="97">
        <f>IFERROR(__xludf.DUMMYFUNCTION("""COMPUTED_VALUE"""),7.798328755469E12)</f>
        <v>7798328755469</v>
      </c>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t="str">
        <f>IFERROR(__xludf.DUMMYFUNCTION("""COMPUTED_VALUE"""),"IP20")</f>
        <v>IP20</v>
      </c>
      <c r="AE313" s="97"/>
      <c r="AF313" s="97" t="str">
        <f>IFERROR(__xludf.DUMMYFUNCTION("""COMPUTED_VALUE"""),"Suspender")</f>
        <v>Suspender</v>
      </c>
      <c r="AG313" s="97"/>
      <c r="AH313" s="97"/>
      <c r="AI313" s="97"/>
      <c r="AJ313" s="97"/>
      <c r="AK313" s="97"/>
      <c r="AL313" s="97"/>
      <c r="AM313" s="97"/>
      <c r="AN313" s="97"/>
      <c r="AO313" s="97" t="str">
        <f>IFERROR(__xludf.DUMMYFUNCTION("""COMPUTED_VALUE"""),"1 Año")</f>
        <v>1 Año</v>
      </c>
      <c r="AP313" s="97"/>
      <c r="AQ313" s="97"/>
      <c r="AR313" s="97"/>
      <c r="AS313" s="97"/>
      <c r="AT313" s="97"/>
      <c r="AU313" s="97"/>
      <c r="AV313" s="97" t="str">
        <f>IFERROR(__xludf.DUMMYFUNCTION("""COMPUTED_VALUE"""),"Colgante")</f>
        <v>Colgante</v>
      </c>
      <c r="AW313" s="97" t="str">
        <f>IFERROR(__xludf.DUMMYFUNCTION("""COMPUTED_VALUE"""),"De Techo")</f>
        <v>De Techo</v>
      </c>
      <c r="AX313" s="97" t="str">
        <f>IFERROR(__xludf.DUMMYFUNCTION("""COMPUTED_VALUE"""),"Interior")</f>
        <v>Interior</v>
      </c>
      <c r="AY313" s="97"/>
      <c r="AZ313" s="97"/>
      <c r="BA313" s="97"/>
      <c r="BB313" s="97"/>
      <c r="BC313" s="97"/>
      <c r="BD313" s="97" t="str">
        <f>IFERROR(__xludf.DUMMYFUNCTION("""COMPUTED_VALUE"""),"UFO")</f>
        <v>UFO</v>
      </c>
      <c r="BE313" s="97" t="str">
        <f>IFERROR(__xludf.DUMMYFUNCTION("""COMPUTED_VALUE"""),"Sin Ficha")</f>
        <v>Sin Ficha</v>
      </c>
      <c r="BF313" s="97"/>
      <c r="BG313" s="97" t="str">
        <f>IFERROR(__xludf.DUMMYFUNCTION("""COMPUTED_VALUE"""),"Discontinuo")</f>
        <v>Discontinuo</v>
      </c>
    </row>
    <row r="314">
      <c r="A314" s="97">
        <f>IFERROR(__xludf.DUMMYFUNCTION("""COMPUTED_VALUE"""),4143.0)</f>
        <v>4143</v>
      </c>
      <c r="B314" s="97" t="str">
        <f>IFERROR(__xludf.DUMMYFUNCTION("""COMPUTED_VALUE"""),"KINEZ")</f>
        <v>KINEZ</v>
      </c>
      <c r="C314" s="97" t="str">
        <f>IFERROR(__xludf.DUMMYFUNCTION("""COMPUTED_VALUE"""),"COLGANTE KINEZ LEUK")</f>
        <v>COLGANTE KINEZ LEUK</v>
      </c>
      <c r="D314" s="97">
        <f>IFERROR(__xludf.DUMMYFUNCTION("""COMPUTED_VALUE"""),7.798328755452E12)</f>
        <v>7798328755452</v>
      </c>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t="str">
        <f>IFERROR(__xludf.DUMMYFUNCTION("""COMPUTED_VALUE"""),"IP20")</f>
        <v>IP20</v>
      </c>
      <c r="AE314" s="97"/>
      <c r="AF314" s="97" t="str">
        <f>IFERROR(__xludf.DUMMYFUNCTION("""COMPUTED_VALUE"""),"Suspender")</f>
        <v>Suspender</v>
      </c>
      <c r="AG314" s="97"/>
      <c r="AH314" s="97"/>
      <c r="AI314" s="97"/>
      <c r="AJ314" s="97"/>
      <c r="AK314" s="97"/>
      <c r="AL314" s="97"/>
      <c r="AM314" s="97"/>
      <c r="AN314" s="97"/>
      <c r="AO314" s="97" t="str">
        <f>IFERROR(__xludf.DUMMYFUNCTION("""COMPUTED_VALUE"""),"1 Año")</f>
        <v>1 Año</v>
      </c>
      <c r="AP314" s="97"/>
      <c r="AQ314" s="97"/>
      <c r="AR314" s="97"/>
      <c r="AS314" s="97"/>
      <c r="AT314" s="97"/>
      <c r="AU314" s="97"/>
      <c r="AV314" s="97" t="str">
        <f>IFERROR(__xludf.DUMMYFUNCTION("""COMPUTED_VALUE"""),"Colgante")</f>
        <v>Colgante</v>
      </c>
      <c r="AW314" s="97" t="str">
        <f>IFERROR(__xludf.DUMMYFUNCTION("""COMPUTED_VALUE"""),"De Techo")</f>
        <v>De Techo</v>
      </c>
      <c r="AX314" s="97" t="str">
        <f>IFERROR(__xludf.DUMMYFUNCTION("""COMPUTED_VALUE"""),"Interior")</f>
        <v>Interior</v>
      </c>
      <c r="AY314" s="97"/>
      <c r="AZ314" s="97"/>
      <c r="BA314" s="97"/>
      <c r="BB314" s="97"/>
      <c r="BC314" s="97"/>
      <c r="BD314" s="97" t="str">
        <f>IFERROR(__xludf.DUMMYFUNCTION("""COMPUTED_VALUE"""),"KINEZ")</f>
        <v>KINEZ</v>
      </c>
      <c r="BE314" s="97" t="str">
        <f>IFERROR(__xludf.DUMMYFUNCTION("""COMPUTED_VALUE"""),"Sin Ficha")</f>
        <v>Sin Ficha</v>
      </c>
      <c r="BF314" s="97"/>
      <c r="BG314" s="97" t="str">
        <f>IFERROR(__xludf.DUMMYFUNCTION("""COMPUTED_VALUE"""),"Discontinuo")</f>
        <v>Discontinuo</v>
      </c>
    </row>
    <row r="315">
      <c r="A315" s="97">
        <f>IFERROR(__xludf.DUMMYFUNCTION("""COMPUTED_VALUE"""),4144.0)</f>
        <v>4144</v>
      </c>
      <c r="B315" s="97" t="str">
        <f>IFERROR(__xludf.DUMMYFUNCTION("""COMPUTED_VALUE"""),"KOKALI")</f>
        <v>KOKALI</v>
      </c>
      <c r="C315" s="97" t="str">
        <f>IFERROR(__xludf.DUMMYFUNCTION("""COMPUTED_VALUE"""),"COLGANTE KOKALI LEUK")</f>
        <v>COLGANTE KOKALI LEUK</v>
      </c>
      <c r="D315" s="97">
        <f>IFERROR(__xludf.DUMMYFUNCTION("""COMPUTED_VALUE"""),7.798328755414E12)</f>
        <v>7798328755414</v>
      </c>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t="str">
        <f>IFERROR(__xludf.DUMMYFUNCTION("""COMPUTED_VALUE"""),"IP20")</f>
        <v>IP20</v>
      </c>
      <c r="AE315" s="97"/>
      <c r="AF315" s="97" t="str">
        <f>IFERROR(__xludf.DUMMYFUNCTION("""COMPUTED_VALUE"""),"Suspender")</f>
        <v>Suspender</v>
      </c>
      <c r="AG315" s="97"/>
      <c r="AH315" s="97"/>
      <c r="AI315" s="97"/>
      <c r="AJ315" s="97"/>
      <c r="AK315" s="97"/>
      <c r="AL315" s="97"/>
      <c r="AM315" s="97"/>
      <c r="AN315" s="97"/>
      <c r="AO315" s="97" t="str">
        <f>IFERROR(__xludf.DUMMYFUNCTION("""COMPUTED_VALUE"""),"1 Año")</f>
        <v>1 Año</v>
      </c>
      <c r="AP315" s="97"/>
      <c r="AQ315" s="97"/>
      <c r="AR315" s="97"/>
      <c r="AS315" s="97"/>
      <c r="AT315" s="97"/>
      <c r="AU315" s="97"/>
      <c r="AV315" s="97" t="str">
        <f>IFERROR(__xludf.DUMMYFUNCTION("""COMPUTED_VALUE"""),"Colgante")</f>
        <v>Colgante</v>
      </c>
      <c r="AW315" s="97" t="str">
        <f>IFERROR(__xludf.DUMMYFUNCTION("""COMPUTED_VALUE"""),"De Techo")</f>
        <v>De Techo</v>
      </c>
      <c r="AX315" s="97" t="str">
        <f>IFERROR(__xludf.DUMMYFUNCTION("""COMPUTED_VALUE"""),"Interior")</f>
        <v>Interior</v>
      </c>
      <c r="AY315" s="97"/>
      <c r="AZ315" s="97"/>
      <c r="BA315" s="97"/>
      <c r="BB315" s="97"/>
      <c r="BC315" s="97"/>
      <c r="BD315" s="97" t="str">
        <f>IFERROR(__xludf.DUMMYFUNCTION("""COMPUTED_VALUE"""),"KOKALI")</f>
        <v>KOKALI</v>
      </c>
      <c r="BE315" s="97" t="str">
        <f>IFERROR(__xludf.DUMMYFUNCTION("""COMPUTED_VALUE"""),"Sin Ficha")</f>
        <v>Sin Ficha</v>
      </c>
      <c r="BF315" s="97"/>
      <c r="BG315" s="97" t="str">
        <f>IFERROR(__xludf.DUMMYFUNCTION("""COMPUTED_VALUE"""),"Discontinuo")</f>
        <v>Discontinuo</v>
      </c>
    </row>
    <row r="316">
      <c r="A316" s="97">
        <f>IFERROR(__xludf.DUMMYFUNCTION("""COMPUTED_VALUE"""),4145.0)</f>
        <v>4145</v>
      </c>
      <c r="B316" s="97" t="str">
        <f>IFERROR(__xludf.DUMMYFUNCTION("""COMPUTED_VALUE"""),"EVREIA")</f>
        <v>EVREIA</v>
      </c>
      <c r="C316" s="97" t="str">
        <f>IFERROR(__xludf.DUMMYFUNCTION("""COMPUTED_VALUE"""),"COLGANTE EVREIA LEUK")</f>
        <v>COLGANTE EVREIA LEUK</v>
      </c>
      <c r="D316" s="97">
        <f>IFERROR(__xludf.DUMMYFUNCTION("""COMPUTED_VALUE"""),7.798328758613E12)</f>
        <v>7798328758613</v>
      </c>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t="str">
        <f>IFERROR(__xludf.DUMMYFUNCTION("""COMPUTED_VALUE"""),"IP20")</f>
        <v>IP20</v>
      </c>
      <c r="AE316" s="97"/>
      <c r="AF316" s="97" t="str">
        <f>IFERROR(__xludf.DUMMYFUNCTION("""COMPUTED_VALUE"""),"Suspender")</f>
        <v>Suspender</v>
      </c>
      <c r="AG316" s="97"/>
      <c r="AH316" s="97"/>
      <c r="AI316" s="97"/>
      <c r="AJ316" s="97"/>
      <c r="AK316" s="97"/>
      <c r="AL316" s="97"/>
      <c r="AM316" s="97"/>
      <c r="AN316" s="97"/>
      <c r="AO316" s="97" t="str">
        <f>IFERROR(__xludf.DUMMYFUNCTION("""COMPUTED_VALUE"""),"1 Año")</f>
        <v>1 Año</v>
      </c>
      <c r="AP316" s="97"/>
      <c r="AQ316" s="97"/>
      <c r="AR316" s="97"/>
      <c r="AS316" s="97"/>
      <c r="AT316" s="97"/>
      <c r="AU316" s="97"/>
      <c r="AV316" s="97" t="str">
        <f>IFERROR(__xludf.DUMMYFUNCTION("""COMPUTED_VALUE"""),"Colgante")</f>
        <v>Colgante</v>
      </c>
      <c r="AW316" s="97" t="str">
        <f>IFERROR(__xludf.DUMMYFUNCTION("""COMPUTED_VALUE"""),"De Techo")</f>
        <v>De Techo</v>
      </c>
      <c r="AX316" s="97" t="str">
        <f>IFERROR(__xludf.DUMMYFUNCTION("""COMPUTED_VALUE"""),"Interior")</f>
        <v>Interior</v>
      </c>
      <c r="AY316" s="97"/>
      <c r="AZ316" s="97"/>
      <c r="BA316" s="97"/>
      <c r="BB316" s="97"/>
      <c r="BC316" s="97"/>
      <c r="BD316" s="97" t="str">
        <f>IFERROR(__xludf.DUMMYFUNCTION("""COMPUTED_VALUE"""),"EVREIA")</f>
        <v>EVREIA</v>
      </c>
      <c r="BE316" s="97" t="str">
        <f>IFERROR(__xludf.DUMMYFUNCTION("""COMPUTED_VALUE"""),"Sin Ficha")</f>
        <v>Sin Ficha</v>
      </c>
      <c r="BF316" s="97"/>
      <c r="BG316" s="97" t="str">
        <f>IFERROR(__xludf.DUMMYFUNCTION("""COMPUTED_VALUE"""),"Discontinuo")</f>
        <v>Discontinuo</v>
      </c>
    </row>
    <row r="317">
      <c r="A317" s="97">
        <f>IFERROR(__xludf.DUMMYFUNCTION("""COMPUTED_VALUE"""),4146.0)</f>
        <v>4146</v>
      </c>
      <c r="B317" s="97" t="str">
        <f>IFERROR(__xludf.DUMMYFUNCTION("""COMPUTED_VALUE"""),"SOLINA")</f>
        <v>SOLINA</v>
      </c>
      <c r="C317" s="97" t="str">
        <f>IFERROR(__xludf.DUMMYFUNCTION("""COMPUTED_VALUE"""),"COLGANTE SOLINA BLANCO LEUK")</f>
        <v>COLGANTE SOLINA BLANCO LEUK</v>
      </c>
      <c r="D317" s="97">
        <f>IFERROR(__xludf.DUMMYFUNCTION("""COMPUTED_VALUE"""),7.798328755384E12)</f>
        <v>7798328755384</v>
      </c>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t="str">
        <f>IFERROR(__xludf.DUMMYFUNCTION("""COMPUTED_VALUE"""),"IP20")</f>
        <v>IP20</v>
      </c>
      <c r="AE317" s="97"/>
      <c r="AF317" s="97" t="str">
        <f>IFERROR(__xludf.DUMMYFUNCTION("""COMPUTED_VALUE"""),"Suspender")</f>
        <v>Suspender</v>
      </c>
      <c r="AG317" s="97"/>
      <c r="AH317" s="97"/>
      <c r="AI317" s="97"/>
      <c r="AJ317" s="97"/>
      <c r="AK317" s="97"/>
      <c r="AL317" s="97"/>
      <c r="AM317" s="97"/>
      <c r="AN317" s="97"/>
      <c r="AO317" s="97" t="str">
        <f>IFERROR(__xludf.DUMMYFUNCTION("""COMPUTED_VALUE"""),"1 Año")</f>
        <v>1 Año</v>
      </c>
      <c r="AP317" s="97"/>
      <c r="AQ317" s="97"/>
      <c r="AR317" s="97"/>
      <c r="AS317" s="97"/>
      <c r="AT317" s="97"/>
      <c r="AU317" s="97"/>
      <c r="AV317" s="97" t="str">
        <f>IFERROR(__xludf.DUMMYFUNCTION("""COMPUTED_VALUE"""),"Colgante")</f>
        <v>Colgante</v>
      </c>
      <c r="AW317" s="97" t="str">
        <f>IFERROR(__xludf.DUMMYFUNCTION("""COMPUTED_VALUE"""),"De Techo")</f>
        <v>De Techo</v>
      </c>
      <c r="AX317" s="97" t="str">
        <f>IFERROR(__xludf.DUMMYFUNCTION("""COMPUTED_VALUE"""),"Interior")</f>
        <v>Interior</v>
      </c>
      <c r="AY317" s="97"/>
      <c r="AZ317" s="97"/>
      <c r="BA317" s="97"/>
      <c r="BB317" s="97"/>
      <c r="BC317" s="97"/>
      <c r="BD317" s="97" t="str">
        <f>IFERROR(__xludf.DUMMYFUNCTION("""COMPUTED_VALUE"""),"SOLINA")</f>
        <v>SOLINA</v>
      </c>
      <c r="BE317" s="97" t="str">
        <f>IFERROR(__xludf.DUMMYFUNCTION("""COMPUTED_VALUE"""),"Sin Ficha")</f>
        <v>Sin Ficha</v>
      </c>
      <c r="BF317" s="97"/>
      <c r="BG317" s="97" t="str">
        <f>IFERROR(__xludf.DUMMYFUNCTION("""COMPUTED_VALUE"""),"Discontinuo")</f>
        <v>Discontinuo</v>
      </c>
    </row>
    <row r="318">
      <c r="A318" s="97">
        <f>IFERROR(__xludf.DUMMYFUNCTION("""COMPUTED_VALUE"""),4147.0)</f>
        <v>4147</v>
      </c>
      <c r="B318" s="97" t="str">
        <f>IFERROR(__xludf.DUMMYFUNCTION("""COMPUTED_VALUE"""),"SOLINA TRIPLE")</f>
        <v>SOLINA TRIPLE</v>
      </c>
      <c r="C318" s="97" t="str">
        <f>IFERROR(__xludf.DUMMYFUNCTION("""COMPUTED_VALUE"""),"COLGANTE SOLINA TRIPLE BLANCO LEUK")</f>
        <v>COLGANTE SOLINA TRIPLE BLANCO LEUK</v>
      </c>
      <c r="D318" s="97">
        <f>IFERROR(__xludf.DUMMYFUNCTION("""COMPUTED_VALUE"""),7.798328758644E12)</f>
        <v>7798328758644</v>
      </c>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t="str">
        <f>IFERROR(__xludf.DUMMYFUNCTION("""COMPUTED_VALUE"""),"IP20")</f>
        <v>IP20</v>
      </c>
      <c r="AE318" s="97"/>
      <c r="AF318" s="97" t="str">
        <f>IFERROR(__xludf.DUMMYFUNCTION("""COMPUTED_VALUE"""),"Suspender")</f>
        <v>Suspender</v>
      </c>
      <c r="AG318" s="97"/>
      <c r="AH318" s="97"/>
      <c r="AI318" s="97"/>
      <c r="AJ318" s="97"/>
      <c r="AK318" s="97"/>
      <c r="AL318" s="97"/>
      <c r="AM318" s="97"/>
      <c r="AN318" s="97"/>
      <c r="AO318" s="97" t="str">
        <f>IFERROR(__xludf.DUMMYFUNCTION("""COMPUTED_VALUE"""),"1 Año")</f>
        <v>1 Año</v>
      </c>
      <c r="AP318" s="97"/>
      <c r="AQ318" s="97"/>
      <c r="AR318" s="97"/>
      <c r="AS318" s="97"/>
      <c r="AT318" s="97"/>
      <c r="AU318" s="97"/>
      <c r="AV318" s="97" t="str">
        <f>IFERROR(__xludf.DUMMYFUNCTION("""COMPUTED_VALUE"""),"Colgante")</f>
        <v>Colgante</v>
      </c>
      <c r="AW318" s="97" t="str">
        <f>IFERROR(__xludf.DUMMYFUNCTION("""COMPUTED_VALUE"""),"De Techo")</f>
        <v>De Techo</v>
      </c>
      <c r="AX318" s="97" t="str">
        <f>IFERROR(__xludf.DUMMYFUNCTION("""COMPUTED_VALUE"""),"Interior")</f>
        <v>Interior</v>
      </c>
      <c r="AY318" s="97"/>
      <c r="AZ318" s="97"/>
      <c r="BA318" s="97"/>
      <c r="BB318" s="97"/>
      <c r="BC318" s="97"/>
      <c r="BD318" s="97" t="str">
        <f>IFERROR(__xludf.DUMMYFUNCTION("""COMPUTED_VALUE"""),"SOLINA TRIPLE")</f>
        <v>SOLINA TRIPLE</v>
      </c>
      <c r="BE318" s="97" t="str">
        <f>IFERROR(__xludf.DUMMYFUNCTION("""COMPUTED_VALUE"""),"Sin Ficha")</f>
        <v>Sin Ficha</v>
      </c>
      <c r="BF318" s="97"/>
      <c r="BG318" s="97" t="str">
        <f>IFERROR(__xludf.DUMMYFUNCTION("""COMPUTED_VALUE"""),"Discontinuo")</f>
        <v>Discontinuo</v>
      </c>
    </row>
    <row r="319">
      <c r="A319" s="97">
        <f>IFERROR(__xludf.DUMMYFUNCTION("""COMPUTED_VALUE"""),4148.0)</f>
        <v>4148</v>
      </c>
      <c r="B319" s="97" t="str">
        <f>IFERROR(__xludf.DUMMYFUNCTION("""COMPUTED_VALUE"""),"SMINOS")</f>
        <v>SMINOS</v>
      </c>
      <c r="C319" s="97" t="str">
        <f>IFERROR(__xludf.DUMMYFUNCTION("""COMPUTED_VALUE"""),"COLGANTE SMINOS LEUK")</f>
        <v>COLGANTE SMINOS LEUK</v>
      </c>
      <c r="D319" s="97">
        <f>IFERROR(__xludf.DUMMYFUNCTION("""COMPUTED_VALUE"""),7.798328758651E12)</f>
        <v>7798328758651</v>
      </c>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t="str">
        <f>IFERROR(__xludf.DUMMYFUNCTION("""COMPUTED_VALUE"""),"IP20")</f>
        <v>IP20</v>
      </c>
      <c r="AE319" s="97"/>
      <c r="AF319" s="97" t="str">
        <f>IFERROR(__xludf.DUMMYFUNCTION("""COMPUTED_VALUE"""),"Suspender")</f>
        <v>Suspender</v>
      </c>
      <c r="AG319" s="97"/>
      <c r="AH319" s="97"/>
      <c r="AI319" s="97"/>
      <c r="AJ319" s="97"/>
      <c r="AK319" s="97"/>
      <c r="AL319" s="97"/>
      <c r="AM319" s="97"/>
      <c r="AN319" s="97"/>
      <c r="AO319" s="97" t="str">
        <f>IFERROR(__xludf.DUMMYFUNCTION("""COMPUTED_VALUE"""),"1 Año")</f>
        <v>1 Año</v>
      </c>
      <c r="AP319" s="97"/>
      <c r="AQ319" s="97"/>
      <c r="AR319" s="97"/>
      <c r="AS319" s="97"/>
      <c r="AT319" s="97"/>
      <c r="AU319" s="97"/>
      <c r="AV319" s="97" t="str">
        <f>IFERROR(__xludf.DUMMYFUNCTION("""COMPUTED_VALUE"""),"Colgante")</f>
        <v>Colgante</v>
      </c>
      <c r="AW319" s="97" t="str">
        <f>IFERROR(__xludf.DUMMYFUNCTION("""COMPUTED_VALUE"""),"De Techo")</f>
        <v>De Techo</v>
      </c>
      <c r="AX319" s="97" t="str">
        <f>IFERROR(__xludf.DUMMYFUNCTION("""COMPUTED_VALUE"""),"Interior")</f>
        <v>Interior</v>
      </c>
      <c r="AY319" s="97"/>
      <c r="AZ319" s="97"/>
      <c r="BA319" s="97"/>
      <c r="BB319" s="97"/>
      <c r="BC319" s="97"/>
      <c r="BD319" s="97" t="str">
        <f>IFERROR(__xludf.DUMMYFUNCTION("""COMPUTED_VALUE"""),"SMINOS")</f>
        <v>SMINOS</v>
      </c>
      <c r="BE319" s="97" t="str">
        <f>IFERROR(__xludf.DUMMYFUNCTION("""COMPUTED_VALUE"""),"Sin Ficha")</f>
        <v>Sin Ficha</v>
      </c>
      <c r="BF319" s="97"/>
      <c r="BG319" s="97" t="str">
        <f>IFERROR(__xludf.DUMMYFUNCTION("""COMPUTED_VALUE"""),"Discontinuo")</f>
        <v>Discontinuo</v>
      </c>
    </row>
    <row r="320">
      <c r="A320" s="97">
        <f>IFERROR(__xludf.DUMMYFUNCTION("""COMPUTED_VALUE"""),4149.0)</f>
        <v>4149</v>
      </c>
      <c r="B320" s="97" t="str">
        <f>IFERROR(__xludf.DUMMYFUNCTION("""COMPUTED_VALUE"""),"RAVDI")</f>
        <v>RAVDI</v>
      </c>
      <c r="C320" s="97" t="str">
        <f>IFERROR(__xludf.DUMMYFUNCTION("""COMPUTED_VALUE"""),"COLGANTE RAVDI LEUK")</f>
        <v>COLGANTE RAVDI LEUK</v>
      </c>
      <c r="D320" s="97">
        <f>IFERROR(__xludf.DUMMYFUNCTION("""COMPUTED_VALUE"""),7.798328758668E12)</f>
        <v>7798328758668</v>
      </c>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t="str">
        <f>IFERROR(__xludf.DUMMYFUNCTION("""COMPUTED_VALUE"""),"IP20")</f>
        <v>IP20</v>
      </c>
      <c r="AE320" s="97"/>
      <c r="AF320" s="97" t="str">
        <f>IFERROR(__xludf.DUMMYFUNCTION("""COMPUTED_VALUE"""),"Suspender")</f>
        <v>Suspender</v>
      </c>
      <c r="AG320" s="97"/>
      <c r="AH320" s="97"/>
      <c r="AI320" s="97"/>
      <c r="AJ320" s="97"/>
      <c r="AK320" s="97"/>
      <c r="AL320" s="97"/>
      <c r="AM320" s="97"/>
      <c r="AN320" s="97"/>
      <c r="AO320" s="97" t="str">
        <f>IFERROR(__xludf.DUMMYFUNCTION("""COMPUTED_VALUE"""),"1 Año")</f>
        <v>1 Año</v>
      </c>
      <c r="AP320" s="97"/>
      <c r="AQ320" s="97"/>
      <c r="AR320" s="97"/>
      <c r="AS320" s="97"/>
      <c r="AT320" s="97"/>
      <c r="AU320" s="97"/>
      <c r="AV320" s="97" t="str">
        <f>IFERROR(__xludf.DUMMYFUNCTION("""COMPUTED_VALUE"""),"Colgante")</f>
        <v>Colgante</v>
      </c>
      <c r="AW320" s="97" t="str">
        <f>IFERROR(__xludf.DUMMYFUNCTION("""COMPUTED_VALUE"""),"De Techo")</f>
        <v>De Techo</v>
      </c>
      <c r="AX320" s="97" t="str">
        <f>IFERROR(__xludf.DUMMYFUNCTION("""COMPUTED_VALUE"""),"Interior")</f>
        <v>Interior</v>
      </c>
      <c r="AY320" s="97"/>
      <c r="AZ320" s="97"/>
      <c r="BA320" s="97"/>
      <c r="BB320" s="97"/>
      <c r="BC320" s="97"/>
      <c r="BD320" s="97" t="str">
        <f>IFERROR(__xludf.DUMMYFUNCTION("""COMPUTED_VALUE"""),"RAVDI")</f>
        <v>RAVDI</v>
      </c>
      <c r="BE320" s="97" t="str">
        <f>IFERROR(__xludf.DUMMYFUNCTION("""COMPUTED_VALUE"""),"Sin Ficha")</f>
        <v>Sin Ficha</v>
      </c>
      <c r="BF320" s="97"/>
      <c r="BG320" s="97" t="str">
        <f>IFERROR(__xludf.DUMMYFUNCTION("""COMPUTED_VALUE"""),"Discontinuo")</f>
        <v>Discontinuo</v>
      </c>
    </row>
    <row r="321">
      <c r="A321" s="97">
        <f>IFERROR(__xludf.DUMMYFUNCTION("""COMPUTED_VALUE"""),4150.0)</f>
        <v>4150</v>
      </c>
      <c r="B321" s="97" t="str">
        <f>IFERROR(__xludf.DUMMYFUNCTION("""COMPUTED_VALUE"""),"PLAKA")</f>
        <v>PLAKA</v>
      </c>
      <c r="C321" s="97" t="str">
        <f>IFERROR(__xludf.DUMMYFUNCTION("""COMPUTED_VALUE"""),"COLGANTE PLAKA LEUK")</f>
        <v>COLGANTE PLAKA LEUK</v>
      </c>
      <c r="D321" s="97">
        <f>IFERROR(__xludf.DUMMYFUNCTION("""COMPUTED_VALUE"""),7.798328758699E12)</f>
        <v>7798328758699</v>
      </c>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t="str">
        <f>IFERROR(__xludf.DUMMYFUNCTION("""COMPUTED_VALUE"""),"IP20")</f>
        <v>IP20</v>
      </c>
      <c r="AE321" s="97"/>
      <c r="AF321" s="97" t="str">
        <f>IFERROR(__xludf.DUMMYFUNCTION("""COMPUTED_VALUE"""),"Suspender")</f>
        <v>Suspender</v>
      </c>
      <c r="AG321" s="97"/>
      <c r="AH321" s="97"/>
      <c r="AI321" s="97"/>
      <c r="AJ321" s="97"/>
      <c r="AK321" s="97"/>
      <c r="AL321" s="97"/>
      <c r="AM321" s="97"/>
      <c r="AN321" s="97"/>
      <c r="AO321" s="97" t="str">
        <f>IFERROR(__xludf.DUMMYFUNCTION("""COMPUTED_VALUE"""),"1 Año")</f>
        <v>1 Año</v>
      </c>
      <c r="AP321" s="97"/>
      <c r="AQ321" s="97"/>
      <c r="AR321" s="97"/>
      <c r="AS321" s="97"/>
      <c r="AT321" s="97"/>
      <c r="AU321" s="97"/>
      <c r="AV321" s="97" t="str">
        <f>IFERROR(__xludf.DUMMYFUNCTION("""COMPUTED_VALUE"""),"Colgante")</f>
        <v>Colgante</v>
      </c>
      <c r="AW321" s="97" t="str">
        <f>IFERROR(__xludf.DUMMYFUNCTION("""COMPUTED_VALUE"""),"De Techo")</f>
        <v>De Techo</v>
      </c>
      <c r="AX321" s="97" t="str">
        <f>IFERROR(__xludf.DUMMYFUNCTION("""COMPUTED_VALUE"""),"Interior")</f>
        <v>Interior</v>
      </c>
      <c r="AY321" s="97"/>
      <c r="AZ321" s="97"/>
      <c r="BA321" s="97"/>
      <c r="BB321" s="97"/>
      <c r="BC321" s="97"/>
      <c r="BD321" s="97" t="str">
        <f>IFERROR(__xludf.DUMMYFUNCTION("""COMPUTED_VALUE"""),"PLAKA")</f>
        <v>PLAKA</v>
      </c>
      <c r="BE321" s="97" t="str">
        <f>IFERROR(__xludf.DUMMYFUNCTION("""COMPUTED_VALUE"""),"Sin Ficha")</f>
        <v>Sin Ficha</v>
      </c>
      <c r="BF321" s="97"/>
      <c r="BG321" s="97" t="str">
        <f>IFERROR(__xludf.DUMMYFUNCTION("""COMPUTED_VALUE"""),"Discontinuo")</f>
        <v>Discontinuo</v>
      </c>
    </row>
    <row r="322">
      <c r="A322" s="97">
        <f>IFERROR(__xludf.DUMMYFUNCTION("""COMPUTED_VALUE"""),4151.0)</f>
        <v>4151</v>
      </c>
      <c r="B322" s="97" t="str">
        <f>IFERROR(__xludf.DUMMYFUNCTION("""COMPUTED_VALUE"""),"PLAKA TRIPLE")</f>
        <v>PLAKA TRIPLE</v>
      </c>
      <c r="C322" s="97" t="str">
        <f>IFERROR(__xludf.DUMMYFUNCTION("""COMPUTED_VALUE"""),"COLGANTE PLAKA TRIPLE LEUK")</f>
        <v>COLGANTE PLAKA TRIPLE LEUK</v>
      </c>
      <c r="D322" s="97">
        <f>IFERROR(__xludf.DUMMYFUNCTION("""COMPUTED_VALUE"""),7.798328758705E12)</f>
        <v>7798328758705</v>
      </c>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t="str">
        <f>IFERROR(__xludf.DUMMYFUNCTION("""COMPUTED_VALUE"""),"IP20")</f>
        <v>IP20</v>
      </c>
      <c r="AE322" s="97"/>
      <c r="AF322" s="97" t="str">
        <f>IFERROR(__xludf.DUMMYFUNCTION("""COMPUTED_VALUE"""),"Suspender")</f>
        <v>Suspender</v>
      </c>
      <c r="AG322" s="97"/>
      <c r="AH322" s="97"/>
      <c r="AI322" s="97"/>
      <c r="AJ322" s="97"/>
      <c r="AK322" s="97"/>
      <c r="AL322" s="97"/>
      <c r="AM322" s="97"/>
      <c r="AN322" s="97"/>
      <c r="AO322" s="97" t="str">
        <f>IFERROR(__xludf.DUMMYFUNCTION("""COMPUTED_VALUE"""),"1 Año")</f>
        <v>1 Año</v>
      </c>
      <c r="AP322" s="97"/>
      <c r="AQ322" s="97"/>
      <c r="AR322" s="97"/>
      <c r="AS322" s="97"/>
      <c r="AT322" s="97"/>
      <c r="AU322" s="97"/>
      <c r="AV322" s="97" t="str">
        <f>IFERROR(__xludf.DUMMYFUNCTION("""COMPUTED_VALUE"""),"Colgante")</f>
        <v>Colgante</v>
      </c>
      <c r="AW322" s="97" t="str">
        <f>IFERROR(__xludf.DUMMYFUNCTION("""COMPUTED_VALUE"""),"De Techo")</f>
        <v>De Techo</v>
      </c>
      <c r="AX322" s="97" t="str">
        <f>IFERROR(__xludf.DUMMYFUNCTION("""COMPUTED_VALUE"""),"Interior")</f>
        <v>Interior</v>
      </c>
      <c r="AY322" s="97"/>
      <c r="AZ322" s="97"/>
      <c r="BA322" s="97"/>
      <c r="BB322" s="97"/>
      <c r="BC322" s="97"/>
      <c r="BD322" s="97" t="str">
        <f>IFERROR(__xludf.DUMMYFUNCTION("""COMPUTED_VALUE"""),"PLAKA TRIPLE")</f>
        <v>PLAKA TRIPLE</v>
      </c>
      <c r="BE322" s="97" t="str">
        <f>IFERROR(__xludf.DUMMYFUNCTION("""COMPUTED_VALUE"""),"Sin Ficha")</f>
        <v>Sin Ficha</v>
      </c>
      <c r="BF322" s="97"/>
      <c r="BG322" s="97" t="str">
        <f>IFERROR(__xludf.DUMMYFUNCTION("""COMPUTED_VALUE"""),"Discontinuo")</f>
        <v>Discontinuo</v>
      </c>
    </row>
    <row r="323">
      <c r="A323" s="97">
        <f>IFERROR(__xludf.DUMMYFUNCTION("""COMPUTED_VALUE"""),4152.0)</f>
        <v>4152</v>
      </c>
      <c r="B323" s="97" t="str">
        <f>IFERROR(__xludf.DUMMYFUNCTION("""COMPUTED_VALUE"""),"LYGIS BL")</f>
        <v>LYGIS BL</v>
      </c>
      <c r="C323" s="97" t="str">
        <f>IFERROR(__xludf.DUMMYFUNCTION("""COMPUTED_VALUE"""),"LAMPARA DE PIE LYGIS BLANCO LEUK")</f>
        <v>LAMPARA DE PIE LYGIS BLANCO LEUK</v>
      </c>
      <c r="D323" s="97">
        <f>IFERROR(__xludf.DUMMYFUNCTION("""COMPUTED_VALUE"""),7.79832875875E12)</f>
        <v>7798328758750</v>
      </c>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t="str">
        <f>IFERROR(__xludf.DUMMYFUNCTION("""COMPUTED_VALUE"""),"IP20")</f>
        <v>IP20</v>
      </c>
      <c r="AE323" s="97"/>
      <c r="AF323" s="97" t="str">
        <f>IFERROR(__xludf.DUMMYFUNCTION("""COMPUTED_VALUE"""),"Autoportante")</f>
        <v>Autoportante</v>
      </c>
      <c r="AG323" s="97"/>
      <c r="AH323" s="97"/>
      <c r="AI323" s="97"/>
      <c r="AJ323" s="97"/>
      <c r="AK323" s="97"/>
      <c r="AL323" s="97"/>
      <c r="AM323" s="97"/>
      <c r="AN323" s="97"/>
      <c r="AO323" s="97" t="str">
        <f>IFERROR(__xludf.DUMMYFUNCTION("""COMPUTED_VALUE"""),"1 Año")</f>
        <v>1 Año</v>
      </c>
      <c r="AP323" s="97"/>
      <c r="AQ323" s="97"/>
      <c r="AR323" s="97"/>
      <c r="AS323" s="97"/>
      <c r="AT323" s="97"/>
      <c r="AU323" s="97"/>
      <c r="AV323" s="97" t="str">
        <f>IFERROR(__xludf.DUMMYFUNCTION("""COMPUTED_VALUE"""),"Pie")</f>
        <v>Pie</v>
      </c>
      <c r="AW323" s="97" t="str">
        <f>IFERROR(__xludf.DUMMYFUNCTION("""COMPUTED_VALUE"""),"De Apoyo")</f>
        <v>De Apoyo</v>
      </c>
      <c r="AX323" s="97" t="str">
        <f>IFERROR(__xludf.DUMMYFUNCTION("""COMPUTED_VALUE"""),"Interior")</f>
        <v>Interior</v>
      </c>
      <c r="AY323" s="97"/>
      <c r="AZ323" s="97"/>
      <c r="BA323" s="97"/>
      <c r="BB323" s="97"/>
      <c r="BC323" s="97"/>
      <c r="BD323" s="97" t="str">
        <f>IFERROR(__xludf.DUMMYFUNCTION("""COMPUTED_VALUE"""),"LYGIS")</f>
        <v>LYGIS</v>
      </c>
      <c r="BE323" s="97" t="str">
        <f>IFERROR(__xludf.DUMMYFUNCTION("""COMPUTED_VALUE"""),"Sin Ficha")</f>
        <v>Sin Ficha</v>
      </c>
      <c r="BF323" s="97"/>
      <c r="BG323" s="97" t="str">
        <f>IFERROR(__xludf.DUMMYFUNCTION("""COMPUTED_VALUE"""),"Discontinuo")</f>
        <v>Discontinuo</v>
      </c>
    </row>
    <row r="324">
      <c r="A324" s="97">
        <f>IFERROR(__xludf.DUMMYFUNCTION("""COMPUTED_VALUE"""),4153.0)</f>
        <v>4153</v>
      </c>
      <c r="B324" s="97" t="str">
        <f>IFERROR(__xludf.DUMMYFUNCTION("""COMPUTED_VALUE"""),"LYGIS NG")</f>
        <v>LYGIS NG</v>
      </c>
      <c r="C324" s="97" t="str">
        <f>IFERROR(__xludf.DUMMYFUNCTION("""COMPUTED_VALUE"""),"LAMPARA DE PIE LYGIS NEGRO LEUK")</f>
        <v>LAMPARA DE PIE LYGIS NEGRO LEUK</v>
      </c>
      <c r="D324" s="97">
        <f>IFERROR(__xludf.DUMMYFUNCTION("""COMPUTED_VALUE"""),7.798328758743E12)</f>
        <v>7798328758743</v>
      </c>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t="str">
        <f>IFERROR(__xludf.DUMMYFUNCTION("""COMPUTED_VALUE"""),"IP20")</f>
        <v>IP20</v>
      </c>
      <c r="AE324" s="97"/>
      <c r="AF324" s="97" t="str">
        <f>IFERROR(__xludf.DUMMYFUNCTION("""COMPUTED_VALUE"""),"Autoportante")</f>
        <v>Autoportante</v>
      </c>
      <c r="AG324" s="97"/>
      <c r="AH324" s="97"/>
      <c r="AI324" s="97"/>
      <c r="AJ324" s="97"/>
      <c r="AK324" s="97"/>
      <c r="AL324" s="97"/>
      <c r="AM324" s="97"/>
      <c r="AN324" s="97"/>
      <c r="AO324" s="97" t="str">
        <f>IFERROR(__xludf.DUMMYFUNCTION("""COMPUTED_VALUE"""),"1 Año")</f>
        <v>1 Año</v>
      </c>
      <c r="AP324" s="97"/>
      <c r="AQ324" s="97"/>
      <c r="AR324" s="97"/>
      <c r="AS324" s="97"/>
      <c r="AT324" s="97"/>
      <c r="AU324" s="97"/>
      <c r="AV324" s="97" t="str">
        <f>IFERROR(__xludf.DUMMYFUNCTION("""COMPUTED_VALUE"""),"Pie")</f>
        <v>Pie</v>
      </c>
      <c r="AW324" s="97" t="str">
        <f>IFERROR(__xludf.DUMMYFUNCTION("""COMPUTED_VALUE"""),"De Apoyo")</f>
        <v>De Apoyo</v>
      </c>
      <c r="AX324" s="97" t="str">
        <f>IFERROR(__xludf.DUMMYFUNCTION("""COMPUTED_VALUE"""),"Interior")</f>
        <v>Interior</v>
      </c>
      <c r="AY324" s="97"/>
      <c r="AZ324" s="97"/>
      <c r="BA324" s="97"/>
      <c r="BB324" s="97"/>
      <c r="BC324" s="97"/>
      <c r="BD324" s="97" t="str">
        <f>IFERROR(__xludf.DUMMYFUNCTION("""COMPUTED_VALUE"""),"LYGIS")</f>
        <v>LYGIS</v>
      </c>
      <c r="BE324" s="97" t="str">
        <f>IFERROR(__xludf.DUMMYFUNCTION("""COMPUTED_VALUE"""),"Sin Ficha")</f>
        <v>Sin Ficha</v>
      </c>
      <c r="BF324" s="97"/>
      <c r="BG324" s="97" t="str">
        <f>IFERROR(__xludf.DUMMYFUNCTION("""COMPUTED_VALUE"""),"Discontinuo")</f>
        <v>Discontinuo</v>
      </c>
    </row>
    <row r="325">
      <c r="A325" s="97">
        <f>IFERROR(__xludf.DUMMYFUNCTION("""COMPUTED_VALUE"""),4154.0)</f>
        <v>4154</v>
      </c>
      <c r="B325" s="97" t="str">
        <f>IFERROR(__xludf.DUMMYFUNCTION("""COMPUTED_VALUE"""),"STROFES BL")</f>
        <v>STROFES BL</v>
      </c>
      <c r="C325" s="97" t="str">
        <f>IFERROR(__xludf.DUMMYFUNCTION("""COMPUTED_VALUE"""),"VELADOR STROFES BLANCO LEUK")</f>
        <v>VELADOR STROFES BLANCO LEUK</v>
      </c>
      <c r="D325" s="97">
        <f>IFERROR(__xludf.DUMMYFUNCTION("""COMPUTED_VALUE"""),7.798328758774E12)</f>
        <v>7798328758774</v>
      </c>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t="str">
        <f>IFERROR(__xludf.DUMMYFUNCTION("""COMPUTED_VALUE"""),"IP20")</f>
        <v>IP20</v>
      </c>
      <c r="AE325" s="97"/>
      <c r="AF325" s="97" t="str">
        <f>IFERROR(__xludf.DUMMYFUNCTION("""COMPUTED_VALUE"""),"Autoportante")</f>
        <v>Autoportante</v>
      </c>
      <c r="AG325" s="97"/>
      <c r="AH325" s="97"/>
      <c r="AI325" s="97"/>
      <c r="AJ325" s="97"/>
      <c r="AK325" s="97"/>
      <c r="AL325" s="97"/>
      <c r="AM325" s="97"/>
      <c r="AN325" s="97"/>
      <c r="AO325" s="97" t="str">
        <f>IFERROR(__xludf.DUMMYFUNCTION("""COMPUTED_VALUE"""),"1 Año")</f>
        <v>1 Año</v>
      </c>
      <c r="AP325" s="97"/>
      <c r="AQ325" s="97"/>
      <c r="AR325" s="97"/>
      <c r="AS325" s="97"/>
      <c r="AT325" s="97"/>
      <c r="AU325" s="97"/>
      <c r="AV325" s="97" t="str">
        <f>IFERROR(__xludf.DUMMYFUNCTION("""COMPUTED_VALUE"""),"Mesa")</f>
        <v>Mesa</v>
      </c>
      <c r="AW325" s="97" t="str">
        <f>IFERROR(__xludf.DUMMYFUNCTION("""COMPUTED_VALUE"""),"De Apoyo")</f>
        <v>De Apoyo</v>
      </c>
      <c r="AX325" s="97" t="str">
        <f>IFERROR(__xludf.DUMMYFUNCTION("""COMPUTED_VALUE"""),"Interior")</f>
        <v>Interior</v>
      </c>
      <c r="AY325" s="97"/>
      <c r="AZ325" s="97"/>
      <c r="BA325" s="97"/>
      <c r="BB325" s="97"/>
      <c r="BC325" s="97"/>
      <c r="BD325" s="97" t="str">
        <f>IFERROR(__xludf.DUMMYFUNCTION("""COMPUTED_VALUE"""),"STROFES")</f>
        <v>STROFES</v>
      </c>
      <c r="BE325" s="97" t="str">
        <f>IFERROR(__xludf.DUMMYFUNCTION("""COMPUTED_VALUE"""),"Sin Ficha")</f>
        <v>Sin Ficha</v>
      </c>
      <c r="BF325" s="97"/>
      <c r="BG325" s="97" t="str">
        <f>IFERROR(__xludf.DUMMYFUNCTION("""COMPUTED_VALUE"""),"Discontinuo")</f>
        <v>Discontinuo</v>
      </c>
    </row>
    <row r="326">
      <c r="A326" s="97">
        <f>IFERROR(__xludf.DUMMYFUNCTION("""COMPUTED_VALUE"""),4155.0)</f>
        <v>4155</v>
      </c>
      <c r="B326" s="97" t="str">
        <f>IFERROR(__xludf.DUMMYFUNCTION("""COMPUTED_VALUE"""),"STROFES NG")</f>
        <v>STROFES NG</v>
      </c>
      <c r="C326" s="97" t="str">
        <f>IFERROR(__xludf.DUMMYFUNCTION("""COMPUTED_VALUE"""),"VELADOR STROFES NEGRO LEUK")</f>
        <v>VELADOR STROFES NEGRO LEUK</v>
      </c>
      <c r="D326" s="97">
        <f>IFERROR(__xludf.DUMMYFUNCTION("""COMPUTED_VALUE"""),7.798328758767E12)</f>
        <v>7798328758767</v>
      </c>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t="str">
        <f>IFERROR(__xludf.DUMMYFUNCTION("""COMPUTED_VALUE"""),"IP20")</f>
        <v>IP20</v>
      </c>
      <c r="AE326" s="97"/>
      <c r="AF326" s="97" t="str">
        <f>IFERROR(__xludf.DUMMYFUNCTION("""COMPUTED_VALUE"""),"Autoportante")</f>
        <v>Autoportante</v>
      </c>
      <c r="AG326" s="97"/>
      <c r="AH326" s="97"/>
      <c r="AI326" s="97"/>
      <c r="AJ326" s="97"/>
      <c r="AK326" s="97"/>
      <c r="AL326" s="97"/>
      <c r="AM326" s="97"/>
      <c r="AN326" s="97"/>
      <c r="AO326" s="97" t="str">
        <f>IFERROR(__xludf.DUMMYFUNCTION("""COMPUTED_VALUE"""),"1 Año")</f>
        <v>1 Año</v>
      </c>
      <c r="AP326" s="97"/>
      <c r="AQ326" s="97"/>
      <c r="AR326" s="97"/>
      <c r="AS326" s="97"/>
      <c r="AT326" s="97"/>
      <c r="AU326" s="97"/>
      <c r="AV326" s="97" t="str">
        <f>IFERROR(__xludf.DUMMYFUNCTION("""COMPUTED_VALUE"""),"Mesa")</f>
        <v>Mesa</v>
      </c>
      <c r="AW326" s="97" t="str">
        <f>IFERROR(__xludf.DUMMYFUNCTION("""COMPUTED_VALUE"""),"De Apoyo")</f>
        <v>De Apoyo</v>
      </c>
      <c r="AX326" s="97" t="str">
        <f>IFERROR(__xludf.DUMMYFUNCTION("""COMPUTED_VALUE"""),"Interior")</f>
        <v>Interior</v>
      </c>
      <c r="AY326" s="97"/>
      <c r="AZ326" s="97"/>
      <c r="BA326" s="97"/>
      <c r="BB326" s="97"/>
      <c r="BC326" s="97"/>
      <c r="BD326" s="97" t="str">
        <f>IFERROR(__xludf.DUMMYFUNCTION("""COMPUTED_VALUE"""),"STROFES")</f>
        <v>STROFES</v>
      </c>
      <c r="BE326" s="97" t="str">
        <f>IFERROR(__xludf.DUMMYFUNCTION("""COMPUTED_VALUE"""),"Sin Ficha")</f>
        <v>Sin Ficha</v>
      </c>
      <c r="BF326" s="97"/>
      <c r="BG326" s="97" t="str">
        <f>IFERROR(__xludf.DUMMYFUNCTION("""COMPUTED_VALUE"""),"Discontinuo")</f>
        <v>Discontinuo</v>
      </c>
    </row>
    <row r="327">
      <c r="A327" s="97">
        <f>IFERROR(__xludf.DUMMYFUNCTION("""COMPUTED_VALUE"""),4156.0)</f>
        <v>4156</v>
      </c>
      <c r="B327" s="97" t="str">
        <f>IFERROR(__xludf.DUMMYFUNCTION("""COMPUTED_VALUE"""),"JARICA BL")</f>
        <v>JARICA BL</v>
      </c>
      <c r="C327" s="97" t="str">
        <f>IFERROR(__xludf.DUMMYFUNCTION("""COMPUTED_VALUE"""),"VELADOR JARICA BLANCO LEUK")</f>
        <v>VELADOR JARICA BLANCO LEUK</v>
      </c>
      <c r="D327" s="97">
        <f>IFERROR(__xludf.DUMMYFUNCTION("""COMPUTED_VALUE"""),7.798328759139E12)</f>
        <v>7798328759139</v>
      </c>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t="str">
        <f>IFERROR(__xludf.DUMMYFUNCTION("""COMPUTED_VALUE"""),"IP20")</f>
        <v>IP20</v>
      </c>
      <c r="AE327" s="97"/>
      <c r="AF327" s="97" t="str">
        <f>IFERROR(__xludf.DUMMYFUNCTION("""COMPUTED_VALUE"""),"Autoportante")</f>
        <v>Autoportante</v>
      </c>
      <c r="AG327" s="97"/>
      <c r="AH327" s="97"/>
      <c r="AI327" s="97"/>
      <c r="AJ327" s="97"/>
      <c r="AK327" s="97"/>
      <c r="AL327" s="97"/>
      <c r="AM327" s="97"/>
      <c r="AN327" s="97"/>
      <c r="AO327" s="97" t="str">
        <f>IFERROR(__xludf.DUMMYFUNCTION("""COMPUTED_VALUE"""),"1 Año")</f>
        <v>1 Año</v>
      </c>
      <c r="AP327" s="97"/>
      <c r="AQ327" s="97"/>
      <c r="AR327" s="97"/>
      <c r="AS327" s="97"/>
      <c r="AT327" s="97"/>
      <c r="AU327" s="97"/>
      <c r="AV327" s="97" t="str">
        <f>IFERROR(__xludf.DUMMYFUNCTION("""COMPUTED_VALUE"""),"Mesa")</f>
        <v>Mesa</v>
      </c>
      <c r="AW327" s="97" t="str">
        <f>IFERROR(__xludf.DUMMYFUNCTION("""COMPUTED_VALUE"""),"De Apoyo")</f>
        <v>De Apoyo</v>
      </c>
      <c r="AX327" s="97" t="str">
        <f>IFERROR(__xludf.DUMMYFUNCTION("""COMPUTED_VALUE"""),"Interior")</f>
        <v>Interior</v>
      </c>
      <c r="AY327" s="97"/>
      <c r="AZ327" s="97"/>
      <c r="BA327" s="97"/>
      <c r="BB327" s="97"/>
      <c r="BC327" s="97"/>
      <c r="BD327" s="97" t="str">
        <f>IFERROR(__xludf.DUMMYFUNCTION("""COMPUTED_VALUE"""),"JARICA")</f>
        <v>JARICA</v>
      </c>
      <c r="BE327" s="97" t="str">
        <f>IFERROR(__xludf.DUMMYFUNCTION("""COMPUTED_VALUE"""),"Sin Ficha")</f>
        <v>Sin Ficha</v>
      </c>
      <c r="BF327" s="97"/>
      <c r="BG327" s="97" t="str">
        <f>IFERROR(__xludf.DUMMYFUNCTION("""COMPUTED_VALUE"""),"Discontinuo")</f>
        <v>Discontinuo</v>
      </c>
    </row>
    <row r="328">
      <c r="A328" s="97">
        <f>IFERROR(__xludf.DUMMYFUNCTION("""COMPUTED_VALUE"""),4157.0)</f>
        <v>4157</v>
      </c>
      <c r="B328" s="97" t="str">
        <f>IFERROR(__xludf.DUMMYFUNCTION("""COMPUTED_VALUE"""),"JARICA NG")</f>
        <v>JARICA NG</v>
      </c>
      <c r="C328" s="97" t="str">
        <f>IFERROR(__xludf.DUMMYFUNCTION("""COMPUTED_VALUE"""),"VELADOR JARICA NEGRO LEUK")</f>
        <v>VELADOR JARICA NEGRO LEUK</v>
      </c>
      <c r="D328" s="97">
        <f>IFERROR(__xludf.DUMMYFUNCTION("""COMPUTED_VALUE"""),7.798328759702E12)</f>
        <v>7798328759702</v>
      </c>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t="str">
        <f>IFERROR(__xludf.DUMMYFUNCTION("""COMPUTED_VALUE"""),"IP20")</f>
        <v>IP20</v>
      </c>
      <c r="AE328" s="97"/>
      <c r="AF328" s="97" t="str">
        <f>IFERROR(__xludf.DUMMYFUNCTION("""COMPUTED_VALUE"""),"Autoportante")</f>
        <v>Autoportante</v>
      </c>
      <c r="AG328" s="97"/>
      <c r="AH328" s="97"/>
      <c r="AI328" s="97"/>
      <c r="AJ328" s="97"/>
      <c r="AK328" s="97"/>
      <c r="AL328" s="97"/>
      <c r="AM328" s="97"/>
      <c r="AN328" s="97"/>
      <c r="AO328" s="97" t="str">
        <f>IFERROR(__xludf.DUMMYFUNCTION("""COMPUTED_VALUE"""),"1 Año")</f>
        <v>1 Año</v>
      </c>
      <c r="AP328" s="97"/>
      <c r="AQ328" s="97"/>
      <c r="AR328" s="97"/>
      <c r="AS328" s="97"/>
      <c r="AT328" s="97"/>
      <c r="AU328" s="97"/>
      <c r="AV328" s="97" t="str">
        <f>IFERROR(__xludf.DUMMYFUNCTION("""COMPUTED_VALUE"""),"Mesa")</f>
        <v>Mesa</v>
      </c>
      <c r="AW328" s="97" t="str">
        <f>IFERROR(__xludf.DUMMYFUNCTION("""COMPUTED_VALUE"""),"De Apoyo")</f>
        <v>De Apoyo</v>
      </c>
      <c r="AX328" s="97" t="str">
        <f>IFERROR(__xludf.DUMMYFUNCTION("""COMPUTED_VALUE"""),"Interior")</f>
        <v>Interior</v>
      </c>
      <c r="AY328" s="97"/>
      <c r="AZ328" s="97"/>
      <c r="BA328" s="97"/>
      <c r="BB328" s="97"/>
      <c r="BC328" s="97"/>
      <c r="BD328" s="97" t="str">
        <f>IFERROR(__xludf.DUMMYFUNCTION("""COMPUTED_VALUE"""),"JARICA")</f>
        <v>JARICA</v>
      </c>
      <c r="BE328" s="97" t="str">
        <f>IFERROR(__xludf.DUMMYFUNCTION("""COMPUTED_VALUE"""),"Sin Ficha")</f>
        <v>Sin Ficha</v>
      </c>
      <c r="BF328" s="97"/>
      <c r="BG328" s="97" t="str">
        <f>IFERROR(__xludf.DUMMYFUNCTION("""COMPUTED_VALUE"""),"Discontinuo")</f>
        <v>Discontinuo</v>
      </c>
    </row>
    <row r="329">
      <c r="A329" s="97">
        <f>IFERROR(__xludf.DUMMYFUNCTION("""COMPUTED_VALUE"""),4158.0)</f>
        <v>4158</v>
      </c>
      <c r="B329" s="97" t="str">
        <f>IFERROR(__xludf.DUMMYFUNCTION("""COMPUTED_VALUE"""),"ARETE")</f>
        <v>ARETE</v>
      </c>
      <c r="C329" s="97" t="str">
        <f>IFERROR(__xludf.DUMMYFUNCTION("""COMPUTED_VALUE"""),"APLIQUE ARETE LEUK")</f>
        <v>APLIQUE ARETE LEUK</v>
      </c>
      <c r="D329" s="97">
        <f>IFERROR(__xludf.DUMMYFUNCTION("""COMPUTED_VALUE"""),7.798328759306E12)</f>
        <v>7798328759306</v>
      </c>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c r="AF329" s="97" t="str">
        <f>IFERROR(__xludf.DUMMYFUNCTION("""COMPUTED_VALUE"""),"Aplicar")</f>
        <v>Aplicar</v>
      </c>
      <c r="AG329" s="97"/>
      <c r="AH329" s="97"/>
      <c r="AI329" s="97"/>
      <c r="AJ329" s="97"/>
      <c r="AK329" s="97"/>
      <c r="AL329" s="97"/>
      <c r="AM329" s="97"/>
      <c r="AN329" s="97"/>
      <c r="AO329" s="97" t="str">
        <f>IFERROR(__xludf.DUMMYFUNCTION("""COMPUTED_VALUE"""),"1 Año")</f>
        <v>1 Año</v>
      </c>
      <c r="AP329" s="97"/>
      <c r="AQ329" s="97"/>
      <c r="AR329" s="97"/>
      <c r="AS329" s="97"/>
      <c r="AT329" s="97"/>
      <c r="AU329" s="97"/>
      <c r="AV329" s="97" t="str">
        <f>IFERROR(__xludf.DUMMYFUNCTION("""COMPUTED_VALUE"""),"Aplique")</f>
        <v>Aplique</v>
      </c>
      <c r="AW329" s="97" t="str">
        <f>IFERROR(__xludf.DUMMYFUNCTION("""COMPUTED_VALUE"""),"De Pared")</f>
        <v>De Pared</v>
      </c>
      <c r="AX329" s="97" t="str">
        <f>IFERROR(__xludf.DUMMYFUNCTION("""COMPUTED_VALUE"""),"Interior")</f>
        <v>Interior</v>
      </c>
      <c r="AY329" s="97"/>
      <c r="AZ329" s="97"/>
      <c r="BA329" s="97"/>
      <c r="BB329" s="97"/>
      <c r="BC329" s="97"/>
      <c r="BD329" s="97" t="str">
        <f>IFERROR(__xludf.DUMMYFUNCTION("""COMPUTED_VALUE"""),"ARETE")</f>
        <v>ARETE</v>
      </c>
      <c r="BE329" s="97" t="str">
        <f>IFERROR(__xludf.DUMMYFUNCTION("""COMPUTED_VALUE"""),"Sin Ficha")</f>
        <v>Sin Ficha</v>
      </c>
      <c r="BF329" s="97"/>
      <c r="BG329" s="97" t="str">
        <f>IFERROR(__xludf.DUMMYFUNCTION("""COMPUTED_VALUE"""),"Discontinuo")</f>
        <v>Discontinuo</v>
      </c>
    </row>
    <row r="330">
      <c r="A330" s="97">
        <f>IFERROR(__xludf.DUMMYFUNCTION("""COMPUTED_VALUE"""),4159.0)</f>
        <v>4159</v>
      </c>
      <c r="B330" s="97" t="str">
        <f>IFERROR(__xludf.DUMMYFUNCTION("""COMPUTED_VALUE"""),"IKOSI")</f>
        <v>IKOSI</v>
      </c>
      <c r="C330" s="97" t="str">
        <f>IFERROR(__xludf.DUMMYFUNCTION("""COMPUTED_VALUE"""),"VELADOR IKOSI LEUK")</f>
        <v>VELADOR IKOSI LEUK</v>
      </c>
      <c r="D330" s="97">
        <f>IFERROR(__xludf.DUMMYFUNCTION("""COMPUTED_VALUE"""),7.798328759214E12)</f>
        <v>7798328759214</v>
      </c>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t="str">
        <f>IFERROR(__xludf.DUMMYFUNCTION("""COMPUTED_VALUE"""),"IP20")</f>
        <v>IP20</v>
      </c>
      <c r="AE330" s="97"/>
      <c r="AF330" s="97" t="str">
        <f>IFERROR(__xludf.DUMMYFUNCTION("""COMPUTED_VALUE"""),"Autoportante")</f>
        <v>Autoportante</v>
      </c>
      <c r="AG330" s="97"/>
      <c r="AH330" s="97"/>
      <c r="AI330" s="97"/>
      <c r="AJ330" s="97"/>
      <c r="AK330" s="97"/>
      <c r="AL330" s="97"/>
      <c r="AM330" s="97"/>
      <c r="AN330" s="97"/>
      <c r="AO330" s="97" t="str">
        <f>IFERROR(__xludf.DUMMYFUNCTION("""COMPUTED_VALUE"""),"1 Año")</f>
        <v>1 Año</v>
      </c>
      <c r="AP330" s="97"/>
      <c r="AQ330" s="97"/>
      <c r="AR330" s="97"/>
      <c r="AS330" s="97"/>
      <c r="AT330" s="97"/>
      <c r="AU330" s="97"/>
      <c r="AV330" s="97" t="str">
        <f>IFERROR(__xludf.DUMMYFUNCTION("""COMPUTED_VALUE"""),"Mesa")</f>
        <v>Mesa</v>
      </c>
      <c r="AW330" s="97" t="str">
        <f>IFERROR(__xludf.DUMMYFUNCTION("""COMPUTED_VALUE"""),"De Apoyo")</f>
        <v>De Apoyo</v>
      </c>
      <c r="AX330" s="97" t="str">
        <f>IFERROR(__xludf.DUMMYFUNCTION("""COMPUTED_VALUE"""),"Interior")</f>
        <v>Interior</v>
      </c>
      <c r="AY330" s="97"/>
      <c r="AZ330" s="97"/>
      <c r="BA330" s="97"/>
      <c r="BB330" s="97"/>
      <c r="BC330" s="97"/>
      <c r="BD330" s="97" t="str">
        <f>IFERROR(__xludf.DUMMYFUNCTION("""COMPUTED_VALUE"""),"IKOSI")</f>
        <v>IKOSI</v>
      </c>
      <c r="BE330" s="97" t="str">
        <f>IFERROR(__xludf.DUMMYFUNCTION("""COMPUTED_VALUE"""),"Sin Ficha")</f>
        <v>Sin Ficha</v>
      </c>
      <c r="BF330" s="97"/>
      <c r="BG330" s="97" t="str">
        <f>IFERROR(__xludf.DUMMYFUNCTION("""COMPUTED_VALUE"""),"Discontinuo")</f>
        <v>Discontinuo</v>
      </c>
    </row>
    <row r="331">
      <c r="A331" s="97">
        <f>IFERROR(__xludf.DUMMYFUNCTION("""COMPUTED_VALUE"""),4160.0)</f>
        <v>4160</v>
      </c>
      <c r="B331" s="97" t="str">
        <f>IFERROR(__xludf.DUMMYFUNCTION("""COMPUTED_VALUE"""),"EKATO")</f>
        <v>EKATO</v>
      </c>
      <c r="C331" s="97" t="str">
        <f>IFERROR(__xludf.DUMMYFUNCTION("""COMPUTED_VALUE"""),"VELADOR EKATO LEUK")</f>
        <v>VELADOR EKATO LEUK</v>
      </c>
      <c r="D331" s="97">
        <f>IFERROR(__xludf.DUMMYFUNCTION("""COMPUTED_VALUE"""),7.798328759221E12)</f>
        <v>7798328759221</v>
      </c>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t="str">
        <f>IFERROR(__xludf.DUMMYFUNCTION("""COMPUTED_VALUE"""),"IP20")</f>
        <v>IP20</v>
      </c>
      <c r="AE331" s="97"/>
      <c r="AF331" s="97" t="str">
        <f>IFERROR(__xludf.DUMMYFUNCTION("""COMPUTED_VALUE"""),"Autoportante")</f>
        <v>Autoportante</v>
      </c>
      <c r="AG331" s="97"/>
      <c r="AH331" s="97"/>
      <c r="AI331" s="97"/>
      <c r="AJ331" s="97"/>
      <c r="AK331" s="97"/>
      <c r="AL331" s="97"/>
      <c r="AM331" s="97"/>
      <c r="AN331" s="97"/>
      <c r="AO331" s="97" t="str">
        <f>IFERROR(__xludf.DUMMYFUNCTION("""COMPUTED_VALUE"""),"1 Año")</f>
        <v>1 Año</v>
      </c>
      <c r="AP331" s="97"/>
      <c r="AQ331" s="97"/>
      <c r="AR331" s="97"/>
      <c r="AS331" s="97"/>
      <c r="AT331" s="97"/>
      <c r="AU331" s="97"/>
      <c r="AV331" s="97" t="str">
        <f>IFERROR(__xludf.DUMMYFUNCTION("""COMPUTED_VALUE"""),"Mesa")</f>
        <v>Mesa</v>
      </c>
      <c r="AW331" s="97" t="str">
        <f>IFERROR(__xludf.DUMMYFUNCTION("""COMPUTED_VALUE"""),"De Apoyo")</f>
        <v>De Apoyo</v>
      </c>
      <c r="AX331" s="97" t="str">
        <f>IFERROR(__xludf.DUMMYFUNCTION("""COMPUTED_VALUE"""),"Interior")</f>
        <v>Interior</v>
      </c>
      <c r="AY331" s="97"/>
      <c r="AZ331" s="97"/>
      <c r="BA331" s="97"/>
      <c r="BB331" s="97"/>
      <c r="BC331" s="97"/>
      <c r="BD331" s="97" t="str">
        <f>IFERROR(__xludf.DUMMYFUNCTION("""COMPUTED_VALUE"""),"EKATO")</f>
        <v>EKATO</v>
      </c>
      <c r="BE331" s="97" t="str">
        <f>IFERROR(__xludf.DUMMYFUNCTION("""COMPUTED_VALUE"""),"Sin Ficha")</f>
        <v>Sin Ficha</v>
      </c>
      <c r="BF331" s="97"/>
      <c r="BG331" s="97" t="str">
        <f>IFERROR(__xludf.DUMMYFUNCTION("""COMPUTED_VALUE"""),"Discontinuo")</f>
        <v>Discontinuo</v>
      </c>
    </row>
    <row r="332">
      <c r="A332" s="97">
        <f>IFERROR(__xludf.DUMMYFUNCTION("""COMPUTED_VALUE"""),4161.0)</f>
        <v>4161</v>
      </c>
      <c r="B332" s="97" t="str">
        <f>IFERROR(__xludf.DUMMYFUNCTION("""COMPUTED_VALUE"""),"DUO")</f>
        <v>DUO</v>
      </c>
      <c r="C332" s="97" t="str">
        <f>IFERROR(__xludf.DUMMYFUNCTION("""COMPUTED_VALUE"""),"LAMPARA DE PIE DUO LEUK")</f>
        <v>LAMPARA DE PIE DUO LEUK</v>
      </c>
      <c r="D332" s="97">
        <f>IFERROR(__xludf.DUMMYFUNCTION("""COMPUTED_VALUE"""),7.798328755643E12)</f>
        <v>7798328755643</v>
      </c>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t="str">
        <f>IFERROR(__xludf.DUMMYFUNCTION("""COMPUTED_VALUE"""),"IP20")</f>
        <v>IP20</v>
      </c>
      <c r="AE332" s="97"/>
      <c r="AF332" s="97" t="str">
        <f>IFERROR(__xludf.DUMMYFUNCTION("""COMPUTED_VALUE"""),"Autoportante")</f>
        <v>Autoportante</v>
      </c>
      <c r="AG332" s="97"/>
      <c r="AH332" s="97"/>
      <c r="AI332" s="97"/>
      <c r="AJ332" s="97"/>
      <c r="AK332" s="97"/>
      <c r="AL332" s="97"/>
      <c r="AM332" s="97"/>
      <c r="AN332" s="97"/>
      <c r="AO332" s="97" t="str">
        <f>IFERROR(__xludf.DUMMYFUNCTION("""COMPUTED_VALUE"""),"1 Año")</f>
        <v>1 Año</v>
      </c>
      <c r="AP332" s="97"/>
      <c r="AQ332" s="97"/>
      <c r="AR332" s="97"/>
      <c r="AS332" s="97"/>
      <c r="AT332" s="97"/>
      <c r="AU332" s="97"/>
      <c r="AV332" s="97" t="str">
        <f>IFERROR(__xludf.DUMMYFUNCTION("""COMPUTED_VALUE"""),"Pie")</f>
        <v>Pie</v>
      </c>
      <c r="AW332" s="97" t="str">
        <f>IFERROR(__xludf.DUMMYFUNCTION("""COMPUTED_VALUE"""),"De Apoyo")</f>
        <v>De Apoyo</v>
      </c>
      <c r="AX332" s="97" t="str">
        <f>IFERROR(__xludf.DUMMYFUNCTION("""COMPUTED_VALUE"""),"Interior")</f>
        <v>Interior</v>
      </c>
      <c r="AY332" s="97"/>
      <c r="AZ332" s="97"/>
      <c r="BA332" s="97"/>
      <c r="BB332" s="97"/>
      <c r="BC332" s="97"/>
      <c r="BD332" s="97" t="str">
        <f>IFERROR(__xludf.DUMMYFUNCTION("""COMPUTED_VALUE"""),"DUO")</f>
        <v>DUO</v>
      </c>
      <c r="BE332" s="97" t="str">
        <f>IFERROR(__xludf.DUMMYFUNCTION("""COMPUTED_VALUE"""),"Sin Ficha")</f>
        <v>Sin Ficha</v>
      </c>
      <c r="BF332" s="97"/>
      <c r="BG332" s="97" t="str">
        <f>IFERROR(__xludf.DUMMYFUNCTION("""COMPUTED_VALUE"""),"Discontinuo")</f>
        <v>Discontinuo</v>
      </c>
    </row>
    <row r="333">
      <c r="A333" s="97">
        <f>IFERROR(__xludf.DUMMYFUNCTION("""COMPUTED_VALUE"""),4162.0)</f>
        <v>4162</v>
      </c>
      <c r="B333" s="97" t="str">
        <f>IFERROR(__xludf.DUMMYFUNCTION("""COMPUTED_VALUE"""),"ADIAFA")</f>
        <v>ADIAFA</v>
      </c>
      <c r="C333" s="97" t="str">
        <f>IFERROR(__xludf.DUMMYFUNCTION("""COMPUTED_VALUE"""),"LAMPARA DE PIE ADIAFA LEUK")</f>
        <v>LAMPARA DE PIE ADIAFA LEUK</v>
      </c>
      <c r="D333" s="97">
        <f>IFERROR(__xludf.DUMMYFUNCTION("""COMPUTED_VALUE"""),7.798328755391E12)</f>
        <v>7798328755391</v>
      </c>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t="str">
        <f>IFERROR(__xludf.DUMMYFUNCTION("""COMPUTED_VALUE"""),"IP20")</f>
        <v>IP20</v>
      </c>
      <c r="AE333" s="97"/>
      <c r="AF333" s="97" t="str">
        <f>IFERROR(__xludf.DUMMYFUNCTION("""COMPUTED_VALUE"""),"Autoportante")</f>
        <v>Autoportante</v>
      </c>
      <c r="AG333" s="97"/>
      <c r="AH333" s="97"/>
      <c r="AI333" s="97"/>
      <c r="AJ333" s="97"/>
      <c r="AK333" s="97"/>
      <c r="AL333" s="97"/>
      <c r="AM333" s="97"/>
      <c r="AN333" s="97"/>
      <c r="AO333" s="97" t="str">
        <f>IFERROR(__xludf.DUMMYFUNCTION("""COMPUTED_VALUE"""),"1 Año")</f>
        <v>1 Año</v>
      </c>
      <c r="AP333" s="97"/>
      <c r="AQ333" s="97"/>
      <c r="AR333" s="97"/>
      <c r="AS333" s="97"/>
      <c r="AT333" s="97"/>
      <c r="AU333" s="97"/>
      <c r="AV333" s="97" t="str">
        <f>IFERROR(__xludf.DUMMYFUNCTION("""COMPUTED_VALUE"""),"Pie")</f>
        <v>Pie</v>
      </c>
      <c r="AW333" s="97" t="str">
        <f>IFERROR(__xludf.DUMMYFUNCTION("""COMPUTED_VALUE"""),"De Apoyo")</f>
        <v>De Apoyo</v>
      </c>
      <c r="AX333" s="97" t="str">
        <f>IFERROR(__xludf.DUMMYFUNCTION("""COMPUTED_VALUE"""),"Interior")</f>
        <v>Interior</v>
      </c>
      <c r="AY333" s="97"/>
      <c r="AZ333" s="97"/>
      <c r="BA333" s="97"/>
      <c r="BB333" s="97"/>
      <c r="BC333" s="97"/>
      <c r="BD333" s="97" t="str">
        <f>IFERROR(__xludf.DUMMYFUNCTION("""COMPUTED_VALUE"""),"ADIAFA")</f>
        <v>ADIAFA</v>
      </c>
      <c r="BE333" s="97" t="str">
        <f>IFERROR(__xludf.DUMMYFUNCTION("""COMPUTED_VALUE"""),"Sin Ficha")</f>
        <v>Sin Ficha</v>
      </c>
      <c r="BF333" s="97"/>
      <c r="BG333" s="97" t="str">
        <f>IFERROR(__xludf.DUMMYFUNCTION("""COMPUTED_VALUE"""),"Discontinuo")</f>
        <v>Discontinuo</v>
      </c>
    </row>
    <row r="334">
      <c r="A334" s="97">
        <f>IFERROR(__xludf.DUMMYFUNCTION("""COMPUTED_VALUE"""),4163.0)</f>
        <v>4163</v>
      </c>
      <c r="B334" s="97" t="str">
        <f>IFERROR(__xludf.DUMMYFUNCTION("""COMPUTED_VALUE"""),"FYLAKA")</f>
        <v>FYLAKA</v>
      </c>
      <c r="C334" s="97" t="str">
        <f>IFERROR(__xludf.DUMMYFUNCTION("""COMPUTED_VALUE"""),"VELADOR FYLAKA LEUK")</f>
        <v>VELADOR FYLAKA LEUK</v>
      </c>
      <c r="D334" s="97">
        <f>IFERROR(__xludf.DUMMYFUNCTION("""COMPUTED_VALUE"""),7.79832875565E12)</f>
        <v>7798328755650</v>
      </c>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t="str">
        <f>IFERROR(__xludf.DUMMYFUNCTION("""COMPUTED_VALUE"""),"IP20")</f>
        <v>IP20</v>
      </c>
      <c r="AE334" s="97"/>
      <c r="AF334" s="97" t="str">
        <f>IFERROR(__xludf.DUMMYFUNCTION("""COMPUTED_VALUE"""),"Autoportante")</f>
        <v>Autoportante</v>
      </c>
      <c r="AG334" s="97"/>
      <c r="AH334" s="97"/>
      <c r="AI334" s="97"/>
      <c r="AJ334" s="97"/>
      <c r="AK334" s="97"/>
      <c r="AL334" s="97"/>
      <c r="AM334" s="97"/>
      <c r="AN334" s="97"/>
      <c r="AO334" s="97" t="str">
        <f>IFERROR(__xludf.DUMMYFUNCTION("""COMPUTED_VALUE"""),"1 Año")</f>
        <v>1 Año</v>
      </c>
      <c r="AP334" s="97"/>
      <c r="AQ334" s="97"/>
      <c r="AR334" s="97"/>
      <c r="AS334" s="97"/>
      <c r="AT334" s="97"/>
      <c r="AU334" s="97"/>
      <c r="AV334" s="97" t="str">
        <f>IFERROR(__xludf.DUMMYFUNCTION("""COMPUTED_VALUE"""),"Mesa")</f>
        <v>Mesa</v>
      </c>
      <c r="AW334" s="97" t="str">
        <f>IFERROR(__xludf.DUMMYFUNCTION("""COMPUTED_VALUE"""),"De Apoyo")</f>
        <v>De Apoyo</v>
      </c>
      <c r="AX334" s="97" t="str">
        <f>IFERROR(__xludf.DUMMYFUNCTION("""COMPUTED_VALUE"""),"Interior")</f>
        <v>Interior</v>
      </c>
      <c r="AY334" s="97"/>
      <c r="AZ334" s="97"/>
      <c r="BA334" s="97"/>
      <c r="BB334" s="97"/>
      <c r="BC334" s="97"/>
      <c r="BD334" s="97" t="str">
        <f>IFERROR(__xludf.DUMMYFUNCTION("""COMPUTED_VALUE"""),"FYLAKA")</f>
        <v>FYLAKA</v>
      </c>
      <c r="BE334" s="97" t="str">
        <f>IFERROR(__xludf.DUMMYFUNCTION("""COMPUTED_VALUE"""),"Sin Ficha")</f>
        <v>Sin Ficha</v>
      </c>
      <c r="BF334" s="97"/>
      <c r="BG334" s="97" t="str">
        <f>IFERROR(__xludf.DUMMYFUNCTION("""COMPUTED_VALUE"""),"Discontinuo")</f>
        <v>Discontinuo</v>
      </c>
    </row>
    <row r="335">
      <c r="A335" s="97">
        <f>IFERROR(__xludf.DUMMYFUNCTION("""COMPUTED_VALUE"""),4164.0)</f>
        <v>4164</v>
      </c>
      <c r="B335" s="97" t="str">
        <f>IFERROR(__xludf.DUMMYFUNCTION("""COMPUTED_VALUE"""),"MARMA")</f>
        <v>MARMA</v>
      </c>
      <c r="C335" s="97" t="str">
        <f>IFERROR(__xludf.DUMMYFUNCTION("""COMPUTED_VALUE"""),"VELADOR MARMA LEUK")</f>
        <v>VELADOR MARMA LEUK</v>
      </c>
      <c r="D335" s="97">
        <f>IFERROR(__xludf.DUMMYFUNCTION("""COMPUTED_VALUE"""),7.798328755445E12)</f>
        <v>7798328755445</v>
      </c>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t="str">
        <f>IFERROR(__xludf.DUMMYFUNCTION("""COMPUTED_VALUE"""),"IP20")</f>
        <v>IP20</v>
      </c>
      <c r="AE335" s="97"/>
      <c r="AF335" s="97" t="str">
        <f>IFERROR(__xludf.DUMMYFUNCTION("""COMPUTED_VALUE"""),"Autoportante")</f>
        <v>Autoportante</v>
      </c>
      <c r="AG335" s="97"/>
      <c r="AH335" s="97"/>
      <c r="AI335" s="97"/>
      <c r="AJ335" s="97"/>
      <c r="AK335" s="97"/>
      <c r="AL335" s="97"/>
      <c r="AM335" s="97"/>
      <c r="AN335" s="97"/>
      <c r="AO335" s="97" t="str">
        <f>IFERROR(__xludf.DUMMYFUNCTION("""COMPUTED_VALUE"""),"1 Año")</f>
        <v>1 Año</v>
      </c>
      <c r="AP335" s="97"/>
      <c r="AQ335" s="97"/>
      <c r="AR335" s="97"/>
      <c r="AS335" s="97"/>
      <c r="AT335" s="97"/>
      <c r="AU335" s="97"/>
      <c r="AV335" s="97" t="str">
        <f>IFERROR(__xludf.DUMMYFUNCTION("""COMPUTED_VALUE"""),"Mesa")</f>
        <v>Mesa</v>
      </c>
      <c r="AW335" s="97" t="str">
        <f>IFERROR(__xludf.DUMMYFUNCTION("""COMPUTED_VALUE"""),"De Apoyo")</f>
        <v>De Apoyo</v>
      </c>
      <c r="AX335" s="97" t="str">
        <f>IFERROR(__xludf.DUMMYFUNCTION("""COMPUTED_VALUE"""),"Interior")</f>
        <v>Interior</v>
      </c>
      <c r="AY335" s="97"/>
      <c r="AZ335" s="97"/>
      <c r="BA335" s="97"/>
      <c r="BB335" s="97"/>
      <c r="BC335" s="97"/>
      <c r="BD335" s="97" t="str">
        <f>IFERROR(__xludf.DUMMYFUNCTION("""COMPUTED_VALUE"""),"MARMA")</f>
        <v>MARMA</v>
      </c>
      <c r="BE335" s="97" t="str">
        <f>IFERROR(__xludf.DUMMYFUNCTION("""COMPUTED_VALUE"""),"Sin Ficha")</f>
        <v>Sin Ficha</v>
      </c>
      <c r="BF335" s="97"/>
      <c r="BG335" s="97" t="str">
        <f>IFERROR(__xludf.DUMMYFUNCTION("""COMPUTED_VALUE"""),"Discontinuo")</f>
        <v>Discontinuo</v>
      </c>
    </row>
    <row r="336">
      <c r="A336" s="97">
        <f>IFERROR(__xludf.DUMMYFUNCTION("""COMPUTED_VALUE"""),4165.0)</f>
        <v>4165</v>
      </c>
      <c r="B336" s="97" t="str">
        <f>IFERROR(__xludf.DUMMYFUNCTION("""COMPUTED_VALUE"""),"GEMIS BL")</f>
        <v>GEMIS BL</v>
      </c>
      <c r="C336" s="97" t="str">
        <f>IFERROR(__xludf.DUMMYFUNCTION("""COMPUTED_VALUE"""),"VELADOR GEMIS BLANCO LEUK")</f>
        <v>VELADOR GEMIS BLANCO LEUK</v>
      </c>
      <c r="D336" s="97">
        <f>IFERROR(__xludf.DUMMYFUNCTION("""COMPUTED_VALUE"""),7.798328755421E12)</f>
        <v>7798328755421</v>
      </c>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t="str">
        <f>IFERROR(__xludf.DUMMYFUNCTION("""COMPUTED_VALUE"""),"IP20")</f>
        <v>IP20</v>
      </c>
      <c r="AE336" s="97"/>
      <c r="AF336" s="97" t="str">
        <f>IFERROR(__xludf.DUMMYFUNCTION("""COMPUTED_VALUE"""),"Autoportante")</f>
        <v>Autoportante</v>
      </c>
      <c r="AG336" s="97"/>
      <c r="AH336" s="97"/>
      <c r="AI336" s="97"/>
      <c r="AJ336" s="97"/>
      <c r="AK336" s="97"/>
      <c r="AL336" s="97"/>
      <c r="AM336" s="97"/>
      <c r="AN336" s="97"/>
      <c r="AO336" s="97" t="str">
        <f>IFERROR(__xludf.DUMMYFUNCTION("""COMPUTED_VALUE"""),"1 Año")</f>
        <v>1 Año</v>
      </c>
      <c r="AP336" s="97"/>
      <c r="AQ336" s="97"/>
      <c r="AR336" s="97"/>
      <c r="AS336" s="97"/>
      <c r="AT336" s="97"/>
      <c r="AU336" s="97"/>
      <c r="AV336" s="97" t="str">
        <f>IFERROR(__xludf.DUMMYFUNCTION("""COMPUTED_VALUE"""),"Mesa")</f>
        <v>Mesa</v>
      </c>
      <c r="AW336" s="97" t="str">
        <f>IFERROR(__xludf.DUMMYFUNCTION("""COMPUTED_VALUE"""),"De Apoyo")</f>
        <v>De Apoyo</v>
      </c>
      <c r="AX336" s="97" t="str">
        <f>IFERROR(__xludf.DUMMYFUNCTION("""COMPUTED_VALUE"""),"Interior")</f>
        <v>Interior</v>
      </c>
      <c r="AY336" s="97"/>
      <c r="AZ336" s="97"/>
      <c r="BA336" s="97"/>
      <c r="BB336" s="97"/>
      <c r="BC336" s="97"/>
      <c r="BD336" s="97" t="str">
        <f>IFERROR(__xludf.DUMMYFUNCTION("""COMPUTED_VALUE"""),"GEMIS")</f>
        <v>GEMIS</v>
      </c>
      <c r="BE336" s="97" t="str">
        <f>IFERROR(__xludf.DUMMYFUNCTION("""COMPUTED_VALUE"""),"Sin Ficha")</f>
        <v>Sin Ficha</v>
      </c>
      <c r="BF336" s="97"/>
      <c r="BG336" s="97" t="str">
        <f>IFERROR(__xludf.DUMMYFUNCTION("""COMPUTED_VALUE"""),"Discontinuo")</f>
        <v>Discontinuo</v>
      </c>
    </row>
    <row r="337">
      <c r="A337" s="97">
        <f>IFERROR(__xludf.DUMMYFUNCTION("""COMPUTED_VALUE"""),4166.0)</f>
        <v>4166</v>
      </c>
      <c r="B337" s="97" t="str">
        <f>IFERROR(__xludf.DUMMYFUNCTION("""COMPUTED_VALUE"""),"GEMIS NG")</f>
        <v>GEMIS NG</v>
      </c>
      <c r="C337" s="97" t="str">
        <f>IFERROR(__xludf.DUMMYFUNCTION("""COMPUTED_VALUE"""),"VELADOR GEMIS NEGRO LEUK")</f>
        <v>VELADOR GEMIS NEGRO LEUK</v>
      </c>
      <c r="D337" s="97">
        <f>IFERROR(__xludf.DUMMYFUNCTION("""COMPUTED_VALUE"""),7.798328755438E12)</f>
        <v>7798328755438</v>
      </c>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t="str">
        <f>IFERROR(__xludf.DUMMYFUNCTION("""COMPUTED_VALUE"""),"IP20")</f>
        <v>IP20</v>
      </c>
      <c r="AE337" s="97"/>
      <c r="AF337" s="97" t="str">
        <f>IFERROR(__xludf.DUMMYFUNCTION("""COMPUTED_VALUE"""),"Autoportante")</f>
        <v>Autoportante</v>
      </c>
      <c r="AG337" s="97"/>
      <c r="AH337" s="97"/>
      <c r="AI337" s="97"/>
      <c r="AJ337" s="97"/>
      <c r="AK337" s="97"/>
      <c r="AL337" s="97"/>
      <c r="AM337" s="97"/>
      <c r="AN337" s="97"/>
      <c r="AO337" s="97" t="str">
        <f>IFERROR(__xludf.DUMMYFUNCTION("""COMPUTED_VALUE"""),"1 Año")</f>
        <v>1 Año</v>
      </c>
      <c r="AP337" s="97"/>
      <c r="AQ337" s="97"/>
      <c r="AR337" s="97"/>
      <c r="AS337" s="97"/>
      <c r="AT337" s="97"/>
      <c r="AU337" s="97"/>
      <c r="AV337" s="97" t="str">
        <f>IFERROR(__xludf.DUMMYFUNCTION("""COMPUTED_VALUE"""),"Mesa")</f>
        <v>Mesa</v>
      </c>
      <c r="AW337" s="97" t="str">
        <f>IFERROR(__xludf.DUMMYFUNCTION("""COMPUTED_VALUE"""),"De Apoyo")</f>
        <v>De Apoyo</v>
      </c>
      <c r="AX337" s="97" t="str">
        <f>IFERROR(__xludf.DUMMYFUNCTION("""COMPUTED_VALUE"""),"Interior")</f>
        <v>Interior</v>
      </c>
      <c r="AY337" s="97"/>
      <c r="AZ337" s="97"/>
      <c r="BA337" s="97"/>
      <c r="BB337" s="97"/>
      <c r="BC337" s="97"/>
      <c r="BD337" s="97" t="str">
        <f>IFERROR(__xludf.DUMMYFUNCTION("""COMPUTED_VALUE"""),"GEMIS")</f>
        <v>GEMIS</v>
      </c>
      <c r="BE337" s="97" t="str">
        <f>IFERROR(__xludf.DUMMYFUNCTION("""COMPUTED_VALUE"""),"Sin Ficha")</f>
        <v>Sin Ficha</v>
      </c>
      <c r="BF337" s="97"/>
      <c r="BG337" s="97" t="str">
        <f>IFERROR(__xludf.DUMMYFUNCTION("""COMPUTED_VALUE"""),"Discontinuo")</f>
        <v>Discontinuo</v>
      </c>
    </row>
    <row r="338">
      <c r="A338" s="97">
        <f>IFERROR(__xludf.DUMMYFUNCTION("""COMPUTED_VALUE"""),4167.0)</f>
        <v>4167</v>
      </c>
      <c r="B338" s="97" t="str">
        <f>IFERROR(__xludf.DUMMYFUNCTION("""COMPUTED_VALUE"""),"KATOI")</f>
        <v>KATOI</v>
      </c>
      <c r="C338" s="97" t="str">
        <f>IFERROR(__xludf.DUMMYFUNCTION("""COMPUTED_VALUE"""),"VELADOR KATOI LEUK")</f>
        <v>VELADOR KATOI LEUK</v>
      </c>
      <c r="D338" s="97">
        <f>IFERROR(__xludf.DUMMYFUNCTION("""COMPUTED_VALUE"""),7.798328758675E12)</f>
        <v>7798328758675</v>
      </c>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t="str">
        <f>IFERROR(__xludf.DUMMYFUNCTION("""COMPUTED_VALUE"""),"IP20")</f>
        <v>IP20</v>
      </c>
      <c r="AE338" s="97"/>
      <c r="AF338" s="97" t="str">
        <f>IFERROR(__xludf.DUMMYFUNCTION("""COMPUTED_VALUE"""),"Autoportante")</f>
        <v>Autoportante</v>
      </c>
      <c r="AG338" s="97"/>
      <c r="AH338" s="97"/>
      <c r="AI338" s="97"/>
      <c r="AJ338" s="97"/>
      <c r="AK338" s="97"/>
      <c r="AL338" s="97"/>
      <c r="AM338" s="97"/>
      <c r="AN338" s="97"/>
      <c r="AO338" s="97" t="str">
        <f>IFERROR(__xludf.DUMMYFUNCTION("""COMPUTED_VALUE"""),"1 Año")</f>
        <v>1 Año</v>
      </c>
      <c r="AP338" s="97"/>
      <c r="AQ338" s="97"/>
      <c r="AR338" s="97"/>
      <c r="AS338" s="97"/>
      <c r="AT338" s="97"/>
      <c r="AU338" s="97"/>
      <c r="AV338" s="97" t="str">
        <f>IFERROR(__xludf.DUMMYFUNCTION("""COMPUTED_VALUE"""),"Mesa")</f>
        <v>Mesa</v>
      </c>
      <c r="AW338" s="97" t="str">
        <f>IFERROR(__xludf.DUMMYFUNCTION("""COMPUTED_VALUE"""),"De Apoyo")</f>
        <v>De Apoyo</v>
      </c>
      <c r="AX338" s="97" t="str">
        <f>IFERROR(__xludf.DUMMYFUNCTION("""COMPUTED_VALUE"""),"Interior")</f>
        <v>Interior</v>
      </c>
      <c r="AY338" s="97"/>
      <c r="AZ338" s="97"/>
      <c r="BA338" s="97"/>
      <c r="BB338" s="97"/>
      <c r="BC338" s="97"/>
      <c r="BD338" s="97" t="str">
        <f>IFERROR(__xludf.DUMMYFUNCTION("""COMPUTED_VALUE"""),"KATOI")</f>
        <v>KATOI</v>
      </c>
      <c r="BE338" s="97" t="str">
        <f>IFERROR(__xludf.DUMMYFUNCTION("""COMPUTED_VALUE"""),"Sin Ficha")</f>
        <v>Sin Ficha</v>
      </c>
      <c r="BF338" s="97"/>
      <c r="BG338" s="97" t="str">
        <f>IFERROR(__xludf.DUMMYFUNCTION("""COMPUTED_VALUE"""),"Discontinuo")</f>
        <v>Discontinuo</v>
      </c>
    </row>
    <row r="339">
      <c r="A339" s="97">
        <f>IFERROR(__xludf.DUMMYFUNCTION("""COMPUTED_VALUE"""),4168.0)</f>
        <v>4168</v>
      </c>
      <c r="B339" s="97" t="str">
        <f>IFERROR(__xludf.DUMMYFUNCTION("""COMPUTED_VALUE"""),"PINAKA")</f>
        <v>PINAKA</v>
      </c>
      <c r="C339" s="97" t="str">
        <f>IFERROR(__xludf.DUMMYFUNCTION("""COMPUTED_VALUE"""),"VELADOR PINAKA LEUK")</f>
        <v>VELADOR PINAKA LEUK</v>
      </c>
      <c r="D339" s="97">
        <f>IFERROR(__xludf.DUMMYFUNCTION("""COMPUTED_VALUE"""),7.798328758712E12)</f>
        <v>7798328758712</v>
      </c>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t="str">
        <f>IFERROR(__xludf.DUMMYFUNCTION("""COMPUTED_VALUE"""),"IP20")</f>
        <v>IP20</v>
      </c>
      <c r="AE339" s="97"/>
      <c r="AF339" s="97" t="str">
        <f>IFERROR(__xludf.DUMMYFUNCTION("""COMPUTED_VALUE"""),"Autoportante")</f>
        <v>Autoportante</v>
      </c>
      <c r="AG339" s="97"/>
      <c r="AH339" s="97"/>
      <c r="AI339" s="97"/>
      <c r="AJ339" s="97"/>
      <c r="AK339" s="97"/>
      <c r="AL339" s="97"/>
      <c r="AM339" s="97"/>
      <c r="AN339" s="97"/>
      <c r="AO339" s="97" t="str">
        <f>IFERROR(__xludf.DUMMYFUNCTION("""COMPUTED_VALUE"""),"1 Año")</f>
        <v>1 Año</v>
      </c>
      <c r="AP339" s="97"/>
      <c r="AQ339" s="97"/>
      <c r="AR339" s="97"/>
      <c r="AS339" s="97"/>
      <c r="AT339" s="97"/>
      <c r="AU339" s="97"/>
      <c r="AV339" s="97" t="str">
        <f>IFERROR(__xludf.DUMMYFUNCTION("""COMPUTED_VALUE"""),"Mesa")</f>
        <v>Mesa</v>
      </c>
      <c r="AW339" s="97" t="str">
        <f>IFERROR(__xludf.DUMMYFUNCTION("""COMPUTED_VALUE"""),"De Apoyo")</f>
        <v>De Apoyo</v>
      </c>
      <c r="AX339" s="97" t="str">
        <f>IFERROR(__xludf.DUMMYFUNCTION("""COMPUTED_VALUE"""),"Interior")</f>
        <v>Interior</v>
      </c>
      <c r="AY339" s="97"/>
      <c r="AZ339" s="97"/>
      <c r="BA339" s="97"/>
      <c r="BB339" s="97"/>
      <c r="BC339" s="97"/>
      <c r="BD339" s="97" t="str">
        <f>IFERROR(__xludf.DUMMYFUNCTION("""COMPUTED_VALUE"""),"PINAKA")</f>
        <v>PINAKA</v>
      </c>
      <c r="BE339" s="97" t="str">
        <f>IFERROR(__xludf.DUMMYFUNCTION("""COMPUTED_VALUE"""),"Sin Ficha")</f>
        <v>Sin Ficha</v>
      </c>
      <c r="BF339" s="97"/>
      <c r="BG339" s="97" t="str">
        <f>IFERROR(__xludf.DUMMYFUNCTION("""COMPUTED_VALUE"""),"Discontinuo")</f>
        <v>Discontinuo</v>
      </c>
    </row>
    <row r="340">
      <c r="A340" s="97">
        <f>IFERROR(__xludf.DUMMYFUNCTION("""COMPUTED_VALUE"""),4169.0)</f>
        <v>4169</v>
      </c>
      <c r="B340" s="97" t="str">
        <f>IFERROR(__xludf.DUMMYFUNCTION("""COMPUTED_VALUE"""),"MOLY I")</f>
        <v>MOLY I</v>
      </c>
      <c r="C340" s="97" t="str">
        <f>IFERROR(__xludf.DUMMYFUNCTION("""COMPUTED_VALUE"""),"APLIQUE MOLY I 1XGU10 DICRO IP65 LEUK")</f>
        <v>APLIQUE MOLY I 1XGU10 DICRO IP65 LEUK</v>
      </c>
      <c r="D340" s="97">
        <f>IFERROR(__xludf.DUMMYFUNCTION("""COMPUTED_VALUE"""),7.798328758019E12)</f>
        <v>7798328758019</v>
      </c>
      <c r="E340" s="97"/>
      <c r="F340" s="97" t="str">
        <f>IFERROR(__xludf.DUMMYFUNCTION("""COMPUTED_VALUE"""),"1xGU10 Dicro")</f>
        <v>1xGU10 Dicro</v>
      </c>
      <c r="G340" s="97" t="str">
        <f>IFERROR(__xludf.DUMMYFUNCTION("""COMPUTED_VALUE"""),"N/A")</f>
        <v>N/A</v>
      </c>
      <c r="H340" s="97" t="str">
        <f>IFERROR(__xludf.DUMMYFUNCTION("""COMPUTED_VALUE"""),"N/A")</f>
        <v>N/A</v>
      </c>
      <c r="I340" s="97" t="str">
        <f>IFERROR(__xludf.DUMMYFUNCTION("""COMPUTED_VALUE"""),"N/A")</f>
        <v>N/A</v>
      </c>
      <c r="J340" s="97" t="str">
        <f>IFERROR(__xludf.DUMMYFUNCTION("""COMPUTED_VALUE"""),"N/A")</f>
        <v>N/A</v>
      </c>
      <c r="K340" s="97" t="str">
        <f>IFERROR(__xludf.DUMMYFUNCTION("""COMPUTED_VALUE"""),"N/A")</f>
        <v>N/A</v>
      </c>
      <c r="L340" s="97" t="str">
        <f>IFERROR(__xludf.DUMMYFUNCTION("""COMPUTED_VALUE"""),"220-240")</f>
        <v>220-240</v>
      </c>
      <c r="M340" s="97" t="str">
        <f>IFERROR(__xludf.DUMMYFUNCTION("""COMPUTED_VALUE"""),"50/60")</f>
        <v>50/60</v>
      </c>
      <c r="N340" s="97"/>
      <c r="O340" s="97" t="str">
        <f>IFERROR(__xludf.DUMMYFUNCTION("""COMPUTED_VALUE"""),"1 x 35W Max")</f>
        <v>1 x 35W Max</v>
      </c>
      <c r="P340" s="97"/>
      <c r="Q340" s="97" t="str">
        <f>IFERROR(__xludf.DUMMYFUNCTION("""COMPUTED_VALUE"""),"-")</f>
        <v>-</v>
      </c>
      <c r="R340" s="97" t="str">
        <f>IFERROR(__xludf.DUMMYFUNCTION("""COMPUTED_VALUE"""),"-")</f>
        <v>-</v>
      </c>
      <c r="S340" s="97" t="str">
        <f>IFERROR(__xludf.DUMMYFUNCTION("""COMPUTED_VALUE"""),"-")</f>
        <v>-</v>
      </c>
      <c r="T340" s="97" t="str">
        <f>IFERROR(__xludf.DUMMYFUNCTION("""COMPUTED_VALUE"""),"-")</f>
        <v>-</v>
      </c>
      <c r="U340" s="97" t="str">
        <f>IFERROR(__xludf.DUMMYFUNCTION("""COMPUTED_VALUE"""),"-")</f>
        <v>-</v>
      </c>
      <c r="V340" s="97" t="str">
        <f>IFERROR(__xludf.DUMMYFUNCTION("""COMPUTED_VALUE"""),"N/A")</f>
        <v>N/A</v>
      </c>
      <c r="W340" s="97" t="str">
        <f>IFERROR(__xludf.DUMMYFUNCTION("""COMPUTED_VALUE"""),"N/A")</f>
        <v>N/A</v>
      </c>
      <c r="X340" s="97" t="str">
        <f>IFERROR(__xludf.DUMMYFUNCTION("""COMPUTED_VALUE"""),"-")</f>
        <v>-</v>
      </c>
      <c r="Y340" s="97" t="str">
        <f>IFERROR(__xludf.DUMMYFUNCTION("""COMPUTED_VALUE"""),"N/A")</f>
        <v>N/A</v>
      </c>
      <c r="Z340" s="97" t="str">
        <f>IFERROR(__xludf.DUMMYFUNCTION("""COMPUTED_VALUE"""),"N/A")</f>
        <v>N/A</v>
      </c>
      <c r="AA340" s="97" t="str">
        <f>IFERROR(__xludf.DUMMYFUNCTION("""COMPUTED_VALUE"""),"N/A")</f>
        <v>N/A</v>
      </c>
      <c r="AB340" s="97" t="str">
        <f>IFERROR(__xludf.DUMMYFUNCTION("""COMPUTED_VALUE"""),"N/A")</f>
        <v>N/A</v>
      </c>
      <c r="AC340" s="97" t="str">
        <f>IFERROR(__xludf.DUMMYFUNCTION("""COMPUTED_VALUE"""),"N/A")</f>
        <v>N/A</v>
      </c>
      <c r="AD340" s="97" t="str">
        <f>IFERROR(__xludf.DUMMYFUNCTION("""COMPUTED_VALUE"""),"IP65")</f>
        <v>IP65</v>
      </c>
      <c r="AE340" s="97" t="str">
        <f>IFERROR(__xludf.DUMMYFUNCTION("""COMPUTED_VALUE"""),"Clase l")</f>
        <v>Clase l</v>
      </c>
      <c r="AF340" s="97" t="str">
        <f>IFERROR(__xludf.DUMMYFUNCTION("""COMPUTED_VALUE"""),"Aplicar")</f>
        <v>Aplicar</v>
      </c>
      <c r="AG340" s="97" t="str">
        <f>IFERROR(__xludf.DUMMYFUNCTION("""COMPUTED_VALUE"""),"65 x 113 x 120 ")</f>
        <v>65 x 113 x 120 </v>
      </c>
      <c r="AH340" s="97" t="str">
        <f>IFERROR(__xludf.DUMMYFUNCTION("""COMPUTED_VALUE"""),"N/A")</f>
        <v>N/A</v>
      </c>
      <c r="AI340" s="97" t="str">
        <f>IFERROR(__xludf.DUMMYFUNCTION("""COMPUTED_VALUE"""),"N/A")</f>
        <v>N/A</v>
      </c>
      <c r="AJ340" s="97" t="str">
        <f>IFERROR(__xludf.DUMMYFUNCTION("""COMPUTED_VALUE"""),"Vidrio")</f>
        <v>Vidrio</v>
      </c>
      <c r="AK340" s="97" t="str">
        <f>IFERROR(__xludf.DUMMYFUNCTION("""COMPUTED_VALUE"""),"Aluminio")</f>
        <v>Aluminio</v>
      </c>
      <c r="AL340" s="97" t="str">
        <f>IFERROR(__xludf.DUMMYFUNCTION("""COMPUTED_VALUE"""),"Negro Mate")</f>
        <v>Negro Mate</v>
      </c>
      <c r="AM340" s="97" t="str">
        <f>IFERROR(__xludf.DUMMYFUNCTION("""COMPUTED_VALUE"""),"-")</f>
        <v>-</v>
      </c>
      <c r="AN340" s="97" t="str">
        <f>IFERROR(__xludf.DUMMYFUNCTION("""COMPUTED_VALUE"""),"N/A")</f>
        <v>N/A</v>
      </c>
      <c r="AO340" s="97" t="str">
        <f>IFERROR(__xludf.DUMMYFUNCTION("""COMPUTED_VALUE"""),"2 Años")</f>
        <v>2 Años</v>
      </c>
      <c r="AP340" s="97" t="str">
        <f>IFERROR(__xludf.DUMMYFUNCTION("""COMPUTED_VALUE"""),"No Aplica")</f>
        <v>No Aplica</v>
      </c>
      <c r="AQ340" s="97" t="str">
        <f>IFERROR(__xludf.DUMMYFUNCTION("""COMPUTED_VALUE"""),"No Aplica")</f>
        <v>No Aplica</v>
      </c>
      <c r="AR340" s="97" t="str">
        <f>IFERROR(__xludf.DUMMYFUNCTION("""COMPUTED_VALUE"""),"No Aplica")</f>
        <v>No Aplica</v>
      </c>
      <c r="AS340" s="97"/>
      <c r="AT340" s="97"/>
      <c r="AU340" s="97" t="str">
        <f>IFERROR(__xludf.DUMMYFUNCTION("""COMPUTED_VALUE"""),"Falta")</f>
        <v>Falta</v>
      </c>
      <c r="AV340" s="97" t="str">
        <f>IFERROR(__xludf.DUMMYFUNCTION("""COMPUTED_VALUE"""),"Aplique")</f>
        <v>Aplique</v>
      </c>
      <c r="AW340" s="97" t="str">
        <f>IFERROR(__xludf.DUMMYFUNCTION("""COMPUTED_VALUE"""),"De Pared")</f>
        <v>De Pared</v>
      </c>
      <c r="AX340" s="97" t="str">
        <f>IFERROR(__xludf.DUMMYFUNCTION("""COMPUTED_VALUE"""),"Exterior")</f>
        <v>Exterior</v>
      </c>
      <c r="AY340" s="97" t="str">
        <f>IFERROR(__xludf.DUMMYFUNCTION("""COMPUTED_VALUE"""),"-")</f>
        <v>-</v>
      </c>
      <c r="AZ340" s="97"/>
      <c r="BA340" s="97">
        <f>IFERROR(__xludf.DUMMYFUNCTION("""COMPUTED_VALUE"""),20.0)</f>
        <v>20</v>
      </c>
      <c r="BB340" s="97" t="str">
        <f>IFERROR(__xludf.DUMMYFUNCTION("""COMPUTED_VALUE"""),"-")</f>
        <v>-</v>
      </c>
      <c r="BC340" s="97" t="str">
        <f>IFERROR(__xludf.DUMMYFUNCTION("""COMPUTED_VALUE"""),"-")</f>
        <v>-</v>
      </c>
      <c r="BD340" s="97" t="str">
        <f>IFERROR(__xludf.DUMMYFUNCTION("""COMPUTED_VALUE"""),"MOLY")</f>
        <v>MOLY</v>
      </c>
      <c r="BE340" s="97" t="str">
        <f>IFERROR(__xludf.DUMMYFUNCTION("""COMPUTED_VALUE"""),"Finalizada")</f>
        <v>Finalizada</v>
      </c>
      <c r="BF340" s="97"/>
      <c r="BG340" s="97" t="str">
        <f>IFERROR(__xludf.DUMMYFUNCTION("""COMPUTED_VALUE"""),"Activo")</f>
        <v>Activo</v>
      </c>
    </row>
    <row r="341">
      <c r="A341" s="97">
        <f>IFERROR(__xludf.DUMMYFUNCTION("""COMPUTED_VALUE"""),4170.0)</f>
        <v>4170</v>
      </c>
      <c r="B341" s="97" t="str">
        <f>IFERROR(__xludf.DUMMYFUNCTION("""COMPUTED_VALUE"""),"MOLY II")</f>
        <v>MOLY II</v>
      </c>
      <c r="C341" s="97" t="str">
        <f>IFERROR(__xludf.DUMMYFUNCTION("""COMPUTED_VALUE"""),"APLIQUE MOLY II 2XGU10 DICRO IP65 LEUK")</f>
        <v>APLIQUE MOLY II 2XGU10 DICRO IP65 LEUK</v>
      </c>
      <c r="D341" s="97">
        <f>IFERROR(__xludf.DUMMYFUNCTION("""COMPUTED_VALUE"""),7.798328758002E12)</f>
        <v>7798328758002</v>
      </c>
      <c r="E341" s="97"/>
      <c r="F341" s="97" t="str">
        <f>IFERROR(__xludf.DUMMYFUNCTION("""COMPUTED_VALUE"""),"2xGU10 Dicro")</f>
        <v>2xGU10 Dicro</v>
      </c>
      <c r="G341" s="97" t="str">
        <f>IFERROR(__xludf.DUMMYFUNCTION("""COMPUTED_VALUE"""),"N/A")</f>
        <v>N/A</v>
      </c>
      <c r="H341" s="97" t="str">
        <f>IFERROR(__xludf.DUMMYFUNCTION("""COMPUTED_VALUE"""),"N/A")</f>
        <v>N/A</v>
      </c>
      <c r="I341" s="97" t="str">
        <f>IFERROR(__xludf.DUMMYFUNCTION("""COMPUTED_VALUE"""),"N/A")</f>
        <v>N/A</v>
      </c>
      <c r="J341" s="97" t="str">
        <f>IFERROR(__xludf.DUMMYFUNCTION("""COMPUTED_VALUE"""),"N/A")</f>
        <v>N/A</v>
      </c>
      <c r="K341" s="97" t="str">
        <f>IFERROR(__xludf.DUMMYFUNCTION("""COMPUTED_VALUE"""),"N/A")</f>
        <v>N/A</v>
      </c>
      <c r="L341" s="97" t="str">
        <f>IFERROR(__xludf.DUMMYFUNCTION("""COMPUTED_VALUE"""),"220-240")</f>
        <v>220-240</v>
      </c>
      <c r="M341" s="97" t="str">
        <f>IFERROR(__xludf.DUMMYFUNCTION("""COMPUTED_VALUE"""),"50/60")</f>
        <v>50/60</v>
      </c>
      <c r="N341" s="97"/>
      <c r="O341" s="97" t="str">
        <f>IFERROR(__xludf.DUMMYFUNCTION("""COMPUTED_VALUE"""),"2 x 35W Max")</f>
        <v>2 x 35W Max</v>
      </c>
      <c r="P341" s="97"/>
      <c r="Q341" s="97" t="str">
        <f>IFERROR(__xludf.DUMMYFUNCTION("""COMPUTED_VALUE"""),"-")</f>
        <v>-</v>
      </c>
      <c r="R341" s="97" t="str">
        <f>IFERROR(__xludf.DUMMYFUNCTION("""COMPUTED_VALUE"""),"-")</f>
        <v>-</v>
      </c>
      <c r="S341" s="97" t="str">
        <f>IFERROR(__xludf.DUMMYFUNCTION("""COMPUTED_VALUE"""),"-")</f>
        <v>-</v>
      </c>
      <c r="T341" s="97" t="str">
        <f>IFERROR(__xludf.DUMMYFUNCTION("""COMPUTED_VALUE"""),"-")</f>
        <v>-</v>
      </c>
      <c r="U341" s="97" t="str">
        <f>IFERROR(__xludf.DUMMYFUNCTION("""COMPUTED_VALUE"""),"-")</f>
        <v>-</v>
      </c>
      <c r="V341" s="97" t="str">
        <f>IFERROR(__xludf.DUMMYFUNCTION("""COMPUTED_VALUE"""),"N/A")</f>
        <v>N/A</v>
      </c>
      <c r="W341" s="97" t="str">
        <f>IFERROR(__xludf.DUMMYFUNCTION("""COMPUTED_VALUE"""),"N/A")</f>
        <v>N/A</v>
      </c>
      <c r="X341" s="97" t="str">
        <f>IFERROR(__xludf.DUMMYFUNCTION("""COMPUTED_VALUE"""),"-")</f>
        <v>-</v>
      </c>
      <c r="Y341" s="97" t="str">
        <f>IFERROR(__xludf.DUMMYFUNCTION("""COMPUTED_VALUE"""),"N/A")</f>
        <v>N/A</v>
      </c>
      <c r="Z341" s="97" t="str">
        <f>IFERROR(__xludf.DUMMYFUNCTION("""COMPUTED_VALUE"""),"N/A")</f>
        <v>N/A</v>
      </c>
      <c r="AA341" s="97" t="str">
        <f>IFERROR(__xludf.DUMMYFUNCTION("""COMPUTED_VALUE"""),"N/A")</f>
        <v>N/A</v>
      </c>
      <c r="AB341" s="97" t="str">
        <f>IFERROR(__xludf.DUMMYFUNCTION("""COMPUTED_VALUE"""),"N/A")</f>
        <v>N/A</v>
      </c>
      <c r="AC341" s="97" t="str">
        <f>IFERROR(__xludf.DUMMYFUNCTION("""COMPUTED_VALUE"""),"N/A")</f>
        <v>N/A</v>
      </c>
      <c r="AD341" s="97" t="str">
        <f>IFERROR(__xludf.DUMMYFUNCTION("""COMPUTED_VALUE"""),"IP65")</f>
        <v>IP65</v>
      </c>
      <c r="AE341" s="97" t="str">
        <f>IFERROR(__xludf.DUMMYFUNCTION("""COMPUTED_VALUE"""),"Clase l")</f>
        <v>Clase l</v>
      </c>
      <c r="AF341" s="97" t="str">
        <f>IFERROR(__xludf.DUMMYFUNCTION("""COMPUTED_VALUE"""),"Aplicar")</f>
        <v>Aplicar</v>
      </c>
      <c r="AG341" s="97" t="str">
        <f>IFERROR(__xludf.DUMMYFUNCTION("""COMPUTED_VALUE"""),"65 x 113 x 180 ")</f>
        <v>65 x 113 x 180 </v>
      </c>
      <c r="AH341" s="97" t="str">
        <f>IFERROR(__xludf.DUMMYFUNCTION("""COMPUTED_VALUE"""),"N/A")</f>
        <v>N/A</v>
      </c>
      <c r="AI341" s="97" t="str">
        <f>IFERROR(__xludf.DUMMYFUNCTION("""COMPUTED_VALUE"""),"N/A")</f>
        <v>N/A</v>
      </c>
      <c r="AJ341" s="97" t="str">
        <f>IFERROR(__xludf.DUMMYFUNCTION("""COMPUTED_VALUE"""),"Vidrio")</f>
        <v>Vidrio</v>
      </c>
      <c r="AK341" s="97" t="str">
        <f>IFERROR(__xludf.DUMMYFUNCTION("""COMPUTED_VALUE"""),"Aluminio")</f>
        <v>Aluminio</v>
      </c>
      <c r="AL341" s="97" t="str">
        <f>IFERROR(__xludf.DUMMYFUNCTION("""COMPUTED_VALUE"""),"Negro Mate")</f>
        <v>Negro Mate</v>
      </c>
      <c r="AM341" s="97" t="str">
        <f>IFERROR(__xludf.DUMMYFUNCTION("""COMPUTED_VALUE"""),"-")</f>
        <v>-</v>
      </c>
      <c r="AN341" s="97" t="str">
        <f>IFERROR(__xludf.DUMMYFUNCTION("""COMPUTED_VALUE"""),"N/A")</f>
        <v>N/A</v>
      </c>
      <c r="AO341" s="97" t="str">
        <f>IFERROR(__xludf.DUMMYFUNCTION("""COMPUTED_VALUE"""),"2 Años")</f>
        <v>2 Años</v>
      </c>
      <c r="AP341" s="97" t="str">
        <f>IFERROR(__xludf.DUMMYFUNCTION("""COMPUTED_VALUE"""),"No Aplica")</f>
        <v>No Aplica</v>
      </c>
      <c r="AQ341" s="97" t="str">
        <f>IFERROR(__xludf.DUMMYFUNCTION("""COMPUTED_VALUE"""),"No Aplica")</f>
        <v>No Aplica</v>
      </c>
      <c r="AR341" s="97" t="str">
        <f>IFERROR(__xludf.DUMMYFUNCTION("""COMPUTED_VALUE"""),"No Aplica")</f>
        <v>No Aplica</v>
      </c>
      <c r="AS341" s="97"/>
      <c r="AT341" s="97"/>
      <c r="AU341" s="97" t="str">
        <f>IFERROR(__xludf.DUMMYFUNCTION("""COMPUTED_VALUE"""),"Falta")</f>
        <v>Falta</v>
      </c>
      <c r="AV341" s="97" t="str">
        <f>IFERROR(__xludf.DUMMYFUNCTION("""COMPUTED_VALUE"""),"Aplique")</f>
        <v>Aplique</v>
      </c>
      <c r="AW341" s="97" t="str">
        <f>IFERROR(__xludf.DUMMYFUNCTION("""COMPUTED_VALUE"""),"De Pared")</f>
        <v>De Pared</v>
      </c>
      <c r="AX341" s="97" t="str">
        <f>IFERROR(__xludf.DUMMYFUNCTION("""COMPUTED_VALUE"""),"Exterior")</f>
        <v>Exterior</v>
      </c>
      <c r="AY341" s="97" t="str">
        <f>IFERROR(__xludf.DUMMYFUNCTION("""COMPUTED_VALUE"""),"-")</f>
        <v>-</v>
      </c>
      <c r="AZ341" s="97"/>
      <c r="BA341" s="97">
        <f>IFERROR(__xludf.DUMMYFUNCTION("""COMPUTED_VALUE"""),30.0)</f>
        <v>30</v>
      </c>
      <c r="BB341" s="97" t="str">
        <f>IFERROR(__xludf.DUMMYFUNCTION("""COMPUTED_VALUE"""),"-")</f>
        <v>-</v>
      </c>
      <c r="BC341" s="97" t="str">
        <f>IFERROR(__xludf.DUMMYFUNCTION("""COMPUTED_VALUE"""),"-")</f>
        <v>-</v>
      </c>
      <c r="BD341" s="97" t="str">
        <f>IFERROR(__xludf.DUMMYFUNCTION("""COMPUTED_VALUE"""),"MOLY")</f>
        <v>MOLY</v>
      </c>
      <c r="BE341" s="97" t="str">
        <f>IFERROR(__xludf.DUMMYFUNCTION("""COMPUTED_VALUE"""),"Finalizada")</f>
        <v>Finalizada</v>
      </c>
      <c r="BF341" s="97"/>
      <c r="BG341" s="97" t="str">
        <f>IFERROR(__xludf.DUMMYFUNCTION("""COMPUTED_VALUE"""),"Activo")</f>
        <v>Activo</v>
      </c>
    </row>
    <row r="342">
      <c r="A342" s="97">
        <f>IFERROR(__xludf.DUMMYFUNCTION("""COMPUTED_VALUE"""),4171.0)</f>
        <v>4171</v>
      </c>
      <c r="B342" s="97" t="str">
        <f>IFERROR(__xludf.DUMMYFUNCTION("""COMPUTED_VALUE"""),"AMFID I")</f>
        <v>AMFID I</v>
      </c>
      <c r="C342" s="97" t="str">
        <f>IFERROR(__xludf.DUMMYFUNCTION("""COMPUTED_VALUE"""),"LUMINARIA EXTERIOR AMFID I LEUK")</f>
        <v>LUMINARIA EXTERIOR AMFID I LEUK</v>
      </c>
      <c r="D342" s="97">
        <f>IFERROR(__xludf.DUMMYFUNCTION("""COMPUTED_VALUE"""),7.798328758033E12)</f>
        <v>7798328758033</v>
      </c>
      <c r="E342" s="97"/>
      <c r="F342" s="97" t="str">
        <f>IFERROR(__xludf.DUMMYFUNCTION("""COMPUTED_VALUE"""),"1 x GU10")</f>
        <v>1 x GU10</v>
      </c>
      <c r="G342" s="97" t="str">
        <f>IFERROR(__xludf.DUMMYFUNCTION("""COMPUTED_VALUE"""),"N/A")</f>
        <v>N/A</v>
      </c>
      <c r="H342" s="97" t="str">
        <f>IFERROR(__xludf.DUMMYFUNCTION("""COMPUTED_VALUE"""),"N/A")</f>
        <v>N/A</v>
      </c>
      <c r="I342" s="97" t="str">
        <f>IFERROR(__xludf.DUMMYFUNCTION("""COMPUTED_VALUE"""),"N/A")</f>
        <v>N/A</v>
      </c>
      <c r="J342" s="97"/>
      <c r="K342" s="97" t="str">
        <f>IFERROR(__xludf.DUMMYFUNCTION("""COMPUTED_VALUE"""),"N/A")</f>
        <v>N/A</v>
      </c>
      <c r="L342" s="97" t="str">
        <f>IFERROR(__xludf.DUMMYFUNCTION("""COMPUTED_VALUE"""),"220-240")</f>
        <v>220-240</v>
      </c>
      <c r="M342" s="97" t="str">
        <f>IFERROR(__xludf.DUMMYFUNCTION("""COMPUTED_VALUE"""),"50/60")</f>
        <v>50/60</v>
      </c>
      <c r="N342" s="97"/>
      <c r="O342" s="97" t="str">
        <f>IFERROR(__xludf.DUMMYFUNCTION("""COMPUTED_VALUE"""),"1 x 35W Max")</f>
        <v>1 x 35W Max</v>
      </c>
      <c r="P342" s="97"/>
      <c r="Q342" s="97" t="str">
        <f>IFERROR(__xludf.DUMMYFUNCTION("""COMPUTED_VALUE"""),"-")</f>
        <v>-</v>
      </c>
      <c r="R342" s="97" t="str">
        <f>IFERROR(__xludf.DUMMYFUNCTION("""COMPUTED_VALUE"""),"-")</f>
        <v>-</v>
      </c>
      <c r="S342" s="97" t="str">
        <f>IFERROR(__xludf.DUMMYFUNCTION("""COMPUTED_VALUE"""),"-")</f>
        <v>-</v>
      </c>
      <c r="T342" s="97" t="str">
        <f>IFERROR(__xludf.DUMMYFUNCTION("""COMPUTED_VALUE"""),"-")</f>
        <v>-</v>
      </c>
      <c r="U342" s="97" t="str">
        <f>IFERROR(__xludf.DUMMYFUNCTION("""COMPUTED_VALUE"""),"-")</f>
        <v>-</v>
      </c>
      <c r="V342" s="97" t="str">
        <f>IFERROR(__xludf.DUMMYFUNCTION("""COMPUTED_VALUE"""),"N/A")</f>
        <v>N/A</v>
      </c>
      <c r="W342" s="97" t="str">
        <f>IFERROR(__xludf.DUMMYFUNCTION("""COMPUTED_VALUE"""),"N/A")</f>
        <v>N/A</v>
      </c>
      <c r="X342" s="97" t="str">
        <f>IFERROR(__xludf.DUMMYFUNCTION("""COMPUTED_VALUE"""),"-")</f>
        <v>-</v>
      </c>
      <c r="Y342" s="97" t="str">
        <f>IFERROR(__xludf.DUMMYFUNCTION("""COMPUTED_VALUE"""),"N/A")</f>
        <v>N/A</v>
      </c>
      <c r="Z342" s="97" t="str">
        <f>IFERROR(__xludf.DUMMYFUNCTION("""COMPUTED_VALUE"""),"N/A")</f>
        <v>N/A</v>
      </c>
      <c r="AA342" s="97" t="str">
        <f>IFERROR(__xludf.DUMMYFUNCTION("""COMPUTED_VALUE"""),"N/A")</f>
        <v>N/A</v>
      </c>
      <c r="AB342" s="97" t="str">
        <f>IFERROR(__xludf.DUMMYFUNCTION("""COMPUTED_VALUE"""),"N/A")</f>
        <v>N/A</v>
      </c>
      <c r="AC342" s="97" t="str">
        <f>IFERROR(__xludf.DUMMYFUNCTION("""COMPUTED_VALUE"""),"N/A")</f>
        <v>N/A</v>
      </c>
      <c r="AD342" s="97" t="str">
        <f>IFERROR(__xludf.DUMMYFUNCTION("""COMPUTED_VALUE"""),"IP55")</f>
        <v>IP55</v>
      </c>
      <c r="AE342" s="97" t="str">
        <f>IFERROR(__xludf.DUMMYFUNCTION("""COMPUTED_VALUE"""),"Clase l")</f>
        <v>Clase l</v>
      </c>
      <c r="AF342" s="97" t="str">
        <f>IFERROR(__xludf.DUMMYFUNCTION("""COMPUTED_VALUE"""),"Aplicar")</f>
        <v>Aplicar</v>
      </c>
      <c r="AG342" s="97" t="str">
        <f>IFERROR(__xludf.DUMMYFUNCTION("""COMPUTED_VALUE"""),"110 x 96,5 x 165 ")</f>
        <v>110 x 96,5 x 165 </v>
      </c>
      <c r="AH342" s="97" t="str">
        <f>IFERROR(__xludf.DUMMYFUNCTION("""COMPUTED_VALUE"""),"N/A")</f>
        <v>N/A</v>
      </c>
      <c r="AI342" s="97" t="str">
        <f>IFERROR(__xludf.DUMMYFUNCTION("""COMPUTED_VALUE"""),"N/A")</f>
        <v>N/A</v>
      </c>
      <c r="AJ342" s="97" t="str">
        <f>IFERROR(__xludf.DUMMYFUNCTION("""COMPUTED_VALUE"""),"Vidrio y Policarbonato (PC)")</f>
        <v>Vidrio y Policarbonato (PC)</v>
      </c>
      <c r="AK342" s="97" t="str">
        <f>IFERROR(__xludf.DUMMYFUNCTION("""COMPUTED_VALUE"""),"Aluminio")</f>
        <v>Aluminio</v>
      </c>
      <c r="AL342" s="97" t="str">
        <f>IFERROR(__xludf.DUMMYFUNCTION("""COMPUTED_VALUE"""),"Negro Satinado")</f>
        <v>Negro Satinado</v>
      </c>
      <c r="AM342" s="97" t="str">
        <f>IFERROR(__xludf.DUMMYFUNCTION("""COMPUTED_VALUE"""),"-")</f>
        <v>-</v>
      </c>
      <c r="AN342" s="97" t="str">
        <f>IFERROR(__xludf.DUMMYFUNCTION("""COMPUTED_VALUE"""),"N/A")</f>
        <v>N/A</v>
      </c>
      <c r="AO342" s="97" t="str">
        <f>IFERROR(__xludf.DUMMYFUNCTION("""COMPUTED_VALUE"""),"1 Año")</f>
        <v>1 Año</v>
      </c>
      <c r="AP342" s="97" t="str">
        <f>IFERROR(__xludf.DUMMYFUNCTION("""COMPUTED_VALUE"""),"No Aplica")</f>
        <v>No Aplica</v>
      </c>
      <c r="AQ342" s="97" t="str">
        <f>IFERROR(__xludf.DUMMYFUNCTION("""COMPUTED_VALUE"""),"No Aplica")</f>
        <v>No Aplica</v>
      </c>
      <c r="AR342" s="97" t="str">
        <f>IFERROR(__xludf.DUMMYFUNCTION("""COMPUTED_VALUE"""),"No Aplica")</f>
        <v>No Aplica</v>
      </c>
      <c r="AS342" s="97"/>
      <c r="AT342" s="97"/>
      <c r="AU342" s="97"/>
      <c r="AV342" s="97" t="str">
        <f>IFERROR(__xludf.DUMMYFUNCTION("""COMPUTED_VALUE"""),"Aplique")</f>
        <v>Aplique</v>
      </c>
      <c r="AW342" s="97" t="str">
        <f>IFERROR(__xludf.DUMMYFUNCTION("""COMPUTED_VALUE"""),"De Pared")</f>
        <v>De Pared</v>
      </c>
      <c r="AX342" s="97" t="str">
        <f>IFERROR(__xludf.DUMMYFUNCTION("""COMPUTED_VALUE"""),"Exterior")</f>
        <v>Exterior</v>
      </c>
      <c r="AY342" s="97"/>
      <c r="AZ342" s="97"/>
      <c r="BA342" s="97"/>
      <c r="BB342" s="97"/>
      <c r="BC342" s="97"/>
      <c r="BD342" s="97" t="str">
        <f>IFERROR(__xludf.DUMMYFUNCTION("""COMPUTED_VALUE"""),"AMFID")</f>
        <v>AMFID</v>
      </c>
      <c r="BE342" s="97" t="str">
        <f>IFERROR(__xludf.DUMMYFUNCTION("""COMPUTED_VALUE"""),"Finalizada")</f>
        <v>Finalizada</v>
      </c>
      <c r="BF342" s="97"/>
      <c r="BG342" s="97" t="str">
        <f>IFERROR(__xludf.DUMMYFUNCTION("""COMPUTED_VALUE"""),"Discontinuo")</f>
        <v>Discontinuo</v>
      </c>
    </row>
    <row r="343">
      <c r="A343" s="97">
        <f>IFERROR(__xludf.DUMMYFUNCTION("""COMPUTED_VALUE"""),4172.0)</f>
        <v>4172</v>
      </c>
      <c r="B343" s="97" t="str">
        <f>IFERROR(__xludf.DUMMYFUNCTION("""COMPUTED_VALUE"""),"AMFID II")</f>
        <v>AMFID II</v>
      </c>
      <c r="C343" s="97" t="str">
        <f>IFERROR(__xludf.DUMMYFUNCTION("""COMPUTED_VALUE"""),"LUMINARIA EXTERIOR AMFID II LEUK")</f>
        <v>LUMINARIA EXTERIOR AMFID II LEUK</v>
      </c>
      <c r="D343" s="97">
        <f>IFERROR(__xludf.DUMMYFUNCTION("""COMPUTED_VALUE"""),7.798328758026E12)</f>
        <v>7798328758026</v>
      </c>
      <c r="E343" s="97"/>
      <c r="F343" s="97" t="str">
        <f>IFERROR(__xludf.DUMMYFUNCTION("""COMPUTED_VALUE"""),"2 x GU10")</f>
        <v>2 x GU10</v>
      </c>
      <c r="G343" s="97" t="str">
        <f>IFERROR(__xludf.DUMMYFUNCTION("""COMPUTED_VALUE"""),"N/A")</f>
        <v>N/A</v>
      </c>
      <c r="H343" s="97" t="str">
        <f>IFERROR(__xludf.DUMMYFUNCTION("""COMPUTED_VALUE"""),"N/A")</f>
        <v>N/A</v>
      </c>
      <c r="I343" s="97" t="str">
        <f>IFERROR(__xludf.DUMMYFUNCTION("""COMPUTED_VALUE"""),"N/A")</f>
        <v>N/A</v>
      </c>
      <c r="J343" s="97"/>
      <c r="K343" s="97" t="str">
        <f>IFERROR(__xludf.DUMMYFUNCTION("""COMPUTED_VALUE"""),"N/A")</f>
        <v>N/A</v>
      </c>
      <c r="L343" s="97" t="str">
        <f>IFERROR(__xludf.DUMMYFUNCTION("""COMPUTED_VALUE"""),"220-240")</f>
        <v>220-240</v>
      </c>
      <c r="M343" s="97" t="str">
        <f>IFERROR(__xludf.DUMMYFUNCTION("""COMPUTED_VALUE"""),"50/60")</f>
        <v>50/60</v>
      </c>
      <c r="N343" s="97"/>
      <c r="O343" s="97" t="str">
        <f>IFERROR(__xludf.DUMMYFUNCTION("""COMPUTED_VALUE"""),"2 x 35W Max")</f>
        <v>2 x 35W Max</v>
      </c>
      <c r="P343" s="97"/>
      <c r="Q343" s="97" t="str">
        <f>IFERROR(__xludf.DUMMYFUNCTION("""COMPUTED_VALUE"""),"-")</f>
        <v>-</v>
      </c>
      <c r="R343" s="97" t="str">
        <f>IFERROR(__xludf.DUMMYFUNCTION("""COMPUTED_VALUE"""),"-")</f>
        <v>-</v>
      </c>
      <c r="S343" s="97" t="str">
        <f>IFERROR(__xludf.DUMMYFUNCTION("""COMPUTED_VALUE"""),"-")</f>
        <v>-</v>
      </c>
      <c r="T343" s="97" t="str">
        <f>IFERROR(__xludf.DUMMYFUNCTION("""COMPUTED_VALUE"""),"-")</f>
        <v>-</v>
      </c>
      <c r="U343" s="97" t="str">
        <f>IFERROR(__xludf.DUMMYFUNCTION("""COMPUTED_VALUE"""),"-")</f>
        <v>-</v>
      </c>
      <c r="V343" s="97" t="str">
        <f>IFERROR(__xludf.DUMMYFUNCTION("""COMPUTED_VALUE"""),"N/A")</f>
        <v>N/A</v>
      </c>
      <c r="W343" s="97" t="str">
        <f>IFERROR(__xludf.DUMMYFUNCTION("""COMPUTED_VALUE"""),"N/A")</f>
        <v>N/A</v>
      </c>
      <c r="X343" s="97" t="str">
        <f>IFERROR(__xludf.DUMMYFUNCTION("""COMPUTED_VALUE"""),"-")</f>
        <v>-</v>
      </c>
      <c r="Y343" s="97" t="str">
        <f>IFERROR(__xludf.DUMMYFUNCTION("""COMPUTED_VALUE"""),"N/A")</f>
        <v>N/A</v>
      </c>
      <c r="Z343" s="97" t="str">
        <f>IFERROR(__xludf.DUMMYFUNCTION("""COMPUTED_VALUE"""),"N/A")</f>
        <v>N/A</v>
      </c>
      <c r="AA343" s="97" t="str">
        <f>IFERROR(__xludf.DUMMYFUNCTION("""COMPUTED_VALUE"""),"N/A")</f>
        <v>N/A</v>
      </c>
      <c r="AB343" s="97" t="str">
        <f>IFERROR(__xludf.DUMMYFUNCTION("""COMPUTED_VALUE"""),"N/A")</f>
        <v>N/A</v>
      </c>
      <c r="AC343" s="97" t="str">
        <f>IFERROR(__xludf.DUMMYFUNCTION("""COMPUTED_VALUE"""),"N/A")</f>
        <v>N/A</v>
      </c>
      <c r="AD343" s="97" t="str">
        <f>IFERROR(__xludf.DUMMYFUNCTION("""COMPUTED_VALUE"""),"IP55")</f>
        <v>IP55</v>
      </c>
      <c r="AE343" s="97" t="str">
        <f>IFERROR(__xludf.DUMMYFUNCTION("""COMPUTED_VALUE"""),"Clase l")</f>
        <v>Clase l</v>
      </c>
      <c r="AF343" s="97" t="str">
        <f>IFERROR(__xludf.DUMMYFUNCTION("""COMPUTED_VALUE"""),"Aplicar")</f>
        <v>Aplicar</v>
      </c>
      <c r="AG343" s="97" t="str">
        <f>IFERROR(__xludf.DUMMYFUNCTION("""COMPUTED_VALUE"""),"110 x 96,5 x 236 ")</f>
        <v>110 x 96,5 x 236 </v>
      </c>
      <c r="AH343" s="97" t="str">
        <f>IFERROR(__xludf.DUMMYFUNCTION("""COMPUTED_VALUE"""),"N/A")</f>
        <v>N/A</v>
      </c>
      <c r="AI343" s="97" t="str">
        <f>IFERROR(__xludf.DUMMYFUNCTION("""COMPUTED_VALUE"""),"N/A")</f>
        <v>N/A</v>
      </c>
      <c r="AJ343" s="97" t="str">
        <f>IFERROR(__xludf.DUMMYFUNCTION("""COMPUTED_VALUE"""),"Vidrio y Policarbonato (PC)")</f>
        <v>Vidrio y Policarbonato (PC)</v>
      </c>
      <c r="AK343" s="97" t="str">
        <f>IFERROR(__xludf.DUMMYFUNCTION("""COMPUTED_VALUE"""),"Aluminio")</f>
        <v>Aluminio</v>
      </c>
      <c r="AL343" s="97" t="str">
        <f>IFERROR(__xludf.DUMMYFUNCTION("""COMPUTED_VALUE"""),"Negro Satinado")</f>
        <v>Negro Satinado</v>
      </c>
      <c r="AM343" s="97" t="str">
        <f>IFERROR(__xludf.DUMMYFUNCTION("""COMPUTED_VALUE"""),"-")</f>
        <v>-</v>
      </c>
      <c r="AN343" s="97" t="str">
        <f>IFERROR(__xludf.DUMMYFUNCTION("""COMPUTED_VALUE"""),"N/A")</f>
        <v>N/A</v>
      </c>
      <c r="AO343" s="97" t="str">
        <f>IFERROR(__xludf.DUMMYFUNCTION("""COMPUTED_VALUE"""),"1 Año")</f>
        <v>1 Año</v>
      </c>
      <c r="AP343" s="97" t="str">
        <f>IFERROR(__xludf.DUMMYFUNCTION("""COMPUTED_VALUE"""),"No Aplica")</f>
        <v>No Aplica</v>
      </c>
      <c r="AQ343" s="97" t="str">
        <f>IFERROR(__xludf.DUMMYFUNCTION("""COMPUTED_VALUE"""),"No Aplica")</f>
        <v>No Aplica</v>
      </c>
      <c r="AR343" s="97" t="str">
        <f>IFERROR(__xludf.DUMMYFUNCTION("""COMPUTED_VALUE"""),"No Aplica")</f>
        <v>No Aplica</v>
      </c>
      <c r="AS343" s="97"/>
      <c r="AT343" s="97"/>
      <c r="AU343" s="97"/>
      <c r="AV343" s="97" t="str">
        <f>IFERROR(__xludf.DUMMYFUNCTION("""COMPUTED_VALUE"""),"Aplique")</f>
        <v>Aplique</v>
      </c>
      <c r="AW343" s="97" t="str">
        <f>IFERROR(__xludf.DUMMYFUNCTION("""COMPUTED_VALUE"""),"De Pared")</f>
        <v>De Pared</v>
      </c>
      <c r="AX343" s="97" t="str">
        <f>IFERROR(__xludf.DUMMYFUNCTION("""COMPUTED_VALUE"""),"Exterior")</f>
        <v>Exterior</v>
      </c>
      <c r="AY343" s="97"/>
      <c r="AZ343" s="97"/>
      <c r="BA343" s="97"/>
      <c r="BB343" s="97"/>
      <c r="BC343" s="97"/>
      <c r="BD343" s="97" t="str">
        <f>IFERROR(__xludf.DUMMYFUNCTION("""COMPUTED_VALUE"""),"AMFID")</f>
        <v>AMFID</v>
      </c>
      <c r="BE343" s="97" t="str">
        <f>IFERROR(__xludf.DUMMYFUNCTION("""COMPUTED_VALUE"""),"Finalizada")</f>
        <v>Finalizada</v>
      </c>
      <c r="BF343" s="97"/>
      <c r="BG343" s="97" t="str">
        <f>IFERROR(__xludf.DUMMYFUNCTION("""COMPUTED_VALUE"""),"Discontinuo")</f>
        <v>Discontinuo</v>
      </c>
    </row>
    <row r="344">
      <c r="A344" s="97">
        <f>IFERROR(__xludf.DUMMYFUNCTION("""COMPUTED_VALUE"""),4173.0)</f>
        <v>4173</v>
      </c>
      <c r="B344" s="97" t="str">
        <f>IFERROR(__xludf.DUMMYFUNCTION("""COMPUTED_VALUE"""),"EXO I NG")</f>
        <v>EXO I NG</v>
      </c>
      <c r="C344" s="97" t="str">
        <f>IFERROR(__xludf.DUMMYFUNCTION("""COMPUTED_VALUE"""),"LUMINARIA EXTERIOR EXO I NEGRO LEUK")</f>
        <v>LUMINARIA EXTERIOR EXO I NEGRO LEUK</v>
      </c>
      <c r="D344" s="97">
        <f>IFERROR(__xludf.DUMMYFUNCTION("""COMPUTED_VALUE"""),7.79832875594E12)</f>
        <v>7798328755940</v>
      </c>
      <c r="E344" s="97"/>
      <c r="F344" s="97" t="str">
        <f>IFERROR(__xludf.DUMMYFUNCTION("""COMPUTED_VALUE"""),"1 x GU10")</f>
        <v>1 x GU10</v>
      </c>
      <c r="G344" s="97" t="str">
        <f>IFERROR(__xludf.DUMMYFUNCTION("""COMPUTED_VALUE"""),"N/A")</f>
        <v>N/A</v>
      </c>
      <c r="H344" s="97" t="str">
        <f>IFERROR(__xludf.DUMMYFUNCTION("""COMPUTED_VALUE"""),"N/A")</f>
        <v>N/A</v>
      </c>
      <c r="I344" s="97" t="str">
        <f>IFERROR(__xludf.DUMMYFUNCTION("""COMPUTED_VALUE"""),"N/A")</f>
        <v>N/A</v>
      </c>
      <c r="J344" s="97"/>
      <c r="K344" s="97" t="str">
        <f>IFERROR(__xludf.DUMMYFUNCTION("""COMPUTED_VALUE"""),"N/A")</f>
        <v>N/A</v>
      </c>
      <c r="L344" s="97" t="str">
        <f>IFERROR(__xludf.DUMMYFUNCTION("""COMPUTED_VALUE"""),"220-240")</f>
        <v>220-240</v>
      </c>
      <c r="M344" s="97" t="str">
        <f>IFERROR(__xludf.DUMMYFUNCTION("""COMPUTED_VALUE"""),"50/60")</f>
        <v>50/60</v>
      </c>
      <c r="N344" s="97"/>
      <c r="O344" s="97" t="str">
        <f>IFERROR(__xludf.DUMMYFUNCTION("""COMPUTED_VALUE"""),"1 x 35W Max")</f>
        <v>1 x 35W Max</v>
      </c>
      <c r="P344" s="97"/>
      <c r="Q344" s="97" t="str">
        <f>IFERROR(__xludf.DUMMYFUNCTION("""COMPUTED_VALUE"""),"-")</f>
        <v>-</v>
      </c>
      <c r="R344" s="97" t="str">
        <f>IFERROR(__xludf.DUMMYFUNCTION("""COMPUTED_VALUE"""),"-")</f>
        <v>-</v>
      </c>
      <c r="S344" s="97" t="str">
        <f>IFERROR(__xludf.DUMMYFUNCTION("""COMPUTED_VALUE"""),"-")</f>
        <v>-</v>
      </c>
      <c r="T344" s="97" t="str">
        <f>IFERROR(__xludf.DUMMYFUNCTION("""COMPUTED_VALUE"""),"-")</f>
        <v>-</v>
      </c>
      <c r="U344" s="97" t="str">
        <f>IFERROR(__xludf.DUMMYFUNCTION("""COMPUTED_VALUE"""),"-")</f>
        <v>-</v>
      </c>
      <c r="V344" s="97" t="str">
        <f>IFERROR(__xludf.DUMMYFUNCTION("""COMPUTED_VALUE"""),"N/A")</f>
        <v>N/A</v>
      </c>
      <c r="W344" s="97" t="str">
        <f>IFERROR(__xludf.DUMMYFUNCTION("""COMPUTED_VALUE"""),"N/A")</f>
        <v>N/A</v>
      </c>
      <c r="X344" s="97" t="str">
        <f>IFERROR(__xludf.DUMMYFUNCTION("""COMPUTED_VALUE"""),"-")</f>
        <v>-</v>
      </c>
      <c r="Y344" s="97" t="str">
        <f>IFERROR(__xludf.DUMMYFUNCTION("""COMPUTED_VALUE"""),"N/A")</f>
        <v>N/A</v>
      </c>
      <c r="Z344" s="97" t="str">
        <f>IFERROR(__xludf.DUMMYFUNCTION("""COMPUTED_VALUE"""),"N/A")</f>
        <v>N/A</v>
      </c>
      <c r="AA344" s="97" t="str">
        <f>IFERROR(__xludf.DUMMYFUNCTION("""COMPUTED_VALUE"""),"N/A")</f>
        <v>N/A</v>
      </c>
      <c r="AB344" s="97" t="str">
        <f>IFERROR(__xludf.DUMMYFUNCTION("""COMPUTED_VALUE"""),"N/A")</f>
        <v>N/A</v>
      </c>
      <c r="AC344" s="97" t="str">
        <f>IFERROR(__xludf.DUMMYFUNCTION("""COMPUTED_VALUE"""),"N/A")</f>
        <v>N/A</v>
      </c>
      <c r="AD344" s="97" t="str">
        <f>IFERROR(__xludf.DUMMYFUNCTION("""COMPUTED_VALUE"""),"IP55")</f>
        <v>IP55</v>
      </c>
      <c r="AE344" s="97" t="str">
        <f>IFERROR(__xludf.DUMMYFUNCTION("""COMPUTED_VALUE"""),"Clase l")</f>
        <v>Clase l</v>
      </c>
      <c r="AF344" s="97" t="str">
        <f>IFERROR(__xludf.DUMMYFUNCTION("""COMPUTED_VALUE"""),"Aplicar")</f>
        <v>Aplicar</v>
      </c>
      <c r="AG344" s="97" t="str">
        <f>IFERROR(__xludf.DUMMYFUNCTION("""COMPUTED_VALUE"""),"110 x 95,5 x 170 ")</f>
        <v>110 x 95,5 x 170 </v>
      </c>
      <c r="AH344" s="97" t="str">
        <f>IFERROR(__xludf.DUMMYFUNCTION("""COMPUTED_VALUE"""),"N/A")</f>
        <v>N/A</v>
      </c>
      <c r="AI344" s="97" t="str">
        <f>IFERROR(__xludf.DUMMYFUNCTION("""COMPUTED_VALUE"""),"N/A")</f>
        <v>N/A</v>
      </c>
      <c r="AJ344" s="97" t="str">
        <f>IFERROR(__xludf.DUMMYFUNCTION("""COMPUTED_VALUE"""),"Vidrio y Policarbonato (PC)")</f>
        <v>Vidrio y Policarbonato (PC)</v>
      </c>
      <c r="AK344" s="97" t="str">
        <f>IFERROR(__xludf.DUMMYFUNCTION("""COMPUTED_VALUE"""),"Aluminio")</f>
        <v>Aluminio</v>
      </c>
      <c r="AL344" s="97" t="str">
        <f>IFERROR(__xludf.DUMMYFUNCTION("""COMPUTED_VALUE"""),"Negro Satinado")</f>
        <v>Negro Satinado</v>
      </c>
      <c r="AM344" s="97" t="str">
        <f>IFERROR(__xludf.DUMMYFUNCTION("""COMPUTED_VALUE"""),"-")</f>
        <v>-</v>
      </c>
      <c r="AN344" s="97" t="str">
        <f>IFERROR(__xludf.DUMMYFUNCTION("""COMPUTED_VALUE"""),"N/A")</f>
        <v>N/A</v>
      </c>
      <c r="AO344" s="97" t="str">
        <f>IFERROR(__xludf.DUMMYFUNCTION("""COMPUTED_VALUE"""),"1 Año")</f>
        <v>1 Año</v>
      </c>
      <c r="AP344" s="97" t="str">
        <f>IFERROR(__xludf.DUMMYFUNCTION("""COMPUTED_VALUE"""),"No Aplica")</f>
        <v>No Aplica</v>
      </c>
      <c r="AQ344" s="97" t="str">
        <f>IFERROR(__xludf.DUMMYFUNCTION("""COMPUTED_VALUE"""),"No Aplica")</f>
        <v>No Aplica</v>
      </c>
      <c r="AR344" s="97" t="str">
        <f>IFERROR(__xludf.DUMMYFUNCTION("""COMPUTED_VALUE"""),"No Aplica")</f>
        <v>No Aplica</v>
      </c>
      <c r="AS344" s="97"/>
      <c r="AT344" s="97"/>
      <c r="AU344" s="97"/>
      <c r="AV344" s="97" t="str">
        <f>IFERROR(__xludf.DUMMYFUNCTION("""COMPUTED_VALUE"""),"Aplique")</f>
        <v>Aplique</v>
      </c>
      <c r="AW344" s="97" t="str">
        <f>IFERROR(__xludf.DUMMYFUNCTION("""COMPUTED_VALUE"""),"De Pared")</f>
        <v>De Pared</v>
      </c>
      <c r="AX344" s="97" t="str">
        <f>IFERROR(__xludf.DUMMYFUNCTION("""COMPUTED_VALUE"""),"Exterior")</f>
        <v>Exterior</v>
      </c>
      <c r="AY344" s="97"/>
      <c r="AZ344" s="97"/>
      <c r="BA344" s="97"/>
      <c r="BB344" s="97"/>
      <c r="BC344" s="97"/>
      <c r="BD344" s="97" t="str">
        <f>IFERROR(__xludf.DUMMYFUNCTION("""COMPUTED_VALUE"""),"EXO")</f>
        <v>EXO</v>
      </c>
      <c r="BE344" s="97" t="str">
        <f>IFERROR(__xludf.DUMMYFUNCTION("""COMPUTED_VALUE"""),"Finalizada")</f>
        <v>Finalizada</v>
      </c>
      <c r="BF344" s="97"/>
      <c r="BG344" s="97" t="str">
        <f>IFERROR(__xludf.DUMMYFUNCTION("""COMPUTED_VALUE"""),"Discontinuo")</f>
        <v>Discontinuo</v>
      </c>
    </row>
    <row r="345">
      <c r="A345" s="97">
        <f>IFERROR(__xludf.DUMMYFUNCTION("""COMPUTED_VALUE"""),4174.0)</f>
        <v>4174</v>
      </c>
      <c r="B345" s="97" t="str">
        <f>IFERROR(__xludf.DUMMYFUNCTION("""COMPUTED_VALUE"""),"EXO II BL")</f>
        <v>EXO II BL</v>
      </c>
      <c r="C345" s="97" t="str">
        <f>IFERROR(__xludf.DUMMYFUNCTION("""COMPUTED_VALUE"""),"LUMINARIA EXTERIOR EXO II BLANCO LEUK")</f>
        <v>LUMINARIA EXTERIOR EXO II BLANCO LEUK</v>
      </c>
      <c r="D345" s="97">
        <f>IFERROR(__xludf.DUMMYFUNCTION("""COMPUTED_VALUE"""),7.798328758057E12)</f>
        <v>7798328758057</v>
      </c>
      <c r="E345" s="97"/>
      <c r="F345" s="97" t="str">
        <f>IFERROR(__xludf.DUMMYFUNCTION("""COMPUTED_VALUE"""),"2 x GU10")</f>
        <v>2 x GU10</v>
      </c>
      <c r="G345" s="97" t="str">
        <f>IFERROR(__xludf.DUMMYFUNCTION("""COMPUTED_VALUE"""),"N/A")</f>
        <v>N/A</v>
      </c>
      <c r="H345" s="97" t="str">
        <f>IFERROR(__xludf.DUMMYFUNCTION("""COMPUTED_VALUE"""),"N/A")</f>
        <v>N/A</v>
      </c>
      <c r="I345" s="97" t="str">
        <f>IFERROR(__xludf.DUMMYFUNCTION("""COMPUTED_VALUE"""),"N/A")</f>
        <v>N/A</v>
      </c>
      <c r="J345" s="97"/>
      <c r="K345" s="97" t="str">
        <f>IFERROR(__xludf.DUMMYFUNCTION("""COMPUTED_VALUE"""),"N/A")</f>
        <v>N/A</v>
      </c>
      <c r="L345" s="97" t="str">
        <f>IFERROR(__xludf.DUMMYFUNCTION("""COMPUTED_VALUE"""),"220-240")</f>
        <v>220-240</v>
      </c>
      <c r="M345" s="97" t="str">
        <f>IFERROR(__xludf.DUMMYFUNCTION("""COMPUTED_VALUE"""),"50/60")</f>
        <v>50/60</v>
      </c>
      <c r="N345" s="97"/>
      <c r="O345" s="97" t="str">
        <f>IFERROR(__xludf.DUMMYFUNCTION("""COMPUTED_VALUE"""),"2 x 35W Max")</f>
        <v>2 x 35W Max</v>
      </c>
      <c r="P345" s="97"/>
      <c r="Q345" s="97" t="str">
        <f>IFERROR(__xludf.DUMMYFUNCTION("""COMPUTED_VALUE"""),"-")</f>
        <v>-</v>
      </c>
      <c r="R345" s="97" t="str">
        <f>IFERROR(__xludf.DUMMYFUNCTION("""COMPUTED_VALUE"""),"-")</f>
        <v>-</v>
      </c>
      <c r="S345" s="97" t="str">
        <f>IFERROR(__xludf.DUMMYFUNCTION("""COMPUTED_VALUE"""),"-")</f>
        <v>-</v>
      </c>
      <c r="T345" s="97" t="str">
        <f>IFERROR(__xludf.DUMMYFUNCTION("""COMPUTED_VALUE"""),"-")</f>
        <v>-</v>
      </c>
      <c r="U345" s="97" t="str">
        <f>IFERROR(__xludf.DUMMYFUNCTION("""COMPUTED_VALUE"""),"-")</f>
        <v>-</v>
      </c>
      <c r="V345" s="97" t="str">
        <f>IFERROR(__xludf.DUMMYFUNCTION("""COMPUTED_VALUE"""),"N/A")</f>
        <v>N/A</v>
      </c>
      <c r="W345" s="97" t="str">
        <f>IFERROR(__xludf.DUMMYFUNCTION("""COMPUTED_VALUE"""),"N/A")</f>
        <v>N/A</v>
      </c>
      <c r="X345" s="97" t="str">
        <f>IFERROR(__xludf.DUMMYFUNCTION("""COMPUTED_VALUE"""),"-")</f>
        <v>-</v>
      </c>
      <c r="Y345" s="97" t="str">
        <f>IFERROR(__xludf.DUMMYFUNCTION("""COMPUTED_VALUE"""),"N/A")</f>
        <v>N/A</v>
      </c>
      <c r="Z345" s="97" t="str">
        <f>IFERROR(__xludf.DUMMYFUNCTION("""COMPUTED_VALUE"""),"N/A")</f>
        <v>N/A</v>
      </c>
      <c r="AA345" s="97" t="str">
        <f>IFERROR(__xludf.DUMMYFUNCTION("""COMPUTED_VALUE"""),"N/A")</f>
        <v>N/A</v>
      </c>
      <c r="AB345" s="97" t="str">
        <f>IFERROR(__xludf.DUMMYFUNCTION("""COMPUTED_VALUE"""),"N/A")</f>
        <v>N/A</v>
      </c>
      <c r="AC345" s="97" t="str">
        <f>IFERROR(__xludf.DUMMYFUNCTION("""COMPUTED_VALUE"""),"N/A")</f>
        <v>N/A</v>
      </c>
      <c r="AD345" s="97" t="str">
        <f>IFERROR(__xludf.DUMMYFUNCTION("""COMPUTED_VALUE"""),"IP55")</f>
        <v>IP55</v>
      </c>
      <c r="AE345" s="97" t="str">
        <f>IFERROR(__xludf.DUMMYFUNCTION("""COMPUTED_VALUE"""),"Clase l")</f>
        <v>Clase l</v>
      </c>
      <c r="AF345" s="97" t="str">
        <f>IFERROR(__xludf.DUMMYFUNCTION("""COMPUTED_VALUE"""),"Aplicar")</f>
        <v>Aplicar</v>
      </c>
      <c r="AG345" s="97" t="str">
        <f>IFERROR(__xludf.DUMMYFUNCTION("""COMPUTED_VALUE"""),"110 x 95,5 x 246 ")</f>
        <v>110 x 95,5 x 246 </v>
      </c>
      <c r="AH345" s="97" t="str">
        <f>IFERROR(__xludf.DUMMYFUNCTION("""COMPUTED_VALUE"""),"N/A")</f>
        <v>N/A</v>
      </c>
      <c r="AI345" s="97" t="str">
        <f>IFERROR(__xludf.DUMMYFUNCTION("""COMPUTED_VALUE"""),"N/A")</f>
        <v>N/A</v>
      </c>
      <c r="AJ345" s="97" t="str">
        <f>IFERROR(__xludf.DUMMYFUNCTION("""COMPUTED_VALUE"""),"Vidrio y Policarbonato (PC)")</f>
        <v>Vidrio y Policarbonato (PC)</v>
      </c>
      <c r="AK345" s="97" t="str">
        <f>IFERROR(__xludf.DUMMYFUNCTION("""COMPUTED_VALUE"""),"Aluminio")</f>
        <v>Aluminio</v>
      </c>
      <c r="AL345" s="97" t="str">
        <f>IFERROR(__xludf.DUMMYFUNCTION("""COMPUTED_VALUE"""),"Blanco Satinado")</f>
        <v>Blanco Satinado</v>
      </c>
      <c r="AM345" s="97" t="str">
        <f>IFERROR(__xludf.DUMMYFUNCTION("""COMPUTED_VALUE"""),"-")</f>
        <v>-</v>
      </c>
      <c r="AN345" s="97" t="str">
        <f>IFERROR(__xludf.DUMMYFUNCTION("""COMPUTED_VALUE"""),"N/A")</f>
        <v>N/A</v>
      </c>
      <c r="AO345" s="97" t="str">
        <f>IFERROR(__xludf.DUMMYFUNCTION("""COMPUTED_VALUE"""),"1 Año")</f>
        <v>1 Año</v>
      </c>
      <c r="AP345" s="97" t="str">
        <f>IFERROR(__xludf.DUMMYFUNCTION("""COMPUTED_VALUE"""),"No Aplica")</f>
        <v>No Aplica</v>
      </c>
      <c r="AQ345" s="97" t="str">
        <f>IFERROR(__xludf.DUMMYFUNCTION("""COMPUTED_VALUE"""),"No Aplica")</f>
        <v>No Aplica</v>
      </c>
      <c r="AR345" s="97" t="str">
        <f>IFERROR(__xludf.DUMMYFUNCTION("""COMPUTED_VALUE"""),"No Aplica")</f>
        <v>No Aplica</v>
      </c>
      <c r="AS345" s="97"/>
      <c r="AT345" s="97"/>
      <c r="AU345" s="97"/>
      <c r="AV345" s="97" t="str">
        <f>IFERROR(__xludf.DUMMYFUNCTION("""COMPUTED_VALUE"""),"Aplique")</f>
        <v>Aplique</v>
      </c>
      <c r="AW345" s="97" t="str">
        <f>IFERROR(__xludf.DUMMYFUNCTION("""COMPUTED_VALUE"""),"De Pared")</f>
        <v>De Pared</v>
      </c>
      <c r="AX345" s="97" t="str">
        <f>IFERROR(__xludf.DUMMYFUNCTION("""COMPUTED_VALUE"""),"Exterior")</f>
        <v>Exterior</v>
      </c>
      <c r="AY345" s="97"/>
      <c r="AZ345" s="97"/>
      <c r="BA345" s="97"/>
      <c r="BB345" s="97"/>
      <c r="BC345" s="97"/>
      <c r="BD345" s="97" t="str">
        <f>IFERROR(__xludf.DUMMYFUNCTION("""COMPUTED_VALUE"""),"EXO")</f>
        <v>EXO</v>
      </c>
      <c r="BE345" s="97" t="str">
        <f>IFERROR(__xludf.DUMMYFUNCTION("""COMPUTED_VALUE"""),"Finalizada")</f>
        <v>Finalizada</v>
      </c>
      <c r="BF345" s="97"/>
      <c r="BG345" s="97" t="str">
        <f>IFERROR(__xludf.DUMMYFUNCTION("""COMPUTED_VALUE"""),"Discontinuo")</f>
        <v>Discontinuo</v>
      </c>
    </row>
    <row r="346">
      <c r="A346" s="97">
        <f>IFERROR(__xludf.DUMMYFUNCTION("""COMPUTED_VALUE"""),4175.0)</f>
        <v>4175</v>
      </c>
      <c r="B346" s="97" t="str">
        <f>IFERROR(__xludf.DUMMYFUNCTION("""COMPUTED_VALUE"""),"EXO II NG")</f>
        <v>EXO II NG</v>
      </c>
      <c r="C346" s="97" t="str">
        <f>IFERROR(__xludf.DUMMYFUNCTION("""COMPUTED_VALUE"""),"LUMINARIA EXTERIOR EXO II NEGRO LEUK")</f>
        <v>LUMINARIA EXTERIOR EXO II NEGRO LEUK</v>
      </c>
      <c r="D346" s="97">
        <f>IFERROR(__xludf.DUMMYFUNCTION("""COMPUTED_VALUE"""),7.79832875804E12)</f>
        <v>7798328758040</v>
      </c>
      <c r="E346" s="97"/>
      <c r="F346" s="97" t="str">
        <f>IFERROR(__xludf.DUMMYFUNCTION("""COMPUTED_VALUE"""),"2 x GU10")</f>
        <v>2 x GU10</v>
      </c>
      <c r="G346" s="97" t="str">
        <f>IFERROR(__xludf.DUMMYFUNCTION("""COMPUTED_VALUE"""),"N/A")</f>
        <v>N/A</v>
      </c>
      <c r="H346" s="97" t="str">
        <f>IFERROR(__xludf.DUMMYFUNCTION("""COMPUTED_VALUE"""),"N/A")</f>
        <v>N/A</v>
      </c>
      <c r="I346" s="97" t="str">
        <f>IFERROR(__xludf.DUMMYFUNCTION("""COMPUTED_VALUE"""),"N/A")</f>
        <v>N/A</v>
      </c>
      <c r="J346" s="97"/>
      <c r="K346" s="97" t="str">
        <f>IFERROR(__xludf.DUMMYFUNCTION("""COMPUTED_VALUE"""),"N/A")</f>
        <v>N/A</v>
      </c>
      <c r="L346" s="97" t="str">
        <f>IFERROR(__xludf.DUMMYFUNCTION("""COMPUTED_VALUE"""),"220-240")</f>
        <v>220-240</v>
      </c>
      <c r="M346" s="97" t="str">
        <f>IFERROR(__xludf.DUMMYFUNCTION("""COMPUTED_VALUE"""),"50/60")</f>
        <v>50/60</v>
      </c>
      <c r="N346" s="97"/>
      <c r="O346" s="97" t="str">
        <f>IFERROR(__xludf.DUMMYFUNCTION("""COMPUTED_VALUE"""),"2 x 35W Max")</f>
        <v>2 x 35W Max</v>
      </c>
      <c r="P346" s="97"/>
      <c r="Q346" s="97" t="str">
        <f>IFERROR(__xludf.DUMMYFUNCTION("""COMPUTED_VALUE"""),"-")</f>
        <v>-</v>
      </c>
      <c r="R346" s="97" t="str">
        <f>IFERROR(__xludf.DUMMYFUNCTION("""COMPUTED_VALUE"""),"-")</f>
        <v>-</v>
      </c>
      <c r="S346" s="97" t="str">
        <f>IFERROR(__xludf.DUMMYFUNCTION("""COMPUTED_VALUE"""),"-")</f>
        <v>-</v>
      </c>
      <c r="T346" s="97" t="str">
        <f>IFERROR(__xludf.DUMMYFUNCTION("""COMPUTED_VALUE"""),"-")</f>
        <v>-</v>
      </c>
      <c r="U346" s="97" t="str">
        <f>IFERROR(__xludf.DUMMYFUNCTION("""COMPUTED_VALUE"""),"-")</f>
        <v>-</v>
      </c>
      <c r="V346" s="97" t="str">
        <f>IFERROR(__xludf.DUMMYFUNCTION("""COMPUTED_VALUE"""),"N/A")</f>
        <v>N/A</v>
      </c>
      <c r="W346" s="97" t="str">
        <f>IFERROR(__xludf.DUMMYFUNCTION("""COMPUTED_VALUE"""),"N/A")</f>
        <v>N/A</v>
      </c>
      <c r="X346" s="97" t="str">
        <f>IFERROR(__xludf.DUMMYFUNCTION("""COMPUTED_VALUE"""),"-")</f>
        <v>-</v>
      </c>
      <c r="Y346" s="97" t="str">
        <f>IFERROR(__xludf.DUMMYFUNCTION("""COMPUTED_VALUE"""),"N/A")</f>
        <v>N/A</v>
      </c>
      <c r="Z346" s="97" t="str">
        <f>IFERROR(__xludf.DUMMYFUNCTION("""COMPUTED_VALUE"""),"N/A")</f>
        <v>N/A</v>
      </c>
      <c r="AA346" s="97" t="str">
        <f>IFERROR(__xludf.DUMMYFUNCTION("""COMPUTED_VALUE"""),"N/A")</f>
        <v>N/A</v>
      </c>
      <c r="AB346" s="97" t="str">
        <f>IFERROR(__xludf.DUMMYFUNCTION("""COMPUTED_VALUE"""),"N/A")</f>
        <v>N/A</v>
      </c>
      <c r="AC346" s="97" t="str">
        <f>IFERROR(__xludf.DUMMYFUNCTION("""COMPUTED_VALUE"""),"N/A")</f>
        <v>N/A</v>
      </c>
      <c r="AD346" s="97" t="str">
        <f>IFERROR(__xludf.DUMMYFUNCTION("""COMPUTED_VALUE"""),"IP55")</f>
        <v>IP55</v>
      </c>
      <c r="AE346" s="97" t="str">
        <f>IFERROR(__xludf.DUMMYFUNCTION("""COMPUTED_VALUE"""),"Clase l")</f>
        <v>Clase l</v>
      </c>
      <c r="AF346" s="97" t="str">
        <f>IFERROR(__xludf.DUMMYFUNCTION("""COMPUTED_VALUE"""),"Aplicar")</f>
        <v>Aplicar</v>
      </c>
      <c r="AG346" s="97" t="str">
        <f>IFERROR(__xludf.DUMMYFUNCTION("""COMPUTED_VALUE"""),"110 x 95,5 x 246 ")</f>
        <v>110 x 95,5 x 246 </v>
      </c>
      <c r="AH346" s="97" t="str">
        <f>IFERROR(__xludf.DUMMYFUNCTION("""COMPUTED_VALUE"""),"N/A")</f>
        <v>N/A</v>
      </c>
      <c r="AI346" s="97" t="str">
        <f>IFERROR(__xludf.DUMMYFUNCTION("""COMPUTED_VALUE"""),"N/A")</f>
        <v>N/A</v>
      </c>
      <c r="AJ346" s="97" t="str">
        <f>IFERROR(__xludf.DUMMYFUNCTION("""COMPUTED_VALUE"""),"Vidrio y Policarbonato (PC)")</f>
        <v>Vidrio y Policarbonato (PC)</v>
      </c>
      <c r="AK346" s="97" t="str">
        <f>IFERROR(__xludf.DUMMYFUNCTION("""COMPUTED_VALUE"""),"Aluminio")</f>
        <v>Aluminio</v>
      </c>
      <c r="AL346" s="97" t="str">
        <f>IFERROR(__xludf.DUMMYFUNCTION("""COMPUTED_VALUE"""),"Negro Satinado")</f>
        <v>Negro Satinado</v>
      </c>
      <c r="AM346" s="97" t="str">
        <f>IFERROR(__xludf.DUMMYFUNCTION("""COMPUTED_VALUE"""),"-")</f>
        <v>-</v>
      </c>
      <c r="AN346" s="97" t="str">
        <f>IFERROR(__xludf.DUMMYFUNCTION("""COMPUTED_VALUE"""),"N/A")</f>
        <v>N/A</v>
      </c>
      <c r="AO346" s="97" t="str">
        <f>IFERROR(__xludf.DUMMYFUNCTION("""COMPUTED_VALUE"""),"1 Año")</f>
        <v>1 Año</v>
      </c>
      <c r="AP346" s="97" t="str">
        <f>IFERROR(__xludf.DUMMYFUNCTION("""COMPUTED_VALUE"""),"No Aplica")</f>
        <v>No Aplica</v>
      </c>
      <c r="AQ346" s="97" t="str">
        <f>IFERROR(__xludf.DUMMYFUNCTION("""COMPUTED_VALUE"""),"No Aplica")</f>
        <v>No Aplica</v>
      </c>
      <c r="AR346" s="97" t="str">
        <f>IFERROR(__xludf.DUMMYFUNCTION("""COMPUTED_VALUE"""),"No Aplica")</f>
        <v>No Aplica</v>
      </c>
      <c r="AS346" s="97"/>
      <c r="AT346" s="97"/>
      <c r="AU346" s="97"/>
      <c r="AV346" s="97" t="str">
        <f>IFERROR(__xludf.DUMMYFUNCTION("""COMPUTED_VALUE"""),"Aplique")</f>
        <v>Aplique</v>
      </c>
      <c r="AW346" s="97" t="str">
        <f>IFERROR(__xludf.DUMMYFUNCTION("""COMPUTED_VALUE"""),"De Pared")</f>
        <v>De Pared</v>
      </c>
      <c r="AX346" s="97" t="str">
        <f>IFERROR(__xludf.DUMMYFUNCTION("""COMPUTED_VALUE"""),"Exterior")</f>
        <v>Exterior</v>
      </c>
      <c r="AY346" s="97"/>
      <c r="AZ346" s="97"/>
      <c r="BA346" s="97"/>
      <c r="BB346" s="97"/>
      <c r="BC346" s="97"/>
      <c r="BD346" s="97" t="str">
        <f>IFERROR(__xludf.DUMMYFUNCTION("""COMPUTED_VALUE"""),"EXO")</f>
        <v>EXO</v>
      </c>
      <c r="BE346" s="97" t="str">
        <f>IFERROR(__xludf.DUMMYFUNCTION("""COMPUTED_VALUE"""),"Finalizada")</f>
        <v>Finalizada</v>
      </c>
      <c r="BF346" s="97"/>
      <c r="BG346" s="97" t="str">
        <f>IFERROR(__xludf.DUMMYFUNCTION("""COMPUTED_VALUE"""),"Discontinuo")</f>
        <v>Discontinuo</v>
      </c>
    </row>
    <row r="347">
      <c r="A347" s="97">
        <f>IFERROR(__xludf.DUMMYFUNCTION("""COMPUTED_VALUE"""),4176.0)</f>
        <v>4176</v>
      </c>
      <c r="B347" s="97" t="str">
        <f>IFERROR(__xludf.DUMMYFUNCTION("""COMPUTED_VALUE"""),"EXO II GR")</f>
        <v>EXO II GR</v>
      </c>
      <c r="C347" s="97" t="str">
        <f>IFERROR(__xludf.DUMMYFUNCTION("""COMPUTED_VALUE"""),"LUMINARIA EXTERIOR EXO II GRIS LEUK")</f>
        <v>LUMINARIA EXTERIOR EXO II GRIS LEUK</v>
      </c>
      <c r="D347" s="97">
        <f>IFERROR(__xludf.DUMMYFUNCTION("""COMPUTED_VALUE"""),7.798328758064E12)</f>
        <v>7798328758064</v>
      </c>
      <c r="E347" s="97"/>
      <c r="F347" s="97" t="str">
        <f>IFERROR(__xludf.DUMMYFUNCTION("""COMPUTED_VALUE"""),"2 x GU10")</f>
        <v>2 x GU10</v>
      </c>
      <c r="G347" s="97" t="str">
        <f>IFERROR(__xludf.DUMMYFUNCTION("""COMPUTED_VALUE"""),"N/A")</f>
        <v>N/A</v>
      </c>
      <c r="H347" s="97" t="str">
        <f>IFERROR(__xludf.DUMMYFUNCTION("""COMPUTED_VALUE"""),"N/A")</f>
        <v>N/A</v>
      </c>
      <c r="I347" s="97" t="str">
        <f>IFERROR(__xludf.DUMMYFUNCTION("""COMPUTED_VALUE"""),"N/A")</f>
        <v>N/A</v>
      </c>
      <c r="J347" s="97"/>
      <c r="K347" s="97" t="str">
        <f>IFERROR(__xludf.DUMMYFUNCTION("""COMPUTED_VALUE"""),"N/A")</f>
        <v>N/A</v>
      </c>
      <c r="L347" s="97" t="str">
        <f>IFERROR(__xludf.DUMMYFUNCTION("""COMPUTED_VALUE"""),"220-240")</f>
        <v>220-240</v>
      </c>
      <c r="M347" s="97" t="str">
        <f>IFERROR(__xludf.DUMMYFUNCTION("""COMPUTED_VALUE"""),"50/60")</f>
        <v>50/60</v>
      </c>
      <c r="N347" s="97"/>
      <c r="O347" s="97" t="str">
        <f>IFERROR(__xludf.DUMMYFUNCTION("""COMPUTED_VALUE"""),"2 x 35W Max")</f>
        <v>2 x 35W Max</v>
      </c>
      <c r="P347" s="97"/>
      <c r="Q347" s="97" t="str">
        <f>IFERROR(__xludf.DUMMYFUNCTION("""COMPUTED_VALUE"""),"-")</f>
        <v>-</v>
      </c>
      <c r="R347" s="97" t="str">
        <f>IFERROR(__xludf.DUMMYFUNCTION("""COMPUTED_VALUE"""),"-")</f>
        <v>-</v>
      </c>
      <c r="S347" s="97" t="str">
        <f>IFERROR(__xludf.DUMMYFUNCTION("""COMPUTED_VALUE"""),"-")</f>
        <v>-</v>
      </c>
      <c r="T347" s="97" t="str">
        <f>IFERROR(__xludf.DUMMYFUNCTION("""COMPUTED_VALUE"""),"-")</f>
        <v>-</v>
      </c>
      <c r="U347" s="97" t="str">
        <f>IFERROR(__xludf.DUMMYFUNCTION("""COMPUTED_VALUE"""),"-")</f>
        <v>-</v>
      </c>
      <c r="V347" s="97" t="str">
        <f>IFERROR(__xludf.DUMMYFUNCTION("""COMPUTED_VALUE"""),"N/A")</f>
        <v>N/A</v>
      </c>
      <c r="W347" s="97" t="str">
        <f>IFERROR(__xludf.DUMMYFUNCTION("""COMPUTED_VALUE"""),"N/A")</f>
        <v>N/A</v>
      </c>
      <c r="X347" s="97" t="str">
        <f>IFERROR(__xludf.DUMMYFUNCTION("""COMPUTED_VALUE"""),"-")</f>
        <v>-</v>
      </c>
      <c r="Y347" s="97" t="str">
        <f>IFERROR(__xludf.DUMMYFUNCTION("""COMPUTED_VALUE"""),"N/A")</f>
        <v>N/A</v>
      </c>
      <c r="Z347" s="97" t="str">
        <f>IFERROR(__xludf.DUMMYFUNCTION("""COMPUTED_VALUE"""),"N/A")</f>
        <v>N/A</v>
      </c>
      <c r="AA347" s="97" t="str">
        <f>IFERROR(__xludf.DUMMYFUNCTION("""COMPUTED_VALUE"""),"N/A")</f>
        <v>N/A</v>
      </c>
      <c r="AB347" s="97" t="str">
        <f>IFERROR(__xludf.DUMMYFUNCTION("""COMPUTED_VALUE"""),"N/A")</f>
        <v>N/A</v>
      </c>
      <c r="AC347" s="97" t="str">
        <f>IFERROR(__xludf.DUMMYFUNCTION("""COMPUTED_VALUE"""),"N/A")</f>
        <v>N/A</v>
      </c>
      <c r="AD347" s="97" t="str">
        <f>IFERROR(__xludf.DUMMYFUNCTION("""COMPUTED_VALUE"""),"IP55")</f>
        <v>IP55</v>
      </c>
      <c r="AE347" s="97" t="str">
        <f>IFERROR(__xludf.DUMMYFUNCTION("""COMPUTED_VALUE"""),"Clase l")</f>
        <v>Clase l</v>
      </c>
      <c r="AF347" s="97" t="str">
        <f>IFERROR(__xludf.DUMMYFUNCTION("""COMPUTED_VALUE"""),"Aplicar")</f>
        <v>Aplicar</v>
      </c>
      <c r="AG347" s="97" t="str">
        <f>IFERROR(__xludf.DUMMYFUNCTION("""COMPUTED_VALUE"""),"110 x 95,5 x 246 ")</f>
        <v>110 x 95,5 x 246 </v>
      </c>
      <c r="AH347" s="97" t="str">
        <f>IFERROR(__xludf.DUMMYFUNCTION("""COMPUTED_VALUE"""),"N/A")</f>
        <v>N/A</v>
      </c>
      <c r="AI347" s="97" t="str">
        <f>IFERROR(__xludf.DUMMYFUNCTION("""COMPUTED_VALUE"""),"N/A")</f>
        <v>N/A</v>
      </c>
      <c r="AJ347" s="97" t="str">
        <f>IFERROR(__xludf.DUMMYFUNCTION("""COMPUTED_VALUE"""),"Vidrio y Policarbonato (PC)")</f>
        <v>Vidrio y Policarbonato (PC)</v>
      </c>
      <c r="AK347" s="97" t="str">
        <f>IFERROR(__xludf.DUMMYFUNCTION("""COMPUTED_VALUE"""),"Aluminio")</f>
        <v>Aluminio</v>
      </c>
      <c r="AL347" s="97" t="str">
        <f>IFERROR(__xludf.DUMMYFUNCTION("""COMPUTED_VALUE"""),"Gris")</f>
        <v>Gris</v>
      </c>
      <c r="AM347" s="97" t="str">
        <f>IFERROR(__xludf.DUMMYFUNCTION("""COMPUTED_VALUE"""),"-")</f>
        <v>-</v>
      </c>
      <c r="AN347" s="97" t="str">
        <f>IFERROR(__xludf.DUMMYFUNCTION("""COMPUTED_VALUE"""),"N/A")</f>
        <v>N/A</v>
      </c>
      <c r="AO347" s="97" t="str">
        <f>IFERROR(__xludf.DUMMYFUNCTION("""COMPUTED_VALUE"""),"1 Año")</f>
        <v>1 Año</v>
      </c>
      <c r="AP347" s="97" t="str">
        <f>IFERROR(__xludf.DUMMYFUNCTION("""COMPUTED_VALUE"""),"No Aplica")</f>
        <v>No Aplica</v>
      </c>
      <c r="AQ347" s="97" t="str">
        <f>IFERROR(__xludf.DUMMYFUNCTION("""COMPUTED_VALUE"""),"No Aplica")</f>
        <v>No Aplica</v>
      </c>
      <c r="AR347" s="97" t="str">
        <f>IFERROR(__xludf.DUMMYFUNCTION("""COMPUTED_VALUE"""),"No Aplica")</f>
        <v>No Aplica</v>
      </c>
      <c r="AS347" s="97"/>
      <c r="AT347" s="97"/>
      <c r="AU347" s="97"/>
      <c r="AV347" s="97" t="str">
        <f>IFERROR(__xludf.DUMMYFUNCTION("""COMPUTED_VALUE"""),"Aplique")</f>
        <v>Aplique</v>
      </c>
      <c r="AW347" s="97" t="str">
        <f>IFERROR(__xludf.DUMMYFUNCTION("""COMPUTED_VALUE"""),"De Pared")</f>
        <v>De Pared</v>
      </c>
      <c r="AX347" s="97" t="str">
        <f>IFERROR(__xludf.DUMMYFUNCTION("""COMPUTED_VALUE"""),"Exterior")</f>
        <v>Exterior</v>
      </c>
      <c r="AY347" s="97"/>
      <c r="AZ347" s="97"/>
      <c r="BA347" s="97"/>
      <c r="BB347" s="97"/>
      <c r="BC347" s="97"/>
      <c r="BD347" s="97" t="str">
        <f>IFERROR(__xludf.DUMMYFUNCTION("""COMPUTED_VALUE"""),"EXO")</f>
        <v>EXO</v>
      </c>
      <c r="BE347" s="97" t="str">
        <f>IFERROR(__xludf.DUMMYFUNCTION("""COMPUTED_VALUE"""),"Finalizada")</f>
        <v>Finalizada</v>
      </c>
      <c r="BF347" s="97"/>
      <c r="BG347" s="97" t="str">
        <f>IFERROR(__xludf.DUMMYFUNCTION("""COMPUTED_VALUE"""),"Discontinuo")</f>
        <v>Discontinuo</v>
      </c>
    </row>
    <row r="348">
      <c r="A348" s="97">
        <f>IFERROR(__xludf.DUMMYFUNCTION("""COMPUTED_VALUE"""),4177.0)</f>
        <v>4177</v>
      </c>
      <c r="B348" s="97" t="str">
        <f>IFERROR(__xludf.DUMMYFUNCTION("""COMPUTED_VALUE"""),"KATO")</f>
        <v>KATO</v>
      </c>
      <c r="C348" s="97" t="str">
        <f>IFERROR(__xludf.DUMMYFUNCTION("""COMPUTED_VALUE"""),"APLIQUE KATO 3W 3000K 62LM CRI&gt;80 IP65 LEUK")</f>
        <v>APLIQUE KATO 3W 3000K 62LM CRI&gt;80 IP65 LEUK</v>
      </c>
      <c r="D348" s="97">
        <f>IFERROR(__xludf.DUMMYFUNCTION("""COMPUTED_VALUE"""),7.798328758088E12)</f>
        <v>7798328758088</v>
      </c>
      <c r="E348" s="97"/>
      <c r="F348" s="97" t="str">
        <f>IFERROR(__xludf.DUMMYFUNCTION("""COMPUTED_VALUE"""),"LED integrado")</f>
        <v>LED integrado</v>
      </c>
      <c r="G348" s="97" t="str">
        <f>IFERROR(__xludf.DUMMYFUNCTION("""COMPUTED_VALUE"""),"-")</f>
        <v>-</v>
      </c>
      <c r="H348" s="97" t="str">
        <f>IFERROR(__xludf.DUMMYFUNCTION("""COMPUTED_VALUE"""),"-")</f>
        <v>-</v>
      </c>
      <c r="I348" s="97"/>
      <c r="J348" s="97"/>
      <c r="K348" s="97" t="str">
        <f>IFERROR(__xludf.DUMMYFUNCTION("""COMPUTED_VALUE"""),"ON/OFF")</f>
        <v>ON/OFF</v>
      </c>
      <c r="L348" s="97" t="str">
        <f>IFERROR(__xludf.DUMMYFUNCTION("""COMPUTED_VALUE"""),"220-240")</f>
        <v>220-240</v>
      </c>
      <c r="M348" s="97" t="str">
        <f>IFERROR(__xludf.DUMMYFUNCTION("""COMPUTED_VALUE"""),"50/60")</f>
        <v>50/60</v>
      </c>
      <c r="N348" s="97"/>
      <c r="O348" s="97">
        <f>IFERROR(__xludf.DUMMYFUNCTION("""COMPUTED_VALUE"""),3.0)</f>
        <v>3</v>
      </c>
      <c r="P348" s="97"/>
      <c r="Q348" s="97">
        <f>IFERROR(__xludf.DUMMYFUNCTION("""COMPUTED_VALUE"""),0.51)</f>
        <v>0.51</v>
      </c>
      <c r="R348" s="97" t="str">
        <f>IFERROR(__xludf.DUMMYFUNCTION("""COMPUTED_VALUE"""),"-")</f>
        <v>-</v>
      </c>
      <c r="S348" s="97" t="str">
        <f>IFERROR(__xludf.DUMMYFUNCTION("""COMPUTED_VALUE"""),"-")</f>
        <v>-</v>
      </c>
      <c r="T348" s="97">
        <f>IFERROR(__xludf.DUMMYFUNCTION("""COMPUTED_VALUE"""),62.0)</f>
        <v>62</v>
      </c>
      <c r="U348" s="99">
        <f>IFERROR(__xludf.DUMMYFUNCTION("""COMPUTED_VALUE"""),20.666666666666668)</f>
        <v>20.66666667</v>
      </c>
      <c r="V348" s="97">
        <f>IFERROR(__xludf.DUMMYFUNCTION("""COMPUTED_VALUE"""),67.0)</f>
        <v>67</v>
      </c>
      <c r="W348" s="97" t="str">
        <f>IFERROR(__xludf.DUMMYFUNCTION("""COMPUTED_VALUE"""),"&lt; 20")</f>
        <v>&lt; 20</v>
      </c>
      <c r="X348" s="97">
        <f>IFERROR(__xludf.DUMMYFUNCTION("""COMPUTED_VALUE"""),3000.0)</f>
        <v>3000</v>
      </c>
      <c r="Y348" s="97" t="str">
        <f>IFERROR(__xludf.DUMMYFUNCTION("""COMPUTED_VALUE"""),"&gt;80")</f>
        <v>&gt;80</v>
      </c>
      <c r="Z348" s="97"/>
      <c r="AA348" s="97"/>
      <c r="AB348" s="97" t="str">
        <f>IFERROR(__xludf.DUMMYFUNCTION("""COMPUTED_VALUE"""),"&lt; 3")</f>
        <v>&lt; 3</v>
      </c>
      <c r="AC348" s="97"/>
      <c r="AD348" s="97" t="str">
        <f>IFERROR(__xludf.DUMMYFUNCTION("""COMPUTED_VALUE"""),"IP65")</f>
        <v>IP65</v>
      </c>
      <c r="AE348" s="97" t="str">
        <f>IFERROR(__xludf.DUMMYFUNCTION("""COMPUTED_VALUE"""),"Clase l")</f>
        <v>Clase l</v>
      </c>
      <c r="AF348" s="97" t="str">
        <f>IFERROR(__xludf.DUMMYFUNCTION("""COMPUTED_VALUE"""),"Aplicar")</f>
        <v>Aplicar</v>
      </c>
      <c r="AG348" s="97" t="str">
        <f>IFERROR(__xludf.DUMMYFUNCTION("""COMPUTED_VALUE"""),"Ø160 x 92,5 Prof")</f>
        <v>Ø160 x 92,5 Prof</v>
      </c>
      <c r="AH348" s="97" t="str">
        <f>IFERROR(__xludf.DUMMYFUNCTION("""COMPUTED_VALUE"""),"N/A")</f>
        <v>N/A</v>
      </c>
      <c r="AI348" s="97" t="str">
        <f>IFERROR(__xludf.DUMMYFUNCTION("""COMPUTED_VALUE"""),"N/A")</f>
        <v>N/A</v>
      </c>
      <c r="AJ348" s="97" t="str">
        <f>IFERROR(__xludf.DUMMYFUNCTION("""COMPUTED_VALUE"""),"Vidrio")</f>
        <v>Vidrio</v>
      </c>
      <c r="AK348" s="97" t="str">
        <f>IFERROR(__xludf.DUMMYFUNCTION("""COMPUTED_VALUE"""),"Aluminio")</f>
        <v>Aluminio</v>
      </c>
      <c r="AL348" s="97" t="str">
        <f>IFERROR(__xludf.DUMMYFUNCTION("""COMPUTED_VALUE"""),"Negro Satinado")</f>
        <v>Negro Satinado</v>
      </c>
      <c r="AM348" s="97" t="str">
        <f>IFERROR(__xludf.DUMMYFUNCTION("""COMPUTED_VALUE"""),"-")</f>
        <v>-</v>
      </c>
      <c r="AN348" s="97" t="str">
        <f>IFERROR(__xludf.DUMMYFUNCTION("""COMPUTED_VALUE"""),"25.000hs (L70)")</f>
        <v>25.000hs (L70)</v>
      </c>
      <c r="AO348" s="97" t="str">
        <f>IFERROR(__xludf.DUMMYFUNCTION("""COMPUTED_VALUE"""),"2 Años")</f>
        <v>2 Años</v>
      </c>
      <c r="AP348" s="97" t="str">
        <f>IFERROR(__xludf.DUMMYFUNCTION("""COMPUTED_VALUE"""),"Disponible")</f>
        <v>Disponible</v>
      </c>
      <c r="AQ348" s="97" t="str">
        <f>IFERROR(__xludf.DUMMYFUNCTION("""COMPUTED_VALUE"""),"Disponible")</f>
        <v>Disponible</v>
      </c>
      <c r="AR348" s="97" t="str">
        <f>IFERROR(__xludf.DUMMYFUNCTION("""COMPUTED_VALUE"""),"Disponible")</f>
        <v>Disponible</v>
      </c>
      <c r="AS348" s="97"/>
      <c r="AT348" s="97"/>
      <c r="AU348" s="97" t="str">
        <f>IFERROR(__xludf.DUMMYFUNCTION("""COMPUTED_VALUE"""),"Falta")</f>
        <v>Falta</v>
      </c>
      <c r="AV348" s="97" t="str">
        <f>IFERROR(__xludf.DUMMYFUNCTION("""COMPUTED_VALUE"""),"Aplique")</f>
        <v>Aplique</v>
      </c>
      <c r="AW348" s="97" t="str">
        <f>IFERROR(__xludf.DUMMYFUNCTION("""COMPUTED_VALUE"""),"De Pared")</f>
        <v>De Pared</v>
      </c>
      <c r="AX348" s="97" t="str">
        <f>IFERROR(__xludf.DUMMYFUNCTION("""COMPUTED_VALUE"""),"Exterior")</f>
        <v>Exterior</v>
      </c>
      <c r="AY348" s="97" t="str">
        <f>IFERROR(__xludf.DUMMYFUNCTION("""COMPUTED_VALUE"""),"-")</f>
        <v>-</v>
      </c>
      <c r="AZ348" s="97"/>
      <c r="BA348" s="97">
        <f>IFERROR(__xludf.DUMMYFUNCTION("""COMPUTED_VALUE"""),24.0)</f>
        <v>24</v>
      </c>
      <c r="BB348" s="97" t="str">
        <f>IFERROR(__xludf.DUMMYFUNCTION("""COMPUTED_VALUE"""),"-")</f>
        <v>-</v>
      </c>
      <c r="BC348" s="97" t="str">
        <f>IFERROR(__xludf.DUMMYFUNCTION("""COMPUTED_VALUE"""),"-")</f>
        <v>-</v>
      </c>
      <c r="BD348" s="97" t="str">
        <f>IFERROR(__xludf.DUMMYFUNCTION("""COMPUTED_VALUE"""),"KATO")</f>
        <v>KATO</v>
      </c>
      <c r="BE348" s="97" t="str">
        <f>IFERROR(__xludf.DUMMYFUNCTION("""COMPUTED_VALUE"""),"Finalizada")</f>
        <v>Finalizada</v>
      </c>
      <c r="BF348" s="97"/>
      <c r="BG348" s="97" t="str">
        <f>IFERROR(__xludf.DUMMYFUNCTION("""COMPUTED_VALUE"""),"Activo")</f>
        <v>Activo</v>
      </c>
    </row>
    <row r="349">
      <c r="A349" s="97">
        <f>IFERROR(__xludf.DUMMYFUNCTION("""COMPUTED_VALUE"""),4179.0)</f>
        <v>4179</v>
      </c>
      <c r="B349" s="97" t="str">
        <f>IFERROR(__xludf.DUMMYFUNCTION("""COMPUTED_VALUE"""),"ORTHOG I BL")</f>
        <v>ORTHOG I BL</v>
      </c>
      <c r="C349" s="97" t="str">
        <f>IFERROR(__xludf.DUMMYFUNCTION("""COMPUTED_VALUE"""),"APLIQUE ORTHOG I BL 6W 3000K 272LM CRI&gt;90 IP65 LEUK")</f>
        <v>APLIQUE ORTHOG I BL 6W 3000K 272LM CRI&gt;90 IP65 LEUK</v>
      </c>
      <c r="D349" s="97">
        <f>IFERROR(__xludf.DUMMYFUNCTION("""COMPUTED_VALUE"""),7.798328755896E12)</f>
        <v>7798328755896</v>
      </c>
      <c r="E349" s="97"/>
      <c r="F349" s="97" t="str">
        <f>IFERROR(__xludf.DUMMYFUNCTION("""COMPUTED_VALUE"""),"LED integrado")</f>
        <v>LED integrado</v>
      </c>
      <c r="G349" s="97" t="str">
        <f>IFERROR(__xludf.DUMMYFUNCTION("""COMPUTED_VALUE"""),"-")</f>
        <v>-</v>
      </c>
      <c r="H349" s="97" t="str">
        <f>IFERROR(__xludf.DUMMYFUNCTION("""COMPUTED_VALUE"""),"-")</f>
        <v>-</v>
      </c>
      <c r="I349" s="97"/>
      <c r="J349" s="97" t="str">
        <f>IFERROR(__xludf.DUMMYFUNCTION("""COMPUTED_VALUE"""),"Modelo: (4-7)X1W
In: 100-265Vac 50/60Hz
Out: 12-25Vdc 300mA
Tc 85°C Ta 50°C IP65")</f>
        <v>Modelo: (4-7)X1W
In: 100-265Vac 50/60Hz
Out: 12-25Vdc 300mA
Tc 85°C Ta 50°C IP65</v>
      </c>
      <c r="K349" s="97" t="str">
        <f>IFERROR(__xludf.DUMMYFUNCTION("""COMPUTED_VALUE"""),"ON/OFF")</f>
        <v>ON/OFF</v>
      </c>
      <c r="L349" s="97" t="str">
        <f>IFERROR(__xludf.DUMMYFUNCTION("""COMPUTED_VALUE"""),"220-240")</f>
        <v>220-240</v>
      </c>
      <c r="M349" s="97" t="str">
        <f>IFERROR(__xludf.DUMMYFUNCTION("""COMPUTED_VALUE"""),"50/60")</f>
        <v>50/60</v>
      </c>
      <c r="N349" s="97"/>
      <c r="O349" s="97">
        <f>IFERROR(__xludf.DUMMYFUNCTION("""COMPUTED_VALUE"""),6.0)</f>
        <v>6</v>
      </c>
      <c r="P349" s="97"/>
      <c r="Q349" s="97">
        <f>IFERROR(__xludf.DUMMYFUNCTION("""COMPUTED_VALUE"""),0.49)</f>
        <v>0.49</v>
      </c>
      <c r="R349" s="97" t="str">
        <f>IFERROR(__xludf.DUMMYFUNCTION("""COMPUTED_VALUE"""),"-")</f>
        <v>-</v>
      </c>
      <c r="S349" s="97" t="str">
        <f>IFERROR(__xludf.DUMMYFUNCTION("""COMPUTED_VALUE"""),"-")</f>
        <v>-</v>
      </c>
      <c r="T349" s="97">
        <f>IFERROR(__xludf.DUMMYFUNCTION("""COMPUTED_VALUE"""),272.0)</f>
        <v>272</v>
      </c>
      <c r="U349" s="99">
        <f>IFERROR(__xludf.DUMMYFUNCTION("""COMPUTED_VALUE"""),45.333333333333336)</f>
        <v>45.33333333</v>
      </c>
      <c r="V349" s="97">
        <f>IFERROR(__xludf.DUMMYFUNCTION("""COMPUTED_VALUE"""),230.0)</f>
        <v>230</v>
      </c>
      <c r="W349" s="97" t="str">
        <f>IFERROR(__xludf.DUMMYFUNCTION("""COMPUTED_VALUE"""),"&lt; 20")</f>
        <v>&lt; 20</v>
      </c>
      <c r="X349" s="97">
        <f>IFERROR(__xludf.DUMMYFUNCTION("""COMPUTED_VALUE"""),3000.0)</f>
        <v>3000</v>
      </c>
      <c r="Y349" s="97" t="str">
        <f>IFERROR(__xludf.DUMMYFUNCTION("""COMPUTED_VALUE"""),"&gt;90")</f>
        <v>&gt;90</v>
      </c>
      <c r="Z349" s="97"/>
      <c r="AA349" s="97"/>
      <c r="AB349" s="97" t="str">
        <f>IFERROR(__xludf.DUMMYFUNCTION("""COMPUTED_VALUE"""),"&lt; 3")</f>
        <v>&lt; 3</v>
      </c>
      <c r="AC349" s="97"/>
      <c r="AD349" s="97" t="str">
        <f>IFERROR(__xludf.DUMMYFUNCTION("""COMPUTED_VALUE"""),"IP65")</f>
        <v>IP65</v>
      </c>
      <c r="AE349" s="97" t="str">
        <f>IFERROR(__xludf.DUMMYFUNCTION("""COMPUTED_VALUE"""),"Clase l")</f>
        <v>Clase l</v>
      </c>
      <c r="AF349" s="97" t="str">
        <f>IFERROR(__xludf.DUMMYFUNCTION("""COMPUTED_VALUE"""),"Aplicar")</f>
        <v>Aplicar</v>
      </c>
      <c r="AG349" s="97" t="str">
        <f>IFERROR(__xludf.DUMMYFUNCTION("""COMPUTED_VALUE"""),"115 x 40 x 105 ")</f>
        <v>115 x 40 x 105 </v>
      </c>
      <c r="AH349" s="97" t="str">
        <f>IFERROR(__xludf.DUMMYFUNCTION("""COMPUTED_VALUE"""),"N/A")</f>
        <v>N/A</v>
      </c>
      <c r="AI349" s="97" t="str">
        <f>IFERROR(__xludf.DUMMYFUNCTION("""COMPUTED_VALUE"""),"N/A")</f>
        <v>N/A</v>
      </c>
      <c r="AJ349" s="97" t="str">
        <f>IFERROR(__xludf.DUMMYFUNCTION("""COMPUTED_VALUE"""),"PMMA")</f>
        <v>PMMA</v>
      </c>
      <c r="AK349" s="97" t="str">
        <f>IFERROR(__xludf.DUMMYFUNCTION("""COMPUTED_VALUE"""),"Aluminio")</f>
        <v>Aluminio</v>
      </c>
      <c r="AL349" s="97" t="str">
        <f>IFERROR(__xludf.DUMMYFUNCTION("""COMPUTED_VALUE"""),"Blanco Satinado")</f>
        <v>Blanco Satinado</v>
      </c>
      <c r="AM349" s="97" t="str">
        <f>IFERROR(__xludf.DUMMYFUNCTION("""COMPUTED_VALUE"""),"-")</f>
        <v>-</v>
      </c>
      <c r="AN349" s="97" t="str">
        <f>IFERROR(__xludf.DUMMYFUNCTION("""COMPUTED_VALUE"""),"25.000hs (L70)")</f>
        <v>25.000hs (L70)</v>
      </c>
      <c r="AO349" s="97" t="str">
        <f>IFERROR(__xludf.DUMMYFUNCTION("""COMPUTED_VALUE"""),"2 Años")</f>
        <v>2 Años</v>
      </c>
      <c r="AP349" s="97" t="str">
        <f>IFERROR(__xludf.DUMMYFUNCTION("""COMPUTED_VALUE"""),"Disponible")</f>
        <v>Disponible</v>
      </c>
      <c r="AQ349" s="97" t="str">
        <f>IFERROR(__xludf.DUMMYFUNCTION("""COMPUTED_VALUE"""),"Disponible")</f>
        <v>Disponible</v>
      </c>
      <c r="AR349" s="97" t="str">
        <f>IFERROR(__xludf.DUMMYFUNCTION("""COMPUTED_VALUE"""),"Disponible")</f>
        <v>Disponible</v>
      </c>
      <c r="AS349" s="97"/>
      <c r="AT349" s="97"/>
      <c r="AU349" s="97" t="str">
        <f>IFERROR(__xludf.DUMMYFUNCTION("""COMPUTED_VALUE"""),"Falta")</f>
        <v>Falta</v>
      </c>
      <c r="AV349" s="97" t="str">
        <f>IFERROR(__xludf.DUMMYFUNCTION("""COMPUTED_VALUE"""),"Aplique")</f>
        <v>Aplique</v>
      </c>
      <c r="AW349" s="97" t="str">
        <f>IFERROR(__xludf.DUMMYFUNCTION("""COMPUTED_VALUE"""),"De Pared")</f>
        <v>De Pared</v>
      </c>
      <c r="AX349" s="97" t="str">
        <f>IFERROR(__xludf.DUMMYFUNCTION("""COMPUTED_VALUE"""),"Exterior")</f>
        <v>Exterior</v>
      </c>
      <c r="AY349" s="97" t="str">
        <f>IFERROR(__xludf.DUMMYFUNCTION("""COMPUTED_VALUE"""),"-")</f>
        <v>-</v>
      </c>
      <c r="AZ349" s="97"/>
      <c r="BA349" s="97">
        <f>IFERROR(__xludf.DUMMYFUNCTION("""COMPUTED_VALUE"""),20.0)</f>
        <v>20</v>
      </c>
      <c r="BB349" s="97" t="str">
        <f>IFERROR(__xludf.DUMMYFUNCTION("""COMPUTED_VALUE"""),"-")</f>
        <v>-</v>
      </c>
      <c r="BC349" s="97" t="str">
        <f>IFERROR(__xludf.DUMMYFUNCTION("""COMPUTED_VALUE"""),"-")</f>
        <v>-</v>
      </c>
      <c r="BD349" s="97" t="str">
        <f>IFERROR(__xludf.DUMMYFUNCTION("""COMPUTED_VALUE"""),"ORTHOG")</f>
        <v>ORTHOG</v>
      </c>
      <c r="BE349" s="97" t="str">
        <f>IFERROR(__xludf.DUMMYFUNCTION("""COMPUTED_VALUE"""),"Actualizar")</f>
        <v>Actualizar</v>
      </c>
      <c r="BF349" s="97"/>
      <c r="BG349" s="97" t="str">
        <f>IFERROR(__xludf.DUMMYFUNCTION("""COMPUTED_VALUE"""),"Activo")</f>
        <v>Activo</v>
      </c>
    </row>
    <row r="350">
      <c r="A350" s="97">
        <f>IFERROR(__xludf.DUMMYFUNCTION("""COMPUTED_VALUE"""),4180.0)</f>
        <v>4180</v>
      </c>
      <c r="B350" s="97" t="str">
        <f>IFERROR(__xludf.DUMMYFUNCTION("""COMPUTED_VALUE"""),"ORTHOG I NG")</f>
        <v>ORTHOG I NG</v>
      </c>
      <c r="C350" s="97" t="str">
        <f>IFERROR(__xludf.DUMMYFUNCTION("""COMPUTED_VALUE"""),"APLIQUE ORTHOG I NG 6W 3000K 272LM CRI&gt;90 IP65 LEUK")</f>
        <v>APLIQUE ORTHOG I NG 6W 3000K 272LM CRI&gt;90 IP65 LEUK</v>
      </c>
      <c r="D350" s="97">
        <f>IFERROR(__xludf.DUMMYFUNCTION("""COMPUTED_VALUE"""),7.798328758118E12)</f>
        <v>7798328758118</v>
      </c>
      <c r="E350" s="97"/>
      <c r="F350" s="97" t="str">
        <f>IFERROR(__xludf.DUMMYFUNCTION("""COMPUTED_VALUE"""),"LED integrado")</f>
        <v>LED integrado</v>
      </c>
      <c r="G350" s="97" t="str">
        <f>IFERROR(__xludf.DUMMYFUNCTION("""COMPUTED_VALUE"""),"-")</f>
        <v>-</v>
      </c>
      <c r="H350" s="97" t="str">
        <f>IFERROR(__xludf.DUMMYFUNCTION("""COMPUTED_VALUE"""),"-")</f>
        <v>-</v>
      </c>
      <c r="I350" s="97"/>
      <c r="J350" s="97" t="str">
        <f>IFERROR(__xludf.DUMMYFUNCTION("""COMPUTED_VALUE"""),"Modelo: (4-7)X1W
In: 100-265Vac 50/60Hz
Out: 12-25Vdc 300mA
Tc 85°C Ta 50°C IP65")</f>
        <v>Modelo: (4-7)X1W
In: 100-265Vac 50/60Hz
Out: 12-25Vdc 300mA
Tc 85°C Ta 50°C IP65</v>
      </c>
      <c r="K350" s="97" t="str">
        <f>IFERROR(__xludf.DUMMYFUNCTION("""COMPUTED_VALUE"""),"ON/OFF")</f>
        <v>ON/OFF</v>
      </c>
      <c r="L350" s="97" t="str">
        <f>IFERROR(__xludf.DUMMYFUNCTION("""COMPUTED_VALUE"""),"220-240")</f>
        <v>220-240</v>
      </c>
      <c r="M350" s="97" t="str">
        <f>IFERROR(__xludf.DUMMYFUNCTION("""COMPUTED_VALUE"""),"50/60")</f>
        <v>50/60</v>
      </c>
      <c r="N350" s="97"/>
      <c r="O350" s="97">
        <f>IFERROR(__xludf.DUMMYFUNCTION("""COMPUTED_VALUE"""),6.0)</f>
        <v>6</v>
      </c>
      <c r="P350" s="97"/>
      <c r="Q350" s="97">
        <f>IFERROR(__xludf.DUMMYFUNCTION("""COMPUTED_VALUE"""),0.49)</f>
        <v>0.49</v>
      </c>
      <c r="R350" s="97" t="str">
        <f>IFERROR(__xludf.DUMMYFUNCTION("""COMPUTED_VALUE"""),"-")</f>
        <v>-</v>
      </c>
      <c r="S350" s="97" t="str">
        <f>IFERROR(__xludf.DUMMYFUNCTION("""COMPUTED_VALUE"""),"-")</f>
        <v>-</v>
      </c>
      <c r="T350" s="97">
        <f>IFERROR(__xludf.DUMMYFUNCTION("""COMPUTED_VALUE"""),272.0)</f>
        <v>272</v>
      </c>
      <c r="U350" s="99">
        <f>IFERROR(__xludf.DUMMYFUNCTION("""COMPUTED_VALUE"""),45.333333333333336)</f>
        <v>45.33333333</v>
      </c>
      <c r="V350" s="97">
        <f>IFERROR(__xludf.DUMMYFUNCTION("""COMPUTED_VALUE"""),230.0)</f>
        <v>230</v>
      </c>
      <c r="W350" s="97" t="str">
        <f>IFERROR(__xludf.DUMMYFUNCTION("""COMPUTED_VALUE"""),"&lt; 20")</f>
        <v>&lt; 20</v>
      </c>
      <c r="X350" s="97">
        <f>IFERROR(__xludf.DUMMYFUNCTION("""COMPUTED_VALUE"""),3000.0)</f>
        <v>3000</v>
      </c>
      <c r="Y350" s="97" t="str">
        <f>IFERROR(__xludf.DUMMYFUNCTION("""COMPUTED_VALUE"""),"&gt;90")</f>
        <v>&gt;90</v>
      </c>
      <c r="Z350" s="97"/>
      <c r="AA350" s="97"/>
      <c r="AB350" s="97" t="str">
        <f>IFERROR(__xludf.DUMMYFUNCTION("""COMPUTED_VALUE"""),"&lt; 3")</f>
        <v>&lt; 3</v>
      </c>
      <c r="AC350" s="97"/>
      <c r="AD350" s="97" t="str">
        <f>IFERROR(__xludf.DUMMYFUNCTION("""COMPUTED_VALUE"""),"IP65")</f>
        <v>IP65</v>
      </c>
      <c r="AE350" s="97" t="str">
        <f>IFERROR(__xludf.DUMMYFUNCTION("""COMPUTED_VALUE"""),"Clase l")</f>
        <v>Clase l</v>
      </c>
      <c r="AF350" s="97" t="str">
        <f>IFERROR(__xludf.DUMMYFUNCTION("""COMPUTED_VALUE"""),"Aplicar")</f>
        <v>Aplicar</v>
      </c>
      <c r="AG350" s="97" t="str">
        <f>IFERROR(__xludf.DUMMYFUNCTION("""COMPUTED_VALUE"""),"115 x 40 x 105 ")</f>
        <v>115 x 40 x 105 </v>
      </c>
      <c r="AH350" s="97" t="str">
        <f>IFERROR(__xludf.DUMMYFUNCTION("""COMPUTED_VALUE"""),"N/A")</f>
        <v>N/A</v>
      </c>
      <c r="AI350" s="97" t="str">
        <f>IFERROR(__xludf.DUMMYFUNCTION("""COMPUTED_VALUE"""),"N/A")</f>
        <v>N/A</v>
      </c>
      <c r="AJ350" s="97" t="str">
        <f>IFERROR(__xludf.DUMMYFUNCTION("""COMPUTED_VALUE"""),"PMMA")</f>
        <v>PMMA</v>
      </c>
      <c r="AK350" s="97" t="str">
        <f>IFERROR(__xludf.DUMMYFUNCTION("""COMPUTED_VALUE"""),"Aluminio")</f>
        <v>Aluminio</v>
      </c>
      <c r="AL350" s="97" t="str">
        <f>IFERROR(__xludf.DUMMYFUNCTION("""COMPUTED_VALUE"""),"Negro Satinado")</f>
        <v>Negro Satinado</v>
      </c>
      <c r="AM350" s="97" t="str">
        <f>IFERROR(__xludf.DUMMYFUNCTION("""COMPUTED_VALUE"""),"-")</f>
        <v>-</v>
      </c>
      <c r="AN350" s="97" t="str">
        <f>IFERROR(__xludf.DUMMYFUNCTION("""COMPUTED_VALUE"""),"25.000hs (L70)")</f>
        <v>25.000hs (L70)</v>
      </c>
      <c r="AO350" s="97" t="str">
        <f>IFERROR(__xludf.DUMMYFUNCTION("""COMPUTED_VALUE"""),"2 Años")</f>
        <v>2 Años</v>
      </c>
      <c r="AP350" s="97" t="str">
        <f>IFERROR(__xludf.DUMMYFUNCTION("""COMPUTED_VALUE"""),"Disponible")</f>
        <v>Disponible</v>
      </c>
      <c r="AQ350" s="97" t="str">
        <f>IFERROR(__xludf.DUMMYFUNCTION("""COMPUTED_VALUE"""),"Disponible")</f>
        <v>Disponible</v>
      </c>
      <c r="AR350" s="97" t="str">
        <f>IFERROR(__xludf.DUMMYFUNCTION("""COMPUTED_VALUE"""),"Disponible")</f>
        <v>Disponible</v>
      </c>
      <c r="AS350" s="97"/>
      <c r="AT350" s="97"/>
      <c r="AU350" s="97" t="str">
        <f>IFERROR(__xludf.DUMMYFUNCTION("""COMPUTED_VALUE"""),"Falta")</f>
        <v>Falta</v>
      </c>
      <c r="AV350" s="97" t="str">
        <f>IFERROR(__xludf.DUMMYFUNCTION("""COMPUTED_VALUE"""),"Aplique")</f>
        <v>Aplique</v>
      </c>
      <c r="AW350" s="97" t="str">
        <f>IFERROR(__xludf.DUMMYFUNCTION("""COMPUTED_VALUE"""),"De Pared")</f>
        <v>De Pared</v>
      </c>
      <c r="AX350" s="97" t="str">
        <f>IFERROR(__xludf.DUMMYFUNCTION("""COMPUTED_VALUE"""),"Exterior")</f>
        <v>Exterior</v>
      </c>
      <c r="AY350" s="97" t="str">
        <f>IFERROR(__xludf.DUMMYFUNCTION("""COMPUTED_VALUE"""),"-")</f>
        <v>-</v>
      </c>
      <c r="AZ350" s="97"/>
      <c r="BA350" s="97">
        <f>IFERROR(__xludf.DUMMYFUNCTION("""COMPUTED_VALUE"""),50.0)</f>
        <v>50</v>
      </c>
      <c r="BB350" s="97" t="str">
        <f>IFERROR(__xludf.DUMMYFUNCTION("""COMPUTED_VALUE"""),"-")</f>
        <v>-</v>
      </c>
      <c r="BC350" s="97" t="str">
        <f>IFERROR(__xludf.DUMMYFUNCTION("""COMPUTED_VALUE"""),"-")</f>
        <v>-</v>
      </c>
      <c r="BD350" s="97" t="str">
        <f>IFERROR(__xludf.DUMMYFUNCTION("""COMPUTED_VALUE"""),"ORTHOG")</f>
        <v>ORTHOG</v>
      </c>
      <c r="BE350" s="97" t="str">
        <f>IFERROR(__xludf.DUMMYFUNCTION("""COMPUTED_VALUE"""),"Actualizar")</f>
        <v>Actualizar</v>
      </c>
      <c r="BF350" s="97"/>
      <c r="BG350" s="97" t="str">
        <f>IFERROR(__xludf.DUMMYFUNCTION("""COMPUTED_VALUE"""),"Activo")</f>
        <v>Activo</v>
      </c>
    </row>
    <row r="351">
      <c r="A351" s="97">
        <f>IFERROR(__xludf.DUMMYFUNCTION("""COMPUTED_VALUE"""),4181.0)</f>
        <v>4181</v>
      </c>
      <c r="B351" s="97" t="str">
        <f>IFERROR(__xludf.DUMMYFUNCTION("""COMPUTED_VALUE"""),"ALOUMI")</f>
        <v>ALOUMI</v>
      </c>
      <c r="C351" s="97" t="str">
        <f>IFERROR(__xludf.DUMMYFUNCTION("""COMPUTED_VALUE"""),"APLIQUE ALOUMI 3W 3000K 78LM CRI&gt;80 IP65 LEUK")</f>
        <v>APLIQUE ALOUMI 3W 3000K 78LM CRI&gt;80 IP65 LEUK</v>
      </c>
      <c r="D351" s="97">
        <f>IFERROR(__xludf.DUMMYFUNCTION("""COMPUTED_VALUE"""),7.798328755889E12)</f>
        <v>7798328755889</v>
      </c>
      <c r="E351" s="97" t="str">
        <f>IFERROR(__xludf.DUMMYFUNCTION("""COMPUTED_VALUE"""),"C70")</f>
        <v>C70</v>
      </c>
      <c r="F351" s="97" t="str">
        <f>IFERROR(__xludf.DUMMYFUNCTION("""COMPUTED_VALUE"""),"LED integrado")</f>
        <v>LED integrado</v>
      </c>
      <c r="G351" s="97" t="str">
        <f>IFERROR(__xludf.DUMMYFUNCTION("""COMPUTED_VALUE"""),"Bridgelux")</f>
        <v>Bridgelux</v>
      </c>
      <c r="H351" s="97" t="str">
        <f>IFERROR(__xludf.DUMMYFUNCTION("""COMPUTED_VALUE"""),"-")</f>
        <v>-</v>
      </c>
      <c r="I351" s="97"/>
      <c r="J351" s="97"/>
      <c r="K351" s="97" t="str">
        <f>IFERROR(__xludf.DUMMYFUNCTION("""COMPUTED_VALUE"""),"ON/OFF")</f>
        <v>ON/OFF</v>
      </c>
      <c r="L351" s="97" t="str">
        <f>IFERROR(__xludf.DUMMYFUNCTION("""COMPUTED_VALUE"""),"220-240")</f>
        <v>220-240</v>
      </c>
      <c r="M351" s="97" t="str">
        <f>IFERROR(__xludf.DUMMYFUNCTION("""COMPUTED_VALUE"""),"50/60")</f>
        <v>50/60</v>
      </c>
      <c r="N351" s="97" t="str">
        <f>IFERROR(__xludf.DUMMYFUNCTION("""COMPUTED_VALUE"""),"Indirecta")</f>
        <v>Indirecta</v>
      </c>
      <c r="O351" s="97">
        <f>IFERROR(__xludf.DUMMYFUNCTION("""COMPUTED_VALUE"""),3.0)</f>
        <v>3</v>
      </c>
      <c r="P351" s="97"/>
      <c r="Q351" s="97">
        <f>IFERROR(__xludf.DUMMYFUNCTION("""COMPUTED_VALUE"""),0.5)</f>
        <v>0.5</v>
      </c>
      <c r="R351" s="97" t="str">
        <f>IFERROR(__xludf.DUMMYFUNCTION("""COMPUTED_VALUE"""),"-")</f>
        <v>-</v>
      </c>
      <c r="S351" s="97" t="str">
        <f>IFERROR(__xludf.DUMMYFUNCTION("""COMPUTED_VALUE"""),"-")</f>
        <v>-</v>
      </c>
      <c r="T351" s="97">
        <f>IFERROR(__xludf.DUMMYFUNCTION("""COMPUTED_VALUE"""),78.0)</f>
        <v>78</v>
      </c>
      <c r="U351" s="99">
        <f>IFERROR(__xludf.DUMMYFUNCTION("""COMPUTED_VALUE"""),26.0)</f>
        <v>26</v>
      </c>
      <c r="V351" s="97">
        <f>IFERROR(__xludf.DUMMYFUNCTION("""COMPUTED_VALUE"""),352.0)</f>
        <v>352</v>
      </c>
      <c r="W351" s="97" t="str">
        <f>IFERROR(__xludf.DUMMYFUNCTION("""COMPUTED_VALUE"""),"&lt; 25")</f>
        <v>&lt; 25</v>
      </c>
      <c r="X351" s="97">
        <f>IFERROR(__xludf.DUMMYFUNCTION("""COMPUTED_VALUE"""),3000.0)</f>
        <v>3000</v>
      </c>
      <c r="Y351" s="97" t="str">
        <f>IFERROR(__xludf.DUMMYFUNCTION("""COMPUTED_VALUE"""),"&gt;80")</f>
        <v>&gt;80</v>
      </c>
      <c r="Z351" s="97"/>
      <c r="AA351" s="97"/>
      <c r="AB351" s="97" t="str">
        <f>IFERROR(__xludf.DUMMYFUNCTION("""COMPUTED_VALUE"""),"&lt; 5")</f>
        <v>&lt; 5</v>
      </c>
      <c r="AC351" s="97"/>
      <c r="AD351" s="97" t="str">
        <f>IFERROR(__xludf.DUMMYFUNCTION("""COMPUTED_VALUE"""),"IP65")</f>
        <v>IP65</v>
      </c>
      <c r="AE351" s="97" t="str">
        <f>IFERROR(__xludf.DUMMYFUNCTION("""COMPUTED_VALUE"""),"Clase l")</f>
        <v>Clase l</v>
      </c>
      <c r="AF351" s="97" t="str">
        <f>IFERROR(__xludf.DUMMYFUNCTION("""COMPUTED_VALUE"""),"Aplicar")</f>
        <v>Aplicar</v>
      </c>
      <c r="AG351" s="97" t="str">
        <f>IFERROR(__xludf.DUMMYFUNCTION("""COMPUTED_VALUE"""),"130 x 220 x 60")</f>
        <v>130 x 220 x 60</v>
      </c>
      <c r="AH351" s="97" t="str">
        <f>IFERROR(__xludf.DUMMYFUNCTION("""COMPUTED_VALUE"""),"N/A")</f>
        <v>N/A</v>
      </c>
      <c r="AI351" s="97" t="str">
        <f>IFERROR(__xludf.DUMMYFUNCTION("""COMPUTED_VALUE"""),"N/A")</f>
        <v>N/A</v>
      </c>
      <c r="AJ351" s="97" t="str">
        <f>IFERROR(__xludf.DUMMYFUNCTION("""COMPUTED_VALUE"""),"Vidrio")</f>
        <v>Vidrio</v>
      </c>
      <c r="AK351" s="97" t="str">
        <f>IFERROR(__xludf.DUMMYFUNCTION("""COMPUTED_VALUE"""),"Aluminio")</f>
        <v>Aluminio</v>
      </c>
      <c r="AL351" s="97" t="str">
        <f>IFERROR(__xludf.DUMMYFUNCTION("""COMPUTED_VALUE"""),"Negro Satinado")</f>
        <v>Negro Satinado</v>
      </c>
      <c r="AM351" s="97" t="str">
        <f>IFERROR(__xludf.DUMMYFUNCTION("""COMPUTED_VALUE"""),"-")</f>
        <v>-</v>
      </c>
      <c r="AN351" s="97" t="str">
        <f>IFERROR(__xludf.DUMMYFUNCTION("""COMPUTED_VALUE"""),"25.000hs (L70)")</f>
        <v>25.000hs (L70)</v>
      </c>
      <c r="AO351" s="97" t="str">
        <f>IFERROR(__xludf.DUMMYFUNCTION("""COMPUTED_VALUE"""),"2 Años")</f>
        <v>2 Años</v>
      </c>
      <c r="AP351" s="97" t="str">
        <f>IFERROR(__xludf.DUMMYFUNCTION("""COMPUTED_VALUE"""),"Disponible")</f>
        <v>Disponible</v>
      </c>
      <c r="AQ351" s="97" t="str">
        <f>IFERROR(__xludf.DUMMYFUNCTION("""COMPUTED_VALUE"""),"Disponible")</f>
        <v>Disponible</v>
      </c>
      <c r="AR351" s="97" t="str">
        <f>IFERROR(__xludf.DUMMYFUNCTION("""COMPUTED_VALUE"""),"Disponible")</f>
        <v>Disponible</v>
      </c>
      <c r="AS351" s="97"/>
      <c r="AT351" s="97"/>
      <c r="AU351" s="97" t="str">
        <f>IFERROR(__xludf.DUMMYFUNCTION("""COMPUTED_VALUE"""),"Falta")</f>
        <v>Falta</v>
      </c>
      <c r="AV351" s="97" t="str">
        <f>IFERROR(__xludf.DUMMYFUNCTION("""COMPUTED_VALUE"""),"Aplique")</f>
        <v>Aplique</v>
      </c>
      <c r="AW351" s="97" t="str">
        <f>IFERROR(__xludf.DUMMYFUNCTION("""COMPUTED_VALUE"""),"De Pared")</f>
        <v>De Pared</v>
      </c>
      <c r="AX351" s="97" t="str">
        <f>IFERROR(__xludf.DUMMYFUNCTION("""COMPUTED_VALUE"""),"Exterior")</f>
        <v>Exterior</v>
      </c>
      <c r="AY351" s="97" t="str">
        <f>IFERROR(__xludf.DUMMYFUNCTION("""COMPUTED_VALUE"""),"-")</f>
        <v>-</v>
      </c>
      <c r="AZ351" s="97"/>
      <c r="BA351" s="97">
        <f>IFERROR(__xludf.DUMMYFUNCTION("""COMPUTED_VALUE"""),20.0)</f>
        <v>20</v>
      </c>
      <c r="BB351" s="97" t="str">
        <f>IFERROR(__xludf.DUMMYFUNCTION("""COMPUTED_VALUE"""),"-")</f>
        <v>-</v>
      </c>
      <c r="BC351" s="97" t="str">
        <f>IFERROR(__xludf.DUMMYFUNCTION("""COMPUTED_VALUE"""),"-")</f>
        <v>-</v>
      </c>
      <c r="BD351" s="97" t="str">
        <f>IFERROR(__xludf.DUMMYFUNCTION("""COMPUTED_VALUE"""),"ALOUMI")</f>
        <v>ALOUMI</v>
      </c>
      <c r="BE351" s="97" t="str">
        <f>IFERROR(__xludf.DUMMYFUNCTION("""COMPUTED_VALUE"""),"Finalizada")</f>
        <v>Finalizada</v>
      </c>
      <c r="BF351" s="97"/>
      <c r="BG351" s="97" t="str">
        <f>IFERROR(__xludf.DUMMYFUNCTION("""COMPUTED_VALUE"""),"Activo")</f>
        <v>Activo</v>
      </c>
    </row>
    <row r="352">
      <c r="A352" s="97">
        <f>IFERROR(__xludf.DUMMYFUNCTION("""COMPUTED_VALUE"""),4182.0)</f>
        <v>4182</v>
      </c>
      <c r="B352" s="97" t="str">
        <f>IFERROR(__xludf.DUMMYFUNCTION("""COMPUTED_VALUE"""),"TETRA BL")</f>
        <v>TETRA BL</v>
      </c>
      <c r="C352" s="97" t="str">
        <f>IFERROR(__xludf.DUMMYFUNCTION("""COMPUTED_VALUE"""),"APLIQUE TETRA BL 12W 3000K 683LM CRI&gt;90 IP65 LEUK")</f>
        <v>APLIQUE TETRA BL 12W 3000K 683LM CRI&gt;90 IP65 LEUK</v>
      </c>
      <c r="D352" s="97">
        <f>IFERROR(__xludf.DUMMYFUNCTION("""COMPUTED_VALUE"""),7.798328755865E12)</f>
        <v>7798328755865</v>
      </c>
      <c r="E352" s="97"/>
      <c r="F352" s="97" t="str">
        <f>IFERROR(__xludf.DUMMYFUNCTION("""COMPUTED_VALUE"""),"LED integrado")</f>
        <v>LED integrado</v>
      </c>
      <c r="G352" s="97" t="str">
        <f>IFERROR(__xludf.DUMMYFUNCTION("""COMPUTED_VALUE"""),"-")</f>
        <v>-</v>
      </c>
      <c r="H352" s="97" t="str">
        <f>IFERROR(__xludf.DUMMYFUNCTION("""COMPUTED_VALUE"""),"-")</f>
        <v>-</v>
      </c>
      <c r="I352" s="97"/>
      <c r="J352" s="97" t="str">
        <f>IFERROR(__xludf.DUMMYFUNCTION("""COMPUTED_VALUE"""),"Modelo: 8-12W
In: 85-265Vac 50/60Hz
Out: 24-36Vdc 270mA
Tc 75°C Ta 50°C")</f>
        <v>Modelo: 8-12W
In: 85-265Vac 50/60Hz
Out: 24-36Vdc 270mA
Tc 75°C Ta 50°C</v>
      </c>
      <c r="K352" s="97" t="str">
        <f>IFERROR(__xludf.DUMMYFUNCTION("""COMPUTED_VALUE"""),"ON/OFF")</f>
        <v>ON/OFF</v>
      </c>
      <c r="L352" s="97" t="str">
        <f>IFERROR(__xludf.DUMMYFUNCTION("""COMPUTED_VALUE"""),"220-240")</f>
        <v>220-240</v>
      </c>
      <c r="M352" s="97" t="str">
        <f>IFERROR(__xludf.DUMMYFUNCTION("""COMPUTED_VALUE"""),"50/60")</f>
        <v>50/60</v>
      </c>
      <c r="N352" s="97"/>
      <c r="O352" s="97">
        <f>IFERROR(__xludf.DUMMYFUNCTION("""COMPUTED_VALUE"""),12.0)</f>
        <v>12</v>
      </c>
      <c r="P352" s="97"/>
      <c r="Q352" s="97">
        <f>IFERROR(__xludf.DUMMYFUNCTION("""COMPUTED_VALUE"""),0.48)</f>
        <v>0.48</v>
      </c>
      <c r="R352" s="97" t="str">
        <f>IFERROR(__xludf.DUMMYFUNCTION("""COMPUTED_VALUE"""),"-")</f>
        <v>-</v>
      </c>
      <c r="S352" s="97" t="str">
        <f>IFERROR(__xludf.DUMMYFUNCTION("""COMPUTED_VALUE"""),"-")</f>
        <v>-</v>
      </c>
      <c r="T352" s="97">
        <f>IFERROR(__xludf.DUMMYFUNCTION("""COMPUTED_VALUE"""),683.0)</f>
        <v>683</v>
      </c>
      <c r="U352" s="99">
        <f>IFERROR(__xludf.DUMMYFUNCTION("""COMPUTED_VALUE"""),56.916666666666664)</f>
        <v>56.91666667</v>
      </c>
      <c r="V352" s="97">
        <f>IFERROR(__xludf.DUMMYFUNCTION("""COMPUTED_VALUE"""),98.0)</f>
        <v>98</v>
      </c>
      <c r="W352" s="97" t="str">
        <f>IFERROR(__xludf.DUMMYFUNCTION("""COMPUTED_VALUE"""),"&lt; 20")</f>
        <v>&lt; 20</v>
      </c>
      <c r="X352" s="97">
        <f>IFERROR(__xludf.DUMMYFUNCTION("""COMPUTED_VALUE"""),3000.0)</f>
        <v>3000</v>
      </c>
      <c r="Y352" s="97" t="str">
        <f>IFERROR(__xludf.DUMMYFUNCTION("""COMPUTED_VALUE"""),"&gt;90")</f>
        <v>&gt;90</v>
      </c>
      <c r="Z352" s="97"/>
      <c r="AA352" s="97"/>
      <c r="AB352" s="97" t="str">
        <f>IFERROR(__xludf.DUMMYFUNCTION("""COMPUTED_VALUE"""),"&lt; 3")</f>
        <v>&lt; 3</v>
      </c>
      <c r="AC352" s="97"/>
      <c r="AD352" s="97" t="str">
        <f>IFERROR(__xludf.DUMMYFUNCTION("""COMPUTED_VALUE"""),"IP65")</f>
        <v>IP65</v>
      </c>
      <c r="AE352" s="97" t="str">
        <f>IFERROR(__xludf.DUMMYFUNCTION("""COMPUTED_VALUE"""),"Clase l")</f>
        <v>Clase l</v>
      </c>
      <c r="AF352" s="97" t="str">
        <f>IFERROR(__xludf.DUMMYFUNCTION("""COMPUTED_VALUE"""),"Aplicar")</f>
        <v>Aplicar</v>
      </c>
      <c r="AG352" s="97" t="str">
        <f>IFERROR(__xludf.DUMMYFUNCTION("""COMPUTED_VALUE"""),"150 x 50 x 150")</f>
        <v>150 x 50 x 150</v>
      </c>
      <c r="AH352" s="97" t="str">
        <f>IFERROR(__xludf.DUMMYFUNCTION("""COMPUTED_VALUE"""),"N/A")</f>
        <v>N/A</v>
      </c>
      <c r="AI352" s="97" t="str">
        <f>IFERROR(__xludf.DUMMYFUNCTION("""COMPUTED_VALUE"""),"N/A")</f>
        <v>N/A</v>
      </c>
      <c r="AJ352" s="97" t="str">
        <f>IFERROR(__xludf.DUMMYFUNCTION("""COMPUTED_VALUE"""),"Policarbonato (PC)")</f>
        <v>Policarbonato (PC)</v>
      </c>
      <c r="AK352" s="97" t="str">
        <f>IFERROR(__xludf.DUMMYFUNCTION("""COMPUTED_VALUE"""),"Aluminio")</f>
        <v>Aluminio</v>
      </c>
      <c r="AL352" s="97" t="str">
        <f>IFERROR(__xludf.DUMMYFUNCTION("""COMPUTED_VALUE"""),"Blanco Satinado")</f>
        <v>Blanco Satinado</v>
      </c>
      <c r="AM352" s="97" t="str">
        <f>IFERROR(__xludf.DUMMYFUNCTION("""COMPUTED_VALUE"""),"-")</f>
        <v>-</v>
      </c>
      <c r="AN352" s="97" t="str">
        <f>IFERROR(__xludf.DUMMYFUNCTION("""COMPUTED_VALUE"""),"25.000hs (L70)")</f>
        <v>25.000hs (L70)</v>
      </c>
      <c r="AO352" s="97" t="str">
        <f>IFERROR(__xludf.DUMMYFUNCTION("""COMPUTED_VALUE"""),"2 Años")</f>
        <v>2 Años</v>
      </c>
      <c r="AP352" s="97" t="str">
        <f>IFERROR(__xludf.DUMMYFUNCTION("""COMPUTED_VALUE"""),"Disponible")</f>
        <v>Disponible</v>
      </c>
      <c r="AQ352" s="97" t="str">
        <f>IFERROR(__xludf.DUMMYFUNCTION("""COMPUTED_VALUE"""),"Disponible")</f>
        <v>Disponible</v>
      </c>
      <c r="AR352" s="97" t="str">
        <f>IFERROR(__xludf.DUMMYFUNCTION("""COMPUTED_VALUE"""),"Disponible")</f>
        <v>Disponible</v>
      </c>
      <c r="AS352" s="97"/>
      <c r="AT352" s="97"/>
      <c r="AU352" s="97" t="str">
        <f>IFERROR(__xludf.DUMMYFUNCTION("""COMPUTED_VALUE"""),"Falta")</f>
        <v>Falta</v>
      </c>
      <c r="AV352" s="97" t="str">
        <f>IFERROR(__xludf.DUMMYFUNCTION("""COMPUTED_VALUE"""),"Aplique")</f>
        <v>Aplique</v>
      </c>
      <c r="AW352" s="97" t="str">
        <f>IFERROR(__xludf.DUMMYFUNCTION("""COMPUTED_VALUE"""),"De Pared")</f>
        <v>De Pared</v>
      </c>
      <c r="AX352" s="97" t="str">
        <f>IFERROR(__xludf.DUMMYFUNCTION("""COMPUTED_VALUE"""),"Exterior")</f>
        <v>Exterior</v>
      </c>
      <c r="AY352" s="97" t="str">
        <f>IFERROR(__xludf.DUMMYFUNCTION("""COMPUTED_VALUE"""),"-")</f>
        <v>-</v>
      </c>
      <c r="AZ352" s="97"/>
      <c r="BA352" s="97">
        <f>IFERROR(__xludf.DUMMYFUNCTION("""COMPUTED_VALUE"""),20.0)</f>
        <v>20</v>
      </c>
      <c r="BB352" s="97" t="str">
        <f>IFERROR(__xludf.DUMMYFUNCTION("""COMPUTED_VALUE"""),"-")</f>
        <v>-</v>
      </c>
      <c r="BC352" s="97" t="str">
        <f>IFERROR(__xludf.DUMMYFUNCTION("""COMPUTED_VALUE"""),"-")</f>
        <v>-</v>
      </c>
      <c r="BD352" s="97" t="str">
        <f>IFERROR(__xludf.DUMMYFUNCTION("""COMPUTED_VALUE"""),"TETRA")</f>
        <v>TETRA</v>
      </c>
      <c r="BE352" s="97" t="str">
        <f>IFERROR(__xludf.DUMMYFUNCTION("""COMPUTED_VALUE"""),"Finalizada")</f>
        <v>Finalizada</v>
      </c>
      <c r="BF352" s="97"/>
      <c r="BG352" s="97" t="str">
        <f>IFERROR(__xludf.DUMMYFUNCTION("""COMPUTED_VALUE"""),"Activo")</f>
        <v>Activo</v>
      </c>
    </row>
    <row r="353">
      <c r="A353" s="97">
        <f>IFERROR(__xludf.DUMMYFUNCTION("""COMPUTED_VALUE"""),4183.0)</f>
        <v>4183</v>
      </c>
      <c r="B353" s="97" t="str">
        <f>IFERROR(__xludf.DUMMYFUNCTION("""COMPUTED_VALUE"""),"TETRA NG")</f>
        <v>TETRA NG</v>
      </c>
      <c r="C353" s="97" t="str">
        <f>IFERROR(__xludf.DUMMYFUNCTION("""COMPUTED_VALUE"""),"APLIQUE TETRA NG 12W 3000K 683LM CRI&gt;90 IP65 LEUK")</f>
        <v>APLIQUE TETRA NG 12W 3000K 683LM CRI&gt;90 IP65 LEUK</v>
      </c>
      <c r="D353" s="97">
        <f>IFERROR(__xludf.DUMMYFUNCTION("""COMPUTED_VALUE"""),7.798328755872E12)</f>
        <v>7798328755872</v>
      </c>
      <c r="E353" s="97"/>
      <c r="F353" s="97" t="str">
        <f>IFERROR(__xludf.DUMMYFUNCTION("""COMPUTED_VALUE"""),"LED integrado")</f>
        <v>LED integrado</v>
      </c>
      <c r="G353" s="97" t="str">
        <f>IFERROR(__xludf.DUMMYFUNCTION("""COMPUTED_VALUE"""),"-")</f>
        <v>-</v>
      </c>
      <c r="H353" s="97" t="str">
        <f>IFERROR(__xludf.DUMMYFUNCTION("""COMPUTED_VALUE"""),"-")</f>
        <v>-</v>
      </c>
      <c r="I353" s="97"/>
      <c r="J353" s="97" t="str">
        <f>IFERROR(__xludf.DUMMYFUNCTION("""COMPUTED_VALUE"""),"Modelo: 8-12W
In: 85-265Vac 50/60Hz
Out: 24-36Vdc 270mA
Tc 75°C Ta 50°C")</f>
        <v>Modelo: 8-12W
In: 85-265Vac 50/60Hz
Out: 24-36Vdc 270mA
Tc 75°C Ta 50°C</v>
      </c>
      <c r="K353" s="97" t="str">
        <f>IFERROR(__xludf.DUMMYFUNCTION("""COMPUTED_VALUE"""),"ON/OFF")</f>
        <v>ON/OFF</v>
      </c>
      <c r="L353" s="97" t="str">
        <f>IFERROR(__xludf.DUMMYFUNCTION("""COMPUTED_VALUE"""),"220-240")</f>
        <v>220-240</v>
      </c>
      <c r="M353" s="97" t="str">
        <f>IFERROR(__xludf.DUMMYFUNCTION("""COMPUTED_VALUE"""),"50/60")</f>
        <v>50/60</v>
      </c>
      <c r="N353" s="97"/>
      <c r="O353" s="97">
        <f>IFERROR(__xludf.DUMMYFUNCTION("""COMPUTED_VALUE"""),12.0)</f>
        <v>12</v>
      </c>
      <c r="P353" s="97"/>
      <c r="Q353" s="97">
        <f>IFERROR(__xludf.DUMMYFUNCTION("""COMPUTED_VALUE"""),0.48)</f>
        <v>0.48</v>
      </c>
      <c r="R353" s="97" t="str">
        <f>IFERROR(__xludf.DUMMYFUNCTION("""COMPUTED_VALUE"""),"-")</f>
        <v>-</v>
      </c>
      <c r="S353" s="97" t="str">
        <f>IFERROR(__xludf.DUMMYFUNCTION("""COMPUTED_VALUE"""),"-")</f>
        <v>-</v>
      </c>
      <c r="T353" s="97">
        <f>IFERROR(__xludf.DUMMYFUNCTION("""COMPUTED_VALUE"""),683.0)</f>
        <v>683</v>
      </c>
      <c r="U353" s="99">
        <f>IFERROR(__xludf.DUMMYFUNCTION("""COMPUTED_VALUE"""),56.916666666666664)</f>
        <v>56.91666667</v>
      </c>
      <c r="V353" s="97">
        <f>IFERROR(__xludf.DUMMYFUNCTION("""COMPUTED_VALUE"""),98.0)</f>
        <v>98</v>
      </c>
      <c r="W353" s="97" t="str">
        <f>IFERROR(__xludf.DUMMYFUNCTION("""COMPUTED_VALUE"""),"&lt; 20")</f>
        <v>&lt; 20</v>
      </c>
      <c r="X353" s="97">
        <f>IFERROR(__xludf.DUMMYFUNCTION("""COMPUTED_VALUE"""),3000.0)</f>
        <v>3000</v>
      </c>
      <c r="Y353" s="97" t="str">
        <f>IFERROR(__xludf.DUMMYFUNCTION("""COMPUTED_VALUE"""),"&gt;90")</f>
        <v>&gt;90</v>
      </c>
      <c r="Z353" s="97"/>
      <c r="AA353" s="97"/>
      <c r="AB353" s="97" t="str">
        <f>IFERROR(__xludf.DUMMYFUNCTION("""COMPUTED_VALUE"""),"&lt; 3")</f>
        <v>&lt; 3</v>
      </c>
      <c r="AC353" s="97"/>
      <c r="AD353" s="97" t="str">
        <f>IFERROR(__xludf.DUMMYFUNCTION("""COMPUTED_VALUE"""),"IP65")</f>
        <v>IP65</v>
      </c>
      <c r="AE353" s="97" t="str">
        <f>IFERROR(__xludf.DUMMYFUNCTION("""COMPUTED_VALUE"""),"Clase l")</f>
        <v>Clase l</v>
      </c>
      <c r="AF353" s="97" t="str">
        <f>IFERROR(__xludf.DUMMYFUNCTION("""COMPUTED_VALUE"""),"Aplicar")</f>
        <v>Aplicar</v>
      </c>
      <c r="AG353" s="97" t="str">
        <f>IFERROR(__xludf.DUMMYFUNCTION("""COMPUTED_VALUE"""),"150 x 50 x 150")</f>
        <v>150 x 50 x 150</v>
      </c>
      <c r="AH353" s="97" t="str">
        <f>IFERROR(__xludf.DUMMYFUNCTION("""COMPUTED_VALUE"""),"N/A")</f>
        <v>N/A</v>
      </c>
      <c r="AI353" s="97" t="str">
        <f>IFERROR(__xludf.DUMMYFUNCTION("""COMPUTED_VALUE"""),"N/A")</f>
        <v>N/A</v>
      </c>
      <c r="AJ353" s="97" t="str">
        <f>IFERROR(__xludf.DUMMYFUNCTION("""COMPUTED_VALUE"""),"Policarbonato (PC)")</f>
        <v>Policarbonato (PC)</v>
      </c>
      <c r="AK353" s="97" t="str">
        <f>IFERROR(__xludf.DUMMYFUNCTION("""COMPUTED_VALUE"""),"Aluminio")</f>
        <v>Aluminio</v>
      </c>
      <c r="AL353" s="97" t="str">
        <f>IFERROR(__xludf.DUMMYFUNCTION("""COMPUTED_VALUE"""),"Negro Satinado")</f>
        <v>Negro Satinado</v>
      </c>
      <c r="AM353" s="97" t="str">
        <f>IFERROR(__xludf.DUMMYFUNCTION("""COMPUTED_VALUE"""),"-")</f>
        <v>-</v>
      </c>
      <c r="AN353" s="97" t="str">
        <f>IFERROR(__xludf.DUMMYFUNCTION("""COMPUTED_VALUE"""),"25.000hs (L70)")</f>
        <v>25.000hs (L70)</v>
      </c>
      <c r="AO353" s="97" t="str">
        <f>IFERROR(__xludf.DUMMYFUNCTION("""COMPUTED_VALUE"""),"2 Años")</f>
        <v>2 Años</v>
      </c>
      <c r="AP353" s="97" t="str">
        <f>IFERROR(__xludf.DUMMYFUNCTION("""COMPUTED_VALUE"""),"Disponible")</f>
        <v>Disponible</v>
      </c>
      <c r="AQ353" s="97" t="str">
        <f>IFERROR(__xludf.DUMMYFUNCTION("""COMPUTED_VALUE"""),"Disponible")</f>
        <v>Disponible</v>
      </c>
      <c r="AR353" s="97" t="str">
        <f>IFERROR(__xludf.DUMMYFUNCTION("""COMPUTED_VALUE"""),"Disponible")</f>
        <v>Disponible</v>
      </c>
      <c r="AS353" s="97"/>
      <c r="AT353" s="97"/>
      <c r="AU353" s="97" t="str">
        <f>IFERROR(__xludf.DUMMYFUNCTION("""COMPUTED_VALUE"""),"Falta")</f>
        <v>Falta</v>
      </c>
      <c r="AV353" s="97" t="str">
        <f>IFERROR(__xludf.DUMMYFUNCTION("""COMPUTED_VALUE"""),"Aplique")</f>
        <v>Aplique</v>
      </c>
      <c r="AW353" s="97" t="str">
        <f>IFERROR(__xludf.DUMMYFUNCTION("""COMPUTED_VALUE"""),"De Pared")</f>
        <v>De Pared</v>
      </c>
      <c r="AX353" s="97" t="str">
        <f>IFERROR(__xludf.DUMMYFUNCTION("""COMPUTED_VALUE"""),"Exterior")</f>
        <v>Exterior</v>
      </c>
      <c r="AY353" s="97" t="str">
        <f>IFERROR(__xludf.DUMMYFUNCTION("""COMPUTED_VALUE"""),"-")</f>
        <v>-</v>
      </c>
      <c r="AZ353" s="97"/>
      <c r="BA353" s="97">
        <f>IFERROR(__xludf.DUMMYFUNCTION("""COMPUTED_VALUE"""),32.0)</f>
        <v>32</v>
      </c>
      <c r="BB353" s="97" t="str">
        <f>IFERROR(__xludf.DUMMYFUNCTION("""COMPUTED_VALUE"""),"-")</f>
        <v>-</v>
      </c>
      <c r="BC353" s="97" t="str">
        <f>IFERROR(__xludf.DUMMYFUNCTION("""COMPUTED_VALUE"""),"-")</f>
        <v>-</v>
      </c>
      <c r="BD353" s="97" t="str">
        <f>IFERROR(__xludf.DUMMYFUNCTION("""COMPUTED_VALUE"""),"TETRA")</f>
        <v>TETRA</v>
      </c>
      <c r="BE353" s="97" t="str">
        <f>IFERROR(__xludf.DUMMYFUNCTION("""COMPUTED_VALUE"""),"Finalizada")</f>
        <v>Finalizada</v>
      </c>
      <c r="BF353" s="97"/>
      <c r="BG353" s="97" t="str">
        <f>IFERROR(__xludf.DUMMYFUNCTION("""COMPUTED_VALUE"""),"Activo")</f>
        <v>Activo</v>
      </c>
    </row>
    <row r="354">
      <c r="A354" s="97">
        <f>IFERROR(__xludf.DUMMYFUNCTION("""COMPUTED_VALUE"""),4184.0)</f>
        <v>4184</v>
      </c>
      <c r="B354" s="97" t="str">
        <f>IFERROR(__xludf.DUMMYFUNCTION("""COMPUTED_VALUE"""),"SKOTE BL")</f>
        <v>SKOTE BL</v>
      </c>
      <c r="C354" s="97" t="str">
        <f>IFERROR(__xludf.DUMMYFUNCTION("""COMPUTED_VALUE"""),"APLIQUE SKOTE BL 12W 3000K 578LM CRI&gt;90 IP65 LEUK")</f>
        <v>APLIQUE SKOTE BL 12W 3000K 578LM CRI&gt;90 IP65 LEUK</v>
      </c>
      <c r="D354" s="97">
        <f>IFERROR(__xludf.DUMMYFUNCTION("""COMPUTED_VALUE"""),7.798328755841E12)</f>
        <v>7798328755841</v>
      </c>
      <c r="E354" s="97"/>
      <c r="F354" s="97" t="str">
        <f>IFERROR(__xludf.DUMMYFUNCTION("""COMPUTED_VALUE"""),"LED integrado")</f>
        <v>LED integrado</v>
      </c>
      <c r="G354" s="97" t="str">
        <f>IFERROR(__xludf.DUMMYFUNCTION("""COMPUTED_VALUE"""),"-")</f>
        <v>-</v>
      </c>
      <c r="H354" s="97" t="str">
        <f>IFERROR(__xludf.DUMMYFUNCTION("""COMPUTED_VALUE"""),"-")</f>
        <v>-</v>
      </c>
      <c r="I354" s="97"/>
      <c r="J354" s="97" t="str">
        <f>IFERROR(__xludf.DUMMYFUNCTION("""COMPUTED_VALUE"""),"Modelo: 8-12W
In: 85-265Vac 50/60Hz
Out: 24-36Vdc 270mA
Tc 75°C Ta 50°C")</f>
        <v>Modelo: 8-12W
In: 85-265Vac 50/60Hz
Out: 24-36Vdc 270mA
Tc 75°C Ta 50°C</v>
      </c>
      <c r="K354" s="97" t="str">
        <f>IFERROR(__xludf.DUMMYFUNCTION("""COMPUTED_VALUE"""),"ON/OFF")</f>
        <v>ON/OFF</v>
      </c>
      <c r="L354" s="97" t="str">
        <f>IFERROR(__xludf.DUMMYFUNCTION("""COMPUTED_VALUE"""),"220-240")</f>
        <v>220-240</v>
      </c>
      <c r="M354" s="97" t="str">
        <f>IFERROR(__xludf.DUMMYFUNCTION("""COMPUTED_VALUE"""),"50/60")</f>
        <v>50/60</v>
      </c>
      <c r="N354" s="97"/>
      <c r="O354" s="97">
        <f>IFERROR(__xludf.DUMMYFUNCTION("""COMPUTED_VALUE"""),12.0)</f>
        <v>12</v>
      </c>
      <c r="P354" s="97"/>
      <c r="Q354" s="97">
        <f>IFERROR(__xludf.DUMMYFUNCTION("""COMPUTED_VALUE"""),0.47)</f>
        <v>0.47</v>
      </c>
      <c r="R354" s="97" t="str">
        <f>IFERROR(__xludf.DUMMYFUNCTION("""COMPUTED_VALUE"""),"-")</f>
        <v>-</v>
      </c>
      <c r="S354" s="97" t="str">
        <f>IFERROR(__xludf.DUMMYFUNCTION("""COMPUTED_VALUE"""),"-")</f>
        <v>-</v>
      </c>
      <c r="T354" s="97">
        <f>IFERROR(__xludf.DUMMYFUNCTION("""COMPUTED_VALUE"""),578.0)</f>
        <v>578</v>
      </c>
      <c r="U354" s="99">
        <f>IFERROR(__xludf.DUMMYFUNCTION("""COMPUTED_VALUE"""),48.166666666666664)</f>
        <v>48.16666667</v>
      </c>
      <c r="V354" s="97">
        <f>IFERROR(__xludf.DUMMYFUNCTION("""COMPUTED_VALUE"""),100.0)</f>
        <v>100</v>
      </c>
      <c r="W354" s="97" t="str">
        <f>IFERROR(__xludf.DUMMYFUNCTION("""COMPUTED_VALUE"""),"&lt; 20")</f>
        <v>&lt; 20</v>
      </c>
      <c r="X354" s="97">
        <f>IFERROR(__xludf.DUMMYFUNCTION("""COMPUTED_VALUE"""),3000.0)</f>
        <v>3000</v>
      </c>
      <c r="Y354" s="97" t="str">
        <f>IFERROR(__xludf.DUMMYFUNCTION("""COMPUTED_VALUE"""),"&gt;90")</f>
        <v>&gt;90</v>
      </c>
      <c r="Z354" s="97"/>
      <c r="AA354" s="97"/>
      <c r="AB354" s="97" t="str">
        <f>IFERROR(__xludf.DUMMYFUNCTION("""COMPUTED_VALUE"""),"&lt; 3")</f>
        <v>&lt; 3</v>
      </c>
      <c r="AC354" s="97"/>
      <c r="AD354" s="97" t="str">
        <f>IFERROR(__xludf.DUMMYFUNCTION("""COMPUTED_VALUE"""),"IP65")</f>
        <v>IP65</v>
      </c>
      <c r="AE354" s="97" t="str">
        <f>IFERROR(__xludf.DUMMYFUNCTION("""COMPUTED_VALUE"""),"Clase l")</f>
        <v>Clase l</v>
      </c>
      <c r="AF354" s="97" t="str">
        <f>IFERROR(__xludf.DUMMYFUNCTION("""COMPUTED_VALUE"""),"Aplicar")</f>
        <v>Aplicar</v>
      </c>
      <c r="AG354" s="97" t="str">
        <f>IFERROR(__xludf.DUMMYFUNCTION("""COMPUTED_VALUE"""),"Ø150 x 45 Prof")</f>
        <v>Ø150 x 45 Prof</v>
      </c>
      <c r="AH354" s="97" t="str">
        <f>IFERROR(__xludf.DUMMYFUNCTION("""COMPUTED_VALUE"""),"N/A")</f>
        <v>N/A</v>
      </c>
      <c r="AI354" s="97" t="str">
        <f>IFERROR(__xludf.DUMMYFUNCTION("""COMPUTED_VALUE"""),"N/A")</f>
        <v>N/A</v>
      </c>
      <c r="AJ354" s="97" t="str">
        <f>IFERROR(__xludf.DUMMYFUNCTION("""COMPUTED_VALUE"""),"Policarbonato (PC)")</f>
        <v>Policarbonato (PC)</v>
      </c>
      <c r="AK354" s="97" t="str">
        <f>IFERROR(__xludf.DUMMYFUNCTION("""COMPUTED_VALUE"""),"Aluminio")</f>
        <v>Aluminio</v>
      </c>
      <c r="AL354" s="97" t="str">
        <f>IFERROR(__xludf.DUMMYFUNCTION("""COMPUTED_VALUE"""),"Blanco Satinado")</f>
        <v>Blanco Satinado</v>
      </c>
      <c r="AM354" s="97" t="str">
        <f>IFERROR(__xludf.DUMMYFUNCTION("""COMPUTED_VALUE"""),"-")</f>
        <v>-</v>
      </c>
      <c r="AN354" s="97" t="str">
        <f>IFERROR(__xludf.DUMMYFUNCTION("""COMPUTED_VALUE"""),"25.000hs (L70)")</f>
        <v>25.000hs (L70)</v>
      </c>
      <c r="AO354" s="97" t="str">
        <f>IFERROR(__xludf.DUMMYFUNCTION("""COMPUTED_VALUE"""),"2 Años")</f>
        <v>2 Años</v>
      </c>
      <c r="AP354" s="97" t="str">
        <f>IFERROR(__xludf.DUMMYFUNCTION("""COMPUTED_VALUE"""),"Disponible")</f>
        <v>Disponible</v>
      </c>
      <c r="AQ354" s="97" t="str">
        <f>IFERROR(__xludf.DUMMYFUNCTION("""COMPUTED_VALUE"""),"Disponible")</f>
        <v>Disponible</v>
      </c>
      <c r="AR354" s="97" t="str">
        <f>IFERROR(__xludf.DUMMYFUNCTION("""COMPUTED_VALUE"""),"Disponible")</f>
        <v>Disponible</v>
      </c>
      <c r="AS354" s="97"/>
      <c r="AT354" s="97"/>
      <c r="AU354" s="97" t="str">
        <f>IFERROR(__xludf.DUMMYFUNCTION("""COMPUTED_VALUE"""),"Falta")</f>
        <v>Falta</v>
      </c>
      <c r="AV354" s="97" t="str">
        <f>IFERROR(__xludf.DUMMYFUNCTION("""COMPUTED_VALUE"""),"Aplique")</f>
        <v>Aplique</v>
      </c>
      <c r="AW354" s="97" t="str">
        <f>IFERROR(__xludf.DUMMYFUNCTION("""COMPUTED_VALUE"""),"De Pared")</f>
        <v>De Pared</v>
      </c>
      <c r="AX354" s="97" t="str">
        <f>IFERROR(__xludf.DUMMYFUNCTION("""COMPUTED_VALUE"""),"Exterior")</f>
        <v>Exterior</v>
      </c>
      <c r="AY354" s="97" t="str">
        <f>IFERROR(__xludf.DUMMYFUNCTION("""COMPUTED_VALUE"""),"-")</f>
        <v>-</v>
      </c>
      <c r="AZ354" s="97"/>
      <c r="BA354" s="97">
        <f>IFERROR(__xludf.DUMMYFUNCTION("""COMPUTED_VALUE"""),32.0)</f>
        <v>32</v>
      </c>
      <c r="BB354" s="97" t="str">
        <f>IFERROR(__xludf.DUMMYFUNCTION("""COMPUTED_VALUE"""),"-")</f>
        <v>-</v>
      </c>
      <c r="BC354" s="97" t="str">
        <f>IFERROR(__xludf.DUMMYFUNCTION("""COMPUTED_VALUE"""),"-")</f>
        <v>-</v>
      </c>
      <c r="BD354" s="97" t="str">
        <f>IFERROR(__xludf.DUMMYFUNCTION("""COMPUTED_VALUE"""),"SKOTE")</f>
        <v>SKOTE</v>
      </c>
      <c r="BE354" s="97" t="str">
        <f>IFERROR(__xludf.DUMMYFUNCTION("""COMPUTED_VALUE"""),"Finalizada")</f>
        <v>Finalizada</v>
      </c>
      <c r="BF354" s="97"/>
      <c r="BG354" s="97" t="str">
        <f>IFERROR(__xludf.DUMMYFUNCTION("""COMPUTED_VALUE"""),"Activo")</f>
        <v>Activo</v>
      </c>
    </row>
    <row r="355">
      <c r="A355" s="97">
        <f>IFERROR(__xludf.DUMMYFUNCTION("""COMPUTED_VALUE"""),4185.0)</f>
        <v>4185</v>
      </c>
      <c r="B355" s="97" t="str">
        <f>IFERROR(__xludf.DUMMYFUNCTION("""COMPUTED_VALUE"""),"SKOTE NG")</f>
        <v>SKOTE NG</v>
      </c>
      <c r="C355" s="97" t="str">
        <f>IFERROR(__xludf.DUMMYFUNCTION("""COMPUTED_VALUE"""),"APLIQUE SKOTE NG 12W 3000K 578LM CRI&gt;90 IP65 LEUK")</f>
        <v>APLIQUE SKOTE NG 12W 3000K 578LM CRI&gt;90 IP65 LEUK</v>
      </c>
      <c r="D355" s="97">
        <f>IFERROR(__xludf.DUMMYFUNCTION("""COMPUTED_VALUE"""),7.798328755858E12)</f>
        <v>7798328755858</v>
      </c>
      <c r="E355" s="97"/>
      <c r="F355" s="97" t="str">
        <f>IFERROR(__xludf.DUMMYFUNCTION("""COMPUTED_VALUE"""),"LED integrado")</f>
        <v>LED integrado</v>
      </c>
      <c r="G355" s="97" t="str">
        <f>IFERROR(__xludf.DUMMYFUNCTION("""COMPUTED_VALUE"""),"-")</f>
        <v>-</v>
      </c>
      <c r="H355" s="97" t="str">
        <f>IFERROR(__xludf.DUMMYFUNCTION("""COMPUTED_VALUE"""),"-")</f>
        <v>-</v>
      </c>
      <c r="I355" s="97"/>
      <c r="J355" s="97" t="str">
        <f>IFERROR(__xludf.DUMMYFUNCTION("""COMPUTED_VALUE"""),"Modelo: 8-12W
In: 85-265Vac 50/60Hz
Out: 24-36Vdc 270mA
Tc 75°C Ta 50°C")</f>
        <v>Modelo: 8-12W
In: 85-265Vac 50/60Hz
Out: 24-36Vdc 270mA
Tc 75°C Ta 50°C</v>
      </c>
      <c r="K355" s="97" t="str">
        <f>IFERROR(__xludf.DUMMYFUNCTION("""COMPUTED_VALUE"""),"ON/OFF")</f>
        <v>ON/OFF</v>
      </c>
      <c r="L355" s="97" t="str">
        <f>IFERROR(__xludf.DUMMYFUNCTION("""COMPUTED_VALUE"""),"220-240")</f>
        <v>220-240</v>
      </c>
      <c r="M355" s="97" t="str">
        <f>IFERROR(__xludf.DUMMYFUNCTION("""COMPUTED_VALUE"""),"50/60")</f>
        <v>50/60</v>
      </c>
      <c r="N355" s="97"/>
      <c r="O355" s="97">
        <f>IFERROR(__xludf.DUMMYFUNCTION("""COMPUTED_VALUE"""),12.0)</f>
        <v>12</v>
      </c>
      <c r="P355" s="97"/>
      <c r="Q355" s="97">
        <f>IFERROR(__xludf.DUMMYFUNCTION("""COMPUTED_VALUE"""),0.47)</f>
        <v>0.47</v>
      </c>
      <c r="R355" s="97" t="str">
        <f>IFERROR(__xludf.DUMMYFUNCTION("""COMPUTED_VALUE"""),"-")</f>
        <v>-</v>
      </c>
      <c r="S355" s="97" t="str">
        <f>IFERROR(__xludf.DUMMYFUNCTION("""COMPUTED_VALUE"""),"-")</f>
        <v>-</v>
      </c>
      <c r="T355" s="97">
        <f>IFERROR(__xludf.DUMMYFUNCTION("""COMPUTED_VALUE"""),578.0)</f>
        <v>578</v>
      </c>
      <c r="U355" s="99">
        <f>IFERROR(__xludf.DUMMYFUNCTION("""COMPUTED_VALUE"""),48.166666666666664)</f>
        <v>48.16666667</v>
      </c>
      <c r="V355" s="97">
        <f>IFERROR(__xludf.DUMMYFUNCTION("""COMPUTED_VALUE"""),100.0)</f>
        <v>100</v>
      </c>
      <c r="W355" s="97" t="str">
        <f>IFERROR(__xludf.DUMMYFUNCTION("""COMPUTED_VALUE"""),"&lt; 20")</f>
        <v>&lt; 20</v>
      </c>
      <c r="X355" s="97">
        <f>IFERROR(__xludf.DUMMYFUNCTION("""COMPUTED_VALUE"""),3000.0)</f>
        <v>3000</v>
      </c>
      <c r="Y355" s="97" t="str">
        <f>IFERROR(__xludf.DUMMYFUNCTION("""COMPUTED_VALUE"""),"&gt;90")</f>
        <v>&gt;90</v>
      </c>
      <c r="Z355" s="97"/>
      <c r="AA355" s="97"/>
      <c r="AB355" s="97" t="str">
        <f>IFERROR(__xludf.DUMMYFUNCTION("""COMPUTED_VALUE"""),"&lt; 3")</f>
        <v>&lt; 3</v>
      </c>
      <c r="AC355" s="97"/>
      <c r="AD355" s="97" t="str">
        <f>IFERROR(__xludf.DUMMYFUNCTION("""COMPUTED_VALUE"""),"IP65")</f>
        <v>IP65</v>
      </c>
      <c r="AE355" s="97" t="str">
        <f>IFERROR(__xludf.DUMMYFUNCTION("""COMPUTED_VALUE"""),"Clase l")</f>
        <v>Clase l</v>
      </c>
      <c r="AF355" s="97" t="str">
        <f>IFERROR(__xludf.DUMMYFUNCTION("""COMPUTED_VALUE"""),"Aplicar")</f>
        <v>Aplicar</v>
      </c>
      <c r="AG355" s="97" t="str">
        <f>IFERROR(__xludf.DUMMYFUNCTION("""COMPUTED_VALUE"""),"Ø150 x 45 Prof")</f>
        <v>Ø150 x 45 Prof</v>
      </c>
      <c r="AH355" s="97" t="str">
        <f>IFERROR(__xludf.DUMMYFUNCTION("""COMPUTED_VALUE"""),"N/A")</f>
        <v>N/A</v>
      </c>
      <c r="AI355" s="97" t="str">
        <f>IFERROR(__xludf.DUMMYFUNCTION("""COMPUTED_VALUE"""),"N/A")</f>
        <v>N/A</v>
      </c>
      <c r="AJ355" s="97" t="str">
        <f>IFERROR(__xludf.DUMMYFUNCTION("""COMPUTED_VALUE"""),"Policarbonato (PC)")</f>
        <v>Policarbonato (PC)</v>
      </c>
      <c r="AK355" s="97" t="str">
        <f>IFERROR(__xludf.DUMMYFUNCTION("""COMPUTED_VALUE"""),"Aluminio")</f>
        <v>Aluminio</v>
      </c>
      <c r="AL355" s="97" t="str">
        <f>IFERROR(__xludf.DUMMYFUNCTION("""COMPUTED_VALUE"""),"Negro Satinado")</f>
        <v>Negro Satinado</v>
      </c>
      <c r="AM355" s="97" t="str">
        <f>IFERROR(__xludf.DUMMYFUNCTION("""COMPUTED_VALUE"""),"-")</f>
        <v>-</v>
      </c>
      <c r="AN355" s="97" t="str">
        <f>IFERROR(__xludf.DUMMYFUNCTION("""COMPUTED_VALUE"""),"25.000hs (L70)")</f>
        <v>25.000hs (L70)</v>
      </c>
      <c r="AO355" s="97" t="str">
        <f>IFERROR(__xludf.DUMMYFUNCTION("""COMPUTED_VALUE"""),"2 Años")</f>
        <v>2 Años</v>
      </c>
      <c r="AP355" s="97" t="str">
        <f>IFERROR(__xludf.DUMMYFUNCTION("""COMPUTED_VALUE"""),"Disponible")</f>
        <v>Disponible</v>
      </c>
      <c r="AQ355" s="97" t="str">
        <f>IFERROR(__xludf.DUMMYFUNCTION("""COMPUTED_VALUE"""),"Disponible")</f>
        <v>Disponible</v>
      </c>
      <c r="AR355" s="97" t="str">
        <f>IFERROR(__xludf.DUMMYFUNCTION("""COMPUTED_VALUE"""),"Disponible")</f>
        <v>Disponible</v>
      </c>
      <c r="AS355" s="97"/>
      <c r="AT355" s="97"/>
      <c r="AU355" s="97" t="str">
        <f>IFERROR(__xludf.DUMMYFUNCTION("""COMPUTED_VALUE"""),"Falta")</f>
        <v>Falta</v>
      </c>
      <c r="AV355" s="97" t="str">
        <f>IFERROR(__xludf.DUMMYFUNCTION("""COMPUTED_VALUE"""),"Aplique")</f>
        <v>Aplique</v>
      </c>
      <c r="AW355" s="97" t="str">
        <f>IFERROR(__xludf.DUMMYFUNCTION("""COMPUTED_VALUE"""),"De Pared")</f>
        <v>De Pared</v>
      </c>
      <c r="AX355" s="97" t="str">
        <f>IFERROR(__xludf.DUMMYFUNCTION("""COMPUTED_VALUE"""),"Exterior")</f>
        <v>Exterior</v>
      </c>
      <c r="AY355" s="97" t="str">
        <f>IFERROR(__xludf.DUMMYFUNCTION("""COMPUTED_VALUE"""),"-")</f>
        <v>-</v>
      </c>
      <c r="AZ355" s="97"/>
      <c r="BA355" s="97">
        <f>IFERROR(__xludf.DUMMYFUNCTION("""COMPUTED_VALUE"""),32.0)</f>
        <v>32</v>
      </c>
      <c r="BB355" s="97" t="str">
        <f>IFERROR(__xludf.DUMMYFUNCTION("""COMPUTED_VALUE"""),"-")</f>
        <v>-</v>
      </c>
      <c r="BC355" s="97" t="str">
        <f>IFERROR(__xludf.DUMMYFUNCTION("""COMPUTED_VALUE"""),"-")</f>
        <v>-</v>
      </c>
      <c r="BD355" s="97" t="str">
        <f>IFERROR(__xludf.DUMMYFUNCTION("""COMPUTED_VALUE"""),"SKOTE")</f>
        <v>SKOTE</v>
      </c>
      <c r="BE355" s="97" t="str">
        <f>IFERROR(__xludf.DUMMYFUNCTION("""COMPUTED_VALUE"""),"Finalizada")</f>
        <v>Finalizada</v>
      </c>
      <c r="BF355" s="97"/>
      <c r="BG355" s="97" t="str">
        <f>IFERROR(__xludf.DUMMYFUNCTION("""COMPUTED_VALUE"""),"Activo")</f>
        <v>Activo</v>
      </c>
    </row>
    <row r="356">
      <c r="A356" s="97">
        <f>IFERROR(__xludf.DUMMYFUNCTION("""COMPUTED_VALUE"""),4186.0)</f>
        <v>4186</v>
      </c>
      <c r="B356" s="97" t="str">
        <f>IFERROR(__xludf.DUMMYFUNCTION("""COMPUTED_VALUE"""),"IMIKY")</f>
        <v>IMIKY</v>
      </c>
      <c r="C356" s="97" t="str">
        <f>IFERROR(__xludf.DUMMYFUNCTION("""COMPUTED_VALUE"""),"APLIQUE IMIKY 3W 3000K 35LM CRI&gt;80 IP65 LEUK")</f>
        <v>APLIQUE IMIKY 3W 3000K 35LM CRI&gt;80 IP65 LEUK</v>
      </c>
      <c r="D356" s="97">
        <f>IFERROR(__xludf.DUMMYFUNCTION("""COMPUTED_VALUE"""),7.798328758187E12)</f>
        <v>7798328758187</v>
      </c>
      <c r="E356" s="97" t="str">
        <f>IFERROR(__xludf.DUMMYFUNCTION("""COMPUTED_VALUE"""),"-")</f>
        <v>-</v>
      </c>
      <c r="F356" s="97" t="str">
        <f>IFERROR(__xludf.DUMMYFUNCTION("""COMPUTED_VALUE"""),"LED integrado")</f>
        <v>LED integrado</v>
      </c>
      <c r="G356" s="97" t="str">
        <f>IFERROR(__xludf.DUMMYFUNCTION("""COMPUTED_VALUE"""),"-")</f>
        <v>-</v>
      </c>
      <c r="H356" s="97" t="str">
        <f>IFERROR(__xludf.DUMMYFUNCTION("""COMPUTED_VALUE"""),"-")</f>
        <v>-</v>
      </c>
      <c r="I356" s="97"/>
      <c r="J356" s="97"/>
      <c r="K356" s="97" t="str">
        <f>IFERROR(__xludf.DUMMYFUNCTION("""COMPUTED_VALUE"""),"ON/OFF")</f>
        <v>ON/OFF</v>
      </c>
      <c r="L356" s="97" t="str">
        <f>IFERROR(__xludf.DUMMYFUNCTION("""COMPUTED_VALUE"""),"220-240")</f>
        <v>220-240</v>
      </c>
      <c r="M356" s="97" t="str">
        <f>IFERROR(__xludf.DUMMYFUNCTION("""COMPUTED_VALUE"""),"50/60")</f>
        <v>50/60</v>
      </c>
      <c r="N356" s="97"/>
      <c r="O356" s="97">
        <f>IFERROR(__xludf.DUMMYFUNCTION("""COMPUTED_VALUE"""),3.0)</f>
        <v>3</v>
      </c>
      <c r="P356" s="97"/>
      <c r="Q356" s="97">
        <f>IFERROR(__xludf.DUMMYFUNCTION("""COMPUTED_VALUE"""),0.51)</f>
        <v>0.51</v>
      </c>
      <c r="R356" s="97" t="str">
        <f>IFERROR(__xludf.DUMMYFUNCTION("""COMPUTED_VALUE"""),"-")</f>
        <v>-</v>
      </c>
      <c r="S356" s="97" t="str">
        <f>IFERROR(__xludf.DUMMYFUNCTION("""COMPUTED_VALUE"""),"-")</f>
        <v>-</v>
      </c>
      <c r="T356" s="97">
        <f>IFERROR(__xludf.DUMMYFUNCTION("""COMPUTED_VALUE"""),35.0)</f>
        <v>35</v>
      </c>
      <c r="U356" s="99">
        <f>IFERROR(__xludf.DUMMYFUNCTION("""COMPUTED_VALUE"""),11.666666666666666)</f>
        <v>11.66666667</v>
      </c>
      <c r="V356" s="97">
        <f>IFERROR(__xludf.DUMMYFUNCTION("""COMPUTED_VALUE"""),45.0)</f>
        <v>45</v>
      </c>
      <c r="W356" s="97" t="str">
        <f>IFERROR(__xludf.DUMMYFUNCTION("""COMPUTED_VALUE"""),"&lt; 20")</f>
        <v>&lt; 20</v>
      </c>
      <c r="X356" s="97">
        <f>IFERROR(__xludf.DUMMYFUNCTION("""COMPUTED_VALUE"""),3000.0)</f>
        <v>3000</v>
      </c>
      <c r="Y356" s="97" t="str">
        <f>IFERROR(__xludf.DUMMYFUNCTION("""COMPUTED_VALUE"""),"&gt;80")</f>
        <v>&gt;80</v>
      </c>
      <c r="Z356" s="97" t="str">
        <f>IFERROR(__xludf.DUMMYFUNCTION("""COMPUTED_VALUE"""),"-")</f>
        <v>-</v>
      </c>
      <c r="AA356" s="97" t="str">
        <f>IFERROR(__xludf.DUMMYFUNCTION("""COMPUTED_VALUE"""),"-")</f>
        <v>-</v>
      </c>
      <c r="AB356" s="97" t="str">
        <f>IFERROR(__xludf.DUMMYFUNCTION("""COMPUTED_VALUE"""),"&lt; 5")</f>
        <v>&lt; 5</v>
      </c>
      <c r="AC356" s="97"/>
      <c r="AD356" s="97" t="str">
        <f>IFERROR(__xludf.DUMMYFUNCTION("""COMPUTED_VALUE"""),"IP65")</f>
        <v>IP65</v>
      </c>
      <c r="AE356" s="97" t="str">
        <f>IFERROR(__xludf.DUMMYFUNCTION("""COMPUTED_VALUE"""),"Clase l")</f>
        <v>Clase l</v>
      </c>
      <c r="AF356" s="97" t="str">
        <f>IFERROR(__xludf.DUMMYFUNCTION("""COMPUTED_VALUE"""),"Aplicar")</f>
        <v>Aplicar</v>
      </c>
      <c r="AG356" s="97" t="str">
        <f>IFERROR(__xludf.DUMMYFUNCTION("""COMPUTED_VALUE"""),"Ø100 x 30 Prof")</f>
        <v>Ø100 x 30 Prof</v>
      </c>
      <c r="AH356" s="97" t="str">
        <f>IFERROR(__xludf.DUMMYFUNCTION("""COMPUTED_VALUE"""),"N/A")</f>
        <v>N/A</v>
      </c>
      <c r="AI356" s="97" t="str">
        <f>IFERROR(__xludf.DUMMYFUNCTION("""COMPUTED_VALUE"""),"N/A")</f>
        <v>N/A</v>
      </c>
      <c r="AJ356" s="97" t="str">
        <f>IFERROR(__xludf.DUMMYFUNCTION("""COMPUTED_VALUE"""),"Vidrio")</f>
        <v>Vidrio</v>
      </c>
      <c r="AK356" s="97" t="str">
        <f>IFERROR(__xludf.DUMMYFUNCTION("""COMPUTED_VALUE"""),"Aluminio")</f>
        <v>Aluminio</v>
      </c>
      <c r="AL356" s="97" t="str">
        <f>IFERROR(__xludf.DUMMYFUNCTION("""COMPUTED_VALUE"""),"Negro Satinado")</f>
        <v>Negro Satinado</v>
      </c>
      <c r="AM356" s="97" t="str">
        <f>IFERROR(__xludf.DUMMYFUNCTION("""COMPUTED_VALUE"""),"-")</f>
        <v>-</v>
      </c>
      <c r="AN356" s="97" t="str">
        <f>IFERROR(__xludf.DUMMYFUNCTION("""COMPUTED_VALUE"""),"25.000hs (L70)")</f>
        <v>25.000hs (L70)</v>
      </c>
      <c r="AO356" s="97" t="str">
        <f>IFERROR(__xludf.DUMMYFUNCTION("""COMPUTED_VALUE"""),"2 Años")</f>
        <v>2 Años</v>
      </c>
      <c r="AP356" s="97" t="str">
        <f>IFERROR(__xludf.DUMMYFUNCTION("""COMPUTED_VALUE"""),"Disponible")</f>
        <v>Disponible</v>
      </c>
      <c r="AQ356" s="97" t="str">
        <f>IFERROR(__xludf.DUMMYFUNCTION("""COMPUTED_VALUE"""),"Disponible")</f>
        <v>Disponible</v>
      </c>
      <c r="AR356" s="97" t="str">
        <f>IFERROR(__xludf.DUMMYFUNCTION("""COMPUTED_VALUE"""),"Disponible")</f>
        <v>Disponible</v>
      </c>
      <c r="AS356" s="97"/>
      <c r="AT356" s="97"/>
      <c r="AU356" s="97" t="str">
        <f>IFERROR(__xludf.DUMMYFUNCTION("""COMPUTED_VALUE"""),"Falta")</f>
        <v>Falta</v>
      </c>
      <c r="AV356" s="97" t="str">
        <f>IFERROR(__xludf.DUMMYFUNCTION("""COMPUTED_VALUE"""),"Aplique")</f>
        <v>Aplique</v>
      </c>
      <c r="AW356" s="97" t="str">
        <f>IFERROR(__xludf.DUMMYFUNCTION("""COMPUTED_VALUE"""),"De Pared")</f>
        <v>De Pared</v>
      </c>
      <c r="AX356" s="97" t="str">
        <f>IFERROR(__xludf.DUMMYFUNCTION("""COMPUTED_VALUE"""),"Exterior")</f>
        <v>Exterior</v>
      </c>
      <c r="AY356" s="97"/>
      <c r="AZ356" s="97"/>
      <c r="BA356" s="97">
        <f>IFERROR(__xludf.DUMMYFUNCTION("""COMPUTED_VALUE"""),100.0)</f>
        <v>100</v>
      </c>
      <c r="BB356" s="97" t="str">
        <f>IFERROR(__xludf.DUMMYFUNCTION("""COMPUTED_VALUE"""),"-")</f>
        <v>-</v>
      </c>
      <c r="BC356" s="97" t="str">
        <f>IFERROR(__xludf.DUMMYFUNCTION("""COMPUTED_VALUE"""),"-")</f>
        <v>-</v>
      </c>
      <c r="BD356" s="97" t="str">
        <f>IFERROR(__xludf.DUMMYFUNCTION("""COMPUTED_VALUE"""),"IMIKY")</f>
        <v>IMIKY</v>
      </c>
      <c r="BE356" s="97" t="str">
        <f>IFERROR(__xludf.DUMMYFUNCTION("""COMPUTED_VALUE"""),"Finalizada")</f>
        <v>Finalizada</v>
      </c>
      <c r="BF356" s="97"/>
      <c r="BG356" s="97" t="str">
        <f>IFERROR(__xludf.DUMMYFUNCTION("""COMPUTED_VALUE"""),"Discontinuo")</f>
        <v>Discontinuo</v>
      </c>
    </row>
    <row r="357">
      <c r="A357" s="97">
        <f>IFERROR(__xludf.DUMMYFUNCTION("""COMPUTED_VALUE"""),4188.0)</f>
        <v>4188</v>
      </c>
      <c r="B357" s="97" t="str">
        <f>IFERROR(__xludf.DUMMYFUNCTION("""COMPUTED_VALUE"""),"DYO")</f>
        <v>DYO</v>
      </c>
      <c r="C357" s="97" t="str">
        <f>IFERROR(__xludf.DUMMYFUNCTION("""COMPUTED_VALUE"""),"APLIQUE DYO 6W 3000K 167LM CRI&gt;80 IP65 LEUK")</f>
        <v>APLIQUE DYO 6W 3000K 167LM CRI&gt;80 IP65 LEUK</v>
      </c>
      <c r="D357" s="97">
        <f>IFERROR(__xludf.DUMMYFUNCTION("""COMPUTED_VALUE"""),7.7983287582E12)</f>
        <v>7798328758200</v>
      </c>
      <c r="E357" s="97"/>
      <c r="F357" s="97" t="str">
        <f>IFERROR(__xludf.DUMMYFUNCTION("""COMPUTED_VALUE"""),"LED integrado")</f>
        <v>LED integrado</v>
      </c>
      <c r="G357" s="97" t="str">
        <f>IFERROR(__xludf.DUMMYFUNCTION("""COMPUTED_VALUE"""),"-")</f>
        <v>-</v>
      </c>
      <c r="H357" s="97" t="str">
        <f>IFERROR(__xludf.DUMMYFUNCTION("""COMPUTED_VALUE"""),"-")</f>
        <v>-</v>
      </c>
      <c r="I357" s="97"/>
      <c r="J357" s="97"/>
      <c r="K357" s="97" t="str">
        <f>IFERROR(__xludf.DUMMYFUNCTION("""COMPUTED_VALUE"""),"ON/OFF")</f>
        <v>ON/OFF</v>
      </c>
      <c r="L357" s="97" t="str">
        <f>IFERROR(__xludf.DUMMYFUNCTION("""COMPUTED_VALUE"""),"220-240")</f>
        <v>220-240</v>
      </c>
      <c r="M357" s="97" t="str">
        <f>IFERROR(__xludf.DUMMYFUNCTION("""COMPUTED_VALUE"""),"50/60")</f>
        <v>50/60</v>
      </c>
      <c r="N357" s="97"/>
      <c r="O357" s="97">
        <f>IFERROR(__xludf.DUMMYFUNCTION("""COMPUTED_VALUE"""),6.0)</f>
        <v>6</v>
      </c>
      <c r="P357" s="97"/>
      <c r="Q357" s="97">
        <f>IFERROR(__xludf.DUMMYFUNCTION("""COMPUTED_VALUE"""),0.49)</f>
        <v>0.49</v>
      </c>
      <c r="R357" s="97" t="str">
        <f>IFERROR(__xludf.DUMMYFUNCTION("""COMPUTED_VALUE"""),"-")</f>
        <v>-</v>
      </c>
      <c r="S357" s="97" t="str">
        <f>IFERROR(__xludf.DUMMYFUNCTION("""COMPUTED_VALUE"""),"-")</f>
        <v>-</v>
      </c>
      <c r="T357" s="97">
        <f>IFERROR(__xludf.DUMMYFUNCTION("""COMPUTED_VALUE"""),167.0)</f>
        <v>167</v>
      </c>
      <c r="U357" s="99">
        <f>IFERROR(__xludf.DUMMYFUNCTION("""COMPUTED_VALUE"""),27.833333333333332)</f>
        <v>27.83333333</v>
      </c>
      <c r="V357" s="97" t="str">
        <f>IFERROR(__xludf.DUMMYFUNCTION("""COMPUTED_VALUE"""),"0-90")</f>
        <v>0-90</v>
      </c>
      <c r="W357" s="97" t="str">
        <f>IFERROR(__xludf.DUMMYFUNCTION("""COMPUTED_VALUE"""),"&lt; 20")</f>
        <v>&lt; 20</v>
      </c>
      <c r="X357" s="97">
        <f>IFERROR(__xludf.DUMMYFUNCTION("""COMPUTED_VALUE"""),3000.0)</f>
        <v>3000</v>
      </c>
      <c r="Y357" s="97" t="str">
        <f>IFERROR(__xludf.DUMMYFUNCTION("""COMPUTED_VALUE"""),"&gt;80")</f>
        <v>&gt;80</v>
      </c>
      <c r="Z357" s="97"/>
      <c r="AA357" s="97"/>
      <c r="AB357" s="97" t="str">
        <f>IFERROR(__xludf.DUMMYFUNCTION("""COMPUTED_VALUE"""),"-")</f>
        <v>-</v>
      </c>
      <c r="AC357" s="97"/>
      <c r="AD357" s="97" t="str">
        <f>IFERROR(__xludf.DUMMYFUNCTION("""COMPUTED_VALUE"""),"IP65")</f>
        <v>IP65</v>
      </c>
      <c r="AE357" s="97" t="str">
        <f>IFERROR(__xludf.DUMMYFUNCTION("""COMPUTED_VALUE"""),"Clase l")</f>
        <v>Clase l</v>
      </c>
      <c r="AF357" s="97" t="str">
        <f>IFERROR(__xludf.DUMMYFUNCTION("""COMPUTED_VALUE"""),"Aplicar")</f>
        <v>Aplicar</v>
      </c>
      <c r="AG357" s="97" t="str">
        <f>IFERROR(__xludf.DUMMYFUNCTION("""COMPUTED_VALUE"""),"135 x 115 x 100")</f>
        <v>135 x 115 x 100</v>
      </c>
      <c r="AH357" s="97" t="str">
        <f>IFERROR(__xludf.DUMMYFUNCTION("""COMPUTED_VALUE"""),"N/A")</f>
        <v>N/A</v>
      </c>
      <c r="AI357" s="97" t="str">
        <f>IFERROR(__xludf.DUMMYFUNCTION("""COMPUTED_VALUE"""),"N/A")</f>
        <v>N/A</v>
      </c>
      <c r="AJ357" s="97" t="str">
        <f>IFERROR(__xludf.DUMMYFUNCTION("""COMPUTED_VALUE"""),"Vidrio")</f>
        <v>Vidrio</v>
      </c>
      <c r="AK357" s="97" t="str">
        <f>IFERROR(__xludf.DUMMYFUNCTION("""COMPUTED_VALUE"""),"Aluminio")</f>
        <v>Aluminio</v>
      </c>
      <c r="AL357" s="97" t="str">
        <f>IFERROR(__xludf.DUMMYFUNCTION("""COMPUTED_VALUE"""),"Negro Satinado")</f>
        <v>Negro Satinado</v>
      </c>
      <c r="AM357" s="97" t="str">
        <f>IFERROR(__xludf.DUMMYFUNCTION("""COMPUTED_VALUE"""),"-")</f>
        <v>-</v>
      </c>
      <c r="AN357" s="97" t="str">
        <f>IFERROR(__xludf.DUMMYFUNCTION("""COMPUTED_VALUE"""),"25.000hs (L70)")</f>
        <v>25.000hs (L70)</v>
      </c>
      <c r="AO357" s="97" t="str">
        <f>IFERROR(__xludf.DUMMYFUNCTION("""COMPUTED_VALUE"""),"2 Años")</f>
        <v>2 Años</v>
      </c>
      <c r="AP357" s="97" t="str">
        <f>IFERROR(__xludf.DUMMYFUNCTION("""COMPUTED_VALUE"""),"Disponible")</f>
        <v>Disponible</v>
      </c>
      <c r="AQ357" s="97" t="str">
        <f>IFERROR(__xludf.DUMMYFUNCTION("""COMPUTED_VALUE"""),"Disponible")</f>
        <v>Disponible</v>
      </c>
      <c r="AR357" s="97" t="str">
        <f>IFERROR(__xludf.DUMMYFUNCTION("""COMPUTED_VALUE"""),"Disponible")</f>
        <v>Disponible</v>
      </c>
      <c r="AS357" s="97"/>
      <c r="AT357" s="97"/>
      <c r="AU357" s="97" t="str">
        <f>IFERROR(__xludf.DUMMYFUNCTION("""COMPUTED_VALUE"""),"Falta")</f>
        <v>Falta</v>
      </c>
      <c r="AV357" s="97" t="str">
        <f>IFERROR(__xludf.DUMMYFUNCTION("""COMPUTED_VALUE"""),"Aplique")</f>
        <v>Aplique</v>
      </c>
      <c r="AW357" s="97" t="str">
        <f>IFERROR(__xludf.DUMMYFUNCTION("""COMPUTED_VALUE"""),"De Pared")</f>
        <v>De Pared</v>
      </c>
      <c r="AX357" s="97" t="str">
        <f>IFERROR(__xludf.DUMMYFUNCTION("""COMPUTED_VALUE"""),"Exterior")</f>
        <v>Exterior</v>
      </c>
      <c r="AY357" s="97" t="str">
        <f>IFERROR(__xludf.DUMMYFUNCTION("""COMPUTED_VALUE"""),"-")</f>
        <v>-</v>
      </c>
      <c r="AZ357" s="97"/>
      <c r="BA357" s="97">
        <f>IFERROR(__xludf.DUMMYFUNCTION("""COMPUTED_VALUE"""),30.0)</f>
        <v>30</v>
      </c>
      <c r="BB357" s="97" t="str">
        <f>IFERROR(__xludf.DUMMYFUNCTION("""COMPUTED_VALUE"""),"-")</f>
        <v>-</v>
      </c>
      <c r="BC357" s="97" t="str">
        <f>IFERROR(__xludf.DUMMYFUNCTION("""COMPUTED_VALUE"""),"-")</f>
        <v>-</v>
      </c>
      <c r="BD357" s="97" t="str">
        <f>IFERROR(__xludf.DUMMYFUNCTION("""COMPUTED_VALUE"""),"DYO")</f>
        <v>DYO</v>
      </c>
      <c r="BE357" s="97" t="str">
        <f>IFERROR(__xludf.DUMMYFUNCTION("""COMPUTED_VALUE"""),"Finalizada")</f>
        <v>Finalizada</v>
      </c>
      <c r="BF357" s="97"/>
      <c r="BG357" s="97" t="str">
        <f>IFERROR(__xludf.DUMMYFUNCTION("""COMPUTED_VALUE"""),"Activo")</f>
        <v>Activo</v>
      </c>
    </row>
    <row r="358">
      <c r="A358" s="97">
        <f>IFERROR(__xludf.DUMMYFUNCTION("""COMPUTED_VALUE"""),4189.0)</f>
        <v>4189</v>
      </c>
      <c r="B358" s="97" t="str">
        <f>IFERROR(__xludf.DUMMYFUNCTION("""COMPUTED_VALUE"""),"KENTRO")</f>
        <v>KENTRO</v>
      </c>
      <c r="C358" s="97" t="str">
        <f>IFERROR(__xludf.DUMMYFUNCTION("""COMPUTED_VALUE"""),"APLIQUE KENTRO 12W 3000K 496LM CRI&gt;80 IP65 LEUK")</f>
        <v>APLIQUE KENTRO 12W 3000K 496LM CRI&gt;80 IP65 LEUK</v>
      </c>
      <c r="D358" s="97">
        <f>IFERROR(__xludf.DUMMYFUNCTION("""COMPUTED_VALUE"""),7.798328758217E12)</f>
        <v>7798328758217</v>
      </c>
      <c r="E358" s="97"/>
      <c r="F358" s="97" t="str">
        <f>IFERROR(__xludf.DUMMYFUNCTION("""COMPUTED_VALUE"""),"LED integrado")</f>
        <v>LED integrado</v>
      </c>
      <c r="G358" s="97" t="str">
        <f>IFERROR(__xludf.DUMMYFUNCTION("""COMPUTED_VALUE"""),"-")</f>
        <v>-</v>
      </c>
      <c r="H358" s="97" t="str">
        <f>IFERROR(__xludf.DUMMYFUNCTION("""COMPUTED_VALUE"""),"-")</f>
        <v>-</v>
      </c>
      <c r="I358" s="97"/>
      <c r="J358" s="97"/>
      <c r="K358" s="97" t="str">
        <f>IFERROR(__xludf.DUMMYFUNCTION("""COMPUTED_VALUE"""),"ON/OFF")</f>
        <v>ON/OFF</v>
      </c>
      <c r="L358" s="97" t="str">
        <f>IFERROR(__xludf.DUMMYFUNCTION("""COMPUTED_VALUE"""),"220-240")</f>
        <v>220-240</v>
      </c>
      <c r="M358" s="97" t="str">
        <f>IFERROR(__xludf.DUMMYFUNCTION("""COMPUTED_VALUE"""),"50/60")</f>
        <v>50/60</v>
      </c>
      <c r="N358" s="97"/>
      <c r="O358" s="97">
        <f>IFERROR(__xludf.DUMMYFUNCTION("""COMPUTED_VALUE"""),12.0)</f>
        <v>12</v>
      </c>
      <c r="P358" s="97"/>
      <c r="Q358" s="97">
        <f>IFERROR(__xludf.DUMMYFUNCTION("""COMPUTED_VALUE"""),0.47)</f>
        <v>0.47</v>
      </c>
      <c r="R358" s="97" t="str">
        <f>IFERROR(__xludf.DUMMYFUNCTION("""COMPUTED_VALUE"""),"-")</f>
        <v>-</v>
      </c>
      <c r="S358" s="97" t="str">
        <f>IFERROR(__xludf.DUMMYFUNCTION("""COMPUTED_VALUE"""),"-")</f>
        <v>-</v>
      </c>
      <c r="T358" s="97">
        <f>IFERROR(__xludf.DUMMYFUNCTION("""COMPUTED_VALUE"""),496.0)</f>
        <v>496</v>
      </c>
      <c r="U358" s="99">
        <f>IFERROR(__xludf.DUMMYFUNCTION("""COMPUTED_VALUE"""),41.333333333333336)</f>
        <v>41.33333333</v>
      </c>
      <c r="V358" s="97">
        <f>IFERROR(__xludf.DUMMYFUNCTION("""COMPUTED_VALUE"""),112.0)</f>
        <v>112</v>
      </c>
      <c r="W358" s="97" t="str">
        <f>IFERROR(__xludf.DUMMYFUNCTION("""COMPUTED_VALUE"""),"&lt; 20")</f>
        <v>&lt; 20</v>
      </c>
      <c r="X358" s="97">
        <f>IFERROR(__xludf.DUMMYFUNCTION("""COMPUTED_VALUE"""),3000.0)</f>
        <v>3000</v>
      </c>
      <c r="Y358" s="97" t="str">
        <f>IFERROR(__xludf.DUMMYFUNCTION("""COMPUTED_VALUE"""),"&gt;80")</f>
        <v>&gt;80</v>
      </c>
      <c r="Z358" s="97"/>
      <c r="AA358" s="97"/>
      <c r="AB358" s="97" t="str">
        <f>IFERROR(__xludf.DUMMYFUNCTION("""COMPUTED_VALUE"""),"-")</f>
        <v>-</v>
      </c>
      <c r="AC358" s="97"/>
      <c r="AD358" s="97" t="str">
        <f>IFERROR(__xludf.DUMMYFUNCTION("""COMPUTED_VALUE"""),"IP65")</f>
        <v>IP65</v>
      </c>
      <c r="AE358" s="97" t="str">
        <f>IFERROR(__xludf.DUMMYFUNCTION("""COMPUTED_VALUE"""),"Clase l")</f>
        <v>Clase l</v>
      </c>
      <c r="AF358" s="97" t="str">
        <f>IFERROR(__xludf.DUMMYFUNCTION("""COMPUTED_VALUE"""),"Aplicar")</f>
        <v>Aplicar</v>
      </c>
      <c r="AG358" s="97" t="str">
        <f>IFERROR(__xludf.DUMMYFUNCTION("""COMPUTED_VALUE"""),"Ø200 x 45 Prof")</f>
        <v>Ø200 x 45 Prof</v>
      </c>
      <c r="AH358" s="97" t="str">
        <f>IFERROR(__xludf.DUMMYFUNCTION("""COMPUTED_VALUE"""),"N/A")</f>
        <v>N/A</v>
      </c>
      <c r="AI358" s="97" t="str">
        <f>IFERROR(__xludf.DUMMYFUNCTION("""COMPUTED_VALUE"""),"N/A")</f>
        <v>N/A</v>
      </c>
      <c r="AJ358" s="97" t="str">
        <f>IFERROR(__xludf.DUMMYFUNCTION("""COMPUTED_VALUE"""),"Policarbonato (PC)")</f>
        <v>Policarbonato (PC)</v>
      </c>
      <c r="AK358" s="97" t="str">
        <f>IFERROR(__xludf.DUMMYFUNCTION("""COMPUTED_VALUE"""),"Aluminio")</f>
        <v>Aluminio</v>
      </c>
      <c r="AL358" s="97" t="str">
        <f>IFERROR(__xludf.DUMMYFUNCTION("""COMPUTED_VALUE"""),"Negro Satinado")</f>
        <v>Negro Satinado</v>
      </c>
      <c r="AM358" s="97" t="str">
        <f>IFERROR(__xludf.DUMMYFUNCTION("""COMPUTED_VALUE"""),"-")</f>
        <v>-</v>
      </c>
      <c r="AN358" s="97" t="str">
        <f>IFERROR(__xludf.DUMMYFUNCTION("""COMPUTED_VALUE"""),"25.000hs (L70)")</f>
        <v>25.000hs (L70)</v>
      </c>
      <c r="AO358" s="97" t="str">
        <f>IFERROR(__xludf.DUMMYFUNCTION("""COMPUTED_VALUE"""),"2 Años")</f>
        <v>2 Años</v>
      </c>
      <c r="AP358" s="97" t="str">
        <f>IFERROR(__xludf.DUMMYFUNCTION("""COMPUTED_VALUE"""),"Disponible")</f>
        <v>Disponible</v>
      </c>
      <c r="AQ358" s="97" t="str">
        <f>IFERROR(__xludf.DUMMYFUNCTION("""COMPUTED_VALUE"""),"Disponible")</f>
        <v>Disponible</v>
      </c>
      <c r="AR358" s="97" t="str">
        <f>IFERROR(__xludf.DUMMYFUNCTION("""COMPUTED_VALUE"""),"Disponible")</f>
        <v>Disponible</v>
      </c>
      <c r="AS358" s="97"/>
      <c r="AT358" s="97"/>
      <c r="AU358" s="97" t="str">
        <f>IFERROR(__xludf.DUMMYFUNCTION("""COMPUTED_VALUE"""),"Falta")</f>
        <v>Falta</v>
      </c>
      <c r="AV358" s="97" t="str">
        <f>IFERROR(__xludf.DUMMYFUNCTION("""COMPUTED_VALUE"""),"Aplique")</f>
        <v>Aplique</v>
      </c>
      <c r="AW358" s="97" t="str">
        <f>IFERROR(__xludf.DUMMYFUNCTION("""COMPUTED_VALUE"""),"De Pared")</f>
        <v>De Pared</v>
      </c>
      <c r="AX358" s="97" t="str">
        <f>IFERROR(__xludf.DUMMYFUNCTION("""COMPUTED_VALUE"""),"Exterior")</f>
        <v>Exterior</v>
      </c>
      <c r="AY358" s="97" t="str">
        <f>IFERROR(__xludf.DUMMYFUNCTION("""COMPUTED_VALUE"""),"-")</f>
        <v>-</v>
      </c>
      <c r="AZ358" s="97"/>
      <c r="BA358" s="97"/>
      <c r="BB358" s="97" t="str">
        <f>IFERROR(__xludf.DUMMYFUNCTION("""COMPUTED_VALUE"""),"-")</f>
        <v>-</v>
      </c>
      <c r="BC358" s="97" t="str">
        <f>IFERROR(__xludf.DUMMYFUNCTION("""COMPUTED_VALUE"""),"-")</f>
        <v>-</v>
      </c>
      <c r="BD358" s="97" t="str">
        <f>IFERROR(__xludf.DUMMYFUNCTION("""COMPUTED_VALUE"""),"KENTRO")</f>
        <v>KENTRO</v>
      </c>
      <c r="BE358" s="97" t="str">
        <f>IFERROR(__xludf.DUMMYFUNCTION("""COMPUTED_VALUE"""),"Finalizada")</f>
        <v>Finalizada</v>
      </c>
      <c r="BF358" s="97"/>
      <c r="BG358" s="97" t="str">
        <f>IFERROR(__xludf.DUMMYFUNCTION("""COMPUTED_VALUE"""),"Activo")</f>
        <v>Activo</v>
      </c>
    </row>
    <row r="359">
      <c r="A359" s="97">
        <f>IFERROR(__xludf.DUMMYFUNCTION("""COMPUTED_VALUE"""),4190.0)</f>
        <v>4190</v>
      </c>
      <c r="B359" s="97" t="str">
        <f>IFERROR(__xludf.DUMMYFUNCTION("""COMPUTED_VALUE"""),"KYKLO")</f>
        <v>KYKLO</v>
      </c>
      <c r="C359" s="97" t="str">
        <f>IFERROR(__xludf.DUMMYFUNCTION("""COMPUTED_VALUE"""),"APLIQUE KYKLO 12W 3000K 608LM CRI&gt;80 IP65 LEUK")</f>
        <v>APLIQUE KYKLO 12W 3000K 608LM CRI&gt;80 IP65 LEUK</v>
      </c>
      <c r="D359" s="97">
        <f>IFERROR(__xludf.DUMMYFUNCTION("""COMPUTED_VALUE"""),7.798328755797E12)</f>
        <v>7798328755797</v>
      </c>
      <c r="E359" s="97"/>
      <c r="F359" s="97" t="str">
        <f>IFERROR(__xludf.DUMMYFUNCTION("""COMPUTED_VALUE"""),"LED integrado")</f>
        <v>LED integrado</v>
      </c>
      <c r="G359" s="97" t="str">
        <f>IFERROR(__xludf.DUMMYFUNCTION("""COMPUTED_VALUE"""),"-")</f>
        <v>-</v>
      </c>
      <c r="H359" s="97" t="str">
        <f>IFERROR(__xludf.DUMMYFUNCTION("""COMPUTED_VALUE"""),"-")</f>
        <v>-</v>
      </c>
      <c r="I359" s="97"/>
      <c r="J359" s="97"/>
      <c r="K359" s="97" t="str">
        <f>IFERROR(__xludf.DUMMYFUNCTION("""COMPUTED_VALUE"""),"ON/OFF")</f>
        <v>ON/OFF</v>
      </c>
      <c r="L359" s="97" t="str">
        <f>IFERROR(__xludf.DUMMYFUNCTION("""COMPUTED_VALUE"""),"220-240")</f>
        <v>220-240</v>
      </c>
      <c r="M359" s="97" t="str">
        <f>IFERROR(__xludf.DUMMYFUNCTION("""COMPUTED_VALUE"""),"50/60")</f>
        <v>50/60</v>
      </c>
      <c r="N359" s="97"/>
      <c r="O359" s="97">
        <f>IFERROR(__xludf.DUMMYFUNCTION("""COMPUTED_VALUE"""),12.0)</f>
        <v>12</v>
      </c>
      <c r="P359" s="97"/>
      <c r="Q359" s="97">
        <f>IFERROR(__xludf.DUMMYFUNCTION("""COMPUTED_VALUE"""),0.47)</f>
        <v>0.47</v>
      </c>
      <c r="R359" s="97" t="str">
        <f>IFERROR(__xludf.DUMMYFUNCTION("""COMPUTED_VALUE"""),"-")</f>
        <v>-</v>
      </c>
      <c r="S359" s="97" t="str">
        <f>IFERROR(__xludf.DUMMYFUNCTION("""COMPUTED_VALUE"""),"-")</f>
        <v>-</v>
      </c>
      <c r="T359" s="97">
        <f>IFERROR(__xludf.DUMMYFUNCTION("""COMPUTED_VALUE"""),608.0)</f>
        <v>608</v>
      </c>
      <c r="U359" s="99">
        <f>IFERROR(__xludf.DUMMYFUNCTION("""COMPUTED_VALUE"""),50.666666666666664)</f>
        <v>50.66666667</v>
      </c>
      <c r="V359" s="97">
        <f>IFERROR(__xludf.DUMMYFUNCTION("""COMPUTED_VALUE"""),127.0)</f>
        <v>127</v>
      </c>
      <c r="W359" s="97" t="str">
        <f>IFERROR(__xludf.DUMMYFUNCTION("""COMPUTED_VALUE"""),"&lt; 25")</f>
        <v>&lt; 25</v>
      </c>
      <c r="X359" s="97">
        <f>IFERROR(__xludf.DUMMYFUNCTION("""COMPUTED_VALUE"""),3000.0)</f>
        <v>3000</v>
      </c>
      <c r="Y359" s="97" t="str">
        <f>IFERROR(__xludf.DUMMYFUNCTION("""COMPUTED_VALUE"""),"&gt;80")</f>
        <v>&gt;80</v>
      </c>
      <c r="Z359" s="97"/>
      <c r="AA359" s="97"/>
      <c r="AB359" s="97" t="str">
        <f>IFERROR(__xludf.DUMMYFUNCTION("""COMPUTED_VALUE"""),"&lt; 4")</f>
        <v>&lt; 4</v>
      </c>
      <c r="AC359" s="97"/>
      <c r="AD359" s="97" t="str">
        <f>IFERROR(__xludf.DUMMYFUNCTION("""COMPUTED_VALUE"""),"IP65")</f>
        <v>IP65</v>
      </c>
      <c r="AE359" s="97" t="str">
        <f>IFERROR(__xludf.DUMMYFUNCTION("""COMPUTED_VALUE"""),"Clase l")</f>
        <v>Clase l</v>
      </c>
      <c r="AF359" s="97" t="str">
        <f>IFERROR(__xludf.DUMMYFUNCTION("""COMPUTED_VALUE"""),"Aplicar")</f>
        <v>Aplicar</v>
      </c>
      <c r="AG359" s="97" t="str">
        <f>IFERROR(__xludf.DUMMYFUNCTION("""COMPUTED_VALUE"""),"Ø165 x 100 Prof")</f>
        <v>Ø165 x 100 Prof</v>
      </c>
      <c r="AH359" s="97" t="str">
        <f>IFERROR(__xludf.DUMMYFUNCTION("""COMPUTED_VALUE"""),"N/A")</f>
        <v>N/A</v>
      </c>
      <c r="AI359" s="97" t="str">
        <f>IFERROR(__xludf.DUMMYFUNCTION("""COMPUTED_VALUE"""),"N/A")</f>
        <v>N/A</v>
      </c>
      <c r="AJ359" s="97" t="str">
        <f>IFERROR(__xludf.DUMMYFUNCTION("""COMPUTED_VALUE"""),"PMMA")</f>
        <v>PMMA</v>
      </c>
      <c r="AK359" s="97" t="str">
        <f>IFERROR(__xludf.DUMMYFUNCTION("""COMPUTED_VALUE"""),"Aluminio")</f>
        <v>Aluminio</v>
      </c>
      <c r="AL359" s="97" t="str">
        <f>IFERROR(__xludf.DUMMYFUNCTION("""COMPUTED_VALUE"""),"Negro Satinado")</f>
        <v>Negro Satinado</v>
      </c>
      <c r="AM359" s="97" t="str">
        <f>IFERROR(__xludf.DUMMYFUNCTION("""COMPUTED_VALUE"""),"-")</f>
        <v>-</v>
      </c>
      <c r="AN359" s="97" t="str">
        <f>IFERROR(__xludf.DUMMYFUNCTION("""COMPUTED_VALUE"""),"25.000hs (L70)")</f>
        <v>25.000hs (L70)</v>
      </c>
      <c r="AO359" s="97" t="str">
        <f>IFERROR(__xludf.DUMMYFUNCTION("""COMPUTED_VALUE"""),"2 Años")</f>
        <v>2 Años</v>
      </c>
      <c r="AP359" s="97" t="str">
        <f>IFERROR(__xludf.DUMMYFUNCTION("""COMPUTED_VALUE"""),"Disponible")</f>
        <v>Disponible</v>
      </c>
      <c r="AQ359" s="97" t="str">
        <f>IFERROR(__xludf.DUMMYFUNCTION("""COMPUTED_VALUE"""),"Disponible")</f>
        <v>Disponible</v>
      </c>
      <c r="AR359" s="97" t="str">
        <f>IFERROR(__xludf.DUMMYFUNCTION("""COMPUTED_VALUE"""),"Disponible")</f>
        <v>Disponible</v>
      </c>
      <c r="AS359" s="97"/>
      <c r="AT359" s="97"/>
      <c r="AU359" s="97" t="str">
        <f>IFERROR(__xludf.DUMMYFUNCTION("""COMPUTED_VALUE"""),"Falta")</f>
        <v>Falta</v>
      </c>
      <c r="AV359" s="97" t="str">
        <f>IFERROR(__xludf.DUMMYFUNCTION("""COMPUTED_VALUE"""),"Aplique")</f>
        <v>Aplique</v>
      </c>
      <c r="AW359" s="97" t="str">
        <f>IFERROR(__xludf.DUMMYFUNCTION("""COMPUTED_VALUE"""),"De Pared")</f>
        <v>De Pared</v>
      </c>
      <c r="AX359" s="97" t="str">
        <f>IFERROR(__xludf.DUMMYFUNCTION("""COMPUTED_VALUE"""),"Exterior")</f>
        <v>Exterior</v>
      </c>
      <c r="AY359" s="97" t="str">
        <f>IFERROR(__xludf.DUMMYFUNCTION("""COMPUTED_VALUE"""),"-")</f>
        <v>-</v>
      </c>
      <c r="AZ359" s="97"/>
      <c r="BA359" s="97">
        <f>IFERROR(__xludf.DUMMYFUNCTION("""COMPUTED_VALUE"""),20.0)</f>
        <v>20</v>
      </c>
      <c r="BB359" s="97" t="str">
        <f>IFERROR(__xludf.DUMMYFUNCTION("""COMPUTED_VALUE"""),"-")</f>
        <v>-</v>
      </c>
      <c r="BC359" s="97" t="str">
        <f>IFERROR(__xludf.DUMMYFUNCTION("""COMPUTED_VALUE"""),"-")</f>
        <v>-</v>
      </c>
      <c r="BD359" s="97" t="str">
        <f>IFERROR(__xludf.DUMMYFUNCTION("""COMPUTED_VALUE"""),"KYKLO")</f>
        <v>KYKLO</v>
      </c>
      <c r="BE359" s="97" t="str">
        <f>IFERROR(__xludf.DUMMYFUNCTION("""COMPUTED_VALUE"""),"Actualizar")</f>
        <v>Actualizar</v>
      </c>
      <c r="BF359" s="97"/>
      <c r="BG359" s="97" t="str">
        <f>IFERROR(__xludf.DUMMYFUNCTION("""COMPUTED_VALUE"""),"Activo")</f>
        <v>Activo</v>
      </c>
    </row>
    <row r="360">
      <c r="A360" s="97">
        <f>IFERROR(__xludf.DUMMYFUNCTION("""COMPUTED_VALUE"""),4191.0)</f>
        <v>4191</v>
      </c>
      <c r="B360" s="97" t="str">
        <f>IFERROR(__xludf.DUMMYFUNCTION("""COMPUTED_VALUE"""),"TOICHO")</f>
        <v>TOICHO</v>
      </c>
      <c r="C360" s="97" t="str">
        <f>IFERROR(__xludf.DUMMYFUNCTION("""COMPUTED_VALUE"""),"APLIQUE TOICHO 9W 3000K 1210LM CRI&gt;85 IP65 LEUK")</f>
        <v>APLIQUE TOICHO 9W 3000K 1210LM CRI&gt;85 IP65 LEUK</v>
      </c>
      <c r="D360" s="97">
        <f>IFERROR(__xludf.DUMMYFUNCTION("""COMPUTED_VALUE"""),7.79832875578E12)</f>
        <v>7798328755780</v>
      </c>
      <c r="E360" s="97" t="str">
        <f>IFERROR(__xludf.DUMMYFUNCTION("""COMPUTED_VALUE"""),"-")</f>
        <v>-</v>
      </c>
      <c r="F360" s="97" t="str">
        <f>IFERROR(__xludf.DUMMYFUNCTION("""COMPUTED_VALUE"""),"LED integrado")</f>
        <v>LED integrado</v>
      </c>
      <c r="G360" s="97" t="str">
        <f>IFERROR(__xludf.DUMMYFUNCTION("""COMPUTED_VALUE"""),"-")</f>
        <v>-</v>
      </c>
      <c r="H360" s="97" t="str">
        <f>IFERROR(__xludf.DUMMYFUNCTION("""COMPUTED_VALUE"""),"-")</f>
        <v>-</v>
      </c>
      <c r="I360" s="97"/>
      <c r="J360" s="97"/>
      <c r="K360" s="97" t="str">
        <f>IFERROR(__xludf.DUMMYFUNCTION("""COMPUTED_VALUE"""),"ON/OFF")</f>
        <v>ON/OFF</v>
      </c>
      <c r="L360" s="97" t="str">
        <f>IFERROR(__xludf.DUMMYFUNCTION("""COMPUTED_VALUE"""),"220-240")</f>
        <v>220-240</v>
      </c>
      <c r="M360" s="97" t="str">
        <f>IFERROR(__xludf.DUMMYFUNCTION("""COMPUTED_VALUE"""),"50/60")</f>
        <v>50/60</v>
      </c>
      <c r="N360" s="97"/>
      <c r="O360" s="97">
        <f>IFERROR(__xludf.DUMMYFUNCTION("""COMPUTED_VALUE"""),9.0)</f>
        <v>9</v>
      </c>
      <c r="P360" s="97"/>
      <c r="Q360" s="97">
        <f>IFERROR(__xludf.DUMMYFUNCTION("""COMPUTED_VALUE"""),0.5)</f>
        <v>0.5</v>
      </c>
      <c r="R360" s="97" t="str">
        <f>IFERROR(__xludf.DUMMYFUNCTION("""COMPUTED_VALUE"""),"-")</f>
        <v>-</v>
      </c>
      <c r="S360" s="97" t="str">
        <f>IFERROR(__xludf.DUMMYFUNCTION("""COMPUTED_VALUE"""),"-")</f>
        <v>-</v>
      </c>
      <c r="T360" s="97">
        <f>IFERROR(__xludf.DUMMYFUNCTION("""COMPUTED_VALUE"""),1210.0)</f>
        <v>1210</v>
      </c>
      <c r="U360" s="99">
        <f>IFERROR(__xludf.DUMMYFUNCTION("""COMPUTED_VALUE"""),134.44444444444446)</f>
        <v>134.4444444</v>
      </c>
      <c r="V360" s="97">
        <f>IFERROR(__xludf.DUMMYFUNCTION("""COMPUTED_VALUE"""),118.0)</f>
        <v>118</v>
      </c>
      <c r="W360" s="97" t="str">
        <f>IFERROR(__xludf.DUMMYFUNCTION("""COMPUTED_VALUE"""),"&lt; 20")</f>
        <v>&lt; 20</v>
      </c>
      <c r="X360" s="97">
        <f>IFERROR(__xludf.DUMMYFUNCTION("""COMPUTED_VALUE"""),3000.0)</f>
        <v>3000</v>
      </c>
      <c r="Y360" s="97" t="str">
        <f>IFERROR(__xludf.DUMMYFUNCTION("""COMPUTED_VALUE"""),"&gt;85")</f>
        <v>&gt;85</v>
      </c>
      <c r="Z360" s="97" t="str">
        <f>IFERROR(__xludf.DUMMYFUNCTION("""COMPUTED_VALUE"""),"-")</f>
        <v>-</v>
      </c>
      <c r="AA360" s="97" t="str">
        <f>IFERROR(__xludf.DUMMYFUNCTION("""COMPUTED_VALUE"""),"-")</f>
        <v>-</v>
      </c>
      <c r="AB360" s="97" t="str">
        <f>IFERROR(__xludf.DUMMYFUNCTION("""COMPUTED_VALUE"""),"-")</f>
        <v>-</v>
      </c>
      <c r="AC360" s="97"/>
      <c r="AD360" s="97" t="str">
        <f>IFERROR(__xludf.DUMMYFUNCTION("""COMPUTED_VALUE"""),"IP65")</f>
        <v>IP65</v>
      </c>
      <c r="AE360" s="97" t="str">
        <f>IFERROR(__xludf.DUMMYFUNCTION("""COMPUTED_VALUE"""),"Clase l")</f>
        <v>Clase l</v>
      </c>
      <c r="AF360" s="97" t="str">
        <f>IFERROR(__xludf.DUMMYFUNCTION("""COMPUTED_VALUE"""),"Aplicar")</f>
        <v>Aplicar</v>
      </c>
      <c r="AG360" s="97" t="str">
        <f>IFERROR(__xludf.DUMMYFUNCTION("""COMPUTED_VALUE"""),"160 x 45 x 200")</f>
        <v>160 x 45 x 200</v>
      </c>
      <c r="AH360" s="97" t="str">
        <f>IFERROR(__xludf.DUMMYFUNCTION("""COMPUTED_VALUE"""),"N/A")</f>
        <v>N/A</v>
      </c>
      <c r="AI360" s="97" t="str">
        <f>IFERROR(__xludf.DUMMYFUNCTION("""COMPUTED_VALUE"""),"N/A")</f>
        <v>N/A</v>
      </c>
      <c r="AJ360" s="97" t="str">
        <f>IFERROR(__xludf.DUMMYFUNCTION("""COMPUTED_VALUE"""),"Policarbonato (PC)")</f>
        <v>Policarbonato (PC)</v>
      </c>
      <c r="AK360" s="97" t="str">
        <f>IFERROR(__xludf.DUMMYFUNCTION("""COMPUTED_VALUE"""),"Aluminio")</f>
        <v>Aluminio</v>
      </c>
      <c r="AL360" s="97" t="str">
        <f>IFERROR(__xludf.DUMMYFUNCTION("""COMPUTED_VALUE"""),"Negro Satinado")</f>
        <v>Negro Satinado</v>
      </c>
      <c r="AM360" s="97" t="str">
        <f>IFERROR(__xludf.DUMMYFUNCTION("""COMPUTED_VALUE"""),"-")</f>
        <v>-</v>
      </c>
      <c r="AN360" s="97" t="str">
        <f>IFERROR(__xludf.DUMMYFUNCTION("""COMPUTED_VALUE"""),"25.000hs (L70)")</f>
        <v>25.000hs (L70)</v>
      </c>
      <c r="AO360" s="97" t="str">
        <f>IFERROR(__xludf.DUMMYFUNCTION("""COMPUTED_VALUE"""),"2 Años")</f>
        <v>2 Años</v>
      </c>
      <c r="AP360" s="97" t="str">
        <f>IFERROR(__xludf.DUMMYFUNCTION("""COMPUTED_VALUE"""),"Disponible")</f>
        <v>Disponible</v>
      </c>
      <c r="AQ360" s="97" t="str">
        <f>IFERROR(__xludf.DUMMYFUNCTION("""COMPUTED_VALUE"""),"Disponible")</f>
        <v>Disponible</v>
      </c>
      <c r="AR360" s="97" t="str">
        <f>IFERROR(__xludf.DUMMYFUNCTION("""COMPUTED_VALUE"""),"Disponible")</f>
        <v>Disponible</v>
      </c>
      <c r="AS360" s="97"/>
      <c r="AT360" s="97"/>
      <c r="AU360" s="97" t="str">
        <f>IFERROR(__xludf.DUMMYFUNCTION("""COMPUTED_VALUE"""),"Falta")</f>
        <v>Falta</v>
      </c>
      <c r="AV360" s="97" t="str">
        <f>IFERROR(__xludf.DUMMYFUNCTION("""COMPUTED_VALUE"""),"Aplique")</f>
        <v>Aplique</v>
      </c>
      <c r="AW360" s="97" t="str">
        <f>IFERROR(__xludf.DUMMYFUNCTION("""COMPUTED_VALUE"""),"De Pared")</f>
        <v>De Pared</v>
      </c>
      <c r="AX360" s="97" t="str">
        <f>IFERROR(__xludf.DUMMYFUNCTION("""COMPUTED_VALUE"""),"Exterior")</f>
        <v>Exterior</v>
      </c>
      <c r="AY360" s="97"/>
      <c r="AZ360" s="97"/>
      <c r="BA360" s="97">
        <f>IFERROR(__xludf.DUMMYFUNCTION("""COMPUTED_VALUE"""),32.0)</f>
        <v>32</v>
      </c>
      <c r="BB360" s="97" t="str">
        <f>IFERROR(__xludf.DUMMYFUNCTION("""COMPUTED_VALUE"""),"-")</f>
        <v>-</v>
      </c>
      <c r="BC360" s="97" t="str">
        <f>IFERROR(__xludf.DUMMYFUNCTION("""COMPUTED_VALUE"""),"-")</f>
        <v>-</v>
      </c>
      <c r="BD360" s="97" t="str">
        <f>IFERROR(__xludf.DUMMYFUNCTION("""COMPUTED_VALUE"""),"TOICHO")</f>
        <v>TOICHO</v>
      </c>
      <c r="BE360" s="97" t="str">
        <f>IFERROR(__xludf.DUMMYFUNCTION("""COMPUTED_VALUE"""),"Finalizada")</f>
        <v>Finalizada</v>
      </c>
      <c r="BF360" s="97">
        <f>IFERROR(__xludf.DUMMYFUNCTION("""COMPUTED_VALUE"""),7176.0)</f>
        <v>7176</v>
      </c>
      <c r="BG360" s="97" t="str">
        <f>IFERROR(__xludf.DUMMYFUNCTION("""COMPUTED_VALUE"""),"Discontinuo")</f>
        <v>Discontinuo</v>
      </c>
    </row>
    <row r="361">
      <c r="A361" s="97">
        <f>IFERROR(__xludf.DUMMYFUNCTION("""COMPUTED_VALUE"""),4192.0)</f>
        <v>4192</v>
      </c>
      <c r="B361" s="97" t="str">
        <f>IFERROR(__xludf.DUMMYFUNCTION("""COMPUTED_VALUE"""),"SYMME I")</f>
        <v>SYMME I</v>
      </c>
      <c r="C361" s="97" t="str">
        <f>IFERROR(__xludf.DUMMYFUNCTION("""COMPUTED_VALUE"""),"LUMINARIA EXTERIOR ESTACA SYMME I LEUK")</f>
        <v>LUMINARIA EXTERIOR ESTACA SYMME I LEUK</v>
      </c>
      <c r="D361" s="97">
        <f>IFERROR(__xludf.DUMMYFUNCTION("""COMPUTED_VALUE"""),7.798328755766E12)</f>
        <v>7798328755766</v>
      </c>
      <c r="E361" s="97"/>
      <c r="F361" s="97" t="str">
        <f>IFERROR(__xludf.DUMMYFUNCTION("""COMPUTED_VALUE"""),"1 x GU10")</f>
        <v>1 x GU10</v>
      </c>
      <c r="G361" s="97" t="str">
        <f>IFERROR(__xludf.DUMMYFUNCTION("""COMPUTED_VALUE"""),"N/A")</f>
        <v>N/A</v>
      </c>
      <c r="H361" s="97" t="str">
        <f>IFERROR(__xludf.DUMMYFUNCTION("""COMPUTED_VALUE"""),"N/A")</f>
        <v>N/A</v>
      </c>
      <c r="I361" s="97" t="str">
        <f>IFERROR(__xludf.DUMMYFUNCTION("""COMPUTED_VALUE"""),"N/A")</f>
        <v>N/A</v>
      </c>
      <c r="J361" s="97"/>
      <c r="K361" s="97" t="str">
        <f>IFERROR(__xludf.DUMMYFUNCTION("""COMPUTED_VALUE"""),"N/A")</f>
        <v>N/A</v>
      </c>
      <c r="L361" s="97" t="str">
        <f>IFERROR(__xludf.DUMMYFUNCTION("""COMPUTED_VALUE"""),"220-240")</f>
        <v>220-240</v>
      </c>
      <c r="M361" s="97" t="str">
        <f>IFERROR(__xludf.DUMMYFUNCTION("""COMPUTED_VALUE"""),"50/60")</f>
        <v>50/60</v>
      </c>
      <c r="N361" s="97"/>
      <c r="O361" s="97" t="str">
        <f>IFERROR(__xludf.DUMMYFUNCTION("""COMPUTED_VALUE"""),"1 x 35W Max")</f>
        <v>1 x 35W Max</v>
      </c>
      <c r="P361" s="97"/>
      <c r="Q361" s="97" t="str">
        <f>IFERROR(__xludf.DUMMYFUNCTION("""COMPUTED_VALUE"""),"-")</f>
        <v>-</v>
      </c>
      <c r="R361" s="97" t="str">
        <f>IFERROR(__xludf.DUMMYFUNCTION("""COMPUTED_VALUE"""),"-")</f>
        <v>-</v>
      </c>
      <c r="S361" s="97" t="str">
        <f>IFERROR(__xludf.DUMMYFUNCTION("""COMPUTED_VALUE"""),"-")</f>
        <v>-</v>
      </c>
      <c r="T361" s="97" t="str">
        <f>IFERROR(__xludf.DUMMYFUNCTION("""COMPUTED_VALUE"""),"-")</f>
        <v>-</v>
      </c>
      <c r="U361" s="97" t="str">
        <f>IFERROR(__xludf.DUMMYFUNCTION("""COMPUTED_VALUE"""),"-")</f>
        <v>-</v>
      </c>
      <c r="V361" s="97" t="str">
        <f>IFERROR(__xludf.DUMMYFUNCTION("""COMPUTED_VALUE"""),"N/A")</f>
        <v>N/A</v>
      </c>
      <c r="W361" s="97" t="str">
        <f>IFERROR(__xludf.DUMMYFUNCTION("""COMPUTED_VALUE"""),"N/A")</f>
        <v>N/A</v>
      </c>
      <c r="X361" s="97" t="str">
        <f>IFERROR(__xludf.DUMMYFUNCTION("""COMPUTED_VALUE"""),"-")</f>
        <v>-</v>
      </c>
      <c r="Y361" s="97" t="str">
        <f>IFERROR(__xludf.DUMMYFUNCTION("""COMPUTED_VALUE"""),"N/A")</f>
        <v>N/A</v>
      </c>
      <c r="Z361" s="97" t="str">
        <f>IFERROR(__xludf.DUMMYFUNCTION("""COMPUTED_VALUE"""),"N/A")</f>
        <v>N/A</v>
      </c>
      <c r="AA361" s="97" t="str">
        <f>IFERROR(__xludf.DUMMYFUNCTION("""COMPUTED_VALUE"""),"N/A")</f>
        <v>N/A</v>
      </c>
      <c r="AB361" s="97" t="str">
        <f>IFERROR(__xludf.DUMMYFUNCTION("""COMPUTED_VALUE"""),"N/A")</f>
        <v>N/A</v>
      </c>
      <c r="AC361" s="97" t="str">
        <f>IFERROR(__xludf.DUMMYFUNCTION("""COMPUTED_VALUE"""),"N/A")</f>
        <v>N/A</v>
      </c>
      <c r="AD361" s="97" t="str">
        <f>IFERROR(__xludf.DUMMYFUNCTION("""COMPUTED_VALUE"""),"IP55")</f>
        <v>IP55</v>
      </c>
      <c r="AE361" s="97" t="str">
        <f>IFERROR(__xludf.DUMMYFUNCTION("""COMPUTED_VALUE"""),"Clase l")</f>
        <v>Clase l</v>
      </c>
      <c r="AF361" s="97" t="str">
        <f>IFERROR(__xludf.DUMMYFUNCTION("""COMPUTED_VALUE"""),"Aplicar, Estaca")</f>
        <v>Aplicar, Estaca</v>
      </c>
      <c r="AG361" s="97" t="str">
        <f>IFERROR(__xludf.DUMMYFUNCTION("""COMPUTED_VALUE"""),"Ø112 x 187")</f>
        <v>Ø112 x 187</v>
      </c>
      <c r="AH361" s="97" t="str">
        <f>IFERROR(__xludf.DUMMYFUNCTION("""COMPUTED_VALUE"""),"N/A")</f>
        <v>N/A</v>
      </c>
      <c r="AI361" s="97" t="str">
        <f>IFERROR(__xludf.DUMMYFUNCTION("""COMPUTED_VALUE"""),"N/A")</f>
        <v>N/A</v>
      </c>
      <c r="AJ361" s="97" t="str">
        <f>IFERROR(__xludf.DUMMYFUNCTION("""COMPUTED_VALUE"""),"Vidrio")</f>
        <v>Vidrio</v>
      </c>
      <c r="AK361" s="97" t="str">
        <f>IFERROR(__xludf.DUMMYFUNCTION("""COMPUTED_VALUE"""),"Aluminio")</f>
        <v>Aluminio</v>
      </c>
      <c r="AL361" s="97" t="str">
        <f>IFERROR(__xludf.DUMMYFUNCTION("""COMPUTED_VALUE"""),"Negro Satinado")</f>
        <v>Negro Satinado</v>
      </c>
      <c r="AM361" s="97" t="str">
        <f>IFERROR(__xludf.DUMMYFUNCTION("""COMPUTED_VALUE"""),"-")</f>
        <v>-</v>
      </c>
      <c r="AN361" s="97" t="str">
        <f>IFERROR(__xludf.DUMMYFUNCTION("""COMPUTED_VALUE"""),"N/A")</f>
        <v>N/A</v>
      </c>
      <c r="AO361" s="97" t="str">
        <f>IFERROR(__xludf.DUMMYFUNCTION("""COMPUTED_VALUE"""),"1 Año")</f>
        <v>1 Año</v>
      </c>
      <c r="AP361" s="97" t="str">
        <f>IFERROR(__xludf.DUMMYFUNCTION("""COMPUTED_VALUE"""),"No Aplica")</f>
        <v>No Aplica</v>
      </c>
      <c r="AQ361" s="97" t="str">
        <f>IFERROR(__xludf.DUMMYFUNCTION("""COMPUTED_VALUE"""),"No Aplica")</f>
        <v>No Aplica</v>
      </c>
      <c r="AR361" s="97" t="str">
        <f>IFERROR(__xludf.DUMMYFUNCTION("""COMPUTED_VALUE"""),"No Aplica")</f>
        <v>No Aplica</v>
      </c>
      <c r="AS361" s="97" t="str">
        <f>IFERROR(__xludf.DUMMYFUNCTION("""COMPUTED_VALUE"""),"Falta")</f>
        <v>Falta</v>
      </c>
      <c r="AT361" s="97" t="str">
        <f>IFERROR(__xludf.DUMMYFUNCTION("""COMPUTED_VALUE"""),"Falta")</f>
        <v>Falta</v>
      </c>
      <c r="AU361" s="97" t="str">
        <f>IFERROR(__xludf.DUMMYFUNCTION("""COMPUTED_VALUE"""),"Falta")</f>
        <v>Falta</v>
      </c>
      <c r="AV361" s="97" t="str">
        <f>IFERROR(__xludf.DUMMYFUNCTION("""COMPUTED_VALUE"""),"Proyector")</f>
        <v>Proyector</v>
      </c>
      <c r="AW361" s="97" t="str">
        <f>IFERROR(__xludf.DUMMYFUNCTION("""COMPUTED_VALUE"""),"De Piso")</f>
        <v>De Piso</v>
      </c>
      <c r="AX361" s="97" t="str">
        <f>IFERROR(__xludf.DUMMYFUNCTION("""COMPUTED_VALUE"""),"Exterior")</f>
        <v>Exterior</v>
      </c>
      <c r="AY361" s="97"/>
      <c r="AZ361" s="97"/>
      <c r="BA361" s="97"/>
      <c r="BB361" s="97"/>
      <c r="BC361" s="97"/>
      <c r="BD361" s="97" t="str">
        <f>IFERROR(__xludf.DUMMYFUNCTION("""COMPUTED_VALUE"""),"SYMME")</f>
        <v>SYMME</v>
      </c>
      <c r="BE361" s="97" t="str">
        <f>IFERROR(__xludf.DUMMYFUNCTION("""COMPUTED_VALUE"""),"Finalizada")</f>
        <v>Finalizada</v>
      </c>
      <c r="BF361" s="97"/>
      <c r="BG361" s="97" t="str">
        <f>IFERROR(__xludf.DUMMYFUNCTION("""COMPUTED_VALUE"""),"Discontinuo")</f>
        <v>Discontinuo</v>
      </c>
    </row>
    <row r="362">
      <c r="A362" s="97">
        <f>IFERROR(__xludf.DUMMYFUNCTION("""COMPUTED_VALUE"""),4193.0)</f>
        <v>4193</v>
      </c>
      <c r="B362" s="97" t="str">
        <f>IFERROR(__xludf.DUMMYFUNCTION("""COMPUTED_VALUE"""),"SYMME II")</f>
        <v>SYMME II</v>
      </c>
      <c r="C362" s="97" t="str">
        <f>IFERROR(__xludf.DUMMYFUNCTION("""COMPUTED_VALUE"""),"LUMINARIA EXTERIOR ESTACA SYMME II LEUK")</f>
        <v>LUMINARIA EXTERIOR ESTACA SYMME II LEUK</v>
      </c>
      <c r="D362" s="97">
        <f>IFERROR(__xludf.DUMMYFUNCTION("""COMPUTED_VALUE"""),7.798328755773E12)</f>
        <v>7798328755773</v>
      </c>
      <c r="E362" s="97"/>
      <c r="F362" s="97" t="str">
        <f>IFERROR(__xludf.DUMMYFUNCTION("""COMPUTED_VALUE"""),"1 x GU10")</f>
        <v>1 x GU10</v>
      </c>
      <c r="G362" s="97" t="str">
        <f>IFERROR(__xludf.DUMMYFUNCTION("""COMPUTED_VALUE"""),"N/A")</f>
        <v>N/A</v>
      </c>
      <c r="H362" s="97" t="str">
        <f>IFERROR(__xludf.DUMMYFUNCTION("""COMPUTED_VALUE"""),"N/A")</f>
        <v>N/A</v>
      </c>
      <c r="I362" s="97" t="str">
        <f>IFERROR(__xludf.DUMMYFUNCTION("""COMPUTED_VALUE"""),"N/A")</f>
        <v>N/A</v>
      </c>
      <c r="J362" s="97"/>
      <c r="K362" s="97" t="str">
        <f>IFERROR(__xludf.DUMMYFUNCTION("""COMPUTED_VALUE"""),"N/A")</f>
        <v>N/A</v>
      </c>
      <c r="L362" s="97" t="str">
        <f>IFERROR(__xludf.DUMMYFUNCTION("""COMPUTED_VALUE"""),"220-240")</f>
        <v>220-240</v>
      </c>
      <c r="M362" s="97" t="str">
        <f>IFERROR(__xludf.DUMMYFUNCTION("""COMPUTED_VALUE"""),"50/60")</f>
        <v>50/60</v>
      </c>
      <c r="N362" s="97"/>
      <c r="O362" s="97" t="str">
        <f>IFERROR(__xludf.DUMMYFUNCTION("""COMPUTED_VALUE"""),"1 x 35W Max")</f>
        <v>1 x 35W Max</v>
      </c>
      <c r="P362" s="97"/>
      <c r="Q362" s="97" t="str">
        <f>IFERROR(__xludf.DUMMYFUNCTION("""COMPUTED_VALUE"""),"-")</f>
        <v>-</v>
      </c>
      <c r="R362" s="97" t="str">
        <f>IFERROR(__xludf.DUMMYFUNCTION("""COMPUTED_VALUE"""),"-")</f>
        <v>-</v>
      </c>
      <c r="S362" s="97" t="str">
        <f>IFERROR(__xludf.DUMMYFUNCTION("""COMPUTED_VALUE"""),"-")</f>
        <v>-</v>
      </c>
      <c r="T362" s="97" t="str">
        <f>IFERROR(__xludf.DUMMYFUNCTION("""COMPUTED_VALUE"""),"-")</f>
        <v>-</v>
      </c>
      <c r="U362" s="97" t="str">
        <f>IFERROR(__xludf.DUMMYFUNCTION("""COMPUTED_VALUE"""),"-")</f>
        <v>-</v>
      </c>
      <c r="V362" s="97" t="str">
        <f>IFERROR(__xludf.DUMMYFUNCTION("""COMPUTED_VALUE"""),"N/A")</f>
        <v>N/A</v>
      </c>
      <c r="W362" s="97" t="str">
        <f>IFERROR(__xludf.DUMMYFUNCTION("""COMPUTED_VALUE"""),"N/A")</f>
        <v>N/A</v>
      </c>
      <c r="X362" s="97" t="str">
        <f>IFERROR(__xludf.DUMMYFUNCTION("""COMPUTED_VALUE"""),"-")</f>
        <v>-</v>
      </c>
      <c r="Y362" s="97" t="str">
        <f>IFERROR(__xludf.DUMMYFUNCTION("""COMPUTED_VALUE"""),"N/A")</f>
        <v>N/A</v>
      </c>
      <c r="Z362" s="97" t="str">
        <f>IFERROR(__xludf.DUMMYFUNCTION("""COMPUTED_VALUE"""),"N/A")</f>
        <v>N/A</v>
      </c>
      <c r="AA362" s="97" t="str">
        <f>IFERROR(__xludf.DUMMYFUNCTION("""COMPUTED_VALUE"""),"N/A")</f>
        <v>N/A</v>
      </c>
      <c r="AB362" s="97" t="str">
        <f>IFERROR(__xludf.DUMMYFUNCTION("""COMPUTED_VALUE"""),"N/A")</f>
        <v>N/A</v>
      </c>
      <c r="AC362" s="97" t="str">
        <f>IFERROR(__xludf.DUMMYFUNCTION("""COMPUTED_VALUE"""),"N/A")</f>
        <v>N/A</v>
      </c>
      <c r="AD362" s="97" t="str">
        <f>IFERROR(__xludf.DUMMYFUNCTION("""COMPUTED_VALUE"""),"IP55")</f>
        <v>IP55</v>
      </c>
      <c r="AE362" s="97" t="str">
        <f>IFERROR(__xludf.DUMMYFUNCTION("""COMPUTED_VALUE"""),"Clase l")</f>
        <v>Clase l</v>
      </c>
      <c r="AF362" s="97" t="str">
        <f>IFERROR(__xludf.DUMMYFUNCTION("""COMPUTED_VALUE"""),"Estaca")</f>
        <v>Estaca</v>
      </c>
      <c r="AG362" s="97" t="str">
        <f>IFERROR(__xludf.DUMMYFUNCTION("""COMPUTED_VALUE"""),"Ø112 x 345")</f>
        <v>Ø112 x 345</v>
      </c>
      <c r="AH362" s="97" t="str">
        <f>IFERROR(__xludf.DUMMYFUNCTION("""COMPUTED_VALUE"""),"N/A")</f>
        <v>N/A</v>
      </c>
      <c r="AI362" s="97" t="str">
        <f>IFERROR(__xludf.DUMMYFUNCTION("""COMPUTED_VALUE"""),"N/A")</f>
        <v>N/A</v>
      </c>
      <c r="AJ362" s="97" t="str">
        <f>IFERROR(__xludf.DUMMYFUNCTION("""COMPUTED_VALUE"""),"Vidrio")</f>
        <v>Vidrio</v>
      </c>
      <c r="AK362" s="97" t="str">
        <f>IFERROR(__xludf.DUMMYFUNCTION("""COMPUTED_VALUE"""),"Aluminio")</f>
        <v>Aluminio</v>
      </c>
      <c r="AL362" s="97" t="str">
        <f>IFERROR(__xludf.DUMMYFUNCTION("""COMPUTED_VALUE"""),"Negro Satinado")</f>
        <v>Negro Satinado</v>
      </c>
      <c r="AM362" s="97" t="str">
        <f>IFERROR(__xludf.DUMMYFUNCTION("""COMPUTED_VALUE"""),"-")</f>
        <v>-</v>
      </c>
      <c r="AN362" s="97" t="str">
        <f>IFERROR(__xludf.DUMMYFUNCTION("""COMPUTED_VALUE"""),"N/A")</f>
        <v>N/A</v>
      </c>
      <c r="AO362" s="97" t="str">
        <f>IFERROR(__xludf.DUMMYFUNCTION("""COMPUTED_VALUE"""),"1 Año")</f>
        <v>1 Año</v>
      </c>
      <c r="AP362" s="97" t="str">
        <f>IFERROR(__xludf.DUMMYFUNCTION("""COMPUTED_VALUE"""),"No Aplica")</f>
        <v>No Aplica</v>
      </c>
      <c r="AQ362" s="97" t="str">
        <f>IFERROR(__xludf.DUMMYFUNCTION("""COMPUTED_VALUE"""),"No Aplica")</f>
        <v>No Aplica</v>
      </c>
      <c r="AR362" s="97" t="str">
        <f>IFERROR(__xludf.DUMMYFUNCTION("""COMPUTED_VALUE"""),"No Aplica")</f>
        <v>No Aplica</v>
      </c>
      <c r="AS362" s="97" t="str">
        <f>IFERROR(__xludf.DUMMYFUNCTION("""COMPUTED_VALUE"""),"Falta")</f>
        <v>Falta</v>
      </c>
      <c r="AT362" s="97" t="str">
        <f>IFERROR(__xludf.DUMMYFUNCTION("""COMPUTED_VALUE"""),"Falta")</f>
        <v>Falta</v>
      </c>
      <c r="AU362" s="97" t="str">
        <f>IFERROR(__xludf.DUMMYFUNCTION("""COMPUTED_VALUE"""),"Falta")</f>
        <v>Falta</v>
      </c>
      <c r="AV362" s="97" t="str">
        <f>IFERROR(__xludf.DUMMYFUNCTION("""COMPUTED_VALUE"""),"Estaca")</f>
        <v>Estaca</v>
      </c>
      <c r="AW362" s="97" t="str">
        <f>IFERROR(__xludf.DUMMYFUNCTION("""COMPUTED_VALUE"""),"De Piso")</f>
        <v>De Piso</v>
      </c>
      <c r="AX362" s="97" t="str">
        <f>IFERROR(__xludf.DUMMYFUNCTION("""COMPUTED_VALUE"""),"Exterior")</f>
        <v>Exterior</v>
      </c>
      <c r="AY362" s="97"/>
      <c r="AZ362" s="97"/>
      <c r="BA362" s="97"/>
      <c r="BB362" s="97"/>
      <c r="BC362" s="97"/>
      <c r="BD362" s="97" t="str">
        <f>IFERROR(__xludf.DUMMYFUNCTION("""COMPUTED_VALUE"""),"SYMME")</f>
        <v>SYMME</v>
      </c>
      <c r="BE362" s="97" t="str">
        <f>IFERROR(__xludf.DUMMYFUNCTION("""COMPUTED_VALUE"""),"Finalizada")</f>
        <v>Finalizada</v>
      </c>
      <c r="BF362" s="97"/>
      <c r="BG362" s="97" t="str">
        <f>IFERROR(__xludf.DUMMYFUNCTION("""COMPUTED_VALUE"""),"Discontinuo")</f>
        <v>Discontinuo</v>
      </c>
    </row>
    <row r="363">
      <c r="A363" s="97">
        <f>IFERROR(__xludf.DUMMYFUNCTION("""COMPUTED_VALUE"""),4194.0)</f>
        <v>4194</v>
      </c>
      <c r="B363" s="97" t="str">
        <f>IFERROR(__xludf.DUMMYFUNCTION("""COMPUTED_VALUE"""),"FANARI")</f>
        <v>FANARI</v>
      </c>
      <c r="C363" s="97" t="str">
        <f>IFERROR(__xludf.DUMMYFUNCTION("""COMPUTED_VALUE"""),"LUMINARIA EXTERIOR FAROL FANARI LEUK")</f>
        <v>LUMINARIA EXTERIOR FAROL FANARI LEUK</v>
      </c>
      <c r="D363" s="97">
        <f>IFERROR(__xludf.DUMMYFUNCTION("""COMPUTED_VALUE"""),7.798328755735E12)</f>
        <v>7798328755735</v>
      </c>
      <c r="E363" s="97"/>
      <c r="F363" s="97" t="str">
        <f>IFERROR(__xludf.DUMMYFUNCTION("""COMPUTED_VALUE"""),"E27")</f>
        <v>E27</v>
      </c>
      <c r="G363" s="97" t="str">
        <f>IFERROR(__xludf.DUMMYFUNCTION("""COMPUTED_VALUE"""),"N/A")</f>
        <v>N/A</v>
      </c>
      <c r="H363" s="97" t="str">
        <f>IFERROR(__xludf.DUMMYFUNCTION("""COMPUTED_VALUE"""),"N/A")</f>
        <v>N/A</v>
      </c>
      <c r="I363" s="97" t="str">
        <f>IFERROR(__xludf.DUMMYFUNCTION("""COMPUTED_VALUE"""),"N/A")</f>
        <v>N/A</v>
      </c>
      <c r="J363" s="97"/>
      <c r="K363" s="97" t="str">
        <f>IFERROR(__xludf.DUMMYFUNCTION("""COMPUTED_VALUE"""),"N/A")</f>
        <v>N/A</v>
      </c>
      <c r="L363" s="97" t="str">
        <f>IFERROR(__xludf.DUMMYFUNCTION("""COMPUTED_VALUE"""),"220-240")</f>
        <v>220-240</v>
      </c>
      <c r="M363" s="97" t="str">
        <f>IFERROR(__xludf.DUMMYFUNCTION("""COMPUTED_VALUE"""),"50/60")</f>
        <v>50/60</v>
      </c>
      <c r="N363" s="97"/>
      <c r="O363" s="97" t="str">
        <f>IFERROR(__xludf.DUMMYFUNCTION("""COMPUTED_VALUE"""),"-")</f>
        <v>-</v>
      </c>
      <c r="P363" s="97"/>
      <c r="Q363" s="97" t="str">
        <f>IFERROR(__xludf.DUMMYFUNCTION("""COMPUTED_VALUE"""),"-")</f>
        <v>-</v>
      </c>
      <c r="R363" s="97" t="str">
        <f>IFERROR(__xludf.DUMMYFUNCTION("""COMPUTED_VALUE"""),"-")</f>
        <v>-</v>
      </c>
      <c r="S363" s="97" t="str">
        <f>IFERROR(__xludf.DUMMYFUNCTION("""COMPUTED_VALUE"""),"-")</f>
        <v>-</v>
      </c>
      <c r="T363" s="97" t="str">
        <f>IFERROR(__xludf.DUMMYFUNCTION("""COMPUTED_VALUE"""),"-")</f>
        <v>-</v>
      </c>
      <c r="U363" s="97" t="str">
        <f>IFERROR(__xludf.DUMMYFUNCTION("""COMPUTED_VALUE"""),"-")</f>
        <v>-</v>
      </c>
      <c r="V363" s="97" t="str">
        <f>IFERROR(__xludf.DUMMYFUNCTION("""COMPUTED_VALUE"""),"N/A")</f>
        <v>N/A</v>
      </c>
      <c r="W363" s="97" t="str">
        <f>IFERROR(__xludf.DUMMYFUNCTION("""COMPUTED_VALUE"""),"N/A")</f>
        <v>N/A</v>
      </c>
      <c r="X363" s="97" t="str">
        <f>IFERROR(__xludf.DUMMYFUNCTION("""COMPUTED_VALUE"""),"-")</f>
        <v>-</v>
      </c>
      <c r="Y363" s="97" t="str">
        <f>IFERROR(__xludf.DUMMYFUNCTION("""COMPUTED_VALUE"""),"N/A")</f>
        <v>N/A</v>
      </c>
      <c r="Z363" s="97" t="str">
        <f>IFERROR(__xludf.DUMMYFUNCTION("""COMPUTED_VALUE"""),"N/A")</f>
        <v>N/A</v>
      </c>
      <c r="AA363" s="97" t="str">
        <f>IFERROR(__xludf.DUMMYFUNCTION("""COMPUTED_VALUE"""),"N/A")</f>
        <v>N/A</v>
      </c>
      <c r="AB363" s="97" t="str">
        <f>IFERROR(__xludf.DUMMYFUNCTION("""COMPUTED_VALUE"""),"N/A")</f>
        <v>N/A</v>
      </c>
      <c r="AC363" s="97" t="str">
        <f>IFERROR(__xludf.DUMMYFUNCTION("""COMPUTED_VALUE"""),"N/A")</f>
        <v>N/A</v>
      </c>
      <c r="AD363" s="97" t="str">
        <f>IFERROR(__xludf.DUMMYFUNCTION("""COMPUTED_VALUE"""),"IP55")</f>
        <v>IP55</v>
      </c>
      <c r="AE363" s="97" t="str">
        <f>IFERROR(__xludf.DUMMYFUNCTION("""COMPUTED_VALUE"""),"Clase l")</f>
        <v>Clase l</v>
      </c>
      <c r="AF363" s="97" t="str">
        <f>IFERROR(__xludf.DUMMYFUNCTION("""COMPUTED_VALUE"""),"Aplicar")</f>
        <v>Aplicar</v>
      </c>
      <c r="AG363" s="97" t="str">
        <f>IFERROR(__xludf.DUMMYFUNCTION("""COMPUTED_VALUE"""),"170 x 188 x 337")</f>
        <v>170 x 188 x 337</v>
      </c>
      <c r="AH363" s="97" t="str">
        <f>IFERROR(__xludf.DUMMYFUNCTION("""COMPUTED_VALUE"""),"N/A")</f>
        <v>N/A</v>
      </c>
      <c r="AI363" s="97" t="str">
        <f>IFERROR(__xludf.DUMMYFUNCTION("""COMPUTED_VALUE"""),"N/A")</f>
        <v>N/A</v>
      </c>
      <c r="AJ363" s="97" t="str">
        <f>IFERROR(__xludf.DUMMYFUNCTION("""COMPUTED_VALUE"""),"Vidrio")</f>
        <v>Vidrio</v>
      </c>
      <c r="AK363" s="97" t="str">
        <f>IFERROR(__xludf.DUMMYFUNCTION("""COMPUTED_VALUE"""),"Aluminio")</f>
        <v>Aluminio</v>
      </c>
      <c r="AL363" s="97" t="str">
        <f>IFERROR(__xludf.DUMMYFUNCTION("""COMPUTED_VALUE"""),"Negro Satinado")</f>
        <v>Negro Satinado</v>
      </c>
      <c r="AM363" s="97" t="str">
        <f>IFERROR(__xludf.DUMMYFUNCTION("""COMPUTED_VALUE"""),"-")</f>
        <v>-</v>
      </c>
      <c r="AN363" s="97" t="str">
        <f>IFERROR(__xludf.DUMMYFUNCTION("""COMPUTED_VALUE"""),"N/A")</f>
        <v>N/A</v>
      </c>
      <c r="AO363" s="97" t="str">
        <f>IFERROR(__xludf.DUMMYFUNCTION("""COMPUTED_VALUE"""),"1 Año")</f>
        <v>1 Año</v>
      </c>
      <c r="AP363" s="97" t="str">
        <f>IFERROR(__xludf.DUMMYFUNCTION("""COMPUTED_VALUE"""),"No Aplica")</f>
        <v>No Aplica</v>
      </c>
      <c r="AQ363" s="97" t="str">
        <f>IFERROR(__xludf.DUMMYFUNCTION("""COMPUTED_VALUE"""),"No Aplica")</f>
        <v>No Aplica</v>
      </c>
      <c r="AR363" s="97" t="str">
        <f>IFERROR(__xludf.DUMMYFUNCTION("""COMPUTED_VALUE"""),"No Aplica")</f>
        <v>No Aplica</v>
      </c>
      <c r="AS363" s="97"/>
      <c r="AT363" s="97"/>
      <c r="AU363" s="97"/>
      <c r="AV363" s="97" t="str">
        <f>IFERROR(__xludf.DUMMYFUNCTION("""COMPUTED_VALUE"""),"Aplique")</f>
        <v>Aplique</v>
      </c>
      <c r="AW363" s="97" t="str">
        <f>IFERROR(__xludf.DUMMYFUNCTION("""COMPUTED_VALUE"""),"De Pared")</f>
        <v>De Pared</v>
      </c>
      <c r="AX363" s="97" t="str">
        <f>IFERROR(__xludf.DUMMYFUNCTION("""COMPUTED_VALUE"""),"Exterior")</f>
        <v>Exterior</v>
      </c>
      <c r="AY363" s="97"/>
      <c r="AZ363" s="97"/>
      <c r="BA363" s="97"/>
      <c r="BB363" s="97"/>
      <c r="BC363" s="97"/>
      <c r="BD363" s="97" t="str">
        <f>IFERROR(__xludf.DUMMYFUNCTION("""COMPUTED_VALUE"""),"FANARI")</f>
        <v>FANARI</v>
      </c>
      <c r="BE363" s="97" t="str">
        <f>IFERROR(__xludf.DUMMYFUNCTION("""COMPUTED_VALUE"""),"Finalizada")</f>
        <v>Finalizada</v>
      </c>
      <c r="BF363" s="97"/>
      <c r="BG363" s="97" t="str">
        <f>IFERROR(__xludf.DUMMYFUNCTION("""COMPUTED_VALUE"""),"Discontinuo")</f>
        <v>Discontinuo</v>
      </c>
    </row>
    <row r="364">
      <c r="A364" s="97">
        <f>IFERROR(__xludf.DUMMYFUNCTION("""COMPUTED_VALUE"""),4195.0)</f>
        <v>4195</v>
      </c>
      <c r="B364" s="97" t="str">
        <f>IFERROR(__xludf.DUMMYFUNCTION("""COMPUTED_VALUE"""),"STEGI")</f>
        <v>STEGI</v>
      </c>
      <c r="C364" s="97" t="str">
        <f>IFERROR(__xludf.DUMMYFUNCTION("""COMPUTED_VALUE"""),"LUMINARIA EXTERIOR FAROL STEGI LEUK")</f>
        <v>LUMINARIA EXTERIOR FAROL STEGI LEUK</v>
      </c>
      <c r="D364" s="97">
        <f>IFERROR(__xludf.DUMMYFUNCTION("""COMPUTED_VALUE"""),7.798328755728E12)</f>
        <v>7798328755728</v>
      </c>
      <c r="E364" s="97"/>
      <c r="F364" s="97" t="str">
        <f>IFERROR(__xludf.DUMMYFUNCTION("""COMPUTED_VALUE"""),"E27")</f>
        <v>E27</v>
      </c>
      <c r="G364" s="97" t="str">
        <f>IFERROR(__xludf.DUMMYFUNCTION("""COMPUTED_VALUE"""),"N/A")</f>
        <v>N/A</v>
      </c>
      <c r="H364" s="97" t="str">
        <f>IFERROR(__xludf.DUMMYFUNCTION("""COMPUTED_VALUE"""),"N/A")</f>
        <v>N/A</v>
      </c>
      <c r="I364" s="97" t="str">
        <f>IFERROR(__xludf.DUMMYFUNCTION("""COMPUTED_VALUE"""),"N/A")</f>
        <v>N/A</v>
      </c>
      <c r="J364" s="97"/>
      <c r="K364" s="97" t="str">
        <f>IFERROR(__xludf.DUMMYFUNCTION("""COMPUTED_VALUE"""),"N/A")</f>
        <v>N/A</v>
      </c>
      <c r="L364" s="97" t="str">
        <f>IFERROR(__xludf.DUMMYFUNCTION("""COMPUTED_VALUE"""),"200-240")</f>
        <v>200-240</v>
      </c>
      <c r="M364" s="97" t="str">
        <f>IFERROR(__xludf.DUMMYFUNCTION("""COMPUTED_VALUE"""),"50/60")</f>
        <v>50/60</v>
      </c>
      <c r="N364" s="97"/>
      <c r="O364" s="97" t="str">
        <f>IFERROR(__xludf.DUMMYFUNCTION("""COMPUTED_VALUE"""),"-")</f>
        <v>-</v>
      </c>
      <c r="P364" s="97"/>
      <c r="Q364" s="97" t="str">
        <f>IFERROR(__xludf.DUMMYFUNCTION("""COMPUTED_VALUE"""),"-")</f>
        <v>-</v>
      </c>
      <c r="R364" s="97" t="str">
        <f>IFERROR(__xludf.DUMMYFUNCTION("""COMPUTED_VALUE"""),"-")</f>
        <v>-</v>
      </c>
      <c r="S364" s="97" t="str">
        <f>IFERROR(__xludf.DUMMYFUNCTION("""COMPUTED_VALUE"""),"-")</f>
        <v>-</v>
      </c>
      <c r="T364" s="97" t="str">
        <f>IFERROR(__xludf.DUMMYFUNCTION("""COMPUTED_VALUE"""),"-")</f>
        <v>-</v>
      </c>
      <c r="U364" s="97" t="str">
        <f>IFERROR(__xludf.DUMMYFUNCTION("""COMPUTED_VALUE"""),"-")</f>
        <v>-</v>
      </c>
      <c r="V364" s="97" t="str">
        <f>IFERROR(__xludf.DUMMYFUNCTION("""COMPUTED_VALUE"""),"N/A")</f>
        <v>N/A</v>
      </c>
      <c r="W364" s="97" t="str">
        <f>IFERROR(__xludf.DUMMYFUNCTION("""COMPUTED_VALUE"""),"N/A")</f>
        <v>N/A</v>
      </c>
      <c r="X364" s="97" t="str">
        <f>IFERROR(__xludf.DUMMYFUNCTION("""COMPUTED_VALUE"""),"-")</f>
        <v>-</v>
      </c>
      <c r="Y364" s="97" t="str">
        <f>IFERROR(__xludf.DUMMYFUNCTION("""COMPUTED_VALUE"""),"N/A")</f>
        <v>N/A</v>
      </c>
      <c r="Z364" s="97" t="str">
        <f>IFERROR(__xludf.DUMMYFUNCTION("""COMPUTED_VALUE"""),"N/A")</f>
        <v>N/A</v>
      </c>
      <c r="AA364" s="97" t="str">
        <f>IFERROR(__xludf.DUMMYFUNCTION("""COMPUTED_VALUE"""),"N/A")</f>
        <v>N/A</v>
      </c>
      <c r="AB364" s="97" t="str">
        <f>IFERROR(__xludf.DUMMYFUNCTION("""COMPUTED_VALUE"""),"N/A")</f>
        <v>N/A</v>
      </c>
      <c r="AC364" s="97" t="str">
        <f>IFERROR(__xludf.DUMMYFUNCTION("""COMPUTED_VALUE"""),"N/A")</f>
        <v>N/A</v>
      </c>
      <c r="AD364" s="97" t="str">
        <f>IFERROR(__xludf.DUMMYFUNCTION("""COMPUTED_VALUE"""),"IP55")</f>
        <v>IP55</v>
      </c>
      <c r="AE364" s="97" t="str">
        <f>IFERROR(__xludf.DUMMYFUNCTION("""COMPUTED_VALUE"""),"Clase l")</f>
        <v>Clase l</v>
      </c>
      <c r="AF364" s="97" t="str">
        <f>IFERROR(__xludf.DUMMYFUNCTION("""COMPUTED_VALUE"""),"Suspender")</f>
        <v>Suspender</v>
      </c>
      <c r="AG364" s="97" t="str">
        <f>IFERROR(__xludf.DUMMYFUNCTION("""COMPUTED_VALUE"""),"145 x 145 x 281")</f>
        <v>145 x 145 x 281</v>
      </c>
      <c r="AH364" s="97" t="str">
        <f>IFERROR(__xludf.DUMMYFUNCTION("""COMPUTED_VALUE"""),"N/A")</f>
        <v>N/A</v>
      </c>
      <c r="AI364" s="97" t="str">
        <f>IFERROR(__xludf.DUMMYFUNCTION("""COMPUTED_VALUE"""),"N/A")</f>
        <v>N/A</v>
      </c>
      <c r="AJ364" s="97" t="str">
        <f>IFERROR(__xludf.DUMMYFUNCTION("""COMPUTED_VALUE"""),"Vidrio")</f>
        <v>Vidrio</v>
      </c>
      <c r="AK364" s="97" t="str">
        <f>IFERROR(__xludf.DUMMYFUNCTION("""COMPUTED_VALUE"""),"Aluminio")</f>
        <v>Aluminio</v>
      </c>
      <c r="AL364" s="97" t="str">
        <f>IFERROR(__xludf.DUMMYFUNCTION("""COMPUTED_VALUE"""),"Negro Satinado")</f>
        <v>Negro Satinado</v>
      </c>
      <c r="AM364" s="97" t="str">
        <f>IFERROR(__xludf.DUMMYFUNCTION("""COMPUTED_VALUE"""),"-")</f>
        <v>-</v>
      </c>
      <c r="AN364" s="97" t="str">
        <f>IFERROR(__xludf.DUMMYFUNCTION("""COMPUTED_VALUE"""),"N/A")</f>
        <v>N/A</v>
      </c>
      <c r="AO364" s="97" t="str">
        <f>IFERROR(__xludf.DUMMYFUNCTION("""COMPUTED_VALUE"""),"1 Año")</f>
        <v>1 Año</v>
      </c>
      <c r="AP364" s="97" t="str">
        <f>IFERROR(__xludf.DUMMYFUNCTION("""COMPUTED_VALUE"""),"No Aplica")</f>
        <v>No Aplica</v>
      </c>
      <c r="AQ364" s="97" t="str">
        <f>IFERROR(__xludf.DUMMYFUNCTION("""COMPUTED_VALUE"""),"No Aplica")</f>
        <v>No Aplica</v>
      </c>
      <c r="AR364" s="97" t="str">
        <f>IFERROR(__xludf.DUMMYFUNCTION("""COMPUTED_VALUE"""),"No Aplica")</f>
        <v>No Aplica</v>
      </c>
      <c r="AS364" s="97"/>
      <c r="AT364" s="97"/>
      <c r="AU364" s="97"/>
      <c r="AV364" s="97" t="str">
        <f>IFERROR(__xludf.DUMMYFUNCTION("""COMPUTED_VALUE"""),"Colgante")</f>
        <v>Colgante</v>
      </c>
      <c r="AW364" s="97" t="str">
        <f>IFERROR(__xludf.DUMMYFUNCTION("""COMPUTED_VALUE"""),"De Techo")</f>
        <v>De Techo</v>
      </c>
      <c r="AX364" s="97" t="str">
        <f>IFERROR(__xludf.DUMMYFUNCTION("""COMPUTED_VALUE"""),"Exterior")</f>
        <v>Exterior</v>
      </c>
      <c r="AY364" s="97"/>
      <c r="AZ364" s="97"/>
      <c r="BA364" s="97"/>
      <c r="BB364" s="97"/>
      <c r="BC364" s="97"/>
      <c r="BD364" s="97" t="str">
        <f>IFERROR(__xludf.DUMMYFUNCTION("""COMPUTED_VALUE"""),"STEGI")</f>
        <v>STEGI</v>
      </c>
      <c r="BE364" s="97" t="str">
        <f>IFERROR(__xludf.DUMMYFUNCTION("""COMPUTED_VALUE"""),"Finalizada")</f>
        <v>Finalizada</v>
      </c>
      <c r="BF364" s="97"/>
      <c r="BG364" s="97" t="str">
        <f>IFERROR(__xludf.DUMMYFUNCTION("""COMPUTED_VALUE"""),"Discontinuo")</f>
        <v>Discontinuo</v>
      </c>
    </row>
    <row r="365">
      <c r="A365" s="97">
        <f>IFERROR(__xludf.DUMMYFUNCTION("""COMPUTED_VALUE"""),4196.0)</f>
        <v>4196</v>
      </c>
      <c r="B365" s="97" t="str">
        <f>IFERROR(__xludf.DUMMYFUNCTION("""COMPUTED_VALUE"""),"KATHARO I BL")</f>
        <v>KATHARO I BL</v>
      </c>
      <c r="C365" s="97" t="str">
        <f>IFERROR(__xludf.DUMMYFUNCTION("""COMPUTED_VALUE"""),"APLIQUE KATHARO I BL 1XGU10 DICRO IP20 LEUK")</f>
        <v>APLIQUE KATHARO I BL 1XGU10 DICRO IP20 LEUK</v>
      </c>
      <c r="D365" s="97">
        <f>IFERROR(__xludf.DUMMYFUNCTION("""COMPUTED_VALUE"""),7.798328754936E12)</f>
        <v>7798328754936</v>
      </c>
      <c r="E365" s="97"/>
      <c r="F365" s="97" t="str">
        <f>IFERROR(__xludf.DUMMYFUNCTION("""COMPUTED_VALUE"""),"1xGU10 Dicro")</f>
        <v>1xGU10 Dicro</v>
      </c>
      <c r="G365" s="97" t="str">
        <f>IFERROR(__xludf.DUMMYFUNCTION("""COMPUTED_VALUE"""),"N/A")</f>
        <v>N/A</v>
      </c>
      <c r="H365" s="97" t="str">
        <f>IFERROR(__xludf.DUMMYFUNCTION("""COMPUTED_VALUE"""),"N/A")</f>
        <v>N/A</v>
      </c>
      <c r="I365" s="97" t="str">
        <f>IFERROR(__xludf.DUMMYFUNCTION("""COMPUTED_VALUE"""),"N/A")</f>
        <v>N/A</v>
      </c>
      <c r="J365" s="97" t="str">
        <f>IFERROR(__xludf.DUMMYFUNCTION("""COMPUTED_VALUE"""),"N/A")</f>
        <v>N/A</v>
      </c>
      <c r="K365" s="97" t="str">
        <f>IFERROR(__xludf.DUMMYFUNCTION("""COMPUTED_VALUE"""),"N/A")</f>
        <v>N/A</v>
      </c>
      <c r="L365" s="97">
        <f>IFERROR(__xludf.DUMMYFUNCTION("""COMPUTED_VALUE"""),220.0)</f>
        <v>220</v>
      </c>
      <c r="M365" s="97">
        <f>IFERROR(__xludf.DUMMYFUNCTION("""COMPUTED_VALUE"""),50.0)</f>
        <v>50</v>
      </c>
      <c r="N365" s="97"/>
      <c r="O365" s="97" t="str">
        <f>IFERROR(__xludf.DUMMYFUNCTION("""COMPUTED_VALUE"""),"1 x 50W Max")</f>
        <v>1 x 50W Max</v>
      </c>
      <c r="P365" s="97"/>
      <c r="Q365" s="97" t="str">
        <f>IFERROR(__xludf.DUMMYFUNCTION("""COMPUTED_VALUE"""),"-")</f>
        <v>-</v>
      </c>
      <c r="R365" s="97" t="str">
        <f>IFERROR(__xludf.DUMMYFUNCTION("""COMPUTED_VALUE"""),"-")</f>
        <v>-</v>
      </c>
      <c r="S365" s="97" t="str">
        <f>IFERROR(__xludf.DUMMYFUNCTION("""COMPUTED_VALUE"""),"-")</f>
        <v>-</v>
      </c>
      <c r="T365" s="97" t="str">
        <f>IFERROR(__xludf.DUMMYFUNCTION("""COMPUTED_VALUE"""),"-")</f>
        <v>-</v>
      </c>
      <c r="U365" s="97" t="str">
        <f>IFERROR(__xludf.DUMMYFUNCTION("""COMPUTED_VALUE"""),"-")</f>
        <v>-</v>
      </c>
      <c r="V365" s="97" t="str">
        <f>IFERROR(__xludf.DUMMYFUNCTION("""COMPUTED_VALUE"""),"N/A")</f>
        <v>N/A</v>
      </c>
      <c r="W365" s="97" t="str">
        <f>IFERROR(__xludf.DUMMYFUNCTION("""COMPUTED_VALUE"""),"N/A")</f>
        <v>N/A</v>
      </c>
      <c r="X365" s="97" t="str">
        <f>IFERROR(__xludf.DUMMYFUNCTION("""COMPUTED_VALUE"""),"-")</f>
        <v>-</v>
      </c>
      <c r="Y365" s="97" t="str">
        <f>IFERROR(__xludf.DUMMYFUNCTION("""COMPUTED_VALUE"""),"N/A")</f>
        <v>N/A</v>
      </c>
      <c r="Z365" s="97" t="str">
        <f>IFERROR(__xludf.DUMMYFUNCTION("""COMPUTED_VALUE"""),"N/A")</f>
        <v>N/A</v>
      </c>
      <c r="AA365" s="97" t="str">
        <f>IFERROR(__xludf.DUMMYFUNCTION("""COMPUTED_VALUE"""),"N/A")</f>
        <v>N/A</v>
      </c>
      <c r="AB365" s="97" t="str">
        <f>IFERROR(__xludf.DUMMYFUNCTION("""COMPUTED_VALUE"""),"N/A")</f>
        <v>N/A</v>
      </c>
      <c r="AC365" s="97" t="str">
        <f>IFERROR(__xludf.DUMMYFUNCTION("""COMPUTED_VALUE"""),"N/A")</f>
        <v>N/A</v>
      </c>
      <c r="AD365" s="97" t="str">
        <f>IFERROR(__xludf.DUMMYFUNCTION("""COMPUTED_VALUE"""),"IP20")</f>
        <v>IP20</v>
      </c>
      <c r="AE365" s="97" t="str">
        <f>IFERROR(__xludf.DUMMYFUNCTION("""COMPUTED_VALUE"""),"Clase l")</f>
        <v>Clase l</v>
      </c>
      <c r="AF365" s="97" t="str">
        <f>IFERROR(__xludf.DUMMYFUNCTION("""COMPUTED_VALUE"""),"Aplicar")</f>
        <v>Aplicar</v>
      </c>
      <c r="AG365" s="97" t="str">
        <f>IFERROR(__xludf.DUMMYFUNCTION("""COMPUTED_VALUE"""),"Ø55 x 128")</f>
        <v>Ø55 x 128</v>
      </c>
      <c r="AH365" s="97" t="str">
        <f>IFERROR(__xludf.DUMMYFUNCTION("""COMPUTED_VALUE"""),"N/A")</f>
        <v>N/A</v>
      </c>
      <c r="AI365" s="97" t="str">
        <f>IFERROR(__xludf.DUMMYFUNCTION("""COMPUTED_VALUE"""),"N/A")</f>
        <v>N/A</v>
      </c>
      <c r="AJ365" s="97" t="str">
        <f>IFERROR(__xludf.DUMMYFUNCTION("""COMPUTED_VALUE"""),"N/A")</f>
        <v>N/A</v>
      </c>
      <c r="AK365" s="97" t="str">
        <f>IFERROR(__xludf.DUMMYFUNCTION("""COMPUTED_VALUE"""),"Aluminio")</f>
        <v>Aluminio</v>
      </c>
      <c r="AL365" s="97" t="str">
        <f>IFERROR(__xludf.DUMMYFUNCTION("""COMPUTED_VALUE"""),"Blanco Satinado")</f>
        <v>Blanco Satinado</v>
      </c>
      <c r="AM365" s="97" t="str">
        <f>IFERROR(__xludf.DUMMYFUNCTION("""COMPUTED_VALUE"""),"-")</f>
        <v>-</v>
      </c>
      <c r="AN365" s="97" t="str">
        <f>IFERROR(__xludf.DUMMYFUNCTION("""COMPUTED_VALUE"""),"N/A")</f>
        <v>N/A</v>
      </c>
      <c r="AO365" s="97" t="str">
        <f>IFERROR(__xludf.DUMMYFUNCTION("""COMPUTED_VALUE"""),"2 Años")</f>
        <v>2 Años</v>
      </c>
      <c r="AP365" s="97" t="str">
        <f>IFERROR(__xludf.DUMMYFUNCTION("""COMPUTED_VALUE"""),"No Aplica")</f>
        <v>No Aplica</v>
      </c>
      <c r="AQ365" s="97" t="str">
        <f>IFERROR(__xludf.DUMMYFUNCTION("""COMPUTED_VALUE"""),"No Aplica")</f>
        <v>No Aplica</v>
      </c>
      <c r="AR365" s="97" t="str">
        <f>IFERROR(__xludf.DUMMYFUNCTION("""COMPUTED_VALUE"""),"No Aplica")</f>
        <v>No Aplica</v>
      </c>
      <c r="AS365" s="97"/>
      <c r="AT365" s="97"/>
      <c r="AU365" s="97" t="str">
        <f>IFERROR(__xludf.DUMMYFUNCTION("""COMPUTED_VALUE"""),"Falta")</f>
        <v>Falta</v>
      </c>
      <c r="AV365" s="97" t="str">
        <f>IFERROR(__xludf.DUMMYFUNCTION("""COMPUTED_VALUE"""),"Aplique")</f>
        <v>Aplique</v>
      </c>
      <c r="AW365" s="97" t="str">
        <f>IFERROR(__xludf.DUMMYFUNCTION("""COMPUTED_VALUE"""),"De Techo")</f>
        <v>De Techo</v>
      </c>
      <c r="AX365" s="97" t="str">
        <f>IFERROR(__xludf.DUMMYFUNCTION("""COMPUTED_VALUE"""),"Interior")</f>
        <v>Interior</v>
      </c>
      <c r="AY365" s="97" t="str">
        <f>IFERROR(__xludf.DUMMYFUNCTION("""COMPUTED_VALUE"""),"-")</f>
        <v>-</v>
      </c>
      <c r="AZ365" s="97"/>
      <c r="BA365" s="97">
        <f>IFERROR(__xludf.DUMMYFUNCTION("""COMPUTED_VALUE"""),36.0)</f>
        <v>36</v>
      </c>
      <c r="BB365" s="97" t="str">
        <f>IFERROR(__xludf.DUMMYFUNCTION("""COMPUTED_VALUE"""),"-")</f>
        <v>-</v>
      </c>
      <c r="BC365" s="97" t="str">
        <f>IFERROR(__xludf.DUMMYFUNCTION("""COMPUTED_VALUE"""),"-")</f>
        <v>-</v>
      </c>
      <c r="BD365" s="97" t="str">
        <f>IFERROR(__xludf.DUMMYFUNCTION("""COMPUTED_VALUE"""),"KATHARO")</f>
        <v>KATHARO</v>
      </c>
      <c r="BE365" s="97" t="str">
        <f>IFERROR(__xludf.DUMMYFUNCTION("""COMPUTED_VALUE"""),"Finalizada")</f>
        <v>Finalizada</v>
      </c>
      <c r="BF365" s="97"/>
      <c r="BG365" s="97" t="str">
        <f>IFERROR(__xludf.DUMMYFUNCTION("""COMPUTED_VALUE"""),"Activo")</f>
        <v>Activo</v>
      </c>
    </row>
    <row r="366">
      <c r="A366" s="97">
        <f>IFERROR(__xludf.DUMMYFUNCTION("""COMPUTED_VALUE"""),4197.0)</f>
        <v>4197</v>
      </c>
      <c r="B366" s="97" t="str">
        <f>IFERROR(__xludf.DUMMYFUNCTION("""COMPUTED_VALUE"""),"KATHARO I NG")</f>
        <v>KATHARO I NG</v>
      </c>
      <c r="C366" s="97" t="str">
        <f>IFERROR(__xludf.DUMMYFUNCTION("""COMPUTED_VALUE"""),"APLIQUE KATHARO I NG 1XGU10 DICRO IP20 LEUK")</f>
        <v>APLIQUE KATHARO I NG 1XGU10 DICRO IP20 LEUK</v>
      </c>
      <c r="D366" s="97">
        <f>IFERROR(__xludf.DUMMYFUNCTION("""COMPUTED_VALUE"""),7.798328754943E12)</f>
        <v>7798328754943</v>
      </c>
      <c r="E366" s="97"/>
      <c r="F366" s="97" t="str">
        <f>IFERROR(__xludf.DUMMYFUNCTION("""COMPUTED_VALUE"""),"1xGU10 Dicro")</f>
        <v>1xGU10 Dicro</v>
      </c>
      <c r="G366" s="97" t="str">
        <f>IFERROR(__xludf.DUMMYFUNCTION("""COMPUTED_VALUE"""),"N/A")</f>
        <v>N/A</v>
      </c>
      <c r="H366" s="97" t="str">
        <f>IFERROR(__xludf.DUMMYFUNCTION("""COMPUTED_VALUE"""),"N/A")</f>
        <v>N/A</v>
      </c>
      <c r="I366" s="97" t="str">
        <f>IFERROR(__xludf.DUMMYFUNCTION("""COMPUTED_VALUE"""),"N/A")</f>
        <v>N/A</v>
      </c>
      <c r="J366" s="97" t="str">
        <f>IFERROR(__xludf.DUMMYFUNCTION("""COMPUTED_VALUE"""),"N/A")</f>
        <v>N/A</v>
      </c>
      <c r="K366" s="97" t="str">
        <f>IFERROR(__xludf.DUMMYFUNCTION("""COMPUTED_VALUE"""),"N/A")</f>
        <v>N/A</v>
      </c>
      <c r="L366" s="97">
        <f>IFERROR(__xludf.DUMMYFUNCTION("""COMPUTED_VALUE"""),220.0)</f>
        <v>220</v>
      </c>
      <c r="M366" s="97">
        <f>IFERROR(__xludf.DUMMYFUNCTION("""COMPUTED_VALUE"""),50.0)</f>
        <v>50</v>
      </c>
      <c r="N366" s="97"/>
      <c r="O366" s="97" t="str">
        <f>IFERROR(__xludf.DUMMYFUNCTION("""COMPUTED_VALUE"""),"1 x 50W Max")</f>
        <v>1 x 50W Max</v>
      </c>
      <c r="P366" s="97"/>
      <c r="Q366" s="97" t="str">
        <f>IFERROR(__xludf.DUMMYFUNCTION("""COMPUTED_VALUE"""),"-")</f>
        <v>-</v>
      </c>
      <c r="R366" s="97" t="str">
        <f>IFERROR(__xludf.DUMMYFUNCTION("""COMPUTED_VALUE"""),"-")</f>
        <v>-</v>
      </c>
      <c r="S366" s="97" t="str">
        <f>IFERROR(__xludf.DUMMYFUNCTION("""COMPUTED_VALUE"""),"-")</f>
        <v>-</v>
      </c>
      <c r="T366" s="97" t="str">
        <f>IFERROR(__xludf.DUMMYFUNCTION("""COMPUTED_VALUE"""),"-")</f>
        <v>-</v>
      </c>
      <c r="U366" s="97" t="str">
        <f>IFERROR(__xludf.DUMMYFUNCTION("""COMPUTED_VALUE"""),"-")</f>
        <v>-</v>
      </c>
      <c r="V366" s="97" t="str">
        <f>IFERROR(__xludf.DUMMYFUNCTION("""COMPUTED_VALUE"""),"N/A")</f>
        <v>N/A</v>
      </c>
      <c r="W366" s="97" t="str">
        <f>IFERROR(__xludf.DUMMYFUNCTION("""COMPUTED_VALUE"""),"N/A")</f>
        <v>N/A</v>
      </c>
      <c r="X366" s="97" t="str">
        <f>IFERROR(__xludf.DUMMYFUNCTION("""COMPUTED_VALUE"""),"-")</f>
        <v>-</v>
      </c>
      <c r="Y366" s="97" t="str">
        <f>IFERROR(__xludf.DUMMYFUNCTION("""COMPUTED_VALUE"""),"N/A")</f>
        <v>N/A</v>
      </c>
      <c r="Z366" s="97" t="str">
        <f>IFERROR(__xludf.DUMMYFUNCTION("""COMPUTED_VALUE"""),"N/A")</f>
        <v>N/A</v>
      </c>
      <c r="AA366" s="97" t="str">
        <f>IFERROR(__xludf.DUMMYFUNCTION("""COMPUTED_VALUE"""),"N/A")</f>
        <v>N/A</v>
      </c>
      <c r="AB366" s="97" t="str">
        <f>IFERROR(__xludf.DUMMYFUNCTION("""COMPUTED_VALUE"""),"N/A")</f>
        <v>N/A</v>
      </c>
      <c r="AC366" s="97" t="str">
        <f>IFERROR(__xludf.DUMMYFUNCTION("""COMPUTED_VALUE"""),"N/A")</f>
        <v>N/A</v>
      </c>
      <c r="AD366" s="97" t="str">
        <f>IFERROR(__xludf.DUMMYFUNCTION("""COMPUTED_VALUE"""),"IP20")</f>
        <v>IP20</v>
      </c>
      <c r="AE366" s="97" t="str">
        <f>IFERROR(__xludf.DUMMYFUNCTION("""COMPUTED_VALUE"""),"Clase l")</f>
        <v>Clase l</v>
      </c>
      <c r="AF366" s="97" t="str">
        <f>IFERROR(__xludf.DUMMYFUNCTION("""COMPUTED_VALUE"""),"Aplicar")</f>
        <v>Aplicar</v>
      </c>
      <c r="AG366" s="97" t="str">
        <f>IFERROR(__xludf.DUMMYFUNCTION("""COMPUTED_VALUE"""),"Ø55 x 128")</f>
        <v>Ø55 x 128</v>
      </c>
      <c r="AH366" s="97" t="str">
        <f>IFERROR(__xludf.DUMMYFUNCTION("""COMPUTED_VALUE"""),"N/A")</f>
        <v>N/A</v>
      </c>
      <c r="AI366" s="97" t="str">
        <f>IFERROR(__xludf.DUMMYFUNCTION("""COMPUTED_VALUE"""),"N/A")</f>
        <v>N/A</v>
      </c>
      <c r="AJ366" s="97" t="str">
        <f>IFERROR(__xludf.DUMMYFUNCTION("""COMPUTED_VALUE"""),"N/A")</f>
        <v>N/A</v>
      </c>
      <c r="AK366" s="97" t="str">
        <f>IFERROR(__xludf.DUMMYFUNCTION("""COMPUTED_VALUE"""),"Aluminio")</f>
        <v>Aluminio</v>
      </c>
      <c r="AL366" s="97" t="str">
        <f>IFERROR(__xludf.DUMMYFUNCTION("""COMPUTED_VALUE"""),"Negro Satinado")</f>
        <v>Negro Satinado</v>
      </c>
      <c r="AM366" s="97" t="str">
        <f>IFERROR(__xludf.DUMMYFUNCTION("""COMPUTED_VALUE"""),"-")</f>
        <v>-</v>
      </c>
      <c r="AN366" s="97" t="str">
        <f>IFERROR(__xludf.DUMMYFUNCTION("""COMPUTED_VALUE"""),"N/A")</f>
        <v>N/A</v>
      </c>
      <c r="AO366" s="97" t="str">
        <f>IFERROR(__xludf.DUMMYFUNCTION("""COMPUTED_VALUE"""),"2 Años")</f>
        <v>2 Años</v>
      </c>
      <c r="AP366" s="97" t="str">
        <f>IFERROR(__xludf.DUMMYFUNCTION("""COMPUTED_VALUE"""),"No Aplica")</f>
        <v>No Aplica</v>
      </c>
      <c r="AQ366" s="97" t="str">
        <f>IFERROR(__xludf.DUMMYFUNCTION("""COMPUTED_VALUE"""),"No Aplica")</f>
        <v>No Aplica</v>
      </c>
      <c r="AR366" s="97" t="str">
        <f>IFERROR(__xludf.DUMMYFUNCTION("""COMPUTED_VALUE"""),"No Aplica")</f>
        <v>No Aplica</v>
      </c>
      <c r="AS366" s="97"/>
      <c r="AT366" s="97"/>
      <c r="AU366" s="97" t="str">
        <f>IFERROR(__xludf.DUMMYFUNCTION("""COMPUTED_VALUE"""),"Falta")</f>
        <v>Falta</v>
      </c>
      <c r="AV366" s="97" t="str">
        <f>IFERROR(__xludf.DUMMYFUNCTION("""COMPUTED_VALUE"""),"Aplique")</f>
        <v>Aplique</v>
      </c>
      <c r="AW366" s="97" t="str">
        <f>IFERROR(__xludf.DUMMYFUNCTION("""COMPUTED_VALUE"""),"De Techo")</f>
        <v>De Techo</v>
      </c>
      <c r="AX366" s="97" t="str">
        <f>IFERROR(__xludf.DUMMYFUNCTION("""COMPUTED_VALUE"""),"Interior")</f>
        <v>Interior</v>
      </c>
      <c r="AY366" s="97" t="str">
        <f>IFERROR(__xludf.DUMMYFUNCTION("""COMPUTED_VALUE"""),"-")</f>
        <v>-</v>
      </c>
      <c r="AZ366" s="97"/>
      <c r="BA366" s="97">
        <f>IFERROR(__xludf.DUMMYFUNCTION("""COMPUTED_VALUE"""),36.0)</f>
        <v>36</v>
      </c>
      <c r="BB366" s="97" t="str">
        <f>IFERROR(__xludf.DUMMYFUNCTION("""COMPUTED_VALUE"""),"-")</f>
        <v>-</v>
      </c>
      <c r="BC366" s="97" t="str">
        <f>IFERROR(__xludf.DUMMYFUNCTION("""COMPUTED_VALUE"""),"-")</f>
        <v>-</v>
      </c>
      <c r="BD366" s="97" t="str">
        <f>IFERROR(__xludf.DUMMYFUNCTION("""COMPUTED_VALUE"""),"KATHARO")</f>
        <v>KATHARO</v>
      </c>
      <c r="BE366" s="97" t="str">
        <f>IFERROR(__xludf.DUMMYFUNCTION("""COMPUTED_VALUE"""),"Finalizada")</f>
        <v>Finalizada</v>
      </c>
      <c r="BF366" s="97"/>
      <c r="BG366" s="97" t="str">
        <f>IFERROR(__xludf.DUMMYFUNCTION("""COMPUTED_VALUE"""),"Activo")</f>
        <v>Activo</v>
      </c>
    </row>
    <row r="367">
      <c r="A367" s="97">
        <f>IFERROR(__xludf.DUMMYFUNCTION("""COMPUTED_VALUE"""),4198.0)</f>
        <v>4198</v>
      </c>
      <c r="B367" s="97" t="str">
        <f>IFERROR(__xludf.DUMMYFUNCTION("""COMPUTED_VALUE"""),"KATHARO II BL")</f>
        <v>KATHARO II BL</v>
      </c>
      <c r="C367" s="97" t="str">
        <f>IFERROR(__xludf.DUMMYFUNCTION("""COMPUTED_VALUE"""),"APLIQUE KATHARO II BL 2XGU10 DICRO IP20 LEUK")</f>
        <v>APLIQUE KATHARO II BL 2XGU10 DICRO IP20 LEUK</v>
      </c>
      <c r="D367" s="97">
        <f>IFERROR(__xludf.DUMMYFUNCTION("""COMPUTED_VALUE"""),7.798328754875E12)</f>
        <v>7798328754875</v>
      </c>
      <c r="E367" s="97"/>
      <c r="F367" s="97" t="str">
        <f>IFERROR(__xludf.DUMMYFUNCTION("""COMPUTED_VALUE"""),"2xGU10 Dicro")</f>
        <v>2xGU10 Dicro</v>
      </c>
      <c r="G367" s="97" t="str">
        <f>IFERROR(__xludf.DUMMYFUNCTION("""COMPUTED_VALUE"""),"N/A")</f>
        <v>N/A</v>
      </c>
      <c r="H367" s="97" t="str">
        <f>IFERROR(__xludf.DUMMYFUNCTION("""COMPUTED_VALUE"""),"N/A")</f>
        <v>N/A</v>
      </c>
      <c r="I367" s="97" t="str">
        <f>IFERROR(__xludf.DUMMYFUNCTION("""COMPUTED_VALUE"""),"N/A")</f>
        <v>N/A</v>
      </c>
      <c r="J367" s="97" t="str">
        <f>IFERROR(__xludf.DUMMYFUNCTION("""COMPUTED_VALUE"""),"N/A")</f>
        <v>N/A</v>
      </c>
      <c r="K367" s="97" t="str">
        <f>IFERROR(__xludf.DUMMYFUNCTION("""COMPUTED_VALUE"""),"N/A")</f>
        <v>N/A</v>
      </c>
      <c r="L367" s="97">
        <f>IFERROR(__xludf.DUMMYFUNCTION("""COMPUTED_VALUE"""),220.0)</f>
        <v>220</v>
      </c>
      <c r="M367" s="97">
        <f>IFERROR(__xludf.DUMMYFUNCTION("""COMPUTED_VALUE"""),50.0)</f>
        <v>50</v>
      </c>
      <c r="N367" s="97"/>
      <c r="O367" s="97" t="str">
        <f>IFERROR(__xludf.DUMMYFUNCTION("""COMPUTED_VALUE"""),"2 x 50W Max")</f>
        <v>2 x 50W Max</v>
      </c>
      <c r="P367" s="97"/>
      <c r="Q367" s="97" t="str">
        <f>IFERROR(__xludf.DUMMYFUNCTION("""COMPUTED_VALUE"""),"-")</f>
        <v>-</v>
      </c>
      <c r="R367" s="97" t="str">
        <f>IFERROR(__xludf.DUMMYFUNCTION("""COMPUTED_VALUE"""),"-")</f>
        <v>-</v>
      </c>
      <c r="S367" s="97" t="str">
        <f>IFERROR(__xludf.DUMMYFUNCTION("""COMPUTED_VALUE"""),"-")</f>
        <v>-</v>
      </c>
      <c r="T367" s="97" t="str">
        <f>IFERROR(__xludf.DUMMYFUNCTION("""COMPUTED_VALUE"""),"-")</f>
        <v>-</v>
      </c>
      <c r="U367" s="97" t="str">
        <f>IFERROR(__xludf.DUMMYFUNCTION("""COMPUTED_VALUE"""),"-")</f>
        <v>-</v>
      </c>
      <c r="V367" s="97" t="str">
        <f>IFERROR(__xludf.DUMMYFUNCTION("""COMPUTED_VALUE"""),"N/A")</f>
        <v>N/A</v>
      </c>
      <c r="W367" s="97" t="str">
        <f>IFERROR(__xludf.DUMMYFUNCTION("""COMPUTED_VALUE"""),"N/A")</f>
        <v>N/A</v>
      </c>
      <c r="X367" s="97" t="str">
        <f>IFERROR(__xludf.DUMMYFUNCTION("""COMPUTED_VALUE"""),"-")</f>
        <v>-</v>
      </c>
      <c r="Y367" s="97" t="str">
        <f>IFERROR(__xludf.DUMMYFUNCTION("""COMPUTED_VALUE"""),"N/A")</f>
        <v>N/A</v>
      </c>
      <c r="Z367" s="97" t="str">
        <f>IFERROR(__xludf.DUMMYFUNCTION("""COMPUTED_VALUE"""),"N/A")</f>
        <v>N/A</v>
      </c>
      <c r="AA367" s="97" t="str">
        <f>IFERROR(__xludf.DUMMYFUNCTION("""COMPUTED_VALUE"""),"N/A")</f>
        <v>N/A</v>
      </c>
      <c r="AB367" s="97" t="str">
        <f>IFERROR(__xludf.DUMMYFUNCTION("""COMPUTED_VALUE"""),"N/A")</f>
        <v>N/A</v>
      </c>
      <c r="AC367" s="97" t="str">
        <f>IFERROR(__xludf.DUMMYFUNCTION("""COMPUTED_VALUE"""),"N/A")</f>
        <v>N/A</v>
      </c>
      <c r="AD367" s="97" t="str">
        <f>IFERROR(__xludf.DUMMYFUNCTION("""COMPUTED_VALUE"""),"IP20")</f>
        <v>IP20</v>
      </c>
      <c r="AE367" s="97" t="str">
        <f>IFERROR(__xludf.DUMMYFUNCTION("""COMPUTED_VALUE"""),"Clase l")</f>
        <v>Clase l</v>
      </c>
      <c r="AF367" s="97" t="str">
        <f>IFERROR(__xludf.DUMMYFUNCTION("""COMPUTED_VALUE"""),"Aplicar")</f>
        <v>Aplicar</v>
      </c>
      <c r="AG367" s="97" t="str">
        <f>IFERROR(__xludf.DUMMYFUNCTION("""COMPUTED_VALUE"""),"320 x 30 x 70")</f>
        <v>320 x 30 x 70</v>
      </c>
      <c r="AH367" s="97" t="str">
        <f>IFERROR(__xludf.DUMMYFUNCTION("""COMPUTED_VALUE"""),"N/A")</f>
        <v>N/A</v>
      </c>
      <c r="AI367" s="97" t="str">
        <f>IFERROR(__xludf.DUMMYFUNCTION("""COMPUTED_VALUE"""),"N/A")</f>
        <v>N/A</v>
      </c>
      <c r="AJ367" s="97" t="str">
        <f>IFERROR(__xludf.DUMMYFUNCTION("""COMPUTED_VALUE"""),"N/A")</f>
        <v>N/A</v>
      </c>
      <c r="AK367" s="97" t="str">
        <f>IFERROR(__xludf.DUMMYFUNCTION("""COMPUTED_VALUE"""),"Aluminio")</f>
        <v>Aluminio</v>
      </c>
      <c r="AL367" s="97" t="str">
        <f>IFERROR(__xludf.DUMMYFUNCTION("""COMPUTED_VALUE"""),"Blanco Satinado")</f>
        <v>Blanco Satinado</v>
      </c>
      <c r="AM367" s="97" t="str">
        <f>IFERROR(__xludf.DUMMYFUNCTION("""COMPUTED_VALUE"""),"-")</f>
        <v>-</v>
      </c>
      <c r="AN367" s="97" t="str">
        <f>IFERROR(__xludf.DUMMYFUNCTION("""COMPUTED_VALUE"""),"N/A")</f>
        <v>N/A</v>
      </c>
      <c r="AO367" s="97" t="str">
        <f>IFERROR(__xludf.DUMMYFUNCTION("""COMPUTED_VALUE"""),"2 Años")</f>
        <v>2 Años</v>
      </c>
      <c r="AP367" s="97" t="str">
        <f>IFERROR(__xludf.DUMMYFUNCTION("""COMPUTED_VALUE"""),"No Aplica")</f>
        <v>No Aplica</v>
      </c>
      <c r="AQ367" s="97" t="str">
        <f>IFERROR(__xludf.DUMMYFUNCTION("""COMPUTED_VALUE"""),"No Aplica")</f>
        <v>No Aplica</v>
      </c>
      <c r="AR367" s="97" t="str">
        <f>IFERROR(__xludf.DUMMYFUNCTION("""COMPUTED_VALUE"""),"No Aplica")</f>
        <v>No Aplica</v>
      </c>
      <c r="AS367" s="97"/>
      <c r="AT367" s="97"/>
      <c r="AU367" s="97" t="str">
        <f>IFERROR(__xludf.DUMMYFUNCTION("""COMPUTED_VALUE"""),"Falta")</f>
        <v>Falta</v>
      </c>
      <c r="AV367" s="97" t="str">
        <f>IFERROR(__xludf.DUMMYFUNCTION("""COMPUTED_VALUE"""),"Aplique")</f>
        <v>Aplique</v>
      </c>
      <c r="AW367" s="97" t="str">
        <f>IFERROR(__xludf.DUMMYFUNCTION("""COMPUTED_VALUE"""),"De Techo")</f>
        <v>De Techo</v>
      </c>
      <c r="AX367" s="97" t="str">
        <f>IFERROR(__xludf.DUMMYFUNCTION("""COMPUTED_VALUE"""),"Interior")</f>
        <v>Interior</v>
      </c>
      <c r="AY367" s="97" t="str">
        <f>IFERROR(__xludf.DUMMYFUNCTION("""COMPUTED_VALUE"""),"-")</f>
        <v>-</v>
      </c>
      <c r="AZ367" s="97"/>
      <c r="BA367" s="97">
        <f>IFERROR(__xludf.DUMMYFUNCTION("""COMPUTED_VALUE"""),12.0)</f>
        <v>12</v>
      </c>
      <c r="BB367" s="97" t="str">
        <f>IFERROR(__xludf.DUMMYFUNCTION("""COMPUTED_VALUE"""),"-")</f>
        <v>-</v>
      </c>
      <c r="BC367" s="97" t="str">
        <f>IFERROR(__xludf.DUMMYFUNCTION("""COMPUTED_VALUE"""),"-")</f>
        <v>-</v>
      </c>
      <c r="BD367" s="97" t="str">
        <f>IFERROR(__xludf.DUMMYFUNCTION("""COMPUTED_VALUE"""),"KATHARO")</f>
        <v>KATHARO</v>
      </c>
      <c r="BE367" s="97" t="str">
        <f>IFERROR(__xludf.DUMMYFUNCTION("""COMPUTED_VALUE"""),"Finalizada")</f>
        <v>Finalizada</v>
      </c>
      <c r="BF367" s="97"/>
      <c r="BG367" s="97" t="str">
        <f>IFERROR(__xludf.DUMMYFUNCTION("""COMPUTED_VALUE"""),"Activo")</f>
        <v>Activo</v>
      </c>
    </row>
    <row r="368">
      <c r="A368" s="97">
        <f>IFERROR(__xludf.DUMMYFUNCTION("""COMPUTED_VALUE"""),4199.0)</f>
        <v>4199</v>
      </c>
      <c r="B368" s="97" t="str">
        <f>IFERROR(__xludf.DUMMYFUNCTION("""COMPUTED_VALUE"""),"KATHARO II NG")</f>
        <v>KATHARO II NG</v>
      </c>
      <c r="C368" s="97" t="str">
        <f>IFERROR(__xludf.DUMMYFUNCTION("""COMPUTED_VALUE"""),"APLIQUE KATHARO II NG 2XGU10 DICRO IP20 LEUK")</f>
        <v>APLIQUE KATHARO II NG 2XGU10 DICRO IP20 LEUK</v>
      </c>
      <c r="D368" s="97">
        <f>IFERROR(__xludf.DUMMYFUNCTION("""COMPUTED_VALUE"""),7.798328754882E12)</f>
        <v>7798328754882</v>
      </c>
      <c r="E368" s="97"/>
      <c r="F368" s="97" t="str">
        <f>IFERROR(__xludf.DUMMYFUNCTION("""COMPUTED_VALUE"""),"2xGU10 Dicro")</f>
        <v>2xGU10 Dicro</v>
      </c>
      <c r="G368" s="97" t="str">
        <f>IFERROR(__xludf.DUMMYFUNCTION("""COMPUTED_VALUE"""),"N/A")</f>
        <v>N/A</v>
      </c>
      <c r="H368" s="97" t="str">
        <f>IFERROR(__xludf.DUMMYFUNCTION("""COMPUTED_VALUE"""),"N/A")</f>
        <v>N/A</v>
      </c>
      <c r="I368" s="97" t="str">
        <f>IFERROR(__xludf.DUMMYFUNCTION("""COMPUTED_VALUE"""),"N/A")</f>
        <v>N/A</v>
      </c>
      <c r="J368" s="97" t="str">
        <f>IFERROR(__xludf.DUMMYFUNCTION("""COMPUTED_VALUE"""),"N/A")</f>
        <v>N/A</v>
      </c>
      <c r="K368" s="97" t="str">
        <f>IFERROR(__xludf.DUMMYFUNCTION("""COMPUTED_VALUE"""),"N/A")</f>
        <v>N/A</v>
      </c>
      <c r="L368" s="97">
        <f>IFERROR(__xludf.DUMMYFUNCTION("""COMPUTED_VALUE"""),220.0)</f>
        <v>220</v>
      </c>
      <c r="M368" s="97">
        <f>IFERROR(__xludf.DUMMYFUNCTION("""COMPUTED_VALUE"""),50.0)</f>
        <v>50</v>
      </c>
      <c r="N368" s="97"/>
      <c r="O368" s="97" t="str">
        <f>IFERROR(__xludf.DUMMYFUNCTION("""COMPUTED_VALUE"""),"2 x 50W Max")</f>
        <v>2 x 50W Max</v>
      </c>
      <c r="P368" s="97"/>
      <c r="Q368" s="97" t="str">
        <f>IFERROR(__xludf.DUMMYFUNCTION("""COMPUTED_VALUE"""),"-")</f>
        <v>-</v>
      </c>
      <c r="R368" s="97" t="str">
        <f>IFERROR(__xludf.DUMMYFUNCTION("""COMPUTED_VALUE"""),"-")</f>
        <v>-</v>
      </c>
      <c r="S368" s="97" t="str">
        <f>IFERROR(__xludf.DUMMYFUNCTION("""COMPUTED_VALUE"""),"-")</f>
        <v>-</v>
      </c>
      <c r="T368" s="97" t="str">
        <f>IFERROR(__xludf.DUMMYFUNCTION("""COMPUTED_VALUE"""),"-")</f>
        <v>-</v>
      </c>
      <c r="U368" s="97" t="str">
        <f>IFERROR(__xludf.DUMMYFUNCTION("""COMPUTED_VALUE"""),"-")</f>
        <v>-</v>
      </c>
      <c r="V368" s="97" t="str">
        <f>IFERROR(__xludf.DUMMYFUNCTION("""COMPUTED_VALUE"""),"N/A")</f>
        <v>N/A</v>
      </c>
      <c r="W368" s="97" t="str">
        <f>IFERROR(__xludf.DUMMYFUNCTION("""COMPUTED_VALUE"""),"N/A")</f>
        <v>N/A</v>
      </c>
      <c r="X368" s="97" t="str">
        <f>IFERROR(__xludf.DUMMYFUNCTION("""COMPUTED_VALUE"""),"-")</f>
        <v>-</v>
      </c>
      <c r="Y368" s="97" t="str">
        <f>IFERROR(__xludf.DUMMYFUNCTION("""COMPUTED_VALUE"""),"N/A")</f>
        <v>N/A</v>
      </c>
      <c r="Z368" s="97" t="str">
        <f>IFERROR(__xludf.DUMMYFUNCTION("""COMPUTED_VALUE"""),"N/A")</f>
        <v>N/A</v>
      </c>
      <c r="AA368" s="97" t="str">
        <f>IFERROR(__xludf.DUMMYFUNCTION("""COMPUTED_VALUE"""),"N/A")</f>
        <v>N/A</v>
      </c>
      <c r="AB368" s="97" t="str">
        <f>IFERROR(__xludf.DUMMYFUNCTION("""COMPUTED_VALUE"""),"N/A")</f>
        <v>N/A</v>
      </c>
      <c r="AC368" s="97" t="str">
        <f>IFERROR(__xludf.DUMMYFUNCTION("""COMPUTED_VALUE"""),"N/A")</f>
        <v>N/A</v>
      </c>
      <c r="AD368" s="97" t="str">
        <f>IFERROR(__xludf.DUMMYFUNCTION("""COMPUTED_VALUE"""),"IP20")</f>
        <v>IP20</v>
      </c>
      <c r="AE368" s="97" t="str">
        <f>IFERROR(__xludf.DUMMYFUNCTION("""COMPUTED_VALUE"""),"Clase l")</f>
        <v>Clase l</v>
      </c>
      <c r="AF368" s="97" t="str">
        <f>IFERROR(__xludf.DUMMYFUNCTION("""COMPUTED_VALUE"""),"Aplicar")</f>
        <v>Aplicar</v>
      </c>
      <c r="AG368" s="97" t="str">
        <f>IFERROR(__xludf.DUMMYFUNCTION("""COMPUTED_VALUE"""),"320 x 30 x 70")</f>
        <v>320 x 30 x 70</v>
      </c>
      <c r="AH368" s="97" t="str">
        <f>IFERROR(__xludf.DUMMYFUNCTION("""COMPUTED_VALUE"""),"N/A")</f>
        <v>N/A</v>
      </c>
      <c r="AI368" s="97" t="str">
        <f>IFERROR(__xludf.DUMMYFUNCTION("""COMPUTED_VALUE"""),"N/A")</f>
        <v>N/A</v>
      </c>
      <c r="AJ368" s="97" t="str">
        <f>IFERROR(__xludf.DUMMYFUNCTION("""COMPUTED_VALUE"""),"N/A")</f>
        <v>N/A</v>
      </c>
      <c r="AK368" s="97" t="str">
        <f>IFERROR(__xludf.DUMMYFUNCTION("""COMPUTED_VALUE"""),"Aluminio")</f>
        <v>Aluminio</v>
      </c>
      <c r="AL368" s="97" t="str">
        <f>IFERROR(__xludf.DUMMYFUNCTION("""COMPUTED_VALUE"""),"Negro Satinado")</f>
        <v>Negro Satinado</v>
      </c>
      <c r="AM368" s="97" t="str">
        <f>IFERROR(__xludf.DUMMYFUNCTION("""COMPUTED_VALUE"""),"-")</f>
        <v>-</v>
      </c>
      <c r="AN368" s="97" t="str">
        <f>IFERROR(__xludf.DUMMYFUNCTION("""COMPUTED_VALUE"""),"N/A")</f>
        <v>N/A</v>
      </c>
      <c r="AO368" s="97" t="str">
        <f>IFERROR(__xludf.DUMMYFUNCTION("""COMPUTED_VALUE"""),"2 Años")</f>
        <v>2 Años</v>
      </c>
      <c r="AP368" s="97" t="str">
        <f>IFERROR(__xludf.DUMMYFUNCTION("""COMPUTED_VALUE"""),"No Aplica")</f>
        <v>No Aplica</v>
      </c>
      <c r="AQ368" s="97" t="str">
        <f>IFERROR(__xludf.DUMMYFUNCTION("""COMPUTED_VALUE"""),"No Aplica")</f>
        <v>No Aplica</v>
      </c>
      <c r="AR368" s="97" t="str">
        <f>IFERROR(__xludf.DUMMYFUNCTION("""COMPUTED_VALUE"""),"No Aplica")</f>
        <v>No Aplica</v>
      </c>
      <c r="AS368" s="97"/>
      <c r="AT368" s="97"/>
      <c r="AU368" s="97" t="str">
        <f>IFERROR(__xludf.DUMMYFUNCTION("""COMPUTED_VALUE"""),"Falta")</f>
        <v>Falta</v>
      </c>
      <c r="AV368" s="97" t="str">
        <f>IFERROR(__xludf.DUMMYFUNCTION("""COMPUTED_VALUE"""),"Aplique")</f>
        <v>Aplique</v>
      </c>
      <c r="AW368" s="97" t="str">
        <f>IFERROR(__xludf.DUMMYFUNCTION("""COMPUTED_VALUE"""),"De Techo")</f>
        <v>De Techo</v>
      </c>
      <c r="AX368" s="97" t="str">
        <f>IFERROR(__xludf.DUMMYFUNCTION("""COMPUTED_VALUE"""),"Interior")</f>
        <v>Interior</v>
      </c>
      <c r="AY368" s="97" t="str">
        <f>IFERROR(__xludf.DUMMYFUNCTION("""COMPUTED_VALUE"""),"-")</f>
        <v>-</v>
      </c>
      <c r="AZ368" s="97"/>
      <c r="BA368" s="97">
        <f>IFERROR(__xludf.DUMMYFUNCTION("""COMPUTED_VALUE"""),12.0)</f>
        <v>12</v>
      </c>
      <c r="BB368" s="97" t="str">
        <f>IFERROR(__xludf.DUMMYFUNCTION("""COMPUTED_VALUE"""),"-")</f>
        <v>-</v>
      </c>
      <c r="BC368" s="97" t="str">
        <f>IFERROR(__xludf.DUMMYFUNCTION("""COMPUTED_VALUE"""),"-")</f>
        <v>-</v>
      </c>
      <c r="BD368" s="97" t="str">
        <f>IFERROR(__xludf.DUMMYFUNCTION("""COMPUTED_VALUE"""),"KATHARO")</f>
        <v>KATHARO</v>
      </c>
      <c r="BE368" s="97" t="str">
        <f>IFERROR(__xludf.DUMMYFUNCTION("""COMPUTED_VALUE"""),"Finalizada")</f>
        <v>Finalizada</v>
      </c>
      <c r="BF368" s="97"/>
      <c r="BG368" s="97" t="str">
        <f>IFERROR(__xludf.DUMMYFUNCTION("""COMPUTED_VALUE"""),"Activo")</f>
        <v>Activo</v>
      </c>
    </row>
    <row r="369">
      <c r="A369" s="97">
        <f>IFERROR(__xludf.DUMMYFUNCTION("""COMPUTED_VALUE"""),4200.0)</f>
        <v>4200</v>
      </c>
      <c r="B369" s="97" t="str">
        <f>IFERROR(__xludf.DUMMYFUNCTION("""COMPUTED_VALUE"""),"KATHARO III BL")</f>
        <v>KATHARO III BL</v>
      </c>
      <c r="C369" s="97" t="str">
        <f>IFERROR(__xludf.DUMMYFUNCTION("""COMPUTED_VALUE"""),"APLIQUE KATHARO III BL 3XGU10 DICRO IP20 LEUK")</f>
        <v>APLIQUE KATHARO III BL 3XGU10 DICRO IP20 LEUK</v>
      </c>
      <c r="D369" s="97">
        <f>IFERROR(__xludf.DUMMYFUNCTION("""COMPUTED_VALUE"""),7.798328754851E12)</f>
        <v>7798328754851</v>
      </c>
      <c r="E369" s="97"/>
      <c r="F369" s="97" t="str">
        <f>IFERROR(__xludf.DUMMYFUNCTION("""COMPUTED_VALUE"""),"3xGU10 Dicro")</f>
        <v>3xGU10 Dicro</v>
      </c>
      <c r="G369" s="97" t="str">
        <f>IFERROR(__xludf.DUMMYFUNCTION("""COMPUTED_VALUE"""),"N/A")</f>
        <v>N/A</v>
      </c>
      <c r="H369" s="97" t="str">
        <f>IFERROR(__xludf.DUMMYFUNCTION("""COMPUTED_VALUE"""),"N/A")</f>
        <v>N/A</v>
      </c>
      <c r="I369" s="97" t="str">
        <f>IFERROR(__xludf.DUMMYFUNCTION("""COMPUTED_VALUE"""),"N/A")</f>
        <v>N/A</v>
      </c>
      <c r="J369" s="97" t="str">
        <f>IFERROR(__xludf.DUMMYFUNCTION("""COMPUTED_VALUE"""),"N/A")</f>
        <v>N/A</v>
      </c>
      <c r="K369" s="97" t="str">
        <f>IFERROR(__xludf.DUMMYFUNCTION("""COMPUTED_VALUE"""),"N/A")</f>
        <v>N/A</v>
      </c>
      <c r="L369" s="97">
        <f>IFERROR(__xludf.DUMMYFUNCTION("""COMPUTED_VALUE"""),220.0)</f>
        <v>220</v>
      </c>
      <c r="M369" s="97">
        <f>IFERROR(__xludf.DUMMYFUNCTION("""COMPUTED_VALUE"""),50.0)</f>
        <v>50</v>
      </c>
      <c r="N369" s="97"/>
      <c r="O369" s="97" t="str">
        <f>IFERROR(__xludf.DUMMYFUNCTION("""COMPUTED_VALUE"""),"3 x 50W Max")</f>
        <v>3 x 50W Max</v>
      </c>
      <c r="P369" s="97"/>
      <c r="Q369" s="97" t="str">
        <f>IFERROR(__xludf.DUMMYFUNCTION("""COMPUTED_VALUE"""),"-")</f>
        <v>-</v>
      </c>
      <c r="R369" s="97" t="str">
        <f>IFERROR(__xludf.DUMMYFUNCTION("""COMPUTED_VALUE"""),"-")</f>
        <v>-</v>
      </c>
      <c r="S369" s="97" t="str">
        <f>IFERROR(__xludf.DUMMYFUNCTION("""COMPUTED_VALUE"""),"-")</f>
        <v>-</v>
      </c>
      <c r="T369" s="97" t="str">
        <f>IFERROR(__xludf.DUMMYFUNCTION("""COMPUTED_VALUE"""),"-")</f>
        <v>-</v>
      </c>
      <c r="U369" s="97" t="str">
        <f>IFERROR(__xludf.DUMMYFUNCTION("""COMPUTED_VALUE"""),"-")</f>
        <v>-</v>
      </c>
      <c r="V369" s="97" t="str">
        <f>IFERROR(__xludf.DUMMYFUNCTION("""COMPUTED_VALUE"""),"N/A")</f>
        <v>N/A</v>
      </c>
      <c r="W369" s="97" t="str">
        <f>IFERROR(__xludf.DUMMYFUNCTION("""COMPUTED_VALUE"""),"N/A")</f>
        <v>N/A</v>
      </c>
      <c r="X369" s="97" t="str">
        <f>IFERROR(__xludf.DUMMYFUNCTION("""COMPUTED_VALUE"""),"-")</f>
        <v>-</v>
      </c>
      <c r="Y369" s="97" t="str">
        <f>IFERROR(__xludf.DUMMYFUNCTION("""COMPUTED_VALUE"""),"N/A")</f>
        <v>N/A</v>
      </c>
      <c r="Z369" s="97" t="str">
        <f>IFERROR(__xludf.DUMMYFUNCTION("""COMPUTED_VALUE"""),"N/A")</f>
        <v>N/A</v>
      </c>
      <c r="AA369" s="97" t="str">
        <f>IFERROR(__xludf.DUMMYFUNCTION("""COMPUTED_VALUE"""),"N/A")</f>
        <v>N/A</v>
      </c>
      <c r="AB369" s="97" t="str">
        <f>IFERROR(__xludf.DUMMYFUNCTION("""COMPUTED_VALUE"""),"N/A")</f>
        <v>N/A</v>
      </c>
      <c r="AC369" s="97" t="str">
        <f>IFERROR(__xludf.DUMMYFUNCTION("""COMPUTED_VALUE"""),"N/A")</f>
        <v>N/A</v>
      </c>
      <c r="AD369" s="97" t="str">
        <f>IFERROR(__xludf.DUMMYFUNCTION("""COMPUTED_VALUE"""),"IP20")</f>
        <v>IP20</v>
      </c>
      <c r="AE369" s="97" t="str">
        <f>IFERROR(__xludf.DUMMYFUNCTION("""COMPUTED_VALUE"""),"Clase l")</f>
        <v>Clase l</v>
      </c>
      <c r="AF369" s="97" t="str">
        <f>IFERROR(__xludf.DUMMYFUNCTION("""COMPUTED_VALUE"""),"Aplicar")</f>
        <v>Aplicar</v>
      </c>
      <c r="AG369" s="97" t="str">
        <f>IFERROR(__xludf.DUMMYFUNCTION("""COMPUTED_VALUE"""),"540 x 30 x 70")</f>
        <v>540 x 30 x 70</v>
      </c>
      <c r="AH369" s="97" t="str">
        <f>IFERROR(__xludf.DUMMYFUNCTION("""COMPUTED_VALUE"""),"N/A")</f>
        <v>N/A</v>
      </c>
      <c r="AI369" s="97" t="str">
        <f>IFERROR(__xludf.DUMMYFUNCTION("""COMPUTED_VALUE"""),"N/A")</f>
        <v>N/A</v>
      </c>
      <c r="AJ369" s="97" t="str">
        <f>IFERROR(__xludf.DUMMYFUNCTION("""COMPUTED_VALUE"""),"N/A")</f>
        <v>N/A</v>
      </c>
      <c r="AK369" s="97" t="str">
        <f>IFERROR(__xludf.DUMMYFUNCTION("""COMPUTED_VALUE"""),"Aluminio")</f>
        <v>Aluminio</v>
      </c>
      <c r="AL369" s="97" t="str">
        <f>IFERROR(__xludf.DUMMYFUNCTION("""COMPUTED_VALUE"""),"Blanco Satinado")</f>
        <v>Blanco Satinado</v>
      </c>
      <c r="AM369" s="97" t="str">
        <f>IFERROR(__xludf.DUMMYFUNCTION("""COMPUTED_VALUE"""),"-")</f>
        <v>-</v>
      </c>
      <c r="AN369" s="97" t="str">
        <f>IFERROR(__xludf.DUMMYFUNCTION("""COMPUTED_VALUE"""),"N/A")</f>
        <v>N/A</v>
      </c>
      <c r="AO369" s="97" t="str">
        <f>IFERROR(__xludf.DUMMYFUNCTION("""COMPUTED_VALUE"""),"2 Años")</f>
        <v>2 Años</v>
      </c>
      <c r="AP369" s="97" t="str">
        <f>IFERROR(__xludf.DUMMYFUNCTION("""COMPUTED_VALUE"""),"No Aplica")</f>
        <v>No Aplica</v>
      </c>
      <c r="AQ369" s="97" t="str">
        <f>IFERROR(__xludf.DUMMYFUNCTION("""COMPUTED_VALUE"""),"No Aplica")</f>
        <v>No Aplica</v>
      </c>
      <c r="AR369" s="97" t="str">
        <f>IFERROR(__xludf.DUMMYFUNCTION("""COMPUTED_VALUE"""),"No Aplica")</f>
        <v>No Aplica</v>
      </c>
      <c r="AS369" s="97"/>
      <c r="AT369" s="97"/>
      <c r="AU369" s="97" t="str">
        <f>IFERROR(__xludf.DUMMYFUNCTION("""COMPUTED_VALUE"""),"Falta")</f>
        <v>Falta</v>
      </c>
      <c r="AV369" s="97" t="str">
        <f>IFERROR(__xludf.DUMMYFUNCTION("""COMPUTED_VALUE"""),"Aplique")</f>
        <v>Aplique</v>
      </c>
      <c r="AW369" s="97" t="str">
        <f>IFERROR(__xludf.DUMMYFUNCTION("""COMPUTED_VALUE"""),"De Techo")</f>
        <v>De Techo</v>
      </c>
      <c r="AX369" s="97" t="str">
        <f>IFERROR(__xludf.DUMMYFUNCTION("""COMPUTED_VALUE"""),"Interior")</f>
        <v>Interior</v>
      </c>
      <c r="AY369" s="97" t="str">
        <f>IFERROR(__xludf.DUMMYFUNCTION("""COMPUTED_VALUE"""),"-")</f>
        <v>-</v>
      </c>
      <c r="AZ369" s="97"/>
      <c r="BA369" s="97">
        <f>IFERROR(__xludf.DUMMYFUNCTION("""COMPUTED_VALUE"""),12.0)</f>
        <v>12</v>
      </c>
      <c r="BB369" s="97" t="str">
        <f>IFERROR(__xludf.DUMMYFUNCTION("""COMPUTED_VALUE"""),"-")</f>
        <v>-</v>
      </c>
      <c r="BC369" s="97" t="str">
        <f>IFERROR(__xludf.DUMMYFUNCTION("""COMPUTED_VALUE"""),"-")</f>
        <v>-</v>
      </c>
      <c r="BD369" s="97" t="str">
        <f>IFERROR(__xludf.DUMMYFUNCTION("""COMPUTED_VALUE"""),"KATHARO")</f>
        <v>KATHARO</v>
      </c>
      <c r="BE369" s="97" t="str">
        <f>IFERROR(__xludf.DUMMYFUNCTION("""COMPUTED_VALUE"""),"Finalizada")</f>
        <v>Finalizada</v>
      </c>
      <c r="BF369" s="97"/>
      <c r="BG369" s="97" t="str">
        <f>IFERROR(__xludf.DUMMYFUNCTION("""COMPUTED_VALUE"""),"Activo")</f>
        <v>Activo</v>
      </c>
    </row>
    <row r="370">
      <c r="A370" s="97">
        <f>IFERROR(__xludf.DUMMYFUNCTION("""COMPUTED_VALUE"""),4201.0)</f>
        <v>4201</v>
      </c>
      <c r="B370" s="97" t="str">
        <f>IFERROR(__xludf.DUMMYFUNCTION("""COMPUTED_VALUE"""),"KATHARO III NG")</f>
        <v>KATHARO III NG</v>
      </c>
      <c r="C370" s="97" t="str">
        <f>IFERROR(__xludf.DUMMYFUNCTION("""COMPUTED_VALUE"""),"APLIQUE KATHARO III NG 3XGU10 DICRO IP20 LEUK")</f>
        <v>APLIQUE KATHARO III NG 3XGU10 DICRO IP20 LEUK</v>
      </c>
      <c r="D370" s="97">
        <f>IFERROR(__xludf.DUMMYFUNCTION("""COMPUTED_VALUE"""),7.798328754868E12)</f>
        <v>7798328754868</v>
      </c>
      <c r="E370" s="97"/>
      <c r="F370" s="97" t="str">
        <f>IFERROR(__xludf.DUMMYFUNCTION("""COMPUTED_VALUE"""),"3xGU10 Dicro")</f>
        <v>3xGU10 Dicro</v>
      </c>
      <c r="G370" s="97" t="str">
        <f>IFERROR(__xludf.DUMMYFUNCTION("""COMPUTED_VALUE"""),"N/A")</f>
        <v>N/A</v>
      </c>
      <c r="H370" s="97" t="str">
        <f>IFERROR(__xludf.DUMMYFUNCTION("""COMPUTED_VALUE"""),"N/A")</f>
        <v>N/A</v>
      </c>
      <c r="I370" s="97" t="str">
        <f>IFERROR(__xludf.DUMMYFUNCTION("""COMPUTED_VALUE"""),"N/A")</f>
        <v>N/A</v>
      </c>
      <c r="J370" s="97" t="str">
        <f>IFERROR(__xludf.DUMMYFUNCTION("""COMPUTED_VALUE"""),"N/A")</f>
        <v>N/A</v>
      </c>
      <c r="K370" s="97" t="str">
        <f>IFERROR(__xludf.DUMMYFUNCTION("""COMPUTED_VALUE"""),"N/A")</f>
        <v>N/A</v>
      </c>
      <c r="L370" s="97">
        <f>IFERROR(__xludf.DUMMYFUNCTION("""COMPUTED_VALUE"""),220.0)</f>
        <v>220</v>
      </c>
      <c r="M370" s="97">
        <f>IFERROR(__xludf.DUMMYFUNCTION("""COMPUTED_VALUE"""),50.0)</f>
        <v>50</v>
      </c>
      <c r="N370" s="97"/>
      <c r="O370" s="97" t="str">
        <f>IFERROR(__xludf.DUMMYFUNCTION("""COMPUTED_VALUE"""),"3 x 50W Max")</f>
        <v>3 x 50W Max</v>
      </c>
      <c r="P370" s="97"/>
      <c r="Q370" s="97" t="str">
        <f>IFERROR(__xludf.DUMMYFUNCTION("""COMPUTED_VALUE"""),"-")</f>
        <v>-</v>
      </c>
      <c r="R370" s="97" t="str">
        <f>IFERROR(__xludf.DUMMYFUNCTION("""COMPUTED_VALUE"""),"-")</f>
        <v>-</v>
      </c>
      <c r="S370" s="97" t="str">
        <f>IFERROR(__xludf.DUMMYFUNCTION("""COMPUTED_VALUE"""),"-")</f>
        <v>-</v>
      </c>
      <c r="T370" s="97" t="str">
        <f>IFERROR(__xludf.DUMMYFUNCTION("""COMPUTED_VALUE"""),"-")</f>
        <v>-</v>
      </c>
      <c r="U370" s="97" t="str">
        <f>IFERROR(__xludf.DUMMYFUNCTION("""COMPUTED_VALUE"""),"-")</f>
        <v>-</v>
      </c>
      <c r="V370" s="97" t="str">
        <f>IFERROR(__xludf.DUMMYFUNCTION("""COMPUTED_VALUE"""),"N/A")</f>
        <v>N/A</v>
      </c>
      <c r="W370" s="97" t="str">
        <f>IFERROR(__xludf.DUMMYFUNCTION("""COMPUTED_VALUE"""),"N/A")</f>
        <v>N/A</v>
      </c>
      <c r="X370" s="97" t="str">
        <f>IFERROR(__xludf.DUMMYFUNCTION("""COMPUTED_VALUE"""),"-")</f>
        <v>-</v>
      </c>
      <c r="Y370" s="97" t="str">
        <f>IFERROR(__xludf.DUMMYFUNCTION("""COMPUTED_VALUE"""),"N/A")</f>
        <v>N/A</v>
      </c>
      <c r="Z370" s="97" t="str">
        <f>IFERROR(__xludf.DUMMYFUNCTION("""COMPUTED_VALUE"""),"N/A")</f>
        <v>N/A</v>
      </c>
      <c r="AA370" s="97" t="str">
        <f>IFERROR(__xludf.DUMMYFUNCTION("""COMPUTED_VALUE"""),"N/A")</f>
        <v>N/A</v>
      </c>
      <c r="AB370" s="97" t="str">
        <f>IFERROR(__xludf.DUMMYFUNCTION("""COMPUTED_VALUE"""),"N/A")</f>
        <v>N/A</v>
      </c>
      <c r="AC370" s="97" t="str">
        <f>IFERROR(__xludf.DUMMYFUNCTION("""COMPUTED_VALUE"""),"N/A")</f>
        <v>N/A</v>
      </c>
      <c r="AD370" s="97" t="str">
        <f>IFERROR(__xludf.DUMMYFUNCTION("""COMPUTED_VALUE"""),"IP20")</f>
        <v>IP20</v>
      </c>
      <c r="AE370" s="97" t="str">
        <f>IFERROR(__xludf.DUMMYFUNCTION("""COMPUTED_VALUE"""),"Clase l")</f>
        <v>Clase l</v>
      </c>
      <c r="AF370" s="97" t="str">
        <f>IFERROR(__xludf.DUMMYFUNCTION("""COMPUTED_VALUE"""),"Aplicar")</f>
        <v>Aplicar</v>
      </c>
      <c r="AG370" s="97" t="str">
        <f>IFERROR(__xludf.DUMMYFUNCTION("""COMPUTED_VALUE"""),"540 x 30 x 70")</f>
        <v>540 x 30 x 70</v>
      </c>
      <c r="AH370" s="97" t="str">
        <f>IFERROR(__xludf.DUMMYFUNCTION("""COMPUTED_VALUE"""),"N/A")</f>
        <v>N/A</v>
      </c>
      <c r="AI370" s="97" t="str">
        <f>IFERROR(__xludf.DUMMYFUNCTION("""COMPUTED_VALUE"""),"N/A")</f>
        <v>N/A</v>
      </c>
      <c r="AJ370" s="97" t="str">
        <f>IFERROR(__xludf.DUMMYFUNCTION("""COMPUTED_VALUE"""),"N/A")</f>
        <v>N/A</v>
      </c>
      <c r="AK370" s="97" t="str">
        <f>IFERROR(__xludf.DUMMYFUNCTION("""COMPUTED_VALUE"""),"Aluminio")</f>
        <v>Aluminio</v>
      </c>
      <c r="AL370" s="97" t="str">
        <f>IFERROR(__xludf.DUMMYFUNCTION("""COMPUTED_VALUE"""),"Negro Satinado")</f>
        <v>Negro Satinado</v>
      </c>
      <c r="AM370" s="97" t="str">
        <f>IFERROR(__xludf.DUMMYFUNCTION("""COMPUTED_VALUE"""),"-")</f>
        <v>-</v>
      </c>
      <c r="AN370" s="97" t="str">
        <f>IFERROR(__xludf.DUMMYFUNCTION("""COMPUTED_VALUE"""),"N/A")</f>
        <v>N/A</v>
      </c>
      <c r="AO370" s="97" t="str">
        <f>IFERROR(__xludf.DUMMYFUNCTION("""COMPUTED_VALUE"""),"2 Años")</f>
        <v>2 Años</v>
      </c>
      <c r="AP370" s="97" t="str">
        <f>IFERROR(__xludf.DUMMYFUNCTION("""COMPUTED_VALUE"""),"No Aplica")</f>
        <v>No Aplica</v>
      </c>
      <c r="AQ370" s="97" t="str">
        <f>IFERROR(__xludf.DUMMYFUNCTION("""COMPUTED_VALUE"""),"No Aplica")</f>
        <v>No Aplica</v>
      </c>
      <c r="AR370" s="97" t="str">
        <f>IFERROR(__xludf.DUMMYFUNCTION("""COMPUTED_VALUE"""),"No Aplica")</f>
        <v>No Aplica</v>
      </c>
      <c r="AS370" s="97"/>
      <c r="AT370" s="97"/>
      <c r="AU370" s="97" t="str">
        <f>IFERROR(__xludf.DUMMYFUNCTION("""COMPUTED_VALUE"""),"Falta")</f>
        <v>Falta</v>
      </c>
      <c r="AV370" s="97" t="str">
        <f>IFERROR(__xludf.DUMMYFUNCTION("""COMPUTED_VALUE"""),"Aplique")</f>
        <v>Aplique</v>
      </c>
      <c r="AW370" s="97" t="str">
        <f>IFERROR(__xludf.DUMMYFUNCTION("""COMPUTED_VALUE"""),"De Techo")</f>
        <v>De Techo</v>
      </c>
      <c r="AX370" s="97" t="str">
        <f>IFERROR(__xludf.DUMMYFUNCTION("""COMPUTED_VALUE"""),"Interior")</f>
        <v>Interior</v>
      </c>
      <c r="AY370" s="97" t="str">
        <f>IFERROR(__xludf.DUMMYFUNCTION("""COMPUTED_VALUE"""),"-")</f>
        <v>-</v>
      </c>
      <c r="AZ370" s="97"/>
      <c r="BA370" s="97">
        <f>IFERROR(__xludf.DUMMYFUNCTION("""COMPUTED_VALUE"""),12.0)</f>
        <v>12</v>
      </c>
      <c r="BB370" s="97" t="str">
        <f>IFERROR(__xludf.DUMMYFUNCTION("""COMPUTED_VALUE"""),"-")</f>
        <v>-</v>
      </c>
      <c r="BC370" s="97" t="str">
        <f>IFERROR(__xludf.DUMMYFUNCTION("""COMPUTED_VALUE"""),"-")</f>
        <v>-</v>
      </c>
      <c r="BD370" s="97" t="str">
        <f>IFERROR(__xludf.DUMMYFUNCTION("""COMPUTED_VALUE"""),"KATHARO")</f>
        <v>KATHARO</v>
      </c>
      <c r="BE370" s="97" t="str">
        <f>IFERROR(__xludf.DUMMYFUNCTION("""COMPUTED_VALUE"""),"Finalizada")</f>
        <v>Finalizada</v>
      </c>
      <c r="BF370" s="97"/>
      <c r="BG370" s="97" t="str">
        <f>IFERROR(__xludf.DUMMYFUNCTION("""COMPUTED_VALUE"""),"Activo")</f>
        <v>Activo</v>
      </c>
    </row>
    <row r="371">
      <c r="A371" s="97">
        <f>IFERROR(__xludf.DUMMYFUNCTION("""COMPUTED_VALUE"""),4202.0)</f>
        <v>4202</v>
      </c>
      <c r="B371" s="97" t="str">
        <f>IFERROR(__xludf.DUMMYFUNCTION("""COMPUTED_VALUE"""),"KATHARO IV BL")</f>
        <v>KATHARO IV BL</v>
      </c>
      <c r="C371" s="97" t="str">
        <f>IFERROR(__xludf.DUMMYFUNCTION("""COMPUTED_VALUE"""),"APLIQUE KATHARO IV BL 4XGU10 DICRO IP20 LEUK")</f>
        <v>APLIQUE KATHARO IV BL 4XGU10 DICRO IP20 LEUK</v>
      </c>
      <c r="D371" s="97">
        <f>IFERROR(__xludf.DUMMYFUNCTION("""COMPUTED_VALUE"""),7.798328754837E12)</f>
        <v>7798328754837</v>
      </c>
      <c r="E371" s="97"/>
      <c r="F371" s="97" t="str">
        <f>IFERROR(__xludf.DUMMYFUNCTION("""COMPUTED_VALUE"""),"4xGU10 Dicro")</f>
        <v>4xGU10 Dicro</v>
      </c>
      <c r="G371" s="97" t="str">
        <f>IFERROR(__xludf.DUMMYFUNCTION("""COMPUTED_VALUE"""),"N/A")</f>
        <v>N/A</v>
      </c>
      <c r="H371" s="97" t="str">
        <f>IFERROR(__xludf.DUMMYFUNCTION("""COMPUTED_VALUE"""),"N/A")</f>
        <v>N/A</v>
      </c>
      <c r="I371" s="97" t="str">
        <f>IFERROR(__xludf.DUMMYFUNCTION("""COMPUTED_VALUE"""),"N/A")</f>
        <v>N/A</v>
      </c>
      <c r="J371" s="97" t="str">
        <f>IFERROR(__xludf.DUMMYFUNCTION("""COMPUTED_VALUE"""),"N/A")</f>
        <v>N/A</v>
      </c>
      <c r="K371" s="97" t="str">
        <f>IFERROR(__xludf.DUMMYFUNCTION("""COMPUTED_VALUE"""),"N/A")</f>
        <v>N/A</v>
      </c>
      <c r="L371" s="97">
        <f>IFERROR(__xludf.DUMMYFUNCTION("""COMPUTED_VALUE"""),220.0)</f>
        <v>220</v>
      </c>
      <c r="M371" s="97">
        <f>IFERROR(__xludf.DUMMYFUNCTION("""COMPUTED_VALUE"""),50.0)</f>
        <v>50</v>
      </c>
      <c r="N371" s="97"/>
      <c r="O371" s="97" t="str">
        <f>IFERROR(__xludf.DUMMYFUNCTION("""COMPUTED_VALUE"""),"4 x 50W Max")</f>
        <v>4 x 50W Max</v>
      </c>
      <c r="P371" s="97"/>
      <c r="Q371" s="97" t="str">
        <f>IFERROR(__xludf.DUMMYFUNCTION("""COMPUTED_VALUE"""),"-")</f>
        <v>-</v>
      </c>
      <c r="R371" s="97" t="str">
        <f>IFERROR(__xludf.DUMMYFUNCTION("""COMPUTED_VALUE"""),"-")</f>
        <v>-</v>
      </c>
      <c r="S371" s="97" t="str">
        <f>IFERROR(__xludf.DUMMYFUNCTION("""COMPUTED_VALUE"""),"-")</f>
        <v>-</v>
      </c>
      <c r="T371" s="97" t="str">
        <f>IFERROR(__xludf.DUMMYFUNCTION("""COMPUTED_VALUE"""),"-")</f>
        <v>-</v>
      </c>
      <c r="U371" s="97" t="str">
        <f>IFERROR(__xludf.DUMMYFUNCTION("""COMPUTED_VALUE"""),"-")</f>
        <v>-</v>
      </c>
      <c r="V371" s="97" t="str">
        <f>IFERROR(__xludf.DUMMYFUNCTION("""COMPUTED_VALUE"""),"N/A")</f>
        <v>N/A</v>
      </c>
      <c r="W371" s="97" t="str">
        <f>IFERROR(__xludf.DUMMYFUNCTION("""COMPUTED_VALUE"""),"N/A")</f>
        <v>N/A</v>
      </c>
      <c r="X371" s="97" t="str">
        <f>IFERROR(__xludf.DUMMYFUNCTION("""COMPUTED_VALUE"""),"-")</f>
        <v>-</v>
      </c>
      <c r="Y371" s="97" t="str">
        <f>IFERROR(__xludf.DUMMYFUNCTION("""COMPUTED_VALUE"""),"N/A")</f>
        <v>N/A</v>
      </c>
      <c r="Z371" s="97" t="str">
        <f>IFERROR(__xludf.DUMMYFUNCTION("""COMPUTED_VALUE"""),"N/A")</f>
        <v>N/A</v>
      </c>
      <c r="AA371" s="97" t="str">
        <f>IFERROR(__xludf.DUMMYFUNCTION("""COMPUTED_VALUE"""),"N/A")</f>
        <v>N/A</v>
      </c>
      <c r="AB371" s="97" t="str">
        <f>IFERROR(__xludf.DUMMYFUNCTION("""COMPUTED_VALUE"""),"N/A")</f>
        <v>N/A</v>
      </c>
      <c r="AC371" s="97" t="str">
        <f>IFERROR(__xludf.DUMMYFUNCTION("""COMPUTED_VALUE"""),"N/A")</f>
        <v>N/A</v>
      </c>
      <c r="AD371" s="97" t="str">
        <f>IFERROR(__xludf.DUMMYFUNCTION("""COMPUTED_VALUE"""),"IP20")</f>
        <v>IP20</v>
      </c>
      <c r="AE371" s="97" t="str">
        <f>IFERROR(__xludf.DUMMYFUNCTION("""COMPUTED_VALUE"""),"Clase l")</f>
        <v>Clase l</v>
      </c>
      <c r="AF371" s="97" t="str">
        <f>IFERROR(__xludf.DUMMYFUNCTION("""COMPUTED_VALUE"""),"Aplicar")</f>
        <v>Aplicar</v>
      </c>
      <c r="AG371" s="97" t="str">
        <f>IFERROR(__xludf.DUMMYFUNCTION("""COMPUTED_VALUE"""),"750 x 30 x 70")</f>
        <v>750 x 30 x 70</v>
      </c>
      <c r="AH371" s="97" t="str">
        <f>IFERROR(__xludf.DUMMYFUNCTION("""COMPUTED_VALUE"""),"N/A")</f>
        <v>N/A</v>
      </c>
      <c r="AI371" s="97" t="str">
        <f>IFERROR(__xludf.DUMMYFUNCTION("""COMPUTED_VALUE"""),"N/A")</f>
        <v>N/A</v>
      </c>
      <c r="AJ371" s="97" t="str">
        <f>IFERROR(__xludf.DUMMYFUNCTION("""COMPUTED_VALUE"""),"N/A")</f>
        <v>N/A</v>
      </c>
      <c r="AK371" s="97" t="str">
        <f>IFERROR(__xludf.DUMMYFUNCTION("""COMPUTED_VALUE"""),"Aluminio")</f>
        <v>Aluminio</v>
      </c>
      <c r="AL371" s="97" t="str">
        <f>IFERROR(__xludf.DUMMYFUNCTION("""COMPUTED_VALUE"""),"Blanco Satinado")</f>
        <v>Blanco Satinado</v>
      </c>
      <c r="AM371" s="97" t="str">
        <f>IFERROR(__xludf.DUMMYFUNCTION("""COMPUTED_VALUE"""),"-")</f>
        <v>-</v>
      </c>
      <c r="AN371" s="97" t="str">
        <f>IFERROR(__xludf.DUMMYFUNCTION("""COMPUTED_VALUE"""),"N/A")</f>
        <v>N/A</v>
      </c>
      <c r="AO371" s="97" t="str">
        <f>IFERROR(__xludf.DUMMYFUNCTION("""COMPUTED_VALUE"""),"2 Años")</f>
        <v>2 Años</v>
      </c>
      <c r="AP371" s="97" t="str">
        <f>IFERROR(__xludf.DUMMYFUNCTION("""COMPUTED_VALUE"""),"No Aplica")</f>
        <v>No Aplica</v>
      </c>
      <c r="AQ371" s="97" t="str">
        <f>IFERROR(__xludf.DUMMYFUNCTION("""COMPUTED_VALUE"""),"No Aplica")</f>
        <v>No Aplica</v>
      </c>
      <c r="AR371" s="97" t="str">
        <f>IFERROR(__xludf.DUMMYFUNCTION("""COMPUTED_VALUE"""),"No Aplica")</f>
        <v>No Aplica</v>
      </c>
      <c r="AS371" s="97"/>
      <c r="AT371" s="97"/>
      <c r="AU371" s="97" t="str">
        <f>IFERROR(__xludf.DUMMYFUNCTION("""COMPUTED_VALUE"""),"Falta")</f>
        <v>Falta</v>
      </c>
      <c r="AV371" s="97" t="str">
        <f>IFERROR(__xludf.DUMMYFUNCTION("""COMPUTED_VALUE"""),"Aplique")</f>
        <v>Aplique</v>
      </c>
      <c r="AW371" s="97" t="str">
        <f>IFERROR(__xludf.DUMMYFUNCTION("""COMPUTED_VALUE"""),"De Techo")</f>
        <v>De Techo</v>
      </c>
      <c r="AX371" s="97" t="str">
        <f>IFERROR(__xludf.DUMMYFUNCTION("""COMPUTED_VALUE"""),"Interior")</f>
        <v>Interior</v>
      </c>
      <c r="AY371" s="97" t="str">
        <f>IFERROR(__xludf.DUMMYFUNCTION("""COMPUTED_VALUE"""),"-")</f>
        <v>-</v>
      </c>
      <c r="AZ371" s="97"/>
      <c r="BA371" s="97">
        <f>IFERROR(__xludf.DUMMYFUNCTION("""COMPUTED_VALUE"""),6.0)</f>
        <v>6</v>
      </c>
      <c r="BB371" s="97" t="str">
        <f>IFERROR(__xludf.DUMMYFUNCTION("""COMPUTED_VALUE"""),"-")</f>
        <v>-</v>
      </c>
      <c r="BC371" s="97" t="str">
        <f>IFERROR(__xludf.DUMMYFUNCTION("""COMPUTED_VALUE"""),"-")</f>
        <v>-</v>
      </c>
      <c r="BD371" s="97" t="str">
        <f>IFERROR(__xludf.DUMMYFUNCTION("""COMPUTED_VALUE"""),"KATHARO")</f>
        <v>KATHARO</v>
      </c>
      <c r="BE371" s="97" t="str">
        <f>IFERROR(__xludf.DUMMYFUNCTION("""COMPUTED_VALUE"""),"Finalizada")</f>
        <v>Finalizada</v>
      </c>
      <c r="BF371" s="97"/>
      <c r="BG371" s="97" t="str">
        <f>IFERROR(__xludf.DUMMYFUNCTION("""COMPUTED_VALUE"""),"Activo")</f>
        <v>Activo</v>
      </c>
    </row>
    <row r="372">
      <c r="A372" s="97">
        <f>IFERROR(__xludf.DUMMYFUNCTION("""COMPUTED_VALUE"""),4203.0)</f>
        <v>4203</v>
      </c>
      <c r="B372" s="97" t="str">
        <f>IFERROR(__xludf.DUMMYFUNCTION("""COMPUTED_VALUE"""),"KATHARO IV NG")</f>
        <v>KATHARO IV NG</v>
      </c>
      <c r="C372" s="97" t="str">
        <f>IFERROR(__xludf.DUMMYFUNCTION("""COMPUTED_VALUE"""),"APLIQUE KATHARO IV NG 4XGU10 DICRO IP20 LEUK")</f>
        <v>APLIQUE KATHARO IV NG 4XGU10 DICRO IP20 LEUK</v>
      </c>
      <c r="D372" s="97">
        <f>IFERROR(__xludf.DUMMYFUNCTION("""COMPUTED_VALUE"""),7.798328754844E12)</f>
        <v>7798328754844</v>
      </c>
      <c r="E372" s="97"/>
      <c r="F372" s="97" t="str">
        <f>IFERROR(__xludf.DUMMYFUNCTION("""COMPUTED_VALUE"""),"4xGU10 Dicro")</f>
        <v>4xGU10 Dicro</v>
      </c>
      <c r="G372" s="97" t="str">
        <f>IFERROR(__xludf.DUMMYFUNCTION("""COMPUTED_VALUE"""),"N/A")</f>
        <v>N/A</v>
      </c>
      <c r="H372" s="97" t="str">
        <f>IFERROR(__xludf.DUMMYFUNCTION("""COMPUTED_VALUE"""),"N/A")</f>
        <v>N/A</v>
      </c>
      <c r="I372" s="97" t="str">
        <f>IFERROR(__xludf.DUMMYFUNCTION("""COMPUTED_VALUE"""),"N/A")</f>
        <v>N/A</v>
      </c>
      <c r="J372" s="97" t="str">
        <f>IFERROR(__xludf.DUMMYFUNCTION("""COMPUTED_VALUE"""),"N/A")</f>
        <v>N/A</v>
      </c>
      <c r="K372" s="97" t="str">
        <f>IFERROR(__xludf.DUMMYFUNCTION("""COMPUTED_VALUE"""),"N/A")</f>
        <v>N/A</v>
      </c>
      <c r="L372" s="97">
        <f>IFERROR(__xludf.DUMMYFUNCTION("""COMPUTED_VALUE"""),220.0)</f>
        <v>220</v>
      </c>
      <c r="M372" s="97">
        <f>IFERROR(__xludf.DUMMYFUNCTION("""COMPUTED_VALUE"""),50.0)</f>
        <v>50</v>
      </c>
      <c r="N372" s="97"/>
      <c r="O372" s="97" t="str">
        <f>IFERROR(__xludf.DUMMYFUNCTION("""COMPUTED_VALUE"""),"4 x 50W Max")</f>
        <v>4 x 50W Max</v>
      </c>
      <c r="P372" s="97"/>
      <c r="Q372" s="97" t="str">
        <f>IFERROR(__xludf.DUMMYFUNCTION("""COMPUTED_VALUE"""),"-")</f>
        <v>-</v>
      </c>
      <c r="R372" s="97" t="str">
        <f>IFERROR(__xludf.DUMMYFUNCTION("""COMPUTED_VALUE"""),"-")</f>
        <v>-</v>
      </c>
      <c r="S372" s="97" t="str">
        <f>IFERROR(__xludf.DUMMYFUNCTION("""COMPUTED_VALUE"""),"-")</f>
        <v>-</v>
      </c>
      <c r="T372" s="97" t="str">
        <f>IFERROR(__xludf.DUMMYFUNCTION("""COMPUTED_VALUE"""),"-")</f>
        <v>-</v>
      </c>
      <c r="U372" s="97" t="str">
        <f>IFERROR(__xludf.DUMMYFUNCTION("""COMPUTED_VALUE"""),"-")</f>
        <v>-</v>
      </c>
      <c r="V372" s="97" t="str">
        <f>IFERROR(__xludf.DUMMYFUNCTION("""COMPUTED_VALUE"""),"N/A")</f>
        <v>N/A</v>
      </c>
      <c r="W372" s="97" t="str">
        <f>IFERROR(__xludf.DUMMYFUNCTION("""COMPUTED_VALUE"""),"N/A")</f>
        <v>N/A</v>
      </c>
      <c r="X372" s="97" t="str">
        <f>IFERROR(__xludf.DUMMYFUNCTION("""COMPUTED_VALUE"""),"-")</f>
        <v>-</v>
      </c>
      <c r="Y372" s="97" t="str">
        <f>IFERROR(__xludf.DUMMYFUNCTION("""COMPUTED_VALUE"""),"N/A")</f>
        <v>N/A</v>
      </c>
      <c r="Z372" s="97" t="str">
        <f>IFERROR(__xludf.DUMMYFUNCTION("""COMPUTED_VALUE"""),"N/A")</f>
        <v>N/A</v>
      </c>
      <c r="AA372" s="97" t="str">
        <f>IFERROR(__xludf.DUMMYFUNCTION("""COMPUTED_VALUE"""),"N/A")</f>
        <v>N/A</v>
      </c>
      <c r="AB372" s="97" t="str">
        <f>IFERROR(__xludf.DUMMYFUNCTION("""COMPUTED_VALUE"""),"N/A")</f>
        <v>N/A</v>
      </c>
      <c r="AC372" s="97" t="str">
        <f>IFERROR(__xludf.DUMMYFUNCTION("""COMPUTED_VALUE"""),"N/A")</f>
        <v>N/A</v>
      </c>
      <c r="AD372" s="97" t="str">
        <f>IFERROR(__xludf.DUMMYFUNCTION("""COMPUTED_VALUE"""),"IP20")</f>
        <v>IP20</v>
      </c>
      <c r="AE372" s="97" t="str">
        <f>IFERROR(__xludf.DUMMYFUNCTION("""COMPUTED_VALUE"""),"Clase l")</f>
        <v>Clase l</v>
      </c>
      <c r="AF372" s="97" t="str">
        <f>IFERROR(__xludf.DUMMYFUNCTION("""COMPUTED_VALUE"""),"Aplicar")</f>
        <v>Aplicar</v>
      </c>
      <c r="AG372" s="97" t="str">
        <f>IFERROR(__xludf.DUMMYFUNCTION("""COMPUTED_VALUE"""),"750 x 30 x 70")</f>
        <v>750 x 30 x 70</v>
      </c>
      <c r="AH372" s="97" t="str">
        <f>IFERROR(__xludf.DUMMYFUNCTION("""COMPUTED_VALUE"""),"N/A")</f>
        <v>N/A</v>
      </c>
      <c r="AI372" s="97" t="str">
        <f>IFERROR(__xludf.DUMMYFUNCTION("""COMPUTED_VALUE"""),"N/A")</f>
        <v>N/A</v>
      </c>
      <c r="AJ372" s="97" t="str">
        <f>IFERROR(__xludf.DUMMYFUNCTION("""COMPUTED_VALUE"""),"N/A")</f>
        <v>N/A</v>
      </c>
      <c r="AK372" s="97" t="str">
        <f>IFERROR(__xludf.DUMMYFUNCTION("""COMPUTED_VALUE"""),"Aluminio")</f>
        <v>Aluminio</v>
      </c>
      <c r="AL372" s="97" t="str">
        <f>IFERROR(__xludf.DUMMYFUNCTION("""COMPUTED_VALUE"""),"Negro Satinado")</f>
        <v>Negro Satinado</v>
      </c>
      <c r="AM372" s="97" t="str">
        <f>IFERROR(__xludf.DUMMYFUNCTION("""COMPUTED_VALUE"""),"-")</f>
        <v>-</v>
      </c>
      <c r="AN372" s="97" t="str">
        <f>IFERROR(__xludf.DUMMYFUNCTION("""COMPUTED_VALUE"""),"N/A")</f>
        <v>N/A</v>
      </c>
      <c r="AO372" s="97" t="str">
        <f>IFERROR(__xludf.DUMMYFUNCTION("""COMPUTED_VALUE"""),"2 Años")</f>
        <v>2 Años</v>
      </c>
      <c r="AP372" s="97" t="str">
        <f>IFERROR(__xludf.DUMMYFUNCTION("""COMPUTED_VALUE"""),"No Aplica")</f>
        <v>No Aplica</v>
      </c>
      <c r="AQ372" s="97" t="str">
        <f>IFERROR(__xludf.DUMMYFUNCTION("""COMPUTED_VALUE"""),"No Aplica")</f>
        <v>No Aplica</v>
      </c>
      <c r="AR372" s="97" t="str">
        <f>IFERROR(__xludf.DUMMYFUNCTION("""COMPUTED_VALUE"""),"No Aplica")</f>
        <v>No Aplica</v>
      </c>
      <c r="AS372" s="97"/>
      <c r="AT372" s="97"/>
      <c r="AU372" s="97" t="str">
        <f>IFERROR(__xludf.DUMMYFUNCTION("""COMPUTED_VALUE"""),"Falta")</f>
        <v>Falta</v>
      </c>
      <c r="AV372" s="97" t="str">
        <f>IFERROR(__xludf.DUMMYFUNCTION("""COMPUTED_VALUE"""),"Aplique")</f>
        <v>Aplique</v>
      </c>
      <c r="AW372" s="97" t="str">
        <f>IFERROR(__xludf.DUMMYFUNCTION("""COMPUTED_VALUE"""),"De Techo")</f>
        <v>De Techo</v>
      </c>
      <c r="AX372" s="97" t="str">
        <f>IFERROR(__xludf.DUMMYFUNCTION("""COMPUTED_VALUE"""),"Interior")</f>
        <v>Interior</v>
      </c>
      <c r="AY372" s="97" t="str">
        <f>IFERROR(__xludf.DUMMYFUNCTION("""COMPUTED_VALUE"""),"-")</f>
        <v>-</v>
      </c>
      <c r="AZ372" s="97"/>
      <c r="BA372" s="97">
        <f>IFERROR(__xludf.DUMMYFUNCTION("""COMPUTED_VALUE"""),6.0)</f>
        <v>6</v>
      </c>
      <c r="BB372" s="97" t="str">
        <f>IFERROR(__xludf.DUMMYFUNCTION("""COMPUTED_VALUE"""),"-")</f>
        <v>-</v>
      </c>
      <c r="BC372" s="97" t="str">
        <f>IFERROR(__xludf.DUMMYFUNCTION("""COMPUTED_VALUE"""),"-")</f>
        <v>-</v>
      </c>
      <c r="BD372" s="97" t="str">
        <f>IFERROR(__xludf.DUMMYFUNCTION("""COMPUTED_VALUE"""),"KATHARO")</f>
        <v>KATHARO</v>
      </c>
      <c r="BE372" s="97" t="str">
        <f>IFERROR(__xludf.DUMMYFUNCTION("""COMPUTED_VALUE"""),"Finalizada")</f>
        <v>Finalizada</v>
      </c>
      <c r="BF372" s="97"/>
      <c r="BG372" s="97" t="str">
        <f>IFERROR(__xludf.DUMMYFUNCTION("""COMPUTED_VALUE"""),"Activo")</f>
        <v>Activo</v>
      </c>
    </row>
    <row r="373">
      <c r="A373" s="97">
        <f>IFERROR(__xludf.DUMMYFUNCTION("""COMPUTED_VALUE"""),4204.0)</f>
        <v>4204</v>
      </c>
      <c r="B373" s="97" t="str">
        <f>IFERROR(__xludf.DUMMYFUNCTION("""COMPUTED_VALUE"""),"KATHARO SW BL")</f>
        <v>KATHARO SW BL</v>
      </c>
      <c r="C373" s="97" t="str">
        <f>IFERROR(__xludf.DUMMYFUNCTION("""COMPUTED_VALUE"""),"APLIQUE KATHARO SW BL 1XGU10 DICRO IP20 LEUK")</f>
        <v>APLIQUE KATHARO SW BL 1XGU10 DICRO IP20 LEUK</v>
      </c>
      <c r="D373" s="97">
        <f>IFERROR(__xludf.DUMMYFUNCTION("""COMPUTED_VALUE"""),7.798328754899E12)</f>
        <v>7798328754899</v>
      </c>
      <c r="E373" s="97"/>
      <c r="F373" s="97" t="str">
        <f>IFERROR(__xludf.DUMMYFUNCTION("""COMPUTED_VALUE"""),"1xGU10 Dicro")</f>
        <v>1xGU10 Dicro</v>
      </c>
      <c r="G373" s="97" t="str">
        <f>IFERROR(__xludf.DUMMYFUNCTION("""COMPUTED_VALUE"""),"N/A")</f>
        <v>N/A</v>
      </c>
      <c r="H373" s="97" t="str">
        <f>IFERROR(__xludf.DUMMYFUNCTION("""COMPUTED_VALUE"""),"N/A")</f>
        <v>N/A</v>
      </c>
      <c r="I373" s="97" t="str">
        <f>IFERROR(__xludf.DUMMYFUNCTION("""COMPUTED_VALUE"""),"N/A")</f>
        <v>N/A</v>
      </c>
      <c r="J373" s="97" t="str">
        <f>IFERROR(__xludf.DUMMYFUNCTION("""COMPUTED_VALUE"""),"N/A")</f>
        <v>N/A</v>
      </c>
      <c r="K373" s="97" t="str">
        <f>IFERROR(__xludf.DUMMYFUNCTION("""COMPUTED_VALUE"""),"N/A")</f>
        <v>N/A</v>
      </c>
      <c r="L373" s="97">
        <f>IFERROR(__xludf.DUMMYFUNCTION("""COMPUTED_VALUE"""),220.0)</f>
        <v>220</v>
      </c>
      <c r="M373" s="97">
        <f>IFERROR(__xludf.DUMMYFUNCTION("""COMPUTED_VALUE"""),50.0)</f>
        <v>50</v>
      </c>
      <c r="N373" s="97"/>
      <c r="O373" s="97" t="str">
        <f>IFERROR(__xludf.DUMMYFUNCTION("""COMPUTED_VALUE"""),"1 x 50W Max")</f>
        <v>1 x 50W Max</v>
      </c>
      <c r="P373" s="97"/>
      <c r="Q373" s="97" t="str">
        <f>IFERROR(__xludf.DUMMYFUNCTION("""COMPUTED_VALUE"""),"-")</f>
        <v>-</v>
      </c>
      <c r="R373" s="97" t="str">
        <f>IFERROR(__xludf.DUMMYFUNCTION("""COMPUTED_VALUE"""),"-")</f>
        <v>-</v>
      </c>
      <c r="S373" s="97" t="str">
        <f>IFERROR(__xludf.DUMMYFUNCTION("""COMPUTED_VALUE"""),"-")</f>
        <v>-</v>
      </c>
      <c r="T373" s="97" t="str">
        <f>IFERROR(__xludf.DUMMYFUNCTION("""COMPUTED_VALUE"""),"-")</f>
        <v>-</v>
      </c>
      <c r="U373" s="97" t="str">
        <f>IFERROR(__xludf.DUMMYFUNCTION("""COMPUTED_VALUE"""),"-")</f>
        <v>-</v>
      </c>
      <c r="V373" s="97" t="str">
        <f>IFERROR(__xludf.DUMMYFUNCTION("""COMPUTED_VALUE"""),"N/A")</f>
        <v>N/A</v>
      </c>
      <c r="W373" s="97" t="str">
        <f>IFERROR(__xludf.DUMMYFUNCTION("""COMPUTED_VALUE"""),"N/A")</f>
        <v>N/A</v>
      </c>
      <c r="X373" s="97" t="str">
        <f>IFERROR(__xludf.DUMMYFUNCTION("""COMPUTED_VALUE"""),"-")</f>
        <v>-</v>
      </c>
      <c r="Y373" s="97" t="str">
        <f>IFERROR(__xludf.DUMMYFUNCTION("""COMPUTED_VALUE"""),"N/A")</f>
        <v>N/A</v>
      </c>
      <c r="Z373" s="97" t="str">
        <f>IFERROR(__xludf.DUMMYFUNCTION("""COMPUTED_VALUE"""),"N/A")</f>
        <v>N/A</v>
      </c>
      <c r="AA373" s="97" t="str">
        <f>IFERROR(__xludf.DUMMYFUNCTION("""COMPUTED_VALUE"""),"N/A")</f>
        <v>N/A</v>
      </c>
      <c r="AB373" s="97" t="str">
        <f>IFERROR(__xludf.DUMMYFUNCTION("""COMPUTED_VALUE"""),"N/A")</f>
        <v>N/A</v>
      </c>
      <c r="AC373" s="97" t="str">
        <f>IFERROR(__xludf.DUMMYFUNCTION("""COMPUTED_VALUE"""),"N/A")</f>
        <v>N/A</v>
      </c>
      <c r="AD373" s="97" t="str">
        <f>IFERROR(__xludf.DUMMYFUNCTION("""COMPUTED_VALUE"""),"IP20")</f>
        <v>IP20</v>
      </c>
      <c r="AE373" s="97" t="str">
        <f>IFERROR(__xludf.DUMMYFUNCTION("""COMPUTED_VALUE"""),"Clase l")</f>
        <v>Clase l</v>
      </c>
      <c r="AF373" s="97" t="str">
        <f>IFERROR(__xludf.DUMMYFUNCTION("""COMPUTED_VALUE"""),"Aplicar")</f>
        <v>Aplicar</v>
      </c>
      <c r="AG373" s="97" t="str">
        <f>IFERROR(__xludf.DUMMYFUNCTION("""COMPUTED_VALUE"""),"65 x 30 x 120")</f>
        <v>65 x 30 x 120</v>
      </c>
      <c r="AH373" s="97" t="str">
        <f>IFERROR(__xludf.DUMMYFUNCTION("""COMPUTED_VALUE"""),"N/A")</f>
        <v>N/A</v>
      </c>
      <c r="AI373" s="97" t="str">
        <f>IFERROR(__xludf.DUMMYFUNCTION("""COMPUTED_VALUE"""),"N/A")</f>
        <v>N/A</v>
      </c>
      <c r="AJ373" s="97" t="str">
        <f>IFERROR(__xludf.DUMMYFUNCTION("""COMPUTED_VALUE"""),"N/A")</f>
        <v>N/A</v>
      </c>
      <c r="AK373" s="97" t="str">
        <f>IFERROR(__xludf.DUMMYFUNCTION("""COMPUTED_VALUE"""),"Aluminio")</f>
        <v>Aluminio</v>
      </c>
      <c r="AL373" s="97" t="str">
        <f>IFERROR(__xludf.DUMMYFUNCTION("""COMPUTED_VALUE"""),"Blanco Satinado")</f>
        <v>Blanco Satinado</v>
      </c>
      <c r="AM373" s="97" t="str">
        <f>IFERROR(__xludf.DUMMYFUNCTION("""COMPUTED_VALUE"""),"-")</f>
        <v>-</v>
      </c>
      <c r="AN373" s="97" t="str">
        <f>IFERROR(__xludf.DUMMYFUNCTION("""COMPUTED_VALUE"""),"N/A")</f>
        <v>N/A</v>
      </c>
      <c r="AO373" s="97" t="str">
        <f>IFERROR(__xludf.DUMMYFUNCTION("""COMPUTED_VALUE"""),"2 Años")</f>
        <v>2 Años</v>
      </c>
      <c r="AP373" s="97" t="str">
        <f>IFERROR(__xludf.DUMMYFUNCTION("""COMPUTED_VALUE"""),"No Aplica")</f>
        <v>No Aplica</v>
      </c>
      <c r="AQ373" s="97" t="str">
        <f>IFERROR(__xludf.DUMMYFUNCTION("""COMPUTED_VALUE"""),"No Aplica")</f>
        <v>No Aplica</v>
      </c>
      <c r="AR373" s="97" t="str">
        <f>IFERROR(__xludf.DUMMYFUNCTION("""COMPUTED_VALUE"""),"No Aplica")</f>
        <v>No Aplica</v>
      </c>
      <c r="AS373" s="97"/>
      <c r="AT373" s="97"/>
      <c r="AU373" s="97" t="str">
        <f>IFERROR(__xludf.DUMMYFUNCTION("""COMPUTED_VALUE"""),"Disponible")</f>
        <v>Disponible</v>
      </c>
      <c r="AV373" s="97" t="str">
        <f>IFERROR(__xludf.DUMMYFUNCTION("""COMPUTED_VALUE"""),"Aplique")</f>
        <v>Aplique</v>
      </c>
      <c r="AW373" s="97" t="str">
        <f>IFERROR(__xludf.DUMMYFUNCTION("""COMPUTED_VALUE"""),"De Pared")</f>
        <v>De Pared</v>
      </c>
      <c r="AX373" s="97" t="str">
        <f>IFERROR(__xludf.DUMMYFUNCTION("""COMPUTED_VALUE"""),"Interior")</f>
        <v>Interior</v>
      </c>
      <c r="AY373" s="97" t="str">
        <f>IFERROR(__xludf.DUMMYFUNCTION("""COMPUTED_VALUE"""),"-")</f>
        <v>-</v>
      </c>
      <c r="AZ373" s="97"/>
      <c r="BA373" s="97">
        <f>IFERROR(__xludf.DUMMYFUNCTION("""COMPUTED_VALUE"""),24.0)</f>
        <v>24</v>
      </c>
      <c r="BB373" s="97" t="str">
        <f>IFERROR(__xludf.DUMMYFUNCTION("""COMPUTED_VALUE"""),"-")</f>
        <v>-</v>
      </c>
      <c r="BC373" s="97" t="str">
        <f>IFERROR(__xludf.DUMMYFUNCTION("""COMPUTED_VALUE"""),"-")</f>
        <v>-</v>
      </c>
      <c r="BD373" s="97" t="str">
        <f>IFERROR(__xludf.DUMMYFUNCTION("""COMPUTED_VALUE"""),"KATHARO")</f>
        <v>KATHARO</v>
      </c>
      <c r="BE373" s="97" t="str">
        <f>IFERROR(__xludf.DUMMYFUNCTION("""COMPUTED_VALUE"""),"Finalizada")</f>
        <v>Finalizada</v>
      </c>
      <c r="BF373" s="97"/>
      <c r="BG373" s="97" t="str">
        <f>IFERROR(__xludf.DUMMYFUNCTION("""COMPUTED_VALUE"""),"Activo")</f>
        <v>Activo</v>
      </c>
    </row>
    <row r="374">
      <c r="A374" s="97">
        <f>IFERROR(__xludf.DUMMYFUNCTION("""COMPUTED_VALUE"""),4205.0)</f>
        <v>4205</v>
      </c>
      <c r="B374" s="97" t="str">
        <f>IFERROR(__xludf.DUMMYFUNCTION("""COMPUTED_VALUE"""),"KATHARO SW NG")</f>
        <v>KATHARO SW NG</v>
      </c>
      <c r="C374" s="97" t="str">
        <f>IFERROR(__xludf.DUMMYFUNCTION("""COMPUTED_VALUE"""),"APLIQUE KATHARO SW NG 1XGU10 DICRO IP20 LEUK")</f>
        <v>APLIQUE KATHARO SW NG 1XGU10 DICRO IP20 LEUK</v>
      </c>
      <c r="D374" s="97">
        <f>IFERROR(__xludf.DUMMYFUNCTION("""COMPUTED_VALUE"""),7.798328754905E12)</f>
        <v>7798328754905</v>
      </c>
      <c r="E374" s="97"/>
      <c r="F374" s="97" t="str">
        <f>IFERROR(__xludf.DUMMYFUNCTION("""COMPUTED_VALUE"""),"1xGU10 Dicro")</f>
        <v>1xGU10 Dicro</v>
      </c>
      <c r="G374" s="97" t="str">
        <f>IFERROR(__xludf.DUMMYFUNCTION("""COMPUTED_VALUE"""),"N/A")</f>
        <v>N/A</v>
      </c>
      <c r="H374" s="97" t="str">
        <f>IFERROR(__xludf.DUMMYFUNCTION("""COMPUTED_VALUE"""),"N/A")</f>
        <v>N/A</v>
      </c>
      <c r="I374" s="97" t="str">
        <f>IFERROR(__xludf.DUMMYFUNCTION("""COMPUTED_VALUE"""),"N/A")</f>
        <v>N/A</v>
      </c>
      <c r="J374" s="97" t="str">
        <f>IFERROR(__xludf.DUMMYFUNCTION("""COMPUTED_VALUE"""),"N/A")</f>
        <v>N/A</v>
      </c>
      <c r="K374" s="97" t="str">
        <f>IFERROR(__xludf.DUMMYFUNCTION("""COMPUTED_VALUE"""),"N/A")</f>
        <v>N/A</v>
      </c>
      <c r="L374" s="97">
        <f>IFERROR(__xludf.DUMMYFUNCTION("""COMPUTED_VALUE"""),220.0)</f>
        <v>220</v>
      </c>
      <c r="M374" s="97">
        <f>IFERROR(__xludf.DUMMYFUNCTION("""COMPUTED_VALUE"""),50.0)</f>
        <v>50</v>
      </c>
      <c r="N374" s="97"/>
      <c r="O374" s="97" t="str">
        <f>IFERROR(__xludf.DUMMYFUNCTION("""COMPUTED_VALUE"""),"1 x 50W Max")</f>
        <v>1 x 50W Max</v>
      </c>
      <c r="P374" s="97"/>
      <c r="Q374" s="97" t="str">
        <f>IFERROR(__xludf.DUMMYFUNCTION("""COMPUTED_VALUE"""),"-")</f>
        <v>-</v>
      </c>
      <c r="R374" s="97" t="str">
        <f>IFERROR(__xludf.DUMMYFUNCTION("""COMPUTED_VALUE"""),"-")</f>
        <v>-</v>
      </c>
      <c r="S374" s="97" t="str">
        <f>IFERROR(__xludf.DUMMYFUNCTION("""COMPUTED_VALUE"""),"-")</f>
        <v>-</v>
      </c>
      <c r="T374" s="97" t="str">
        <f>IFERROR(__xludf.DUMMYFUNCTION("""COMPUTED_VALUE"""),"-")</f>
        <v>-</v>
      </c>
      <c r="U374" s="97" t="str">
        <f>IFERROR(__xludf.DUMMYFUNCTION("""COMPUTED_VALUE"""),"-")</f>
        <v>-</v>
      </c>
      <c r="V374" s="97" t="str">
        <f>IFERROR(__xludf.DUMMYFUNCTION("""COMPUTED_VALUE"""),"N/A")</f>
        <v>N/A</v>
      </c>
      <c r="W374" s="97" t="str">
        <f>IFERROR(__xludf.DUMMYFUNCTION("""COMPUTED_VALUE"""),"N/A")</f>
        <v>N/A</v>
      </c>
      <c r="X374" s="97" t="str">
        <f>IFERROR(__xludf.DUMMYFUNCTION("""COMPUTED_VALUE"""),"-")</f>
        <v>-</v>
      </c>
      <c r="Y374" s="97" t="str">
        <f>IFERROR(__xludf.DUMMYFUNCTION("""COMPUTED_VALUE"""),"N/A")</f>
        <v>N/A</v>
      </c>
      <c r="Z374" s="97" t="str">
        <f>IFERROR(__xludf.DUMMYFUNCTION("""COMPUTED_VALUE"""),"N/A")</f>
        <v>N/A</v>
      </c>
      <c r="AA374" s="97" t="str">
        <f>IFERROR(__xludf.DUMMYFUNCTION("""COMPUTED_VALUE"""),"N/A")</f>
        <v>N/A</v>
      </c>
      <c r="AB374" s="97" t="str">
        <f>IFERROR(__xludf.DUMMYFUNCTION("""COMPUTED_VALUE"""),"N/A")</f>
        <v>N/A</v>
      </c>
      <c r="AC374" s="97" t="str">
        <f>IFERROR(__xludf.DUMMYFUNCTION("""COMPUTED_VALUE"""),"N/A")</f>
        <v>N/A</v>
      </c>
      <c r="AD374" s="97" t="str">
        <f>IFERROR(__xludf.DUMMYFUNCTION("""COMPUTED_VALUE"""),"IP20")</f>
        <v>IP20</v>
      </c>
      <c r="AE374" s="97" t="str">
        <f>IFERROR(__xludf.DUMMYFUNCTION("""COMPUTED_VALUE"""),"Clase l")</f>
        <v>Clase l</v>
      </c>
      <c r="AF374" s="97" t="str">
        <f>IFERROR(__xludf.DUMMYFUNCTION("""COMPUTED_VALUE"""),"Aplicar")</f>
        <v>Aplicar</v>
      </c>
      <c r="AG374" s="97" t="str">
        <f>IFERROR(__xludf.DUMMYFUNCTION("""COMPUTED_VALUE"""),"65 x 30 x 120")</f>
        <v>65 x 30 x 120</v>
      </c>
      <c r="AH374" s="97" t="str">
        <f>IFERROR(__xludf.DUMMYFUNCTION("""COMPUTED_VALUE"""),"N/A")</f>
        <v>N/A</v>
      </c>
      <c r="AI374" s="97" t="str">
        <f>IFERROR(__xludf.DUMMYFUNCTION("""COMPUTED_VALUE"""),"N/A")</f>
        <v>N/A</v>
      </c>
      <c r="AJ374" s="97" t="str">
        <f>IFERROR(__xludf.DUMMYFUNCTION("""COMPUTED_VALUE"""),"N/A")</f>
        <v>N/A</v>
      </c>
      <c r="AK374" s="97" t="str">
        <f>IFERROR(__xludf.DUMMYFUNCTION("""COMPUTED_VALUE"""),"Aluminio")</f>
        <v>Aluminio</v>
      </c>
      <c r="AL374" s="97" t="str">
        <f>IFERROR(__xludf.DUMMYFUNCTION("""COMPUTED_VALUE"""),"Negro Satinado")</f>
        <v>Negro Satinado</v>
      </c>
      <c r="AM374" s="97" t="str">
        <f>IFERROR(__xludf.DUMMYFUNCTION("""COMPUTED_VALUE"""),"-")</f>
        <v>-</v>
      </c>
      <c r="AN374" s="97" t="str">
        <f>IFERROR(__xludf.DUMMYFUNCTION("""COMPUTED_VALUE"""),"N/A")</f>
        <v>N/A</v>
      </c>
      <c r="AO374" s="97" t="str">
        <f>IFERROR(__xludf.DUMMYFUNCTION("""COMPUTED_VALUE"""),"2 Años")</f>
        <v>2 Años</v>
      </c>
      <c r="AP374" s="97" t="str">
        <f>IFERROR(__xludf.DUMMYFUNCTION("""COMPUTED_VALUE"""),"No Aplica")</f>
        <v>No Aplica</v>
      </c>
      <c r="AQ374" s="97" t="str">
        <f>IFERROR(__xludf.DUMMYFUNCTION("""COMPUTED_VALUE"""),"No Aplica")</f>
        <v>No Aplica</v>
      </c>
      <c r="AR374" s="97" t="str">
        <f>IFERROR(__xludf.DUMMYFUNCTION("""COMPUTED_VALUE"""),"No Aplica")</f>
        <v>No Aplica</v>
      </c>
      <c r="AS374" s="97"/>
      <c r="AT374" s="97"/>
      <c r="AU374" s="97" t="str">
        <f>IFERROR(__xludf.DUMMYFUNCTION("""COMPUTED_VALUE"""),"Disponible")</f>
        <v>Disponible</v>
      </c>
      <c r="AV374" s="97" t="str">
        <f>IFERROR(__xludf.DUMMYFUNCTION("""COMPUTED_VALUE"""),"Aplique")</f>
        <v>Aplique</v>
      </c>
      <c r="AW374" s="97" t="str">
        <f>IFERROR(__xludf.DUMMYFUNCTION("""COMPUTED_VALUE"""),"De Pared")</f>
        <v>De Pared</v>
      </c>
      <c r="AX374" s="97" t="str">
        <f>IFERROR(__xludf.DUMMYFUNCTION("""COMPUTED_VALUE"""),"Interior")</f>
        <v>Interior</v>
      </c>
      <c r="AY374" s="97" t="str">
        <f>IFERROR(__xludf.DUMMYFUNCTION("""COMPUTED_VALUE"""),"-")</f>
        <v>-</v>
      </c>
      <c r="AZ374" s="97"/>
      <c r="BA374" s="97">
        <f>IFERROR(__xludf.DUMMYFUNCTION("""COMPUTED_VALUE"""),24.0)</f>
        <v>24</v>
      </c>
      <c r="BB374" s="97" t="str">
        <f>IFERROR(__xludf.DUMMYFUNCTION("""COMPUTED_VALUE"""),"-")</f>
        <v>-</v>
      </c>
      <c r="BC374" s="97" t="str">
        <f>IFERROR(__xludf.DUMMYFUNCTION("""COMPUTED_VALUE"""),"-")</f>
        <v>-</v>
      </c>
      <c r="BD374" s="97" t="str">
        <f>IFERROR(__xludf.DUMMYFUNCTION("""COMPUTED_VALUE"""),"KATHARO")</f>
        <v>KATHARO</v>
      </c>
      <c r="BE374" s="97" t="str">
        <f>IFERROR(__xludf.DUMMYFUNCTION("""COMPUTED_VALUE"""),"Finalizada")</f>
        <v>Finalizada</v>
      </c>
      <c r="BF374" s="97"/>
      <c r="BG374" s="97" t="str">
        <f>IFERROR(__xludf.DUMMYFUNCTION("""COMPUTED_VALUE"""),"Activo")</f>
        <v>Activo</v>
      </c>
    </row>
    <row r="375">
      <c r="A375" s="97">
        <f>IFERROR(__xludf.DUMMYFUNCTION("""COMPUTED_VALUE"""),4206.0)</f>
        <v>4206</v>
      </c>
      <c r="B375" s="97" t="str">
        <f>IFERROR(__xludf.DUMMYFUNCTION("""COMPUTED_VALUE"""),"FINETSA II")</f>
        <v>FINETSA II</v>
      </c>
      <c r="C375" s="97" t="str">
        <f>IFERROR(__xludf.DUMMYFUNCTION("""COMPUTED_VALUE"""),"APLIQUE FINETSA II LEUK")</f>
        <v>APLIQUE FINETSA II LEUK</v>
      </c>
      <c r="D375" s="97">
        <f>IFERROR(__xludf.DUMMYFUNCTION("""COMPUTED_VALUE"""),7.798328759672E12)</f>
        <v>7798328759672</v>
      </c>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t="str">
        <f>IFERROR(__xludf.DUMMYFUNCTION("""COMPUTED_VALUE"""),"IP20")</f>
        <v>IP20</v>
      </c>
      <c r="AE375" s="97"/>
      <c r="AF375" s="97" t="str">
        <f>IFERROR(__xludf.DUMMYFUNCTION("""COMPUTED_VALUE"""),"Aplicar")</f>
        <v>Aplicar</v>
      </c>
      <c r="AG375" s="97"/>
      <c r="AH375" s="97"/>
      <c r="AI375" s="97"/>
      <c r="AJ375" s="97"/>
      <c r="AK375" s="97"/>
      <c r="AL375" s="97"/>
      <c r="AM375" s="97"/>
      <c r="AN375" s="97"/>
      <c r="AO375" s="97" t="str">
        <f>IFERROR(__xludf.DUMMYFUNCTION("""COMPUTED_VALUE"""),"1 Año")</f>
        <v>1 Año</v>
      </c>
      <c r="AP375" s="97"/>
      <c r="AQ375" s="97"/>
      <c r="AR375" s="97"/>
      <c r="AS375" s="97"/>
      <c r="AT375" s="97"/>
      <c r="AU375" s="97"/>
      <c r="AV375" s="97" t="str">
        <f>IFERROR(__xludf.DUMMYFUNCTION("""COMPUTED_VALUE"""),"Aplique")</f>
        <v>Aplique</v>
      </c>
      <c r="AW375" s="97" t="str">
        <f>IFERROR(__xludf.DUMMYFUNCTION("""COMPUTED_VALUE"""),"De Techo")</f>
        <v>De Techo</v>
      </c>
      <c r="AX375" s="97" t="str">
        <f>IFERROR(__xludf.DUMMYFUNCTION("""COMPUTED_VALUE"""),"Interior")</f>
        <v>Interior</v>
      </c>
      <c r="AY375" s="97"/>
      <c r="AZ375" s="97"/>
      <c r="BA375" s="97"/>
      <c r="BB375" s="97"/>
      <c r="BC375" s="97"/>
      <c r="BD375" s="97" t="str">
        <f>IFERROR(__xludf.DUMMYFUNCTION("""COMPUTED_VALUE"""),"FINETSA")</f>
        <v>FINETSA</v>
      </c>
      <c r="BE375" s="97" t="str">
        <f>IFERROR(__xludf.DUMMYFUNCTION("""COMPUTED_VALUE"""),"Sin Ficha")</f>
        <v>Sin Ficha</v>
      </c>
      <c r="BF375" s="97"/>
      <c r="BG375" s="97" t="str">
        <f>IFERROR(__xludf.DUMMYFUNCTION("""COMPUTED_VALUE"""),"Discontinuo")</f>
        <v>Discontinuo</v>
      </c>
    </row>
    <row r="376">
      <c r="A376" s="97">
        <f>IFERROR(__xludf.DUMMYFUNCTION("""COMPUTED_VALUE"""),4207.0)</f>
        <v>4207</v>
      </c>
      <c r="B376" s="97" t="str">
        <f>IFERROR(__xludf.DUMMYFUNCTION("""COMPUTED_VALUE"""),"FINETSA III")</f>
        <v>FINETSA III</v>
      </c>
      <c r="C376" s="97" t="str">
        <f>IFERROR(__xludf.DUMMYFUNCTION("""COMPUTED_VALUE"""),"APLIQUE FINETSA III LEUK")</f>
        <v>APLIQUE FINETSA III LEUK</v>
      </c>
      <c r="D376" s="97">
        <f>IFERROR(__xludf.DUMMYFUNCTION("""COMPUTED_VALUE"""),7.798328759689E12)</f>
        <v>7798328759689</v>
      </c>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t="str">
        <f>IFERROR(__xludf.DUMMYFUNCTION("""COMPUTED_VALUE"""),"IP20")</f>
        <v>IP20</v>
      </c>
      <c r="AE376" s="97"/>
      <c r="AF376" s="97" t="str">
        <f>IFERROR(__xludf.DUMMYFUNCTION("""COMPUTED_VALUE"""),"Aplicar")</f>
        <v>Aplicar</v>
      </c>
      <c r="AG376" s="97"/>
      <c r="AH376" s="97"/>
      <c r="AI376" s="97"/>
      <c r="AJ376" s="97"/>
      <c r="AK376" s="97"/>
      <c r="AL376" s="97"/>
      <c r="AM376" s="97"/>
      <c r="AN376" s="97"/>
      <c r="AO376" s="97" t="str">
        <f>IFERROR(__xludf.DUMMYFUNCTION("""COMPUTED_VALUE"""),"1 Año")</f>
        <v>1 Año</v>
      </c>
      <c r="AP376" s="97"/>
      <c r="AQ376" s="97"/>
      <c r="AR376" s="97"/>
      <c r="AS376" s="97"/>
      <c r="AT376" s="97"/>
      <c r="AU376" s="97"/>
      <c r="AV376" s="97" t="str">
        <f>IFERROR(__xludf.DUMMYFUNCTION("""COMPUTED_VALUE"""),"Aplique")</f>
        <v>Aplique</v>
      </c>
      <c r="AW376" s="97" t="str">
        <f>IFERROR(__xludf.DUMMYFUNCTION("""COMPUTED_VALUE"""),"De Techo")</f>
        <v>De Techo</v>
      </c>
      <c r="AX376" s="97" t="str">
        <f>IFERROR(__xludf.DUMMYFUNCTION("""COMPUTED_VALUE"""),"Interior")</f>
        <v>Interior</v>
      </c>
      <c r="AY376" s="97"/>
      <c r="AZ376" s="97"/>
      <c r="BA376" s="97">
        <f>IFERROR(__xludf.DUMMYFUNCTION("""COMPUTED_VALUE"""),10.0)</f>
        <v>10</v>
      </c>
      <c r="BB376" s="97"/>
      <c r="BC376" s="97"/>
      <c r="BD376" s="97" t="str">
        <f>IFERROR(__xludf.DUMMYFUNCTION("""COMPUTED_VALUE"""),"FINETSA")</f>
        <v>FINETSA</v>
      </c>
      <c r="BE376" s="97" t="str">
        <f>IFERROR(__xludf.DUMMYFUNCTION("""COMPUTED_VALUE"""),"Sin Ficha")</f>
        <v>Sin Ficha</v>
      </c>
      <c r="BF376" s="97"/>
      <c r="BG376" s="97" t="str">
        <f>IFERROR(__xludf.DUMMYFUNCTION("""COMPUTED_VALUE"""),"Discontinuo")</f>
        <v>Discontinuo</v>
      </c>
    </row>
    <row r="377">
      <c r="A377" s="97">
        <f>IFERROR(__xludf.DUMMYFUNCTION("""COMPUTED_VALUE"""),4208.0)</f>
        <v>4208</v>
      </c>
      <c r="B377" s="97" t="str">
        <f>IFERROR(__xludf.DUMMYFUNCTION("""COMPUTED_VALUE"""),"FINETSA IV")</f>
        <v>FINETSA IV</v>
      </c>
      <c r="C377" s="97" t="str">
        <f>IFERROR(__xludf.DUMMYFUNCTION("""COMPUTED_VALUE"""),"APLIQUE FINETSA IV LEUK")</f>
        <v>APLIQUE FINETSA IV LEUK</v>
      </c>
      <c r="D377" s="97">
        <f>IFERROR(__xludf.DUMMYFUNCTION("""COMPUTED_VALUE"""),7.798328759696E12)</f>
        <v>7798328759696</v>
      </c>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t="str">
        <f>IFERROR(__xludf.DUMMYFUNCTION("""COMPUTED_VALUE"""),"IP20")</f>
        <v>IP20</v>
      </c>
      <c r="AE377" s="97"/>
      <c r="AF377" s="97" t="str">
        <f>IFERROR(__xludf.DUMMYFUNCTION("""COMPUTED_VALUE"""),"Aplicar")</f>
        <v>Aplicar</v>
      </c>
      <c r="AG377" s="97"/>
      <c r="AH377" s="97"/>
      <c r="AI377" s="97"/>
      <c r="AJ377" s="97"/>
      <c r="AK377" s="97"/>
      <c r="AL377" s="97"/>
      <c r="AM377" s="97"/>
      <c r="AN377" s="97"/>
      <c r="AO377" s="97" t="str">
        <f>IFERROR(__xludf.DUMMYFUNCTION("""COMPUTED_VALUE"""),"1 Año")</f>
        <v>1 Año</v>
      </c>
      <c r="AP377" s="97"/>
      <c r="AQ377" s="97"/>
      <c r="AR377" s="97"/>
      <c r="AS377" s="97"/>
      <c r="AT377" s="97"/>
      <c r="AU377" s="97"/>
      <c r="AV377" s="97" t="str">
        <f>IFERROR(__xludf.DUMMYFUNCTION("""COMPUTED_VALUE"""),"Aplique")</f>
        <v>Aplique</v>
      </c>
      <c r="AW377" s="97" t="str">
        <f>IFERROR(__xludf.DUMMYFUNCTION("""COMPUTED_VALUE"""),"De Techo")</f>
        <v>De Techo</v>
      </c>
      <c r="AX377" s="97" t="str">
        <f>IFERROR(__xludf.DUMMYFUNCTION("""COMPUTED_VALUE"""),"Interior")</f>
        <v>Interior</v>
      </c>
      <c r="AY377" s="97"/>
      <c r="AZ377" s="97"/>
      <c r="BA377" s="97"/>
      <c r="BB377" s="97"/>
      <c r="BC377" s="97"/>
      <c r="BD377" s="97" t="str">
        <f>IFERROR(__xludf.DUMMYFUNCTION("""COMPUTED_VALUE"""),"FINETSA")</f>
        <v>FINETSA</v>
      </c>
      <c r="BE377" s="97" t="str">
        <f>IFERROR(__xludf.DUMMYFUNCTION("""COMPUTED_VALUE"""),"Sin Ficha")</f>
        <v>Sin Ficha</v>
      </c>
      <c r="BF377" s="97"/>
      <c r="BG377" s="97" t="str">
        <f>IFERROR(__xludf.DUMMYFUNCTION("""COMPUTED_VALUE"""),"Discontinuo")</f>
        <v>Discontinuo</v>
      </c>
    </row>
    <row r="378">
      <c r="A378" s="97">
        <f>IFERROR(__xludf.DUMMYFUNCTION("""COMPUTED_VALUE"""),4209.0)</f>
        <v>4209</v>
      </c>
      <c r="B378" s="97" t="str">
        <f>IFERROR(__xludf.DUMMYFUNCTION("""COMPUTED_VALUE"""),"MERA I")</f>
        <v>MERA I</v>
      </c>
      <c r="C378" s="97" t="str">
        <f>IFERROR(__xludf.DUMMYFUNCTION("""COMPUTED_VALUE"""),"APLIQUE MERA I BLANCO LEUK")</f>
        <v>APLIQUE MERA I BLANCO LEUK</v>
      </c>
      <c r="D378" s="97">
        <f>IFERROR(__xludf.DUMMYFUNCTION("""COMPUTED_VALUE"""),7.798328759566E12)</f>
        <v>7798328759566</v>
      </c>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t="str">
        <f>IFERROR(__xludf.DUMMYFUNCTION("""COMPUTED_VALUE"""),"IP20")</f>
        <v>IP20</v>
      </c>
      <c r="AE378" s="97"/>
      <c r="AF378" s="97" t="str">
        <f>IFERROR(__xludf.DUMMYFUNCTION("""COMPUTED_VALUE"""),"Aplicar")</f>
        <v>Aplicar</v>
      </c>
      <c r="AG378" s="97"/>
      <c r="AH378" s="97"/>
      <c r="AI378" s="97"/>
      <c r="AJ378" s="97"/>
      <c r="AK378" s="97"/>
      <c r="AL378" s="97"/>
      <c r="AM378" s="97"/>
      <c r="AN378" s="97"/>
      <c r="AO378" s="97" t="str">
        <f>IFERROR(__xludf.DUMMYFUNCTION("""COMPUTED_VALUE"""),"1 Año")</f>
        <v>1 Año</v>
      </c>
      <c r="AP378" s="97"/>
      <c r="AQ378" s="97"/>
      <c r="AR378" s="97"/>
      <c r="AS378" s="97"/>
      <c r="AT378" s="97"/>
      <c r="AU378" s="97"/>
      <c r="AV378" s="97" t="str">
        <f>IFERROR(__xludf.DUMMYFUNCTION("""COMPUTED_VALUE"""),"Aplique")</f>
        <v>Aplique</v>
      </c>
      <c r="AW378" s="97" t="str">
        <f>IFERROR(__xludf.DUMMYFUNCTION("""COMPUTED_VALUE"""),"De Techo")</f>
        <v>De Techo</v>
      </c>
      <c r="AX378" s="97" t="str">
        <f>IFERROR(__xludf.DUMMYFUNCTION("""COMPUTED_VALUE"""),"Interior")</f>
        <v>Interior</v>
      </c>
      <c r="AY378" s="97"/>
      <c r="AZ378" s="97"/>
      <c r="BA378" s="97"/>
      <c r="BB378" s="97"/>
      <c r="BC378" s="97"/>
      <c r="BD378" s="97" t="str">
        <f>IFERROR(__xludf.DUMMYFUNCTION("""COMPUTED_VALUE"""),"MERA")</f>
        <v>MERA</v>
      </c>
      <c r="BE378" s="97" t="str">
        <f>IFERROR(__xludf.DUMMYFUNCTION("""COMPUTED_VALUE"""),"Sin Ficha")</f>
        <v>Sin Ficha</v>
      </c>
      <c r="BF378" s="97"/>
      <c r="BG378" s="97" t="str">
        <f>IFERROR(__xludf.DUMMYFUNCTION("""COMPUTED_VALUE"""),"Discontinuo")</f>
        <v>Discontinuo</v>
      </c>
    </row>
    <row r="379">
      <c r="A379" s="97">
        <f>IFERROR(__xludf.DUMMYFUNCTION("""COMPUTED_VALUE"""),4210.0)</f>
        <v>4210</v>
      </c>
      <c r="B379" s="97" t="str">
        <f>IFERROR(__xludf.DUMMYFUNCTION("""COMPUTED_VALUE"""),"MERA I")</f>
        <v>MERA I</v>
      </c>
      <c r="C379" s="97" t="str">
        <f>IFERROR(__xludf.DUMMYFUNCTION("""COMPUTED_VALUE"""),"APLIQUE MERA I NEGRO LEUK")</f>
        <v>APLIQUE MERA I NEGRO LEUK</v>
      </c>
      <c r="D379" s="97">
        <f>IFERROR(__xludf.DUMMYFUNCTION("""COMPUTED_VALUE"""),7.798328759559E12)</f>
        <v>7798328759559</v>
      </c>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t="str">
        <f>IFERROR(__xludf.DUMMYFUNCTION("""COMPUTED_VALUE"""),"IP20")</f>
        <v>IP20</v>
      </c>
      <c r="AE379" s="97"/>
      <c r="AF379" s="97" t="str">
        <f>IFERROR(__xludf.DUMMYFUNCTION("""COMPUTED_VALUE"""),"Aplicar")</f>
        <v>Aplicar</v>
      </c>
      <c r="AG379" s="97"/>
      <c r="AH379" s="97"/>
      <c r="AI379" s="97"/>
      <c r="AJ379" s="97"/>
      <c r="AK379" s="97"/>
      <c r="AL379" s="97"/>
      <c r="AM379" s="97"/>
      <c r="AN379" s="97"/>
      <c r="AO379" s="97" t="str">
        <f>IFERROR(__xludf.DUMMYFUNCTION("""COMPUTED_VALUE"""),"1 Año")</f>
        <v>1 Año</v>
      </c>
      <c r="AP379" s="97"/>
      <c r="AQ379" s="97"/>
      <c r="AR379" s="97"/>
      <c r="AS379" s="97"/>
      <c r="AT379" s="97"/>
      <c r="AU379" s="97"/>
      <c r="AV379" s="97" t="str">
        <f>IFERROR(__xludf.DUMMYFUNCTION("""COMPUTED_VALUE"""),"Aplique")</f>
        <v>Aplique</v>
      </c>
      <c r="AW379" s="97" t="str">
        <f>IFERROR(__xludf.DUMMYFUNCTION("""COMPUTED_VALUE"""),"De Techo")</f>
        <v>De Techo</v>
      </c>
      <c r="AX379" s="97" t="str">
        <f>IFERROR(__xludf.DUMMYFUNCTION("""COMPUTED_VALUE"""),"Interior")</f>
        <v>Interior</v>
      </c>
      <c r="AY379" s="97"/>
      <c r="AZ379" s="97"/>
      <c r="BA379" s="97"/>
      <c r="BB379" s="97"/>
      <c r="BC379" s="97"/>
      <c r="BD379" s="97" t="str">
        <f>IFERROR(__xludf.DUMMYFUNCTION("""COMPUTED_VALUE"""),"MERA")</f>
        <v>MERA</v>
      </c>
      <c r="BE379" s="97" t="str">
        <f>IFERROR(__xludf.DUMMYFUNCTION("""COMPUTED_VALUE"""),"Sin Ficha")</f>
        <v>Sin Ficha</v>
      </c>
      <c r="BF379" s="97"/>
      <c r="BG379" s="97" t="str">
        <f>IFERROR(__xludf.DUMMYFUNCTION("""COMPUTED_VALUE"""),"Discontinuo")</f>
        <v>Discontinuo</v>
      </c>
    </row>
    <row r="380">
      <c r="A380" s="97">
        <f>IFERROR(__xludf.DUMMYFUNCTION("""COMPUTED_VALUE"""),4211.0)</f>
        <v>4211</v>
      </c>
      <c r="B380" s="97" t="str">
        <f>IFERROR(__xludf.DUMMYFUNCTION("""COMPUTED_VALUE"""),"MERA I")</f>
        <v>MERA I</v>
      </c>
      <c r="C380" s="97" t="str">
        <f>IFERROR(__xludf.DUMMYFUNCTION("""COMPUTED_VALUE"""),"APLIQUE MERA I PLATEADO LEUK")</f>
        <v>APLIQUE MERA I PLATEADO LEUK</v>
      </c>
      <c r="D380" s="97">
        <f>IFERROR(__xludf.DUMMYFUNCTION("""COMPUTED_VALUE"""),7.798328759573E12)</f>
        <v>7798328759573</v>
      </c>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t="str">
        <f>IFERROR(__xludf.DUMMYFUNCTION("""COMPUTED_VALUE"""),"IP20")</f>
        <v>IP20</v>
      </c>
      <c r="AE380" s="97"/>
      <c r="AF380" s="97" t="str">
        <f>IFERROR(__xludf.DUMMYFUNCTION("""COMPUTED_VALUE"""),"Aplicar")</f>
        <v>Aplicar</v>
      </c>
      <c r="AG380" s="97"/>
      <c r="AH380" s="97"/>
      <c r="AI380" s="97"/>
      <c r="AJ380" s="97"/>
      <c r="AK380" s="97"/>
      <c r="AL380" s="97"/>
      <c r="AM380" s="97"/>
      <c r="AN380" s="97"/>
      <c r="AO380" s="97" t="str">
        <f>IFERROR(__xludf.DUMMYFUNCTION("""COMPUTED_VALUE"""),"1 Año")</f>
        <v>1 Año</v>
      </c>
      <c r="AP380" s="97"/>
      <c r="AQ380" s="97"/>
      <c r="AR380" s="97"/>
      <c r="AS380" s="97"/>
      <c r="AT380" s="97"/>
      <c r="AU380" s="97"/>
      <c r="AV380" s="97" t="str">
        <f>IFERROR(__xludf.DUMMYFUNCTION("""COMPUTED_VALUE"""),"Aplique")</f>
        <v>Aplique</v>
      </c>
      <c r="AW380" s="97" t="str">
        <f>IFERROR(__xludf.DUMMYFUNCTION("""COMPUTED_VALUE"""),"De Techo")</f>
        <v>De Techo</v>
      </c>
      <c r="AX380" s="97" t="str">
        <f>IFERROR(__xludf.DUMMYFUNCTION("""COMPUTED_VALUE"""),"Interior")</f>
        <v>Interior</v>
      </c>
      <c r="AY380" s="97"/>
      <c r="AZ380" s="97"/>
      <c r="BA380" s="97"/>
      <c r="BB380" s="97"/>
      <c r="BC380" s="97"/>
      <c r="BD380" s="97" t="str">
        <f>IFERROR(__xludf.DUMMYFUNCTION("""COMPUTED_VALUE"""),"MERA")</f>
        <v>MERA</v>
      </c>
      <c r="BE380" s="97" t="str">
        <f>IFERROR(__xludf.DUMMYFUNCTION("""COMPUTED_VALUE"""),"Sin Ficha")</f>
        <v>Sin Ficha</v>
      </c>
      <c r="BF380" s="97"/>
      <c r="BG380" s="97" t="str">
        <f>IFERROR(__xludf.DUMMYFUNCTION("""COMPUTED_VALUE"""),"Discontinuo")</f>
        <v>Discontinuo</v>
      </c>
    </row>
    <row r="381">
      <c r="A381" s="97">
        <f>IFERROR(__xludf.DUMMYFUNCTION("""COMPUTED_VALUE"""),4212.0)</f>
        <v>4212</v>
      </c>
      <c r="B381" s="97" t="str">
        <f>IFERROR(__xludf.DUMMYFUNCTION("""COMPUTED_VALUE"""),"MERA II")</f>
        <v>MERA II</v>
      </c>
      <c r="C381" s="97" t="str">
        <f>IFERROR(__xludf.DUMMYFUNCTION("""COMPUTED_VALUE"""),"APLIQUE MERA II BLANCO LEUK")</f>
        <v>APLIQUE MERA II BLANCO LEUK</v>
      </c>
      <c r="D381" s="97">
        <f>IFERROR(__xludf.DUMMYFUNCTION("""COMPUTED_VALUE"""),7.798328759597E12)</f>
        <v>7798328759597</v>
      </c>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t="str">
        <f>IFERROR(__xludf.DUMMYFUNCTION("""COMPUTED_VALUE"""),"IP20")</f>
        <v>IP20</v>
      </c>
      <c r="AE381" s="97"/>
      <c r="AF381" s="97" t="str">
        <f>IFERROR(__xludf.DUMMYFUNCTION("""COMPUTED_VALUE"""),"Aplicar")</f>
        <v>Aplicar</v>
      </c>
      <c r="AG381" s="97"/>
      <c r="AH381" s="97"/>
      <c r="AI381" s="97"/>
      <c r="AJ381" s="97"/>
      <c r="AK381" s="97"/>
      <c r="AL381" s="97"/>
      <c r="AM381" s="97"/>
      <c r="AN381" s="97"/>
      <c r="AO381" s="97" t="str">
        <f>IFERROR(__xludf.DUMMYFUNCTION("""COMPUTED_VALUE"""),"1 Año")</f>
        <v>1 Año</v>
      </c>
      <c r="AP381" s="97"/>
      <c r="AQ381" s="97"/>
      <c r="AR381" s="97"/>
      <c r="AS381" s="97"/>
      <c r="AT381" s="97"/>
      <c r="AU381" s="97"/>
      <c r="AV381" s="97" t="str">
        <f>IFERROR(__xludf.DUMMYFUNCTION("""COMPUTED_VALUE"""),"Aplique")</f>
        <v>Aplique</v>
      </c>
      <c r="AW381" s="97" t="str">
        <f>IFERROR(__xludf.DUMMYFUNCTION("""COMPUTED_VALUE"""),"De Techo")</f>
        <v>De Techo</v>
      </c>
      <c r="AX381" s="97" t="str">
        <f>IFERROR(__xludf.DUMMYFUNCTION("""COMPUTED_VALUE"""),"Interior")</f>
        <v>Interior</v>
      </c>
      <c r="AY381" s="97"/>
      <c r="AZ381" s="97"/>
      <c r="BA381" s="97"/>
      <c r="BB381" s="97"/>
      <c r="BC381" s="97"/>
      <c r="BD381" s="97" t="str">
        <f>IFERROR(__xludf.DUMMYFUNCTION("""COMPUTED_VALUE"""),"MERA")</f>
        <v>MERA</v>
      </c>
      <c r="BE381" s="97" t="str">
        <f>IFERROR(__xludf.DUMMYFUNCTION("""COMPUTED_VALUE"""),"Sin Ficha")</f>
        <v>Sin Ficha</v>
      </c>
      <c r="BF381" s="97"/>
      <c r="BG381" s="97" t="str">
        <f>IFERROR(__xludf.DUMMYFUNCTION("""COMPUTED_VALUE"""),"Discontinuo")</f>
        <v>Discontinuo</v>
      </c>
    </row>
    <row r="382">
      <c r="A382" s="97">
        <f>IFERROR(__xludf.DUMMYFUNCTION("""COMPUTED_VALUE"""),4213.0)</f>
        <v>4213</v>
      </c>
      <c r="B382" s="97" t="str">
        <f>IFERROR(__xludf.DUMMYFUNCTION("""COMPUTED_VALUE"""),"MERA II")</f>
        <v>MERA II</v>
      </c>
      <c r="C382" s="97" t="str">
        <f>IFERROR(__xludf.DUMMYFUNCTION("""COMPUTED_VALUE"""),"APLIQUE MERA II NEGRO LEUK")</f>
        <v>APLIQUE MERA II NEGRO LEUK</v>
      </c>
      <c r="D382" s="97">
        <f>IFERROR(__xludf.DUMMYFUNCTION("""COMPUTED_VALUE"""),7.79832875958E12)</f>
        <v>7798328759580</v>
      </c>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t="str">
        <f>IFERROR(__xludf.DUMMYFUNCTION("""COMPUTED_VALUE"""),"IP20")</f>
        <v>IP20</v>
      </c>
      <c r="AE382" s="97"/>
      <c r="AF382" s="97" t="str">
        <f>IFERROR(__xludf.DUMMYFUNCTION("""COMPUTED_VALUE"""),"Aplicar")</f>
        <v>Aplicar</v>
      </c>
      <c r="AG382" s="97"/>
      <c r="AH382" s="97"/>
      <c r="AI382" s="97"/>
      <c r="AJ382" s="97"/>
      <c r="AK382" s="97"/>
      <c r="AL382" s="97"/>
      <c r="AM382" s="97"/>
      <c r="AN382" s="97"/>
      <c r="AO382" s="97" t="str">
        <f>IFERROR(__xludf.DUMMYFUNCTION("""COMPUTED_VALUE"""),"1 Año")</f>
        <v>1 Año</v>
      </c>
      <c r="AP382" s="97"/>
      <c r="AQ382" s="97"/>
      <c r="AR382" s="97"/>
      <c r="AS382" s="97"/>
      <c r="AT382" s="97"/>
      <c r="AU382" s="97"/>
      <c r="AV382" s="97" t="str">
        <f>IFERROR(__xludf.DUMMYFUNCTION("""COMPUTED_VALUE"""),"Aplique")</f>
        <v>Aplique</v>
      </c>
      <c r="AW382" s="97" t="str">
        <f>IFERROR(__xludf.DUMMYFUNCTION("""COMPUTED_VALUE"""),"De Techo")</f>
        <v>De Techo</v>
      </c>
      <c r="AX382" s="97" t="str">
        <f>IFERROR(__xludf.DUMMYFUNCTION("""COMPUTED_VALUE"""),"Interior")</f>
        <v>Interior</v>
      </c>
      <c r="AY382" s="97"/>
      <c r="AZ382" s="97"/>
      <c r="BA382" s="97"/>
      <c r="BB382" s="97"/>
      <c r="BC382" s="97"/>
      <c r="BD382" s="97" t="str">
        <f>IFERROR(__xludf.DUMMYFUNCTION("""COMPUTED_VALUE"""),"MERA")</f>
        <v>MERA</v>
      </c>
      <c r="BE382" s="97" t="str">
        <f>IFERROR(__xludf.DUMMYFUNCTION("""COMPUTED_VALUE"""),"Sin Ficha")</f>
        <v>Sin Ficha</v>
      </c>
      <c r="BF382" s="97"/>
      <c r="BG382" s="97" t="str">
        <f>IFERROR(__xludf.DUMMYFUNCTION("""COMPUTED_VALUE"""),"Discontinuo")</f>
        <v>Discontinuo</v>
      </c>
    </row>
    <row r="383">
      <c r="A383" s="97">
        <f>IFERROR(__xludf.DUMMYFUNCTION("""COMPUTED_VALUE"""),4214.0)</f>
        <v>4214</v>
      </c>
      <c r="B383" s="97" t="str">
        <f>IFERROR(__xludf.DUMMYFUNCTION("""COMPUTED_VALUE"""),"MERA II")</f>
        <v>MERA II</v>
      </c>
      <c r="C383" s="97" t="str">
        <f>IFERROR(__xludf.DUMMYFUNCTION("""COMPUTED_VALUE"""),"APLIQUE MERA II PLATEADO LEUK")</f>
        <v>APLIQUE MERA II PLATEADO LEUK</v>
      </c>
      <c r="D383" s="97">
        <f>IFERROR(__xludf.DUMMYFUNCTION("""COMPUTED_VALUE"""),7.798328759603E12)</f>
        <v>7798328759603</v>
      </c>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t="str">
        <f>IFERROR(__xludf.DUMMYFUNCTION("""COMPUTED_VALUE"""),"IP20")</f>
        <v>IP20</v>
      </c>
      <c r="AE383" s="97"/>
      <c r="AF383" s="97" t="str">
        <f>IFERROR(__xludf.DUMMYFUNCTION("""COMPUTED_VALUE"""),"Aplicar")</f>
        <v>Aplicar</v>
      </c>
      <c r="AG383" s="97"/>
      <c r="AH383" s="97"/>
      <c r="AI383" s="97"/>
      <c r="AJ383" s="97"/>
      <c r="AK383" s="97"/>
      <c r="AL383" s="97"/>
      <c r="AM383" s="97"/>
      <c r="AN383" s="97"/>
      <c r="AO383" s="97" t="str">
        <f>IFERROR(__xludf.DUMMYFUNCTION("""COMPUTED_VALUE"""),"1 Año")</f>
        <v>1 Año</v>
      </c>
      <c r="AP383" s="97"/>
      <c r="AQ383" s="97"/>
      <c r="AR383" s="97"/>
      <c r="AS383" s="97"/>
      <c r="AT383" s="97"/>
      <c r="AU383" s="97"/>
      <c r="AV383" s="97" t="str">
        <f>IFERROR(__xludf.DUMMYFUNCTION("""COMPUTED_VALUE"""),"Aplique")</f>
        <v>Aplique</v>
      </c>
      <c r="AW383" s="97" t="str">
        <f>IFERROR(__xludf.DUMMYFUNCTION("""COMPUTED_VALUE"""),"De Techo")</f>
        <v>De Techo</v>
      </c>
      <c r="AX383" s="97" t="str">
        <f>IFERROR(__xludf.DUMMYFUNCTION("""COMPUTED_VALUE"""),"Interior")</f>
        <v>Interior</v>
      </c>
      <c r="AY383" s="97"/>
      <c r="AZ383" s="97"/>
      <c r="BA383" s="97"/>
      <c r="BB383" s="97"/>
      <c r="BC383" s="97"/>
      <c r="BD383" s="97" t="str">
        <f>IFERROR(__xludf.DUMMYFUNCTION("""COMPUTED_VALUE"""),"MERA")</f>
        <v>MERA</v>
      </c>
      <c r="BE383" s="97" t="str">
        <f>IFERROR(__xludf.DUMMYFUNCTION("""COMPUTED_VALUE"""),"Sin Ficha")</f>
        <v>Sin Ficha</v>
      </c>
      <c r="BF383" s="97"/>
      <c r="BG383" s="97" t="str">
        <f>IFERROR(__xludf.DUMMYFUNCTION("""COMPUTED_VALUE"""),"Discontinuo")</f>
        <v>Discontinuo</v>
      </c>
    </row>
    <row r="384">
      <c r="A384" s="97">
        <f>IFERROR(__xludf.DUMMYFUNCTION("""COMPUTED_VALUE"""),4217.0)</f>
        <v>4217</v>
      </c>
      <c r="B384" s="97" t="str">
        <f>IFERROR(__xludf.DUMMYFUNCTION("""COMPUTED_VALUE"""),"ORTHOG II NG")</f>
        <v>ORTHOG II NG</v>
      </c>
      <c r="C384" s="97" t="str">
        <f>IFERROR(__xludf.DUMMYFUNCTION("""COMPUTED_VALUE"""),"APLIQUE ORTHOG II NG 12W 3000K 590LM CRI&gt;90 IP65 LEUK")</f>
        <v>APLIQUE ORTHOG II NG 12W 3000K 590LM CRI&gt;90 IP65 LEUK</v>
      </c>
      <c r="D384" s="97">
        <f>IFERROR(__xludf.DUMMYFUNCTION("""COMPUTED_VALUE"""),7.798328758101E12)</f>
        <v>7798328758101</v>
      </c>
      <c r="E384" s="97"/>
      <c r="F384" s="97" t="str">
        <f>IFERROR(__xludf.DUMMYFUNCTION("""COMPUTED_VALUE"""),"LED integrado")</f>
        <v>LED integrado</v>
      </c>
      <c r="G384" s="97" t="str">
        <f>IFERROR(__xludf.DUMMYFUNCTION("""COMPUTED_VALUE"""),"-")</f>
        <v>-</v>
      </c>
      <c r="H384" s="97" t="str">
        <f>IFERROR(__xludf.DUMMYFUNCTION("""COMPUTED_VALUE"""),"-")</f>
        <v>-</v>
      </c>
      <c r="I384" s="97"/>
      <c r="J384" s="97" t="str">
        <f>IFERROR(__xludf.DUMMYFUNCTION("""COMPUTED_VALUE"""),"Modelo: 8-12W
In: 85-265Vac 50/60Hz
Out: 24-36Vdc 270mA
Tc 75°C Ta 50°C")</f>
        <v>Modelo: 8-12W
In: 85-265Vac 50/60Hz
Out: 24-36Vdc 270mA
Tc 75°C Ta 50°C</v>
      </c>
      <c r="K384" s="97" t="str">
        <f>IFERROR(__xludf.DUMMYFUNCTION("""COMPUTED_VALUE"""),"ON/OFF")</f>
        <v>ON/OFF</v>
      </c>
      <c r="L384" s="97" t="str">
        <f>IFERROR(__xludf.DUMMYFUNCTION("""COMPUTED_VALUE"""),"220-240")</f>
        <v>220-240</v>
      </c>
      <c r="M384" s="97" t="str">
        <f>IFERROR(__xludf.DUMMYFUNCTION("""COMPUTED_VALUE"""),"50/60")</f>
        <v>50/60</v>
      </c>
      <c r="N384" s="97"/>
      <c r="O384" s="97">
        <f>IFERROR(__xludf.DUMMYFUNCTION("""COMPUTED_VALUE"""),12.0)</f>
        <v>12</v>
      </c>
      <c r="P384" s="97"/>
      <c r="Q384" s="97">
        <f>IFERROR(__xludf.DUMMYFUNCTION("""COMPUTED_VALUE"""),0.48)</f>
        <v>0.48</v>
      </c>
      <c r="R384" s="97" t="str">
        <f>IFERROR(__xludf.DUMMYFUNCTION("""COMPUTED_VALUE"""),"-")</f>
        <v>-</v>
      </c>
      <c r="S384" s="97" t="str">
        <f>IFERROR(__xludf.DUMMYFUNCTION("""COMPUTED_VALUE"""),"-")</f>
        <v>-</v>
      </c>
      <c r="T384" s="97">
        <f>IFERROR(__xludf.DUMMYFUNCTION("""COMPUTED_VALUE"""),590.0)</f>
        <v>590</v>
      </c>
      <c r="U384" s="99">
        <f>IFERROR(__xludf.DUMMYFUNCTION("""COMPUTED_VALUE"""),49.166666666666664)</f>
        <v>49.16666667</v>
      </c>
      <c r="V384" s="97">
        <f>IFERROR(__xludf.DUMMYFUNCTION("""COMPUTED_VALUE"""),230.0)</f>
        <v>230</v>
      </c>
      <c r="W384" s="97" t="str">
        <f>IFERROR(__xludf.DUMMYFUNCTION("""COMPUTED_VALUE"""),"&lt; 20")</f>
        <v>&lt; 20</v>
      </c>
      <c r="X384" s="97">
        <f>IFERROR(__xludf.DUMMYFUNCTION("""COMPUTED_VALUE"""),3000.0)</f>
        <v>3000</v>
      </c>
      <c r="Y384" s="97" t="str">
        <f>IFERROR(__xludf.DUMMYFUNCTION("""COMPUTED_VALUE"""),"&gt;90")</f>
        <v>&gt;90</v>
      </c>
      <c r="Z384" s="97"/>
      <c r="AA384" s="97"/>
      <c r="AB384" s="97" t="str">
        <f>IFERROR(__xludf.DUMMYFUNCTION("""COMPUTED_VALUE"""),"&lt; 3")</f>
        <v>&lt; 3</v>
      </c>
      <c r="AC384" s="97"/>
      <c r="AD384" s="97" t="str">
        <f>IFERROR(__xludf.DUMMYFUNCTION("""COMPUTED_VALUE"""),"IP65")</f>
        <v>IP65</v>
      </c>
      <c r="AE384" s="97" t="str">
        <f>IFERROR(__xludf.DUMMYFUNCTION("""COMPUTED_VALUE"""),"Clase l")</f>
        <v>Clase l</v>
      </c>
      <c r="AF384" s="97" t="str">
        <f>IFERROR(__xludf.DUMMYFUNCTION("""COMPUTED_VALUE"""),"Aplicar")</f>
        <v>Aplicar</v>
      </c>
      <c r="AG384" s="97" t="str">
        <f>IFERROR(__xludf.DUMMYFUNCTION("""COMPUTED_VALUE"""),"175 x 40 x 105")</f>
        <v>175 x 40 x 105</v>
      </c>
      <c r="AH384" s="97" t="str">
        <f>IFERROR(__xludf.DUMMYFUNCTION("""COMPUTED_VALUE"""),"N/A")</f>
        <v>N/A</v>
      </c>
      <c r="AI384" s="97" t="str">
        <f>IFERROR(__xludf.DUMMYFUNCTION("""COMPUTED_VALUE"""),"N/A")</f>
        <v>N/A</v>
      </c>
      <c r="AJ384" s="97" t="str">
        <f>IFERROR(__xludf.DUMMYFUNCTION("""COMPUTED_VALUE"""),"PMMA")</f>
        <v>PMMA</v>
      </c>
      <c r="AK384" s="97" t="str">
        <f>IFERROR(__xludf.DUMMYFUNCTION("""COMPUTED_VALUE"""),"Aluminio")</f>
        <v>Aluminio</v>
      </c>
      <c r="AL384" s="97" t="str">
        <f>IFERROR(__xludf.DUMMYFUNCTION("""COMPUTED_VALUE"""),"Negro Satinado")</f>
        <v>Negro Satinado</v>
      </c>
      <c r="AM384" s="97" t="str">
        <f>IFERROR(__xludf.DUMMYFUNCTION("""COMPUTED_VALUE"""),"-")</f>
        <v>-</v>
      </c>
      <c r="AN384" s="97" t="str">
        <f>IFERROR(__xludf.DUMMYFUNCTION("""COMPUTED_VALUE"""),"25.000hs (L70)")</f>
        <v>25.000hs (L70)</v>
      </c>
      <c r="AO384" s="97" t="str">
        <f>IFERROR(__xludf.DUMMYFUNCTION("""COMPUTED_VALUE"""),"2 Años")</f>
        <v>2 Años</v>
      </c>
      <c r="AP384" s="97" t="str">
        <f>IFERROR(__xludf.DUMMYFUNCTION("""COMPUTED_VALUE"""),"Disponible")</f>
        <v>Disponible</v>
      </c>
      <c r="AQ384" s="97" t="str">
        <f>IFERROR(__xludf.DUMMYFUNCTION("""COMPUTED_VALUE"""),"Disponible")</f>
        <v>Disponible</v>
      </c>
      <c r="AR384" s="97" t="str">
        <f>IFERROR(__xludf.DUMMYFUNCTION("""COMPUTED_VALUE"""),"Disponible")</f>
        <v>Disponible</v>
      </c>
      <c r="AS384" s="97"/>
      <c r="AT384" s="97"/>
      <c r="AU384" s="97" t="str">
        <f>IFERROR(__xludf.DUMMYFUNCTION("""COMPUTED_VALUE"""),"Falta")</f>
        <v>Falta</v>
      </c>
      <c r="AV384" s="97" t="str">
        <f>IFERROR(__xludf.DUMMYFUNCTION("""COMPUTED_VALUE"""),"Aplique")</f>
        <v>Aplique</v>
      </c>
      <c r="AW384" s="97" t="str">
        <f>IFERROR(__xludf.DUMMYFUNCTION("""COMPUTED_VALUE"""),"De Pared")</f>
        <v>De Pared</v>
      </c>
      <c r="AX384" s="97" t="str">
        <f>IFERROR(__xludf.DUMMYFUNCTION("""COMPUTED_VALUE"""),"Exterior")</f>
        <v>Exterior</v>
      </c>
      <c r="AY384" s="97" t="str">
        <f>IFERROR(__xludf.DUMMYFUNCTION("""COMPUTED_VALUE"""),"-")</f>
        <v>-</v>
      </c>
      <c r="AZ384" s="97"/>
      <c r="BA384" s="97">
        <f>IFERROR(__xludf.DUMMYFUNCTION("""COMPUTED_VALUE"""),50.0)</f>
        <v>50</v>
      </c>
      <c r="BB384" s="97" t="str">
        <f>IFERROR(__xludf.DUMMYFUNCTION("""COMPUTED_VALUE"""),"-")</f>
        <v>-</v>
      </c>
      <c r="BC384" s="97" t="str">
        <f>IFERROR(__xludf.DUMMYFUNCTION("""COMPUTED_VALUE"""),"-")</f>
        <v>-</v>
      </c>
      <c r="BD384" s="97" t="str">
        <f>IFERROR(__xludf.DUMMYFUNCTION("""COMPUTED_VALUE"""),"ORTHOG")</f>
        <v>ORTHOG</v>
      </c>
      <c r="BE384" s="97" t="str">
        <f>IFERROR(__xludf.DUMMYFUNCTION("""COMPUTED_VALUE"""),"Actualizar")</f>
        <v>Actualizar</v>
      </c>
      <c r="BF384" s="97"/>
      <c r="BG384" s="97" t="str">
        <f>IFERROR(__xludf.DUMMYFUNCTION("""COMPUTED_VALUE"""),"Activo")</f>
        <v>Activo</v>
      </c>
    </row>
    <row r="385">
      <c r="A385" s="97">
        <f>IFERROR(__xludf.DUMMYFUNCTION("""COMPUTED_VALUE"""),4218.0)</f>
        <v>4218</v>
      </c>
      <c r="B385" s="97" t="str">
        <f>IFERROR(__xludf.DUMMYFUNCTION("""COMPUTED_VALUE"""),"PODI")</f>
        <v>PODI</v>
      </c>
      <c r="C385" s="97" t="str">
        <f>IFERROR(__xludf.DUMMYFUNCTION("""COMPUTED_VALUE"""),"LUMINARIA EXTERIOR FAROLA PODI LEUK")</f>
        <v>LUMINARIA EXTERIOR FAROLA PODI LEUK</v>
      </c>
      <c r="D385" s="97">
        <f>IFERROR(__xludf.DUMMYFUNCTION("""COMPUTED_VALUE"""),7.798328755742E12)</f>
        <v>7798328755742</v>
      </c>
      <c r="E385" s="97"/>
      <c r="F385" s="97" t="str">
        <f>IFERROR(__xludf.DUMMYFUNCTION("""COMPUTED_VALUE"""),"E27")</f>
        <v>E27</v>
      </c>
      <c r="G385" s="97" t="str">
        <f>IFERROR(__xludf.DUMMYFUNCTION("""COMPUTED_VALUE"""),"N/A")</f>
        <v>N/A</v>
      </c>
      <c r="H385" s="97" t="str">
        <f>IFERROR(__xludf.DUMMYFUNCTION("""COMPUTED_VALUE"""),"N/A")</f>
        <v>N/A</v>
      </c>
      <c r="I385" s="97" t="str">
        <f>IFERROR(__xludf.DUMMYFUNCTION("""COMPUTED_VALUE"""),"N/A")</f>
        <v>N/A</v>
      </c>
      <c r="J385" s="97"/>
      <c r="K385" s="97" t="str">
        <f>IFERROR(__xludf.DUMMYFUNCTION("""COMPUTED_VALUE"""),"N/A")</f>
        <v>N/A</v>
      </c>
      <c r="L385" s="97" t="str">
        <f>IFERROR(__xludf.DUMMYFUNCTION("""COMPUTED_VALUE"""),"220-240")</f>
        <v>220-240</v>
      </c>
      <c r="M385" s="97" t="str">
        <f>IFERROR(__xludf.DUMMYFUNCTION("""COMPUTED_VALUE"""),"50/60")</f>
        <v>50/60</v>
      </c>
      <c r="N385" s="97"/>
      <c r="O385" s="97" t="str">
        <f>IFERROR(__xludf.DUMMYFUNCTION("""COMPUTED_VALUE"""),"-")</f>
        <v>-</v>
      </c>
      <c r="P385" s="97"/>
      <c r="Q385" s="97" t="str">
        <f>IFERROR(__xludf.DUMMYFUNCTION("""COMPUTED_VALUE"""),"-")</f>
        <v>-</v>
      </c>
      <c r="R385" s="97" t="str">
        <f>IFERROR(__xludf.DUMMYFUNCTION("""COMPUTED_VALUE"""),"-")</f>
        <v>-</v>
      </c>
      <c r="S385" s="97" t="str">
        <f>IFERROR(__xludf.DUMMYFUNCTION("""COMPUTED_VALUE"""),"-")</f>
        <v>-</v>
      </c>
      <c r="T385" s="97" t="str">
        <f>IFERROR(__xludf.DUMMYFUNCTION("""COMPUTED_VALUE"""),"-")</f>
        <v>-</v>
      </c>
      <c r="U385" s="97" t="str">
        <f>IFERROR(__xludf.DUMMYFUNCTION("""COMPUTED_VALUE"""),"-")</f>
        <v>-</v>
      </c>
      <c r="V385" s="97" t="str">
        <f>IFERROR(__xludf.DUMMYFUNCTION("""COMPUTED_VALUE"""),"N/A")</f>
        <v>N/A</v>
      </c>
      <c r="W385" s="97" t="str">
        <f>IFERROR(__xludf.DUMMYFUNCTION("""COMPUTED_VALUE"""),"N/A")</f>
        <v>N/A</v>
      </c>
      <c r="X385" s="97" t="str">
        <f>IFERROR(__xludf.DUMMYFUNCTION("""COMPUTED_VALUE"""),"-")</f>
        <v>-</v>
      </c>
      <c r="Y385" s="97" t="str">
        <f>IFERROR(__xludf.DUMMYFUNCTION("""COMPUTED_VALUE"""),"N/A")</f>
        <v>N/A</v>
      </c>
      <c r="Z385" s="97" t="str">
        <f>IFERROR(__xludf.DUMMYFUNCTION("""COMPUTED_VALUE"""),"N/A")</f>
        <v>N/A</v>
      </c>
      <c r="AA385" s="97" t="str">
        <f>IFERROR(__xludf.DUMMYFUNCTION("""COMPUTED_VALUE"""),"N/A")</f>
        <v>N/A</v>
      </c>
      <c r="AB385" s="97" t="str">
        <f>IFERROR(__xludf.DUMMYFUNCTION("""COMPUTED_VALUE"""),"N/A")</f>
        <v>N/A</v>
      </c>
      <c r="AC385" s="97" t="str">
        <f>IFERROR(__xludf.DUMMYFUNCTION("""COMPUTED_VALUE"""),"N/A")</f>
        <v>N/A</v>
      </c>
      <c r="AD385" s="97" t="str">
        <f>IFERROR(__xludf.DUMMYFUNCTION("""COMPUTED_VALUE"""),"IP55")</f>
        <v>IP55</v>
      </c>
      <c r="AE385" s="97" t="str">
        <f>IFERROR(__xludf.DUMMYFUNCTION("""COMPUTED_VALUE"""),"Clase l")</f>
        <v>Clase l</v>
      </c>
      <c r="AF385" s="97" t="str">
        <f>IFERROR(__xludf.DUMMYFUNCTION("""COMPUTED_VALUE"""),"Anclaje de piso")</f>
        <v>Anclaje de piso</v>
      </c>
      <c r="AG385" s="97" t="str">
        <f>IFERROR(__xludf.DUMMYFUNCTION("""COMPUTED_VALUE"""),"135 x 135 x 580")</f>
        <v>135 x 135 x 580</v>
      </c>
      <c r="AH385" s="97" t="str">
        <f>IFERROR(__xludf.DUMMYFUNCTION("""COMPUTED_VALUE"""),"N/A")</f>
        <v>N/A</v>
      </c>
      <c r="AI385" s="97" t="str">
        <f>IFERROR(__xludf.DUMMYFUNCTION("""COMPUTED_VALUE"""),"N/A")</f>
        <v>N/A</v>
      </c>
      <c r="AJ385" s="97" t="str">
        <f>IFERROR(__xludf.DUMMYFUNCTION("""COMPUTED_VALUE"""),"Vidrio y Policarbonato (PC)")</f>
        <v>Vidrio y Policarbonato (PC)</v>
      </c>
      <c r="AK385" s="97" t="str">
        <f>IFERROR(__xludf.DUMMYFUNCTION("""COMPUTED_VALUE"""),"Aluminio")</f>
        <v>Aluminio</v>
      </c>
      <c r="AL385" s="97" t="str">
        <f>IFERROR(__xludf.DUMMYFUNCTION("""COMPUTED_VALUE"""),"Negro Satinado")</f>
        <v>Negro Satinado</v>
      </c>
      <c r="AM385" s="97" t="str">
        <f>IFERROR(__xludf.DUMMYFUNCTION("""COMPUTED_VALUE"""),"-")</f>
        <v>-</v>
      </c>
      <c r="AN385" s="97" t="str">
        <f>IFERROR(__xludf.DUMMYFUNCTION("""COMPUTED_VALUE"""),"N/A")</f>
        <v>N/A</v>
      </c>
      <c r="AO385" s="97" t="str">
        <f>IFERROR(__xludf.DUMMYFUNCTION("""COMPUTED_VALUE"""),"1 Año")</f>
        <v>1 Año</v>
      </c>
      <c r="AP385" s="97" t="str">
        <f>IFERROR(__xludf.DUMMYFUNCTION("""COMPUTED_VALUE"""),"No Aplica")</f>
        <v>No Aplica</v>
      </c>
      <c r="AQ385" s="97" t="str">
        <f>IFERROR(__xludf.DUMMYFUNCTION("""COMPUTED_VALUE"""),"No Aplica")</f>
        <v>No Aplica</v>
      </c>
      <c r="AR385" s="97" t="str">
        <f>IFERROR(__xludf.DUMMYFUNCTION("""COMPUTED_VALUE"""),"No Aplica")</f>
        <v>No Aplica</v>
      </c>
      <c r="AS385" s="97" t="str">
        <f>IFERROR(__xludf.DUMMYFUNCTION("""COMPUTED_VALUE"""),"Falta")</f>
        <v>Falta</v>
      </c>
      <c r="AT385" s="97" t="str">
        <f>IFERROR(__xludf.DUMMYFUNCTION("""COMPUTED_VALUE"""),"Falta")</f>
        <v>Falta</v>
      </c>
      <c r="AU385" s="97" t="str">
        <f>IFERROR(__xludf.DUMMYFUNCTION("""COMPUTED_VALUE"""),"Falta")</f>
        <v>Falta</v>
      </c>
      <c r="AV385" s="97" t="str">
        <f>IFERROR(__xludf.DUMMYFUNCTION("""COMPUTED_VALUE"""),"Bolardo")</f>
        <v>Bolardo</v>
      </c>
      <c r="AW385" s="97" t="str">
        <f>IFERROR(__xludf.DUMMYFUNCTION("""COMPUTED_VALUE"""),"De Piso")</f>
        <v>De Piso</v>
      </c>
      <c r="AX385" s="97" t="str">
        <f>IFERROR(__xludf.DUMMYFUNCTION("""COMPUTED_VALUE"""),"Exterior")</f>
        <v>Exterior</v>
      </c>
      <c r="AY385" s="97"/>
      <c r="AZ385" s="97"/>
      <c r="BA385" s="97">
        <f>IFERROR(__xludf.DUMMYFUNCTION("""COMPUTED_VALUE"""),4.0)</f>
        <v>4</v>
      </c>
      <c r="BB385" s="97"/>
      <c r="BC385" s="97"/>
      <c r="BD385" s="97" t="str">
        <f>IFERROR(__xludf.DUMMYFUNCTION("""COMPUTED_VALUE"""),"PODI")</f>
        <v>PODI</v>
      </c>
      <c r="BE385" s="97" t="str">
        <f>IFERROR(__xludf.DUMMYFUNCTION("""COMPUTED_VALUE"""),"Finalizada")</f>
        <v>Finalizada</v>
      </c>
      <c r="BF385" s="97"/>
      <c r="BG385" s="97" t="str">
        <f>IFERROR(__xludf.DUMMYFUNCTION("""COMPUTED_VALUE"""),"Discontinuo")</f>
        <v>Discontinuo</v>
      </c>
    </row>
    <row r="386">
      <c r="A386" s="97">
        <f>IFERROR(__xludf.DUMMYFUNCTION("""COMPUTED_VALUE"""),4232.0)</f>
        <v>4232</v>
      </c>
      <c r="B386" s="97" t="str">
        <f>IFERROR(__xludf.DUMMYFUNCTION("""COMPUTED_VALUE"""),"KATHARO IV SQ NG")</f>
        <v>KATHARO IV SQ NG</v>
      </c>
      <c r="C386" s="97" t="str">
        <f>IFERROR(__xludf.DUMMYFUNCTION("""COMPUTED_VALUE"""),"APLIQUE KATHARO IV SQ NG 4XGU10 DICRO IP20 LEUK")</f>
        <v>APLIQUE KATHARO IV SQ NG 4XGU10 DICRO IP20 LEUK</v>
      </c>
      <c r="D386" s="97">
        <f>IFERROR(__xludf.DUMMYFUNCTION("""COMPUTED_VALUE"""),7.798328754929E12)</f>
        <v>7798328754929</v>
      </c>
      <c r="E386" s="97"/>
      <c r="F386" s="97" t="str">
        <f>IFERROR(__xludf.DUMMYFUNCTION("""COMPUTED_VALUE"""),"4xGU10 Dicro")</f>
        <v>4xGU10 Dicro</v>
      </c>
      <c r="G386" s="97" t="str">
        <f>IFERROR(__xludf.DUMMYFUNCTION("""COMPUTED_VALUE"""),"N/A")</f>
        <v>N/A</v>
      </c>
      <c r="H386" s="97" t="str">
        <f>IFERROR(__xludf.DUMMYFUNCTION("""COMPUTED_VALUE"""),"N/A")</f>
        <v>N/A</v>
      </c>
      <c r="I386" s="97" t="str">
        <f>IFERROR(__xludf.DUMMYFUNCTION("""COMPUTED_VALUE"""),"N/A")</f>
        <v>N/A</v>
      </c>
      <c r="J386" s="97" t="str">
        <f>IFERROR(__xludf.DUMMYFUNCTION("""COMPUTED_VALUE"""),"N/A")</f>
        <v>N/A</v>
      </c>
      <c r="K386" s="97" t="str">
        <f>IFERROR(__xludf.DUMMYFUNCTION("""COMPUTED_VALUE"""),"N/A")</f>
        <v>N/A</v>
      </c>
      <c r="L386" s="97">
        <f>IFERROR(__xludf.DUMMYFUNCTION("""COMPUTED_VALUE"""),220.0)</f>
        <v>220</v>
      </c>
      <c r="M386" s="97">
        <f>IFERROR(__xludf.DUMMYFUNCTION("""COMPUTED_VALUE"""),50.0)</f>
        <v>50</v>
      </c>
      <c r="N386" s="97"/>
      <c r="O386" s="97" t="str">
        <f>IFERROR(__xludf.DUMMYFUNCTION("""COMPUTED_VALUE"""),"4 x 50W Max")</f>
        <v>4 x 50W Max</v>
      </c>
      <c r="P386" s="97"/>
      <c r="Q386" s="97" t="str">
        <f>IFERROR(__xludf.DUMMYFUNCTION("""COMPUTED_VALUE"""),"-")</f>
        <v>-</v>
      </c>
      <c r="R386" s="97" t="str">
        <f>IFERROR(__xludf.DUMMYFUNCTION("""COMPUTED_VALUE"""),"-")</f>
        <v>-</v>
      </c>
      <c r="S386" s="97" t="str">
        <f>IFERROR(__xludf.DUMMYFUNCTION("""COMPUTED_VALUE"""),"-")</f>
        <v>-</v>
      </c>
      <c r="T386" s="97" t="str">
        <f>IFERROR(__xludf.DUMMYFUNCTION("""COMPUTED_VALUE"""),"-")</f>
        <v>-</v>
      </c>
      <c r="U386" s="97" t="str">
        <f>IFERROR(__xludf.DUMMYFUNCTION("""COMPUTED_VALUE"""),"-")</f>
        <v>-</v>
      </c>
      <c r="V386" s="97" t="str">
        <f>IFERROR(__xludf.DUMMYFUNCTION("""COMPUTED_VALUE"""),"N/A")</f>
        <v>N/A</v>
      </c>
      <c r="W386" s="97" t="str">
        <f>IFERROR(__xludf.DUMMYFUNCTION("""COMPUTED_VALUE"""),"N/A")</f>
        <v>N/A</v>
      </c>
      <c r="X386" s="97" t="str">
        <f>IFERROR(__xludf.DUMMYFUNCTION("""COMPUTED_VALUE"""),"-")</f>
        <v>-</v>
      </c>
      <c r="Y386" s="97" t="str">
        <f>IFERROR(__xludf.DUMMYFUNCTION("""COMPUTED_VALUE"""),"N/A")</f>
        <v>N/A</v>
      </c>
      <c r="Z386" s="97" t="str">
        <f>IFERROR(__xludf.DUMMYFUNCTION("""COMPUTED_VALUE"""),"N/A")</f>
        <v>N/A</v>
      </c>
      <c r="AA386" s="97" t="str">
        <f>IFERROR(__xludf.DUMMYFUNCTION("""COMPUTED_VALUE"""),"N/A")</f>
        <v>N/A</v>
      </c>
      <c r="AB386" s="97" t="str">
        <f>IFERROR(__xludf.DUMMYFUNCTION("""COMPUTED_VALUE"""),"N/A")</f>
        <v>N/A</v>
      </c>
      <c r="AC386" s="97" t="str">
        <f>IFERROR(__xludf.DUMMYFUNCTION("""COMPUTED_VALUE"""),"N/A")</f>
        <v>N/A</v>
      </c>
      <c r="AD386" s="97" t="str">
        <f>IFERROR(__xludf.DUMMYFUNCTION("""COMPUTED_VALUE"""),"IP20")</f>
        <v>IP20</v>
      </c>
      <c r="AE386" s="97" t="str">
        <f>IFERROR(__xludf.DUMMYFUNCTION("""COMPUTED_VALUE"""),"Clase l")</f>
        <v>Clase l</v>
      </c>
      <c r="AF386" s="97" t="str">
        <f>IFERROR(__xludf.DUMMYFUNCTION("""COMPUTED_VALUE"""),"Aplicar")</f>
        <v>Aplicar</v>
      </c>
      <c r="AG386" s="97" t="str">
        <f>IFERROR(__xludf.DUMMYFUNCTION("""COMPUTED_VALUE"""),"210 x 30 x 210")</f>
        <v>210 x 30 x 210</v>
      </c>
      <c r="AH386" s="97" t="str">
        <f>IFERROR(__xludf.DUMMYFUNCTION("""COMPUTED_VALUE"""),"N/A")</f>
        <v>N/A</v>
      </c>
      <c r="AI386" s="97" t="str">
        <f>IFERROR(__xludf.DUMMYFUNCTION("""COMPUTED_VALUE"""),"N/A")</f>
        <v>N/A</v>
      </c>
      <c r="AJ386" s="97" t="str">
        <f>IFERROR(__xludf.DUMMYFUNCTION("""COMPUTED_VALUE"""),"N/A")</f>
        <v>N/A</v>
      </c>
      <c r="AK386" s="97" t="str">
        <f>IFERROR(__xludf.DUMMYFUNCTION("""COMPUTED_VALUE"""),"Aluminio")</f>
        <v>Aluminio</v>
      </c>
      <c r="AL386" s="97" t="str">
        <f>IFERROR(__xludf.DUMMYFUNCTION("""COMPUTED_VALUE"""),"Negro Satinado")</f>
        <v>Negro Satinado</v>
      </c>
      <c r="AM386" s="97" t="str">
        <f>IFERROR(__xludf.DUMMYFUNCTION("""COMPUTED_VALUE"""),"-")</f>
        <v>-</v>
      </c>
      <c r="AN386" s="97" t="str">
        <f>IFERROR(__xludf.DUMMYFUNCTION("""COMPUTED_VALUE"""),"N/A")</f>
        <v>N/A</v>
      </c>
      <c r="AO386" s="97" t="str">
        <f>IFERROR(__xludf.DUMMYFUNCTION("""COMPUTED_VALUE"""),"2 Años")</f>
        <v>2 Años</v>
      </c>
      <c r="AP386" s="97" t="str">
        <f>IFERROR(__xludf.DUMMYFUNCTION("""COMPUTED_VALUE"""),"No Aplica")</f>
        <v>No Aplica</v>
      </c>
      <c r="AQ386" s="97" t="str">
        <f>IFERROR(__xludf.DUMMYFUNCTION("""COMPUTED_VALUE"""),"No Aplica")</f>
        <v>No Aplica</v>
      </c>
      <c r="AR386" s="97" t="str">
        <f>IFERROR(__xludf.DUMMYFUNCTION("""COMPUTED_VALUE"""),"No Aplica")</f>
        <v>No Aplica</v>
      </c>
      <c r="AS386" s="97"/>
      <c r="AT386" s="97"/>
      <c r="AU386" s="97" t="str">
        <f>IFERROR(__xludf.DUMMYFUNCTION("""COMPUTED_VALUE"""),"Falta")</f>
        <v>Falta</v>
      </c>
      <c r="AV386" s="97" t="str">
        <f>IFERROR(__xludf.DUMMYFUNCTION("""COMPUTED_VALUE"""),"Aplique")</f>
        <v>Aplique</v>
      </c>
      <c r="AW386" s="97" t="str">
        <f>IFERROR(__xludf.DUMMYFUNCTION("""COMPUTED_VALUE"""),"De Techo")</f>
        <v>De Techo</v>
      </c>
      <c r="AX386" s="97" t="str">
        <f>IFERROR(__xludf.DUMMYFUNCTION("""COMPUTED_VALUE"""),"Interior")</f>
        <v>Interior</v>
      </c>
      <c r="AY386" s="97" t="str">
        <f>IFERROR(__xludf.DUMMYFUNCTION("""COMPUTED_VALUE"""),"-")</f>
        <v>-</v>
      </c>
      <c r="AZ386" s="97"/>
      <c r="BA386" s="97">
        <f>IFERROR(__xludf.DUMMYFUNCTION("""COMPUTED_VALUE"""),6.0)</f>
        <v>6</v>
      </c>
      <c r="BB386" s="97" t="str">
        <f>IFERROR(__xludf.DUMMYFUNCTION("""COMPUTED_VALUE"""),"-")</f>
        <v>-</v>
      </c>
      <c r="BC386" s="97" t="str">
        <f>IFERROR(__xludf.DUMMYFUNCTION("""COMPUTED_VALUE"""),"-")</f>
        <v>-</v>
      </c>
      <c r="BD386" s="97" t="str">
        <f>IFERROR(__xludf.DUMMYFUNCTION("""COMPUTED_VALUE"""),"KATHARO")</f>
        <v>KATHARO</v>
      </c>
      <c r="BE386" s="97" t="str">
        <f>IFERROR(__xludf.DUMMYFUNCTION("""COMPUTED_VALUE"""),"Finalizada")</f>
        <v>Finalizada</v>
      </c>
      <c r="BF386" s="97"/>
      <c r="BG386" s="97" t="str">
        <f>IFERROR(__xludf.DUMMYFUNCTION("""COMPUTED_VALUE"""),"Activo")</f>
        <v>Activo</v>
      </c>
    </row>
    <row r="387">
      <c r="A387" s="97">
        <f>IFERROR(__xludf.DUMMYFUNCTION("""COMPUTED_VALUE"""),4233.0)</f>
        <v>4233</v>
      </c>
      <c r="B387" s="97" t="str">
        <f>IFERROR(__xludf.DUMMYFUNCTION("""COMPUTED_VALUE"""),"KATHARO IV SQ BL")</f>
        <v>KATHARO IV SQ BL</v>
      </c>
      <c r="C387" s="97" t="str">
        <f>IFERROR(__xludf.DUMMYFUNCTION("""COMPUTED_VALUE"""),"APLIQUE KATHARO IV SQ BL 4XGU10 DICRO IP20 LEUK")</f>
        <v>APLIQUE KATHARO IV SQ BL 4XGU10 DICRO IP20 LEUK</v>
      </c>
      <c r="D387" s="97">
        <f>IFERROR(__xludf.DUMMYFUNCTION("""COMPUTED_VALUE"""),7.798328754912E12)</f>
        <v>7798328754912</v>
      </c>
      <c r="E387" s="97"/>
      <c r="F387" s="97" t="str">
        <f>IFERROR(__xludf.DUMMYFUNCTION("""COMPUTED_VALUE"""),"4xGU10 Dicro")</f>
        <v>4xGU10 Dicro</v>
      </c>
      <c r="G387" s="97" t="str">
        <f>IFERROR(__xludf.DUMMYFUNCTION("""COMPUTED_VALUE"""),"N/A")</f>
        <v>N/A</v>
      </c>
      <c r="H387" s="97" t="str">
        <f>IFERROR(__xludf.DUMMYFUNCTION("""COMPUTED_VALUE"""),"N/A")</f>
        <v>N/A</v>
      </c>
      <c r="I387" s="97" t="str">
        <f>IFERROR(__xludf.DUMMYFUNCTION("""COMPUTED_VALUE"""),"N/A")</f>
        <v>N/A</v>
      </c>
      <c r="J387" s="97" t="str">
        <f>IFERROR(__xludf.DUMMYFUNCTION("""COMPUTED_VALUE"""),"N/A")</f>
        <v>N/A</v>
      </c>
      <c r="K387" s="97" t="str">
        <f>IFERROR(__xludf.DUMMYFUNCTION("""COMPUTED_VALUE"""),"N/A")</f>
        <v>N/A</v>
      </c>
      <c r="L387" s="97">
        <f>IFERROR(__xludf.DUMMYFUNCTION("""COMPUTED_VALUE"""),220.0)</f>
        <v>220</v>
      </c>
      <c r="M387" s="97">
        <f>IFERROR(__xludf.DUMMYFUNCTION("""COMPUTED_VALUE"""),50.0)</f>
        <v>50</v>
      </c>
      <c r="N387" s="97"/>
      <c r="O387" s="97" t="str">
        <f>IFERROR(__xludf.DUMMYFUNCTION("""COMPUTED_VALUE"""),"4 x 50W Max")</f>
        <v>4 x 50W Max</v>
      </c>
      <c r="P387" s="97"/>
      <c r="Q387" s="97" t="str">
        <f>IFERROR(__xludf.DUMMYFUNCTION("""COMPUTED_VALUE"""),"-")</f>
        <v>-</v>
      </c>
      <c r="R387" s="97" t="str">
        <f>IFERROR(__xludf.DUMMYFUNCTION("""COMPUTED_VALUE"""),"-")</f>
        <v>-</v>
      </c>
      <c r="S387" s="97" t="str">
        <f>IFERROR(__xludf.DUMMYFUNCTION("""COMPUTED_VALUE"""),"-")</f>
        <v>-</v>
      </c>
      <c r="T387" s="97" t="str">
        <f>IFERROR(__xludf.DUMMYFUNCTION("""COMPUTED_VALUE"""),"-")</f>
        <v>-</v>
      </c>
      <c r="U387" s="97" t="str">
        <f>IFERROR(__xludf.DUMMYFUNCTION("""COMPUTED_VALUE"""),"-")</f>
        <v>-</v>
      </c>
      <c r="V387" s="97" t="str">
        <f>IFERROR(__xludf.DUMMYFUNCTION("""COMPUTED_VALUE"""),"N/A")</f>
        <v>N/A</v>
      </c>
      <c r="W387" s="97" t="str">
        <f>IFERROR(__xludf.DUMMYFUNCTION("""COMPUTED_VALUE"""),"N/A")</f>
        <v>N/A</v>
      </c>
      <c r="X387" s="97" t="str">
        <f>IFERROR(__xludf.DUMMYFUNCTION("""COMPUTED_VALUE"""),"-")</f>
        <v>-</v>
      </c>
      <c r="Y387" s="97" t="str">
        <f>IFERROR(__xludf.DUMMYFUNCTION("""COMPUTED_VALUE"""),"N/A")</f>
        <v>N/A</v>
      </c>
      <c r="Z387" s="97" t="str">
        <f>IFERROR(__xludf.DUMMYFUNCTION("""COMPUTED_VALUE"""),"N/A")</f>
        <v>N/A</v>
      </c>
      <c r="AA387" s="97" t="str">
        <f>IFERROR(__xludf.DUMMYFUNCTION("""COMPUTED_VALUE"""),"N/A")</f>
        <v>N/A</v>
      </c>
      <c r="AB387" s="97" t="str">
        <f>IFERROR(__xludf.DUMMYFUNCTION("""COMPUTED_VALUE"""),"N/A")</f>
        <v>N/A</v>
      </c>
      <c r="AC387" s="97" t="str">
        <f>IFERROR(__xludf.DUMMYFUNCTION("""COMPUTED_VALUE"""),"N/A")</f>
        <v>N/A</v>
      </c>
      <c r="AD387" s="97" t="str">
        <f>IFERROR(__xludf.DUMMYFUNCTION("""COMPUTED_VALUE"""),"IP20")</f>
        <v>IP20</v>
      </c>
      <c r="AE387" s="97" t="str">
        <f>IFERROR(__xludf.DUMMYFUNCTION("""COMPUTED_VALUE"""),"Clase l")</f>
        <v>Clase l</v>
      </c>
      <c r="AF387" s="97" t="str">
        <f>IFERROR(__xludf.DUMMYFUNCTION("""COMPUTED_VALUE"""),"Aplicar")</f>
        <v>Aplicar</v>
      </c>
      <c r="AG387" s="97" t="str">
        <f>IFERROR(__xludf.DUMMYFUNCTION("""COMPUTED_VALUE"""),"210 x 30 x 210")</f>
        <v>210 x 30 x 210</v>
      </c>
      <c r="AH387" s="97" t="str">
        <f>IFERROR(__xludf.DUMMYFUNCTION("""COMPUTED_VALUE"""),"N/A")</f>
        <v>N/A</v>
      </c>
      <c r="AI387" s="97" t="str">
        <f>IFERROR(__xludf.DUMMYFUNCTION("""COMPUTED_VALUE"""),"N/A")</f>
        <v>N/A</v>
      </c>
      <c r="AJ387" s="97" t="str">
        <f>IFERROR(__xludf.DUMMYFUNCTION("""COMPUTED_VALUE"""),"N/A")</f>
        <v>N/A</v>
      </c>
      <c r="AK387" s="97" t="str">
        <f>IFERROR(__xludf.DUMMYFUNCTION("""COMPUTED_VALUE"""),"Aluminio")</f>
        <v>Aluminio</v>
      </c>
      <c r="AL387" s="97" t="str">
        <f>IFERROR(__xludf.DUMMYFUNCTION("""COMPUTED_VALUE"""),"Blanco Satinado")</f>
        <v>Blanco Satinado</v>
      </c>
      <c r="AM387" s="97" t="str">
        <f>IFERROR(__xludf.DUMMYFUNCTION("""COMPUTED_VALUE"""),"-")</f>
        <v>-</v>
      </c>
      <c r="AN387" s="97" t="str">
        <f>IFERROR(__xludf.DUMMYFUNCTION("""COMPUTED_VALUE"""),"N/A")</f>
        <v>N/A</v>
      </c>
      <c r="AO387" s="97" t="str">
        <f>IFERROR(__xludf.DUMMYFUNCTION("""COMPUTED_VALUE"""),"2 Años")</f>
        <v>2 Años</v>
      </c>
      <c r="AP387" s="97" t="str">
        <f>IFERROR(__xludf.DUMMYFUNCTION("""COMPUTED_VALUE"""),"No Aplica")</f>
        <v>No Aplica</v>
      </c>
      <c r="AQ387" s="97" t="str">
        <f>IFERROR(__xludf.DUMMYFUNCTION("""COMPUTED_VALUE"""),"No Aplica")</f>
        <v>No Aplica</v>
      </c>
      <c r="AR387" s="97" t="str">
        <f>IFERROR(__xludf.DUMMYFUNCTION("""COMPUTED_VALUE"""),"No Aplica")</f>
        <v>No Aplica</v>
      </c>
      <c r="AS387" s="97"/>
      <c r="AT387" s="97"/>
      <c r="AU387" s="97" t="str">
        <f>IFERROR(__xludf.DUMMYFUNCTION("""COMPUTED_VALUE"""),"Falta")</f>
        <v>Falta</v>
      </c>
      <c r="AV387" s="97" t="str">
        <f>IFERROR(__xludf.DUMMYFUNCTION("""COMPUTED_VALUE"""),"Aplique")</f>
        <v>Aplique</v>
      </c>
      <c r="AW387" s="97" t="str">
        <f>IFERROR(__xludf.DUMMYFUNCTION("""COMPUTED_VALUE"""),"De Techo")</f>
        <v>De Techo</v>
      </c>
      <c r="AX387" s="97" t="str">
        <f>IFERROR(__xludf.DUMMYFUNCTION("""COMPUTED_VALUE"""),"Interior")</f>
        <v>Interior</v>
      </c>
      <c r="AY387" s="97" t="str">
        <f>IFERROR(__xludf.DUMMYFUNCTION("""COMPUTED_VALUE"""),"-")</f>
        <v>-</v>
      </c>
      <c r="AZ387" s="97"/>
      <c r="BA387" s="97">
        <f>IFERROR(__xludf.DUMMYFUNCTION("""COMPUTED_VALUE"""),6.0)</f>
        <v>6</v>
      </c>
      <c r="BB387" s="97" t="str">
        <f>IFERROR(__xludf.DUMMYFUNCTION("""COMPUTED_VALUE"""),"-")</f>
        <v>-</v>
      </c>
      <c r="BC387" s="97" t="str">
        <f>IFERROR(__xludf.DUMMYFUNCTION("""COMPUTED_VALUE"""),"-")</f>
        <v>-</v>
      </c>
      <c r="BD387" s="97" t="str">
        <f>IFERROR(__xludf.DUMMYFUNCTION("""COMPUTED_VALUE"""),"KATHARO")</f>
        <v>KATHARO</v>
      </c>
      <c r="BE387" s="97" t="str">
        <f>IFERROR(__xludf.DUMMYFUNCTION("""COMPUTED_VALUE"""),"Finalizada")</f>
        <v>Finalizada</v>
      </c>
      <c r="BF387" s="97"/>
      <c r="BG387" s="97" t="str">
        <f>IFERROR(__xludf.DUMMYFUNCTION("""COMPUTED_VALUE"""),"Activo")</f>
        <v>Activo</v>
      </c>
    </row>
    <row r="388">
      <c r="A388" s="97">
        <f>IFERROR(__xludf.DUMMYFUNCTION("""COMPUTED_VALUE"""),4234.0)</f>
        <v>4234</v>
      </c>
      <c r="B388" s="97" t="str">
        <f>IFERROR(__xludf.DUMMYFUNCTION("""COMPUTED_VALUE"""),"PLEVRI")</f>
        <v>PLEVRI</v>
      </c>
      <c r="C388" s="97" t="str">
        <f>IFERROR(__xludf.DUMMYFUNCTION("""COMPUTED_VALUE"""),"APLIQUE PLEVRI LEUK")</f>
        <v>APLIQUE PLEVRI LEUK</v>
      </c>
      <c r="D388" s="97">
        <f>IFERROR(__xludf.DUMMYFUNCTION("""COMPUTED_VALUE"""),7.798328758682E12)</f>
        <v>7798328758682</v>
      </c>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t="str">
        <f>IFERROR(__xludf.DUMMYFUNCTION("""COMPUTED_VALUE"""),"IP20")</f>
        <v>IP20</v>
      </c>
      <c r="AE388" s="97"/>
      <c r="AF388" s="97" t="str">
        <f>IFERROR(__xludf.DUMMYFUNCTION("""COMPUTED_VALUE"""),"Aplicar")</f>
        <v>Aplicar</v>
      </c>
      <c r="AG388" s="97"/>
      <c r="AH388" s="97"/>
      <c r="AI388" s="97"/>
      <c r="AJ388" s="97"/>
      <c r="AK388" s="97"/>
      <c r="AL388" s="97"/>
      <c r="AM388" s="97"/>
      <c r="AN388" s="97"/>
      <c r="AO388" s="97" t="str">
        <f>IFERROR(__xludf.DUMMYFUNCTION("""COMPUTED_VALUE"""),"1 Año")</f>
        <v>1 Año</v>
      </c>
      <c r="AP388" s="97"/>
      <c r="AQ388" s="97"/>
      <c r="AR388" s="97"/>
      <c r="AS388" s="97"/>
      <c r="AT388" s="97"/>
      <c r="AU388" s="97"/>
      <c r="AV388" s="97" t="str">
        <f>IFERROR(__xludf.DUMMYFUNCTION("""COMPUTED_VALUE"""),"Aplique")</f>
        <v>Aplique</v>
      </c>
      <c r="AW388" s="97" t="str">
        <f>IFERROR(__xludf.DUMMYFUNCTION("""COMPUTED_VALUE"""),"De Pared")</f>
        <v>De Pared</v>
      </c>
      <c r="AX388" s="97" t="str">
        <f>IFERROR(__xludf.DUMMYFUNCTION("""COMPUTED_VALUE"""),"Interior")</f>
        <v>Interior</v>
      </c>
      <c r="AY388" s="97"/>
      <c r="AZ388" s="97"/>
      <c r="BA388" s="97"/>
      <c r="BB388" s="97"/>
      <c r="BC388" s="97"/>
      <c r="BD388" s="97" t="str">
        <f>IFERROR(__xludf.DUMMYFUNCTION("""COMPUTED_VALUE"""),"PLEVRI")</f>
        <v>PLEVRI</v>
      </c>
      <c r="BE388" s="97" t="str">
        <f>IFERROR(__xludf.DUMMYFUNCTION("""COMPUTED_VALUE"""),"Sin Ficha")</f>
        <v>Sin Ficha</v>
      </c>
      <c r="BF388" s="97"/>
      <c r="BG388" s="97" t="str">
        <f>IFERROR(__xludf.DUMMYFUNCTION("""COMPUTED_VALUE"""),"Discontinuo")</f>
        <v>Discontinuo</v>
      </c>
    </row>
    <row r="389">
      <c r="A389" s="97">
        <f>IFERROR(__xludf.DUMMYFUNCTION("""COMPUTED_VALUE"""),4235.0)</f>
        <v>4235</v>
      </c>
      <c r="B389" s="97" t="str">
        <f>IFERROR(__xludf.DUMMYFUNCTION("""COMPUTED_VALUE"""),"MERA III")</f>
        <v>MERA III</v>
      </c>
      <c r="C389" s="97" t="str">
        <f>IFERROR(__xludf.DUMMYFUNCTION("""COMPUTED_VALUE"""),"APLIQUE MERA III BLANCO LEUK")</f>
        <v>APLIQUE MERA III BLANCO LEUK</v>
      </c>
      <c r="D389" s="97">
        <f>IFERROR(__xludf.DUMMYFUNCTION("""COMPUTED_VALUE"""),7.798328759627E12)</f>
        <v>7798328759627</v>
      </c>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t="str">
        <f>IFERROR(__xludf.DUMMYFUNCTION("""COMPUTED_VALUE"""),"IP20")</f>
        <v>IP20</v>
      </c>
      <c r="AE389" s="97"/>
      <c r="AF389" s="97" t="str">
        <f>IFERROR(__xludf.DUMMYFUNCTION("""COMPUTED_VALUE"""),"Aplicar")</f>
        <v>Aplicar</v>
      </c>
      <c r="AG389" s="97"/>
      <c r="AH389" s="97"/>
      <c r="AI389" s="97"/>
      <c r="AJ389" s="97"/>
      <c r="AK389" s="97"/>
      <c r="AL389" s="97"/>
      <c r="AM389" s="97"/>
      <c r="AN389" s="97"/>
      <c r="AO389" s="97" t="str">
        <f>IFERROR(__xludf.DUMMYFUNCTION("""COMPUTED_VALUE"""),"1 Año")</f>
        <v>1 Año</v>
      </c>
      <c r="AP389" s="97"/>
      <c r="AQ389" s="97"/>
      <c r="AR389" s="97"/>
      <c r="AS389" s="97"/>
      <c r="AT389" s="97"/>
      <c r="AU389" s="97"/>
      <c r="AV389" s="97" t="str">
        <f>IFERROR(__xludf.DUMMYFUNCTION("""COMPUTED_VALUE"""),"Aplique")</f>
        <v>Aplique</v>
      </c>
      <c r="AW389" s="97" t="str">
        <f>IFERROR(__xludf.DUMMYFUNCTION("""COMPUTED_VALUE"""),"De Techo")</f>
        <v>De Techo</v>
      </c>
      <c r="AX389" s="97" t="str">
        <f>IFERROR(__xludf.DUMMYFUNCTION("""COMPUTED_VALUE"""),"Interior")</f>
        <v>Interior</v>
      </c>
      <c r="AY389" s="97"/>
      <c r="AZ389" s="97"/>
      <c r="BA389" s="97"/>
      <c r="BB389" s="97"/>
      <c r="BC389" s="97"/>
      <c r="BD389" s="97" t="str">
        <f>IFERROR(__xludf.DUMMYFUNCTION("""COMPUTED_VALUE"""),"MERA")</f>
        <v>MERA</v>
      </c>
      <c r="BE389" s="97" t="str">
        <f>IFERROR(__xludf.DUMMYFUNCTION("""COMPUTED_VALUE"""),"Sin Ficha")</f>
        <v>Sin Ficha</v>
      </c>
      <c r="BF389" s="97"/>
      <c r="BG389" s="97" t="str">
        <f>IFERROR(__xludf.DUMMYFUNCTION("""COMPUTED_VALUE"""),"Discontinuo")</f>
        <v>Discontinuo</v>
      </c>
    </row>
    <row r="390">
      <c r="A390" s="97">
        <f>IFERROR(__xludf.DUMMYFUNCTION("""COMPUTED_VALUE"""),4236.0)</f>
        <v>4236</v>
      </c>
      <c r="B390" s="97" t="str">
        <f>IFERROR(__xludf.DUMMYFUNCTION("""COMPUTED_VALUE"""),"MERA III")</f>
        <v>MERA III</v>
      </c>
      <c r="C390" s="97" t="str">
        <f>IFERROR(__xludf.DUMMYFUNCTION("""COMPUTED_VALUE"""),"APLIQUE MERA III NEGRO LEUK")</f>
        <v>APLIQUE MERA III NEGRO LEUK</v>
      </c>
      <c r="D390" s="97">
        <f>IFERROR(__xludf.DUMMYFUNCTION("""COMPUTED_VALUE"""),7.79832875961E12)</f>
        <v>7798328759610</v>
      </c>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t="str">
        <f>IFERROR(__xludf.DUMMYFUNCTION("""COMPUTED_VALUE"""),"IP20")</f>
        <v>IP20</v>
      </c>
      <c r="AE390" s="97"/>
      <c r="AF390" s="97" t="str">
        <f>IFERROR(__xludf.DUMMYFUNCTION("""COMPUTED_VALUE"""),"Aplicar")</f>
        <v>Aplicar</v>
      </c>
      <c r="AG390" s="97"/>
      <c r="AH390" s="97"/>
      <c r="AI390" s="97"/>
      <c r="AJ390" s="97"/>
      <c r="AK390" s="97"/>
      <c r="AL390" s="97"/>
      <c r="AM390" s="97"/>
      <c r="AN390" s="97"/>
      <c r="AO390" s="97" t="str">
        <f>IFERROR(__xludf.DUMMYFUNCTION("""COMPUTED_VALUE"""),"1 Año")</f>
        <v>1 Año</v>
      </c>
      <c r="AP390" s="97"/>
      <c r="AQ390" s="97"/>
      <c r="AR390" s="97"/>
      <c r="AS390" s="97"/>
      <c r="AT390" s="97"/>
      <c r="AU390" s="97"/>
      <c r="AV390" s="97" t="str">
        <f>IFERROR(__xludf.DUMMYFUNCTION("""COMPUTED_VALUE"""),"Aplique")</f>
        <v>Aplique</v>
      </c>
      <c r="AW390" s="97" t="str">
        <f>IFERROR(__xludf.DUMMYFUNCTION("""COMPUTED_VALUE"""),"De Techo")</f>
        <v>De Techo</v>
      </c>
      <c r="AX390" s="97" t="str">
        <f>IFERROR(__xludf.DUMMYFUNCTION("""COMPUTED_VALUE"""),"Interior")</f>
        <v>Interior</v>
      </c>
      <c r="AY390" s="97"/>
      <c r="AZ390" s="97"/>
      <c r="BA390" s="97"/>
      <c r="BB390" s="97"/>
      <c r="BC390" s="97"/>
      <c r="BD390" s="97" t="str">
        <f>IFERROR(__xludf.DUMMYFUNCTION("""COMPUTED_VALUE"""),"MERA")</f>
        <v>MERA</v>
      </c>
      <c r="BE390" s="97" t="str">
        <f>IFERROR(__xludf.DUMMYFUNCTION("""COMPUTED_VALUE"""),"Sin Ficha")</f>
        <v>Sin Ficha</v>
      </c>
      <c r="BF390" s="97"/>
      <c r="BG390" s="97" t="str">
        <f>IFERROR(__xludf.DUMMYFUNCTION("""COMPUTED_VALUE"""),"Discontinuo")</f>
        <v>Discontinuo</v>
      </c>
    </row>
    <row r="391">
      <c r="A391" s="97">
        <f>IFERROR(__xludf.DUMMYFUNCTION("""COMPUTED_VALUE"""),4237.0)</f>
        <v>4237</v>
      </c>
      <c r="B391" s="97" t="str">
        <f>IFERROR(__xludf.DUMMYFUNCTION("""COMPUTED_VALUE"""),"MERA III")</f>
        <v>MERA III</v>
      </c>
      <c r="C391" s="97" t="str">
        <f>IFERROR(__xludf.DUMMYFUNCTION("""COMPUTED_VALUE"""),"APLIQUE MERA III PLATEADO LEUK")</f>
        <v>APLIQUE MERA III PLATEADO LEUK</v>
      </c>
      <c r="D391" s="97">
        <f>IFERROR(__xludf.DUMMYFUNCTION("""COMPUTED_VALUE"""),7.798328759634E12)</f>
        <v>7798328759634</v>
      </c>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t="str">
        <f>IFERROR(__xludf.DUMMYFUNCTION("""COMPUTED_VALUE"""),"IP20")</f>
        <v>IP20</v>
      </c>
      <c r="AE391" s="97"/>
      <c r="AF391" s="97" t="str">
        <f>IFERROR(__xludf.DUMMYFUNCTION("""COMPUTED_VALUE"""),"Aplicar")</f>
        <v>Aplicar</v>
      </c>
      <c r="AG391" s="97"/>
      <c r="AH391" s="97"/>
      <c r="AI391" s="97"/>
      <c r="AJ391" s="97"/>
      <c r="AK391" s="97"/>
      <c r="AL391" s="97"/>
      <c r="AM391" s="97"/>
      <c r="AN391" s="97"/>
      <c r="AO391" s="97" t="str">
        <f>IFERROR(__xludf.DUMMYFUNCTION("""COMPUTED_VALUE"""),"1 Año")</f>
        <v>1 Año</v>
      </c>
      <c r="AP391" s="97"/>
      <c r="AQ391" s="97"/>
      <c r="AR391" s="97"/>
      <c r="AS391" s="97"/>
      <c r="AT391" s="97"/>
      <c r="AU391" s="97"/>
      <c r="AV391" s="97" t="str">
        <f>IFERROR(__xludf.DUMMYFUNCTION("""COMPUTED_VALUE"""),"Aplique")</f>
        <v>Aplique</v>
      </c>
      <c r="AW391" s="97" t="str">
        <f>IFERROR(__xludf.DUMMYFUNCTION("""COMPUTED_VALUE"""),"De Techo")</f>
        <v>De Techo</v>
      </c>
      <c r="AX391" s="97" t="str">
        <f>IFERROR(__xludf.DUMMYFUNCTION("""COMPUTED_VALUE"""),"Interior")</f>
        <v>Interior</v>
      </c>
      <c r="AY391" s="97"/>
      <c r="AZ391" s="97"/>
      <c r="BA391" s="97"/>
      <c r="BB391" s="97"/>
      <c r="BC391" s="97"/>
      <c r="BD391" s="97" t="str">
        <f>IFERROR(__xludf.DUMMYFUNCTION("""COMPUTED_VALUE"""),"MERA")</f>
        <v>MERA</v>
      </c>
      <c r="BE391" s="97" t="str">
        <f>IFERROR(__xludf.DUMMYFUNCTION("""COMPUTED_VALUE"""),"Sin Ficha")</f>
        <v>Sin Ficha</v>
      </c>
      <c r="BF391" s="97"/>
      <c r="BG391" s="97" t="str">
        <f>IFERROR(__xludf.DUMMYFUNCTION("""COMPUTED_VALUE"""),"Discontinuo")</f>
        <v>Discontinuo</v>
      </c>
    </row>
    <row r="392">
      <c r="A392" s="97">
        <f>IFERROR(__xludf.DUMMYFUNCTION("""COMPUTED_VALUE"""),4238.0)</f>
        <v>4238</v>
      </c>
      <c r="B392" s="97" t="str">
        <f>IFERROR(__xludf.DUMMYFUNCTION("""COMPUTED_VALUE"""),"MERA IV")</f>
        <v>MERA IV</v>
      </c>
      <c r="C392" s="97" t="str">
        <f>IFERROR(__xludf.DUMMYFUNCTION("""COMPUTED_VALUE"""),"APLIQUE MERA IV BLANCO LEUK")</f>
        <v>APLIQUE MERA IV BLANCO LEUK</v>
      </c>
      <c r="D392" s="97">
        <f>IFERROR(__xludf.DUMMYFUNCTION("""COMPUTED_VALUE"""),7.798328759658E12)</f>
        <v>7798328759658</v>
      </c>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t="str">
        <f>IFERROR(__xludf.DUMMYFUNCTION("""COMPUTED_VALUE"""),"IP20")</f>
        <v>IP20</v>
      </c>
      <c r="AE392" s="97"/>
      <c r="AF392" s="97" t="str">
        <f>IFERROR(__xludf.DUMMYFUNCTION("""COMPUTED_VALUE"""),"Aplicar")</f>
        <v>Aplicar</v>
      </c>
      <c r="AG392" s="97"/>
      <c r="AH392" s="97"/>
      <c r="AI392" s="97"/>
      <c r="AJ392" s="97"/>
      <c r="AK392" s="97"/>
      <c r="AL392" s="97"/>
      <c r="AM392" s="97"/>
      <c r="AN392" s="97"/>
      <c r="AO392" s="97" t="str">
        <f>IFERROR(__xludf.DUMMYFUNCTION("""COMPUTED_VALUE"""),"1 Año")</f>
        <v>1 Año</v>
      </c>
      <c r="AP392" s="97"/>
      <c r="AQ392" s="97"/>
      <c r="AR392" s="97"/>
      <c r="AS392" s="97"/>
      <c r="AT392" s="97"/>
      <c r="AU392" s="97"/>
      <c r="AV392" s="97" t="str">
        <f>IFERROR(__xludf.DUMMYFUNCTION("""COMPUTED_VALUE"""),"Aplique")</f>
        <v>Aplique</v>
      </c>
      <c r="AW392" s="97" t="str">
        <f>IFERROR(__xludf.DUMMYFUNCTION("""COMPUTED_VALUE"""),"De Techo")</f>
        <v>De Techo</v>
      </c>
      <c r="AX392" s="97" t="str">
        <f>IFERROR(__xludf.DUMMYFUNCTION("""COMPUTED_VALUE"""),"Interior")</f>
        <v>Interior</v>
      </c>
      <c r="AY392" s="97"/>
      <c r="AZ392" s="97"/>
      <c r="BA392" s="97"/>
      <c r="BB392" s="97"/>
      <c r="BC392" s="97"/>
      <c r="BD392" s="97" t="str">
        <f>IFERROR(__xludf.DUMMYFUNCTION("""COMPUTED_VALUE"""),"MERA")</f>
        <v>MERA</v>
      </c>
      <c r="BE392" s="97" t="str">
        <f>IFERROR(__xludf.DUMMYFUNCTION("""COMPUTED_VALUE"""),"Sin Ficha")</f>
        <v>Sin Ficha</v>
      </c>
      <c r="BF392" s="97"/>
      <c r="BG392" s="97" t="str">
        <f>IFERROR(__xludf.DUMMYFUNCTION("""COMPUTED_VALUE"""),"Discontinuo")</f>
        <v>Discontinuo</v>
      </c>
    </row>
    <row r="393">
      <c r="A393" s="97">
        <f>IFERROR(__xludf.DUMMYFUNCTION("""COMPUTED_VALUE"""),4239.0)</f>
        <v>4239</v>
      </c>
      <c r="B393" s="97" t="str">
        <f>IFERROR(__xludf.DUMMYFUNCTION("""COMPUTED_VALUE"""),"MERA IV")</f>
        <v>MERA IV</v>
      </c>
      <c r="C393" s="97" t="str">
        <f>IFERROR(__xludf.DUMMYFUNCTION("""COMPUTED_VALUE"""),"APLIQUE MERA IV NEGRO LEUK")</f>
        <v>APLIQUE MERA IV NEGRO LEUK</v>
      </c>
      <c r="D393" s="97">
        <f>IFERROR(__xludf.DUMMYFUNCTION("""COMPUTED_VALUE"""),7.798328759641E12)</f>
        <v>7798328759641</v>
      </c>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t="str">
        <f>IFERROR(__xludf.DUMMYFUNCTION("""COMPUTED_VALUE"""),"IP20")</f>
        <v>IP20</v>
      </c>
      <c r="AE393" s="97"/>
      <c r="AF393" s="97" t="str">
        <f>IFERROR(__xludf.DUMMYFUNCTION("""COMPUTED_VALUE"""),"Aplicar")</f>
        <v>Aplicar</v>
      </c>
      <c r="AG393" s="97"/>
      <c r="AH393" s="97"/>
      <c r="AI393" s="97"/>
      <c r="AJ393" s="97"/>
      <c r="AK393" s="97"/>
      <c r="AL393" s="97"/>
      <c r="AM393" s="97"/>
      <c r="AN393" s="97"/>
      <c r="AO393" s="97" t="str">
        <f>IFERROR(__xludf.DUMMYFUNCTION("""COMPUTED_VALUE"""),"1 Año")</f>
        <v>1 Año</v>
      </c>
      <c r="AP393" s="97"/>
      <c r="AQ393" s="97"/>
      <c r="AR393" s="97"/>
      <c r="AS393" s="97"/>
      <c r="AT393" s="97"/>
      <c r="AU393" s="97"/>
      <c r="AV393" s="97" t="str">
        <f>IFERROR(__xludf.DUMMYFUNCTION("""COMPUTED_VALUE"""),"Aplique")</f>
        <v>Aplique</v>
      </c>
      <c r="AW393" s="97" t="str">
        <f>IFERROR(__xludf.DUMMYFUNCTION("""COMPUTED_VALUE"""),"De Techo")</f>
        <v>De Techo</v>
      </c>
      <c r="AX393" s="97" t="str">
        <f>IFERROR(__xludf.DUMMYFUNCTION("""COMPUTED_VALUE"""),"Interior")</f>
        <v>Interior</v>
      </c>
      <c r="AY393" s="97"/>
      <c r="AZ393" s="97"/>
      <c r="BA393" s="97"/>
      <c r="BB393" s="97"/>
      <c r="BC393" s="97"/>
      <c r="BD393" s="97" t="str">
        <f>IFERROR(__xludf.DUMMYFUNCTION("""COMPUTED_VALUE"""),"MERA")</f>
        <v>MERA</v>
      </c>
      <c r="BE393" s="97" t="str">
        <f>IFERROR(__xludf.DUMMYFUNCTION("""COMPUTED_VALUE"""),"Sin Ficha")</f>
        <v>Sin Ficha</v>
      </c>
      <c r="BF393" s="97"/>
      <c r="BG393" s="97" t="str">
        <f>IFERROR(__xludf.DUMMYFUNCTION("""COMPUTED_VALUE"""),"Discontinuo")</f>
        <v>Discontinuo</v>
      </c>
    </row>
    <row r="394">
      <c r="A394" s="97">
        <f>IFERROR(__xludf.DUMMYFUNCTION("""COMPUTED_VALUE"""),4240.0)</f>
        <v>4240</v>
      </c>
      <c r="B394" s="97" t="str">
        <f>IFERROR(__xludf.DUMMYFUNCTION("""COMPUTED_VALUE"""),"MERA IV")</f>
        <v>MERA IV</v>
      </c>
      <c r="C394" s="97" t="str">
        <f>IFERROR(__xludf.DUMMYFUNCTION("""COMPUTED_VALUE"""),"APLIQUE MERA IV PLATEADO LEUK")</f>
        <v>APLIQUE MERA IV PLATEADO LEUK</v>
      </c>
      <c r="D394" s="97">
        <f>IFERROR(__xludf.DUMMYFUNCTION("""COMPUTED_VALUE"""),7.798328759665E12)</f>
        <v>7798328759665</v>
      </c>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t="str">
        <f>IFERROR(__xludf.DUMMYFUNCTION("""COMPUTED_VALUE"""),"IP20")</f>
        <v>IP20</v>
      </c>
      <c r="AE394" s="97"/>
      <c r="AF394" s="97" t="str">
        <f>IFERROR(__xludf.DUMMYFUNCTION("""COMPUTED_VALUE"""),"Aplicar")</f>
        <v>Aplicar</v>
      </c>
      <c r="AG394" s="97"/>
      <c r="AH394" s="97"/>
      <c r="AI394" s="97"/>
      <c r="AJ394" s="97"/>
      <c r="AK394" s="97"/>
      <c r="AL394" s="97"/>
      <c r="AM394" s="97"/>
      <c r="AN394" s="97"/>
      <c r="AO394" s="97" t="str">
        <f>IFERROR(__xludf.DUMMYFUNCTION("""COMPUTED_VALUE"""),"1 Año")</f>
        <v>1 Año</v>
      </c>
      <c r="AP394" s="97"/>
      <c r="AQ394" s="97"/>
      <c r="AR394" s="97"/>
      <c r="AS394" s="97"/>
      <c r="AT394" s="97"/>
      <c r="AU394" s="97"/>
      <c r="AV394" s="97" t="str">
        <f>IFERROR(__xludf.DUMMYFUNCTION("""COMPUTED_VALUE"""),"Aplique")</f>
        <v>Aplique</v>
      </c>
      <c r="AW394" s="97" t="str">
        <f>IFERROR(__xludf.DUMMYFUNCTION("""COMPUTED_VALUE"""),"De Techo")</f>
        <v>De Techo</v>
      </c>
      <c r="AX394" s="97" t="str">
        <f>IFERROR(__xludf.DUMMYFUNCTION("""COMPUTED_VALUE"""),"Interior")</f>
        <v>Interior</v>
      </c>
      <c r="AY394" s="97"/>
      <c r="AZ394" s="97"/>
      <c r="BA394" s="97"/>
      <c r="BB394" s="97"/>
      <c r="BC394" s="97"/>
      <c r="BD394" s="97" t="str">
        <f>IFERROR(__xludf.DUMMYFUNCTION("""COMPUTED_VALUE"""),"MERA")</f>
        <v>MERA</v>
      </c>
      <c r="BE394" s="97" t="str">
        <f>IFERROR(__xludf.DUMMYFUNCTION("""COMPUTED_VALUE"""),"Sin Ficha")</f>
        <v>Sin Ficha</v>
      </c>
      <c r="BF394" s="97"/>
      <c r="BG394" s="97" t="str">
        <f>IFERROR(__xludf.DUMMYFUNCTION("""COMPUTED_VALUE"""),"Discontinuo")</f>
        <v>Discontinuo</v>
      </c>
    </row>
    <row r="395">
      <c r="A395" s="97">
        <f>IFERROR(__xludf.DUMMYFUNCTION("""COMPUTED_VALUE"""),4244.0)</f>
        <v>4244</v>
      </c>
      <c r="B395" s="97" t="str">
        <f>IFERROR(__xludf.DUMMYFUNCTION("""COMPUTED_VALUE"""),"ISCH")</f>
        <v>ISCH</v>
      </c>
      <c r="C395" s="97" t="str">
        <f>IFERROR(__xludf.DUMMYFUNCTION("""COMPUTED_VALUE"""),"APLIQUE ISCH 3W 3000K 48LM CRI&gt;80 IP65 LEUK")</f>
        <v>APLIQUE ISCH 3W 3000K 48LM CRI&gt;80 IP65 LEUK</v>
      </c>
      <c r="D395" s="97">
        <f>IFERROR(__xludf.DUMMYFUNCTION("""COMPUTED_VALUE"""),7.798328758095E12)</f>
        <v>7798328758095</v>
      </c>
      <c r="E395" s="97"/>
      <c r="F395" s="97" t="str">
        <f>IFERROR(__xludf.DUMMYFUNCTION("""COMPUTED_VALUE"""),"LED integrado")</f>
        <v>LED integrado</v>
      </c>
      <c r="G395" s="97" t="str">
        <f>IFERROR(__xludf.DUMMYFUNCTION("""COMPUTED_VALUE"""),"-")</f>
        <v>-</v>
      </c>
      <c r="H395" s="97" t="str">
        <f>IFERROR(__xludf.DUMMYFUNCTION("""COMPUTED_VALUE"""),"-")</f>
        <v>-</v>
      </c>
      <c r="I395" s="97"/>
      <c r="J395" s="97" t="str">
        <f>IFERROR(__xludf.DUMMYFUNCTION("""COMPUTED_VALUE"""),"Modelo: (1-3)X1W
In: 85-265Vac 50/60Hz
Out: 3-12Vdc 300mA")</f>
        <v>Modelo: (1-3)X1W
In: 85-265Vac 50/60Hz
Out: 3-12Vdc 300mA</v>
      </c>
      <c r="K395" s="97" t="str">
        <f>IFERROR(__xludf.DUMMYFUNCTION("""COMPUTED_VALUE"""),"ON/OFF")</f>
        <v>ON/OFF</v>
      </c>
      <c r="L395" s="97" t="str">
        <f>IFERROR(__xludf.DUMMYFUNCTION("""COMPUTED_VALUE"""),"220-240")</f>
        <v>220-240</v>
      </c>
      <c r="M395" s="97" t="str">
        <f>IFERROR(__xludf.DUMMYFUNCTION("""COMPUTED_VALUE"""),"50/60")</f>
        <v>50/60</v>
      </c>
      <c r="N395" s="97"/>
      <c r="O395" s="97">
        <f>IFERROR(__xludf.DUMMYFUNCTION("""COMPUTED_VALUE"""),3.0)</f>
        <v>3</v>
      </c>
      <c r="P395" s="97"/>
      <c r="Q395" s="97">
        <f>IFERROR(__xludf.DUMMYFUNCTION("""COMPUTED_VALUE"""),0.51)</f>
        <v>0.51</v>
      </c>
      <c r="R395" s="97" t="str">
        <f>IFERROR(__xludf.DUMMYFUNCTION("""COMPUTED_VALUE"""),"-")</f>
        <v>-</v>
      </c>
      <c r="S395" s="97" t="str">
        <f>IFERROR(__xludf.DUMMYFUNCTION("""COMPUTED_VALUE"""),"-")</f>
        <v>-</v>
      </c>
      <c r="T395" s="97">
        <f>IFERROR(__xludf.DUMMYFUNCTION("""COMPUTED_VALUE"""),48.0)</f>
        <v>48</v>
      </c>
      <c r="U395" s="99">
        <f>IFERROR(__xludf.DUMMYFUNCTION("""COMPUTED_VALUE"""),16.0)</f>
        <v>16</v>
      </c>
      <c r="V395" s="97">
        <f>IFERROR(__xludf.DUMMYFUNCTION("""COMPUTED_VALUE"""),180.0)</f>
        <v>180</v>
      </c>
      <c r="W395" s="97" t="str">
        <f>IFERROR(__xludf.DUMMYFUNCTION("""COMPUTED_VALUE"""),"&lt; 20")</f>
        <v>&lt; 20</v>
      </c>
      <c r="X395" s="97">
        <f>IFERROR(__xludf.DUMMYFUNCTION("""COMPUTED_VALUE"""),3000.0)</f>
        <v>3000</v>
      </c>
      <c r="Y395" s="97" t="str">
        <f>IFERROR(__xludf.DUMMYFUNCTION("""COMPUTED_VALUE"""),"&gt;80")</f>
        <v>&gt;80</v>
      </c>
      <c r="Z395" s="97"/>
      <c r="AA395" s="97"/>
      <c r="AB395" s="97" t="str">
        <f>IFERROR(__xludf.DUMMYFUNCTION("""COMPUTED_VALUE"""),"&lt; 2")</f>
        <v>&lt; 2</v>
      </c>
      <c r="AC395" s="97"/>
      <c r="AD395" s="97" t="str">
        <f>IFERROR(__xludf.DUMMYFUNCTION("""COMPUTED_VALUE"""),"IP65")</f>
        <v>IP65</v>
      </c>
      <c r="AE395" s="97" t="str">
        <f>IFERROR(__xludf.DUMMYFUNCTION("""COMPUTED_VALUE"""),"Clase l")</f>
        <v>Clase l</v>
      </c>
      <c r="AF395" s="97" t="str">
        <f>IFERROR(__xludf.DUMMYFUNCTION("""COMPUTED_VALUE"""),"Aplicar")</f>
        <v>Aplicar</v>
      </c>
      <c r="AG395" s="97" t="str">
        <f>IFERROR(__xludf.DUMMYFUNCTION("""COMPUTED_VALUE""")," 75 x 50 x 80")</f>
        <v> 75 x 50 x 80</v>
      </c>
      <c r="AH395" s="97" t="str">
        <f>IFERROR(__xludf.DUMMYFUNCTION("""COMPUTED_VALUE"""),"N/A")</f>
        <v>N/A</v>
      </c>
      <c r="AI395" s="97" t="str">
        <f>IFERROR(__xludf.DUMMYFUNCTION("""COMPUTED_VALUE"""),"N/A")</f>
        <v>N/A</v>
      </c>
      <c r="AJ395" s="97" t="str">
        <f>IFERROR(__xludf.DUMMYFUNCTION("""COMPUTED_VALUE"""),"Vidrio")</f>
        <v>Vidrio</v>
      </c>
      <c r="AK395" s="97" t="str">
        <f>IFERROR(__xludf.DUMMYFUNCTION("""COMPUTED_VALUE"""),"Aluminio")</f>
        <v>Aluminio</v>
      </c>
      <c r="AL395" s="97" t="str">
        <f>IFERROR(__xludf.DUMMYFUNCTION("""COMPUTED_VALUE"""),"Negro Satinado")</f>
        <v>Negro Satinado</v>
      </c>
      <c r="AM395" s="97" t="str">
        <f>IFERROR(__xludf.DUMMYFUNCTION("""COMPUTED_VALUE"""),"-")</f>
        <v>-</v>
      </c>
      <c r="AN395" s="97" t="str">
        <f>IFERROR(__xludf.DUMMYFUNCTION("""COMPUTED_VALUE"""),"25.000hs (L70)")</f>
        <v>25.000hs (L70)</v>
      </c>
      <c r="AO395" s="97" t="str">
        <f>IFERROR(__xludf.DUMMYFUNCTION("""COMPUTED_VALUE"""),"2 Años")</f>
        <v>2 Años</v>
      </c>
      <c r="AP395" s="97" t="str">
        <f>IFERROR(__xludf.DUMMYFUNCTION("""COMPUTED_VALUE"""),"Disponible")</f>
        <v>Disponible</v>
      </c>
      <c r="AQ395" s="97" t="str">
        <f>IFERROR(__xludf.DUMMYFUNCTION("""COMPUTED_VALUE"""),"Disponible")</f>
        <v>Disponible</v>
      </c>
      <c r="AR395" s="97" t="str">
        <f>IFERROR(__xludf.DUMMYFUNCTION("""COMPUTED_VALUE"""),"Disponible")</f>
        <v>Disponible</v>
      </c>
      <c r="AS395" s="97"/>
      <c r="AT395" s="97"/>
      <c r="AU395" s="97" t="str">
        <f>IFERROR(__xludf.DUMMYFUNCTION("""COMPUTED_VALUE"""),"Falta")</f>
        <v>Falta</v>
      </c>
      <c r="AV395" s="97" t="str">
        <f>IFERROR(__xludf.DUMMYFUNCTION("""COMPUTED_VALUE"""),"Aplique")</f>
        <v>Aplique</v>
      </c>
      <c r="AW395" s="97" t="str">
        <f>IFERROR(__xludf.DUMMYFUNCTION("""COMPUTED_VALUE"""),"De Pared")</f>
        <v>De Pared</v>
      </c>
      <c r="AX395" s="97" t="str">
        <f>IFERROR(__xludf.DUMMYFUNCTION("""COMPUTED_VALUE"""),"Exterior")</f>
        <v>Exterior</v>
      </c>
      <c r="AY395" s="97" t="str">
        <f>IFERROR(__xludf.DUMMYFUNCTION("""COMPUTED_VALUE"""),"-")</f>
        <v>-</v>
      </c>
      <c r="AZ395" s="97"/>
      <c r="BA395" s="97">
        <f>IFERROR(__xludf.DUMMYFUNCTION("""COMPUTED_VALUE"""),50.0)</f>
        <v>50</v>
      </c>
      <c r="BB395" s="97" t="str">
        <f>IFERROR(__xludf.DUMMYFUNCTION("""COMPUTED_VALUE"""),"-")</f>
        <v>-</v>
      </c>
      <c r="BC395" s="97" t="str">
        <f>IFERROR(__xludf.DUMMYFUNCTION("""COMPUTED_VALUE"""),"-")</f>
        <v>-</v>
      </c>
      <c r="BD395" s="97" t="str">
        <f>IFERROR(__xludf.DUMMYFUNCTION("""COMPUTED_VALUE"""),"ISCH")</f>
        <v>ISCH</v>
      </c>
      <c r="BE395" s="97" t="str">
        <f>IFERROR(__xludf.DUMMYFUNCTION("""COMPUTED_VALUE"""),"Finalizada")</f>
        <v>Finalizada</v>
      </c>
      <c r="BF395" s="97"/>
      <c r="BG395" s="97" t="str">
        <f>IFERROR(__xludf.DUMMYFUNCTION("""COMPUTED_VALUE"""),"Activo")</f>
        <v>Activo</v>
      </c>
    </row>
    <row r="396">
      <c r="A396" s="97">
        <f>IFERROR(__xludf.DUMMYFUNCTION("""COMPUTED_VALUE"""),4245.0)</f>
        <v>4245</v>
      </c>
      <c r="B396" s="97" t="str">
        <f>IFERROR(__xludf.DUMMYFUNCTION("""COMPUTED_VALUE"""),"PLEVRES")</f>
        <v>PLEVRES</v>
      </c>
      <c r="C396" s="97" t="str">
        <f>IFERROR(__xludf.DUMMYFUNCTION("""COMPUTED_VALUE"""),"APLIQUE PLEVRES 6W 3000K 185LM CRI&gt;80 IP65 LEUK")</f>
        <v>APLIQUE PLEVRES 6W 3000K 185LM CRI&gt;80 IP65 LEUK</v>
      </c>
      <c r="D396" s="97">
        <f>IFERROR(__xludf.DUMMYFUNCTION("""COMPUTED_VALUE"""),7.798328758194E12)</f>
        <v>7798328758194</v>
      </c>
      <c r="E396" s="97"/>
      <c r="F396" s="97" t="str">
        <f>IFERROR(__xludf.DUMMYFUNCTION("""COMPUTED_VALUE"""),"LED integrado")</f>
        <v>LED integrado</v>
      </c>
      <c r="G396" s="97" t="str">
        <f>IFERROR(__xludf.DUMMYFUNCTION("""COMPUTED_VALUE"""),"-")</f>
        <v>-</v>
      </c>
      <c r="H396" s="97" t="str">
        <f>IFERROR(__xludf.DUMMYFUNCTION("""COMPUTED_VALUE"""),"-")</f>
        <v>-</v>
      </c>
      <c r="I396" s="97"/>
      <c r="J396" s="97" t="str">
        <f>IFERROR(__xludf.DUMMYFUNCTION("""COMPUTED_VALUE"""),"Modelo: 4-7W
In: 85-265Vac 50/60Hz
Out: 12-26Vdc 270mA
Tc 75°C Ta 50°C")</f>
        <v>Modelo: 4-7W
In: 85-265Vac 50/60Hz
Out: 12-26Vdc 270mA
Tc 75°C Ta 50°C</v>
      </c>
      <c r="K396" s="97" t="str">
        <f>IFERROR(__xludf.DUMMYFUNCTION("""COMPUTED_VALUE"""),"ON/OFF")</f>
        <v>ON/OFF</v>
      </c>
      <c r="L396" s="97" t="str">
        <f>IFERROR(__xludf.DUMMYFUNCTION("""COMPUTED_VALUE"""),"220-240")</f>
        <v>220-240</v>
      </c>
      <c r="M396" s="97" t="str">
        <f>IFERROR(__xludf.DUMMYFUNCTION("""COMPUTED_VALUE"""),"50/60")</f>
        <v>50/60</v>
      </c>
      <c r="N396" s="97"/>
      <c r="O396" s="97">
        <f>IFERROR(__xludf.DUMMYFUNCTION("""COMPUTED_VALUE"""),6.0)</f>
        <v>6</v>
      </c>
      <c r="P396" s="97"/>
      <c r="Q396" s="97">
        <f>IFERROR(__xludf.DUMMYFUNCTION("""COMPUTED_VALUE"""),0.48)</f>
        <v>0.48</v>
      </c>
      <c r="R396" s="97" t="str">
        <f>IFERROR(__xludf.DUMMYFUNCTION("""COMPUTED_VALUE"""),"-")</f>
        <v>-</v>
      </c>
      <c r="S396" s="97" t="str">
        <f>IFERROR(__xludf.DUMMYFUNCTION("""COMPUTED_VALUE"""),"-")</f>
        <v>-</v>
      </c>
      <c r="T396" s="97">
        <f>IFERROR(__xludf.DUMMYFUNCTION("""COMPUTED_VALUE"""),185.0)</f>
        <v>185</v>
      </c>
      <c r="U396" s="99">
        <f>IFERROR(__xludf.DUMMYFUNCTION("""COMPUTED_VALUE"""),30.833333333333332)</f>
        <v>30.83333333</v>
      </c>
      <c r="V396" s="97" t="str">
        <f>IFERROR(__xludf.DUMMYFUNCTION("""COMPUTED_VALUE"""),"0-90")</f>
        <v>0-90</v>
      </c>
      <c r="W396" s="97" t="str">
        <f>IFERROR(__xludf.DUMMYFUNCTION("""COMPUTED_VALUE"""),"&lt; 20")</f>
        <v>&lt; 20</v>
      </c>
      <c r="X396" s="97">
        <f>IFERROR(__xludf.DUMMYFUNCTION("""COMPUTED_VALUE"""),3000.0)</f>
        <v>3000</v>
      </c>
      <c r="Y396" s="97" t="str">
        <f>IFERROR(__xludf.DUMMYFUNCTION("""COMPUTED_VALUE"""),"&gt;80")</f>
        <v>&gt;80</v>
      </c>
      <c r="Z396" s="97"/>
      <c r="AA396" s="97"/>
      <c r="AB396" s="97" t="str">
        <f>IFERROR(__xludf.DUMMYFUNCTION("""COMPUTED_VALUE"""),"-")</f>
        <v>-</v>
      </c>
      <c r="AC396" s="97"/>
      <c r="AD396" s="97" t="str">
        <f>IFERROR(__xludf.DUMMYFUNCTION("""COMPUTED_VALUE"""),"IP65")</f>
        <v>IP65</v>
      </c>
      <c r="AE396" s="97" t="str">
        <f>IFERROR(__xludf.DUMMYFUNCTION("""COMPUTED_VALUE"""),"Clase l")</f>
        <v>Clase l</v>
      </c>
      <c r="AF396" s="97" t="str">
        <f>IFERROR(__xludf.DUMMYFUNCTION("""COMPUTED_VALUE"""),"Aplicar")</f>
        <v>Aplicar</v>
      </c>
      <c r="AG396" s="97" t="str">
        <f>IFERROR(__xludf.DUMMYFUNCTION("""COMPUTED_VALUE"""),"100 x 100 x 100")</f>
        <v>100 x 100 x 100</v>
      </c>
      <c r="AH396" s="97" t="str">
        <f>IFERROR(__xludf.DUMMYFUNCTION("""COMPUTED_VALUE"""),"N/A")</f>
        <v>N/A</v>
      </c>
      <c r="AI396" s="97" t="str">
        <f>IFERROR(__xludf.DUMMYFUNCTION("""COMPUTED_VALUE"""),"N/A")</f>
        <v>N/A</v>
      </c>
      <c r="AJ396" s="97" t="str">
        <f>IFERROR(__xludf.DUMMYFUNCTION("""COMPUTED_VALUE"""),"Vidrio")</f>
        <v>Vidrio</v>
      </c>
      <c r="AK396" s="97" t="str">
        <f>IFERROR(__xludf.DUMMYFUNCTION("""COMPUTED_VALUE"""),"Aluminio")</f>
        <v>Aluminio</v>
      </c>
      <c r="AL396" s="97" t="str">
        <f>IFERROR(__xludf.DUMMYFUNCTION("""COMPUTED_VALUE"""),"Negro Satinado")</f>
        <v>Negro Satinado</v>
      </c>
      <c r="AM396" s="97" t="str">
        <f>IFERROR(__xludf.DUMMYFUNCTION("""COMPUTED_VALUE"""),"-")</f>
        <v>-</v>
      </c>
      <c r="AN396" s="97" t="str">
        <f>IFERROR(__xludf.DUMMYFUNCTION("""COMPUTED_VALUE"""),"25.000hs (L70)")</f>
        <v>25.000hs (L70)</v>
      </c>
      <c r="AO396" s="97" t="str">
        <f>IFERROR(__xludf.DUMMYFUNCTION("""COMPUTED_VALUE"""),"2 Años")</f>
        <v>2 Años</v>
      </c>
      <c r="AP396" s="97" t="str">
        <f>IFERROR(__xludf.DUMMYFUNCTION("""COMPUTED_VALUE"""),"Disponible")</f>
        <v>Disponible</v>
      </c>
      <c r="AQ396" s="97" t="str">
        <f>IFERROR(__xludf.DUMMYFUNCTION("""COMPUTED_VALUE"""),"Disponible")</f>
        <v>Disponible</v>
      </c>
      <c r="AR396" s="97" t="str">
        <f>IFERROR(__xludf.DUMMYFUNCTION("""COMPUTED_VALUE"""),"Disponible")</f>
        <v>Disponible</v>
      </c>
      <c r="AS396" s="97"/>
      <c r="AT396" s="97"/>
      <c r="AU396" s="97" t="str">
        <f>IFERROR(__xludf.DUMMYFUNCTION("""COMPUTED_VALUE"""),"Falta")</f>
        <v>Falta</v>
      </c>
      <c r="AV396" s="97" t="str">
        <f>IFERROR(__xludf.DUMMYFUNCTION("""COMPUTED_VALUE"""),"Aplique")</f>
        <v>Aplique</v>
      </c>
      <c r="AW396" s="97" t="str">
        <f>IFERROR(__xludf.DUMMYFUNCTION("""COMPUTED_VALUE"""),"De Pared")</f>
        <v>De Pared</v>
      </c>
      <c r="AX396" s="97" t="str">
        <f>IFERROR(__xludf.DUMMYFUNCTION("""COMPUTED_VALUE"""),"Exterior")</f>
        <v>Exterior</v>
      </c>
      <c r="AY396" s="97" t="str">
        <f>IFERROR(__xludf.DUMMYFUNCTION("""COMPUTED_VALUE"""),"-")</f>
        <v>-</v>
      </c>
      <c r="AZ396" s="97"/>
      <c r="BA396" s="97">
        <f>IFERROR(__xludf.DUMMYFUNCTION("""COMPUTED_VALUE"""),20.0)</f>
        <v>20</v>
      </c>
      <c r="BB396" s="97" t="str">
        <f>IFERROR(__xludf.DUMMYFUNCTION("""COMPUTED_VALUE"""),"-")</f>
        <v>-</v>
      </c>
      <c r="BC396" s="97" t="str">
        <f>IFERROR(__xludf.DUMMYFUNCTION("""COMPUTED_VALUE"""),"-")</f>
        <v>-</v>
      </c>
      <c r="BD396" s="97" t="str">
        <f>IFERROR(__xludf.DUMMYFUNCTION("""COMPUTED_VALUE"""),"PLEVRES")</f>
        <v>PLEVRES</v>
      </c>
      <c r="BE396" s="97" t="str">
        <f>IFERROR(__xludf.DUMMYFUNCTION("""COMPUTED_VALUE"""),"Finalizada")</f>
        <v>Finalizada</v>
      </c>
      <c r="BF396" s="97"/>
      <c r="BG396" s="97" t="str">
        <f>IFERROR(__xludf.DUMMYFUNCTION("""COMPUTED_VALUE"""),"Activo")</f>
        <v>Activo</v>
      </c>
    </row>
    <row r="397">
      <c r="A397" s="97">
        <f>IFERROR(__xludf.DUMMYFUNCTION("""COMPUTED_VALUE"""),4255.0)</f>
        <v>4255</v>
      </c>
      <c r="B397" s="97" t="str">
        <f>IFERROR(__xludf.DUMMYFUNCTION("""COMPUTED_VALUE"""),"FYLLO NJRJ")</f>
        <v>FYLLO NJRJ</v>
      </c>
      <c r="C397" s="97" t="str">
        <f>IFERROR(__xludf.DUMMYFUNCTION("""COMPUTED_VALUE"""),"COLGANTE FYLLO NARANJA-R LEUK")</f>
        <v>COLGANTE FYLLO NARANJA-R LEUK</v>
      </c>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t="str">
        <f>IFERROR(__xludf.DUMMYFUNCTION("""COMPUTED_VALUE"""),"IP20")</f>
        <v>IP20</v>
      </c>
      <c r="AE397" s="97"/>
      <c r="AF397" s="97" t="str">
        <f>IFERROR(__xludf.DUMMYFUNCTION("""COMPUTED_VALUE"""),"Suspender")</f>
        <v>Suspender</v>
      </c>
      <c r="AG397" s="97"/>
      <c r="AH397" s="97"/>
      <c r="AI397" s="97"/>
      <c r="AJ397" s="97"/>
      <c r="AK397" s="97"/>
      <c r="AL397" s="97"/>
      <c r="AM397" s="97"/>
      <c r="AN397" s="97"/>
      <c r="AO397" s="97" t="str">
        <f>IFERROR(__xludf.DUMMYFUNCTION("""COMPUTED_VALUE"""),"1 Año")</f>
        <v>1 Año</v>
      </c>
      <c r="AP397" s="97"/>
      <c r="AQ397" s="97"/>
      <c r="AR397" s="97"/>
      <c r="AS397" s="97"/>
      <c r="AT397" s="97"/>
      <c r="AU397" s="97"/>
      <c r="AV397" s="97" t="str">
        <f>IFERROR(__xludf.DUMMYFUNCTION("""COMPUTED_VALUE"""),"Colgante")</f>
        <v>Colgante</v>
      </c>
      <c r="AW397" s="97" t="str">
        <f>IFERROR(__xludf.DUMMYFUNCTION("""COMPUTED_VALUE"""),"De Techo")</f>
        <v>De Techo</v>
      </c>
      <c r="AX397" s="97" t="str">
        <f>IFERROR(__xludf.DUMMYFUNCTION("""COMPUTED_VALUE"""),"Interior")</f>
        <v>Interior</v>
      </c>
      <c r="AY397" s="97"/>
      <c r="AZ397" s="97"/>
      <c r="BA397" s="97"/>
      <c r="BB397" s="97"/>
      <c r="BC397" s="97"/>
      <c r="BD397" s="97" t="str">
        <f>IFERROR(__xludf.DUMMYFUNCTION("""COMPUTED_VALUE"""),"FYLLO")</f>
        <v>FYLLO</v>
      </c>
      <c r="BE397" s="97" t="str">
        <f>IFERROR(__xludf.DUMMYFUNCTION("""COMPUTED_VALUE"""),"Sin Ficha")</f>
        <v>Sin Ficha</v>
      </c>
      <c r="BF397" s="97"/>
      <c r="BG397" s="97" t="str">
        <f>IFERROR(__xludf.DUMMYFUNCTION("""COMPUTED_VALUE"""),"Discontinuo")</f>
        <v>Discontinuo</v>
      </c>
    </row>
    <row r="398">
      <c r="A398" s="97">
        <f>IFERROR(__xludf.DUMMYFUNCTION("""COMPUTED_VALUE"""),4256.0)</f>
        <v>4256</v>
      </c>
      <c r="B398" s="97" t="str">
        <f>IFERROR(__xludf.DUMMYFUNCTION("""COMPUTED_VALUE"""),"SPOT DICROICA C NG")</f>
        <v>SPOT DICROICA C NG</v>
      </c>
      <c r="C398" s="97" t="str">
        <f>IFERROR(__xludf.DUMMYFUNCTION("""COMPUTED_VALUE"""),"SPOT SEMIEMBUTIDO CUADRADO NEGRO DICROICA LEUK")</f>
        <v>SPOT SEMIEMBUTIDO CUADRADO NEGRO DICROICA LEUK</v>
      </c>
      <c r="D398" s="97"/>
      <c r="E398" s="97" t="str">
        <f>IFERROR(__xludf.DUMMYFUNCTION("""COMPUTED_VALUE"""),"-")</f>
        <v>-</v>
      </c>
      <c r="F398" s="97" t="str">
        <f>IFERROR(__xludf.DUMMYFUNCTION("""COMPUTED_VALUE"""),"1 x GU10")</f>
        <v>1 x GU10</v>
      </c>
      <c r="G398" s="97" t="str">
        <f>IFERROR(__xludf.DUMMYFUNCTION("""COMPUTED_VALUE"""),"N/A")</f>
        <v>N/A</v>
      </c>
      <c r="H398" s="97" t="str">
        <f>IFERROR(__xludf.DUMMYFUNCTION("""COMPUTED_VALUE"""),"N/A")</f>
        <v>N/A</v>
      </c>
      <c r="I398" s="97" t="str">
        <f>IFERROR(__xludf.DUMMYFUNCTION("""COMPUTED_VALUE"""),"N/A")</f>
        <v>N/A</v>
      </c>
      <c r="J398" s="97"/>
      <c r="K398" s="97" t="str">
        <f>IFERROR(__xludf.DUMMYFUNCTION("""COMPUTED_VALUE"""),"N/A")</f>
        <v>N/A</v>
      </c>
      <c r="L398" s="97">
        <f>IFERROR(__xludf.DUMMYFUNCTION("""COMPUTED_VALUE"""),220.0)</f>
        <v>220</v>
      </c>
      <c r="M398" s="97">
        <f>IFERROR(__xludf.DUMMYFUNCTION("""COMPUTED_VALUE"""),50.0)</f>
        <v>50</v>
      </c>
      <c r="N398" s="97"/>
      <c r="O398" s="97" t="str">
        <f>IFERROR(__xludf.DUMMYFUNCTION("""COMPUTED_VALUE"""),"1 x 50W Max")</f>
        <v>1 x 50W Max</v>
      </c>
      <c r="P398" s="97"/>
      <c r="Q398" s="97" t="str">
        <f>IFERROR(__xludf.DUMMYFUNCTION("""COMPUTED_VALUE"""),"-")</f>
        <v>-</v>
      </c>
      <c r="R398" s="97" t="str">
        <f>IFERROR(__xludf.DUMMYFUNCTION("""COMPUTED_VALUE"""),"-")</f>
        <v>-</v>
      </c>
      <c r="S398" s="97" t="str">
        <f>IFERROR(__xludf.DUMMYFUNCTION("""COMPUTED_VALUE"""),"-")</f>
        <v>-</v>
      </c>
      <c r="T398" s="97" t="str">
        <f>IFERROR(__xludf.DUMMYFUNCTION("""COMPUTED_VALUE"""),"-")</f>
        <v>-</v>
      </c>
      <c r="U398" s="97" t="str">
        <f>IFERROR(__xludf.DUMMYFUNCTION("""COMPUTED_VALUE"""),"-")</f>
        <v>-</v>
      </c>
      <c r="V398" s="97" t="str">
        <f>IFERROR(__xludf.DUMMYFUNCTION("""COMPUTED_VALUE"""),"N/A")</f>
        <v>N/A</v>
      </c>
      <c r="W398" s="97" t="str">
        <f>IFERROR(__xludf.DUMMYFUNCTION("""COMPUTED_VALUE"""),"N/A")</f>
        <v>N/A</v>
      </c>
      <c r="X398" s="97" t="str">
        <f>IFERROR(__xludf.DUMMYFUNCTION("""COMPUTED_VALUE"""),"-")</f>
        <v>-</v>
      </c>
      <c r="Y398" s="97" t="str">
        <f>IFERROR(__xludf.DUMMYFUNCTION("""COMPUTED_VALUE"""),"N/A")</f>
        <v>N/A</v>
      </c>
      <c r="Z398" s="97" t="str">
        <f>IFERROR(__xludf.DUMMYFUNCTION("""COMPUTED_VALUE"""),"N/A")</f>
        <v>N/A</v>
      </c>
      <c r="AA398" s="97" t="str">
        <f>IFERROR(__xludf.DUMMYFUNCTION("""COMPUTED_VALUE"""),"N/A")</f>
        <v>N/A</v>
      </c>
      <c r="AB398" s="97" t="str">
        <f>IFERROR(__xludf.DUMMYFUNCTION("""COMPUTED_VALUE"""),"N/A")</f>
        <v>N/A</v>
      </c>
      <c r="AC398" s="97" t="str">
        <f>IFERROR(__xludf.DUMMYFUNCTION("""COMPUTED_VALUE"""),"N/A")</f>
        <v>N/A</v>
      </c>
      <c r="AD398" s="97" t="str">
        <f>IFERROR(__xludf.DUMMYFUNCTION("""COMPUTED_VALUE"""),"IP20")</f>
        <v>IP20</v>
      </c>
      <c r="AE398" s="97" t="str">
        <f>IFERROR(__xludf.DUMMYFUNCTION("""COMPUTED_VALUE"""),"N/A")</f>
        <v>N/A</v>
      </c>
      <c r="AF398" s="97" t="str">
        <f>IFERROR(__xludf.DUMMYFUNCTION("""COMPUTED_VALUE"""),"Embutir")</f>
        <v>Embutir</v>
      </c>
      <c r="AG398" s="97" t="str">
        <f>IFERROR(__xludf.DUMMYFUNCTION("""COMPUTED_VALUE"""),"-")</f>
        <v>-</v>
      </c>
      <c r="AH398" s="97" t="str">
        <f>IFERROR(__xludf.DUMMYFUNCTION("""COMPUTED_VALUE"""),"-")</f>
        <v>-</v>
      </c>
      <c r="AI398" s="97" t="str">
        <f>IFERROR(__xludf.DUMMYFUNCTION("""COMPUTED_VALUE"""),"-")</f>
        <v>-</v>
      </c>
      <c r="AJ398" s="97" t="str">
        <f>IFERROR(__xludf.DUMMYFUNCTION("""COMPUTED_VALUE"""),"N/A")</f>
        <v>N/A</v>
      </c>
      <c r="AK398" s="97" t="str">
        <f>IFERROR(__xludf.DUMMYFUNCTION("""COMPUTED_VALUE"""),"Acero")</f>
        <v>Acero</v>
      </c>
      <c r="AL398" s="97"/>
      <c r="AM398" s="97" t="str">
        <f>IFERROR(__xludf.DUMMYFUNCTION("""COMPUTED_VALUE"""),"-")</f>
        <v>-</v>
      </c>
      <c r="AN398" s="97" t="str">
        <f>IFERROR(__xludf.DUMMYFUNCTION("""COMPUTED_VALUE"""),"N/A")</f>
        <v>N/A</v>
      </c>
      <c r="AO398" s="97" t="str">
        <f>IFERROR(__xludf.DUMMYFUNCTION("""COMPUTED_VALUE"""),"1 Año")</f>
        <v>1 Año</v>
      </c>
      <c r="AP398" s="97" t="str">
        <f>IFERROR(__xludf.DUMMYFUNCTION("""COMPUTED_VALUE"""),"No Aplica")</f>
        <v>No Aplica</v>
      </c>
      <c r="AQ398" s="97" t="str">
        <f>IFERROR(__xludf.DUMMYFUNCTION("""COMPUTED_VALUE"""),"No Aplica")</f>
        <v>No Aplica</v>
      </c>
      <c r="AR398" s="97" t="str">
        <f>IFERROR(__xludf.DUMMYFUNCTION("""COMPUTED_VALUE"""),"No Aplica")</f>
        <v>No Aplica</v>
      </c>
      <c r="AS398" s="97"/>
      <c r="AT398" s="97"/>
      <c r="AU398" s="97"/>
      <c r="AV398" s="97" t="str">
        <f>IFERROR(__xludf.DUMMYFUNCTION("""COMPUTED_VALUE"""),"Empotrable")</f>
        <v>Empotrable</v>
      </c>
      <c r="AW398" s="97" t="str">
        <f>IFERROR(__xludf.DUMMYFUNCTION("""COMPUTED_VALUE"""),"De Techo")</f>
        <v>De Techo</v>
      </c>
      <c r="AX398" s="97" t="str">
        <f>IFERROR(__xludf.DUMMYFUNCTION("""COMPUTED_VALUE"""),"Interior")</f>
        <v>Interior</v>
      </c>
      <c r="AY398" s="97"/>
      <c r="AZ398" s="97"/>
      <c r="BA398" s="97"/>
      <c r="BB398" s="97"/>
      <c r="BC398" s="97"/>
      <c r="BD398" s="97" t="str">
        <f>IFERROR(__xludf.DUMMYFUNCTION("""COMPUTED_VALUE"""),"SPOT DICROICA")</f>
        <v>SPOT DICROICA</v>
      </c>
      <c r="BE398" s="97" t="str">
        <f>IFERROR(__xludf.DUMMYFUNCTION("""COMPUTED_VALUE"""),"Sin Ficha")</f>
        <v>Sin Ficha</v>
      </c>
      <c r="BF398" s="97"/>
      <c r="BG398" s="97" t="str">
        <f>IFERROR(__xludf.DUMMYFUNCTION("""COMPUTED_VALUE"""),"Discontinuo")</f>
        <v>Discontinuo</v>
      </c>
    </row>
    <row r="399">
      <c r="A399" s="97">
        <f>IFERROR(__xludf.DUMMYFUNCTION("""COMPUTED_VALUE"""),4257.0)</f>
        <v>4257</v>
      </c>
      <c r="B399" s="97" t="str">
        <f>IFERROR(__xludf.DUMMYFUNCTION("""COMPUTED_VALUE"""),"SPOT DICROICA C BL")</f>
        <v>SPOT DICROICA C BL</v>
      </c>
      <c r="C399" s="97" t="str">
        <f>IFERROR(__xludf.DUMMYFUNCTION("""COMPUTED_VALUE"""),"SPOT SEMIEMBUTIDO CUADRADO BLANCO DICROICA LEUK")</f>
        <v>SPOT SEMIEMBUTIDO CUADRADO BLANCO DICROICA LEUK</v>
      </c>
      <c r="D399" s="97"/>
      <c r="E399" s="97" t="str">
        <f>IFERROR(__xludf.DUMMYFUNCTION("""COMPUTED_VALUE"""),"-")</f>
        <v>-</v>
      </c>
      <c r="F399" s="97" t="str">
        <f>IFERROR(__xludf.DUMMYFUNCTION("""COMPUTED_VALUE"""),"1 x GU10")</f>
        <v>1 x GU10</v>
      </c>
      <c r="G399" s="97" t="str">
        <f>IFERROR(__xludf.DUMMYFUNCTION("""COMPUTED_VALUE"""),"N/A")</f>
        <v>N/A</v>
      </c>
      <c r="H399" s="97" t="str">
        <f>IFERROR(__xludf.DUMMYFUNCTION("""COMPUTED_VALUE"""),"N/A")</f>
        <v>N/A</v>
      </c>
      <c r="I399" s="97" t="str">
        <f>IFERROR(__xludf.DUMMYFUNCTION("""COMPUTED_VALUE"""),"N/A")</f>
        <v>N/A</v>
      </c>
      <c r="J399" s="97"/>
      <c r="K399" s="97" t="str">
        <f>IFERROR(__xludf.DUMMYFUNCTION("""COMPUTED_VALUE"""),"N/A")</f>
        <v>N/A</v>
      </c>
      <c r="L399" s="97">
        <f>IFERROR(__xludf.DUMMYFUNCTION("""COMPUTED_VALUE"""),220.0)</f>
        <v>220</v>
      </c>
      <c r="M399" s="97">
        <f>IFERROR(__xludf.DUMMYFUNCTION("""COMPUTED_VALUE"""),50.0)</f>
        <v>50</v>
      </c>
      <c r="N399" s="97"/>
      <c r="O399" s="97" t="str">
        <f>IFERROR(__xludf.DUMMYFUNCTION("""COMPUTED_VALUE"""),"1 x 50W Max")</f>
        <v>1 x 50W Max</v>
      </c>
      <c r="P399" s="97"/>
      <c r="Q399" s="97" t="str">
        <f>IFERROR(__xludf.DUMMYFUNCTION("""COMPUTED_VALUE"""),"-")</f>
        <v>-</v>
      </c>
      <c r="R399" s="97" t="str">
        <f>IFERROR(__xludf.DUMMYFUNCTION("""COMPUTED_VALUE"""),"-")</f>
        <v>-</v>
      </c>
      <c r="S399" s="97" t="str">
        <f>IFERROR(__xludf.DUMMYFUNCTION("""COMPUTED_VALUE"""),"-")</f>
        <v>-</v>
      </c>
      <c r="T399" s="97" t="str">
        <f>IFERROR(__xludf.DUMMYFUNCTION("""COMPUTED_VALUE"""),"-")</f>
        <v>-</v>
      </c>
      <c r="U399" s="97" t="str">
        <f>IFERROR(__xludf.DUMMYFUNCTION("""COMPUTED_VALUE"""),"-")</f>
        <v>-</v>
      </c>
      <c r="V399" s="97" t="str">
        <f>IFERROR(__xludf.DUMMYFUNCTION("""COMPUTED_VALUE"""),"N/A")</f>
        <v>N/A</v>
      </c>
      <c r="W399" s="97" t="str">
        <f>IFERROR(__xludf.DUMMYFUNCTION("""COMPUTED_VALUE"""),"N/A")</f>
        <v>N/A</v>
      </c>
      <c r="X399" s="97" t="str">
        <f>IFERROR(__xludf.DUMMYFUNCTION("""COMPUTED_VALUE"""),"-")</f>
        <v>-</v>
      </c>
      <c r="Y399" s="97" t="str">
        <f>IFERROR(__xludf.DUMMYFUNCTION("""COMPUTED_VALUE"""),"N/A")</f>
        <v>N/A</v>
      </c>
      <c r="Z399" s="97" t="str">
        <f>IFERROR(__xludf.DUMMYFUNCTION("""COMPUTED_VALUE"""),"N/A")</f>
        <v>N/A</v>
      </c>
      <c r="AA399" s="97" t="str">
        <f>IFERROR(__xludf.DUMMYFUNCTION("""COMPUTED_VALUE"""),"N/A")</f>
        <v>N/A</v>
      </c>
      <c r="AB399" s="97" t="str">
        <f>IFERROR(__xludf.DUMMYFUNCTION("""COMPUTED_VALUE"""),"N/A")</f>
        <v>N/A</v>
      </c>
      <c r="AC399" s="97" t="str">
        <f>IFERROR(__xludf.DUMMYFUNCTION("""COMPUTED_VALUE"""),"N/A")</f>
        <v>N/A</v>
      </c>
      <c r="AD399" s="97" t="str">
        <f>IFERROR(__xludf.DUMMYFUNCTION("""COMPUTED_VALUE"""),"IP20")</f>
        <v>IP20</v>
      </c>
      <c r="AE399" s="97" t="str">
        <f>IFERROR(__xludf.DUMMYFUNCTION("""COMPUTED_VALUE"""),"N/A")</f>
        <v>N/A</v>
      </c>
      <c r="AF399" s="97" t="str">
        <f>IFERROR(__xludf.DUMMYFUNCTION("""COMPUTED_VALUE"""),"Embutir")</f>
        <v>Embutir</v>
      </c>
      <c r="AG399" s="97" t="str">
        <f>IFERROR(__xludf.DUMMYFUNCTION("""COMPUTED_VALUE"""),"-")</f>
        <v>-</v>
      </c>
      <c r="AH399" s="97" t="str">
        <f>IFERROR(__xludf.DUMMYFUNCTION("""COMPUTED_VALUE"""),"-")</f>
        <v>-</v>
      </c>
      <c r="AI399" s="97" t="str">
        <f>IFERROR(__xludf.DUMMYFUNCTION("""COMPUTED_VALUE"""),"-")</f>
        <v>-</v>
      </c>
      <c r="AJ399" s="97" t="str">
        <f>IFERROR(__xludf.DUMMYFUNCTION("""COMPUTED_VALUE"""),"N/A")</f>
        <v>N/A</v>
      </c>
      <c r="AK399" s="97" t="str">
        <f>IFERROR(__xludf.DUMMYFUNCTION("""COMPUTED_VALUE"""),"Acero")</f>
        <v>Acero</v>
      </c>
      <c r="AL399" s="97"/>
      <c r="AM399" s="97" t="str">
        <f>IFERROR(__xludf.DUMMYFUNCTION("""COMPUTED_VALUE"""),"-")</f>
        <v>-</v>
      </c>
      <c r="AN399" s="97" t="str">
        <f>IFERROR(__xludf.DUMMYFUNCTION("""COMPUTED_VALUE"""),"N/A")</f>
        <v>N/A</v>
      </c>
      <c r="AO399" s="97" t="str">
        <f>IFERROR(__xludf.DUMMYFUNCTION("""COMPUTED_VALUE"""),"1 Año")</f>
        <v>1 Año</v>
      </c>
      <c r="AP399" s="97" t="str">
        <f>IFERROR(__xludf.DUMMYFUNCTION("""COMPUTED_VALUE"""),"No Aplica")</f>
        <v>No Aplica</v>
      </c>
      <c r="AQ399" s="97" t="str">
        <f>IFERROR(__xludf.DUMMYFUNCTION("""COMPUTED_VALUE"""),"No Aplica")</f>
        <v>No Aplica</v>
      </c>
      <c r="AR399" s="97" t="str">
        <f>IFERROR(__xludf.DUMMYFUNCTION("""COMPUTED_VALUE"""),"No Aplica")</f>
        <v>No Aplica</v>
      </c>
      <c r="AS399" s="97"/>
      <c r="AT399" s="97"/>
      <c r="AU399" s="97"/>
      <c r="AV399" s="97" t="str">
        <f>IFERROR(__xludf.DUMMYFUNCTION("""COMPUTED_VALUE"""),"Empotrable")</f>
        <v>Empotrable</v>
      </c>
      <c r="AW399" s="97" t="str">
        <f>IFERROR(__xludf.DUMMYFUNCTION("""COMPUTED_VALUE"""),"De Techo")</f>
        <v>De Techo</v>
      </c>
      <c r="AX399" s="97" t="str">
        <f>IFERROR(__xludf.DUMMYFUNCTION("""COMPUTED_VALUE"""),"Interior")</f>
        <v>Interior</v>
      </c>
      <c r="AY399" s="97"/>
      <c r="AZ399" s="97"/>
      <c r="BA399" s="97"/>
      <c r="BB399" s="97"/>
      <c r="BC399" s="97"/>
      <c r="BD399" s="97" t="str">
        <f>IFERROR(__xludf.DUMMYFUNCTION("""COMPUTED_VALUE"""),"SPOT DICROICA")</f>
        <v>SPOT DICROICA</v>
      </c>
      <c r="BE399" s="97" t="str">
        <f>IFERROR(__xludf.DUMMYFUNCTION("""COMPUTED_VALUE"""),"Sin Ficha")</f>
        <v>Sin Ficha</v>
      </c>
      <c r="BF399" s="97"/>
      <c r="BG399" s="97" t="str">
        <f>IFERROR(__xludf.DUMMYFUNCTION("""COMPUTED_VALUE"""),"Discontinuo")</f>
        <v>Discontinuo</v>
      </c>
    </row>
    <row r="400">
      <c r="A400" s="97">
        <f>IFERROR(__xludf.DUMMYFUNCTION("""COMPUTED_VALUE"""),6005.0)</f>
        <v>6005</v>
      </c>
      <c r="B400" s="97" t="str">
        <f>IFERROR(__xludf.DUMMYFUNCTION("""COMPUTED_VALUE"""),"TOM DIXON I")</f>
        <v>TOM DIXON I</v>
      </c>
      <c r="C400" s="97" t="str">
        <f>IFERROR(__xludf.DUMMYFUNCTION("""COMPUTED_VALUE"""),"COLGANTE TOM DIXON I LEUK NEGRO")</f>
        <v>COLGANTE TOM DIXON I LEUK NEGRO</v>
      </c>
      <c r="D400" s="97">
        <f>IFERROR(__xludf.DUMMYFUNCTION("""COMPUTED_VALUE"""),7.79832875932E12)</f>
        <v>7798328759320</v>
      </c>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t="str">
        <f>IFERROR(__xludf.DUMMYFUNCTION("""COMPUTED_VALUE"""),"IP20")</f>
        <v>IP20</v>
      </c>
      <c r="AE400" s="97"/>
      <c r="AF400" s="97" t="str">
        <f>IFERROR(__xludf.DUMMYFUNCTION("""COMPUTED_VALUE"""),"Suspender")</f>
        <v>Suspender</v>
      </c>
      <c r="AG400" s="97"/>
      <c r="AH400" s="97"/>
      <c r="AI400" s="97"/>
      <c r="AJ400" s="97"/>
      <c r="AK400" s="97"/>
      <c r="AL400" s="97"/>
      <c r="AM400" s="97"/>
      <c r="AN400" s="97"/>
      <c r="AO400" s="97" t="str">
        <f>IFERROR(__xludf.DUMMYFUNCTION("""COMPUTED_VALUE"""),"1 Año")</f>
        <v>1 Año</v>
      </c>
      <c r="AP400" s="97"/>
      <c r="AQ400" s="97"/>
      <c r="AR400" s="97"/>
      <c r="AS400" s="97"/>
      <c r="AT400" s="97"/>
      <c r="AU400" s="97"/>
      <c r="AV400" s="97" t="str">
        <f>IFERROR(__xludf.DUMMYFUNCTION("""COMPUTED_VALUE"""),"Colgante")</f>
        <v>Colgante</v>
      </c>
      <c r="AW400" s="97" t="str">
        <f>IFERROR(__xludf.DUMMYFUNCTION("""COMPUTED_VALUE"""),"De Techo")</f>
        <v>De Techo</v>
      </c>
      <c r="AX400" s="97" t="str">
        <f>IFERROR(__xludf.DUMMYFUNCTION("""COMPUTED_VALUE"""),"Interior")</f>
        <v>Interior</v>
      </c>
      <c r="AY400" s="97"/>
      <c r="AZ400" s="97"/>
      <c r="BA400" s="97"/>
      <c r="BB400" s="97"/>
      <c r="BC400" s="97"/>
      <c r="BD400" s="97" t="str">
        <f>IFERROR(__xludf.DUMMYFUNCTION("""COMPUTED_VALUE"""),"TOM DIXON")</f>
        <v>TOM DIXON</v>
      </c>
      <c r="BE400" s="97" t="str">
        <f>IFERROR(__xludf.DUMMYFUNCTION("""COMPUTED_VALUE"""),"Sin Ficha")</f>
        <v>Sin Ficha</v>
      </c>
      <c r="BF400" s="97"/>
      <c r="BG400" s="97" t="str">
        <f>IFERROR(__xludf.DUMMYFUNCTION("""COMPUTED_VALUE"""),"Discontinuo")</f>
        <v>Discontinuo</v>
      </c>
    </row>
    <row r="401">
      <c r="A401" s="97">
        <f>IFERROR(__xludf.DUMMYFUNCTION("""COMPUTED_VALUE"""),6006.0)</f>
        <v>6006</v>
      </c>
      <c r="B401" s="97" t="str">
        <f>IFERROR(__xludf.DUMMYFUNCTION("""COMPUTED_VALUE"""),"TOM DIXON II")</f>
        <v>TOM DIXON II</v>
      </c>
      <c r="C401" s="97" t="str">
        <f>IFERROR(__xludf.DUMMYFUNCTION("""COMPUTED_VALUE"""),"COLGANTE TOM DIXON II LEUK NEGRO")</f>
        <v>COLGANTE TOM DIXON II LEUK NEGRO</v>
      </c>
      <c r="D401" s="97">
        <f>IFERROR(__xludf.DUMMYFUNCTION("""COMPUTED_VALUE"""),7.798328759337E12)</f>
        <v>7798328759337</v>
      </c>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t="str">
        <f>IFERROR(__xludf.DUMMYFUNCTION("""COMPUTED_VALUE"""),"IP20")</f>
        <v>IP20</v>
      </c>
      <c r="AE401" s="97"/>
      <c r="AF401" s="97" t="str">
        <f>IFERROR(__xludf.DUMMYFUNCTION("""COMPUTED_VALUE"""),"Suspender")</f>
        <v>Suspender</v>
      </c>
      <c r="AG401" s="97"/>
      <c r="AH401" s="97"/>
      <c r="AI401" s="97"/>
      <c r="AJ401" s="97"/>
      <c r="AK401" s="97"/>
      <c r="AL401" s="97"/>
      <c r="AM401" s="97"/>
      <c r="AN401" s="97"/>
      <c r="AO401" s="97" t="str">
        <f>IFERROR(__xludf.DUMMYFUNCTION("""COMPUTED_VALUE"""),"1 Año")</f>
        <v>1 Año</v>
      </c>
      <c r="AP401" s="97"/>
      <c r="AQ401" s="97"/>
      <c r="AR401" s="97"/>
      <c r="AS401" s="97"/>
      <c r="AT401" s="97"/>
      <c r="AU401" s="97"/>
      <c r="AV401" s="97" t="str">
        <f>IFERROR(__xludf.DUMMYFUNCTION("""COMPUTED_VALUE"""),"Colgante")</f>
        <v>Colgante</v>
      </c>
      <c r="AW401" s="97" t="str">
        <f>IFERROR(__xludf.DUMMYFUNCTION("""COMPUTED_VALUE"""),"De Techo")</f>
        <v>De Techo</v>
      </c>
      <c r="AX401" s="97" t="str">
        <f>IFERROR(__xludf.DUMMYFUNCTION("""COMPUTED_VALUE"""),"Interior")</f>
        <v>Interior</v>
      </c>
      <c r="AY401" s="97"/>
      <c r="AZ401" s="97"/>
      <c r="BA401" s="97"/>
      <c r="BB401" s="97"/>
      <c r="BC401" s="97"/>
      <c r="BD401" s="97" t="str">
        <f>IFERROR(__xludf.DUMMYFUNCTION("""COMPUTED_VALUE"""),"TOM DIXON")</f>
        <v>TOM DIXON</v>
      </c>
      <c r="BE401" s="97" t="str">
        <f>IFERROR(__xludf.DUMMYFUNCTION("""COMPUTED_VALUE"""),"Sin Ficha")</f>
        <v>Sin Ficha</v>
      </c>
      <c r="BF401" s="97"/>
      <c r="BG401" s="97" t="str">
        <f>IFERROR(__xludf.DUMMYFUNCTION("""COMPUTED_VALUE"""),"Discontinuo")</f>
        <v>Discontinuo</v>
      </c>
    </row>
    <row r="402">
      <c r="A402" s="97">
        <f>IFERROR(__xludf.DUMMYFUNCTION("""COMPUTED_VALUE"""),6007.0)</f>
        <v>6007</v>
      </c>
      <c r="B402" s="97" t="str">
        <f>IFERROR(__xludf.DUMMYFUNCTION("""COMPUTED_VALUE"""),"TOM DIXON III")</f>
        <v>TOM DIXON III</v>
      </c>
      <c r="C402" s="97" t="str">
        <f>IFERROR(__xludf.DUMMYFUNCTION("""COMPUTED_VALUE"""),"COLGANTE TOM DIXON III LEUK NEGRO")</f>
        <v>COLGANTE TOM DIXON III LEUK NEGRO</v>
      </c>
      <c r="D402" s="97">
        <f>IFERROR(__xludf.DUMMYFUNCTION("""COMPUTED_VALUE"""),7.798328759344E12)</f>
        <v>7798328759344</v>
      </c>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t="str">
        <f>IFERROR(__xludf.DUMMYFUNCTION("""COMPUTED_VALUE"""),"IP20")</f>
        <v>IP20</v>
      </c>
      <c r="AE402" s="97"/>
      <c r="AF402" s="97" t="str">
        <f>IFERROR(__xludf.DUMMYFUNCTION("""COMPUTED_VALUE"""),"Suspender")</f>
        <v>Suspender</v>
      </c>
      <c r="AG402" s="97"/>
      <c r="AH402" s="97"/>
      <c r="AI402" s="97"/>
      <c r="AJ402" s="97"/>
      <c r="AK402" s="97"/>
      <c r="AL402" s="97"/>
      <c r="AM402" s="97"/>
      <c r="AN402" s="97"/>
      <c r="AO402" s="97" t="str">
        <f>IFERROR(__xludf.DUMMYFUNCTION("""COMPUTED_VALUE"""),"1 Año")</f>
        <v>1 Año</v>
      </c>
      <c r="AP402" s="97"/>
      <c r="AQ402" s="97"/>
      <c r="AR402" s="97"/>
      <c r="AS402" s="97"/>
      <c r="AT402" s="97"/>
      <c r="AU402" s="97"/>
      <c r="AV402" s="97" t="str">
        <f>IFERROR(__xludf.DUMMYFUNCTION("""COMPUTED_VALUE"""),"Colgante")</f>
        <v>Colgante</v>
      </c>
      <c r="AW402" s="97" t="str">
        <f>IFERROR(__xludf.DUMMYFUNCTION("""COMPUTED_VALUE"""),"De Techo")</f>
        <v>De Techo</v>
      </c>
      <c r="AX402" s="97" t="str">
        <f>IFERROR(__xludf.DUMMYFUNCTION("""COMPUTED_VALUE"""),"Interior")</f>
        <v>Interior</v>
      </c>
      <c r="AY402" s="97"/>
      <c r="AZ402" s="97"/>
      <c r="BA402" s="97"/>
      <c r="BB402" s="97"/>
      <c r="BC402" s="97"/>
      <c r="BD402" s="97" t="str">
        <f>IFERROR(__xludf.DUMMYFUNCTION("""COMPUTED_VALUE"""),"TOM DIXON")</f>
        <v>TOM DIXON</v>
      </c>
      <c r="BE402" s="97" t="str">
        <f>IFERROR(__xludf.DUMMYFUNCTION("""COMPUTED_VALUE"""),"Sin Ficha")</f>
        <v>Sin Ficha</v>
      </c>
      <c r="BF402" s="97"/>
      <c r="BG402" s="97" t="str">
        <f>IFERROR(__xludf.DUMMYFUNCTION("""COMPUTED_VALUE"""),"Discontinuo")</f>
        <v>Discontinuo</v>
      </c>
    </row>
    <row r="403">
      <c r="A403" s="97">
        <f>IFERROR(__xludf.DUMMYFUNCTION("""COMPUTED_VALUE"""),6008.0)</f>
        <v>6008</v>
      </c>
      <c r="B403" s="97" t="str">
        <f>IFERROR(__xludf.DUMMYFUNCTION("""COMPUTED_VALUE"""),"YATI")</f>
        <v>YATI</v>
      </c>
      <c r="C403" s="97" t="str">
        <f>IFERROR(__xludf.DUMMYFUNCTION("""COMPUTED_VALUE"""),"COLGANTE YATI DORADO LEUK")</f>
        <v>COLGANTE YATI DORADO LEUK</v>
      </c>
      <c r="D403" s="97">
        <f>IFERROR(__xludf.DUMMYFUNCTION("""COMPUTED_VALUE"""),7.798328759184E12)</f>
        <v>7798328759184</v>
      </c>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t="str">
        <f>IFERROR(__xludf.DUMMYFUNCTION("""COMPUTED_VALUE"""),"IP20")</f>
        <v>IP20</v>
      </c>
      <c r="AE403" s="97"/>
      <c r="AF403" s="97" t="str">
        <f>IFERROR(__xludf.DUMMYFUNCTION("""COMPUTED_VALUE"""),"Suspender")</f>
        <v>Suspender</v>
      </c>
      <c r="AG403" s="97"/>
      <c r="AH403" s="97"/>
      <c r="AI403" s="97"/>
      <c r="AJ403" s="97"/>
      <c r="AK403" s="97"/>
      <c r="AL403" s="97"/>
      <c r="AM403" s="97"/>
      <c r="AN403" s="97"/>
      <c r="AO403" s="97" t="str">
        <f>IFERROR(__xludf.DUMMYFUNCTION("""COMPUTED_VALUE"""),"1 Año")</f>
        <v>1 Año</v>
      </c>
      <c r="AP403" s="97"/>
      <c r="AQ403" s="97"/>
      <c r="AR403" s="97"/>
      <c r="AS403" s="97"/>
      <c r="AT403" s="97"/>
      <c r="AU403" s="97"/>
      <c r="AV403" s="97" t="str">
        <f>IFERROR(__xludf.DUMMYFUNCTION("""COMPUTED_VALUE"""),"Colgante")</f>
        <v>Colgante</v>
      </c>
      <c r="AW403" s="97" t="str">
        <f>IFERROR(__xludf.DUMMYFUNCTION("""COMPUTED_VALUE"""),"De Techo")</f>
        <v>De Techo</v>
      </c>
      <c r="AX403" s="97" t="str">
        <f>IFERROR(__xludf.DUMMYFUNCTION("""COMPUTED_VALUE"""),"Interior")</f>
        <v>Interior</v>
      </c>
      <c r="AY403" s="97"/>
      <c r="AZ403" s="97"/>
      <c r="BA403" s="97"/>
      <c r="BB403" s="97"/>
      <c r="BC403" s="97"/>
      <c r="BD403" s="97" t="str">
        <f>IFERROR(__xludf.DUMMYFUNCTION("""COMPUTED_VALUE"""),"YATI")</f>
        <v>YATI</v>
      </c>
      <c r="BE403" s="97" t="str">
        <f>IFERROR(__xludf.DUMMYFUNCTION("""COMPUTED_VALUE"""),"Sin Ficha")</f>
        <v>Sin Ficha</v>
      </c>
      <c r="BF403" s="97"/>
      <c r="BG403" s="97" t="str">
        <f>IFERROR(__xludf.DUMMYFUNCTION("""COMPUTED_VALUE"""),"Discontinuo")</f>
        <v>Discontinuo</v>
      </c>
    </row>
    <row r="404">
      <c r="A404" s="97">
        <f>IFERROR(__xludf.DUMMYFUNCTION("""COMPUTED_VALUE"""),6009.0)</f>
        <v>6009</v>
      </c>
      <c r="B404" s="97" t="str">
        <f>IFERROR(__xludf.DUMMYFUNCTION("""COMPUTED_VALUE"""),"AITIA I")</f>
        <v>AITIA I</v>
      </c>
      <c r="C404" s="97" t="str">
        <f>IFERROR(__xludf.DUMMYFUNCTION("""COMPUTED_VALUE"""),"APLIQUE AITIA I LEUK")</f>
        <v>APLIQUE AITIA I LEUK</v>
      </c>
      <c r="D404" s="97">
        <f>IFERROR(__xludf.DUMMYFUNCTION("""COMPUTED_VALUE"""),7.798328759726E12)</f>
        <v>7798328759726</v>
      </c>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t="str">
        <f>IFERROR(__xludf.DUMMYFUNCTION("""COMPUTED_VALUE"""),"IP20")</f>
        <v>IP20</v>
      </c>
      <c r="AE404" s="97"/>
      <c r="AF404" s="97" t="str">
        <f>IFERROR(__xludf.DUMMYFUNCTION("""COMPUTED_VALUE"""),"Aplicar")</f>
        <v>Aplicar</v>
      </c>
      <c r="AG404" s="97"/>
      <c r="AH404" s="97"/>
      <c r="AI404" s="97"/>
      <c r="AJ404" s="97"/>
      <c r="AK404" s="97"/>
      <c r="AL404" s="97"/>
      <c r="AM404" s="97"/>
      <c r="AN404" s="97"/>
      <c r="AO404" s="97" t="str">
        <f>IFERROR(__xludf.DUMMYFUNCTION("""COMPUTED_VALUE"""),"1 Año")</f>
        <v>1 Año</v>
      </c>
      <c r="AP404" s="97"/>
      <c r="AQ404" s="97"/>
      <c r="AR404" s="97"/>
      <c r="AS404" s="97"/>
      <c r="AT404" s="97"/>
      <c r="AU404" s="97"/>
      <c r="AV404" s="97" t="str">
        <f>IFERROR(__xludf.DUMMYFUNCTION("""COMPUTED_VALUE"""),"Aplique")</f>
        <v>Aplique</v>
      </c>
      <c r="AW404" s="97" t="str">
        <f>IFERROR(__xludf.DUMMYFUNCTION("""COMPUTED_VALUE"""),"De Techo")</f>
        <v>De Techo</v>
      </c>
      <c r="AX404" s="97" t="str">
        <f>IFERROR(__xludf.DUMMYFUNCTION("""COMPUTED_VALUE"""),"Interior")</f>
        <v>Interior</v>
      </c>
      <c r="AY404" s="97"/>
      <c r="AZ404" s="97"/>
      <c r="BA404" s="97"/>
      <c r="BB404" s="97"/>
      <c r="BC404" s="97"/>
      <c r="BD404" s="97" t="str">
        <f>IFERROR(__xludf.DUMMYFUNCTION("""COMPUTED_VALUE"""),"AITIA")</f>
        <v>AITIA</v>
      </c>
      <c r="BE404" s="97" t="str">
        <f>IFERROR(__xludf.DUMMYFUNCTION("""COMPUTED_VALUE"""),"Sin Ficha")</f>
        <v>Sin Ficha</v>
      </c>
      <c r="BF404" s="97"/>
      <c r="BG404" s="97" t="str">
        <f>IFERROR(__xludf.DUMMYFUNCTION("""COMPUTED_VALUE"""),"Discontinuo")</f>
        <v>Discontinuo</v>
      </c>
    </row>
    <row r="405">
      <c r="A405" s="97">
        <f>IFERROR(__xludf.DUMMYFUNCTION("""COMPUTED_VALUE"""),6010.0)</f>
        <v>6010</v>
      </c>
      <c r="B405" s="97" t="str">
        <f>IFERROR(__xludf.DUMMYFUNCTION("""COMPUTED_VALUE"""),"AITIA II")</f>
        <v>AITIA II</v>
      </c>
      <c r="C405" s="97" t="str">
        <f>IFERROR(__xludf.DUMMYFUNCTION("""COMPUTED_VALUE"""),"APLIQUE AITIA II LEUK")</f>
        <v>APLIQUE AITIA II LEUK</v>
      </c>
      <c r="D405" s="97">
        <f>IFERROR(__xludf.DUMMYFUNCTION("""COMPUTED_VALUE"""),7.798328759733E12)</f>
        <v>7798328759733</v>
      </c>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t="str">
        <f>IFERROR(__xludf.DUMMYFUNCTION("""COMPUTED_VALUE"""),"IP20")</f>
        <v>IP20</v>
      </c>
      <c r="AE405" s="97"/>
      <c r="AF405" s="97" t="str">
        <f>IFERROR(__xludf.DUMMYFUNCTION("""COMPUTED_VALUE"""),"Aplicar")</f>
        <v>Aplicar</v>
      </c>
      <c r="AG405" s="97"/>
      <c r="AH405" s="97"/>
      <c r="AI405" s="97"/>
      <c r="AJ405" s="97"/>
      <c r="AK405" s="97"/>
      <c r="AL405" s="97"/>
      <c r="AM405" s="97"/>
      <c r="AN405" s="97"/>
      <c r="AO405" s="97" t="str">
        <f>IFERROR(__xludf.DUMMYFUNCTION("""COMPUTED_VALUE"""),"1 Año")</f>
        <v>1 Año</v>
      </c>
      <c r="AP405" s="97"/>
      <c r="AQ405" s="97"/>
      <c r="AR405" s="97"/>
      <c r="AS405" s="97"/>
      <c r="AT405" s="97"/>
      <c r="AU405" s="97"/>
      <c r="AV405" s="97" t="str">
        <f>IFERROR(__xludf.DUMMYFUNCTION("""COMPUTED_VALUE"""),"Aplique")</f>
        <v>Aplique</v>
      </c>
      <c r="AW405" s="97" t="str">
        <f>IFERROR(__xludf.DUMMYFUNCTION("""COMPUTED_VALUE"""),"De Techo")</f>
        <v>De Techo</v>
      </c>
      <c r="AX405" s="97" t="str">
        <f>IFERROR(__xludf.DUMMYFUNCTION("""COMPUTED_VALUE"""),"Interior")</f>
        <v>Interior</v>
      </c>
      <c r="AY405" s="97"/>
      <c r="AZ405" s="97"/>
      <c r="BA405" s="97"/>
      <c r="BB405" s="97"/>
      <c r="BC405" s="97"/>
      <c r="BD405" s="97" t="str">
        <f>IFERROR(__xludf.DUMMYFUNCTION("""COMPUTED_VALUE"""),"AITIA")</f>
        <v>AITIA</v>
      </c>
      <c r="BE405" s="97" t="str">
        <f>IFERROR(__xludf.DUMMYFUNCTION("""COMPUTED_VALUE"""),"Sin Ficha")</f>
        <v>Sin Ficha</v>
      </c>
      <c r="BF405" s="97"/>
      <c r="BG405" s="97" t="str">
        <f>IFERROR(__xludf.DUMMYFUNCTION("""COMPUTED_VALUE"""),"Discontinuo")</f>
        <v>Discontinuo</v>
      </c>
    </row>
    <row r="406">
      <c r="A406" s="97">
        <f>IFERROR(__xludf.DUMMYFUNCTION("""COMPUTED_VALUE"""),6011.0)</f>
        <v>6011</v>
      </c>
      <c r="B406" s="97" t="str">
        <f>IFERROR(__xludf.DUMMYFUNCTION("""COMPUTED_VALUE"""),"AITIA III")</f>
        <v>AITIA III</v>
      </c>
      <c r="C406" s="97" t="str">
        <f>IFERROR(__xludf.DUMMYFUNCTION("""COMPUTED_VALUE"""),"APLIQUE AITIA III LEUK")</f>
        <v>APLIQUE AITIA III LEUK</v>
      </c>
      <c r="D406" s="97">
        <f>IFERROR(__xludf.DUMMYFUNCTION("""COMPUTED_VALUE"""),7.79832875974E12)</f>
        <v>7798328759740</v>
      </c>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t="str">
        <f>IFERROR(__xludf.DUMMYFUNCTION("""COMPUTED_VALUE"""),"IP20")</f>
        <v>IP20</v>
      </c>
      <c r="AE406" s="97"/>
      <c r="AF406" s="97" t="str">
        <f>IFERROR(__xludf.DUMMYFUNCTION("""COMPUTED_VALUE"""),"Aplicar")</f>
        <v>Aplicar</v>
      </c>
      <c r="AG406" s="97"/>
      <c r="AH406" s="97"/>
      <c r="AI406" s="97"/>
      <c r="AJ406" s="97"/>
      <c r="AK406" s="97"/>
      <c r="AL406" s="97"/>
      <c r="AM406" s="97"/>
      <c r="AN406" s="97"/>
      <c r="AO406" s="97" t="str">
        <f>IFERROR(__xludf.DUMMYFUNCTION("""COMPUTED_VALUE"""),"1 Año")</f>
        <v>1 Año</v>
      </c>
      <c r="AP406" s="97"/>
      <c r="AQ406" s="97"/>
      <c r="AR406" s="97"/>
      <c r="AS406" s="97"/>
      <c r="AT406" s="97"/>
      <c r="AU406" s="97"/>
      <c r="AV406" s="97" t="str">
        <f>IFERROR(__xludf.DUMMYFUNCTION("""COMPUTED_VALUE"""),"Aplique")</f>
        <v>Aplique</v>
      </c>
      <c r="AW406" s="97" t="str">
        <f>IFERROR(__xludf.DUMMYFUNCTION("""COMPUTED_VALUE"""),"De Techo")</f>
        <v>De Techo</v>
      </c>
      <c r="AX406" s="97" t="str">
        <f>IFERROR(__xludf.DUMMYFUNCTION("""COMPUTED_VALUE"""),"Interior")</f>
        <v>Interior</v>
      </c>
      <c r="AY406" s="97"/>
      <c r="AZ406" s="97"/>
      <c r="BA406" s="97"/>
      <c r="BB406" s="97"/>
      <c r="BC406" s="97"/>
      <c r="BD406" s="97" t="str">
        <f>IFERROR(__xludf.DUMMYFUNCTION("""COMPUTED_VALUE"""),"AITIA")</f>
        <v>AITIA</v>
      </c>
      <c r="BE406" s="97" t="str">
        <f>IFERROR(__xludf.DUMMYFUNCTION("""COMPUTED_VALUE"""),"Sin Ficha")</f>
        <v>Sin Ficha</v>
      </c>
      <c r="BF406" s="97"/>
      <c r="BG406" s="97" t="str">
        <f>IFERROR(__xludf.DUMMYFUNCTION("""COMPUTED_VALUE"""),"Discontinuo")</f>
        <v>Discontinuo</v>
      </c>
    </row>
    <row r="407">
      <c r="A407" s="97">
        <f>IFERROR(__xludf.DUMMYFUNCTION("""COMPUTED_VALUE"""),6012.0)</f>
        <v>6012</v>
      </c>
      <c r="B407" s="97" t="str">
        <f>IFERROR(__xludf.DUMMYFUNCTION("""COMPUTED_VALUE"""),"AITIA IV")</f>
        <v>AITIA IV</v>
      </c>
      <c r="C407" s="97" t="str">
        <f>IFERROR(__xludf.DUMMYFUNCTION("""COMPUTED_VALUE"""),"APLIQUE AITIA IV LEUK")</f>
        <v>APLIQUE AITIA IV LEUK</v>
      </c>
      <c r="D407" s="97">
        <f>IFERROR(__xludf.DUMMYFUNCTION("""COMPUTED_VALUE"""),7.798328759757E12)</f>
        <v>7798328759757</v>
      </c>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t="str">
        <f>IFERROR(__xludf.DUMMYFUNCTION("""COMPUTED_VALUE"""),"IP20")</f>
        <v>IP20</v>
      </c>
      <c r="AE407" s="97"/>
      <c r="AF407" s="97" t="str">
        <f>IFERROR(__xludf.DUMMYFUNCTION("""COMPUTED_VALUE"""),"Aplicar")</f>
        <v>Aplicar</v>
      </c>
      <c r="AG407" s="97"/>
      <c r="AH407" s="97"/>
      <c r="AI407" s="97"/>
      <c r="AJ407" s="97"/>
      <c r="AK407" s="97"/>
      <c r="AL407" s="97"/>
      <c r="AM407" s="97"/>
      <c r="AN407" s="97"/>
      <c r="AO407" s="97" t="str">
        <f>IFERROR(__xludf.DUMMYFUNCTION("""COMPUTED_VALUE"""),"1 Año")</f>
        <v>1 Año</v>
      </c>
      <c r="AP407" s="97"/>
      <c r="AQ407" s="97"/>
      <c r="AR407" s="97"/>
      <c r="AS407" s="97"/>
      <c r="AT407" s="97"/>
      <c r="AU407" s="97"/>
      <c r="AV407" s="97" t="str">
        <f>IFERROR(__xludf.DUMMYFUNCTION("""COMPUTED_VALUE"""),"Aplique")</f>
        <v>Aplique</v>
      </c>
      <c r="AW407" s="97" t="str">
        <f>IFERROR(__xludf.DUMMYFUNCTION("""COMPUTED_VALUE"""),"De Techo")</f>
        <v>De Techo</v>
      </c>
      <c r="AX407" s="97" t="str">
        <f>IFERROR(__xludf.DUMMYFUNCTION("""COMPUTED_VALUE"""),"Interior")</f>
        <v>Interior</v>
      </c>
      <c r="AY407" s="97"/>
      <c r="AZ407" s="97"/>
      <c r="BA407" s="97"/>
      <c r="BB407" s="97"/>
      <c r="BC407" s="97"/>
      <c r="BD407" s="97" t="str">
        <f>IFERROR(__xludf.DUMMYFUNCTION("""COMPUTED_VALUE"""),"AITIA")</f>
        <v>AITIA</v>
      </c>
      <c r="BE407" s="97" t="str">
        <f>IFERROR(__xludf.DUMMYFUNCTION("""COMPUTED_VALUE"""),"Sin Ficha")</f>
        <v>Sin Ficha</v>
      </c>
      <c r="BF407" s="97"/>
      <c r="BG407" s="97" t="str">
        <f>IFERROR(__xludf.DUMMYFUNCTION("""COMPUTED_VALUE"""),"Discontinuo")</f>
        <v>Discontinuo</v>
      </c>
    </row>
    <row r="408">
      <c r="A408" s="97">
        <f>IFERROR(__xludf.DUMMYFUNCTION("""COMPUTED_VALUE"""),6013.0)</f>
        <v>6013</v>
      </c>
      <c r="B408" s="97" t="str">
        <f>IFERROR(__xludf.DUMMYFUNCTION("""COMPUTED_VALUE"""),"ENEA I")</f>
        <v>ENEA I</v>
      </c>
      <c r="C408" s="97" t="str">
        <f>IFERROR(__xludf.DUMMYFUNCTION("""COMPUTED_VALUE"""),"APLIQUE ENEA I LEUK")</f>
        <v>APLIQUE ENEA I LEUK</v>
      </c>
      <c r="D408" s="97">
        <f>IFERROR(__xludf.DUMMYFUNCTION("""COMPUTED_VALUE"""),7.798328759764E12)</f>
        <v>7798328759764</v>
      </c>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t="str">
        <f>IFERROR(__xludf.DUMMYFUNCTION("""COMPUTED_VALUE"""),"IP20")</f>
        <v>IP20</v>
      </c>
      <c r="AE408" s="97"/>
      <c r="AF408" s="97" t="str">
        <f>IFERROR(__xludf.DUMMYFUNCTION("""COMPUTED_VALUE"""),"Aplicar")</f>
        <v>Aplicar</v>
      </c>
      <c r="AG408" s="97"/>
      <c r="AH408" s="97"/>
      <c r="AI408" s="97"/>
      <c r="AJ408" s="97"/>
      <c r="AK408" s="97"/>
      <c r="AL408" s="97"/>
      <c r="AM408" s="97"/>
      <c r="AN408" s="97"/>
      <c r="AO408" s="97" t="str">
        <f>IFERROR(__xludf.DUMMYFUNCTION("""COMPUTED_VALUE"""),"1 Año")</f>
        <v>1 Año</v>
      </c>
      <c r="AP408" s="97"/>
      <c r="AQ408" s="97"/>
      <c r="AR408" s="97"/>
      <c r="AS408" s="97"/>
      <c r="AT408" s="97"/>
      <c r="AU408" s="97"/>
      <c r="AV408" s="97" t="str">
        <f>IFERROR(__xludf.DUMMYFUNCTION("""COMPUTED_VALUE"""),"Aplique")</f>
        <v>Aplique</v>
      </c>
      <c r="AW408" s="97" t="str">
        <f>IFERROR(__xludf.DUMMYFUNCTION("""COMPUTED_VALUE"""),"De Techo")</f>
        <v>De Techo</v>
      </c>
      <c r="AX408" s="97" t="str">
        <f>IFERROR(__xludf.DUMMYFUNCTION("""COMPUTED_VALUE"""),"Interior")</f>
        <v>Interior</v>
      </c>
      <c r="AY408" s="97"/>
      <c r="AZ408" s="97"/>
      <c r="BA408" s="97"/>
      <c r="BB408" s="97"/>
      <c r="BC408" s="97"/>
      <c r="BD408" s="97" t="str">
        <f>IFERROR(__xludf.DUMMYFUNCTION("""COMPUTED_VALUE"""),"ENEA")</f>
        <v>ENEA</v>
      </c>
      <c r="BE408" s="97" t="str">
        <f>IFERROR(__xludf.DUMMYFUNCTION("""COMPUTED_VALUE"""),"Sin Ficha")</f>
        <v>Sin Ficha</v>
      </c>
      <c r="BF408" s="97"/>
      <c r="BG408" s="97" t="str">
        <f>IFERROR(__xludf.DUMMYFUNCTION("""COMPUTED_VALUE"""),"Discontinuo")</f>
        <v>Discontinuo</v>
      </c>
    </row>
    <row r="409">
      <c r="A409" s="97">
        <f>IFERROR(__xludf.DUMMYFUNCTION("""COMPUTED_VALUE"""),6014.0)</f>
        <v>6014</v>
      </c>
      <c r="B409" s="97" t="str">
        <f>IFERROR(__xludf.DUMMYFUNCTION("""COMPUTED_VALUE"""),"ENEA II")</f>
        <v>ENEA II</v>
      </c>
      <c r="C409" s="97" t="str">
        <f>IFERROR(__xludf.DUMMYFUNCTION("""COMPUTED_VALUE"""),"APLIQUE ENEA II LEUK")</f>
        <v>APLIQUE ENEA II LEUK</v>
      </c>
      <c r="D409" s="97">
        <f>IFERROR(__xludf.DUMMYFUNCTION("""COMPUTED_VALUE"""),7.798328759771E12)</f>
        <v>7798328759771</v>
      </c>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t="str">
        <f>IFERROR(__xludf.DUMMYFUNCTION("""COMPUTED_VALUE"""),"IP20")</f>
        <v>IP20</v>
      </c>
      <c r="AE409" s="97"/>
      <c r="AF409" s="97" t="str">
        <f>IFERROR(__xludf.DUMMYFUNCTION("""COMPUTED_VALUE"""),"Aplicar")</f>
        <v>Aplicar</v>
      </c>
      <c r="AG409" s="97"/>
      <c r="AH409" s="97"/>
      <c r="AI409" s="97"/>
      <c r="AJ409" s="97"/>
      <c r="AK409" s="97"/>
      <c r="AL409" s="97"/>
      <c r="AM409" s="97"/>
      <c r="AN409" s="97"/>
      <c r="AO409" s="97" t="str">
        <f>IFERROR(__xludf.DUMMYFUNCTION("""COMPUTED_VALUE"""),"1 Año")</f>
        <v>1 Año</v>
      </c>
      <c r="AP409" s="97"/>
      <c r="AQ409" s="97"/>
      <c r="AR409" s="97"/>
      <c r="AS409" s="97"/>
      <c r="AT409" s="97"/>
      <c r="AU409" s="97"/>
      <c r="AV409" s="97" t="str">
        <f>IFERROR(__xludf.DUMMYFUNCTION("""COMPUTED_VALUE"""),"Aplique")</f>
        <v>Aplique</v>
      </c>
      <c r="AW409" s="97" t="str">
        <f>IFERROR(__xludf.DUMMYFUNCTION("""COMPUTED_VALUE"""),"De Techo")</f>
        <v>De Techo</v>
      </c>
      <c r="AX409" s="97" t="str">
        <f>IFERROR(__xludf.DUMMYFUNCTION("""COMPUTED_VALUE"""),"Interior")</f>
        <v>Interior</v>
      </c>
      <c r="AY409" s="97"/>
      <c r="AZ409" s="97"/>
      <c r="BA409" s="97"/>
      <c r="BB409" s="97"/>
      <c r="BC409" s="97"/>
      <c r="BD409" s="97" t="str">
        <f>IFERROR(__xludf.DUMMYFUNCTION("""COMPUTED_VALUE"""),"ENEA")</f>
        <v>ENEA</v>
      </c>
      <c r="BE409" s="97" t="str">
        <f>IFERROR(__xludf.DUMMYFUNCTION("""COMPUTED_VALUE"""),"Sin Ficha")</f>
        <v>Sin Ficha</v>
      </c>
      <c r="BF409" s="97"/>
      <c r="BG409" s="97" t="str">
        <f>IFERROR(__xludf.DUMMYFUNCTION("""COMPUTED_VALUE"""),"Discontinuo")</f>
        <v>Discontinuo</v>
      </c>
    </row>
    <row r="410">
      <c r="A410" s="97">
        <f>IFERROR(__xludf.DUMMYFUNCTION("""COMPUTED_VALUE"""),6015.0)</f>
        <v>6015</v>
      </c>
      <c r="B410" s="97" t="str">
        <f>IFERROR(__xludf.DUMMYFUNCTION("""COMPUTED_VALUE"""),"ENEA IV")</f>
        <v>ENEA IV</v>
      </c>
      <c r="C410" s="97" t="str">
        <f>IFERROR(__xludf.DUMMYFUNCTION("""COMPUTED_VALUE"""),"APLIQUE ENEA IV LEUK")</f>
        <v>APLIQUE ENEA IV LEUK</v>
      </c>
      <c r="D410" s="97">
        <f>IFERROR(__xludf.DUMMYFUNCTION("""COMPUTED_VALUE"""),7.798328759788E12)</f>
        <v>7798328759788</v>
      </c>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t="str">
        <f>IFERROR(__xludf.DUMMYFUNCTION("""COMPUTED_VALUE"""),"IP20")</f>
        <v>IP20</v>
      </c>
      <c r="AE410" s="97"/>
      <c r="AF410" s="97" t="str">
        <f>IFERROR(__xludf.DUMMYFUNCTION("""COMPUTED_VALUE"""),"Aplicar")</f>
        <v>Aplicar</v>
      </c>
      <c r="AG410" s="97"/>
      <c r="AH410" s="97"/>
      <c r="AI410" s="97"/>
      <c r="AJ410" s="97"/>
      <c r="AK410" s="97"/>
      <c r="AL410" s="97"/>
      <c r="AM410" s="97"/>
      <c r="AN410" s="97"/>
      <c r="AO410" s="97" t="str">
        <f>IFERROR(__xludf.DUMMYFUNCTION("""COMPUTED_VALUE"""),"1 Año")</f>
        <v>1 Año</v>
      </c>
      <c r="AP410" s="97"/>
      <c r="AQ410" s="97"/>
      <c r="AR410" s="97"/>
      <c r="AS410" s="97"/>
      <c r="AT410" s="97"/>
      <c r="AU410" s="97"/>
      <c r="AV410" s="97" t="str">
        <f>IFERROR(__xludf.DUMMYFUNCTION("""COMPUTED_VALUE"""),"Aplique")</f>
        <v>Aplique</v>
      </c>
      <c r="AW410" s="97" t="str">
        <f>IFERROR(__xludf.DUMMYFUNCTION("""COMPUTED_VALUE"""),"De Techo")</f>
        <v>De Techo</v>
      </c>
      <c r="AX410" s="97" t="str">
        <f>IFERROR(__xludf.DUMMYFUNCTION("""COMPUTED_VALUE"""),"Interior")</f>
        <v>Interior</v>
      </c>
      <c r="AY410" s="97"/>
      <c r="AZ410" s="97"/>
      <c r="BA410" s="97"/>
      <c r="BB410" s="97"/>
      <c r="BC410" s="97"/>
      <c r="BD410" s="97" t="str">
        <f>IFERROR(__xludf.DUMMYFUNCTION("""COMPUTED_VALUE"""),"ENEA")</f>
        <v>ENEA</v>
      </c>
      <c r="BE410" s="97" t="str">
        <f>IFERROR(__xludf.DUMMYFUNCTION("""COMPUTED_VALUE"""),"Sin Ficha")</f>
        <v>Sin Ficha</v>
      </c>
      <c r="BF410" s="97"/>
      <c r="BG410" s="97" t="str">
        <f>IFERROR(__xludf.DUMMYFUNCTION("""COMPUTED_VALUE"""),"Discontinuo")</f>
        <v>Discontinuo</v>
      </c>
    </row>
    <row r="411">
      <c r="A411" s="97">
        <f>IFERROR(__xludf.DUMMYFUNCTION("""COMPUTED_VALUE"""),6016.0)</f>
        <v>6016</v>
      </c>
      <c r="B411" s="97" t="str">
        <f>IFERROR(__xludf.DUMMYFUNCTION("""COMPUTED_VALUE"""),"DEXIA I")</f>
        <v>DEXIA I</v>
      </c>
      <c r="C411" s="97" t="str">
        <f>IFERROR(__xludf.DUMMYFUNCTION("""COMPUTED_VALUE"""),"APLIQUE DEXIA I LEUK")</f>
        <v>APLIQUE DEXIA I LEUK</v>
      </c>
      <c r="D411" s="97">
        <f>IFERROR(__xludf.DUMMYFUNCTION("""COMPUTED_VALUE"""),7.798328759795E12)</f>
        <v>7798328759795</v>
      </c>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t="str">
        <f>IFERROR(__xludf.DUMMYFUNCTION("""COMPUTED_VALUE"""),"IP20")</f>
        <v>IP20</v>
      </c>
      <c r="AE411" s="97"/>
      <c r="AF411" s="97" t="str">
        <f>IFERROR(__xludf.DUMMYFUNCTION("""COMPUTED_VALUE"""),"Aplicar")</f>
        <v>Aplicar</v>
      </c>
      <c r="AG411" s="97"/>
      <c r="AH411" s="97"/>
      <c r="AI411" s="97"/>
      <c r="AJ411" s="97"/>
      <c r="AK411" s="97"/>
      <c r="AL411" s="97"/>
      <c r="AM411" s="97"/>
      <c r="AN411" s="97"/>
      <c r="AO411" s="97" t="str">
        <f>IFERROR(__xludf.DUMMYFUNCTION("""COMPUTED_VALUE"""),"1 Año")</f>
        <v>1 Año</v>
      </c>
      <c r="AP411" s="97"/>
      <c r="AQ411" s="97"/>
      <c r="AR411" s="97"/>
      <c r="AS411" s="97"/>
      <c r="AT411" s="97"/>
      <c r="AU411" s="97"/>
      <c r="AV411" s="97" t="str">
        <f>IFERROR(__xludf.DUMMYFUNCTION("""COMPUTED_VALUE"""),"Aplique")</f>
        <v>Aplique</v>
      </c>
      <c r="AW411" s="97" t="str">
        <f>IFERROR(__xludf.DUMMYFUNCTION("""COMPUTED_VALUE"""),"De Techo")</f>
        <v>De Techo</v>
      </c>
      <c r="AX411" s="97" t="str">
        <f>IFERROR(__xludf.DUMMYFUNCTION("""COMPUTED_VALUE"""),"Interior")</f>
        <v>Interior</v>
      </c>
      <c r="AY411" s="97"/>
      <c r="AZ411" s="97"/>
      <c r="BA411" s="97"/>
      <c r="BB411" s="97"/>
      <c r="BC411" s="97"/>
      <c r="BD411" s="97" t="str">
        <f>IFERROR(__xludf.DUMMYFUNCTION("""COMPUTED_VALUE"""),"DEXIA")</f>
        <v>DEXIA</v>
      </c>
      <c r="BE411" s="97" t="str">
        <f>IFERROR(__xludf.DUMMYFUNCTION("""COMPUTED_VALUE"""),"Sin Ficha")</f>
        <v>Sin Ficha</v>
      </c>
      <c r="BF411" s="97"/>
      <c r="BG411" s="97" t="str">
        <f>IFERROR(__xludf.DUMMYFUNCTION("""COMPUTED_VALUE"""),"Discontinuo")</f>
        <v>Discontinuo</v>
      </c>
    </row>
    <row r="412">
      <c r="A412" s="97">
        <f>IFERROR(__xludf.DUMMYFUNCTION("""COMPUTED_VALUE"""),6017.0)</f>
        <v>6017</v>
      </c>
      <c r="B412" s="97" t="str">
        <f>IFERROR(__xludf.DUMMYFUNCTION("""COMPUTED_VALUE"""),"DEXIA II")</f>
        <v>DEXIA II</v>
      </c>
      <c r="C412" s="97" t="str">
        <f>IFERROR(__xludf.DUMMYFUNCTION("""COMPUTED_VALUE"""),"APLIQUE DEXIA II LEUK")</f>
        <v>APLIQUE DEXIA II LEUK</v>
      </c>
      <c r="D412" s="97">
        <f>IFERROR(__xludf.DUMMYFUNCTION("""COMPUTED_VALUE"""),7.798328759801E12)</f>
        <v>7798328759801</v>
      </c>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t="str">
        <f>IFERROR(__xludf.DUMMYFUNCTION("""COMPUTED_VALUE"""),"IP20")</f>
        <v>IP20</v>
      </c>
      <c r="AE412" s="97"/>
      <c r="AF412" s="97" t="str">
        <f>IFERROR(__xludf.DUMMYFUNCTION("""COMPUTED_VALUE"""),"Aplicar")</f>
        <v>Aplicar</v>
      </c>
      <c r="AG412" s="97"/>
      <c r="AH412" s="97"/>
      <c r="AI412" s="97"/>
      <c r="AJ412" s="97"/>
      <c r="AK412" s="97"/>
      <c r="AL412" s="97"/>
      <c r="AM412" s="97"/>
      <c r="AN412" s="97"/>
      <c r="AO412" s="97" t="str">
        <f>IFERROR(__xludf.DUMMYFUNCTION("""COMPUTED_VALUE"""),"1 Año")</f>
        <v>1 Año</v>
      </c>
      <c r="AP412" s="97"/>
      <c r="AQ412" s="97"/>
      <c r="AR412" s="97"/>
      <c r="AS412" s="97"/>
      <c r="AT412" s="97"/>
      <c r="AU412" s="97"/>
      <c r="AV412" s="97" t="str">
        <f>IFERROR(__xludf.DUMMYFUNCTION("""COMPUTED_VALUE"""),"Aplique")</f>
        <v>Aplique</v>
      </c>
      <c r="AW412" s="97" t="str">
        <f>IFERROR(__xludf.DUMMYFUNCTION("""COMPUTED_VALUE"""),"De Techo")</f>
        <v>De Techo</v>
      </c>
      <c r="AX412" s="97" t="str">
        <f>IFERROR(__xludf.DUMMYFUNCTION("""COMPUTED_VALUE"""),"Interior")</f>
        <v>Interior</v>
      </c>
      <c r="AY412" s="97"/>
      <c r="AZ412" s="97"/>
      <c r="BA412" s="97"/>
      <c r="BB412" s="97"/>
      <c r="BC412" s="97"/>
      <c r="BD412" s="97" t="str">
        <f>IFERROR(__xludf.DUMMYFUNCTION("""COMPUTED_VALUE"""),"DEXIA")</f>
        <v>DEXIA</v>
      </c>
      <c r="BE412" s="97" t="str">
        <f>IFERROR(__xludf.DUMMYFUNCTION("""COMPUTED_VALUE"""),"Sin Ficha")</f>
        <v>Sin Ficha</v>
      </c>
      <c r="BF412" s="97"/>
      <c r="BG412" s="97" t="str">
        <f>IFERROR(__xludf.DUMMYFUNCTION("""COMPUTED_VALUE"""),"Discontinuo")</f>
        <v>Discontinuo</v>
      </c>
    </row>
    <row r="413">
      <c r="A413" s="97">
        <f>IFERROR(__xludf.DUMMYFUNCTION("""COMPUTED_VALUE"""),6018.0)</f>
        <v>6018</v>
      </c>
      <c r="B413" s="97" t="str">
        <f>IFERROR(__xludf.DUMMYFUNCTION("""COMPUTED_VALUE"""),"DEXIA III")</f>
        <v>DEXIA III</v>
      </c>
      <c r="C413" s="97" t="str">
        <f>IFERROR(__xludf.DUMMYFUNCTION("""COMPUTED_VALUE"""),"APLIQUE DEXIA III LEUK")</f>
        <v>APLIQUE DEXIA III LEUK</v>
      </c>
      <c r="D413" s="97">
        <f>IFERROR(__xludf.DUMMYFUNCTION("""COMPUTED_VALUE"""),7.798328759818E12)</f>
        <v>7798328759818</v>
      </c>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t="str">
        <f>IFERROR(__xludf.DUMMYFUNCTION("""COMPUTED_VALUE"""),"IP20")</f>
        <v>IP20</v>
      </c>
      <c r="AE413" s="97"/>
      <c r="AF413" s="97" t="str">
        <f>IFERROR(__xludf.DUMMYFUNCTION("""COMPUTED_VALUE"""),"Aplicar")</f>
        <v>Aplicar</v>
      </c>
      <c r="AG413" s="97"/>
      <c r="AH413" s="97"/>
      <c r="AI413" s="97"/>
      <c r="AJ413" s="97"/>
      <c r="AK413" s="97"/>
      <c r="AL413" s="97"/>
      <c r="AM413" s="97"/>
      <c r="AN413" s="97"/>
      <c r="AO413" s="97" t="str">
        <f>IFERROR(__xludf.DUMMYFUNCTION("""COMPUTED_VALUE"""),"1 Año")</f>
        <v>1 Año</v>
      </c>
      <c r="AP413" s="97"/>
      <c r="AQ413" s="97"/>
      <c r="AR413" s="97"/>
      <c r="AS413" s="97"/>
      <c r="AT413" s="97"/>
      <c r="AU413" s="97"/>
      <c r="AV413" s="97" t="str">
        <f>IFERROR(__xludf.DUMMYFUNCTION("""COMPUTED_VALUE"""),"Aplique")</f>
        <v>Aplique</v>
      </c>
      <c r="AW413" s="97" t="str">
        <f>IFERROR(__xludf.DUMMYFUNCTION("""COMPUTED_VALUE"""),"De Techo")</f>
        <v>De Techo</v>
      </c>
      <c r="AX413" s="97" t="str">
        <f>IFERROR(__xludf.DUMMYFUNCTION("""COMPUTED_VALUE"""),"Interior")</f>
        <v>Interior</v>
      </c>
      <c r="AY413" s="97"/>
      <c r="AZ413" s="97"/>
      <c r="BA413" s="97"/>
      <c r="BB413" s="97"/>
      <c r="BC413" s="97"/>
      <c r="BD413" s="97" t="str">
        <f>IFERROR(__xludf.DUMMYFUNCTION("""COMPUTED_VALUE"""),"DEXIA")</f>
        <v>DEXIA</v>
      </c>
      <c r="BE413" s="97" t="str">
        <f>IFERROR(__xludf.DUMMYFUNCTION("""COMPUTED_VALUE"""),"Sin Ficha")</f>
        <v>Sin Ficha</v>
      </c>
      <c r="BF413" s="97"/>
      <c r="BG413" s="97" t="str">
        <f>IFERROR(__xludf.DUMMYFUNCTION("""COMPUTED_VALUE"""),"Discontinuo")</f>
        <v>Discontinuo</v>
      </c>
    </row>
    <row r="414">
      <c r="A414" s="97">
        <f>IFERROR(__xludf.DUMMYFUNCTION("""COMPUTED_VALUE"""),6019.0)</f>
        <v>6019</v>
      </c>
      <c r="B414" s="97" t="str">
        <f>IFERROR(__xludf.DUMMYFUNCTION("""COMPUTED_VALUE"""),"JORIS I BL")</f>
        <v>JORIS I BL</v>
      </c>
      <c r="C414" s="97" t="str">
        <f>IFERROR(__xludf.DUMMYFUNCTION("""COMPUTED_VALUE"""),"APLIQUE JORIS I BLANCO LEUK")</f>
        <v>APLIQUE JORIS I BLANCO LEUK</v>
      </c>
      <c r="D414" s="97">
        <f>IFERROR(__xludf.DUMMYFUNCTION("""COMPUTED_VALUE"""),7.798328759825E12)</f>
        <v>7798328759825</v>
      </c>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t="str">
        <f>IFERROR(__xludf.DUMMYFUNCTION("""COMPUTED_VALUE"""),"IP20")</f>
        <v>IP20</v>
      </c>
      <c r="AE414" s="97"/>
      <c r="AF414" s="97" t="str">
        <f>IFERROR(__xludf.DUMMYFUNCTION("""COMPUTED_VALUE"""),"Aplicar")</f>
        <v>Aplicar</v>
      </c>
      <c r="AG414" s="97"/>
      <c r="AH414" s="97"/>
      <c r="AI414" s="97"/>
      <c r="AJ414" s="97"/>
      <c r="AK414" s="97"/>
      <c r="AL414" s="97"/>
      <c r="AM414" s="97"/>
      <c r="AN414" s="97"/>
      <c r="AO414" s="97" t="str">
        <f>IFERROR(__xludf.DUMMYFUNCTION("""COMPUTED_VALUE"""),"1 Año")</f>
        <v>1 Año</v>
      </c>
      <c r="AP414" s="97"/>
      <c r="AQ414" s="97"/>
      <c r="AR414" s="97"/>
      <c r="AS414" s="97"/>
      <c r="AT414" s="97"/>
      <c r="AU414" s="97"/>
      <c r="AV414" s="97" t="str">
        <f>IFERROR(__xludf.DUMMYFUNCTION("""COMPUTED_VALUE"""),"Aplique")</f>
        <v>Aplique</v>
      </c>
      <c r="AW414" s="97" t="str">
        <f>IFERROR(__xludf.DUMMYFUNCTION("""COMPUTED_VALUE"""),"De Techo")</f>
        <v>De Techo</v>
      </c>
      <c r="AX414" s="97" t="str">
        <f>IFERROR(__xludf.DUMMYFUNCTION("""COMPUTED_VALUE"""),"Interior")</f>
        <v>Interior</v>
      </c>
      <c r="AY414" s="97"/>
      <c r="AZ414" s="97"/>
      <c r="BA414" s="97"/>
      <c r="BB414" s="97"/>
      <c r="BC414" s="97"/>
      <c r="BD414" s="97" t="str">
        <f>IFERROR(__xludf.DUMMYFUNCTION("""COMPUTED_VALUE"""),"JORIS")</f>
        <v>JORIS</v>
      </c>
      <c r="BE414" s="97" t="str">
        <f>IFERROR(__xludf.DUMMYFUNCTION("""COMPUTED_VALUE"""),"Sin Ficha")</f>
        <v>Sin Ficha</v>
      </c>
      <c r="BF414" s="97"/>
      <c r="BG414" s="97" t="str">
        <f>IFERROR(__xludf.DUMMYFUNCTION("""COMPUTED_VALUE"""),"Discontinuo")</f>
        <v>Discontinuo</v>
      </c>
    </row>
    <row r="415">
      <c r="A415" s="97">
        <f>IFERROR(__xludf.DUMMYFUNCTION("""COMPUTED_VALUE"""),6020.0)</f>
        <v>6020</v>
      </c>
      <c r="B415" s="97" t="str">
        <f>IFERROR(__xludf.DUMMYFUNCTION("""COMPUTED_VALUE"""),"JORIS II BL")</f>
        <v>JORIS II BL</v>
      </c>
      <c r="C415" s="97" t="str">
        <f>IFERROR(__xludf.DUMMYFUNCTION("""COMPUTED_VALUE"""),"APLIQUE JORIS II BLANCO LEUK")</f>
        <v>APLIQUE JORIS II BLANCO LEUK</v>
      </c>
      <c r="D415" s="97">
        <f>IFERROR(__xludf.DUMMYFUNCTION("""COMPUTED_VALUE"""),7.798328759832E12)</f>
        <v>7798328759832</v>
      </c>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t="str">
        <f>IFERROR(__xludf.DUMMYFUNCTION("""COMPUTED_VALUE"""),"IP20")</f>
        <v>IP20</v>
      </c>
      <c r="AE415" s="97"/>
      <c r="AF415" s="97" t="str">
        <f>IFERROR(__xludf.DUMMYFUNCTION("""COMPUTED_VALUE"""),"Aplicar")</f>
        <v>Aplicar</v>
      </c>
      <c r="AG415" s="97"/>
      <c r="AH415" s="97"/>
      <c r="AI415" s="97"/>
      <c r="AJ415" s="97"/>
      <c r="AK415" s="97"/>
      <c r="AL415" s="97"/>
      <c r="AM415" s="97"/>
      <c r="AN415" s="97"/>
      <c r="AO415" s="97" t="str">
        <f>IFERROR(__xludf.DUMMYFUNCTION("""COMPUTED_VALUE"""),"1 Año")</f>
        <v>1 Año</v>
      </c>
      <c r="AP415" s="97"/>
      <c r="AQ415" s="97"/>
      <c r="AR415" s="97"/>
      <c r="AS415" s="97"/>
      <c r="AT415" s="97"/>
      <c r="AU415" s="97"/>
      <c r="AV415" s="97" t="str">
        <f>IFERROR(__xludf.DUMMYFUNCTION("""COMPUTED_VALUE"""),"Aplique")</f>
        <v>Aplique</v>
      </c>
      <c r="AW415" s="97" t="str">
        <f>IFERROR(__xludf.DUMMYFUNCTION("""COMPUTED_VALUE"""),"De Techo")</f>
        <v>De Techo</v>
      </c>
      <c r="AX415" s="97" t="str">
        <f>IFERROR(__xludf.DUMMYFUNCTION("""COMPUTED_VALUE"""),"Interior")</f>
        <v>Interior</v>
      </c>
      <c r="AY415" s="97"/>
      <c r="AZ415" s="97"/>
      <c r="BA415" s="97"/>
      <c r="BB415" s="97"/>
      <c r="BC415" s="97"/>
      <c r="BD415" s="97" t="str">
        <f>IFERROR(__xludf.DUMMYFUNCTION("""COMPUTED_VALUE"""),"JORIS")</f>
        <v>JORIS</v>
      </c>
      <c r="BE415" s="97" t="str">
        <f>IFERROR(__xludf.DUMMYFUNCTION("""COMPUTED_VALUE"""),"Sin Ficha")</f>
        <v>Sin Ficha</v>
      </c>
      <c r="BF415" s="97"/>
      <c r="BG415" s="97" t="str">
        <f>IFERROR(__xludf.DUMMYFUNCTION("""COMPUTED_VALUE"""),"Discontinuo")</f>
        <v>Discontinuo</v>
      </c>
    </row>
    <row r="416">
      <c r="A416" s="97">
        <f>IFERROR(__xludf.DUMMYFUNCTION("""COMPUTED_VALUE"""),6021.0)</f>
        <v>6021</v>
      </c>
      <c r="B416" s="97" t="str">
        <f>IFERROR(__xludf.DUMMYFUNCTION("""COMPUTED_VALUE"""),"JORIS III BL")</f>
        <v>JORIS III BL</v>
      </c>
      <c r="C416" s="97" t="str">
        <f>IFERROR(__xludf.DUMMYFUNCTION("""COMPUTED_VALUE"""),"APLIQUE JORIS III BLANCO LEUK")</f>
        <v>APLIQUE JORIS III BLANCO LEUK</v>
      </c>
      <c r="D416" s="97">
        <f>IFERROR(__xludf.DUMMYFUNCTION("""COMPUTED_VALUE"""),7.798328759849E12)</f>
        <v>7798328759849</v>
      </c>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t="str">
        <f>IFERROR(__xludf.DUMMYFUNCTION("""COMPUTED_VALUE"""),"IP20")</f>
        <v>IP20</v>
      </c>
      <c r="AE416" s="97"/>
      <c r="AF416" s="97" t="str">
        <f>IFERROR(__xludf.DUMMYFUNCTION("""COMPUTED_VALUE"""),"Aplicar")</f>
        <v>Aplicar</v>
      </c>
      <c r="AG416" s="97"/>
      <c r="AH416" s="97"/>
      <c r="AI416" s="97"/>
      <c r="AJ416" s="97"/>
      <c r="AK416" s="97"/>
      <c r="AL416" s="97"/>
      <c r="AM416" s="97"/>
      <c r="AN416" s="97"/>
      <c r="AO416" s="97" t="str">
        <f>IFERROR(__xludf.DUMMYFUNCTION("""COMPUTED_VALUE"""),"1 Año")</f>
        <v>1 Año</v>
      </c>
      <c r="AP416" s="97"/>
      <c r="AQ416" s="97"/>
      <c r="AR416" s="97"/>
      <c r="AS416" s="97"/>
      <c r="AT416" s="97"/>
      <c r="AU416" s="97"/>
      <c r="AV416" s="97" t="str">
        <f>IFERROR(__xludf.DUMMYFUNCTION("""COMPUTED_VALUE"""),"Aplique")</f>
        <v>Aplique</v>
      </c>
      <c r="AW416" s="97" t="str">
        <f>IFERROR(__xludf.DUMMYFUNCTION("""COMPUTED_VALUE"""),"De Techo")</f>
        <v>De Techo</v>
      </c>
      <c r="AX416" s="97" t="str">
        <f>IFERROR(__xludf.DUMMYFUNCTION("""COMPUTED_VALUE"""),"Interior")</f>
        <v>Interior</v>
      </c>
      <c r="AY416" s="97"/>
      <c r="AZ416" s="97"/>
      <c r="BA416" s="97"/>
      <c r="BB416" s="97"/>
      <c r="BC416" s="97"/>
      <c r="BD416" s="97" t="str">
        <f>IFERROR(__xludf.DUMMYFUNCTION("""COMPUTED_VALUE"""),"JORIS")</f>
        <v>JORIS</v>
      </c>
      <c r="BE416" s="97" t="str">
        <f>IFERROR(__xludf.DUMMYFUNCTION("""COMPUTED_VALUE"""),"Sin Ficha")</f>
        <v>Sin Ficha</v>
      </c>
      <c r="BF416" s="97"/>
      <c r="BG416" s="97" t="str">
        <f>IFERROR(__xludf.DUMMYFUNCTION("""COMPUTED_VALUE"""),"Discontinuo")</f>
        <v>Discontinuo</v>
      </c>
    </row>
    <row r="417">
      <c r="A417" s="97">
        <f>IFERROR(__xludf.DUMMYFUNCTION("""COMPUTED_VALUE"""),6022.0)</f>
        <v>6022</v>
      </c>
      <c r="B417" s="97" t="str">
        <f>IFERROR(__xludf.DUMMYFUNCTION("""COMPUTED_VALUE"""),"JORIS IV BL")</f>
        <v>JORIS IV BL</v>
      </c>
      <c r="C417" s="97" t="str">
        <f>IFERROR(__xludf.DUMMYFUNCTION("""COMPUTED_VALUE"""),"APLIQUE JORIS IV BLANCO LEUK")</f>
        <v>APLIQUE JORIS IV BLANCO LEUK</v>
      </c>
      <c r="D417" s="97">
        <f>IFERROR(__xludf.DUMMYFUNCTION("""COMPUTED_VALUE"""),7.79328759856E11)</f>
        <v>779328759856</v>
      </c>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t="str">
        <f>IFERROR(__xludf.DUMMYFUNCTION("""COMPUTED_VALUE"""),"IP20")</f>
        <v>IP20</v>
      </c>
      <c r="AE417" s="97"/>
      <c r="AF417" s="97" t="str">
        <f>IFERROR(__xludf.DUMMYFUNCTION("""COMPUTED_VALUE"""),"Aplicar")</f>
        <v>Aplicar</v>
      </c>
      <c r="AG417" s="97"/>
      <c r="AH417" s="97"/>
      <c r="AI417" s="97"/>
      <c r="AJ417" s="97"/>
      <c r="AK417" s="97"/>
      <c r="AL417" s="97"/>
      <c r="AM417" s="97"/>
      <c r="AN417" s="97"/>
      <c r="AO417" s="97" t="str">
        <f>IFERROR(__xludf.DUMMYFUNCTION("""COMPUTED_VALUE"""),"1 Año")</f>
        <v>1 Año</v>
      </c>
      <c r="AP417" s="97"/>
      <c r="AQ417" s="97"/>
      <c r="AR417" s="97"/>
      <c r="AS417" s="97"/>
      <c r="AT417" s="97"/>
      <c r="AU417" s="97"/>
      <c r="AV417" s="97" t="str">
        <f>IFERROR(__xludf.DUMMYFUNCTION("""COMPUTED_VALUE"""),"Aplique")</f>
        <v>Aplique</v>
      </c>
      <c r="AW417" s="97" t="str">
        <f>IFERROR(__xludf.DUMMYFUNCTION("""COMPUTED_VALUE"""),"De Techo")</f>
        <v>De Techo</v>
      </c>
      <c r="AX417" s="97" t="str">
        <f>IFERROR(__xludf.DUMMYFUNCTION("""COMPUTED_VALUE"""),"Interior")</f>
        <v>Interior</v>
      </c>
      <c r="AY417" s="97"/>
      <c r="AZ417" s="97"/>
      <c r="BA417" s="97"/>
      <c r="BB417" s="97"/>
      <c r="BC417" s="97"/>
      <c r="BD417" s="97" t="str">
        <f>IFERROR(__xludf.DUMMYFUNCTION("""COMPUTED_VALUE"""),"JORIS")</f>
        <v>JORIS</v>
      </c>
      <c r="BE417" s="97" t="str">
        <f>IFERROR(__xludf.DUMMYFUNCTION("""COMPUTED_VALUE"""),"Sin Ficha")</f>
        <v>Sin Ficha</v>
      </c>
      <c r="BF417" s="97"/>
      <c r="BG417" s="97" t="str">
        <f>IFERROR(__xludf.DUMMYFUNCTION("""COMPUTED_VALUE"""),"Discontinuo")</f>
        <v>Discontinuo</v>
      </c>
    </row>
    <row r="418">
      <c r="A418" s="97">
        <f>IFERROR(__xludf.DUMMYFUNCTION("""COMPUTED_VALUE"""),6023.0)</f>
        <v>6023</v>
      </c>
      <c r="B418" s="97" t="str">
        <f>IFERROR(__xludf.DUMMYFUNCTION("""COMPUTED_VALUE"""),"JORIS I NG")</f>
        <v>JORIS I NG</v>
      </c>
      <c r="C418" s="97" t="str">
        <f>IFERROR(__xludf.DUMMYFUNCTION("""COMPUTED_VALUE"""),"APLIQUE JORIS I NEGRO LEUK")</f>
        <v>APLIQUE JORIS I NEGRO LEUK</v>
      </c>
      <c r="D418" s="97">
        <f>IFERROR(__xludf.DUMMYFUNCTION("""COMPUTED_VALUE"""),7.798328759863E12)</f>
        <v>7798328759863</v>
      </c>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t="str">
        <f>IFERROR(__xludf.DUMMYFUNCTION("""COMPUTED_VALUE"""),"IP20")</f>
        <v>IP20</v>
      </c>
      <c r="AE418" s="97"/>
      <c r="AF418" s="97" t="str">
        <f>IFERROR(__xludf.DUMMYFUNCTION("""COMPUTED_VALUE"""),"Aplicar")</f>
        <v>Aplicar</v>
      </c>
      <c r="AG418" s="97"/>
      <c r="AH418" s="97"/>
      <c r="AI418" s="97"/>
      <c r="AJ418" s="97"/>
      <c r="AK418" s="97"/>
      <c r="AL418" s="97"/>
      <c r="AM418" s="97"/>
      <c r="AN418" s="97"/>
      <c r="AO418" s="97" t="str">
        <f>IFERROR(__xludf.DUMMYFUNCTION("""COMPUTED_VALUE"""),"1 Año")</f>
        <v>1 Año</v>
      </c>
      <c r="AP418" s="97"/>
      <c r="AQ418" s="97"/>
      <c r="AR418" s="97"/>
      <c r="AS418" s="97"/>
      <c r="AT418" s="97"/>
      <c r="AU418" s="97"/>
      <c r="AV418" s="97" t="str">
        <f>IFERROR(__xludf.DUMMYFUNCTION("""COMPUTED_VALUE"""),"Aplique")</f>
        <v>Aplique</v>
      </c>
      <c r="AW418" s="97" t="str">
        <f>IFERROR(__xludf.DUMMYFUNCTION("""COMPUTED_VALUE"""),"De Techo")</f>
        <v>De Techo</v>
      </c>
      <c r="AX418" s="97" t="str">
        <f>IFERROR(__xludf.DUMMYFUNCTION("""COMPUTED_VALUE"""),"Interior")</f>
        <v>Interior</v>
      </c>
      <c r="AY418" s="97"/>
      <c r="AZ418" s="97"/>
      <c r="BA418" s="97"/>
      <c r="BB418" s="97"/>
      <c r="BC418" s="97"/>
      <c r="BD418" s="97" t="str">
        <f>IFERROR(__xludf.DUMMYFUNCTION("""COMPUTED_VALUE"""),"JORIS")</f>
        <v>JORIS</v>
      </c>
      <c r="BE418" s="97" t="str">
        <f>IFERROR(__xludf.DUMMYFUNCTION("""COMPUTED_VALUE"""),"Sin Ficha")</f>
        <v>Sin Ficha</v>
      </c>
      <c r="BF418" s="97"/>
      <c r="BG418" s="97" t="str">
        <f>IFERROR(__xludf.DUMMYFUNCTION("""COMPUTED_VALUE"""),"Discontinuo")</f>
        <v>Discontinuo</v>
      </c>
    </row>
    <row r="419">
      <c r="A419" s="97">
        <f>IFERROR(__xludf.DUMMYFUNCTION("""COMPUTED_VALUE"""),6024.0)</f>
        <v>6024</v>
      </c>
      <c r="B419" s="97" t="str">
        <f>IFERROR(__xludf.DUMMYFUNCTION("""COMPUTED_VALUE"""),"JORIS II NG")</f>
        <v>JORIS II NG</v>
      </c>
      <c r="C419" s="97" t="str">
        <f>IFERROR(__xludf.DUMMYFUNCTION("""COMPUTED_VALUE"""),"APLIQUE JORIS II NEGRO LEUK")</f>
        <v>APLIQUE JORIS II NEGRO LEUK</v>
      </c>
      <c r="D419" s="97">
        <f>IFERROR(__xludf.DUMMYFUNCTION("""COMPUTED_VALUE"""),7.79832875987E12)</f>
        <v>7798328759870</v>
      </c>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t="str">
        <f>IFERROR(__xludf.DUMMYFUNCTION("""COMPUTED_VALUE"""),"IP20")</f>
        <v>IP20</v>
      </c>
      <c r="AE419" s="97"/>
      <c r="AF419" s="97" t="str">
        <f>IFERROR(__xludf.DUMMYFUNCTION("""COMPUTED_VALUE"""),"Aplicar")</f>
        <v>Aplicar</v>
      </c>
      <c r="AG419" s="97"/>
      <c r="AH419" s="97"/>
      <c r="AI419" s="97"/>
      <c r="AJ419" s="97"/>
      <c r="AK419" s="97"/>
      <c r="AL419" s="97"/>
      <c r="AM419" s="97"/>
      <c r="AN419" s="97"/>
      <c r="AO419" s="97" t="str">
        <f>IFERROR(__xludf.DUMMYFUNCTION("""COMPUTED_VALUE"""),"1 Año")</f>
        <v>1 Año</v>
      </c>
      <c r="AP419" s="97"/>
      <c r="AQ419" s="97"/>
      <c r="AR419" s="97"/>
      <c r="AS419" s="97"/>
      <c r="AT419" s="97"/>
      <c r="AU419" s="97"/>
      <c r="AV419" s="97" t="str">
        <f>IFERROR(__xludf.DUMMYFUNCTION("""COMPUTED_VALUE"""),"Aplique")</f>
        <v>Aplique</v>
      </c>
      <c r="AW419" s="97" t="str">
        <f>IFERROR(__xludf.DUMMYFUNCTION("""COMPUTED_VALUE"""),"De Techo")</f>
        <v>De Techo</v>
      </c>
      <c r="AX419" s="97" t="str">
        <f>IFERROR(__xludf.DUMMYFUNCTION("""COMPUTED_VALUE"""),"Interior")</f>
        <v>Interior</v>
      </c>
      <c r="AY419" s="97"/>
      <c r="AZ419" s="97"/>
      <c r="BA419" s="97"/>
      <c r="BB419" s="97"/>
      <c r="BC419" s="97"/>
      <c r="BD419" s="97" t="str">
        <f>IFERROR(__xludf.DUMMYFUNCTION("""COMPUTED_VALUE"""),"JORIS")</f>
        <v>JORIS</v>
      </c>
      <c r="BE419" s="97" t="str">
        <f>IFERROR(__xludf.DUMMYFUNCTION("""COMPUTED_VALUE"""),"Sin Ficha")</f>
        <v>Sin Ficha</v>
      </c>
      <c r="BF419" s="97"/>
      <c r="BG419" s="97" t="str">
        <f>IFERROR(__xludf.DUMMYFUNCTION("""COMPUTED_VALUE"""),"Discontinuo")</f>
        <v>Discontinuo</v>
      </c>
    </row>
    <row r="420">
      <c r="A420" s="97">
        <f>IFERROR(__xludf.DUMMYFUNCTION("""COMPUTED_VALUE"""),6025.0)</f>
        <v>6025</v>
      </c>
      <c r="B420" s="97" t="str">
        <f>IFERROR(__xludf.DUMMYFUNCTION("""COMPUTED_VALUE"""),"JORIS III NG")</f>
        <v>JORIS III NG</v>
      </c>
      <c r="C420" s="97" t="str">
        <f>IFERROR(__xludf.DUMMYFUNCTION("""COMPUTED_VALUE"""),"APLIQUE JORIS III NEGRO LEUK")</f>
        <v>APLIQUE JORIS III NEGRO LEUK</v>
      </c>
      <c r="D420" s="97">
        <f>IFERROR(__xludf.DUMMYFUNCTION("""COMPUTED_VALUE"""),7.798328759887E12)</f>
        <v>7798328759887</v>
      </c>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t="str">
        <f>IFERROR(__xludf.DUMMYFUNCTION("""COMPUTED_VALUE"""),"IP20")</f>
        <v>IP20</v>
      </c>
      <c r="AE420" s="97"/>
      <c r="AF420" s="97" t="str">
        <f>IFERROR(__xludf.DUMMYFUNCTION("""COMPUTED_VALUE"""),"Aplicar")</f>
        <v>Aplicar</v>
      </c>
      <c r="AG420" s="97"/>
      <c r="AH420" s="97"/>
      <c r="AI420" s="97"/>
      <c r="AJ420" s="97"/>
      <c r="AK420" s="97"/>
      <c r="AL420" s="97"/>
      <c r="AM420" s="97"/>
      <c r="AN420" s="97"/>
      <c r="AO420" s="97" t="str">
        <f>IFERROR(__xludf.DUMMYFUNCTION("""COMPUTED_VALUE"""),"1 Año")</f>
        <v>1 Año</v>
      </c>
      <c r="AP420" s="97"/>
      <c r="AQ420" s="97"/>
      <c r="AR420" s="97"/>
      <c r="AS420" s="97"/>
      <c r="AT420" s="97"/>
      <c r="AU420" s="97"/>
      <c r="AV420" s="97" t="str">
        <f>IFERROR(__xludf.DUMMYFUNCTION("""COMPUTED_VALUE"""),"Aplique")</f>
        <v>Aplique</v>
      </c>
      <c r="AW420" s="97" t="str">
        <f>IFERROR(__xludf.DUMMYFUNCTION("""COMPUTED_VALUE"""),"De Techo")</f>
        <v>De Techo</v>
      </c>
      <c r="AX420" s="97" t="str">
        <f>IFERROR(__xludf.DUMMYFUNCTION("""COMPUTED_VALUE"""),"Interior")</f>
        <v>Interior</v>
      </c>
      <c r="AY420" s="97"/>
      <c r="AZ420" s="97"/>
      <c r="BA420" s="97"/>
      <c r="BB420" s="97"/>
      <c r="BC420" s="97"/>
      <c r="BD420" s="97" t="str">
        <f>IFERROR(__xludf.DUMMYFUNCTION("""COMPUTED_VALUE"""),"JORIS")</f>
        <v>JORIS</v>
      </c>
      <c r="BE420" s="97" t="str">
        <f>IFERROR(__xludf.DUMMYFUNCTION("""COMPUTED_VALUE"""),"Sin Ficha")</f>
        <v>Sin Ficha</v>
      </c>
      <c r="BF420" s="97"/>
      <c r="BG420" s="97" t="str">
        <f>IFERROR(__xludf.DUMMYFUNCTION("""COMPUTED_VALUE"""),"Discontinuo")</f>
        <v>Discontinuo</v>
      </c>
    </row>
    <row r="421">
      <c r="A421" s="97">
        <f>IFERROR(__xludf.DUMMYFUNCTION("""COMPUTED_VALUE"""),6026.0)</f>
        <v>6026</v>
      </c>
      <c r="B421" s="97" t="str">
        <f>IFERROR(__xludf.DUMMYFUNCTION("""COMPUTED_VALUE"""),"JORIS IV NG")</f>
        <v>JORIS IV NG</v>
      </c>
      <c r="C421" s="97" t="str">
        <f>IFERROR(__xludf.DUMMYFUNCTION("""COMPUTED_VALUE"""),"APLIQUE JORIS IV NEGRO LEUK")</f>
        <v>APLIQUE JORIS IV NEGRO LEUK</v>
      </c>
      <c r="D421" s="97">
        <f>IFERROR(__xludf.DUMMYFUNCTION("""COMPUTED_VALUE"""),7.798328759894E12)</f>
        <v>7798328759894</v>
      </c>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t="str">
        <f>IFERROR(__xludf.DUMMYFUNCTION("""COMPUTED_VALUE"""),"IP20")</f>
        <v>IP20</v>
      </c>
      <c r="AE421" s="97"/>
      <c r="AF421" s="97" t="str">
        <f>IFERROR(__xludf.DUMMYFUNCTION("""COMPUTED_VALUE"""),"Aplicar")</f>
        <v>Aplicar</v>
      </c>
      <c r="AG421" s="97"/>
      <c r="AH421" s="97"/>
      <c r="AI421" s="97"/>
      <c r="AJ421" s="97"/>
      <c r="AK421" s="97"/>
      <c r="AL421" s="97"/>
      <c r="AM421" s="97"/>
      <c r="AN421" s="97"/>
      <c r="AO421" s="97" t="str">
        <f>IFERROR(__xludf.DUMMYFUNCTION("""COMPUTED_VALUE"""),"1 Año")</f>
        <v>1 Año</v>
      </c>
      <c r="AP421" s="97"/>
      <c r="AQ421" s="97"/>
      <c r="AR421" s="97"/>
      <c r="AS421" s="97"/>
      <c r="AT421" s="97"/>
      <c r="AU421" s="97"/>
      <c r="AV421" s="97" t="str">
        <f>IFERROR(__xludf.DUMMYFUNCTION("""COMPUTED_VALUE"""),"Aplique")</f>
        <v>Aplique</v>
      </c>
      <c r="AW421" s="97" t="str">
        <f>IFERROR(__xludf.DUMMYFUNCTION("""COMPUTED_VALUE"""),"De Techo")</f>
        <v>De Techo</v>
      </c>
      <c r="AX421" s="97" t="str">
        <f>IFERROR(__xludf.DUMMYFUNCTION("""COMPUTED_VALUE"""),"Interior")</f>
        <v>Interior</v>
      </c>
      <c r="AY421" s="97"/>
      <c r="AZ421" s="97"/>
      <c r="BA421" s="97"/>
      <c r="BB421" s="97"/>
      <c r="BC421" s="97"/>
      <c r="BD421" s="97" t="str">
        <f>IFERROR(__xludf.DUMMYFUNCTION("""COMPUTED_VALUE"""),"JORIS")</f>
        <v>JORIS</v>
      </c>
      <c r="BE421" s="97" t="str">
        <f>IFERROR(__xludf.DUMMYFUNCTION("""COMPUTED_VALUE"""),"Sin Ficha")</f>
        <v>Sin Ficha</v>
      </c>
      <c r="BF421" s="97"/>
      <c r="BG421" s="97" t="str">
        <f>IFERROR(__xludf.DUMMYFUNCTION("""COMPUTED_VALUE"""),"Discontinuo")</f>
        <v>Discontinuo</v>
      </c>
    </row>
    <row r="422">
      <c r="A422" s="97">
        <f>IFERROR(__xludf.DUMMYFUNCTION("""COMPUTED_VALUE"""),6027.0)</f>
        <v>6027</v>
      </c>
      <c r="B422" s="97" t="str">
        <f>IFERROR(__xludf.DUMMYFUNCTION("""COMPUTED_VALUE"""),"JORIS I PL")</f>
        <v>JORIS I PL</v>
      </c>
      <c r="C422" s="97" t="str">
        <f>IFERROR(__xludf.DUMMYFUNCTION("""COMPUTED_VALUE"""),"APLIQUE JORIS I PLATEADO LEUK")</f>
        <v>APLIQUE JORIS I PLATEADO LEUK</v>
      </c>
      <c r="D422" s="97">
        <f>IFERROR(__xludf.DUMMYFUNCTION("""COMPUTED_VALUE"""),7.7983287599E12)</f>
        <v>7798328759900</v>
      </c>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t="str">
        <f>IFERROR(__xludf.DUMMYFUNCTION("""COMPUTED_VALUE"""),"IP20")</f>
        <v>IP20</v>
      </c>
      <c r="AE422" s="97"/>
      <c r="AF422" s="97" t="str">
        <f>IFERROR(__xludf.DUMMYFUNCTION("""COMPUTED_VALUE"""),"Aplicar")</f>
        <v>Aplicar</v>
      </c>
      <c r="AG422" s="97"/>
      <c r="AH422" s="97"/>
      <c r="AI422" s="97"/>
      <c r="AJ422" s="97"/>
      <c r="AK422" s="97"/>
      <c r="AL422" s="97"/>
      <c r="AM422" s="97"/>
      <c r="AN422" s="97"/>
      <c r="AO422" s="97" t="str">
        <f>IFERROR(__xludf.DUMMYFUNCTION("""COMPUTED_VALUE"""),"1 Año")</f>
        <v>1 Año</v>
      </c>
      <c r="AP422" s="97"/>
      <c r="AQ422" s="97"/>
      <c r="AR422" s="97"/>
      <c r="AS422" s="97"/>
      <c r="AT422" s="97"/>
      <c r="AU422" s="97"/>
      <c r="AV422" s="97" t="str">
        <f>IFERROR(__xludf.DUMMYFUNCTION("""COMPUTED_VALUE"""),"Aplique")</f>
        <v>Aplique</v>
      </c>
      <c r="AW422" s="97" t="str">
        <f>IFERROR(__xludf.DUMMYFUNCTION("""COMPUTED_VALUE"""),"De Techo")</f>
        <v>De Techo</v>
      </c>
      <c r="AX422" s="97" t="str">
        <f>IFERROR(__xludf.DUMMYFUNCTION("""COMPUTED_VALUE"""),"Interior")</f>
        <v>Interior</v>
      </c>
      <c r="AY422" s="97"/>
      <c r="AZ422" s="97"/>
      <c r="BA422" s="97"/>
      <c r="BB422" s="97"/>
      <c r="BC422" s="97"/>
      <c r="BD422" s="97" t="str">
        <f>IFERROR(__xludf.DUMMYFUNCTION("""COMPUTED_VALUE"""),"JORIS")</f>
        <v>JORIS</v>
      </c>
      <c r="BE422" s="97" t="str">
        <f>IFERROR(__xludf.DUMMYFUNCTION("""COMPUTED_VALUE"""),"Sin Ficha")</f>
        <v>Sin Ficha</v>
      </c>
      <c r="BF422" s="97"/>
      <c r="BG422" s="97" t="str">
        <f>IFERROR(__xludf.DUMMYFUNCTION("""COMPUTED_VALUE"""),"Discontinuo")</f>
        <v>Discontinuo</v>
      </c>
    </row>
    <row r="423">
      <c r="A423" s="97">
        <f>IFERROR(__xludf.DUMMYFUNCTION("""COMPUTED_VALUE"""),6028.0)</f>
        <v>6028</v>
      </c>
      <c r="B423" s="97" t="str">
        <f>IFERROR(__xludf.DUMMYFUNCTION("""COMPUTED_VALUE"""),"JORIS II PL")</f>
        <v>JORIS II PL</v>
      </c>
      <c r="C423" s="97" t="str">
        <f>IFERROR(__xludf.DUMMYFUNCTION("""COMPUTED_VALUE"""),"APLIQUE JORIS II PLATEADO LEUK")</f>
        <v>APLIQUE JORIS II PLATEADO LEUK</v>
      </c>
      <c r="D423" s="97">
        <f>IFERROR(__xludf.DUMMYFUNCTION("""COMPUTED_VALUE"""),7.798328759917E12)</f>
        <v>7798328759917</v>
      </c>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t="str">
        <f>IFERROR(__xludf.DUMMYFUNCTION("""COMPUTED_VALUE"""),"IP20")</f>
        <v>IP20</v>
      </c>
      <c r="AE423" s="97"/>
      <c r="AF423" s="97" t="str">
        <f>IFERROR(__xludf.DUMMYFUNCTION("""COMPUTED_VALUE"""),"Aplicar")</f>
        <v>Aplicar</v>
      </c>
      <c r="AG423" s="97"/>
      <c r="AH423" s="97"/>
      <c r="AI423" s="97"/>
      <c r="AJ423" s="97"/>
      <c r="AK423" s="97"/>
      <c r="AL423" s="97"/>
      <c r="AM423" s="97"/>
      <c r="AN423" s="97"/>
      <c r="AO423" s="97" t="str">
        <f>IFERROR(__xludf.DUMMYFUNCTION("""COMPUTED_VALUE"""),"1 Año")</f>
        <v>1 Año</v>
      </c>
      <c r="AP423" s="97"/>
      <c r="AQ423" s="97"/>
      <c r="AR423" s="97"/>
      <c r="AS423" s="97"/>
      <c r="AT423" s="97"/>
      <c r="AU423" s="97"/>
      <c r="AV423" s="97" t="str">
        <f>IFERROR(__xludf.DUMMYFUNCTION("""COMPUTED_VALUE"""),"Aplique")</f>
        <v>Aplique</v>
      </c>
      <c r="AW423" s="97" t="str">
        <f>IFERROR(__xludf.DUMMYFUNCTION("""COMPUTED_VALUE"""),"De Techo")</f>
        <v>De Techo</v>
      </c>
      <c r="AX423" s="97" t="str">
        <f>IFERROR(__xludf.DUMMYFUNCTION("""COMPUTED_VALUE"""),"Interior")</f>
        <v>Interior</v>
      </c>
      <c r="AY423" s="97"/>
      <c r="AZ423" s="97"/>
      <c r="BA423" s="97"/>
      <c r="BB423" s="97"/>
      <c r="BC423" s="97"/>
      <c r="BD423" s="97" t="str">
        <f>IFERROR(__xludf.DUMMYFUNCTION("""COMPUTED_VALUE"""),"JORIS")</f>
        <v>JORIS</v>
      </c>
      <c r="BE423" s="97" t="str">
        <f>IFERROR(__xludf.DUMMYFUNCTION("""COMPUTED_VALUE"""),"Sin Ficha")</f>
        <v>Sin Ficha</v>
      </c>
      <c r="BF423" s="97"/>
      <c r="BG423" s="97" t="str">
        <f>IFERROR(__xludf.DUMMYFUNCTION("""COMPUTED_VALUE"""),"Discontinuo")</f>
        <v>Discontinuo</v>
      </c>
    </row>
    <row r="424">
      <c r="A424" s="97">
        <f>IFERROR(__xludf.DUMMYFUNCTION("""COMPUTED_VALUE"""),6029.0)</f>
        <v>6029</v>
      </c>
      <c r="B424" s="97" t="str">
        <f>IFERROR(__xludf.DUMMYFUNCTION("""COMPUTED_VALUE"""),"JORIS III PL")</f>
        <v>JORIS III PL</v>
      </c>
      <c r="C424" s="97" t="str">
        <f>IFERROR(__xludf.DUMMYFUNCTION("""COMPUTED_VALUE"""),"APLIQUE JORIS III PLATEADO LEUK")</f>
        <v>APLIQUE JORIS III PLATEADO LEUK</v>
      </c>
      <c r="D424" s="97">
        <f>IFERROR(__xludf.DUMMYFUNCTION("""COMPUTED_VALUE"""),7.798328759924E12)</f>
        <v>7798328759924</v>
      </c>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t="str">
        <f>IFERROR(__xludf.DUMMYFUNCTION("""COMPUTED_VALUE"""),"IP20")</f>
        <v>IP20</v>
      </c>
      <c r="AE424" s="97"/>
      <c r="AF424" s="97" t="str">
        <f>IFERROR(__xludf.DUMMYFUNCTION("""COMPUTED_VALUE"""),"Aplicar")</f>
        <v>Aplicar</v>
      </c>
      <c r="AG424" s="97"/>
      <c r="AH424" s="97"/>
      <c r="AI424" s="97"/>
      <c r="AJ424" s="97"/>
      <c r="AK424" s="97"/>
      <c r="AL424" s="97"/>
      <c r="AM424" s="97"/>
      <c r="AN424" s="97"/>
      <c r="AO424" s="97" t="str">
        <f>IFERROR(__xludf.DUMMYFUNCTION("""COMPUTED_VALUE"""),"1 Año")</f>
        <v>1 Año</v>
      </c>
      <c r="AP424" s="97"/>
      <c r="AQ424" s="97"/>
      <c r="AR424" s="97"/>
      <c r="AS424" s="97"/>
      <c r="AT424" s="97"/>
      <c r="AU424" s="97"/>
      <c r="AV424" s="97" t="str">
        <f>IFERROR(__xludf.DUMMYFUNCTION("""COMPUTED_VALUE"""),"Aplique")</f>
        <v>Aplique</v>
      </c>
      <c r="AW424" s="97" t="str">
        <f>IFERROR(__xludf.DUMMYFUNCTION("""COMPUTED_VALUE"""),"De Techo")</f>
        <v>De Techo</v>
      </c>
      <c r="AX424" s="97" t="str">
        <f>IFERROR(__xludf.DUMMYFUNCTION("""COMPUTED_VALUE"""),"Interior")</f>
        <v>Interior</v>
      </c>
      <c r="AY424" s="97"/>
      <c r="AZ424" s="97"/>
      <c r="BA424" s="97"/>
      <c r="BB424" s="97"/>
      <c r="BC424" s="97"/>
      <c r="BD424" s="97" t="str">
        <f>IFERROR(__xludf.DUMMYFUNCTION("""COMPUTED_VALUE"""),"JORIS")</f>
        <v>JORIS</v>
      </c>
      <c r="BE424" s="97" t="str">
        <f>IFERROR(__xludf.DUMMYFUNCTION("""COMPUTED_VALUE"""),"Sin Ficha")</f>
        <v>Sin Ficha</v>
      </c>
      <c r="BF424" s="97"/>
      <c r="BG424" s="97" t="str">
        <f>IFERROR(__xludf.DUMMYFUNCTION("""COMPUTED_VALUE"""),"Discontinuo")</f>
        <v>Discontinuo</v>
      </c>
    </row>
    <row r="425">
      <c r="A425" s="97">
        <f>IFERROR(__xludf.DUMMYFUNCTION("""COMPUTED_VALUE"""),6030.0)</f>
        <v>6030</v>
      </c>
      <c r="B425" s="97" t="str">
        <f>IFERROR(__xludf.DUMMYFUNCTION("""COMPUTED_VALUE"""),"JORIS IV PL")</f>
        <v>JORIS IV PL</v>
      </c>
      <c r="C425" s="97" t="str">
        <f>IFERROR(__xludf.DUMMYFUNCTION("""COMPUTED_VALUE"""),"APLIQUE JORIS IV PLATEADO LEUK")</f>
        <v>APLIQUE JORIS IV PLATEADO LEUK</v>
      </c>
      <c r="D425" s="97">
        <f>IFERROR(__xludf.DUMMYFUNCTION("""COMPUTED_VALUE"""),7.798328759931E12)</f>
        <v>7798328759931</v>
      </c>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t="str">
        <f>IFERROR(__xludf.DUMMYFUNCTION("""COMPUTED_VALUE"""),"IP20")</f>
        <v>IP20</v>
      </c>
      <c r="AE425" s="97"/>
      <c r="AF425" s="97" t="str">
        <f>IFERROR(__xludf.DUMMYFUNCTION("""COMPUTED_VALUE"""),"Aplicar")</f>
        <v>Aplicar</v>
      </c>
      <c r="AG425" s="97"/>
      <c r="AH425" s="97"/>
      <c r="AI425" s="97"/>
      <c r="AJ425" s="97"/>
      <c r="AK425" s="97"/>
      <c r="AL425" s="97"/>
      <c r="AM425" s="97"/>
      <c r="AN425" s="97"/>
      <c r="AO425" s="97" t="str">
        <f>IFERROR(__xludf.DUMMYFUNCTION("""COMPUTED_VALUE"""),"1 Año")</f>
        <v>1 Año</v>
      </c>
      <c r="AP425" s="97"/>
      <c r="AQ425" s="97"/>
      <c r="AR425" s="97"/>
      <c r="AS425" s="97"/>
      <c r="AT425" s="97"/>
      <c r="AU425" s="97"/>
      <c r="AV425" s="97" t="str">
        <f>IFERROR(__xludf.DUMMYFUNCTION("""COMPUTED_VALUE"""),"Aplique")</f>
        <v>Aplique</v>
      </c>
      <c r="AW425" s="97" t="str">
        <f>IFERROR(__xludf.DUMMYFUNCTION("""COMPUTED_VALUE"""),"De Techo")</f>
        <v>De Techo</v>
      </c>
      <c r="AX425" s="97" t="str">
        <f>IFERROR(__xludf.DUMMYFUNCTION("""COMPUTED_VALUE"""),"Interior")</f>
        <v>Interior</v>
      </c>
      <c r="AY425" s="97"/>
      <c r="AZ425" s="97"/>
      <c r="BA425" s="97"/>
      <c r="BB425" s="97"/>
      <c r="BC425" s="97"/>
      <c r="BD425" s="97" t="str">
        <f>IFERROR(__xludf.DUMMYFUNCTION("""COMPUTED_VALUE"""),"JORIS")</f>
        <v>JORIS</v>
      </c>
      <c r="BE425" s="97" t="str">
        <f>IFERROR(__xludf.DUMMYFUNCTION("""COMPUTED_VALUE"""),"Sin Ficha")</f>
        <v>Sin Ficha</v>
      </c>
      <c r="BF425" s="97"/>
      <c r="BG425" s="97" t="str">
        <f>IFERROR(__xludf.DUMMYFUNCTION("""COMPUTED_VALUE"""),"Discontinuo")</f>
        <v>Discontinuo</v>
      </c>
    </row>
    <row r="426">
      <c r="A426" s="97">
        <f>IFERROR(__xludf.DUMMYFUNCTION("""COMPUTED_VALUE"""),6031.0)</f>
        <v>6031</v>
      </c>
      <c r="B426" s="97" t="str">
        <f>IFERROR(__xludf.DUMMYFUNCTION("""COMPUTED_VALUE"""),"BEMUS")</f>
        <v>BEMUS</v>
      </c>
      <c r="C426" s="97" t="str">
        <f>IFERROR(__xludf.DUMMYFUNCTION("""COMPUTED_VALUE"""),"LUMINARIA EXTERIOR ESTACA BEMUS LEUK")</f>
        <v>LUMINARIA EXTERIOR ESTACA BEMUS LEUK</v>
      </c>
      <c r="D426" s="97">
        <f>IFERROR(__xludf.DUMMYFUNCTION("""COMPUTED_VALUE"""),7.798328759993E12)</f>
        <v>7798328759993</v>
      </c>
      <c r="E426" s="97"/>
      <c r="F426" s="97" t="str">
        <f>IFERROR(__xludf.DUMMYFUNCTION("""COMPUTED_VALUE"""),"LED integrado")</f>
        <v>LED integrado</v>
      </c>
      <c r="G426" s="97" t="str">
        <f>IFERROR(__xludf.DUMMYFUNCTION("""COMPUTED_VALUE"""),"-")</f>
        <v>-</v>
      </c>
      <c r="H426" s="97" t="str">
        <f>IFERROR(__xludf.DUMMYFUNCTION("""COMPUTED_VALUE"""),"-")</f>
        <v>-</v>
      </c>
      <c r="I426" s="97"/>
      <c r="J426" s="97"/>
      <c r="K426" s="97" t="str">
        <f>IFERROR(__xludf.DUMMYFUNCTION("""COMPUTED_VALUE"""),"ON/OFF")</f>
        <v>ON/OFF</v>
      </c>
      <c r="L426" s="97" t="str">
        <f>IFERROR(__xludf.DUMMYFUNCTION("""COMPUTED_VALUE"""),"220-240")</f>
        <v>220-240</v>
      </c>
      <c r="M426" s="97" t="str">
        <f>IFERROR(__xludf.DUMMYFUNCTION("""COMPUTED_VALUE"""),"50/60")</f>
        <v>50/60</v>
      </c>
      <c r="N426" s="97"/>
      <c r="O426" s="97">
        <f>IFERROR(__xludf.DUMMYFUNCTION("""COMPUTED_VALUE"""),5.0)</f>
        <v>5</v>
      </c>
      <c r="P426" s="97"/>
      <c r="Q426" s="97">
        <f>IFERROR(__xludf.DUMMYFUNCTION("""COMPUTED_VALUE"""),0.44)</f>
        <v>0.44</v>
      </c>
      <c r="R426" s="97" t="str">
        <f>IFERROR(__xludf.DUMMYFUNCTION("""COMPUTED_VALUE"""),"-")</f>
        <v>-</v>
      </c>
      <c r="S426" s="97" t="str">
        <f>IFERROR(__xludf.DUMMYFUNCTION("""COMPUTED_VALUE"""),"-")</f>
        <v>-</v>
      </c>
      <c r="T426" s="97">
        <f>IFERROR(__xludf.DUMMYFUNCTION("""COMPUTED_VALUE"""),433.0)</f>
        <v>433</v>
      </c>
      <c r="U426" s="99">
        <f>IFERROR(__xludf.DUMMYFUNCTION("""COMPUTED_VALUE"""),86.6)</f>
        <v>86.6</v>
      </c>
      <c r="V426" s="97">
        <f>IFERROR(__xludf.DUMMYFUNCTION("""COMPUTED_VALUE"""),30.0)</f>
        <v>30</v>
      </c>
      <c r="W426" s="97" t="str">
        <f>IFERROR(__xludf.DUMMYFUNCTION("""COMPUTED_VALUE"""),"&lt; 20")</f>
        <v>&lt; 20</v>
      </c>
      <c r="X426" s="97">
        <f>IFERROR(__xludf.DUMMYFUNCTION("""COMPUTED_VALUE"""),3000.0)</f>
        <v>3000</v>
      </c>
      <c r="Y426" s="97" t="str">
        <f>IFERROR(__xludf.DUMMYFUNCTION("""COMPUTED_VALUE"""),"&gt;80")</f>
        <v>&gt;80</v>
      </c>
      <c r="Z426" s="97" t="str">
        <f>IFERROR(__xludf.DUMMYFUNCTION("""COMPUTED_VALUE"""),"-")</f>
        <v>-</v>
      </c>
      <c r="AA426" s="97" t="str">
        <f>IFERROR(__xludf.DUMMYFUNCTION("""COMPUTED_VALUE"""),"-")</f>
        <v>-</v>
      </c>
      <c r="AB426" s="97" t="str">
        <f>IFERROR(__xludf.DUMMYFUNCTION("""COMPUTED_VALUE"""),"-")</f>
        <v>-</v>
      </c>
      <c r="AC426" s="97"/>
      <c r="AD426" s="97" t="str">
        <f>IFERROR(__xludf.DUMMYFUNCTION("""COMPUTED_VALUE"""),"IP65")</f>
        <v>IP65</v>
      </c>
      <c r="AE426" s="97" t="str">
        <f>IFERROR(__xludf.DUMMYFUNCTION("""COMPUTED_VALUE"""),"Clase l")</f>
        <v>Clase l</v>
      </c>
      <c r="AF426" s="97" t="str">
        <f>IFERROR(__xludf.DUMMYFUNCTION("""COMPUTED_VALUE"""),"Estaca")</f>
        <v>Estaca</v>
      </c>
      <c r="AG426" s="97" t="str">
        <f>IFERROR(__xludf.DUMMYFUNCTION("""COMPUTED_VALUE"""),"Ø55 x 255")</f>
        <v>Ø55 x 255</v>
      </c>
      <c r="AH426" s="97" t="str">
        <f>IFERROR(__xludf.DUMMYFUNCTION("""COMPUTED_VALUE"""),"N/A")</f>
        <v>N/A</v>
      </c>
      <c r="AI426" s="97" t="str">
        <f>IFERROR(__xludf.DUMMYFUNCTION("""COMPUTED_VALUE"""),"N/A")</f>
        <v>N/A</v>
      </c>
      <c r="AJ426" s="97" t="str">
        <f>IFERROR(__xludf.DUMMYFUNCTION("""COMPUTED_VALUE"""),"Policarbonato (PC)")</f>
        <v>Policarbonato (PC)</v>
      </c>
      <c r="AK426" s="97" t="str">
        <f>IFERROR(__xludf.DUMMYFUNCTION("""COMPUTED_VALUE"""),"ABS")</f>
        <v>ABS</v>
      </c>
      <c r="AL426" s="97" t="str">
        <f>IFERROR(__xludf.DUMMYFUNCTION("""COMPUTED_VALUE"""),"Negro Mate")</f>
        <v>Negro Mate</v>
      </c>
      <c r="AM426" s="97" t="str">
        <f>IFERROR(__xludf.DUMMYFUNCTION("""COMPUTED_VALUE"""),"-")</f>
        <v>-</v>
      </c>
      <c r="AN426" s="97" t="str">
        <f>IFERROR(__xludf.DUMMYFUNCTION("""COMPUTED_VALUE"""),"-")</f>
        <v>-</v>
      </c>
      <c r="AO426" s="97" t="str">
        <f>IFERROR(__xludf.DUMMYFUNCTION("""COMPUTED_VALUE"""),"1 Año")</f>
        <v>1 Año</v>
      </c>
      <c r="AP426" s="97" t="str">
        <f>IFERROR(__xludf.DUMMYFUNCTION("""COMPUTED_VALUE"""),"Disponible")</f>
        <v>Disponible</v>
      </c>
      <c r="AQ426" s="97" t="str">
        <f>IFERROR(__xludf.DUMMYFUNCTION("""COMPUTED_VALUE"""),"Disponible")</f>
        <v>Disponible</v>
      </c>
      <c r="AR426" s="97" t="str">
        <f>IFERROR(__xludf.DUMMYFUNCTION("""COMPUTED_VALUE"""),"Disponible")</f>
        <v>Disponible</v>
      </c>
      <c r="AS426" s="97" t="str">
        <f>IFERROR(__xludf.DUMMYFUNCTION("""COMPUTED_VALUE"""),"Falta")</f>
        <v>Falta</v>
      </c>
      <c r="AT426" s="97" t="str">
        <f>IFERROR(__xludf.DUMMYFUNCTION("""COMPUTED_VALUE"""),"Falta")</f>
        <v>Falta</v>
      </c>
      <c r="AU426" s="97" t="str">
        <f>IFERROR(__xludf.DUMMYFUNCTION("""COMPUTED_VALUE"""),"Falta")</f>
        <v>Falta</v>
      </c>
      <c r="AV426" s="97" t="str">
        <f>IFERROR(__xludf.DUMMYFUNCTION("""COMPUTED_VALUE"""),"Estaca")</f>
        <v>Estaca</v>
      </c>
      <c r="AW426" s="97" t="str">
        <f>IFERROR(__xludf.DUMMYFUNCTION("""COMPUTED_VALUE"""),"De Piso")</f>
        <v>De Piso</v>
      </c>
      <c r="AX426" s="97" t="str">
        <f>IFERROR(__xludf.DUMMYFUNCTION("""COMPUTED_VALUE"""),"Exterior")</f>
        <v>Exterior</v>
      </c>
      <c r="AY426" s="97"/>
      <c r="AZ426" s="97"/>
      <c r="BA426" s="97">
        <f>IFERROR(__xludf.DUMMYFUNCTION("""COMPUTED_VALUE"""),50.0)</f>
        <v>50</v>
      </c>
      <c r="BB426" s="97"/>
      <c r="BC426" s="97"/>
      <c r="BD426" s="97" t="str">
        <f>IFERROR(__xludf.DUMMYFUNCTION("""COMPUTED_VALUE"""),"BEMUS")</f>
        <v>BEMUS</v>
      </c>
      <c r="BE426" s="97" t="str">
        <f>IFERROR(__xludf.DUMMYFUNCTION("""COMPUTED_VALUE"""),"Finalizada")</f>
        <v>Finalizada</v>
      </c>
      <c r="BF426" s="97"/>
      <c r="BG426" s="97" t="str">
        <f>IFERROR(__xludf.DUMMYFUNCTION("""COMPUTED_VALUE"""),"Discontinuo")</f>
        <v>Discontinuo</v>
      </c>
    </row>
    <row r="427">
      <c r="A427" s="97">
        <f>IFERROR(__xludf.DUMMYFUNCTION("""COMPUTED_VALUE"""),6032.0)</f>
        <v>6032</v>
      </c>
      <c r="B427" s="97" t="str">
        <f>IFERROR(__xludf.DUMMYFUNCTION("""COMPUTED_VALUE"""),"UNAI")</f>
        <v>UNAI</v>
      </c>
      <c r="C427" s="97" t="str">
        <f>IFERROR(__xludf.DUMMYFUNCTION("""COMPUTED_VALUE"""),"EMPOTRABLE UNAI 3W 3000K 70LM CRI&gt;80 IP65 LEUK")</f>
        <v>EMPOTRABLE UNAI 3W 3000K 70LM CRI&gt;80 IP65 LEUK</v>
      </c>
      <c r="D427" s="97">
        <f>IFERROR(__xludf.DUMMYFUNCTION("""COMPUTED_VALUE"""),7.798328759986E12)</f>
        <v>7798328759986</v>
      </c>
      <c r="E427" s="97" t="str">
        <f>IFERROR(__xludf.DUMMYFUNCTION("""COMPUTED_VALUE"""),"C136")</f>
        <v>C136</v>
      </c>
      <c r="F427" s="97" t="str">
        <f>IFERROR(__xludf.DUMMYFUNCTION("""COMPUTED_VALUE"""),"LED integrado")</f>
        <v>LED integrado</v>
      </c>
      <c r="G427" s="97" t="str">
        <f>IFERROR(__xludf.DUMMYFUNCTION("""COMPUTED_VALUE"""),"-")</f>
        <v>-</v>
      </c>
      <c r="H427" s="97" t="str">
        <f>IFERROR(__xludf.DUMMYFUNCTION("""COMPUTED_VALUE"""),"-")</f>
        <v>-</v>
      </c>
      <c r="I427" s="97"/>
      <c r="J427" s="97"/>
      <c r="K427" s="97" t="str">
        <f>IFERROR(__xludf.DUMMYFUNCTION("""COMPUTED_VALUE"""),"ON/OFF")</f>
        <v>ON/OFF</v>
      </c>
      <c r="L427" s="97" t="str">
        <f>IFERROR(__xludf.DUMMYFUNCTION("""COMPUTED_VALUE"""),"220-240")</f>
        <v>220-240</v>
      </c>
      <c r="M427" s="97" t="str">
        <f>IFERROR(__xludf.DUMMYFUNCTION("""COMPUTED_VALUE"""),"50/60")</f>
        <v>50/60</v>
      </c>
      <c r="N427" s="97"/>
      <c r="O427" s="97">
        <f>IFERROR(__xludf.DUMMYFUNCTION("""COMPUTED_VALUE"""),3.0)</f>
        <v>3</v>
      </c>
      <c r="P427" s="97"/>
      <c r="Q427" s="97">
        <f>IFERROR(__xludf.DUMMYFUNCTION("""COMPUTED_VALUE"""),0.46)</f>
        <v>0.46</v>
      </c>
      <c r="R427" s="97" t="str">
        <f>IFERROR(__xludf.DUMMYFUNCTION("""COMPUTED_VALUE"""),"-")</f>
        <v>-</v>
      </c>
      <c r="S427" s="97" t="str">
        <f>IFERROR(__xludf.DUMMYFUNCTION("""COMPUTED_VALUE"""),"-")</f>
        <v>-</v>
      </c>
      <c r="T427" s="97">
        <f>IFERROR(__xludf.DUMMYFUNCTION("""COMPUTED_VALUE"""),70.0)</f>
        <v>70</v>
      </c>
      <c r="U427" s="99">
        <f>IFERROR(__xludf.DUMMYFUNCTION("""COMPUTED_VALUE"""),23.333333333333332)</f>
        <v>23.33333333</v>
      </c>
      <c r="V427" s="97">
        <f>IFERROR(__xludf.DUMMYFUNCTION("""COMPUTED_VALUE"""),79.0)</f>
        <v>79</v>
      </c>
      <c r="W427" s="97" t="str">
        <f>IFERROR(__xludf.DUMMYFUNCTION("""COMPUTED_VALUE"""),"&lt; 20")</f>
        <v>&lt; 20</v>
      </c>
      <c r="X427" s="97">
        <f>IFERROR(__xludf.DUMMYFUNCTION("""COMPUTED_VALUE"""),3000.0)</f>
        <v>3000</v>
      </c>
      <c r="Y427" s="97" t="str">
        <f>IFERROR(__xludf.DUMMYFUNCTION("""COMPUTED_VALUE"""),"&gt;80")</f>
        <v>&gt;80</v>
      </c>
      <c r="Z427" s="97"/>
      <c r="AA427" s="97"/>
      <c r="AB427" s="97" t="str">
        <f>IFERROR(__xludf.DUMMYFUNCTION("""COMPUTED_VALUE"""),"&lt; 5")</f>
        <v>&lt; 5</v>
      </c>
      <c r="AC427" s="97"/>
      <c r="AD427" s="97" t="str">
        <f>IFERROR(__xludf.DUMMYFUNCTION("""COMPUTED_VALUE"""),"IP65")</f>
        <v>IP65</v>
      </c>
      <c r="AE427" s="97" t="str">
        <f>IFERROR(__xludf.DUMMYFUNCTION("""COMPUTED_VALUE"""),"Clase l")</f>
        <v>Clase l</v>
      </c>
      <c r="AF427" s="97" t="str">
        <f>IFERROR(__xludf.DUMMYFUNCTION("""COMPUTED_VALUE"""),"Embutir")</f>
        <v>Embutir</v>
      </c>
      <c r="AG427" s="97" t="str">
        <f>IFERROR(__xludf.DUMMYFUNCTION("""COMPUTED_VALUE"""),"110 x 45 x 52")</f>
        <v>110 x 45 x 52</v>
      </c>
      <c r="AH427" s="97" t="str">
        <f>IFERROR(__xludf.DUMMYFUNCTION("""COMPUTED_VALUE"""),"100 x 40")</f>
        <v>100 x 40</v>
      </c>
      <c r="AI427" s="97">
        <f>IFERROR(__xludf.DUMMYFUNCTION("""COMPUTED_VALUE"""),51.0)</f>
        <v>51</v>
      </c>
      <c r="AJ427" s="97" t="str">
        <f>IFERROR(__xludf.DUMMYFUNCTION("""COMPUTED_VALUE"""),"Vidrio")</f>
        <v>Vidrio</v>
      </c>
      <c r="AK427" s="97" t="str">
        <f>IFERROR(__xludf.DUMMYFUNCTION("""COMPUTED_VALUE"""),"Acero Inox")</f>
        <v>Acero Inox</v>
      </c>
      <c r="AL427" s="97" t="str">
        <f>IFERROR(__xludf.DUMMYFUNCTION("""COMPUTED_VALUE"""),"Acero Inoxidable")</f>
        <v>Acero Inoxidable</v>
      </c>
      <c r="AM427" s="97" t="str">
        <f>IFERROR(__xludf.DUMMYFUNCTION("""COMPUTED_VALUE"""),"-")</f>
        <v>-</v>
      </c>
      <c r="AN427" s="97" t="str">
        <f>IFERROR(__xludf.DUMMYFUNCTION("""COMPUTED_VALUE"""),"25.000hs (L70)")</f>
        <v>25.000hs (L70)</v>
      </c>
      <c r="AO427" s="97" t="str">
        <f>IFERROR(__xludf.DUMMYFUNCTION("""COMPUTED_VALUE"""),"2 Años")</f>
        <v>2 Años</v>
      </c>
      <c r="AP427" s="97" t="str">
        <f>IFERROR(__xludf.DUMMYFUNCTION("""COMPUTED_VALUE"""),"Disponible")</f>
        <v>Disponible</v>
      </c>
      <c r="AQ427" s="97" t="str">
        <f>IFERROR(__xludf.DUMMYFUNCTION("""COMPUTED_VALUE"""),"Disponible")</f>
        <v>Disponible</v>
      </c>
      <c r="AR427" s="97" t="str">
        <f>IFERROR(__xludf.DUMMYFUNCTION("""COMPUTED_VALUE"""),"Disponible")</f>
        <v>Disponible</v>
      </c>
      <c r="AS427" s="97"/>
      <c r="AT427" s="97"/>
      <c r="AU427" s="97" t="str">
        <f>IFERROR(__xludf.DUMMYFUNCTION("""COMPUTED_VALUE"""),"Falta")</f>
        <v>Falta</v>
      </c>
      <c r="AV427" s="97" t="str">
        <f>IFERROR(__xludf.DUMMYFUNCTION("""COMPUTED_VALUE"""),"Empotrable")</f>
        <v>Empotrable</v>
      </c>
      <c r="AW427" s="97" t="str">
        <f>IFERROR(__xludf.DUMMYFUNCTION("""COMPUTED_VALUE"""),"De Pared")</f>
        <v>De Pared</v>
      </c>
      <c r="AX427" s="97" t="str">
        <f>IFERROR(__xludf.DUMMYFUNCTION("""COMPUTED_VALUE"""),"Exterior")</f>
        <v>Exterior</v>
      </c>
      <c r="AY427" s="97" t="str">
        <f>IFERROR(__xludf.DUMMYFUNCTION("""COMPUTED_VALUE"""),"-")</f>
        <v>-</v>
      </c>
      <c r="AZ427" s="97"/>
      <c r="BA427" s="97"/>
      <c r="BB427" s="97" t="str">
        <f>IFERROR(__xludf.DUMMYFUNCTION("""COMPUTED_VALUE"""),"-")</f>
        <v>-</v>
      </c>
      <c r="BC427" s="97" t="str">
        <f>IFERROR(__xludf.DUMMYFUNCTION("""COMPUTED_VALUE"""),"-")</f>
        <v>-</v>
      </c>
      <c r="BD427" s="97" t="str">
        <f>IFERROR(__xludf.DUMMYFUNCTION("""COMPUTED_VALUE"""),"UNAI")</f>
        <v>UNAI</v>
      </c>
      <c r="BE427" s="97" t="str">
        <f>IFERROR(__xludf.DUMMYFUNCTION("""COMPUTED_VALUE"""),"Actualizar")</f>
        <v>Actualizar</v>
      </c>
      <c r="BF427" s="97"/>
      <c r="BG427" s="97" t="str">
        <f>IFERROR(__xludf.DUMMYFUNCTION("""COMPUTED_VALUE"""),"Activo")</f>
        <v>Activo</v>
      </c>
    </row>
    <row r="428">
      <c r="A428" s="97">
        <f>IFERROR(__xludf.DUMMYFUNCTION("""COMPUTED_VALUE"""),6033.0)</f>
        <v>6033</v>
      </c>
      <c r="B428" s="97" t="str">
        <f>IFERROR(__xludf.DUMMYFUNCTION("""COMPUTED_VALUE"""),"KOLDO")</f>
        <v>KOLDO</v>
      </c>
      <c r="C428" s="97" t="str">
        <f>IFERROR(__xludf.DUMMYFUNCTION("""COMPUTED_VALUE"""),"LUMINARIA EXTERIOR DE PARED KOLDO LEUK")</f>
        <v>LUMINARIA EXTERIOR DE PARED KOLDO LEUK</v>
      </c>
      <c r="D428" s="97">
        <f>IFERROR(__xludf.DUMMYFUNCTION("""COMPUTED_VALUE"""),7.798328759979E12)</f>
        <v>7798328759979</v>
      </c>
      <c r="E428" s="97"/>
      <c r="F428" s="97" t="str">
        <f>IFERROR(__xludf.DUMMYFUNCTION("""COMPUTED_VALUE"""),"LED integrado")</f>
        <v>LED integrado</v>
      </c>
      <c r="G428" s="97" t="str">
        <f>IFERROR(__xludf.DUMMYFUNCTION("""COMPUTED_VALUE"""),"-")</f>
        <v>-</v>
      </c>
      <c r="H428" s="97" t="str">
        <f>IFERROR(__xludf.DUMMYFUNCTION("""COMPUTED_VALUE"""),"-")</f>
        <v>-</v>
      </c>
      <c r="I428" s="97"/>
      <c r="J428" s="97"/>
      <c r="K428" s="97" t="str">
        <f>IFERROR(__xludf.DUMMYFUNCTION("""COMPUTED_VALUE"""),"ON/OFF")</f>
        <v>ON/OFF</v>
      </c>
      <c r="L428" s="97" t="str">
        <f>IFERROR(__xludf.DUMMYFUNCTION("""COMPUTED_VALUE"""),"220-240")</f>
        <v>220-240</v>
      </c>
      <c r="M428" s="97" t="str">
        <f>IFERROR(__xludf.DUMMYFUNCTION("""COMPUTED_VALUE"""),"50/60")</f>
        <v>50/60</v>
      </c>
      <c r="N428" s="97"/>
      <c r="O428" s="97">
        <f>IFERROR(__xludf.DUMMYFUNCTION("""COMPUTED_VALUE"""),3.0)</f>
        <v>3</v>
      </c>
      <c r="P428" s="97"/>
      <c r="Q428" s="97">
        <f>IFERROR(__xludf.DUMMYFUNCTION("""COMPUTED_VALUE"""),0.47)</f>
        <v>0.47</v>
      </c>
      <c r="R428" s="97" t="str">
        <f>IFERROR(__xludf.DUMMYFUNCTION("""COMPUTED_VALUE"""),"-")</f>
        <v>-</v>
      </c>
      <c r="S428" s="97" t="str">
        <f>IFERROR(__xludf.DUMMYFUNCTION("""COMPUTED_VALUE"""),"-")</f>
        <v>-</v>
      </c>
      <c r="T428" s="97">
        <f>IFERROR(__xludf.DUMMYFUNCTION("""COMPUTED_VALUE"""),39.0)</f>
        <v>39</v>
      </c>
      <c r="U428" s="99">
        <f>IFERROR(__xludf.DUMMYFUNCTION("""COMPUTED_VALUE"""),13.0)</f>
        <v>13</v>
      </c>
      <c r="V428" s="97">
        <f>IFERROR(__xludf.DUMMYFUNCTION("""COMPUTED_VALUE"""),69.0)</f>
        <v>69</v>
      </c>
      <c r="W428" s="97" t="str">
        <f>IFERROR(__xludf.DUMMYFUNCTION("""COMPUTED_VALUE"""),"&lt; 20")</f>
        <v>&lt; 20</v>
      </c>
      <c r="X428" s="97">
        <f>IFERROR(__xludf.DUMMYFUNCTION("""COMPUTED_VALUE"""),3000.0)</f>
        <v>3000</v>
      </c>
      <c r="Y428" s="97">
        <f>IFERROR(__xludf.DUMMYFUNCTION("""COMPUTED_VALUE"""),70.0)</f>
        <v>70</v>
      </c>
      <c r="Z428" s="97" t="str">
        <f>IFERROR(__xludf.DUMMYFUNCTION("""COMPUTED_VALUE"""),"-")</f>
        <v>-</v>
      </c>
      <c r="AA428" s="97" t="str">
        <f>IFERROR(__xludf.DUMMYFUNCTION("""COMPUTED_VALUE"""),"-")</f>
        <v>-</v>
      </c>
      <c r="AB428" s="97" t="str">
        <f>IFERROR(__xludf.DUMMYFUNCTION("""COMPUTED_VALUE"""),"&lt; 4")</f>
        <v>&lt; 4</v>
      </c>
      <c r="AC428" s="97"/>
      <c r="AD428" s="97" t="str">
        <f>IFERROR(__xludf.DUMMYFUNCTION("""COMPUTED_VALUE"""),"IP65")</f>
        <v>IP65</v>
      </c>
      <c r="AE428" s="97" t="str">
        <f>IFERROR(__xludf.DUMMYFUNCTION("""COMPUTED_VALUE"""),"Clase l")</f>
        <v>Clase l</v>
      </c>
      <c r="AF428" s="97" t="str">
        <f>IFERROR(__xludf.DUMMYFUNCTION("""COMPUTED_VALUE"""),"Embutir")</f>
        <v>Embutir</v>
      </c>
      <c r="AG428" s="97" t="str">
        <f>IFERROR(__xludf.DUMMYFUNCTION("""COMPUTED_VALUE"""),"70 x 70 x 52")</f>
        <v>70 x 70 x 52</v>
      </c>
      <c r="AH428" s="97" t="str">
        <f>IFERROR(__xludf.DUMMYFUNCTION("""COMPUTED_VALUE"""),"64 x 64")</f>
        <v>64 x 64</v>
      </c>
      <c r="AI428" s="97">
        <f>IFERROR(__xludf.DUMMYFUNCTION("""COMPUTED_VALUE"""),51.0)</f>
        <v>51</v>
      </c>
      <c r="AJ428" s="97" t="str">
        <f>IFERROR(__xludf.DUMMYFUNCTION("""COMPUTED_VALUE"""),"Vidrio")</f>
        <v>Vidrio</v>
      </c>
      <c r="AK428" s="97" t="str">
        <f>IFERROR(__xludf.DUMMYFUNCTION("""COMPUTED_VALUE"""),"Acero Inox")</f>
        <v>Acero Inox</v>
      </c>
      <c r="AL428" s="97" t="str">
        <f>IFERROR(__xludf.DUMMYFUNCTION("""COMPUTED_VALUE"""),"Natural")</f>
        <v>Natural</v>
      </c>
      <c r="AM428" s="97" t="str">
        <f>IFERROR(__xludf.DUMMYFUNCTION("""COMPUTED_VALUE"""),"-")</f>
        <v>-</v>
      </c>
      <c r="AN428" s="97" t="str">
        <f>IFERROR(__xludf.DUMMYFUNCTION("""COMPUTED_VALUE"""),"-")</f>
        <v>-</v>
      </c>
      <c r="AO428" s="97" t="str">
        <f>IFERROR(__xludf.DUMMYFUNCTION("""COMPUTED_VALUE"""),"1 Año")</f>
        <v>1 Año</v>
      </c>
      <c r="AP428" s="97" t="str">
        <f>IFERROR(__xludf.DUMMYFUNCTION("""COMPUTED_VALUE"""),"Disponible")</f>
        <v>Disponible</v>
      </c>
      <c r="AQ428" s="97" t="str">
        <f>IFERROR(__xludf.DUMMYFUNCTION("""COMPUTED_VALUE"""),"Disponible")</f>
        <v>Disponible</v>
      </c>
      <c r="AR428" s="97" t="str">
        <f>IFERROR(__xludf.DUMMYFUNCTION("""COMPUTED_VALUE"""),"Disponible")</f>
        <v>Disponible</v>
      </c>
      <c r="AS428" s="97"/>
      <c r="AT428" s="97"/>
      <c r="AU428" s="97"/>
      <c r="AV428" s="97" t="str">
        <f>IFERROR(__xludf.DUMMYFUNCTION("""COMPUTED_VALUE"""),"Empotrable")</f>
        <v>Empotrable</v>
      </c>
      <c r="AW428" s="97" t="str">
        <f>IFERROR(__xludf.DUMMYFUNCTION("""COMPUTED_VALUE"""),"De Pared")</f>
        <v>De Pared</v>
      </c>
      <c r="AX428" s="97" t="str">
        <f>IFERROR(__xludf.DUMMYFUNCTION("""COMPUTED_VALUE"""),"Exterior")</f>
        <v>Exterior</v>
      </c>
      <c r="AY428" s="97"/>
      <c r="AZ428" s="97"/>
      <c r="BA428" s="97">
        <f>IFERROR(__xludf.DUMMYFUNCTION("""COMPUTED_VALUE"""),50.0)</f>
        <v>50</v>
      </c>
      <c r="BB428" s="97"/>
      <c r="BC428" s="97"/>
      <c r="BD428" s="97" t="str">
        <f>IFERROR(__xludf.DUMMYFUNCTION("""COMPUTED_VALUE"""),"KOLDO")</f>
        <v>KOLDO</v>
      </c>
      <c r="BE428" s="97" t="str">
        <f>IFERROR(__xludf.DUMMYFUNCTION("""COMPUTED_VALUE"""),"Finalizada")</f>
        <v>Finalizada</v>
      </c>
      <c r="BF428" s="97"/>
      <c r="BG428" s="97" t="str">
        <f>IFERROR(__xludf.DUMMYFUNCTION("""COMPUTED_VALUE"""),"Discontinuo")</f>
        <v>Discontinuo</v>
      </c>
    </row>
    <row r="429">
      <c r="A429" s="97">
        <f>IFERROR(__xludf.DUMMYFUNCTION("""COMPUTED_VALUE"""),6034.0)</f>
        <v>6034</v>
      </c>
      <c r="B429" s="97" t="str">
        <f>IFERROR(__xludf.DUMMYFUNCTION("""COMPUTED_VALUE"""),"ACACIA NG")</f>
        <v>ACACIA NG</v>
      </c>
      <c r="C429" s="97" t="str">
        <f>IFERROR(__xludf.DUMMYFUNCTION("""COMPUTED_VALUE"""),"EMPOTRABLE ACACIA NG 3W 3000K 67LM CRI&gt;90 IP65 LEUK")</f>
        <v>EMPOTRABLE ACACIA NG 3W 3000K 67LM CRI&gt;90 IP65 LEUK</v>
      </c>
      <c r="D429" s="97">
        <f>IFERROR(__xludf.DUMMYFUNCTION("""COMPUTED_VALUE"""),7.798328759955E12)</f>
        <v>7798328759955</v>
      </c>
      <c r="E429" s="97" t="str">
        <f>IFERROR(__xludf.DUMMYFUNCTION("""COMPUTED_VALUE"""),"c135")</f>
        <v>c135</v>
      </c>
      <c r="F429" s="97" t="str">
        <f>IFERROR(__xludf.DUMMYFUNCTION("""COMPUTED_VALUE"""),"LED integrado")</f>
        <v>LED integrado</v>
      </c>
      <c r="G429" s="97" t="str">
        <f>IFERROR(__xludf.DUMMYFUNCTION("""COMPUTED_VALUE"""),"OSRAM")</f>
        <v>OSRAM</v>
      </c>
      <c r="H429" s="97" t="str">
        <f>IFERROR(__xludf.DUMMYFUNCTION("""COMPUTED_VALUE"""),"-")</f>
        <v>-</v>
      </c>
      <c r="I429" s="97"/>
      <c r="J429" s="97" t="str">
        <f>IFERROR(__xludf.DUMMYFUNCTION("""COMPUTED_VALUE"""),"Driver sin carcasa ni especificaciones
Out: V LED 8,5V / LED 250mA")</f>
        <v>Driver sin carcasa ni especificaciones
Out: V LED 8,5V / LED 250mA</v>
      </c>
      <c r="K429" s="97" t="str">
        <f>IFERROR(__xludf.DUMMYFUNCTION("""COMPUTED_VALUE"""),"ON/OFF")</f>
        <v>ON/OFF</v>
      </c>
      <c r="L429" s="97" t="str">
        <f>IFERROR(__xludf.DUMMYFUNCTION("""COMPUTED_VALUE"""),"220-240")</f>
        <v>220-240</v>
      </c>
      <c r="M429" s="97" t="str">
        <f>IFERROR(__xludf.DUMMYFUNCTION("""COMPUTED_VALUE"""),"50/60")</f>
        <v>50/60</v>
      </c>
      <c r="N429" s="97"/>
      <c r="O429" s="97">
        <f>IFERROR(__xludf.DUMMYFUNCTION("""COMPUTED_VALUE"""),3.0)</f>
        <v>3</v>
      </c>
      <c r="P429" s="97"/>
      <c r="Q429" s="97">
        <f>IFERROR(__xludf.DUMMYFUNCTION("""COMPUTED_VALUE"""),0.46)</f>
        <v>0.46</v>
      </c>
      <c r="R429" s="97" t="str">
        <f>IFERROR(__xludf.DUMMYFUNCTION("""COMPUTED_VALUE"""),"-")</f>
        <v>-</v>
      </c>
      <c r="S429" s="97" t="str">
        <f>IFERROR(__xludf.DUMMYFUNCTION("""COMPUTED_VALUE"""),"-")</f>
        <v>-</v>
      </c>
      <c r="T429" s="97">
        <f>IFERROR(__xludf.DUMMYFUNCTION("""COMPUTED_VALUE"""),67.0)</f>
        <v>67</v>
      </c>
      <c r="U429" s="99">
        <f>IFERROR(__xludf.DUMMYFUNCTION("""COMPUTED_VALUE"""),22.333333333333332)</f>
        <v>22.33333333</v>
      </c>
      <c r="V429" s="97">
        <f>IFERROR(__xludf.DUMMYFUNCTION("""COMPUTED_VALUE"""),75.0)</f>
        <v>75</v>
      </c>
      <c r="W429" s="97" t="str">
        <f>IFERROR(__xludf.DUMMYFUNCTION("""COMPUTED_VALUE"""),"&lt; 20")</f>
        <v>&lt; 20</v>
      </c>
      <c r="X429" s="97">
        <f>IFERROR(__xludf.DUMMYFUNCTION("""COMPUTED_VALUE"""),3000.0)</f>
        <v>3000</v>
      </c>
      <c r="Y429" s="97" t="str">
        <f>IFERROR(__xludf.DUMMYFUNCTION("""COMPUTED_VALUE"""),"&gt;90")</f>
        <v>&gt;90</v>
      </c>
      <c r="Z429" s="97"/>
      <c r="AA429" s="97"/>
      <c r="AB429" s="97" t="str">
        <f>IFERROR(__xludf.DUMMYFUNCTION("""COMPUTED_VALUE"""),"&lt; 2")</f>
        <v>&lt; 2</v>
      </c>
      <c r="AC429" s="97"/>
      <c r="AD429" s="97" t="str">
        <f>IFERROR(__xludf.DUMMYFUNCTION("""COMPUTED_VALUE"""),"IP65")</f>
        <v>IP65</v>
      </c>
      <c r="AE429" s="97" t="str">
        <f>IFERROR(__xludf.DUMMYFUNCTION("""COMPUTED_VALUE"""),"Clase l")</f>
        <v>Clase l</v>
      </c>
      <c r="AF429" s="97" t="str">
        <f>IFERROR(__xludf.DUMMYFUNCTION("""COMPUTED_VALUE"""),"Embutir")</f>
        <v>Embutir</v>
      </c>
      <c r="AG429" s="97" t="str">
        <f>IFERROR(__xludf.DUMMYFUNCTION("""COMPUTED_VALUE"""),"83 x 47 x 83")</f>
        <v>83 x 47 x 83</v>
      </c>
      <c r="AH429" s="97" t="str">
        <f>IFERROR(__xludf.DUMMYFUNCTION("""COMPUTED_VALUE"""),"70 x 70")</f>
        <v>70 x 70</v>
      </c>
      <c r="AI429" s="97">
        <f>IFERROR(__xludf.DUMMYFUNCTION("""COMPUTED_VALUE"""),44.0)</f>
        <v>44</v>
      </c>
      <c r="AJ429" s="97" t="str">
        <f>IFERROR(__xludf.DUMMYFUNCTION("""COMPUTED_VALUE"""),"Vidrio")</f>
        <v>Vidrio</v>
      </c>
      <c r="AK429" s="97" t="str">
        <f>IFERROR(__xludf.DUMMYFUNCTION("""COMPUTED_VALUE"""),"Aluminio")</f>
        <v>Aluminio</v>
      </c>
      <c r="AL429" s="97" t="str">
        <f>IFERROR(__xludf.DUMMYFUNCTION("""COMPUTED_VALUE"""),"Negro Satinado")</f>
        <v>Negro Satinado</v>
      </c>
      <c r="AM429" s="97" t="str">
        <f>IFERROR(__xludf.DUMMYFUNCTION("""COMPUTED_VALUE"""),"-")</f>
        <v>-</v>
      </c>
      <c r="AN429" s="97" t="str">
        <f>IFERROR(__xludf.DUMMYFUNCTION("""COMPUTED_VALUE"""),"25.000hs (L70)")</f>
        <v>25.000hs (L70)</v>
      </c>
      <c r="AO429" s="97" t="str">
        <f>IFERROR(__xludf.DUMMYFUNCTION("""COMPUTED_VALUE"""),"2 Años")</f>
        <v>2 Años</v>
      </c>
      <c r="AP429" s="97" t="str">
        <f>IFERROR(__xludf.DUMMYFUNCTION("""COMPUTED_VALUE"""),"Disponible")</f>
        <v>Disponible</v>
      </c>
      <c r="AQ429" s="97" t="str">
        <f>IFERROR(__xludf.DUMMYFUNCTION("""COMPUTED_VALUE"""),"Disponible")</f>
        <v>Disponible</v>
      </c>
      <c r="AR429" s="97" t="str">
        <f>IFERROR(__xludf.DUMMYFUNCTION("""COMPUTED_VALUE"""),"Disponible")</f>
        <v>Disponible</v>
      </c>
      <c r="AS429" s="97"/>
      <c r="AT429" s="97"/>
      <c r="AU429" s="97" t="str">
        <f>IFERROR(__xludf.DUMMYFUNCTION("""COMPUTED_VALUE"""),"Falta")</f>
        <v>Falta</v>
      </c>
      <c r="AV429" s="97" t="str">
        <f>IFERROR(__xludf.DUMMYFUNCTION("""COMPUTED_VALUE"""),"Empotrable")</f>
        <v>Empotrable</v>
      </c>
      <c r="AW429" s="97" t="str">
        <f>IFERROR(__xludf.DUMMYFUNCTION("""COMPUTED_VALUE"""),"De Pared")</f>
        <v>De Pared</v>
      </c>
      <c r="AX429" s="97" t="str">
        <f>IFERROR(__xludf.DUMMYFUNCTION("""COMPUTED_VALUE"""),"Exterior")</f>
        <v>Exterior</v>
      </c>
      <c r="AY429" s="97" t="str">
        <f>IFERROR(__xludf.DUMMYFUNCTION("""COMPUTED_VALUE"""),"-")</f>
        <v>-</v>
      </c>
      <c r="AZ429" s="97"/>
      <c r="BA429" s="97">
        <f>IFERROR(__xludf.DUMMYFUNCTION("""COMPUTED_VALUE"""),100.0)</f>
        <v>100</v>
      </c>
      <c r="BB429" s="97" t="str">
        <f>IFERROR(__xludf.DUMMYFUNCTION("""COMPUTED_VALUE"""),"-")</f>
        <v>-</v>
      </c>
      <c r="BC429" s="97" t="str">
        <f>IFERROR(__xludf.DUMMYFUNCTION("""COMPUTED_VALUE"""),"-")</f>
        <v>-</v>
      </c>
      <c r="BD429" s="97" t="str">
        <f>IFERROR(__xludf.DUMMYFUNCTION("""COMPUTED_VALUE"""),"ACACIA")</f>
        <v>ACACIA</v>
      </c>
      <c r="BE429" s="97" t="str">
        <f>IFERROR(__xludf.DUMMYFUNCTION("""COMPUTED_VALUE"""),"Actualizar")</f>
        <v>Actualizar</v>
      </c>
      <c r="BF429" s="97"/>
      <c r="BG429" s="97" t="str">
        <f>IFERROR(__xludf.DUMMYFUNCTION("""COMPUTED_VALUE"""),"Activo")</f>
        <v>Activo</v>
      </c>
    </row>
    <row r="430">
      <c r="A430" s="97">
        <f>IFERROR(__xludf.DUMMYFUNCTION("""COMPUTED_VALUE"""),6035.0)</f>
        <v>6035</v>
      </c>
      <c r="B430" s="97" t="str">
        <f>IFERROR(__xludf.DUMMYFUNCTION("""COMPUTED_VALUE"""),"ACACIA BL")</f>
        <v>ACACIA BL</v>
      </c>
      <c r="C430" s="97" t="str">
        <f>IFERROR(__xludf.DUMMYFUNCTION("""COMPUTED_VALUE"""),"EMPOTRABLE ACACIA BL 3W 3000K 67LM CRI&gt;90 IP65 LEUK")</f>
        <v>EMPOTRABLE ACACIA BL 3W 3000K 67LM CRI&gt;90 IP65 LEUK</v>
      </c>
      <c r="D430" s="97">
        <f>IFERROR(__xludf.DUMMYFUNCTION("""COMPUTED_VALUE"""),7.798328759962E12)</f>
        <v>7798328759962</v>
      </c>
      <c r="E430" s="97" t="str">
        <f>IFERROR(__xludf.DUMMYFUNCTION("""COMPUTED_VALUE"""),"c135")</f>
        <v>c135</v>
      </c>
      <c r="F430" s="97" t="str">
        <f>IFERROR(__xludf.DUMMYFUNCTION("""COMPUTED_VALUE"""),"LED integrado")</f>
        <v>LED integrado</v>
      </c>
      <c r="G430" s="97" t="str">
        <f>IFERROR(__xludf.DUMMYFUNCTION("""COMPUTED_VALUE"""),"OSRAM")</f>
        <v>OSRAM</v>
      </c>
      <c r="H430" s="97" t="str">
        <f>IFERROR(__xludf.DUMMYFUNCTION("""COMPUTED_VALUE"""),"-")</f>
        <v>-</v>
      </c>
      <c r="I430" s="97"/>
      <c r="J430" s="97" t="str">
        <f>IFERROR(__xludf.DUMMYFUNCTION("""COMPUTED_VALUE"""),"Driver sin carcasa ni especificaciones
Out: V LED 8,5V / LED 250mA")</f>
        <v>Driver sin carcasa ni especificaciones
Out: V LED 8,5V / LED 250mA</v>
      </c>
      <c r="K430" s="97" t="str">
        <f>IFERROR(__xludf.DUMMYFUNCTION("""COMPUTED_VALUE"""),"ON/OFF")</f>
        <v>ON/OFF</v>
      </c>
      <c r="L430" s="97" t="str">
        <f>IFERROR(__xludf.DUMMYFUNCTION("""COMPUTED_VALUE"""),"220-240")</f>
        <v>220-240</v>
      </c>
      <c r="M430" s="97" t="str">
        <f>IFERROR(__xludf.DUMMYFUNCTION("""COMPUTED_VALUE"""),"50/60")</f>
        <v>50/60</v>
      </c>
      <c r="N430" s="97"/>
      <c r="O430" s="97">
        <f>IFERROR(__xludf.DUMMYFUNCTION("""COMPUTED_VALUE"""),3.0)</f>
        <v>3</v>
      </c>
      <c r="P430" s="97"/>
      <c r="Q430" s="97">
        <f>IFERROR(__xludf.DUMMYFUNCTION("""COMPUTED_VALUE"""),0.46)</f>
        <v>0.46</v>
      </c>
      <c r="R430" s="97" t="str">
        <f>IFERROR(__xludf.DUMMYFUNCTION("""COMPUTED_VALUE"""),"-")</f>
        <v>-</v>
      </c>
      <c r="S430" s="97" t="str">
        <f>IFERROR(__xludf.DUMMYFUNCTION("""COMPUTED_VALUE"""),"-")</f>
        <v>-</v>
      </c>
      <c r="T430" s="97">
        <f>IFERROR(__xludf.DUMMYFUNCTION("""COMPUTED_VALUE"""),67.0)</f>
        <v>67</v>
      </c>
      <c r="U430" s="99">
        <f>IFERROR(__xludf.DUMMYFUNCTION("""COMPUTED_VALUE"""),22.333333333333332)</f>
        <v>22.33333333</v>
      </c>
      <c r="V430" s="97">
        <f>IFERROR(__xludf.DUMMYFUNCTION("""COMPUTED_VALUE"""),75.0)</f>
        <v>75</v>
      </c>
      <c r="W430" s="97" t="str">
        <f>IFERROR(__xludf.DUMMYFUNCTION("""COMPUTED_VALUE"""),"&lt; 20")</f>
        <v>&lt; 20</v>
      </c>
      <c r="X430" s="97">
        <f>IFERROR(__xludf.DUMMYFUNCTION("""COMPUTED_VALUE"""),3000.0)</f>
        <v>3000</v>
      </c>
      <c r="Y430" s="97" t="str">
        <f>IFERROR(__xludf.DUMMYFUNCTION("""COMPUTED_VALUE"""),"&gt;90")</f>
        <v>&gt;90</v>
      </c>
      <c r="Z430" s="97"/>
      <c r="AA430" s="97"/>
      <c r="AB430" s="97" t="str">
        <f>IFERROR(__xludf.DUMMYFUNCTION("""COMPUTED_VALUE"""),"&lt; 2")</f>
        <v>&lt; 2</v>
      </c>
      <c r="AC430" s="97"/>
      <c r="AD430" s="97" t="str">
        <f>IFERROR(__xludf.DUMMYFUNCTION("""COMPUTED_VALUE"""),"IP65")</f>
        <v>IP65</v>
      </c>
      <c r="AE430" s="97" t="str">
        <f>IFERROR(__xludf.DUMMYFUNCTION("""COMPUTED_VALUE"""),"Clase l")</f>
        <v>Clase l</v>
      </c>
      <c r="AF430" s="97" t="str">
        <f>IFERROR(__xludf.DUMMYFUNCTION("""COMPUTED_VALUE"""),"Embutir")</f>
        <v>Embutir</v>
      </c>
      <c r="AG430" s="97" t="str">
        <f>IFERROR(__xludf.DUMMYFUNCTION("""COMPUTED_VALUE"""),"83 x 47 x 83")</f>
        <v>83 x 47 x 83</v>
      </c>
      <c r="AH430" s="97" t="str">
        <f>IFERROR(__xludf.DUMMYFUNCTION("""COMPUTED_VALUE"""),"70 x 70")</f>
        <v>70 x 70</v>
      </c>
      <c r="AI430" s="97">
        <f>IFERROR(__xludf.DUMMYFUNCTION("""COMPUTED_VALUE"""),44.0)</f>
        <v>44</v>
      </c>
      <c r="AJ430" s="97" t="str">
        <f>IFERROR(__xludf.DUMMYFUNCTION("""COMPUTED_VALUE"""),"Vidrio")</f>
        <v>Vidrio</v>
      </c>
      <c r="AK430" s="97" t="str">
        <f>IFERROR(__xludf.DUMMYFUNCTION("""COMPUTED_VALUE"""),"Aluminio")</f>
        <v>Aluminio</v>
      </c>
      <c r="AL430" s="97" t="str">
        <f>IFERROR(__xludf.DUMMYFUNCTION("""COMPUTED_VALUE"""),"Blanco Satinado")</f>
        <v>Blanco Satinado</v>
      </c>
      <c r="AM430" s="97" t="str">
        <f>IFERROR(__xludf.DUMMYFUNCTION("""COMPUTED_VALUE"""),"-")</f>
        <v>-</v>
      </c>
      <c r="AN430" s="97" t="str">
        <f>IFERROR(__xludf.DUMMYFUNCTION("""COMPUTED_VALUE"""),"25.000hs (L70)")</f>
        <v>25.000hs (L70)</v>
      </c>
      <c r="AO430" s="97" t="str">
        <f>IFERROR(__xludf.DUMMYFUNCTION("""COMPUTED_VALUE"""),"2 Años")</f>
        <v>2 Años</v>
      </c>
      <c r="AP430" s="97" t="str">
        <f>IFERROR(__xludf.DUMMYFUNCTION("""COMPUTED_VALUE"""),"Disponible")</f>
        <v>Disponible</v>
      </c>
      <c r="AQ430" s="97" t="str">
        <f>IFERROR(__xludf.DUMMYFUNCTION("""COMPUTED_VALUE"""),"Disponible")</f>
        <v>Disponible</v>
      </c>
      <c r="AR430" s="97" t="str">
        <f>IFERROR(__xludf.DUMMYFUNCTION("""COMPUTED_VALUE"""),"Disponible")</f>
        <v>Disponible</v>
      </c>
      <c r="AS430" s="97"/>
      <c r="AT430" s="97"/>
      <c r="AU430" s="97" t="str">
        <f>IFERROR(__xludf.DUMMYFUNCTION("""COMPUTED_VALUE"""),"Falta")</f>
        <v>Falta</v>
      </c>
      <c r="AV430" s="97" t="str">
        <f>IFERROR(__xludf.DUMMYFUNCTION("""COMPUTED_VALUE"""),"Empotrable")</f>
        <v>Empotrable</v>
      </c>
      <c r="AW430" s="97" t="str">
        <f>IFERROR(__xludf.DUMMYFUNCTION("""COMPUTED_VALUE"""),"De Pared")</f>
        <v>De Pared</v>
      </c>
      <c r="AX430" s="97" t="str">
        <f>IFERROR(__xludf.DUMMYFUNCTION("""COMPUTED_VALUE"""),"Exterior")</f>
        <v>Exterior</v>
      </c>
      <c r="AY430" s="97" t="str">
        <f>IFERROR(__xludf.DUMMYFUNCTION("""COMPUTED_VALUE"""),"-")</f>
        <v>-</v>
      </c>
      <c r="AZ430" s="97"/>
      <c r="BA430" s="97">
        <f>IFERROR(__xludf.DUMMYFUNCTION("""COMPUTED_VALUE"""),100.0)</f>
        <v>100</v>
      </c>
      <c r="BB430" s="97" t="str">
        <f>IFERROR(__xludf.DUMMYFUNCTION("""COMPUTED_VALUE"""),"-")</f>
        <v>-</v>
      </c>
      <c r="BC430" s="97" t="str">
        <f>IFERROR(__xludf.DUMMYFUNCTION("""COMPUTED_VALUE"""),"-")</f>
        <v>-</v>
      </c>
      <c r="BD430" s="97" t="str">
        <f>IFERROR(__xludf.DUMMYFUNCTION("""COMPUTED_VALUE"""),"ACACIA")</f>
        <v>ACACIA</v>
      </c>
      <c r="BE430" s="97" t="str">
        <f>IFERROR(__xludf.DUMMYFUNCTION("""COMPUTED_VALUE"""),"Actualizar")</f>
        <v>Actualizar</v>
      </c>
      <c r="BF430" s="97"/>
      <c r="BG430" s="97" t="str">
        <f>IFERROR(__xludf.DUMMYFUNCTION("""COMPUTED_VALUE"""),"Activo")</f>
        <v>Activo</v>
      </c>
    </row>
    <row r="431">
      <c r="A431" s="97">
        <f>IFERROR(__xludf.DUMMYFUNCTION("""COMPUTED_VALUE"""),6036.0)</f>
        <v>6036</v>
      </c>
      <c r="B431" s="97" t="str">
        <f>IFERROR(__xludf.DUMMYFUNCTION("""COMPUTED_VALUE"""),"PATOMA")</f>
        <v>PATOMA</v>
      </c>
      <c r="C431" s="97" t="str">
        <f>IFERROR(__xludf.DUMMYFUNCTION("""COMPUTED_VALUE"""),"LUMINARIA EXTERIOR DE PISO PATOMA LEUK")</f>
        <v>LUMINARIA EXTERIOR DE PISO PATOMA LEUK</v>
      </c>
      <c r="D431" s="97">
        <f>IFERROR(__xludf.DUMMYFUNCTION("""COMPUTED_VALUE"""),7.798328755759E12)</f>
        <v>7798328755759</v>
      </c>
      <c r="E431" s="97" t="str">
        <f>IFERROR(__xludf.DUMMYFUNCTION("""COMPUTED_VALUE"""),"-")</f>
        <v>-</v>
      </c>
      <c r="F431" s="97" t="str">
        <f>IFERROR(__xludf.DUMMYFUNCTION("""COMPUTED_VALUE"""),"1 x GU10")</f>
        <v>1 x GU10</v>
      </c>
      <c r="G431" s="97" t="str">
        <f>IFERROR(__xludf.DUMMYFUNCTION("""COMPUTED_VALUE"""),"N/A")</f>
        <v>N/A</v>
      </c>
      <c r="H431" s="97" t="str">
        <f>IFERROR(__xludf.DUMMYFUNCTION("""COMPUTED_VALUE"""),"N/A")</f>
        <v>N/A</v>
      </c>
      <c r="I431" s="97" t="str">
        <f>IFERROR(__xludf.DUMMYFUNCTION("""COMPUTED_VALUE"""),"N/A")</f>
        <v>N/A</v>
      </c>
      <c r="J431" s="97"/>
      <c r="K431" s="97" t="str">
        <f>IFERROR(__xludf.DUMMYFUNCTION("""COMPUTED_VALUE"""),"N/A")</f>
        <v>N/A</v>
      </c>
      <c r="L431" s="97" t="str">
        <f>IFERROR(__xludf.DUMMYFUNCTION("""COMPUTED_VALUE"""),"220-240")</f>
        <v>220-240</v>
      </c>
      <c r="M431" s="97" t="str">
        <f>IFERROR(__xludf.DUMMYFUNCTION("""COMPUTED_VALUE"""),"50/60")</f>
        <v>50/60</v>
      </c>
      <c r="N431" s="97"/>
      <c r="O431" s="97" t="str">
        <f>IFERROR(__xludf.DUMMYFUNCTION("""COMPUTED_VALUE"""),"1 x 35W Max")</f>
        <v>1 x 35W Max</v>
      </c>
      <c r="P431" s="97"/>
      <c r="Q431" s="97" t="str">
        <f>IFERROR(__xludf.DUMMYFUNCTION("""COMPUTED_VALUE"""),"-")</f>
        <v>-</v>
      </c>
      <c r="R431" s="97" t="str">
        <f>IFERROR(__xludf.DUMMYFUNCTION("""COMPUTED_VALUE"""),"-")</f>
        <v>-</v>
      </c>
      <c r="S431" s="97" t="str">
        <f>IFERROR(__xludf.DUMMYFUNCTION("""COMPUTED_VALUE"""),"-")</f>
        <v>-</v>
      </c>
      <c r="T431" s="97" t="str">
        <f>IFERROR(__xludf.DUMMYFUNCTION("""COMPUTED_VALUE"""),"-")</f>
        <v>-</v>
      </c>
      <c r="U431" s="97" t="str">
        <f>IFERROR(__xludf.DUMMYFUNCTION("""COMPUTED_VALUE"""),"-")</f>
        <v>-</v>
      </c>
      <c r="V431" s="97" t="str">
        <f>IFERROR(__xludf.DUMMYFUNCTION("""COMPUTED_VALUE"""),"N/A")</f>
        <v>N/A</v>
      </c>
      <c r="W431" s="97" t="str">
        <f>IFERROR(__xludf.DUMMYFUNCTION("""COMPUTED_VALUE"""),"N/A")</f>
        <v>N/A</v>
      </c>
      <c r="X431" s="97" t="str">
        <f>IFERROR(__xludf.DUMMYFUNCTION("""COMPUTED_VALUE"""),"-")</f>
        <v>-</v>
      </c>
      <c r="Y431" s="97" t="str">
        <f>IFERROR(__xludf.DUMMYFUNCTION("""COMPUTED_VALUE"""),"N/A")</f>
        <v>N/A</v>
      </c>
      <c r="Z431" s="97" t="str">
        <f>IFERROR(__xludf.DUMMYFUNCTION("""COMPUTED_VALUE"""),"N/A")</f>
        <v>N/A</v>
      </c>
      <c r="AA431" s="97" t="str">
        <f>IFERROR(__xludf.DUMMYFUNCTION("""COMPUTED_VALUE"""),"N/A")</f>
        <v>N/A</v>
      </c>
      <c r="AB431" s="97" t="str">
        <f>IFERROR(__xludf.DUMMYFUNCTION("""COMPUTED_VALUE"""),"N/A")</f>
        <v>N/A</v>
      </c>
      <c r="AC431" s="97" t="str">
        <f>IFERROR(__xludf.DUMMYFUNCTION("""COMPUTED_VALUE"""),"N/A")</f>
        <v>N/A</v>
      </c>
      <c r="AD431" s="97" t="str">
        <f>IFERROR(__xludf.DUMMYFUNCTION("""COMPUTED_VALUE"""),"IP55")</f>
        <v>IP55</v>
      </c>
      <c r="AE431" s="97" t="str">
        <f>IFERROR(__xludf.DUMMYFUNCTION("""COMPUTED_VALUE"""),"Clase l")</f>
        <v>Clase l</v>
      </c>
      <c r="AF431" s="97" t="str">
        <f>IFERROR(__xludf.DUMMYFUNCTION("""COMPUTED_VALUE"""),"Embutir")</f>
        <v>Embutir</v>
      </c>
      <c r="AG431" s="97" t="str">
        <f>IFERROR(__xludf.DUMMYFUNCTION("""COMPUTED_VALUE"""),"Ø100 x 110")</f>
        <v>Ø100 x 110</v>
      </c>
      <c r="AH431" s="97" t="str">
        <f>IFERROR(__xludf.DUMMYFUNCTION("""COMPUTED_VALUE"""),"Ø75 ")</f>
        <v>Ø75 </v>
      </c>
      <c r="AI431" s="97">
        <f>IFERROR(__xludf.DUMMYFUNCTION("""COMPUTED_VALUE"""),92.0)</f>
        <v>92</v>
      </c>
      <c r="AJ431" s="97" t="str">
        <f>IFERROR(__xludf.DUMMYFUNCTION("""COMPUTED_VALUE"""),"Vidrio")</f>
        <v>Vidrio</v>
      </c>
      <c r="AK431" s="97" t="str">
        <f>IFERROR(__xludf.DUMMYFUNCTION("""COMPUTED_VALUE"""),"Acero Inox")</f>
        <v>Acero Inox</v>
      </c>
      <c r="AL431" s="97" t="str">
        <f>IFERROR(__xludf.DUMMYFUNCTION("""COMPUTED_VALUE"""),"Natural")</f>
        <v>Natural</v>
      </c>
      <c r="AM431" s="97" t="str">
        <f>IFERROR(__xludf.DUMMYFUNCTION("""COMPUTED_VALUE"""),"-")</f>
        <v>-</v>
      </c>
      <c r="AN431" s="97" t="str">
        <f>IFERROR(__xludf.DUMMYFUNCTION("""COMPUTED_VALUE"""),"N/A")</f>
        <v>N/A</v>
      </c>
      <c r="AO431" s="97" t="str">
        <f>IFERROR(__xludf.DUMMYFUNCTION("""COMPUTED_VALUE"""),"2 Años")</f>
        <v>2 Años</v>
      </c>
      <c r="AP431" s="97" t="str">
        <f>IFERROR(__xludf.DUMMYFUNCTION("""COMPUTED_VALUE"""),"No Aplica")</f>
        <v>No Aplica</v>
      </c>
      <c r="AQ431" s="97" t="str">
        <f>IFERROR(__xludf.DUMMYFUNCTION("""COMPUTED_VALUE"""),"No Aplica")</f>
        <v>No Aplica</v>
      </c>
      <c r="AR431" s="97" t="str">
        <f>IFERROR(__xludf.DUMMYFUNCTION("""COMPUTED_VALUE"""),"No Aplica")</f>
        <v>No Aplica</v>
      </c>
      <c r="AS431" s="97" t="str">
        <f>IFERROR(__xludf.DUMMYFUNCTION("""COMPUTED_VALUE"""),"Falta")</f>
        <v>Falta</v>
      </c>
      <c r="AT431" s="97" t="str">
        <f>IFERROR(__xludf.DUMMYFUNCTION("""COMPUTED_VALUE"""),"Falta")</f>
        <v>Falta</v>
      </c>
      <c r="AU431" s="97" t="str">
        <f>IFERROR(__xludf.DUMMYFUNCTION("""COMPUTED_VALUE"""),"Falta")</f>
        <v>Falta</v>
      </c>
      <c r="AV431" s="97" t="str">
        <f>IFERROR(__xludf.DUMMYFUNCTION("""COMPUTED_VALUE"""),"Empotrable")</f>
        <v>Empotrable</v>
      </c>
      <c r="AW431" s="97" t="str">
        <f>IFERROR(__xludf.DUMMYFUNCTION("""COMPUTED_VALUE"""),"De Piso")</f>
        <v>De Piso</v>
      </c>
      <c r="AX431" s="97" t="str">
        <f>IFERROR(__xludf.DUMMYFUNCTION("""COMPUTED_VALUE"""),"Exterior")</f>
        <v>Exterior</v>
      </c>
      <c r="AY431" s="97"/>
      <c r="AZ431" s="97"/>
      <c r="BA431" s="97">
        <f>IFERROR(__xludf.DUMMYFUNCTION("""COMPUTED_VALUE"""),40.0)</f>
        <v>40</v>
      </c>
      <c r="BB431" s="97" t="str">
        <f>IFERROR(__xludf.DUMMYFUNCTION("""COMPUTED_VALUE"""),"-")</f>
        <v>-</v>
      </c>
      <c r="BC431" s="97" t="str">
        <f>IFERROR(__xludf.DUMMYFUNCTION("""COMPUTED_VALUE"""),"-")</f>
        <v>-</v>
      </c>
      <c r="BD431" s="97" t="str">
        <f>IFERROR(__xludf.DUMMYFUNCTION("""COMPUTED_VALUE"""),"PATOMA")</f>
        <v>PATOMA</v>
      </c>
      <c r="BE431" s="97" t="str">
        <f>IFERROR(__xludf.DUMMYFUNCTION("""COMPUTED_VALUE"""),"Finalizada")</f>
        <v>Finalizada</v>
      </c>
      <c r="BF431" s="97"/>
      <c r="BG431" s="97" t="str">
        <f>IFERROR(__xludf.DUMMYFUNCTION("""COMPUTED_VALUE"""),"Discontinuo")</f>
        <v>Discontinuo</v>
      </c>
    </row>
    <row r="432">
      <c r="A432" s="97">
        <f>IFERROR(__xludf.DUMMYFUNCTION("""COMPUTED_VALUE"""),6037.0)</f>
        <v>6037</v>
      </c>
      <c r="B432" s="97" t="str">
        <f>IFERROR(__xludf.DUMMYFUNCTION("""COMPUTED_VALUE"""),"DION")</f>
        <v>DION</v>
      </c>
      <c r="C432" s="97" t="str">
        <f>IFERROR(__xludf.DUMMYFUNCTION("""COMPUTED_VALUE"""),"APLIQUE DION 2XGU10 DICRO IP65 LEUK")</f>
        <v>APLIQUE DION 2XGU10 DICRO IP65 LEUK</v>
      </c>
      <c r="D432" s="97">
        <f>IFERROR(__xludf.DUMMYFUNCTION("""COMPUTED_VALUE"""),7.798328756107E12)</f>
        <v>7798328756107</v>
      </c>
      <c r="E432" s="97"/>
      <c r="F432" s="97" t="str">
        <f>IFERROR(__xludf.DUMMYFUNCTION("""COMPUTED_VALUE"""),"2xGU10 Dicro")</f>
        <v>2xGU10 Dicro</v>
      </c>
      <c r="G432" s="97" t="str">
        <f>IFERROR(__xludf.DUMMYFUNCTION("""COMPUTED_VALUE"""),"N/A")</f>
        <v>N/A</v>
      </c>
      <c r="H432" s="97" t="str">
        <f>IFERROR(__xludf.DUMMYFUNCTION("""COMPUTED_VALUE"""),"N/A")</f>
        <v>N/A</v>
      </c>
      <c r="I432" s="97" t="str">
        <f>IFERROR(__xludf.DUMMYFUNCTION("""COMPUTED_VALUE"""),"N/A")</f>
        <v>N/A</v>
      </c>
      <c r="J432" s="97" t="str">
        <f>IFERROR(__xludf.DUMMYFUNCTION("""COMPUTED_VALUE"""),"N/A")</f>
        <v>N/A</v>
      </c>
      <c r="K432" s="97" t="str">
        <f>IFERROR(__xludf.DUMMYFUNCTION("""COMPUTED_VALUE"""),"N/A")</f>
        <v>N/A</v>
      </c>
      <c r="L432" s="97" t="str">
        <f>IFERROR(__xludf.DUMMYFUNCTION("""COMPUTED_VALUE"""),"220-240")</f>
        <v>220-240</v>
      </c>
      <c r="M432" s="97" t="str">
        <f>IFERROR(__xludf.DUMMYFUNCTION("""COMPUTED_VALUE"""),"50/60")</f>
        <v>50/60</v>
      </c>
      <c r="N432" s="97"/>
      <c r="O432" s="97" t="str">
        <f>IFERROR(__xludf.DUMMYFUNCTION("""COMPUTED_VALUE"""),"2 x 35W Max")</f>
        <v>2 x 35W Max</v>
      </c>
      <c r="P432" s="97"/>
      <c r="Q432" s="97" t="str">
        <f>IFERROR(__xludf.DUMMYFUNCTION("""COMPUTED_VALUE"""),"-")</f>
        <v>-</v>
      </c>
      <c r="R432" s="97" t="str">
        <f>IFERROR(__xludf.DUMMYFUNCTION("""COMPUTED_VALUE"""),"-")</f>
        <v>-</v>
      </c>
      <c r="S432" s="97" t="str">
        <f>IFERROR(__xludf.DUMMYFUNCTION("""COMPUTED_VALUE"""),"-")</f>
        <v>-</v>
      </c>
      <c r="T432" s="97" t="str">
        <f>IFERROR(__xludf.DUMMYFUNCTION("""COMPUTED_VALUE"""),"-")</f>
        <v>-</v>
      </c>
      <c r="U432" s="97" t="str">
        <f>IFERROR(__xludf.DUMMYFUNCTION("""COMPUTED_VALUE"""),"-")</f>
        <v>-</v>
      </c>
      <c r="V432" s="97" t="str">
        <f>IFERROR(__xludf.DUMMYFUNCTION("""COMPUTED_VALUE"""),"N/A")</f>
        <v>N/A</v>
      </c>
      <c r="W432" s="97" t="str">
        <f>IFERROR(__xludf.DUMMYFUNCTION("""COMPUTED_VALUE"""),"N/A")</f>
        <v>N/A</v>
      </c>
      <c r="X432" s="97" t="str">
        <f>IFERROR(__xludf.DUMMYFUNCTION("""COMPUTED_VALUE"""),"-")</f>
        <v>-</v>
      </c>
      <c r="Y432" s="97" t="str">
        <f>IFERROR(__xludf.DUMMYFUNCTION("""COMPUTED_VALUE"""),"N/A")</f>
        <v>N/A</v>
      </c>
      <c r="Z432" s="97" t="str">
        <f>IFERROR(__xludf.DUMMYFUNCTION("""COMPUTED_VALUE"""),"N/A")</f>
        <v>N/A</v>
      </c>
      <c r="AA432" s="97" t="str">
        <f>IFERROR(__xludf.DUMMYFUNCTION("""COMPUTED_VALUE"""),"N/A")</f>
        <v>N/A</v>
      </c>
      <c r="AB432" s="97" t="str">
        <f>IFERROR(__xludf.DUMMYFUNCTION("""COMPUTED_VALUE"""),"N/A")</f>
        <v>N/A</v>
      </c>
      <c r="AC432" s="97" t="str">
        <f>IFERROR(__xludf.DUMMYFUNCTION("""COMPUTED_VALUE"""),"N/A")</f>
        <v>N/A</v>
      </c>
      <c r="AD432" s="97" t="str">
        <f>IFERROR(__xludf.DUMMYFUNCTION("""COMPUTED_VALUE"""),"IP65")</f>
        <v>IP65</v>
      </c>
      <c r="AE432" s="97" t="str">
        <f>IFERROR(__xludf.DUMMYFUNCTION("""COMPUTED_VALUE"""),"Clase l")</f>
        <v>Clase l</v>
      </c>
      <c r="AF432" s="97" t="str">
        <f>IFERROR(__xludf.DUMMYFUNCTION("""COMPUTED_VALUE"""),"Aplicar")</f>
        <v>Aplicar</v>
      </c>
      <c r="AG432" s="97" t="str">
        <f>IFERROR(__xludf.DUMMYFUNCTION("""COMPUTED_VALUE"""),"64 x 112,5 x 160")</f>
        <v>64 x 112,5 x 160</v>
      </c>
      <c r="AH432" s="97" t="str">
        <f>IFERROR(__xludf.DUMMYFUNCTION("""COMPUTED_VALUE"""),"N/A")</f>
        <v>N/A</v>
      </c>
      <c r="AI432" s="97" t="str">
        <f>IFERROR(__xludf.DUMMYFUNCTION("""COMPUTED_VALUE"""),"N/A")</f>
        <v>N/A</v>
      </c>
      <c r="AJ432" s="97" t="str">
        <f>IFERROR(__xludf.DUMMYFUNCTION("""COMPUTED_VALUE"""),"Vidrio")</f>
        <v>Vidrio</v>
      </c>
      <c r="AK432" s="97" t="str">
        <f>IFERROR(__xludf.DUMMYFUNCTION("""COMPUTED_VALUE"""),"Aluminio")</f>
        <v>Aluminio</v>
      </c>
      <c r="AL432" s="97" t="str">
        <f>IFERROR(__xludf.DUMMYFUNCTION("""COMPUTED_VALUE"""),"Negro Satinado")</f>
        <v>Negro Satinado</v>
      </c>
      <c r="AM432" s="97" t="str">
        <f>IFERROR(__xludf.DUMMYFUNCTION("""COMPUTED_VALUE"""),"-")</f>
        <v>-</v>
      </c>
      <c r="AN432" s="97" t="str">
        <f>IFERROR(__xludf.DUMMYFUNCTION("""COMPUTED_VALUE"""),"N/A")</f>
        <v>N/A</v>
      </c>
      <c r="AO432" s="97" t="str">
        <f>IFERROR(__xludf.DUMMYFUNCTION("""COMPUTED_VALUE"""),"2 Años")</f>
        <v>2 Años</v>
      </c>
      <c r="AP432" s="97" t="str">
        <f>IFERROR(__xludf.DUMMYFUNCTION("""COMPUTED_VALUE"""),"No Aplica")</f>
        <v>No Aplica</v>
      </c>
      <c r="AQ432" s="97" t="str">
        <f>IFERROR(__xludf.DUMMYFUNCTION("""COMPUTED_VALUE"""),"No Aplica")</f>
        <v>No Aplica</v>
      </c>
      <c r="AR432" s="97" t="str">
        <f>IFERROR(__xludf.DUMMYFUNCTION("""COMPUTED_VALUE"""),"No Aplica")</f>
        <v>No Aplica</v>
      </c>
      <c r="AS432" s="97"/>
      <c r="AT432" s="97"/>
      <c r="AU432" s="97" t="str">
        <f>IFERROR(__xludf.DUMMYFUNCTION("""COMPUTED_VALUE"""),"Falta")</f>
        <v>Falta</v>
      </c>
      <c r="AV432" s="97" t="str">
        <f>IFERROR(__xludf.DUMMYFUNCTION("""COMPUTED_VALUE"""),"Aplique")</f>
        <v>Aplique</v>
      </c>
      <c r="AW432" s="97" t="str">
        <f>IFERROR(__xludf.DUMMYFUNCTION("""COMPUTED_VALUE"""),"De Pared")</f>
        <v>De Pared</v>
      </c>
      <c r="AX432" s="97" t="str">
        <f>IFERROR(__xludf.DUMMYFUNCTION("""COMPUTED_VALUE"""),"Exterior")</f>
        <v>Exterior</v>
      </c>
      <c r="AY432" s="97" t="str">
        <f>IFERROR(__xludf.DUMMYFUNCTION("""COMPUTED_VALUE"""),"-")</f>
        <v>-</v>
      </c>
      <c r="AZ432" s="97"/>
      <c r="BA432" s="97">
        <f>IFERROR(__xludf.DUMMYFUNCTION("""COMPUTED_VALUE"""),30.0)</f>
        <v>30</v>
      </c>
      <c r="BB432" s="97" t="str">
        <f>IFERROR(__xludf.DUMMYFUNCTION("""COMPUTED_VALUE"""),"-")</f>
        <v>-</v>
      </c>
      <c r="BC432" s="97" t="str">
        <f>IFERROR(__xludf.DUMMYFUNCTION("""COMPUTED_VALUE"""),"-")</f>
        <v>-</v>
      </c>
      <c r="BD432" s="97" t="str">
        <f>IFERROR(__xludf.DUMMYFUNCTION("""COMPUTED_VALUE"""),"DION")</f>
        <v>DION</v>
      </c>
      <c r="BE432" s="97" t="str">
        <f>IFERROR(__xludf.DUMMYFUNCTION("""COMPUTED_VALUE"""),"Finalizada")</f>
        <v>Finalizada</v>
      </c>
      <c r="BF432" s="97"/>
      <c r="BG432" s="97" t="str">
        <f>IFERROR(__xludf.DUMMYFUNCTION("""COMPUTED_VALUE"""),"Activo")</f>
        <v>Activo</v>
      </c>
    </row>
    <row r="433">
      <c r="A433" s="97">
        <f>IFERROR(__xludf.DUMMYFUNCTION("""COMPUTED_VALUE"""),6038.0)</f>
        <v>6038</v>
      </c>
      <c r="B433" s="97" t="str">
        <f>IFERROR(__xludf.DUMMYFUNCTION("""COMPUTED_VALUE"""),"POLUX")</f>
        <v>POLUX</v>
      </c>
      <c r="C433" s="97" t="str">
        <f>IFERROR(__xludf.DUMMYFUNCTION("""COMPUTED_VALUE"""),"EMPOTRABLE POLUX 3W 3000K 9LM CRI&gt;85 IP65 LEUK")</f>
        <v>EMPOTRABLE POLUX 3W 3000K 9LM CRI&gt;85 IP65 LEUK</v>
      </c>
      <c r="D433" s="97">
        <f>IFERROR(__xludf.DUMMYFUNCTION("""COMPUTED_VALUE"""),7.798328756114E12)</f>
        <v>7798328756114</v>
      </c>
      <c r="E433" s="97"/>
      <c r="F433" s="97" t="str">
        <f>IFERROR(__xludf.DUMMYFUNCTION("""COMPUTED_VALUE"""),"LED integrado")</f>
        <v>LED integrado</v>
      </c>
      <c r="G433" s="97" t="str">
        <f>IFERROR(__xludf.DUMMYFUNCTION("""COMPUTED_VALUE"""),"-")</f>
        <v>-</v>
      </c>
      <c r="H433" s="97" t="str">
        <f>IFERROR(__xludf.DUMMYFUNCTION("""COMPUTED_VALUE"""),"-")</f>
        <v>-</v>
      </c>
      <c r="I433" s="97"/>
      <c r="J433" s="97"/>
      <c r="K433" s="97" t="str">
        <f>IFERROR(__xludf.DUMMYFUNCTION("""COMPUTED_VALUE"""),"ON/OFF")</f>
        <v>ON/OFF</v>
      </c>
      <c r="L433" s="97" t="str">
        <f>IFERROR(__xludf.DUMMYFUNCTION("""COMPUTED_VALUE"""),"220-240")</f>
        <v>220-240</v>
      </c>
      <c r="M433" s="97" t="str">
        <f>IFERROR(__xludf.DUMMYFUNCTION("""COMPUTED_VALUE"""),"50/60")</f>
        <v>50/60</v>
      </c>
      <c r="N433" s="97"/>
      <c r="O433" s="97">
        <f>IFERROR(__xludf.DUMMYFUNCTION("""COMPUTED_VALUE"""),3.0)</f>
        <v>3</v>
      </c>
      <c r="P433" s="97"/>
      <c r="Q433" s="97">
        <f>IFERROR(__xludf.DUMMYFUNCTION("""COMPUTED_VALUE"""),0.49)</f>
        <v>0.49</v>
      </c>
      <c r="R433" s="97" t="str">
        <f>IFERROR(__xludf.DUMMYFUNCTION("""COMPUTED_VALUE"""),"-")</f>
        <v>-</v>
      </c>
      <c r="S433" s="97" t="str">
        <f>IFERROR(__xludf.DUMMYFUNCTION("""COMPUTED_VALUE"""),"-")</f>
        <v>-</v>
      </c>
      <c r="T433" s="97">
        <f>IFERROR(__xludf.DUMMYFUNCTION("""COMPUTED_VALUE"""),9.0)</f>
        <v>9</v>
      </c>
      <c r="U433" s="99">
        <f>IFERROR(__xludf.DUMMYFUNCTION("""COMPUTED_VALUE"""),3.0)</f>
        <v>3</v>
      </c>
      <c r="V433" s="97">
        <f>IFERROR(__xludf.DUMMYFUNCTION("""COMPUTED_VALUE"""),117.0)</f>
        <v>117</v>
      </c>
      <c r="W433" s="97" t="str">
        <f>IFERROR(__xludf.DUMMYFUNCTION("""COMPUTED_VALUE"""),"&lt; 20")</f>
        <v>&lt; 20</v>
      </c>
      <c r="X433" s="97">
        <f>IFERROR(__xludf.DUMMYFUNCTION("""COMPUTED_VALUE"""),3000.0)</f>
        <v>3000</v>
      </c>
      <c r="Y433" s="97" t="str">
        <f>IFERROR(__xludf.DUMMYFUNCTION("""COMPUTED_VALUE"""),"&gt;85")</f>
        <v>&gt;85</v>
      </c>
      <c r="Z433" s="97"/>
      <c r="AA433" s="97"/>
      <c r="AB433" s="97" t="str">
        <f>IFERROR(__xludf.DUMMYFUNCTION("""COMPUTED_VALUE"""),"-")</f>
        <v>-</v>
      </c>
      <c r="AC433" s="97"/>
      <c r="AD433" s="97" t="str">
        <f>IFERROR(__xludf.DUMMYFUNCTION("""COMPUTED_VALUE"""),"IP65")</f>
        <v>IP65</v>
      </c>
      <c r="AE433" s="97" t="str">
        <f>IFERROR(__xludf.DUMMYFUNCTION("""COMPUTED_VALUE"""),"Clase l")</f>
        <v>Clase l</v>
      </c>
      <c r="AF433" s="97" t="str">
        <f>IFERROR(__xludf.DUMMYFUNCTION("""COMPUTED_VALUE"""),"Embutir")</f>
        <v>Embutir</v>
      </c>
      <c r="AG433" s="97" t="str">
        <f>IFERROR(__xludf.DUMMYFUNCTION("""COMPUTED_VALUE"""),"Ø50 x 88")</f>
        <v>Ø50 x 88</v>
      </c>
      <c r="AH433" s="97" t="str">
        <f>IFERROR(__xludf.DUMMYFUNCTION("""COMPUTED_VALUE"""),"Ø45 ")</f>
        <v>Ø45 </v>
      </c>
      <c r="AI433" s="97">
        <f>IFERROR(__xludf.DUMMYFUNCTION("""COMPUTED_VALUE"""),80.0)</f>
        <v>80</v>
      </c>
      <c r="AJ433" s="97" t="str">
        <f>IFERROR(__xludf.DUMMYFUNCTION("""COMPUTED_VALUE"""),"Vidrio")</f>
        <v>Vidrio</v>
      </c>
      <c r="AK433" s="97" t="str">
        <f>IFERROR(__xludf.DUMMYFUNCTION("""COMPUTED_VALUE"""),"Acero Inox")</f>
        <v>Acero Inox</v>
      </c>
      <c r="AL433" s="97" t="str">
        <f>IFERROR(__xludf.DUMMYFUNCTION("""COMPUTED_VALUE"""),"Acero Inoxidable")</f>
        <v>Acero Inoxidable</v>
      </c>
      <c r="AM433" s="97" t="str">
        <f>IFERROR(__xludf.DUMMYFUNCTION("""COMPUTED_VALUE"""),"-")</f>
        <v>-</v>
      </c>
      <c r="AN433" s="97" t="str">
        <f>IFERROR(__xludf.DUMMYFUNCTION("""COMPUTED_VALUE"""),"25.000hs (L70)")</f>
        <v>25.000hs (L70)</v>
      </c>
      <c r="AO433" s="97" t="str">
        <f>IFERROR(__xludf.DUMMYFUNCTION("""COMPUTED_VALUE"""),"2 Años")</f>
        <v>2 Años</v>
      </c>
      <c r="AP433" s="97" t="str">
        <f>IFERROR(__xludf.DUMMYFUNCTION("""COMPUTED_VALUE"""),"Disponible")</f>
        <v>Disponible</v>
      </c>
      <c r="AQ433" s="97" t="str">
        <f>IFERROR(__xludf.DUMMYFUNCTION("""COMPUTED_VALUE"""),"Disponible")</f>
        <v>Disponible</v>
      </c>
      <c r="AR433" s="97" t="str">
        <f>IFERROR(__xludf.DUMMYFUNCTION("""COMPUTED_VALUE"""),"Disponible")</f>
        <v>Disponible</v>
      </c>
      <c r="AS433" s="97" t="str">
        <f>IFERROR(__xludf.DUMMYFUNCTION("""COMPUTED_VALUE"""),"Falta")</f>
        <v>Falta</v>
      </c>
      <c r="AT433" s="97" t="str">
        <f>IFERROR(__xludf.DUMMYFUNCTION("""COMPUTED_VALUE"""),"Falta")</f>
        <v>Falta</v>
      </c>
      <c r="AU433" s="97" t="str">
        <f>IFERROR(__xludf.DUMMYFUNCTION("""COMPUTED_VALUE"""),"Falta")</f>
        <v>Falta</v>
      </c>
      <c r="AV433" s="97" t="str">
        <f>IFERROR(__xludf.DUMMYFUNCTION("""COMPUTED_VALUE"""),"Empotrable")</f>
        <v>Empotrable</v>
      </c>
      <c r="AW433" s="97" t="str">
        <f>IFERROR(__xludf.DUMMYFUNCTION("""COMPUTED_VALUE"""),"De Piso")</f>
        <v>De Piso</v>
      </c>
      <c r="AX433" s="97" t="str">
        <f>IFERROR(__xludf.DUMMYFUNCTION("""COMPUTED_VALUE"""),"Exterior")</f>
        <v>Exterior</v>
      </c>
      <c r="AY433" s="97" t="str">
        <f>IFERROR(__xludf.DUMMYFUNCTION("""COMPUTED_VALUE"""),"-")</f>
        <v>-</v>
      </c>
      <c r="AZ433" s="97"/>
      <c r="BA433" s="97">
        <f>IFERROR(__xludf.DUMMYFUNCTION("""COMPUTED_VALUE"""),100.0)</f>
        <v>100</v>
      </c>
      <c r="BB433" s="97" t="str">
        <f>IFERROR(__xludf.DUMMYFUNCTION("""COMPUTED_VALUE"""),"-")</f>
        <v>-</v>
      </c>
      <c r="BC433" s="97" t="str">
        <f>IFERROR(__xludf.DUMMYFUNCTION("""COMPUTED_VALUE"""),"-")</f>
        <v>-</v>
      </c>
      <c r="BD433" s="97" t="str">
        <f>IFERROR(__xludf.DUMMYFUNCTION("""COMPUTED_VALUE"""),"POLUX")</f>
        <v>POLUX</v>
      </c>
      <c r="BE433" s="97" t="str">
        <f>IFERROR(__xludf.DUMMYFUNCTION("""COMPUTED_VALUE"""),"Finalizada")</f>
        <v>Finalizada</v>
      </c>
      <c r="BF433" s="97"/>
      <c r="BG433" s="97" t="str">
        <f>IFERROR(__xludf.DUMMYFUNCTION("""COMPUTED_VALUE"""),"Activo")</f>
        <v>Activo</v>
      </c>
    </row>
    <row r="434">
      <c r="A434" s="97">
        <f>IFERROR(__xludf.DUMMYFUNCTION("""COMPUTED_VALUE"""),6039.0)</f>
        <v>6039</v>
      </c>
      <c r="B434" s="97" t="str">
        <f>IFERROR(__xludf.DUMMYFUNCTION("""COMPUTED_VALUE"""),"LETO")</f>
        <v>LETO</v>
      </c>
      <c r="C434" s="97" t="str">
        <f>IFERROR(__xludf.DUMMYFUNCTION("""COMPUTED_VALUE"""),"EMPOTRABLE LETO 3W 3000K 45LM CRI&gt;70 IP65 LEUK")</f>
        <v>EMPOTRABLE LETO 3W 3000K 45LM CRI&gt;70 IP65 LEUK</v>
      </c>
      <c r="D434" s="97">
        <f>IFERROR(__xludf.DUMMYFUNCTION("""COMPUTED_VALUE"""),7.798328756121E12)</f>
        <v>7798328756121</v>
      </c>
      <c r="E434" s="97"/>
      <c r="F434" s="97" t="str">
        <f>IFERROR(__xludf.DUMMYFUNCTION("""COMPUTED_VALUE"""),"LED integrado")</f>
        <v>LED integrado</v>
      </c>
      <c r="G434" s="97" t="str">
        <f>IFERROR(__xludf.DUMMYFUNCTION("""COMPUTED_VALUE"""),"-")</f>
        <v>-</v>
      </c>
      <c r="H434" s="97" t="str">
        <f>IFERROR(__xludf.DUMMYFUNCTION("""COMPUTED_VALUE"""),"-")</f>
        <v>-</v>
      </c>
      <c r="I434" s="97"/>
      <c r="J434" s="97"/>
      <c r="K434" s="97" t="str">
        <f>IFERROR(__xludf.DUMMYFUNCTION("""COMPUTED_VALUE"""),"ON/OFF")</f>
        <v>ON/OFF</v>
      </c>
      <c r="L434" s="97" t="str">
        <f>IFERROR(__xludf.DUMMYFUNCTION("""COMPUTED_VALUE"""),"220-240")</f>
        <v>220-240</v>
      </c>
      <c r="M434" s="97" t="str">
        <f>IFERROR(__xludf.DUMMYFUNCTION("""COMPUTED_VALUE"""),"50/60")</f>
        <v>50/60</v>
      </c>
      <c r="N434" s="97"/>
      <c r="O434" s="97">
        <f>IFERROR(__xludf.DUMMYFUNCTION("""COMPUTED_VALUE"""),3.0)</f>
        <v>3</v>
      </c>
      <c r="P434" s="97"/>
      <c r="Q434" s="97">
        <f>IFERROR(__xludf.DUMMYFUNCTION("""COMPUTED_VALUE"""),0.33)</f>
        <v>0.33</v>
      </c>
      <c r="R434" s="97" t="str">
        <f>IFERROR(__xludf.DUMMYFUNCTION("""COMPUTED_VALUE"""),"-")</f>
        <v>-</v>
      </c>
      <c r="S434" s="97" t="str">
        <f>IFERROR(__xludf.DUMMYFUNCTION("""COMPUTED_VALUE"""),"-")</f>
        <v>-</v>
      </c>
      <c r="T434" s="97">
        <f>IFERROR(__xludf.DUMMYFUNCTION("""COMPUTED_VALUE"""),45.0)</f>
        <v>45</v>
      </c>
      <c r="U434" s="99">
        <f>IFERROR(__xludf.DUMMYFUNCTION("""COMPUTED_VALUE"""),15.0)</f>
        <v>15</v>
      </c>
      <c r="V434" s="97">
        <f>IFERROR(__xludf.DUMMYFUNCTION("""COMPUTED_VALUE"""),36.0)</f>
        <v>36</v>
      </c>
      <c r="W434" s="97" t="str">
        <f>IFERROR(__xludf.DUMMYFUNCTION("""COMPUTED_VALUE"""),"&lt; 20")</f>
        <v>&lt; 20</v>
      </c>
      <c r="X434" s="97">
        <f>IFERROR(__xludf.DUMMYFUNCTION("""COMPUTED_VALUE"""),3000.0)</f>
        <v>3000</v>
      </c>
      <c r="Y434" s="97" t="str">
        <f>IFERROR(__xludf.DUMMYFUNCTION("""COMPUTED_VALUE"""),"&gt;70")</f>
        <v>&gt;70</v>
      </c>
      <c r="Z434" s="97"/>
      <c r="AA434" s="97"/>
      <c r="AB434" s="97" t="str">
        <f>IFERROR(__xludf.DUMMYFUNCTION("""COMPUTED_VALUE"""),"-")</f>
        <v>-</v>
      </c>
      <c r="AC434" s="97"/>
      <c r="AD434" s="97" t="str">
        <f>IFERROR(__xludf.DUMMYFUNCTION("""COMPUTED_VALUE"""),"IP65")</f>
        <v>IP65</v>
      </c>
      <c r="AE434" s="97" t="str">
        <f>IFERROR(__xludf.DUMMYFUNCTION("""COMPUTED_VALUE"""),"Clase l")</f>
        <v>Clase l</v>
      </c>
      <c r="AF434" s="97" t="str">
        <f>IFERROR(__xludf.DUMMYFUNCTION("""COMPUTED_VALUE"""),"Embutir")</f>
        <v>Embutir</v>
      </c>
      <c r="AG434" s="97" t="str">
        <f>IFERROR(__xludf.DUMMYFUNCTION("""COMPUTED_VALUE"""),"Ø50 x 81")</f>
        <v>Ø50 x 81</v>
      </c>
      <c r="AH434" s="97" t="str">
        <f>IFERROR(__xludf.DUMMYFUNCTION("""COMPUTED_VALUE"""),"Ø45 ")</f>
        <v>Ø45 </v>
      </c>
      <c r="AI434" s="97">
        <f>IFERROR(__xludf.DUMMYFUNCTION("""COMPUTED_VALUE"""),80.0)</f>
        <v>80</v>
      </c>
      <c r="AJ434" s="97" t="str">
        <f>IFERROR(__xludf.DUMMYFUNCTION("""COMPUTED_VALUE"""),"Vidrio")</f>
        <v>Vidrio</v>
      </c>
      <c r="AK434" s="97" t="str">
        <f>IFERROR(__xludf.DUMMYFUNCTION("""COMPUTED_VALUE"""),"Acero Inox")</f>
        <v>Acero Inox</v>
      </c>
      <c r="AL434" s="97" t="str">
        <f>IFERROR(__xludf.DUMMYFUNCTION("""COMPUTED_VALUE"""),"Natural")</f>
        <v>Natural</v>
      </c>
      <c r="AM434" s="97" t="str">
        <f>IFERROR(__xludf.DUMMYFUNCTION("""COMPUTED_VALUE"""),"-")</f>
        <v>-</v>
      </c>
      <c r="AN434" s="97" t="str">
        <f>IFERROR(__xludf.DUMMYFUNCTION("""COMPUTED_VALUE"""),"25.000hs (L70)")</f>
        <v>25.000hs (L70)</v>
      </c>
      <c r="AO434" s="97" t="str">
        <f>IFERROR(__xludf.DUMMYFUNCTION("""COMPUTED_VALUE"""),"2 Años")</f>
        <v>2 Años</v>
      </c>
      <c r="AP434" s="97" t="str">
        <f>IFERROR(__xludf.DUMMYFUNCTION("""COMPUTED_VALUE"""),"Disponible")</f>
        <v>Disponible</v>
      </c>
      <c r="AQ434" s="97" t="str">
        <f>IFERROR(__xludf.DUMMYFUNCTION("""COMPUTED_VALUE"""),"Disponible")</f>
        <v>Disponible</v>
      </c>
      <c r="AR434" s="97" t="str">
        <f>IFERROR(__xludf.DUMMYFUNCTION("""COMPUTED_VALUE"""),"Disponible")</f>
        <v>Disponible</v>
      </c>
      <c r="AS434" s="97" t="str">
        <f>IFERROR(__xludf.DUMMYFUNCTION("""COMPUTED_VALUE"""),"Falta")</f>
        <v>Falta</v>
      </c>
      <c r="AT434" s="97" t="str">
        <f>IFERROR(__xludf.DUMMYFUNCTION("""COMPUTED_VALUE"""),"Falta")</f>
        <v>Falta</v>
      </c>
      <c r="AU434" s="97" t="str">
        <f>IFERROR(__xludf.DUMMYFUNCTION("""COMPUTED_VALUE"""),"Falta")</f>
        <v>Falta</v>
      </c>
      <c r="AV434" s="97" t="str">
        <f>IFERROR(__xludf.DUMMYFUNCTION("""COMPUTED_VALUE"""),"Empotrable")</f>
        <v>Empotrable</v>
      </c>
      <c r="AW434" s="97" t="str">
        <f>IFERROR(__xludf.DUMMYFUNCTION("""COMPUTED_VALUE"""),"De Piso")</f>
        <v>De Piso</v>
      </c>
      <c r="AX434" s="97" t="str">
        <f>IFERROR(__xludf.DUMMYFUNCTION("""COMPUTED_VALUE"""),"Exterior")</f>
        <v>Exterior</v>
      </c>
      <c r="AY434" s="97" t="str">
        <f>IFERROR(__xludf.DUMMYFUNCTION("""COMPUTED_VALUE"""),"-")</f>
        <v>-</v>
      </c>
      <c r="AZ434" s="97"/>
      <c r="BA434" s="97">
        <f>IFERROR(__xludf.DUMMYFUNCTION("""COMPUTED_VALUE"""),100.0)</f>
        <v>100</v>
      </c>
      <c r="BB434" s="97" t="str">
        <f>IFERROR(__xludf.DUMMYFUNCTION("""COMPUTED_VALUE"""),"-")</f>
        <v>-</v>
      </c>
      <c r="BC434" s="97" t="str">
        <f>IFERROR(__xludf.DUMMYFUNCTION("""COMPUTED_VALUE"""),"-")</f>
        <v>-</v>
      </c>
      <c r="BD434" s="97" t="str">
        <f>IFERROR(__xludf.DUMMYFUNCTION("""COMPUTED_VALUE"""),"LETO")</f>
        <v>LETO</v>
      </c>
      <c r="BE434" s="97" t="str">
        <f>IFERROR(__xludf.DUMMYFUNCTION("""COMPUTED_VALUE"""),"Finalizada")</f>
        <v>Finalizada</v>
      </c>
      <c r="BF434" s="97"/>
      <c r="BG434" s="97" t="str">
        <f>IFERROR(__xludf.DUMMYFUNCTION("""COMPUTED_VALUE"""),"Activo")</f>
        <v>Activo</v>
      </c>
    </row>
    <row r="435">
      <c r="A435" s="97">
        <f>IFERROR(__xludf.DUMMYFUNCTION("""COMPUTED_VALUE"""),6040.0)</f>
        <v>6040</v>
      </c>
      <c r="B435" s="97" t="str">
        <f>IFERROR(__xludf.DUMMYFUNCTION("""COMPUTED_VALUE"""),"BACO")</f>
        <v>BACO</v>
      </c>
      <c r="C435" s="97" t="str">
        <f>IFERROR(__xludf.DUMMYFUNCTION("""COMPUTED_VALUE"""),"COLGANTE BACO LEUK")</f>
        <v>COLGANTE BACO LEUK</v>
      </c>
      <c r="D435" s="97">
        <f>IFERROR(__xludf.DUMMYFUNCTION("""COMPUTED_VALUE"""),7.798328756275E12)</f>
        <v>7798328756275</v>
      </c>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t="str">
        <f>IFERROR(__xludf.DUMMYFUNCTION("""COMPUTED_VALUE"""),"IP20")</f>
        <v>IP20</v>
      </c>
      <c r="AE435" s="97"/>
      <c r="AF435" s="97" t="str">
        <f>IFERROR(__xludf.DUMMYFUNCTION("""COMPUTED_VALUE"""),"Suspender")</f>
        <v>Suspender</v>
      </c>
      <c r="AG435" s="97"/>
      <c r="AH435" s="97"/>
      <c r="AI435" s="97"/>
      <c r="AJ435" s="97"/>
      <c r="AK435" s="97"/>
      <c r="AL435" s="97"/>
      <c r="AM435" s="97"/>
      <c r="AN435" s="97"/>
      <c r="AO435" s="97" t="str">
        <f>IFERROR(__xludf.DUMMYFUNCTION("""COMPUTED_VALUE"""),"1 Año")</f>
        <v>1 Año</v>
      </c>
      <c r="AP435" s="97"/>
      <c r="AQ435" s="97"/>
      <c r="AR435" s="97"/>
      <c r="AS435" s="97"/>
      <c r="AT435" s="97"/>
      <c r="AU435" s="97"/>
      <c r="AV435" s="97" t="str">
        <f>IFERROR(__xludf.DUMMYFUNCTION("""COMPUTED_VALUE"""),"Colgante")</f>
        <v>Colgante</v>
      </c>
      <c r="AW435" s="97" t="str">
        <f>IFERROR(__xludf.DUMMYFUNCTION("""COMPUTED_VALUE"""),"De Techo")</f>
        <v>De Techo</v>
      </c>
      <c r="AX435" s="97" t="str">
        <f>IFERROR(__xludf.DUMMYFUNCTION("""COMPUTED_VALUE"""),"Interior")</f>
        <v>Interior</v>
      </c>
      <c r="AY435" s="97"/>
      <c r="AZ435" s="97"/>
      <c r="BA435" s="97"/>
      <c r="BB435" s="97"/>
      <c r="BC435" s="97"/>
      <c r="BD435" s="97" t="str">
        <f>IFERROR(__xludf.DUMMYFUNCTION("""COMPUTED_VALUE"""),"BACO")</f>
        <v>BACO</v>
      </c>
      <c r="BE435" s="97" t="str">
        <f>IFERROR(__xludf.DUMMYFUNCTION("""COMPUTED_VALUE"""),"Sin Ficha")</f>
        <v>Sin Ficha</v>
      </c>
      <c r="BF435" s="97"/>
      <c r="BG435" s="97" t="str">
        <f>IFERROR(__xludf.DUMMYFUNCTION("""COMPUTED_VALUE"""),"Discontinuo")</f>
        <v>Discontinuo</v>
      </c>
    </row>
    <row r="436">
      <c r="A436" s="97">
        <f>IFERROR(__xludf.DUMMYFUNCTION("""COMPUTED_VALUE"""),6041.0)</f>
        <v>6041</v>
      </c>
      <c r="B436" s="97" t="str">
        <f>IFERROR(__xludf.DUMMYFUNCTION("""COMPUTED_VALUE"""),"NIKO")</f>
        <v>NIKO</v>
      </c>
      <c r="C436" s="97" t="str">
        <f>IFERROR(__xludf.DUMMYFUNCTION("""COMPUTED_VALUE"""),"COLGANTE NIKO LEUK")</f>
        <v>COLGANTE NIKO LEUK</v>
      </c>
      <c r="D436" s="97">
        <f>IFERROR(__xludf.DUMMYFUNCTION("""COMPUTED_VALUE"""),7.798328756329E12)</f>
        <v>7798328756329</v>
      </c>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t="str">
        <f>IFERROR(__xludf.DUMMYFUNCTION("""COMPUTED_VALUE"""),"IP20")</f>
        <v>IP20</v>
      </c>
      <c r="AE436" s="97"/>
      <c r="AF436" s="97" t="str">
        <f>IFERROR(__xludf.DUMMYFUNCTION("""COMPUTED_VALUE"""),"Suspender")</f>
        <v>Suspender</v>
      </c>
      <c r="AG436" s="97"/>
      <c r="AH436" s="97"/>
      <c r="AI436" s="97"/>
      <c r="AJ436" s="97"/>
      <c r="AK436" s="97"/>
      <c r="AL436" s="97"/>
      <c r="AM436" s="97"/>
      <c r="AN436" s="97"/>
      <c r="AO436" s="97" t="str">
        <f>IFERROR(__xludf.DUMMYFUNCTION("""COMPUTED_VALUE"""),"1 Año")</f>
        <v>1 Año</v>
      </c>
      <c r="AP436" s="97"/>
      <c r="AQ436" s="97"/>
      <c r="AR436" s="97"/>
      <c r="AS436" s="97"/>
      <c r="AT436" s="97"/>
      <c r="AU436" s="97"/>
      <c r="AV436" s="97" t="str">
        <f>IFERROR(__xludf.DUMMYFUNCTION("""COMPUTED_VALUE"""),"Colgante")</f>
        <v>Colgante</v>
      </c>
      <c r="AW436" s="97" t="str">
        <f>IFERROR(__xludf.DUMMYFUNCTION("""COMPUTED_VALUE"""),"De Techo")</f>
        <v>De Techo</v>
      </c>
      <c r="AX436" s="97" t="str">
        <f>IFERROR(__xludf.DUMMYFUNCTION("""COMPUTED_VALUE"""),"Interior")</f>
        <v>Interior</v>
      </c>
      <c r="AY436" s="97"/>
      <c r="AZ436" s="97"/>
      <c r="BA436" s="97"/>
      <c r="BB436" s="97"/>
      <c r="BC436" s="97"/>
      <c r="BD436" s="97" t="str">
        <f>IFERROR(__xludf.DUMMYFUNCTION("""COMPUTED_VALUE"""),"NIKO")</f>
        <v>NIKO</v>
      </c>
      <c r="BE436" s="97" t="str">
        <f>IFERROR(__xludf.DUMMYFUNCTION("""COMPUTED_VALUE"""),"Sin Ficha")</f>
        <v>Sin Ficha</v>
      </c>
      <c r="BF436" s="97"/>
      <c r="BG436" s="97" t="str">
        <f>IFERROR(__xludf.DUMMYFUNCTION("""COMPUTED_VALUE"""),"Discontinuo")</f>
        <v>Discontinuo</v>
      </c>
    </row>
    <row r="437">
      <c r="A437" s="97">
        <f>IFERROR(__xludf.DUMMYFUNCTION("""COMPUTED_VALUE"""),6042.0)</f>
        <v>6042</v>
      </c>
      <c r="B437" s="97" t="str">
        <f>IFERROR(__xludf.DUMMYFUNCTION("""COMPUTED_VALUE"""),"PETRA")</f>
        <v>PETRA</v>
      </c>
      <c r="C437" s="97" t="str">
        <f>IFERROR(__xludf.DUMMYFUNCTION("""COMPUTED_VALUE"""),"COLGANTE PETRA LEUK")</f>
        <v>COLGANTE PETRA LEUK</v>
      </c>
      <c r="D437" s="97">
        <f>IFERROR(__xludf.DUMMYFUNCTION("""COMPUTED_VALUE"""),7.798328756251E12)</f>
        <v>7798328756251</v>
      </c>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t="str">
        <f>IFERROR(__xludf.DUMMYFUNCTION("""COMPUTED_VALUE"""),"IP20")</f>
        <v>IP20</v>
      </c>
      <c r="AE437" s="97"/>
      <c r="AF437" s="97" t="str">
        <f>IFERROR(__xludf.DUMMYFUNCTION("""COMPUTED_VALUE"""),"Suspender")</f>
        <v>Suspender</v>
      </c>
      <c r="AG437" s="97"/>
      <c r="AH437" s="97"/>
      <c r="AI437" s="97"/>
      <c r="AJ437" s="97"/>
      <c r="AK437" s="97"/>
      <c r="AL437" s="97"/>
      <c r="AM437" s="97"/>
      <c r="AN437" s="97"/>
      <c r="AO437" s="97" t="str">
        <f>IFERROR(__xludf.DUMMYFUNCTION("""COMPUTED_VALUE"""),"1 Año")</f>
        <v>1 Año</v>
      </c>
      <c r="AP437" s="97"/>
      <c r="AQ437" s="97"/>
      <c r="AR437" s="97"/>
      <c r="AS437" s="97"/>
      <c r="AT437" s="97"/>
      <c r="AU437" s="97"/>
      <c r="AV437" s="97" t="str">
        <f>IFERROR(__xludf.DUMMYFUNCTION("""COMPUTED_VALUE"""),"Colgante")</f>
        <v>Colgante</v>
      </c>
      <c r="AW437" s="97" t="str">
        <f>IFERROR(__xludf.DUMMYFUNCTION("""COMPUTED_VALUE"""),"De Techo")</f>
        <v>De Techo</v>
      </c>
      <c r="AX437" s="97" t="str">
        <f>IFERROR(__xludf.DUMMYFUNCTION("""COMPUTED_VALUE"""),"Interior")</f>
        <v>Interior</v>
      </c>
      <c r="AY437" s="97"/>
      <c r="AZ437" s="97"/>
      <c r="BA437" s="97"/>
      <c r="BB437" s="97"/>
      <c r="BC437" s="97"/>
      <c r="BD437" s="97" t="str">
        <f>IFERROR(__xludf.DUMMYFUNCTION("""COMPUTED_VALUE"""),"PETRA")</f>
        <v>PETRA</v>
      </c>
      <c r="BE437" s="97" t="str">
        <f>IFERROR(__xludf.DUMMYFUNCTION("""COMPUTED_VALUE"""),"Sin Ficha")</f>
        <v>Sin Ficha</v>
      </c>
      <c r="BF437" s="97"/>
      <c r="BG437" s="97" t="str">
        <f>IFERROR(__xludf.DUMMYFUNCTION("""COMPUTED_VALUE"""),"Discontinuo")</f>
        <v>Discontinuo</v>
      </c>
    </row>
    <row r="438">
      <c r="A438" s="97">
        <f>IFERROR(__xludf.DUMMYFUNCTION("""COMPUTED_VALUE"""),6043.0)</f>
        <v>6043</v>
      </c>
      <c r="B438" s="97" t="str">
        <f>IFERROR(__xludf.DUMMYFUNCTION("""COMPUTED_VALUE"""),"CLOE")</f>
        <v>CLOE</v>
      </c>
      <c r="C438" s="97" t="str">
        <f>IFERROR(__xludf.DUMMYFUNCTION("""COMPUTED_VALUE"""),"COLGANTE CLOE LEUK")</f>
        <v>COLGANTE CLOE LEUK</v>
      </c>
      <c r="D438" s="97">
        <f>IFERROR(__xludf.DUMMYFUNCTION("""COMPUTED_VALUE"""),7.798328756268E12)</f>
        <v>7798328756268</v>
      </c>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t="str">
        <f>IFERROR(__xludf.DUMMYFUNCTION("""COMPUTED_VALUE"""),"IP20")</f>
        <v>IP20</v>
      </c>
      <c r="AE438" s="97"/>
      <c r="AF438" s="97" t="str">
        <f>IFERROR(__xludf.DUMMYFUNCTION("""COMPUTED_VALUE"""),"Suspender")</f>
        <v>Suspender</v>
      </c>
      <c r="AG438" s="97"/>
      <c r="AH438" s="97"/>
      <c r="AI438" s="97"/>
      <c r="AJ438" s="97"/>
      <c r="AK438" s="97"/>
      <c r="AL438" s="97"/>
      <c r="AM438" s="97"/>
      <c r="AN438" s="97"/>
      <c r="AO438" s="97" t="str">
        <f>IFERROR(__xludf.DUMMYFUNCTION("""COMPUTED_VALUE"""),"1 Año")</f>
        <v>1 Año</v>
      </c>
      <c r="AP438" s="97"/>
      <c r="AQ438" s="97"/>
      <c r="AR438" s="97"/>
      <c r="AS438" s="97"/>
      <c r="AT438" s="97"/>
      <c r="AU438" s="97"/>
      <c r="AV438" s="97" t="str">
        <f>IFERROR(__xludf.DUMMYFUNCTION("""COMPUTED_VALUE"""),"Colgante")</f>
        <v>Colgante</v>
      </c>
      <c r="AW438" s="97" t="str">
        <f>IFERROR(__xludf.DUMMYFUNCTION("""COMPUTED_VALUE"""),"De Techo")</f>
        <v>De Techo</v>
      </c>
      <c r="AX438" s="97" t="str">
        <f>IFERROR(__xludf.DUMMYFUNCTION("""COMPUTED_VALUE"""),"Interior")</f>
        <v>Interior</v>
      </c>
      <c r="AY438" s="97"/>
      <c r="AZ438" s="97"/>
      <c r="BA438" s="97"/>
      <c r="BB438" s="97"/>
      <c r="BC438" s="97"/>
      <c r="BD438" s="97" t="str">
        <f>IFERROR(__xludf.DUMMYFUNCTION("""COMPUTED_VALUE"""),"CLOE")</f>
        <v>CLOE</v>
      </c>
      <c r="BE438" s="97" t="str">
        <f>IFERROR(__xludf.DUMMYFUNCTION("""COMPUTED_VALUE"""),"Sin Ficha")</f>
        <v>Sin Ficha</v>
      </c>
      <c r="BF438" s="97"/>
      <c r="BG438" s="97" t="str">
        <f>IFERROR(__xludf.DUMMYFUNCTION("""COMPUTED_VALUE"""),"Discontinuo")</f>
        <v>Discontinuo</v>
      </c>
    </row>
    <row r="439">
      <c r="A439" s="97">
        <f>IFERROR(__xludf.DUMMYFUNCTION("""COMPUTED_VALUE"""),6044.0)</f>
        <v>6044</v>
      </c>
      <c r="B439" s="97" t="str">
        <f>IFERROR(__xludf.DUMMYFUNCTION("""COMPUTED_VALUE"""),"ADON")</f>
        <v>ADON</v>
      </c>
      <c r="C439" s="97" t="str">
        <f>IFERROR(__xludf.DUMMYFUNCTION("""COMPUTED_VALUE"""),"LAMPARA DE PIE ADON LEUK")</f>
        <v>LAMPARA DE PIE ADON LEUK</v>
      </c>
      <c r="D439" s="97">
        <f>IFERROR(__xludf.DUMMYFUNCTION("""COMPUTED_VALUE"""),7.798328756312E12)</f>
        <v>7798328756312</v>
      </c>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t="str">
        <f>IFERROR(__xludf.DUMMYFUNCTION("""COMPUTED_VALUE"""),"IP20")</f>
        <v>IP20</v>
      </c>
      <c r="AE439" s="97"/>
      <c r="AF439" s="97" t="str">
        <f>IFERROR(__xludf.DUMMYFUNCTION("""COMPUTED_VALUE"""),"Autoportante")</f>
        <v>Autoportante</v>
      </c>
      <c r="AG439" s="97"/>
      <c r="AH439" s="97"/>
      <c r="AI439" s="97"/>
      <c r="AJ439" s="97"/>
      <c r="AK439" s="97"/>
      <c r="AL439" s="97"/>
      <c r="AM439" s="97"/>
      <c r="AN439" s="97"/>
      <c r="AO439" s="97" t="str">
        <f>IFERROR(__xludf.DUMMYFUNCTION("""COMPUTED_VALUE"""),"1 Año")</f>
        <v>1 Año</v>
      </c>
      <c r="AP439" s="97"/>
      <c r="AQ439" s="97"/>
      <c r="AR439" s="97"/>
      <c r="AS439" s="97"/>
      <c r="AT439" s="97"/>
      <c r="AU439" s="97"/>
      <c r="AV439" s="97" t="str">
        <f>IFERROR(__xludf.DUMMYFUNCTION("""COMPUTED_VALUE"""),"Pie")</f>
        <v>Pie</v>
      </c>
      <c r="AW439" s="97" t="str">
        <f>IFERROR(__xludf.DUMMYFUNCTION("""COMPUTED_VALUE"""),"De Apoyo")</f>
        <v>De Apoyo</v>
      </c>
      <c r="AX439" s="97" t="str">
        <f>IFERROR(__xludf.DUMMYFUNCTION("""COMPUTED_VALUE"""),"Interior")</f>
        <v>Interior</v>
      </c>
      <c r="AY439" s="97"/>
      <c r="AZ439" s="97"/>
      <c r="BA439" s="97"/>
      <c r="BB439" s="97"/>
      <c r="BC439" s="97"/>
      <c r="BD439" s="97" t="str">
        <f>IFERROR(__xludf.DUMMYFUNCTION("""COMPUTED_VALUE"""),"ADON")</f>
        <v>ADON</v>
      </c>
      <c r="BE439" s="97" t="str">
        <f>IFERROR(__xludf.DUMMYFUNCTION("""COMPUTED_VALUE"""),"Sin Ficha")</f>
        <v>Sin Ficha</v>
      </c>
      <c r="BF439" s="97"/>
      <c r="BG439" s="97" t="str">
        <f>IFERROR(__xludf.DUMMYFUNCTION("""COMPUTED_VALUE"""),"Discontinuo")</f>
        <v>Discontinuo</v>
      </c>
    </row>
    <row r="440">
      <c r="A440" s="97">
        <f>IFERROR(__xludf.DUMMYFUNCTION("""COMPUTED_VALUE"""),6045.0)</f>
        <v>6045</v>
      </c>
      <c r="B440" s="97" t="str">
        <f>IFERROR(__xludf.DUMMYFUNCTION("""COMPUTED_VALUE"""),"EPICUR NG")</f>
        <v>EPICUR NG</v>
      </c>
      <c r="C440" s="97" t="str">
        <f>IFERROR(__xludf.DUMMYFUNCTION("""COMPUTED_VALUE"""),"APLIQUE EPICUR NG 5W 3000K 330LM CRI&gt;80 IP20 LEUK")</f>
        <v>APLIQUE EPICUR NG 5W 3000K 330LM CRI&gt;80 IP20 LEUK</v>
      </c>
      <c r="D440" s="97">
        <f>IFERROR(__xludf.DUMMYFUNCTION("""COMPUTED_VALUE"""),7.798328756299E12)</f>
        <v>7798328756299</v>
      </c>
      <c r="E440" s="97"/>
      <c r="F440" s="97" t="str">
        <f>IFERROR(__xludf.DUMMYFUNCTION("""COMPUTED_VALUE"""),"LED integrado")</f>
        <v>LED integrado</v>
      </c>
      <c r="G440" s="97" t="str">
        <f>IFERROR(__xludf.DUMMYFUNCTION("""COMPUTED_VALUE"""),"-")</f>
        <v>-</v>
      </c>
      <c r="H440" s="97" t="str">
        <f>IFERROR(__xludf.DUMMYFUNCTION("""COMPUTED_VALUE"""),"-")</f>
        <v>-</v>
      </c>
      <c r="I440" s="97"/>
      <c r="J440" s="97"/>
      <c r="K440" s="97" t="str">
        <f>IFERROR(__xludf.DUMMYFUNCTION("""COMPUTED_VALUE"""),"ON/OFF")</f>
        <v>ON/OFF</v>
      </c>
      <c r="L440" s="97" t="str">
        <f>IFERROR(__xludf.DUMMYFUNCTION("""COMPUTED_VALUE"""),"200-240")</f>
        <v>200-240</v>
      </c>
      <c r="M440" s="97" t="str">
        <f>IFERROR(__xludf.DUMMYFUNCTION("""COMPUTED_VALUE"""),"50/60")</f>
        <v>50/60</v>
      </c>
      <c r="N440" s="97"/>
      <c r="O440" s="97">
        <f>IFERROR(__xludf.DUMMYFUNCTION("""COMPUTED_VALUE"""),5.0)</f>
        <v>5</v>
      </c>
      <c r="P440" s="97"/>
      <c r="Q440" s="97">
        <f>IFERROR(__xludf.DUMMYFUNCTION("""COMPUTED_VALUE"""),0.46)</f>
        <v>0.46</v>
      </c>
      <c r="R440" s="97" t="str">
        <f>IFERROR(__xludf.DUMMYFUNCTION("""COMPUTED_VALUE"""),"-")</f>
        <v>-</v>
      </c>
      <c r="S440" s="97" t="str">
        <f>IFERROR(__xludf.DUMMYFUNCTION("""COMPUTED_VALUE"""),"-")</f>
        <v>-</v>
      </c>
      <c r="T440" s="97">
        <f>IFERROR(__xludf.DUMMYFUNCTION("""COMPUTED_VALUE"""),330.0)</f>
        <v>330</v>
      </c>
      <c r="U440" s="99">
        <f>IFERROR(__xludf.DUMMYFUNCTION("""COMPUTED_VALUE"""),66.0)</f>
        <v>66</v>
      </c>
      <c r="V440" s="97" t="str">
        <f>IFERROR(__xludf.DUMMYFUNCTION("""COMPUTED_VALUE"""),"30-47")</f>
        <v>30-47</v>
      </c>
      <c r="W440" s="97" t="str">
        <f>IFERROR(__xludf.DUMMYFUNCTION("""COMPUTED_VALUE"""),"&lt; 22")</f>
        <v>&lt; 22</v>
      </c>
      <c r="X440" s="97">
        <f>IFERROR(__xludf.DUMMYFUNCTION("""COMPUTED_VALUE"""),3000.0)</f>
        <v>3000</v>
      </c>
      <c r="Y440" s="97" t="str">
        <f>IFERROR(__xludf.DUMMYFUNCTION("""COMPUTED_VALUE"""),"&gt;80")</f>
        <v>&gt;80</v>
      </c>
      <c r="Z440" s="97"/>
      <c r="AA440" s="97"/>
      <c r="AB440" s="97" t="str">
        <f>IFERROR(__xludf.DUMMYFUNCTION("""COMPUTED_VALUE"""),"&lt; 5")</f>
        <v>&lt; 5</v>
      </c>
      <c r="AC440" s="97"/>
      <c r="AD440" s="97" t="str">
        <f>IFERROR(__xludf.DUMMYFUNCTION("""COMPUTED_VALUE"""),"IP20")</f>
        <v>IP20</v>
      </c>
      <c r="AE440" s="97" t="str">
        <f>IFERROR(__xludf.DUMMYFUNCTION("""COMPUTED_VALUE"""),"Clase l")</f>
        <v>Clase l</v>
      </c>
      <c r="AF440" s="97" t="str">
        <f>IFERROR(__xludf.DUMMYFUNCTION("""COMPUTED_VALUE"""),"Aplicar")</f>
        <v>Aplicar</v>
      </c>
      <c r="AG440" s="97" t="str">
        <f>IFERROR(__xludf.DUMMYFUNCTION("""COMPUTED_VALUE"""),"Ø55 x 105")</f>
        <v>Ø55 x 105</v>
      </c>
      <c r="AH440" s="97" t="str">
        <f>IFERROR(__xludf.DUMMYFUNCTION("""COMPUTED_VALUE"""),"N/A")</f>
        <v>N/A</v>
      </c>
      <c r="AI440" s="97" t="str">
        <f>IFERROR(__xludf.DUMMYFUNCTION("""COMPUTED_VALUE"""),"N/A")</f>
        <v>N/A</v>
      </c>
      <c r="AJ440" s="97" t="str">
        <f>IFERROR(__xludf.DUMMYFUNCTION("""COMPUTED_VALUE"""),"PMMA")</f>
        <v>PMMA</v>
      </c>
      <c r="AK440" s="97" t="str">
        <f>IFERROR(__xludf.DUMMYFUNCTION("""COMPUTED_VALUE"""),"Aluminio")</f>
        <v>Aluminio</v>
      </c>
      <c r="AL440" s="97" t="str">
        <f>IFERROR(__xludf.DUMMYFUNCTION("""COMPUTED_VALUE"""),"Negro Satinado")</f>
        <v>Negro Satinado</v>
      </c>
      <c r="AM440" s="97" t="str">
        <f>IFERROR(__xludf.DUMMYFUNCTION("""COMPUTED_VALUE"""),"-")</f>
        <v>-</v>
      </c>
      <c r="AN440" s="97" t="str">
        <f>IFERROR(__xludf.DUMMYFUNCTION("""COMPUTED_VALUE"""),"25.000hs (L70)")</f>
        <v>25.000hs (L70)</v>
      </c>
      <c r="AO440" s="97" t="str">
        <f>IFERROR(__xludf.DUMMYFUNCTION("""COMPUTED_VALUE"""),"2 Años")</f>
        <v>2 Años</v>
      </c>
      <c r="AP440" s="97" t="str">
        <f>IFERROR(__xludf.DUMMYFUNCTION("""COMPUTED_VALUE"""),"Disponible")</f>
        <v>Disponible</v>
      </c>
      <c r="AQ440" s="97" t="str">
        <f>IFERROR(__xludf.DUMMYFUNCTION("""COMPUTED_VALUE"""),"Disponible")</f>
        <v>Disponible</v>
      </c>
      <c r="AR440" s="97" t="str">
        <f>IFERROR(__xludf.DUMMYFUNCTION("""COMPUTED_VALUE"""),"Disponible")</f>
        <v>Disponible</v>
      </c>
      <c r="AS440" s="97"/>
      <c r="AT440" s="97"/>
      <c r="AU440" s="97" t="str">
        <f>IFERROR(__xludf.DUMMYFUNCTION("""COMPUTED_VALUE"""),"Falta")</f>
        <v>Falta</v>
      </c>
      <c r="AV440" s="97" t="str">
        <f>IFERROR(__xludf.DUMMYFUNCTION("""COMPUTED_VALUE"""),"Aplique")</f>
        <v>Aplique</v>
      </c>
      <c r="AW440" s="97" t="str">
        <f>IFERROR(__xludf.DUMMYFUNCTION("""COMPUTED_VALUE"""),"De Techo")</f>
        <v>De Techo</v>
      </c>
      <c r="AX440" s="97" t="str">
        <f>IFERROR(__xludf.DUMMYFUNCTION("""COMPUTED_VALUE"""),"Interior")</f>
        <v>Interior</v>
      </c>
      <c r="AY440" s="97" t="str">
        <f>IFERROR(__xludf.DUMMYFUNCTION("""COMPUTED_VALUE"""),"-")</f>
        <v>-</v>
      </c>
      <c r="AZ440" s="97"/>
      <c r="BA440" s="97">
        <f>IFERROR(__xludf.DUMMYFUNCTION("""COMPUTED_VALUE"""),36.0)</f>
        <v>36</v>
      </c>
      <c r="BB440" s="97" t="str">
        <f>IFERROR(__xludf.DUMMYFUNCTION("""COMPUTED_VALUE"""),"-")</f>
        <v>-</v>
      </c>
      <c r="BC440" s="97" t="str">
        <f>IFERROR(__xludf.DUMMYFUNCTION("""COMPUTED_VALUE"""),"-")</f>
        <v>-</v>
      </c>
      <c r="BD440" s="97" t="str">
        <f>IFERROR(__xludf.DUMMYFUNCTION("""COMPUTED_VALUE"""),"EPICUR")</f>
        <v>EPICUR</v>
      </c>
      <c r="BE440" s="97" t="str">
        <f>IFERROR(__xludf.DUMMYFUNCTION("""COMPUTED_VALUE"""),"Finalizada")</f>
        <v>Finalizada</v>
      </c>
      <c r="BF440" s="97"/>
      <c r="BG440" s="97" t="str">
        <f>IFERROR(__xludf.DUMMYFUNCTION("""COMPUTED_VALUE"""),"Activo")</f>
        <v>Activo</v>
      </c>
    </row>
    <row r="441">
      <c r="A441" s="97">
        <f>IFERROR(__xludf.DUMMYFUNCTION("""COMPUTED_VALUE"""),6046.0)</f>
        <v>6046</v>
      </c>
      <c r="B441" s="97" t="str">
        <f>IFERROR(__xludf.DUMMYFUNCTION("""COMPUTED_VALUE"""),"EPICUR BL")</f>
        <v>EPICUR BL</v>
      </c>
      <c r="C441" s="97" t="str">
        <f>IFERROR(__xludf.DUMMYFUNCTION("""COMPUTED_VALUE"""),"APLIQUE EPICUR BL 5W 3000K 330LM CRI&gt;80 IP20 LEUK")</f>
        <v>APLIQUE EPICUR BL 5W 3000K 330LM CRI&gt;80 IP20 LEUK</v>
      </c>
      <c r="D441" s="97">
        <f>IFERROR(__xludf.DUMMYFUNCTION("""COMPUTED_VALUE"""),7.798328756305E12)</f>
        <v>7798328756305</v>
      </c>
      <c r="E441" s="97"/>
      <c r="F441" s="97" t="str">
        <f>IFERROR(__xludf.DUMMYFUNCTION("""COMPUTED_VALUE"""),"LED integrado")</f>
        <v>LED integrado</v>
      </c>
      <c r="G441" s="97" t="str">
        <f>IFERROR(__xludf.DUMMYFUNCTION("""COMPUTED_VALUE"""),"-")</f>
        <v>-</v>
      </c>
      <c r="H441" s="97" t="str">
        <f>IFERROR(__xludf.DUMMYFUNCTION("""COMPUTED_VALUE"""),"-")</f>
        <v>-</v>
      </c>
      <c r="I441" s="97"/>
      <c r="J441" s="97"/>
      <c r="K441" s="97" t="str">
        <f>IFERROR(__xludf.DUMMYFUNCTION("""COMPUTED_VALUE"""),"ON/OFF")</f>
        <v>ON/OFF</v>
      </c>
      <c r="L441" s="97" t="str">
        <f>IFERROR(__xludf.DUMMYFUNCTION("""COMPUTED_VALUE"""),"200-240")</f>
        <v>200-240</v>
      </c>
      <c r="M441" s="97" t="str">
        <f>IFERROR(__xludf.DUMMYFUNCTION("""COMPUTED_VALUE"""),"50/60")</f>
        <v>50/60</v>
      </c>
      <c r="N441" s="97"/>
      <c r="O441" s="97">
        <f>IFERROR(__xludf.DUMMYFUNCTION("""COMPUTED_VALUE"""),5.0)</f>
        <v>5</v>
      </c>
      <c r="P441" s="97"/>
      <c r="Q441" s="97">
        <f>IFERROR(__xludf.DUMMYFUNCTION("""COMPUTED_VALUE"""),0.46)</f>
        <v>0.46</v>
      </c>
      <c r="R441" s="97" t="str">
        <f>IFERROR(__xludf.DUMMYFUNCTION("""COMPUTED_VALUE"""),"-")</f>
        <v>-</v>
      </c>
      <c r="S441" s="97" t="str">
        <f>IFERROR(__xludf.DUMMYFUNCTION("""COMPUTED_VALUE"""),"-")</f>
        <v>-</v>
      </c>
      <c r="T441" s="97">
        <f>IFERROR(__xludf.DUMMYFUNCTION("""COMPUTED_VALUE"""),330.0)</f>
        <v>330</v>
      </c>
      <c r="U441" s="99">
        <f>IFERROR(__xludf.DUMMYFUNCTION("""COMPUTED_VALUE"""),66.0)</f>
        <v>66</v>
      </c>
      <c r="V441" s="97" t="str">
        <f>IFERROR(__xludf.DUMMYFUNCTION("""COMPUTED_VALUE"""),"30-47")</f>
        <v>30-47</v>
      </c>
      <c r="W441" s="97" t="str">
        <f>IFERROR(__xludf.DUMMYFUNCTION("""COMPUTED_VALUE"""),"&lt; 22")</f>
        <v>&lt; 22</v>
      </c>
      <c r="X441" s="97">
        <f>IFERROR(__xludf.DUMMYFUNCTION("""COMPUTED_VALUE"""),3000.0)</f>
        <v>3000</v>
      </c>
      <c r="Y441" s="97" t="str">
        <f>IFERROR(__xludf.DUMMYFUNCTION("""COMPUTED_VALUE"""),"&gt;80")</f>
        <v>&gt;80</v>
      </c>
      <c r="Z441" s="97"/>
      <c r="AA441" s="97"/>
      <c r="AB441" s="97" t="str">
        <f>IFERROR(__xludf.DUMMYFUNCTION("""COMPUTED_VALUE"""),"&lt; 5")</f>
        <v>&lt; 5</v>
      </c>
      <c r="AC441" s="97"/>
      <c r="AD441" s="97" t="str">
        <f>IFERROR(__xludf.DUMMYFUNCTION("""COMPUTED_VALUE"""),"IP20")</f>
        <v>IP20</v>
      </c>
      <c r="AE441" s="97" t="str">
        <f>IFERROR(__xludf.DUMMYFUNCTION("""COMPUTED_VALUE"""),"Clase l")</f>
        <v>Clase l</v>
      </c>
      <c r="AF441" s="97" t="str">
        <f>IFERROR(__xludf.DUMMYFUNCTION("""COMPUTED_VALUE"""),"Aplicar")</f>
        <v>Aplicar</v>
      </c>
      <c r="AG441" s="97" t="str">
        <f>IFERROR(__xludf.DUMMYFUNCTION("""COMPUTED_VALUE"""),"Ø55 x 105")</f>
        <v>Ø55 x 105</v>
      </c>
      <c r="AH441" s="97" t="str">
        <f>IFERROR(__xludf.DUMMYFUNCTION("""COMPUTED_VALUE"""),"N/A")</f>
        <v>N/A</v>
      </c>
      <c r="AI441" s="97" t="str">
        <f>IFERROR(__xludf.DUMMYFUNCTION("""COMPUTED_VALUE"""),"N/A")</f>
        <v>N/A</v>
      </c>
      <c r="AJ441" s="97" t="str">
        <f>IFERROR(__xludf.DUMMYFUNCTION("""COMPUTED_VALUE"""),"PMMA")</f>
        <v>PMMA</v>
      </c>
      <c r="AK441" s="97" t="str">
        <f>IFERROR(__xludf.DUMMYFUNCTION("""COMPUTED_VALUE"""),"Aluminio")</f>
        <v>Aluminio</v>
      </c>
      <c r="AL441" s="97" t="str">
        <f>IFERROR(__xludf.DUMMYFUNCTION("""COMPUTED_VALUE"""),"Blanco Satinado")</f>
        <v>Blanco Satinado</v>
      </c>
      <c r="AM441" s="97" t="str">
        <f>IFERROR(__xludf.DUMMYFUNCTION("""COMPUTED_VALUE"""),"-")</f>
        <v>-</v>
      </c>
      <c r="AN441" s="97" t="str">
        <f>IFERROR(__xludf.DUMMYFUNCTION("""COMPUTED_VALUE"""),"25.000hs (L70)")</f>
        <v>25.000hs (L70)</v>
      </c>
      <c r="AO441" s="97" t="str">
        <f>IFERROR(__xludf.DUMMYFUNCTION("""COMPUTED_VALUE"""),"2 Años")</f>
        <v>2 Años</v>
      </c>
      <c r="AP441" s="97" t="str">
        <f>IFERROR(__xludf.DUMMYFUNCTION("""COMPUTED_VALUE"""),"Disponible")</f>
        <v>Disponible</v>
      </c>
      <c r="AQ441" s="97" t="str">
        <f>IFERROR(__xludf.DUMMYFUNCTION("""COMPUTED_VALUE"""),"Disponible")</f>
        <v>Disponible</v>
      </c>
      <c r="AR441" s="97" t="str">
        <f>IFERROR(__xludf.DUMMYFUNCTION("""COMPUTED_VALUE"""),"Disponible")</f>
        <v>Disponible</v>
      </c>
      <c r="AS441" s="97"/>
      <c r="AT441" s="97"/>
      <c r="AU441" s="97" t="str">
        <f>IFERROR(__xludf.DUMMYFUNCTION("""COMPUTED_VALUE"""),"Falta")</f>
        <v>Falta</v>
      </c>
      <c r="AV441" s="97" t="str">
        <f>IFERROR(__xludf.DUMMYFUNCTION("""COMPUTED_VALUE"""),"Aplique")</f>
        <v>Aplique</v>
      </c>
      <c r="AW441" s="97" t="str">
        <f>IFERROR(__xludf.DUMMYFUNCTION("""COMPUTED_VALUE"""),"De Techo")</f>
        <v>De Techo</v>
      </c>
      <c r="AX441" s="97" t="str">
        <f>IFERROR(__xludf.DUMMYFUNCTION("""COMPUTED_VALUE"""),"Interior")</f>
        <v>Interior</v>
      </c>
      <c r="AY441" s="97" t="str">
        <f>IFERROR(__xludf.DUMMYFUNCTION("""COMPUTED_VALUE"""),"-")</f>
        <v>-</v>
      </c>
      <c r="AZ441" s="97"/>
      <c r="BA441" s="97">
        <f>IFERROR(__xludf.DUMMYFUNCTION("""COMPUTED_VALUE"""),36.0)</f>
        <v>36</v>
      </c>
      <c r="BB441" s="97" t="str">
        <f>IFERROR(__xludf.DUMMYFUNCTION("""COMPUTED_VALUE"""),"-")</f>
        <v>-</v>
      </c>
      <c r="BC441" s="97" t="str">
        <f>IFERROR(__xludf.DUMMYFUNCTION("""COMPUTED_VALUE"""),"-")</f>
        <v>-</v>
      </c>
      <c r="BD441" s="97" t="str">
        <f>IFERROR(__xludf.DUMMYFUNCTION("""COMPUTED_VALUE"""),"EPICUR")</f>
        <v>EPICUR</v>
      </c>
      <c r="BE441" s="97" t="str">
        <f>IFERROR(__xludf.DUMMYFUNCTION("""COMPUTED_VALUE"""),"Finalizada")</f>
        <v>Finalizada</v>
      </c>
      <c r="BF441" s="97"/>
      <c r="BG441" s="97" t="str">
        <f>IFERROR(__xludf.DUMMYFUNCTION("""COMPUTED_VALUE"""),"Activo")</f>
        <v>Activo</v>
      </c>
    </row>
    <row r="442">
      <c r="A442" s="97">
        <f>IFERROR(__xludf.DUMMYFUNCTION("""COMPUTED_VALUE"""),6047.0)</f>
        <v>6047</v>
      </c>
      <c r="B442" s="97" t="str">
        <f>IFERROR(__xludf.DUMMYFUNCTION("""COMPUTED_VALUE"""),"ELIO BL")</f>
        <v>ELIO BL</v>
      </c>
      <c r="C442" s="97" t="str">
        <f>IFERROR(__xludf.DUMMYFUNCTION("""COMPUTED_VALUE"""),"VELADOR ELIO LEUK BLANCO")</f>
        <v>VELADOR ELIO LEUK BLANCO</v>
      </c>
      <c r="D442" s="97">
        <f>IFERROR(__xludf.DUMMYFUNCTION("""COMPUTED_VALUE"""),7.798328756152E12)</f>
        <v>7798328756152</v>
      </c>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t="str">
        <f>IFERROR(__xludf.DUMMYFUNCTION("""COMPUTED_VALUE"""),"IP20")</f>
        <v>IP20</v>
      </c>
      <c r="AE442" s="97"/>
      <c r="AF442" s="97" t="str">
        <f>IFERROR(__xludf.DUMMYFUNCTION("""COMPUTED_VALUE"""),"Autoportante")</f>
        <v>Autoportante</v>
      </c>
      <c r="AG442" s="97"/>
      <c r="AH442" s="97"/>
      <c r="AI442" s="97"/>
      <c r="AJ442" s="97"/>
      <c r="AK442" s="97"/>
      <c r="AL442" s="97"/>
      <c r="AM442" s="97"/>
      <c r="AN442" s="97"/>
      <c r="AO442" s="97" t="str">
        <f>IFERROR(__xludf.DUMMYFUNCTION("""COMPUTED_VALUE"""),"1 Año")</f>
        <v>1 Año</v>
      </c>
      <c r="AP442" s="97"/>
      <c r="AQ442" s="97"/>
      <c r="AR442" s="97"/>
      <c r="AS442" s="97"/>
      <c r="AT442" s="97"/>
      <c r="AU442" s="97"/>
      <c r="AV442" s="97" t="str">
        <f>IFERROR(__xludf.DUMMYFUNCTION("""COMPUTED_VALUE"""),"Mesa")</f>
        <v>Mesa</v>
      </c>
      <c r="AW442" s="97" t="str">
        <f>IFERROR(__xludf.DUMMYFUNCTION("""COMPUTED_VALUE"""),"De Apoyo")</f>
        <v>De Apoyo</v>
      </c>
      <c r="AX442" s="97" t="str">
        <f>IFERROR(__xludf.DUMMYFUNCTION("""COMPUTED_VALUE"""),"Interior")</f>
        <v>Interior</v>
      </c>
      <c r="AY442" s="97"/>
      <c r="AZ442" s="97"/>
      <c r="BA442" s="97"/>
      <c r="BB442" s="97"/>
      <c r="BC442" s="97"/>
      <c r="BD442" s="97" t="str">
        <f>IFERROR(__xludf.DUMMYFUNCTION("""COMPUTED_VALUE"""),"ELIO")</f>
        <v>ELIO</v>
      </c>
      <c r="BE442" s="97" t="str">
        <f>IFERROR(__xludf.DUMMYFUNCTION("""COMPUTED_VALUE"""),"Sin Ficha")</f>
        <v>Sin Ficha</v>
      </c>
      <c r="BF442" s="97"/>
      <c r="BG442" s="97" t="str">
        <f>IFERROR(__xludf.DUMMYFUNCTION("""COMPUTED_VALUE"""),"Discontinuo")</f>
        <v>Discontinuo</v>
      </c>
    </row>
    <row r="443">
      <c r="A443" s="97">
        <f>IFERROR(__xludf.DUMMYFUNCTION("""COMPUTED_VALUE"""),6048.0)</f>
        <v>6048</v>
      </c>
      <c r="B443" s="97" t="str">
        <f>IFERROR(__xludf.DUMMYFUNCTION("""COMPUTED_VALUE"""),"ELIO NG")</f>
        <v>ELIO NG</v>
      </c>
      <c r="C443" s="97" t="str">
        <f>IFERROR(__xludf.DUMMYFUNCTION("""COMPUTED_VALUE"""),"VELADOR ELIO LEUK NEGRO")</f>
        <v>VELADOR ELIO LEUK NEGRO</v>
      </c>
      <c r="D443" s="97">
        <f>IFERROR(__xludf.DUMMYFUNCTION("""COMPUTED_VALUE"""),7.798328756169E12)</f>
        <v>7798328756169</v>
      </c>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t="str">
        <f>IFERROR(__xludf.DUMMYFUNCTION("""COMPUTED_VALUE"""),"IP20")</f>
        <v>IP20</v>
      </c>
      <c r="AE443" s="97"/>
      <c r="AF443" s="97" t="str">
        <f>IFERROR(__xludf.DUMMYFUNCTION("""COMPUTED_VALUE"""),"Autoportante")</f>
        <v>Autoportante</v>
      </c>
      <c r="AG443" s="97"/>
      <c r="AH443" s="97"/>
      <c r="AI443" s="97"/>
      <c r="AJ443" s="97"/>
      <c r="AK443" s="97"/>
      <c r="AL443" s="97"/>
      <c r="AM443" s="97"/>
      <c r="AN443" s="97"/>
      <c r="AO443" s="97" t="str">
        <f>IFERROR(__xludf.DUMMYFUNCTION("""COMPUTED_VALUE"""),"1 Año")</f>
        <v>1 Año</v>
      </c>
      <c r="AP443" s="97"/>
      <c r="AQ443" s="97"/>
      <c r="AR443" s="97"/>
      <c r="AS443" s="97"/>
      <c r="AT443" s="97"/>
      <c r="AU443" s="97"/>
      <c r="AV443" s="97" t="str">
        <f>IFERROR(__xludf.DUMMYFUNCTION("""COMPUTED_VALUE"""),"Mesa")</f>
        <v>Mesa</v>
      </c>
      <c r="AW443" s="97" t="str">
        <f>IFERROR(__xludf.DUMMYFUNCTION("""COMPUTED_VALUE"""),"De Apoyo")</f>
        <v>De Apoyo</v>
      </c>
      <c r="AX443" s="97" t="str">
        <f>IFERROR(__xludf.DUMMYFUNCTION("""COMPUTED_VALUE"""),"Interior")</f>
        <v>Interior</v>
      </c>
      <c r="AY443" s="97"/>
      <c r="AZ443" s="97"/>
      <c r="BA443" s="97"/>
      <c r="BB443" s="97"/>
      <c r="BC443" s="97"/>
      <c r="BD443" s="97" t="str">
        <f>IFERROR(__xludf.DUMMYFUNCTION("""COMPUTED_VALUE"""),"ELIO")</f>
        <v>ELIO</v>
      </c>
      <c r="BE443" s="97" t="str">
        <f>IFERROR(__xludf.DUMMYFUNCTION("""COMPUTED_VALUE"""),"Sin Ficha")</f>
        <v>Sin Ficha</v>
      </c>
      <c r="BF443" s="97"/>
      <c r="BG443" s="97" t="str">
        <f>IFERROR(__xludf.DUMMYFUNCTION("""COMPUTED_VALUE"""),"Discontinuo")</f>
        <v>Discontinuo</v>
      </c>
    </row>
    <row r="444">
      <c r="A444" s="97">
        <f>IFERROR(__xludf.DUMMYFUNCTION("""COMPUTED_VALUE"""),6049.0)</f>
        <v>6049</v>
      </c>
      <c r="B444" s="97" t="str">
        <f>IFERROR(__xludf.DUMMYFUNCTION("""COMPUTED_VALUE"""),"ELIO RS")</f>
        <v>ELIO RS</v>
      </c>
      <c r="C444" s="97" t="str">
        <f>IFERROR(__xludf.DUMMYFUNCTION("""COMPUTED_VALUE"""),"VELADOR ELIO LEUK ROSA")</f>
        <v>VELADOR ELIO LEUK ROSA</v>
      </c>
      <c r="D444" s="97">
        <f>IFERROR(__xludf.DUMMYFUNCTION("""COMPUTED_VALUE"""),7.798328756176E12)</f>
        <v>7798328756176</v>
      </c>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t="str">
        <f>IFERROR(__xludf.DUMMYFUNCTION("""COMPUTED_VALUE"""),"IP20")</f>
        <v>IP20</v>
      </c>
      <c r="AE444" s="97"/>
      <c r="AF444" s="97" t="str">
        <f>IFERROR(__xludf.DUMMYFUNCTION("""COMPUTED_VALUE"""),"Autoportante")</f>
        <v>Autoportante</v>
      </c>
      <c r="AG444" s="97"/>
      <c r="AH444" s="97"/>
      <c r="AI444" s="97"/>
      <c r="AJ444" s="97"/>
      <c r="AK444" s="97"/>
      <c r="AL444" s="97"/>
      <c r="AM444" s="97"/>
      <c r="AN444" s="97"/>
      <c r="AO444" s="97" t="str">
        <f>IFERROR(__xludf.DUMMYFUNCTION("""COMPUTED_VALUE"""),"1 Año")</f>
        <v>1 Año</v>
      </c>
      <c r="AP444" s="97"/>
      <c r="AQ444" s="97"/>
      <c r="AR444" s="97"/>
      <c r="AS444" s="97"/>
      <c r="AT444" s="97"/>
      <c r="AU444" s="97"/>
      <c r="AV444" s="97" t="str">
        <f>IFERROR(__xludf.DUMMYFUNCTION("""COMPUTED_VALUE"""),"Mesa")</f>
        <v>Mesa</v>
      </c>
      <c r="AW444" s="97" t="str">
        <f>IFERROR(__xludf.DUMMYFUNCTION("""COMPUTED_VALUE"""),"De Apoyo")</f>
        <v>De Apoyo</v>
      </c>
      <c r="AX444" s="97" t="str">
        <f>IFERROR(__xludf.DUMMYFUNCTION("""COMPUTED_VALUE"""),"Interior")</f>
        <v>Interior</v>
      </c>
      <c r="AY444" s="97"/>
      <c r="AZ444" s="97"/>
      <c r="BA444" s="97"/>
      <c r="BB444" s="97"/>
      <c r="BC444" s="97"/>
      <c r="BD444" s="97" t="str">
        <f>IFERROR(__xludf.DUMMYFUNCTION("""COMPUTED_VALUE"""),"ELIO")</f>
        <v>ELIO</v>
      </c>
      <c r="BE444" s="97" t="str">
        <f>IFERROR(__xludf.DUMMYFUNCTION("""COMPUTED_VALUE"""),"Sin Ficha")</f>
        <v>Sin Ficha</v>
      </c>
      <c r="BF444" s="97"/>
      <c r="BG444" s="97" t="str">
        <f>IFERROR(__xludf.DUMMYFUNCTION("""COMPUTED_VALUE"""),"Discontinuo")</f>
        <v>Discontinuo</v>
      </c>
    </row>
    <row r="445">
      <c r="A445" s="97">
        <f>IFERROR(__xludf.DUMMYFUNCTION("""COMPUTED_VALUE"""),6050.0)</f>
        <v>6050</v>
      </c>
      <c r="B445" s="97" t="str">
        <f>IFERROR(__xludf.DUMMYFUNCTION("""COMPUTED_VALUE"""),"IVY VR")</f>
        <v>IVY VR</v>
      </c>
      <c r="C445" s="97" t="str">
        <f>IFERROR(__xludf.DUMMYFUNCTION("""COMPUTED_VALUE"""),"VELADOR IVY LEUK VERDE")</f>
        <v>VELADOR IVY LEUK VERDE</v>
      </c>
      <c r="D445" s="97">
        <f>IFERROR(__xludf.DUMMYFUNCTION("""COMPUTED_VALUE"""),7.798328756183E12)</f>
        <v>7798328756183</v>
      </c>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t="str">
        <f>IFERROR(__xludf.DUMMYFUNCTION("""COMPUTED_VALUE"""),"IP20")</f>
        <v>IP20</v>
      </c>
      <c r="AE445" s="97"/>
      <c r="AF445" s="97" t="str">
        <f>IFERROR(__xludf.DUMMYFUNCTION("""COMPUTED_VALUE"""),"Autoportante")</f>
        <v>Autoportante</v>
      </c>
      <c r="AG445" s="97"/>
      <c r="AH445" s="97"/>
      <c r="AI445" s="97"/>
      <c r="AJ445" s="97"/>
      <c r="AK445" s="97"/>
      <c r="AL445" s="97"/>
      <c r="AM445" s="97"/>
      <c r="AN445" s="97"/>
      <c r="AO445" s="97" t="str">
        <f>IFERROR(__xludf.DUMMYFUNCTION("""COMPUTED_VALUE"""),"1 Año")</f>
        <v>1 Año</v>
      </c>
      <c r="AP445" s="97"/>
      <c r="AQ445" s="97"/>
      <c r="AR445" s="97"/>
      <c r="AS445" s="97"/>
      <c r="AT445" s="97"/>
      <c r="AU445" s="97"/>
      <c r="AV445" s="97" t="str">
        <f>IFERROR(__xludf.DUMMYFUNCTION("""COMPUTED_VALUE"""),"Mesa")</f>
        <v>Mesa</v>
      </c>
      <c r="AW445" s="97" t="str">
        <f>IFERROR(__xludf.DUMMYFUNCTION("""COMPUTED_VALUE"""),"De Apoyo")</f>
        <v>De Apoyo</v>
      </c>
      <c r="AX445" s="97" t="str">
        <f>IFERROR(__xludf.DUMMYFUNCTION("""COMPUTED_VALUE"""),"Interior")</f>
        <v>Interior</v>
      </c>
      <c r="AY445" s="97"/>
      <c r="AZ445" s="97"/>
      <c r="BA445" s="97"/>
      <c r="BB445" s="97"/>
      <c r="BC445" s="97"/>
      <c r="BD445" s="97" t="str">
        <f>IFERROR(__xludf.DUMMYFUNCTION("""COMPUTED_VALUE"""),"IVY")</f>
        <v>IVY</v>
      </c>
      <c r="BE445" s="97" t="str">
        <f>IFERROR(__xludf.DUMMYFUNCTION("""COMPUTED_VALUE"""),"Sin Ficha")</f>
        <v>Sin Ficha</v>
      </c>
      <c r="BF445" s="97"/>
      <c r="BG445" s="97" t="str">
        <f>IFERROR(__xludf.DUMMYFUNCTION("""COMPUTED_VALUE"""),"Discontinuo")</f>
        <v>Discontinuo</v>
      </c>
    </row>
    <row r="446">
      <c r="A446" s="97">
        <f>IFERROR(__xludf.DUMMYFUNCTION("""COMPUTED_VALUE"""),6051.0)</f>
        <v>6051</v>
      </c>
      <c r="B446" s="97" t="str">
        <f>IFERROR(__xludf.DUMMYFUNCTION("""COMPUTED_VALUE"""),"IVY AZ")</f>
        <v>IVY AZ</v>
      </c>
      <c r="C446" s="97" t="str">
        <f>IFERROR(__xludf.DUMMYFUNCTION("""COMPUTED_VALUE"""),"VELADOR IVY LEUK AZUL")</f>
        <v>VELADOR IVY LEUK AZUL</v>
      </c>
      <c r="D446" s="97">
        <f>IFERROR(__xludf.DUMMYFUNCTION("""COMPUTED_VALUE"""),7.79832875619E12)</f>
        <v>7798328756190</v>
      </c>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t="str">
        <f>IFERROR(__xludf.DUMMYFUNCTION("""COMPUTED_VALUE"""),"IP20")</f>
        <v>IP20</v>
      </c>
      <c r="AE446" s="97"/>
      <c r="AF446" s="97" t="str">
        <f>IFERROR(__xludf.DUMMYFUNCTION("""COMPUTED_VALUE"""),"Autoportante")</f>
        <v>Autoportante</v>
      </c>
      <c r="AG446" s="97"/>
      <c r="AH446" s="97"/>
      <c r="AI446" s="97"/>
      <c r="AJ446" s="97"/>
      <c r="AK446" s="97"/>
      <c r="AL446" s="97"/>
      <c r="AM446" s="97"/>
      <c r="AN446" s="97"/>
      <c r="AO446" s="97" t="str">
        <f>IFERROR(__xludf.DUMMYFUNCTION("""COMPUTED_VALUE"""),"1 Año")</f>
        <v>1 Año</v>
      </c>
      <c r="AP446" s="97"/>
      <c r="AQ446" s="97"/>
      <c r="AR446" s="97"/>
      <c r="AS446" s="97"/>
      <c r="AT446" s="97"/>
      <c r="AU446" s="97"/>
      <c r="AV446" s="97" t="str">
        <f>IFERROR(__xludf.DUMMYFUNCTION("""COMPUTED_VALUE"""),"Mesa")</f>
        <v>Mesa</v>
      </c>
      <c r="AW446" s="97" t="str">
        <f>IFERROR(__xludf.DUMMYFUNCTION("""COMPUTED_VALUE"""),"De Apoyo")</f>
        <v>De Apoyo</v>
      </c>
      <c r="AX446" s="97" t="str">
        <f>IFERROR(__xludf.DUMMYFUNCTION("""COMPUTED_VALUE"""),"Interior")</f>
        <v>Interior</v>
      </c>
      <c r="AY446" s="97"/>
      <c r="AZ446" s="97"/>
      <c r="BA446" s="97"/>
      <c r="BB446" s="97"/>
      <c r="BC446" s="97"/>
      <c r="BD446" s="97" t="str">
        <f>IFERROR(__xludf.DUMMYFUNCTION("""COMPUTED_VALUE"""),"IVY")</f>
        <v>IVY</v>
      </c>
      <c r="BE446" s="97" t="str">
        <f>IFERROR(__xludf.DUMMYFUNCTION("""COMPUTED_VALUE"""),"Sin Ficha")</f>
        <v>Sin Ficha</v>
      </c>
      <c r="BF446" s="97"/>
      <c r="BG446" s="97" t="str">
        <f>IFERROR(__xludf.DUMMYFUNCTION("""COMPUTED_VALUE"""),"Discontinuo")</f>
        <v>Discontinuo</v>
      </c>
    </row>
    <row r="447">
      <c r="A447" s="97">
        <f>IFERROR(__xludf.DUMMYFUNCTION("""COMPUTED_VALUE"""),6052.0)</f>
        <v>6052</v>
      </c>
      <c r="B447" s="97" t="str">
        <f>IFERROR(__xludf.DUMMYFUNCTION("""COMPUTED_VALUE"""),"IVY AM")</f>
        <v>IVY AM</v>
      </c>
      <c r="C447" s="97" t="str">
        <f>IFERROR(__xludf.DUMMYFUNCTION("""COMPUTED_VALUE"""),"VELADOR IVY LEUK AMARILLO")</f>
        <v>VELADOR IVY LEUK AMARILLO</v>
      </c>
      <c r="D447" s="97">
        <f>IFERROR(__xludf.DUMMYFUNCTION("""COMPUTED_VALUE"""),7.798328756206E12)</f>
        <v>7798328756206</v>
      </c>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t="str">
        <f>IFERROR(__xludf.DUMMYFUNCTION("""COMPUTED_VALUE"""),"IP20")</f>
        <v>IP20</v>
      </c>
      <c r="AE447" s="97"/>
      <c r="AF447" s="97" t="str">
        <f>IFERROR(__xludf.DUMMYFUNCTION("""COMPUTED_VALUE"""),"Autoportante")</f>
        <v>Autoportante</v>
      </c>
      <c r="AG447" s="97"/>
      <c r="AH447" s="97"/>
      <c r="AI447" s="97"/>
      <c r="AJ447" s="97"/>
      <c r="AK447" s="97"/>
      <c r="AL447" s="97"/>
      <c r="AM447" s="97"/>
      <c r="AN447" s="97"/>
      <c r="AO447" s="97" t="str">
        <f>IFERROR(__xludf.DUMMYFUNCTION("""COMPUTED_VALUE"""),"1 Año")</f>
        <v>1 Año</v>
      </c>
      <c r="AP447" s="97"/>
      <c r="AQ447" s="97"/>
      <c r="AR447" s="97"/>
      <c r="AS447" s="97"/>
      <c r="AT447" s="97"/>
      <c r="AU447" s="97"/>
      <c r="AV447" s="97" t="str">
        <f>IFERROR(__xludf.DUMMYFUNCTION("""COMPUTED_VALUE"""),"Mesa")</f>
        <v>Mesa</v>
      </c>
      <c r="AW447" s="97" t="str">
        <f>IFERROR(__xludf.DUMMYFUNCTION("""COMPUTED_VALUE"""),"De Apoyo")</f>
        <v>De Apoyo</v>
      </c>
      <c r="AX447" s="97" t="str">
        <f>IFERROR(__xludf.DUMMYFUNCTION("""COMPUTED_VALUE"""),"Interior")</f>
        <v>Interior</v>
      </c>
      <c r="AY447" s="97"/>
      <c r="AZ447" s="97"/>
      <c r="BA447" s="97"/>
      <c r="BB447" s="97"/>
      <c r="BC447" s="97"/>
      <c r="BD447" s="97" t="str">
        <f>IFERROR(__xludf.DUMMYFUNCTION("""COMPUTED_VALUE"""),"IVY")</f>
        <v>IVY</v>
      </c>
      <c r="BE447" s="97" t="str">
        <f>IFERROR(__xludf.DUMMYFUNCTION("""COMPUTED_VALUE"""),"Sin Ficha")</f>
        <v>Sin Ficha</v>
      </c>
      <c r="BF447" s="97"/>
      <c r="BG447" s="97" t="str">
        <f>IFERROR(__xludf.DUMMYFUNCTION("""COMPUTED_VALUE"""),"Discontinuo")</f>
        <v>Discontinuo</v>
      </c>
    </row>
    <row r="448">
      <c r="A448" s="97">
        <f>IFERROR(__xludf.DUMMYFUNCTION("""COMPUTED_VALUE"""),6053.0)</f>
        <v>6053</v>
      </c>
      <c r="B448" s="97" t="str">
        <f>IFERROR(__xludf.DUMMYFUNCTION("""COMPUTED_VALUE"""),"SELENE")</f>
        <v>SELENE</v>
      </c>
      <c r="C448" s="97" t="str">
        <f>IFERROR(__xludf.DUMMYFUNCTION("""COMPUTED_VALUE"""),"VELADOR SELENE LEUK")</f>
        <v>VELADOR SELENE LEUK</v>
      </c>
      <c r="D448" s="97">
        <f>IFERROR(__xludf.DUMMYFUNCTION("""COMPUTED_VALUE"""),7.79832875622E12)</f>
        <v>7798328756220</v>
      </c>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t="str">
        <f>IFERROR(__xludf.DUMMYFUNCTION("""COMPUTED_VALUE"""),"IP20")</f>
        <v>IP20</v>
      </c>
      <c r="AE448" s="97"/>
      <c r="AF448" s="97" t="str">
        <f>IFERROR(__xludf.DUMMYFUNCTION("""COMPUTED_VALUE"""),"Autoportante")</f>
        <v>Autoportante</v>
      </c>
      <c r="AG448" s="97"/>
      <c r="AH448" s="97"/>
      <c r="AI448" s="97"/>
      <c r="AJ448" s="97"/>
      <c r="AK448" s="97"/>
      <c r="AL448" s="97"/>
      <c r="AM448" s="97"/>
      <c r="AN448" s="97"/>
      <c r="AO448" s="97" t="str">
        <f>IFERROR(__xludf.DUMMYFUNCTION("""COMPUTED_VALUE"""),"1 Año")</f>
        <v>1 Año</v>
      </c>
      <c r="AP448" s="97"/>
      <c r="AQ448" s="97"/>
      <c r="AR448" s="97"/>
      <c r="AS448" s="97"/>
      <c r="AT448" s="97"/>
      <c r="AU448" s="97"/>
      <c r="AV448" s="97" t="str">
        <f>IFERROR(__xludf.DUMMYFUNCTION("""COMPUTED_VALUE"""),"Mesa")</f>
        <v>Mesa</v>
      </c>
      <c r="AW448" s="97" t="str">
        <f>IFERROR(__xludf.DUMMYFUNCTION("""COMPUTED_VALUE"""),"De Apoyo")</f>
        <v>De Apoyo</v>
      </c>
      <c r="AX448" s="97" t="str">
        <f>IFERROR(__xludf.DUMMYFUNCTION("""COMPUTED_VALUE"""),"Interior")</f>
        <v>Interior</v>
      </c>
      <c r="AY448" s="97"/>
      <c r="AZ448" s="97"/>
      <c r="BA448" s="97"/>
      <c r="BB448" s="97"/>
      <c r="BC448" s="97"/>
      <c r="BD448" s="97" t="str">
        <f>IFERROR(__xludf.DUMMYFUNCTION("""COMPUTED_VALUE"""),"SELENE")</f>
        <v>SELENE</v>
      </c>
      <c r="BE448" s="97" t="str">
        <f>IFERROR(__xludf.DUMMYFUNCTION("""COMPUTED_VALUE"""),"Sin Ficha")</f>
        <v>Sin Ficha</v>
      </c>
      <c r="BF448" s="97"/>
      <c r="BG448" s="97" t="str">
        <f>IFERROR(__xludf.DUMMYFUNCTION("""COMPUTED_VALUE"""),"Discontinuo")</f>
        <v>Discontinuo</v>
      </c>
    </row>
    <row r="449">
      <c r="A449" s="97">
        <f>IFERROR(__xludf.DUMMYFUNCTION("""COMPUTED_VALUE"""),6054.0)</f>
        <v>6054</v>
      </c>
      <c r="B449" s="97" t="str">
        <f>IFERROR(__xludf.DUMMYFUNCTION("""COMPUTED_VALUE"""),"TEMIS")</f>
        <v>TEMIS</v>
      </c>
      <c r="C449" s="97" t="str">
        <f>IFERROR(__xludf.DUMMYFUNCTION("""COMPUTED_VALUE"""),"VELADOR TEMIS LEUK BLANCO")</f>
        <v>VELADOR TEMIS LEUK BLANCO</v>
      </c>
      <c r="D449" s="97">
        <f>IFERROR(__xludf.DUMMYFUNCTION("""COMPUTED_VALUE"""),7.798328756237E12)</f>
        <v>7798328756237</v>
      </c>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t="str">
        <f>IFERROR(__xludf.DUMMYFUNCTION("""COMPUTED_VALUE"""),"IP20")</f>
        <v>IP20</v>
      </c>
      <c r="AE449" s="97"/>
      <c r="AF449" s="97" t="str">
        <f>IFERROR(__xludf.DUMMYFUNCTION("""COMPUTED_VALUE"""),"Autoportante")</f>
        <v>Autoportante</v>
      </c>
      <c r="AG449" s="97"/>
      <c r="AH449" s="97"/>
      <c r="AI449" s="97"/>
      <c r="AJ449" s="97"/>
      <c r="AK449" s="97"/>
      <c r="AL449" s="97"/>
      <c r="AM449" s="97"/>
      <c r="AN449" s="97"/>
      <c r="AO449" s="97" t="str">
        <f>IFERROR(__xludf.DUMMYFUNCTION("""COMPUTED_VALUE"""),"1 Año")</f>
        <v>1 Año</v>
      </c>
      <c r="AP449" s="97"/>
      <c r="AQ449" s="97"/>
      <c r="AR449" s="97"/>
      <c r="AS449" s="97"/>
      <c r="AT449" s="97"/>
      <c r="AU449" s="97"/>
      <c r="AV449" s="97" t="str">
        <f>IFERROR(__xludf.DUMMYFUNCTION("""COMPUTED_VALUE"""),"Mesa")</f>
        <v>Mesa</v>
      </c>
      <c r="AW449" s="97" t="str">
        <f>IFERROR(__xludf.DUMMYFUNCTION("""COMPUTED_VALUE"""),"De Apoyo")</f>
        <v>De Apoyo</v>
      </c>
      <c r="AX449" s="97" t="str">
        <f>IFERROR(__xludf.DUMMYFUNCTION("""COMPUTED_VALUE"""),"Interior")</f>
        <v>Interior</v>
      </c>
      <c r="AY449" s="97"/>
      <c r="AZ449" s="97"/>
      <c r="BA449" s="97"/>
      <c r="BB449" s="97"/>
      <c r="BC449" s="97"/>
      <c r="BD449" s="97" t="str">
        <f>IFERROR(__xludf.DUMMYFUNCTION("""COMPUTED_VALUE"""),"TEMIS")</f>
        <v>TEMIS</v>
      </c>
      <c r="BE449" s="97" t="str">
        <f>IFERROR(__xludf.DUMMYFUNCTION("""COMPUTED_VALUE"""),"Sin Ficha")</f>
        <v>Sin Ficha</v>
      </c>
      <c r="BF449" s="97"/>
      <c r="BG449" s="97" t="str">
        <f>IFERROR(__xludf.DUMMYFUNCTION("""COMPUTED_VALUE"""),"Discontinuo")</f>
        <v>Discontinuo</v>
      </c>
    </row>
    <row r="450">
      <c r="A450" s="97">
        <f>IFERROR(__xludf.DUMMYFUNCTION("""COMPUTED_VALUE"""),6055.0)</f>
        <v>6055</v>
      </c>
      <c r="B450" s="97" t="str">
        <f>IFERROR(__xludf.DUMMYFUNCTION("""COMPUTED_VALUE"""),"TEMIS")</f>
        <v>TEMIS</v>
      </c>
      <c r="C450" s="97" t="str">
        <f>IFERROR(__xludf.DUMMYFUNCTION("""COMPUTED_VALUE"""),"VELADOR TEMIS LEUK NEGRO")</f>
        <v>VELADOR TEMIS LEUK NEGRO</v>
      </c>
      <c r="D450" s="97">
        <f>IFERROR(__xludf.DUMMYFUNCTION("""COMPUTED_VALUE"""),7.798328756244E12)</f>
        <v>7798328756244</v>
      </c>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t="str">
        <f>IFERROR(__xludf.DUMMYFUNCTION("""COMPUTED_VALUE"""),"IP20")</f>
        <v>IP20</v>
      </c>
      <c r="AE450" s="97"/>
      <c r="AF450" s="97" t="str">
        <f>IFERROR(__xludf.DUMMYFUNCTION("""COMPUTED_VALUE"""),"Autoportante")</f>
        <v>Autoportante</v>
      </c>
      <c r="AG450" s="97"/>
      <c r="AH450" s="97"/>
      <c r="AI450" s="97"/>
      <c r="AJ450" s="97"/>
      <c r="AK450" s="97"/>
      <c r="AL450" s="97"/>
      <c r="AM450" s="97"/>
      <c r="AN450" s="97"/>
      <c r="AO450" s="97" t="str">
        <f>IFERROR(__xludf.DUMMYFUNCTION("""COMPUTED_VALUE"""),"1 Año")</f>
        <v>1 Año</v>
      </c>
      <c r="AP450" s="97"/>
      <c r="AQ450" s="97"/>
      <c r="AR450" s="97"/>
      <c r="AS450" s="97"/>
      <c r="AT450" s="97"/>
      <c r="AU450" s="97"/>
      <c r="AV450" s="97" t="str">
        <f>IFERROR(__xludf.DUMMYFUNCTION("""COMPUTED_VALUE"""),"Mesa")</f>
        <v>Mesa</v>
      </c>
      <c r="AW450" s="97" t="str">
        <f>IFERROR(__xludf.DUMMYFUNCTION("""COMPUTED_VALUE"""),"De Apoyo")</f>
        <v>De Apoyo</v>
      </c>
      <c r="AX450" s="97" t="str">
        <f>IFERROR(__xludf.DUMMYFUNCTION("""COMPUTED_VALUE"""),"Interior")</f>
        <v>Interior</v>
      </c>
      <c r="AY450" s="97"/>
      <c r="AZ450" s="97"/>
      <c r="BA450" s="97"/>
      <c r="BB450" s="97"/>
      <c r="BC450" s="97"/>
      <c r="BD450" s="97" t="str">
        <f>IFERROR(__xludf.DUMMYFUNCTION("""COMPUTED_VALUE"""),"TEMIS")</f>
        <v>TEMIS</v>
      </c>
      <c r="BE450" s="97" t="str">
        <f>IFERROR(__xludf.DUMMYFUNCTION("""COMPUTED_VALUE"""),"Sin Ficha")</f>
        <v>Sin Ficha</v>
      </c>
      <c r="BF450" s="97"/>
      <c r="BG450" s="97" t="str">
        <f>IFERROR(__xludf.DUMMYFUNCTION("""COMPUTED_VALUE"""),"Discontinuo")</f>
        <v>Discontinuo</v>
      </c>
    </row>
    <row r="451">
      <c r="A451" s="97">
        <f>IFERROR(__xludf.DUMMYFUNCTION("""COMPUTED_VALUE"""),6056.0)</f>
        <v>6056</v>
      </c>
      <c r="B451" s="97" t="str">
        <f>IFERROR(__xludf.DUMMYFUNCTION("""COMPUTED_VALUE"""),"STRAVO")</f>
        <v>STRAVO</v>
      </c>
      <c r="C451" s="97" t="str">
        <f>IFERROR(__xludf.DUMMYFUNCTION("""COMPUTED_VALUE"""),"COLGANTE STRAVO BLANCO DIMERIZABLE LEUK")</f>
        <v>COLGANTE STRAVO BLANCO DIMERIZABLE LEUK</v>
      </c>
      <c r="D451" s="99">
        <f>IFERROR(__xludf.DUMMYFUNCTION("""COMPUTED_VALUE"""),7.798328756091E12)</f>
        <v>7798328756091</v>
      </c>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t="str">
        <f>IFERROR(__xludf.DUMMYFUNCTION("""COMPUTED_VALUE"""),"IP20")</f>
        <v>IP20</v>
      </c>
      <c r="AE451" s="97"/>
      <c r="AF451" s="97" t="str">
        <f>IFERROR(__xludf.DUMMYFUNCTION("""COMPUTED_VALUE"""),"Suspender")</f>
        <v>Suspender</v>
      </c>
      <c r="AG451" s="97"/>
      <c r="AH451" s="97"/>
      <c r="AI451" s="97"/>
      <c r="AJ451" s="97"/>
      <c r="AK451" s="97"/>
      <c r="AL451" s="97"/>
      <c r="AM451" s="97"/>
      <c r="AN451" s="97"/>
      <c r="AO451" s="97" t="str">
        <f>IFERROR(__xludf.DUMMYFUNCTION("""COMPUTED_VALUE"""),"1 Año")</f>
        <v>1 Año</v>
      </c>
      <c r="AP451" s="97"/>
      <c r="AQ451" s="97"/>
      <c r="AR451" s="97"/>
      <c r="AS451" s="97"/>
      <c r="AT451" s="97"/>
      <c r="AU451" s="97"/>
      <c r="AV451" s="97" t="str">
        <f>IFERROR(__xludf.DUMMYFUNCTION("""COMPUTED_VALUE"""),"Colgante")</f>
        <v>Colgante</v>
      </c>
      <c r="AW451" s="97" t="str">
        <f>IFERROR(__xludf.DUMMYFUNCTION("""COMPUTED_VALUE"""),"De Techo")</f>
        <v>De Techo</v>
      </c>
      <c r="AX451" s="97" t="str">
        <f>IFERROR(__xludf.DUMMYFUNCTION("""COMPUTED_VALUE"""),"Interior")</f>
        <v>Interior</v>
      </c>
      <c r="AY451" s="97"/>
      <c r="AZ451" s="97"/>
      <c r="BA451" s="97"/>
      <c r="BB451" s="97"/>
      <c r="BC451" s="97"/>
      <c r="BD451" s="97" t="str">
        <f>IFERROR(__xludf.DUMMYFUNCTION("""COMPUTED_VALUE"""),"STRAVO")</f>
        <v>STRAVO</v>
      </c>
      <c r="BE451" s="97" t="str">
        <f>IFERROR(__xludf.DUMMYFUNCTION("""COMPUTED_VALUE"""),"Sin Ficha")</f>
        <v>Sin Ficha</v>
      </c>
      <c r="BF451" s="97"/>
      <c r="BG451" s="97" t="str">
        <f>IFERROR(__xludf.DUMMYFUNCTION("""COMPUTED_VALUE"""),"Discontinuo")</f>
        <v>Discontinuo</v>
      </c>
    </row>
    <row r="452">
      <c r="A452" s="97">
        <f>IFERROR(__xludf.DUMMYFUNCTION("""COMPUTED_VALUE"""),6057.0)</f>
        <v>6057</v>
      </c>
      <c r="B452" s="97" t="str">
        <f>IFERROR(__xludf.DUMMYFUNCTION("""COMPUTED_VALUE"""),"STRAVO")</f>
        <v>STRAVO</v>
      </c>
      <c r="C452" s="97" t="str">
        <f>IFERROR(__xludf.DUMMYFUNCTION("""COMPUTED_VALUE"""),"COLGANTE STRAVO LEUK NEGRO DIMERIZABLE")</f>
        <v>COLGANTE STRAVO LEUK NEGRO DIMERIZABLE</v>
      </c>
      <c r="D452" s="99">
        <f>IFERROR(__xludf.DUMMYFUNCTION("""COMPUTED_VALUE"""),7.798328756084E12)</f>
        <v>7798328756084</v>
      </c>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t="str">
        <f>IFERROR(__xludf.DUMMYFUNCTION("""COMPUTED_VALUE"""),"IP20")</f>
        <v>IP20</v>
      </c>
      <c r="AE452" s="97"/>
      <c r="AF452" s="97" t="str">
        <f>IFERROR(__xludf.DUMMYFUNCTION("""COMPUTED_VALUE"""),"Suspender")</f>
        <v>Suspender</v>
      </c>
      <c r="AG452" s="97"/>
      <c r="AH452" s="97"/>
      <c r="AI452" s="97"/>
      <c r="AJ452" s="97"/>
      <c r="AK452" s="97"/>
      <c r="AL452" s="97"/>
      <c r="AM452" s="97"/>
      <c r="AN452" s="97"/>
      <c r="AO452" s="97" t="str">
        <f>IFERROR(__xludf.DUMMYFUNCTION("""COMPUTED_VALUE"""),"1 Año")</f>
        <v>1 Año</v>
      </c>
      <c r="AP452" s="97"/>
      <c r="AQ452" s="97"/>
      <c r="AR452" s="97"/>
      <c r="AS452" s="97"/>
      <c r="AT452" s="97"/>
      <c r="AU452" s="97"/>
      <c r="AV452" s="97" t="str">
        <f>IFERROR(__xludf.DUMMYFUNCTION("""COMPUTED_VALUE"""),"Colgante")</f>
        <v>Colgante</v>
      </c>
      <c r="AW452" s="97" t="str">
        <f>IFERROR(__xludf.DUMMYFUNCTION("""COMPUTED_VALUE"""),"De Techo")</f>
        <v>De Techo</v>
      </c>
      <c r="AX452" s="97" t="str">
        <f>IFERROR(__xludf.DUMMYFUNCTION("""COMPUTED_VALUE"""),"Interior")</f>
        <v>Interior</v>
      </c>
      <c r="AY452" s="97"/>
      <c r="AZ452" s="97"/>
      <c r="BA452" s="97"/>
      <c r="BB452" s="97"/>
      <c r="BC452" s="97"/>
      <c r="BD452" s="97" t="str">
        <f>IFERROR(__xludf.DUMMYFUNCTION("""COMPUTED_VALUE"""),"STRAVO")</f>
        <v>STRAVO</v>
      </c>
      <c r="BE452" s="97" t="str">
        <f>IFERROR(__xludf.DUMMYFUNCTION("""COMPUTED_VALUE"""),"Sin Ficha")</f>
        <v>Sin Ficha</v>
      </c>
      <c r="BF452" s="97"/>
      <c r="BG452" s="97" t="str">
        <f>IFERROR(__xludf.DUMMYFUNCTION("""COMPUTED_VALUE"""),"Discontinuo")</f>
        <v>Discontinuo</v>
      </c>
    </row>
    <row r="453">
      <c r="A453" s="97">
        <f>IFERROR(__xludf.DUMMYFUNCTION("""COMPUTED_VALUE"""),6058.0)</f>
        <v>6058</v>
      </c>
      <c r="B453" s="97" t="str">
        <f>IFERROR(__xludf.DUMMYFUNCTION("""COMPUTED_VALUE"""),"TRITON")</f>
        <v>TRITON</v>
      </c>
      <c r="C453" s="97" t="str">
        <f>IFERROR(__xludf.DUMMYFUNCTION("""COMPUTED_VALUE"""),"COLGANTE TRITON LEUK NEGRO")</f>
        <v>COLGANTE TRITON LEUK NEGRO</v>
      </c>
      <c r="D453" s="97">
        <f>IFERROR(__xludf.DUMMYFUNCTION("""COMPUTED_VALUE"""),7.798328756138E12)</f>
        <v>7798328756138</v>
      </c>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t="str">
        <f>IFERROR(__xludf.DUMMYFUNCTION("""COMPUTED_VALUE"""),"IP20")</f>
        <v>IP20</v>
      </c>
      <c r="AE453" s="97"/>
      <c r="AF453" s="97" t="str">
        <f>IFERROR(__xludf.DUMMYFUNCTION("""COMPUTED_VALUE"""),"Suspender")</f>
        <v>Suspender</v>
      </c>
      <c r="AG453" s="97"/>
      <c r="AH453" s="97"/>
      <c r="AI453" s="97"/>
      <c r="AJ453" s="97"/>
      <c r="AK453" s="97"/>
      <c r="AL453" s="97"/>
      <c r="AM453" s="97"/>
      <c r="AN453" s="97"/>
      <c r="AO453" s="97" t="str">
        <f>IFERROR(__xludf.DUMMYFUNCTION("""COMPUTED_VALUE"""),"1 Año")</f>
        <v>1 Año</v>
      </c>
      <c r="AP453" s="97"/>
      <c r="AQ453" s="97"/>
      <c r="AR453" s="97"/>
      <c r="AS453" s="97"/>
      <c r="AT453" s="97"/>
      <c r="AU453" s="97"/>
      <c r="AV453" s="97" t="str">
        <f>IFERROR(__xludf.DUMMYFUNCTION("""COMPUTED_VALUE"""),"Colgante")</f>
        <v>Colgante</v>
      </c>
      <c r="AW453" s="97" t="str">
        <f>IFERROR(__xludf.DUMMYFUNCTION("""COMPUTED_VALUE"""),"De Techo")</f>
        <v>De Techo</v>
      </c>
      <c r="AX453" s="97" t="str">
        <f>IFERROR(__xludf.DUMMYFUNCTION("""COMPUTED_VALUE"""),"Interior")</f>
        <v>Interior</v>
      </c>
      <c r="AY453" s="97"/>
      <c r="AZ453" s="97"/>
      <c r="BA453" s="97"/>
      <c r="BB453" s="97"/>
      <c r="BC453" s="97"/>
      <c r="BD453" s="97" t="str">
        <f>IFERROR(__xludf.DUMMYFUNCTION("""COMPUTED_VALUE"""),"TRITON")</f>
        <v>TRITON</v>
      </c>
      <c r="BE453" s="97" t="str">
        <f>IFERROR(__xludf.DUMMYFUNCTION("""COMPUTED_VALUE"""),"Sin Ficha")</f>
        <v>Sin Ficha</v>
      </c>
      <c r="BF453" s="97"/>
      <c r="BG453" s="97" t="str">
        <f>IFERROR(__xludf.DUMMYFUNCTION("""COMPUTED_VALUE"""),"Discontinuo")</f>
        <v>Discontinuo</v>
      </c>
    </row>
    <row r="454">
      <c r="A454" s="97">
        <f>IFERROR(__xludf.DUMMYFUNCTION("""COMPUTED_VALUE"""),6059.0)</f>
        <v>6059</v>
      </c>
      <c r="B454" s="97" t="str">
        <f>IFERROR(__xludf.DUMMYFUNCTION("""COMPUTED_VALUE"""),"TRITON")</f>
        <v>TRITON</v>
      </c>
      <c r="C454" s="97" t="str">
        <f>IFERROR(__xludf.DUMMYFUNCTION("""COMPUTED_VALUE"""),"COLGANTE TRITON LEUK DORADO")</f>
        <v>COLGANTE TRITON LEUK DORADO</v>
      </c>
      <c r="D454" s="97">
        <f>IFERROR(__xludf.DUMMYFUNCTION("""COMPUTED_VALUE"""),7.798328756145E12)</f>
        <v>7798328756145</v>
      </c>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t="str">
        <f>IFERROR(__xludf.DUMMYFUNCTION("""COMPUTED_VALUE"""),"IP20")</f>
        <v>IP20</v>
      </c>
      <c r="AE454" s="97"/>
      <c r="AF454" s="97" t="str">
        <f>IFERROR(__xludf.DUMMYFUNCTION("""COMPUTED_VALUE"""),"Suspender")</f>
        <v>Suspender</v>
      </c>
      <c r="AG454" s="97"/>
      <c r="AH454" s="97"/>
      <c r="AI454" s="97"/>
      <c r="AJ454" s="97"/>
      <c r="AK454" s="97"/>
      <c r="AL454" s="97"/>
      <c r="AM454" s="97"/>
      <c r="AN454" s="97"/>
      <c r="AO454" s="97" t="str">
        <f>IFERROR(__xludf.DUMMYFUNCTION("""COMPUTED_VALUE"""),"1 Año")</f>
        <v>1 Año</v>
      </c>
      <c r="AP454" s="97"/>
      <c r="AQ454" s="97"/>
      <c r="AR454" s="97"/>
      <c r="AS454" s="97"/>
      <c r="AT454" s="97"/>
      <c r="AU454" s="97"/>
      <c r="AV454" s="97" t="str">
        <f>IFERROR(__xludf.DUMMYFUNCTION("""COMPUTED_VALUE"""),"Colgante")</f>
        <v>Colgante</v>
      </c>
      <c r="AW454" s="97" t="str">
        <f>IFERROR(__xludf.DUMMYFUNCTION("""COMPUTED_VALUE"""),"De Techo")</f>
        <v>De Techo</v>
      </c>
      <c r="AX454" s="97" t="str">
        <f>IFERROR(__xludf.DUMMYFUNCTION("""COMPUTED_VALUE"""),"Interior")</f>
        <v>Interior</v>
      </c>
      <c r="AY454" s="97"/>
      <c r="AZ454" s="97"/>
      <c r="BA454" s="97">
        <f>IFERROR(__xludf.DUMMYFUNCTION("""COMPUTED_VALUE"""),1.0)</f>
        <v>1</v>
      </c>
      <c r="BB454" s="97"/>
      <c r="BC454" s="97"/>
      <c r="BD454" s="97" t="str">
        <f>IFERROR(__xludf.DUMMYFUNCTION("""COMPUTED_VALUE"""),"TRITON")</f>
        <v>TRITON</v>
      </c>
      <c r="BE454" s="97" t="str">
        <f>IFERROR(__xludf.DUMMYFUNCTION("""COMPUTED_VALUE"""),"Sin Ficha")</f>
        <v>Sin Ficha</v>
      </c>
      <c r="BF454" s="97"/>
      <c r="BG454" s="97" t="str">
        <f>IFERROR(__xludf.DUMMYFUNCTION("""COMPUTED_VALUE"""),"Discontinuo")</f>
        <v>Discontinuo</v>
      </c>
    </row>
    <row r="455">
      <c r="A455" s="97">
        <f>IFERROR(__xludf.DUMMYFUNCTION("""COMPUTED_VALUE"""),6060.0)</f>
        <v>6060</v>
      </c>
      <c r="B455" s="97" t="str">
        <f>IFERROR(__xludf.DUMMYFUNCTION("""COMPUTED_VALUE"""),"MAYA")</f>
        <v>MAYA</v>
      </c>
      <c r="C455" s="97" t="str">
        <f>IFERROR(__xludf.DUMMYFUNCTION("""COMPUTED_VALUE"""),"COLGANTE MAYA LEUK")</f>
        <v>COLGANTE MAYA LEUK</v>
      </c>
      <c r="D455" s="97">
        <f>IFERROR(__xludf.DUMMYFUNCTION("""COMPUTED_VALUE"""),7.798328756282E12)</f>
        <v>7798328756282</v>
      </c>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t="str">
        <f>IFERROR(__xludf.DUMMYFUNCTION("""COMPUTED_VALUE"""),"IP20")</f>
        <v>IP20</v>
      </c>
      <c r="AE455" s="97"/>
      <c r="AF455" s="97" t="str">
        <f>IFERROR(__xludf.DUMMYFUNCTION("""COMPUTED_VALUE"""),"Suspender")</f>
        <v>Suspender</v>
      </c>
      <c r="AG455" s="97"/>
      <c r="AH455" s="97"/>
      <c r="AI455" s="97"/>
      <c r="AJ455" s="97"/>
      <c r="AK455" s="97"/>
      <c r="AL455" s="97"/>
      <c r="AM455" s="97"/>
      <c r="AN455" s="97"/>
      <c r="AO455" s="97" t="str">
        <f>IFERROR(__xludf.DUMMYFUNCTION("""COMPUTED_VALUE"""),"1 Año")</f>
        <v>1 Año</v>
      </c>
      <c r="AP455" s="97"/>
      <c r="AQ455" s="97"/>
      <c r="AR455" s="97"/>
      <c r="AS455" s="97"/>
      <c r="AT455" s="97"/>
      <c r="AU455" s="97"/>
      <c r="AV455" s="97" t="str">
        <f>IFERROR(__xludf.DUMMYFUNCTION("""COMPUTED_VALUE"""),"Colgante")</f>
        <v>Colgante</v>
      </c>
      <c r="AW455" s="97" t="str">
        <f>IFERROR(__xludf.DUMMYFUNCTION("""COMPUTED_VALUE"""),"De Techo")</f>
        <v>De Techo</v>
      </c>
      <c r="AX455" s="97" t="str">
        <f>IFERROR(__xludf.DUMMYFUNCTION("""COMPUTED_VALUE"""),"Interior")</f>
        <v>Interior</v>
      </c>
      <c r="AY455" s="97"/>
      <c r="AZ455" s="97"/>
      <c r="BA455" s="97"/>
      <c r="BB455" s="97"/>
      <c r="BC455" s="97"/>
      <c r="BD455" s="97" t="str">
        <f>IFERROR(__xludf.DUMMYFUNCTION("""COMPUTED_VALUE"""),"MAYA")</f>
        <v>MAYA</v>
      </c>
      <c r="BE455" s="97" t="str">
        <f>IFERROR(__xludf.DUMMYFUNCTION("""COMPUTED_VALUE"""),"Sin Ficha")</f>
        <v>Sin Ficha</v>
      </c>
      <c r="BF455" s="97"/>
      <c r="BG455" s="97" t="str">
        <f>IFERROR(__xludf.DUMMYFUNCTION("""COMPUTED_VALUE"""),"Discontinuo")</f>
        <v>Discontinuo</v>
      </c>
    </row>
    <row r="456">
      <c r="A456" s="97">
        <f>IFERROR(__xludf.DUMMYFUNCTION("""COMPUTED_VALUE"""),6061.0)</f>
        <v>6061</v>
      </c>
      <c r="B456" s="97" t="str">
        <f>IFERROR(__xludf.DUMMYFUNCTION("""COMPUTED_VALUE"""),"FOTIA XS")</f>
        <v>FOTIA XS</v>
      </c>
      <c r="C456" s="97" t="str">
        <f>IFERROR(__xludf.DUMMYFUNCTION("""COMPUTED_VALUE"""),"COLGANTE FOTIA XS LEUK")</f>
        <v>COLGANTE FOTIA XS LEUK</v>
      </c>
      <c r="D456" s="97">
        <f>IFERROR(__xludf.DUMMYFUNCTION("""COMPUTED_VALUE"""),7.79832875635E12)</f>
        <v>7798328756350</v>
      </c>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t="str">
        <f>IFERROR(__xludf.DUMMYFUNCTION("""COMPUTED_VALUE"""),"IP20")</f>
        <v>IP20</v>
      </c>
      <c r="AE456" s="97"/>
      <c r="AF456" s="97" t="str">
        <f>IFERROR(__xludf.DUMMYFUNCTION("""COMPUTED_VALUE"""),"Suspender")</f>
        <v>Suspender</v>
      </c>
      <c r="AG456" s="97"/>
      <c r="AH456" s="97"/>
      <c r="AI456" s="97"/>
      <c r="AJ456" s="97"/>
      <c r="AK456" s="97"/>
      <c r="AL456" s="97"/>
      <c r="AM456" s="97"/>
      <c r="AN456" s="97"/>
      <c r="AO456" s="97" t="str">
        <f>IFERROR(__xludf.DUMMYFUNCTION("""COMPUTED_VALUE"""),"1 Año")</f>
        <v>1 Año</v>
      </c>
      <c r="AP456" s="97"/>
      <c r="AQ456" s="97"/>
      <c r="AR456" s="97"/>
      <c r="AS456" s="97"/>
      <c r="AT456" s="97"/>
      <c r="AU456" s="97"/>
      <c r="AV456" s="97" t="str">
        <f>IFERROR(__xludf.DUMMYFUNCTION("""COMPUTED_VALUE"""),"Colgante")</f>
        <v>Colgante</v>
      </c>
      <c r="AW456" s="97" t="str">
        <f>IFERROR(__xludf.DUMMYFUNCTION("""COMPUTED_VALUE"""),"De Techo")</f>
        <v>De Techo</v>
      </c>
      <c r="AX456" s="97" t="str">
        <f>IFERROR(__xludf.DUMMYFUNCTION("""COMPUTED_VALUE"""),"Interior")</f>
        <v>Interior</v>
      </c>
      <c r="AY456" s="97"/>
      <c r="AZ456" s="97"/>
      <c r="BA456" s="97">
        <f>IFERROR(__xludf.DUMMYFUNCTION("""COMPUTED_VALUE"""),10.0)</f>
        <v>10</v>
      </c>
      <c r="BB456" s="97"/>
      <c r="BC456" s="97"/>
      <c r="BD456" s="97" t="str">
        <f>IFERROR(__xludf.DUMMYFUNCTION("""COMPUTED_VALUE"""),"FOTIA")</f>
        <v>FOTIA</v>
      </c>
      <c r="BE456" s="97" t="str">
        <f>IFERROR(__xludf.DUMMYFUNCTION("""COMPUTED_VALUE"""),"Sin Ficha")</f>
        <v>Sin Ficha</v>
      </c>
      <c r="BF456" s="97"/>
      <c r="BG456" s="97" t="str">
        <f>IFERROR(__xludf.DUMMYFUNCTION("""COMPUTED_VALUE"""),"Discontinuo")</f>
        <v>Discontinuo</v>
      </c>
    </row>
    <row r="457">
      <c r="A457" s="97">
        <f>IFERROR(__xludf.DUMMYFUNCTION("""COMPUTED_VALUE"""),6062.0)</f>
        <v>6062</v>
      </c>
      <c r="B457" s="97" t="str">
        <f>IFERROR(__xludf.DUMMYFUNCTION("""COMPUTED_VALUE"""),"FOTIA II")</f>
        <v>FOTIA II</v>
      </c>
      <c r="C457" s="97" t="str">
        <f>IFERROR(__xludf.DUMMYFUNCTION("""COMPUTED_VALUE"""),"COLGANTE FOTIA II LEUK")</f>
        <v>COLGANTE FOTIA II LEUK</v>
      </c>
      <c r="D457" s="97">
        <f>IFERROR(__xludf.DUMMYFUNCTION("""COMPUTED_VALUE"""),7.798328756077E12)</f>
        <v>7798328756077</v>
      </c>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t="str">
        <f>IFERROR(__xludf.DUMMYFUNCTION("""COMPUTED_VALUE"""),"IP20")</f>
        <v>IP20</v>
      </c>
      <c r="AE457" s="97"/>
      <c r="AF457" s="97" t="str">
        <f>IFERROR(__xludf.DUMMYFUNCTION("""COMPUTED_VALUE"""),"Suspender")</f>
        <v>Suspender</v>
      </c>
      <c r="AG457" s="97"/>
      <c r="AH457" s="97"/>
      <c r="AI457" s="97"/>
      <c r="AJ457" s="97"/>
      <c r="AK457" s="97"/>
      <c r="AL457" s="97"/>
      <c r="AM457" s="97"/>
      <c r="AN457" s="97"/>
      <c r="AO457" s="97" t="str">
        <f>IFERROR(__xludf.DUMMYFUNCTION("""COMPUTED_VALUE"""),"1 Año")</f>
        <v>1 Año</v>
      </c>
      <c r="AP457" s="97"/>
      <c r="AQ457" s="97"/>
      <c r="AR457" s="97"/>
      <c r="AS457" s="97"/>
      <c r="AT457" s="97"/>
      <c r="AU457" s="97"/>
      <c r="AV457" s="97" t="str">
        <f>IFERROR(__xludf.DUMMYFUNCTION("""COMPUTED_VALUE"""),"Colgante")</f>
        <v>Colgante</v>
      </c>
      <c r="AW457" s="97" t="str">
        <f>IFERROR(__xludf.DUMMYFUNCTION("""COMPUTED_VALUE"""),"De Techo")</f>
        <v>De Techo</v>
      </c>
      <c r="AX457" s="97" t="str">
        <f>IFERROR(__xludf.DUMMYFUNCTION("""COMPUTED_VALUE"""),"Interior")</f>
        <v>Interior</v>
      </c>
      <c r="AY457" s="97"/>
      <c r="AZ457" s="97"/>
      <c r="BA457" s="97"/>
      <c r="BB457" s="97"/>
      <c r="BC457" s="97"/>
      <c r="BD457" s="97" t="str">
        <f>IFERROR(__xludf.DUMMYFUNCTION("""COMPUTED_VALUE"""),"FOTIA")</f>
        <v>FOTIA</v>
      </c>
      <c r="BE457" s="97" t="str">
        <f>IFERROR(__xludf.DUMMYFUNCTION("""COMPUTED_VALUE"""),"Sin Ficha")</f>
        <v>Sin Ficha</v>
      </c>
      <c r="BF457" s="97"/>
      <c r="BG457" s="97" t="str">
        <f>IFERROR(__xludf.DUMMYFUNCTION("""COMPUTED_VALUE"""),"Discontinuo")</f>
        <v>Discontinuo</v>
      </c>
    </row>
    <row r="458">
      <c r="A458" s="97">
        <f>IFERROR(__xludf.DUMMYFUNCTION("""COMPUTED_VALUE"""),6063.0)</f>
        <v>6063</v>
      </c>
      <c r="B458" s="97" t="str">
        <f>IFERROR(__xludf.DUMMYFUNCTION("""COMPUTED_VALUE"""),"KEILA I")</f>
        <v>KEILA I</v>
      </c>
      <c r="C458" s="97" t="str">
        <f>IFERROR(__xludf.DUMMYFUNCTION("""COMPUTED_VALUE"""),"COLGANTE KEILA I LEUK")</f>
        <v>COLGANTE KEILA I LEUK</v>
      </c>
      <c r="D458" s="97">
        <f>IFERROR(__xludf.DUMMYFUNCTION("""COMPUTED_VALUE"""),7.798328756381E12)</f>
        <v>7798328756381</v>
      </c>
      <c r="E458" s="97"/>
      <c r="F458" s="97" t="str">
        <f>IFERROR(__xludf.DUMMYFUNCTION("""COMPUTED_VALUE"""),"E27")</f>
        <v>E27</v>
      </c>
      <c r="G458" s="97" t="str">
        <f>IFERROR(__xludf.DUMMYFUNCTION("""COMPUTED_VALUE"""),"N/A")</f>
        <v>N/A</v>
      </c>
      <c r="H458" s="97" t="str">
        <f>IFERROR(__xludf.DUMMYFUNCTION("""COMPUTED_VALUE"""),"N/A")</f>
        <v>N/A</v>
      </c>
      <c r="I458" s="97" t="str">
        <f>IFERROR(__xludf.DUMMYFUNCTION("""COMPUTED_VALUE"""),"N/A")</f>
        <v>N/A</v>
      </c>
      <c r="J458" s="97"/>
      <c r="K458" s="97" t="str">
        <f>IFERROR(__xludf.DUMMYFUNCTION("""COMPUTED_VALUE"""),"N/A")</f>
        <v>N/A</v>
      </c>
      <c r="L458" s="97"/>
      <c r="M458" s="97"/>
      <c r="N458" s="97"/>
      <c r="O458" s="97"/>
      <c r="P458" s="97"/>
      <c r="Q458" s="97"/>
      <c r="R458" s="97"/>
      <c r="S458" s="97"/>
      <c r="T458" s="97"/>
      <c r="U458" s="97"/>
      <c r="V458" s="97"/>
      <c r="W458" s="97"/>
      <c r="X458" s="97"/>
      <c r="Y458" s="97"/>
      <c r="Z458" s="97"/>
      <c r="AA458" s="97"/>
      <c r="AB458" s="97"/>
      <c r="AC458" s="97"/>
      <c r="AD458" s="97" t="str">
        <f>IFERROR(__xludf.DUMMYFUNCTION("""COMPUTED_VALUE"""),"IP20")</f>
        <v>IP20</v>
      </c>
      <c r="AE458" s="97"/>
      <c r="AF458" s="97" t="str">
        <f>IFERROR(__xludf.DUMMYFUNCTION("""COMPUTED_VALUE"""),"Suspender")</f>
        <v>Suspender</v>
      </c>
      <c r="AG458" s="97"/>
      <c r="AH458" s="97"/>
      <c r="AI458" s="97"/>
      <c r="AJ458" s="97"/>
      <c r="AK458" s="97"/>
      <c r="AL458" s="97"/>
      <c r="AM458" s="97"/>
      <c r="AN458" s="97"/>
      <c r="AO458" s="97" t="str">
        <f>IFERROR(__xludf.DUMMYFUNCTION("""COMPUTED_VALUE"""),"1 Año")</f>
        <v>1 Año</v>
      </c>
      <c r="AP458" s="97"/>
      <c r="AQ458" s="97"/>
      <c r="AR458" s="97"/>
      <c r="AS458" s="97"/>
      <c r="AT458" s="97"/>
      <c r="AU458" s="97"/>
      <c r="AV458" s="97" t="str">
        <f>IFERROR(__xludf.DUMMYFUNCTION("""COMPUTED_VALUE"""),"Colgante")</f>
        <v>Colgante</v>
      </c>
      <c r="AW458" s="97" t="str">
        <f>IFERROR(__xludf.DUMMYFUNCTION("""COMPUTED_VALUE"""),"De Techo")</f>
        <v>De Techo</v>
      </c>
      <c r="AX458" s="97" t="str">
        <f>IFERROR(__xludf.DUMMYFUNCTION("""COMPUTED_VALUE"""),"Interior")</f>
        <v>Interior</v>
      </c>
      <c r="AY458" s="97"/>
      <c r="AZ458" s="97"/>
      <c r="BA458" s="97">
        <f>IFERROR(__xludf.DUMMYFUNCTION("""COMPUTED_VALUE"""),1.0)</f>
        <v>1</v>
      </c>
      <c r="BB458" s="97"/>
      <c r="BC458" s="97"/>
      <c r="BD458" s="97" t="str">
        <f>IFERROR(__xludf.DUMMYFUNCTION("""COMPUTED_VALUE"""),"KEILA")</f>
        <v>KEILA</v>
      </c>
      <c r="BE458" s="97" t="str">
        <f>IFERROR(__xludf.DUMMYFUNCTION("""COMPUTED_VALUE"""),"Sin Ficha")</f>
        <v>Sin Ficha</v>
      </c>
      <c r="BF458" s="97"/>
      <c r="BG458" s="97" t="str">
        <f>IFERROR(__xludf.DUMMYFUNCTION("""COMPUTED_VALUE"""),"Discontinuo")</f>
        <v>Discontinuo</v>
      </c>
    </row>
    <row r="459">
      <c r="A459" s="97">
        <f>IFERROR(__xludf.DUMMYFUNCTION("""COMPUTED_VALUE"""),6064.0)</f>
        <v>6064</v>
      </c>
      <c r="B459" s="97" t="str">
        <f>IFERROR(__xludf.DUMMYFUNCTION("""COMPUTED_VALUE"""),"KEILA II")</f>
        <v>KEILA II</v>
      </c>
      <c r="C459" s="97" t="str">
        <f>IFERROR(__xludf.DUMMYFUNCTION("""COMPUTED_VALUE"""),"COLGANTE KEILA II LEUK")</f>
        <v>COLGANTE KEILA II LEUK</v>
      </c>
      <c r="D459" s="97">
        <f>IFERROR(__xludf.DUMMYFUNCTION("""COMPUTED_VALUE"""),7.798328756398E12)</f>
        <v>7798328756398</v>
      </c>
      <c r="E459" s="97"/>
      <c r="F459" s="97" t="str">
        <f>IFERROR(__xludf.DUMMYFUNCTION("""COMPUTED_VALUE"""),"E27")</f>
        <v>E27</v>
      </c>
      <c r="G459" s="97" t="str">
        <f>IFERROR(__xludf.DUMMYFUNCTION("""COMPUTED_VALUE"""),"N/A")</f>
        <v>N/A</v>
      </c>
      <c r="H459" s="97" t="str">
        <f>IFERROR(__xludf.DUMMYFUNCTION("""COMPUTED_VALUE"""),"N/A")</f>
        <v>N/A</v>
      </c>
      <c r="I459" s="97" t="str">
        <f>IFERROR(__xludf.DUMMYFUNCTION("""COMPUTED_VALUE"""),"N/A")</f>
        <v>N/A</v>
      </c>
      <c r="J459" s="97"/>
      <c r="K459" s="97" t="str">
        <f>IFERROR(__xludf.DUMMYFUNCTION("""COMPUTED_VALUE"""),"N/A")</f>
        <v>N/A</v>
      </c>
      <c r="L459" s="97"/>
      <c r="M459" s="97"/>
      <c r="N459" s="97"/>
      <c r="O459" s="97"/>
      <c r="P459" s="97"/>
      <c r="Q459" s="97"/>
      <c r="R459" s="97"/>
      <c r="S459" s="97"/>
      <c r="T459" s="97"/>
      <c r="U459" s="97"/>
      <c r="V459" s="97"/>
      <c r="W459" s="97"/>
      <c r="X459" s="97"/>
      <c r="Y459" s="97"/>
      <c r="Z459" s="97"/>
      <c r="AA459" s="97"/>
      <c r="AB459" s="97"/>
      <c r="AC459" s="97"/>
      <c r="AD459" s="97" t="str">
        <f>IFERROR(__xludf.DUMMYFUNCTION("""COMPUTED_VALUE"""),"IP20")</f>
        <v>IP20</v>
      </c>
      <c r="AE459" s="97"/>
      <c r="AF459" s="97" t="str">
        <f>IFERROR(__xludf.DUMMYFUNCTION("""COMPUTED_VALUE"""),"Suspender")</f>
        <v>Suspender</v>
      </c>
      <c r="AG459" s="97"/>
      <c r="AH459" s="97"/>
      <c r="AI459" s="97"/>
      <c r="AJ459" s="97"/>
      <c r="AK459" s="97"/>
      <c r="AL459" s="97"/>
      <c r="AM459" s="97"/>
      <c r="AN459" s="97"/>
      <c r="AO459" s="97" t="str">
        <f>IFERROR(__xludf.DUMMYFUNCTION("""COMPUTED_VALUE"""),"1 Año")</f>
        <v>1 Año</v>
      </c>
      <c r="AP459" s="97"/>
      <c r="AQ459" s="97"/>
      <c r="AR459" s="97"/>
      <c r="AS459" s="97"/>
      <c r="AT459" s="97"/>
      <c r="AU459" s="97"/>
      <c r="AV459" s="97" t="str">
        <f>IFERROR(__xludf.DUMMYFUNCTION("""COMPUTED_VALUE"""),"Colgante")</f>
        <v>Colgante</v>
      </c>
      <c r="AW459" s="97" t="str">
        <f>IFERROR(__xludf.DUMMYFUNCTION("""COMPUTED_VALUE"""),"De Techo")</f>
        <v>De Techo</v>
      </c>
      <c r="AX459" s="97" t="str">
        <f>IFERROR(__xludf.DUMMYFUNCTION("""COMPUTED_VALUE"""),"Interior")</f>
        <v>Interior</v>
      </c>
      <c r="AY459" s="97"/>
      <c r="AZ459" s="97"/>
      <c r="BA459" s="97"/>
      <c r="BB459" s="97"/>
      <c r="BC459" s="97"/>
      <c r="BD459" s="97" t="str">
        <f>IFERROR(__xludf.DUMMYFUNCTION("""COMPUTED_VALUE"""),"KEILA")</f>
        <v>KEILA</v>
      </c>
      <c r="BE459" s="97" t="str">
        <f>IFERROR(__xludf.DUMMYFUNCTION("""COMPUTED_VALUE"""),"Sin Ficha")</f>
        <v>Sin Ficha</v>
      </c>
      <c r="BF459" s="97"/>
      <c r="BG459" s="97" t="str">
        <f>IFERROR(__xludf.DUMMYFUNCTION("""COMPUTED_VALUE"""),"Discontinuo")</f>
        <v>Discontinuo</v>
      </c>
    </row>
    <row r="460">
      <c r="A460" s="97">
        <f>IFERROR(__xludf.DUMMYFUNCTION("""COMPUTED_VALUE"""),6065.0)</f>
        <v>6065</v>
      </c>
      <c r="B460" s="97" t="str">
        <f>IFERROR(__xludf.DUMMYFUNCTION("""COMPUTED_VALUE"""),"DAFNE")</f>
        <v>DAFNE</v>
      </c>
      <c r="C460" s="97" t="str">
        <f>IFERROR(__xludf.DUMMYFUNCTION("""COMPUTED_VALUE"""),"COLGANTE DAFNE LEUK")</f>
        <v>COLGANTE DAFNE LEUK</v>
      </c>
      <c r="D460" s="97">
        <f>IFERROR(__xludf.DUMMYFUNCTION("""COMPUTED_VALUE"""),7.798328756442E12)</f>
        <v>7798328756442</v>
      </c>
      <c r="E460" s="97"/>
      <c r="F460" s="97" t="str">
        <f>IFERROR(__xludf.DUMMYFUNCTION("""COMPUTED_VALUE"""),"E27")</f>
        <v>E27</v>
      </c>
      <c r="G460" s="97" t="str">
        <f>IFERROR(__xludf.DUMMYFUNCTION("""COMPUTED_VALUE"""),"N/A")</f>
        <v>N/A</v>
      </c>
      <c r="H460" s="97" t="str">
        <f>IFERROR(__xludf.DUMMYFUNCTION("""COMPUTED_VALUE"""),"N/A")</f>
        <v>N/A</v>
      </c>
      <c r="I460" s="97" t="str">
        <f>IFERROR(__xludf.DUMMYFUNCTION("""COMPUTED_VALUE"""),"N/A")</f>
        <v>N/A</v>
      </c>
      <c r="J460" s="97"/>
      <c r="K460" s="97" t="str">
        <f>IFERROR(__xludf.DUMMYFUNCTION("""COMPUTED_VALUE"""),"N/A")</f>
        <v>N/A</v>
      </c>
      <c r="L460" s="97"/>
      <c r="M460" s="97"/>
      <c r="N460" s="97"/>
      <c r="O460" s="97"/>
      <c r="P460" s="97"/>
      <c r="Q460" s="97"/>
      <c r="R460" s="97"/>
      <c r="S460" s="97"/>
      <c r="T460" s="97"/>
      <c r="U460" s="97"/>
      <c r="V460" s="97"/>
      <c r="W460" s="97"/>
      <c r="X460" s="97"/>
      <c r="Y460" s="97"/>
      <c r="Z460" s="97"/>
      <c r="AA460" s="97"/>
      <c r="AB460" s="97"/>
      <c r="AC460" s="97"/>
      <c r="AD460" s="97" t="str">
        <f>IFERROR(__xludf.DUMMYFUNCTION("""COMPUTED_VALUE"""),"IP20")</f>
        <v>IP20</v>
      </c>
      <c r="AE460" s="97"/>
      <c r="AF460" s="97" t="str">
        <f>IFERROR(__xludf.DUMMYFUNCTION("""COMPUTED_VALUE"""),"Suspender")</f>
        <v>Suspender</v>
      </c>
      <c r="AG460" s="97"/>
      <c r="AH460" s="97"/>
      <c r="AI460" s="97"/>
      <c r="AJ460" s="97"/>
      <c r="AK460" s="97"/>
      <c r="AL460" s="97"/>
      <c r="AM460" s="97"/>
      <c r="AN460" s="97"/>
      <c r="AO460" s="97" t="str">
        <f>IFERROR(__xludf.DUMMYFUNCTION("""COMPUTED_VALUE"""),"1 Año")</f>
        <v>1 Año</v>
      </c>
      <c r="AP460" s="97"/>
      <c r="AQ460" s="97"/>
      <c r="AR460" s="97"/>
      <c r="AS460" s="97"/>
      <c r="AT460" s="97"/>
      <c r="AU460" s="97"/>
      <c r="AV460" s="97" t="str">
        <f>IFERROR(__xludf.DUMMYFUNCTION("""COMPUTED_VALUE"""),"Colgante")</f>
        <v>Colgante</v>
      </c>
      <c r="AW460" s="97" t="str">
        <f>IFERROR(__xludf.DUMMYFUNCTION("""COMPUTED_VALUE"""),"De Techo")</f>
        <v>De Techo</v>
      </c>
      <c r="AX460" s="97" t="str">
        <f>IFERROR(__xludf.DUMMYFUNCTION("""COMPUTED_VALUE"""),"Interior")</f>
        <v>Interior</v>
      </c>
      <c r="AY460" s="97"/>
      <c r="AZ460" s="97"/>
      <c r="BA460" s="97"/>
      <c r="BB460" s="97"/>
      <c r="BC460" s="97"/>
      <c r="BD460" s="97" t="str">
        <f>IFERROR(__xludf.DUMMYFUNCTION("""COMPUTED_VALUE"""),"DAFNE")</f>
        <v>DAFNE</v>
      </c>
      <c r="BE460" s="97" t="str">
        <f>IFERROR(__xludf.DUMMYFUNCTION("""COMPUTED_VALUE"""),"Sin Ficha")</f>
        <v>Sin Ficha</v>
      </c>
      <c r="BF460" s="97"/>
      <c r="BG460" s="97" t="str">
        <f>IFERROR(__xludf.DUMMYFUNCTION("""COMPUTED_VALUE"""),"Discontinuo")</f>
        <v>Discontinuo</v>
      </c>
    </row>
    <row r="461">
      <c r="A461" s="97">
        <f>IFERROR(__xludf.DUMMYFUNCTION("""COMPUTED_VALUE"""),6066.0)</f>
        <v>6066</v>
      </c>
      <c r="B461" s="97" t="str">
        <f>IFERROR(__xludf.DUMMYFUNCTION("""COMPUTED_VALUE"""),"VIN")</f>
        <v>VIN</v>
      </c>
      <c r="C461" s="97" t="str">
        <f>IFERROR(__xludf.DUMMYFUNCTION("""COMPUTED_VALUE"""),"COLGANTE VIN LEUK")</f>
        <v>COLGANTE VIN LEUK</v>
      </c>
      <c r="D461" s="97">
        <f>IFERROR(__xludf.DUMMYFUNCTION("""COMPUTED_VALUE"""),7.798328756459E12)</f>
        <v>7798328756459</v>
      </c>
      <c r="E461" s="97"/>
      <c r="F461" s="97" t="str">
        <f>IFERROR(__xludf.DUMMYFUNCTION("""COMPUTED_VALUE"""),"E27")</f>
        <v>E27</v>
      </c>
      <c r="G461" s="97" t="str">
        <f>IFERROR(__xludf.DUMMYFUNCTION("""COMPUTED_VALUE"""),"N/A")</f>
        <v>N/A</v>
      </c>
      <c r="H461" s="97" t="str">
        <f>IFERROR(__xludf.DUMMYFUNCTION("""COMPUTED_VALUE"""),"N/A")</f>
        <v>N/A</v>
      </c>
      <c r="I461" s="97" t="str">
        <f>IFERROR(__xludf.DUMMYFUNCTION("""COMPUTED_VALUE"""),"N/A")</f>
        <v>N/A</v>
      </c>
      <c r="J461" s="97"/>
      <c r="K461" s="97" t="str">
        <f>IFERROR(__xludf.DUMMYFUNCTION("""COMPUTED_VALUE"""),"N/A")</f>
        <v>N/A</v>
      </c>
      <c r="L461" s="97"/>
      <c r="M461" s="97"/>
      <c r="N461" s="97"/>
      <c r="O461" s="97"/>
      <c r="P461" s="97"/>
      <c r="Q461" s="97"/>
      <c r="R461" s="97"/>
      <c r="S461" s="97"/>
      <c r="T461" s="97"/>
      <c r="U461" s="97"/>
      <c r="V461" s="97"/>
      <c r="W461" s="97"/>
      <c r="X461" s="97"/>
      <c r="Y461" s="97"/>
      <c r="Z461" s="97"/>
      <c r="AA461" s="97"/>
      <c r="AB461" s="97"/>
      <c r="AC461" s="97"/>
      <c r="AD461" s="97" t="str">
        <f>IFERROR(__xludf.DUMMYFUNCTION("""COMPUTED_VALUE"""),"IP20")</f>
        <v>IP20</v>
      </c>
      <c r="AE461" s="97"/>
      <c r="AF461" s="97" t="str">
        <f>IFERROR(__xludf.DUMMYFUNCTION("""COMPUTED_VALUE"""),"Suspender")</f>
        <v>Suspender</v>
      </c>
      <c r="AG461" s="97"/>
      <c r="AH461" s="97"/>
      <c r="AI461" s="97"/>
      <c r="AJ461" s="97"/>
      <c r="AK461" s="97"/>
      <c r="AL461" s="97"/>
      <c r="AM461" s="97"/>
      <c r="AN461" s="97"/>
      <c r="AO461" s="97" t="str">
        <f>IFERROR(__xludf.DUMMYFUNCTION("""COMPUTED_VALUE"""),"1 Año")</f>
        <v>1 Año</v>
      </c>
      <c r="AP461" s="97"/>
      <c r="AQ461" s="97"/>
      <c r="AR461" s="97"/>
      <c r="AS461" s="97"/>
      <c r="AT461" s="97"/>
      <c r="AU461" s="97"/>
      <c r="AV461" s="97" t="str">
        <f>IFERROR(__xludf.DUMMYFUNCTION("""COMPUTED_VALUE"""),"Colgante")</f>
        <v>Colgante</v>
      </c>
      <c r="AW461" s="97" t="str">
        <f>IFERROR(__xludf.DUMMYFUNCTION("""COMPUTED_VALUE"""),"De Techo")</f>
        <v>De Techo</v>
      </c>
      <c r="AX461" s="97" t="str">
        <f>IFERROR(__xludf.DUMMYFUNCTION("""COMPUTED_VALUE"""),"Interior")</f>
        <v>Interior</v>
      </c>
      <c r="AY461" s="97"/>
      <c r="AZ461" s="97"/>
      <c r="BA461" s="97"/>
      <c r="BB461" s="97"/>
      <c r="BC461" s="97"/>
      <c r="BD461" s="97" t="str">
        <f>IFERROR(__xludf.DUMMYFUNCTION("""COMPUTED_VALUE"""),"VIN")</f>
        <v>VIN</v>
      </c>
      <c r="BE461" s="97" t="str">
        <f>IFERROR(__xludf.DUMMYFUNCTION("""COMPUTED_VALUE"""),"Sin Ficha")</f>
        <v>Sin Ficha</v>
      </c>
      <c r="BF461" s="97"/>
      <c r="BG461" s="97" t="str">
        <f>IFERROR(__xludf.DUMMYFUNCTION("""COMPUTED_VALUE"""),"Discontinuo")</f>
        <v>Discontinuo</v>
      </c>
    </row>
    <row r="462">
      <c r="A462" s="97">
        <f>IFERROR(__xludf.DUMMYFUNCTION("""COMPUTED_VALUE"""),6067.0)</f>
        <v>6067</v>
      </c>
      <c r="B462" s="97" t="str">
        <f>IFERROR(__xludf.DUMMYFUNCTION("""COMPUTED_VALUE"""),"GOUT AZ")</f>
        <v>GOUT AZ</v>
      </c>
      <c r="C462" s="97" t="str">
        <f>IFERROR(__xludf.DUMMYFUNCTION("""COMPUTED_VALUE"""),"COLGANTE GOUT AZUL LEUK")</f>
        <v>COLGANTE GOUT AZUL LEUK</v>
      </c>
      <c r="D462" s="97">
        <f>IFERROR(__xludf.DUMMYFUNCTION("""COMPUTED_VALUE"""),7.798328756466E12)</f>
        <v>7798328756466</v>
      </c>
      <c r="E462" s="97"/>
      <c r="F462" s="97" t="str">
        <f>IFERROR(__xludf.DUMMYFUNCTION("""COMPUTED_VALUE"""),"E27")</f>
        <v>E27</v>
      </c>
      <c r="G462" s="97" t="str">
        <f>IFERROR(__xludf.DUMMYFUNCTION("""COMPUTED_VALUE"""),"N/A")</f>
        <v>N/A</v>
      </c>
      <c r="H462" s="97" t="str">
        <f>IFERROR(__xludf.DUMMYFUNCTION("""COMPUTED_VALUE"""),"N/A")</f>
        <v>N/A</v>
      </c>
      <c r="I462" s="97" t="str">
        <f>IFERROR(__xludf.DUMMYFUNCTION("""COMPUTED_VALUE"""),"N/A")</f>
        <v>N/A</v>
      </c>
      <c r="J462" s="97"/>
      <c r="K462" s="97" t="str">
        <f>IFERROR(__xludf.DUMMYFUNCTION("""COMPUTED_VALUE"""),"N/A")</f>
        <v>N/A</v>
      </c>
      <c r="L462" s="97"/>
      <c r="M462" s="97"/>
      <c r="N462" s="97"/>
      <c r="O462" s="97"/>
      <c r="P462" s="97"/>
      <c r="Q462" s="97"/>
      <c r="R462" s="97"/>
      <c r="S462" s="97"/>
      <c r="T462" s="97"/>
      <c r="U462" s="97"/>
      <c r="V462" s="97"/>
      <c r="W462" s="97"/>
      <c r="X462" s="97"/>
      <c r="Y462" s="97"/>
      <c r="Z462" s="97"/>
      <c r="AA462" s="97"/>
      <c r="AB462" s="97"/>
      <c r="AC462" s="97"/>
      <c r="AD462" s="97" t="str">
        <f>IFERROR(__xludf.DUMMYFUNCTION("""COMPUTED_VALUE"""),"IP20")</f>
        <v>IP20</v>
      </c>
      <c r="AE462" s="97"/>
      <c r="AF462" s="97" t="str">
        <f>IFERROR(__xludf.DUMMYFUNCTION("""COMPUTED_VALUE"""),"Suspender")</f>
        <v>Suspender</v>
      </c>
      <c r="AG462" s="97"/>
      <c r="AH462" s="97"/>
      <c r="AI462" s="97"/>
      <c r="AJ462" s="97"/>
      <c r="AK462" s="97"/>
      <c r="AL462" s="97"/>
      <c r="AM462" s="97"/>
      <c r="AN462" s="97"/>
      <c r="AO462" s="97" t="str">
        <f>IFERROR(__xludf.DUMMYFUNCTION("""COMPUTED_VALUE"""),"1 Año")</f>
        <v>1 Año</v>
      </c>
      <c r="AP462" s="97"/>
      <c r="AQ462" s="97"/>
      <c r="AR462" s="97"/>
      <c r="AS462" s="97"/>
      <c r="AT462" s="97"/>
      <c r="AU462" s="97"/>
      <c r="AV462" s="97" t="str">
        <f>IFERROR(__xludf.DUMMYFUNCTION("""COMPUTED_VALUE"""),"Colgante")</f>
        <v>Colgante</v>
      </c>
      <c r="AW462" s="97" t="str">
        <f>IFERROR(__xludf.DUMMYFUNCTION("""COMPUTED_VALUE"""),"De Techo")</f>
        <v>De Techo</v>
      </c>
      <c r="AX462" s="97" t="str">
        <f>IFERROR(__xludf.DUMMYFUNCTION("""COMPUTED_VALUE"""),"Interior")</f>
        <v>Interior</v>
      </c>
      <c r="AY462" s="97"/>
      <c r="AZ462" s="97"/>
      <c r="BA462" s="97">
        <f>IFERROR(__xludf.DUMMYFUNCTION("""COMPUTED_VALUE"""),1.0)</f>
        <v>1</v>
      </c>
      <c r="BB462" s="97"/>
      <c r="BC462" s="97"/>
      <c r="BD462" s="97" t="str">
        <f>IFERROR(__xludf.DUMMYFUNCTION("""COMPUTED_VALUE"""),"GOUT")</f>
        <v>GOUT</v>
      </c>
      <c r="BE462" s="97" t="str">
        <f>IFERROR(__xludf.DUMMYFUNCTION("""COMPUTED_VALUE"""),"Sin Ficha")</f>
        <v>Sin Ficha</v>
      </c>
      <c r="BF462" s="97"/>
      <c r="BG462" s="97" t="str">
        <f>IFERROR(__xludf.DUMMYFUNCTION("""COMPUTED_VALUE"""),"Discontinuo")</f>
        <v>Discontinuo</v>
      </c>
    </row>
    <row r="463">
      <c r="A463" s="97">
        <f>IFERROR(__xludf.DUMMYFUNCTION("""COMPUTED_VALUE"""),6068.0)</f>
        <v>6068</v>
      </c>
      <c r="B463" s="97" t="str">
        <f>IFERROR(__xludf.DUMMYFUNCTION("""COMPUTED_VALUE"""),"CASIU VR")</f>
        <v>CASIU VR</v>
      </c>
      <c r="C463" s="97" t="str">
        <f>IFERROR(__xludf.DUMMYFUNCTION("""COMPUTED_VALUE"""),"COLGANTE CASIU LEUK VERDE")</f>
        <v>COLGANTE CASIU LEUK VERDE</v>
      </c>
      <c r="D463" s="97">
        <f>IFERROR(__xludf.DUMMYFUNCTION("""COMPUTED_VALUE"""),7.798328756497E12)</f>
        <v>7798328756497</v>
      </c>
      <c r="E463" s="97"/>
      <c r="F463" s="97" t="str">
        <f>IFERROR(__xludf.DUMMYFUNCTION("""COMPUTED_VALUE"""),"E27")</f>
        <v>E27</v>
      </c>
      <c r="G463" s="97" t="str">
        <f>IFERROR(__xludf.DUMMYFUNCTION("""COMPUTED_VALUE"""),"N/A")</f>
        <v>N/A</v>
      </c>
      <c r="H463" s="97" t="str">
        <f>IFERROR(__xludf.DUMMYFUNCTION("""COMPUTED_VALUE"""),"N/A")</f>
        <v>N/A</v>
      </c>
      <c r="I463" s="97" t="str">
        <f>IFERROR(__xludf.DUMMYFUNCTION("""COMPUTED_VALUE"""),"N/A")</f>
        <v>N/A</v>
      </c>
      <c r="J463" s="97"/>
      <c r="K463" s="97" t="str">
        <f>IFERROR(__xludf.DUMMYFUNCTION("""COMPUTED_VALUE"""),"N/A")</f>
        <v>N/A</v>
      </c>
      <c r="L463" s="97"/>
      <c r="M463" s="97"/>
      <c r="N463" s="97"/>
      <c r="O463" s="97"/>
      <c r="P463" s="97"/>
      <c r="Q463" s="97"/>
      <c r="R463" s="97"/>
      <c r="S463" s="97"/>
      <c r="T463" s="97"/>
      <c r="U463" s="97"/>
      <c r="V463" s="97"/>
      <c r="W463" s="97"/>
      <c r="X463" s="97"/>
      <c r="Y463" s="97"/>
      <c r="Z463" s="97"/>
      <c r="AA463" s="97"/>
      <c r="AB463" s="97"/>
      <c r="AC463" s="97"/>
      <c r="AD463" s="97" t="str">
        <f>IFERROR(__xludf.DUMMYFUNCTION("""COMPUTED_VALUE"""),"IP20")</f>
        <v>IP20</v>
      </c>
      <c r="AE463" s="97"/>
      <c r="AF463" s="97" t="str">
        <f>IFERROR(__xludf.DUMMYFUNCTION("""COMPUTED_VALUE"""),"Suspender")</f>
        <v>Suspender</v>
      </c>
      <c r="AG463" s="97"/>
      <c r="AH463" s="97"/>
      <c r="AI463" s="97"/>
      <c r="AJ463" s="97"/>
      <c r="AK463" s="97"/>
      <c r="AL463" s="97"/>
      <c r="AM463" s="97"/>
      <c r="AN463" s="97"/>
      <c r="AO463" s="97" t="str">
        <f>IFERROR(__xludf.DUMMYFUNCTION("""COMPUTED_VALUE"""),"1 Año")</f>
        <v>1 Año</v>
      </c>
      <c r="AP463" s="97"/>
      <c r="AQ463" s="97"/>
      <c r="AR463" s="97"/>
      <c r="AS463" s="97"/>
      <c r="AT463" s="97"/>
      <c r="AU463" s="97"/>
      <c r="AV463" s="97" t="str">
        <f>IFERROR(__xludf.DUMMYFUNCTION("""COMPUTED_VALUE"""),"Colgante")</f>
        <v>Colgante</v>
      </c>
      <c r="AW463" s="97" t="str">
        <f>IFERROR(__xludf.DUMMYFUNCTION("""COMPUTED_VALUE"""),"De Techo")</f>
        <v>De Techo</v>
      </c>
      <c r="AX463" s="97" t="str">
        <f>IFERROR(__xludf.DUMMYFUNCTION("""COMPUTED_VALUE"""),"Interior")</f>
        <v>Interior</v>
      </c>
      <c r="AY463" s="97"/>
      <c r="AZ463" s="97"/>
      <c r="BA463" s="97">
        <f>IFERROR(__xludf.DUMMYFUNCTION("""COMPUTED_VALUE"""),1.0)</f>
        <v>1</v>
      </c>
      <c r="BB463" s="97"/>
      <c r="BC463" s="97"/>
      <c r="BD463" s="97" t="str">
        <f>IFERROR(__xludf.DUMMYFUNCTION("""COMPUTED_VALUE"""),"CASIU")</f>
        <v>CASIU</v>
      </c>
      <c r="BE463" s="97" t="str">
        <f>IFERROR(__xludf.DUMMYFUNCTION("""COMPUTED_VALUE"""),"Sin Ficha")</f>
        <v>Sin Ficha</v>
      </c>
      <c r="BF463" s="97"/>
      <c r="BG463" s="97" t="str">
        <f>IFERROR(__xludf.DUMMYFUNCTION("""COMPUTED_VALUE"""),"Discontinuo")</f>
        <v>Discontinuo</v>
      </c>
    </row>
    <row r="464">
      <c r="A464" s="97">
        <f>IFERROR(__xludf.DUMMYFUNCTION("""COMPUTED_VALUE"""),6069.0)</f>
        <v>6069</v>
      </c>
      <c r="B464" s="97" t="str">
        <f>IFERROR(__xludf.DUMMYFUNCTION("""COMPUTED_VALUE"""),"CASIU AB")</f>
        <v>CASIU AB</v>
      </c>
      <c r="C464" s="97" t="str">
        <f>IFERROR(__xludf.DUMMYFUNCTION("""COMPUTED_VALUE"""),"COLGANTE CASIU LEUK AMBAR")</f>
        <v>COLGANTE CASIU LEUK AMBAR</v>
      </c>
      <c r="D464" s="97">
        <f>IFERROR(__xludf.DUMMYFUNCTION("""COMPUTED_VALUE"""),7.798328756503E12)</f>
        <v>7798328756503</v>
      </c>
      <c r="E464" s="97"/>
      <c r="F464" s="97" t="str">
        <f>IFERROR(__xludf.DUMMYFUNCTION("""COMPUTED_VALUE"""),"E27")</f>
        <v>E27</v>
      </c>
      <c r="G464" s="97" t="str">
        <f>IFERROR(__xludf.DUMMYFUNCTION("""COMPUTED_VALUE"""),"N/A")</f>
        <v>N/A</v>
      </c>
      <c r="H464" s="97" t="str">
        <f>IFERROR(__xludf.DUMMYFUNCTION("""COMPUTED_VALUE"""),"N/A")</f>
        <v>N/A</v>
      </c>
      <c r="I464" s="97" t="str">
        <f>IFERROR(__xludf.DUMMYFUNCTION("""COMPUTED_VALUE"""),"N/A")</f>
        <v>N/A</v>
      </c>
      <c r="J464" s="97"/>
      <c r="K464" s="97" t="str">
        <f>IFERROR(__xludf.DUMMYFUNCTION("""COMPUTED_VALUE"""),"N/A")</f>
        <v>N/A</v>
      </c>
      <c r="L464" s="97"/>
      <c r="M464" s="97"/>
      <c r="N464" s="97"/>
      <c r="O464" s="97"/>
      <c r="P464" s="97"/>
      <c r="Q464" s="97"/>
      <c r="R464" s="97"/>
      <c r="S464" s="97"/>
      <c r="T464" s="97"/>
      <c r="U464" s="97"/>
      <c r="V464" s="97"/>
      <c r="W464" s="97"/>
      <c r="X464" s="97"/>
      <c r="Y464" s="97"/>
      <c r="Z464" s="97"/>
      <c r="AA464" s="97"/>
      <c r="AB464" s="97"/>
      <c r="AC464" s="97"/>
      <c r="AD464" s="97" t="str">
        <f>IFERROR(__xludf.DUMMYFUNCTION("""COMPUTED_VALUE"""),"IP20")</f>
        <v>IP20</v>
      </c>
      <c r="AE464" s="97"/>
      <c r="AF464" s="97" t="str">
        <f>IFERROR(__xludf.DUMMYFUNCTION("""COMPUTED_VALUE"""),"Suspender")</f>
        <v>Suspender</v>
      </c>
      <c r="AG464" s="97"/>
      <c r="AH464" s="97"/>
      <c r="AI464" s="97"/>
      <c r="AJ464" s="97"/>
      <c r="AK464" s="97"/>
      <c r="AL464" s="97"/>
      <c r="AM464" s="97"/>
      <c r="AN464" s="97"/>
      <c r="AO464" s="97" t="str">
        <f>IFERROR(__xludf.DUMMYFUNCTION("""COMPUTED_VALUE"""),"1 Año")</f>
        <v>1 Año</v>
      </c>
      <c r="AP464" s="97"/>
      <c r="AQ464" s="97"/>
      <c r="AR464" s="97"/>
      <c r="AS464" s="97"/>
      <c r="AT464" s="97"/>
      <c r="AU464" s="97"/>
      <c r="AV464" s="97" t="str">
        <f>IFERROR(__xludf.DUMMYFUNCTION("""COMPUTED_VALUE"""),"Colgante")</f>
        <v>Colgante</v>
      </c>
      <c r="AW464" s="97" t="str">
        <f>IFERROR(__xludf.DUMMYFUNCTION("""COMPUTED_VALUE"""),"De Techo")</f>
        <v>De Techo</v>
      </c>
      <c r="AX464" s="97" t="str">
        <f>IFERROR(__xludf.DUMMYFUNCTION("""COMPUTED_VALUE"""),"Interior")</f>
        <v>Interior</v>
      </c>
      <c r="AY464" s="97"/>
      <c r="AZ464" s="97"/>
      <c r="BA464" s="97"/>
      <c r="BB464" s="97"/>
      <c r="BC464" s="97"/>
      <c r="BD464" s="97" t="str">
        <f>IFERROR(__xludf.DUMMYFUNCTION("""COMPUTED_VALUE"""),"CASIU")</f>
        <v>CASIU</v>
      </c>
      <c r="BE464" s="97" t="str">
        <f>IFERROR(__xludf.DUMMYFUNCTION("""COMPUTED_VALUE"""),"Sin Ficha")</f>
        <v>Sin Ficha</v>
      </c>
      <c r="BF464" s="97"/>
      <c r="BG464" s="97" t="str">
        <f>IFERROR(__xludf.DUMMYFUNCTION("""COMPUTED_VALUE"""),"Discontinuo")</f>
        <v>Discontinuo</v>
      </c>
    </row>
    <row r="465">
      <c r="A465" s="97">
        <f>IFERROR(__xludf.DUMMYFUNCTION("""COMPUTED_VALUE"""),6070.0)</f>
        <v>6070</v>
      </c>
      <c r="B465" s="97" t="str">
        <f>IFERROR(__xludf.DUMMYFUNCTION("""COMPUTED_VALUE"""),"ORION")</f>
        <v>ORION</v>
      </c>
      <c r="C465" s="97" t="str">
        <f>IFERROR(__xludf.DUMMYFUNCTION("""COMPUTED_VALUE"""),"COLGANTE ORION LEUK")</f>
        <v>COLGANTE ORION LEUK</v>
      </c>
      <c r="D465" s="97">
        <f>IFERROR(__xludf.DUMMYFUNCTION("""COMPUTED_VALUE"""),7.79832875651E12)</f>
        <v>7798328756510</v>
      </c>
      <c r="E465" s="97"/>
      <c r="F465" s="97" t="str">
        <f>IFERROR(__xludf.DUMMYFUNCTION("""COMPUTED_VALUE"""),"E27")</f>
        <v>E27</v>
      </c>
      <c r="G465" s="97" t="str">
        <f>IFERROR(__xludf.DUMMYFUNCTION("""COMPUTED_VALUE"""),"N/A")</f>
        <v>N/A</v>
      </c>
      <c r="H465" s="97" t="str">
        <f>IFERROR(__xludf.DUMMYFUNCTION("""COMPUTED_VALUE"""),"N/A")</f>
        <v>N/A</v>
      </c>
      <c r="I465" s="97" t="str">
        <f>IFERROR(__xludf.DUMMYFUNCTION("""COMPUTED_VALUE"""),"N/A")</f>
        <v>N/A</v>
      </c>
      <c r="J465" s="97"/>
      <c r="K465" s="97" t="str">
        <f>IFERROR(__xludf.DUMMYFUNCTION("""COMPUTED_VALUE"""),"N/A")</f>
        <v>N/A</v>
      </c>
      <c r="L465" s="97"/>
      <c r="M465" s="97"/>
      <c r="N465" s="97"/>
      <c r="O465" s="97"/>
      <c r="P465" s="97"/>
      <c r="Q465" s="97"/>
      <c r="R465" s="97"/>
      <c r="S465" s="97"/>
      <c r="T465" s="97"/>
      <c r="U465" s="97"/>
      <c r="V465" s="97"/>
      <c r="W465" s="97"/>
      <c r="X465" s="97"/>
      <c r="Y465" s="97"/>
      <c r="Z465" s="97"/>
      <c r="AA465" s="97"/>
      <c r="AB465" s="97"/>
      <c r="AC465" s="97"/>
      <c r="AD465" s="97" t="str">
        <f>IFERROR(__xludf.DUMMYFUNCTION("""COMPUTED_VALUE"""),"IP20")</f>
        <v>IP20</v>
      </c>
      <c r="AE465" s="97"/>
      <c r="AF465" s="97" t="str">
        <f>IFERROR(__xludf.DUMMYFUNCTION("""COMPUTED_VALUE"""),"Suspender")</f>
        <v>Suspender</v>
      </c>
      <c r="AG465" s="97"/>
      <c r="AH465" s="97"/>
      <c r="AI465" s="97"/>
      <c r="AJ465" s="97"/>
      <c r="AK465" s="97"/>
      <c r="AL465" s="97"/>
      <c r="AM465" s="97"/>
      <c r="AN465" s="97"/>
      <c r="AO465" s="97" t="str">
        <f>IFERROR(__xludf.DUMMYFUNCTION("""COMPUTED_VALUE"""),"1 Año")</f>
        <v>1 Año</v>
      </c>
      <c r="AP465" s="97"/>
      <c r="AQ465" s="97"/>
      <c r="AR465" s="97"/>
      <c r="AS465" s="97"/>
      <c r="AT465" s="97"/>
      <c r="AU465" s="97"/>
      <c r="AV465" s="97" t="str">
        <f>IFERROR(__xludf.DUMMYFUNCTION("""COMPUTED_VALUE"""),"Colgante")</f>
        <v>Colgante</v>
      </c>
      <c r="AW465" s="97" t="str">
        <f>IFERROR(__xludf.DUMMYFUNCTION("""COMPUTED_VALUE"""),"De Techo")</f>
        <v>De Techo</v>
      </c>
      <c r="AX465" s="97" t="str">
        <f>IFERROR(__xludf.DUMMYFUNCTION("""COMPUTED_VALUE"""),"Interior")</f>
        <v>Interior</v>
      </c>
      <c r="AY465" s="97"/>
      <c r="AZ465" s="97"/>
      <c r="BA465" s="97">
        <f>IFERROR(__xludf.DUMMYFUNCTION("""COMPUTED_VALUE"""),1.0)</f>
        <v>1</v>
      </c>
      <c r="BB465" s="97"/>
      <c r="BC465" s="97"/>
      <c r="BD465" s="97" t="str">
        <f>IFERROR(__xludf.DUMMYFUNCTION("""COMPUTED_VALUE"""),"ORION")</f>
        <v>ORION</v>
      </c>
      <c r="BE465" s="97" t="str">
        <f>IFERROR(__xludf.DUMMYFUNCTION("""COMPUTED_VALUE"""),"Sin Ficha")</f>
        <v>Sin Ficha</v>
      </c>
      <c r="BF465" s="97"/>
      <c r="BG465" s="97" t="str">
        <f>IFERROR(__xludf.DUMMYFUNCTION("""COMPUTED_VALUE"""),"Discontinuo")</f>
        <v>Discontinuo</v>
      </c>
    </row>
    <row r="466">
      <c r="A466" s="97">
        <f>IFERROR(__xludf.DUMMYFUNCTION("""COMPUTED_VALUE"""),6071.0)</f>
        <v>6071</v>
      </c>
      <c r="B466" s="97" t="str">
        <f>IFERROR(__xludf.DUMMYFUNCTION("""COMPUTED_VALUE"""),"MENA")</f>
        <v>MENA</v>
      </c>
      <c r="C466" s="97" t="str">
        <f>IFERROR(__xludf.DUMMYFUNCTION("""COMPUTED_VALUE"""),"COLGANTE MENA LEUK AMBAR")</f>
        <v>COLGANTE MENA LEUK AMBAR</v>
      </c>
      <c r="D466" s="97">
        <f>IFERROR(__xludf.DUMMYFUNCTION("""COMPUTED_VALUE"""),7.798328756527E12)</f>
        <v>7798328756527</v>
      </c>
      <c r="E466" s="97"/>
      <c r="F466" s="97" t="str">
        <f>IFERROR(__xludf.DUMMYFUNCTION("""COMPUTED_VALUE"""),"E27")</f>
        <v>E27</v>
      </c>
      <c r="G466" s="97" t="str">
        <f>IFERROR(__xludf.DUMMYFUNCTION("""COMPUTED_VALUE"""),"N/A")</f>
        <v>N/A</v>
      </c>
      <c r="H466" s="97" t="str">
        <f>IFERROR(__xludf.DUMMYFUNCTION("""COMPUTED_VALUE"""),"N/A")</f>
        <v>N/A</v>
      </c>
      <c r="I466" s="97" t="str">
        <f>IFERROR(__xludf.DUMMYFUNCTION("""COMPUTED_VALUE"""),"N/A")</f>
        <v>N/A</v>
      </c>
      <c r="J466" s="97"/>
      <c r="K466" s="97" t="str">
        <f>IFERROR(__xludf.DUMMYFUNCTION("""COMPUTED_VALUE"""),"N/A")</f>
        <v>N/A</v>
      </c>
      <c r="L466" s="97"/>
      <c r="M466" s="97"/>
      <c r="N466" s="97"/>
      <c r="O466" s="97"/>
      <c r="P466" s="97"/>
      <c r="Q466" s="97"/>
      <c r="R466" s="97"/>
      <c r="S466" s="97"/>
      <c r="T466" s="97"/>
      <c r="U466" s="97"/>
      <c r="V466" s="97"/>
      <c r="W466" s="97"/>
      <c r="X466" s="97"/>
      <c r="Y466" s="97"/>
      <c r="Z466" s="97"/>
      <c r="AA466" s="97"/>
      <c r="AB466" s="97"/>
      <c r="AC466" s="97"/>
      <c r="AD466" s="97" t="str">
        <f>IFERROR(__xludf.DUMMYFUNCTION("""COMPUTED_VALUE"""),"IP20")</f>
        <v>IP20</v>
      </c>
      <c r="AE466" s="97"/>
      <c r="AF466" s="97" t="str">
        <f>IFERROR(__xludf.DUMMYFUNCTION("""COMPUTED_VALUE"""),"Suspender")</f>
        <v>Suspender</v>
      </c>
      <c r="AG466" s="97"/>
      <c r="AH466" s="97"/>
      <c r="AI466" s="97"/>
      <c r="AJ466" s="97"/>
      <c r="AK466" s="97"/>
      <c r="AL466" s="97"/>
      <c r="AM466" s="97"/>
      <c r="AN466" s="97"/>
      <c r="AO466" s="97" t="str">
        <f>IFERROR(__xludf.DUMMYFUNCTION("""COMPUTED_VALUE"""),"1 Año")</f>
        <v>1 Año</v>
      </c>
      <c r="AP466" s="97"/>
      <c r="AQ466" s="97"/>
      <c r="AR466" s="97"/>
      <c r="AS466" s="97"/>
      <c r="AT466" s="97"/>
      <c r="AU466" s="97"/>
      <c r="AV466" s="97" t="str">
        <f>IFERROR(__xludf.DUMMYFUNCTION("""COMPUTED_VALUE"""),"Colgante")</f>
        <v>Colgante</v>
      </c>
      <c r="AW466" s="97" t="str">
        <f>IFERROR(__xludf.DUMMYFUNCTION("""COMPUTED_VALUE"""),"De Techo")</f>
        <v>De Techo</v>
      </c>
      <c r="AX466" s="97" t="str">
        <f>IFERROR(__xludf.DUMMYFUNCTION("""COMPUTED_VALUE"""),"Interior")</f>
        <v>Interior</v>
      </c>
      <c r="AY466" s="97"/>
      <c r="AZ466" s="97"/>
      <c r="BA466" s="97"/>
      <c r="BB466" s="97"/>
      <c r="BC466" s="97"/>
      <c r="BD466" s="97" t="str">
        <f>IFERROR(__xludf.DUMMYFUNCTION("""COMPUTED_VALUE"""),"MENA")</f>
        <v>MENA</v>
      </c>
      <c r="BE466" s="97" t="str">
        <f>IFERROR(__xludf.DUMMYFUNCTION("""COMPUTED_VALUE"""),"Sin Ficha")</f>
        <v>Sin Ficha</v>
      </c>
      <c r="BF466" s="97"/>
      <c r="BG466" s="97" t="str">
        <f>IFERROR(__xludf.DUMMYFUNCTION("""COMPUTED_VALUE"""),"Discontinuo")</f>
        <v>Discontinuo</v>
      </c>
    </row>
    <row r="467">
      <c r="A467" s="97">
        <f>IFERROR(__xludf.DUMMYFUNCTION("""COMPUTED_VALUE"""),6072.0)</f>
        <v>6072</v>
      </c>
      <c r="B467" s="97" t="str">
        <f>IFERROR(__xludf.DUMMYFUNCTION("""COMPUTED_VALUE"""),"MENA")</f>
        <v>MENA</v>
      </c>
      <c r="C467" s="97" t="str">
        <f>IFERROR(__xludf.DUMMYFUNCTION("""COMPUTED_VALUE"""),"COLGANTE MENA LEUK GRIS")</f>
        <v>COLGANTE MENA LEUK GRIS</v>
      </c>
      <c r="D467" s="97">
        <f>IFERROR(__xludf.DUMMYFUNCTION("""COMPUTED_VALUE"""),7.798328756534E12)</f>
        <v>7798328756534</v>
      </c>
      <c r="E467" s="97"/>
      <c r="F467" s="97" t="str">
        <f>IFERROR(__xludf.DUMMYFUNCTION("""COMPUTED_VALUE"""),"E27")</f>
        <v>E27</v>
      </c>
      <c r="G467" s="97" t="str">
        <f>IFERROR(__xludf.DUMMYFUNCTION("""COMPUTED_VALUE"""),"N/A")</f>
        <v>N/A</v>
      </c>
      <c r="H467" s="97" t="str">
        <f>IFERROR(__xludf.DUMMYFUNCTION("""COMPUTED_VALUE"""),"N/A")</f>
        <v>N/A</v>
      </c>
      <c r="I467" s="97" t="str">
        <f>IFERROR(__xludf.DUMMYFUNCTION("""COMPUTED_VALUE"""),"N/A")</f>
        <v>N/A</v>
      </c>
      <c r="J467" s="97"/>
      <c r="K467" s="97" t="str">
        <f>IFERROR(__xludf.DUMMYFUNCTION("""COMPUTED_VALUE"""),"N/A")</f>
        <v>N/A</v>
      </c>
      <c r="L467" s="97"/>
      <c r="M467" s="97"/>
      <c r="N467" s="97"/>
      <c r="O467" s="97"/>
      <c r="P467" s="97"/>
      <c r="Q467" s="97"/>
      <c r="R467" s="97"/>
      <c r="S467" s="97"/>
      <c r="T467" s="97"/>
      <c r="U467" s="97"/>
      <c r="V467" s="97"/>
      <c r="W467" s="97"/>
      <c r="X467" s="97"/>
      <c r="Y467" s="97"/>
      <c r="Z467" s="97"/>
      <c r="AA467" s="97"/>
      <c r="AB467" s="97"/>
      <c r="AC467" s="97"/>
      <c r="AD467" s="97" t="str">
        <f>IFERROR(__xludf.DUMMYFUNCTION("""COMPUTED_VALUE"""),"IP20")</f>
        <v>IP20</v>
      </c>
      <c r="AE467" s="97"/>
      <c r="AF467" s="97" t="str">
        <f>IFERROR(__xludf.DUMMYFUNCTION("""COMPUTED_VALUE"""),"Suspender")</f>
        <v>Suspender</v>
      </c>
      <c r="AG467" s="97"/>
      <c r="AH467" s="97"/>
      <c r="AI467" s="97"/>
      <c r="AJ467" s="97"/>
      <c r="AK467" s="97"/>
      <c r="AL467" s="97"/>
      <c r="AM467" s="97"/>
      <c r="AN467" s="97"/>
      <c r="AO467" s="97" t="str">
        <f>IFERROR(__xludf.DUMMYFUNCTION("""COMPUTED_VALUE"""),"1 Año")</f>
        <v>1 Año</v>
      </c>
      <c r="AP467" s="97"/>
      <c r="AQ467" s="97"/>
      <c r="AR467" s="97"/>
      <c r="AS467" s="97"/>
      <c r="AT467" s="97"/>
      <c r="AU467" s="97"/>
      <c r="AV467" s="97" t="str">
        <f>IFERROR(__xludf.DUMMYFUNCTION("""COMPUTED_VALUE"""),"Colgante")</f>
        <v>Colgante</v>
      </c>
      <c r="AW467" s="97" t="str">
        <f>IFERROR(__xludf.DUMMYFUNCTION("""COMPUTED_VALUE"""),"De Techo")</f>
        <v>De Techo</v>
      </c>
      <c r="AX467" s="97" t="str">
        <f>IFERROR(__xludf.DUMMYFUNCTION("""COMPUTED_VALUE"""),"Interior")</f>
        <v>Interior</v>
      </c>
      <c r="AY467" s="97"/>
      <c r="AZ467" s="97"/>
      <c r="BA467" s="97"/>
      <c r="BB467" s="97"/>
      <c r="BC467" s="97"/>
      <c r="BD467" s="97" t="str">
        <f>IFERROR(__xludf.DUMMYFUNCTION("""COMPUTED_VALUE"""),"MENA")</f>
        <v>MENA</v>
      </c>
      <c r="BE467" s="97" t="str">
        <f>IFERROR(__xludf.DUMMYFUNCTION("""COMPUTED_VALUE"""),"Sin Ficha")</f>
        <v>Sin Ficha</v>
      </c>
      <c r="BF467" s="97"/>
      <c r="BG467" s="97" t="str">
        <f>IFERROR(__xludf.DUMMYFUNCTION("""COMPUTED_VALUE"""),"Discontinuo")</f>
        <v>Discontinuo</v>
      </c>
    </row>
    <row r="468">
      <c r="A468" s="97">
        <f>IFERROR(__xludf.DUMMYFUNCTION("""COMPUTED_VALUE"""),6073.0)</f>
        <v>6073</v>
      </c>
      <c r="B468" s="97" t="str">
        <f>IFERROR(__xludf.DUMMYFUNCTION("""COMPUTED_VALUE"""),"FEDRO")</f>
        <v>FEDRO</v>
      </c>
      <c r="C468" s="97" t="str">
        <f>IFERROR(__xludf.DUMMYFUNCTION("""COMPUTED_VALUE"""),"COLGANTE FEDRO LEUK")</f>
        <v>COLGANTE FEDRO LEUK</v>
      </c>
      <c r="D468" s="97">
        <f>IFERROR(__xludf.DUMMYFUNCTION("""COMPUTED_VALUE"""),7.798328756541E12)</f>
        <v>7798328756541</v>
      </c>
      <c r="E468" s="97"/>
      <c r="F468" s="97" t="str">
        <f>IFERROR(__xludf.DUMMYFUNCTION("""COMPUTED_VALUE"""),"E27")</f>
        <v>E27</v>
      </c>
      <c r="G468" s="97" t="str">
        <f>IFERROR(__xludf.DUMMYFUNCTION("""COMPUTED_VALUE"""),"N/A")</f>
        <v>N/A</v>
      </c>
      <c r="H468" s="97" t="str">
        <f>IFERROR(__xludf.DUMMYFUNCTION("""COMPUTED_VALUE"""),"N/A")</f>
        <v>N/A</v>
      </c>
      <c r="I468" s="97" t="str">
        <f>IFERROR(__xludf.DUMMYFUNCTION("""COMPUTED_VALUE"""),"N/A")</f>
        <v>N/A</v>
      </c>
      <c r="J468" s="97"/>
      <c r="K468" s="97" t="str">
        <f>IFERROR(__xludf.DUMMYFUNCTION("""COMPUTED_VALUE"""),"N/A")</f>
        <v>N/A</v>
      </c>
      <c r="L468" s="97"/>
      <c r="M468" s="97"/>
      <c r="N468" s="97"/>
      <c r="O468" s="97"/>
      <c r="P468" s="97"/>
      <c r="Q468" s="97"/>
      <c r="R468" s="97"/>
      <c r="S468" s="97"/>
      <c r="T468" s="97"/>
      <c r="U468" s="97"/>
      <c r="V468" s="97"/>
      <c r="W468" s="97"/>
      <c r="X468" s="97"/>
      <c r="Y468" s="97"/>
      <c r="Z468" s="97"/>
      <c r="AA468" s="97"/>
      <c r="AB468" s="97"/>
      <c r="AC468" s="97"/>
      <c r="AD468" s="97" t="str">
        <f>IFERROR(__xludf.DUMMYFUNCTION("""COMPUTED_VALUE"""),"IP20")</f>
        <v>IP20</v>
      </c>
      <c r="AE468" s="97"/>
      <c r="AF468" s="97" t="str">
        <f>IFERROR(__xludf.DUMMYFUNCTION("""COMPUTED_VALUE"""),"Suspender")</f>
        <v>Suspender</v>
      </c>
      <c r="AG468" s="97"/>
      <c r="AH468" s="97"/>
      <c r="AI468" s="97"/>
      <c r="AJ468" s="97"/>
      <c r="AK468" s="97"/>
      <c r="AL468" s="97"/>
      <c r="AM468" s="97"/>
      <c r="AN468" s="97"/>
      <c r="AO468" s="97" t="str">
        <f>IFERROR(__xludf.DUMMYFUNCTION("""COMPUTED_VALUE"""),"1 Año")</f>
        <v>1 Año</v>
      </c>
      <c r="AP468" s="97"/>
      <c r="AQ468" s="97"/>
      <c r="AR468" s="97"/>
      <c r="AS468" s="97"/>
      <c r="AT468" s="97"/>
      <c r="AU468" s="97"/>
      <c r="AV468" s="97" t="str">
        <f>IFERROR(__xludf.DUMMYFUNCTION("""COMPUTED_VALUE"""),"Colgante")</f>
        <v>Colgante</v>
      </c>
      <c r="AW468" s="97" t="str">
        <f>IFERROR(__xludf.DUMMYFUNCTION("""COMPUTED_VALUE"""),"De Techo")</f>
        <v>De Techo</v>
      </c>
      <c r="AX468" s="97" t="str">
        <f>IFERROR(__xludf.DUMMYFUNCTION("""COMPUTED_VALUE"""),"Interior")</f>
        <v>Interior</v>
      </c>
      <c r="AY468" s="97"/>
      <c r="AZ468" s="97"/>
      <c r="BA468" s="97"/>
      <c r="BB468" s="97"/>
      <c r="BC468" s="97"/>
      <c r="BD468" s="97" t="str">
        <f>IFERROR(__xludf.DUMMYFUNCTION("""COMPUTED_VALUE"""),"FEDRO")</f>
        <v>FEDRO</v>
      </c>
      <c r="BE468" s="97" t="str">
        <f>IFERROR(__xludf.DUMMYFUNCTION("""COMPUTED_VALUE"""),"Sin Ficha")</f>
        <v>Sin Ficha</v>
      </c>
      <c r="BF468" s="97"/>
      <c r="BG468" s="97" t="str">
        <f>IFERROR(__xludf.DUMMYFUNCTION("""COMPUTED_VALUE"""),"Discontinuo")</f>
        <v>Discontinuo</v>
      </c>
    </row>
    <row r="469">
      <c r="A469" s="97">
        <f>IFERROR(__xludf.DUMMYFUNCTION("""COMPUTED_VALUE"""),6074.0)</f>
        <v>6074</v>
      </c>
      <c r="B469" s="97" t="str">
        <f>IFERROR(__xludf.DUMMYFUNCTION("""COMPUTED_VALUE"""),"ZOILO")</f>
        <v>ZOILO</v>
      </c>
      <c r="C469" s="97" t="str">
        <f>IFERROR(__xludf.DUMMYFUNCTION("""COMPUTED_VALUE"""),"COLGANTE ZOILO LEUK")</f>
        <v>COLGANTE ZOILO LEUK</v>
      </c>
      <c r="D469" s="97">
        <f>IFERROR(__xludf.DUMMYFUNCTION("""COMPUTED_VALUE"""),7.798328756565E12)</f>
        <v>7798328756565</v>
      </c>
      <c r="E469" s="97"/>
      <c r="F469" s="97" t="str">
        <f>IFERROR(__xludf.DUMMYFUNCTION("""COMPUTED_VALUE"""),"E27")</f>
        <v>E27</v>
      </c>
      <c r="G469" s="97" t="str">
        <f>IFERROR(__xludf.DUMMYFUNCTION("""COMPUTED_VALUE"""),"N/A")</f>
        <v>N/A</v>
      </c>
      <c r="H469" s="97" t="str">
        <f>IFERROR(__xludf.DUMMYFUNCTION("""COMPUTED_VALUE"""),"N/A")</f>
        <v>N/A</v>
      </c>
      <c r="I469" s="97" t="str">
        <f>IFERROR(__xludf.DUMMYFUNCTION("""COMPUTED_VALUE"""),"N/A")</f>
        <v>N/A</v>
      </c>
      <c r="J469" s="97"/>
      <c r="K469" s="97" t="str">
        <f>IFERROR(__xludf.DUMMYFUNCTION("""COMPUTED_VALUE"""),"N/A")</f>
        <v>N/A</v>
      </c>
      <c r="L469" s="97"/>
      <c r="M469" s="97"/>
      <c r="N469" s="97"/>
      <c r="O469" s="97"/>
      <c r="P469" s="97"/>
      <c r="Q469" s="97"/>
      <c r="R469" s="97"/>
      <c r="S469" s="97"/>
      <c r="T469" s="97"/>
      <c r="U469" s="97"/>
      <c r="V469" s="97"/>
      <c r="W469" s="97"/>
      <c r="X469" s="97"/>
      <c r="Y469" s="97"/>
      <c r="Z469" s="97"/>
      <c r="AA469" s="97"/>
      <c r="AB469" s="97"/>
      <c r="AC469" s="97"/>
      <c r="AD469" s="97" t="str">
        <f>IFERROR(__xludf.DUMMYFUNCTION("""COMPUTED_VALUE"""),"IP20")</f>
        <v>IP20</v>
      </c>
      <c r="AE469" s="97"/>
      <c r="AF469" s="97" t="str">
        <f>IFERROR(__xludf.DUMMYFUNCTION("""COMPUTED_VALUE"""),"Suspender")</f>
        <v>Suspender</v>
      </c>
      <c r="AG469" s="97"/>
      <c r="AH469" s="97"/>
      <c r="AI469" s="97"/>
      <c r="AJ469" s="97"/>
      <c r="AK469" s="97"/>
      <c r="AL469" s="97"/>
      <c r="AM469" s="97"/>
      <c r="AN469" s="97"/>
      <c r="AO469" s="97" t="str">
        <f>IFERROR(__xludf.DUMMYFUNCTION("""COMPUTED_VALUE"""),"1 Año")</f>
        <v>1 Año</v>
      </c>
      <c r="AP469" s="97"/>
      <c r="AQ469" s="97"/>
      <c r="AR469" s="97"/>
      <c r="AS469" s="97"/>
      <c r="AT469" s="97"/>
      <c r="AU469" s="97"/>
      <c r="AV469" s="97" t="str">
        <f>IFERROR(__xludf.DUMMYFUNCTION("""COMPUTED_VALUE"""),"Colgante")</f>
        <v>Colgante</v>
      </c>
      <c r="AW469" s="97" t="str">
        <f>IFERROR(__xludf.DUMMYFUNCTION("""COMPUTED_VALUE"""),"De Techo")</f>
        <v>De Techo</v>
      </c>
      <c r="AX469" s="97" t="str">
        <f>IFERROR(__xludf.DUMMYFUNCTION("""COMPUTED_VALUE"""),"Interior")</f>
        <v>Interior</v>
      </c>
      <c r="AY469" s="97"/>
      <c r="AZ469" s="97"/>
      <c r="BA469" s="97"/>
      <c r="BB469" s="97"/>
      <c r="BC469" s="97"/>
      <c r="BD469" s="97" t="str">
        <f>IFERROR(__xludf.DUMMYFUNCTION("""COMPUTED_VALUE"""),"ZOILO")</f>
        <v>ZOILO</v>
      </c>
      <c r="BE469" s="97" t="str">
        <f>IFERROR(__xludf.DUMMYFUNCTION("""COMPUTED_VALUE"""),"Sin Ficha")</f>
        <v>Sin Ficha</v>
      </c>
      <c r="BF469" s="97"/>
      <c r="BG469" s="97" t="str">
        <f>IFERROR(__xludf.DUMMYFUNCTION("""COMPUTED_VALUE"""),"Discontinuo")</f>
        <v>Discontinuo</v>
      </c>
    </row>
    <row r="470">
      <c r="A470" s="97">
        <f>IFERROR(__xludf.DUMMYFUNCTION("""COMPUTED_VALUE"""),6075.0)</f>
        <v>6075</v>
      </c>
      <c r="B470" s="97" t="str">
        <f>IFERROR(__xludf.DUMMYFUNCTION("""COMPUTED_VALUE"""),"LICEO")</f>
        <v>LICEO</v>
      </c>
      <c r="C470" s="97" t="str">
        <f>IFERROR(__xludf.DUMMYFUNCTION("""COMPUTED_VALUE"""),"COLGANTE LICEO LEUK")</f>
        <v>COLGANTE LICEO LEUK</v>
      </c>
      <c r="D470" s="97">
        <f>IFERROR(__xludf.DUMMYFUNCTION("""COMPUTED_VALUE"""),7.798328756572E12)</f>
        <v>7798328756572</v>
      </c>
      <c r="E470" s="97"/>
      <c r="F470" s="97" t="str">
        <f>IFERROR(__xludf.DUMMYFUNCTION("""COMPUTED_VALUE"""),"E27")</f>
        <v>E27</v>
      </c>
      <c r="G470" s="97" t="str">
        <f>IFERROR(__xludf.DUMMYFUNCTION("""COMPUTED_VALUE"""),"N/A")</f>
        <v>N/A</v>
      </c>
      <c r="H470" s="97" t="str">
        <f>IFERROR(__xludf.DUMMYFUNCTION("""COMPUTED_VALUE"""),"N/A")</f>
        <v>N/A</v>
      </c>
      <c r="I470" s="97" t="str">
        <f>IFERROR(__xludf.DUMMYFUNCTION("""COMPUTED_VALUE"""),"N/A")</f>
        <v>N/A</v>
      </c>
      <c r="J470" s="97"/>
      <c r="K470" s="97" t="str">
        <f>IFERROR(__xludf.DUMMYFUNCTION("""COMPUTED_VALUE"""),"N/A")</f>
        <v>N/A</v>
      </c>
      <c r="L470" s="97"/>
      <c r="M470" s="97"/>
      <c r="N470" s="97"/>
      <c r="O470" s="97"/>
      <c r="P470" s="97"/>
      <c r="Q470" s="97"/>
      <c r="R470" s="97"/>
      <c r="S470" s="97"/>
      <c r="T470" s="97"/>
      <c r="U470" s="97"/>
      <c r="V470" s="97"/>
      <c r="W470" s="97"/>
      <c r="X470" s="97"/>
      <c r="Y470" s="97"/>
      <c r="Z470" s="97"/>
      <c r="AA470" s="97"/>
      <c r="AB470" s="97"/>
      <c r="AC470" s="97"/>
      <c r="AD470" s="97" t="str">
        <f>IFERROR(__xludf.DUMMYFUNCTION("""COMPUTED_VALUE"""),"IP20")</f>
        <v>IP20</v>
      </c>
      <c r="AE470" s="97"/>
      <c r="AF470" s="97" t="str">
        <f>IFERROR(__xludf.DUMMYFUNCTION("""COMPUTED_VALUE"""),"Suspender")</f>
        <v>Suspender</v>
      </c>
      <c r="AG470" s="97"/>
      <c r="AH470" s="97"/>
      <c r="AI470" s="97"/>
      <c r="AJ470" s="97"/>
      <c r="AK470" s="97"/>
      <c r="AL470" s="97"/>
      <c r="AM470" s="97"/>
      <c r="AN470" s="97"/>
      <c r="AO470" s="97" t="str">
        <f>IFERROR(__xludf.DUMMYFUNCTION("""COMPUTED_VALUE"""),"1 Año")</f>
        <v>1 Año</v>
      </c>
      <c r="AP470" s="97"/>
      <c r="AQ470" s="97"/>
      <c r="AR470" s="97"/>
      <c r="AS470" s="97"/>
      <c r="AT470" s="97"/>
      <c r="AU470" s="97"/>
      <c r="AV470" s="97" t="str">
        <f>IFERROR(__xludf.DUMMYFUNCTION("""COMPUTED_VALUE"""),"Colgante")</f>
        <v>Colgante</v>
      </c>
      <c r="AW470" s="97" t="str">
        <f>IFERROR(__xludf.DUMMYFUNCTION("""COMPUTED_VALUE"""),"De Techo")</f>
        <v>De Techo</v>
      </c>
      <c r="AX470" s="97" t="str">
        <f>IFERROR(__xludf.DUMMYFUNCTION("""COMPUTED_VALUE"""),"Interior")</f>
        <v>Interior</v>
      </c>
      <c r="AY470" s="97"/>
      <c r="AZ470" s="97"/>
      <c r="BA470" s="97"/>
      <c r="BB470" s="97"/>
      <c r="BC470" s="97"/>
      <c r="BD470" s="97" t="str">
        <f>IFERROR(__xludf.DUMMYFUNCTION("""COMPUTED_VALUE"""),"LICEO")</f>
        <v>LICEO</v>
      </c>
      <c r="BE470" s="97" t="str">
        <f>IFERROR(__xludf.DUMMYFUNCTION("""COMPUTED_VALUE"""),"Sin Ficha")</f>
        <v>Sin Ficha</v>
      </c>
      <c r="BF470" s="97"/>
      <c r="BG470" s="97" t="str">
        <f>IFERROR(__xludf.DUMMYFUNCTION("""COMPUTED_VALUE"""),"Discontinuo")</f>
        <v>Discontinuo</v>
      </c>
    </row>
    <row r="471">
      <c r="A471" s="97">
        <f>IFERROR(__xludf.DUMMYFUNCTION("""COMPUTED_VALUE"""),6076.0)</f>
        <v>6076</v>
      </c>
      <c r="B471" s="97" t="str">
        <f>IFERROR(__xludf.DUMMYFUNCTION("""COMPUTED_VALUE"""),"MYRO")</f>
        <v>MYRO</v>
      </c>
      <c r="C471" s="97" t="str">
        <f>IFERROR(__xludf.DUMMYFUNCTION("""COMPUTED_VALUE"""),"COLGANTE MYRO LEUK")</f>
        <v>COLGANTE MYRO LEUK</v>
      </c>
      <c r="D471" s="97">
        <f>IFERROR(__xludf.DUMMYFUNCTION("""COMPUTED_VALUE"""),7.798328756589E12)</f>
        <v>7798328756589</v>
      </c>
      <c r="E471" s="97"/>
      <c r="F471" s="97" t="str">
        <f>IFERROR(__xludf.DUMMYFUNCTION("""COMPUTED_VALUE"""),"E27")</f>
        <v>E27</v>
      </c>
      <c r="G471" s="97" t="str">
        <f>IFERROR(__xludf.DUMMYFUNCTION("""COMPUTED_VALUE"""),"N/A")</f>
        <v>N/A</v>
      </c>
      <c r="H471" s="97" t="str">
        <f>IFERROR(__xludf.DUMMYFUNCTION("""COMPUTED_VALUE"""),"N/A")</f>
        <v>N/A</v>
      </c>
      <c r="I471" s="97" t="str">
        <f>IFERROR(__xludf.DUMMYFUNCTION("""COMPUTED_VALUE"""),"N/A")</f>
        <v>N/A</v>
      </c>
      <c r="J471" s="97"/>
      <c r="K471" s="97" t="str">
        <f>IFERROR(__xludf.DUMMYFUNCTION("""COMPUTED_VALUE"""),"N/A")</f>
        <v>N/A</v>
      </c>
      <c r="L471" s="97"/>
      <c r="M471" s="97"/>
      <c r="N471" s="97"/>
      <c r="O471" s="97"/>
      <c r="P471" s="97"/>
      <c r="Q471" s="97"/>
      <c r="R471" s="97"/>
      <c r="S471" s="97"/>
      <c r="T471" s="97"/>
      <c r="U471" s="97"/>
      <c r="V471" s="97"/>
      <c r="W471" s="97"/>
      <c r="X471" s="97"/>
      <c r="Y471" s="97"/>
      <c r="Z471" s="97"/>
      <c r="AA471" s="97"/>
      <c r="AB471" s="97"/>
      <c r="AC471" s="97"/>
      <c r="AD471" s="97" t="str">
        <f>IFERROR(__xludf.DUMMYFUNCTION("""COMPUTED_VALUE"""),"IP20")</f>
        <v>IP20</v>
      </c>
      <c r="AE471" s="97"/>
      <c r="AF471" s="97" t="str">
        <f>IFERROR(__xludf.DUMMYFUNCTION("""COMPUTED_VALUE"""),"Suspender")</f>
        <v>Suspender</v>
      </c>
      <c r="AG471" s="97"/>
      <c r="AH471" s="97"/>
      <c r="AI471" s="97"/>
      <c r="AJ471" s="97"/>
      <c r="AK471" s="97"/>
      <c r="AL471" s="97"/>
      <c r="AM471" s="97"/>
      <c r="AN471" s="97"/>
      <c r="AO471" s="97" t="str">
        <f>IFERROR(__xludf.DUMMYFUNCTION("""COMPUTED_VALUE"""),"1 Año")</f>
        <v>1 Año</v>
      </c>
      <c r="AP471" s="97"/>
      <c r="AQ471" s="97"/>
      <c r="AR471" s="97"/>
      <c r="AS471" s="97"/>
      <c r="AT471" s="97"/>
      <c r="AU471" s="97"/>
      <c r="AV471" s="97" t="str">
        <f>IFERROR(__xludf.DUMMYFUNCTION("""COMPUTED_VALUE"""),"Colgante")</f>
        <v>Colgante</v>
      </c>
      <c r="AW471" s="97" t="str">
        <f>IFERROR(__xludf.DUMMYFUNCTION("""COMPUTED_VALUE"""),"De Techo")</f>
        <v>De Techo</v>
      </c>
      <c r="AX471" s="97" t="str">
        <f>IFERROR(__xludf.DUMMYFUNCTION("""COMPUTED_VALUE"""),"Interior")</f>
        <v>Interior</v>
      </c>
      <c r="AY471" s="97"/>
      <c r="AZ471" s="97"/>
      <c r="BA471" s="97"/>
      <c r="BB471" s="97"/>
      <c r="BC471" s="97"/>
      <c r="BD471" s="97" t="str">
        <f>IFERROR(__xludf.DUMMYFUNCTION("""COMPUTED_VALUE"""),"MYRO")</f>
        <v>MYRO</v>
      </c>
      <c r="BE471" s="97" t="str">
        <f>IFERROR(__xludf.DUMMYFUNCTION("""COMPUTED_VALUE"""),"Sin Ficha")</f>
        <v>Sin Ficha</v>
      </c>
      <c r="BF471" s="97"/>
      <c r="BG471" s="97" t="str">
        <f>IFERROR(__xludf.DUMMYFUNCTION("""COMPUTED_VALUE"""),"Discontinuo")</f>
        <v>Discontinuo</v>
      </c>
    </row>
    <row r="472">
      <c r="A472" s="97">
        <f>IFERROR(__xludf.DUMMYFUNCTION("""COMPUTED_VALUE"""),6077.0)</f>
        <v>6077</v>
      </c>
      <c r="B472" s="97" t="str">
        <f>IFERROR(__xludf.DUMMYFUNCTION("""COMPUTED_VALUE"""),"PONCIO")</f>
        <v>PONCIO</v>
      </c>
      <c r="C472" s="97" t="str">
        <f>IFERROR(__xludf.DUMMYFUNCTION("""COMPUTED_VALUE"""),"COLGANTE PONCIO LEUK")</f>
        <v>COLGANTE PONCIO LEUK</v>
      </c>
      <c r="D472" s="97">
        <f>IFERROR(__xludf.DUMMYFUNCTION("""COMPUTED_VALUE"""),7.798328756596E12)</f>
        <v>7798328756596</v>
      </c>
      <c r="E472" s="97"/>
      <c r="F472" s="97" t="str">
        <f>IFERROR(__xludf.DUMMYFUNCTION("""COMPUTED_VALUE"""),"E27")</f>
        <v>E27</v>
      </c>
      <c r="G472" s="97" t="str">
        <f>IFERROR(__xludf.DUMMYFUNCTION("""COMPUTED_VALUE"""),"N/A")</f>
        <v>N/A</v>
      </c>
      <c r="H472" s="97" t="str">
        <f>IFERROR(__xludf.DUMMYFUNCTION("""COMPUTED_VALUE"""),"N/A")</f>
        <v>N/A</v>
      </c>
      <c r="I472" s="97" t="str">
        <f>IFERROR(__xludf.DUMMYFUNCTION("""COMPUTED_VALUE"""),"N/A")</f>
        <v>N/A</v>
      </c>
      <c r="J472" s="97"/>
      <c r="K472" s="97" t="str">
        <f>IFERROR(__xludf.DUMMYFUNCTION("""COMPUTED_VALUE"""),"N/A")</f>
        <v>N/A</v>
      </c>
      <c r="L472" s="97"/>
      <c r="M472" s="97"/>
      <c r="N472" s="97"/>
      <c r="O472" s="97"/>
      <c r="P472" s="97"/>
      <c r="Q472" s="97"/>
      <c r="R472" s="97"/>
      <c r="S472" s="97"/>
      <c r="T472" s="97"/>
      <c r="U472" s="97"/>
      <c r="V472" s="97"/>
      <c r="W472" s="97"/>
      <c r="X472" s="97"/>
      <c r="Y472" s="97"/>
      <c r="Z472" s="97"/>
      <c r="AA472" s="97"/>
      <c r="AB472" s="97"/>
      <c r="AC472" s="97"/>
      <c r="AD472" s="97" t="str">
        <f>IFERROR(__xludf.DUMMYFUNCTION("""COMPUTED_VALUE"""),"IP20")</f>
        <v>IP20</v>
      </c>
      <c r="AE472" s="97"/>
      <c r="AF472" s="97" t="str">
        <f>IFERROR(__xludf.DUMMYFUNCTION("""COMPUTED_VALUE"""),"Suspender")</f>
        <v>Suspender</v>
      </c>
      <c r="AG472" s="97"/>
      <c r="AH472" s="97"/>
      <c r="AI472" s="97"/>
      <c r="AJ472" s="97"/>
      <c r="AK472" s="97"/>
      <c r="AL472" s="97"/>
      <c r="AM472" s="97"/>
      <c r="AN472" s="97"/>
      <c r="AO472" s="97" t="str">
        <f>IFERROR(__xludf.DUMMYFUNCTION("""COMPUTED_VALUE"""),"1 Año")</f>
        <v>1 Año</v>
      </c>
      <c r="AP472" s="97"/>
      <c r="AQ472" s="97"/>
      <c r="AR472" s="97"/>
      <c r="AS472" s="97"/>
      <c r="AT472" s="97"/>
      <c r="AU472" s="97"/>
      <c r="AV472" s="97" t="str">
        <f>IFERROR(__xludf.DUMMYFUNCTION("""COMPUTED_VALUE"""),"Colgante")</f>
        <v>Colgante</v>
      </c>
      <c r="AW472" s="97" t="str">
        <f>IFERROR(__xludf.DUMMYFUNCTION("""COMPUTED_VALUE"""),"De Techo")</f>
        <v>De Techo</v>
      </c>
      <c r="AX472" s="97" t="str">
        <f>IFERROR(__xludf.DUMMYFUNCTION("""COMPUTED_VALUE"""),"Interior")</f>
        <v>Interior</v>
      </c>
      <c r="AY472" s="97"/>
      <c r="AZ472" s="97"/>
      <c r="BA472" s="97"/>
      <c r="BB472" s="97"/>
      <c r="BC472" s="97"/>
      <c r="BD472" s="97" t="str">
        <f>IFERROR(__xludf.DUMMYFUNCTION("""COMPUTED_VALUE"""),"PONCIO")</f>
        <v>PONCIO</v>
      </c>
      <c r="BE472" s="97" t="str">
        <f>IFERROR(__xludf.DUMMYFUNCTION("""COMPUTED_VALUE"""),"Sin Ficha")</f>
        <v>Sin Ficha</v>
      </c>
      <c r="BF472" s="97"/>
      <c r="BG472" s="97" t="str">
        <f>IFERROR(__xludf.DUMMYFUNCTION("""COMPUTED_VALUE"""),"Discontinuo")</f>
        <v>Discontinuo</v>
      </c>
    </row>
    <row r="473">
      <c r="A473" s="97">
        <f>IFERROR(__xludf.DUMMYFUNCTION("""COMPUTED_VALUE"""),6078.0)</f>
        <v>6078</v>
      </c>
      <c r="B473" s="97" t="str">
        <f>IFERROR(__xludf.DUMMYFUNCTION("""COMPUTED_VALUE"""),"GAIA AB")</f>
        <v>GAIA AB</v>
      </c>
      <c r="C473" s="97" t="str">
        <f>IFERROR(__xludf.DUMMYFUNCTION("""COMPUTED_VALUE"""),"COLGANTE GAIA LEUK AMBAR E27")</f>
        <v>COLGANTE GAIA LEUK AMBAR E27</v>
      </c>
      <c r="D473" s="97">
        <f>IFERROR(__xludf.DUMMYFUNCTION("""COMPUTED_VALUE"""),7.798328756633E12)</f>
        <v>7798328756633</v>
      </c>
      <c r="E473" s="97"/>
      <c r="F473" s="97" t="str">
        <f>IFERROR(__xludf.DUMMYFUNCTION("""COMPUTED_VALUE"""),"E27")</f>
        <v>E27</v>
      </c>
      <c r="G473" s="97" t="str">
        <f>IFERROR(__xludf.DUMMYFUNCTION("""COMPUTED_VALUE"""),"N/A")</f>
        <v>N/A</v>
      </c>
      <c r="H473" s="97" t="str">
        <f>IFERROR(__xludf.DUMMYFUNCTION("""COMPUTED_VALUE"""),"N/A")</f>
        <v>N/A</v>
      </c>
      <c r="I473" s="97" t="str">
        <f>IFERROR(__xludf.DUMMYFUNCTION("""COMPUTED_VALUE"""),"N/A")</f>
        <v>N/A</v>
      </c>
      <c r="J473" s="97"/>
      <c r="K473" s="97" t="str">
        <f>IFERROR(__xludf.DUMMYFUNCTION("""COMPUTED_VALUE"""),"N/A")</f>
        <v>N/A</v>
      </c>
      <c r="L473" s="97"/>
      <c r="M473" s="97"/>
      <c r="N473" s="97"/>
      <c r="O473" s="97"/>
      <c r="P473" s="97"/>
      <c r="Q473" s="97"/>
      <c r="R473" s="97"/>
      <c r="S473" s="97"/>
      <c r="T473" s="97"/>
      <c r="U473" s="97"/>
      <c r="V473" s="97"/>
      <c r="W473" s="97"/>
      <c r="X473" s="97"/>
      <c r="Y473" s="97"/>
      <c r="Z473" s="97"/>
      <c r="AA473" s="97"/>
      <c r="AB473" s="97"/>
      <c r="AC473" s="97"/>
      <c r="AD473" s="97" t="str">
        <f>IFERROR(__xludf.DUMMYFUNCTION("""COMPUTED_VALUE"""),"IP20")</f>
        <v>IP20</v>
      </c>
      <c r="AE473" s="97"/>
      <c r="AF473" s="97" t="str">
        <f>IFERROR(__xludf.DUMMYFUNCTION("""COMPUTED_VALUE"""),"Suspender")</f>
        <v>Suspender</v>
      </c>
      <c r="AG473" s="97"/>
      <c r="AH473" s="97"/>
      <c r="AI473" s="97"/>
      <c r="AJ473" s="97"/>
      <c r="AK473" s="97"/>
      <c r="AL473" s="97"/>
      <c r="AM473" s="97"/>
      <c r="AN473" s="97"/>
      <c r="AO473" s="97" t="str">
        <f>IFERROR(__xludf.DUMMYFUNCTION("""COMPUTED_VALUE"""),"1 Año")</f>
        <v>1 Año</v>
      </c>
      <c r="AP473" s="97"/>
      <c r="AQ473" s="97"/>
      <c r="AR473" s="97"/>
      <c r="AS473" s="97"/>
      <c r="AT473" s="97"/>
      <c r="AU473" s="97"/>
      <c r="AV473" s="97" t="str">
        <f>IFERROR(__xludf.DUMMYFUNCTION("""COMPUTED_VALUE"""),"Colgante")</f>
        <v>Colgante</v>
      </c>
      <c r="AW473" s="97" t="str">
        <f>IFERROR(__xludf.DUMMYFUNCTION("""COMPUTED_VALUE"""),"De Techo")</f>
        <v>De Techo</v>
      </c>
      <c r="AX473" s="97" t="str">
        <f>IFERROR(__xludf.DUMMYFUNCTION("""COMPUTED_VALUE"""),"Interior")</f>
        <v>Interior</v>
      </c>
      <c r="AY473" s="97"/>
      <c r="AZ473" s="97"/>
      <c r="BA473" s="97"/>
      <c r="BB473" s="97"/>
      <c r="BC473" s="97"/>
      <c r="BD473" s="97" t="str">
        <f>IFERROR(__xludf.DUMMYFUNCTION("""COMPUTED_VALUE"""),"GAIA")</f>
        <v>GAIA</v>
      </c>
      <c r="BE473" s="97" t="str">
        <f>IFERROR(__xludf.DUMMYFUNCTION("""COMPUTED_VALUE"""),"Sin Ficha")</f>
        <v>Sin Ficha</v>
      </c>
      <c r="BF473" s="97"/>
      <c r="BG473" s="97" t="str">
        <f>IFERROR(__xludf.DUMMYFUNCTION("""COMPUTED_VALUE"""),"Discontinuo")</f>
        <v>Discontinuo</v>
      </c>
    </row>
    <row r="474">
      <c r="A474" s="97">
        <f>IFERROR(__xludf.DUMMYFUNCTION("""COMPUTED_VALUE"""),6079.0)</f>
        <v>6079</v>
      </c>
      <c r="B474" s="97" t="str">
        <f>IFERROR(__xludf.DUMMYFUNCTION("""COMPUTED_VALUE"""),"GAIA GR")</f>
        <v>GAIA GR</v>
      </c>
      <c r="C474" s="97" t="str">
        <f>IFERROR(__xludf.DUMMYFUNCTION("""COMPUTED_VALUE"""),"COLGANTE GAIA LEUK GRIS E27")</f>
        <v>COLGANTE GAIA LEUK GRIS E27</v>
      </c>
      <c r="D474" s="97">
        <f>IFERROR(__xludf.DUMMYFUNCTION("""COMPUTED_VALUE"""),7.79832875664E12)</f>
        <v>7798328756640</v>
      </c>
      <c r="E474" s="97"/>
      <c r="F474" s="97" t="str">
        <f>IFERROR(__xludf.DUMMYFUNCTION("""COMPUTED_VALUE"""),"E27")</f>
        <v>E27</v>
      </c>
      <c r="G474" s="97" t="str">
        <f>IFERROR(__xludf.DUMMYFUNCTION("""COMPUTED_VALUE"""),"N/A")</f>
        <v>N/A</v>
      </c>
      <c r="H474" s="97" t="str">
        <f>IFERROR(__xludf.DUMMYFUNCTION("""COMPUTED_VALUE"""),"N/A")</f>
        <v>N/A</v>
      </c>
      <c r="I474" s="97" t="str">
        <f>IFERROR(__xludf.DUMMYFUNCTION("""COMPUTED_VALUE"""),"N/A")</f>
        <v>N/A</v>
      </c>
      <c r="J474" s="97"/>
      <c r="K474" s="97" t="str">
        <f>IFERROR(__xludf.DUMMYFUNCTION("""COMPUTED_VALUE"""),"N/A")</f>
        <v>N/A</v>
      </c>
      <c r="L474" s="97"/>
      <c r="M474" s="97"/>
      <c r="N474" s="97"/>
      <c r="O474" s="97"/>
      <c r="P474" s="97"/>
      <c r="Q474" s="97"/>
      <c r="R474" s="97"/>
      <c r="S474" s="97"/>
      <c r="T474" s="97"/>
      <c r="U474" s="97"/>
      <c r="V474" s="97"/>
      <c r="W474" s="97"/>
      <c r="X474" s="97"/>
      <c r="Y474" s="97"/>
      <c r="Z474" s="97"/>
      <c r="AA474" s="97"/>
      <c r="AB474" s="97"/>
      <c r="AC474" s="97"/>
      <c r="AD474" s="97" t="str">
        <f>IFERROR(__xludf.DUMMYFUNCTION("""COMPUTED_VALUE"""),"IP20")</f>
        <v>IP20</v>
      </c>
      <c r="AE474" s="97"/>
      <c r="AF474" s="97" t="str">
        <f>IFERROR(__xludf.DUMMYFUNCTION("""COMPUTED_VALUE"""),"Suspender")</f>
        <v>Suspender</v>
      </c>
      <c r="AG474" s="97"/>
      <c r="AH474" s="97"/>
      <c r="AI474" s="97"/>
      <c r="AJ474" s="97"/>
      <c r="AK474" s="97"/>
      <c r="AL474" s="97"/>
      <c r="AM474" s="97"/>
      <c r="AN474" s="97"/>
      <c r="AO474" s="97" t="str">
        <f>IFERROR(__xludf.DUMMYFUNCTION("""COMPUTED_VALUE"""),"1 Año")</f>
        <v>1 Año</v>
      </c>
      <c r="AP474" s="97"/>
      <c r="AQ474" s="97"/>
      <c r="AR474" s="97"/>
      <c r="AS474" s="97"/>
      <c r="AT474" s="97"/>
      <c r="AU474" s="97"/>
      <c r="AV474" s="97" t="str">
        <f>IFERROR(__xludf.DUMMYFUNCTION("""COMPUTED_VALUE"""),"Colgante")</f>
        <v>Colgante</v>
      </c>
      <c r="AW474" s="97" t="str">
        <f>IFERROR(__xludf.DUMMYFUNCTION("""COMPUTED_VALUE"""),"De Techo")</f>
        <v>De Techo</v>
      </c>
      <c r="AX474" s="97" t="str">
        <f>IFERROR(__xludf.DUMMYFUNCTION("""COMPUTED_VALUE"""),"Interior")</f>
        <v>Interior</v>
      </c>
      <c r="AY474" s="97"/>
      <c r="AZ474" s="97"/>
      <c r="BA474" s="97"/>
      <c r="BB474" s="97"/>
      <c r="BC474" s="97"/>
      <c r="BD474" s="97" t="str">
        <f>IFERROR(__xludf.DUMMYFUNCTION("""COMPUTED_VALUE"""),"GAIA")</f>
        <v>GAIA</v>
      </c>
      <c r="BE474" s="97" t="str">
        <f>IFERROR(__xludf.DUMMYFUNCTION("""COMPUTED_VALUE"""),"Sin Ficha")</f>
        <v>Sin Ficha</v>
      </c>
      <c r="BF474" s="97"/>
      <c r="BG474" s="97" t="str">
        <f>IFERROR(__xludf.DUMMYFUNCTION("""COMPUTED_VALUE"""),"Discontinuo")</f>
        <v>Discontinuo</v>
      </c>
    </row>
    <row r="475">
      <c r="A475" s="97">
        <f>IFERROR(__xludf.DUMMYFUNCTION("""COMPUTED_VALUE"""),6080.0)</f>
        <v>6080</v>
      </c>
      <c r="B475" s="97" t="str">
        <f>IFERROR(__xludf.DUMMYFUNCTION("""COMPUTED_VALUE"""),"GAIA RJ")</f>
        <v>GAIA RJ</v>
      </c>
      <c r="C475" s="97" t="str">
        <f>IFERROR(__xludf.DUMMYFUNCTION("""COMPUTED_VALUE"""),"COLGANTE GAIA LEUK ROJO E27")</f>
        <v>COLGANTE GAIA LEUK ROJO E27</v>
      </c>
      <c r="D475" s="97">
        <f>IFERROR(__xludf.DUMMYFUNCTION("""COMPUTED_VALUE"""),7.798328756657E12)</f>
        <v>7798328756657</v>
      </c>
      <c r="E475" s="97"/>
      <c r="F475" s="97" t="str">
        <f>IFERROR(__xludf.DUMMYFUNCTION("""COMPUTED_VALUE"""),"E27")</f>
        <v>E27</v>
      </c>
      <c r="G475" s="97" t="str">
        <f>IFERROR(__xludf.DUMMYFUNCTION("""COMPUTED_VALUE"""),"N/A")</f>
        <v>N/A</v>
      </c>
      <c r="H475" s="97" t="str">
        <f>IFERROR(__xludf.DUMMYFUNCTION("""COMPUTED_VALUE"""),"N/A")</f>
        <v>N/A</v>
      </c>
      <c r="I475" s="97" t="str">
        <f>IFERROR(__xludf.DUMMYFUNCTION("""COMPUTED_VALUE"""),"N/A")</f>
        <v>N/A</v>
      </c>
      <c r="J475" s="97"/>
      <c r="K475" s="97" t="str">
        <f>IFERROR(__xludf.DUMMYFUNCTION("""COMPUTED_VALUE"""),"N/A")</f>
        <v>N/A</v>
      </c>
      <c r="L475" s="97"/>
      <c r="M475" s="97"/>
      <c r="N475" s="97"/>
      <c r="O475" s="97"/>
      <c r="P475" s="97"/>
      <c r="Q475" s="97"/>
      <c r="R475" s="97"/>
      <c r="S475" s="97"/>
      <c r="T475" s="97"/>
      <c r="U475" s="97"/>
      <c r="V475" s="97"/>
      <c r="W475" s="97"/>
      <c r="X475" s="97"/>
      <c r="Y475" s="97"/>
      <c r="Z475" s="97"/>
      <c r="AA475" s="97"/>
      <c r="AB475" s="97"/>
      <c r="AC475" s="97"/>
      <c r="AD475" s="97" t="str">
        <f>IFERROR(__xludf.DUMMYFUNCTION("""COMPUTED_VALUE"""),"IP20")</f>
        <v>IP20</v>
      </c>
      <c r="AE475" s="97"/>
      <c r="AF475" s="97" t="str">
        <f>IFERROR(__xludf.DUMMYFUNCTION("""COMPUTED_VALUE"""),"Suspender")</f>
        <v>Suspender</v>
      </c>
      <c r="AG475" s="97"/>
      <c r="AH475" s="97"/>
      <c r="AI475" s="97"/>
      <c r="AJ475" s="97"/>
      <c r="AK475" s="97"/>
      <c r="AL475" s="97"/>
      <c r="AM475" s="97"/>
      <c r="AN475" s="97"/>
      <c r="AO475" s="97" t="str">
        <f>IFERROR(__xludf.DUMMYFUNCTION("""COMPUTED_VALUE"""),"1 Año")</f>
        <v>1 Año</v>
      </c>
      <c r="AP475" s="97"/>
      <c r="AQ475" s="97"/>
      <c r="AR475" s="97"/>
      <c r="AS475" s="97"/>
      <c r="AT475" s="97"/>
      <c r="AU475" s="97"/>
      <c r="AV475" s="97" t="str">
        <f>IFERROR(__xludf.DUMMYFUNCTION("""COMPUTED_VALUE"""),"Colgante")</f>
        <v>Colgante</v>
      </c>
      <c r="AW475" s="97" t="str">
        <f>IFERROR(__xludf.DUMMYFUNCTION("""COMPUTED_VALUE"""),"De Techo")</f>
        <v>De Techo</v>
      </c>
      <c r="AX475" s="97" t="str">
        <f>IFERROR(__xludf.DUMMYFUNCTION("""COMPUTED_VALUE"""),"Interior")</f>
        <v>Interior</v>
      </c>
      <c r="AY475" s="97"/>
      <c r="AZ475" s="97"/>
      <c r="BA475" s="97"/>
      <c r="BB475" s="97"/>
      <c r="BC475" s="97"/>
      <c r="BD475" s="97" t="str">
        <f>IFERROR(__xludf.DUMMYFUNCTION("""COMPUTED_VALUE"""),"GAIA")</f>
        <v>GAIA</v>
      </c>
      <c r="BE475" s="97" t="str">
        <f>IFERROR(__xludf.DUMMYFUNCTION("""COMPUTED_VALUE"""),"Sin Ficha")</f>
        <v>Sin Ficha</v>
      </c>
      <c r="BF475" s="97"/>
      <c r="BG475" s="97" t="str">
        <f>IFERROR(__xludf.DUMMYFUNCTION("""COMPUTED_VALUE"""),"Discontinuo")</f>
        <v>Discontinuo</v>
      </c>
    </row>
    <row r="476">
      <c r="A476" s="97">
        <f>IFERROR(__xludf.DUMMYFUNCTION("""COMPUTED_VALUE"""),6081.0)</f>
        <v>6081</v>
      </c>
      <c r="B476" s="97" t="str">
        <f>IFERROR(__xludf.DUMMYFUNCTION("""COMPUTED_VALUE"""),"GAIA AZ")</f>
        <v>GAIA AZ</v>
      </c>
      <c r="C476" s="97" t="str">
        <f>IFERROR(__xludf.DUMMYFUNCTION("""COMPUTED_VALUE"""),"COLGANTE GAIA LEUK AZUL E27")</f>
        <v>COLGANTE GAIA LEUK AZUL E27</v>
      </c>
      <c r="D476" s="97">
        <f>IFERROR(__xludf.DUMMYFUNCTION("""COMPUTED_VALUE"""),7.798328756664E12)</f>
        <v>7798328756664</v>
      </c>
      <c r="E476" s="97"/>
      <c r="F476" s="97" t="str">
        <f>IFERROR(__xludf.DUMMYFUNCTION("""COMPUTED_VALUE"""),"E27")</f>
        <v>E27</v>
      </c>
      <c r="G476" s="97" t="str">
        <f>IFERROR(__xludf.DUMMYFUNCTION("""COMPUTED_VALUE"""),"N/A")</f>
        <v>N/A</v>
      </c>
      <c r="H476" s="97" t="str">
        <f>IFERROR(__xludf.DUMMYFUNCTION("""COMPUTED_VALUE"""),"N/A")</f>
        <v>N/A</v>
      </c>
      <c r="I476" s="97" t="str">
        <f>IFERROR(__xludf.DUMMYFUNCTION("""COMPUTED_VALUE"""),"N/A")</f>
        <v>N/A</v>
      </c>
      <c r="J476" s="97"/>
      <c r="K476" s="97" t="str">
        <f>IFERROR(__xludf.DUMMYFUNCTION("""COMPUTED_VALUE"""),"N/A")</f>
        <v>N/A</v>
      </c>
      <c r="L476" s="97"/>
      <c r="M476" s="97"/>
      <c r="N476" s="97"/>
      <c r="O476" s="97"/>
      <c r="P476" s="97"/>
      <c r="Q476" s="97"/>
      <c r="R476" s="97"/>
      <c r="S476" s="97"/>
      <c r="T476" s="97"/>
      <c r="U476" s="97"/>
      <c r="V476" s="97"/>
      <c r="W476" s="97"/>
      <c r="X476" s="97"/>
      <c r="Y476" s="97"/>
      <c r="Z476" s="97"/>
      <c r="AA476" s="97"/>
      <c r="AB476" s="97"/>
      <c r="AC476" s="97"/>
      <c r="AD476" s="97" t="str">
        <f>IFERROR(__xludf.DUMMYFUNCTION("""COMPUTED_VALUE"""),"IP20")</f>
        <v>IP20</v>
      </c>
      <c r="AE476" s="97"/>
      <c r="AF476" s="97" t="str">
        <f>IFERROR(__xludf.DUMMYFUNCTION("""COMPUTED_VALUE"""),"Suspender")</f>
        <v>Suspender</v>
      </c>
      <c r="AG476" s="97"/>
      <c r="AH476" s="97"/>
      <c r="AI476" s="97"/>
      <c r="AJ476" s="97"/>
      <c r="AK476" s="97"/>
      <c r="AL476" s="97"/>
      <c r="AM476" s="97"/>
      <c r="AN476" s="97"/>
      <c r="AO476" s="97" t="str">
        <f>IFERROR(__xludf.DUMMYFUNCTION("""COMPUTED_VALUE"""),"1 Año")</f>
        <v>1 Año</v>
      </c>
      <c r="AP476" s="97"/>
      <c r="AQ476" s="97"/>
      <c r="AR476" s="97"/>
      <c r="AS476" s="97"/>
      <c r="AT476" s="97"/>
      <c r="AU476" s="97"/>
      <c r="AV476" s="97" t="str">
        <f>IFERROR(__xludf.DUMMYFUNCTION("""COMPUTED_VALUE"""),"Colgante")</f>
        <v>Colgante</v>
      </c>
      <c r="AW476" s="97" t="str">
        <f>IFERROR(__xludf.DUMMYFUNCTION("""COMPUTED_VALUE"""),"De Techo")</f>
        <v>De Techo</v>
      </c>
      <c r="AX476" s="97" t="str">
        <f>IFERROR(__xludf.DUMMYFUNCTION("""COMPUTED_VALUE"""),"Interior")</f>
        <v>Interior</v>
      </c>
      <c r="AY476" s="97"/>
      <c r="AZ476" s="97"/>
      <c r="BA476" s="97">
        <f>IFERROR(__xludf.DUMMYFUNCTION("""COMPUTED_VALUE"""),10.0)</f>
        <v>10</v>
      </c>
      <c r="BB476" s="97"/>
      <c r="BC476" s="97"/>
      <c r="BD476" s="97" t="str">
        <f>IFERROR(__xludf.DUMMYFUNCTION("""COMPUTED_VALUE"""),"GAIA")</f>
        <v>GAIA</v>
      </c>
      <c r="BE476" s="97" t="str">
        <f>IFERROR(__xludf.DUMMYFUNCTION("""COMPUTED_VALUE"""),"Sin Ficha")</f>
        <v>Sin Ficha</v>
      </c>
      <c r="BF476" s="97"/>
      <c r="BG476" s="97" t="str">
        <f>IFERROR(__xludf.DUMMYFUNCTION("""COMPUTED_VALUE"""),"Discontinuo")</f>
        <v>Discontinuo</v>
      </c>
    </row>
    <row r="477">
      <c r="A477" s="97">
        <f>IFERROR(__xludf.DUMMYFUNCTION("""COMPUTED_VALUE"""),6082.0)</f>
        <v>6082</v>
      </c>
      <c r="B477" s="97" t="str">
        <f>IFERROR(__xludf.DUMMYFUNCTION("""COMPUTED_VALUE"""),"OXI")</f>
        <v>OXI</v>
      </c>
      <c r="C477" s="97" t="str">
        <f>IFERROR(__xludf.DUMMYFUNCTION("""COMPUTED_VALUE"""),"COLGANTE OXI LEUK AMBAR")</f>
        <v>COLGANTE OXI LEUK AMBAR</v>
      </c>
      <c r="D477" s="97">
        <f>IFERROR(__xludf.DUMMYFUNCTION("""COMPUTED_VALUE"""),7.798328756671E12)</f>
        <v>7798328756671</v>
      </c>
      <c r="E477" s="97"/>
      <c r="F477" s="97" t="str">
        <f>IFERROR(__xludf.DUMMYFUNCTION("""COMPUTED_VALUE"""),"E27")</f>
        <v>E27</v>
      </c>
      <c r="G477" s="97" t="str">
        <f>IFERROR(__xludf.DUMMYFUNCTION("""COMPUTED_VALUE"""),"N/A")</f>
        <v>N/A</v>
      </c>
      <c r="H477" s="97" t="str">
        <f>IFERROR(__xludf.DUMMYFUNCTION("""COMPUTED_VALUE"""),"N/A")</f>
        <v>N/A</v>
      </c>
      <c r="I477" s="97" t="str">
        <f>IFERROR(__xludf.DUMMYFUNCTION("""COMPUTED_VALUE"""),"N/A")</f>
        <v>N/A</v>
      </c>
      <c r="J477" s="97"/>
      <c r="K477" s="97" t="str">
        <f>IFERROR(__xludf.DUMMYFUNCTION("""COMPUTED_VALUE"""),"N/A")</f>
        <v>N/A</v>
      </c>
      <c r="L477" s="97"/>
      <c r="M477" s="97"/>
      <c r="N477" s="97"/>
      <c r="O477" s="97"/>
      <c r="P477" s="97"/>
      <c r="Q477" s="97"/>
      <c r="R477" s="97"/>
      <c r="S477" s="97"/>
      <c r="T477" s="97"/>
      <c r="U477" s="97"/>
      <c r="V477" s="97"/>
      <c r="W477" s="97"/>
      <c r="X477" s="97"/>
      <c r="Y477" s="97"/>
      <c r="Z477" s="97"/>
      <c r="AA477" s="97"/>
      <c r="AB477" s="97"/>
      <c r="AC477" s="97"/>
      <c r="AD477" s="97" t="str">
        <f>IFERROR(__xludf.DUMMYFUNCTION("""COMPUTED_VALUE"""),"IP20")</f>
        <v>IP20</v>
      </c>
      <c r="AE477" s="97"/>
      <c r="AF477" s="97" t="str">
        <f>IFERROR(__xludf.DUMMYFUNCTION("""COMPUTED_VALUE"""),"Suspender")</f>
        <v>Suspender</v>
      </c>
      <c r="AG477" s="97"/>
      <c r="AH477" s="97"/>
      <c r="AI477" s="97"/>
      <c r="AJ477" s="97"/>
      <c r="AK477" s="97"/>
      <c r="AL477" s="97"/>
      <c r="AM477" s="97"/>
      <c r="AN477" s="97"/>
      <c r="AO477" s="97" t="str">
        <f>IFERROR(__xludf.DUMMYFUNCTION("""COMPUTED_VALUE"""),"1 Año")</f>
        <v>1 Año</v>
      </c>
      <c r="AP477" s="97"/>
      <c r="AQ477" s="97"/>
      <c r="AR477" s="97"/>
      <c r="AS477" s="97"/>
      <c r="AT477" s="97"/>
      <c r="AU477" s="97"/>
      <c r="AV477" s="97" t="str">
        <f>IFERROR(__xludf.DUMMYFUNCTION("""COMPUTED_VALUE"""),"Colgante")</f>
        <v>Colgante</v>
      </c>
      <c r="AW477" s="97" t="str">
        <f>IFERROR(__xludf.DUMMYFUNCTION("""COMPUTED_VALUE"""),"De Techo")</f>
        <v>De Techo</v>
      </c>
      <c r="AX477" s="97" t="str">
        <f>IFERROR(__xludf.DUMMYFUNCTION("""COMPUTED_VALUE"""),"Interior")</f>
        <v>Interior</v>
      </c>
      <c r="AY477" s="97"/>
      <c r="AZ477" s="97"/>
      <c r="BA477" s="97"/>
      <c r="BB477" s="97"/>
      <c r="BC477" s="97"/>
      <c r="BD477" s="97" t="str">
        <f>IFERROR(__xludf.DUMMYFUNCTION("""COMPUTED_VALUE"""),"OXI")</f>
        <v>OXI</v>
      </c>
      <c r="BE477" s="97" t="str">
        <f>IFERROR(__xludf.DUMMYFUNCTION("""COMPUTED_VALUE"""),"Sin Ficha")</f>
        <v>Sin Ficha</v>
      </c>
      <c r="BF477" s="97"/>
      <c r="BG477" s="97" t="str">
        <f>IFERROR(__xludf.DUMMYFUNCTION("""COMPUTED_VALUE"""),"Discontinuo")</f>
        <v>Discontinuo</v>
      </c>
    </row>
    <row r="478">
      <c r="A478" s="97">
        <f>IFERROR(__xludf.DUMMYFUNCTION("""COMPUTED_VALUE"""),6083.0)</f>
        <v>6083</v>
      </c>
      <c r="B478" s="97" t="str">
        <f>IFERROR(__xludf.DUMMYFUNCTION("""COMPUTED_VALUE"""),"OXI")</f>
        <v>OXI</v>
      </c>
      <c r="C478" s="97" t="str">
        <f>IFERROR(__xludf.DUMMYFUNCTION("""COMPUTED_VALUE"""),"COLGANTE OXI LEUK GRIS")</f>
        <v>COLGANTE OXI LEUK GRIS</v>
      </c>
      <c r="D478" s="97">
        <f>IFERROR(__xludf.DUMMYFUNCTION("""COMPUTED_VALUE"""),7.798328756688E12)</f>
        <v>7798328756688</v>
      </c>
      <c r="E478" s="97"/>
      <c r="F478" s="97" t="str">
        <f>IFERROR(__xludf.DUMMYFUNCTION("""COMPUTED_VALUE"""),"E27")</f>
        <v>E27</v>
      </c>
      <c r="G478" s="97" t="str">
        <f>IFERROR(__xludf.DUMMYFUNCTION("""COMPUTED_VALUE"""),"N/A")</f>
        <v>N/A</v>
      </c>
      <c r="H478" s="97" t="str">
        <f>IFERROR(__xludf.DUMMYFUNCTION("""COMPUTED_VALUE"""),"N/A")</f>
        <v>N/A</v>
      </c>
      <c r="I478" s="97" t="str">
        <f>IFERROR(__xludf.DUMMYFUNCTION("""COMPUTED_VALUE"""),"N/A")</f>
        <v>N/A</v>
      </c>
      <c r="J478" s="97"/>
      <c r="K478" s="97" t="str">
        <f>IFERROR(__xludf.DUMMYFUNCTION("""COMPUTED_VALUE"""),"N/A")</f>
        <v>N/A</v>
      </c>
      <c r="L478" s="97"/>
      <c r="M478" s="97"/>
      <c r="N478" s="97"/>
      <c r="O478" s="97"/>
      <c r="P478" s="97"/>
      <c r="Q478" s="97"/>
      <c r="R478" s="97"/>
      <c r="S478" s="97"/>
      <c r="T478" s="97"/>
      <c r="U478" s="97"/>
      <c r="V478" s="97"/>
      <c r="W478" s="97"/>
      <c r="X478" s="97"/>
      <c r="Y478" s="97"/>
      <c r="Z478" s="97"/>
      <c r="AA478" s="97"/>
      <c r="AB478" s="97"/>
      <c r="AC478" s="97"/>
      <c r="AD478" s="97" t="str">
        <f>IFERROR(__xludf.DUMMYFUNCTION("""COMPUTED_VALUE"""),"IP20")</f>
        <v>IP20</v>
      </c>
      <c r="AE478" s="97"/>
      <c r="AF478" s="97" t="str">
        <f>IFERROR(__xludf.DUMMYFUNCTION("""COMPUTED_VALUE"""),"Suspender")</f>
        <v>Suspender</v>
      </c>
      <c r="AG478" s="97"/>
      <c r="AH478" s="97"/>
      <c r="AI478" s="97"/>
      <c r="AJ478" s="97"/>
      <c r="AK478" s="97"/>
      <c r="AL478" s="97"/>
      <c r="AM478" s="97"/>
      <c r="AN478" s="97"/>
      <c r="AO478" s="97" t="str">
        <f>IFERROR(__xludf.DUMMYFUNCTION("""COMPUTED_VALUE"""),"1 Año")</f>
        <v>1 Año</v>
      </c>
      <c r="AP478" s="97"/>
      <c r="AQ478" s="97"/>
      <c r="AR478" s="97"/>
      <c r="AS478" s="97"/>
      <c r="AT478" s="97"/>
      <c r="AU478" s="97"/>
      <c r="AV478" s="97" t="str">
        <f>IFERROR(__xludf.DUMMYFUNCTION("""COMPUTED_VALUE"""),"Colgante")</f>
        <v>Colgante</v>
      </c>
      <c r="AW478" s="97" t="str">
        <f>IFERROR(__xludf.DUMMYFUNCTION("""COMPUTED_VALUE"""),"De Techo")</f>
        <v>De Techo</v>
      </c>
      <c r="AX478" s="97" t="str">
        <f>IFERROR(__xludf.DUMMYFUNCTION("""COMPUTED_VALUE"""),"Interior")</f>
        <v>Interior</v>
      </c>
      <c r="AY478" s="97"/>
      <c r="AZ478" s="97"/>
      <c r="BA478" s="97"/>
      <c r="BB478" s="97"/>
      <c r="BC478" s="97"/>
      <c r="BD478" s="97" t="str">
        <f>IFERROR(__xludf.DUMMYFUNCTION("""COMPUTED_VALUE"""),"OXI")</f>
        <v>OXI</v>
      </c>
      <c r="BE478" s="97" t="str">
        <f>IFERROR(__xludf.DUMMYFUNCTION("""COMPUTED_VALUE"""),"Sin Ficha")</f>
        <v>Sin Ficha</v>
      </c>
      <c r="BF478" s="97"/>
      <c r="BG478" s="97" t="str">
        <f>IFERROR(__xludf.DUMMYFUNCTION("""COMPUTED_VALUE"""),"Discontinuo")</f>
        <v>Discontinuo</v>
      </c>
    </row>
    <row r="479">
      <c r="A479" s="97">
        <f>IFERROR(__xludf.DUMMYFUNCTION("""COMPUTED_VALUE"""),6084.0)</f>
        <v>6084</v>
      </c>
      <c r="B479" s="97" t="str">
        <f>IFERROR(__xludf.DUMMYFUNCTION("""COMPUTED_VALUE"""),"DIAF AB")</f>
        <v>DIAF AB</v>
      </c>
      <c r="C479" s="97" t="str">
        <f>IFERROR(__xludf.DUMMYFUNCTION("""COMPUTED_VALUE"""),"COLGANTE DIAF LEUK AMBAR")</f>
        <v>COLGANTE DIAF LEUK AMBAR</v>
      </c>
      <c r="D479" s="97">
        <f>IFERROR(__xludf.DUMMYFUNCTION("""COMPUTED_VALUE"""),7.798328756695E12)</f>
        <v>7798328756695</v>
      </c>
      <c r="E479" s="97"/>
      <c r="F479" s="97" t="str">
        <f>IFERROR(__xludf.DUMMYFUNCTION("""COMPUTED_VALUE"""),"E27")</f>
        <v>E27</v>
      </c>
      <c r="G479" s="97" t="str">
        <f>IFERROR(__xludf.DUMMYFUNCTION("""COMPUTED_VALUE"""),"N/A")</f>
        <v>N/A</v>
      </c>
      <c r="H479" s="97" t="str">
        <f>IFERROR(__xludf.DUMMYFUNCTION("""COMPUTED_VALUE"""),"N/A")</f>
        <v>N/A</v>
      </c>
      <c r="I479" s="97" t="str">
        <f>IFERROR(__xludf.DUMMYFUNCTION("""COMPUTED_VALUE"""),"N/A")</f>
        <v>N/A</v>
      </c>
      <c r="J479" s="97"/>
      <c r="K479" s="97" t="str">
        <f>IFERROR(__xludf.DUMMYFUNCTION("""COMPUTED_VALUE"""),"N/A")</f>
        <v>N/A</v>
      </c>
      <c r="L479" s="97"/>
      <c r="M479" s="97"/>
      <c r="N479" s="97"/>
      <c r="O479" s="97"/>
      <c r="P479" s="97"/>
      <c r="Q479" s="97"/>
      <c r="R479" s="97"/>
      <c r="S479" s="97"/>
      <c r="T479" s="97"/>
      <c r="U479" s="97"/>
      <c r="V479" s="97"/>
      <c r="W479" s="97"/>
      <c r="X479" s="97"/>
      <c r="Y479" s="97"/>
      <c r="Z479" s="97"/>
      <c r="AA479" s="97"/>
      <c r="AB479" s="97"/>
      <c r="AC479" s="97"/>
      <c r="AD479" s="97" t="str">
        <f>IFERROR(__xludf.DUMMYFUNCTION("""COMPUTED_VALUE"""),"IP20")</f>
        <v>IP20</v>
      </c>
      <c r="AE479" s="97"/>
      <c r="AF479" s="97" t="str">
        <f>IFERROR(__xludf.DUMMYFUNCTION("""COMPUTED_VALUE"""),"Suspender")</f>
        <v>Suspender</v>
      </c>
      <c r="AG479" s="97"/>
      <c r="AH479" s="97"/>
      <c r="AI479" s="97"/>
      <c r="AJ479" s="97"/>
      <c r="AK479" s="97"/>
      <c r="AL479" s="97"/>
      <c r="AM479" s="97"/>
      <c r="AN479" s="97"/>
      <c r="AO479" s="97" t="str">
        <f>IFERROR(__xludf.DUMMYFUNCTION("""COMPUTED_VALUE"""),"1 Año")</f>
        <v>1 Año</v>
      </c>
      <c r="AP479" s="97"/>
      <c r="AQ479" s="97"/>
      <c r="AR479" s="97"/>
      <c r="AS479" s="97"/>
      <c r="AT479" s="97"/>
      <c r="AU479" s="97"/>
      <c r="AV479" s="97" t="str">
        <f>IFERROR(__xludf.DUMMYFUNCTION("""COMPUTED_VALUE"""),"Colgante")</f>
        <v>Colgante</v>
      </c>
      <c r="AW479" s="97" t="str">
        <f>IFERROR(__xludf.DUMMYFUNCTION("""COMPUTED_VALUE"""),"De Techo")</f>
        <v>De Techo</v>
      </c>
      <c r="AX479" s="97" t="str">
        <f>IFERROR(__xludf.DUMMYFUNCTION("""COMPUTED_VALUE"""),"Interior")</f>
        <v>Interior</v>
      </c>
      <c r="AY479" s="97"/>
      <c r="AZ479" s="97"/>
      <c r="BA479" s="97"/>
      <c r="BB479" s="97"/>
      <c r="BC479" s="97"/>
      <c r="BD479" s="97" t="str">
        <f>IFERROR(__xludf.DUMMYFUNCTION("""COMPUTED_VALUE"""),"DIAF")</f>
        <v>DIAF</v>
      </c>
      <c r="BE479" s="97" t="str">
        <f>IFERROR(__xludf.DUMMYFUNCTION("""COMPUTED_VALUE"""),"Sin Ficha")</f>
        <v>Sin Ficha</v>
      </c>
      <c r="BF479" s="97"/>
      <c r="BG479" s="97" t="str">
        <f>IFERROR(__xludf.DUMMYFUNCTION("""COMPUTED_VALUE"""),"Discontinuo")</f>
        <v>Discontinuo</v>
      </c>
    </row>
    <row r="480">
      <c r="A480" s="97">
        <f>IFERROR(__xludf.DUMMYFUNCTION("""COMPUTED_VALUE"""),6085.0)</f>
        <v>6085</v>
      </c>
      <c r="B480" s="97" t="str">
        <f>IFERROR(__xludf.DUMMYFUNCTION("""COMPUTED_VALUE"""),"DIAF VD")</f>
        <v>DIAF VD</v>
      </c>
      <c r="C480" s="97" t="str">
        <f>IFERROR(__xludf.DUMMYFUNCTION("""COMPUTED_VALUE"""),"COLGANTE DIAF LEUK VIDRIO")</f>
        <v>COLGANTE DIAF LEUK VIDRIO</v>
      </c>
      <c r="D480" s="97">
        <f>IFERROR(__xludf.DUMMYFUNCTION("""COMPUTED_VALUE"""),7.798328756701E12)</f>
        <v>7798328756701</v>
      </c>
      <c r="E480" s="97"/>
      <c r="F480" s="97" t="str">
        <f>IFERROR(__xludf.DUMMYFUNCTION("""COMPUTED_VALUE"""),"E27")</f>
        <v>E27</v>
      </c>
      <c r="G480" s="97" t="str">
        <f>IFERROR(__xludf.DUMMYFUNCTION("""COMPUTED_VALUE"""),"N/A")</f>
        <v>N/A</v>
      </c>
      <c r="H480" s="97" t="str">
        <f>IFERROR(__xludf.DUMMYFUNCTION("""COMPUTED_VALUE"""),"N/A")</f>
        <v>N/A</v>
      </c>
      <c r="I480" s="97" t="str">
        <f>IFERROR(__xludf.DUMMYFUNCTION("""COMPUTED_VALUE"""),"N/A")</f>
        <v>N/A</v>
      </c>
      <c r="J480" s="97"/>
      <c r="K480" s="97" t="str">
        <f>IFERROR(__xludf.DUMMYFUNCTION("""COMPUTED_VALUE"""),"N/A")</f>
        <v>N/A</v>
      </c>
      <c r="L480" s="97"/>
      <c r="M480" s="97"/>
      <c r="N480" s="97"/>
      <c r="O480" s="97"/>
      <c r="P480" s="97"/>
      <c r="Q480" s="97"/>
      <c r="R480" s="97"/>
      <c r="S480" s="97"/>
      <c r="T480" s="97"/>
      <c r="U480" s="97"/>
      <c r="V480" s="97"/>
      <c r="W480" s="97"/>
      <c r="X480" s="97"/>
      <c r="Y480" s="97"/>
      <c r="Z480" s="97"/>
      <c r="AA480" s="97"/>
      <c r="AB480" s="97"/>
      <c r="AC480" s="97"/>
      <c r="AD480" s="97" t="str">
        <f>IFERROR(__xludf.DUMMYFUNCTION("""COMPUTED_VALUE"""),"IP20")</f>
        <v>IP20</v>
      </c>
      <c r="AE480" s="97"/>
      <c r="AF480" s="97" t="str">
        <f>IFERROR(__xludf.DUMMYFUNCTION("""COMPUTED_VALUE"""),"Suspender")</f>
        <v>Suspender</v>
      </c>
      <c r="AG480" s="97"/>
      <c r="AH480" s="97"/>
      <c r="AI480" s="97"/>
      <c r="AJ480" s="97"/>
      <c r="AK480" s="97"/>
      <c r="AL480" s="97"/>
      <c r="AM480" s="97"/>
      <c r="AN480" s="97"/>
      <c r="AO480" s="97" t="str">
        <f>IFERROR(__xludf.DUMMYFUNCTION("""COMPUTED_VALUE"""),"1 Año")</f>
        <v>1 Año</v>
      </c>
      <c r="AP480" s="97"/>
      <c r="AQ480" s="97"/>
      <c r="AR480" s="97"/>
      <c r="AS480" s="97"/>
      <c r="AT480" s="97"/>
      <c r="AU480" s="97"/>
      <c r="AV480" s="97" t="str">
        <f>IFERROR(__xludf.DUMMYFUNCTION("""COMPUTED_VALUE"""),"Colgante")</f>
        <v>Colgante</v>
      </c>
      <c r="AW480" s="97" t="str">
        <f>IFERROR(__xludf.DUMMYFUNCTION("""COMPUTED_VALUE"""),"De Techo")</f>
        <v>De Techo</v>
      </c>
      <c r="AX480" s="97" t="str">
        <f>IFERROR(__xludf.DUMMYFUNCTION("""COMPUTED_VALUE"""),"Interior")</f>
        <v>Interior</v>
      </c>
      <c r="AY480" s="97"/>
      <c r="AZ480" s="97"/>
      <c r="BA480" s="97"/>
      <c r="BB480" s="97"/>
      <c r="BC480" s="97"/>
      <c r="BD480" s="97" t="str">
        <f>IFERROR(__xludf.DUMMYFUNCTION("""COMPUTED_VALUE"""),"DIAF")</f>
        <v>DIAF</v>
      </c>
      <c r="BE480" s="97" t="str">
        <f>IFERROR(__xludf.DUMMYFUNCTION("""COMPUTED_VALUE"""),"Sin Ficha")</f>
        <v>Sin Ficha</v>
      </c>
      <c r="BF480" s="97"/>
      <c r="BG480" s="97" t="str">
        <f>IFERROR(__xludf.DUMMYFUNCTION("""COMPUTED_VALUE"""),"Discontinuo")</f>
        <v>Discontinuo</v>
      </c>
    </row>
    <row r="481">
      <c r="A481" s="97">
        <f>IFERROR(__xludf.DUMMYFUNCTION("""COMPUTED_VALUE"""),6086.0)</f>
        <v>6086</v>
      </c>
      <c r="B481" s="97" t="str">
        <f>IFERROR(__xludf.DUMMYFUNCTION("""COMPUTED_VALUE"""),"DIAF GR")</f>
        <v>DIAF GR</v>
      </c>
      <c r="C481" s="97" t="str">
        <f>IFERROR(__xludf.DUMMYFUNCTION("""COMPUTED_VALUE"""),"COLGANTE DIAF LEUK GRIS")</f>
        <v>COLGANTE DIAF LEUK GRIS</v>
      </c>
      <c r="D481" s="97">
        <f>IFERROR(__xludf.DUMMYFUNCTION("""COMPUTED_VALUE"""),7.798328756718E12)</f>
        <v>7798328756718</v>
      </c>
      <c r="E481" s="97"/>
      <c r="F481" s="97" t="str">
        <f>IFERROR(__xludf.DUMMYFUNCTION("""COMPUTED_VALUE"""),"E27")</f>
        <v>E27</v>
      </c>
      <c r="G481" s="97" t="str">
        <f>IFERROR(__xludf.DUMMYFUNCTION("""COMPUTED_VALUE"""),"N/A")</f>
        <v>N/A</v>
      </c>
      <c r="H481" s="97" t="str">
        <f>IFERROR(__xludf.DUMMYFUNCTION("""COMPUTED_VALUE"""),"N/A")</f>
        <v>N/A</v>
      </c>
      <c r="I481" s="97" t="str">
        <f>IFERROR(__xludf.DUMMYFUNCTION("""COMPUTED_VALUE"""),"N/A")</f>
        <v>N/A</v>
      </c>
      <c r="J481" s="97"/>
      <c r="K481" s="97" t="str">
        <f>IFERROR(__xludf.DUMMYFUNCTION("""COMPUTED_VALUE"""),"N/A")</f>
        <v>N/A</v>
      </c>
      <c r="L481" s="97"/>
      <c r="M481" s="97"/>
      <c r="N481" s="97"/>
      <c r="O481" s="97"/>
      <c r="P481" s="97"/>
      <c r="Q481" s="97"/>
      <c r="R481" s="97"/>
      <c r="S481" s="97"/>
      <c r="T481" s="97"/>
      <c r="U481" s="97"/>
      <c r="V481" s="97"/>
      <c r="W481" s="97"/>
      <c r="X481" s="97"/>
      <c r="Y481" s="97"/>
      <c r="Z481" s="97"/>
      <c r="AA481" s="97"/>
      <c r="AB481" s="97"/>
      <c r="AC481" s="97"/>
      <c r="AD481" s="97" t="str">
        <f>IFERROR(__xludf.DUMMYFUNCTION("""COMPUTED_VALUE"""),"IP20")</f>
        <v>IP20</v>
      </c>
      <c r="AE481" s="97"/>
      <c r="AF481" s="97" t="str">
        <f>IFERROR(__xludf.DUMMYFUNCTION("""COMPUTED_VALUE"""),"Suspender")</f>
        <v>Suspender</v>
      </c>
      <c r="AG481" s="97"/>
      <c r="AH481" s="97"/>
      <c r="AI481" s="97"/>
      <c r="AJ481" s="97"/>
      <c r="AK481" s="97"/>
      <c r="AL481" s="97"/>
      <c r="AM481" s="97"/>
      <c r="AN481" s="97"/>
      <c r="AO481" s="97" t="str">
        <f>IFERROR(__xludf.DUMMYFUNCTION("""COMPUTED_VALUE"""),"1 Año")</f>
        <v>1 Año</v>
      </c>
      <c r="AP481" s="97"/>
      <c r="AQ481" s="97"/>
      <c r="AR481" s="97"/>
      <c r="AS481" s="97"/>
      <c r="AT481" s="97"/>
      <c r="AU481" s="97"/>
      <c r="AV481" s="97" t="str">
        <f>IFERROR(__xludf.DUMMYFUNCTION("""COMPUTED_VALUE"""),"Colgante")</f>
        <v>Colgante</v>
      </c>
      <c r="AW481" s="97" t="str">
        <f>IFERROR(__xludf.DUMMYFUNCTION("""COMPUTED_VALUE"""),"De Techo")</f>
        <v>De Techo</v>
      </c>
      <c r="AX481" s="97" t="str">
        <f>IFERROR(__xludf.DUMMYFUNCTION("""COMPUTED_VALUE"""),"Interior")</f>
        <v>Interior</v>
      </c>
      <c r="AY481" s="97"/>
      <c r="AZ481" s="97"/>
      <c r="BA481" s="97"/>
      <c r="BB481" s="97"/>
      <c r="BC481" s="97"/>
      <c r="BD481" s="97" t="str">
        <f>IFERROR(__xludf.DUMMYFUNCTION("""COMPUTED_VALUE"""),"DIAF")</f>
        <v>DIAF</v>
      </c>
      <c r="BE481" s="97" t="str">
        <f>IFERROR(__xludf.DUMMYFUNCTION("""COMPUTED_VALUE"""),"Sin Ficha")</f>
        <v>Sin Ficha</v>
      </c>
      <c r="BF481" s="97"/>
      <c r="BG481" s="97" t="str">
        <f>IFERROR(__xludf.DUMMYFUNCTION("""COMPUTED_VALUE"""),"Discontinuo")</f>
        <v>Discontinuo</v>
      </c>
    </row>
    <row r="482">
      <c r="A482" s="97">
        <f>IFERROR(__xludf.DUMMYFUNCTION("""COMPUTED_VALUE"""),6087.0)</f>
        <v>6087</v>
      </c>
      <c r="B482" s="97" t="str">
        <f>IFERROR(__xludf.DUMMYFUNCTION("""COMPUTED_VALUE"""),"MAKI")</f>
        <v>MAKI</v>
      </c>
      <c r="C482" s="97" t="str">
        <f>IFERROR(__xludf.DUMMYFUNCTION("""COMPUTED_VALUE"""),"COLGANTE MAKI LEUK")</f>
        <v>COLGANTE MAKI LEUK</v>
      </c>
      <c r="D482" s="97">
        <f>IFERROR(__xludf.DUMMYFUNCTION("""COMPUTED_VALUE"""),7.798328756725E12)</f>
        <v>7798328756725</v>
      </c>
      <c r="E482" s="97"/>
      <c r="F482" s="97" t="str">
        <f>IFERROR(__xludf.DUMMYFUNCTION("""COMPUTED_VALUE"""),"E27")</f>
        <v>E27</v>
      </c>
      <c r="G482" s="97" t="str">
        <f>IFERROR(__xludf.DUMMYFUNCTION("""COMPUTED_VALUE"""),"N/A")</f>
        <v>N/A</v>
      </c>
      <c r="H482" s="97" t="str">
        <f>IFERROR(__xludf.DUMMYFUNCTION("""COMPUTED_VALUE"""),"N/A")</f>
        <v>N/A</v>
      </c>
      <c r="I482" s="97" t="str">
        <f>IFERROR(__xludf.DUMMYFUNCTION("""COMPUTED_VALUE"""),"N/A")</f>
        <v>N/A</v>
      </c>
      <c r="J482" s="97"/>
      <c r="K482" s="97" t="str">
        <f>IFERROR(__xludf.DUMMYFUNCTION("""COMPUTED_VALUE"""),"N/A")</f>
        <v>N/A</v>
      </c>
      <c r="L482" s="97"/>
      <c r="M482" s="97"/>
      <c r="N482" s="97"/>
      <c r="O482" s="97"/>
      <c r="P482" s="97"/>
      <c r="Q482" s="97"/>
      <c r="R482" s="97"/>
      <c r="S482" s="97"/>
      <c r="T482" s="97"/>
      <c r="U482" s="97"/>
      <c r="V482" s="97"/>
      <c r="W482" s="97"/>
      <c r="X482" s="97"/>
      <c r="Y482" s="97"/>
      <c r="Z482" s="97"/>
      <c r="AA482" s="97"/>
      <c r="AB482" s="97"/>
      <c r="AC482" s="97"/>
      <c r="AD482" s="97" t="str">
        <f>IFERROR(__xludf.DUMMYFUNCTION("""COMPUTED_VALUE"""),"IP20")</f>
        <v>IP20</v>
      </c>
      <c r="AE482" s="97"/>
      <c r="AF482" s="97" t="str">
        <f>IFERROR(__xludf.DUMMYFUNCTION("""COMPUTED_VALUE"""),"Suspender")</f>
        <v>Suspender</v>
      </c>
      <c r="AG482" s="97"/>
      <c r="AH482" s="97"/>
      <c r="AI482" s="97"/>
      <c r="AJ482" s="97"/>
      <c r="AK482" s="97"/>
      <c r="AL482" s="97"/>
      <c r="AM482" s="97"/>
      <c r="AN482" s="97"/>
      <c r="AO482" s="97" t="str">
        <f>IFERROR(__xludf.DUMMYFUNCTION("""COMPUTED_VALUE"""),"1 Año")</f>
        <v>1 Año</v>
      </c>
      <c r="AP482" s="97"/>
      <c r="AQ482" s="97"/>
      <c r="AR482" s="97"/>
      <c r="AS482" s="97"/>
      <c r="AT482" s="97"/>
      <c r="AU482" s="97"/>
      <c r="AV482" s="97" t="str">
        <f>IFERROR(__xludf.DUMMYFUNCTION("""COMPUTED_VALUE"""),"Colgante")</f>
        <v>Colgante</v>
      </c>
      <c r="AW482" s="97" t="str">
        <f>IFERROR(__xludf.DUMMYFUNCTION("""COMPUTED_VALUE"""),"De Techo")</f>
        <v>De Techo</v>
      </c>
      <c r="AX482" s="97" t="str">
        <f>IFERROR(__xludf.DUMMYFUNCTION("""COMPUTED_VALUE"""),"Interior")</f>
        <v>Interior</v>
      </c>
      <c r="AY482" s="97"/>
      <c r="AZ482" s="97"/>
      <c r="BA482" s="97"/>
      <c r="BB482" s="97"/>
      <c r="BC482" s="97"/>
      <c r="BD482" s="97" t="str">
        <f>IFERROR(__xludf.DUMMYFUNCTION("""COMPUTED_VALUE"""),"MAKI")</f>
        <v>MAKI</v>
      </c>
      <c r="BE482" s="97" t="str">
        <f>IFERROR(__xludf.DUMMYFUNCTION("""COMPUTED_VALUE"""),"Sin Ficha")</f>
        <v>Sin Ficha</v>
      </c>
      <c r="BF482" s="97"/>
      <c r="BG482" s="97" t="str">
        <f>IFERROR(__xludf.DUMMYFUNCTION("""COMPUTED_VALUE"""),"Discontinuo")</f>
        <v>Discontinuo</v>
      </c>
    </row>
    <row r="483">
      <c r="A483" s="97">
        <f>IFERROR(__xludf.DUMMYFUNCTION("""COMPUTED_VALUE"""),6088.0)</f>
        <v>6088</v>
      </c>
      <c r="B483" s="97" t="str">
        <f>IFERROR(__xludf.DUMMYFUNCTION("""COMPUTED_VALUE"""),"IVY RS")</f>
        <v>IVY RS</v>
      </c>
      <c r="C483" s="97" t="str">
        <f>IFERROR(__xludf.DUMMYFUNCTION("""COMPUTED_VALUE"""),"VELADOR IVY LEUK ROSA")</f>
        <v>VELADOR IVY LEUK ROSA</v>
      </c>
      <c r="D483" s="97">
        <f>IFERROR(__xludf.DUMMYFUNCTION("""COMPUTED_VALUE"""),7.798328756213E12)</f>
        <v>7798328756213</v>
      </c>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t="str">
        <f>IFERROR(__xludf.DUMMYFUNCTION("""COMPUTED_VALUE"""),"IP20")</f>
        <v>IP20</v>
      </c>
      <c r="AE483" s="97"/>
      <c r="AF483" s="97" t="str">
        <f>IFERROR(__xludf.DUMMYFUNCTION("""COMPUTED_VALUE"""),"Autoportante")</f>
        <v>Autoportante</v>
      </c>
      <c r="AG483" s="97"/>
      <c r="AH483" s="97"/>
      <c r="AI483" s="97"/>
      <c r="AJ483" s="97"/>
      <c r="AK483" s="97"/>
      <c r="AL483" s="97"/>
      <c r="AM483" s="97"/>
      <c r="AN483" s="97"/>
      <c r="AO483" s="97" t="str">
        <f>IFERROR(__xludf.DUMMYFUNCTION("""COMPUTED_VALUE"""),"1 Año")</f>
        <v>1 Año</v>
      </c>
      <c r="AP483" s="97"/>
      <c r="AQ483" s="97"/>
      <c r="AR483" s="97"/>
      <c r="AS483" s="97"/>
      <c r="AT483" s="97"/>
      <c r="AU483" s="97"/>
      <c r="AV483" s="97" t="str">
        <f>IFERROR(__xludf.DUMMYFUNCTION("""COMPUTED_VALUE"""),"Mesa")</f>
        <v>Mesa</v>
      </c>
      <c r="AW483" s="97" t="str">
        <f>IFERROR(__xludf.DUMMYFUNCTION("""COMPUTED_VALUE"""),"De Apoyo")</f>
        <v>De Apoyo</v>
      </c>
      <c r="AX483" s="97" t="str">
        <f>IFERROR(__xludf.DUMMYFUNCTION("""COMPUTED_VALUE"""),"Interior")</f>
        <v>Interior</v>
      </c>
      <c r="AY483" s="97"/>
      <c r="AZ483" s="97"/>
      <c r="BA483" s="97"/>
      <c r="BB483" s="97"/>
      <c r="BC483" s="97"/>
      <c r="BD483" s="97" t="str">
        <f>IFERROR(__xludf.DUMMYFUNCTION("""COMPUTED_VALUE"""),"IVY")</f>
        <v>IVY</v>
      </c>
      <c r="BE483" s="97" t="str">
        <f>IFERROR(__xludf.DUMMYFUNCTION("""COMPUTED_VALUE"""),"Sin Ficha")</f>
        <v>Sin Ficha</v>
      </c>
      <c r="BF483" s="97"/>
      <c r="BG483" s="97" t="str">
        <f>IFERROR(__xludf.DUMMYFUNCTION("""COMPUTED_VALUE"""),"Discontinuo")</f>
        <v>Discontinuo</v>
      </c>
    </row>
    <row r="484">
      <c r="A484" s="97">
        <f>IFERROR(__xludf.DUMMYFUNCTION("""COMPUTED_VALUE"""),6089.0)</f>
        <v>6089</v>
      </c>
      <c r="B484" s="97" t="str">
        <f>IFERROR(__xludf.DUMMYFUNCTION("""COMPUTED_VALUE"""),"AURA")</f>
        <v>AURA</v>
      </c>
      <c r="C484" s="97" t="str">
        <f>IFERROR(__xludf.DUMMYFUNCTION("""COMPUTED_VALUE"""),"COLGANTE AURA LEUK")</f>
        <v>COLGANTE AURA LEUK</v>
      </c>
      <c r="D484" s="97">
        <f>IFERROR(__xludf.DUMMYFUNCTION("""COMPUTED_VALUE"""),7.798328756473E12)</f>
        <v>7798328756473</v>
      </c>
      <c r="E484" s="97"/>
      <c r="F484" s="97" t="str">
        <f>IFERROR(__xludf.DUMMYFUNCTION("""COMPUTED_VALUE"""),"E27")</f>
        <v>E27</v>
      </c>
      <c r="G484" s="97" t="str">
        <f>IFERROR(__xludf.DUMMYFUNCTION("""COMPUTED_VALUE"""),"N/A")</f>
        <v>N/A</v>
      </c>
      <c r="H484" s="97" t="str">
        <f>IFERROR(__xludf.DUMMYFUNCTION("""COMPUTED_VALUE"""),"N/A")</f>
        <v>N/A</v>
      </c>
      <c r="I484" s="97" t="str">
        <f>IFERROR(__xludf.DUMMYFUNCTION("""COMPUTED_VALUE"""),"N/A")</f>
        <v>N/A</v>
      </c>
      <c r="J484" s="97"/>
      <c r="K484" s="97" t="str">
        <f>IFERROR(__xludf.DUMMYFUNCTION("""COMPUTED_VALUE"""),"N/A")</f>
        <v>N/A</v>
      </c>
      <c r="L484" s="97"/>
      <c r="M484" s="97"/>
      <c r="N484" s="97"/>
      <c r="O484" s="97"/>
      <c r="P484" s="97"/>
      <c r="Q484" s="97"/>
      <c r="R484" s="97"/>
      <c r="S484" s="97"/>
      <c r="T484" s="97"/>
      <c r="U484" s="97"/>
      <c r="V484" s="97"/>
      <c r="W484" s="97"/>
      <c r="X484" s="97"/>
      <c r="Y484" s="97"/>
      <c r="Z484" s="97"/>
      <c r="AA484" s="97"/>
      <c r="AB484" s="97"/>
      <c r="AC484" s="97"/>
      <c r="AD484" s="97" t="str">
        <f>IFERROR(__xludf.DUMMYFUNCTION("""COMPUTED_VALUE"""),"IP20")</f>
        <v>IP20</v>
      </c>
      <c r="AE484" s="97"/>
      <c r="AF484" s="97" t="str">
        <f>IFERROR(__xludf.DUMMYFUNCTION("""COMPUTED_VALUE"""),"Suspender")</f>
        <v>Suspender</v>
      </c>
      <c r="AG484" s="97"/>
      <c r="AH484" s="97"/>
      <c r="AI484" s="97"/>
      <c r="AJ484" s="97"/>
      <c r="AK484" s="97"/>
      <c r="AL484" s="97"/>
      <c r="AM484" s="97"/>
      <c r="AN484" s="97"/>
      <c r="AO484" s="97" t="str">
        <f>IFERROR(__xludf.DUMMYFUNCTION("""COMPUTED_VALUE"""),"1 Año")</f>
        <v>1 Año</v>
      </c>
      <c r="AP484" s="97"/>
      <c r="AQ484" s="97"/>
      <c r="AR484" s="97"/>
      <c r="AS484" s="97"/>
      <c r="AT484" s="97"/>
      <c r="AU484" s="97"/>
      <c r="AV484" s="97" t="str">
        <f>IFERROR(__xludf.DUMMYFUNCTION("""COMPUTED_VALUE"""),"Colgante")</f>
        <v>Colgante</v>
      </c>
      <c r="AW484" s="97" t="str">
        <f>IFERROR(__xludf.DUMMYFUNCTION("""COMPUTED_VALUE"""),"De Techo")</f>
        <v>De Techo</v>
      </c>
      <c r="AX484" s="97" t="str">
        <f>IFERROR(__xludf.DUMMYFUNCTION("""COMPUTED_VALUE"""),"Interior")</f>
        <v>Interior</v>
      </c>
      <c r="AY484" s="97"/>
      <c r="AZ484" s="97"/>
      <c r="BA484" s="97"/>
      <c r="BB484" s="97"/>
      <c r="BC484" s="97"/>
      <c r="BD484" s="97" t="str">
        <f>IFERROR(__xludf.DUMMYFUNCTION("""COMPUTED_VALUE"""),"AURA")</f>
        <v>AURA</v>
      </c>
      <c r="BE484" s="97" t="str">
        <f>IFERROR(__xludf.DUMMYFUNCTION("""COMPUTED_VALUE"""),"Sin Ficha")</f>
        <v>Sin Ficha</v>
      </c>
      <c r="BF484" s="97"/>
      <c r="BG484" s="97" t="str">
        <f>IFERROR(__xludf.DUMMYFUNCTION("""COMPUTED_VALUE"""),"Discontinuo")</f>
        <v>Discontinuo</v>
      </c>
    </row>
    <row r="485">
      <c r="A485" s="97">
        <f>IFERROR(__xludf.DUMMYFUNCTION("""COMPUTED_VALUE"""),6090.0)</f>
        <v>6090</v>
      </c>
      <c r="B485" s="97" t="str">
        <f>IFERROR(__xludf.DUMMYFUNCTION("""COMPUTED_VALUE"""),"URSA")</f>
        <v>URSA</v>
      </c>
      <c r="C485" s="97" t="str">
        <f>IFERROR(__xludf.DUMMYFUNCTION("""COMPUTED_VALUE"""),"COLGANTE URSA LEUK")</f>
        <v>COLGANTE URSA LEUK</v>
      </c>
      <c r="D485" s="97">
        <f>IFERROR(__xludf.DUMMYFUNCTION("""COMPUTED_VALUE"""),7.79832875648E12)</f>
        <v>7798328756480</v>
      </c>
      <c r="E485" s="97"/>
      <c r="F485" s="97" t="str">
        <f>IFERROR(__xludf.DUMMYFUNCTION("""COMPUTED_VALUE"""),"E27")</f>
        <v>E27</v>
      </c>
      <c r="G485" s="97" t="str">
        <f>IFERROR(__xludf.DUMMYFUNCTION("""COMPUTED_VALUE"""),"N/A")</f>
        <v>N/A</v>
      </c>
      <c r="H485" s="97" t="str">
        <f>IFERROR(__xludf.DUMMYFUNCTION("""COMPUTED_VALUE"""),"N/A")</f>
        <v>N/A</v>
      </c>
      <c r="I485" s="97" t="str">
        <f>IFERROR(__xludf.DUMMYFUNCTION("""COMPUTED_VALUE"""),"N/A")</f>
        <v>N/A</v>
      </c>
      <c r="J485" s="97"/>
      <c r="K485" s="97" t="str">
        <f>IFERROR(__xludf.DUMMYFUNCTION("""COMPUTED_VALUE"""),"N/A")</f>
        <v>N/A</v>
      </c>
      <c r="L485" s="97"/>
      <c r="M485" s="97"/>
      <c r="N485" s="97"/>
      <c r="O485" s="97"/>
      <c r="P485" s="97"/>
      <c r="Q485" s="97"/>
      <c r="R485" s="97"/>
      <c r="S485" s="97"/>
      <c r="T485" s="97"/>
      <c r="U485" s="97"/>
      <c r="V485" s="97"/>
      <c r="W485" s="97"/>
      <c r="X485" s="97"/>
      <c r="Y485" s="97"/>
      <c r="Z485" s="97"/>
      <c r="AA485" s="97"/>
      <c r="AB485" s="97"/>
      <c r="AC485" s="97"/>
      <c r="AD485" s="97" t="str">
        <f>IFERROR(__xludf.DUMMYFUNCTION("""COMPUTED_VALUE"""),"IP20")</f>
        <v>IP20</v>
      </c>
      <c r="AE485" s="97"/>
      <c r="AF485" s="97" t="str">
        <f>IFERROR(__xludf.DUMMYFUNCTION("""COMPUTED_VALUE"""),"Suspender")</f>
        <v>Suspender</v>
      </c>
      <c r="AG485" s="97"/>
      <c r="AH485" s="97"/>
      <c r="AI485" s="97"/>
      <c r="AJ485" s="97"/>
      <c r="AK485" s="97"/>
      <c r="AL485" s="97"/>
      <c r="AM485" s="97"/>
      <c r="AN485" s="97"/>
      <c r="AO485" s="97" t="str">
        <f>IFERROR(__xludf.DUMMYFUNCTION("""COMPUTED_VALUE"""),"1 Año")</f>
        <v>1 Año</v>
      </c>
      <c r="AP485" s="97"/>
      <c r="AQ485" s="97"/>
      <c r="AR485" s="97"/>
      <c r="AS485" s="97"/>
      <c r="AT485" s="97"/>
      <c r="AU485" s="97"/>
      <c r="AV485" s="97" t="str">
        <f>IFERROR(__xludf.DUMMYFUNCTION("""COMPUTED_VALUE"""),"Colgante")</f>
        <v>Colgante</v>
      </c>
      <c r="AW485" s="97" t="str">
        <f>IFERROR(__xludf.DUMMYFUNCTION("""COMPUTED_VALUE"""),"De Techo")</f>
        <v>De Techo</v>
      </c>
      <c r="AX485" s="97" t="str">
        <f>IFERROR(__xludf.DUMMYFUNCTION("""COMPUTED_VALUE"""),"Interior")</f>
        <v>Interior</v>
      </c>
      <c r="AY485" s="97"/>
      <c r="AZ485" s="97"/>
      <c r="BA485" s="97"/>
      <c r="BB485" s="97"/>
      <c r="BC485" s="97"/>
      <c r="BD485" s="97" t="str">
        <f>IFERROR(__xludf.DUMMYFUNCTION("""COMPUTED_VALUE"""),"URSA")</f>
        <v>URSA</v>
      </c>
      <c r="BE485" s="97" t="str">
        <f>IFERROR(__xludf.DUMMYFUNCTION("""COMPUTED_VALUE"""),"Sin Ficha")</f>
        <v>Sin Ficha</v>
      </c>
      <c r="BF485" s="97"/>
      <c r="BG485" s="97" t="str">
        <f>IFERROR(__xludf.DUMMYFUNCTION("""COMPUTED_VALUE"""),"Discontinuo")</f>
        <v>Discontinuo</v>
      </c>
    </row>
    <row r="486">
      <c r="A486" s="97">
        <f>IFERROR(__xludf.DUMMYFUNCTION("""COMPUTED_VALUE"""),6091.0)</f>
        <v>6091</v>
      </c>
      <c r="B486" s="97" t="str">
        <f>IFERROR(__xludf.DUMMYFUNCTION("""COMPUTED_VALUE"""),"EXO I BL")</f>
        <v>EXO I BL</v>
      </c>
      <c r="C486" s="97" t="str">
        <f>IFERROR(__xludf.DUMMYFUNCTION("""COMPUTED_VALUE"""),"LUMINARIA EXTERIOR EXO I BLANCO LEUK")</f>
        <v>LUMINARIA EXTERIOR EXO I BLANCO LEUK</v>
      </c>
      <c r="D486" s="97">
        <f>IFERROR(__xludf.DUMMYFUNCTION("""COMPUTED_VALUE"""),7.798328752338E12)</f>
        <v>7798328752338</v>
      </c>
      <c r="E486" s="97"/>
      <c r="F486" s="97" t="str">
        <f>IFERROR(__xludf.DUMMYFUNCTION("""COMPUTED_VALUE"""),"1 x GU10")</f>
        <v>1 x GU10</v>
      </c>
      <c r="G486" s="97" t="str">
        <f>IFERROR(__xludf.DUMMYFUNCTION("""COMPUTED_VALUE"""),"N/A")</f>
        <v>N/A</v>
      </c>
      <c r="H486" s="97" t="str">
        <f>IFERROR(__xludf.DUMMYFUNCTION("""COMPUTED_VALUE"""),"N/A")</f>
        <v>N/A</v>
      </c>
      <c r="I486" s="97" t="str">
        <f>IFERROR(__xludf.DUMMYFUNCTION("""COMPUTED_VALUE"""),"N/A")</f>
        <v>N/A</v>
      </c>
      <c r="J486" s="97"/>
      <c r="K486" s="97" t="str">
        <f>IFERROR(__xludf.DUMMYFUNCTION("""COMPUTED_VALUE"""),"N/A")</f>
        <v>N/A</v>
      </c>
      <c r="L486" s="97" t="str">
        <f>IFERROR(__xludf.DUMMYFUNCTION("""COMPUTED_VALUE"""),"220-240")</f>
        <v>220-240</v>
      </c>
      <c r="M486" s="97" t="str">
        <f>IFERROR(__xludf.DUMMYFUNCTION("""COMPUTED_VALUE"""),"50/60")</f>
        <v>50/60</v>
      </c>
      <c r="N486" s="97"/>
      <c r="O486" s="97" t="str">
        <f>IFERROR(__xludf.DUMMYFUNCTION("""COMPUTED_VALUE"""),"1 x 35W Max")</f>
        <v>1 x 35W Max</v>
      </c>
      <c r="P486" s="97"/>
      <c r="Q486" s="97" t="str">
        <f>IFERROR(__xludf.DUMMYFUNCTION("""COMPUTED_VALUE"""),"-")</f>
        <v>-</v>
      </c>
      <c r="R486" s="97" t="str">
        <f>IFERROR(__xludf.DUMMYFUNCTION("""COMPUTED_VALUE"""),"-")</f>
        <v>-</v>
      </c>
      <c r="S486" s="97" t="str">
        <f>IFERROR(__xludf.DUMMYFUNCTION("""COMPUTED_VALUE"""),"-")</f>
        <v>-</v>
      </c>
      <c r="T486" s="97" t="str">
        <f>IFERROR(__xludf.DUMMYFUNCTION("""COMPUTED_VALUE"""),"-")</f>
        <v>-</v>
      </c>
      <c r="U486" s="97" t="str">
        <f>IFERROR(__xludf.DUMMYFUNCTION("""COMPUTED_VALUE"""),"-")</f>
        <v>-</v>
      </c>
      <c r="V486" s="97" t="str">
        <f>IFERROR(__xludf.DUMMYFUNCTION("""COMPUTED_VALUE"""),"N/A")</f>
        <v>N/A</v>
      </c>
      <c r="W486" s="97" t="str">
        <f>IFERROR(__xludf.DUMMYFUNCTION("""COMPUTED_VALUE"""),"N/A")</f>
        <v>N/A</v>
      </c>
      <c r="X486" s="97" t="str">
        <f>IFERROR(__xludf.DUMMYFUNCTION("""COMPUTED_VALUE"""),"-")</f>
        <v>-</v>
      </c>
      <c r="Y486" s="97" t="str">
        <f>IFERROR(__xludf.DUMMYFUNCTION("""COMPUTED_VALUE"""),"N/A")</f>
        <v>N/A</v>
      </c>
      <c r="Z486" s="97" t="str">
        <f>IFERROR(__xludf.DUMMYFUNCTION("""COMPUTED_VALUE"""),"N/A")</f>
        <v>N/A</v>
      </c>
      <c r="AA486" s="97" t="str">
        <f>IFERROR(__xludf.DUMMYFUNCTION("""COMPUTED_VALUE"""),"N/A")</f>
        <v>N/A</v>
      </c>
      <c r="AB486" s="97" t="str">
        <f>IFERROR(__xludf.DUMMYFUNCTION("""COMPUTED_VALUE"""),"N/A")</f>
        <v>N/A</v>
      </c>
      <c r="AC486" s="97" t="str">
        <f>IFERROR(__xludf.DUMMYFUNCTION("""COMPUTED_VALUE"""),"N/A")</f>
        <v>N/A</v>
      </c>
      <c r="AD486" s="97" t="str">
        <f>IFERROR(__xludf.DUMMYFUNCTION("""COMPUTED_VALUE"""),"IP55")</f>
        <v>IP55</v>
      </c>
      <c r="AE486" s="97" t="str">
        <f>IFERROR(__xludf.DUMMYFUNCTION("""COMPUTED_VALUE"""),"Clase l")</f>
        <v>Clase l</v>
      </c>
      <c r="AF486" s="97" t="str">
        <f>IFERROR(__xludf.DUMMYFUNCTION("""COMPUTED_VALUE"""),"Aplicar")</f>
        <v>Aplicar</v>
      </c>
      <c r="AG486" s="97" t="str">
        <f>IFERROR(__xludf.DUMMYFUNCTION("""COMPUTED_VALUE"""),"110 x 95,5 x 170")</f>
        <v>110 x 95,5 x 170</v>
      </c>
      <c r="AH486" s="97" t="str">
        <f>IFERROR(__xludf.DUMMYFUNCTION("""COMPUTED_VALUE"""),"N/A")</f>
        <v>N/A</v>
      </c>
      <c r="AI486" s="97" t="str">
        <f>IFERROR(__xludf.DUMMYFUNCTION("""COMPUTED_VALUE"""),"N/A")</f>
        <v>N/A</v>
      </c>
      <c r="AJ486" s="97" t="str">
        <f>IFERROR(__xludf.DUMMYFUNCTION("""COMPUTED_VALUE"""),"Vidrio y Policarbonato (PC)")</f>
        <v>Vidrio y Policarbonato (PC)</v>
      </c>
      <c r="AK486" s="97" t="str">
        <f>IFERROR(__xludf.DUMMYFUNCTION("""COMPUTED_VALUE"""),"Aluminio")</f>
        <v>Aluminio</v>
      </c>
      <c r="AL486" s="97" t="str">
        <f>IFERROR(__xludf.DUMMYFUNCTION("""COMPUTED_VALUE"""),"Blanco Satinado")</f>
        <v>Blanco Satinado</v>
      </c>
      <c r="AM486" s="97" t="str">
        <f>IFERROR(__xludf.DUMMYFUNCTION("""COMPUTED_VALUE"""),"-")</f>
        <v>-</v>
      </c>
      <c r="AN486" s="97" t="str">
        <f>IFERROR(__xludf.DUMMYFUNCTION("""COMPUTED_VALUE"""),"N/A")</f>
        <v>N/A</v>
      </c>
      <c r="AO486" s="97" t="str">
        <f>IFERROR(__xludf.DUMMYFUNCTION("""COMPUTED_VALUE"""),"1 Año")</f>
        <v>1 Año</v>
      </c>
      <c r="AP486" s="97" t="str">
        <f>IFERROR(__xludf.DUMMYFUNCTION("""COMPUTED_VALUE"""),"No Aplica")</f>
        <v>No Aplica</v>
      </c>
      <c r="AQ486" s="97" t="str">
        <f>IFERROR(__xludf.DUMMYFUNCTION("""COMPUTED_VALUE"""),"No Aplica")</f>
        <v>No Aplica</v>
      </c>
      <c r="AR486" s="97" t="str">
        <f>IFERROR(__xludf.DUMMYFUNCTION("""COMPUTED_VALUE"""),"No Aplica")</f>
        <v>No Aplica</v>
      </c>
      <c r="AS486" s="97"/>
      <c r="AT486" s="97"/>
      <c r="AU486" s="97"/>
      <c r="AV486" s="97" t="str">
        <f>IFERROR(__xludf.DUMMYFUNCTION("""COMPUTED_VALUE"""),"Aplique")</f>
        <v>Aplique</v>
      </c>
      <c r="AW486" s="97" t="str">
        <f>IFERROR(__xludf.DUMMYFUNCTION("""COMPUTED_VALUE"""),"De Pared")</f>
        <v>De Pared</v>
      </c>
      <c r="AX486" s="97" t="str">
        <f>IFERROR(__xludf.DUMMYFUNCTION("""COMPUTED_VALUE"""),"Exterior")</f>
        <v>Exterior</v>
      </c>
      <c r="AY486" s="97"/>
      <c r="AZ486" s="97"/>
      <c r="BA486" s="97"/>
      <c r="BB486" s="97"/>
      <c r="BC486" s="97"/>
      <c r="BD486" s="97" t="str">
        <f>IFERROR(__xludf.DUMMYFUNCTION("""COMPUTED_VALUE"""),"EXO")</f>
        <v>EXO</v>
      </c>
      <c r="BE486" s="97" t="str">
        <f>IFERROR(__xludf.DUMMYFUNCTION("""COMPUTED_VALUE"""),"Finalizada")</f>
        <v>Finalizada</v>
      </c>
      <c r="BF486" s="97"/>
      <c r="BG486" s="97" t="str">
        <f>IFERROR(__xludf.DUMMYFUNCTION("""COMPUTED_VALUE"""),"Discontinuo")</f>
        <v>Discontinuo</v>
      </c>
    </row>
    <row r="487">
      <c r="A487" s="97">
        <f>IFERROR(__xludf.DUMMYFUNCTION("""COMPUTED_VALUE"""),6092.0)</f>
        <v>6092</v>
      </c>
      <c r="B487" s="97" t="str">
        <f>IFERROR(__xludf.DUMMYFUNCTION("""COMPUTED_VALUE"""),"OPAL")</f>
        <v>OPAL</v>
      </c>
      <c r="C487" s="97" t="str">
        <f>IFERROR(__xludf.DUMMYFUNCTION("""COMPUTED_VALUE"""),"COLGANTE OPAL LEUK")</f>
        <v>COLGANTE OPAL LEUK</v>
      </c>
      <c r="D487" s="97">
        <f>IFERROR(__xludf.DUMMYFUNCTION("""COMPUTED_VALUE"""),7.798328756367E12)</f>
        <v>7798328756367</v>
      </c>
      <c r="E487" s="97"/>
      <c r="F487" s="97" t="str">
        <f>IFERROR(__xludf.DUMMYFUNCTION("""COMPUTED_VALUE"""),"E27")</f>
        <v>E27</v>
      </c>
      <c r="G487" s="97" t="str">
        <f>IFERROR(__xludf.DUMMYFUNCTION("""COMPUTED_VALUE"""),"N/A")</f>
        <v>N/A</v>
      </c>
      <c r="H487" s="97" t="str">
        <f>IFERROR(__xludf.DUMMYFUNCTION("""COMPUTED_VALUE"""),"N/A")</f>
        <v>N/A</v>
      </c>
      <c r="I487" s="97" t="str">
        <f>IFERROR(__xludf.DUMMYFUNCTION("""COMPUTED_VALUE"""),"N/A")</f>
        <v>N/A</v>
      </c>
      <c r="J487" s="97"/>
      <c r="K487" s="97" t="str">
        <f>IFERROR(__xludf.DUMMYFUNCTION("""COMPUTED_VALUE"""),"N/A")</f>
        <v>N/A</v>
      </c>
      <c r="L487" s="97"/>
      <c r="M487" s="97"/>
      <c r="N487" s="97"/>
      <c r="O487" s="97"/>
      <c r="P487" s="97"/>
      <c r="Q487" s="97"/>
      <c r="R487" s="97"/>
      <c r="S487" s="97"/>
      <c r="T487" s="97"/>
      <c r="U487" s="97"/>
      <c r="V487" s="97"/>
      <c r="W487" s="97"/>
      <c r="X487" s="97"/>
      <c r="Y487" s="97"/>
      <c r="Z487" s="97"/>
      <c r="AA487" s="97"/>
      <c r="AB487" s="97"/>
      <c r="AC487" s="97"/>
      <c r="AD487" s="97" t="str">
        <f>IFERROR(__xludf.DUMMYFUNCTION("""COMPUTED_VALUE"""),"IP20")</f>
        <v>IP20</v>
      </c>
      <c r="AE487" s="97"/>
      <c r="AF487" s="97" t="str">
        <f>IFERROR(__xludf.DUMMYFUNCTION("""COMPUTED_VALUE"""),"Suspender")</f>
        <v>Suspender</v>
      </c>
      <c r="AG487" s="97"/>
      <c r="AH487" s="97"/>
      <c r="AI487" s="97"/>
      <c r="AJ487" s="97"/>
      <c r="AK487" s="97"/>
      <c r="AL487" s="97"/>
      <c r="AM487" s="97"/>
      <c r="AN487" s="97"/>
      <c r="AO487" s="97" t="str">
        <f>IFERROR(__xludf.DUMMYFUNCTION("""COMPUTED_VALUE"""),"1 Año")</f>
        <v>1 Año</v>
      </c>
      <c r="AP487" s="97"/>
      <c r="AQ487" s="97"/>
      <c r="AR487" s="97"/>
      <c r="AS487" s="97"/>
      <c r="AT487" s="97"/>
      <c r="AU487" s="97"/>
      <c r="AV487" s="97" t="str">
        <f>IFERROR(__xludf.DUMMYFUNCTION("""COMPUTED_VALUE"""),"Colgante")</f>
        <v>Colgante</v>
      </c>
      <c r="AW487" s="97" t="str">
        <f>IFERROR(__xludf.DUMMYFUNCTION("""COMPUTED_VALUE"""),"De Techo")</f>
        <v>De Techo</v>
      </c>
      <c r="AX487" s="97" t="str">
        <f>IFERROR(__xludf.DUMMYFUNCTION("""COMPUTED_VALUE"""),"Interior")</f>
        <v>Interior</v>
      </c>
      <c r="AY487" s="97"/>
      <c r="AZ487" s="97"/>
      <c r="BA487" s="97"/>
      <c r="BB487" s="97"/>
      <c r="BC487" s="97"/>
      <c r="BD487" s="97" t="str">
        <f>IFERROR(__xludf.DUMMYFUNCTION("""COMPUTED_VALUE"""),"OPAL")</f>
        <v>OPAL</v>
      </c>
      <c r="BE487" s="97" t="str">
        <f>IFERROR(__xludf.DUMMYFUNCTION("""COMPUTED_VALUE"""),"Sin Ficha")</f>
        <v>Sin Ficha</v>
      </c>
      <c r="BF487" s="97"/>
      <c r="BG487" s="97" t="str">
        <f>IFERROR(__xludf.DUMMYFUNCTION("""COMPUTED_VALUE"""),"Discontinuo")</f>
        <v>Discontinuo</v>
      </c>
    </row>
    <row r="488">
      <c r="A488" s="97">
        <f>IFERROR(__xludf.DUMMYFUNCTION("""COMPUTED_VALUE"""),6093.0)</f>
        <v>6093</v>
      </c>
      <c r="B488" s="97" t="str">
        <f>IFERROR(__xludf.DUMMYFUNCTION("""COMPUTED_VALUE"""),"TACHO DICROICA BL")</f>
        <v>TACHO DICROICA BL</v>
      </c>
      <c r="C488" s="97" t="str">
        <f>IFERROR(__xludf.DUMMYFUNCTION("""COMPUTED_VALUE"""),"TACHO CABEZAL DICROICA BLANCO PROYECTOR")</f>
        <v>TACHO CABEZAL DICROICA BLANCO PROYECTOR</v>
      </c>
      <c r="D488" s="97">
        <f>IFERROR(__xludf.DUMMYFUNCTION("""COMPUTED_VALUE"""),7.798328754523E12)</f>
        <v>7798328754523</v>
      </c>
      <c r="E488" s="97" t="str">
        <f>IFERROR(__xludf.DUMMYFUNCTION("""COMPUTED_VALUE"""),"-")</f>
        <v>-</v>
      </c>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t="str">
        <f>IFERROR(__xludf.DUMMYFUNCTION("""COMPUTED_VALUE"""),"IP20")</f>
        <v>IP20</v>
      </c>
      <c r="AE488" s="97"/>
      <c r="AF488" s="97" t="str">
        <f>IFERROR(__xludf.DUMMYFUNCTION("""COMPUTED_VALUE"""),"Cabezal")</f>
        <v>Cabezal</v>
      </c>
      <c r="AG488" s="97"/>
      <c r="AH488" s="97"/>
      <c r="AI488" s="97"/>
      <c r="AJ488" s="97"/>
      <c r="AK488" s="97"/>
      <c r="AL488" s="97"/>
      <c r="AM488" s="97"/>
      <c r="AN488" s="97"/>
      <c r="AO488" s="97" t="str">
        <f>IFERROR(__xludf.DUMMYFUNCTION("""COMPUTED_VALUE"""),"2 Años")</f>
        <v>2 Años</v>
      </c>
      <c r="AP488" s="97"/>
      <c r="AQ488" s="97"/>
      <c r="AR488" s="97"/>
      <c r="AS488" s="97"/>
      <c r="AT488" s="97"/>
      <c r="AU488" s="97"/>
      <c r="AV488" s="97" t="str">
        <f>IFERROR(__xludf.DUMMYFUNCTION("""COMPUTED_VALUE"""),"Cabezal")</f>
        <v>Cabezal</v>
      </c>
      <c r="AW488" s="97" t="str">
        <f>IFERROR(__xludf.DUMMYFUNCTION("""COMPUTED_VALUE"""),"De Techo")</f>
        <v>De Techo</v>
      </c>
      <c r="AX488" s="97" t="str">
        <f>IFERROR(__xludf.DUMMYFUNCTION("""COMPUTED_VALUE"""),"Interior")</f>
        <v>Interior</v>
      </c>
      <c r="AY488" s="97"/>
      <c r="AZ488" s="97"/>
      <c r="BA488" s="97"/>
      <c r="BB488" s="97"/>
      <c r="BC488" s="97"/>
      <c r="BD488" s="97" t="str">
        <f>IFERROR(__xludf.DUMMYFUNCTION("""COMPUTED_VALUE"""),"TACHO DICROICA")</f>
        <v>TACHO DICROICA</v>
      </c>
      <c r="BE488" s="97" t="str">
        <f>IFERROR(__xludf.DUMMYFUNCTION("""COMPUTED_VALUE"""),"Sin Ficha")</f>
        <v>Sin Ficha</v>
      </c>
      <c r="BF488" s="97"/>
      <c r="BG488" s="97" t="str">
        <f>IFERROR(__xludf.DUMMYFUNCTION("""COMPUTED_VALUE"""),"Discontinuo")</f>
        <v>Discontinuo</v>
      </c>
    </row>
    <row r="489">
      <c r="A489" s="97">
        <f>IFERROR(__xludf.DUMMYFUNCTION("""COMPUTED_VALUE"""),6094.0)</f>
        <v>6094</v>
      </c>
      <c r="B489" s="97" t="str">
        <f>IFERROR(__xludf.DUMMYFUNCTION("""COMPUTED_VALUE"""),"TACHO DICROICA NG")</f>
        <v>TACHO DICROICA NG</v>
      </c>
      <c r="C489" s="97" t="str">
        <f>IFERROR(__xludf.DUMMYFUNCTION("""COMPUTED_VALUE"""),"TACHO CABEZAL DICROICA NEGRO PROYECTOR")</f>
        <v>TACHO CABEZAL DICROICA NEGRO PROYECTOR</v>
      </c>
      <c r="D489" s="97">
        <f>IFERROR(__xludf.DUMMYFUNCTION("""COMPUTED_VALUE"""),7.79832875453E12)</f>
        <v>7798328754530</v>
      </c>
      <c r="E489" s="97" t="str">
        <f>IFERROR(__xludf.DUMMYFUNCTION("""COMPUTED_VALUE"""),"-")</f>
        <v>-</v>
      </c>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t="str">
        <f>IFERROR(__xludf.DUMMYFUNCTION("""COMPUTED_VALUE"""),"IP20")</f>
        <v>IP20</v>
      </c>
      <c r="AE489" s="97"/>
      <c r="AF489" s="97" t="str">
        <f>IFERROR(__xludf.DUMMYFUNCTION("""COMPUTED_VALUE"""),"Cabezal")</f>
        <v>Cabezal</v>
      </c>
      <c r="AG489" s="97"/>
      <c r="AH489" s="97"/>
      <c r="AI489" s="97"/>
      <c r="AJ489" s="97"/>
      <c r="AK489" s="97"/>
      <c r="AL489" s="97"/>
      <c r="AM489" s="97"/>
      <c r="AN489" s="97"/>
      <c r="AO489" s="97" t="str">
        <f>IFERROR(__xludf.DUMMYFUNCTION("""COMPUTED_VALUE"""),"2 Años")</f>
        <v>2 Años</v>
      </c>
      <c r="AP489" s="97"/>
      <c r="AQ489" s="97"/>
      <c r="AR489" s="97"/>
      <c r="AS489" s="97"/>
      <c r="AT489" s="97"/>
      <c r="AU489" s="97"/>
      <c r="AV489" s="97" t="str">
        <f>IFERROR(__xludf.DUMMYFUNCTION("""COMPUTED_VALUE"""),"Cabezal")</f>
        <v>Cabezal</v>
      </c>
      <c r="AW489" s="97" t="str">
        <f>IFERROR(__xludf.DUMMYFUNCTION("""COMPUTED_VALUE"""),"De Techo")</f>
        <v>De Techo</v>
      </c>
      <c r="AX489" s="97" t="str">
        <f>IFERROR(__xludf.DUMMYFUNCTION("""COMPUTED_VALUE"""),"Interior")</f>
        <v>Interior</v>
      </c>
      <c r="AY489" s="97"/>
      <c r="AZ489" s="97"/>
      <c r="BA489" s="97"/>
      <c r="BB489" s="97"/>
      <c r="BC489" s="97"/>
      <c r="BD489" s="97" t="str">
        <f>IFERROR(__xludf.DUMMYFUNCTION("""COMPUTED_VALUE"""),"TACHO DICROICA")</f>
        <v>TACHO DICROICA</v>
      </c>
      <c r="BE489" s="97" t="str">
        <f>IFERROR(__xludf.DUMMYFUNCTION("""COMPUTED_VALUE"""),"Sin Ficha")</f>
        <v>Sin Ficha</v>
      </c>
      <c r="BF489" s="97"/>
      <c r="BG489" s="97" t="str">
        <f>IFERROR(__xludf.DUMMYFUNCTION("""COMPUTED_VALUE"""),"Discontinuo")</f>
        <v>Discontinuo</v>
      </c>
    </row>
    <row r="490">
      <c r="A490" s="97">
        <f>IFERROR(__xludf.DUMMYFUNCTION("""COMPUTED_VALUE"""),6095.0)</f>
        <v>6095</v>
      </c>
      <c r="B490" s="97" t="str">
        <f>IFERROR(__xludf.DUMMYFUNCTION("""COMPUTED_VALUE"""),"EXO I GR")</f>
        <v>EXO I GR</v>
      </c>
      <c r="C490" s="97" t="str">
        <f>IFERROR(__xludf.DUMMYFUNCTION("""COMPUTED_VALUE"""),"LUMINARIA EXTERIOR EXO I GRIS LEUK")</f>
        <v>LUMINARIA EXTERIOR EXO I GRIS LEUK</v>
      </c>
      <c r="D490" s="97">
        <f>IFERROR(__xludf.DUMMYFUNCTION("""COMPUTED_VALUE"""),7.798328752345E12)</f>
        <v>7798328752345</v>
      </c>
      <c r="E490" s="97"/>
      <c r="F490" s="97" t="str">
        <f>IFERROR(__xludf.DUMMYFUNCTION("""COMPUTED_VALUE"""),"1xGU10 Dicro")</f>
        <v>1xGU10 Dicro</v>
      </c>
      <c r="G490" s="97" t="str">
        <f>IFERROR(__xludf.DUMMYFUNCTION("""COMPUTED_VALUE"""),"N/A")</f>
        <v>N/A</v>
      </c>
      <c r="H490" s="97" t="str">
        <f>IFERROR(__xludf.DUMMYFUNCTION("""COMPUTED_VALUE"""),"N/A")</f>
        <v>N/A</v>
      </c>
      <c r="I490" s="97" t="str">
        <f>IFERROR(__xludf.DUMMYFUNCTION("""COMPUTED_VALUE"""),"N/A")</f>
        <v>N/A</v>
      </c>
      <c r="J490" s="97"/>
      <c r="K490" s="97" t="str">
        <f>IFERROR(__xludf.DUMMYFUNCTION("""COMPUTED_VALUE"""),"N/A")</f>
        <v>N/A</v>
      </c>
      <c r="L490" s="97" t="str">
        <f>IFERROR(__xludf.DUMMYFUNCTION("""COMPUTED_VALUE"""),"220-240")</f>
        <v>220-240</v>
      </c>
      <c r="M490" s="97" t="str">
        <f>IFERROR(__xludf.DUMMYFUNCTION("""COMPUTED_VALUE"""),"50/60")</f>
        <v>50/60</v>
      </c>
      <c r="N490" s="97"/>
      <c r="O490" s="97" t="str">
        <f>IFERROR(__xludf.DUMMYFUNCTION("""COMPUTED_VALUE"""),"1 x 35W Max")</f>
        <v>1 x 35W Max</v>
      </c>
      <c r="P490" s="97"/>
      <c r="Q490" s="97" t="str">
        <f>IFERROR(__xludf.DUMMYFUNCTION("""COMPUTED_VALUE"""),"-")</f>
        <v>-</v>
      </c>
      <c r="R490" s="97" t="str">
        <f>IFERROR(__xludf.DUMMYFUNCTION("""COMPUTED_VALUE"""),"-")</f>
        <v>-</v>
      </c>
      <c r="S490" s="97" t="str">
        <f>IFERROR(__xludf.DUMMYFUNCTION("""COMPUTED_VALUE"""),"-")</f>
        <v>-</v>
      </c>
      <c r="T490" s="97" t="str">
        <f>IFERROR(__xludf.DUMMYFUNCTION("""COMPUTED_VALUE"""),"-")</f>
        <v>-</v>
      </c>
      <c r="U490" s="97" t="str">
        <f>IFERROR(__xludf.DUMMYFUNCTION("""COMPUTED_VALUE"""),"-")</f>
        <v>-</v>
      </c>
      <c r="V490" s="97" t="str">
        <f>IFERROR(__xludf.DUMMYFUNCTION("""COMPUTED_VALUE"""),"N/A")</f>
        <v>N/A</v>
      </c>
      <c r="W490" s="97" t="str">
        <f>IFERROR(__xludf.DUMMYFUNCTION("""COMPUTED_VALUE"""),"N/A")</f>
        <v>N/A</v>
      </c>
      <c r="X490" s="97" t="str">
        <f>IFERROR(__xludf.DUMMYFUNCTION("""COMPUTED_VALUE"""),"-")</f>
        <v>-</v>
      </c>
      <c r="Y490" s="97" t="str">
        <f>IFERROR(__xludf.DUMMYFUNCTION("""COMPUTED_VALUE"""),"N/A")</f>
        <v>N/A</v>
      </c>
      <c r="Z490" s="97" t="str">
        <f>IFERROR(__xludf.DUMMYFUNCTION("""COMPUTED_VALUE"""),"N/A")</f>
        <v>N/A</v>
      </c>
      <c r="AA490" s="97" t="str">
        <f>IFERROR(__xludf.DUMMYFUNCTION("""COMPUTED_VALUE"""),"N/A")</f>
        <v>N/A</v>
      </c>
      <c r="AB490" s="97" t="str">
        <f>IFERROR(__xludf.DUMMYFUNCTION("""COMPUTED_VALUE"""),"N/A")</f>
        <v>N/A</v>
      </c>
      <c r="AC490" s="97" t="str">
        <f>IFERROR(__xludf.DUMMYFUNCTION("""COMPUTED_VALUE"""),"N/A")</f>
        <v>N/A</v>
      </c>
      <c r="AD490" s="97" t="str">
        <f>IFERROR(__xludf.DUMMYFUNCTION("""COMPUTED_VALUE"""),"IP55")</f>
        <v>IP55</v>
      </c>
      <c r="AE490" s="97" t="str">
        <f>IFERROR(__xludf.DUMMYFUNCTION("""COMPUTED_VALUE"""),"Clase l")</f>
        <v>Clase l</v>
      </c>
      <c r="AF490" s="97" t="str">
        <f>IFERROR(__xludf.DUMMYFUNCTION("""COMPUTED_VALUE"""),"Aplicar")</f>
        <v>Aplicar</v>
      </c>
      <c r="AG490" s="97" t="str">
        <f>IFERROR(__xludf.DUMMYFUNCTION("""COMPUTED_VALUE"""),"110 x 95,5 x 170")</f>
        <v>110 x 95,5 x 170</v>
      </c>
      <c r="AH490" s="97" t="str">
        <f>IFERROR(__xludf.DUMMYFUNCTION("""COMPUTED_VALUE"""),"N/A")</f>
        <v>N/A</v>
      </c>
      <c r="AI490" s="97" t="str">
        <f>IFERROR(__xludf.DUMMYFUNCTION("""COMPUTED_VALUE"""),"N/A")</f>
        <v>N/A</v>
      </c>
      <c r="AJ490" s="97" t="str">
        <f>IFERROR(__xludf.DUMMYFUNCTION("""COMPUTED_VALUE"""),"Vidrio y Policarbonato (PC)")</f>
        <v>Vidrio y Policarbonato (PC)</v>
      </c>
      <c r="AK490" s="97" t="str">
        <f>IFERROR(__xludf.DUMMYFUNCTION("""COMPUTED_VALUE"""),"Aluminio")</f>
        <v>Aluminio</v>
      </c>
      <c r="AL490" s="97" t="str">
        <f>IFERROR(__xludf.DUMMYFUNCTION("""COMPUTED_VALUE"""),"Gris")</f>
        <v>Gris</v>
      </c>
      <c r="AM490" s="97" t="str">
        <f>IFERROR(__xludf.DUMMYFUNCTION("""COMPUTED_VALUE"""),"-")</f>
        <v>-</v>
      </c>
      <c r="AN490" s="97" t="str">
        <f>IFERROR(__xludf.DUMMYFUNCTION("""COMPUTED_VALUE"""),"N/A")</f>
        <v>N/A</v>
      </c>
      <c r="AO490" s="97" t="str">
        <f>IFERROR(__xludf.DUMMYFUNCTION("""COMPUTED_VALUE"""),"1 Año")</f>
        <v>1 Año</v>
      </c>
      <c r="AP490" s="97" t="str">
        <f>IFERROR(__xludf.DUMMYFUNCTION("""COMPUTED_VALUE"""),"No Aplica")</f>
        <v>No Aplica</v>
      </c>
      <c r="AQ490" s="97" t="str">
        <f>IFERROR(__xludf.DUMMYFUNCTION("""COMPUTED_VALUE"""),"No Aplica")</f>
        <v>No Aplica</v>
      </c>
      <c r="AR490" s="97" t="str">
        <f>IFERROR(__xludf.DUMMYFUNCTION("""COMPUTED_VALUE"""),"No Aplica")</f>
        <v>No Aplica</v>
      </c>
      <c r="AS490" s="97"/>
      <c r="AT490" s="97"/>
      <c r="AU490" s="97"/>
      <c r="AV490" s="97" t="str">
        <f>IFERROR(__xludf.DUMMYFUNCTION("""COMPUTED_VALUE"""),"Aplique")</f>
        <v>Aplique</v>
      </c>
      <c r="AW490" s="97" t="str">
        <f>IFERROR(__xludf.DUMMYFUNCTION("""COMPUTED_VALUE"""),"De Pared")</f>
        <v>De Pared</v>
      </c>
      <c r="AX490" s="97" t="str">
        <f>IFERROR(__xludf.DUMMYFUNCTION("""COMPUTED_VALUE"""),"Exterior")</f>
        <v>Exterior</v>
      </c>
      <c r="AY490" s="97"/>
      <c r="AZ490" s="97"/>
      <c r="BA490" s="97"/>
      <c r="BB490" s="97"/>
      <c r="BC490" s="97"/>
      <c r="BD490" s="97" t="str">
        <f>IFERROR(__xludf.DUMMYFUNCTION("""COMPUTED_VALUE"""),"EXO")</f>
        <v>EXO</v>
      </c>
      <c r="BE490" s="97" t="str">
        <f>IFERROR(__xludf.DUMMYFUNCTION("""COMPUTED_VALUE"""),"Finalizada")</f>
        <v>Finalizada</v>
      </c>
      <c r="BF490" s="97"/>
      <c r="BG490" s="97" t="str">
        <f>IFERROR(__xludf.DUMMYFUNCTION("""COMPUTED_VALUE"""),"Discontinuo")</f>
        <v>Discontinuo</v>
      </c>
    </row>
    <row r="491">
      <c r="A491" s="97">
        <f>IFERROR(__xludf.DUMMYFUNCTION("""COMPUTED_VALUE"""),6096.0)</f>
        <v>6096</v>
      </c>
      <c r="B491" s="97" t="str">
        <f>IFERROR(__xludf.DUMMYFUNCTION("""COMPUTED_VALUE"""),"AKE I BL")</f>
        <v>AKE I BL</v>
      </c>
      <c r="C491" s="97" t="str">
        <f>IFERROR(__xludf.DUMMYFUNCTION("""COMPUTED_VALUE"""),"SPOT DE EMBUTIR AKE1 BLANCO")</f>
        <v>SPOT DE EMBUTIR AKE1 BLANCO</v>
      </c>
      <c r="D491" s="97">
        <f>IFERROR(__xludf.DUMMYFUNCTION("""COMPUTED_VALUE"""),7.798328757159E12)</f>
        <v>7798328757159</v>
      </c>
      <c r="E491" s="97"/>
      <c r="F491" s="97" t="str">
        <f>IFERROR(__xludf.DUMMYFUNCTION("""COMPUTED_VALUE"""),"1 x GU10")</f>
        <v>1 x GU10</v>
      </c>
      <c r="G491" s="97" t="str">
        <f>IFERROR(__xludf.DUMMYFUNCTION("""COMPUTED_VALUE"""),"N/A")</f>
        <v>N/A</v>
      </c>
      <c r="H491" s="97" t="str">
        <f>IFERROR(__xludf.DUMMYFUNCTION("""COMPUTED_VALUE"""),"N/A")</f>
        <v>N/A</v>
      </c>
      <c r="I491" s="97" t="str">
        <f>IFERROR(__xludf.DUMMYFUNCTION("""COMPUTED_VALUE"""),"N/A")</f>
        <v>N/A</v>
      </c>
      <c r="J491" s="97"/>
      <c r="K491" s="97" t="str">
        <f>IFERROR(__xludf.DUMMYFUNCTION("""COMPUTED_VALUE"""),"N/A")</f>
        <v>N/A</v>
      </c>
      <c r="L491" s="97">
        <f>IFERROR(__xludf.DUMMYFUNCTION("""COMPUTED_VALUE"""),220.0)</f>
        <v>220</v>
      </c>
      <c r="M491" s="97">
        <f>IFERROR(__xludf.DUMMYFUNCTION("""COMPUTED_VALUE"""),50.0)</f>
        <v>50</v>
      </c>
      <c r="N491" s="97"/>
      <c r="O491" s="97" t="str">
        <f>IFERROR(__xludf.DUMMYFUNCTION("""COMPUTED_VALUE"""),"1 x 50W Max")</f>
        <v>1 x 50W Max</v>
      </c>
      <c r="P491" s="97"/>
      <c r="Q491" s="97" t="str">
        <f>IFERROR(__xludf.DUMMYFUNCTION("""COMPUTED_VALUE"""),"-")</f>
        <v>-</v>
      </c>
      <c r="R491" s="97" t="str">
        <f>IFERROR(__xludf.DUMMYFUNCTION("""COMPUTED_VALUE"""),"-")</f>
        <v>-</v>
      </c>
      <c r="S491" s="97" t="str">
        <f>IFERROR(__xludf.DUMMYFUNCTION("""COMPUTED_VALUE"""),"-")</f>
        <v>-</v>
      </c>
      <c r="T491" s="97" t="str">
        <f>IFERROR(__xludf.DUMMYFUNCTION("""COMPUTED_VALUE"""),"-")</f>
        <v>-</v>
      </c>
      <c r="U491" s="97" t="str">
        <f>IFERROR(__xludf.DUMMYFUNCTION("""COMPUTED_VALUE"""),"-")</f>
        <v>-</v>
      </c>
      <c r="V491" s="97" t="str">
        <f>IFERROR(__xludf.DUMMYFUNCTION("""COMPUTED_VALUE"""),"N/A")</f>
        <v>N/A</v>
      </c>
      <c r="W491" s="97" t="str">
        <f>IFERROR(__xludf.DUMMYFUNCTION("""COMPUTED_VALUE"""),"N/A")</f>
        <v>N/A</v>
      </c>
      <c r="X491" s="97" t="str">
        <f>IFERROR(__xludf.DUMMYFUNCTION("""COMPUTED_VALUE"""),"-")</f>
        <v>-</v>
      </c>
      <c r="Y491" s="97" t="str">
        <f>IFERROR(__xludf.DUMMYFUNCTION("""COMPUTED_VALUE"""),"N/A")</f>
        <v>N/A</v>
      </c>
      <c r="Z491" s="97" t="str">
        <f>IFERROR(__xludf.DUMMYFUNCTION("""COMPUTED_VALUE"""),"N/A")</f>
        <v>N/A</v>
      </c>
      <c r="AA491" s="97" t="str">
        <f>IFERROR(__xludf.DUMMYFUNCTION("""COMPUTED_VALUE"""),"N/A")</f>
        <v>N/A</v>
      </c>
      <c r="AB491" s="97" t="str">
        <f>IFERROR(__xludf.DUMMYFUNCTION("""COMPUTED_VALUE"""),"N/A")</f>
        <v>N/A</v>
      </c>
      <c r="AC491" s="97" t="str">
        <f>IFERROR(__xludf.DUMMYFUNCTION("""COMPUTED_VALUE"""),"N/A")</f>
        <v>N/A</v>
      </c>
      <c r="AD491" s="97" t="str">
        <f>IFERROR(__xludf.DUMMYFUNCTION("""COMPUTED_VALUE"""),"IP20")</f>
        <v>IP20</v>
      </c>
      <c r="AE491" s="97" t="str">
        <f>IFERROR(__xludf.DUMMYFUNCTION("""COMPUTED_VALUE"""),"N/A")</f>
        <v>N/A</v>
      </c>
      <c r="AF491" s="97" t="str">
        <f>IFERROR(__xludf.DUMMYFUNCTION("""COMPUTED_VALUE"""),"Embutir")</f>
        <v>Embutir</v>
      </c>
      <c r="AG491" s="97" t="str">
        <f>IFERROR(__xludf.DUMMYFUNCTION("""COMPUTED_VALUE"""),"Ø88 x 28")</f>
        <v>Ø88 x 28</v>
      </c>
      <c r="AH491" s="97" t="str">
        <f>IFERROR(__xludf.DUMMYFUNCTION("""COMPUTED_VALUE"""),"Ø77")</f>
        <v>Ø77</v>
      </c>
      <c r="AI491" s="97" t="str">
        <f>IFERROR(__xludf.DUMMYFUNCTION("""COMPUTED_VALUE"""),"79 *")</f>
        <v>79 *</v>
      </c>
      <c r="AJ491" s="97" t="str">
        <f>IFERROR(__xludf.DUMMYFUNCTION("""COMPUTED_VALUE"""),"N/A")</f>
        <v>N/A</v>
      </c>
      <c r="AK491" s="97" t="str">
        <f>IFERROR(__xludf.DUMMYFUNCTION("""COMPUTED_VALUE"""),"Policarbonato (PC)")</f>
        <v>Policarbonato (PC)</v>
      </c>
      <c r="AL491" s="97" t="str">
        <f>IFERROR(__xludf.DUMMYFUNCTION("""COMPUTED_VALUE"""),"Blanco Mate")</f>
        <v>Blanco Mate</v>
      </c>
      <c r="AM491" s="97" t="str">
        <f>IFERROR(__xludf.DUMMYFUNCTION("""COMPUTED_VALUE"""),"-")</f>
        <v>-</v>
      </c>
      <c r="AN491" s="97" t="str">
        <f>IFERROR(__xludf.DUMMYFUNCTION("""COMPUTED_VALUE"""),"N/A")</f>
        <v>N/A</v>
      </c>
      <c r="AO491" s="97" t="str">
        <f>IFERROR(__xludf.DUMMYFUNCTION("""COMPUTED_VALUE"""),"8 Años")</f>
        <v>8 Años</v>
      </c>
      <c r="AP491" s="97" t="str">
        <f>IFERROR(__xludf.DUMMYFUNCTION("""COMPUTED_VALUE"""),"No Aplica")</f>
        <v>No Aplica</v>
      </c>
      <c r="AQ491" s="97" t="str">
        <f>IFERROR(__xludf.DUMMYFUNCTION("""COMPUTED_VALUE"""),"No Aplica")</f>
        <v>No Aplica</v>
      </c>
      <c r="AR491" s="97" t="str">
        <f>IFERROR(__xludf.DUMMYFUNCTION("""COMPUTED_VALUE"""),"No Aplica")</f>
        <v>No Aplica</v>
      </c>
      <c r="AS491" s="97"/>
      <c r="AT491" s="97"/>
      <c r="AU491" s="97"/>
      <c r="AV491" s="97" t="str">
        <f>IFERROR(__xludf.DUMMYFUNCTION("""COMPUTED_VALUE"""),"Empotrable")</f>
        <v>Empotrable</v>
      </c>
      <c r="AW491" s="97" t="str">
        <f>IFERROR(__xludf.DUMMYFUNCTION("""COMPUTED_VALUE"""),"De Techo")</f>
        <v>De Techo</v>
      </c>
      <c r="AX491" s="97" t="str">
        <f>IFERROR(__xludf.DUMMYFUNCTION("""COMPUTED_VALUE"""),"Interior")</f>
        <v>Interior</v>
      </c>
      <c r="AY491" s="97"/>
      <c r="AZ491" s="97" t="str">
        <f>IFERROR(__xludf.DUMMYFUNCTION("""COMPUTED_VALUE"""),"Spot con Movimiento interno,
*Profundidad de calado total aproximada (considera dicroica y zócalo estándar)
**Garantía de 8 años de amarillamiento de PC.
***Retardador de incendios: clasificación BS2D0 con resistencia hasta 120°C.
****PC con protección co"&amp;"ntra rayos UV.")</f>
        <v>Spot con Movimiento interno,
*Profundidad de calado total aproximada (considera dicroica y zócalo estándar)
**Garantía de 8 años de amarillamiento de PC.
***Retardador de incendios: clasificación BS2D0 con resistencia hasta 120°C.
****PC con protección contra rayos UV.</v>
      </c>
      <c r="BA491" s="97">
        <f>IFERROR(__xludf.DUMMYFUNCTION("""COMPUTED_VALUE"""),100.0)</f>
        <v>100</v>
      </c>
      <c r="BB491" s="97"/>
      <c r="BC491" s="97"/>
      <c r="BD491" s="97" t="str">
        <f>IFERROR(__xludf.DUMMYFUNCTION("""COMPUTED_VALUE"""),"AKE")</f>
        <v>AKE</v>
      </c>
      <c r="BE491" s="97" t="str">
        <f>IFERROR(__xludf.DUMMYFUNCTION("""COMPUTED_VALUE"""),"Finalizada")</f>
        <v>Finalizada</v>
      </c>
      <c r="BF491" s="97"/>
      <c r="BG491" s="97" t="str">
        <f>IFERROR(__xludf.DUMMYFUNCTION("""COMPUTED_VALUE"""),"Discontinuo")</f>
        <v>Discontinuo</v>
      </c>
    </row>
    <row r="492">
      <c r="A492" s="97">
        <f>IFERROR(__xludf.DUMMYFUNCTION("""COMPUTED_VALUE"""),6097.0)</f>
        <v>6097</v>
      </c>
      <c r="B492" s="97" t="str">
        <f>IFERROR(__xludf.DUMMYFUNCTION("""COMPUTED_VALUE"""),"AXE I BL")</f>
        <v>AXE I BL</v>
      </c>
      <c r="C492" s="97" t="str">
        <f>IFERROR(__xludf.DUMMYFUNCTION("""COMPUTED_VALUE"""),"APLIQUE AXE1 BLANCO")</f>
        <v>APLIQUE AXE1 BLANCO</v>
      </c>
      <c r="D492" s="97">
        <f>IFERROR(__xludf.DUMMYFUNCTION("""COMPUTED_VALUE"""),7.798328756756E12)</f>
        <v>7798328756756</v>
      </c>
      <c r="E492" s="97"/>
      <c r="F492" s="97" t="str">
        <f>IFERROR(__xludf.DUMMYFUNCTION("""COMPUTED_VALUE"""),"1 x GU10")</f>
        <v>1 x GU10</v>
      </c>
      <c r="G492" s="97" t="str">
        <f>IFERROR(__xludf.DUMMYFUNCTION("""COMPUTED_VALUE"""),"N/A")</f>
        <v>N/A</v>
      </c>
      <c r="H492" s="97" t="str">
        <f>IFERROR(__xludf.DUMMYFUNCTION("""COMPUTED_VALUE"""),"N/A")</f>
        <v>N/A</v>
      </c>
      <c r="I492" s="97" t="str">
        <f>IFERROR(__xludf.DUMMYFUNCTION("""COMPUTED_VALUE"""),"N/A")</f>
        <v>N/A</v>
      </c>
      <c r="J492" s="97"/>
      <c r="K492" s="97" t="str">
        <f>IFERROR(__xludf.DUMMYFUNCTION("""COMPUTED_VALUE"""),"N/A")</f>
        <v>N/A</v>
      </c>
      <c r="L492" s="97">
        <f>IFERROR(__xludf.DUMMYFUNCTION("""COMPUTED_VALUE"""),220.0)</f>
        <v>220</v>
      </c>
      <c r="M492" s="97">
        <f>IFERROR(__xludf.DUMMYFUNCTION("""COMPUTED_VALUE"""),50.0)</f>
        <v>50</v>
      </c>
      <c r="N492" s="97"/>
      <c r="O492" s="97" t="str">
        <f>IFERROR(__xludf.DUMMYFUNCTION("""COMPUTED_VALUE"""),"1 x 50W Max")</f>
        <v>1 x 50W Max</v>
      </c>
      <c r="P492" s="97"/>
      <c r="Q492" s="97" t="str">
        <f>IFERROR(__xludf.DUMMYFUNCTION("""COMPUTED_VALUE"""),"-")</f>
        <v>-</v>
      </c>
      <c r="R492" s="97" t="str">
        <f>IFERROR(__xludf.DUMMYFUNCTION("""COMPUTED_VALUE"""),"-")</f>
        <v>-</v>
      </c>
      <c r="S492" s="97" t="str">
        <f>IFERROR(__xludf.DUMMYFUNCTION("""COMPUTED_VALUE"""),"-")</f>
        <v>-</v>
      </c>
      <c r="T492" s="97" t="str">
        <f>IFERROR(__xludf.DUMMYFUNCTION("""COMPUTED_VALUE"""),"-")</f>
        <v>-</v>
      </c>
      <c r="U492" s="97" t="str">
        <f>IFERROR(__xludf.DUMMYFUNCTION("""COMPUTED_VALUE"""),"-")</f>
        <v>-</v>
      </c>
      <c r="V492" s="97" t="str">
        <f>IFERROR(__xludf.DUMMYFUNCTION("""COMPUTED_VALUE"""),"N/A")</f>
        <v>N/A</v>
      </c>
      <c r="W492" s="97" t="str">
        <f>IFERROR(__xludf.DUMMYFUNCTION("""COMPUTED_VALUE"""),"N/A")</f>
        <v>N/A</v>
      </c>
      <c r="X492" s="97" t="str">
        <f>IFERROR(__xludf.DUMMYFUNCTION("""COMPUTED_VALUE"""),"-")</f>
        <v>-</v>
      </c>
      <c r="Y492" s="97" t="str">
        <f>IFERROR(__xludf.DUMMYFUNCTION("""COMPUTED_VALUE"""),"N/A")</f>
        <v>N/A</v>
      </c>
      <c r="Z492" s="97" t="str">
        <f>IFERROR(__xludf.DUMMYFUNCTION("""COMPUTED_VALUE"""),"N/A")</f>
        <v>N/A</v>
      </c>
      <c r="AA492" s="97" t="str">
        <f>IFERROR(__xludf.DUMMYFUNCTION("""COMPUTED_VALUE"""),"N/A")</f>
        <v>N/A</v>
      </c>
      <c r="AB492" s="97" t="str">
        <f>IFERROR(__xludf.DUMMYFUNCTION("""COMPUTED_VALUE"""),"N/A")</f>
        <v>N/A</v>
      </c>
      <c r="AC492" s="97" t="str">
        <f>IFERROR(__xludf.DUMMYFUNCTION("""COMPUTED_VALUE"""),"N/A")</f>
        <v>N/A</v>
      </c>
      <c r="AD492" s="97" t="str">
        <f>IFERROR(__xludf.DUMMYFUNCTION("""COMPUTED_VALUE"""),"IP20")</f>
        <v>IP20</v>
      </c>
      <c r="AE492" s="97" t="str">
        <f>IFERROR(__xludf.DUMMYFUNCTION("""COMPUTED_VALUE"""),"N/A")</f>
        <v>N/A</v>
      </c>
      <c r="AF492" s="97" t="str">
        <f>IFERROR(__xludf.DUMMYFUNCTION("""COMPUTED_VALUE"""),"Aplicar")</f>
        <v>Aplicar</v>
      </c>
      <c r="AG492" s="97" t="str">
        <f>IFERROR(__xludf.DUMMYFUNCTION("""COMPUTED_VALUE"""),"93 x 93 x 100")</f>
        <v>93 x 93 x 100</v>
      </c>
      <c r="AH492" s="97" t="str">
        <f>IFERROR(__xludf.DUMMYFUNCTION("""COMPUTED_VALUE"""),"N/A")</f>
        <v>N/A</v>
      </c>
      <c r="AI492" s="97" t="str">
        <f>IFERROR(__xludf.DUMMYFUNCTION("""COMPUTED_VALUE"""),"N/A")</f>
        <v>N/A</v>
      </c>
      <c r="AJ492" s="97" t="str">
        <f>IFERROR(__xludf.DUMMYFUNCTION("""COMPUTED_VALUE"""),"N/A")</f>
        <v>N/A</v>
      </c>
      <c r="AK492" s="97" t="str">
        <f>IFERROR(__xludf.DUMMYFUNCTION("""COMPUTED_VALUE"""),"Policarbonato (PC)")</f>
        <v>Policarbonato (PC)</v>
      </c>
      <c r="AL492" s="97" t="str">
        <f>IFERROR(__xludf.DUMMYFUNCTION("""COMPUTED_VALUE"""),"Blanco Mate")</f>
        <v>Blanco Mate</v>
      </c>
      <c r="AM492" s="97" t="str">
        <f>IFERROR(__xludf.DUMMYFUNCTION("""COMPUTED_VALUE"""),"-")</f>
        <v>-</v>
      </c>
      <c r="AN492" s="97" t="str">
        <f>IFERROR(__xludf.DUMMYFUNCTION("""COMPUTED_VALUE"""),"N/A")</f>
        <v>N/A</v>
      </c>
      <c r="AO492" s="97" t="str">
        <f>IFERROR(__xludf.DUMMYFUNCTION("""COMPUTED_VALUE"""),"8 Años")</f>
        <v>8 Años</v>
      </c>
      <c r="AP492" s="97" t="str">
        <f>IFERROR(__xludf.DUMMYFUNCTION("""COMPUTED_VALUE"""),"No Aplica")</f>
        <v>No Aplica</v>
      </c>
      <c r="AQ492" s="97" t="str">
        <f>IFERROR(__xludf.DUMMYFUNCTION("""COMPUTED_VALUE"""),"No Aplica")</f>
        <v>No Aplica</v>
      </c>
      <c r="AR492" s="97" t="str">
        <f>IFERROR(__xludf.DUMMYFUNCTION("""COMPUTED_VALUE"""),"No Aplica")</f>
        <v>No Aplica</v>
      </c>
      <c r="AS492" s="97"/>
      <c r="AT492" s="97"/>
      <c r="AU492" s="97"/>
      <c r="AV492" s="97" t="str">
        <f>IFERROR(__xludf.DUMMYFUNCTION("""COMPUTED_VALUE"""),"Empotrable")</f>
        <v>Empotrable</v>
      </c>
      <c r="AW492" s="97" t="str">
        <f>IFERROR(__xludf.DUMMYFUNCTION("""COMPUTED_VALUE"""),"De Techo")</f>
        <v>De Techo</v>
      </c>
      <c r="AX492" s="97" t="str">
        <f>IFERROR(__xludf.DUMMYFUNCTION("""COMPUTED_VALUE"""),"Interior")</f>
        <v>Interior</v>
      </c>
      <c r="AY492" s="97"/>
      <c r="AZ492" s="97" t="str">
        <f>IFERROR(__xludf.DUMMYFUNCTION("""COMPUTED_VALUE"""),"Spot con Movimiento.
**Garantía de 8 años de amarillamiento de PC.
***Retardador de incendios: clasificación BS2D0 con resistencia hasta 120°C.
****PC con protección contra rayos UV.")</f>
        <v>Spot con Movimiento.
**Garantía de 8 años de amarillamiento de PC.
***Retardador de incendios: clasificación BS2D0 con resistencia hasta 120°C.
****PC con protección contra rayos UV.</v>
      </c>
      <c r="BA492" s="97">
        <f>IFERROR(__xludf.DUMMYFUNCTION("""COMPUTED_VALUE"""),50.0)</f>
        <v>50</v>
      </c>
      <c r="BB492" s="97"/>
      <c r="BC492" s="97"/>
      <c r="BD492" s="97" t="str">
        <f>IFERROR(__xludf.DUMMYFUNCTION("""COMPUTED_VALUE"""),"AXE")</f>
        <v>AXE</v>
      </c>
      <c r="BE492" s="97" t="str">
        <f>IFERROR(__xludf.DUMMYFUNCTION("""COMPUTED_VALUE"""),"Finalizada")</f>
        <v>Finalizada</v>
      </c>
      <c r="BF492" s="97"/>
      <c r="BG492" s="97" t="str">
        <f>IFERROR(__xludf.DUMMYFUNCTION("""COMPUTED_VALUE"""),"Discontinuo")</f>
        <v>Discontinuo</v>
      </c>
    </row>
    <row r="493">
      <c r="A493" s="97">
        <f>IFERROR(__xludf.DUMMYFUNCTION("""COMPUTED_VALUE"""),6098.0)</f>
        <v>6098</v>
      </c>
      <c r="B493" s="97" t="str">
        <f>IFERROR(__xludf.DUMMYFUNCTION("""COMPUTED_VALUE"""),"AXE I NG")</f>
        <v>AXE I NG</v>
      </c>
      <c r="C493" s="97" t="str">
        <f>IFERROR(__xludf.DUMMYFUNCTION("""COMPUTED_VALUE"""),"APLIQUE AXE1 NEGRO")</f>
        <v>APLIQUE AXE1 NEGRO</v>
      </c>
      <c r="D493" s="97">
        <f>IFERROR(__xludf.DUMMYFUNCTION("""COMPUTED_VALUE"""),7.798328756763E12)</f>
        <v>7798328756763</v>
      </c>
      <c r="E493" s="97"/>
      <c r="F493" s="97" t="str">
        <f>IFERROR(__xludf.DUMMYFUNCTION("""COMPUTED_VALUE"""),"1 x GU10")</f>
        <v>1 x GU10</v>
      </c>
      <c r="G493" s="97" t="str">
        <f>IFERROR(__xludf.DUMMYFUNCTION("""COMPUTED_VALUE"""),"N/A")</f>
        <v>N/A</v>
      </c>
      <c r="H493" s="97" t="str">
        <f>IFERROR(__xludf.DUMMYFUNCTION("""COMPUTED_VALUE"""),"N/A")</f>
        <v>N/A</v>
      </c>
      <c r="I493" s="97" t="str">
        <f>IFERROR(__xludf.DUMMYFUNCTION("""COMPUTED_VALUE"""),"N/A")</f>
        <v>N/A</v>
      </c>
      <c r="J493" s="97"/>
      <c r="K493" s="97" t="str">
        <f>IFERROR(__xludf.DUMMYFUNCTION("""COMPUTED_VALUE"""),"N/A")</f>
        <v>N/A</v>
      </c>
      <c r="L493" s="97">
        <f>IFERROR(__xludf.DUMMYFUNCTION("""COMPUTED_VALUE"""),220.0)</f>
        <v>220</v>
      </c>
      <c r="M493" s="97">
        <f>IFERROR(__xludf.DUMMYFUNCTION("""COMPUTED_VALUE"""),50.0)</f>
        <v>50</v>
      </c>
      <c r="N493" s="97"/>
      <c r="O493" s="97" t="str">
        <f>IFERROR(__xludf.DUMMYFUNCTION("""COMPUTED_VALUE"""),"1 x 50W Max")</f>
        <v>1 x 50W Max</v>
      </c>
      <c r="P493" s="97"/>
      <c r="Q493" s="97" t="str">
        <f>IFERROR(__xludf.DUMMYFUNCTION("""COMPUTED_VALUE"""),"-")</f>
        <v>-</v>
      </c>
      <c r="R493" s="97" t="str">
        <f>IFERROR(__xludf.DUMMYFUNCTION("""COMPUTED_VALUE"""),"-")</f>
        <v>-</v>
      </c>
      <c r="S493" s="97" t="str">
        <f>IFERROR(__xludf.DUMMYFUNCTION("""COMPUTED_VALUE"""),"-")</f>
        <v>-</v>
      </c>
      <c r="T493" s="97" t="str">
        <f>IFERROR(__xludf.DUMMYFUNCTION("""COMPUTED_VALUE"""),"-")</f>
        <v>-</v>
      </c>
      <c r="U493" s="97" t="str">
        <f>IFERROR(__xludf.DUMMYFUNCTION("""COMPUTED_VALUE"""),"-")</f>
        <v>-</v>
      </c>
      <c r="V493" s="97" t="str">
        <f>IFERROR(__xludf.DUMMYFUNCTION("""COMPUTED_VALUE"""),"N/A")</f>
        <v>N/A</v>
      </c>
      <c r="W493" s="97" t="str">
        <f>IFERROR(__xludf.DUMMYFUNCTION("""COMPUTED_VALUE"""),"N/A")</f>
        <v>N/A</v>
      </c>
      <c r="X493" s="97" t="str">
        <f>IFERROR(__xludf.DUMMYFUNCTION("""COMPUTED_VALUE"""),"-")</f>
        <v>-</v>
      </c>
      <c r="Y493" s="97" t="str">
        <f>IFERROR(__xludf.DUMMYFUNCTION("""COMPUTED_VALUE"""),"N/A")</f>
        <v>N/A</v>
      </c>
      <c r="Z493" s="97" t="str">
        <f>IFERROR(__xludf.DUMMYFUNCTION("""COMPUTED_VALUE"""),"N/A")</f>
        <v>N/A</v>
      </c>
      <c r="AA493" s="97" t="str">
        <f>IFERROR(__xludf.DUMMYFUNCTION("""COMPUTED_VALUE"""),"N/A")</f>
        <v>N/A</v>
      </c>
      <c r="AB493" s="97" t="str">
        <f>IFERROR(__xludf.DUMMYFUNCTION("""COMPUTED_VALUE"""),"N/A")</f>
        <v>N/A</v>
      </c>
      <c r="AC493" s="97" t="str">
        <f>IFERROR(__xludf.DUMMYFUNCTION("""COMPUTED_VALUE"""),"N/A")</f>
        <v>N/A</v>
      </c>
      <c r="AD493" s="97" t="str">
        <f>IFERROR(__xludf.DUMMYFUNCTION("""COMPUTED_VALUE"""),"IP20")</f>
        <v>IP20</v>
      </c>
      <c r="AE493" s="97" t="str">
        <f>IFERROR(__xludf.DUMMYFUNCTION("""COMPUTED_VALUE"""),"N/A")</f>
        <v>N/A</v>
      </c>
      <c r="AF493" s="97" t="str">
        <f>IFERROR(__xludf.DUMMYFUNCTION("""COMPUTED_VALUE"""),"Aplicar")</f>
        <v>Aplicar</v>
      </c>
      <c r="AG493" s="97" t="str">
        <f>IFERROR(__xludf.DUMMYFUNCTION("""COMPUTED_VALUE"""),"93 x 93 x 100")</f>
        <v>93 x 93 x 100</v>
      </c>
      <c r="AH493" s="97" t="str">
        <f>IFERROR(__xludf.DUMMYFUNCTION("""COMPUTED_VALUE"""),"N/A")</f>
        <v>N/A</v>
      </c>
      <c r="AI493" s="97" t="str">
        <f>IFERROR(__xludf.DUMMYFUNCTION("""COMPUTED_VALUE"""),"N/A")</f>
        <v>N/A</v>
      </c>
      <c r="AJ493" s="97" t="str">
        <f>IFERROR(__xludf.DUMMYFUNCTION("""COMPUTED_VALUE"""),"N/A")</f>
        <v>N/A</v>
      </c>
      <c r="AK493" s="97" t="str">
        <f>IFERROR(__xludf.DUMMYFUNCTION("""COMPUTED_VALUE"""),"Policarbonato (PC)")</f>
        <v>Policarbonato (PC)</v>
      </c>
      <c r="AL493" s="97" t="str">
        <f>IFERROR(__xludf.DUMMYFUNCTION("""COMPUTED_VALUE"""),"Negro Mate")</f>
        <v>Negro Mate</v>
      </c>
      <c r="AM493" s="97" t="str">
        <f>IFERROR(__xludf.DUMMYFUNCTION("""COMPUTED_VALUE"""),"-")</f>
        <v>-</v>
      </c>
      <c r="AN493" s="97" t="str">
        <f>IFERROR(__xludf.DUMMYFUNCTION("""COMPUTED_VALUE"""),"N/A")</f>
        <v>N/A</v>
      </c>
      <c r="AO493" s="97" t="str">
        <f>IFERROR(__xludf.DUMMYFUNCTION("""COMPUTED_VALUE"""),"8 Años")</f>
        <v>8 Años</v>
      </c>
      <c r="AP493" s="97" t="str">
        <f>IFERROR(__xludf.DUMMYFUNCTION("""COMPUTED_VALUE"""),"No Aplica")</f>
        <v>No Aplica</v>
      </c>
      <c r="AQ493" s="97" t="str">
        <f>IFERROR(__xludf.DUMMYFUNCTION("""COMPUTED_VALUE"""),"No Aplica")</f>
        <v>No Aplica</v>
      </c>
      <c r="AR493" s="97" t="str">
        <f>IFERROR(__xludf.DUMMYFUNCTION("""COMPUTED_VALUE"""),"No Aplica")</f>
        <v>No Aplica</v>
      </c>
      <c r="AS493" s="97"/>
      <c r="AT493" s="97"/>
      <c r="AU493" s="97"/>
      <c r="AV493" s="97" t="str">
        <f>IFERROR(__xludf.DUMMYFUNCTION("""COMPUTED_VALUE"""),"Empotrable")</f>
        <v>Empotrable</v>
      </c>
      <c r="AW493" s="97" t="str">
        <f>IFERROR(__xludf.DUMMYFUNCTION("""COMPUTED_VALUE"""),"De Techo")</f>
        <v>De Techo</v>
      </c>
      <c r="AX493" s="97" t="str">
        <f>IFERROR(__xludf.DUMMYFUNCTION("""COMPUTED_VALUE"""),"Interior")</f>
        <v>Interior</v>
      </c>
      <c r="AY493" s="97"/>
      <c r="AZ493" s="97" t="str">
        <f>IFERROR(__xludf.DUMMYFUNCTION("""COMPUTED_VALUE"""),"Spot con Movimiento.
**Garantía de 8 años de amarillamiento de PC.
***Retardador de incendios: clasificación BS2D0 con resistencia hasta 120°C.
****PC con protección contra rayos UV.")</f>
        <v>Spot con Movimiento.
**Garantía de 8 años de amarillamiento de PC.
***Retardador de incendios: clasificación BS2D0 con resistencia hasta 120°C.
****PC con protección contra rayos UV.</v>
      </c>
      <c r="BA493" s="97">
        <f>IFERROR(__xludf.DUMMYFUNCTION("""COMPUTED_VALUE"""),50.0)</f>
        <v>50</v>
      </c>
      <c r="BB493" s="97"/>
      <c r="BC493" s="97"/>
      <c r="BD493" s="97" t="str">
        <f>IFERROR(__xludf.DUMMYFUNCTION("""COMPUTED_VALUE"""),"AXE")</f>
        <v>AXE</v>
      </c>
      <c r="BE493" s="97" t="str">
        <f>IFERROR(__xludf.DUMMYFUNCTION("""COMPUTED_VALUE"""),"Finalizada")</f>
        <v>Finalizada</v>
      </c>
      <c r="BF493" s="97"/>
      <c r="BG493" s="97" t="str">
        <f>IFERROR(__xludf.DUMMYFUNCTION("""COMPUTED_VALUE"""),"Discontinuo")</f>
        <v>Discontinuo</v>
      </c>
    </row>
    <row r="494">
      <c r="A494" s="97">
        <f>IFERROR(__xludf.DUMMYFUNCTION("""COMPUTED_VALUE"""),6099.0)</f>
        <v>6099</v>
      </c>
      <c r="B494" s="97" t="str">
        <f>IFERROR(__xludf.DUMMYFUNCTION("""COMPUTED_VALUE"""),"BERSH I BL")</f>
        <v>BERSH I BL</v>
      </c>
      <c r="C494" s="97" t="str">
        <f>IFERROR(__xludf.DUMMYFUNCTION("""COMPUTED_VALUE"""),"EMPOTRABLE BERSH I BL 1XGU10 DICRO IP20 LEUK")</f>
        <v>EMPOTRABLE BERSH I BL 1XGU10 DICRO IP20 LEUK</v>
      </c>
      <c r="D494" s="97">
        <f>IFERROR(__xludf.DUMMYFUNCTION("""COMPUTED_VALUE"""),7.798328757098E12)</f>
        <v>7798328757098</v>
      </c>
      <c r="E494" s="97" t="str">
        <f>IFERROR(__xludf.DUMMYFUNCTION("""COMPUTED_VALUE"""),"-")</f>
        <v>-</v>
      </c>
      <c r="F494" s="97" t="str">
        <f>IFERROR(__xludf.DUMMYFUNCTION("""COMPUTED_VALUE"""),"1xGU10 Dicro")</f>
        <v>1xGU10 Dicro</v>
      </c>
      <c r="G494" s="97" t="str">
        <f>IFERROR(__xludf.DUMMYFUNCTION("""COMPUTED_VALUE"""),"N/A")</f>
        <v>N/A</v>
      </c>
      <c r="H494" s="97" t="str">
        <f>IFERROR(__xludf.DUMMYFUNCTION("""COMPUTED_VALUE"""),"N/A")</f>
        <v>N/A</v>
      </c>
      <c r="I494" s="97" t="str">
        <f>IFERROR(__xludf.DUMMYFUNCTION("""COMPUTED_VALUE"""),"N/A")</f>
        <v>N/A</v>
      </c>
      <c r="J494" s="97" t="str">
        <f>IFERROR(__xludf.DUMMYFUNCTION("""COMPUTED_VALUE"""),"N/A")</f>
        <v>N/A</v>
      </c>
      <c r="K494" s="97" t="str">
        <f>IFERROR(__xludf.DUMMYFUNCTION("""COMPUTED_VALUE"""),"N/A")</f>
        <v>N/A</v>
      </c>
      <c r="L494" s="97">
        <f>IFERROR(__xludf.DUMMYFUNCTION("""COMPUTED_VALUE"""),220.0)</f>
        <v>220</v>
      </c>
      <c r="M494" s="97">
        <f>IFERROR(__xludf.DUMMYFUNCTION("""COMPUTED_VALUE"""),50.0)</f>
        <v>50</v>
      </c>
      <c r="N494" s="97"/>
      <c r="O494" s="97" t="str">
        <f>IFERROR(__xludf.DUMMYFUNCTION("""COMPUTED_VALUE"""),"1 x 50W Max")</f>
        <v>1 x 50W Max</v>
      </c>
      <c r="P494" s="97"/>
      <c r="Q494" s="97" t="str">
        <f>IFERROR(__xludf.DUMMYFUNCTION("""COMPUTED_VALUE"""),"-")</f>
        <v>-</v>
      </c>
      <c r="R494" s="97" t="str">
        <f>IFERROR(__xludf.DUMMYFUNCTION("""COMPUTED_VALUE"""),"-")</f>
        <v>-</v>
      </c>
      <c r="S494" s="97" t="str">
        <f>IFERROR(__xludf.DUMMYFUNCTION("""COMPUTED_VALUE"""),"-")</f>
        <v>-</v>
      </c>
      <c r="T494" s="97" t="str">
        <f>IFERROR(__xludf.DUMMYFUNCTION("""COMPUTED_VALUE"""),"-")</f>
        <v>-</v>
      </c>
      <c r="U494" s="97" t="str">
        <f>IFERROR(__xludf.DUMMYFUNCTION("""COMPUTED_VALUE"""),"-")</f>
        <v>-</v>
      </c>
      <c r="V494" s="97" t="str">
        <f>IFERROR(__xludf.DUMMYFUNCTION("""COMPUTED_VALUE"""),"N/A")</f>
        <v>N/A</v>
      </c>
      <c r="W494" s="97" t="str">
        <f>IFERROR(__xludf.DUMMYFUNCTION("""COMPUTED_VALUE"""),"N/A")</f>
        <v>N/A</v>
      </c>
      <c r="X494" s="97" t="str">
        <f>IFERROR(__xludf.DUMMYFUNCTION("""COMPUTED_VALUE"""),"-")</f>
        <v>-</v>
      </c>
      <c r="Y494" s="97" t="str">
        <f>IFERROR(__xludf.DUMMYFUNCTION("""COMPUTED_VALUE"""),"N/A")</f>
        <v>N/A</v>
      </c>
      <c r="Z494" s="97" t="str">
        <f>IFERROR(__xludf.DUMMYFUNCTION("""COMPUTED_VALUE"""),"N/A")</f>
        <v>N/A</v>
      </c>
      <c r="AA494" s="97" t="str">
        <f>IFERROR(__xludf.DUMMYFUNCTION("""COMPUTED_VALUE"""),"N/A")</f>
        <v>N/A</v>
      </c>
      <c r="AB494" s="97" t="str">
        <f>IFERROR(__xludf.DUMMYFUNCTION("""COMPUTED_VALUE"""),"N/A")</f>
        <v>N/A</v>
      </c>
      <c r="AC494" s="97" t="str">
        <f>IFERROR(__xludf.DUMMYFUNCTION("""COMPUTED_VALUE"""),"N/A")</f>
        <v>N/A</v>
      </c>
      <c r="AD494" s="97" t="str">
        <f>IFERROR(__xludf.DUMMYFUNCTION("""COMPUTED_VALUE"""),"IP20")</f>
        <v>IP20</v>
      </c>
      <c r="AE494" s="97" t="str">
        <f>IFERROR(__xludf.DUMMYFUNCTION("""COMPUTED_VALUE"""),"N/A")</f>
        <v>N/A</v>
      </c>
      <c r="AF494" s="97" t="str">
        <f>IFERROR(__xludf.DUMMYFUNCTION("""COMPUTED_VALUE"""),"Embutir")</f>
        <v>Embutir</v>
      </c>
      <c r="AG494" s="97" t="str">
        <f>IFERROR(__xludf.DUMMYFUNCTION("""COMPUTED_VALUE"""),"93 x 93 x 55")</f>
        <v>93 x 93 x 55</v>
      </c>
      <c r="AH494" s="97" t="str">
        <f>IFERROR(__xludf.DUMMYFUNCTION("""COMPUTED_VALUE"""),"86 x 86")</f>
        <v>86 x 86</v>
      </c>
      <c r="AI494" s="97" t="str">
        <f>IFERROR(__xludf.DUMMYFUNCTION("""COMPUTED_VALUE"""),"100 *")</f>
        <v>100 *</v>
      </c>
      <c r="AJ494" s="97" t="str">
        <f>IFERROR(__xludf.DUMMYFUNCTION("""COMPUTED_VALUE"""),"N/A")</f>
        <v>N/A</v>
      </c>
      <c r="AK494" s="97" t="str">
        <f>IFERROR(__xludf.DUMMYFUNCTION("""COMPUTED_VALUE"""),"Policarbonato (PC)")</f>
        <v>Policarbonato (PC)</v>
      </c>
      <c r="AL494" s="97" t="str">
        <f>IFERROR(__xludf.DUMMYFUNCTION("""COMPUTED_VALUE"""),"Blanco Mate")</f>
        <v>Blanco Mate</v>
      </c>
      <c r="AM494" s="97" t="str">
        <f>IFERROR(__xludf.DUMMYFUNCTION("""COMPUTED_VALUE"""),"-")</f>
        <v>-</v>
      </c>
      <c r="AN494" s="97" t="str">
        <f>IFERROR(__xludf.DUMMYFUNCTION("""COMPUTED_VALUE"""),"N/A")</f>
        <v>N/A</v>
      </c>
      <c r="AO494" s="97" t="str">
        <f>IFERROR(__xludf.DUMMYFUNCTION("""COMPUTED_VALUE"""),"8 Años")</f>
        <v>8 Años</v>
      </c>
      <c r="AP494" s="97" t="str">
        <f>IFERROR(__xludf.DUMMYFUNCTION("""COMPUTED_VALUE"""),"No Aplica")</f>
        <v>No Aplica</v>
      </c>
      <c r="AQ494" s="97" t="str">
        <f>IFERROR(__xludf.DUMMYFUNCTION("""COMPUTED_VALUE"""),"No Aplica")</f>
        <v>No Aplica</v>
      </c>
      <c r="AR494" s="97" t="str">
        <f>IFERROR(__xludf.DUMMYFUNCTION("""COMPUTED_VALUE"""),"No Aplica")</f>
        <v>No Aplica</v>
      </c>
      <c r="AS494" s="97"/>
      <c r="AT494" s="97"/>
      <c r="AU494" s="97" t="str">
        <f>IFERROR(__xludf.DUMMYFUNCTION("""COMPUTED_VALUE"""),"Falta")</f>
        <v>Falta</v>
      </c>
      <c r="AV494" s="97" t="str">
        <f>IFERROR(__xludf.DUMMYFUNCTION("""COMPUTED_VALUE"""),"Empotrable")</f>
        <v>Empotrable</v>
      </c>
      <c r="AW494" s="97" t="str">
        <f>IFERROR(__xludf.DUMMYFUNCTION("""COMPUTED_VALUE"""),"De Techo")</f>
        <v>De Techo</v>
      </c>
      <c r="AX494" s="97" t="str">
        <f>IFERROR(__xludf.DUMMYFUNCTION("""COMPUTED_VALUE"""),"Interior")</f>
        <v>Interior</v>
      </c>
      <c r="AY494" s="97" t="str">
        <f>IFERROR(__xludf.DUMMYFUNCTION("""COMPUTED_VALUE"""),"-")</f>
        <v>-</v>
      </c>
      <c r="AZ494"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494" s="97">
        <f>IFERROR(__xludf.DUMMYFUNCTION("""COMPUTED_VALUE"""),100.0)</f>
        <v>100</v>
      </c>
      <c r="BB494" s="97" t="str">
        <f>IFERROR(__xludf.DUMMYFUNCTION("""COMPUTED_VALUE"""),"-")</f>
        <v>-</v>
      </c>
      <c r="BC494" s="97" t="str">
        <f>IFERROR(__xludf.DUMMYFUNCTION("""COMPUTED_VALUE"""),"-")</f>
        <v>-</v>
      </c>
      <c r="BD494" s="97" t="str">
        <f>IFERROR(__xludf.DUMMYFUNCTION("""COMPUTED_VALUE"""),"BERSH")</f>
        <v>BERSH</v>
      </c>
      <c r="BE494" s="97" t="str">
        <f>IFERROR(__xludf.DUMMYFUNCTION("""COMPUTED_VALUE"""),"Finalizada")</f>
        <v>Finalizada</v>
      </c>
      <c r="BF494" s="97"/>
      <c r="BG494" s="97" t="str">
        <f>IFERROR(__xludf.DUMMYFUNCTION("""COMPUTED_VALUE"""),"Discontinuo")</f>
        <v>Discontinuo</v>
      </c>
    </row>
    <row r="495">
      <c r="A495" s="97">
        <f>IFERROR(__xludf.DUMMYFUNCTION("""COMPUTED_VALUE"""),6100.0)</f>
        <v>6100</v>
      </c>
      <c r="B495" s="97" t="str">
        <f>IFERROR(__xludf.DUMMYFUNCTION("""COMPUTED_VALUE"""),"BERSH I BLN")</f>
        <v>BERSH I BLN</v>
      </c>
      <c r="C495" s="97" t="str">
        <f>IFERROR(__xludf.DUMMYFUNCTION("""COMPUTED_VALUE"""),"EMPOTRABLE BERSH I BLN 1XGU10 DICRO IP20 LEUK")</f>
        <v>EMPOTRABLE BERSH I BLN 1XGU10 DICRO IP20 LEUK</v>
      </c>
      <c r="D495" s="97">
        <f>IFERROR(__xludf.DUMMYFUNCTION("""COMPUTED_VALUE"""),7.798328757104E12)</f>
        <v>7798328757104</v>
      </c>
      <c r="E495" s="97" t="str">
        <f>IFERROR(__xludf.DUMMYFUNCTION("""COMPUTED_VALUE"""),"-")</f>
        <v>-</v>
      </c>
      <c r="F495" s="97" t="str">
        <f>IFERROR(__xludf.DUMMYFUNCTION("""COMPUTED_VALUE"""),"1xGU10 Dicro")</f>
        <v>1xGU10 Dicro</v>
      </c>
      <c r="G495" s="97" t="str">
        <f>IFERROR(__xludf.DUMMYFUNCTION("""COMPUTED_VALUE"""),"N/A")</f>
        <v>N/A</v>
      </c>
      <c r="H495" s="97" t="str">
        <f>IFERROR(__xludf.DUMMYFUNCTION("""COMPUTED_VALUE"""),"N/A")</f>
        <v>N/A</v>
      </c>
      <c r="I495" s="97" t="str">
        <f>IFERROR(__xludf.DUMMYFUNCTION("""COMPUTED_VALUE"""),"N/A")</f>
        <v>N/A</v>
      </c>
      <c r="J495" s="97" t="str">
        <f>IFERROR(__xludf.DUMMYFUNCTION("""COMPUTED_VALUE"""),"N/A")</f>
        <v>N/A</v>
      </c>
      <c r="K495" s="97" t="str">
        <f>IFERROR(__xludf.DUMMYFUNCTION("""COMPUTED_VALUE"""),"N/A")</f>
        <v>N/A</v>
      </c>
      <c r="L495" s="97">
        <f>IFERROR(__xludf.DUMMYFUNCTION("""COMPUTED_VALUE"""),220.0)</f>
        <v>220</v>
      </c>
      <c r="M495" s="97">
        <f>IFERROR(__xludf.DUMMYFUNCTION("""COMPUTED_VALUE"""),50.0)</f>
        <v>50</v>
      </c>
      <c r="N495" s="97"/>
      <c r="O495" s="97" t="str">
        <f>IFERROR(__xludf.DUMMYFUNCTION("""COMPUTED_VALUE"""),"1 x 50W Max")</f>
        <v>1 x 50W Max</v>
      </c>
      <c r="P495" s="97"/>
      <c r="Q495" s="97" t="str">
        <f>IFERROR(__xludf.DUMMYFUNCTION("""COMPUTED_VALUE"""),"-")</f>
        <v>-</v>
      </c>
      <c r="R495" s="97" t="str">
        <f>IFERROR(__xludf.DUMMYFUNCTION("""COMPUTED_VALUE"""),"-")</f>
        <v>-</v>
      </c>
      <c r="S495" s="97" t="str">
        <f>IFERROR(__xludf.DUMMYFUNCTION("""COMPUTED_VALUE"""),"-")</f>
        <v>-</v>
      </c>
      <c r="T495" s="97" t="str">
        <f>IFERROR(__xludf.DUMMYFUNCTION("""COMPUTED_VALUE"""),"-")</f>
        <v>-</v>
      </c>
      <c r="U495" s="97" t="str">
        <f>IFERROR(__xludf.DUMMYFUNCTION("""COMPUTED_VALUE"""),"-")</f>
        <v>-</v>
      </c>
      <c r="V495" s="97" t="str">
        <f>IFERROR(__xludf.DUMMYFUNCTION("""COMPUTED_VALUE"""),"N/A")</f>
        <v>N/A</v>
      </c>
      <c r="W495" s="97" t="str">
        <f>IFERROR(__xludf.DUMMYFUNCTION("""COMPUTED_VALUE"""),"N/A")</f>
        <v>N/A</v>
      </c>
      <c r="X495" s="97" t="str">
        <f>IFERROR(__xludf.DUMMYFUNCTION("""COMPUTED_VALUE"""),"-")</f>
        <v>-</v>
      </c>
      <c r="Y495" s="97" t="str">
        <f>IFERROR(__xludf.DUMMYFUNCTION("""COMPUTED_VALUE"""),"N/A")</f>
        <v>N/A</v>
      </c>
      <c r="Z495" s="97" t="str">
        <f>IFERROR(__xludf.DUMMYFUNCTION("""COMPUTED_VALUE"""),"N/A")</f>
        <v>N/A</v>
      </c>
      <c r="AA495" s="97" t="str">
        <f>IFERROR(__xludf.DUMMYFUNCTION("""COMPUTED_VALUE"""),"N/A")</f>
        <v>N/A</v>
      </c>
      <c r="AB495" s="97" t="str">
        <f>IFERROR(__xludf.DUMMYFUNCTION("""COMPUTED_VALUE"""),"N/A")</f>
        <v>N/A</v>
      </c>
      <c r="AC495" s="97" t="str">
        <f>IFERROR(__xludf.DUMMYFUNCTION("""COMPUTED_VALUE"""),"N/A")</f>
        <v>N/A</v>
      </c>
      <c r="AD495" s="97" t="str">
        <f>IFERROR(__xludf.DUMMYFUNCTION("""COMPUTED_VALUE"""),"IP20")</f>
        <v>IP20</v>
      </c>
      <c r="AE495" s="97" t="str">
        <f>IFERROR(__xludf.DUMMYFUNCTION("""COMPUTED_VALUE"""),"N/A")</f>
        <v>N/A</v>
      </c>
      <c r="AF495" s="97" t="str">
        <f>IFERROR(__xludf.DUMMYFUNCTION("""COMPUTED_VALUE"""),"Embutir")</f>
        <v>Embutir</v>
      </c>
      <c r="AG495" s="97" t="str">
        <f>IFERROR(__xludf.DUMMYFUNCTION("""COMPUTED_VALUE"""),"93 x 93 x 55")</f>
        <v>93 x 93 x 55</v>
      </c>
      <c r="AH495" s="97" t="str">
        <f>IFERROR(__xludf.DUMMYFUNCTION("""COMPUTED_VALUE"""),"86 x 86")</f>
        <v>86 x 86</v>
      </c>
      <c r="AI495" s="97" t="str">
        <f>IFERROR(__xludf.DUMMYFUNCTION("""COMPUTED_VALUE"""),"100 *")</f>
        <v>100 *</v>
      </c>
      <c r="AJ495" s="97" t="str">
        <f>IFERROR(__xludf.DUMMYFUNCTION("""COMPUTED_VALUE"""),"N/A")</f>
        <v>N/A</v>
      </c>
      <c r="AK495" s="97" t="str">
        <f>IFERROR(__xludf.DUMMYFUNCTION("""COMPUTED_VALUE"""),"Policarbonato (PC)")</f>
        <v>Policarbonato (PC)</v>
      </c>
      <c r="AL495" s="97" t="str">
        <f>IFERROR(__xludf.DUMMYFUNCTION("""COMPUTED_VALUE"""),"Blanco y Negro")</f>
        <v>Blanco y Negro</v>
      </c>
      <c r="AM495" s="97" t="str">
        <f>IFERROR(__xludf.DUMMYFUNCTION("""COMPUTED_VALUE"""),"-")</f>
        <v>-</v>
      </c>
      <c r="AN495" s="97" t="str">
        <f>IFERROR(__xludf.DUMMYFUNCTION("""COMPUTED_VALUE"""),"N/A")</f>
        <v>N/A</v>
      </c>
      <c r="AO495" s="97" t="str">
        <f>IFERROR(__xludf.DUMMYFUNCTION("""COMPUTED_VALUE"""),"8 Años")</f>
        <v>8 Años</v>
      </c>
      <c r="AP495" s="97" t="str">
        <f>IFERROR(__xludf.DUMMYFUNCTION("""COMPUTED_VALUE"""),"No Aplica")</f>
        <v>No Aplica</v>
      </c>
      <c r="AQ495" s="97" t="str">
        <f>IFERROR(__xludf.DUMMYFUNCTION("""COMPUTED_VALUE"""),"No Aplica")</f>
        <v>No Aplica</v>
      </c>
      <c r="AR495" s="97" t="str">
        <f>IFERROR(__xludf.DUMMYFUNCTION("""COMPUTED_VALUE"""),"No Aplica")</f>
        <v>No Aplica</v>
      </c>
      <c r="AS495" s="97"/>
      <c r="AT495" s="97"/>
      <c r="AU495" s="97" t="str">
        <f>IFERROR(__xludf.DUMMYFUNCTION("""COMPUTED_VALUE"""),"Falta")</f>
        <v>Falta</v>
      </c>
      <c r="AV495" s="97" t="str">
        <f>IFERROR(__xludf.DUMMYFUNCTION("""COMPUTED_VALUE"""),"Empotrable")</f>
        <v>Empotrable</v>
      </c>
      <c r="AW495" s="97" t="str">
        <f>IFERROR(__xludf.DUMMYFUNCTION("""COMPUTED_VALUE"""),"De Techo")</f>
        <v>De Techo</v>
      </c>
      <c r="AX495" s="97" t="str">
        <f>IFERROR(__xludf.DUMMYFUNCTION("""COMPUTED_VALUE"""),"Interior")</f>
        <v>Interior</v>
      </c>
      <c r="AY495" s="97" t="str">
        <f>IFERROR(__xludf.DUMMYFUNCTION("""COMPUTED_VALUE"""),"-")</f>
        <v>-</v>
      </c>
      <c r="AZ495"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495" s="97">
        <f>IFERROR(__xludf.DUMMYFUNCTION("""COMPUTED_VALUE"""),100.0)</f>
        <v>100</v>
      </c>
      <c r="BB495" s="97" t="str">
        <f>IFERROR(__xludf.DUMMYFUNCTION("""COMPUTED_VALUE"""),"-")</f>
        <v>-</v>
      </c>
      <c r="BC495" s="97" t="str">
        <f>IFERROR(__xludf.DUMMYFUNCTION("""COMPUTED_VALUE"""),"-")</f>
        <v>-</v>
      </c>
      <c r="BD495" s="97" t="str">
        <f>IFERROR(__xludf.DUMMYFUNCTION("""COMPUTED_VALUE"""),"BERSH")</f>
        <v>BERSH</v>
      </c>
      <c r="BE495" s="97" t="str">
        <f>IFERROR(__xludf.DUMMYFUNCTION("""COMPUTED_VALUE"""),"Finalizada")</f>
        <v>Finalizada</v>
      </c>
      <c r="BF495" s="97"/>
      <c r="BG495" s="97" t="str">
        <f>IFERROR(__xludf.DUMMYFUNCTION("""COMPUTED_VALUE"""),"Discontinuo")</f>
        <v>Discontinuo</v>
      </c>
    </row>
    <row r="496">
      <c r="A496" s="97">
        <f>IFERROR(__xludf.DUMMYFUNCTION("""COMPUTED_VALUE"""),6101.0)</f>
        <v>6101</v>
      </c>
      <c r="B496" s="97" t="str">
        <f>IFERROR(__xludf.DUMMYFUNCTION("""COMPUTED_VALUE"""),"BERSH I NG")</f>
        <v>BERSH I NG</v>
      </c>
      <c r="C496" s="97" t="str">
        <f>IFERROR(__xludf.DUMMYFUNCTION("""COMPUTED_VALUE"""),"EMPOTRABLE BERSH I NG 1XGU10 DICRO IP20 LEUK")</f>
        <v>EMPOTRABLE BERSH I NG 1XGU10 DICRO IP20 LEUK</v>
      </c>
      <c r="D496" s="97">
        <f>IFERROR(__xludf.DUMMYFUNCTION("""COMPUTED_VALUE"""),7.798328757111E12)</f>
        <v>7798328757111</v>
      </c>
      <c r="E496" s="97" t="str">
        <f>IFERROR(__xludf.DUMMYFUNCTION("""COMPUTED_VALUE"""),"-")</f>
        <v>-</v>
      </c>
      <c r="F496" s="97" t="str">
        <f>IFERROR(__xludf.DUMMYFUNCTION("""COMPUTED_VALUE"""),"1xGU10 Dicro")</f>
        <v>1xGU10 Dicro</v>
      </c>
      <c r="G496" s="97" t="str">
        <f>IFERROR(__xludf.DUMMYFUNCTION("""COMPUTED_VALUE"""),"N/A")</f>
        <v>N/A</v>
      </c>
      <c r="H496" s="97" t="str">
        <f>IFERROR(__xludf.DUMMYFUNCTION("""COMPUTED_VALUE"""),"N/A")</f>
        <v>N/A</v>
      </c>
      <c r="I496" s="97" t="str">
        <f>IFERROR(__xludf.DUMMYFUNCTION("""COMPUTED_VALUE"""),"N/A")</f>
        <v>N/A</v>
      </c>
      <c r="J496" s="97" t="str">
        <f>IFERROR(__xludf.DUMMYFUNCTION("""COMPUTED_VALUE"""),"N/A")</f>
        <v>N/A</v>
      </c>
      <c r="K496" s="97" t="str">
        <f>IFERROR(__xludf.DUMMYFUNCTION("""COMPUTED_VALUE"""),"N/A")</f>
        <v>N/A</v>
      </c>
      <c r="L496" s="97">
        <f>IFERROR(__xludf.DUMMYFUNCTION("""COMPUTED_VALUE"""),220.0)</f>
        <v>220</v>
      </c>
      <c r="M496" s="97">
        <f>IFERROR(__xludf.DUMMYFUNCTION("""COMPUTED_VALUE"""),50.0)</f>
        <v>50</v>
      </c>
      <c r="N496" s="97"/>
      <c r="O496" s="97" t="str">
        <f>IFERROR(__xludf.DUMMYFUNCTION("""COMPUTED_VALUE"""),"1 x 50W Max")</f>
        <v>1 x 50W Max</v>
      </c>
      <c r="P496" s="97"/>
      <c r="Q496" s="97" t="str">
        <f>IFERROR(__xludf.DUMMYFUNCTION("""COMPUTED_VALUE"""),"-")</f>
        <v>-</v>
      </c>
      <c r="R496" s="97" t="str">
        <f>IFERROR(__xludf.DUMMYFUNCTION("""COMPUTED_VALUE"""),"-")</f>
        <v>-</v>
      </c>
      <c r="S496" s="97" t="str">
        <f>IFERROR(__xludf.DUMMYFUNCTION("""COMPUTED_VALUE"""),"-")</f>
        <v>-</v>
      </c>
      <c r="T496" s="97" t="str">
        <f>IFERROR(__xludf.DUMMYFUNCTION("""COMPUTED_VALUE"""),"-")</f>
        <v>-</v>
      </c>
      <c r="U496" s="97" t="str">
        <f>IFERROR(__xludf.DUMMYFUNCTION("""COMPUTED_VALUE"""),"-")</f>
        <v>-</v>
      </c>
      <c r="V496" s="97" t="str">
        <f>IFERROR(__xludf.DUMMYFUNCTION("""COMPUTED_VALUE"""),"N/A")</f>
        <v>N/A</v>
      </c>
      <c r="W496" s="97" t="str">
        <f>IFERROR(__xludf.DUMMYFUNCTION("""COMPUTED_VALUE"""),"N/A")</f>
        <v>N/A</v>
      </c>
      <c r="X496" s="97" t="str">
        <f>IFERROR(__xludf.DUMMYFUNCTION("""COMPUTED_VALUE"""),"-")</f>
        <v>-</v>
      </c>
      <c r="Y496" s="97" t="str">
        <f>IFERROR(__xludf.DUMMYFUNCTION("""COMPUTED_VALUE"""),"N/A")</f>
        <v>N/A</v>
      </c>
      <c r="Z496" s="97" t="str">
        <f>IFERROR(__xludf.DUMMYFUNCTION("""COMPUTED_VALUE"""),"N/A")</f>
        <v>N/A</v>
      </c>
      <c r="AA496" s="97" t="str">
        <f>IFERROR(__xludf.DUMMYFUNCTION("""COMPUTED_VALUE"""),"N/A")</f>
        <v>N/A</v>
      </c>
      <c r="AB496" s="97" t="str">
        <f>IFERROR(__xludf.DUMMYFUNCTION("""COMPUTED_VALUE"""),"N/A")</f>
        <v>N/A</v>
      </c>
      <c r="AC496" s="97" t="str">
        <f>IFERROR(__xludf.DUMMYFUNCTION("""COMPUTED_VALUE"""),"N/A")</f>
        <v>N/A</v>
      </c>
      <c r="AD496" s="97" t="str">
        <f>IFERROR(__xludf.DUMMYFUNCTION("""COMPUTED_VALUE"""),"IP20")</f>
        <v>IP20</v>
      </c>
      <c r="AE496" s="97" t="str">
        <f>IFERROR(__xludf.DUMMYFUNCTION("""COMPUTED_VALUE"""),"N/A")</f>
        <v>N/A</v>
      </c>
      <c r="AF496" s="97" t="str">
        <f>IFERROR(__xludf.DUMMYFUNCTION("""COMPUTED_VALUE"""),"Embutir")</f>
        <v>Embutir</v>
      </c>
      <c r="AG496" s="97" t="str">
        <f>IFERROR(__xludf.DUMMYFUNCTION("""COMPUTED_VALUE"""),"93 x 93 x 55")</f>
        <v>93 x 93 x 55</v>
      </c>
      <c r="AH496" s="97" t="str">
        <f>IFERROR(__xludf.DUMMYFUNCTION("""COMPUTED_VALUE"""),"86 x 86")</f>
        <v>86 x 86</v>
      </c>
      <c r="AI496" s="97" t="str">
        <f>IFERROR(__xludf.DUMMYFUNCTION("""COMPUTED_VALUE"""),"100 *")</f>
        <v>100 *</v>
      </c>
      <c r="AJ496" s="97" t="str">
        <f>IFERROR(__xludf.DUMMYFUNCTION("""COMPUTED_VALUE"""),"N/A")</f>
        <v>N/A</v>
      </c>
      <c r="AK496" s="97" t="str">
        <f>IFERROR(__xludf.DUMMYFUNCTION("""COMPUTED_VALUE"""),"Policarbonato (PC)")</f>
        <v>Policarbonato (PC)</v>
      </c>
      <c r="AL496" s="97" t="str">
        <f>IFERROR(__xludf.DUMMYFUNCTION("""COMPUTED_VALUE"""),"Negro Mate")</f>
        <v>Negro Mate</v>
      </c>
      <c r="AM496" s="97" t="str">
        <f>IFERROR(__xludf.DUMMYFUNCTION("""COMPUTED_VALUE"""),"-")</f>
        <v>-</v>
      </c>
      <c r="AN496" s="97" t="str">
        <f>IFERROR(__xludf.DUMMYFUNCTION("""COMPUTED_VALUE"""),"N/A")</f>
        <v>N/A</v>
      </c>
      <c r="AO496" s="97" t="str">
        <f>IFERROR(__xludf.DUMMYFUNCTION("""COMPUTED_VALUE"""),"8 Años")</f>
        <v>8 Años</v>
      </c>
      <c r="AP496" s="97" t="str">
        <f>IFERROR(__xludf.DUMMYFUNCTION("""COMPUTED_VALUE"""),"No Aplica")</f>
        <v>No Aplica</v>
      </c>
      <c r="AQ496" s="97" t="str">
        <f>IFERROR(__xludf.DUMMYFUNCTION("""COMPUTED_VALUE"""),"No Aplica")</f>
        <v>No Aplica</v>
      </c>
      <c r="AR496" s="97" t="str">
        <f>IFERROR(__xludf.DUMMYFUNCTION("""COMPUTED_VALUE"""),"No Aplica")</f>
        <v>No Aplica</v>
      </c>
      <c r="AS496" s="97"/>
      <c r="AT496" s="97"/>
      <c r="AU496" s="97" t="str">
        <f>IFERROR(__xludf.DUMMYFUNCTION("""COMPUTED_VALUE"""),"Falta")</f>
        <v>Falta</v>
      </c>
      <c r="AV496" s="97" t="str">
        <f>IFERROR(__xludf.DUMMYFUNCTION("""COMPUTED_VALUE"""),"Empotrable")</f>
        <v>Empotrable</v>
      </c>
      <c r="AW496" s="97" t="str">
        <f>IFERROR(__xludf.DUMMYFUNCTION("""COMPUTED_VALUE"""),"De Techo")</f>
        <v>De Techo</v>
      </c>
      <c r="AX496" s="97" t="str">
        <f>IFERROR(__xludf.DUMMYFUNCTION("""COMPUTED_VALUE"""),"Interior")</f>
        <v>Interior</v>
      </c>
      <c r="AY496" s="97" t="str">
        <f>IFERROR(__xludf.DUMMYFUNCTION("""COMPUTED_VALUE"""),"-")</f>
        <v>-</v>
      </c>
      <c r="AZ496"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496" s="97">
        <f>IFERROR(__xludf.DUMMYFUNCTION("""COMPUTED_VALUE"""),100.0)</f>
        <v>100</v>
      </c>
      <c r="BB496" s="97" t="str">
        <f>IFERROR(__xludf.DUMMYFUNCTION("""COMPUTED_VALUE"""),"-")</f>
        <v>-</v>
      </c>
      <c r="BC496" s="97" t="str">
        <f>IFERROR(__xludf.DUMMYFUNCTION("""COMPUTED_VALUE"""),"-")</f>
        <v>-</v>
      </c>
      <c r="BD496" s="97" t="str">
        <f>IFERROR(__xludf.DUMMYFUNCTION("""COMPUTED_VALUE"""),"BERSH")</f>
        <v>BERSH</v>
      </c>
      <c r="BE496" s="97" t="str">
        <f>IFERROR(__xludf.DUMMYFUNCTION("""COMPUTED_VALUE"""),"Finalizada")</f>
        <v>Finalizada</v>
      </c>
      <c r="BF496" s="97"/>
      <c r="BG496" s="97" t="str">
        <f>IFERROR(__xludf.DUMMYFUNCTION("""COMPUTED_VALUE"""),"Discontinuo")</f>
        <v>Discontinuo</v>
      </c>
    </row>
    <row r="497">
      <c r="A497" s="97">
        <f>IFERROR(__xludf.DUMMYFUNCTION("""COMPUTED_VALUE"""),6102.0)</f>
        <v>6102</v>
      </c>
      <c r="B497" s="97" t="str">
        <f>IFERROR(__xludf.DUMMYFUNCTION("""COMPUTED_VALUE"""),"CUFA I BL")</f>
        <v>CUFA I BL</v>
      </c>
      <c r="C497" s="97" t="str">
        <f>IFERROR(__xludf.DUMMYFUNCTION("""COMPUTED_VALUE"""),"EMPOTRABLE CUFA I BL 1XGU10 DICRO IP20 LEUK")</f>
        <v>EMPOTRABLE CUFA I BL 1XGU10 DICRO IP20 LEUK</v>
      </c>
      <c r="D497" s="97">
        <f>IFERROR(__xludf.DUMMYFUNCTION("""COMPUTED_VALUE"""),7.798328757074E12)</f>
        <v>7798328757074</v>
      </c>
      <c r="E497" s="97" t="str">
        <f>IFERROR(__xludf.DUMMYFUNCTION("""COMPUTED_VALUE"""),"-")</f>
        <v>-</v>
      </c>
      <c r="F497" s="97" t="str">
        <f>IFERROR(__xludf.DUMMYFUNCTION("""COMPUTED_VALUE"""),"1xGU10 Dicro")</f>
        <v>1xGU10 Dicro</v>
      </c>
      <c r="G497" s="97" t="str">
        <f>IFERROR(__xludf.DUMMYFUNCTION("""COMPUTED_VALUE"""),"N/A")</f>
        <v>N/A</v>
      </c>
      <c r="H497" s="97" t="str">
        <f>IFERROR(__xludf.DUMMYFUNCTION("""COMPUTED_VALUE"""),"N/A")</f>
        <v>N/A</v>
      </c>
      <c r="I497" s="97" t="str">
        <f>IFERROR(__xludf.DUMMYFUNCTION("""COMPUTED_VALUE"""),"N/A")</f>
        <v>N/A</v>
      </c>
      <c r="J497" s="97" t="str">
        <f>IFERROR(__xludf.DUMMYFUNCTION("""COMPUTED_VALUE"""),"N/A")</f>
        <v>N/A</v>
      </c>
      <c r="K497" s="97" t="str">
        <f>IFERROR(__xludf.DUMMYFUNCTION("""COMPUTED_VALUE"""),"N/A")</f>
        <v>N/A</v>
      </c>
      <c r="L497" s="97">
        <f>IFERROR(__xludf.DUMMYFUNCTION("""COMPUTED_VALUE"""),220.0)</f>
        <v>220</v>
      </c>
      <c r="M497" s="97">
        <f>IFERROR(__xludf.DUMMYFUNCTION("""COMPUTED_VALUE"""),50.0)</f>
        <v>50</v>
      </c>
      <c r="N497" s="97"/>
      <c r="O497" s="97" t="str">
        <f>IFERROR(__xludf.DUMMYFUNCTION("""COMPUTED_VALUE"""),"1 x 50W Max")</f>
        <v>1 x 50W Max</v>
      </c>
      <c r="P497" s="97"/>
      <c r="Q497" s="97" t="str">
        <f>IFERROR(__xludf.DUMMYFUNCTION("""COMPUTED_VALUE"""),"-")</f>
        <v>-</v>
      </c>
      <c r="R497" s="97" t="str">
        <f>IFERROR(__xludf.DUMMYFUNCTION("""COMPUTED_VALUE"""),"-")</f>
        <v>-</v>
      </c>
      <c r="S497" s="97" t="str">
        <f>IFERROR(__xludf.DUMMYFUNCTION("""COMPUTED_VALUE"""),"-")</f>
        <v>-</v>
      </c>
      <c r="T497" s="97" t="str">
        <f>IFERROR(__xludf.DUMMYFUNCTION("""COMPUTED_VALUE"""),"-")</f>
        <v>-</v>
      </c>
      <c r="U497" s="97" t="str">
        <f>IFERROR(__xludf.DUMMYFUNCTION("""COMPUTED_VALUE"""),"-")</f>
        <v>-</v>
      </c>
      <c r="V497" s="97" t="str">
        <f>IFERROR(__xludf.DUMMYFUNCTION("""COMPUTED_VALUE"""),"N/A")</f>
        <v>N/A</v>
      </c>
      <c r="W497" s="97" t="str">
        <f>IFERROR(__xludf.DUMMYFUNCTION("""COMPUTED_VALUE"""),"N/A")</f>
        <v>N/A</v>
      </c>
      <c r="X497" s="97" t="str">
        <f>IFERROR(__xludf.DUMMYFUNCTION("""COMPUTED_VALUE"""),"-")</f>
        <v>-</v>
      </c>
      <c r="Y497" s="97" t="str">
        <f>IFERROR(__xludf.DUMMYFUNCTION("""COMPUTED_VALUE"""),"N/A")</f>
        <v>N/A</v>
      </c>
      <c r="Z497" s="97" t="str">
        <f>IFERROR(__xludf.DUMMYFUNCTION("""COMPUTED_VALUE"""),"N/A")</f>
        <v>N/A</v>
      </c>
      <c r="AA497" s="97" t="str">
        <f>IFERROR(__xludf.DUMMYFUNCTION("""COMPUTED_VALUE"""),"N/A")</f>
        <v>N/A</v>
      </c>
      <c r="AB497" s="97" t="str">
        <f>IFERROR(__xludf.DUMMYFUNCTION("""COMPUTED_VALUE"""),"N/A")</f>
        <v>N/A</v>
      </c>
      <c r="AC497" s="97" t="str">
        <f>IFERROR(__xludf.DUMMYFUNCTION("""COMPUTED_VALUE"""),"N/A")</f>
        <v>N/A</v>
      </c>
      <c r="AD497" s="97" t="str">
        <f>IFERROR(__xludf.DUMMYFUNCTION("""COMPUTED_VALUE"""),"IP20")</f>
        <v>IP20</v>
      </c>
      <c r="AE497" s="97" t="str">
        <f>IFERROR(__xludf.DUMMYFUNCTION("""COMPUTED_VALUE"""),"N/A")</f>
        <v>N/A</v>
      </c>
      <c r="AF497" s="97" t="str">
        <f>IFERROR(__xludf.DUMMYFUNCTION("""COMPUTED_VALUE"""),"Embutir")</f>
        <v>Embutir</v>
      </c>
      <c r="AG497" s="97" t="str">
        <f>IFERROR(__xludf.DUMMYFUNCTION("""COMPUTED_VALUE"""),"Ø85 x 35")</f>
        <v>Ø85 x 35</v>
      </c>
      <c r="AH497" s="97" t="str">
        <f>IFERROR(__xludf.DUMMYFUNCTION("""COMPUTED_VALUE"""),"Ø72")</f>
        <v>Ø72</v>
      </c>
      <c r="AI497" s="97" t="str">
        <f>IFERROR(__xludf.DUMMYFUNCTION("""COMPUTED_VALUE"""),"70 *")</f>
        <v>70 *</v>
      </c>
      <c r="AJ497" s="97" t="str">
        <f>IFERROR(__xludf.DUMMYFUNCTION("""COMPUTED_VALUE"""),"N/A")</f>
        <v>N/A</v>
      </c>
      <c r="AK497" s="97" t="str">
        <f>IFERROR(__xludf.DUMMYFUNCTION("""COMPUTED_VALUE"""),"Policarbonato (PC)")</f>
        <v>Policarbonato (PC)</v>
      </c>
      <c r="AL497" s="97" t="str">
        <f>IFERROR(__xludf.DUMMYFUNCTION("""COMPUTED_VALUE"""),"Blanco Mate")</f>
        <v>Blanco Mate</v>
      </c>
      <c r="AM497" s="97" t="str">
        <f>IFERROR(__xludf.DUMMYFUNCTION("""COMPUTED_VALUE"""),"-")</f>
        <v>-</v>
      </c>
      <c r="AN497" s="97" t="str">
        <f>IFERROR(__xludf.DUMMYFUNCTION("""COMPUTED_VALUE"""),"N/A")</f>
        <v>N/A</v>
      </c>
      <c r="AO497" s="97" t="str">
        <f>IFERROR(__xludf.DUMMYFUNCTION("""COMPUTED_VALUE"""),"8 Años")</f>
        <v>8 Años</v>
      </c>
      <c r="AP497" s="97" t="str">
        <f>IFERROR(__xludf.DUMMYFUNCTION("""COMPUTED_VALUE"""),"No Aplica")</f>
        <v>No Aplica</v>
      </c>
      <c r="AQ497" s="97" t="str">
        <f>IFERROR(__xludf.DUMMYFUNCTION("""COMPUTED_VALUE"""),"No Aplica")</f>
        <v>No Aplica</v>
      </c>
      <c r="AR497" s="97" t="str">
        <f>IFERROR(__xludf.DUMMYFUNCTION("""COMPUTED_VALUE"""),"No Aplica")</f>
        <v>No Aplica</v>
      </c>
      <c r="AS497" s="97"/>
      <c r="AT497" s="97"/>
      <c r="AU497" s="97" t="str">
        <f>IFERROR(__xludf.DUMMYFUNCTION("""COMPUTED_VALUE"""),"Falta")</f>
        <v>Falta</v>
      </c>
      <c r="AV497" s="97" t="str">
        <f>IFERROR(__xludf.DUMMYFUNCTION("""COMPUTED_VALUE"""),"Empotrable")</f>
        <v>Empotrable</v>
      </c>
      <c r="AW497" s="97" t="str">
        <f>IFERROR(__xludf.DUMMYFUNCTION("""COMPUTED_VALUE"""),"De Techo")</f>
        <v>De Techo</v>
      </c>
      <c r="AX497" s="97" t="str">
        <f>IFERROR(__xludf.DUMMYFUNCTION("""COMPUTED_VALUE"""),"Interior")</f>
        <v>Interior</v>
      </c>
      <c r="AY497" s="97" t="str">
        <f>IFERROR(__xludf.DUMMYFUNCTION("""COMPUTED_VALUE"""),"-")</f>
        <v>-</v>
      </c>
      <c r="AZ497"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497" s="97">
        <f>IFERROR(__xludf.DUMMYFUNCTION("""COMPUTED_VALUE"""),100.0)</f>
        <v>100</v>
      </c>
      <c r="BB497" s="97" t="str">
        <f>IFERROR(__xludf.DUMMYFUNCTION("""COMPUTED_VALUE"""),"-")</f>
        <v>-</v>
      </c>
      <c r="BC497" s="97" t="str">
        <f>IFERROR(__xludf.DUMMYFUNCTION("""COMPUTED_VALUE"""),"-")</f>
        <v>-</v>
      </c>
      <c r="BD497" s="97" t="str">
        <f>IFERROR(__xludf.DUMMYFUNCTION("""COMPUTED_VALUE"""),"CUFA")</f>
        <v>CUFA</v>
      </c>
      <c r="BE497" s="97" t="str">
        <f>IFERROR(__xludf.DUMMYFUNCTION("""COMPUTED_VALUE"""),"Finalizada")</f>
        <v>Finalizada</v>
      </c>
      <c r="BF497" s="97"/>
      <c r="BG497" s="97" t="str">
        <f>IFERROR(__xludf.DUMMYFUNCTION("""COMPUTED_VALUE"""),"Discontinuo")</f>
        <v>Discontinuo</v>
      </c>
    </row>
    <row r="498">
      <c r="A498" s="97">
        <f>IFERROR(__xludf.DUMMYFUNCTION("""COMPUTED_VALUE"""),6103.0)</f>
        <v>6103</v>
      </c>
      <c r="B498" s="97" t="str">
        <f>IFERROR(__xludf.DUMMYFUNCTION("""COMPUTED_VALUE"""),"CUFA I NG")</f>
        <v>CUFA I NG</v>
      </c>
      <c r="C498" s="97" t="str">
        <f>IFERROR(__xludf.DUMMYFUNCTION("""COMPUTED_VALUE"""),"EMPOTRABLE CUFA I NG 1XGU10 DICRO IP20 LEUK")</f>
        <v>EMPOTRABLE CUFA I NG 1XGU10 DICRO IP20 LEUK</v>
      </c>
      <c r="D498" s="97">
        <f>IFERROR(__xludf.DUMMYFUNCTION("""COMPUTED_VALUE"""),7.798328757081E12)</f>
        <v>7798328757081</v>
      </c>
      <c r="E498" s="97" t="str">
        <f>IFERROR(__xludf.DUMMYFUNCTION("""COMPUTED_VALUE"""),"-")</f>
        <v>-</v>
      </c>
      <c r="F498" s="97" t="str">
        <f>IFERROR(__xludf.DUMMYFUNCTION("""COMPUTED_VALUE"""),"1xGU10 Dicro")</f>
        <v>1xGU10 Dicro</v>
      </c>
      <c r="G498" s="97" t="str">
        <f>IFERROR(__xludf.DUMMYFUNCTION("""COMPUTED_VALUE"""),"N/A")</f>
        <v>N/A</v>
      </c>
      <c r="H498" s="97" t="str">
        <f>IFERROR(__xludf.DUMMYFUNCTION("""COMPUTED_VALUE"""),"N/A")</f>
        <v>N/A</v>
      </c>
      <c r="I498" s="97" t="str">
        <f>IFERROR(__xludf.DUMMYFUNCTION("""COMPUTED_VALUE"""),"N/A")</f>
        <v>N/A</v>
      </c>
      <c r="J498" s="97" t="str">
        <f>IFERROR(__xludf.DUMMYFUNCTION("""COMPUTED_VALUE"""),"N/A")</f>
        <v>N/A</v>
      </c>
      <c r="K498" s="97" t="str">
        <f>IFERROR(__xludf.DUMMYFUNCTION("""COMPUTED_VALUE"""),"N/A")</f>
        <v>N/A</v>
      </c>
      <c r="L498" s="97">
        <f>IFERROR(__xludf.DUMMYFUNCTION("""COMPUTED_VALUE"""),220.0)</f>
        <v>220</v>
      </c>
      <c r="M498" s="97">
        <f>IFERROR(__xludf.DUMMYFUNCTION("""COMPUTED_VALUE"""),50.0)</f>
        <v>50</v>
      </c>
      <c r="N498" s="97"/>
      <c r="O498" s="97" t="str">
        <f>IFERROR(__xludf.DUMMYFUNCTION("""COMPUTED_VALUE"""),"1 x 50W Max")</f>
        <v>1 x 50W Max</v>
      </c>
      <c r="P498" s="97"/>
      <c r="Q498" s="97" t="str">
        <f>IFERROR(__xludf.DUMMYFUNCTION("""COMPUTED_VALUE"""),"-")</f>
        <v>-</v>
      </c>
      <c r="R498" s="97" t="str">
        <f>IFERROR(__xludf.DUMMYFUNCTION("""COMPUTED_VALUE"""),"-")</f>
        <v>-</v>
      </c>
      <c r="S498" s="97" t="str">
        <f>IFERROR(__xludf.DUMMYFUNCTION("""COMPUTED_VALUE"""),"-")</f>
        <v>-</v>
      </c>
      <c r="T498" s="97" t="str">
        <f>IFERROR(__xludf.DUMMYFUNCTION("""COMPUTED_VALUE"""),"-")</f>
        <v>-</v>
      </c>
      <c r="U498" s="97" t="str">
        <f>IFERROR(__xludf.DUMMYFUNCTION("""COMPUTED_VALUE"""),"-")</f>
        <v>-</v>
      </c>
      <c r="V498" s="97" t="str">
        <f>IFERROR(__xludf.DUMMYFUNCTION("""COMPUTED_VALUE"""),"N/A")</f>
        <v>N/A</v>
      </c>
      <c r="W498" s="97" t="str">
        <f>IFERROR(__xludf.DUMMYFUNCTION("""COMPUTED_VALUE"""),"N/A")</f>
        <v>N/A</v>
      </c>
      <c r="X498" s="97" t="str">
        <f>IFERROR(__xludf.DUMMYFUNCTION("""COMPUTED_VALUE"""),"-")</f>
        <v>-</v>
      </c>
      <c r="Y498" s="97" t="str">
        <f>IFERROR(__xludf.DUMMYFUNCTION("""COMPUTED_VALUE"""),"N/A")</f>
        <v>N/A</v>
      </c>
      <c r="Z498" s="97" t="str">
        <f>IFERROR(__xludf.DUMMYFUNCTION("""COMPUTED_VALUE"""),"N/A")</f>
        <v>N/A</v>
      </c>
      <c r="AA498" s="97" t="str">
        <f>IFERROR(__xludf.DUMMYFUNCTION("""COMPUTED_VALUE"""),"N/A")</f>
        <v>N/A</v>
      </c>
      <c r="AB498" s="97" t="str">
        <f>IFERROR(__xludf.DUMMYFUNCTION("""COMPUTED_VALUE"""),"N/A")</f>
        <v>N/A</v>
      </c>
      <c r="AC498" s="97" t="str">
        <f>IFERROR(__xludf.DUMMYFUNCTION("""COMPUTED_VALUE"""),"N/A")</f>
        <v>N/A</v>
      </c>
      <c r="AD498" s="97" t="str">
        <f>IFERROR(__xludf.DUMMYFUNCTION("""COMPUTED_VALUE"""),"IP20")</f>
        <v>IP20</v>
      </c>
      <c r="AE498" s="97" t="str">
        <f>IFERROR(__xludf.DUMMYFUNCTION("""COMPUTED_VALUE"""),"N/A")</f>
        <v>N/A</v>
      </c>
      <c r="AF498" s="97" t="str">
        <f>IFERROR(__xludf.DUMMYFUNCTION("""COMPUTED_VALUE"""),"Embutir")</f>
        <v>Embutir</v>
      </c>
      <c r="AG498" s="97" t="str">
        <f>IFERROR(__xludf.DUMMYFUNCTION("""COMPUTED_VALUE"""),"Ø85 x 35")</f>
        <v>Ø85 x 35</v>
      </c>
      <c r="AH498" s="97" t="str">
        <f>IFERROR(__xludf.DUMMYFUNCTION("""COMPUTED_VALUE"""),"Ø72")</f>
        <v>Ø72</v>
      </c>
      <c r="AI498" s="97" t="str">
        <f>IFERROR(__xludf.DUMMYFUNCTION("""COMPUTED_VALUE"""),"70 *")</f>
        <v>70 *</v>
      </c>
      <c r="AJ498" s="97" t="str">
        <f>IFERROR(__xludf.DUMMYFUNCTION("""COMPUTED_VALUE"""),"N/A")</f>
        <v>N/A</v>
      </c>
      <c r="AK498" s="97" t="str">
        <f>IFERROR(__xludf.DUMMYFUNCTION("""COMPUTED_VALUE"""),"Policarbonato (PC)")</f>
        <v>Policarbonato (PC)</v>
      </c>
      <c r="AL498" s="97" t="str">
        <f>IFERROR(__xludf.DUMMYFUNCTION("""COMPUTED_VALUE"""),"Negro Mate")</f>
        <v>Negro Mate</v>
      </c>
      <c r="AM498" s="97" t="str">
        <f>IFERROR(__xludf.DUMMYFUNCTION("""COMPUTED_VALUE"""),"-")</f>
        <v>-</v>
      </c>
      <c r="AN498" s="97" t="str">
        <f>IFERROR(__xludf.DUMMYFUNCTION("""COMPUTED_VALUE"""),"N/A")</f>
        <v>N/A</v>
      </c>
      <c r="AO498" s="97" t="str">
        <f>IFERROR(__xludf.DUMMYFUNCTION("""COMPUTED_VALUE"""),"8 Años")</f>
        <v>8 Años</v>
      </c>
      <c r="AP498" s="97" t="str">
        <f>IFERROR(__xludf.DUMMYFUNCTION("""COMPUTED_VALUE"""),"No Aplica")</f>
        <v>No Aplica</v>
      </c>
      <c r="AQ498" s="97" t="str">
        <f>IFERROR(__xludf.DUMMYFUNCTION("""COMPUTED_VALUE"""),"No Aplica")</f>
        <v>No Aplica</v>
      </c>
      <c r="AR498" s="97" t="str">
        <f>IFERROR(__xludf.DUMMYFUNCTION("""COMPUTED_VALUE"""),"No Aplica")</f>
        <v>No Aplica</v>
      </c>
      <c r="AS498" s="97"/>
      <c r="AT498" s="97"/>
      <c r="AU498" s="97" t="str">
        <f>IFERROR(__xludf.DUMMYFUNCTION("""COMPUTED_VALUE"""),"Falta")</f>
        <v>Falta</v>
      </c>
      <c r="AV498" s="97" t="str">
        <f>IFERROR(__xludf.DUMMYFUNCTION("""COMPUTED_VALUE"""),"Empotrable")</f>
        <v>Empotrable</v>
      </c>
      <c r="AW498" s="97" t="str">
        <f>IFERROR(__xludf.DUMMYFUNCTION("""COMPUTED_VALUE"""),"De Techo")</f>
        <v>De Techo</v>
      </c>
      <c r="AX498" s="97" t="str">
        <f>IFERROR(__xludf.DUMMYFUNCTION("""COMPUTED_VALUE"""),"Interior")</f>
        <v>Interior</v>
      </c>
      <c r="AY498" s="97" t="str">
        <f>IFERROR(__xludf.DUMMYFUNCTION("""COMPUTED_VALUE"""),"-")</f>
        <v>-</v>
      </c>
      <c r="AZ498"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498" s="97">
        <f>IFERROR(__xludf.DUMMYFUNCTION("""COMPUTED_VALUE"""),100.0)</f>
        <v>100</v>
      </c>
      <c r="BB498" s="97" t="str">
        <f>IFERROR(__xludf.DUMMYFUNCTION("""COMPUTED_VALUE"""),"-")</f>
        <v>-</v>
      </c>
      <c r="BC498" s="97" t="str">
        <f>IFERROR(__xludf.DUMMYFUNCTION("""COMPUTED_VALUE"""),"-")</f>
        <v>-</v>
      </c>
      <c r="BD498" s="97" t="str">
        <f>IFERROR(__xludf.DUMMYFUNCTION("""COMPUTED_VALUE"""),"CUFA")</f>
        <v>CUFA</v>
      </c>
      <c r="BE498" s="97" t="str">
        <f>IFERROR(__xludf.DUMMYFUNCTION("""COMPUTED_VALUE"""),"Finalizada")</f>
        <v>Finalizada</v>
      </c>
      <c r="BF498" s="97"/>
      <c r="BG498" s="97" t="str">
        <f>IFERROR(__xludf.DUMMYFUNCTION("""COMPUTED_VALUE"""),"Discontinuo")</f>
        <v>Discontinuo</v>
      </c>
    </row>
    <row r="499">
      <c r="A499" s="97">
        <f>IFERROR(__xludf.DUMMYFUNCTION("""COMPUTED_VALUE"""),6104.0)</f>
        <v>6104</v>
      </c>
      <c r="B499" s="97" t="str">
        <f>IFERROR(__xludf.DUMMYFUNCTION("""COMPUTED_VALUE"""),"DEB I BL")</f>
        <v>DEB I BL</v>
      </c>
      <c r="C499" s="97" t="str">
        <f>IFERROR(__xludf.DUMMYFUNCTION("""COMPUTED_VALUE"""),"EMPOTRABLE DEB I BL 1XGU10 DICRO IP20 LEUK")</f>
        <v>EMPOTRABLE DEB I BL 1XGU10 DICRO IP20 LEUK</v>
      </c>
      <c r="D499" s="97">
        <f>IFERROR(__xludf.DUMMYFUNCTION("""COMPUTED_VALUE"""),7.798328757029E12)</f>
        <v>7798328757029</v>
      </c>
      <c r="E499" s="97" t="str">
        <f>IFERROR(__xludf.DUMMYFUNCTION("""COMPUTED_VALUE"""),"-")</f>
        <v>-</v>
      </c>
      <c r="F499" s="97" t="str">
        <f>IFERROR(__xludf.DUMMYFUNCTION("""COMPUTED_VALUE"""),"1xGU10 Dicro")</f>
        <v>1xGU10 Dicro</v>
      </c>
      <c r="G499" s="97" t="str">
        <f>IFERROR(__xludf.DUMMYFUNCTION("""COMPUTED_VALUE"""),"N/A")</f>
        <v>N/A</v>
      </c>
      <c r="H499" s="97" t="str">
        <f>IFERROR(__xludf.DUMMYFUNCTION("""COMPUTED_VALUE"""),"N/A")</f>
        <v>N/A</v>
      </c>
      <c r="I499" s="97" t="str">
        <f>IFERROR(__xludf.DUMMYFUNCTION("""COMPUTED_VALUE"""),"N/A")</f>
        <v>N/A</v>
      </c>
      <c r="J499" s="97" t="str">
        <f>IFERROR(__xludf.DUMMYFUNCTION("""COMPUTED_VALUE"""),"N/A")</f>
        <v>N/A</v>
      </c>
      <c r="K499" s="97" t="str">
        <f>IFERROR(__xludf.DUMMYFUNCTION("""COMPUTED_VALUE"""),"N/A")</f>
        <v>N/A</v>
      </c>
      <c r="L499" s="97">
        <f>IFERROR(__xludf.DUMMYFUNCTION("""COMPUTED_VALUE"""),220.0)</f>
        <v>220</v>
      </c>
      <c r="M499" s="97">
        <f>IFERROR(__xludf.DUMMYFUNCTION("""COMPUTED_VALUE"""),50.0)</f>
        <v>50</v>
      </c>
      <c r="N499" s="97"/>
      <c r="O499" s="97" t="str">
        <f>IFERROR(__xludf.DUMMYFUNCTION("""COMPUTED_VALUE"""),"1 x 50W Max")</f>
        <v>1 x 50W Max</v>
      </c>
      <c r="P499" s="97"/>
      <c r="Q499" s="97" t="str">
        <f>IFERROR(__xludf.DUMMYFUNCTION("""COMPUTED_VALUE"""),"-")</f>
        <v>-</v>
      </c>
      <c r="R499" s="97" t="str">
        <f>IFERROR(__xludf.DUMMYFUNCTION("""COMPUTED_VALUE"""),"-")</f>
        <v>-</v>
      </c>
      <c r="S499" s="97" t="str">
        <f>IFERROR(__xludf.DUMMYFUNCTION("""COMPUTED_VALUE"""),"-")</f>
        <v>-</v>
      </c>
      <c r="T499" s="97" t="str">
        <f>IFERROR(__xludf.DUMMYFUNCTION("""COMPUTED_VALUE"""),"-")</f>
        <v>-</v>
      </c>
      <c r="U499" s="97" t="str">
        <f>IFERROR(__xludf.DUMMYFUNCTION("""COMPUTED_VALUE"""),"-")</f>
        <v>-</v>
      </c>
      <c r="V499" s="97" t="str">
        <f>IFERROR(__xludf.DUMMYFUNCTION("""COMPUTED_VALUE"""),"N/A")</f>
        <v>N/A</v>
      </c>
      <c r="W499" s="97" t="str">
        <f>IFERROR(__xludf.DUMMYFUNCTION("""COMPUTED_VALUE"""),"N/A")</f>
        <v>N/A</v>
      </c>
      <c r="X499" s="97" t="str">
        <f>IFERROR(__xludf.DUMMYFUNCTION("""COMPUTED_VALUE"""),"-")</f>
        <v>-</v>
      </c>
      <c r="Y499" s="97" t="str">
        <f>IFERROR(__xludf.DUMMYFUNCTION("""COMPUTED_VALUE"""),"N/A")</f>
        <v>N/A</v>
      </c>
      <c r="Z499" s="97" t="str">
        <f>IFERROR(__xludf.DUMMYFUNCTION("""COMPUTED_VALUE"""),"N/A")</f>
        <v>N/A</v>
      </c>
      <c r="AA499" s="97" t="str">
        <f>IFERROR(__xludf.DUMMYFUNCTION("""COMPUTED_VALUE"""),"N/A")</f>
        <v>N/A</v>
      </c>
      <c r="AB499" s="97" t="str">
        <f>IFERROR(__xludf.DUMMYFUNCTION("""COMPUTED_VALUE"""),"N/A")</f>
        <v>N/A</v>
      </c>
      <c r="AC499" s="97" t="str">
        <f>IFERROR(__xludf.DUMMYFUNCTION("""COMPUTED_VALUE"""),"N/A")</f>
        <v>N/A</v>
      </c>
      <c r="AD499" s="97" t="str">
        <f>IFERROR(__xludf.DUMMYFUNCTION("""COMPUTED_VALUE"""),"IP20")</f>
        <v>IP20</v>
      </c>
      <c r="AE499" s="97" t="str">
        <f>IFERROR(__xludf.DUMMYFUNCTION("""COMPUTED_VALUE"""),"N/A")</f>
        <v>N/A</v>
      </c>
      <c r="AF499" s="97" t="str">
        <f>IFERROR(__xludf.DUMMYFUNCTION("""COMPUTED_VALUE"""),"Embutir")</f>
        <v>Embutir</v>
      </c>
      <c r="AG499" s="97" t="str">
        <f>IFERROR(__xludf.DUMMYFUNCTION("""COMPUTED_VALUE"""),"Ø90 x 25")</f>
        <v>Ø90 x 25</v>
      </c>
      <c r="AH499" s="97" t="str">
        <f>IFERROR(__xludf.DUMMYFUNCTION("""COMPUTED_VALUE"""),"Ø75-85 ")</f>
        <v>Ø75-85 </v>
      </c>
      <c r="AI499" s="97" t="str">
        <f>IFERROR(__xludf.DUMMYFUNCTION("""COMPUTED_VALUE"""),"62 *")</f>
        <v>62 *</v>
      </c>
      <c r="AJ499" s="97" t="str">
        <f>IFERROR(__xludf.DUMMYFUNCTION("""COMPUTED_VALUE"""),"N/A")</f>
        <v>N/A</v>
      </c>
      <c r="AK499" s="97" t="str">
        <f>IFERROR(__xludf.DUMMYFUNCTION("""COMPUTED_VALUE"""),"Policarbonato (PC)")</f>
        <v>Policarbonato (PC)</v>
      </c>
      <c r="AL499" s="97" t="str">
        <f>IFERROR(__xludf.DUMMYFUNCTION("""COMPUTED_VALUE"""),"Blanco Mate")</f>
        <v>Blanco Mate</v>
      </c>
      <c r="AM499" s="97" t="str">
        <f>IFERROR(__xludf.DUMMYFUNCTION("""COMPUTED_VALUE"""),"-")</f>
        <v>-</v>
      </c>
      <c r="AN499" s="97" t="str">
        <f>IFERROR(__xludf.DUMMYFUNCTION("""COMPUTED_VALUE"""),"N/A")</f>
        <v>N/A</v>
      </c>
      <c r="AO499" s="97" t="str">
        <f>IFERROR(__xludf.DUMMYFUNCTION("""COMPUTED_VALUE"""),"8 Años")</f>
        <v>8 Años</v>
      </c>
      <c r="AP499" s="97" t="str">
        <f>IFERROR(__xludf.DUMMYFUNCTION("""COMPUTED_VALUE"""),"No Aplica")</f>
        <v>No Aplica</v>
      </c>
      <c r="AQ499" s="97" t="str">
        <f>IFERROR(__xludf.DUMMYFUNCTION("""COMPUTED_VALUE"""),"No Aplica")</f>
        <v>No Aplica</v>
      </c>
      <c r="AR499" s="97" t="str">
        <f>IFERROR(__xludf.DUMMYFUNCTION("""COMPUTED_VALUE"""),"No Aplica")</f>
        <v>No Aplica</v>
      </c>
      <c r="AS499" s="97"/>
      <c r="AT499" s="97"/>
      <c r="AU499" s="97" t="str">
        <f>IFERROR(__xludf.DUMMYFUNCTION("""COMPUTED_VALUE"""),"Falta")</f>
        <v>Falta</v>
      </c>
      <c r="AV499" s="97" t="str">
        <f>IFERROR(__xludf.DUMMYFUNCTION("""COMPUTED_VALUE"""),"Empotrable")</f>
        <v>Empotrable</v>
      </c>
      <c r="AW499" s="97" t="str">
        <f>IFERROR(__xludf.DUMMYFUNCTION("""COMPUTED_VALUE"""),"De Techo")</f>
        <v>De Techo</v>
      </c>
      <c r="AX499" s="97" t="str">
        <f>IFERROR(__xludf.DUMMYFUNCTION("""COMPUTED_VALUE"""),"Interior")</f>
        <v>Interior</v>
      </c>
      <c r="AY499" s="97" t="str">
        <f>IFERROR(__xludf.DUMMYFUNCTION("""COMPUTED_VALUE"""),"-")</f>
        <v>-</v>
      </c>
      <c r="AZ499"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499" s="97">
        <f>IFERROR(__xludf.DUMMYFUNCTION("""COMPUTED_VALUE"""),100.0)</f>
        <v>100</v>
      </c>
      <c r="BB499" s="97" t="str">
        <f>IFERROR(__xludf.DUMMYFUNCTION("""COMPUTED_VALUE"""),"-")</f>
        <v>-</v>
      </c>
      <c r="BC499" s="97" t="str">
        <f>IFERROR(__xludf.DUMMYFUNCTION("""COMPUTED_VALUE"""),"-")</f>
        <v>-</v>
      </c>
      <c r="BD499" s="97" t="str">
        <f>IFERROR(__xludf.DUMMYFUNCTION("""COMPUTED_VALUE"""),"DEB")</f>
        <v>DEB</v>
      </c>
      <c r="BE499" s="97" t="str">
        <f>IFERROR(__xludf.DUMMYFUNCTION("""COMPUTED_VALUE"""),"Finalizada")</f>
        <v>Finalizada</v>
      </c>
      <c r="BF499" s="97"/>
      <c r="BG499" s="97" t="str">
        <f>IFERROR(__xludf.DUMMYFUNCTION("""COMPUTED_VALUE"""),"Discontinuo")</f>
        <v>Discontinuo</v>
      </c>
    </row>
    <row r="500">
      <c r="A500" s="97">
        <f>IFERROR(__xludf.DUMMYFUNCTION("""COMPUTED_VALUE"""),6105.0)</f>
        <v>6105</v>
      </c>
      <c r="B500" s="97" t="str">
        <f>IFERROR(__xludf.DUMMYFUNCTION("""COMPUTED_VALUE"""),"DEB I NG")</f>
        <v>DEB I NG</v>
      </c>
      <c r="C500" s="97" t="str">
        <f>IFERROR(__xludf.DUMMYFUNCTION("""COMPUTED_VALUE"""),"EMPOTRABLE DEB I NG 1XGU10 DICRO IP20 LEUK")</f>
        <v>EMPOTRABLE DEB I NG 1XGU10 DICRO IP20 LEUK</v>
      </c>
      <c r="D500" s="97">
        <f>IFERROR(__xludf.DUMMYFUNCTION("""COMPUTED_VALUE"""),7.798328757036E12)</f>
        <v>7798328757036</v>
      </c>
      <c r="E500" s="97" t="str">
        <f>IFERROR(__xludf.DUMMYFUNCTION("""COMPUTED_VALUE"""),"-")</f>
        <v>-</v>
      </c>
      <c r="F500" s="97" t="str">
        <f>IFERROR(__xludf.DUMMYFUNCTION("""COMPUTED_VALUE"""),"1xGU10 Dicro")</f>
        <v>1xGU10 Dicro</v>
      </c>
      <c r="G500" s="97" t="str">
        <f>IFERROR(__xludf.DUMMYFUNCTION("""COMPUTED_VALUE"""),"N/A")</f>
        <v>N/A</v>
      </c>
      <c r="H500" s="97" t="str">
        <f>IFERROR(__xludf.DUMMYFUNCTION("""COMPUTED_VALUE"""),"N/A")</f>
        <v>N/A</v>
      </c>
      <c r="I500" s="97" t="str">
        <f>IFERROR(__xludf.DUMMYFUNCTION("""COMPUTED_VALUE"""),"N/A")</f>
        <v>N/A</v>
      </c>
      <c r="J500" s="97" t="str">
        <f>IFERROR(__xludf.DUMMYFUNCTION("""COMPUTED_VALUE"""),"N/A")</f>
        <v>N/A</v>
      </c>
      <c r="K500" s="97" t="str">
        <f>IFERROR(__xludf.DUMMYFUNCTION("""COMPUTED_VALUE"""),"N/A")</f>
        <v>N/A</v>
      </c>
      <c r="L500" s="97">
        <f>IFERROR(__xludf.DUMMYFUNCTION("""COMPUTED_VALUE"""),220.0)</f>
        <v>220</v>
      </c>
      <c r="M500" s="97">
        <f>IFERROR(__xludf.DUMMYFUNCTION("""COMPUTED_VALUE"""),50.0)</f>
        <v>50</v>
      </c>
      <c r="N500" s="97"/>
      <c r="O500" s="97" t="str">
        <f>IFERROR(__xludf.DUMMYFUNCTION("""COMPUTED_VALUE"""),"1 x 50W Max")</f>
        <v>1 x 50W Max</v>
      </c>
      <c r="P500" s="97"/>
      <c r="Q500" s="97" t="str">
        <f>IFERROR(__xludf.DUMMYFUNCTION("""COMPUTED_VALUE"""),"-")</f>
        <v>-</v>
      </c>
      <c r="R500" s="97" t="str">
        <f>IFERROR(__xludf.DUMMYFUNCTION("""COMPUTED_VALUE"""),"-")</f>
        <v>-</v>
      </c>
      <c r="S500" s="97" t="str">
        <f>IFERROR(__xludf.DUMMYFUNCTION("""COMPUTED_VALUE"""),"-")</f>
        <v>-</v>
      </c>
      <c r="T500" s="97" t="str">
        <f>IFERROR(__xludf.DUMMYFUNCTION("""COMPUTED_VALUE"""),"-")</f>
        <v>-</v>
      </c>
      <c r="U500" s="97" t="str">
        <f>IFERROR(__xludf.DUMMYFUNCTION("""COMPUTED_VALUE"""),"-")</f>
        <v>-</v>
      </c>
      <c r="V500" s="97" t="str">
        <f>IFERROR(__xludf.DUMMYFUNCTION("""COMPUTED_VALUE"""),"N/A")</f>
        <v>N/A</v>
      </c>
      <c r="W500" s="97" t="str">
        <f>IFERROR(__xludf.DUMMYFUNCTION("""COMPUTED_VALUE"""),"N/A")</f>
        <v>N/A</v>
      </c>
      <c r="X500" s="97" t="str">
        <f>IFERROR(__xludf.DUMMYFUNCTION("""COMPUTED_VALUE"""),"-")</f>
        <v>-</v>
      </c>
      <c r="Y500" s="97" t="str">
        <f>IFERROR(__xludf.DUMMYFUNCTION("""COMPUTED_VALUE"""),"N/A")</f>
        <v>N/A</v>
      </c>
      <c r="Z500" s="97" t="str">
        <f>IFERROR(__xludf.DUMMYFUNCTION("""COMPUTED_VALUE"""),"N/A")</f>
        <v>N/A</v>
      </c>
      <c r="AA500" s="97" t="str">
        <f>IFERROR(__xludf.DUMMYFUNCTION("""COMPUTED_VALUE"""),"N/A")</f>
        <v>N/A</v>
      </c>
      <c r="AB500" s="97" t="str">
        <f>IFERROR(__xludf.DUMMYFUNCTION("""COMPUTED_VALUE"""),"N/A")</f>
        <v>N/A</v>
      </c>
      <c r="AC500" s="97" t="str">
        <f>IFERROR(__xludf.DUMMYFUNCTION("""COMPUTED_VALUE"""),"N/A")</f>
        <v>N/A</v>
      </c>
      <c r="AD500" s="97" t="str">
        <f>IFERROR(__xludf.DUMMYFUNCTION("""COMPUTED_VALUE"""),"IP20")</f>
        <v>IP20</v>
      </c>
      <c r="AE500" s="97" t="str">
        <f>IFERROR(__xludf.DUMMYFUNCTION("""COMPUTED_VALUE"""),"N/A")</f>
        <v>N/A</v>
      </c>
      <c r="AF500" s="97" t="str">
        <f>IFERROR(__xludf.DUMMYFUNCTION("""COMPUTED_VALUE"""),"Embutir")</f>
        <v>Embutir</v>
      </c>
      <c r="AG500" s="97" t="str">
        <f>IFERROR(__xludf.DUMMYFUNCTION("""COMPUTED_VALUE"""),"Ø90 x 25")</f>
        <v>Ø90 x 25</v>
      </c>
      <c r="AH500" s="97" t="str">
        <f>IFERROR(__xludf.DUMMYFUNCTION("""COMPUTED_VALUE"""),"Ø75-85 ")</f>
        <v>Ø75-85 </v>
      </c>
      <c r="AI500" s="97" t="str">
        <f>IFERROR(__xludf.DUMMYFUNCTION("""COMPUTED_VALUE"""),"62 *")</f>
        <v>62 *</v>
      </c>
      <c r="AJ500" s="97" t="str">
        <f>IFERROR(__xludf.DUMMYFUNCTION("""COMPUTED_VALUE"""),"N/A")</f>
        <v>N/A</v>
      </c>
      <c r="AK500" s="97" t="str">
        <f>IFERROR(__xludf.DUMMYFUNCTION("""COMPUTED_VALUE"""),"Policarbonato (PC)")</f>
        <v>Policarbonato (PC)</v>
      </c>
      <c r="AL500" s="97" t="str">
        <f>IFERROR(__xludf.DUMMYFUNCTION("""COMPUTED_VALUE"""),"Negro Mate")</f>
        <v>Negro Mate</v>
      </c>
      <c r="AM500" s="97" t="str">
        <f>IFERROR(__xludf.DUMMYFUNCTION("""COMPUTED_VALUE"""),"-")</f>
        <v>-</v>
      </c>
      <c r="AN500" s="97" t="str">
        <f>IFERROR(__xludf.DUMMYFUNCTION("""COMPUTED_VALUE"""),"N/A")</f>
        <v>N/A</v>
      </c>
      <c r="AO500" s="97" t="str">
        <f>IFERROR(__xludf.DUMMYFUNCTION("""COMPUTED_VALUE"""),"8 Años")</f>
        <v>8 Años</v>
      </c>
      <c r="AP500" s="97" t="str">
        <f>IFERROR(__xludf.DUMMYFUNCTION("""COMPUTED_VALUE"""),"No Aplica")</f>
        <v>No Aplica</v>
      </c>
      <c r="AQ500" s="97" t="str">
        <f>IFERROR(__xludf.DUMMYFUNCTION("""COMPUTED_VALUE"""),"No Aplica")</f>
        <v>No Aplica</v>
      </c>
      <c r="AR500" s="97" t="str">
        <f>IFERROR(__xludf.DUMMYFUNCTION("""COMPUTED_VALUE"""),"No Aplica")</f>
        <v>No Aplica</v>
      </c>
      <c r="AS500" s="97"/>
      <c r="AT500" s="97"/>
      <c r="AU500" s="97" t="str">
        <f>IFERROR(__xludf.DUMMYFUNCTION("""COMPUTED_VALUE"""),"Falta")</f>
        <v>Falta</v>
      </c>
      <c r="AV500" s="97" t="str">
        <f>IFERROR(__xludf.DUMMYFUNCTION("""COMPUTED_VALUE"""),"Empotrable")</f>
        <v>Empotrable</v>
      </c>
      <c r="AW500" s="97" t="str">
        <f>IFERROR(__xludf.DUMMYFUNCTION("""COMPUTED_VALUE"""),"De Techo")</f>
        <v>De Techo</v>
      </c>
      <c r="AX500" s="97" t="str">
        <f>IFERROR(__xludf.DUMMYFUNCTION("""COMPUTED_VALUE"""),"Interior")</f>
        <v>Interior</v>
      </c>
      <c r="AY500" s="97" t="str">
        <f>IFERROR(__xludf.DUMMYFUNCTION("""COMPUTED_VALUE"""),"-")</f>
        <v>-</v>
      </c>
      <c r="AZ500"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500" s="97">
        <f>IFERROR(__xludf.DUMMYFUNCTION("""COMPUTED_VALUE"""),100.0)</f>
        <v>100</v>
      </c>
      <c r="BB500" s="97" t="str">
        <f>IFERROR(__xludf.DUMMYFUNCTION("""COMPUTED_VALUE"""),"-")</f>
        <v>-</v>
      </c>
      <c r="BC500" s="97" t="str">
        <f>IFERROR(__xludf.DUMMYFUNCTION("""COMPUTED_VALUE"""),"-")</f>
        <v>-</v>
      </c>
      <c r="BD500" s="97" t="str">
        <f>IFERROR(__xludf.DUMMYFUNCTION("""COMPUTED_VALUE"""),"DEB")</f>
        <v>DEB</v>
      </c>
      <c r="BE500" s="97" t="str">
        <f>IFERROR(__xludf.DUMMYFUNCTION("""COMPUTED_VALUE"""),"Finalizada")</f>
        <v>Finalizada</v>
      </c>
      <c r="BF500" s="97"/>
      <c r="BG500" s="97" t="str">
        <f>IFERROR(__xludf.DUMMYFUNCTION("""COMPUTED_VALUE"""),"Discontinuo")</f>
        <v>Discontinuo</v>
      </c>
    </row>
    <row r="501">
      <c r="A501" s="97">
        <f>IFERROR(__xludf.DUMMYFUNCTION("""COMPUTED_VALUE"""),6106.0)</f>
        <v>6106</v>
      </c>
      <c r="B501" s="97" t="str">
        <f>IFERROR(__xludf.DUMMYFUNCTION("""COMPUTED_VALUE"""),"EMI I BL")</f>
        <v>EMI I BL</v>
      </c>
      <c r="C501" s="97" t="str">
        <f>IFERROR(__xludf.DUMMYFUNCTION("""COMPUTED_VALUE"""),"SPOT DE EMBUTIR EMI1 BLANCO")</f>
        <v>SPOT DE EMBUTIR EMI1 BLANCO</v>
      </c>
      <c r="D501" s="97">
        <f>IFERROR(__xludf.DUMMYFUNCTION("""COMPUTED_VALUE"""),7.798328756862E12)</f>
        <v>7798328756862</v>
      </c>
      <c r="E501" s="97"/>
      <c r="F501" s="97" t="str">
        <f>IFERROR(__xludf.DUMMYFUNCTION("""COMPUTED_VALUE"""),"1 x GU10")</f>
        <v>1 x GU10</v>
      </c>
      <c r="G501" s="97" t="str">
        <f>IFERROR(__xludf.DUMMYFUNCTION("""COMPUTED_VALUE"""),"N/A")</f>
        <v>N/A</v>
      </c>
      <c r="H501" s="97" t="str">
        <f>IFERROR(__xludf.DUMMYFUNCTION("""COMPUTED_VALUE"""),"N/A")</f>
        <v>N/A</v>
      </c>
      <c r="I501" s="97" t="str">
        <f>IFERROR(__xludf.DUMMYFUNCTION("""COMPUTED_VALUE"""),"N/A")</f>
        <v>N/A</v>
      </c>
      <c r="J501" s="97"/>
      <c r="K501" s="97" t="str">
        <f>IFERROR(__xludf.DUMMYFUNCTION("""COMPUTED_VALUE"""),"N/A")</f>
        <v>N/A</v>
      </c>
      <c r="L501" s="97">
        <f>IFERROR(__xludf.DUMMYFUNCTION("""COMPUTED_VALUE"""),220.0)</f>
        <v>220</v>
      </c>
      <c r="M501" s="97">
        <f>IFERROR(__xludf.DUMMYFUNCTION("""COMPUTED_VALUE"""),50.0)</f>
        <v>50</v>
      </c>
      <c r="N501" s="97"/>
      <c r="O501" s="97" t="str">
        <f>IFERROR(__xludf.DUMMYFUNCTION("""COMPUTED_VALUE"""),"1 x 50W Max")</f>
        <v>1 x 50W Max</v>
      </c>
      <c r="P501" s="97"/>
      <c r="Q501" s="97" t="str">
        <f>IFERROR(__xludf.DUMMYFUNCTION("""COMPUTED_VALUE"""),"-")</f>
        <v>-</v>
      </c>
      <c r="R501" s="97" t="str">
        <f>IFERROR(__xludf.DUMMYFUNCTION("""COMPUTED_VALUE"""),"-")</f>
        <v>-</v>
      </c>
      <c r="S501" s="97" t="str">
        <f>IFERROR(__xludf.DUMMYFUNCTION("""COMPUTED_VALUE"""),"-")</f>
        <v>-</v>
      </c>
      <c r="T501" s="97" t="str">
        <f>IFERROR(__xludf.DUMMYFUNCTION("""COMPUTED_VALUE"""),"-")</f>
        <v>-</v>
      </c>
      <c r="U501" s="97" t="str">
        <f>IFERROR(__xludf.DUMMYFUNCTION("""COMPUTED_VALUE"""),"-")</f>
        <v>-</v>
      </c>
      <c r="V501" s="97" t="str">
        <f>IFERROR(__xludf.DUMMYFUNCTION("""COMPUTED_VALUE"""),"N/A")</f>
        <v>N/A</v>
      </c>
      <c r="W501" s="97" t="str">
        <f>IFERROR(__xludf.DUMMYFUNCTION("""COMPUTED_VALUE"""),"N/A")</f>
        <v>N/A</v>
      </c>
      <c r="X501" s="97" t="str">
        <f>IFERROR(__xludf.DUMMYFUNCTION("""COMPUTED_VALUE"""),"-")</f>
        <v>-</v>
      </c>
      <c r="Y501" s="97" t="str">
        <f>IFERROR(__xludf.DUMMYFUNCTION("""COMPUTED_VALUE"""),"N/A")</f>
        <v>N/A</v>
      </c>
      <c r="Z501" s="97" t="str">
        <f>IFERROR(__xludf.DUMMYFUNCTION("""COMPUTED_VALUE"""),"N/A")</f>
        <v>N/A</v>
      </c>
      <c r="AA501" s="97" t="str">
        <f>IFERROR(__xludf.DUMMYFUNCTION("""COMPUTED_VALUE"""),"N/A")</f>
        <v>N/A</v>
      </c>
      <c r="AB501" s="97" t="str">
        <f>IFERROR(__xludf.DUMMYFUNCTION("""COMPUTED_VALUE"""),"N/A")</f>
        <v>N/A</v>
      </c>
      <c r="AC501" s="97" t="str">
        <f>IFERROR(__xludf.DUMMYFUNCTION("""COMPUTED_VALUE"""),"N/A")</f>
        <v>N/A</v>
      </c>
      <c r="AD501" s="97" t="str">
        <f>IFERROR(__xludf.DUMMYFUNCTION("""COMPUTED_VALUE"""),"IP20")</f>
        <v>IP20</v>
      </c>
      <c r="AE501" s="97" t="str">
        <f>IFERROR(__xludf.DUMMYFUNCTION("""COMPUTED_VALUE"""),"N/A")</f>
        <v>N/A</v>
      </c>
      <c r="AF501" s="97" t="str">
        <f>IFERROR(__xludf.DUMMYFUNCTION("""COMPUTED_VALUE"""),"Embutir")</f>
        <v>Embutir</v>
      </c>
      <c r="AG501" s="97" t="str">
        <f>IFERROR(__xludf.DUMMYFUNCTION("""COMPUTED_VALUE"""),"Ø90 x 30")</f>
        <v>Ø90 x 30</v>
      </c>
      <c r="AH501" s="97" t="str">
        <f>IFERROR(__xludf.DUMMYFUNCTION("""COMPUTED_VALUE"""),"Ø75-85 ")</f>
        <v>Ø75-85 </v>
      </c>
      <c r="AI501" s="97" t="str">
        <f>IFERROR(__xludf.DUMMYFUNCTION("""COMPUTED_VALUE"""),"79 *")</f>
        <v>79 *</v>
      </c>
      <c r="AJ501" s="97" t="str">
        <f>IFERROR(__xludf.DUMMYFUNCTION("""COMPUTED_VALUE"""),"N/A")</f>
        <v>N/A</v>
      </c>
      <c r="AK501" s="97" t="str">
        <f>IFERROR(__xludf.DUMMYFUNCTION("""COMPUTED_VALUE"""),"Policarbonato (PC)")</f>
        <v>Policarbonato (PC)</v>
      </c>
      <c r="AL501" s="97" t="str">
        <f>IFERROR(__xludf.DUMMYFUNCTION("""COMPUTED_VALUE"""),"Blanco Mate")</f>
        <v>Blanco Mate</v>
      </c>
      <c r="AM501" s="97" t="str">
        <f>IFERROR(__xludf.DUMMYFUNCTION("""COMPUTED_VALUE"""),"-")</f>
        <v>-</v>
      </c>
      <c r="AN501" s="97" t="str">
        <f>IFERROR(__xludf.DUMMYFUNCTION("""COMPUTED_VALUE"""),"N/A")</f>
        <v>N/A</v>
      </c>
      <c r="AO501" s="97" t="str">
        <f>IFERROR(__xludf.DUMMYFUNCTION("""COMPUTED_VALUE"""),"8 Años")</f>
        <v>8 Años</v>
      </c>
      <c r="AP501" s="97" t="str">
        <f>IFERROR(__xludf.DUMMYFUNCTION("""COMPUTED_VALUE"""),"No Aplica")</f>
        <v>No Aplica</v>
      </c>
      <c r="AQ501" s="97" t="str">
        <f>IFERROR(__xludf.DUMMYFUNCTION("""COMPUTED_VALUE"""),"No Aplica")</f>
        <v>No Aplica</v>
      </c>
      <c r="AR501" s="97" t="str">
        <f>IFERROR(__xludf.DUMMYFUNCTION("""COMPUTED_VALUE"""),"No Aplica")</f>
        <v>No Aplica</v>
      </c>
      <c r="AS501" s="97"/>
      <c r="AT501" s="97"/>
      <c r="AU501" s="97"/>
      <c r="AV501" s="97" t="str">
        <f>IFERROR(__xludf.DUMMYFUNCTION("""COMPUTED_VALUE"""),"Empotrable")</f>
        <v>Empotrable</v>
      </c>
      <c r="AW501" s="97" t="str">
        <f>IFERROR(__xludf.DUMMYFUNCTION("""COMPUTED_VALUE"""),"De Techo")</f>
        <v>De Techo</v>
      </c>
      <c r="AX501" s="97" t="str">
        <f>IFERROR(__xludf.DUMMYFUNCTION("""COMPUTED_VALUE"""),"Interior")</f>
        <v>Interior</v>
      </c>
      <c r="AY501" s="97"/>
      <c r="AZ501"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01" s="97">
        <f>IFERROR(__xludf.DUMMYFUNCTION("""COMPUTED_VALUE"""),100.0)</f>
        <v>100</v>
      </c>
      <c r="BB501" s="97"/>
      <c r="BC501" s="97"/>
      <c r="BD501" s="97" t="str">
        <f>IFERROR(__xludf.DUMMYFUNCTION("""COMPUTED_VALUE"""),"EMI")</f>
        <v>EMI</v>
      </c>
      <c r="BE501" s="97" t="str">
        <f>IFERROR(__xludf.DUMMYFUNCTION("""COMPUTED_VALUE"""),"Finalizada")</f>
        <v>Finalizada</v>
      </c>
      <c r="BF501" s="97"/>
      <c r="BG501" s="97" t="str">
        <f>IFERROR(__xludf.DUMMYFUNCTION("""COMPUTED_VALUE"""),"Discontinuo")</f>
        <v>Discontinuo</v>
      </c>
    </row>
    <row r="502">
      <c r="A502" s="97">
        <f>IFERROR(__xludf.DUMMYFUNCTION("""COMPUTED_VALUE"""),6107.0)</f>
        <v>6107</v>
      </c>
      <c r="B502" s="97" t="str">
        <f>IFERROR(__xludf.DUMMYFUNCTION("""COMPUTED_VALUE"""),"EMI I NG")</f>
        <v>EMI I NG</v>
      </c>
      <c r="C502" s="97" t="str">
        <f>IFERROR(__xludf.DUMMYFUNCTION("""COMPUTED_VALUE"""),"SPOT DE EMBUTIR EMI1 NEGRO")</f>
        <v>SPOT DE EMBUTIR EMI1 NEGRO</v>
      </c>
      <c r="D502" s="97">
        <f>IFERROR(__xludf.DUMMYFUNCTION("""COMPUTED_VALUE"""),7.798328756879E12)</f>
        <v>7798328756879</v>
      </c>
      <c r="E502" s="97"/>
      <c r="F502" s="97" t="str">
        <f>IFERROR(__xludf.DUMMYFUNCTION("""COMPUTED_VALUE"""),"1 x GU10")</f>
        <v>1 x GU10</v>
      </c>
      <c r="G502" s="97" t="str">
        <f>IFERROR(__xludf.DUMMYFUNCTION("""COMPUTED_VALUE"""),"N/A")</f>
        <v>N/A</v>
      </c>
      <c r="H502" s="97" t="str">
        <f>IFERROR(__xludf.DUMMYFUNCTION("""COMPUTED_VALUE"""),"N/A")</f>
        <v>N/A</v>
      </c>
      <c r="I502" s="97" t="str">
        <f>IFERROR(__xludf.DUMMYFUNCTION("""COMPUTED_VALUE"""),"N/A")</f>
        <v>N/A</v>
      </c>
      <c r="J502" s="97"/>
      <c r="K502" s="97" t="str">
        <f>IFERROR(__xludf.DUMMYFUNCTION("""COMPUTED_VALUE"""),"N/A")</f>
        <v>N/A</v>
      </c>
      <c r="L502" s="97">
        <f>IFERROR(__xludf.DUMMYFUNCTION("""COMPUTED_VALUE"""),220.0)</f>
        <v>220</v>
      </c>
      <c r="M502" s="97">
        <f>IFERROR(__xludf.DUMMYFUNCTION("""COMPUTED_VALUE"""),50.0)</f>
        <v>50</v>
      </c>
      <c r="N502" s="97"/>
      <c r="O502" s="97" t="str">
        <f>IFERROR(__xludf.DUMMYFUNCTION("""COMPUTED_VALUE"""),"1 x 50W Max")</f>
        <v>1 x 50W Max</v>
      </c>
      <c r="P502" s="97"/>
      <c r="Q502" s="97" t="str">
        <f>IFERROR(__xludf.DUMMYFUNCTION("""COMPUTED_VALUE"""),"-")</f>
        <v>-</v>
      </c>
      <c r="R502" s="97" t="str">
        <f>IFERROR(__xludf.DUMMYFUNCTION("""COMPUTED_VALUE"""),"-")</f>
        <v>-</v>
      </c>
      <c r="S502" s="97" t="str">
        <f>IFERROR(__xludf.DUMMYFUNCTION("""COMPUTED_VALUE"""),"-")</f>
        <v>-</v>
      </c>
      <c r="T502" s="97" t="str">
        <f>IFERROR(__xludf.DUMMYFUNCTION("""COMPUTED_VALUE"""),"-")</f>
        <v>-</v>
      </c>
      <c r="U502" s="97" t="str">
        <f>IFERROR(__xludf.DUMMYFUNCTION("""COMPUTED_VALUE"""),"-")</f>
        <v>-</v>
      </c>
      <c r="V502" s="97" t="str">
        <f>IFERROR(__xludf.DUMMYFUNCTION("""COMPUTED_VALUE"""),"N/A")</f>
        <v>N/A</v>
      </c>
      <c r="W502" s="97" t="str">
        <f>IFERROR(__xludf.DUMMYFUNCTION("""COMPUTED_VALUE"""),"N/A")</f>
        <v>N/A</v>
      </c>
      <c r="X502" s="97" t="str">
        <f>IFERROR(__xludf.DUMMYFUNCTION("""COMPUTED_VALUE"""),"-")</f>
        <v>-</v>
      </c>
      <c r="Y502" s="97" t="str">
        <f>IFERROR(__xludf.DUMMYFUNCTION("""COMPUTED_VALUE"""),"N/A")</f>
        <v>N/A</v>
      </c>
      <c r="Z502" s="97" t="str">
        <f>IFERROR(__xludf.DUMMYFUNCTION("""COMPUTED_VALUE"""),"N/A")</f>
        <v>N/A</v>
      </c>
      <c r="AA502" s="97" t="str">
        <f>IFERROR(__xludf.DUMMYFUNCTION("""COMPUTED_VALUE"""),"N/A")</f>
        <v>N/A</v>
      </c>
      <c r="AB502" s="97" t="str">
        <f>IFERROR(__xludf.DUMMYFUNCTION("""COMPUTED_VALUE"""),"N/A")</f>
        <v>N/A</v>
      </c>
      <c r="AC502" s="97" t="str">
        <f>IFERROR(__xludf.DUMMYFUNCTION("""COMPUTED_VALUE"""),"N/A")</f>
        <v>N/A</v>
      </c>
      <c r="AD502" s="97" t="str">
        <f>IFERROR(__xludf.DUMMYFUNCTION("""COMPUTED_VALUE"""),"IP20")</f>
        <v>IP20</v>
      </c>
      <c r="AE502" s="97" t="str">
        <f>IFERROR(__xludf.DUMMYFUNCTION("""COMPUTED_VALUE"""),"N/A")</f>
        <v>N/A</v>
      </c>
      <c r="AF502" s="97" t="str">
        <f>IFERROR(__xludf.DUMMYFUNCTION("""COMPUTED_VALUE"""),"Embutir")</f>
        <v>Embutir</v>
      </c>
      <c r="AG502" s="97" t="str">
        <f>IFERROR(__xludf.DUMMYFUNCTION("""COMPUTED_VALUE"""),"Ø90 x 30")</f>
        <v>Ø90 x 30</v>
      </c>
      <c r="AH502" s="97" t="str">
        <f>IFERROR(__xludf.DUMMYFUNCTION("""COMPUTED_VALUE"""),"Ø75-85 ")</f>
        <v>Ø75-85 </v>
      </c>
      <c r="AI502" s="97" t="str">
        <f>IFERROR(__xludf.DUMMYFUNCTION("""COMPUTED_VALUE"""),"79 *")</f>
        <v>79 *</v>
      </c>
      <c r="AJ502" s="97" t="str">
        <f>IFERROR(__xludf.DUMMYFUNCTION("""COMPUTED_VALUE"""),"N/A")</f>
        <v>N/A</v>
      </c>
      <c r="AK502" s="97" t="str">
        <f>IFERROR(__xludf.DUMMYFUNCTION("""COMPUTED_VALUE"""),"Policarbonato (PC)")</f>
        <v>Policarbonato (PC)</v>
      </c>
      <c r="AL502" s="97" t="str">
        <f>IFERROR(__xludf.DUMMYFUNCTION("""COMPUTED_VALUE"""),"Negro Mate")</f>
        <v>Negro Mate</v>
      </c>
      <c r="AM502" s="97" t="str">
        <f>IFERROR(__xludf.DUMMYFUNCTION("""COMPUTED_VALUE"""),"-")</f>
        <v>-</v>
      </c>
      <c r="AN502" s="97" t="str">
        <f>IFERROR(__xludf.DUMMYFUNCTION("""COMPUTED_VALUE"""),"N/A")</f>
        <v>N/A</v>
      </c>
      <c r="AO502" s="97" t="str">
        <f>IFERROR(__xludf.DUMMYFUNCTION("""COMPUTED_VALUE"""),"8 Años")</f>
        <v>8 Años</v>
      </c>
      <c r="AP502" s="97" t="str">
        <f>IFERROR(__xludf.DUMMYFUNCTION("""COMPUTED_VALUE"""),"No Aplica")</f>
        <v>No Aplica</v>
      </c>
      <c r="AQ502" s="97" t="str">
        <f>IFERROR(__xludf.DUMMYFUNCTION("""COMPUTED_VALUE"""),"No Aplica")</f>
        <v>No Aplica</v>
      </c>
      <c r="AR502" s="97" t="str">
        <f>IFERROR(__xludf.DUMMYFUNCTION("""COMPUTED_VALUE"""),"No Aplica")</f>
        <v>No Aplica</v>
      </c>
      <c r="AS502" s="97"/>
      <c r="AT502" s="97"/>
      <c r="AU502" s="97"/>
      <c r="AV502" s="97" t="str">
        <f>IFERROR(__xludf.DUMMYFUNCTION("""COMPUTED_VALUE"""),"Empotrable")</f>
        <v>Empotrable</v>
      </c>
      <c r="AW502" s="97" t="str">
        <f>IFERROR(__xludf.DUMMYFUNCTION("""COMPUTED_VALUE"""),"De Techo")</f>
        <v>De Techo</v>
      </c>
      <c r="AX502" s="97" t="str">
        <f>IFERROR(__xludf.DUMMYFUNCTION("""COMPUTED_VALUE"""),"Interior")</f>
        <v>Interior</v>
      </c>
      <c r="AY502" s="97"/>
      <c r="AZ502"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02" s="97">
        <f>IFERROR(__xludf.DUMMYFUNCTION("""COMPUTED_VALUE"""),100.0)</f>
        <v>100</v>
      </c>
      <c r="BB502" s="97"/>
      <c r="BC502" s="97"/>
      <c r="BD502" s="97" t="str">
        <f>IFERROR(__xludf.DUMMYFUNCTION("""COMPUTED_VALUE"""),"EMI")</f>
        <v>EMI</v>
      </c>
      <c r="BE502" s="97" t="str">
        <f>IFERROR(__xludf.DUMMYFUNCTION("""COMPUTED_VALUE"""),"Finalizada")</f>
        <v>Finalizada</v>
      </c>
      <c r="BF502" s="97"/>
      <c r="BG502" s="97" t="str">
        <f>IFERROR(__xludf.DUMMYFUNCTION("""COMPUTED_VALUE"""),"Discontinuo")</f>
        <v>Discontinuo</v>
      </c>
    </row>
    <row r="503">
      <c r="A503" s="97">
        <f>IFERROR(__xludf.DUMMYFUNCTION("""COMPUTED_VALUE"""),6108.0)</f>
        <v>6108</v>
      </c>
      <c r="B503" s="97" t="str">
        <f>IFERROR(__xludf.DUMMYFUNCTION("""COMPUTED_VALUE"""),"FACH I BL")</f>
        <v>FACH I BL</v>
      </c>
      <c r="C503" s="97" t="str">
        <f>IFERROR(__xludf.DUMMYFUNCTION("""COMPUTED_VALUE"""),"APLIQUE FACH I BL 1XGU10 DICRO IP20 LEUK")</f>
        <v>APLIQUE FACH I BL 1XGU10 DICRO IP20 LEUK</v>
      </c>
      <c r="D503" s="97">
        <f>IFERROR(__xludf.DUMMYFUNCTION("""COMPUTED_VALUE"""),7.79832875677E12)</f>
        <v>7798328756770</v>
      </c>
      <c r="E503" s="97" t="str">
        <f>IFERROR(__xludf.DUMMYFUNCTION("""COMPUTED_VALUE"""),"-")</f>
        <v>-</v>
      </c>
      <c r="F503" s="97" t="str">
        <f>IFERROR(__xludf.DUMMYFUNCTION("""COMPUTED_VALUE"""),"1xGU10 Dicro")</f>
        <v>1xGU10 Dicro</v>
      </c>
      <c r="G503" s="97" t="str">
        <f>IFERROR(__xludf.DUMMYFUNCTION("""COMPUTED_VALUE"""),"N/A")</f>
        <v>N/A</v>
      </c>
      <c r="H503" s="97" t="str">
        <f>IFERROR(__xludf.DUMMYFUNCTION("""COMPUTED_VALUE"""),"N/A")</f>
        <v>N/A</v>
      </c>
      <c r="I503" s="97" t="str">
        <f>IFERROR(__xludf.DUMMYFUNCTION("""COMPUTED_VALUE"""),"N/A")</f>
        <v>N/A</v>
      </c>
      <c r="J503" s="97" t="str">
        <f>IFERROR(__xludf.DUMMYFUNCTION("""COMPUTED_VALUE"""),"N/A")</f>
        <v>N/A</v>
      </c>
      <c r="K503" s="97" t="str">
        <f>IFERROR(__xludf.DUMMYFUNCTION("""COMPUTED_VALUE"""),"N/A")</f>
        <v>N/A</v>
      </c>
      <c r="L503" s="97">
        <f>IFERROR(__xludf.DUMMYFUNCTION("""COMPUTED_VALUE"""),220.0)</f>
        <v>220</v>
      </c>
      <c r="M503" s="97">
        <f>IFERROR(__xludf.DUMMYFUNCTION("""COMPUTED_VALUE"""),50.0)</f>
        <v>50</v>
      </c>
      <c r="N503" s="97"/>
      <c r="O503" s="97" t="str">
        <f>IFERROR(__xludf.DUMMYFUNCTION("""COMPUTED_VALUE"""),"1 x 50W Max")</f>
        <v>1 x 50W Max</v>
      </c>
      <c r="P503" s="97"/>
      <c r="Q503" s="97" t="str">
        <f>IFERROR(__xludf.DUMMYFUNCTION("""COMPUTED_VALUE"""),"-")</f>
        <v>-</v>
      </c>
      <c r="R503" s="97" t="str">
        <f>IFERROR(__xludf.DUMMYFUNCTION("""COMPUTED_VALUE"""),"-")</f>
        <v>-</v>
      </c>
      <c r="S503" s="97" t="str">
        <f>IFERROR(__xludf.DUMMYFUNCTION("""COMPUTED_VALUE"""),"-")</f>
        <v>-</v>
      </c>
      <c r="T503" s="97" t="str">
        <f>IFERROR(__xludf.DUMMYFUNCTION("""COMPUTED_VALUE"""),"-")</f>
        <v>-</v>
      </c>
      <c r="U503" s="97" t="str">
        <f>IFERROR(__xludf.DUMMYFUNCTION("""COMPUTED_VALUE"""),"-")</f>
        <v>-</v>
      </c>
      <c r="V503" s="97" t="str">
        <f>IFERROR(__xludf.DUMMYFUNCTION("""COMPUTED_VALUE"""),"N/A")</f>
        <v>N/A</v>
      </c>
      <c r="W503" s="97" t="str">
        <f>IFERROR(__xludf.DUMMYFUNCTION("""COMPUTED_VALUE"""),"N/A")</f>
        <v>N/A</v>
      </c>
      <c r="X503" s="97" t="str">
        <f>IFERROR(__xludf.DUMMYFUNCTION("""COMPUTED_VALUE"""),"-")</f>
        <v>-</v>
      </c>
      <c r="Y503" s="97" t="str">
        <f>IFERROR(__xludf.DUMMYFUNCTION("""COMPUTED_VALUE"""),"N/A")</f>
        <v>N/A</v>
      </c>
      <c r="Z503" s="97" t="str">
        <f>IFERROR(__xludf.DUMMYFUNCTION("""COMPUTED_VALUE"""),"N/A")</f>
        <v>N/A</v>
      </c>
      <c r="AA503" s="97" t="str">
        <f>IFERROR(__xludf.DUMMYFUNCTION("""COMPUTED_VALUE"""),"N/A")</f>
        <v>N/A</v>
      </c>
      <c r="AB503" s="97" t="str">
        <f>IFERROR(__xludf.DUMMYFUNCTION("""COMPUTED_VALUE"""),"N/A")</f>
        <v>N/A</v>
      </c>
      <c r="AC503" s="97" t="str">
        <f>IFERROR(__xludf.DUMMYFUNCTION("""COMPUTED_VALUE"""),"N/A")</f>
        <v>N/A</v>
      </c>
      <c r="AD503" s="97" t="str">
        <f>IFERROR(__xludf.DUMMYFUNCTION("""COMPUTED_VALUE"""),"IP20")</f>
        <v>IP20</v>
      </c>
      <c r="AE503" s="97" t="str">
        <f>IFERROR(__xludf.DUMMYFUNCTION("""COMPUTED_VALUE"""),"N/A")</f>
        <v>N/A</v>
      </c>
      <c r="AF503" s="97" t="str">
        <f>IFERROR(__xludf.DUMMYFUNCTION("""COMPUTED_VALUE"""),"Aplicar")</f>
        <v>Aplicar</v>
      </c>
      <c r="AG503" s="97" t="str">
        <f>IFERROR(__xludf.DUMMYFUNCTION("""COMPUTED_VALUE"""),"Ø95 x 100")</f>
        <v>Ø95 x 100</v>
      </c>
      <c r="AH503" s="97" t="str">
        <f>IFERROR(__xludf.DUMMYFUNCTION("""COMPUTED_VALUE"""),"N/A")</f>
        <v>N/A</v>
      </c>
      <c r="AI503" s="97" t="str">
        <f>IFERROR(__xludf.DUMMYFUNCTION("""COMPUTED_VALUE"""),"N/A")</f>
        <v>N/A</v>
      </c>
      <c r="AJ503" s="97" t="str">
        <f>IFERROR(__xludf.DUMMYFUNCTION("""COMPUTED_VALUE"""),"N/A")</f>
        <v>N/A</v>
      </c>
      <c r="AK503" s="97" t="str">
        <f>IFERROR(__xludf.DUMMYFUNCTION("""COMPUTED_VALUE"""),"Policarbonato (PC)")</f>
        <v>Policarbonato (PC)</v>
      </c>
      <c r="AL503" s="97" t="str">
        <f>IFERROR(__xludf.DUMMYFUNCTION("""COMPUTED_VALUE"""),"Blanco Mate")</f>
        <v>Blanco Mate</v>
      </c>
      <c r="AM503" s="97" t="str">
        <f>IFERROR(__xludf.DUMMYFUNCTION("""COMPUTED_VALUE"""),"-")</f>
        <v>-</v>
      </c>
      <c r="AN503" s="97" t="str">
        <f>IFERROR(__xludf.DUMMYFUNCTION("""COMPUTED_VALUE"""),"N/A")</f>
        <v>N/A</v>
      </c>
      <c r="AO503" s="97" t="str">
        <f>IFERROR(__xludf.DUMMYFUNCTION("""COMPUTED_VALUE"""),"8 Años")</f>
        <v>8 Años</v>
      </c>
      <c r="AP503" s="97" t="str">
        <f>IFERROR(__xludf.DUMMYFUNCTION("""COMPUTED_VALUE"""),"No Aplica")</f>
        <v>No Aplica</v>
      </c>
      <c r="AQ503" s="97" t="str">
        <f>IFERROR(__xludf.DUMMYFUNCTION("""COMPUTED_VALUE"""),"No Aplica")</f>
        <v>No Aplica</v>
      </c>
      <c r="AR503" s="97" t="str">
        <f>IFERROR(__xludf.DUMMYFUNCTION("""COMPUTED_VALUE"""),"No Aplica")</f>
        <v>No Aplica</v>
      </c>
      <c r="AS503" s="97"/>
      <c r="AT503" s="97"/>
      <c r="AU503" s="97" t="str">
        <f>IFERROR(__xludf.DUMMYFUNCTION("""COMPUTED_VALUE"""),"Falta")</f>
        <v>Falta</v>
      </c>
      <c r="AV503" s="97" t="str">
        <f>IFERROR(__xludf.DUMMYFUNCTION("""COMPUTED_VALUE"""),"Aplique")</f>
        <v>Aplique</v>
      </c>
      <c r="AW503" s="97" t="str">
        <f>IFERROR(__xludf.DUMMYFUNCTION("""COMPUTED_VALUE"""),"De Techo")</f>
        <v>De Techo</v>
      </c>
      <c r="AX503" s="97" t="str">
        <f>IFERROR(__xludf.DUMMYFUNCTION("""COMPUTED_VALUE"""),"Interior")</f>
        <v>Interior</v>
      </c>
      <c r="AY503" s="97" t="str">
        <f>IFERROR(__xludf.DUMMYFUNCTION("""COMPUTED_VALUE"""),"-")</f>
        <v>-</v>
      </c>
      <c r="AZ503" s="97" t="str">
        <f>IFERROR(__xludf.DUMMYFUNCTION("""COMPUTED_VALUE"""),"Spot con Movimiento.
**Garantía de 8 años de amarillamiento de PC.
***PC con protección contra rayos UV y retardador de incendios: clasificación BS2D0 con resistencia hasta 120°C.")</f>
        <v>Spot con Movimiento.
**Garantía de 8 años de amarillamiento de PC.
***PC con protección contra rayos UV y retardador de incendios: clasificación BS2D0 con resistencia hasta 120°C.</v>
      </c>
      <c r="BA503" s="97">
        <f>IFERROR(__xludf.DUMMYFUNCTION("""COMPUTED_VALUE"""),50.0)</f>
        <v>50</v>
      </c>
      <c r="BB503" s="97" t="str">
        <f>IFERROR(__xludf.DUMMYFUNCTION("""COMPUTED_VALUE"""),"-")</f>
        <v>-</v>
      </c>
      <c r="BC503" s="97" t="str">
        <f>IFERROR(__xludf.DUMMYFUNCTION("""COMPUTED_VALUE"""),"-")</f>
        <v>-</v>
      </c>
      <c r="BD503" s="97" t="str">
        <f>IFERROR(__xludf.DUMMYFUNCTION("""COMPUTED_VALUE"""),"FACH")</f>
        <v>FACH</v>
      </c>
      <c r="BE503" s="97" t="str">
        <f>IFERROR(__xludf.DUMMYFUNCTION("""COMPUTED_VALUE"""),"Finalizada")</f>
        <v>Finalizada</v>
      </c>
      <c r="BF503" s="97"/>
      <c r="BG503" s="97" t="str">
        <f>IFERROR(__xludf.DUMMYFUNCTION("""COMPUTED_VALUE"""),"Discontinuo")</f>
        <v>Discontinuo</v>
      </c>
    </row>
    <row r="504">
      <c r="A504" s="97">
        <f>IFERROR(__xludf.DUMMYFUNCTION("""COMPUTED_VALUE"""),6109.0)</f>
        <v>6109</v>
      </c>
      <c r="B504" s="97" t="str">
        <f>IFERROR(__xludf.DUMMYFUNCTION("""COMPUTED_VALUE"""),"FACH I NG")</f>
        <v>FACH I NG</v>
      </c>
      <c r="C504" s="97" t="str">
        <f>IFERROR(__xludf.DUMMYFUNCTION("""COMPUTED_VALUE"""),"APLIQUE FACH I NG 1XGU10 DICRO IP20 LEUK")</f>
        <v>APLIQUE FACH I NG 1XGU10 DICRO IP20 LEUK</v>
      </c>
      <c r="D504" s="97">
        <f>IFERROR(__xludf.DUMMYFUNCTION("""COMPUTED_VALUE"""),7.798328756787E12)</f>
        <v>7798328756787</v>
      </c>
      <c r="E504" s="97" t="str">
        <f>IFERROR(__xludf.DUMMYFUNCTION("""COMPUTED_VALUE"""),"-")</f>
        <v>-</v>
      </c>
      <c r="F504" s="97" t="str">
        <f>IFERROR(__xludf.DUMMYFUNCTION("""COMPUTED_VALUE"""),"1xGU10 Dicro")</f>
        <v>1xGU10 Dicro</v>
      </c>
      <c r="G504" s="97" t="str">
        <f>IFERROR(__xludf.DUMMYFUNCTION("""COMPUTED_VALUE"""),"N/A")</f>
        <v>N/A</v>
      </c>
      <c r="H504" s="97" t="str">
        <f>IFERROR(__xludf.DUMMYFUNCTION("""COMPUTED_VALUE"""),"N/A")</f>
        <v>N/A</v>
      </c>
      <c r="I504" s="97" t="str">
        <f>IFERROR(__xludf.DUMMYFUNCTION("""COMPUTED_VALUE"""),"N/A")</f>
        <v>N/A</v>
      </c>
      <c r="J504" s="97" t="str">
        <f>IFERROR(__xludf.DUMMYFUNCTION("""COMPUTED_VALUE"""),"N/A")</f>
        <v>N/A</v>
      </c>
      <c r="K504" s="97" t="str">
        <f>IFERROR(__xludf.DUMMYFUNCTION("""COMPUTED_VALUE"""),"N/A")</f>
        <v>N/A</v>
      </c>
      <c r="L504" s="97">
        <f>IFERROR(__xludf.DUMMYFUNCTION("""COMPUTED_VALUE"""),220.0)</f>
        <v>220</v>
      </c>
      <c r="M504" s="97">
        <f>IFERROR(__xludf.DUMMYFUNCTION("""COMPUTED_VALUE"""),50.0)</f>
        <v>50</v>
      </c>
      <c r="N504" s="97"/>
      <c r="O504" s="97" t="str">
        <f>IFERROR(__xludf.DUMMYFUNCTION("""COMPUTED_VALUE"""),"1 x 50W Max")</f>
        <v>1 x 50W Max</v>
      </c>
      <c r="P504" s="97"/>
      <c r="Q504" s="97" t="str">
        <f>IFERROR(__xludf.DUMMYFUNCTION("""COMPUTED_VALUE"""),"-")</f>
        <v>-</v>
      </c>
      <c r="R504" s="97" t="str">
        <f>IFERROR(__xludf.DUMMYFUNCTION("""COMPUTED_VALUE"""),"-")</f>
        <v>-</v>
      </c>
      <c r="S504" s="97" t="str">
        <f>IFERROR(__xludf.DUMMYFUNCTION("""COMPUTED_VALUE"""),"-")</f>
        <v>-</v>
      </c>
      <c r="T504" s="97" t="str">
        <f>IFERROR(__xludf.DUMMYFUNCTION("""COMPUTED_VALUE"""),"-")</f>
        <v>-</v>
      </c>
      <c r="U504" s="97" t="str">
        <f>IFERROR(__xludf.DUMMYFUNCTION("""COMPUTED_VALUE"""),"-")</f>
        <v>-</v>
      </c>
      <c r="V504" s="97" t="str">
        <f>IFERROR(__xludf.DUMMYFUNCTION("""COMPUTED_VALUE"""),"N/A")</f>
        <v>N/A</v>
      </c>
      <c r="W504" s="97" t="str">
        <f>IFERROR(__xludf.DUMMYFUNCTION("""COMPUTED_VALUE"""),"N/A")</f>
        <v>N/A</v>
      </c>
      <c r="X504" s="97" t="str">
        <f>IFERROR(__xludf.DUMMYFUNCTION("""COMPUTED_VALUE"""),"-")</f>
        <v>-</v>
      </c>
      <c r="Y504" s="97" t="str">
        <f>IFERROR(__xludf.DUMMYFUNCTION("""COMPUTED_VALUE"""),"N/A")</f>
        <v>N/A</v>
      </c>
      <c r="Z504" s="97" t="str">
        <f>IFERROR(__xludf.DUMMYFUNCTION("""COMPUTED_VALUE"""),"N/A")</f>
        <v>N/A</v>
      </c>
      <c r="AA504" s="97" t="str">
        <f>IFERROR(__xludf.DUMMYFUNCTION("""COMPUTED_VALUE"""),"N/A")</f>
        <v>N/A</v>
      </c>
      <c r="AB504" s="97" t="str">
        <f>IFERROR(__xludf.DUMMYFUNCTION("""COMPUTED_VALUE"""),"N/A")</f>
        <v>N/A</v>
      </c>
      <c r="AC504" s="97" t="str">
        <f>IFERROR(__xludf.DUMMYFUNCTION("""COMPUTED_VALUE"""),"N/A")</f>
        <v>N/A</v>
      </c>
      <c r="AD504" s="97" t="str">
        <f>IFERROR(__xludf.DUMMYFUNCTION("""COMPUTED_VALUE"""),"IP20")</f>
        <v>IP20</v>
      </c>
      <c r="AE504" s="97" t="str">
        <f>IFERROR(__xludf.DUMMYFUNCTION("""COMPUTED_VALUE"""),"N/A")</f>
        <v>N/A</v>
      </c>
      <c r="AF504" s="97" t="str">
        <f>IFERROR(__xludf.DUMMYFUNCTION("""COMPUTED_VALUE"""),"Aplicar")</f>
        <v>Aplicar</v>
      </c>
      <c r="AG504" s="97" t="str">
        <f>IFERROR(__xludf.DUMMYFUNCTION("""COMPUTED_VALUE"""),"Ø95 x 100")</f>
        <v>Ø95 x 100</v>
      </c>
      <c r="AH504" s="97" t="str">
        <f>IFERROR(__xludf.DUMMYFUNCTION("""COMPUTED_VALUE"""),"N/A")</f>
        <v>N/A</v>
      </c>
      <c r="AI504" s="97" t="str">
        <f>IFERROR(__xludf.DUMMYFUNCTION("""COMPUTED_VALUE"""),"N/A")</f>
        <v>N/A</v>
      </c>
      <c r="AJ504" s="97" t="str">
        <f>IFERROR(__xludf.DUMMYFUNCTION("""COMPUTED_VALUE"""),"N/A")</f>
        <v>N/A</v>
      </c>
      <c r="AK504" s="97" t="str">
        <f>IFERROR(__xludf.DUMMYFUNCTION("""COMPUTED_VALUE"""),"Policarbonato (PC)")</f>
        <v>Policarbonato (PC)</v>
      </c>
      <c r="AL504" s="97" t="str">
        <f>IFERROR(__xludf.DUMMYFUNCTION("""COMPUTED_VALUE"""),"Negro Mate")</f>
        <v>Negro Mate</v>
      </c>
      <c r="AM504" s="97" t="str">
        <f>IFERROR(__xludf.DUMMYFUNCTION("""COMPUTED_VALUE"""),"-")</f>
        <v>-</v>
      </c>
      <c r="AN504" s="97" t="str">
        <f>IFERROR(__xludf.DUMMYFUNCTION("""COMPUTED_VALUE"""),"N/A")</f>
        <v>N/A</v>
      </c>
      <c r="AO504" s="97" t="str">
        <f>IFERROR(__xludf.DUMMYFUNCTION("""COMPUTED_VALUE"""),"8 Años")</f>
        <v>8 Años</v>
      </c>
      <c r="AP504" s="97" t="str">
        <f>IFERROR(__xludf.DUMMYFUNCTION("""COMPUTED_VALUE"""),"No Aplica")</f>
        <v>No Aplica</v>
      </c>
      <c r="AQ504" s="97" t="str">
        <f>IFERROR(__xludf.DUMMYFUNCTION("""COMPUTED_VALUE"""),"No Aplica")</f>
        <v>No Aplica</v>
      </c>
      <c r="AR504" s="97" t="str">
        <f>IFERROR(__xludf.DUMMYFUNCTION("""COMPUTED_VALUE"""),"No Aplica")</f>
        <v>No Aplica</v>
      </c>
      <c r="AS504" s="97"/>
      <c r="AT504" s="97"/>
      <c r="AU504" s="97" t="str">
        <f>IFERROR(__xludf.DUMMYFUNCTION("""COMPUTED_VALUE"""),"Falta")</f>
        <v>Falta</v>
      </c>
      <c r="AV504" s="97" t="str">
        <f>IFERROR(__xludf.DUMMYFUNCTION("""COMPUTED_VALUE"""),"Aplique")</f>
        <v>Aplique</v>
      </c>
      <c r="AW504" s="97" t="str">
        <f>IFERROR(__xludf.DUMMYFUNCTION("""COMPUTED_VALUE"""),"De Techo")</f>
        <v>De Techo</v>
      </c>
      <c r="AX504" s="97" t="str">
        <f>IFERROR(__xludf.DUMMYFUNCTION("""COMPUTED_VALUE"""),"Interior")</f>
        <v>Interior</v>
      </c>
      <c r="AY504" s="97" t="str">
        <f>IFERROR(__xludf.DUMMYFUNCTION("""COMPUTED_VALUE"""),"-")</f>
        <v>-</v>
      </c>
      <c r="AZ504" s="97" t="str">
        <f>IFERROR(__xludf.DUMMYFUNCTION("""COMPUTED_VALUE"""),"Spot con Movimiento.
**Garantía de 8 años de amarillamiento de PC.
***PC con protección contra rayos UV y retardador de incendios: clasificación BS2D0 con resistencia hasta 120°C.")</f>
        <v>Spot con Movimiento.
**Garantía de 8 años de amarillamiento de PC.
***PC con protección contra rayos UV y retardador de incendios: clasificación BS2D0 con resistencia hasta 120°C.</v>
      </c>
      <c r="BA504" s="97">
        <f>IFERROR(__xludf.DUMMYFUNCTION("""COMPUTED_VALUE"""),50.0)</f>
        <v>50</v>
      </c>
      <c r="BB504" s="97" t="str">
        <f>IFERROR(__xludf.DUMMYFUNCTION("""COMPUTED_VALUE"""),"-")</f>
        <v>-</v>
      </c>
      <c r="BC504" s="97" t="str">
        <f>IFERROR(__xludf.DUMMYFUNCTION("""COMPUTED_VALUE"""),"-")</f>
        <v>-</v>
      </c>
      <c r="BD504" s="97" t="str">
        <f>IFERROR(__xludf.DUMMYFUNCTION("""COMPUTED_VALUE"""),"FACH")</f>
        <v>FACH</v>
      </c>
      <c r="BE504" s="97" t="str">
        <f>IFERROR(__xludf.DUMMYFUNCTION("""COMPUTED_VALUE"""),"Finalizada")</f>
        <v>Finalizada</v>
      </c>
      <c r="BF504" s="97"/>
      <c r="BG504" s="97" t="str">
        <f>IFERROR(__xludf.DUMMYFUNCTION("""COMPUTED_VALUE"""),"Discontinuo")</f>
        <v>Discontinuo</v>
      </c>
    </row>
    <row r="505">
      <c r="A505" s="97">
        <f>IFERROR(__xludf.DUMMYFUNCTION("""COMPUTED_VALUE"""),6110.0)</f>
        <v>6110</v>
      </c>
      <c r="B505" s="97" t="str">
        <f>IFERROR(__xludf.DUMMYFUNCTION("""COMPUTED_VALUE"""),"INDU I BL")</f>
        <v>INDU I BL</v>
      </c>
      <c r="C505" s="97" t="str">
        <f>IFERROR(__xludf.DUMMYFUNCTION("""COMPUTED_VALUE"""),"SPOT DE EMBUTIR INDU1 BLANCO")</f>
        <v>SPOT DE EMBUTIR INDU1 BLANCO</v>
      </c>
      <c r="D505" s="97">
        <f>IFERROR(__xludf.DUMMYFUNCTION("""COMPUTED_VALUE"""),7.798328756886E12)</f>
        <v>7798328756886</v>
      </c>
      <c r="E505" s="97"/>
      <c r="F505" s="97" t="str">
        <f>IFERROR(__xludf.DUMMYFUNCTION("""COMPUTED_VALUE"""),"1 x GU10")</f>
        <v>1 x GU10</v>
      </c>
      <c r="G505" s="97" t="str">
        <f>IFERROR(__xludf.DUMMYFUNCTION("""COMPUTED_VALUE"""),"N/A")</f>
        <v>N/A</v>
      </c>
      <c r="H505" s="97" t="str">
        <f>IFERROR(__xludf.DUMMYFUNCTION("""COMPUTED_VALUE"""),"N/A")</f>
        <v>N/A</v>
      </c>
      <c r="I505" s="97" t="str">
        <f>IFERROR(__xludf.DUMMYFUNCTION("""COMPUTED_VALUE"""),"N/A")</f>
        <v>N/A</v>
      </c>
      <c r="J505" s="97"/>
      <c r="K505" s="97" t="str">
        <f>IFERROR(__xludf.DUMMYFUNCTION("""COMPUTED_VALUE"""),"N/A")</f>
        <v>N/A</v>
      </c>
      <c r="L505" s="97">
        <f>IFERROR(__xludf.DUMMYFUNCTION("""COMPUTED_VALUE"""),220.0)</f>
        <v>220</v>
      </c>
      <c r="M505" s="97">
        <f>IFERROR(__xludf.DUMMYFUNCTION("""COMPUTED_VALUE"""),50.0)</f>
        <v>50</v>
      </c>
      <c r="N505" s="97"/>
      <c r="O505" s="97" t="str">
        <f>IFERROR(__xludf.DUMMYFUNCTION("""COMPUTED_VALUE"""),"1 x 50W Max")</f>
        <v>1 x 50W Max</v>
      </c>
      <c r="P505" s="97"/>
      <c r="Q505" s="97" t="str">
        <f>IFERROR(__xludf.DUMMYFUNCTION("""COMPUTED_VALUE"""),"-")</f>
        <v>-</v>
      </c>
      <c r="R505" s="97" t="str">
        <f>IFERROR(__xludf.DUMMYFUNCTION("""COMPUTED_VALUE"""),"-")</f>
        <v>-</v>
      </c>
      <c r="S505" s="97" t="str">
        <f>IFERROR(__xludf.DUMMYFUNCTION("""COMPUTED_VALUE"""),"-")</f>
        <v>-</v>
      </c>
      <c r="T505" s="97" t="str">
        <f>IFERROR(__xludf.DUMMYFUNCTION("""COMPUTED_VALUE"""),"-")</f>
        <v>-</v>
      </c>
      <c r="U505" s="97" t="str">
        <f>IFERROR(__xludf.DUMMYFUNCTION("""COMPUTED_VALUE"""),"-")</f>
        <v>-</v>
      </c>
      <c r="V505" s="97" t="str">
        <f>IFERROR(__xludf.DUMMYFUNCTION("""COMPUTED_VALUE"""),"N/A")</f>
        <v>N/A</v>
      </c>
      <c r="W505" s="97" t="str">
        <f>IFERROR(__xludf.DUMMYFUNCTION("""COMPUTED_VALUE"""),"N/A")</f>
        <v>N/A</v>
      </c>
      <c r="X505" s="97" t="str">
        <f>IFERROR(__xludf.DUMMYFUNCTION("""COMPUTED_VALUE"""),"-")</f>
        <v>-</v>
      </c>
      <c r="Y505" s="97" t="str">
        <f>IFERROR(__xludf.DUMMYFUNCTION("""COMPUTED_VALUE"""),"N/A")</f>
        <v>N/A</v>
      </c>
      <c r="Z505" s="97" t="str">
        <f>IFERROR(__xludf.DUMMYFUNCTION("""COMPUTED_VALUE"""),"N/A")</f>
        <v>N/A</v>
      </c>
      <c r="AA505" s="97" t="str">
        <f>IFERROR(__xludf.DUMMYFUNCTION("""COMPUTED_VALUE"""),"N/A")</f>
        <v>N/A</v>
      </c>
      <c r="AB505" s="97" t="str">
        <f>IFERROR(__xludf.DUMMYFUNCTION("""COMPUTED_VALUE"""),"N/A")</f>
        <v>N/A</v>
      </c>
      <c r="AC505" s="97" t="str">
        <f>IFERROR(__xludf.DUMMYFUNCTION("""COMPUTED_VALUE"""),"N/A")</f>
        <v>N/A</v>
      </c>
      <c r="AD505" s="97" t="str">
        <f>IFERROR(__xludf.DUMMYFUNCTION("""COMPUTED_VALUE"""),"IP20")</f>
        <v>IP20</v>
      </c>
      <c r="AE505" s="97" t="str">
        <f>IFERROR(__xludf.DUMMYFUNCTION("""COMPUTED_VALUE"""),"N/A")</f>
        <v>N/A</v>
      </c>
      <c r="AF505" s="97" t="str">
        <f>IFERROR(__xludf.DUMMYFUNCTION("""COMPUTED_VALUE"""),"Embutir")</f>
        <v>Embutir</v>
      </c>
      <c r="AG505" s="97" t="str">
        <f>IFERROR(__xludf.DUMMYFUNCTION("""COMPUTED_VALUE"""),"Ø90 x 30")</f>
        <v>Ø90 x 30</v>
      </c>
      <c r="AH505" s="97" t="str">
        <f>IFERROR(__xludf.DUMMYFUNCTION("""COMPUTED_VALUE"""),"Ø85 ")</f>
        <v>Ø85 </v>
      </c>
      <c r="AI505" s="97" t="str">
        <f>IFERROR(__xludf.DUMMYFUNCTION("""COMPUTED_VALUE"""),"79 *")</f>
        <v>79 *</v>
      </c>
      <c r="AJ505" s="97" t="str">
        <f>IFERROR(__xludf.DUMMYFUNCTION("""COMPUTED_VALUE"""),"N/A")</f>
        <v>N/A</v>
      </c>
      <c r="AK505" s="97" t="str">
        <f>IFERROR(__xludf.DUMMYFUNCTION("""COMPUTED_VALUE"""),"Policarbonato (PC)")</f>
        <v>Policarbonato (PC)</v>
      </c>
      <c r="AL505" s="97" t="str">
        <f>IFERROR(__xludf.DUMMYFUNCTION("""COMPUTED_VALUE"""),"Blanco Mate")</f>
        <v>Blanco Mate</v>
      </c>
      <c r="AM505" s="97" t="str">
        <f>IFERROR(__xludf.DUMMYFUNCTION("""COMPUTED_VALUE"""),"-")</f>
        <v>-</v>
      </c>
      <c r="AN505" s="97" t="str">
        <f>IFERROR(__xludf.DUMMYFUNCTION("""COMPUTED_VALUE"""),"N/A")</f>
        <v>N/A</v>
      </c>
      <c r="AO505" s="97" t="str">
        <f>IFERROR(__xludf.DUMMYFUNCTION("""COMPUTED_VALUE"""),"8 Años")</f>
        <v>8 Años</v>
      </c>
      <c r="AP505" s="97" t="str">
        <f>IFERROR(__xludf.DUMMYFUNCTION("""COMPUTED_VALUE"""),"No Aplica")</f>
        <v>No Aplica</v>
      </c>
      <c r="AQ505" s="97" t="str">
        <f>IFERROR(__xludf.DUMMYFUNCTION("""COMPUTED_VALUE"""),"No Aplica")</f>
        <v>No Aplica</v>
      </c>
      <c r="AR505" s="97" t="str">
        <f>IFERROR(__xludf.DUMMYFUNCTION("""COMPUTED_VALUE"""),"No Aplica")</f>
        <v>No Aplica</v>
      </c>
      <c r="AS505" s="97"/>
      <c r="AT505" s="97"/>
      <c r="AU505" s="97"/>
      <c r="AV505" s="97" t="str">
        <f>IFERROR(__xludf.DUMMYFUNCTION("""COMPUTED_VALUE"""),"Empotrable")</f>
        <v>Empotrable</v>
      </c>
      <c r="AW505" s="97" t="str">
        <f>IFERROR(__xludf.DUMMYFUNCTION("""COMPUTED_VALUE"""),"De Techo")</f>
        <v>De Techo</v>
      </c>
      <c r="AX505" s="97" t="str">
        <f>IFERROR(__xludf.DUMMYFUNCTION("""COMPUTED_VALUE"""),"Interior")</f>
        <v>Interior</v>
      </c>
      <c r="AY505" s="97"/>
      <c r="AZ505"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05" s="97">
        <f>IFERROR(__xludf.DUMMYFUNCTION("""COMPUTED_VALUE"""),100.0)</f>
        <v>100</v>
      </c>
      <c r="BB505" s="97"/>
      <c r="BC505" s="97"/>
      <c r="BD505" s="97" t="str">
        <f>IFERROR(__xludf.DUMMYFUNCTION("""COMPUTED_VALUE"""),"INDU")</f>
        <v>INDU</v>
      </c>
      <c r="BE505" s="97" t="str">
        <f>IFERROR(__xludf.DUMMYFUNCTION("""COMPUTED_VALUE"""),"Finalizada")</f>
        <v>Finalizada</v>
      </c>
      <c r="BF505" s="97"/>
      <c r="BG505" s="97" t="str">
        <f>IFERROR(__xludf.DUMMYFUNCTION("""COMPUTED_VALUE"""),"Discontinuo")</f>
        <v>Discontinuo</v>
      </c>
    </row>
    <row r="506">
      <c r="A506" s="97">
        <f>IFERROR(__xludf.DUMMYFUNCTION("""COMPUTED_VALUE"""),6111.0)</f>
        <v>6111</v>
      </c>
      <c r="B506" s="97" t="str">
        <f>IFERROR(__xludf.DUMMYFUNCTION("""COMPUTED_VALUE"""),"INDU I NG")</f>
        <v>INDU I NG</v>
      </c>
      <c r="C506" s="97" t="str">
        <f>IFERROR(__xludf.DUMMYFUNCTION("""COMPUTED_VALUE"""),"SPOT DE EMBUTIR INDU1 NEGRO")</f>
        <v>SPOT DE EMBUTIR INDU1 NEGRO</v>
      </c>
      <c r="D506" s="97">
        <f>IFERROR(__xludf.DUMMYFUNCTION("""COMPUTED_VALUE"""),7.798328756893E12)</f>
        <v>7798328756893</v>
      </c>
      <c r="E506" s="97"/>
      <c r="F506" s="97" t="str">
        <f>IFERROR(__xludf.DUMMYFUNCTION("""COMPUTED_VALUE"""),"1 x GU10")</f>
        <v>1 x GU10</v>
      </c>
      <c r="G506" s="97" t="str">
        <f>IFERROR(__xludf.DUMMYFUNCTION("""COMPUTED_VALUE"""),"N/A")</f>
        <v>N/A</v>
      </c>
      <c r="H506" s="97" t="str">
        <f>IFERROR(__xludf.DUMMYFUNCTION("""COMPUTED_VALUE"""),"N/A")</f>
        <v>N/A</v>
      </c>
      <c r="I506" s="97" t="str">
        <f>IFERROR(__xludf.DUMMYFUNCTION("""COMPUTED_VALUE"""),"N/A")</f>
        <v>N/A</v>
      </c>
      <c r="J506" s="97"/>
      <c r="K506" s="97" t="str">
        <f>IFERROR(__xludf.DUMMYFUNCTION("""COMPUTED_VALUE"""),"N/A")</f>
        <v>N/A</v>
      </c>
      <c r="L506" s="97">
        <f>IFERROR(__xludf.DUMMYFUNCTION("""COMPUTED_VALUE"""),220.0)</f>
        <v>220</v>
      </c>
      <c r="M506" s="97">
        <f>IFERROR(__xludf.DUMMYFUNCTION("""COMPUTED_VALUE"""),50.0)</f>
        <v>50</v>
      </c>
      <c r="N506" s="97"/>
      <c r="O506" s="97" t="str">
        <f>IFERROR(__xludf.DUMMYFUNCTION("""COMPUTED_VALUE"""),"1 x 50W Max")</f>
        <v>1 x 50W Max</v>
      </c>
      <c r="P506" s="97"/>
      <c r="Q506" s="97" t="str">
        <f>IFERROR(__xludf.DUMMYFUNCTION("""COMPUTED_VALUE"""),"-")</f>
        <v>-</v>
      </c>
      <c r="R506" s="97" t="str">
        <f>IFERROR(__xludf.DUMMYFUNCTION("""COMPUTED_VALUE"""),"-")</f>
        <v>-</v>
      </c>
      <c r="S506" s="97" t="str">
        <f>IFERROR(__xludf.DUMMYFUNCTION("""COMPUTED_VALUE"""),"-")</f>
        <v>-</v>
      </c>
      <c r="T506" s="97" t="str">
        <f>IFERROR(__xludf.DUMMYFUNCTION("""COMPUTED_VALUE"""),"-")</f>
        <v>-</v>
      </c>
      <c r="U506" s="97" t="str">
        <f>IFERROR(__xludf.DUMMYFUNCTION("""COMPUTED_VALUE"""),"-")</f>
        <v>-</v>
      </c>
      <c r="V506" s="97" t="str">
        <f>IFERROR(__xludf.DUMMYFUNCTION("""COMPUTED_VALUE"""),"N/A")</f>
        <v>N/A</v>
      </c>
      <c r="W506" s="97" t="str">
        <f>IFERROR(__xludf.DUMMYFUNCTION("""COMPUTED_VALUE"""),"N/A")</f>
        <v>N/A</v>
      </c>
      <c r="X506" s="97" t="str">
        <f>IFERROR(__xludf.DUMMYFUNCTION("""COMPUTED_VALUE"""),"-")</f>
        <v>-</v>
      </c>
      <c r="Y506" s="97" t="str">
        <f>IFERROR(__xludf.DUMMYFUNCTION("""COMPUTED_VALUE"""),"N/A")</f>
        <v>N/A</v>
      </c>
      <c r="Z506" s="97" t="str">
        <f>IFERROR(__xludf.DUMMYFUNCTION("""COMPUTED_VALUE"""),"N/A")</f>
        <v>N/A</v>
      </c>
      <c r="AA506" s="97" t="str">
        <f>IFERROR(__xludf.DUMMYFUNCTION("""COMPUTED_VALUE"""),"N/A")</f>
        <v>N/A</v>
      </c>
      <c r="AB506" s="97" t="str">
        <f>IFERROR(__xludf.DUMMYFUNCTION("""COMPUTED_VALUE"""),"N/A")</f>
        <v>N/A</v>
      </c>
      <c r="AC506" s="97" t="str">
        <f>IFERROR(__xludf.DUMMYFUNCTION("""COMPUTED_VALUE"""),"N/A")</f>
        <v>N/A</v>
      </c>
      <c r="AD506" s="97" t="str">
        <f>IFERROR(__xludf.DUMMYFUNCTION("""COMPUTED_VALUE"""),"IP20")</f>
        <v>IP20</v>
      </c>
      <c r="AE506" s="97" t="str">
        <f>IFERROR(__xludf.DUMMYFUNCTION("""COMPUTED_VALUE"""),"N/A")</f>
        <v>N/A</v>
      </c>
      <c r="AF506" s="97" t="str">
        <f>IFERROR(__xludf.DUMMYFUNCTION("""COMPUTED_VALUE"""),"Embutir")</f>
        <v>Embutir</v>
      </c>
      <c r="AG506" s="97" t="str">
        <f>IFERROR(__xludf.DUMMYFUNCTION("""COMPUTED_VALUE"""),"Ø90 x 30")</f>
        <v>Ø90 x 30</v>
      </c>
      <c r="AH506" s="97" t="str">
        <f>IFERROR(__xludf.DUMMYFUNCTION("""COMPUTED_VALUE"""),"Ø85 ")</f>
        <v>Ø85 </v>
      </c>
      <c r="AI506" s="97" t="str">
        <f>IFERROR(__xludf.DUMMYFUNCTION("""COMPUTED_VALUE"""),"79 *")</f>
        <v>79 *</v>
      </c>
      <c r="AJ506" s="97" t="str">
        <f>IFERROR(__xludf.DUMMYFUNCTION("""COMPUTED_VALUE"""),"N/A")</f>
        <v>N/A</v>
      </c>
      <c r="AK506" s="97" t="str">
        <f>IFERROR(__xludf.DUMMYFUNCTION("""COMPUTED_VALUE"""),"Policarbonato (PC)")</f>
        <v>Policarbonato (PC)</v>
      </c>
      <c r="AL506" s="97" t="str">
        <f>IFERROR(__xludf.DUMMYFUNCTION("""COMPUTED_VALUE"""),"Negro Mate")</f>
        <v>Negro Mate</v>
      </c>
      <c r="AM506" s="97" t="str">
        <f>IFERROR(__xludf.DUMMYFUNCTION("""COMPUTED_VALUE"""),"-")</f>
        <v>-</v>
      </c>
      <c r="AN506" s="97" t="str">
        <f>IFERROR(__xludf.DUMMYFUNCTION("""COMPUTED_VALUE"""),"N/A")</f>
        <v>N/A</v>
      </c>
      <c r="AO506" s="97" t="str">
        <f>IFERROR(__xludf.DUMMYFUNCTION("""COMPUTED_VALUE"""),"8 Años")</f>
        <v>8 Años</v>
      </c>
      <c r="AP506" s="97" t="str">
        <f>IFERROR(__xludf.DUMMYFUNCTION("""COMPUTED_VALUE"""),"No Aplica")</f>
        <v>No Aplica</v>
      </c>
      <c r="AQ506" s="97" t="str">
        <f>IFERROR(__xludf.DUMMYFUNCTION("""COMPUTED_VALUE"""),"No Aplica")</f>
        <v>No Aplica</v>
      </c>
      <c r="AR506" s="97" t="str">
        <f>IFERROR(__xludf.DUMMYFUNCTION("""COMPUTED_VALUE"""),"No Aplica")</f>
        <v>No Aplica</v>
      </c>
      <c r="AS506" s="97"/>
      <c r="AT506" s="97"/>
      <c r="AU506" s="97"/>
      <c r="AV506" s="97" t="str">
        <f>IFERROR(__xludf.DUMMYFUNCTION("""COMPUTED_VALUE"""),"Empotrable")</f>
        <v>Empotrable</v>
      </c>
      <c r="AW506" s="97" t="str">
        <f>IFERROR(__xludf.DUMMYFUNCTION("""COMPUTED_VALUE"""),"De Techo")</f>
        <v>De Techo</v>
      </c>
      <c r="AX506" s="97" t="str">
        <f>IFERROR(__xludf.DUMMYFUNCTION("""COMPUTED_VALUE"""),"Interior")</f>
        <v>Interior</v>
      </c>
      <c r="AY506" s="97"/>
      <c r="AZ506"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06" s="97">
        <f>IFERROR(__xludf.DUMMYFUNCTION("""COMPUTED_VALUE"""),100.0)</f>
        <v>100</v>
      </c>
      <c r="BB506" s="97"/>
      <c r="BC506" s="97"/>
      <c r="BD506" s="97" t="str">
        <f>IFERROR(__xludf.DUMMYFUNCTION("""COMPUTED_VALUE"""),"INDU")</f>
        <v>INDU</v>
      </c>
      <c r="BE506" s="97" t="str">
        <f>IFERROR(__xludf.DUMMYFUNCTION("""COMPUTED_VALUE"""),"Finalizada")</f>
        <v>Finalizada</v>
      </c>
      <c r="BF506" s="97"/>
      <c r="BG506" s="97" t="str">
        <f>IFERROR(__xludf.DUMMYFUNCTION("""COMPUTED_VALUE"""),"Discontinuo")</f>
        <v>Discontinuo</v>
      </c>
    </row>
    <row r="507">
      <c r="A507" s="97">
        <f>IFERROR(__xludf.DUMMYFUNCTION("""COMPUTED_VALUE"""),6112.0)</f>
        <v>6112</v>
      </c>
      <c r="B507" s="97" t="str">
        <f>IFERROR(__xludf.DUMMYFUNCTION("""COMPUTED_VALUE"""),"IOJU I BL")</f>
        <v>IOJU I BL</v>
      </c>
      <c r="C507" s="97" t="str">
        <f>IFERROR(__xludf.DUMMYFUNCTION("""COMPUTED_VALUE"""),"EMPOTRABLE IOJU I BL 1XGU10 DICRO IP20 LEUK")</f>
        <v>EMPOTRABLE IOJU I BL 1XGU10 DICRO IP20 LEUK</v>
      </c>
      <c r="D507" s="97">
        <f>IFERROR(__xludf.DUMMYFUNCTION("""COMPUTED_VALUE"""),7.798328756909E12)</f>
        <v>7798328756909</v>
      </c>
      <c r="E507" s="97" t="str">
        <f>IFERROR(__xludf.DUMMYFUNCTION("""COMPUTED_VALUE"""),"-")</f>
        <v>-</v>
      </c>
      <c r="F507" s="97" t="str">
        <f>IFERROR(__xludf.DUMMYFUNCTION("""COMPUTED_VALUE"""),"1xGU10 Dicro")</f>
        <v>1xGU10 Dicro</v>
      </c>
      <c r="G507" s="97" t="str">
        <f>IFERROR(__xludf.DUMMYFUNCTION("""COMPUTED_VALUE"""),"N/A")</f>
        <v>N/A</v>
      </c>
      <c r="H507" s="97" t="str">
        <f>IFERROR(__xludf.DUMMYFUNCTION("""COMPUTED_VALUE"""),"N/A")</f>
        <v>N/A</v>
      </c>
      <c r="I507" s="97" t="str">
        <f>IFERROR(__xludf.DUMMYFUNCTION("""COMPUTED_VALUE"""),"N/A")</f>
        <v>N/A</v>
      </c>
      <c r="J507" s="97" t="str">
        <f>IFERROR(__xludf.DUMMYFUNCTION("""COMPUTED_VALUE"""),"N/A")</f>
        <v>N/A</v>
      </c>
      <c r="K507" s="97" t="str">
        <f>IFERROR(__xludf.DUMMYFUNCTION("""COMPUTED_VALUE"""),"N/A")</f>
        <v>N/A</v>
      </c>
      <c r="L507" s="97">
        <f>IFERROR(__xludf.DUMMYFUNCTION("""COMPUTED_VALUE"""),220.0)</f>
        <v>220</v>
      </c>
      <c r="M507" s="97">
        <f>IFERROR(__xludf.DUMMYFUNCTION("""COMPUTED_VALUE"""),50.0)</f>
        <v>50</v>
      </c>
      <c r="N507" s="97"/>
      <c r="O507" s="97" t="str">
        <f>IFERROR(__xludf.DUMMYFUNCTION("""COMPUTED_VALUE"""),"1 x 50W Max")</f>
        <v>1 x 50W Max</v>
      </c>
      <c r="P507" s="97"/>
      <c r="Q507" s="97" t="str">
        <f>IFERROR(__xludf.DUMMYFUNCTION("""COMPUTED_VALUE"""),"-")</f>
        <v>-</v>
      </c>
      <c r="R507" s="97" t="str">
        <f>IFERROR(__xludf.DUMMYFUNCTION("""COMPUTED_VALUE"""),"-")</f>
        <v>-</v>
      </c>
      <c r="S507" s="97" t="str">
        <f>IFERROR(__xludf.DUMMYFUNCTION("""COMPUTED_VALUE"""),"-")</f>
        <v>-</v>
      </c>
      <c r="T507" s="97" t="str">
        <f>IFERROR(__xludf.DUMMYFUNCTION("""COMPUTED_VALUE"""),"-")</f>
        <v>-</v>
      </c>
      <c r="U507" s="97" t="str">
        <f>IFERROR(__xludf.DUMMYFUNCTION("""COMPUTED_VALUE"""),"-")</f>
        <v>-</v>
      </c>
      <c r="V507" s="97" t="str">
        <f>IFERROR(__xludf.DUMMYFUNCTION("""COMPUTED_VALUE"""),"N/A")</f>
        <v>N/A</v>
      </c>
      <c r="W507" s="97" t="str">
        <f>IFERROR(__xludf.DUMMYFUNCTION("""COMPUTED_VALUE"""),"N/A")</f>
        <v>N/A</v>
      </c>
      <c r="X507" s="97" t="str">
        <f>IFERROR(__xludf.DUMMYFUNCTION("""COMPUTED_VALUE"""),"-")</f>
        <v>-</v>
      </c>
      <c r="Y507" s="97" t="str">
        <f>IFERROR(__xludf.DUMMYFUNCTION("""COMPUTED_VALUE"""),"N/A")</f>
        <v>N/A</v>
      </c>
      <c r="Z507" s="97" t="str">
        <f>IFERROR(__xludf.DUMMYFUNCTION("""COMPUTED_VALUE"""),"N/A")</f>
        <v>N/A</v>
      </c>
      <c r="AA507" s="97" t="str">
        <f>IFERROR(__xludf.DUMMYFUNCTION("""COMPUTED_VALUE"""),"N/A")</f>
        <v>N/A</v>
      </c>
      <c r="AB507" s="97" t="str">
        <f>IFERROR(__xludf.DUMMYFUNCTION("""COMPUTED_VALUE"""),"N/A")</f>
        <v>N/A</v>
      </c>
      <c r="AC507" s="97" t="str">
        <f>IFERROR(__xludf.DUMMYFUNCTION("""COMPUTED_VALUE"""),"N/A")</f>
        <v>N/A</v>
      </c>
      <c r="AD507" s="97" t="str">
        <f>IFERROR(__xludf.DUMMYFUNCTION("""COMPUTED_VALUE"""),"IP20")</f>
        <v>IP20</v>
      </c>
      <c r="AE507" s="97" t="str">
        <f>IFERROR(__xludf.DUMMYFUNCTION("""COMPUTED_VALUE"""),"N/A")</f>
        <v>N/A</v>
      </c>
      <c r="AF507" s="97" t="str">
        <f>IFERROR(__xludf.DUMMYFUNCTION("""COMPUTED_VALUE"""),"Embutir")</f>
        <v>Embutir</v>
      </c>
      <c r="AG507" s="97" t="str">
        <f>IFERROR(__xludf.DUMMYFUNCTION("""COMPUTED_VALUE"""),"Ø112 x 30")</f>
        <v>Ø112 x 30</v>
      </c>
      <c r="AH507" s="97" t="str">
        <f>IFERROR(__xludf.DUMMYFUNCTION("""COMPUTED_VALUE"""),"Ø98 ")</f>
        <v>Ø98 </v>
      </c>
      <c r="AI507" s="97" t="str">
        <f>IFERROR(__xludf.DUMMYFUNCTION("""COMPUTED_VALUE"""),"80 *")</f>
        <v>80 *</v>
      </c>
      <c r="AJ507" s="97" t="str">
        <f>IFERROR(__xludf.DUMMYFUNCTION("""COMPUTED_VALUE"""),"N/A")</f>
        <v>N/A</v>
      </c>
      <c r="AK507" s="97" t="str">
        <f>IFERROR(__xludf.DUMMYFUNCTION("""COMPUTED_VALUE"""),"Policarbonato (PC)")</f>
        <v>Policarbonato (PC)</v>
      </c>
      <c r="AL507" s="97" t="str">
        <f>IFERROR(__xludf.DUMMYFUNCTION("""COMPUTED_VALUE"""),"Blanco Mate")</f>
        <v>Blanco Mate</v>
      </c>
      <c r="AM507" s="97" t="str">
        <f>IFERROR(__xludf.DUMMYFUNCTION("""COMPUTED_VALUE"""),"-")</f>
        <v>-</v>
      </c>
      <c r="AN507" s="97" t="str">
        <f>IFERROR(__xludf.DUMMYFUNCTION("""COMPUTED_VALUE"""),"N/A")</f>
        <v>N/A</v>
      </c>
      <c r="AO507" s="97" t="str">
        <f>IFERROR(__xludf.DUMMYFUNCTION("""COMPUTED_VALUE"""),"8 Años")</f>
        <v>8 Años</v>
      </c>
      <c r="AP507" s="97" t="str">
        <f>IFERROR(__xludf.DUMMYFUNCTION("""COMPUTED_VALUE"""),"No Aplica")</f>
        <v>No Aplica</v>
      </c>
      <c r="AQ507" s="97" t="str">
        <f>IFERROR(__xludf.DUMMYFUNCTION("""COMPUTED_VALUE"""),"No Aplica")</f>
        <v>No Aplica</v>
      </c>
      <c r="AR507" s="97" t="str">
        <f>IFERROR(__xludf.DUMMYFUNCTION("""COMPUTED_VALUE"""),"No Aplica")</f>
        <v>No Aplica</v>
      </c>
      <c r="AS507" s="97"/>
      <c r="AT507" s="97"/>
      <c r="AU507" s="97" t="str">
        <f>IFERROR(__xludf.DUMMYFUNCTION("""COMPUTED_VALUE"""),"Falta")</f>
        <v>Falta</v>
      </c>
      <c r="AV507" s="97" t="str">
        <f>IFERROR(__xludf.DUMMYFUNCTION("""COMPUTED_VALUE"""),"Empotrable")</f>
        <v>Empotrable</v>
      </c>
      <c r="AW507" s="97" t="str">
        <f>IFERROR(__xludf.DUMMYFUNCTION("""COMPUTED_VALUE"""),"De Techo")</f>
        <v>De Techo</v>
      </c>
      <c r="AX507" s="97" t="str">
        <f>IFERROR(__xludf.DUMMYFUNCTION("""COMPUTED_VALUE"""),"Interior")</f>
        <v>Interior</v>
      </c>
      <c r="AY507" s="97" t="str">
        <f>IFERROR(__xludf.DUMMYFUNCTION("""COMPUTED_VALUE"""),"-")</f>
        <v>-</v>
      </c>
      <c r="AZ507"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507" s="97">
        <f>IFERROR(__xludf.DUMMYFUNCTION("""COMPUTED_VALUE"""),100.0)</f>
        <v>100</v>
      </c>
      <c r="BB507" s="97" t="str">
        <f>IFERROR(__xludf.DUMMYFUNCTION("""COMPUTED_VALUE"""),"-")</f>
        <v>-</v>
      </c>
      <c r="BC507" s="97" t="str">
        <f>IFERROR(__xludf.DUMMYFUNCTION("""COMPUTED_VALUE"""),"-")</f>
        <v>-</v>
      </c>
      <c r="BD507" s="97" t="str">
        <f>IFERROR(__xludf.DUMMYFUNCTION("""COMPUTED_VALUE"""),"IOJU")</f>
        <v>IOJU</v>
      </c>
      <c r="BE507" s="97" t="str">
        <f>IFERROR(__xludf.DUMMYFUNCTION("""COMPUTED_VALUE"""),"Finalizada")</f>
        <v>Finalizada</v>
      </c>
      <c r="BF507" s="97"/>
      <c r="BG507" s="97" t="str">
        <f>IFERROR(__xludf.DUMMYFUNCTION("""COMPUTED_VALUE"""),"Discontinuo")</f>
        <v>Discontinuo</v>
      </c>
    </row>
    <row r="508">
      <c r="A508" s="97">
        <f>IFERROR(__xludf.DUMMYFUNCTION("""COMPUTED_VALUE"""),6113.0)</f>
        <v>6113</v>
      </c>
      <c r="B508" s="97" t="str">
        <f>IFERROR(__xludf.DUMMYFUNCTION("""COMPUTED_VALUE"""),"IOJU I NG")</f>
        <v>IOJU I NG</v>
      </c>
      <c r="C508" s="97" t="str">
        <f>IFERROR(__xludf.DUMMYFUNCTION("""COMPUTED_VALUE"""),"EMPOTRABLE IOJU I NG 1XGU10 DICRO IP20 LEUK")</f>
        <v>EMPOTRABLE IOJU I NG 1XGU10 DICRO IP20 LEUK</v>
      </c>
      <c r="D508" s="97">
        <f>IFERROR(__xludf.DUMMYFUNCTION("""COMPUTED_VALUE"""),7.798328756916E12)</f>
        <v>7798328756916</v>
      </c>
      <c r="E508" s="97" t="str">
        <f>IFERROR(__xludf.DUMMYFUNCTION("""COMPUTED_VALUE"""),"-")</f>
        <v>-</v>
      </c>
      <c r="F508" s="97" t="str">
        <f>IFERROR(__xludf.DUMMYFUNCTION("""COMPUTED_VALUE"""),"1xGU10 Dicro")</f>
        <v>1xGU10 Dicro</v>
      </c>
      <c r="G508" s="97" t="str">
        <f>IFERROR(__xludf.DUMMYFUNCTION("""COMPUTED_VALUE"""),"N/A")</f>
        <v>N/A</v>
      </c>
      <c r="H508" s="97" t="str">
        <f>IFERROR(__xludf.DUMMYFUNCTION("""COMPUTED_VALUE"""),"N/A")</f>
        <v>N/A</v>
      </c>
      <c r="I508" s="97" t="str">
        <f>IFERROR(__xludf.DUMMYFUNCTION("""COMPUTED_VALUE"""),"N/A")</f>
        <v>N/A</v>
      </c>
      <c r="J508" s="97" t="str">
        <f>IFERROR(__xludf.DUMMYFUNCTION("""COMPUTED_VALUE"""),"N/A")</f>
        <v>N/A</v>
      </c>
      <c r="K508" s="97" t="str">
        <f>IFERROR(__xludf.DUMMYFUNCTION("""COMPUTED_VALUE"""),"N/A")</f>
        <v>N/A</v>
      </c>
      <c r="L508" s="97">
        <f>IFERROR(__xludf.DUMMYFUNCTION("""COMPUTED_VALUE"""),220.0)</f>
        <v>220</v>
      </c>
      <c r="M508" s="97">
        <f>IFERROR(__xludf.DUMMYFUNCTION("""COMPUTED_VALUE"""),50.0)</f>
        <v>50</v>
      </c>
      <c r="N508" s="97"/>
      <c r="O508" s="97" t="str">
        <f>IFERROR(__xludf.DUMMYFUNCTION("""COMPUTED_VALUE"""),"1 x 50W Max")</f>
        <v>1 x 50W Max</v>
      </c>
      <c r="P508" s="97"/>
      <c r="Q508" s="97" t="str">
        <f>IFERROR(__xludf.DUMMYFUNCTION("""COMPUTED_VALUE"""),"-")</f>
        <v>-</v>
      </c>
      <c r="R508" s="97" t="str">
        <f>IFERROR(__xludf.DUMMYFUNCTION("""COMPUTED_VALUE"""),"-")</f>
        <v>-</v>
      </c>
      <c r="S508" s="97" t="str">
        <f>IFERROR(__xludf.DUMMYFUNCTION("""COMPUTED_VALUE"""),"-")</f>
        <v>-</v>
      </c>
      <c r="T508" s="97" t="str">
        <f>IFERROR(__xludf.DUMMYFUNCTION("""COMPUTED_VALUE"""),"-")</f>
        <v>-</v>
      </c>
      <c r="U508" s="97" t="str">
        <f>IFERROR(__xludf.DUMMYFUNCTION("""COMPUTED_VALUE"""),"-")</f>
        <v>-</v>
      </c>
      <c r="V508" s="97" t="str">
        <f>IFERROR(__xludf.DUMMYFUNCTION("""COMPUTED_VALUE"""),"N/A")</f>
        <v>N/A</v>
      </c>
      <c r="W508" s="97" t="str">
        <f>IFERROR(__xludf.DUMMYFUNCTION("""COMPUTED_VALUE"""),"N/A")</f>
        <v>N/A</v>
      </c>
      <c r="X508" s="97" t="str">
        <f>IFERROR(__xludf.DUMMYFUNCTION("""COMPUTED_VALUE"""),"-")</f>
        <v>-</v>
      </c>
      <c r="Y508" s="97" t="str">
        <f>IFERROR(__xludf.DUMMYFUNCTION("""COMPUTED_VALUE"""),"N/A")</f>
        <v>N/A</v>
      </c>
      <c r="Z508" s="97" t="str">
        <f>IFERROR(__xludf.DUMMYFUNCTION("""COMPUTED_VALUE"""),"N/A")</f>
        <v>N/A</v>
      </c>
      <c r="AA508" s="97" t="str">
        <f>IFERROR(__xludf.DUMMYFUNCTION("""COMPUTED_VALUE"""),"N/A")</f>
        <v>N/A</v>
      </c>
      <c r="AB508" s="97" t="str">
        <f>IFERROR(__xludf.DUMMYFUNCTION("""COMPUTED_VALUE"""),"N/A")</f>
        <v>N/A</v>
      </c>
      <c r="AC508" s="97" t="str">
        <f>IFERROR(__xludf.DUMMYFUNCTION("""COMPUTED_VALUE"""),"N/A")</f>
        <v>N/A</v>
      </c>
      <c r="AD508" s="97" t="str">
        <f>IFERROR(__xludf.DUMMYFUNCTION("""COMPUTED_VALUE"""),"IP20")</f>
        <v>IP20</v>
      </c>
      <c r="AE508" s="97" t="str">
        <f>IFERROR(__xludf.DUMMYFUNCTION("""COMPUTED_VALUE"""),"N/A")</f>
        <v>N/A</v>
      </c>
      <c r="AF508" s="97" t="str">
        <f>IFERROR(__xludf.DUMMYFUNCTION("""COMPUTED_VALUE"""),"Embutir")</f>
        <v>Embutir</v>
      </c>
      <c r="AG508" s="97" t="str">
        <f>IFERROR(__xludf.DUMMYFUNCTION("""COMPUTED_VALUE"""),"Ø112 x 30")</f>
        <v>Ø112 x 30</v>
      </c>
      <c r="AH508" s="97" t="str">
        <f>IFERROR(__xludf.DUMMYFUNCTION("""COMPUTED_VALUE"""),"Ø98 ")</f>
        <v>Ø98 </v>
      </c>
      <c r="AI508" s="97" t="str">
        <f>IFERROR(__xludf.DUMMYFUNCTION("""COMPUTED_VALUE"""),"80 *")</f>
        <v>80 *</v>
      </c>
      <c r="AJ508" s="97" t="str">
        <f>IFERROR(__xludf.DUMMYFUNCTION("""COMPUTED_VALUE"""),"N/A")</f>
        <v>N/A</v>
      </c>
      <c r="AK508" s="97" t="str">
        <f>IFERROR(__xludf.DUMMYFUNCTION("""COMPUTED_VALUE"""),"Policarbonato (PC)")</f>
        <v>Policarbonato (PC)</v>
      </c>
      <c r="AL508" s="97" t="str">
        <f>IFERROR(__xludf.DUMMYFUNCTION("""COMPUTED_VALUE"""),"Negro Mate")</f>
        <v>Negro Mate</v>
      </c>
      <c r="AM508" s="97" t="str">
        <f>IFERROR(__xludf.DUMMYFUNCTION("""COMPUTED_VALUE"""),"-")</f>
        <v>-</v>
      </c>
      <c r="AN508" s="97" t="str">
        <f>IFERROR(__xludf.DUMMYFUNCTION("""COMPUTED_VALUE"""),"N/A")</f>
        <v>N/A</v>
      </c>
      <c r="AO508" s="97" t="str">
        <f>IFERROR(__xludf.DUMMYFUNCTION("""COMPUTED_VALUE"""),"8 Años")</f>
        <v>8 Años</v>
      </c>
      <c r="AP508" s="97" t="str">
        <f>IFERROR(__xludf.DUMMYFUNCTION("""COMPUTED_VALUE"""),"No Aplica")</f>
        <v>No Aplica</v>
      </c>
      <c r="AQ508" s="97" t="str">
        <f>IFERROR(__xludf.DUMMYFUNCTION("""COMPUTED_VALUE"""),"No Aplica")</f>
        <v>No Aplica</v>
      </c>
      <c r="AR508" s="97" t="str">
        <f>IFERROR(__xludf.DUMMYFUNCTION("""COMPUTED_VALUE"""),"No Aplica")</f>
        <v>No Aplica</v>
      </c>
      <c r="AS508" s="97"/>
      <c r="AT508" s="97"/>
      <c r="AU508" s="97" t="str">
        <f>IFERROR(__xludf.DUMMYFUNCTION("""COMPUTED_VALUE"""),"Falta")</f>
        <v>Falta</v>
      </c>
      <c r="AV508" s="97" t="str">
        <f>IFERROR(__xludf.DUMMYFUNCTION("""COMPUTED_VALUE"""),"Empotrable")</f>
        <v>Empotrable</v>
      </c>
      <c r="AW508" s="97" t="str">
        <f>IFERROR(__xludf.DUMMYFUNCTION("""COMPUTED_VALUE"""),"De Techo")</f>
        <v>De Techo</v>
      </c>
      <c r="AX508" s="97" t="str">
        <f>IFERROR(__xludf.DUMMYFUNCTION("""COMPUTED_VALUE"""),"Interior")</f>
        <v>Interior</v>
      </c>
      <c r="AY508" s="97" t="str">
        <f>IFERROR(__xludf.DUMMYFUNCTION("""COMPUTED_VALUE"""),"-")</f>
        <v>-</v>
      </c>
      <c r="AZ508"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508" s="97">
        <f>IFERROR(__xludf.DUMMYFUNCTION("""COMPUTED_VALUE"""),100.0)</f>
        <v>100</v>
      </c>
      <c r="BB508" s="97" t="str">
        <f>IFERROR(__xludf.DUMMYFUNCTION("""COMPUTED_VALUE"""),"-")</f>
        <v>-</v>
      </c>
      <c r="BC508" s="97" t="str">
        <f>IFERROR(__xludf.DUMMYFUNCTION("""COMPUTED_VALUE"""),"-")</f>
        <v>-</v>
      </c>
      <c r="BD508" s="97" t="str">
        <f>IFERROR(__xludf.DUMMYFUNCTION("""COMPUTED_VALUE"""),"IOJU")</f>
        <v>IOJU</v>
      </c>
      <c r="BE508" s="97" t="str">
        <f>IFERROR(__xludf.DUMMYFUNCTION("""COMPUTED_VALUE"""),"Finalizada")</f>
        <v>Finalizada</v>
      </c>
      <c r="BF508" s="97"/>
      <c r="BG508" s="97" t="str">
        <f>IFERROR(__xludf.DUMMYFUNCTION("""COMPUTED_VALUE"""),"Discontinuo")</f>
        <v>Discontinuo</v>
      </c>
    </row>
    <row r="509">
      <c r="A509" s="97">
        <f>IFERROR(__xludf.DUMMYFUNCTION("""COMPUTED_VALUE"""),6114.0)</f>
        <v>6114</v>
      </c>
      <c r="B509" s="97" t="str">
        <f>IFERROR(__xludf.DUMMYFUNCTION("""COMPUTED_VALUE"""),"LEN I BL")</f>
        <v>LEN I BL</v>
      </c>
      <c r="C509" s="97" t="str">
        <f>IFERROR(__xludf.DUMMYFUNCTION("""COMPUTED_VALUE"""),"SPOT DE EMBUTIR LEN1 BLANCO")</f>
        <v>SPOT DE EMBUTIR LEN1 BLANCO</v>
      </c>
      <c r="D509" s="97">
        <f>IFERROR(__xludf.DUMMYFUNCTION("""COMPUTED_VALUE"""),7.798328757043E12)</f>
        <v>7798328757043</v>
      </c>
      <c r="E509" s="97"/>
      <c r="F509" s="97" t="str">
        <f>IFERROR(__xludf.DUMMYFUNCTION("""COMPUTED_VALUE"""),"1 x GU10")</f>
        <v>1 x GU10</v>
      </c>
      <c r="G509" s="97" t="str">
        <f>IFERROR(__xludf.DUMMYFUNCTION("""COMPUTED_VALUE"""),"N/A")</f>
        <v>N/A</v>
      </c>
      <c r="H509" s="97" t="str">
        <f>IFERROR(__xludf.DUMMYFUNCTION("""COMPUTED_VALUE"""),"N/A")</f>
        <v>N/A</v>
      </c>
      <c r="I509" s="97" t="str">
        <f>IFERROR(__xludf.DUMMYFUNCTION("""COMPUTED_VALUE"""),"N/A")</f>
        <v>N/A</v>
      </c>
      <c r="J509" s="97"/>
      <c r="K509" s="97" t="str">
        <f>IFERROR(__xludf.DUMMYFUNCTION("""COMPUTED_VALUE"""),"N/A")</f>
        <v>N/A</v>
      </c>
      <c r="L509" s="97">
        <f>IFERROR(__xludf.DUMMYFUNCTION("""COMPUTED_VALUE"""),220.0)</f>
        <v>220</v>
      </c>
      <c r="M509" s="97">
        <f>IFERROR(__xludf.DUMMYFUNCTION("""COMPUTED_VALUE"""),50.0)</f>
        <v>50</v>
      </c>
      <c r="N509" s="97"/>
      <c r="O509" s="97" t="str">
        <f>IFERROR(__xludf.DUMMYFUNCTION("""COMPUTED_VALUE"""),"1 x 50W Max")</f>
        <v>1 x 50W Max</v>
      </c>
      <c r="P509" s="97"/>
      <c r="Q509" s="97" t="str">
        <f>IFERROR(__xludf.DUMMYFUNCTION("""COMPUTED_VALUE"""),"-")</f>
        <v>-</v>
      </c>
      <c r="R509" s="97" t="str">
        <f>IFERROR(__xludf.DUMMYFUNCTION("""COMPUTED_VALUE"""),"-")</f>
        <v>-</v>
      </c>
      <c r="S509" s="97" t="str">
        <f>IFERROR(__xludf.DUMMYFUNCTION("""COMPUTED_VALUE"""),"-")</f>
        <v>-</v>
      </c>
      <c r="T509" s="97" t="str">
        <f>IFERROR(__xludf.DUMMYFUNCTION("""COMPUTED_VALUE"""),"-")</f>
        <v>-</v>
      </c>
      <c r="U509" s="97" t="str">
        <f>IFERROR(__xludf.DUMMYFUNCTION("""COMPUTED_VALUE"""),"-")</f>
        <v>-</v>
      </c>
      <c r="V509" s="97" t="str">
        <f>IFERROR(__xludf.DUMMYFUNCTION("""COMPUTED_VALUE"""),"N/A")</f>
        <v>N/A</v>
      </c>
      <c r="W509" s="97" t="str">
        <f>IFERROR(__xludf.DUMMYFUNCTION("""COMPUTED_VALUE"""),"N/A")</f>
        <v>N/A</v>
      </c>
      <c r="X509" s="97" t="str">
        <f>IFERROR(__xludf.DUMMYFUNCTION("""COMPUTED_VALUE"""),"-")</f>
        <v>-</v>
      </c>
      <c r="Y509" s="97" t="str">
        <f>IFERROR(__xludf.DUMMYFUNCTION("""COMPUTED_VALUE"""),"N/A")</f>
        <v>N/A</v>
      </c>
      <c r="Z509" s="97" t="str">
        <f>IFERROR(__xludf.DUMMYFUNCTION("""COMPUTED_VALUE"""),"N/A")</f>
        <v>N/A</v>
      </c>
      <c r="AA509" s="97" t="str">
        <f>IFERROR(__xludf.DUMMYFUNCTION("""COMPUTED_VALUE"""),"N/A")</f>
        <v>N/A</v>
      </c>
      <c r="AB509" s="97" t="str">
        <f>IFERROR(__xludf.DUMMYFUNCTION("""COMPUTED_VALUE"""),"N/A")</f>
        <v>N/A</v>
      </c>
      <c r="AC509" s="97" t="str">
        <f>IFERROR(__xludf.DUMMYFUNCTION("""COMPUTED_VALUE"""),"N/A")</f>
        <v>N/A</v>
      </c>
      <c r="AD509" s="97" t="str">
        <f>IFERROR(__xludf.DUMMYFUNCTION("""COMPUTED_VALUE"""),"IP20")</f>
        <v>IP20</v>
      </c>
      <c r="AE509" s="97" t="str">
        <f>IFERROR(__xludf.DUMMYFUNCTION("""COMPUTED_VALUE"""),"N/A")</f>
        <v>N/A</v>
      </c>
      <c r="AF509" s="97" t="str">
        <f>IFERROR(__xludf.DUMMYFUNCTION("""COMPUTED_VALUE"""),"Embutir")</f>
        <v>Embutir</v>
      </c>
      <c r="AG509" s="97" t="str">
        <f>IFERROR(__xludf.DUMMYFUNCTION("""COMPUTED_VALUE"""),"Ø110 x 25")</f>
        <v>Ø110 x 25</v>
      </c>
      <c r="AH509" s="97" t="str">
        <f>IFERROR(__xludf.DUMMYFUNCTION("""COMPUTED_VALUE"""),"Ø85 ")</f>
        <v>Ø85 </v>
      </c>
      <c r="AI509" s="97" t="str">
        <f>IFERROR(__xludf.DUMMYFUNCTION("""COMPUTED_VALUE"""),"60 *")</f>
        <v>60 *</v>
      </c>
      <c r="AJ509" s="97" t="str">
        <f>IFERROR(__xludf.DUMMYFUNCTION("""COMPUTED_VALUE"""),"N/A")</f>
        <v>N/A</v>
      </c>
      <c r="AK509" s="97" t="str">
        <f>IFERROR(__xludf.DUMMYFUNCTION("""COMPUTED_VALUE"""),"Policarbonato (PC)")</f>
        <v>Policarbonato (PC)</v>
      </c>
      <c r="AL509" s="97" t="str">
        <f>IFERROR(__xludf.DUMMYFUNCTION("""COMPUTED_VALUE"""),"Blanco Mate")</f>
        <v>Blanco Mate</v>
      </c>
      <c r="AM509" s="97" t="str">
        <f>IFERROR(__xludf.DUMMYFUNCTION("""COMPUTED_VALUE"""),"-")</f>
        <v>-</v>
      </c>
      <c r="AN509" s="97" t="str">
        <f>IFERROR(__xludf.DUMMYFUNCTION("""COMPUTED_VALUE"""),"N/A")</f>
        <v>N/A</v>
      </c>
      <c r="AO509" s="97" t="str">
        <f>IFERROR(__xludf.DUMMYFUNCTION("""COMPUTED_VALUE"""),"8 Años")</f>
        <v>8 Años</v>
      </c>
      <c r="AP509" s="97" t="str">
        <f>IFERROR(__xludf.DUMMYFUNCTION("""COMPUTED_VALUE"""),"No Aplica")</f>
        <v>No Aplica</v>
      </c>
      <c r="AQ509" s="97" t="str">
        <f>IFERROR(__xludf.DUMMYFUNCTION("""COMPUTED_VALUE"""),"No Aplica")</f>
        <v>No Aplica</v>
      </c>
      <c r="AR509" s="97" t="str">
        <f>IFERROR(__xludf.DUMMYFUNCTION("""COMPUTED_VALUE"""),"No Aplica")</f>
        <v>No Aplica</v>
      </c>
      <c r="AS509" s="97"/>
      <c r="AT509" s="97"/>
      <c r="AU509" s="97"/>
      <c r="AV509" s="97" t="str">
        <f>IFERROR(__xludf.DUMMYFUNCTION("""COMPUTED_VALUE"""),"Empotrable")</f>
        <v>Empotrable</v>
      </c>
      <c r="AW509" s="97" t="str">
        <f>IFERROR(__xludf.DUMMYFUNCTION("""COMPUTED_VALUE"""),"De Techo")</f>
        <v>De Techo</v>
      </c>
      <c r="AX509" s="97" t="str">
        <f>IFERROR(__xludf.DUMMYFUNCTION("""COMPUTED_VALUE"""),"Interior")</f>
        <v>Interior</v>
      </c>
      <c r="AY509" s="97"/>
      <c r="AZ509"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09" s="97">
        <f>IFERROR(__xludf.DUMMYFUNCTION("""COMPUTED_VALUE"""),100.0)</f>
        <v>100</v>
      </c>
      <c r="BB509" s="97"/>
      <c r="BC509" s="97"/>
      <c r="BD509" s="97" t="str">
        <f>IFERROR(__xludf.DUMMYFUNCTION("""COMPUTED_VALUE"""),"LEN")</f>
        <v>LEN</v>
      </c>
      <c r="BE509" s="97" t="str">
        <f>IFERROR(__xludf.DUMMYFUNCTION("""COMPUTED_VALUE"""),"Finalizada")</f>
        <v>Finalizada</v>
      </c>
      <c r="BF509" s="97"/>
      <c r="BG509" s="97" t="str">
        <f>IFERROR(__xludf.DUMMYFUNCTION("""COMPUTED_VALUE"""),"Discontinuo")</f>
        <v>Discontinuo</v>
      </c>
    </row>
    <row r="510">
      <c r="A510" s="97">
        <f>IFERROR(__xludf.DUMMYFUNCTION("""COMPUTED_VALUE"""),6115.0)</f>
        <v>6115</v>
      </c>
      <c r="B510" s="97" t="str">
        <f>IFERROR(__xludf.DUMMYFUNCTION("""COMPUTED_VALUE"""),"LEN I NG")</f>
        <v>LEN I NG</v>
      </c>
      <c r="C510" s="97" t="str">
        <f>IFERROR(__xludf.DUMMYFUNCTION("""COMPUTED_VALUE"""),"SPOT DE EMBUTIR LEN1 NEGRO")</f>
        <v>SPOT DE EMBUTIR LEN1 NEGRO</v>
      </c>
      <c r="D510" s="97">
        <f>IFERROR(__xludf.DUMMYFUNCTION("""COMPUTED_VALUE"""),7.79832875705E12)</f>
        <v>7798328757050</v>
      </c>
      <c r="E510" s="97"/>
      <c r="F510" s="97" t="str">
        <f>IFERROR(__xludf.DUMMYFUNCTION("""COMPUTED_VALUE"""),"1 x GU10")</f>
        <v>1 x GU10</v>
      </c>
      <c r="G510" s="97" t="str">
        <f>IFERROR(__xludf.DUMMYFUNCTION("""COMPUTED_VALUE"""),"N/A")</f>
        <v>N/A</v>
      </c>
      <c r="H510" s="97" t="str">
        <f>IFERROR(__xludf.DUMMYFUNCTION("""COMPUTED_VALUE"""),"N/A")</f>
        <v>N/A</v>
      </c>
      <c r="I510" s="97" t="str">
        <f>IFERROR(__xludf.DUMMYFUNCTION("""COMPUTED_VALUE"""),"N/A")</f>
        <v>N/A</v>
      </c>
      <c r="J510" s="97"/>
      <c r="K510" s="97" t="str">
        <f>IFERROR(__xludf.DUMMYFUNCTION("""COMPUTED_VALUE"""),"N/A")</f>
        <v>N/A</v>
      </c>
      <c r="L510" s="97">
        <f>IFERROR(__xludf.DUMMYFUNCTION("""COMPUTED_VALUE"""),220.0)</f>
        <v>220</v>
      </c>
      <c r="M510" s="97">
        <f>IFERROR(__xludf.DUMMYFUNCTION("""COMPUTED_VALUE"""),50.0)</f>
        <v>50</v>
      </c>
      <c r="N510" s="97"/>
      <c r="O510" s="97" t="str">
        <f>IFERROR(__xludf.DUMMYFUNCTION("""COMPUTED_VALUE"""),"1 x 50W Max")</f>
        <v>1 x 50W Max</v>
      </c>
      <c r="P510" s="97"/>
      <c r="Q510" s="97" t="str">
        <f>IFERROR(__xludf.DUMMYFUNCTION("""COMPUTED_VALUE"""),"-")</f>
        <v>-</v>
      </c>
      <c r="R510" s="97" t="str">
        <f>IFERROR(__xludf.DUMMYFUNCTION("""COMPUTED_VALUE"""),"-")</f>
        <v>-</v>
      </c>
      <c r="S510" s="97" t="str">
        <f>IFERROR(__xludf.DUMMYFUNCTION("""COMPUTED_VALUE"""),"-")</f>
        <v>-</v>
      </c>
      <c r="T510" s="97" t="str">
        <f>IFERROR(__xludf.DUMMYFUNCTION("""COMPUTED_VALUE"""),"-")</f>
        <v>-</v>
      </c>
      <c r="U510" s="97" t="str">
        <f>IFERROR(__xludf.DUMMYFUNCTION("""COMPUTED_VALUE"""),"-")</f>
        <v>-</v>
      </c>
      <c r="V510" s="97" t="str">
        <f>IFERROR(__xludf.DUMMYFUNCTION("""COMPUTED_VALUE"""),"N/A")</f>
        <v>N/A</v>
      </c>
      <c r="W510" s="97" t="str">
        <f>IFERROR(__xludf.DUMMYFUNCTION("""COMPUTED_VALUE"""),"N/A")</f>
        <v>N/A</v>
      </c>
      <c r="X510" s="97" t="str">
        <f>IFERROR(__xludf.DUMMYFUNCTION("""COMPUTED_VALUE"""),"-")</f>
        <v>-</v>
      </c>
      <c r="Y510" s="97" t="str">
        <f>IFERROR(__xludf.DUMMYFUNCTION("""COMPUTED_VALUE"""),"N/A")</f>
        <v>N/A</v>
      </c>
      <c r="Z510" s="97" t="str">
        <f>IFERROR(__xludf.DUMMYFUNCTION("""COMPUTED_VALUE"""),"N/A")</f>
        <v>N/A</v>
      </c>
      <c r="AA510" s="97" t="str">
        <f>IFERROR(__xludf.DUMMYFUNCTION("""COMPUTED_VALUE"""),"N/A")</f>
        <v>N/A</v>
      </c>
      <c r="AB510" s="97" t="str">
        <f>IFERROR(__xludf.DUMMYFUNCTION("""COMPUTED_VALUE"""),"N/A")</f>
        <v>N/A</v>
      </c>
      <c r="AC510" s="97" t="str">
        <f>IFERROR(__xludf.DUMMYFUNCTION("""COMPUTED_VALUE"""),"N/A")</f>
        <v>N/A</v>
      </c>
      <c r="AD510" s="97" t="str">
        <f>IFERROR(__xludf.DUMMYFUNCTION("""COMPUTED_VALUE"""),"IP20")</f>
        <v>IP20</v>
      </c>
      <c r="AE510" s="97" t="str">
        <f>IFERROR(__xludf.DUMMYFUNCTION("""COMPUTED_VALUE"""),"N/A")</f>
        <v>N/A</v>
      </c>
      <c r="AF510" s="97" t="str">
        <f>IFERROR(__xludf.DUMMYFUNCTION("""COMPUTED_VALUE"""),"Embutir")</f>
        <v>Embutir</v>
      </c>
      <c r="AG510" s="97" t="str">
        <f>IFERROR(__xludf.DUMMYFUNCTION("""COMPUTED_VALUE"""),"Ø110 x 25")</f>
        <v>Ø110 x 25</v>
      </c>
      <c r="AH510" s="97" t="str">
        <f>IFERROR(__xludf.DUMMYFUNCTION("""COMPUTED_VALUE"""),"Ø85 ")</f>
        <v>Ø85 </v>
      </c>
      <c r="AI510" s="97" t="str">
        <f>IFERROR(__xludf.DUMMYFUNCTION("""COMPUTED_VALUE"""),"60 *")</f>
        <v>60 *</v>
      </c>
      <c r="AJ510" s="97" t="str">
        <f>IFERROR(__xludf.DUMMYFUNCTION("""COMPUTED_VALUE"""),"N/A")</f>
        <v>N/A</v>
      </c>
      <c r="AK510" s="97" t="str">
        <f>IFERROR(__xludf.DUMMYFUNCTION("""COMPUTED_VALUE"""),"Policarbonato (PC)")</f>
        <v>Policarbonato (PC)</v>
      </c>
      <c r="AL510" s="97" t="str">
        <f>IFERROR(__xludf.DUMMYFUNCTION("""COMPUTED_VALUE"""),"Negro Mate")</f>
        <v>Negro Mate</v>
      </c>
      <c r="AM510" s="97" t="str">
        <f>IFERROR(__xludf.DUMMYFUNCTION("""COMPUTED_VALUE"""),"-")</f>
        <v>-</v>
      </c>
      <c r="AN510" s="97" t="str">
        <f>IFERROR(__xludf.DUMMYFUNCTION("""COMPUTED_VALUE"""),"N/A")</f>
        <v>N/A</v>
      </c>
      <c r="AO510" s="97" t="str">
        <f>IFERROR(__xludf.DUMMYFUNCTION("""COMPUTED_VALUE"""),"8 Años")</f>
        <v>8 Años</v>
      </c>
      <c r="AP510" s="97" t="str">
        <f>IFERROR(__xludf.DUMMYFUNCTION("""COMPUTED_VALUE"""),"No Aplica")</f>
        <v>No Aplica</v>
      </c>
      <c r="AQ510" s="97" t="str">
        <f>IFERROR(__xludf.DUMMYFUNCTION("""COMPUTED_VALUE"""),"No Aplica")</f>
        <v>No Aplica</v>
      </c>
      <c r="AR510" s="97" t="str">
        <f>IFERROR(__xludf.DUMMYFUNCTION("""COMPUTED_VALUE"""),"No Aplica")</f>
        <v>No Aplica</v>
      </c>
      <c r="AS510" s="97"/>
      <c r="AT510" s="97"/>
      <c r="AU510" s="97"/>
      <c r="AV510" s="97" t="str">
        <f>IFERROR(__xludf.DUMMYFUNCTION("""COMPUTED_VALUE"""),"Empotrable")</f>
        <v>Empotrable</v>
      </c>
      <c r="AW510" s="97" t="str">
        <f>IFERROR(__xludf.DUMMYFUNCTION("""COMPUTED_VALUE"""),"De Techo")</f>
        <v>De Techo</v>
      </c>
      <c r="AX510" s="97" t="str">
        <f>IFERROR(__xludf.DUMMYFUNCTION("""COMPUTED_VALUE"""),"Interior")</f>
        <v>Interior</v>
      </c>
      <c r="AY510" s="97"/>
      <c r="AZ510"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0" s="97">
        <f>IFERROR(__xludf.DUMMYFUNCTION("""COMPUTED_VALUE"""),100.0)</f>
        <v>100</v>
      </c>
      <c r="BB510" s="97"/>
      <c r="BC510" s="97"/>
      <c r="BD510" s="97" t="str">
        <f>IFERROR(__xludf.DUMMYFUNCTION("""COMPUTED_VALUE"""),"LEN")</f>
        <v>LEN</v>
      </c>
      <c r="BE510" s="97" t="str">
        <f>IFERROR(__xludf.DUMMYFUNCTION("""COMPUTED_VALUE"""),"Finalizada")</f>
        <v>Finalizada</v>
      </c>
      <c r="BF510" s="97"/>
      <c r="BG510" s="97" t="str">
        <f>IFERROR(__xludf.DUMMYFUNCTION("""COMPUTED_VALUE"""),"Discontinuo")</f>
        <v>Discontinuo</v>
      </c>
    </row>
    <row r="511">
      <c r="A511" s="97">
        <f>IFERROR(__xludf.DUMMYFUNCTION("""COMPUTED_VALUE"""),6116.0)</f>
        <v>6116</v>
      </c>
      <c r="B511" s="97" t="str">
        <f>IFERROR(__xludf.DUMMYFUNCTION("""COMPUTED_VALUE"""),"LOA I BL")</f>
        <v>LOA I BL</v>
      </c>
      <c r="C511" s="97" t="str">
        <f>IFERROR(__xludf.DUMMYFUNCTION("""COMPUTED_VALUE"""),"SPOT DE EMBUTIR LOA1 BLANCO")</f>
        <v>SPOT DE EMBUTIR LOA1 BLANCO</v>
      </c>
      <c r="D511" s="97">
        <f>IFERROR(__xludf.DUMMYFUNCTION("""COMPUTED_VALUE"""),7.798328757005E12)</f>
        <v>7798328757005</v>
      </c>
      <c r="E511" s="97"/>
      <c r="F511" s="97" t="str">
        <f>IFERROR(__xludf.DUMMYFUNCTION("""COMPUTED_VALUE"""),"1 x GU10")</f>
        <v>1 x GU10</v>
      </c>
      <c r="G511" s="97" t="str">
        <f>IFERROR(__xludf.DUMMYFUNCTION("""COMPUTED_VALUE"""),"N/A")</f>
        <v>N/A</v>
      </c>
      <c r="H511" s="97" t="str">
        <f>IFERROR(__xludf.DUMMYFUNCTION("""COMPUTED_VALUE"""),"N/A")</f>
        <v>N/A</v>
      </c>
      <c r="I511" s="97" t="str">
        <f>IFERROR(__xludf.DUMMYFUNCTION("""COMPUTED_VALUE"""),"N/A")</f>
        <v>N/A</v>
      </c>
      <c r="J511" s="97"/>
      <c r="K511" s="97" t="str">
        <f>IFERROR(__xludf.DUMMYFUNCTION("""COMPUTED_VALUE"""),"N/A")</f>
        <v>N/A</v>
      </c>
      <c r="L511" s="97">
        <f>IFERROR(__xludf.DUMMYFUNCTION("""COMPUTED_VALUE"""),220.0)</f>
        <v>220</v>
      </c>
      <c r="M511" s="97">
        <f>IFERROR(__xludf.DUMMYFUNCTION("""COMPUTED_VALUE"""),50.0)</f>
        <v>50</v>
      </c>
      <c r="N511" s="97"/>
      <c r="O511" s="97" t="str">
        <f>IFERROR(__xludf.DUMMYFUNCTION("""COMPUTED_VALUE"""),"1 x 50W Max")</f>
        <v>1 x 50W Max</v>
      </c>
      <c r="P511" s="97"/>
      <c r="Q511" s="97" t="str">
        <f>IFERROR(__xludf.DUMMYFUNCTION("""COMPUTED_VALUE"""),"-")</f>
        <v>-</v>
      </c>
      <c r="R511" s="97" t="str">
        <f>IFERROR(__xludf.DUMMYFUNCTION("""COMPUTED_VALUE"""),"-")</f>
        <v>-</v>
      </c>
      <c r="S511" s="97" t="str">
        <f>IFERROR(__xludf.DUMMYFUNCTION("""COMPUTED_VALUE"""),"-")</f>
        <v>-</v>
      </c>
      <c r="T511" s="97" t="str">
        <f>IFERROR(__xludf.DUMMYFUNCTION("""COMPUTED_VALUE"""),"-")</f>
        <v>-</v>
      </c>
      <c r="U511" s="97" t="str">
        <f>IFERROR(__xludf.DUMMYFUNCTION("""COMPUTED_VALUE"""),"-")</f>
        <v>-</v>
      </c>
      <c r="V511" s="97" t="str">
        <f>IFERROR(__xludf.DUMMYFUNCTION("""COMPUTED_VALUE"""),"N/A")</f>
        <v>N/A</v>
      </c>
      <c r="W511" s="97" t="str">
        <f>IFERROR(__xludf.DUMMYFUNCTION("""COMPUTED_VALUE"""),"N/A")</f>
        <v>N/A</v>
      </c>
      <c r="X511" s="97" t="str">
        <f>IFERROR(__xludf.DUMMYFUNCTION("""COMPUTED_VALUE"""),"-")</f>
        <v>-</v>
      </c>
      <c r="Y511" s="97" t="str">
        <f>IFERROR(__xludf.DUMMYFUNCTION("""COMPUTED_VALUE"""),"N/A")</f>
        <v>N/A</v>
      </c>
      <c r="Z511" s="97" t="str">
        <f>IFERROR(__xludf.DUMMYFUNCTION("""COMPUTED_VALUE"""),"N/A")</f>
        <v>N/A</v>
      </c>
      <c r="AA511" s="97" t="str">
        <f>IFERROR(__xludf.DUMMYFUNCTION("""COMPUTED_VALUE"""),"N/A")</f>
        <v>N/A</v>
      </c>
      <c r="AB511" s="97" t="str">
        <f>IFERROR(__xludf.DUMMYFUNCTION("""COMPUTED_VALUE"""),"N/A")</f>
        <v>N/A</v>
      </c>
      <c r="AC511" s="97" t="str">
        <f>IFERROR(__xludf.DUMMYFUNCTION("""COMPUTED_VALUE"""),"N/A")</f>
        <v>N/A</v>
      </c>
      <c r="AD511" s="97" t="str">
        <f>IFERROR(__xludf.DUMMYFUNCTION("""COMPUTED_VALUE"""),"IP20")</f>
        <v>IP20</v>
      </c>
      <c r="AE511" s="97" t="str">
        <f>IFERROR(__xludf.DUMMYFUNCTION("""COMPUTED_VALUE"""),"N/A")</f>
        <v>N/A</v>
      </c>
      <c r="AF511" s="97" t="str">
        <f>IFERROR(__xludf.DUMMYFUNCTION("""COMPUTED_VALUE"""),"Embutir")</f>
        <v>Embutir</v>
      </c>
      <c r="AG511" s="97" t="str">
        <f>IFERROR(__xludf.DUMMYFUNCTION("""COMPUTED_VALUE"""),"Ø110 x 20")</f>
        <v>Ø110 x 20</v>
      </c>
      <c r="AH511" s="97" t="str">
        <f>IFERROR(__xludf.DUMMYFUNCTION("""COMPUTED_VALUE"""),"Ø85 ")</f>
        <v>Ø85 </v>
      </c>
      <c r="AI511" s="97" t="str">
        <f>IFERROR(__xludf.DUMMYFUNCTION("""COMPUTED_VALUE"""),"60 *")</f>
        <v>60 *</v>
      </c>
      <c r="AJ511" s="97" t="str">
        <f>IFERROR(__xludf.DUMMYFUNCTION("""COMPUTED_VALUE"""),"N/A")</f>
        <v>N/A</v>
      </c>
      <c r="AK511" s="97" t="str">
        <f>IFERROR(__xludf.DUMMYFUNCTION("""COMPUTED_VALUE"""),"Policarbonato (PC)")</f>
        <v>Policarbonato (PC)</v>
      </c>
      <c r="AL511" s="97" t="str">
        <f>IFERROR(__xludf.DUMMYFUNCTION("""COMPUTED_VALUE"""),"Blanco Mate")</f>
        <v>Blanco Mate</v>
      </c>
      <c r="AM511" s="97" t="str">
        <f>IFERROR(__xludf.DUMMYFUNCTION("""COMPUTED_VALUE"""),"-")</f>
        <v>-</v>
      </c>
      <c r="AN511" s="97" t="str">
        <f>IFERROR(__xludf.DUMMYFUNCTION("""COMPUTED_VALUE"""),"N/A")</f>
        <v>N/A</v>
      </c>
      <c r="AO511" s="97" t="str">
        <f>IFERROR(__xludf.DUMMYFUNCTION("""COMPUTED_VALUE"""),"8 Años")</f>
        <v>8 Años</v>
      </c>
      <c r="AP511" s="97" t="str">
        <f>IFERROR(__xludf.DUMMYFUNCTION("""COMPUTED_VALUE"""),"No Aplica")</f>
        <v>No Aplica</v>
      </c>
      <c r="AQ511" s="97" t="str">
        <f>IFERROR(__xludf.DUMMYFUNCTION("""COMPUTED_VALUE"""),"No Aplica")</f>
        <v>No Aplica</v>
      </c>
      <c r="AR511" s="97" t="str">
        <f>IFERROR(__xludf.DUMMYFUNCTION("""COMPUTED_VALUE"""),"No Aplica")</f>
        <v>No Aplica</v>
      </c>
      <c r="AS511" s="97"/>
      <c r="AT511" s="97"/>
      <c r="AU511" s="97"/>
      <c r="AV511" s="97" t="str">
        <f>IFERROR(__xludf.DUMMYFUNCTION("""COMPUTED_VALUE"""),"Empotrable")</f>
        <v>Empotrable</v>
      </c>
      <c r="AW511" s="97" t="str">
        <f>IFERROR(__xludf.DUMMYFUNCTION("""COMPUTED_VALUE"""),"De Techo")</f>
        <v>De Techo</v>
      </c>
      <c r="AX511" s="97" t="str">
        <f>IFERROR(__xludf.DUMMYFUNCTION("""COMPUTED_VALUE"""),"Interior")</f>
        <v>Interior</v>
      </c>
      <c r="AY511" s="97"/>
      <c r="AZ511"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1" s="97">
        <f>IFERROR(__xludf.DUMMYFUNCTION("""COMPUTED_VALUE"""),100.0)</f>
        <v>100</v>
      </c>
      <c r="BB511" s="97"/>
      <c r="BC511" s="97"/>
      <c r="BD511" s="97" t="str">
        <f>IFERROR(__xludf.DUMMYFUNCTION("""COMPUTED_VALUE"""),"LOA")</f>
        <v>LOA</v>
      </c>
      <c r="BE511" s="97" t="str">
        <f>IFERROR(__xludf.DUMMYFUNCTION("""COMPUTED_VALUE"""),"Finalizada")</f>
        <v>Finalizada</v>
      </c>
      <c r="BF511" s="97"/>
      <c r="BG511" s="97" t="str">
        <f>IFERROR(__xludf.DUMMYFUNCTION("""COMPUTED_VALUE"""),"Discontinuo")</f>
        <v>Discontinuo</v>
      </c>
    </row>
    <row r="512">
      <c r="A512" s="97">
        <f>IFERROR(__xludf.DUMMYFUNCTION("""COMPUTED_VALUE"""),6117.0)</f>
        <v>6117</v>
      </c>
      <c r="B512" s="97" t="str">
        <f>IFERROR(__xludf.DUMMYFUNCTION("""COMPUTED_VALUE"""),"LOA I NG")</f>
        <v>LOA I NG</v>
      </c>
      <c r="C512" s="97" t="str">
        <f>IFERROR(__xludf.DUMMYFUNCTION("""COMPUTED_VALUE"""),"SPOT DE EMBUTIR LOA1 NEGRO")</f>
        <v>SPOT DE EMBUTIR LOA1 NEGRO</v>
      </c>
      <c r="D512" s="97">
        <f>IFERROR(__xludf.DUMMYFUNCTION("""COMPUTED_VALUE"""),7.798328757012E12)</f>
        <v>7798328757012</v>
      </c>
      <c r="E512" s="97"/>
      <c r="F512" s="97" t="str">
        <f>IFERROR(__xludf.DUMMYFUNCTION("""COMPUTED_VALUE"""),"1 x GU10")</f>
        <v>1 x GU10</v>
      </c>
      <c r="G512" s="97" t="str">
        <f>IFERROR(__xludf.DUMMYFUNCTION("""COMPUTED_VALUE"""),"N/A")</f>
        <v>N/A</v>
      </c>
      <c r="H512" s="97" t="str">
        <f>IFERROR(__xludf.DUMMYFUNCTION("""COMPUTED_VALUE"""),"N/A")</f>
        <v>N/A</v>
      </c>
      <c r="I512" s="97" t="str">
        <f>IFERROR(__xludf.DUMMYFUNCTION("""COMPUTED_VALUE"""),"N/A")</f>
        <v>N/A</v>
      </c>
      <c r="J512" s="97"/>
      <c r="K512" s="97" t="str">
        <f>IFERROR(__xludf.DUMMYFUNCTION("""COMPUTED_VALUE"""),"N/A")</f>
        <v>N/A</v>
      </c>
      <c r="L512" s="97">
        <f>IFERROR(__xludf.DUMMYFUNCTION("""COMPUTED_VALUE"""),220.0)</f>
        <v>220</v>
      </c>
      <c r="M512" s="97">
        <f>IFERROR(__xludf.DUMMYFUNCTION("""COMPUTED_VALUE"""),50.0)</f>
        <v>50</v>
      </c>
      <c r="N512" s="97"/>
      <c r="O512" s="97" t="str">
        <f>IFERROR(__xludf.DUMMYFUNCTION("""COMPUTED_VALUE"""),"1 x 50W Max")</f>
        <v>1 x 50W Max</v>
      </c>
      <c r="P512" s="97"/>
      <c r="Q512" s="97" t="str">
        <f>IFERROR(__xludf.DUMMYFUNCTION("""COMPUTED_VALUE"""),"-")</f>
        <v>-</v>
      </c>
      <c r="R512" s="97" t="str">
        <f>IFERROR(__xludf.DUMMYFUNCTION("""COMPUTED_VALUE"""),"-")</f>
        <v>-</v>
      </c>
      <c r="S512" s="97" t="str">
        <f>IFERROR(__xludf.DUMMYFUNCTION("""COMPUTED_VALUE"""),"-")</f>
        <v>-</v>
      </c>
      <c r="T512" s="97" t="str">
        <f>IFERROR(__xludf.DUMMYFUNCTION("""COMPUTED_VALUE"""),"-")</f>
        <v>-</v>
      </c>
      <c r="U512" s="97" t="str">
        <f>IFERROR(__xludf.DUMMYFUNCTION("""COMPUTED_VALUE"""),"-")</f>
        <v>-</v>
      </c>
      <c r="V512" s="97" t="str">
        <f>IFERROR(__xludf.DUMMYFUNCTION("""COMPUTED_VALUE"""),"N/A")</f>
        <v>N/A</v>
      </c>
      <c r="W512" s="97" t="str">
        <f>IFERROR(__xludf.DUMMYFUNCTION("""COMPUTED_VALUE"""),"N/A")</f>
        <v>N/A</v>
      </c>
      <c r="X512" s="97" t="str">
        <f>IFERROR(__xludf.DUMMYFUNCTION("""COMPUTED_VALUE"""),"-")</f>
        <v>-</v>
      </c>
      <c r="Y512" s="97" t="str">
        <f>IFERROR(__xludf.DUMMYFUNCTION("""COMPUTED_VALUE"""),"N/A")</f>
        <v>N/A</v>
      </c>
      <c r="Z512" s="97" t="str">
        <f>IFERROR(__xludf.DUMMYFUNCTION("""COMPUTED_VALUE"""),"N/A")</f>
        <v>N/A</v>
      </c>
      <c r="AA512" s="97" t="str">
        <f>IFERROR(__xludf.DUMMYFUNCTION("""COMPUTED_VALUE"""),"N/A")</f>
        <v>N/A</v>
      </c>
      <c r="AB512" s="97" t="str">
        <f>IFERROR(__xludf.DUMMYFUNCTION("""COMPUTED_VALUE"""),"N/A")</f>
        <v>N/A</v>
      </c>
      <c r="AC512" s="97" t="str">
        <f>IFERROR(__xludf.DUMMYFUNCTION("""COMPUTED_VALUE"""),"N/A")</f>
        <v>N/A</v>
      </c>
      <c r="AD512" s="97" t="str">
        <f>IFERROR(__xludf.DUMMYFUNCTION("""COMPUTED_VALUE"""),"IP20")</f>
        <v>IP20</v>
      </c>
      <c r="AE512" s="97" t="str">
        <f>IFERROR(__xludf.DUMMYFUNCTION("""COMPUTED_VALUE"""),"N/A")</f>
        <v>N/A</v>
      </c>
      <c r="AF512" s="97" t="str">
        <f>IFERROR(__xludf.DUMMYFUNCTION("""COMPUTED_VALUE"""),"Embutir")</f>
        <v>Embutir</v>
      </c>
      <c r="AG512" s="97" t="str">
        <f>IFERROR(__xludf.DUMMYFUNCTION("""COMPUTED_VALUE"""),"Ø110 x 20")</f>
        <v>Ø110 x 20</v>
      </c>
      <c r="AH512" s="97" t="str">
        <f>IFERROR(__xludf.DUMMYFUNCTION("""COMPUTED_VALUE"""),"Ø85 ")</f>
        <v>Ø85 </v>
      </c>
      <c r="AI512" s="97" t="str">
        <f>IFERROR(__xludf.DUMMYFUNCTION("""COMPUTED_VALUE"""),"60 *")</f>
        <v>60 *</v>
      </c>
      <c r="AJ512" s="97" t="str">
        <f>IFERROR(__xludf.DUMMYFUNCTION("""COMPUTED_VALUE"""),"N/A")</f>
        <v>N/A</v>
      </c>
      <c r="AK512" s="97" t="str">
        <f>IFERROR(__xludf.DUMMYFUNCTION("""COMPUTED_VALUE"""),"Policarbonato (PC)")</f>
        <v>Policarbonato (PC)</v>
      </c>
      <c r="AL512" s="97" t="str">
        <f>IFERROR(__xludf.DUMMYFUNCTION("""COMPUTED_VALUE"""),"Negro Mate")</f>
        <v>Negro Mate</v>
      </c>
      <c r="AM512" s="97" t="str">
        <f>IFERROR(__xludf.DUMMYFUNCTION("""COMPUTED_VALUE"""),"-")</f>
        <v>-</v>
      </c>
      <c r="AN512" s="97" t="str">
        <f>IFERROR(__xludf.DUMMYFUNCTION("""COMPUTED_VALUE"""),"N/A")</f>
        <v>N/A</v>
      </c>
      <c r="AO512" s="97" t="str">
        <f>IFERROR(__xludf.DUMMYFUNCTION("""COMPUTED_VALUE"""),"8 Años")</f>
        <v>8 Años</v>
      </c>
      <c r="AP512" s="97" t="str">
        <f>IFERROR(__xludf.DUMMYFUNCTION("""COMPUTED_VALUE"""),"No Aplica")</f>
        <v>No Aplica</v>
      </c>
      <c r="AQ512" s="97" t="str">
        <f>IFERROR(__xludf.DUMMYFUNCTION("""COMPUTED_VALUE"""),"No Aplica")</f>
        <v>No Aplica</v>
      </c>
      <c r="AR512" s="97" t="str">
        <f>IFERROR(__xludf.DUMMYFUNCTION("""COMPUTED_VALUE"""),"No Aplica")</f>
        <v>No Aplica</v>
      </c>
      <c r="AS512" s="97"/>
      <c r="AT512" s="97"/>
      <c r="AU512" s="97"/>
      <c r="AV512" s="97" t="str">
        <f>IFERROR(__xludf.DUMMYFUNCTION("""COMPUTED_VALUE"""),"Empotrable")</f>
        <v>Empotrable</v>
      </c>
      <c r="AW512" s="97" t="str">
        <f>IFERROR(__xludf.DUMMYFUNCTION("""COMPUTED_VALUE"""),"De Techo")</f>
        <v>De Techo</v>
      </c>
      <c r="AX512" s="97" t="str">
        <f>IFERROR(__xludf.DUMMYFUNCTION("""COMPUTED_VALUE"""),"Interior")</f>
        <v>Interior</v>
      </c>
      <c r="AY512" s="97"/>
      <c r="AZ512"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2" s="97">
        <f>IFERROR(__xludf.DUMMYFUNCTION("""COMPUTED_VALUE"""),100.0)</f>
        <v>100</v>
      </c>
      <c r="BB512" s="97"/>
      <c r="BC512" s="97"/>
      <c r="BD512" s="97" t="str">
        <f>IFERROR(__xludf.DUMMYFUNCTION("""COMPUTED_VALUE"""),"LOA")</f>
        <v>LOA</v>
      </c>
      <c r="BE512" s="97" t="str">
        <f>IFERROR(__xludf.DUMMYFUNCTION("""COMPUTED_VALUE"""),"Finalizada")</f>
        <v>Finalizada</v>
      </c>
      <c r="BF512" s="97"/>
      <c r="BG512" s="97" t="str">
        <f>IFERROR(__xludf.DUMMYFUNCTION("""COMPUTED_VALUE"""),"Discontinuo")</f>
        <v>Discontinuo</v>
      </c>
    </row>
    <row r="513">
      <c r="A513" s="97">
        <f>IFERROR(__xludf.DUMMYFUNCTION("""COMPUTED_VALUE"""),6118.0)</f>
        <v>6118</v>
      </c>
      <c r="B513" s="97" t="str">
        <f>IFERROR(__xludf.DUMMYFUNCTION("""COMPUTED_VALUE"""),"MATT I BL")</f>
        <v>MATT I BL</v>
      </c>
      <c r="C513" s="97" t="str">
        <f>IFERROR(__xludf.DUMMYFUNCTION("""COMPUTED_VALUE"""),"EMPOTRABLE MATT I BL 1XGU10 DICRO IP20 LEUK")</f>
        <v>EMPOTRABLE MATT I BL 1XGU10 DICRO IP20 LEUK</v>
      </c>
      <c r="D513" s="97">
        <f>IFERROR(__xludf.DUMMYFUNCTION("""COMPUTED_VALUE"""),7.7983287568E12)</f>
        <v>7798328756800</v>
      </c>
      <c r="E513" s="97" t="str">
        <f>IFERROR(__xludf.DUMMYFUNCTION("""COMPUTED_VALUE"""),"-")</f>
        <v>-</v>
      </c>
      <c r="F513" s="97" t="str">
        <f>IFERROR(__xludf.DUMMYFUNCTION("""COMPUTED_VALUE"""),"1xGU10 Dicro")</f>
        <v>1xGU10 Dicro</v>
      </c>
      <c r="G513" s="97" t="str">
        <f>IFERROR(__xludf.DUMMYFUNCTION("""COMPUTED_VALUE"""),"N/A")</f>
        <v>N/A</v>
      </c>
      <c r="H513" s="97" t="str">
        <f>IFERROR(__xludf.DUMMYFUNCTION("""COMPUTED_VALUE"""),"N/A")</f>
        <v>N/A</v>
      </c>
      <c r="I513" s="97" t="str">
        <f>IFERROR(__xludf.DUMMYFUNCTION("""COMPUTED_VALUE"""),"N/A")</f>
        <v>N/A</v>
      </c>
      <c r="J513" s="97" t="str">
        <f>IFERROR(__xludf.DUMMYFUNCTION("""COMPUTED_VALUE"""),"N/A")</f>
        <v>N/A</v>
      </c>
      <c r="K513" s="97" t="str">
        <f>IFERROR(__xludf.DUMMYFUNCTION("""COMPUTED_VALUE"""),"N/A")</f>
        <v>N/A</v>
      </c>
      <c r="L513" s="97">
        <f>IFERROR(__xludf.DUMMYFUNCTION("""COMPUTED_VALUE"""),220.0)</f>
        <v>220</v>
      </c>
      <c r="M513" s="97">
        <f>IFERROR(__xludf.DUMMYFUNCTION("""COMPUTED_VALUE"""),50.0)</f>
        <v>50</v>
      </c>
      <c r="N513" s="97"/>
      <c r="O513" s="97" t="str">
        <f>IFERROR(__xludf.DUMMYFUNCTION("""COMPUTED_VALUE"""),"1 x 50W Max")</f>
        <v>1 x 50W Max</v>
      </c>
      <c r="P513" s="97"/>
      <c r="Q513" s="97" t="str">
        <f>IFERROR(__xludf.DUMMYFUNCTION("""COMPUTED_VALUE"""),"-")</f>
        <v>-</v>
      </c>
      <c r="R513" s="97" t="str">
        <f>IFERROR(__xludf.DUMMYFUNCTION("""COMPUTED_VALUE"""),"-")</f>
        <v>-</v>
      </c>
      <c r="S513" s="97" t="str">
        <f>IFERROR(__xludf.DUMMYFUNCTION("""COMPUTED_VALUE"""),"-")</f>
        <v>-</v>
      </c>
      <c r="T513" s="97" t="str">
        <f>IFERROR(__xludf.DUMMYFUNCTION("""COMPUTED_VALUE"""),"-")</f>
        <v>-</v>
      </c>
      <c r="U513" s="97" t="str">
        <f>IFERROR(__xludf.DUMMYFUNCTION("""COMPUTED_VALUE"""),"-")</f>
        <v>-</v>
      </c>
      <c r="V513" s="97" t="str">
        <f>IFERROR(__xludf.DUMMYFUNCTION("""COMPUTED_VALUE"""),"N/A")</f>
        <v>N/A</v>
      </c>
      <c r="W513" s="97" t="str">
        <f>IFERROR(__xludf.DUMMYFUNCTION("""COMPUTED_VALUE"""),"N/A")</f>
        <v>N/A</v>
      </c>
      <c r="X513" s="97" t="str">
        <f>IFERROR(__xludf.DUMMYFUNCTION("""COMPUTED_VALUE"""),"-")</f>
        <v>-</v>
      </c>
      <c r="Y513" s="97" t="str">
        <f>IFERROR(__xludf.DUMMYFUNCTION("""COMPUTED_VALUE"""),"N/A")</f>
        <v>N/A</v>
      </c>
      <c r="Z513" s="97" t="str">
        <f>IFERROR(__xludf.DUMMYFUNCTION("""COMPUTED_VALUE"""),"N/A")</f>
        <v>N/A</v>
      </c>
      <c r="AA513" s="97" t="str">
        <f>IFERROR(__xludf.DUMMYFUNCTION("""COMPUTED_VALUE"""),"N/A")</f>
        <v>N/A</v>
      </c>
      <c r="AB513" s="97" t="str">
        <f>IFERROR(__xludf.DUMMYFUNCTION("""COMPUTED_VALUE"""),"N/A")</f>
        <v>N/A</v>
      </c>
      <c r="AC513" s="97" t="str">
        <f>IFERROR(__xludf.DUMMYFUNCTION("""COMPUTED_VALUE"""),"N/A")</f>
        <v>N/A</v>
      </c>
      <c r="AD513" s="97" t="str">
        <f>IFERROR(__xludf.DUMMYFUNCTION("""COMPUTED_VALUE"""),"IP20")</f>
        <v>IP20</v>
      </c>
      <c r="AE513" s="97" t="str">
        <f>IFERROR(__xludf.DUMMYFUNCTION("""COMPUTED_VALUE"""),"N/A")</f>
        <v>N/A</v>
      </c>
      <c r="AF513" s="97" t="str">
        <f>IFERROR(__xludf.DUMMYFUNCTION("""COMPUTED_VALUE"""),"Embutir")</f>
        <v>Embutir</v>
      </c>
      <c r="AG513" s="97" t="str">
        <f>IFERROR(__xludf.DUMMYFUNCTION("""COMPUTED_VALUE"""),"93 x 93 x 23")</f>
        <v>93 x 93 x 23</v>
      </c>
      <c r="AH513" s="97" t="str">
        <f>IFERROR(__xludf.DUMMYFUNCTION("""COMPUTED_VALUE"""),"Ø78 ")</f>
        <v>Ø78 </v>
      </c>
      <c r="AI513" s="97" t="str">
        <f>IFERROR(__xludf.DUMMYFUNCTION("""COMPUTED_VALUE"""),"75 *")</f>
        <v>75 *</v>
      </c>
      <c r="AJ513" s="97" t="str">
        <f>IFERROR(__xludf.DUMMYFUNCTION("""COMPUTED_VALUE"""),"N/A")</f>
        <v>N/A</v>
      </c>
      <c r="AK513" s="97" t="str">
        <f>IFERROR(__xludf.DUMMYFUNCTION("""COMPUTED_VALUE"""),"Policarbonato (PC)")</f>
        <v>Policarbonato (PC)</v>
      </c>
      <c r="AL513" s="97" t="str">
        <f>IFERROR(__xludf.DUMMYFUNCTION("""COMPUTED_VALUE"""),"Blanco Mate")</f>
        <v>Blanco Mate</v>
      </c>
      <c r="AM513" s="97" t="str">
        <f>IFERROR(__xludf.DUMMYFUNCTION("""COMPUTED_VALUE"""),"-")</f>
        <v>-</v>
      </c>
      <c r="AN513" s="97" t="str">
        <f>IFERROR(__xludf.DUMMYFUNCTION("""COMPUTED_VALUE"""),"N/A")</f>
        <v>N/A</v>
      </c>
      <c r="AO513" s="97" t="str">
        <f>IFERROR(__xludf.DUMMYFUNCTION("""COMPUTED_VALUE"""),"8 Años")</f>
        <v>8 Años</v>
      </c>
      <c r="AP513" s="97" t="str">
        <f>IFERROR(__xludf.DUMMYFUNCTION("""COMPUTED_VALUE"""),"No Aplica")</f>
        <v>No Aplica</v>
      </c>
      <c r="AQ513" s="97" t="str">
        <f>IFERROR(__xludf.DUMMYFUNCTION("""COMPUTED_VALUE"""),"No Aplica")</f>
        <v>No Aplica</v>
      </c>
      <c r="AR513" s="97" t="str">
        <f>IFERROR(__xludf.DUMMYFUNCTION("""COMPUTED_VALUE"""),"No Aplica")</f>
        <v>No Aplica</v>
      </c>
      <c r="AS513" s="97"/>
      <c r="AT513" s="97"/>
      <c r="AU513" s="97" t="str">
        <f>IFERROR(__xludf.DUMMYFUNCTION("""COMPUTED_VALUE"""),"Falta")</f>
        <v>Falta</v>
      </c>
      <c r="AV513" s="97" t="str">
        <f>IFERROR(__xludf.DUMMYFUNCTION("""COMPUTED_VALUE"""),"Empotrable")</f>
        <v>Empotrable</v>
      </c>
      <c r="AW513" s="97" t="str">
        <f>IFERROR(__xludf.DUMMYFUNCTION("""COMPUTED_VALUE"""),"De Techo")</f>
        <v>De Techo</v>
      </c>
      <c r="AX513" s="97" t="str">
        <f>IFERROR(__xludf.DUMMYFUNCTION("""COMPUTED_VALUE"""),"Interior")</f>
        <v>Interior</v>
      </c>
      <c r="AY513" s="97" t="str">
        <f>IFERROR(__xludf.DUMMYFUNCTION("""COMPUTED_VALUE"""),"-")</f>
        <v>-</v>
      </c>
      <c r="AZ513"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513" s="97">
        <f>IFERROR(__xludf.DUMMYFUNCTION("""COMPUTED_VALUE"""),100.0)</f>
        <v>100</v>
      </c>
      <c r="BB513" s="97" t="str">
        <f>IFERROR(__xludf.DUMMYFUNCTION("""COMPUTED_VALUE"""),"-")</f>
        <v>-</v>
      </c>
      <c r="BC513" s="97" t="str">
        <f>IFERROR(__xludf.DUMMYFUNCTION("""COMPUTED_VALUE"""),"-")</f>
        <v>-</v>
      </c>
      <c r="BD513" s="97" t="str">
        <f>IFERROR(__xludf.DUMMYFUNCTION("""COMPUTED_VALUE"""),"MATT")</f>
        <v>MATT</v>
      </c>
      <c r="BE513" s="97" t="str">
        <f>IFERROR(__xludf.DUMMYFUNCTION("""COMPUTED_VALUE"""),"Finalizada")</f>
        <v>Finalizada</v>
      </c>
      <c r="BF513" s="97"/>
      <c r="BG513" s="97" t="str">
        <f>IFERROR(__xludf.DUMMYFUNCTION("""COMPUTED_VALUE"""),"Discontinuo")</f>
        <v>Discontinuo</v>
      </c>
    </row>
    <row r="514">
      <c r="A514" s="97">
        <f>IFERROR(__xludf.DUMMYFUNCTION("""COMPUTED_VALUE"""),6119.0)</f>
        <v>6119</v>
      </c>
      <c r="B514" s="97" t="str">
        <f>IFERROR(__xludf.DUMMYFUNCTION("""COMPUTED_VALUE"""),"MATT I BLNG")</f>
        <v>MATT I BLNG</v>
      </c>
      <c r="C514" s="97" t="str">
        <f>IFERROR(__xludf.DUMMYFUNCTION("""COMPUTED_VALUE"""),"EMPOTRABLE MATT I BLNG 1XGU10 DICRO IP20 LEUK")</f>
        <v>EMPOTRABLE MATT I BLNG 1XGU10 DICRO IP20 LEUK</v>
      </c>
      <c r="D514" s="97">
        <f>IFERROR(__xludf.DUMMYFUNCTION("""COMPUTED_VALUE"""),7.798328756817E12)</f>
        <v>7798328756817</v>
      </c>
      <c r="E514" s="97" t="str">
        <f>IFERROR(__xludf.DUMMYFUNCTION("""COMPUTED_VALUE"""),"-")</f>
        <v>-</v>
      </c>
      <c r="F514" s="97" t="str">
        <f>IFERROR(__xludf.DUMMYFUNCTION("""COMPUTED_VALUE"""),"1xGU10 Dicro")</f>
        <v>1xGU10 Dicro</v>
      </c>
      <c r="G514" s="97" t="str">
        <f>IFERROR(__xludf.DUMMYFUNCTION("""COMPUTED_VALUE"""),"N/A")</f>
        <v>N/A</v>
      </c>
      <c r="H514" s="97" t="str">
        <f>IFERROR(__xludf.DUMMYFUNCTION("""COMPUTED_VALUE"""),"N/A")</f>
        <v>N/A</v>
      </c>
      <c r="I514" s="97" t="str">
        <f>IFERROR(__xludf.DUMMYFUNCTION("""COMPUTED_VALUE"""),"N/A")</f>
        <v>N/A</v>
      </c>
      <c r="J514" s="97" t="str">
        <f>IFERROR(__xludf.DUMMYFUNCTION("""COMPUTED_VALUE"""),"N/A")</f>
        <v>N/A</v>
      </c>
      <c r="K514" s="97" t="str">
        <f>IFERROR(__xludf.DUMMYFUNCTION("""COMPUTED_VALUE"""),"N/A")</f>
        <v>N/A</v>
      </c>
      <c r="L514" s="97">
        <f>IFERROR(__xludf.DUMMYFUNCTION("""COMPUTED_VALUE"""),220.0)</f>
        <v>220</v>
      </c>
      <c r="M514" s="97">
        <f>IFERROR(__xludf.DUMMYFUNCTION("""COMPUTED_VALUE"""),50.0)</f>
        <v>50</v>
      </c>
      <c r="N514" s="97"/>
      <c r="O514" s="97" t="str">
        <f>IFERROR(__xludf.DUMMYFUNCTION("""COMPUTED_VALUE"""),"1 x 50W Max")</f>
        <v>1 x 50W Max</v>
      </c>
      <c r="P514" s="97"/>
      <c r="Q514" s="97" t="str">
        <f>IFERROR(__xludf.DUMMYFUNCTION("""COMPUTED_VALUE"""),"-")</f>
        <v>-</v>
      </c>
      <c r="R514" s="97" t="str">
        <f>IFERROR(__xludf.DUMMYFUNCTION("""COMPUTED_VALUE"""),"-")</f>
        <v>-</v>
      </c>
      <c r="S514" s="97" t="str">
        <f>IFERROR(__xludf.DUMMYFUNCTION("""COMPUTED_VALUE"""),"-")</f>
        <v>-</v>
      </c>
      <c r="T514" s="97" t="str">
        <f>IFERROR(__xludf.DUMMYFUNCTION("""COMPUTED_VALUE"""),"-")</f>
        <v>-</v>
      </c>
      <c r="U514" s="97" t="str">
        <f>IFERROR(__xludf.DUMMYFUNCTION("""COMPUTED_VALUE"""),"-")</f>
        <v>-</v>
      </c>
      <c r="V514" s="97" t="str">
        <f>IFERROR(__xludf.DUMMYFUNCTION("""COMPUTED_VALUE"""),"N/A")</f>
        <v>N/A</v>
      </c>
      <c r="W514" s="97" t="str">
        <f>IFERROR(__xludf.DUMMYFUNCTION("""COMPUTED_VALUE"""),"N/A")</f>
        <v>N/A</v>
      </c>
      <c r="X514" s="97" t="str">
        <f>IFERROR(__xludf.DUMMYFUNCTION("""COMPUTED_VALUE"""),"-")</f>
        <v>-</v>
      </c>
      <c r="Y514" s="97" t="str">
        <f>IFERROR(__xludf.DUMMYFUNCTION("""COMPUTED_VALUE"""),"N/A")</f>
        <v>N/A</v>
      </c>
      <c r="Z514" s="97" t="str">
        <f>IFERROR(__xludf.DUMMYFUNCTION("""COMPUTED_VALUE"""),"N/A")</f>
        <v>N/A</v>
      </c>
      <c r="AA514" s="97" t="str">
        <f>IFERROR(__xludf.DUMMYFUNCTION("""COMPUTED_VALUE"""),"N/A")</f>
        <v>N/A</v>
      </c>
      <c r="AB514" s="97" t="str">
        <f>IFERROR(__xludf.DUMMYFUNCTION("""COMPUTED_VALUE"""),"N/A")</f>
        <v>N/A</v>
      </c>
      <c r="AC514" s="97" t="str">
        <f>IFERROR(__xludf.DUMMYFUNCTION("""COMPUTED_VALUE"""),"N/A")</f>
        <v>N/A</v>
      </c>
      <c r="AD514" s="97" t="str">
        <f>IFERROR(__xludf.DUMMYFUNCTION("""COMPUTED_VALUE"""),"IP20")</f>
        <v>IP20</v>
      </c>
      <c r="AE514" s="97" t="str">
        <f>IFERROR(__xludf.DUMMYFUNCTION("""COMPUTED_VALUE"""),"N/A")</f>
        <v>N/A</v>
      </c>
      <c r="AF514" s="97" t="str">
        <f>IFERROR(__xludf.DUMMYFUNCTION("""COMPUTED_VALUE"""),"Embutir")</f>
        <v>Embutir</v>
      </c>
      <c r="AG514" s="97" t="str">
        <f>IFERROR(__xludf.DUMMYFUNCTION("""COMPUTED_VALUE"""),"93 x 93 x 23")</f>
        <v>93 x 93 x 23</v>
      </c>
      <c r="AH514" s="97" t="str">
        <f>IFERROR(__xludf.DUMMYFUNCTION("""COMPUTED_VALUE"""),"Ø78 ")</f>
        <v>Ø78 </v>
      </c>
      <c r="AI514" s="97" t="str">
        <f>IFERROR(__xludf.DUMMYFUNCTION("""COMPUTED_VALUE"""),"75 *")</f>
        <v>75 *</v>
      </c>
      <c r="AJ514" s="97" t="str">
        <f>IFERROR(__xludf.DUMMYFUNCTION("""COMPUTED_VALUE"""),"N/A")</f>
        <v>N/A</v>
      </c>
      <c r="AK514" s="97" t="str">
        <f>IFERROR(__xludf.DUMMYFUNCTION("""COMPUTED_VALUE"""),"Policarbonato (PC)")</f>
        <v>Policarbonato (PC)</v>
      </c>
      <c r="AL514" s="97" t="str">
        <f>IFERROR(__xludf.DUMMYFUNCTION("""COMPUTED_VALUE"""),"Blanco y Negro")</f>
        <v>Blanco y Negro</v>
      </c>
      <c r="AM514" s="97" t="str">
        <f>IFERROR(__xludf.DUMMYFUNCTION("""COMPUTED_VALUE"""),"-")</f>
        <v>-</v>
      </c>
      <c r="AN514" s="97" t="str">
        <f>IFERROR(__xludf.DUMMYFUNCTION("""COMPUTED_VALUE"""),"N/A")</f>
        <v>N/A</v>
      </c>
      <c r="AO514" s="97" t="str">
        <f>IFERROR(__xludf.DUMMYFUNCTION("""COMPUTED_VALUE"""),"8 Años")</f>
        <v>8 Años</v>
      </c>
      <c r="AP514" s="97" t="str">
        <f>IFERROR(__xludf.DUMMYFUNCTION("""COMPUTED_VALUE"""),"No Aplica")</f>
        <v>No Aplica</v>
      </c>
      <c r="AQ514" s="97" t="str">
        <f>IFERROR(__xludf.DUMMYFUNCTION("""COMPUTED_VALUE"""),"No Aplica")</f>
        <v>No Aplica</v>
      </c>
      <c r="AR514" s="97" t="str">
        <f>IFERROR(__xludf.DUMMYFUNCTION("""COMPUTED_VALUE"""),"No Aplica")</f>
        <v>No Aplica</v>
      </c>
      <c r="AS514" s="97"/>
      <c r="AT514" s="97"/>
      <c r="AU514" s="97" t="str">
        <f>IFERROR(__xludf.DUMMYFUNCTION("""COMPUTED_VALUE"""),"Falta")</f>
        <v>Falta</v>
      </c>
      <c r="AV514" s="97" t="str">
        <f>IFERROR(__xludf.DUMMYFUNCTION("""COMPUTED_VALUE"""),"Empotrable")</f>
        <v>Empotrable</v>
      </c>
      <c r="AW514" s="97" t="str">
        <f>IFERROR(__xludf.DUMMYFUNCTION("""COMPUTED_VALUE"""),"De Techo")</f>
        <v>De Techo</v>
      </c>
      <c r="AX514" s="97" t="str">
        <f>IFERROR(__xludf.DUMMYFUNCTION("""COMPUTED_VALUE"""),"Interior")</f>
        <v>Interior</v>
      </c>
      <c r="AY514" s="97" t="str">
        <f>IFERROR(__xludf.DUMMYFUNCTION("""COMPUTED_VALUE"""),"-")</f>
        <v>-</v>
      </c>
      <c r="AZ514"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514" s="97">
        <f>IFERROR(__xludf.DUMMYFUNCTION("""COMPUTED_VALUE"""),100.0)</f>
        <v>100</v>
      </c>
      <c r="BB514" s="97" t="str">
        <f>IFERROR(__xludf.DUMMYFUNCTION("""COMPUTED_VALUE"""),"-")</f>
        <v>-</v>
      </c>
      <c r="BC514" s="97" t="str">
        <f>IFERROR(__xludf.DUMMYFUNCTION("""COMPUTED_VALUE"""),"-")</f>
        <v>-</v>
      </c>
      <c r="BD514" s="97" t="str">
        <f>IFERROR(__xludf.DUMMYFUNCTION("""COMPUTED_VALUE"""),"MATT")</f>
        <v>MATT</v>
      </c>
      <c r="BE514" s="97" t="str">
        <f>IFERROR(__xludf.DUMMYFUNCTION("""COMPUTED_VALUE"""),"Finalizada")</f>
        <v>Finalizada</v>
      </c>
      <c r="BF514" s="97"/>
      <c r="BG514" s="97" t="str">
        <f>IFERROR(__xludf.DUMMYFUNCTION("""COMPUTED_VALUE"""),"Discontinuo")</f>
        <v>Discontinuo</v>
      </c>
    </row>
    <row r="515">
      <c r="A515" s="97">
        <f>IFERROR(__xludf.DUMMYFUNCTION("""COMPUTED_VALUE"""),6120.0)</f>
        <v>6120</v>
      </c>
      <c r="B515" s="97" t="str">
        <f>IFERROR(__xludf.DUMMYFUNCTION("""COMPUTED_VALUE"""),"MATT I NG")</f>
        <v>MATT I NG</v>
      </c>
      <c r="C515" s="97" t="str">
        <f>IFERROR(__xludf.DUMMYFUNCTION("""COMPUTED_VALUE"""),"EMPOTRABLE MATT I NG 1XGU10 DICRO IP20 LEUK")</f>
        <v>EMPOTRABLE MATT I NG 1XGU10 DICRO IP20 LEUK</v>
      </c>
      <c r="D515" s="97">
        <f>IFERROR(__xludf.DUMMYFUNCTION("""COMPUTED_VALUE"""),7.798328756824E12)</f>
        <v>7798328756824</v>
      </c>
      <c r="E515" s="97" t="str">
        <f>IFERROR(__xludf.DUMMYFUNCTION("""COMPUTED_VALUE"""),"-")</f>
        <v>-</v>
      </c>
      <c r="F515" s="97" t="str">
        <f>IFERROR(__xludf.DUMMYFUNCTION("""COMPUTED_VALUE"""),"1xGU10 Dicro")</f>
        <v>1xGU10 Dicro</v>
      </c>
      <c r="G515" s="97" t="str">
        <f>IFERROR(__xludf.DUMMYFUNCTION("""COMPUTED_VALUE"""),"N/A")</f>
        <v>N/A</v>
      </c>
      <c r="H515" s="97" t="str">
        <f>IFERROR(__xludf.DUMMYFUNCTION("""COMPUTED_VALUE"""),"N/A")</f>
        <v>N/A</v>
      </c>
      <c r="I515" s="97" t="str">
        <f>IFERROR(__xludf.DUMMYFUNCTION("""COMPUTED_VALUE"""),"N/A")</f>
        <v>N/A</v>
      </c>
      <c r="J515" s="97" t="str">
        <f>IFERROR(__xludf.DUMMYFUNCTION("""COMPUTED_VALUE"""),"N/A")</f>
        <v>N/A</v>
      </c>
      <c r="K515" s="97" t="str">
        <f>IFERROR(__xludf.DUMMYFUNCTION("""COMPUTED_VALUE"""),"N/A")</f>
        <v>N/A</v>
      </c>
      <c r="L515" s="97">
        <f>IFERROR(__xludf.DUMMYFUNCTION("""COMPUTED_VALUE"""),220.0)</f>
        <v>220</v>
      </c>
      <c r="M515" s="97">
        <f>IFERROR(__xludf.DUMMYFUNCTION("""COMPUTED_VALUE"""),50.0)</f>
        <v>50</v>
      </c>
      <c r="N515" s="97"/>
      <c r="O515" s="97" t="str">
        <f>IFERROR(__xludf.DUMMYFUNCTION("""COMPUTED_VALUE"""),"1 x 50W Max")</f>
        <v>1 x 50W Max</v>
      </c>
      <c r="P515" s="97"/>
      <c r="Q515" s="97" t="str">
        <f>IFERROR(__xludf.DUMMYFUNCTION("""COMPUTED_VALUE"""),"-")</f>
        <v>-</v>
      </c>
      <c r="R515" s="97" t="str">
        <f>IFERROR(__xludf.DUMMYFUNCTION("""COMPUTED_VALUE"""),"-")</f>
        <v>-</v>
      </c>
      <c r="S515" s="97" t="str">
        <f>IFERROR(__xludf.DUMMYFUNCTION("""COMPUTED_VALUE"""),"-")</f>
        <v>-</v>
      </c>
      <c r="T515" s="97" t="str">
        <f>IFERROR(__xludf.DUMMYFUNCTION("""COMPUTED_VALUE"""),"-")</f>
        <v>-</v>
      </c>
      <c r="U515" s="97" t="str">
        <f>IFERROR(__xludf.DUMMYFUNCTION("""COMPUTED_VALUE"""),"-")</f>
        <v>-</v>
      </c>
      <c r="V515" s="97" t="str">
        <f>IFERROR(__xludf.DUMMYFUNCTION("""COMPUTED_VALUE"""),"N/A")</f>
        <v>N/A</v>
      </c>
      <c r="W515" s="97" t="str">
        <f>IFERROR(__xludf.DUMMYFUNCTION("""COMPUTED_VALUE"""),"N/A")</f>
        <v>N/A</v>
      </c>
      <c r="X515" s="97" t="str">
        <f>IFERROR(__xludf.DUMMYFUNCTION("""COMPUTED_VALUE"""),"-")</f>
        <v>-</v>
      </c>
      <c r="Y515" s="97" t="str">
        <f>IFERROR(__xludf.DUMMYFUNCTION("""COMPUTED_VALUE"""),"N/A")</f>
        <v>N/A</v>
      </c>
      <c r="Z515" s="97" t="str">
        <f>IFERROR(__xludf.DUMMYFUNCTION("""COMPUTED_VALUE"""),"N/A")</f>
        <v>N/A</v>
      </c>
      <c r="AA515" s="97" t="str">
        <f>IFERROR(__xludf.DUMMYFUNCTION("""COMPUTED_VALUE"""),"N/A")</f>
        <v>N/A</v>
      </c>
      <c r="AB515" s="97" t="str">
        <f>IFERROR(__xludf.DUMMYFUNCTION("""COMPUTED_VALUE"""),"N/A")</f>
        <v>N/A</v>
      </c>
      <c r="AC515" s="97" t="str">
        <f>IFERROR(__xludf.DUMMYFUNCTION("""COMPUTED_VALUE"""),"N/A")</f>
        <v>N/A</v>
      </c>
      <c r="AD515" s="97" t="str">
        <f>IFERROR(__xludf.DUMMYFUNCTION("""COMPUTED_VALUE"""),"IP20")</f>
        <v>IP20</v>
      </c>
      <c r="AE515" s="97" t="str">
        <f>IFERROR(__xludf.DUMMYFUNCTION("""COMPUTED_VALUE"""),"N/A")</f>
        <v>N/A</v>
      </c>
      <c r="AF515" s="97" t="str">
        <f>IFERROR(__xludf.DUMMYFUNCTION("""COMPUTED_VALUE"""),"Embutir")</f>
        <v>Embutir</v>
      </c>
      <c r="AG515" s="97" t="str">
        <f>IFERROR(__xludf.DUMMYFUNCTION("""COMPUTED_VALUE"""),"93 x 93 x 23")</f>
        <v>93 x 93 x 23</v>
      </c>
      <c r="AH515" s="97" t="str">
        <f>IFERROR(__xludf.DUMMYFUNCTION("""COMPUTED_VALUE"""),"Ø78 ")</f>
        <v>Ø78 </v>
      </c>
      <c r="AI515" s="97" t="str">
        <f>IFERROR(__xludf.DUMMYFUNCTION("""COMPUTED_VALUE"""),"75 *")</f>
        <v>75 *</v>
      </c>
      <c r="AJ515" s="97" t="str">
        <f>IFERROR(__xludf.DUMMYFUNCTION("""COMPUTED_VALUE"""),"N/A")</f>
        <v>N/A</v>
      </c>
      <c r="AK515" s="97" t="str">
        <f>IFERROR(__xludf.DUMMYFUNCTION("""COMPUTED_VALUE"""),"Policarbonato (PC)")</f>
        <v>Policarbonato (PC)</v>
      </c>
      <c r="AL515" s="97" t="str">
        <f>IFERROR(__xludf.DUMMYFUNCTION("""COMPUTED_VALUE"""),"Negro Mate")</f>
        <v>Negro Mate</v>
      </c>
      <c r="AM515" s="97" t="str">
        <f>IFERROR(__xludf.DUMMYFUNCTION("""COMPUTED_VALUE"""),"-")</f>
        <v>-</v>
      </c>
      <c r="AN515" s="97" t="str">
        <f>IFERROR(__xludf.DUMMYFUNCTION("""COMPUTED_VALUE"""),"N/A")</f>
        <v>N/A</v>
      </c>
      <c r="AO515" s="97" t="str">
        <f>IFERROR(__xludf.DUMMYFUNCTION("""COMPUTED_VALUE"""),"8 Años")</f>
        <v>8 Años</v>
      </c>
      <c r="AP515" s="97" t="str">
        <f>IFERROR(__xludf.DUMMYFUNCTION("""COMPUTED_VALUE"""),"No Aplica")</f>
        <v>No Aplica</v>
      </c>
      <c r="AQ515" s="97" t="str">
        <f>IFERROR(__xludf.DUMMYFUNCTION("""COMPUTED_VALUE"""),"No Aplica")</f>
        <v>No Aplica</v>
      </c>
      <c r="AR515" s="97" t="str">
        <f>IFERROR(__xludf.DUMMYFUNCTION("""COMPUTED_VALUE"""),"No Aplica")</f>
        <v>No Aplica</v>
      </c>
      <c r="AS515" s="97"/>
      <c r="AT515" s="97"/>
      <c r="AU515" s="97" t="str">
        <f>IFERROR(__xludf.DUMMYFUNCTION("""COMPUTED_VALUE"""),"Falta")</f>
        <v>Falta</v>
      </c>
      <c r="AV515" s="97" t="str">
        <f>IFERROR(__xludf.DUMMYFUNCTION("""COMPUTED_VALUE"""),"Empotrable")</f>
        <v>Empotrable</v>
      </c>
      <c r="AW515" s="97" t="str">
        <f>IFERROR(__xludf.DUMMYFUNCTION("""COMPUTED_VALUE"""),"De Techo")</f>
        <v>De Techo</v>
      </c>
      <c r="AX515" s="97" t="str">
        <f>IFERROR(__xludf.DUMMYFUNCTION("""COMPUTED_VALUE"""),"Interior")</f>
        <v>Interior</v>
      </c>
      <c r="AY515" s="97" t="str">
        <f>IFERROR(__xludf.DUMMYFUNCTION("""COMPUTED_VALUE"""),"-")</f>
        <v>-</v>
      </c>
      <c r="AZ515"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515" s="97">
        <f>IFERROR(__xludf.DUMMYFUNCTION("""COMPUTED_VALUE"""),100.0)</f>
        <v>100</v>
      </c>
      <c r="BB515" s="97" t="str">
        <f>IFERROR(__xludf.DUMMYFUNCTION("""COMPUTED_VALUE"""),"-")</f>
        <v>-</v>
      </c>
      <c r="BC515" s="97" t="str">
        <f>IFERROR(__xludf.DUMMYFUNCTION("""COMPUTED_VALUE"""),"-")</f>
        <v>-</v>
      </c>
      <c r="BD515" s="97" t="str">
        <f>IFERROR(__xludf.DUMMYFUNCTION("""COMPUTED_VALUE"""),"MATT")</f>
        <v>MATT</v>
      </c>
      <c r="BE515" s="97" t="str">
        <f>IFERROR(__xludf.DUMMYFUNCTION("""COMPUTED_VALUE"""),"Finalizada")</f>
        <v>Finalizada</v>
      </c>
      <c r="BF515" s="97"/>
      <c r="BG515" s="97" t="str">
        <f>IFERROR(__xludf.DUMMYFUNCTION("""COMPUTED_VALUE"""),"Discontinuo")</f>
        <v>Discontinuo</v>
      </c>
    </row>
    <row r="516">
      <c r="A516" s="97">
        <f>IFERROR(__xludf.DUMMYFUNCTION("""COMPUTED_VALUE"""),6121.0)</f>
        <v>6121</v>
      </c>
      <c r="B516" s="97" t="str">
        <f>IFERROR(__xludf.DUMMYFUNCTION("""COMPUTED_VALUE"""),"MATT II BL")</f>
        <v>MATT II BL</v>
      </c>
      <c r="C516" s="97" t="str">
        <f>IFERROR(__xludf.DUMMYFUNCTION("""COMPUTED_VALUE"""),"SPOT DE EMBUTIR MATT2 BLANCO")</f>
        <v>SPOT DE EMBUTIR MATT2 BLANCO</v>
      </c>
      <c r="D516" s="97">
        <f>IFERROR(__xludf.DUMMYFUNCTION("""COMPUTED_VALUE"""),7.798328756831E12)</f>
        <v>7798328756831</v>
      </c>
      <c r="E516" s="97"/>
      <c r="F516" s="97" t="str">
        <f>IFERROR(__xludf.DUMMYFUNCTION("""COMPUTED_VALUE"""),"2 x GU10")</f>
        <v>2 x GU10</v>
      </c>
      <c r="G516" s="97" t="str">
        <f>IFERROR(__xludf.DUMMYFUNCTION("""COMPUTED_VALUE"""),"N/A")</f>
        <v>N/A</v>
      </c>
      <c r="H516" s="97" t="str">
        <f>IFERROR(__xludf.DUMMYFUNCTION("""COMPUTED_VALUE"""),"N/A")</f>
        <v>N/A</v>
      </c>
      <c r="I516" s="97" t="str">
        <f>IFERROR(__xludf.DUMMYFUNCTION("""COMPUTED_VALUE"""),"N/A")</f>
        <v>N/A</v>
      </c>
      <c r="J516" s="97"/>
      <c r="K516" s="97" t="str">
        <f>IFERROR(__xludf.DUMMYFUNCTION("""COMPUTED_VALUE"""),"N/A")</f>
        <v>N/A</v>
      </c>
      <c r="L516" s="97">
        <f>IFERROR(__xludf.DUMMYFUNCTION("""COMPUTED_VALUE"""),220.0)</f>
        <v>220</v>
      </c>
      <c r="M516" s="97">
        <f>IFERROR(__xludf.DUMMYFUNCTION("""COMPUTED_VALUE"""),50.0)</f>
        <v>50</v>
      </c>
      <c r="N516" s="97"/>
      <c r="O516" s="97" t="str">
        <f>IFERROR(__xludf.DUMMYFUNCTION("""COMPUTED_VALUE"""),"2 x 50W Max")</f>
        <v>2 x 50W Max</v>
      </c>
      <c r="P516" s="97"/>
      <c r="Q516" s="97" t="str">
        <f>IFERROR(__xludf.DUMMYFUNCTION("""COMPUTED_VALUE"""),"-")</f>
        <v>-</v>
      </c>
      <c r="R516" s="97" t="str">
        <f>IFERROR(__xludf.DUMMYFUNCTION("""COMPUTED_VALUE"""),"-")</f>
        <v>-</v>
      </c>
      <c r="S516" s="97" t="str">
        <f>IFERROR(__xludf.DUMMYFUNCTION("""COMPUTED_VALUE"""),"-")</f>
        <v>-</v>
      </c>
      <c r="T516" s="97" t="str">
        <f>IFERROR(__xludf.DUMMYFUNCTION("""COMPUTED_VALUE"""),"-")</f>
        <v>-</v>
      </c>
      <c r="U516" s="97" t="str">
        <f>IFERROR(__xludf.DUMMYFUNCTION("""COMPUTED_VALUE"""),"-")</f>
        <v>-</v>
      </c>
      <c r="V516" s="97" t="str">
        <f>IFERROR(__xludf.DUMMYFUNCTION("""COMPUTED_VALUE"""),"N/A")</f>
        <v>N/A</v>
      </c>
      <c r="W516" s="97" t="str">
        <f>IFERROR(__xludf.DUMMYFUNCTION("""COMPUTED_VALUE"""),"N/A")</f>
        <v>N/A</v>
      </c>
      <c r="X516" s="97" t="str">
        <f>IFERROR(__xludf.DUMMYFUNCTION("""COMPUTED_VALUE"""),"-")</f>
        <v>-</v>
      </c>
      <c r="Y516" s="97" t="str">
        <f>IFERROR(__xludf.DUMMYFUNCTION("""COMPUTED_VALUE"""),"N/A")</f>
        <v>N/A</v>
      </c>
      <c r="Z516" s="97" t="str">
        <f>IFERROR(__xludf.DUMMYFUNCTION("""COMPUTED_VALUE"""),"N/A")</f>
        <v>N/A</v>
      </c>
      <c r="AA516" s="97" t="str">
        <f>IFERROR(__xludf.DUMMYFUNCTION("""COMPUTED_VALUE"""),"N/A")</f>
        <v>N/A</v>
      </c>
      <c r="AB516" s="97" t="str">
        <f>IFERROR(__xludf.DUMMYFUNCTION("""COMPUTED_VALUE"""),"N/A")</f>
        <v>N/A</v>
      </c>
      <c r="AC516" s="97" t="str">
        <f>IFERROR(__xludf.DUMMYFUNCTION("""COMPUTED_VALUE"""),"N/A")</f>
        <v>N/A</v>
      </c>
      <c r="AD516" s="97" t="str">
        <f>IFERROR(__xludf.DUMMYFUNCTION("""COMPUTED_VALUE"""),"IP20")</f>
        <v>IP20</v>
      </c>
      <c r="AE516" s="97" t="str">
        <f>IFERROR(__xludf.DUMMYFUNCTION("""COMPUTED_VALUE"""),"N/A")</f>
        <v>N/A</v>
      </c>
      <c r="AF516" s="97" t="str">
        <f>IFERROR(__xludf.DUMMYFUNCTION("""COMPUTED_VALUE"""),"Embutir")</f>
        <v>Embutir</v>
      </c>
      <c r="AG516" s="97" t="str">
        <f>IFERROR(__xludf.DUMMYFUNCTION("""COMPUTED_VALUE"""),"173 x 93 x 23")</f>
        <v>173 x 93 x 23</v>
      </c>
      <c r="AH516" s="97" t="str">
        <f>IFERROR(__xludf.DUMMYFUNCTION("""COMPUTED_VALUE"""),"157 x 80 ")</f>
        <v>157 x 80 </v>
      </c>
      <c r="AI516" s="97" t="str">
        <f>IFERROR(__xludf.DUMMYFUNCTION("""COMPUTED_VALUE"""),"75 *")</f>
        <v>75 *</v>
      </c>
      <c r="AJ516" s="97" t="str">
        <f>IFERROR(__xludf.DUMMYFUNCTION("""COMPUTED_VALUE"""),"N/A")</f>
        <v>N/A</v>
      </c>
      <c r="AK516" s="97" t="str">
        <f>IFERROR(__xludf.DUMMYFUNCTION("""COMPUTED_VALUE"""),"Policarbonato (PC)")</f>
        <v>Policarbonato (PC)</v>
      </c>
      <c r="AL516" s="97" t="str">
        <f>IFERROR(__xludf.DUMMYFUNCTION("""COMPUTED_VALUE"""),"Blanco Mate")</f>
        <v>Blanco Mate</v>
      </c>
      <c r="AM516" s="97" t="str">
        <f>IFERROR(__xludf.DUMMYFUNCTION("""COMPUTED_VALUE"""),"-")</f>
        <v>-</v>
      </c>
      <c r="AN516" s="97" t="str">
        <f>IFERROR(__xludf.DUMMYFUNCTION("""COMPUTED_VALUE"""),"N/A")</f>
        <v>N/A</v>
      </c>
      <c r="AO516" s="97" t="str">
        <f>IFERROR(__xludf.DUMMYFUNCTION("""COMPUTED_VALUE"""),"8 Años")</f>
        <v>8 Años</v>
      </c>
      <c r="AP516" s="97" t="str">
        <f>IFERROR(__xludf.DUMMYFUNCTION("""COMPUTED_VALUE"""),"No Aplica")</f>
        <v>No Aplica</v>
      </c>
      <c r="AQ516" s="97" t="str">
        <f>IFERROR(__xludf.DUMMYFUNCTION("""COMPUTED_VALUE"""),"No Aplica")</f>
        <v>No Aplica</v>
      </c>
      <c r="AR516" s="97" t="str">
        <f>IFERROR(__xludf.DUMMYFUNCTION("""COMPUTED_VALUE"""),"No Aplica")</f>
        <v>No Aplica</v>
      </c>
      <c r="AS516" s="97"/>
      <c r="AT516" s="97"/>
      <c r="AU516" s="97"/>
      <c r="AV516" s="97" t="str">
        <f>IFERROR(__xludf.DUMMYFUNCTION("""COMPUTED_VALUE"""),"Empotrable")</f>
        <v>Empotrable</v>
      </c>
      <c r="AW516" s="97" t="str">
        <f>IFERROR(__xludf.DUMMYFUNCTION("""COMPUTED_VALUE"""),"De Techo")</f>
        <v>De Techo</v>
      </c>
      <c r="AX516" s="97" t="str">
        <f>IFERROR(__xludf.DUMMYFUNCTION("""COMPUTED_VALUE"""),"Interior")</f>
        <v>Interior</v>
      </c>
      <c r="AY516" s="97"/>
      <c r="AZ516"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6" s="97">
        <f>IFERROR(__xludf.DUMMYFUNCTION("""COMPUTED_VALUE"""),100.0)</f>
        <v>100</v>
      </c>
      <c r="BB516" s="97"/>
      <c r="BC516" s="97"/>
      <c r="BD516" s="97" t="str">
        <f>IFERROR(__xludf.DUMMYFUNCTION("""COMPUTED_VALUE"""),"MATT")</f>
        <v>MATT</v>
      </c>
      <c r="BE516" s="97" t="str">
        <f>IFERROR(__xludf.DUMMYFUNCTION("""COMPUTED_VALUE"""),"Finalizada")</f>
        <v>Finalizada</v>
      </c>
      <c r="BF516" s="97"/>
      <c r="BG516" s="97" t="str">
        <f>IFERROR(__xludf.DUMMYFUNCTION("""COMPUTED_VALUE"""),"Discontinuo")</f>
        <v>Discontinuo</v>
      </c>
    </row>
    <row r="517">
      <c r="A517" s="97">
        <f>IFERROR(__xludf.DUMMYFUNCTION("""COMPUTED_VALUE"""),6122.0)</f>
        <v>6122</v>
      </c>
      <c r="B517" s="97" t="str">
        <f>IFERROR(__xludf.DUMMYFUNCTION("""COMPUTED_VALUE"""),"MATT II BLNG")</f>
        <v>MATT II BLNG</v>
      </c>
      <c r="C517" s="97" t="str">
        <f>IFERROR(__xludf.DUMMYFUNCTION("""COMPUTED_VALUE"""),"SPOT DE EMBUTIR MATT2 BLANCO Y NEGRO")</f>
        <v>SPOT DE EMBUTIR MATT2 BLANCO Y NEGRO</v>
      </c>
      <c r="D517" s="97">
        <f>IFERROR(__xludf.DUMMYFUNCTION("""COMPUTED_VALUE"""),7.798328756848E12)</f>
        <v>7798328756848</v>
      </c>
      <c r="E517" s="97"/>
      <c r="F517" s="97" t="str">
        <f>IFERROR(__xludf.DUMMYFUNCTION("""COMPUTED_VALUE"""),"2 x GU10")</f>
        <v>2 x GU10</v>
      </c>
      <c r="G517" s="97" t="str">
        <f>IFERROR(__xludf.DUMMYFUNCTION("""COMPUTED_VALUE"""),"N/A")</f>
        <v>N/A</v>
      </c>
      <c r="H517" s="97" t="str">
        <f>IFERROR(__xludf.DUMMYFUNCTION("""COMPUTED_VALUE"""),"N/A")</f>
        <v>N/A</v>
      </c>
      <c r="I517" s="97" t="str">
        <f>IFERROR(__xludf.DUMMYFUNCTION("""COMPUTED_VALUE"""),"N/A")</f>
        <v>N/A</v>
      </c>
      <c r="J517" s="97"/>
      <c r="K517" s="97" t="str">
        <f>IFERROR(__xludf.DUMMYFUNCTION("""COMPUTED_VALUE"""),"N/A")</f>
        <v>N/A</v>
      </c>
      <c r="L517" s="97">
        <f>IFERROR(__xludf.DUMMYFUNCTION("""COMPUTED_VALUE"""),220.0)</f>
        <v>220</v>
      </c>
      <c r="M517" s="97">
        <f>IFERROR(__xludf.DUMMYFUNCTION("""COMPUTED_VALUE"""),50.0)</f>
        <v>50</v>
      </c>
      <c r="N517" s="97"/>
      <c r="O517" s="97" t="str">
        <f>IFERROR(__xludf.DUMMYFUNCTION("""COMPUTED_VALUE"""),"2 x 50W Max")</f>
        <v>2 x 50W Max</v>
      </c>
      <c r="P517" s="97"/>
      <c r="Q517" s="97" t="str">
        <f>IFERROR(__xludf.DUMMYFUNCTION("""COMPUTED_VALUE"""),"-")</f>
        <v>-</v>
      </c>
      <c r="R517" s="97" t="str">
        <f>IFERROR(__xludf.DUMMYFUNCTION("""COMPUTED_VALUE"""),"-")</f>
        <v>-</v>
      </c>
      <c r="S517" s="97" t="str">
        <f>IFERROR(__xludf.DUMMYFUNCTION("""COMPUTED_VALUE"""),"-")</f>
        <v>-</v>
      </c>
      <c r="T517" s="97" t="str">
        <f>IFERROR(__xludf.DUMMYFUNCTION("""COMPUTED_VALUE"""),"-")</f>
        <v>-</v>
      </c>
      <c r="U517" s="97" t="str">
        <f>IFERROR(__xludf.DUMMYFUNCTION("""COMPUTED_VALUE"""),"-")</f>
        <v>-</v>
      </c>
      <c r="V517" s="97" t="str">
        <f>IFERROR(__xludf.DUMMYFUNCTION("""COMPUTED_VALUE"""),"N/A")</f>
        <v>N/A</v>
      </c>
      <c r="W517" s="97" t="str">
        <f>IFERROR(__xludf.DUMMYFUNCTION("""COMPUTED_VALUE"""),"N/A")</f>
        <v>N/A</v>
      </c>
      <c r="X517" s="97" t="str">
        <f>IFERROR(__xludf.DUMMYFUNCTION("""COMPUTED_VALUE"""),"-")</f>
        <v>-</v>
      </c>
      <c r="Y517" s="97" t="str">
        <f>IFERROR(__xludf.DUMMYFUNCTION("""COMPUTED_VALUE"""),"N/A")</f>
        <v>N/A</v>
      </c>
      <c r="Z517" s="97" t="str">
        <f>IFERROR(__xludf.DUMMYFUNCTION("""COMPUTED_VALUE"""),"N/A")</f>
        <v>N/A</v>
      </c>
      <c r="AA517" s="97" t="str">
        <f>IFERROR(__xludf.DUMMYFUNCTION("""COMPUTED_VALUE"""),"N/A")</f>
        <v>N/A</v>
      </c>
      <c r="AB517" s="97" t="str">
        <f>IFERROR(__xludf.DUMMYFUNCTION("""COMPUTED_VALUE"""),"N/A")</f>
        <v>N/A</v>
      </c>
      <c r="AC517" s="97" t="str">
        <f>IFERROR(__xludf.DUMMYFUNCTION("""COMPUTED_VALUE"""),"N/A")</f>
        <v>N/A</v>
      </c>
      <c r="AD517" s="97" t="str">
        <f>IFERROR(__xludf.DUMMYFUNCTION("""COMPUTED_VALUE"""),"IP20")</f>
        <v>IP20</v>
      </c>
      <c r="AE517" s="97" t="str">
        <f>IFERROR(__xludf.DUMMYFUNCTION("""COMPUTED_VALUE"""),"N/A")</f>
        <v>N/A</v>
      </c>
      <c r="AF517" s="97" t="str">
        <f>IFERROR(__xludf.DUMMYFUNCTION("""COMPUTED_VALUE"""),"Embutir")</f>
        <v>Embutir</v>
      </c>
      <c r="AG517" s="97" t="str">
        <f>IFERROR(__xludf.DUMMYFUNCTION("""COMPUTED_VALUE"""),"173 x 93 x 23")</f>
        <v>173 x 93 x 23</v>
      </c>
      <c r="AH517" s="97" t="str">
        <f>IFERROR(__xludf.DUMMYFUNCTION("""COMPUTED_VALUE"""),"157 x 80 ")</f>
        <v>157 x 80 </v>
      </c>
      <c r="AI517" s="97" t="str">
        <f>IFERROR(__xludf.DUMMYFUNCTION("""COMPUTED_VALUE"""),"75 *")</f>
        <v>75 *</v>
      </c>
      <c r="AJ517" s="97" t="str">
        <f>IFERROR(__xludf.DUMMYFUNCTION("""COMPUTED_VALUE"""),"N/A")</f>
        <v>N/A</v>
      </c>
      <c r="AK517" s="97" t="str">
        <f>IFERROR(__xludf.DUMMYFUNCTION("""COMPUTED_VALUE"""),"Policarbonato (PC)")</f>
        <v>Policarbonato (PC)</v>
      </c>
      <c r="AL517" s="97" t="str">
        <f>IFERROR(__xludf.DUMMYFUNCTION("""COMPUTED_VALUE"""),"Blanco y Negro")</f>
        <v>Blanco y Negro</v>
      </c>
      <c r="AM517" s="97" t="str">
        <f>IFERROR(__xludf.DUMMYFUNCTION("""COMPUTED_VALUE"""),"-")</f>
        <v>-</v>
      </c>
      <c r="AN517" s="97" t="str">
        <f>IFERROR(__xludf.DUMMYFUNCTION("""COMPUTED_VALUE"""),"N/A")</f>
        <v>N/A</v>
      </c>
      <c r="AO517" s="97" t="str">
        <f>IFERROR(__xludf.DUMMYFUNCTION("""COMPUTED_VALUE"""),"8 Años")</f>
        <v>8 Años</v>
      </c>
      <c r="AP517" s="97" t="str">
        <f>IFERROR(__xludf.DUMMYFUNCTION("""COMPUTED_VALUE"""),"No Aplica")</f>
        <v>No Aplica</v>
      </c>
      <c r="AQ517" s="97" t="str">
        <f>IFERROR(__xludf.DUMMYFUNCTION("""COMPUTED_VALUE"""),"No Aplica")</f>
        <v>No Aplica</v>
      </c>
      <c r="AR517" s="97" t="str">
        <f>IFERROR(__xludf.DUMMYFUNCTION("""COMPUTED_VALUE"""),"No Aplica")</f>
        <v>No Aplica</v>
      </c>
      <c r="AS517" s="97"/>
      <c r="AT517" s="97"/>
      <c r="AU517" s="97"/>
      <c r="AV517" s="97" t="str">
        <f>IFERROR(__xludf.DUMMYFUNCTION("""COMPUTED_VALUE"""),"Empotrable")</f>
        <v>Empotrable</v>
      </c>
      <c r="AW517" s="97" t="str">
        <f>IFERROR(__xludf.DUMMYFUNCTION("""COMPUTED_VALUE"""),"De Techo")</f>
        <v>De Techo</v>
      </c>
      <c r="AX517" s="97" t="str">
        <f>IFERROR(__xludf.DUMMYFUNCTION("""COMPUTED_VALUE"""),"Interior")</f>
        <v>Interior</v>
      </c>
      <c r="AY517" s="97"/>
      <c r="AZ517"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7" s="97">
        <f>IFERROR(__xludf.DUMMYFUNCTION("""COMPUTED_VALUE"""),100.0)</f>
        <v>100</v>
      </c>
      <c r="BB517" s="97"/>
      <c r="BC517" s="97"/>
      <c r="BD517" s="97" t="str">
        <f>IFERROR(__xludf.DUMMYFUNCTION("""COMPUTED_VALUE"""),"MATT")</f>
        <v>MATT</v>
      </c>
      <c r="BE517" s="97" t="str">
        <f>IFERROR(__xludf.DUMMYFUNCTION("""COMPUTED_VALUE"""),"Finalizada")</f>
        <v>Finalizada</v>
      </c>
      <c r="BF517" s="97"/>
      <c r="BG517" s="97" t="str">
        <f>IFERROR(__xludf.DUMMYFUNCTION("""COMPUTED_VALUE"""),"Discontinuo")</f>
        <v>Discontinuo</v>
      </c>
    </row>
    <row r="518">
      <c r="A518" s="97">
        <f>IFERROR(__xludf.DUMMYFUNCTION("""COMPUTED_VALUE"""),6123.0)</f>
        <v>6123</v>
      </c>
      <c r="B518" s="97" t="str">
        <f>IFERROR(__xludf.DUMMYFUNCTION("""COMPUTED_VALUE"""),"MATT II NG")</f>
        <v>MATT II NG</v>
      </c>
      <c r="C518" s="97" t="str">
        <f>IFERROR(__xludf.DUMMYFUNCTION("""COMPUTED_VALUE"""),"SPOT DE EMBUTIR MATT2 NEGRO")</f>
        <v>SPOT DE EMBUTIR MATT2 NEGRO</v>
      </c>
      <c r="D518" s="97">
        <f>IFERROR(__xludf.DUMMYFUNCTION("""COMPUTED_VALUE"""),7.798328756855E12)</f>
        <v>7798328756855</v>
      </c>
      <c r="E518" s="97"/>
      <c r="F518" s="97" t="str">
        <f>IFERROR(__xludf.DUMMYFUNCTION("""COMPUTED_VALUE"""),"2 x GU10")</f>
        <v>2 x GU10</v>
      </c>
      <c r="G518" s="97" t="str">
        <f>IFERROR(__xludf.DUMMYFUNCTION("""COMPUTED_VALUE"""),"N/A")</f>
        <v>N/A</v>
      </c>
      <c r="H518" s="97" t="str">
        <f>IFERROR(__xludf.DUMMYFUNCTION("""COMPUTED_VALUE"""),"N/A")</f>
        <v>N/A</v>
      </c>
      <c r="I518" s="97" t="str">
        <f>IFERROR(__xludf.DUMMYFUNCTION("""COMPUTED_VALUE"""),"N/A")</f>
        <v>N/A</v>
      </c>
      <c r="J518" s="97"/>
      <c r="K518" s="97" t="str">
        <f>IFERROR(__xludf.DUMMYFUNCTION("""COMPUTED_VALUE"""),"N/A")</f>
        <v>N/A</v>
      </c>
      <c r="L518" s="97">
        <f>IFERROR(__xludf.DUMMYFUNCTION("""COMPUTED_VALUE"""),220.0)</f>
        <v>220</v>
      </c>
      <c r="M518" s="97">
        <f>IFERROR(__xludf.DUMMYFUNCTION("""COMPUTED_VALUE"""),50.0)</f>
        <v>50</v>
      </c>
      <c r="N518" s="97"/>
      <c r="O518" s="97" t="str">
        <f>IFERROR(__xludf.DUMMYFUNCTION("""COMPUTED_VALUE"""),"2 x 50W Max")</f>
        <v>2 x 50W Max</v>
      </c>
      <c r="P518" s="97"/>
      <c r="Q518" s="97" t="str">
        <f>IFERROR(__xludf.DUMMYFUNCTION("""COMPUTED_VALUE"""),"-")</f>
        <v>-</v>
      </c>
      <c r="R518" s="97" t="str">
        <f>IFERROR(__xludf.DUMMYFUNCTION("""COMPUTED_VALUE"""),"-")</f>
        <v>-</v>
      </c>
      <c r="S518" s="97" t="str">
        <f>IFERROR(__xludf.DUMMYFUNCTION("""COMPUTED_VALUE"""),"-")</f>
        <v>-</v>
      </c>
      <c r="T518" s="97" t="str">
        <f>IFERROR(__xludf.DUMMYFUNCTION("""COMPUTED_VALUE"""),"-")</f>
        <v>-</v>
      </c>
      <c r="U518" s="97" t="str">
        <f>IFERROR(__xludf.DUMMYFUNCTION("""COMPUTED_VALUE"""),"-")</f>
        <v>-</v>
      </c>
      <c r="V518" s="97" t="str">
        <f>IFERROR(__xludf.DUMMYFUNCTION("""COMPUTED_VALUE"""),"N/A")</f>
        <v>N/A</v>
      </c>
      <c r="W518" s="97" t="str">
        <f>IFERROR(__xludf.DUMMYFUNCTION("""COMPUTED_VALUE"""),"N/A")</f>
        <v>N/A</v>
      </c>
      <c r="X518" s="97" t="str">
        <f>IFERROR(__xludf.DUMMYFUNCTION("""COMPUTED_VALUE"""),"-")</f>
        <v>-</v>
      </c>
      <c r="Y518" s="97" t="str">
        <f>IFERROR(__xludf.DUMMYFUNCTION("""COMPUTED_VALUE"""),"N/A")</f>
        <v>N/A</v>
      </c>
      <c r="Z518" s="97" t="str">
        <f>IFERROR(__xludf.DUMMYFUNCTION("""COMPUTED_VALUE"""),"N/A")</f>
        <v>N/A</v>
      </c>
      <c r="AA518" s="97" t="str">
        <f>IFERROR(__xludf.DUMMYFUNCTION("""COMPUTED_VALUE"""),"N/A")</f>
        <v>N/A</v>
      </c>
      <c r="AB518" s="97" t="str">
        <f>IFERROR(__xludf.DUMMYFUNCTION("""COMPUTED_VALUE"""),"N/A")</f>
        <v>N/A</v>
      </c>
      <c r="AC518" s="97" t="str">
        <f>IFERROR(__xludf.DUMMYFUNCTION("""COMPUTED_VALUE"""),"N/A")</f>
        <v>N/A</v>
      </c>
      <c r="AD518" s="97" t="str">
        <f>IFERROR(__xludf.DUMMYFUNCTION("""COMPUTED_VALUE"""),"IP20")</f>
        <v>IP20</v>
      </c>
      <c r="AE518" s="97" t="str">
        <f>IFERROR(__xludf.DUMMYFUNCTION("""COMPUTED_VALUE"""),"N/A")</f>
        <v>N/A</v>
      </c>
      <c r="AF518" s="97" t="str">
        <f>IFERROR(__xludf.DUMMYFUNCTION("""COMPUTED_VALUE"""),"Embutir")</f>
        <v>Embutir</v>
      </c>
      <c r="AG518" s="97" t="str">
        <f>IFERROR(__xludf.DUMMYFUNCTION("""COMPUTED_VALUE"""),"173 x 93 x 23")</f>
        <v>173 x 93 x 23</v>
      </c>
      <c r="AH518" s="97" t="str">
        <f>IFERROR(__xludf.DUMMYFUNCTION("""COMPUTED_VALUE"""),"157 x 80 ")</f>
        <v>157 x 80 </v>
      </c>
      <c r="AI518" s="97" t="str">
        <f>IFERROR(__xludf.DUMMYFUNCTION("""COMPUTED_VALUE"""),"75 *")</f>
        <v>75 *</v>
      </c>
      <c r="AJ518" s="97" t="str">
        <f>IFERROR(__xludf.DUMMYFUNCTION("""COMPUTED_VALUE"""),"N/A")</f>
        <v>N/A</v>
      </c>
      <c r="AK518" s="97" t="str">
        <f>IFERROR(__xludf.DUMMYFUNCTION("""COMPUTED_VALUE"""),"Policarbonato (PC)")</f>
        <v>Policarbonato (PC)</v>
      </c>
      <c r="AL518" s="97" t="str">
        <f>IFERROR(__xludf.DUMMYFUNCTION("""COMPUTED_VALUE"""),"Negro Mate")</f>
        <v>Negro Mate</v>
      </c>
      <c r="AM518" s="97" t="str">
        <f>IFERROR(__xludf.DUMMYFUNCTION("""COMPUTED_VALUE"""),"-")</f>
        <v>-</v>
      </c>
      <c r="AN518" s="97" t="str">
        <f>IFERROR(__xludf.DUMMYFUNCTION("""COMPUTED_VALUE"""),"N/A")</f>
        <v>N/A</v>
      </c>
      <c r="AO518" s="97" t="str">
        <f>IFERROR(__xludf.DUMMYFUNCTION("""COMPUTED_VALUE"""),"8 Años")</f>
        <v>8 Años</v>
      </c>
      <c r="AP518" s="97" t="str">
        <f>IFERROR(__xludf.DUMMYFUNCTION("""COMPUTED_VALUE"""),"No Aplica")</f>
        <v>No Aplica</v>
      </c>
      <c r="AQ518" s="97" t="str">
        <f>IFERROR(__xludf.DUMMYFUNCTION("""COMPUTED_VALUE"""),"No Aplica")</f>
        <v>No Aplica</v>
      </c>
      <c r="AR518" s="97" t="str">
        <f>IFERROR(__xludf.DUMMYFUNCTION("""COMPUTED_VALUE"""),"No Aplica")</f>
        <v>No Aplica</v>
      </c>
      <c r="AS518" s="97"/>
      <c r="AT518" s="97"/>
      <c r="AU518" s="97"/>
      <c r="AV518" s="97" t="str">
        <f>IFERROR(__xludf.DUMMYFUNCTION("""COMPUTED_VALUE"""),"Empotrable")</f>
        <v>Empotrable</v>
      </c>
      <c r="AW518" s="97" t="str">
        <f>IFERROR(__xludf.DUMMYFUNCTION("""COMPUTED_VALUE"""),"De Techo")</f>
        <v>De Techo</v>
      </c>
      <c r="AX518" s="97" t="str">
        <f>IFERROR(__xludf.DUMMYFUNCTION("""COMPUTED_VALUE"""),"Interior")</f>
        <v>Interior</v>
      </c>
      <c r="AY518" s="97"/>
      <c r="AZ518"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8" s="97">
        <f>IFERROR(__xludf.DUMMYFUNCTION("""COMPUTED_VALUE"""),100.0)</f>
        <v>100</v>
      </c>
      <c r="BB518" s="97"/>
      <c r="BC518" s="97"/>
      <c r="BD518" s="97" t="str">
        <f>IFERROR(__xludf.DUMMYFUNCTION("""COMPUTED_VALUE"""),"MATT")</f>
        <v>MATT</v>
      </c>
      <c r="BE518" s="97" t="str">
        <f>IFERROR(__xludf.DUMMYFUNCTION("""COMPUTED_VALUE"""),"Finalizada")</f>
        <v>Finalizada</v>
      </c>
      <c r="BF518" s="97"/>
      <c r="BG518" s="97" t="str">
        <f>IFERROR(__xludf.DUMMYFUNCTION("""COMPUTED_VALUE"""),"Discontinuo")</f>
        <v>Discontinuo</v>
      </c>
    </row>
    <row r="519">
      <c r="A519" s="97">
        <f>IFERROR(__xludf.DUMMYFUNCTION("""COMPUTED_VALUE"""),6124.0)</f>
        <v>6124</v>
      </c>
      <c r="B519" s="97" t="str">
        <f>IFERROR(__xludf.DUMMYFUNCTION("""COMPUTED_VALUE"""),"NIS I BLNG")</f>
        <v>NIS I BLNG</v>
      </c>
      <c r="C519" s="97" t="str">
        <f>IFERROR(__xludf.DUMMYFUNCTION("""COMPUTED_VALUE"""),"SPOT DE EMBUTIR NIS1 BLANCO Y NEGRO")</f>
        <v>SPOT DE EMBUTIR NIS1 BLANCO Y NEGRO</v>
      </c>
      <c r="D519" s="97">
        <f>IFERROR(__xludf.DUMMYFUNCTION("""COMPUTED_VALUE"""),7.798328756794E12)</f>
        <v>7798328756794</v>
      </c>
      <c r="E519" s="97"/>
      <c r="F519" s="97" t="str">
        <f>IFERROR(__xludf.DUMMYFUNCTION("""COMPUTED_VALUE"""),"1 x GU10")</f>
        <v>1 x GU10</v>
      </c>
      <c r="G519" s="97" t="str">
        <f>IFERROR(__xludf.DUMMYFUNCTION("""COMPUTED_VALUE"""),"N/A")</f>
        <v>N/A</v>
      </c>
      <c r="H519" s="97" t="str">
        <f>IFERROR(__xludf.DUMMYFUNCTION("""COMPUTED_VALUE"""),"N/A")</f>
        <v>N/A</v>
      </c>
      <c r="I519" s="97" t="str">
        <f>IFERROR(__xludf.DUMMYFUNCTION("""COMPUTED_VALUE"""),"N/A")</f>
        <v>N/A</v>
      </c>
      <c r="J519" s="97"/>
      <c r="K519" s="97" t="str">
        <f>IFERROR(__xludf.DUMMYFUNCTION("""COMPUTED_VALUE"""),"N/A")</f>
        <v>N/A</v>
      </c>
      <c r="L519" s="97">
        <f>IFERROR(__xludf.DUMMYFUNCTION("""COMPUTED_VALUE"""),220.0)</f>
        <v>220</v>
      </c>
      <c r="M519" s="97">
        <f>IFERROR(__xludf.DUMMYFUNCTION("""COMPUTED_VALUE"""),50.0)</f>
        <v>50</v>
      </c>
      <c r="N519" s="97"/>
      <c r="O519" s="97" t="str">
        <f>IFERROR(__xludf.DUMMYFUNCTION("""COMPUTED_VALUE"""),"1 x 50W Max")</f>
        <v>1 x 50W Max</v>
      </c>
      <c r="P519" s="97"/>
      <c r="Q519" s="97" t="str">
        <f>IFERROR(__xludf.DUMMYFUNCTION("""COMPUTED_VALUE"""),"-")</f>
        <v>-</v>
      </c>
      <c r="R519" s="97" t="str">
        <f>IFERROR(__xludf.DUMMYFUNCTION("""COMPUTED_VALUE"""),"-")</f>
        <v>-</v>
      </c>
      <c r="S519" s="97" t="str">
        <f>IFERROR(__xludf.DUMMYFUNCTION("""COMPUTED_VALUE"""),"-")</f>
        <v>-</v>
      </c>
      <c r="T519" s="97" t="str">
        <f>IFERROR(__xludf.DUMMYFUNCTION("""COMPUTED_VALUE"""),"-")</f>
        <v>-</v>
      </c>
      <c r="U519" s="97" t="str">
        <f>IFERROR(__xludf.DUMMYFUNCTION("""COMPUTED_VALUE"""),"-")</f>
        <v>-</v>
      </c>
      <c r="V519" s="97" t="str">
        <f>IFERROR(__xludf.DUMMYFUNCTION("""COMPUTED_VALUE"""),"N/A")</f>
        <v>N/A</v>
      </c>
      <c r="W519" s="97" t="str">
        <f>IFERROR(__xludf.DUMMYFUNCTION("""COMPUTED_VALUE"""),"N/A")</f>
        <v>N/A</v>
      </c>
      <c r="X519" s="97" t="str">
        <f>IFERROR(__xludf.DUMMYFUNCTION("""COMPUTED_VALUE"""),"-")</f>
        <v>-</v>
      </c>
      <c r="Y519" s="97" t="str">
        <f>IFERROR(__xludf.DUMMYFUNCTION("""COMPUTED_VALUE"""),"N/A")</f>
        <v>N/A</v>
      </c>
      <c r="Z519" s="97" t="str">
        <f>IFERROR(__xludf.DUMMYFUNCTION("""COMPUTED_VALUE"""),"N/A")</f>
        <v>N/A</v>
      </c>
      <c r="AA519" s="97" t="str">
        <f>IFERROR(__xludf.DUMMYFUNCTION("""COMPUTED_VALUE"""),"N/A")</f>
        <v>N/A</v>
      </c>
      <c r="AB519" s="97" t="str">
        <f>IFERROR(__xludf.DUMMYFUNCTION("""COMPUTED_VALUE"""),"N/A")</f>
        <v>N/A</v>
      </c>
      <c r="AC519" s="97" t="str">
        <f>IFERROR(__xludf.DUMMYFUNCTION("""COMPUTED_VALUE"""),"N/A")</f>
        <v>N/A</v>
      </c>
      <c r="AD519" s="97" t="str">
        <f>IFERROR(__xludf.DUMMYFUNCTION("""COMPUTED_VALUE"""),"IP20")</f>
        <v>IP20</v>
      </c>
      <c r="AE519" s="97" t="str">
        <f>IFERROR(__xludf.DUMMYFUNCTION("""COMPUTED_VALUE"""),"N/A")</f>
        <v>N/A</v>
      </c>
      <c r="AF519" s="97" t="str">
        <f>IFERROR(__xludf.DUMMYFUNCTION("""COMPUTED_VALUE"""),"Embutir")</f>
        <v>Embutir</v>
      </c>
      <c r="AG519" s="97" t="str">
        <f>IFERROR(__xludf.DUMMYFUNCTION("""COMPUTED_VALUE"""),"Ø90 x 25")</f>
        <v>Ø90 x 25</v>
      </c>
      <c r="AH519" s="97" t="str">
        <f>IFERROR(__xludf.DUMMYFUNCTION("""COMPUTED_VALUE"""),"Ø80 ")</f>
        <v>Ø80 </v>
      </c>
      <c r="AI519" s="97" t="str">
        <f>IFERROR(__xludf.DUMMYFUNCTION("""COMPUTED_VALUE"""),"80 *")</f>
        <v>80 *</v>
      </c>
      <c r="AJ519" s="97" t="str">
        <f>IFERROR(__xludf.DUMMYFUNCTION("""COMPUTED_VALUE"""),"N/A")</f>
        <v>N/A</v>
      </c>
      <c r="AK519" s="97" t="str">
        <f>IFERROR(__xludf.DUMMYFUNCTION("""COMPUTED_VALUE"""),"Policarbonato (PC)")</f>
        <v>Policarbonato (PC)</v>
      </c>
      <c r="AL519" s="97" t="str">
        <f>IFERROR(__xludf.DUMMYFUNCTION("""COMPUTED_VALUE"""),"Blanco y Negro")</f>
        <v>Blanco y Negro</v>
      </c>
      <c r="AM519" s="97" t="str">
        <f>IFERROR(__xludf.DUMMYFUNCTION("""COMPUTED_VALUE"""),"-")</f>
        <v>-</v>
      </c>
      <c r="AN519" s="97" t="str">
        <f>IFERROR(__xludf.DUMMYFUNCTION("""COMPUTED_VALUE"""),"N/A")</f>
        <v>N/A</v>
      </c>
      <c r="AO519" s="97" t="str">
        <f>IFERROR(__xludf.DUMMYFUNCTION("""COMPUTED_VALUE"""),"8 Años")</f>
        <v>8 Años</v>
      </c>
      <c r="AP519" s="97" t="str">
        <f>IFERROR(__xludf.DUMMYFUNCTION("""COMPUTED_VALUE"""),"No Aplica")</f>
        <v>No Aplica</v>
      </c>
      <c r="AQ519" s="97" t="str">
        <f>IFERROR(__xludf.DUMMYFUNCTION("""COMPUTED_VALUE"""),"No Aplica")</f>
        <v>No Aplica</v>
      </c>
      <c r="AR519" s="97" t="str">
        <f>IFERROR(__xludf.DUMMYFUNCTION("""COMPUTED_VALUE"""),"No Aplica")</f>
        <v>No Aplica</v>
      </c>
      <c r="AS519" s="97"/>
      <c r="AT519" s="97"/>
      <c r="AU519" s="97"/>
      <c r="AV519" s="97" t="str">
        <f>IFERROR(__xludf.DUMMYFUNCTION("""COMPUTED_VALUE"""),"Empotrable")</f>
        <v>Empotrable</v>
      </c>
      <c r="AW519" s="97" t="str">
        <f>IFERROR(__xludf.DUMMYFUNCTION("""COMPUTED_VALUE"""),"De Techo")</f>
        <v>De Techo</v>
      </c>
      <c r="AX519" s="97" t="str">
        <f>IFERROR(__xludf.DUMMYFUNCTION("""COMPUTED_VALUE"""),"Interior")</f>
        <v>Interior</v>
      </c>
      <c r="AY519" s="97"/>
      <c r="AZ519"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19" s="97">
        <f>IFERROR(__xludf.DUMMYFUNCTION("""COMPUTED_VALUE"""),100.0)</f>
        <v>100</v>
      </c>
      <c r="BB519" s="97"/>
      <c r="BC519" s="97"/>
      <c r="BD519" s="97" t="str">
        <f>IFERROR(__xludf.DUMMYFUNCTION("""COMPUTED_VALUE"""),"NIS")</f>
        <v>NIS</v>
      </c>
      <c r="BE519" s="97" t="str">
        <f>IFERROR(__xludf.DUMMYFUNCTION("""COMPUTED_VALUE"""),"Finalizada")</f>
        <v>Finalizada</v>
      </c>
      <c r="BF519" s="97"/>
      <c r="BG519" s="97" t="str">
        <f>IFERROR(__xludf.DUMMYFUNCTION("""COMPUTED_VALUE"""),"Discontinuo")</f>
        <v>Discontinuo</v>
      </c>
    </row>
    <row r="520">
      <c r="A520" s="97">
        <f>IFERROR(__xludf.DUMMYFUNCTION("""COMPUTED_VALUE"""),6125.0)</f>
        <v>6125</v>
      </c>
      <c r="B520" s="97" t="str">
        <f>IFERROR(__xludf.DUMMYFUNCTION("""COMPUTED_VALUE"""),"ONA I BL")</f>
        <v>ONA I BL</v>
      </c>
      <c r="C520" s="97" t="str">
        <f>IFERROR(__xludf.DUMMYFUNCTION("""COMPUTED_VALUE"""),"SPOT DE EMBUTIR ONA1 BLANCO")</f>
        <v>SPOT DE EMBUTIR ONA1 BLANCO</v>
      </c>
      <c r="D520" s="97">
        <f>IFERROR(__xludf.DUMMYFUNCTION("""COMPUTED_VALUE"""),7.798328756923E12)</f>
        <v>7798328756923</v>
      </c>
      <c r="E520" s="97"/>
      <c r="F520" s="97" t="str">
        <f>IFERROR(__xludf.DUMMYFUNCTION("""COMPUTED_VALUE"""),"1 x GU10")</f>
        <v>1 x GU10</v>
      </c>
      <c r="G520" s="97" t="str">
        <f>IFERROR(__xludf.DUMMYFUNCTION("""COMPUTED_VALUE"""),"N/A")</f>
        <v>N/A</v>
      </c>
      <c r="H520" s="97" t="str">
        <f>IFERROR(__xludf.DUMMYFUNCTION("""COMPUTED_VALUE"""),"N/A")</f>
        <v>N/A</v>
      </c>
      <c r="I520" s="97" t="str">
        <f>IFERROR(__xludf.DUMMYFUNCTION("""COMPUTED_VALUE"""),"N/A")</f>
        <v>N/A</v>
      </c>
      <c r="J520" s="97"/>
      <c r="K520" s="97" t="str">
        <f>IFERROR(__xludf.DUMMYFUNCTION("""COMPUTED_VALUE"""),"N/A")</f>
        <v>N/A</v>
      </c>
      <c r="L520" s="97">
        <f>IFERROR(__xludf.DUMMYFUNCTION("""COMPUTED_VALUE"""),220.0)</f>
        <v>220</v>
      </c>
      <c r="M520" s="97">
        <f>IFERROR(__xludf.DUMMYFUNCTION("""COMPUTED_VALUE"""),50.0)</f>
        <v>50</v>
      </c>
      <c r="N520" s="97"/>
      <c r="O520" s="97" t="str">
        <f>IFERROR(__xludf.DUMMYFUNCTION("""COMPUTED_VALUE"""),"1 x 50W Max")</f>
        <v>1 x 50W Max</v>
      </c>
      <c r="P520" s="97"/>
      <c r="Q520" s="97" t="str">
        <f>IFERROR(__xludf.DUMMYFUNCTION("""COMPUTED_VALUE"""),"-")</f>
        <v>-</v>
      </c>
      <c r="R520" s="97" t="str">
        <f>IFERROR(__xludf.DUMMYFUNCTION("""COMPUTED_VALUE"""),"-")</f>
        <v>-</v>
      </c>
      <c r="S520" s="97" t="str">
        <f>IFERROR(__xludf.DUMMYFUNCTION("""COMPUTED_VALUE"""),"-")</f>
        <v>-</v>
      </c>
      <c r="T520" s="97" t="str">
        <f>IFERROR(__xludf.DUMMYFUNCTION("""COMPUTED_VALUE"""),"-")</f>
        <v>-</v>
      </c>
      <c r="U520" s="97" t="str">
        <f>IFERROR(__xludf.DUMMYFUNCTION("""COMPUTED_VALUE"""),"-")</f>
        <v>-</v>
      </c>
      <c r="V520" s="97" t="str">
        <f>IFERROR(__xludf.DUMMYFUNCTION("""COMPUTED_VALUE"""),"N/A")</f>
        <v>N/A</v>
      </c>
      <c r="W520" s="97" t="str">
        <f>IFERROR(__xludf.DUMMYFUNCTION("""COMPUTED_VALUE"""),"N/A")</f>
        <v>N/A</v>
      </c>
      <c r="X520" s="97" t="str">
        <f>IFERROR(__xludf.DUMMYFUNCTION("""COMPUTED_VALUE"""),"-")</f>
        <v>-</v>
      </c>
      <c r="Y520" s="97" t="str">
        <f>IFERROR(__xludf.DUMMYFUNCTION("""COMPUTED_VALUE"""),"N/A")</f>
        <v>N/A</v>
      </c>
      <c r="Z520" s="97" t="str">
        <f>IFERROR(__xludf.DUMMYFUNCTION("""COMPUTED_VALUE"""),"N/A")</f>
        <v>N/A</v>
      </c>
      <c r="AA520" s="97" t="str">
        <f>IFERROR(__xludf.DUMMYFUNCTION("""COMPUTED_VALUE"""),"N/A")</f>
        <v>N/A</v>
      </c>
      <c r="AB520" s="97" t="str">
        <f>IFERROR(__xludf.DUMMYFUNCTION("""COMPUTED_VALUE"""),"N/A")</f>
        <v>N/A</v>
      </c>
      <c r="AC520" s="97" t="str">
        <f>IFERROR(__xludf.DUMMYFUNCTION("""COMPUTED_VALUE"""),"N/A")</f>
        <v>N/A</v>
      </c>
      <c r="AD520" s="97" t="str">
        <f>IFERROR(__xludf.DUMMYFUNCTION("""COMPUTED_VALUE"""),"IP20")</f>
        <v>IP20</v>
      </c>
      <c r="AE520" s="97" t="str">
        <f>IFERROR(__xludf.DUMMYFUNCTION("""COMPUTED_VALUE"""),"N/A")</f>
        <v>N/A</v>
      </c>
      <c r="AF520" s="97" t="str">
        <f>IFERROR(__xludf.DUMMYFUNCTION("""COMPUTED_VALUE"""),"Embutir")</f>
        <v>Embutir</v>
      </c>
      <c r="AG520" s="97" t="str">
        <f>IFERROR(__xludf.DUMMYFUNCTION("""COMPUTED_VALUE"""),"110 x 110 x 35")</f>
        <v>110 x 110 x 35</v>
      </c>
      <c r="AH520" s="97" t="str">
        <f>IFERROR(__xludf.DUMMYFUNCTION("""COMPUTED_VALUE"""),"Ø98 ")</f>
        <v>Ø98 </v>
      </c>
      <c r="AI520" s="97" t="str">
        <f>IFERROR(__xludf.DUMMYFUNCTION("""COMPUTED_VALUE"""),"80 *")</f>
        <v>80 *</v>
      </c>
      <c r="AJ520" s="97" t="str">
        <f>IFERROR(__xludf.DUMMYFUNCTION("""COMPUTED_VALUE"""),"N/A")</f>
        <v>N/A</v>
      </c>
      <c r="AK520" s="97" t="str">
        <f>IFERROR(__xludf.DUMMYFUNCTION("""COMPUTED_VALUE"""),"Policarbonato (PC)")</f>
        <v>Policarbonato (PC)</v>
      </c>
      <c r="AL520" s="97" t="str">
        <f>IFERROR(__xludf.DUMMYFUNCTION("""COMPUTED_VALUE"""),"Blanco Mate")</f>
        <v>Blanco Mate</v>
      </c>
      <c r="AM520" s="97" t="str">
        <f>IFERROR(__xludf.DUMMYFUNCTION("""COMPUTED_VALUE"""),"-")</f>
        <v>-</v>
      </c>
      <c r="AN520" s="97" t="str">
        <f>IFERROR(__xludf.DUMMYFUNCTION("""COMPUTED_VALUE"""),"N/A")</f>
        <v>N/A</v>
      </c>
      <c r="AO520" s="97" t="str">
        <f>IFERROR(__xludf.DUMMYFUNCTION("""COMPUTED_VALUE"""),"8 Años")</f>
        <v>8 Años</v>
      </c>
      <c r="AP520" s="97" t="str">
        <f>IFERROR(__xludf.DUMMYFUNCTION("""COMPUTED_VALUE"""),"No Aplica")</f>
        <v>No Aplica</v>
      </c>
      <c r="AQ520" s="97" t="str">
        <f>IFERROR(__xludf.DUMMYFUNCTION("""COMPUTED_VALUE"""),"No Aplica")</f>
        <v>No Aplica</v>
      </c>
      <c r="AR520" s="97" t="str">
        <f>IFERROR(__xludf.DUMMYFUNCTION("""COMPUTED_VALUE"""),"No Aplica")</f>
        <v>No Aplica</v>
      </c>
      <c r="AS520" s="97"/>
      <c r="AT520" s="97"/>
      <c r="AU520" s="97"/>
      <c r="AV520" s="97" t="str">
        <f>IFERROR(__xludf.DUMMYFUNCTION("""COMPUTED_VALUE"""),"Empotrable")</f>
        <v>Empotrable</v>
      </c>
      <c r="AW520" s="97" t="str">
        <f>IFERROR(__xludf.DUMMYFUNCTION("""COMPUTED_VALUE"""),"De Techo")</f>
        <v>De Techo</v>
      </c>
      <c r="AX520" s="97" t="str">
        <f>IFERROR(__xludf.DUMMYFUNCTION("""COMPUTED_VALUE"""),"Interior")</f>
        <v>Interior</v>
      </c>
      <c r="AY520" s="97"/>
      <c r="AZ520"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20" s="97">
        <f>IFERROR(__xludf.DUMMYFUNCTION("""COMPUTED_VALUE"""),100.0)</f>
        <v>100</v>
      </c>
      <c r="BB520" s="97"/>
      <c r="BC520" s="97"/>
      <c r="BD520" s="97" t="str">
        <f>IFERROR(__xludf.DUMMYFUNCTION("""COMPUTED_VALUE"""),"ONA")</f>
        <v>ONA</v>
      </c>
      <c r="BE520" s="97" t="str">
        <f>IFERROR(__xludf.DUMMYFUNCTION("""COMPUTED_VALUE"""),"Finalizada")</f>
        <v>Finalizada</v>
      </c>
      <c r="BF520" s="97"/>
      <c r="BG520" s="97" t="str">
        <f>IFERROR(__xludf.DUMMYFUNCTION("""COMPUTED_VALUE"""),"Discontinuo")</f>
        <v>Discontinuo</v>
      </c>
    </row>
    <row r="521">
      <c r="A521" s="97">
        <f>IFERROR(__xludf.DUMMYFUNCTION("""COMPUTED_VALUE"""),6126.0)</f>
        <v>6126</v>
      </c>
      <c r="B521" s="97" t="str">
        <f>IFERROR(__xludf.DUMMYFUNCTION("""COMPUTED_VALUE"""),"ONA I BLNG")</f>
        <v>ONA I BLNG</v>
      </c>
      <c r="C521" s="97" t="str">
        <f>IFERROR(__xludf.DUMMYFUNCTION("""COMPUTED_VALUE"""),"SPOT DE EMBUTIR ONA1 BLANCO Y NEGRO")</f>
        <v>SPOT DE EMBUTIR ONA1 BLANCO Y NEGRO</v>
      </c>
      <c r="D521" s="97">
        <f>IFERROR(__xludf.DUMMYFUNCTION("""COMPUTED_VALUE"""),7.79832875693E12)</f>
        <v>7798328756930</v>
      </c>
      <c r="E521" s="97"/>
      <c r="F521" s="97" t="str">
        <f>IFERROR(__xludf.DUMMYFUNCTION("""COMPUTED_VALUE"""),"1 x GU10")</f>
        <v>1 x GU10</v>
      </c>
      <c r="G521" s="97" t="str">
        <f>IFERROR(__xludf.DUMMYFUNCTION("""COMPUTED_VALUE"""),"N/A")</f>
        <v>N/A</v>
      </c>
      <c r="H521" s="97" t="str">
        <f>IFERROR(__xludf.DUMMYFUNCTION("""COMPUTED_VALUE"""),"N/A")</f>
        <v>N/A</v>
      </c>
      <c r="I521" s="97" t="str">
        <f>IFERROR(__xludf.DUMMYFUNCTION("""COMPUTED_VALUE"""),"N/A")</f>
        <v>N/A</v>
      </c>
      <c r="J521" s="97"/>
      <c r="K521" s="97" t="str">
        <f>IFERROR(__xludf.DUMMYFUNCTION("""COMPUTED_VALUE"""),"N/A")</f>
        <v>N/A</v>
      </c>
      <c r="L521" s="97">
        <f>IFERROR(__xludf.DUMMYFUNCTION("""COMPUTED_VALUE"""),220.0)</f>
        <v>220</v>
      </c>
      <c r="M521" s="97">
        <f>IFERROR(__xludf.DUMMYFUNCTION("""COMPUTED_VALUE"""),50.0)</f>
        <v>50</v>
      </c>
      <c r="N521" s="97"/>
      <c r="O521" s="97" t="str">
        <f>IFERROR(__xludf.DUMMYFUNCTION("""COMPUTED_VALUE"""),"1 x 50W Max")</f>
        <v>1 x 50W Max</v>
      </c>
      <c r="P521" s="97"/>
      <c r="Q521" s="97" t="str">
        <f>IFERROR(__xludf.DUMMYFUNCTION("""COMPUTED_VALUE"""),"-")</f>
        <v>-</v>
      </c>
      <c r="R521" s="97" t="str">
        <f>IFERROR(__xludf.DUMMYFUNCTION("""COMPUTED_VALUE"""),"-")</f>
        <v>-</v>
      </c>
      <c r="S521" s="97" t="str">
        <f>IFERROR(__xludf.DUMMYFUNCTION("""COMPUTED_VALUE"""),"-")</f>
        <v>-</v>
      </c>
      <c r="T521" s="97" t="str">
        <f>IFERROR(__xludf.DUMMYFUNCTION("""COMPUTED_VALUE"""),"-")</f>
        <v>-</v>
      </c>
      <c r="U521" s="97" t="str">
        <f>IFERROR(__xludf.DUMMYFUNCTION("""COMPUTED_VALUE"""),"-")</f>
        <v>-</v>
      </c>
      <c r="V521" s="97" t="str">
        <f>IFERROR(__xludf.DUMMYFUNCTION("""COMPUTED_VALUE"""),"N/A")</f>
        <v>N/A</v>
      </c>
      <c r="W521" s="97" t="str">
        <f>IFERROR(__xludf.DUMMYFUNCTION("""COMPUTED_VALUE"""),"N/A")</f>
        <v>N/A</v>
      </c>
      <c r="X521" s="97" t="str">
        <f>IFERROR(__xludf.DUMMYFUNCTION("""COMPUTED_VALUE"""),"-")</f>
        <v>-</v>
      </c>
      <c r="Y521" s="97" t="str">
        <f>IFERROR(__xludf.DUMMYFUNCTION("""COMPUTED_VALUE"""),"N/A")</f>
        <v>N/A</v>
      </c>
      <c r="Z521" s="97" t="str">
        <f>IFERROR(__xludf.DUMMYFUNCTION("""COMPUTED_VALUE"""),"N/A")</f>
        <v>N/A</v>
      </c>
      <c r="AA521" s="97" t="str">
        <f>IFERROR(__xludf.DUMMYFUNCTION("""COMPUTED_VALUE"""),"N/A")</f>
        <v>N/A</v>
      </c>
      <c r="AB521" s="97" t="str">
        <f>IFERROR(__xludf.DUMMYFUNCTION("""COMPUTED_VALUE"""),"N/A")</f>
        <v>N/A</v>
      </c>
      <c r="AC521" s="97" t="str">
        <f>IFERROR(__xludf.DUMMYFUNCTION("""COMPUTED_VALUE"""),"N/A")</f>
        <v>N/A</v>
      </c>
      <c r="AD521" s="97" t="str">
        <f>IFERROR(__xludf.DUMMYFUNCTION("""COMPUTED_VALUE"""),"IP20")</f>
        <v>IP20</v>
      </c>
      <c r="AE521" s="97" t="str">
        <f>IFERROR(__xludf.DUMMYFUNCTION("""COMPUTED_VALUE"""),"N/A")</f>
        <v>N/A</v>
      </c>
      <c r="AF521" s="97" t="str">
        <f>IFERROR(__xludf.DUMMYFUNCTION("""COMPUTED_VALUE"""),"Embutir")</f>
        <v>Embutir</v>
      </c>
      <c r="AG521" s="97" t="str">
        <f>IFERROR(__xludf.DUMMYFUNCTION("""COMPUTED_VALUE"""),"110 x 110 x 35")</f>
        <v>110 x 110 x 35</v>
      </c>
      <c r="AH521" s="97" t="str">
        <f>IFERROR(__xludf.DUMMYFUNCTION("""COMPUTED_VALUE"""),"Ø98 ")</f>
        <v>Ø98 </v>
      </c>
      <c r="AI521" s="97" t="str">
        <f>IFERROR(__xludf.DUMMYFUNCTION("""COMPUTED_VALUE"""),"80 *")</f>
        <v>80 *</v>
      </c>
      <c r="AJ521" s="97" t="str">
        <f>IFERROR(__xludf.DUMMYFUNCTION("""COMPUTED_VALUE"""),"N/A")</f>
        <v>N/A</v>
      </c>
      <c r="AK521" s="97" t="str">
        <f>IFERROR(__xludf.DUMMYFUNCTION("""COMPUTED_VALUE"""),"Policarbonato (PC)")</f>
        <v>Policarbonato (PC)</v>
      </c>
      <c r="AL521" s="97" t="str">
        <f>IFERROR(__xludf.DUMMYFUNCTION("""COMPUTED_VALUE"""),"Blanco y Negro")</f>
        <v>Blanco y Negro</v>
      </c>
      <c r="AM521" s="97" t="str">
        <f>IFERROR(__xludf.DUMMYFUNCTION("""COMPUTED_VALUE"""),"-")</f>
        <v>-</v>
      </c>
      <c r="AN521" s="97" t="str">
        <f>IFERROR(__xludf.DUMMYFUNCTION("""COMPUTED_VALUE"""),"N/A")</f>
        <v>N/A</v>
      </c>
      <c r="AO521" s="97" t="str">
        <f>IFERROR(__xludf.DUMMYFUNCTION("""COMPUTED_VALUE"""),"8 Años")</f>
        <v>8 Años</v>
      </c>
      <c r="AP521" s="97" t="str">
        <f>IFERROR(__xludf.DUMMYFUNCTION("""COMPUTED_VALUE"""),"No Aplica")</f>
        <v>No Aplica</v>
      </c>
      <c r="AQ521" s="97" t="str">
        <f>IFERROR(__xludf.DUMMYFUNCTION("""COMPUTED_VALUE"""),"No Aplica")</f>
        <v>No Aplica</v>
      </c>
      <c r="AR521" s="97" t="str">
        <f>IFERROR(__xludf.DUMMYFUNCTION("""COMPUTED_VALUE"""),"No Aplica")</f>
        <v>No Aplica</v>
      </c>
      <c r="AS521" s="97"/>
      <c r="AT521" s="97"/>
      <c r="AU521" s="97"/>
      <c r="AV521" s="97" t="str">
        <f>IFERROR(__xludf.DUMMYFUNCTION("""COMPUTED_VALUE"""),"Empotrable")</f>
        <v>Empotrable</v>
      </c>
      <c r="AW521" s="97" t="str">
        <f>IFERROR(__xludf.DUMMYFUNCTION("""COMPUTED_VALUE"""),"De Techo")</f>
        <v>De Techo</v>
      </c>
      <c r="AX521" s="97" t="str">
        <f>IFERROR(__xludf.DUMMYFUNCTION("""COMPUTED_VALUE"""),"Interior")</f>
        <v>Interior</v>
      </c>
      <c r="AY521" s="97"/>
      <c r="AZ521"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21" s="97">
        <f>IFERROR(__xludf.DUMMYFUNCTION("""COMPUTED_VALUE"""),100.0)</f>
        <v>100</v>
      </c>
      <c r="BB521" s="97"/>
      <c r="BC521" s="97"/>
      <c r="BD521" s="97" t="str">
        <f>IFERROR(__xludf.DUMMYFUNCTION("""COMPUTED_VALUE"""),"ONA")</f>
        <v>ONA</v>
      </c>
      <c r="BE521" s="97" t="str">
        <f>IFERROR(__xludf.DUMMYFUNCTION("""COMPUTED_VALUE"""),"Finalizada")</f>
        <v>Finalizada</v>
      </c>
      <c r="BF521" s="97"/>
      <c r="BG521" s="97" t="str">
        <f>IFERROR(__xludf.DUMMYFUNCTION("""COMPUTED_VALUE"""),"Discontinuo")</f>
        <v>Discontinuo</v>
      </c>
    </row>
    <row r="522">
      <c r="A522" s="97">
        <f>IFERROR(__xludf.DUMMYFUNCTION("""COMPUTED_VALUE"""),6127.0)</f>
        <v>6127</v>
      </c>
      <c r="B522" s="97" t="str">
        <f>IFERROR(__xludf.DUMMYFUNCTION("""COMPUTED_VALUE"""),"ONA I NG")</f>
        <v>ONA I NG</v>
      </c>
      <c r="C522" s="97" t="str">
        <f>IFERROR(__xludf.DUMMYFUNCTION("""COMPUTED_VALUE"""),"SPOT DE EMBUTIR ONA1 NEGRO")</f>
        <v>SPOT DE EMBUTIR ONA1 NEGRO</v>
      </c>
      <c r="D522" s="97">
        <f>IFERROR(__xludf.DUMMYFUNCTION("""COMPUTED_VALUE"""),7.798328756947E12)</f>
        <v>7798328756947</v>
      </c>
      <c r="E522" s="97"/>
      <c r="F522" s="97" t="str">
        <f>IFERROR(__xludf.DUMMYFUNCTION("""COMPUTED_VALUE"""),"1 x GU10")</f>
        <v>1 x GU10</v>
      </c>
      <c r="G522" s="97" t="str">
        <f>IFERROR(__xludf.DUMMYFUNCTION("""COMPUTED_VALUE"""),"N/A")</f>
        <v>N/A</v>
      </c>
      <c r="H522" s="97" t="str">
        <f>IFERROR(__xludf.DUMMYFUNCTION("""COMPUTED_VALUE"""),"N/A")</f>
        <v>N/A</v>
      </c>
      <c r="I522" s="97" t="str">
        <f>IFERROR(__xludf.DUMMYFUNCTION("""COMPUTED_VALUE"""),"N/A")</f>
        <v>N/A</v>
      </c>
      <c r="J522" s="97"/>
      <c r="K522" s="97" t="str">
        <f>IFERROR(__xludf.DUMMYFUNCTION("""COMPUTED_VALUE"""),"N/A")</f>
        <v>N/A</v>
      </c>
      <c r="L522" s="97">
        <f>IFERROR(__xludf.DUMMYFUNCTION("""COMPUTED_VALUE"""),220.0)</f>
        <v>220</v>
      </c>
      <c r="M522" s="97">
        <f>IFERROR(__xludf.DUMMYFUNCTION("""COMPUTED_VALUE"""),50.0)</f>
        <v>50</v>
      </c>
      <c r="N522" s="97"/>
      <c r="O522" s="97" t="str">
        <f>IFERROR(__xludf.DUMMYFUNCTION("""COMPUTED_VALUE"""),"1 x 50W Max")</f>
        <v>1 x 50W Max</v>
      </c>
      <c r="P522" s="97"/>
      <c r="Q522" s="97" t="str">
        <f>IFERROR(__xludf.DUMMYFUNCTION("""COMPUTED_VALUE"""),"-")</f>
        <v>-</v>
      </c>
      <c r="R522" s="97" t="str">
        <f>IFERROR(__xludf.DUMMYFUNCTION("""COMPUTED_VALUE"""),"-")</f>
        <v>-</v>
      </c>
      <c r="S522" s="97" t="str">
        <f>IFERROR(__xludf.DUMMYFUNCTION("""COMPUTED_VALUE"""),"-")</f>
        <v>-</v>
      </c>
      <c r="T522" s="97" t="str">
        <f>IFERROR(__xludf.DUMMYFUNCTION("""COMPUTED_VALUE"""),"-")</f>
        <v>-</v>
      </c>
      <c r="U522" s="97" t="str">
        <f>IFERROR(__xludf.DUMMYFUNCTION("""COMPUTED_VALUE"""),"-")</f>
        <v>-</v>
      </c>
      <c r="V522" s="97" t="str">
        <f>IFERROR(__xludf.DUMMYFUNCTION("""COMPUTED_VALUE"""),"N/A")</f>
        <v>N/A</v>
      </c>
      <c r="W522" s="97" t="str">
        <f>IFERROR(__xludf.DUMMYFUNCTION("""COMPUTED_VALUE"""),"N/A")</f>
        <v>N/A</v>
      </c>
      <c r="X522" s="97" t="str">
        <f>IFERROR(__xludf.DUMMYFUNCTION("""COMPUTED_VALUE"""),"-")</f>
        <v>-</v>
      </c>
      <c r="Y522" s="97" t="str">
        <f>IFERROR(__xludf.DUMMYFUNCTION("""COMPUTED_VALUE"""),"N/A")</f>
        <v>N/A</v>
      </c>
      <c r="Z522" s="97" t="str">
        <f>IFERROR(__xludf.DUMMYFUNCTION("""COMPUTED_VALUE"""),"N/A")</f>
        <v>N/A</v>
      </c>
      <c r="AA522" s="97" t="str">
        <f>IFERROR(__xludf.DUMMYFUNCTION("""COMPUTED_VALUE"""),"N/A")</f>
        <v>N/A</v>
      </c>
      <c r="AB522" s="97" t="str">
        <f>IFERROR(__xludf.DUMMYFUNCTION("""COMPUTED_VALUE"""),"N/A")</f>
        <v>N/A</v>
      </c>
      <c r="AC522" s="97" t="str">
        <f>IFERROR(__xludf.DUMMYFUNCTION("""COMPUTED_VALUE"""),"N/A")</f>
        <v>N/A</v>
      </c>
      <c r="AD522" s="97" t="str">
        <f>IFERROR(__xludf.DUMMYFUNCTION("""COMPUTED_VALUE"""),"IP20")</f>
        <v>IP20</v>
      </c>
      <c r="AE522" s="97" t="str">
        <f>IFERROR(__xludf.DUMMYFUNCTION("""COMPUTED_VALUE"""),"N/A")</f>
        <v>N/A</v>
      </c>
      <c r="AF522" s="97" t="str">
        <f>IFERROR(__xludf.DUMMYFUNCTION("""COMPUTED_VALUE"""),"Embutir")</f>
        <v>Embutir</v>
      </c>
      <c r="AG522" s="97" t="str">
        <f>IFERROR(__xludf.DUMMYFUNCTION("""COMPUTED_VALUE"""),"110 x 110 x 35")</f>
        <v>110 x 110 x 35</v>
      </c>
      <c r="AH522" s="97" t="str">
        <f>IFERROR(__xludf.DUMMYFUNCTION("""COMPUTED_VALUE"""),"Ø98 ")</f>
        <v>Ø98 </v>
      </c>
      <c r="AI522" s="97" t="str">
        <f>IFERROR(__xludf.DUMMYFUNCTION("""COMPUTED_VALUE"""),"80 *")</f>
        <v>80 *</v>
      </c>
      <c r="AJ522" s="97" t="str">
        <f>IFERROR(__xludf.DUMMYFUNCTION("""COMPUTED_VALUE"""),"N/A")</f>
        <v>N/A</v>
      </c>
      <c r="AK522" s="97" t="str">
        <f>IFERROR(__xludf.DUMMYFUNCTION("""COMPUTED_VALUE"""),"Policarbonato (PC)")</f>
        <v>Policarbonato (PC)</v>
      </c>
      <c r="AL522" s="97" t="str">
        <f>IFERROR(__xludf.DUMMYFUNCTION("""COMPUTED_VALUE"""),"Negro Mate")</f>
        <v>Negro Mate</v>
      </c>
      <c r="AM522" s="97" t="str">
        <f>IFERROR(__xludf.DUMMYFUNCTION("""COMPUTED_VALUE"""),"-")</f>
        <v>-</v>
      </c>
      <c r="AN522" s="97" t="str">
        <f>IFERROR(__xludf.DUMMYFUNCTION("""COMPUTED_VALUE"""),"N/A")</f>
        <v>N/A</v>
      </c>
      <c r="AO522" s="97" t="str">
        <f>IFERROR(__xludf.DUMMYFUNCTION("""COMPUTED_VALUE"""),"8 Años")</f>
        <v>8 Años</v>
      </c>
      <c r="AP522" s="97" t="str">
        <f>IFERROR(__xludf.DUMMYFUNCTION("""COMPUTED_VALUE"""),"No Aplica")</f>
        <v>No Aplica</v>
      </c>
      <c r="AQ522" s="97" t="str">
        <f>IFERROR(__xludf.DUMMYFUNCTION("""COMPUTED_VALUE"""),"No Aplica")</f>
        <v>No Aplica</v>
      </c>
      <c r="AR522" s="97" t="str">
        <f>IFERROR(__xludf.DUMMYFUNCTION("""COMPUTED_VALUE"""),"No Aplica")</f>
        <v>No Aplica</v>
      </c>
      <c r="AS522" s="97"/>
      <c r="AT522" s="97"/>
      <c r="AU522" s="97"/>
      <c r="AV522" s="97" t="str">
        <f>IFERROR(__xludf.DUMMYFUNCTION("""COMPUTED_VALUE"""),"Empotrable")</f>
        <v>Empotrable</v>
      </c>
      <c r="AW522" s="97" t="str">
        <f>IFERROR(__xludf.DUMMYFUNCTION("""COMPUTED_VALUE"""),"De Techo")</f>
        <v>De Techo</v>
      </c>
      <c r="AX522" s="97" t="str">
        <f>IFERROR(__xludf.DUMMYFUNCTION("""COMPUTED_VALUE"""),"Interior")</f>
        <v>Interior</v>
      </c>
      <c r="AY522" s="97"/>
      <c r="AZ522"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22" s="97">
        <f>IFERROR(__xludf.DUMMYFUNCTION("""COMPUTED_VALUE"""),100.0)</f>
        <v>100</v>
      </c>
      <c r="BB522" s="97"/>
      <c r="BC522" s="97"/>
      <c r="BD522" s="97" t="str">
        <f>IFERROR(__xludf.DUMMYFUNCTION("""COMPUTED_VALUE"""),"ONA")</f>
        <v>ONA</v>
      </c>
      <c r="BE522" s="97" t="str">
        <f>IFERROR(__xludf.DUMMYFUNCTION("""COMPUTED_VALUE"""),"Finalizada")</f>
        <v>Finalizada</v>
      </c>
      <c r="BF522" s="97"/>
      <c r="BG522" s="97" t="str">
        <f>IFERROR(__xludf.DUMMYFUNCTION("""COMPUTED_VALUE"""),"Discontinuo")</f>
        <v>Discontinuo</v>
      </c>
    </row>
    <row r="523">
      <c r="A523" s="97">
        <f>IFERROR(__xludf.DUMMYFUNCTION("""COMPUTED_VALUE"""),6128.0)</f>
        <v>6128</v>
      </c>
      <c r="B523" s="97" t="str">
        <f>IFERROR(__xludf.DUMMYFUNCTION("""COMPUTED_VALUE"""),"ONA II BL")</f>
        <v>ONA II BL</v>
      </c>
      <c r="C523" s="97" t="str">
        <f>IFERROR(__xludf.DUMMYFUNCTION("""COMPUTED_VALUE"""),"SPOT DE EMBUTIR ONA2 BLANCO")</f>
        <v>SPOT DE EMBUTIR ONA2 BLANCO</v>
      </c>
      <c r="D523" s="97">
        <f>IFERROR(__xludf.DUMMYFUNCTION("""COMPUTED_VALUE"""),7.798328756954E12)</f>
        <v>7798328756954</v>
      </c>
      <c r="E523" s="97"/>
      <c r="F523" s="97" t="str">
        <f>IFERROR(__xludf.DUMMYFUNCTION("""COMPUTED_VALUE"""),"2 x GU10")</f>
        <v>2 x GU10</v>
      </c>
      <c r="G523" s="97" t="str">
        <f>IFERROR(__xludf.DUMMYFUNCTION("""COMPUTED_VALUE"""),"N/A")</f>
        <v>N/A</v>
      </c>
      <c r="H523" s="97" t="str">
        <f>IFERROR(__xludf.DUMMYFUNCTION("""COMPUTED_VALUE"""),"N/A")</f>
        <v>N/A</v>
      </c>
      <c r="I523" s="97" t="str">
        <f>IFERROR(__xludf.DUMMYFUNCTION("""COMPUTED_VALUE"""),"N/A")</f>
        <v>N/A</v>
      </c>
      <c r="J523" s="97"/>
      <c r="K523" s="97" t="str">
        <f>IFERROR(__xludf.DUMMYFUNCTION("""COMPUTED_VALUE"""),"N/A")</f>
        <v>N/A</v>
      </c>
      <c r="L523" s="97">
        <f>IFERROR(__xludf.DUMMYFUNCTION("""COMPUTED_VALUE"""),220.0)</f>
        <v>220</v>
      </c>
      <c r="M523" s="97">
        <f>IFERROR(__xludf.DUMMYFUNCTION("""COMPUTED_VALUE"""),50.0)</f>
        <v>50</v>
      </c>
      <c r="N523" s="97"/>
      <c r="O523" s="97" t="str">
        <f>IFERROR(__xludf.DUMMYFUNCTION("""COMPUTED_VALUE"""),"2 x 50W Max")</f>
        <v>2 x 50W Max</v>
      </c>
      <c r="P523" s="97"/>
      <c r="Q523" s="97" t="str">
        <f>IFERROR(__xludf.DUMMYFUNCTION("""COMPUTED_VALUE"""),"-")</f>
        <v>-</v>
      </c>
      <c r="R523" s="97" t="str">
        <f>IFERROR(__xludf.DUMMYFUNCTION("""COMPUTED_VALUE"""),"-")</f>
        <v>-</v>
      </c>
      <c r="S523" s="97" t="str">
        <f>IFERROR(__xludf.DUMMYFUNCTION("""COMPUTED_VALUE"""),"-")</f>
        <v>-</v>
      </c>
      <c r="T523" s="97" t="str">
        <f>IFERROR(__xludf.DUMMYFUNCTION("""COMPUTED_VALUE"""),"-")</f>
        <v>-</v>
      </c>
      <c r="U523" s="97" t="str">
        <f>IFERROR(__xludf.DUMMYFUNCTION("""COMPUTED_VALUE"""),"-")</f>
        <v>-</v>
      </c>
      <c r="V523" s="97" t="str">
        <f>IFERROR(__xludf.DUMMYFUNCTION("""COMPUTED_VALUE"""),"N/A")</f>
        <v>N/A</v>
      </c>
      <c r="W523" s="97" t="str">
        <f>IFERROR(__xludf.DUMMYFUNCTION("""COMPUTED_VALUE"""),"N/A")</f>
        <v>N/A</v>
      </c>
      <c r="X523" s="97" t="str">
        <f>IFERROR(__xludf.DUMMYFUNCTION("""COMPUTED_VALUE"""),"-")</f>
        <v>-</v>
      </c>
      <c r="Y523" s="97" t="str">
        <f>IFERROR(__xludf.DUMMYFUNCTION("""COMPUTED_VALUE"""),"N/A")</f>
        <v>N/A</v>
      </c>
      <c r="Z523" s="97" t="str">
        <f>IFERROR(__xludf.DUMMYFUNCTION("""COMPUTED_VALUE"""),"N/A")</f>
        <v>N/A</v>
      </c>
      <c r="AA523" s="97" t="str">
        <f>IFERROR(__xludf.DUMMYFUNCTION("""COMPUTED_VALUE"""),"N/A")</f>
        <v>N/A</v>
      </c>
      <c r="AB523" s="97" t="str">
        <f>IFERROR(__xludf.DUMMYFUNCTION("""COMPUTED_VALUE"""),"N/A")</f>
        <v>N/A</v>
      </c>
      <c r="AC523" s="97" t="str">
        <f>IFERROR(__xludf.DUMMYFUNCTION("""COMPUTED_VALUE"""),"N/A")</f>
        <v>N/A</v>
      </c>
      <c r="AD523" s="97" t="str">
        <f>IFERROR(__xludf.DUMMYFUNCTION("""COMPUTED_VALUE"""),"IP20")</f>
        <v>IP20</v>
      </c>
      <c r="AE523" s="97" t="str">
        <f>IFERROR(__xludf.DUMMYFUNCTION("""COMPUTED_VALUE"""),"N/A")</f>
        <v>N/A</v>
      </c>
      <c r="AF523" s="97" t="str">
        <f>IFERROR(__xludf.DUMMYFUNCTION("""COMPUTED_VALUE"""),"Embutir")</f>
        <v>Embutir</v>
      </c>
      <c r="AG523" s="97" t="str">
        <f>IFERROR(__xludf.DUMMYFUNCTION("""COMPUTED_VALUE"""),"220 x 110 x 35")</f>
        <v>220 x 110 x 35</v>
      </c>
      <c r="AH523" s="97" t="str">
        <f>IFERROR(__xludf.DUMMYFUNCTION("""COMPUTED_VALUE"""),"200 x 100 ")</f>
        <v>200 x 100 </v>
      </c>
      <c r="AI523" s="97" t="str">
        <f>IFERROR(__xludf.DUMMYFUNCTION("""COMPUTED_VALUE"""),"80 *")</f>
        <v>80 *</v>
      </c>
      <c r="AJ523" s="97" t="str">
        <f>IFERROR(__xludf.DUMMYFUNCTION("""COMPUTED_VALUE"""),"N/A")</f>
        <v>N/A</v>
      </c>
      <c r="AK523" s="97" t="str">
        <f>IFERROR(__xludf.DUMMYFUNCTION("""COMPUTED_VALUE"""),"Policarbonato (PC)")</f>
        <v>Policarbonato (PC)</v>
      </c>
      <c r="AL523" s="97" t="str">
        <f>IFERROR(__xludf.DUMMYFUNCTION("""COMPUTED_VALUE"""),"Blanco Mate")</f>
        <v>Blanco Mate</v>
      </c>
      <c r="AM523" s="97" t="str">
        <f>IFERROR(__xludf.DUMMYFUNCTION("""COMPUTED_VALUE"""),"-")</f>
        <v>-</v>
      </c>
      <c r="AN523" s="97" t="str">
        <f>IFERROR(__xludf.DUMMYFUNCTION("""COMPUTED_VALUE"""),"N/A")</f>
        <v>N/A</v>
      </c>
      <c r="AO523" s="97" t="str">
        <f>IFERROR(__xludf.DUMMYFUNCTION("""COMPUTED_VALUE"""),"8 Años")</f>
        <v>8 Años</v>
      </c>
      <c r="AP523" s="97" t="str">
        <f>IFERROR(__xludf.DUMMYFUNCTION("""COMPUTED_VALUE"""),"No Aplica")</f>
        <v>No Aplica</v>
      </c>
      <c r="AQ523" s="97" t="str">
        <f>IFERROR(__xludf.DUMMYFUNCTION("""COMPUTED_VALUE"""),"No Aplica")</f>
        <v>No Aplica</v>
      </c>
      <c r="AR523" s="97" t="str">
        <f>IFERROR(__xludf.DUMMYFUNCTION("""COMPUTED_VALUE"""),"No Aplica")</f>
        <v>No Aplica</v>
      </c>
      <c r="AS523" s="97"/>
      <c r="AT523" s="97"/>
      <c r="AU523" s="97"/>
      <c r="AV523" s="97" t="str">
        <f>IFERROR(__xludf.DUMMYFUNCTION("""COMPUTED_VALUE"""),"Empotrable")</f>
        <v>Empotrable</v>
      </c>
      <c r="AW523" s="97" t="str">
        <f>IFERROR(__xludf.DUMMYFUNCTION("""COMPUTED_VALUE"""),"De Techo")</f>
        <v>De Techo</v>
      </c>
      <c r="AX523" s="97" t="str">
        <f>IFERROR(__xludf.DUMMYFUNCTION("""COMPUTED_VALUE"""),"Interior")</f>
        <v>Interior</v>
      </c>
      <c r="AY523" s="97"/>
      <c r="AZ523"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23" s="97">
        <f>IFERROR(__xludf.DUMMYFUNCTION("""COMPUTED_VALUE"""),50.0)</f>
        <v>50</v>
      </c>
      <c r="BB523" s="97"/>
      <c r="BC523" s="97"/>
      <c r="BD523" s="97" t="str">
        <f>IFERROR(__xludf.DUMMYFUNCTION("""COMPUTED_VALUE"""),"ONA")</f>
        <v>ONA</v>
      </c>
      <c r="BE523" s="97" t="str">
        <f>IFERROR(__xludf.DUMMYFUNCTION("""COMPUTED_VALUE"""),"Finalizada")</f>
        <v>Finalizada</v>
      </c>
      <c r="BF523" s="97"/>
      <c r="BG523" s="97" t="str">
        <f>IFERROR(__xludf.DUMMYFUNCTION("""COMPUTED_VALUE"""),"Discontinuo")</f>
        <v>Discontinuo</v>
      </c>
    </row>
    <row r="524">
      <c r="A524" s="97">
        <f>IFERROR(__xludf.DUMMYFUNCTION("""COMPUTED_VALUE"""),6129.0)</f>
        <v>6129</v>
      </c>
      <c r="B524" s="97" t="str">
        <f>IFERROR(__xludf.DUMMYFUNCTION("""COMPUTED_VALUE"""),"ONA II BLNG")</f>
        <v>ONA II BLNG</v>
      </c>
      <c r="C524" s="97" t="str">
        <f>IFERROR(__xludf.DUMMYFUNCTION("""COMPUTED_VALUE"""),"SPOT DE EMBUTIR ONA2 BLANCO Y NEGRO")</f>
        <v>SPOT DE EMBUTIR ONA2 BLANCO Y NEGRO</v>
      </c>
      <c r="D524" s="97">
        <f>IFERROR(__xludf.DUMMYFUNCTION("""COMPUTED_VALUE"""),7.798328756961E12)</f>
        <v>7798328756961</v>
      </c>
      <c r="E524" s="97"/>
      <c r="F524" s="97" t="str">
        <f>IFERROR(__xludf.DUMMYFUNCTION("""COMPUTED_VALUE"""),"2 x GU10")</f>
        <v>2 x GU10</v>
      </c>
      <c r="G524" s="97" t="str">
        <f>IFERROR(__xludf.DUMMYFUNCTION("""COMPUTED_VALUE"""),"N/A")</f>
        <v>N/A</v>
      </c>
      <c r="H524" s="97" t="str">
        <f>IFERROR(__xludf.DUMMYFUNCTION("""COMPUTED_VALUE"""),"N/A")</f>
        <v>N/A</v>
      </c>
      <c r="I524" s="97" t="str">
        <f>IFERROR(__xludf.DUMMYFUNCTION("""COMPUTED_VALUE"""),"N/A")</f>
        <v>N/A</v>
      </c>
      <c r="J524" s="97"/>
      <c r="K524" s="97" t="str">
        <f>IFERROR(__xludf.DUMMYFUNCTION("""COMPUTED_VALUE"""),"N/A")</f>
        <v>N/A</v>
      </c>
      <c r="L524" s="97">
        <f>IFERROR(__xludf.DUMMYFUNCTION("""COMPUTED_VALUE"""),220.0)</f>
        <v>220</v>
      </c>
      <c r="M524" s="97">
        <f>IFERROR(__xludf.DUMMYFUNCTION("""COMPUTED_VALUE"""),50.0)</f>
        <v>50</v>
      </c>
      <c r="N524" s="97"/>
      <c r="O524" s="97" t="str">
        <f>IFERROR(__xludf.DUMMYFUNCTION("""COMPUTED_VALUE"""),"2 x 50W Max")</f>
        <v>2 x 50W Max</v>
      </c>
      <c r="P524" s="97"/>
      <c r="Q524" s="97" t="str">
        <f>IFERROR(__xludf.DUMMYFUNCTION("""COMPUTED_VALUE"""),"-")</f>
        <v>-</v>
      </c>
      <c r="R524" s="97" t="str">
        <f>IFERROR(__xludf.DUMMYFUNCTION("""COMPUTED_VALUE"""),"-")</f>
        <v>-</v>
      </c>
      <c r="S524" s="97" t="str">
        <f>IFERROR(__xludf.DUMMYFUNCTION("""COMPUTED_VALUE"""),"-")</f>
        <v>-</v>
      </c>
      <c r="T524" s="97" t="str">
        <f>IFERROR(__xludf.DUMMYFUNCTION("""COMPUTED_VALUE"""),"-")</f>
        <v>-</v>
      </c>
      <c r="U524" s="97" t="str">
        <f>IFERROR(__xludf.DUMMYFUNCTION("""COMPUTED_VALUE"""),"-")</f>
        <v>-</v>
      </c>
      <c r="V524" s="97" t="str">
        <f>IFERROR(__xludf.DUMMYFUNCTION("""COMPUTED_VALUE"""),"N/A")</f>
        <v>N/A</v>
      </c>
      <c r="W524" s="97" t="str">
        <f>IFERROR(__xludf.DUMMYFUNCTION("""COMPUTED_VALUE"""),"N/A")</f>
        <v>N/A</v>
      </c>
      <c r="X524" s="97" t="str">
        <f>IFERROR(__xludf.DUMMYFUNCTION("""COMPUTED_VALUE"""),"-")</f>
        <v>-</v>
      </c>
      <c r="Y524" s="97" t="str">
        <f>IFERROR(__xludf.DUMMYFUNCTION("""COMPUTED_VALUE"""),"N/A")</f>
        <v>N/A</v>
      </c>
      <c r="Z524" s="97" t="str">
        <f>IFERROR(__xludf.DUMMYFUNCTION("""COMPUTED_VALUE"""),"N/A")</f>
        <v>N/A</v>
      </c>
      <c r="AA524" s="97" t="str">
        <f>IFERROR(__xludf.DUMMYFUNCTION("""COMPUTED_VALUE"""),"N/A")</f>
        <v>N/A</v>
      </c>
      <c r="AB524" s="97" t="str">
        <f>IFERROR(__xludf.DUMMYFUNCTION("""COMPUTED_VALUE"""),"N/A")</f>
        <v>N/A</v>
      </c>
      <c r="AC524" s="97" t="str">
        <f>IFERROR(__xludf.DUMMYFUNCTION("""COMPUTED_VALUE"""),"N/A")</f>
        <v>N/A</v>
      </c>
      <c r="AD524" s="97" t="str">
        <f>IFERROR(__xludf.DUMMYFUNCTION("""COMPUTED_VALUE"""),"IP20")</f>
        <v>IP20</v>
      </c>
      <c r="AE524" s="97" t="str">
        <f>IFERROR(__xludf.DUMMYFUNCTION("""COMPUTED_VALUE"""),"N/A")</f>
        <v>N/A</v>
      </c>
      <c r="AF524" s="97" t="str">
        <f>IFERROR(__xludf.DUMMYFUNCTION("""COMPUTED_VALUE"""),"Embutir")</f>
        <v>Embutir</v>
      </c>
      <c r="AG524" s="97" t="str">
        <f>IFERROR(__xludf.DUMMYFUNCTION("""COMPUTED_VALUE"""),"220 x 110 x 35")</f>
        <v>220 x 110 x 35</v>
      </c>
      <c r="AH524" s="97" t="str">
        <f>IFERROR(__xludf.DUMMYFUNCTION("""COMPUTED_VALUE"""),"200 x 100 ")</f>
        <v>200 x 100 </v>
      </c>
      <c r="AI524" s="97" t="str">
        <f>IFERROR(__xludf.DUMMYFUNCTION("""COMPUTED_VALUE"""),"80 *")</f>
        <v>80 *</v>
      </c>
      <c r="AJ524" s="97" t="str">
        <f>IFERROR(__xludf.DUMMYFUNCTION("""COMPUTED_VALUE"""),"N/A")</f>
        <v>N/A</v>
      </c>
      <c r="AK524" s="97" t="str">
        <f>IFERROR(__xludf.DUMMYFUNCTION("""COMPUTED_VALUE"""),"Policarbonato (PC)")</f>
        <v>Policarbonato (PC)</v>
      </c>
      <c r="AL524" s="97" t="str">
        <f>IFERROR(__xludf.DUMMYFUNCTION("""COMPUTED_VALUE"""),"Blanco y Negro")</f>
        <v>Blanco y Negro</v>
      </c>
      <c r="AM524" s="97" t="str">
        <f>IFERROR(__xludf.DUMMYFUNCTION("""COMPUTED_VALUE"""),"-")</f>
        <v>-</v>
      </c>
      <c r="AN524" s="97" t="str">
        <f>IFERROR(__xludf.DUMMYFUNCTION("""COMPUTED_VALUE"""),"N/A")</f>
        <v>N/A</v>
      </c>
      <c r="AO524" s="97" t="str">
        <f>IFERROR(__xludf.DUMMYFUNCTION("""COMPUTED_VALUE"""),"8 Años")</f>
        <v>8 Años</v>
      </c>
      <c r="AP524" s="97" t="str">
        <f>IFERROR(__xludf.DUMMYFUNCTION("""COMPUTED_VALUE"""),"No Aplica")</f>
        <v>No Aplica</v>
      </c>
      <c r="AQ524" s="97" t="str">
        <f>IFERROR(__xludf.DUMMYFUNCTION("""COMPUTED_VALUE"""),"No Aplica")</f>
        <v>No Aplica</v>
      </c>
      <c r="AR524" s="97" t="str">
        <f>IFERROR(__xludf.DUMMYFUNCTION("""COMPUTED_VALUE"""),"No Aplica")</f>
        <v>No Aplica</v>
      </c>
      <c r="AS524" s="97"/>
      <c r="AT524" s="97"/>
      <c r="AU524" s="97"/>
      <c r="AV524" s="97" t="str">
        <f>IFERROR(__xludf.DUMMYFUNCTION("""COMPUTED_VALUE"""),"Empotrable")</f>
        <v>Empotrable</v>
      </c>
      <c r="AW524" s="97" t="str">
        <f>IFERROR(__xludf.DUMMYFUNCTION("""COMPUTED_VALUE"""),"De Techo")</f>
        <v>De Techo</v>
      </c>
      <c r="AX524" s="97" t="str">
        <f>IFERROR(__xludf.DUMMYFUNCTION("""COMPUTED_VALUE"""),"Interior")</f>
        <v>Interior</v>
      </c>
      <c r="AY524" s="97"/>
      <c r="AZ524"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24" s="97">
        <f>IFERROR(__xludf.DUMMYFUNCTION("""COMPUTED_VALUE"""),50.0)</f>
        <v>50</v>
      </c>
      <c r="BB524" s="97"/>
      <c r="BC524" s="97"/>
      <c r="BD524" s="97" t="str">
        <f>IFERROR(__xludf.DUMMYFUNCTION("""COMPUTED_VALUE"""),"ONA")</f>
        <v>ONA</v>
      </c>
      <c r="BE524" s="97" t="str">
        <f>IFERROR(__xludf.DUMMYFUNCTION("""COMPUTED_VALUE"""),"Finalizada")</f>
        <v>Finalizada</v>
      </c>
      <c r="BF524" s="97"/>
      <c r="BG524" s="97" t="str">
        <f>IFERROR(__xludf.DUMMYFUNCTION("""COMPUTED_VALUE"""),"Discontinuo")</f>
        <v>Discontinuo</v>
      </c>
    </row>
    <row r="525">
      <c r="A525" s="97">
        <f>IFERROR(__xludf.DUMMYFUNCTION("""COMPUTED_VALUE"""),6130.0)</f>
        <v>6130</v>
      </c>
      <c r="B525" s="97" t="str">
        <f>IFERROR(__xludf.DUMMYFUNCTION("""COMPUTED_VALUE"""),"ONA II NG")</f>
        <v>ONA II NG</v>
      </c>
      <c r="C525" s="97" t="str">
        <f>IFERROR(__xludf.DUMMYFUNCTION("""COMPUTED_VALUE"""),"SPOT DE EMBUTIR ONA2 NEGRO")</f>
        <v>SPOT DE EMBUTIR ONA2 NEGRO</v>
      </c>
      <c r="D525" s="97">
        <f>IFERROR(__xludf.DUMMYFUNCTION("""COMPUTED_VALUE"""),7.798328756978E12)</f>
        <v>7798328756978</v>
      </c>
      <c r="E525" s="97"/>
      <c r="F525" s="97" t="str">
        <f>IFERROR(__xludf.DUMMYFUNCTION("""COMPUTED_VALUE"""),"2 x GU10")</f>
        <v>2 x GU10</v>
      </c>
      <c r="G525" s="97" t="str">
        <f>IFERROR(__xludf.DUMMYFUNCTION("""COMPUTED_VALUE"""),"N/A")</f>
        <v>N/A</v>
      </c>
      <c r="H525" s="97" t="str">
        <f>IFERROR(__xludf.DUMMYFUNCTION("""COMPUTED_VALUE"""),"N/A")</f>
        <v>N/A</v>
      </c>
      <c r="I525" s="97" t="str">
        <f>IFERROR(__xludf.DUMMYFUNCTION("""COMPUTED_VALUE"""),"N/A")</f>
        <v>N/A</v>
      </c>
      <c r="J525" s="97"/>
      <c r="K525" s="97" t="str">
        <f>IFERROR(__xludf.DUMMYFUNCTION("""COMPUTED_VALUE"""),"N/A")</f>
        <v>N/A</v>
      </c>
      <c r="L525" s="97">
        <f>IFERROR(__xludf.DUMMYFUNCTION("""COMPUTED_VALUE"""),220.0)</f>
        <v>220</v>
      </c>
      <c r="M525" s="97">
        <f>IFERROR(__xludf.DUMMYFUNCTION("""COMPUTED_VALUE"""),50.0)</f>
        <v>50</v>
      </c>
      <c r="N525" s="97"/>
      <c r="O525" s="97" t="str">
        <f>IFERROR(__xludf.DUMMYFUNCTION("""COMPUTED_VALUE"""),"2 x 50W Max")</f>
        <v>2 x 50W Max</v>
      </c>
      <c r="P525" s="97"/>
      <c r="Q525" s="97" t="str">
        <f>IFERROR(__xludf.DUMMYFUNCTION("""COMPUTED_VALUE"""),"-")</f>
        <v>-</v>
      </c>
      <c r="R525" s="97" t="str">
        <f>IFERROR(__xludf.DUMMYFUNCTION("""COMPUTED_VALUE"""),"-")</f>
        <v>-</v>
      </c>
      <c r="S525" s="97" t="str">
        <f>IFERROR(__xludf.DUMMYFUNCTION("""COMPUTED_VALUE"""),"-")</f>
        <v>-</v>
      </c>
      <c r="T525" s="97" t="str">
        <f>IFERROR(__xludf.DUMMYFUNCTION("""COMPUTED_VALUE"""),"-")</f>
        <v>-</v>
      </c>
      <c r="U525" s="97" t="str">
        <f>IFERROR(__xludf.DUMMYFUNCTION("""COMPUTED_VALUE"""),"-")</f>
        <v>-</v>
      </c>
      <c r="V525" s="97" t="str">
        <f>IFERROR(__xludf.DUMMYFUNCTION("""COMPUTED_VALUE"""),"N/A")</f>
        <v>N/A</v>
      </c>
      <c r="W525" s="97" t="str">
        <f>IFERROR(__xludf.DUMMYFUNCTION("""COMPUTED_VALUE"""),"N/A")</f>
        <v>N/A</v>
      </c>
      <c r="X525" s="97" t="str">
        <f>IFERROR(__xludf.DUMMYFUNCTION("""COMPUTED_VALUE"""),"-")</f>
        <v>-</v>
      </c>
      <c r="Y525" s="97" t="str">
        <f>IFERROR(__xludf.DUMMYFUNCTION("""COMPUTED_VALUE"""),"N/A")</f>
        <v>N/A</v>
      </c>
      <c r="Z525" s="97" t="str">
        <f>IFERROR(__xludf.DUMMYFUNCTION("""COMPUTED_VALUE"""),"N/A")</f>
        <v>N/A</v>
      </c>
      <c r="AA525" s="97" t="str">
        <f>IFERROR(__xludf.DUMMYFUNCTION("""COMPUTED_VALUE"""),"N/A")</f>
        <v>N/A</v>
      </c>
      <c r="AB525" s="97" t="str">
        <f>IFERROR(__xludf.DUMMYFUNCTION("""COMPUTED_VALUE"""),"N/A")</f>
        <v>N/A</v>
      </c>
      <c r="AC525" s="97" t="str">
        <f>IFERROR(__xludf.DUMMYFUNCTION("""COMPUTED_VALUE"""),"N/A")</f>
        <v>N/A</v>
      </c>
      <c r="AD525" s="97" t="str">
        <f>IFERROR(__xludf.DUMMYFUNCTION("""COMPUTED_VALUE"""),"IP20")</f>
        <v>IP20</v>
      </c>
      <c r="AE525" s="97" t="str">
        <f>IFERROR(__xludf.DUMMYFUNCTION("""COMPUTED_VALUE"""),"N/A")</f>
        <v>N/A</v>
      </c>
      <c r="AF525" s="97" t="str">
        <f>IFERROR(__xludf.DUMMYFUNCTION("""COMPUTED_VALUE"""),"Embutir")</f>
        <v>Embutir</v>
      </c>
      <c r="AG525" s="97" t="str">
        <f>IFERROR(__xludf.DUMMYFUNCTION("""COMPUTED_VALUE"""),"220 x 110 x 35")</f>
        <v>220 x 110 x 35</v>
      </c>
      <c r="AH525" s="97" t="str">
        <f>IFERROR(__xludf.DUMMYFUNCTION("""COMPUTED_VALUE"""),"200 x 100 ")</f>
        <v>200 x 100 </v>
      </c>
      <c r="AI525" s="97" t="str">
        <f>IFERROR(__xludf.DUMMYFUNCTION("""COMPUTED_VALUE"""),"80 *")</f>
        <v>80 *</v>
      </c>
      <c r="AJ525" s="97" t="str">
        <f>IFERROR(__xludf.DUMMYFUNCTION("""COMPUTED_VALUE"""),"N/A")</f>
        <v>N/A</v>
      </c>
      <c r="AK525" s="97" t="str">
        <f>IFERROR(__xludf.DUMMYFUNCTION("""COMPUTED_VALUE"""),"Policarbonato (PC)")</f>
        <v>Policarbonato (PC)</v>
      </c>
      <c r="AL525" s="97" t="str">
        <f>IFERROR(__xludf.DUMMYFUNCTION("""COMPUTED_VALUE"""),"Negro Mate")</f>
        <v>Negro Mate</v>
      </c>
      <c r="AM525" s="97" t="str">
        <f>IFERROR(__xludf.DUMMYFUNCTION("""COMPUTED_VALUE"""),"-")</f>
        <v>-</v>
      </c>
      <c r="AN525" s="97" t="str">
        <f>IFERROR(__xludf.DUMMYFUNCTION("""COMPUTED_VALUE"""),"N/A")</f>
        <v>N/A</v>
      </c>
      <c r="AO525" s="97" t="str">
        <f>IFERROR(__xludf.DUMMYFUNCTION("""COMPUTED_VALUE"""),"8 Años")</f>
        <v>8 Años</v>
      </c>
      <c r="AP525" s="97" t="str">
        <f>IFERROR(__xludf.DUMMYFUNCTION("""COMPUTED_VALUE"""),"No Aplica")</f>
        <v>No Aplica</v>
      </c>
      <c r="AQ525" s="97" t="str">
        <f>IFERROR(__xludf.DUMMYFUNCTION("""COMPUTED_VALUE"""),"No Aplica")</f>
        <v>No Aplica</v>
      </c>
      <c r="AR525" s="97" t="str">
        <f>IFERROR(__xludf.DUMMYFUNCTION("""COMPUTED_VALUE"""),"No Aplica")</f>
        <v>No Aplica</v>
      </c>
      <c r="AS525" s="97"/>
      <c r="AT525" s="97"/>
      <c r="AU525" s="97"/>
      <c r="AV525" s="97" t="str">
        <f>IFERROR(__xludf.DUMMYFUNCTION("""COMPUTED_VALUE"""),"Empotrable")</f>
        <v>Empotrable</v>
      </c>
      <c r="AW525" s="97" t="str">
        <f>IFERROR(__xludf.DUMMYFUNCTION("""COMPUTED_VALUE"""),"De Techo")</f>
        <v>De Techo</v>
      </c>
      <c r="AX525" s="97" t="str">
        <f>IFERROR(__xludf.DUMMYFUNCTION("""COMPUTED_VALUE"""),"Interior")</f>
        <v>Interior</v>
      </c>
      <c r="AY525" s="97"/>
      <c r="AZ525"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25" s="97">
        <f>IFERROR(__xludf.DUMMYFUNCTION("""COMPUTED_VALUE"""),50.0)</f>
        <v>50</v>
      </c>
      <c r="BB525" s="97"/>
      <c r="BC525" s="97"/>
      <c r="BD525" s="97" t="str">
        <f>IFERROR(__xludf.DUMMYFUNCTION("""COMPUTED_VALUE"""),"ONA")</f>
        <v>ONA</v>
      </c>
      <c r="BE525" s="97" t="str">
        <f>IFERROR(__xludf.DUMMYFUNCTION("""COMPUTED_VALUE"""),"Finalizada")</f>
        <v>Finalizada</v>
      </c>
      <c r="BF525" s="97"/>
      <c r="BG525" s="97" t="str">
        <f>IFERROR(__xludf.DUMMYFUNCTION("""COMPUTED_VALUE"""),"Discontinuo")</f>
        <v>Discontinuo</v>
      </c>
    </row>
    <row r="526">
      <c r="A526" s="97">
        <f>IFERROR(__xludf.DUMMYFUNCTION("""COMPUTED_VALUE"""),6131.0)</f>
        <v>6131</v>
      </c>
      <c r="B526" s="97" t="str">
        <f>IFERROR(__xludf.DUMMYFUNCTION("""COMPUTED_VALUE"""),"RAMI I BL")</f>
        <v>RAMI I BL</v>
      </c>
      <c r="C526" s="97" t="str">
        <f>IFERROR(__xludf.DUMMYFUNCTION("""COMPUTED_VALUE"""),"EMPOTRABLE RAMI I BL 1XGU10 DICRO IP20 LEUK")</f>
        <v>EMPOTRABLE RAMI I BL 1XGU10 DICRO IP20 LEUK</v>
      </c>
      <c r="D526" s="97">
        <f>IFERROR(__xludf.DUMMYFUNCTION("""COMPUTED_VALUE"""),7.798328757067E12)</f>
        <v>7798328757067</v>
      </c>
      <c r="E526" s="97" t="str">
        <f>IFERROR(__xludf.DUMMYFUNCTION("""COMPUTED_VALUE"""),"-")</f>
        <v>-</v>
      </c>
      <c r="F526" s="97" t="str">
        <f>IFERROR(__xludf.DUMMYFUNCTION("""COMPUTED_VALUE"""),"1xGU10 Dicro")</f>
        <v>1xGU10 Dicro</v>
      </c>
      <c r="G526" s="97" t="str">
        <f>IFERROR(__xludf.DUMMYFUNCTION("""COMPUTED_VALUE"""),"N/A")</f>
        <v>N/A</v>
      </c>
      <c r="H526" s="97" t="str">
        <f>IFERROR(__xludf.DUMMYFUNCTION("""COMPUTED_VALUE"""),"N/A")</f>
        <v>N/A</v>
      </c>
      <c r="I526" s="97" t="str">
        <f>IFERROR(__xludf.DUMMYFUNCTION("""COMPUTED_VALUE"""),"N/A")</f>
        <v>N/A</v>
      </c>
      <c r="J526" s="97" t="str">
        <f>IFERROR(__xludf.DUMMYFUNCTION("""COMPUTED_VALUE"""),"N/A")</f>
        <v>N/A</v>
      </c>
      <c r="K526" s="97" t="str">
        <f>IFERROR(__xludf.DUMMYFUNCTION("""COMPUTED_VALUE"""),"N/A")</f>
        <v>N/A</v>
      </c>
      <c r="L526" s="97">
        <f>IFERROR(__xludf.DUMMYFUNCTION("""COMPUTED_VALUE"""),220.0)</f>
        <v>220</v>
      </c>
      <c r="M526" s="97">
        <f>IFERROR(__xludf.DUMMYFUNCTION("""COMPUTED_VALUE"""),50.0)</f>
        <v>50</v>
      </c>
      <c r="N526" s="97"/>
      <c r="O526" s="97" t="str">
        <f>IFERROR(__xludf.DUMMYFUNCTION("""COMPUTED_VALUE"""),"1 x 50W Max")</f>
        <v>1 x 50W Max</v>
      </c>
      <c r="P526" s="97"/>
      <c r="Q526" s="97" t="str">
        <f>IFERROR(__xludf.DUMMYFUNCTION("""COMPUTED_VALUE"""),"-")</f>
        <v>-</v>
      </c>
      <c r="R526" s="97" t="str">
        <f>IFERROR(__xludf.DUMMYFUNCTION("""COMPUTED_VALUE"""),"-")</f>
        <v>-</v>
      </c>
      <c r="S526" s="97" t="str">
        <f>IFERROR(__xludf.DUMMYFUNCTION("""COMPUTED_VALUE"""),"-")</f>
        <v>-</v>
      </c>
      <c r="T526" s="97" t="str">
        <f>IFERROR(__xludf.DUMMYFUNCTION("""COMPUTED_VALUE"""),"-")</f>
        <v>-</v>
      </c>
      <c r="U526" s="97" t="str">
        <f>IFERROR(__xludf.DUMMYFUNCTION("""COMPUTED_VALUE"""),"-")</f>
        <v>-</v>
      </c>
      <c r="V526" s="97" t="str">
        <f>IFERROR(__xludf.DUMMYFUNCTION("""COMPUTED_VALUE"""),"N/A")</f>
        <v>N/A</v>
      </c>
      <c r="W526" s="97" t="str">
        <f>IFERROR(__xludf.DUMMYFUNCTION("""COMPUTED_VALUE"""),"N/A")</f>
        <v>N/A</v>
      </c>
      <c r="X526" s="97" t="str">
        <f>IFERROR(__xludf.DUMMYFUNCTION("""COMPUTED_VALUE"""),"-")</f>
        <v>-</v>
      </c>
      <c r="Y526" s="97" t="str">
        <f>IFERROR(__xludf.DUMMYFUNCTION("""COMPUTED_VALUE"""),"N/A")</f>
        <v>N/A</v>
      </c>
      <c r="Z526" s="97" t="str">
        <f>IFERROR(__xludf.DUMMYFUNCTION("""COMPUTED_VALUE"""),"N/A")</f>
        <v>N/A</v>
      </c>
      <c r="AA526" s="97" t="str">
        <f>IFERROR(__xludf.DUMMYFUNCTION("""COMPUTED_VALUE"""),"N/A")</f>
        <v>N/A</v>
      </c>
      <c r="AB526" s="97" t="str">
        <f>IFERROR(__xludf.DUMMYFUNCTION("""COMPUTED_VALUE"""),"N/A")</f>
        <v>N/A</v>
      </c>
      <c r="AC526" s="97" t="str">
        <f>IFERROR(__xludf.DUMMYFUNCTION("""COMPUTED_VALUE"""),"N/A")</f>
        <v>N/A</v>
      </c>
      <c r="AD526" s="97" t="str">
        <f>IFERROR(__xludf.DUMMYFUNCTION("""COMPUTED_VALUE"""),"IP20")</f>
        <v>IP20</v>
      </c>
      <c r="AE526" s="97" t="str">
        <f>IFERROR(__xludf.DUMMYFUNCTION("""COMPUTED_VALUE"""),"N/A")</f>
        <v>N/A</v>
      </c>
      <c r="AF526" s="97" t="str">
        <f>IFERROR(__xludf.DUMMYFUNCTION("""COMPUTED_VALUE"""),"Embutir")</f>
        <v>Embutir</v>
      </c>
      <c r="AG526" s="97" t="str">
        <f>IFERROR(__xludf.DUMMYFUNCTION("""COMPUTED_VALUE"""),"Ø85 x 35")</f>
        <v>Ø85 x 35</v>
      </c>
      <c r="AH526" s="97" t="str">
        <f>IFERROR(__xludf.DUMMYFUNCTION("""COMPUTED_VALUE"""),"Ø75 ")</f>
        <v>Ø75 </v>
      </c>
      <c r="AI526" s="97" t="str">
        <f>IFERROR(__xludf.DUMMYFUNCTION("""COMPUTED_VALUE"""),"75 *")</f>
        <v>75 *</v>
      </c>
      <c r="AJ526" s="97" t="str">
        <f>IFERROR(__xludf.DUMMYFUNCTION("""COMPUTED_VALUE"""),"N/A")</f>
        <v>N/A</v>
      </c>
      <c r="AK526" s="97" t="str">
        <f>IFERROR(__xludf.DUMMYFUNCTION("""COMPUTED_VALUE"""),"Policarbonato (PC)")</f>
        <v>Policarbonato (PC)</v>
      </c>
      <c r="AL526" s="97" t="str">
        <f>IFERROR(__xludf.DUMMYFUNCTION("""COMPUTED_VALUE"""),"Blanco Mate")</f>
        <v>Blanco Mate</v>
      </c>
      <c r="AM526" s="97" t="str">
        <f>IFERROR(__xludf.DUMMYFUNCTION("""COMPUTED_VALUE"""),"-")</f>
        <v>-</v>
      </c>
      <c r="AN526" s="97" t="str">
        <f>IFERROR(__xludf.DUMMYFUNCTION("""COMPUTED_VALUE"""),"N/A")</f>
        <v>N/A</v>
      </c>
      <c r="AO526" s="97" t="str">
        <f>IFERROR(__xludf.DUMMYFUNCTION("""COMPUTED_VALUE"""),"8 Años")</f>
        <v>8 Años</v>
      </c>
      <c r="AP526" s="97" t="str">
        <f>IFERROR(__xludf.DUMMYFUNCTION("""COMPUTED_VALUE"""),"No Aplica")</f>
        <v>No Aplica</v>
      </c>
      <c r="AQ526" s="97" t="str">
        <f>IFERROR(__xludf.DUMMYFUNCTION("""COMPUTED_VALUE"""),"No Aplica")</f>
        <v>No Aplica</v>
      </c>
      <c r="AR526" s="97" t="str">
        <f>IFERROR(__xludf.DUMMYFUNCTION("""COMPUTED_VALUE"""),"No Aplica")</f>
        <v>No Aplica</v>
      </c>
      <c r="AS526" s="97"/>
      <c r="AT526" s="97"/>
      <c r="AU526" s="97" t="str">
        <f>IFERROR(__xludf.DUMMYFUNCTION("""COMPUTED_VALUE"""),"Falta")</f>
        <v>Falta</v>
      </c>
      <c r="AV526" s="97" t="str">
        <f>IFERROR(__xludf.DUMMYFUNCTION("""COMPUTED_VALUE"""),"Empotrable")</f>
        <v>Empotrable</v>
      </c>
      <c r="AW526" s="97" t="str">
        <f>IFERROR(__xludf.DUMMYFUNCTION("""COMPUTED_VALUE"""),"De Techo")</f>
        <v>De Techo</v>
      </c>
      <c r="AX526" s="97" t="str">
        <f>IFERROR(__xludf.DUMMYFUNCTION("""COMPUTED_VALUE"""),"Interior")</f>
        <v>Interior</v>
      </c>
      <c r="AY526" s="97" t="str">
        <f>IFERROR(__xludf.DUMMYFUNCTION("""COMPUTED_VALUE"""),"-")</f>
        <v>-</v>
      </c>
      <c r="AZ526"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526" s="97">
        <f>IFERROR(__xludf.DUMMYFUNCTION("""COMPUTED_VALUE"""),100.0)</f>
        <v>100</v>
      </c>
      <c r="BB526" s="97" t="str">
        <f>IFERROR(__xludf.DUMMYFUNCTION("""COMPUTED_VALUE"""),"-")</f>
        <v>-</v>
      </c>
      <c r="BC526" s="97" t="str">
        <f>IFERROR(__xludf.DUMMYFUNCTION("""COMPUTED_VALUE"""),"-")</f>
        <v>-</v>
      </c>
      <c r="BD526" s="97" t="str">
        <f>IFERROR(__xludf.DUMMYFUNCTION("""COMPUTED_VALUE"""),"RAMI")</f>
        <v>RAMI</v>
      </c>
      <c r="BE526" s="97" t="str">
        <f>IFERROR(__xludf.DUMMYFUNCTION("""COMPUTED_VALUE"""),"Finalizada")</f>
        <v>Finalizada</v>
      </c>
      <c r="BF526" s="97"/>
      <c r="BG526" s="97" t="str">
        <f>IFERROR(__xludf.DUMMYFUNCTION("""COMPUTED_VALUE"""),"Discontinuo")</f>
        <v>Discontinuo</v>
      </c>
    </row>
    <row r="527">
      <c r="A527" s="97">
        <f>IFERROR(__xludf.DUMMYFUNCTION("""COMPUTED_VALUE"""),6132.0)</f>
        <v>6132</v>
      </c>
      <c r="B527" s="97" t="str">
        <f>IFERROR(__xludf.DUMMYFUNCTION("""COMPUTED_VALUE"""),"RITA I BL")</f>
        <v>RITA I BL</v>
      </c>
      <c r="C527" s="97" t="str">
        <f>IFERROR(__xludf.DUMMYFUNCTION("""COMPUTED_VALUE"""),"SPOT DE EMBUTIR RITA1 BLANCO")</f>
        <v>SPOT DE EMBUTIR RITA1 BLANCO</v>
      </c>
      <c r="D527" s="97">
        <f>IFERROR(__xludf.DUMMYFUNCTION("""COMPUTED_VALUE"""),7.798328756985E12)</f>
        <v>7798328756985</v>
      </c>
      <c r="E527" s="97"/>
      <c r="F527" s="97" t="str">
        <f>IFERROR(__xludf.DUMMYFUNCTION("""COMPUTED_VALUE"""),"1 x GU10")</f>
        <v>1 x GU10</v>
      </c>
      <c r="G527" s="97" t="str">
        <f>IFERROR(__xludf.DUMMYFUNCTION("""COMPUTED_VALUE"""),"N/A")</f>
        <v>N/A</v>
      </c>
      <c r="H527" s="97" t="str">
        <f>IFERROR(__xludf.DUMMYFUNCTION("""COMPUTED_VALUE"""),"N/A")</f>
        <v>N/A</v>
      </c>
      <c r="I527" s="97" t="str">
        <f>IFERROR(__xludf.DUMMYFUNCTION("""COMPUTED_VALUE"""),"N/A")</f>
        <v>N/A</v>
      </c>
      <c r="J527" s="97"/>
      <c r="K527" s="97" t="str">
        <f>IFERROR(__xludf.DUMMYFUNCTION("""COMPUTED_VALUE"""),"N/A")</f>
        <v>N/A</v>
      </c>
      <c r="L527" s="97">
        <f>IFERROR(__xludf.DUMMYFUNCTION("""COMPUTED_VALUE"""),220.0)</f>
        <v>220</v>
      </c>
      <c r="M527" s="97">
        <f>IFERROR(__xludf.DUMMYFUNCTION("""COMPUTED_VALUE"""),50.0)</f>
        <v>50</v>
      </c>
      <c r="N527" s="97"/>
      <c r="O527" s="97" t="str">
        <f>IFERROR(__xludf.DUMMYFUNCTION("""COMPUTED_VALUE"""),"1 x 50W Max")</f>
        <v>1 x 50W Max</v>
      </c>
      <c r="P527" s="97"/>
      <c r="Q527" s="97" t="str">
        <f>IFERROR(__xludf.DUMMYFUNCTION("""COMPUTED_VALUE"""),"-")</f>
        <v>-</v>
      </c>
      <c r="R527" s="97" t="str">
        <f>IFERROR(__xludf.DUMMYFUNCTION("""COMPUTED_VALUE"""),"-")</f>
        <v>-</v>
      </c>
      <c r="S527" s="97" t="str">
        <f>IFERROR(__xludf.DUMMYFUNCTION("""COMPUTED_VALUE"""),"-")</f>
        <v>-</v>
      </c>
      <c r="T527" s="97" t="str">
        <f>IFERROR(__xludf.DUMMYFUNCTION("""COMPUTED_VALUE"""),"-")</f>
        <v>-</v>
      </c>
      <c r="U527" s="97" t="str">
        <f>IFERROR(__xludf.DUMMYFUNCTION("""COMPUTED_VALUE"""),"-")</f>
        <v>-</v>
      </c>
      <c r="V527" s="97" t="str">
        <f>IFERROR(__xludf.DUMMYFUNCTION("""COMPUTED_VALUE"""),"N/A")</f>
        <v>N/A</v>
      </c>
      <c r="W527" s="97" t="str">
        <f>IFERROR(__xludf.DUMMYFUNCTION("""COMPUTED_VALUE"""),"N/A")</f>
        <v>N/A</v>
      </c>
      <c r="X527" s="97" t="str">
        <f>IFERROR(__xludf.DUMMYFUNCTION("""COMPUTED_VALUE"""),"-")</f>
        <v>-</v>
      </c>
      <c r="Y527" s="97" t="str">
        <f>IFERROR(__xludf.DUMMYFUNCTION("""COMPUTED_VALUE"""),"N/A")</f>
        <v>N/A</v>
      </c>
      <c r="Z527" s="97" t="str">
        <f>IFERROR(__xludf.DUMMYFUNCTION("""COMPUTED_VALUE"""),"N/A")</f>
        <v>N/A</v>
      </c>
      <c r="AA527" s="97" t="str">
        <f>IFERROR(__xludf.DUMMYFUNCTION("""COMPUTED_VALUE"""),"N/A")</f>
        <v>N/A</v>
      </c>
      <c r="AB527" s="97" t="str">
        <f>IFERROR(__xludf.DUMMYFUNCTION("""COMPUTED_VALUE"""),"N/A")</f>
        <v>N/A</v>
      </c>
      <c r="AC527" s="97" t="str">
        <f>IFERROR(__xludf.DUMMYFUNCTION("""COMPUTED_VALUE"""),"N/A")</f>
        <v>N/A</v>
      </c>
      <c r="AD527" s="97" t="str">
        <f>IFERROR(__xludf.DUMMYFUNCTION("""COMPUTED_VALUE"""),"IP20")</f>
        <v>IP20</v>
      </c>
      <c r="AE527" s="97" t="str">
        <f>IFERROR(__xludf.DUMMYFUNCTION("""COMPUTED_VALUE"""),"N/A")</f>
        <v>N/A</v>
      </c>
      <c r="AF527" s="97" t="str">
        <f>IFERROR(__xludf.DUMMYFUNCTION("""COMPUTED_VALUE"""),"Embutir")</f>
        <v>Embutir</v>
      </c>
      <c r="AG527" s="97" t="str">
        <f>IFERROR(__xludf.DUMMYFUNCTION("""COMPUTED_VALUE"""),"Ø90 x 30")</f>
        <v>Ø90 x 30</v>
      </c>
      <c r="AH527" s="97" t="str">
        <f>IFERROR(__xludf.DUMMYFUNCTION("""COMPUTED_VALUE"""),"Ø65 ")</f>
        <v>Ø65 </v>
      </c>
      <c r="AI527" s="97" t="str">
        <f>IFERROR(__xludf.DUMMYFUNCTION("""COMPUTED_VALUE"""),"60 *")</f>
        <v>60 *</v>
      </c>
      <c r="AJ527" s="97" t="str">
        <f>IFERROR(__xludf.DUMMYFUNCTION("""COMPUTED_VALUE"""),"N/A")</f>
        <v>N/A</v>
      </c>
      <c r="AK527" s="97" t="str">
        <f>IFERROR(__xludf.DUMMYFUNCTION("""COMPUTED_VALUE"""),"Policarbonato (PC)")</f>
        <v>Policarbonato (PC)</v>
      </c>
      <c r="AL527" s="97" t="str">
        <f>IFERROR(__xludf.DUMMYFUNCTION("""COMPUTED_VALUE"""),"Blanco Mate")</f>
        <v>Blanco Mate</v>
      </c>
      <c r="AM527" s="97" t="str">
        <f>IFERROR(__xludf.DUMMYFUNCTION("""COMPUTED_VALUE"""),"-")</f>
        <v>-</v>
      </c>
      <c r="AN527" s="97" t="str">
        <f>IFERROR(__xludf.DUMMYFUNCTION("""COMPUTED_VALUE"""),"N/A")</f>
        <v>N/A</v>
      </c>
      <c r="AO527" s="97" t="str">
        <f>IFERROR(__xludf.DUMMYFUNCTION("""COMPUTED_VALUE"""),"8 Años")</f>
        <v>8 Años</v>
      </c>
      <c r="AP527" s="97" t="str">
        <f>IFERROR(__xludf.DUMMYFUNCTION("""COMPUTED_VALUE"""),"No Aplica")</f>
        <v>No Aplica</v>
      </c>
      <c r="AQ527" s="97" t="str">
        <f>IFERROR(__xludf.DUMMYFUNCTION("""COMPUTED_VALUE"""),"No Aplica")</f>
        <v>No Aplica</v>
      </c>
      <c r="AR527" s="97" t="str">
        <f>IFERROR(__xludf.DUMMYFUNCTION("""COMPUTED_VALUE"""),"No Aplica")</f>
        <v>No Aplica</v>
      </c>
      <c r="AS527" s="97"/>
      <c r="AT527" s="97"/>
      <c r="AU527" s="97"/>
      <c r="AV527" s="97" t="str">
        <f>IFERROR(__xludf.DUMMYFUNCTION("""COMPUTED_VALUE"""),"Empotrable")</f>
        <v>Empotrable</v>
      </c>
      <c r="AW527" s="97" t="str">
        <f>IFERROR(__xludf.DUMMYFUNCTION("""COMPUTED_VALUE"""),"De Techo")</f>
        <v>De Techo</v>
      </c>
      <c r="AX527" s="97" t="str">
        <f>IFERROR(__xludf.DUMMYFUNCTION("""COMPUTED_VALUE"""),"Interior")</f>
        <v>Interior</v>
      </c>
      <c r="AY527" s="97"/>
      <c r="AZ527"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527" s="97">
        <f>IFERROR(__xludf.DUMMYFUNCTION("""COMPUTED_VALUE"""),100.0)</f>
        <v>100</v>
      </c>
      <c r="BB527" s="97"/>
      <c r="BC527" s="97"/>
      <c r="BD527" s="97" t="str">
        <f>IFERROR(__xludf.DUMMYFUNCTION("""COMPUTED_VALUE"""),"RITA")</f>
        <v>RITA</v>
      </c>
      <c r="BE527" s="97" t="str">
        <f>IFERROR(__xludf.DUMMYFUNCTION("""COMPUTED_VALUE"""),"Finalizada")</f>
        <v>Finalizada</v>
      </c>
      <c r="BF527" s="97"/>
      <c r="BG527" s="97" t="str">
        <f>IFERROR(__xludf.DUMMYFUNCTION("""COMPUTED_VALUE"""),"Discontinuo")</f>
        <v>Discontinuo</v>
      </c>
    </row>
    <row r="528">
      <c r="A528" s="97">
        <f>IFERROR(__xludf.DUMMYFUNCTION("""COMPUTED_VALUE"""),6133.0)</f>
        <v>6133</v>
      </c>
      <c r="B528" s="97" t="str">
        <f>IFERROR(__xludf.DUMMYFUNCTION("""COMPUTED_VALUE"""),"RITA I NG")</f>
        <v>RITA I NG</v>
      </c>
      <c r="C528" s="97" t="str">
        <f>IFERROR(__xludf.DUMMYFUNCTION("""COMPUTED_VALUE"""),"SPOT DE EMBUTIR RITA1 NEGRO")</f>
        <v>SPOT DE EMBUTIR RITA1 NEGRO</v>
      </c>
      <c r="D528" s="97">
        <f>IFERROR(__xludf.DUMMYFUNCTION("""COMPUTED_VALUE"""),7.798328756992E12)</f>
        <v>7798328756992</v>
      </c>
      <c r="E528" s="97"/>
      <c r="F528" s="97" t="str">
        <f>IFERROR(__xludf.DUMMYFUNCTION("""COMPUTED_VALUE"""),"1 x GU10")</f>
        <v>1 x GU10</v>
      </c>
      <c r="G528" s="97" t="str">
        <f>IFERROR(__xludf.DUMMYFUNCTION("""COMPUTED_VALUE"""),"N/A")</f>
        <v>N/A</v>
      </c>
      <c r="H528" s="97" t="str">
        <f>IFERROR(__xludf.DUMMYFUNCTION("""COMPUTED_VALUE"""),"N/A")</f>
        <v>N/A</v>
      </c>
      <c r="I528" s="97" t="str">
        <f>IFERROR(__xludf.DUMMYFUNCTION("""COMPUTED_VALUE"""),"N/A")</f>
        <v>N/A</v>
      </c>
      <c r="J528" s="97"/>
      <c r="K528" s="97" t="str">
        <f>IFERROR(__xludf.DUMMYFUNCTION("""COMPUTED_VALUE"""),"N/A")</f>
        <v>N/A</v>
      </c>
      <c r="L528" s="97">
        <f>IFERROR(__xludf.DUMMYFUNCTION("""COMPUTED_VALUE"""),220.0)</f>
        <v>220</v>
      </c>
      <c r="M528" s="97">
        <f>IFERROR(__xludf.DUMMYFUNCTION("""COMPUTED_VALUE"""),50.0)</f>
        <v>50</v>
      </c>
      <c r="N528" s="97"/>
      <c r="O528" s="97" t="str">
        <f>IFERROR(__xludf.DUMMYFUNCTION("""COMPUTED_VALUE"""),"1 x 50W Max")</f>
        <v>1 x 50W Max</v>
      </c>
      <c r="P528" s="97"/>
      <c r="Q528" s="97" t="str">
        <f>IFERROR(__xludf.DUMMYFUNCTION("""COMPUTED_VALUE"""),"-")</f>
        <v>-</v>
      </c>
      <c r="R528" s="97" t="str">
        <f>IFERROR(__xludf.DUMMYFUNCTION("""COMPUTED_VALUE"""),"-")</f>
        <v>-</v>
      </c>
      <c r="S528" s="97" t="str">
        <f>IFERROR(__xludf.DUMMYFUNCTION("""COMPUTED_VALUE"""),"-")</f>
        <v>-</v>
      </c>
      <c r="T528" s="97" t="str">
        <f>IFERROR(__xludf.DUMMYFUNCTION("""COMPUTED_VALUE"""),"-")</f>
        <v>-</v>
      </c>
      <c r="U528" s="97" t="str">
        <f>IFERROR(__xludf.DUMMYFUNCTION("""COMPUTED_VALUE"""),"-")</f>
        <v>-</v>
      </c>
      <c r="V528" s="97" t="str">
        <f>IFERROR(__xludf.DUMMYFUNCTION("""COMPUTED_VALUE"""),"N/A")</f>
        <v>N/A</v>
      </c>
      <c r="W528" s="97" t="str">
        <f>IFERROR(__xludf.DUMMYFUNCTION("""COMPUTED_VALUE"""),"N/A")</f>
        <v>N/A</v>
      </c>
      <c r="X528" s="97" t="str">
        <f>IFERROR(__xludf.DUMMYFUNCTION("""COMPUTED_VALUE"""),"-")</f>
        <v>-</v>
      </c>
      <c r="Y528" s="97" t="str">
        <f>IFERROR(__xludf.DUMMYFUNCTION("""COMPUTED_VALUE"""),"N/A")</f>
        <v>N/A</v>
      </c>
      <c r="Z528" s="97" t="str">
        <f>IFERROR(__xludf.DUMMYFUNCTION("""COMPUTED_VALUE"""),"N/A")</f>
        <v>N/A</v>
      </c>
      <c r="AA528" s="97" t="str">
        <f>IFERROR(__xludf.DUMMYFUNCTION("""COMPUTED_VALUE"""),"N/A")</f>
        <v>N/A</v>
      </c>
      <c r="AB528" s="97" t="str">
        <f>IFERROR(__xludf.DUMMYFUNCTION("""COMPUTED_VALUE"""),"N/A")</f>
        <v>N/A</v>
      </c>
      <c r="AC528" s="97" t="str">
        <f>IFERROR(__xludf.DUMMYFUNCTION("""COMPUTED_VALUE"""),"N/A")</f>
        <v>N/A</v>
      </c>
      <c r="AD528" s="97" t="str">
        <f>IFERROR(__xludf.DUMMYFUNCTION("""COMPUTED_VALUE"""),"IP20")</f>
        <v>IP20</v>
      </c>
      <c r="AE528" s="97" t="str">
        <f>IFERROR(__xludf.DUMMYFUNCTION("""COMPUTED_VALUE"""),"N/A")</f>
        <v>N/A</v>
      </c>
      <c r="AF528" s="97" t="str">
        <f>IFERROR(__xludf.DUMMYFUNCTION("""COMPUTED_VALUE"""),"Embutir")</f>
        <v>Embutir</v>
      </c>
      <c r="AG528" s="97" t="str">
        <f>IFERROR(__xludf.DUMMYFUNCTION("""COMPUTED_VALUE"""),"Ø90 x 30")</f>
        <v>Ø90 x 30</v>
      </c>
      <c r="AH528" s="97" t="str">
        <f>IFERROR(__xludf.DUMMYFUNCTION("""COMPUTED_VALUE"""),"Ø65 ")</f>
        <v>Ø65 </v>
      </c>
      <c r="AI528" s="97" t="str">
        <f>IFERROR(__xludf.DUMMYFUNCTION("""COMPUTED_VALUE"""),"60 *")</f>
        <v>60 *</v>
      </c>
      <c r="AJ528" s="97" t="str">
        <f>IFERROR(__xludf.DUMMYFUNCTION("""COMPUTED_VALUE"""),"N/A")</f>
        <v>N/A</v>
      </c>
      <c r="AK528" s="97" t="str">
        <f>IFERROR(__xludf.DUMMYFUNCTION("""COMPUTED_VALUE"""),"Policarbonato (PC)")</f>
        <v>Policarbonato (PC)</v>
      </c>
      <c r="AL528" s="97" t="str">
        <f>IFERROR(__xludf.DUMMYFUNCTION("""COMPUTED_VALUE"""),"Negro Mate")</f>
        <v>Negro Mate</v>
      </c>
      <c r="AM528" s="97" t="str">
        <f>IFERROR(__xludf.DUMMYFUNCTION("""COMPUTED_VALUE"""),"-")</f>
        <v>-</v>
      </c>
      <c r="AN528" s="97" t="str">
        <f>IFERROR(__xludf.DUMMYFUNCTION("""COMPUTED_VALUE"""),"N/A")</f>
        <v>N/A</v>
      </c>
      <c r="AO528" s="97" t="str">
        <f>IFERROR(__xludf.DUMMYFUNCTION("""COMPUTED_VALUE"""),"8 Años")</f>
        <v>8 Años</v>
      </c>
      <c r="AP528" s="97" t="str">
        <f>IFERROR(__xludf.DUMMYFUNCTION("""COMPUTED_VALUE"""),"No Aplica")</f>
        <v>No Aplica</v>
      </c>
      <c r="AQ528" s="97" t="str">
        <f>IFERROR(__xludf.DUMMYFUNCTION("""COMPUTED_VALUE"""),"No Aplica")</f>
        <v>No Aplica</v>
      </c>
      <c r="AR528" s="97" t="str">
        <f>IFERROR(__xludf.DUMMYFUNCTION("""COMPUTED_VALUE"""),"No Aplica")</f>
        <v>No Aplica</v>
      </c>
      <c r="AS528" s="97"/>
      <c r="AT528" s="97"/>
      <c r="AU528" s="97"/>
      <c r="AV528" s="97" t="str">
        <f>IFERROR(__xludf.DUMMYFUNCTION("""COMPUTED_VALUE"""),"Empotrable")</f>
        <v>Empotrable</v>
      </c>
      <c r="AW528" s="97" t="str">
        <f>IFERROR(__xludf.DUMMYFUNCTION("""COMPUTED_VALUE"""),"De Techo")</f>
        <v>De Techo</v>
      </c>
      <c r="AX528" s="97" t="str">
        <f>IFERROR(__xludf.DUMMYFUNCTION("""COMPUTED_VALUE"""),"Interior")</f>
        <v>Interior</v>
      </c>
      <c r="AY528" s="97"/>
      <c r="AZ528"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528" s="97">
        <f>IFERROR(__xludf.DUMMYFUNCTION("""COMPUTED_VALUE"""),100.0)</f>
        <v>100</v>
      </c>
      <c r="BB528" s="97"/>
      <c r="BC528" s="97"/>
      <c r="BD528" s="97" t="str">
        <f>IFERROR(__xludf.DUMMYFUNCTION("""COMPUTED_VALUE"""),"RITA")</f>
        <v>RITA</v>
      </c>
      <c r="BE528" s="97" t="str">
        <f>IFERROR(__xludf.DUMMYFUNCTION("""COMPUTED_VALUE"""),"Finalizada")</f>
        <v>Finalizada</v>
      </c>
      <c r="BF528" s="97"/>
      <c r="BG528" s="97" t="str">
        <f>IFERROR(__xludf.DUMMYFUNCTION("""COMPUTED_VALUE"""),"Discontinuo")</f>
        <v>Discontinuo</v>
      </c>
    </row>
    <row r="529">
      <c r="A529" s="97">
        <f>IFERROR(__xludf.DUMMYFUNCTION("""COMPUTED_VALUE"""),6134.0)</f>
        <v>6134</v>
      </c>
      <c r="B529" s="97" t="str">
        <f>IFERROR(__xludf.DUMMYFUNCTION("""COMPUTED_VALUE"""),"SEB I BL")</f>
        <v>SEB I BL</v>
      </c>
      <c r="C529" s="97" t="str">
        <f>IFERROR(__xludf.DUMMYFUNCTION("""COMPUTED_VALUE"""),"EMPOTRABLE SEB I BL 1XGU10 DICRO IP20 LEUK")</f>
        <v>EMPOTRABLE SEB I BL 1XGU10 DICRO IP20 LEUK</v>
      </c>
      <c r="D529" s="97">
        <f>IFERROR(__xludf.DUMMYFUNCTION("""COMPUTED_VALUE"""),7.798328757128E12)</f>
        <v>7798328757128</v>
      </c>
      <c r="E529" s="97" t="str">
        <f>IFERROR(__xludf.DUMMYFUNCTION("""COMPUTED_VALUE"""),"-")</f>
        <v>-</v>
      </c>
      <c r="F529" s="97" t="str">
        <f>IFERROR(__xludf.DUMMYFUNCTION("""COMPUTED_VALUE"""),"1xGU10 Dicro")</f>
        <v>1xGU10 Dicro</v>
      </c>
      <c r="G529" s="97" t="str">
        <f>IFERROR(__xludf.DUMMYFUNCTION("""COMPUTED_VALUE"""),"N/A")</f>
        <v>N/A</v>
      </c>
      <c r="H529" s="97" t="str">
        <f>IFERROR(__xludf.DUMMYFUNCTION("""COMPUTED_VALUE"""),"N/A")</f>
        <v>N/A</v>
      </c>
      <c r="I529" s="97" t="str">
        <f>IFERROR(__xludf.DUMMYFUNCTION("""COMPUTED_VALUE"""),"N/A")</f>
        <v>N/A</v>
      </c>
      <c r="J529" s="97" t="str">
        <f>IFERROR(__xludf.DUMMYFUNCTION("""COMPUTED_VALUE"""),"N/A")</f>
        <v>N/A</v>
      </c>
      <c r="K529" s="97" t="str">
        <f>IFERROR(__xludf.DUMMYFUNCTION("""COMPUTED_VALUE"""),"N/A")</f>
        <v>N/A</v>
      </c>
      <c r="L529" s="97">
        <f>IFERROR(__xludf.DUMMYFUNCTION("""COMPUTED_VALUE"""),220.0)</f>
        <v>220</v>
      </c>
      <c r="M529" s="97">
        <f>IFERROR(__xludf.DUMMYFUNCTION("""COMPUTED_VALUE"""),50.0)</f>
        <v>50</v>
      </c>
      <c r="N529" s="97"/>
      <c r="O529" s="97" t="str">
        <f>IFERROR(__xludf.DUMMYFUNCTION("""COMPUTED_VALUE"""),"1 x 50W Max")</f>
        <v>1 x 50W Max</v>
      </c>
      <c r="P529" s="97"/>
      <c r="Q529" s="97" t="str">
        <f>IFERROR(__xludf.DUMMYFUNCTION("""COMPUTED_VALUE"""),"-")</f>
        <v>-</v>
      </c>
      <c r="R529" s="97" t="str">
        <f>IFERROR(__xludf.DUMMYFUNCTION("""COMPUTED_VALUE"""),"-")</f>
        <v>-</v>
      </c>
      <c r="S529" s="97" t="str">
        <f>IFERROR(__xludf.DUMMYFUNCTION("""COMPUTED_VALUE"""),"-")</f>
        <v>-</v>
      </c>
      <c r="T529" s="97" t="str">
        <f>IFERROR(__xludf.DUMMYFUNCTION("""COMPUTED_VALUE"""),"-")</f>
        <v>-</v>
      </c>
      <c r="U529" s="97" t="str">
        <f>IFERROR(__xludf.DUMMYFUNCTION("""COMPUTED_VALUE"""),"-")</f>
        <v>-</v>
      </c>
      <c r="V529" s="97" t="str">
        <f>IFERROR(__xludf.DUMMYFUNCTION("""COMPUTED_VALUE"""),"N/A")</f>
        <v>N/A</v>
      </c>
      <c r="W529" s="97" t="str">
        <f>IFERROR(__xludf.DUMMYFUNCTION("""COMPUTED_VALUE"""),"N/A")</f>
        <v>N/A</v>
      </c>
      <c r="X529" s="97" t="str">
        <f>IFERROR(__xludf.DUMMYFUNCTION("""COMPUTED_VALUE"""),"-")</f>
        <v>-</v>
      </c>
      <c r="Y529" s="97" t="str">
        <f>IFERROR(__xludf.DUMMYFUNCTION("""COMPUTED_VALUE"""),"N/A")</f>
        <v>N/A</v>
      </c>
      <c r="Z529" s="97" t="str">
        <f>IFERROR(__xludf.DUMMYFUNCTION("""COMPUTED_VALUE"""),"N/A")</f>
        <v>N/A</v>
      </c>
      <c r="AA529" s="97" t="str">
        <f>IFERROR(__xludf.DUMMYFUNCTION("""COMPUTED_VALUE"""),"N/A")</f>
        <v>N/A</v>
      </c>
      <c r="AB529" s="97" t="str">
        <f>IFERROR(__xludf.DUMMYFUNCTION("""COMPUTED_VALUE"""),"N/A")</f>
        <v>N/A</v>
      </c>
      <c r="AC529" s="97" t="str">
        <f>IFERROR(__xludf.DUMMYFUNCTION("""COMPUTED_VALUE"""),"N/A")</f>
        <v>N/A</v>
      </c>
      <c r="AD529" s="97" t="str">
        <f>IFERROR(__xludf.DUMMYFUNCTION("""COMPUTED_VALUE"""),"IP20")</f>
        <v>IP20</v>
      </c>
      <c r="AE529" s="97" t="str">
        <f>IFERROR(__xludf.DUMMYFUNCTION("""COMPUTED_VALUE"""),"N/A")</f>
        <v>N/A</v>
      </c>
      <c r="AF529" s="97" t="str">
        <f>IFERROR(__xludf.DUMMYFUNCTION("""COMPUTED_VALUE"""),"Embutir")</f>
        <v>Embutir</v>
      </c>
      <c r="AG529" s="97" t="str">
        <f>IFERROR(__xludf.DUMMYFUNCTION("""COMPUTED_VALUE"""),"Ø92 x 55")</f>
        <v>Ø92 x 55</v>
      </c>
      <c r="AH529" s="97" t="str">
        <f>IFERROR(__xludf.DUMMYFUNCTION("""COMPUTED_VALUE"""),"Ø86 ")</f>
        <v>Ø86 </v>
      </c>
      <c r="AI529" s="97" t="str">
        <f>IFERROR(__xludf.DUMMYFUNCTION("""COMPUTED_VALUE"""),"100 *")</f>
        <v>100 *</v>
      </c>
      <c r="AJ529" s="97" t="str">
        <f>IFERROR(__xludf.DUMMYFUNCTION("""COMPUTED_VALUE"""),"N/A")</f>
        <v>N/A</v>
      </c>
      <c r="AK529" s="97" t="str">
        <f>IFERROR(__xludf.DUMMYFUNCTION("""COMPUTED_VALUE"""),"Policarbonato (PC)")</f>
        <v>Policarbonato (PC)</v>
      </c>
      <c r="AL529" s="97" t="str">
        <f>IFERROR(__xludf.DUMMYFUNCTION("""COMPUTED_VALUE"""),"Blanco Mate")</f>
        <v>Blanco Mate</v>
      </c>
      <c r="AM529" s="97" t="str">
        <f>IFERROR(__xludf.DUMMYFUNCTION("""COMPUTED_VALUE"""),"-")</f>
        <v>-</v>
      </c>
      <c r="AN529" s="97" t="str">
        <f>IFERROR(__xludf.DUMMYFUNCTION("""COMPUTED_VALUE"""),"N/A")</f>
        <v>N/A</v>
      </c>
      <c r="AO529" s="97" t="str">
        <f>IFERROR(__xludf.DUMMYFUNCTION("""COMPUTED_VALUE"""),"8 Años")</f>
        <v>8 Años</v>
      </c>
      <c r="AP529" s="97" t="str">
        <f>IFERROR(__xludf.DUMMYFUNCTION("""COMPUTED_VALUE"""),"No Aplica")</f>
        <v>No Aplica</v>
      </c>
      <c r="AQ529" s="97" t="str">
        <f>IFERROR(__xludf.DUMMYFUNCTION("""COMPUTED_VALUE"""),"No Aplica")</f>
        <v>No Aplica</v>
      </c>
      <c r="AR529" s="97" t="str">
        <f>IFERROR(__xludf.DUMMYFUNCTION("""COMPUTED_VALUE"""),"No Aplica")</f>
        <v>No Aplica</v>
      </c>
      <c r="AS529" s="97"/>
      <c r="AT529" s="97"/>
      <c r="AU529" s="97" t="str">
        <f>IFERROR(__xludf.DUMMYFUNCTION("""COMPUTED_VALUE"""),"Falta")</f>
        <v>Falta</v>
      </c>
      <c r="AV529" s="97" t="str">
        <f>IFERROR(__xludf.DUMMYFUNCTION("""COMPUTED_VALUE"""),"Empotrable")</f>
        <v>Empotrable</v>
      </c>
      <c r="AW529" s="97" t="str">
        <f>IFERROR(__xludf.DUMMYFUNCTION("""COMPUTED_VALUE"""),"De Techo")</f>
        <v>De Techo</v>
      </c>
      <c r="AX529" s="97" t="str">
        <f>IFERROR(__xludf.DUMMYFUNCTION("""COMPUTED_VALUE"""),"Interior")</f>
        <v>Interior</v>
      </c>
      <c r="AY529" s="97" t="str">
        <f>IFERROR(__xludf.DUMMYFUNCTION("""COMPUTED_VALUE"""),"-")</f>
        <v>-</v>
      </c>
      <c r="AZ529"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529" s="97">
        <f>IFERROR(__xludf.DUMMYFUNCTION("""COMPUTED_VALUE"""),100.0)</f>
        <v>100</v>
      </c>
      <c r="BB529" s="97" t="str">
        <f>IFERROR(__xludf.DUMMYFUNCTION("""COMPUTED_VALUE"""),"-")</f>
        <v>-</v>
      </c>
      <c r="BC529" s="97" t="str">
        <f>IFERROR(__xludf.DUMMYFUNCTION("""COMPUTED_VALUE"""),"-")</f>
        <v>-</v>
      </c>
      <c r="BD529" s="97" t="str">
        <f>IFERROR(__xludf.DUMMYFUNCTION("""COMPUTED_VALUE"""),"SEB")</f>
        <v>SEB</v>
      </c>
      <c r="BE529" s="97" t="str">
        <f>IFERROR(__xludf.DUMMYFUNCTION("""COMPUTED_VALUE"""),"Finalizada")</f>
        <v>Finalizada</v>
      </c>
      <c r="BF529" s="97"/>
      <c r="BG529" s="97" t="str">
        <f>IFERROR(__xludf.DUMMYFUNCTION("""COMPUTED_VALUE"""),"Discontinuo")</f>
        <v>Discontinuo</v>
      </c>
    </row>
    <row r="530">
      <c r="A530" s="97">
        <f>IFERROR(__xludf.DUMMYFUNCTION("""COMPUTED_VALUE"""),6135.0)</f>
        <v>6135</v>
      </c>
      <c r="B530" s="97" t="str">
        <f>IFERROR(__xludf.DUMMYFUNCTION("""COMPUTED_VALUE"""),"SEB I BLNG")</f>
        <v>SEB I BLNG</v>
      </c>
      <c r="C530" s="97" t="str">
        <f>IFERROR(__xludf.DUMMYFUNCTION("""COMPUTED_VALUE"""),"EMPOTRABLE SEB I BLNG 1XGU10 DICRO IP20 LEUK")</f>
        <v>EMPOTRABLE SEB I BLNG 1XGU10 DICRO IP20 LEUK</v>
      </c>
      <c r="D530" s="97">
        <f>IFERROR(__xludf.DUMMYFUNCTION("""COMPUTED_VALUE"""),7.798328757135E12)</f>
        <v>7798328757135</v>
      </c>
      <c r="E530" s="97" t="str">
        <f>IFERROR(__xludf.DUMMYFUNCTION("""COMPUTED_VALUE"""),"-")</f>
        <v>-</v>
      </c>
      <c r="F530" s="97" t="str">
        <f>IFERROR(__xludf.DUMMYFUNCTION("""COMPUTED_VALUE"""),"1xGU10 Dicro")</f>
        <v>1xGU10 Dicro</v>
      </c>
      <c r="G530" s="97" t="str">
        <f>IFERROR(__xludf.DUMMYFUNCTION("""COMPUTED_VALUE"""),"N/A")</f>
        <v>N/A</v>
      </c>
      <c r="H530" s="97" t="str">
        <f>IFERROR(__xludf.DUMMYFUNCTION("""COMPUTED_VALUE"""),"N/A")</f>
        <v>N/A</v>
      </c>
      <c r="I530" s="97" t="str">
        <f>IFERROR(__xludf.DUMMYFUNCTION("""COMPUTED_VALUE"""),"N/A")</f>
        <v>N/A</v>
      </c>
      <c r="J530" s="97" t="str">
        <f>IFERROR(__xludf.DUMMYFUNCTION("""COMPUTED_VALUE"""),"N/A")</f>
        <v>N/A</v>
      </c>
      <c r="K530" s="97" t="str">
        <f>IFERROR(__xludf.DUMMYFUNCTION("""COMPUTED_VALUE"""),"N/A")</f>
        <v>N/A</v>
      </c>
      <c r="L530" s="97">
        <f>IFERROR(__xludf.DUMMYFUNCTION("""COMPUTED_VALUE"""),220.0)</f>
        <v>220</v>
      </c>
      <c r="M530" s="97">
        <f>IFERROR(__xludf.DUMMYFUNCTION("""COMPUTED_VALUE"""),50.0)</f>
        <v>50</v>
      </c>
      <c r="N530" s="97"/>
      <c r="O530" s="97" t="str">
        <f>IFERROR(__xludf.DUMMYFUNCTION("""COMPUTED_VALUE"""),"1 x 50W Max")</f>
        <v>1 x 50W Max</v>
      </c>
      <c r="P530" s="97"/>
      <c r="Q530" s="97" t="str">
        <f>IFERROR(__xludf.DUMMYFUNCTION("""COMPUTED_VALUE"""),"-")</f>
        <v>-</v>
      </c>
      <c r="R530" s="97" t="str">
        <f>IFERROR(__xludf.DUMMYFUNCTION("""COMPUTED_VALUE"""),"-")</f>
        <v>-</v>
      </c>
      <c r="S530" s="97" t="str">
        <f>IFERROR(__xludf.DUMMYFUNCTION("""COMPUTED_VALUE"""),"-")</f>
        <v>-</v>
      </c>
      <c r="T530" s="97" t="str">
        <f>IFERROR(__xludf.DUMMYFUNCTION("""COMPUTED_VALUE"""),"-")</f>
        <v>-</v>
      </c>
      <c r="U530" s="97" t="str">
        <f>IFERROR(__xludf.DUMMYFUNCTION("""COMPUTED_VALUE"""),"-")</f>
        <v>-</v>
      </c>
      <c r="V530" s="97" t="str">
        <f>IFERROR(__xludf.DUMMYFUNCTION("""COMPUTED_VALUE"""),"N/A")</f>
        <v>N/A</v>
      </c>
      <c r="W530" s="97" t="str">
        <f>IFERROR(__xludf.DUMMYFUNCTION("""COMPUTED_VALUE"""),"N/A")</f>
        <v>N/A</v>
      </c>
      <c r="X530" s="97" t="str">
        <f>IFERROR(__xludf.DUMMYFUNCTION("""COMPUTED_VALUE"""),"-")</f>
        <v>-</v>
      </c>
      <c r="Y530" s="97" t="str">
        <f>IFERROR(__xludf.DUMMYFUNCTION("""COMPUTED_VALUE"""),"N/A")</f>
        <v>N/A</v>
      </c>
      <c r="Z530" s="97" t="str">
        <f>IFERROR(__xludf.DUMMYFUNCTION("""COMPUTED_VALUE"""),"N/A")</f>
        <v>N/A</v>
      </c>
      <c r="AA530" s="97" t="str">
        <f>IFERROR(__xludf.DUMMYFUNCTION("""COMPUTED_VALUE"""),"N/A")</f>
        <v>N/A</v>
      </c>
      <c r="AB530" s="97" t="str">
        <f>IFERROR(__xludf.DUMMYFUNCTION("""COMPUTED_VALUE"""),"N/A")</f>
        <v>N/A</v>
      </c>
      <c r="AC530" s="97" t="str">
        <f>IFERROR(__xludf.DUMMYFUNCTION("""COMPUTED_VALUE"""),"N/A")</f>
        <v>N/A</v>
      </c>
      <c r="AD530" s="97" t="str">
        <f>IFERROR(__xludf.DUMMYFUNCTION("""COMPUTED_VALUE"""),"IP20")</f>
        <v>IP20</v>
      </c>
      <c r="AE530" s="97" t="str">
        <f>IFERROR(__xludf.DUMMYFUNCTION("""COMPUTED_VALUE"""),"N/A")</f>
        <v>N/A</v>
      </c>
      <c r="AF530" s="97" t="str">
        <f>IFERROR(__xludf.DUMMYFUNCTION("""COMPUTED_VALUE"""),"Embutir")</f>
        <v>Embutir</v>
      </c>
      <c r="AG530" s="97" t="str">
        <f>IFERROR(__xludf.DUMMYFUNCTION("""COMPUTED_VALUE"""),"Ø92 x 55")</f>
        <v>Ø92 x 55</v>
      </c>
      <c r="AH530" s="97" t="str">
        <f>IFERROR(__xludf.DUMMYFUNCTION("""COMPUTED_VALUE"""),"Ø86 ")</f>
        <v>Ø86 </v>
      </c>
      <c r="AI530" s="97" t="str">
        <f>IFERROR(__xludf.DUMMYFUNCTION("""COMPUTED_VALUE"""),"100 *")</f>
        <v>100 *</v>
      </c>
      <c r="AJ530" s="97" t="str">
        <f>IFERROR(__xludf.DUMMYFUNCTION("""COMPUTED_VALUE"""),"N/A")</f>
        <v>N/A</v>
      </c>
      <c r="AK530" s="97" t="str">
        <f>IFERROR(__xludf.DUMMYFUNCTION("""COMPUTED_VALUE"""),"Policarbonato (PC)")</f>
        <v>Policarbonato (PC)</v>
      </c>
      <c r="AL530" s="97" t="str">
        <f>IFERROR(__xludf.DUMMYFUNCTION("""COMPUTED_VALUE"""),"Blanco y Negro")</f>
        <v>Blanco y Negro</v>
      </c>
      <c r="AM530" s="97" t="str">
        <f>IFERROR(__xludf.DUMMYFUNCTION("""COMPUTED_VALUE"""),"-")</f>
        <v>-</v>
      </c>
      <c r="AN530" s="97" t="str">
        <f>IFERROR(__xludf.DUMMYFUNCTION("""COMPUTED_VALUE"""),"N/A")</f>
        <v>N/A</v>
      </c>
      <c r="AO530" s="97" t="str">
        <f>IFERROR(__xludf.DUMMYFUNCTION("""COMPUTED_VALUE"""),"8 Años")</f>
        <v>8 Años</v>
      </c>
      <c r="AP530" s="97" t="str">
        <f>IFERROR(__xludf.DUMMYFUNCTION("""COMPUTED_VALUE"""),"No Aplica")</f>
        <v>No Aplica</v>
      </c>
      <c r="AQ530" s="97" t="str">
        <f>IFERROR(__xludf.DUMMYFUNCTION("""COMPUTED_VALUE"""),"No Aplica")</f>
        <v>No Aplica</v>
      </c>
      <c r="AR530" s="97" t="str">
        <f>IFERROR(__xludf.DUMMYFUNCTION("""COMPUTED_VALUE"""),"No Aplica")</f>
        <v>No Aplica</v>
      </c>
      <c r="AS530" s="97"/>
      <c r="AT530" s="97"/>
      <c r="AU530" s="97" t="str">
        <f>IFERROR(__xludf.DUMMYFUNCTION("""COMPUTED_VALUE"""),"Falta")</f>
        <v>Falta</v>
      </c>
      <c r="AV530" s="97" t="str">
        <f>IFERROR(__xludf.DUMMYFUNCTION("""COMPUTED_VALUE"""),"Empotrable")</f>
        <v>Empotrable</v>
      </c>
      <c r="AW530" s="97" t="str">
        <f>IFERROR(__xludf.DUMMYFUNCTION("""COMPUTED_VALUE"""),"De Techo")</f>
        <v>De Techo</v>
      </c>
      <c r="AX530" s="97" t="str">
        <f>IFERROR(__xludf.DUMMYFUNCTION("""COMPUTED_VALUE"""),"Interior")</f>
        <v>Interior</v>
      </c>
      <c r="AY530" s="97" t="str">
        <f>IFERROR(__xludf.DUMMYFUNCTION("""COMPUTED_VALUE"""),"-")</f>
        <v>-</v>
      </c>
      <c r="AZ530"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530" s="97">
        <f>IFERROR(__xludf.DUMMYFUNCTION("""COMPUTED_VALUE"""),100.0)</f>
        <v>100</v>
      </c>
      <c r="BB530" s="97" t="str">
        <f>IFERROR(__xludf.DUMMYFUNCTION("""COMPUTED_VALUE"""),"-")</f>
        <v>-</v>
      </c>
      <c r="BC530" s="97" t="str">
        <f>IFERROR(__xludf.DUMMYFUNCTION("""COMPUTED_VALUE"""),"-")</f>
        <v>-</v>
      </c>
      <c r="BD530" s="97" t="str">
        <f>IFERROR(__xludf.DUMMYFUNCTION("""COMPUTED_VALUE"""),"SEB")</f>
        <v>SEB</v>
      </c>
      <c r="BE530" s="97" t="str">
        <f>IFERROR(__xludf.DUMMYFUNCTION("""COMPUTED_VALUE"""),"Finalizada")</f>
        <v>Finalizada</v>
      </c>
      <c r="BF530" s="97"/>
      <c r="BG530" s="97" t="str">
        <f>IFERROR(__xludf.DUMMYFUNCTION("""COMPUTED_VALUE"""),"Discontinuo")</f>
        <v>Discontinuo</v>
      </c>
    </row>
    <row r="531">
      <c r="A531" s="97">
        <f>IFERROR(__xludf.DUMMYFUNCTION("""COMPUTED_VALUE"""),6136.0)</f>
        <v>6136</v>
      </c>
      <c r="B531" s="97" t="str">
        <f>IFERROR(__xludf.DUMMYFUNCTION("""COMPUTED_VALUE"""),"SEB I NG")</f>
        <v>SEB I NG</v>
      </c>
      <c r="C531" s="97" t="str">
        <f>IFERROR(__xludf.DUMMYFUNCTION("""COMPUTED_VALUE"""),"EMPOTRABLE SEB I NG 1XGU10 DICRO IP20 LEUK")</f>
        <v>EMPOTRABLE SEB I NG 1XGU10 DICRO IP20 LEUK</v>
      </c>
      <c r="D531" s="97">
        <f>IFERROR(__xludf.DUMMYFUNCTION("""COMPUTED_VALUE"""),7.798328757142E12)</f>
        <v>7798328757142</v>
      </c>
      <c r="E531" s="97" t="str">
        <f>IFERROR(__xludf.DUMMYFUNCTION("""COMPUTED_VALUE"""),"-")</f>
        <v>-</v>
      </c>
      <c r="F531" s="97" t="str">
        <f>IFERROR(__xludf.DUMMYFUNCTION("""COMPUTED_VALUE"""),"1xGU10 Dicro")</f>
        <v>1xGU10 Dicro</v>
      </c>
      <c r="G531" s="97" t="str">
        <f>IFERROR(__xludf.DUMMYFUNCTION("""COMPUTED_VALUE"""),"N/A")</f>
        <v>N/A</v>
      </c>
      <c r="H531" s="97" t="str">
        <f>IFERROR(__xludf.DUMMYFUNCTION("""COMPUTED_VALUE"""),"N/A")</f>
        <v>N/A</v>
      </c>
      <c r="I531" s="97" t="str">
        <f>IFERROR(__xludf.DUMMYFUNCTION("""COMPUTED_VALUE"""),"N/A")</f>
        <v>N/A</v>
      </c>
      <c r="J531" s="97" t="str">
        <f>IFERROR(__xludf.DUMMYFUNCTION("""COMPUTED_VALUE"""),"N/A")</f>
        <v>N/A</v>
      </c>
      <c r="K531" s="97" t="str">
        <f>IFERROR(__xludf.DUMMYFUNCTION("""COMPUTED_VALUE"""),"N/A")</f>
        <v>N/A</v>
      </c>
      <c r="L531" s="97">
        <f>IFERROR(__xludf.DUMMYFUNCTION("""COMPUTED_VALUE"""),220.0)</f>
        <v>220</v>
      </c>
      <c r="M531" s="97">
        <f>IFERROR(__xludf.DUMMYFUNCTION("""COMPUTED_VALUE"""),50.0)</f>
        <v>50</v>
      </c>
      <c r="N531" s="97"/>
      <c r="O531" s="97" t="str">
        <f>IFERROR(__xludf.DUMMYFUNCTION("""COMPUTED_VALUE"""),"1 x 50W Max")</f>
        <v>1 x 50W Max</v>
      </c>
      <c r="P531" s="97"/>
      <c r="Q531" s="97" t="str">
        <f>IFERROR(__xludf.DUMMYFUNCTION("""COMPUTED_VALUE"""),"-")</f>
        <v>-</v>
      </c>
      <c r="R531" s="97" t="str">
        <f>IFERROR(__xludf.DUMMYFUNCTION("""COMPUTED_VALUE"""),"-")</f>
        <v>-</v>
      </c>
      <c r="S531" s="97" t="str">
        <f>IFERROR(__xludf.DUMMYFUNCTION("""COMPUTED_VALUE"""),"-")</f>
        <v>-</v>
      </c>
      <c r="T531" s="97" t="str">
        <f>IFERROR(__xludf.DUMMYFUNCTION("""COMPUTED_VALUE"""),"-")</f>
        <v>-</v>
      </c>
      <c r="U531" s="97" t="str">
        <f>IFERROR(__xludf.DUMMYFUNCTION("""COMPUTED_VALUE"""),"-")</f>
        <v>-</v>
      </c>
      <c r="V531" s="97" t="str">
        <f>IFERROR(__xludf.DUMMYFUNCTION("""COMPUTED_VALUE"""),"N/A")</f>
        <v>N/A</v>
      </c>
      <c r="W531" s="97" t="str">
        <f>IFERROR(__xludf.DUMMYFUNCTION("""COMPUTED_VALUE"""),"N/A")</f>
        <v>N/A</v>
      </c>
      <c r="X531" s="97" t="str">
        <f>IFERROR(__xludf.DUMMYFUNCTION("""COMPUTED_VALUE"""),"-")</f>
        <v>-</v>
      </c>
      <c r="Y531" s="97" t="str">
        <f>IFERROR(__xludf.DUMMYFUNCTION("""COMPUTED_VALUE"""),"N/A")</f>
        <v>N/A</v>
      </c>
      <c r="Z531" s="97" t="str">
        <f>IFERROR(__xludf.DUMMYFUNCTION("""COMPUTED_VALUE"""),"N/A")</f>
        <v>N/A</v>
      </c>
      <c r="AA531" s="97" t="str">
        <f>IFERROR(__xludf.DUMMYFUNCTION("""COMPUTED_VALUE"""),"N/A")</f>
        <v>N/A</v>
      </c>
      <c r="AB531" s="97" t="str">
        <f>IFERROR(__xludf.DUMMYFUNCTION("""COMPUTED_VALUE"""),"N/A")</f>
        <v>N/A</v>
      </c>
      <c r="AC531" s="97" t="str">
        <f>IFERROR(__xludf.DUMMYFUNCTION("""COMPUTED_VALUE"""),"N/A")</f>
        <v>N/A</v>
      </c>
      <c r="AD531" s="97" t="str">
        <f>IFERROR(__xludf.DUMMYFUNCTION("""COMPUTED_VALUE"""),"IP20")</f>
        <v>IP20</v>
      </c>
      <c r="AE531" s="97" t="str">
        <f>IFERROR(__xludf.DUMMYFUNCTION("""COMPUTED_VALUE"""),"N/A")</f>
        <v>N/A</v>
      </c>
      <c r="AF531" s="97" t="str">
        <f>IFERROR(__xludf.DUMMYFUNCTION("""COMPUTED_VALUE"""),"Embutir")</f>
        <v>Embutir</v>
      </c>
      <c r="AG531" s="97" t="str">
        <f>IFERROR(__xludf.DUMMYFUNCTION("""COMPUTED_VALUE"""),"Ø92 x 55")</f>
        <v>Ø92 x 55</v>
      </c>
      <c r="AH531" s="97" t="str">
        <f>IFERROR(__xludf.DUMMYFUNCTION("""COMPUTED_VALUE"""),"Ø86 ")</f>
        <v>Ø86 </v>
      </c>
      <c r="AI531" s="97" t="str">
        <f>IFERROR(__xludf.DUMMYFUNCTION("""COMPUTED_VALUE"""),"100 *")</f>
        <v>100 *</v>
      </c>
      <c r="AJ531" s="97" t="str">
        <f>IFERROR(__xludf.DUMMYFUNCTION("""COMPUTED_VALUE"""),"N/A")</f>
        <v>N/A</v>
      </c>
      <c r="AK531" s="97" t="str">
        <f>IFERROR(__xludf.DUMMYFUNCTION("""COMPUTED_VALUE"""),"Policarbonato (PC)")</f>
        <v>Policarbonato (PC)</v>
      </c>
      <c r="AL531" s="97" t="str">
        <f>IFERROR(__xludf.DUMMYFUNCTION("""COMPUTED_VALUE"""),"Negro Mate")</f>
        <v>Negro Mate</v>
      </c>
      <c r="AM531" s="97" t="str">
        <f>IFERROR(__xludf.DUMMYFUNCTION("""COMPUTED_VALUE"""),"-")</f>
        <v>-</v>
      </c>
      <c r="AN531" s="97" t="str">
        <f>IFERROR(__xludf.DUMMYFUNCTION("""COMPUTED_VALUE"""),"N/A")</f>
        <v>N/A</v>
      </c>
      <c r="AO531" s="97" t="str">
        <f>IFERROR(__xludf.DUMMYFUNCTION("""COMPUTED_VALUE"""),"8 Años")</f>
        <v>8 Años</v>
      </c>
      <c r="AP531" s="97" t="str">
        <f>IFERROR(__xludf.DUMMYFUNCTION("""COMPUTED_VALUE"""),"No Aplica")</f>
        <v>No Aplica</v>
      </c>
      <c r="AQ531" s="97" t="str">
        <f>IFERROR(__xludf.DUMMYFUNCTION("""COMPUTED_VALUE"""),"No Aplica")</f>
        <v>No Aplica</v>
      </c>
      <c r="AR531" s="97" t="str">
        <f>IFERROR(__xludf.DUMMYFUNCTION("""COMPUTED_VALUE"""),"No Aplica")</f>
        <v>No Aplica</v>
      </c>
      <c r="AS531" s="97"/>
      <c r="AT531" s="97"/>
      <c r="AU531" s="97" t="str">
        <f>IFERROR(__xludf.DUMMYFUNCTION("""COMPUTED_VALUE"""),"Falta")</f>
        <v>Falta</v>
      </c>
      <c r="AV531" s="97" t="str">
        <f>IFERROR(__xludf.DUMMYFUNCTION("""COMPUTED_VALUE"""),"Empotrable")</f>
        <v>Empotrable</v>
      </c>
      <c r="AW531" s="97" t="str">
        <f>IFERROR(__xludf.DUMMYFUNCTION("""COMPUTED_VALUE"""),"De Techo")</f>
        <v>De Techo</v>
      </c>
      <c r="AX531" s="97" t="str">
        <f>IFERROR(__xludf.DUMMYFUNCTION("""COMPUTED_VALUE"""),"Interior")</f>
        <v>Interior</v>
      </c>
      <c r="AY531" s="97" t="str">
        <f>IFERROR(__xludf.DUMMYFUNCTION("""COMPUTED_VALUE"""),"-")</f>
        <v>-</v>
      </c>
      <c r="AZ531" s="97" t="str">
        <f>IFERROR(__xludf.DUMMYFUNCTION("""COMPUTED_VALUE"""),"Spot Fijo. Incluye zócalo GU10 c/cable 20cm.
*Profundidad de calado total aproximada (considera dicroica estándar)
**Garantía de 8 años de amarillamiento de PC.
***PC con protección contra rayos UV y retardador de incendios: clasificación BS2D0 con resist"&amp;"encia hasta 120°C.")</f>
        <v>Spot Fijo. Incluye zócalo GU10 c/cable 20cm.
*Profundidad de calado total aproximada (considera dicroica estándar)
**Garantía de 8 años de amarillamiento de PC.
***PC con protección contra rayos UV y retardador de incendios: clasificación BS2D0 con resistencia hasta 120°C.</v>
      </c>
      <c r="BA531" s="97">
        <f>IFERROR(__xludf.DUMMYFUNCTION("""COMPUTED_VALUE"""),100.0)</f>
        <v>100</v>
      </c>
      <c r="BB531" s="97" t="str">
        <f>IFERROR(__xludf.DUMMYFUNCTION("""COMPUTED_VALUE"""),"-")</f>
        <v>-</v>
      </c>
      <c r="BC531" s="97" t="str">
        <f>IFERROR(__xludf.DUMMYFUNCTION("""COMPUTED_VALUE"""),"-")</f>
        <v>-</v>
      </c>
      <c r="BD531" s="97" t="str">
        <f>IFERROR(__xludf.DUMMYFUNCTION("""COMPUTED_VALUE"""),"SEB")</f>
        <v>SEB</v>
      </c>
      <c r="BE531" s="97" t="str">
        <f>IFERROR(__xludf.DUMMYFUNCTION("""COMPUTED_VALUE"""),"Finalizada")</f>
        <v>Finalizada</v>
      </c>
      <c r="BF531" s="97"/>
      <c r="BG531" s="97" t="str">
        <f>IFERROR(__xludf.DUMMYFUNCTION("""COMPUTED_VALUE"""),"Discontinuo")</f>
        <v>Discontinuo</v>
      </c>
    </row>
    <row r="532">
      <c r="A532" s="97">
        <f>IFERROR(__xludf.DUMMYFUNCTION("""COMPUTED_VALUE"""),6137.0)</f>
        <v>6137</v>
      </c>
      <c r="B532" s="97" t="str">
        <f>IFERROR(__xludf.DUMMYFUNCTION("""COMPUTED_VALUE"""),"STAR I BL")</f>
        <v>STAR I BL</v>
      </c>
      <c r="C532" s="97" t="str">
        <f>IFERROR(__xludf.DUMMYFUNCTION("""COMPUTED_VALUE"""),"SPOT DE EMBUTIR STAR1 BLANCO")</f>
        <v>SPOT DE EMBUTIR STAR1 BLANCO</v>
      </c>
      <c r="D532" s="97">
        <f>IFERROR(__xludf.DUMMYFUNCTION("""COMPUTED_VALUE"""),7.798328757173E12)</f>
        <v>7798328757173</v>
      </c>
      <c r="E532" s="97"/>
      <c r="F532" s="97" t="str">
        <f>IFERROR(__xludf.DUMMYFUNCTION("""COMPUTED_VALUE"""),"1 x GU10")</f>
        <v>1 x GU10</v>
      </c>
      <c r="G532" s="97" t="str">
        <f>IFERROR(__xludf.DUMMYFUNCTION("""COMPUTED_VALUE"""),"N/A")</f>
        <v>N/A</v>
      </c>
      <c r="H532" s="97" t="str">
        <f>IFERROR(__xludf.DUMMYFUNCTION("""COMPUTED_VALUE"""),"N/A")</f>
        <v>N/A</v>
      </c>
      <c r="I532" s="97" t="str">
        <f>IFERROR(__xludf.DUMMYFUNCTION("""COMPUTED_VALUE"""),"N/A")</f>
        <v>N/A</v>
      </c>
      <c r="J532" s="97"/>
      <c r="K532" s="97" t="str">
        <f>IFERROR(__xludf.DUMMYFUNCTION("""COMPUTED_VALUE"""),"N/A")</f>
        <v>N/A</v>
      </c>
      <c r="L532" s="97">
        <f>IFERROR(__xludf.DUMMYFUNCTION("""COMPUTED_VALUE"""),220.0)</f>
        <v>220</v>
      </c>
      <c r="M532" s="97">
        <f>IFERROR(__xludf.DUMMYFUNCTION("""COMPUTED_VALUE"""),50.0)</f>
        <v>50</v>
      </c>
      <c r="N532" s="97"/>
      <c r="O532" s="97" t="str">
        <f>IFERROR(__xludf.DUMMYFUNCTION("""COMPUTED_VALUE"""),"1 x 50W Max")</f>
        <v>1 x 50W Max</v>
      </c>
      <c r="P532" s="97"/>
      <c r="Q532" s="97" t="str">
        <f>IFERROR(__xludf.DUMMYFUNCTION("""COMPUTED_VALUE"""),"-")</f>
        <v>-</v>
      </c>
      <c r="R532" s="97" t="str">
        <f>IFERROR(__xludf.DUMMYFUNCTION("""COMPUTED_VALUE"""),"-")</f>
        <v>-</v>
      </c>
      <c r="S532" s="97" t="str">
        <f>IFERROR(__xludf.DUMMYFUNCTION("""COMPUTED_VALUE"""),"-")</f>
        <v>-</v>
      </c>
      <c r="T532" s="97" t="str">
        <f>IFERROR(__xludf.DUMMYFUNCTION("""COMPUTED_VALUE"""),"-")</f>
        <v>-</v>
      </c>
      <c r="U532" s="97" t="str">
        <f>IFERROR(__xludf.DUMMYFUNCTION("""COMPUTED_VALUE"""),"-")</f>
        <v>-</v>
      </c>
      <c r="V532" s="97" t="str">
        <f>IFERROR(__xludf.DUMMYFUNCTION("""COMPUTED_VALUE"""),"N/A")</f>
        <v>N/A</v>
      </c>
      <c r="W532" s="97" t="str">
        <f>IFERROR(__xludf.DUMMYFUNCTION("""COMPUTED_VALUE"""),"N/A")</f>
        <v>N/A</v>
      </c>
      <c r="X532" s="97" t="str">
        <f>IFERROR(__xludf.DUMMYFUNCTION("""COMPUTED_VALUE"""),"-")</f>
        <v>-</v>
      </c>
      <c r="Y532" s="97" t="str">
        <f>IFERROR(__xludf.DUMMYFUNCTION("""COMPUTED_VALUE"""),"N/A")</f>
        <v>N/A</v>
      </c>
      <c r="Z532" s="97" t="str">
        <f>IFERROR(__xludf.DUMMYFUNCTION("""COMPUTED_VALUE"""),"N/A")</f>
        <v>N/A</v>
      </c>
      <c r="AA532" s="97" t="str">
        <f>IFERROR(__xludf.DUMMYFUNCTION("""COMPUTED_VALUE"""),"N/A")</f>
        <v>N/A</v>
      </c>
      <c r="AB532" s="97" t="str">
        <f>IFERROR(__xludf.DUMMYFUNCTION("""COMPUTED_VALUE"""),"N/A")</f>
        <v>N/A</v>
      </c>
      <c r="AC532" s="97" t="str">
        <f>IFERROR(__xludf.DUMMYFUNCTION("""COMPUTED_VALUE"""),"N/A")</f>
        <v>N/A</v>
      </c>
      <c r="AD532" s="97" t="str">
        <f>IFERROR(__xludf.DUMMYFUNCTION("""COMPUTED_VALUE"""),"IP20")</f>
        <v>IP20</v>
      </c>
      <c r="AE532" s="97" t="str">
        <f>IFERROR(__xludf.DUMMYFUNCTION("""COMPUTED_VALUE"""),"N/A")</f>
        <v>N/A</v>
      </c>
      <c r="AF532" s="97" t="str">
        <f>IFERROR(__xludf.DUMMYFUNCTION("""COMPUTED_VALUE"""),"Embutir")</f>
        <v>Embutir</v>
      </c>
      <c r="AG532" s="97" t="str">
        <f>IFERROR(__xludf.DUMMYFUNCTION("""COMPUTED_VALUE"""),"Ø200 x 20")</f>
        <v>Ø200 x 20</v>
      </c>
      <c r="AH532" s="97" t="str">
        <f>IFERROR(__xludf.DUMMYFUNCTION("""COMPUTED_VALUE"""),"Ø75 ")</f>
        <v>Ø75 </v>
      </c>
      <c r="AI532" s="97" t="str">
        <f>IFERROR(__xludf.DUMMYFUNCTION("""COMPUTED_VALUE"""),"80 *")</f>
        <v>80 *</v>
      </c>
      <c r="AJ532" s="97" t="str">
        <f>IFERROR(__xludf.DUMMYFUNCTION("""COMPUTED_VALUE"""),"N/A")</f>
        <v>N/A</v>
      </c>
      <c r="AK532" s="97" t="str">
        <f>IFERROR(__xludf.DUMMYFUNCTION("""COMPUTED_VALUE"""),"Policarbonato (PC)")</f>
        <v>Policarbonato (PC)</v>
      </c>
      <c r="AL532" s="97" t="str">
        <f>IFERROR(__xludf.DUMMYFUNCTION("""COMPUTED_VALUE"""),"Blanco Brillante")</f>
        <v>Blanco Brillante</v>
      </c>
      <c r="AM532" s="97" t="str">
        <f>IFERROR(__xludf.DUMMYFUNCTION("""COMPUTED_VALUE"""),"-")</f>
        <v>-</v>
      </c>
      <c r="AN532" s="97" t="str">
        <f>IFERROR(__xludf.DUMMYFUNCTION("""COMPUTED_VALUE"""),"N/A")</f>
        <v>N/A</v>
      </c>
      <c r="AO532" s="97" t="str">
        <f>IFERROR(__xludf.DUMMYFUNCTION("""COMPUTED_VALUE"""),"8 Años")</f>
        <v>8 Años</v>
      </c>
      <c r="AP532" s="97" t="str">
        <f>IFERROR(__xludf.DUMMYFUNCTION("""COMPUTED_VALUE"""),"No Aplica")</f>
        <v>No Aplica</v>
      </c>
      <c r="AQ532" s="97" t="str">
        <f>IFERROR(__xludf.DUMMYFUNCTION("""COMPUTED_VALUE"""),"No Aplica")</f>
        <v>No Aplica</v>
      </c>
      <c r="AR532" s="97" t="str">
        <f>IFERROR(__xludf.DUMMYFUNCTION("""COMPUTED_VALUE"""),"No Aplica")</f>
        <v>No Aplica</v>
      </c>
      <c r="AS532" s="97"/>
      <c r="AT532" s="97"/>
      <c r="AU532" s="97"/>
      <c r="AV532" s="97" t="str">
        <f>IFERROR(__xludf.DUMMYFUNCTION("""COMPUTED_VALUE"""),"Empotrable")</f>
        <v>Empotrable</v>
      </c>
      <c r="AW532" s="97" t="str">
        <f>IFERROR(__xludf.DUMMYFUNCTION("""COMPUTED_VALUE"""),"De Techo")</f>
        <v>De Techo</v>
      </c>
      <c r="AX532" s="97" t="str">
        <f>IFERROR(__xludf.DUMMYFUNCTION("""COMPUTED_VALUE"""),"Interior")</f>
        <v>Interior</v>
      </c>
      <c r="AY532" s="97"/>
      <c r="AZ532"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532" s="97"/>
      <c r="BB532" s="97"/>
      <c r="BC532" s="97"/>
      <c r="BD532" s="97" t="str">
        <f>IFERROR(__xludf.DUMMYFUNCTION("""COMPUTED_VALUE"""),"STAR")</f>
        <v>STAR</v>
      </c>
      <c r="BE532" s="97" t="str">
        <f>IFERROR(__xludf.DUMMYFUNCTION("""COMPUTED_VALUE"""),"Finalizada")</f>
        <v>Finalizada</v>
      </c>
      <c r="BF532" s="97"/>
      <c r="BG532" s="97" t="str">
        <f>IFERROR(__xludf.DUMMYFUNCTION("""COMPUTED_VALUE"""),"Discontinuo")</f>
        <v>Discontinuo</v>
      </c>
    </row>
    <row r="533">
      <c r="A533" s="97">
        <f>IFERROR(__xludf.DUMMYFUNCTION("""COMPUTED_VALUE"""),6138.0)</f>
        <v>6138</v>
      </c>
      <c r="B533" s="97" t="str">
        <f>IFERROR(__xludf.DUMMYFUNCTION("""COMPUTED_VALUE"""),"ZALO I BL")</f>
        <v>ZALO I BL</v>
      </c>
      <c r="C533" s="97" t="str">
        <f>IFERROR(__xludf.DUMMYFUNCTION("""COMPUTED_VALUE"""),"SPOT DE EMBUTIR ZALO1 BLANCO")</f>
        <v>SPOT DE EMBUTIR ZALO1 BLANCO</v>
      </c>
      <c r="D533" s="97">
        <f>IFERROR(__xludf.DUMMYFUNCTION("""COMPUTED_VALUE"""),7.798328757166E12)</f>
        <v>7798328757166</v>
      </c>
      <c r="E533" s="97"/>
      <c r="F533" s="97" t="str">
        <f>IFERROR(__xludf.DUMMYFUNCTION("""COMPUTED_VALUE"""),"1 x GU10")</f>
        <v>1 x GU10</v>
      </c>
      <c r="G533" s="97" t="str">
        <f>IFERROR(__xludf.DUMMYFUNCTION("""COMPUTED_VALUE"""),"N/A")</f>
        <v>N/A</v>
      </c>
      <c r="H533" s="97" t="str">
        <f>IFERROR(__xludf.DUMMYFUNCTION("""COMPUTED_VALUE"""),"N/A")</f>
        <v>N/A</v>
      </c>
      <c r="I533" s="97" t="str">
        <f>IFERROR(__xludf.DUMMYFUNCTION("""COMPUTED_VALUE"""),"N/A")</f>
        <v>N/A</v>
      </c>
      <c r="J533" s="97"/>
      <c r="K533" s="97" t="str">
        <f>IFERROR(__xludf.DUMMYFUNCTION("""COMPUTED_VALUE"""),"N/A")</f>
        <v>N/A</v>
      </c>
      <c r="L533" s="97">
        <f>IFERROR(__xludf.DUMMYFUNCTION("""COMPUTED_VALUE"""),220.0)</f>
        <v>220</v>
      </c>
      <c r="M533" s="97">
        <f>IFERROR(__xludf.DUMMYFUNCTION("""COMPUTED_VALUE"""),50.0)</f>
        <v>50</v>
      </c>
      <c r="N533" s="97"/>
      <c r="O533" s="97" t="str">
        <f>IFERROR(__xludf.DUMMYFUNCTION("""COMPUTED_VALUE"""),"1 x 50W Max")</f>
        <v>1 x 50W Max</v>
      </c>
      <c r="P533" s="97"/>
      <c r="Q533" s="97" t="str">
        <f>IFERROR(__xludf.DUMMYFUNCTION("""COMPUTED_VALUE"""),"-")</f>
        <v>-</v>
      </c>
      <c r="R533" s="97" t="str">
        <f>IFERROR(__xludf.DUMMYFUNCTION("""COMPUTED_VALUE"""),"-")</f>
        <v>-</v>
      </c>
      <c r="S533" s="97" t="str">
        <f>IFERROR(__xludf.DUMMYFUNCTION("""COMPUTED_VALUE"""),"-")</f>
        <v>-</v>
      </c>
      <c r="T533" s="97" t="str">
        <f>IFERROR(__xludf.DUMMYFUNCTION("""COMPUTED_VALUE"""),"-")</f>
        <v>-</v>
      </c>
      <c r="U533" s="97" t="str">
        <f>IFERROR(__xludf.DUMMYFUNCTION("""COMPUTED_VALUE"""),"-")</f>
        <v>-</v>
      </c>
      <c r="V533" s="97" t="str">
        <f>IFERROR(__xludf.DUMMYFUNCTION("""COMPUTED_VALUE"""),"N/A")</f>
        <v>N/A</v>
      </c>
      <c r="W533" s="97" t="str">
        <f>IFERROR(__xludf.DUMMYFUNCTION("""COMPUTED_VALUE"""),"N/A")</f>
        <v>N/A</v>
      </c>
      <c r="X533" s="97" t="str">
        <f>IFERROR(__xludf.DUMMYFUNCTION("""COMPUTED_VALUE"""),"-")</f>
        <v>-</v>
      </c>
      <c r="Y533" s="97" t="str">
        <f>IFERROR(__xludf.DUMMYFUNCTION("""COMPUTED_VALUE"""),"N/A")</f>
        <v>N/A</v>
      </c>
      <c r="Z533" s="97" t="str">
        <f>IFERROR(__xludf.DUMMYFUNCTION("""COMPUTED_VALUE"""),"N/A")</f>
        <v>N/A</v>
      </c>
      <c r="AA533" s="97" t="str">
        <f>IFERROR(__xludf.DUMMYFUNCTION("""COMPUTED_VALUE"""),"N/A")</f>
        <v>N/A</v>
      </c>
      <c r="AB533" s="97" t="str">
        <f>IFERROR(__xludf.DUMMYFUNCTION("""COMPUTED_VALUE"""),"N/A")</f>
        <v>N/A</v>
      </c>
      <c r="AC533" s="97" t="str">
        <f>IFERROR(__xludf.DUMMYFUNCTION("""COMPUTED_VALUE"""),"N/A")</f>
        <v>N/A</v>
      </c>
      <c r="AD533" s="97" t="str">
        <f>IFERROR(__xludf.DUMMYFUNCTION("""COMPUTED_VALUE"""),"IP20")</f>
        <v>IP20</v>
      </c>
      <c r="AE533" s="97" t="str">
        <f>IFERROR(__xludf.DUMMYFUNCTION("""COMPUTED_VALUE"""),"N/A")</f>
        <v>N/A</v>
      </c>
      <c r="AF533" s="97" t="str">
        <f>IFERROR(__xludf.DUMMYFUNCTION("""COMPUTED_VALUE"""),"Embutir")</f>
        <v>Embutir</v>
      </c>
      <c r="AG533" s="97" t="str">
        <f>IFERROR(__xludf.DUMMYFUNCTION("""COMPUTED_VALUE"""),"Ø88 x 30")</f>
        <v>Ø88 x 30</v>
      </c>
      <c r="AH533" s="97" t="str">
        <f>IFERROR(__xludf.DUMMYFUNCTION("""COMPUTED_VALUE"""),"Ø77")</f>
        <v>Ø77</v>
      </c>
      <c r="AI533" s="97" t="str">
        <f>IFERROR(__xludf.DUMMYFUNCTION("""COMPUTED_VALUE"""),"79 *")</f>
        <v>79 *</v>
      </c>
      <c r="AJ533" s="97" t="str">
        <f>IFERROR(__xludf.DUMMYFUNCTION("""COMPUTED_VALUE"""),"N/A")</f>
        <v>N/A</v>
      </c>
      <c r="AK533" s="97" t="str">
        <f>IFERROR(__xludf.DUMMYFUNCTION("""COMPUTED_VALUE"""),"Policarbonato (PC)")</f>
        <v>Policarbonato (PC)</v>
      </c>
      <c r="AL533" s="97" t="str">
        <f>IFERROR(__xludf.DUMMYFUNCTION("""COMPUTED_VALUE"""),"Blanco Mate")</f>
        <v>Blanco Mate</v>
      </c>
      <c r="AM533" s="97" t="str">
        <f>IFERROR(__xludf.DUMMYFUNCTION("""COMPUTED_VALUE"""),"-")</f>
        <v>-</v>
      </c>
      <c r="AN533" s="97" t="str">
        <f>IFERROR(__xludf.DUMMYFUNCTION("""COMPUTED_VALUE"""),"N/A")</f>
        <v>N/A</v>
      </c>
      <c r="AO533" s="97" t="str">
        <f>IFERROR(__xludf.DUMMYFUNCTION("""COMPUTED_VALUE"""),"8 Años")</f>
        <v>8 Años</v>
      </c>
      <c r="AP533" s="97" t="str">
        <f>IFERROR(__xludf.DUMMYFUNCTION("""COMPUTED_VALUE"""),"No Aplica")</f>
        <v>No Aplica</v>
      </c>
      <c r="AQ533" s="97" t="str">
        <f>IFERROR(__xludf.DUMMYFUNCTION("""COMPUTED_VALUE"""),"No Aplica")</f>
        <v>No Aplica</v>
      </c>
      <c r="AR533" s="97" t="str">
        <f>IFERROR(__xludf.DUMMYFUNCTION("""COMPUTED_VALUE"""),"No Aplica")</f>
        <v>No Aplica</v>
      </c>
      <c r="AS533" s="97"/>
      <c r="AT533" s="97"/>
      <c r="AU533" s="97"/>
      <c r="AV533" s="97" t="str">
        <f>IFERROR(__xludf.DUMMYFUNCTION("""COMPUTED_VALUE"""),"Empotrable")</f>
        <v>Empotrable</v>
      </c>
      <c r="AW533" s="97" t="str">
        <f>IFERROR(__xludf.DUMMYFUNCTION("""COMPUTED_VALUE"""),"De Techo")</f>
        <v>De Techo</v>
      </c>
      <c r="AX533" s="97" t="str">
        <f>IFERROR(__xludf.DUMMYFUNCTION("""COMPUTED_VALUE"""),"Interior")</f>
        <v>Interior</v>
      </c>
      <c r="AY533" s="97"/>
      <c r="AZ533" s="97" t="str">
        <f>IFERROR(__xludf.DUMMYFUNCTION("""COMPUTED_VALUE"""),"Spot con Movimiento interno.
*Profundidad de calado total aproximada (considera dicroica y zócalo estándar)
**Garantía de 8 años de amarillamiento de PC.
***Retardador de incendios: clasificación BS2D0 con resistencia hasta 120°C.
****PC con protección co"&amp;"ntra rayos UV.")</f>
        <v>Spot con Movimiento interno.
*Profundidad de calado total aproximada (considera dicroica y zócalo estándar)
**Garantía de 8 años de amarillamiento de PC.
***Retardador de incendios: clasificación BS2D0 con resistencia hasta 120°C.
****PC con protección contra rayos UV.</v>
      </c>
      <c r="BA533" s="97">
        <f>IFERROR(__xludf.DUMMYFUNCTION("""COMPUTED_VALUE"""),100.0)</f>
        <v>100</v>
      </c>
      <c r="BB533" s="97"/>
      <c r="BC533" s="97"/>
      <c r="BD533" s="97" t="str">
        <f>IFERROR(__xludf.DUMMYFUNCTION("""COMPUTED_VALUE"""),"ZALO")</f>
        <v>ZALO</v>
      </c>
      <c r="BE533" s="97" t="str">
        <f>IFERROR(__xludf.DUMMYFUNCTION("""COMPUTED_VALUE"""),"Finalizada")</f>
        <v>Finalizada</v>
      </c>
      <c r="BF533" s="97"/>
      <c r="BG533" s="97" t="str">
        <f>IFERROR(__xludf.DUMMYFUNCTION("""COMPUTED_VALUE"""),"Discontinuo")</f>
        <v>Discontinuo</v>
      </c>
    </row>
    <row r="534">
      <c r="A534" s="97">
        <f>IFERROR(__xludf.DUMMYFUNCTION("""COMPUTED_VALUE"""),6139.0)</f>
        <v>6139</v>
      </c>
      <c r="B534" s="97" t="str">
        <f>IFERROR(__xludf.DUMMYFUNCTION("""COMPUTED_VALUE"""),"LEA")</f>
        <v>LEA</v>
      </c>
      <c r="C534" s="97" t="str">
        <f>IFERROR(__xludf.DUMMYFUNCTION("""COMPUTED_VALUE"""),"COLGANTE LEA LEUK")</f>
        <v>COLGANTE LEA LEUK</v>
      </c>
      <c r="D534" s="97">
        <f>IFERROR(__xludf.DUMMYFUNCTION("""COMPUTED_VALUE"""),7.798328756374E12)</f>
        <v>7798328756374</v>
      </c>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t="str">
        <f>IFERROR(__xludf.DUMMYFUNCTION("""COMPUTED_VALUE"""),"IP20")</f>
        <v>IP20</v>
      </c>
      <c r="AE534" s="97"/>
      <c r="AF534" s="97" t="str">
        <f>IFERROR(__xludf.DUMMYFUNCTION("""COMPUTED_VALUE"""),"Suspender")</f>
        <v>Suspender</v>
      </c>
      <c r="AG534" s="97"/>
      <c r="AH534" s="97"/>
      <c r="AI534" s="97"/>
      <c r="AJ534" s="97"/>
      <c r="AK534" s="97"/>
      <c r="AL534" s="97"/>
      <c r="AM534" s="97"/>
      <c r="AN534" s="97"/>
      <c r="AO534" s="97" t="str">
        <f>IFERROR(__xludf.DUMMYFUNCTION("""COMPUTED_VALUE"""),"1 Año")</f>
        <v>1 Año</v>
      </c>
      <c r="AP534" s="97"/>
      <c r="AQ534" s="97"/>
      <c r="AR534" s="97"/>
      <c r="AS534" s="97"/>
      <c r="AT534" s="97"/>
      <c r="AU534" s="97"/>
      <c r="AV534" s="97" t="str">
        <f>IFERROR(__xludf.DUMMYFUNCTION("""COMPUTED_VALUE"""),"Colgante")</f>
        <v>Colgante</v>
      </c>
      <c r="AW534" s="97" t="str">
        <f>IFERROR(__xludf.DUMMYFUNCTION("""COMPUTED_VALUE"""),"De Techo")</f>
        <v>De Techo</v>
      </c>
      <c r="AX534" s="97" t="str">
        <f>IFERROR(__xludf.DUMMYFUNCTION("""COMPUTED_VALUE"""),"Interior")</f>
        <v>Interior</v>
      </c>
      <c r="AY534" s="97"/>
      <c r="AZ534" s="97"/>
      <c r="BA534" s="97"/>
      <c r="BB534" s="97"/>
      <c r="BC534" s="97"/>
      <c r="BD534" s="97" t="str">
        <f>IFERROR(__xludf.DUMMYFUNCTION("""COMPUTED_VALUE"""),"LEA")</f>
        <v>LEA</v>
      </c>
      <c r="BE534" s="97" t="str">
        <f>IFERROR(__xludf.DUMMYFUNCTION("""COMPUTED_VALUE"""),"Sin Ficha")</f>
        <v>Sin Ficha</v>
      </c>
      <c r="BF534" s="97"/>
      <c r="BG534" s="97" t="str">
        <f>IFERROR(__xludf.DUMMYFUNCTION("""COMPUTED_VALUE"""),"Discontinuo")</f>
        <v>Discontinuo</v>
      </c>
    </row>
    <row r="535">
      <c r="A535" s="97">
        <f>IFERROR(__xludf.DUMMYFUNCTION("""COMPUTED_VALUE"""),6140.0)</f>
        <v>6140</v>
      </c>
      <c r="B535" s="97" t="str">
        <f>IFERROR(__xludf.DUMMYFUNCTION("""COMPUTED_VALUE"""),"ADELA")</f>
        <v>ADELA</v>
      </c>
      <c r="C535" s="97" t="str">
        <f>IFERROR(__xludf.DUMMYFUNCTION("""COMPUTED_VALUE"""),"COLGANTE ADELA LEUK")</f>
        <v>COLGANTE ADELA LEUK</v>
      </c>
      <c r="D535" s="97">
        <f>IFERROR(__xludf.DUMMYFUNCTION("""COMPUTED_VALUE"""),7.798328756404E12)</f>
        <v>7798328756404</v>
      </c>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t="str">
        <f>IFERROR(__xludf.DUMMYFUNCTION("""COMPUTED_VALUE"""),"IP20")</f>
        <v>IP20</v>
      </c>
      <c r="AE535" s="97"/>
      <c r="AF535" s="97" t="str">
        <f>IFERROR(__xludf.DUMMYFUNCTION("""COMPUTED_VALUE"""),"Suspender")</f>
        <v>Suspender</v>
      </c>
      <c r="AG535" s="97"/>
      <c r="AH535" s="97"/>
      <c r="AI535" s="97"/>
      <c r="AJ535" s="97"/>
      <c r="AK535" s="97"/>
      <c r="AL535" s="97"/>
      <c r="AM535" s="97"/>
      <c r="AN535" s="97"/>
      <c r="AO535" s="97" t="str">
        <f>IFERROR(__xludf.DUMMYFUNCTION("""COMPUTED_VALUE"""),"1 Año")</f>
        <v>1 Año</v>
      </c>
      <c r="AP535" s="97"/>
      <c r="AQ535" s="97"/>
      <c r="AR535" s="97"/>
      <c r="AS535" s="97"/>
      <c r="AT535" s="97"/>
      <c r="AU535" s="97"/>
      <c r="AV535" s="97" t="str">
        <f>IFERROR(__xludf.DUMMYFUNCTION("""COMPUTED_VALUE"""),"Colgante")</f>
        <v>Colgante</v>
      </c>
      <c r="AW535" s="97" t="str">
        <f>IFERROR(__xludf.DUMMYFUNCTION("""COMPUTED_VALUE"""),"De Techo")</f>
        <v>De Techo</v>
      </c>
      <c r="AX535" s="97" t="str">
        <f>IFERROR(__xludf.DUMMYFUNCTION("""COMPUTED_VALUE"""),"Interior")</f>
        <v>Interior</v>
      </c>
      <c r="AY535" s="97"/>
      <c r="AZ535" s="97"/>
      <c r="BA535" s="97"/>
      <c r="BB535" s="97"/>
      <c r="BC535" s="97"/>
      <c r="BD535" s="97" t="str">
        <f>IFERROR(__xludf.DUMMYFUNCTION("""COMPUTED_VALUE"""),"ADELA")</f>
        <v>ADELA</v>
      </c>
      <c r="BE535" s="97" t="str">
        <f>IFERROR(__xludf.DUMMYFUNCTION("""COMPUTED_VALUE"""),"Sin Ficha")</f>
        <v>Sin Ficha</v>
      </c>
      <c r="BF535" s="97"/>
      <c r="BG535" s="97" t="str">
        <f>IFERROR(__xludf.DUMMYFUNCTION("""COMPUTED_VALUE"""),"Discontinuo")</f>
        <v>Discontinuo</v>
      </c>
    </row>
    <row r="536">
      <c r="A536" s="97">
        <f>IFERROR(__xludf.DUMMYFUNCTION("""COMPUTED_VALUE"""),6141.0)</f>
        <v>6141</v>
      </c>
      <c r="B536" s="97" t="str">
        <f>IFERROR(__xludf.DUMMYFUNCTION("""COMPUTED_VALUE"""),"NEKO")</f>
        <v>NEKO</v>
      </c>
      <c r="C536" s="97" t="str">
        <f>IFERROR(__xludf.DUMMYFUNCTION("""COMPUTED_VALUE"""),"APLIQUE NEKO LEUK")</f>
        <v>APLIQUE NEKO LEUK</v>
      </c>
      <c r="D536" s="97">
        <f>IFERROR(__xludf.DUMMYFUNCTION("""COMPUTED_VALUE"""),7.798328756411E12)</f>
        <v>7798328756411</v>
      </c>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t="str">
        <f>IFERROR(__xludf.DUMMYFUNCTION("""COMPUTED_VALUE"""),"IP20")</f>
        <v>IP20</v>
      </c>
      <c r="AE536" s="97"/>
      <c r="AF536" s="97" t="str">
        <f>IFERROR(__xludf.DUMMYFUNCTION("""COMPUTED_VALUE"""),"Aplicar")</f>
        <v>Aplicar</v>
      </c>
      <c r="AG536" s="97"/>
      <c r="AH536" s="97"/>
      <c r="AI536" s="97"/>
      <c r="AJ536" s="97"/>
      <c r="AK536" s="97"/>
      <c r="AL536" s="97"/>
      <c r="AM536" s="97"/>
      <c r="AN536" s="97"/>
      <c r="AO536" s="97" t="str">
        <f>IFERROR(__xludf.DUMMYFUNCTION("""COMPUTED_VALUE"""),"1 Año")</f>
        <v>1 Año</v>
      </c>
      <c r="AP536" s="97"/>
      <c r="AQ536" s="97"/>
      <c r="AR536" s="97"/>
      <c r="AS536" s="97"/>
      <c r="AT536" s="97"/>
      <c r="AU536" s="97"/>
      <c r="AV536" s="97" t="str">
        <f>IFERROR(__xludf.DUMMYFUNCTION("""COMPUTED_VALUE"""),"Aplique")</f>
        <v>Aplique</v>
      </c>
      <c r="AW536" s="97" t="str">
        <f>IFERROR(__xludf.DUMMYFUNCTION("""COMPUTED_VALUE"""),"De Techo")</f>
        <v>De Techo</v>
      </c>
      <c r="AX536" s="97" t="str">
        <f>IFERROR(__xludf.DUMMYFUNCTION("""COMPUTED_VALUE"""),"Interior")</f>
        <v>Interior</v>
      </c>
      <c r="AY536" s="97"/>
      <c r="AZ536" s="97"/>
      <c r="BA536" s="97"/>
      <c r="BB536" s="97"/>
      <c r="BC536" s="97"/>
      <c r="BD536" s="97" t="str">
        <f>IFERROR(__xludf.DUMMYFUNCTION("""COMPUTED_VALUE"""),"NEKO")</f>
        <v>NEKO</v>
      </c>
      <c r="BE536" s="97" t="str">
        <f>IFERROR(__xludf.DUMMYFUNCTION("""COMPUTED_VALUE"""),"Sin Ficha")</f>
        <v>Sin Ficha</v>
      </c>
      <c r="BF536" s="97"/>
      <c r="BG536" s="97" t="str">
        <f>IFERROR(__xludf.DUMMYFUNCTION("""COMPUTED_VALUE"""),"Discontinuo")</f>
        <v>Discontinuo</v>
      </c>
    </row>
    <row r="537">
      <c r="A537" s="97">
        <f>IFERROR(__xludf.DUMMYFUNCTION("""COMPUTED_VALUE"""),6142.0)</f>
        <v>6142</v>
      </c>
      <c r="B537" s="97" t="str">
        <f>IFERROR(__xludf.DUMMYFUNCTION("""COMPUTED_VALUE"""),"MIRROR")</f>
        <v>MIRROR</v>
      </c>
      <c r="C537" s="97" t="str">
        <f>IFERROR(__xludf.DUMMYFUNCTION("""COMPUTED_VALUE"""),"COLGANTE MIRROR LEUK PLATA")</f>
        <v>COLGANTE MIRROR LEUK PLATA</v>
      </c>
      <c r="D537" s="97">
        <f>IFERROR(__xludf.DUMMYFUNCTION("""COMPUTED_VALUE"""),7.798328756428E12)</f>
        <v>7798328756428</v>
      </c>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t="str">
        <f>IFERROR(__xludf.DUMMYFUNCTION("""COMPUTED_VALUE"""),"IP20")</f>
        <v>IP20</v>
      </c>
      <c r="AE537" s="97"/>
      <c r="AF537" s="97" t="str">
        <f>IFERROR(__xludf.DUMMYFUNCTION("""COMPUTED_VALUE"""),"Suspender")</f>
        <v>Suspender</v>
      </c>
      <c r="AG537" s="97"/>
      <c r="AH537" s="97"/>
      <c r="AI537" s="97"/>
      <c r="AJ537" s="97"/>
      <c r="AK537" s="97"/>
      <c r="AL537" s="97"/>
      <c r="AM537" s="97"/>
      <c r="AN537" s="97"/>
      <c r="AO537" s="97" t="str">
        <f>IFERROR(__xludf.DUMMYFUNCTION("""COMPUTED_VALUE"""),"1 Año")</f>
        <v>1 Año</v>
      </c>
      <c r="AP537" s="97"/>
      <c r="AQ537" s="97"/>
      <c r="AR537" s="97"/>
      <c r="AS537" s="97"/>
      <c r="AT537" s="97"/>
      <c r="AU537" s="97"/>
      <c r="AV537" s="97" t="str">
        <f>IFERROR(__xludf.DUMMYFUNCTION("""COMPUTED_VALUE"""),"Colgante")</f>
        <v>Colgante</v>
      </c>
      <c r="AW537" s="97" t="str">
        <f>IFERROR(__xludf.DUMMYFUNCTION("""COMPUTED_VALUE"""),"De Techo")</f>
        <v>De Techo</v>
      </c>
      <c r="AX537" s="97" t="str">
        <f>IFERROR(__xludf.DUMMYFUNCTION("""COMPUTED_VALUE"""),"Interior")</f>
        <v>Interior</v>
      </c>
      <c r="AY537" s="97"/>
      <c r="AZ537" s="97"/>
      <c r="BA537" s="97"/>
      <c r="BB537" s="97"/>
      <c r="BC537" s="97"/>
      <c r="BD537" s="97" t="str">
        <f>IFERROR(__xludf.DUMMYFUNCTION("""COMPUTED_VALUE"""),"MIRROR")</f>
        <v>MIRROR</v>
      </c>
      <c r="BE537" s="97" t="str">
        <f>IFERROR(__xludf.DUMMYFUNCTION("""COMPUTED_VALUE"""),"Sin Ficha")</f>
        <v>Sin Ficha</v>
      </c>
      <c r="BF537" s="97"/>
      <c r="BG537" s="97" t="str">
        <f>IFERROR(__xludf.DUMMYFUNCTION("""COMPUTED_VALUE"""),"Discontinuo")</f>
        <v>Discontinuo</v>
      </c>
    </row>
    <row r="538">
      <c r="A538" s="97">
        <f>IFERROR(__xludf.DUMMYFUNCTION("""COMPUTED_VALUE"""),6143.0)</f>
        <v>6143</v>
      </c>
      <c r="B538" s="97" t="str">
        <f>IFERROR(__xludf.DUMMYFUNCTION("""COMPUTED_VALUE"""),"MIRROR")</f>
        <v>MIRROR</v>
      </c>
      <c r="C538" s="97" t="str">
        <f>IFERROR(__xludf.DUMMYFUNCTION("""COMPUTED_VALUE"""),"COLGANTE MIRROR LEUK DORADO")</f>
        <v>COLGANTE MIRROR LEUK DORADO</v>
      </c>
      <c r="D538" s="97">
        <f>IFERROR(__xludf.DUMMYFUNCTION("""COMPUTED_VALUE"""),7.798328756435E12)</f>
        <v>7798328756435</v>
      </c>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t="str">
        <f>IFERROR(__xludf.DUMMYFUNCTION("""COMPUTED_VALUE"""),"IP20")</f>
        <v>IP20</v>
      </c>
      <c r="AE538" s="97"/>
      <c r="AF538" s="97" t="str">
        <f>IFERROR(__xludf.DUMMYFUNCTION("""COMPUTED_VALUE"""),"Suspender")</f>
        <v>Suspender</v>
      </c>
      <c r="AG538" s="97"/>
      <c r="AH538" s="97"/>
      <c r="AI538" s="97"/>
      <c r="AJ538" s="97"/>
      <c r="AK538" s="97"/>
      <c r="AL538" s="97"/>
      <c r="AM538" s="97"/>
      <c r="AN538" s="97"/>
      <c r="AO538" s="97" t="str">
        <f>IFERROR(__xludf.DUMMYFUNCTION("""COMPUTED_VALUE"""),"1 Año")</f>
        <v>1 Año</v>
      </c>
      <c r="AP538" s="97"/>
      <c r="AQ538" s="97"/>
      <c r="AR538" s="97"/>
      <c r="AS538" s="97"/>
      <c r="AT538" s="97"/>
      <c r="AU538" s="97"/>
      <c r="AV538" s="97" t="str">
        <f>IFERROR(__xludf.DUMMYFUNCTION("""COMPUTED_VALUE"""),"Colgante")</f>
        <v>Colgante</v>
      </c>
      <c r="AW538" s="97" t="str">
        <f>IFERROR(__xludf.DUMMYFUNCTION("""COMPUTED_VALUE"""),"De Techo")</f>
        <v>De Techo</v>
      </c>
      <c r="AX538" s="97" t="str">
        <f>IFERROR(__xludf.DUMMYFUNCTION("""COMPUTED_VALUE"""),"Interior")</f>
        <v>Interior</v>
      </c>
      <c r="AY538" s="97"/>
      <c r="AZ538" s="97"/>
      <c r="BA538" s="97"/>
      <c r="BB538" s="97"/>
      <c r="BC538" s="97"/>
      <c r="BD538" s="97" t="str">
        <f>IFERROR(__xludf.DUMMYFUNCTION("""COMPUTED_VALUE"""),"MIRROR")</f>
        <v>MIRROR</v>
      </c>
      <c r="BE538" s="97" t="str">
        <f>IFERROR(__xludf.DUMMYFUNCTION("""COMPUTED_VALUE"""),"Sin Ficha")</f>
        <v>Sin Ficha</v>
      </c>
      <c r="BF538" s="97"/>
      <c r="BG538" s="97" t="str">
        <f>IFERROR(__xludf.DUMMYFUNCTION("""COMPUTED_VALUE"""),"Discontinuo")</f>
        <v>Discontinuo</v>
      </c>
    </row>
    <row r="539">
      <c r="A539" s="97">
        <f>IFERROR(__xludf.DUMMYFUNCTION("""COMPUTED_VALUE"""),6144.0)</f>
        <v>6144</v>
      </c>
      <c r="B539" s="97" t="str">
        <f>IFERROR(__xludf.DUMMYFUNCTION("""COMPUTED_VALUE"""),"MINUS")</f>
        <v>MINUS</v>
      </c>
      <c r="C539" s="97" t="str">
        <f>IFERROR(__xludf.DUMMYFUNCTION("""COMPUTED_VALUE"""),"COLGANTE MINUS LEUK")</f>
        <v>COLGANTE MINUS LEUK</v>
      </c>
      <c r="D539" s="97">
        <f>IFERROR(__xludf.DUMMYFUNCTION("""COMPUTED_VALUE"""),7.798328756558E12)</f>
        <v>7798328756558</v>
      </c>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t="str">
        <f>IFERROR(__xludf.DUMMYFUNCTION("""COMPUTED_VALUE"""),"IP20")</f>
        <v>IP20</v>
      </c>
      <c r="AE539" s="97"/>
      <c r="AF539" s="97" t="str">
        <f>IFERROR(__xludf.DUMMYFUNCTION("""COMPUTED_VALUE"""),"Suspender")</f>
        <v>Suspender</v>
      </c>
      <c r="AG539" s="97"/>
      <c r="AH539" s="97"/>
      <c r="AI539" s="97"/>
      <c r="AJ539" s="97"/>
      <c r="AK539" s="97"/>
      <c r="AL539" s="97"/>
      <c r="AM539" s="97"/>
      <c r="AN539" s="97"/>
      <c r="AO539" s="97" t="str">
        <f>IFERROR(__xludf.DUMMYFUNCTION("""COMPUTED_VALUE"""),"1 Año")</f>
        <v>1 Año</v>
      </c>
      <c r="AP539" s="97"/>
      <c r="AQ539" s="97"/>
      <c r="AR539" s="97"/>
      <c r="AS539" s="97"/>
      <c r="AT539" s="97"/>
      <c r="AU539" s="97"/>
      <c r="AV539" s="97" t="str">
        <f>IFERROR(__xludf.DUMMYFUNCTION("""COMPUTED_VALUE"""),"Colgante")</f>
        <v>Colgante</v>
      </c>
      <c r="AW539" s="97" t="str">
        <f>IFERROR(__xludf.DUMMYFUNCTION("""COMPUTED_VALUE"""),"De Techo")</f>
        <v>De Techo</v>
      </c>
      <c r="AX539" s="97" t="str">
        <f>IFERROR(__xludf.DUMMYFUNCTION("""COMPUTED_VALUE"""),"Interior")</f>
        <v>Interior</v>
      </c>
      <c r="AY539" s="97"/>
      <c r="AZ539" s="97"/>
      <c r="BA539" s="97"/>
      <c r="BB539" s="97"/>
      <c r="BC539" s="97"/>
      <c r="BD539" s="97" t="str">
        <f>IFERROR(__xludf.DUMMYFUNCTION("""COMPUTED_VALUE"""),"MINUS")</f>
        <v>MINUS</v>
      </c>
      <c r="BE539" s="97" t="str">
        <f>IFERROR(__xludf.DUMMYFUNCTION("""COMPUTED_VALUE"""),"Sin Ficha")</f>
        <v>Sin Ficha</v>
      </c>
      <c r="BF539" s="97"/>
      <c r="BG539" s="97" t="str">
        <f>IFERROR(__xludf.DUMMYFUNCTION("""COMPUTED_VALUE"""),"Discontinuo")</f>
        <v>Discontinuo</v>
      </c>
    </row>
    <row r="540">
      <c r="A540" s="97">
        <f>IFERROR(__xludf.DUMMYFUNCTION("""COMPUTED_VALUE"""),6145.0)</f>
        <v>6145</v>
      </c>
      <c r="B540" s="97" t="str">
        <f>IFERROR(__xludf.DUMMYFUNCTION("""COMPUTED_VALUE"""),"ARGUS")</f>
        <v>ARGUS</v>
      </c>
      <c r="C540" s="97" t="str">
        <f>IFERROR(__xludf.DUMMYFUNCTION("""COMPUTED_VALUE"""),"COLGANTE ARGUS LEUK")</f>
        <v>COLGANTE ARGUS LEUK</v>
      </c>
      <c r="D540" s="97">
        <f>IFERROR(__xludf.DUMMYFUNCTION("""COMPUTED_VALUE"""),7.798328756602E12)</f>
        <v>7798328756602</v>
      </c>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t="str">
        <f>IFERROR(__xludf.DUMMYFUNCTION("""COMPUTED_VALUE"""),"IP20")</f>
        <v>IP20</v>
      </c>
      <c r="AE540" s="97"/>
      <c r="AF540" s="97" t="str">
        <f>IFERROR(__xludf.DUMMYFUNCTION("""COMPUTED_VALUE"""),"Suspender")</f>
        <v>Suspender</v>
      </c>
      <c r="AG540" s="97"/>
      <c r="AH540" s="97"/>
      <c r="AI540" s="97"/>
      <c r="AJ540" s="97"/>
      <c r="AK540" s="97"/>
      <c r="AL540" s="97"/>
      <c r="AM540" s="97"/>
      <c r="AN540" s="97"/>
      <c r="AO540" s="97" t="str">
        <f>IFERROR(__xludf.DUMMYFUNCTION("""COMPUTED_VALUE"""),"1 Año")</f>
        <v>1 Año</v>
      </c>
      <c r="AP540" s="97"/>
      <c r="AQ540" s="97"/>
      <c r="AR540" s="97"/>
      <c r="AS540" s="97"/>
      <c r="AT540" s="97"/>
      <c r="AU540" s="97"/>
      <c r="AV540" s="97" t="str">
        <f>IFERROR(__xludf.DUMMYFUNCTION("""COMPUTED_VALUE"""),"Colgante")</f>
        <v>Colgante</v>
      </c>
      <c r="AW540" s="97" t="str">
        <f>IFERROR(__xludf.DUMMYFUNCTION("""COMPUTED_VALUE"""),"De Techo")</f>
        <v>De Techo</v>
      </c>
      <c r="AX540" s="97" t="str">
        <f>IFERROR(__xludf.DUMMYFUNCTION("""COMPUTED_VALUE"""),"Interior")</f>
        <v>Interior</v>
      </c>
      <c r="AY540" s="97"/>
      <c r="AZ540" s="97"/>
      <c r="BA540" s="97"/>
      <c r="BB540" s="97"/>
      <c r="BC540" s="97"/>
      <c r="BD540" s="97" t="str">
        <f>IFERROR(__xludf.DUMMYFUNCTION("""COMPUTED_VALUE"""),"ARGUS")</f>
        <v>ARGUS</v>
      </c>
      <c r="BE540" s="97" t="str">
        <f>IFERROR(__xludf.DUMMYFUNCTION("""COMPUTED_VALUE"""),"Sin Ficha")</f>
        <v>Sin Ficha</v>
      </c>
      <c r="BF540" s="97"/>
      <c r="BG540" s="97" t="str">
        <f>IFERROR(__xludf.DUMMYFUNCTION("""COMPUTED_VALUE"""),"Discontinuo")</f>
        <v>Discontinuo</v>
      </c>
    </row>
    <row r="541">
      <c r="A541" s="97">
        <f>IFERROR(__xludf.DUMMYFUNCTION("""COMPUTED_VALUE"""),6146.0)</f>
        <v>6146</v>
      </c>
      <c r="B541" s="97" t="str">
        <f>IFERROR(__xludf.DUMMYFUNCTION("""COMPUTED_VALUE"""),"ARPO")</f>
        <v>ARPO</v>
      </c>
      <c r="C541" s="97" t="str">
        <f>IFERROR(__xludf.DUMMYFUNCTION("""COMPUTED_VALUE"""),"APLIQUE ARPO LEUK")</f>
        <v>APLIQUE ARPO LEUK</v>
      </c>
      <c r="D541" s="97">
        <f>IFERROR(__xludf.DUMMYFUNCTION("""COMPUTED_VALUE"""),7.798328756619E12)</f>
        <v>7798328756619</v>
      </c>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t="str">
        <f>IFERROR(__xludf.DUMMYFUNCTION("""COMPUTED_VALUE"""),"IP20")</f>
        <v>IP20</v>
      </c>
      <c r="AE541" s="97"/>
      <c r="AF541" s="97" t="str">
        <f>IFERROR(__xludf.DUMMYFUNCTION("""COMPUTED_VALUE"""),"Aplicar")</f>
        <v>Aplicar</v>
      </c>
      <c r="AG541" s="97"/>
      <c r="AH541" s="97"/>
      <c r="AI541" s="97"/>
      <c r="AJ541" s="97"/>
      <c r="AK541" s="97"/>
      <c r="AL541" s="97"/>
      <c r="AM541" s="97"/>
      <c r="AN541" s="97"/>
      <c r="AO541" s="97" t="str">
        <f>IFERROR(__xludf.DUMMYFUNCTION("""COMPUTED_VALUE"""),"1 Año")</f>
        <v>1 Año</v>
      </c>
      <c r="AP541" s="97"/>
      <c r="AQ541" s="97"/>
      <c r="AR541" s="97"/>
      <c r="AS541" s="97"/>
      <c r="AT541" s="97"/>
      <c r="AU541" s="97"/>
      <c r="AV541" s="97" t="str">
        <f>IFERROR(__xludf.DUMMYFUNCTION("""COMPUTED_VALUE"""),"Aplique")</f>
        <v>Aplique</v>
      </c>
      <c r="AW541" s="97" t="str">
        <f>IFERROR(__xludf.DUMMYFUNCTION("""COMPUTED_VALUE"""),"De Pared")</f>
        <v>De Pared</v>
      </c>
      <c r="AX541" s="97" t="str">
        <f>IFERROR(__xludf.DUMMYFUNCTION("""COMPUTED_VALUE"""),"Interior")</f>
        <v>Interior</v>
      </c>
      <c r="AY541" s="97"/>
      <c r="AZ541" s="97"/>
      <c r="BA541" s="97"/>
      <c r="BB541" s="97"/>
      <c r="BC541" s="97"/>
      <c r="BD541" s="97" t="str">
        <f>IFERROR(__xludf.DUMMYFUNCTION("""COMPUTED_VALUE"""),"ARPO")</f>
        <v>ARPO</v>
      </c>
      <c r="BE541" s="97" t="str">
        <f>IFERROR(__xludf.DUMMYFUNCTION("""COMPUTED_VALUE"""),"Sin Ficha")</f>
        <v>Sin Ficha</v>
      </c>
      <c r="BF541" s="97"/>
      <c r="BG541" s="97" t="str">
        <f>IFERROR(__xludf.DUMMYFUNCTION("""COMPUTED_VALUE"""),"Discontinuo")</f>
        <v>Discontinuo</v>
      </c>
    </row>
    <row r="542">
      <c r="A542" s="97">
        <f>IFERROR(__xludf.DUMMYFUNCTION("""COMPUTED_VALUE"""),6147.0)</f>
        <v>6147</v>
      </c>
      <c r="B542" s="97" t="str">
        <f>IFERROR(__xludf.DUMMYFUNCTION("""COMPUTED_VALUE"""),"LINE")</f>
        <v>LINE</v>
      </c>
      <c r="C542" s="97" t="str">
        <f>IFERROR(__xludf.DUMMYFUNCTION("""COMPUTED_VALUE"""),"COLGANTE LINE LEUK")</f>
        <v>COLGANTE LINE LEUK</v>
      </c>
      <c r="D542" s="97">
        <f>IFERROR(__xludf.DUMMYFUNCTION("""COMPUTED_VALUE"""),7.798328756626E12)</f>
        <v>7798328756626</v>
      </c>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t="str">
        <f>IFERROR(__xludf.DUMMYFUNCTION("""COMPUTED_VALUE"""),"IP20")</f>
        <v>IP20</v>
      </c>
      <c r="AE542" s="97"/>
      <c r="AF542" s="97" t="str">
        <f>IFERROR(__xludf.DUMMYFUNCTION("""COMPUTED_VALUE"""),"Suspender")</f>
        <v>Suspender</v>
      </c>
      <c r="AG542" s="97"/>
      <c r="AH542" s="97"/>
      <c r="AI542" s="97"/>
      <c r="AJ542" s="97"/>
      <c r="AK542" s="97"/>
      <c r="AL542" s="97"/>
      <c r="AM542" s="97"/>
      <c r="AN542" s="97"/>
      <c r="AO542" s="97" t="str">
        <f>IFERROR(__xludf.DUMMYFUNCTION("""COMPUTED_VALUE"""),"1 Año")</f>
        <v>1 Año</v>
      </c>
      <c r="AP542" s="97"/>
      <c r="AQ542" s="97"/>
      <c r="AR542" s="97"/>
      <c r="AS542" s="97"/>
      <c r="AT542" s="97"/>
      <c r="AU542" s="97"/>
      <c r="AV542" s="97" t="str">
        <f>IFERROR(__xludf.DUMMYFUNCTION("""COMPUTED_VALUE"""),"Colgante")</f>
        <v>Colgante</v>
      </c>
      <c r="AW542" s="97" t="str">
        <f>IFERROR(__xludf.DUMMYFUNCTION("""COMPUTED_VALUE"""),"De Techo")</f>
        <v>De Techo</v>
      </c>
      <c r="AX542" s="97" t="str">
        <f>IFERROR(__xludf.DUMMYFUNCTION("""COMPUTED_VALUE"""),"Interior")</f>
        <v>Interior</v>
      </c>
      <c r="AY542" s="97"/>
      <c r="AZ542" s="97"/>
      <c r="BA542" s="97">
        <f>IFERROR(__xludf.DUMMYFUNCTION("""COMPUTED_VALUE"""),1.0)</f>
        <v>1</v>
      </c>
      <c r="BB542" s="97"/>
      <c r="BC542" s="97"/>
      <c r="BD542" s="97" t="str">
        <f>IFERROR(__xludf.DUMMYFUNCTION("""COMPUTED_VALUE"""),"LINE")</f>
        <v>LINE</v>
      </c>
      <c r="BE542" s="97" t="str">
        <f>IFERROR(__xludf.DUMMYFUNCTION("""COMPUTED_VALUE"""),"Sin Ficha")</f>
        <v>Sin Ficha</v>
      </c>
      <c r="BF542" s="97"/>
      <c r="BG542" s="97" t="str">
        <f>IFERROR(__xludf.DUMMYFUNCTION("""COMPUTED_VALUE"""),"Discontinuo")</f>
        <v>Discontinuo</v>
      </c>
    </row>
    <row r="543">
      <c r="A543" s="97">
        <f>IFERROR(__xludf.DUMMYFUNCTION("""COMPUTED_VALUE"""),6148.0)</f>
        <v>6148</v>
      </c>
      <c r="B543" s="97" t="str">
        <f>IFERROR(__xludf.DUMMYFUNCTION("""COMPUTED_VALUE"""),"PLUT")</f>
        <v>PLUT</v>
      </c>
      <c r="C543" s="97" t="str">
        <f>IFERROR(__xludf.DUMMYFUNCTION("""COMPUTED_VALUE"""),"COLGANTE PLUT LEUK")</f>
        <v>COLGANTE PLUT LEUK</v>
      </c>
      <c r="D543" s="97">
        <f>IFERROR(__xludf.DUMMYFUNCTION("""COMPUTED_VALUE"""),7.798328756749E12)</f>
        <v>7798328756749</v>
      </c>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t="str">
        <f>IFERROR(__xludf.DUMMYFUNCTION("""COMPUTED_VALUE"""),"IP20")</f>
        <v>IP20</v>
      </c>
      <c r="AE543" s="97"/>
      <c r="AF543" s="97" t="str">
        <f>IFERROR(__xludf.DUMMYFUNCTION("""COMPUTED_VALUE"""),"Suspender")</f>
        <v>Suspender</v>
      </c>
      <c r="AG543" s="97"/>
      <c r="AH543" s="97"/>
      <c r="AI543" s="97"/>
      <c r="AJ543" s="97"/>
      <c r="AK543" s="97"/>
      <c r="AL543" s="97"/>
      <c r="AM543" s="97"/>
      <c r="AN543" s="97"/>
      <c r="AO543" s="97" t="str">
        <f>IFERROR(__xludf.DUMMYFUNCTION("""COMPUTED_VALUE"""),"1 Año")</f>
        <v>1 Año</v>
      </c>
      <c r="AP543" s="97"/>
      <c r="AQ543" s="97"/>
      <c r="AR543" s="97"/>
      <c r="AS543" s="97"/>
      <c r="AT543" s="97"/>
      <c r="AU543" s="97"/>
      <c r="AV543" s="97" t="str">
        <f>IFERROR(__xludf.DUMMYFUNCTION("""COMPUTED_VALUE"""),"Colgante")</f>
        <v>Colgante</v>
      </c>
      <c r="AW543" s="97" t="str">
        <f>IFERROR(__xludf.DUMMYFUNCTION("""COMPUTED_VALUE"""),"De Techo")</f>
        <v>De Techo</v>
      </c>
      <c r="AX543" s="97" t="str">
        <f>IFERROR(__xludf.DUMMYFUNCTION("""COMPUTED_VALUE"""),"Interior")</f>
        <v>Interior</v>
      </c>
      <c r="AY543" s="97"/>
      <c r="AZ543" s="97"/>
      <c r="BA543" s="97"/>
      <c r="BB543" s="97"/>
      <c r="BC543" s="97"/>
      <c r="BD543" s="97" t="str">
        <f>IFERROR(__xludf.DUMMYFUNCTION("""COMPUTED_VALUE"""),"PLUT")</f>
        <v>PLUT</v>
      </c>
      <c r="BE543" s="97" t="str">
        <f>IFERROR(__xludf.DUMMYFUNCTION("""COMPUTED_VALUE"""),"Sin Ficha")</f>
        <v>Sin Ficha</v>
      </c>
      <c r="BF543" s="97"/>
      <c r="BG543" s="97" t="str">
        <f>IFERROR(__xludf.DUMMYFUNCTION("""COMPUTED_VALUE"""),"Discontinuo")</f>
        <v>Discontinuo</v>
      </c>
    </row>
    <row r="544">
      <c r="A544" s="97">
        <f>IFERROR(__xludf.DUMMYFUNCTION("""COMPUTED_VALUE"""),6149.0)</f>
        <v>6149</v>
      </c>
      <c r="B544" s="97" t="str">
        <f>IFERROR(__xludf.DUMMYFUNCTION("""COMPUTED_VALUE"""),"GUID")</f>
        <v>GUID</v>
      </c>
      <c r="C544" s="97" t="str">
        <f>IFERROR(__xludf.DUMMYFUNCTION("""COMPUTED_VALUE"""),"COLGANTE GUID LEUK")</f>
        <v>COLGANTE GUID LEUK</v>
      </c>
      <c r="D544" s="97">
        <f>IFERROR(__xludf.DUMMYFUNCTION("""COMPUTED_VALUE"""),7.79832875718E12)</f>
        <v>7798328757180</v>
      </c>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t="str">
        <f>IFERROR(__xludf.DUMMYFUNCTION("""COMPUTED_VALUE"""),"IP20")</f>
        <v>IP20</v>
      </c>
      <c r="AE544" s="97"/>
      <c r="AF544" s="97" t="str">
        <f>IFERROR(__xludf.DUMMYFUNCTION("""COMPUTED_VALUE"""),"Suspender")</f>
        <v>Suspender</v>
      </c>
      <c r="AG544" s="97"/>
      <c r="AH544" s="97"/>
      <c r="AI544" s="97"/>
      <c r="AJ544" s="97"/>
      <c r="AK544" s="97"/>
      <c r="AL544" s="97"/>
      <c r="AM544" s="97"/>
      <c r="AN544" s="97"/>
      <c r="AO544" s="97" t="str">
        <f>IFERROR(__xludf.DUMMYFUNCTION("""COMPUTED_VALUE"""),"1 Año")</f>
        <v>1 Año</v>
      </c>
      <c r="AP544" s="97"/>
      <c r="AQ544" s="97"/>
      <c r="AR544" s="97"/>
      <c r="AS544" s="97"/>
      <c r="AT544" s="97"/>
      <c r="AU544" s="97"/>
      <c r="AV544" s="97" t="str">
        <f>IFERROR(__xludf.DUMMYFUNCTION("""COMPUTED_VALUE"""),"Colgante")</f>
        <v>Colgante</v>
      </c>
      <c r="AW544" s="97" t="str">
        <f>IFERROR(__xludf.DUMMYFUNCTION("""COMPUTED_VALUE"""),"De Techo")</f>
        <v>De Techo</v>
      </c>
      <c r="AX544" s="97" t="str">
        <f>IFERROR(__xludf.DUMMYFUNCTION("""COMPUTED_VALUE"""),"Interior")</f>
        <v>Interior</v>
      </c>
      <c r="AY544" s="97"/>
      <c r="AZ544" s="97"/>
      <c r="BA544" s="97"/>
      <c r="BB544" s="97"/>
      <c r="BC544" s="97"/>
      <c r="BD544" s="97" t="str">
        <f>IFERROR(__xludf.DUMMYFUNCTION("""COMPUTED_VALUE"""),"GUID")</f>
        <v>GUID</v>
      </c>
      <c r="BE544" s="97" t="str">
        <f>IFERROR(__xludf.DUMMYFUNCTION("""COMPUTED_VALUE"""),"Sin Ficha")</f>
        <v>Sin Ficha</v>
      </c>
      <c r="BF544" s="97"/>
      <c r="BG544" s="97" t="str">
        <f>IFERROR(__xludf.DUMMYFUNCTION("""COMPUTED_VALUE"""),"Discontinuo")</f>
        <v>Discontinuo</v>
      </c>
    </row>
    <row r="545">
      <c r="A545" s="97">
        <f>IFERROR(__xludf.DUMMYFUNCTION("""COMPUTED_VALUE"""),6150.0)</f>
        <v>6150</v>
      </c>
      <c r="B545" s="97" t="str">
        <f>IFERROR(__xludf.DUMMYFUNCTION("""COMPUTED_VALUE"""),"PEJ")</f>
        <v>PEJ</v>
      </c>
      <c r="C545" s="97" t="str">
        <f>IFERROR(__xludf.DUMMYFUNCTION("""COMPUTED_VALUE"""),"COLGANTE PEJ LEUK")</f>
        <v>COLGANTE PEJ LEUK</v>
      </c>
      <c r="D545" s="97">
        <f>IFERROR(__xludf.DUMMYFUNCTION("""COMPUTED_VALUE"""),7.798328757197E12)</f>
        <v>7798328757197</v>
      </c>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t="str">
        <f>IFERROR(__xludf.DUMMYFUNCTION("""COMPUTED_VALUE"""),"IP20")</f>
        <v>IP20</v>
      </c>
      <c r="AE545" s="97"/>
      <c r="AF545" s="97" t="str">
        <f>IFERROR(__xludf.DUMMYFUNCTION("""COMPUTED_VALUE"""),"Suspender")</f>
        <v>Suspender</v>
      </c>
      <c r="AG545" s="97"/>
      <c r="AH545" s="97"/>
      <c r="AI545" s="97"/>
      <c r="AJ545" s="97"/>
      <c r="AK545" s="97"/>
      <c r="AL545" s="97"/>
      <c r="AM545" s="97"/>
      <c r="AN545" s="97"/>
      <c r="AO545" s="97" t="str">
        <f>IFERROR(__xludf.DUMMYFUNCTION("""COMPUTED_VALUE"""),"1 Año")</f>
        <v>1 Año</v>
      </c>
      <c r="AP545" s="97"/>
      <c r="AQ545" s="97"/>
      <c r="AR545" s="97"/>
      <c r="AS545" s="97"/>
      <c r="AT545" s="97"/>
      <c r="AU545" s="97"/>
      <c r="AV545" s="97" t="str">
        <f>IFERROR(__xludf.DUMMYFUNCTION("""COMPUTED_VALUE"""),"Colgante")</f>
        <v>Colgante</v>
      </c>
      <c r="AW545" s="97" t="str">
        <f>IFERROR(__xludf.DUMMYFUNCTION("""COMPUTED_VALUE"""),"De Techo")</f>
        <v>De Techo</v>
      </c>
      <c r="AX545" s="97" t="str">
        <f>IFERROR(__xludf.DUMMYFUNCTION("""COMPUTED_VALUE"""),"Interior")</f>
        <v>Interior</v>
      </c>
      <c r="AY545" s="97"/>
      <c r="AZ545" s="97"/>
      <c r="BA545" s="97"/>
      <c r="BB545" s="97"/>
      <c r="BC545" s="97"/>
      <c r="BD545" s="97" t="str">
        <f>IFERROR(__xludf.DUMMYFUNCTION("""COMPUTED_VALUE"""),"PEJ")</f>
        <v>PEJ</v>
      </c>
      <c r="BE545" s="97" t="str">
        <f>IFERROR(__xludf.DUMMYFUNCTION("""COMPUTED_VALUE"""),"Sin Ficha")</f>
        <v>Sin Ficha</v>
      </c>
      <c r="BF545" s="97"/>
      <c r="BG545" s="97" t="str">
        <f>IFERROR(__xludf.DUMMYFUNCTION("""COMPUTED_VALUE"""),"Discontinuo")</f>
        <v>Discontinuo</v>
      </c>
    </row>
    <row r="546">
      <c r="A546" s="97">
        <f>IFERROR(__xludf.DUMMYFUNCTION("""COMPUTED_VALUE"""),6151.0)</f>
        <v>6151</v>
      </c>
      <c r="B546" s="97" t="str">
        <f>IFERROR(__xludf.DUMMYFUNCTION("""COMPUTED_VALUE"""),"LALU")</f>
        <v>LALU</v>
      </c>
      <c r="C546" s="97" t="str">
        <f>IFERROR(__xludf.DUMMYFUNCTION("""COMPUTED_VALUE"""),"COLGANTE LALU LEUK")</f>
        <v>COLGANTE LALU LEUK</v>
      </c>
      <c r="D546" s="97">
        <f>IFERROR(__xludf.DUMMYFUNCTION("""COMPUTED_VALUE"""),7.798328757203E12)</f>
        <v>7798328757203</v>
      </c>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t="str">
        <f>IFERROR(__xludf.DUMMYFUNCTION("""COMPUTED_VALUE"""),"IP20")</f>
        <v>IP20</v>
      </c>
      <c r="AE546" s="97"/>
      <c r="AF546" s="97" t="str">
        <f>IFERROR(__xludf.DUMMYFUNCTION("""COMPUTED_VALUE"""),"Suspender")</f>
        <v>Suspender</v>
      </c>
      <c r="AG546" s="97"/>
      <c r="AH546" s="97"/>
      <c r="AI546" s="97"/>
      <c r="AJ546" s="97"/>
      <c r="AK546" s="97"/>
      <c r="AL546" s="97"/>
      <c r="AM546" s="97"/>
      <c r="AN546" s="97"/>
      <c r="AO546" s="97" t="str">
        <f>IFERROR(__xludf.DUMMYFUNCTION("""COMPUTED_VALUE"""),"1 Año")</f>
        <v>1 Año</v>
      </c>
      <c r="AP546" s="97"/>
      <c r="AQ546" s="97"/>
      <c r="AR546" s="97"/>
      <c r="AS546" s="97"/>
      <c r="AT546" s="97"/>
      <c r="AU546" s="97"/>
      <c r="AV546" s="97" t="str">
        <f>IFERROR(__xludf.DUMMYFUNCTION("""COMPUTED_VALUE"""),"Colgante")</f>
        <v>Colgante</v>
      </c>
      <c r="AW546" s="97" t="str">
        <f>IFERROR(__xludf.DUMMYFUNCTION("""COMPUTED_VALUE"""),"De Techo")</f>
        <v>De Techo</v>
      </c>
      <c r="AX546" s="97" t="str">
        <f>IFERROR(__xludf.DUMMYFUNCTION("""COMPUTED_VALUE"""),"Interior")</f>
        <v>Interior</v>
      </c>
      <c r="AY546" s="97"/>
      <c r="AZ546" s="97"/>
      <c r="BA546" s="97"/>
      <c r="BB546" s="97"/>
      <c r="BC546" s="97"/>
      <c r="BD546" s="97" t="str">
        <f>IFERROR(__xludf.DUMMYFUNCTION("""COMPUTED_VALUE"""),"LALU")</f>
        <v>LALU</v>
      </c>
      <c r="BE546" s="97" t="str">
        <f>IFERROR(__xludf.DUMMYFUNCTION("""COMPUTED_VALUE"""),"Sin Ficha")</f>
        <v>Sin Ficha</v>
      </c>
      <c r="BF546" s="97"/>
      <c r="BG546" s="97" t="str">
        <f>IFERROR(__xludf.DUMMYFUNCTION("""COMPUTED_VALUE"""),"Discontinuo")</f>
        <v>Discontinuo</v>
      </c>
    </row>
    <row r="547">
      <c r="A547" s="97">
        <f>IFERROR(__xludf.DUMMYFUNCTION("""COMPUTED_VALUE"""),6152.0)</f>
        <v>6152</v>
      </c>
      <c r="B547" s="97" t="str">
        <f>IFERROR(__xludf.DUMMYFUNCTION("""COMPUTED_VALUE"""),"MORF")</f>
        <v>MORF</v>
      </c>
      <c r="C547" s="97" t="str">
        <f>IFERROR(__xludf.DUMMYFUNCTION("""COMPUTED_VALUE"""),"COLGANTE MORF LEUK")</f>
        <v>COLGANTE MORF LEUK</v>
      </c>
      <c r="D547" s="97">
        <f>IFERROR(__xludf.DUMMYFUNCTION("""COMPUTED_VALUE"""),7.79832875721E12)</f>
        <v>7798328757210</v>
      </c>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t="str">
        <f>IFERROR(__xludf.DUMMYFUNCTION("""COMPUTED_VALUE"""),"IP20")</f>
        <v>IP20</v>
      </c>
      <c r="AE547" s="97"/>
      <c r="AF547" s="97" t="str">
        <f>IFERROR(__xludf.DUMMYFUNCTION("""COMPUTED_VALUE"""),"Suspender")</f>
        <v>Suspender</v>
      </c>
      <c r="AG547" s="97"/>
      <c r="AH547" s="97"/>
      <c r="AI547" s="97"/>
      <c r="AJ547" s="97"/>
      <c r="AK547" s="97"/>
      <c r="AL547" s="97"/>
      <c r="AM547" s="97"/>
      <c r="AN547" s="97"/>
      <c r="AO547" s="97" t="str">
        <f>IFERROR(__xludf.DUMMYFUNCTION("""COMPUTED_VALUE"""),"1 Año")</f>
        <v>1 Año</v>
      </c>
      <c r="AP547" s="97"/>
      <c r="AQ547" s="97"/>
      <c r="AR547" s="97"/>
      <c r="AS547" s="97"/>
      <c r="AT547" s="97"/>
      <c r="AU547" s="97"/>
      <c r="AV547" s="97" t="str">
        <f>IFERROR(__xludf.DUMMYFUNCTION("""COMPUTED_VALUE"""),"Colgante")</f>
        <v>Colgante</v>
      </c>
      <c r="AW547" s="97" t="str">
        <f>IFERROR(__xludf.DUMMYFUNCTION("""COMPUTED_VALUE"""),"De Techo")</f>
        <v>De Techo</v>
      </c>
      <c r="AX547" s="97" t="str">
        <f>IFERROR(__xludf.DUMMYFUNCTION("""COMPUTED_VALUE"""),"Interior")</f>
        <v>Interior</v>
      </c>
      <c r="AY547" s="97"/>
      <c r="AZ547" s="97"/>
      <c r="BA547" s="97">
        <f>IFERROR(__xludf.DUMMYFUNCTION("""COMPUTED_VALUE"""),1.0)</f>
        <v>1</v>
      </c>
      <c r="BB547" s="97"/>
      <c r="BC547" s="97"/>
      <c r="BD547" s="97" t="str">
        <f>IFERROR(__xludf.DUMMYFUNCTION("""COMPUTED_VALUE"""),"MORF")</f>
        <v>MORF</v>
      </c>
      <c r="BE547" s="97" t="str">
        <f>IFERROR(__xludf.DUMMYFUNCTION("""COMPUTED_VALUE"""),"Sin Ficha")</f>
        <v>Sin Ficha</v>
      </c>
      <c r="BF547" s="97"/>
      <c r="BG547" s="97" t="str">
        <f>IFERROR(__xludf.DUMMYFUNCTION("""COMPUTED_VALUE"""),"Discontinuo")</f>
        <v>Discontinuo</v>
      </c>
    </row>
    <row r="548">
      <c r="A548" s="97">
        <f>IFERROR(__xludf.DUMMYFUNCTION("""COMPUTED_VALUE"""),6153.0)</f>
        <v>6153</v>
      </c>
      <c r="B548" s="97" t="str">
        <f>IFERROR(__xludf.DUMMYFUNCTION("""COMPUTED_VALUE"""),"EDY")</f>
        <v>EDY</v>
      </c>
      <c r="C548" s="97" t="str">
        <f>IFERROR(__xludf.DUMMYFUNCTION("""COMPUTED_VALUE"""),"COLGANTE EDY LEUK")</f>
        <v>COLGANTE EDY LEUK</v>
      </c>
      <c r="D548" s="97">
        <f>IFERROR(__xludf.DUMMYFUNCTION("""COMPUTED_VALUE"""),7.798328757227E12)</f>
        <v>7798328757227</v>
      </c>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t="str">
        <f>IFERROR(__xludf.DUMMYFUNCTION("""COMPUTED_VALUE"""),"IP20")</f>
        <v>IP20</v>
      </c>
      <c r="AE548" s="97"/>
      <c r="AF548" s="97" t="str">
        <f>IFERROR(__xludf.DUMMYFUNCTION("""COMPUTED_VALUE"""),"Suspender")</f>
        <v>Suspender</v>
      </c>
      <c r="AG548" s="97"/>
      <c r="AH548" s="97"/>
      <c r="AI548" s="97"/>
      <c r="AJ548" s="97"/>
      <c r="AK548" s="97"/>
      <c r="AL548" s="97"/>
      <c r="AM548" s="97"/>
      <c r="AN548" s="97"/>
      <c r="AO548" s="97" t="str">
        <f>IFERROR(__xludf.DUMMYFUNCTION("""COMPUTED_VALUE"""),"1 Año")</f>
        <v>1 Año</v>
      </c>
      <c r="AP548" s="97"/>
      <c r="AQ548" s="97"/>
      <c r="AR548" s="97"/>
      <c r="AS548" s="97"/>
      <c r="AT548" s="97"/>
      <c r="AU548" s="97"/>
      <c r="AV548" s="97" t="str">
        <f>IFERROR(__xludf.DUMMYFUNCTION("""COMPUTED_VALUE"""),"Colgante")</f>
        <v>Colgante</v>
      </c>
      <c r="AW548" s="97" t="str">
        <f>IFERROR(__xludf.DUMMYFUNCTION("""COMPUTED_VALUE"""),"De Techo")</f>
        <v>De Techo</v>
      </c>
      <c r="AX548" s="97" t="str">
        <f>IFERROR(__xludf.DUMMYFUNCTION("""COMPUTED_VALUE"""),"Interior")</f>
        <v>Interior</v>
      </c>
      <c r="AY548" s="97"/>
      <c r="AZ548" s="97"/>
      <c r="BA548" s="97"/>
      <c r="BB548" s="97"/>
      <c r="BC548" s="97"/>
      <c r="BD548" s="97" t="str">
        <f>IFERROR(__xludf.DUMMYFUNCTION("""COMPUTED_VALUE"""),"EDY")</f>
        <v>EDY</v>
      </c>
      <c r="BE548" s="97" t="str">
        <f>IFERROR(__xludf.DUMMYFUNCTION("""COMPUTED_VALUE"""),"Sin Ficha")</f>
        <v>Sin Ficha</v>
      </c>
      <c r="BF548" s="97"/>
      <c r="BG548" s="97" t="str">
        <f>IFERROR(__xludf.DUMMYFUNCTION("""COMPUTED_VALUE"""),"Discontinuo")</f>
        <v>Discontinuo</v>
      </c>
    </row>
    <row r="549">
      <c r="A549" s="97">
        <f>IFERROR(__xludf.DUMMYFUNCTION("""COMPUTED_VALUE"""),6154.0)</f>
        <v>6154</v>
      </c>
      <c r="B549" s="97" t="str">
        <f>IFERROR(__xludf.DUMMYFUNCTION("""COMPUTED_VALUE"""),"MAG")</f>
        <v>MAG</v>
      </c>
      <c r="C549" s="97" t="str">
        <f>IFERROR(__xludf.DUMMYFUNCTION("""COMPUTED_VALUE"""),"APLIQUE MAG LEUK")</f>
        <v>APLIQUE MAG LEUK</v>
      </c>
      <c r="D549" s="97">
        <f>IFERROR(__xludf.DUMMYFUNCTION("""COMPUTED_VALUE"""),7.798328757234E12)</f>
        <v>7798328757234</v>
      </c>
      <c r="E549" s="97"/>
      <c r="F549" s="97" t="str">
        <f>IFERROR(__xludf.DUMMYFUNCTION("""COMPUTED_VALUE"""),"E27")</f>
        <v>E27</v>
      </c>
      <c r="G549" s="97" t="str">
        <f>IFERROR(__xludf.DUMMYFUNCTION("""COMPUTED_VALUE"""),"N/A")</f>
        <v>N/A</v>
      </c>
      <c r="H549" s="97"/>
      <c r="I549" s="97" t="str">
        <f>IFERROR(__xludf.DUMMYFUNCTION("""COMPUTED_VALUE"""),"N/A")</f>
        <v>N/A</v>
      </c>
      <c r="J549" s="97"/>
      <c r="K549" s="97" t="str">
        <f>IFERROR(__xludf.DUMMYFUNCTION("""COMPUTED_VALUE"""),"N/A")</f>
        <v>N/A</v>
      </c>
      <c r="L549" s="97">
        <f>IFERROR(__xludf.DUMMYFUNCTION("""COMPUTED_VALUE"""),220.0)</f>
        <v>220</v>
      </c>
      <c r="M549" s="97">
        <f>IFERROR(__xludf.DUMMYFUNCTION("""COMPUTED_VALUE"""),50.0)</f>
        <v>50</v>
      </c>
      <c r="N549" s="97"/>
      <c r="O549" s="97" t="str">
        <f>IFERROR(__xludf.DUMMYFUNCTION("""COMPUTED_VALUE"""),"-")</f>
        <v>-</v>
      </c>
      <c r="P549" s="97"/>
      <c r="Q549" s="97" t="str">
        <f>IFERROR(__xludf.DUMMYFUNCTION("""COMPUTED_VALUE"""),"-")</f>
        <v>-</v>
      </c>
      <c r="R549" s="97" t="str">
        <f>IFERROR(__xludf.DUMMYFUNCTION("""COMPUTED_VALUE"""),"-")</f>
        <v>-</v>
      </c>
      <c r="S549" s="97" t="str">
        <f>IFERROR(__xludf.DUMMYFUNCTION("""COMPUTED_VALUE"""),"-")</f>
        <v>-</v>
      </c>
      <c r="T549" s="97" t="str">
        <f>IFERROR(__xludf.DUMMYFUNCTION("""COMPUTED_VALUE"""),"-")</f>
        <v>-</v>
      </c>
      <c r="U549" s="97" t="str">
        <f>IFERROR(__xludf.DUMMYFUNCTION("""COMPUTED_VALUE"""),"-")</f>
        <v>-</v>
      </c>
      <c r="V549" s="97" t="str">
        <f>IFERROR(__xludf.DUMMYFUNCTION("""COMPUTED_VALUE"""),"N/A")</f>
        <v>N/A</v>
      </c>
      <c r="W549" s="97" t="str">
        <f>IFERROR(__xludf.DUMMYFUNCTION("""COMPUTED_VALUE"""),"N/A")</f>
        <v>N/A</v>
      </c>
      <c r="X549" s="97" t="str">
        <f>IFERROR(__xludf.DUMMYFUNCTION("""COMPUTED_VALUE"""),"-")</f>
        <v>-</v>
      </c>
      <c r="Y549" s="97" t="str">
        <f>IFERROR(__xludf.DUMMYFUNCTION("""COMPUTED_VALUE"""),"N/A")</f>
        <v>N/A</v>
      </c>
      <c r="Z549" s="97" t="str">
        <f>IFERROR(__xludf.DUMMYFUNCTION("""COMPUTED_VALUE"""),"N/A")</f>
        <v>N/A</v>
      </c>
      <c r="AA549" s="97" t="str">
        <f>IFERROR(__xludf.DUMMYFUNCTION("""COMPUTED_VALUE"""),"N/A")</f>
        <v>N/A</v>
      </c>
      <c r="AB549" s="97" t="str">
        <f>IFERROR(__xludf.DUMMYFUNCTION("""COMPUTED_VALUE"""),"N/A")</f>
        <v>N/A</v>
      </c>
      <c r="AC549" s="97" t="str">
        <f>IFERROR(__xludf.DUMMYFUNCTION("""COMPUTED_VALUE"""),"N/A")</f>
        <v>N/A</v>
      </c>
      <c r="AD549" s="97" t="str">
        <f>IFERROR(__xludf.DUMMYFUNCTION("""COMPUTED_VALUE"""),"IP20")</f>
        <v>IP20</v>
      </c>
      <c r="AE549" s="97" t="str">
        <f>IFERROR(__xludf.DUMMYFUNCTION("""COMPUTED_VALUE"""),"Clase l")</f>
        <v>Clase l</v>
      </c>
      <c r="AF549" s="97" t="str">
        <f>IFERROR(__xludf.DUMMYFUNCTION("""COMPUTED_VALUE"""),"Aplicar")</f>
        <v>Aplicar</v>
      </c>
      <c r="AG549" s="97" t="str">
        <f>IFERROR(__xludf.DUMMYFUNCTION("""COMPUTED_VALUE"""),"Ø140 x 110")</f>
        <v>Ø140 x 110</v>
      </c>
      <c r="AH549" s="97" t="str">
        <f>IFERROR(__xludf.DUMMYFUNCTION("""COMPUTED_VALUE"""),"N/A")</f>
        <v>N/A</v>
      </c>
      <c r="AI549" s="97" t="str">
        <f>IFERROR(__xludf.DUMMYFUNCTION("""COMPUTED_VALUE"""),"N/A")</f>
        <v>N/A</v>
      </c>
      <c r="AJ549" s="97" t="str">
        <f>IFERROR(__xludf.DUMMYFUNCTION("""COMPUTED_VALUE"""),"Vidrio")</f>
        <v>Vidrio</v>
      </c>
      <c r="AK549" s="97" t="str">
        <f>IFERROR(__xludf.DUMMYFUNCTION("""COMPUTED_VALUE"""),"Aluminio")</f>
        <v>Aluminio</v>
      </c>
      <c r="AL549" s="97" t="str">
        <f>IFERROR(__xludf.DUMMYFUNCTION("""COMPUTED_VALUE"""),"Dorado")</f>
        <v>Dorado</v>
      </c>
      <c r="AM549" s="97" t="str">
        <f>IFERROR(__xludf.DUMMYFUNCTION("""COMPUTED_VALUE"""),"-")</f>
        <v>-</v>
      </c>
      <c r="AN549" s="97" t="str">
        <f>IFERROR(__xludf.DUMMYFUNCTION("""COMPUTED_VALUE"""),"N/A")</f>
        <v>N/A</v>
      </c>
      <c r="AO549" s="97" t="str">
        <f>IFERROR(__xludf.DUMMYFUNCTION("""COMPUTED_VALUE"""),"1 Año")</f>
        <v>1 Año</v>
      </c>
      <c r="AP549" s="97" t="str">
        <f>IFERROR(__xludf.DUMMYFUNCTION("""COMPUTED_VALUE"""),"No Aplica")</f>
        <v>No Aplica</v>
      </c>
      <c r="AQ549" s="97" t="str">
        <f>IFERROR(__xludf.DUMMYFUNCTION("""COMPUTED_VALUE"""),"No Aplica")</f>
        <v>No Aplica</v>
      </c>
      <c r="AR549" s="97" t="str">
        <f>IFERROR(__xludf.DUMMYFUNCTION("""COMPUTED_VALUE"""),"No Aplica")</f>
        <v>No Aplica</v>
      </c>
      <c r="AS549" s="97"/>
      <c r="AT549" s="97"/>
      <c r="AU549" s="97"/>
      <c r="AV549" s="97" t="str">
        <f>IFERROR(__xludf.DUMMYFUNCTION("""COMPUTED_VALUE"""),"Aplique")</f>
        <v>Aplique</v>
      </c>
      <c r="AW549" s="97" t="str">
        <f>IFERROR(__xludf.DUMMYFUNCTION("""COMPUTED_VALUE"""),"De Pared")</f>
        <v>De Pared</v>
      </c>
      <c r="AX549" s="97" t="str">
        <f>IFERROR(__xludf.DUMMYFUNCTION("""COMPUTED_VALUE"""),"Interior")</f>
        <v>Interior</v>
      </c>
      <c r="AY549" s="97"/>
      <c r="AZ549" s="97"/>
      <c r="BA549" s="97">
        <f>IFERROR(__xludf.DUMMYFUNCTION("""COMPUTED_VALUE"""),1.0)</f>
        <v>1</v>
      </c>
      <c r="BB549" s="97"/>
      <c r="BC549" s="97"/>
      <c r="BD549" s="97" t="str">
        <f>IFERROR(__xludf.DUMMYFUNCTION("""COMPUTED_VALUE"""),"MAG Aplique")</f>
        <v>MAG Aplique</v>
      </c>
      <c r="BE549" s="97" t="str">
        <f>IFERROR(__xludf.DUMMYFUNCTION("""COMPUTED_VALUE"""),"Sin Ficha")</f>
        <v>Sin Ficha</v>
      </c>
      <c r="BF549" s="97"/>
      <c r="BG549" s="97" t="str">
        <f>IFERROR(__xludf.DUMMYFUNCTION("""COMPUTED_VALUE"""),"Discontinuo")</f>
        <v>Discontinuo</v>
      </c>
    </row>
    <row r="550">
      <c r="A550" s="97">
        <f>IFERROR(__xludf.DUMMYFUNCTION("""COMPUTED_VALUE"""),6155.0)</f>
        <v>6155</v>
      </c>
      <c r="B550" s="97" t="str">
        <f>IFERROR(__xludf.DUMMYFUNCTION("""COMPUTED_VALUE"""),"JEN")</f>
        <v>JEN</v>
      </c>
      <c r="C550" s="97" t="str">
        <f>IFERROR(__xludf.DUMMYFUNCTION("""COMPUTED_VALUE"""),"COLGANTE JEN LEUK")</f>
        <v>COLGANTE JEN LEUK</v>
      </c>
      <c r="D550" s="97">
        <f>IFERROR(__xludf.DUMMYFUNCTION("""COMPUTED_VALUE"""),7.798328757241E12)</f>
        <v>7798328757241</v>
      </c>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t="str">
        <f>IFERROR(__xludf.DUMMYFUNCTION("""COMPUTED_VALUE"""),"IP20")</f>
        <v>IP20</v>
      </c>
      <c r="AE550" s="97"/>
      <c r="AF550" s="97" t="str">
        <f>IFERROR(__xludf.DUMMYFUNCTION("""COMPUTED_VALUE"""),"Suspender")</f>
        <v>Suspender</v>
      </c>
      <c r="AG550" s="97"/>
      <c r="AH550" s="97"/>
      <c r="AI550" s="97"/>
      <c r="AJ550" s="97"/>
      <c r="AK550" s="97"/>
      <c r="AL550" s="97"/>
      <c r="AM550" s="97"/>
      <c r="AN550" s="97"/>
      <c r="AO550" s="97" t="str">
        <f>IFERROR(__xludf.DUMMYFUNCTION("""COMPUTED_VALUE"""),"1 Año")</f>
        <v>1 Año</v>
      </c>
      <c r="AP550" s="97"/>
      <c r="AQ550" s="97"/>
      <c r="AR550" s="97"/>
      <c r="AS550" s="97"/>
      <c r="AT550" s="97"/>
      <c r="AU550" s="97"/>
      <c r="AV550" s="97" t="str">
        <f>IFERROR(__xludf.DUMMYFUNCTION("""COMPUTED_VALUE"""),"Colgante")</f>
        <v>Colgante</v>
      </c>
      <c r="AW550" s="97" t="str">
        <f>IFERROR(__xludf.DUMMYFUNCTION("""COMPUTED_VALUE"""),"De Techo")</f>
        <v>De Techo</v>
      </c>
      <c r="AX550" s="97" t="str">
        <f>IFERROR(__xludf.DUMMYFUNCTION("""COMPUTED_VALUE"""),"Interior")</f>
        <v>Interior</v>
      </c>
      <c r="AY550" s="97"/>
      <c r="AZ550" s="97"/>
      <c r="BA550" s="97"/>
      <c r="BB550" s="97"/>
      <c r="BC550" s="97"/>
      <c r="BD550" s="97" t="str">
        <f>IFERROR(__xludf.DUMMYFUNCTION("""COMPUTED_VALUE"""),"JEN")</f>
        <v>JEN</v>
      </c>
      <c r="BE550" s="97" t="str">
        <f>IFERROR(__xludf.DUMMYFUNCTION("""COMPUTED_VALUE"""),"Sin Ficha")</f>
        <v>Sin Ficha</v>
      </c>
      <c r="BF550" s="97"/>
      <c r="BG550" s="97" t="str">
        <f>IFERROR(__xludf.DUMMYFUNCTION("""COMPUTED_VALUE"""),"Discontinuo")</f>
        <v>Discontinuo</v>
      </c>
    </row>
    <row r="551">
      <c r="A551" s="97">
        <f>IFERROR(__xludf.DUMMYFUNCTION("""COMPUTED_VALUE"""),6156.0)</f>
        <v>6156</v>
      </c>
      <c r="B551" s="97" t="str">
        <f>IFERROR(__xludf.DUMMYFUNCTION("""COMPUTED_VALUE"""),"NOE")</f>
        <v>NOE</v>
      </c>
      <c r="C551" s="97" t="str">
        <f>IFERROR(__xludf.DUMMYFUNCTION("""COMPUTED_VALUE"""),"COLGANTE NOE LEUK")</f>
        <v>COLGANTE NOE LEUK</v>
      </c>
      <c r="D551" s="97">
        <f>IFERROR(__xludf.DUMMYFUNCTION("""COMPUTED_VALUE"""),7.798328757258E12)</f>
        <v>7798328757258</v>
      </c>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t="str">
        <f>IFERROR(__xludf.DUMMYFUNCTION("""COMPUTED_VALUE"""),"IP20")</f>
        <v>IP20</v>
      </c>
      <c r="AE551" s="97"/>
      <c r="AF551" s="97" t="str">
        <f>IFERROR(__xludf.DUMMYFUNCTION("""COMPUTED_VALUE"""),"Suspender")</f>
        <v>Suspender</v>
      </c>
      <c r="AG551" s="97"/>
      <c r="AH551" s="97"/>
      <c r="AI551" s="97"/>
      <c r="AJ551" s="97"/>
      <c r="AK551" s="97"/>
      <c r="AL551" s="97"/>
      <c r="AM551" s="97"/>
      <c r="AN551" s="97"/>
      <c r="AO551" s="97" t="str">
        <f>IFERROR(__xludf.DUMMYFUNCTION("""COMPUTED_VALUE"""),"1 Año")</f>
        <v>1 Año</v>
      </c>
      <c r="AP551" s="97"/>
      <c r="AQ551" s="97"/>
      <c r="AR551" s="97"/>
      <c r="AS551" s="97"/>
      <c r="AT551" s="97"/>
      <c r="AU551" s="97"/>
      <c r="AV551" s="97" t="str">
        <f>IFERROR(__xludf.DUMMYFUNCTION("""COMPUTED_VALUE"""),"Colgante")</f>
        <v>Colgante</v>
      </c>
      <c r="AW551" s="97" t="str">
        <f>IFERROR(__xludf.DUMMYFUNCTION("""COMPUTED_VALUE"""),"De Techo")</f>
        <v>De Techo</v>
      </c>
      <c r="AX551" s="97" t="str">
        <f>IFERROR(__xludf.DUMMYFUNCTION("""COMPUTED_VALUE"""),"Interior")</f>
        <v>Interior</v>
      </c>
      <c r="AY551" s="97"/>
      <c r="AZ551" s="97"/>
      <c r="BA551" s="97"/>
      <c r="BB551" s="97"/>
      <c r="BC551" s="97"/>
      <c r="BD551" s="97" t="str">
        <f>IFERROR(__xludf.DUMMYFUNCTION("""COMPUTED_VALUE"""),"NOE")</f>
        <v>NOE</v>
      </c>
      <c r="BE551" s="97" t="str">
        <f>IFERROR(__xludf.DUMMYFUNCTION("""COMPUTED_VALUE"""),"Sin Ficha")</f>
        <v>Sin Ficha</v>
      </c>
      <c r="BF551" s="97"/>
      <c r="BG551" s="97" t="str">
        <f>IFERROR(__xludf.DUMMYFUNCTION("""COMPUTED_VALUE"""),"Discontinuo")</f>
        <v>Discontinuo</v>
      </c>
    </row>
    <row r="552">
      <c r="A552" s="97">
        <f>IFERROR(__xludf.DUMMYFUNCTION("""COMPUTED_VALUE"""),6157.0)</f>
        <v>6157</v>
      </c>
      <c r="B552" s="97" t="str">
        <f>IFERROR(__xludf.DUMMYFUNCTION("""COMPUTED_VALUE"""),"ALTER")</f>
        <v>ALTER</v>
      </c>
      <c r="C552" s="97" t="str">
        <f>IFERROR(__xludf.DUMMYFUNCTION("""COMPUTED_VALUE"""),"COLGANTE ALTER LEUK")</f>
        <v>COLGANTE ALTER LEUK</v>
      </c>
      <c r="D552" s="97">
        <f>IFERROR(__xludf.DUMMYFUNCTION("""COMPUTED_VALUE"""),7.798328757265E12)</f>
        <v>7798328757265</v>
      </c>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t="str">
        <f>IFERROR(__xludf.DUMMYFUNCTION("""COMPUTED_VALUE"""),"IP20")</f>
        <v>IP20</v>
      </c>
      <c r="AE552" s="97"/>
      <c r="AF552" s="97" t="str">
        <f>IFERROR(__xludf.DUMMYFUNCTION("""COMPUTED_VALUE"""),"Suspender")</f>
        <v>Suspender</v>
      </c>
      <c r="AG552" s="97"/>
      <c r="AH552" s="97"/>
      <c r="AI552" s="97"/>
      <c r="AJ552" s="97"/>
      <c r="AK552" s="97"/>
      <c r="AL552" s="97"/>
      <c r="AM552" s="97"/>
      <c r="AN552" s="97"/>
      <c r="AO552" s="97" t="str">
        <f>IFERROR(__xludf.DUMMYFUNCTION("""COMPUTED_VALUE"""),"1 Año")</f>
        <v>1 Año</v>
      </c>
      <c r="AP552" s="97"/>
      <c r="AQ552" s="97"/>
      <c r="AR552" s="97"/>
      <c r="AS552" s="97"/>
      <c r="AT552" s="97"/>
      <c r="AU552" s="97"/>
      <c r="AV552" s="97" t="str">
        <f>IFERROR(__xludf.DUMMYFUNCTION("""COMPUTED_VALUE"""),"Colgante")</f>
        <v>Colgante</v>
      </c>
      <c r="AW552" s="97" t="str">
        <f>IFERROR(__xludf.DUMMYFUNCTION("""COMPUTED_VALUE"""),"De Techo")</f>
        <v>De Techo</v>
      </c>
      <c r="AX552" s="97" t="str">
        <f>IFERROR(__xludf.DUMMYFUNCTION("""COMPUTED_VALUE"""),"Interior")</f>
        <v>Interior</v>
      </c>
      <c r="AY552" s="97"/>
      <c r="AZ552" s="97"/>
      <c r="BA552" s="97"/>
      <c r="BB552" s="97"/>
      <c r="BC552" s="97"/>
      <c r="BD552" s="97" t="str">
        <f>IFERROR(__xludf.DUMMYFUNCTION("""COMPUTED_VALUE"""),"ALTER")</f>
        <v>ALTER</v>
      </c>
      <c r="BE552" s="97" t="str">
        <f>IFERROR(__xludf.DUMMYFUNCTION("""COMPUTED_VALUE"""),"Sin Ficha")</f>
        <v>Sin Ficha</v>
      </c>
      <c r="BF552" s="97"/>
      <c r="BG552" s="97" t="str">
        <f>IFERROR(__xludf.DUMMYFUNCTION("""COMPUTED_VALUE"""),"Discontinuo")</f>
        <v>Discontinuo</v>
      </c>
    </row>
    <row r="553">
      <c r="A553" s="97">
        <f>IFERROR(__xludf.DUMMYFUNCTION("""COMPUTED_VALUE"""),6158.0)</f>
        <v>6158</v>
      </c>
      <c r="B553" s="97" t="str">
        <f>IFERROR(__xludf.DUMMYFUNCTION("""COMPUTED_VALUE"""),"LUCA")</f>
        <v>LUCA</v>
      </c>
      <c r="C553" s="97" t="str">
        <f>IFERROR(__xludf.DUMMYFUNCTION("""COMPUTED_VALUE"""),"COLGANTE LUCA LEUK")</f>
        <v>COLGANTE LUCA LEUK</v>
      </c>
      <c r="D553" s="97">
        <f>IFERROR(__xludf.DUMMYFUNCTION("""COMPUTED_VALUE"""),7.798328757272E12)</f>
        <v>7798328757272</v>
      </c>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t="str">
        <f>IFERROR(__xludf.DUMMYFUNCTION("""COMPUTED_VALUE"""),"IP20")</f>
        <v>IP20</v>
      </c>
      <c r="AE553" s="97"/>
      <c r="AF553" s="97" t="str">
        <f>IFERROR(__xludf.DUMMYFUNCTION("""COMPUTED_VALUE"""),"Suspender")</f>
        <v>Suspender</v>
      </c>
      <c r="AG553" s="97"/>
      <c r="AH553" s="97"/>
      <c r="AI553" s="97"/>
      <c r="AJ553" s="97"/>
      <c r="AK553" s="97"/>
      <c r="AL553" s="97"/>
      <c r="AM553" s="97"/>
      <c r="AN553" s="97"/>
      <c r="AO553" s="97" t="str">
        <f>IFERROR(__xludf.DUMMYFUNCTION("""COMPUTED_VALUE"""),"1 Año")</f>
        <v>1 Año</v>
      </c>
      <c r="AP553" s="97"/>
      <c r="AQ553" s="97"/>
      <c r="AR553" s="97"/>
      <c r="AS553" s="97"/>
      <c r="AT553" s="97"/>
      <c r="AU553" s="97"/>
      <c r="AV553" s="97" t="str">
        <f>IFERROR(__xludf.DUMMYFUNCTION("""COMPUTED_VALUE"""),"Colgante")</f>
        <v>Colgante</v>
      </c>
      <c r="AW553" s="97" t="str">
        <f>IFERROR(__xludf.DUMMYFUNCTION("""COMPUTED_VALUE"""),"De Techo")</f>
        <v>De Techo</v>
      </c>
      <c r="AX553" s="97" t="str">
        <f>IFERROR(__xludf.DUMMYFUNCTION("""COMPUTED_VALUE"""),"Interior")</f>
        <v>Interior</v>
      </c>
      <c r="AY553" s="97"/>
      <c r="AZ553" s="97"/>
      <c r="BA553" s="97"/>
      <c r="BB553" s="97"/>
      <c r="BC553" s="97"/>
      <c r="BD553" s="97" t="str">
        <f>IFERROR(__xludf.DUMMYFUNCTION("""COMPUTED_VALUE"""),"LUCA")</f>
        <v>LUCA</v>
      </c>
      <c r="BE553" s="97" t="str">
        <f>IFERROR(__xludf.DUMMYFUNCTION("""COMPUTED_VALUE"""),"Sin Ficha")</f>
        <v>Sin Ficha</v>
      </c>
      <c r="BF553" s="97"/>
      <c r="BG553" s="97" t="str">
        <f>IFERROR(__xludf.DUMMYFUNCTION("""COMPUTED_VALUE"""),"Discontinuo")</f>
        <v>Discontinuo</v>
      </c>
    </row>
    <row r="554">
      <c r="A554" s="97">
        <f>IFERROR(__xludf.DUMMYFUNCTION("""COMPUTED_VALUE"""),6159.0)</f>
        <v>6159</v>
      </c>
      <c r="B554" s="97" t="str">
        <f>IFERROR(__xludf.DUMMYFUNCTION("""COMPUTED_VALUE"""),"MIA")</f>
        <v>MIA</v>
      </c>
      <c r="C554" s="97" t="str">
        <f>IFERROR(__xludf.DUMMYFUNCTION("""COMPUTED_VALUE"""),"COLGANTE MIA LEUK")</f>
        <v>COLGANTE MIA LEUK</v>
      </c>
      <c r="D554" s="97">
        <f>IFERROR(__xludf.DUMMYFUNCTION("""COMPUTED_VALUE"""),7.798328757289E12)</f>
        <v>7798328757289</v>
      </c>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t="str">
        <f>IFERROR(__xludf.DUMMYFUNCTION("""COMPUTED_VALUE"""),"IP20")</f>
        <v>IP20</v>
      </c>
      <c r="AE554" s="97"/>
      <c r="AF554" s="97" t="str">
        <f>IFERROR(__xludf.DUMMYFUNCTION("""COMPUTED_VALUE"""),"Suspender")</f>
        <v>Suspender</v>
      </c>
      <c r="AG554" s="97"/>
      <c r="AH554" s="97"/>
      <c r="AI554" s="97"/>
      <c r="AJ554" s="97"/>
      <c r="AK554" s="97"/>
      <c r="AL554" s="97"/>
      <c r="AM554" s="97"/>
      <c r="AN554" s="97"/>
      <c r="AO554" s="97" t="str">
        <f>IFERROR(__xludf.DUMMYFUNCTION("""COMPUTED_VALUE"""),"1 Año")</f>
        <v>1 Año</v>
      </c>
      <c r="AP554" s="97"/>
      <c r="AQ554" s="97"/>
      <c r="AR554" s="97"/>
      <c r="AS554" s="97"/>
      <c r="AT554" s="97"/>
      <c r="AU554" s="97"/>
      <c r="AV554" s="97" t="str">
        <f>IFERROR(__xludf.DUMMYFUNCTION("""COMPUTED_VALUE"""),"Colgante")</f>
        <v>Colgante</v>
      </c>
      <c r="AW554" s="97" t="str">
        <f>IFERROR(__xludf.DUMMYFUNCTION("""COMPUTED_VALUE"""),"De Techo")</f>
        <v>De Techo</v>
      </c>
      <c r="AX554" s="97" t="str">
        <f>IFERROR(__xludf.DUMMYFUNCTION("""COMPUTED_VALUE"""),"Interior")</f>
        <v>Interior</v>
      </c>
      <c r="AY554" s="97"/>
      <c r="AZ554" s="97"/>
      <c r="BA554" s="97"/>
      <c r="BB554" s="97"/>
      <c r="BC554" s="97"/>
      <c r="BD554" s="97" t="str">
        <f>IFERROR(__xludf.DUMMYFUNCTION("""COMPUTED_VALUE"""),"MIA")</f>
        <v>MIA</v>
      </c>
      <c r="BE554" s="97" t="str">
        <f>IFERROR(__xludf.DUMMYFUNCTION("""COMPUTED_VALUE"""),"Sin Ficha")</f>
        <v>Sin Ficha</v>
      </c>
      <c r="BF554" s="97"/>
      <c r="BG554" s="97" t="str">
        <f>IFERROR(__xludf.DUMMYFUNCTION("""COMPUTED_VALUE"""),"Discontinuo")</f>
        <v>Discontinuo</v>
      </c>
    </row>
    <row r="555">
      <c r="A555" s="97">
        <f>IFERROR(__xludf.DUMMYFUNCTION("""COMPUTED_VALUE"""),6160.0)</f>
        <v>6160</v>
      </c>
      <c r="B555" s="97" t="str">
        <f>IFERROR(__xludf.DUMMYFUNCTION("""COMPUTED_VALUE"""),"AILIN")</f>
        <v>AILIN</v>
      </c>
      <c r="C555" s="97" t="str">
        <f>IFERROR(__xludf.DUMMYFUNCTION("""COMPUTED_VALUE"""),"COLGANTE AILIN LEUK")</f>
        <v>COLGANTE AILIN LEUK</v>
      </c>
      <c r="D555" s="97">
        <f>IFERROR(__xludf.DUMMYFUNCTION("""COMPUTED_VALUE"""),7.798328757296E12)</f>
        <v>7798328757296</v>
      </c>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t="str">
        <f>IFERROR(__xludf.DUMMYFUNCTION("""COMPUTED_VALUE"""),"IP20")</f>
        <v>IP20</v>
      </c>
      <c r="AE555" s="97"/>
      <c r="AF555" s="97" t="str">
        <f>IFERROR(__xludf.DUMMYFUNCTION("""COMPUTED_VALUE"""),"Suspender")</f>
        <v>Suspender</v>
      </c>
      <c r="AG555" s="97"/>
      <c r="AH555" s="97"/>
      <c r="AI555" s="97"/>
      <c r="AJ555" s="97"/>
      <c r="AK555" s="97"/>
      <c r="AL555" s="97"/>
      <c r="AM555" s="97"/>
      <c r="AN555" s="97"/>
      <c r="AO555" s="97" t="str">
        <f>IFERROR(__xludf.DUMMYFUNCTION("""COMPUTED_VALUE"""),"1 Año")</f>
        <v>1 Año</v>
      </c>
      <c r="AP555" s="97"/>
      <c r="AQ555" s="97"/>
      <c r="AR555" s="97"/>
      <c r="AS555" s="97"/>
      <c r="AT555" s="97"/>
      <c r="AU555" s="97"/>
      <c r="AV555" s="97" t="str">
        <f>IFERROR(__xludf.DUMMYFUNCTION("""COMPUTED_VALUE"""),"Colgante")</f>
        <v>Colgante</v>
      </c>
      <c r="AW555" s="97" t="str">
        <f>IFERROR(__xludf.DUMMYFUNCTION("""COMPUTED_VALUE"""),"De Techo")</f>
        <v>De Techo</v>
      </c>
      <c r="AX555" s="97" t="str">
        <f>IFERROR(__xludf.DUMMYFUNCTION("""COMPUTED_VALUE"""),"Interior")</f>
        <v>Interior</v>
      </c>
      <c r="AY555" s="97"/>
      <c r="AZ555" s="97"/>
      <c r="BA555" s="97"/>
      <c r="BB555" s="97"/>
      <c r="BC555" s="97"/>
      <c r="BD555" s="97" t="str">
        <f>IFERROR(__xludf.DUMMYFUNCTION("""COMPUTED_VALUE"""),"AILIN")</f>
        <v>AILIN</v>
      </c>
      <c r="BE555" s="97" t="str">
        <f>IFERROR(__xludf.DUMMYFUNCTION("""COMPUTED_VALUE"""),"Sin Ficha")</f>
        <v>Sin Ficha</v>
      </c>
      <c r="BF555" s="97"/>
      <c r="BG555" s="97" t="str">
        <f>IFERROR(__xludf.DUMMYFUNCTION("""COMPUTED_VALUE"""),"Discontinuo")</f>
        <v>Discontinuo</v>
      </c>
    </row>
    <row r="556">
      <c r="A556" s="97">
        <f>IFERROR(__xludf.DUMMYFUNCTION("""COMPUTED_VALUE"""),6161.0)</f>
        <v>6161</v>
      </c>
      <c r="B556" s="97" t="str">
        <f>IFERROR(__xludf.DUMMYFUNCTION("""COMPUTED_VALUE"""),"ADARA")</f>
        <v>ADARA</v>
      </c>
      <c r="C556" s="97" t="str">
        <f>IFERROR(__xludf.DUMMYFUNCTION("""COMPUTED_VALUE"""),"COLGANTE ADARA LEUK")</f>
        <v>COLGANTE ADARA LEUK</v>
      </c>
      <c r="D556" s="97">
        <f>IFERROR(__xludf.DUMMYFUNCTION("""COMPUTED_VALUE"""),7.798328757302E12)</f>
        <v>7798328757302</v>
      </c>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t="str">
        <f>IFERROR(__xludf.DUMMYFUNCTION("""COMPUTED_VALUE"""),"IP20")</f>
        <v>IP20</v>
      </c>
      <c r="AE556" s="97"/>
      <c r="AF556" s="97" t="str">
        <f>IFERROR(__xludf.DUMMYFUNCTION("""COMPUTED_VALUE"""),"Suspender")</f>
        <v>Suspender</v>
      </c>
      <c r="AG556" s="97"/>
      <c r="AH556" s="97"/>
      <c r="AI556" s="97"/>
      <c r="AJ556" s="97"/>
      <c r="AK556" s="97"/>
      <c r="AL556" s="97"/>
      <c r="AM556" s="97"/>
      <c r="AN556" s="97"/>
      <c r="AO556" s="97" t="str">
        <f>IFERROR(__xludf.DUMMYFUNCTION("""COMPUTED_VALUE"""),"1 Año")</f>
        <v>1 Año</v>
      </c>
      <c r="AP556" s="97"/>
      <c r="AQ556" s="97"/>
      <c r="AR556" s="97"/>
      <c r="AS556" s="97"/>
      <c r="AT556" s="97"/>
      <c r="AU556" s="97"/>
      <c r="AV556" s="97" t="str">
        <f>IFERROR(__xludf.DUMMYFUNCTION("""COMPUTED_VALUE"""),"Colgante")</f>
        <v>Colgante</v>
      </c>
      <c r="AW556" s="97" t="str">
        <f>IFERROR(__xludf.DUMMYFUNCTION("""COMPUTED_VALUE"""),"De Techo")</f>
        <v>De Techo</v>
      </c>
      <c r="AX556" s="97" t="str">
        <f>IFERROR(__xludf.DUMMYFUNCTION("""COMPUTED_VALUE"""),"Interior")</f>
        <v>Interior</v>
      </c>
      <c r="AY556" s="97"/>
      <c r="AZ556" s="97"/>
      <c r="BA556" s="97"/>
      <c r="BB556" s="97"/>
      <c r="BC556" s="97"/>
      <c r="BD556" s="97" t="str">
        <f>IFERROR(__xludf.DUMMYFUNCTION("""COMPUTED_VALUE"""),"ADARA")</f>
        <v>ADARA</v>
      </c>
      <c r="BE556" s="97" t="str">
        <f>IFERROR(__xludf.DUMMYFUNCTION("""COMPUTED_VALUE"""),"Sin Ficha")</f>
        <v>Sin Ficha</v>
      </c>
      <c r="BF556" s="97"/>
      <c r="BG556" s="97" t="str">
        <f>IFERROR(__xludf.DUMMYFUNCTION("""COMPUTED_VALUE"""),"Discontinuo")</f>
        <v>Discontinuo</v>
      </c>
    </row>
    <row r="557">
      <c r="A557" s="97">
        <f>IFERROR(__xludf.DUMMYFUNCTION("""COMPUTED_VALUE"""),6162.0)</f>
        <v>6162</v>
      </c>
      <c r="B557" s="97" t="str">
        <f>IFERROR(__xludf.DUMMYFUNCTION("""COMPUTED_VALUE"""),"GYNNA")</f>
        <v>GYNNA</v>
      </c>
      <c r="C557" s="97" t="str">
        <f>IFERROR(__xludf.DUMMYFUNCTION("""COMPUTED_VALUE"""),"COLGANTE GYNNA LEUK")</f>
        <v>COLGANTE GYNNA LEUK</v>
      </c>
      <c r="D557" s="97">
        <f>IFERROR(__xludf.DUMMYFUNCTION("""COMPUTED_VALUE"""),7.798328757319E12)</f>
        <v>7798328757319</v>
      </c>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t="str">
        <f>IFERROR(__xludf.DUMMYFUNCTION("""COMPUTED_VALUE"""),"IP20")</f>
        <v>IP20</v>
      </c>
      <c r="AE557" s="97"/>
      <c r="AF557" s="97" t="str">
        <f>IFERROR(__xludf.DUMMYFUNCTION("""COMPUTED_VALUE"""),"Suspender")</f>
        <v>Suspender</v>
      </c>
      <c r="AG557" s="97"/>
      <c r="AH557" s="97"/>
      <c r="AI557" s="97"/>
      <c r="AJ557" s="97"/>
      <c r="AK557" s="97"/>
      <c r="AL557" s="97"/>
      <c r="AM557" s="97"/>
      <c r="AN557" s="97"/>
      <c r="AO557" s="97" t="str">
        <f>IFERROR(__xludf.DUMMYFUNCTION("""COMPUTED_VALUE"""),"1 Año")</f>
        <v>1 Año</v>
      </c>
      <c r="AP557" s="97"/>
      <c r="AQ557" s="97"/>
      <c r="AR557" s="97"/>
      <c r="AS557" s="97"/>
      <c r="AT557" s="97"/>
      <c r="AU557" s="97"/>
      <c r="AV557" s="97" t="str">
        <f>IFERROR(__xludf.DUMMYFUNCTION("""COMPUTED_VALUE"""),"Colgante")</f>
        <v>Colgante</v>
      </c>
      <c r="AW557" s="97" t="str">
        <f>IFERROR(__xludf.DUMMYFUNCTION("""COMPUTED_VALUE"""),"De Techo")</f>
        <v>De Techo</v>
      </c>
      <c r="AX557" s="97" t="str">
        <f>IFERROR(__xludf.DUMMYFUNCTION("""COMPUTED_VALUE"""),"Interior")</f>
        <v>Interior</v>
      </c>
      <c r="AY557" s="97"/>
      <c r="AZ557" s="97"/>
      <c r="BA557" s="97"/>
      <c r="BB557" s="97"/>
      <c r="BC557" s="97"/>
      <c r="BD557" s="97" t="str">
        <f>IFERROR(__xludf.DUMMYFUNCTION("""COMPUTED_VALUE"""),"GYNNA")</f>
        <v>GYNNA</v>
      </c>
      <c r="BE557" s="97" t="str">
        <f>IFERROR(__xludf.DUMMYFUNCTION("""COMPUTED_VALUE"""),"Sin Ficha")</f>
        <v>Sin Ficha</v>
      </c>
      <c r="BF557" s="97"/>
      <c r="BG557" s="97" t="str">
        <f>IFERROR(__xludf.DUMMYFUNCTION("""COMPUTED_VALUE"""),"Discontinuo")</f>
        <v>Discontinuo</v>
      </c>
    </row>
    <row r="558">
      <c r="A558" s="97">
        <f>IFERROR(__xludf.DUMMYFUNCTION("""COMPUTED_VALUE"""),6163.0)</f>
        <v>6163</v>
      </c>
      <c r="B558" s="97" t="str">
        <f>IFERROR(__xludf.DUMMYFUNCTION("""COMPUTED_VALUE"""),"PALATI")</f>
        <v>PALATI</v>
      </c>
      <c r="C558" s="97" t="str">
        <f>IFERROR(__xludf.DUMMYFUNCTION("""COMPUTED_VALUE"""),"COLGANTE PALATI LEUK")</f>
        <v>COLGANTE PALATI LEUK</v>
      </c>
      <c r="D558" s="97">
        <f>IFERROR(__xludf.DUMMYFUNCTION("""COMPUTED_VALUE"""),7.798328757326E12)</f>
        <v>7798328757326</v>
      </c>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t="str">
        <f>IFERROR(__xludf.DUMMYFUNCTION("""COMPUTED_VALUE"""),"IP20")</f>
        <v>IP20</v>
      </c>
      <c r="AE558" s="97"/>
      <c r="AF558" s="97" t="str">
        <f>IFERROR(__xludf.DUMMYFUNCTION("""COMPUTED_VALUE"""),"Suspender")</f>
        <v>Suspender</v>
      </c>
      <c r="AG558" s="97"/>
      <c r="AH558" s="97"/>
      <c r="AI558" s="97"/>
      <c r="AJ558" s="97"/>
      <c r="AK558" s="97"/>
      <c r="AL558" s="97"/>
      <c r="AM558" s="97"/>
      <c r="AN558" s="97"/>
      <c r="AO558" s="97" t="str">
        <f>IFERROR(__xludf.DUMMYFUNCTION("""COMPUTED_VALUE"""),"1 Año")</f>
        <v>1 Año</v>
      </c>
      <c r="AP558" s="97"/>
      <c r="AQ558" s="97"/>
      <c r="AR558" s="97"/>
      <c r="AS558" s="97"/>
      <c r="AT558" s="97"/>
      <c r="AU558" s="97"/>
      <c r="AV558" s="97" t="str">
        <f>IFERROR(__xludf.DUMMYFUNCTION("""COMPUTED_VALUE"""),"Colgante")</f>
        <v>Colgante</v>
      </c>
      <c r="AW558" s="97" t="str">
        <f>IFERROR(__xludf.DUMMYFUNCTION("""COMPUTED_VALUE"""),"De Techo")</f>
        <v>De Techo</v>
      </c>
      <c r="AX558" s="97" t="str">
        <f>IFERROR(__xludf.DUMMYFUNCTION("""COMPUTED_VALUE"""),"Interior")</f>
        <v>Interior</v>
      </c>
      <c r="AY558" s="97"/>
      <c r="AZ558" s="97"/>
      <c r="BA558" s="97"/>
      <c r="BB558" s="97"/>
      <c r="BC558" s="97"/>
      <c r="BD558" s="97" t="str">
        <f>IFERROR(__xludf.DUMMYFUNCTION("""COMPUTED_VALUE"""),"PALATI")</f>
        <v>PALATI</v>
      </c>
      <c r="BE558" s="97" t="str">
        <f>IFERROR(__xludf.DUMMYFUNCTION("""COMPUTED_VALUE"""),"Sin Ficha")</f>
        <v>Sin Ficha</v>
      </c>
      <c r="BF558" s="97"/>
      <c r="BG558" s="97" t="str">
        <f>IFERROR(__xludf.DUMMYFUNCTION("""COMPUTED_VALUE"""),"Discontinuo")</f>
        <v>Discontinuo</v>
      </c>
    </row>
    <row r="559">
      <c r="A559" s="97">
        <f>IFERROR(__xludf.DUMMYFUNCTION("""COMPUTED_VALUE"""),6164.0)</f>
        <v>6164</v>
      </c>
      <c r="B559" s="97" t="str">
        <f>IFERROR(__xludf.DUMMYFUNCTION("""COMPUTED_VALUE"""),"GERAR GR")</f>
        <v>GERAR GR</v>
      </c>
      <c r="C559" s="97" t="str">
        <f>IFERROR(__xludf.DUMMYFUNCTION("""COMPUTED_VALUE"""),"COLGANTE GERAR GRIS LEUK")</f>
        <v>COLGANTE GERAR GRIS LEUK</v>
      </c>
      <c r="D559" s="97">
        <f>IFERROR(__xludf.DUMMYFUNCTION("""COMPUTED_VALUE"""),7.798328757333E12)</f>
        <v>7798328757333</v>
      </c>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t="str">
        <f>IFERROR(__xludf.DUMMYFUNCTION("""COMPUTED_VALUE"""),"IP20")</f>
        <v>IP20</v>
      </c>
      <c r="AE559" s="97"/>
      <c r="AF559" s="97" t="str">
        <f>IFERROR(__xludf.DUMMYFUNCTION("""COMPUTED_VALUE"""),"Suspender")</f>
        <v>Suspender</v>
      </c>
      <c r="AG559" s="97"/>
      <c r="AH559" s="97"/>
      <c r="AI559" s="97"/>
      <c r="AJ559" s="97"/>
      <c r="AK559" s="97"/>
      <c r="AL559" s="97"/>
      <c r="AM559" s="97"/>
      <c r="AN559" s="97"/>
      <c r="AO559" s="97" t="str">
        <f>IFERROR(__xludf.DUMMYFUNCTION("""COMPUTED_VALUE"""),"1 Año")</f>
        <v>1 Año</v>
      </c>
      <c r="AP559" s="97"/>
      <c r="AQ559" s="97"/>
      <c r="AR559" s="97"/>
      <c r="AS559" s="97"/>
      <c r="AT559" s="97"/>
      <c r="AU559" s="97"/>
      <c r="AV559" s="97" t="str">
        <f>IFERROR(__xludf.DUMMYFUNCTION("""COMPUTED_VALUE"""),"Colgante")</f>
        <v>Colgante</v>
      </c>
      <c r="AW559" s="97" t="str">
        <f>IFERROR(__xludf.DUMMYFUNCTION("""COMPUTED_VALUE"""),"De Techo")</f>
        <v>De Techo</v>
      </c>
      <c r="AX559" s="97" t="str">
        <f>IFERROR(__xludf.DUMMYFUNCTION("""COMPUTED_VALUE"""),"Interior")</f>
        <v>Interior</v>
      </c>
      <c r="AY559" s="97"/>
      <c r="AZ559" s="97"/>
      <c r="BA559" s="97"/>
      <c r="BB559" s="97"/>
      <c r="BC559" s="97"/>
      <c r="BD559" s="97" t="str">
        <f>IFERROR(__xludf.DUMMYFUNCTION("""COMPUTED_VALUE"""),"GERAR")</f>
        <v>GERAR</v>
      </c>
      <c r="BE559" s="97" t="str">
        <f>IFERROR(__xludf.DUMMYFUNCTION("""COMPUTED_VALUE"""),"Sin Ficha")</f>
        <v>Sin Ficha</v>
      </c>
      <c r="BF559" s="97"/>
      <c r="BG559" s="97" t="str">
        <f>IFERROR(__xludf.DUMMYFUNCTION("""COMPUTED_VALUE"""),"Discontinuo")</f>
        <v>Discontinuo</v>
      </c>
    </row>
    <row r="560">
      <c r="A560" s="97">
        <f>IFERROR(__xludf.DUMMYFUNCTION("""COMPUTED_VALUE"""),6165.0)</f>
        <v>6165</v>
      </c>
      <c r="B560" s="97" t="str">
        <f>IFERROR(__xludf.DUMMYFUNCTION("""COMPUTED_VALUE"""),"SOPHIE")</f>
        <v>SOPHIE</v>
      </c>
      <c r="C560" s="97" t="str">
        <f>IFERROR(__xludf.DUMMYFUNCTION("""COMPUTED_VALUE"""),"COLGANTE SOPHIE LEUK")</f>
        <v>COLGANTE SOPHIE LEUK</v>
      </c>
      <c r="D560" s="97">
        <f>IFERROR(__xludf.DUMMYFUNCTION("""COMPUTED_VALUE"""),7.79832875734E12)</f>
        <v>7798328757340</v>
      </c>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t="str">
        <f>IFERROR(__xludf.DUMMYFUNCTION("""COMPUTED_VALUE"""),"IP20")</f>
        <v>IP20</v>
      </c>
      <c r="AE560" s="97"/>
      <c r="AF560" s="97" t="str">
        <f>IFERROR(__xludf.DUMMYFUNCTION("""COMPUTED_VALUE"""),"Suspender")</f>
        <v>Suspender</v>
      </c>
      <c r="AG560" s="97"/>
      <c r="AH560" s="97"/>
      <c r="AI560" s="97"/>
      <c r="AJ560" s="97"/>
      <c r="AK560" s="97"/>
      <c r="AL560" s="97"/>
      <c r="AM560" s="97"/>
      <c r="AN560" s="97"/>
      <c r="AO560" s="97" t="str">
        <f>IFERROR(__xludf.DUMMYFUNCTION("""COMPUTED_VALUE"""),"1 Año")</f>
        <v>1 Año</v>
      </c>
      <c r="AP560" s="97"/>
      <c r="AQ560" s="97"/>
      <c r="AR560" s="97"/>
      <c r="AS560" s="97"/>
      <c r="AT560" s="97"/>
      <c r="AU560" s="97"/>
      <c r="AV560" s="97" t="str">
        <f>IFERROR(__xludf.DUMMYFUNCTION("""COMPUTED_VALUE"""),"Colgante")</f>
        <v>Colgante</v>
      </c>
      <c r="AW560" s="97" t="str">
        <f>IFERROR(__xludf.DUMMYFUNCTION("""COMPUTED_VALUE"""),"De Techo")</f>
        <v>De Techo</v>
      </c>
      <c r="AX560" s="97" t="str">
        <f>IFERROR(__xludf.DUMMYFUNCTION("""COMPUTED_VALUE"""),"Interior")</f>
        <v>Interior</v>
      </c>
      <c r="AY560" s="97"/>
      <c r="AZ560" s="97"/>
      <c r="BA560" s="97"/>
      <c r="BB560" s="97"/>
      <c r="BC560" s="97"/>
      <c r="BD560" s="97" t="str">
        <f>IFERROR(__xludf.DUMMYFUNCTION("""COMPUTED_VALUE"""),"SOPHIE")</f>
        <v>SOPHIE</v>
      </c>
      <c r="BE560" s="97" t="str">
        <f>IFERROR(__xludf.DUMMYFUNCTION("""COMPUTED_VALUE"""),"Sin Ficha")</f>
        <v>Sin Ficha</v>
      </c>
      <c r="BF560" s="97"/>
      <c r="BG560" s="97" t="str">
        <f>IFERROR(__xludf.DUMMYFUNCTION("""COMPUTED_VALUE"""),"Discontinuo")</f>
        <v>Discontinuo</v>
      </c>
    </row>
    <row r="561">
      <c r="A561" s="97">
        <f>IFERROR(__xludf.DUMMYFUNCTION("""COMPUTED_VALUE"""),6166.0)</f>
        <v>6166</v>
      </c>
      <c r="B561" s="97" t="str">
        <f>IFERROR(__xludf.DUMMYFUNCTION("""COMPUTED_VALUE"""),"ADEMIA")</f>
        <v>ADEMIA</v>
      </c>
      <c r="C561" s="97" t="str">
        <f>IFERROR(__xludf.DUMMYFUNCTION("""COMPUTED_VALUE"""),"COLGANTE ADEMIA LEUK")</f>
        <v>COLGANTE ADEMIA LEUK</v>
      </c>
      <c r="D561" s="97">
        <f>IFERROR(__xludf.DUMMYFUNCTION("""COMPUTED_VALUE"""),7.798328757357E12)</f>
        <v>7798328757357</v>
      </c>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t="str">
        <f>IFERROR(__xludf.DUMMYFUNCTION("""COMPUTED_VALUE"""),"IP20")</f>
        <v>IP20</v>
      </c>
      <c r="AE561" s="97"/>
      <c r="AF561" s="97" t="str">
        <f>IFERROR(__xludf.DUMMYFUNCTION("""COMPUTED_VALUE"""),"Suspender")</f>
        <v>Suspender</v>
      </c>
      <c r="AG561" s="97"/>
      <c r="AH561" s="97"/>
      <c r="AI561" s="97"/>
      <c r="AJ561" s="97"/>
      <c r="AK561" s="97"/>
      <c r="AL561" s="97"/>
      <c r="AM561" s="97"/>
      <c r="AN561" s="97"/>
      <c r="AO561" s="97" t="str">
        <f>IFERROR(__xludf.DUMMYFUNCTION("""COMPUTED_VALUE"""),"1 Año")</f>
        <v>1 Año</v>
      </c>
      <c r="AP561" s="97"/>
      <c r="AQ561" s="97"/>
      <c r="AR561" s="97"/>
      <c r="AS561" s="97"/>
      <c r="AT561" s="97"/>
      <c r="AU561" s="97"/>
      <c r="AV561" s="97" t="str">
        <f>IFERROR(__xludf.DUMMYFUNCTION("""COMPUTED_VALUE"""),"Colgante")</f>
        <v>Colgante</v>
      </c>
      <c r="AW561" s="97" t="str">
        <f>IFERROR(__xludf.DUMMYFUNCTION("""COMPUTED_VALUE"""),"De Techo")</f>
        <v>De Techo</v>
      </c>
      <c r="AX561" s="97" t="str">
        <f>IFERROR(__xludf.DUMMYFUNCTION("""COMPUTED_VALUE"""),"Interior")</f>
        <v>Interior</v>
      </c>
      <c r="AY561" s="97"/>
      <c r="AZ561" s="97"/>
      <c r="BA561" s="97"/>
      <c r="BB561" s="97"/>
      <c r="BC561" s="97"/>
      <c r="BD561" s="97" t="str">
        <f>IFERROR(__xludf.DUMMYFUNCTION("""COMPUTED_VALUE"""),"ADEMIA")</f>
        <v>ADEMIA</v>
      </c>
      <c r="BE561" s="97" t="str">
        <f>IFERROR(__xludf.DUMMYFUNCTION("""COMPUTED_VALUE"""),"Sin Ficha")</f>
        <v>Sin Ficha</v>
      </c>
      <c r="BF561" s="97"/>
      <c r="BG561" s="97" t="str">
        <f>IFERROR(__xludf.DUMMYFUNCTION("""COMPUTED_VALUE"""),"Discontinuo")</f>
        <v>Discontinuo</v>
      </c>
    </row>
    <row r="562">
      <c r="A562" s="97">
        <f>IFERROR(__xludf.DUMMYFUNCTION("""COMPUTED_VALUE"""),6167.0)</f>
        <v>6167</v>
      </c>
      <c r="B562" s="97" t="str">
        <f>IFERROR(__xludf.DUMMYFUNCTION("""COMPUTED_VALUE"""),"SERGI")</f>
        <v>SERGI</v>
      </c>
      <c r="C562" s="97" t="str">
        <f>IFERROR(__xludf.DUMMYFUNCTION("""COMPUTED_VALUE"""),"COLGANTE SERGI LEUK")</f>
        <v>COLGANTE SERGI LEUK</v>
      </c>
      <c r="D562" s="97">
        <f>IFERROR(__xludf.DUMMYFUNCTION("""COMPUTED_VALUE"""),7.798328757364E12)</f>
        <v>7798328757364</v>
      </c>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t="str">
        <f>IFERROR(__xludf.DUMMYFUNCTION("""COMPUTED_VALUE"""),"IP20")</f>
        <v>IP20</v>
      </c>
      <c r="AE562" s="97"/>
      <c r="AF562" s="97" t="str">
        <f>IFERROR(__xludf.DUMMYFUNCTION("""COMPUTED_VALUE"""),"Suspender")</f>
        <v>Suspender</v>
      </c>
      <c r="AG562" s="97"/>
      <c r="AH562" s="97"/>
      <c r="AI562" s="97"/>
      <c r="AJ562" s="97"/>
      <c r="AK562" s="97"/>
      <c r="AL562" s="97"/>
      <c r="AM562" s="97"/>
      <c r="AN562" s="97"/>
      <c r="AO562" s="97" t="str">
        <f>IFERROR(__xludf.DUMMYFUNCTION("""COMPUTED_VALUE"""),"1 Año")</f>
        <v>1 Año</v>
      </c>
      <c r="AP562" s="97"/>
      <c r="AQ562" s="97"/>
      <c r="AR562" s="97"/>
      <c r="AS562" s="97"/>
      <c r="AT562" s="97"/>
      <c r="AU562" s="97"/>
      <c r="AV562" s="97" t="str">
        <f>IFERROR(__xludf.DUMMYFUNCTION("""COMPUTED_VALUE"""),"Colgante")</f>
        <v>Colgante</v>
      </c>
      <c r="AW562" s="97" t="str">
        <f>IFERROR(__xludf.DUMMYFUNCTION("""COMPUTED_VALUE"""),"De Techo")</f>
        <v>De Techo</v>
      </c>
      <c r="AX562" s="97" t="str">
        <f>IFERROR(__xludf.DUMMYFUNCTION("""COMPUTED_VALUE"""),"Interior")</f>
        <v>Interior</v>
      </c>
      <c r="AY562" s="97"/>
      <c r="AZ562" s="97"/>
      <c r="BA562" s="97"/>
      <c r="BB562" s="97"/>
      <c r="BC562" s="97"/>
      <c r="BD562" s="97" t="str">
        <f>IFERROR(__xludf.DUMMYFUNCTION("""COMPUTED_VALUE"""),"SERGI")</f>
        <v>SERGI</v>
      </c>
      <c r="BE562" s="97" t="str">
        <f>IFERROR(__xludf.DUMMYFUNCTION("""COMPUTED_VALUE"""),"Sin Ficha")</f>
        <v>Sin Ficha</v>
      </c>
      <c r="BF562" s="97"/>
      <c r="BG562" s="97" t="str">
        <f>IFERROR(__xludf.DUMMYFUNCTION("""COMPUTED_VALUE"""),"Discontinuo")</f>
        <v>Discontinuo</v>
      </c>
    </row>
    <row r="563">
      <c r="A563" s="97">
        <f>IFERROR(__xludf.DUMMYFUNCTION("""COMPUTED_VALUE"""),6168.0)</f>
        <v>6168</v>
      </c>
      <c r="B563" s="97" t="str">
        <f>IFERROR(__xludf.DUMMYFUNCTION("""COMPUTED_VALUE"""),"DYMA")</f>
        <v>DYMA</v>
      </c>
      <c r="C563" s="97" t="str">
        <f>IFERROR(__xludf.DUMMYFUNCTION("""COMPUTED_VALUE"""),"VELADOR DYMA LEUK")</f>
        <v>VELADOR DYMA LEUK</v>
      </c>
      <c r="D563" s="97">
        <f>IFERROR(__xludf.DUMMYFUNCTION("""COMPUTED_VALUE"""),7.798328757371E12)</f>
        <v>7798328757371</v>
      </c>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t="str">
        <f>IFERROR(__xludf.DUMMYFUNCTION("""COMPUTED_VALUE"""),"IP20")</f>
        <v>IP20</v>
      </c>
      <c r="AE563" s="97"/>
      <c r="AF563" s="97" t="str">
        <f>IFERROR(__xludf.DUMMYFUNCTION("""COMPUTED_VALUE"""),"Autoportante")</f>
        <v>Autoportante</v>
      </c>
      <c r="AG563" s="97"/>
      <c r="AH563" s="97"/>
      <c r="AI563" s="97"/>
      <c r="AJ563" s="97"/>
      <c r="AK563" s="97"/>
      <c r="AL563" s="97"/>
      <c r="AM563" s="97"/>
      <c r="AN563" s="97"/>
      <c r="AO563" s="97" t="str">
        <f>IFERROR(__xludf.DUMMYFUNCTION("""COMPUTED_VALUE"""),"1 Año")</f>
        <v>1 Año</v>
      </c>
      <c r="AP563" s="97"/>
      <c r="AQ563" s="97"/>
      <c r="AR563" s="97"/>
      <c r="AS563" s="97"/>
      <c r="AT563" s="97"/>
      <c r="AU563" s="97"/>
      <c r="AV563" s="97" t="str">
        <f>IFERROR(__xludf.DUMMYFUNCTION("""COMPUTED_VALUE"""),"Mesa")</f>
        <v>Mesa</v>
      </c>
      <c r="AW563" s="97" t="str">
        <f>IFERROR(__xludf.DUMMYFUNCTION("""COMPUTED_VALUE"""),"De Apoyo")</f>
        <v>De Apoyo</v>
      </c>
      <c r="AX563" s="97" t="str">
        <f>IFERROR(__xludf.DUMMYFUNCTION("""COMPUTED_VALUE"""),"Interior")</f>
        <v>Interior</v>
      </c>
      <c r="AY563" s="97"/>
      <c r="AZ563" s="97"/>
      <c r="BA563" s="97"/>
      <c r="BB563" s="97"/>
      <c r="BC563" s="97"/>
      <c r="BD563" s="97" t="str">
        <f>IFERROR(__xludf.DUMMYFUNCTION("""COMPUTED_VALUE"""),"DYMA")</f>
        <v>DYMA</v>
      </c>
      <c r="BE563" s="97" t="str">
        <f>IFERROR(__xludf.DUMMYFUNCTION("""COMPUTED_VALUE"""),"Sin Ficha")</f>
        <v>Sin Ficha</v>
      </c>
      <c r="BF563" s="97"/>
      <c r="BG563" s="97" t="str">
        <f>IFERROR(__xludf.DUMMYFUNCTION("""COMPUTED_VALUE"""),"Discontinuo")</f>
        <v>Discontinuo</v>
      </c>
    </row>
    <row r="564">
      <c r="A564" s="97">
        <f>IFERROR(__xludf.DUMMYFUNCTION("""COMPUTED_VALUE"""),6304.0)</f>
        <v>6304</v>
      </c>
      <c r="B564" s="97" t="str">
        <f>IFERROR(__xludf.DUMMYFUNCTION("""COMPUTED_VALUE"""),"FAGUS")</f>
        <v>FAGUS</v>
      </c>
      <c r="C564" s="97" t="str">
        <f>IFERROR(__xludf.DUMMYFUNCTION("""COMPUTED_VALUE"""),"-C- COLGANTE FAGUS LEUK")</f>
        <v>-C- COLGANTE FAGUS LEUK</v>
      </c>
      <c r="D564" s="97">
        <f>IFERROR(__xludf.DUMMYFUNCTION("""COMPUTED_VALUE"""),7.798328757531E12)</f>
        <v>7798328757531</v>
      </c>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t="str">
        <f>IFERROR(__xludf.DUMMYFUNCTION("""COMPUTED_VALUE"""),"IP20")</f>
        <v>IP20</v>
      </c>
      <c r="AE564" s="97"/>
      <c r="AF564" s="97" t="str">
        <f>IFERROR(__xludf.DUMMYFUNCTION("""COMPUTED_VALUE"""),"Suspender")</f>
        <v>Suspender</v>
      </c>
      <c r="AG564" s="97"/>
      <c r="AH564" s="97"/>
      <c r="AI564" s="97"/>
      <c r="AJ564" s="97"/>
      <c r="AK564" s="97" t="str">
        <f>IFERROR(__xludf.DUMMYFUNCTION("""COMPUTED_VALUE"""),"Cartón")</f>
        <v>Cartón</v>
      </c>
      <c r="AL564" s="97"/>
      <c r="AM564" s="97"/>
      <c r="AN564" s="97"/>
      <c r="AO564" s="97" t="str">
        <f>IFERROR(__xludf.DUMMYFUNCTION("""COMPUTED_VALUE"""),"1 Año")</f>
        <v>1 Año</v>
      </c>
      <c r="AP564" s="97"/>
      <c r="AQ564" s="97"/>
      <c r="AR564" s="97"/>
      <c r="AS564" s="97"/>
      <c r="AT564" s="97"/>
      <c r="AU564" s="97"/>
      <c r="AV564" s="97" t="str">
        <f>IFERROR(__xludf.DUMMYFUNCTION("""COMPUTED_VALUE"""),"Colgante")</f>
        <v>Colgante</v>
      </c>
      <c r="AW564" s="97" t="str">
        <f>IFERROR(__xludf.DUMMYFUNCTION("""COMPUTED_VALUE"""),"De Techo")</f>
        <v>De Techo</v>
      </c>
      <c r="AX564" s="97" t="str">
        <f>IFERROR(__xludf.DUMMYFUNCTION("""COMPUTED_VALUE"""),"Interior")</f>
        <v>Interior</v>
      </c>
      <c r="AY564" s="97"/>
      <c r="AZ564" s="97"/>
      <c r="BA564" s="97"/>
      <c r="BB564" s="97"/>
      <c r="BC564" s="97"/>
      <c r="BD564" s="97" t="str">
        <f>IFERROR(__xludf.DUMMYFUNCTION("""COMPUTED_VALUE"""),"FAGUS")</f>
        <v>FAGUS</v>
      </c>
      <c r="BE564" s="97" t="str">
        <f>IFERROR(__xludf.DUMMYFUNCTION("""COMPUTED_VALUE"""),"Sin Ficha")</f>
        <v>Sin Ficha</v>
      </c>
      <c r="BF564" s="97"/>
      <c r="BG564" s="97" t="str">
        <f>IFERROR(__xludf.DUMMYFUNCTION("""COMPUTED_VALUE"""),"Discontinuo")</f>
        <v>Discontinuo</v>
      </c>
    </row>
    <row r="565">
      <c r="A565" s="97">
        <f>IFERROR(__xludf.DUMMYFUNCTION("""COMPUTED_VALUE"""),6305.0)</f>
        <v>6305</v>
      </c>
      <c r="B565" s="97" t="str">
        <f>IFERROR(__xludf.DUMMYFUNCTION("""COMPUTED_VALUE"""),"PRUNUS")</f>
        <v>PRUNUS</v>
      </c>
      <c r="C565" s="97" t="str">
        <f>IFERROR(__xludf.DUMMYFUNCTION("""COMPUTED_VALUE"""),"-C- COLGANTE PRUNUS LEUK")</f>
        <v>-C- COLGANTE PRUNUS LEUK</v>
      </c>
      <c r="D565" s="97">
        <f>IFERROR(__xludf.DUMMYFUNCTION("""COMPUTED_VALUE"""),7.798328757548E12)</f>
        <v>7798328757548</v>
      </c>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t="str">
        <f>IFERROR(__xludf.DUMMYFUNCTION("""COMPUTED_VALUE"""),"IP20")</f>
        <v>IP20</v>
      </c>
      <c r="AE565" s="97"/>
      <c r="AF565" s="97" t="str">
        <f>IFERROR(__xludf.DUMMYFUNCTION("""COMPUTED_VALUE"""),"Suspender")</f>
        <v>Suspender</v>
      </c>
      <c r="AG565" s="97"/>
      <c r="AH565" s="97"/>
      <c r="AI565" s="97"/>
      <c r="AJ565" s="97"/>
      <c r="AK565" s="97" t="str">
        <f>IFERROR(__xludf.DUMMYFUNCTION("""COMPUTED_VALUE"""),"Cartón")</f>
        <v>Cartón</v>
      </c>
      <c r="AL565" s="97"/>
      <c r="AM565" s="97"/>
      <c r="AN565" s="97"/>
      <c r="AO565" s="97" t="str">
        <f>IFERROR(__xludf.DUMMYFUNCTION("""COMPUTED_VALUE"""),"1 Año")</f>
        <v>1 Año</v>
      </c>
      <c r="AP565" s="97"/>
      <c r="AQ565" s="97"/>
      <c r="AR565" s="97"/>
      <c r="AS565" s="97"/>
      <c r="AT565" s="97"/>
      <c r="AU565" s="97"/>
      <c r="AV565" s="97" t="str">
        <f>IFERROR(__xludf.DUMMYFUNCTION("""COMPUTED_VALUE"""),"Colgante")</f>
        <v>Colgante</v>
      </c>
      <c r="AW565" s="97" t="str">
        <f>IFERROR(__xludf.DUMMYFUNCTION("""COMPUTED_VALUE"""),"De Techo")</f>
        <v>De Techo</v>
      </c>
      <c r="AX565" s="97" t="str">
        <f>IFERROR(__xludf.DUMMYFUNCTION("""COMPUTED_VALUE"""),"Interior")</f>
        <v>Interior</v>
      </c>
      <c r="AY565" s="97"/>
      <c r="AZ565" s="97"/>
      <c r="BA565" s="97"/>
      <c r="BB565" s="97"/>
      <c r="BC565" s="97"/>
      <c r="BD565" s="97" t="str">
        <f>IFERROR(__xludf.DUMMYFUNCTION("""COMPUTED_VALUE"""),"PRUNUS")</f>
        <v>PRUNUS</v>
      </c>
      <c r="BE565" s="97" t="str">
        <f>IFERROR(__xludf.DUMMYFUNCTION("""COMPUTED_VALUE"""),"Sin Ficha")</f>
        <v>Sin Ficha</v>
      </c>
      <c r="BF565" s="97"/>
      <c r="BG565" s="97" t="str">
        <f>IFERROR(__xludf.DUMMYFUNCTION("""COMPUTED_VALUE"""),"Discontinuo")</f>
        <v>Discontinuo</v>
      </c>
    </row>
    <row r="566">
      <c r="A566" s="97">
        <f>IFERROR(__xludf.DUMMYFUNCTION("""COMPUTED_VALUE"""),6306.0)</f>
        <v>6306</v>
      </c>
      <c r="B566" s="97" t="str">
        <f>IFERROR(__xludf.DUMMYFUNCTION("""COMPUTED_VALUE"""),"BUXUS")</f>
        <v>BUXUS</v>
      </c>
      <c r="C566" s="97" t="str">
        <f>IFERROR(__xludf.DUMMYFUNCTION("""COMPUTED_VALUE"""),"-C- COLGANTE BUXUS LEUK")</f>
        <v>-C- COLGANTE BUXUS LEUK</v>
      </c>
      <c r="D566" s="97">
        <f>IFERROR(__xludf.DUMMYFUNCTION("""COMPUTED_VALUE"""),7.798328757555E12)</f>
        <v>7798328757555</v>
      </c>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t="str">
        <f>IFERROR(__xludf.DUMMYFUNCTION("""COMPUTED_VALUE"""),"IP20")</f>
        <v>IP20</v>
      </c>
      <c r="AE566" s="97"/>
      <c r="AF566" s="97" t="str">
        <f>IFERROR(__xludf.DUMMYFUNCTION("""COMPUTED_VALUE"""),"Suspender")</f>
        <v>Suspender</v>
      </c>
      <c r="AG566" s="97"/>
      <c r="AH566" s="97"/>
      <c r="AI566" s="97"/>
      <c r="AJ566" s="97"/>
      <c r="AK566" s="97" t="str">
        <f>IFERROR(__xludf.DUMMYFUNCTION("""COMPUTED_VALUE"""),"Cartón")</f>
        <v>Cartón</v>
      </c>
      <c r="AL566" s="97"/>
      <c r="AM566" s="97"/>
      <c r="AN566" s="97"/>
      <c r="AO566" s="97" t="str">
        <f>IFERROR(__xludf.DUMMYFUNCTION("""COMPUTED_VALUE"""),"1 Año")</f>
        <v>1 Año</v>
      </c>
      <c r="AP566" s="97"/>
      <c r="AQ566" s="97"/>
      <c r="AR566" s="97"/>
      <c r="AS566" s="97"/>
      <c r="AT566" s="97"/>
      <c r="AU566" s="97"/>
      <c r="AV566" s="97" t="str">
        <f>IFERROR(__xludf.DUMMYFUNCTION("""COMPUTED_VALUE"""),"Colgante")</f>
        <v>Colgante</v>
      </c>
      <c r="AW566" s="97" t="str">
        <f>IFERROR(__xludf.DUMMYFUNCTION("""COMPUTED_VALUE"""),"De Techo")</f>
        <v>De Techo</v>
      </c>
      <c r="AX566" s="97" t="str">
        <f>IFERROR(__xludf.DUMMYFUNCTION("""COMPUTED_VALUE"""),"Interior")</f>
        <v>Interior</v>
      </c>
      <c r="AY566" s="97"/>
      <c r="AZ566" s="97"/>
      <c r="BA566" s="97"/>
      <c r="BB566" s="97"/>
      <c r="BC566" s="97"/>
      <c r="BD566" s="97" t="str">
        <f>IFERROR(__xludf.DUMMYFUNCTION("""COMPUTED_VALUE"""),"BUXUS")</f>
        <v>BUXUS</v>
      </c>
      <c r="BE566" s="97" t="str">
        <f>IFERROR(__xludf.DUMMYFUNCTION("""COMPUTED_VALUE"""),"Sin Ficha")</f>
        <v>Sin Ficha</v>
      </c>
      <c r="BF566" s="97"/>
      <c r="BG566" s="97" t="str">
        <f>IFERROR(__xludf.DUMMYFUNCTION("""COMPUTED_VALUE"""),"Discontinuo")</f>
        <v>Discontinuo</v>
      </c>
    </row>
    <row r="567">
      <c r="A567" s="97">
        <f>IFERROR(__xludf.DUMMYFUNCTION("""COMPUTED_VALUE"""),6307.0)</f>
        <v>6307</v>
      </c>
      <c r="B567" s="97" t="str">
        <f>IFERROR(__xludf.DUMMYFUNCTION("""COMPUTED_VALUE"""),"MELIA")</f>
        <v>MELIA</v>
      </c>
      <c r="C567" s="97" t="str">
        <f>IFERROR(__xludf.DUMMYFUNCTION("""COMPUTED_VALUE"""),"-C- COLGANTE MELIA LEUK")</f>
        <v>-C- COLGANTE MELIA LEUK</v>
      </c>
      <c r="D567" s="97">
        <f>IFERROR(__xludf.DUMMYFUNCTION("""COMPUTED_VALUE"""),7.798328757562E12)</f>
        <v>7798328757562</v>
      </c>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t="str">
        <f>IFERROR(__xludf.DUMMYFUNCTION("""COMPUTED_VALUE"""),"IP20")</f>
        <v>IP20</v>
      </c>
      <c r="AE567" s="97"/>
      <c r="AF567" s="97" t="str">
        <f>IFERROR(__xludf.DUMMYFUNCTION("""COMPUTED_VALUE"""),"Suspender")</f>
        <v>Suspender</v>
      </c>
      <c r="AG567" s="97"/>
      <c r="AH567" s="97"/>
      <c r="AI567" s="97"/>
      <c r="AJ567" s="97"/>
      <c r="AK567" s="97" t="str">
        <f>IFERROR(__xludf.DUMMYFUNCTION("""COMPUTED_VALUE"""),"Cartón")</f>
        <v>Cartón</v>
      </c>
      <c r="AL567" s="97"/>
      <c r="AM567" s="97"/>
      <c r="AN567" s="97"/>
      <c r="AO567" s="97" t="str">
        <f>IFERROR(__xludf.DUMMYFUNCTION("""COMPUTED_VALUE"""),"1 Año")</f>
        <v>1 Año</v>
      </c>
      <c r="AP567" s="97"/>
      <c r="AQ567" s="97"/>
      <c r="AR567" s="97"/>
      <c r="AS567" s="97"/>
      <c r="AT567" s="97"/>
      <c r="AU567" s="97"/>
      <c r="AV567" s="97" t="str">
        <f>IFERROR(__xludf.DUMMYFUNCTION("""COMPUTED_VALUE"""),"Colgante")</f>
        <v>Colgante</v>
      </c>
      <c r="AW567" s="97" t="str">
        <f>IFERROR(__xludf.DUMMYFUNCTION("""COMPUTED_VALUE"""),"De Techo")</f>
        <v>De Techo</v>
      </c>
      <c r="AX567" s="97" t="str">
        <f>IFERROR(__xludf.DUMMYFUNCTION("""COMPUTED_VALUE"""),"Interior")</f>
        <v>Interior</v>
      </c>
      <c r="AY567" s="97"/>
      <c r="AZ567" s="97"/>
      <c r="BA567" s="97"/>
      <c r="BB567" s="97"/>
      <c r="BC567" s="97"/>
      <c r="BD567" s="97" t="str">
        <f>IFERROR(__xludf.DUMMYFUNCTION("""COMPUTED_VALUE"""),"MELIA")</f>
        <v>MELIA</v>
      </c>
      <c r="BE567" s="97" t="str">
        <f>IFERROR(__xludf.DUMMYFUNCTION("""COMPUTED_VALUE"""),"Sin Ficha")</f>
        <v>Sin Ficha</v>
      </c>
      <c r="BF567" s="97"/>
      <c r="BG567" s="97" t="str">
        <f>IFERROR(__xludf.DUMMYFUNCTION("""COMPUTED_VALUE"""),"Discontinuo")</f>
        <v>Discontinuo</v>
      </c>
    </row>
    <row r="568">
      <c r="A568" s="97">
        <f>IFERROR(__xludf.DUMMYFUNCTION("""COMPUTED_VALUE"""),6308.0)</f>
        <v>6308</v>
      </c>
      <c r="B568" s="97" t="str">
        <f>IFERROR(__xludf.DUMMYFUNCTION("""COMPUTED_VALUE"""),"QUERCUS")</f>
        <v>QUERCUS</v>
      </c>
      <c r="C568" s="97" t="str">
        <f>IFERROR(__xludf.DUMMYFUNCTION("""COMPUTED_VALUE"""),"-C- COLGANTE QUERCUS LEUK")</f>
        <v>-C- COLGANTE QUERCUS LEUK</v>
      </c>
      <c r="D568" s="97">
        <f>IFERROR(__xludf.DUMMYFUNCTION("""COMPUTED_VALUE"""),7.798328757579E12)</f>
        <v>7798328757579</v>
      </c>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t="str">
        <f>IFERROR(__xludf.DUMMYFUNCTION("""COMPUTED_VALUE"""),"IP20")</f>
        <v>IP20</v>
      </c>
      <c r="AE568" s="97"/>
      <c r="AF568" s="97" t="str">
        <f>IFERROR(__xludf.DUMMYFUNCTION("""COMPUTED_VALUE"""),"Suspender")</f>
        <v>Suspender</v>
      </c>
      <c r="AG568" s="97"/>
      <c r="AH568" s="97"/>
      <c r="AI568" s="97"/>
      <c r="AJ568" s="97"/>
      <c r="AK568" s="97" t="str">
        <f>IFERROR(__xludf.DUMMYFUNCTION("""COMPUTED_VALUE"""),"Cartón")</f>
        <v>Cartón</v>
      </c>
      <c r="AL568" s="97"/>
      <c r="AM568" s="97"/>
      <c r="AN568" s="97"/>
      <c r="AO568" s="97" t="str">
        <f>IFERROR(__xludf.DUMMYFUNCTION("""COMPUTED_VALUE"""),"1 Año")</f>
        <v>1 Año</v>
      </c>
      <c r="AP568" s="97"/>
      <c r="AQ568" s="97"/>
      <c r="AR568" s="97"/>
      <c r="AS568" s="97"/>
      <c r="AT568" s="97"/>
      <c r="AU568" s="97"/>
      <c r="AV568" s="97" t="str">
        <f>IFERROR(__xludf.DUMMYFUNCTION("""COMPUTED_VALUE"""),"Colgante")</f>
        <v>Colgante</v>
      </c>
      <c r="AW568" s="97" t="str">
        <f>IFERROR(__xludf.DUMMYFUNCTION("""COMPUTED_VALUE"""),"De Techo")</f>
        <v>De Techo</v>
      </c>
      <c r="AX568" s="97" t="str">
        <f>IFERROR(__xludf.DUMMYFUNCTION("""COMPUTED_VALUE"""),"Interior")</f>
        <v>Interior</v>
      </c>
      <c r="AY568" s="97"/>
      <c r="AZ568" s="97"/>
      <c r="BA568" s="97"/>
      <c r="BB568" s="97"/>
      <c r="BC568" s="97"/>
      <c r="BD568" s="97" t="str">
        <f>IFERROR(__xludf.DUMMYFUNCTION("""COMPUTED_VALUE"""),"QUERCUS")</f>
        <v>QUERCUS</v>
      </c>
      <c r="BE568" s="97" t="str">
        <f>IFERROR(__xludf.DUMMYFUNCTION("""COMPUTED_VALUE"""),"Sin Ficha")</f>
        <v>Sin Ficha</v>
      </c>
      <c r="BF568" s="97"/>
      <c r="BG568" s="97" t="str">
        <f>IFERROR(__xludf.DUMMYFUNCTION("""COMPUTED_VALUE"""),"Discontinuo")</f>
        <v>Discontinuo</v>
      </c>
    </row>
    <row r="569">
      <c r="A569" s="97">
        <f>IFERROR(__xludf.DUMMYFUNCTION("""COMPUTED_VALUE"""),6309.0)</f>
        <v>6309</v>
      </c>
      <c r="B569" s="97" t="str">
        <f>IFERROR(__xludf.DUMMYFUNCTION("""COMPUTED_VALUE"""),"ROBINIA")</f>
        <v>ROBINIA</v>
      </c>
      <c r="C569" s="97" t="str">
        <f>IFERROR(__xludf.DUMMYFUNCTION("""COMPUTED_VALUE"""),"-C- COLGANTE ROBINIA LEUK")</f>
        <v>-C- COLGANTE ROBINIA LEUK</v>
      </c>
      <c r="D569" s="97">
        <f>IFERROR(__xludf.DUMMYFUNCTION("""COMPUTED_VALUE"""),7.798328757586E12)</f>
        <v>7798328757586</v>
      </c>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t="str">
        <f>IFERROR(__xludf.DUMMYFUNCTION("""COMPUTED_VALUE"""),"IP20")</f>
        <v>IP20</v>
      </c>
      <c r="AE569" s="97"/>
      <c r="AF569" s="97" t="str">
        <f>IFERROR(__xludf.DUMMYFUNCTION("""COMPUTED_VALUE"""),"Suspender")</f>
        <v>Suspender</v>
      </c>
      <c r="AG569" s="97"/>
      <c r="AH569" s="97"/>
      <c r="AI569" s="97"/>
      <c r="AJ569" s="97"/>
      <c r="AK569" s="97" t="str">
        <f>IFERROR(__xludf.DUMMYFUNCTION("""COMPUTED_VALUE"""),"Cartón")</f>
        <v>Cartón</v>
      </c>
      <c r="AL569" s="97"/>
      <c r="AM569" s="97"/>
      <c r="AN569" s="97"/>
      <c r="AO569" s="97" t="str">
        <f>IFERROR(__xludf.DUMMYFUNCTION("""COMPUTED_VALUE"""),"1 Año")</f>
        <v>1 Año</v>
      </c>
      <c r="AP569" s="97"/>
      <c r="AQ569" s="97"/>
      <c r="AR569" s="97"/>
      <c r="AS569" s="97"/>
      <c r="AT569" s="97"/>
      <c r="AU569" s="97"/>
      <c r="AV569" s="97" t="str">
        <f>IFERROR(__xludf.DUMMYFUNCTION("""COMPUTED_VALUE"""),"Colgante")</f>
        <v>Colgante</v>
      </c>
      <c r="AW569" s="97" t="str">
        <f>IFERROR(__xludf.DUMMYFUNCTION("""COMPUTED_VALUE"""),"De Techo")</f>
        <v>De Techo</v>
      </c>
      <c r="AX569" s="97" t="str">
        <f>IFERROR(__xludf.DUMMYFUNCTION("""COMPUTED_VALUE"""),"Interior")</f>
        <v>Interior</v>
      </c>
      <c r="AY569" s="97"/>
      <c r="AZ569" s="97"/>
      <c r="BA569" s="97"/>
      <c r="BB569" s="97"/>
      <c r="BC569" s="97"/>
      <c r="BD569" s="97" t="str">
        <f>IFERROR(__xludf.DUMMYFUNCTION("""COMPUTED_VALUE"""),"ROBINIA")</f>
        <v>ROBINIA</v>
      </c>
      <c r="BE569" s="97" t="str">
        <f>IFERROR(__xludf.DUMMYFUNCTION("""COMPUTED_VALUE"""),"Sin Ficha")</f>
        <v>Sin Ficha</v>
      </c>
      <c r="BF569" s="97"/>
      <c r="BG569" s="97" t="str">
        <f>IFERROR(__xludf.DUMMYFUNCTION("""COMPUTED_VALUE"""),"Discontinuo")</f>
        <v>Discontinuo</v>
      </c>
    </row>
    <row r="570">
      <c r="A570" s="97">
        <f>IFERROR(__xludf.DUMMYFUNCTION("""COMPUTED_VALUE"""),6310.0)</f>
        <v>6310</v>
      </c>
      <c r="B570" s="97" t="str">
        <f>IFERROR(__xludf.DUMMYFUNCTION("""COMPUTED_VALUE"""),"FICUS")</f>
        <v>FICUS</v>
      </c>
      <c r="C570" s="97" t="str">
        <f>IFERROR(__xludf.DUMMYFUNCTION("""COMPUTED_VALUE"""),"-C- COLGANTE FICUS LEUK")</f>
        <v>-C- COLGANTE FICUS LEUK</v>
      </c>
      <c r="D570" s="97">
        <f>IFERROR(__xludf.DUMMYFUNCTION("""COMPUTED_VALUE"""),7.798328757593E12)</f>
        <v>7798328757593</v>
      </c>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t="str">
        <f>IFERROR(__xludf.DUMMYFUNCTION("""COMPUTED_VALUE"""),"IP20")</f>
        <v>IP20</v>
      </c>
      <c r="AE570" s="97"/>
      <c r="AF570" s="97" t="str">
        <f>IFERROR(__xludf.DUMMYFUNCTION("""COMPUTED_VALUE"""),"Suspender")</f>
        <v>Suspender</v>
      </c>
      <c r="AG570" s="97"/>
      <c r="AH570" s="97"/>
      <c r="AI570" s="97"/>
      <c r="AJ570" s="97"/>
      <c r="AK570" s="97" t="str">
        <f>IFERROR(__xludf.DUMMYFUNCTION("""COMPUTED_VALUE"""),"Cartón")</f>
        <v>Cartón</v>
      </c>
      <c r="AL570" s="97"/>
      <c r="AM570" s="97"/>
      <c r="AN570" s="97"/>
      <c r="AO570" s="97" t="str">
        <f>IFERROR(__xludf.DUMMYFUNCTION("""COMPUTED_VALUE"""),"1 Año")</f>
        <v>1 Año</v>
      </c>
      <c r="AP570" s="97"/>
      <c r="AQ570" s="97"/>
      <c r="AR570" s="97"/>
      <c r="AS570" s="97"/>
      <c r="AT570" s="97"/>
      <c r="AU570" s="97"/>
      <c r="AV570" s="97" t="str">
        <f>IFERROR(__xludf.DUMMYFUNCTION("""COMPUTED_VALUE"""),"Colgante")</f>
        <v>Colgante</v>
      </c>
      <c r="AW570" s="97" t="str">
        <f>IFERROR(__xludf.DUMMYFUNCTION("""COMPUTED_VALUE"""),"De Techo")</f>
        <v>De Techo</v>
      </c>
      <c r="AX570" s="97" t="str">
        <f>IFERROR(__xludf.DUMMYFUNCTION("""COMPUTED_VALUE"""),"Interior")</f>
        <v>Interior</v>
      </c>
      <c r="AY570" s="97"/>
      <c r="AZ570" s="97"/>
      <c r="BA570" s="97"/>
      <c r="BB570" s="97"/>
      <c r="BC570" s="97"/>
      <c r="BD570" s="97" t="str">
        <f>IFERROR(__xludf.DUMMYFUNCTION("""COMPUTED_VALUE"""),"FICUS")</f>
        <v>FICUS</v>
      </c>
      <c r="BE570" s="97" t="str">
        <f>IFERROR(__xludf.DUMMYFUNCTION("""COMPUTED_VALUE"""),"Sin Ficha")</f>
        <v>Sin Ficha</v>
      </c>
      <c r="BF570" s="97"/>
      <c r="BG570" s="97" t="str">
        <f>IFERROR(__xludf.DUMMYFUNCTION("""COMPUTED_VALUE"""),"Discontinuo")</f>
        <v>Discontinuo</v>
      </c>
    </row>
    <row r="571">
      <c r="A571" s="97">
        <f>IFERROR(__xludf.DUMMYFUNCTION("""COMPUTED_VALUE"""),6311.0)</f>
        <v>6311</v>
      </c>
      <c r="B571" s="97" t="str">
        <f>IFERROR(__xludf.DUMMYFUNCTION("""COMPUTED_VALUE"""),"SALIX")</f>
        <v>SALIX</v>
      </c>
      <c r="C571" s="97" t="str">
        <f>IFERROR(__xludf.DUMMYFUNCTION("""COMPUTED_VALUE"""),"-C- COLGANTE SALIX LEUK")</f>
        <v>-C- COLGANTE SALIX LEUK</v>
      </c>
      <c r="D571" s="97">
        <f>IFERROR(__xludf.DUMMYFUNCTION("""COMPUTED_VALUE"""),7.798328757609E12)</f>
        <v>7798328757609</v>
      </c>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t="str">
        <f>IFERROR(__xludf.DUMMYFUNCTION("""COMPUTED_VALUE"""),"IP20")</f>
        <v>IP20</v>
      </c>
      <c r="AE571" s="97"/>
      <c r="AF571" s="97" t="str">
        <f>IFERROR(__xludf.DUMMYFUNCTION("""COMPUTED_VALUE"""),"Suspender")</f>
        <v>Suspender</v>
      </c>
      <c r="AG571" s="97"/>
      <c r="AH571" s="97"/>
      <c r="AI571" s="97"/>
      <c r="AJ571" s="97"/>
      <c r="AK571" s="97" t="str">
        <f>IFERROR(__xludf.DUMMYFUNCTION("""COMPUTED_VALUE"""),"Cartón")</f>
        <v>Cartón</v>
      </c>
      <c r="AL571" s="97"/>
      <c r="AM571" s="97"/>
      <c r="AN571" s="97"/>
      <c r="AO571" s="97" t="str">
        <f>IFERROR(__xludf.DUMMYFUNCTION("""COMPUTED_VALUE"""),"1 Año")</f>
        <v>1 Año</v>
      </c>
      <c r="AP571" s="97"/>
      <c r="AQ571" s="97"/>
      <c r="AR571" s="97"/>
      <c r="AS571" s="97"/>
      <c r="AT571" s="97"/>
      <c r="AU571" s="97"/>
      <c r="AV571" s="97" t="str">
        <f>IFERROR(__xludf.DUMMYFUNCTION("""COMPUTED_VALUE"""),"Colgante")</f>
        <v>Colgante</v>
      </c>
      <c r="AW571" s="97" t="str">
        <f>IFERROR(__xludf.DUMMYFUNCTION("""COMPUTED_VALUE"""),"De Techo")</f>
        <v>De Techo</v>
      </c>
      <c r="AX571" s="97" t="str">
        <f>IFERROR(__xludf.DUMMYFUNCTION("""COMPUTED_VALUE"""),"Interior")</f>
        <v>Interior</v>
      </c>
      <c r="AY571" s="97"/>
      <c r="AZ571" s="97"/>
      <c r="BA571" s="97"/>
      <c r="BB571" s="97"/>
      <c r="BC571" s="97"/>
      <c r="BD571" s="97" t="str">
        <f>IFERROR(__xludf.DUMMYFUNCTION("""COMPUTED_VALUE"""),"SALIX")</f>
        <v>SALIX</v>
      </c>
      <c r="BE571" s="97" t="str">
        <f>IFERROR(__xludf.DUMMYFUNCTION("""COMPUTED_VALUE"""),"Sin Ficha")</f>
        <v>Sin Ficha</v>
      </c>
      <c r="BF571" s="97"/>
      <c r="BG571" s="97" t="str">
        <f>IFERROR(__xludf.DUMMYFUNCTION("""COMPUTED_VALUE"""),"Discontinuo")</f>
        <v>Discontinuo</v>
      </c>
    </row>
    <row r="572">
      <c r="A572" s="97">
        <f>IFERROR(__xludf.DUMMYFUNCTION("""COMPUTED_VALUE"""),6312.0)</f>
        <v>6312</v>
      </c>
      <c r="B572" s="97" t="str">
        <f>IFERROR(__xludf.DUMMYFUNCTION("""COMPUTED_VALUE"""),"MORUS")</f>
        <v>MORUS</v>
      </c>
      <c r="C572" s="97" t="str">
        <f>IFERROR(__xludf.DUMMYFUNCTION("""COMPUTED_VALUE"""),"-C- COLGANTE MORUS LEUK")</f>
        <v>-C- COLGANTE MORUS LEUK</v>
      </c>
      <c r="D572" s="97">
        <f>IFERROR(__xludf.DUMMYFUNCTION("""COMPUTED_VALUE"""),7.798328757616E12)</f>
        <v>7798328757616</v>
      </c>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t="str">
        <f>IFERROR(__xludf.DUMMYFUNCTION("""COMPUTED_VALUE"""),"IP20")</f>
        <v>IP20</v>
      </c>
      <c r="AE572" s="97"/>
      <c r="AF572" s="97" t="str">
        <f>IFERROR(__xludf.DUMMYFUNCTION("""COMPUTED_VALUE"""),"Suspender")</f>
        <v>Suspender</v>
      </c>
      <c r="AG572" s="97"/>
      <c r="AH572" s="97"/>
      <c r="AI572" s="97"/>
      <c r="AJ572" s="97"/>
      <c r="AK572" s="97" t="str">
        <f>IFERROR(__xludf.DUMMYFUNCTION("""COMPUTED_VALUE"""),"Cartón")</f>
        <v>Cartón</v>
      </c>
      <c r="AL572" s="97"/>
      <c r="AM572" s="97"/>
      <c r="AN572" s="97"/>
      <c r="AO572" s="97" t="str">
        <f>IFERROR(__xludf.DUMMYFUNCTION("""COMPUTED_VALUE"""),"1 Año")</f>
        <v>1 Año</v>
      </c>
      <c r="AP572" s="97"/>
      <c r="AQ572" s="97"/>
      <c r="AR572" s="97"/>
      <c r="AS572" s="97"/>
      <c r="AT572" s="97"/>
      <c r="AU572" s="97"/>
      <c r="AV572" s="97" t="str">
        <f>IFERROR(__xludf.DUMMYFUNCTION("""COMPUTED_VALUE"""),"Colgante")</f>
        <v>Colgante</v>
      </c>
      <c r="AW572" s="97" t="str">
        <f>IFERROR(__xludf.DUMMYFUNCTION("""COMPUTED_VALUE"""),"De Techo")</f>
        <v>De Techo</v>
      </c>
      <c r="AX572" s="97" t="str">
        <f>IFERROR(__xludf.DUMMYFUNCTION("""COMPUTED_VALUE"""),"Interior")</f>
        <v>Interior</v>
      </c>
      <c r="AY572" s="97"/>
      <c r="AZ572" s="97"/>
      <c r="BA572" s="97">
        <f>IFERROR(__xludf.DUMMYFUNCTION("""COMPUTED_VALUE"""),1.0)</f>
        <v>1</v>
      </c>
      <c r="BB572" s="97"/>
      <c r="BC572" s="97"/>
      <c r="BD572" s="97" t="str">
        <f>IFERROR(__xludf.DUMMYFUNCTION("""COMPUTED_VALUE"""),"MORUS")</f>
        <v>MORUS</v>
      </c>
      <c r="BE572" s="97" t="str">
        <f>IFERROR(__xludf.DUMMYFUNCTION("""COMPUTED_VALUE"""),"Sin Ficha")</f>
        <v>Sin Ficha</v>
      </c>
      <c r="BF572" s="97"/>
      <c r="BG572" s="97" t="str">
        <f>IFERROR(__xludf.DUMMYFUNCTION("""COMPUTED_VALUE"""),"Discontinuo")</f>
        <v>Discontinuo</v>
      </c>
    </row>
    <row r="573">
      <c r="A573" s="97">
        <f>IFERROR(__xludf.DUMMYFUNCTION("""COMPUTED_VALUE"""),6313.0)</f>
        <v>6313</v>
      </c>
      <c r="B573" s="97" t="str">
        <f>IFERROR(__xludf.DUMMYFUNCTION("""COMPUTED_VALUE"""),"CAPREA")</f>
        <v>CAPREA</v>
      </c>
      <c r="C573" s="97" t="str">
        <f>IFERROR(__xludf.DUMMYFUNCTION("""COMPUTED_VALUE"""),"-C- COLGANTE CAPREA LEUK")</f>
        <v>-C- COLGANTE CAPREA LEUK</v>
      </c>
      <c r="D573" s="97">
        <f>IFERROR(__xludf.DUMMYFUNCTION("""COMPUTED_VALUE"""),7.798328757623E12)</f>
        <v>7798328757623</v>
      </c>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t="str">
        <f>IFERROR(__xludf.DUMMYFUNCTION("""COMPUTED_VALUE"""),"IP20")</f>
        <v>IP20</v>
      </c>
      <c r="AE573" s="97"/>
      <c r="AF573" s="97" t="str">
        <f>IFERROR(__xludf.DUMMYFUNCTION("""COMPUTED_VALUE"""),"Suspender")</f>
        <v>Suspender</v>
      </c>
      <c r="AG573" s="97"/>
      <c r="AH573" s="97"/>
      <c r="AI573" s="97"/>
      <c r="AJ573" s="97"/>
      <c r="AK573" s="97" t="str">
        <f>IFERROR(__xludf.DUMMYFUNCTION("""COMPUTED_VALUE"""),"Cartón")</f>
        <v>Cartón</v>
      </c>
      <c r="AL573" s="97"/>
      <c r="AM573" s="97"/>
      <c r="AN573" s="97"/>
      <c r="AO573" s="97" t="str">
        <f>IFERROR(__xludf.DUMMYFUNCTION("""COMPUTED_VALUE"""),"1 Año")</f>
        <v>1 Año</v>
      </c>
      <c r="AP573" s="97"/>
      <c r="AQ573" s="97"/>
      <c r="AR573" s="97"/>
      <c r="AS573" s="97"/>
      <c r="AT573" s="97"/>
      <c r="AU573" s="97"/>
      <c r="AV573" s="97" t="str">
        <f>IFERROR(__xludf.DUMMYFUNCTION("""COMPUTED_VALUE"""),"Colgante")</f>
        <v>Colgante</v>
      </c>
      <c r="AW573" s="97" t="str">
        <f>IFERROR(__xludf.DUMMYFUNCTION("""COMPUTED_VALUE"""),"De Techo")</f>
        <v>De Techo</v>
      </c>
      <c r="AX573" s="97" t="str">
        <f>IFERROR(__xludf.DUMMYFUNCTION("""COMPUTED_VALUE"""),"Interior")</f>
        <v>Interior</v>
      </c>
      <c r="AY573" s="97"/>
      <c r="AZ573" s="97"/>
      <c r="BA573" s="97"/>
      <c r="BB573" s="97"/>
      <c r="BC573" s="97"/>
      <c r="BD573" s="97" t="str">
        <f>IFERROR(__xludf.DUMMYFUNCTION("""COMPUTED_VALUE"""),"CAPREA")</f>
        <v>CAPREA</v>
      </c>
      <c r="BE573" s="97" t="str">
        <f>IFERROR(__xludf.DUMMYFUNCTION("""COMPUTED_VALUE"""),"Sin Ficha")</f>
        <v>Sin Ficha</v>
      </c>
      <c r="BF573" s="97"/>
      <c r="BG573" s="97" t="str">
        <f>IFERROR(__xludf.DUMMYFUNCTION("""COMPUTED_VALUE"""),"Discontinuo")</f>
        <v>Discontinuo</v>
      </c>
    </row>
    <row r="574">
      <c r="A574" s="97">
        <f>IFERROR(__xludf.DUMMYFUNCTION("""COMPUTED_VALUE"""),6314.0)</f>
        <v>6314</v>
      </c>
      <c r="B574" s="97" t="str">
        <f>IFERROR(__xludf.DUMMYFUNCTION("""COMPUTED_VALUE"""),"SORBUS")</f>
        <v>SORBUS</v>
      </c>
      <c r="C574" s="97" t="str">
        <f>IFERROR(__xludf.DUMMYFUNCTION("""COMPUTED_VALUE"""),"-C- COLGANTE SORBUS LEUK")</f>
        <v>-C- COLGANTE SORBUS LEUK</v>
      </c>
      <c r="D574" s="97">
        <f>IFERROR(__xludf.DUMMYFUNCTION("""COMPUTED_VALUE"""),7.79832875763E12)</f>
        <v>7798328757630</v>
      </c>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t="str">
        <f>IFERROR(__xludf.DUMMYFUNCTION("""COMPUTED_VALUE"""),"IP20")</f>
        <v>IP20</v>
      </c>
      <c r="AE574" s="97"/>
      <c r="AF574" s="97" t="str">
        <f>IFERROR(__xludf.DUMMYFUNCTION("""COMPUTED_VALUE"""),"Suspender")</f>
        <v>Suspender</v>
      </c>
      <c r="AG574" s="97"/>
      <c r="AH574" s="97"/>
      <c r="AI574" s="97"/>
      <c r="AJ574" s="97"/>
      <c r="AK574" s="97" t="str">
        <f>IFERROR(__xludf.DUMMYFUNCTION("""COMPUTED_VALUE"""),"Cartón")</f>
        <v>Cartón</v>
      </c>
      <c r="AL574" s="97"/>
      <c r="AM574" s="97"/>
      <c r="AN574" s="97"/>
      <c r="AO574" s="97" t="str">
        <f>IFERROR(__xludf.DUMMYFUNCTION("""COMPUTED_VALUE"""),"1 Año")</f>
        <v>1 Año</v>
      </c>
      <c r="AP574" s="97"/>
      <c r="AQ574" s="97"/>
      <c r="AR574" s="97"/>
      <c r="AS574" s="97"/>
      <c r="AT574" s="97"/>
      <c r="AU574" s="97"/>
      <c r="AV574" s="97" t="str">
        <f>IFERROR(__xludf.DUMMYFUNCTION("""COMPUTED_VALUE"""),"Colgante")</f>
        <v>Colgante</v>
      </c>
      <c r="AW574" s="97" t="str">
        <f>IFERROR(__xludf.DUMMYFUNCTION("""COMPUTED_VALUE"""),"De Techo")</f>
        <v>De Techo</v>
      </c>
      <c r="AX574" s="97" t="str">
        <f>IFERROR(__xludf.DUMMYFUNCTION("""COMPUTED_VALUE"""),"Interior")</f>
        <v>Interior</v>
      </c>
      <c r="AY574" s="97"/>
      <c r="AZ574" s="97"/>
      <c r="BA574" s="97"/>
      <c r="BB574" s="97"/>
      <c r="BC574" s="97"/>
      <c r="BD574" s="97" t="str">
        <f>IFERROR(__xludf.DUMMYFUNCTION("""COMPUTED_VALUE"""),"SORBUS")</f>
        <v>SORBUS</v>
      </c>
      <c r="BE574" s="97" t="str">
        <f>IFERROR(__xludf.DUMMYFUNCTION("""COMPUTED_VALUE"""),"Sin Ficha")</f>
        <v>Sin Ficha</v>
      </c>
      <c r="BF574" s="97"/>
      <c r="BG574" s="97" t="str">
        <f>IFERROR(__xludf.DUMMYFUNCTION("""COMPUTED_VALUE"""),"Discontinuo")</f>
        <v>Discontinuo</v>
      </c>
    </row>
    <row r="575">
      <c r="A575" s="97">
        <f>IFERROR(__xludf.DUMMYFUNCTION("""COMPUTED_VALUE"""),6315.0)</f>
        <v>6315</v>
      </c>
      <c r="B575" s="97" t="str">
        <f>IFERROR(__xludf.DUMMYFUNCTION("""COMPUTED_VALUE"""),"TILIA")</f>
        <v>TILIA</v>
      </c>
      <c r="C575" s="97" t="str">
        <f>IFERROR(__xludf.DUMMYFUNCTION("""COMPUTED_VALUE"""),"-C- COLGANTE TILIA LEUK")</f>
        <v>-C- COLGANTE TILIA LEUK</v>
      </c>
      <c r="D575" s="97">
        <f>IFERROR(__xludf.DUMMYFUNCTION("""COMPUTED_VALUE"""),7.798328757647E12)</f>
        <v>7798328757647</v>
      </c>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t="str">
        <f>IFERROR(__xludf.DUMMYFUNCTION("""COMPUTED_VALUE"""),"IP20")</f>
        <v>IP20</v>
      </c>
      <c r="AE575" s="97"/>
      <c r="AF575" s="97" t="str">
        <f>IFERROR(__xludf.DUMMYFUNCTION("""COMPUTED_VALUE"""),"Suspender")</f>
        <v>Suspender</v>
      </c>
      <c r="AG575" s="97"/>
      <c r="AH575" s="97"/>
      <c r="AI575" s="97"/>
      <c r="AJ575" s="97"/>
      <c r="AK575" s="97" t="str">
        <f>IFERROR(__xludf.DUMMYFUNCTION("""COMPUTED_VALUE"""),"Cartón")</f>
        <v>Cartón</v>
      </c>
      <c r="AL575" s="97"/>
      <c r="AM575" s="97"/>
      <c r="AN575" s="97"/>
      <c r="AO575" s="97" t="str">
        <f>IFERROR(__xludf.DUMMYFUNCTION("""COMPUTED_VALUE"""),"1 Año")</f>
        <v>1 Año</v>
      </c>
      <c r="AP575" s="97"/>
      <c r="AQ575" s="97"/>
      <c r="AR575" s="97"/>
      <c r="AS575" s="97"/>
      <c r="AT575" s="97"/>
      <c r="AU575" s="97"/>
      <c r="AV575" s="97" t="str">
        <f>IFERROR(__xludf.DUMMYFUNCTION("""COMPUTED_VALUE"""),"Colgante")</f>
        <v>Colgante</v>
      </c>
      <c r="AW575" s="97" t="str">
        <f>IFERROR(__xludf.DUMMYFUNCTION("""COMPUTED_VALUE"""),"De Techo")</f>
        <v>De Techo</v>
      </c>
      <c r="AX575" s="97" t="str">
        <f>IFERROR(__xludf.DUMMYFUNCTION("""COMPUTED_VALUE"""),"Interior")</f>
        <v>Interior</v>
      </c>
      <c r="AY575" s="97"/>
      <c r="AZ575" s="97"/>
      <c r="BA575" s="97"/>
      <c r="BB575" s="97"/>
      <c r="BC575" s="97"/>
      <c r="BD575" s="97" t="str">
        <f>IFERROR(__xludf.DUMMYFUNCTION("""COMPUTED_VALUE"""),"TILIA")</f>
        <v>TILIA</v>
      </c>
      <c r="BE575" s="97" t="str">
        <f>IFERROR(__xludf.DUMMYFUNCTION("""COMPUTED_VALUE"""),"Sin Ficha")</f>
        <v>Sin Ficha</v>
      </c>
      <c r="BF575" s="97"/>
      <c r="BG575" s="97" t="str">
        <f>IFERROR(__xludf.DUMMYFUNCTION("""COMPUTED_VALUE"""),"Discontinuo")</f>
        <v>Discontinuo</v>
      </c>
    </row>
    <row r="576">
      <c r="A576" s="97">
        <f>IFERROR(__xludf.DUMMYFUNCTION("""COMPUTED_VALUE"""),6316.0)</f>
        <v>6316</v>
      </c>
      <c r="B576" s="97" t="str">
        <f>IFERROR(__xludf.DUMMYFUNCTION("""COMPUTED_VALUE"""),"TAXUS")</f>
        <v>TAXUS</v>
      </c>
      <c r="C576" s="97" t="str">
        <f>IFERROR(__xludf.DUMMYFUNCTION("""COMPUTED_VALUE"""),"-C- COLGANTE TAXUS LEUK")</f>
        <v>-C- COLGANTE TAXUS LEUK</v>
      </c>
      <c r="D576" s="97">
        <f>IFERROR(__xludf.DUMMYFUNCTION("""COMPUTED_VALUE"""),7.798328757654E12)</f>
        <v>7798328757654</v>
      </c>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t="str">
        <f>IFERROR(__xludf.DUMMYFUNCTION("""COMPUTED_VALUE"""),"IP20")</f>
        <v>IP20</v>
      </c>
      <c r="AE576" s="97"/>
      <c r="AF576" s="97" t="str">
        <f>IFERROR(__xludf.DUMMYFUNCTION("""COMPUTED_VALUE"""),"Suspender")</f>
        <v>Suspender</v>
      </c>
      <c r="AG576" s="97"/>
      <c r="AH576" s="97"/>
      <c r="AI576" s="97"/>
      <c r="AJ576" s="97"/>
      <c r="AK576" s="97" t="str">
        <f>IFERROR(__xludf.DUMMYFUNCTION("""COMPUTED_VALUE"""),"Cartón")</f>
        <v>Cartón</v>
      </c>
      <c r="AL576" s="97"/>
      <c r="AM576" s="97"/>
      <c r="AN576" s="97"/>
      <c r="AO576" s="97" t="str">
        <f>IFERROR(__xludf.DUMMYFUNCTION("""COMPUTED_VALUE"""),"1 Año")</f>
        <v>1 Año</v>
      </c>
      <c r="AP576" s="97"/>
      <c r="AQ576" s="97"/>
      <c r="AR576" s="97"/>
      <c r="AS576" s="97"/>
      <c r="AT576" s="97"/>
      <c r="AU576" s="97"/>
      <c r="AV576" s="97" t="str">
        <f>IFERROR(__xludf.DUMMYFUNCTION("""COMPUTED_VALUE"""),"Colgante")</f>
        <v>Colgante</v>
      </c>
      <c r="AW576" s="97" t="str">
        <f>IFERROR(__xludf.DUMMYFUNCTION("""COMPUTED_VALUE"""),"De Techo")</f>
        <v>De Techo</v>
      </c>
      <c r="AX576" s="97" t="str">
        <f>IFERROR(__xludf.DUMMYFUNCTION("""COMPUTED_VALUE"""),"Interior")</f>
        <v>Interior</v>
      </c>
      <c r="AY576" s="97"/>
      <c r="AZ576" s="97"/>
      <c r="BA576" s="97"/>
      <c r="BB576" s="97"/>
      <c r="BC576" s="97"/>
      <c r="BD576" s="97" t="str">
        <f>IFERROR(__xludf.DUMMYFUNCTION("""COMPUTED_VALUE"""),"TAXUS")</f>
        <v>TAXUS</v>
      </c>
      <c r="BE576" s="97" t="str">
        <f>IFERROR(__xludf.DUMMYFUNCTION("""COMPUTED_VALUE"""),"Sin Ficha")</f>
        <v>Sin Ficha</v>
      </c>
      <c r="BF576" s="97"/>
      <c r="BG576" s="97" t="str">
        <f>IFERROR(__xludf.DUMMYFUNCTION("""COMPUTED_VALUE"""),"Discontinuo")</f>
        <v>Discontinuo</v>
      </c>
    </row>
    <row r="577">
      <c r="A577" s="97">
        <f>IFERROR(__xludf.DUMMYFUNCTION("""COMPUTED_VALUE"""),6317.0)</f>
        <v>6317</v>
      </c>
      <c r="B577" s="97" t="str">
        <f>IFERROR(__xludf.DUMMYFUNCTION("""COMPUTED_VALUE"""),"ALBA")</f>
        <v>ALBA</v>
      </c>
      <c r="C577" s="97" t="str">
        <f>IFERROR(__xludf.DUMMYFUNCTION("""COMPUTED_VALUE"""),"-C- LAMPARA DE PIE ALBA LEUK")</f>
        <v>-C- LAMPARA DE PIE ALBA LEUK</v>
      </c>
      <c r="D577" s="97">
        <f>IFERROR(__xludf.DUMMYFUNCTION("""COMPUTED_VALUE"""),7.798328757661E12)</f>
        <v>7798328757661</v>
      </c>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t="str">
        <f>IFERROR(__xludf.DUMMYFUNCTION("""COMPUTED_VALUE"""),"IP20")</f>
        <v>IP20</v>
      </c>
      <c r="AE577" s="97"/>
      <c r="AF577" s="97" t="str">
        <f>IFERROR(__xludf.DUMMYFUNCTION("""COMPUTED_VALUE"""),"Autoportante")</f>
        <v>Autoportante</v>
      </c>
      <c r="AG577" s="97"/>
      <c r="AH577" s="97"/>
      <c r="AI577" s="97"/>
      <c r="AJ577" s="97"/>
      <c r="AK577" s="97" t="str">
        <f>IFERROR(__xludf.DUMMYFUNCTION("""COMPUTED_VALUE"""),"Cartón")</f>
        <v>Cartón</v>
      </c>
      <c r="AL577" s="97"/>
      <c r="AM577" s="97"/>
      <c r="AN577" s="97"/>
      <c r="AO577" s="97" t="str">
        <f>IFERROR(__xludf.DUMMYFUNCTION("""COMPUTED_VALUE"""),"1 Año")</f>
        <v>1 Año</v>
      </c>
      <c r="AP577" s="97"/>
      <c r="AQ577" s="97"/>
      <c r="AR577" s="97"/>
      <c r="AS577" s="97"/>
      <c r="AT577" s="97"/>
      <c r="AU577" s="97"/>
      <c r="AV577" s="97" t="str">
        <f>IFERROR(__xludf.DUMMYFUNCTION("""COMPUTED_VALUE"""),"Pie")</f>
        <v>Pie</v>
      </c>
      <c r="AW577" s="97" t="str">
        <f>IFERROR(__xludf.DUMMYFUNCTION("""COMPUTED_VALUE"""),"De Apoyo")</f>
        <v>De Apoyo</v>
      </c>
      <c r="AX577" s="97" t="str">
        <f>IFERROR(__xludf.DUMMYFUNCTION("""COMPUTED_VALUE"""),"Interior")</f>
        <v>Interior</v>
      </c>
      <c r="AY577" s="97"/>
      <c r="AZ577" s="97"/>
      <c r="BA577" s="97"/>
      <c r="BB577" s="97"/>
      <c r="BC577" s="97"/>
      <c r="BD577" s="97" t="str">
        <f>IFERROR(__xludf.DUMMYFUNCTION("""COMPUTED_VALUE"""),"ALBA")</f>
        <v>ALBA</v>
      </c>
      <c r="BE577" s="97" t="str">
        <f>IFERROR(__xludf.DUMMYFUNCTION("""COMPUTED_VALUE"""),"Sin Ficha")</f>
        <v>Sin Ficha</v>
      </c>
      <c r="BF577" s="97"/>
      <c r="BG577" s="97" t="str">
        <f>IFERROR(__xludf.DUMMYFUNCTION("""COMPUTED_VALUE"""),"Discontinuo")</f>
        <v>Discontinuo</v>
      </c>
    </row>
    <row r="578">
      <c r="A578" s="97">
        <f>IFERROR(__xludf.DUMMYFUNCTION("""COMPUTED_VALUE"""),6318.0)</f>
        <v>6318</v>
      </c>
      <c r="B578" s="97" t="str">
        <f>IFERROR(__xludf.DUMMYFUNCTION("""COMPUTED_VALUE"""),"PINEA")</f>
        <v>PINEA</v>
      </c>
      <c r="C578" s="97" t="str">
        <f>IFERROR(__xludf.DUMMYFUNCTION("""COMPUTED_VALUE"""),"-C- VELADOR PINEA LEUK")</f>
        <v>-C- VELADOR PINEA LEUK</v>
      </c>
      <c r="D578" s="97">
        <f>IFERROR(__xludf.DUMMYFUNCTION("""COMPUTED_VALUE"""),7.798328757678E12)</f>
        <v>7798328757678</v>
      </c>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t="str">
        <f>IFERROR(__xludf.DUMMYFUNCTION("""COMPUTED_VALUE"""),"IP20")</f>
        <v>IP20</v>
      </c>
      <c r="AE578" s="97"/>
      <c r="AF578" s="97" t="str">
        <f>IFERROR(__xludf.DUMMYFUNCTION("""COMPUTED_VALUE"""),"Autoportante")</f>
        <v>Autoportante</v>
      </c>
      <c r="AG578" s="97"/>
      <c r="AH578" s="97"/>
      <c r="AI578" s="97"/>
      <c r="AJ578" s="97"/>
      <c r="AK578" s="97" t="str">
        <f>IFERROR(__xludf.DUMMYFUNCTION("""COMPUTED_VALUE"""),"Cartón")</f>
        <v>Cartón</v>
      </c>
      <c r="AL578" s="97"/>
      <c r="AM578" s="97"/>
      <c r="AN578" s="97"/>
      <c r="AO578" s="97" t="str">
        <f>IFERROR(__xludf.DUMMYFUNCTION("""COMPUTED_VALUE"""),"1 Año")</f>
        <v>1 Año</v>
      </c>
      <c r="AP578" s="97"/>
      <c r="AQ578" s="97"/>
      <c r="AR578" s="97"/>
      <c r="AS578" s="97"/>
      <c r="AT578" s="97"/>
      <c r="AU578" s="97"/>
      <c r="AV578" s="97" t="str">
        <f>IFERROR(__xludf.DUMMYFUNCTION("""COMPUTED_VALUE"""),"Mesa")</f>
        <v>Mesa</v>
      </c>
      <c r="AW578" s="97" t="str">
        <f>IFERROR(__xludf.DUMMYFUNCTION("""COMPUTED_VALUE"""),"De Apoyo")</f>
        <v>De Apoyo</v>
      </c>
      <c r="AX578" s="97" t="str">
        <f>IFERROR(__xludf.DUMMYFUNCTION("""COMPUTED_VALUE"""),"Interior")</f>
        <v>Interior</v>
      </c>
      <c r="AY578" s="97"/>
      <c r="AZ578" s="97"/>
      <c r="BA578" s="97"/>
      <c r="BB578" s="97"/>
      <c r="BC578" s="97"/>
      <c r="BD578" s="97" t="str">
        <f>IFERROR(__xludf.DUMMYFUNCTION("""COMPUTED_VALUE"""),"PINEA")</f>
        <v>PINEA</v>
      </c>
      <c r="BE578" s="97" t="str">
        <f>IFERROR(__xludf.DUMMYFUNCTION("""COMPUTED_VALUE"""),"Sin Ficha")</f>
        <v>Sin Ficha</v>
      </c>
      <c r="BF578" s="97"/>
      <c r="BG578" s="97" t="str">
        <f>IFERROR(__xludf.DUMMYFUNCTION("""COMPUTED_VALUE"""),"Discontinuo")</f>
        <v>Discontinuo</v>
      </c>
    </row>
    <row r="579">
      <c r="A579" s="97">
        <f>IFERROR(__xludf.DUMMYFUNCTION("""COMPUTED_VALUE"""),6319.0)</f>
        <v>6319</v>
      </c>
      <c r="B579" s="97" t="str">
        <f>IFERROR(__xludf.DUMMYFUNCTION("""COMPUTED_VALUE"""),"OXALIS")</f>
        <v>OXALIS</v>
      </c>
      <c r="C579" s="97" t="str">
        <f>IFERROR(__xludf.DUMMYFUNCTION("""COMPUTED_VALUE"""),"-C- VELADOR OXALIS LEUK")</f>
        <v>-C- VELADOR OXALIS LEUK</v>
      </c>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t="str">
        <f>IFERROR(__xludf.DUMMYFUNCTION("""COMPUTED_VALUE"""),"IP20")</f>
        <v>IP20</v>
      </c>
      <c r="AE579" s="97"/>
      <c r="AF579" s="97" t="str">
        <f>IFERROR(__xludf.DUMMYFUNCTION("""COMPUTED_VALUE"""),"Autoportante")</f>
        <v>Autoportante</v>
      </c>
      <c r="AG579" s="97"/>
      <c r="AH579" s="97"/>
      <c r="AI579" s="97"/>
      <c r="AJ579" s="97"/>
      <c r="AK579" s="97" t="str">
        <f>IFERROR(__xludf.DUMMYFUNCTION("""COMPUTED_VALUE"""),"Cartón")</f>
        <v>Cartón</v>
      </c>
      <c r="AL579" s="97"/>
      <c r="AM579" s="97"/>
      <c r="AN579" s="97"/>
      <c r="AO579" s="97" t="str">
        <f>IFERROR(__xludf.DUMMYFUNCTION("""COMPUTED_VALUE"""),"1 Año")</f>
        <v>1 Año</v>
      </c>
      <c r="AP579" s="97"/>
      <c r="AQ579" s="97"/>
      <c r="AR579" s="97"/>
      <c r="AS579" s="97"/>
      <c r="AT579" s="97"/>
      <c r="AU579" s="97"/>
      <c r="AV579" s="97" t="str">
        <f>IFERROR(__xludf.DUMMYFUNCTION("""COMPUTED_VALUE"""),"Mesa")</f>
        <v>Mesa</v>
      </c>
      <c r="AW579" s="97" t="str">
        <f>IFERROR(__xludf.DUMMYFUNCTION("""COMPUTED_VALUE"""),"De Apoyo")</f>
        <v>De Apoyo</v>
      </c>
      <c r="AX579" s="97" t="str">
        <f>IFERROR(__xludf.DUMMYFUNCTION("""COMPUTED_VALUE"""),"Interior")</f>
        <v>Interior</v>
      </c>
      <c r="AY579" s="97"/>
      <c r="AZ579" s="97"/>
      <c r="BA579" s="97"/>
      <c r="BB579" s="97"/>
      <c r="BC579" s="97"/>
      <c r="BD579" s="97" t="str">
        <f>IFERROR(__xludf.DUMMYFUNCTION("""COMPUTED_VALUE"""),"OXALIS")</f>
        <v>OXALIS</v>
      </c>
      <c r="BE579" s="97" t="str">
        <f>IFERROR(__xludf.DUMMYFUNCTION("""COMPUTED_VALUE"""),"Sin Ficha")</f>
        <v>Sin Ficha</v>
      </c>
      <c r="BF579" s="97"/>
      <c r="BG579" s="97" t="str">
        <f>IFERROR(__xludf.DUMMYFUNCTION("""COMPUTED_VALUE"""),"Discontinuo")</f>
        <v>Discontinuo</v>
      </c>
    </row>
    <row r="580">
      <c r="A580" s="97">
        <f>IFERROR(__xludf.DUMMYFUNCTION("""COMPUTED_VALUE"""),6320.0)</f>
        <v>6320</v>
      </c>
      <c r="B580" s="97" t="str">
        <f>IFERROR(__xludf.DUMMYFUNCTION("""COMPUTED_VALUE"""),"GALIUM")</f>
        <v>GALIUM</v>
      </c>
      <c r="C580" s="97" t="str">
        <f>IFERROR(__xludf.DUMMYFUNCTION("""COMPUTED_VALUE"""),"COLGANTE GALIUM LEUK")</f>
        <v>COLGANTE GALIUM LEUK</v>
      </c>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t="str">
        <f>IFERROR(__xludf.DUMMYFUNCTION("""COMPUTED_VALUE"""),"IP20")</f>
        <v>IP20</v>
      </c>
      <c r="AE580" s="97"/>
      <c r="AF580" s="97" t="str">
        <f>IFERROR(__xludf.DUMMYFUNCTION("""COMPUTED_VALUE"""),"Suspender")</f>
        <v>Suspender</v>
      </c>
      <c r="AG580" s="97"/>
      <c r="AH580" s="97"/>
      <c r="AI580" s="97"/>
      <c r="AJ580" s="97"/>
      <c r="AK580" s="97"/>
      <c r="AL580" s="97"/>
      <c r="AM580" s="97"/>
      <c r="AN580" s="97"/>
      <c r="AO580" s="97" t="str">
        <f>IFERROR(__xludf.DUMMYFUNCTION("""COMPUTED_VALUE"""),"1 Año")</f>
        <v>1 Año</v>
      </c>
      <c r="AP580" s="97"/>
      <c r="AQ580" s="97"/>
      <c r="AR580" s="97"/>
      <c r="AS580" s="97"/>
      <c r="AT580" s="97"/>
      <c r="AU580" s="97"/>
      <c r="AV580" s="97" t="str">
        <f>IFERROR(__xludf.DUMMYFUNCTION("""COMPUTED_VALUE"""),"Colgante")</f>
        <v>Colgante</v>
      </c>
      <c r="AW580" s="97" t="str">
        <f>IFERROR(__xludf.DUMMYFUNCTION("""COMPUTED_VALUE"""),"De Techo")</f>
        <v>De Techo</v>
      </c>
      <c r="AX580" s="97" t="str">
        <f>IFERROR(__xludf.DUMMYFUNCTION("""COMPUTED_VALUE"""),"Interior")</f>
        <v>Interior</v>
      </c>
      <c r="AY580" s="97"/>
      <c r="AZ580" s="97"/>
      <c r="BA580" s="97"/>
      <c r="BB580" s="97"/>
      <c r="BC580" s="97"/>
      <c r="BD580" s="97" t="str">
        <f>IFERROR(__xludf.DUMMYFUNCTION("""COMPUTED_VALUE"""),"GALIUM")</f>
        <v>GALIUM</v>
      </c>
      <c r="BE580" s="97" t="str">
        <f>IFERROR(__xludf.DUMMYFUNCTION("""COMPUTED_VALUE"""),"Sin Ficha")</f>
        <v>Sin Ficha</v>
      </c>
      <c r="BF580" s="97"/>
      <c r="BG580" s="97" t="str">
        <f>IFERROR(__xludf.DUMMYFUNCTION("""COMPUTED_VALUE"""),"Discontinuo")</f>
        <v>Discontinuo</v>
      </c>
    </row>
    <row r="581">
      <c r="A581" s="97">
        <f>IFERROR(__xludf.DUMMYFUNCTION("""COMPUTED_VALUE"""),6321.0)</f>
        <v>6321</v>
      </c>
      <c r="B581" s="97" t="str">
        <f>IFERROR(__xludf.DUMMYFUNCTION("""COMPUTED_VALUE"""),"AFULA")</f>
        <v>AFULA</v>
      </c>
      <c r="C581" s="97" t="str">
        <f>IFERROR(__xludf.DUMMYFUNCTION("""COMPUTED_VALUE"""),"-C- LAMPARA DE PISO AFULA LEUK")</f>
        <v>-C- LAMPARA DE PISO AFULA LEUK</v>
      </c>
      <c r="D581" s="97">
        <f>IFERROR(__xludf.DUMMYFUNCTION("""COMPUTED_VALUE"""),7.798328757685E12)</f>
        <v>7798328757685</v>
      </c>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t="str">
        <f>IFERROR(__xludf.DUMMYFUNCTION("""COMPUTED_VALUE"""),"IP20")</f>
        <v>IP20</v>
      </c>
      <c r="AE581" s="97"/>
      <c r="AF581" s="97" t="str">
        <f>IFERROR(__xludf.DUMMYFUNCTION("""COMPUTED_VALUE"""),"Autoportante")</f>
        <v>Autoportante</v>
      </c>
      <c r="AG581" s="97"/>
      <c r="AH581" s="97"/>
      <c r="AI581" s="97"/>
      <c r="AJ581" s="97"/>
      <c r="AK581" s="97" t="str">
        <f>IFERROR(__xludf.DUMMYFUNCTION("""COMPUTED_VALUE"""),"Cartón")</f>
        <v>Cartón</v>
      </c>
      <c r="AL581" s="97"/>
      <c r="AM581" s="97"/>
      <c r="AN581" s="97"/>
      <c r="AO581" s="97" t="str">
        <f>IFERROR(__xludf.DUMMYFUNCTION("""COMPUTED_VALUE"""),"1 Año")</f>
        <v>1 Año</v>
      </c>
      <c r="AP581" s="97"/>
      <c r="AQ581" s="97"/>
      <c r="AR581" s="97"/>
      <c r="AS581" s="97"/>
      <c r="AT581" s="97"/>
      <c r="AU581" s="97"/>
      <c r="AV581" s="97" t="str">
        <f>IFERROR(__xludf.DUMMYFUNCTION("""COMPUTED_VALUE"""),"Pie")</f>
        <v>Pie</v>
      </c>
      <c r="AW581" s="97" t="str">
        <f>IFERROR(__xludf.DUMMYFUNCTION("""COMPUTED_VALUE"""),"De Apoyo")</f>
        <v>De Apoyo</v>
      </c>
      <c r="AX581" s="97" t="str">
        <f>IFERROR(__xludf.DUMMYFUNCTION("""COMPUTED_VALUE"""),"Interior")</f>
        <v>Interior</v>
      </c>
      <c r="AY581" s="97"/>
      <c r="AZ581" s="97"/>
      <c r="BA581" s="97"/>
      <c r="BB581" s="97"/>
      <c r="BC581" s="97"/>
      <c r="BD581" s="97" t="str">
        <f>IFERROR(__xludf.DUMMYFUNCTION("""COMPUTED_VALUE"""),"AFULA")</f>
        <v>AFULA</v>
      </c>
      <c r="BE581" s="97" t="str">
        <f>IFERROR(__xludf.DUMMYFUNCTION("""COMPUTED_VALUE"""),"Sin Ficha")</f>
        <v>Sin Ficha</v>
      </c>
      <c r="BF581" s="97"/>
      <c r="BG581" s="97" t="str">
        <f>IFERROR(__xludf.DUMMYFUNCTION("""COMPUTED_VALUE"""),"Discontinuo")</f>
        <v>Discontinuo</v>
      </c>
    </row>
    <row r="582">
      <c r="A582" s="97">
        <f>IFERROR(__xludf.DUMMYFUNCTION("""COMPUTED_VALUE"""),6322.0)</f>
        <v>6322</v>
      </c>
      <c r="B582" s="97" t="str">
        <f>IFERROR(__xludf.DUMMYFUNCTION("""COMPUTED_VALUE"""),"BELLIS")</f>
        <v>BELLIS</v>
      </c>
      <c r="C582" s="97" t="str">
        <f>IFERROR(__xludf.DUMMYFUNCTION("""COMPUTED_VALUE"""),"-C- VELADOR BELLIS LEUK")</f>
        <v>-C- VELADOR BELLIS LEUK</v>
      </c>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t="str">
        <f>IFERROR(__xludf.DUMMYFUNCTION("""COMPUTED_VALUE"""),"IP20")</f>
        <v>IP20</v>
      </c>
      <c r="AE582" s="97"/>
      <c r="AF582" s="97" t="str">
        <f>IFERROR(__xludf.DUMMYFUNCTION("""COMPUTED_VALUE"""),"Autoportante")</f>
        <v>Autoportante</v>
      </c>
      <c r="AG582" s="97"/>
      <c r="AH582" s="97"/>
      <c r="AI582" s="97"/>
      <c r="AJ582" s="97"/>
      <c r="AK582" s="97" t="str">
        <f>IFERROR(__xludf.DUMMYFUNCTION("""COMPUTED_VALUE"""),"Cartón")</f>
        <v>Cartón</v>
      </c>
      <c r="AL582" s="97"/>
      <c r="AM582" s="97"/>
      <c r="AN582" s="97"/>
      <c r="AO582" s="97" t="str">
        <f>IFERROR(__xludf.DUMMYFUNCTION("""COMPUTED_VALUE"""),"1 Año")</f>
        <v>1 Año</v>
      </c>
      <c r="AP582" s="97"/>
      <c r="AQ582" s="97"/>
      <c r="AR582" s="97"/>
      <c r="AS582" s="97"/>
      <c r="AT582" s="97"/>
      <c r="AU582" s="97"/>
      <c r="AV582" s="97" t="str">
        <f>IFERROR(__xludf.DUMMYFUNCTION("""COMPUTED_VALUE"""),"Mesa")</f>
        <v>Mesa</v>
      </c>
      <c r="AW582" s="97" t="str">
        <f>IFERROR(__xludf.DUMMYFUNCTION("""COMPUTED_VALUE"""),"De Apoyo")</f>
        <v>De Apoyo</v>
      </c>
      <c r="AX582" s="97" t="str">
        <f>IFERROR(__xludf.DUMMYFUNCTION("""COMPUTED_VALUE"""),"Interior")</f>
        <v>Interior</v>
      </c>
      <c r="AY582" s="97"/>
      <c r="AZ582" s="97"/>
      <c r="BA582" s="97"/>
      <c r="BB582" s="97"/>
      <c r="BC582" s="97"/>
      <c r="BD582" s="97" t="str">
        <f>IFERROR(__xludf.DUMMYFUNCTION("""COMPUTED_VALUE"""),"BELLIS")</f>
        <v>BELLIS</v>
      </c>
      <c r="BE582" s="97" t="str">
        <f>IFERROR(__xludf.DUMMYFUNCTION("""COMPUTED_VALUE"""),"Sin Ficha")</f>
        <v>Sin Ficha</v>
      </c>
      <c r="BF582" s="97"/>
      <c r="BG582" s="97" t="str">
        <f>IFERROR(__xludf.DUMMYFUNCTION("""COMPUTED_VALUE"""),"Discontinuo")</f>
        <v>Discontinuo</v>
      </c>
    </row>
    <row r="583">
      <c r="A583" s="97">
        <f>IFERROR(__xludf.DUMMYFUNCTION("""COMPUTED_VALUE"""),6323.0)</f>
        <v>6323</v>
      </c>
      <c r="B583" s="97" t="str">
        <f>IFERROR(__xludf.DUMMYFUNCTION("""COMPUTED_VALUE"""),"AXE II BL")</f>
        <v>AXE II BL</v>
      </c>
      <c r="C583" s="97" t="str">
        <f>IFERROR(__xludf.DUMMYFUNCTION("""COMPUTED_VALUE"""),"APLIQUE AXE2 BLANCO LEUK")</f>
        <v>APLIQUE AXE2 BLANCO LEUK</v>
      </c>
      <c r="D583" s="97">
        <f>IFERROR(__xludf.DUMMYFUNCTION("""COMPUTED_VALUE"""),7.798328757494E12)</f>
        <v>7798328757494</v>
      </c>
      <c r="E583" s="97"/>
      <c r="F583" s="97" t="str">
        <f>IFERROR(__xludf.DUMMYFUNCTION("""COMPUTED_VALUE"""),"2 x GU10")</f>
        <v>2 x GU10</v>
      </c>
      <c r="G583" s="97" t="str">
        <f>IFERROR(__xludf.DUMMYFUNCTION("""COMPUTED_VALUE"""),"N/A")</f>
        <v>N/A</v>
      </c>
      <c r="H583" s="97" t="str">
        <f>IFERROR(__xludf.DUMMYFUNCTION("""COMPUTED_VALUE"""),"N/A")</f>
        <v>N/A</v>
      </c>
      <c r="I583" s="97" t="str">
        <f>IFERROR(__xludf.DUMMYFUNCTION("""COMPUTED_VALUE"""),"N/A")</f>
        <v>N/A</v>
      </c>
      <c r="J583" s="97"/>
      <c r="K583" s="97" t="str">
        <f>IFERROR(__xludf.DUMMYFUNCTION("""COMPUTED_VALUE"""),"N/A")</f>
        <v>N/A</v>
      </c>
      <c r="L583" s="97">
        <f>IFERROR(__xludf.DUMMYFUNCTION("""COMPUTED_VALUE"""),220.0)</f>
        <v>220</v>
      </c>
      <c r="M583" s="97">
        <f>IFERROR(__xludf.DUMMYFUNCTION("""COMPUTED_VALUE"""),50.0)</f>
        <v>50</v>
      </c>
      <c r="N583" s="97"/>
      <c r="O583" s="97" t="str">
        <f>IFERROR(__xludf.DUMMYFUNCTION("""COMPUTED_VALUE"""),"2 x 50W Max")</f>
        <v>2 x 50W Max</v>
      </c>
      <c r="P583" s="97"/>
      <c r="Q583" s="97" t="str">
        <f>IFERROR(__xludf.DUMMYFUNCTION("""COMPUTED_VALUE"""),"-")</f>
        <v>-</v>
      </c>
      <c r="R583" s="97" t="str">
        <f>IFERROR(__xludf.DUMMYFUNCTION("""COMPUTED_VALUE"""),"-")</f>
        <v>-</v>
      </c>
      <c r="S583" s="97" t="str">
        <f>IFERROR(__xludf.DUMMYFUNCTION("""COMPUTED_VALUE"""),"-")</f>
        <v>-</v>
      </c>
      <c r="T583" s="97" t="str">
        <f>IFERROR(__xludf.DUMMYFUNCTION("""COMPUTED_VALUE"""),"-")</f>
        <v>-</v>
      </c>
      <c r="U583" s="97" t="str">
        <f>IFERROR(__xludf.DUMMYFUNCTION("""COMPUTED_VALUE"""),"-")</f>
        <v>-</v>
      </c>
      <c r="V583" s="97" t="str">
        <f>IFERROR(__xludf.DUMMYFUNCTION("""COMPUTED_VALUE"""),"N/A")</f>
        <v>N/A</v>
      </c>
      <c r="W583" s="97" t="str">
        <f>IFERROR(__xludf.DUMMYFUNCTION("""COMPUTED_VALUE"""),"N/A")</f>
        <v>N/A</v>
      </c>
      <c r="X583" s="97" t="str">
        <f>IFERROR(__xludf.DUMMYFUNCTION("""COMPUTED_VALUE"""),"-")</f>
        <v>-</v>
      </c>
      <c r="Y583" s="97" t="str">
        <f>IFERROR(__xludf.DUMMYFUNCTION("""COMPUTED_VALUE"""),"N/A")</f>
        <v>N/A</v>
      </c>
      <c r="Z583" s="97" t="str">
        <f>IFERROR(__xludf.DUMMYFUNCTION("""COMPUTED_VALUE"""),"N/A")</f>
        <v>N/A</v>
      </c>
      <c r="AA583" s="97" t="str">
        <f>IFERROR(__xludf.DUMMYFUNCTION("""COMPUTED_VALUE"""),"N/A")</f>
        <v>N/A</v>
      </c>
      <c r="AB583" s="97" t="str">
        <f>IFERROR(__xludf.DUMMYFUNCTION("""COMPUTED_VALUE"""),"N/A")</f>
        <v>N/A</v>
      </c>
      <c r="AC583" s="97" t="str">
        <f>IFERROR(__xludf.DUMMYFUNCTION("""COMPUTED_VALUE"""),"N/A")</f>
        <v>N/A</v>
      </c>
      <c r="AD583" s="97" t="str">
        <f>IFERROR(__xludf.DUMMYFUNCTION("""COMPUTED_VALUE"""),"IP20")</f>
        <v>IP20</v>
      </c>
      <c r="AE583" s="97" t="str">
        <f>IFERROR(__xludf.DUMMYFUNCTION("""COMPUTED_VALUE"""),"N/A")</f>
        <v>N/A</v>
      </c>
      <c r="AF583" s="97" t="str">
        <f>IFERROR(__xludf.DUMMYFUNCTION("""COMPUTED_VALUE"""),"Aplicar")</f>
        <v>Aplicar</v>
      </c>
      <c r="AG583" s="97" t="str">
        <f>IFERROR(__xludf.DUMMYFUNCTION("""COMPUTED_VALUE"""),"185 x 93 x 100")</f>
        <v>185 x 93 x 100</v>
      </c>
      <c r="AH583" s="97" t="str">
        <f>IFERROR(__xludf.DUMMYFUNCTION("""COMPUTED_VALUE"""),"N/A")</f>
        <v>N/A</v>
      </c>
      <c r="AI583" s="97" t="str">
        <f>IFERROR(__xludf.DUMMYFUNCTION("""COMPUTED_VALUE"""),"N/A")</f>
        <v>N/A</v>
      </c>
      <c r="AJ583" s="97" t="str">
        <f>IFERROR(__xludf.DUMMYFUNCTION("""COMPUTED_VALUE"""),"N/A")</f>
        <v>N/A</v>
      </c>
      <c r="AK583" s="97" t="str">
        <f>IFERROR(__xludf.DUMMYFUNCTION("""COMPUTED_VALUE"""),"Policarbonato (PC)")</f>
        <v>Policarbonato (PC)</v>
      </c>
      <c r="AL583" s="97" t="str">
        <f>IFERROR(__xludf.DUMMYFUNCTION("""COMPUTED_VALUE"""),"Blanco Mate")</f>
        <v>Blanco Mate</v>
      </c>
      <c r="AM583" s="97" t="str">
        <f>IFERROR(__xludf.DUMMYFUNCTION("""COMPUTED_VALUE"""),"-")</f>
        <v>-</v>
      </c>
      <c r="AN583" s="97" t="str">
        <f>IFERROR(__xludf.DUMMYFUNCTION("""COMPUTED_VALUE"""),"N/A")</f>
        <v>N/A</v>
      </c>
      <c r="AO583" s="97" t="str">
        <f>IFERROR(__xludf.DUMMYFUNCTION("""COMPUTED_VALUE"""),"8 Años")</f>
        <v>8 Años</v>
      </c>
      <c r="AP583" s="97" t="str">
        <f>IFERROR(__xludf.DUMMYFUNCTION("""COMPUTED_VALUE"""),"No Aplica")</f>
        <v>No Aplica</v>
      </c>
      <c r="AQ583" s="97" t="str">
        <f>IFERROR(__xludf.DUMMYFUNCTION("""COMPUTED_VALUE"""),"No Aplica")</f>
        <v>No Aplica</v>
      </c>
      <c r="AR583" s="97" t="str">
        <f>IFERROR(__xludf.DUMMYFUNCTION("""COMPUTED_VALUE"""),"No Aplica")</f>
        <v>No Aplica</v>
      </c>
      <c r="AS583" s="97"/>
      <c r="AT583" s="97"/>
      <c r="AU583" s="97"/>
      <c r="AV583" s="97" t="str">
        <f>IFERROR(__xludf.DUMMYFUNCTION("""COMPUTED_VALUE"""),"Empotrable")</f>
        <v>Empotrable</v>
      </c>
      <c r="AW583" s="97" t="str">
        <f>IFERROR(__xludf.DUMMYFUNCTION("""COMPUTED_VALUE"""),"De Techo")</f>
        <v>De Techo</v>
      </c>
      <c r="AX583" s="97" t="str">
        <f>IFERROR(__xludf.DUMMYFUNCTION("""COMPUTED_VALUE"""),"Interior")</f>
        <v>Interior</v>
      </c>
      <c r="AY583" s="97"/>
      <c r="AZ583" s="97" t="str">
        <f>IFERROR(__xludf.DUMMYFUNCTION("""COMPUTED_VALUE"""),"Spot con Movimiento.
**Garantía de 8 años de amarillamiento de PC.
***Retardador de incendios: clasificación BS2D0 con resistencia hasta 120°C.
****PC con protección contra rayos UV.")</f>
        <v>Spot con Movimiento.
**Garantía de 8 años de amarillamiento de PC.
***Retardador de incendios: clasificación BS2D0 con resistencia hasta 120°C.
****PC con protección contra rayos UV.</v>
      </c>
      <c r="BA583" s="97">
        <f>IFERROR(__xludf.DUMMYFUNCTION("""COMPUTED_VALUE"""),20.0)</f>
        <v>20</v>
      </c>
      <c r="BB583" s="97"/>
      <c r="BC583" s="97"/>
      <c r="BD583" s="97" t="str">
        <f>IFERROR(__xludf.DUMMYFUNCTION("""COMPUTED_VALUE"""),"AXE")</f>
        <v>AXE</v>
      </c>
      <c r="BE583" s="97" t="str">
        <f>IFERROR(__xludf.DUMMYFUNCTION("""COMPUTED_VALUE"""),"Finalizada")</f>
        <v>Finalizada</v>
      </c>
      <c r="BF583" s="97"/>
      <c r="BG583" s="97" t="str">
        <f>IFERROR(__xludf.DUMMYFUNCTION("""COMPUTED_VALUE"""),"Discontinuo")</f>
        <v>Discontinuo</v>
      </c>
    </row>
    <row r="584">
      <c r="A584" s="97">
        <f>IFERROR(__xludf.DUMMYFUNCTION("""COMPUTED_VALUE"""),6324.0)</f>
        <v>6324</v>
      </c>
      <c r="B584" s="97" t="str">
        <f>IFERROR(__xludf.DUMMYFUNCTION("""COMPUTED_VALUE"""),"AXE II NG")</f>
        <v>AXE II NG</v>
      </c>
      <c r="C584" s="97" t="str">
        <f>IFERROR(__xludf.DUMMYFUNCTION("""COMPUTED_VALUE"""),"APLIQUE AXE2 NEGRO LEUK")</f>
        <v>APLIQUE AXE2 NEGRO LEUK</v>
      </c>
      <c r="D584" s="97">
        <f>IFERROR(__xludf.DUMMYFUNCTION("""COMPUTED_VALUE"""),7.7983287575E12)</f>
        <v>7798328757500</v>
      </c>
      <c r="E584" s="97"/>
      <c r="F584" s="97" t="str">
        <f>IFERROR(__xludf.DUMMYFUNCTION("""COMPUTED_VALUE"""),"2 x GU10")</f>
        <v>2 x GU10</v>
      </c>
      <c r="G584" s="97" t="str">
        <f>IFERROR(__xludf.DUMMYFUNCTION("""COMPUTED_VALUE"""),"N/A")</f>
        <v>N/A</v>
      </c>
      <c r="H584" s="97" t="str">
        <f>IFERROR(__xludf.DUMMYFUNCTION("""COMPUTED_VALUE"""),"N/A")</f>
        <v>N/A</v>
      </c>
      <c r="I584" s="97" t="str">
        <f>IFERROR(__xludf.DUMMYFUNCTION("""COMPUTED_VALUE"""),"N/A")</f>
        <v>N/A</v>
      </c>
      <c r="J584" s="97"/>
      <c r="K584" s="97" t="str">
        <f>IFERROR(__xludf.DUMMYFUNCTION("""COMPUTED_VALUE"""),"N/A")</f>
        <v>N/A</v>
      </c>
      <c r="L584" s="97">
        <f>IFERROR(__xludf.DUMMYFUNCTION("""COMPUTED_VALUE"""),220.0)</f>
        <v>220</v>
      </c>
      <c r="M584" s="97">
        <f>IFERROR(__xludf.DUMMYFUNCTION("""COMPUTED_VALUE"""),50.0)</f>
        <v>50</v>
      </c>
      <c r="N584" s="97"/>
      <c r="O584" s="97" t="str">
        <f>IFERROR(__xludf.DUMMYFUNCTION("""COMPUTED_VALUE"""),"2 x 50W Max")</f>
        <v>2 x 50W Max</v>
      </c>
      <c r="P584" s="97"/>
      <c r="Q584" s="97" t="str">
        <f>IFERROR(__xludf.DUMMYFUNCTION("""COMPUTED_VALUE"""),"-")</f>
        <v>-</v>
      </c>
      <c r="R584" s="97" t="str">
        <f>IFERROR(__xludf.DUMMYFUNCTION("""COMPUTED_VALUE"""),"-")</f>
        <v>-</v>
      </c>
      <c r="S584" s="97" t="str">
        <f>IFERROR(__xludf.DUMMYFUNCTION("""COMPUTED_VALUE"""),"-")</f>
        <v>-</v>
      </c>
      <c r="T584" s="97" t="str">
        <f>IFERROR(__xludf.DUMMYFUNCTION("""COMPUTED_VALUE"""),"-")</f>
        <v>-</v>
      </c>
      <c r="U584" s="97" t="str">
        <f>IFERROR(__xludf.DUMMYFUNCTION("""COMPUTED_VALUE"""),"-")</f>
        <v>-</v>
      </c>
      <c r="V584" s="97" t="str">
        <f>IFERROR(__xludf.DUMMYFUNCTION("""COMPUTED_VALUE"""),"N/A")</f>
        <v>N/A</v>
      </c>
      <c r="W584" s="97" t="str">
        <f>IFERROR(__xludf.DUMMYFUNCTION("""COMPUTED_VALUE"""),"N/A")</f>
        <v>N/A</v>
      </c>
      <c r="X584" s="97" t="str">
        <f>IFERROR(__xludf.DUMMYFUNCTION("""COMPUTED_VALUE"""),"-")</f>
        <v>-</v>
      </c>
      <c r="Y584" s="97" t="str">
        <f>IFERROR(__xludf.DUMMYFUNCTION("""COMPUTED_VALUE"""),"N/A")</f>
        <v>N/A</v>
      </c>
      <c r="Z584" s="97" t="str">
        <f>IFERROR(__xludf.DUMMYFUNCTION("""COMPUTED_VALUE"""),"N/A")</f>
        <v>N/A</v>
      </c>
      <c r="AA584" s="97" t="str">
        <f>IFERROR(__xludf.DUMMYFUNCTION("""COMPUTED_VALUE"""),"N/A")</f>
        <v>N/A</v>
      </c>
      <c r="AB584" s="97" t="str">
        <f>IFERROR(__xludf.DUMMYFUNCTION("""COMPUTED_VALUE"""),"N/A")</f>
        <v>N/A</v>
      </c>
      <c r="AC584" s="97" t="str">
        <f>IFERROR(__xludf.DUMMYFUNCTION("""COMPUTED_VALUE"""),"N/A")</f>
        <v>N/A</v>
      </c>
      <c r="AD584" s="97" t="str">
        <f>IFERROR(__xludf.DUMMYFUNCTION("""COMPUTED_VALUE"""),"IP20")</f>
        <v>IP20</v>
      </c>
      <c r="AE584" s="97" t="str">
        <f>IFERROR(__xludf.DUMMYFUNCTION("""COMPUTED_VALUE"""),"N/A")</f>
        <v>N/A</v>
      </c>
      <c r="AF584" s="97" t="str">
        <f>IFERROR(__xludf.DUMMYFUNCTION("""COMPUTED_VALUE"""),"Aplicar")</f>
        <v>Aplicar</v>
      </c>
      <c r="AG584" s="97" t="str">
        <f>IFERROR(__xludf.DUMMYFUNCTION("""COMPUTED_VALUE"""),"185 x 93 x 100")</f>
        <v>185 x 93 x 100</v>
      </c>
      <c r="AH584" s="97" t="str">
        <f>IFERROR(__xludf.DUMMYFUNCTION("""COMPUTED_VALUE"""),"N/A")</f>
        <v>N/A</v>
      </c>
      <c r="AI584" s="97" t="str">
        <f>IFERROR(__xludf.DUMMYFUNCTION("""COMPUTED_VALUE"""),"N/A")</f>
        <v>N/A</v>
      </c>
      <c r="AJ584" s="97" t="str">
        <f>IFERROR(__xludf.DUMMYFUNCTION("""COMPUTED_VALUE"""),"N/A")</f>
        <v>N/A</v>
      </c>
      <c r="AK584" s="97" t="str">
        <f>IFERROR(__xludf.DUMMYFUNCTION("""COMPUTED_VALUE"""),"Policarbonato (PC)")</f>
        <v>Policarbonato (PC)</v>
      </c>
      <c r="AL584" s="97" t="str">
        <f>IFERROR(__xludf.DUMMYFUNCTION("""COMPUTED_VALUE"""),"Negro Mate")</f>
        <v>Negro Mate</v>
      </c>
      <c r="AM584" s="97" t="str">
        <f>IFERROR(__xludf.DUMMYFUNCTION("""COMPUTED_VALUE"""),"-")</f>
        <v>-</v>
      </c>
      <c r="AN584" s="97" t="str">
        <f>IFERROR(__xludf.DUMMYFUNCTION("""COMPUTED_VALUE"""),"N/A")</f>
        <v>N/A</v>
      </c>
      <c r="AO584" s="97" t="str">
        <f>IFERROR(__xludf.DUMMYFUNCTION("""COMPUTED_VALUE"""),"8 Años")</f>
        <v>8 Años</v>
      </c>
      <c r="AP584" s="97" t="str">
        <f>IFERROR(__xludf.DUMMYFUNCTION("""COMPUTED_VALUE"""),"No Aplica")</f>
        <v>No Aplica</v>
      </c>
      <c r="AQ584" s="97" t="str">
        <f>IFERROR(__xludf.DUMMYFUNCTION("""COMPUTED_VALUE"""),"No Aplica")</f>
        <v>No Aplica</v>
      </c>
      <c r="AR584" s="97" t="str">
        <f>IFERROR(__xludf.DUMMYFUNCTION("""COMPUTED_VALUE"""),"No Aplica")</f>
        <v>No Aplica</v>
      </c>
      <c r="AS584" s="97"/>
      <c r="AT584" s="97"/>
      <c r="AU584" s="97"/>
      <c r="AV584" s="97" t="str">
        <f>IFERROR(__xludf.DUMMYFUNCTION("""COMPUTED_VALUE"""),"Empotrable")</f>
        <v>Empotrable</v>
      </c>
      <c r="AW584" s="97" t="str">
        <f>IFERROR(__xludf.DUMMYFUNCTION("""COMPUTED_VALUE"""),"De Techo")</f>
        <v>De Techo</v>
      </c>
      <c r="AX584" s="97" t="str">
        <f>IFERROR(__xludf.DUMMYFUNCTION("""COMPUTED_VALUE"""),"Interior")</f>
        <v>Interior</v>
      </c>
      <c r="AY584" s="97"/>
      <c r="AZ584" s="97" t="str">
        <f>IFERROR(__xludf.DUMMYFUNCTION("""COMPUTED_VALUE"""),"Spot con Movimiento.
**Garantía de 8 años de amarillamiento de PC.
***Retardador de incendios: clasificación BS2D0 con resistencia hasta 120°C.
****PC con protección contra rayos UV.")</f>
        <v>Spot con Movimiento.
**Garantía de 8 años de amarillamiento de PC.
***Retardador de incendios: clasificación BS2D0 con resistencia hasta 120°C.
****PC con protección contra rayos UV.</v>
      </c>
      <c r="BA584" s="97">
        <f>IFERROR(__xludf.DUMMYFUNCTION("""COMPUTED_VALUE"""),20.0)</f>
        <v>20</v>
      </c>
      <c r="BB584" s="97"/>
      <c r="BC584" s="97"/>
      <c r="BD584" s="97" t="str">
        <f>IFERROR(__xludf.DUMMYFUNCTION("""COMPUTED_VALUE"""),"AXE")</f>
        <v>AXE</v>
      </c>
      <c r="BE584" s="97" t="str">
        <f>IFERROR(__xludf.DUMMYFUNCTION("""COMPUTED_VALUE"""),"Finalizada")</f>
        <v>Finalizada</v>
      </c>
      <c r="BF584" s="97"/>
      <c r="BG584" s="97" t="str">
        <f>IFERROR(__xludf.DUMMYFUNCTION("""COMPUTED_VALUE"""),"Discontinuo")</f>
        <v>Discontinuo</v>
      </c>
    </row>
    <row r="585">
      <c r="A585" s="97">
        <f>IFERROR(__xludf.DUMMYFUNCTION("""COMPUTED_VALUE"""),6325.0)</f>
        <v>6325</v>
      </c>
      <c r="B585" s="97" t="str">
        <f>IFERROR(__xludf.DUMMYFUNCTION("""COMPUTED_VALUE"""),"FACH II BL")</f>
        <v>FACH II BL</v>
      </c>
      <c r="C585" s="97" t="str">
        <f>IFERROR(__xludf.DUMMYFUNCTION("""COMPUTED_VALUE"""),"APLIQUE FACH2 BLANCO LEUK")</f>
        <v>APLIQUE FACH2 BLANCO LEUK</v>
      </c>
      <c r="D585" s="97">
        <f>IFERROR(__xludf.DUMMYFUNCTION("""COMPUTED_VALUE"""),7.798328757517E12)</f>
        <v>7798328757517</v>
      </c>
      <c r="E585" s="97"/>
      <c r="F585" s="97" t="str">
        <f>IFERROR(__xludf.DUMMYFUNCTION("""COMPUTED_VALUE"""),"2 x GU10")</f>
        <v>2 x GU10</v>
      </c>
      <c r="G585" s="97" t="str">
        <f>IFERROR(__xludf.DUMMYFUNCTION("""COMPUTED_VALUE"""),"N/A")</f>
        <v>N/A</v>
      </c>
      <c r="H585" s="97" t="str">
        <f>IFERROR(__xludf.DUMMYFUNCTION("""COMPUTED_VALUE"""),"N/A")</f>
        <v>N/A</v>
      </c>
      <c r="I585" s="97" t="str">
        <f>IFERROR(__xludf.DUMMYFUNCTION("""COMPUTED_VALUE"""),"N/A")</f>
        <v>N/A</v>
      </c>
      <c r="J585" s="97"/>
      <c r="K585" s="97" t="str">
        <f>IFERROR(__xludf.DUMMYFUNCTION("""COMPUTED_VALUE"""),"N/A")</f>
        <v>N/A</v>
      </c>
      <c r="L585" s="97">
        <f>IFERROR(__xludf.DUMMYFUNCTION("""COMPUTED_VALUE"""),220.0)</f>
        <v>220</v>
      </c>
      <c r="M585" s="97">
        <f>IFERROR(__xludf.DUMMYFUNCTION("""COMPUTED_VALUE"""),50.0)</f>
        <v>50</v>
      </c>
      <c r="N585" s="97"/>
      <c r="O585" s="97" t="str">
        <f>IFERROR(__xludf.DUMMYFUNCTION("""COMPUTED_VALUE"""),"2 x 50W Max")</f>
        <v>2 x 50W Max</v>
      </c>
      <c r="P585" s="97"/>
      <c r="Q585" s="97" t="str">
        <f>IFERROR(__xludf.DUMMYFUNCTION("""COMPUTED_VALUE"""),"-")</f>
        <v>-</v>
      </c>
      <c r="R585" s="97" t="str">
        <f>IFERROR(__xludf.DUMMYFUNCTION("""COMPUTED_VALUE"""),"-")</f>
        <v>-</v>
      </c>
      <c r="S585" s="97" t="str">
        <f>IFERROR(__xludf.DUMMYFUNCTION("""COMPUTED_VALUE"""),"-")</f>
        <v>-</v>
      </c>
      <c r="T585" s="97" t="str">
        <f>IFERROR(__xludf.DUMMYFUNCTION("""COMPUTED_VALUE"""),"-")</f>
        <v>-</v>
      </c>
      <c r="U585" s="97" t="str">
        <f>IFERROR(__xludf.DUMMYFUNCTION("""COMPUTED_VALUE"""),"-")</f>
        <v>-</v>
      </c>
      <c r="V585" s="97" t="str">
        <f>IFERROR(__xludf.DUMMYFUNCTION("""COMPUTED_VALUE"""),"N/A")</f>
        <v>N/A</v>
      </c>
      <c r="W585" s="97" t="str">
        <f>IFERROR(__xludf.DUMMYFUNCTION("""COMPUTED_VALUE"""),"N/A")</f>
        <v>N/A</v>
      </c>
      <c r="X585" s="97" t="str">
        <f>IFERROR(__xludf.DUMMYFUNCTION("""COMPUTED_VALUE"""),"-")</f>
        <v>-</v>
      </c>
      <c r="Y585" s="97" t="str">
        <f>IFERROR(__xludf.DUMMYFUNCTION("""COMPUTED_VALUE"""),"N/A")</f>
        <v>N/A</v>
      </c>
      <c r="Z585" s="97" t="str">
        <f>IFERROR(__xludf.DUMMYFUNCTION("""COMPUTED_VALUE"""),"N/A")</f>
        <v>N/A</v>
      </c>
      <c r="AA585" s="97" t="str">
        <f>IFERROR(__xludf.DUMMYFUNCTION("""COMPUTED_VALUE"""),"N/A")</f>
        <v>N/A</v>
      </c>
      <c r="AB585" s="97" t="str">
        <f>IFERROR(__xludf.DUMMYFUNCTION("""COMPUTED_VALUE"""),"N/A")</f>
        <v>N/A</v>
      </c>
      <c r="AC585" s="97" t="str">
        <f>IFERROR(__xludf.DUMMYFUNCTION("""COMPUTED_VALUE"""),"N/A")</f>
        <v>N/A</v>
      </c>
      <c r="AD585" s="97" t="str">
        <f>IFERROR(__xludf.DUMMYFUNCTION("""COMPUTED_VALUE"""),"IP20")</f>
        <v>IP20</v>
      </c>
      <c r="AE585" s="97" t="str">
        <f>IFERROR(__xludf.DUMMYFUNCTION("""COMPUTED_VALUE"""),"N/A")</f>
        <v>N/A</v>
      </c>
      <c r="AF585" s="97" t="str">
        <f>IFERROR(__xludf.DUMMYFUNCTION("""COMPUTED_VALUE"""),"Aplicar")</f>
        <v>Aplicar</v>
      </c>
      <c r="AG585" s="97" t="str">
        <f>IFERROR(__xludf.DUMMYFUNCTION("""COMPUTED_VALUE"""),"185 x 95 x 100")</f>
        <v>185 x 95 x 100</v>
      </c>
      <c r="AH585" s="97" t="str">
        <f>IFERROR(__xludf.DUMMYFUNCTION("""COMPUTED_VALUE"""),"N/A")</f>
        <v>N/A</v>
      </c>
      <c r="AI585" s="97" t="str">
        <f>IFERROR(__xludf.DUMMYFUNCTION("""COMPUTED_VALUE"""),"N/A")</f>
        <v>N/A</v>
      </c>
      <c r="AJ585" s="97" t="str">
        <f>IFERROR(__xludf.DUMMYFUNCTION("""COMPUTED_VALUE"""),"N/A")</f>
        <v>N/A</v>
      </c>
      <c r="AK585" s="97" t="str">
        <f>IFERROR(__xludf.DUMMYFUNCTION("""COMPUTED_VALUE"""),"Policarbonato (PC)")</f>
        <v>Policarbonato (PC)</v>
      </c>
      <c r="AL585" s="97" t="str">
        <f>IFERROR(__xludf.DUMMYFUNCTION("""COMPUTED_VALUE"""),"Blanco Mate")</f>
        <v>Blanco Mate</v>
      </c>
      <c r="AM585" s="97" t="str">
        <f>IFERROR(__xludf.DUMMYFUNCTION("""COMPUTED_VALUE"""),"-")</f>
        <v>-</v>
      </c>
      <c r="AN585" s="97" t="str">
        <f>IFERROR(__xludf.DUMMYFUNCTION("""COMPUTED_VALUE"""),"N/A")</f>
        <v>N/A</v>
      </c>
      <c r="AO585" s="97" t="str">
        <f>IFERROR(__xludf.DUMMYFUNCTION("""COMPUTED_VALUE"""),"8 Años")</f>
        <v>8 Años</v>
      </c>
      <c r="AP585" s="97" t="str">
        <f>IFERROR(__xludf.DUMMYFUNCTION("""COMPUTED_VALUE"""),"No Aplica")</f>
        <v>No Aplica</v>
      </c>
      <c r="AQ585" s="97" t="str">
        <f>IFERROR(__xludf.DUMMYFUNCTION("""COMPUTED_VALUE"""),"No Aplica")</f>
        <v>No Aplica</v>
      </c>
      <c r="AR585" s="97" t="str">
        <f>IFERROR(__xludf.DUMMYFUNCTION("""COMPUTED_VALUE"""),"No Aplica")</f>
        <v>No Aplica</v>
      </c>
      <c r="AS585" s="97"/>
      <c r="AT585" s="97"/>
      <c r="AU585" s="97"/>
      <c r="AV585" s="97" t="str">
        <f>IFERROR(__xludf.DUMMYFUNCTION("""COMPUTED_VALUE"""),"Empotrable")</f>
        <v>Empotrable</v>
      </c>
      <c r="AW585" s="97" t="str">
        <f>IFERROR(__xludf.DUMMYFUNCTION("""COMPUTED_VALUE"""),"De Techo")</f>
        <v>De Techo</v>
      </c>
      <c r="AX585" s="97" t="str">
        <f>IFERROR(__xludf.DUMMYFUNCTION("""COMPUTED_VALUE"""),"Interior")</f>
        <v>Interior</v>
      </c>
      <c r="AY585" s="97"/>
      <c r="AZ585" s="97" t="str">
        <f>IFERROR(__xludf.DUMMYFUNCTION("""COMPUTED_VALUE"""),"Spot con Movimiento.
**Garantía de 8 años de amarillamiento de PC.
***Retardador de incendios: clasificación BS2D0 con resistencia hasta 120°C.
****PC con protección contra rayos UV.")</f>
        <v>Spot con Movimiento.
**Garantía de 8 años de amarillamiento de PC.
***Retardador de incendios: clasificación BS2D0 con resistencia hasta 120°C.
****PC con protección contra rayos UV.</v>
      </c>
      <c r="BA585" s="97">
        <f>IFERROR(__xludf.DUMMYFUNCTION("""COMPUTED_VALUE"""),20.0)</f>
        <v>20</v>
      </c>
      <c r="BB585" s="97"/>
      <c r="BC585" s="97"/>
      <c r="BD585" s="97" t="str">
        <f>IFERROR(__xludf.DUMMYFUNCTION("""COMPUTED_VALUE"""),"FACH")</f>
        <v>FACH</v>
      </c>
      <c r="BE585" s="97" t="str">
        <f>IFERROR(__xludf.DUMMYFUNCTION("""COMPUTED_VALUE"""),"Finalizada")</f>
        <v>Finalizada</v>
      </c>
      <c r="BF585" s="97"/>
      <c r="BG585" s="97" t="str">
        <f>IFERROR(__xludf.DUMMYFUNCTION("""COMPUTED_VALUE"""),"Discontinuo")</f>
        <v>Discontinuo</v>
      </c>
    </row>
    <row r="586">
      <c r="A586" s="97">
        <f>IFERROR(__xludf.DUMMYFUNCTION("""COMPUTED_VALUE"""),6326.0)</f>
        <v>6326</v>
      </c>
      <c r="B586" s="97" t="str">
        <f>IFERROR(__xludf.DUMMYFUNCTION("""COMPUTED_VALUE"""),"FACH II NG")</f>
        <v>FACH II NG</v>
      </c>
      <c r="C586" s="97" t="str">
        <f>IFERROR(__xludf.DUMMYFUNCTION("""COMPUTED_VALUE"""),"APLIQUE FACH2 NEGRO LEUK")</f>
        <v>APLIQUE FACH2 NEGRO LEUK</v>
      </c>
      <c r="D586" s="97">
        <f>IFERROR(__xludf.DUMMYFUNCTION("""COMPUTED_VALUE"""),7.798328757524E12)</f>
        <v>7798328757524</v>
      </c>
      <c r="E586" s="97"/>
      <c r="F586" s="97" t="str">
        <f>IFERROR(__xludf.DUMMYFUNCTION("""COMPUTED_VALUE"""),"2 x GU10")</f>
        <v>2 x GU10</v>
      </c>
      <c r="G586" s="97" t="str">
        <f>IFERROR(__xludf.DUMMYFUNCTION("""COMPUTED_VALUE"""),"N/A")</f>
        <v>N/A</v>
      </c>
      <c r="H586" s="97" t="str">
        <f>IFERROR(__xludf.DUMMYFUNCTION("""COMPUTED_VALUE"""),"N/A")</f>
        <v>N/A</v>
      </c>
      <c r="I586" s="97" t="str">
        <f>IFERROR(__xludf.DUMMYFUNCTION("""COMPUTED_VALUE"""),"N/A")</f>
        <v>N/A</v>
      </c>
      <c r="J586" s="97"/>
      <c r="K586" s="97" t="str">
        <f>IFERROR(__xludf.DUMMYFUNCTION("""COMPUTED_VALUE"""),"N/A")</f>
        <v>N/A</v>
      </c>
      <c r="L586" s="97">
        <f>IFERROR(__xludf.DUMMYFUNCTION("""COMPUTED_VALUE"""),220.0)</f>
        <v>220</v>
      </c>
      <c r="M586" s="97">
        <f>IFERROR(__xludf.DUMMYFUNCTION("""COMPUTED_VALUE"""),50.0)</f>
        <v>50</v>
      </c>
      <c r="N586" s="97"/>
      <c r="O586" s="97" t="str">
        <f>IFERROR(__xludf.DUMMYFUNCTION("""COMPUTED_VALUE"""),"2 x 50W Max")</f>
        <v>2 x 50W Max</v>
      </c>
      <c r="P586" s="97"/>
      <c r="Q586" s="97" t="str">
        <f>IFERROR(__xludf.DUMMYFUNCTION("""COMPUTED_VALUE"""),"-")</f>
        <v>-</v>
      </c>
      <c r="R586" s="97" t="str">
        <f>IFERROR(__xludf.DUMMYFUNCTION("""COMPUTED_VALUE"""),"-")</f>
        <v>-</v>
      </c>
      <c r="S586" s="97" t="str">
        <f>IFERROR(__xludf.DUMMYFUNCTION("""COMPUTED_VALUE"""),"-")</f>
        <v>-</v>
      </c>
      <c r="T586" s="97" t="str">
        <f>IFERROR(__xludf.DUMMYFUNCTION("""COMPUTED_VALUE"""),"-")</f>
        <v>-</v>
      </c>
      <c r="U586" s="97" t="str">
        <f>IFERROR(__xludf.DUMMYFUNCTION("""COMPUTED_VALUE"""),"-")</f>
        <v>-</v>
      </c>
      <c r="V586" s="97" t="str">
        <f>IFERROR(__xludf.DUMMYFUNCTION("""COMPUTED_VALUE"""),"N/A")</f>
        <v>N/A</v>
      </c>
      <c r="W586" s="97" t="str">
        <f>IFERROR(__xludf.DUMMYFUNCTION("""COMPUTED_VALUE"""),"N/A")</f>
        <v>N/A</v>
      </c>
      <c r="X586" s="97" t="str">
        <f>IFERROR(__xludf.DUMMYFUNCTION("""COMPUTED_VALUE"""),"-")</f>
        <v>-</v>
      </c>
      <c r="Y586" s="97" t="str">
        <f>IFERROR(__xludf.DUMMYFUNCTION("""COMPUTED_VALUE"""),"N/A")</f>
        <v>N/A</v>
      </c>
      <c r="Z586" s="97" t="str">
        <f>IFERROR(__xludf.DUMMYFUNCTION("""COMPUTED_VALUE"""),"N/A")</f>
        <v>N/A</v>
      </c>
      <c r="AA586" s="97" t="str">
        <f>IFERROR(__xludf.DUMMYFUNCTION("""COMPUTED_VALUE"""),"N/A")</f>
        <v>N/A</v>
      </c>
      <c r="AB586" s="97" t="str">
        <f>IFERROR(__xludf.DUMMYFUNCTION("""COMPUTED_VALUE"""),"N/A")</f>
        <v>N/A</v>
      </c>
      <c r="AC586" s="97" t="str">
        <f>IFERROR(__xludf.DUMMYFUNCTION("""COMPUTED_VALUE"""),"N/A")</f>
        <v>N/A</v>
      </c>
      <c r="AD586" s="97" t="str">
        <f>IFERROR(__xludf.DUMMYFUNCTION("""COMPUTED_VALUE"""),"IP20")</f>
        <v>IP20</v>
      </c>
      <c r="AE586" s="97" t="str">
        <f>IFERROR(__xludf.DUMMYFUNCTION("""COMPUTED_VALUE"""),"N/A")</f>
        <v>N/A</v>
      </c>
      <c r="AF586" s="97" t="str">
        <f>IFERROR(__xludf.DUMMYFUNCTION("""COMPUTED_VALUE"""),"Aplicar")</f>
        <v>Aplicar</v>
      </c>
      <c r="AG586" s="97" t="str">
        <f>IFERROR(__xludf.DUMMYFUNCTION("""COMPUTED_VALUE"""),"185 x 95 x 100")</f>
        <v>185 x 95 x 100</v>
      </c>
      <c r="AH586" s="97" t="str">
        <f>IFERROR(__xludf.DUMMYFUNCTION("""COMPUTED_VALUE"""),"N/A")</f>
        <v>N/A</v>
      </c>
      <c r="AI586" s="97" t="str">
        <f>IFERROR(__xludf.DUMMYFUNCTION("""COMPUTED_VALUE"""),"N/A")</f>
        <v>N/A</v>
      </c>
      <c r="AJ586" s="97" t="str">
        <f>IFERROR(__xludf.DUMMYFUNCTION("""COMPUTED_VALUE"""),"N/A")</f>
        <v>N/A</v>
      </c>
      <c r="AK586" s="97" t="str">
        <f>IFERROR(__xludf.DUMMYFUNCTION("""COMPUTED_VALUE"""),"Policarbonato (PC)")</f>
        <v>Policarbonato (PC)</v>
      </c>
      <c r="AL586" s="97" t="str">
        <f>IFERROR(__xludf.DUMMYFUNCTION("""COMPUTED_VALUE"""),"Negro Mate")</f>
        <v>Negro Mate</v>
      </c>
      <c r="AM586" s="97" t="str">
        <f>IFERROR(__xludf.DUMMYFUNCTION("""COMPUTED_VALUE"""),"-")</f>
        <v>-</v>
      </c>
      <c r="AN586" s="97" t="str">
        <f>IFERROR(__xludf.DUMMYFUNCTION("""COMPUTED_VALUE"""),"N/A")</f>
        <v>N/A</v>
      </c>
      <c r="AO586" s="97" t="str">
        <f>IFERROR(__xludf.DUMMYFUNCTION("""COMPUTED_VALUE"""),"8 Años")</f>
        <v>8 Años</v>
      </c>
      <c r="AP586" s="97" t="str">
        <f>IFERROR(__xludf.DUMMYFUNCTION("""COMPUTED_VALUE"""),"No Aplica")</f>
        <v>No Aplica</v>
      </c>
      <c r="AQ586" s="97" t="str">
        <f>IFERROR(__xludf.DUMMYFUNCTION("""COMPUTED_VALUE"""),"No Aplica")</f>
        <v>No Aplica</v>
      </c>
      <c r="AR586" s="97" t="str">
        <f>IFERROR(__xludf.DUMMYFUNCTION("""COMPUTED_VALUE"""),"No Aplica")</f>
        <v>No Aplica</v>
      </c>
      <c r="AS586" s="97"/>
      <c r="AT586" s="97"/>
      <c r="AU586" s="97"/>
      <c r="AV586" s="97" t="str">
        <f>IFERROR(__xludf.DUMMYFUNCTION("""COMPUTED_VALUE"""),"Empotrable")</f>
        <v>Empotrable</v>
      </c>
      <c r="AW586" s="97" t="str">
        <f>IFERROR(__xludf.DUMMYFUNCTION("""COMPUTED_VALUE"""),"De Techo")</f>
        <v>De Techo</v>
      </c>
      <c r="AX586" s="97" t="str">
        <f>IFERROR(__xludf.DUMMYFUNCTION("""COMPUTED_VALUE"""),"Interior")</f>
        <v>Interior</v>
      </c>
      <c r="AY586" s="97"/>
      <c r="AZ586" s="97" t="str">
        <f>IFERROR(__xludf.DUMMYFUNCTION("""COMPUTED_VALUE"""),"Spot con Movimiento.
**Garantía de 8 años de amarillamiento de PC.
***Retardador de incendios: clasificación BS2D0 con resistencia hasta 120°C.
****PC con protección contra rayos UV.")</f>
        <v>Spot con Movimiento.
**Garantía de 8 años de amarillamiento de PC.
***Retardador de incendios: clasificación BS2D0 con resistencia hasta 120°C.
****PC con protección contra rayos UV.</v>
      </c>
      <c r="BA586" s="97">
        <f>IFERROR(__xludf.DUMMYFUNCTION("""COMPUTED_VALUE"""),20.0)</f>
        <v>20</v>
      </c>
      <c r="BB586" s="97"/>
      <c r="BC586" s="97"/>
      <c r="BD586" s="97" t="str">
        <f>IFERROR(__xludf.DUMMYFUNCTION("""COMPUTED_VALUE"""),"FACH")</f>
        <v>FACH</v>
      </c>
      <c r="BE586" s="97" t="str">
        <f>IFERROR(__xludf.DUMMYFUNCTION("""COMPUTED_VALUE"""),"Finalizada")</f>
        <v>Finalizada</v>
      </c>
      <c r="BF586" s="97"/>
      <c r="BG586" s="97" t="str">
        <f>IFERROR(__xludf.DUMMYFUNCTION("""COMPUTED_VALUE"""),"Discontinuo")</f>
        <v>Discontinuo</v>
      </c>
    </row>
    <row r="587">
      <c r="A587" s="97">
        <f>IFERROR(__xludf.DUMMYFUNCTION("""COMPUTED_VALUE"""),6327.0)</f>
        <v>6327</v>
      </c>
      <c r="B587" s="97" t="str">
        <f>IFERROR(__xludf.DUMMYFUNCTION("""COMPUTED_VALUE"""),"JEN I BL")</f>
        <v>JEN I BL</v>
      </c>
      <c r="C587" s="97" t="str">
        <f>IFERROR(__xludf.DUMMYFUNCTION("""COMPUTED_VALUE"""),"EMPOTRABLE JEN I BL 1XGU10 AR111 IP20 LEUK")</f>
        <v>EMPOTRABLE JEN I BL 1XGU10 AR111 IP20 LEUK</v>
      </c>
      <c r="D587" s="97">
        <f>IFERROR(__xludf.DUMMYFUNCTION("""COMPUTED_VALUE"""),7.798328757432E12)</f>
        <v>7798328757432</v>
      </c>
      <c r="E587" s="97" t="str">
        <f>IFERROR(__xludf.DUMMYFUNCTION("""COMPUTED_VALUE"""),"-")</f>
        <v>-</v>
      </c>
      <c r="F587" s="97" t="str">
        <f>IFERROR(__xludf.DUMMYFUNCTION("""COMPUTED_VALUE"""),"1xGU10 AR111")</f>
        <v>1xGU10 AR111</v>
      </c>
      <c r="G587" s="97" t="str">
        <f>IFERROR(__xludf.DUMMYFUNCTION("""COMPUTED_VALUE"""),"N/A")</f>
        <v>N/A</v>
      </c>
      <c r="H587" s="97" t="str">
        <f>IFERROR(__xludf.DUMMYFUNCTION("""COMPUTED_VALUE"""),"N/A")</f>
        <v>N/A</v>
      </c>
      <c r="I587" s="97" t="str">
        <f>IFERROR(__xludf.DUMMYFUNCTION("""COMPUTED_VALUE"""),"N/A")</f>
        <v>N/A</v>
      </c>
      <c r="J587" s="97" t="str">
        <f>IFERROR(__xludf.DUMMYFUNCTION("""COMPUTED_VALUE"""),"N/A")</f>
        <v>N/A</v>
      </c>
      <c r="K587" s="97" t="str">
        <f>IFERROR(__xludf.DUMMYFUNCTION("""COMPUTED_VALUE"""),"N/A")</f>
        <v>N/A</v>
      </c>
      <c r="L587" s="97">
        <f>IFERROR(__xludf.DUMMYFUNCTION("""COMPUTED_VALUE"""),220.0)</f>
        <v>220</v>
      </c>
      <c r="M587" s="97">
        <f>IFERROR(__xludf.DUMMYFUNCTION("""COMPUTED_VALUE"""),50.0)</f>
        <v>50</v>
      </c>
      <c r="N587" s="97"/>
      <c r="O587" s="97" t="str">
        <f>IFERROR(__xludf.DUMMYFUNCTION("""COMPUTED_VALUE"""),"1 x 50W Max")</f>
        <v>1 x 50W Max</v>
      </c>
      <c r="P587" s="97"/>
      <c r="Q587" s="97" t="str">
        <f>IFERROR(__xludf.DUMMYFUNCTION("""COMPUTED_VALUE"""),"-")</f>
        <v>-</v>
      </c>
      <c r="R587" s="97" t="str">
        <f>IFERROR(__xludf.DUMMYFUNCTION("""COMPUTED_VALUE"""),"-")</f>
        <v>-</v>
      </c>
      <c r="S587" s="97" t="str">
        <f>IFERROR(__xludf.DUMMYFUNCTION("""COMPUTED_VALUE"""),"-")</f>
        <v>-</v>
      </c>
      <c r="T587" s="97" t="str">
        <f>IFERROR(__xludf.DUMMYFUNCTION("""COMPUTED_VALUE"""),"-")</f>
        <v>-</v>
      </c>
      <c r="U587" s="97" t="str">
        <f>IFERROR(__xludf.DUMMYFUNCTION("""COMPUTED_VALUE"""),"-")</f>
        <v>-</v>
      </c>
      <c r="V587" s="97" t="str">
        <f>IFERROR(__xludf.DUMMYFUNCTION("""COMPUTED_VALUE"""),"N/A")</f>
        <v>N/A</v>
      </c>
      <c r="W587" s="97" t="str">
        <f>IFERROR(__xludf.DUMMYFUNCTION("""COMPUTED_VALUE"""),"N/A")</f>
        <v>N/A</v>
      </c>
      <c r="X587" s="97" t="str">
        <f>IFERROR(__xludf.DUMMYFUNCTION("""COMPUTED_VALUE"""),"-")</f>
        <v>-</v>
      </c>
      <c r="Y587" s="97" t="str">
        <f>IFERROR(__xludf.DUMMYFUNCTION("""COMPUTED_VALUE"""),"N/A")</f>
        <v>N/A</v>
      </c>
      <c r="Z587" s="97" t="str">
        <f>IFERROR(__xludf.DUMMYFUNCTION("""COMPUTED_VALUE"""),"N/A")</f>
        <v>N/A</v>
      </c>
      <c r="AA587" s="97" t="str">
        <f>IFERROR(__xludf.DUMMYFUNCTION("""COMPUTED_VALUE"""),"N/A")</f>
        <v>N/A</v>
      </c>
      <c r="AB587" s="97" t="str">
        <f>IFERROR(__xludf.DUMMYFUNCTION("""COMPUTED_VALUE"""),"N/A")</f>
        <v>N/A</v>
      </c>
      <c r="AC587" s="97" t="str">
        <f>IFERROR(__xludf.DUMMYFUNCTION("""COMPUTED_VALUE"""),"N/A")</f>
        <v>N/A</v>
      </c>
      <c r="AD587" s="97" t="str">
        <f>IFERROR(__xludf.DUMMYFUNCTION("""COMPUTED_VALUE"""),"IP20")</f>
        <v>IP20</v>
      </c>
      <c r="AE587" s="97" t="str">
        <f>IFERROR(__xludf.DUMMYFUNCTION("""COMPUTED_VALUE"""),"N/A")</f>
        <v>N/A</v>
      </c>
      <c r="AF587" s="97" t="str">
        <f>IFERROR(__xludf.DUMMYFUNCTION("""COMPUTED_VALUE"""),"Embutir")</f>
        <v>Embutir</v>
      </c>
      <c r="AG587" s="97" t="str">
        <f>IFERROR(__xludf.DUMMYFUNCTION("""COMPUTED_VALUE"""),"Ø165 x 35")</f>
        <v>Ø165 x 35</v>
      </c>
      <c r="AH587" s="97" t="str">
        <f>IFERROR(__xludf.DUMMYFUNCTION("""COMPUTED_VALUE"""),"Ø145 ")</f>
        <v>Ø145 </v>
      </c>
      <c r="AI587" s="97" t="str">
        <f>IFERROR(__xludf.DUMMYFUNCTION("""COMPUTED_VALUE"""),"95 *")</f>
        <v>95 *</v>
      </c>
      <c r="AJ587" s="97" t="str">
        <f>IFERROR(__xludf.DUMMYFUNCTION("""COMPUTED_VALUE"""),"N/A")</f>
        <v>N/A</v>
      </c>
      <c r="AK587" s="97" t="str">
        <f>IFERROR(__xludf.DUMMYFUNCTION("""COMPUTED_VALUE"""),"Policarbonato (PC)")</f>
        <v>Policarbonato (PC)</v>
      </c>
      <c r="AL587" s="97" t="str">
        <f>IFERROR(__xludf.DUMMYFUNCTION("""COMPUTED_VALUE"""),"Blanco Mate")</f>
        <v>Blanco Mate</v>
      </c>
      <c r="AM587" s="97" t="str">
        <f>IFERROR(__xludf.DUMMYFUNCTION("""COMPUTED_VALUE"""),"-")</f>
        <v>-</v>
      </c>
      <c r="AN587" s="97" t="str">
        <f>IFERROR(__xludf.DUMMYFUNCTION("""COMPUTED_VALUE"""),"N/A")</f>
        <v>N/A</v>
      </c>
      <c r="AO587" s="97" t="str">
        <f>IFERROR(__xludf.DUMMYFUNCTION("""COMPUTED_VALUE"""),"8 Años")</f>
        <v>8 Años</v>
      </c>
      <c r="AP587" s="97" t="str">
        <f>IFERROR(__xludf.DUMMYFUNCTION("""COMPUTED_VALUE"""),"No Aplica")</f>
        <v>No Aplica</v>
      </c>
      <c r="AQ587" s="97" t="str">
        <f>IFERROR(__xludf.DUMMYFUNCTION("""COMPUTED_VALUE"""),"No Aplica")</f>
        <v>No Aplica</v>
      </c>
      <c r="AR587" s="97" t="str">
        <f>IFERROR(__xludf.DUMMYFUNCTION("""COMPUTED_VALUE"""),"No Aplica")</f>
        <v>No Aplica</v>
      </c>
      <c r="AS587" s="97"/>
      <c r="AT587" s="97"/>
      <c r="AU587" s="97" t="str">
        <f>IFERROR(__xludf.DUMMYFUNCTION("""COMPUTED_VALUE"""),"Falta")</f>
        <v>Falta</v>
      </c>
      <c r="AV587" s="97" t="str">
        <f>IFERROR(__xludf.DUMMYFUNCTION("""COMPUTED_VALUE"""),"Empotrable")</f>
        <v>Empotrable</v>
      </c>
      <c r="AW587" s="97" t="str">
        <f>IFERROR(__xludf.DUMMYFUNCTION("""COMPUTED_VALUE"""),"De Techo")</f>
        <v>De Techo</v>
      </c>
      <c r="AX587" s="97" t="str">
        <f>IFERROR(__xludf.DUMMYFUNCTION("""COMPUTED_VALUE"""),"Interior")</f>
        <v>Interior</v>
      </c>
      <c r="AY587" s="97" t="str">
        <f>IFERROR(__xludf.DUMMYFUNCTION("""COMPUTED_VALUE"""),"-")</f>
        <v>-</v>
      </c>
      <c r="AZ587" s="97" t="str">
        <f>IFERROR(__xludf.DUMMYFUNCTION("""COMPUTED_VALUE"""),"Spot con Movimiento. Incluye zócalo GU10 c/cable 20cm.
*Profundidad de calado total aproximada (considera AR111 estándar)
**Garantía de 8 años de amarillamiento de PC.
***PC con protección contra rayos UV y retardador de incendios: clasificación BS2D0 con"&amp;" resistencia hasta 120°C.")</f>
        <v>Spot con Movimiento. Incluye zócalo GU10 c/cable 20cm.
*Profundidad de calado total aproximada (considera AR111 estándar)
**Garantía de 8 años de amarillamiento de PC.
***PC con protección contra rayos UV y retardador de incendios: clasificación BS2D0 con resistencia hasta 120°C.</v>
      </c>
      <c r="BA587" s="97">
        <f>IFERROR(__xludf.DUMMYFUNCTION("""COMPUTED_VALUE"""),40.0)</f>
        <v>40</v>
      </c>
      <c r="BB587" s="97" t="str">
        <f>IFERROR(__xludf.DUMMYFUNCTION("""COMPUTED_VALUE"""),"-")</f>
        <v>-</v>
      </c>
      <c r="BC587" s="97" t="str">
        <f>IFERROR(__xludf.DUMMYFUNCTION("""COMPUTED_VALUE"""),"-")</f>
        <v>-</v>
      </c>
      <c r="BD587" s="97" t="str">
        <f>IFERROR(__xludf.DUMMYFUNCTION("""COMPUTED_VALUE"""),"JEN")</f>
        <v>JEN</v>
      </c>
      <c r="BE587" s="97" t="str">
        <f>IFERROR(__xludf.DUMMYFUNCTION("""COMPUTED_VALUE"""),"Finalizada")</f>
        <v>Finalizada</v>
      </c>
      <c r="BF587" s="97"/>
      <c r="BG587" s="97" t="str">
        <f>IFERROR(__xludf.DUMMYFUNCTION("""COMPUTED_VALUE"""),"Discontinuo")</f>
        <v>Discontinuo</v>
      </c>
    </row>
    <row r="588">
      <c r="A588" s="97">
        <f>IFERROR(__xludf.DUMMYFUNCTION("""COMPUTED_VALUE"""),6328.0)</f>
        <v>6328</v>
      </c>
      <c r="B588" s="97" t="str">
        <f>IFERROR(__xludf.DUMMYFUNCTION("""COMPUTED_VALUE"""),"JEN I NG")</f>
        <v>JEN I NG</v>
      </c>
      <c r="C588" s="97" t="str">
        <f>IFERROR(__xludf.DUMMYFUNCTION("""COMPUTED_VALUE"""),"EMPOTRABLE JEN I NG 1XGU10 AR111 IP20 LEUK")</f>
        <v>EMPOTRABLE JEN I NG 1XGU10 AR111 IP20 LEUK</v>
      </c>
      <c r="D588" s="97">
        <f>IFERROR(__xludf.DUMMYFUNCTION("""COMPUTED_VALUE"""),7.798328757449E12)</f>
        <v>7798328757449</v>
      </c>
      <c r="E588" s="97" t="str">
        <f>IFERROR(__xludf.DUMMYFUNCTION("""COMPUTED_VALUE"""),"-")</f>
        <v>-</v>
      </c>
      <c r="F588" s="97" t="str">
        <f>IFERROR(__xludf.DUMMYFUNCTION("""COMPUTED_VALUE"""),"1xGU10 AR111")</f>
        <v>1xGU10 AR111</v>
      </c>
      <c r="G588" s="97" t="str">
        <f>IFERROR(__xludf.DUMMYFUNCTION("""COMPUTED_VALUE"""),"N/A")</f>
        <v>N/A</v>
      </c>
      <c r="H588" s="97" t="str">
        <f>IFERROR(__xludf.DUMMYFUNCTION("""COMPUTED_VALUE"""),"N/A")</f>
        <v>N/A</v>
      </c>
      <c r="I588" s="97" t="str">
        <f>IFERROR(__xludf.DUMMYFUNCTION("""COMPUTED_VALUE"""),"N/A")</f>
        <v>N/A</v>
      </c>
      <c r="J588" s="97" t="str">
        <f>IFERROR(__xludf.DUMMYFUNCTION("""COMPUTED_VALUE"""),"N/A")</f>
        <v>N/A</v>
      </c>
      <c r="K588" s="97" t="str">
        <f>IFERROR(__xludf.DUMMYFUNCTION("""COMPUTED_VALUE"""),"N/A")</f>
        <v>N/A</v>
      </c>
      <c r="L588" s="97">
        <f>IFERROR(__xludf.DUMMYFUNCTION("""COMPUTED_VALUE"""),220.0)</f>
        <v>220</v>
      </c>
      <c r="M588" s="97">
        <f>IFERROR(__xludf.DUMMYFUNCTION("""COMPUTED_VALUE"""),50.0)</f>
        <v>50</v>
      </c>
      <c r="N588" s="97"/>
      <c r="O588" s="97" t="str">
        <f>IFERROR(__xludf.DUMMYFUNCTION("""COMPUTED_VALUE"""),"1 x 50W Max")</f>
        <v>1 x 50W Max</v>
      </c>
      <c r="P588" s="97"/>
      <c r="Q588" s="97" t="str">
        <f>IFERROR(__xludf.DUMMYFUNCTION("""COMPUTED_VALUE"""),"-")</f>
        <v>-</v>
      </c>
      <c r="R588" s="97" t="str">
        <f>IFERROR(__xludf.DUMMYFUNCTION("""COMPUTED_VALUE"""),"-")</f>
        <v>-</v>
      </c>
      <c r="S588" s="97" t="str">
        <f>IFERROR(__xludf.DUMMYFUNCTION("""COMPUTED_VALUE"""),"-")</f>
        <v>-</v>
      </c>
      <c r="T588" s="97" t="str">
        <f>IFERROR(__xludf.DUMMYFUNCTION("""COMPUTED_VALUE"""),"-")</f>
        <v>-</v>
      </c>
      <c r="U588" s="97" t="str">
        <f>IFERROR(__xludf.DUMMYFUNCTION("""COMPUTED_VALUE"""),"-")</f>
        <v>-</v>
      </c>
      <c r="V588" s="97" t="str">
        <f>IFERROR(__xludf.DUMMYFUNCTION("""COMPUTED_VALUE"""),"N/A")</f>
        <v>N/A</v>
      </c>
      <c r="W588" s="97" t="str">
        <f>IFERROR(__xludf.DUMMYFUNCTION("""COMPUTED_VALUE"""),"N/A")</f>
        <v>N/A</v>
      </c>
      <c r="X588" s="97" t="str">
        <f>IFERROR(__xludf.DUMMYFUNCTION("""COMPUTED_VALUE"""),"-")</f>
        <v>-</v>
      </c>
      <c r="Y588" s="97" t="str">
        <f>IFERROR(__xludf.DUMMYFUNCTION("""COMPUTED_VALUE"""),"N/A")</f>
        <v>N/A</v>
      </c>
      <c r="Z588" s="97" t="str">
        <f>IFERROR(__xludf.DUMMYFUNCTION("""COMPUTED_VALUE"""),"N/A")</f>
        <v>N/A</v>
      </c>
      <c r="AA588" s="97" t="str">
        <f>IFERROR(__xludf.DUMMYFUNCTION("""COMPUTED_VALUE"""),"N/A")</f>
        <v>N/A</v>
      </c>
      <c r="AB588" s="97" t="str">
        <f>IFERROR(__xludf.DUMMYFUNCTION("""COMPUTED_VALUE"""),"N/A")</f>
        <v>N/A</v>
      </c>
      <c r="AC588" s="97" t="str">
        <f>IFERROR(__xludf.DUMMYFUNCTION("""COMPUTED_VALUE"""),"N/A")</f>
        <v>N/A</v>
      </c>
      <c r="AD588" s="97" t="str">
        <f>IFERROR(__xludf.DUMMYFUNCTION("""COMPUTED_VALUE"""),"IP20")</f>
        <v>IP20</v>
      </c>
      <c r="AE588" s="97" t="str">
        <f>IFERROR(__xludf.DUMMYFUNCTION("""COMPUTED_VALUE"""),"N/A")</f>
        <v>N/A</v>
      </c>
      <c r="AF588" s="97" t="str">
        <f>IFERROR(__xludf.DUMMYFUNCTION("""COMPUTED_VALUE"""),"Embutir")</f>
        <v>Embutir</v>
      </c>
      <c r="AG588" s="97" t="str">
        <f>IFERROR(__xludf.DUMMYFUNCTION("""COMPUTED_VALUE"""),"Ø165 x 35")</f>
        <v>Ø165 x 35</v>
      </c>
      <c r="AH588" s="97" t="str">
        <f>IFERROR(__xludf.DUMMYFUNCTION("""COMPUTED_VALUE"""),"Ø145 ")</f>
        <v>Ø145 </v>
      </c>
      <c r="AI588" s="97" t="str">
        <f>IFERROR(__xludf.DUMMYFUNCTION("""COMPUTED_VALUE"""),"95 *")</f>
        <v>95 *</v>
      </c>
      <c r="AJ588" s="97" t="str">
        <f>IFERROR(__xludf.DUMMYFUNCTION("""COMPUTED_VALUE"""),"N/A")</f>
        <v>N/A</v>
      </c>
      <c r="AK588" s="97" t="str">
        <f>IFERROR(__xludf.DUMMYFUNCTION("""COMPUTED_VALUE"""),"Policarbonato (PC)")</f>
        <v>Policarbonato (PC)</v>
      </c>
      <c r="AL588" s="97" t="str">
        <f>IFERROR(__xludf.DUMMYFUNCTION("""COMPUTED_VALUE"""),"Negro Mate")</f>
        <v>Negro Mate</v>
      </c>
      <c r="AM588" s="97" t="str">
        <f>IFERROR(__xludf.DUMMYFUNCTION("""COMPUTED_VALUE"""),"-")</f>
        <v>-</v>
      </c>
      <c r="AN588" s="97" t="str">
        <f>IFERROR(__xludf.DUMMYFUNCTION("""COMPUTED_VALUE"""),"N/A")</f>
        <v>N/A</v>
      </c>
      <c r="AO588" s="97" t="str">
        <f>IFERROR(__xludf.DUMMYFUNCTION("""COMPUTED_VALUE"""),"8 Años")</f>
        <v>8 Años</v>
      </c>
      <c r="AP588" s="97" t="str">
        <f>IFERROR(__xludf.DUMMYFUNCTION("""COMPUTED_VALUE"""),"No Aplica")</f>
        <v>No Aplica</v>
      </c>
      <c r="AQ588" s="97" t="str">
        <f>IFERROR(__xludf.DUMMYFUNCTION("""COMPUTED_VALUE"""),"No Aplica")</f>
        <v>No Aplica</v>
      </c>
      <c r="AR588" s="97" t="str">
        <f>IFERROR(__xludf.DUMMYFUNCTION("""COMPUTED_VALUE"""),"No Aplica")</f>
        <v>No Aplica</v>
      </c>
      <c r="AS588" s="97"/>
      <c r="AT588" s="97"/>
      <c r="AU588" s="97" t="str">
        <f>IFERROR(__xludf.DUMMYFUNCTION("""COMPUTED_VALUE"""),"Falta")</f>
        <v>Falta</v>
      </c>
      <c r="AV588" s="97" t="str">
        <f>IFERROR(__xludf.DUMMYFUNCTION("""COMPUTED_VALUE"""),"Empotrable")</f>
        <v>Empotrable</v>
      </c>
      <c r="AW588" s="97" t="str">
        <f>IFERROR(__xludf.DUMMYFUNCTION("""COMPUTED_VALUE"""),"De Techo")</f>
        <v>De Techo</v>
      </c>
      <c r="AX588" s="97" t="str">
        <f>IFERROR(__xludf.DUMMYFUNCTION("""COMPUTED_VALUE"""),"Interior")</f>
        <v>Interior</v>
      </c>
      <c r="AY588" s="97" t="str">
        <f>IFERROR(__xludf.DUMMYFUNCTION("""COMPUTED_VALUE"""),"-")</f>
        <v>-</v>
      </c>
      <c r="AZ588" s="97" t="str">
        <f>IFERROR(__xludf.DUMMYFUNCTION("""COMPUTED_VALUE"""),"Spot con Movimiento. Incluye zócalo GU10 c/cable 20cm.
*Profundidad de calado total aproximada (considera AR111 estándar)
**Garantía de 8 años de amarillamiento de PC.
***PC con protección contra rayos UV y retardador de incendios: clasificación BS2D0 con"&amp;" resistencia hasta 120°C.")</f>
        <v>Spot con Movimiento. Incluye zócalo GU10 c/cable 20cm.
*Profundidad de calado total aproximada (considera AR111 estándar)
**Garantía de 8 años de amarillamiento de PC.
***PC con protección contra rayos UV y retardador de incendios: clasificación BS2D0 con resistencia hasta 120°C.</v>
      </c>
      <c r="BA588" s="97">
        <f>IFERROR(__xludf.DUMMYFUNCTION("""COMPUTED_VALUE"""),40.0)</f>
        <v>40</v>
      </c>
      <c r="BB588" s="97" t="str">
        <f>IFERROR(__xludf.DUMMYFUNCTION("""COMPUTED_VALUE"""),"-")</f>
        <v>-</v>
      </c>
      <c r="BC588" s="97" t="str">
        <f>IFERROR(__xludf.DUMMYFUNCTION("""COMPUTED_VALUE"""),"-")</f>
        <v>-</v>
      </c>
      <c r="BD588" s="97" t="str">
        <f>IFERROR(__xludf.DUMMYFUNCTION("""COMPUTED_VALUE"""),"JEN")</f>
        <v>JEN</v>
      </c>
      <c r="BE588" s="97" t="str">
        <f>IFERROR(__xludf.DUMMYFUNCTION("""COMPUTED_VALUE"""),"Finalizada")</f>
        <v>Finalizada</v>
      </c>
      <c r="BF588" s="97"/>
      <c r="BG588" s="97" t="str">
        <f>IFERROR(__xludf.DUMMYFUNCTION("""COMPUTED_VALUE"""),"Discontinuo")</f>
        <v>Discontinuo</v>
      </c>
    </row>
    <row r="589">
      <c r="A589" s="97">
        <f>IFERROR(__xludf.DUMMYFUNCTION("""COMPUTED_VALUE"""),6329.0)</f>
        <v>6329</v>
      </c>
      <c r="B589" s="97" t="str">
        <f>IFERROR(__xludf.DUMMYFUNCTION("""COMPUTED_VALUE"""),"MAG I BL")</f>
        <v>MAG I BL</v>
      </c>
      <c r="C589" s="97" t="str">
        <f>IFERROR(__xludf.DUMMYFUNCTION("""COMPUTED_VALUE"""),"SPOT SEMIEMBUTIDO MAG1 BLANCO LEUK")</f>
        <v>SPOT SEMIEMBUTIDO MAG1 BLANCO LEUK</v>
      </c>
      <c r="D589" s="97">
        <f>IFERROR(__xludf.DUMMYFUNCTION("""COMPUTED_VALUE"""),7.798328757456E12)</f>
        <v>7798328757456</v>
      </c>
      <c r="E589" s="97"/>
      <c r="F589" s="97" t="str">
        <f>IFERROR(__xludf.DUMMYFUNCTION("""COMPUTED_VALUE"""),"1 x GU10")</f>
        <v>1 x GU10</v>
      </c>
      <c r="G589" s="97" t="str">
        <f>IFERROR(__xludf.DUMMYFUNCTION("""COMPUTED_VALUE"""),"N/A")</f>
        <v>N/A</v>
      </c>
      <c r="H589" s="97" t="str">
        <f>IFERROR(__xludf.DUMMYFUNCTION("""COMPUTED_VALUE"""),"N/A")</f>
        <v>N/A</v>
      </c>
      <c r="I589" s="97" t="str">
        <f>IFERROR(__xludf.DUMMYFUNCTION("""COMPUTED_VALUE"""),"N/A")</f>
        <v>N/A</v>
      </c>
      <c r="J589" s="97"/>
      <c r="K589" s="97" t="str">
        <f>IFERROR(__xludf.DUMMYFUNCTION("""COMPUTED_VALUE"""),"N/A")</f>
        <v>N/A</v>
      </c>
      <c r="L589" s="97">
        <f>IFERROR(__xludf.DUMMYFUNCTION("""COMPUTED_VALUE"""),220.0)</f>
        <v>220</v>
      </c>
      <c r="M589" s="97">
        <f>IFERROR(__xludf.DUMMYFUNCTION("""COMPUTED_VALUE"""),50.0)</f>
        <v>50</v>
      </c>
      <c r="N589" s="97"/>
      <c r="O589" s="97" t="str">
        <f>IFERROR(__xludf.DUMMYFUNCTION("""COMPUTED_VALUE"""),"1 x 50W Max")</f>
        <v>1 x 50W Max</v>
      </c>
      <c r="P589" s="97"/>
      <c r="Q589" s="97" t="str">
        <f>IFERROR(__xludf.DUMMYFUNCTION("""COMPUTED_VALUE"""),"-")</f>
        <v>-</v>
      </c>
      <c r="R589" s="97" t="str">
        <f>IFERROR(__xludf.DUMMYFUNCTION("""COMPUTED_VALUE"""),"-")</f>
        <v>-</v>
      </c>
      <c r="S589" s="97" t="str">
        <f>IFERROR(__xludf.DUMMYFUNCTION("""COMPUTED_VALUE"""),"-")</f>
        <v>-</v>
      </c>
      <c r="T589" s="97" t="str">
        <f>IFERROR(__xludf.DUMMYFUNCTION("""COMPUTED_VALUE"""),"-")</f>
        <v>-</v>
      </c>
      <c r="U589" s="97" t="str">
        <f>IFERROR(__xludf.DUMMYFUNCTION("""COMPUTED_VALUE"""),"-")</f>
        <v>-</v>
      </c>
      <c r="V589" s="97" t="str">
        <f>IFERROR(__xludf.DUMMYFUNCTION("""COMPUTED_VALUE"""),"N/A")</f>
        <v>N/A</v>
      </c>
      <c r="W589" s="97" t="str">
        <f>IFERROR(__xludf.DUMMYFUNCTION("""COMPUTED_VALUE"""),"N/A")</f>
        <v>N/A</v>
      </c>
      <c r="X589" s="97" t="str">
        <f>IFERROR(__xludf.DUMMYFUNCTION("""COMPUTED_VALUE"""),"-")</f>
        <v>-</v>
      </c>
      <c r="Y589" s="97" t="str">
        <f>IFERROR(__xludf.DUMMYFUNCTION("""COMPUTED_VALUE"""),"N/A")</f>
        <v>N/A</v>
      </c>
      <c r="Z589" s="97" t="str">
        <f>IFERROR(__xludf.DUMMYFUNCTION("""COMPUTED_VALUE"""),"N/A")</f>
        <v>N/A</v>
      </c>
      <c r="AA589" s="97" t="str">
        <f>IFERROR(__xludf.DUMMYFUNCTION("""COMPUTED_VALUE"""),"N/A")</f>
        <v>N/A</v>
      </c>
      <c r="AB589" s="97" t="str">
        <f>IFERROR(__xludf.DUMMYFUNCTION("""COMPUTED_VALUE"""),"N/A")</f>
        <v>N/A</v>
      </c>
      <c r="AC589" s="97" t="str">
        <f>IFERROR(__xludf.DUMMYFUNCTION("""COMPUTED_VALUE"""),"N/A")</f>
        <v>N/A</v>
      </c>
      <c r="AD589" s="97" t="str">
        <f>IFERROR(__xludf.DUMMYFUNCTION("""COMPUTED_VALUE"""),"IP20")</f>
        <v>IP20</v>
      </c>
      <c r="AE589" s="97" t="str">
        <f>IFERROR(__xludf.DUMMYFUNCTION("""COMPUTED_VALUE"""),"N/A")</f>
        <v>N/A</v>
      </c>
      <c r="AF589" s="97" t="str">
        <f>IFERROR(__xludf.DUMMYFUNCTION("""COMPUTED_VALUE"""),"Aplicar / Embutir")</f>
        <v>Aplicar / Embutir</v>
      </c>
      <c r="AG589" s="97" t="str">
        <f>IFERROR(__xludf.DUMMYFUNCTION("""COMPUTED_VALUE"""),"Ø45 x 80")</f>
        <v>Ø45 x 80</v>
      </c>
      <c r="AH589" s="97" t="str">
        <f>IFERROR(__xludf.DUMMYFUNCTION("""COMPUTED_VALUE"""),"Ø65 ")</f>
        <v>Ø65 </v>
      </c>
      <c r="AI589" s="97">
        <f>IFERROR(__xludf.DUMMYFUNCTION("""COMPUTED_VALUE"""),15.0)</f>
        <v>15</v>
      </c>
      <c r="AJ589" s="97" t="str">
        <f>IFERROR(__xludf.DUMMYFUNCTION("""COMPUTED_VALUE"""),"N/A")</f>
        <v>N/A</v>
      </c>
      <c r="AK589" s="97" t="str">
        <f>IFERROR(__xludf.DUMMYFUNCTION("""COMPUTED_VALUE"""),"Policarbonato (PC)")</f>
        <v>Policarbonato (PC)</v>
      </c>
      <c r="AL589" s="97" t="str">
        <f>IFERROR(__xludf.DUMMYFUNCTION("""COMPUTED_VALUE"""),"Blanco Mate")</f>
        <v>Blanco Mate</v>
      </c>
      <c r="AM589" s="97" t="str">
        <f>IFERROR(__xludf.DUMMYFUNCTION("""COMPUTED_VALUE"""),"-")</f>
        <v>-</v>
      </c>
      <c r="AN589" s="97" t="str">
        <f>IFERROR(__xludf.DUMMYFUNCTION("""COMPUTED_VALUE"""),"N/A")</f>
        <v>N/A</v>
      </c>
      <c r="AO589" s="97" t="str">
        <f>IFERROR(__xludf.DUMMYFUNCTION("""COMPUTED_VALUE"""),"8 Años")</f>
        <v>8 Años</v>
      </c>
      <c r="AP589" s="97" t="str">
        <f>IFERROR(__xludf.DUMMYFUNCTION("""COMPUTED_VALUE"""),"No Aplica")</f>
        <v>No Aplica</v>
      </c>
      <c r="AQ589" s="97" t="str">
        <f>IFERROR(__xludf.DUMMYFUNCTION("""COMPUTED_VALUE"""),"No Aplica")</f>
        <v>No Aplica</v>
      </c>
      <c r="AR589" s="97" t="str">
        <f>IFERROR(__xludf.DUMMYFUNCTION("""COMPUTED_VALUE"""),"No Aplica")</f>
        <v>No Aplica</v>
      </c>
      <c r="AS589" s="97"/>
      <c r="AT589" s="97"/>
      <c r="AU589" s="97"/>
      <c r="AV589" s="97" t="str">
        <f>IFERROR(__xludf.DUMMYFUNCTION("""COMPUTED_VALUE"""),"Empotrable")</f>
        <v>Empotrable</v>
      </c>
      <c r="AW589" s="97" t="str">
        <f>IFERROR(__xludf.DUMMYFUNCTION("""COMPUTED_VALUE"""),"De Techo")</f>
        <v>De Techo</v>
      </c>
      <c r="AX589" s="97" t="str">
        <f>IFERROR(__xludf.DUMMYFUNCTION("""COMPUTED_VALUE"""),"Interior")</f>
        <v>Interior</v>
      </c>
      <c r="AY589" s="97"/>
      <c r="AZ589" s="97" t="str">
        <f>IFERROR(__xludf.DUMMYFUNCTION("""COMPUTED_VALUE"""),"Movimiento 360° horizontal y 90° vertical.
**Garantía de 8 años de amarillamiento de PC.
***Retardador de incendios: clasificación BS2D0 con resistencia hasta 120°C.
****PC con protección contra rayos UV.")</f>
        <v>Movimiento 360° horizontal y 90° vertical.
**Garantía de 8 años de amarillamiento de PC.
***Retardador de incendios: clasificación BS2D0 con resistencia hasta 120°C.
****PC con protección contra rayos UV.</v>
      </c>
      <c r="BA589" s="97">
        <f>IFERROR(__xludf.DUMMYFUNCTION("""COMPUTED_VALUE"""),50.0)</f>
        <v>50</v>
      </c>
      <c r="BB589" s="97"/>
      <c r="BC589" s="97"/>
      <c r="BD589" s="97" t="str">
        <f>IFERROR(__xludf.DUMMYFUNCTION("""COMPUTED_VALUE"""),"MAG")</f>
        <v>MAG</v>
      </c>
      <c r="BE589" s="97" t="str">
        <f>IFERROR(__xludf.DUMMYFUNCTION("""COMPUTED_VALUE"""),"Finalizada")</f>
        <v>Finalizada</v>
      </c>
      <c r="BF589" s="97"/>
      <c r="BG589" s="97" t="str">
        <f>IFERROR(__xludf.DUMMYFUNCTION("""COMPUTED_VALUE"""),"Discontinuo")</f>
        <v>Discontinuo</v>
      </c>
    </row>
    <row r="590">
      <c r="A590" s="97">
        <f>IFERROR(__xludf.DUMMYFUNCTION("""COMPUTED_VALUE"""),6330.0)</f>
        <v>6330</v>
      </c>
      <c r="B590" s="97" t="str">
        <f>IFERROR(__xludf.DUMMYFUNCTION("""COMPUTED_VALUE"""),"MAG I NG")</f>
        <v>MAG I NG</v>
      </c>
      <c r="C590" s="97" t="str">
        <f>IFERROR(__xludf.DUMMYFUNCTION("""COMPUTED_VALUE"""),"SPOT SEMIEMBUTIDO MAG1 NEGRO LEUK")</f>
        <v>SPOT SEMIEMBUTIDO MAG1 NEGRO LEUK</v>
      </c>
      <c r="D590" s="97">
        <f>IFERROR(__xludf.DUMMYFUNCTION("""COMPUTED_VALUE"""),7.798328757463E12)</f>
        <v>7798328757463</v>
      </c>
      <c r="E590" s="97"/>
      <c r="F590" s="97" t="str">
        <f>IFERROR(__xludf.DUMMYFUNCTION("""COMPUTED_VALUE"""),"1 x GU10")</f>
        <v>1 x GU10</v>
      </c>
      <c r="G590" s="97" t="str">
        <f>IFERROR(__xludf.DUMMYFUNCTION("""COMPUTED_VALUE"""),"N/A")</f>
        <v>N/A</v>
      </c>
      <c r="H590" s="97" t="str">
        <f>IFERROR(__xludf.DUMMYFUNCTION("""COMPUTED_VALUE"""),"N/A")</f>
        <v>N/A</v>
      </c>
      <c r="I590" s="97" t="str">
        <f>IFERROR(__xludf.DUMMYFUNCTION("""COMPUTED_VALUE"""),"N/A")</f>
        <v>N/A</v>
      </c>
      <c r="J590" s="97"/>
      <c r="K590" s="97" t="str">
        <f>IFERROR(__xludf.DUMMYFUNCTION("""COMPUTED_VALUE"""),"N/A")</f>
        <v>N/A</v>
      </c>
      <c r="L590" s="97">
        <f>IFERROR(__xludf.DUMMYFUNCTION("""COMPUTED_VALUE"""),220.0)</f>
        <v>220</v>
      </c>
      <c r="M590" s="97">
        <f>IFERROR(__xludf.DUMMYFUNCTION("""COMPUTED_VALUE"""),50.0)</f>
        <v>50</v>
      </c>
      <c r="N590" s="97"/>
      <c r="O590" s="97" t="str">
        <f>IFERROR(__xludf.DUMMYFUNCTION("""COMPUTED_VALUE"""),"1 x 50W Max")</f>
        <v>1 x 50W Max</v>
      </c>
      <c r="P590" s="97"/>
      <c r="Q590" s="97" t="str">
        <f>IFERROR(__xludf.DUMMYFUNCTION("""COMPUTED_VALUE"""),"-")</f>
        <v>-</v>
      </c>
      <c r="R590" s="97" t="str">
        <f>IFERROR(__xludf.DUMMYFUNCTION("""COMPUTED_VALUE"""),"-")</f>
        <v>-</v>
      </c>
      <c r="S590" s="97" t="str">
        <f>IFERROR(__xludf.DUMMYFUNCTION("""COMPUTED_VALUE"""),"-")</f>
        <v>-</v>
      </c>
      <c r="T590" s="97" t="str">
        <f>IFERROR(__xludf.DUMMYFUNCTION("""COMPUTED_VALUE"""),"-")</f>
        <v>-</v>
      </c>
      <c r="U590" s="97" t="str">
        <f>IFERROR(__xludf.DUMMYFUNCTION("""COMPUTED_VALUE"""),"-")</f>
        <v>-</v>
      </c>
      <c r="V590" s="97" t="str">
        <f>IFERROR(__xludf.DUMMYFUNCTION("""COMPUTED_VALUE"""),"N/A")</f>
        <v>N/A</v>
      </c>
      <c r="W590" s="97" t="str">
        <f>IFERROR(__xludf.DUMMYFUNCTION("""COMPUTED_VALUE"""),"N/A")</f>
        <v>N/A</v>
      </c>
      <c r="X590" s="97" t="str">
        <f>IFERROR(__xludf.DUMMYFUNCTION("""COMPUTED_VALUE"""),"-")</f>
        <v>-</v>
      </c>
      <c r="Y590" s="97" t="str">
        <f>IFERROR(__xludf.DUMMYFUNCTION("""COMPUTED_VALUE"""),"N/A")</f>
        <v>N/A</v>
      </c>
      <c r="Z590" s="97" t="str">
        <f>IFERROR(__xludf.DUMMYFUNCTION("""COMPUTED_VALUE"""),"N/A")</f>
        <v>N/A</v>
      </c>
      <c r="AA590" s="97" t="str">
        <f>IFERROR(__xludf.DUMMYFUNCTION("""COMPUTED_VALUE"""),"N/A")</f>
        <v>N/A</v>
      </c>
      <c r="AB590" s="97" t="str">
        <f>IFERROR(__xludf.DUMMYFUNCTION("""COMPUTED_VALUE"""),"N/A")</f>
        <v>N/A</v>
      </c>
      <c r="AC590" s="97" t="str">
        <f>IFERROR(__xludf.DUMMYFUNCTION("""COMPUTED_VALUE"""),"N/A")</f>
        <v>N/A</v>
      </c>
      <c r="AD590" s="97" t="str">
        <f>IFERROR(__xludf.DUMMYFUNCTION("""COMPUTED_VALUE"""),"IP20")</f>
        <v>IP20</v>
      </c>
      <c r="AE590" s="97" t="str">
        <f>IFERROR(__xludf.DUMMYFUNCTION("""COMPUTED_VALUE"""),"N/A")</f>
        <v>N/A</v>
      </c>
      <c r="AF590" s="97" t="str">
        <f>IFERROR(__xludf.DUMMYFUNCTION("""COMPUTED_VALUE"""),"Aplicar / Embutir")</f>
        <v>Aplicar / Embutir</v>
      </c>
      <c r="AG590" s="97" t="str">
        <f>IFERROR(__xludf.DUMMYFUNCTION("""COMPUTED_VALUE"""),"Ø45 x 80")</f>
        <v>Ø45 x 80</v>
      </c>
      <c r="AH590" s="97" t="str">
        <f>IFERROR(__xludf.DUMMYFUNCTION("""COMPUTED_VALUE"""),"Ø65 ")</f>
        <v>Ø65 </v>
      </c>
      <c r="AI590" s="97">
        <f>IFERROR(__xludf.DUMMYFUNCTION("""COMPUTED_VALUE"""),15.0)</f>
        <v>15</v>
      </c>
      <c r="AJ590" s="97" t="str">
        <f>IFERROR(__xludf.DUMMYFUNCTION("""COMPUTED_VALUE"""),"N/A")</f>
        <v>N/A</v>
      </c>
      <c r="AK590" s="97" t="str">
        <f>IFERROR(__xludf.DUMMYFUNCTION("""COMPUTED_VALUE"""),"Policarbonato (PC)")</f>
        <v>Policarbonato (PC)</v>
      </c>
      <c r="AL590" s="97" t="str">
        <f>IFERROR(__xludf.DUMMYFUNCTION("""COMPUTED_VALUE"""),"Negro Mate")</f>
        <v>Negro Mate</v>
      </c>
      <c r="AM590" s="97" t="str">
        <f>IFERROR(__xludf.DUMMYFUNCTION("""COMPUTED_VALUE"""),"-")</f>
        <v>-</v>
      </c>
      <c r="AN590" s="97" t="str">
        <f>IFERROR(__xludf.DUMMYFUNCTION("""COMPUTED_VALUE"""),"N/A")</f>
        <v>N/A</v>
      </c>
      <c r="AO590" s="97" t="str">
        <f>IFERROR(__xludf.DUMMYFUNCTION("""COMPUTED_VALUE"""),"8 Años")</f>
        <v>8 Años</v>
      </c>
      <c r="AP590" s="97" t="str">
        <f>IFERROR(__xludf.DUMMYFUNCTION("""COMPUTED_VALUE"""),"No Aplica")</f>
        <v>No Aplica</v>
      </c>
      <c r="AQ590" s="97" t="str">
        <f>IFERROR(__xludf.DUMMYFUNCTION("""COMPUTED_VALUE"""),"No Aplica")</f>
        <v>No Aplica</v>
      </c>
      <c r="AR590" s="97" t="str">
        <f>IFERROR(__xludf.DUMMYFUNCTION("""COMPUTED_VALUE"""),"No Aplica")</f>
        <v>No Aplica</v>
      </c>
      <c r="AS590" s="97"/>
      <c r="AT590" s="97"/>
      <c r="AU590" s="97"/>
      <c r="AV590" s="97" t="str">
        <f>IFERROR(__xludf.DUMMYFUNCTION("""COMPUTED_VALUE"""),"Empotrable")</f>
        <v>Empotrable</v>
      </c>
      <c r="AW590" s="97" t="str">
        <f>IFERROR(__xludf.DUMMYFUNCTION("""COMPUTED_VALUE"""),"De Techo")</f>
        <v>De Techo</v>
      </c>
      <c r="AX590" s="97" t="str">
        <f>IFERROR(__xludf.DUMMYFUNCTION("""COMPUTED_VALUE"""),"Interior")</f>
        <v>Interior</v>
      </c>
      <c r="AY590" s="97"/>
      <c r="AZ590" s="97" t="str">
        <f>IFERROR(__xludf.DUMMYFUNCTION("""COMPUTED_VALUE"""),"Movimiento 360° horizontal y 90° vertical.
**Garantía de 8 años de amarillamiento de PC.
***Retardador de incendios: clasificación BS2D0 con resistencia hasta 120°C.
****PC con protección contra rayos UV.")</f>
        <v>Movimiento 360° horizontal y 90° vertical.
**Garantía de 8 años de amarillamiento de PC.
***Retardador de incendios: clasificación BS2D0 con resistencia hasta 120°C.
****PC con protección contra rayos UV.</v>
      </c>
      <c r="BA590" s="97">
        <f>IFERROR(__xludf.DUMMYFUNCTION("""COMPUTED_VALUE"""),50.0)</f>
        <v>50</v>
      </c>
      <c r="BB590" s="97"/>
      <c r="BC590" s="97"/>
      <c r="BD590" s="97" t="str">
        <f>IFERROR(__xludf.DUMMYFUNCTION("""COMPUTED_VALUE"""),"MAG")</f>
        <v>MAG</v>
      </c>
      <c r="BE590" s="97" t="str">
        <f>IFERROR(__xludf.DUMMYFUNCTION("""COMPUTED_VALUE"""),"Finalizada")</f>
        <v>Finalizada</v>
      </c>
      <c r="BF590" s="97"/>
      <c r="BG590" s="97" t="str">
        <f>IFERROR(__xludf.DUMMYFUNCTION("""COMPUTED_VALUE"""),"Discontinuo")</f>
        <v>Discontinuo</v>
      </c>
    </row>
    <row r="591">
      <c r="A591" s="97">
        <f>IFERROR(__xludf.DUMMYFUNCTION("""COMPUTED_VALUE"""),6331.0)</f>
        <v>6331</v>
      </c>
      <c r="B591" s="97" t="str">
        <f>IFERROR(__xludf.DUMMYFUNCTION("""COMPUTED_VALUE"""),"NAT I BL")</f>
        <v>NAT I BL</v>
      </c>
      <c r="C591" s="97" t="str">
        <f>IFERROR(__xludf.DUMMYFUNCTION("""COMPUTED_VALUE"""),"SPOT SEMIEMBUTIDO NAT1 BLANCO LEUK")</f>
        <v>SPOT SEMIEMBUTIDO NAT1 BLANCO LEUK</v>
      </c>
      <c r="D591" s="97">
        <f>IFERROR(__xludf.DUMMYFUNCTION("""COMPUTED_VALUE"""),7.79832875747E12)</f>
        <v>7798328757470</v>
      </c>
      <c r="E591" s="97"/>
      <c r="F591" s="97" t="str">
        <f>IFERROR(__xludf.DUMMYFUNCTION("""COMPUTED_VALUE"""),"1 x GU10")</f>
        <v>1 x GU10</v>
      </c>
      <c r="G591" s="97" t="str">
        <f>IFERROR(__xludf.DUMMYFUNCTION("""COMPUTED_VALUE"""),"N/A")</f>
        <v>N/A</v>
      </c>
      <c r="H591" s="97" t="str">
        <f>IFERROR(__xludf.DUMMYFUNCTION("""COMPUTED_VALUE"""),"N/A")</f>
        <v>N/A</v>
      </c>
      <c r="I591" s="97" t="str">
        <f>IFERROR(__xludf.DUMMYFUNCTION("""COMPUTED_VALUE"""),"N/A")</f>
        <v>N/A</v>
      </c>
      <c r="J591" s="97"/>
      <c r="K591" s="97" t="str">
        <f>IFERROR(__xludf.DUMMYFUNCTION("""COMPUTED_VALUE"""),"N/A")</f>
        <v>N/A</v>
      </c>
      <c r="L591" s="97">
        <f>IFERROR(__xludf.DUMMYFUNCTION("""COMPUTED_VALUE"""),220.0)</f>
        <v>220</v>
      </c>
      <c r="M591" s="97">
        <f>IFERROR(__xludf.DUMMYFUNCTION("""COMPUTED_VALUE"""),50.0)</f>
        <v>50</v>
      </c>
      <c r="N591" s="97"/>
      <c r="O591" s="97" t="str">
        <f>IFERROR(__xludf.DUMMYFUNCTION("""COMPUTED_VALUE"""),"1 x 50W Max")</f>
        <v>1 x 50W Max</v>
      </c>
      <c r="P591" s="97"/>
      <c r="Q591" s="97" t="str">
        <f>IFERROR(__xludf.DUMMYFUNCTION("""COMPUTED_VALUE"""),"-")</f>
        <v>-</v>
      </c>
      <c r="R591" s="97" t="str">
        <f>IFERROR(__xludf.DUMMYFUNCTION("""COMPUTED_VALUE"""),"-")</f>
        <v>-</v>
      </c>
      <c r="S591" s="97" t="str">
        <f>IFERROR(__xludf.DUMMYFUNCTION("""COMPUTED_VALUE"""),"-")</f>
        <v>-</v>
      </c>
      <c r="T591" s="97" t="str">
        <f>IFERROR(__xludf.DUMMYFUNCTION("""COMPUTED_VALUE"""),"-")</f>
        <v>-</v>
      </c>
      <c r="U591" s="97" t="str">
        <f>IFERROR(__xludf.DUMMYFUNCTION("""COMPUTED_VALUE"""),"-")</f>
        <v>-</v>
      </c>
      <c r="V591" s="97" t="str">
        <f>IFERROR(__xludf.DUMMYFUNCTION("""COMPUTED_VALUE"""),"N/A")</f>
        <v>N/A</v>
      </c>
      <c r="W591" s="97" t="str">
        <f>IFERROR(__xludf.DUMMYFUNCTION("""COMPUTED_VALUE"""),"N/A")</f>
        <v>N/A</v>
      </c>
      <c r="X591" s="97" t="str">
        <f>IFERROR(__xludf.DUMMYFUNCTION("""COMPUTED_VALUE"""),"-")</f>
        <v>-</v>
      </c>
      <c r="Y591" s="97" t="str">
        <f>IFERROR(__xludf.DUMMYFUNCTION("""COMPUTED_VALUE"""),"N/A")</f>
        <v>N/A</v>
      </c>
      <c r="Z591" s="97" t="str">
        <f>IFERROR(__xludf.DUMMYFUNCTION("""COMPUTED_VALUE"""),"N/A")</f>
        <v>N/A</v>
      </c>
      <c r="AA591" s="97" t="str">
        <f>IFERROR(__xludf.DUMMYFUNCTION("""COMPUTED_VALUE"""),"N/A")</f>
        <v>N/A</v>
      </c>
      <c r="AB591" s="97" t="str">
        <f>IFERROR(__xludf.DUMMYFUNCTION("""COMPUTED_VALUE"""),"N/A")</f>
        <v>N/A</v>
      </c>
      <c r="AC591" s="97" t="str">
        <f>IFERROR(__xludf.DUMMYFUNCTION("""COMPUTED_VALUE"""),"N/A")</f>
        <v>N/A</v>
      </c>
      <c r="AD591" s="97" t="str">
        <f>IFERROR(__xludf.DUMMYFUNCTION("""COMPUTED_VALUE"""),"IP20")</f>
        <v>IP20</v>
      </c>
      <c r="AE591" s="97" t="str">
        <f>IFERROR(__xludf.DUMMYFUNCTION("""COMPUTED_VALUE"""),"N/A")</f>
        <v>N/A</v>
      </c>
      <c r="AF591" s="97" t="str">
        <f>IFERROR(__xludf.DUMMYFUNCTION("""COMPUTED_VALUE"""),"Aplicar / Embutir")</f>
        <v>Aplicar / Embutir</v>
      </c>
      <c r="AG591" s="97" t="str">
        <f>IFERROR(__xludf.DUMMYFUNCTION("""COMPUTED_VALUE"""),"Ø45 x 110")</f>
        <v>Ø45 x 110</v>
      </c>
      <c r="AH591" s="97" t="str">
        <f>IFERROR(__xludf.DUMMYFUNCTION("""COMPUTED_VALUE"""),"Ø65 ")</f>
        <v>Ø65 </v>
      </c>
      <c r="AI591" s="97">
        <f>IFERROR(__xludf.DUMMYFUNCTION("""COMPUTED_VALUE"""),15.0)</f>
        <v>15</v>
      </c>
      <c r="AJ591" s="97" t="str">
        <f>IFERROR(__xludf.DUMMYFUNCTION("""COMPUTED_VALUE"""),"N/A")</f>
        <v>N/A</v>
      </c>
      <c r="AK591" s="97" t="str">
        <f>IFERROR(__xludf.DUMMYFUNCTION("""COMPUTED_VALUE"""),"Policarbonato (PC)")</f>
        <v>Policarbonato (PC)</v>
      </c>
      <c r="AL591" s="97" t="str">
        <f>IFERROR(__xludf.DUMMYFUNCTION("""COMPUTED_VALUE"""),"Blanco Mate")</f>
        <v>Blanco Mate</v>
      </c>
      <c r="AM591" s="97" t="str">
        <f>IFERROR(__xludf.DUMMYFUNCTION("""COMPUTED_VALUE"""),"-")</f>
        <v>-</v>
      </c>
      <c r="AN591" s="97" t="str">
        <f>IFERROR(__xludf.DUMMYFUNCTION("""COMPUTED_VALUE"""),"N/A")</f>
        <v>N/A</v>
      </c>
      <c r="AO591" s="97" t="str">
        <f>IFERROR(__xludf.DUMMYFUNCTION("""COMPUTED_VALUE"""),"8 Años")</f>
        <v>8 Años</v>
      </c>
      <c r="AP591" s="97" t="str">
        <f>IFERROR(__xludf.DUMMYFUNCTION("""COMPUTED_VALUE"""),"No Aplica")</f>
        <v>No Aplica</v>
      </c>
      <c r="AQ591" s="97" t="str">
        <f>IFERROR(__xludf.DUMMYFUNCTION("""COMPUTED_VALUE"""),"No Aplica")</f>
        <v>No Aplica</v>
      </c>
      <c r="AR591" s="97" t="str">
        <f>IFERROR(__xludf.DUMMYFUNCTION("""COMPUTED_VALUE"""),"No Aplica")</f>
        <v>No Aplica</v>
      </c>
      <c r="AS591" s="97"/>
      <c r="AT591" s="97"/>
      <c r="AU591" s="97"/>
      <c r="AV591" s="97" t="str">
        <f>IFERROR(__xludf.DUMMYFUNCTION("""COMPUTED_VALUE"""),"Empotrable")</f>
        <v>Empotrable</v>
      </c>
      <c r="AW591" s="97" t="str">
        <f>IFERROR(__xludf.DUMMYFUNCTION("""COMPUTED_VALUE"""),"De Techo")</f>
        <v>De Techo</v>
      </c>
      <c r="AX591" s="97" t="str">
        <f>IFERROR(__xludf.DUMMYFUNCTION("""COMPUTED_VALUE"""),"Interior")</f>
        <v>Interior</v>
      </c>
      <c r="AY591" s="97"/>
      <c r="AZ591" s="97" t="str">
        <f>IFERROR(__xludf.DUMMYFUNCTION("""COMPUTED_VALUE"""),"Movimiento 360° horizontal y 90° vertical.
**Garantía de 8 años de amarillamiento de PC.
***Retardador de incendios: clasificación BS2D0 con resistencia hasta 120°C.
****PC con protección contra rayos UV.")</f>
        <v>Movimiento 360° horizontal y 90° vertical.
**Garantía de 8 años de amarillamiento de PC.
***Retardador de incendios: clasificación BS2D0 con resistencia hasta 120°C.
****PC con protección contra rayos UV.</v>
      </c>
      <c r="BA591" s="97">
        <f>IFERROR(__xludf.DUMMYFUNCTION("""COMPUTED_VALUE"""),50.0)</f>
        <v>50</v>
      </c>
      <c r="BB591" s="97"/>
      <c r="BC591" s="97"/>
      <c r="BD591" s="97" t="str">
        <f>IFERROR(__xludf.DUMMYFUNCTION("""COMPUTED_VALUE"""),"NAT")</f>
        <v>NAT</v>
      </c>
      <c r="BE591" s="97" t="str">
        <f>IFERROR(__xludf.DUMMYFUNCTION("""COMPUTED_VALUE"""),"Finalizada")</f>
        <v>Finalizada</v>
      </c>
      <c r="BF591" s="97"/>
      <c r="BG591" s="97" t="str">
        <f>IFERROR(__xludf.DUMMYFUNCTION("""COMPUTED_VALUE"""),"Discontinuo")</f>
        <v>Discontinuo</v>
      </c>
    </row>
    <row r="592">
      <c r="A592" s="97">
        <f>IFERROR(__xludf.DUMMYFUNCTION("""COMPUTED_VALUE"""),6332.0)</f>
        <v>6332</v>
      </c>
      <c r="B592" s="97" t="str">
        <f>IFERROR(__xludf.DUMMYFUNCTION("""COMPUTED_VALUE"""),"NAT I NG")</f>
        <v>NAT I NG</v>
      </c>
      <c r="C592" s="97" t="str">
        <f>IFERROR(__xludf.DUMMYFUNCTION("""COMPUTED_VALUE"""),"SPOT SEMIEMBUTIDO NAT1 NEGRO LEUK")</f>
        <v>SPOT SEMIEMBUTIDO NAT1 NEGRO LEUK</v>
      </c>
      <c r="D592" s="97">
        <f>IFERROR(__xludf.DUMMYFUNCTION("""COMPUTED_VALUE"""),7.798328757487E12)</f>
        <v>7798328757487</v>
      </c>
      <c r="E592" s="97"/>
      <c r="F592" s="97" t="str">
        <f>IFERROR(__xludf.DUMMYFUNCTION("""COMPUTED_VALUE"""),"1 x GU10")</f>
        <v>1 x GU10</v>
      </c>
      <c r="G592" s="97" t="str">
        <f>IFERROR(__xludf.DUMMYFUNCTION("""COMPUTED_VALUE"""),"N/A")</f>
        <v>N/A</v>
      </c>
      <c r="H592" s="97" t="str">
        <f>IFERROR(__xludf.DUMMYFUNCTION("""COMPUTED_VALUE"""),"N/A")</f>
        <v>N/A</v>
      </c>
      <c r="I592" s="97" t="str">
        <f>IFERROR(__xludf.DUMMYFUNCTION("""COMPUTED_VALUE"""),"N/A")</f>
        <v>N/A</v>
      </c>
      <c r="J592" s="97"/>
      <c r="K592" s="97" t="str">
        <f>IFERROR(__xludf.DUMMYFUNCTION("""COMPUTED_VALUE"""),"N/A")</f>
        <v>N/A</v>
      </c>
      <c r="L592" s="97">
        <f>IFERROR(__xludf.DUMMYFUNCTION("""COMPUTED_VALUE"""),220.0)</f>
        <v>220</v>
      </c>
      <c r="M592" s="97">
        <f>IFERROR(__xludf.DUMMYFUNCTION("""COMPUTED_VALUE"""),50.0)</f>
        <v>50</v>
      </c>
      <c r="N592" s="97"/>
      <c r="O592" s="97" t="str">
        <f>IFERROR(__xludf.DUMMYFUNCTION("""COMPUTED_VALUE"""),"1 x 50W Max")</f>
        <v>1 x 50W Max</v>
      </c>
      <c r="P592" s="97"/>
      <c r="Q592" s="97" t="str">
        <f>IFERROR(__xludf.DUMMYFUNCTION("""COMPUTED_VALUE"""),"-")</f>
        <v>-</v>
      </c>
      <c r="R592" s="97" t="str">
        <f>IFERROR(__xludf.DUMMYFUNCTION("""COMPUTED_VALUE"""),"-")</f>
        <v>-</v>
      </c>
      <c r="S592" s="97" t="str">
        <f>IFERROR(__xludf.DUMMYFUNCTION("""COMPUTED_VALUE"""),"-")</f>
        <v>-</v>
      </c>
      <c r="T592" s="97" t="str">
        <f>IFERROR(__xludf.DUMMYFUNCTION("""COMPUTED_VALUE"""),"-")</f>
        <v>-</v>
      </c>
      <c r="U592" s="97" t="str">
        <f>IFERROR(__xludf.DUMMYFUNCTION("""COMPUTED_VALUE"""),"-")</f>
        <v>-</v>
      </c>
      <c r="V592" s="97" t="str">
        <f>IFERROR(__xludf.DUMMYFUNCTION("""COMPUTED_VALUE"""),"N/A")</f>
        <v>N/A</v>
      </c>
      <c r="W592" s="97" t="str">
        <f>IFERROR(__xludf.DUMMYFUNCTION("""COMPUTED_VALUE"""),"N/A")</f>
        <v>N/A</v>
      </c>
      <c r="X592" s="97" t="str">
        <f>IFERROR(__xludf.DUMMYFUNCTION("""COMPUTED_VALUE"""),"-")</f>
        <v>-</v>
      </c>
      <c r="Y592" s="97" t="str">
        <f>IFERROR(__xludf.DUMMYFUNCTION("""COMPUTED_VALUE"""),"N/A")</f>
        <v>N/A</v>
      </c>
      <c r="Z592" s="97" t="str">
        <f>IFERROR(__xludf.DUMMYFUNCTION("""COMPUTED_VALUE"""),"N/A")</f>
        <v>N/A</v>
      </c>
      <c r="AA592" s="97" t="str">
        <f>IFERROR(__xludf.DUMMYFUNCTION("""COMPUTED_VALUE"""),"N/A")</f>
        <v>N/A</v>
      </c>
      <c r="AB592" s="97" t="str">
        <f>IFERROR(__xludf.DUMMYFUNCTION("""COMPUTED_VALUE"""),"N/A")</f>
        <v>N/A</v>
      </c>
      <c r="AC592" s="97" t="str">
        <f>IFERROR(__xludf.DUMMYFUNCTION("""COMPUTED_VALUE"""),"N/A")</f>
        <v>N/A</v>
      </c>
      <c r="AD592" s="97" t="str">
        <f>IFERROR(__xludf.DUMMYFUNCTION("""COMPUTED_VALUE"""),"IP20")</f>
        <v>IP20</v>
      </c>
      <c r="AE592" s="97" t="str">
        <f>IFERROR(__xludf.DUMMYFUNCTION("""COMPUTED_VALUE"""),"N/A")</f>
        <v>N/A</v>
      </c>
      <c r="AF592" s="97" t="str">
        <f>IFERROR(__xludf.DUMMYFUNCTION("""COMPUTED_VALUE"""),"Aplicar / Embutir")</f>
        <v>Aplicar / Embutir</v>
      </c>
      <c r="AG592" s="97" t="str">
        <f>IFERROR(__xludf.DUMMYFUNCTION("""COMPUTED_VALUE"""),"Ø45 x 110")</f>
        <v>Ø45 x 110</v>
      </c>
      <c r="AH592" s="97" t="str">
        <f>IFERROR(__xludf.DUMMYFUNCTION("""COMPUTED_VALUE"""),"Ø65 ")</f>
        <v>Ø65 </v>
      </c>
      <c r="AI592" s="97">
        <f>IFERROR(__xludf.DUMMYFUNCTION("""COMPUTED_VALUE"""),15.0)</f>
        <v>15</v>
      </c>
      <c r="AJ592" s="97" t="str">
        <f>IFERROR(__xludf.DUMMYFUNCTION("""COMPUTED_VALUE"""),"N/A")</f>
        <v>N/A</v>
      </c>
      <c r="AK592" s="97" t="str">
        <f>IFERROR(__xludf.DUMMYFUNCTION("""COMPUTED_VALUE"""),"Policarbonato (PC)")</f>
        <v>Policarbonato (PC)</v>
      </c>
      <c r="AL592" s="97" t="str">
        <f>IFERROR(__xludf.DUMMYFUNCTION("""COMPUTED_VALUE"""),"Negro Mate")</f>
        <v>Negro Mate</v>
      </c>
      <c r="AM592" s="97" t="str">
        <f>IFERROR(__xludf.DUMMYFUNCTION("""COMPUTED_VALUE"""),"-")</f>
        <v>-</v>
      </c>
      <c r="AN592" s="97" t="str">
        <f>IFERROR(__xludf.DUMMYFUNCTION("""COMPUTED_VALUE"""),"N/A")</f>
        <v>N/A</v>
      </c>
      <c r="AO592" s="97" t="str">
        <f>IFERROR(__xludf.DUMMYFUNCTION("""COMPUTED_VALUE"""),"8 Años")</f>
        <v>8 Años</v>
      </c>
      <c r="AP592" s="97" t="str">
        <f>IFERROR(__xludf.DUMMYFUNCTION("""COMPUTED_VALUE"""),"No Aplica")</f>
        <v>No Aplica</v>
      </c>
      <c r="AQ592" s="97" t="str">
        <f>IFERROR(__xludf.DUMMYFUNCTION("""COMPUTED_VALUE"""),"No Aplica")</f>
        <v>No Aplica</v>
      </c>
      <c r="AR592" s="97" t="str">
        <f>IFERROR(__xludf.DUMMYFUNCTION("""COMPUTED_VALUE"""),"No Aplica")</f>
        <v>No Aplica</v>
      </c>
      <c r="AS592" s="97"/>
      <c r="AT592" s="97"/>
      <c r="AU592" s="97"/>
      <c r="AV592" s="97" t="str">
        <f>IFERROR(__xludf.DUMMYFUNCTION("""COMPUTED_VALUE"""),"Empotrable")</f>
        <v>Empotrable</v>
      </c>
      <c r="AW592" s="97" t="str">
        <f>IFERROR(__xludf.DUMMYFUNCTION("""COMPUTED_VALUE"""),"De Techo")</f>
        <v>De Techo</v>
      </c>
      <c r="AX592" s="97" t="str">
        <f>IFERROR(__xludf.DUMMYFUNCTION("""COMPUTED_VALUE"""),"Interior")</f>
        <v>Interior</v>
      </c>
      <c r="AY592" s="97"/>
      <c r="AZ592" s="97" t="str">
        <f>IFERROR(__xludf.DUMMYFUNCTION("""COMPUTED_VALUE"""),"Movimiento 360° horizontal y 90° vertical.
**Garantía de 8 años de amarillamiento de PC.
***Retardador de incendios: clasificación BS2D0 con resistencia hasta 120°C.
****PC con protección contra rayos UV.")</f>
        <v>Movimiento 360° horizontal y 90° vertical.
**Garantía de 8 años de amarillamiento de PC.
***Retardador de incendios: clasificación BS2D0 con resistencia hasta 120°C.
****PC con protección contra rayos UV.</v>
      </c>
      <c r="BA592" s="97">
        <f>IFERROR(__xludf.DUMMYFUNCTION("""COMPUTED_VALUE"""),50.0)</f>
        <v>50</v>
      </c>
      <c r="BB592" s="97"/>
      <c r="BC592" s="97"/>
      <c r="BD592" s="97" t="str">
        <f>IFERROR(__xludf.DUMMYFUNCTION("""COMPUTED_VALUE"""),"NAT")</f>
        <v>NAT</v>
      </c>
      <c r="BE592" s="97" t="str">
        <f>IFERROR(__xludf.DUMMYFUNCTION("""COMPUTED_VALUE"""),"Finalizada")</f>
        <v>Finalizada</v>
      </c>
      <c r="BF592" s="97"/>
      <c r="BG592" s="97" t="str">
        <f>IFERROR(__xludf.DUMMYFUNCTION("""COMPUTED_VALUE"""),"Discontinuo")</f>
        <v>Discontinuo</v>
      </c>
    </row>
    <row r="593">
      <c r="A593" s="97">
        <f>IFERROR(__xludf.DUMMYFUNCTION("""COMPUTED_VALUE"""),6333.0)</f>
        <v>6333</v>
      </c>
      <c r="B593" s="97" t="str">
        <f>IFERROR(__xludf.DUMMYFUNCTION("""COMPUTED_VALUE"""),"AEO")</f>
        <v>AEO</v>
      </c>
      <c r="C593" s="97" t="str">
        <f>IFERROR(__xludf.DUMMYFUNCTION("""COMPUTED_VALUE"""),"COLGANTE AEO LEUK")</f>
        <v>COLGANTE AEO LEUK</v>
      </c>
      <c r="D593" s="97">
        <f>IFERROR(__xludf.DUMMYFUNCTION("""COMPUTED_VALUE"""),7.798328756732E12)</f>
        <v>7798328756732</v>
      </c>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t="str">
        <f>IFERROR(__xludf.DUMMYFUNCTION("""COMPUTED_VALUE"""),"IP20")</f>
        <v>IP20</v>
      </c>
      <c r="AE593" s="97"/>
      <c r="AF593" s="97" t="str">
        <f>IFERROR(__xludf.DUMMYFUNCTION("""COMPUTED_VALUE"""),"Suspender")</f>
        <v>Suspender</v>
      </c>
      <c r="AG593" s="97"/>
      <c r="AH593" s="97"/>
      <c r="AI593" s="97"/>
      <c r="AJ593" s="97"/>
      <c r="AK593" s="97"/>
      <c r="AL593" s="97"/>
      <c r="AM593" s="97"/>
      <c r="AN593" s="97"/>
      <c r="AO593" s="97" t="str">
        <f>IFERROR(__xludf.DUMMYFUNCTION("""COMPUTED_VALUE"""),"1 Año")</f>
        <v>1 Año</v>
      </c>
      <c r="AP593" s="97"/>
      <c r="AQ593" s="97"/>
      <c r="AR593" s="97"/>
      <c r="AS593" s="97"/>
      <c r="AT593" s="97"/>
      <c r="AU593" s="97"/>
      <c r="AV593" s="97" t="str">
        <f>IFERROR(__xludf.DUMMYFUNCTION("""COMPUTED_VALUE"""),"Colgante")</f>
        <v>Colgante</v>
      </c>
      <c r="AW593" s="97" t="str">
        <f>IFERROR(__xludf.DUMMYFUNCTION("""COMPUTED_VALUE"""),"De Techo")</f>
        <v>De Techo</v>
      </c>
      <c r="AX593" s="97" t="str">
        <f>IFERROR(__xludf.DUMMYFUNCTION("""COMPUTED_VALUE"""),"Interior")</f>
        <v>Interior</v>
      </c>
      <c r="AY593" s="97"/>
      <c r="AZ593" s="97"/>
      <c r="BA593" s="97">
        <f>IFERROR(__xludf.DUMMYFUNCTION("""COMPUTED_VALUE"""),1.0)</f>
        <v>1</v>
      </c>
      <c r="BB593" s="97"/>
      <c r="BC593" s="97"/>
      <c r="BD593" s="97" t="str">
        <f>IFERROR(__xludf.DUMMYFUNCTION("""COMPUTED_VALUE"""),"AEO")</f>
        <v>AEO</v>
      </c>
      <c r="BE593" s="97" t="str">
        <f>IFERROR(__xludf.DUMMYFUNCTION("""COMPUTED_VALUE"""),"Sin Ficha")</f>
        <v>Sin Ficha</v>
      </c>
      <c r="BF593" s="97"/>
      <c r="BG593" s="97" t="str">
        <f>IFERROR(__xludf.DUMMYFUNCTION("""COMPUTED_VALUE"""),"Discontinuo")</f>
        <v>Discontinuo</v>
      </c>
    </row>
    <row r="594">
      <c r="A594" s="97">
        <f>IFERROR(__xludf.DUMMYFUNCTION("""COMPUTED_VALUE"""),6334.0)</f>
        <v>6334</v>
      </c>
      <c r="B594" s="97" t="str">
        <f>IFERROR(__xludf.DUMMYFUNCTION("""COMPUTED_VALUE"""),"REIVAJ")</f>
        <v>REIVAJ</v>
      </c>
      <c r="C594" s="97" t="str">
        <f>IFERROR(__xludf.DUMMYFUNCTION("""COMPUTED_VALUE"""),"COLGANTE REIVAJ AMBAR LEUK")</f>
        <v>COLGANTE REIVAJ AMBAR LEUK</v>
      </c>
      <c r="D594" s="97">
        <f>IFERROR(__xludf.DUMMYFUNCTION("""COMPUTED_VALUE"""),7.798328757425E12)</f>
        <v>7798328757425</v>
      </c>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t="str">
        <f>IFERROR(__xludf.DUMMYFUNCTION("""COMPUTED_VALUE"""),"IP20")</f>
        <v>IP20</v>
      </c>
      <c r="AE594" s="97"/>
      <c r="AF594" s="97" t="str">
        <f>IFERROR(__xludf.DUMMYFUNCTION("""COMPUTED_VALUE"""),"Suspender")</f>
        <v>Suspender</v>
      </c>
      <c r="AG594" s="97"/>
      <c r="AH594" s="97"/>
      <c r="AI594" s="97"/>
      <c r="AJ594" s="97"/>
      <c r="AK594" s="97"/>
      <c r="AL594" s="97"/>
      <c r="AM594" s="97"/>
      <c r="AN594" s="97"/>
      <c r="AO594" s="97" t="str">
        <f>IFERROR(__xludf.DUMMYFUNCTION("""COMPUTED_VALUE"""),"1 Año")</f>
        <v>1 Año</v>
      </c>
      <c r="AP594" s="97"/>
      <c r="AQ594" s="97"/>
      <c r="AR594" s="97"/>
      <c r="AS594" s="97"/>
      <c r="AT594" s="97"/>
      <c r="AU594" s="97"/>
      <c r="AV594" s="97" t="str">
        <f>IFERROR(__xludf.DUMMYFUNCTION("""COMPUTED_VALUE"""),"Colgante")</f>
        <v>Colgante</v>
      </c>
      <c r="AW594" s="97" t="str">
        <f>IFERROR(__xludf.DUMMYFUNCTION("""COMPUTED_VALUE"""),"De Techo")</f>
        <v>De Techo</v>
      </c>
      <c r="AX594" s="97" t="str">
        <f>IFERROR(__xludf.DUMMYFUNCTION("""COMPUTED_VALUE"""),"Interior")</f>
        <v>Interior</v>
      </c>
      <c r="AY594" s="97"/>
      <c r="AZ594" s="97"/>
      <c r="BA594" s="97"/>
      <c r="BB594" s="97"/>
      <c r="BC594" s="97"/>
      <c r="BD594" s="97" t="str">
        <f>IFERROR(__xludf.DUMMYFUNCTION("""COMPUTED_VALUE"""),"REIVAJ")</f>
        <v>REIVAJ</v>
      </c>
      <c r="BE594" s="97" t="str">
        <f>IFERROR(__xludf.DUMMYFUNCTION("""COMPUTED_VALUE"""),"Sin Ficha")</f>
        <v>Sin Ficha</v>
      </c>
      <c r="BF594" s="97"/>
      <c r="BG594" s="97" t="str">
        <f>IFERROR(__xludf.DUMMYFUNCTION("""COMPUTED_VALUE"""),"Discontinuo")</f>
        <v>Discontinuo</v>
      </c>
    </row>
    <row r="595">
      <c r="A595" s="97">
        <f>IFERROR(__xludf.DUMMYFUNCTION("""COMPUTED_VALUE"""),6335.0)</f>
        <v>6335</v>
      </c>
      <c r="B595" s="97" t="str">
        <f>IFERROR(__xludf.DUMMYFUNCTION("""COMPUTED_VALUE"""),"REIVAJ")</f>
        <v>REIVAJ</v>
      </c>
      <c r="C595" s="97" t="str">
        <f>IFERROR(__xludf.DUMMYFUNCTION("""COMPUTED_VALUE"""),"COLGANTE REIVAJ GRIS LEUK")</f>
        <v>COLGANTE REIVAJ GRIS LEUK</v>
      </c>
      <c r="D595" s="97">
        <f>IFERROR(__xludf.DUMMYFUNCTION("""COMPUTED_VALUE"""),7.798328757418E12)</f>
        <v>7798328757418</v>
      </c>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t="str">
        <f>IFERROR(__xludf.DUMMYFUNCTION("""COMPUTED_VALUE"""),"IP20")</f>
        <v>IP20</v>
      </c>
      <c r="AE595" s="97"/>
      <c r="AF595" s="97" t="str">
        <f>IFERROR(__xludf.DUMMYFUNCTION("""COMPUTED_VALUE"""),"Suspender")</f>
        <v>Suspender</v>
      </c>
      <c r="AG595" s="97"/>
      <c r="AH595" s="97"/>
      <c r="AI595" s="97"/>
      <c r="AJ595" s="97"/>
      <c r="AK595" s="97"/>
      <c r="AL595" s="97"/>
      <c r="AM595" s="97"/>
      <c r="AN595" s="97"/>
      <c r="AO595" s="97" t="str">
        <f>IFERROR(__xludf.DUMMYFUNCTION("""COMPUTED_VALUE"""),"1 Año")</f>
        <v>1 Año</v>
      </c>
      <c r="AP595" s="97"/>
      <c r="AQ595" s="97"/>
      <c r="AR595" s="97"/>
      <c r="AS595" s="97"/>
      <c r="AT595" s="97"/>
      <c r="AU595" s="97"/>
      <c r="AV595" s="97" t="str">
        <f>IFERROR(__xludf.DUMMYFUNCTION("""COMPUTED_VALUE"""),"Colgante")</f>
        <v>Colgante</v>
      </c>
      <c r="AW595" s="97" t="str">
        <f>IFERROR(__xludf.DUMMYFUNCTION("""COMPUTED_VALUE"""),"De Techo")</f>
        <v>De Techo</v>
      </c>
      <c r="AX595" s="97" t="str">
        <f>IFERROR(__xludf.DUMMYFUNCTION("""COMPUTED_VALUE"""),"Interior")</f>
        <v>Interior</v>
      </c>
      <c r="AY595" s="97"/>
      <c r="AZ595" s="97"/>
      <c r="BA595" s="97"/>
      <c r="BB595" s="97"/>
      <c r="BC595" s="97"/>
      <c r="BD595" s="97" t="str">
        <f>IFERROR(__xludf.DUMMYFUNCTION("""COMPUTED_VALUE"""),"REIVAJ")</f>
        <v>REIVAJ</v>
      </c>
      <c r="BE595" s="97" t="str">
        <f>IFERROR(__xludf.DUMMYFUNCTION("""COMPUTED_VALUE"""),"Sin Ficha")</f>
        <v>Sin Ficha</v>
      </c>
      <c r="BF595" s="97"/>
      <c r="BG595" s="97" t="str">
        <f>IFERROR(__xludf.DUMMYFUNCTION("""COMPUTED_VALUE"""),"Discontinuo")</f>
        <v>Discontinuo</v>
      </c>
    </row>
    <row r="596">
      <c r="A596" s="97">
        <f>IFERROR(__xludf.DUMMYFUNCTION("""COMPUTED_VALUE"""),6336.0)</f>
        <v>6336</v>
      </c>
      <c r="B596" s="97" t="str">
        <f>IFERROR(__xludf.DUMMYFUNCTION("""COMPUTED_VALUE"""),"BULBO XS")</f>
        <v>BULBO XS</v>
      </c>
      <c r="C596" s="97" t="str">
        <f>IFERROR(__xludf.DUMMYFUNCTION("""COMPUTED_VALUE"""),"COLGANTE BULBO XS LEUK")</f>
        <v>COLGANTE BULBO XS LEUK</v>
      </c>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t="str">
        <f>IFERROR(__xludf.DUMMYFUNCTION("""COMPUTED_VALUE"""),"IP20")</f>
        <v>IP20</v>
      </c>
      <c r="AE596" s="97"/>
      <c r="AF596" s="97" t="str">
        <f>IFERROR(__xludf.DUMMYFUNCTION("""COMPUTED_VALUE"""),"Suspender")</f>
        <v>Suspender</v>
      </c>
      <c r="AG596" s="97"/>
      <c r="AH596" s="97"/>
      <c r="AI596" s="97"/>
      <c r="AJ596" s="97"/>
      <c r="AK596" s="97"/>
      <c r="AL596" s="97"/>
      <c r="AM596" s="97"/>
      <c r="AN596" s="97"/>
      <c r="AO596" s="97" t="str">
        <f>IFERROR(__xludf.DUMMYFUNCTION("""COMPUTED_VALUE"""),"1 Año")</f>
        <v>1 Año</v>
      </c>
      <c r="AP596" s="97"/>
      <c r="AQ596" s="97"/>
      <c r="AR596" s="97"/>
      <c r="AS596" s="97"/>
      <c r="AT596" s="97"/>
      <c r="AU596" s="97"/>
      <c r="AV596" s="97" t="str">
        <f>IFERROR(__xludf.DUMMYFUNCTION("""COMPUTED_VALUE"""),"Colgante")</f>
        <v>Colgante</v>
      </c>
      <c r="AW596" s="97" t="str">
        <f>IFERROR(__xludf.DUMMYFUNCTION("""COMPUTED_VALUE"""),"De Techo")</f>
        <v>De Techo</v>
      </c>
      <c r="AX596" s="97" t="str">
        <f>IFERROR(__xludf.DUMMYFUNCTION("""COMPUTED_VALUE"""),"Interior")</f>
        <v>Interior</v>
      </c>
      <c r="AY596" s="97"/>
      <c r="AZ596" s="97"/>
      <c r="BA596" s="97"/>
      <c r="BB596" s="97"/>
      <c r="BC596" s="97"/>
      <c r="BD596" s="97" t="str">
        <f>IFERROR(__xludf.DUMMYFUNCTION("""COMPUTED_VALUE"""),"BULBO XS")</f>
        <v>BULBO XS</v>
      </c>
      <c r="BE596" s="97" t="str">
        <f>IFERROR(__xludf.DUMMYFUNCTION("""COMPUTED_VALUE"""),"Sin Ficha")</f>
        <v>Sin Ficha</v>
      </c>
      <c r="BF596" s="97"/>
      <c r="BG596" s="97" t="str">
        <f>IFERROR(__xludf.DUMMYFUNCTION("""COMPUTED_VALUE"""),"Discontinuo")</f>
        <v>Discontinuo</v>
      </c>
    </row>
    <row r="597">
      <c r="A597" s="97">
        <f>IFERROR(__xludf.DUMMYFUNCTION("""COMPUTED_VALUE"""),6337.0)</f>
        <v>6337</v>
      </c>
      <c r="B597" s="97" t="str">
        <f>IFERROR(__xludf.DUMMYFUNCTION("""COMPUTED_VALUE"""),"BULBO L")</f>
        <v>BULBO L</v>
      </c>
      <c r="C597" s="97" t="str">
        <f>IFERROR(__xludf.DUMMYFUNCTION("""COMPUTED_VALUE"""),"COLGANTE BULBO L LEUK")</f>
        <v>COLGANTE BULBO L LEUK</v>
      </c>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t="str">
        <f>IFERROR(__xludf.DUMMYFUNCTION("""COMPUTED_VALUE"""),"IP20")</f>
        <v>IP20</v>
      </c>
      <c r="AE597" s="97"/>
      <c r="AF597" s="97" t="str">
        <f>IFERROR(__xludf.DUMMYFUNCTION("""COMPUTED_VALUE"""),"Suspender")</f>
        <v>Suspender</v>
      </c>
      <c r="AG597" s="97"/>
      <c r="AH597" s="97"/>
      <c r="AI597" s="97"/>
      <c r="AJ597" s="97"/>
      <c r="AK597" s="97"/>
      <c r="AL597" s="97"/>
      <c r="AM597" s="97"/>
      <c r="AN597" s="97"/>
      <c r="AO597" s="97" t="str">
        <f>IFERROR(__xludf.DUMMYFUNCTION("""COMPUTED_VALUE"""),"1 Año")</f>
        <v>1 Año</v>
      </c>
      <c r="AP597" s="97"/>
      <c r="AQ597" s="97"/>
      <c r="AR597" s="97"/>
      <c r="AS597" s="97"/>
      <c r="AT597" s="97"/>
      <c r="AU597" s="97"/>
      <c r="AV597" s="97" t="str">
        <f>IFERROR(__xludf.DUMMYFUNCTION("""COMPUTED_VALUE"""),"Colgante")</f>
        <v>Colgante</v>
      </c>
      <c r="AW597" s="97" t="str">
        <f>IFERROR(__xludf.DUMMYFUNCTION("""COMPUTED_VALUE"""),"De Techo")</f>
        <v>De Techo</v>
      </c>
      <c r="AX597" s="97" t="str">
        <f>IFERROR(__xludf.DUMMYFUNCTION("""COMPUTED_VALUE"""),"Interior")</f>
        <v>Interior</v>
      </c>
      <c r="AY597" s="97"/>
      <c r="AZ597" s="97"/>
      <c r="BA597" s="97"/>
      <c r="BB597" s="97"/>
      <c r="BC597" s="97"/>
      <c r="BD597" s="97" t="str">
        <f>IFERROR(__xludf.DUMMYFUNCTION("""COMPUTED_VALUE"""),"BULBO")</f>
        <v>BULBO</v>
      </c>
      <c r="BE597" s="97" t="str">
        <f>IFERROR(__xludf.DUMMYFUNCTION("""COMPUTED_VALUE"""),"Sin Ficha")</f>
        <v>Sin Ficha</v>
      </c>
      <c r="BF597" s="97"/>
      <c r="BG597" s="97" t="str">
        <f>IFERROR(__xludf.DUMMYFUNCTION("""COMPUTED_VALUE"""),"Discontinuo")</f>
        <v>Discontinuo</v>
      </c>
    </row>
    <row r="598">
      <c r="A598" s="97">
        <f>IFERROR(__xludf.DUMMYFUNCTION("""COMPUTED_VALUE"""),6338.0)</f>
        <v>6338</v>
      </c>
      <c r="B598" s="97" t="str">
        <f>IFERROR(__xludf.DUMMYFUNCTION("""COMPUTED_VALUE"""),"TERASTIA")</f>
        <v>TERASTIA</v>
      </c>
      <c r="C598" s="97" t="str">
        <f>IFERROR(__xludf.DUMMYFUNCTION("""COMPUTED_VALUE"""),"COLGANTE TERASTIA DORADO LEUK")</f>
        <v>COLGANTE TERASTIA DORADO LEUK</v>
      </c>
      <c r="D598" s="97">
        <f>IFERROR(__xludf.DUMMYFUNCTION("""COMPUTED_VALUE"""),7.798328757388E12)</f>
        <v>7798328757388</v>
      </c>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t="str">
        <f>IFERROR(__xludf.DUMMYFUNCTION("""COMPUTED_VALUE"""),"IP20")</f>
        <v>IP20</v>
      </c>
      <c r="AE598" s="97"/>
      <c r="AF598" s="97" t="str">
        <f>IFERROR(__xludf.DUMMYFUNCTION("""COMPUTED_VALUE"""),"Suspender")</f>
        <v>Suspender</v>
      </c>
      <c r="AG598" s="97"/>
      <c r="AH598" s="97"/>
      <c r="AI598" s="97"/>
      <c r="AJ598" s="97"/>
      <c r="AK598" s="97"/>
      <c r="AL598" s="97"/>
      <c r="AM598" s="97"/>
      <c r="AN598" s="97"/>
      <c r="AO598" s="97" t="str">
        <f>IFERROR(__xludf.DUMMYFUNCTION("""COMPUTED_VALUE"""),"1 Año")</f>
        <v>1 Año</v>
      </c>
      <c r="AP598" s="97"/>
      <c r="AQ598" s="97"/>
      <c r="AR598" s="97"/>
      <c r="AS598" s="97"/>
      <c r="AT598" s="97"/>
      <c r="AU598" s="97"/>
      <c r="AV598" s="97" t="str">
        <f>IFERROR(__xludf.DUMMYFUNCTION("""COMPUTED_VALUE"""),"Colgante")</f>
        <v>Colgante</v>
      </c>
      <c r="AW598" s="97" t="str">
        <f>IFERROR(__xludf.DUMMYFUNCTION("""COMPUTED_VALUE"""),"De Techo")</f>
        <v>De Techo</v>
      </c>
      <c r="AX598" s="97" t="str">
        <f>IFERROR(__xludf.DUMMYFUNCTION("""COMPUTED_VALUE"""),"Interior")</f>
        <v>Interior</v>
      </c>
      <c r="AY598" s="97"/>
      <c r="AZ598" s="97"/>
      <c r="BA598" s="97"/>
      <c r="BB598" s="97"/>
      <c r="BC598" s="97"/>
      <c r="BD598" s="97" t="str">
        <f>IFERROR(__xludf.DUMMYFUNCTION("""COMPUTED_VALUE"""),"TERASTIA")</f>
        <v>TERASTIA</v>
      </c>
      <c r="BE598" s="97" t="str">
        <f>IFERROR(__xludf.DUMMYFUNCTION("""COMPUTED_VALUE"""),"Sin Ficha")</f>
        <v>Sin Ficha</v>
      </c>
      <c r="BF598" s="97"/>
      <c r="BG598" s="97" t="str">
        <f>IFERROR(__xludf.DUMMYFUNCTION("""COMPUTED_VALUE"""),"Discontinuo")</f>
        <v>Discontinuo</v>
      </c>
    </row>
    <row r="599">
      <c r="A599" s="97">
        <f>IFERROR(__xludf.DUMMYFUNCTION("""COMPUTED_VALUE"""),6339.0)</f>
        <v>6339</v>
      </c>
      <c r="B599" s="97" t="str">
        <f>IFERROR(__xludf.DUMMYFUNCTION("""COMPUTED_VALUE"""),"GOUT GR")</f>
        <v>GOUT GR</v>
      </c>
      <c r="C599" s="97" t="str">
        <f>IFERROR(__xludf.DUMMYFUNCTION("""COMPUTED_VALUE"""),"COLGANTE GOUT GRIS LEUK")</f>
        <v>COLGANTE GOUT GRIS LEUK</v>
      </c>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t="str">
        <f>IFERROR(__xludf.DUMMYFUNCTION("""COMPUTED_VALUE"""),"IP20")</f>
        <v>IP20</v>
      </c>
      <c r="AE599" s="97"/>
      <c r="AF599" s="97" t="str">
        <f>IFERROR(__xludf.DUMMYFUNCTION("""COMPUTED_VALUE"""),"Suspender")</f>
        <v>Suspender</v>
      </c>
      <c r="AG599" s="97"/>
      <c r="AH599" s="97"/>
      <c r="AI599" s="97"/>
      <c r="AJ599" s="97"/>
      <c r="AK599" s="97"/>
      <c r="AL599" s="97"/>
      <c r="AM599" s="97"/>
      <c r="AN599" s="97"/>
      <c r="AO599" s="97" t="str">
        <f>IFERROR(__xludf.DUMMYFUNCTION("""COMPUTED_VALUE"""),"1 Año")</f>
        <v>1 Año</v>
      </c>
      <c r="AP599" s="97"/>
      <c r="AQ599" s="97"/>
      <c r="AR599" s="97"/>
      <c r="AS599" s="97"/>
      <c r="AT599" s="97"/>
      <c r="AU599" s="97"/>
      <c r="AV599" s="97" t="str">
        <f>IFERROR(__xludf.DUMMYFUNCTION("""COMPUTED_VALUE"""),"Colgante")</f>
        <v>Colgante</v>
      </c>
      <c r="AW599" s="97" t="str">
        <f>IFERROR(__xludf.DUMMYFUNCTION("""COMPUTED_VALUE"""),"De Techo")</f>
        <v>De Techo</v>
      </c>
      <c r="AX599" s="97" t="str">
        <f>IFERROR(__xludf.DUMMYFUNCTION("""COMPUTED_VALUE"""),"Interior")</f>
        <v>Interior</v>
      </c>
      <c r="AY599" s="97"/>
      <c r="AZ599" s="97"/>
      <c r="BA599" s="97"/>
      <c r="BB599" s="97"/>
      <c r="BC599" s="97"/>
      <c r="BD599" s="97" t="str">
        <f>IFERROR(__xludf.DUMMYFUNCTION("""COMPUTED_VALUE"""),"GOUT")</f>
        <v>GOUT</v>
      </c>
      <c r="BE599" s="97" t="str">
        <f>IFERROR(__xludf.DUMMYFUNCTION("""COMPUTED_VALUE"""),"Sin Ficha")</f>
        <v>Sin Ficha</v>
      </c>
      <c r="BF599" s="97"/>
      <c r="BG599" s="97" t="str">
        <f>IFERROR(__xludf.DUMMYFUNCTION("""COMPUTED_VALUE"""),"Discontinuo")</f>
        <v>Discontinuo</v>
      </c>
    </row>
    <row r="600">
      <c r="A600" s="97">
        <f>IFERROR(__xludf.DUMMYFUNCTION("""COMPUTED_VALUE"""),6341.0)</f>
        <v>6341</v>
      </c>
      <c r="B600" s="97" t="str">
        <f>IFERROR(__xludf.DUMMYFUNCTION("""COMPUTED_VALUE"""),"FELIU I NT")</f>
        <v>FELIU I NT</v>
      </c>
      <c r="C600" s="97" t="str">
        <f>IFERROR(__xludf.DUMMYFUNCTION("""COMPUTED_VALUE"""),"COLGANTE FELIU I TRANSPARENTE LEUK")</f>
        <v>COLGANTE FELIU I TRANSPARENTE LEUK</v>
      </c>
      <c r="D600" s="97">
        <f>IFERROR(__xludf.DUMMYFUNCTION("""COMPUTED_VALUE"""),7.798328757722E12)</f>
        <v>7798328757722</v>
      </c>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t="str">
        <f>IFERROR(__xludf.DUMMYFUNCTION("""COMPUTED_VALUE"""),"IP20")</f>
        <v>IP20</v>
      </c>
      <c r="AE600" s="97"/>
      <c r="AF600" s="97" t="str">
        <f>IFERROR(__xludf.DUMMYFUNCTION("""COMPUTED_VALUE"""),"Suspender")</f>
        <v>Suspender</v>
      </c>
      <c r="AG600" s="97"/>
      <c r="AH600" s="97"/>
      <c r="AI600" s="97"/>
      <c r="AJ600" s="97"/>
      <c r="AK600" s="97"/>
      <c r="AL600" s="97"/>
      <c r="AM600" s="97"/>
      <c r="AN600" s="97"/>
      <c r="AO600" s="97" t="str">
        <f>IFERROR(__xludf.DUMMYFUNCTION("""COMPUTED_VALUE"""),"1 Año")</f>
        <v>1 Año</v>
      </c>
      <c r="AP600" s="97"/>
      <c r="AQ600" s="97"/>
      <c r="AR600" s="97"/>
      <c r="AS600" s="97"/>
      <c r="AT600" s="97"/>
      <c r="AU600" s="97"/>
      <c r="AV600" s="97" t="str">
        <f>IFERROR(__xludf.DUMMYFUNCTION("""COMPUTED_VALUE"""),"Colgante")</f>
        <v>Colgante</v>
      </c>
      <c r="AW600" s="97" t="str">
        <f>IFERROR(__xludf.DUMMYFUNCTION("""COMPUTED_VALUE"""),"De Techo")</f>
        <v>De Techo</v>
      </c>
      <c r="AX600" s="97" t="str">
        <f>IFERROR(__xludf.DUMMYFUNCTION("""COMPUTED_VALUE"""),"Interior")</f>
        <v>Interior</v>
      </c>
      <c r="AY600" s="97"/>
      <c r="AZ600" s="97"/>
      <c r="BA600" s="97"/>
      <c r="BB600" s="97"/>
      <c r="BC600" s="97"/>
      <c r="BD600" s="97" t="str">
        <f>IFERROR(__xludf.DUMMYFUNCTION("""COMPUTED_VALUE"""),"FELIU")</f>
        <v>FELIU</v>
      </c>
      <c r="BE600" s="97" t="str">
        <f>IFERROR(__xludf.DUMMYFUNCTION("""COMPUTED_VALUE"""),"Sin Ficha")</f>
        <v>Sin Ficha</v>
      </c>
      <c r="BF600" s="97"/>
      <c r="BG600" s="97" t="str">
        <f>IFERROR(__xludf.DUMMYFUNCTION("""COMPUTED_VALUE"""),"Discontinuo")</f>
        <v>Discontinuo</v>
      </c>
    </row>
    <row r="601">
      <c r="A601" s="97">
        <f>IFERROR(__xludf.DUMMYFUNCTION("""COMPUTED_VALUE"""),6342.0)</f>
        <v>6342</v>
      </c>
      <c r="B601" s="97" t="str">
        <f>IFERROR(__xludf.DUMMYFUNCTION("""COMPUTED_VALUE"""),"FELIU I GR")</f>
        <v>FELIU I GR</v>
      </c>
      <c r="C601" s="97" t="str">
        <f>IFERROR(__xludf.DUMMYFUNCTION("""COMPUTED_VALUE"""),"COLGANTE FELIU I GRIS LEUK")</f>
        <v>COLGANTE FELIU I GRIS LEUK</v>
      </c>
      <c r="D601" s="97">
        <f>IFERROR(__xludf.DUMMYFUNCTION("""COMPUTED_VALUE"""),7.798328757739E12)</f>
        <v>7798328757739</v>
      </c>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t="str">
        <f>IFERROR(__xludf.DUMMYFUNCTION("""COMPUTED_VALUE"""),"IP20")</f>
        <v>IP20</v>
      </c>
      <c r="AE601" s="97"/>
      <c r="AF601" s="97" t="str">
        <f>IFERROR(__xludf.DUMMYFUNCTION("""COMPUTED_VALUE"""),"Suspender")</f>
        <v>Suspender</v>
      </c>
      <c r="AG601" s="97"/>
      <c r="AH601" s="97"/>
      <c r="AI601" s="97"/>
      <c r="AJ601" s="97"/>
      <c r="AK601" s="97"/>
      <c r="AL601" s="97"/>
      <c r="AM601" s="97"/>
      <c r="AN601" s="97"/>
      <c r="AO601" s="97" t="str">
        <f>IFERROR(__xludf.DUMMYFUNCTION("""COMPUTED_VALUE"""),"1 Año")</f>
        <v>1 Año</v>
      </c>
      <c r="AP601" s="97"/>
      <c r="AQ601" s="97"/>
      <c r="AR601" s="97"/>
      <c r="AS601" s="97"/>
      <c r="AT601" s="97"/>
      <c r="AU601" s="97"/>
      <c r="AV601" s="97" t="str">
        <f>IFERROR(__xludf.DUMMYFUNCTION("""COMPUTED_VALUE"""),"Colgante")</f>
        <v>Colgante</v>
      </c>
      <c r="AW601" s="97" t="str">
        <f>IFERROR(__xludf.DUMMYFUNCTION("""COMPUTED_VALUE"""),"De Techo")</f>
        <v>De Techo</v>
      </c>
      <c r="AX601" s="97" t="str">
        <f>IFERROR(__xludf.DUMMYFUNCTION("""COMPUTED_VALUE"""),"Interior")</f>
        <v>Interior</v>
      </c>
      <c r="AY601" s="97"/>
      <c r="AZ601" s="97"/>
      <c r="BA601" s="97"/>
      <c r="BB601" s="97"/>
      <c r="BC601" s="97"/>
      <c r="BD601" s="97" t="str">
        <f>IFERROR(__xludf.DUMMYFUNCTION("""COMPUTED_VALUE"""),"FELIU")</f>
        <v>FELIU</v>
      </c>
      <c r="BE601" s="97" t="str">
        <f>IFERROR(__xludf.DUMMYFUNCTION("""COMPUTED_VALUE"""),"Sin Ficha")</f>
        <v>Sin Ficha</v>
      </c>
      <c r="BF601" s="97"/>
      <c r="BG601" s="97" t="str">
        <f>IFERROR(__xludf.DUMMYFUNCTION("""COMPUTED_VALUE"""),"Discontinuo")</f>
        <v>Discontinuo</v>
      </c>
    </row>
    <row r="602">
      <c r="A602" s="97">
        <f>IFERROR(__xludf.DUMMYFUNCTION("""COMPUTED_VALUE"""),6343.0)</f>
        <v>6343</v>
      </c>
      <c r="B602" s="97" t="str">
        <f>IFERROR(__xludf.DUMMYFUNCTION("""COMPUTED_VALUE"""),"FELIU II NT")</f>
        <v>FELIU II NT</v>
      </c>
      <c r="C602" s="97" t="str">
        <f>IFERROR(__xludf.DUMMYFUNCTION("""COMPUTED_VALUE"""),"COLGANTE FELIU II TRANSPARENTE LEUK")</f>
        <v>COLGANTE FELIU II TRANSPARENTE LEUK</v>
      </c>
      <c r="D602" s="97">
        <f>IFERROR(__xludf.DUMMYFUNCTION("""COMPUTED_VALUE"""),7.798328757746E12)</f>
        <v>7798328757746</v>
      </c>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t="str">
        <f>IFERROR(__xludf.DUMMYFUNCTION("""COMPUTED_VALUE"""),"IP20")</f>
        <v>IP20</v>
      </c>
      <c r="AE602" s="97"/>
      <c r="AF602" s="97" t="str">
        <f>IFERROR(__xludf.DUMMYFUNCTION("""COMPUTED_VALUE"""),"Suspender")</f>
        <v>Suspender</v>
      </c>
      <c r="AG602" s="97"/>
      <c r="AH602" s="97"/>
      <c r="AI602" s="97"/>
      <c r="AJ602" s="97"/>
      <c r="AK602" s="97"/>
      <c r="AL602" s="97"/>
      <c r="AM602" s="97"/>
      <c r="AN602" s="97"/>
      <c r="AO602" s="97" t="str">
        <f>IFERROR(__xludf.DUMMYFUNCTION("""COMPUTED_VALUE"""),"1 Año")</f>
        <v>1 Año</v>
      </c>
      <c r="AP602" s="97"/>
      <c r="AQ602" s="97"/>
      <c r="AR602" s="97"/>
      <c r="AS602" s="97"/>
      <c r="AT602" s="97"/>
      <c r="AU602" s="97"/>
      <c r="AV602" s="97" t="str">
        <f>IFERROR(__xludf.DUMMYFUNCTION("""COMPUTED_VALUE"""),"Colgante")</f>
        <v>Colgante</v>
      </c>
      <c r="AW602" s="97" t="str">
        <f>IFERROR(__xludf.DUMMYFUNCTION("""COMPUTED_VALUE"""),"De Techo")</f>
        <v>De Techo</v>
      </c>
      <c r="AX602" s="97" t="str">
        <f>IFERROR(__xludf.DUMMYFUNCTION("""COMPUTED_VALUE"""),"Interior")</f>
        <v>Interior</v>
      </c>
      <c r="AY602" s="97"/>
      <c r="AZ602" s="97"/>
      <c r="BA602" s="97"/>
      <c r="BB602" s="97"/>
      <c r="BC602" s="97"/>
      <c r="BD602" s="97" t="str">
        <f>IFERROR(__xludf.DUMMYFUNCTION("""COMPUTED_VALUE"""),"FELIU")</f>
        <v>FELIU</v>
      </c>
      <c r="BE602" s="97" t="str">
        <f>IFERROR(__xludf.DUMMYFUNCTION("""COMPUTED_VALUE"""),"Sin Ficha")</f>
        <v>Sin Ficha</v>
      </c>
      <c r="BF602" s="97"/>
      <c r="BG602" s="97" t="str">
        <f>IFERROR(__xludf.DUMMYFUNCTION("""COMPUTED_VALUE"""),"Discontinuo")</f>
        <v>Discontinuo</v>
      </c>
    </row>
    <row r="603">
      <c r="A603" s="97">
        <f>IFERROR(__xludf.DUMMYFUNCTION("""COMPUTED_VALUE"""),6344.0)</f>
        <v>6344</v>
      </c>
      <c r="B603" s="97" t="str">
        <f>IFERROR(__xludf.DUMMYFUNCTION("""COMPUTED_VALUE"""),"FELIU II GR")</f>
        <v>FELIU II GR</v>
      </c>
      <c r="C603" s="97" t="str">
        <f>IFERROR(__xludf.DUMMYFUNCTION("""COMPUTED_VALUE"""),"COLGANTE FELIU II GRIS LEUK")</f>
        <v>COLGANTE FELIU II GRIS LEUK</v>
      </c>
      <c r="D603" s="97">
        <f>IFERROR(__xludf.DUMMYFUNCTION("""COMPUTED_VALUE"""),7.798328757753E12)</f>
        <v>7798328757753</v>
      </c>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t="str">
        <f>IFERROR(__xludf.DUMMYFUNCTION("""COMPUTED_VALUE"""),"IP20")</f>
        <v>IP20</v>
      </c>
      <c r="AE603" s="97"/>
      <c r="AF603" s="97" t="str">
        <f>IFERROR(__xludf.DUMMYFUNCTION("""COMPUTED_VALUE"""),"Suspender")</f>
        <v>Suspender</v>
      </c>
      <c r="AG603" s="97"/>
      <c r="AH603" s="97"/>
      <c r="AI603" s="97"/>
      <c r="AJ603" s="97"/>
      <c r="AK603" s="97"/>
      <c r="AL603" s="97"/>
      <c r="AM603" s="97"/>
      <c r="AN603" s="97"/>
      <c r="AO603" s="97" t="str">
        <f>IFERROR(__xludf.DUMMYFUNCTION("""COMPUTED_VALUE"""),"1 Año")</f>
        <v>1 Año</v>
      </c>
      <c r="AP603" s="97"/>
      <c r="AQ603" s="97"/>
      <c r="AR603" s="97"/>
      <c r="AS603" s="97"/>
      <c r="AT603" s="97"/>
      <c r="AU603" s="97"/>
      <c r="AV603" s="97" t="str">
        <f>IFERROR(__xludf.DUMMYFUNCTION("""COMPUTED_VALUE"""),"Colgante")</f>
        <v>Colgante</v>
      </c>
      <c r="AW603" s="97" t="str">
        <f>IFERROR(__xludf.DUMMYFUNCTION("""COMPUTED_VALUE"""),"De Techo")</f>
        <v>De Techo</v>
      </c>
      <c r="AX603" s="97" t="str">
        <f>IFERROR(__xludf.DUMMYFUNCTION("""COMPUTED_VALUE"""),"Interior")</f>
        <v>Interior</v>
      </c>
      <c r="AY603" s="97"/>
      <c r="AZ603" s="97"/>
      <c r="BA603" s="97"/>
      <c r="BB603" s="97"/>
      <c r="BC603" s="97"/>
      <c r="BD603" s="97" t="str">
        <f>IFERROR(__xludf.DUMMYFUNCTION("""COMPUTED_VALUE"""),"FELIU")</f>
        <v>FELIU</v>
      </c>
      <c r="BE603" s="97" t="str">
        <f>IFERROR(__xludf.DUMMYFUNCTION("""COMPUTED_VALUE"""),"Sin Ficha")</f>
        <v>Sin Ficha</v>
      </c>
      <c r="BF603" s="97"/>
      <c r="BG603" s="97" t="str">
        <f>IFERROR(__xludf.DUMMYFUNCTION("""COMPUTED_VALUE"""),"Discontinuo")</f>
        <v>Discontinuo</v>
      </c>
    </row>
    <row r="604">
      <c r="A604" s="97">
        <f>IFERROR(__xludf.DUMMYFUNCTION("""COMPUTED_VALUE"""),6345.0)</f>
        <v>6345</v>
      </c>
      <c r="B604" s="97" t="str">
        <f>IFERROR(__xludf.DUMMYFUNCTION("""COMPUTED_VALUE"""),"NAO")</f>
        <v>NAO</v>
      </c>
      <c r="C604" s="97" t="str">
        <f>IFERROR(__xludf.DUMMYFUNCTION("""COMPUTED_VALUE"""),"COLGANTE NAO LEUK")</f>
        <v>COLGANTE NAO LEUK</v>
      </c>
      <c r="D604" s="97">
        <f>IFERROR(__xludf.DUMMYFUNCTION("""COMPUTED_VALUE"""),7.79832875776E12)</f>
        <v>7798328757760</v>
      </c>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t="str">
        <f>IFERROR(__xludf.DUMMYFUNCTION("""COMPUTED_VALUE"""),"IP20")</f>
        <v>IP20</v>
      </c>
      <c r="AE604" s="97"/>
      <c r="AF604" s="97" t="str">
        <f>IFERROR(__xludf.DUMMYFUNCTION("""COMPUTED_VALUE"""),"Suspender")</f>
        <v>Suspender</v>
      </c>
      <c r="AG604" s="97"/>
      <c r="AH604" s="97"/>
      <c r="AI604" s="97"/>
      <c r="AJ604" s="97"/>
      <c r="AK604" s="97"/>
      <c r="AL604" s="97"/>
      <c r="AM604" s="97"/>
      <c r="AN604" s="97"/>
      <c r="AO604" s="97" t="str">
        <f>IFERROR(__xludf.DUMMYFUNCTION("""COMPUTED_VALUE"""),"1 Año")</f>
        <v>1 Año</v>
      </c>
      <c r="AP604" s="97"/>
      <c r="AQ604" s="97"/>
      <c r="AR604" s="97"/>
      <c r="AS604" s="97"/>
      <c r="AT604" s="97"/>
      <c r="AU604" s="97"/>
      <c r="AV604" s="97" t="str">
        <f>IFERROR(__xludf.DUMMYFUNCTION("""COMPUTED_VALUE"""),"Colgante")</f>
        <v>Colgante</v>
      </c>
      <c r="AW604" s="97" t="str">
        <f>IFERROR(__xludf.DUMMYFUNCTION("""COMPUTED_VALUE"""),"De Techo")</f>
        <v>De Techo</v>
      </c>
      <c r="AX604" s="97" t="str">
        <f>IFERROR(__xludf.DUMMYFUNCTION("""COMPUTED_VALUE"""),"Interior")</f>
        <v>Interior</v>
      </c>
      <c r="AY604" s="97"/>
      <c r="AZ604" s="97"/>
      <c r="BA604" s="97"/>
      <c r="BB604" s="97"/>
      <c r="BC604" s="97"/>
      <c r="BD604" s="97" t="str">
        <f>IFERROR(__xludf.DUMMYFUNCTION("""COMPUTED_VALUE"""),"NAO")</f>
        <v>NAO</v>
      </c>
      <c r="BE604" s="97" t="str">
        <f>IFERROR(__xludf.DUMMYFUNCTION("""COMPUTED_VALUE"""),"Sin Ficha")</f>
        <v>Sin Ficha</v>
      </c>
      <c r="BF604" s="97"/>
      <c r="BG604" s="97" t="str">
        <f>IFERROR(__xludf.DUMMYFUNCTION("""COMPUTED_VALUE"""),"Discontinuo")</f>
        <v>Discontinuo</v>
      </c>
    </row>
    <row r="605">
      <c r="A605" s="97">
        <f>IFERROR(__xludf.DUMMYFUNCTION("""COMPUTED_VALUE"""),6346.0)</f>
        <v>6346</v>
      </c>
      <c r="B605" s="97" t="str">
        <f>IFERROR(__xludf.DUMMYFUNCTION("""COMPUTED_VALUE"""),"AXA")</f>
        <v>AXA</v>
      </c>
      <c r="C605" s="97" t="str">
        <f>IFERROR(__xludf.DUMMYFUNCTION("""COMPUTED_VALUE"""),"COLGANTE AXA LEUK")</f>
        <v>COLGANTE AXA LEUK</v>
      </c>
      <c r="D605" s="97">
        <f>IFERROR(__xludf.DUMMYFUNCTION("""COMPUTED_VALUE"""),7.798328757777E12)</f>
        <v>7798328757777</v>
      </c>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t="str">
        <f>IFERROR(__xludf.DUMMYFUNCTION("""COMPUTED_VALUE"""),"IP20")</f>
        <v>IP20</v>
      </c>
      <c r="AE605" s="97"/>
      <c r="AF605" s="97" t="str">
        <f>IFERROR(__xludf.DUMMYFUNCTION("""COMPUTED_VALUE"""),"Suspender")</f>
        <v>Suspender</v>
      </c>
      <c r="AG605" s="97"/>
      <c r="AH605" s="97"/>
      <c r="AI605" s="97"/>
      <c r="AJ605" s="97"/>
      <c r="AK605" s="97"/>
      <c r="AL605" s="97"/>
      <c r="AM605" s="97"/>
      <c r="AN605" s="97"/>
      <c r="AO605" s="97" t="str">
        <f>IFERROR(__xludf.DUMMYFUNCTION("""COMPUTED_VALUE"""),"1 Año")</f>
        <v>1 Año</v>
      </c>
      <c r="AP605" s="97"/>
      <c r="AQ605" s="97"/>
      <c r="AR605" s="97"/>
      <c r="AS605" s="97"/>
      <c r="AT605" s="97"/>
      <c r="AU605" s="97"/>
      <c r="AV605" s="97" t="str">
        <f>IFERROR(__xludf.DUMMYFUNCTION("""COMPUTED_VALUE"""),"Colgante")</f>
        <v>Colgante</v>
      </c>
      <c r="AW605" s="97" t="str">
        <f>IFERROR(__xludf.DUMMYFUNCTION("""COMPUTED_VALUE"""),"De Techo")</f>
        <v>De Techo</v>
      </c>
      <c r="AX605" s="97" t="str">
        <f>IFERROR(__xludf.DUMMYFUNCTION("""COMPUTED_VALUE"""),"Interior")</f>
        <v>Interior</v>
      </c>
      <c r="AY605" s="97"/>
      <c r="AZ605" s="97"/>
      <c r="BA605" s="97"/>
      <c r="BB605" s="97"/>
      <c r="BC605" s="97"/>
      <c r="BD605" s="97" t="str">
        <f>IFERROR(__xludf.DUMMYFUNCTION("""COMPUTED_VALUE"""),"AXA")</f>
        <v>AXA</v>
      </c>
      <c r="BE605" s="97" t="str">
        <f>IFERROR(__xludf.DUMMYFUNCTION("""COMPUTED_VALUE"""),"Sin Ficha")</f>
        <v>Sin Ficha</v>
      </c>
      <c r="BF605" s="97"/>
      <c r="BG605" s="97" t="str">
        <f>IFERROR(__xludf.DUMMYFUNCTION("""COMPUTED_VALUE"""),"Discontinuo")</f>
        <v>Discontinuo</v>
      </c>
    </row>
    <row r="606">
      <c r="A606" s="97">
        <f>IFERROR(__xludf.DUMMYFUNCTION("""COMPUTED_VALUE"""),6347.0)</f>
        <v>6347</v>
      </c>
      <c r="B606" s="97" t="str">
        <f>IFERROR(__xludf.DUMMYFUNCTION("""COMPUTED_VALUE"""),"ABY")</f>
        <v>ABY</v>
      </c>
      <c r="C606" s="97" t="str">
        <f>IFERROR(__xludf.DUMMYFUNCTION("""COMPUTED_VALUE"""),"COLGANTE ABY LEUK")</f>
        <v>COLGANTE ABY LEUK</v>
      </c>
      <c r="D606" s="97">
        <f>IFERROR(__xludf.DUMMYFUNCTION("""COMPUTED_VALUE"""),7.798328757784E12)</f>
        <v>7798328757784</v>
      </c>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t="str">
        <f>IFERROR(__xludf.DUMMYFUNCTION("""COMPUTED_VALUE"""),"IP20")</f>
        <v>IP20</v>
      </c>
      <c r="AE606" s="97"/>
      <c r="AF606" s="97" t="str">
        <f>IFERROR(__xludf.DUMMYFUNCTION("""COMPUTED_VALUE"""),"Suspender")</f>
        <v>Suspender</v>
      </c>
      <c r="AG606" s="97"/>
      <c r="AH606" s="97"/>
      <c r="AI606" s="97"/>
      <c r="AJ606" s="97"/>
      <c r="AK606" s="97"/>
      <c r="AL606" s="97"/>
      <c r="AM606" s="97"/>
      <c r="AN606" s="97"/>
      <c r="AO606" s="97" t="str">
        <f>IFERROR(__xludf.DUMMYFUNCTION("""COMPUTED_VALUE"""),"1 Año")</f>
        <v>1 Año</v>
      </c>
      <c r="AP606" s="97"/>
      <c r="AQ606" s="97"/>
      <c r="AR606" s="97"/>
      <c r="AS606" s="97"/>
      <c r="AT606" s="97"/>
      <c r="AU606" s="97"/>
      <c r="AV606" s="97" t="str">
        <f>IFERROR(__xludf.DUMMYFUNCTION("""COMPUTED_VALUE"""),"Colgante")</f>
        <v>Colgante</v>
      </c>
      <c r="AW606" s="97" t="str">
        <f>IFERROR(__xludf.DUMMYFUNCTION("""COMPUTED_VALUE"""),"De Techo")</f>
        <v>De Techo</v>
      </c>
      <c r="AX606" s="97" t="str">
        <f>IFERROR(__xludf.DUMMYFUNCTION("""COMPUTED_VALUE"""),"Interior")</f>
        <v>Interior</v>
      </c>
      <c r="AY606" s="97"/>
      <c r="AZ606" s="97"/>
      <c r="BA606" s="97"/>
      <c r="BB606" s="97"/>
      <c r="BC606" s="97"/>
      <c r="BD606" s="97" t="str">
        <f>IFERROR(__xludf.DUMMYFUNCTION("""COMPUTED_VALUE"""),"ABY")</f>
        <v>ABY</v>
      </c>
      <c r="BE606" s="97" t="str">
        <f>IFERROR(__xludf.DUMMYFUNCTION("""COMPUTED_VALUE"""),"Sin Ficha")</f>
        <v>Sin Ficha</v>
      </c>
      <c r="BF606" s="97"/>
      <c r="BG606" s="97" t="str">
        <f>IFERROR(__xludf.DUMMYFUNCTION("""COMPUTED_VALUE"""),"Discontinuo")</f>
        <v>Discontinuo</v>
      </c>
    </row>
    <row r="607">
      <c r="A607" s="97">
        <f>IFERROR(__xludf.DUMMYFUNCTION("""COMPUTED_VALUE"""),6348.0)</f>
        <v>6348</v>
      </c>
      <c r="B607" s="97" t="str">
        <f>IFERROR(__xludf.DUMMYFUNCTION("""COMPUTED_VALUE"""),"CELLY")</f>
        <v>CELLY</v>
      </c>
      <c r="C607" s="97" t="str">
        <f>IFERROR(__xludf.DUMMYFUNCTION("""COMPUTED_VALUE"""),"COLGANTE CELLY LEUK")</f>
        <v>COLGANTE CELLY LEUK</v>
      </c>
      <c r="D607" s="97">
        <f>IFERROR(__xludf.DUMMYFUNCTION("""COMPUTED_VALUE"""),7.798328757791E12)</f>
        <v>7798328757791</v>
      </c>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t="str">
        <f>IFERROR(__xludf.DUMMYFUNCTION("""COMPUTED_VALUE"""),"IP20")</f>
        <v>IP20</v>
      </c>
      <c r="AE607" s="97"/>
      <c r="AF607" s="97" t="str">
        <f>IFERROR(__xludf.DUMMYFUNCTION("""COMPUTED_VALUE"""),"Suspender")</f>
        <v>Suspender</v>
      </c>
      <c r="AG607" s="97"/>
      <c r="AH607" s="97"/>
      <c r="AI607" s="97"/>
      <c r="AJ607" s="97"/>
      <c r="AK607" s="97"/>
      <c r="AL607" s="97"/>
      <c r="AM607" s="97"/>
      <c r="AN607" s="97"/>
      <c r="AO607" s="97" t="str">
        <f>IFERROR(__xludf.DUMMYFUNCTION("""COMPUTED_VALUE"""),"1 Año")</f>
        <v>1 Año</v>
      </c>
      <c r="AP607" s="97"/>
      <c r="AQ607" s="97"/>
      <c r="AR607" s="97"/>
      <c r="AS607" s="97"/>
      <c r="AT607" s="97"/>
      <c r="AU607" s="97"/>
      <c r="AV607" s="97" t="str">
        <f>IFERROR(__xludf.DUMMYFUNCTION("""COMPUTED_VALUE"""),"Colgante")</f>
        <v>Colgante</v>
      </c>
      <c r="AW607" s="97" t="str">
        <f>IFERROR(__xludf.DUMMYFUNCTION("""COMPUTED_VALUE"""),"De Techo")</f>
        <v>De Techo</v>
      </c>
      <c r="AX607" s="97" t="str">
        <f>IFERROR(__xludf.DUMMYFUNCTION("""COMPUTED_VALUE"""),"Interior")</f>
        <v>Interior</v>
      </c>
      <c r="AY607" s="97"/>
      <c r="AZ607" s="97"/>
      <c r="BA607" s="97"/>
      <c r="BB607" s="97"/>
      <c r="BC607" s="97"/>
      <c r="BD607" s="97" t="str">
        <f>IFERROR(__xludf.DUMMYFUNCTION("""COMPUTED_VALUE"""),"CELLY")</f>
        <v>CELLY</v>
      </c>
      <c r="BE607" s="97" t="str">
        <f>IFERROR(__xludf.DUMMYFUNCTION("""COMPUTED_VALUE"""),"Sin Ficha")</f>
        <v>Sin Ficha</v>
      </c>
      <c r="BF607" s="97"/>
      <c r="BG607" s="97" t="str">
        <f>IFERROR(__xludf.DUMMYFUNCTION("""COMPUTED_VALUE"""),"Discontinuo")</f>
        <v>Discontinuo</v>
      </c>
    </row>
    <row r="608">
      <c r="A608" s="97">
        <f>IFERROR(__xludf.DUMMYFUNCTION("""COMPUTED_VALUE"""),6349.0)</f>
        <v>6349</v>
      </c>
      <c r="B608" s="97" t="str">
        <f>IFERROR(__xludf.DUMMYFUNCTION("""COMPUTED_VALUE"""),"ENVER FAT")</f>
        <v>ENVER FAT</v>
      </c>
      <c r="C608" s="97" t="str">
        <f>IFERROR(__xludf.DUMMYFUNCTION("""COMPUTED_VALUE"""),"COLGANTE ENVER FAT LEUK")</f>
        <v>COLGANTE ENVER FAT LEUK</v>
      </c>
      <c r="D608" s="97">
        <f>IFERROR(__xludf.DUMMYFUNCTION("""COMPUTED_VALUE"""),7.798328757845E12)</f>
        <v>7798328757845</v>
      </c>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t="str">
        <f>IFERROR(__xludf.DUMMYFUNCTION("""COMPUTED_VALUE"""),"IP20")</f>
        <v>IP20</v>
      </c>
      <c r="AE608" s="97"/>
      <c r="AF608" s="97" t="str">
        <f>IFERROR(__xludf.DUMMYFUNCTION("""COMPUTED_VALUE"""),"Suspender")</f>
        <v>Suspender</v>
      </c>
      <c r="AG608" s="97"/>
      <c r="AH608" s="97"/>
      <c r="AI608" s="97"/>
      <c r="AJ608" s="97"/>
      <c r="AK608" s="97"/>
      <c r="AL608" s="97"/>
      <c r="AM608" s="97"/>
      <c r="AN608" s="97"/>
      <c r="AO608" s="97" t="str">
        <f>IFERROR(__xludf.DUMMYFUNCTION("""COMPUTED_VALUE"""),"1 Año")</f>
        <v>1 Año</v>
      </c>
      <c r="AP608" s="97"/>
      <c r="AQ608" s="97"/>
      <c r="AR608" s="97"/>
      <c r="AS608" s="97"/>
      <c r="AT608" s="97"/>
      <c r="AU608" s="97"/>
      <c r="AV608" s="97" t="str">
        <f>IFERROR(__xludf.DUMMYFUNCTION("""COMPUTED_VALUE"""),"Colgante")</f>
        <v>Colgante</v>
      </c>
      <c r="AW608" s="97" t="str">
        <f>IFERROR(__xludf.DUMMYFUNCTION("""COMPUTED_VALUE"""),"De Techo")</f>
        <v>De Techo</v>
      </c>
      <c r="AX608" s="97" t="str">
        <f>IFERROR(__xludf.DUMMYFUNCTION("""COMPUTED_VALUE"""),"Interior")</f>
        <v>Interior</v>
      </c>
      <c r="AY608" s="97"/>
      <c r="AZ608" s="97"/>
      <c r="BA608" s="97"/>
      <c r="BB608" s="97"/>
      <c r="BC608" s="97"/>
      <c r="BD608" s="97" t="str">
        <f>IFERROR(__xludf.DUMMYFUNCTION("""COMPUTED_VALUE"""),"ENVER FAT")</f>
        <v>ENVER FAT</v>
      </c>
      <c r="BE608" s="97" t="str">
        <f>IFERROR(__xludf.DUMMYFUNCTION("""COMPUTED_VALUE"""),"Sin Ficha")</f>
        <v>Sin Ficha</v>
      </c>
      <c r="BF608" s="97"/>
      <c r="BG608" s="97" t="str">
        <f>IFERROR(__xludf.DUMMYFUNCTION("""COMPUTED_VALUE"""),"Discontinuo")</f>
        <v>Discontinuo</v>
      </c>
    </row>
    <row r="609">
      <c r="A609" s="97">
        <f>IFERROR(__xludf.DUMMYFUNCTION("""COMPUTED_VALUE"""),6350.0)</f>
        <v>6350</v>
      </c>
      <c r="B609" s="97" t="str">
        <f>IFERROR(__xludf.DUMMYFUNCTION("""COMPUTED_VALUE"""),"ENVER TALL")</f>
        <v>ENVER TALL</v>
      </c>
      <c r="C609" s="97" t="str">
        <f>IFERROR(__xludf.DUMMYFUNCTION("""COMPUTED_VALUE"""),"COLGANTE ENVER TALL LEUK")</f>
        <v>COLGANTE ENVER TALL LEUK</v>
      </c>
      <c r="D609" s="97">
        <f>IFERROR(__xludf.DUMMYFUNCTION("""COMPUTED_VALUE"""),7.798328757852E12)</f>
        <v>7798328757852</v>
      </c>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t="str">
        <f>IFERROR(__xludf.DUMMYFUNCTION("""COMPUTED_VALUE"""),"IP20")</f>
        <v>IP20</v>
      </c>
      <c r="AE609" s="97"/>
      <c r="AF609" s="97" t="str">
        <f>IFERROR(__xludf.DUMMYFUNCTION("""COMPUTED_VALUE"""),"Suspender")</f>
        <v>Suspender</v>
      </c>
      <c r="AG609" s="97"/>
      <c r="AH609" s="97"/>
      <c r="AI609" s="97"/>
      <c r="AJ609" s="97"/>
      <c r="AK609" s="97"/>
      <c r="AL609" s="97"/>
      <c r="AM609" s="97"/>
      <c r="AN609" s="97"/>
      <c r="AO609" s="97" t="str">
        <f>IFERROR(__xludf.DUMMYFUNCTION("""COMPUTED_VALUE"""),"1 Año")</f>
        <v>1 Año</v>
      </c>
      <c r="AP609" s="97"/>
      <c r="AQ609" s="97"/>
      <c r="AR609" s="97"/>
      <c r="AS609" s="97"/>
      <c r="AT609" s="97"/>
      <c r="AU609" s="97"/>
      <c r="AV609" s="97" t="str">
        <f>IFERROR(__xludf.DUMMYFUNCTION("""COMPUTED_VALUE"""),"Colgante")</f>
        <v>Colgante</v>
      </c>
      <c r="AW609" s="97" t="str">
        <f>IFERROR(__xludf.DUMMYFUNCTION("""COMPUTED_VALUE"""),"De Techo")</f>
        <v>De Techo</v>
      </c>
      <c r="AX609" s="97" t="str">
        <f>IFERROR(__xludf.DUMMYFUNCTION("""COMPUTED_VALUE"""),"Interior")</f>
        <v>Interior</v>
      </c>
      <c r="AY609" s="97"/>
      <c r="AZ609" s="97"/>
      <c r="BA609" s="97"/>
      <c r="BB609" s="97"/>
      <c r="BC609" s="97"/>
      <c r="BD609" s="97" t="str">
        <f>IFERROR(__xludf.DUMMYFUNCTION("""COMPUTED_VALUE"""),"ENVER TALL")</f>
        <v>ENVER TALL</v>
      </c>
      <c r="BE609" s="97" t="str">
        <f>IFERROR(__xludf.DUMMYFUNCTION("""COMPUTED_VALUE"""),"Sin Ficha")</f>
        <v>Sin Ficha</v>
      </c>
      <c r="BF609" s="97"/>
      <c r="BG609" s="97" t="str">
        <f>IFERROR(__xludf.DUMMYFUNCTION("""COMPUTED_VALUE"""),"Discontinuo")</f>
        <v>Discontinuo</v>
      </c>
    </row>
    <row r="610">
      <c r="A610" s="97">
        <f>IFERROR(__xludf.DUMMYFUNCTION("""COMPUTED_VALUE"""),6351.0)</f>
        <v>6351</v>
      </c>
      <c r="B610" s="97" t="str">
        <f>IFERROR(__xludf.DUMMYFUNCTION("""COMPUTED_VALUE"""),"ENVER WIDE")</f>
        <v>ENVER WIDE</v>
      </c>
      <c r="C610" s="97" t="str">
        <f>IFERROR(__xludf.DUMMYFUNCTION("""COMPUTED_VALUE"""),"COLGANTE ENVER WIDE LEUK ")</f>
        <v>COLGANTE ENVER WIDE LEUK </v>
      </c>
      <c r="D610" s="97">
        <f>IFERROR(__xludf.DUMMYFUNCTION("""COMPUTED_VALUE"""),7.798328757869E12)</f>
        <v>7798328757869</v>
      </c>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t="str">
        <f>IFERROR(__xludf.DUMMYFUNCTION("""COMPUTED_VALUE"""),"IP20")</f>
        <v>IP20</v>
      </c>
      <c r="AE610" s="97"/>
      <c r="AF610" s="97" t="str">
        <f>IFERROR(__xludf.DUMMYFUNCTION("""COMPUTED_VALUE"""),"Suspender")</f>
        <v>Suspender</v>
      </c>
      <c r="AG610" s="97"/>
      <c r="AH610" s="97"/>
      <c r="AI610" s="97"/>
      <c r="AJ610" s="97"/>
      <c r="AK610" s="97"/>
      <c r="AL610" s="97"/>
      <c r="AM610" s="97"/>
      <c r="AN610" s="97"/>
      <c r="AO610" s="97" t="str">
        <f>IFERROR(__xludf.DUMMYFUNCTION("""COMPUTED_VALUE"""),"1 Año")</f>
        <v>1 Año</v>
      </c>
      <c r="AP610" s="97"/>
      <c r="AQ610" s="97"/>
      <c r="AR610" s="97"/>
      <c r="AS610" s="97"/>
      <c r="AT610" s="97"/>
      <c r="AU610" s="97"/>
      <c r="AV610" s="97" t="str">
        <f>IFERROR(__xludf.DUMMYFUNCTION("""COMPUTED_VALUE"""),"Colgante")</f>
        <v>Colgante</v>
      </c>
      <c r="AW610" s="97" t="str">
        <f>IFERROR(__xludf.DUMMYFUNCTION("""COMPUTED_VALUE"""),"De Techo")</f>
        <v>De Techo</v>
      </c>
      <c r="AX610" s="97" t="str">
        <f>IFERROR(__xludf.DUMMYFUNCTION("""COMPUTED_VALUE"""),"Interior")</f>
        <v>Interior</v>
      </c>
      <c r="AY610" s="97"/>
      <c r="AZ610" s="97"/>
      <c r="BA610" s="97"/>
      <c r="BB610" s="97"/>
      <c r="BC610" s="97"/>
      <c r="BD610" s="97" t="str">
        <f>IFERROR(__xludf.DUMMYFUNCTION("""COMPUTED_VALUE"""),"ENVER WIDE")</f>
        <v>ENVER WIDE</v>
      </c>
      <c r="BE610" s="97" t="str">
        <f>IFERROR(__xludf.DUMMYFUNCTION("""COMPUTED_VALUE"""),"Sin Ficha")</f>
        <v>Sin Ficha</v>
      </c>
      <c r="BF610" s="97"/>
      <c r="BG610" s="97" t="str">
        <f>IFERROR(__xludf.DUMMYFUNCTION("""COMPUTED_VALUE"""),"Discontinuo")</f>
        <v>Discontinuo</v>
      </c>
    </row>
    <row r="611">
      <c r="A611" s="97">
        <f>IFERROR(__xludf.DUMMYFUNCTION("""COMPUTED_VALUE"""),6352.0)</f>
        <v>6352</v>
      </c>
      <c r="B611" s="97" t="str">
        <f>IFERROR(__xludf.DUMMYFUNCTION("""COMPUTED_VALUE"""),"ENVER RUND")</f>
        <v>ENVER RUND</v>
      </c>
      <c r="C611" s="97" t="str">
        <f>IFERROR(__xludf.DUMMYFUNCTION("""COMPUTED_VALUE"""),"COLGANTE ENVER RUND LEUK ")</f>
        <v>COLGANTE ENVER RUND LEUK </v>
      </c>
      <c r="D611" s="97">
        <f>IFERROR(__xludf.DUMMYFUNCTION("""COMPUTED_VALUE"""),7.798328757876E12)</f>
        <v>7798328757876</v>
      </c>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t="str">
        <f>IFERROR(__xludf.DUMMYFUNCTION("""COMPUTED_VALUE"""),"IP20")</f>
        <v>IP20</v>
      </c>
      <c r="AE611" s="97"/>
      <c r="AF611" s="97" t="str">
        <f>IFERROR(__xludf.DUMMYFUNCTION("""COMPUTED_VALUE"""),"Suspender")</f>
        <v>Suspender</v>
      </c>
      <c r="AG611" s="97"/>
      <c r="AH611" s="97"/>
      <c r="AI611" s="97"/>
      <c r="AJ611" s="97"/>
      <c r="AK611" s="97"/>
      <c r="AL611" s="97"/>
      <c r="AM611" s="97"/>
      <c r="AN611" s="97"/>
      <c r="AO611" s="97" t="str">
        <f>IFERROR(__xludf.DUMMYFUNCTION("""COMPUTED_VALUE"""),"1 Año")</f>
        <v>1 Año</v>
      </c>
      <c r="AP611" s="97"/>
      <c r="AQ611" s="97"/>
      <c r="AR611" s="97"/>
      <c r="AS611" s="97"/>
      <c r="AT611" s="97"/>
      <c r="AU611" s="97"/>
      <c r="AV611" s="97" t="str">
        <f>IFERROR(__xludf.DUMMYFUNCTION("""COMPUTED_VALUE"""),"Colgante")</f>
        <v>Colgante</v>
      </c>
      <c r="AW611" s="97" t="str">
        <f>IFERROR(__xludf.DUMMYFUNCTION("""COMPUTED_VALUE"""),"De Techo")</f>
        <v>De Techo</v>
      </c>
      <c r="AX611" s="97" t="str">
        <f>IFERROR(__xludf.DUMMYFUNCTION("""COMPUTED_VALUE"""),"Interior")</f>
        <v>Interior</v>
      </c>
      <c r="AY611" s="97"/>
      <c r="AZ611" s="97"/>
      <c r="BA611" s="97"/>
      <c r="BB611" s="97"/>
      <c r="BC611" s="97"/>
      <c r="BD611" s="97" t="str">
        <f>IFERROR(__xludf.DUMMYFUNCTION("""COMPUTED_VALUE"""),"ENVER RUND")</f>
        <v>ENVER RUND</v>
      </c>
      <c r="BE611" s="97" t="str">
        <f>IFERROR(__xludf.DUMMYFUNCTION("""COMPUTED_VALUE"""),"Sin Ficha")</f>
        <v>Sin Ficha</v>
      </c>
      <c r="BF611" s="97"/>
      <c r="BG611" s="97" t="str">
        <f>IFERROR(__xludf.DUMMYFUNCTION("""COMPUTED_VALUE"""),"Discontinuo")</f>
        <v>Discontinuo</v>
      </c>
    </row>
    <row r="612">
      <c r="A612" s="97">
        <f>IFERROR(__xludf.DUMMYFUNCTION("""COMPUTED_VALUE"""),6353.0)</f>
        <v>6353</v>
      </c>
      <c r="B612" s="97" t="str">
        <f>IFERROR(__xludf.DUMMYFUNCTION("""COMPUTED_VALUE"""),"LUCY")</f>
        <v>LUCY</v>
      </c>
      <c r="C612" s="97" t="str">
        <f>IFERROR(__xludf.DUMMYFUNCTION("""COMPUTED_VALUE"""),"COLGANTE LUCY LEUK ")</f>
        <v>COLGANTE LUCY LEUK </v>
      </c>
      <c r="D612" s="97">
        <f>IFERROR(__xludf.DUMMYFUNCTION("""COMPUTED_VALUE"""),7.798328757883E12)</f>
        <v>7798328757883</v>
      </c>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t="str">
        <f>IFERROR(__xludf.DUMMYFUNCTION("""COMPUTED_VALUE"""),"IP20")</f>
        <v>IP20</v>
      </c>
      <c r="AE612" s="97"/>
      <c r="AF612" s="97" t="str">
        <f>IFERROR(__xludf.DUMMYFUNCTION("""COMPUTED_VALUE"""),"Suspender")</f>
        <v>Suspender</v>
      </c>
      <c r="AG612" s="97"/>
      <c r="AH612" s="97"/>
      <c r="AI612" s="97"/>
      <c r="AJ612" s="97"/>
      <c r="AK612" s="97"/>
      <c r="AL612" s="97"/>
      <c r="AM612" s="97"/>
      <c r="AN612" s="97"/>
      <c r="AO612" s="97" t="str">
        <f>IFERROR(__xludf.DUMMYFUNCTION("""COMPUTED_VALUE"""),"1 Año")</f>
        <v>1 Año</v>
      </c>
      <c r="AP612" s="97"/>
      <c r="AQ612" s="97"/>
      <c r="AR612" s="97"/>
      <c r="AS612" s="97"/>
      <c r="AT612" s="97"/>
      <c r="AU612" s="97"/>
      <c r="AV612" s="97" t="str">
        <f>IFERROR(__xludf.DUMMYFUNCTION("""COMPUTED_VALUE"""),"Colgante")</f>
        <v>Colgante</v>
      </c>
      <c r="AW612" s="97" t="str">
        <f>IFERROR(__xludf.DUMMYFUNCTION("""COMPUTED_VALUE"""),"De Techo")</f>
        <v>De Techo</v>
      </c>
      <c r="AX612" s="97" t="str">
        <f>IFERROR(__xludf.DUMMYFUNCTION("""COMPUTED_VALUE"""),"Interior")</f>
        <v>Interior</v>
      </c>
      <c r="AY612" s="97"/>
      <c r="AZ612" s="97"/>
      <c r="BA612" s="97"/>
      <c r="BB612" s="97"/>
      <c r="BC612" s="97"/>
      <c r="BD612" s="97" t="str">
        <f>IFERROR(__xludf.DUMMYFUNCTION("""COMPUTED_VALUE"""),"LUCY")</f>
        <v>LUCY</v>
      </c>
      <c r="BE612" s="97" t="str">
        <f>IFERROR(__xludf.DUMMYFUNCTION("""COMPUTED_VALUE"""),"Sin Ficha")</f>
        <v>Sin Ficha</v>
      </c>
      <c r="BF612" s="97"/>
      <c r="BG612" s="97" t="str">
        <f>IFERROR(__xludf.DUMMYFUNCTION("""COMPUTED_VALUE"""),"Discontinuo")</f>
        <v>Discontinuo</v>
      </c>
    </row>
    <row r="613">
      <c r="A613" s="97">
        <f>IFERROR(__xludf.DUMMYFUNCTION("""COMPUTED_VALUE"""),6354.0)</f>
        <v>6354</v>
      </c>
      <c r="B613" s="97" t="str">
        <f>IFERROR(__xludf.DUMMYFUNCTION("""COMPUTED_VALUE"""),"AME")</f>
        <v>AME</v>
      </c>
      <c r="C613" s="97" t="str">
        <f>IFERROR(__xludf.DUMMYFUNCTION("""COMPUTED_VALUE"""),"COLGANTE AME LEUK")</f>
        <v>COLGANTE AME LEUK</v>
      </c>
      <c r="D613" s="97">
        <f>IFERROR(__xludf.DUMMYFUNCTION("""COMPUTED_VALUE"""),7.79832875789E12)</f>
        <v>7798328757890</v>
      </c>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t="str">
        <f>IFERROR(__xludf.DUMMYFUNCTION("""COMPUTED_VALUE"""),"IP20")</f>
        <v>IP20</v>
      </c>
      <c r="AE613" s="97"/>
      <c r="AF613" s="97" t="str">
        <f>IFERROR(__xludf.DUMMYFUNCTION("""COMPUTED_VALUE"""),"Suspender")</f>
        <v>Suspender</v>
      </c>
      <c r="AG613" s="97"/>
      <c r="AH613" s="97"/>
      <c r="AI613" s="97"/>
      <c r="AJ613" s="97"/>
      <c r="AK613" s="97"/>
      <c r="AL613" s="97"/>
      <c r="AM613" s="97"/>
      <c r="AN613" s="97"/>
      <c r="AO613" s="97" t="str">
        <f>IFERROR(__xludf.DUMMYFUNCTION("""COMPUTED_VALUE"""),"1 Año")</f>
        <v>1 Año</v>
      </c>
      <c r="AP613" s="97"/>
      <c r="AQ613" s="97"/>
      <c r="AR613" s="97"/>
      <c r="AS613" s="97"/>
      <c r="AT613" s="97"/>
      <c r="AU613" s="97"/>
      <c r="AV613" s="97" t="str">
        <f>IFERROR(__xludf.DUMMYFUNCTION("""COMPUTED_VALUE"""),"Colgante")</f>
        <v>Colgante</v>
      </c>
      <c r="AW613" s="97" t="str">
        <f>IFERROR(__xludf.DUMMYFUNCTION("""COMPUTED_VALUE"""),"De Techo")</f>
        <v>De Techo</v>
      </c>
      <c r="AX613" s="97" t="str">
        <f>IFERROR(__xludf.DUMMYFUNCTION("""COMPUTED_VALUE"""),"Interior")</f>
        <v>Interior</v>
      </c>
      <c r="AY613" s="97"/>
      <c r="AZ613" s="97"/>
      <c r="BA613" s="97"/>
      <c r="BB613" s="97"/>
      <c r="BC613" s="97"/>
      <c r="BD613" s="97" t="str">
        <f>IFERROR(__xludf.DUMMYFUNCTION("""COMPUTED_VALUE"""),"AME")</f>
        <v>AME</v>
      </c>
      <c r="BE613" s="97" t="str">
        <f>IFERROR(__xludf.DUMMYFUNCTION("""COMPUTED_VALUE"""),"Sin Ficha")</f>
        <v>Sin Ficha</v>
      </c>
      <c r="BF613" s="97"/>
      <c r="BG613" s="97" t="str">
        <f>IFERROR(__xludf.DUMMYFUNCTION("""COMPUTED_VALUE"""),"Discontinuo")</f>
        <v>Discontinuo</v>
      </c>
    </row>
    <row r="614">
      <c r="A614" s="97">
        <f>IFERROR(__xludf.DUMMYFUNCTION("""COMPUTED_VALUE"""),6355.0)</f>
        <v>6355</v>
      </c>
      <c r="B614" s="97" t="str">
        <f>IFERROR(__xludf.DUMMYFUNCTION("""COMPUTED_VALUE"""),"CAYE")</f>
        <v>CAYE</v>
      </c>
      <c r="C614" s="97" t="str">
        <f>IFERROR(__xludf.DUMMYFUNCTION("""COMPUTED_VALUE"""),"COLGANTE CAYE LEUK")</f>
        <v>COLGANTE CAYE LEUK</v>
      </c>
      <c r="D614" s="97">
        <f>IFERROR(__xludf.DUMMYFUNCTION("""COMPUTED_VALUE"""),7.798328757906E12)</f>
        <v>7798328757906</v>
      </c>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t="str">
        <f>IFERROR(__xludf.DUMMYFUNCTION("""COMPUTED_VALUE"""),"IP20")</f>
        <v>IP20</v>
      </c>
      <c r="AE614" s="97"/>
      <c r="AF614" s="97" t="str">
        <f>IFERROR(__xludf.DUMMYFUNCTION("""COMPUTED_VALUE"""),"Suspender")</f>
        <v>Suspender</v>
      </c>
      <c r="AG614" s="97"/>
      <c r="AH614" s="97"/>
      <c r="AI614" s="97"/>
      <c r="AJ614" s="97"/>
      <c r="AK614" s="97"/>
      <c r="AL614" s="97"/>
      <c r="AM614" s="97"/>
      <c r="AN614" s="97"/>
      <c r="AO614" s="97" t="str">
        <f>IFERROR(__xludf.DUMMYFUNCTION("""COMPUTED_VALUE"""),"1 Año")</f>
        <v>1 Año</v>
      </c>
      <c r="AP614" s="97"/>
      <c r="AQ614" s="97"/>
      <c r="AR614" s="97"/>
      <c r="AS614" s="97"/>
      <c r="AT614" s="97"/>
      <c r="AU614" s="97"/>
      <c r="AV614" s="97" t="str">
        <f>IFERROR(__xludf.DUMMYFUNCTION("""COMPUTED_VALUE"""),"Colgante")</f>
        <v>Colgante</v>
      </c>
      <c r="AW614" s="97" t="str">
        <f>IFERROR(__xludf.DUMMYFUNCTION("""COMPUTED_VALUE"""),"De Techo")</f>
        <v>De Techo</v>
      </c>
      <c r="AX614" s="97" t="str">
        <f>IFERROR(__xludf.DUMMYFUNCTION("""COMPUTED_VALUE"""),"Interior")</f>
        <v>Interior</v>
      </c>
      <c r="AY614" s="97"/>
      <c r="AZ614" s="97"/>
      <c r="BA614" s="97"/>
      <c r="BB614" s="97"/>
      <c r="BC614" s="97"/>
      <c r="BD614" s="97" t="str">
        <f>IFERROR(__xludf.DUMMYFUNCTION("""COMPUTED_VALUE"""),"CAYE")</f>
        <v>CAYE</v>
      </c>
      <c r="BE614" s="97" t="str">
        <f>IFERROR(__xludf.DUMMYFUNCTION("""COMPUTED_VALUE"""),"Sin Ficha")</f>
        <v>Sin Ficha</v>
      </c>
      <c r="BF614" s="97"/>
      <c r="BG614" s="97" t="str">
        <f>IFERROR(__xludf.DUMMYFUNCTION("""COMPUTED_VALUE"""),"Discontinuo")</f>
        <v>Discontinuo</v>
      </c>
    </row>
    <row r="615">
      <c r="A615" s="97">
        <f>IFERROR(__xludf.DUMMYFUNCTION("""COMPUTED_VALUE"""),6356.0)</f>
        <v>6356</v>
      </c>
      <c r="B615" s="97" t="str">
        <f>IFERROR(__xludf.DUMMYFUNCTION("""COMPUTED_VALUE"""),"CALY")</f>
        <v>CALY</v>
      </c>
      <c r="C615" s="97" t="str">
        <f>IFERROR(__xludf.DUMMYFUNCTION("""COMPUTED_VALUE"""),"COLGANTE CALY LEUK")</f>
        <v>COLGANTE CALY LEUK</v>
      </c>
      <c r="D615" s="97">
        <f>IFERROR(__xludf.DUMMYFUNCTION("""COMPUTED_VALUE"""),7.798328757913E12)</f>
        <v>7798328757913</v>
      </c>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t="str">
        <f>IFERROR(__xludf.DUMMYFUNCTION("""COMPUTED_VALUE"""),"IP20")</f>
        <v>IP20</v>
      </c>
      <c r="AE615" s="97"/>
      <c r="AF615" s="97" t="str">
        <f>IFERROR(__xludf.DUMMYFUNCTION("""COMPUTED_VALUE"""),"Suspender")</f>
        <v>Suspender</v>
      </c>
      <c r="AG615" s="97"/>
      <c r="AH615" s="97"/>
      <c r="AI615" s="97"/>
      <c r="AJ615" s="97"/>
      <c r="AK615" s="97"/>
      <c r="AL615" s="97"/>
      <c r="AM615" s="97"/>
      <c r="AN615" s="97"/>
      <c r="AO615" s="97" t="str">
        <f>IFERROR(__xludf.DUMMYFUNCTION("""COMPUTED_VALUE"""),"1 Año")</f>
        <v>1 Año</v>
      </c>
      <c r="AP615" s="97"/>
      <c r="AQ615" s="97"/>
      <c r="AR615" s="97"/>
      <c r="AS615" s="97"/>
      <c r="AT615" s="97"/>
      <c r="AU615" s="97"/>
      <c r="AV615" s="97" t="str">
        <f>IFERROR(__xludf.DUMMYFUNCTION("""COMPUTED_VALUE"""),"Colgante")</f>
        <v>Colgante</v>
      </c>
      <c r="AW615" s="97" t="str">
        <f>IFERROR(__xludf.DUMMYFUNCTION("""COMPUTED_VALUE"""),"De Techo")</f>
        <v>De Techo</v>
      </c>
      <c r="AX615" s="97" t="str">
        <f>IFERROR(__xludf.DUMMYFUNCTION("""COMPUTED_VALUE"""),"Interior")</f>
        <v>Interior</v>
      </c>
      <c r="AY615" s="97"/>
      <c r="AZ615" s="97"/>
      <c r="BA615" s="97"/>
      <c r="BB615" s="97"/>
      <c r="BC615" s="97"/>
      <c r="BD615" s="97" t="str">
        <f>IFERROR(__xludf.DUMMYFUNCTION("""COMPUTED_VALUE"""),"CALY")</f>
        <v>CALY</v>
      </c>
      <c r="BE615" s="97" t="str">
        <f>IFERROR(__xludf.DUMMYFUNCTION("""COMPUTED_VALUE"""),"Sin Ficha")</f>
        <v>Sin Ficha</v>
      </c>
      <c r="BF615" s="97"/>
      <c r="BG615" s="97" t="str">
        <f>IFERROR(__xludf.DUMMYFUNCTION("""COMPUTED_VALUE"""),"Discontinuo")</f>
        <v>Discontinuo</v>
      </c>
    </row>
    <row r="616">
      <c r="A616" s="97">
        <f>IFERROR(__xludf.DUMMYFUNCTION("""COMPUTED_VALUE"""),6357.0)</f>
        <v>6357</v>
      </c>
      <c r="B616" s="97" t="str">
        <f>IFERROR(__xludf.DUMMYFUNCTION("""COMPUTED_VALUE"""),"MUNI")</f>
        <v>MUNI</v>
      </c>
      <c r="C616" s="97" t="str">
        <f>IFERROR(__xludf.DUMMYFUNCTION("""COMPUTED_VALUE"""),"COLGANTE MUNI LEUK")</f>
        <v>COLGANTE MUNI LEUK</v>
      </c>
      <c r="D616" s="97">
        <f>IFERROR(__xludf.DUMMYFUNCTION("""COMPUTED_VALUE"""),7.79832875792E12)</f>
        <v>7798328757920</v>
      </c>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t="str">
        <f>IFERROR(__xludf.DUMMYFUNCTION("""COMPUTED_VALUE"""),"IP20")</f>
        <v>IP20</v>
      </c>
      <c r="AE616" s="97"/>
      <c r="AF616" s="97" t="str">
        <f>IFERROR(__xludf.DUMMYFUNCTION("""COMPUTED_VALUE"""),"Suspender")</f>
        <v>Suspender</v>
      </c>
      <c r="AG616" s="97"/>
      <c r="AH616" s="97"/>
      <c r="AI616" s="97"/>
      <c r="AJ616" s="97"/>
      <c r="AK616" s="97"/>
      <c r="AL616" s="97"/>
      <c r="AM616" s="97"/>
      <c r="AN616" s="97"/>
      <c r="AO616" s="97" t="str">
        <f>IFERROR(__xludf.DUMMYFUNCTION("""COMPUTED_VALUE"""),"1 Año")</f>
        <v>1 Año</v>
      </c>
      <c r="AP616" s="97"/>
      <c r="AQ616" s="97"/>
      <c r="AR616" s="97"/>
      <c r="AS616" s="97"/>
      <c r="AT616" s="97"/>
      <c r="AU616" s="97"/>
      <c r="AV616" s="97" t="str">
        <f>IFERROR(__xludf.DUMMYFUNCTION("""COMPUTED_VALUE"""),"Colgante")</f>
        <v>Colgante</v>
      </c>
      <c r="AW616" s="97" t="str">
        <f>IFERROR(__xludf.DUMMYFUNCTION("""COMPUTED_VALUE"""),"De Techo")</f>
        <v>De Techo</v>
      </c>
      <c r="AX616" s="97" t="str">
        <f>IFERROR(__xludf.DUMMYFUNCTION("""COMPUTED_VALUE"""),"Interior")</f>
        <v>Interior</v>
      </c>
      <c r="AY616" s="97"/>
      <c r="AZ616" s="97"/>
      <c r="BA616" s="97"/>
      <c r="BB616" s="97"/>
      <c r="BC616" s="97"/>
      <c r="BD616" s="97" t="str">
        <f>IFERROR(__xludf.DUMMYFUNCTION("""COMPUTED_VALUE"""),"MUNI")</f>
        <v>MUNI</v>
      </c>
      <c r="BE616" s="97" t="str">
        <f>IFERROR(__xludf.DUMMYFUNCTION("""COMPUTED_VALUE"""),"Sin Ficha")</f>
        <v>Sin Ficha</v>
      </c>
      <c r="BF616" s="97"/>
      <c r="BG616" s="97" t="str">
        <f>IFERROR(__xludf.DUMMYFUNCTION("""COMPUTED_VALUE"""),"Discontinuo")</f>
        <v>Discontinuo</v>
      </c>
    </row>
    <row r="617">
      <c r="A617" s="97">
        <f>IFERROR(__xludf.DUMMYFUNCTION("""COMPUTED_VALUE"""),6358.0)</f>
        <v>6358</v>
      </c>
      <c r="B617" s="97" t="str">
        <f>IFERROR(__xludf.DUMMYFUNCTION("""COMPUTED_VALUE"""),"PLUT VII")</f>
        <v>PLUT VII</v>
      </c>
      <c r="C617" s="97" t="str">
        <f>IFERROR(__xludf.DUMMYFUNCTION("""COMPUTED_VALUE"""),"COLGANTE PLUT VII LEUK")</f>
        <v>COLGANTE PLUT VII LEUK</v>
      </c>
      <c r="D617" s="97">
        <f>IFERROR(__xludf.DUMMYFUNCTION("""COMPUTED_VALUE"""),7.798328757937E12)</f>
        <v>7798328757937</v>
      </c>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t="str">
        <f>IFERROR(__xludf.DUMMYFUNCTION("""COMPUTED_VALUE"""),"IP20")</f>
        <v>IP20</v>
      </c>
      <c r="AE617" s="97"/>
      <c r="AF617" s="97" t="str">
        <f>IFERROR(__xludf.DUMMYFUNCTION("""COMPUTED_VALUE"""),"Suspender")</f>
        <v>Suspender</v>
      </c>
      <c r="AG617" s="97"/>
      <c r="AH617" s="97"/>
      <c r="AI617" s="97"/>
      <c r="AJ617" s="97"/>
      <c r="AK617" s="97"/>
      <c r="AL617" s="97"/>
      <c r="AM617" s="97"/>
      <c r="AN617" s="97"/>
      <c r="AO617" s="97" t="str">
        <f>IFERROR(__xludf.DUMMYFUNCTION("""COMPUTED_VALUE"""),"1 Año")</f>
        <v>1 Año</v>
      </c>
      <c r="AP617" s="97"/>
      <c r="AQ617" s="97"/>
      <c r="AR617" s="97"/>
      <c r="AS617" s="97"/>
      <c r="AT617" s="97"/>
      <c r="AU617" s="97"/>
      <c r="AV617" s="97" t="str">
        <f>IFERROR(__xludf.DUMMYFUNCTION("""COMPUTED_VALUE"""),"Colgante")</f>
        <v>Colgante</v>
      </c>
      <c r="AW617" s="97" t="str">
        <f>IFERROR(__xludf.DUMMYFUNCTION("""COMPUTED_VALUE"""),"De Techo")</f>
        <v>De Techo</v>
      </c>
      <c r="AX617" s="97" t="str">
        <f>IFERROR(__xludf.DUMMYFUNCTION("""COMPUTED_VALUE"""),"Interior")</f>
        <v>Interior</v>
      </c>
      <c r="AY617" s="97"/>
      <c r="AZ617" s="97"/>
      <c r="BA617" s="97"/>
      <c r="BB617" s="97"/>
      <c r="BC617" s="97"/>
      <c r="BD617" s="97" t="str">
        <f>IFERROR(__xludf.DUMMYFUNCTION("""COMPUTED_VALUE"""),"PLUT VII")</f>
        <v>PLUT VII</v>
      </c>
      <c r="BE617" s="97" t="str">
        <f>IFERROR(__xludf.DUMMYFUNCTION("""COMPUTED_VALUE"""),"Sin Ficha")</f>
        <v>Sin Ficha</v>
      </c>
      <c r="BF617" s="97"/>
      <c r="BG617" s="97" t="str">
        <f>IFERROR(__xludf.DUMMYFUNCTION("""COMPUTED_VALUE"""),"Discontinuo")</f>
        <v>Discontinuo</v>
      </c>
    </row>
    <row r="618">
      <c r="A618" s="97">
        <f>IFERROR(__xludf.DUMMYFUNCTION("""COMPUTED_VALUE"""),6359.0)</f>
        <v>6359</v>
      </c>
      <c r="B618" s="97" t="str">
        <f>IFERROR(__xludf.DUMMYFUNCTION("""COMPUTED_VALUE"""),"PLUT XIV")</f>
        <v>PLUT XIV</v>
      </c>
      <c r="C618" s="97" t="str">
        <f>IFERROR(__xludf.DUMMYFUNCTION("""COMPUTED_VALUE"""),"COLGANTE PLUT XIV LEUK")</f>
        <v>COLGANTE PLUT XIV LEUK</v>
      </c>
      <c r="D618" s="97">
        <f>IFERROR(__xludf.DUMMYFUNCTION("""COMPUTED_VALUE"""),7.798328757944E12)</f>
        <v>7798328757944</v>
      </c>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t="str">
        <f>IFERROR(__xludf.DUMMYFUNCTION("""COMPUTED_VALUE"""),"IP20")</f>
        <v>IP20</v>
      </c>
      <c r="AE618" s="97"/>
      <c r="AF618" s="97" t="str">
        <f>IFERROR(__xludf.DUMMYFUNCTION("""COMPUTED_VALUE"""),"Suspender")</f>
        <v>Suspender</v>
      </c>
      <c r="AG618" s="97"/>
      <c r="AH618" s="97"/>
      <c r="AI618" s="97"/>
      <c r="AJ618" s="97"/>
      <c r="AK618" s="97"/>
      <c r="AL618" s="97"/>
      <c r="AM618" s="97"/>
      <c r="AN618" s="97"/>
      <c r="AO618" s="97" t="str">
        <f>IFERROR(__xludf.DUMMYFUNCTION("""COMPUTED_VALUE"""),"1 Año")</f>
        <v>1 Año</v>
      </c>
      <c r="AP618" s="97"/>
      <c r="AQ618" s="97"/>
      <c r="AR618" s="97"/>
      <c r="AS618" s="97"/>
      <c r="AT618" s="97"/>
      <c r="AU618" s="97"/>
      <c r="AV618" s="97" t="str">
        <f>IFERROR(__xludf.DUMMYFUNCTION("""COMPUTED_VALUE"""),"Colgante")</f>
        <v>Colgante</v>
      </c>
      <c r="AW618" s="97" t="str">
        <f>IFERROR(__xludf.DUMMYFUNCTION("""COMPUTED_VALUE"""),"De Techo")</f>
        <v>De Techo</v>
      </c>
      <c r="AX618" s="97" t="str">
        <f>IFERROR(__xludf.DUMMYFUNCTION("""COMPUTED_VALUE"""),"Interior")</f>
        <v>Interior</v>
      </c>
      <c r="AY618" s="97"/>
      <c r="AZ618" s="97"/>
      <c r="BA618" s="97"/>
      <c r="BB618" s="97"/>
      <c r="BC618" s="97"/>
      <c r="BD618" s="97" t="str">
        <f>IFERROR(__xludf.DUMMYFUNCTION("""COMPUTED_VALUE"""),"PLUT XIV")</f>
        <v>PLUT XIV</v>
      </c>
      <c r="BE618" s="97" t="str">
        <f>IFERROR(__xludf.DUMMYFUNCTION("""COMPUTED_VALUE"""),"Sin Ficha")</f>
        <v>Sin Ficha</v>
      </c>
      <c r="BF618" s="97"/>
      <c r="BG618" s="97" t="str">
        <f>IFERROR(__xludf.DUMMYFUNCTION("""COMPUTED_VALUE"""),"Discontinuo")</f>
        <v>Discontinuo</v>
      </c>
    </row>
    <row r="619">
      <c r="A619" s="97">
        <f>IFERROR(__xludf.DUMMYFUNCTION("""COMPUTED_VALUE"""),6360.0)</f>
        <v>6360</v>
      </c>
      <c r="B619" s="97" t="str">
        <f>IFERROR(__xludf.DUMMYFUNCTION("""COMPUTED_VALUE"""),"EDNA")</f>
        <v>EDNA</v>
      </c>
      <c r="C619" s="97" t="str">
        <f>IFERROR(__xludf.DUMMYFUNCTION("""COMPUTED_VALUE"""),"COLGANTE EDNA LEUK")</f>
        <v>COLGANTE EDNA LEUK</v>
      </c>
      <c r="D619" s="97">
        <f>IFERROR(__xludf.DUMMYFUNCTION("""COMPUTED_VALUE"""),7.798328757951E12)</f>
        <v>7798328757951</v>
      </c>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t="str">
        <f>IFERROR(__xludf.DUMMYFUNCTION("""COMPUTED_VALUE"""),"IP20")</f>
        <v>IP20</v>
      </c>
      <c r="AE619" s="97"/>
      <c r="AF619" s="97" t="str">
        <f>IFERROR(__xludf.DUMMYFUNCTION("""COMPUTED_VALUE"""),"Suspender")</f>
        <v>Suspender</v>
      </c>
      <c r="AG619" s="97"/>
      <c r="AH619" s="97"/>
      <c r="AI619" s="97"/>
      <c r="AJ619" s="97"/>
      <c r="AK619" s="97"/>
      <c r="AL619" s="97"/>
      <c r="AM619" s="97"/>
      <c r="AN619" s="97"/>
      <c r="AO619" s="97" t="str">
        <f>IFERROR(__xludf.DUMMYFUNCTION("""COMPUTED_VALUE"""),"1 Año")</f>
        <v>1 Año</v>
      </c>
      <c r="AP619" s="97"/>
      <c r="AQ619" s="97"/>
      <c r="AR619" s="97"/>
      <c r="AS619" s="97"/>
      <c r="AT619" s="97"/>
      <c r="AU619" s="97"/>
      <c r="AV619" s="97" t="str">
        <f>IFERROR(__xludf.DUMMYFUNCTION("""COMPUTED_VALUE"""),"Colgante")</f>
        <v>Colgante</v>
      </c>
      <c r="AW619" s="97" t="str">
        <f>IFERROR(__xludf.DUMMYFUNCTION("""COMPUTED_VALUE"""),"De Techo")</f>
        <v>De Techo</v>
      </c>
      <c r="AX619" s="97" t="str">
        <f>IFERROR(__xludf.DUMMYFUNCTION("""COMPUTED_VALUE"""),"Interior")</f>
        <v>Interior</v>
      </c>
      <c r="AY619" s="97"/>
      <c r="AZ619" s="97"/>
      <c r="BA619" s="97"/>
      <c r="BB619" s="97"/>
      <c r="BC619" s="97"/>
      <c r="BD619" s="97" t="str">
        <f>IFERROR(__xludf.DUMMYFUNCTION("""COMPUTED_VALUE"""),"EDNA")</f>
        <v>EDNA</v>
      </c>
      <c r="BE619" s="97" t="str">
        <f>IFERROR(__xludf.DUMMYFUNCTION("""COMPUTED_VALUE"""),"Sin Ficha")</f>
        <v>Sin Ficha</v>
      </c>
      <c r="BF619" s="97"/>
      <c r="BG619" s="97" t="str">
        <f>IFERROR(__xludf.DUMMYFUNCTION("""COMPUTED_VALUE"""),"Discontinuo")</f>
        <v>Discontinuo</v>
      </c>
    </row>
    <row r="620">
      <c r="A620" s="97">
        <f>IFERROR(__xludf.DUMMYFUNCTION("""COMPUTED_VALUE"""),6361.0)</f>
        <v>6361</v>
      </c>
      <c r="B620" s="97" t="str">
        <f>IFERROR(__xludf.DUMMYFUNCTION("""COMPUTED_VALUE"""),"POLY RED")</f>
        <v>POLY RED</v>
      </c>
      <c r="C620" s="97" t="str">
        <f>IFERROR(__xludf.DUMMYFUNCTION("""COMPUTED_VALUE"""),"COLGANTE POLY RED LEUK")</f>
        <v>COLGANTE POLY RED LEUK</v>
      </c>
      <c r="D620" s="97">
        <f>IFERROR(__xludf.DUMMYFUNCTION("""COMPUTED_VALUE"""),7.798328757692E12)</f>
        <v>7798328757692</v>
      </c>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t="str">
        <f>IFERROR(__xludf.DUMMYFUNCTION("""COMPUTED_VALUE"""),"IP20")</f>
        <v>IP20</v>
      </c>
      <c r="AE620" s="97"/>
      <c r="AF620" s="97" t="str">
        <f>IFERROR(__xludf.DUMMYFUNCTION("""COMPUTED_VALUE"""),"Suspender")</f>
        <v>Suspender</v>
      </c>
      <c r="AG620" s="97"/>
      <c r="AH620" s="97"/>
      <c r="AI620" s="97"/>
      <c r="AJ620" s="97"/>
      <c r="AK620" s="97"/>
      <c r="AL620" s="97"/>
      <c r="AM620" s="97"/>
      <c r="AN620" s="97"/>
      <c r="AO620" s="97" t="str">
        <f>IFERROR(__xludf.DUMMYFUNCTION("""COMPUTED_VALUE"""),"1 Año")</f>
        <v>1 Año</v>
      </c>
      <c r="AP620" s="97"/>
      <c r="AQ620" s="97"/>
      <c r="AR620" s="97"/>
      <c r="AS620" s="97"/>
      <c r="AT620" s="97"/>
      <c r="AU620" s="97"/>
      <c r="AV620" s="97" t="str">
        <f>IFERROR(__xludf.DUMMYFUNCTION("""COMPUTED_VALUE"""),"Colgante")</f>
        <v>Colgante</v>
      </c>
      <c r="AW620" s="97" t="str">
        <f>IFERROR(__xludf.DUMMYFUNCTION("""COMPUTED_VALUE"""),"De Techo")</f>
        <v>De Techo</v>
      </c>
      <c r="AX620" s="97" t="str">
        <f>IFERROR(__xludf.DUMMYFUNCTION("""COMPUTED_VALUE"""),"Interior")</f>
        <v>Interior</v>
      </c>
      <c r="AY620" s="97"/>
      <c r="AZ620" s="97"/>
      <c r="BA620" s="97"/>
      <c r="BB620" s="97"/>
      <c r="BC620" s="97"/>
      <c r="BD620" s="97" t="str">
        <f>IFERROR(__xludf.DUMMYFUNCTION("""COMPUTED_VALUE"""),"POLY RED")</f>
        <v>POLY RED</v>
      </c>
      <c r="BE620" s="97" t="str">
        <f>IFERROR(__xludf.DUMMYFUNCTION("""COMPUTED_VALUE"""),"Sin Ficha")</f>
        <v>Sin Ficha</v>
      </c>
      <c r="BF620" s="97"/>
      <c r="BG620" s="97" t="str">
        <f>IFERROR(__xludf.DUMMYFUNCTION("""COMPUTED_VALUE"""),"Discontinuo")</f>
        <v>Discontinuo</v>
      </c>
    </row>
    <row r="621">
      <c r="A621" s="97">
        <f>IFERROR(__xludf.DUMMYFUNCTION("""COMPUTED_VALUE"""),6362.0)</f>
        <v>6362</v>
      </c>
      <c r="B621" s="97" t="str">
        <f>IFERROR(__xludf.DUMMYFUNCTION("""COMPUTED_VALUE"""),"POLY")</f>
        <v>POLY</v>
      </c>
      <c r="C621" s="97" t="str">
        <f>IFERROR(__xludf.DUMMYFUNCTION("""COMPUTED_VALUE"""),"COLGANTE POLY AZUL LEUK")</f>
        <v>COLGANTE POLY AZUL LEUK</v>
      </c>
      <c r="D621" s="97">
        <f>IFERROR(__xludf.DUMMYFUNCTION("""COMPUTED_VALUE"""),7.798328757708E12)</f>
        <v>7798328757708</v>
      </c>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t="str">
        <f>IFERROR(__xludf.DUMMYFUNCTION("""COMPUTED_VALUE"""),"IP20")</f>
        <v>IP20</v>
      </c>
      <c r="AE621" s="97"/>
      <c r="AF621" s="97" t="str">
        <f>IFERROR(__xludf.DUMMYFUNCTION("""COMPUTED_VALUE"""),"Suspender")</f>
        <v>Suspender</v>
      </c>
      <c r="AG621" s="97"/>
      <c r="AH621" s="97"/>
      <c r="AI621" s="97"/>
      <c r="AJ621" s="97"/>
      <c r="AK621" s="97"/>
      <c r="AL621" s="97"/>
      <c r="AM621" s="97"/>
      <c r="AN621" s="97"/>
      <c r="AO621" s="97" t="str">
        <f>IFERROR(__xludf.DUMMYFUNCTION("""COMPUTED_VALUE"""),"1 Año")</f>
        <v>1 Año</v>
      </c>
      <c r="AP621" s="97"/>
      <c r="AQ621" s="97"/>
      <c r="AR621" s="97"/>
      <c r="AS621" s="97"/>
      <c r="AT621" s="97"/>
      <c r="AU621" s="97"/>
      <c r="AV621" s="97" t="str">
        <f>IFERROR(__xludf.DUMMYFUNCTION("""COMPUTED_VALUE"""),"Colgante")</f>
        <v>Colgante</v>
      </c>
      <c r="AW621" s="97" t="str">
        <f>IFERROR(__xludf.DUMMYFUNCTION("""COMPUTED_VALUE"""),"De Techo")</f>
        <v>De Techo</v>
      </c>
      <c r="AX621" s="97" t="str">
        <f>IFERROR(__xludf.DUMMYFUNCTION("""COMPUTED_VALUE"""),"Interior")</f>
        <v>Interior</v>
      </c>
      <c r="AY621" s="97"/>
      <c r="AZ621" s="97"/>
      <c r="BA621" s="97"/>
      <c r="BB621" s="97"/>
      <c r="BC621" s="97"/>
      <c r="BD621" s="97" t="str">
        <f>IFERROR(__xludf.DUMMYFUNCTION("""COMPUTED_VALUE"""),"POLY")</f>
        <v>POLY</v>
      </c>
      <c r="BE621" s="97" t="str">
        <f>IFERROR(__xludf.DUMMYFUNCTION("""COMPUTED_VALUE"""),"Sin Ficha")</f>
        <v>Sin Ficha</v>
      </c>
      <c r="BF621" s="97"/>
      <c r="BG621" s="97" t="str">
        <f>IFERROR(__xludf.DUMMYFUNCTION("""COMPUTED_VALUE"""),"Discontinuo")</f>
        <v>Discontinuo</v>
      </c>
    </row>
    <row r="622">
      <c r="A622" s="97">
        <f>IFERROR(__xludf.DUMMYFUNCTION("""COMPUTED_VALUE"""),6363.0)</f>
        <v>6363</v>
      </c>
      <c r="B622" s="97" t="str">
        <f>IFERROR(__xludf.DUMMYFUNCTION("""COMPUTED_VALUE"""),"POLY")</f>
        <v>POLY</v>
      </c>
      <c r="C622" s="97" t="str">
        <f>IFERROR(__xludf.DUMMYFUNCTION("""COMPUTED_VALUE"""),"COLGANTE POLY TRANSPARENTE LEUK")</f>
        <v>COLGANTE POLY TRANSPARENTE LEUK</v>
      </c>
      <c r="D622" s="97">
        <f>IFERROR(__xludf.DUMMYFUNCTION("""COMPUTED_VALUE"""),7.798328757715E12)</f>
        <v>7798328757715</v>
      </c>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t="str">
        <f>IFERROR(__xludf.DUMMYFUNCTION("""COMPUTED_VALUE"""),"IP20")</f>
        <v>IP20</v>
      </c>
      <c r="AE622" s="97"/>
      <c r="AF622" s="97" t="str">
        <f>IFERROR(__xludf.DUMMYFUNCTION("""COMPUTED_VALUE"""),"Suspender")</f>
        <v>Suspender</v>
      </c>
      <c r="AG622" s="97"/>
      <c r="AH622" s="97"/>
      <c r="AI622" s="97"/>
      <c r="AJ622" s="97"/>
      <c r="AK622" s="97"/>
      <c r="AL622" s="97"/>
      <c r="AM622" s="97"/>
      <c r="AN622" s="97"/>
      <c r="AO622" s="97" t="str">
        <f>IFERROR(__xludf.DUMMYFUNCTION("""COMPUTED_VALUE"""),"1 Año")</f>
        <v>1 Año</v>
      </c>
      <c r="AP622" s="97"/>
      <c r="AQ622" s="97"/>
      <c r="AR622" s="97"/>
      <c r="AS622" s="97"/>
      <c r="AT622" s="97"/>
      <c r="AU622" s="97"/>
      <c r="AV622" s="97" t="str">
        <f>IFERROR(__xludf.DUMMYFUNCTION("""COMPUTED_VALUE"""),"Colgante")</f>
        <v>Colgante</v>
      </c>
      <c r="AW622" s="97" t="str">
        <f>IFERROR(__xludf.DUMMYFUNCTION("""COMPUTED_VALUE"""),"De Techo")</f>
        <v>De Techo</v>
      </c>
      <c r="AX622" s="97" t="str">
        <f>IFERROR(__xludf.DUMMYFUNCTION("""COMPUTED_VALUE"""),"Interior")</f>
        <v>Interior</v>
      </c>
      <c r="AY622" s="97"/>
      <c r="AZ622" s="97"/>
      <c r="BA622" s="97"/>
      <c r="BB622" s="97"/>
      <c r="BC622" s="97"/>
      <c r="BD622" s="97" t="str">
        <f>IFERROR(__xludf.DUMMYFUNCTION("""COMPUTED_VALUE"""),"POLY")</f>
        <v>POLY</v>
      </c>
      <c r="BE622" s="97" t="str">
        <f>IFERROR(__xludf.DUMMYFUNCTION("""COMPUTED_VALUE"""),"Sin Ficha")</f>
        <v>Sin Ficha</v>
      </c>
      <c r="BF622" s="97"/>
      <c r="BG622" s="97" t="str">
        <f>IFERROR(__xludf.DUMMYFUNCTION("""COMPUTED_VALUE"""),"Discontinuo")</f>
        <v>Discontinuo</v>
      </c>
    </row>
    <row r="623">
      <c r="A623" s="97">
        <f>IFERROR(__xludf.DUMMYFUNCTION("""COMPUTED_VALUE"""),6364.0)</f>
        <v>6364</v>
      </c>
      <c r="B623" s="97" t="str">
        <f>IFERROR(__xludf.DUMMYFUNCTION("""COMPUTED_VALUE"""),"KENDU TALL")</f>
        <v>KENDU TALL</v>
      </c>
      <c r="C623" s="97" t="str">
        <f>IFERROR(__xludf.DUMMYFUNCTION("""COMPUTED_VALUE"""),"COLGANTE KENDU TALL LEUK")</f>
        <v>COLGANTE KENDU TALL LEUK</v>
      </c>
      <c r="D623" s="97">
        <f>IFERROR(__xludf.DUMMYFUNCTION("""COMPUTED_VALUE"""),7.798328757807E12)</f>
        <v>7798328757807</v>
      </c>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t="str">
        <f>IFERROR(__xludf.DUMMYFUNCTION("""COMPUTED_VALUE"""),"IP20")</f>
        <v>IP20</v>
      </c>
      <c r="AE623" s="97"/>
      <c r="AF623" s="97" t="str">
        <f>IFERROR(__xludf.DUMMYFUNCTION("""COMPUTED_VALUE"""),"Suspender")</f>
        <v>Suspender</v>
      </c>
      <c r="AG623" s="97"/>
      <c r="AH623" s="97"/>
      <c r="AI623" s="97"/>
      <c r="AJ623" s="97"/>
      <c r="AK623" s="97"/>
      <c r="AL623" s="97"/>
      <c r="AM623" s="97"/>
      <c r="AN623" s="97"/>
      <c r="AO623" s="97" t="str">
        <f>IFERROR(__xludf.DUMMYFUNCTION("""COMPUTED_VALUE"""),"1 Año")</f>
        <v>1 Año</v>
      </c>
      <c r="AP623" s="97"/>
      <c r="AQ623" s="97"/>
      <c r="AR623" s="97"/>
      <c r="AS623" s="97"/>
      <c r="AT623" s="97"/>
      <c r="AU623" s="97"/>
      <c r="AV623" s="97" t="str">
        <f>IFERROR(__xludf.DUMMYFUNCTION("""COMPUTED_VALUE"""),"Colgante")</f>
        <v>Colgante</v>
      </c>
      <c r="AW623" s="97" t="str">
        <f>IFERROR(__xludf.DUMMYFUNCTION("""COMPUTED_VALUE"""),"De Techo")</f>
        <v>De Techo</v>
      </c>
      <c r="AX623" s="97" t="str">
        <f>IFERROR(__xludf.DUMMYFUNCTION("""COMPUTED_VALUE"""),"Interior")</f>
        <v>Interior</v>
      </c>
      <c r="AY623" s="97"/>
      <c r="AZ623" s="97"/>
      <c r="BA623" s="97"/>
      <c r="BB623" s="97"/>
      <c r="BC623" s="97"/>
      <c r="BD623" s="97" t="str">
        <f>IFERROR(__xludf.DUMMYFUNCTION("""COMPUTED_VALUE"""),"KENDU TALL")</f>
        <v>KENDU TALL</v>
      </c>
      <c r="BE623" s="97" t="str">
        <f>IFERROR(__xludf.DUMMYFUNCTION("""COMPUTED_VALUE"""),"Sin Ficha")</f>
        <v>Sin Ficha</v>
      </c>
      <c r="BF623" s="97"/>
      <c r="BG623" s="97" t="str">
        <f>IFERROR(__xludf.DUMMYFUNCTION("""COMPUTED_VALUE"""),"Discontinuo")</f>
        <v>Discontinuo</v>
      </c>
    </row>
    <row r="624">
      <c r="A624" s="97">
        <f>IFERROR(__xludf.DUMMYFUNCTION("""COMPUTED_VALUE"""),6365.0)</f>
        <v>6365</v>
      </c>
      <c r="B624" s="97" t="str">
        <f>IFERROR(__xludf.DUMMYFUNCTION("""COMPUTED_VALUE"""),"KENDU FAT")</f>
        <v>KENDU FAT</v>
      </c>
      <c r="C624" s="97" t="str">
        <f>IFERROR(__xludf.DUMMYFUNCTION("""COMPUTED_VALUE"""),"COLGANTE KENDU FAT LEUK")</f>
        <v>COLGANTE KENDU FAT LEUK</v>
      </c>
      <c r="D624" s="97">
        <f>IFERROR(__xludf.DUMMYFUNCTION("""COMPUTED_VALUE"""),7.798328757814E12)</f>
        <v>7798328757814</v>
      </c>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t="str">
        <f>IFERROR(__xludf.DUMMYFUNCTION("""COMPUTED_VALUE"""),"IP20")</f>
        <v>IP20</v>
      </c>
      <c r="AE624" s="97"/>
      <c r="AF624" s="97" t="str">
        <f>IFERROR(__xludf.DUMMYFUNCTION("""COMPUTED_VALUE"""),"Suspender")</f>
        <v>Suspender</v>
      </c>
      <c r="AG624" s="97"/>
      <c r="AH624" s="97"/>
      <c r="AI624" s="97"/>
      <c r="AJ624" s="97"/>
      <c r="AK624" s="97"/>
      <c r="AL624" s="97"/>
      <c r="AM624" s="97"/>
      <c r="AN624" s="97"/>
      <c r="AO624" s="97" t="str">
        <f>IFERROR(__xludf.DUMMYFUNCTION("""COMPUTED_VALUE"""),"1 Año")</f>
        <v>1 Año</v>
      </c>
      <c r="AP624" s="97"/>
      <c r="AQ624" s="97"/>
      <c r="AR624" s="97"/>
      <c r="AS624" s="97"/>
      <c r="AT624" s="97"/>
      <c r="AU624" s="97"/>
      <c r="AV624" s="97" t="str">
        <f>IFERROR(__xludf.DUMMYFUNCTION("""COMPUTED_VALUE"""),"Colgante")</f>
        <v>Colgante</v>
      </c>
      <c r="AW624" s="97" t="str">
        <f>IFERROR(__xludf.DUMMYFUNCTION("""COMPUTED_VALUE"""),"De Techo")</f>
        <v>De Techo</v>
      </c>
      <c r="AX624" s="97" t="str">
        <f>IFERROR(__xludf.DUMMYFUNCTION("""COMPUTED_VALUE"""),"Interior")</f>
        <v>Interior</v>
      </c>
      <c r="AY624" s="97"/>
      <c r="AZ624" s="97"/>
      <c r="BA624" s="97"/>
      <c r="BB624" s="97"/>
      <c r="BC624" s="97"/>
      <c r="BD624" s="97" t="str">
        <f>IFERROR(__xludf.DUMMYFUNCTION("""COMPUTED_VALUE"""),"KENDU FAT")</f>
        <v>KENDU FAT</v>
      </c>
      <c r="BE624" s="97" t="str">
        <f>IFERROR(__xludf.DUMMYFUNCTION("""COMPUTED_VALUE"""),"Sin Ficha")</f>
        <v>Sin Ficha</v>
      </c>
      <c r="BF624" s="97"/>
      <c r="BG624" s="97" t="str">
        <f>IFERROR(__xludf.DUMMYFUNCTION("""COMPUTED_VALUE"""),"Discontinuo")</f>
        <v>Discontinuo</v>
      </c>
    </row>
    <row r="625">
      <c r="A625" s="97">
        <f>IFERROR(__xludf.DUMMYFUNCTION("""COMPUTED_VALUE"""),6366.0)</f>
        <v>6366</v>
      </c>
      <c r="B625" s="97" t="str">
        <f>IFERROR(__xludf.DUMMYFUNCTION("""COMPUTED_VALUE"""),"KENDU WIDE")</f>
        <v>KENDU WIDE</v>
      </c>
      <c r="C625" s="97" t="str">
        <f>IFERROR(__xludf.DUMMYFUNCTION("""COMPUTED_VALUE"""),"COLGANTE KENDU WIDE LEUK")</f>
        <v>COLGANTE KENDU WIDE LEUK</v>
      </c>
      <c r="D625" s="97">
        <f>IFERROR(__xludf.DUMMYFUNCTION("""COMPUTED_VALUE"""),7.798328757821E12)</f>
        <v>7798328757821</v>
      </c>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t="str">
        <f>IFERROR(__xludf.DUMMYFUNCTION("""COMPUTED_VALUE"""),"IP20")</f>
        <v>IP20</v>
      </c>
      <c r="AE625" s="97"/>
      <c r="AF625" s="97" t="str">
        <f>IFERROR(__xludf.DUMMYFUNCTION("""COMPUTED_VALUE"""),"Suspender")</f>
        <v>Suspender</v>
      </c>
      <c r="AG625" s="97"/>
      <c r="AH625" s="97"/>
      <c r="AI625" s="97"/>
      <c r="AJ625" s="97"/>
      <c r="AK625" s="97"/>
      <c r="AL625" s="97"/>
      <c r="AM625" s="97"/>
      <c r="AN625" s="97"/>
      <c r="AO625" s="97" t="str">
        <f>IFERROR(__xludf.DUMMYFUNCTION("""COMPUTED_VALUE"""),"1 Año")</f>
        <v>1 Año</v>
      </c>
      <c r="AP625" s="97"/>
      <c r="AQ625" s="97"/>
      <c r="AR625" s="97"/>
      <c r="AS625" s="97"/>
      <c r="AT625" s="97"/>
      <c r="AU625" s="97"/>
      <c r="AV625" s="97" t="str">
        <f>IFERROR(__xludf.DUMMYFUNCTION("""COMPUTED_VALUE"""),"Colgante")</f>
        <v>Colgante</v>
      </c>
      <c r="AW625" s="97" t="str">
        <f>IFERROR(__xludf.DUMMYFUNCTION("""COMPUTED_VALUE"""),"De Techo")</f>
        <v>De Techo</v>
      </c>
      <c r="AX625" s="97" t="str">
        <f>IFERROR(__xludf.DUMMYFUNCTION("""COMPUTED_VALUE"""),"Interior")</f>
        <v>Interior</v>
      </c>
      <c r="AY625" s="97"/>
      <c r="AZ625" s="97"/>
      <c r="BA625" s="97"/>
      <c r="BB625" s="97"/>
      <c r="BC625" s="97"/>
      <c r="BD625" s="97" t="str">
        <f>IFERROR(__xludf.DUMMYFUNCTION("""COMPUTED_VALUE"""),"KENDU WIDE")</f>
        <v>KENDU WIDE</v>
      </c>
      <c r="BE625" s="97" t="str">
        <f>IFERROR(__xludf.DUMMYFUNCTION("""COMPUTED_VALUE"""),"Sin Ficha")</f>
        <v>Sin Ficha</v>
      </c>
      <c r="BF625" s="97"/>
      <c r="BG625" s="97" t="str">
        <f>IFERROR(__xludf.DUMMYFUNCTION("""COMPUTED_VALUE"""),"Discontinuo")</f>
        <v>Discontinuo</v>
      </c>
    </row>
    <row r="626">
      <c r="A626" s="97">
        <f>IFERROR(__xludf.DUMMYFUNCTION("""COMPUTED_VALUE"""),6367.0)</f>
        <v>6367</v>
      </c>
      <c r="B626" s="97" t="str">
        <f>IFERROR(__xludf.DUMMYFUNCTION("""COMPUTED_VALUE"""),"KENDU RUND")</f>
        <v>KENDU RUND</v>
      </c>
      <c r="C626" s="97" t="str">
        <f>IFERROR(__xludf.DUMMYFUNCTION("""COMPUTED_VALUE"""),"COLGANTE KENDU RUND LEUK")</f>
        <v>COLGANTE KENDU RUND LEUK</v>
      </c>
      <c r="D626" s="97">
        <f>IFERROR(__xludf.DUMMYFUNCTION("""COMPUTED_VALUE"""),7.798328757838E12)</f>
        <v>7798328757838</v>
      </c>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t="str">
        <f>IFERROR(__xludf.DUMMYFUNCTION("""COMPUTED_VALUE"""),"IP20")</f>
        <v>IP20</v>
      </c>
      <c r="AE626" s="97"/>
      <c r="AF626" s="97" t="str">
        <f>IFERROR(__xludf.DUMMYFUNCTION("""COMPUTED_VALUE"""),"Suspender")</f>
        <v>Suspender</v>
      </c>
      <c r="AG626" s="97"/>
      <c r="AH626" s="97"/>
      <c r="AI626" s="97"/>
      <c r="AJ626" s="97"/>
      <c r="AK626" s="97"/>
      <c r="AL626" s="97"/>
      <c r="AM626" s="97"/>
      <c r="AN626" s="97"/>
      <c r="AO626" s="97" t="str">
        <f>IFERROR(__xludf.DUMMYFUNCTION("""COMPUTED_VALUE"""),"1 Año")</f>
        <v>1 Año</v>
      </c>
      <c r="AP626" s="97"/>
      <c r="AQ626" s="97"/>
      <c r="AR626" s="97"/>
      <c r="AS626" s="97"/>
      <c r="AT626" s="97"/>
      <c r="AU626" s="97"/>
      <c r="AV626" s="97" t="str">
        <f>IFERROR(__xludf.DUMMYFUNCTION("""COMPUTED_VALUE"""),"Colgante")</f>
        <v>Colgante</v>
      </c>
      <c r="AW626" s="97" t="str">
        <f>IFERROR(__xludf.DUMMYFUNCTION("""COMPUTED_VALUE"""),"De Techo")</f>
        <v>De Techo</v>
      </c>
      <c r="AX626" s="97" t="str">
        <f>IFERROR(__xludf.DUMMYFUNCTION("""COMPUTED_VALUE"""),"Interior")</f>
        <v>Interior</v>
      </c>
      <c r="AY626" s="97"/>
      <c r="AZ626" s="97"/>
      <c r="BA626" s="97"/>
      <c r="BB626" s="97"/>
      <c r="BC626" s="97"/>
      <c r="BD626" s="97" t="str">
        <f>IFERROR(__xludf.DUMMYFUNCTION("""COMPUTED_VALUE"""),"KENDU RUND")</f>
        <v>KENDU RUND</v>
      </c>
      <c r="BE626" s="97" t="str">
        <f>IFERROR(__xludf.DUMMYFUNCTION("""COMPUTED_VALUE"""),"Sin Ficha")</f>
        <v>Sin Ficha</v>
      </c>
      <c r="BF626" s="97"/>
      <c r="BG626" s="97" t="str">
        <f>IFERROR(__xludf.DUMMYFUNCTION("""COMPUTED_VALUE"""),"Discontinuo")</f>
        <v>Discontinuo</v>
      </c>
    </row>
    <row r="627">
      <c r="A627" s="97">
        <f>IFERROR(__xludf.DUMMYFUNCTION("""COMPUTED_VALUE"""),6383.0)</f>
        <v>6383</v>
      </c>
      <c r="B627" s="97" t="str">
        <f>IFERROR(__xludf.DUMMYFUNCTION("""COMPUTED_VALUE"""),"ORTHOG II BL")</f>
        <v>ORTHOG II BL</v>
      </c>
      <c r="C627" s="97" t="str">
        <f>IFERROR(__xludf.DUMMYFUNCTION("""COMPUTED_VALUE"""),"APLIQUE ORTHOG II BL 12W 3000K 590LM CRI&gt;90 IP65 LEUK")</f>
        <v>APLIQUE ORTHOG II BL 12W 3000K 590LM CRI&gt;90 IP65 LEUK</v>
      </c>
      <c r="D627" s="97">
        <f>IFERROR(__xludf.DUMMYFUNCTION("""COMPUTED_VALUE"""),7.798328754615E12)</f>
        <v>7798328754615</v>
      </c>
      <c r="E627" s="97"/>
      <c r="F627" s="97" t="str">
        <f>IFERROR(__xludf.DUMMYFUNCTION("""COMPUTED_VALUE"""),"LED integrado")</f>
        <v>LED integrado</v>
      </c>
      <c r="G627" s="97" t="str">
        <f>IFERROR(__xludf.DUMMYFUNCTION("""COMPUTED_VALUE"""),"-")</f>
        <v>-</v>
      </c>
      <c r="H627" s="97" t="str">
        <f>IFERROR(__xludf.DUMMYFUNCTION("""COMPUTED_VALUE"""),"-")</f>
        <v>-</v>
      </c>
      <c r="I627" s="97"/>
      <c r="J627" s="97" t="str">
        <f>IFERROR(__xludf.DUMMYFUNCTION("""COMPUTED_VALUE"""),"Modelo: 8-12W
In: 85-265Vac 50/60Hz
Out: 24-36Vdc 270mA
Tc 75°C Ta 50°C")</f>
        <v>Modelo: 8-12W
In: 85-265Vac 50/60Hz
Out: 24-36Vdc 270mA
Tc 75°C Ta 50°C</v>
      </c>
      <c r="K627" s="97" t="str">
        <f>IFERROR(__xludf.DUMMYFUNCTION("""COMPUTED_VALUE"""),"ON/OFF")</f>
        <v>ON/OFF</v>
      </c>
      <c r="L627" s="97" t="str">
        <f>IFERROR(__xludf.DUMMYFUNCTION("""COMPUTED_VALUE"""),"220-240")</f>
        <v>220-240</v>
      </c>
      <c r="M627" s="97" t="str">
        <f>IFERROR(__xludf.DUMMYFUNCTION("""COMPUTED_VALUE"""),"50/60")</f>
        <v>50/60</v>
      </c>
      <c r="N627" s="97"/>
      <c r="O627" s="97">
        <f>IFERROR(__xludf.DUMMYFUNCTION("""COMPUTED_VALUE"""),12.0)</f>
        <v>12</v>
      </c>
      <c r="P627" s="97"/>
      <c r="Q627" s="97">
        <f>IFERROR(__xludf.DUMMYFUNCTION("""COMPUTED_VALUE"""),0.48)</f>
        <v>0.48</v>
      </c>
      <c r="R627" s="97" t="str">
        <f>IFERROR(__xludf.DUMMYFUNCTION("""COMPUTED_VALUE"""),"-")</f>
        <v>-</v>
      </c>
      <c r="S627" s="97" t="str">
        <f>IFERROR(__xludf.DUMMYFUNCTION("""COMPUTED_VALUE"""),"-")</f>
        <v>-</v>
      </c>
      <c r="T627" s="97">
        <f>IFERROR(__xludf.DUMMYFUNCTION("""COMPUTED_VALUE"""),590.0)</f>
        <v>590</v>
      </c>
      <c r="U627" s="99">
        <f>IFERROR(__xludf.DUMMYFUNCTION("""COMPUTED_VALUE"""),49.166666666666664)</f>
        <v>49.16666667</v>
      </c>
      <c r="V627" s="97">
        <f>IFERROR(__xludf.DUMMYFUNCTION("""COMPUTED_VALUE"""),230.0)</f>
        <v>230</v>
      </c>
      <c r="W627" s="97" t="str">
        <f>IFERROR(__xludf.DUMMYFUNCTION("""COMPUTED_VALUE"""),"&lt; 20")</f>
        <v>&lt; 20</v>
      </c>
      <c r="X627" s="97">
        <f>IFERROR(__xludf.DUMMYFUNCTION("""COMPUTED_VALUE"""),3000.0)</f>
        <v>3000</v>
      </c>
      <c r="Y627" s="97" t="str">
        <f>IFERROR(__xludf.DUMMYFUNCTION("""COMPUTED_VALUE"""),"&gt;90")</f>
        <v>&gt;90</v>
      </c>
      <c r="Z627" s="97"/>
      <c r="AA627" s="97"/>
      <c r="AB627" s="97" t="str">
        <f>IFERROR(__xludf.DUMMYFUNCTION("""COMPUTED_VALUE"""),"&lt; 3")</f>
        <v>&lt; 3</v>
      </c>
      <c r="AC627" s="97"/>
      <c r="AD627" s="97" t="str">
        <f>IFERROR(__xludf.DUMMYFUNCTION("""COMPUTED_VALUE"""),"IP65")</f>
        <v>IP65</v>
      </c>
      <c r="AE627" s="97" t="str">
        <f>IFERROR(__xludf.DUMMYFUNCTION("""COMPUTED_VALUE"""),"Clase l")</f>
        <v>Clase l</v>
      </c>
      <c r="AF627" s="97" t="str">
        <f>IFERROR(__xludf.DUMMYFUNCTION("""COMPUTED_VALUE"""),"Aplicar")</f>
        <v>Aplicar</v>
      </c>
      <c r="AG627" s="97" t="str">
        <f>IFERROR(__xludf.DUMMYFUNCTION("""COMPUTED_VALUE"""),"175 x 40 x 105")</f>
        <v>175 x 40 x 105</v>
      </c>
      <c r="AH627" s="97" t="str">
        <f>IFERROR(__xludf.DUMMYFUNCTION("""COMPUTED_VALUE"""),"N/A")</f>
        <v>N/A</v>
      </c>
      <c r="AI627" s="97" t="str">
        <f>IFERROR(__xludf.DUMMYFUNCTION("""COMPUTED_VALUE"""),"N/A")</f>
        <v>N/A</v>
      </c>
      <c r="AJ627" s="97" t="str">
        <f>IFERROR(__xludf.DUMMYFUNCTION("""COMPUTED_VALUE"""),"PMMA")</f>
        <v>PMMA</v>
      </c>
      <c r="AK627" s="97" t="str">
        <f>IFERROR(__xludf.DUMMYFUNCTION("""COMPUTED_VALUE"""),"Aluminio")</f>
        <v>Aluminio</v>
      </c>
      <c r="AL627" s="97" t="str">
        <f>IFERROR(__xludf.DUMMYFUNCTION("""COMPUTED_VALUE"""),"Blanco Satinado")</f>
        <v>Blanco Satinado</v>
      </c>
      <c r="AM627" s="97" t="str">
        <f>IFERROR(__xludf.DUMMYFUNCTION("""COMPUTED_VALUE"""),"-")</f>
        <v>-</v>
      </c>
      <c r="AN627" s="97" t="str">
        <f>IFERROR(__xludf.DUMMYFUNCTION("""COMPUTED_VALUE"""),"25.000hs (L70)")</f>
        <v>25.000hs (L70)</v>
      </c>
      <c r="AO627" s="97" t="str">
        <f>IFERROR(__xludf.DUMMYFUNCTION("""COMPUTED_VALUE"""),"2 Años")</f>
        <v>2 Años</v>
      </c>
      <c r="AP627" s="97" t="str">
        <f>IFERROR(__xludf.DUMMYFUNCTION("""COMPUTED_VALUE"""),"Disponible")</f>
        <v>Disponible</v>
      </c>
      <c r="AQ627" s="97" t="str">
        <f>IFERROR(__xludf.DUMMYFUNCTION("""COMPUTED_VALUE"""),"Disponible")</f>
        <v>Disponible</v>
      </c>
      <c r="AR627" s="97" t="str">
        <f>IFERROR(__xludf.DUMMYFUNCTION("""COMPUTED_VALUE"""),"Disponible")</f>
        <v>Disponible</v>
      </c>
      <c r="AS627" s="97"/>
      <c r="AT627" s="97"/>
      <c r="AU627" s="97" t="str">
        <f>IFERROR(__xludf.DUMMYFUNCTION("""COMPUTED_VALUE"""),"Falta")</f>
        <v>Falta</v>
      </c>
      <c r="AV627" s="97" t="str">
        <f>IFERROR(__xludf.DUMMYFUNCTION("""COMPUTED_VALUE"""),"Aplique")</f>
        <v>Aplique</v>
      </c>
      <c r="AW627" s="97" t="str">
        <f>IFERROR(__xludf.DUMMYFUNCTION("""COMPUTED_VALUE"""),"De Pared")</f>
        <v>De Pared</v>
      </c>
      <c r="AX627" s="97" t="str">
        <f>IFERROR(__xludf.DUMMYFUNCTION("""COMPUTED_VALUE"""),"Exterior")</f>
        <v>Exterior</v>
      </c>
      <c r="AY627" s="97" t="str">
        <f>IFERROR(__xludf.DUMMYFUNCTION("""COMPUTED_VALUE"""),"-")</f>
        <v>-</v>
      </c>
      <c r="AZ627" s="97"/>
      <c r="BA627" s="97">
        <f>IFERROR(__xludf.DUMMYFUNCTION("""COMPUTED_VALUE"""),50.0)</f>
        <v>50</v>
      </c>
      <c r="BB627" s="97" t="str">
        <f>IFERROR(__xludf.DUMMYFUNCTION("""COMPUTED_VALUE"""),"-")</f>
        <v>-</v>
      </c>
      <c r="BC627" s="97" t="str">
        <f>IFERROR(__xludf.DUMMYFUNCTION("""COMPUTED_VALUE"""),"-")</f>
        <v>-</v>
      </c>
      <c r="BD627" s="97" t="str">
        <f>IFERROR(__xludf.DUMMYFUNCTION("""COMPUTED_VALUE"""),"ORTHOG")</f>
        <v>ORTHOG</v>
      </c>
      <c r="BE627" s="97" t="str">
        <f>IFERROR(__xludf.DUMMYFUNCTION("""COMPUTED_VALUE"""),"Actualizar")</f>
        <v>Actualizar</v>
      </c>
      <c r="BF627" s="97"/>
      <c r="BG627" s="97" t="str">
        <f>IFERROR(__xludf.DUMMYFUNCTION("""COMPUTED_VALUE"""),"Activo")</f>
        <v>Activo</v>
      </c>
    </row>
    <row r="628">
      <c r="A628" s="97">
        <f>IFERROR(__xludf.DUMMYFUNCTION("""COMPUTED_VALUE"""),6384.0)</f>
        <v>6384</v>
      </c>
      <c r="B628" s="97" t="str">
        <f>IFERROR(__xludf.DUMMYFUNCTION("""COMPUTED_VALUE"""),"WARI")</f>
        <v>WARI</v>
      </c>
      <c r="C628" s="97" t="str">
        <f>IFERROR(__xludf.DUMMYFUNCTION("""COMPUTED_VALUE"""),"LUMINARIA EXTERIOR WARI LEUK")</f>
        <v>LUMINARIA EXTERIOR WARI LEUK</v>
      </c>
      <c r="D628" s="97">
        <f>IFERROR(__xludf.DUMMYFUNCTION("""COMPUTED_VALUE"""),7.798328758224E12)</f>
        <v>7798328758224</v>
      </c>
      <c r="E628" s="97"/>
      <c r="F628" s="97" t="str">
        <f>IFERROR(__xludf.DUMMYFUNCTION("""COMPUTED_VALUE"""),"LED integrado")</f>
        <v>LED integrado</v>
      </c>
      <c r="G628" s="97" t="str">
        <f>IFERROR(__xludf.DUMMYFUNCTION("""COMPUTED_VALUE"""),"-")</f>
        <v>-</v>
      </c>
      <c r="H628" s="97" t="str">
        <f>IFERROR(__xludf.DUMMYFUNCTION("""COMPUTED_VALUE"""),"-")</f>
        <v>-</v>
      </c>
      <c r="I628" s="97"/>
      <c r="J628" s="97"/>
      <c r="K628" s="97" t="str">
        <f>IFERROR(__xludf.DUMMYFUNCTION("""COMPUTED_VALUE"""),"ON/OFF")</f>
        <v>ON/OFF</v>
      </c>
      <c r="L628" s="97" t="str">
        <f>IFERROR(__xludf.DUMMYFUNCTION("""COMPUTED_VALUE"""),"220-240")</f>
        <v>220-240</v>
      </c>
      <c r="M628" s="97" t="str">
        <f>IFERROR(__xludf.DUMMYFUNCTION("""COMPUTED_VALUE"""),"50/60")</f>
        <v>50/60</v>
      </c>
      <c r="N628" s="97"/>
      <c r="O628" s="97">
        <f>IFERROR(__xludf.DUMMYFUNCTION("""COMPUTED_VALUE"""),3.0)</f>
        <v>3</v>
      </c>
      <c r="P628" s="97"/>
      <c r="Q628" s="97">
        <f>IFERROR(__xludf.DUMMYFUNCTION("""COMPUTED_VALUE"""),0.47)</f>
        <v>0.47</v>
      </c>
      <c r="R628" s="97" t="str">
        <f>IFERROR(__xludf.DUMMYFUNCTION("""COMPUTED_VALUE"""),"-")</f>
        <v>-</v>
      </c>
      <c r="S628" s="97" t="str">
        <f>IFERROR(__xludf.DUMMYFUNCTION("""COMPUTED_VALUE"""),"-")</f>
        <v>-</v>
      </c>
      <c r="T628" s="97">
        <f>IFERROR(__xludf.DUMMYFUNCTION("""COMPUTED_VALUE"""),120.0)</f>
        <v>120</v>
      </c>
      <c r="U628" s="99">
        <f>IFERROR(__xludf.DUMMYFUNCTION("""COMPUTED_VALUE"""),40.0)</f>
        <v>40</v>
      </c>
      <c r="V628" s="97">
        <f>IFERROR(__xludf.DUMMYFUNCTION("""COMPUTED_VALUE"""),342.0)</f>
        <v>342</v>
      </c>
      <c r="W628" s="97" t="str">
        <f>IFERROR(__xludf.DUMMYFUNCTION("""COMPUTED_VALUE"""),"&lt; 20")</f>
        <v>&lt; 20</v>
      </c>
      <c r="X628" s="97">
        <f>IFERROR(__xludf.DUMMYFUNCTION("""COMPUTED_VALUE"""),3000.0)</f>
        <v>3000</v>
      </c>
      <c r="Y628" s="97" t="str">
        <f>IFERROR(__xludf.DUMMYFUNCTION("""COMPUTED_VALUE"""),"&gt;80")</f>
        <v>&gt;80</v>
      </c>
      <c r="Z628" s="97" t="str">
        <f>IFERROR(__xludf.DUMMYFUNCTION("""COMPUTED_VALUE"""),"-")</f>
        <v>-</v>
      </c>
      <c r="AA628" s="97" t="str">
        <f>IFERROR(__xludf.DUMMYFUNCTION("""COMPUTED_VALUE"""),"-")</f>
        <v>-</v>
      </c>
      <c r="AB628" s="97" t="str">
        <f>IFERROR(__xludf.DUMMYFUNCTION("""COMPUTED_VALUE"""),"-")</f>
        <v>-</v>
      </c>
      <c r="AC628" s="97"/>
      <c r="AD628" s="97" t="str">
        <f>IFERROR(__xludf.DUMMYFUNCTION("""COMPUTED_VALUE"""),"IP65")</f>
        <v>IP65</v>
      </c>
      <c r="AE628" s="97" t="str">
        <f>IFERROR(__xludf.DUMMYFUNCTION("""COMPUTED_VALUE"""),"Clase l")</f>
        <v>Clase l</v>
      </c>
      <c r="AF628" s="97" t="str">
        <f>IFERROR(__xludf.DUMMYFUNCTION("""COMPUTED_VALUE"""),"Aplicar")</f>
        <v>Aplicar</v>
      </c>
      <c r="AG628" s="97" t="str">
        <f>IFERROR(__xludf.DUMMYFUNCTION("""COMPUTED_VALUE"""),"80 x 35 x 75")</f>
        <v>80 x 35 x 75</v>
      </c>
      <c r="AH628" s="97" t="str">
        <f>IFERROR(__xludf.DUMMYFUNCTION("""COMPUTED_VALUE"""),"N/A")</f>
        <v>N/A</v>
      </c>
      <c r="AI628" s="97" t="str">
        <f>IFERROR(__xludf.DUMMYFUNCTION("""COMPUTED_VALUE"""),"N/A")</f>
        <v>N/A</v>
      </c>
      <c r="AJ628" s="97" t="str">
        <f>IFERROR(__xludf.DUMMYFUNCTION("""COMPUTED_VALUE"""),"N/A")</f>
        <v>N/A</v>
      </c>
      <c r="AK628" s="97" t="str">
        <f>IFERROR(__xludf.DUMMYFUNCTION("""COMPUTED_VALUE"""),"Aluminio")</f>
        <v>Aluminio</v>
      </c>
      <c r="AL628" s="97" t="str">
        <f>IFERROR(__xludf.DUMMYFUNCTION("""COMPUTED_VALUE"""),"Negro Satinado")</f>
        <v>Negro Satinado</v>
      </c>
      <c r="AM628" s="97" t="str">
        <f>IFERROR(__xludf.DUMMYFUNCTION("""COMPUTED_VALUE"""),"-")</f>
        <v>-</v>
      </c>
      <c r="AN628" s="97" t="str">
        <f>IFERROR(__xludf.DUMMYFUNCTION("""COMPUTED_VALUE"""),"-")</f>
        <v>-</v>
      </c>
      <c r="AO628" s="97" t="str">
        <f>IFERROR(__xludf.DUMMYFUNCTION("""COMPUTED_VALUE"""),"1 Año")</f>
        <v>1 Año</v>
      </c>
      <c r="AP628" s="97" t="str">
        <f>IFERROR(__xludf.DUMMYFUNCTION("""COMPUTED_VALUE"""),"Disponible")</f>
        <v>Disponible</v>
      </c>
      <c r="AQ628" s="97" t="str">
        <f>IFERROR(__xludf.DUMMYFUNCTION("""COMPUTED_VALUE"""),"Disponible")</f>
        <v>Disponible</v>
      </c>
      <c r="AR628" s="97" t="str">
        <f>IFERROR(__xludf.DUMMYFUNCTION("""COMPUTED_VALUE"""),"Disponible")</f>
        <v>Disponible</v>
      </c>
      <c r="AS628" s="97"/>
      <c r="AT628" s="97"/>
      <c r="AU628" s="97"/>
      <c r="AV628" s="97" t="str">
        <f>IFERROR(__xludf.DUMMYFUNCTION("""COMPUTED_VALUE"""),"Aplique")</f>
        <v>Aplique</v>
      </c>
      <c r="AW628" s="97" t="str">
        <f>IFERROR(__xludf.DUMMYFUNCTION("""COMPUTED_VALUE"""),"De Pared")</f>
        <v>De Pared</v>
      </c>
      <c r="AX628" s="97" t="str">
        <f>IFERROR(__xludf.DUMMYFUNCTION("""COMPUTED_VALUE"""),"Exterior")</f>
        <v>Exterior</v>
      </c>
      <c r="AY628" s="97"/>
      <c r="AZ628" s="97"/>
      <c r="BA628" s="97"/>
      <c r="BB628" s="97"/>
      <c r="BC628" s="97"/>
      <c r="BD628" s="97" t="str">
        <f>IFERROR(__xludf.DUMMYFUNCTION("""COMPUTED_VALUE"""),"WARI")</f>
        <v>WARI</v>
      </c>
      <c r="BE628" s="97" t="str">
        <f>IFERROR(__xludf.DUMMYFUNCTION("""COMPUTED_VALUE"""),"Finalizada")</f>
        <v>Finalizada</v>
      </c>
      <c r="BF628" s="97"/>
      <c r="BG628" s="97" t="str">
        <f>IFERROR(__xludf.DUMMYFUNCTION("""COMPUTED_VALUE"""),"Discontinuo")</f>
        <v>Discontinuo</v>
      </c>
    </row>
    <row r="629">
      <c r="A629" s="97">
        <f>IFERROR(__xludf.DUMMYFUNCTION("""COMPUTED_VALUE"""),6385.0)</f>
        <v>6385</v>
      </c>
      <c r="B629" s="97" t="str">
        <f>IFERROR(__xludf.DUMMYFUNCTION("""COMPUTED_VALUE"""),"OFELIU")</f>
        <v>OFELIU</v>
      </c>
      <c r="C629" s="97" t="str">
        <f>IFERROR(__xludf.DUMMYFUNCTION("""COMPUTED_VALUE"""),"COLGANTE OFELIU NEGRO LEUK")</f>
        <v>COLGANTE OFELIU NEGRO LEUK</v>
      </c>
      <c r="D629" s="97">
        <f>IFERROR(__xludf.DUMMYFUNCTION("""COMPUTED_VALUE"""),7.798328754639E12)</f>
        <v>7798328754639</v>
      </c>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t="str">
        <f>IFERROR(__xludf.DUMMYFUNCTION("""COMPUTED_VALUE"""),"IP20")</f>
        <v>IP20</v>
      </c>
      <c r="AE629" s="97"/>
      <c r="AF629" s="97" t="str">
        <f>IFERROR(__xludf.DUMMYFUNCTION("""COMPUTED_VALUE"""),"Suspender")</f>
        <v>Suspender</v>
      </c>
      <c r="AG629" s="97"/>
      <c r="AH629" s="97"/>
      <c r="AI629" s="97"/>
      <c r="AJ629" s="97"/>
      <c r="AK629" s="97"/>
      <c r="AL629" s="97"/>
      <c r="AM629" s="97"/>
      <c r="AN629" s="97"/>
      <c r="AO629" s="97" t="str">
        <f>IFERROR(__xludf.DUMMYFUNCTION("""COMPUTED_VALUE"""),"1 Año")</f>
        <v>1 Año</v>
      </c>
      <c r="AP629" s="97"/>
      <c r="AQ629" s="97"/>
      <c r="AR629" s="97"/>
      <c r="AS629" s="97"/>
      <c r="AT629" s="97"/>
      <c r="AU629" s="97"/>
      <c r="AV629" s="97" t="str">
        <f>IFERROR(__xludf.DUMMYFUNCTION("""COMPUTED_VALUE"""),"Colgante")</f>
        <v>Colgante</v>
      </c>
      <c r="AW629" s="97" t="str">
        <f>IFERROR(__xludf.DUMMYFUNCTION("""COMPUTED_VALUE"""),"De Techo")</f>
        <v>De Techo</v>
      </c>
      <c r="AX629" s="97" t="str">
        <f>IFERROR(__xludf.DUMMYFUNCTION("""COMPUTED_VALUE"""),"Interior")</f>
        <v>Interior</v>
      </c>
      <c r="AY629" s="97"/>
      <c r="AZ629" s="97"/>
      <c r="BA629" s="97"/>
      <c r="BB629" s="97"/>
      <c r="BC629" s="97"/>
      <c r="BD629" s="97" t="str">
        <f>IFERROR(__xludf.DUMMYFUNCTION("""COMPUTED_VALUE"""),"OFELIU")</f>
        <v>OFELIU</v>
      </c>
      <c r="BE629" s="97" t="str">
        <f>IFERROR(__xludf.DUMMYFUNCTION("""COMPUTED_VALUE"""),"Sin Ficha")</f>
        <v>Sin Ficha</v>
      </c>
      <c r="BF629" s="97"/>
      <c r="BG629" s="97" t="str">
        <f>IFERROR(__xludf.DUMMYFUNCTION("""COMPUTED_VALUE"""),"Discontinuo")</f>
        <v>Discontinuo</v>
      </c>
    </row>
    <row r="630">
      <c r="A630" s="97">
        <f>IFERROR(__xludf.DUMMYFUNCTION("""COMPUTED_VALUE"""),6387.0)</f>
        <v>6387</v>
      </c>
      <c r="B630" s="97" t="str">
        <f>IFERROR(__xludf.DUMMYFUNCTION("""COMPUTED_VALUE"""),"INDO")</f>
        <v>INDO</v>
      </c>
      <c r="C630" s="97" t="str">
        <f>IFERROR(__xludf.DUMMYFUNCTION("""COMPUTED_VALUE"""),"LAMPARA DE PIE INDO LEUK")</f>
        <v>LAMPARA DE PIE INDO LEUK</v>
      </c>
      <c r="D630" s="97">
        <f>IFERROR(__xludf.DUMMYFUNCTION("""COMPUTED_VALUE"""),7.798328754714E12)</f>
        <v>7798328754714</v>
      </c>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t="str">
        <f>IFERROR(__xludf.DUMMYFUNCTION("""COMPUTED_VALUE"""),"IP20")</f>
        <v>IP20</v>
      </c>
      <c r="AE630" s="97"/>
      <c r="AF630" s="97" t="str">
        <f>IFERROR(__xludf.DUMMYFUNCTION("""COMPUTED_VALUE"""),"Autoportante")</f>
        <v>Autoportante</v>
      </c>
      <c r="AG630" s="97"/>
      <c r="AH630" s="97"/>
      <c r="AI630" s="97"/>
      <c r="AJ630" s="97"/>
      <c r="AK630" s="97"/>
      <c r="AL630" s="97"/>
      <c r="AM630" s="97"/>
      <c r="AN630" s="97"/>
      <c r="AO630" s="97" t="str">
        <f>IFERROR(__xludf.DUMMYFUNCTION("""COMPUTED_VALUE"""),"1 Año")</f>
        <v>1 Año</v>
      </c>
      <c r="AP630" s="97"/>
      <c r="AQ630" s="97"/>
      <c r="AR630" s="97"/>
      <c r="AS630" s="97"/>
      <c r="AT630" s="97"/>
      <c r="AU630" s="97"/>
      <c r="AV630" s="97" t="str">
        <f>IFERROR(__xludf.DUMMYFUNCTION("""COMPUTED_VALUE"""),"Pie")</f>
        <v>Pie</v>
      </c>
      <c r="AW630" s="97" t="str">
        <f>IFERROR(__xludf.DUMMYFUNCTION("""COMPUTED_VALUE"""),"De Apoyo")</f>
        <v>De Apoyo</v>
      </c>
      <c r="AX630" s="97" t="str">
        <f>IFERROR(__xludf.DUMMYFUNCTION("""COMPUTED_VALUE"""),"Interior")</f>
        <v>Interior</v>
      </c>
      <c r="AY630" s="97"/>
      <c r="AZ630" s="97"/>
      <c r="BA630" s="97"/>
      <c r="BB630" s="97"/>
      <c r="BC630" s="97"/>
      <c r="BD630" s="97" t="str">
        <f>IFERROR(__xludf.DUMMYFUNCTION("""COMPUTED_VALUE"""),"INDO")</f>
        <v>INDO</v>
      </c>
      <c r="BE630" s="97" t="str">
        <f>IFERROR(__xludf.DUMMYFUNCTION("""COMPUTED_VALUE"""),"Sin Ficha")</f>
        <v>Sin Ficha</v>
      </c>
      <c r="BF630" s="97"/>
      <c r="BG630" s="97" t="str">
        <f>IFERROR(__xludf.DUMMYFUNCTION("""COMPUTED_VALUE"""),"Discontinuo")</f>
        <v>Discontinuo</v>
      </c>
    </row>
    <row r="631">
      <c r="A631" s="97">
        <f>IFERROR(__xludf.DUMMYFUNCTION("""COMPUTED_VALUE"""),6388.0)</f>
        <v>6388</v>
      </c>
      <c r="B631" s="97" t="str">
        <f>IFERROR(__xludf.DUMMYFUNCTION("""COMPUTED_VALUE"""),"POULY ")</f>
        <v>POULY </v>
      </c>
      <c r="C631" s="97" t="str">
        <f>IFERROR(__xludf.DUMMYFUNCTION("""COMPUTED_VALUE"""),"VELADOR POULY NEGRO LEUK ")</f>
        <v>VELADOR POULY NEGRO LEUK </v>
      </c>
      <c r="D631" s="97">
        <f>IFERROR(__xludf.DUMMYFUNCTION("""COMPUTED_VALUE"""),7.798328754752E12)</f>
        <v>7798328754752</v>
      </c>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t="str">
        <f>IFERROR(__xludf.DUMMYFUNCTION("""COMPUTED_VALUE"""),"IP20")</f>
        <v>IP20</v>
      </c>
      <c r="AE631" s="97"/>
      <c r="AF631" s="97" t="str">
        <f>IFERROR(__xludf.DUMMYFUNCTION("""COMPUTED_VALUE"""),"Autoportante")</f>
        <v>Autoportante</v>
      </c>
      <c r="AG631" s="97"/>
      <c r="AH631" s="97"/>
      <c r="AI631" s="97"/>
      <c r="AJ631" s="97"/>
      <c r="AK631" s="97"/>
      <c r="AL631" s="97"/>
      <c r="AM631" s="97"/>
      <c r="AN631" s="97"/>
      <c r="AO631" s="97" t="str">
        <f>IFERROR(__xludf.DUMMYFUNCTION("""COMPUTED_VALUE"""),"1 Año")</f>
        <v>1 Año</v>
      </c>
      <c r="AP631" s="97"/>
      <c r="AQ631" s="97"/>
      <c r="AR631" s="97"/>
      <c r="AS631" s="97"/>
      <c r="AT631" s="97"/>
      <c r="AU631" s="97"/>
      <c r="AV631" s="97" t="str">
        <f>IFERROR(__xludf.DUMMYFUNCTION("""COMPUTED_VALUE"""),"Mesa")</f>
        <v>Mesa</v>
      </c>
      <c r="AW631" s="97" t="str">
        <f>IFERROR(__xludf.DUMMYFUNCTION("""COMPUTED_VALUE"""),"De Apoyo")</f>
        <v>De Apoyo</v>
      </c>
      <c r="AX631" s="97" t="str">
        <f>IFERROR(__xludf.DUMMYFUNCTION("""COMPUTED_VALUE"""),"Interior")</f>
        <v>Interior</v>
      </c>
      <c r="AY631" s="97"/>
      <c r="AZ631" s="97"/>
      <c r="BA631" s="97">
        <f>IFERROR(__xludf.DUMMYFUNCTION("""COMPUTED_VALUE"""),1.0)</f>
        <v>1</v>
      </c>
      <c r="BB631" s="97"/>
      <c r="BC631" s="97"/>
      <c r="BD631" s="97" t="str">
        <f>IFERROR(__xludf.DUMMYFUNCTION("""COMPUTED_VALUE"""),"POULY ")</f>
        <v>POULY </v>
      </c>
      <c r="BE631" s="97" t="str">
        <f>IFERROR(__xludf.DUMMYFUNCTION("""COMPUTED_VALUE"""),"Sin Ficha")</f>
        <v>Sin Ficha</v>
      </c>
      <c r="BF631" s="97"/>
      <c r="BG631" s="97" t="str">
        <f>IFERROR(__xludf.DUMMYFUNCTION("""COMPUTED_VALUE"""),"Discontinuo")</f>
        <v>Discontinuo</v>
      </c>
    </row>
    <row r="632">
      <c r="A632" s="97">
        <f>IFERROR(__xludf.DUMMYFUNCTION("""COMPUTED_VALUE"""),6389.0)</f>
        <v>6389</v>
      </c>
      <c r="B632" s="97" t="str">
        <f>IFERROR(__xludf.DUMMYFUNCTION("""COMPUTED_VALUE"""),"DOCHEIO")</f>
        <v>DOCHEIO</v>
      </c>
      <c r="C632" s="97" t="str">
        <f>IFERROR(__xludf.DUMMYFUNCTION("""COMPUTED_VALUE"""),"PLAFON DOCHEIO LEUK")</f>
        <v>PLAFON DOCHEIO LEUK</v>
      </c>
      <c r="D632" s="97">
        <f>IFERROR(__xludf.DUMMYFUNCTION("""COMPUTED_VALUE"""),7.798328754585E12)</f>
        <v>7798328754585</v>
      </c>
      <c r="E632" s="97"/>
      <c r="F632" s="97" t="str">
        <f>IFERROR(__xludf.DUMMYFUNCTION("""COMPUTED_VALUE"""),"LED integrado")</f>
        <v>LED integrado</v>
      </c>
      <c r="G632" s="97" t="str">
        <f>IFERROR(__xludf.DUMMYFUNCTION("""COMPUTED_VALUE"""),"-")</f>
        <v>-</v>
      </c>
      <c r="H632" s="97" t="str">
        <f>IFERROR(__xludf.DUMMYFUNCTION("""COMPUTED_VALUE"""),"-")</f>
        <v>-</v>
      </c>
      <c r="I632" s="97"/>
      <c r="J632" s="97"/>
      <c r="K632" s="97" t="str">
        <f>IFERROR(__xludf.DUMMYFUNCTION("""COMPUTED_VALUE"""),"ON/OFF")</f>
        <v>ON/OFF</v>
      </c>
      <c r="L632" s="97" t="str">
        <f>IFERROR(__xludf.DUMMYFUNCTION("""COMPUTED_VALUE"""),"200-240")</f>
        <v>200-240</v>
      </c>
      <c r="M632" s="97" t="str">
        <f>IFERROR(__xludf.DUMMYFUNCTION("""COMPUTED_VALUE"""),"50/60")</f>
        <v>50/60</v>
      </c>
      <c r="N632" s="97"/>
      <c r="O632" s="97">
        <f>IFERROR(__xludf.DUMMYFUNCTION("""COMPUTED_VALUE"""),45.0)</f>
        <v>45</v>
      </c>
      <c r="P632" s="97"/>
      <c r="Q632" s="97">
        <f>IFERROR(__xludf.DUMMYFUNCTION("""COMPUTED_VALUE"""),0.4)</f>
        <v>0.4</v>
      </c>
      <c r="R632" s="97" t="str">
        <f>IFERROR(__xludf.DUMMYFUNCTION("""COMPUTED_VALUE"""),"-")</f>
        <v>-</v>
      </c>
      <c r="S632" s="97" t="str">
        <f>IFERROR(__xludf.DUMMYFUNCTION("""COMPUTED_VALUE"""),"-")</f>
        <v>-</v>
      </c>
      <c r="T632" s="97">
        <f>IFERROR(__xludf.DUMMYFUNCTION("""COMPUTED_VALUE"""),2585.0)</f>
        <v>2585</v>
      </c>
      <c r="U632" s="99">
        <f>IFERROR(__xludf.DUMMYFUNCTION("""COMPUTED_VALUE"""),57.44444444444444)</f>
        <v>57.44444444</v>
      </c>
      <c r="V632" s="97">
        <f>IFERROR(__xludf.DUMMYFUNCTION("""COMPUTED_VALUE"""),177.0)</f>
        <v>177</v>
      </c>
      <c r="W632" s="97" t="str">
        <f>IFERROR(__xludf.DUMMYFUNCTION("""COMPUTED_VALUE"""),"&lt; 20")</f>
        <v>&lt; 20</v>
      </c>
      <c r="X632" s="97">
        <f>IFERROR(__xludf.DUMMYFUNCTION("""COMPUTED_VALUE"""),3000.0)</f>
        <v>3000</v>
      </c>
      <c r="Y632" s="97" t="str">
        <f>IFERROR(__xludf.DUMMYFUNCTION("""COMPUTED_VALUE"""),"&gt;80")</f>
        <v>&gt;80</v>
      </c>
      <c r="Z632" s="97" t="str">
        <f>IFERROR(__xludf.DUMMYFUNCTION("""COMPUTED_VALUE"""),"-")</f>
        <v>-</v>
      </c>
      <c r="AA632" s="97" t="str">
        <f>IFERROR(__xludf.DUMMYFUNCTION("""COMPUTED_VALUE"""),"-")</f>
        <v>-</v>
      </c>
      <c r="AB632" s="97"/>
      <c r="AC632" s="97"/>
      <c r="AD632" s="97" t="str">
        <f>IFERROR(__xludf.DUMMYFUNCTION("""COMPUTED_VALUE"""),"IP20")</f>
        <v>IP20</v>
      </c>
      <c r="AE632" s="97" t="str">
        <f>IFERROR(__xludf.DUMMYFUNCTION("""COMPUTED_VALUE"""),"Clase l")</f>
        <v>Clase l</v>
      </c>
      <c r="AF632" s="97" t="str">
        <f>IFERROR(__xludf.DUMMYFUNCTION("""COMPUTED_VALUE"""),"Aplicar")</f>
        <v>Aplicar</v>
      </c>
      <c r="AG632" s="97" t="str">
        <f>IFERROR(__xludf.DUMMYFUNCTION("""COMPUTED_VALUE"""),"410 x 410 x 57")</f>
        <v>410 x 410 x 57</v>
      </c>
      <c r="AH632" s="97" t="str">
        <f>IFERROR(__xludf.DUMMYFUNCTION("""COMPUTED_VALUE"""),"N/A")</f>
        <v>N/A</v>
      </c>
      <c r="AI632" s="97" t="str">
        <f>IFERROR(__xludf.DUMMYFUNCTION("""COMPUTED_VALUE"""),"N/A")</f>
        <v>N/A</v>
      </c>
      <c r="AJ632" s="97" t="str">
        <f>IFERROR(__xludf.DUMMYFUNCTION("""COMPUTED_VALUE"""),"PVC")</f>
        <v>PVC</v>
      </c>
      <c r="AK632" s="97" t="str">
        <f>IFERROR(__xludf.DUMMYFUNCTION("""COMPUTED_VALUE"""),"Acero")</f>
        <v>Acero</v>
      </c>
      <c r="AL632" s="97" t="str">
        <f>IFERROR(__xludf.DUMMYFUNCTION("""COMPUTED_VALUE"""),"Blanco Mate")</f>
        <v>Blanco Mate</v>
      </c>
      <c r="AM632" s="97" t="str">
        <f>IFERROR(__xludf.DUMMYFUNCTION("""COMPUTED_VALUE"""),"-")</f>
        <v>-</v>
      </c>
      <c r="AN632" s="97" t="str">
        <f>IFERROR(__xludf.DUMMYFUNCTION("""COMPUTED_VALUE"""),"-")</f>
        <v>-</v>
      </c>
      <c r="AO632" s="97" t="str">
        <f>IFERROR(__xludf.DUMMYFUNCTION("""COMPUTED_VALUE"""),"1 Año")</f>
        <v>1 Año</v>
      </c>
      <c r="AP632" s="97"/>
      <c r="AQ632" s="97"/>
      <c r="AR632" s="97"/>
      <c r="AS632" s="97"/>
      <c r="AT632" s="97"/>
      <c r="AU632" s="97"/>
      <c r="AV632" s="97" t="str">
        <f>IFERROR(__xludf.DUMMYFUNCTION("""COMPUTED_VALUE"""),"Aplique")</f>
        <v>Aplique</v>
      </c>
      <c r="AW632" s="97" t="str">
        <f>IFERROR(__xludf.DUMMYFUNCTION("""COMPUTED_VALUE"""),"De Techo")</f>
        <v>De Techo</v>
      </c>
      <c r="AX632" s="97" t="str">
        <f>IFERROR(__xludf.DUMMYFUNCTION("""COMPUTED_VALUE"""),"Interior")</f>
        <v>Interior</v>
      </c>
      <c r="AY632" s="97"/>
      <c r="AZ632" s="97"/>
      <c r="BA632" s="97">
        <f>IFERROR(__xludf.DUMMYFUNCTION("""COMPUTED_VALUE"""),1.0)</f>
        <v>1</v>
      </c>
      <c r="BB632" s="97"/>
      <c r="BC632" s="97"/>
      <c r="BD632" s="97" t="str">
        <f>IFERROR(__xludf.DUMMYFUNCTION("""COMPUTED_VALUE"""),"DOCHEIO")</f>
        <v>DOCHEIO</v>
      </c>
      <c r="BE632" s="97" t="str">
        <f>IFERROR(__xludf.DUMMYFUNCTION("""COMPUTED_VALUE"""),"Finalizada")</f>
        <v>Finalizada</v>
      </c>
      <c r="BF632" s="97"/>
      <c r="BG632" s="97" t="str">
        <f>IFERROR(__xludf.DUMMYFUNCTION("""COMPUTED_VALUE"""),"Discontinuo")</f>
        <v>Discontinuo</v>
      </c>
    </row>
    <row r="633">
      <c r="A633" s="97">
        <f>IFERROR(__xludf.DUMMYFUNCTION("""COMPUTED_VALUE"""),6390.0)</f>
        <v>6390</v>
      </c>
      <c r="B633" s="97" t="str">
        <f>IFERROR(__xludf.DUMMYFUNCTION("""COMPUTED_VALUE"""),"KATHASY")</f>
        <v>KATHASY</v>
      </c>
      <c r="C633" s="97" t="str">
        <f>IFERROR(__xludf.DUMMYFUNCTION("""COMPUTED_VALUE"""),"PLAFON KATHASY LEUK")</f>
        <v>PLAFON KATHASY LEUK</v>
      </c>
      <c r="D633" s="97">
        <f>IFERROR(__xludf.DUMMYFUNCTION("""COMPUTED_VALUE"""),7.798328754592E12)</f>
        <v>7798328754592</v>
      </c>
      <c r="E633" s="97"/>
      <c r="F633" s="97" t="str">
        <f>IFERROR(__xludf.DUMMYFUNCTION("""COMPUTED_VALUE"""),"LED integrado")</f>
        <v>LED integrado</v>
      </c>
      <c r="G633" s="97" t="str">
        <f>IFERROR(__xludf.DUMMYFUNCTION("""COMPUTED_VALUE"""),"-")</f>
        <v>-</v>
      </c>
      <c r="H633" s="97" t="str">
        <f>IFERROR(__xludf.DUMMYFUNCTION("""COMPUTED_VALUE"""),"-")</f>
        <v>-</v>
      </c>
      <c r="I633" s="97"/>
      <c r="J633" s="97"/>
      <c r="K633" s="97" t="str">
        <f>IFERROR(__xludf.DUMMYFUNCTION("""COMPUTED_VALUE"""),"ON/OFF")</f>
        <v>ON/OFF</v>
      </c>
      <c r="L633" s="97" t="str">
        <f>IFERROR(__xludf.DUMMYFUNCTION("""COMPUTED_VALUE"""),"200-240")</f>
        <v>200-240</v>
      </c>
      <c r="M633" s="97" t="str">
        <f>IFERROR(__xludf.DUMMYFUNCTION("""COMPUTED_VALUE"""),"50/60")</f>
        <v>50/60</v>
      </c>
      <c r="N633" s="97"/>
      <c r="O633" s="97">
        <f>IFERROR(__xludf.DUMMYFUNCTION("""COMPUTED_VALUE"""),37.0)</f>
        <v>37</v>
      </c>
      <c r="P633" s="97"/>
      <c r="Q633" s="97">
        <f>IFERROR(__xludf.DUMMYFUNCTION("""COMPUTED_VALUE"""),0.4)</f>
        <v>0.4</v>
      </c>
      <c r="R633" s="97" t="str">
        <f>IFERROR(__xludf.DUMMYFUNCTION("""COMPUTED_VALUE"""),"-")</f>
        <v>-</v>
      </c>
      <c r="S633" s="97" t="str">
        <f>IFERROR(__xludf.DUMMYFUNCTION("""COMPUTED_VALUE"""),"-")</f>
        <v>-</v>
      </c>
      <c r="T633" s="97">
        <f>IFERROR(__xludf.DUMMYFUNCTION("""COMPUTED_VALUE"""),2075.0)</f>
        <v>2075</v>
      </c>
      <c r="U633" s="99">
        <f>IFERROR(__xludf.DUMMYFUNCTION("""COMPUTED_VALUE"""),56.08108108108108)</f>
        <v>56.08108108</v>
      </c>
      <c r="V633" s="97">
        <f>IFERROR(__xludf.DUMMYFUNCTION("""COMPUTED_VALUE"""),177.0)</f>
        <v>177</v>
      </c>
      <c r="W633" s="97" t="str">
        <f>IFERROR(__xludf.DUMMYFUNCTION("""COMPUTED_VALUE"""),"&lt; 20")</f>
        <v>&lt; 20</v>
      </c>
      <c r="X633" s="97">
        <f>IFERROR(__xludf.DUMMYFUNCTION("""COMPUTED_VALUE"""),3000.0)</f>
        <v>3000</v>
      </c>
      <c r="Y633" s="97" t="str">
        <f>IFERROR(__xludf.DUMMYFUNCTION("""COMPUTED_VALUE"""),"&gt;80")</f>
        <v>&gt;80</v>
      </c>
      <c r="Z633" s="97" t="str">
        <f>IFERROR(__xludf.DUMMYFUNCTION("""COMPUTED_VALUE"""),"-")</f>
        <v>-</v>
      </c>
      <c r="AA633" s="97" t="str">
        <f>IFERROR(__xludf.DUMMYFUNCTION("""COMPUTED_VALUE"""),"-")</f>
        <v>-</v>
      </c>
      <c r="AB633" s="97"/>
      <c r="AC633" s="97"/>
      <c r="AD633" s="97" t="str">
        <f>IFERROR(__xludf.DUMMYFUNCTION("""COMPUTED_VALUE"""),"IP20")</f>
        <v>IP20</v>
      </c>
      <c r="AE633" s="97" t="str">
        <f>IFERROR(__xludf.DUMMYFUNCTION("""COMPUTED_VALUE"""),"Clase l")</f>
        <v>Clase l</v>
      </c>
      <c r="AF633" s="97" t="str">
        <f>IFERROR(__xludf.DUMMYFUNCTION("""COMPUTED_VALUE"""),"Aplicar")</f>
        <v>Aplicar</v>
      </c>
      <c r="AG633" s="97" t="str">
        <f>IFERROR(__xludf.DUMMYFUNCTION("""COMPUTED_VALUE"""),"Ø 410 x 57")</f>
        <v>Ø 410 x 57</v>
      </c>
      <c r="AH633" s="97" t="str">
        <f>IFERROR(__xludf.DUMMYFUNCTION("""COMPUTED_VALUE"""),"N/A")</f>
        <v>N/A</v>
      </c>
      <c r="AI633" s="97" t="str">
        <f>IFERROR(__xludf.DUMMYFUNCTION("""COMPUTED_VALUE"""),"N/A")</f>
        <v>N/A</v>
      </c>
      <c r="AJ633" s="97" t="str">
        <f>IFERROR(__xludf.DUMMYFUNCTION("""COMPUTED_VALUE"""),"PVC")</f>
        <v>PVC</v>
      </c>
      <c r="AK633" s="97" t="str">
        <f>IFERROR(__xludf.DUMMYFUNCTION("""COMPUTED_VALUE"""),"Acero")</f>
        <v>Acero</v>
      </c>
      <c r="AL633" s="97" t="str">
        <f>IFERROR(__xludf.DUMMYFUNCTION("""COMPUTED_VALUE"""),"Blanco Mate")</f>
        <v>Blanco Mate</v>
      </c>
      <c r="AM633" s="97" t="str">
        <f>IFERROR(__xludf.DUMMYFUNCTION("""COMPUTED_VALUE"""),"-")</f>
        <v>-</v>
      </c>
      <c r="AN633" s="97" t="str">
        <f>IFERROR(__xludf.DUMMYFUNCTION("""COMPUTED_VALUE"""),"-")</f>
        <v>-</v>
      </c>
      <c r="AO633" s="97" t="str">
        <f>IFERROR(__xludf.DUMMYFUNCTION("""COMPUTED_VALUE"""),"1 Año")</f>
        <v>1 Año</v>
      </c>
      <c r="AP633" s="97"/>
      <c r="AQ633" s="97"/>
      <c r="AR633" s="97"/>
      <c r="AS633" s="97"/>
      <c r="AT633" s="97"/>
      <c r="AU633" s="97"/>
      <c r="AV633" s="97" t="str">
        <f>IFERROR(__xludf.DUMMYFUNCTION("""COMPUTED_VALUE"""),"Aplique")</f>
        <v>Aplique</v>
      </c>
      <c r="AW633" s="97" t="str">
        <f>IFERROR(__xludf.DUMMYFUNCTION("""COMPUTED_VALUE"""),"De Techo")</f>
        <v>De Techo</v>
      </c>
      <c r="AX633" s="97" t="str">
        <f>IFERROR(__xludf.DUMMYFUNCTION("""COMPUTED_VALUE"""),"Interior")</f>
        <v>Interior</v>
      </c>
      <c r="AY633" s="97"/>
      <c r="AZ633" s="97"/>
      <c r="BA633" s="97">
        <f>IFERROR(__xludf.DUMMYFUNCTION("""COMPUTED_VALUE"""),1.0)</f>
        <v>1</v>
      </c>
      <c r="BB633" s="97"/>
      <c r="BC633" s="97"/>
      <c r="BD633" s="97" t="str">
        <f>IFERROR(__xludf.DUMMYFUNCTION("""COMPUTED_VALUE"""),"KATHASY")</f>
        <v>KATHASY</v>
      </c>
      <c r="BE633" s="97" t="str">
        <f>IFERROR(__xludf.DUMMYFUNCTION("""COMPUTED_VALUE"""),"Finalizada")</f>
        <v>Finalizada</v>
      </c>
      <c r="BF633" s="97"/>
      <c r="BG633" s="97" t="str">
        <f>IFERROR(__xludf.DUMMYFUNCTION("""COMPUTED_VALUE"""),"Discontinuo")</f>
        <v>Discontinuo</v>
      </c>
    </row>
    <row r="634">
      <c r="A634" s="97">
        <f>IFERROR(__xludf.DUMMYFUNCTION("""COMPUTED_VALUE"""),6391.0)</f>
        <v>6391</v>
      </c>
      <c r="B634" s="97" t="str">
        <f>IFERROR(__xludf.DUMMYFUNCTION("""COMPUTED_VALUE"""),"DONEI")</f>
        <v>DONEI</v>
      </c>
      <c r="C634" s="97" t="str">
        <f>IFERROR(__xludf.DUMMYFUNCTION("""COMPUTED_VALUE"""),"COLGANTE DONEI LEUK")</f>
        <v>COLGANTE DONEI LEUK</v>
      </c>
      <c r="D634" s="97">
        <f>IFERROR(__xludf.DUMMYFUNCTION("""COMPUTED_VALUE"""),7.798328754608E12)</f>
        <v>7798328754608</v>
      </c>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t="str">
        <f>IFERROR(__xludf.DUMMYFUNCTION("""COMPUTED_VALUE"""),"IP20")</f>
        <v>IP20</v>
      </c>
      <c r="AE634" s="97"/>
      <c r="AF634" s="97" t="str">
        <f>IFERROR(__xludf.DUMMYFUNCTION("""COMPUTED_VALUE"""),"Suspender")</f>
        <v>Suspender</v>
      </c>
      <c r="AG634" s="97"/>
      <c r="AH634" s="97"/>
      <c r="AI634" s="97"/>
      <c r="AJ634" s="97"/>
      <c r="AK634" s="97"/>
      <c r="AL634" s="97"/>
      <c r="AM634" s="97"/>
      <c r="AN634" s="97"/>
      <c r="AO634" s="97" t="str">
        <f>IFERROR(__xludf.DUMMYFUNCTION("""COMPUTED_VALUE"""),"1 Año")</f>
        <v>1 Año</v>
      </c>
      <c r="AP634" s="97"/>
      <c r="AQ634" s="97"/>
      <c r="AR634" s="97"/>
      <c r="AS634" s="97"/>
      <c r="AT634" s="97"/>
      <c r="AU634" s="97"/>
      <c r="AV634" s="97" t="str">
        <f>IFERROR(__xludf.DUMMYFUNCTION("""COMPUTED_VALUE"""),"Colgante")</f>
        <v>Colgante</v>
      </c>
      <c r="AW634" s="97" t="str">
        <f>IFERROR(__xludf.DUMMYFUNCTION("""COMPUTED_VALUE"""),"De Techo")</f>
        <v>De Techo</v>
      </c>
      <c r="AX634" s="97" t="str">
        <f>IFERROR(__xludf.DUMMYFUNCTION("""COMPUTED_VALUE"""),"Interior")</f>
        <v>Interior</v>
      </c>
      <c r="AY634" s="97"/>
      <c r="AZ634" s="97"/>
      <c r="BA634" s="97"/>
      <c r="BB634" s="97"/>
      <c r="BC634" s="97"/>
      <c r="BD634" s="97" t="str">
        <f>IFERROR(__xludf.DUMMYFUNCTION("""COMPUTED_VALUE"""),"DONEI")</f>
        <v>DONEI</v>
      </c>
      <c r="BE634" s="97" t="str">
        <f>IFERROR(__xludf.DUMMYFUNCTION("""COMPUTED_VALUE"""),"Sin Ficha")</f>
        <v>Sin Ficha</v>
      </c>
      <c r="BF634" s="97"/>
      <c r="BG634" s="97" t="str">
        <f>IFERROR(__xludf.DUMMYFUNCTION("""COMPUTED_VALUE"""),"Discontinuo")</f>
        <v>Discontinuo</v>
      </c>
    </row>
    <row r="635">
      <c r="A635" s="97">
        <f>IFERROR(__xludf.DUMMYFUNCTION("""COMPUTED_VALUE"""),6392.0)</f>
        <v>6392</v>
      </c>
      <c r="B635" s="97" t="str">
        <f>IFERROR(__xludf.DUMMYFUNCTION("""COMPUTED_VALUE"""),"THEPY")</f>
        <v>THEPY</v>
      </c>
      <c r="C635" s="97" t="str">
        <f>IFERROR(__xludf.DUMMYFUNCTION("""COMPUTED_VALUE"""),"LAMPARA DE ESCRITORIO THEPY NEGRO LEUK")</f>
        <v>LAMPARA DE ESCRITORIO THEPY NEGRO LEUK</v>
      </c>
      <c r="D635" s="97">
        <f>IFERROR(__xludf.DUMMYFUNCTION("""COMPUTED_VALUE"""),7.798328756336E12)</f>
        <v>7798328756336</v>
      </c>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t="str">
        <f>IFERROR(__xludf.DUMMYFUNCTION("""COMPUTED_VALUE"""),"IP20")</f>
        <v>IP20</v>
      </c>
      <c r="AE635" s="97"/>
      <c r="AF635" s="97" t="str">
        <f>IFERROR(__xludf.DUMMYFUNCTION("""COMPUTED_VALUE"""),"Autoportante")</f>
        <v>Autoportante</v>
      </c>
      <c r="AG635" s="97"/>
      <c r="AH635" s="97"/>
      <c r="AI635" s="97"/>
      <c r="AJ635" s="97"/>
      <c r="AK635" s="97"/>
      <c r="AL635" s="97"/>
      <c r="AM635" s="97"/>
      <c r="AN635" s="97"/>
      <c r="AO635" s="97" t="str">
        <f>IFERROR(__xludf.DUMMYFUNCTION("""COMPUTED_VALUE"""),"1 Año")</f>
        <v>1 Año</v>
      </c>
      <c r="AP635" s="97"/>
      <c r="AQ635" s="97"/>
      <c r="AR635" s="97"/>
      <c r="AS635" s="97"/>
      <c r="AT635" s="97"/>
      <c r="AU635" s="97"/>
      <c r="AV635" s="97" t="str">
        <f>IFERROR(__xludf.DUMMYFUNCTION("""COMPUTED_VALUE"""),"Mesa")</f>
        <v>Mesa</v>
      </c>
      <c r="AW635" s="97" t="str">
        <f>IFERROR(__xludf.DUMMYFUNCTION("""COMPUTED_VALUE"""),"De Apoyo")</f>
        <v>De Apoyo</v>
      </c>
      <c r="AX635" s="97" t="str">
        <f>IFERROR(__xludf.DUMMYFUNCTION("""COMPUTED_VALUE"""),"Interior")</f>
        <v>Interior</v>
      </c>
      <c r="AY635" s="97"/>
      <c r="AZ635" s="97"/>
      <c r="BA635" s="97"/>
      <c r="BB635" s="97"/>
      <c r="BC635" s="97"/>
      <c r="BD635" s="97" t="str">
        <f>IFERROR(__xludf.DUMMYFUNCTION("""COMPUTED_VALUE"""),"THEPY")</f>
        <v>THEPY</v>
      </c>
      <c r="BE635" s="97" t="str">
        <f>IFERROR(__xludf.DUMMYFUNCTION("""COMPUTED_VALUE"""),"Sin Ficha")</f>
        <v>Sin Ficha</v>
      </c>
      <c r="BF635" s="97"/>
      <c r="BG635" s="97" t="str">
        <f>IFERROR(__xludf.DUMMYFUNCTION("""COMPUTED_VALUE"""),"Discontinuo")</f>
        <v>Discontinuo</v>
      </c>
    </row>
    <row r="636">
      <c r="A636" s="97">
        <f>IFERROR(__xludf.DUMMYFUNCTION("""COMPUTED_VALUE"""),6393.0)</f>
        <v>6393</v>
      </c>
      <c r="B636" s="97" t="str">
        <f>IFERROR(__xludf.DUMMYFUNCTION("""COMPUTED_VALUE"""),"CELIU")</f>
        <v>CELIU</v>
      </c>
      <c r="C636" s="97" t="str">
        <f>IFERROR(__xludf.DUMMYFUNCTION("""COMPUTED_VALUE"""),"VELADOR CELIU LEUK")</f>
        <v>VELADOR CELIU LEUK</v>
      </c>
      <c r="D636" s="97">
        <f>IFERROR(__xludf.DUMMYFUNCTION("""COMPUTED_VALUE"""),7.798328754677E12)</f>
        <v>7798328754677</v>
      </c>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t="str">
        <f>IFERROR(__xludf.DUMMYFUNCTION("""COMPUTED_VALUE"""),"IP20")</f>
        <v>IP20</v>
      </c>
      <c r="AE636" s="97"/>
      <c r="AF636" s="97" t="str">
        <f>IFERROR(__xludf.DUMMYFUNCTION("""COMPUTED_VALUE"""),"Autoportante")</f>
        <v>Autoportante</v>
      </c>
      <c r="AG636" s="97"/>
      <c r="AH636" s="97"/>
      <c r="AI636" s="97"/>
      <c r="AJ636" s="97"/>
      <c r="AK636" s="97"/>
      <c r="AL636" s="97"/>
      <c r="AM636" s="97"/>
      <c r="AN636" s="97"/>
      <c r="AO636" s="97" t="str">
        <f>IFERROR(__xludf.DUMMYFUNCTION("""COMPUTED_VALUE"""),"1 Año")</f>
        <v>1 Año</v>
      </c>
      <c r="AP636" s="97"/>
      <c r="AQ636" s="97"/>
      <c r="AR636" s="97"/>
      <c r="AS636" s="97"/>
      <c r="AT636" s="97"/>
      <c r="AU636" s="97"/>
      <c r="AV636" s="97" t="str">
        <f>IFERROR(__xludf.DUMMYFUNCTION("""COMPUTED_VALUE"""),"Mesa")</f>
        <v>Mesa</v>
      </c>
      <c r="AW636" s="97" t="str">
        <f>IFERROR(__xludf.DUMMYFUNCTION("""COMPUTED_VALUE"""),"De Apoyo")</f>
        <v>De Apoyo</v>
      </c>
      <c r="AX636" s="97" t="str">
        <f>IFERROR(__xludf.DUMMYFUNCTION("""COMPUTED_VALUE"""),"Interior")</f>
        <v>Interior</v>
      </c>
      <c r="AY636" s="97"/>
      <c r="AZ636" s="97"/>
      <c r="BA636" s="97"/>
      <c r="BB636" s="97"/>
      <c r="BC636" s="97"/>
      <c r="BD636" s="97" t="str">
        <f>IFERROR(__xludf.DUMMYFUNCTION("""COMPUTED_VALUE"""),"CELIU")</f>
        <v>CELIU</v>
      </c>
      <c r="BE636" s="97" t="str">
        <f>IFERROR(__xludf.DUMMYFUNCTION("""COMPUTED_VALUE"""),"Sin Ficha")</f>
        <v>Sin Ficha</v>
      </c>
      <c r="BF636" s="97"/>
      <c r="BG636" s="97" t="str">
        <f>IFERROR(__xludf.DUMMYFUNCTION("""COMPUTED_VALUE"""),"Discontinuo")</f>
        <v>Discontinuo</v>
      </c>
    </row>
    <row r="637">
      <c r="A637" s="97">
        <f>IFERROR(__xludf.DUMMYFUNCTION("""COMPUTED_VALUE"""),6394.0)</f>
        <v>6394</v>
      </c>
      <c r="B637" s="97" t="str">
        <f>IFERROR(__xludf.DUMMYFUNCTION("""COMPUTED_VALUE"""),"OFELIU")</f>
        <v>OFELIU</v>
      </c>
      <c r="C637" s="97" t="str">
        <f>IFERROR(__xludf.DUMMYFUNCTION("""COMPUTED_VALUE"""),"COLGANTE OFELIU BLANCO LEUK")</f>
        <v>COLGANTE OFELIU BLANCO LEUK</v>
      </c>
      <c r="D637" s="97">
        <f>IFERROR(__xludf.DUMMYFUNCTION("""COMPUTED_VALUE"""),7.798328754622E12)</f>
        <v>7798328754622</v>
      </c>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t="str">
        <f>IFERROR(__xludf.DUMMYFUNCTION("""COMPUTED_VALUE"""),"IP20")</f>
        <v>IP20</v>
      </c>
      <c r="AE637" s="97"/>
      <c r="AF637" s="97" t="str">
        <f>IFERROR(__xludf.DUMMYFUNCTION("""COMPUTED_VALUE"""),"Suspender")</f>
        <v>Suspender</v>
      </c>
      <c r="AG637" s="97"/>
      <c r="AH637" s="97"/>
      <c r="AI637" s="97"/>
      <c r="AJ637" s="97"/>
      <c r="AK637" s="97"/>
      <c r="AL637" s="97"/>
      <c r="AM637" s="97"/>
      <c r="AN637" s="97"/>
      <c r="AO637" s="97" t="str">
        <f>IFERROR(__xludf.DUMMYFUNCTION("""COMPUTED_VALUE"""),"1 Año")</f>
        <v>1 Año</v>
      </c>
      <c r="AP637" s="97"/>
      <c r="AQ637" s="97"/>
      <c r="AR637" s="97"/>
      <c r="AS637" s="97"/>
      <c r="AT637" s="97"/>
      <c r="AU637" s="97"/>
      <c r="AV637" s="97" t="str">
        <f>IFERROR(__xludf.DUMMYFUNCTION("""COMPUTED_VALUE"""),"Colgante")</f>
        <v>Colgante</v>
      </c>
      <c r="AW637" s="97" t="str">
        <f>IFERROR(__xludf.DUMMYFUNCTION("""COMPUTED_VALUE"""),"De Techo")</f>
        <v>De Techo</v>
      </c>
      <c r="AX637" s="97" t="str">
        <f>IFERROR(__xludf.DUMMYFUNCTION("""COMPUTED_VALUE"""),"Interior")</f>
        <v>Interior</v>
      </c>
      <c r="AY637" s="97"/>
      <c r="AZ637" s="97"/>
      <c r="BA637" s="97"/>
      <c r="BB637" s="97"/>
      <c r="BC637" s="97"/>
      <c r="BD637" s="97" t="str">
        <f>IFERROR(__xludf.DUMMYFUNCTION("""COMPUTED_VALUE"""),"OFELIU")</f>
        <v>OFELIU</v>
      </c>
      <c r="BE637" s="97" t="str">
        <f>IFERROR(__xludf.DUMMYFUNCTION("""COMPUTED_VALUE"""),"Sin Ficha")</f>
        <v>Sin Ficha</v>
      </c>
      <c r="BF637" s="97"/>
      <c r="BG637" s="97" t="str">
        <f>IFERROR(__xludf.DUMMYFUNCTION("""COMPUTED_VALUE"""),"Discontinuo")</f>
        <v>Discontinuo</v>
      </c>
    </row>
    <row r="638">
      <c r="A638" s="97">
        <f>IFERROR(__xludf.DUMMYFUNCTION("""COMPUTED_VALUE"""),6395.0)</f>
        <v>6395</v>
      </c>
      <c r="B638" s="97" t="str">
        <f>IFERROR(__xludf.DUMMYFUNCTION("""COMPUTED_VALUE"""),"ANDRYU")</f>
        <v>ANDRYU</v>
      </c>
      <c r="C638" s="97" t="str">
        <f>IFERROR(__xludf.DUMMYFUNCTION("""COMPUTED_VALUE"""),"COLGANTE ANDRYU LEUK")</f>
        <v>COLGANTE ANDRYU LEUK</v>
      </c>
      <c r="D638" s="97">
        <f>IFERROR(__xludf.DUMMYFUNCTION("""COMPUTED_VALUE"""),7.798328754646E12)</f>
        <v>7798328754646</v>
      </c>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t="str">
        <f>IFERROR(__xludf.DUMMYFUNCTION("""COMPUTED_VALUE"""),"IP20")</f>
        <v>IP20</v>
      </c>
      <c r="AE638" s="97"/>
      <c r="AF638" s="97" t="str">
        <f>IFERROR(__xludf.DUMMYFUNCTION("""COMPUTED_VALUE"""),"Suspender")</f>
        <v>Suspender</v>
      </c>
      <c r="AG638" s="97"/>
      <c r="AH638" s="97"/>
      <c r="AI638" s="97"/>
      <c r="AJ638" s="97"/>
      <c r="AK638" s="97"/>
      <c r="AL638" s="97"/>
      <c r="AM638" s="97"/>
      <c r="AN638" s="97"/>
      <c r="AO638" s="97" t="str">
        <f>IFERROR(__xludf.DUMMYFUNCTION("""COMPUTED_VALUE"""),"1 Año")</f>
        <v>1 Año</v>
      </c>
      <c r="AP638" s="97"/>
      <c r="AQ638" s="97"/>
      <c r="AR638" s="97"/>
      <c r="AS638" s="97"/>
      <c r="AT638" s="97"/>
      <c r="AU638" s="97"/>
      <c r="AV638" s="97" t="str">
        <f>IFERROR(__xludf.DUMMYFUNCTION("""COMPUTED_VALUE"""),"Colgante")</f>
        <v>Colgante</v>
      </c>
      <c r="AW638" s="97" t="str">
        <f>IFERROR(__xludf.DUMMYFUNCTION("""COMPUTED_VALUE"""),"De Techo")</f>
        <v>De Techo</v>
      </c>
      <c r="AX638" s="97" t="str">
        <f>IFERROR(__xludf.DUMMYFUNCTION("""COMPUTED_VALUE"""),"Interior")</f>
        <v>Interior</v>
      </c>
      <c r="AY638" s="97"/>
      <c r="AZ638" s="97"/>
      <c r="BA638" s="97"/>
      <c r="BB638" s="97"/>
      <c r="BC638" s="97"/>
      <c r="BD638" s="97" t="str">
        <f>IFERROR(__xludf.DUMMYFUNCTION("""COMPUTED_VALUE"""),"ANDRYU")</f>
        <v>ANDRYU</v>
      </c>
      <c r="BE638" s="97" t="str">
        <f>IFERROR(__xludf.DUMMYFUNCTION("""COMPUTED_VALUE"""),"Sin Ficha")</f>
        <v>Sin Ficha</v>
      </c>
      <c r="BF638" s="97"/>
      <c r="BG638" s="97" t="str">
        <f>IFERROR(__xludf.DUMMYFUNCTION("""COMPUTED_VALUE"""),"Discontinuo")</f>
        <v>Discontinuo</v>
      </c>
    </row>
    <row r="639">
      <c r="A639" s="97">
        <f>IFERROR(__xludf.DUMMYFUNCTION("""COMPUTED_VALUE"""),6396.0)</f>
        <v>6396</v>
      </c>
      <c r="B639" s="97" t="str">
        <f>IFERROR(__xludf.DUMMYFUNCTION("""COMPUTED_VALUE"""),"SHORSH")</f>
        <v>SHORSH</v>
      </c>
      <c r="C639" s="97" t="str">
        <f>IFERROR(__xludf.DUMMYFUNCTION("""COMPUTED_VALUE"""),"VELADOR SHORSH LEUK")</f>
        <v>VELADOR SHORSH LEUK</v>
      </c>
      <c r="D639" s="97">
        <f>IFERROR(__xludf.DUMMYFUNCTION("""COMPUTED_VALUE"""),7.79832875466E12)</f>
        <v>7798328754660</v>
      </c>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t="str">
        <f>IFERROR(__xludf.DUMMYFUNCTION("""COMPUTED_VALUE"""),"IP20")</f>
        <v>IP20</v>
      </c>
      <c r="AE639" s="97"/>
      <c r="AF639" s="97" t="str">
        <f>IFERROR(__xludf.DUMMYFUNCTION("""COMPUTED_VALUE"""),"Autoportante")</f>
        <v>Autoportante</v>
      </c>
      <c r="AG639" s="97"/>
      <c r="AH639" s="97"/>
      <c r="AI639" s="97"/>
      <c r="AJ639" s="97"/>
      <c r="AK639" s="97"/>
      <c r="AL639" s="97"/>
      <c r="AM639" s="97"/>
      <c r="AN639" s="97"/>
      <c r="AO639" s="97" t="str">
        <f>IFERROR(__xludf.DUMMYFUNCTION("""COMPUTED_VALUE"""),"1 Año")</f>
        <v>1 Año</v>
      </c>
      <c r="AP639" s="97"/>
      <c r="AQ639" s="97"/>
      <c r="AR639" s="97"/>
      <c r="AS639" s="97"/>
      <c r="AT639" s="97"/>
      <c r="AU639" s="97"/>
      <c r="AV639" s="97" t="str">
        <f>IFERROR(__xludf.DUMMYFUNCTION("""COMPUTED_VALUE"""),"Mesa")</f>
        <v>Mesa</v>
      </c>
      <c r="AW639" s="97" t="str">
        <f>IFERROR(__xludf.DUMMYFUNCTION("""COMPUTED_VALUE"""),"De Apoyo")</f>
        <v>De Apoyo</v>
      </c>
      <c r="AX639" s="97" t="str">
        <f>IFERROR(__xludf.DUMMYFUNCTION("""COMPUTED_VALUE"""),"Interior")</f>
        <v>Interior</v>
      </c>
      <c r="AY639" s="97"/>
      <c r="AZ639" s="97"/>
      <c r="BA639" s="97"/>
      <c r="BB639" s="97"/>
      <c r="BC639" s="97"/>
      <c r="BD639" s="97" t="str">
        <f>IFERROR(__xludf.DUMMYFUNCTION("""COMPUTED_VALUE"""),"SHORSH")</f>
        <v>SHORSH</v>
      </c>
      <c r="BE639" s="97" t="str">
        <f>IFERROR(__xludf.DUMMYFUNCTION("""COMPUTED_VALUE"""),"Sin Ficha")</f>
        <v>Sin Ficha</v>
      </c>
      <c r="BF639" s="97"/>
      <c r="BG639" s="97" t="str">
        <f>IFERROR(__xludf.DUMMYFUNCTION("""COMPUTED_VALUE"""),"Discontinuo")</f>
        <v>Discontinuo</v>
      </c>
    </row>
    <row r="640">
      <c r="A640" s="97">
        <f>IFERROR(__xludf.DUMMYFUNCTION("""COMPUTED_VALUE"""),6397.0)</f>
        <v>6397</v>
      </c>
      <c r="B640" s="97" t="str">
        <f>IFERROR(__xludf.DUMMYFUNCTION("""COMPUTED_VALUE"""),"FUXARY")</f>
        <v>FUXARY</v>
      </c>
      <c r="C640" s="97" t="str">
        <f>IFERROR(__xludf.DUMMYFUNCTION("""COMPUTED_VALUE"""),"VELADOR FUXARY LEUK")</f>
        <v>VELADOR FUXARY LEUK</v>
      </c>
      <c r="D640" s="97">
        <f>IFERROR(__xludf.DUMMYFUNCTION("""COMPUTED_VALUE"""),7.798328754684E12)</f>
        <v>7798328754684</v>
      </c>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t="str">
        <f>IFERROR(__xludf.DUMMYFUNCTION("""COMPUTED_VALUE"""),"IP20")</f>
        <v>IP20</v>
      </c>
      <c r="AE640" s="97"/>
      <c r="AF640" s="97" t="str">
        <f>IFERROR(__xludf.DUMMYFUNCTION("""COMPUTED_VALUE"""),"Autoportante")</f>
        <v>Autoportante</v>
      </c>
      <c r="AG640" s="97"/>
      <c r="AH640" s="97"/>
      <c r="AI640" s="97"/>
      <c r="AJ640" s="97"/>
      <c r="AK640" s="97"/>
      <c r="AL640" s="97"/>
      <c r="AM640" s="97"/>
      <c r="AN640" s="97"/>
      <c r="AO640" s="97" t="str">
        <f>IFERROR(__xludf.DUMMYFUNCTION("""COMPUTED_VALUE"""),"1 Año")</f>
        <v>1 Año</v>
      </c>
      <c r="AP640" s="97"/>
      <c r="AQ640" s="97"/>
      <c r="AR640" s="97"/>
      <c r="AS640" s="97"/>
      <c r="AT640" s="97"/>
      <c r="AU640" s="97"/>
      <c r="AV640" s="97" t="str">
        <f>IFERROR(__xludf.DUMMYFUNCTION("""COMPUTED_VALUE"""),"Mesa")</f>
        <v>Mesa</v>
      </c>
      <c r="AW640" s="97" t="str">
        <f>IFERROR(__xludf.DUMMYFUNCTION("""COMPUTED_VALUE"""),"De Apoyo")</f>
        <v>De Apoyo</v>
      </c>
      <c r="AX640" s="97" t="str">
        <f>IFERROR(__xludf.DUMMYFUNCTION("""COMPUTED_VALUE"""),"Interior")</f>
        <v>Interior</v>
      </c>
      <c r="AY640" s="97"/>
      <c r="AZ640" s="97"/>
      <c r="BA640" s="97"/>
      <c r="BB640" s="97"/>
      <c r="BC640" s="97"/>
      <c r="BD640" s="97" t="str">
        <f>IFERROR(__xludf.DUMMYFUNCTION("""COMPUTED_VALUE"""),"FUXARY")</f>
        <v>FUXARY</v>
      </c>
      <c r="BE640" s="97" t="str">
        <f>IFERROR(__xludf.DUMMYFUNCTION("""COMPUTED_VALUE"""),"Sin Ficha")</f>
        <v>Sin Ficha</v>
      </c>
      <c r="BF640" s="97"/>
      <c r="BG640" s="97" t="str">
        <f>IFERROR(__xludf.DUMMYFUNCTION("""COMPUTED_VALUE"""),"Discontinuo")</f>
        <v>Discontinuo</v>
      </c>
    </row>
    <row r="641">
      <c r="A641" s="97">
        <f>IFERROR(__xludf.DUMMYFUNCTION("""COMPUTED_VALUE"""),6398.0)</f>
        <v>6398</v>
      </c>
      <c r="B641" s="97" t="str">
        <f>IFERROR(__xludf.DUMMYFUNCTION("""COMPUTED_VALUE"""),"AYDI")</f>
        <v>AYDI</v>
      </c>
      <c r="C641" s="97" t="str">
        <f>IFERROR(__xludf.DUMMYFUNCTION("""COMPUTED_VALUE"""),"VELADOR AYDI LEUK")</f>
        <v>VELADOR AYDI LEUK</v>
      </c>
      <c r="D641" s="97">
        <f>IFERROR(__xludf.DUMMYFUNCTION("""COMPUTED_VALUE"""),7.798328754691E12)</f>
        <v>7798328754691</v>
      </c>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t="str">
        <f>IFERROR(__xludf.DUMMYFUNCTION("""COMPUTED_VALUE"""),"IP20")</f>
        <v>IP20</v>
      </c>
      <c r="AE641" s="97"/>
      <c r="AF641" s="97" t="str">
        <f>IFERROR(__xludf.DUMMYFUNCTION("""COMPUTED_VALUE"""),"Autoportante")</f>
        <v>Autoportante</v>
      </c>
      <c r="AG641" s="97"/>
      <c r="AH641" s="97"/>
      <c r="AI641" s="97"/>
      <c r="AJ641" s="97"/>
      <c r="AK641" s="97"/>
      <c r="AL641" s="97"/>
      <c r="AM641" s="97"/>
      <c r="AN641" s="97"/>
      <c r="AO641" s="97" t="str">
        <f>IFERROR(__xludf.DUMMYFUNCTION("""COMPUTED_VALUE"""),"1 Año")</f>
        <v>1 Año</v>
      </c>
      <c r="AP641" s="97"/>
      <c r="AQ641" s="97"/>
      <c r="AR641" s="97"/>
      <c r="AS641" s="97"/>
      <c r="AT641" s="97"/>
      <c r="AU641" s="97"/>
      <c r="AV641" s="97" t="str">
        <f>IFERROR(__xludf.DUMMYFUNCTION("""COMPUTED_VALUE"""),"Mesa")</f>
        <v>Mesa</v>
      </c>
      <c r="AW641" s="97" t="str">
        <f>IFERROR(__xludf.DUMMYFUNCTION("""COMPUTED_VALUE"""),"De Apoyo")</f>
        <v>De Apoyo</v>
      </c>
      <c r="AX641" s="97" t="str">
        <f>IFERROR(__xludf.DUMMYFUNCTION("""COMPUTED_VALUE"""),"Interior")</f>
        <v>Interior</v>
      </c>
      <c r="AY641" s="97"/>
      <c r="AZ641" s="97"/>
      <c r="BA641" s="97"/>
      <c r="BB641" s="97"/>
      <c r="BC641" s="97"/>
      <c r="BD641" s="97" t="str">
        <f>IFERROR(__xludf.DUMMYFUNCTION("""COMPUTED_VALUE"""),"AYDI")</f>
        <v>AYDI</v>
      </c>
      <c r="BE641" s="97" t="str">
        <f>IFERROR(__xludf.DUMMYFUNCTION("""COMPUTED_VALUE"""),"Sin Ficha")</f>
        <v>Sin Ficha</v>
      </c>
      <c r="BF641" s="97"/>
      <c r="BG641" s="97" t="str">
        <f>IFERROR(__xludf.DUMMYFUNCTION("""COMPUTED_VALUE"""),"Discontinuo")</f>
        <v>Discontinuo</v>
      </c>
    </row>
    <row r="642">
      <c r="A642" s="97">
        <f>IFERROR(__xludf.DUMMYFUNCTION("""COMPUTED_VALUE"""),6399.0)</f>
        <v>6399</v>
      </c>
      <c r="B642" s="97" t="str">
        <f>IFERROR(__xludf.DUMMYFUNCTION("""COMPUTED_VALUE"""),"ARHY")</f>
        <v>ARHY</v>
      </c>
      <c r="C642" s="97" t="str">
        <f>IFERROR(__xludf.DUMMYFUNCTION("""COMPUTED_VALUE"""),"VELADOR ARHY LEUK")</f>
        <v>VELADOR ARHY LEUK</v>
      </c>
      <c r="D642" s="97">
        <f>IFERROR(__xludf.DUMMYFUNCTION("""COMPUTED_VALUE"""),7.798328754707E12)</f>
        <v>7798328754707</v>
      </c>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t="str">
        <f>IFERROR(__xludf.DUMMYFUNCTION("""COMPUTED_VALUE"""),"IP20")</f>
        <v>IP20</v>
      </c>
      <c r="AE642" s="97"/>
      <c r="AF642" s="97" t="str">
        <f>IFERROR(__xludf.DUMMYFUNCTION("""COMPUTED_VALUE"""),"Autoportante")</f>
        <v>Autoportante</v>
      </c>
      <c r="AG642" s="97"/>
      <c r="AH642" s="97"/>
      <c r="AI642" s="97"/>
      <c r="AJ642" s="97"/>
      <c r="AK642" s="97"/>
      <c r="AL642" s="97"/>
      <c r="AM642" s="97"/>
      <c r="AN642" s="97"/>
      <c r="AO642" s="97" t="str">
        <f>IFERROR(__xludf.DUMMYFUNCTION("""COMPUTED_VALUE"""),"1 Año")</f>
        <v>1 Año</v>
      </c>
      <c r="AP642" s="97"/>
      <c r="AQ642" s="97"/>
      <c r="AR642" s="97"/>
      <c r="AS642" s="97"/>
      <c r="AT642" s="97"/>
      <c r="AU642" s="97"/>
      <c r="AV642" s="97" t="str">
        <f>IFERROR(__xludf.DUMMYFUNCTION("""COMPUTED_VALUE"""),"Mesa")</f>
        <v>Mesa</v>
      </c>
      <c r="AW642" s="97" t="str">
        <f>IFERROR(__xludf.DUMMYFUNCTION("""COMPUTED_VALUE"""),"De Apoyo")</f>
        <v>De Apoyo</v>
      </c>
      <c r="AX642" s="97" t="str">
        <f>IFERROR(__xludf.DUMMYFUNCTION("""COMPUTED_VALUE"""),"Interior")</f>
        <v>Interior</v>
      </c>
      <c r="AY642" s="97"/>
      <c r="AZ642" s="97"/>
      <c r="BA642" s="97"/>
      <c r="BB642" s="97"/>
      <c r="BC642" s="97"/>
      <c r="BD642" s="97" t="str">
        <f>IFERROR(__xludf.DUMMYFUNCTION("""COMPUTED_VALUE"""),"ARHY")</f>
        <v>ARHY</v>
      </c>
      <c r="BE642" s="97" t="str">
        <f>IFERROR(__xludf.DUMMYFUNCTION("""COMPUTED_VALUE"""),"Sin Ficha")</f>
        <v>Sin Ficha</v>
      </c>
      <c r="BF642" s="97"/>
      <c r="BG642" s="97" t="str">
        <f>IFERROR(__xludf.DUMMYFUNCTION("""COMPUTED_VALUE"""),"Discontinuo")</f>
        <v>Discontinuo</v>
      </c>
    </row>
    <row r="643">
      <c r="A643" s="97">
        <f>IFERROR(__xludf.DUMMYFUNCTION("""COMPUTED_VALUE"""),6400.0)</f>
        <v>6400</v>
      </c>
      <c r="B643" s="97" t="str">
        <f>IFERROR(__xludf.DUMMYFUNCTION("""COMPUTED_VALUE"""),"ELYAN BL")</f>
        <v>ELYAN BL</v>
      </c>
      <c r="C643" s="97" t="str">
        <f>IFERROR(__xludf.DUMMYFUNCTION("""COMPUTED_VALUE"""),"LAMPARA DE PIE ELYAN BLANCO LEUK ")</f>
        <v>LAMPARA DE PIE ELYAN BLANCO LEUK </v>
      </c>
      <c r="D643" s="97">
        <f>IFERROR(__xludf.DUMMYFUNCTION("""COMPUTED_VALUE"""),7.798328754721E12)</f>
        <v>7798328754721</v>
      </c>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t="str">
        <f>IFERROR(__xludf.DUMMYFUNCTION("""COMPUTED_VALUE"""),"IP20")</f>
        <v>IP20</v>
      </c>
      <c r="AE643" s="97"/>
      <c r="AF643" s="97" t="str">
        <f>IFERROR(__xludf.DUMMYFUNCTION("""COMPUTED_VALUE"""),"Autoportante")</f>
        <v>Autoportante</v>
      </c>
      <c r="AG643" s="97"/>
      <c r="AH643" s="97"/>
      <c r="AI643" s="97"/>
      <c r="AJ643" s="97"/>
      <c r="AK643" s="97"/>
      <c r="AL643" s="97"/>
      <c r="AM643" s="97"/>
      <c r="AN643" s="97"/>
      <c r="AO643" s="97" t="str">
        <f>IFERROR(__xludf.DUMMYFUNCTION("""COMPUTED_VALUE"""),"1 Año")</f>
        <v>1 Año</v>
      </c>
      <c r="AP643" s="97"/>
      <c r="AQ643" s="97"/>
      <c r="AR643" s="97"/>
      <c r="AS643" s="97"/>
      <c r="AT643" s="97"/>
      <c r="AU643" s="97"/>
      <c r="AV643" s="97" t="str">
        <f>IFERROR(__xludf.DUMMYFUNCTION("""COMPUTED_VALUE"""),"Pie")</f>
        <v>Pie</v>
      </c>
      <c r="AW643" s="97" t="str">
        <f>IFERROR(__xludf.DUMMYFUNCTION("""COMPUTED_VALUE"""),"De Apoyo")</f>
        <v>De Apoyo</v>
      </c>
      <c r="AX643" s="97" t="str">
        <f>IFERROR(__xludf.DUMMYFUNCTION("""COMPUTED_VALUE"""),"Interior")</f>
        <v>Interior</v>
      </c>
      <c r="AY643" s="97"/>
      <c r="AZ643" s="97"/>
      <c r="BA643" s="97"/>
      <c r="BB643" s="97"/>
      <c r="BC643" s="97"/>
      <c r="BD643" s="97" t="str">
        <f>IFERROR(__xludf.DUMMYFUNCTION("""COMPUTED_VALUE"""),"ELYAN ")</f>
        <v>ELYAN </v>
      </c>
      <c r="BE643" s="97" t="str">
        <f>IFERROR(__xludf.DUMMYFUNCTION("""COMPUTED_VALUE"""),"Sin Ficha")</f>
        <v>Sin Ficha</v>
      </c>
      <c r="BF643" s="97"/>
      <c r="BG643" s="97" t="str">
        <f>IFERROR(__xludf.DUMMYFUNCTION("""COMPUTED_VALUE"""),"Discontinuo")</f>
        <v>Discontinuo</v>
      </c>
    </row>
    <row r="644">
      <c r="A644" s="97">
        <f>IFERROR(__xludf.DUMMYFUNCTION("""COMPUTED_VALUE"""),6401.0)</f>
        <v>6401</v>
      </c>
      <c r="B644" s="97" t="str">
        <f>IFERROR(__xludf.DUMMYFUNCTION("""COMPUTED_VALUE"""),"ELYAN NG")</f>
        <v>ELYAN NG</v>
      </c>
      <c r="C644" s="97" t="str">
        <f>IFERROR(__xludf.DUMMYFUNCTION("""COMPUTED_VALUE"""),"LAMPARA DE PIE ELYAN NEGRO LEUK ")</f>
        <v>LAMPARA DE PIE ELYAN NEGRO LEUK </v>
      </c>
      <c r="D644" s="97">
        <f>IFERROR(__xludf.DUMMYFUNCTION("""COMPUTED_VALUE"""),7.798328754738E12)</f>
        <v>7798328754738</v>
      </c>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t="str">
        <f>IFERROR(__xludf.DUMMYFUNCTION("""COMPUTED_VALUE"""),"IP20")</f>
        <v>IP20</v>
      </c>
      <c r="AE644" s="97"/>
      <c r="AF644" s="97" t="str">
        <f>IFERROR(__xludf.DUMMYFUNCTION("""COMPUTED_VALUE"""),"Autoportante")</f>
        <v>Autoportante</v>
      </c>
      <c r="AG644" s="97"/>
      <c r="AH644" s="97"/>
      <c r="AI644" s="97"/>
      <c r="AJ644" s="97"/>
      <c r="AK644" s="97"/>
      <c r="AL644" s="97"/>
      <c r="AM644" s="97"/>
      <c r="AN644" s="97"/>
      <c r="AO644" s="97" t="str">
        <f>IFERROR(__xludf.DUMMYFUNCTION("""COMPUTED_VALUE"""),"1 Año")</f>
        <v>1 Año</v>
      </c>
      <c r="AP644" s="97"/>
      <c r="AQ644" s="97"/>
      <c r="AR644" s="97"/>
      <c r="AS644" s="97"/>
      <c r="AT644" s="97"/>
      <c r="AU644" s="97"/>
      <c r="AV644" s="97" t="str">
        <f>IFERROR(__xludf.DUMMYFUNCTION("""COMPUTED_VALUE"""),"Pie")</f>
        <v>Pie</v>
      </c>
      <c r="AW644" s="97" t="str">
        <f>IFERROR(__xludf.DUMMYFUNCTION("""COMPUTED_VALUE"""),"De Apoyo")</f>
        <v>De Apoyo</v>
      </c>
      <c r="AX644" s="97" t="str">
        <f>IFERROR(__xludf.DUMMYFUNCTION("""COMPUTED_VALUE"""),"Interior")</f>
        <v>Interior</v>
      </c>
      <c r="AY644" s="97"/>
      <c r="AZ644" s="97"/>
      <c r="BA644" s="97"/>
      <c r="BB644" s="97"/>
      <c r="BC644" s="97"/>
      <c r="BD644" s="97" t="str">
        <f>IFERROR(__xludf.DUMMYFUNCTION("""COMPUTED_VALUE"""),"ELYAN ")</f>
        <v>ELYAN </v>
      </c>
      <c r="BE644" s="97" t="str">
        <f>IFERROR(__xludf.DUMMYFUNCTION("""COMPUTED_VALUE"""),"Sin Ficha")</f>
        <v>Sin Ficha</v>
      </c>
      <c r="BF644" s="97"/>
      <c r="BG644" s="97" t="str">
        <f>IFERROR(__xludf.DUMMYFUNCTION("""COMPUTED_VALUE"""),"Discontinuo")</f>
        <v>Discontinuo</v>
      </c>
    </row>
    <row r="645">
      <c r="A645" s="97">
        <f>IFERROR(__xludf.DUMMYFUNCTION("""COMPUTED_VALUE"""),6402.0)</f>
        <v>6402</v>
      </c>
      <c r="B645" s="97" t="str">
        <f>IFERROR(__xludf.DUMMYFUNCTION("""COMPUTED_VALUE"""),"LYON ")</f>
        <v>LYON </v>
      </c>
      <c r="C645" s="97" t="str">
        <f>IFERROR(__xludf.DUMMYFUNCTION("""COMPUTED_VALUE"""),"LAMPARA DE PIE LYON LEUK ")</f>
        <v>LAMPARA DE PIE LYON LEUK </v>
      </c>
      <c r="D645" s="97">
        <f>IFERROR(__xludf.DUMMYFUNCTION("""COMPUTED_VALUE"""),7.798328754745E12)</f>
        <v>7798328754745</v>
      </c>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t="str">
        <f>IFERROR(__xludf.DUMMYFUNCTION("""COMPUTED_VALUE"""),"IP20")</f>
        <v>IP20</v>
      </c>
      <c r="AE645" s="97"/>
      <c r="AF645" s="97" t="str">
        <f>IFERROR(__xludf.DUMMYFUNCTION("""COMPUTED_VALUE"""),"Autoportante")</f>
        <v>Autoportante</v>
      </c>
      <c r="AG645" s="97"/>
      <c r="AH645" s="97"/>
      <c r="AI645" s="97"/>
      <c r="AJ645" s="97"/>
      <c r="AK645" s="97"/>
      <c r="AL645" s="97"/>
      <c r="AM645" s="97"/>
      <c r="AN645" s="97"/>
      <c r="AO645" s="97" t="str">
        <f>IFERROR(__xludf.DUMMYFUNCTION("""COMPUTED_VALUE"""),"1 Año")</f>
        <v>1 Año</v>
      </c>
      <c r="AP645" s="97"/>
      <c r="AQ645" s="97"/>
      <c r="AR645" s="97"/>
      <c r="AS645" s="97"/>
      <c r="AT645" s="97"/>
      <c r="AU645" s="97"/>
      <c r="AV645" s="97" t="str">
        <f>IFERROR(__xludf.DUMMYFUNCTION("""COMPUTED_VALUE"""),"Pie")</f>
        <v>Pie</v>
      </c>
      <c r="AW645" s="97" t="str">
        <f>IFERROR(__xludf.DUMMYFUNCTION("""COMPUTED_VALUE"""),"De Apoyo")</f>
        <v>De Apoyo</v>
      </c>
      <c r="AX645" s="97" t="str">
        <f>IFERROR(__xludf.DUMMYFUNCTION("""COMPUTED_VALUE"""),"Interior")</f>
        <v>Interior</v>
      </c>
      <c r="AY645" s="97"/>
      <c r="AZ645" s="97"/>
      <c r="BA645" s="97"/>
      <c r="BB645" s="97"/>
      <c r="BC645" s="97"/>
      <c r="BD645" s="97" t="str">
        <f>IFERROR(__xludf.DUMMYFUNCTION("""COMPUTED_VALUE"""),"LYON ")</f>
        <v>LYON </v>
      </c>
      <c r="BE645" s="97" t="str">
        <f>IFERROR(__xludf.DUMMYFUNCTION("""COMPUTED_VALUE"""),"Sin Ficha")</f>
        <v>Sin Ficha</v>
      </c>
      <c r="BF645" s="97"/>
      <c r="BG645" s="97" t="str">
        <f>IFERROR(__xludf.DUMMYFUNCTION("""COMPUTED_VALUE"""),"Discontinuo")</f>
        <v>Discontinuo</v>
      </c>
    </row>
    <row r="646">
      <c r="A646" s="97">
        <f>IFERROR(__xludf.DUMMYFUNCTION("""COMPUTED_VALUE"""),6403.0)</f>
        <v>6403</v>
      </c>
      <c r="B646" s="97" t="str">
        <f>IFERROR(__xludf.DUMMYFUNCTION("""COMPUTED_VALUE"""),"KRYO")</f>
        <v>KRYO</v>
      </c>
      <c r="C646" s="97" t="str">
        <f>IFERROR(__xludf.DUMMYFUNCTION("""COMPUTED_VALUE"""),"VELADOR KRYO LEUK")</f>
        <v>VELADOR KRYO LEUK</v>
      </c>
      <c r="D646" s="97">
        <f>IFERROR(__xludf.DUMMYFUNCTION("""COMPUTED_VALUE"""),7.798328754776E12)</f>
        <v>7798328754776</v>
      </c>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t="str">
        <f>IFERROR(__xludf.DUMMYFUNCTION("""COMPUTED_VALUE"""),"IP20")</f>
        <v>IP20</v>
      </c>
      <c r="AE646" s="97"/>
      <c r="AF646" s="97" t="str">
        <f>IFERROR(__xludf.DUMMYFUNCTION("""COMPUTED_VALUE"""),"Autoportante")</f>
        <v>Autoportante</v>
      </c>
      <c r="AG646" s="97"/>
      <c r="AH646" s="97"/>
      <c r="AI646" s="97"/>
      <c r="AJ646" s="97"/>
      <c r="AK646" s="97"/>
      <c r="AL646" s="97"/>
      <c r="AM646" s="97"/>
      <c r="AN646" s="97"/>
      <c r="AO646" s="97" t="str">
        <f>IFERROR(__xludf.DUMMYFUNCTION("""COMPUTED_VALUE"""),"1 Año")</f>
        <v>1 Año</v>
      </c>
      <c r="AP646" s="97"/>
      <c r="AQ646" s="97"/>
      <c r="AR646" s="97"/>
      <c r="AS646" s="97"/>
      <c r="AT646" s="97"/>
      <c r="AU646" s="97"/>
      <c r="AV646" s="97" t="str">
        <f>IFERROR(__xludf.DUMMYFUNCTION("""COMPUTED_VALUE"""),"Mesa")</f>
        <v>Mesa</v>
      </c>
      <c r="AW646" s="97" t="str">
        <f>IFERROR(__xludf.DUMMYFUNCTION("""COMPUTED_VALUE"""),"De Apoyo")</f>
        <v>De Apoyo</v>
      </c>
      <c r="AX646" s="97" t="str">
        <f>IFERROR(__xludf.DUMMYFUNCTION("""COMPUTED_VALUE"""),"Interior")</f>
        <v>Interior</v>
      </c>
      <c r="AY646" s="97"/>
      <c r="AZ646" s="97"/>
      <c r="BA646" s="97"/>
      <c r="BB646" s="97"/>
      <c r="BC646" s="97"/>
      <c r="BD646" s="97" t="str">
        <f>IFERROR(__xludf.DUMMYFUNCTION("""COMPUTED_VALUE"""),"KRYO")</f>
        <v>KRYO</v>
      </c>
      <c r="BE646" s="97" t="str">
        <f>IFERROR(__xludf.DUMMYFUNCTION("""COMPUTED_VALUE"""),"Sin Ficha")</f>
        <v>Sin Ficha</v>
      </c>
      <c r="BF646" s="97"/>
      <c r="BG646" s="97" t="str">
        <f>IFERROR(__xludf.DUMMYFUNCTION("""COMPUTED_VALUE"""),"Discontinuo")</f>
        <v>Discontinuo</v>
      </c>
    </row>
    <row r="647">
      <c r="A647" s="97">
        <f>IFERROR(__xludf.DUMMYFUNCTION("""COMPUTED_VALUE"""),6404.0)</f>
        <v>6404</v>
      </c>
      <c r="B647" s="97" t="str">
        <f>IFERROR(__xludf.DUMMYFUNCTION("""COMPUTED_VALUE"""),"RODBY")</f>
        <v>RODBY</v>
      </c>
      <c r="C647" s="97" t="str">
        <f>IFERROR(__xludf.DUMMYFUNCTION("""COMPUTED_VALUE"""),"VELADOR RODBY BLANCO LEUK")</f>
        <v>VELADOR RODBY BLANCO LEUK</v>
      </c>
      <c r="D647" s="97">
        <f>IFERROR(__xludf.DUMMYFUNCTION("""COMPUTED_VALUE"""),7.798328754783E12)</f>
        <v>7798328754783</v>
      </c>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t="str">
        <f>IFERROR(__xludf.DUMMYFUNCTION("""COMPUTED_VALUE"""),"IP20")</f>
        <v>IP20</v>
      </c>
      <c r="AE647" s="97"/>
      <c r="AF647" s="97" t="str">
        <f>IFERROR(__xludf.DUMMYFUNCTION("""COMPUTED_VALUE"""),"Autoportante")</f>
        <v>Autoportante</v>
      </c>
      <c r="AG647" s="97"/>
      <c r="AH647" s="97"/>
      <c r="AI647" s="97"/>
      <c r="AJ647" s="97"/>
      <c r="AK647" s="97"/>
      <c r="AL647" s="97"/>
      <c r="AM647" s="97"/>
      <c r="AN647" s="97"/>
      <c r="AO647" s="97" t="str">
        <f>IFERROR(__xludf.DUMMYFUNCTION("""COMPUTED_VALUE"""),"1 Año")</f>
        <v>1 Año</v>
      </c>
      <c r="AP647" s="97"/>
      <c r="AQ647" s="97"/>
      <c r="AR647" s="97"/>
      <c r="AS647" s="97"/>
      <c r="AT647" s="97"/>
      <c r="AU647" s="97"/>
      <c r="AV647" s="97" t="str">
        <f>IFERROR(__xludf.DUMMYFUNCTION("""COMPUTED_VALUE"""),"Mesa")</f>
        <v>Mesa</v>
      </c>
      <c r="AW647" s="97" t="str">
        <f>IFERROR(__xludf.DUMMYFUNCTION("""COMPUTED_VALUE"""),"De Apoyo")</f>
        <v>De Apoyo</v>
      </c>
      <c r="AX647" s="97" t="str">
        <f>IFERROR(__xludf.DUMMYFUNCTION("""COMPUTED_VALUE"""),"Interior")</f>
        <v>Interior</v>
      </c>
      <c r="AY647" s="97"/>
      <c r="AZ647" s="97"/>
      <c r="BA647" s="97"/>
      <c r="BB647" s="97"/>
      <c r="BC647" s="97"/>
      <c r="BD647" s="97" t="str">
        <f>IFERROR(__xludf.DUMMYFUNCTION("""COMPUTED_VALUE"""),"RODBY")</f>
        <v>RODBY</v>
      </c>
      <c r="BE647" s="97" t="str">
        <f>IFERROR(__xludf.DUMMYFUNCTION("""COMPUTED_VALUE"""),"Sin Ficha")</f>
        <v>Sin Ficha</v>
      </c>
      <c r="BF647" s="97"/>
      <c r="BG647" s="97" t="str">
        <f>IFERROR(__xludf.DUMMYFUNCTION("""COMPUTED_VALUE"""),"Discontinuo")</f>
        <v>Discontinuo</v>
      </c>
    </row>
    <row r="648">
      <c r="A648" s="97">
        <f>IFERROR(__xludf.DUMMYFUNCTION("""COMPUTED_VALUE"""),6405.0)</f>
        <v>6405</v>
      </c>
      <c r="B648" s="97" t="str">
        <f>IFERROR(__xludf.DUMMYFUNCTION("""COMPUTED_VALUE"""),"RODBY")</f>
        <v>RODBY</v>
      </c>
      <c r="C648" s="97" t="str">
        <f>IFERROR(__xludf.DUMMYFUNCTION("""COMPUTED_VALUE"""),"VELADOR RODBY NEGRO LEUK")</f>
        <v>VELADOR RODBY NEGRO LEUK</v>
      </c>
      <c r="D648" s="97">
        <f>IFERROR(__xludf.DUMMYFUNCTION("""COMPUTED_VALUE"""),7.79832875479E12)</f>
        <v>7798328754790</v>
      </c>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t="str">
        <f>IFERROR(__xludf.DUMMYFUNCTION("""COMPUTED_VALUE"""),"IP20")</f>
        <v>IP20</v>
      </c>
      <c r="AE648" s="97"/>
      <c r="AF648" s="97" t="str">
        <f>IFERROR(__xludf.DUMMYFUNCTION("""COMPUTED_VALUE"""),"Autoportante")</f>
        <v>Autoportante</v>
      </c>
      <c r="AG648" s="97"/>
      <c r="AH648" s="97"/>
      <c r="AI648" s="97"/>
      <c r="AJ648" s="97"/>
      <c r="AK648" s="97"/>
      <c r="AL648" s="97"/>
      <c r="AM648" s="97"/>
      <c r="AN648" s="97"/>
      <c r="AO648" s="97" t="str">
        <f>IFERROR(__xludf.DUMMYFUNCTION("""COMPUTED_VALUE"""),"1 Año")</f>
        <v>1 Año</v>
      </c>
      <c r="AP648" s="97"/>
      <c r="AQ648" s="97"/>
      <c r="AR648" s="97"/>
      <c r="AS648" s="97"/>
      <c r="AT648" s="97"/>
      <c r="AU648" s="97"/>
      <c r="AV648" s="97" t="str">
        <f>IFERROR(__xludf.DUMMYFUNCTION("""COMPUTED_VALUE"""),"Mesa")</f>
        <v>Mesa</v>
      </c>
      <c r="AW648" s="97" t="str">
        <f>IFERROR(__xludf.DUMMYFUNCTION("""COMPUTED_VALUE"""),"De Apoyo")</f>
        <v>De Apoyo</v>
      </c>
      <c r="AX648" s="97" t="str">
        <f>IFERROR(__xludf.DUMMYFUNCTION("""COMPUTED_VALUE"""),"Interior")</f>
        <v>Interior</v>
      </c>
      <c r="AY648" s="97"/>
      <c r="AZ648" s="97"/>
      <c r="BA648" s="97"/>
      <c r="BB648" s="97"/>
      <c r="BC648" s="97"/>
      <c r="BD648" s="97" t="str">
        <f>IFERROR(__xludf.DUMMYFUNCTION("""COMPUTED_VALUE"""),"RODBY")</f>
        <v>RODBY</v>
      </c>
      <c r="BE648" s="97" t="str">
        <f>IFERROR(__xludf.DUMMYFUNCTION("""COMPUTED_VALUE"""),"Sin Ficha")</f>
        <v>Sin Ficha</v>
      </c>
      <c r="BF648" s="97"/>
      <c r="BG648" s="97" t="str">
        <f>IFERROR(__xludf.DUMMYFUNCTION("""COMPUTED_VALUE"""),"Discontinuo")</f>
        <v>Discontinuo</v>
      </c>
    </row>
    <row r="649">
      <c r="A649" s="97">
        <f>IFERROR(__xludf.DUMMYFUNCTION("""COMPUTED_VALUE"""),6406.0)</f>
        <v>6406</v>
      </c>
      <c r="B649" s="97" t="str">
        <f>IFERROR(__xludf.DUMMYFUNCTION("""COMPUTED_VALUE"""),"DIAMPY")</f>
        <v>DIAMPY</v>
      </c>
      <c r="C649" s="97" t="str">
        <f>IFERROR(__xludf.DUMMYFUNCTION("""COMPUTED_VALUE"""),"VELADOR DIAMPY LEUK")</f>
        <v>VELADOR DIAMPY LEUK</v>
      </c>
      <c r="D649" s="97">
        <f>IFERROR(__xludf.DUMMYFUNCTION("""COMPUTED_VALUE"""),7.798328754806E12)</f>
        <v>7798328754806</v>
      </c>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t="str">
        <f>IFERROR(__xludf.DUMMYFUNCTION("""COMPUTED_VALUE"""),"IP20")</f>
        <v>IP20</v>
      </c>
      <c r="AE649" s="97"/>
      <c r="AF649" s="97" t="str">
        <f>IFERROR(__xludf.DUMMYFUNCTION("""COMPUTED_VALUE"""),"Autoportante")</f>
        <v>Autoportante</v>
      </c>
      <c r="AG649" s="97"/>
      <c r="AH649" s="97"/>
      <c r="AI649" s="97"/>
      <c r="AJ649" s="97"/>
      <c r="AK649" s="97"/>
      <c r="AL649" s="97"/>
      <c r="AM649" s="97"/>
      <c r="AN649" s="97"/>
      <c r="AO649" s="97" t="str">
        <f>IFERROR(__xludf.DUMMYFUNCTION("""COMPUTED_VALUE"""),"1 Año")</f>
        <v>1 Año</v>
      </c>
      <c r="AP649" s="97"/>
      <c r="AQ649" s="97"/>
      <c r="AR649" s="97"/>
      <c r="AS649" s="97"/>
      <c r="AT649" s="97"/>
      <c r="AU649" s="97"/>
      <c r="AV649" s="97" t="str">
        <f>IFERROR(__xludf.DUMMYFUNCTION("""COMPUTED_VALUE"""),"Mesa")</f>
        <v>Mesa</v>
      </c>
      <c r="AW649" s="97" t="str">
        <f>IFERROR(__xludf.DUMMYFUNCTION("""COMPUTED_VALUE"""),"De Apoyo")</f>
        <v>De Apoyo</v>
      </c>
      <c r="AX649" s="97" t="str">
        <f>IFERROR(__xludf.DUMMYFUNCTION("""COMPUTED_VALUE"""),"Interior")</f>
        <v>Interior</v>
      </c>
      <c r="AY649" s="97"/>
      <c r="AZ649" s="97"/>
      <c r="BA649" s="97"/>
      <c r="BB649" s="97"/>
      <c r="BC649" s="97"/>
      <c r="BD649" s="97" t="str">
        <f>IFERROR(__xludf.DUMMYFUNCTION("""COMPUTED_VALUE"""),"DIAMPY")</f>
        <v>DIAMPY</v>
      </c>
      <c r="BE649" s="97" t="str">
        <f>IFERROR(__xludf.DUMMYFUNCTION("""COMPUTED_VALUE"""),"Sin Ficha")</f>
        <v>Sin Ficha</v>
      </c>
      <c r="BF649" s="97"/>
      <c r="BG649" s="97" t="str">
        <f>IFERROR(__xludf.DUMMYFUNCTION("""COMPUTED_VALUE"""),"Discontinuo")</f>
        <v>Discontinuo</v>
      </c>
    </row>
    <row r="650">
      <c r="A650" s="97">
        <f>IFERROR(__xludf.DUMMYFUNCTION("""COMPUTED_VALUE"""),6407.0)</f>
        <v>6407</v>
      </c>
      <c r="B650" s="97" t="str">
        <f>IFERROR(__xludf.DUMMYFUNCTION("""COMPUTED_VALUE"""),"KOPY")</f>
        <v>KOPY</v>
      </c>
      <c r="C650" s="97" t="str">
        <f>IFERROR(__xludf.DUMMYFUNCTION("""COMPUTED_VALUE"""),"LAMPARA DE PIE KOPY LEUK")</f>
        <v>LAMPARA DE PIE KOPY LEUK</v>
      </c>
      <c r="D650" s="97">
        <f>IFERROR(__xludf.DUMMYFUNCTION("""COMPUTED_VALUE"""),7.798328754813E12)</f>
        <v>7798328754813</v>
      </c>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t="str">
        <f>IFERROR(__xludf.DUMMYFUNCTION("""COMPUTED_VALUE"""),"IP20")</f>
        <v>IP20</v>
      </c>
      <c r="AE650" s="97"/>
      <c r="AF650" s="97" t="str">
        <f>IFERROR(__xludf.DUMMYFUNCTION("""COMPUTED_VALUE"""),"Autoportante")</f>
        <v>Autoportante</v>
      </c>
      <c r="AG650" s="97"/>
      <c r="AH650" s="97"/>
      <c r="AI650" s="97"/>
      <c r="AJ650" s="97"/>
      <c r="AK650" s="97"/>
      <c r="AL650" s="97"/>
      <c r="AM650" s="97"/>
      <c r="AN650" s="97"/>
      <c r="AO650" s="97" t="str">
        <f>IFERROR(__xludf.DUMMYFUNCTION("""COMPUTED_VALUE"""),"1 Año")</f>
        <v>1 Año</v>
      </c>
      <c r="AP650" s="97"/>
      <c r="AQ650" s="97"/>
      <c r="AR650" s="97"/>
      <c r="AS650" s="97"/>
      <c r="AT650" s="97"/>
      <c r="AU650" s="97"/>
      <c r="AV650" s="97" t="str">
        <f>IFERROR(__xludf.DUMMYFUNCTION("""COMPUTED_VALUE"""),"Pie")</f>
        <v>Pie</v>
      </c>
      <c r="AW650" s="97" t="str">
        <f>IFERROR(__xludf.DUMMYFUNCTION("""COMPUTED_VALUE"""),"De Apoyo")</f>
        <v>De Apoyo</v>
      </c>
      <c r="AX650" s="97" t="str">
        <f>IFERROR(__xludf.DUMMYFUNCTION("""COMPUTED_VALUE"""),"Interior")</f>
        <v>Interior</v>
      </c>
      <c r="AY650" s="97"/>
      <c r="AZ650" s="97"/>
      <c r="BA650" s="97"/>
      <c r="BB650" s="97"/>
      <c r="BC650" s="97"/>
      <c r="BD650" s="97" t="str">
        <f>IFERROR(__xludf.DUMMYFUNCTION("""COMPUTED_VALUE"""),"KOPY")</f>
        <v>KOPY</v>
      </c>
      <c r="BE650" s="97" t="str">
        <f>IFERROR(__xludf.DUMMYFUNCTION("""COMPUTED_VALUE"""),"Sin Ficha")</f>
        <v>Sin Ficha</v>
      </c>
      <c r="BF650" s="97"/>
      <c r="BG650" s="97" t="str">
        <f>IFERROR(__xludf.DUMMYFUNCTION("""COMPUTED_VALUE"""),"Discontinuo")</f>
        <v>Discontinuo</v>
      </c>
    </row>
    <row r="651">
      <c r="A651" s="97">
        <f>IFERROR(__xludf.DUMMYFUNCTION("""COMPUTED_VALUE"""),6408.0)</f>
        <v>6408</v>
      </c>
      <c r="B651" s="97" t="str">
        <f>IFERROR(__xludf.DUMMYFUNCTION("""COMPUTED_VALUE"""),"DARYU")</f>
        <v>DARYU</v>
      </c>
      <c r="C651" s="97" t="str">
        <f>IFERROR(__xludf.DUMMYFUNCTION("""COMPUTED_VALUE"""),"VELADOR DARYU LEUK")</f>
        <v>VELADOR DARYU LEUK</v>
      </c>
      <c r="D651" s="97">
        <f>IFERROR(__xludf.DUMMYFUNCTION("""COMPUTED_VALUE"""),7.79832875482E12)</f>
        <v>7798328754820</v>
      </c>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t="str">
        <f>IFERROR(__xludf.DUMMYFUNCTION("""COMPUTED_VALUE"""),"IP20")</f>
        <v>IP20</v>
      </c>
      <c r="AE651" s="97"/>
      <c r="AF651" s="97" t="str">
        <f>IFERROR(__xludf.DUMMYFUNCTION("""COMPUTED_VALUE"""),"Autoportante")</f>
        <v>Autoportante</v>
      </c>
      <c r="AG651" s="97"/>
      <c r="AH651" s="97"/>
      <c r="AI651" s="97"/>
      <c r="AJ651" s="97"/>
      <c r="AK651" s="97"/>
      <c r="AL651" s="97"/>
      <c r="AM651" s="97"/>
      <c r="AN651" s="97"/>
      <c r="AO651" s="97" t="str">
        <f>IFERROR(__xludf.DUMMYFUNCTION("""COMPUTED_VALUE"""),"1 Año")</f>
        <v>1 Año</v>
      </c>
      <c r="AP651" s="97"/>
      <c r="AQ651" s="97"/>
      <c r="AR651" s="97"/>
      <c r="AS651" s="97"/>
      <c r="AT651" s="97"/>
      <c r="AU651" s="97"/>
      <c r="AV651" s="97" t="str">
        <f>IFERROR(__xludf.DUMMYFUNCTION("""COMPUTED_VALUE"""),"Mesa")</f>
        <v>Mesa</v>
      </c>
      <c r="AW651" s="97" t="str">
        <f>IFERROR(__xludf.DUMMYFUNCTION("""COMPUTED_VALUE"""),"De Apoyo")</f>
        <v>De Apoyo</v>
      </c>
      <c r="AX651" s="97" t="str">
        <f>IFERROR(__xludf.DUMMYFUNCTION("""COMPUTED_VALUE"""),"Interior")</f>
        <v>Interior</v>
      </c>
      <c r="AY651" s="97"/>
      <c r="AZ651" s="97"/>
      <c r="BA651" s="97"/>
      <c r="BB651" s="97"/>
      <c r="BC651" s="97"/>
      <c r="BD651" s="97" t="str">
        <f>IFERROR(__xludf.DUMMYFUNCTION("""COMPUTED_VALUE"""),"DARYU")</f>
        <v>DARYU</v>
      </c>
      <c r="BE651" s="97" t="str">
        <f>IFERROR(__xludf.DUMMYFUNCTION("""COMPUTED_VALUE"""),"Sin Ficha")</f>
        <v>Sin Ficha</v>
      </c>
      <c r="BF651" s="97"/>
      <c r="BG651" s="97" t="str">
        <f>IFERROR(__xludf.DUMMYFUNCTION("""COMPUTED_VALUE"""),"Discontinuo")</f>
        <v>Discontinuo</v>
      </c>
    </row>
    <row r="652">
      <c r="A652" s="97">
        <f>IFERROR(__xludf.DUMMYFUNCTION("""COMPUTED_VALUE"""),6409.0)</f>
        <v>6409</v>
      </c>
      <c r="B652" s="97" t="str">
        <f>IFERROR(__xludf.DUMMYFUNCTION("""COMPUTED_VALUE"""),"ADRYN BL")</f>
        <v>ADRYN BL</v>
      </c>
      <c r="C652" s="97" t="str">
        <f>IFERROR(__xludf.DUMMYFUNCTION("""COMPUTED_VALUE"""),"VELADOR ADRYN BLANCO LEUK")</f>
        <v>VELADOR ADRYN BLANCO LEUK</v>
      </c>
      <c r="D652" s="97">
        <f>IFERROR(__xludf.DUMMYFUNCTION("""COMPUTED_VALUE"""),7.798328752352E12)</f>
        <v>7798328752352</v>
      </c>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t="str">
        <f>IFERROR(__xludf.DUMMYFUNCTION("""COMPUTED_VALUE"""),"IP20")</f>
        <v>IP20</v>
      </c>
      <c r="AE652" s="97"/>
      <c r="AF652" s="97" t="str">
        <f>IFERROR(__xludf.DUMMYFUNCTION("""COMPUTED_VALUE"""),"Autoportante")</f>
        <v>Autoportante</v>
      </c>
      <c r="AG652" s="97"/>
      <c r="AH652" s="97"/>
      <c r="AI652" s="97"/>
      <c r="AJ652" s="97"/>
      <c r="AK652" s="97"/>
      <c r="AL652" s="97"/>
      <c r="AM652" s="97"/>
      <c r="AN652" s="97"/>
      <c r="AO652" s="97" t="str">
        <f>IFERROR(__xludf.DUMMYFUNCTION("""COMPUTED_VALUE"""),"1 Año")</f>
        <v>1 Año</v>
      </c>
      <c r="AP652" s="97"/>
      <c r="AQ652" s="97"/>
      <c r="AR652" s="97"/>
      <c r="AS652" s="97"/>
      <c r="AT652" s="97"/>
      <c r="AU652" s="97"/>
      <c r="AV652" s="97" t="str">
        <f>IFERROR(__xludf.DUMMYFUNCTION("""COMPUTED_VALUE"""),"Mesa")</f>
        <v>Mesa</v>
      </c>
      <c r="AW652" s="97" t="str">
        <f>IFERROR(__xludf.DUMMYFUNCTION("""COMPUTED_VALUE"""),"De Apoyo")</f>
        <v>De Apoyo</v>
      </c>
      <c r="AX652" s="97" t="str">
        <f>IFERROR(__xludf.DUMMYFUNCTION("""COMPUTED_VALUE"""),"Interior")</f>
        <v>Interior</v>
      </c>
      <c r="AY652" s="97"/>
      <c r="AZ652" s="97"/>
      <c r="BA652" s="97"/>
      <c r="BB652" s="97"/>
      <c r="BC652" s="97"/>
      <c r="BD652" s="97" t="str">
        <f>IFERROR(__xludf.DUMMYFUNCTION("""COMPUTED_VALUE"""),"ADRYN")</f>
        <v>ADRYN</v>
      </c>
      <c r="BE652" s="97" t="str">
        <f>IFERROR(__xludf.DUMMYFUNCTION("""COMPUTED_VALUE"""),"Sin Ficha")</f>
        <v>Sin Ficha</v>
      </c>
      <c r="BF652" s="97"/>
      <c r="BG652" s="97" t="str">
        <f>IFERROR(__xludf.DUMMYFUNCTION("""COMPUTED_VALUE"""),"Discontinuo")</f>
        <v>Discontinuo</v>
      </c>
    </row>
    <row r="653">
      <c r="A653" s="97">
        <f>IFERROR(__xludf.DUMMYFUNCTION("""COMPUTED_VALUE"""),6410.0)</f>
        <v>6410</v>
      </c>
      <c r="B653" s="97" t="str">
        <f>IFERROR(__xludf.DUMMYFUNCTION("""COMPUTED_VALUE"""),"ADRYN NG")</f>
        <v>ADRYN NG</v>
      </c>
      <c r="C653" s="97" t="str">
        <f>IFERROR(__xludf.DUMMYFUNCTION("""COMPUTED_VALUE"""),"VELADOR ADRYN NEGRO LEUK")</f>
        <v>VELADOR ADRYN NEGRO LEUK</v>
      </c>
      <c r="D653" s="97">
        <f>IFERROR(__xludf.DUMMYFUNCTION("""COMPUTED_VALUE"""),7.798328752369E12)</f>
        <v>7798328752369</v>
      </c>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t="str">
        <f>IFERROR(__xludf.DUMMYFUNCTION("""COMPUTED_VALUE"""),"IP20")</f>
        <v>IP20</v>
      </c>
      <c r="AE653" s="97"/>
      <c r="AF653" s="97" t="str">
        <f>IFERROR(__xludf.DUMMYFUNCTION("""COMPUTED_VALUE"""),"Autoportante")</f>
        <v>Autoportante</v>
      </c>
      <c r="AG653" s="97"/>
      <c r="AH653" s="97"/>
      <c r="AI653" s="97"/>
      <c r="AJ653" s="97"/>
      <c r="AK653" s="97"/>
      <c r="AL653" s="97"/>
      <c r="AM653" s="97"/>
      <c r="AN653" s="97"/>
      <c r="AO653" s="97" t="str">
        <f>IFERROR(__xludf.DUMMYFUNCTION("""COMPUTED_VALUE"""),"1 Año")</f>
        <v>1 Año</v>
      </c>
      <c r="AP653" s="97"/>
      <c r="AQ653" s="97"/>
      <c r="AR653" s="97"/>
      <c r="AS653" s="97"/>
      <c r="AT653" s="97"/>
      <c r="AU653" s="97"/>
      <c r="AV653" s="97" t="str">
        <f>IFERROR(__xludf.DUMMYFUNCTION("""COMPUTED_VALUE"""),"Mesa")</f>
        <v>Mesa</v>
      </c>
      <c r="AW653" s="97" t="str">
        <f>IFERROR(__xludf.DUMMYFUNCTION("""COMPUTED_VALUE"""),"De Apoyo")</f>
        <v>De Apoyo</v>
      </c>
      <c r="AX653" s="97" t="str">
        <f>IFERROR(__xludf.DUMMYFUNCTION("""COMPUTED_VALUE"""),"Interior")</f>
        <v>Interior</v>
      </c>
      <c r="AY653" s="97"/>
      <c r="AZ653" s="97"/>
      <c r="BA653" s="97"/>
      <c r="BB653" s="97"/>
      <c r="BC653" s="97"/>
      <c r="BD653" s="97" t="str">
        <f>IFERROR(__xludf.DUMMYFUNCTION("""COMPUTED_VALUE"""),"ADRYN")</f>
        <v>ADRYN</v>
      </c>
      <c r="BE653" s="97" t="str">
        <f>IFERROR(__xludf.DUMMYFUNCTION("""COMPUTED_VALUE"""),"Sin Ficha")</f>
        <v>Sin Ficha</v>
      </c>
      <c r="BF653" s="97"/>
      <c r="BG653" s="97" t="str">
        <f>IFERROR(__xludf.DUMMYFUNCTION("""COMPUTED_VALUE"""),"Discontinuo")</f>
        <v>Discontinuo</v>
      </c>
    </row>
    <row r="654">
      <c r="A654" s="97">
        <f>IFERROR(__xludf.DUMMYFUNCTION("""COMPUTED_VALUE"""),6411.0)</f>
        <v>6411</v>
      </c>
      <c r="B654" s="97" t="str">
        <f>IFERROR(__xludf.DUMMYFUNCTION("""COMPUTED_VALUE"""),"CARYLU BL")</f>
        <v>CARYLU BL</v>
      </c>
      <c r="C654" s="97" t="str">
        <f>IFERROR(__xludf.DUMMYFUNCTION("""COMPUTED_VALUE"""),"VELADOR CARYLU BLANCO LEUK")</f>
        <v>VELADOR CARYLU BLANCO LEUK</v>
      </c>
      <c r="D654" s="97">
        <f>IFERROR(__xludf.DUMMYFUNCTION("""COMPUTED_VALUE"""),7.798328752376E12)</f>
        <v>7798328752376</v>
      </c>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t="str">
        <f>IFERROR(__xludf.DUMMYFUNCTION("""COMPUTED_VALUE"""),"IP20")</f>
        <v>IP20</v>
      </c>
      <c r="AE654" s="97"/>
      <c r="AF654" s="97" t="str">
        <f>IFERROR(__xludf.DUMMYFUNCTION("""COMPUTED_VALUE"""),"Autoportante")</f>
        <v>Autoportante</v>
      </c>
      <c r="AG654" s="97"/>
      <c r="AH654" s="97"/>
      <c r="AI654" s="97"/>
      <c r="AJ654" s="97"/>
      <c r="AK654" s="97"/>
      <c r="AL654" s="97"/>
      <c r="AM654" s="97"/>
      <c r="AN654" s="97"/>
      <c r="AO654" s="97" t="str">
        <f>IFERROR(__xludf.DUMMYFUNCTION("""COMPUTED_VALUE"""),"1 Año")</f>
        <v>1 Año</v>
      </c>
      <c r="AP654" s="97"/>
      <c r="AQ654" s="97"/>
      <c r="AR654" s="97"/>
      <c r="AS654" s="97"/>
      <c r="AT654" s="97"/>
      <c r="AU654" s="97"/>
      <c r="AV654" s="97" t="str">
        <f>IFERROR(__xludf.DUMMYFUNCTION("""COMPUTED_VALUE"""),"Mesa")</f>
        <v>Mesa</v>
      </c>
      <c r="AW654" s="97" t="str">
        <f>IFERROR(__xludf.DUMMYFUNCTION("""COMPUTED_VALUE"""),"De Apoyo")</f>
        <v>De Apoyo</v>
      </c>
      <c r="AX654" s="97" t="str">
        <f>IFERROR(__xludf.DUMMYFUNCTION("""COMPUTED_VALUE"""),"Interior")</f>
        <v>Interior</v>
      </c>
      <c r="AY654" s="97"/>
      <c r="AZ654" s="97"/>
      <c r="BA654" s="97"/>
      <c r="BB654" s="97"/>
      <c r="BC654" s="97"/>
      <c r="BD654" s="97" t="str">
        <f>IFERROR(__xludf.DUMMYFUNCTION("""COMPUTED_VALUE"""),"CARYLU")</f>
        <v>CARYLU</v>
      </c>
      <c r="BE654" s="97" t="str">
        <f>IFERROR(__xludf.DUMMYFUNCTION("""COMPUTED_VALUE"""),"Sin Ficha")</f>
        <v>Sin Ficha</v>
      </c>
      <c r="BF654" s="97"/>
      <c r="BG654" s="97" t="str">
        <f>IFERROR(__xludf.DUMMYFUNCTION("""COMPUTED_VALUE"""),"Discontinuo")</f>
        <v>Discontinuo</v>
      </c>
    </row>
    <row r="655">
      <c r="A655" s="97">
        <f>IFERROR(__xludf.DUMMYFUNCTION("""COMPUTED_VALUE"""),6412.0)</f>
        <v>6412</v>
      </c>
      <c r="B655" s="97" t="str">
        <f>IFERROR(__xludf.DUMMYFUNCTION("""COMPUTED_VALUE"""),"CARYLU NG")</f>
        <v>CARYLU NG</v>
      </c>
      <c r="C655" s="97" t="str">
        <f>IFERROR(__xludf.DUMMYFUNCTION("""COMPUTED_VALUE"""),"VELADOR CARYLU NEGRO LEUK")</f>
        <v>VELADOR CARYLU NEGRO LEUK</v>
      </c>
      <c r="D655" s="97">
        <f>IFERROR(__xludf.DUMMYFUNCTION("""COMPUTED_VALUE"""),7.798328752383E12)</f>
        <v>7798328752383</v>
      </c>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t="str">
        <f>IFERROR(__xludf.DUMMYFUNCTION("""COMPUTED_VALUE"""),"IP20")</f>
        <v>IP20</v>
      </c>
      <c r="AE655" s="97"/>
      <c r="AF655" s="97" t="str">
        <f>IFERROR(__xludf.DUMMYFUNCTION("""COMPUTED_VALUE"""),"Autoportante")</f>
        <v>Autoportante</v>
      </c>
      <c r="AG655" s="97"/>
      <c r="AH655" s="97"/>
      <c r="AI655" s="97"/>
      <c r="AJ655" s="97"/>
      <c r="AK655" s="97"/>
      <c r="AL655" s="97"/>
      <c r="AM655" s="97"/>
      <c r="AN655" s="97"/>
      <c r="AO655" s="97" t="str">
        <f>IFERROR(__xludf.DUMMYFUNCTION("""COMPUTED_VALUE"""),"1 Año")</f>
        <v>1 Año</v>
      </c>
      <c r="AP655" s="97"/>
      <c r="AQ655" s="97"/>
      <c r="AR655" s="97"/>
      <c r="AS655" s="97"/>
      <c r="AT655" s="97"/>
      <c r="AU655" s="97"/>
      <c r="AV655" s="97" t="str">
        <f>IFERROR(__xludf.DUMMYFUNCTION("""COMPUTED_VALUE"""),"Mesa")</f>
        <v>Mesa</v>
      </c>
      <c r="AW655" s="97" t="str">
        <f>IFERROR(__xludf.DUMMYFUNCTION("""COMPUTED_VALUE"""),"De Apoyo")</f>
        <v>De Apoyo</v>
      </c>
      <c r="AX655" s="97" t="str">
        <f>IFERROR(__xludf.DUMMYFUNCTION("""COMPUTED_VALUE"""),"Interior")</f>
        <v>Interior</v>
      </c>
      <c r="AY655" s="97"/>
      <c r="AZ655" s="97"/>
      <c r="BA655" s="97"/>
      <c r="BB655" s="97"/>
      <c r="BC655" s="97"/>
      <c r="BD655" s="97" t="str">
        <f>IFERROR(__xludf.DUMMYFUNCTION("""COMPUTED_VALUE"""),"CARYLU")</f>
        <v>CARYLU</v>
      </c>
      <c r="BE655" s="97" t="str">
        <f>IFERROR(__xludf.DUMMYFUNCTION("""COMPUTED_VALUE"""),"Sin Ficha")</f>
        <v>Sin Ficha</v>
      </c>
      <c r="BF655" s="97"/>
      <c r="BG655" s="97" t="str">
        <f>IFERROR(__xludf.DUMMYFUNCTION("""COMPUTED_VALUE"""),"Discontinuo")</f>
        <v>Discontinuo</v>
      </c>
    </row>
    <row r="656">
      <c r="A656" s="97">
        <f>IFERROR(__xludf.DUMMYFUNCTION("""COMPUTED_VALUE"""),6413.0)</f>
        <v>6413</v>
      </c>
      <c r="B656" s="97" t="str">
        <f>IFERROR(__xludf.DUMMYFUNCTION("""COMPUTED_VALUE"""),"FUCO")</f>
        <v>FUCO</v>
      </c>
      <c r="C656" s="97" t="str">
        <f>IFERROR(__xludf.DUMMYFUNCTION("""COMPUTED_VALUE"""),"LAMPARA DE PIE FUCO LEUK")</f>
        <v>LAMPARA DE PIE FUCO LEUK</v>
      </c>
      <c r="D656" s="97">
        <f>IFERROR(__xludf.DUMMYFUNCTION("""COMPUTED_VALUE"""),7.798328758637E12)</f>
        <v>7798328758637</v>
      </c>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t="str">
        <f>IFERROR(__xludf.DUMMYFUNCTION("""COMPUTED_VALUE"""),"IP20")</f>
        <v>IP20</v>
      </c>
      <c r="AE656" s="97"/>
      <c r="AF656" s="97" t="str">
        <f>IFERROR(__xludf.DUMMYFUNCTION("""COMPUTED_VALUE"""),"Autoportante")</f>
        <v>Autoportante</v>
      </c>
      <c r="AG656" s="97"/>
      <c r="AH656" s="97"/>
      <c r="AI656" s="97"/>
      <c r="AJ656" s="97"/>
      <c r="AK656" s="97"/>
      <c r="AL656" s="97"/>
      <c r="AM656" s="97"/>
      <c r="AN656" s="97"/>
      <c r="AO656" s="97" t="str">
        <f>IFERROR(__xludf.DUMMYFUNCTION("""COMPUTED_VALUE"""),"1 Año")</f>
        <v>1 Año</v>
      </c>
      <c r="AP656" s="97"/>
      <c r="AQ656" s="97"/>
      <c r="AR656" s="97"/>
      <c r="AS656" s="97"/>
      <c r="AT656" s="97"/>
      <c r="AU656" s="97"/>
      <c r="AV656" s="97" t="str">
        <f>IFERROR(__xludf.DUMMYFUNCTION("""COMPUTED_VALUE"""),"Pie")</f>
        <v>Pie</v>
      </c>
      <c r="AW656" s="97" t="str">
        <f>IFERROR(__xludf.DUMMYFUNCTION("""COMPUTED_VALUE"""),"De Apoyo")</f>
        <v>De Apoyo</v>
      </c>
      <c r="AX656" s="97" t="str">
        <f>IFERROR(__xludf.DUMMYFUNCTION("""COMPUTED_VALUE"""),"Interior")</f>
        <v>Interior</v>
      </c>
      <c r="AY656" s="97"/>
      <c r="AZ656" s="97"/>
      <c r="BA656" s="97"/>
      <c r="BB656" s="97"/>
      <c r="BC656" s="97"/>
      <c r="BD656" s="97" t="str">
        <f>IFERROR(__xludf.DUMMYFUNCTION("""COMPUTED_VALUE"""),"FUCO")</f>
        <v>FUCO</v>
      </c>
      <c r="BE656" s="97" t="str">
        <f>IFERROR(__xludf.DUMMYFUNCTION("""COMPUTED_VALUE"""),"Sin Ficha")</f>
        <v>Sin Ficha</v>
      </c>
      <c r="BF656" s="97"/>
      <c r="BG656" s="97" t="str">
        <f>IFERROR(__xludf.DUMMYFUNCTION("""COMPUTED_VALUE"""),"Discontinuo")</f>
        <v>Discontinuo</v>
      </c>
    </row>
    <row r="657">
      <c r="A657" s="97">
        <f>IFERROR(__xludf.DUMMYFUNCTION("""COMPUTED_VALUE"""),6414.0)</f>
        <v>6414</v>
      </c>
      <c r="B657" s="97" t="str">
        <f>IFERROR(__xludf.DUMMYFUNCTION("""COMPUTED_VALUE"""),"EGON BL")</f>
        <v>EGON BL</v>
      </c>
      <c r="C657" s="97" t="str">
        <f>IFERROR(__xludf.DUMMYFUNCTION("""COMPUTED_VALUE"""),"VELADOR EGON BLANCO LEUK")</f>
        <v>VELADOR EGON BLANCO LEUK</v>
      </c>
      <c r="D657" s="97">
        <f>IFERROR(__xludf.DUMMYFUNCTION("""COMPUTED_VALUE"""),7.79832875239E12)</f>
        <v>7798328752390</v>
      </c>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t="str">
        <f>IFERROR(__xludf.DUMMYFUNCTION("""COMPUTED_VALUE"""),"IP20")</f>
        <v>IP20</v>
      </c>
      <c r="AE657" s="97"/>
      <c r="AF657" s="97" t="str">
        <f>IFERROR(__xludf.DUMMYFUNCTION("""COMPUTED_VALUE"""),"Autoportante")</f>
        <v>Autoportante</v>
      </c>
      <c r="AG657" s="97"/>
      <c r="AH657" s="97"/>
      <c r="AI657" s="97"/>
      <c r="AJ657" s="97"/>
      <c r="AK657" s="97"/>
      <c r="AL657" s="97"/>
      <c r="AM657" s="97"/>
      <c r="AN657" s="97"/>
      <c r="AO657" s="97" t="str">
        <f>IFERROR(__xludf.DUMMYFUNCTION("""COMPUTED_VALUE"""),"1 Año")</f>
        <v>1 Año</v>
      </c>
      <c r="AP657" s="97"/>
      <c r="AQ657" s="97"/>
      <c r="AR657" s="97"/>
      <c r="AS657" s="97"/>
      <c r="AT657" s="97"/>
      <c r="AU657" s="97"/>
      <c r="AV657" s="97" t="str">
        <f>IFERROR(__xludf.DUMMYFUNCTION("""COMPUTED_VALUE"""),"Mesa")</f>
        <v>Mesa</v>
      </c>
      <c r="AW657" s="97" t="str">
        <f>IFERROR(__xludf.DUMMYFUNCTION("""COMPUTED_VALUE"""),"De Apoyo")</f>
        <v>De Apoyo</v>
      </c>
      <c r="AX657" s="97" t="str">
        <f>IFERROR(__xludf.DUMMYFUNCTION("""COMPUTED_VALUE"""),"Interior")</f>
        <v>Interior</v>
      </c>
      <c r="AY657" s="97"/>
      <c r="AZ657" s="97"/>
      <c r="BA657" s="97"/>
      <c r="BB657" s="97"/>
      <c r="BC657" s="97"/>
      <c r="BD657" s="97" t="str">
        <f>IFERROR(__xludf.DUMMYFUNCTION("""COMPUTED_VALUE"""),"EGON")</f>
        <v>EGON</v>
      </c>
      <c r="BE657" s="97" t="str">
        <f>IFERROR(__xludf.DUMMYFUNCTION("""COMPUTED_VALUE"""),"Sin Ficha")</f>
        <v>Sin Ficha</v>
      </c>
      <c r="BF657" s="97"/>
      <c r="BG657" s="97" t="str">
        <f>IFERROR(__xludf.DUMMYFUNCTION("""COMPUTED_VALUE"""),"Discontinuo")</f>
        <v>Discontinuo</v>
      </c>
    </row>
    <row r="658">
      <c r="A658" s="97">
        <f>IFERROR(__xludf.DUMMYFUNCTION("""COMPUTED_VALUE"""),6415.0)</f>
        <v>6415</v>
      </c>
      <c r="B658" s="97" t="str">
        <f>IFERROR(__xludf.DUMMYFUNCTION("""COMPUTED_VALUE"""),"EGON NG")</f>
        <v>EGON NG</v>
      </c>
      <c r="C658" s="97" t="str">
        <f>IFERROR(__xludf.DUMMYFUNCTION("""COMPUTED_VALUE"""),"VELADOR EGON NEGRO LEUK")</f>
        <v>VELADOR EGON NEGRO LEUK</v>
      </c>
      <c r="D658" s="97">
        <f>IFERROR(__xludf.DUMMYFUNCTION("""COMPUTED_VALUE"""),7.798328753816E12)</f>
        <v>7798328753816</v>
      </c>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t="str">
        <f>IFERROR(__xludf.DUMMYFUNCTION("""COMPUTED_VALUE"""),"IP20")</f>
        <v>IP20</v>
      </c>
      <c r="AE658" s="97"/>
      <c r="AF658" s="97" t="str">
        <f>IFERROR(__xludf.DUMMYFUNCTION("""COMPUTED_VALUE"""),"Autoportante")</f>
        <v>Autoportante</v>
      </c>
      <c r="AG658" s="97"/>
      <c r="AH658" s="97"/>
      <c r="AI658" s="97"/>
      <c r="AJ658" s="97"/>
      <c r="AK658" s="97"/>
      <c r="AL658" s="97"/>
      <c r="AM658" s="97"/>
      <c r="AN658" s="97"/>
      <c r="AO658" s="97" t="str">
        <f>IFERROR(__xludf.DUMMYFUNCTION("""COMPUTED_VALUE"""),"1 Año")</f>
        <v>1 Año</v>
      </c>
      <c r="AP658" s="97"/>
      <c r="AQ658" s="97"/>
      <c r="AR658" s="97"/>
      <c r="AS658" s="97"/>
      <c r="AT658" s="97"/>
      <c r="AU658" s="97"/>
      <c r="AV658" s="97" t="str">
        <f>IFERROR(__xludf.DUMMYFUNCTION("""COMPUTED_VALUE"""),"Mesa")</f>
        <v>Mesa</v>
      </c>
      <c r="AW658" s="97" t="str">
        <f>IFERROR(__xludf.DUMMYFUNCTION("""COMPUTED_VALUE"""),"De Apoyo")</f>
        <v>De Apoyo</v>
      </c>
      <c r="AX658" s="97" t="str">
        <f>IFERROR(__xludf.DUMMYFUNCTION("""COMPUTED_VALUE"""),"Interior")</f>
        <v>Interior</v>
      </c>
      <c r="AY658" s="97"/>
      <c r="AZ658" s="97"/>
      <c r="BA658" s="97"/>
      <c r="BB658" s="97"/>
      <c r="BC658" s="97"/>
      <c r="BD658" s="97" t="str">
        <f>IFERROR(__xludf.DUMMYFUNCTION("""COMPUTED_VALUE"""),"EGON")</f>
        <v>EGON</v>
      </c>
      <c r="BE658" s="97" t="str">
        <f>IFERROR(__xludf.DUMMYFUNCTION("""COMPUTED_VALUE"""),"Sin Ficha")</f>
        <v>Sin Ficha</v>
      </c>
      <c r="BF658" s="97"/>
      <c r="BG658" s="97" t="str">
        <f>IFERROR(__xludf.DUMMYFUNCTION("""COMPUTED_VALUE"""),"Discontinuo")</f>
        <v>Discontinuo</v>
      </c>
    </row>
    <row r="659">
      <c r="A659" s="97">
        <f>IFERROR(__xludf.DUMMYFUNCTION("""COMPUTED_VALUE"""),6416.0)</f>
        <v>6416</v>
      </c>
      <c r="B659" s="97" t="str">
        <f>IFERROR(__xludf.DUMMYFUNCTION("""COMPUTED_VALUE"""),"AMILE BL")</f>
        <v>AMILE BL</v>
      </c>
      <c r="C659" s="97" t="str">
        <f>IFERROR(__xludf.DUMMYFUNCTION("""COMPUTED_VALUE"""),"VELADOR AMILE BLANCO LEUK")</f>
        <v>VELADOR AMILE BLANCO LEUK</v>
      </c>
      <c r="D659" s="97">
        <f>IFERROR(__xludf.DUMMYFUNCTION("""COMPUTED_VALUE"""),7.798328753847E12)</f>
        <v>7798328753847</v>
      </c>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t="str">
        <f>IFERROR(__xludf.DUMMYFUNCTION("""COMPUTED_VALUE"""),"IP20")</f>
        <v>IP20</v>
      </c>
      <c r="AE659" s="97"/>
      <c r="AF659" s="97" t="str">
        <f>IFERROR(__xludf.DUMMYFUNCTION("""COMPUTED_VALUE"""),"Autoportante")</f>
        <v>Autoportante</v>
      </c>
      <c r="AG659" s="97"/>
      <c r="AH659" s="97"/>
      <c r="AI659" s="97"/>
      <c r="AJ659" s="97"/>
      <c r="AK659" s="97"/>
      <c r="AL659" s="97"/>
      <c r="AM659" s="97"/>
      <c r="AN659" s="97"/>
      <c r="AO659" s="97" t="str">
        <f>IFERROR(__xludf.DUMMYFUNCTION("""COMPUTED_VALUE"""),"1 Año")</f>
        <v>1 Año</v>
      </c>
      <c r="AP659" s="97"/>
      <c r="AQ659" s="97"/>
      <c r="AR659" s="97"/>
      <c r="AS659" s="97"/>
      <c r="AT659" s="97"/>
      <c r="AU659" s="97"/>
      <c r="AV659" s="97" t="str">
        <f>IFERROR(__xludf.DUMMYFUNCTION("""COMPUTED_VALUE"""),"Mesa")</f>
        <v>Mesa</v>
      </c>
      <c r="AW659" s="97" t="str">
        <f>IFERROR(__xludf.DUMMYFUNCTION("""COMPUTED_VALUE"""),"De Apoyo")</f>
        <v>De Apoyo</v>
      </c>
      <c r="AX659" s="97" t="str">
        <f>IFERROR(__xludf.DUMMYFUNCTION("""COMPUTED_VALUE"""),"Interior")</f>
        <v>Interior</v>
      </c>
      <c r="AY659" s="97"/>
      <c r="AZ659" s="97"/>
      <c r="BA659" s="97"/>
      <c r="BB659" s="97"/>
      <c r="BC659" s="97"/>
      <c r="BD659" s="97" t="str">
        <f>IFERROR(__xludf.DUMMYFUNCTION("""COMPUTED_VALUE"""),"AMILE ")</f>
        <v>AMILE </v>
      </c>
      <c r="BE659" s="97" t="str">
        <f>IFERROR(__xludf.DUMMYFUNCTION("""COMPUTED_VALUE"""),"Sin Ficha")</f>
        <v>Sin Ficha</v>
      </c>
      <c r="BF659" s="97"/>
      <c r="BG659" s="97" t="str">
        <f>IFERROR(__xludf.DUMMYFUNCTION("""COMPUTED_VALUE"""),"Discontinuo")</f>
        <v>Discontinuo</v>
      </c>
    </row>
    <row r="660">
      <c r="A660" s="97">
        <f>IFERROR(__xludf.DUMMYFUNCTION("""COMPUTED_VALUE"""),6417.0)</f>
        <v>6417</v>
      </c>
      <c r="B660" s="97" t="str">
        <f>IFERROR(__xludf.DUMMYFUNCTION("""COMPUTED_VALUE"""),"AMILE NG")</f>
        <v>AMILE NG</v>
      </c>
      <c r="C660" s="97" t="str">
        <f>IFERROR(__xludf.DUMMYFUNCTION("""COMPUTED_VALUE"""),"VELADOR AMILE NEGRO LEUK")</f>
        <v>VELADOR AMILE NEGRO LEUK</v>
      </c>
      <c r="D660" s="97">
        <f>IFERROR(__xludf.DUMMYFUNCTION("""COMPUTED_VALUE"""),7.798328753854E12)</f>
        <v>7798328753854</v>
      </c>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t="str">
        <f>IFERROR(__xludf.DUMMYFUNCTION("""COMPUTED_VALUE"""),"IP20")</f>
        <v>IP20</v>
      </c>
      <c r="AE660" s="97"/>
      <c r="AF660" s="97" t="str">
        <f>IFERROR(__xludf.DUMMYFUNCTION("""COMPUTED_VALUE"""),"Autoportante")</f>
        <v>Autoportante</v>
      </c>
      <c r="AG660" s="97"/>
      <c r="AH660" s="97"/>
      <c r="AI660" s="97"/>
      <c r="AJ660" s="97"/>
      <c r="AK660" s="97"/>
      <c r="AL660" s="97"/>
      <c r="AM660" s="97"/>
      <c r="AN660" s="97"/>
      <c r="AO660" s="97" t="str">
        <f>IFERROR(__xludf.DUMMYFUNCTION("""COMPUTED_VALUE"""),"1 Año")</f>
        <v>1 Año</v>
      </c>
      <c r="AP660" s="97"/>
      <c r="AQ660" s="97"/>
      <c r="AR660" s="97"/>
      <c r="AS660" s="97"/>
      <c r="AT660" s="97"/>
      <c r="AU660" s="97"/>
      <c r="AV660" s="97" t="str">
        <f>IFERROR(__xludf.DUMMYFUNCTION("""COMPUTED_VALUE"""),"Mesa")</f>
        <v>Mesa</v>
      </c>
      <c r="AW660" s="97" t="str">
        <f>IFERROR(__xludf.DUMMYFUNCTION("""COMPUTED_VALUE"""),"De Apoyo")</f>
        <v>De Apoyo</v>
      </c>
      <c r="AX660" s="97" t="str">
        <f>IFERROR(__xludf.DUMMYFUNCTION("""COMPUTED_VALUE"""),"Interior")</f>
        <v>Interior</v>
      </c>
      <c r="AY660" s="97"/>
      <c r="AZ660" s="97"/>
      <c r="BA660" s="97"/>
      <c r="BB660" s="97"/>
      <c r="BC660" s="97"/>
      <c r="BD660" s="97" t="str">
        <f>IFERROR(__xludf.DUMMYFUNCTION("""COMPUTED_VALUE"""),"AMILE")</f>
        <v>AMILE</v>
      </c>
      <c r="BE660" s="97" t="str">
        <f>IFERROR(__xludf.DUMMYFUNCTION("""COMPUTED_VALUE"""),"Sin Ficha")</f>
        <v>Sin Ficha</v>
      </c>
      <c r="BF660" s="97"/>
      <c r="BG660" s="97" t="str">
        <f>IFERROR(__xludf.DUMMYFUNCTION("""COMPUTED_VALUE"""),"Discontinuo")</f>
        <v>Discontinuo</v>
      </c>
    </row>
    <row r="661">
      <c r="A661" s="97">
        <f>IFERROR(__xludf.DUMMYFUNCTION("""COMPUTED_VALUE"""),6418.0)</f>
        <v>6418</v>
      </c>
      <c r="B661" s="97" t="str">
        <f>IFERROR(__xludf.DUMMYFUNCTION("""COMPUTED_VALUE"""),"FRANCY BL")</f>
        <v>FRANCY BL</v>
      </c>
      <c r="C661" s="97" t="str">
        <f>IFERROR(__xludf.DUMMYFUNCTION("""COMPUTED_VALUE"""),"VELADOR FRANCY BLANCO LEUK")</f>
        <v>VELADOR FRANCY BLANCO LEUK</v>
      </c>
      <c r="D661" s="97">
        <f>IFERROR(__xludf.DUMMYFUNCTION("""COMPUTED_VALUE"""),7.798328753861E12)</f>
        <v>7798328753861</v>
      </c>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t="str">
        <f>IFERROR(__xludf.DUMMYFUNCTION("""COMPUTED_VALUE"""),"IP20")</f>
        <v>IP20</v>
      </c>
      <c r="AE661" s="97"/>
      <c r="AF661" s="97" t="str">
        <f>IFERROR(__xludf.DUMMYFUNCTION("""COMPUTED_VALUE"""),"Autoportante")</f>
        <v>Autoportante</v>
      </c>
      <c r="AG661" s="97"/>
      <c r="AH661" s="97"/>
      <c r="AI661" s="97"/>
      <c r="AJ661" s="97"/>
      <c r="AK661" s="97"/>
      <c r="AL661" s="97"/>
      <c r="AM661" s="97"/>
      <c r="AN661" s="97"/>
      <c r="AO661" s="97" t="str">
        <f>IFERROR(__xludf.DUMMYFUNCTION("""COMPUTED_VALUE"""),"1 Año")</f>
        <v>1 Año</v>
      </c>
      <c r="AP661" s="97"/>
      <c r="AQ661" s="97"/>
      <c r="AR661" s="97"/>
      <c r="AS661" s="97"/>
      <c r="AT661" s="97"/>
      <c r="AU661" s="97"/>
      <c r="AV661" s="97" t="str">
        <f>IFERROR(__xludf.DUMMYFUNCTION("""COMPUTED_VALUE"""),"Mesa")</f>
        <v>Mesa</v>
      </c>
      <c r="AW661" s="97" t="str">
        <f>IFERROR(__xludf.DUMMYFUNCTION("""COMPUTED_VALUE"""),"De Apoyo")</f>
        <v>De Apoyo</v>
      </c>
      <c r="AX661" s="97" t="str">
        <f>IFERROR(__xludf.DUMMYFUNCTION("""COMPUTED_VALUE"""),"Interior")</f>
        <v>Interior</v>
      </c>
      <c r="AY661" s="97"/>
      <c r="AZ661" s="97"/>
      <c r="BA661" s="97"/>
      <c r="BB661" s="97"/>
      <c r="BC661" s="97"/>
      <c r="BD661" s="97" t="str">
        <f>IFERROR(__xludf.DUMMYFUNCTION("""COMPUTED_VALUE"""),"FRANCY")</f>
        <v>FRANCY</v>
      </c>
      <c r="BE661" s="97" t="str">
        <f>IFERROR(__xludf.DUMMYFUNCTION("""COMPUTED_VALUE"""),"Sin Ficha")</f>
        <v>Sin Ficha</v>
      </c>
      <c r="BF661" s="97"/>
      <c r="BG661" s="97" t="str">
        <f>IFERROR(__xludf.DUMMYFUNCTION("""COMPUTED_VALUE"""),"Discontinuo")</f>
        <v>Discontinuo</v>
      </c>
    </row>
    <row r="662">
      <c r="A662" s="97">
        <f>IFERROR(__xludf.DUMMYFUNCTION("""COMPUTED_VALUE"""),6419.0)</f>
        <v>6419</v>
      </c>
      <c r="B662" s="97" t="str">
        <f>IFERROR(__xludf.DUMMYFUNCTION("""COMPUTED_VALUE"""),"FRANCY NG")</f>
        <v>FRANCY NG</v>
      </c>
      <c r="C662" s="97" t="str">
        <f>IFERROR(__xludf.DUMMYFUNCTION("""COMPUTED_VALUE"""),"VELADOR FRANCY NEGRO LEUK")</f>
        <v>VELADOR FRANCY NEGRO LEUK</v>
      </c>
      <c r="D662" s="97">
        <f>IFERROR(__xludf.DUMMYFUNCTION("""COMPUTED_VALUE"""),7.798328753878E12)</f>
        <v>7798328753878</v>
      </c>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t="str">
        <f>IFERROR(__xludf.DUMMYFUNCTION("""COMPUTED_VALUE"""),"IP20")</f>
        <v>IP20</v>
      </c>
      <c r="AE662" s="97"/>
      <c r="AF662" s="97" t="str">
        <f>IFERROR(__xludf.DUMMYFUNCTION("""COMPUTED_VALUE"""),"Autoportante")</f>
        <v>Autoportante</v>
      </c>
      <c r="AG662" s="97"/>
      <c r="AH662" s="97"/>
      <c r="AI662" s="97"/>
      <c r="AJ662" s="97"/>
      <c r="AK662" s="97"/>
      <c r="AL662" s="97"/>
      <c r="AM662" s="97"/>
      <c r="AN662" s="97"/>
      <c r="AO662" s="97" t="str">
        <f>IFERROR(__xludf.DUMMYFUNCTION("""COMPUTED_VALUE"""),"1 Año")</f>
        <v>1 Año</v>
      </c>
      <c r="AP662" s="97"/>
      <c r="AQ662" s="97"/>
      <c r="AR662" s="97"/>
      <c r="AS662" s="97"/>
      <c r="AT662" s="97"/>
      <c r="AU662" s="97"/>
      <c r="AV662" s="97" t="str">
        <f>IFERROR(__xludf.DUMMYFUNCTION("""COMPUTED_VALUE"""),"Mesa")</f>
        <v>Mesa</v>
      </c>
      <c r="AW662" s="97" t="str">
        <f>IFERROR(__xludf.DUMMYFUNCTION("""COMPUTED_VALUE"""),"De Apoyo")</f>
        <v>De Apoyo</v>
      </c>
      <c r="AX662" s="97" t="str">
        <f>IFERROR(__xludf.DUMMYFUNCTION("""COMPUTED_VALUE"""),"Interior")</f>
        <v>Interior</v>
      </c>
      <c r="AY662" s="97"/>
      <c r="AZ662" s="97"/>
      <c r="BA662" s="97"/>
      <c r="BB662" s="97"/>
      <c r="BC662" s="97"/>
      <c r="BD662" s="97" t="str">
        <f>IFERROR(__xludf.DUMMYFUNCTION("""COMPUTED_VALUE"""),"FRANCY")</f>
        <v>FRANCY</v>
      </c>
      <c r="BE662" s="97" t="str">
        <f>IFERROR(__xludf.DUMMYFUNCTION("""COMPUTED_VALUE"""),"Sin Ficha")</f>
        <v>Sin Ficha</v>
      </c>
      <c r="BF662" s="97"/>
      <c r="BG662" s="97" t="str">
        <f>IFERROR(__xludf.DUMMYFUNCTION("""COMPUTED_VALUE"""),"Discontinuo")</f>
        <v>Discontinuo</v>
      </c>
    </row>
    <row r="663">
      <c r="A663" s="97">
        <f>IFERROR(__xludf.DUMMYFUNCTION("""COMPUTED_VALUE"""),6420.0)</f>
        <v>6420</v>
      </c>
      <c r="B663" s="97" t="str">
        <f>IFERROR(__xludf.DUMMYFUNCTION("""COMPUTED_VALUE"""),"KATERYNA")</f>
        <v>KATERYNA</v>
      </c>
      <c r="C663" s="97" t="str">
        <f>IFERROR(__xludf.DUMMYFUNCTION("""COMPUTED_VALUE"""),"VELADOR KATERYNA BLANCO LEUK")</f>
        <v>VELADOR KATERYNA BLANCO LEUK</v>
      </c>
      <c r="D663" s="97">
        <f>IFERROR(__xludf.DUMMYFUNCTION("""COMPUTED_VALUE"""),7.798328756343E12)</f>
        <v>7798328756343</v>
      </c>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t="str">
        <f>IFERROR(__xludf.DUMMYFUNCTION("""COMPUTED_VALUE"""),"IP20")</f>
        <v>IP20</v>
      </c>
      <c r="AE663" s="97"/>
      <c r="AF663" s="97" t="str">
        <f>IFERROR(__xludf.DUMMYFUNCTION("""COMPUTED_VALUE"""),"Autoportante")</f>
        <v>Autoportante</v>
      </c>
      <c r="AG663" s="97"/>
      <c r="AH663" s="97"/>
      <c r="AI663" s="97"/>
      <c r="AJ663" s="97"/>
      <c r="AK663" s="97"/>
      <c r="AL663" s="97"/>
      <c r="AM663" s="97"/>
      <c r="AN663" s="97"/>
      <c r="AO663" s="97" t="str">
        <f>IFERROR(__xludf.DUMMYFUNCTION("""COMPUTED_VALUE"""),"1 Año")</f>
        <v>1 Año</v>
      </c>
      <c r="AP663" s="97"/>
      <c r="AQ663" s="97"/>
      <c r="AR663" s="97"/>
      <c r="AS663" s="97"/>
      <c r="AT663" s="97"/>
      <c r="AU663" s="97"/>
      <c r="AV663" s="97" t="str">
        <f>IFERROR(__xludf.DUMMYFUNCTION("""COMPUTED_VALUE"""),"Mesa")</f>
        <v>Mesa</v>
      </c>
      <c r="AW663" s="97" t="str">
        <f>IFERROR(__xludf.DUMMYFUNCTION("""COMPUTED_VALUE"""),"De Apoyo")</f>
        <v>De Apoyo</v>
      </c>
      <c r="AX663" s="97" t="str">
        <f>IFERROR(__xludf.DUMMYFUNCTION("""COMPUTED_VALUE"""),"Interior")</f>
        <v>Interior</v>
      </c>
      <c r="AY663" s="97"/>
      <c r="AZ663" s="97"/>
      <c r="BA663" s="97">
        <f>IFERROR(__xludf.DUMMYFUNCTION("""COMPUTED_VALUE"""),10.0)</f>
        <v>10</v>
      </c>
      <c r="BB663" s="97"/>
      <c r="BC663" s="97"/>
      <c r="BD663" s="97" t="str">
        <f>IFERROR(__xludf.DUMMYFUNCTION("""COMPUTED_VALUE"""),"KATERYNA")</f>
        <v>KATERYNA</v>
      </c>
      <c r="BE663" s="97" t="str">
        <f>IFERROR(__xludf.DUMMYFUNCTION("""COMPUTED_VALUE"""),"Sin Ficha")</f>
        <v>Sin Ficha</v>
      </c>
      <c r="BF663" s="97"/>
      <c r="BG663" s="97" t="str">
        <f>IFERROR(__xludf.DUMMYFUNCTION("""COMPUTED_VALUE"""),"Discontinuo")</f>
        <v>Discontinuo</v>
      </c>
    </row>
    <row r="664">
      <c r="A664" s="97">
        <f>IFERROR(__xludf.DUMMYFUNCTION("""COMPUTED_VALUE"""),6421.0)</f>
        <v>6421</v>
      </c>
      <c r="B664" s="97" t="str">
        <f>IFERROR(__xludf.DUMMYFUNCTION("""COMPUTED_VALUE"""),"KATERYNA")</f>
        <v>KATERYNA</v>
      </c>
      <c r="C664" s="97" t="str">
        <f>IFERROR(__xludf.DUMMYFUNCTION("""COMPUTED_VALUE"""),"VELADOR KATERYNA NEGRO LEUK")</f>
        <v>VELADOR KATERYNA NEGRO LEUK</v>
      </c>
      <c r="D664" s="97">
        <f>IFERROR(__xludf.DUMMYFUNCTION("""COMPUTED_VALUE"""),7.798328758125E12)</f>
        <v>7798328758125</v>
      </c>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t="str">
        <f>IFERROR(__xludf.DUMMYFUNCTION("""COMPUTED_VALUE"""),"IP20")</f>
        <v>IP20</v>
      </c>
      <c r="AE664" s="97"/>
      <c r="AF664" s="97" t="str">
        <f>IFERROR(__xludf.DUMMYFUNCTION("""COMPUTED_VALUE"""),"Autoportante")</f>
        <v>Autoportante</v>
      </c>
      <c r="AG664" s="97"/>
      <c r="AH664" s="97"/>
      <c r="AI664" s="97"/>
      <c r="AJ664" s="97"/>
      <c r="AK664" s="97"/>
      <c r="AL664" s="97"/>
      <c r="AM664" s="97"/>
      <c r="AN664" s="97"/>
      <c r="AO664" s="97" t="str">
        <f>IFERROR(__xludf.DUMMYFUNCTION("""COMPUTED_VALUE"""),"1 Año")</f>
        <v>1 Año</v>
      </c>
      <c r="AP664" s="97"/>
      <c r="AQ664" s="97"/>
      <c r="AR664" s="97"/>
      <c r="AS664" s="97"/>
      <c r="AT664" s="97"/>
      <c r="AU664" s="97"/>
      <c r="AV664" s="97" t="str">
        <f>IFERROR(__xludf.DUMMYFUNCTION("""COMPUTED_VALUE"""),"Mesa")</f>
        <v>Mesa</v>
      </c>
      <c r="AW664" s="97" t="str">
        <f>IFERROR(__xludf.DUMMYFUNCTION("""COMPUTED_VALUE"""),"De Apoyo")</f>
        <v>De Apoyo</v>
      </c>
      <c r="AX664" s="97" t="str">
        <f>IFERROR(__xludf.DUMMYFUNCTION("""COMPUTED_VALUE"""),"Interior")</f>
        <v>Interior</v>
      </c>
      <c r="AY664" s="97"/>
      <c r="AZ664" s="97"/>
      <c r="BA664" s="97"/>
      <c r="BB664" s="97"/>
      <c r="BC664" s="97"/>
      <c r="BD664" s="97" t="str">
        <f>IFERROR(__xludf.DUMMYFUNCTION("""COMPUTED_VALUE"""),"KATERYNA")</f>
        <v>KATERYNA</v>
      </c>
      <c r="BE664" s="97" t="str">
        <f>IFERROR(__xludf.DUMMYFUNCTION("""COMPUTED_VALUE"""),"Sin Ficha")</f>
        <v>Sin Ficha</v>
      </c>
      <c r="BF664" s="97"/>
      <c r="BG664" s="97" t="str">
        <f>IFERROR(__xludf.DUMMYFUNCTION("""COMPUTED_VALUE"""),"Discontinuo")</f>
        <v>Discontinuo</v>
      </c>
    </row>
    <row r="665">
      <c r="A665" s="97">
        <f>IFERROR(__xludf.DUMMYFUNCTION("""COMPUTED_VALUE"""),6422.0)</f>
        <v>6422</v>
      </c>
      <c r="B665" s="97" t="str">
        <f>IFERROR(__xludf.DUMMYFUNCTION("""COMPUTED_VALUE"""),"OKSANA")</f>
        <v>OKSANA</v>
      </c>
      <c r="C665" s="97" t="str">
        <f>IFERROR(__xludf.DUMMYFUNCTION("""COMPUTED_VALUE"""),"LAMPARA DE PIE OKSANA NEGRO LEUK")</f>
        <v>LAMPARA DE PIE OKSANA NEGRO LEUK</v>
      </c>
      <c r="D665" s="97">
        <f>IFERROR(__xludf.DUMMYFUNCTION("""COMPUTED_VALUE"""),7.798328758149E12)</f>
        <v>7798328758149</v>
      </c>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t="str">
        <f>IFERROR(__xludf.DUMMYFUNCTION("""COMPUTED_VALUE"""),"IP20")</f>
        <v>IP20</v>
      </c>
      <c r="AE665" s="97"/>
      <c r="AF665" s="97" t="str">
        <f>IFERROR(__xludf.DUMMYFUNCTION("""COMPUTED_VALUE"""),"Autoportante")</f>
        <v>Autoportante</v>
      </c>
      <c r="AG665" s="97"/>
      <c r="AH665" s="97"/>
      <c r="AI665" s="97"/>
      <c r="AJ665" s="97"/>
      <c r="AK665" s="97"/>
      <c r="AL665" s="97"/>
      <c r="AM665" s="97"/>
      <c r="AN665" s="97"/>
      <c r="AO665" s="97" t="str">
        <f>IFERROR(__xludf.DUMMYFUNCTION("""COMPUTED_VALUE"""),"1 Año")</f>
        <v>1 Año</v>
      </c>
      <c r="AP665" s="97"/>
      <c r="AQ665" s="97"/>
      <c r="AR665" s="97"/>
      <c r="AS665" s="97"/>
      <c r="AT665" s="97"/>
      <c r="AU665" s="97"/>
      <c r="AV665" s="97" t="str">
        <f>IFERROR(__xludf.DUMMYFUNCTION("""COMPUTED_VALUE"""),"Pie")</f>
        <v>Pie</v>
      </c>
      <c r="AW665" s="97" t="str">
        <f>IFERROR(__xludf.DUMMYFUNCTION("""COMPUTED_VALUE"""),"De Apoyo")</f>
        <v>De Apoyo</v>
      </c>
      <c r="AX665" s="97" t="str">
        <f>IFERROR(__xludf.DUMMYFUNCTION("""COMPUTED_VALUE"""),"Interior")</f>
        <v>Interior</v>
      </c>
      <c r="AY665" s="97"/>
      <c r="AZ665" s="97"/>
      <c r="BA665" s="97"/>
      <c r="BB665" s="97"/>
      <c r="BC665" s="97"/>
      <c r="BD665" s="97" t="str">
        <f>IFERROR(__xludf.DUMMYFUNCTION("""COMPUTED_VALUE"""),"OKSANA")</f>
        <v>OKSANA</v>
      </c>
      <c r="BE665" s="97" t="str">
        <f>IFERROR(__xludf.DUMMYFUNCTION("""COMPUTED_VALUE"""),"Sin Ficha")</f>
        <v>Sin Ficha</v>
      </c>
      <c r="BF665" s="97"/>
      <c r="BG665" s="97" t="str">
        <f>IFERROR(__xludf.DUMMYFUNCTION("""COMPUTED_VALUE"""),"Discontinuo")</f>
        <v>Discontinuo</v>
      </c>
    </row>
    <row r="666">
      <c r="A666" s="97">
        <f>IFERROR(__xludf.DUMMYFUNCTION("""COMPUTED_VALUE"""),6423.0)</f>
        <v>6423</v>
      </c>
      <c r="B666" s="97" t="str">
        <f>IFERROR(__xludf.DUMMYFUNCTION("""COMPUTED_VALUE"""),"TANYA")</f>
        <v>TANYA</v>
      </c>
      <c r="C666" s="97" t="str">
        <f>IFERROR(__xludf.DUMMYFUNCTION("""COMPUTED_VALUE"""),"LAMPARA DE PIE TANYA BLANCO LEUK")</f>
        <v>LAMPARA DE PIE TANYA BLANCO LEUK</v>
      </c>
      <c r="D666" s="97">
        <f>IFERROR(__xludf.DUMMYFUNCTION("""COMPUTED_VALUE"""),7.798328758156E12)</f>
        <v>7798328758156</v>
      </c>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t="str">
        <f>IFERROR(__xludf.DUMMYFUNCTION("""COMPUTED_VALUE"""),"IP20")</f>
        <v>IP20</v>
      </c>
      <c r="AE666" s="97"/>
      <c r="AF666" s="97" t="str">
        <f>IFERROR(__xludf.DUMMYFUNCTION("""COMPUTED_VALUE"""),"Autoportante")</f>
        <v>Autoportante</v>
      </c>
      <c r="AG666" s="97"/>
      <c r="AH666" s="97"/>
      <c r="AI666" s="97"/>
      <c r="AJ666" s="97"/>
      <c r="AK666" s="97"/>
      <c r="AL666" s="97"/>
      <c r="AM666" s="97"/>
      <c r="AN666" s="97"/>
      <c r="AO666" s="97" t="str">
        <f>IFERROR(__xludf.DUMMYFUNCTION("""COMPUTED_VALUE"""),"1 Año")</f>
        <v>1 Año</v>
      </c>
      <c r="AP666" s="97"/>
      <c r="AQ666" s="97"/>
      <c r="AR666" s="97"/>
      <c r="AS666" s="97"/>
      <c r="AT666" s="97"/>
      <c r="AU666" s="97"/>
      <c r="AV666" s="97" t="str">
        <f>IFERROR(__xludf.DUMMYFUNCTION("""COMPUTED_VALUE"""),"Pie")</f>
        <v>Pie</v>
      </c>
      <c r="AW666" s="97" t="str">
        <f>IFERROR(__xludf.DUMMYFUNCTION("""COMPUTED_VALUE"""),"De Apoyo")</f>
        <v>De Apoyo</v>
      </c>
      <c r="AX666" s="97" t="str">
        <f>IFERROR(__xludf.DUMMYFUNCTION("""COMPUTED_VALUE"""),"Interior")</f>
        <v>Interior</v>
      </c>
      <c r="AY666" s="97"/>
      <c r="AZ666" s="97"/>
      <c r="BA666" s="97"/>
      <c r="BB666" s="97"/>
      <c r="BC666" s="97"/>
      <c r="BD666" s="97" t="str">
        <f>IFERROR(__xludf.DUMMYFUNCTION("""COMPUTED_VALUE"""),"TANYA")</f>
        <v>TANYA</v>
      </c>
      <c r="BE666" s="97" t="str">
        <f>IFERROR(__xludf.DUMMYFUNCTION("""COMPUTED_VALUE"""),"Sin Ficha")</f>
        <v>Sin Ficha</v>
      </c>
      <c r="BF666" s="97"/>
      <c r="BG666" s="97" t="str">
        <f>IFERROR(__xludf.DUMMYFUNCTION("""COMPUTED_VALUE"""),"Discontinuo")</f>
        <v>Discontinuo</v>
      </c>
    </row>
    <row r="667">
      <c r="A667" s="97">
        <f>IFERROR(__xludf.DUMMYFUNCTION("""COMPUTED_VALUE"""),6424.0)</f>
        <v>6424</v>
      </c>
      <c r="B667" s="97" t="str">
        <f>IFERROR(__xludf.DUMMYFUNCTION("""COMPUTED_VALUE"""),"TANYA")</f>
        <v>TANYA</v>
      </c>
      <c r="C667" s="97" t="str">
        <f>IFERROR(__xludf.DUMMYFUNCTION("""COMPUTED_VALUE"""),"LAMPARA DE PIE TANYA NEGRO LEUK")</f>
        <v>LAMPARA DE PIE TANYA NEGRO LEUK</v>
      </c>
      <c r="D667" s="97">
        <f>IFERROR(__xludf.DUMMYFUNCTION("""COMPUTED_VALUE"""),7.798328758163E12)</f>
        <v>7798328758163</v>
      </c>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t="str">
        <f>IFERROR(__xludf.DUMMYFUNCTION("""COMPUTED_VALUE"""),"IP20")</f>
        <v>IP20</v>
      </c>
      <c r="AE667" s="97"/>
      <c r="AF667" s="97" t="str">
        <f>IFERROR(__xludf.DUMMYFUNCTION("""COMPUTED_VALUE"""),"Autoportante")</f>
        <v>Autoportante</v>
      </c>
      <c r="AG667" s="97"/>
      <c r="AH667" s="97"/>
      <c r="AI667" s="97"/>
      <c r="AJ667" s="97"/>
      <c r="AK667" s="97"/>
      <c r="AL667" s="97"/>
      <c r="AM667" s="97"/>
      <c r="AN667" s="97"/>
      <c r="AO667" s="97" t="str">
        <f>IFERROR(__xludf.DUMMYFUNCTION("""COMPUTED_VALUE"""),"1 Año")</f>
        <v>1 Año</v>
      </c>
      <c r="AP667" s="97"/>
      <c r="AQ667" s="97"/>
      <c r="AR667" s="97"/>
      <c r="AS667" s="97"/>
      <c r="AT667" s="97"/>
      <c r="AU667" s="97"/>
      <c r="AV667" s="97" t="str">
        <f>IFERROR(__xludf.DUMMYFUNCTION("""COMPUTED_VALUE"""),"Pie")</f>
        <v>Pie</v>
      </c>
      <c r="AW667" s="97" t="str">
        <f>IFERROR(__xludf.DUMMYFUNCTION("""COMPUTED_VALUE"""),"De Apoyo")</f>
        <v>De Apoyo</v>
      </c>
      <c r="AX667" s="97" t="str">
        <f>IFERROR(__xludf.DUMMYFUNCTION("""COMPUTED_VALUE"""),"Interior")</f>
        <v>Interior</v>
      </c>
      <c r="AY667" s="97"/>
      <c r="AZ667" s="97"/>
      <c r="BA667" s="97"/>
      <c r="BB667" s="97"/>
      <c r="BC667" s="97"/>
      <c r="BD667" s="97" t="str">
        <f>IFERROR(__xludf.DUMMYFUNCTION("""COMPUTED_VALUE"""),"TANYA")</f>
        <v>TANYA</v>
      </c>
      <c r="BE667" s="97" t="str">
        <f>IFERROR(__xludf.DUMMYFUNCTION("""COMPUTED_VALUE"""),"Sin Ficha")</f>
        <v>Sin Ficha</v>
      </c>
      <c r="BF667" s="97"/>
      <c r="BG667" s="97" t="str">
        <f>IFERROR(__xludf.DUMMYFUNCTION("""COMPUTED_VALUE"""),"Discontinuo")</f>
        <v>Discontinuo</v>
      </c>
    </row>
    <row r="668">
      <c r="A668" s="97">
        <f>IFERROR(__xludf.DUMMYFUNCTION("""COMPUTED_VALUE"""),6425.0)</f>
        <v>6425</v>
      </c>
      <c r="B668" s="97" t="str">
        <f>IFERROR(__xludf.DUMMYFUNCTION("""COMPUTED_VALUE"""),"MOSHYU")</f>
        <v>MOSHYU</v>
      </c>
      <c r="C668" s="97" t="str">
        <f>IFERROR(__xludf.DUMMYFUNCTION("""COMPUTED_VALUE"""),"LAMPARA DE PIE MOSHYU BLANCO LEUK")</f>
        <v>LAMPARA DE PIE MOSHYU BLANCO LEUK</v>
      </c>
      <c r="D668" s="97">
        <f>IFERROR(__xludf.DUMMYFUNCTION("""COMPUTED_VALUE"""),7.79832875817E12)</f>
        <v>7798328758170</v>
      </c>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t="str">
        <f>IFERROR(__xludf.DUMMYFUNCTION("""COMPUTED_VALUE"""),"IP20")</f>
        <v>IP20</v>
      </c>
      <c r="AE668" s="97"/>
      <c r="AF668" s="97" t="str">
        <f>IFERROR(__xludf.DUMMYFUNCTION("""COMPUTED_VALUE"""),"Autoportante")</f>
        <v>Autoportante</v>
      </c>
      <c r="AG668" s="97"/>
      <c r="AH668" s="97"/>
      <c r="AI668" s="97"/>
      <c r="AJ668" s="97"/>
      <c r="AK668" s="97"/>
      <c r="AL668" s="97"/>
      <c r="AM668" s="97"/>
      <c r="AN668" s="97"/>
      <c r="AO668" s="97" t="str">
        <f>IFERROR(__xludf.DUMMYFUNCTION("""COMPUTED_VALUE"""),"1 Año")</f>
        <v>1 Año</v>
      </c>
      <c r="AP668" s="97"/>
      <c r="AQ668" s="97"/>
      <c r="AR668" s="97"/>
      <c r="AS668" s="97"/>
      <c r="AT668" s="97"/>
      <c r="AU668" s="97"/>
      <c r="AV668" s="97" t="str">
        <f>IFERROR(__xludf.DUMMYFUNCTION("""COMPUTED_VALUE"""),"Pie")</f>
        <v>Pie</v>
      </c>
      <c r="AW668" s="97" t="str">
        <f>IFERROR(__xludf.DUMMYFUNCTION("""COMPUTED_VALUE"""),"De Apoyo")</f>
        <v>De Apoyo</v>
      </c>
      <c r="AX668" s="97" t="str">
        <f>IFERROR(__xludf.DUMMYFUNCTION("""COMPUTED_VALUE"""),"Interior")</f>
        <v>Interior</v>
      </c>
      <c r="AY668" s="97"/>
      <c r="AZ668" s="97"/>
      <c r="BA668" s="97"/>
      <c r="BB668" s="97"/>
      <c r="BC668" s="97"/>
      <c r="BD668" s="97" t="str">
        <f>IFERROR(__xludf.DUMMYFUNCTION("""COMPUTED_VALUE"""),"MOSHYU")</f>
        <v>MOSHYU</v>
      </c>
      <c r="BE668" s="97" t="str">
        <f>IFERROR(__xludf.DUMMYFUNCTION("""COMPUTED_VALUE"""),"Sin Ficha")</f>
        <v>Sin Ficha</v>
      </c>
      <c r="BF668" s="97"/>
      <c r="BG668" s="97" t="str">
        <f>IFERROR(__xludf.DUMMYFUNCTION("""COMPUTED_VALUE"""),"Discontinuo")</f>
        <v>Discontinuo</v>
      </c>
    </row>
    <row r="669">
      <c r="A669" s="97">
        <f>IFERROR(__xludf.DUMMYFUNCTION("""COMPUTED_VALUE"""),6426.0)</f>
        <v>6426</v>
      </c>
      <c r="B669" s="97" t="str">
        <f>IFERROR(__xludf.DUMMYFUNCTION("""COMPUTED_VALUE"""),"MOSHYU")</f>
        <v>MOSHYU</v>
      </c>
      <c r="C669" s="97" t="str">
        <f>IFERROR(__xludf.DUMMYFUNCTION("""COMPUTED_VALUE"""),"LAMPARA DE PIE MOSHYU NEGRO LEUK")</f>
        <v>LAMPARA DE PIE MOSHYU NEGRO LEUK</v>
      </c>
      <c r="D669" s="97">
        <f>IFERROR(__xludf.DUMMYFUNCTION("""COMPUTED_VALUE"""),7.79832875862E12)</f>
        <v>7798328758620</v>
      </c>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t="str">
        <f>IFERROR(__xludf.DUMMYFUNCTION("""COMPUTED_VALUE"""),"IP20")</f>
        <v>IP20</v>
      </c>
      <c r="AE669" s="97"/>
      <c r="AF669" s="97" t="str">
        <f>IFERROR(__xludf.DUMMYFUNCTION("""COMPUTED_VALUE"""),"Autoportante")</f>
        <v>Autoportante</v>
      </c>
      <c r="AG669" s="97"/>
      <c r="AH669" s="97"/>
      <c r="AI669" s="97"/>
      <c r="AJ669" s="97"/>
      <c r="AK669" s="97"/>
      <c r="AL669" s="97"/>
      <c r="AM669" s="97"/>
      <c r="AN669" s="97"/>
      <c r="AO669" s="97" t="str">
        <f>IFERROR(__xludf.DUMMYFUNCTION("""COMPUTED_VALUE"""),"1 Año")</f>
        <v>1 Año</v>
      </c>
      <c r="AP669" s="97"/>
      <c r="AQ669" s="97"/>
      <c r="AR669" s="97"/>
      <c r="AS669" s="97"/>
      <c r="AT669" s="97"/>
      <c r="AU669" s="97"/>
      <c r="AV669" s="97" t="str">
        <f>IFERROR(__xludf.DUMMYFUNCTION("""COMPUTED_VALUE"""),"Pie")</f>
        <v>Pie</v>
      </c>
      <c r="AW669" s="97" t="str">
        <f>IFERROR(__xludf.DUMMYFUNCTION("""COMPUTED_VALUE"""),"De Apoyo")</f>
        <v>De Apoyo</v>
      </c>
      <c r="AX669" s="97" t="str">
        <f>IFERROR(__xludf.DUMMYFUNCTION("""COMPUTED_VALUE"""),"Interior")</f>
        <v>Interior</v>
      </c>
      <c r="AY669" s="97"/>
      <c r="AZ669" s="97"/>
      <c r="BA669" s="97"/>
      <c r="BB669" s="97"/>
      <c r="BC669" s="97"/>
      <c r="BD669" s="97" t="str">
        <f>IFERROR(__xludf.DUMMYFUNCTION("""COMPUTED_VALUE"""),"MOSHYU")</f>
        <v>MOSHYU</v>
      </c>
      <c r="BE669" s="97" t="str">
        <f>IFERROR(__xludf.DUMMYFUNCTION("""COMPUTED_VALUE"""),"Sin Ficha")</f>
        <v>Sin Ficha</v>
      </c>
      <c r="BF669" s="97"/>
      <c r="BG669" s="97" t="str">
        <f>IFERROR(__xludf.DUMMYFUNCTION("""COMPUTED_VALUE"""),"Discontinuo")</f>
        <v>Discontinuo</v>
      </c>
    </row>
    <row r="670">
      <c r="A670" s="97">
        <f>IFERROR(__xludf.DUMMYFUNCTION("""COMPUTED_VALUE"""),6427.0)</f>
        <v>6427</v>
      </c>
      <c r="B670" s="97" t="str">
        <f>IFERROR(__xludf.DUMMYFUNCTION("""COMPUTED_VALUE"""),"MATT III BL")</f>
        <v>MATT III BL</v>
      </c>
      <c r="C670" s="97" t="str">
        <f>IFERROR(__xludf.DUMMYFUNCTION("""COMPUTED_VALUE"""),"SPOT DE EMBUTIR MATT3 BLANCO")</f>
        <v>SPOT DE EMBUTIR MATT3 BLANCO</v>
      </c>
      <c r="D670" s="97">
        <f>IFERROR(__xludf.DUMMYFUNCTION("""COMPUTED_VALUE"""),7.798328753885E12)</f>
        <v>7798328753885</v>
      </c>
      <c r="E670" s="97"/>
      <c r="F670" s="97" t="str">
        <f>IFERROR(__xludf.DUMMYFUNCTION("""COMPUTED_VALUE"""),"3 x GU10")</f>
        <v>3 x GU10</v>
      </c>
      <c r="G670" s="97" t="str">
        <f>IFERROR(__xludf.DUMMYFUNCTION("""COMPUTED_VALUE"""),"N/A")</f>
        <v>N/A</v>
      </c>
      <c r="H670" s="97" t="str">
        <f>IFERROR(__xludf.DUMMYFUNCTION("""COMPUTED_VALUE"""),"N/A")</f>
        <v>N/A</v>
      </c>
      <c r="I670" s="97" t="str">
        <f>IFERROR(__xludf.DUMMYFUNCTION("""COMPUTED_VALUE"""),"N/A")</f>
        <v>N/A</v>
      </c>
      <c r="J670" s="97"/>
      <c r="K670" s="97" t="str">
        <f>IFERROR(__xludf.DUMMYFUNCTION("""COMPUTED_VALUE"""),"N/A")</f>
        <v>N/A</v>
      </c>
      <c r="L670" s="97">
        <f>IFERROR(__xludf.DUMMYFUNCTION("""COMPUTED_VALUE"""),220.0)</f>
        <v>220</v>
      </c>
      <c r="M670" s="97">
        <f>IFERROR(__xludf.DUMMYFUNCTION("""COMPUTED_VALUE"""),50.0)</f>
        <v>50</v>
      </c>
      <c r="N670" s="97"/>
      <c r="O670" s="97" t="str">
        <f>IFERROR(__xludf.DUMMYFUNCTION("""COMPUTED_VALUE"""),"3 x 50W Max")</f>
        <v>3 x 50W Max</v>
      </c>
      <c r="P670" s="97"/>
      <c r="Q670" s="97" t="str">
        <f>IFERROR(__xludf.DUMMYFUNCTION("""COMPUTED_VALUE"""),"-")</f>
        <v>-</v>
      </c>
      <c r="R670" s="97" t="str">
        <f>IFERROR(__xludf.DUMMYFUNCTION("""COMPUTED_VALUE"""),"-")</f>
        <v>-</v>
      </c>
      <c r="S670" s="97" t="str">
        <f>IFERROR(__xludf.DUMMYFUNCTION("""COMPUTED_VALUE"""),"-")</f>
        <v>-</v>
      </c>
      <c r="T670" s="97" t="str">
        <f>IFERROR(__xludf.DUMMYFUNCTION("""COMPUTED_VALUE"""),"-")</f>
        <v>-</v>
      </c>
      <c r="U670" s="97" t="str">
        <f>IFERROR(__xludf.DUMMYFUNCTION("""COMPUTED_VALUE"""),"-")</f>
        <v>-</v>
      </c>
      <c r="V670" s="97" t="str">
        <f>IFERROR(__xludf.DUMMYFUNCTION("""COMPUTED_VALUE"""),"N/A")</f>
        <v>N/A</v>
      </c>
      <c r="W670" s="97" t="str">
        <f>IFERROR(__xludf.DUMMYFUNCTION("""COMPUTED_VALUE"""),"N/A")</f>
        <v>N/A</v>
      </c>
      <c r="X670" s="97" t="str">
        <f>IFERROR(__xludf.DUMMYFUNCTION("""COMPUTED_VALUE"""),"-")</f>
        <v>-</v>
      </c>
      <c r="Y670" s="97" t="str">
        <f>IFERROR(__xludf.DUMMYFUNCTION("""COMPUTED_VALUE"""),"N/A")</f>
        <v>N/A</v>
      </c>
      <c r="Z670" s="97" t="str">
        <f>IFERROR(__xludf.DUMMYFUNCTION("""COMPUTED_VALUE"""),"N/A")</f>
        <v>N/A</v>
      </c>
      <c r="AA670" s="97" t="str">
        <f>IFERROR(__xludf.DUMMYFUNCTION("""COMPUTED_VALUE"""),"N/A")</f>
        <v>N/A</v>
      </c>
      <c r="AB670" s="97" t="str">
        <f>IFERROR(__xludf.DUMMYFUNCTION("""COMPUTED_VALUE"""),"N/A")</f>
        <v>N/A</v>
      </c>
      <c r="AC670" s="97" t="str">
        <f>IFERROR(__xludf.DUMMYFUNCTION("""COMPUTED_VALUE"""),"N/A")</f>
        <v>N/A</v>
      </c>
      <c r="AD670" s="97" t="str">
        <f>IFERROR(__xludf.DUMMYFUNCTION("""COMPUTED_VALUE"""),"IP20")</f>
        <v>IP20</v>
      </c>
      <c r="AE670" s="97" t="str">
        <f>IFERROR(__xludf.DUMMYFUNCTION("""COMPUTED_VALUE"""),"N/A")</f>
        <v>N/A</v>
      </c>
      <c r="AF670" s="97" t="str">
        <f>IFERROR(__xludf.DUMMYFUNCTION("""COMPUTED_VALUE"""),"Embutir")</f>
        <v>Embutir</v>
      </c>
      <c r="AG670" s="97" t="str">
        <f>IFERROR(__xludf.DUMMYFUNCTION("""COMPUTED_VALUE"""),"250 x 93 x 23")</f>
        <v>250 x 93 x 23</v>
      </c>
      <c r="AH670" s="97" t="str">
        <f>IFERROR(__xludf.DUMMYFUNCTION("""COMPUTED_VALUE"""),"237 x 80 ")</f>
        <v>237 x 80 </v>
      </c>
      <c r="AI670" s="97" t="str">
        <f>IFERROR(__xludf.DUMMYFUNCTION("""COMPUTED_VALUE"""),"75 *")</f>
        <v>75 *</v>
      </c>
      <c r="AJ670" s="97" t="str">
        <f>IFERROR(__xludf.DUMMYFUNCTION("""COMPUTED_VALUE"""),"N/A")</f>
        <v>N/A</v>
      </c>
      <c r="AK670" s="97" t="str">
        <f>IFERROR(__xludf.DUMMYFUNCTION("""COMPUTED_VALUE"""),"Policarbonato (PC)")</f>
        <v>Policarbonato (PC)</v>
      </c>
      <c r="AL670" s="97" t="str">
        <f>IFERROR(__xludf.DUMMYFUNCTION("""COMPUTED_VALUE"""),"Blanco Mate")</f>
        <v>Blanco Mate</v>
      </c>
      <c r="AM670" s="97" t="str">
        <f>IFERROR(__xludf.DUMMYFUNCTION("""COMPUTED_VALUE"""),"-")</f>
        <v>-</v>
      </c>
      <c r="AN670" s="97" t="str">
        <f>IFERROR(__xludf.DUMMYFUNCTION("""COMPUTED_VALUE"""),"N/A")</f>
        <v>N/A</v>
      </c>
      <c r="AO670" s="97" t="str">
        <f>IFERROR(__xludf.DUMMYFUNCTION("""COMPUTED_VALUE"""),"8 Años")</f>
        <v>8 Años</v>
      </c>
      <c r="AP670" s="97" t="str">
        <f>IFERROR(__xludf.DUMMYFUNCTION("""COMPUTED_VALUE"""),"No Aplica")</f>
        <v>No Aplica</v>
      </c>
      <c r="AQ670" s="97" t="str">
        <f>IFERROR(__xludf.DUMMYFUNCTION("""COMPUTED_VALUE"""),"No Aplica")</f>
        <v>No Aplica</v>
      </c>
      <c r="AR670" s="97" t="str">
        <f>IFERROR(__xludf.DUMMYFUNCTION("""COMPUTED_VALUE"""),"No Aplica")</f>
        <v>No Aplica</v>
      </c>
      <c r="AS670" s="97"/>
      <c r="AT670" s="97"/>
      <c r="AU670" s="97"/>
      <c r="AV670" s="97" t="str">
        <f>IFERROR(__xludf.DUMMYFUNCTION("""COMPUTED_VALUE"""),"Empotrable")</f>
        <v>Empotrable</v>
      </c>
      <c r="AW670" s="97" t="str">
        <f>IFERROR(__xludf.DUMMYFUNCTION("""COMPUTED_VALUE"""),"De Techo")</f>
        <v>De Techo</v>
      </c>
      <c r="AX670" s="97" t="str">
        <f>IFERROR(__xludf.DUMMYFUNCTION("""COMPUTED_VALUE"""),"Interior")</f>
        <v>Interior</v>
      </c>
      <c r="AY670" s="97"/>
      <c r="AZ670"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670" s="97">
        <f>IFERROR(__xludf.DUMMYFUNCTION("""COMPUTED_VALUE"""),50.0)</f>
        <v>50</v>
      </c>
      <c r="BB670" s="97"/>
      <c r="BC670" s="97"/>
      <c r="BD670" s="97" t="str">
        <f>IFERROR(__xludf.DUMMYFUNCTION("""COMPUTED_VALUE"""),"MATT")</f>
        <v>MATT</v>
      </c>
      <c r="BE670" s="97" t="str">
        <f>IFERROR(__xludf.DUMMYFUNCTION("""COMPUTED_VALUE"""),"Finalizada")</f>
        <v>Finalizada</v>
      </c>
      <c r="BF670" s="97"/>
      <c r="BG670" s="97" t="str">
        <f>IFERROR(__xludf.DUMMYFUNCTION("""COMPUTED_VALUE"""),"Discontinuo")</f>
        <v>Discontinuo</v>
      </c>
    </row>
    <row r="671">
      <c r="A671" s="97">
        <f>IFERROR(__xludf.DUMMYFUNCTION("""COMPUTED_VALUE"""),6428.0)</f>
        <v>6428</v>
      </c>
      <c r="B671" s="97" t="str">
        <f>IFERROR(__xludf.DUMMYFUNCTION("""COMPUTED_VALUE"""),"MATT III NG")</f>
        <v>MATT III NG</v>
      </c>
      <c r="C671" s="97" t="str">
        <f>IFERROR(__xludf.DUMMYFUNCTION("""COMPUTED_VALUE"""),"SPOT DE EMBUTIR MATT3 NEGRO")</f>
        <v>SPOT DE EMBUTIR MATT3 NEGRO</v>
      </c>
      <c r="D671" s="97">
        <f>IFERROR(__xludf.DUMMYFUNCTION("""COMPUTED_VALUE"""),7.798328758231E12)</f>
        <v>7798328758231</v>
      </c>
      <c r="E671" s="97"/>
      <c r="F671" s="97" t="str">
        <f>IFERROR(__xludf.DUMMYFUNCTION("""COMPUTED_VALUE"""),"3 x GU10")</f>
        <v>3 x GU10</v>
      </c>
      <c r="G671" s="97" t="str">
        <f>IFERROR(__xludf.DUMMYFUNCTION("""COMPUTED_VALUE"""),"N/A")</f>
        <v>N/A</v>
      </c>
      <c r="H671" s="97" t="str">
        <f>IFERROR(__xludf.DUMMYFUNCTION("""COMPUTED_VALUE"""),"N/A")</f>
        <v>N/A</v>
      </c>
      <c r="I671" s="97" t="str">
        <f>IFERROR(__xludf.DUMMYFUNCTION("""COMPUTED_VALUE"""),"N/A")</f>
        <v>N/A</v>
      </c>
      <c r="J671" s="97"/>
      <c r="K671" s="97" t="str">
        <f>IFERROR(__xludf.DUMMYFUNCTION("""COMPUTED_VALUE"""),"N/A")</f>
        <v>N/A</v>
      </c>
      <c r="L671" s="97">
        <f>IFERROR(__xludf.DUMMYFUNCTION("""COMPUTED_VALUE"""),220.0)</f>
        <v>220</v>
      </c>
      <c r="M671" s="97">
        <f>IFERROR(__xludf.DUMMYFUNCTION("""COMPUTED_VALUE"""),50.0)</f>
        <v>50</v>
      </c>
      <c r="N671" s="97"/>
      <c r="O671" s="97" t="str">
        <f>IFERROR(__xludf.DUMMYFUNCTION("""COMPUTED_VALUE"""),"3 x 50W Max")</f>
        <v>3 x 50W Max</v>
      </c>
      <c r="P671" s="97"/>
      <c r="Q671" s="97" t="str">
        <f>IFERROR(__xludf.DUMMYFUNCTION("""COMPUTED_VALUE"""),"-")</f>
        <v>-</v>
      </c>
      <c r="R671" s="97" t="str">
        <f>IFERROR(__xludf.DUMMYFUNCTION("""COMPUTED_VALUE"""),"-")</f>
        <v>-</v>
      </c>
      <c r="S671" s="97" t="str">
        <f>IFERROR(__xludf.DUMMYFUNCTION("""COMPUTED_VALUE"""),"-")</f>
        <v>-</v>
      </c>
      <c r="T671" s="97" t="str">
        <f>IFERROR(__xludf.DUMMYFUNCTION("""COMPUTED_VALUE"""),"-")</f>
        <v>-</v>
      </c>
      <c r="U671" s="97" t="str">
        <f>IFERROR(__xludf.DUMMYFUNCTION("""COMPUTED_VALUE"""),"-")</f>
        <v>-</v>
      </c>
      <c r="V671" s="97" t="str">
        <f>IFERROR(__xludf.DUMMYFUNCTION("""COMPUTED_VALUE"""),"N/A")</f>
        <v>N/A</v>
      </c>
      <c r="W671" s="97" t="str">
        <f>IFERROR(__xludf.DUMMYFUNCTION("""COMPUTED_VALUE"""),"N/A")</f>
        <v>N/A</v>
      </c>
      <c r="X671" s="97" t="str">
        <f>IFERROR(__xludf.DUMMYFUNCTION("""COMPUTED_VALUE"""),"-")</f>
        <v>-</v>
      </c>
      <c r="Y671" s="97" t="str">
        <f>IFERROR(__xludf.DUMMYFUNCTION("""COMPUTED_VALUE"""),"N/A")</f>
        <v>N/A</v>
      </c>
      <c r="Z671" s="97" t="str">
        <f>IFERROR(__xludf.DUMMYFUNCTION("""COMPUTED_VALUE"""),"N/A")</f>
        <v>N/A</v>
      </c>
      <c r="AA671" s="97" t="str">
        <f>IFERROR(__xludf.DUMMYFUNCTION("""COMPUTED_VALUE"""),"N/A")</f>
        <v>N/A</v>
      </c>
      <c r="AB671" s="97" t="str">
        <f>IFERROR(__xludf.DUMMYFUNCTION("""COMPUTED_VALUE"""),"N/A")</f>
        <v>N/A</v>
      </c>
      <c r="AC671" s="97" t="str">
        <f>IFERROR(__xludf.DUMMYFUNCTION("""COMPUTED_VALUE"""),"N/A")</f>
        <v>N/A</v>
      </c>
      <c r="AD671" s="97" t="str">
        <f>IFERROR(__xludf.DUMMYFUNCTION("""COMPUTED_VALUE"""),"IP20")</f>
        <v>IP20</v>
      </c>
      <c r="AE671" s="97" t="str">
        <f>IFERROR(__xludf.DUMMYFUNCTION("""COMPUTED_VALUE"""),"N/A")</f>
        <v>N/A</v>
      </c>
      <c r="AF671" s="97" t="str">
        <f>IFERROR(__xludf.DUMMYFUNCTION("""COMPUTED_VALUE"""),"Embutir")</f>
        <v>Embutir</v>
      </c>
      <c r="AG671" s="97" t="str">
        <f>IFERROR(__xludf.DUMMYFUNCTION("""COMPUTED_VALUE"""),"250 x 93 x 23")</f>
        <v>250 x 93 x 23</v>
      </c>
      <c r="AH671" s="97" t="str">
        <f>IFERROR(__xludf.DUMMYFUNCTION("""COMPUTED_VALUE"""),"237 x 80 ")</f>
        <v>237 x 80 </v>
      </c>
      <c r="AI671" s="97" t="str">
        <f>IFERROR(__xludf.DUMMYFUNCTION("""COMPUTED_VALUE"""),"75 *")</f>
        <v>75 *</v>
      </c>
      <c r="AJ671" s="97" t="str">
        <f>IFERROR(__xludf.DUMMYFUNCTION("""COMPUTED_VALUE"""),"N/A")</f>
        <v>N/A</v>
      </c>
      <c r="AK671" s="97" t="str">
        <f>IFERROR(__xludf.DUMMYFUNCTION("""COMPUTED_VALUE"""),"Policarbonato (PC)")</f>
        <v>Policarbonato (PC)</v>
      </c>
      <c r="AL671" s="97" t="str">
        <f>IFERROR(__xludf.DUMMYFUNCTION("""COMPUTED_VALUE"""),"Negro Mate")</f>
        <v>Negro Mate</v>
      </c>
      <c r="AM671" s="97" t="str">
        <f>IFERROR(__xludf.DUMMYFUNCTION("""COMPUTED_VALUE"""),"-")</f>
        <v>-</v>
      </c>
      <c r="AN671" s="97" t="str">
        <f>IFERROR(__xludf.DUMMYFUNCTION("""COMPUTED_VALUE"""),"N/A")</f>
        <v>N/A</v>
      </c>
      <c r="AO671" s="97" t="str">
        <f>IFERROR(__xludf.DUMMYFUNCTION("""COMPUTED_VALUE"""),"8 Años")</f>
        <v>8 Años</v>
      </c>
      <c r="AP671" s="97" t="str">
        <f>IFERROR(__xludf.DUMMYFUNCTION("""COMPUTED_VALUE"""),"No Aplica")</f>
        <v>No Aplica</v>
      </c>
      <c r="AQ671" s="97" t="str">
        <f>IFERROR(__xludf.DUMMYFUNCTION("""COMPUTED_VALUE"""),"No Aplica")</f>
        <v>No Aplica</v>
      </c>
      <c r="AR671" s="97" t="str">
        <f>IFERROR(__xludf.DUMMYFUNCTION("""COMPUTED_VALUE"""),"No Aplica")</f>
        <v>No Aplica</v>
      </c>
      <c r="AS671" s="97"/>
      <c r="AT671" s="97"/>
      <c r="AU671" s="97"/>
      <c r="AV671" s="97" t="str">
        <f>IFERROR(__xludf.DUMMYFUNCTION("""COMPUTED_VALUE"""),"Empotrable")</f>
        <v>Empotrable</v>
      </c>
      <c r="AW671" s="97" t="str">
        <f>IFERROR(__xludf.DUMMYFUNCTION("""COMPUTED_VALUE"""),"De Techo")</f>
        <v>De Techo</v>
      </c>
      <c r="AX671" s="97" t="str">
        <f>IFERROR(__xludf.DUMMYFUNCTION("""COMPUTED_VALUE"""),"Interior")</f>
        <v>Interior</v>
      </c>
      <c r="AY671" s="97"/>
      <c r="AZ671"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671" s="97">
        <f>IFERROR(__xludf.DUMMYFUNCTION("""COMPUTED_VALUE"""),50.0)</f>
        <v>50</v>
      </c>
      <c r="BB671" s="97"/>
      <c r="BC671" s="97"/>
      <c r="BD671" s="97" t="str">
        <f>IFERROR(__xludf.DUMMYFUNCTION("""COMPUTED_VALUE"""),"MATT")</f>
        <v>MATT</v>
      </c>
      <c r="BE671" s="97" t="str">
        <f>IFERROR(__xludf.DUMMYFUNCTION("""COMPUTED_VALUE"""),"Finalizada")</f>
        <v>Finalizada</v>
      </c>
      <c r="BF671" s="97"/>
      <c r="BG671" s="97" t="str">
        <f>IFERROR(__xludf.DUMMYFUNCTION("""COMPUTED_VALUE"""),"Discontinuo")</f>
        <v>Discontinuo</v>
      </c>
    </row>
    <row r="672">
      <c r="A672" s="97">
        <f>IFERROR(__xludf.DUMMYFUNCTION("""COMPUTED_VALUE"""),6431.0)</f>
        <v>6431</v>
      </c>
      <c r="B672" s="97" t="str">
        <f>IFERROR(__xludf.DUMMYFUNCTION("""COMPUTED_VALUE"""),"JEN I BLNG")</f>
        <v>JEN I BLNG</v>
      </c>
      <c r="C672" s="97" t="str">
        <f>IFERROR(__xludf.DUMMYFUNCTION("""COMPUTED_VALUE"""),"EMPOTRABLE JEN I BLNG 1XGU10 AR111 IP20 LEUK")</f>
        <v>EMPOTRABLE JEN I BLNG 1XGU10 AR111 IP20 LEUK</v>
      </c>
      <c r="D672" s="97">
        <f>IFERROR(__xludf.DUMMYFUNCTION("""COMPUTED_VALUE"""),7.798328758262E12)</f>
        <v>7798328758262</v>
      </c>
      <c r="E672" s="97" t="str">
        <f>IFERROR(__xludf.DUMMYFUNCTION("""COMPUTED_VALUE"""),"-")</f>
        <v>-</v>
      </c>
      <c r="F672" s="97" t="str">
        <f>IFERROR(__xludf.DUMMYFUNCTION("""COMPUTED_VALUE"""),"1xGU10 AR111")</f>
        <v>1xGU10 AR111</v>
      </c>
      <c r="G672" s="97" t="str">
        <f>IFERROR(__xludf.DUMMYFUNCTION("""COMPUTED_VALUE"""),"N/A")</f>
        <v>N/A</v>
      </c>
      <c r="H672" s="97" t="str">
        <f>IFERROR(__xludf.DUMMYFUNCTION("""COMPUTED_VALUE"""),"N/A")</f>
        <v>N/A</v>
      </c>
      <c r="I672" s="97" t="str">
        <f>IFERROR(__xludf.DUMMYFUNCTION("""COMPUTED_VALUE"""),"N/A")</f>
        <v>N/A</v>
      </c>
      <c r="J672" s="97" t="str">
        <f>IFERROR(__xludf.DUMMYFUNCTION("""COMPUTED_VALUE"""),"N/A")</f>
        <v>N/A</v>
      </c>
      <c r="K672" s="97" t="str">
        <f>IFERROR(__xludf.DUMMYFUNCTION("""COMPUTED_VALUE"""),"N/A")</f>
        <v>N/A</v>
      </c>
      <c r="L672" s="97">
        <f>IFERROR(__xludf.DUMMYFUNCTION("""COMPUTED_VALUE"""),220.0)</f>
        <v>220</v>
      </c>
      <c r="M672" s="97">
        <f>IFERROR(__xludf.DUMMYFUNCTION("""COMPUTED_VALUE"""),50.0)</f>
        <v>50</v>
      </c>
      <c r="N672" s="97"/>
      <c r="O672" s="97" t="str">
        <f>IFERROR(__xludf.DUMMYFUNCTION("""COMPUTED_VALUE"""),"1 x 50W Max")</f>
        <v>1 x 50W Max</v>
      </c>
      <c r="P672" s="97"/>
      <c r="Q672" s="97" t="str">
        <f>IFERROR(__xludf.DUMMYFUNCTION("""COMPUTED_VALUE"""),"-")</f>
        <v>-</v>
      </c>
      <c r="R672" s="97" t="str">
        <f>IFERROR(__xludf.DUMMYFUNCTION("""COMPUTED_VALUE"""),"-")</f>
        <v>-</v>
      </c>
      <c r="S672" s="97" t="str">
        <f>IFERROR(__xludf.DUMMYFUNCTION("""COMPUTED_VALUE"""),"-")</f>
        <v>-</v>
      </c>
      <c r="T672" s="97" t="str">
        <f>IFERROR(__xludf.DUMMYFUNCTION("""COMPUTED_VALUE"""),"-")</f>
        <v>-</v>
      </c>
      <c r="U672" s="97" t="str">
        <f>IFERROR(__xludf.DUMMYFUNCTION("""COMPUTED_VALUE"""),"-")</f>
        <v>-</v>
      </c>
      <c r="V672" s="97" t="str">
        <f>IFERROR(__xludf.DUMMYFUNCTION("""COMPUTED_VALUE"""),"N/A")</f>
        <v>N/A</v>
      </c>
      <c r="W672" s="97" t="str">
        <f>IFERROR(__xludf.DUMMYFUNCTION("""COMPUTED_VALUE"""),"N/A")</f>
        <v>N/A</v>
      </c>
      <c r="X672" s="97" t="str">
        <f>IFERROR(__xludf.DUMMYFUNCTION("""COMPUTED_VALUE"""),"-")</f>
        <v>-</v>
      </c>
      <c r="Y672" s="97" t="str">
        <f>IFERROR(__xludf.DUMMYFUNCTION("""COMPUTED_VALUE"""),"N/A")</f>
        <v>N/A</v>
      </c>
      <c r="Z672" s="97" t="str">
        <f>IFERROR(__xludf.DUMMYFUNCTION("""COMPUTED_VALUE"""),"N/A")</f>
        <v>N/A</v>
      </c>
      <c r="AA672" s="97" t="str">
        <f>IFERROR(__xludf.DUMMYFUNCTION("""COMPUTED_VALUE"""),"N/A")</f>
        <v>N/A</v>
      </c>
      <c r="AB672" s="97" t="str">
        <f>IFERROR(__xludf.DUMMYFUNCTION("""COMPUTED_VALUE"""),"N/A")</f>
        <v>N/A</v>
      </c>
      <c r="AC672" s="97" t="str">
        <f>IFERROR(__xludf.DUMMYFUNCTION("""COMPUTED_VALUE"""),"N/A")</f>
        <v>N/A</v>
      </c>
      <c r="AD672" s="97" t="str">
        <f>IFERROR(__xludf.DUMMYFUNCTION("""COMPUTED_VALUE"""),"IP20")</f>
        <v>IP20</v>
      </c>
      <c r="AE672" s="97" t="str">
        <f>IFERROR(__xludf.DUMMYFUNCTION("""COMPUTED_VALUE"""),"N/A")</f>
        <v>N/A</v>
      </c>
      <c r="AF672" s="97" t="str">
        <f>IFERROR(__xludf.DUMMYFUNCTION("""COMPUTED_VALUE"""),"Embutir")</f>
        <v>Embutir</v>
      </c>
      <c r="AG672" s="97" t="str">
        <f>IFERROR(__xludf.DUMMYFUNCTION("""COMPUTED_VALUE"""),"Ø165 x 35")</f>
        <v>Ø165 x 35</v>
      </c>
      <c r="AH672" s="97" t="str">
        <f>IFERROR(__xludf.DUMMYFUNCTION("""COMPUTED_VALUE"""),"Ø145 ")</f>
        <v>Ø145 </v>
      </c>
      <c r="AI672" s="97" t="str">
        <f>IFERROR(__xludf.DUMMYFUNCTION("""COMPUTED_VALUE"""),"95 *")</f>
        <v>95 *</v>
      </c>
      <c r="AJ672" s="97" t="str">
        <f>IFERROR(__xludf.DUMMYFUNCTION("""COMPUTED_VALUE"""),"N/A")</f>
        <v>N/A</v>
      </c>
      <c r="AK672" s="97" t="str">
        <f>IFERROR(__xludf.DUMMYFUNCTION("""COMPUTED_VALUE"""),"Policarbonato (PC)")</f>
        <v>Policarbonato (PC)</v>
      </c>
      <c r="AL672" s="97" t="str">
        <f>IFERROR(__xludf.DUMMYFUNCTION("""COMPUTED_VALUE"""),"Blanco y Negro")</f>
        <v>Blanco y Negro</v>
      </c>
      <c r="AM672" s="97" t="str">
        <f>IFERROR(__xludf.DUMMYFUNCTION("""COMPUTED_VALUE"""),"-")</f>
        <v>-</v>
      </c>
      <c r="AN672" s="97" t="str">
        <f>IFERROR(__xludf.DUMMYFUNCTION("""COMPUTED_VALUE"""),"N/A")</f>
        <v>N/A</v>
      </c>
      <c r="AO672" s="97" t="str">
        <f>IFERROR(__xludf.DUMMYFUNCTION("""COMPUTED_VALUE"""),"8 Años")</f>
        <v>8 Años</v>
      </c>
      <c r="AP672" s="97" t="str">
        <f>IFERROR(__xludf.DUMMYFUNCTION("""COMPUTED_VALUE"""),"No Aplica")</f>
        <v>No Aplica</v>
      </c>
      <c r="AQ672" s="97" t="str">
        <f>IFERROR(__xludf.DUMMYFUNCTION("""COMPUTED_VALUE"""),"No Aplica")</f>
        <v>No Aplica</v>
      </c>
      <c r="AR672" s="97" t="str">
        <f>IFERROR(__xludf.DUMMYFUNCTION("""COMPUTED_VALUE"""),"No Aplica")</f>
        <v>No Aplica</v>
      </c>
      <c r="AS672" s="97"/>
      <c r="AT672" s="97"/>
      <c r="AU672" s="97" t="str">
        <f>IFERROR(__xludf.DUMMYFUNCTION("""COMPUTED_VALUE"""),"Falta")</f>
        <v>Falta</v>
      </c>
      <c r="AV672" s="97" t="str">
        <f>IFERROR(__xludf.DUMMYFUNCTION("""COMPUTED_VALUE"""),"Empotrable")</f>
        <v>Empotrable</v>
      </c>
      <c r="AW672" s="97" t="str">
        <f>IFERROR(__xludf.DUMMYFUNCTION("""COMPUTED_VALUE"""),"De Techo")</f>
        <v>De Techo</v>
      </c>
      <c r="AX672" s="97" t="str">
        <f>IFERROR(__xludf.DUMMYFUNCTION("""COMPUTED_VALUE"""),"Interior")</f>
        <v>Interior</v>
      </c>
      <c r="AY672" s="97" t="str">
        <f>IFERROR(__xludf.DUMMYFUNCTION("""COMPUTED_VALUE"""),"-")</f>
        <v>-</v>
      </c>
      <c r="AZ672" s="97" t="str">
        <f>IFERROR(__xludf.DUMMYFUNCTION("""COMPUTED_VALUE"""),"Spot con Movimiento. Incluye zócalo GU10 c/cable 20cm.
*Profundidad de calado total aproximada (considera AR111 estándar)
**Garantía de 8 años de amarillamiento de PC.
***PC con protección contra rayos UV y retardador de incendios: clasificación BS2D0 con"&amp;" resistencia hasta 120°C.")</f>
        <v>Spot con Movimiento. Incluye zócalo GU10 c/cable 20cm.
*Profundidad de calado total aproximada (considera AR111 estándar)
**Garantía de 8 años de amarillamiento de PC.
***PC con protección contra rayos UV y retardador de incendios: clasificación BS2D0 con resistencia hasta 120°C.</v>
      </c>
      <c r="BA672" s="97">
        <f>IFERROR(__xludf.DUMMYFUNCTION("""COMPUTED_VALUE"""),40.0)</f>
        <v>40</v>
      </c>
      <c r="BB672" s="97" t="str">
        <f>IFERROR(__xludf.DUMMYFUNCTION("""COMPUTED_VALUE"""),"-")</f>
        <v>-</v>
      </c>
      <c r="BC672" s="97" t="str">
        <f>IFERROR(__xludf.DUMMYFUNCTION("""COMPUTED_VALUE"""),"-")</f>
        <v>-</v>
      </c>
      <c r="BD672" s="97" t="str">
        <f>IFERROR(__xludf.DUMMYFUNCTION("""COMPUTED_VALUE"""),"JEN")</f>
        <v>JEN</v>
      </c>
      <c r="BE672" s="97" t="str">
        <f>IFERROR(__xludf.DUMMYFUNCTION("""COMPUTED_VALUE"""),"Finalizada")</f>
        <v>Finalizada</v>
      </c>
      <c r="BF672" s="97"/>
      <c r="BG672" s="97" t="str">
        <f>IFERROR(__xludf.DUMMYFUNCTION("""COMPUTED_VALUE"""),"Discontinuo")</f>
        <v>Discontinuo</v>
      </c>
    </row>
    <row r="673">
      <c r="A673" s="97">
        <f>IFERROR(__xludf.DUMMYFUNCTION("""COMPUTED_VALUE"""),6432.0)</f>
        <v>6432</v>
      </c>
      <c r="B673" s="97" t="str">
        <f>IFERROR(__xludf.DUMMYFUNCTION("""COMPUTED_VALUE"""),"ROY I BL")</f>
        <v>ROY I BL</v>
      </c>
      <c r="C673" s="97" t="str">
        <f>IFERROR(__xludf.DUMMYFUNCTION("""COMPUTED_VALUE"""),"SPOT DE EMBUTIR ROY 1 BLANCO")</f>
        <v>SPOT DE EMBUTIR ROY 1 BLANCO</v>
      </c>
      <c r="D673" s="97">
        <f>IFERROR(__xludf.DUMMYFUNCTION("""COMPUTED_VALUE"""),7.798328758279E12)</f>
        <v>7798328758279</v>
      </c>
      <c r="E673" s="97"/>
      <c r="F673" s="97" t="str">
        <f>IFERROR(__xludf.DUMMYFUNCTION("""COMPUTED_VALUE"""),"1 x GU10")</f>
        <v>1 x GU10</v>
      </c>
      <c r="G673" s="97" t="str">
        <f>IFERROR(__xludf.DUMMYFUNCTION("""COMPUTED_VALUE"""),"N/A")</f>
        <v>N/A</v>
      </c>
      <c r="H673" s="97" t="str">
        <f>IFERROR(__xludf.DUMMYFUNCTION("""COMPUTED_VALUE"""),"N/A")</f>
        <v>N/A</v>
      </c>
      <c r="I673" s="97" t="str">
        <f>IFERROR(__xludf.DUMMYFUNCTION("""COMPUTED_VALUE"""),"N/A")</f>
        <v>N/A</v>
      </c>
      <c r="J673" s="97"/>
      <c r="K673" s="97" t="str">
        <f>IFERROR(__xludf.DUMMYFUNCTION("""COMPUTED_VALUE"""),"N/A")</f>
        <v>N/A</v>
      </c>
      <c r="L673" s="97">
        <f>IFERROR(__xludf.DUMMYFUNCTION("""COMPUTED_VALUE"""),220.0)</f>
        <v>220</v>
      </c>
      <c r="M673" s="97">
        <f>IFERROR(__xludf.DUMMYFUNCTION("""COMPUTED_VALUE"""),50.0)</f>
        <v>50</v>
      </c>
      <c r="N673" s="97"/>
      <c r="O673" s="97" t="str">
        <f>IFERROR(__xludf.DUMMYFUNCTION("""COMPUTED_VALUE"""),"1 x 50W Max")</f>
        <v>1 x 50W Max</v>
      </c>
      <c r="P673" s="97"/>
      <c r="Q673" s="97" t="str">
        <f>IFERROR(__xludf.DUMMYFUNCTION("""COMPUTED_VALUE"""),"-")</f>
        <v>-</v>
      </c>
      <c r="R673" s="97" t="str">
        <f>IFERROR(__xludf.DUMMYFUNCTION("""COMPUTED_VALUE"""),"-")</f>
        <v>-</v>
      </c>
      <c r="S673" s="97" t="str">
        <f>IFERROR(__xludf.DUMMYFUNCTION("""COMPUTED_VALUE"""),"-")</f>
        <v>-</v>
      </c>
      <c r="T673" s="97" t="str">
        <f>IFERROR(__xludf.DUMMYFUNCTION("""COMPUTED_VALUE"""),"-")</f>
        <v>-</v>
      </c>
      <c r="U673" s="97" t="str">
        <f>IFERROR(__xludf.DUMMYFUNCTION("""COMPUTED_VALUE"""),"-")</f>
        <v>-</v>
      </c>
      <c r="V673" s="97" t="str">
        <f>IFERROR(__xludf.DUMMYFUNCTION("""COMPUTED_VALUE"""),"N/A")</f>
        <v>N/A</v>
      </c>
      <c r="W673" s="97" t="str">
        <f>IFERROR(__xludf.DUMMYFUNCTION("""COMPUTED_VALUE"""),"N/A")</f>
        <v>N/A</v>
      </c>
      <c r="X673" s="97" t="str">
        <f>IFERROR(__xludf.DUMMYFUNCTION("""COMPUTED_VALUE"""),"-")</f>
        <v>-</v>
      </c>
      <c r="Y673" s="97" t="str">
        <f>IFERROR(__xludf.DUMMYFUNCTION("""COMPUTED_VALUE"""),"N/A")</f>
        <v>N/A</v>
      </c>
      <c r="Z673" s="97" t="str">
        <f>IFERROR(__xludf.DUMMYFUNCTION("""COMPUTED_VALUE"""),"N/A")</f>
        <v>N/A</v>
      </c>
      <c r="AA673" s="97" t="str">
        <f>IFERROR(__xludf.DUMMYFUNCTION("""COMPUTED_VALUE"""),"N/A")</f>
        <v>N/A</v>
      </c>
      <c r="AB673" s="97" t="str">
        <f>IFERROR(__xludf.DUMMYFUNCTION("""COMPUTED_VALUE"""),"N/A")</f>
        <v>N/A</v>
      </c>
      <c r="AC673" s="97" t="str">
        <f>IFERROR(__xludf.DUMMYFUNCTION("""COMPUTED_VALUE"""),"N/A")</f>
        <v>N/A</v>
      </c>
      <c r="AD673" s="97" t="str">
        <f>IFERROR(__xludf.DUMMYFUNCTION("""COMPUTED_VALUE"""),"IP20")</f>
        <v>IP20</v>
      </c>
      <c r="AE673" s="97" t="str">
        <f>IFERROR(__xludf.DUMMYFUNCTION("""COMPUTED_VALUE"""),"N/A")</f>
        <v>N/A</v>
      </c>
      <c r="AF673" s="97" t="str">
        <f>IFERROR(__xludf.DUMMYFUNCTION("""COMPUTED_VALUE"""),"Embutir")</f>
        <v>Embutir</v>
      </c>
      <c r="AG673" s="97" t="str">
        <f>IFERROR(__xludf.DUMMYFUNCTION("""COMPUTED_VALUE"""),"Ø85 x 47")</f>
        <v>Ø85 x 47</v>
      </c>
      <c r="AH673" s="97" t="str">
        <f>IFERROR(__xludf.DUMMYFUNCTION("""COMPUTED_VALUE"""),"Ø75 ")</f>
        <v>Ø75 </v>
      </c>
      <c r="AI673" s="97" t="str">
        <f>IFERROR(__xludf.DUMMYFUNCTION("""COMPUTED_VALUE"""),"55 *")</f>
        <v>55 *</v>
      </c>
      <c r="AJ673" s="97" t="str">
        <f>IFERROR(__xludf.DUMMYFUNCTION("""COMPUTED_VALUE"""),"N/A")</f>
        <v>N/A</v>
      </c>
      <c r="AK673" s="97" t="str">
        <f>IFERROR(__xludf.DUMMYFUNCTION("""COMPUTED_VALUE"""),"Policarbonato (PC)")</f>
        <v>Policarbonato (PC)</v>
      </c>
      <c r="AL673" s="97" t="str">
        <f>IFERROR(__xludf.DUMMYFUNCTION("""COMPUTED_VALUE"""),"Blanco Mate")</f>
        <v>Blanco Mate</v>
      </c>
      <c r="AM673" s="97" t="str">
        <f>IFERROR(__xludf.DUMMYFUNCTION("""COMPUTED_VALUE"""),"-")</f>
        <v>-</v>
      </c>
      <c r="AN673" s="97" t="str">
        <f>IFERROR(__xludf.DUMMYFUNCTION("""COMPUTED_VALUE"""),"N/A")</f>
        <v>N/A</v>
      </c>
      <c r="AO673" s="97" t="str">
        <f>IFERROR(__xludf.DUMMYFUNCTION("""COMPUTED_VALUE"""),"8 Años")</f>
        <v>8 Años</v>
      </c>
      <c r="AP673" s="97" t="str">
        <f>IFERROR(__xludf.DUMMYFUNCTION("""COMPUTED_VALUE"""),"No Aplica")</f>
        <v>No Aplica</v>
      </c>
      <c r="AQ673" s="97" t="str">
        <f>IFERROR(__xludf.DUMMYFUNCTION("""COMPUTED_VALUE"""),"No Aplica")</f>
        <v>No Aplica</v>
      </c>
      <c r="AR673" s="97" t="str">
        <f>IFERROR(__xludf.DUMMYFUNCTION("""COMPUTED_VALUE"""),"No Aplica")</f>
        <v>No Aplica</v>
      </c>
      <c r="AS673" s="97"/>
      <c r="AT673" s="97"/>
      <c r="AU673" s="97"/>
      <c r="AV673" s="97" t="str">
        <f>IFERROR(__xludf.DUMMYFUNCTION("""COMPUTED_VALUE"""),"Empotrable")</f>
        <v>Empotrable</v>
      </c>
      <c r="AW673" s="97" t="str">
        <f>IFERROR(__xludf.DUMMYFUNCTION("""COMPUTED_VALUE"""),"De Techo")</f>
        <v>De Techo</v>
      </c>
      <c r="AX673" s="97" t="str">
        <f>IFERROR(__xludf.DUMMYFUNCTION("""COMPUTED_VALUE"""),"Interior")</f>
        <v>Interior</v>
      </c>
      <c r="AY673" s="97"/>
      <c r="AZ673"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673" s="97">
        <f>IFERROR(__xludf.DUMMYFUNCTION("""COMPUTED_VALUE"""),100.0)</f>
        <v>100</v>
      </c>
      <c r="BB673" s="97"/>
      <c r="BC673" s="97"/>
      <c r="BD673" s="97" t="str">
        <f>IFERROR(__xludf.DUMMYFUNCTION("""COMPUTED_VALUE"""),"ROY")</f>
        <v>ROY</v>
      </c>
      <c r="BE673" s="97" t="str">
        <f>IFERROR(__xludf.DUMMYFUNCTION("""COMPUTED_VALUE"""),"Finalizada")</f>
        <v>Finalizada</v>
      </c>
      <c r="BF673" s="97"/>
      <c r="BG673" s="97" t="str">
        <f>IFERROR(__xludf.DUMMYFUNCTION("""COMPUTED_VALUE"""),"Discontinuo")</f>
        <v>Discontinuo</v>
      </c>
    </row>
    <row r="674">
      <c r="A674" s="97">
        <f>IFERROR(__xludf.DUMMYFUNCTION("""COMPUTED_VALUE"""),6433.0)</f>
        <v>6433</v>
      </c>
      <c r="B674" s="97" t="str">
        <f>IFERROR(__xludf.DUMMYFUNCTION("""COMPUTED_VALUE"""),"ROY I NG")</f>
        <v>ROY I NG</v>
      </c>
      <c r="C674" s="97" t="str">
        <f>IFERROR(__xludf.DUMMYFUNCTION("""COMPUTED_VALUE"""),"SPOT DE EMBUTIR ROY 1 NEGRO")</f>
        <v>SPOT DE EMBUTIR ROY 1 NEGRO</v>
      </c>
      <c r="D674" s="97">
        <f>IFERROR(__xludf.DUMMYFUNCTION("""COMPUTED_VALUE"""),7.798328758286E12)</f>
        <v>7798328758286</v>
      </c>
      <c r="E674" s="97"/>
      <c r="F674" s="97" t="str">
        <f>IFERROR(__xludf.DUMMYFUNCTION("""COMPUTED_VALUE"""),"1 x GU10")</f>
        <v>1 x GU10</v>
      </c>
      <c r="G674" s="97" t="str">
        <f>IFERROR(__xludf.DUMMYFUNCTION("""COMPUTED_VALUE"""),"N/A")</f>
        <v>N/A</v>
      </c>
      <c r="H674" s="97" t="str">
        <f>IFERROR(__xludf.DUMMYFUNCTION("""COMPUTED_VALUE"""),"N/A")</f>
        <v>N/A</v>
      </c>
      <c r="I674" s="97" t="str">
        <f>IFERROR(__xludf.DUMMYFUNCTION("""COMPUTED_VALUE"""),"N/A")</f>
        <v>N/A</v>
      </c>
      <c r="J674" s="97"/>
      <c r="K674" s="97" t="str">
        <f>IFERROR(__xludf.DUMMYFUNCTION("""COMPUTED_VALUE"""),"N/A")</f>
        <v>N/A</v>
      </c>
      <c r="L674" s="97">
        <f>IFERROR(__xludf.DUMMYFUNCTION("""COMPUTED_VALUE"""),220.0)</f>
        <v>220</v>
      </c>
      <c r="M674" s="97">
        <f>IFERROR(__xludf.DUMMYFUNCTION("""COMPUTED_VALUE"""),50.0)</f>
        <v>50</v>
      </c>
      <c r="N674" s="97"/>
      <c r="O674" s="97" t="str">
        <f>IFERROR(__xludf.DUMMYFUNCTION("""COMPUTED_VALUE"""),"1 x 50W Max")</f>
        <v>1 x 50W Max</v>
      </c>
      <c r="P674" s="97"/>
      <c r="Q674" s="97" t="str">
        <f>IFERROR(__xludf.DUMMYFUNCTION("""COMPUTED_VALUE"""),"-")</f>
        <v>-</v>
      </c>
      <c r="R674" s="97" t="str">
        <f>IFERROR(__xludf.DUMMYFUNCTION("""COMPUTED_VALUE"""),"-")</f>
        <v>-</v>
      </c>
      <c r="S674" s="97" t="str">
        <f>IFERROR(__xludf.DUMMYFUNCTION("""COMPUTED_VALUE"""),"-")</f>
        <v>-</v>
      </c>
      <c r="T674" s="97" t="str">
        <f>IFERROR(__xludf.DUMMYFUNCTION("""COMPUTED_VALUE"""),"-")</f>
        <v>-</v>
      </c>
      <c r="U674" s="97" t="str">
        <f>IFERROR(__xludf.DUMMYFUNCTION("""COMPUTED_VALUE"""),"-")</f>
        <v>-</v>
      </c>
      <c r="V674" s="97" t="str">
        <f>IFERROR(__xludf.DUMMYFUNCTION("""COMPUTED_VALUE"""),"N/A")</f>
        <v>N/A</v>
      </c>
      <c r="W674" s="97" t="str">
        <f>IFERROR(__xludf.DUMMYFUNCTION("""COMPUTED_VALUE"""),"N/A")</f>
        <v>N/A</v>
      </c>
      <c r="X674" s="97" t="str">
        <f>IFERROR(__xludf.DUMMYFUNCTION("""COMPUTED_VALUE"""),"-")</f>
        <v>-</v>
      </c>
      <c r="Y674" s="97" t="str">
        <f>IFERROR(__xludf.DUMMYFUNCTION("""COMPUTED_VALUE"""),"N/A")</f>
        <v>N/A</v>
      </c>
      <c r="Z674" s="97" t="str">
        <f>IFERROR(__xludf.DUMMYFUNCTION("""COMPUTED_VALUE"""),"N/A")</f>
        <v>N/A</v>
      </c>
      <c r="AA674" s="97" t="str">
        <f>IFERROR(__xludf.DUMMYFUNCTION("""COMPUTED_VALUE"""),"N/A")</f>
        <v>N/A</v>
      </c>
      <c r="AB674" s="97" t="str">
        <f>IFERROR(__xludf.DUMMYFUNCTION("""COMPUTED_VALUE"""),"N/A")</f>
        <v>N/A</v>
      </c>
      <c r="AC674" s="97" t="str">
        <f>IFERROR(__xludf.DUMMYFUNCTION("""COMPUTED_VALUE"""),"N/A")</f>
        <v>N/A</v>
      </c>
      <c r="AD674" s="97" t="str">
        <f>IFERROR(__xludf.DUMMYFUNCTION("""COMPUTED_VALUE"""),"IP20")</f>
        <v>IP20</v>
      </c>
      <c r="AE674" s="97" t="str">
        <f>IFERROR(__xludf.DUMMYFUNCTION("""COMPUTED_VALUE"""),"N/A")</f>
        <v>N/A</v>
      </c>
      <c r="AF674" s="97" t="str">
        <f>IFERROR(__xludf.DUMMYFUNCTION("""COMPUTED_VALUE"""),"Embutir")</f>
        <v>Embutir</v>
      </c>
      <c r="AG674" s="97" t="str">
        <f>IFERROR(__xludf.DUMMYFUNCTION("""COMPUTED_VALUE"""),"Ø85 x 47")</f>
        <v>Ø85 x 47</v>
      </c>
      <c r="AH674" s="97" t="str">
        <f>IFERROR(__xludf.DUMMYFUNCTION("""COMPUTED_VALUE"""),"Ø75 ")</f>
        <v>Ø75 </v>
      </c>
      <c r="AI674" s="97" t="str">
        <f>IFERROR(__xludf.DUMMYFUNCTION("""COMPUTED_VALUE"""),"55 *")</f>
        <v>55 *</v>
      </c>
      <c r="AJ674" s="97" t="str">
        <f>IFERROR(__xludf.DUMMYFUNCTION("""COMPUTED_VALUE"""),"N/A")</f>
        <v>N/A</v>
      </c>
      <c r="AK674" s="97" t="str">
        <f>IFERROR(__xludf.DUMMYFUNCTION("""COMPUTED_VALUE"""),"Policarbonato (PC)")</f>
        <v>Policarbonato (PC)</v>
      </c>
      <c r="AL674" s="97" t="str">
        <f>IFERROR(__xludf.DUMMYFUNCTION("""COMPUTED_VALUE"""),"Negro Mate")</f>
        <v>Negro Mate</v>
      </c>
      <c r="AM674" s="97" t="str">
        <f>IFERROR(__xludf.DUMMYFUNCTION("""COMPUTED_VALUE"""),"-")</f>
        <v>-</v>
      </c>
      <c r="AN674" s="97" t="str">
        <f>IFERROR(__xludf.DUMMYFUNCTION("""COMPUTED_VALUE"""),"N/A")</f>
        <v>N/A</v>
      </c>
      <c r="AO674" s="97" t="str">
        <f>IFERROR(__xludf.DUMMYFUNCTION("""COMPUTED_VALUE"""),"8 Años")</f>
        <v>8 Años</v>
      </c>
      <c r="AP674" s="97" t="str">
        <f>IFERROR(__xludf.DUMMYFUNCTION("""COMPUTED_VALUE"""),"No Aplica")</f>
        <v>No Aplica</v>
      </c>
      <c r="AQ674" s="97" t="str">
        <f>IFERROR(__xludf.DUMMYFUNCTION("""COMPUTED_VALUE"""),"No Aplica")</f>
        <v>No Aplica</v>
      </c>
      <c r="AR674" s="97" t="str">
        <f>IFERROR(__xludf.DUMMYFUNCTION("""COMPUTED_VALUE"""),"No Aplica")</f>
        <v>No Aplica</v>
      </c>
      <c r="AS674" s="97"/>
      <c r="AT674" s="97"/>
      <c r="AU674" s="97"/>
      <c r="AV674" s="97" t="str">
        <f>IFERROR(__xludf.DUMMYFUNCTION("""COMPUTED_VALUE"""),"Empotrable")</f>
        <v>Empotrable</v>
      </c>
      <c r="AW674" s="97" t="str">
        <f>IFERROR(__xludf.DUMMYFUNCTION("""COMPUTED_VALUE"""),"De Techo")</f>
        <v>De Techo</v>
      </c>
      <c r="AX674" s="97" t="str">
        <f>IFERROR(__xludf.DUMMYFUNCTION("""COMPUTED_VALUE"""),"Interior")</f>
        <v>Interior</v>
      </c>
      <c r="AY674" s="97"/>
      <c r="AZ674"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674" s="97">
        <f>IFERROR(__xludf.DUMMYFUNCTION("""COMPUTED_VALUE"""),100.0)</f>
        <v>100</v>
      </c>
      <c r="BB674" s="97"/>
      <c r="BC674" s="97"/>
      <c r="BD674" s="97" t="str">
        <f>IFERROR(__xludf.DUMMYFUNCTION("""COMPUTED_VALUE"""),"ROY")</f>
        <v>ROY</v>
      </c>
      <c r="BE674" s="97" t="str">
        <f>IFERROR(__xludf.DUMMYFUNCTION("""COMPUTED_VALUE"""),"Finalizada")</f>
        <v>Finalizada</v>
      </c>
      <c r="BF674" s="97"/>
      <c r="BG674" s="97" t="str">
        <f>IFERROR(__xludf.DUMMYFUNCTION("""COMPUTED_VALUE"""),"Discontinuo")</f>
        <v>Discontinuo</v>
      </c>
    </row>
    <row r="675">
      <c r="A675" s="97">
        <f>IFERROR(__xludf.DUMMYFUNCTION("""COMPUTED_VALUE"""),6434.0)</f>
        <v>6434</v>
      </c>
      <c r="B675" s="97" t="str">
        <f>IFERROR(__xludf.DUMMYFUNCTION("""COMPUTED_VALUE"""),"LARU I BL")</f>
        <v>LARU I BL</v>
      </c>
      <c r="C675" s="97" t="str">
        <f>IFERROR(__xludf.DUMMYFUNCTION("""COMPUTED_VALUE"""),"SPOT DE EMBUTIR LARU1 BLANCO")</f>
        <v>SPOT DE EMBUTIR LARU1 BLANCO</v>
      </c>
      <c r="D675" s="97">
        <f>IFERROR(__xludf.DUMMYFUNCTION("""COMPUTED_VALUE"""),7.798328758293E12)</f>
        <v>7798328758293</v>
      </c>
      <c r="E675" s="97"/>
      <c r="F675" s="97" t="str">
        <f>IFERROR(__xludf.DUMMYFUNCTION("""COMPUTED_VALUE"""),"1 x GU10")</f>
        <v>1 x GU10</v>
      </c>
      <c r="G675" s="97" t="str">
        <f>IFERROR(__xludf.DUMMYFUNCTION("""COMPUTED_VALUE"""),"N/A")</f>
        <v>N/A</v>
      </c>
      <c r="H675" s="97" t="str">
        <f>IFERROR(__xludf.DUMMYFUNCTION("""COMPUTED_VALUE"""),"N/A")</f>
        <v>N/A</v>
      </c>
      <c r="I675" s="97" t="str">
        <f>IFERROR(__xludf.DUMMYFUNCTION("""COMPUTED_VALUE"""),"N/A")</f>
        <v>N/A</v>
      </c>
      <c r="J675" s="97"/>
      <c r="K675" s="97" t="str">
        <f>IFERROR(__xludf.DUMMYFUNCTION("""COMPUTED_VALUE"""),"N/A")</f>
        <v>N/A</v>
      </c>
      <c r="L675" s="97">
        <f>IFERROR(__xludf.DUMMYFUNCTION("""COMPUTED_VALUE"""),220.0)</f>
        <v>220</v>
      </c>
      <c r="M675" s="97">
        <f>IFERROR(__xludf.DUMMYFUNCTION("""COMPUTED_VALUE"""),50.0)</f>
        <v>50</v>
      </c>
      <c r="N675" s="97"/>
      <c r="O675" s="97" t="str">
        <f>IFERROR(__xludf.DUMMYFUNCTION("""COMPUTED_VALUE"""),"1 x 50W Max")</f>
        <v>1 x 50W Max</v>
      </c>
      <c r="P675" s="97"/>
      <c r="Q675" s="97" t="str">
        <f>IFERROR(__xludf.DUMMYFUNCTION("""COMPUTED_VALUE"""),"-")</f>
        <v>-</v>
      </c>
      <c r="R675" s="97" t="str">
        <f>IFERROR(__xludf.DUMMYFUNCTION("""COMPUTED_VALUE"""),"-")</f>
        <v>-</v>
      </c>
      <c r="S675" s="97" t="str">
        <f>IFERROR(__xludf.DUMMYFUNCTION("""COMPUTED_VALUE"""),"-")</f>
        <v>-</v>
      </c>
      <c r="T675" s="97" t="str">
        <f>IFERROR(__xludf.DUMMYFUNCTION("""COMPUTED_VALUE"""),"-")</f>
        <v>-</v>
      </c>
      <c r="U675" s="97" t="str">
        <f>IFERROR(__xludf.DUMMYFUNCTION("""COMPUTED_VALUE"""),"-")</f>
        <v>-</v>
      </c>
      <c r="V675" s="97" t="str">
        <f>IFERROR(__xludf.DUMMYFUNCTION("""COMPUTED_VALUE"""),"N/A")</f>
        <v>N/A</v>
      </c>
      <c r="W675" s="97" t="str">
        <f>IFERROR(__xludf.DUMMYFUNCTION("""COMPUTED_VALUE"""),"N/A")</f>
        <v>N/A</v>
      </c>
      <c r="X675" s="97" t="str">
        <f>IFERROR(__xludf.DUMMYFUNCTION("""COMPUTED_VALUE"""),"-")</f>
        <v>-</v>
      </c>
      <c r="Y675" s="97" t="str">
        <f>IFERROR(__xludf.DUMMYFUNCTION("""COMPUTED_VALUE"""),"N/A")</f>
        <v>N/A</v>
      </c>
      <c r="Z675" s="97" t="str">
        <f>IFERROR(__xludf.DUMMYFUNCTION("""COMPUTED_VALUE"""),"N/A")</f>
        <v>N/A</v>
      </c>
      <c r="AA675" s="97" t="str">
        <f>IFERROR(__xludf.DUMMYFUNCTION("""COMPUTED_VALUE"""),"N/A")</f>
        <v>N/A</v>
      </c>
      <c r="AB675" s="97" t="str">
        <f>IFERROR(__xludf.DUMMYFUNCTION("""COMPUTED_VALUE"""),"N/A")</f>
        <v>N/A</v>
      </c>
      <c r="AC675" s="97" t="str">
        <f>IFERROR(__xludf.DUMMYFUNCTION("""COMPUTED_VALUE"""),"N/A")</f>
        <v>N/A</v>
      </c>
      <c r="AD675" s="97" t="str">
        <f>IFERROR(__xludf.DUMMYFUNCTION("""COMPUTED_VALUE"""),"IP20")</f>
        <v>IP20</v>
      </c>
      <c r="AE675" s="97" t="str">
        <f>IFERROR(__xludf.DUMMYFUNCTION("""COMPUTED_VALUE"""),"N/A")</f>
        <v>N/A</v>
      </c>
      <c r="AF675" s="97" t="str">
        <f>IFERROR(__xludf.DUMMYFUNCTION("""COMPUTED_VALUE"""),"Embutir")</f>
        <v>Embutir</v>
      </c>
      <c r="AG675" s="97" t="str">
        <f>IFERROR(__xludf.DUMMYFUNCTION("""COMPUTED_VALUE"""),"93 x 93 x 47")</f>
        <v>93 x 93 x 47</v>
      </c>
      <c r="AH675" s="97" t="str">
        <f>IFERROR(__xludf.DUMMYFUNCTION("""COMPUTED_VALUE"""),"Ø75 ")</f>
        <v>Ø75 </v>
      </c>
      <c r="AI675" s="97" t="str">
        <f>IFERROR(__xludf.DUMMYFUNCTION("""COMPUTED_VALUE"""),"55 *")</f>
        <v>55 *</v>
      </c>
      <c r="AJ675" s="97" t="str">
        <f>IFERROR(__xludf.DUMMYFUNCTION("""COMPUTED_VALUE"""),"N/A")</f>
        <v>N/A</v>
      </c>
      <c r="AK675" s="97" t="str">
        <f>IFERROR(__xludf.DUMMYFUNCTION("""COMPUTED_VALUE"""),"Policarbonato (PC)")</f>
        <v>Policarbonato (PC)</v>
      </c>
      <c r="AL675" s="97" t="str">
        <f>IFERROR(__xludf.DUMMYFUNCTION("""COMPUTED_VALUE"""),"Blanco Mate")</f>
        <v>Blanco Mate</v>
      </c>
      <c r="AM675" s="97" t="str">
        <f>IFERROR(__xludf.DUMMYFUNCTION("""COMPUTED_VALUE"""),"-")</f>
        <v>-</v>
      </c>
      <c r="AN675" s="97" t="str">
        <f>IFERROR(__xludf.DUMMYFUNCTION("""COMPUTED_VALUE"""),"N/A")</f>
        <v>N/A</v>
      </c>
      <c r="AO675" s="97" t="str">
        <f>IFERROR(__xludf.DUMMYFUNCTION("""COMPUTED_VALUE"""),"8 Años")</f>
        <v>8 Años</v>
      </c>
      <c r="AP675" s="97" t="str">
        <f>IFERROR(__xludf.DUMMYFUNCTION("""COMPUTED_VALUE"""),"No Aplica")</f>
        <v>No Aplica</v>
      </c>
      <c r="AQ675" s="97" t="str">
        <f>IFERROR(__xludf.DUMMYFUNCTION("""COMPUTED_VALUE"""),"No Aplica")</f>
        <v>No Aplica</v>
      </c>
      <c r="AR675" s="97" t="str">
        <f>IFERROR(__xludf.DUMMYFUNCTION("""COMPUTED_VALUE"""),"No Aplica")</f>
        <v>No Aplica</v>
      </c>
      <c r="AS675" s="97"/>
      <c r="AT675" s="97"/>
      <c r="AU675" s="97"/>
      <c r="AV675" s="97" t="str">
        <f>IFERROR(__xludf.DUMMYFUNCTION("""COMPUTED_VALUE"""),"Empotrable")</f>
        <v>Empotrable</v>
      </c>
      <c r="AW675" s="97" t="str">
        <f>IFERROR(__xludf.DUMMYFUNCTION("""COMPUTED_VALUE"""),"De Techo")</f>
        <v>De Techo</v>
      </c>
      <c r="AX675" s="97" t="str">
        <f>IFERROR(__xludf.DUMMYFUNCTION("""COMPUTED_VALUE"""),"Interior")</f>
        <v>Interior</v>
      </c>
      <c r="AY675" s="97"/>
      <c r="AZ675"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675" s="97">
        <f>IFERROR(__xludf.DUMMYFUNCTION("""COMPUTED_VALUE"""),100.0)</f>
        <v>100</v>
      </c>
      <c r="BB675" s="97"/>
      <c r="BC675" s="97"/>
      <c r="BD675" s="97" t="str">
        <f>IFERROR(__xludf.DUMMYFUNCTION("""COMPUTED_VALUE"""),"LARU")</f>
        <v>LARU</v>
      </c>
      <c r="BE675" s="97" t="str">
        <f>IFERROR(__xludf.DUMMYFUNCTION("""COMPUTED_VALUE"""),"Finalizada")</f>
        <v>Finalizada</v>
      </c>
      <c r="BF675" s="97"/>
      <c r="BG675" s="97" t="str">
        <f>IFERROR(__xludf.DUMMYFUNCTION("""COMPUTED_VALUE"""),"Discontinuo")</f>
        <v>Discontinuo</v>
      </c>
    </row>
    <row r="676">
      <c r="A676" s="97">
        <f>IFERROR(__xludf.DUMMYFUNCTION("""COMPUTED_VALUE"""),6435.0)</f>
        <v>6435</v>
      </c>
      <c r="B676" s="97" t="str">
        <f>IFERROR(__xludf.DUMMYFUNCTION("""COMPUTED_VALUE"""),"LARU I NG")</f>
        <v>LARU I NG</v>
      </c>
      <c r="C676" s="97" t="str">
        <f>IFERROR(__xludf.DUMMYFUNCTION("""COMPUTED_VALUE"""),"SPOT DE EMBUTIR LARU1 NEGRO")</f>
        <v>SPOT DE EMBUTIR LARU1 NEGRO</v>
      </c>
      <c r="D676" s="97">
        <f>IFERROR(__xludf.DUMMYFUNCTION("""COMPUTED_VALUE"""),7.798328758309E12)</f>
        <v>7798328758309</v>
      </c>
      <c r="E676" s="97"/>
      <c r="F676" s="97" t="str">
        <f>IFERROR(__xludf.DUMMYFUNCTION("""COMPUTED_VALUE"""),"1 x GU10")</f>
        <v>1 x GU10</v>
      </c>
      <c r="G676" s="97" t="str">
        <f>IFERROR(__xludf.DUMMYFUNCTION("""COMPUTED_VALUE"""),"N/A")</f>
        <v>N/A</v>
      </c>
      <c r="H676" s="97" t="str">
        <f>IFERROR(__xludf.DUMMYFUNCTION("""COMPUTED_VALUE"""),"N/A")</f>
        <v>N/A</v>
      </c>
      <c r="I676" s="97" t="str">
        <f>IFERROR(__xludf.DUMMYFUNCTION("""COMPUTED_VALUE"""),"N/A")</f>
        <v>N/A</v>
      </c>
      <c r="J676" s="97"/>
      <c r="K676" s="97" t="str">
        <f>IFERROR(__xludf.DUMMYFUNCTION("""COMPUTED_VALUE"""),"N/A")</f>
        <v>N/A</v>
      </c>
      <c r="L676" s="97">
        <f>IFERROR(__xludf.DUMMYFUNCTION("""COMPUTED_VALUE"""),220.0)</f>
        <v>220</v>
      </c>
      <c r="M676" s="97">
        <f>IFERROR(__xludf.DUMMYFUNCTION("""COMPUTED_VALUE"""),50.0)</f>
        <v>50</v>
      </c>
      <c r="N676" s="97"/>
      <c r="O676" s="97" t="str">
        <f>IFERROR(__xludf.DUMMYFUNCTION("""COMPUTED_VALUE"""),"1 x 50W Max")</f>
        <v>1 x 50W Max</v>
      </c>
      <c r="P676" s="97"/>
      <c r="Q676" s="97" t="str">
        <f>IFERROR(__xludf.DUMMYFUNCTION("""COMPUTED_VALUE"""),"-")</f>
        <v>-</v>
      </c>
      <c r="R676" s="97" t="str">
        <f>IFERROR(__xludf.DUMMYFUNCTION("""COMPUTED_VALUE"""),"-")</f>
        <v>-</v>
      </c>
      <c r="S676" s="97" t="str">
        <f>IFERROR(__xludf.DUMMYFUNCTION("""COMPUTED_VALUE"""),"-")</f>
        <v>-</v>
      </c>
      <c r="T676" s="97" t="str">
        <f>IFERROR(__xludf.DUMMYFUNCTION("""COMPUTED_VALUE"""),"-")</f>
        <v>-</v>
      </c>
      <c r="U676" s="97" t="str">
        <f>IFERROR(__xludf.DUMMYFUNCTION("""COMPUTED_VALUE"""),"-")</f>
        <v>-</v>
      </c>
      <c r="V676" s="97" t="str">
        <f>IFERROR(__xludf.DUMMYFUNCTION("""COMPUTED_VALUE"""),"N/A")</f>
        <v>N/A</v>
      </c>
      <c r="W676" s="97" t="str">
        <f>IFERROR(__xludf.DUMMYFUNCTION("""COMPUTED_VALUE"""),"N/A")</f>
        <v>N/A</v>
      </c>
      <c r="X676" s="97" t="str">
        <f>IFERROR(__xludf.DUMMYFUNCTION("""COMPUTED_VALUE"""),"-")</f>
        <v>-</v>
      </c>
      <c r="Y676" s="97" t="str">
        <f>IFERROR(__xludf.DUMMYFUNCTION("""COMPUTED_VALUE"""),"N/A")</f>
        <v>N/A</v>
      </c>
      <c r="Z676" s="97" t="str">
        <f>IFERROR(__xludf.DUMMYFUNCTION("""COMPUTED_VALUE"""),"N/A")</f>
        <v>N/A</v>
      </c>
      <c r="AA676" s="97" t="str">
        <f>IFERROR(__xludf.DUMMYFUNCTION("""COMPUTED_VALUE"""),"N/A")</f>
        <v>N/A</v>
      </c>
      <c r="AB676" s="97" t="str">
        <f>IFERROR(__xludf.DUMMYFUNCTION("""COMPUTED_VALUE"""),"N/A")</f>
        <v>N/A</v>
      </c>
      <c r="AC676" s="97" t="str">
        <f>IFERROR(__xludf.DUMMYFUNCTION("""COMPUTED_VALUE"""),"N/A")</f>
        <v>N/A</v>
      </c>
      <c r="AD676" s="97" t="str">
        <f>IFERROR(__xludf.DUMMYFUNCTION("""COMPUTED_VALUE"""),"IP20")</f>
        <v>IP20</v>
      </c>
      <c r="AE676" s="97" t="str">
        <f>IFERROR(__xludf.DUMMYFUNCTION("""COMPUTED_VALUE"""),"N/A")</f>
        <v>N/A</v>
      </c>
      <c r="AF676" s="97" t="str">
        <f>IFERROR(__xludf.DUMMYFUNCTION("""COMPUTED_VALUE"""),"Embutir")</f>
        <v>Embutir</v>
      </c>
      <c r="AG676" s="97" t="str">
        <f>IFERROR(__xludf.DUMMYFUNCTION("""COMPUTED_VALUE"""),"93 x 93 x 47")</f>
        <v>93 x 93 x 47</v>
      </c>
      <c r="AH676" s="97" t="str">
        <f>IFERROR(__xludf.DUMMYFUNCTION("""COMPUTED_VALUE"""),"Ø75 ")</f>
        <v>Ø75 </v>
      </c>
      <c r="AI676" s="97" t="str">
        <f>IFERROR(__xludf.DUMMYFUNCTION("""COMPUTED_VALUE"""),"55 *")</f>
        <v>55 *</v>
      </c>
      <c r="AJ676" s="97" t="str">
        <f>IFERROR(__xludf.DUMMYFUNCTION("""COMPUTED_VALUE"""),"N/A")</f>
        <v>N/A</v>
      </c>
      <c r="AK676" s="97" t="str">
        <f>IFERROR(__xludf.DUMMYFUNCTION("""COMPUTED_VALUE"""),"Policarbonato (PC)")</f>
        <v>Policarbonato (PC)</v>
      </c>
      <c r="AL676" s="97" t="str">
        <f>IFERROR(__xludf.DUMMYFUNCTION("""COMPUTED_VALUE"""),"Negro Mate")</f>
        <v>Negro Mate</v>
      </c>
      <c r="AM676" s="97" t="str">
        <f>IFERROR(__xludf.DUMMYFUNCTION("""COMPUTED_VALUE"""),"-")</f>
        <v>-</v>
      </c>
      <c r="AN676" s="97" t="str">
        <f>IFERROR(__xludf.DUMMYFUNCTION("""COMPUTED_VALUE"""),"N/A")</f>
        <v>N/A</v>
      </c>
      <c r="AO676" s="97" t="str">
        <f>IFERROR(__xludf.DUMMYFUNCTION("""COMPUTED_VALUE"""),"8 Años")</f>
        <v>8 Años</v>
      </c>
      <c r="AP676" s="97" t="str">
        <f>IFERROR(__xludf.DUMMYFUNCTION("""COMPUTED_VALUE"""),"No Aplica")</f>
        <v>No Aplica</v>
      </c>
      <c r="AQ676" s="97" t="str">
        <f>IFERROR(__xludf.DUMMYFUNCTION("""COMPUTED_VALUE"""),"No Aplica")</f>
        <v>No Aplica</v>
      </c>
      <c r="AR676" s="97" t="str">
        <f>IFERROR(__xludf.DUMMYFUNCTION("""COMPUTED_VALUE"""),"No Aplica")</f>
        <v>No Aplica</v>
      </c>
      <c r="AS676" s="97"/>
      <c r="AT676" s="97"/>
      <c r="AU676" s="97"/>
      <c r="AV676" s="97" t="str">
        <f>IFERROR(__xludf.DUMMYFUNCTION("""COMPUTED_VALUE"""),"Empotrable")</f>
        <v>Empotrable</v>
      </c>
      <c r="AW676" s="97" t="str">
        <f>IFERROR(__xludf.DUMMYFUNCTION("""COMPUTED_VALUE"""),"De Techo")</f>
        <v>De Techo</v>
      </c>
      <c r="AX676" s="97" t="str">
        <f>IFERROR(__xludf.DUMMYFUNCTION("""COMPUTED_VALUE"""),"Interior")</f>
        <v>Interior</v>
      </c>
      <c r="AY676" s="97"/>
      <c r="AZ676" s="97" t="str">
        <f>IFERROR(__xludf.DUMMYFUNCTION("""COMPUTED_VALUE"""),"Spot con Movimiento.
*Profundidad de calado total aproximada (considera dicroica y zócalo estándar)
**Garantía de 8 años de amarillamiento de PC.
***Retardador de incendios: clasificación BS2D0 con resistencia hasta 120°C.
****PC con protección contra ray"&amp;"os UV.")</f>
        <v>Spot con Movimiento.
*Profundidad de calado total aproximada (considera dicroica y zócalo estándar)
**Garantía de 8 años de amarillamiento de PC.
***Retardador de incendios: clasificación BS2D0 con resistencia hasta 120°C.
****PC con protección contra rayos UV.</v>
      </c>
      <c r="BA676" s="97">
        <f>IFERROR(__xludf.DUMMYFUNCTION("""COMPUTED_VALUE"""),100.0)</f>
        <v>100</v>
      </c>
      <c r="BB676" s="97"/>
      <c r="BC676" s="97"/>
      <c r="BD676" s="97" t="str">
        <f>IFERROR(__xludf.DUMMYFUNCTION("""COMPUTED_VALUE"""),"LARU")</f>
        <v>LARU</v>
      </c>
      <c r="BE676" s="97" t="str">
        <f>IFERROR(__xludf.DUMMYFUNCTION("""COMPUTED_VALUE"""),"Finalizada")</f>
        <v>Finalizada</v>
      </c>
      <c r="BF676" s="97"/>
      <c r="BG676" s="97" t="str">
        <f>IFERROR(__xludf.DUMMYFUNCTION("""COMPUTED_VALUE"""),"Discontinuo")</f>
        <v>Discontinuo</v>
      </c>
    </row>
    <row r="677">
      <c r="A677" s="97">
        <f>IFERROR(__xludf.DUMMYFUNCTION("""COMPUTED_VALUE"""),6436.0)</f>
        <v>6436</v>
      </c>
      <c r="B677" s="97" t="str">
        <f>IFERROR(__xludf.DUMMYFUNCTION("""COMPUTED_VALUE"""),"YANA I BL")</f>
        <v>YANA I BL</v>
      </c>
      <c r="C677" s="97" t="str">
        <f>IFERROR(__xludf.DUMMYFUNCTION("""COMPUTED_VALUE"""),"APLIQUE YANA I BL 1XGU10 DICRO IP20 LEUK")</f>
        <v>APLIQUE YANA I BL 1XGU10 DICRO IP20 LEUK</v>
      </c>
      <c r="D677" s="97">
        <f>IFERROR(__xludf.DUMMYFUNCTION("""COMPUTED_VALUE"""),7.798328758316E12)</f>
        <v>7798328758316</v>
      </c>
      <c r="E677" s="97" t="str">
        <f>IFERROR(__xludf.DUMMYFUNCTION("""COMPUTED_VALUE"""),"-")</f>
        <v>-</v>
      </c>
      <c r="F677" s="97" t="str">
        <f>IFERROR(__xludf.DUMMYFUNCTION("""COMPUTED_VALUE"""),"1xGU10 Dicro")</f>
        <v>1xGU10 Dicro</v>
      </c>
      <c r="G677" s="97" t="str">
        <f>IFERROR(__xludf.DUMMYFUNCTION("""COMPUTED_VALUE"""),"N/A")</f>
        <v>N/A</v>
      </c>
      <c r="H677" s="97" t="str">
        <f>IFERROR(__xludf.DUMMYFUNCTION("""COMPUTED_VALUE"""),"N/A")</f>
        <v>N/A</v>
      </c>
      <c r="I677" s="97" t="str">
        <f>IFERROR(__xludf.DUMMYFUNCTION("""COMPUTED_VALUE"""),"N/A")</f>
        <v>N/A</v>
      </c>
      <c r="J677" s="97" t="str">
        <f>IFERROR(__xludf.DUMMYFUNCTION("""COMPUTED_VALUE"""),"N/A")</f>
        <v>N/A</v>
      </c>
      <c r="K677" s="97" t="str">
        <f>IFERROR(__xludf.DUMMYFUNCTION("""COMPUTED_VALUE"""),"N/A")</f>
        <v>N/A</v>
      </c>
      <c r="L677" s="97">
        <f>IFERROR(__xludf.DUMMYFUNCTION("""COMPUTED_VALUE"""),220.0)</f>
        <v>220</v>
      </c>
      <c r="M677" s="97">
        <f>IFERROR(__xludf.DUMMYFUNCTION("""COMPUTED_VALUE"""),50.0)</f>
        <v>50</v>
      </c>
      <c r="N677" s="97"/>
      <c r="O677" s="97" t="str">
        <f>IFERROR(__xludf.DUMMYFUNCTION("""COMPUTED_VALUE"""),"1 x 50W Max")</f>
        <v>1 x 50W Max</v>
      </c>
      <c r="P677" s="97"/>
      <c r="Q677" s="97" t="str">
        <f>IFERROR(__xludf.DUMMYFUNCTION("""COMPUTED_VALUE"""),"-")</f>
        <v>-</v>
      </c>
      <c r="R677" s="97" t="str">
        <f>IFERROR(__xludf.DUMMYFUNCTION("""COMPUTED_VALUE"""),"-")</f>
        <v>-</v>
      </c>
      <c r="S677" s="97" t="str">
        <f>IFERROR(__xludf.DUMMYFUNCTION("""COMPUTED_VALUE"""),"-")</f>
        <v>-</v>
      </c>
      <c r="T677" s="97" t="str">
        <f>IFERROR(__xludf.DUMMYFUNCTION("""COMPUTED_VALUE"""),"-")</f>
        <v>-</v>
      </c>
      <c r="U677" s="97" t="str">
        <f>IFERROR(__xludf.DUMMYFUNCTION("""COMPUTED_VALUE"""),"-")</f>
        <v>-</v>
      </c>
      <c r="V677" s="97" t="str">
        <f>IFERROR(__xludf.DUMMYFUNCTION("""COMPUTED_VALUE"""),"N/A")</f>
        <v>N/A</v>
      </c>
      <c r="W677" s="97" t="str">
        <f>IFERROR(__xludf.DUMMYFUNCTION("""COMPUTED_VALUE"""),"N/A")</f>
        <v>N/A</v>
      </c>
      <c r="X677" s="97" t="str">
        <f>IFERROR(__xludf.DUMMYFUNCTION("""COMPUTED_VALUE"""),"-")</f>
        <v>-</v>
      </c>
      <c r="Y677" s="97" t="str">
        <f>IFERROR(__xludf.DUMMYFUNCTION("""COMPUTED_VALUE"""),"N/A")</f>
        <v>N/A</v>
      </c>
      <c r="Z677" s="97" t="str">
        <f>IFERROR(__xludf.DUMMYFUNCTION("""COMPUTED_VALUE"""),"N/A")</f>
        <v>N/A</v>
      </c>
      <c r="AA677" s="97" t="str">
        <f>IFERROR(__xludf.DUMMYFUNCTION("""COMPUTED_VALUE"""),"N/A")</f>
        <v>N/A</v>
      </c>
      <c r="AB677" s="97" t="str">
        <f>IFERROR(__xludf.DUMMYFUNCTION("""COMPUTED_VALUE"""),"N/A")</f>
        <v>N/A</v>
      </c>
      <c r="AC677" s="97" t="str">
        <f>IFERROR(__xludf.DUMMYFUNCTION("""COMPUTED_VALUE"""),"N/A")</f>
        <v>N/A</v>
      </c>
      <c r="AD677" s="97" t="str">
        <f>IFERROR(__xludf.DUMMYFUNCTION("""COMPUTED_VALUE"""),"IP20")</f>
        <v>IP20</v>
      </c>
      <c r="AE677" s="97" t="str">
        <f>IFERROR(__xludf.DUMMYFUNCTION("""COMPUTED_VALUE"""),"N/A")</f>
        <v>N/A</v>
      </c>
      <c r="AF677" s="97" t="str">
        <f>IFERROR(__xludf.DUMMYFUNCTION("""COMPUTED_VALUE"""),"Aplicar")</f>
        <v>Aplicar</v>
      </c>
      <c r="AG677" s="97" t="str">
        <f>IFERROR(__xludf.DUMMYFUNCTION("""COMPUTED_VALUE"""),"Ø65 x 85")</f>
        <v>Ø65 x 85</v>
      </c>
      <c r="AH677" s="97" t="str">
        <f>IFERROR(__xludf.DUMMYFUNCTION("""COMPUTED_VALUE"""),"N/A")</f>
        <v>N/A</v>
      </c>
      <c r="AI677" s="97" t="str">
        <f>IFERROR(__xludf.DUMMYFUNCTION("""COMPUTED_VALUE"""),"N/A")</f>
        <v>N/A</v>
      </c>
      <c r="AJ677" s="97" t="str">
        <f>IFERROR(__xludf.DUMMYFUNCTION("""COMPUTED_VALUE"""),"N/A")</f>
        <v>N/A</v>
      </c>
      <c r="AK677" s="97" t="str">
        <f>IFERROR(__xludf.DUMMYFUNCTION("""COMPUTED_VALUE"""),"Policarbonato (PC)")</f>
        <v>Policarbonato (PC)</v>
      </c>
      <c r="AL677" s="97" t="str">
        <f>IFERROR(__xludf.DUMMYFUNCTION("""COMPUTED_VALUE"""),"Blanco Mate")</f>
        <v>Blanco Mate</v>
      </c>
      <c r="AM677" s="97" t="str">
        <f>IFERROR(__xludf.DUMMYFUNCTION("""COMPUTED_VALUE"""),"-")</f>
        <v>-</v>
      </c>
      <c r="AN677" s="97" t="str">
        <f>IFERROR(__xludf.DUMMYFUNCTION("""COMPUTED_VALUE"""),"N/A")</f>
        <v>N/A</v>
      </c>
      <c r="AO677" s="97" t="str">
        <f>IFERROR(__xludf.DUMMYFUNCTION("""COMPUTED_VALUE"""),"8 Años")</f>
        <v>8 Años</v>
      </c>
      <c r="AP677" s="97" t="str">
        <f>IFERROR(__xludf.DUMMYFUNCTION("""COMPUTED_VALUE"""),"No Aplica")</f>
        <v>No Aplica</v>
      </c>
      <c r="AQ677" s="97" t="str">
        <f>IFERROR(__xludf.DUMMYFUNCTION("""COMPUTED_VALUE"""),"No Aplica")</f>
        <v>No Aplica</v>
      </c>
      <c r="AR677" s="97" t="str">
        <f>IFERROR(__xludf.DUMMYFUNCTION("""COMPUTED_VALUE"""),"No Aplica")</f>
        <v>No Aplica</v>
      </c>
      <c r="AS677" s="97"/>
      <c r="AT677" s="97"/>
      <c r="AU677" s="97" t="str">
        <f>IFERROR(__xludf.DUMMYFUNCTION("""COMPUTED_VALUE"""),"Falta")</f>
        <v>Falta</v>
      </c>
      <c r="AV677" s="97" t="str">
        <f>IFERROR(__xludf.DUMMYFUNCTION("""COMPUTED_VALUE"""),"Aplique")</f>
        <v>Aplique</v>
      </c>
      <c r="AW677" s="97" t="str">
        <f>IFERROR(__xludf.DUMMYFUNCTION("""COMPUTED_VALUE"""),"De Techo")</f>
        <v>De Techo</v>
      </c>
      <c r="AX677" s="97" t="str">
        <f>IFERROR(__xludf.DUMMYFUNCTION("""COMPUTED_VALUE"""),"Interior")</f>
        <v>Interior</v>
      </c>
      <c r="AY677" s="97" t="str">
        <f>IFERROR(__xludf.DUMMYFUNCTION("""COMPUTED_VALUE"""),"-")</f>
        <v>-</v>
      </c>
      <c r="AZ677" s="97" t="str">
        <f>IFERROR(__xludf.DUMMYFUNCTION("""COMPUTED_VALUE"""),"Spot con Movimiento.
**Garantía de 8 años de amarillamiento de PC.
***PC con protección contra rayos UV y retardador de incendios: clasificación BS2D0 con resistencia hasta 120°C.")</f>
        <v>Spot con Movimiento.
**Garantía de 8 años de amarillamiento de PC.
***PC con protección contra rayos UV y retardador de incendios: clasificación BS2D0 con resistencia hasta 120°C.</v>
      </c>
      <c r="BA677" s="97">
        <f>IFERROR(__xludf.DUMMYFUNCTION("""COMPUTED_VALUE"""),100.0)</f>
        <v>100</v>
      </c>
      <c r="BB677" s="97" t="str">
        <f>IFERROR(__xludf.DUMMYFUNCTION("""COMPUTED_VALUE"""),"-")</f>
        <v>-</v>
      </c>
      <c r="BC677" s="97" t="str">
        <f>IFERROR(__xludf.DUMMYFUNCTION("""COMPUTED_VALUE"""),"-")</f>
        <v>-</v>
      </c>
      <c r="BD677" s="97" t="str">
        <f>IFERROR(__xludf.DUMMYFUNCTION("""COMPUTED_VALUE"""),"YANA")</f>
        <v>YANA</v>
      </c>
      <c r="BE677" s="97" t="str">
        <f>IFERROR(__xludf.DUMMYFUNCTION("""COMPUTED_VALUE"""),"Finalizada")</f>
        <v>Finalizada</v>
      </c>
      <c r="BF677" s="97"/>
      <c r="BG677" s="97" t="str">
        <f>IFERROR(__xludf.DUMMYFUNCTION("""COMPUTED_VALUE"""),"Discontinuo")</f>
        <v>Discontinuo</v>
      </c>
    </row>
    <row r="678">
      <c r="A678" s="97">
        <f>IFERROR(__xludf.DUMMYFUNCTION("""COMPUTED_VALUE"""),6437.0)</f>
        <v>6437</v>
      </c>
      <c r="B678" s="97" t="str">
        <f>IFERROR(__xludf.DUMMYFUNCTION("""COMPUTED_VALUE"""),"YANA I NG")</f>
        <v>YANA I NG</v>
      </c>
      <c r="C678" s="97" t="str">
        <f>IFERROR(__xludf.DUMMYFUNCTION("""COMPUTED_VALUE"""),"APLIQUE YANA I NG 1XGU10 DICRO IP20 LEUK")</f>
        <v>APLIQUE YANA I NG 1XGU10 DICRO IP20 LEUK</v>
      </c>
      <c r="D678" s="97">
        <f>IFERROR(__xludf.DUMMYFUNCTION("""COMPUTED_VALUE"""),7.798328758323E12)</f>
        <v>7798328758323</v>
      </c>
      <c r="E678" s="97" t="str">
        <f>IFERROR(__xludf.DUMMYFUNCTION("""COMPUTED_VALUE"""),"-")</f>
        <v>-</v>
      </c>
      <c r="F678" s="97" t="str">
        <f>IFERROR(__xludf.DUMMYFUNCTION("""COMPUTED_VALUE"""),"1xGU10 Dicro")</f>
        <v>1xGU10 Dicro</v>
      </c>
      <c r="G678" s="97" t="str">
        <f>IFERROR(__xludf.DUMMYFUNCTION("""COMPUTED_VALUE"""),"N/A")</f>
        <v>N/A</v>
      </c>
      <c r="H678" s="97" t="str">
        <f>IFERROR(__xludf.DUMMYFUNCTION("""COMPUTED_VALUE"""),"N/A")</f>
        <v>N/A</v>
      </c>
      <c r="I678" s="97" t="str">
        <f>IFERROR(__xludf.DUMMYFUNCTION("""COMPUTED_VALUE"""),"N/A")</f>
        <v>N/A</v>
      </c>
      <c r="J678" s="97" t="str">
        <f>IFERROR(__xludf.DUMMYFUNCTION("""COMPUTED_VALUE"""),"N/A")</f>
        <v>N/A</v>
      </c>
      <c r="K678" s="97" t="str">
        <f>IFERROR(__xludf.DUMMYFUNCTION("""COMPUTED_VALUE"""),"N/A")</f>
        <v>N/A</v>
      </c>
      <c r="L678" s="97">
        <f>IFERROR(__xludf.DUMMYFUNCTION("""COMPUTED_VALUE"""),220.0)</f>
        <v>220</v>
      </c>
      <c r="M678" s="97">
        <f>IFERROR(__xludf.DUMMYFUNCTION("""COMPUTED_VALUE"""),50.0)</f>
        <v>50</v>
      </c>
      <c r="N678" s="97"/>
      <c r="O678" s="97" t="str">
        <f>IFERROR(__xludf.DUMMYFUNCTION("""COMPUTED_VALUE"""),"1 x 50W Max")</f>
        <v>1 x 50W Max</v>
      </c>
      <c r="P678" s="97"/>
      <c r="Q678" s="97" t="str">
        <f>IFERROR(__xludf.DUMMYFUNCTION("""COMPUTED_VALUE"""),"-")</f>
        <v>-</v>
      </c>
      <c r="R678" s="97" t="str">
        <f>IFERROR(__xludf.DUMMYFUNCTION("""COMPUTED_VALUE"""),"-")</f>
        <v>-</v>
      </c>
      <c r="S678" s="97" t="str">
        <f>IFERROR(__xludf.DUMMYFUNCTION("""COMPUTED_VALUE"""),"-")</f>
        <v>-</v>
      </c>
      <c r="T678" s="97" t="str">
        <f>IFERROR(__xludf.DUMMYFUNCTION("""COMPUTED_VALUE"""),"-")</f>
        <v>-</v>
      </c>
      <c r="U678" s="97" t="str">
        <f>IFERROR(__xludf.DUMMYFUNCTION("""COMPUTED_VALUE"""),"-")</f>
        <v>-</v>
      </c>
      <c r="V678" s="97" t="str">
        <f>IFERROR(__xludf.DUMMYFUNCTION("""COMPUTED_VALUE"""),"N/A")</f>
        <v>N/A</v>
      </c>
      <c r="W678" s="97" t="str">
        <f>IFERROR(__xludf.DUMMYFUNCTION("""COMPUTED_VALUE"""),"N/A")</f>
        <v>N/A</v>
      </c>
      <c r="X678" s="97" t="str">
        <f>IFERROR(__xludf.DUMMYFUNCTION("""COMPUTED_VALUE"""),"-")</f>
        <v>-</v>
      </c>
      <c r="Y678" s="97" t="str">
        <f>IFERROR(__xludf.DUMMYFUNCTION("""COMPUTED_VALUE"""),"N/A")</f>
        <v>N/A</v>
      </c>
      <c r="Z678" s="97" t="str">
        <f>IFERROR(__xludf.DUMMYFUNCTION("""COMPUTED_VALUE"""),"N/A")</f>
        <v>N/A</v>
      </c>
      <c r="AA678" s="97" t="str">
        <f>IFERROR(__xludf.DUMMYFUNCTION("""COMPUTED_VALUE"""),"N/A")</f>
        <v>N/A</v>
      </c>
      <c r="AB678" s="97" t="str">
        <f>IFERROR(__xludf.DUMMYFUNCTION("""COMPUTED_VALUE"""),"N/A")</f>
        <v>N/A</v>
      </c>
      <c r="AC678" s="97" t="str">
        <f>IFERROR(__xludf.DUMMYFUNCTION("""COMPUTED_VALUE"""),"N/A")</f>
        <v>N/A</v>
      </c>
      <c r="AD678" s="97" t="str">
        <f>IFERROR(__xludf.DUMMYFUNCTION("""COMPUTED_VALUE"""),"IP20")</f>
        <v>IP20</v>
      </c>
      <c r="AE678" s="97" t="str">
        <f>IFERROR(__xludf.DUMMYFUNCTION("""COMPUTED_VALUE"""),"N/A")</f>
        <v>N/A</v>
      </c>
      <c r="AF678" s="97" t="str">
        <f>IFERROR(__xludf.DUMMYFUNCTION("""COMPUTED_VALUE"""),"Aplicar")</f>
        <v>Aplicar</v>
      </c>
      <c r="AG678" s="97" t="str">
        <f>IFERROR(__xludf.DUMMYFUNCTION("""COMPUTED_VALUE"""),"Ø65 x 85")</f>
        <v>Ø65 x 85</v>
      </c>
      <c r="AH678" s="97" t="str">
        <f>IFERROR(__xludf.DUMMYFUNCTION("""COMPUTED_VALUE"""),"N/A")</f>
        <v>N/A</v>
      </c>
      <c r="AI678" s="97" t="str">
        <f>IFERROR(__xludf.DUMMYFUNCTION("""COMPUTED_VALUE"""),"N/A")</f>
        <v>N/A</v>
      </c>
      <c r="AJ678" s="97" t="str">
        <f>IFERROR(__xludf.DUMMYFUNCTION("""COMPUTED_VALUE"""),"N/A")</f>
        <v>N/A</v>
      </c>
      <c r="AK678" s="97" t="str">
        <f>IFERROR(__xludf.DUMMYFUNCTION("""COMPUTED_VALUE"""),"Policarbonato (PC)")</f>
        <v>Policarbonato (PC)</v>
      </c>
      <c r="AL678" s="97" t="str">
        <f>IFERROR(__xludf.DUMMYFUNCTION("""COMPUTED_VALUE"""),"Negro Mate")</f>
        <v>Negro Mate</v>
      </c>
      <c r="AM678" s="97" t="str">
        <f>IFERROR(__xludf.DUMMYFUNCTION("""COMPUTED_VALUE"""),"-")</f>
        <v>-</v>
      </c>
      <c r="AN678" s="97" t="str">
        <f>IFERROR(__xludf.DUMMYFUNCTION("""COMPUTED_VALUE"""),"N/A")</f>
        <v>N/A</v>
      </c>
      <c r="AO678" s="97" t="str">
        <f>IFERROR(__xludf.DUMMYFUNCTION("""COMPUTED_VALUE"""),"8 Años")</f>
        <v>8 Años</v>
      </c>
      <c r="AP678" s="97" t="str">
        <f>IFERROR(__xludf.DUMMYFUNCTION("""COMPUTED_VALUE"""),"No Aplica")</f>
        <v>No Aplica</v>
      </c>
      <c r="AQ678" s="97" t="str">
        <f>IFERROR(__xludf.DUMMYFUNCTION("""COMPUTED_VALUE"""),"No Aplica")</f>
        <v>No Aplica</v>
      </c>
      <c r="AR678" s="97" t="str">
        <f>IFERROR(__xludf.DUMMYFUNCTION("""COMPUTED_VALUE"""),"No Aplica")</f>
        <v>No Aplica</v>
      </c>
      <c r="AS678" s="97"/>
      <c r="AT678" s="97"/>
      <c r="AU678" s="97" t="str">
        <f>IFERROR(__xludf.DUMMYFUNCTION("""COMPUTED_VALUE"""),"Falta")</f>
        <v>Falta</v>
      </c>
      <c r="AV678" s="97" t="str">
        <f>IFERROR(__xludf.DUMMYFUNCTION("""COMPUTED_VALUE"""),"Aplique")</f>
        <v>Aplique</v>
      </c>
      <c r="AW678" s="97" t="str">
        <f>IFERROR(__xludf.DUMMYFUNCTION("""COMPUTED_VALUE"""),"De Techo")</f>
        <v>De Techo</v>
      </c>
      <c r="AX678" s="97" t="str">
        <f>IFERROR(__xludf.DUMMYFUNCTION("""COMPUTED_VALUE"""),"Interior")</f>
        <v>Interior</v>
      </c>
      <c r="AY678" s="97" t="str">
        <f>IFERROR(__xludf.DUMMYFUNCTION("""COMPUTED_VALUE"""),"-")</f>
        <v>-</v>
      </c>
      <c r="AZ678" s="97" t="str">
        <f>IFERROR(__xludf.DUMMYFUNCTION("""COMPUTED_VALUE"""),"Spot con Movimiento.
**Garantía de 8 años de amarillamiento de PC.
***PC con protección contra rayos UV y retardador de incendios: clasificación BS2D0 con resistencia hasta 120°C.")</f>
        <v>Spot con Movimiento.
**Garantía de 8 años de amarillamiento de PC.
***PC con protección contra rayos UV y retardador de incendios: clasificación BS2D0 con resistencia hasta 120°C.</v>
      </c>
      <c r="BA678" s="97">
        <f>IFERROR(__xludf.DUMMYFUNCTION("""COMPUTED_VALUE"""),100.0)</f>
        <v>100</v>
      </c>
      <c r="BB678" s="97" t="str">
        <f>IFERROR(__xludf.DUMMYFUNCTION("""COMPUTED_VALUE"""),"-")</f>
        <v>-</v>
      </c>
      <c r="BC678" s="97" t="str">
        <f>IFERROR(__xludf.DUMMYFUNCTION("""COMPUTED_VALUE"""),"-")</f>
        <v>-</v>
      </c>
      <c r="BD678" s="97" t="str">
        <f>IFERROR(__xludf.DUMMYFUNCTION("""COMPUTED_VALUE"""),"YANA")</f>
        <v>YANA</v>
      </c>
      <c r="BE678" s="97" t="str">
        <f>IFERROR(__xludf.DUMMYFUNCTION("""COMPUTED_VALUE"""),"Finalizada")</f>
        <v>Finalizada</v>
      </c>
      <c r="BF678" s="97"/>
      <c r="BG678" s="97" t="str">
        <f>IFERROR(__xludf.DUMMYFUNCTION("""COMPUTED_VALUE"""),"Discontinuo")</f>
        <v>Discontinuo</v>
      </c>
    </row>
    <row r="679">
      <c r="A679" s="97">
        <f>IFERROR(__xludf.DUMMYFUNCTION("""COMPUTED_VALUE"""),6438.0)</f>
        <v>6438</v>
      </c>
      <c r="B679" s="97" t="str">
        <f>IFERROR(__xludf.DUMMYFUNCTION("""COMPUTED_VALUE"""),"PRA I BL")</f>
        <v>PRA I BL</v>
      </c>
      <c r="C679" s="97" t="str">
        <f>IFERROR(__xludf.DUMMYFUNCTION("""COMPUTED_VALUE"""),"SPOT DE EMBUTIR PRA1 BLANCO")</f>
        <v>SPOT DE EMBUTIR PRA1 BLANCO</v>
      </c>
      <c r="D679" s="97">
        <f>IFERROR(__xludf.DUMMYFUNCTION("""COMPUTED_VALUE"""),7.79832875833E12)</f>
        <v>7798328758330</v>
      </c>
      <c r="E679" s="97"/>
      <c r="F679" s="97" t="str">
        <f>IFERROR(__xludf.DUMMYFUNCTION("""COMPUTED_VALUE"""),"1 x GU10")</f>
        <v>1 x GU10</v>
      </c>
      <c r="G679" s="97" t="str">
        <f>IFERROR(__xludf.DUMMYFUNCTION("""COMPUTED_VALUE"""),"N/A")</f>
        <v>N/A</v>
      </c>
      <c r="H679" s="97" t="str">
        <f>IFERROR(__xludf.DUMMYFUNCTION("""COMPUTED_VALUE"""),"N/A")</f>
        <v>N/A</v>
      </c>
      <c r="I679" s="97" t="str">
        <f>IFERROR(__xludf.DUMMYFUNCTION("""COMPUTED_VALUE"""),"N/A")</f>
        <v>N/A</v>
      </c>
      <c r="J679" s="97"/>
      <c r="K679" s="97" t="str">
        <f>IFERROR(__xludf.DUMMYFUNCTION("""COMPUTED_VALUE"""),"N/A")</f>
        <v>N/A</v>
      </c>
      <c r="L679" s="97">
        <f>IFERROR(__xludf.DUMMYFUNCTION("""COMPUTED_VALUE"""),220.0)</f>
        <v>220</v>
      </c>
      <c r="M679" s="97">
        <f>IFERROR(__xludf.DUMMYFUNCTION("""COMPUTED_VALUE"""),50.0)</f>
        <v>50</v>
      </c>
      <c r="N679" s="97"/>
      <c r="O679" s="97" t="str">
        <f>IFERROR(__xludf.DUMMYFUNCTION("""COMPUTED_VALUE"""),"1 x 50W Max")</f>
        <v>1 x 50W Max</v>
      </c>
      <c r="P679" s="97"/>
      <c r="Q679" s="97" t="str">
        <f>IFERROR(__xludf.DUMMYFUNCTION("""COMPUTED_VALUE"""),"-")</f>
        <v>-</v>
      </c>
      <c r="R679" s="97" t="str">
        <f>IFERROR(__xludf.DUMMYFUNCTION("""COMPUTED_VALUE"""),"-")</f>
        <v>-</v>
      </c>
      <c r="S679" s="97" t="str">
        <f>IFERROR(__xludf.DUMMYFUNCTION("""COMPUTED_VALUE"""),"-")</f>
        <v>-</v>
      </c>
      <c r="T679" s="97" t="str">
        <f>IFERROR(__xludf.DUMMYFUNCTION("""COMPUTED_VALUE"""),"-")</f>
        <v>-</v>
      </c>
      <c r="U679" s="97" t="str">
        <f>IFERROR(__xludf.DUMMYFUNCTION("""COMPUTED_VALUE"""),"-")</f>
        <v>-</v>
      </c>
      <c r="V679" s="97" t="str">
        <f>IFERROR(__xludf.DUMMYFUNCTION("""COMPUTED_VALUE"""),"N/A")</f>
        <v>N/A</v>
      </c>
      <c r="W679" s="97" t="str">
        <f>IFERROR(__xludf.DUMMYFUNCTION("""COMPUTED_VALUE"""),"N/A")</f>
        <v>N/A</v>
      </c>
      <c r="X679" s="97" t="str">
        <f>IFERROR(__xludf.DUMMYFUNCTION("""COMPUTED_VALUE"""),"-")</f>
        <v>-</v>
      </c>
      <c r="Y679" s="97" t="str">
        <f>IFERROR(__xludf.DUMMYFUNCTION("""COMPUTED_VALUE"""),"N/A")</f>
        <v>N/A</v>
      </c>
      <c r="Z679" s="97" t="str">
        <f>IFERROR(__xludf.DUMMYFUNCTION("""COMPUTED_VALUE"""),"N/A")</f>
        <v>N/A</v>
      </c>
      <c r="AA679" s="97" t="str">
        <f>IFERROR(__xludf.DUMMYFUNCTION("""COMPUTED_VALUE"""),"N/A")</f>
        <v>N/A</v>
      </c>
      <c r="AB679" s="97" t="str">
        <f>IFERROR(__xludf.DUMMYFUNCTION("""COMPUTED_VALUE"""),"N/A")</f>
        <v>N/A</v>
      </c>
      <c r="AC679" s="97" t="str">
        <f>IFERROR(__xludf.DUMMYFUNCTION("""COMPUTED_VALUE"""),"N/A")</f>
        <v>N/A</v>
      </c>
      <c r="AD679" s="97" t="str">
        <f>IFERROR(__xludf.DUMMYFUNCTION("""COMPUTED_VALUE"""),"IP20")</f>
        <v>IP20</v>
      </c>
      <c r="AE679" s="97" t="str">
        <f>IFERROR(__xludf.DUMMYFUNCTION("""COMPUTED_VALUE"""),"N/A")</f>
        <v>N/A</v>
      </c>
      <c r="AF679" s="97" t="str">
        <f>IFERROR(__xludf.DUMMYFUNCTION("""COMPUTED_VALUE"""),"Embutir")</f>
        <v>Embutir</v>
      </c>
      <c r="AG679" s="97" t="str">
        <f>IFERROR(__xludf.DUMMYFUNCTION("""COMPUTED_VALUE"""),"Ø95 x 30")</f>
        <v>Ø95 x 30</v>
      </c>
      <c r="AH679" s="97" t="str">
        <f>IFERROR(__xludf.DUMMYFUNCTION("""COMPUTED_VALUE"""),"Ø70 ")</f>
        <v>Ø70 </v>
      </c>
      <c r="AI679" s="97" t="str">
        <f>IFERROR(__xludf.DUMMYFUNCTION("""COMPUTED_VALUE"""),"68 *")</f>
        <v>68 *</v>
      </c>
      <c r="AJ679" s="97" t="str">
        <f>IFERROR(__xludf.DUMMYFUNCTION("""COMPUTED_VALUE"""),"N/A")</f>
        <v>N/A</v>
      </c>
      <c r="AK679" s="97" t="str">
        <f>IFERROR(__xludf.DUMMYFUNCTION("""COMPUTED_VALUE"""),"Policarbonato (PC)")</f>
        <v>Policarbonato (PC)</v>
      </c>
      <c r="AL679" s="97" t="str">
        <f>IFERROR(__xludf.DUMMYFUNCTION("""COMPUTED_VALUE"""),"Blanco Mate")</f>
        <v>Blanco Mate</v>
      </c>
      <c r="AM679" s="97" t="str">
        <f>IFERROR(__xludf.DUMMYFUNCTION("""COMPUTED_VALUE"""),"-")</f>
        <v>-</v>
      </c>
      <c r="AN679" s="97" t="str">
        <f>IFERROR(__xludf.DUMMYFUNCTION("""COMPUTED_VALUE"""),"N/A")</f>
        <v>N/A</v>
      </c>
      <c r="AO679" s="97" t="str">
        <f>IFERROR(__xludf.DUMMYFUNCTION("""COMPUTED_VALUE"""),"8 Años")</f>
        <v>8 Años</v>
      </c>
      <c r="AP679" s="97" t="str">
        <f>IFERROR(__xludf.DUMMYFUNCTION("""COMPUTED_VALUE"""),"No Aplica")</f>
        <v>No Aplica</v>
      </c>
      <c r="AQ679" s="97" t="str">
        <f>IFERROR(__xludf.DUMMYFUNCTION("""COMPUTED_VALUE"""),"No Aplica")</f>
        <v>No Aplica</v>
      </c>
      <c r="AR679" s="97" t="str">
        <f>IFERROR(__xludf.DUMMYFUNCTION("""COMPUTED_VALUE"""),"No Aplica")</f>
        <v>No Aplica</v>
      </c>
      <c r="AS679" s="97"/>
      <c r="AT679" s="97"/>
      <c r="AU679" s="97"/>
      <c r="AV679" s="97" t="str">
        <f>IFERROR(__xludf.DUMMYFUNCTION("""COMPUTED_VALUE"""),"Empotrable")</f>
        <v>Empotrable</v>
      </c>
      <c r="AW679" s="97" t="str">
        <f>IFERROR(__xludf.DUMMYFUNCTION("""COMPUTED_VALUE"""),"De Techo")</f>
        <v>De Techo</v>
      </c>
      <c r="AX679" s="97" t="str">
        <f>IFERROR(__xludf.DUMMYFUNCTION("""COMPUTED_VALUE"""),"Interior")</f>
        <v>Interior</v>
      </c>
      <c r="AY679" s="97"/>
      <c r="AZ679" s="97" t="str">
        <f>IFERROR(__xludf.DUMMYFUNCTION("""COMPUTED_VALUE"""),"Spot con Movimiento.
Con Frente Trimless para instalación húmeda.
*Profundidad de calado total aproximada (considera dicroica y zócalo estándar)
**Garantía de 8 años de amarillamiento de PC.
***Retardador de incendios: clasificación BS2D0 con resistencia "&amp;"hasta 120°C.
****PC con protección contra rayos UV.")</f>
        <v>Spot con Movimiento.
Con Frente Trimless para instalación húmeda.
*Profundidad de calado total aproximada (considera dicroica y zócalo estándar)
**Garantía de 8 años de amarillamiento de PC.
***Retardador de incendios: clasificación BS2D0 con resistencia hasta 120°C.
****PC con protección contra rayos UV.</v>
      </c>
      <c r="BA679" s="97">
        <f>IFERROR(__xludf.DUMMYFUNCTION("""COMPUTED_VALUE"""),100.0)</f>
        <v>100</v>
      </c>
      <c r="BB679" s="97"/>
      <c r="BC679" s="97"/>
      <c r="BD679" s="97" t="str">
        <f>IFERROR(__xludf.DUMMYFUNCTION("""COMPUTED_VALUE"""),"PRA")</f>
        <v>PRA</v>
      </c>
      <c r="BE679" s="97" t="str">
        <f>IFERROR(__xludf.DUMMYFUNCTION("""COMPUTED_VALUE"""),"Finalizada")</f>
        <v>Finalizada</v>
      </c>
      <c r="BF679" s="97"/>
      <c r="BG679" s="97" t="str">
        <f>IFERROR(__xludf.DUMMYFUNCTION("""COMPUTED_VALUE"""),"Discontinuo")</f>
        <v>Discontinuo</v>
      </c>
    </row>
    <row r="680">
      <c r="A680" s="97">
        <f>IFERROR(__xludf.DUMMYFUNCTION("""COMPUTED_VALUE"""),6439.0)</f>
        <v>6439</v>
      </c>
      <c r="B680" s="97" t="str">
        <f>IFERROR(__xludf.DUMMYFUNCTION("""COMPUTED_VALUE"""),"NIK I BL")</f>
        <v>NIK I BL</v>
      </c>
      <c r="C680" s="97" t="str">
        <f>IFERROR(__xludf.DUMMYFUNCTION("""COMPUTED_VALUE"""),"SPOT DE EMBUTIR NIK1 BLANCO")</f>
        <v>SPOT DE EMBUTIR NIK1 BLANCO</v>
      </c>
      <c r="D680" s="97">
        <f>IFERROR(__xludf.DUMMYFUNCTION("""COMPUTED_VALUE"""),7.798328758347E12)</f>
        <v>7798328758347</v>
      </c>
      <c r="E680" s="97"/>
      <c r="F680" s="97" t="str">
        <f>IFERROR(__xludf.DUMMYFUNCTION("""COMPUTED_VALUE"""),"1 x GU10")</f>
        <v>1 x GU10</v>
      </c>
      <c r="G680" s="97" t="str">
        <f>IFERROR(__xludf.DUMMYFUNCTION("""COMPUTED_VALUE"""),"N/A")</f>
        <v>N/A</v>
      </c>
      <c r="H680" s="97" t="str">
        <f>IFERROR(__xludf.DUMMYFUNCTION("""COMPUTED_VALUE"""),"N/A")</f>
        <v>N/A</v>
      </c>
      <c r="I680" s="97" t="str">
        <f>IFERROR(__xludf.DUMMYFUNCTION("""COMPUTED_VALUE"""),"N/A")</f>
        <v>N/A</v>
      </c>
      <c r="J680" s="97"/>
      <c r="K680" s="97" t="str">
        <f>IFERROR(__xludf.DUMMYFUNCTION("""COMPUTED_VALUE"""),"N/A")</f>
        <v>N/A</v>
      </c>
      <c r="L680" s="97">
        <f>IFERROR(__xludf.DUMMYFUNCTION("""COMPUTED_VALUE"""),220.0)</f>
        <v>220</v>
      </c>
      <c r="M680" s="97">
        <f>IFERROR(__xludf.DUMMYFUNCTION("""COMPUTED_VALUE"""),50.0)</f>
        <v>50</v>
      </c>
      <c r="N680" s="97"/>
      <c r="O680" s="97" t="str">
        <f>IFERROR(__xludf.DUMMYFUNCTION("""COMPUTED_VALUE"""),"1 x 50W Max")</f>
        <v>1 x 50W Max</v>
      </c>
      <c r="P680" s="97"/>
      <c r="Q680" s="97" t="str">
        <f>IFERROR(__xludf.DUMMYFUNCTION("""COMPUTED_VALUE"""),"-")</f>
        <v>-</v>
      </c>
      <c r="R680" s="97" t="str">
        <f>IFERROR(__xludf.DUMMYFUNCTION("""COMPUTED_VALUE"""),"-")</f>
        <v>-</v>
      </c>
      <c r="S680" s="97" t="str">
        <f>IFERROR(__xludf.DUMMYFUNCTION("""COMPUTED_VALUE"""),"-")</f>
        <v>-</v>
      </c>
      <c r="T680" s="97" t="str">
        <f>IFERROR(__xludf.DUMMYFUNCTION("""COMPUTED_VALUE"""),"-")</f>
        <v>-</v>
      </c>
      <c r="U680" s="97" t="str">
        <f>IFERROR(__xludf.DUMMYFUNCTION("""COMPUTED_VALUE"""),"-")</f>
        <v>-</v>
      </c>
      <c r="V680" s="97" t="str">
        <f>IFERROR(__xludf.DUMMYFUNCTION("""COMPUTED_VALUE"""),"N/A")</f>
        <v>N/A</v>
      </c>
      <c r="W680" s="97" t="str">
        <f>IFERROR(__xludf.DUMMYFUNCTION("""COMPUTED_VALUE"""),"N/A")</f>
        <v>N/A</v>
      </c>
      <c r="X680" s="97" t="str">
        <f>IFERROR(__xludf.DUMMYFUNCTION("""COMPUTED_VALUE"""),"-")</f>
        <v>-</v>
      </c>
      <c r="Y680" s="97" t="str">
        <f>IFERROR(__xludf.DUMMYFUNCTION("""COMPUTED_VALUE"""),"N/A")</f>
        <v>N/A</v>
      </c>
      <c r="Z680" s="97" t="str">
        <f>IFERROR(__xludf.DUMMYFUNCTION("""COMPUTED_VALUE"""),"N/A")</f>
        <v>N/A</v>
      </c>
      <c r="AA680" s="97" t="str">
        <f>IFERROR(__xludf.DUMMYFUNCTION("""COMPUTED_VALUE"""),"N/A")</f>
        <v>N/A</v>
      </c>
      <c r="AB680" s="97" t="str">
        <f>IFERROR(__xludf.DUMMYFUNCTION("""COMPUTED_VALUE"""),"N/A")</f>
        <v>N/A</v>
      </c>
      <c r="AC680" s="97" t="str">
        <f>IFERROR(__xludf.DUMMYFUNCTION("""COMPUTED_VALUE"""),"N/A")</f>
        <v>N/A</v>
      </c>
      <c r="AD680" s="97" t="str">
        <f>IFERROR(__xludf.DUMMYFUNCTION("""COMPUTED_VALUE"""),"IP20")</f>
        <v>IP20</v>
      </c>
      <c r="AE680" s="97" t="str">
        <f>IFERROR(__xludf.DUMMYFUNCTION("""COMPUTED_VALUE"""),"N/A")</f>
        <v>N/A</v>
      </c>
      <c r="AF680" s="97" t="str">
        <f>IFERROR(__xludf.DUMMYFUNCTION("""COMPUTED_VALUE"""),"Embutir")</f>
        <v>Embutir</v>
      </c>
      <c r="AG680" s="97" t="str">
        <f>IFERROR(__xludf.DUMMYFUNCTION("""COMPUTED_VALUE"""),"Ø95 x 50")</f>
        <v>Ø95 x 50</v>
      </c>
      <c r="AH680" s="97" t="str">
        <f>IFERROR(__xludf.DUMMYFUNCTION("""COMPUTED_VALUE"""),"Ø71 ")</f>
        <v>Ø71 </v>
      </c>
      <c r="AI680" s="97" t="str">
        <f>IFERROR(__xludf.DUMMYFUNCTION("""COMPUTED_VALUE"""),"55 *")</f>
        <v>55 *</v>
      </c>
      <c r="AJ680" s="97" t="str">
        <f>IFERROR(__xludf.DUMMYFUNCTION("""COMPUTED_VALUE"""),"N/A")</f>
        <v>N/A</v>
      </c>
      <c r="AK680" s="97" t="str">
        <f>IFERROR(__xludf.DUMMYFUNCTION("""COMPUTED_VALUE"""),"Policarbonato (PC)")</f>
        <v>Policarbonato (PC)</v>
      </c>
      <c r="AL680" s="97" t="str">
        <f>IFERROR(__xludf.DUMMYFUNCTION("""COMPUTED_VALUE"""),"Blanco Mate")</f>
        <v>Blanco Mate</v>
      </c>
      <c r="AM680" s="97" t="str">
        <f>IFERROR(__xludf.DUMMYFUNCTION("""COMPUTED_VALUE"""),"-")</f>
        <v>-</v>
      </c>
      <c r="AN680" s="97" t="str">
        <f>IFERROR(__xludf.DUMMYFUNCTION("""COMPUTED_VALUE"""),"N/A")</f>
        <v>N/A</v>
      </c>
      <c r="AO680" s="97" t="str">
        <f>IFERROR(__xludf.DUMMYFUNCTION("""COMPUTED_VALUE"""),"8 Años")</f>
        <v>8 Años</v>
      </c>
      <c r="AP680" s="97" t="str">
        <f>IFERROR(__xludf.DUMMYFUNCTION("""COMPUTED_VALUE"""),"No Aplica")</f>
        <v>No Aplica</v>
      </c>
      <c r="AQ680" s="97" t="str">
        <f>IFERROR(__xludf.DUMMYFUNCTION("""COMPUTED_VALUE"""),"No Aplica")</f>
        <v>No Aplica</v>
      </c>
      <c r="AR680" s="97" t="str">
        <f>IFERROR(__xludf.DUMMYFUNCTION("""COMPUTED_VALUE"""),"No Aplica")</f>
        <v>No Aplica</v>
      </c>
      <c r="AS680" s="97"/>
      <c r="AT680" s="97"/>
      <c r="AU680" s="97"/>
      <c r="AV680" s="97" t="str">
        <f>IFERROR(__xludf.DUMMYFUNCTION("""COMPUTED_VALUE"""),"Empotrable")</f>
        <v>Empotrable</v>
      </c>
      <c r="AW680" s="97" t="str">
        <f>IFERROR(__xludf.DUMMYFUNCTION("""COMPUTED_VALUE"""),"De Techo")</f>
        <v>De Techo</v>
      </c>
      <c r="AX680" s="97" t="str">
        <f>IFERROR(__xludf.DUMMYFUNCTION("""COMPUTED_VALUE"""),"Interior")</f>
        <v>Interior</v>
      </c>
      <c r="AY680" s="97"/>
      <c r="AZ680" s="97" t="str">
        <f>IFERROR(__xludf.DUMMYFUNCTION("""COMPUTED_VALUE"""),"Spot con Movimiento.
Con Frente Trimless para instalación húmeda.
*Profundidad de calado total aproximada (considera dicroica y zócalo estándar)
**Garantía de 8 años de amarillamiento de PC.
***Retardador de incendios: clasificación BS2D0 con resistencia "&amp;"hasta 120°C.
****PC con protección contra rayos UV.")</f>
        <v>Spot con Movimiento.
Con Frente Trimless para instalación húmeda.
*Profundidad de calado total aproximada (considera dicroica y zócalo estándar)
**Garantía de 8 años de amarillamiento de PC.
***Retardador de incendios: clasificación BS2D0 con resistencia hasta 120°C.
****PC con protección contra rayos UV.</v>
      </c>
      <c r="BA680" s="97">
        <f>IFERROR(__xludf.DUMMYFUNCTION("""COMPUTED_VALUE"""),100.0)</f>
        <v>100</v>
      </c>
      <c r="BB680" s="97"/>
      <c r="BC680" s="97"/>
      <c r="BD680" s="97" t="str">
        <f>IFERROR(__xludf.DUMMYFUNCTION("""COMPUTED_VALUE"""),"NIK")</f>
        <v>NIK</v>
      </c>
      <c r="BE680" s="97" t="str">
        <f>IFERROR(__xludf.DUMMYFUNCTION("""COMPUTED_VALUE"""),"Finalizada")</f>
        <v>Finalizada</v>
      </c>
      <c r="BF680" s="97"/>
      <c r="BG680" s="97" t="str">
        <f>IFERROR(__xludf.DUMMYFUNCTION("""COMPUTED_VALUE"""),"Discontinuo")</f>
        <v>Discontinuo</v>
      </c>
    </row>
    <row r="681">
      <c r="A681" s="97">
        <f>IFERROR(__xludf.DUMMYFUNCTION("""COMPUTED_VALUE"""),6440.0)</f>
        <v>6440</v>
      </c>
      <c r="B681" s="97" t="str">
        <f>IFERROR(__xludf.DUMMYFUNCTION("""COMPUTED_VALUE"""),"ANTON I NG")</f>
        <v>ANTON I NG</v>
      </c>
      <c r="C681" s="97" t="str">
        <f>IFERROR(__xludf.DUMMYFUNCTION("""COMPUTED_VALUE"""),"APLIQUE ANTON I NG 1XGU10 DICRO IP20 LEUK")</f>
        <v>APLIQUE ANTON I NG 1XGU10 DICRO IP20 LEUK</v>
      </c>
      <c r="D681" s="97">
        <f>IFERROR(__xludf.DUMMYFUNCTION("""COMPUTED_VALUE"""),7.798328754189E12)</f>
        <v>7798328754189</v>
      </c>
      <c r="E681" s="97" t="str">
        <f>IFERROR(__xludf.DUMMYFUNCTION("""COMPUTED_VALUE"""),"b97")</f>
        <v>b97</v>
      </c>
      <c r="F681" s="97" t="str">
        <f>IFERROR(__xludf.DUMMYFUNCTION("""COMPUTED_VALUE"""),"1xGU10 Dicro")</f>
        <v>1xGU10 Dicro</v>
      </c>
      <c r="G681" s="97" t="str">
        <f>IFERROR(__xludf.DUMMYFUNCTION("""COMPUTED_VALUE"""),"N/A")</f>
        <v>N/A</v>
      </c>
      <c r="H681" s="97" t="str">
        <f>IFERROR(__xludf.DUMMYFUNCTION("""COMPUTED_VALUE"""),"N/A")</f>
        <v>N/A</v>
      </c>
      <c r="I681" s="97" t="str">
        <f>IFERROR(__xludf.DUMMYFUNCTION("""COMPUTED_VALUE"""),"N/A")</f>
        <v>N/A</v>
      </c>
      <c r="J681" s="97" t="str">
        <f>IFERROR(__xludf.DUMMYFUNCTION("""COMPUTED_VALUE"""),"N/A")</f>
        <v>N/A</v>
      </c>
      <c r="K681" s="97" t="str">
        <f>IFERROR(__xludf.DUMMYFUNCTION("""COMPUTED_VALUE"""),"N/A")</f>
        <v>N/A</v>
      </c>
      <c r="L681" s="97">
        <f>IFERROR(__xludf.DUMMYFUNCTION("""COMPUTED_VALUE"""),220.0)</f>
        <v>220</v>
      </c>
      <c r="M681" s="97">
        <f>IFERROR(__xludf.DUMMYFUNCTION("""COMPUTED_VALUE"""),50.0)</f>
        <v>50</v>
      </c>
      <c r="N681" s="97"/>
      <c r="O681" s="97" t="str">
        <f>IFERROR(__xludf.DUMMYFUNCTION("""COMPUTED_VALUE"""),"1 x 50W Max")</f>
        <v>1 x 50W Max</v>
      </c>
      <c r="P681" s="97"/>
      <c r="Q681" s="97" t="str">
        <f>IFERROR(__xludf.DUMMYFUNCTION("""COMPUTED_VALUE"""),"-")</f>
        <v>-</v>
      </c>
      <c r="R681" s="97" t="str">
        <f>IFERROR(__xludf.DUMMYFUNCTION("""COMPUTED_VALUE"""),"-")</f>
        <v>-</v>
      </c>
      <c r="S681" s="97" t="str">
        <f>IFERROR(__xludf.DUMMYFUNCTION("""COMPUTED_VALUE"""),"-")</f>
        <v>-</v>
      </c>
      <c r="T681" s="97" t="str">
        <f>IFERROR(__xludf.DUMMYFUNCTION("""COMPUTED_VALUE"""),"-")</f>
        <v>-</v>
      </c>
      <c r="U681" s="97" t="str">
        <f>IFERROR(__xludf.DUMMYFUNCTION("""COMPUTED_VALUE"""),"-")</f>
        <v>-</v>
      </c>
      <c r="V681" s="97" t="str">
        <f>IFERROR(__xludf.DUMMYFUNCTION("""COMPUTED_VALUE"""),"N/A")</f>
        <v>N/A</v>
      </c>
      <c r="W681" s="97" t="str">
        <f>IFERROR(__xludf.DUMMYFUNCTION("""COMPUTED_VALUE"""),"N/A")</f>
        <v>N/A</v>
      </c>
      <c r="X681" s="97" t="str">
        <f>IFERROR(__xludf.DUMMYFUNCTION("""COMPUTED_VALUE"""),"-")</f>
        <v>-</v>
      </c>
      <c r="Y681" s="97" t="str">
        <f>IFERROR(__xludf.DUMMYFUNCTION("""COMPUTED_VALUE"""),"N/A")</f>
        <v>N/A</v>
      </c>
      <c r="Z681" s="97" t="str">
        <f>IFERROR(__xludf.DUMMYFUNCTION("""COMPUTED_VALUE"""),"N/A")</f>
        <v>N/A</v>
      </c>
      <c r="AA681" s="97" t="str">
        <f>IFERROR(__xludf.DUMMYFUNCTION("""COMPUTED_VALUE"""),"N/A")</f>
        <v>N/A</v>
      </c>
      <c r="AB681" s="97" t="str">
        <f>IFERROR(__xludf.DUMMYFUNCTION("""COMPUTED_VALUE"""),"N/A")</f>
        <v>N/A</v>
      </c>
      <c r="AC681" s="97" t="str">
        <f>IFERROR(__xludf.DUMMYFUNCTION("""COMPUTED_VALUE"""),"N/A")</f>
        <v>N/A</v>
      </c>
      <c r="AD681" s="97" t="str">
        <f>IFERROR(__xludf.DUMMYFUNCTION("""COMPUTED_VALUE"""),"IP20")</f>
        <v>IP20</v>
      </c>
      <c r="AE681" s="97" t="str">
        <f>IFERROR(__xludf.DUMMYFUNCTION("""COMPUTED_VALUE"""),"Clase l")</f>
        <v>Clase l</v>
      </c>
      <c r="AF681" s="97" t="str">
        <f>IFERROR(__xludf.DUMMYFUNCTION("""COMPUTED_VALUE"""),"Aplicar")</f>
        <v>Aplicar</v>
      </c>
      <c r="AG681" s="97" t="str">
        <f>IFERROR(__xludf.DUMMYFUNCTION("""COMPUTED_VALUE"""),"90 x 90 x 87")</f>
        <v>90 x 90 x 87</v>
      </c>
      <c r="AH681" s="97" t="str">
        <f>IFERROR(__xludf.DUMMYFUNCTION("""COMPUTED_VALUE"""),"N/A")</f>
        <v>N/A</v>
      </c>
      <c r="AI681" s="97" t="str">
        <f>IFERROR(__xludf.DUMMYFUNCTION("""COMPUTED_VALUE"""),"N/A")</f>
        <v>N/A</v>
      </c>
      <c r="AJ681" s="97" t="str">
        <f>IFERROR(__xludf.DUMMYFUNCTION("""COMPUTED_VALUE"""),"N/A")</f>
        <v>N/A</v>
      </c>
      <c r="AK681" s="97" t="str">
        <f>IFERROR(__xludf.DUMMYFUNCTION("""COMPUTED_VALUE"""),"Acero y Aluminio")</f>
        <v>Acero y Aluminio</v>
      </c>
      <c r="AL681" s="97" t="str">
        <f>IFERROR(__xludf.DUMMYFUNCTION("""COMPUTED_VALUE"""),"Negro Satinado")</f>
        <v>Negro Satinado</v>
      </c>
      <c r="AM681" s="97" t="str">
        <f>IFERROR(__xludf.DUMMYFUNCTION("""COMPUTED_VALUE"""),"-")</f>
        <v>-</v>
      </c>
      <c r="AN681" s="97" t="str">
        <f>IFERROR(__xludf.DUMMYFUNCTION("""COMPUTED_VALUE"""),"N/A")</f>
        <v>N/A</v>
      </c>
      <c r="AO681" s="97" t="str">
        <f>IFERROR(__xludf.DUMMYFUNCTION("""COMPUTED_VALUE"""),"3 Años")</f>
        <v>3 Años</v>
      </c>
      <c r="AP681" s="97" t="str">
        <f>IFERROR(__xludf.DUMMYFUNCTION("""COMPUTED_VALUE"""),"No Aplica")</f>
        <v>No Aplica</v>
      </c>
      <c r="AQ681" s="97" t="str">
        <f>IFERROR(__xludf.DUMMYFUNCTION("""COMPUTED_VALUE"""),"No Aplica")</f>
        <v>No Aplica</v>
      </c>
      <c r="AR681" s="97" t="str">
        <f>IFERROR(__xludf.DUMMYFUNCTION("""COMPUTED_VALUE"""),"No Aplica")</f>
        <v>No Aplica</v>
      </c>
      <c r="AS681" s="97"/>
      <c r="AT681" s="97"/>
      <c r="AU681" s="97" t="str">
        <f>IFERROR(__xludf.DUMMYFUNCTION("""COMPUTED_VALUE"""),"Falta")</f>
        <v>Falta</v>
      </c>
      <c r="AV681" s="97" t="str">
        <f>IFERROR(__xludf.DUMMYFUNCTION("""COMPUTED_VALUE"""),"Aplique")</f>
        <v>Aplique</v>
      </c>
      <c r="AW681" s="97" t="str">
        <f>IFERROR(__xludf.DUMMYFUNCTION("""COMPUTED_VALUE"""),"De Techo")</f>
        <v>De Techo</v>
      </c>
      <c r="AX681" s="97" t="str">
        <f>IFERROR(__xludf.DUMMYFUNCTION("""COMPUTED_VALUE"""),"Interior")</f>
        <v>Interior</v>
      </c>
      <c r="AY681" s="97" t="str">
        <f>IFERROR(__xludf.DUMMYFUNCTION("""COMPUTED_VALUE"""),"Cardánico")</f>
        <v>Cardánico</v>
      </c>
      <c r="AZ681" s="97" t="str">
        <f>IFERROR(__xludf.DUMMYFUNCTION("""COMPUTED_VALUE"""),"Incluye zócalo GU10 c/cable 20cm.")</f>
        <v>Incluye zócalo GU10 c/cable 20cm.</v>
      </c>
      <c r="BA681" s="97">
        <f>IFERROR(__xludf.DUMMYFUNCTION("""COMPUTED_VALUE"""),40.0)</f>
        <v>40</v>
      </c>
      <c r="BB681" s="97" t="str">
        <f>IFERROR(__xludf.DUMMYFUNCTION("""COMPUTED_VALUE"""),"-")</f>
        <v>-</v>
      </c>
      <c r="BC681" s="97" t="str">
        <f>IFERROR(__xludf.DUMMYFUNCTION("""COMPUTED_VALUE"""),"-")</f>
        <v>-</v>
      </c>
      <c r="BD681" s="97" t="str">
        <f>IFERROR(__xludf.DUMMYFUNCTION("""COMPUTED_VALUE"""),"ANTON")</f>
        <v>ANTON</v>
      </c>
      <c r="BE681" s="97" t="str">
        <f>IFERROR(__xludf.DUMMYFUNCTION("""COMPUTED_VALUE"""),"Finalizada")</f>
        <v>Finalizada</v>
      </c>
      <c r="BF681" s="97"/>
      <c r="BG681" s="97" t="str">
        <f>IFERROR(__xludf.DUMMYFUNCTION("""COMPUTED_VALUE"""),"Activo")</f>
        <v>Activo</v>
      </c>
    </row>
    <row r="682">
      <c r="A682" s="97">
        <f>IFERROR(__xludf.DUMMYFUNCTION("""COMPUTED_VALUE"""),6441.0)</f>
        <v>6441</v>
      </c>
      <c r="B682" s="97" t="str">
        <f>IFERROR(__xludf.DUMMYFUNCTION("""COMPUTED_VALUE"""),"ANTON I BL")</f>
        <v>ANTON I BL</v>
      </c>
      <c r="C682" s="97" t="str">
        <f>IFERROR(__xludf.DUMMYFUNCTION("""COMPUTED_VALUE"""),"APLIQUE ANTON I BL 1XGU10 DICRO IP20 LEUK")</f>
        <v>APLIQUE ANTON I BL 1XGU10 DICRO IP20 LEUK</v>
      </c>
      <c r="D682" s="97">
        <f>IFERROR(__xludf.DUMMYFUNCTION("""COMPUTED_VALUE"""),7.798328754196E12)</f>
        <v>7798328754196</v>
      </c>
      <c r="E682" s="97"/>
      <c r="F682" s="97" t="str">
        <f>IFERROR(__xludf.DUMMYFUNCTION("""COMPUTED_VALUE"""),"1xGU10 Dicro")</f>
        <v>1xGU10 Dicro</v>
      </c>
      <c r="G682" s="97" t="str">
        <f>IFERROR(__xludf.DUMMYFUNCTION("""COMPUTED_VALUE"""),"N/A")</f>
        <v>N/A</v>
      </c>
      <c r="H682" s="97" t="str">
        <f>IFERROR(__xludf.DUMMYFUNCTION("""COMPUTED_VALUE"""),"N/A")</f>
        <v>N/A</v>
      </c>
      <c r="I682" s="97" t="str">
        <f>IFERROR(__xludf.DUMMYFUNCTION("""COMPUTED_VALUE"""),"N/A")</f>
        <v>N/A</v>
      </c>
      <c r="J682" s="97" t="str">
        <f>IFERROR(__xludf.DUMMYFUNCTION("""COMPUTED_VALUE"""),"N/A")</f>
        <v>N/A</v>
      </c>
      <c r="K682" s="97" t="str">
        <f>IFERROR(__xludf.DUMMYFUNCTION("""COMPUTED_VALUE"""),"N/A")</f>
        <v>N/A</v>
      </c>
      <c r="L682" s="97">
        <f>IFERROR(__xludf.DUMMYFUNCTION("""COMPUTED_VALUE"""),220.0)</f>
        <v>220</v>
      </c>
      <c r="M682" s="97">
        <f>IFERROR(__xludf.DUMMYFUNCTION("""COMPUTED_VALUE"""),50.0)</f>
        <v>50</v>
      </c>
      <c r="N682" s="97"/>
      <c r="O682" s="97" t="str">
        <f>IFERROR(__xludf.DUMMYFUNCTION("""COMPUTED_VALUE"""),"1 x 50W Max")</f>
        <v>1 x 50W Max</v>
      </c>
      <c r="P682" s="97"/>
      <c r="Q682" s="97" t="str">
        <f>IFERROR(__xludf.DUMMYFUNCTION("""COMPUTED_VALUE"""),"-")</f>
        <v>-</v>
      </c>
      <c r="R682" s="97" t="str">
        <f>IFERROR(__xludf.DUMMYFUNCTION("""COMPUTED_VALUE"""),"-")</f>
        <v>-</v>
      </c>
      <c r="S682" s="97" t="str">
        <f>IFERROR(__xludf.DUMMYFUNCTION("""COMPUTED_VALUE"""),"-")</f>
        <v>-</v>
      </c>
      <c r="T682" s="97" t="str">
        <f>IFERROR(__xludf.DUMMYFUNCTION("""COMPUTED_VALUE"""),"-")</f>
        <v>-</v>
      </c>
      <c r="U682" s="97" t="str">
        <f>IFERROR(__xludf.DUMMYFUNCTION("""COMPUTED_VALUE"""),"-")</f>
        <v>-</v>
      </c>
      <c r="V682" s="97" t="str">
        <f>IFERROR(__xludf.DUMMYFUNCTION("""COMPUTED_VALUE"""),"N/A")</f>
        <v>N/A</v>
      </c>
      <c r="W682" s="97" t="str">
        <f>IFERROR(__xludf.DUMMYFUNCTION("""COMPUTED_VALUE"""),"N/A")</f>
        <v>N/A</v>
      </c>
      <c r="X682" s="97" t="str">
        <f>IFERROR(__xludf.DUMMYFUNCTION("""COMPUTED_VALUE"""),"-")</f>
        <v>-</v>
      </c>
      <c r="Y682" s="97" t="str">
        <f>IFERROR(__xludf.DUMMYFUNCTION("""COMPUTED_VALUE"""),"N/A")</f>
        <v>N/A</v>
      </c>
      <c r="Z682" s="97" t="str">
        <f>IFERROR(__xludf.DUMMYFUNCTION("""COMPUTED_VALUE"""),"N/A")</f>
        <v>N/A</v>
      </c>
      <c r="AA682" s="97" t="str">
        <f>IFERROR(__xludf.DUMMYFUNCTION("""COMPUTED_VALUE"""),"N/A")</f>
        <v>N/A</v>
      </c>
      <c r="AB682" s="97" t="str">
        <f>IFERROR(__xludf.DUMMYFUNCTION("""COMPUTED_VALUE"""),"N/A")</f>
        <v>N/A</v>
      </c>
      <c r="AC682" s="97" t="str">
        <f>IFERROR(__xludf.DUMMYFUNCTION("""COMPUTED_VALUE"""),"N/A")</f>
        <v>N/A</v>
      </c>
      <c r="AD682" s="97" t="str">
        <f>IFERROR(__xludf.DUMMYFUNCTION("""COMPUTED_VALUE"""),"IP20")</f>
        <v>IP20</v>
      </c>
      <c r="AE682" s="97" t="str">
        <f>IFERROR(__xludf.DUMMYFUNCTION("""COMPUTED_VALUE"""),"Clase l")</f>
        <v>Clase l</v>
      </c>
      <c r="AF682" s="97" t="str">
        <f>IFERROR(__xludf.DUMMYFUNCTION("""COMPUTED_VALUE"""),"Aplicar")</f>
        <v>Aplicar</v>
      </c>
      <c r="AG682" s="97" t="str">
        <f>IFERROR(__xludf.DUMMYFUNCTION("""COMPUTED_VALUE"""),"90 x 90 x 87")</f>
        <v>90 x 90 x 87</v>
      </c>
      <c r="AH682" s="97" t="str">
        <f>IFERROR(__xludf.DUMMYFUNCTION("""COMPUTED_VALUE"""),"N/A")</f>
        <v>N/A</v>
      </c>
      <c r="AI682" s="97" t="str">
        <f>IFERROR(__xludf.DUMMYFUNCTION("""COMPUTED_VALUE"""),"N/A")</f>
        <v>N/A</v>
      </c>
      <c r="AJ682" s="97" t="str">
        <f>IFERROR(__xludf.DUMMYFUNCTION("""COMPUTED_VALUE"""),"N/A")</f>
        <v>N/A</v>
      </c>
      <c r="AK682" s="97" t="str">
        <f>IFERROR(__xludf.DUMMYFUNCTION("""COMPUTED_VALUE"""),"Acero y Aluminio")</f>
        <v>Acero y Aluminio</v>
      </c>
      <c r="AL682" s="97" t="str">
        <f>IFERROR(__xludf.DUMMYFUNCTION("""COMPUTED_VALUE"""),"Blanco Satinado")</f>
        <v>Blanco Satinado</v>
      </c>
      <c r="AM682" s="97" t="str">
        <f>IFERROR(__xludf.DUMMYFUNCTION("""COMPUTED_VALUE"""),"-")</f>
        <v>-</v>
      </c>
      <c r="AN682" s="97" t="str">
        <f>IFERROR(__xludf.DUMMYFUNCTION("""COMPUTED_VALUE"""),"N/A")</f>
        <v>N/A</v>
      </c>
      <c r="AO682" s="97" t="str">
        <f>IFERROR(__xludf.DUMMYFUNCTION("""COMPUTED_VALUE"""),"3 Años")</f>
        <v>3 Años</v>
      </c>
      <c r="AP682" s="97" t="str">
        <f>IFERROR(__xludf.DUMMYFUNCTION("""COMPUTED_VALUE"""),"No Aplica")</f>
        <v>No Aplica</v>
      </c>
      <c r="AQ682" s="97" t="str">
        <f>IFERROR(__xludf.DUMMYFUNCTION("""COMPUTED_VALUE"""),"No Aplica")</f>
        <v>No Aplica</v>
      </c>
      <c r="AR682" s="97" t="str">
        <f>IFERROR(__xludf.DUMMYFUNCTION("""COMPUTED_VALUE"""),"No Aplica")</f>
        <v>No Aplica</v>
      </c>
      <c r="AS682" s="97"/>
      <c r="AT682" s="97"/>
      <c r="AU682" s="97" t="str">
        <f>IFERROR(__xludf.DUMMYFUNCTION("""COMPUTED_VALUE"""),"Falta")</f>
        <v>Falta</v>
      </c>
      <c r="AV682" s="97" t="str">
        <f>IFERROR(__xludf.DUMMYFUNCTION("""COMPUTED_VALUE"""),"Aplique")</f>
        <v>Aplique</v>
      </c>
      <c r="AW682" s="97" t="str">
        <f>IFERROR(__xludf.DUMMYFUNCTION("""COMPUTED_VALUE"""),"De Techo")</f>
        <v>De Techo</v>
      </c>
      <c r="AX682" s="97" t="str">
        <f>IFERROR(__xludf.DUMMYFUNCTION("""COMPUTED_VALUE"""),"Interior")</f>
        <v>Interior</v>
      </c>
      <c r="AY682" s="97" t="str">
        <f>IFERROR(__xludf.DUMMYFUNCTION("""COMPUTED_VALUE"""),"Cardánico")</f>
        <v>Cardánico</v>
      </c>
      <c r="AZ682" s="97" t="str">
        <f>IFERROR(__xludf.DUMMYFUNCTION("""COMPUTED_VALUE"""),"Incluye zócalo GU10 c/cable 20cm.")</f>
        <v>Incluye zócalo GU10 c/cable 20cm.</v>
      </c>
      <c r="BA682" s="97">
        <f>IFERROR(__xludf.DUMMYFUNCTION("""COMPUTED_VALUE"""),40.0)</f>
        <v>40</v>
      </c>
      <c r="BB682" s="97" t="str">
        <f>IFERROR(__xludf.DUMMYFUNCTION("""COMPUTED_VALUE"""),"-")</f>
        <v>-</v>
      </c>
      <c r="BC682" s="97" t="str">
        <f>IFERROR(__xludf.DUMMYFUNCTION("""COMPUTED_VALUE"""),"-")</f>
        <v>-</v>
      </c>
      <c r="BD682" s="97" t="str">
        <f>IFERROR(__xludf.DUMMYFUNCTION("""COMPUTED_VALUE"""),"ANTON")</f>
        <v>ANTON</v>
      </c>
      <c r="BE682" s="97" t="str">
        <f>IFERROR(__xludf.DUMMYFUNCTION("""COMPUTED_VALUE"""),"Finalizada")</f>
        <v>Finalizada</v>
      </c>
      <c r="BF682" s="97"/>
      <c r="BG682" s="97" t="str">
        <f>IFERROR(__xludf.DUMMYFUNCTION("""COMPUTED_VALUE"""),"Activo")</f>
        <v>Activo</v>
      </c>
    </row>
    <row r="683">
      <c r="A683" s="97">
        <f>IFERROR(__xludf.DUMMYFUNCTION("""COMPUTED_VALUE"""),6442.0)</f>
        <v>6442</v>
      </c>
      <c r="B683" s="97" t="str">
        <f>IFERROR(__xludf.DUMMYFUNCTION("""COMPUTED_VALUE"""),"KAROL I NG")</f>
        <v>KAROL I NG</v>
      </c>
      <c r="C683" s="97" t="str">
        <f>IFERROR(__xludf.DUMMYFUNCTION("""COMPUTED_VALUE"""),"EMPOTRABLE KAROL I NG 1XGU10 DICRO IP20 LEUK")</f>
        <v>EMPOTRABLE KAROL I NG 1XGU10 DICRO IP20 LEUK</v>
      </c>
      <c r="D683" s="97">
        <f>IFERROR(__xludf.DUMMYFUNCTION("""COMPUTED_VALUE"""),7.798328754202E12)</f>
        <v>7798328754202</v>
      </c>
      <c r="E683" s="97" t="str">
        <f>IFERROR(__xludf.DUMMYFUNCTION("""COMPUTED_VALUE"""),"b137")</f>
        <v>b137</v>
      </c>
      <c r="F683" s="97" t="str">
        <f>IFERROR(__xludf.DUMMYFUNCTION("""COMPUTED_VALUE"""),"1xGU10 Dicro")</f>
        <v>1xGU10 Dicro</v>
      </c>
      <c r="G683" s="97" t="str">
        <f>IFERROR(__xludf.DUMMYFUNCTION("""COMPUTED_VALUE"""),"N/A")</f>
        <v>N/A</v>
      </c>
      <c r="H683" s="97" t="str">
        <f>IFERROR(__xludf.DUMMYFUNCTION("""COMPUTED_VALUE"""),"N/A")</f>
        <v>N/A</v>
      </c>
      <c r="I683" s="97" t="str">
        <f>IFERROR(__xludf.DUMMYFUNCTION("""COMPUTED_VALUE"""),"N/A")</f>
        <v>N/A</v>
      </c>
      <c r="J683" s="97" t="str">
        <f>IFERROR(__xludf.DUMMYFUNCTION("""COMPUTED_VALUE"""),"N/A")</f>
        <v>N/A</v>
      </c>
      <c r="K683" s="97" t="str">
        <f>IFERROR(__xludf.DUMMYFUNCTION("""COMPUTED_VALUE"""),"N/A")</f>
        <v>N/A</v>
      </c>
      <c r="L683" s="97">
        <f>IFERROR(__xludf.DUMMYFUNCTION("""COMPUTED_VALUE"""),220.0)</f>
        <v>220</v>
      </c>
      <c r="M683" s="97">
        <f>IFERROR(__xludf.DUMMYFUNCTION("""COMPUTED_VALUE"""),50.0)</f>
        <v>50</v>
      </c>
      <c r="N683" s="97"/>
      <c r="O683" s="97" t="str">
        <f>IFERROR(__xludf.DUMMYFUNCTION("""COMPUTED_VALUE"""),"1 x 50W Max")</f>
        <v>1 x 50W Max</v>
      </c>
      <c r="P683" s="97"/>
      <c r="Q683" s="97" t="str">
        <f>IFERROR(__xludf.DUMMYFUNCTION("""COMPUTED_VALUE"""),"-")</f>
        <v>-</v>
      </c>
      <c r="R683" s="97" t="str">
        <f>IFERROR(__xludf.DUMMYFUNCTION("""COMPUTED_VALUE"""),"-")</f>
        <v>-</v>
      </c>
      <c r="S683" s="97" t="str">
        <f>IFERROR(__xludf.DUMMYFUNCTION("""COMPUTED_VALUE"""),"-")</f>
        <v>-</v>
      </c>
      <c r="T683" s="97" t="str">
        <f>IFERROR(__xludf.DUMMYFUNCTION("""COMPUTED_VALUE"""),"-")</f>
        <v>-</v>
      </c>
      <c r="U683" s="97" t="str">
        <f>IFERROR(__xludf.DUMMYFUNCTION("""COMPUTED_VALUE"""),"-")</f>
        <v>-</v>
      </c>
      <c r="V683" s="97" t="str">
        <f>IFERROR(__xludf.DUMMYFUNCTION("""COMPUTED_VALUE"""),"N/A")</f>
        <v>N/A</v>
      </c>
      <c r="W683" s="97" t="str">
        <f>IFERROR(__xludf.DUMMYFUNCTION("""COMPUTED_VALUE"""),"N/A")</f>
        <v>N/A</v>
      </c>
      <c r="X683" s="97" t="str">
        <f>IFERROR(__xludf.DUMMYFUNCTION("""COMPUTED_VALUE"""),"-")</f>
        <v>-</v>
      </c>
      <c r="Y683" s="97" t="str">
        <f>IFERROR(__xludf.DUMMYFUNCTION("""COMPUTED_VALUE"""),"N/A")</f>
        <v>N/A</v>
      </c>
      <c r="Z683" s="97" t="str">
        <f>IFERROR(__xludf.DUMMYFUNCTION("""COMPUTED_VALUE"""),"N/A")</f>
        <v>N/A</v>
      </c>
      <c r="AA683" s="97" t="str">
        <f>IFERROR(__xludf.DUMMYFUNCTION("""COMPUTED_VALUE"""),"N/A")</f>
        <v>N/A</v>
      </c>
      <c r="AB683" s="97" t="str">
        <f>IFERROR(__xludf.DUMMYFUNCTION("""COMPUTED_VALUE"""),"N/A")</f>
        <v>N/A</v>
      </c>
      <c r="AC683" s="97" t="str">
        <f>IFERROR(__xludf.DUMMYFUNCTION("""COMPUTED_VALUE"""),"N/A")</f>
        <v>N/A</v>
      </c>
      <c r="AD683" s="97" t="str">
        <f>IFERROR(__xludf.DUMMYFUNCTION("""COMPUTED_VALUE"""),"IP20")</f>
        <v>IP20</v>
      </c>
      <c r="AE683" s="97" t="str">
        <f>IFERROR(__xludf.DUMMYFUNCTION("""COMPUTED_VALUE"""),"Clase l")</f>
        <v>Clase l</v>
      </c>
      <c r="AF683" s="97" t="str">
        <f>IFERROR(__xludf.DUMMYFUNCTION("""COMPUTED_VALUE"""),"Embutir")</f>
        <v>Embutir</v>
      </c>
      <c r="AG683" s="97" t="str">
        <f>IFERROR(__xludf.DUMMYFUNCTION("""COMPUTED_VALUE"""),"110 x 110 x 83")</f>
        <v>110 x 110 x 83</v>
      </c>
      <c r="AH683" s="97" t="str">
        <f>IFERROR(__xludf.DUMMYFUNCTION("""COMPUTED_VALUE"""),"94 x 94")</f>
        <v>94 x 94</v>
      </c>
      <c r="AI683" s="97">
        <f>IFERROR(__xludf.DUMMYFUNCTION("""COMPUTED_VALUE"""),88.0)</f>
        <v>88</v>
      </c>
      <c r="AJ683" s="97" t="str">
        <f>IFERROR(__xludf.DUMMYFUNCTION("""COMPUTED_VALUE"""),"N/A")</f>
        <v>N/A</v>
      </c>
      <c r="AK683" s="97" t="str">
        <f>IFERROR(__xludf.DUMMYFUNCTION("""COMPUTED_VALUE"""),"Acero y Aluminio")</f>
        <v>Acero y Aluminio</v>
      </c>
      <c r="AL683" s="97" t="str">
        <f>IFERROR(__xludf.DUMMYFUNCTION("""COMPUTED_VALUE"""),"Negro Satinado")</f>
        <v>Negro Satinado</v>
      </c>
      <c r="AM683" s="97" t="str">
        <f>IFERROR(__xludf.DUMMYFUNCTION("""COMPUTED_VALUE"""),"-")</f>
        <v>-</v>
      </c>
      <c r="AN683" s="97" t="str">
        <f>IFERROR(__xludf.DUMMYFUNCTION("""COMPUTED_VALUE"""),"N/A")</f>
        <v>N/A</v>
      </c>
      <c r="AO683" s="97" t="str">
        <f>IFERROR(__xludf.DUMMYFUNCTION("""COMPUTED_VALUE"""),"3 Años")</f>
        <v>3 Años</v>
      </c>
      <c r="AP683" s="97" t="str">
        <f>IFERROR(__xludf.DUMMYFUNCTION("""COMPUTED_VALUE"""),"No Aplica")</f>
        <v>No Aplica</v>
      </c>
      <c r="AQ683" s="97" t="str">
        <f>IFERROR(__xludf.DUMMYFUNCTION("""COMPUTED_VALUE"""),"No Aplica")</f>
        <v>No Aplica</v>
      </c>
      <c r="AR683" s="97" t="str">
        <f>IFERROR(__xludf.DUMMYFUNCTION("""COMPUTED_VALUE"""),"No Aplica")</f>
        <v>No Aplica</v>
      </c>
      <c r="AS683" s="97"/>
      <c r="AT683" s="97"/>
      <c r="AU683" s="97" t="str">
        <f>IFERROR(__xludf.DUMMYFUNCTION("""COMPUTED_VALUE"""),"Falta")</f>
        <v>Falta</v>
      </c>
      <c r="AV683" s="97" t="str">
        <f>IFERROR(__xludf.DUMMYFUNCTION("""COMPUTED_VALUE"""),"Empotrable")</f>
        <v>Empotrable</v>
      </c>
      <c r="AW683" s="97" t="str">
        <f>IFERROR(__xludf.DUMMYFUNCTION("""COMPUTED_VALUE"""),"De Techo")</f>
        <v>De Techo</v>
      </c>
      <c r="AX683" s="97" t="str">
        <f>IFERROR(__xludf.DUMMYFUNCTION("""COMPUTED_VALUE"""),"Interior")</f>
        <v>Interior</v>
      </c>
      <c r="AY683" s="97" t="str">
        <f>IFERROR(__xludf.DUMMYFUNCTION("""COMPUTED_VALUE"""),"Cardánico")</f>
        <v>Cardánico</v>
      </c>
      <c r="AZ683" s="97" t="str">
        <f>IFERROR(__xludf.DUMMYFUNCTION("""COMPUTED_VALUE"""),"Incluye zócalo GU10 c/cable 20cm.")</f>
        <v>Incluye zócalo GU10 c/cable 20cm.</v>
      </c>
      <c r="BA683" s="97">
        <f>IFERROR(__xludf.DUMMYFUNCTION("""COMPUTED_VALUE"""),40.0)</f>
        <v>40</v>
      </c>
      <c r="BB683" s="97" t="str">
        <f>IFERROR(__xludf.DUMMYFUNCTION("""COMPUTED_VALUE"""),"-")</f>
        <v>-</v>
      </c>
      <c r="BC683" s="97" t="str">
        <f>IFERROR(__xludf.DUMMYFUNCTION("""COMPUTED_VALUE"""),"-")</f>
        <v>-</v>
      </c>
      <c r="BD683" s="97" t="str">
        <f>IFERROR(__xludf.DUMMYFUNCTION("""COMPUTED_VALUE"""),"KAROL ")</f>
        <v>KAROL </v>
      </c>
      <c r="BE683" s="97" t="str">
        <f>IFERROR(__xludf.DUMMYFUNCTION("""COMPUTED_VALUE"""),"Finalizada")</f>
        <v>Finalizada</v>
      </c>
      <c r="BF683" s="97"/>
      <c r="BG683" s="97" t="str">
        <f>IFERROR(__xludf.DUMMYFUNCTION("""COMPUTED_VALUE"""),"Activo")</f>
        <v>Activo</v>
      </c>
    </row>
    <row r="684">
      <c r="A684" s="97">
        <f>IFERROR(__xludf.DUMMYFUNCTION("""COMPUTED_VALUE"""),6443.0)</f>
        <v>6443</v>
      </c>
      <c r="B684" s="97" t="str">
        <f>IFERROR(__xludf.DUMMYFUNCTION("""COMPUTED_VALUE"""),"KAROL I BL")</f>
        <v>KAROL I BL</v>
      </c>
      <c r="C684" s="97" t="str">
        <f>IFERROR(__xludf.DUMMYFUNCTION("""COMPUTED_VALUE"""),"EMPOTRABLE KAROL I BL 1XGU10 DICRO IP20 LEUK")</f>
        <v>EMPOTRABLE KAROL I BL 1XGU10 DICRO IP20 LEUK</v>
      </c>
      <c r="D684" s="97">
        <f>IFERROR(__xludf.DUMMYFUNCTION("""COMPUTED_VALUE"""),7.798328754219E12)</f>
        <v>7798328754219</v>
      </c>
      <c r="E684" s="97" t="str">
        <f>IFERROR(__xludf.DUMMYFUNCTION("""COMPUTED_VALUE"""),"b141")</f>
        <v>b141</v>
      </c>
      <c r="F684" s="97" t="str">
        <f>IFERROR(__xludf.DUMMYFUNCTION("""COMPUTED_VALUE"""),"1xGU10 Dicro")</f>
        <v>1xGU10 Dicro</v>
      </c>
      <c r="G684" s="97" t="str">
        <f>IFERROR(__xludf.DUMMYFUNCTION("""COMPUTED_VALUE"""),"N/A")</f>
        <v>N/A</v>
      </c>
      <c r="H684" s="97" t="str">
        <f>IFERROR(__xludf.DUMMYFUNCTION("""COMPUTED_VALUE"""),"N/A")</f>
        <v>N/A</v>
      </c>
      <c r="I684" s="97" t="str">
        <f>IFERROR(__xludf.DUMMYFUNCTION("""COMPUTED_VALUE"""),"N/A")</f>
        <v>N/A</v>
      </c>
      <c r="J684" s="97" t="str">
        <f>IFERROR(__xludf.DUMMYFUNCTION("""COMPUTED_VALUE"""),"N/A")</f>
        <v>N/A</v>
      </c>
      <c r="K684" s="97" t="str">
        <f>IFERROR(__xludf.DUMMYFUNCTION("""COMPUTED_VALUE"""),"N/A")</f>
        <v>N/A</v>
      </c>
      <c r="L684" s="97">
        <f>IFERROR(__xludf.DUMMYFUNCTION("""COMPUTED_VALUE"""),220.0)</f>
        <v>220</v>
      </c>
      <c r="M684" s="97">
        <f>IFERROR(__xludf.DUMMYFUNCTION("""COMPUTED_VALUE"""),50.0)</f>
        <v>50</v>
      </c>
      <c r="N684" s="97"/>
      <c r="O684" s="97" t="str">
        <f>IFERROR(__xludf.DUMMYFUNCTION("""COMPUTED_VALUE"""),"1 x 50W Max")</f>
        <v>1 x 50W Max</v>
      </c>
      <c r="P684" s="97"/>
      <c r="Q684" s="97" t="str">
        <f>IFERROR(__xludf.DUMMYFUNCTION("""COMPUTED_VALUE"""),"-")</f>
        <v>-</v>
      </c>
      <c r="R684" s="97" t="str">
        <f>IFERROR(__xludf.DUMMYFUNCTION("""COMPUTED_VALUE"""),"-")</f>
        <v>-</v>
      </c>
      <c r="S684" s="97" t="str">
        <f>IFERROR(__xludf.DUMMYFUNCTION("""COMPUTED_VALUE"""),"-")</f>
        <v>-</v>
      </c>
      <c r="T684" s="97" t="str">
        <f>IFERROR(__xludf.DUMMYFUNCTION("""COMPUTED_VALUE"""),"-")</f>
        <v>-</v>
      </c>
      <c r="U684" s="97" t="str">
        <f>IFERROR(__xludf.DUMMYFUNCTION("""COMPUTED_VALUE"""),"-")</f>
        <v>-</v>
      </c>
      <c r="V684" s="97" t="str">
        <f>IFERROR(__xludf.DUMMYFUNCTION("""COMPUTED_VALUE"""),"N/A")</f>
        <v>N/A</v>
      </c>
      <c r="W684" s="97" t="str">
        <f>IFERROR(__xludf.DUMMYFUNCTION("""COMPUTED_VALUE"""),"N/A")</f>
        <v>N/A</v>
      </c>
      <c r="X684" s="97" t="str">
        <f>IFERROR(__xludf.DUMMYFUNCTION("""COMPUTED_VALUE"""),"-")</f>
        <v>-</v>
      </c>
      <c r="Y684" s="97" t="str">
        <f>IFERROR(__xludf.DUMMYFUNCTION("""COMPUTED_VALUE"""),"N/A")</f>
        <v>N/A</v>
      </c>
      <c r="Z684" s="97" t="str">
        <f>IFERROR(__xludf.DUMMYFUNCTION("""COMPUTED_VALUE"""),"N/A")</f>
        <v>N/A</v>
      </c>
      <c r="AA684" s="97" t="str">
        <f>IFERROR(__xludf.DUMMYFUNCTION("""COMPUTED_VALUE"""),"N/A")</f>
        <v>N/A</v>
      </c>
      <c r="AB684" s="97" t="str">
        <f>IFERROR(__xludf.DUMMYFUNCTION("""COMPUTED_VALUE"""),"N/A")</f>
        <v>N/A</v>
      </c>
      <c r="AC684" s="97" t="str">
        <f>IFERROR(__xludf.DUMMYFUNCTION("""COMPUTED_VALUE"""),"N/A")</f>
        <v>N/A</v>
      </c>
      <c r="AD684" s="97" t="str">
        <f>IFERROR(__xludf.DUMMYFUNCTION("""COMPUTED_VALUE"""),"IP20")</f>
        <v>IP20</v>
      </c>
      <c r="AE684" s="97" t="str">
        <f>IFERROR(__xludf.DUMMYFUNCTION("""COMPUTED_VALUE"""),"Clase l")</f>
        <v>Clase l</v>
      </c>
      <c r="AF684" s="97" t="str">
        <f>IFERROR(__xludf.DUMMYFUNCTION("""COMPUTED_VALUE"""),"Embutir")</f>
        <v>Embutir</v>
      </c>
      <c r="AG684" s="97" t="str">
        <f>IFERROR(__xludf.DUMMYFUNCTION("""COMPUTED_VALUE"""),"110 x 110 x 83")</f>
        <v>110 x 110 x 83</v>
      </c>
      <c r="AH684" s="97" t="str">
        <f>IFERROR(__xludf.DUMMYFUNCTION("""COMPUTED_VALUE"""),"94 x 94")</f>
        <v>94 x 94</v>
      </c>
      <c r="AI684" s="97">
        <f>IFERROR(__xludf.DUMMYFUNCTION("""COMPUTED_VALUE"""),88.0)</f>
        <v>88</v>
      </c>
      <c r="AJ684" s="97" t="str">
        <f>IFERROR(__xludf.DUMMYFUNCTION("""COMPUTED_VALUE"""),"N/A")</f>
        <v>N/A</v>
      </c>
      <c r="AK684" s="97" t="str">
        <f>IFERROR(__xludf.DUMMYFUNCTION("""COMPUTED_VALUE"""),"Acero y Aluminio")</f>
        <v>Acero y Aluminio</v>
      </c>
      <c r="AL684" s="97" t="str">
        <f>IFERROR(__xludf.DUMMYFUNCTION("""COMPUTED_VALUE"""),"Blanco Satinado")</f>
        <v>Blanco Satinado</v>
      </c>
      <c r="AM684" s="97" t="str">
        <f>IFERROR(__xludf.DUMMYFUNCTION("""COMPUTED_VALUE"""),"-")</f>
        <v>-</v>
      </c>
      <c r="AN684" s="97" t="str">
        <f>IFERROR(__xludf.DUMMYFUNCTION("""COMPUTED_VALUE"""),"N/A")</f>
        <v>N/A</v>
      </c>
      <c r="AO684" s="97" t="str">
        <f>IFERROR(__xludf.DUMMYFUNCTION("""COMPUTED_VALUE"""),"3 Años")</f>
        <v>3 Años</v>
      </c>
      <c r="AP684" s="97" t="str">
        <f>IFERROR(__xludf.DUMMYFUNCTION("""COMPUTED_VALUE"""),"No Aplica")</f>
        <v>No Aplica</v>
      </c>
      <c r="AQ684" s="97" t="str">
        <f>IFERROR(__xludf.DUMMYFUNCTION("""COMPUTED_VALUE"""),"No Aplica")</f>
        <v>No Aplica</v>
      </c>
      <c r="AR684" s="97" t="str">
        <f>IFERROR(__xludf.DUMMYFUNCTION("""COMPUTED_VALUE"""),"No Aplica")</f>
        <v>No Aplica</v>
      </c>
      <c r="AS684" s="97"/>
      <c r="AT684" s="97"/>
      <c r="AU684" s="97" t="str">
        <f>IFERROR(__xludf.DUMMYFUNCTION("""COMPUTED_VALUE"""),"Falta")</f>
        <v>Falta</v>
      </c>
      <c r="AV684" s="97" t="str">
        <f>IFERROR(__xludf.DUMMYFUNCTION("""COMPUTED_VALUE"""),"Empotrable")</f>
        <v>Empotrable</v>
      </c>
      <c r="AW684" s="97" t="str">
        <f>IFERROR(__xludf.DUMMYFUNCTION("""COMPUTED_VALUE"""),"De Techo")</f>
        <v>De Techo</v>
      </c>
      <c r="AX684" s="97" t="str">
        <f>IFERROR(__xludf.DUMMYFUNCTION("""COMPUTED_VALUE"""),"Interior")</f>
        <v>Interior</v>
      </c>
      <c r="AY684" s="97" t="str">
        <f>IFERROR(__xludf.DUMMYFUNCTION("""COMPUTED_VALUE"""),"Cardánico")</f>
        <v>Cardánico</v>
      </c>
      <c r="AZ684" s="97" t="str">
        <f>IFERROR(__xludf.DUMMYFUNCTION("""COMPUTED_VALUE"""),"Incluye zócalo GU10 c/cable 20cm.")</f>
        <v>Incluye zócalo GU10 c/cable 20cm.</v>
      </c>
      <c r="BA684" s="97">
        <f>IFERROR(__xludf.DUMMYFUNCTION("""COMPUTED_VALUE"""),28.0)</f>
        <v>28</v>
      </c>
      <c r="BB684" s="97" t="str">
        <f>IFERROR(__xludf.DUMMYFUNCTION("""COMPUTED_VALUE"""),"-")</f>
        <v>-</v>
      </c>
      <c r="BC684" s="97" t="str">
        <f>IFERROR(__xludf.DUMMYFUNCTION("""COMPUTED_VALUE"""),"-")</f>
        <v>-</v>
      </c>
      <c r="BD684" s="97" t="str">
        <f>IFERROR(__xludf.DUMMYFUNCTION("""COMPUTED_VALUE"""),"KAROL ")</f>
        <v>KAROL </v>
      </c>
      <c r="BE684" s="97" t="str">
        <f>IFERROR(__xludf.DUMMYFUNCTION("""COMPUTED_VALUE"""),"Finalizada")</f>
        <v>Finalizada</v>
      </c>
      <c r="BF684" s="97"/>
      <c r="BG684" s="97" t="str">
        <f>IFERROR(__xludf.DUMMYFUNCTION("""COMPUTED_VALUE"""),"Activo")</f>
        <v>Activo</v>
      </c>
    </row>
    <row r="685">
      <c r="A685" s="97">
        <f>IFERROR(__xludf.DUMMYFUNCTION("""COMPUTED_VALUE"""),6444.0)</f>
        <v>6444</v>
      </c>
      <c r="B685" s="97" t="str">
        <f>IFERROR(__xludf.DUMMYFUNCTION("""COMPUTED_VALUE"""),"BERDY I NG")</f>
        <v>BERDY I NG</v>
      </c>
      <c r="C685" s="97" t="str">
        <f>IFERROR(__xludf.DUMMYFUNCTION("""COMPUTED_VALUE"""),"APLIQUE BERDY I NG 1XGU10 AR111 IP20 LEUK")</f>
        <v>APLIQUE BERDY I NG 1XGU10 AR111 IP20 LEUK</v>
      </c>
      <c r="D685" s="97">
        <f>IFERROR(__xludf.DUMMYFUNCTION("""COMPUTED_VALUE"""),7.798328754226E12)</f>
        <v>7798328754226</v>
      </c>
      <c r="E685" s="97"/>
      <c r="F685" s="97" t="str">
        <f>IFERROR(__xludf.DUMMYFUNCTION("""COMPUTED_VALUE"""),"1xGU10 AR111")</f>
        <v>1xGU10 AR111</v>
      </c>
      <c r="G685" s="97" t="str">
        <f>IFERROR(__xludf.DUMMYFUNCTION("""COMPUTED_VALUE"""),"N/A")</f>
        <v>N/A</v>
      </c>
      <c r="H685" s="97" t="str">
        <f>IFERROR(__xludf.DUMMYFUNCTION("""COMPUTED_VALUE"""),"N/A")</f>
        <v>N/A</v>
      </c>
      <c r="I685" s="97" t="str">
        <f>IFERROR(__xludf.DUMMYFUNCTION("""COMPUTED_VALUE"""),"N/A")</f>
        <v>N/A</v>
      </c>
      <c r="J685" s="97" t="str">
        <f>IFERROR(__xludf.DUMMYFUNCTION("""COMPUTED_VALUE"""),"N/A")</f>
        <v>N/A</v>
      </c>
      <c r="K685" s="97" t="str">
        <f>IFERROR(__xludf.DUMMYFUNCTION("""COMPUTED_VALUE"""),"N/A")</f>
        <v>N/A</v>
      </c>
      <c r="L685" s="97">
        <f>IFERROR(__xludf.DUMMYFUNCTION("""COMPUTED_VALUE"""),220.0)</f>
        <v>220</v>
      </c>
      <c r="M685" s="97">
        <f>IFERROR(__xludf.DUMMYFUNCTION("""COMPUTED_VALUE"""),50.0)</f>
        <v>50</v>
      </c>
      <c r="N685" s="97"/>
      <c r="O685" s="97" t="str">
        <f>IFERROR(__xludf.DUMMYFUNCTION("""COMPUTED_VALUE"""),"1 x 50W Max")</f>
        <v>1 x 50W Max</v>
      </c>
      <c r="P685" s="97"/>
      <c r="Q685" s="97" t="str">
        <f>IFERROR(__xludf.DUMMYFUNCTION("""COMPUTED_VALUE"""),"-")</f>
        <v>-</v>
      </c>
      <c r="R685" s="97" t="str">
        <f>IFERROR(__xludf.DUMMYFUNCTION("""COMPUTED_VALUE"""),"-")</f>
        <v>-</v>
      </c>
      <c r="S685" s="97" t="str">
        <f>IFERROR(__xludf.DUMMYFUNCTION("""COMPUTED_VALUE"""),"-")</f>
        <v>-</v>
      </c>
      <c r="T685" s="97" t="str">
        <f>IFERROR(__xludf.DUMMYFUNCTION("""COMPUTED_VALUE"""),"-")</f>
        <v>-</v>
      </c>
      <c r="U685" s="97" t="str">
        <f>IFERROR(__xludf.DUMMYFUNCTION("""COMPUTED_VALUE"""),"-")</f>
        <v>-</v>
      </c>
      <c r="V685" s="97" t="str">
        <f>IFERROR(__xludf.DUMMYFUNCTION("""COMPUTED_VALUE"""),"N/A")</f>
        <v>N/A</v>
      </c>
      <c r="W685" s="97" t="str">
        <f>IFERROR(__xludf.DUMMYFUNCTION("""COMPUTED_VALUE"""),"N/A")</f>
        <v>N/A</v>
      </c>
      <c r="X685" s="97" t="str">
        <f>IFERROR(__xludf.DUMMYFUNCTION("""COMPUTED_VALUE"""),"-")</f>
        <v>-</v>
      </c>
      <c r="Y685" s="97" t="str">
        <f>IFERROR(__xludf.DUMMYFUNCTION("""COMPUTED_VALUE"""),"N/A")</f>
        <v>N/A</v>
      </c>
      <c r="Z685" s="97" t="str">
        <f>IFERROR(__xludf.DUMMYFUNCTION("""COMPUTED_VALUE"""),"N/A")</f>
        <v>N/A</v>
      </c>
      <c r="AA685" s="97" t="str">
        <f>IFERROR(__xludf.DUMMYFUNCTION("""COMPUTED_VALUE"""),"N/A")</f>
        <v>N/A</v>
      </c>
      <c r="AB685" s="97" t="str">
        <f>IFERROR(__xludf.DUMMYFUNCTION("""COMPUTED_VALUE"""),"N/A")</f>
        <v>N/A</v>
      </c>
      <c r="AC685" s="97" t="str">
        <f>IFERROR(__xludf.DUMMYFUNCTION("""COMPUTED_VALUE"""),"N/A")</f>
        <v>N/A</v>
      </c>
      <c r="AD685" s="97" t="str">
        <f>IFERROR(__xludf.DUMMYFUNCTION("""COMPUTED_VALUE"""),"IP20")</f>
        <v>IP20</v>
      </c>
      <c r="AE685" s="97" t="str">
        <f>IFERROR(__xludf.DUMMYFUNCTION("""COMPUTED_VALUE"""),"Clase l")</f>
        <v>Clase l</v>
      </c>
      <c r="AF685" s="97" t="str">
        <f>IFERROR(__xludf.DUMMYFUNCTION("""COMPUTED_VALUE"""),"Aplicar")</f>
        <v>Aplicar</v>
      </c>
      <c r="AG685" s="97" t="str">
        <f>IFERROR(__xludf.DUMMYFUNCTION("""COMPUTED_VALUE"""),"150 x 150 x 107")</f>
        <v>150 x 150 x 107</v>
      </c>
      <c r="AH685" s="97" t="str">
        <f>IFERROR(__xludf.DUMMYFUNCTION("""COMPUTED_VALUE"""),"N/A")</f>
        <v>N/A</v>
      </c>
      <c r="AI685" s="97" t="str">
        <f>IFERROR(__xludf.DUMMYFUNCTION("""COMPUTED_VALUE"""),"N/A")</f>
        <v>N/A</v>
      </c>
      <c r="AJ685" s="97" t="str">
        <f>IFERROR(__xludf.DUMMYFUNCTION("""COMPUTED_VALUE"""),"N/A")</f>
        <v>N/A</v>
      </c>
      <c r="AK685" s="97" t="str">
        <f>IFERROR(__xludf.DUMMYFUNCTION("""COMPUTED_VALUE"""),"Acero y Aluminio")</f>
        <v>Acero y Aluminio</v>
      </c>
      <c r="AL685" s="97" t="str">
        <f>IFERROR(__xludf.DUMMYFUNCTION("""COMPUTED_VALUE"""),"Negro Satinado")</f>
        <v>Negro Satinado</v>
      </c>
      <c r="AM685" s="97" t="str">
        <f>IFERROR(__xludf.DUMMYFUNCTION("""COMPUTED_VALUE"""),"-")</f>
        <v>-</v>
      </c>
      <c r="AN685" s="97" t="str">
        <f>IFERROR(__xludf.DUMMYFUNCTION("""COMPUTED_VALUE"""),"N/A")</f>
        <v>N/A</v>
      </c>
      <c r="AO685" s="97" t="str">
        <f>IFERROR(__xludf.DUMMYFUNCTION("""COMPUTED_VALUE"""),"3 Años")</f>
        <v>3 Años</v>
      </c>
      <c r="AP685" s="97" t="str">
        <f>IFERROR(__xludf.DUMMYFUNCTION("""COMPUTED_VALUE"""),"No Aplica")</f>
        <v>No Aplica</v>
      </c>
      <c r="AQ685" s="97" t="str">
        <f>IFERROR(__xludf.DUMMYFUNCTION("""COMPUTED_VALUE"""),"No Aplica")</f>
        <v>No Aplica</v>
      </c>
      <c r="AR685" s="97" t="str">
        <f>IFERROR(__xludf.DUMMYFUNCTION("""COMPUTED_VALUE"""),"No Aplica")</f>
        <v>No Aplica</v>
      </c>
      <c r="AS685" s="97"/>
      <c r="AT685" s="97"/>
      <c r="AU685" s="97" t="str">
        <f>IFERROR(__xludf.DUMMYFUNCTION("""COMPUTED_VALUE"""),"Falta")</f>
        <v>Falta</v>
      </c>
      <c r="AV685" s="97" t="str">
        <f>IFERROR(__xludf.DUMMYFUNCTION("""COMPUTED_VALUE"""),"Aplique")</f>
        <v>Aplique</v>
      </c>
      <c r="AW685" s="97" t="str">
        <f>IFERROR(__xludf.DUMMYFUNCTION("""COMPUTED_VALUE"""),"De Techo")</f>
        <v>De Techo</v>
      </c>
      <c r="AX685" s="97" t="str">
        <f>IFERROR(__xludf.DUMMYFUNCTION("""COMPUTED_VALUE"""),"Interior")</f>
        <v>Interior</v>
      </c>
      <c r="AY685" s="97" t="str">
        <f>IFERROR(__xludf.DUMMYFUNCTION("""COMPUTED_VALUE"""),"Cardánico")</f>
        <v>Cardánico</v>
      </c>
      <c r="AZ685" s="97" t="str">
        <f>IFERROR(__xludf.DUMMYFUNCTION("""COMPUTED_VALUE"""),"Incluye zócalo GU10 c/cable 20cm.")</f>
        <v>Incluye zócalo GU10 c/cable 20cm.</v>
      </c>
      <c r="BA685" s="97">
        <f>IFERROR(__xludf.DUMMYFUNCTION("""COMPUTED_VALUE"""),16.0)</f>
        <v>16</v>
      </c>
      <c r="BB685" s="97" t="str">
        <f>IFERROR(__xludf.DUMMYFUNCTION("""COMPUTED_VALUE"""),"-")</f>
        <v>-</v>
      </c>
      <c r="BC685" s="97" t="str">
        <f>IFERROR(__xludf.DUMMYFUNCTION("""COMPUTED_VALUE"""),"-")</f>
        <v>-</v>
      </c>
      <c r="BD685" s="97" t="str">
        <f>IFERROR(__xludf.DUMMYFUNCTION("""COMPUTED_VALUE"""),"BERDY")</f>
        <v>BERDY</v>
      </c>
      <c r="BE685" s="97" t="str">
        <f>IFERROR(__xludf.DUMMYFUNCTION("""COMPUTED_VALUE"""),"Finalizada")</f>
        <v>Finalizada</v>
      </c>
      <c r="BF685" s="97"/>
      <c r="BG685" s="97" t="str">
        <f>IFERROR(__xludf.DUMMYFUNCTION("""COMPUTED_VALUE"""),"Activo")</f>
        <v>Activo</v>
      </c>
    </row>
    <row r="686">
      <c r="A686" s="97">
        <f>IFERROR(__xludf.DUMMYFUNCTION("""COMPUTED_VALUE"""),6445.0)</f>
        <v>6445</v>
      </c>
      <c r="B686" s="97" t="str">
        <f>IFERROR(__xludf.DUMMYFUNCTION("""COMPUTED_VALUE"""),"BERDY I BL")</f>
        <v>BERDY I BL</v>
      </c>
      <c r="C686" s="97" t="str">
        <f>IFERROR(__xludf.DUMMYFUNCTION("""COMPUTED_VALUE"""),"APLIQUE BERDY I BL 1XGU10 AR111 IP20 LEUK")</f>
        <v>APLIQUE BERDY I BL 1XGU10 AR111 IP20 LEUK</v>
      </c>
      <c r="D686" s="97">
        <f>IFERROR(__xludf.DUMMYFUNCTION("""COMPUTED_VALUE"""),7.798328754233E12)</f>
        <v>7798328754233</v>
      </c>
      <c r="E686" s="97"/>
      <c r="F686" s="97" t="str">
        <f>IFERROR(__xludf.DUMMYFUNCTION("""COMPUTED_VALUE"""),"1xGU10 AR111")</f>
        <v>1xGU10 AR111</v>
      </c>
      <c r="G686" s="97" t="str">
        <f>IFERROR(__xludf.DUMMYFUNCTION("""COMPUTED_VALUE"""),"N/A")</f>
        <v>N/A</v>
      </c>
      <c r="H686" s="97" t="str">
        <f>IFERROR(__xludf.DUMMYFUNCTION("""COMPUTED_VALUE"""),"N/A")</f>
        <v>N/A</v>
      </c>
      <c r="I686" s="97" t="str">
        <f>IFERROR(__xludf.DUMMYFUNCTION("""COMPUTED_VALUE"""),"N/A")</f>
        <v>N/A</v>
      </c>
      <c r="J686" s="97" t="str">
        <f>IFERROR(__xludf.DUMMYFUNCTION("""COMPUTED_VALUE"""),"N/A")</f>
        <v>N/A</v>
      </c>
      <c r="K686" s="97" t="str">
        <f>IFERROR(__xludf.DUMMYFUNCTION("""COMPUTED_VALUE"""),"N/A")</f>
        <v>N/A</v>
      </c>
      <c r="L686" s="97">
        <f>IFERROR(__xludf.DUMMYFUNCTION("""COMPUTED_VALUE"""),220.0)</f>
        <v>220</v>
      </c>
      <c r="M686" s="97">
        <f>IFERROR(__xludf.DUMMYFUNCTION("""COMPUTED_VALUE"""),50.0)</f>
        <v>50</v>
      </c>
      <c r="N686" s="97"/>
      <c r="O686" s="97" t="str">
        <f>IFERROR(__xludf.DUMMYFUNCTION("""COMPUTED_VALUE"""),"1 x 50W Max")</f>
        <v>1 x 50W Max</v>
      </c>
      <c r="P686" s="97"/>
      <c r="Q686" s="97" t="str">
        <f>IFERROR(__xludf.DUMMYFUNCTION("""COMPUTED_VALUE"""),"-")</f>
        <v>-</v>
      </c>
      <c r="R686" s="97" t="str">
        <f>IFERROR(__xludf.DUMMYFUNCTION("""COMPUTED_VALUE"""),"-")</f>
        <v>-</v>
      </c>
      <c r="S686" s="97" t="str">
        <f>IFERROR(__xludf.DUMMYFUNCTION("""COMPUTED_VALUE"""),"-")</f>
        <v>-</v>
      </c>
      <c r="T686" s="97" t="str">
        <f>IFERROR(__xludf.DUMMYFUNCTION("""COMPUTED_VALUE"""),"-")</f>
        <v>-</v>
      </c>
      <c r="U686" s="97" t="str">
        <f>IFERROR(__xludf.DUMMYFUNCTION("""COMPUTED_VALUE"""),"-")</f>
        <v>-</v>
      </c>
      <c r="V686" s="97" t="str">
        <f>IFERROR(__xludf.DUMMYFUNCTION("""COMPUTED_VALUE"""),"N/A")</f>
        <v>N/A</v>
      </c>
      <c r="W686" s="97" t="str">
        <f>IFERROR(__xludf.DUMMYFUNCTION("""COMPUTED_VALUE"""),"N/A")</f>
        <v>N/A</v>
      </c>
      <c r="X686" s="97" t="str">
        <f>IFERROR(__xludf.DUMMYFUNCTION("""COMPUTED_VALUE"""),"-")</f>
        <v>-</v>
      </c>
      <c r="Y686" s="97" t="str">
        <f>IFERROR(__xludf.DUMMYFUNCTION("""COMPUTED_VALUE"""),"N/A")</f>
        <v>N/A</v>
      </c>
      <c r="Z686" s="97" t="str">
        <f>IFERROR(__xludf.DUMMYFUNCTION("""COMPUTED_VALUE"""),"N/A")</f>
        <v>N/A</v>
      </c>
      <c r="AA686" s="97" t="str">
        <f>IFERROR(__xludf.DUMMYFUNCTION("""COMPUTED_VALUE"""),"N/A")</f>
        <v>N/A</v>
      </c>
      <c r="AB686" s="97" t="str">
        <f>IFERROR(__xludf.DUMMYFUNCTION("""COMPUTED_VALUE"""),"N/A")</f>
        <v>N/A</v>
      </c>
      <c r="AC686" s="97" t="str">
        <f>IFERROR(__xludf.DUMMYFUNCTION("""COMPUTED_VALUE"""),"N/A")</f>
        <v>N/A</v>
      </c>
      <c r="AD686" s="97" t="str">
        <f>IFERROR(__xludf.DUMMYFUNCTION("""COMPUTED_VALUE"""),"IP20")</f>
        <v>IP20</v>
      </c>
      <c r="AE686" s="97" t="str">
        <f>IFERROR(__xludf.DUMMYFUNCTION("""COMPUTED_VALUE"""),"Clase l")</f>
        <v>Clase l</v>
      </c>
      <c r="AF686" s="97" t="str">
        <f>IFERROR(__xludf.DUMMYFUNCTION("""COMPUTED_VALUE"""),"Aplicar")</f>
        <v>Aplicar</v>
      </c>
      <c r="AG686" s="97" t="str">
        <f>IFERROR(__xludf.DUMMYFUNCTION("""COMPUTED_VALUE"""),"150 x 150 x 107")</f>
        <v>150 x 150 x 107</v>
      </c>
      <c r="AH686" s="97" t="str">
        <f>IFERROR(__xludf.DUMMYFUNCTION("""COMPUTED_VALUE"""),"N/A")</f>
        <v>N/A</v>
      </c>
      <c r="AI686" s="97" t="str">
        <f>IFERROR(__xludf.DUMMYFUNCTION("""COMPUTED_VALUE"""),"N/A")</f>
        <v>N/A</v>
      </c>
      <c r="AJ686" s="97" t="str">
        <f>IFERROR(__xludf.DUMMYFUNCTION("""COMPUTED_VALUE"""),"N/A")</f>
        <v>N/A</v>
      </c>
      <c r="AK686" s="97" t="str">
        <f>IFERROR(__xludf.DUMMYFUNCTION("""COMPUTED_VALUE"""),"Acero y Aluminio")</f>
        <v>Acero y Aluminio</v>
      </c>
      <c r="AL686" s="97" t="str">
        <f>IFERROR(__xludf.DUMMYFUNCTION("""COMPUTED_VALUE"""),"Blanco Satinado")</f>
        <v>Blanco Satinado</v>
      </c>
      <c r="AM686" s="97" t="str">
        <f>IFERROR(__xludf.DUMMYFUNCTION("""COMPUTED_VALUE"""),"-")</f>
        <v>-</v>
      </c>
      <c r="AN686" s="97" t="str">
        <f>IFERROR(__xludf.DUMMYFUNCTION("""COMPUTED_VALUE"""),"N/A")</f>
        <v>N/A</v>
      </c>
      <c r="AO686" s="97" t="str">
        <f>IFERROR(__xludf.DUMMYFUNCTION("""COMPUTED_VALUE"""),"3 Años")</f>
        <v>3 Años</v>
      </c>
      <c r="AP686" s="97" t="str">
        <f>IFERROR(__xludf.DUMMYFUNCTION("""COMPUTED_VALUE"""),"No Aplica")</f>
        <v>No Aplica</v>
      </c>
      <c r="AQ686" s="97" t="str">
        <f>IFERROR(__xludf.DUMMYFUNCTION("""COMPUTED_VALUE"""),"No Aplica")</f>
        <v>No Aplica</v>
      </c>
      <c r="AR686" s="97" t="str">
        <f>IFERROR(__xludf.DUMMYFUNCTION("""COMPUTED_VALUE"""),"No Aplica")</f>
        <v>No Aplica</v>
      </c>
      <c r="AS686" s="97"/>
      <c r="AT686" s="97"/>
      <c r="AU686" s="97" t="str">
        <f>IFERROR(__xludf.DUMMYFUNCTION("""COMPUTED_VALUE"""),"Falta")</f>
        <v>Falta</v>
      </c>
      <c r="AV686" s="97" t="str">
        <f>IFERROR(__xludf.DUMMYFUNCTION("""COMPUTED_VALUE"""),"Aplique")</f>
        <v>Aplique</v>
      </c>
      <c r="AW686" s="97" t="str">
        <f>IFERROR(__xludf.DUMMYFUNCTION("""COMPUTED_VALUE"""),"De Techo")</f>
        <v>De Techo</v>
      </c>
      <c r="AX686" s="97" t="str">
        <f>IFERROR(__xludf.DUMMYFUNCTION("""COMPUTED_VALUE"""),"Interior")</f>
        <v>Interior</v>
      </c>
      <c r="AY686" s="97" t="str">
        <f>IFERROR(__xludf.DUMMYFUNCTION("""COMPUTED_VALUE"""),"Cardánico")</f>
        <v>Cardánico</v>
      </c>
      <c r="AZ686" s="97" t="str">
        <f>IFERROR(__xludf.DUMMYFUNCTION("""COMPUTED_VALUE"""),"Incluye zócalo GU10 c/cable 20cm.")</f>
        <v>Incluye zócalo GU10 c/cable 20cm.</v>
      </c>
      <c r="BA686" s="97">
        <f>IFERROR(__xludf.DUMMYFUNCTION("""COMPUTED_VALUE"""),16.0)</f>
        <v>16</v>
      </c>
      <c r="BB686" s="97" t="str">
        <f>IFERROR(__xludf.DUMMYFUNCTION("""COMPUTED_VALUE"""),"-")</f>
        <v>-</v>
      </c>
      <c r="BC686" s="97" t="str">
        <f>IFERROR(__xludf.DUMMYFUNCTION("""COMPUTED_VALUE"""),"-")</f>
        <v>-</v>
      </c>
      <c r="BD686" s="97" t="str">
        <f>IFERROR(__xludf.DUMMYFUNCTION("""COMPUTED_VALUE"""),"BERDY")</f>
        <v>BERDY</v>
      </c>
      <c r="BE686" s="97" t="str">
        <f>IFERROR(__xludf.DUMMYFUNCTION("""COMPUTED_VALUE"""),"Finalizada")</f>
        <v>Finalizada</v>
      </c>
      <c r="BF686" s="97"/>
      <c r="BG686" s="97" t="str">
        <f>IFERROR(__xludf.DUMMYFUNCTION("""COMPUTED_VALUE"""),"Activo")</f>
        <v>Activo</v>
      </c>
    </row>
    <row r="687">
      <c r="A687" s="97">
        <f>IFERROR(__xludf.DUMMYFUNCTION("""COMPUTED_VALUE"""),6446.0)</f>
        <v>6446</v>
      </c>
      <c r="B687" s="97" t="str">
        <f>IFERROR(__xludf.DUMMYFUNCTION("""COMPUTED_VALUE"""),"MILA I NG")</f>
        <v>MILA I NG</v>
      </c>
      <c r="C687" s="97" t="str">
        <f>IFERROR(__xludf.DUMMYFUNCTION("""COMPUTED_VALUE"""),"EMPOTRABLE MILA I NG 1XGU10 AR111 IP20 LEUK")</f>
        <v>EMPOTRABLE MILA I NG 1XGU10 AR111 IP20 LEUK</v>
      </c>
      <c r="D687" s="97">
        <f>IFERROR(__xludf.DUMMYFUNCTION("""COMPUTED_VALUE"""),7.79832875424E12)</f>
        <v>7798328754240</v>
      </c>
      <c r="E687" s="97"/>
      <c r="F687" s="97" t="str">
        <f>IFERROR(__xludf.DUMMYFUNCTION("""COMPUTED_VALUE"""),"1xGU10 AR111")</f>
        <v>1xGU10 AR111</v>
      </c>
      <c r="G687" s="97" t="str">
        <f>IFERROR(__xludf.DUMMYFUNCTION("""COMPUTED_VALUE"""),"N/A")</f>
        <v>N/A</v>
      </c>
      <c r="H687" s="97" t="str">
        <f>IFERROR(__xludf.DUMMYFUNCTION("""COMPUTED_VALUE"""),"N/A")</f>
        <v>N/A</v>
      </c>
      <c r="I687" s="97" t="str">
        <f>IFERROR(__xludf.DUMMYFUNCTION("""COMPUTED_VALUE"""),"N/A")</f>
        <v>N/A</v>
      </c>
      <c r="J687" s="97" t="str">
        <f>IFERROR(__xludf.DUMMYFUNCTION("""COMPUTED_VALUE"""),"N/A")</f>
        <v>N/A</v>
      </c>
      <c r="K687" s="97" t="str">
        <f>IFERROR(__xludf.DUMMYFUNCTION("""COMPUTED_VALUE"""),"N/A")</f>
        <v>N/A</v>
      </c>
      <c r="L687" s="97">
        <f>IFERROR(__xludf.DUMMYFUNCTION("""COMPUTED_VALUE"""),220.0)</f>
        <v>220</v>
      </c>
      <c r="M687" s="97">
        <f>IFERROR(__xludf.DUMMYFUNCTION("""COMPUTED_VALUE"""),50.0)</f>
        <v>50</v>
      </c>
      <c r="N687" s="97"/>
      <c r="O687" s="97" t="str">
        <f>IFERROR(__xludf.DUMMYFUNCTION("""COMPUTED_VALUE"""),"1 x 50W Max")</f>
        <v>1 x 50W Max</v>
      </c>
      <c r="P687" s="97"/>
      <c r="Q687" s="97" t="str">
        <f>IFERROR(__xludf.DUMMYFUNCTION("""COMPUTED_VALUE"""),"-")</f>
        <v>-</v>
      </c>
      <c r="R687" s="97" t="str">
        <f>IFERROR(__xludf.DUMMYFUNCTION("""COMPUTED_VALUE"""),"-")</f>
        <v>-</v>
      </c>
      <c r="S687" s="97" t="str">
        <f>IFERROR(__xludf.DUMMYFUNCTION("""COMPUTED_VALUE"""),"-")</f>
        <v>-</v>
      </c>
      <c r="T687" s="97" t="str">
        <f>IFERROR(__xludf.DUMMYFUNCTION("""COMPUTED_VALUE"""),"-")</f>
        <v>-</v>
      </c>
      <c r="U687" s="97" t="str">
        <f>IFERROR(__xludf.DUMMYFUNCTION("""COMPUTED_VALUE"""),"-")</f>
        <v>-</v>
      </c>
      <c r="V687" s="97" t="str">
        <f>IFERROR(__xludf.DUMMYFUNCTION("""COMPUTED_VALUE"""),"N/A")</f>
        <v>N/A</v>
      </c>
      <c r="W687" s="97" t="str">
        <f>IFERROR(__xludf.DUMMYFUNCTION("""COMPUTED_VALUE"""),"N/A")</f>
        <v>N/A</v>
      </c>
      <c r="X687" s="97" t="str">
        <f>IFERROR(__xludf.DUMMYFUNCTION("""COMPUTED_VALUE"""),"-")</f>
        <v>-</v>
      </c>
      <c r="Y687" s="97" t="str">
        <f>IFERROR(__xludf.DUMMYFUNCTION("""COMPUTED_VALUE"""),"N/A")</f>
        <v>N/A</v>
      </c>
      <c r="Z687" s="97" t="str">
        <f>IFERROR(__xludf.DUMMYFUNCTION("""COMPUTED_VALUE"""),"N/A")</f>
        <v>N/A</v>
      </c>
      <c r="AA687" s="97" t="str">
        <f>IFERROR(__xludf.DUMMYFUNCTION("""COMPUTED_VALUE"""),"N/A")</f>
        <v>N/A</v>
      </c>
      <c r="AB687" s="97" t="str">
        <f>IFERROR(__xludf.DUMMYFUNCTION("""COMPUTED_VALUE"""),"N/A")</f>
        <v>N/A</v>
      </c>
      <c r="AC687" s="97" t="str">
        <f>IFERROR(__xludf.DUMMYFUNCTION("""COMPUTED_VALUE"""),"N/A")</f>
        <v>N/A</v>
      </c>
      <c r="AD687" s="97" t="str">
        <f>IFERROR(__xludf.DUMMYFUNCTION("""COMPUTED_VALUE"""),"IP20")</f>
        <v>IP20</v>
      </c>
      <c r="AE687" s="97" t="str">
        <f>IFERROR(__xludf.DUMMYFUNCTION("""COMPUTED_VALUE"""),"Clase l")</f>
        <v>Clase l</v>
      </c>
      <c r="AF687" s="97" t="str">
        <f>IFERROR(__xludf.DUMMYFUNCTION("""COMPUTED_VALUE"""),"Embutir")</f>
        <v>Embutir</v>
      </c>
      <c r="AG687" s="97" t="str">
        <f>IFERROR(__xludf.DUMMYFUNCTION("""COMPUTED_VALUE"""),"170 x 170 x 99")</f>
        <v>170 x 170 x 99</v>
      </c>
      <c r="AH687" s="97" t="str">
        <f>IFERROR(__xludf.DUMMYFUNCTION("""COMPUTED_VALUE"""),"154 x 154")</f>
        <v>154 x 154</v>
      </c>
      <c r="AI687" s="97">
        <f>IFERROR(__xludf.DUMMYFUNCTION("""COMPUTED_VALUE"""),105.0)</f>
        <v>105</v>
      </c>
      <c r="AJ687" s="97" t="str">
        <f>IFERROR(__xludf.DUMMYFUNCTION("""COMPUTED_VALUE"""),"N/A")</f>
        <v>N/A</v>
      </c>
      <c r="AK687" s="97" t="str">
        <f>IFERROR(__xludf.DUMMYFUNCTION("""COMPUTED_VALUE"""),"Acero y Aluminio")</f>
        <v>Acero y Aluminio</v>
      </c>
      <c r="AL687" s="97" t="str">
        <f>IFERROR(__xludf.DUMMYFUNCTION("""COMPUTED_VALUE"""),"Negro Satinado")</f>
        <v>Negro Satinado</v>
      </c>
      <c r="AM687" s="97" t="str">
        <f>IFERROR(__xludf.DUMMYFUNCTION("""COMPUTED_VALUE"""),"-")</f>
        <v>-</v>
      </c>
      <c r="AN687" s="97" t="str">
        <f>IFERROR(__xludf.DUMMYFUNCTION("""COMPUTED_VALUE"""),"N/A")</f>
        <v>N/A</v>
      </c>
      <c r="AO687" s="97" t="str">
        <f>IFERROR(__xludf.DUMMYFUNCTION("""COMPUTED_VALUE"""),"3 Años")</f>
        <v>3 Años</v>
      </c>
      <c r="AP687" s="97" t="str">
        <f>IFERROR(__xludf.DUMMYFUNCTION("""COMPUTED_VALUE"""),"No Aplica")</f>
        <v>No Aplica</v>
      </c>
      <c r="AQ687" s="97" t="str">
        <f>IFERROR(__xludf.DUMMYFUNCTION("""COMPUTED_VALUE"""),"No Aplica")</f>
        <v>No Aplica</v>
      </c>
      <c r="AR687" s="97" t="str">
        <f>IFERROR(__xludf.DUMMYFUNCTION("""COMPUTED_VALUE"""),"No Aplica")</f>
        <v>No Aplica</v>
      </c>
      <c r="AS687" s="97"/>
      <c r="AT687" s="97"/>
      <c r="AU687" s="97" t="str">
        <f>IFERROR(__xludf.DUMMYFUNCTION("""COMPUTED_VALUE"""),"Falta")</f>
        <v>Falta</v>
      </c>
      <c r="AV687" s="97" t="str">
        <f>IFERROR(__xludf.DUMMYFUNCTION("""COMPUTED_VALUE"""),"Empotrable")</f>
        <v>Empotrable</v>
      </c>
      <c r="AW687" s="97" t="str">
        <f>IFERROR(__xludf.DUMMYFUNCTION("""COMPUTED_VALUE"""),"De Techo")</f>
        <v>De Techo</v>
      </c>
      <c r="AX687" s="97" t="str">
        <f>IFERROR(__xludf.DUMMYFUNCTION("""COMPUTED_VALUE"""),"Interior")</f>
        <v>Interior</v>
      </c>
      <c r="AY687" s="97" t="str">
        <f>IFERROR(__xludf.DUMMYFUNCTION("""COMPUTED_VALUE"""),"Cardánico")</f>
        <v>Cardánico</v>
      </c>
      <c r="AZ687" s="97" t="str">
        <f>IFERROR(__xludf.DUMMYFUNCTION("""COMPUTED_VALUE"""),"Incluye zócalo GU10 c/cable 20cm.")</f>
        <v>Incluye zócalo GU10 c/cable 20cm.</v>
      </c>
      <c r="BA687" s="97">
        <f>IFERROR(__xludf.DUMMYFUNCTION("""COMPUTED_VALUE"""),20.0)</f>
        <v>20</v>
      </c>
      <c r="BB687" s="97" t="str">
        <f>IFERROR(__xludf.DUMMYFUNCTION("""COMPUTED_VALUE"""),"-")</f>
        <v>-</v>
      </c>
      <c r="BC687" s="97" t="str">
        <f>IFERROR(__xludf.DUMMYFUNCTION("""COMPUTED_VALUE"""),"-")</f>
        <v>-</v>
      </c>
      <c r="BD687" s="97" t="str">
        <f>IFERROR(__xludf.DUMMYFUNCTION("""COMPUTED_VALUE"""),"MILA ")</f>
        <v>MILA </v>
      </c>
      <c r="BE687" s="97" t="str">
        <f>IFERROR(__xludf.DUMMYFUNCTION("""COMPUTED_VALUE"""),"Finalizada")</f>
        <v>Finalizada</v>
      </c>
      <c r="BF687" s="97"/>
      <c r="BG687" s="97" t="str">
        <f>IFERROR(__xludf.DUMMYFUNCTION("""COMPUTED_VALUE"""),"Activo")</f>
        <v>Activo</v>
      </c>
    </row>
    <row r="688">
      <c r="A688" s="97">
        <f>IFERROR(__xludf.DUMMYFUNCTION("""COMPUTED_VALUE"""),6447.0)</f>
        <v>6447</v>
      </c>
      <c r="B688" s="97" t="str">
        <f>IFERROR(__xludf.DUMMYFUNCTION("""COMPUTED_VALUE"""),"MILA I BL")</f>
        <v>MILA I BL</v>
      </c>
      <c r="C688" s="97" t="str">
        <f>IFERROR(__xludf.DUMMYFUNCTION("""COMPUTED_VALUE"""),"EMPOTRABLE MILA I BL 1XGU10 AR111 IP20 LEUK")</f>
        <v>EMPOTRABLE MILA I BL 1XGU10 AR111 IP20 LEUK</v>
      </c>
      <c r="D688" s="97">
        <f>IFERROR(__xludf.DUMMYFUNCTION("""COMPUTED_VALUE"""),7.798328754257E12)</f>
        <v>7798328754257</v>
      </c>
      <c r="E688" s="97" t="str">
        <f>IFERROR(__xludf.DUMMYFUNCTION("""COMPUTED_VALUE"""),"b145")</f>
        <v>b145</v>
      </c>
      <c r="F688" s="97" t="str">
        <f>IFERROR(__xludf.DUMMYFUNCTION("""COMPUTED_VALUE"""),"1xGU10 AR111")</f>
        <v>1xGU10 AR111</v>
      </c>
      <c r="G688" s="97" t="str">
        <f>IFERROR(__xludf.DUMMYFUNCTION("""COMPUTED_VALUE"""),"N/A")</f>
        <v>N/A</v>
      </c>
      <c r="H688" s="97" t="str">
        <f>IFERROR(__xludf.DUMMYFUNCTION("""COMPUTED_VALUE"""),"N/A")</f>
        <v>N/A</v>
      </c>
      <c r="I688" s="97" t="str">
        <f>IFERROR(__xludf.DUMMYFUNCTION("""COMPUTED_VALUE"""),"N/A")</f>
        <v>N/A</v>
      </c>
      <c r="J688" s="97" t="str">
        <f>IFERROR(__xludf.DUMMYFUNCTION("""COMPUTED_VALUE"""),"N/A")</f>
        <v>N/A</v>
      </c>
      <c r="K688" s="97" t="str">
        <f>IFERROR(__xludf.DUMMYFUNCTION("""COMPUTED_VALUE"""),"N/A")</f>
        <v>N/A</v>
      </c>
      <c r="L688" s="97">
        <f>IFERROR(__xludf.DUMMYFUNCTION("""COMPUTED_VALUE"""),220.0)</f>
        <v>220</v>
      </c>
      <c r="M688" s="97">
        <f>IFERROR(__xludf.DUMMYFUNCTION("""COMPUTED_VALUE"""),50.0)</f>
        <v>50</v>
      </c>
      <c r="N688" s="97"/>
      <c r="O688" s="97" t="str">
        <f>IFERROR(__xludf.DUMMYFUNCTION("""COMPUTED_VALUE"""),"1 x 50W Max")</f>
        <v>1 x 50W Max</v>
      </c>
      <c r="P688" s="97"/>
      <c r="Q688" s="97" t="str">
        <f>IFERROR(__xludf.DUMMYFUNCTION("""COMPUTED_VALUE"""),"-")</f>
        <v>-</v>
      </c>
      <c r="R688" s="97" t="str">
        <f>IFERROR(__xludf.DUMMYFUNCTION("""COMPUTED_VALUE"""),"-")</f>
        <v>-</v>
      </c>
      <c r="S688" s="97" t="str">
        <f>IFERROR(__xludf.DUMMYFUNCTION("""COMPUTED_VALUE"""),"-")</f>
        <v>-</v>
      </c>
      <c r="T688" s="97" t="str">
        <f>IFERROR(__xludf.DUMMYFUNCTION("""COMPUTED_VALUE"""),"-")</f>
        <v>-</v>
      </c>
      <c r="U688" s="97" t="str">
        <f>IFERROR(__xludf.DUMMYFUNCTION("""COMPUTED_VALUE"""),"-")</f>
        <v>-</v>
      </c>
      <c r="V688" s="97" t="str">
        <f>IFERROR(__xludf.DUMMYFUNCTION("""COMPUTED_VALUE"""),"N/A")</f>
        <v>N/A</v>
      </c>
      <c r="W688" s="97" t="str">
        <f>IFERROR(__xludf.DUMMYFUNCTION("""COMPUTED_VALUE"""),"N/A")</f>
        <v>N/A</v>
      </c>
      <c r="X688" s="97" t="str">
        <f>IFERROR(__xludf.DUMMYFUNCTION("""COMPUTED_VALUE"""),"-")</f>
        <v>-</v>
      </c>
      <c r="Y688" s="97" t="str">
        <f>IFERROR(__xludf.DUMMYFUNCTION("""COMPUTED_VALUE"""),"N/A")</f>
        <v>N/A</v>
      </c>
      <c r="Z688" s="97" t="str">
        <f>IFERROR(__xludf.DUMMYFUNCTION("""COMPUTED_VALUE"""),"N/A")</f>
        <v>N/A</v>
      </c>
      <c r="AA688" s="97" t="str">
        <f>IFERROR(__xludf.DUMMYFUNCTION("""COMPUTED_VALUE"""),"N/A")</f>
        <v>N/A</v>
      </c>
      <c r="AB688" s="97" t="str">
        <f>IFERROR(__xludf.DUMMYFUNCTION("""COMPUTED_VALUE"""),"N/A")</f>
        <v>N/A</v>
      </c>
      <c r="AC688" s="97" t="str">
        <f>IFERROR(__xludf.DUMMYFUNCTION("""COMPUTED_VALUE"""),"N/A")</f>
        <v>N/A</v>
      </c>
      <c r="AD688" s="97" t="str">
        <f>IFERROR(__xludf.DUMMYFUNCTION("""COMPUTED_VALUE"""),"IP20")</f>
        <v>IP20</v>
      </c>
      <c r="AE688" s="97" t="str">
        <f>IFERROR(__xludf.DUMMYFUNCTION("""COMPUTED_VALUE"""),"Clase l")</f>
        <v>Clase l</v>
      </c>
      <c r="AF688" s="97" t="str">
        <f>IFERROR(__xludf.DUMMYFUNCTION("""COMPUTED_VALUE"""),"Embutir")</f>
        <v>Embutir</v>
      </c>
      <c r="AG688" s="97" t="str">
        <f>IFERROR(__xludf.DUMMYFUNCTION("""COMPUTED_VALUE"""),"170 x 170 x 99")</f>
        <v>170 x 170 x 99</v>
      </c>
      <c r="AH688" s="97" t="str">
        <f>IFERROR(__xludf.DUMMYFUNCTION("""COMPUTED_VALUE"""),"154 x 154")</f>
        <v>154 x 154</v>
      </c>
      <c r="AI688" s="97">
        <f>IFERROR(__xludf.DUMMYFUNCTION("""COMPUTED_VALUE"""),105.0)</f>
        <v>105</v>
      </c>
      <c r="AJ688" s="97" t="str">
        <f>IFERROR(__xludf.DUMMYFUNCTION("""COMPUTED_VALUE"""),"N/A")</f>
        <v>N/A</v>
      </c>
      <c r="AK688" s="97" t="str">
        <f>IFERROR(__xludf.DUMMYFUNCTION("""COMPUTED_VALUE"""),"Acero y Aluminio")</f>
        <v>Acero y Aluminio</v>
      </c>
      <c r="AL688" s="97" t="str">
        <f>IFERROR(__xludf.DUMMYFUNCTION("""COMPUTED_VALUE"""),"Blanco Satinado")</f>
        <v>Blanco Satinado</v>
      </c>
      <c r="AM688" s="97" t="str">
        <f>IFERROR(__xludf.DUMMYFUNCTION("""COMPUTED_VALUE"""),"-")</f>
        <v>-</v>
      </c>
      <c r="AN688" s="97" t="str">
        <f>IFERROR(__xludf.DUMMYFUNCTION("""COMPUTED_VALUE"""),"N/A")</f>
        <v>N/A</v>
      </c>
      <c r="AO688" s="97" t="str">
        <f>IFERROR(__xludf.DUMMYFUNCTION("""COMPUTED_VALUE"""),"3 Años")</f>
        <v>3 Años</v>
      </c>
      <c r="AP688" s="97" t="str">
        <f>IFERROR(__xludf.DUMMYFUNCTION("""COMPUTED_VALUE"""),"No Aplica")</f>
        <v>No Aplica</v>
      </c>
      <c r="AQ688" s="97" t="str">
        <f>IFERROR(__xludf.DUMMYFUNCTION("""COMPUTED_VALUE"""),"No Aplica")</f>
        <v>No Aplica</v>
      </c>
      <c r="AR688" s="97" t="str">
        <f>IFERROR(__xludf.DUMMYFUNCTION("""COMPUTED_VALUE"""),"No Aplica")</f>
        <v>No Aplica</v>
      </c>
      <c r="AS688" s="97"/>
      <c r="AT688" s="97"/>
      <c r="AU688" s="97" t="str">
        <f>IFERROR(__xludf.DUMMYFUNCTION("""COMPUTED_VALUE"""),"Falta")</f>
        <v>Falta</v>
      </c>
      <c r="AV688" s="97" t="str">
        <f>IFERROR(__xludf.DUMMYFUNCTION("""COMPUTED_VALUE"""),"Empotrable")</f>
        <v>Empotrable</v>
      </c>
      <c r="AW688" s="97" t="str">
        <f>IFERROR(__xludf.DUMMYFUNCTION("""COMPUTED_VALUE"""),"De Techo")</f>
        <v>De Techo</v>
      </c>
      <c r="AX688" s="97" t="str">
        <f>IFERROR(__xludf.DUMMYFUNCTION("""COMPUTED_VALUE"""),"Interior")</f>
        <v>Interior</v>
      </c>
      <c r="AY688" s="97" t="str">
        <f>IFERROR(__xludf.DUMMYFUNCTION("""COMPUTED_VALUE"""),"Cardánico")</f>
        <v>Cardánico</v>
      </c>
      <c r="AZ688" s="97" t="str">
        <f>IFERROR(__xludf.DUMMYFUNCTION("""COMPUTED_VALUE"""),"Incluye zócalo GU10 c/cable 20cm.")</f>
        <v>Incluye zócalo GU10 c/cable 20cm.</v>
      </c>
      <c r="BA688" s="97">
        <f>IFERROR(__xludf.DUMMYFUNCTION("""COMPUTED_VALUE"""),8.0)</f>
        <v>8</v>
      </c>
      <c r="BB688" s="97" t="str">
        <f>IFERROR(__xludf.DUMMYFUNCTION("""COMPUTED_VALUE"""),"-")</f>
        <v>-</v>
      </c>
      <c r="BC688" s="97" t="str">
        <f>IFERROR(__xludf.DUMMYFUNCTION("""COMPUTED_VALUE"""),"-")</f>
        <v>-</v>
      </c>
      <c r="BD688" s="97" t="str">
        <f>IFERROR(__xludf.DUMMYFUNCTION("""COMPUTED_VALUE"""),"MILA ")</f>
        <v>MILA </v>
      </c>
      <c r="BE688" s="97" t="str">
        <f>IFERROR(__xludf.DUMMYFUNCTION("""COMPUTED_VALUE"""),"Finalizada")</f>
        <v>Finalizada</v>
      </c>
      <c r="BF688" s="97"/>
      <c r="BG688" s="97" t="str">
        <f>IFERROR(__xludf.DUMMYFUNCTION("""COMPUTED_VALUE"""),"Activo")</f>
        <v>Activo</v>
      </c>
    </row>
    <row r="689">
      <c r="A689" s="97">
        <f>IFERROR(__xludf.DUMMYFUNCTION("""COMPUTED_VALUE"""),6448.0)</f>
        <v>6448</v>
      </c>
      <c r="B689" s="97" t="str">
        <f>IFERROR(__xludf.DUMMYFUNCTION("""COMPUTED_VALUE"""),"ANTON II NG")</f>
        <v>ANTON II NG</v>
      </c>
      <c r="C689" s="97" t="str">
        <f>IFERROR(__xludf.DUMMYFUNCTION("""COMPUTED_VALUE"""),"APLIQUE ANTON II NG 2XGU10 DICRO IP20 LEUK")</f>
        <v>APLIQUE ANTON II NG 2XGU10 DICRO IP20 LEUK</v>
      </c>
      <c r="D689" s="97">
        <f>IFERROR(__xludf.DUMMYFUNCTION("""COMPUTED_VALUE"""),7.798328754264E12)</f>
        <v>7798328754264</v>
      </c>
      <c r="E689" s="97"/>
      <c r="F689" s="97" t="str">
        <f>IFERROR(__xludf.DUMMYFUNCTION("""COMPUTED_VALUE"""),"2xGU10 Dicro")</f>
        <v>2xGU10 Dicro</v>
      </c>
      <c r="G689" s="97" t="str">
        <f>IFERROR(__xludf.DUMMYFUNCTION("""COMPUTED_VALUE"""),"N/A")</f>
        <v>N/A</v>
      </c>
      <c r="H689" s="97" t="str">
        <f>IFERROR(__xludf.DUMMYFUNCTION("""COMPUTED_VALUE"""),"N/A")</f>
        <v>N/A</v>
      </c>
      <c r="I689" s="97" t="str">
        <f>IFERROR(__xludf.DUMMYFUNCTION("""COMPUTED_VALUE"""),"N/A")</f>
        <v>N/A</v>
      </c>
      <c r="J689" s="97" t="str">
        <f>IFERROR(__xludf.DUMMYFUNCTION("""COMPUTED_VALUE"""),"N/A")</f>
        <v>N/A</v>
      </c>
      <c r="K689" s="97" t="str">
        <f>IFERROR(__xludf.DUMMYFUNCTION("""COMPUTED_VALUE"""),"N/A")</f>
        <v>N/A</v>
      </c>
      <c r="L689" s="97">
        <f>IFERROR(__xludf.DUMMYFUNCTION("""COMPUTED_VALUE"""),220.0)</f>
        <v>220</v>
      </c>
      <c r="M689" s="97">
        <f>IFERROR(__xludf.DUMMYFUNCTION("""COMPUTED_VALUE"""),50.0)</f>
        <v>50</v>
      </c>
      <c r="N689" s="97"/>
      <c r="O689" s="97" t="str">
        <f>IFERROR(__xludf.DUMMYFUNCTION("""COMPUTED_VALUE"""),"2 x 50W Max")</f>
        <v>2 x 50W Max</v>
      </c>
      <c r="P689" s="97"/>
      <c r="Q689" s="97" t="str">
        <f>IFERROR(__xludf.DUMMYFUNCTION("""COMPUTED_VALUE"""),"-")</f>
        <v>-</v>
      </c>
      <c r="R689" s="97" t="str">
        <f>IFERROR(__xludf.DUMMYFUNCTION("""COMPUTED_VALUE"""),"-")</f>
        <v>-</v>
      </c>
      <c r="S689" s="97" t="str">
        <f>IFERROR(__xludf.DUMMYFUNCTION("""COMPUTED_VALUE"""),"-")</f>
        <v>-</v>
      </c>
      <c r="T689" s="97" t="str">
        <f>IFERROR(__xludf.DUMMYFUNCTION("""COMPUTED_VALUE"""),"-")</f>
        <v>-</v>
      </c>
      <c r="U689" s="97" t="str">
        <f>IFERROR(__xludf.DUMMYFUNCTION("""COMPUTED_VALUE"""),"-")</f>
        <v>-</v>
      </c>
      <c r="V689" s="97" t="str">
        <f>IFERROR(__xludf.DUMMYFUNCTION("""COMPUTED_VALUE"""),"N/A")</f>
        <v>N/A</v>
      </c>
      <c r="W689" s="97" t="str">
        <f>IFERROR(__xludf.DUMMYFUNCTION("""COMPUTED_VALUE"""),"N/A")</f>
        <v>N/A</v>
      </c>
      <c r="X689" s="97" t="str">
        <f>IFERROR(__xludf.DUMMYFUNCTION("""COMPUTED_VALUE"""),"-")</f>
        <v>-</v>
      </c>
      <c r="Y689" s="97" t="str">
        <f>IFERROR(__xludf.DUMMYFUNCTION("""COMPUTED_VALUE"""),"N/A")</f>
        <v>N/A</v>
      </c>
      <c r="Z689" s="97" t="str">
        <f>IFERROR(__xludf.DUMMYFUNCTION("""COMPUTED_VALUE"""),"N/A")</f>
        <v>N/A</v>
      </c>
      <c r="AA689" s="97" t="str">
        <f>IFERROR(__xludf.DUMMYFUNCTION("""COMPUTED_VALUE"""),"N/A")</f>
        <v>N/A</v>
      </c>
      <c r="AB689" s="97" t="str">
        <f>IFERROR(__xludf.DUMMYFUNCTION("""COMPUTED_VALUE"""),"N/A")</f>
        <v>N/A</v>
      </c>
      <c r="AC689" s="97" t="str">
        <f>IFERROR(__xludf.DUMMYFUNCTION("""COMPUTED_VALUE"""),"N/A")</f>
        <v>N/A</v>
      </c>
      <c r="AD689" s="97" t="str">
        <f>IFERROR(__xludf.DUMMYFUNCTION("""COMPUTED_VALUE"""),"IP20")</f>
        <v>IP20</v>
      </c>
      <c r="AE689" s="97" t="str">
        <f>IFERROR(__xludf.DUMMYFUNCTION("""COMPUTED_VALUE"""),"Clase l")</f>
        <v>Clase l</v>
      </c>
      <c r="AF689" s="97" t="str">
        <f>IFERROR(__xludf.DUMMYFUNCTION("""COMPUTED_VALUE"""),"Aplicar")</f>
        <v>Aplicar</v>
      </c>
      <c r="AG689" s="97" t="str">
        <f>IFERROR(__xludf.DUMMYFUNCTION("""COMPUTED_VALUE"""),"166 x 90 x 87")</f>
        <v>166 x 90 x 87</v>
      </c>
      <c r="AH689" s="97" t="str">
        <f>IFERROR(__xludf.DUMMYFUNCTION("""COMPUTED_VALUE"""),"N/A")</f>
        <v>N/A</v>
      </c>
      <c r="AI689" s="97" t="str">
        <f>IFERROR(__xludf.DUMMYFUNCTION("""COMPUTED_VALUE"""),"N/A")</f>
        <v>N/A</v>
      </c>
      <c r="AJ689" s="97" t="str">
        <f>IFERROR(__xludf.DUMMYFUNCTION("""COMPUTED_VALUE"""),"N/A")</f>
        <v>N/A</v>
      </c>
      <c r="AK689" s="97" t="str">
        <f>IFERROR(__xludf.DUMMYFUNCTION("""COMPUTED_VALUE"""),"Acero y Aluminio")</f>
        <v>Acero y Aluminio</v>
      </c>
      <c r="AL689" s="97" t="str">
        <f>IFERROR(__xludf.DUMMYFUNCTION("""COMPUTED_VALUE"""),"Negro Satinado")</f>
        <v>Negro Satinado</v>
      </c>
      <c r="AM689" s="97" t="str">
        <f>IFERROR(__xludf.DUMMYFUNCTION("""COMPUTED_VALUE"""),"-")</f>
        <v>-</v>
      </c>
      <c r="AN689" s="97" t="str">
        <f>IFERROR(__xludf.DUMMYFUNCTION("""COMPUTED_VALUE"""),"N/A")</f>
        <v>N/A</v>
      </c>
      <c r="AO689" s="97" t="str">
        <f>IFERROR(__xludf.DUMMYFUNCTION("""COMPUTED_VALUE"""),"3 Años")</f>
        <v>3 Años</v>
      </c>
      <c r="AP689" s="97" t="str">
        <f>IFERROR(__xludf.DUMMYFUNCTION("""COMPUTED_VALUE"""),"No Aplica")</f>
        <v>No Aplica</v>
      </c>
      <c r="AQ689" s="97" t="str">
        <f>IFERROR(__xludf.DUMMYFUNCTION("""COMPUTED_VALUE"""),"No Aplica")</f>
        <v>No Aplica</v>
      </c>
      <c r="AR689" s="97" t="str">
        <f>IFERROR(__xludf.DUMMYFUNCTION("""COMPUTED_VALUE"""),"No Aplica")</f>
        <v>No Aplica</v>
      </c>
      <c r="AS689" s="97"/>
      <c r="AT689" s="97"/>
      <c r="AU689" s="97" t="str">
        <f>IFERROR(__xludf.DUMMYFUNCTION("""COMPUTED_VALUE"""),"Falta")</f>
        <v>Falta</v>
      </c>
      <c r="AV689" s="97" t="str">
        <f>IFERROR(__xludf.DUMMYFUNCTION("""COMPUTED_VALUE"""),"Aplique")</f>
        <v>Aplique</v>
      </c>
      <c r="AW689" s="97" t="str">
        <f>IFERROR(__xludf.DUMMYFUNCTION("""COMPUTED_VALUE"""),"De Techo")</f>
        <v>De Techo</v>
      </c>
      <c r="AX689" s="97" t="str">
        <f>IFERROR(__xludf.DUMMYFUNCTION("""COMPUTED_VALUE"""),"Interior")</f>
        <v>Interior</v>
      </c>
      <c r="AY689" s="97" t="str">
        <f>IFERROR(__xludf.DUMMYFUNCTION("""COMPUTED_VALUE"""),"Cardánico")</f>
        <v>Cardánico</v>
      </c>
      <c r="AZ689" s="97" t="str">
        <f>IFERROR(__xludf.DUMMYFUNCTION("""COMPUTED_VALUE"""),"Incluye zócalo GU10 c/cable 20cm.")</f>
        <v>Incluye zócalo GU10 c/cable 20cm.</v>
      </c>
      <c r="BA689" s="97">
        <f>IFERROR(__xludf.DUMMYFUNCTION("""COMPUTED_VALUE"""),40.0)</f>
        <v>40</v>
      </c>
      <c r="BB689" s="97" t="str">
        <f>IFERROR(__xludf.DUMMYFUNCTION("""COMPUTED_VALUE"""),"-")</f>
        <v>-</v>
      </c>
      <c r="BC689" s="97" t="str">
        <f>IFERROR(__xludf.DUMMYFUNCTION("""COMPUTED_VALUE"""),"-")</f>
        <v>-</v>
      </c>
      <c r="BD689" s="97" t="str">
        <f>IFERROR(__xludf.DUMMYFUNCTION("""COMPUTED_VALUE"""),"ANTON")</f>
        <v>ANTON</v>
      </c>
      <c r="BE689" s="97" t="str">
        <f>IFERROR(__xludf.DUMMYFUNCTION("""COMPUTED_VALUE"""),"Finalizada")</f>
        <v>Finalizada</v>
      </c>
      <c r="BF689" s="97"/>
      <c r="BG689" s="97" t="str">
        <f>IFERROR(__xludf.DUMMYFUNCTION("""COMPUTED_VALUE"""),"Activo")</f>
        <v>Activo</v>
      </c>
    </row>
    <row r="690">
      <c r="A690" s="97">
        <f>IFERROR(__xludf.DUMMYFUNCTION("""COMPUTED_VALUE"""),6449.0)</f>
        <v>6449</v>
      </c>
      <c r="B690" s="97" t="str">
        <f>IFERROR(__xludf.DUMMYFUNCTION("""COMPUTED_VALUE"""),"ANTON II BL")</f>
        <v>ANTON II BL</v>
      </c>
      <c r="C690" s="97" t="str">
        <f>IFERROR(__xludf.DUMMYFUNCTION("""COMPUTED_VALUE"""),"APLIQUE ANTON II BL 2XGU10 DICRO IP20 LEUK")</f>
        <v>APLIQUE ANTON II BL 2XGU10 DICRO IP20 LEUK</v>
      </c>
      <c r="D690" s="97">
        <f>IFERROR(__xludf.DUMMYFUNCTION("""COMPUTED_VALUE"""),7.798328754271E12)</f>
        <v>7798328754271</v>
      </c>
      <c r="E690" s="97"/>
      <c r="F690" s="97" t="str">
        <f>IFERROR(__xludf.DUMMYFUNCTION("""COMPUTED_VALUE"""),"2xGU10 Dicro")</f>
        <v>2xGU10 Dicro</v>
      </c>
      <c r="G690" s="97" t="str">
        <f>IFERROR(__xludf.DUMMYFUNCTION("""COMPUTED_VALUE"""),"N/A")</f>
        <v>N/A</v>
      </c>
      <c r="H690" s="97" t="str">
        <f>IFERROR(__xludf.DUMMYFUNCTION("""COMPUTED_VALUE"""),"N/A")</f>
        <v>N/A</v>
      </c>
      <c r="I690" s="97" t="str">
        <f>IFERROR(__xludf.DUMMYFUNCTION("""COMPUTED_VALUE"""),"N/A")</f>
        <v>N/A</v>
      </c>
      <c r="J690" s="97" t="str">
        <f>IFERROR(__xludf.DUMMYFUNCTION("""COMPUTED_VALUE"""),"N/A")</f>
        <v>N/A</v>
      </c>
      <c r="K690" s="97" t="str">
        <f>IFERROR(__xludf.DUMMYFUNCTION("""COMPUTED_VALUE"""),"N/A")</f>
        <v>N/A</v>
      </c>
      <c r="L690" s="97">
        <f>IFERROR(__xludf.DUMMYFUNCTION("""COMPUTED_VALUE"""),220.0)</f>
        <v>220</v>
      </c>
      <c r="M690" s="97">
        <f>IFERROR(__xludf.DUMMYFUNCTION("""COMPUTED_VALUE"""),50.0)</f>
        <v>50</v>
      </c>
      <c r="N690" s="97"/>
      <c r="O690" s="97" t="str">
        <f>IFERROR(__xludf.DUMMYFUNCTION("""COMPUTED_VALUE"""),"2 x 50W Max")</f>
        <v>2 x 50W Max</v>
      </c>
      <c r="P690" s="97"/>
      <c r="Q690" s="97" t="str">
        <f>IFERROR(__xludf.DUMMYFUNCTION("""COMPUTED_VALUE"""),"-")</f>
        <v>-</v>
      </c>
      <c r="R690" s="97" t="str">
        <f>IFERROR(__xludf.DUMMYFUNCTION("""COMPUTED_VALUE"""),"-")</f>
        <v>-</v>
      </c>
      <c r="S690" s="97" t="str">
        <f>IFERROR(__xludf.DUMMYFUNCTION("""COMPUTED_VALUE"""),"-")</f>
        <v>-</v>
      </c>
      <c r="T690" s="97" t="str">
        <f>IFERROR(__xludf.DUMMYFUNCTION("""COMPUTED_VALUE"""),"-")</f>
        <v>-</v>
      </c>
      <c r="U690" s="97" t="str">
        <f>IFERROR(__xludf.DUMMYFUNCTION("""COMPUTED_VALUE"""),"-")</f>
        <v>-</v>
      </c>
      <c r="V690" s="97" t="str">
        <f>IFERROR(__xludf.DUMMYFUNCTION("""COMPUTED_VALUE"""),"N/A")</f>
        <v>N/A</v>
      </c>
      <c r="W690" s="97" t="str">
        <f>IFERROR(__xludf.DUMMYFUNCTION("""COMPUTED_VALUE"""),"N/A")</f>
        <v>N/A</v>
      </c>
      <c r="X690" s="97" t="str">
        <f>IFERROR(__xludf.DUMMYFUNCTION("""COMPUTED_VALUE"""),"-")</f>
        <v>-</v>
      </c>
      <c r="Y690" s="97" t="str">
        <f>IFERROR(__xludf.DUMMYFUNCTION("""COMPUTED_VALUE"""),"N/A")</f>
        <v>N/A</v>
      </c>
      <c r="Z690" s="97" t="str">
        <f>IFERROR(__xludf.DUMMYFUNCTION("""COMPUTED_VALUE"""),"N/A")</f>
        <v>N/A</v>
      </c>
      <c r="AA690" s="97" t="str">
        <f>IFERROR(__xludf.DUMMYFUNCTION("""COMPUTED_VALUE"""),"N/A")</f>
        <v>N/A</v>
      </c>
      <c r="AB690" s="97" t="str">
        <f>IFERROR(__xludf.DUMMYFUNCTION("""COMPUTED_VALUE"""),"N/A")</f>
        <v>N/A</v>
      </c>
      <c r="AC690" s="97" t="str">
        <f>IFERROR(__xludf.DUMMYFUNCTION("""COMPUTED_VALUE"""),"N/A")</f>
        <v>N/A</v>
      </c>
      <c r="AD690" s="97" t="str">
        <f>IFERROR(__xludf.DUMMYFUNCTION("""COMPUTED_VALUE"""),"IP20")</f>
        <v>IP20</v>
      </c>
      <c r="AE690" s="97" t="str">
        <f>IFERROR(__xludf.DUMMYFUNCTION("""COMPUTED_VALUE"""),"Clase l")</f>
        <v>Clase l</v>
      </c>
      <c r="AF690" s="97" t="str">
        <f>IFERROR(__xludf.DUMMYFUNCTION("""COMPUTED_VALUE"""),"Aplicar")</f>
        <v>Aplicar</v>
      </c>
      <c r="AG690" s="97" t="str">
        <f>IFERROR(__xludf.DUMMYFUNCTION("""COMPUTED_VALUE"""),"166 x 90 x 87")</f>
        <v>166 x 90 x 87</v>
      </c>
      <c r="AH690" s="97" t="str">
        <f>IFERROR(__xludf.DUMMYFUNCTION("""COMPUTED_VALUE"""),"N/A")</f>
        <v>N/A</v>
      </c>
      <c r="AI690" s="97" t="str">
        <f>IFERROR(__xludf.DUMMYFUNCTION("""COMPUTED_VALUE"""),"N/A")</f>
        <v>N/A</v>
      </c>
      <c r="AJ690" s="97" t="str">
        <f>IFERROR(__xludf.DUMMYFUNCTION("""COMPUTED_VALUE"""),"N/A")</f>
        <v>N/A</v>
      </c>
      <c r="AK690" s="97" t="str">
        <f>IFERROR(__xludf.DUMMYFUNCTION("""COMPUTED_VALUE"""),"Acero y Aluminio")</f>
        <v>Acero y Aluminio</v>
      </c>
      <c r="AL690" s="97" t="str">
        <f>IFERROR(__xludf.DUMMYFUNCTION("""COMPUTED_VALUE"""),"Blanco Satinado")</f>
        <v>Blanco Satinado</v>
      </c>
      <c r="AM690" s="97" t="str">
        <f>IFERROR(__xludf.DUMMYFUNCTION("""COMPUTED_VALUE"""),"-")</f>
        <v>-</v>
      </c>
      <c r="AN690" s="97" t="str">
        <f>IFERROR(__xludf.DUMMYFUNCTION("""COMPUTED_VALUE"""),"N/A")</f>
        <v>N/A</v>
      </c>
      <c r="AO690" s="97" t="str">
        <f>IFERROR(__xludf.DUMMYFUNCTION("""COMPUTED_VALUE"""),"3 Años")</f>
        <v>3 Años</v>
      </c>
      <c r="AP690" s="97" t="str">
        <f>IFERROR(__xludf.DUMMYFUNCTION("""COMPUTED_VALUE"""),"No Aplica")</f>
        <v>No Aplica</v>
      </c>
      <c r="AQ690" s="97" t="str">
        <f>IFERROR(__xludf.DUMMYFUNCTION("""COMPUTED_VALUE"""),"No Aplica")</f>
        <v>No Aplica</v>
      </c>
      <c r="AR690" s="97" t="str">
        <f>IFERROR(__xludf.DUMMYFUNCTION("""COMPUTED_VALUE"""),"No Aplica")</f>
        <v>No Aplica</v>
      </c>
      <c r="AS690" s="97"/>
      <c r="AT690" s="97"/>
      <c r="AU690" s="97" t="str">
        <f>IFERROR(__xludf.DUMMYFUNCTION("""COMPUTED_VALUE"""),"Falta")</f>
        <v>Falta</v>
      </c>
      <c r="AV690" s="97" t="str">
        <f>IFERROR(__xludf.DUMMYFUNCTION("""COMPUTED_VALUE"""),"Aplique")</f>
        <v>Aplique</v>
      </c>
      <c r="AW690" s="97" t="str">
        <f>IFERROR(__xludf.DUMMYFUNCTION("""COMPUTED_VALUE"""),"De Techo")</f>
        <v>De Techo</v>
      </c>
      <c r="AX690" s="97" t="str">
        <f>IFERROR(__xludf.DUMMYFUNCTION("""COMPUTED_VALUE"""),"Interior")</f>
        <v>Interior</v>
      </c>
      <c r="AY690" s="97" t="str">
        <f>IFERROR(__xludf.DUMMYFUNCTION("""COMPUTED_VALUE"""),"Cardánico")</f>
        <v>Cardánico</v>
      </c>
      <c r="AZ690" s="97" t="str">
        <f>IFERROR(__xludf.DUMMYFUNCTION("""COMPUTED_VALUE"""),"Incluye zócalo GU10 c/cable 20cm.")</f>
        <v>Incluye zócalo GU10 c/cable 20cm.</v>
      </c>
      <c r="BA690" s="97">
        <f>IFERROR(__xludf.DUMMYFUNCTION("""COMPUTED_VALUE"""),40.0)</f>
        <v>40</v>
      </c>
      <c r="BB690" s="97" t="str">
        <f>IFERROR(__xludf.DUMMYFUNCTION("""COMPUTED_VALUE"""),"-")</f>
        <v>-</v>
      </c>
      <c r="BC690" s="97" t="str">
        <f>IFERROR(__xludf.DUMMYFUNCTION("""COMPUTED_VALUE"""),"-")</f>
        <v>-</v>
      </c>
      <c r="BD690" s="97" t="str">
        <f>IFERROR(__xludf.DUMMYFUNCTION("""COMPUTED_VALUE"""),"ANTON")</f>
        <v>ANTON</v>
      </c>
      <c r="BE690" s="97" t="str">
        <f>IFERROR(__xludf.DUMMYFUNCTION("""COMPUTED_VALUE"""),"Finalizada")</f>
        <v>Finalizada</v>
      </c>
      <c r="BF690" s="97"/>
      <c r="BG690" s="97" t="str">
        <f>IFERROR(__xludf.DUMMYFUNCTION("""COMPUTED_VALUE"""),"Activo")</f>
        <v>Activo</v>
      </c>
    </row>
    <row r="691">
      <c r="A691" s="97">
        <f>IFERROR(__xludf.DUMMYFUNCTION("""COMPUTED_VALUE"""),6450.0)</f>
        <v>6450</v>
      </c>
      <c r="B691" s="97" t="str">
        <f>IFERROR(__xludf.DUMMYFUNCTION("""COMPUTED_VALUE"""),"KAROL II NG")</f>
        <v>KAROL II NG</v>
      </c>
      <c r="C691" s="97" t="str">
        <f>IFERROR(__xludf.DUMMYFUNCTION("""COMPUTED_VALUE"""),"EMPOTRABLE KAROL II NG 2XGU10 DICRO IP20 LEUK")</f>
        <v>EMPOTRABLE KAROL II NG 2XGU10 DICRO IP20 LEUK</v>
      </c>
      <c r="D691" s="97">
        <f>IFERROR(__xludf.DUMMYFUNCTION("""COMPUTED_VALUE"""),7.798328754288E12)</f>
        <v>7798328754288</v>
      </c>
      <c r="E691" s="97"/>
      <c r="F691" s="97" t="str">
        <f>IFERROR(__xludf.DUMMYFUNCTION("""COMPUTED_VALUE"""),"2xGU10 Dicro")</f>
        <v>2xGU10 Dicro</v>
      </c>
      <c r="G691" s="97" t="str">
        <f>IFERROR(__xludf.DUMMYFUNCTION("""COMPUTED_VALUE"""),"N/A")</f>
        <v>N/A</v>
      </c>
      <c r="H691" s="97" t="str">
        <f>IFERROR(__xludf.DUMMYFUNCTION("""COMPUTED_VALUE"""),"N/A")</f>
        <v>N/A</v>
      </c>
      <c r="I691" s="97" t="str">
        <f>IFERROR(__xludf.DUMMYFUNCTION("""COMPUTED_VALUE"""),"N/A")</f>
        <v>N/A</v>
      </c>
      <c r="J691" s="97" t="str">
        <f>IFERROR(__xludf.DUMMYFUNCTION("""COMPUTED_VALUE"""),"N/A")</f>
        <v>N/A</v>
      </c>
      <c r="K691" s="97" t="str">
        <f>IFERROR(__xludf.DUMMYFUNCTION("""COMPUTED_VALUE"""),"N/A")</f>
        <v>N/A</v>
      </c>
      <c r="L691" s="97">
        <f>IFERROR(__xludf.DUMMYFUNCTION("""COMPUTED_VALUE"""),220.0)</f>
        <v>220</v>
      </c>
      <c r="M691" s="97">
        <f>IFERROR(__xludf.DUMMYFUNCTION("""COMPUTED_VALUE"""),50.0)</f>
        <v>50</v>
      </c>
      <c r="N691" s="97"/>
      <c r="O691" s="97" t="str">
        <f>IFERROR(__xludf.DUMMYFUNCTION("""COMPUTED_VALUE"""),"2 x 50W Max")</f>
        <v>2 x 50W Max</v>
      </c>
      <c r="P691" s="97"/>
      <c r="Q691" s="97" t="str">
        <f>IFERROR(__xludf.DUMMYFUNCTION("""COMPUTED_VALUE"""),"-")</f>
        <v>-</v>
      </c>
      <c r="R691" s="97" t="str">
        <f>IFERROR(__xludf.DUMMYFUNCTION("""COMPUTED_VALUE"""),"-")</f>
        <v>-</v>
      </c>
      <c r="S691" s="97" t="str">
        <f>IFERROR(__xludf.DUMMYFUNCTION("""COMPUTED_VALUE"""),"-")</f>
        <v>-</v>
      </c>
      <c r="T691" s="97" t="str">
        <f>IFERROR(__xludf.DUMMYFUNCTION("""COMPUTED_VALUE"""),"-")</f>
        <v>-</v>
      </c>
      <c r="U691" s="97" t="str">
        <f>IFERROR(__xludf.DUMMYFUNCTION("""COMPUTED_VALUE"""),"-")</f>
        <v>-</v>
      </c>
      <c r="V691" s="97" t="str">
        <f>IFERROR(__xludf.DUMMYFUNCTION("""COMPUTED_VALUE"""),"N/A")</f>
        <v>N/A</v>
      </c>
      <c r="W691" s="97" t="str">
        <f>IFERROR(__xludf.DUMMYFUNCTION("""COMPUTED_VALUE"""),"N/A")</f>
        <v>N/A</v>
      </c>
      <c r="X691" s="97" t="str">
        <f>IFERROR(__xludf.DUMMYFUNCTION("""COMPUTED_VALUE"""),"-")</f>
        <v>-</v>
      </c>
      <c r="Y691" s="97" t="str">
        <f>IFERROR(__xludf.DUMMYFUNCTION("""COMPUTED_VALUE"""),"N/A")</f>
        <v>N/A</v>
      </c>
      <c r="Z691" s="97" t="str">
        <f>IFERROR(__xludf.DUMMYFUNCTION("""COMPUTED_VALUE"""),"N/A")</f>
        <v>N/A</v>
      </c>
      <c r="AA691" s="97" t="str">
        <f>IFERROR(__xludf.DUMMYFUNCTION("""COMPUTED_VALUE"""),"N/A")</f>
        <v>N/A</v>
      </c>
      <c r="AB691" s="97" t="str">
        <f>IFERROR(__xludf.DUMMYFUNCTION("""COMPUTED_VALUE"""),"N/A")</f>
        <v>N/A</v>
      </c>
      <c r="AC691" s="97" t="str">
        <f>IFERROR(__xludf.DUMMYFUNCTION("""COMPUTED_VALUE"""),"N/A")</f>
        <v>N/A</v>
      </c>
      <c r="AD691" s="97" t="str">
        <f>IFERROR(__xludf.DUMMYFUNCTION("""COMPUTED_VALUE"""),"IP20")</f>
        <v>IP20</v>
      </c>
      <c r="AE691" s="97" t="str">
        <f>IFERROR(__xludf.DUMMYFUNCTION("""COMPUTED_VALUE"""),"Clase l")</f>
        <v>Clase l</v>
      </c>
      <c r="AF691" s="97" t="str">
        <f>IFERROR(__xludf.DUMMYFUNCTION("""COMPUTED_VALUE"""),"Embutir")</f>
        <v>Embutir</v>
      </c>
      <c r="AG691" s="97" t="str">
        <f>IFERROR(__xludf.DUMMYFUNCTION("""COMPUTED_VALUE"""),"189 x 110 x 83")</f>
        <v>189 x 110 x 83</v>
      </c>
      <c r="AH691" s="97" t="str">
        <f>IFERROR(__xludf.DUMMYFUNCTION("""COMPUTED_VALUE"""),"170 x 94 ")</f>
        <v>170 x 94 </v>
      </c>
      <c r="AI691" s="97">
        <f>IFERROR(__xludf.DUMMYFUNCTION("""COMPUTED_VALUE"""),88.0)</f>
        <v>88</v>
      </c>
      <c r="AJ691" s="97" t="str">
        <f>IFERROR(__xludf.DUMMYFUNCTION("""COMPUTED_VALUE"""),"N/A")</f>
        <v>N/A</v>
      </c>
      <c r="AK691" s="97" t="str">
        <f>IFERROR(__xludf.DUMMYFUNCTION("""COMPUTED_VALUE"""),"Acero y Aluminio")</f>
        <v>Acero y Aluminio</v>
      </c>
      <c r="AL691" s="97" t="str">
        <f>IFERROR(__xludf.DUMMYFUNCTION("""COMPUTED_VALUE"""),"Negro Satinado")</f>
        <v>Negro Satinado</v>
      </c>
      <c r="AM691" s="97" t="str">
        <f>IFERROR(__xludf.DUMMYFUNCTION("""COMPUTED_VALUE"""),"-")</f>
        <v>-</v>
      </c>
      <c r="AN691" s="97" t="str">
        <f>IFERROR(__xludf.DUMMYFUNCTION("""COMPUTED_VALUE"""),"N/A")</f>
        <v>N/A</v>
      </c>
      <c r="AO691" s="97" t="str">
        <f>IFERROR(__xludf.DUMMYFUNCTION("""COMPUTED_VALUE"""),"3 Años")</f>
        <v>3 Años</v>
      </c>
      <c r="AP691" s="97" t="str">
        <f>IFERROR(__xludf.DUMMYFUNCTION("""COMPUTED_VALUE"""),"No Aplica")</f>
        <v>No Aplica</v>
      </c>
      <c r="AQ691" s="97" t="str">
        <f>IFERROR(__xludf.DUMMYFUNCTION("""COMPUTED_VALUE"""),"No Aplica")</f>
        <v>No Aplica</v>
      </c>
      <c r="AR691" s="97" t="str">
        <f>IFERROR(__xludf.DUMMYFUNCTION("""COMPUTED_VALUE"""),"No Aplica")</f>
        <v>No Aplica</v>
      </c>
      <c r="AS691" s="97"/>
      <c r="AT691" s="97"/>
      <c r="AU691" s="97" t="str">
        <f>IFERROR(__xludf.DUMMYFUNCTION("""COMPUTED_VALUE"""),"Falta")</f>
        <v>Falta</v>
      </c>
      <c r="AV691" s="97" t="str">
        <f>IFERROR(__xludf.DUMMYFUNCTION("""COMPUTED_VALUE"""),"Empotrable")</f>
        <v>Empotrable</v>
      </c>
      <c r="AW691" s="97" t="str">
        <f>IFERROR(__xludf.DUMMYFUNCTION("""COMPUTED_VALUE"""),"De Techo")</f>
        <v>De Techo</v>
      </c>
      <c r="AX691" s="97" t="str">
        <f>IFERROR(__xludf.DUMMYFUNCTION("""COMPUTED_VALUE"""),"Interior")</f>
        <v>Interior</v>
      </c>
      <c r="AY691" s="97" t="str">
        <f>IFERROR(__xludf.DUMMYFUNCTION("""COMPUTED_VALUE"""),"Cardánico")</f>
        <v>Cardánico</v>
      </c>
      <c r="AZ691" s="97" t="str">
        <f>IFERROR(__xludf.DUMMYFUNCTION("""COMPUTED_VALUE"""),"Incluye zócalo GU10 c/cable 20cm.")</f>
        <v>Incluye zócalo GU10 c/cable 20cm.</v>
      </c>
      <c r="BA691" s="97">
        <f>IFERROR(__xludf.DUMMYFUNCTION("""COMPUTED_VALUE"""),40.0)</f>
        <v>40</v>
      </c>
      <c r="BB691" s="97" t="str">
        <f>IFERROR(__xludf.DUMMYFUNCTION("""COMPUTED_VALUE"""),"-")</f>
        <v>-</v>
      </c>
      <c r="BC691" s="97" t="str">
        <f>IFERROR(__xludf.DUMMYFUNCTION("""COMPUTED_VALUE"""),"-")</f>
        <v>-</v>
      </c>
      <c r="BD691" s="97" t="str">
        <f>IFERROR(__xludf.DUMMYFUNCTION("""COMPUTED_VALUE"""),"KAROL ")</f>
        <v>KAROL </v>
      </c>
      <c r="BE691" s="97" t="str">
        <f>IFERROR(__xludf.DUMMYFUNCTION("""COMPUTED_VALUE"""),"Finalizada")</f>
        <v>Finalizada</v>
      </c>
      <c r="BF691" s="97"/>
      <c r="BG691" s="97" t="str">
        <f>IFERROR(__xludf.DUMMYFUNCTION("""COMPUTED_VALUE"""),"Activo")</f>
        <v>Activo</v>
      </c>
    </row>
    <row r="692">
      <c r="A692" s="97">
        <f>IFERROR(__xludf.DUMMYFUNCTION("""COMPUTED_VALUE"""),6451.0)</f>
        <v>6451</v>
      </c>
      <c r="B692" s="97" t="str">
        <f>IFERROR(__xludf.DUMMYFUNCTION("""COMPUTED_VALUE"""),"KAROL II BL")</f>
        <v>KAROL II BL</v>
      </c>
      <c r="C692" s="97" t="str">
        <f>IFERROR(__xludf.DUMMYFUNCTION("""COMPUTED_VALUE"""),"EMPOTRABLE KAROL II BL 2XGU10 DICRO IP20 LEUK")</f>
        <v>EMPOTRABLE KAROL II BL 2XGU10 DICRO IP20 LEUK</v>
      </c>
      <c r="D692" s="97">
        <f>IFERROR(__xludf.DUMMYFUNCTION("""COMPUTED_VALUE"""),7.798328754295E12)</f>
        <v>7798328754295</v>
      </c>
      <c r="E692" s="97"/>
      <c r="F692" s="97" t="str">
        <f>IFERROR(__xludf.DUMMYFUNCTION("""COMPUTED_VALUE"""),"2xGU10 Dicro")</f>
        <v>2xGU10 Dicro</v>
      </c>
      <c r="G692" s="97" t="str">
        <f>IFERROR(__xludf.DUMMYFUNCTION("""COMPUTED_VALUE"""),"N/A")</f>
        <v>N/A</v>
      </c>
      <c r="H692" s="97" t="str">
        <f>IFERROR(__xludf.DUMMYFUNCTION("""COMPUTED_VALUE"""),"N/A")</f>
        <v>N/A</v>
      </c>
      <c r="I692" s="97" t="str">
        <f>IFERROR(__xludf.DUMMYFUNCTION("""COMPUTED_VALUE"""),"N/A")</f>
        <v>N/A</v>
      </c>
      <c r="J692" s="97" t="str">
        <f>IFERROR(__xludf.DUMMYFUNCTION("""COMPUTED_VALUE"""),"N/A")</f>
        <v>N/A</v>
      </c>
      <c r="K692" s="97" t="str">
        <f>IFERROR(__xludf.DUMMYFUNCTION("""COMPUTED_VALUE"""),"N/A")</f>
        <v>N/A</v>
      </c>
      <c r="L692" s="97">
        <f>IFERROR(__xludf.DUMMYFUNCTION("""COMPUTED_VALUE"""),220.0)</f>
        <v>220</v>
      </c>
      <c r="M692" s="97">
        <f>IFERROR(__xludf.DUMMYFUNCTION("""COMPUTED_VALUE"""),50.0)</f>
        <v>50</v>
      </c>
      <c r="N692" s="97"/>
      <c r="O692" s="97" t="str">
        <f>IFERROR(__xludf.DUMMYFUNCTION("""COMPUTED_VALUE"""),"2 x 50W Max")</f>
        <v>2 x 50W Max</v>
      </c>
      <c r="P692" s="97"/>
      <c r="Q692" s="97" t="str">
        <f>IFERROR(__xludf.DUMMYFUNCTION("""COMPUTED_VALUE"""),"-")</f>
        <v>-</v>
      </c>
      <c r="R692" s="97" t="str">
        <f>IFERROR(__xludf.DUMMYFUNCTION("""COMPUTED_VALUE"""),"-")</f>
        <v>-</v>
      </c>
      <c r="S692" s="97" t="str">
        <f>IFERROR(__xludf.DUMMYFUNCTION("""COMPUTED_VALUE"""),"-")</f>
        <v>-</v>
      </c>
      <c r="T692" s="97" t="str">
        <f>IFERROR(__xludf.DUMMYFUNCTION("""COMPUTED_VALUE"""),"-")</f>
        <v>-</v>
      </c>
      <c r="U692" s="97" t="str">
        <f>IFERROR(__xludf.DUMMYFUNCTION("""COMPUTED_VALUE"""),"-")</f>
        <v>-</v>
      </c>
      <c r="V692" s="97" t="str">
        <f>IFERROR(__xludf.DUMMYFUNCTION("""COMPUTED_VALUE"""),"N/A")</f>
        <v>N/A</v>
      </c>
      <c r="W692" s="97" t="str">
        <f>IFERROR(__xludf.DUMMYFUNCTION("""COMPUTED_VALUE"""),"N/A")</f>
        <v>N/A</v>
      </c>
      <c r="X692" s="97" t="str">
        <f>IFERROR(__xludf.DUMMYFUNCTION("""COMPUTED_VALUE"""),"-")</f>
        <v>-</v>
      </c>
      <c r="Y692" s="97" t="str">
        <f>IFERROR(__xludf.DUMMYFUNCTION("""COMPUTED_VALUE"""),"N/A")</f>
        <v>N/A</v>
      </c>
      <c r="Z692" s="97" t="str">
        <f>IFERROR(__xludf.DUMMYFUNCTION("""COMPUTED_VALUE"""),"N/A")</f>
        <v>N/A</v>
      </c>
      <c r="AA692" s="97" t="str">
        <f>IFERROR(__xludf.DUMMYFUNCTION("""COMPUTED_VALUE"""),"N/A")</f>
        <v>N/A</v>
      </c>
      <c r="AB692" s="97" t="str">
        <f>IFERROR(__xludf.DUMMYFUNCTION("""COMPUTED_VALUE"""),"N/A")</f>
        <v>N/A</v>
      </c>
      <c r="AC692" s="97" t="str">
        <f>IFERROR(__xludf.DUMMYFUNCTION("""COMPUTED_VALUE"""),"N/A")</f>
        <v>N/A</v>
      </c>
      <c r="AD692" s="97" t="str">
        <f>IFERROR(__xludf.DUMMYFUNCTION("""COMPUTED_VALUE"""),"IP20")</f>
        <v>IP20</v>
      </c>
      <c r="AE692" s="97" t="str">
        <f>IFERROR(__xludf.DUMMYFUNCTION("""COMPUTED_VALUE"""),"Clase l")</f>
        <v>Clase l</v>
      </c>
      <c r="AF692" s="97" t="str">
        <f>IFERROR(__xludf.DUMMYFUNCTION("""COMPUTED_VALUE"""),"Embutir")</f>
        <v>Embutir</v>
      </c>
      <c r="AG692" s="97" t="str">
        <f>IFERROR(__xludf.DUMMYFUNCTION("""COMPUTED_VALUE"""),"189 x 110 x 83")</f>
        <v>189 x 110 x 83</v>
      </c>
      <c r="AH692" s="97" t="str">
        <f>IFERROR(__xludf.DUMMYFUNCTION("""COMPUTED_VALUE"""),"170 x 94 ")</f>
        <v>170 x 94 </v>
      </c>
      <c r="AI692" s="97">
        <f>IFERROR(__xludf.DUMMYFUNCTION("""COMPUTED_VALUE"""),88.0)</f>
        <v>88</v>
      </c>
      <c r="AJ692" s="97" t="str">
        <f>IFERROR(__xludf.DUMMYFUNCTION("""COMPUTED_VALUE"""),"N/A")</f>
        <v>N/A</v>
      </c>
      <c r="AK692" s="97" t="str">
        <f>IFERROR(__xludf.DUMMYFUNCTION("""COMPUTED_VALUE"""),"Acero y Aluminio")</f>
        <v>Acero y Aluminio</v>
      </c>
      <c r="AL692" s="97" t="str">
        <f>IFERROR(__xludf.DUMMYFUNCTION("""COMPUTED_VALUE"""),"Blanco Satinado")</f>
        <v>Blanco Satinado</v>
      </c>
      <c r="AM692" s="97" t="str">
        <f>IFERROR(__xludf.DUMMYFUNCTION("""COMPUTED_VALUE"""),"-")</f>
        <v>-</v>
      </c>
      <c r="AN692" s="97" t="str">
        <f>IFERROR(__xludf.DUMMYFUNCTION("""COMPUTED_VALUE"""),"N/A")</f>
        <v>N/A</v>
      </c>
      <c r="AO692" s="97" t="str">
        <f>IFERROR(__xludf.DUMMYFUNCTION("""COMPUTED_VALUE"""),"3 Años")</f>
        <v>3 Años</v>
      </c>
      <c r="AP692" s="97" t="str">
        <f>IFERROR(__xludf.DUMMYFUNCTION("""COMPUTED_VALUE"""),"No Aplica")</f>
        <v>No Aplica</v>
      </c>
      <c r="AQ692" s="97" t="str">
        <f>IFERROR(__xludf.DUMMYFUNCTION("""COMPUTED_VALUE"""),"No Aplica")</f>
        <v>No Aplica</v>
      </c>
      <c r="AR692" s="97" t="str">
        <f>IFERROR(__xludf.DUMMYFUNCTION("""COMPUTED_VALUE"""),"No Aplica")</f>
        <v>No Aplica</v>
      </c>
      <c r="AS692" s="97"/>
      <c r="AT692" s="97"/>
      <c r="AU692" s="97" t="str">
        <f>IFERROR(__xludf.DUMMYFUNCTION("""COMPUTED_VALUE"""),"Falta")</f>
        <v>Falta</v>
      </c>
      <c r="AV692" s="97" t="str">
        <f>IFERROR(__xludf.DUMMYFUNCTION("""COMPUTED_VALUE"""),"Empotrable")</f>
        <v>Empotrable</v>
      </c>
      <c r="AW692" s="97" t="str">
        <f>IFERROR(__xludf.DUMMYFUNCTION("""COMPUTED_VALUE"""),"De Techo")</f>
        <v>De Techo</v>
      </c>
      <c r="AX692" s="97" t="str">
        <f>IFERROR(__xludf.DUMMYFUNCTION("""COMPUTED_VALUE"""),"Interior")</f>
        <v>Interior</v>
      </c>
      <c r="AY692" s="97" t="str">
        <f>IFERROR(__xludf.DUMMYFUNCTION("""COMPUTED_VALUE"""),"Cardánico")</f>
        <v>Cardánico</v>
      </c>
      <c r="AZ692" s="97" t="str">
        <f>IFERROR(__xludf.DUMMYFUNCTION("""COMPUTED_VALUE"""),"Incluye zócalo GU10 c/cable 20cm.")</f>
        <v>Incluye zócalo GU10 c/cable 20cm.</v>
      </c>
      <c r="BA692" s="97">
        <f>IFERROR(__xludf.DUMMYFUNCTION("""COMPUTED_VALUE"""),40.0)</f>
        <v>40</v>
      </c>
      <c r="BB692" s="97" t="str">
        <f>IFERROR(__xludf.DUMMYFUNCTION("""COMPUTED_VALUE"""),"-")</f>
        <v>-</v>
      </c>
      <c r="BC692" s="97" t="str">
        <f>IFERROR(__xludf.DUMMYFUNCTION("""COMPUTED_VALUE"""),"-")</f>
        <v>-</v>
      </c>
      <c r="BD692" s="97" t="str">
        <f>IFERROR(__xludf.DUMMYFUNCTION("""COMPUTED_VALUE"""),"KAROL ")</f>
        <v>KAROL </v>
      </c>
      <c r="BE692" s="97" t="str">
        <f>IFERROR(__xludf.DUMMYFUNCTION("""COMPUTED_VALUE"""),"Finalizada")</f>
        <v>Finalizada</v>
      </c>
      <c r="BF692" s="97"/>
      <c r="BG692" s="97" t="str">
        <f>IFERROR(__xludf.DUMMYFUNCTION("""COMPUTED_VALUE"""),"Activo")</f>
        <v>Activo</v>
      </c>
    </row>
    <row r="693">
      <c r="A693" s="97">
        <f>IFERROR(__xludf.DUMMYFUNCTION("""COMPUTED_VALUE"""),6452.0)</f>
        <v>6452</v>
      </c>
      <c r="B693" s="97" t="str">
        <f>IFERROR(__xludf.DUMMYFUNCTION("""COMPUTED_VALUE"""),"BERDY II NG")</f>
        <v>BERDY II NG</v>
      </c>
      <c r="C693" s="97" t="str">
        <f>IFERROR(__xludf.DUMMYFUNCTION("""COMPUTED_VALUE"""),"APLIQUE BERDY II NG 2XGU10 AR111 IP20 LEUK")</f>
        <v>APLIQUE BERDY II NG 2XGU10 AR111 IP20 LEUK</v>
      </c>
      <c r="D693" s="97">
        <f>IFERROR(__xludf.DUMMYFUNCTION("""COMPUTED_VALUE"""),7.798328754301E12)</f>
        <v>7798328754301</v>
      </c>
      <c r="E693" s="97"/>
      <c r="F693" s="97" t="str">
        <f>IFERROR(__xludf.DUMMYFUNCTION("""COMPUTED_VALUE"""),"2xGU10 AR111")</f>
        <v>2xGU10 AR111</v>
      </c>
      <c r="G693" s="97" t="str">
        <f>IFERROR(__xludf.DUMMYFUNCTION("""COMPUTED_VALUE"""),"N/A")</f>
        <v>N/A</v>
      </c>
      <c r="H693" s="97" t="str">
        <f>IFERROR(__xludf.DUMMYFUNCTION("""COMPUTED_VALUE"""),"N/A")</f>
        <v>N/A</v>
      </c>
      <c r="I693" s="97" t="str">
        <f>IFERROR(__xludf.DUMMYFUNCTION("""COMPUTED_VALUE"""),"N/A")</f>
        <v>N/A</v>
      </c>
      <c r="J693" s="97" t="str">
        <f>IFERROR(__xludf.DUMMYFUNCTION("""COMPUTED_VALUE"""),"N/A")</f>
        <v>N/A</v>
      </c>
      <c r="K693" s="97" t="str">
        <f>IFERROR(__xludf.DUMMYFUNCTION("""COMPUTED_VALUE"""),"N/A")</f>
        <v>N/A</v>
      </c>
      <c r="L693" s="97">
        <f>IFERROR(__xludf.DUMMYFUNCTION("""COMPUTED_VALUE"""),220.0)</f>
        <v>220</v>
      </c>
      <c r="M693" s="97">
        <f>IFERROR(__xludf.DUMMYFUNCTION("""COMPUTED_VALUE"""),50.0)</f>
        <v>50</v>
      </c>
      <c r="N693" s="97"/>
      <c r="O693" s="97" t="str">
        <f>IFERROR(__xludf.DUMMYFUNCTION("""COMPUTED_VALUE"""),"2 x 50W Max")</f>
        <v>2 x 50W Max</v>
      </c>
      <c r="P693" s="97"/>
      <c r="Q693" s="97" t="str">
        <f>IFERROR(__xludf.DUMMYFUNCTION("""COMPUTED_VALUE"""),"-")</f>
        <v>-</v>
      </c>
      <c r="R693" s="97" t="str">
        <f>IFERROR(__xludf.DUMMYFUNCTION("""COMPUTED_VALUE"""),"-")</f>
        <v>-</v>
      </c>
      <c r="S693" s="97" t="str">
        <f>IFERROR(__xludf.DUMMYFUNCTION("""COMPUTED_VALUE"""),"-")</f>
        <v>-</v>
      </c>
      <c r="T693" s="97" t="str">
        <f>IFERROR(__xludf.DUMMYFUNCTION("""COMPUTED_VALUE"""),"-")</f>
        <v>-</v>
      </c>
      <c r="U693" s="97" t="str">
        <f>IFERROR(__xludf.DUMMYFUNCTION("""COMPUTED_VALUE"""),"-")</f>
        <v>-</v>
      </c>
      <c r="V693" s="97" t="str">
        <f>IFERROR(__xludf.DUMMYFUNCTION("""COMPUTED_VALUE"""),"N/A")</f>
        <v>N/A</v>
      </c>
      <c r="W693" s="97" t="str">
        <f>IFERROR(__xludf.DUMMYFUNCTION("""COMPUTED_VALUE"""),"N/A")</f>
        <v>N/A</v>
      </c>
      <c r="X693" s="97" t="str">
        <f>IFERROR(__xludf.DUMMYFUNCTION("""COMPUTED_VALUE"""),"-")</f>
        <v>-</v>
      </c>
      <c r="Y693" s="97" t="str">
        <f>IFERROR(__xludf.DUMMYFUNCTION("""COMPUTED_VALUE"""),"N/A")</f>
        <v>N/A</v>
      </c>
      <c r="Z693" s="97" t="str">
        <f>IFERROR(__xludf.DUMMYFUNCTION("""COMPUTED_VALUE"""),"N/A")</f>
        <v>N/A</v>
      </c>
      <c r="AA693" s="97" t="str">
        <f>IFERROR(__xludf.DUMMYFUNCTION("""COMPUTED_VALUE"""),"N/A")</f>
        <v>N/A</v>
      </c>
      <c r="AB693" s="97" t="str">
        <f>IFERROR(__xludf.DUMMYFUNCTION("""COMPUTED_VALUE"""),"N/A")</f>
        <v>N/A</v>
      </c>
      <c r="AC693" s="97" t="str">
        <f>IFERROR(__xludf.DUMMYFUNCTION("""COMPUTED_VALUE"""),"N/A")</f>
        <v>N/A</v>
      </c>
      <c r="AD693" s="97" t="str">
        <f>IFERROR(__xludf.DUMMYFUNCTION("""COMPUTED_VALUE"""),"IP20")</f>
        <v>IP20</v>
      </c>
      <c r="AE693" s="97" t="str">
        <f>IFERROR(__xludf.DUMMYFUNCTION("""COMPUTED_VALUE"""),"Clase l")</f>
        <v>Clase l</v>
      </c>
      <c r="AF693" s="97" t="str">
        <f>IFERROR(__xludf.DUMMYFUNCTION("""COMPUTED_VALUE"""),"Aplicar")</f>
        <v>Aplicar</v>
      </c>
      <c r="AG693" s="97" t="str">
        <f>IFERROR(__xludf.DUMMYFUNCTION("""COMPUTED_VALUE"""),"286 x 150 x 107")</f>
        <v>286 x 150 x 107</v>
      </c>
      <c r="AH693" s="97" t="str">
        <f>IFERROR(__xludf.DUMMYFUNCTION("""COMPUTED_VALUE"""),"N/A")</f>
        <v>N/A</v>
      </c>
      <c r="AI693" s="97" t="str">
        <f>IFERROR(__xludf.DUMMYFUNCTION("""COMPUTED_VALUE"""),"N/A")</f>
        <v>N/A</v>
      </c>
      <c r="AJ693" s="97" t="str">
        <f>IFERROR(__xludf.DUMMYFUNCTION("""COMPUTED_VALUE"""),"N/A")</f>
        <v>N/A</v>
      </c>
      <c r="AK693" s="97" t="str">
        <f>IFERROR(__xludf.DUMMYFUNCTION("""COMPUTED_VALUE"""),"Acero y Aluminio")</f>
        <v>Acero y Aluminio</v>
      </c>
      <c r="AL693" s="97" t="str">
        <f>IFERROR(__xludf.DUMMYFUNCTION("""COMPUTED_VALUE"""),"Negro Satinado")</f>
        <v>Negro Satinado</v>
      </c>
      <c r="AM693" s="97" t="str">
        <f>IFERROR(__xludf.DUMMYFUNCTION("""COMPUTED_VALUE"""),"-")</f>
        <v>-</v>
      </c>
      <c r="AN693" s="97" t="str">
        <f>IFERROR(__xludf.DUMMYFUNCTION("""COMPUTED_VALUE"""),"N/A")</f>
        <v>N/A</v>
      </c>
      <c r="AO693" s="97" t="str">
        <f>IFERROR(__xludf.DUMMYFUNCTION("""COMPUTED_VALUE"""),"3 Años")</f>
        <v>3 Años</v>
      </c>
      <c r="AP693" s="97" t="str">
        <f>IFERROR(__xludf.DUMMYFUNCTION("""COMPUTED_VALUE"""),"No Aplica")</f>
        <v>No Aplica</v>
      </c>
      <c r="AQ693" s="97" t="str">
        <f>IFERROR(__xludf.DUMMYFUNCTION("""COMPUTED_VALUE"""),"No Aplica")</f>
        <v>No Aplica</v>
      </c>
      <c r="AR693" s="97" t="str">
        <f>IFERROR(__xludf.DUMMYFUNCTION("""COMPUTED_VALUE"""),"No Aplica")</f>
        <v>No Aplica</v>
      </c>
      <c r="AS693" s="97"/>
      <c r="AT693" s="97"/>
      <c r="AU693" s="97" t="str">
        <f>IFERROR(__xludf.DUMMYFUNCTION("""COMPUTED_VALUE"""),"Falta")</f>
        <v>Falta</v>
      </c>
      <c r="AV693" s="97" t="str">
        <f>IFERROR(__xludf.DUMMYFUNCTION("""COMPUTED_VALUE"""),"Aplique")</f>
        <v>Aplique</v>
      </c>
      <c r="AW693" s="97" t="str">
        <f>IFERROR(__xludf.DUMMYFUNCTION("""COMPUTED_VALUE"""),"De Techo")</f>
        <v>De Techo</v>
      </c>
      <c r="AX693" s="97" t="str">
        <f>IFERROR(__xludf.DUMMYFUNCTION("""COMPUTED_VALUE"""),"Interior")</f>
        <v>Interior</v>
      </c>
      <c r="AY693" s="97" t="str">
        <f>IFERROR(__xludf.DUMMYFUNCTION("""COMPUTED_VALUE"""),"Cardánico")</f>
        <v>Cardánico</v>
      </c>
      <c r="AZ693" s="97" t="str">
        <f>IFERROR(__xludf.DUMMYFUNCTION("""COMPUTED_VALUE"""),"Incluye zócalo GU10 c/cable 20cm.")</f>
        <v>Incluye zócalo GU10 c/cable 20cm.</v>
      </c>
      <c r="BA693" s="97">
        <f>IFERROR(__xludf.DUMMYFUNCTION("""COMPUTED_VALUE"""),20.0)</f>
        <v>20</v>
      </c>
      <c r="BB693" s="97" t="str">
        <f>IFERROR(__xludf.DUMMYFUNCTION("""COMPUTED_VALUE"""),"-")</f>
        <v>-</v>
      </c>
      <c r="BC693" s="97" t="str">
        <f>IFERROR(__xludf.DUMMYFUNCTION("""COMPUTED_VALUE"""),"-")</f>
        <v>-</v>
      </c>
      <c r="BD693" s="97" t="str">
        <f>IFERROR(__xludf.DUMMYFUNCTION("""COMPUTED_VALUE"""),"BERDY")</f>
        <v>BERDY</v>
      </c>
      <c r="BE693" s="97" t="str">
        <f>IFERROR(__xludf.DUMMYFUNCTION("""COMPUTED_VALUE"""),"Finalizada")</f>
        <v>Finalizada</v>
      </c>
      <c r="BF693" s="97"/>
      <c r="BG693" s="97" t="str">
        <f>IFERROR(__xludf.DUMMYFUNCTION("""COMPUTED_VALUE"""),"Activo")</f>
        <v>Activo</v>
      </c>
    </row>
    <row r="694">
      <c r="A694" s="97">
        <f>IFERROR(__xludf.DUMMYFUNCTION("""COMPUTED_VALUE"""),6453.0)</f>
        <v>6453</v>
      </c>
      <c r="B694" s="97" t="str">
        <f>IFERROR(__xludf.DUMMYFUNCTION("""COMPUTED_VALUE"""),"BERDY II BL")</f>
        <v>BERDY II BL</v>
      </c>
      <c r="C694" s="97" t="str">
        <f>IFERROR(__xludf.DUMMYFUNCTION("""COMPUTED_VALUE"""),"APLIQUE BERDY II BL 2XGU10 AR111 IP20 LEUK")</f>
        <v>APLIQUE BERDY II BL 2XGU10 AR111 IP20 LEUK</v>
      </c>
      <c r="D694" s="97">
        <f>IFERROR(__xludf.DUMMYFUNCTION("""COMPUTED_VALUE"""),7.798328754318E12)</f>
        <v>7798328754318</v>
      </c>
      <c r="E694" s="97"/>
      <c r="F694" s="97" t="str">
        <f>IFERROR(__xludf.DUMMYFUNCTION("""COMPUTED_VALUE"""),"2xGU10 AR111")</f>
        <v>2xGU10 AR111</v>
      </c>
      <c r="G694" s="97" t="str">
        <f>IFERROR(__xludf.DUMMYFUNCTION("""COMPUTED_VALUE"""),"N/A")</f>
        <v>N/A</v>
      </c>
      <c r="H694" s="97" t="str">
        <f>IFERROR(__xludf.DUMMYFUNCTION("""COMPUTED_VALUE"""),"N/A")</f>
        <v>N/A</v>
      </c>
      <c r="I694" s="97" t="str">
        <f>IFERROR(__xludf.DUMMYFUNCTION("""COMPUTED_VALUE"""),"N/A")</f>
        <v>N/A</v>
      </c>
      <c r="J694" s="97" t="str">
        <f>IFERROR(__xludf.DUMMYFUNCTION("""COMPUTED_VALUE"""),"N/A")</f>
        <v>N/A</v>
      </c>
      <c r="K694" s="97" t="str">
        <f>IFERROR(__xludf.DUMMYFUNCTION("""COMPUTED_VALUE"""),"N/A")</f>
        <v>N/A</v>
      </c>
      <c r="L694" s="97">
        <f>IFERROR(__xludf.DUMMYFUNCTION("""COMPUTED_VALUE"""),220.0)</f>
        <v>220</v>
      </c>
      <c r="M694" s="97">
        <f>IFERROR(__xludf.DUMMYFUNCTION("""COMPUTED_VALUE"""),50.0)</f>
        <v>50</v>
      </c>
      <c r="N694" s="97"/>
      <c r="O694" s="97" t="str">
        <f>IFERROR(__xludf.DUMMYFUNCTION("""COMPUTED_VALUE"""),"2 x 50W Max")</f>
        <v>2 x 50W Max</v>
      </c>
      <c r="P694" s="97"/>
      <c r="Q694" s="97" t="str">
        <f>IFERROR(__xludf.DUMMYFUNCTION("""COMPUTED_VALUE"""),"-")</f>
        <v>-</v>
      </c>
      <c r="R694" s="97" t="str">
        <f>IFERROR(__xludf.DUMMYFUNCTION("""COMPUTED_VALUE"""),"-")</f>
        <v>-</v>
      </c>
      <c r="S694" s="97" t="str">
        <f>IFERROR(__xludf.DUMMYFUNCTION("""COMPUTED_VALUE"""),"-")</f>
        <v>-</v>
      </c>
      <c r="T694" s="97" t="str">
        <f>IFERROR(__xludf.DUMMYFUNCTION("""COMPUTED_VALUE"""),"-")</f>
        <v>-</v>
      </c>
      <c r="U694" s="97" t="str">
        <f>IFERROR(__xludf.DUMMYFUNCTION("""COMPUTED_VALUE"""),"-")</f>
        <v>-</v>
      </c>
      <c r="V694" s="97" t="str">
        <f>IFERROR(__xludf.DUMMYFUNCTION("""COMPUTED_VALUE"""),"N/A")</f>
        <v>N/A</v>
      </c>
      <c r="W694" s="97" t="str">
        <f>IFERROR(__xludf.DUMMYFUNCTION("""COMPUTED_VALUE"""),"N/A")</f>
        <v>N/A</v>
      </c>
      <c r="X694" s="97" t="str">
        <f>IFERROR(__xludf.DUMMYFUNCTION("""COMPUTED_VALUE"""),"-")</f>
        <v>-</v>
      </c>
      <c r="Y694" s="97" t="str">
        <f>IFERROR(__xludf.DUMMYFUNCTION("""COMPUTED_VALUE"""),"N/A")</f>
        <v>N/A</v>
      </c>
      <c r="Z694" s="97" t="str">
        <f>IFERROR(__xludf.DUMMYFUNCTION("""COMPUTED_VALUE"""),"N/A")</f>
        <v>N/A</v>
      </c>
      <c r="AA694" s="97" t="str">
        <f>IFERROR(__xludf.DUMMYFUNCTION("""COMPUTED_VALUE"""),"N/A")</f>
        <v>N/A</v>
      </c>
      <c r="AB694" s="97" t="str">
        <f>IFERROR(__xludf.DUMMYFUNCTION("""COMPUTED_VALUE"""),"N/A")</f>
        <v>N/A</v>
      </c>
      <c r="AC694" s="97" t="str">
        <f>IFERROR(__xludf.DUMMYFUNCTION("""COMPUTED_VALUE"""),"N/A")</f>
        <v>N/A</v>
      </c>
      <c r="AD694" s="97" t="str">
        <f>IFERROR(__xludf.DUMMYFUNCTION("""COMPUTED_VALUE"""),"IP20")</f>
        <v>IP20</v>
      </c>
      <c r="AE694" s="97" t="str">
        <f>IFERROR(__xludf.DUMMYFUNCTION("""COMPUTED_VALUE"""),"Clase l")</f>
        <v>Clase l</v>
      </c>
      <c r="AF694" s="97" t="str">
        <f>IFERROR(__xludf.DUMMYFUNCTION("""COMPUTED_VALUE"""),"Aplicar")</f>
        <v>Aplicar</v>
      </c>
      <c r="AG694" s="97" t="str">
        <f>IFERROR(__xludf.DUMMYFUNCTION("""COMPUTED_VALUE"""),"286 x 150 x 107")</f>
        <v>286 x 150 x 107</v>
      </c>
      <c r="AH694" s="97" t="str">
        <f>IFERROR(__xludf.DUMMYFUNCTION("""COMPUTED_VALUE"""),"N/A")</f>
        <v>N/A</v>
      </c>
      <c r="AI694" s="97" t="str">
        <f>IFERROR(__xludf.DUMMYFUNCTION("""COMPUTED_VALUE"""),"N/A")</f>
        <v>N/A</v>
      </c>
      <c r="AJ694" s="97" t="str">
        <f>IFERROR(__xludf.DUMMYFUNCTION("""COMPUTED_VALUE"""),"N/A")</f>
        <v>N/A</v>
      </c>
      <c r="AK694" s="97" t="str">
        <f>IFERROR(__xludf.DUMMYFUNCTION("""COMPUTED_VALUE"""),"Acero y Aluminio")</f>
        <v>Acero y Aluminio</v>
      </c>
      <c r="AL694" s="97" t="str">
        <f>IFERROR(__xludf.DUMMYFUNCTION("""COMPUTED_VALUE"""),"Blanco Satinado")</f>
        <v>Blanco Satinado</v>
      </c>
      <c r="AM694" s="97" t="str">
        <f>IFERROR(__xludf.DUMMYFUNCTION("""COMPUTED_VALUE"""),"-")</f>
        <v>-</v>
      </c>
      <c r="AN694" s="97" t="str">
        <f>IFERROR(__xludf.DUMMYFUNCTION("""COMPUTED_VALUE"""),"N/A")</f>
        <v>N/A</v>
      </c>
      <c r="AO694" s="97" t="str">
        <f>IFERROR(__xludf.DUMMYFUNCTION("""COMPUTED_VALUE"""),"3 Años")</f>
        <v>3 Años</v>
      </c>
      <c r="AP694" s="97" t="str">
        <f>IFERROR(__xludf.DUMMYFUNCTION("""COMPUTED_VALUE"""),"No Aplica")</f>
        <v>No Aplica</v>
      </c>
      <c r="AQ694" s="97" t="str">
        <f>IFERROR(__xludf.DUMMYFUNCTION("""COMPUTED_VALUE"""),"No Aplica")</f>
        <v>No Aplica</v>
      </c>
      <c r="AR694" s="97" t="str">
        <f>IFERROR(__xludf.DUMMYFUNCTION("""COMPUTED_VALUE"""),"No Aplica")</f>
        <v>No Aplica</v>
      </c>
      <c r="AS694" s="97"/>
      <c r="AT694" s="97"/>
      <c r="AU694" s="97" t="str">
        <f>IFERROR(__xludf.DUMMYFUNCTION("""COMPUTED_VALUE"""),"Falta")</f>
        <v>Falta</v>
      </c>
      <c r="AV694" s="97" t="str">
        <f>IFERROR(__xludf.DUMMYFUNCTION("""COMPUTED_VALUE"""),"Aplique")</f>
        <v>Aplique</v>
      </c>
      <c r="AW694" s="97" t="str">
        <f>IFERROR(__xludf.DUMMYFUNCTION("""COMPUTED_VALUE"""),"De Techo")</f>
        <v>De Techo</v>
      </c>
      <c r="AX694" s="97" t="str">
        <f>IFERROR(__xludf.DUMMYFUNCTION("""COMPUTED_VALUE"""),"Interior")</f>
        <v>Interior</v>
      </c>
      <c r="AY694" s="97" t="str">
        <f>IFERROR(__xludf.DUMMYFUNCTION("""COMPUTED_VALUE"""),"Cardánico")</f>
        <v>Cardánico</v>
      </c>
      <c r="AZ694" s="97" t="str">
        <f>IFERROR(__xludf.DUMMYFUNCTION("""COMPUTED_VALUE"""),"Incluye zócalo GU10 c/cable 20cm.")</f>
        <v>Incluye zócalo GU10 c/cable 20cm.</v>
      </c>
      <c r="BA694" s="97">
        <f>IFERROR(__xludf.DUMMYFUNCTION("""COMPUTED_VALUE"""),20.0)</f>
        <v>20</v>
      </c>
      <c r="BB694" s="97" t="str">
        <f>IFERROR(__xludf.DUMMYFUNCTION("""COMPUTED_VALUE"""),"-")</f>
        <v>-</v>
      </c>
      <c r="BC694" s="97" t="str">
        <f>IFERROR(__xludf.DUMMYFUNCTION("""COMPUTED_VALUE"""),"-")</f>
        <v>-</v>
      </c>
      <c r="BD694" s="97" t="str">
        <f>IFERROR(__xludf.DUMMYFUNCTION("""COMPUTED_VALUE"""),"BERDY")</f>
        <v>BERDY</v>
      </c>
      <c r="BE694" s="97" t="str">
        <f>IFERROR(__xludf.DUMMYFUNCTION("""COMPUTED_VALUE"""),"Finalizada")</f>
        <v>Finalizada</v>
      </c>
      <c r="BF694" s="97"/>
      <c r="BG694" s="97" t="str">
        <f>IFERROR(__xludf.DUMMYFUNCTION("""COMPUTED_VALUE"""),"Activo")</f>
        <v>Activo</v>
      </c>
    </row>
    <row r="695">
      <c r="A695" s="97">
        <f>IFERROR(__xludf.DUMMYFUNCTION("""COMPUTED_VALUE"""),6454.0)</f>
        <v>6454</v>
      </c>
      <c r="B695" s="97" t="str">
        <f>IFERROR(__xludf.DUMMYFUNCTION("""COMPUTED_VALUE"""),"MILA II NG")</f>
        <v>MILA II NG</v>
      </c>
      <c r="C695" s="97" t="str">
        <f>IFERROR(__xludf.DUMMYFUNCTION("""COMPUTED_VALUE"""),"EMPOTRABLE MILA II NG 2XGU10 AR111 IP20 LEUK")</f>
        <v>EMPOTRABLE MILA II NG 2XGU10 AR111 IP20 LEUK</v>
      </c>
      <c r="D695" s="97">
        <f>IFERROR(__xludf.DUMMYFUNCTION("""COMPUTED_VALUE"""),7.798328754325E12)</f>
        <v>7798328754325</v>
      </c>
      <c r="E695" s="97"/>
      <c r="F695" s="97" t="str">
        <f>IFERROR(__xludf.DUMMYFUNCTION("""COMPUTED_VALUE"""),"2xGU10 AR111")</f>
        <v>2xGU10 AR111</v>
      </c>
      <c r="G695" s="97" t="str">
        <f>IFERROR(__xludf.DUMMYFUNCTION("""COMPUTED_VALUE"""),"N/A")</f>
        <v>N/A</v>
      </c>
      <c r="H695" s="97" t="str">
        <f>IFERROR(__xludf.DUMMYFUNCTION("""COMPUTED_VALUE"""),"N/A")</f>
        <v>N/A</v>
      </c>
      <c r="I695" s="97" t="str">
        <f>IFERROR(__xludf.DUMMYFUNCTION("""COMPUTED_VALUE"""),"N/A")</f>
        <v>N/A</v>
      </c>
      <c r="J695" s="97" t="str">
        <f>IFERROR(__xludf.DUMMYFUNCTION("""COMPUTED_VALUE"""),"N/A")</f>
        <v>N/A</v>
      </c>
      <c r="K695" s="97" t="str">
        <f>IFERROR(__xludf.DUMMYFUNCTION("""COMPUTED_VALUE"""),"N/A")</f>
        <v>N/A</v>
      </c>
      <c r="L695" s="97">
        <f>IFERROR(__xludf.DUMMYFUNCTION("""COMPUTED_VALUE"""),220.0)</f>
        <v>220</v>
      </c>
      <c r="M695" s="97">
        <f>IFERROR(__xludf.DUMMYFUNCTION("""COMPUTED_VALUE"""),50.0)</f>
        <v>50</v>
      </c>
      <c r="N695" s="97"/>
      <c r="O695" s="97" t="str">
        <f>IFERROR(__xludf.DUMMYFUNCTION("""COMPUTED_VALUE"""),"2 x 50W Max")</f>
        <v>2 x 50W Max</v>
      </c>
      <c r="P695" s="97"/>
      <c r="Q695" s="97" t="str">
        <f>IFERROR(__xludf.DUMMYFUNCTION("""COMPUTED_VALUE"""),"-")</f>
        <v>-</v>
      </c>
      <c r="R695" s="97" t="str">
        <f>IFERROR(__xludf.DUMMYFUNCTION("""COMPUTED_VALUE"""),"-")</f>
        <v>-</v>
      </c>
      <c r="S695" s="97" t="str">
        <f>IFERROR(__xludf.DUMMYFUNCTION("""COMPUTED_VALUE"""),"-")</f>
        <v>-</v>
      </c>
      <c r="T695" s="97" t="str">
        <f>IFERROR(__xludf.DUMMYFUNCTION("""COMPUTED_VALUE"""),"-")</f>
        <v>-</v>
      </c>
      <c r="U695" s="97" t="str">
        <f>IFERROR(__xludf.DUMMYFUNCTION("""COMPUTED_VALUE"""),"-")</f>
        <v>-</v>
      </c>
      <c r="V695" s="97" t="str">
        <f>IFERROR(__xludf.DUMMYFUNCTION("""COMPUTED_VALUE"""),"N/A")</f>
        <v>N/A</v>
      </c>
      <c r="W695" s="97" t="str">
        <f>IFERROR(__xludf.DUMMYFUNCTION("""COMPUTED_VALUE"""),"N/A")</f>
        <v>N/A</v>
      </c>
      <c r="X695" s="97" t="str">
        <f>IFERROR(__xludf.DUMMYFUNCTION("""COMPUTED_VALUE"""),"-")</f>
        <v>-</v>
      </c>
      <c r="Y695" s="97" t="str">
        <f>IFERROR(__xludf.DUMMYFUNCTION("""COMPUTED_VALUE"""),"N/A")</f>
        <v>N/A</v>
      </c>
      <c r="Z695" s="97" t="str">
        <f>IFERROR(__xludf.DUMMYFUNCTION("""COMPUTED_VALUE"""),"N/A")</f>
        <v>N/A</v>
      </c>
      <c r="AA695" s="97" t="str">
        <f>IFERROR(__xludf.DUMMYFUNCTION("""COMPUTED_VALUE"""),"N/A")</f>
        <v>N/A</v>
      </c>
      <c r="AB695" s="97" t="str">
        <f>IFERROR(__xludf.DUMMYFUNCTION("""COMPUTED_VALUE"""),"N/A")</f>
        <v>N/A</v>
      </c>
      <c r="AC695" s="97" t="str">
        <f>IFERROR(__xludf.DUMMYFUNCTION("""COMPUTED_VALUE"""),"N/A")</f>
        <v>N/A</v>
      </c>
      <c r="AD695" s="97" t="str">
        <f>IFERROR(__xludf.DUMMYFUNCTION("""COMPUTED_VALUE"""),"IP20")</f>
        <v>IP20</v>
      </c>
      <c r="AE695" s="97" t="str">
        <f>IFERROR(__xludf.DUMMYFUNCTION("""COMPUTED_VALUE"""),"Clase l")</f>
        <v>Clase l</v>
      </c>
      <c r="AF695" s="97" t="str">
        <f>IFERROR(__xludf.DUMMYFUNCTION("""COMPUTED_VALUE"""),"Embutir")</f>
        <v>Embutir</v>
      </c>
      <c r="AG695" s="97" t="str">
        <f>IFERROR(__xludf.DUMMYFUNCTION("""COMPUTED_VALUE"""),"307 x 170 x 99")</f>
        <v>307 x 170 x 99</v>
      </c>
      <c r="AH695" s="97" t="str">
        <f>IFERROR(__xludf.DUMMYFUNCTION("""COMPUTED_VALUE"""),"292 x 154 ")</f>
        <v>292 x 154 </v>
      </c>
      <c r="AI695" s="97">
        <f>IFERROR(__xludf.DUMMYFUNCTION("""COMPUTED_VALUE"""),105.0)</f>
        <v>105</v>
      </c>
      <c r="AJ695" s="97" t="str">
        <f>IFERROR(__xludf.DUMMYFUNCTION("""COMPUTED_VALUE"""),"N/A")</f>
        <v>N/A</v>
      </c>
      <c r="AK695" s="97" t="str">
        <f>IFERROR(__xludf.DUMMYFUNCTION("""COMPUTED_VALUE"""),"Acero y Aluminio")</f>
        <v>Acero y Aluminio</v>
      </c>
      <c r="AL695" s="97" t="str">
        <f>IFERROR(__xludf.DUMMYFUNCTION("""COMPUTED_VALUE"""),"Negro Satinado")</f>
        <v>Negro Satinado</v>
      </c>
      <c r="AM695" s="97" t="str">
        <f>IFERROR(__xludf.DUMMYFUNCTION("""COMPUTED_VALUE"""),"-")</f>
        <v>-</v>
      </c>
      <c r="AN695" s="97" t="str">
        <f>IFERROR(__xludf.DUMMYFUNCTION("""COMPUTED_VALUE"""),"N/A")</f>
        <v>N/A</v>
      </c>
      <c r="AO695" s="97" t="str">
        <f>IFERROR(__xludf.DUMMYFUNCTION("""COMPUTED_VALUE"""),"3 Años")</f>
        <v>3 Años</v>
      </c>
      <c r="AP695" s="97" t="str">
        <f>IFERROR(__xludf.DUMMYFUNCTION("""COMPUTED_VALUE"""),"No Aplica")</f>
        <v>No Aplica</v>
      </c>
      <c r="AQ695" s="97" t="str">
        <f>IFERROR(__xludf.DUMMYFUNCTION("""COMPUTED_VALUE"""),"No Aplica")</f>
        <v>No Aplica</v>
      </c>
      <c r="AR695" s="97" t="str">
        <f>IFERROR(__xludf.DUMMYFUNCTION("""COMPUTED_VALUE"""),"No Aplica")</f>
        <v>No Aplica</v>
      </c>
      <c r="AS695" s="97"/>
      <c r="AT695" s="97"/>
      <c r="AU695" s="97" t="str">
        <f>IFERROR(__xludf.DUMMYFUNCTION("""COMPUTED_VALUE"""),"Falta")</f>
        <v>Falta</v>
      </c>
      <c r="AV695" s="97" t="str">
        <f>IFERROR(__xludf.DUMMYFUNCTION("""COMPUTED_VALUE"""),"Empotrable")</f>
        <v>Empotrable</v>
      </c>
      <c r="AW695" s="97" t="str">
        <f>IFERROR(__xludf.DUMMYFUNCTION("""COMPUTED_VALUE"""),"De Techo")</f>
        <v>De Techo</v>
      </c>
      <c r="AX695" s="97" t="str">
        <f>IFERROR(__xludf.DUMMYFUNCTION("""COMPUTED_VALUE"""),"Interior")</f>
        <v>Interior</v>
      </c>
      <c r="AY695" s="97" t="str">
        <f>IFERROR(__xludf.DUMMYFUNCTION("""COMPUTED_VALUE"""),"Cardánico")</f>
        <v>Cardánico</v>
      </c>
      <c r="AZ695" s="97" t="str">
        <f>IFERROR(__xludf.DUMMYFUNCTION("""COMPUTED_VALUE"""),"Incluye zócalo GU10 c/cable 20cm.")</f>
        <v>Incluye zócalo GU10 c/cable 20cm.</v>
      </c>
      <c r="BA695" s="97">
        <f>IFERROR(__xludf.DUMMYFUNCTION("""COMPUTED_VALUE"""),20.0)</f>
        <v>20</v>
      </c>
      <c r="BB695" s="97" t="str">
        <f>IFERROR(__xludf.DUMMYFUNCTION("""COMPUTED_VALUE"""),"-")</f>
        <v>-</v>
      </c>
      <c r="BC695" s="97" t="str">
        <f>IFERROR(__xludf.DUMMYFUNCTION("""COMPUTED_VALUE"""),"-")</f>
        <v>-</v>
      </c>
      <c r="BD695" s="97" t="str">
        <f>IFERROR(__xludf.DUMMYFUNCTION("""COMPUTED_VALUE"""),"MILA ")</f>
        <v>MILA </v>
      </c>
      <c r="BE695" s="97" t="str">
        <f>IFERROR(__xludf.DUMMYFUNCTION("""COMPUTED_VALUE"""),"Finalizada")</f>
        <v>Finalizada</v>
      </c>
      <c r="BF695" s="97"/>
      <c r="BG695" s="97" t="str">
        <f>IFERROR(__xludf.DUMMYFUNCTION("""COMPUTED_VALUE"""),"Activo")</f>
        <v>Activo</v>
      </c>
    </row>
    <row r="696">
      <c r="A696" s="97">
        <f>IFERROR(__xludf.DUMMYFUNCTION("""COMPUTED_VALUE"""),6455.0)</f>
        <v>6455</v>
      </c>
      <c r="B696" s="97" t="str">
        <f>IFERROR(__xludf.DUMMYFUNCTION("""COMPUTED_VALUE"""),"MILA II BL")</f>
        <v>MILA II BL</v>
      </c>
      <c r="C696" s="97" t="str">
        <f>IFERROR(__xludf.DUMMYFUNCTION("""COMPUTED_VALUE"""),"EMPOTRABLE MILA II BL 2XGU10 AR111 IP20 LEUK")</f>
        <v>EMPOTRABLE MILA II BL 2XGU10 AR111 IP20 LEUK</v>
      </c>
      <c r="D696" s="97">
        <f>IFERROR(__xludf.DUMMYFUNCTION("""COMPUTED_VALUE"""),7.798328754332E12)</f>
        <v>7798328754332</v>
      </c>
      <c r="E696" s="97"/>
      <c r="F696" s="97" t="str">
        <f>IFERROR(__xludf.DUMMYFUNCTION("""COMPUTED_VALUE"""),"2xGU10 AR111")</f>
        <v>2xGU10 AR111</v>
      </c>
      <c r="G696" s="97" t="str">
        <f>IFERROR(__xludf.DUMMYFUNCTION("""COMPUTED_VALUE"""),"N/A")</f>
        <v>N/A</v>
      </c>
      <c r="H696" s="97" t="str">
        <f>IFERROR(__xludf.DUMMYFUNCTION("""COMPUTED_VALUE"""),"N/A")</f>
        <v>N/A</v>
      </c>
      <c r="I696" s="97" t="str">
        <f>IFERROR(__xludf.DUMMYFUNCTION("""COMPUTED_VALUE"""),"N/A")</f>
        <v>N/A</v>
      </c>
      <c r="J696" s="97" t="str">
        <f>IFERROR(__xludf.DUMMYFUNCTION("""COMPUTED_VALUE"""),"N/A")</f>
        <v>N/A</v>
      </c>
      <c r="K696" s="97" t="str">
        <f>IFERROR(__xludf.DUMMYFUNCTION("""COMPUTED_VALUE"""),"N/A")</f>
        <v>N/A</v>
      </c>
      <c r="L696" s="97">
        <f>IFERROR(__xludf.DUMMYFUNCTION("""COMPUTED_VALUE"""),220.0)</f>
        <v>220</v>
      </c>
      <c r="M696" s="97">
        <f>IFERROR(__xludf.DUMMYFUNCTION("""COMPUTED_VALUE"""),50.0)</f>
        <v>50</v>
      </c>
      <c r="N696" s="97"/>
      <c r="O696" s="97" t="str">
        <f>IFERROR(__xludf.DUMMYFUNCTION("""COMPUTED_VALUE"""),"2 x 50W Max")</f>
        <v>2 x 50W Max</v>
      </c>
      <c r="P696" s="97"/>
      <c r="Q696" s="97" t="str">
        <f>IFERROR(__xludf.DUMMYFUNCTION("""COMPUTED_VALUE"""),"-")</f>
        <v>-</v>
      </c>
      <c r="R696" s="97" t="str">
        <f>IFERROR(__xludf.DUMMYFUNCTION("""COMPUTED_VALUE"""),"-")</f>
        <v>-</v>
      </c>
      <c r="S696" s="97" t="str">
        <f>IFERROR(__xludf.DUMMYFUNCTION("""COMPUTED_VALUE"""),"-")</f>
        <v>-</v>
      </c>
      <c r="T696" s="97" t="str">
        <f>IFERROR(__xludf.DUMMYFUNCTION("""COMPUTED_VALUE"""),"-")</f>
        <v>-</v>
      </c>
      <c r="U696" s="97" t="str">
        <f>IFERROR(__xludf.DUMMYFUNCTION("""COMPUTED_VALUE"""),"-")</f>
        <v>-</v>
      </c>
      <c r="V696" s="97" t="str">
        <f>IFERROR(__xludf.DUMMYFUNCTION("""COMPUTED_VALUE"""),"N/A")</f>
        <v>N/A</v>
      </c>
      <c r="W696" s="97" t="str">
        <f>IFERROR(__xludf.DUMMYFUNCTION("""COMPUTED_VALUE"""),"N/A")</f>
        <v>N/A</v>
      </c>
      <c r="X696" s="97" t="str">
        <f>IFERROR(__xludf.DUMMYFUNCTION("""COMPUTED_VALUE"""),"-")</f>
        <v>-</v>
      </c>
      <c r="Y696" s="97" t="str">
        <f>IFERROR(__xludf.DUMMYFUNCTION("""COMPUTED_VALUE"""),"N/A")</f>
        <v>N/A</v>
      </c>
      <c r="Z696" s="97" t="str">
        <f>IFERROR(__xludf.DUMMYFUNCTION("""COMPUTED_VALUE"""),"N/A")</f>
        <v>N/A</v>
      </c>
      <c r="AA696" s="97" t="str">
        <f>IFERROR(__xludf.DUMMYFUNCTION("""COMPUTED_VALUE"""),"N/A")</f>
        <v>N/A</v>
      </c>
      <c r="AB696" s="97" t="str">
        <f>IFERROR(__xludf.DUMMYFUNCTION("""COMPUTED_VALUE"""),"N/A")</f>
        <v>N/A</v>
      </c>
      <c r="AC696" s="97" t="str">
        <f>IFERROR(__xludf.DUMMYFUNCTION("""COMPUTED_VALUE"""),"N/A")</f>
        <v>N/A</v>
      </c>
      <c r="AD696" s="97" t="str">
        <f>IFERROR(__xludf.DUMMYFUNCTION("""COMPUTED_VALUE"""),"IP20")</f>
        <v>IP20</v>
      </c>
      <c r="AE696" s="97" t="str">
        <f>IFERROR(__xludf.DUMMYFUNCTION("""COMPUTED_VALUE"""),"Clase l")</f>
        <v>Clase l</v>
      </c>
      <c r="AF696" s="97" t="str">
        <f>IFERROR(__xludf.DUMMYFUNCTION("""COMPUTED_VALUE"""),"Embutir")</f>
        <v>Embutir</v>
      </c>
      <c r="AG696" s="97" t="str">
        <f>IFERROR(__xludf.DUMMYFUNCTION("""COMPUTED_VALUE"""),"307 x 170 x 99")</f>
        <v>307 x 170 x 99</v>
      </c>
      <c r="AH696" s="97" t="str">
        <f>IFERROR(__xludf.DUMMYFUNCTION("""COMPUTED_VALUE"""),"292 x 154 ")</f>
        <v>292 x 154 </v>
      </c>
      <c r="AI696" s="97">
        <f>IFERROR(__xludf.DUMMYFUNCTION("""COMPUTED_VALUE"""),105.0)</f>
        <v>105</v>
      </c>
      <c r="AJ696" s="97" t="str">
        <f>IFERROR(__xludf.DUMMYFUNCTION("""COMPUTED_VALUE"""),"N/A")</f>
        <v>N/A</v>
      </c>
      <c r="AK696" s="97" t="str">
        <f>IFERROR(__xludf.DUMMYFUNCTION("""COMPUTED_VALUE"""),"Acero y Aluminio")</f>
        <v>Acero y Aluminio</v>
      </c>
      <c r="AL696" s="97" t="str">
        <f>IFERROR(__xludf.DUMMYFUNCTION("""COMPUTED_VALUE"""),"Blanco Satinado")</f>
        <v>Blanco Satinado</v>
      </c>
      <c r="AM696" s="97" t="str">
        <f>IFERROR(__xludf.DUMMYFUNCTION("""COMPUTED_VALUE"""),"-")</f>
        <v>-</v>
      </c>
      <c r="AN696" s="97" t="str">
        <f>IFERROR(__xludf.DUMMYFUNCTION("""COMPUTED_VALUE"""),"N/A")</f>
        <v>N/A</v>
      </c>
      <c r="AO696" s="97" t="str">
        <f>IFERROR(__xludf.DUMMYFUNCTION("""COMPUTED_VALUE"""),"3 Años")</f>
        <v>3 Años</v>
      </c>
      <c r="AP696" s="97" t="str">
        <f>IFERROR(__xludf.DUMMYFUNCTION("""COMPUTED_VALUE"""),"No Aplica")</f>
        <v>No Aplica</v>
      </c>
      <c r="AQ696" s="97" t="str">
        <f>IFERROR(__xludf.DUMMYFUNCTION("""COMPUTED_VALUE"""),"No Aplica")</f>
        <v>No Aplica</v>
      </c>
      <c r="AR696" s="97" t="str">
        <f>IFERROR(__xludf.DUMMYFUNCTION("""COMPUTED_VALUE"""),"No Aplica")</f>
        <v>No Aplica</v>
      </c>
      <c r="AS696" s="97"/>
      <c r="AT696" s="97"/>
      <c r="AU696" s="97" t="str">
        <f>IFERROR(__xludf.DUMMYFUNCTION("""COMPUTED_VALUE"""),"Falta")</f>
        <v>Falta</v>
      </c>
      <c r="AV696" s="97" t="str">
        <f>IFERROR(__xludf.DUMMYFUNCTION("""COMPUTED_VALUE"""),"Empotrable")</f>
        <v>Empotrable</v>
      </c>
      <c r="AW696" s="97" t="str">
        <f>IFERROR(__xludf.DUMMYFUNCTION("""COMPUTED_VALUE"""),"De Techo")</f>
        <v>De Techo</v>
      </c>
      <c r="AX696" s="97" t="str">
        <f>IFERROR(__xludf.DUMMYFUNCTION("""COMPUTED_VALUE"""),"Interior")</f>
        <v>Interior</v>
      </c>
      <c r="AY696" s="97" t="str">
        <f>IFERROR(__xludf.DUMMYFUNCTION("""COMPUTED_VALUE"""),"Cardánico")</f>
        <v>Cardánico</v>
      </c>
      <c r="AZ696" s="97" t="str">
        <f>IFERROR(__xludf.DUMMYFUNCTION("""COMPUTED_VALUE"""),"Incluye zócalo GU10 c/cable 20cm.")</f>
        <v>Incluye zócalo GU10 c/cable 20cm.</v>
      </c>
      <c r="BA696" s="97">
        <f>IFERROR(__xludf.DUMMYFUNCTION("""COMPUTED_VALUE"""),20.0)</f>
        <v>20</v>
      </c>
      <c r="BB696" s="97" t="str">
        <f>IFERROR(__xludf.DUMMYFUNCTION("""COMPUTED_VALUE"""),"-")</f>
        <v>-</v>
      </c>
      <c r="BC696" s="97" t="str">
        <f>IFERROR(__xludf.DUMMYFUNCTION("""COMPUTED_VALUE"""),"-")</f>
        <v>-</v>
      </c>
      <c r="BD696" s="97" t="str">
        <f>IFERROR(__xludf.DUMMYFUNCTION("""COMPUTED_VALUE"""),"MILA ")</f>
        <v>MILA </v>
      </c>
      <c r="BE696" s="97" t="str">
        <f>IFERROR(__xludf.DUMMYFUNCTION("""COMPUTED_VALUE"""),"Finalizada")</f>
        <v>Finalizada</v>
      </c>
      <c r="BF696" s="97"/>
      <c r="BG696" s="97" t="str">
        <f>IFERROR(__xludf.DUMMYFUNCTION("""COMPUTED_VALUE"""),"Activo")</f>
        <v>Activo</v>
      </c>
    </row>
    <row r="697">
      <c r="A697" s="97">
        <f>IFERROR(__xludf.DUMMYFUNCTION("""COMPUTED_VALUE"""),6456.0)</f>
        <v>6456</v>
      </c>
      <c r="B697" s="97" t="str">
        <f>IFERROR(__xludf.DUMMYFUNCTION("""COMPUTED_VALUE"""),"ANTON III NG")</f>
        <v>ANTON III NG</v>
      </c>
      <c r="C697" s="97" t="str">
        <f>IFERROR(__xludf.DUMMYFUNCTION("""COMPUTED_VALUE"""),"APLIQUE ANTON III NG 3XGU10 DICRO IP20 LEUK")</f>
        <v>APLIQUE ANTON III NG 3XGU10 DICRO IP20 LEUK</v>
      </c>
      <c r="D697" s="97">
        <f>IFERROR(__xludf.DUMMYFUNCTION("""COMPUTED_VALUE"""),7.798328754349E12)</f>
        <v>7798328754349</v>
      </c>
      <c r="E697" s="97"/>
      <c r="F697" s="97" t="str">
        <f>IFERROR(__xludf.DUMMYFUNCTION("""COMPUTED_VALUE"""),"3xGU10 Dicro")</f>
        <v>3xGU10 Dicro</v>
      </c>
      <c r="G697" s="97" t="str">
        <f>IFERROR(__xludf.DUMMYFUNCTION("""COMPUTED_VALUE"""),"N/A")</f>
        <v>N/A</v>
      </c>
      <c r="H697" s="97" t="str">
        <f>IFERROR(__xludf.DUMMYFUNCTION("""COMPUTED_VALUE"""),"N/A")</f>
        <v>N/A</v>
      </c>
      <c r="I697" s="97" t="str">
        <f>IFERROR(__xludf.DUMMYFUNCTION("""COMPUTED_VALUE"""),"N/A")</f>
        <v>N/A</v>
      </c>
      <c r="J697" s="97" t="str">
        <f>IFERROR(__xludf.DUMMYFUNCTION("""COMPUTED_VALUE"""),"N/A")</f>
        <v>N/A</v>
      </c>
      <c r="K697" s="97" t="str">
        <f>IFERROR(__xludf.DUMMYFUNCTION("""COMPUTED_VALUE"""),"N/A")</f>
        <v>N/A</v>
      </c>
      <c r="L697" s="97">
        <f>IFERROR(__xludf.DUMMYFUNCTION("""COMPUTED_VALUE"""),220.0)</f>
        <v>220</v>
      </c>
      <c r="M697" s="97">
        <f>IFERROR(__xludf.DUMMYFUNCTION("""COMPUTED_VALUE"""),50.0)</f>
        <v>50</v>
      </c>
      <c r="N697" s="97"/>
      <c r="O697" s="97" t="str">
        <f>IFERROR(__xludf.DUMMYFUNCTION("""COMPUTED_VALUE"""),"3 x 50W Max")</f>
        <v>3 x 50W Max</v>
      </c>
      <c r="P697" s="97"/>
      <c r="Q697" s="97" t="str">
        <f>IFERROR(__xludf.DUMMYFUNCTION("""COMPUTED_VALUE"""),"-")</f>
        <v>-</v>
      </c>
      <c r="R697" s="97" t="str">
        <f>IFERROR(__xludf.DUMMYFUNCTION("""COMPUTED_VALUE"""),"-")</f>
        <v>-</v>
      </c>
      <c r="S697" s="97" t="str">
        <f>IFERROR(__xludf.DUMMYFUNCTION("""COMPUTED_VALUE"""),"-")</f>
        <v>-</v>
      </c>
      <c r="T697" s="97" t="str">
        <f>IFERROR(__xludf.DUMMYFUNCTION("""COMPUTED_VALUE"""),"-")</f>
        <v>-</v>
      </c>
      <c r="U697" s="97" t="str">
        <f>IFERROR(__xludf.DUMMYFUNCTION("""COMPUTED_VALUE"""),"-")</f>
        <v>-</v>
      </c>
      <c r="V697" s="97" t="str">
        <f>IFERROR(__xludf.DUMMYFUNCTION("""COMPUTED_VALUE"""),"N/A")</f>
        <v>N/A</v>
      </c>
      <c r="W697" s="97" t="str">
        <f>IFERROR(__xludf.DUMMYFUNCTION("""COMPUTED_VALUE"""),"N/A")</f>
        <v>N/A</v>
      </c>
      <c r="X697" s="97" t="str">
        <f>IFERROR(__xludf.DUMMYFUNCTION("""COMPUTED_VALUE"""),"-")</f>
        <v>-</v>
      </c>
      <c r="Y697" s="97" t="str">
        <f>IFERROR(__xludf.DUMMYFUNCTION("""COMPUTED_VALUE"""),"N/A")</f>
        <v>N/A</v>
      </c>
      <c r="Z697" s="97" t="str">
        <f>IFERROR(__xludf.DUMMYFUNCTION("""COMPUTED_VALUE"""),"N/A")</f>
        <v>N/A</v>
      </c>
      <c r="AA697" s="97" t="str">
        <f>IFERROR(__xludf.DUMMYFUNCTION("""COMPUTED_VALUE"""),"N/A")</f>
        <v>N/A</v>
      </c>
      <c r="AB697" s="97" t="str">
        <f>IFERROR(__xludf.DUMMYFUNCTION("""COMPUTED_VALUE"""),"N/A")</f>
        <v>N/A</v>
      </c>
      <c r="AC697" s="97" t="str">
        <f>IFERROR(__xludf.DUMMYFUNCTION("""COMPUTED_VALUE"""),"N/A")</f>
        <v>N/A</v>
      </c>
      <c r="AD697" s="97" t="str">
        <f>IFERROR(__xludf.DUMMYFUNCTION("""COMPUTED_VALUE"""),"IP20")</f>
        <v>IP20</v>
      </c>
      <c r="AE697" s="97" t="str">
        <f>IFERROR(__xludf.DUMMYFUNCTION("""COMPUTED_VALUE"""),"Clase l")</f>
        <v>Clase l</v>
      </c>
      <c r="AF697" s="97" t="str">
        <f>IFERROR(__xludf.DUMMYFUNCTION("""COMPUTED_VALUE"""),"Aplicar")</f>
        <v>Aplicar</v>
      </c>
      <c r="AG697" s="97" t="str">
        <f>IFERROR(__xludf.DUMMYFUNCTION("""COMPUTED_VALUE"""),"242 x 90 x 87")</f>
        <v>242 x 90 x 87</v>
      </c>
      <c r="AH697" s="97" t="str">
        <f>IFERROR(__xludf.DUMMYFUNCTION("""COMPUTED_VALUE"""),"N/A")</f>
        <v>N/A</v>
      </c>
      <c r="AI697" s="97" t="str">
        <f>IFERROR(__xludf.DUMMYFUNCTION("""COMPUTED_VALUE"""),"N/A")</f>
        <v>N/A</v>
      </c>
      <c r="AJ697" s="97" t="str">
        <f>IFERROR(__xludf.DUMMYFUNCTION("""COMPUTED_VALUE"""),"N/A")</f>
        <v>N/A</v>
      </c>
      <c r="AK697" s="97" t="str">
        <f>IFERROR(__xludf.DUMMYFUNCTION("""COMPUTED_VALUE"""),"Acero y Aluminio")</f>
        <v>Acero y Aluminio</v>
      </c>
      <c r="AL697" s="97" t="str">
        <f>IFERROR(__xludf.DUMMYFUNCTION("""COMPUTED_VALUE"""),"Negro Satinado")</f>
        <v>Negro Satinado</v>
      </c>
      <c r="AM697" s="97" t="str">
        <f>IFERROR(__xludf.DUMMYFUNCTION("""COMPUTED_VALUE"""),"-")</f>
        <v>-</v>
      </c>
      <c r="AN697" s="97" t="str">
        <f>IFERROR(__xludf.DUMMYFUNCTION("""COMPUTED_VALUE"""),"N/A")</f>
        <v>N/A</v>
      </c>
      <c r="AO697" s="97" t="str">
        <f>IFERROR(__xludf.DUMMYFUNCTION("""COMPUTED_VALUE"""),"3 Años")</f>
        <v>3 Años</v>
      </c>
      <c r="AP697" s="97" t="str">
        <f>IFERROR(__xludf.DUMMYFUNCTION("""COMPUTED_VALUE"""),"No Aplica")</f>
        <v>No Aplica</v>
      </c>
      <c r="AQ697" s="97" t="str">
        <f>IFERROR(__xludf.DUMMYFUNCTION("""COMPUTED_VALUE"""),"No Aplica")</f>
        <v>No Aplica</v>
      </c>
      <c r="AR697" s="97" t="str">
        <f>IFERROR(__xludf.DUMMYFUNCTION("""COMPUTED_VALUE"""),"No Aplica")</f>
        <v>No Aplica</v>
      </c>
      <c r="AS697" s="97"/>
      <c r="AT697" s="97"/>
      <c r="AU697" s="97" t="str">
        <f>IFERROR(__xludf.DUMMYFUNCTION("""COMPUTED_VALUE"""),"Falta")</f>
        <v>Falta</v>
      </c>
      <c r="AV697" s="97" t="str">
        <f>IFERROR(__xludf.DUMMYFUNCTION("""COMPUTED_VALUE"""),"Aplique")</f>
        <v>Aplique</v>
      </c>
      <c r="AW697" s="97" t="str">
        <f>IFERROR(__xludf.DUMMYFUNCTION("""COMPUTED_VALUE"""),"De Techo")</f>
        <v>De Techo</v>
      </c>
      <c r="AX697" s="97" t="str">
        <f>IFERROR(__xludf.DUMMYFUNCTION("""COMPUTED_VALUE"""),"Interior")</f>
        <v>Interior</v>
      </c>
      <c r="AY697" s="97" t="str">
        <f>IFERROR(__xludf.DUMMYFUNCTION("""COMPUTED_VALUE"""),"Cardánico")</f>
        <v>Cardánico</v>
      </c>
      <c r="AZ697" s="97" t="str">
        <f>IFERROR(__xludf.DUMMYFUNCTION("""COMPUTED_VALUE"""),"Incluye zócalo GU10 c/cable 20cm.")</f>
        <v>Incluye zócalo GU10 c/cable 20cm.</v>
      </c>
      <c r="BA697" s="97">
        <f>IFERROR(__xludf.DUMMYFUNCTION("""COMPUTED_VALUE"""),20.0)</f>
        <v>20</v>
      </c>
      <c r="BB697" s="97" t="str">
        <f>IFERROR(__xludf.DUMMYFUNCTION("""COMPUTED_VALUE"""),"-")</f>
        <v>-</v>
      </c>
      <c r="BC697" s="97" t="str">
        <f>IFERROR(__xludf.DUMMYFUNCTION("""COMPUTED_VALUE"""),"-")</f>
        <v>-</v>
      </c>
      <c r="BD697" s="97" t="str">
        <f>IFERROR(__xludf.DUMMYFUNCTION("""COMPUTED_VALUE"""),"ANTON")</f>
        <v>ANTON</v>
      </c>
      <c r="BE697" s="97" t="str">
        <f>IFERROR(__xludf.DUMMYFUNCTION("""COMPUTED_VALUE"""),"Finalizada")</f>
        <v>Finalizada</v>
      </c>
      <c r="BF697" s="97"/>
      <c r="BG697" s="97" t="str">
        <f>IFERROR(__xludf.DUMMYFUNCTION("""COMPUTED_VALUE"""),"Activo")</f>
        <v>Activo</v>
      </c>
    </row>
    <row r="698">
      <c r="A698" s="97">
        <f>IFERROR(__xludf.DUMMYFUNCTION("""COMPUTED_VALUE"""),6457.0)</f>
        <v>6457</v>
      </c>
      <c r="B698" s="97" t="str">
        <f>IFERROR(__xludf.DUMMYFUNCTION("""COMPUTED_VALUE"""),"ANTON III BL")</f>
        <v>ANTON III BL</v>
      </c>
      <c r="C698" s="97" t="str">
        <f>IFERROR(__xludf.DUMMYFUNCTION("""COMPUTED_VALUE"""),"APLIQUE ANTON III BL 3XGU10 DICRO IP20 LEUK")</f>
        <v>APLIQUE ANTON III BL 3XGU10 DICRO IP20 LEUK</v>
      </c>
      <c r="D698" s="97">
        <f>IFERROR(__xludf.DUMMYFUNCTION("""COMPUTED_VALUE"""),7.798328754356E12)</f>
        <v>7798328754356</v>
      </c>
      <c r="E698" s="97" t="str">
        <f>IFERROR(__xludf.DUMMYFUNCTION("""COMPUTED_VALUE"""),"b147")</f>
        <v>b147</v>
      </c>
      <c r="F698" s="97" t="str">
        <f>IFERROR(__xludf.DUMMYFUNCTION("""COMPUTED_VALUE"""),"3xGU10 Dicro")</f>
        <v>3xGU10 Dicro</v>
      </c>
      <c r="G698" s="97" t="str">
        <f>IFERROR(__xludf.DUMMYFUNCTION("""COMPUTED_VALUE"""),"N/A")</f>
        <v>N/A</v>
      </c>
      <c r="H698" s="97" t="str">
        <f>IFERROR(__xludf.DUMMYFUNCTION("""COMPUTED_VALUE"""),"N/A")</f>
        <v>N/A</v>
      </c>
      <c r="I698" s="97" t="str">
        <f>IFERROR(__xludf.DUMMYFUNCTION("""COMPUTED_VALUE"""),"N/A")</f>
        <v>N/A</v>
      </c>
      <c r="J698" s="97" t="str">
        <f>IFERROR(__xludf.DUMMYFUNCTION("""COMPUTED_VALUE"""),"N/A")</f>
        <v>N/A</v>
      </c>
      <c r="K698" s="97" t="str">
        <f>IFERROR(__xludf.DUMMYFUNCTION("""COMPUTED_VALUE"""),"N/A")</f>
        <v>N/A</v>
      </c>
      <c r="L698" s="97">
        <f>IFERROR(__xludf.DUMMYFUNCTION("""COMPUTED_VALUE"""),220.0)</f>
        <v>220</v>
      </c>
      <c r="M698" s="97">
        <f>IFERROR(__xludf.DUMMYFUNCTION("""COMPUTED_VALUE"""),50.0)</f>
        <v>50</v>
      </c>
      <c r="N698" s="97"/>
      <c r="O698" s="97" t="str">
        <f>IFERROR(__xludf.DUMMYFUNCTION("""COMPUTED_VALUE"""),"3 x 50W Max")</f>
        <v>3 x 50W Max</v>
      </c>
      <c r="P698" s="97"/>
      <c r="Q698" s="97" t="str">
        <f>IFERROR(__xludf.DUMMYFUNCTION("""COMPUTED_VALUE"""),"-")</f>
        <v>-</v>
      </c>
      <c r="R698" s="97" t="str">
        <f>IFERROR(__xludf.DUMMYFUNCTION("""COMPUTED_VALUE"""),"-")</f>
        <v>-</v>
      </c>
      <c r="S698" s="97" t="str">
        <f>IFERROR(__xludf.DUMMYFUNCTION("""COMPUTED_VALUE"""),"-")</f>
        <v>-</v>
      </c>
      <c r="T698" s="97" t="str">
        <f>IFERROR(__xludf.DUMMYFUNCTION("""COMPUTED_VALUE"""),"-")</f>
        <v>-</v>
      </c>
      <c r="U698" s="97" t="str">
        <f>IFERROR(__xludf.DUMMYFUNCTION("""COMPUTED_VALUE"""),"-")</f>
        <v>-</v>
      </c>
      <c r="V698" s="97" t="str">
        <f>IFERROR(__xludf.DUMMYFUNCTION("""COMPUTED_VALUE"""),"N/A")</f>
        <v>N/A</v>
      </c>
      <c r="W698" s="97" t="str">
        <f>IFERROR(__xludf.DUMMYFUNCTION("""COMPUTED_VALUE"""),"N/A")</f>
        <v>N/A</v>
      </c>
      <c r="X698" s="97" t="str">
        <f>IFERROR(__xludf.DUMMYFUNCTION("""COMPUTED_VALUE"""),"-")</f>
        <v>-</v>
      </c>
      <c r="Y698" s="97" t="str">
        <f>IFERROR(__xludf.DUMMYFUNCTION("""COMPUTED_VALUE"""),"N/A")</f>
        <v>N/A</v>
      </c>
      <c r="Z698" s="97" t="str">
        <f>IFERROR(__xludf.DUMMYFUNCTION("""COMPUTED_VALUE"""),"N/A")</f>
        <v>N/A</v>
      </c>
      <c r="AA698" s="97" t="str">
        <f>IFERROR(__xludf.DUMMYFUNCTION("""COMPUTED_VALUE"""),"N/A")</f>
        <v>N/A</v>
      </c>
      <c r="AB698" s="97" t="str">
        <f>IFERROR(__xludf.DUMMYFUNCTION("""COMPUTED_VALUE"""),"N/A")</f>
        <v>N/A</v>
      </c>
      <c r="AC698" s="97" t="str">
        <f>IFERROR(__xludf.DUMMYFUNCTION("""COMPUTED_VALUE"""),"N/A")</f>
        <v>N/A</v>
      </c>
      <c r="AD698" s="97" t="str">
        <f>IFERROR(__xludf.DUMMYFUNCTION("""COMPUTED_VALUE"""),"IP20")</f>
        <v>IP20</v>
      </c>
      <c r="AE698" s="97" t="str">
        <f>IFERROR(__xludf.DUMMYFUNCTION("""COMPUTED_VALUE"""),"Clase l")</f>
        <v>Clase l</v>
      </c>
      <c r="AF698" s="97" t="str">
        <f>IFERROR(__xludf.DUMMYFUNCTION("""COMPUTED_VALUE"""),"Aplicar")</f>
        <v>Aplicar</v>
      </c>
      <c r="AG698" s="97" t="str">
        <f>IFERROR(__xludf.DUMMYFUNCTION("""COMPUTED_VALUE"""),"242 x 90 x 87")</f>
        <v>242 x 90 x 87</v>
      </c>
      <c r="AH698" s="97" t="str">
        <f>IFERROR(__xludf.DUMMYFUNCTION("""COMPUTED_VALUE"""),"N/A")</f>
        <v>N/A</v>
      </c>
      <c r="AI698" s="97" t="str">
        <f>IFERROR(__xludf.DUMMYFUNCTION("""COMPUTED_VALUE"""),"N/A")</f>
        <v>N/A</v>
      </c>
      <c r="AJ698" s="97" t="str">
        <f>IFERROR(__xludf.DUMMYFUNCTION("""COMPUTED_VALUE"""),"N/A")</f>
        <v>N/A</v>
      </c>
      <c r="AK698" s="97" t="str">
        <f>IFERROR(__xludf.DUMMYFUNCTION("""COMPUTED_VALUE"""),"Acero y Aluminio")</f>
        <v>Acero y Aluminio</v>
      </c>
      <c r="AL698" s="97" t="str">
        <f>IFERROR(__xludf.DUMMYFUNCTION("""COMPUTED_VALUE"""),"Blanco Satinado")</f>
        <v>Blanco Satinado</v>
      </c>
      <c r="AM698" s="97" t="str">
        <f>IFERROR(__xludf.DUMMYFUNCTION("""COMPUTED_VALUE"""),"-")</f>
        <v>-</v>
      </c>
      <c r="AN698" s="97" t="str">
        <f>IFERROR(__xludf.DUMMYFUNCTION("""COMPUTED_VALUE"""),"N/A")</f>
        <v>N/A</v>
      </c>
      <c r="AO698" s="97" t="str">
        <f>IFERROR(__xludf.DUMMYFUNCTION("""COMPUTED_VALUE"""),"3 Años")</f>
        <v>3 Años</v>
      </c>
      <c r="AP698" s="97" t="str">
        <f>IFERROR(__xludf.DUMMYFUNCTION("""COMPUTED_VALUE"""),"No Aplica")</f>
        <v>No Aplica</v>
      </c>
      <c r="AQ698" s="97" t="str">
        <f>IFERROR(__xludf.DUMMYFUNCTION("""COMPUTED_VALUE"""),"No Aplica")</f>
        <v>No Aplica</v>
      </c>
      <c r="AR698" s="97" t="str">
        <f>IFERROR(__xludf.DUMMYFUNCTION("""COMPUTED_VALUE"""),"No Aplica")</f>
        <v>No Aplica</v>
      </c>
      <c r="AS698" s="97"/>
      <c r="AT698" s="97"/>
      <c r="AU698" s="97" t="str">
        <f>IFERROR(__xludf.DUMMYFUNCTION("""COMPUTED_VALUE"""),"Falta")</f>
        <v>Falta</v>
      </c>
      <c r="AV698" s="97" t="str">
        <f>IFERROR(__xludf.DUMMYFUNCTION("""COMPUTED_VALUE"""),"Aplique")</f>
        <v>Aplique</v>
      </c>
      <c r="AW698" s="97" t="str">
        <f>IFERROR(__xludf.DUMMYFUNCTION("""COMPUTED_VALUE"""),"De Techo")</f>
        <v>De Techo</v>
      </c>
      <c r="AX698" s="97" t="str">
        <f>IFERROR(__xludf.DUMMYFUNCTION("""COMPUTED_VALUE"""),"Interior")</f>
        <v>Interior</v>
      </c>
      <c r="AY698" s="97" t="str">
        <f>IFERROR(__xludf.DUMMYFUNCTION("""COMPUTED_VALUE"""),"Cardánico")</f>
        <v>Cardánico</v>
      </c>
      <c r="AZ698" s="97" t="str">
        <f>IFERROR(__xludf.DUMMYFUNCTION("""COMPUTED_VALUE"""),"Incluye zócalo GU10 c/cable 20cm.")</f>
        <v>Incluye zócalo GU10 c/cable 20cm.</v>
      </c>
      <c r="BA698" s="97">
        <f>IFERROR(__xludf.DUMMYFUNCTION("""COMPUTED_VALUE"""),20.0)</f>
        <v>20</v>
      </c>
      <c r="BB698" s="97" t="str">
        <f>IFERROR(__xludf.DUMMYFUNCTION("""COMPUTED_VALUE"""),"-")</f>
        <v>-</v>
      </c>
      <c r="BC698" s="97" t="str">
        <f>IFERROR(__xludf.DUMMYFUNCTION("""COMPUTED_VALUE"""),"-")</f>
        <v>-</v>
      </c>
      <c r="BD698" s="97" t="str">
        <f>IFERROR(__xludf.DUMMYFUNCTION("""COMPUTED_VALUE"""),"ANTON")</f>
        <v>ANTON</v>
      </c>
      <c r="BE698" s="97" t="str">
        <f>IFERROR(__xludf.DUMMYFUNCTION("""COMPUTED_VALUE"""),"Finalizada")</f>
        <v>Finalizada</v>
      </c>
      <c r="BF698" s="97"/>
      <c r="BG698" s="97" t="str">
        <f>IFERROR(__xludf.DUMMYFUNCTION("""COMPUTED_VALUE"""),"Activo")</f>
        <v>Activo</v>
      </c>
    </row>
    <row r="699">
      <c r="A699" s="97">
        <f>IFERROR(__xludf.DUMMYFUNCTION("""COMPUTED_VALUE"""),6458.0)</f>
        <v>6458</v>
      </c>
      <c r="B699" s="97" t="str">
        <f>IFERROR(__xludf.DUMMYFUNCTION("""COMPUTED_VALUE"""),"KAROL III NG")</f>
        <v>KAROL III NG</v>
      </c>
      <c r="C699" s="97" t="str">
        <f>IFERROR(__xludf.DUMMYFUNCTION("""COMPUTED_VALUE"""),"EMPOTRABLE KAROL III NG 3XGU10 DICRO IP20 LEUK")</f>
        <v>EMPOTRABLE KAROL III NG 3XGU10 DICRO IP20 LEUK</v>
      </c>
      <c r="D699" s="97">
        <f>IFERROR(__xludf.DUMMYFUNCTION("""COMPUTED_VALUE"""),7.798328754363E12)</f>
        <v>7798328754363</v>
      </c>
      <c r="E699" s="97"/>
      <c r="F699" s="97" t="str">
        <f>IFERROR(__xludf.DUMMYFUNCTION("""COMPUTED_VALUE"""),"3xGU10 Dicro")</f>
        <v>3xGU10 Dicro</v>
      </c>
      <c r="G699" s="97" t="str">
        <f>IFERROR(__xludf.DUMMYFUNCTION("""COMPUTED_VALUE"""),"N/A")</f>
        <v>N/A</v>
      </c>
      <c r="H699" s="97" t="str">
        <f>IFERROR(__xludf.DUMMYFUNCTION("""COMPUTED_VALUE"""),"N/A")</f>
        <v>N/A</v>
      </c>
      <c r="I699" s="97" t="str">
        <f>IFERROR(__xludf.DUMMYFUNCTION("""COMPUTED_VALUE"""),"N/A")</f>
        <v>N/A</v>
      </c>
      <c r="J699" s="97" t="str">
        <f>IFERROR(__xludf.DUMMYFUNCTION("""COMPUTED_VALUE"""),"N/A")</f>
        <v>N/A</v>
      </c>
      <c r="K699" s="97" t="str">
        <f>IFERROR(__xludf.DUMMYFUNCTION("""COMPUTED_VALUE"""),"N/A")</f>
        <v>N/A</v>
      </c>
      <c r="L699" s="97">
        <f>IFERROR(__xludf.DUMMYFUNCTION("""COMPUTED_VALUE"""),220.0)</f>
        <v>220</v>
      </c>
      <c r="M699" s="97">
        <f>IFERROR(__xludf.DUMMYFUNCTION("""COMPUTED_VALUE"""),50.0)</f>
        <v>50</v>
      </c>
      <c r="N699" s="97"/>
      <c r="O699" s="97" t="str">
        <f>IFERROR(__xludf.DUMMYFUNCTION("""COMPUTED_VALUE"""),"3 x 50W Max")</f>
        <v>3 x 50W Max</v>
      </c>
      <c r="P699" s="97"/>
      <c r="Q699" s="97" t="str">
        <f>IFERROR(__xludf.DUMMYFUNCTION("""COMPUTED_VALUE"""),"-")</f>
        <v>-</v>
      </c>
      <c r="R699" s="97" t="str">
        <f>IFERROR(__xludf.DUMMYFUNCTION("""COMPUTED_VALUE"""),"-")</f>
        <v>-</v>
      </c>
      <c r="S699" s="97" t="str">
        <f>IFERROR(__xludf.DUMMYFUNCTION("""COMPUTED_VALUE"""),"-")</f>
        <v>-</v>
      </c>
      <c r="T699" s="97" t="str">
        <f>IFERROR(__xludf.DUMMYFUNCTION("""COMPUTED_VALUE"""),"-")</f>
        <v>-</v>
      </c>
      <c r="U699" s="97" t="str">
        <f>IFERROR(__xludf.DUMMYFUNCTION("""COMPUTED_VALUE"""),"-")</f>
        <v>-</v>
      </c>
      <c r="V699" s="97" t="str">
        <f>IFERROR(__xludf.DUMMYFUNCTION("""COMPUTED_VALUE"""),"N/A")</f>
        <v>N/A</v>
      </c>
      <c r="W699" s="97" t="str">
        <f>IFERROR(__xludf.DUMMYFUNCTION("""COMPUTED_VALUE"""),"N/A")</f>
        <v>N/A</v>
      </c>
      <c r="X699" s="97" t="str">
        <f>IFERROR(__xludf.DUMMYFUNCTION("""COMPUTED_VALUE"""),"-")</f>
        <v>-</v>
      </c>
      <c r="Y699" s="97" t="str">
        <f>IFERROR(__xludf.DUMMYFUNCTION("""COMPUTED_VALUE"""),"N/A")</f>
        <v>N/A</v>
      </c>
      <c r="Z699" s="97" t="str">
        <f>IFERROR(__xludf.DUMMYFUNCTION("""COMPUTED_VALUE"""),"N/A")</f>
        <v>N/A</v>
      </c>
      <c r="AA699" s="97" t="str">
        <f>IFERROR(__xludf.DUMMYFUNCTION("""COMPUTED_VALUE"""),"N/A")</f>
        <v>N/A</v>
      </c>
      <c r="AB699" s="97" t="str">
        <f>IFERROR(__xludf.DUMMYFUNCTION("""COMPUTED_VALUE"""),"N/A")</f>
        <v>N/A</v>
      </c>
      <c r="AC699" s="97" t="str">
        <f>IFERROR(__xludf.DUMMYFUNCTION("""COMPUTED_VALUE"""),"N/A")</f>
        <v>N/A</v>
      </c>
      <c r="AD699" s="97" t="str">
        <f>IFERROR(__xludf.DUMMYFUNCTION("""COMPUTED_VALUE"""),"IP20")</f>
        <v>IP20</v>
      </c>
      <c r="AE699" s="97" t="str">
        <f>IFERROR(__xludf.DUMMYFUNCTION("""COMPUTED_VALUE"""),"Clase l")</f>
        <v>Clase l</v>
      </c>
      <c r="AF699" s="97" t="str">
        <f>IFERROR(__xludf.DUMMYFUNCTION("""COMPUTED_VALUE"""),"Embutir")</f>
        <v>Embutir</v>
      </c>
      <c r="AG699" s="97" t="str">
        <f>IFERROR(__xludf.DUMMYFUNCTION("""COMPUTED_VALUE"""),"260 x 110 x 83")</f>
        <v>260 x 110 x 83</v>
      </c>
      <c r="AH699" s="97" t="str">
        <f>IFERROR(__xludf.DUMMYFUNCTION("""COMPUTED_VALUE"""),"246 x 94 ")</f>
        <v>246 x 94 </v>
      </c>
      <c r="AI699" s="97">
        <f>IFERROR(__xludf.DUMMYFUNCTION("""COMPUTED_VALUE"""),88.0)</f>
        <v>88</v>
      </c>
      <c r="AJ699" s="97" t="str">
        <f>IFERROR(__xludf.DUMMYFUNCTION("""COMPUTED_VALUE"""),"N/A")</f>
        <v>N/A</v>
      </c>
      <c r="AK699" s="97" t="str">
        <f>IFERROR(__xludf.DUMMYFUNCTION("""COMPUTED_VALUE"""),"Acero y Aluminio")</f>
        <v>Acero y Aluminio</v>
      </c>
      <c r="AL699" s="97" t="str">
        <f>IFERROR(__xludf.DUMMYFUNCTION("""COMPUTED_VALUE"""),"Negro Satinado")</f>
        <v>Negro Satinado</v>
      </c>
      <c r="AM699" s="97" t="str">
        <f>IFERROR(__xludf.DUMMYFUNCTION("""COMPUTED_VALUE"""),"-")</f>
        <v>-</v>
      </c>
      <c r="AN699" s="97" t="str">
        <f>IFERROR(__xludf.DUMMYFUNCTION("""COMPUTED_VALUE"""),"N/A")</f>
        <v>N/A</v>
      </c>
      <c r="AO699" s="97" t="str">
        <f>IFERROR(__xludf.DUMMYFUNCTION("""COMPUTED_VALUE"""),"3 Años")</f>
        <v>3 Años</v>
      </c>
      <c r="AP699" s="97" t="str">
        <f>IFERROR(__xludf.DUMMYFUNCTION("""COMPUTED_VALUE"""),"No Aplica")</f>
        <v>No Aplica</v>
      </c>
      <c r="AQ699" s="97" t="str">
        <f>IFERROR(__xludf.DUMMYFUNCTION("""COMPUTED_VALUE"""),"No Aplica")</f>
        <v>No Aplica</v>
      </c>
      <c r="AR699" s="97" t="str">
        <f>IFERROR(__xludf.DUMMYFUNCTION("""COMPUTED_VALUE"""),"No Aplica")</f>
        <v>No Aplica</v>
      </c>
      <c r="AS699" s="97"/>
      <c r="AT699" s="97"/>
      <c r="AU699" s="97" t="str">
        <f>IFERROR(__xludf.DUMMYFUNCTION("""COMPUTED_VALUE"""),"Falta")</f>
        <v>Falta</v>
      </c>
      <c r="AV699" s="97" t="str">
        <f>IFERROR(__xludf.DUMMYFUNCTION("""COMPUTED_VALUE"""),"Empotrable")</f>
        <v>Empotrable</v>
      </c>
      <c r="AW699" s="97" t="str">
        <f>IFERROR(__xludf.DUMMYFUNCTION("""COMPUTED_VALUE"""),"De Techo")</f>
        <v>De Techo</v>
      </c>
      <c r="AX699" s="97" t="str">
        <f>IFERROR(__xludf.DUMMYFUNCTION("""COMPUTED_VALUE"""),"Interior")</f>
        <v>Interior</v>
      </c>
      <c r="AY699" s="97" t="str">
        <f>IFERROR(__xludf.DUMMYFUNCTION("""COMPUTED_VALUE"""),"Cardánico")</f>
        <v>Cardánico</v>
      </c>
      <c r="AZ699" s="97" t="str">
        <f>IFERROR(__xludf.DUMMYFUNCTION("""COMPUTED_VALUE"""),"Incluye zócalo GU10 c/cable 20cm.")</f>
        <v>Incluye zócalo GU10 c/cable 20cm.</v>
      </c>
      <c r="BA699" s="97">
        <f>IFERROR(__xludf.DUMMYFUNCTION("""COMPUTED_VALUE"""),20.0)</f>
        <v>20</v>
      </c>
      <c r="BB699" s="97" t="str">
        <f>IFERROR(__xludf.DUMMYFUNCTION("""COMPUTED_VALUE"""),"-")</f>
        <v>-</v>
      </c>
      <c r="BC699" s="97" t="str">
        <f>IFERROR(__xludf.DUMMYFUNCTION("""COMPUTED_VALUE"""),"-")</f>
        <v>-</v>
      </c>
      <c r="BD699" s="97" t="str">
        <f>IFERROR(__xludf.DUMMYFUNCTION("""COMPUTED_VALUE"""),"KAROL ")</f>
        <v>KAROL </v>
      </c>
      <c r="BE699" s="97" t="str">
        <f>IFERROR(__xludf.DUMMYFUNCTION("""COMPUTED_VALUE"""),"Finalizada")</f>
        <v>Finalizada</v>
      </c>
      <c r="BF699" s="97"/>
      <c r="BG699" s="97" t="str">
        <f>IFERROR(__xludf.DUMMYFUNCTION("""COMPUTED_VALUE"""),"Activo")</f>
        <v>Activo</v>
      </c>
    </row>
    <row r="700">
      <c r="A700" s="97">
        <f>IFERROR(__xludf.DUMMYFUNCTION("""COMPUTED_VALUE"""),6459.0)</f>
        <v>6459</v>
      </c>
      <c r="B700" s="97" t="str">
        <f>IFERROR(__xludf.DUMMYFUNCTION("""COMPUTED_VALUE"""),"KAROL III BL")</f>
        <v>KAROL III BL</v>
      </c>
      <c r="C700" s="97" t="str">
        <f>IFERROR(__xludf.DUMMYFUNCTION("""COMPUTED_VALUE"""),"EMPOTRABLE KAROL III BL 3XGU10 DICRO IP20 LEUK")</f>
        <v>EMPOTRABLE KAROL III BL 3XGU10 DICRO IP20 LEUK</v>
      </c>
      <c r="D700" s="97">
        <f>IFERROR(__xludf.DUMMYFUNCTION("""COMPUTED_VALUE"""),7.79832875437E12)</f>
        <v>7798328754370</v>
      </c>
      <c r="E700" s="97"/>
      <c r="F700" s="97" t="str">
        <f>IFERROR(__xludf.DUMMYFUNCTION("""COMPUTED_VALUE"""),"3xGU10 Dicro")</f>
        <v>3xGU10 Dicro</v>
      </c>
      <c r="G700" s="97" t="str">
        <f>IFERROR(__xludf.DUMMYFUNCTION("""COMPUTED_VALUE"""),"N/A")</f>
        <v>N/A</v>
      </c>
      <c r="H700" s="97" t="str">
        <f>IFERROR(__xludf.DUMMYFUNCTION("""COMPUTED_VALUE"""),"N/A")</f>
        <v>N/A</v>
      </c>
      <c r="I700" s="97" t="str">
        <f>IFERROR(__xludf.DUMMYFUNCTION("""COMPUTED_VALUE"""),"N/A")</f>
        <v>N/A</v>
      </c>
      <c r="J700" s="97" t="str">
        <f>IFERROR(__xludf.DUMMYFUNCTION("""COMPUTED_VALUE"""),"N/A")</f>
        <v>N/A</v>
      </c>
      <c r="K700" s="97" t="str">
        <f>IFERROR(__xludf.DUMMYFUNCTION("""COMPUTED_VALUE"""),"N/A")</f>
        <v>N/A</v>
      </c>
      <c r="L700" s="97">
        <f>IFERROR(__xludf.DUMMYFUNCTION("""COMPUTED_VALUE"""),220.0)</f>
        <v>220</v>
      </c>
      <c r="M700" s="97">
        <f>IFERROR(__xludf.DUMMYFUNCTION("""COMPUTED_VALUE"""),50.0)</f>
        <v>50</v>
      </c>
      <c r="N700" s="97"/>
      <c r="O700" s="97" t="str">
        <f>IFERROR(__xludf.DUMMYFUNCTION("""COMPUTED_VALUE"""),"3 x 50W Max")</f>
        <v>3 x 50W Max</v>
      </c>
      <c r="P700" s="97"/>
      <c r="Q700" s="97" t="str">
        <f>IFERROR(__xludf.DUMMYFUNCTION("""COMPUTED_VALUE"""),"-")</f>
        <v>-</v>
      </c>
      <c r="R700" s="97" t="str">
        <f>IFERROR(__xludf.DUMMYFUNCTION("""COMPUTED_VALUE"""),"-")</f>
        <v>-</v>
      </c>
      <c r="S700" s="97" t="str">
        <f>IFERROR(__xludf.DUMMYFUNCTION("""COMPUTED_VALUE"""),"-")</f>
        <v>-</v>
      </c>
      <c r="T700" s="97" t="str">
        <f>IFERROR(__xludf.DUMMYFUNCTION("""COMPUTED_VALUE"""),"-")</f>
        <v>-</v>
      </c>
      <c r="U700" s="97" t="str">
        <f>IFERROR(__xludf.DUMMYFUNCTION("""COMPUTED_VALUE"""),"-")</f>
        <v>-</v>
      </c>
      <c r="V700" s="97" t="str">
        <f>IFERROR(__xludf.DUMMYFUNCTION("""COMPUTED_VALUE"""),"N/A")</f>
        <v>N/A</v>
      </c>
      <c r="W700" s="97" t="str">
        <f>IFERROR(__xludf.DUMMYFUNCTION("""COMPUTED_VALUE"""),"N/A")</f>
        <v>N/A</v>
      </c>
      <c r="X700" s="97" t="str">
        <f>IFERROR(__xludf.DUMMYFUNCTION("""COMPUTED_VALUE"""),"-")</f>
        <v>-</v>
      </c>
      <c r="Y700" s="97" t="str">
        <f>IFERROR(__xludf.DUMMYFUNCTION("""COMPUTED_VALUE"""),"N/A")</f>
        <v>N/A</v>
      </c>
      <c r="Z700" s="97" t="str">
        <f>IFERROR(__xludf.DUMMYFUNCTION("""COMPUTED_VALUE"""),"N/A")</f>
        <v>N/A</v>
      </c>
      <c r="AA700" s="97" t="str">
        <f>IFERROR(__xludf.DUMMYFUNCTION("""COMPUTED_VALUE"""),"N/A")</f>
        <v>N/A</v>
      </c>
      <c r="AB700" s="97" t="str">
        <f>IFERROR(__xludf.DUMMYFUNCTION("""COMPUTED_VALUE"""),"N/A")</f>
        <v>N/A</v>
      </c>
      <c r="AC700" s="97" t="str">
        <f>IFERROR(__xludf.DUMMYFUNCTION("""COMPUTED_VALUE"""),"N/A")</f>
        <v>N/A</v>
      </c>
      <c r="AD700" s="97" t="str">
        <f>IFERROR(__xludf.DUMMYFUNCTION("""COMPUTED_VALUE"""),"IP20")</f>
        <v>IP20</v>
      </c>
      <c r="AE700" s="97" t="str">
        <f>IFERROR(__xludf.DUMMYFUNCTION("""COMPUTED_VALUE"""),"Clase l")</f>
        <v>Clase l</v>
      </c>
      <c r="AF700" s="97" t="str">
        <f>IFERROR(__xludf.DUMMYFUNCTION("""COMPUTED_VALUE"""),"Embutir")</f>
        <v>Embutir</v>
      </c>
      <c r="AG700" s="97" t="str">
        <f>IFERROR(__xludf.DUMMYFUNCTION("""COMPUTED_VALUE"""),"260 x 110 x 83")</f>
        <v>260 x 110 x 83</v>
      </c>
      <c r="AH700" s="97" t="str">
        <f>IFERROR(__xludf.DUMMYFUNCTION("""COMPUTED_VALUE"""),"246 x 94 ")</f>
        <v>246 x 94 </v>
      </c>
      <c r="AI700" s="97">
        <f>IFERROR(__xludf.DUMMYFUNCTION("""COMPUTED_VALUE"""),88.0)</f>
        <v>88</v>
      </c>
      <c r="AJ700" s="97" t="str">
        <f>IFERROR(__xludf.DUMMYFUNCTION("""COMPUTED_VALUE"""),"N/A")</f>
        <v>N/A</v>
      </c>
      <c r="AK700" s="97" t="str">
        <f>IFERROR(__xludf.DUMMYFUNCTION("""COMPUTED_VALUE"""),"Acero y Aluminio")</f>
        <v>Acero y Aluminio</v>
      </c>
      <c r="AL700" s="97" t="str">
        <f>IFERROR(__xludf.DUMMYFUNCTION("""COMPUTED_VALUE"""),"Blanco Satinado")</f>
        <v>Blanco Satinado</v>
      </c>
      <c r="AM700" s="97" t="str">
        <f>IFERROR(__xludf.DUMMYFUNCTION("""COMPUTED_VALUE"""),"-")</f>
        <v>-</v>
      </c>
      <c r="AN700" s="97" t="str">
        <f>IFERROR(__xludf.DUMMYFUNCTION("""COMPUTED_VALUE"""),"N/A")</f>
        <v>N/A</v>
      </c>
      <c r="AO700" s="97" t="str">
        <f>IFERROR(__xludf.DUMMYFUNCTION("""COMPUTED_VALUE"""),"3 Años")</f>
        <v>3 Años</v>
      </c>
      <c r="AP700" s="97" t="str">
        <f>IFERROR(__xludf.DUMMYFUNCTION("""COMPUTED_VALUE"""),"No Aplica")</f>
        <v>No Aplica</v>
      </c>
      <c r="AQ700" s="97" t="str">
        <f>IFERROR(__xludf.DUMMYFUNCTION("""COMPUTED_VALUE"""),"No Aplica")</f>
        <v>No Aplica</v>
      </c>
      <c r="AR700" s="97" t="str">
        <f>IFERROR(__xludf.DUMMYFUNCTION("""COMPUTED_VALUE"""),"No Aplica")</f>
        <v>No Aplica</v>
      </c>
      <c r="AS700" s="97"/>
      <c r="AT700" s="97"/>
      <c r="AU700" s="97" t="str">
        <f>IFERROR(__xludf.DUMMYFUNCTION("""COMPUTED_VALUE"""),"Falta")</f>
        <v>Falta</v>
      </c>
      <c r="AV700" s="97" t="str">
        <f>IFERROR(__xludf.DUMMYFUNCTION("""COMPUTED_VALUE"""),"Empotrable")</f>
        <v>Empotrable</v>
      </c>
      <c r="AW700" s="97" t="str">
        <f>IFERROR(__xludf.DUMMYFUNCTION("""COMPUTED_VALUE"""),"De Techo")</f>
        <v>De Techo</v>
      </c>
      <c r="AX700" s="97" t="str">
        <f>IFERROR(__xludf.DUMMYFUNCTION("""COMPUTED_VALUE"""),"Interior")</f>
        <v>Interior</v>
      </c>
      <c r="AY700" s="97" t="str">
        <f>IFERROR(__xludf.DUMMYFUNCTION("""COMPUTED_VALUE"""),"Cardánico")</f>
        <v>Cardánico</v>
      </c>
      <c r="AZ700" s="97" t="str">
        <f>IFERROR(__xludf.DUMMYFUNCTION("""COMPUTED_VALUE"""),"Incluye zócalo GU10 c/cable 20cm.")</f>
        <v>Incluye zócalo GU10 c/cable 20cm.</v>
      </c>
      <c r="BA700" s="97">
        <f>IFERROR(__xludf.DUMMYFUNCTION("""COMPUTED_VALUE"""),20.0)</f>
        <v>20</v>
      </c>
      <c r="BB700" s="97" t="str">
        <f>IFERROR(__xludf.DUMMYFUNCTION("""COMPUTED_VALUE"""),"-")</f>
        <v>-</v>
      </c>
      <c r="BC700" s="97" t="str">
        <f>IFERROR(__xludf.DUMMYFUNCTION("""COMPUTED_VALUE"""),"-")</f>
        <v>-</v>
      </c>
      <c r="BD700" s="97" t="str">
        <f>IFERROR(__xludf.DUMMYFUNCTION("""COMPUTED_VALUE"""),"KAROL ")</f>
        <v>KAROL </v>
      </c>
      <c r="BE700" s="97" t="str">
        <f>IFERROR(__xludf.DUMMYFUNCTION("""COMPUTED_VALUE"""),"Finalizada")</f>
        <v>Finalizada</v>
      </c>
      <c r="BF700" s="97"/>
      <c r="BG700" s="97" t="str">
        <f>IFERROR(__xludf.DUMMYFUNCTION("""COMPUTED_VALUE"""),"Activo")</f>
        <v>Activo</v>
      </c>
    </row>
    <row r="701">
      <c r="A701" s="97">
        <f>IFERROR(__xludf.DUMMYFUNCTION("""COMPUTED_VALUE"""),6460.0)</f>
        <v>6460</v>
      </c>
      <c r="B701" s="97" t="str">
        <f>IFERROR(__xludf.DUMMYFUNCTION("""COMPUTED_VALUE"""),"BERDY III NG")</f>
        <v>BERDY III NG</v>
      </c>
      <c r="C701" s="97" t="str">
        <f>IFERROR(__xludf.DUMMYFUNCTION("""COMPUTED_VALUE"""),"APLIQUE BERDY III NG 3XGU10 AR111 IP20 LEUK")</f>
        <v>APLIQUE BERDY III NG 3XGU10 AR111 IP20 LEUK</v>
      </c>
      <c r="D701" s="97">
        <f>IFERROR(__xludf.DUMMYFUNCTION("""COMPUTED_VALUE"""),7.798328754387E12)</f>
        <v>7798328754387</v>
      </c>
      <c r="E701" s="97"/>
      <c r="F701" s="97" t="str">
        <f>IFERROR(__xludf.DUMMYFUNCTION("""COMPUTED_VALUE"""),"3xGU10 AR111")</f>
        <v>3xGU10 AR111</v>
      </c>
      <c r="G701" s="97" t="str">
        <f>IFERROR(__xludf.DUMMYFUNCTION("""COMPUTED_VALUE"""),"N/A")</f>
        <v>N/A</v>
      </c>
      <c r="H701" s="97" t="str">
        <f>IFERROR(__xludf.DUMMYFUNCTION("""COMPUTED_VALUE"""),"N/A")</f>
        <v>N/A</v>
      </c>
      <c r="I701" s="97" t="str">
        <f>IFERROR(__xludf.DUMMYFUNCTION("""COMPUTED_VALUE"""),"N/A")</f>
        <v>N/A</v>
      </c>
      <c r="J701" s="97" t="str">
        <f>IFERROR(__xludf.DUMMYFUNCTION("""COMPUTED_VALUE"""),"N/A")</f>
        <v>N/A</v>
      </c>
      <c r="K701" s="97" t="str">
        <f>IFERROR(__xludf.DUMMYFUNCTION("""COMPUTED_VALUE"""),"N/A")</f>
        <v>N/A</v>
      </c>
      <c r="L701" s="97">
        <f>IFERROR(__xludf.DUMMYFUNCTION("""COMPUTED_VALUE"""),220.0)</f>
        <v>220</v>
      </c>
      <c r="M701" s="97">
        <f>IFERROR(__xludf.DUMMYFUNCTION("""COMPUTED_VALUE"""),50.0)</f>
        <v>50</v>
      </c>
      <c r="N701" s="97"/>
      <c r="O701" s="97" t="str">
        <f>IFERROR(__xludf.DUMMYFUNCTION("""COMPUTED_VALUE"""),"3 x 50W Max")</f>
        <v>3 x 50W Max</v>
      </c>
      <c r="P701" s="97"/>
      <c r="Q701" s="97" t="str">
        <f>IFERROR(__xludf.DUMMYFUNCTION("""COMPUTED_VALUE"""),"-")</f>
        <v>-</v>
      </c>
      <c r="R701" s="97" t="str">
        <f>IFERROR(__xludf.DUMMYFUNCTION("""COMPUTED_VALUE"""),"-")</f>
        <v>-</v>
      </c>
      <c r="S701" s="97" t="str">
        <f>IFERROR(__xludf.DUMMYFUNCTION("""COMPUTED_VALUE"""),"-")</f>
        <v>-</v>
      </c>
      <c r="T701" s="97" t="str">
        <f>IFERROR(__xludf.DUMMYFUNCTION("""COMPUTED_VALUE"""),"-")</f>
        <v>-</v>
      </c>
      <c r="U701" s="97" t="str">
        <f>IFERROR(__xludf.DUMMYFUNCTION("""COMPUTED_VALUE"""),"-")</f>
        <v>-</v>
      </c>
      <c r="V701" s="97" t="str">
        <f>IFERROR(__xludf.DUMMYFUNCTION("""COMPUTED_VALUE"""),"N/A")</f>
        <v>N/A</v>
      </c>
      <c r="W701" s="97" t="str">
        <f>IFERROR(__xludf.DUMMYFUNCTION("""COMPUTED_VALUE"""),"N/A")</f>
        <v>N/A</v>
      </c>
      <c r="X701" s="97" t="str">
        <f>IFERROR(__xludf.DUMMYFUNCTION("""COMPUTED_VALUE"""),"-")</f>
        <v>-</v>
      </c>
      <c r="Y701" s="97" t="str">
        <f>IFERROR(__xludf.DUMMYFUNCTION("""COMPUTED_VALUE"""),"N/A")</f>
        <v>N/A</v>
      </c>
      <c r="Z701" s="97" t="str">
        <f>IFERROR(__xludf.DUMMYFUNCTION("""COMPUTED_VALUE"""),"N/A")</f>
        <v>N/A</v>
      </c>
      <c r="AA701" s="97" t="str">
        <f>IFERROR(__xludf.DUMMYFUNCTION("""COMPUTED_VALUE"""),"N/A")</f>
        <v>N/A</v>
      </c>
      <c r="AB701" s="97" t="str">
        <f>IFERROR(__xludf.DUMMYFUNCTION("""COMPUTED_VALUE"""),"N/A")</f>
        <v>N/A</v>
      </c>
      <c r="AC701" s="97" t="str">
        <f>IFERROR(__xludf.DUMMYFUNCTION("""COMPUTED_VALUE"""),"N/A")</f>
        <v>N/A</v>
      </c>
      <c r="AD701" s="97" t="str">
        <f>IFERROR(__xludf.DUMMYFUNCTION("""COMPUTED_VALUE"""),"IP20")</f>
        <v>IP20</v>
      </c>
      <c r="AE701" s="97" t="str">
        <f>IFERROR(__xludf.DUMMYFUNCTION("""COMPUTED_VALUE"""),"Clase l")</f>
        <v>Clase l</v>
      </c>
      <c r="AF701" s="97" t="str">
        <f>IFERROR(__xludf.DUMMYFUNCTION("""COMPUTED_VALUE"""),"Aplicar")</f>
        <v>Aplicar</v>
      </c>
      <c r="AG701" s="97" t="str">
        <f>IFERROR(__xludf.DUMMYFUNCTION("""COMPUTED_VALUE"""),"420 x 150 x 107")</f>
        <v>420 x 150 x 107</v>
      </c>
      <c r="AH701" s="97" t="str">
        <f>IFERROR(__xludf.DUMMYFUNCTION("""COMPUTED_VALUE"""),"N/A")</f>
        <v>N/A</v>
      </c>
      <c r="AI701" s="97" t="str">
        <f>IFERROR(__xludf.DUMMYFUNCTION("""COMPUTED_VALUE"""),"N/A")</f>
        <v>N/A</v>
      </c>
      <c r="AJ701" s="97" t="str">
        <f>IFERROR(__xludf.DUMMYFUNCTION("""COMPUTED_VALUE"""),"N/A")</f>
        <v>N/A</v>
      </c>
      <c r="AK701" s="97" t="str">
        <f>IFERROR(__xludf.DUMMYFUNCTION("""COMPUTED_VALUE"""),"Acero y Aluminio")</f>
        <v>Acero y Aluminio</v>
      </c>
      <c r="AL701" s="97" t="str">
        <f>IFERROR(__xludf.DUMMYFUNCTION("""COMPUTED_VALUE"""),"Negro Satinado")</f>
        <v>Negro Satinado</v>
      </c>
      <c r="AM701" s="97" t="str">
        <f>IFERROR(__xludf.DUMMYFUNCTION("""COMPUTED_VALUE"""),"-")</f>
        <v>-</v>
      </c>
      <c r="AN701" s="97" t="str">
        <f>IFERROR(__xludf.DUMMYFUNCTION("""COMPUTED_VALUE"""),"N/A")</f>
        <v>N/A</v>
      </c>
      <c r="AO701" s="97" t="str">
        <f>IFERROR(__xludf.DUMMYFUNCTION("""COMPUTED_VALUE"""),"3 Años")</f>
        <v>3 Años</v>
      </c>
      <c r="AP701" s="97" t="str">
        <f>IFERROR(__xludf.DUMMYFUNCTION("""COMPUTED_VALUE"""),"No Aplica")</f>
        <v>No Aplica</v>
      </c>
      <c r="AQ701" s="97" t="str">
        <f>IFERROR(__xludf.DUMMYFUNCTION("""COMPUTED_VALUE"""),"No Aplica")</f>
        <v>No Aplica</v>
      </c>
      <c r="AR701" s="97" t="str">
        <f>IFERROR(__xludf.DUMMYFUNCTION("""COMPUTED_VALUE"""),"No Aplica")</f>
        <v>No Aplica</v>
      </c>
      <c r="AS701" s="97"/>
      <c r="AT701" s="97"/>
      <c r="AU701" s="97" t="str">
        <f>IFERROR(__xludf.DUMMYFUNCTION("""COMPUTED_VALUE"""),"Falta")</f>
        <v>Falta</v>
      </c>
      <c r="AV701" s="97" t="str">
        <f>IFERROR(__xludf.DUMMYFUNCTION("""COMPUTED_VALUE"""),"Aplique")</f>
        <v>Aplique</v>
      </c>
      <c r="AW701" s="97" t="str">
        <f>IFERROR(__xludf.DUMMYFUNCTION("""COMPUTED_VALUE"""),"De Techo")</f>
        <v>De Techo</v>
      </c>
      <c r="AX701" s="97" t="str">
        <f>IFERROR(__xludf.DUMMYFUNCTION("""COMPUTED_VALUE"""),"Interior")</f>
        <v>Interior</v>
      </c>
      <c r="AY701" s="97" t="str">
        <f>IFERROR(__xludf.DUMMYFUNCTION("""COMPUTED_VALUE"""),"Cardánico")</f>
        <v>Cardánico</v>
      </c>
      <c r="AZ701" s="97" t="str">
        <f>IFERROR(__xludf.DUMMYFUNCTION("""COMPUTED_VALUE"""),"Incluye zócalo GU10 c/cable 20cm.")</f>
        <v>Incluye zócalo GU10 c/cable 20cm.</v>
      </c>
      <c r="BA701" s="97">
        <f>IFERROR(__xludf.DUMMYFUNCTION("""COMPUTED_VALUE"""),8.0)</f>
        <v>8</v>
      </c>
      <c r="BB701" s="97" t="str">
        <f>IFERROR(__xludf.DUMMYFUNCTION("""COMPUTED_VALUE"""),"-")</f>
        <v>-</v>
      </c>
      <c r="BC701" s="97" t="str">
        <f>IFERROR(__xludf.DUMMYFUNCTION("""COMPUTED_VALUE"""),"-")</f>
        <v>-</v>
      </c>
      <c r="BD701" s="97" t="str">
        <f>IFERROR(__xludf.DUMMYFUNCTION("""COMPUTED_VALUE"""),"BERDY")</f>
        <v>BERDY</v>
      </c>
      <c r="BE701" s="97" t="str">
        <f>IFERROR(__xludf.DUMMYFUNCTION("""COMPUTED_VALUE"""),"Finalizada")</f>
        <v>Finalizada</v>
      </c>
      <c r="BF701" s="97"/>
      <c r="BG701" s="97" t="str">
        <f>IFERROR(__xludf.DUMMYFUNCTION("""COMPUTED_VALUE"""),"Activo")</f>
        <v>Activo</v>
      </c>
    </row>
    <row r="702">
      <c r="A702" s="97">
        <f>IFERROR(__xludf.DUMMYFUNCTION("""COMPUTED_VALUE"""),6461.0)</f>
        <v>6461</v>
      </c>
      <c r="B702" s="97" t="str">
        <f>IFERROR(__xludf.DUMMYFUNCTION("""COMPUTED_VALUE"""),"BERDY III BL")</f>
        <v>BERDY III BL</v>
      </c>
      <c r="C702" s="97" t="str">
        <f>IFERROR(__xludf.DUMMYFUNCTION("""COMPUTED_VALUE"""),"APLIQUE BERDY III BL 3XGU10 AR111 IP20 LEUK")</f>
        <v>APLIQUE BERDY III BL 3XGU10 AR111 IP20 LEUK</v>
      </c>
      <c r="D702" s="97">
        <f>IFERROR(__xludf.DUMMYFUNCTION("""COMPUTED_VALUE"""),7.798328754394E12)</f>
        <v>7798328754394</v>
      </c>
      <c r="E702" s="97"/>
      <c r="F702" s="97" t="str">
        <f>IFERROR(__xludf.DUMMYFUNCTION("""COMPUTED_VALUE"""),"3xGU10 AR111")</f>
        <v>3xGU10 AR111</v>
      </c>
      <c r="G702" s="97" t="str">
        <f>IFERROR(__xludf.DUMMYFUNCTION("""COMPUTED_VALUE"""),"N/A")</f>
        <v>N/A</v>
      </c>
      <c r="H702" s="97" t="str">
        <f>IFERROR(__xludf.DUMMYFUNCTION("""COMPUTED_VALUE"""),"N/A")</f>
        <v>N/A</v>
      </c>
      <c r="I702" s="97" t="str">
        <f>IFERROR(__xludf.DUMMYFUNCTION("""COMPUTED_VALUE"""),"N/A")</f>
        <v>N/A</v>
      </c>
      <c r="J702" s="97" t="str">
        <f>IFERROR(__xludf.DUMMYFUNCTION("""COMPUTED_VALUE"""),"N/A")</f>
        <v>N/A</v>
      </c>
      <c r="K702" s="97" t="str">
        <f>IFERROR(__xludf.DUMMYFUNCTION("""COMPUTED_VALUE"""),"N/A")</f>
        <v>N/A</v>
      </c>
      <c r="L702" s="97">
        <f>IFERROR(__xludf.DUMMYFUNCTION("""COMPUTED_VALUE"""),220.0)</f>
        <v>220</v>
      </c>
      <c r="M702" s="97">
        <f>IFERROR(__xludf.DUMMYFUNCTION("""COMPUTED_VALUE"""),50.0)</f>
        <v>50</v>
      </c>
      <c r="N702" s="97"/>
      <c r="O702" s="97" t="str">
        <f>IFERROR(__xludf.DUMMYFUNCTION("""COMPUTED_VALUE"""),"3 x 50W Max")</f>
        <v>3 x 50W Max</v>
      </c>
      <c r="P702" s="97"/>
      <c r="Q702" s="97" t="str">
        <f>IFERROR(__xludf.DUMMYFUNCTION("""COMPUTED_VALUE"""),"-")</f>
        <v>-</v>
      </c>
      <c r="R702" s="97" t="str">
        <f>IFERROR(__xludf.DUMMYFUNCTION("""COMPUTED_VALUE"""),"-")</f>
        <v>-</v>
      </c>
      <c r="S702" s="97" t="str">
        <f>IFERROR(__xludf.DUMMYFUNCTION("""COMPUTED_VALUE"""),"-")</f>
        <v>-</v>
      </c>
      <c r="T702" s="97" t="str">
        <f>IFERROR(__xludf.DUMMYFUNCTION("""COMPUTED_VALUE"""),"-")</f>
        <v>-</v>
      </c>
      <c r="U702" s="97" t="str">
        <f>IFERROR(__xludf.DUMMYFUNCTION("""COMPUTED_VALUE"""),"-")</f>
        <v>-</v>
      </c>
      <c r="V702" s="97" t="str">
        <f>IFERROR(__xludf.DUMMYFUNCTION("""COMPUTED_VALUE"""),"N/A")</f>
        <v>N/A</v>
      </c>
      <c r="W702" s="97" t="str">
        <f>IFERROR(__xludf.DUMMYFUNCTION("""COMPUTED_VALUE"""),"N/A")</f>
        <v>N/A</v>
      </c>
      <c r="X702" s="97" t="str">
        <f>IFERROR(__xludf.DUMMYFUNCTION("""COMPUTED_VALUE"""),"-")</f>
        <v>-</v>
      </c>
      <c r="Y702" s="97" t="str">
        <f>IFERROR(__xludf.DUMMYFUNCTION("""COMPUTED_VALUE"""),"N/A")</f>
        <v>N/A</v>
      </c>
      <c r="Z702" s="97" t="str">
        <f>IFERROR(__xludf.DUMMYFUNCTION("""COMPUTED_VALUE"""),"N/A")</f>
        <v>N/A</v>
      </c>
      <c r="AA702" s="97" t="str">
        <f>IFERROR(__xludf.DUMMYFUNCTION("""COMPUTED_VALUE"""),"N/A")</f>
        <v>N/A</v>
      </c>
      <c r="AB702" s="97" t="str">
        <f>IFERROR(__xludf.DUMMYFUNCTION("""COMPUTED_VALUE"""),"N/A")</f>
        <v>N/A</v>
      </c>
      <c r="AC702" s="97" t="str">
        <f>IFERROR(__xludf.DUMMYFUNCTION("""COMPUTED_VALUE"""),"N/A")</f>
        <v>N/A</v>
      </c>
      <c r="AD702" s="97" t="str">
        <f>IFERROR(__xludf.DUMMYFUNCTION("""COMPUTED_VALUE"""),"IP20")</f>
        <v>IP20</v>
      </c>
      <c r="AE702" s="97" t="str">
        <f>IFERROR(__xludf.DUMMYFUNCTION("""COMPUTED_VALUE"""),"Clase l")</f>
        <v>Clase l</v>
      </c>
      <c r="AF702" s="97" t="str">
        <f>IFERROR(__xludf.DUMMYFUNCTION("""COMPUTED_VALUE"""),"Aplicar")</f>
        <v>Aplicar</v>
      </c>
      <c r="AG702" s="97" t="str">
        <f>IFERROR(__xludf.DUMMYFUNCTION("""COMPUTED_VALUE"""),"420 x 150 x 107")</f>
        <v>420 x 150 x 107</v>
      </c>
      <c r="AH702" s="97" t="str">
        <f>IFERROR(__xludf.DUMMYFUNCTION("""COMPUTED_VALUE"""),"N/A")</f>
        <v>N/A</v>
      </c>
      <c r="AI702" s="97" t="str">
        <f>IFERROR(__xludf.DUMMYFUNCTION("""COMPUTED_VALUE"""),"N/A")</f>
        <v>N/A</v>
      </c>
      <c r="AJ702" s="97" t="str">
        <f>IFERROR(__xludf.DUMMYFUNCTION("""COMPUTED_VALUE"""),"N/A")</f>
        <v>N/A</v>
      </c>
      <c r="AK702" s="97" t="str">
        <f>IFERROR(__xludf.DUMMYFUNCTION("""COMPUTED_VALUE"""),"Acero y Aluminio")</f>
        <v>Acero y Aluminio</v>
      </c>
      <c r="AL702" s="97" t="str">
        <f>IFERROR(__xludf.DUMMYFUNCTION("""COMPUTED_VALUE"""),"Blanco Satinado")</f>
        <v>Blanco Satinado</v>
      </c>
      <c r="AM702" s="97" t="str">
        <f>IFERROR(__xludf.DUMMYFUNCTION("""COMPUTED_VALUE"""),"-")</f>
        <v>-</v>
      </c>
      <c r="AN702" s="97" t="str">
        <f>IFERROR(__xludf.DUMMYFUNCTION("""COMPUTED_VALUE"""),"N/A")</f>
        <v>N/A</v>
      </c>
      <c r="AO702" s="97" t="str">
        <f>IFERROR(__xludf.DUMMYFUNCTION("""COMPUTED_VALUE"""),"3 Años")</f>
        <v>3 Años</v>
      </c>
      <c r="AP702" s="97" t="str">
        <f>IFERROR(__xludf.DUMMYFUNCTION("""COMPUTED_VALUE"""),"No Aplica")</f>
        <v>No Aplica</v>
      </c>
      <c r="AQ702" s="97" t="str">
        <f>IFERROR(__xludf.DUMMYFUNCTION("""COMPUTED_VALUE"""),"No Aplica")</f>
        <v>No Aplica</v>
      </c>
      <c r="AR702" s="97" t="str">
        <f>IFERROR(__xludf.DUMMYFUNCTION("""COMPUTED_VALUE"""),"No Aplica")</f>
        <v>No Aplica</v>
      </c>
      <c r="AS702" s="97"/>
      <c r="AT702" s="97"/>
      <c r="AU702" s="97" t="str">
        <f>IFERROR(__xludf.DUMMYFUNCTION("""COMPUTED_VALUE"""),"Falta")</f>
        <v>Falta</v>
      </c>
      <c r="AV702" s="97" t="str">
        <f>IFERROR(__xludf.DUMMYFUNCTION("""COMPUTED_VALUE"""),"Aplique")</f>
        <v>Aplique</v>
      </c>
      <c r="AW702" s="97" t="str">
        <f>IFERROR(__xludf.DUMMYFUNCTION("""COMPUTED_VALUE"""),"De Techo")</f>
        <v>De Techo</v>
      </c>
      <c r="AX702" s="97" t="str">
        <f>IFERROR(__xludf.DUMMYFUNCTION("""COMPUTED_VALUE"""),"Interior")</f>
        <v>Interior</v>
      </c>
      <c r="AY702" s="97" t="str">
        <f>IFERROR(__xludf.DUMMYFUNCTION("""COMPUTED_VALUE"""),"Cardánico")</f>
        <v>Cardánico</v>
      </c>
      <c r="AZ702" s="97" t="str">
        <f>IFERROR(__xludf.DUMMYFUNCTION("""COMPUTED_VALUE"""),"Incluye zócalo GU10 c/cable 20cm.")</f>
        <v>Incluye zócalo GU10 c/cable 20cm.</v>
      </c>
      <c r="BA702" s="97">
        <f>IFERROR(__xludf.DUMMYFUNCTION("""COMPUTED_VALUE"""),8.0)</f>
        <v>8</v>
      </c>
      <c r="BB702" s="97" t="str">
        <f>IFERROR(__xludf.DUMMYFUNCTION("""COMPUTED_VALUE"""),"-")</f>
        <v>-</v>
      </c>
      <c r="BC702" s="97" t="str">
        <f>IFERROR(__xludf.DUMMYFUNCTION("""COMPUTED_VALUE"""),"-")</f>
        <v>-</v>
      </c>
      <c r="BD702" s="97" t="str">
        <f>IFERROR(__xludf.DUMMYFUNCTION("""COMPUTED_VALUE"""),"BERDY")</f>
        <v>BERDY</v>
      </c>
      <c r="BE702" s="97" t="str">
        <f>IFERROR(__xludf.DUMMYFUNCTION("""COMPUTED_VALUE"""),"Finalizada")</f>
        <v>Finalizada</v>
      </c>
      <c r="BF702" s="97"/>
      <c r="BG702" s="97" t="str">
        <f>IFERROR(__xludf.DUMMYFUNCTION("""COMPUTED_VALUE"""),"Activo")</f>
        <v>Activo</v>
      </c>
    </row>
    <row r="703">
      <c r="A703" s="97">
        <f>IFERROR(__xludf.DUMMYFUNCTION("""COMPUTED_VALUE"""),6462.0)</f>
        <v>6462</v>
      </c>
      <c r="B703" s="97" t="str">
        <f>IFERROR(__xludf.DUMMYFUNCTION("""COMPUTED_VALUE"""),"MILA III NG")</f>
        <v>MILA III NG</v>
      </c>
      <c r="C703" s="97" t="str">
        <f>IFERROR(__xludf.DUMMYFUNCTION("""COMPUTED_VALUE"""),"EMPOTRABLE MILA III NG 3XGU10 AR111 IP20 LEUK")</f>
        <v>EMPOTRABLE MILA III NG 3XGU10 AR111 IP20 LEUK</v>
      </c>
      <c r="D703" s="97">
        <f>IFERROR(__xludf.DUMMYFUNCTION("""COMPUTED_VALUE"""),7.7983287544E12)</f>
        <v>7798328754400</v>
      </c>
      <c r="E703" s="97"/>
      <c r="F703" s="97" t="str">
        <f>IFERROR(__xludf.DUMMYFUNCTION("""COMPUTED_VALUE"""),"3xGU10 AR111")</f>
        <v>3xGU10 AR111</v>
      </c>
      <c r="G703" s="97" t="str">
        <f>IFERROR(__xludf.DUMMYFUNCTION("""COMPUTED_VALUE"""),"N/A")</f>
        <v>N/A</v>
      </c>
      <c r="H703" s="97" t="str">
        <f>IFERROR(__xludf.DUMMYFUNCTION("""COMPUTED_VALUE"""),"N/A")</f>
        <v>N/A</v>
      </c>
      <c r="I703" s="97" t="str">
        <f>IFERROR(__xludf.DUMMYFUNCTION("""COMPUTED_VALUE"""),"N/A")</f>
        <v>N/A</v>
      </c>
      <c r="J703" s="97" t="str">
        <f>IFERROR(__xludf.DUMMYFUNCTION("""COMPUTED_VALUE"""),"N/A")</f>
        <v>N/A</v>
      </c>
      <c r="K703" s="97" t="str">
        <f>IFERROR(__xludf.DUMMYFUNCTION("""COMPUTED_VALUE"""),"N/A")</f>
        <v>N/A</v>
      </c>
      <c r="L703" s="97">
        <f>IFERROR(__xludf.DUMMYFUNCTION("""COMPUTED_VALUE"""),220.0)</f>
        <v>220</v>
      </c>
      <c r="M703" s="97">
        <f>IFERROR(__xludf.DUMMYFUNCTION("""COMPUTED_VALUE"""),50.0)</f>
        <v>50</v>
      </c>
      <c r="N703" s="97"/>
      <c r="O703" s="97" t="str">
        <f>IFERROR(__xludf.DUMMYFUNCTION("""COMPUTED_VALUE"""),"3 x 50W Max")</f>
        <v>3 x 50W Max</v>
      </c>
      <c r="P703" s="97"/>
      <c r="Q703" s="97" t="str">
        <f>IFERROR(__xludf.DUMMYFUNCTION("""COMPUTED_VALUE"""),"-")</f>
        <v>-</v>
      </c>
      <c r="R703" s="97" t="str">
        <f>IFERROR(__xludf.DUMMYFUNCTION("""COMPUTED_VALUE"""),"-")</f>
        <v>-</v>
      </c>
      <c r="S703" s="97" t="str">
        <f>IFERROR(__xludf.DUMMYFUNCTION("""COMPUTED_VALUE"""),"-")</f>
        <v>-</v>
      </c>
      <c r="T703" s="97" t="str">
        <f>IFERROR(__xludf.DUMMYFUNCTION("""COMPUTED_VALUE"""),"-")</f>
        <v>-</v>
      </c>
      <c r="U703" s="97" t="str">
        <f>IFERROR(__xludf.DUMMYFUNCTION("""COMPUTED_VALUE"""),"-")</f>
        <v>-</v>
      </c>
      <c r="V703" s="97" t="str">
        <f>IFERROR(__xludf.DUMMYFUNCTION("""COMPUTED_VALUE"""),"N/A")</f>
        <v>N/A</v>
      </c>
      <c r="W703" s="97" t="str">
        <f>IFERROR(__xludf.DUMMYFUNCTION("""COMPUTED_VALUE"""),"N/A")</f>
        <v>N/A</v>
      </c>
      <c r="X703" s="97" t="str">
        <f>IFERROR(__xludf.DUMMYFUNCTION("""COMPUTED_VALUE"""),"-")</f>
        <v>-</v>
      </c>
      <c r="Y703" s="97" t="str">
        <f>IFERROR(__xludf.DUMMYFUNCTION("""COMPUTED_VALUE"""),"N/A")</f>
        <v>N/A</v>
      </c>
      <c r="Z703" s="97" t="str">
        <f>IFERROR(__xludf.DUMMYFUNCTION("""COMPUTED_VALUE"""),"N/A")</f>
        <v>N/A</v>
      </c>
      <c r="AA703" s="97" t="str">
        <f>IFERROR(__xludf.DUMMYFUNCTION("""COMPUTED_VALUE"""),"N/A")</f>
        <v>N/A</v>
      </c>
      <c r="AB703" s="97" t="str">
        <f>IFERROR(__xludf.DUMMYFUNCTION("""COMPUTED_VALUE"""),"N/A")</f>
        <v>N/A</v>
      </c>
      <c r="AC703" s="97" t="str">
        <f>IFERROR(__xludf.DUMMYFUNCTION("""COMPUTED_VALUE"""),"N/A")</f>
        <v>N/A</v>
      </c>
      <c r="AD703" s="97" t="str">
        <f>IFERROR(__xludf.DUMMYFUNCTION("""COMPUTED_VALUE"""),"IP20")</f>
        <v>IP20</v>
      </c>
      <c r="AE703" s="97" t="str">
        <f>IFERROR(__xludf.DUMMYFUNCTION("""COMPUTED_VALUE"""),"Clase l")</f>
        <v>Clase l</v>
      </c>
      <c r="AF703" s="97" t="str">
        <f>IFERROR(__xludf.DUMMYFUNCTION("""COMPUTED_VALUE"""),"Embutir")</f>
        <v>Embutir</v>
      </c>
      <c r="AG703" s="97" t="str">
        <f>IFERROR(__xludf.DUMMYFUNCTION("""COMPUTED_VALUE"""),"440 x 170 x 99")</f>
        <v>440 x 170 x 99</v>
      </c>
      <c r="AH703" s="97" t="str">
        <f>IFERROR(__xludf.DUMMYFUNCTION("""COMPUTED_VALUE"""),"424 x 154 ")</f>
        <v>424 x 154 </v>
      </c>
      <c r="AI703" s="97">
        <f>IFERROR(__xludf.DUMMYFUNCTION("""COMPUTED_VALUE"""),105.0)</f>
        <v>105</v>
      </c>
      <c r="AJ703" s="97" t="str">
        <f>IFERROR(__xludf.DUMMYFUNCTION("""COMPUTED_VALUE"""),"N/A")</f>
        <v>N/A</v>
      </c>
      <c r="AK703" s="97" t="str">
        <f>IFERROR(__xludf.DUMMYFUNCTION("""COMPUTED_VALUE"""),"Acero y Aluminio")</f>
        <v>Acero y Aluminio</v>
      </c>
      <c r="AL703" s="97" t="str">
        <f>IFERROR(__xludf.DUMMYFUNCTION("""COMPUTED_VALUE"""),"Negro Satinado")</f>
        <v>Negro Satinado</v>
      </c>
      <c r="AM703" s="97" t="str">
        <f>IFERROR(__xludf.DUMMYFUNCTION("""COMPUTED_VALUE"""),"-")</f>
        <v>-</v>
      </c>
      <c r="AN703" s="97" t="str">
        <f>IFERROR(__xludf.DUMMYFUNCTION("""COMPUTED_VALUE"""),"N/A")</f>
        <v>N/A</v>
      </c>
      <c r="AO703" s="97" t="str">
        <f>IFERROR(__xludf.DUMMYFUNCTION("""COMPUTED_VALUE"""),"3 Años")</f>
        <v>3 Años</v>
      </c>
      <c r="AP703" s="97" t="str">
        <f>IFERROR(__xludf.DUMMYFUNCTION("""COMPUTED_VALUE"""),"No Aplica")</f>
        <v>No Aplica</v>
      </c>
      <c r="AQ703" s="97" t="str">
        <f>IFERROR(__xludf.DUMMYFUNCTION("""COMPUTED_VALUE"""),"No Aplica")</f>
        <v>No Aplica</v>
      </c>
      <c r="AR703" s="97" t="str">
        <f>IFERROR(__xludf.DUMMYFUNCTION("""COMPUTED_VALUE"""),"No Aplica")</f>
        <v>No Aplica</v>
      </c>
      <c r="AS703" s="97"/>
      <c r="AT703" s="97"/>
      <c r="AU703" s="97" t="str">
        <f>IFERROR(__xludf.DUMMYFUNCTION("""COMPUTED_VALUE"""),"Falta")</f>
        <v>Falta</v>
      </c>
      <c r="AV703" s="97" t="str">
        <f>IFERROR(__xludf.DUMMYFUNCTION("""COMPUTED_VALUE"""),"Empotrable")</f>
        <v>Empotrable</v>
      </c>
      <c r="AW703" s="97" t="str">
        <f>IFERROR(__xludf.DUMMYFUNCTION("""COMPUTED_VALUE"""),"De Techo")</f>
        <v>De Techo</v>
      </c>
      <c r="AX703" s="97" t="str">
        <f>IFERROR(__xludf.DUMMYFUNCTION("""COMPUTED_VALUE"""),"Interior")</f>
        <v>Interior</v>
      </c>
      <c r="AY703" s="97" t="str">
        <f>IFERROR(__xludf.DUMMYFUNCTION("""COMPUTED_VALUE"""),"Cardánico")</f>
        <v>Cardánico</v>
      </c>
      <c r="AZ703" s="97" t="str">
        <f>IFERROR(__xludf.DUMMYFUNCTION("""COMPUTED_VALUE"""),"Incluye zócalo GU10 c/cable 20cm.")</f>
        <v>Incluye zócalo GU10 c/cable 20cm.</v>
      </c>
      <c r="BA703" s="97">
        <f>IFERROR(__xludf.DUMMYFUNCTION("""COMPUTED_VALUE"""),10.0)</f>
        <v>10</v>
      </c>
      <c r="BB703" s="97" t="str">
        <f>IFERROR(__xludf.DUMMYFUNCTION("""COMPUTED_VALUE"""),"-")</f>
        <v>-</v>
      </c>
      <c r="BC703" s="97" t="str">
        <f>IFERROR(__xludf.DUMMYFUNCTION("""COMPUTED_VALUE"""),"-")</f>
        <v>-</v>
      </c>
      <c r="BD703" s="97" t="str">
        <f>IFERROR(__xludf.DUMMYFUNCTION("""COMPUTED_VALUE"""),"MILA ")</f>
        <v>MILA </v>
      </c>
      <c r="BE703" s="97" t="str">
        <f>IFERROR(__xludf.DUMMYFUNCTION("""COMPUTED_VALUE"""),"Finalizada")</f>
        <v>Finalizada</v>
      </c>
      <c r="BF703" s="97"/>
      <c r="BG703" s="97" t="str">
        <f>IFERROR(__xludf.DUMMYFUNCTION("""COMPUTED_VALUE"""),"Activo")</f>
        <v>Activo</v>
      </c>
    </row>
    <row r="704">
      <c r="A704" s="97">
        <f>IFERROR(__xludf.DUMMYFUNCTION("""COMPUTED_VALUE"""),6463.0)</f>
        <v>6463</v>
      </c>
      <c r="B704" s="97" t="str">
        <f>IFERROR(__xludf.DUMMYFUNCTION("""COMPUTED_VALUE"""),"MILA III BL")</f>
        <v>MILA III BL</v>
      </c>
      <c r="C704" s="97" t="str">
        <f>IFERROR(__xludf.DUMMYFUNCTION("""COMPUTED_VALUE"""),"EMPOTRABLE MILA III BL 3XGU10 AR111 IP20 LEUK")</f>
        <v>EMPOTRABLE MILA III BL 3XGU10 AR111 IP20 LEUK</v>
      </c>
      <c r="D704" s="97">
        <f>IFERROR(__xludf.DUMMYFUNCTION("""COMPUTED_VALUE"""),7.798328754417E12)</f>
        <v>7798328754417</v>
      </c>
      <c r="E704" s="97"/>
      <c r="F704" s="97" t="str">
        <f>IFERROR(__xludf.DUMMYFUNCTION("""COMPUTED_VALUE"""),"3xGU10 AR111")</f>
        <v>3xGU10 AR111</v>
      </c>
      <c r="G704" s="97" t="str">
        <f>IFERROR(__xludf.DUMMYFUNCTION("""COMPUTED_VALUE"""),"N/A")</f>
        <v>N/A</v>
      </c>
      <c r="H704" s="97" t="str">
        <f>IFERROR(__xludf.DUMMYFUNCTION("""COMPUTED_VALUE"""),"N/A")</f>
        <v>N/A</v>
      </c>
      <c r="I704" s="97" t="str">
        <f>IFERROR(__xludf.DUMMYFUNCTION("""COMPUTED_VALUE"""),"N/A")</f>
        <v>N/A</v>
      </c>
      <c r="J704" s="97" t="str">
        <f>IFERROR(__xludf.DUMMYFUNCTION("""COMPUTED_VALUE"""),"N/A")</f>
        <v>N/A</v>
      </c>
      <c r="K704" s="97" t="str">
        <f>IFERROR(__xludf.DUMMYFUNCTION("""COMPUTED_VALUE"""),"N/A")</f>
        <v>N/A</v>
      </c>
      <c r="L704" s="97">
        <f>IFERROR(__xludf.DUMMYFUNCTION("""COMPUTED_VALUE"""),220.0)</f>
        <v>220</v>
      </c>
      <c r="M704" s="97">
        <f>IFERROR(__xludf.DUMMYFUNCTION("""COMPUTED_VALUE"""),50.0)</f>
        <v>50</v>
      </c>
      <c r="N704" s="97"/>
      <c r="O704" s="97" t="str">
        <f>IFERROR(__xludf.DUMMYFUNCTION("""COMPUTED_VALUE"""),"3 x 50W Max")</f>
        <v>3 x 50W Max</v>
      </c>
      <c r="P704" s="97"/>
      <c r="Q704" s="97" t="str">
        <f>IFERROR(__xludf.DUMMYFUNCTION("""COMPUTED_VALUE"""),"-")</f>
        <v>-</v>
      </c>
      <c r="R704" s="97" t="str">
        <f>IFERROR(__xludf.DUMMYFUNCTION("""COMPUTED_VALUE"""),"-")</f>
        <v>-</v>
      </c>
      <c r="S704" s="97" t="str">
        <f>IFERROR(__xludf.DUMMYFUNCTION("""COMPUTED_VALUE"""),"-")</f>
        <v>-</v>
      </c>
      <c r="T704" s="97" t="str">
        <f>IFERROR(__xludf.DUMMYFUNCTION("""COMPUTED_VALUE"""),"-")</f>
        <v>-</v>
      </c>
      <c r="U704" s="97" t="str">
        <f>IFERROR(__xludf.DUMMYFUNCTION("""COMPUTED_VALUE"""),"-")</f>
        <v>-</v>
      </c>
      <c r="V704" s="97" t="str">
        <f>IFERROR(__xludf.DUMMYFUNCTION("""COMPUTED_VALUE"""),"N/A")</f>
        <v>N/A</v>
      </c>
      <c r="W704" s="97" t="str">
        <f>IFERROR(__xludf.DUMMYFUNCTION("""COMPUTED_VALUE"""),"N/A")</f>
        <v>N/A</v>
      </c>
      <c r="X704" s="97" t="str">
        <f>IFERROR(__xludf.DUMMYFUNCTION("""COMPUTED_VALUE"""),"-")</f>
        <v>-</v>
      </c>
      <c r="Y704" s="97" t="str">
        <f>IFERROR(__xludf.DUMMYFUNCTION("""COMPUTED_VALUE"""),"N/A")</f>
        <v>N/A</v>
      </c>
      <c r="Z704" s="97" t="str">
        <f>IFERROR(__xludf.DUMMYFUNCTION("""COMPUTED_VALUE"""),"N/A")</f>
        <v>N/A</v>
      </c>
      <c r="AA704" s="97" t="str">
        <f>IFERROR(__xludf.DUMMYFUNCTION("""COMPUTED_VALUE"""),"N/A")</f>
        <v>N/A</v>
      </c>
      <c r="AB704" s="97" t="str">
        <f>IFERROR(__xludf.DUMMYFUNCTION("""COMPUTED_VALUE"""),"N/A")</f>
        <v>N/A</v>
      </c>
      <c r="AC704" s="97" t="str">
        <f>IFERROR(__xludf.DUMMYFUNCTION("""COMPUTED_VALUE"""),"N/A")</f>
        <v>N/A</v>
      </c>
      <c r="AD704" s="97" t="str">
        <f>IFERROR(__xludf.DUMMYFUNCTION("""COMPUTED_VALUE"""),"IP20")</f>
        <v>IP20</v>
      </c>
      <c r="AE704" s="97" t="str">
        <f>IFERROR(__xludf.DUMMYFUNCTION("""COMPUTED_VALUE"""),"Clase l")</f>
        <v>Clase l</v>
      </c>
      <c r="AF704" s="97" t="str">
        <f>IFERROR(__xludf.DUMMYFUNCTION("""COMPUTED_VALUE"""),"Embutir")</f>
        <v>Embutir</v>
      </c>
      <c r="AG704" s="97" t="str">
        <f>IFERROR(__xludf.DUMMYFUNCTION("""COMPUTED_VALUE"""),"440 x 170 x 99")</f>
        <v>440 x 170 x 99</v>
      </c>
      <c r="AH704" s="97" t="str">
        <f>IFERROR(__xludf.DUMMYFUNCTION("""COMPUTED_VALUE"""),"424 x 154 ")</f>
        <v>424 x 154 </v>
      </c>
      <c r="AI704" s="97">
        <f>IFERROR(__xludf.DUMMYFUNCTION("""COMPUTED_VALUE"""),105.0)</f>
        <v>105</v>
      </c>
      <c r="AJ704" s="97" t="str">
        <f>IFERROR(__xludf.DUMMYFUNCTION("""COMPUTED_VALUE"""),"N/A")</f>
        <v>N/A</v>
      </c>
      <c r="AK704" s="97" t="str">
        <f>IFERROR(__xludf.DUMMYFUNCTION("""COMPUTED_VALUE"""),"Acero y Aluminio")</f>
        <v>Acero y Aluminio</v>
      </c>
      <c r="AL704" s="97" t="str">
        <f>IFERROR(__xludf.DUMMYFUNCTION("""COMPUTED_VALUE"""),"Blanco Satinado")</f>
        <v>Blanco Satinado</v>
      </c>
      <c r="AM704" s="97" t="str">
        <f>IFERROR(__xludf.DUMMYFUNCTION("""COMPUTED_VALUE"""),"-")</f>
        <v>-</v>
      </c>
      <c r="AN704" s="97" t="str">
        <f>IFERROR(__xludf.DUMMYFUNCTION("""COMPUTED_VALUE"""),"N/A")</f>
        <v>N/A</v>
      </c>
      <c r="AO704" s="97" t="str">
        <f>IFERROR(__xludf.DUMMYFUNCTION("""COMPUTED_VALUE"""),"3 Años")</f>
        <v>3 Años</v>
      </c>
      <c r="AP704" s="97" t="str">
        <f>IFERROR(__xludf.DUMMYFUNCTION("""COMPUTED_VALUE"""),"No Aplica")</f>
        <v>No Aplica</v>
      </c>
      <c r="AQ704" s="97" t="str">
        <f>IFERROR(__xludf.DUMMYFUNCTION("""COMPUTED_VALUE"""),"No Aplica")</f>
        <v>No Aplica</v>
      </c>
      <c r="AR704" s="97" t="str">
        <f>IFERROR(__xludf.DUMMYFUNCTION("""COMPUTED_VALUE"""),"No Aplica")</f>
        <v>No Aplica</v>
      </c>
      <c r="AS704" s="97"/>
      <c r="AT704" s="97"/>
      <c r="AU704" s="97" t="str">
        <f>IFERROR(__xludf.DUMMYFUNCTION("""COMPUTED_VALUE"""),"Falta")</f>
        <v>Falta</v>
      </c>
      <c r="AV704" s="97" t="str">
        <f>IFERROR(__xludf.DUMMYFUNCTION("""COMPUTED_VALUE"""),"Empotrable")</f>
        <v>Empotrable</v>
      </c>
      <c r="AW704" s="97" t="str">
        <f>IFERROR(__xludf.DUMMYFUNCTION("""COMPUTED_VALUE"""),"De Techo")</f>
        <v>De Techo</v>
      </c>
      <c r="AX704" s="97" t="str">
        <f>IFERROR(__xludf.DUMMYFUNCTION("""COMPUTED_VALUE"""),"Interior")</f>
        <v>Interior</v>
      </c>
      <c r="AY704" s="97" t="str">
        <f>IFERROR(__xludf.DUMMYFUNCTION("""COMPUTED_VALUE"""),"Cardánico")</f>
        <v>Cardánico</v>
      </c>
      <c r="AZ704" s="97" t="str">
        <f>IFERROR(__xludf.DUMMYFUNCTION("""COMPUTED_VALUE"""),"Incluye zócalo GU10 c/cable 20cm.")</f>
        <v>Incluye zócalo GU10 c/cable 20cm.</v>
      </c>
      <c r="BA704" s="97">
        <f>IFERROR(__xludf.DUMMYFUNCTION("""COMPUTED_VALUE"""),10.0)</f>
        <v>10</v>
      </c>
      <c r="BB704" s="97" t="str">
        <f>IFERROR(__xludf.DUMMYFUNCTION("""COMPUTED_VALUE"""),"-")</f>
        <v>-</v>
      </c>
      <c r="BC704" s="97" t="str">
        <f>IFERROR(__xludf.DUMMYFUNCTION("""COMPUTED_VALUE"""),"-")</f>
        <v>-</v>
      </c>
      <c r="BD704" s="97" t="str">
        <f>IFERROR(__xludf.DUMMYFUNCTION("""COMPUTED_VALUE"""),"MILA ")</f>
        <v>MILA </v>
      </c>
      <c r="BE704" s="97" t="str">
        <f>IFERROR(__xludf.DUMMYFUNCTION("""COMPUTED_VALUE"""),"Finalizada")</f>
        <v>Finalizada</v>
      </c>
      <c r="BF704" s="97"/>
      <c r="BG704" s="97" t="str">
        <f>IFERROR(__xludf.DUMMYFUNCTION("""COMPUTED_VALUE"""),"Activo")</f>
        <v>Activo</v>
      </c>
    </row>
    <row r="705">
      <c r="A705" s="97">
        <f>IFERROR(__xludf.DUMMYFUNCTION("""COMPUTED_VALUE"""),6464.0)</f>
        <v>6464</v>
      </c>
      <c r="B705" s="97" t="str">
        <f>IFERROR(__xludf.DUMMYFUNCTION("""COMPUTED_VALUE"""),"ANTON IV NG")</f>
        <v>ANTON IV NG</v>
      </c>
      <c r="C705" s="97" t="str">
        <f>IFERROR(__xludf.DUMMYFUNCTION("""COMPUTED_VALUE"""),"APLIQUE ANTON IV NG 4XGU10 DICRO IP20 LEUK")</f>
        <v>APLIQUE ANTON IV NG 4XGU10 DICRO IP20 LEUK</v>
      </c>
      <c r="D705" s="97">
        <f>IFERROR(__xludf.DUMMYFUNCTION("""COMPUTED_VALUE"""),7.798328754424E12)</f>
        <v>7798328754424</v>
      </c>
      <c r="E705" s="97"/>
      <c r="F705" s="97" t="str">
        <f>IFERROR(__xludf.DUMMYFUNCTION("""COMPUTED_VALUE"""),"4xGU10 Dicro")</f>
        <v>4xGU10 Dicro</v>
      </c>
      <c r="G705" s="97" t="str">
        <f>IFERROR(__xludf.DUMMYFUNCTION("""COMPUTED_VALUE"""),"N/A")</f>
        <v>N/A</v>
      </c>
      <c r="H705" s="97" t="str">
        <f>IFERROR(__xludf.DUMMYFUNCTION("""COMPUTED_VALUE"""),"N/A")</f>
        <v>N/A</v>
      </c>
      <c r="I705" s="97" t="str">
        <f>IFERROR(__xludf.DUMMYFUNCTION("""COMPUTED_VALUE"""),"N/A")</f>
        <v>N/A</v>
      </c>
      <c r="J705" s="97" t="str">
        <f>IFERROR(__xludf.DUMMYFUNCTION("""COMPUTED_VALUE"""),"N/A")</f>
        <v>N/A</v>
      </c>
      <c r="K705" s="97" t="str">
        <f>IFERROR(__xludf.DUMMYFUNCTION("""COMPUTED_VALUE"""),"N/A")</f>
        <v>N/A</v>
      </c>
      <c r="L705" s="97">
        <f>IFERROR(__xludf.DUMMYFUNCTION("""COMPUTED_VALUE"""),220.0)</f>
        <v>220</v>
      </c>
      <c r="M705" s="97">
        <f>IFERROR(__xludf.DUMMYFUNCTION("""COMPUTED_VALUE"""),50.0)</f>
        <v>50</v>
      </c>
      <c r="N705" s="97"/>
      <c r="O705" s="97" t="str">
        <f>IFERROR(__xludf.DUMMYFUNCTION("""COMPUTED_VALUE"""),"4 x 50W Max")</f>
        <v>4 x 50W Max</v>
      </c>
      <c r="P705" s="97"/>
      <c r="Q705" s="97" t="str">
        <f>IFERROR(__xludf.DUMMYFUNCTION("""COMPUTED_VALUE"""),"-")</f>
        <v>-</v>
      </c>
      <c r="R705" s="97" t="str">
        <f>IFERROR(__xludf.DUMMYFUNCTION("""COMPUTED_VALUE"""),"-")</f>
        <v>-</v>
      </c>
      <c r="S705" s="97" t="str">
        <f>IFERROR(__xludf.DUMMYFUNCTION("""COMPUTED_VALUE"""),"-")</f>
        <v>-</v>
      </c>
      <c r="T705" s="97" t="str">
        <f>IFERROR(__xludf.DUMMYFUNCTION("""COMPUTED_VALUE"""),"-")</f>
        <v>-</v>
      </c>
      <c r="U705" s="97" t="str">
        <f>IFERROR(__xludf.DUMMYFUNCTION("""COMPUTED_VALUE"""),"-")</f>
        <v>-</v>
      </c>
      <c r="V705" s="97" t="str">
        <f>IFERROR(__xludf.DUMMYFUNCTION("""COMPUTED_VALUE"""),"N/A")</f>
        <v>N/A</v>
      </c>
      <c r="W705" s="97" t="str">
        <f>IFERROR(__xludf.DUMMYFUNCTION("""COMPUTED_VALUE"""),"N/A")</f>
        <v>N/A</v>
      </c>
      <c r="X705" s="97" t="str">
        <f>IFERROR(__xludf.DUMMYFUNCTION("""COMPUTED_VALUE"""),"-")</f>
        <v>-</v>
      </c>
      <c r="Y705" s="97" t="str">
        <f>IFERROR(__xludf.DUMMYFUNCTION("""COMPUTED_VALUE"""),"N/A")</f>
        <v>N/A</v>
      </c>
      <c r="Z705" s="97" t="str">
        <f>IFERROR(__xludf.DUMMYFUNCTION("""COMPUTED_VALUE"""),"N/A")</f>
        <v>N/A</v>
      </c>
      <c r="AA705" s="97" t="str">
        <f>IFERROR(__xludf.DUMMYFUNCTION("""COMPUTED_VALUE"""),"N/A")</f>
        <v>N/A</v>
      </c>
      <c r="AB705" s="97" t="str">
        <f>IFERROR(__xludf.DUMMYFUNCTION("""COMPUTED_VALUE"""),"N/A")</f>
        <v>N/A</v>
      </c>
      <c r="AC705" s="97" t="str">
        <f>IFERROR(__xludf.DUMMYFUNCTION("""COMPUTED_VALUE"""),"N/A")</f>
        <v>N/A</v>
      </c>
      <c r="AD705" s="97" t="str">
        <f>IFERROR(__xludf.DUMMYFUNCTION("""COMPUTED_VALUE"""),"IP20")</f>
        <v>IP20</v>
      </c>
      <c r="AE705" s="97" t="str">
        <f>IFERROR(__xludf.DUMMYFUNCTION("""COMPUTED_VALUE"""),"Clase l")</f>
        <v>Clase l</v>
      </c>
      <c r="AF705" s="97" t="str">
        <f>IFERROR(__xludf.DUMMYFUNCTION("""COMPUTED_VALUE"""),"Aplicar")</f>
        <v>Aplicar</v>
      </c>
      <c r="AG705" s="97" t="str">
        <f>IFERROR(__xludf.DUMMYFUNCTION("""COMPUTED_VALUE"""),"166 x 166 x 87")</f>
        <v>166 x 166 x 87</v>
      </c>
      <c r="AH705" s="97" t="str">
        <f>IFERROR(__xludf.DUMMYFUNCTION("""COMPUTED_VALUE"""),"N/A")</f>
        <v>N/A</v>
      </c>
      <c r="AI705" s="97" t="str">
        <f>IFERROR(__xludf.DUMMYFUNCTION("""COMPUTED_VALUE"""),"N/A")</f>
        <v>N/A</v>
      </c>
      <c r="AJ705" s="97" t="str">
        <f>IFERROR(__xludf.DUMMYFUNCTION("""COMPUTED_VALUE"""),"N/A")</f>
        <v>N/A</v>
      </c>
      <c r="AK705" s="97" t="str">
        <f>IFERROR(__xludf.DUMMYFUNCTION("""COMPUTED_VALUE"""),"Acero y Aluminio")</f>
        <v>Acero y Aluminio</v>
      </c>
      <c r="AL705" s="97" t="str">
        <f>IFERROR(__xludf.DUMMYFUNCTION("""COMPUTED_VALUE"""),"Negro Satinado")</f>
        <v>Negro Satinado</v>
      </c>
      <c r="AM705" s="97" t="str">
        <f>IFERROR(__xludf.DUMMYFUNCTION("""COMPUTED_VALUE"""),"-")</f>
        <v>-</v>
      </c>
      <c r="AN705" s="97" t="str">
        <f>IFERROR(__xludf.DUMMYFUNCTION("""COMPUTED_VALUE"""),"N/A")</f>
        <v>N/A</v>
      </c>
      <c r="AO705" s="97" t="str">
        <f>IFERROR(__xludf.DUMMYFUNCTION("""COMPUTED_VALUE"""),"3 Años")</f>
        <v>3 Años</v>
      </c>
      <c r="AP705" s="97" t="str">
        <f>IFERROR(__xludf.DUMMYFUNCTION("""COMPUTED_VALUE"""),"No Aplica")</f>
        <v>No Aplica</v>
      </c>
      <c r="AQ705" s="97" t="str">
        <f>IFERROR(__xludf.DUMMYFUNCTION("""COMPUTED_VALUE"""),"No Aplica")</f>
        <v>No Aplica</v>
      </c>
      <c r="AR705" s="97" t="str">
        <f>IFERROR(__xludf.DUMMYFUNCTION("""COMPUTED_VALUE"""),"No Aplica")</f>
        <v>No Aplica</v>
      </c>
      <c r="AS705" s="97"/>
      <c r="AT705" s="97"/>
      <c r="AU705" s="97" t="str">
        <f>IFERROR(__xludf.DUMMYFUNCTION("""COMPUTED_VALUE"""),"Falta")</f>
        <v>Falta</v>
      </c>
      <c r="AV705" s="97" t="str">
        <f>IFERROR(__xludf.DUMMYFUNCTION("""COMPUTED_VALUE"""),"Aplique")</f>
        <v>Aplique</v>
      </c>
      <c r="AW705" s="97" t="str">
        <f>IFERROR(__xludf.DUMMYFUNCTION("""COMPUTED_VALUE"""),"De Techo")</f>
        <v>De Techo</v>
      </c>
      <c r="AX705" s="97" t="str">
        <f>IFERROR(__xludf.DUMMYFUNCTION("""COMPUTED_VALUE"""),"Interior")</f>
        <v>Interior</v>
      </c>
      <c r="AY705" s="97" t="str">
        <f>IFERROR(__xludf.DUMMYFUNCTION("""COMPUTED_VALUE"""),"Cardánico")</f>
        <v>Cardánico</v>
      </c>
      <c r="AZ705" s="97" t="str">
        <f>IFERROR(__xludf.DUMMYFUNCTION("""COMPUTED_VALUE"""),"Incluye zócalo GU10 c/cable 20cm.")</f>
        <v>Incluye zócalo GU10 c/cable 20cm.</v>
      </c>
      <c r="BA705" s="97">
        <f>IFERROR(__xludf.DUMMYFUNCTION("""COMPUTED_VALUE"""),16.0)</f>
        <v>16</v>
      </c>
      <c r="BB705" s="97" t="str">
        <f>IFERROR(__xludf.DUMMYFUNCTION("""COMPUTED_VALUE"""),"-")</f>
        <v>-</v>
      </c>
      <c r="BC705" s="97" t="str">
        <f>IFERROR(__xludf.DUMMYFUNCTION("""COMPUTED_VALUE"""),"-")</f>
        <v>-</v>
      </c>
      <c r="BD705" s="97" t="str">
        <f>IFERROR(__xludf.DUMMYFUNCTION("""COMPUTED_VALUE"""),"ANTON")</f>
        <v>ANTON</v>
      </c>
      <c r="BE705" s="97" t="str">
        <f>IFERROR(__xludf.DUMMYFUNCTION("""COMPUTED_VALUE"""),"Finalizada")</f>
        <v>Finalizada</v>
      </c>
      <c r="BF705" s="97"/>
      <c r="BG705" s="97" t="str">
        <f>IFERROR(__xludf.DUMMYFUNCTION("""COMPUTED_VALUE"""),"Activo")</f>
        <v>Activo</v>
      </c>
    </row>
    <row r="706">
      <c r="A706" s="97">
        <f>IFERROR(__xludf.DUMMYFUNCTION("""COMPUTED_VALUE"""),6465.0)</f>
        <v>6465</v>
      </c>
      <c r="B706" s="97" t="str">
        <f>IFERROR(__xludf.DUMMYFUNCTION("""COMPUTED_VALUE"""),"ANTON IV BL")</f>
        <v>ANTON IV BL</v>
      </c>
      <c r="C706" s="97" t="str">
        <f>IFERROR(__xludf.DUMMYFUNCTION("""COMPUTED_VALUE"""),"APLIQUE ANTON IV BL 4XGU10 DICRO IP20 LEUK")</f>
        <v>APLIQUE ANTON IV BL 4XGU10 DICRO IP20 LEUK</v>
      </c>
      <c r="D706" s="97">
        <f>IFERROR(__xludf.DUMMYFUNCTION("""COMPUTED_VALUE"""),7.798328754431E12)</f>
        <v>7798328754431</v>
      </c>
      <c r="E706" s="97"/>
      <c r="F706" s="97" t="str">
        <f>IFERROR(__xludf.DUMMYFUNCTION("""COMPUTED_VALUE"""),"4xGU10 Dicro")</f>
        <v>4xGU10 Dicro</v>
      </c>
      <c r="G706" s="97" t="str">
        <f>IFERROR(__xludf.DUMMYFUNCTION("""COMPUTED_VALUE"""),"N/A")</f>
        <v>N/A</v>
      </c>
      <c r="H706" s="97" t="str">
        <f>IFERROR(__xludf.DUMMYFUNCTION("""COMPUTED_VALUE"""),"N/A")</f>
        <v>N/A</v>
      </c>
      <c r="I706" s="97" t="str">
        <f>IFERROR(__xludf.DUMMYFUNCTION("""COMPUTED_VALUE"""),"N/A")</f>
        <v>N/A</v>
      </c>
      <c r="J706" s="97" t="str">
        <f>IFERROR(__xludf.DUMMYFUNCTION("""COMPUTED_VALUE"""),"N/A")</f>
        <v>N/A</v>
      </c>
      <c r="K706" s="97" t="str">
        <f>IFERROR(__xludf.DUMMYFUNCTION("""COMPUTED_VALUE"""),"N/A")</f>
        <v>N/A</v>
      </c>
      <c r="L706" s="97">
        <f>IFERROR(__xludf.DUMMYFUNCTION("""COMPUTED_VALUE"""),220.0)</f>
        <v>220</v>
      </c>
      <c r="M706" s="97">
        <f>IFERROR(__xludf.DUMMYFUNCTION("""COMPUTED_VALUE"""),50.0)</f>
        <v>50</v>
      </c>
      <c r="N706" s="97"/>
      <c r="O706" s="97" t="str">
        <f>IFERROR(__xludf.DUMMYFUNCTION("""COMPUTED_VALUE"""),"4 x 50W Max")</f>
        <v>4 x 50W Max</v>
      </c>
      <c r="P706" s="97"/>
      <c r="Q706" s="97" t="str">
        <f>IFERROR(__xludf.DUMMYFUNCTION("""COMPUTED_VALUE"""),"-")</f>
        <v>-</v>
      </c>
      <c r="R706" s="97" t="str">
        <f>IFERROR(__xludf.DUMMYFUNCTION("""COMPUTED_VALUE"""),"-")</f>
        <v>-</v>
      </c>
      <c r="S706" s="97" t="str">
        <f>IFERROR(__xludf.DUMMYFUNCTION("""COMPUTED_VALUE"""),"-")</f>
        <v>-</v>
      </c>
      <c r="T706" s="97" t="str">
        <f>IFERROR(__xludf.DUMMYFUNCTION("""COMPUTED_VALUE"""),"-")</f>
        <v>-</v>
      </c>
      <c r="U706" s="97" t="str">
        <f>IFERROR(__xludf.DUMMYFUNCTION("""COMPUTED_VALUE"""),"-")</f>
        <v>-</v>
      </c>
      <c r="V706" s="97" t="str">
        <f>IFERROR(__xludf.DUMMYFUNCTION("""COMPUTED_VALUE"""),"N/A")</f>
        <v>N/A</v>
      </c>
      <c r="W706" s="97" t="str">
        <f>IFERROR(__xludf.DUMMYFUNCTION("""COMPUTED_VALUE"""),"N/A")</f>
        <v>N/A</v>
      </c>
      <c r="X706" s="97" t="str">
        <f>IFERROR(__xludf.DUMMYFUNCTION("""COMPUTED_VALUE"""),"-")</f>
        <v>-</v>
      </c>
      <c r="Y706" s="97" t="str">
        <f>IFERROR(__xludf.DUMMYFUNCTION("""COMPUTED_VALUE"""),"N/A")</f>
        <v>N/A</v>
      </c>
      <c r="Z706" s="97" t="str">
        <f>IFERROR(__xludf.DUMMYFUNCTION("""COMPUTED_VALUE"""),"N/A")</f>
        <v>N/A</v>
      </c>
      <c r="AA706" s="97" t="str">
        <f>IFERROR(__xludf.DUMMYFUNCTION("""COMPUTED_VALUE"""),"N/A")</f>
        <v>N/A</v>
      </c>
      <c r="AB706" s="97" t="str">
        <f>IFERROR(__xludf.DUMMYFUNCTION("""COMPUTED_VALUE"""),"N/A")</f>
        <v>N/A</v>
      </c>
      <c r="AC706" s="97" t="str">
        <f>IFERROR(__xludf.DUMMYFUNCTION("""COMPUTED_VALUE"""),"N/A")</f>
        <v>N/A</v>
      </c>
      <c r="AD706" s="97" t="str">
        <f>IFERROR(__xludf.DUMMYFUNCTION("""COMPUTED_VALUE"""),"IP20")</f>
        <v>IP20</v>
      </c>
      <c r="AE706" s="97" t="str">
        <f>IFERROR(__xludf.DUMMYFUNCTION("""COMPUTED_VALUE"""),"Clase l")</f>
        <v>Clase l</v>
      </c>
      <c r="AF706" s="97" t="str">
        <f>IFERROR(__xludf.DUMMYFUNCTION("""COMPUTED_VALUE"""),"Aplicar")</f>
        <v>Aplicar</v>
      </c>
      <c r="AG706" s="97" t="str">
        <f>IFERROR(__xludf.DUMMYFUNCTION("""COMPUTED_VALUE"""),"166 x 166 x 87")</f>
        <v>166 x 166 x 87</v>
      </c>
      <c r="AH706" s="97" t="str">
        <f>IFERROR(__xludf.DUMMYFUNCTION("""COMPUTED_VALUE"""),"N/A")</f>
        <v>N/A</v>
      </c>
      <c r="AI706" s="97" t="str">
        <f>IFERROR(__xludf.DUMMYFUNCTION("""COMPUTED_VALUE"""),"N/A")</f>
        <v>N/A</v>
      </c>
      <c r="AJ706" s="97" t="str">
        <f>IFERROR(__xludf.DUMMYFUNCTION("""COMPUTED_VALUE"""),"N/A")</f>
        <v>N/A</v>
      </c>
      <c r="AK706" s="97" t="str">
        <f>IFERROR(__xludf.DUMMYFUNCTION("""COMPUTED_VALUE"""),"Acero y Aluminio")</f>
        <v>Acero y Aluminio</v>
      </c>
      <c r="AL706" s="97" t="str">
        <f>IFERROR(__xludf.DUMMYFUNCTION("""COMPUTED_VALUE"""),"Blanco Satinado")</f>
        <v>Blanco Satinado</v>
      </c>
      <c r="AM706" s="97" t="str">
        <f>IFERROR(__xludf.DUMMYFUNCTION("""COMPUTED_VALUE"""),"-")</f>
        <v>-</v>
      </c>
      <c r="AN706" s="97" t="str">
        <f>IFERROR(__xludf.DUMMYFUNCTION("""COMPUTED_VALUE"""),"N/A")</f>
        <v>N/A</v>
      </c>
      <c r="AO706" s="97" t="str">
        <f>IFERROR(__xludf.DUMMYFUNCTION("""COMPUTED_VALUE"""),"3 Años")</f>
        <v>3 Años</v>
      </c>
      <c r="AP706" s="97" t="str">
        <f>IFERROR(__xludf.DUMMYFUNCTION("""COMPUTED_VALUE"""),"No Aplica")</f>
        <v>No Aplica</v>
      </c>
      <c r="AQ706" s="97" t="str">
        <f>IFERROR(__xludf.DUMMYFUNCTION("""COMPUTED_VALUE"""),"No Aplica")</f>
        <v>No Aplica</v>
      </c>
      <c r="AR706" s="97" t="str">
        <f>IFERROR(__xludf.DUMMYFUNCTION("""COMPUTED_VALUE"""),"No Aplica")</f>
        <v>No Aplica</v>
      </c>
      <c r="AS706" s="97"/>
      <c r="AT706" s="97"/>
      <c r="AU706" s="97" t="str">
        <f>IFERROR(__xludf.DUMMYFUNCTION("""COMPUTED_VALUE"""),"Falta")</f>
        <v>Falta</v>
      </c>
      <c r="AV706" s="97" t="str">
        <f>IFERROR(__xludf.DUMMYFUNCTION("""COMPUTED_VALUE"""),"Aplique")</f>
        <v>Aplique</v>
      </c>
      <c r="AW706" s="97" t="str">
        <f>IFERROR(__xludf.DUMMYFUNCTION("""COMPUTED_VALUE"""),"De Techo")</f>
        <v>De Techo</v>
      </c>
      <c r="AX706" s="97" t="str">
        <f>IFERROR(__xludf.DUMMYFUNCTION("""COMPUTED_VALUE"""),"Interior")</f>
        <v>Interior</v>
      </c>
      <c r="AY706" s="97" t="str">
        <f>IFERROR(__xludf.DUMMYFUNCTION("""COMPUTED_VALUE"""),"Cardánico")</f>
        <v>Cardánico</v>
      </c>
      <c r="AZ706" s="97" t="str">
        <f>IFERROR(__xludf.DUMMYFUNCTION("""COMPUTED_VALUE"""),"Incluye zócalo GU10 c/cable 20cm.")</f>
        <v>Incluye zócalo GU10 c/cable 20cm.</v>
      </c>
      <c r="BA706" s="97">
        <f>IFERROR(__xludf.DUMMYFUNCTION("""COMPUTED_VALUE"""),16.0)</f>
        <v>16</v>
      </c>
      <c r="BB706" s="97" t="str">
        <f>IFERROR(__xludf.DUMMYFUNCTION("""COMPUTED_VALUE"""),"-")</f>
        <v>-</v>
      </c>
      <c r="BC706" s="97" t="str">
        <f>IFERROR(__xludf.DUMMYFUNCTION("""COMPUTED_VALUE"""),"-")</f>
        <v>-</v>
      </c>
      <c r="BD706" s="97" t="str">
        <f>IFERROR(__xludf.DUMMYFUNCTION("""COMPUTED_VALUE"""),"ANTON")</f>
        <v>ANTON</v>
      </c>
      <c r="BE706" s="97" t="str">
        <f>IFERROR(__xludf.DUMMYFUNCTION("""COMPUTED_VALUE"""),"Finalizada")</f>
        <v>Finalizada</v>
      </c>
      <c r="BF706" s="97"/>
      <c r="BG706" s="97" t="str">
        <f>IFERROR(__xludf.DUMMYFUNCTION("""COMPUTED_VALUE"""),"Activo")</f>
        <v>Activo</v>
      </c>
    </row>
    <row r="707">
      <c r="A707" s="97">
        <f>IFERROR(__xludf.DUMMYFUNCTION("""COMPUTED_VALUE"""),6466.0)</f>
        <v>6466</v>
      </c>
      <c r="B707" s="97" t="str">
        <f>IFERROR(__xludf.DUMMYFUNCTION("""COMPUTED_VALUE"""),"KAROL IV NG")</f>
        <v>KAROL IV NG</v>
      </c>
      <c r="C707" s="97" t="str">
        <f>IFERROR(__xludf.DUMMYFUNCTION("""COMPUTED_VALUE"""),"EMPOTRABLE KAROL IV NG 4XGU10 DICRO IP20 LEUK")</f>
        <v>EMPOTRABLE KAROL IV NG 4XGU10 DICRO IP20 LEUK</v>
      </c>
      <c r="D707" s="97">
        <f>IFERROR(__xludf.DUMMYFUNCTION("""COMPUTED_VALUE"""),7.798328754448E12)</f>
        <v>7798328754448</v>
      </c>
      <c r="E707" s="97"/>
      <c r="F707" s="97" t="str">
        <f>IFERROR(__xludf.DUMMYFUNCTION("""COMPUTED_VALUE"""),"4xGU10 Dicro")</f>
        <v>4xGU10 Dicro</v>
      </c>
      <c r="G707" s="97" t="str">
        <f>IFERROR(__xludf.DUMMYFUNCTION("""COMPUTED_VALUE"""),"N/A")</f>
        <v>N/A</v>
      </c>
      <c r="H707" s="97" t="str">
        <f>IFERROR(__xludf.DUMMYFUNCTION("""COMPUTED_VALUE"""),"N/A")</f>
        <v>N/A</v>
      </c>
      <c r="I707" s="97" t="str">
        <f>IFERROR(__xludf.DUMMYFUNCTION("""COMPUTED_VALUE"""),"N/A")</f>
        <v>N/A</v>
      </c>
      <c r="J707" s="97" t="str">
        <f>IFERROR(__xludf.DUMMYFUNCTION("""COMPUTED_VALUE"""),"N/A")</f>
        <v>N/A</v>
      </c>
      <c r="K707" s="97" t="str">
        <f>IFERROR(__xludf.DUMMYFUNCTION("""COMPUTED_VALUE"""),"N/A")</f>
        <v>N/A</v>
      </c>
      <c r="L707" s="97">
        <f>IFERROR(__xludf.DUMMYFUNCTION("""COMPUTED_VALUE"""),220.0)</f>
        <v>220</v>
      </c>
      <c r="M707" s="97">
        <f>IFERROR(__xludf.DUMMYFUNCTION("""COMPUTED_VALUE"""),50.0)</f>
        <v>50</v>
      </c>
      <c r="N707" s="97"/>
      <c r="O707" s="97" t="str">
        <f>IFERROR(__xludf.DUMMYFUNCTION("""COMPUTED_VALUE"""),"4 x 50W Max")</f>
        <v>4 x 50W Max</v>
      </c>
      <c r="P707" s="97"/>
      <c r="Q707" s="97" t="str">
        <f>IFERROR(__xludf.DUMMYFUNCTION("""COMPUTED_VALUE"""),"-")</f>
        <v>-</v>
      </c>
      <c r="R707" s="97" t="str">
        <f>IFERROR(__xludf.DUMMYFUNCTION("""COMPUTED_VALUE"""),"-")</f>
        <v>-</v>
      </c>
      <c r="S707" s="97" t="str">
        <f>IFERROR(__xludf.DUMMYFUNCTION("""COMPUTED_VALUE"""),"-")</f>
        <v>-</v>
      </c>
      <c r="T707" s="97" t="str">
        <f>IFERROR(__xludf.DUMMYFUNCTION("""COMPUTED_VALUE"""),"-")</f>
        <v>-</v>
      </c>
      <c r="U707" s="97" t="str">
        <f>IFERROR(__xludf.DUMMYFUNCTION("""COMPUTED_VALUE"""),"-")</f>
        <v>-</v>
      </c>
      <c r="V707" s="97" t="str">
        <f>IFERROR(__xludf.DUMMYFUNCTION("""COMPUTED_VALUE"""),"N/A")</f>
        <v>N/A</v>
      </c>
      <c r="W707" s="97" t="str">
        <f>IFERROR(__xludf.DUMMYFUNCTION("""COMPUTED_VALUE"""),"N/A")</f>
        <v>N/A</v>
      </c>
      <c r="X707" s="97" t="str">
        <f>IFERROR(__xludf.DUMMYFUNCTION("""COMPUTED_VALUE"""),"-")</f>
        <v>-</v>
      </c>
      <c r="Y707" s="97" t="str">
        <f>IFERROR(__xludf.DUMMYFUNCTION("""COMPUTED_VALUE"""),"N/A")</f>
        <v>N/A</v>
      </c>
      <c r="Z707" s="97" t="str">
        <f>IFERROR(__xludf.DUMMYFUNCTION("""COMPUTED_VALUE"""),"N/A")</f>
        <v>N/A</v>
      </c>
      <c r="AA707" s="97" t="str">
        <f>IFERROR(__xludf.DUMMYFUNCTION("""COMPUTED_VALUE"""),"N/A")</f>
        <v>N/A</v>
      </c>
      <c r="AB707" s="97" t="str">
        <f>IFERROR(__xludf.DUMMYFUNCTION("""COMPUTED_VALUE"""),"N/A")</f>
        <v>N/A</v>
      </c>
      <c r="AC707" s="97" t="str">
        <f>IFERROR(__xludf.DUMMYFUNCTION("""COMPUTED_VALUE"""),"N/A")</f>
        <v>N/A</v>
      </c>
      <c r="AD707" s="97" t="str">
        <f>IFERROR(__xludf.DUMMYFUNCTION("""COMPUTED_VALUE"""),"IP20")</f>
        <v>IP20</v>
      </c>
      <c r="AE707" s="97" t="str">
        <f>IFERROR(__xludf.DUMMYFUNCTION("""COMPUTED_VALUE"""),"Clase l")</f>
        <v>Clase l</v>
      </c>
      <c r="AF707" s="97" t="str">
        <f>IFERROR(__xludf.DUMMYFUNCTION("""COMPUTED_VALUE"""),"Embutir")</f>
        <v>Embutir</v>
      </c>
      <c r="AG707" s="97" t="str">
        <f>IFERROR(__xludf.DUMMYFUNCTION("""COMPUTED_VALUE"""),"185 x 185 x 83")</f>
        <v>185 x 185 x 83</v>
      </c>
      <c r="AH707" s="97" t="str">
        <f>IFERROR(__xludf.DUMMYFUNCTION("""COMPUTED_VALUE"""),"170 x 170")</f>
        <v>170 x 170</v>
      </c>
      <c r="AI707" s="97">
        <f>IFERROR(__xludf.DUMMYFUNCTION("""COMPUTED_VALUE"""),88.0)</f>
        <v>88</v>
      </c>
      <c r="AJ707" s="97" t="str">
        <f>IFERROR(__xludf.DUMMYFUNCTION("""COMPUTED_VALUE"""),"N/A")</f>
        <v>N/A</v>
      </c>
      <c r="AK707" s="97" t="str">
        <f>IFERROR(__xludf.DUMMYFUNCTION("""COMPUTED_VALUE"""),"Acero y Aluminio")</f>
        <v>Acero y Aluminio</v>
      </c>
      <c r="AL707" s="97" t="str">
        <f>IFERROR(__xludf.DUMMYFUNCTION("""COMPUTED_VALUE"""),"Negro Satinado")</f>
        <v>Negro Satinado</v>
      </c>
      <c r="AM707" s="97" t="str">
        <f>IFERROR(__xludf.DUMMYFUNCTION("""COMPUTED_VALUE"""),"-")</f>
        <v>-</v>
      </c>
      <c r="AN707" s="97" t="str">
        <f>IFERROR(__xludf.DUMMYFUNCTION("""COMPUTED_VALUE"""),"N/A")</f>
        <v>N/A</v>
      </c>
      <c r="AO707" s="97" t="str">
        <f>IFERROR(__xludf.DUMMYFUNCTION("""COMPUTED_VALUE"""),"3 Años")</f>
        <v>3 Años</v>
      </c>
      <c r="AP707" s="97" t="str">
        <f>IFERROR(__xludf.DUMMYFUNCTION("""COMPUTED_VALUE"""),"No Aplica")</f>
        <v>No Aplica</v>
      </c>
      <c r="AQ707" s="97" t="str">
        <f>IFERROR(__xludf.DUMMYFUNCTION("""COMPUTED_VALUE"""),"No Aplica")</f>
        <v>No Aplica</v>
      </c>
      <c r="AR707" s="97" t="str">
        <f>IFERROR(__xludf.DUMMYFUNCTION("""COMPUTED_VALUE"""),"No Aplica")</f>
        <v>No Aplica</v>
      </c>
      <c r="AS707" s="97"/>
      <c r="AT707" s="97"/>
      <c r="AU707" s="97" t="str">
        <f>IFERROR(__xludf.DUMMYFUNCTION("""COMPUTED_VALUE"""),"Falta")</f>
        <v>Falta</v>
      </c>
      <c r="AV707" s="97" t="str">
        <f>IFERROR(__xludf.DUMMYFUNCTION("""COMPUTED_VALUE"""),"Empotrable")</f>
        <v>Empotrable</v>
      </c>
      <c r="AW707" s="97" t="str">
        <f>IFERROR(__xludf.DUMMYFUNCTION("""COMPUTED_VALUE"""),"De Techo")</f>
        <v>De Techo</v>
      </c>
      <c r="AX707" s="97" t="str">
        <f>IFERROR(__xludf.DUMMYFUNCTION("""COMPUTED_VALUE"""),"Interior")</f>
        <v>Interior</v>
      </c>
      <c r="AY707" s="97" t="str">
        <f>IFERROR(__xludf.DUMMYFUNCTION("""COMPUTED_VALUE"""),"Cardánico")</f>
        <v>Cardánico</v>
      </c>
      <c r="AZ707" s="97" t="str">
        <f>IFERROR(__xludf.DUMMYFUNCTION("""COMPUTED_VALUE"""),"Incluye zócalo GU10 c/cable 20cm.")</f>
        <v>Incluye zócalo GU10 c/cable 20cm.</v>
      </c>
      <c r="BA707" s="97">
        <f>IFERROR(__xludf.DUMMYFUNCTION("""COMPUTED_VALUE"""),20.0)</f>
        <v>20</v>
      </c>
      <c r="BB707" s="97" t="str">
        <f>IFERROR(__xludf.DUMMYFUNCTION("""COMPUTED_VALUE"""),"-")</f>
        <v>-</v>
      </c>
      <c r="BC707" s="97" t="str">
        <f>IFERROR(__xludf.DUMMYFUNCTION("""COMPUTED_VALUE"""),"-")</f>
        <v>-</v>
      </c>
      <c r="BD707" s="97" t="str">
        <f>IFERROR(__xludf.DUMMYFUNCTION("""COMPUTED_VALUE"""),"KAROL ")</f>
        <v>KAROL </v>
      </c>
      <c r="BE707" s="97" t="str">
        <f>IFERROR(__xludf.DUMMYFUNCTION("""COMPUTED_VALUE"""),"Finalizada")</f>
        <v>Finalizada</v>
      </c>
      <c r="BF707" s="97"/>
      <c r="BG707" s="97" t="str">
        <f>IFERROR(__xludf.DUMMYFUNCTION("""COMPUTED_VALUE"""),"Activo")</f>
        <v>Activo</v>
      </c>
    </row>
    <row r="708">
      <c r="A708" s="97">
        <f>IFERROR(__xludf.DUMMYFUNCTION("""COMPUTED_VALUE"""),6467.0)</f>
        <v>6467</v>
      </c>
      <c r="B708" s="97" t="str">
        <f>IFERROR(__xludf.DUMMYFUNCTION("""COMPUTED_VALUE"""),"KAROL IV BL")</f>
        <v>KAROL IV BL</v>
      </c>
      <c r="C708" s="97" t="str">
        <f>IFERROR(__xludf.DUMMYFUNCTION("""COMPUTED_VALUE"""),"EMPOTRABLE KAROL IV BL 4XGU10 DICRO IP20 LEUK")</f>
        <v>EMPOTRABLE KAROL IV BL 4XGU10 DICRO IP20 LEUK</v>
      </c>
      <c r="D708" s="97">
        <f>IFERROR(__xludf.DUMMYFUNCTION("""COMPUTED_VALUE"""),7.798328754455E12)</f>
        <v>7798328754455</v>
      </c>
      <c r="E708" s="97"/>
      <c r="F708" s="97" t="str">
        <f>IFERROR(__xludf.DUMMYFUNCTION("""COMPUTED_VALUE"""),"4xGU10 Dicro")</f>
        <v>4xGU10 Dicro</v>
      </c>
      <c r="G708" s="97" t="str">
        <f>IFERROR(__xludf.DUMMYFUNCTION("""COMPUTED_VALUE"""),"N/A")</f>
        <v>N/A</v>
      </c>
      <c r="H708" s="97" t="str">
        <f>IFERROR(__xludf.DUMMYFUNCTION("""COMPUTED_VALUE"""),"N/A")</f>
        <v>N/A</v>
      </c>
      <c r="I708" s="97" t="str">
        <f>IFERROR(__xludf.DUMMYFUNCTION("""COMPUTED_VALUE"""),"N/A")</f>
        <v>N/A</v>
      </c>
      <c r="J708" s="97" t="str">
        <f>IFERROR(__xludf.DUMMYFUNCTION("""COMPUTED_VALUE"""),"N/A")</f>
        <v>N/A</v>
      </c>
      <c r="K708" s="97" t="str">
        <f>IFERROR(__xludf.DUMMYFUNCTION("""COMPUTED_VALUE"""),"N/A")</f>
        <v>N/A</v>
      </c>
      <c r="L708" s="97">
        <f>IFERROR(__xludf.DUMMYFUNCTION("""COMPUTED_VALUE"""),220.0)</f>
        <v>220</v>
      </c>
      <c r="M708" s="97">
        <f>IFERROR(__xludf.DUMMYFUNCTION("""COMPUTED_VALUE"""),50.0)</f>
        <v>50</v>
      </c>
      <c r="N708" s="97"/>
      <c r="O708" s="97" t="str">
        <f>IFERROR(__xludf.DUMMYFUNCTION("""COMPUTED_VALUE"""),"4 x 50W Max")</f>
        <v>4 x 50W Max</v>
      </c>
      <c r="P708" s="97"/>
      <c r="Q708" s="97" t="str">
        <f>IFERROR(__xludf.DUMMYFUNCTION("""COMPUTED_VALUE"""),"-")</f>
        <v>-</v>
      </c>
      <c r="R708" s="97" t="str">
        <f>IFERROR(__xludf.DUMMYFUNCTION("""COMPUTED_VALUE"""),"-")</f>
        <v>-</v>
      </c>
      <c r="S708" s="97" t="str">
        <f>IFERROR(__xludf.DUMMYFUNCTION("""COMPUTED_VALUE"""),"-")</f>
        <v>-</v>
      </c>
      <c r="T708" s="97" t="str">
        <f>IFERROR(__xludf.DUMMYFUNCTION("""COMPUTED_VALUE"""),"-")</f>
        <v>-</v>
      </c>
      <c r="U708" s="97" t="str">
        <f>IFERROR(__xludf.DUMMYFUNCTION("""COMPUTED_VALUE"""),"-")</f>
        <v>-</v>
      </c>
      <c r="V708" s="97" t="str">
        <f>IFERROR(__xludf.DUMMYFUNCTION("""COMPUTED_VALUE"""),"N/A")</f>
        <v>N/A</v>
      </c>
      <c r="W708" s="97" t="str">
        <f>IFERROR(__xludf.DUMMYFUNCTION("""COMPUTED_VALUE"""),"N/A")</f>
        <v>N/A</v>
      </c>
      <c r="X708" s="97" t="str">
        <f>IFERROR(__xludf.DUMMYFUNCTION("""COMPUTED_VALUE"""),"-")</f>
        <v>-</v>
      </c>
      <c r="Y708" s="97" t="str">
        <f>IFERROR(__xludf.DUMMYFUNCTION("""COMPUTED_VALUE"""),"N/A")</f>
        <v>N/A</v>
      </c>
      <c r="Z708" s="97" t="str">
        <f>IFERROR(__xludf.DUMMYFUNCTION("""COMPUTED_VALUE"""),"N/A")</f>
        <v>N/A</v>
      </c>
      <c r="AA708" s="97" t="str">
        <f>IFERROR(__xludf.DUMMYFUNCTION("""COMPUTED_VALUE"""),"N/A")</f>
        <v>N/A</v>
      </c>
      <c r="AB708" s="97" t="str">
        <f>IFERROR(__xludf.DUMMYFUNCTION("""COMPUTED_VALUE"""),"N/A")</f>
        <v>N/A</v>
      </c>
      <c r="AC708" s="97" t="str">
        <f>IFERROR(__xludf.DUMMYFUNCTION("""COMPUTED_VALUE"""),"N/A")</f>
        <v>N/A</v>
      </c>
      <c r="AD708" s="97" t="str">
        <f>IFERROR(__xludf.DUMMYFUNCTION("""COMPUTED_VALUE"""),"IP20")</f>
        <v>IP20</v>
      </c>
      <c r="AE708" s="97" t="str">
        <f>IFERROR(__xludf.DUMMYFUNCTION("""COMPUTED_VALUE"""),"Clase l")</f>
        <v>Clase l</v>
      </c>
      <c r="AF708" s="97" t="str">
        <f>IFERROR(__xludf.DUMMYFUNCTION("""COMPUTED_VALUE"""),"Embutir")</f>
        <v>Embutir</v>
      </c>
      <c r="AG708" s="97" t="str">
        <f>IFERROR(__xludf.DUMMYFUNCTION("""COMPUTED_VALUE"""),"185 x 185 x 83")</f>
        <v>185 x 185 x 83</v>
      </c>
      <c r="AH708" s="97" t="str">
        <f>IFERROR(__xludf.DUMMYFUNCTION("""COMPUTED_VALUE"""),"170 x 170")</f>
        <v>170 x 170</v>
      </c>
      <c r="AI708" s="97">
        <f>IFERROR(__xludf.DUMMYFUNCTION("""COMPUTED_VALUE"""),88.0)</f>
        <v>88</v>
      </c>
      <c r="AJ708" s="97" t="str">
        <f>IFERROR(__xludf.DUMMYFUNCTION("""COMPUTED_VALUE"""),"N/A")</f>
        <v>N/A</v>
      </c>
      <c r="AK708" s="97" t="str">
        <f>IFERROR(__xludf.DUMMYFUNCTION("""COMPUTED_VALUE"""),"Acero y Aluminio")</f>
        <v>Acero y Aluminio</v>
      </c>
      <c r="AL708" s="97" t="str">
        <f>IFERROR(__xludf.DUMMYFUNCTION("""COMPUTED_VALUE"""),"Blanco Satinado")</f>
        <v>Blanco Satinado</v>
      </c>
      <c r="AM708" s="97" t="str">
        <f>IFERROR(__xludf.DUMMYFUNCTION("""COMPUTED_VALUE"""),"-")</f>
        <v>-</v>
      </c>
      <c r="AN708" s="97" t="str">
        <f>IFERROR(__xludf.DUMMYFUNCTION("""COMPUTED_VALUE"""),"N/A")</f>
        <v>N/A</v>
      </c>
      <c r="AO708" s="97" t="str">
        <f>IFERROR(__xludf.DUMMYFUNCTION("""COMPUTED_VALUE"""),"3 Años")</f>
        <v>3 Años</v>
      </c>
      <c r="AP708" s="97" t="str">
        <f>IFERROR(__xludf.DUMMYFUNCTION("""COMPUTED_VALUE"""),"No Aplica")</f>
        <v>No Aplica</v>
      </c>
      <c r="AQ708" s="97" t="str">
        <f>IFERROR(__xludf.DUMMYFUNCTION("""COMPUTED_VALUE"""),"No Aplica")</f>
        <v>No Aplica</v>
      </c>
      <c r="AR708" s="97" t="str">
        <f>IFERROR(__xludf.DUMMYFUNCTION("""COMPUTED_VALUE"""),"No Aplica")</f>
        <v>No Aplica</v>
      </c>
      <c r="AS708" s="97"/>
      <c r="AT708" s="97"/>
      <c r="AU708" s="97" t="str">
        <f>IFERROR(__xludf.DUMMYFUNCTION("""COMPUTED_VALUE"""),"Falta")</f>
        <v>Falta</v>
      </c>
      <c r="AV708" s="97" t="str">
        <f>IFERROR(__xludf.DUMMYFUNCTION("""COMPUTED_VALUE"""),"Empotrable")</f>
        <v>Empotrable</v>
      </c>
      <c r="AW708" s="97" t="str">
        <f>IFERROR(__xludf.DUMMYFUNCTION("""COMPUTED_VALUE"""),"De Techo")</f>
        <v>De Techo</v>
      </c>
      <c r="AX708" s="97" t="str">
        <f>IFERROR(__xludf.DUMMYFUNCTION("""COMPUTED_VALUE"""),"Interior")</f>
        <v>Interior</v>
      </c>
      <c r="AY708" s="97" t="str">
        <f>IFERROR(__xludf.DUMMYFUNCTION("""COMPUTED_VALUE"""),"Cardánico")</f>
        <v>Cardánico</v>
      </c>
      <c r="AZ708" s="97" t="str">
        <f>IFERROR(__xludf.DUMMYFUNCTION("""COMPUTED_VALUE"""),"Incluye zócalo GU10 c/cable 20cm.")</f>
        <v>Incluye zócalo GU10 c/cable 20cm.</v>
      </c>
      <c r="BA708" s="97">
        <f>IFERROR(__xludf.DUMMYFUNCTION("""COMPUTED_VALUE"""),20.0)</f>
        <v>20</v>
      </c>
      <c r="BB708" s="97" t="str">
        <f>IFERROR(__xludf.DUMMYFUNCTION("""COMPUTED_VALUE"""),"-")</f>
        <v>-</v>
      </c>
      <c r="BC708" s="97" t="str">
        <f>IFERROR(__xludf.DUMMYFUNCTION("""COMPUTED_VALUE"""),"-")</f>
        <v>-</v>
      </c>
      <c r="BD708" s="97" t="str">
        <f>IFERROR(__xludf.DUMMYFUNCTION("""COMPUTED_VALUE"""),"KAROL ")</f>
        <v>KAROL </v>
      </c>
      <c r="BE708" s="97" t="str">
        <f>IFERROR(__xludf.DUMMYFUNCTION("""COMPUTED_VALUE"""),"Finalizada")</f>
        <v>Finalizada</v>
      </c>
      <c r="BF708" s="97"/>
      <c r="BG708" s="97" t="str">
        <f>IFERROR(__xludf.DUMMYFUNCTION("""COMPUTED_VALUE"""),"Activo")</f>
        <v>Activo</v>
      </c>
    </row>
    <row r="709">
      <c r="A709" s="97">
        <f>IFERROR(__xludf.DUMMYFUNCTION("""COMPUTED_VALUE"""),6468.0)</f>
        <v>6468</v>
      </c>
      <c r="B709" s="97" t="str">
        <f>IFERROR(__xludf.DUMMYFUNCTION("""COMPUTED_VALUE"""),"BERDY IV NG")</f>
        <v>BERDY IV NG</v>
      </c>
      <c r="C709" s="97" t="str">
        <f>IFERROR(__xludf.DUMMYFUNCTION("""COMPUTED_VALUE"""),"APLIQUE BERDY IV NG 4XGU10 AR111 IP20 LEUK")</f>
        <v>APLIQUE BERDY IV NG 4XGU10 AR111 IP20 LEUK</v>
      </c>
      <c r="D709" s="97">
        <f>IFERROR(__xludf.DUMMYFUNCTION("""COMPUTED_VALUE"""),7.798328754462E12)</f>
        <v>7798328754462</v>
      </c>
      <c r="E709" s="97"/>
      <c r="F709" s="97" t="str">
        <f>IFERROR(__xludf.DUMMYFUNCTION("""COMPUTED_VALUE"""),"4xGU10 AR111")</f>
        <v>4xGU10 AR111</v>
      </c>
      <c r="G709" s="97" t="str">
        <f>IFERROR(__xludf.DUMMYFUNCTION("""COMPUTED_VALUE"""),"N/A")</f>
        <v>N/A</v>
      </c>
      <c r="H709" s="97" t="str">
        <f>IFERROR(__xludf.DUMMYFUNCTION("""COMPUTED_VALUE"""),"N/A")</f>
        <v>N/A</v>
      </c>
      <c r="I709" s="97" t="str">
        <f>IFERROR(__xludf.DUMMYFUNCTION("""COMPUTED_VALUE"""),"N/A")</f>
        <v>N/A</v>
      </c>
      <c r="J709" s="97" t="str">
        <f>IFERROR(__xludf.DUMMYFUNCTION("""COMPUTED_VALUE"""),"N/A")</f>
        <v>N/A</v>
      </c>
      <c r="K709" s="97" t="str">
        <f>IFERROR(__xludf.DUMMYFUNCTION("""COMPUTED_VALUE"""),"N/A")</f>
        <v>N/A</v>
      </c>
      <c r="L709" s="97">
        <f>IFERROR(__xludf.DUMMYFUNCTION("""COMPUTED_VALUE"""),220.0)</f>
        <v>220</v>
      </c>
      <c r="M709" s="97">
        <f>IFERROR(__xludf.DUMMYFUNCTION("""COMPUTED_VALUE"""),50.0)</f>
        <v>50</v>
      </c>
      <c r="N709" s="97"/>
      <c r="O709" s="97" t="str">
        <f>IFERROR(__xludf.DUMMYFUNCTION("""COMPUTED_VALUE"""),"4 x 50W Max")</f>
        <v>4 x 50W Max</v>
      </c>
      <c r="P709" s="97"/>
      <c r="Q709" s="97" t="str">
        <f>IFERROR(__xludf.DUMMYFUNCTION("""COMPUTED_VALUE"""),"-")</f>
        <v>-</v>
      </c>
      <c r="R709" s="97" t="str">
        <f>IFERROR(__xludf.DUMMYFUNCTION("""COMPUTED_VALUE"""),"-")</f>
        <v>-</v>
      </c>
      <c r="S709" s="97" t="str">
        <f>IFERROR(__xludf.DUMMYFUNCTION("""COMPUTED_VALUE"""),"-")</f>
        <v>-</v>
      </c>
      <c r="T709" s="97" t="str">
        <f>IFERROR(__xludf.DUMMYFUNCTION("""COMPUTED_VALUE"""),"-")</f>
        <v>-</v>
      </c>
      <c r="U709" s="97" t="str">
        <f>IFERROR(__xludf.DUMMYFUNCTION("""COMPUTED_VALUE"""),"-")</f>
        <v>-</v>
      </c>
      <c r="V709" s="97" t="str">
        <f>IFERROR(__xludf.DUMMYFUNCTION("""COMPUTED_VALUE"""),"N/A")</f>
        <v>N/A</v>
      </c>
      <c r="W709" s="97" t="str">
        <f>IFERROR(__xludf.DUMMYFUNCTION("""COMPUTED_VALUE"""),"N/A")</f>
        <v>N/A</v>
      </c>
      <c r="X709" s="97" t="str">
        <f>IFERROR(__xludf.DUMMYFUNCTION("""COMPUTED_VALUE"""),"-")</f>
        <v>-</v>
      </c>
      <c r="Y709" s="97" t="str">
        <f>IFERROR(__xludf.DUMMYFUNCTION("""COMPUTED_VALUE"""),"N/A")</f>
        <v>N/A</v>
      </c>
      <c r="Z709" s="97" t="str">
        <f>IFERROR(__xludf.DUMMYFUNCTION("""COMPUTED_VALUE"""),"N/A")</f>
        <v>N/A</v>
      </c>
      <c r="AA709" s="97" t="str">
        <f>IFERROR(__xludf.DUMMYFUNCTION("""COMPUTED_VALUE"""),"N/A")</f>
        <v>N/A</v>
      </c>
      <c r="AB709" s="97" t="str">
        <f>IFERROR(__xludf.DUMMYFUNCTION("""COMPUTED_VALUE"""),"N/A")</f>
        <v>N/A</v>
      </c>
      <c r="AC709" s="97" t="str">
        <f>IFERROR(__xludf.DUMMYFUNCTION("""COMPUTED_VALUE"""),"N/A")</f>
        <v>N/A</v>
      </c>
      <c r="AD709" s="97" t="str">
        <f>IFERROR(__xludf.DUMMYFUNCTION("""COMPUTED_VALUE"""),"IP20")</f>
        <v>IP20</v>
      </c>
      <c r="AE709" s="97" t="str">
        <f>IFERROR(__xludf.DUMMYFUNCTION("""COMPUTED_VALUE"""),"Clase l")</f>
        <v>Clase l</v>
      </c>
      <c r="AF709" s="97" t="str">
        <f>IFERROR(__xludf.DUMMYFUNCTION("""COMPUTED_VALUE"""),"Aplicar")</f>
        <v>Aplicar</v>
      </c>
      <c r="AG709" s="97" t="str">
        <f>IFERROR(__xludf.DUMMYFUNCTION("""COMPUTED_VALUE"""),"286 x 286 x 107")</f>
        <v>286 x 286 x 107</v>
      </c>
      <c r="AH709" s="97" t="str">
        <f>IFERROR(__xludf.DUMMYFUNCTION("""COMPUTED_VALUE"""),"N/A")</f>
        <v>N/A</v>
      </c>
      <c r="AI709" s="97" t="str">
        <f>IFERROR(__xludf.DUMMYFUNCTION("""COMPUTED_VALUE"""),"N/A")</f>
        <v>N/A</v>
      </c>
      <c r="AJ709" s="97" t="str">
        <f>IFERROR(__xludf.DUMMYFUNCTION("""COMPUTED_VALUE"""),"N/A")</f>
        <v>N/A</v>
      </c>
      <c r="AK709" s="97" t="str">
        <f>IFERROR(__xludf.DUMMYFUNCTION("""COMPUTED_VALUE"""),"Acero y Aluminio")</f>
        <v>Acero y Aluminio</v>
      </c>
      <c r="AL709" s="97" t="str">
        <f>IFERROR(__xludf.DUMMYFUNCTION("""COMPUTED_VALUE"""),"Negro Satinado")</f>
        <v>Negro Satinado</v>
      </c>
      <c r="AM709" s="97" t="str">
        <f>IFERROR(__xludf.DUMMYFUNCTION("""COMPUTED_VALUE"""),"-")</f>
        <v>-</v>
      </c>
      <c r="AN709" s="97" t="str">
        <f>IFERROR(__xludf.DUMMYFUNCTION("""COMPUTED_VALUE"""),"N/A")</f>
        <v>N/A</v>
      </c>
      <c r="AO709" s="97" t="str">
        <f>IFERROR(__xludf.DUMMYFUNCTION("""COMPUTED_VALUE"""),"3 Años")</f>
        <v>3 Años</v>
      </c>
      <c r="AP709" s="97" t="str">
        <f>IFERROR(__xludf.DUMMYFUNCTION("""COMPUTED_VALUE"""),"No Aplica")</f>
        <v>No Aplica</v>
      </c>
      <c r="AQ709" s="97" t="str">
        <f>IFERROR(__xludf.DUMMYFUNCTION("""COMPUTED_VALUE"""),"No Aplica")</f>
        <v>No Aplica</v>
      </c>
      <c r="AR709" s="97" t="str">
        <f>IFERROR(__xludf.DUMMYFUNCTION("""COMPUTED_VALUE"""),"No Aplica")</f>
        <v>No Aplica</v>
      </c>
      <c r="AS709" s="97"/>
      <c r="AT709" s="97"/>
      <c r="AU709" s="97" t="str">
        <f>IFERROR(__xludf.DUMMYFUNCTION("""COMPUTED_VALUE"""),"Falta")</f>
        <v>Falta</v>
      </c>
      <c r="AV709" s="97" t="str">
        <f>IFERROR(__xludf.DUMMYFUNCTION("""COMPUTED_VALUE"""),"Aplique")</f>
        <v>Aplique</v>
      </c>
      <c r="AW709" s="97" t="str">
        <f>IFERROR(__xludf.DUMMYFUNCTION("""COMPUTED_VALUE"""),"De Techo")</f>
        <v>De Techo</v>
      </c>
      <c r="AX709" s="97" t="str">
        <f>IFERROR(__xludf.DUMMYFUNCTION("""COMPUTED_VALUE"""),"Interior")</f>
        <v>Interior</v>
      </c>
      <c r="AY709" s="97" t="str">
        <f>IFERROR(__xludf.DUMMYFUNCTION("""COMPUTED_VALUE"""),"Cardánico")</f>
        <v>Cardánico</v>
      </c>
      <c r="AZ709" s="97" t="str">
        <f>IFERROR(__xludf.DUMMYFUNCTION("""COMPUTED_VALUE"""),"Incluye zócalo GU10 c/cable 20cm.")</f>
        <v>Incluye zócalo GU10 c/cable 20cm.</v>
      </c>
      <c r="BA709" s="97">
        <f>IFERROR(__xludf.DUMMYFUNCTION("""COMPUTED_VALUE"""),8.0)</f>
        <v>8</v>
      </c>
      <c r="BB709" s="97" t="str">
        <f>IFERROR(__xludf.DUMMYFUNCTION("""COMPUTED_VALUE"""),"-")</f>
        <v>-</v>
      </c>
      <c r="BC709" s="97" t="str">
        <f>IFERROR(__xludf.DUMMYFUNCTION("""COMPUTED_VALUE"""),"-")</f>
        <v>-</v>
      </c>
      <c r="BD709" s="97" t="str">
        <f>IFERROR(__xludf.DUMMYFUNCTION("""COMPUTED_VALUE"""),"BERDY")</f>
        <v>BERDY</v>
      </c>
      <c r="BE709" s="97" t="str">
        <f>IFERROR(__xludf.DUMMYFUNCTION("""COMPUTED_VALUE"""),"Finalizada")</f>
        <v>Finalizada</v>
      </c>
      <c r="BF709" s="97"/>
      <c r="BG709" s="97" t="str">
        <f>IFERROR(__xludf.DUMMYFUNCTION("""COMPUTED_VALUE"""),"Activo")</f>
        <v>Activo</v>
      </c>
    </row>
    <row r="710">
      <c r="A710" s="97">
        <f>IFERROR(__xludf.DUMMYFUNCTION("""COMPUTED_VALUE"""),6469.0)</f>
        <v>6469</v>
      </c>
      <c r="B710" s="97" t="str">
        <f>IFERROR(__xludf.DUMMYFUNCTION("""COMPUTED_VALUE"""),"BERDY IV BL")</f>
        <v>BERDY IV BL</v>
      </c>
      <c r="C710" s="97" t="str">
        <f>IFERROR(__xludf.DUMMYFUNCTION("""COMPUTED_VALUE"""),"APLIQUE BERDY IV BL 4XGU10 AR111 IP20 LEUK")</f>
        <v>APLIQUE BERDY IV BL 4XGU10 AR111 IP20 LEUK</v>
      </c>
      <c r="D710" s="97">
        <f>IFERROR(__xludf.DUMMYFUNCTION("""COMPUTED_VALUE"""),7.798328754479E12)</f>
        <v>7798328754479</v>
      </c>
      <c r="E710" s="97"/>
      <c r="F710" s="97" t="str">
        <f>IFERROR(__xludf.DUMMYFUNCTION("""COMPUTED_VALUE"""),"4xGU10 AR111")</f>
        <v>4xGU10 AR111</v>
      </c>
      <c r="G710" s="97" t="str">
        <f>IFERROR(__xludf.DUMMYFUNCTION("""COMPUTED_VALUE"""),"N/A")</f>
        <v>N/A</v>
      </c>
      <c r="H710" s="97" t="str">
        <f>IFERROR(__xludf.DUMMYFUNCTION("""COMPUTED_VALUE"""),"N/A")</f>
        <v>N/A</v>
      </c>
      <c r="I710" s="97" t="str">
        <f>IFERROR(__xludf.DUMMYFUNCTION("""COMPUTED_VALUE"""),"N/A")</f>
        <v>N/A</v>
      </c>
      <c r="J710" s="97" t="str">
        <f>IFERROR(__xludf.DUMMYFUNCTION("""COMPUTED_VALUE"""),"N/A")</f>
        <v>N/A</v>
      </c>
      <c r="K710" s="97" t="str">
        <f>IFERROR(__xludf.DUMMYFUNCTION("""COMPUTED_VALUE"""),"N/A")</f>
        <v>N/A</v>
      </c>
      <c r="L710" s="97">
        <f>IFERROR(__xludf.DUMMYFUNCTION("""COMPUTED_VALUE"""),220.0)</f>
        <v>220</v>
      </c>
      <c r="M710" s="97">
        <f>IFERROR(__xludf.DUMMYFUNCTION("""COMPUTED_VALUE"""),50.0)</f>
        <v>50</v>
      </c>
      <c r="N710" s="97"/>
      <c r="O710" s="97" t="str">
        <f>IFERROR(__xludf.DUMMYFUNCTION("""COMPUTED_VALUE"""),"4 x 50W Max")</f>
        <v>4 x 50W Max</v>
      </c>
      <c r="P710" s="97"/>
      <c r="Q710" s="97" t="str">
        <f>IFERROR(__xludf.DUMMYFUNCTION("""COMPUTED_VALUE"""),"-")</f>
        <v>-</v>
      </c>
      <c r="R710" s="97" t="str">
        <f>IFERROR(__xludf.DUMMYFUNCTION("""COMPUTED_VALUE"""),"-")</f>
        <v>-</v>
      </c>
      <c r="S710" s="97" t="str">
        <f>IFERROR(__xludf.DUMMYFUNCTION("""COMPUTED_VALUE"""),"-")</f>
        <v>-</v>
      </c>
      <c r="T710" s="97" t="str">
        <f>IFERROR(__xludf.DUMMYFUNCTION("""COMPUTED_VALUE"""),"-")</f>
        <v>-</v>
      </c>
      <c r="U710" s="97" t="str">
        <f>IFERROR(__xludf.DUMMYFUNCTION("""COMPUTED_VALUE"""),"-")</f>
        <v>-</v>
      </c>
      <c r="V710" s="97" t="str">
        <f>IFERROR(__xludf.DUMMYFUNCTION("""COMPUTED_VALUE"""),"N/A")</f>
        <v>N/A</v>
      </c>
      <c r="W710" s="97" t="str">
        <f>IFERROR(__xludf.DUMMYFUNCTION("""COMPUTED_VALUE"""),"N/A")</f>
        <v>N/A</v>
      </c>
      <c r="X710" s="97" t="str">
        <f>IFERROR(__xludf.DUMMYFUNCTION("""COMPUTED_VALUE"""),"-")</f>
        <v>-</v>
      </c>
      <c r="Y710" s="97" t="str">
        <f>IFERROR(__xludf.DUMMYFUNCTION("""COMPUTED_VALUE"""),"N/A")</f>
        <v>N/A</v>
      </c>
      <c r="Z710" s="97" t="str">
        <f>IFERROR(__xludf.DUMMYFUNCTION("""COMPUTED_VALUE"""),"N/A")</f>
        <v>N/A</v>
      </c>
      <c r="AA710" s="97" t="str">
        <f>IFERROR(__xludf.DUMMYFUNCTION("""COMPUTED_VALUE"""),"N/A")</f>
        <v>N/A</v>
      </c>
      <c r="AB710" s="97" t="str">
        <f>IFERROR(__xludf.DUMMYFUNCTION("""COMPUTED_VALUE"""),"N/A")</f>
        <v>N/A</v>
      </c>
      <c r="AC710" s="97" t="str">
        <f>IFERROR(__xludf.DUMMYFUNCTION("""COMPUTED_VALUE"""),"N/A")</f>
        <v>N/A</v>
      </c>
      <c r="AD710" s="97" t="str">
        <f>IFERROR(__xludf.DUMMYFUNCTION("""COMPUTED_VALUE"""),"IP20")</f>
        <v>IP20</v>
      </c>
      <c r="AE710" s="97" t="str">
        <f>IFERROR(__xludf.DUMMYFUNCTION("""COMPUTED_VALUE"""),"Clase l")</f>
        <v>Clase l</v>
      </c>
      <c r="AF710" s="97" t="str">
        <f>IFERROR(__xludf.DUMMYFUNCTION("""COMPUTED_VALUE"""),"Aplicar")</f>
        <v>Aplicar</v>
      </c>
      <c r="AG710" s="97" t="str">
        <f>IFERROR(__xludf.DUMMYFUNCTION("""COMPUTED_VALUE"""),"286 x 286 x 107")</f>
        <v>286 x 286 x 107</v>
      </c>
      <c r="AH710" s="97" t="str">
        <f>IFERROR(__xludf.DUMMYFUNCTION("""COMPUTED_VALUE"""),"N/A")</f>
        <v>N/A</v>
      </c>
      <c r="AI710" s="97" t="str">
        <f>IFERROR(__xludf.DUMMYFUNCTION("""COMPUTED_VALUE"""),"N/A")</f>
        <v>N/A</v>
      </c>
      <c r="AJ710" s="97" t="str">
        <f>IFERROR(__xludf.DUMMYFUNCTION("""COMPUTED_VALUE"""),"N/A")</f>
        <v>N/A</v>
      </c>
      <c r="AK710" s="97" t="str">
        <f>IFERROR(__xludf.DUMMYFUNCTION("""COMPUTED_VALUE"""),"Acero y Aluminio")</f>
        <v>Acero y Aluminio</v>
      </c>
      <c r="AL710" s="97" t="str">
        <f>IFERROR(__xludf.DUMMYFUNCTION("""COMPUTED_VALUE"""),"Blanco Satinado")</f>
        <v>Blanco Satinado</v>
      </c>
      <c r="AM710" s="97" t="str">
        <f>IFERROR(__xludf.DUMMYFUNCTION("""COMPUTED_VALUE"""),"-")</f>
        <v>-</v>
      </c>
      <c r="AN710" s="97" t="str">
        <f>IFERROR(__xludf.DUMMYFUNCTION("""COMPUTED_VALUE"""),"N/A")</f>
        <v>N/A</v>
      </c>
      <c r="AO710" s="97" t="str">
        <f>IFERROR(__xludf.DUMMYFUNCTION("""COMPUTED_VALUE"""),"3 Años")</f>
        <v>3 Años</v>
      </c>
      <c r="AP710" s="97" t="str">
        <f>IFERROR(__xludf.DUMMYFUNCTION("""COMPUTED_VALUE"""),"No Aplica")</f>
        <v>No Aplica</v>
      </c>
      <c r="AQ710" s="97" t="str">
        <f>IFERROR(__xludf.DUMMYFUNCTION("""COMPUTED_VALUE"""),"No Aplica")</f>
        <v>No Aplica</v>
      </c>
      <c r="AR710" s="97" t="str">
        <f>IFERROR(__xludf.DUMMYFUNCTION("""COMPUTED_VALUE"""),"No Aplica")</f>
        <v>No Aplica</v>
      </c>
      <c r="AS710" s="97"/>
      <c r="AT710" s="97"/>
      <c r="AU710" s="97" t="str">
        <f>IFERROR(__xludf.DUMMYFUNCTION("""COMPUTED_VALUE"""),"Falta")</f>
        <v>Falta</v>
      </c>
      <c r="AV710" s="97" t="str">
        <f>IFERROR(__xludf.DUMMYFUNCTION("""COMPUTED_VALUE"""),"Aplique")</f>
        <v>Aplique</v>
      </c>
      <c r="AW710" s="97" t="str">
        <f>IFERROR(__xludf.DUMMYFUNCTION("""COMPUTED_VALUE"""),"De Techo")</f>
        <v>De Techo</v>
      </c>
      <c r="AX710" s="97" t="str">
        <f>IFERROR(__xludf.DUMMYFUNCTION("""COMPUTED_VALUE"""),"Interior")</f>
        <v>Interior</v>
      </c>
      <c r="AY710" s="97" t="str">
        <f>IFERROR(__xludf.DUMMYFUNCTION("""COMPUTED_VALUE"""),"Cardánico")</f>
        <v>Cardánico</v>
      </c>
      <c r="AZ710" s="97" t="str">
        <f>IFERROR(__xludf.DUMMYFUNCTION("""COMPUTED_VALUE"""),"Incluye zócalo GU10 c/cable 20cm.")</f>
        <v>Incluye zócalo GU10 c/cable 20cm.</v>
      </c>
      <c r="BA710" s="97">
        <f>IFERROR(__xludf.DUMMYFUNCTION("""COMPUTED_VALUE"""),8.0)</f>
        <v>8</v>
      </c>
      <c r="BB710" s="97" t="str">
        <f>IFERROR(__xludf.DUMMYFUNCTION("""COMPUTED_VALUE"""),"-")</f>
        <v>-</v>
      </c>
      <c r="BC710" s="97" t="str">
        <f>IFERROR(__xludf.DUMMYFUNCTION("""COMPUTED_VALUE"""),"-")</f>
        <v>-</v>
      </c>
      <c r="BD710" s="97" t="str">
        <f>IFERROR(__xludf.DUMMYFUNCTION("""COMPUTED_VALUE"""),"BERDY")</f>
        <v>BERDY</v>
      </c>
      <c r="BE710" s="97" t="str">
        <f>IFERROR(__xludf.DUMMYFUNCTION("""COMPUTED_VALUE"""),"Finalizada")</f>
        <v>Finalizada</v>
      </c>
      <c r="BF710" s="97"/>
      <c r="BG710" s="97" t="str">
        <f>IFERROR(__xludf.DUMMYFUNCTION("""COMPUTED_VALUE"""),"Activo")</f>
        <v>Activo</v>
      </c>
    </row>
    <row r="711">
      <c r="A711" s="97">
        <f>IFERROR(__xludf.DUMMYFUNCTION("""COMPUTED_VALUE"""),6470.0)</f>
        <v>6470</v>
      </c>
      <c r="B711" s="97" t="str">
        <f>IFERROR(__xludf.DUMMYFUNCTION("""COMPUTED_VALUE"""),"MILA IV NG")</f>
        <v>MILA IV NG</v>
      </c>
      <c r="C711" s="97" t="str">
        <f>IFERROR(__xludf.DUMMYFUNCTION("""COMPUTED_VALUE"""),"EMPOTRABLE MILA IV NG 4XGU10 AR111 IP20 LEUK")</f>
        <v>EMPOTRABLE MILA IV NG 4XGU10 AR111 IP20 LEUK</v>
      </c>
      <c r="D711" s="97">
        <f>IFERROR(__xludf.DUMMYFUNCTION("""COMPUTED_VALUE"""),7.798328754486E12)</f>
        <v>7798328754486</v>
      </c>
      <c r="E711" s="97"/>
      <c r="F711" s="97" t="str">
        <f>IFERROR(__xludf.DUMMYFUNCTION("""COMPUTED_VALUE"""),"4xGU10 AR111")</f>
        <v>4xGU10 AR111</v>
      </c>
      <c r="G711" s="97" t="str">
        <f>IFERROR(__xludf.DUMMYFUNCTION("""COMPUTED_VALUE"""),"N/A")</f>
        <v>N/A</v>
      </c>
      <c r="H711" s="97" t="str">
        <f>IFERROR(__xludf.DUMMYFUNCTION("""COMPUTED_VALUE"""),"N/A")</f>
        <v>N/A</v>
      </c>
      <c r="I711" s="97" t="str">
        <f>IFERROR(__xludf.DUMMYFUNCTION("""COMPUTED_VALUE"""),"N/A")</f>
        <v>N/A</v>
      </c>
      <c r="J711" s="97" t="str">
        <f>IFERROR(__xludf.DUMMYFUNCTION("""COMPUTED_VALUE"""),"N/A")</f>
        <v>N/A</v>
      </c>
      <c r="K711" s="97" t="str">
        <f>IFERROR(__xludf.DUMMYFUNCTION("""COMPUTED_VALUE"""),"N/A")</f>
        <v>N/A</v>
      </c>
      <c r="L711" s="97">
        <f>IFERROR(__xludf.DUMMYFUNCTION("""COMPUTED_VALUE"""),220.0)</f>
        <v>220</v>
      </c>
      <c r="M711" s="97">
        <f>IFERROR(__xludf.DUMMYFUNCTION("""COMPUTED_VALUE"""),50.0)</f>
        <v>50</v>
      </c>
      <c r="N711" s="97"/>
      <c r="O711" s="97" t="str">
        <f>IFERROR(__xludf.DUMMYFUNCTION("""COMPUTED_VALUE"""),"4 x 50W Max")</f>
        <v>4 x 50W Max</v>
      </c>
      <c r="P711" s="97"/>
      <c r="Q711" s="97" t="str">
        <f>IFERROR(__xludf.DUMMYFUNCTION("""COMPUTED_VALUE"""),"-")</f>
        <v>-</v>
      </c>
      <c r="R711" s="97" t="str">
        <f>IFERROR(__xludf.DUMMYFUNCTION("""COMPUTED_VALUE"""),"-")</f>
        <v>-</v>
      </c>
      <c r="S711" s="97" t="str">
        <f>IFERROR(__xludf.DUMMYFUNCTION("""COMPUTED_VALUE"""),"-")</f>
        <v>-</v>
      </c>
      <c r="T711" s="97" t="str">
        <f>IFERROR(__xludf.DUMMYFUNCTION("""COMPUTED_VALUE"""),"-")</f>
        <v>-</v>
      </c>
      <c r="U711" s="97" t="str">
        <f>IFERROR(__xludf.DUMMYFUNCTION("""COMPUTED_VALUE"""),"-")</f>
        <v>-</v>
      </c>
      <c r="V711" s="97" t="str">
        <f>IFERROR(__xludf.DUMMYFUNCTION("""COMPUTED_VALUE"""),"N/A")</f>
        <v>N/A</v>
      </c>
      <c r="W711" s="97" t="str">
        <f>IFERROR(__xludf.DUMMYFUNCTION("""COMPUTED_VALUE"""),"N/A")</f>
        <v>N/A</v>
      </c>
      <c r="X711" s="97" t="str">
        <f>IFERROR(__xludf.DUMMYFUNCTION("""COMPUTED_VALUE"""),"-")</f>
        <v>-</v>
      </c>
      <c r="Y711" s="97" t="str">
        <f>IFERROR(__xludf.DUMMYFUNCTION("""COMPUTED_VALUE"""),"N/A")</f>
        <v>N/A</v>
      </c>
      <c r="Z711" s="97" t="str">
        <f>IFERROR(__xludf.DUMMYFUNCTION("""COMPUTED_VALUE"""),"N/A")</f>
        <v>N/A</v>
      </c>
      <c r="AA711" s="97" t="str">
        <f>IFERROR(__xludf.DUMMYFUNCTION("""COMPUTED_VALUE"""),"N/A")</f>
        <v>N/A</v>
      </c>
      <c r="AB711" s="97" t="str">
        <f>IFERROR(__xludf.DUMMYFUNCTION("""COMPUTED_VALUE"""),"N/A")</f>
        <v>N/A</v>
      </c>
      <c r="AC711" s="97" t="str">
        <f>IFERROR(__xludf.DUMMYFUNCTION("""COMPUTED_VALUE"""),"N/A")</f>
        <v>N/A</v>
      </c>
      <c r="AD711" s="97" t="str">
        <f>IFERROR(__xludf.DUMMYFUNCTION("""COMPUTED_VALUE"""),"IP20")</f>
        <v>IP20</v>
      </c>
      <c r="AE711" s="97" t="str">
        <f>IFERROR(__xludf.DUMMYFUNCTION("""COMPUTED_VALUE"""),"Clase l")</f>
        <v>Clase l</v>
      </c>
      <c r="AF711" s="97" t="str">
        <f>IFERROR(__xludf.DUMMYFUNCTION("""COMPUTED_VALUE"""),"Embutir")</f>
        <v>Embutir</v>
      </c>
      <c r="AG711" s="97" t="str">
        <f>IFERROR(__xludf.DUMMYFUNCTION("""COMPUTED_VALUE"""),"307 x 307 x 99")</f>
        <v>307 x 307 x 99</v>
      </c>
      <c r="AH711" s="97" t="str">
        <f>IFERROR(__xludf.DUMMYFUNCTION("""COMPUTED_VALUE"""),"292 x 292")</f>
        <v>292 x 292</v>
      </c>
      <c r="AI711" s="97">
        <f>IFERROR(__xludf.DUMMYFUNCTION("""COMPUTED_VALUE"""),105.0)</f>
        <v>105</v>
      </c>
      <c r="AJ711" s="97" t="str">
        <f>IFERROR(__xludf.DUMMYFUNCTION("""COMPUTED_VALUE"""),"N/A")</f>
        <v>N/A</v>
      </c>
      <c r="AK711" s="97" t="str">
        <f>IFERROR(__xludf.DUMMYFUNCTION("""COMPUTED_VALUE"""),"Acero y Aluminio")</f>
        <v>Acero y Aluminio</v>
      </c>
      <c r="AL711" s="97" t="str">
        <f>IFERROR(__xludf.DUMMYFUNCTION("""COMPUTED_VALUE"""),"Negro Satinado")</f>
        <v>Negro Satinado</v>
      </c>
      <c r="AM711" s="97" t="str">
        <f>IFERROR(__xludf.DUMMYFUNCTION("""COMPUTED_VALUE"""),"-")</f>
        <v>-</v>
      </c>
      <c r="AN711" s="97" t="str">
        <f>IFERROR(__xludf.DUMMYFUNCTION("""COMPUTED_VALUE"""),"N/A")</f>
        <v>N/A</v>
      </c>
      <c r="AO711" s="97" t="str">
        <f>IFERROR(__xludf.DUMMYFUNCTION("""COMPUTED_VALUE"""),"3 Años")</f>
        <v>3 Años</v>
      </c>
      <c r="AP711" s="97" t="str">
        <f>IFERROR(__xludf.DUMMYFUNCTION("""COMPUTED_VALUE"""),"No Aplica")</f>
        <v>No Aplica</v>
      </c>
      <c r="AQ711" s="97" t="str">
        <f>IFERROR(__xludf.DUMMYFUNCTION("""COMPUTED_VALUE"""),"No Aplica")</f>
        <v>No Aplica</v>
      </c>
      <c r="AR711" s="97" t="str">
        <f>IFERROR(__xludf.DUMMYFUNCTION("""COMPUTED_VALUE"""),"No Aplica")</f>
        <v>No Aplica</v>
      </c>
      <c r="AS711" s="97"/>
      <c r="AT711" s="97"/>
      <c r="AU711" s="97" t="str">
        <f>IFERROR(__xludf.DUMMYFUNCTION("""COMPUTED_VALUE"""),"Falta")</f>
        <v>Falta</v>
      </c>
      <c r="AV711" s="97" t="str">
        <f>IFERROR(__xludf.DUMMYFUNCTION("""COMPUTED_VALUE"""),"Empotrable")</f>
        <v>Empotrable</v>
      </c>
      <c r="AW711" s="97" t="str">
        <f>IFERROR(__xludf.DUMMYFUNCTION("""COMPUTED_VALUE"""),"De Techo")</f>
        <v>De Techo</v>
      </c>
      <c r="AX711" s="97" t="str">
        <f>IFERROR(__xludf.DUMMYFUNCTION("""COMPUTED_VALUE"""),"Interior")</f>
        <v>Interior</v>
      </c>
      <c r="AY711" s="97" t="str">
        <f>IFERROR(__xludf.DUMMYFUNCTION("""COMPUTED_VALUE"""),"Cardánico")</f>
        <v>Cardánico</v>
      </c>
      <c r="AZ711" s="97" t="str">
        <f>IFERROR(__xludf.DUMMYFUNCTION("""COMPUTED_VALUE"""),"Incluye zócalo GU10 c/cable 20cm.")</f>
        <v>Incluye zócalo GU10 c/cable 20cm.</v>
      </c>
      <c r="BA711" s="97">
        <f>IFERROR(__xludf.DUMMYFUNCTION("""COMPUTED_VALUE"""),10.0)</f>
        <v>10</v>
      </c>
      <c r="BB711" s="97" t="str">
        <f>IFERROR(__xludf.DUMMYFUNCTION("""COMPUTED_VALUE"""),"-")</f>
        <v>-</v>
      </c>
      <c r="BC711" s="97" t="str">
        <f>IFERROR(__xludf.DUMMYFUNCTION("""COMPUTED_VALUE"""),"-")</f>
        <v>-</v>
      </c>
      <c r="BD711" s="97" t="str">
        <f>IFERROR(__xludf.DUMMYFUNCTION("""COMPUTED_VALUE"""),"MILA ")</f>
        <v>MILA </v>
      </c>
      <c r="BE711" s="97" t="str">
        <f>IFERROR(__xludf.DUMMYFUNCTION("""COMPUTED_VALUE"""),"Finalizada")</f>
        <v>Finalizada</v>
      </c>
      <c r="BF711" s="97"/>
      <c r="BG711" s="97" t="str">
        <f>IFERROR(__xludf.DUMMYFUNCTION("""COMPUTED_VALUE"""),"Activo")</f>
        <v>Activo</v>
      </c>
    </row>
    <row r="712">
      <c r="A712" s="97">
        <f>IFERROR(__xludf.DUMMYFUNCTION("""COMPUTED_VALUE"""),6471.0)</f>
        <v>6471</v>
      </c>
      <c r="B712" s="97" t="str">
        <f>IFERROR(__xludf.DUMMYFUNCTION("""COMPUTED_VALUE"""),"MILA IV BL")</f>
        <v>MILA IV BL</v>
      </c>
      <c r="C712" s="97" t="str">
        <f>IFERROR(__xludf.DUMMYFUNCTION("""COMPUTED_VALUE"""),"EMPOTRABLE MILA IV BL 4XGU10 AR111 IP20 LEUK")</f>
        <v>EMPOTRABLE MILA IV BL 4XGU10 AR111 IP20 LEUK</v>
      </c>
      <c r="D712" s="97">
        <f>IFERROR(__xludf.DUMMYFUNCTION("""COMPUTED_VALUE"""),7.798328754493E12)</f>
        <v>7798328754493</v>
      </c>
      <c r="E712" s="97"/>
      <c r="F712" s="97" t="str">
        <f>IFERROR(__xludf.DUMMYFUNCTION("""COMPUTED_VALUE"""),"4xGU10 AR111")</f>
        <v>4xGU10 AR111</v>
      </c>
      <c r="G712" s="97" t="str">
        <f>IFERROR(__xludf.DUMMYFUNCTION("""COMPUTED_VALUE"""),"N/A")</f>
        <v>N/A</v>
      </c>
      <c r="H712" s="97" t="str">
        <f>IFERROR(__xludf.DUMMYFUNCTION("""COMPUTED_VALUE"""),"N/A")</f>
        <v>N/A</v>
      </c>
      <c r="I712" s="97" t="str">
        <f>IFERROR(__xludf.DUMMYFUNCTION("""COMPUTED_VALUE"""),"N/A")</f>
        <v>N/A</v>
      </c>
      <c r="J712" s="97" t="str">
        <f>IFERROR(__xludf.DUMMYFUNCTION("""COMPUTED_VALUE"""),"N/A")</f>
        <v>N/A</v>
      </c>
      <c r="K712" s="97" t="str">
        <f>IFERROR(__xludf.DUMMYFUNCTION("""COMPUTED_VALUE"""),"N/A")</f>
        <v>N/A</v>
      </c>
      <c r="L712" s="97">
        <f>IFERROR(__xludf.DUMMYFUNCTION("""COMPUTED_VALUE"""),220.0)</f>
        <v>220</v>
      </c>
      <c r="M712" s="97">
        <f>IFERROR(__xludf.DUMMYFUNCTION("""COMPUTED_VALUE"""),50.0)</f>
        <v>50</v>
      </c>
      <c r="N712" s="97"/>
      <c r="O712" s="97" t="str">
        <f>IFERROR(__xludf.DUMMYFUNCTION("""COMPUTED_VALUE"""),"4 x 50W Max")</f>
        <v>4 x 50W Max</v>
      </c>
      <c r="P712" s="97"/>
      <c r="Q712" s="97" t="str">
        <f>IFERROR(__xludf.DUMMYFUNCTION("""COMPUTED_VALUE"""),"-")</f>
        <v>-</v>
      </c>
      <c r="R712" s="97" t="str">
        <f>IFERROR(__xludf.DUMMYFUNCTION("""COMPUTED_VALUE"""),"-")</f>
        <v>-</v>
      </c>
      <c r="S712" s="97" t="str">
        <f>IFERROR(__xludf.DUMMYFUNCTION("""COMPUTED_VALUE"""),"-")</f>
        <v>-</v>
      </c>
      <c r="T712" s="97" t="str">
        <f>IFERROR(__xludf.DUMMYFUNCTION("""COMPUTED_VALUE"""),"-")</f>
        <v>-</v>
      </c>
      <c r="U712" s="97" t="str">
        <f>IFERROR(__xludf.DUMMYFUNCTION("""COMPUTED_VALUE"""),"-")</f>
        <v>-</v>
      </c>
      <c r="V712" s="97" t="str">
        <f>IFERROR(__xludf.DUMMYFUNCTION("""COMPUTED_VALUE"""),"N/A")</f>
        <v>N/A</v>
      </c>
      <c r="W712" s="97" t="str">
        <f>IFERROR(__xludf.DUMMYFUNCTION("""COMPUTED_VALUE"""),"N/A")</f>
        <v>N/A</v>
      </c>
      <c r="X712" s="97" t="str">
        <f>IFERROR(__xludf.DUMMYFUNCTION("""COMPUTED_VALUE"""),"-")</f>
        <v>-</v>
      </c>
      <c r="Y712" s="97" t="str">
        <f>IFERROR(__xludf.DUMMYFUNCTION("""COMPUTED_VALUE"""),"N/A")</f>
        <v>N/A</v>
      </c>
      <c r="Z712" s="97" t="str">
        <f>IFERROR(__xludf.DUMMYFUNCTION("""COMPUTED_VALUE"""),"N/A")</f>
        <v>N/A</v>
      </c>
      <c r="AA712" s="97" t="str">
        <f>IFERROR(__xludf.DUMMYFUNCTION("""COMPUTED_VALUE"""),"N/A")</f>
        <v>N/A</v>
      </c>
      <c r="AB712" s="97" t="str">
        <f>IFERROR(__xludf.DUMMYFUNCTION("""COMPUTED_VALUE"""),"N/A")</f>
        <v>N/A</v>
      </c>
      <c r="AC712" s="97" t="str">
        <f>IFERROR(__xludf.DUMMYFUNCTION("""COMPUTED_VALUE"""),"N/A")</f>
        <v>N/A</v>
      </c>
      <c r="AD712" s="97" t="str">
        <f>IFERROR(__xludf.DUMMYFUNCTION("""COMPUTED_VALUE"""),"IP20")</f>
        <v>IP20</v>
      </c>
      <c r="AE712" s="97" t="str">
        <f>IFERROR(__xludf.DUMMYFUNCTION("""COMPUTED_VALUE"""),"Clase l")</f>
        <v>Clase l</v>
      </c>
      <c r="AF712" s="97" t="str">
        <f>IFERROR(__xludf.DUMMYFUNCTION("""COMPUTED_VALUE"""),"Embutir")</f>
        <v>Embutir</v>
      </c>
      <c r="AG712" s="97" t="str">
        <f>IFERROR(__xludf.DUMMYFUNCTION("""COMPUTED_VALUE"""),"307 x 307 x 99")</f>
        <v>307 x 307 x 99</v>
      </c>
      <c r="AH712" s="97" t="str">
        <f>IFERROR(__xludf.DUMMYFUNCTION("""COMPUTED_VALUE"""),"292 x 292")</f>
        <v>292 x 292</v>
      </c>
      <c r="AI712" s="97">
        <f>IFERROR(__xludf.DUMMYFUNCTION("""COMPUTED_VALUE"""),105.0)</f>
        <v>105</v>
      </c>
      <c r="AJ712" s="97" t="str">
        <f>IFERROR(__xludf.DUMMYFUNCTION("""COMPUTED_VALUE"""),"N/A")</f>
        <v>N/A</v>
      </c>
      <c r="AK712" s="97" t="str">
        <f>IFERROR(__xludf.DUMMYFUNCTION("""COMPUTED_VALUE"""),"Acero y Aluminio")</f>
        <v>Acero y Aluminio</v>
      </c>
      <c r="AL712" s="97" t="str">
        <f>IFERROR(__xludf.DUMMYFUNCTION("""COMPUTED_VALUE"""),"Blanco Satinado")</f>
        <v>Blanco Satinado</v>
      </c>
      <c r="AM712" s="97" t="str">
        <f>IFERROR(__xludf.DUMMYFUNCTION("""COMPUTED_VALUE"""),"-")</f>
        <v>-</v>
      </c>
      <c r="AN712" s="97" t="str">
        <f>IFERROR(__xludf.DUMMYFUNCTION("""COMPUTED_VALUE"""),"N/A")</f>
        <v>N/A</v>
      </c>
      <c r="AO712" s="97" t="str">
        <f>IFERROR(__xludf.DUMMYFUNCTION("""COMPUTED_VALUE"""),"3 Años")</f>
        <v>3 Años</v>
      </c>
      <c r="AP712" s="97" t="str">
        <f>IFERROR(__xludf.DUMMYFUNCTION("""COMPUTED_VALUE"""),"No Aplica")</f>
        <v>No Aplica</v>
      </c>
      <c r="AQ712" s="97" t="str">
        <f>IFERROR(__xludf.DUMMYFUNCTION("""COMPUTED_VALUE"""),"No Aplica")</f>
        <v>No Aplica</v>
      </c>
      <c r="AR712" s="97" t="str">
        <f>IFERROR(__xludf.DUMMYFUNCTION("""COMPUTED_VALUE"""),"No Aplica")</f>
        <v>No Aplica</v>
      </c>
      <c r="AS712" s="97"/>
      <c r="AT712" s="97"/>
      <c r="AU712" s="97" t="str">
        <f>IFERROR(__xludf.DUMMYFUNCTION("""COMPUTED_VALUE"""),"Falta")</f>
        <v>Falta</v>
      </c>
      <c r="AV712" s="97" t="str">
        <f>IFERROR(__xludf.DUMMYFUNCTION("""COMPUTED_VALUE"""),"Empotrable")</f>
        <v>Empotrable</v>
      </c>
      <c r="AW712" s="97" t="str">
        <f>IFERROR(__xludf.DUMMYFUNCTION("""COMPUTED_VALUE"""),"De Techo")</f>
        <v>De Techo</v>
      </c>
      <c r="AX712" s="97" t="str">
        <f>IFERROR(__xludf.DUMMYFUNCTION("""COMPUTED_VALUE"""),"Interior")</f>
        <v>Interior</v>
      </c>
      <c r="AY712" s="97" t="str">
        <f>IFERROR(__xludf.DUMMYFUNCTION("""COMPUTED_VALUE"""),"Cardánico")</f>
        <v>Cardánico</v>
      </c>
      <c r="AZ712" s="97" t="str">
        <f>IFERROR(__xludf.DUMMYFUNCTION("""COMPUTED_VALUE"""),"Incluye zócalo GU10 c/cable 20cm.")</f>
        <v>Incluye zócalo GU10 c/cable 20cm.</v>
      </c>
      <c r="BA712" s="97">
        <f>IFERROR(__xludf.DUMMYFUNCTION("""COMPUTED_VALUE"""),10.0)</f>
        <v>10</v>
      </c>
      <c r="BB712" s="97" t="str">
        <f>IFERROR(__xludf.DUMMYFUNCTION("""COMPUTED_VALUE"""),"-")</f>
        <v>-</v>
      </c>
      <c r="BC712" s="97" t="str">
        <f>IFERROR(__xludf.DUMMYFUNCTION("""COMPUTED_VALUE"""),"-")</f>
        <v>-</v>
      </c>
      <c r="BD712" s="97" t="str">
        <f>IFERROR(__xludf.DUMMYFUNCTION("""COMPUTED_VALUE"""),"MILA ")</f>
        <v>MILA </v>
      </c>
      <c r="BE712" s="97" t="str">
        <f>IFERROR(__xludf.DUMMYFUNCTION("""COMPUTED_VALUE"""),"Finalizada")</f>
        <v>Finalizada</v>
      </c>
      <c r="BF712" s="97"/>
      <c r="BG712" s="97" t="str">
        <f>IFERROR(__xludf.DUMMYFUNCTION("""COMPUTED_VALUE"""),"Activo")</f>
        <v>Activo</v>
      </c>
    </row>
    <row r="713">
      <c r="A713" s="97">
        <f>IFERROR(__xludf.DUMMYFUNCTION("""COMPUTED_VALUE"""),6472.0)</f>
        <v>6472</v>
      </c>
      <c r="B713" s="97" t="str">
        <f>IFERROR(__xludf.DUMMYFUNCTION("""COMPUTED_VALUE"""),"GAIA AB")</f>
        <v>GAIA AB</v>
      </c>
      <c r="C713" s="97" t="str">
        <f>IFERROR(__xludf.DUMMYFUNCTION("""COMPUTED_VALUE"""),"COLGANTE GAIA LEUK AMBAR G9")</f>
        <v>COLGANTE GAIA LEUK AMBAR G9</v>
      </c>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t="str">
        <f>IFERROR(__xludf.DUMMYFUNCTION("""COMPUTED_VALUE"""),"IP20")</f>
        <v>IP20</v>
      </c>
      <c r="AE713" s="97"/>
      <c r="AF713" s="97" t="str">
        <f>IFERROR(__xludf.DUMMYFUNCTION("""COMPUTED_VALUE"""),"Suspender")</f>
        <v>Suspender</v>
      </c>
      <c r="AG713" s="97"/>
      <c r="AH713" s="97"/>
      <c r="AI713" s="97"/>
      <c r="AJ713" s="97"/>
      <c r="AK713" s="97"/>
      <c r="AL713" s="97"/>
      <c r="AM713" s="97"/>
      <c r="AN713" s="97"/>
      <c r="AO713" s="97" t="str">
        <f>IFERROR(__xludf.DUMMYFUNCTION("""COMPUTED_VALUE"""),"1 Año")</f>
        <v>1 Año</v>
      </c>
      <c r="AP713" s="97"/>
      <c r="AQ713" s="97"/>
      <c r="AR713" s="97"/>
      <c r="AS713" s="97"/>
      <c r="AT713" s="97"/>
      <c r="AU713" s="97"/>
      <c r="AV713" s="97" t="str">
        <f>IFERROR(__xludf.DUMMYFUNCTION("""COMPUTED_VALUE"""),"Colgante")</f>
        <v>Colgante</v>
      </c>
      <c r="AW713" s="97" t="str">
        <f>IFERROR(__xludf.DUMMYFUNCTION("""COMPUTED_VALUE"""),"De Techo")</f>
        <v>De Techo</v>
      </c>
      <c r="AX713" s="97" t="str">
        <f>IFERROR(__xludf.DUMMYFUNCTION("""COMPUTED_VALUE"""),"Interior")</f>
        <v>Interior</v>
      </c>
      <c r="AY713" s="97"/>
      <c r="AZ713" s="97"/>
      <c r="BA713" s="97">
        <f>IFERROR(__xludf.DUMMYFUNCTION("""COMPUTED_VALUE"""),10.0)</f>
        <v>10</v>
      </c>
      <c r="BB713" s="97"/>
      <c r="BC713" s="97"/>
      <c r="BD713" s="97" t="str">
        <f>IFERROR(__xludf.DUMMYFUNCTION("""COMPUTED_VALUE"""),"GAIA")</f>
        <v>GAIA</v>
      </c>
      <c r="BE713" s="97" t="str">
        <f>IFERROR(__xludf.DUMMYFUNCTION("""COMPUTED_VALUE"""),"Sin Ficha")</f>
        <v>Sin Ficha</v>
      </c>
      <c r="BF713" s="97"/>
      <c r="BG713" s="97" t="str">
        <f>IFERROR(__xludf.DUMMYFUNCTION("""COMPUTED_VALUE"""),"Discontinuo")</f>
        <v>Discontinuo</v>
      </c>
    </row>
    <row r="714">
      <c r="A714" s="97">
        <f>IFERROR(__xludf.DUMMYFUNCTION("""COMPUTED_VALUE"""),6473.0)</f>
        <v>6473</v>
      </c>
      <c r="B714" s="97" t="str">
        <f>IFERROR(__xludf.DUMMYFUNCTION("""COMPUTED_VALUE"""),"GAIA AZ")</f>
        <v>GAIA AZ</v>
      </c>
      <c r="C714" s="97" t="str">
        <f>IFERROR(__xludf.DUMMYFUNCTION("""COMPUTED_VALUE"""),"COLGANTE GAIA LEUK AZUL G9")</f>
        <v>COLGANTE GAIA LEUK AZUL G9</v>
      </c>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t="str">
        <f>IFERROR(__xludf.DUMMYFUNCTION("""COMPUTED_VALUE"""),"IP20")</f>
        <v>IP20</v>
      </c>
      <c r="AE714" s="97"/>
      <c r="AF714" s="97" t="str">
        <f>IFERROR(__xludf.DUMMYFUNCTION("""COMPUTED_VALUE"""),"Suspender")</f>
        <v>Suspender</v>
      </c>
      <c r="AG714" s="97"/>
      <c r="AH714" s="97"/>
      <c r="AI714" s="97"/>
      <c r="AJ714" s="97"/>
      <c r="AK714" s="97"/>
      <c r="AL714" s="97"/>
      <c r="AM714" s="97"/>
      <c r="AN714" s="97"/>
      <c r="AO714" s="97" t="str">
        <f>IFERROR(__xludf.DUMMYFUNCTION("""COMPUTED_VALUE"""),"1 Año")</f>
        <v>1 Año</v>
      </c>
      <c r="AP714" s="97"/>
      <c r="AQ714" s="97"/>
      <c r="AR714" s="97"/>
      <c r="AS714" s="97"/>
      <c r="AT714" s="97"/>
      <c r="AU714" s="97"/>
      <c r="AV714" s="97" t="str">
        <f>IFERROR(__xludf.DUMMYFUNCTION("""COMPUTED_VALUE"""),"Colgante")</f>
        <v>Colgante</v>
      </c>
      <c r="AW714" s="97" t="str">
        <f>IFERROR(__xludf.DUMMYFUNCTION("""COMPUTED_VALUE"""),"De Techo")</f>
        <v>De Techo</v>
      </c>
      <c r="AX714" s="97" t="str">
        <f>IFERROR(__xludf.DUMMYFUNCTION("""COMPUTED_VALUE"""),"Interior")</f>
        <v>Interior</v>
      </c>
      <c r="AY714" s="97"/>
      <c r="AZ714" s="97"/>
      <c r="BA714" s="97"/>
      <c r="BB714" s="97"/>
      <c r="BC714" s="97"/>
      <c r="BD714" s="97" t="str">
        <f>IFERROR(__xludf.DUMMYFUNCTION("""COMPUTED_VALUE"""),"GAIA")</f>
        <v>GAIA</v>
      </c>
      <c r="BE714" s="97" t="str">
        <f>IFERROR(__xludf.DUMMYFUNCTION("""COMPUTED_VALUE"""),"Sin Ficha")</f>
        <v>Sin Ficha</v>
      </c>
      <c r="BF714" s="97"/>
      <c r="BG714" s="97" t="str">
        <f>IFERROR(__xludf.DUMMYFUNCTION("""COMPUTED_VALUE"""),"Discontinuo")</f>
        <v>Discontinuo</v>
      </c>
    </row>
    <row r="715">
      <c r="A715" s="97">
        <f>IFERROR(__xludf.DUMMYFUNCTION("""COMPUTED_VALUE"""),6474.0)</f>
        <v>6474</v>
      </c>
      <c r="B715" s="97" t="str">
        <f>IFERROR(__xludf.DUMMYFUNCTION("""COMPUTED_VALUE"""),"GAIA GR")</f>
        <v>GAIA GR</v>
      </c>
      <c r="C715" s="97" t="str">
        <f>IFERROR(__xludf.DUMMYFUNCTION("""COMPUTED_VALUE"""),"COLGANTE GAIA LEUK GRIS G9")</f>
        <v>COLGANTE GAIA LEUK GRIS G9</v>
      </c>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t="str">
        <f>IFERROR(__xludf.DUMMYFUNCTION("""COMPUTED_VALUE"""),"IP20")</f>
        <v>IP20</v>
      </c>
      <c r="AE715" s="97"/>
      <c r="AF715" s="97" t="str">
        <f>IFERROR(__xludf.DUMMYFUNCTION("""COMPUTED_VALUE"""),"Suspender")</f>
        <v>Suspender</v>
      </c>
      <c r="AG715" s="97"/>
      <c r="AH715" s="97"/>
      <c r="AI715" s="97"/>
      <c r="AJ715" s="97"/>
      <c r="AK715" s="97"/>
      <c r="AL715" s="97"/>
      <c r="AM715" s="97"/>
      <c r="AN715" s="97"/>
      <c r="AO715" s="97" t="str">
        <f>IFERROR(__xludf.DUMMYFUNCTION("""COMPUTED_VALUE"""),"1 Año")</f>
        <v>1 Año</v>
      </c>
      <c r="AP715" s="97"/>
      <c r="AQ715" s="97"/>
      <c r="AR715" s="97"/>
      <c r="AS715" s="97"/>
      <c r="AT715" s="97"/>
      <c r="AU715" s="97"/>
      <c r="AV715" s="97" t="str">
        <f>IFERROR(__xludf.DUMMYFUNCTION("""COMPUTED_VALUE"""),"Colgante")</f>
        <v>Colgante</v>
      </c>
      <c r="AW715" s="97" t="str">
        <f>IFERROR(__xludf.DUMMYFUNCTION("""COMPUTED_VALUE"""),"De Techo")</f>
        <v>De Techo</v>
      </c>
      <c r="AX715" s="97" t="str">
        <f>IFERROR(__xludf.DUMMYFUNCTION("""COMPUTED_VALUE"""),"Interior")</f>
        <v>Interior</v>
      </c>
      <c r="AY715" s="97"/>
      <c r="AZ715" s="97"/>
      <c r="BA715" s="97"/>
      <c r="BB715" s="97"/>
      <c r="BC715" s="97"/>
      <c r="BD715" s="97" t="str">
        <f>IFERROR(__xludf.DUMMYFUNCTION("""COMPUTED_VALUE"""),"GAIA")</f>
        <v>GAIA</v>
      </c>
      <c r="BE715" s="97" t="str">
        <f>IFERROR(__xludf.DUMMYFUNCTION("""COMPUTED_VALUE"""),"Sin Ficha")</f>
        <v>Sin Ficha</v>
      </c>
      <c r="BF715" s="97"/>
      <c r="BG715" s="97" t="str">
        <f>IFERROR(__xludf.DUMMYFUNCTION("""COMPUTED_VALUE"""),"Discontinuo")</f>
        <v>Discontinuo</v>
      </c>
    </row>
    <row r="716">
      <c r="A716" s="97">
        <f>IFERROR(__xludf.DUMMYFUNCTION("""COMPUTED_VALUE"""),6475.0)</f>
        <v>6475</v>
      </c>
      <c r="B716" s="97" t="str">
        <f>IFERROR(__xludf.DUMMYFUNCTION("""COMPUTED_VALUE"""),"GAIA RJ")</f>
        <v>GAIA RJ</v>
      </c>
      <c r="C716" s="97" t="str">
        <f>IFERROR(__xludf.DUMMYFUNCTION("""COMPUTED_VALUE"""),"COLGANTE GAIA LEUK ROJO G9")</f>
        <v>COLGANTE GAIA LEUK ROJO G9</v>
      </c>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t="str">
        <f>IFERROR(__xludf.DUMMYFUNCTION("""COMPUTED_VALUE"""),"IP20")</f>
        <v>IP20</v>
      </c>
      <c r="AE716" s="97"/>
      <c r="AF716" s="97" t="str">
        <f>IFERROR(__xludf.DUMMYFUNCTION("""COMPUTED_VALUE"""),"Suspender")</f>
        <v>Suspender</v>
      </c>
      <c r="AG716" s="97"/>
      <c r="AH716" s="97"/>
      <c r="AI716" s="97"/>
      <c r="AJ716" s="97"/>
      <c r="AK716" s="97"/>
      <c r="AL716" s="97"/>
      <c r="AM716" s="97"/>
      <c r="AN716" s="97"/>
      <c r="AO716" s="97" t="str">
        <f>IFERROR(__xludf.DUMMYFUNCTION("""COMPUTED_VALUE"""),"1 Año")</f>
        <v>1 Año</v>
      </c>
      <c r="AP716" s="97"/>
      <c r="AQ716" s="97"/>
      <c r="AR716" s="97"/>
      <c r="AS716" s="97"/>
      <c r="AT716" s="97"/>
      <c r="AU716" s="97"/>
      <c r="AV716" s="97" t="str">
        <f>IFERROR(__xludf.DUMMYFUNCTION("""COMPUTED_VALUE"""),"Colgante")</f>
        <v>Colgante</v>
      </c>
      <c r="AW716" s="97" t="str">
        <f>IFERROR(__xludf.DUMMYFUNCTION("""COMPUTED_VALUE"""),"De Techo")</f>
        <v>De Techo</v>
      </c>
      <c r="AX716" s="97" t="str">
        <f>IFERROR(__xludf.DUMMYFUNCTION("""COMPUTED_VALUE"""),"Interior")</f>
        <v>Interior</v>
      </c>
      <c r="AY716" s="97"/>
      <c r="AZ716" s="97"/>
      <c r="BA716" s="97"/>
      <c r="BB716" s="97"/>
      <c r="BC716" s="97"/>
      <c r="BD716" s="97" t="str">
        <f>IFERROR(__xludf.DUMMYFUNCTION("""COMPUTED_VALUE"""),"GAIA")</f>
        <v>GAIA</v>
      </c>
      <c r="BE716" s="97" t="str">
        <f>IFERROR(__xludf.DUMMYFUNCTION("""COMPUTED_VALUE"""),"Sin Ficha")</f>
        <v>Sin Ficha</v>
      </c>
      <c r="BF716" s="97"/>
      <c r="BG716" s="97" t="str">
        <f>IFERROR(__xludf.DUMMYFUNCTION("""COMPUTED_VALUE"""),"Discontinuo")</f>
        <v>Discontinuo</v>
      </c>
    </row>
    <row r="717">
      <c r="A717" s="97">
        <f>IFERROR(__xludf.DUMMYFUNCTION("""COMPUTED_VALUE"""),6476.0)</f>
        <v>6476</v>
      </c>
      <c r="B717" s="97" t="str">
        <f>IFERROR(__xludf.DUMMYFUNCTION("""COMPUTED_VALUE"""),"POULY ")</f>
        <v>POULY </v>
      </c>
      <c r="C717" s="97" t="str">
        <f>IFERROR(__xludf.DUMMYFUNCTION("""COMPUTED_VALUE"""),"VELADOR POULY BLANCO LEUK ")</f>
        <v>VELADOR POULY BLANCO LEUK </v>
      </c>
      <c r="D717" s="97">
        <f>IFERROR(__xludf.DUMMYFUNCTION("""COMPUTED_VALUE"""),7.798328754769E12)</f>
        <v>7798328754769</v>
      </c>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t="str">
        <f>IFERROR(__xludf.DUMMYFUNCTION("""COMPUTED_VALUE"""),"IP20")</f>
        <v>IP20</v>
      </c>
      <c r="AE717" s="97"/>
      <c r="AF717" s="97" t="str">
        <f>IFERROR(__xludf.DUMMYFUNCTION("""COMPUTED_VALUE"""),"Autoportante")</f>
        <v>Autoportante</v>
      </c>
      <c r="AG717" s="97"/>
      <c r="AH717" s="97"/>
      <c r="AI717" s="97"/>
      <c r="AJ717" s="97"/>
      <c r="AK717" s="97"/>
      <c r="AL717" s="97"/>
      <c r="AM717" s="97"/>
      <c r="AN717" s="97"/>
      <c r="AO717" s="97" t="str">
        <f>IFERROR(__xludf.DUMMYFUNCTION("""COMPUTED_VALUE"""),"1 Año")</f>
        <v>1 Año</v>
      </c>
      <c r="AP717" s="97"/>
      <c r="AQ717" s="97"/>
      <c r="AR717" s="97"/>
      <c r="AS717" s="97"/>
      <c r="AT717" s="97"/>
      <c r="AU717" s="97"/>
      <c r="AV717" s="97" t="str">
        <f>IFERROR(__xludf.DUMMYFUNCTION("""COMPUTED_VALUE"""),"Mesa")</f>
        <v>Mesa</v>
      </c>
      <c r="AW717" s="97" t="str">
        <f>IFERROR(__xludf.DUMMYFUNCTION("""COMPUTED_VALUE"""),"De Apoyo")</f>
        <v>De Apoyo</v>
      </c>
      <c r="AX717" s="97" t="str">
        <f>IFERROR(__xludf.DUMMYFUNCTION("""COMPUTED_VALUE"""),"Interior")</f>
        <v>Interior</v>
      </c>
      <c r="AY717" s="97"/>
      <c r="AZ717" s="97"/>
      <c r="BA717" s="97"/>
      <c r="BB717" s="97"/>
      <c r="BC717" s="97"/>
      <c r="BD717" s="97" t="str">
        <f>IFERROR(__xludf.DUMMYFUNCTION("""COMPUTED_VALUE"""),"POULY ")</f>
        <v>POULY </v>
      </c>
      <c r="BE717" s="97" t="str">
        <f>IFERROR(__xludf.DUMMYFUNCTION("""COMPUTED_VALUE"""),"Sin Ficha")</f>
        <v>Sin Ficha</v>
      </c>
      <c r="BF717" s="97"/>
      <c r="BG717" s="97" t="str">
        <f>IFERROR(__xludf.DUMMYFUNCTION("""COMPUTED_VALUE"""),"Discontinuo")</f>
        <v>Discontinuo</v>
      </c>
    </row>
    <row r="718">
      <c r="A718" s="97">
        <f>IFERROR(__xludf.DUMMYFUNCTION("""COMPUTED_VALUE"""),6477.0)</f>
        <v>6477</v>
      </c>
      <c r="B718" s="97" t="str">
        <f>IFERROR(__xludf.DUMMYFUNCTION("""COMPUTED_VALUE"""),"THEPY")</f>
        <v>THEPY</v>
      </c>
      <c r="C718" s="97" t="str">
        <f>IFERROR(__xludf.DUMMYFUNCTION("""COMPUTED_VALUE"""),"LAMPARA DE ESCRITORIO THEPY BLANCO LEUK")</f>
        <v>LAMPARA DE ESCRITORIO THEPY BLANCO LEUK</v>
      </c>
      <c r="D718" s="97">
        <f>IFERROR(__xludf.DUMMYFUNCTION("""COMPUTED_VALUE"""),7.798328753892E12)</f>
        <v>7798328753892</v>
      </c>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t="str">
        <f>IFERROR(__xludf.DUMMYFUNCTION("""COMPUTED_VALUE"""),"IP20")</f>
        <v>IP20</v>
      </c>
      <c r="AE718" s="97"/>
      <c r="AF718" s="97" t="str">
        <f>IFERROR(__xludf.DUMMYFUNCTION("""COMPUTED_VALUE"""),"Autoportante")</f>
        <v>Autoportante</v>
      </c>
      <c r="AG718" s="97"/>
      <c r="AH718" s="97"/>
      <c r="AI718" s="97"/>
      <c r="AJ718" s="97"/>
      <c r="AK718" s="97"/>
      <c r="AL718" s="97"/>
      <c r="AM718" s="97"/>
      <c r="AN718" s="97"/>
      <c r="AO718" s="97" t="str">
        <f>IFERROR(__xludf.DUMMYFUNCTION("""COMPUTED_VALUE"""),"1 Año")</f>
        <v>1 Año</v>
      </c>
      <c r="AP718" s="97"/>
      <c r="AQ718" s="97"/>
      <c r="AR718" s="97"/>
      <c r="AS718" s="97"/>
      <c r="AT718" s="97"/>
      <c r="AU718" s="97"/>
      <c r="AV718" s="97" t="str">
        <f>IFERROR(__xludf.DUMMYFUNCTION("""COMPUTED_VALUE"""),"Mesa")</f>
        <v>Mesa</v>
      </c>
      <c r="AW718" s="97" t="str">
        <f>IFERROR(__xludf.DUMMYFUNCTION("""COMPUTED_VALUE"""),"De Apoyo")</f>
        <v>De Apoyo</v>
      </c>
      <c r="AX718" s="97" t="str">
        <f>IFERROR(__xludf.DUMMYFUNCTION("""COMPUTED_VALUE"""),"Interior")</f>
        <v>Interior</v>
      </c>
      <c r="AY718" s="97"/>
      <c r="AZ718" s="97"/>
      <c r="BA718" s="97"/>
      <c r="BB718" s="97"/>
      <c r="BC718" s="97"/>
      <c r="BD718" s="97" t="str">
        <f>IFERROR(__xludf.DUMMYFUNCTION("""COMPUTED_VALUE"""),"THEPY")</f>
        <v>THEPY</v>
      </c>
      <c r="BE718" s="97" t="str">
        <f>IFERROR(__xludf.DUMMYFUNCTION("""COMPUTED_VALUE"""),"Sin Ficha")</f>
        <v>Sin Ficha</v>
      </c>
      <c r="BF718" s="97"/>
      <c r="BG718" s="97" t="str">
        <f>IFERROR(__xludf.DUMMYFUNCTION("""COMPUTED_VALUE"""),"Discontinuo")</f>
        <v>Discontinuo</v>
      </c>
    </row>
    <row r="719">
      <c r="A719" s="97">
        <f>IFERROR(__xludf.DUMMYFUNCTION("""COMPUTED_VALUE"""),6478.0)</f>
        <v>6478</v>
      </c>
      <c r="B719" s="97" t="str">
        <f>IFERROR(__xludf.DUMMYFUNCTION("""COMPUTED_VALUE"""),"OKSANA")</f>
        <v>OKSANA</v>
      </c>
      <c r="C719" s="97" t="str">
        <f>IFERROR(__xludf.DUMMYFUNCTION("""COMPUTED_VALUE"""),"LAMPARA DE PIE OKSANA BLANCO LEUK")</f>
        <v>LAMPARA DE PIE OKSANA BLANCO LEUK</v>
      </c>
      <c r="D719" s="97">
        <f>IFERROR(__xludf.DUMMYFUNCTION("""COMPUTED_VALUE"""),7.798328758132E12)</f>
        <v>7798328758132</v>
      </c>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t="str">
        <f>IFERROR(__xludf.DUMMYFUNCTION("""COMPUTED_VALUE"""),"IP20")</f>
        <v>IP20</v>
      </c>
      <c r="AE719" s="97"/>
      <c r="AF719" s="97" t="str">
        <f>IFERROR(__xludf.DUMMYFUNCTION("""COMPUTED_VALUE"""),"Autoportante")</f>
        <v>Autoportante</v>
      </c>
      <c r="AG719" s="97"/>
      <c r="AH719" s="97"/>
      <c r="AI719" s="97"/>
      <c r="AJ719" s="97"/>
      <c r="AK719" s="97"/>
      <c r="AL719" s="97"/>
      <c r="AM719" s="97"/>
      <c r="AN719" s="97"/>
      <c r="AO719" s="97" t="str">
        <f>IFERROR(__xludf.DUMMYFUNCTION("""COMPUTED_VALUE"""),"1 Año")</f>
        <v>1 Año</v>
      </c>
      <c r="AP719" s="97"/>
      <c r="AQ719" s="97"/>
      <c r="AR719" s="97"/>
      <c r="AS719" s="97"/>
      <c r="AT719" s="97"/>
      <c r="AU719" s="97"/>
      <c r="AV719" s="97" t="str">
        <f>IFERROR(__xludf.DUMMYFUNCTION("""COMPUTED_VALUE"""),"Pie")</f>
        <v>Pie</v>
      </c>
      <c r="AW719" s="97" t="str">
        <f>IFERROR(__xludf.DUMMYFUNCTION("""COMPUTED_VALUE"""),"De Apoyo")</f>
        <v>De Apoyo</v>
      </c>
      <c r="AX719" s="97" t="str">
        <f>IFERROR(__xludf.DUMMYFUNCTION("""COMPUTED_VALUE"""),"Interior")</f>
        <v>Interior</v>
      </c>
      <c r="AY719" s="97"/>
      <c r="AZ719" s="97"/>
      <c r="BA719" s="97"/>
      <c r="BB719" s="97"/>
      <c r="BC719" s="97"/>
      <c r="BD719" s="97" t="str">
        <f>IFERROR(__xludf.DUMMYFUNCTION("""COMPUTED_VALUE"""),"OKSANA")</f>
        <v>OKSANA</v>
      </c>
      <c r="BE719" s="97" t="str">
        <f>IFERROR(__xludf.DUMMYFUNCTION("""COMPUTED_VALUE"""),"Sin Ficha")</f>
        <v>Sin Ficha</v>
      </c>
      <c r="BF719" s="97"/>
      <c r="BG719" s="97" t="str">
        <f>IFERROR(__xludf.DUMMYFUNCTION("""COMPUTED_VALUE"""),"Discontinuo")</f>
        <v>Discontinuo</v>
      </c>
    </row>
    <row r="720">
      <c r="A720" s="97">
        <f>IFERROR(__xludf.DUMMYFUNCTION("""COMPUTED_VALUE"""),6479.0)</f>
        <v>6479</v>
      </c>
      <c r="B720" s="97" t="str">
        <f>IFERROR(__xludf.DUMMYFUNCTION("""COMPUTED_VALUE"""),"BYAM RECTO MARFIL")</f>
        <v>BYAM RECTO MARFIL</v>
      </c>
      <c r="C720" s="97" t="str">
        <f>IFERROR(__xludf.DUMMYFUNCTION("""COMPUTED_VALUE"""),"COLGANTE BYAM RECTO MARFIL LEUK")</f>
        <v>COLGANTE BYAM RECTO MARFIL LEUK</v>
      </c>
      <c r="D720" s="97">
        <f>IFERROR(__xludf.DUMMYFUNCTION("""COMPUTED_VALUE"""),7.798328758439E12)</f>
        <v>7798328758439</v>
      </c>
      <c r="E720" s="97"/>
      <c r="F720" s="97" t="str">
        <f>IFERROR(__xludf.DUMMYFUNCTION("""COMPUTED_VALUE"""),"E27")</f>
        <v>E27</v>
      </c>
      <c r="G720" s="97" t="str">
        <f>IFERROR(__xludf.DUMMYFUNCTION("""COMPUTED_VALUE"""),"N/A")</f>
        <v>N/A</v>
      </c>
      <c r="H720" s="97" t="str">
        <f>IFERROR(__xludf.DUMMYFUNCTION("""COMPUTED_VALUE"""),"N/A")</f>
        <v>N/A</v>
      </c>
      <c r="I720" s="97" t="str">
        <f>IFERROR(__xludf.DUMMYFUNCTION("""COMPUTED_VALUE"""),"N/A")</f>
        <v>N/A</v>
      </c>
      <c r="J720" s="97"/>
      <c r="K720" s="97" t="str">
        <f>IFERROR(__xludf.DUMMYFUNCTION("""COMPUTED_VALUE"""),"N/A")</f>
        <v>N/A</v>
      </c>
      <c r="L720" s="97"/>
      <c r="M720" s="97"/>
      <c r="N720" s="97"/>
      <c r="O720" s="97"/>
      <c r="P720" s="97"/>
      <c r="Q720" s="97" t="str">
        <f>IFERROR(__xludf.DUMMYFUNCTION("""COMPUTED_VALUE"""),"-")</f>
        <v>-</v>
      </c>
      <c r="R720" s="97" t="str">
        <f>IFERROR(__xludf.DUMMYFUNCTION("""COMPUTED_VALUE"""),"-")</f>
        <v>-</v>
      </c>
      <c r="S720" s="97" t="str">
        <f>IFERROR(__xludf.DUMMYFUNCTION("""COMPUTED_VALUE"""),"-")</f>
        <v>-</v>
      </c>
      <c r="T720" s="97" t="str">
        <f>IFERROR(__xludf.DUMMYFUNCTION("""COMPUTED_VALUE"""),"-")</f>
        <v>-</v>
      </c>
      <c r="U720" s="97" t="str">
        <f>IFERROR(__xludf.DUMMYFUNCTION("""COMPUTED_VALUE"""),"-")</f>
        <v>-</v>
      </c>
      <c r="V720" s="97" t="str">
        <f>IFERROR(__xludf.DUMMYFUNCTION("""COMPUTED_VALUE"""),"N/A")</f>
        <v>N/A</v>
      </c>
      <c r="W720" s="97" t="str">
        <f>IFERROR(__xludf.DUMMYFUNCTION("""COMPUTED_VALUE"""),"N/A")</f>
        <v>N/A</v>
      </c>
      <c r="X720" s="97" t="str">
        <f>IFERROR(__xludf.DUMMYFUNCTION("""COMPUTED_VALUE"""),"-")</f>
        <v>-</v>
      </c>
      <c r="Y720" s="97" t="str">
        <f>IFERROR(__xludf.DUMMYFUNCTION("""COMPUTED_VALUE"""),"N/A")</f>
        <v>N/A</v>
      </c>
      <c r="Z720" s="97" t="str">
        <f>IFERROR(__xludf.DUMMYFUNCTION("""COMPUTED_VALUE"""),"N/A")</f>
        <v>N/A</v>
      </c>
      <c r="AA720" s="97" t="str">
        <f>IFERROR(__xludf.DUMMYFUNCTION("""COMPUTED_VALUE"""),"N/A")</f>
        <v>N/A</v>
      </c>
      <c r="AB720" s="97" t="str">
        <f>IFERROR(__xludf.DUMMYFUNCTION("""COMPUTED_VALUE"""),"N/A")</f>
        <v>N/A</v>
      </c>
      <c r="AC720" s="97" t="str">
        <f>IFERROR(__xludf.DUMMYFUNCTION("""COMPUTED_VALUE"""),"N/A")</f>
        <v>N/A</v>
      </c>
      <c r="AD720" s="97" t="str">
        <f>IFERROR(__xludf.DUMMYFUNCTION("""COMPUTED_VALUE"""),"IP20")</f>
        <v>IP20</v>
      </c>
      <c r="AE720" s="97" t="str">
        <f>IFERROR(__xludf.DUMMYFUNCTION("""COMPUTED_VALUE"""),"Clase ll")</f>
        <v>Clase ll</v>
      </c>
      <c r="AF720" s="97" t="str">
        <f>IFERROR(__xludf.DUMMYFUNCTION("""COMPUTED_VALUE"""),"Suspender")</f>
        <v>Suspender</v>
      </c>
      <c r="AG720" s="97"/>
      <c r="AH720" s="97"/>
      <c r="AI720" s="97"/>
      <c r="AJ720" s="97"/>
      <c r="AK720" s="97"/>
      <c r="AL720" s="97"/>
      <c r="AM720" s="97" t="str">
        <f>IFERROR(__xludf.DUMMYFUNCTION("""COMPUTED_VALUE"""),"-")</f>
        <v>-</v>
      </c>
      <c r="AN720" s="97" t="str">
        <f>IFERROR(__xludf.DUMMYFUNCTION("""COMPUTED_VALUE"""),"N/A")</f>
        <v>N/A</v>
      </c>
      <c r="AO720" s="97" t="str">
        <f>IFERROR(__xludf.DUMMYFUNCTION("""COMPUTED_VALUE"""),"1 Año")</f>
        <v>1 Año</v>
      </c>
      <c r="AP720" s="97" t="str">
        <f>IFERROR(__xludf.DUMMYFUNCTION("""COMPUTED_VALUE"""),"No Aplica")</f>
        <v>No Aplica</v>
      </c>
      <c r="AQ720" s="97" t="str">
        <f>IFERROR(__xludf.DUMMYFUNCTION("""COMPUTED_VALUE"""),"No Aplica")</f>
        <v>No Aplica</v>
      </c>
      <c r="AR720" s="97" t="str">
        <f>IFERROR(__xludf.DUMMYFUNCTION("""COMPUTED_VALUE"""),"No Aplica")</f>
        <v>No Aplica</v>
      </c>
      <c r="AS720" s="97"/>
      <c r="AT720" s="97"/>
      <c r="AU720" s="97"/>
      <c r="AV720" s="97" t="str">
        <f>IFERROR(__xludf.DUMMYFUNCTION("""COMPUTED_VALUE"""),"Colgante")</f>
        <v>Colgante</v>
      </c>
      <c r="AW720" s="97" t="str">
        <f>IFERROR(__xludf.DUMMYFUNCTION("""COMPUTED_VALUE"""),"De Techo")</f>
        <v>De Techo</v>
      </c>
      <c r="AX720" s="97" t="str">
        <f>IFERROR(__xludf.DUMMYFUNCTION("""COMPUTED_VALUE"""),"Interior")</f>
        <v>Interior</v>
      </c>
      <c r="AY720" s="97"/>
      <c r="AZ720" s="97"/>
      <c r="BA720" s="97">
        <f>IFERROR(__xludf.DUMMYFUNCTION("""COMPUTED_VALUE"""),1.0)</f>
        <v>1</v>
      </c>
      <c r="BB720" s="97"/>
      <c r="BC720" s="97"/>
      <c r="BD720" s="97" t="str">
        <f>IFERROR(__xludf.DUMMYFUNCTION("""COMPUTED_VALUE"""),"BYAM RECTO")</f>
        <v>BYAM RECTO</v>
      </c>
      <c r="BE720" s="97" t="str">
        <f>IFERROR(__xludf.DUMMYFUNCTION("""COMPUTED_VALUE"""),"Sin Ficha")</f>
        <v>Sin Ficha</v>
      </c>
      <c r="BF720" s="97"/>
      <c r="BG720" s="97" t="str">
        <f>IFERROR(__xludf.DUMMYFUNCTION("""COMPUTED_VALUE"""),"Discontinuo")</f>
        <v>Discontinuo</v>
      </c>
    </row>
    <row r="721">
      <c r="A721" s="97">
        <f>IFERROR(__xludf.DUMMYFUNCTION("""COMPUTED_VALUE"""),6480.0)</f>
        <v>6480</v>
      </c>
      <c r="B721" s="97" t="str">
        <f>IFERROR(__xludf.DUMMYFUNCTION("""COMPUTED_VALUE"""),"BYAM TORSIONADO MARFIL")</f>
        <v>BYAM TORSIONADO MARFIL</v>
      </c>
      <c r="C721" s="97" t="str">
        <f>IFERROR(__xludf.DUMMYFUNCTION("""COMPUTED_VALUE"""),"COLGANTE BYAM TORSIONADO MARFIL LEUK")</f>
        <v>COLGANTE BYAM TORSIONADO MARFIL LEUK</v>
      </c>
      <c r="D721" s="97">
        <f>IFERROR(__xludf.DUMMYFUNCTION("""COMPUTED_VALUE"""),7.798328758453E12)</f>
        <v>7798328758453</v>
      </c>
      <c r="E721" s="97"/>
      <c r="F721" s="97" t="str">
        <f>IFERROR(__xludf.DUMMYFUNCTION("""COMPUTED_VALUE"""),"E27")</f>
        <v>E27</v>
      </c>
      <c r="G721" s="97" t="str">
        <f>IFERROR(__xludf.DUMMYFUNCTION("""COMPUTED_VALUE"""),"N/A")</f>
        <v>N/A</v>
      </c>
      <c r="H721" s="97" t="str">
        <f>IFERROR(__xludf.DUMMYFUNCTION("""COMPUTED_VALUE"""),"N/A")</f>
        <v>N/A</v>
      </c>
      <c r="I721" s="97" t="str">
        <f>IFERROR(__xludf.DUMMYFUNCTION("""COMPUTED_VALUE"""),"N/A")</f>
        <v>N/A</v>
      </c>
      <c r="J721" s="97"/>
      <c r="K721" s="97" t="str">
        <f>IFERROR(__xludf.DUMMYFUNCTION("""COMPUTED_VALUE"""),"N/A")</f>
        <v>N/A</v>
      </c>
      <c r="L721" s="97"/>
      <c r="M721" s="97"/>
      <c r="N721" s="97"/>
      <c r="O721" s="97"/>
      <c r="P721" s="97"/>
      <c r="Q721" s="97" t="str">
        <f>IFERROR(__xludf.DUMMYFUNCTION("""COMPUTED_VALUE"""),"-")</f>
        <v>-</v>
      </c>
      <c r="R721" s="97" t="str">
        <f>IFERROR(__xludf.DUMMYFUNCTION("""COMPUTED_VALUE"""),"-")</f>
        <v>-</v>
      </c>
      <c r="S721" s="97" t="str">
        <f>IFERROR(__xludf.DUMMYFUNCTION("""COMPUTED_VALUE"""),"-")</f>
        <v>-</v>
      </c>
      <c r="T721" s="97" t="str">
        <f>IFERROR(__xludf.DUMMYFUNCTION("""COMPUTED_VALUE"""),"-")</f>
        <v>-</v>
      </c>
      <c r="U721" s="97" t="str">
        <f>IFERROR(__xludf.DUMMYFUNCTION("""COMPUTED_VALUE"""),"-")</f>
        <v>-</v>
      </c>
      <c r="V721" s="97" t="str">
        <f>IFERROR(__xludf.DUMMYFUNCTION("""COMPUTED_VALUE"""),"N/A")</f>
        <v>N/A</v>
      </c>
      <c r="W721" s="97" t="str">
        <f>IFERROR(__xludf.DUMMYFUNCTION("""COMPUTED_VALUE"""),"N/A")</f>
        <v>N/A</v>
      </c>
      <c r="X721" s="97" t="str">
        <f>IFERROR(__xludf.DUMMYFUNCTION("""COMPUTED_VALUE"""),"-")</f>
        <v>-</v>
      </c>
      <c r="Y721" s="97" t="str">
        <f>IFERROR(__xludf.DUMMYFUNCTION("""COMPUTED_VALUE"""),"N/A")</f>
        <v>N/A</v>
      </c>
      <c r="Z721" s="97" t="str">
        <f>IFERROR(__xludf.DUMMYFUNCTION("""COMPUTED_VALUE"""),"N/A")</f>
        <v>N/A</v>
      </c>
      <c r="AA721" s="97" t="str">
        <f>IFERROR(__xludf.DUMMYFUNCTION("""COMPUTED_VALUE"""),"N/A")</f>
        <v>N/A</v>
      </c>
      <c r="AB721" s="97" t="str">
        <f>IFERROR(__xludf.DUMMYFUNCTION("""COMPUTED_VALUE"""),"N/A")</f>
        <v>N/A</v>
      </c>
      <c r="AC721" s="97" t="str">
        <f>IFERROR(__xludf.DUMMYFUNCTION("""COMPUTED_VALUE"""),"N/A")</f>
        <v>N/A</v>
      </c>
      <c r="AD721" s="97" t="str">
        <f>IFERROR(__xludf.DUMMYFUNCTION("""COMPUTED_VALUE"""),"IP20")</f>
        <v>IP20</v>
      </c>
      <c r="AE721" s="97" t="str">
        <f>IFERROR(__xludf.DUMMYFUNCTION("""COMPUTED_VALUE"""),"Clase ll")</f>
        <v>Clase ll</v>
      </c>
      <c r="AF721" s="97" t="str">
        <f>IFERROR(__xludf.DUMMYFUNCTION("""COMPUTED_VALUE"""),"Suspender")</f>
        <v>Suspender</v>
      </c>
      <c r="AG721" s="97"/>
      <c r="AH721" s="97"/>
      <c r="AI721" s="97"/>
      <c r="AJ721" s="97"/>
      <c r="AK721" s="97"/>
      <c r="AL721" s="97"/>
      <c r="AM721" s="97" t="str">
        <f>IFERROR(__xludf.DUMMYFUNCTION("""COMPUTED_VALUE"""),"-")</f>
        <v>-</v>
      </c>
      <c r="AN721" s="97" t="str">
        <f>IFERROR(__xludf.DUMMYFUNCTION("""COMPUTED_VALUE"""),"N/A")</f>
        <v>N/A</v>
      </c>
      <c r="AO721" s="97" t="str">
        <f>IFERROR(__xludf.DUMMYFUNCTION("""COMPUTED_VALUE"""),"1 Año")</f>
        <v>1 Año</v>
      </c>
      <c r="AP721" s="97" t="str">
        <f>IFERROR(__xludf.DUMMYFUNCTION("""COMPUTED_VALUE"""),"No Aplica")</f>
        <v>No Aplica</v>
      </c>
      <c r="AQ721" s="97" t="str">
        <f>IFERROR(__xludf.DUMMYFUNCTION("""COMPUTED_VALUE"""),"No Aplica")</f>
        <v>No Aplica</v>
      </c>
      <c r="AR721" s="97" t="str">
        <f>IFERROR(__xludf.DUMMYFUNCTION("""COMPUTED_VALUE"""),"No Aplica")</f>
        <v>No Aplica</v>
      </c>
      <c r="AS721" s="97"/>
      <c r="AT721" s="97"/>
      <c r="AU721" s="97"/>
      <c r="AV721" s="97" t="str">
        <f>IFERROR(__xludf.DUMMYFUNCTION("""COMPUTED_VALUE"""),"Colgante")</f>
        <v>Colgante</v>
      </c>
      <c r="AW721" s="97" t="str">
        <f>IFERROR(__xludf.DUMMYFUNCTION("""COMPUTED_VALUE"""),"De Techo")</f>
        <v>De Techo</v>
      </c>
      <c r="AX721" s="97" t="str">
        <f>IFERROR(__xludf.DUMMYFUNCTION("""COMPUTED_VALUE"""),"Interior")</f>
        <v>Interior</v>
      </c>
      <c r="AY721" s="97"/>
      <c r="AZ721" s="97"/>
      <c r="BA721" s="97">
        <f>IFERROR(__xludf.DUMMYFUNCTION("""COMPUTED_VALUE"""),1.0)</f>
        <v>1</v>
      </c>
      <c r="BB721" s="97"/>
      <c r="BC721" s="97"/>
      <c r="BD721" s="97" t="str">
        <f>IFERROR(__xludf.DUMMYFUNCTION("""COMPUTED_VALUE"""),"BYAM TORSIONADO")</f>
        <v>BYAM TORSIONADO</v>
      </c>
      <c r="BE721" s="97" t="str">
        <f>IFERROR(__xludf.DUMMYFUNCTION("""COMPUTED_VALUE"""),"Sin Ficha")</f>
        <v>Sin Ficha</v>
      </c>
      <c r="BF721" s="97"/>
      <c r="BG721" s="97" t="str">
        <f>IFERROR(__xludf.DUMMYFUNCTION("""COMPUTED_VALUE"""),"Discontinuo")</f>
        <v>Discontinuo</v>
      </c>
    </row>
    <row r="722">
      <c r="A722" s="97">
        <f>IFERROR(__xludf.DUMMYFUNCTION("""COMPUTED_VALUE"""),6481.0)</f>
        <v>6481</v>
      </c>
      <c r="B722" s="97" t="str">
        <f>IFERROR(__xludf.DUMMYFUNCTION("""COMPUTED_VALUE"""),"BYAM RECTO NT")</f>
        <v>BYAM RECTO NT</v>
      </c>
      <c r="C722" s="97" t="str">
        <f>IFERROR(__xludf.DUMMYFUNCTION("""COMPUTED_VALUE"""),"COLGANTE BYAM RECTO TRANSPARENTE LEUK")</f>
        <v>COLGANTE BYAM RECTO TRANSPARENTE LEUK</v>
      </c>
      <c r="D722" s="97">
        <f>IFERROR(__xludf.DUMMYFUNCTION("""COMPUTED_VALUE"""),7.798328758422E12)</f>
        <v>7798328758422</v>
      </c>
      <c r="E722" s="97"/>
      <c r="F722" s="97" t="str">
        <f>IFERROR(__xludf.DUMMYFUNCTION("""COMPUTED_VALUE"""),"E27")</f>
        <v>E27</v>
      </c>
      <c r="G722" s="97" t="str">
        <f>IFERROR(__xludf.DUMMYFUNCTION("""COMPUTED_VALUE"""),"N/A")</f>
        <v>N/A</v>
      </c>
      <c r="H722" s="97" t="str">
        <f>IFERROR(__xludf.DUMMYFUNCTION("""COMPUTED_VALUE"""),"N/A")</f>
        <v>N/A</v>
      </c>
      <c r="I722" s="97" t="str">
        <f>IFERROR(__xludf.DUMMYFUNCTION("""COMPUTED_VALUE"""),"N/A")</f>
        <v>N/A</v>
      </c>
      <c r="J722" s="97"/>
      <c r="K722" s="97" t="str">
        <f>IFERROR(__xludf.DUMMYFUNCTION("""COMPUTED_VALUE"""),"N/A")</f>
        <v>N/A</v>
      </c>
      <c r="L722" s="97"/>
      <c r="M722" s="97"/>
      <c r="N722" s="97"/>
      <c r="O722" s="97"/>
      <c r="P722" s="97"/>
      <c r="Q722" s="97" t="str">
        <f>IFERROR(__xludf.DUMMYFUNCTION("""COMPUTED_VALUE"""),"-")</f>
        <v>-</v>
      </c>
      <c r="R722" s="97" t="str">
        <f>IFERROR(__xludf.DUMMYFUNCTION("""COMPUTED_VALUE"""),"-")</f>
        <v>-</v>
      </c>
      <c r="S722" s="97" t="str">
        <f>IFERROR(__xludf.DUMMYFUNCTION("""COMPUTED_VALUE"""),"-")</f>
        <v>-</v>
      </c>
      <c r="T722" s="97" t="str">
        <f>IFERROR(__xludf.DUMMYFUNCTION("""COMPUTED_VALUE"""),"-")</f>
        <v>-</v>
      </c>
      <c r="U722" s="97" t="str">
        <f>IFERROR(__xludf.DUMMYFUNCTION("""COMPUTED_VALUE"""),"-")</f>
        <v>-</v>
      </c>
      <c r="V722" s="97" t="str">
        <f>IFERROR(__xludf.DUMMYFUNCTION("""COMPUTED_VALUE"""),"N/A")</f>
        <v>N/A</v>
      </c>
      <c r="W722" s="97" t="str">
        <f>IFERROR(__xludf.DUMMYFUNCTION("""COMPUTED_VALUE"""),"N/A")</f>
        <v>N/A</v>
      </c>
      <c r="X722" s="97" t="str">
        <f>IFERROR(__xludf.DUMMYFUNCTION("""COMPUTED_VALUE"""),"-")</f>
        <v>-</v>
      </c>
      <c r="Y722" s="97" t="str">
        <f>IFERROR(__xludf.DUMMYFUNCTION("""COMPUTED_VALUE"""),"N/A")</f>
        <v>N/A</v>
      </c>
      <c r="Z722" s="97" t="str">
        <f>IFERROR(__xludf.DUMMYFUNCTION("""COMPUTED_VALUE"""),"N/A")</f>
        <v>N/A</v>
      </c>
      <c r="AA722" s="97" t="str">
        <f>IFERROR(__xludf.DUMMYFUNCTION("""COMPUTED_VALUE"""),"N/A")</f>
        <v>N/A</v>
      </c>
      <c r="AB722" s="97" t="str">
        <f>IFERROR(__xludf.DUMMYFUNCTION("""COMPUTED_VALUE"""),"N/A")</f>
        <v>N/A</v>
      </c>
      <c r="AC722" s="97" t="str">
        <f>IFERROR(__xludf.DUMMYFUNCTION("""COMPUTED_VALUE"""),"N/A")</f>
        <v>N/A</v>
      </c>
      <c r="AD722" s="97" t="str">
        <f>IFERROR(__xludf.DUMMYFUNCTION("""COMPUTED_VALUE"""),"IP20")</f>
        <v>IP20</v>
      </c>
      <c r="AE722" s="97" t="str">
        <f>IFERROR(__xludf.DUMMYFUNCTION("""COMPUTED_VALUE"""),"Clase ll")</f>
        <v>Clase ll</v>
      </c>
      <c r="AF722" s="97" t="str">
        <f>IFERROR(__xludf.DUMMYFUNCTION("""COMPUTED_VALUE"""),"Suspender")</f>
        <v>Suspender</v>
      </c>
      <c r="AG722" s="97"/>
      <c r="AH722" s="97"/>
      <c r="AI722" s="97"/>
      <c r="AJ722" s="97"/>
      <c r="AK722" s="97"/>
      <c r="AL722" s="97"/>
      <c r="AM722" s="97" t="str">
        <f>IFERROR(__xludf.DUMMYFUNCTION("""COMPUTED_VALUE"""),"-")</f>
        <v>-</v>
      </c>
      <c r="AN722" s="97" t="str">
        <f>IFERROR(__xludf.DUMMYFUNCTION("""COMPUTED_VALUE"""),"N/A")</f>
        <v>N/A</v>
      </c>
      <c r="AO722" s="97" t="str">
        <f>IFERROR(__xludf.DUMMYFUNCTION("""COMPUTED_VALUE"""),"1 Año")</f>
        <v>1 Año</v>
      </c>
      <c r="AP722" s="97" t="str">
        <f>IFERROR(__xludf.DUMMYFUNCTION("""COMPUTED_VALUE"""),"No Aplica")</f>
        <v>No Aplica</v>
      </c>
      <c r="AQ722" s="97" t="str">
        <f>IFERROR(__xludf.DUMMYFUNCTION("""COMPUTED_VALUE"""),"No Aplica")</f>
        <v>No Aplica</v>
      </c>
      <c r="AR722" s="97" t="str">
        <f>IFERROR(__xludf.DUMMYFUNCTION("""COMPUTED_VALUE"""),"No Aplica")</f>
        <v>No Aplica</v>
      </c>
      <c r="AS722" s="97"/>
      <c r="AT722" s="97"/>
      <c r="AU722" s="97"/>
      <c r="AV722" s="97" t="str">
        <f>IFERROR(__xludf.DUMMYFUNCTION("""COMPUTED_VALUE"""),"Colgante")</f>
        <v>Colgante</v>
      </c>
      <c r="AW722" s="97" t="str">
        <f>IFERROR(__xludf.DUMMYFUNCTION("""COMPUTED_VALUE"""),"De Techo")</f>
        <v>De Techo</v>
      </c>
      <c r="AX722" s="97" t="str">
        <f>IFERROR(__xludf.DUMMYFUNCTION("""COMPUTED_VALUE"""),"Interior")</f>
        <v>Interior</v>
      </c>
      <c r="AY722" s="97"/>
      <c r="AZ722" s="97"/>
      <c r="BA722" s="97">
        <f>IFERROR(__xludf.DUMMYFUNCTION("""COMPUTED_VALUE"""),1.0)</f>
        <v>1</v>
      </c>
      <c r="BB722" s="97"/>
      <c r="BC722" s="97"/>
      <c r="BD722" s="97" t="str">
        <f>IFERROR(__xludf.DUMMYFUNCTION("""COMPUTED_VALUE"""),"BYAM RECTO")</f>
        <v>BYAM RECTO</v>
      </c>
      <c r="BE722" s="97" t="str">
        <f>IFERROR(__xludf.DUMMYFUNCTION("""COMPUTED_VALUE"""),"Sin Ficha")</f>
        <v>Sin Ficha</v>
      </c>
      <c r="BF722" s="97"/>
      <c r="BG722" s="97" t="str">
        <f>IFERROR(__xludf.DUMMYFUNCTION("""COMPUTED_VALUE"""),"Discontinuo")</f>
        <v>Discontinuo</v>
      </c>
    </row>
    <row r="723">
      <c r="A723" s="97">
        <f>IFERROR(__xludf.DUMMYFUNCTION("""COMPUTED_VALUE"""),6482.0)</f>
        <v>6482</v>
      </c>
      <c r="B723" s="97" t="str">
        <f>IFERROR(__xludf.DUMMYFUNCTION("""COMPUTED_VALUE"""),"BYAM TORSIONADO NT")</f>
        <v>BYAM TORSIONADO NT</v>
      </c>
      <c r="C723" s="97" t="str">
        <f>IFERROR(__xludf.DUMMYFUNCTION("""COMPUTED_VALUE"""),"COLGANTE BYAM TORSIONADO TRANSPARENTE LEUK")</f>
        <v>COLGANTE BYAM TORSIONADO TRANSPARENTE LEUK</v>
      </c>
      <c r="D723" s="97">
        <f>IFERROR(__xludf.DUMMYFUNCTION("""COMPUTED_VALUE"""),7.798328758446E12)</f>
        <v>7798328758446</v>
      </c>
      <c r="E723" s="97"/>
      <c r="F723" s="97" t="str">
        <f>IFERROR(__xludf.DUMMYFUNCTION("""COMPUTED_VALUE"""),"E27")</f>
        <v>E27</v>
      </c>
      <c r="G723" s="97" t="str">
        <f>IFERROR(__xludf.DUMMYFUNCTION("""COMPUTED_VALUE"""),"N/A")</f>
        <v>N/A</v>
      </c>
      <c r="H723" s="97" t="str">
        <f>IFERROR(__xludf.DUMMYFUNCTION("""COMPUTED_VALUE"""),"N/A")</f>
        <v>N/A</v>
      </c>
      <c r="I723" s="97" t="str">
        <f>IFERROR(__xludf.DUMMYFUNCTION("""COMPUTED_VALUE"""),"N/A")</f>
        <v>N/A</v>
      </c>
      <c r="J723" s="97"/>
      <c r="K723" s="97" t="str">
        <f>IFERROR(__xludf.DUMMYFUNCTION("""COMPUTED_VALUE"""),"N/A")</f>
        <v>N/A</v>
      </c>
      <c r="L723" s="97"/>
      <c r="M723" s="97"/>
      <c r="N723" s="97"/>
      <c r="O723" s="97"/>
      <c r="P723" s="97"/>
      <c r="Q723" s="97" t="str">
        <f>IFERROR(__xludf.DUMMYFUNCTION("""COMPUTED_VALUE"""),"-")</f>
        <v>-</v>
      </c>
      <c r="R723" s="97" t="str">
        <f>IFERROR(__xludf.DUMMYFUNCTION("""COMPUTED_VALUE"""),"-")</f>
        <v>-</v>
      </c>
      <c r="S723" s="97" t="str">
        <f>IFERROR(__xludf.DUMMYFUNCTION("""COMPUTED_VALUE"""),"-")</f>
        <v>-</v>
      </c>
      <c r="T723" s="97" t="str">
        <f>IFERROR(__xludf.DUMMYFUNCTION("""COMPUTED_VALUE"""),"-")</f>
        <v>-</v>
      </c>
      <c r="U723" s="97" t="str">
        <f>IFERROR(__xludf.DUMMYFUNCTION("""COMPUTED_VALUE"""),"-")</f>
        <v>-</v>
      </c>
      <c r="V723" s="97" t="str">
        <f>IFERROR(__xludf.DUMMYFUNCTION("""COMPUTED_VALUE"""),"N/A")</f>
        <v>N/A</v>
      </c>
      <c r="W723" s="97" t="str">
        <f>IFERROR(__xludf.DUMMYFUNCTION("""COMPUTED_VALUE"""),"N/A")</f>
        <v>N/A</v>
      </c>
      <c r="X723" s="97" t="str">
        <f>IFERROR(__xludf.DUMMYFUNCTION("""COMPUTED_VALUE"""),"-")</f>
        <v>-</v>
      </c>
      <c r="Y723" s="97" t="str">
        <f>IFERROR(__xludf.DUMMYFUNCTION("""COMPUTED_VALUE"""),"N/A")</f>
        <v>N/A</v>
      </c>
      <c r="Z723" s="97" t="str">
        <f>IFERROR(__xludf.DUMMYFUNCTION("""COMPUTED_VALUE"""),"N/A")</f>
        <v>N/A</v>
      </c>
      <c r="AA723" s="97" t="str">
        <f>IFERROR(__xludf.DUMMYFUNCTION("""COMPUTED_VALUE"""),"N/A")</f>
        <v>N/A</v>
      </c>
      <c r="AB723" s="97" t="str">
        <f>IFERROR(__xludf.DUMMYFUNCTION("""COMPUTED_VALUE"""),"N/A")</f>
        <v>N/A</v>
      </c>
      <c r="AC723" s="97" t="str">
        <f>IFERROR(__xludf.DUMMYFUNCTION("""COMPUTED_VALUE"""),"N/A")</f>
        <v>N/A</v>
      </c>
      <c r="AD723" s="97" t="str">
        <f>IFERROR(__xludf.DUMMYFUNCTION("""COMPUTED_VALUE"""),"IP20")</f>
        <v>IP20</v>
      </c>
      <c r="AE723" s="97" t="str">
        <f>IFERROR(__xludf.DUMMYFUNCTION("""COMPUTED_VALUE"""),"Clase ll")</f>
        <v>Clase ll</v>
      </c>
      <c r="AF723" s="97" t="str">
        <f>IFERROR(__xludf.DUMMYFUNCTION("""COMPUTED_VALUE"""),"Suspender")</f>
        <v>Suspender</v>
      </c>
      <c r="AG723" s="97"/>
      <c r="AH723" s="97"/>
      <c r="AI723" s="97"/>
      <c r="AJ723" s="97"/>
      <c r="AK723" s="97"/>
      <c r="AL723" s="97"/>
      <c r="AM723" s="97" t="str">
        <f>IFERROR(__xludf.DUMMYFUNCTION("""COMPUTED_VALUE"""),"-")</f>
        <v>-</v>
      </c>
      <c r="AN723" s="97" t="str">
        <f>IFERROR(__xludf.DUMMYFUNCTION("""COMPUTED_VALUE"""),"N/A")</f>
        <v>N/A</v>
      </c>
      <c r="AO723" s="97" t="str">
        <f>IFERROR(__xludf.DUMMYFUNCTION("""COMPUTED_VALUE"""),"1 Año")</f>
        <v>1 Año</v>
      </c>
      <c r="AP723" s="97" t="str">
        <f>IFERROR(__xludf.DUMMYFUNCTION("""COMPUTED_VALUE"""),"No Aplica")</f>
        <v>No Aplica</v>
      </c>
      <c r="AQ723" s="97" t="str">
        <f>IFERROR(__xludf.DUMMYFUNCTION("""COMPUTED_VALUE"""),"No Aplica")</f>
        <v>No Aplica</v>
      </c>
      <c r="AR723" s="97" t="str">
        <f>IFERROR(__xludf.DUMMYFUNCTION("""COMPUTED_VALUE"""),"No Aplica")</f>
        <v>No Aplica</v>
      </c>
      <c r="AS723" s="97"/>
      <c r="AT723" s="97"/>
      <c r="AU723" s="97"/>
      <c r="AV723" s="97" t="str">
        <f>IFERROR(__xludf.DUMMYFUNCTION("""COMPUTED_VALUE"""),"Colgante")</f>
        <v>Colgante</v>
      </c>
      <c r="AW723" s="97" t="str">
        <f>IFERROR(__xludf.DUMMYFUNCTION("""COMPUTED_VALUE"""),"De Techo")</f>
        <v>De Techo</v>
      </c>
      <c r="AX723" s="97" t="str">
        <f>IFERROR(__xludf.DUMMYFUNCTION("""COMPUTED_VALUE"""),"Interior")</f>
        <v>Interior</v>
      </c>
      <c r="AY723" s="97"/>
      <c r="AZ723" s="97"/>
      <c r="BA723" s="97">
        <f>IFERROR(__xludf.DUMMYFUNCTION("""COMPUTED_VALUE"""),1.0)</f>
        <v>1</v>
      </c>
      <c r="BB723" s="97"/>
      <c r="BC723" s="97"/>
      <c r="BD723" s="97" t="str">
        <f>IFERROR(__xludf.DUMMYFUNCTION("""COMPUTED_VALUE"""),"BYAM TORSIONADO")</f>
        <v>BYAM TORSIONADO</v>
      </c>
      <c r="BE723" s="97" t="str">
        <f>IFERROR(__xludf.DUMMYFUNCTION("""COMPUTED_VALUE"""),"Sin Ficha")</f>
        <v>Sin Ficha</v>
      </c>
      <c r="BF723" s="97"/>
      <c r="BG723" s="97" t="str">
        <f>IFERROR(__xludf.DUMMYFUNCTION("""COMPUTED_VALUE"""),"Discontinuo")</f>
        <v>Discontinuo</v>
      </c>
    </row>
    <row r="724">
      <c r="A724" s="97">
        <f>IFERROR(__xludf.DUMMYFUNCTION("""COMPUTED_VALUE"""),6483.0)</f>
        <v>6483</v>
      </c>
      <c r="B724" s="97" t="str">
        <f>IFERROR(__xludf.DUMMYFUNCTION("""COMPUTED_VALUE"""),"BYAM MS NG")</f>
        <v>BYAM MS NG</v>
      </c>
      <c r="C724" s="97" t="str">
        <f>IFERROR(__xludf.DUMMYFUNCTION("""COMPUTED_VALUE"""),"VELADOR BYAM MESA MARFIL- NEGRO LEUK")</f>
        <v>VELADOR BYAM MESA MARFIL- NEGRO LEUK</v>
      </c>
      <c r="D724" s="99">
        <f>IFERROR(__xludf.DUMMYFUNCTION("""COMPUTED_VALUE"""),7.798413220919E12)</f>
        <v>7798413220919</v>
      </c>
      <c r="E724" s="97"/>
      <c r="F724" s="97" t="str">
        <f>IFERROR(__xludf.DUMMYFUNCTION("""COMPUTED_VALUE"""),"E27")</f>
        <v>E27</v>
      </c>
      <c r="G724" s="97" t="str">
        <f>IFERROR(__xludf.DUMMYFUNCTION("""COMPUTED_VALUE"""),"N/A")</f>
        <v>N/A</v>
      </c>
      <c r="H724" s="97" t="str">
        <f>IFERROR(__xludf.DUMMYFUNCTION("""COMPUTED_VALUE"""),"N/A")</f>
        <v>N/A</v>
      </c>
      <c r="I724" s="97" t="str">
        <f>IFERROR(__xludf.DUMMYFUNCTION("""COMPUTED_VALUE"""),"N/A")</f>
        <v>N/A</v>
      </c>
      <c r="J724" s="97"/>
      <c r="K724" s="97" t="str">
        <f>IFERROR(__xludf.DUMMYFUNCTION("""COMPUTED_VALUE"""),"N/A")</f>
        <v>N/A</v>
      </c>
      <c r="L724" s="97"/>
      <c r="M724" s="97"/>
      <c r="N724" s="97"/>
      <c r="O724" s="97"/>
      <c r="P724" s="97"/>
      <c r="Q724" s="97" t="str">
        <f>IFERROR(__xludf.DUMMYFUNCTION("""COMPUTED_VALUE"""),"-")</f>
        <v>-</v>
      </c>
      <c r="R724" s="97" t="str">
        <f>IFERROR(__xludf.DUMMYFUNCTION("""COMPUTED_VALUE"""),"-")</f>
        <v>-</v>
      </c>
      <c r="S724" s="97" t="str">
        <f>IFERROR(__xludf.DUMMYFUNCTION("""COMPUTED_VALUE"""),"-")</f>
        <v>-</v>
      </c>
      <c r="T724" s="97" t="str">
        <f>IFERROR(__xludf.DUMMYFUNCTION("""COMPUTED_VALUE"""),"-")</f>
        <v>-</v>
      </c>
      <c r="U724" s="97" t="str">
        <f>IFERROR(__xludf.DUMMYFUNCTION("""COMPUTED_VALUE"""),"-")</f>
        <v>-</v>
      </c>
      <c r="V724" s="97" t="str">
        <f>IFERROR(__xludf.DUMMYFUNCTION("""COMPUTED_VALUE"""),"N/A")</f>
        <v>N/A</v>
      </c>
      <c r="W724" s="97" t="str">
        <f>IFERROR(__xludf.DUMMYFUNCTION("""COMPUTED_VALUE"""),"N/A")</f>
        <v>N/A</v>
      </c>
      <c r="X724" s="97" t="str">
        <f>IFERROR(__xludf.DUMMYFUNCTION("""COMPUTED_VALUE"""),"-")</f>
        <v>-</v>
      </c>
      <c r="Y724" s="97" t="str">
        <f>IFERROR(__xludf.DUMMYFUNCTION("""COMPUTED_VALUE"""),"N/A")</f>
        <v>N/A</v>
      </c>
      <c r="Z724" s="97" t="str">
        <f>IFERROR(__xludf.DUMMYFUNCTION("""COMPUTED_VALUE"""),"N/A")</f>
        <v>N/A</v>
      </c>
      <c r="AA724" s="97" t="str">
        <f>IFERROR(__xludf.DUMMYFUNCTION("""COMPUTED_VALUE"""),"N/A")</f>
        <v>N/A</v>
      </c>
      <c r="AB724" s="97" t="str">
        <f>IFERROR(__xludf.DUMMYFUNCTION("""COMPUTED_VALUE"""),"N/A")</f>
        <v>N/A</v>
      </c>
      <c r="AC724" s="97" t="str">
        <f>IFERROR(__xludf.DUMMYFUNCTION("""COMPUTED_VALUE"""),"N/A")</f>
        <v>N/A</v>
      </c>
      <c r="AD724" s="97" t="str">
        <f>IFERROR(__xludf.DUMMYFUNCTION("""COMPUTED_VALUE"""),"IP20")</f>
        <v>IP20</v>
      </c>
      <c r="AE724" s="97" t="str">
        <f>IFERROR(__xludf.DUMMYFUNCTION("""COMPUTED_VALUE"""),"Clase ll")</f>
        <v>Clase ll</v>
      </c>
      <c r="AF724" s="97" t="str">
        <f>IFERROR(__xludf.DUMMYFUNCTION("""COMPUTED_VALUE"""),"Autoportante")</f>
        <v>Autoportante</v>
      </c>
      <c r="AG724" s="97"/>
      <c r="AH724" s="97"/>
      <c r="AI724" s="97"/>
      <c r="AJ724" s="97"/>
      <c r="AK724" s="97"/>
      <c r="AL724" s="97"/>
      <c r="AM724" s="97" t="str">
        <f>IFERROR(__xludf.DUMMYFUNCTION("""COMPUTED_VALUE"""),"-")</f>
        <v>-</v>
      </c>
      <c r="AN724" s="97" t="str">
        <f>IFERROR(__xludf.DUMMYFUNCTION("""COMPUTED_VALUE"""),"N/A")</f>
        <v>N/A</v>
      </c>
      <c r="AO724" s="97" t="str">
        <f>IFERROR(__xludf.DUMMYFUNCTION("""COMPUTED_VALUE"""),"1 Año")</f>
        <v>1 Año</v>
      </c>
      <c r="AP724" s="97" t="str">
        <f>IFERROR(__xludf.DUMMYFUNCTION("""COMPUTED_VALUE"""),"No Aplica")</f>
        <v>No Aplica</v>
      </c>
      <c r="AQ724" s="97" t="str">
        <f>IFERROR(__xludf.DUMMYFUNCTION("""COMPUTED_VALUE"""),"No Aplica")</f>
        <v>No Aplica</v>
      </c>
      <c r="AR724" s="97" t="str">
        <f>IFERROR(__xludf.DUMMYFUNCTION("""COMPUTED_VALUE"""),"No Aplica")</f>
        <v>No Aplica</v>
      </c>
      <c r="AS724" s="97"/>
      <c r="AT724" s="97"/>
      <c r="AU724" s="97"/>
      <c r="AV724" s="97" t="str">
        <f>IFERROR(__xludf.DUMMYFUNCTION("""COMPUTED_VALUE"""),"Mesa")</f>
        <v>Mesa</v>
      </c>
      <c r="AW724" s="97" t="str">
        <f>IFERROR(__xludf.DUMMYFUNCTION("""COMPUTED_VALUE"""),"De Apoyo")</f>
        <v>De Apoyo</v>
      </c>
      <c r="AX724" s="97" t="str">
        <f>IFERROR(__xludf.DUMMYFUNCTION("""COMPUTED_VALUE"""),"Interior")</f>
        <v>Interior</v>
      </c>
      <c r="AY724" s="97"/>
      <c r="AZ724" s="97"/>
      <c r="BA724" s="97">
        <f>IFERROR(__xludf.DUMMYFUNCTION("""COMPUTED_VALUE"""),1.0)</f>
        <v>1</v>
      </c>
      <c r="BB724" s="97"/>
      <c r="BC724" s="97"/>
      <c r="BD724" s="97" t="str">
        <f>IFERROR(__xludf.DUMMYFUNCTION("""COMPUTED_VALUE"""),"BYAM MESA")</f>
        <v>BYAM MESA</v>
      </c>
      <c r="BE724" s="97" t="str">
        <f>IFERROR(__xludf.DUMMYFUNCTION("""COMPUTED_VALUE"""),"Sin Ficha")</f>
        <v>Sin Ficha</v>
      </c>
      <c r="BF724" s="97"/>
      <c r="BG724" s="97" t="str">
        <f>IFERROR(__xludf.DUMMYFUNCTION("""COMPUTED_VALUE"""),"Discontinuo")</f>
        <v>Discontinuo</v>
      </c>
    </row>
    <row r="725">
      <c r="A725" s="97">
        <f>IFERROR(__xludf.DUMMYFUNCTION("""COMPUTED_VALUE"""),6484.0)</f>
        <v>6484</v>
      </c>
      <c r="B725" s="97" t="str">
        <f>IFERROR(__xludf.DUMMYFUNCTION("""COMPUTED_VALUE"""),"BYAM RECTO NG")</f>
        <v>BYAM RECTO NG</v>
      </c>
      <c r="C725" s="97" t="str">
        <f>IFERROR(__xludf.DUMMYFUNCTION("""COMPUTED_VALUE"""),"APLIQUE BYAM RECTO X1 NEGRO- MARFIL LEUK")</f>
        <v>APLIQUE BYAM RECTO X1 NEGRO- MARFIL LEUK</v>
      </c>
      <c r="D725" s="97"/>
      <c r="E725" s="97"/>
      <c r="F725" s="97" t="str">
        <f>IFERROR(__xludf.DUMMYFUNCTION("""COMPUTED_VALUE"""),"E27")</f>
        <v>E27</v>
      </c>
      <c r="G725" s="97" t="str">
        <f>IFERROR(__xludf.DUMMYFUNCTION("""COMPUTED_VALUE"""),"N/A")</f>
        <v>N/A</v>
      </c>
      <c r="H725" s="97" t="str">
        <f>IFERROR(__xludf.DUMMYFUNCTION("""COMPUTED_VALUE"""),"N/A")</f>
        <v>N/A</v>
      </c>
      <c r="I725" s="97" t="str">
        <f>IFERROR(__xludf.DUMMYFUNCTION("""COMPUTED_VALUE"""),"N/A")</f>
        <v>N/A</v>
      </c>
      <c r="J725" s="97"/>
      <c r="K725" s="97" t="str">
        <f>IFERROR(__xludf.DUMMYFUNCTION("""COMPUTED_VALUE"""),"N/A")</f>
        <v>N/A</v>
      </c>
      <c r="L725" s="97"/>
      <c r="M725" s="97"/>
      <c r="N725" s="97"/>
      <c r="O725" s="97"/>
      <c r="P725" s="97"/>
      <c r="Q725" s="97" t="str">
        <f>IFERROR(__xludf.DUMMYFUNCTION("""COMPUTED_VALUE"""),"-")</f>
        <v>-</v>
      </c>
      <c r="R725" s="97" t="str">
        <f>IFERROR(__xludf.DUMMYFUNCTION("""COMPUTED_VALUE"""),"-")</f>
        <v>-</v>
      </c>
      <c r="S725" s="97" t="str">
        <f>IFERROR(__xludf.DUMMYFUNCTION("""COMPUTED_VALUE"""),"-")</f>
        <v>-</v>
      </c>
      <c r="T725" s="97" t="str">
        <f>IFERROR(__xludf.DUMMYFUNCTION("""COMPUTED_VALUE"""),"-")</f>
        <v>-</v>
      </c>
      <c r="U725" s="97" t="str">
        <f>IFERROR(__xludf.DUMMYFUNCTION("""COMPUTED_VALUE"""),"-")</f>
        <v>-</v>
      </c>
      <c r="V725" s="97" t="str">
        <f>IFERROR(__xludf.DUMMYFUNCTION("""COMPUTED_VALUE"""),"N/A")</f>
        <v>N/A</v>
      </c>
      <c r="W725" s="97" t="str">
        <f>IFERROR(__xludf.DUMMYFUNCTION("""COMPUTED_VALUE"""),"N/A")</f>
        <v>N/A</v>
      </c>
      <c r="X725" s="97" t="str">
        <f>IFERROR(__xludf.DUMMYFUNCTION("""COMPUTED_VALUE"""),"-")</f>
        <v>-</v>
      </c>
      <c r="Y725" s="97" t="str">
        <f>IFERROR(__xludf.DUMMYFUNCTION("""COMPUTED_VALUE"""),"N/A")</f>
        <v>N/A</v>
      </c>
      <c r="Z725" s="97" t="str">
        <f>IFERROR(__xludf.DUMMYFUNCTION("""COMPUTED_VALUE"""),"N/A")</f>
        <v>N/A</v>
      </c>
      <c r="AA725" s="97" t="str">
        <f>IFERROR(__xludf.DUMMYFUNCTION("""COMPUTED_VALUE"""),"N/A")</f>
        <v>N/A</v>
      </c>
      <c r="AB725" s="97" t="str">
        <f>IFERROR(__xludf.DUMMYFUNCTION("""COMPUTED_VALUE"""),"N/A")</f>
        <v>N/A</v>
      </c>
      <c r="AC725" s="97" t="str">
        <f>IFERROR(__xludf.DUMMYFUNCTION("""COMPUTED_VALUE"""),"N/A")</f>
        <v>N/A</v>
      </c>
      <c r="AD725" s="97" t="str">
        <f>IFERROR(__xludf.DUMMYFUNCTION("""COMPUTED_VALUE"""),"IP20")</f>
        <v>IP20</v>
      </c>
      <c r="AE725" s="97" t="str">
        <f>IFERROR(__xludf.DUMMYFUNCTION("""COMPUTED_VALUE"""),"Clase ll")</f>
        <v>Clase ll</v>
      </c>
      <c r="AF725" s="97" t="str">
        <f>IFERROR(__xludf.DUMMYFUNCTION("""COMPUTED_VALUE"""),"Aplicar")</f>
        <v>Aplicar</v>
      </c>
      <c r="AG725" s="97"/>
      <c r="AH725" s="97"/>
      <c r="AI725" s="97"/>
      <c r="AJ725" s="97"/>
      <c r="AK725" s="97"/>
      <c r="AL725" s="97"/>
      <c r="AM725" s="97" t="str">
        <f>IFERROR(__xludf.DUMMYFUNCTION("""COMPUTED_VALUE"""),"-")</f>
        <v>-</v>
      </c>
      <c r="AN725" s="97" t="str">
        <f>IFERROR(__xludf.DUMMYFUNCTION("""COMPUTED_VALUE"""),"N/A")</f>
        <v>N/A</v>
      </c>
      <c r="AO725" s="97" t="str">
        <f>IFERROR(__xludf.DUMMYFUNCTION("""COMPUTED_VALUE"""),"1 Año")</f>
        <v>1 Año</v>
      </c>
      <c r="AP725" s="97" t="str">
        <f>IFERROR(__xludf.DUMMYFUNCTION("""COMPUTED_VALUE"""),"No Aplica")</f>
        <v>No Aplica</v>
      </c>
      <c r="AQ725" s="97" t="str">
        <f>IFERROR(__xludf.DUMMYFUNCTION("""COMPUTED_VALUE"""),"No Aplica")</f>
        <v>No Aplica</v>
      </c>
      <c r="AR725" s="97" t="str">
        <f>IFERROR(__xludf.DUMMYFUNCTION("""COMPUTED_VALUE"""),"No Aplica")</f>
        <v>No Aplica</v>
      </c>
      <c r="AS725" s="97"/>
      <c r="AT725" s="97"/>
      <c r="AU725" s="97"/>
      <c r="AV725" s="97" t="str">
        <f>IFERROR(__xludf.DUMMYFUNCTION("""COMPUTED_VALUE"""),"Aplique")</f>
        <v>Aplique</v>
      </c>
      <c r="AW725" s="97" t="str">
        <f>IFERROR(__xludf.DUMMYFUNCTION("""COMPUTED_VALUE"""),"De Pared")</f>
        <v>De Pared</v>
      </c>
      <c r="AX725" s="97" t="str">
        <f>IFERROR(__xludf.DUMMYFUNCTION("""COMPUTED_VALUE"""),"Interior")</f>
        <v>Interior</v>
      </c>
      <c r="AY725" s="97"/>
      <c r="AZ725" s="97"/>
      <c r="BA725" s="97">
        <f>IFERROR(__xludf.DUMMYFUNCTION("""COMPUTED_VALUE"""),1.0)</f>
        <v>1</v>
      </c>
      <c r="BB725" s="97"/>
      <c r="BC725" s="97"/>
      <c r="BD725" s="97" t="str">
        <f>IFERROR(__xludf.DUMMYFUNCTION("""COMPUTED_VALUE"""),"BYAM RECTO")</f>
        <v>BYAM RECTO</v>
      </c>
      <c r="BE725" s="97" t="str">
        <f>IFERROR(__xludf.DUMMYFUNCTION("""COMPUTED_VALUE"""),"Sin Ficha")</f>
        <v>Sin Ficha</v>
      </c>
      <c r="BF725" s="97"/>
      <c r="BG725" s="97" t="str">
        <f>IFERROR(__xludf.DUMMYFUNCTION("""COMPUTED_VALUE"""),"Discontinuo")</f>
        <v>Discontinuo</v>
      </c>
    </row>
    <row r="726">
      <c r="A726" s="97">
        <f>IFERROR(__xludf.DUMMYFUNCTION("""COMPUTED_VALUE"""),6485.0)</f>
        <v>6485</v>
      </c>
      <c r="B726" s="97" t="str">
        <f>IFERROR(__xludf.DUMMYFUNCTION("""COMPUTED_VALUE"""),"LAMPY M NG")</f>
        <v>LAMPY M NG</v>
      </c>
      <c r="C726" s="97" t="str">
        <f>IFERROR(__xludf.DUMMYFUNCTION("""COMPUTED_VALUE"""),"MESA LAMPY M NG E27 IP20 LEUK")</f>
        <v>MESA LAMPY M NG E27 IP20 LEUK</v>
      </c>
      <c r="D726" s="99">
        <f>IFERROR(__xludf.DUMMYFUNCTION("""COMPUTED_VALUE"""),7.798413220926E12)</f>
        <v>7798413220926</v>
      </c>
      <c r="E726" s="97" t="str">
        <f>IFERROR(__xludf.DUMMYFUNCTION("""COMPUTED_VALUE"""),"N/A")</f>
        <v>N/A</v>
      </c>
      <c r="F726" s="97" t="str">
        <f>IFERROR(__xludf.DUMMYFUNCTION("""COMPUTED_VALUE"""),"E27")</f>
        <v>E27</v>
      </c>
      <c r="G726" s="97" t="str">
        <f>IFERROR(__xludf.DUMMYFUNCTION("""COMPUTED_VALUE"""),"N/A")</f>
        <v>N/A</v>
      </c>
      <c r="H726" s="97" t="str">
        <f>IFERROR(__xludf.DUMMYFUNCTION("""COMPUTED_VALUE"""),"N/A")</f>
        <v>N/A</v>
      </c>
      <c r="I726" s="97" t="str">
        <f>IFERROR(__xludf.DUMMYFUNCTION("""COMPUTED_VALUE"""),"N/A")</f>
        <v>N/A</v>
      </c>
      <c r="J726" s="97" t="str">
        <f>IFERROR(__xludf.DUMMYFUNCTION("""COMPUTED_VALUE"""),"N/A")</f>
        <v>N/A</v>
      </c>
      <c r="K726" s="97" t="str">
        <f>IFERROR(__xludf.DUMMYFUNCTION("""COMPUTED_VALUE"""),"N/A")</f>
        <v>N/A</v>
      </c>
      <c r="L726" s="97">
        <f>IFERROR(__xludf.DUMMYFUNCTION("""COMPUTED_VALUE"""),220.0)</f>
        <v>220</v>
      </c>
      <c r="M726" s="97">
        <f>IFERROR(__xludf.DUMMYFUNCTION("""COMPUTED_VALUE"""),50.0)</f>
        <v>50</v>
      </c>
      <c r="N726" s="97"/>
      <c r="O726" s="97" t="str">
        <f>IFERROR(__xludf.DUMMYFUNCTION("""COMPUTED_VALUE"""),"-")</f>
        <v>-</v>
      </c>
      <c r="P726" s="97"/>
      <c r="Q726" s="97" t="str">
        <f>IFERROR(__xludf.DUMMYFUNCTION("""COMPUTED_VALUE"""),"-")</f>
        <v>-</v>
      </c>
      <c r="R726" s="97" t="str">
        <f>IFERROR(__xludf.DUMMYFUNCTION("""COMPUTED_VALUE"""),"-")</f>
        <v>-</v>
      </c>
      <c r="S726" s="97" t="str">
        <f>IFERROR(__xludf.DUMMYFUNCTION("""COMPUTED_VALUE"""),"-")</f>
        <v>-</v>
      </c>
      <c r="T726" s="97" t="str">
        <f>IFERROR(__xludf.DUMMYFUNCTION("""COMPUTED_VALUE"""),"-")</f>
        <v>-</v>
      </c>
      <c r="U726" s="97" t="str">
        <f>IFERROR(__xludf.DUMMYFUNCTION("""COMPUTED_VALUE"""),"-")</f>
        <v>-</v>
      </c>
      <c r="V726" s="97" t="str">
        <f>IFERROR(__xludf.DUMMYFUNCTION("""COMPUTED_VALUE"""),"N/A")</f>
        <v>N/A</v>
      </c>
      <c r="W726" s="97" t="str">
        <f>IFERROR(__xludf.DUMMYFUNCTION("""COMPUTED_VALUE"""),"N/A")</f>
        <v>N/A</v>
      </c>
      <c r="X726" s="97" t="str">
        <f>IFERROR(__xludf.DUMMYFUNCTION("""COMPUTED_VALUE"""),"-")</f>
        <v>-</v>
      </c>
      <c r="Y726" s="97" t="str">
        <f>IFERROR(__xludf.DUMMYFUNCTION("""COMPUTED_VALUE"""),"N/A")</f>
        <v>N/A</v>
      </c>
      <c r="Z726" s="97" t="str">
        <f>IFERROR(__xludf.DUMMYFUNCTION("""COMPUTED_VALUE"""),"N/A")</f>
        <v>N/A</v>
      </c>
      <c r="AA726" s="97" t="str">
        <f>IFERROR(__xludf.DUMMYFUNCTION("""COMPUTED_VALUE"""),"N/A")</f>
        <v>N/A</v>
      </c>
      <c r="AB726" s="97" t="str">
        <f>IFERROR(__xludf.DUMMYFUNCTION("""COMPUTED_VALUE"""),"N/A")</f>
        <v>N/A</v>
      </c>
      <c r="AC726" s="97" t="str">
        <f>IFERROR(__xludf.DUMMYFUNCTION("""COMPUTED_VALUE"""),"N/A")</f>
        <v>N/A</v>
      </c>
      <c r="AD726" s="97" t="str">
        <f>IFERROR(__xludf.DUMMYFUNCTION("""COMPUTED_VALUE"""),"IP20")</f>
        <v>IP20</v>
      </c>
      <c r="AE726" s="97" t="str">
        <f>IFERROR(__xludf.DUMMYFUNCTION("""COMPUTED_VALUE"""),"Clase ll")</f>
        <v>Clase ll</v>
      </c>
      <c r="AF726" s="97" t="str">
        <f>IFERROR(__xludf.DUMMYFUNCTION("""COMPUTED_VALUE"""),"Autoportante")</f>
        <v>Autoportante</v>
      </c>
      <c r="AG726" s="97" t="str">
        <f>IFERROR(__xludf.DUMMYFUNCTION("""COMPUTED_VALUE"""),"Ø170 x 425")</f>
        <v>Ø170 x 425</v>
      </c>
      <c r="AH726" s="97" t="str">
        <f>IFERROR(__xludf.DUMMYFUNCTION("""COMPUTED_VALUE"""),"N/A")</f>
        <v>N/A</v>
      </c>
      <c r="AI726" s="97" t="str">
        <f>IFERROR(__xludf.DUMMYFUNCTION("""COMPUTED_VALUE"""),"N/A")</f>
        <v>N/A</v>
      </c>
      <c r="AJ726" s="97" t="str">
        <f>IFERROR(__xludf.DUMMYFUNCTION("""COMPUTED_VALUE"""),"N/A")</f>
        <v>N/A</v>
      </c>
      <c r="AK726" s="97" t="str">
        <f>IFERROR(__xludf.DUMMYFUNCTION("""COMPUTED_VALUE"""),"Acero")</f>
        <v>Acero</v>
      </c>
      <c r="AL726" s="97" t="str">
        <f>IFERROR(__xludf.DUMMYFUNCTION("""COMPUTED_VALUE"""),"Negro Mate")</f>
        <v>Negro Mate</v>
      </c>
      <c r="AM726" s="97" t="str">
        <f>IFERROR(__xludf.DUMMYFUNCTION("""COMPUTED_VALUE"""),"-")</f>
        <v>-</v>
      </c>
      <c r="AN726" s="97" t="str">
        <f>IFERROR(__xludf.DUMMYFUNCTION("""COMPUTED_VALUE"""),"N/A")</f>
        <v>N/A</v>
      </c>
      <c r="AO726" s="97" t="str">
        <f>IFERROR(__xludf.DUMMYFUNCTION("""COMPUTED_VALUE"""),"2 Años")</f>
        <v>2 Años</v>
      </c>
      <c r="AP726" s="97" t="str">
        <f>IFERROR(__xludf.DUMMYFUNCTION("""COMPUTED_VALUE"""),"No Aplica")</f>
        <v>No Aplica</v>
      </c>
      <c r="AQ726" s="97" t="str">
        <f>IFERROR(__xludf.DUMMYFUNCTION("""COMPUTED_VALUE"""),"No Aplica")</f>
        <v>No Aplica</v>
      </c>
      <c r="AR726" s="97" t="str">
        <f>IFERROR(__xludf.DUMMYFUNCTION("""COMPUTED_VALUE"""),"No Aplica")</f>
        <v>No Aplica</v>
      </c>
      <c r="AS726" s="97"/>
      <c r="AT726" s="97"/>
      <c r="AU726" s="97" t="str">
        <f>IFERROR(__xludf.DUMMYFUNCTION("""COMPUTED_VALUE"""),"Falta")</f>
        <v>Falta</v>
      </c>
      <c r="AV726" s="97" t="str">
        <f>IFERROR(__xludf.DUMMYFUNCTION("""COMPUTED_VALUE"""),"Mesa")</f>
        <v>Mesa</v>
      </c>
      <c r="AW726" s="97" t="str">
        <f>IFERROR(__xludf.DUMMYFUNCTION("""COMPUTED_VALUE"""),"De Apoyo")</f>
        <v>De Apoyo</v>
      </c>
      <c r="AX726" s="97" t="str">
        <f>IFERROR(__xludf.DUMMYFUNCTION("""COMPUTED_VALUE"""),"Interior")</f>
        <v>Interior</v>
      </c>
      <c r="AY726" s="97" t="str">
        <f>IFERROR(__xludf.DUMMYFUNCTION("""COMPUTED_VALUE"""),"-")</f>
        <v>-</v>
      </c>
      <c r="AZ726" s="97"/>
      <c r="BA726" s="97">
        <f>IFERROR(__xludf.DUMMYFUNCTION("""COMPUTED_VALUE"""),1.0)</f>
        <v>1</v>
      </c>
      <c r="BB726" s="97" t="str">
        <f>IFERROR(__xludf.DUMMYFUNCTION("""COMPUTED_VALUE"""),"-")</f>
        <v>-</v>
      </c>
      <c r="BC726" s="97" t="str">
        <f>IFERROR(__xludf.DUMMYFUNCTION("""COMPUTED_VALUE"""),"-")</f>
        <v>-</v>
      </c>
      <c r="BD726" s="97" t="str">
        <f>IFERROR(__xludf.DUMMYFUNCTION("""COMPUTED_VALUE"""),"LAMPY DE MESA")</f>
        <v>LAMPY DE MESA</v>
      </c>
      <c r="BE726" s="97" t="str">
        <f>IFERROR(__xludf.DUMMYFUNCTION("""COMPUTED_VALUE"""),"Finalizada")</f>
        <v>Finalizada</v>
      </c>
      <c r="BF726" s="97"/>
      <c r="BG726" s="97" t="str">
        <f>IFERROR(__xludf.DUMMYFUNCTION("""COMPUTED_VALUE"""),"Activo")</f>
        <v>Activo</v>
      </c>
    </row>
    <row r="727">
      <c r="A727" s="97">
        <f>IFERROR(__xludf.DUMMYFUNCTION("""COMPUTED_VALUE"""),6486.0)</f>
        <v>6486</v>
      </c>
      <c r="B727" s="97" t="str">
        <f>IFERROR(__xludf.DUMMYFUNCTION("""COMPUTED_VALUE"""),"LAMPY M BL")</f>
        <v>LAMPY M BL</v>
      </c>
      <c r="C727" s="97" t="str">
        <f>IFERROR(__xludf.DUMMYFUNCTION("""COMPUTED_VALUE"""),"MESA LAMPY M BL E27 IP20 LEUK")</f>
        <v>MESA LAMPY M BL E27 IP20 LEUK</v>
      </c>
      <c r="D727" s="99">
        <f>IFERROR(__xludf.DUMMYFUNCTION("""COMPUTED_VALUE"""),7.798413220933E12)</f>
        <v>7798413220933</v>
      </c>
      <c r="E727" s="97" t="str">
        <f>IFERROR(__xludf.DUMMYFUNCTION("""COMPUTED_VALUE"""),"N/A")</f>
        <v>N/A</v>
      </c>
      <c r="F727" s="97" t="str">
        <f>IFERROR(__xludf.DUMMYFUNCTION("""COMPUTED_VALUE"""),"E27")</f>
        <v>E27</v>
      </c>
      <c r="G727" s="97" t="str">
        <f>IFERROR(__xludf.DUMMYFUNCTION("""COMPUTED_VALUE"""),"N/A")</f>
        <v>N/A</v>
      </c>
      <c r="H727" s="97" t="str">
        <f>IFERROR(__xludf.DUMMYFUNCTION("""COMPUTED_VALUE"""),"N/A")</f>
        <v>N/A</v>
      </c>
      <c r="I727" s="97" t="str">
        <f>IFERROR(__xludf.DUMMYFUNCTION("""COMPUTED_VALUE"""),"N/A")</f>
        <v>N/A</v>
      </c>
      <c r="J727" s="97" t="str">
        <f>IFERROR(__xludf.DUMMYFUNCTION("""COMPUTED_VALUE"""),"N/A")</f>
        <v>N/A</v>
      </c>
      <c r="K727" s="97" t="str">
        <f>IFERROR(__xludf.DUMMYFUNCTION("""COMPUTED_VALUE"""),"N/A")</f>
        <v>N/A</v>
      </c>
      <c r="L727" s="97">
        <f>IFERROR(__xludf.DUMMYFUNCTION("""COMPUTED_VALUE"""),220.0)</f>
        <v>220</v>
      </c>
      <c r="M727" s="97">
        <f>IFERROR(__xludf.DUMMYFUNCTION("""COMPUTED_VALUE"""),50.0)</f>
        <v>50</v>
      </c>
      <c r="N727" s="97"/>
      <c r="O727" s="97" t="str">
        <f>IFERROR(__xludf.DUMMYFUNCTION("""COMPUTED_VALUE"""),"-")</f>
        <v>-</v>
      </c>
      <c r="P727" s="97"/>
      <c r="Q727" s="97" t="str">
        <f>IFERROR(__xludf.DUMMYFUNCTION("""COMPUTED_VALUE"""),"-")</f>
        <v>-</v>
      </c>
      <c r="R727" s="97" t="str">
        <f>IFERROR(__xludf.DUMMYFUNCTION("""COMPUTED_VALUE"""),"-")</f>
        <v>-</v>
      </c>
      <c r="S727" s="97" t="str">
        <f>IFERROR(__xludf.DUMMYFUNCTION("""COMPUTED_VALUE"""),"-")</f>
        <v>-</v>
      </c>
      <c r="T727" s="97" t="str">
        <f>IFERROR(__xludf.DUMMYFUNCTION("""COMPUTED_VALUE"""),"-")</f>
        <v>-</v>
      </c>
      <c r="U727" s="97" t="str">
        <f>IFERROR(__xludf.DUMMYFUNCTION("""COMPUTED_VALUE"""),"-")</f>
        <v>-</v>
      </c>
      <c r="V727" s="97" t="str">
        <f>IFERROR(__xludf.DUMMYFUNCTION("""COMPUTED_VALUE"""),"N/A")</f>
        <v>N/A</v>
      </c>
      <c r="W727" s="97" t="str">
        <f>IFERROR(__xludf.DUMMYFUNCTION("""COMPUTED_VALUE"""),"N/A")</f>
        <v>N/A</v>
      </c>
      <c r="X727" s="97" t="str">
        <f>IFERROR(__xludf.DUMMYFUNCTION("""COMPUTED_VALUE"""),"-")</f>
        <v>-</v>
      </c>
      <c r="Y727" s="97" t="str">
        <f>IFERROR(__xludf.DUMMYFUNCTION("""COMPUTED_VALUE"""),"N/A")</f>
        <v>N/A</v>
      </c>
      <c r="Z727" s="97" t="str">
        <f>IFERROR(__xludf.DUMMYFUNCTION("""COMPUTED_VALUE"""),"N/A")</f>
        <v>N/A</v>
      </c>
      <c r="AA727" s="97" t="str">
        <f>IFERROR(__xludf.DUMMYFUNCTION("""COMPUTED_VALUE"""),"N/A")</f>
        <v>N/A</v>
      </c>
      <c r="AB727" s="97" t="str">
        <f>IFERROR(__xludf.DUMMYFUNCTION("""COMPUTED_VALUE"""),"N/A")</f>
        <v>N/A</v>
      </c>
      <c r="AC727" s="97" t="str">
        <f>IFERROR(__xludf.DUMMYFUNCTION("""COMPUTED_VALUE"""),"N/A")</f>
        <v>N/A</v>
      </c>
      <c r="AD727" s="97" t="str">
        <f>IFERROR(__xludf.DUMMYFUNCTION("""COMPUTED_VALUE"""),"IP20")</f>
        <v>IP20</v>
      </c>
      <c r="AE727" s="97" t="str">
        <f>IFERROR(__xludf.DUMMYFUNCTION("""COMPUTED_VALUE"""),"Clase ll")</f>
        <v>Clase ll</v>
      </c>
      <c r="AF727" s="97" t="str">
        <f>IFERROR(__xludf.DUMMYFUNCTION("""COMPUTED_VALUE"""),"Autoportante")</f>
        <v>Autoportante</v>
      </c>
      <c r="AG727" s="97" t="str">
        <f>IFERROR(__xludf.DUMMYFUNCTION("""COMPUTED_VALUE"""),"Ø170 x 425")</f>
        <v>Ø170 x 425</v>
      </c>
      <c r="AH727" s="97" t="str">
        <f>IFERROR(__xludf.DUMMYFUNCTION("""COMPUTED_VALUE"""),"N/A")</f>
        <v>N/A</v>
      </c>
      <c r="AI727" s="97" t="str">
        <f>IFERROR(__xludf.DUMMYFUNCTION("""COMPUTED_VALUE"""),"N/A")</f>
        <v>N/A</v>
      </c>
      <c r="AJ727" s="97" t="str">
        <f>IFERROR(__xludf.DUMMYFUNCTION("""COMPUTED_VALUE"""),"N/A")</f>
        <v>N/A</v>
      </c>
      <c r="AK727" s="97" t="str">
        <f>IFERROR(__xludf.DUMMYFUNCTION("""COMPUTED_VALUE"""),"Acero")</f>
        <v>Acero</v>
      </c>
      <c r="AL727" s="97" t="str">
        <f>IFERROR(__xludf.DUMMYFUNCTION("""COMPUTED_VALUE"""),"Blanco Mate")</f>
        <v>Blanco Mate</v>
      </c>
      <c r="AM727" s="97" t="str">
        <f>IFERROR(__xludf.DUMMYFUNCTION("""COMPUTED_VALUE"""),"-")</f>
        <v>-</v>
      </c>
      <c r="AN727" s="97" t="str">
        <f>IFERROR(__xludf.DUMMYFUNCTION("""COMPUTED_VALUE"""),"N/A")</f>
        <v>N/A</v>
      </c>
      <c r="AO727" s="97" t="str">
        <f>IFERROR(__xludf.DUMMYFUNCTION("""COMPUTED_VALUE"""),"2 Años")</f>
        <v>2 Años</v>
      </c>
      <c r="AP727" s="97" t="str">
        <f>IFERROR(__xludf.DUMMYFUNCTION("""COMPUTED_VALUE"""),"No Aplica")</f>
        <v>No Aplica</v>
      </c>
      <c r="AQ727" s="97" t="str">
        <f>IFERROR(__xludf.DUMMYFUNCTION("""COMPUTED_VALUE"""),"No Aplica")</f>
        <v>No Aplica</v>
      </c>
      <c r="AR727" s="97" t="str">
        <f>IFERROR(__xludf.DUMMYFUNCTION("""COMPUTED_VALUE"""),"No Aplica")</f>
        <v>No Aplica</v>
      </c>
      <c r="AS727" s="97"/>
      <c r="AT727" s="97"/>
      <c r="AU727" s="97" t="str">
        <f>IFERROR(__xludf.DUMMYFUNCTION("""COMPUTED_VALUE"""),"Falta")</f>
        <v>Falta</v>
      </c>
      <c r="AV727" s="97" t="str">
        <f>IFERROR(__xludf.DUMMYFUNCTION("""COMPUTED_VALUE"""),"Mesa")</f>
        <v>Mesa</v>
      </c>
      <c r="AW727" s="97" t="str">
        <f>IFERROR(__xludf.DUMMYFUNCTION("""COMPUTED_VALUE"""),"De Apoyo")</f>
        <v>De Apoyo</v>
      </c>
      <c r="AX727" s="97" t="str">
        <f>IFERROR(__xludf.DUMMYFUNCTION("""COMPUTED_VALUE"""),"Interior")</f>
        <v>Interior</v>
      </c>
      <c r="AY727" s="97" t="str">
        <f>IFERROR(__xludf.DUMMYFUNCTION("""COMPUTED_VALUE"""),"-")</f>
        <v>-</v>
      </c>
      <c r="AZ727" s="97"/>
      <c r="BA727" s="97">
        <f>IFERROR(__xludf.DUMMYFUNCTION("""COMPUTED_VALUE"""),1.0)</f>
        <v>1</v>
      </c>
      <c r="BB727" s="97" t="str">
        <f>IFERROR(__xludf.DUMMYFUNCTION("""COMPUTED_VALUE"""),"-")</f>
        <v>-</v>
      </c>
      <c r="BC727" s="97" t="str">
        <f>IFERROR(__xludf.DUMMYFUNCTION("""COMPUTED_VALUE"""),"-")</f>
        <v>-</v>
      </c>
      <c r="BD727" s="97" t="str">
        <f>IFERROR(__xludf.DUMMYFUNCTION("""COMPUTED_VALUE"""),"LAMPY DE MESA")</f>
        <v>LAMPY DE MESA</v>
      </c>
      <c r="BE727" s="97" t="str">
        <f>IFERROR(__xludf.DUMMYFUNCTION("""COMPUTED_VALUE"""),"Finalizada")</f>
        <v>Finalizada</v>
      </c>
      <c r="BF727" s="97"/>
      <c r="BG727" s="97" t="str">
        <f>IFERROR(__xludf.DUMMYFUNCTION("""COMPUTED_VALUE"""),"Activo")</f>
        <v>Activo</v>
      </c>
    </row>
    <row r="728">
      <c r="A728" s="97">
        <f>IFERROR(__xludf.DUMMYFUNCTION("""COMPUTED_VALUE"""),6487.0)</f>
        <v>6487</v>
      </c>
      <c r="B728" s="97" t="str">
        <f>IFERROR(__xludf.DUMMYFUNCTION("""COMPUTED_VALUE"""),"LAMPY M AZ")</f>
        <v>LAMPY M AZ</v>
      </c>
      <c r="C728" s="97" t="str">
        <f>IFERROR(__xludf.DUMMYFUNCTION("""COMPUTED_VALUE"""),"MESA LAMPY M AZ E27 IP20 LEUK")</f>
        <v>MESA LAMPY M AZ E27 IP20 LEUK</v>
      </c>
      <c r="D728" s="99">
        <f>IFERROR(__xludf.DUMMYFUNCTION("""COMPUTED_VALUE"""),7.79841322094E12)</f>
        <v>7798413220940</v>
      </c>
      <c r="E728" s="97" t="str">
        <f>IFERROR(__xludf.DUMMYFUNCTION("""COMPUTED_VALUE"""),"N/A")</f>
        <v>N/A</v>
      </c>
      <c r="F728" s="97" t="str">
        <f>IFERROR(__xludf.DUMMYFUNCTION("""COMPUTED_VALUE"""),"E27")</f>
        <v>E27</v>
      </c>
      <c r="G728" s="97" t="str">
        <f>IFERROR(__xludf.DUMMYFUNCTION("""COMPUTED_VALUE"""),"N/A")</f>
        <v>N/A</v>
      </c>
      <c r="H728" s="97" t="str">
        <f>IFERROR(__xludf.DUMMYFUNCTION("""COMPUTED_VALUE"""),"N/A")</f>
        <v>N/A</v>
      </c>
      <c r="I728" s="97" t="str">
        <f>IFERROR(__xludf.DUMMYFUNCTION("""COMPUTED_VALUE"""),"N/A")</f>
        <v>N/A</v>
      </c>
      <c r="J728" s="97" t="str">
        <f>IFERROR(__xludf.DUMMYFUNCTION("""COMPUTED_VALUE"""),"N/A")</f>
        <v>N/A</v>
      </c>
      <c r="K728" s="97" t="str">
        <f>IFERROR(__xludf.DUMMYFUNCTION("""COMPUTED_VALUE"""),"N/A")</f>
        <v>N/A</v>
      </c>
      <c r="L728" s="97">
        <f>IFERROR(__xludf.DUMMYFUNCTION("""COMPUTED_VALUE"""),220.0)</f>
        <v>220</v>
      </c>
      <c r="M728" s="97">
        <f>IFERROR(__xludf.DUMMYFUNCTION("""COMPUTED_VALUE"""),50.0)</f>
        <v>50</v>
      </c>
      <c r="N728" s="97"/>
      <c r="O728" s="97" t="str">
        <f>IFERROR(__xludf.DUMMYFUNCTION("""COMPUTED_VALUE"""),"-")</f>
        <v>-</v>
      </c>
      <c r="P728" s="97"/>
      <c r="Q728" s="97" t="str">
        <f>IFERROR(__xludf.DUMMYFUNCTION("""COMPUTED_VALUE"""),"-")</f>
        <v>-</v>
      </c>
      <c r="R728" s="97" t="str">
        <f>IFERROR(__xludf.DUMMYFUNCTION("""COMPUTED_VALUE"""),"-")</f>
        <v>-</v>
      </c>
      <c r="S728" s="97" t="str">
        <f>IFERROR(__xludf.DUMMYFUNCTION("""COMPUTED_VALUE"""),"-")</f>
        <v>-</v>
      </c>
      <c r="T728" s="97" t="str">
        <f>IFERROR(__xludf.DUMMYFUNCTION("""COMPUTED_VALUE"""),"-")</f>
        <v>-</v>
      </c>
      <c r="U728" s="97" t="str">
        <f>IFERROR(__xludf.DUMMYFUNCTION("""COMPUTED_VALUE"""),"-")</f>
        <v>-</v>
      </c>
      <c r="V728" s="97" t="str">
        <f>IFERROR(__xludf.DUMMYFUNCTION("""COMPUTED_VALUE"""),"N/A")</f>
        <v>N/A</v>
      </c>
      <c r="W728" s="97" t="str">
        <f>IFERROR(__xludf.DUMMYFUNCTION("""COMPUTED_VALUE"""),"N/A")</f>
        <v>N/A</v>
      </c>
      <c r="X728" s="97" t="str">
        <f>IFERROR(__xludf.DUMMYFUNCTION("""COMPUTED_VALUE"""),"-")</f>
        <v>-</v>
      </c>
      <c r="Y728" s="97" t="str">
        <f>IFERROR(__xludf.DUMMYFUNCTION("""COMPUTED_VALUE"""),"N/A")</f>
        <v>N/A</v>
      </c>
      <c r="Z728" s="97" t="str">
        <f>IFERROR(__xludf.DUMMYFUNCTION("""COMPUTED_VALUE"""),"N/A")</f>
        <v>N/A</v>
      </c>
      <c r="AA728" s="97" t="str">
        <f>IFERROR(__xludf.DUMMYFUNCTION("""COMPUTED_VALUE"""),"N/A")</f>
        <v>N/A</v>
      </c>
      <c r="AB728" s="97" t="str">
        <f>IFERROR(__xludf.DUMMYFUNCTION("""COMPUTED_VALUE"""),"N/A")</f>
        <v>N/A</v>
      </c>
      <c r="AC728" s="97" t="str">
        <f>IFERROR(__xludf.DUMMYFUNCTION("""COMPUTED_VALUE"""),"N/A")</f>
        <v>N/A</v>
      </c>
      <c r="AD728" s="97" t="str">
        <f>IFERROR(__xludf.DUMMYFUNCTION("""COMPUTED_VALUE"""),"IP20")</f>
        <v>IP20</v>
      </c>
      <c r="AE728" s="97" t="str">
        <f>IFERROR(__xludf.DUMMYFUNCTION("""COMPUTED_VALUE"""),"Clase ll")</f>
        <v>Clase ll</v>
      </c>
      <c r="AF728" s="97" t="str">
        <f>IFERROR(__xludf.DUMMYFUNCTION("""COMPUTED_VALUE"""),"Autoportante")</f>
        <v>Autoportante</v>
      </c>
      <c r="AG728" s="97" t="str">
        <f>IFERROR(__xludf.DUMMYFUNCTION("""COMPUTED_VALUE"""),"Ø170 x 425")</f>
        <v>Ø170 x 425</v>
      </c>
      <c r="AH728" s="97" t="str">
        <f>IFERROR(__xludf.DUMMYFUNCTION("""COMPUTED_VALUE"""),"N/A")</f>
        <v>N/A</v>
      </c>
      <c r="AI728" s="97" t="str">
        <f>IFERROR(__xludf.DUMMYFUNCTION("""COMPUTED_VALUE"""),"N/A")</f>
        <v>N/A</v>
      </c>
      <c r="AJ728" s="97" t="str">
        <f>IFERROR(__xludf.DUMMYFUNCTION("""COMPUTED_VALUE"""),"N/A")</f>
        <v>N/A</v>
      </c>
      <c r="AK728" s="97" t="str">
        <f>IFERROR(__xludf.DUMMYFUNCTION("""COMPUTED_VALUE"""),"Acero")</f>
        <v>Acero</v>
      </c>
      <c r="AL728" s="97" t="str">
        <f>IFERROR(__xludf.DUMMYFUNCTION("""COMPUTED_VALUE"""),"Azul")</f>
        <v>Azul</v>
      </c>
      <c r="AM728" s="97" t="str">
        <f>IFERROR(__xludf.DUMMYFUNCTION("""COMPUTED_VALUE"""),"-")</f>
        <v>-</v>
      </c>
      <c r="AN728" s="97" t="str">
        <f>IFERROR(__xludf.DUMMYFUNCTION("""COMPUTED_VALUE"""),"N/A")</f>
        <v>N/A</v>
      </c>
      <c r="AO728" s="97" t="str">
        <f>IFERROR(__xludf.DUMMYFUNCTION("""COMPUTED_VALUE"""),"2 Años")</f>
        <v>2 Años</v>
      </c>
      <c r="AP728" s="97" t="str">
        <f>IFERROR(__xludf.DUMMYFUNCTION("""COMPUTED_VALUE"""),"No Aplica")</f>
        <v>No Aplica</v>
      </c>
      <c r="AQ728" s="97" t="str">
        <f>IFERROR(__xludf.DUMMYFUNCTION("""COMPUTED_VALUE"""),"No Aplica")</f>
        <v>No Aplica</v>
      </c>
      <c r="AR728" s="97" t="str">
        <f>IFERROR(__xludf.DUMMYFUNCTION("""COMPUTED_VALUE"""),"No Aplica")</f>
        <v>No Aplica</v>
      </c>
      <c r="AS728" s="97"/>
      <c r="AT728" s="97"/>
      <c r="AU728" s="97" t="str">
        <f>IFERROR(__xludf.DUMMYFUNCTION("""COMPUTED_VALUE"""),"Falta")</f>
        <v>Falta</v>
      </c>
      <c r="AV728" s="97" t="str">
        <f>IFERROR(__xludf.DUMMYFUNCTION("""COMPUTED_VALUE"""),"Mesa")</f>
        <v>Mesa</v>
      </c>
      <c r="AW728" s="97" t="str">
        <f>IFERROR(__xludf.DUMMYFUNCTION("""COMPUTED_VALUE"""),"De Apoyo")</f>
        <v>De Apoyo</v>
      </c>
      <c r="AX728" s="97" t="str">
        <f>IFERROR(__xludf.DUMMYFUNCTION("""COMPUTED_VALUE"""),"Interior")</f>
        <v>Interior</v>
      </c>
      <c r="AY728" s="97" t="str">
        <f>IFERROR(__xludf.DUMMYFUNCTION("""COMPUTED_VALUE"""),"-")</f>
        <v>-</v>
      </c>
      <c r="AZ728" s="97"/>
      <c r="BA728" s="97">
        <f>IFERROR(__xludf.DUMMYFUNCTION("""COMPUTED_VALUE"""),1.0)</f>
        <v>1</v>
      </c>
      <c r="BB728" s="97" t="str">
        <f>IFERROR(__xludf.DUMMYFUNCTION("""COMPUTED_VALUE"""),"-")</f>
        <v>-</v>
      </c>
      <c r="BC728" s="97" t="str">
        <f>IFERROR(__xludf.DUMMYFUNCTION("""COMPUTED_VALUE"""),"-")</f>
        <v>-</v>
      </c>
      <c r="BD728" s="97" t="str">
        <f>IFERROR(__xludf.DUMMYFUNCTION("""COMPUTED_VALUE"""),"LAMPY DE MESA")</f>
        <v>LAMPY DE MESA</v>
      </c>
      <c r="BE728" s="97" t="str">
        <f>IFERROR(__xludf.DUMMYFUNCTION("""COMPUTED_VALUE"""),"Finalizada")</f>
        <v>Finalizada</v>
      </c>
      <c r="BF728" s="97"/>
      <c r="BG728" s="97" t="str">
        <f>IFERROR(__xludf.DUMMYFUNCTION("""COMPUTED_VALUE"""),"Activo")</f>
        <v>Activo</v>
      </c>
    </row>
    <row r="729">
      <c r="A729" s="97">
        <f>IFERROR(__xludf.DUMMYFUNCTION("""COMPUTED_VALUE"""),6488.0)</f>
        <v>6488</v>
      </c>
      <c r="B729" s="97" t="str">
        <f>IFERROR(__xludf.DUMMYFUNCTION("""COMPUTED_VALUE"""),"LAMPY M VR")</f>
        <v>LAMPY M VR</v>
      </c>
      <c r="C729" s="97" t="str">
        <f>IFERROR(__xludf.DUMMYFUNCTION("""COMPUTED_VALUE"""),"MESA LAMPY M VR E27 IP20 LEUK")</f>
        <v>MESA LAMPY M VR E27 IP20 LEUK</v>
      </c>
      <c r="D729" s="99">
        <f>IFERROR(__xludf.DUMMYFUNCTION("""COMPUTED_VALUE"""),7.798413220957E12)</f>
        <v>7798413220957</v>
      </c>
      <c r="E729" s="97" t="str">
        <f>IFERROR(__xludf.DUMMYFUNCTION("""COMPUTED_VALUE"""),"N/A")</f>
        <v>N/A</v>
      </c>
      <c r="F729" s="97" t="str">
        <f>IFERROR(__xludf.DUMMYFUNCTION("""COMPUTED_VALUE"""),"E27")</f>
        <v>E27</v>
      </c>
      <c r="G729" s="97" t="str">
        <f>IFERROR(__xludf.DUMMYFUNCTION("""COMPUTED_VALUE"""),"N/A")</f>
        <v>N/A</v>
      </c>
      <c r="H729" s="97" t="str">
        <f>IFERROR(__xludf.DUMMYFUNCTION("""COMPUTED_VALUE"""),"N/A")</f>
        <v>N/A</v>
      </c>
      <c r="I729" s="97" t="str">
        <f>IFERROR(__xludf.DUMMYFUNCTION("""COMPUTED_VALUE"""),"N/A")</f>
        <v>N/A</v>
      </c>
      <c r="J729" s="97" t="str">
        <f>IFERROR(__xludf.DUMMYFUNCTION("""COMPUTED_VALUE"""),"N/A")</f>
        <v>N/A</v>
      </c>
      <c r="K729" s="97" t="str">
        <f>IFERROR(__xludf.DUMMYFUNCTION("""COMPUTED_VALUE"""),"N/A")</f>
        <v>N/A</v>
      </c>
      <c r="L729" s="97">
        <f>IFERROR(__xludf.DUMMYFUNCTION("""COMPUTED_VALUE"""),220.0)</f>
        <v>220</v>
      </c>
      <c r="M729" s="97">
        <f>IFERROR(__xludf.DUMMYFUNCTION("""COMPUTED_VALUE"""),50.0)</f>
        <v>50</v>
      </c>
      <c r="N729" s="97"/>
      <c r="O729" s="97" t="str">
        <f>IFERROR(__xludf.DUMMYFUNCTION("""COMPUTED_VALUE"""),"-")</f>
        <v>-</v>
      </c>
      <c r="P729" s="97"/>
      <c r="Q729" s="97" t="str">
        <f>IFERROR(__xludf.DUMMYFUNCTION("""COMPUTED_VALUE"""),"-")</f>
        <v>-</v>
      </c>
      <c r="R729" s="97" t="str">
        <f>IFERROR(__xludf.DUMMYFUNCTION("""COMPUTED_VALUE"""),"-")</f>
        <v>-</v>
      </c>
      <c r="S729" s="97" t="str">
        <f>IFERROR(__xludf.DUMMYFUNCTION("""COMPUTED_VALUE"""),"-")</f>
        <v>-</v>
      </c>
      <c r="T729" s="97" t="str">
        <f>IFERROR(__xludf.DUMMYFUNCTION("""COMPUTED_VALUE"""),"-")</f>
        <v>-</v>
      </c>
      <c r="U729" s="97" t="str">
        <f>IFERROR(__xludf.DUMMYFUNCTION("""COMPUTED_VALUE"""),"-")</f>
        <v>-</v>
      </c>
      <c r="V729" s="97" t="str">
        <f>IFERROR(__xludf.DUMMYFUNCTION("""COMPUTED_VALUE"""),"N/A")</f>
        <v>N/A</v>
      </c>
      <c r="W729" s="97" t="str">
        <f>IFERROR(__xludf.DUMMYFUNCTION("""COMPUTED_VALUE"""),"N/A")</f>
        <v>N/A</v>
      </c>
      <c r="X729" s="97" t="str">
        <f>IFERROR(__xludf.DUMMYFUNCTION("""COMPUTED_VALUE"""),"-")</f>
        <v>-</v>
      </c>
      <c r="Y729" s="97" t="str">
        <f>IFERROR(__xludf.DUMMYFUNCTION("""COMPUTED_VALUE"""),"N/A")</f>
        <v>N/A</v>
      </c>
      <c r="Z729" s="97" t="str">
        <f>IFERROR(__xludf.DUMMYFUNCTION("""COMPUTED_VALUE"""),"N/A")</f>
        <v>N/A</v>
      </c>
      <c r="AA729" s="97" t="str">
        <f>IFERROR(__xludf.DUMMYFUNCTION("""COMPUTED_VALUE"""),"N/A")</f>
        <v>N/A</v>
      </c>
      <c r="AB729" s="97" t="str">
        <f>IFERROR(__xludf.DUMMYFUNCTION("""COMPUTED_VALUE"""),"N/A")</f>
        <v>N/A</v>
      </c>
      <c r="AC729" s="97" t="str">
        <f>IFERROR(__xludf.DUMMYFUNCTION("""COMPUTED_VALUE"""),"N/A")</f>
        <v>N/A</v>
      </c>
      <c r="AD729" s="97" t="str">
        <f>IFERROR(__xludf.DUMMYFUNCTION("""COMPUTED_VALUE"""),"IP20")</f>
        <v>IP20</v>
      </c>
      <c r="AE729" s="97" t="str">
        <f>IFERROR(__xludf.DUMMYFUNCTION("""COMPUTED_VALUE"""),"Clase ll")</f>
        <v>Clase ll</v>
      </c>
      <c r="AF729" s="97" t="str">
        <f>IFERROR(__xludf.DUMMYFUNCTION("""COMPUTED_VALUE"""),"Autoportante")</f>
        <v>Autoportante</v>
      </c>
      <c r="AG729" s="97" t="str">
        <f>IFERROR(__xludf.DUMMYFUNCTION("""COMPUTED_VALUE"""),"Ø170 x 425")</f>
        <v>Ø170 x 425</v>
      </c>
      <c r="AH729" s="97" t="str">
        <f>IFERROR(__xludf.DUMMYFUNCTION("""COMPUTED_VALUE"""),"N/A")</f>
        <v>N/A</v>
      </c>
      <c r="AI729" s="97" t="str">
        <f>IFERROR(__xludf.DUMMYFUNCTION("""COMPUTED_VALUE"""),"N/A")</f>
        <v>N/A</v>
      </c>
      <c r="AJ729" s="97" t="str">
        <f>IFERROR(__xludf.DUMMYFUNCTION("""COMPUTED_VALUE"""),"N/A")</f>
        <v>N/A</v>
      </c>
      <c r="AK729" s="97" t="str">
        <f>IFERROR(__xludf.DUMMYFUNCTION("""COMPUTED_VALUE"""),"Acero")</f>
        <v>Acero</v>
      </c>
      <c r="AL729" s="97" t="str">
        <f>IFERROR(__xludf.DUMMYFUNCTION("""COMPUTED_VALUE"""),"Verde")</f>
        <v>Verde</v>
      </c>
      <c r="AM729" s="97" t="str">
        <f>IFERROR(__xludf.DUMMYFUNCTION("""COMPUTED_VALUE"""),"-")</f>
        <v>-</v>
      </c>
      <c r="AN729" s="97" t="str">
        <f>IFERROR(__xludf.DUMMYFUNCTION("""COMPUTED_VALUE"""),"N/A")</f>
        <v>N/A</v>
      </c>
      <c r="AO729" s="97" t="str">
        <f>IFERROR(__xludf.DUMMYFUNCTION("""COMPUTED_VALUE"""),"2 Años")</f>
        <v>2 Años</v>
      </c>
      <c r="AP729" s="97" t="str">
        <f>IFERROR(__xludf.DUMMYFUNCTION("""COMPUTED_VALUE"""),"No Aplica")</f>
        <v>No Aplica</v>
      </c>
      <c r="AQ729" s="97" t="str">
        <f>IFERROR(__xludf.DUMMYFUNCTION("""COMPUTED_VALUE"""),"No Aplica")</f>
        <v>No Aplica</v>
      </c>
      <c r="AR729" s="97" t="str">
        <f>IFERROR(__xludf.DUMMYFUNCTION("""COMPUTED_VALUE"""),"No Aplica")</f>
        <v>No Aplica</v>
      </c>
      <c r="AS729" s="97"/>
      <c r="AT729" s="97"/>
      <c r="AU729" s="97" t="str">
        <f>IFERROR(__xludf.DUMMYFUNCTION("""COMPUTED_VALUE"""),"Falta")</f>
        <v>Falta</v>
      </c>
      <c r="AV729" s="97" t="str">
        <f>IFERROR(__xludf.DUMMYFUNCTION("""COMPUTED_VALUE"""),"Mesa")</f>
        <v>Mesa</v>
      </c>
      <c r="AW729" s="97" t="str">
        <f>IFERROR(__xludf.DUMMYFUNCTION("""COMPUTED_VALUE"""),"De Apoyo")</f>
        <v>De Apoyo</v>
      </c>
      <c r="AX729" s="97" t="str">
        <f>IFERROR(__xludf.DUMMYFUNCTION("""COMPUTED_VALUE"""),"Interior")</f>
        <v>Interior</v>
      </c>
      <c r="AY729" s="97" t="str">
        <f>IFERROR(__xludf.DUMMYFUNCTION("""COMPUTED_VALUE"""),"-")</f>
        <v>-</v>
      </c>
      <c r="AZ729" s="97"/>
      <c r="BA729" s="97">
        <f>IFERROR(__xludf.DUMMYFUNCTION("""COMPUTED_VALUE"""),1.0)</f>
        <v>1</v>
      </c>
      <c r="BB729" s="97" t="str">
        <f>IFERROR(__xludf.DUMMYFUNCTION("""COMPUTED_VALUE"""),"-")</f>
        <v>-</v>
      </c>
      <c r="BC729" s="97" t="str">
        <f>IFERROR(__xludf.DUMMYFUNCTION("""COMPUTED_VALUE"""),"-")</f>
        <v>-</v>
      </c>
      <c r="BD729" s="97" t="str">
        <f>IFERROR(__xludf.DUMMYFUNCTION("""COMPUTED_VALUE"""),"LAMPY DE MESA")</f>
        <v>LAMPY DE MESA</v>
      </c>
      <c r="BE729" s="97" t="str">
        <f>IFERROR(__xludf.DUMMYFUNCTION("""COMPUTED_VALUE"""),"Finalizada")</f>
        <v>Finalizada</v>
      </c>
      <c r="BF729" s="97"/>
      <c r="BG729" s="97" t="str">
        <f>IFERROR(__xludf.DUMMYFUNCTION("""COMPUTED_VALUE"""),"Activo")</f>
        <v>Activo</v>
      </c>
    </row>
    <row r="730">
      <c r="A730" s="97">
        <f>IFERROR(__xludf.DUMMYFUNCTION("""COMPUTED_VALUE"""),6489.0)</f>
        <v>6489</v>
      </c>
      <c r="B730" s="97" t="str">
        <f>IFERROR(__xludf.DUMMYFUNCTION("""COMPUTED_VALUE"""),"LAMPY M BD")</f>
        <v>LAMPY M BD</v>
      </c>
      <c r="C730" s="97" t="str">
        <f>IFERROR(__xludf.DUMMYFUNCTION("""COMPUTED_VALUE"""),"MESA LAMPY M BD E27 IP20 LEUK")</f>
        <v>MESA LAMPY M BD E27 IP20 LEUK</v>
      </c>
      <c r="D730" s="99">
        <f>IFERROR(__xludf.DUMMYFUNCTION("""COMPUTED_VALUE"""),7.798413220964E12)</f>
        <v>7798413220964</v>
      </c>
      <c r="E730" s="97" t="str">
        <f>IFERROR(__xludf.DUMMYFUNCTION("""COMPUTED_VALUE"""),"N/A")</f>
        <v>N/A</v>
      </c>
      <c r="F730" s="97" t="str">
        <f>IFERROR(__xludf.DUMMYFUNCTION("""COMPUTED_VALUE"""),"E27")</f>
        <v>E27</v>
      </c>
      <c r="G730" s="97" t="str">
        <f>IFERROR(__xludf.DUMMYFUNCTION("""COMPUTED_VALUE"""),"N/A")</f>
        <v>N/A</v>
      </c>
      <c r="H730" s="97" t="str">
        <f>IFERROR(__xludf.DUMMYFUNCTION("""COMPUTED_VALUE"""),"N/A")</f>
        <v>N/A</v>
      </c>
      <c r="I730" s="97" t="str">
        <f>IFERROR(__xludf.DUMMYFUNCTION("""COMPUTED_VALUE"""),"N/A")</f>
        <v>N/A</v>
      </c>
      <c r="J730" s="97" t="str">
        <f>IFERROR(__xludf.DUMMYFUNCTION("""COMPUTED_VALUE"""),"N/A")</f>
        <v>N/A</v>
      </c>
      <c r="K730" s="97" t="str">
        <f>IFERROR(__xludf.DUMMYFUNCTION("""COMPUTED_VALUE"""),"N/A")</f>
        <v>N/A</v>
      </c>
      <c r="L730" s="97">
        <f>IFERROR(__xludf.DUMMYFUNCTION("""COMPUTED_VALUE"""),220.0)</f>
        <v>220</v>
      </c>
      <c r="M730" s="97">
        <f>IFERROR(__xludf.DUMMYFUNCTION("""COMPUTED_VALUE"""),50.0)</f>
        <v>50</v>
      </c>
      <c r="N730" s="97"/>
      <c r="O730" s="97" t="str">
        <f>IFERROR(__xludf.DUMMYFUNCTION("""COMPUTED_VALUE"""),"-")</f>
        <v>-</v>
      </c>
      <c r="P730" s="97"/>
      <c r="Q730" s="97" t="str">
        <f>IFERROR(__xludf.DUMMYFUNCTION("""COMPUTED_VALUE"""),"-")</f>
        <v>-</v>
      </c>
      <c r="R730" s="97" t="str">
        <f>IFERROR(__xludf.DUMMYFUNCTION("""COMPUTED_VALUE"""),"-")</f>
        <v>-</v>
      </c>
      <c r="S730" s="97" t="str">
        <f>IFERROR(__xludf.DUMMYFUNCTION("""COMPUTED_VALUE"""),"-")</f>
        <v>-</v>
      </c>
      <c r="T730" s="97" t="str">
        <f>IFERROR(__xludf.DUMMYFUNCTION("""COMPUTED_VALUE"""),"-")</f>
        <v>-</v>
      </c>
      <c r="U730" s="97" t="str">
        <f>IFERROR(__xludf.DUMMYFUNCTION("""COMPUTED_VALUE"""),"-")</f>
        <v>-</v>
      </c>
      <c r="V730" s="97" t="str">
        <f>IFERROR(__xludf.DUMMYFUNCTION("""COMPUTED_VALUE"""),"N/A")</f>
        <v>N/A</v>
      </c>
      <c r="W730" s="97" t="str">
        <f>IFERROR(__xludf.DUMMYFUNCTION("""COMPUTED_VALUE"""),"N/A")</f>
        <v>N/A</v>
      </c>
      <c r="X730" s="97" t="str">
        <f>IFERROR(__xludf.DUMMYFUNCTION("""COMPUTED_VALUE"""),"-")</f>
        <v>-</v>
      </c>
      <c r="Y730" s="97" t="str">
        <f>IFERROR(__xludf.DUMMYFUNCTION("""COMPUTED_VALUE"""),"N/A")</f>
        <v>N/A</v>
      </c>
      <c r="Z730" s="97" t="str">
        <f>IFERROR(__xludf.DUMMYFUNCTION("""COMPUTED_VALUE"""),"N/A")</f>
        <v>N/A</v>
      </c>
      <c r="AA730" s="97" t="str">
        <f>IFERROR(__xludf.DUMMYFUNCTION("""COMPUTED_VALUE"""),"N/A")</f>
        <v>N/A</v>
      </c>
      <c r="AB730" s="97" t="str">
        <f>IFERROR(__xludf.DUMMYFUNCTION("""COMPUTED_VALUE"""),"N/A")</f>
        <v>N/A</v>
      </c>
      <c r="AC730" s="97" t="str">
        <f>IFERROR(__xludf.DUMMYFUNCTION("""COMPUTED_VALUE"""),"N/A")</f>
        <v>N/A</v>
      </c>
      <c r="AD730" s="97" t="str">
        <f>IFERROR(__xludf.DUMMYFUNCTION("""COMPUTED_VALUE"""),"IP20")</f>
        <v>IP20</v>
      </c>
      <c r="AE730" s="97" t="str">
        <f>IFERROR(__xludf.DUMMYFUNCTION("""COMPUTED_VALUE"""),"Clase ll")</f>
        <v>Clase ll</v>
      </c>
      <c r="AF730" s="97" t="str">
        <f>IFERROR(__xludf.DUMMYFUNCTION("""COMPUTED_VALUE"""),"Autoportante")</f>
        <v>Autoportante</v>
      </c>
      <c r="AG730" s="97" t="str">
        <f>IFERROR(__xludf.DUMMYFUNCTION("""COMPUTED_VALUE"""),"Ø170 x 425")</f>
        <v>Ø170 x 425</v>
      </c>
      <c r="AH730" s="97" t="str">
        <f>IFERROR(__xludf.DUMMYFUNCTION("""COMPUTED_VALUE"""),"N/A")</f>
        <v>N/A</v>
      </c>
      <c r="AI730" s="97" t="str">
        <f>IFERROR(__xludf.DUMMYFUNCTION("""COMPUTED_VALUE"""),"N/A")</f>
        <v>N/A</v>
      </c>
      <c r="AJ730" s="97" t="str">
        <f>IFERROR(__xludf.DUMMYFUNCTION("""COMPUTED_VALUE"""),"N/A")</f>
        <v>N/A</v>
      </c>
      <c r="AK730" s="97" t="str">
        <f>IFERROR(__xludf.DUMMYFUNCTION("""COMPUTED_VALUE"""),"Acero")</f>
        <v>Acero</v>
      </c>
      <c r="AL730" s="97" t="str">
        <f>IFERROR(__xludf.DUMMYFUNCTION("""COMPUTED_VALUE"""),"Bordó")</f>
        <v>Bordó</v>
      </c>
      <c r="AM730" s="97" t="str">
        <f>IFERROR(__xludf.DUMMYFUNCTION("""COMPUTED_VALUE"""),"-")</f>
        <v>-</v>
      </c>
      <c r="AN730" s="97" t="str">
        <f>IFERROR(__xludf.DUMMYFUNCTION("""COMPUTED_VALUE"""),"N/A")</f>
        <v>N/A</v>
      </c>
      <c r="AO730" s="97" t="str">
        <f>IFERROR(__xludf.DUMMYFUNCTION("""COMPUTED_VALUE"""),"2 Años")</f>
        <v>2 Años</v>
      </c>
      <c r="AP730" s="97" t="str">
        <f>IFERROR(__xludf.DUMMYFUNCTION("""COMPUTED_VALUE"""),"No Aplica")</f>
        <v>No Aplica</v>
      </c>
      <c r="AQ730" s="97" t="str">
        <f>IFERROR(__xludf.DUMMYFUNCTION("""COMPUTED_VALUE"""),"No Aplica")</f>
        <v>No Aplica</v>
      </c>
      <c r="AR730" s="97" t="str">
        <f>IFERROR(__xludf.DUMMYFUNCTION("""COMPUTED_VALUE"""),"No Aplica")</f>
        <v>No Aplica</v>
      </c>
      <c r="AS730" s="97"/>
      <c r="AT730" s="97"/>
      <c r="AU730" s="97" t="str">
        <f>IFERROR(__xludf.DUMMYFUNCTION("""COMPUTED_VALUE"""),"Falta")</f>
        <v>Falta</v>
      </c>
      <c r="AV730" s="97" t="str">
        <f>IFERROR(__xludf.DUMMYFUNCTION("""COMPUTED_VALUE"""),"Mesa")</f>
        <v>Mesa</v>
      </c>
      <c r="AW730" s="97" t="str">
        <f>IFERROR(__xludf.DUMMYFUNCTION("""COMPUTED_VALUE"""),"De Apoyo")</f>
        <v>De Apoyo</v>
      </c>
      <c r="AX730" s="97" t="str">
        <f>IFERROR(__xludf.DUMMYFUNCTION("""COMPUTED_VALUE"""),"Interior")</f>
        <v>Interior</v>
      </c>
      <c r="AY730" s="97" t="str">
        <f>IFERROR(__xludf.DUMMYFUNCTION("""COMPUTED_VALUE"""),"-")</f>
        <v>-</v>
      </c>
      <c r="AZ730" s="97"/>
      <c r="BA730" s="97">
        <f>IFERROR(__xludf.DUMMYFUNCTION("""COMPUTED_VALUE"""),1.0)</f>
        <v>1</v>
      </c>
      <c r="BB730" s="97" t="str">
        <f>IFERROR(__xludf.DUMMYFUNCTION("""COMPUTED_VALUE"""),"-")</f>
        <v>-</v>
      </c>
      <c r="BC730" s="97" t="str">
        <f>IFERROR(__xludf.DUMMYFUNCTION("""COMPUTED_VALUE"""),"-")</f>
        <v>-</v>
      </c>
      <c r="BD730" s="97" t="str">
        <f>IFERROR(__xludf.DUMMYFUNCTION("""COMPUTED_VALUE"""),"LAMPY DE MESA")</f>
        <v>LAMPY DE MESA</v>
      </c>
      <c r="BE730" s="97" t="str">
        <f>IFERROR(__xludf.DUMMYFUNCTION("""COMPUTED_VALUE"""),"Finalizada")</f>
        <v>Finalizada</v>
      </c>
      <c r="BF730" s="97"/>
      <c r="BG730" s="97" t="str">
        <f>IFERROR(__xludf.DUMMYFUNCTION("""COMPUTED_VALUE"""),"Activo")</f>
        <v>Activo</v>
      </c>
    </row>
    <row r="731">
      <c r="A731" s="97">
        <f>IFERROR(__xludf.DUMMYFUNCTION("""COMPUTED_VALUE"""),6490.0)</f>
        <v>6490</v>
      </c>
      <c r="B731" s="97" t="str">
        <f>IFERROR(__xludf.DUMMYFUNCTION("""COMPUTED_VALUE"""),"LAMPY P NG")</f>
        <v>LAMPY P NG</v>
      </c>
      <c r="C731" s="97" t="str">
        <f>IFERROR(__xludf.DUMMYFUNCTION("""COMPUTED_VALUE"""),"PIE LAMPY P NG E27 IP20 LEUK")</f>
        <v>PIE LAMPY P NG E27 IP20 LEUK</v>
      </c>
      <c r="D731" s="99">
        <f>IFERROR(__xludf.DUMMYFUNCTION("""COMPUTED_VALUE"""),7.798413220704E12)</f>
        <v>7798413220704</v>
      </c>
      <c r="E731" s="97" t="str">
        <f>IFERROR(__xludf.DUMMYFUNCTION("""COMPUTED_VALUE"""),"N/A")</f>
        <v>N/A</v>
      </c>
      <c r="F731" s="97" t="str">
        <f>IFERROR(__xludf.DUMMYFUNCTION("""COMPUTED_VALUE"""),"E27")</f>
        <v>E27</v>
      </c>
      <c r="G731" s="97" t="str">
        <f>IFERROR(__xludf.DUMMYFUNCTION("""COMPUTED_VALUE"""),"N/A")</f>
        <v>N/A</v>
      </c>
      <c r="H731" s="97" t="str">
        <f>IFERROR(__xludf.DUMMYFUNCTION("""COMPUTED_VALUE"""),"N/A")</f>
        <v>N/A</v>
      </c>
      <c r="I731" s="97" t="str">
        <f>IFERROR(__xludf.DUMMYFUNCTION("""COMPUTED_VALUE"""),"N/A")</f>
        <v>N/A</v>
      </c>
      <c r="J731" s="97" t="str">
        <f>IFERROR(__xludf.DUMMYFUNCTION("""COMPUTED_VALUE"""),"N/A")</f>
        <v>N/A</v>
      </c>
      <c r="K731" s="97" t="str">
        <f>IFERROR(__xludf.DUMMYFUNCTION("""COMPUTED_VALUE"""),"N/A")</f>
        <v>N/A</v>
      </c>
      <c r="L731" s="97">
        <f>IFERROR(__xludf.DUMMYFUNCTION("""COMPUTED_VALUE"""),220.0)</f>
        <v>220</v>
      </c>
      <c r="M731" s="97">
        <f>IFERROR(__xludf.DUMMYFUNCTION("""COMPUTED_VALUE"""),50.0)</f>
        <v>50</v>
      </c>
      <c r="N731" s="97"/>
      <c r="O731" s="97" t="str">
        <f>IFERROR(__xludf.DUMMYFUNCTION("""COMPUTED_VALUE"""),"-")</f>
        <v>-</v>
      </c>
      <c r="P731" s="97"/>
      <c r="Q731" s="97" t="str">
        <f>IFERROR(__xludf.DUMMYFUNCTION("""COMPUTED_VALUE"""),"-")</f>
        <v>-</v>
      </c>
      <c r="R731" s="97" t="str">
        <f>IFERROR(__xludf.DUMMYFUNCTION("""COMPUTED_VALUE"""),"-")</f>
        <v>-</v>
      </c>
      <c r="S731" s="97" t="str">
        <f>IFERROR(__xludf.DUMMYFUNCTION("""COMPUTED_VALUE"""),"-")</f>
        <v>-</v>
      </c>
      <c r="T731" s="97" t="str">
        <f>IFERROR(__xludf.DUMMYFUNCTION("""COMPUTED_VALUE"""),"-")</f>
        <v>-</v>
      </c>
      <c r="U731" s="97" t="str">
        <f>IFERROR(__xludf.DUMMYFUNCTION("""COMPUTED_VALUE"""),"-")</f>
        <v>-</v>
      </c>
      <c r="V731" s="97" t="str">
        <f>IFERROR(__xludf.DUMMYFUNCTION("""COMPUTED_VALUE"""),"N/A")</f>
        <v>N/A</v>
      </c>
      <c r="W731" s="97" t="str">
        <f>IFERROR(__xludf.DUMMYFUNCTION("""COMPUTED_VALUE"""),"N/A")</f>
        <v>N/A</v>
      </c>
      <c r="X731" s="97" t="str">
        <f>IFERROR(__xludf.DUMMYFUNCTION("""COMPUTED_VALUE"""),"-")</f>
        <v>-</v>
      </c>
      <c r="Y731" s="97" t="str">
        <f>IFERROR(__xludf.DUMMYFUNCTION("""COMPUTED_VALUE"""),"N/A")</f>
        <v>N/A</v>
      </c>
      <c r="Z731" s="97" t="str">
        <f>IFERROR(__xludf.DUMMYFUNCTION("""COMPUTED_VALUE"""),"N/A")</f>
        <v>N/A</v>
      </c>
      <c r="AA731" s="97" t="str">
        <f>IFERROR(__xludf.DUMMYFUNCTION("""COMPUTED_VALUE"""),"N/A")</f>
        <v>N/A</v>
      </c>
      <c r="AB731" s="97" t="str">
        <f>IFERROR(__xludf.DUMMYFUNCTION("""COMPUTED_VALUE"""),"N/A")</f>
        <v>N/A</v>
      </c>
      <c r="AC731" s="97" t="str">
        <f>IFERROR(__xludf.DUMMYFUNCTION("""COMPUTED_VALUE"""),"N/A")</f>
        <v>N/A</v>
      </c>
      <c r="AD731" s="97" t="str">
        <f>IFERROR(__xludf.DUMMYFUNCTION("""COMPUTED_VALUE"""),"IP20")</f>
        <v>IP20</v>
      </c>
      <c r="AE731" s="97" t="str">
        <f>IFERROR(__xludf.DUMMYFUNCTION("""COMPUTED_VALUE"""),"Clase ll")</f>
        <v>Clase ll</v>
      </c>
      <c r="AF731" s="97" t="str">
        <f>IFERROR(__xludf.DUMMYFUNCTION("""COMPUTED_VALUE"""),"Autoportante")</f>
        <v>Autoportante</v>
      </c>
      <c r="AG731" s="97" t="str">
        <f>IFERROR(__xludf.DUMMYFUNCTION("""COMPUTED_VALUE"""),"Ø250 x 1300")</f>
        <v>Ø250 x 1300</v>
      </c>
      <c r="AH731" s="97" t="str">
        <f>IFERROR(__xludf.DUMMYFUNCTION("""COMPUTED_VALUE"""),"N/A")</f>
        <v>N/A</v>
      </c>
      <c r="AI731" s="97" t="str">
        <f>IFERROR(__xludf.DUMMYFUNCTION("""COMPUTED_VALUE"""),"N/A")</f>
        <v>N/A</v>
      </c>
      <c r="AJ731" s="97" t="str">
        <f>IFERROR(__xludf.DUMMYFUNCTION("""COMPUTED_VALUE"""),"N/A")</f>
        <v>N/A</v>
      </c>
      <c r="AK731" s="97" t="str">
        <f>IFERROR(__xludf.DUMMYFUNCTION("""COMPUTED_VALUE"""),"Acero")</f>
        <v>Acero</v>
      </c>
      <c r="AL731" s="97" t="str">
        <f>IFERROR(__xludf.DUMMYFUNCTION("""COMPUTED_VALUE"""),"Negro Mate")</f>
        <v>Negro Mate</v>
      </c>
      <c r="AM731" s="97" t="str">
        <f>IFERROR(__xludf.DUMMYFUNCTION("""COMPUTED_VALUE"""),"-")</f>
        <v>-</v>
      </c>
      <c r="AN731" s="97" t="str">
        <f>IFERROR(__xludf.DUMMYFUNCTION("""COMPUTED_VALUE"""),"N/A")</f>
        <v>N/A</v>
      </c>
      <c r="AO731" s="97" t="str">
        <f>IFERROR(__xludf.DUMMYFUNCTION("""COMPUTED_VALUE"""),"2 Años")</f>
        <v>2 Años</v>
      </c>
      <c r="AP731" s="97" t="str">
        <f>IFERROR(__xludf.DUMMYFUNCTION("""COMPUTED_VALUE"""),"No Aplica")</f>
        <v>No Aplica</v>
      </c>
      <c r="AQ731" s="97" t="str">
        <f>IFERROR(__xludf.DUMMYFUNCTION("""COMPUTED_VALUE"""),"No Aplica")</f>
        <v>No Aplica</v>
      </c>
      <c r="AR731" s="97" t="str">
        <f>IFERROR(__xludf.DUMMYFUNCTION("""COMPUTED_VALUE"""),"No Aplica")</f>
        <v>No Aplica</v>
      </c>
      <c r="AS731" s="97"/>
      <c r="AT731" s="97"/>
      <c r="AU731" s="97" t="str">
        <f>IFERROR(__xludf.DUMMYFUNCTION("""COMPUTED_VALUE"""),"Falta")</f>
        <v>Falta</v>
      </c>
      <c r="AV731" s="97" t="str">
        <f>IFERROR(__xludf.DUMMYFUNCTION("""COMPUTED_VALUE"""),"Pie")</f>
        <v>Pie</v>
      </c>
      <c r="AW731" s="97" t="str">
        <f>IFERROR(__xludf.DUMMYFUNCTION("""COMPUTED_VALUE"""),"De Apoyo")</f>
        <v>De Apoyo</v>
      </c>
      <c r="AX731" s="97" t="str">
        <f>IFERROR(__xludf.DUMMYFUNCTION("""COMPUTED_VALUE"""),"Interior")</f>
        <v>Interior</v>
      </c>
      <c r="AY731" s="97" t="str">
        <f>IFERROR(__xludf.DUMMYFUNCTION("""COMPUTED_VALUE"""),"-")</f>
        <v>-</v>
      </c>
      <c r="AZ731" s="97"/>
      <c r="BA731" s="97">
        <f>IFERROR(__xludf.DUMMYFUNCTION("""COMPUTED_VALUE"""),1.0)</f>
        <v>1</v>
      </c>
      <c r="BB731" s="97" t="str">
        <f>IFERROR(__xludf.DUMMYFUNCTION("""COMPUTED_VALUE"""),"-")</f>
        <v>-</v>
      </c>
      <c r="BC731" s="97" t="str">
        <f>IFERROR(__xludf.DUMMYFUNCTION("""COMPUTED_VALUE"""),"-")</f>
        <v>-</v>
      </c>
      <c r="BD731" s="97" t="str">
        <f>IFERROR(__xludf.DUMMYFUNCTION("""COMPUTED_VALUE"""),"LAMPY DE PIE")</f>
        <v>LAMPY DE PIE</v>
      </c>
      <c r="BE731" s="97" t="str">
        <f>IFERROR(__xludf.DUMMYFUNCTION("""COMPUTED_VALUE"""),"Finalizada")</f>
        <v>Finalizada</v>
      </c>
      <c r="BF731" s="97"/>
      <c r="BG731" s="97" t="str">
        <f>IFERROR(__xludf.DUMMYFUNCTION("""COMPUTED_VALUE"""),"Activo")</f>
        <v>Activo</v>
      </c>
    </row>
    <row r="732">
      <c r="A732" s="97">
        <f>IFERROR(__xludf.DUMMYFUNCTION("""COMPUTED_VALUE"""),6491.0)</f>
        <v>6491</v>
      </c>
      <c r="B732" s="97" t="str">
        <f>IFERROR(__xludf.DUMMYFUNCTION("""COMPUTED_VALUE"""),"LAMPY P BL")</f>
        <v>LAMPY P BL</v>
      </c>
      <c r="C732" s="97" t="str">
        <f>IFERROR(__xludf.DUMMYFUNCTION("""COMPUTED_VALUE"""),"PIE LAMPY P BL E27 IP20 LEUK")</f>
        <v>PIE LAMPY P BL E27 IP20 LEUK</v>
      </c>
      <c r="D732" s="99">
        <f>IFERROR(__xludf.DUMMYFUNCTION("""COMPUTED_VALUE"""),7.798413220711E12)</f>
        <v>7798413220711</v>
      </c>
      <c r="E732" s="97" t="str">
        <f>IFERROR(__xludf.DUMMYFUNCTION("""COMPUTED_VALUE"""),"N/A")</f>
        <v>N/A</v>
      </c>
      <c r="F732" s="97" t="str">
        <f>IFERROR(__xludf.DUMMYFUNCTION("""COMPUTED_VALUE"""),"E27")</f>
        <v>E27</v>
      </c>
      <c r="G732" s="97" t="str">
        <f>IFERROR(__xludf.DUMMYFUNCTION("""COMPUTED_VALUE"""),"N/A")</f>
        <v>N/A</v>
      </c>
      <c r="H732" s="97" t="str">
        <f>IFERROR(__xludf.DUMMYFUNCTION("""COMPUTED_VALUE"""),"N/A")</f>
        <v>N/A</v>
      </c>
      <c r="I732" s="97" t="str">
        <f>IFERROR(__xludf.DUMMYFUNCTION("""COMPUTED_VALUE"""),"N/A")</f>
        <v>N/A</v>
      </c>
      <c r="J732" s="97" t="str">
        <f>IFERROR(__xludf.DUMMYFUNCTION("""COMPUTED_VALUE"""),"N/A")</f>
        <v>N/A</v>
      </c>
      <c r="K732" s="97" t="str">
        <f>IFERROR(__xludf.DUMMYFUNCTION("""COMPUTED_VALUE"""),"N/A")</f>
        <v>N/A</v>
      </c>
      <c r="L732" s="97">
        <f>IFERROR(__xludf.DUMMYFUNCTION("""COMPUTED_VALUE"""),220.0)</f>
        <v>220</v>
      </c>
      <c r="M732" s="97">
        <f>IFERROR(__xludf.DUMMYFUNCTION("""COMPUTED_VALUE"""),50.0)</f>
        <v>50</v>
      </c>
      <c r="N732" s="97"/>
      <c r="O732" s="97" t="str">
        <f>IFERROR(__xludf.DUMMYFUNCTION("""COMPUTED_VALUE"""),"-")</f>
        <v>-</v>
      </c>
      <c r="P732" s="97"/>
      <c r="Q732" s="97" t="str">
        <f>IFERROR(__xludf.DUMMYFUNCTION("""COMPUTED_VALUE"""),"-")</f>
        <v>-</v>
      </c>
      <c r="R732" s="97" t="str">
        <f>IFERROR(__xludf.DUMMYFUNCTION("""COMPUTED_VALUE"""),"-")</f>
        <v>-</v>
      </c>
      <c r="S732" s="97" t="str">
        <f>IFERROR(__xludf.DUMMYFUNCTION("""COMPUTED_VALUE"""),"-")</f>
        <v>-</v>
      </c>
      <c r="T732" s="97" t="str">
        <f>IFERROR(__xludf.DUMMYFUNCTION("""COMPUTED_VALUE"""),"-")</f>
        <v>-</v>
      </c>
      <c r="U732" s="97" t="str">
        <f>IFERROR(__xludf.DUMMYFUNCTION("""COMPUTED_VALUE"""),"-")</f>
        <v>-</v>
      </c>
      <c r="V732" s="97" t="str">
        <f>IFERROR(__xludf.DUMMYFUNCTION("""COMPUTED_VALUE"""),"N/A")</f>
        <v>N/A</v>
      </c>
      <c r="W732" s="97" t="str">
        <f>IFERROR(__xludf.DUMMYFUNCTION("""COMPUTED_VALUE"""),"N/A")</f>
        <v>N/A</v>
      </c>
      <c r="X732" s="97" t="str">
        <f>IFERROR(__xludf.DUMMYFUNCTION("""COMPUTED_VALUE"""),"-")</f>
        <v>-</v>
      </c>
      <c r="Y732" s="97" t="str">
        <f>IFERROR(__xludf.DUMMYFUNCTION("""COMPUTED_VALUE"""),"N/A")</f>
        <v>N/A</v>
      </c>
      <c r="Z732" s="97" t="str">
        <f>IFERROR(__xludf.DUMMYFUNCTION("""COMPUTED_VALUE"""),"N/A")</f>
        <v>N/A</v>
      </c>
      <c r="AA732" s="97" t="str">
        <f>IFERROR(__xludf.DUMMYFUNCTION("""COMPUTED_VALUE"""),"N/A")</f>
        <v>N/A</v>
      </c>
      <c r="AB732" s="97" t="str">
        <f>IFERROR(__xludf.DUMMYFUNCTION("""COMPUTED_VALUE"""),"N/A")</f>
        <v>N/A</v>
      </c>
      <c r="AC732" s="97" t="str">
        <f>IFERROR(__xludf.DUMMYFUNCTION("""COMPUTED_VALUE"""),"N/A")</f>
        <v>N/A</v>
      </c>
      <c r="AD732" s="97" t="str">
        <f>IFERROR(__xludf.DUMMYFUNCTION("""COMPUTED_VALUE"""),"IP20")</f>
        <v>IP20</v>
      </c>
      <c r="AE732" s="97" t="str">
        <f>IFERROR(__xludf.DUMMYFUNCTION("""COMPUTED_VALUE"""),"Clase ll")</f>
        <v>Clase ll</v>
      </c>
      <c r="AF732" s="97" t="str">
        <f>IFERROR(__xludf.DUMMYFUNCTION("""COMPUTED_VALUE"""),"Autoportante")</f>
        <v>Autoportante</v>
      </c>
      <c r="AG732" s="97" t="str">
        <f>IFERROR(__xludf.DUMMYFUNCTION("""COMPUTED_VALUE"""),"Ø250 x 1300")</f>
        <v>Ø250 x 1300</v>
      </c>
      <c r="AH732" s="97" t="str">
        <f>IFERROR(__xludf.DUMMYFUNCTION("""COMPUTED_VALUE"""),"N/A")</f>
        <v>N/A</v>
      </c>
      <c r="AI732" s="97" t="str">
        <f>IFERROR(__xludf.DUMMYFUNCTION("""COMPUTED_VALUE"""),"N/A")</f>
        <v>N/A</v>
      </c>
      <c r="AJ732" s="97" t="str">
        <f>IFERROR(__xludf.DUMMYFUNCTION("""COMPUTED_VALUE"""),"N/A")</f>
        <v>N/A</v>
      </c>
      <c r="AK732" s="97" t="str">
        <f>IFERROR(__xludf.DUMMYFUNCTION("""COMPUTED_VALUE"""),"Acero")</f>
        <v>Acero</v>
      </c>
      <c r="AL732" s="97" t="str">
        <f>IFERROR(__xludf.DUMMYFUNCTION("""COMPUTED_VALUE"""),"Blanco Mate")</f>
        <v>Blanco Mate</v>
      </c>
      <c r="AM732" s="97" t="str">
        <f>IFERROR(__xludf.DUMMYFUNCTION("""COMPUTED_VALUE"""),"-")</f>
        <v>-</v>
      </c>
      <c r="AN732" s="97" t="str">
        <f>IFERROR(__xludf.DUMMYFUNCTION("""COMPUTED_VALUE"""),"N/A")</f>
        <v>N/A</v>
      </c>
      <c r="AO732" s="97" t="str">
        <f>IFERROR(__xludf.DUMMYFUNCTION("""COMPUTED_VALUE"""),"2 Años")</f>
        <v>2 Años</v>
      </c>
      <c r="AP732" s="97" t="str">
        <f>IFERROR(__xludf.DUMMYFUNCTION("""COMPUTED_VALUE"""),"No Aplica")</f>
        <v>No Aplica</v>
      </c>
      <c r="AQ732" s="97" t="str">
        <f>IFERROR(__xludf.DUMMYFUNCTION("""COMPUTED_VALUE"""),"No Aplica")</f>
        <v>No Aplica</v>
      </c>
      <c r="AR732" s="97" t="str">
        <f>IFERROR(__xludf.DUMMYFUNCTION("""COMPUTED_VALUE"""),"No Aplica")</f>
        <v>No Aplica</v>
      </c>
      <c r="AS732" s="97"/>
      <c r="AT732" s="97"/>
      <c r="AU732" s="97" t="str">
        <f>IFERROR(__xludf.DUMMYFUNCTION("""COMPUTED_VALUE"""),"Falta")</f>
        <v>Falta</v>
      </c>
      <c r="AV732" s="97" t="str">
        <f>IFERROR(__xludf.DUMMYFUNCTION("""COMPUTED_VALUE"""),"Pie")</f>
        <v>Pie</v>
      </c>
      <c r="AW732" s="97" t="str">
        <f>IFERROR(__xludf.DUMMYFUNCTION("""COMPUTED_VALUE"""),"De Apoyo")</f>
        <v>De Apoyo</v>
      </c>
      <c r="AX732" s="97" t="str">
        <f>IFERROR(__xludf.DUMMYFUNCTION("""COMPUTED_VALUE"""),"Interior")</f>
        <v>Interior</v>
      </c>
      <c r="AY732" s="97" t="str">
        <f>IFERROR(__xludf.DUMMYFUNCTION("""COMPUTED_VALUE"""),"-")</f>
        <v>-</v>
      </c>
      <c r="AZ732" s="97"/>
      <c r="BA732" s="97">
        <f>IFERROR(__xludf.DUMMYFUNCTION("""COMPUTED_VALUE"""),1.0)</f>
        <v>1</v>
      </c>
      <c r="BB732" s="97" t="str">
        <f>IFERROR(__xludf.DUMMYFUNCTION("""COMPUTED_VALUE"""),"-")</f>
        <v>-</v>
      </c>
      <c r="BC732" s="97" t="str">
        <f>IFERROR(__xludf.DUMMYFUNCTION("""COMPUTED_VALUE"""),"-")</f>
        <v>-</v>
      </c>
      <c r="BD732" s="97" t="str">
        <f>IFERROR(__xludf.DUMMYFUNCTION("""COMPUTED_VALUE"""),"LAMPY DE PIE")</f>
        <v>LAMPY DE PIE</v>
      </c>
      <c r="BE732" s="97" t="str">
        <f>IFERROR(__xludf.DUMMYFUNCTION("""COMPUTED_VALUE"""),"Finalizada")</f>
        <v>Finalizada</v>
      </c>
      <c r="BF732" s="97"/>
      <c r="BG732" s="97" t="str">
        <f>IFERROR(__xludf.DUMMYFUNCTION("""COMPUTED_VALUE"""),"Activo")</f>
        <v>Activo</v>
      </c>
    </row>
    <row r="733">
      <c r="A733" s="97">
        <f>IFERROR(__xludf.DUMMYFUNCTION("""COMPUTED_VALUE"""),6492.0)</f>
        <v>6492</v>
      </c>
      <c r="B733" s="97" t="str">
        <f>IFERROR(__xludf.DUMMYFUNCTION("""COMPUTED_VALUE"""),"LAMPY P AZ")</f>
        <v>LAMPY P AZ</v>
      </c>
      <c r="C733" s="97" t="str">
        <f>IFERROR(__xludf.DUMMYFUNCTION("""COMPUTED_VALUE"""),"PIE LAMPY P AZ E27 IP20 LEUK")</f>
        <v>PIE LAMPY P AZ E27 IP20 LEUK</v>
      </c>
      <c r="D733" s="99">
        <f>IFERROR(__xludf.DUMMYFUNCTION("""COMPUTED_VALUE"""),7.798413220728E12)</f>
        <v>7798413220728</v>
      </c>
      <c r="E733" s="97" t="str">
        <f>IFERROR(__xludf.DUMMYFUNCTION("""COMPUTED_VALUE"""),"N/A")</f>
        <v>N/A</v>
      </c>
      <c r="F733" s="97" t="str">
        <f>IFERROR(__xludf.DUMMYFUNCTION("""COMPUTED_VALUE"""),"E27")</f>
        <v>E27</v>
      </c>
      <c r="G733" s="97" t="str">
        <f>IFERROR(__xludf.DUMMYFUNCTION("""COMPUTED_VALUE"""),"N/A")</f>
        <v>N/A</v>
      </c>
      <c r="H733" s="97" t="str">
        <f>IFERROR(__xludf.DUMMYFUNCTION("""COMPUTED_VALUE"""),"N/A")</f>
        <v>N/A</v>
      </c>
      <c r="I733" s="97" t="str">
        <f>IFERROR(__xludf.DUMMYFUNCTION("""COMPUTED_VALUE"""),"N/A")</f>
        <v>N/A</v>
      </c>
      <c r="J733" s="97" t="str">
        <f>IFERROR(__xludf.DUMMYFUNCTION("""COMPUTED_VALUE"""),"N/A")</f>
        <v>N/A</v>
      </c>
      <c r="K733" s="97" t="str">
        <f>IFERROR(__xludf.DUMMYFUNCTION("""COMPUTED_VALUE"""),"N/A")</f>
        <v>N/A</v>
      </c>
      <c r="L733" s="97">
        <f>IFERROR(__xludf.DUMMYFUNCTION("""COMPUTED_VALUE"""),220.0)</f>
        <v>220</v>
      </c>
      <c r="M733" s="97">
        <f>IFERROR(__xludf.DUMMYFUNCTION("""COMPUTED_VALUE"""),50.0)</f>
        <v>50</v>
      </c>
      <c r="N733" s="97"/>
      <c r="O733" s="97" t="str">
        <f>IFERROR(__xludf.DUMMYFUNCTION("""COMPUTED_VALUE"""),"-")</f>
        <v>-</v>
      </c>
      <c r="P733" s="97"/>
      <c r="Q733" s="97" t="str">
        <f>IFERROR(__xludf.DUMMYFUNCTION("""COMPUTED_VALUE"""),"-")</f>
        <v>-</v>
      </c>
      <c r="R733" s="97" t="str">
        <f>IFERROR(__xludf.DUMMYFUNCTION("""COMPUTED_VALUE"""),"-")</f>
        <v>-</v>
      </c>
      <c r="S733" s="97" t="str">
        <f>IFERROR(__xludf.DUMMYFUNCTION("""COMPUTED_VALUE"""),"-")</f>
        <v>-</v>
      </c>
      <c r="T733" s="97" t="str">
        <f>IFERROR(__xludf.DUMMYFUNCTION("""COMPUTED_VALUE"""),"-")</f>
        <v>-</v>
      </c>
      <c r="U733" s="97" t="str">
        <f>IFERROR(__xludf.DUMMYFUNCTION("""COMPUTED_VALUE"""),"-")</f>
        <v>-</v>
      </c>
      <c r="V733" s="97" t="str">
        <f>IFERROR(__xludf.DUMMYFUNCTION("""COMPUTED_VALUE"""),"N/A")</f>
        <v>N/A</v>
      </c>
      <c r="W733" s="97" t="str">
        <f>IFERROR(__xludf.DUMMYFUNCTION("""COMPUTED_VALUE"""),"N/A")</f>
        <v>N/A</v>
      </c>
      <c r="X733" s="97" t="str">
        <f>IFERROR(__xludf.DUMMYFUNCTION("""COMPUTED_VALUE"""),"-")</f>
        <v>-</v>
      </c>
      <c r="Y733" s="97" t="str">
        <f>IFERROR(__xludf.DUMMYFUNCTION("""COMPUTED_VALUE"""),"N/A")</f>
        <v>N/A</v>
      </c>
      <c r="Z733" s="97" t="str">
        <f>IFERROR(__xludf.DUMMYFUNCTION("""COMPUTED_VALUE"""),"N/A")</f>
        <v>N/A</v>
      </c>
      <c r="AA733" s="97" t="str">
        <f>IFERROR(__xludf.DUMMYFUNCTION("""COMPUTED_VALUE"""),"N/A")</f>
        <v>N/A</v>
      </c>
      <c r="AB733" s="97" t="str">
        <f>IFERROR(__xludf.DUMMYFUNCTION("""COMPUTED_VALUE"""),"N/A")</f>
        <v>N/A</v>
      </c>
      <c r="AC733" s="97" t="str">
        <f>IFERROR(__xludf.DUMMYFUNCTION("""COMPUTED_VALUE"""),"N/A")</f>
        <v>N/A</v>
      </c>
      <c r="AD733" s="97" t="str">
        <f>IFERROR(__xludf.DUMMYFUNCTION("""COMPUTED_VALUE"""),"IP20")</f>
        <v>IP20</v>
      </c>
      <c r="AE733" s="97" t="str">
        <f>IFERROR(__xludf.DUMMYFUNCTION("""COMPUTED_VALUE"""),"Clase ll")</f>
        <v>Clase ll</v>
      </c>
      <c r="AF733" s="97" t="str">
        <f>IFERROR(__xludf.DUMMYFUNCTION("""COMPUTED_VALUE"""),"Autoportante")</f>
        <v>Autoportante</v>
      </c>
      <c r="AG733" s="97" t="str">
        <f>IFERROR(__xludf.DUMMYFUNCTION("""COMPUTED_VALUE"""),"Ø250 x 1300")</f>
        <v>Ø250 x 1300</v>
      </c>
      <c r="AH733" s="97" t="str">
        <f>IFERROR(__xludf.DUMMYFUNCTION("""COMPUTED_VALUE"""),"N/A")</f>
        <v>N/A</v>
      </c>
      <c r="AI733" s="97" t="str">
        <f>IFERROR(__xludf.DUMMYFUNCTION("""COMPUTED_VALUE"""),"N/A")</f>
        <v>N/A</v>
      </c>
      <c r="AJ733" s="97" t="str">
        <f>IFERROR(__xludf.DUMMYFUNCTION("""COMPUTED_VALUE"""),"N/A")</f>
        <v>N/A</v>
      </c>
      <c r="AK733" s="97" t="str">
        <f>IFERROR(__xludf.DUMMYFUNCTION("""COMPUTED_VALUE"""),"Acero")</f>
        <v>Acero</v>
      </c>
      <c r="AL733" s="97" t="str">
        <f>IFERROR(__xludf.DUMMYFUNCTION("""COMPUTED_VALUE"""),"Azul")</f>
        <v>Azul</v>
      </c>
      <c r="AM733" s="97" t="str">
        <f>IFERROR(__xludf.DUMMYFUNCTION("""COMPUTED_VALUE"""),"-")</f>
        <v>-</v>
      </c>
      <c r="AN733" s="97" t="str">
        <f>IFERROR(__xludf.DUMMYFUNCTION("""COMPUTED_VALUE"""),"N/A")</f>
        <v>N/A</v>
      </c>
      <c r="AO733" s="97" t="str">
        <f>IFERROR(__xludf.DUMMYFUNCTION("""COMPUTED_VALUE"""),"2 Años")</f>
        <v>2 Años</v>
      </c>
      <c r="AP733" s="97" t="str">
        <f>IFERROR(__xludf.DUMMYFUNCTION("""COMPUTED_VALUE"""),"No Aplica")</f>
        <v>No Aplica</v>
      </c>
      <c r="AQ733" s="97" t="str">
        <f>IFERROR(__xludf.DUMMYFUNCTION("""COMPUTED_VALUE"""),"No Aplica")</f>
        <v>No Aplica</v>
      </c>
      <c r="AR733" s="97" t="str">
        <f>IFERROR(__xludf.DUMMYFUNCTION("""COMPUTED_VALUE"""),"No Aplica")</f>
        <v>No Aplica</v>
      </c>
      <c r="AS733" s="97"/>
      <c r="AT733" s="97"/>
      <c r="AU733" s="97" t="str">
        <f>IFERROR(__xludf.DUMMYFUNCTION("""COMPUTED_VALUE"""),"Falta")</f>
        <v>Falta</v>
      </c>
      <c r="AV733" s="97" t="str">
        <f>IFERROR(__xludf.DUMMYFUNCTION("""COMPUTED_VALUE"""),"Pie")</f>
        <v>Pie</v>
      </c>
      <c r="AW733" s="97" t="str">
        <f>IFERROR(__xludf.DUMMYFUNCTION("""COMPUTED_VALUE"""),"De Apoyo")</f>
        <v>De Apoyo</v>
      </c>
      <c r="AX733" s="97" t="str">
        <f>IFERROR(__xludf.DUMMYFUNCTION("""COMPUTED_VALUE"""),"Interior")</f>
        <v>Interior</v>
      </c>
      <c r="AY733" s="97" t="str">
        <f>IFERROR(__xludf.DUMMYFUNCTION("""COMPUTED_VALUE"""),"-")</f>
        <v>-</v>
      </c>
      <c r="AZ733" s="97"/>
      <c r="BA733" s="97">
        <f>IFERROR(__xludf.DUMMYFUNCTION("""COMPUTED_VALUE"""),1.0)</f>
        <v>1</v>
      </c>
      <c r="BB733" s="97" t="str">
        <f>IFERROR(__xludf.DUMMYFUNCTION("""COMPUTED_VALUE"""),"-")</f>
        <v>-</v>
      </c>
      <c r="BC733" s="97" t="str">
        <f>IFERROR(__xludf.DUMMYFUNCTION("""COMPUTED_VALUE"""),"-")</f>
        <v>-</v>
      </c>
      <c r="BD733" s="97" t="str">
        <f>IFERROR(__xludf.DUMMYFUNCTION("""COMPUTED_VALUE"""),"LAMPY DE PIE")</f>
        <v>LAMPY DE PIE</v>
      </c>
      <c r="BE733" s="97" t="str">
        <f>IFERROR(__xludf.DUMMYFUNCTION("""COMPUTED_VALUE"""),"Finalizada")</f>
        <v>Finalizada</v>
      </c>
      <c r="BF733" s="97"/>
      <c r="BG733" s="97" t="str">
        <f>IFERROR(__xludf.DUMMYFUNCTION("""COMPUTED_VALUE"""),"Activo")</f>
        <v>Activo</v>
      </c>
    </row>
    <row r="734">
      <c r="A734" s="97">
        <f>IFERROR(__xludf.DUMMYFUNCTION("""COMPUTED_VALUE"""),6493.0)</f>
        <v>6493</v>
      </c>
      <c r="B734" s="97" t="str">
        <f>IFERROR(__xludf.DUMMYFUNCTION("""COMPUTED_VALUE"""),"LAMPY P VR")</f>
        <v>LAMPY P VR</v>
      </c>
      <c r="C734" s="97" t="str">
        <f>IFERROR(__xludf.DUMMYFUNCTION("""COMPUTED_VALUE"""),"PIE LAMPY P VR E27 IP20 LEUK")</f>
        <v>PIE LAMPY P VR E27 IP20 LEUK</v>
      </c>
      <c r="D734" s="99">
        <f>IFERROR(__xludf.DUMMYFUNCTION("""COMPUTED_VALUE"""),7.798413220735E12)</f>
        <v>7798413220735</v>
      </c>
      <c r="E734" s="97" t="str">
        <f>IFERROR(__xludf.DUMMYFUNCTION("""COMPUTED_VALUE"""),"N/A")</f>
        <v>N/A</v>
      </c>
      <c r="F734" s="97" t="str">
        <f>IFERROR(__xludf.DUMMYFUNCTION("""COMPUTED_VALUE"""),"E27")</f>
        <v>E27</v>
      </c>
      <c r="G734" s="97" t="str">
        <f>IFERROR(__xludf.DUMMYFUNCTION("""COMPUTED_VALUE"""),"N/A")</f>
        <v>N/A</v>
      </c>
      <c r="H734" s="97" t="str">
        <f>IFERROR(__xludf.DUMMYFUNCTION("""COMPUTED_VALUE"""),"N/A")</f>
        <v>N/A</v>
      </c>
      <c r="I734" s="97" t="str">
        <f>IFERROR(__xludf.DUMMYFUNCTION("""COMPUTED_VALUE"""),"N/A")</f>
        <v>N/A</v>
      </c>
      <c r="J734" s="97" t="str">
        <f>IFERROR(__xludf.DUMMYFUNCTION("""COMPUTED_VALUE"""),"N/A")</f>
        <v>N/A</v>
      </c>
      <c r="K734" s="97" t="str">
        <f>IFERROR(__xludf.DUMMYFUNCTION("""COMPUTED_VALUE"""),"N/A")</f>
        <v>N/A</v>
      </c>
      <c r="L734" s="97">
        <f>IFERROR(__xludf.DUMMYFUNCTION("""COMPUTED_VALUE"""),220.0)</f>
        <v>220</v>
      </c>
      <c r="M734" s="97">
        <f>IFERROR(__xludf.DUMMYFUNCTION("""COMPUTED_VALUE"""),50.0)</f>
        <v>50</v>
      </c>
      <c r="N734" s="97"/>
      <c r="O734" s="97" t="str">
        <f>IFERROR(__xludf.DUMMYFUNCTION("""COMPUTED_VALUE"""),"-")</f>
        <v>-</v>
      </c>
      <c r="P734" s="97"/>
      <c r="Q734" s="97" t="str">
        <f>IFERROR(__xludf.DUMMYFUNCTION("""COMPUTED_VALUE"""),"-")</f>
        <v>-</v>
      </c>
      <c r="R734" s="97" t="str">
        <f>IFERROR(__xludf.DUMMYFUNCTION("""COMPUTED_VALUE"""),"-")</f>
        <v>-</v>
      </c>
      <c r="S734" s="97" t="str">
        <f>IFERROR(__xludf.DUMMYFUNCTION("""COMPUTED_VALUE"""),"-")</f>
        <v>-</v>
      </c>
      <c r="T734" s="97" t="str">
        <f>IFERROR(__xludf.DUMMYFUNCTION("""COMPUTED_VALUE"""),"-")</f>
        <v>-</v>
      </c>
      <c r="U734" s="97" t="str">
        <f>IFERROR(__xludf.DUMMYFUNCTION("""COMPUTED_VALUE"""),"-")</f>
        <v>-</v>
      </c>
      <c r="V734" s="97" t="str">
        <f>IFERROR(__xludf.DUMMYFUNCTION("""COMPUTED_VALUE"""),"N/A")</f>
        <v>N/A</v>
      </c>
      <c r="W734" s="97" t="str">
        <f>IFERROR(__xludf.DUMMYFUNCTION("""COMPUTED_VALUE"""),"N/A")</f>
        <v>N/A</v>
      </c>
      <c r="X734" s="97" t="str">
        <f>IFERROR(__xludf.DUMMYFUNCTION("""COMPUTED_VALUE"""),"-")</f>
        <v>-</v>
      </c>
      <c r="Y734" s="97" t="str">
        <f>IFERROR(__xludf.DUMMYFUNCTION("""COMPUTED_VALUE"""),"N/A")</f>
        <v>N/A</v>
      </c>
      <c r="Z734" s="97" t="str">
        <f>IFERROR(__xludf.DUMMYFUNCTION("""COMPUTED_VALUE"""),"N/A")</f>
        <v>N/A</v>
      </c>
      <c r="AA734" s="97" t="str">
        <f>IFERROR(__xludf.DUMMYFUNCTION("""COMPUTED_VALUE"""),"N/A")</f>
        <v>N/A</v>
      </c>
      <c r="AB734" s="97" t="str">
        <f>IFERROR(__xludf.DUMMYFUNCTION("""COMPUTED_VALUE"""),"N/A")</f>
        <v>N/A</v>
      </c>
      <c r="AC734" s="97" t="str">
        <f>IFERROR(__xludf.DUMMYFUNCTION("""COMPUTED_VALUE"""),"N/A")</f>
        <v>N/A</v>
      </c>
      <c r="AD734" s="97" t="str">
        <f>IFERROR(__xludf.DUMMYFUNCTION("""COMPUTED_VALUE"""),"IP20")</f>
        <v>IP20</v>
      </c>
      <c r="AE734" s="97" t="str">
        <f>IFERROR(__xludf.DUMMYFUNCTION("""COMPUTED_VALUE"""),"Clase ll")</f>
        <v>Clase ll</v>
      </c>
      <c r="AF734" s="97" t="str">
        <f>IFERROR(__xludf.DUMMYFUNCTION("""COMPUTED_VALUE"""),"Autoportante")</f>
        <v>Autoportante</v>
      </c>
      <c r="AG734" s="97" t="str">
        <f>IFERROR(__xludf.DUMMYFUNCTION("""COMPUTED_VALUE"""),"Ø250 x 1300")</f>
        <v>Ø250 x 1300</v>
      </c>
      <c r="AH734" s="97" t="str">
        <f>IFERROR(__xludf.DUMMYFUNCTION("""COMPUTED_VALUE"""),"N/A")</f>
        <v>N/A</v>
      </c>
      <c r="AI734" s="97" t="str">
        <f>IFERROR(__xludf.DUMMYFUNCTION("""COMPUTED_VALUE"""),"N/A")</f>
        <v>N/A</v>
      </c>
      <c r="AJ734" s="97" t="str">
        <f>IFERROR(__xludf.DUMMYFUNCTION("""COMPUTED_VALUE"""),"N/A")</f>
        <v>N/A</v>
      </c>
      <c r="AK734" s="97" t="str">
        <f>IFERROR(__xludf.DUMMYFUNCTION("""COMPUTED_VALUE"""),"Acero")</f>
        <v>Acero</v>
      </c>
      <c r="AL734" s="97" t="str">
        <f>IFERROR(__xludf.DUMMYFUNCTION("""COMPUTED_VALUE"""),"Verde")</f>
        <v>Verde</v>
      </c>
      <c r="AM734" s="97" t="str">
        <f>IFERROR(__xludf.DUMMYFUNCTION("""COMPUTED_VALUE"""),"-")</f>
        <v>-</v>
      </c>
      <c r="AN734" s="97" t="str">
        <f>IFERROR(__xludf.DUMMYFUNCTION("""COMPUTED_VALUE"""),"N/A")</f>
        <v>N/A</v>
      </c>
      <c r="AO734" s="97" t="str">
        <f>IFERROR(__xludf.DUMMYFUNCTION("""COMPUTED_VALUE"""),"2 Años")</f>
        <v>2 Años</v>
      </c>
      <c r="AP734" s="97" t="str">
        <f>IFERROR(__xludf.DUMMYFUNCTION("""COMPUTED_VALUE"""),"No Aplica")</f>
        <v>No Aplica</v>
      </c>
      <c r="AQ734" s="97" t="str">
        <f>IFERROR(__xludf.DUMMYFUNCTION("""COMPUTED_VALUE"""),"No Aplica")</f>
        <v>No Aplica</v>
      </c>
      <c r="AR734" s="97" t="str">
        <f>IFERROR(__xludf.DUMMYFUNCTION("""COMPUTED_VALUE"""),"No Aplica")</f>
        <v>No Aplica</v>
      </c>
      <c r="AS734" s="97"/>
      <c r="AT734" s="97"/>
      <c r="AU734" s="97" t="str">
        <f>IFERROR(__xludf.DUMMYFUNCTION("""COMPUTED_VALUE"""),"Falta")</f>
        <v>Falta</v>
      </c>
      <c r="AV734" s="97" t="str">
        <f>IFERROR(__xludf.DUMMYFUNCTION("""COMPUTED_VALUE"""),"Pie")</f>
        <v>Pie</v>
      </c>
      <c r="AW734" s="97" t="str">
        <f>IFERROR(__xludf.DUMMYFUNCTION("""COMPUTED_VALUE"""),"De Apoyo")</f>
        <v>De Apoyo</v>
      </c>
      <c r="AX734" s="97" t="str">
        <f>IFERROR(__xludf.DUMMYFUNCTION("""COMPUTED_VALUE"""),"Interior")</f>
        <v>Interior</v>
      </c>
      <c r="AY734" s="97" t="str">
        <f>IFERROR(__xludf.DUMMYFUNCTION("""COMPUTED_VALUE"""),"-")</f>
        <v>-</v>
      </c>
      <c r="AZ734" s="97"/>
      <c r="BA734" s="97">
        <f>IFERROR(__xludf.DUMMYFUNCTION("""COMPUTED_VALUE"""),1.0)</f>
        <v>1</v>
      </c>
      <c r="BB734" s="97" t="str">
        <f>IFERROR(__xludf.DUMMYFUNCTION("""COMPUTED_VALUE"""),"-")</f>
        <v>-</v>
      </c>
      <c r="BC734" s="97" t="str">
        <f>IFERROR(__xludf.DUMMYFUNCTION("""COMPUTED_VALUE"""),"-")</f>
        <v>-</v>
      </c>
      <c r="BD734" s="97" t="str">
        <f>IFERROR(__xludf.DUMMYFUNCTION("""COMPUTED_VALUE"""),"LAMPY DE PIE")</f>
        <v>LAMPY DE PIE</v>
      </c>
      <c r="BE734" s="97" t="str">
        <f>IFERROR(__xludf.DUMMYFUNCTION("""COMPUTED_VALUE"""),"Finalizada")</f>
        <v>Finalizada</v>
      </c>
      <c r="BF734" s="97"/>
      <c r="BG734" s="97" t="str">
        <f>IFERROR(__xludf.DUMMYFUNCTION("""COMPUTED_VALUE"""),"Activo")</f>
        <v>Activo</v>
      </c>
    </row>
    <row r="735">
      <c r="A735" s="97">
        <f>IFERROR(__xludf.DUMMYFUNCTION("""COMPUTED_VALUE"""),6494.0)</f>
        <v>6494</v>
      </c>
      <c r="B735" s="97" t="str">
        <f>IFERROR(__xludf.DUMMYFUNCTION("""COMPUTED_VALUE"""),"LAMPY P BD")</f>
        <v>LAMPY P BD</v>
      </c>
      <c r="C735" s="97" t="str">
        <f>IFERROR(__xludf.DUMMYFUNCTION("""COMPUTED_VALUE"""),"PIE LAMPY P BD E27 IP20 LEUK")</f>
        <v>PIE LAMPY P BD E27 IP20 LEUK</v>
      </c>
      <c r="D735" s="99">
        <f>IFERROR(__xludf.DUMMYFUNCTION("""COMPUTED_VALUE"""),7.798413220742E12)</f>
        <v>7798413220742</v>
      </c>
      <c r="E735" s="97" t="str">
        <f>IFERROR(__xludf.DUMMYFUNCTION("""COMPUTED_VALUE"""),"N/A")</f>
        <v>N/A</v>
      </c>
      <c r="F735" s="97" t="str">
        <f>IFERROR(__xludf.DUMMYFUNCTION("""COMPUTED_VALUE"""),"E27")</f>
        <v>E27</v>
      </c>
      <c r="G735" s="97" t="str">
        <f>IFERROR(__xludf.DUMMYFUNCTION("""COMPUTED_VALUE"""),"N/A")</f>
        <v>N/A</v>
      </c>
      <c r="H735" s="97" t="str">
        <f>IFERROR(__xludf.DUMMYFUNCTION("""COMPUTED_VALUE"""),"N/A")</f>
        <v>N/A</v>
      </c>
      <c r="I735" s="97" t="str">
        <f>IFERROR(__xludf.DUMMYFUNCTION("""COMPUTED_VALUE"""),"N/A")</f>
        <v>N/A</v>
      </c>
      <c r="J735" s="97" t="str">
        <f>IFERROR(__xludf.DUMMYFUNCTION("""COMPUTED_VALUE"""),"N/A")</f>
        <v>N/A</v>
      </c>
      <c r="K735" s="97" t="str">
        <f>IFERROR(__xludf.DUMMYFUNCTION("""COMPUTED_VALUE"""),"N/A")</f>
        <v>N/A</v>
      </c>
      <c r="L735" s="97">
        <f>IFERROR(__xludf.DUMMYFUNCTION("""COMPUTED_VALUE"""),220.0)</f>
        <v>220</v>
      </c>
      <c r="M735" s="97">
        <f>IFERROR(__xludf.DUMMYFUNCTION("""COMPUTED_VALUE"""),50.0)</f>
        <v>50</v>
      </c>
      <c r="N735" s="97"/>
      <c r="O735" s="97" t="str">
        <f>IFERROR(__xludf.DUMMYFUNCTION("""COMPUTED_VALUE"""),"-")</f>
        <v>-</v>
      </c>
      <c r="P735" s="97"/>
      <c r="Q735" s="97" t="str">
        <f>IFERROR(__xludf.DUMMYFUNCTION("""COMPUTED_VALUE"""),"-")</f>
        <v>-</v>
      </c>
      <c r="R735" s="97" t="str">
        <f>IFERROR(__xludf.DUMMYFUNCTION("""COMPUTED_VALUE"""),"-")</f>
        <v>-</v>
      </c>
      <c r="S735" s="97" t="str">
        <f>IFERROR(__xludf.DUMMYFUNCTION("""COMPUTED_VALUE"""),"-")</f>
        <v>-</v>
      </c>
      <c r="T735" s="97" t="str">
        <f>IFERROR(__xludf.DUMMYFUNCTION("""COMPUTED_VALUE"""),"-")</f>
        <v>-</v>
      </c>
      <c r="U735" s="97" t="str">
        <f>IFERROR(__xludf.DUMMYFUNCTION("""COMPUTED_VALUE"""),"-")</f>
        <v>-</v>
      </c>
      <c r="V735" s="97" t="str">
        <f>IFERROR(__xludf.DUMMYFUNCTION("""COMPUTED_VALUE"""),"N/A")</f>
        <v>N/A</v>
      </c>
      <c r="W735" s="97" t="str">
        <f>IFERROR(__xludf.DUMMYFUNCTION("""COMPUTED_VALUE"""),"N/A")</f>
        <v>N/A</v>
      </c>
      <c r="X735" s="97" t="str">
        <f>IFERROR(__xludf.DUMMYFUNCTION("""COMPUTED_VALUE"""),"-")</f>
        <v>-</v>
      </c>
      <c r="Y735" s="97" t="str">
        <f>IFERROR(__xludf.DUMMYFUNCTION("""COMPUTED_VALUE"""),"N/A")</f>
        <v>N/A</v>
      </c>
      <c r="Z735" s="97" t="str">
        <f>IFERROR(__xludf.DUMMYFUNCTION("""COMPUTED_VALUE"""),"N/A")</f>
        <v>N/A</v>
      </c>
      <c r="AA735" s="97" t="str">
        <f>IFERROR(__xludf.DUMMYFUNCTION("""COMPUTED_VALUE"""),"N/A")</f>
        <v>N/A</v>
      </c>
      <c r="AB735" s="97" t="str">
        <f>IFERROR(__xludf.DUMMYFUNCTION("""COMPUTED_VALUE"""),"N/A")</f>
        <v>N/A</v>
      </c>
      <c r="AC735" s="97" t="str">
        <f>IFERROR(__xludf.DUMMYFUNCTION("""COMPUTED_VALUE"""),"N/A")</f>
        <v>N/A</v>
      </c>
      <c r="AD735" s="97" t="str">
        <f>IFERROR(__xludf.DUMMYFUNCTION("""COMPUTED_VALUE"""),"IP20")</f>
        <v>IP20</v>
      </c>
      <c r="AE735" s="97" t="str">
        <f>IFERROR(__xludf.DUMMYFUNCTION("""COMPUTED_VALUE"""),"Clase ll")</f>
        <v>Clase ll</v>
      </c>
      <c r="AF735" s="97" t="str">
        <f>IFERROR(__xludf.DUMMYFUNCTION("""COMPUTED_VALUE"""),"Autoportante")</f>
        <v>Autoportante</v>
      </c>
      <c r="AG735" s="97" t="str">
        <f>IFERROR(__xludf.DUMMYFUNCTION("""COMPUTED_VALUE"""),"Ø250 x 1300")</f>
        <v>Ø250 x 1300</v>
      </c>
      <c r="AH735" s="97" t="str">
        <f>IFERROR(__xludf.DUMMYFUNCTION("""COMPUTED_VALUE"""),"N/A")</f>
        <v>N/A</v>
      </c>
      <c r="AI735" s="97" t="str">
        <f>IFERROR(__xludf.DUMMYFUNCTION("""COMPUTED_VALUE"""),"N/A")</f>
        <v>N/A</v>
      </c>
      <c r="AJ735" s="97" t="str">
        <f>IFERROR(__xludf.DUMMYFUNCTION("""COMPUTED_VALUE"""),"N/A")</f>
        <v>N/A</v>
      </c>
      <c r="AK735" s="97" t="str">
        <f>IFERROR(__xludf.DUMMYFUNCTION("""COMPUTED_VALUE"""),"Acero")</f>
        <v>Acero</v>
      </c>
      <c r="AL735" s="97" t="str">
        <f>IFERROR(__xludf.DUMMYFUNCTION("""COMPUTED_VALUE"""),"Bordó")</f>
        <v>Bordó</v>
      </c>
      <c r="AM735" s="97" t="str">
        <f>IFERROR(__xludf.DUMMYFUNCTION("""COMPUTED_VALUE"""),"-")</f>
        <v>-</v>
      </c>
      <c r="AN735" s="97" t="str">
        <f>IFERROR(__xludf.DUMMYFUNCTION("""COMPUTED_VALUE"""),"N/A")</f>
        <v>N/A</v>
      </c>
      <c r="AO735" s="97" t="str">
        <f>IFERROR(__xludf.DUMMYFUNCTION("""COMPUTED_VALUE"""),"2 Años")</f>
        <v>2 Años</v>
      </c>
      <c r="AP735" s="97" t="str">
        <f>IFERROR(__xludf.DUMMYFUNCTION("""COMPUTED_VALUE"""),"No Aplica")</f>
        <v>No Aplica</v>
      </c>
      <c r="AQ735" s="97" t="str">
        <f>IFERROR(__xludf.DUMMYFUNCTION("""COMPUTED_VALUE"""),"No Aplica")</f>
        <v>No Aplica</v>
      </c>
      <c r="AR735" s="97" t="str">
        <f>IFERROR(__xludf.DUMMYFUNCTION("""COMPUTED_VALUE"""),"No Aplica")</f>
        <v>No Aplica</v>
      </c>
      <c r="AS735" s="97"/>
      <c r="AT735" s="97"/>
      <c r="AU735" s="97" t="str">
        <f>IFERROR(__xludf.DUMMYFUNCTION("""COMPUTED_VALUE"""),"Falta")</f>
        <v>Falta</v>
      </c>
      <c r="AV735" s="97" t="str">
        <f>IFERROR(__xludf.DUMMYFUNCTION("""COMPUTED_VALUE"""),"Pie")</f>
        <v>Pie</v>
      </c>
      <c r="AW735" s="97" t="str">
        <f>IFERROR(__xludf.DUMMYFUNCTION("""COMPUTED_VALUE"""),"De Apoyo")</f>
        <v>De Apoyo</v>
      </c>
      <c r="AX735" s="97" t="str">
        <f>IFERROR(__xludf.DUMMYFUNCTION("""COMPUTED_VALUE"""),"Interior")</f>
        <v>Interior</v>
      </c>
      <c r="AY735" s="97" t="str">
        <f>IFERROR(__xludf.DUMMYFUNCTION("""COMPUTED_VALUE"""),"-")</f>
        <v>-</v>
      </c>
      <c r="AZ735" s="97"/>
      <c r="BA735" s="97">
        <f>IFERROR(__xludf.DUMMYFUNCTION("""COMPUTED_VALUE"""),1.0)</f>
        <v>1</v>
      </c>
      <c r="BB735" s="97" t="str">
        <f>IFERROR(__xludf.DUMMYFUNCTION("""COMPUTED_VALUE"""),"-")</f>
        <v>-</v>
      </c>
      <c r="BC735" s="97" t="str">
        <f>IFERROR(__xludf.DUMMYFUNCTION("""COMPUTED_VALUE"""),"-")</f>
        <v>-</v>
      </c>
      <c r="BD735" s="97" t="str">
        <f>IFERROR(__xludf.DUMMYFUNCTION("""COMPUTED_VALUE"""),"LAMPY DE PIE")</f>
        <v>LAMPY DE PIE</v>
      </c>
      <c r="BE735" s="97" t="str">
        <f>IFERROR(__xludf.DUMMYFUNCTION("""COMPUTED_VALUE"""),"Finalizada")</f>
        <v>Finalizada</v>
      </c>
      <c r="BF735" s="97"/>
      <c r="BG735" s="97" t="str">
        <f>IFERROR(__xludf.DUMMYFUNCTION("""COMPUTED_VALUE"""),"Activo")</f>
        <v>Activo</v>
      </c>
    </row>
    <row r="736">
      <c r="A736" s="97">
        <f>IFERROR(__xludf.DUMMYFUNCTION("""COMPUTED_VALUE"""),6495.0)</f>
        <v>6495</v>
      </c>
      <c r="B736" s="97" t="str">
        <f>IFERROR(__xludf.DUMMYFUNCTION("""COMPUTED_VALUE"""),"LAMPY A NG")</f>
        <v>LAMPY A NG</v>
      </c>
      <c r="C736" s="97" t="str">
        <f>IFERROR(__xludf.DUMMYFUNCTION("""COMPUTED_VALUE"""),"APLIQUE LAMPY A NG E27 IP20 LEUK")</f>
        <v>APLIQUE LAMPY A NG E27 IP20 LEUK</v>
      </c>
      <c r="D736" s="99">
        <f>IFERROR(__xludf.DUMMYFUNCTION("""COMPUTED_VALUE"""),7.798413220568E12)</f>
        <v>7798413220568</v>
      </c>
      <c r="E736" s="97" t="str">
        <f>IFERROR(__xludf.DUMMYFUNCTION("""COMPUTED_VALUE"""),"N/A")</f>
        <v>N/A</v>
      </c>
      <c r="F736" s="97" t="str">
        <f>IFERROR(__xludf.DUMMYFUNCTION("""COMPUTED_VALUE"""),"E27")</f>
        <v>E27</v>
      </c>
      <c r="G736" s="97" t="str">
        <f>IFERROR(__xludf.DUMMYFUNCTION("""COMPUTED_VALUE"""),"N/A")</f>
        <v>N/A</v>
      </c>
      <c r="H736" s="97" t="str">
        <f>IFERROR(__xludf.DUMMYFUNCTION("""COMPUTED_VALUE"""),"N/A")</f>
        <v>N/A</v>
      </c>
      <c r="I736" s="97" t="str">
        <f>IFERROR(__xludf.DUMMYFUNCTION("""COMPUTED_VALUE"""),"N/A")</f>
        <v>N/A</v>
      </c>
      <c r="J736" s="97" t="str">
        <f>IFERROR(__xludf.DUMMYFUNCTION("""COMPUTED_VALUE"""),"N/A")</f>
        <v>N/A</v>
      </c>
      <c r="K736" s="97" t="str">
        <f>IFERROR(__xludf.DUMMYFUNCTION("""COMPUTED_VALUE"""),"N/A")</f>
        <v>N/A</v>
      </c>
      <c r="L736" s="97">
        <f>IFERROR(__xludf.DUMMYFUNCTION("""COMPUTED_VALUE"""),220.0)</f>
        <v>220</v>
      </c>
      <c r="M736" s="97">
        <f>IFERROR(__xludf.DUMMYFUNCTION("""COMPUTED_VALUE"""),50.0)</f>
        <v>50</v>
      </c>
      <c r="N736" s="97"/>
      <c r="O736" s="97" t="str">
        <f>IFERROR(__xludf.DUMMYFUNCTION("""COMPUTED_VALUE"""),"-")</f>
        <v>-</v>
      </c>
      <c r="P736" s="97"/>
      <c r="Q736" s="97" t="str">
        <f>IFERROR(__xludf.DUMMYFUNCTION("""COMPUTED_VALUE"""),"-")</f>
        <v>-</v>
      </c>
      <c r="R736" s="97" t="str">
        <f>IFERROR(__xludf.DUMMYFUNCTION("""COMPUTED_VALUE"""),"-")</f>
        <v>-</v>
      </c>
      <c r="S736" s="97" t="str">
        <f>IFERROR(__xludf.DUMMYFUNCTION("""COMPUTED_VALUE"""),"-")</f>
        <v>-</v>
      </c>
      <c r="T736" s="97" t="str">
        <f>IFERROR(__xludf.DUMMYFUNCTION("""COMPUTED_VALUE"""),"-")</f>
        <v>-</v>
      </c>
      <c r="U736" s="97" t="str">
        <f>IFERROR(__xludf.DUMMYFUNCTION("""COMPUTED_VALUE"""),"-")</f>
        <v>-</v>
      </c>
      <c r="V736" s="97" t="str">
        <f>IFERROR(__xludf.DUMMYFUNCTION("""COMPUTED_VALUE"""),"N/A")</f>
        <v>N/A</v>
      </c>
      <c r="W736" s="97" t="str">
        <f>IFERROR(__xludf.DUMMYFUNCTION("""COMPUTED_VALUE"""),"N/A")</f>
        <v>N/A</v>
      </c>
      <c r="X736" s="97" t="str">
        <f>IFERROR(__xludf.DUMMYFUNCTION("""COMPUTED_VALUE"""),"-")</f>
        <v>-</v>
      </c>
      <c r="Y736" s="97" t="str">
        <f>IFERROR(__xludf.DUMMYFUNCTION("""COMPUTED_VALUE"""),"N/A")</f>
        <v>N/A</v>
      </c>
      <c r="Z736" s="97" t="str">
        <f>IFERROR(__xludf.DUMMYFUNCTION("""COMPUTED_VALUE"""),"N/A")</f>
        <v>N/A</v>
      </c>
      <c r="AA736" s="97" t="str">
        <f>IFERROR(__xludf.DUMMYFUNCTION("""COMPUTED_VALUE"""),"N/A")</f>
        <v>N/A</v>
      </c>
      <c r="AB736" s="97" t="str">
        <f>IFERROR(__xludf.DUMMYFUNCTION("""COMPUTED_VALUE"""),"N/A")</f>
        <v>N/A</v>
      </c>
      <c r="AC736" s="97" t="str">
        <f>IFERROR(__xludf.DUMMYFUNCTION("""COMPUTED_VALUE"""),"N/A")</f>
        <v>N/A</v>
      </c>
      <c r="AD736" s="97" t="str">
        <f>IFERROR(__xludf.DUMMYFUNCTION("""COMPUTED_VALUE"""),"IP20")</f>
        <v>IP20</v>
      </c>
      <c r="AE736" s="97" t="str">
        <f>IFERROR(__xludf.DUMMYFUNCTION("""COMPUTED_VALUE"""),"Clase ll")</f>
        <v>Clase ll</v>
      </c>
      <c r="AF736" s="97" t="str">
        <f>IFERROR(__xludf.DUMMYFUNCTION("""COMPUTED_VALUE"""),"Aplicar")</f>
        <v>Aplicar</v>
      </c>
      <c r="AG736" s="97" t="str">
        <f>IFERROR(__xludf.DUMMYFUNCTION("""COMPUTED_VALUE"""),"116 x 152 x 171")</f>
        <v>116 x 152 x 171</v>
      </c>
      <c r="AH736" s="97" t="str">
        <f>IFERROR(__xludf.DUMMYFUNCTION("""COMPUTED_VALUE"""),"N/A")</f>
        <v>N/A</v>
      </c>
      <c r="AI736" s="97" t="str">
        <f>IFERROR(__xludf.DUMMYFUNCTION("""COMPUTED_VALUE"""),"N/A")</f>
        <v>N/A</v>
      </c>
      <c r="AJ736" s="97" t="str">
        <f>IFERROR(__xludf.DUMMYFUNCTION("""COMPUTED_VALUE"""),"N/A")</f>
        <v>N/A</v>
      </c>
      <c r="AK736" s="97" t="str">
        <f>IFERROR(__xludf.DUMMYFUNCTION("""COMPUTED_VALUE"""),"Acero")</f>
        <v>Acero</v>
      </c>
      <c r="AL736" s="97" t="str">
        <f>IFERROR(__xludf.DUMMYFUNCTION("""COMPUTED_VALUE"""),"Negro Mate")</f>
        <v>Negro Mate</v>
      </c>
      <c r="AM736" s="97" t="str">
        <f>IFERROR(__xludf.DUMMYFUNCTION("""COMPUTED_VALUE"""),"-")</f>
        <v>-</v>
      </c>
      <c r="AN736" s="97" t="str">
        <f>IFERROR(__xludf.DUMMYFUNCTION("""COMPUTED_VALUE"""),"N/A")</f>
        <v>N/A</v>
      </c>
      <c r="AO736" s="97" t="str">
        <f>IFERROR(__xludf.DUMMYFUNCTION("""COMPUTED_VALUE"""),"2 Años")</f>
        <v>2 Años</v>
      </c>
      <c r="AP736" s="97" t="str">
        <f>IFERROR(__xludf.DUMMYFUNCTION("""COMPUTED_VALUE"""),"No Aplica")</f>
        <v>No Aplica</v>
      </c>
      <c r="AQ736" s="97" t="str">
        <f>IFERROR(__xludf.DUMMYFUNCTION("""COMPUTED_VALUE"""),"No Aplica")</f>
        <v>No Aplica</v>
      </c>
      <c r="AR736" s="97" t="str">
        <f>IFERROR(__xludf.DUMMYFUNCTION("""COMPUTED_VALUE"""),"No Aplica")</f>
        <v>No Aplica</v>
      </c>
      <c r="AS736" s="97"/>
      <c r="AT736" s="97"/>
      <c r="AU736" s="97" t="str">
        <f>IFERROR(__xludf.DUMMYFUNCTION("""COMPUTED_VALUE"""),"Falta")</f>
        <v>Falta</v>
      </c>
      <c r="AV736" s="97" t="str">
        <f>IFERROR(__xludf.DUMMYFUNCTION("""COMPUTED_VALUE"""),"Aplique")</f>
        <v>Aplique</v>
      </c>
      <c r="AW736" s="97" t="str">
        <f>IFERROR(__xludf.DUMMYFUNCTION("""COMPUTED_VALUE"""),"De Pared")</f>
        <v>De Pared</v>
      </c>
      <c r="AX736" s="97" t="str">
        <f>IFERROR(__xludf.DUMMYFUNCTION("""COMPUTED_VALUE"""),"Interior")</f>
        <v>Interior</v>
      </c>
      <c r="AY736" s="97" t="str">
        <f>IFERROR(__xludf.DUMMYFUNCTION("""COMPUTED_VALUE"""),"-")</f>
        <v>-</v>
      </c>
      <c r="AZ736" s="97"/>
      <c r="BA736" s="97">
        <f>IFERROR(__xludf.DUMMYFUNCTION("""COMPUTED_VALUE"""),1.0)</f>
        <v>1</v>
      </c>
      <c r="BB736" s="97" t="str">
        <f>IFERROR(__xludf.DUMMYFUNCTION("""COMPUTED_VALUE"""),"-")</f>
        <v>-</v>
      </c>
      <c r="BC736" s="97" t="str">
        <f>IFERROR(__xludf.DUMMYFUNCTION("""COMPUTED_VALUE"""),"-")</f>
        <v>-</v>
      </c>
      <c r="BD736" s="97" t="str">
        <f>IFERROR(__xludf.DUMMYFUNCTION("""COMPUTED_VALUE"""),"LAMPY APLIQUE")</f>
        <v>LAMPY APLIQUE</v>
      </c>
      <c r="BE736" s="97" t="str">
        <f>IFERROR(__xludf.DUMMYFUNCTION("""COMPUTED_VALUE"""),"Finalizada")</f>
        <v>Finalizada</v>
      </c>
      <c r="BF736" s="97"/>
      <c r="BG736" s="97" t="str">
        <f>IFERROR(__xludf.DUMMYFUNCTION("""COMPUTED_VALUE"""),"Activo")</f>
        <v>Activo</v>
      </c>
    </row>
    <row r="737">
      <c r="A737" s="97">
        <f>IFERROR(__xludf.DUMMYFUNCTION("""COMPUTED_VALUE"""),6496.0)</f>
        <v>6496</v>
      </c>
      <c r="B737" s="97" t="str">
        <f>IFERROR(__xludf.DUMMYFUNCTION("""COMPUTED_VALUE"""),"LAMPY A BL")</f>
        <v>LAMPY A BL</v>
      </c>
      <c r="C737" s="97" t="str">
        <f>IFERROR(__xludf.DUMMYFUNCTION("""COMPUTED_VALUE"""),"APLIQUE LAMPY A BL E27 IP20 LEUK")</f>
        <v>APLIQUE LAMPY A BL E27 IP20 LEUK</v>
      </c>
      <c r="D737" s="99">
        <f>IFERROR(__xludf.DUMMYFUNCTION("""COMPUTED_VALUE"""),7.798413220575E12)</f>
        <v>7798413220575</v>
      </c>
      <c r="E737" s="97" t="str">
        <f>IFERROR(__xludf.DUMMYFUNCTION("""COMPUTED_VALUE"""),"N/A")</f>
        <v>N/A</v>
      </c>
      <c r="F737" s="97" t="str">
        <f>IFERROR(__xludf.DUMMYFUNCTION("""COMPUTED_VALUE"""),"E27")</f>
        <v>E27</v>
      </c>
      <c r="G737" s="97" t="str">
        <f>IFERROR(__xludf.DUMMYFUNCTION("""COMPUTED_VALUE"""),"N/A")</f>
        <v>N/A</v>
      </c>
      <c r="H737" s="97" t="str">
        <f>IFERROR(__xludf.DUMMYFUNCTION("""COMPUTED_VALUE"""),"N/A")</f>
        <v>N/A</v>
      </c>
      <c r="I737" s="97" t="str">
        <f>IFERROR(__xludf.DUMMYFUNCTION("""COMPUTED_VALUE"""),"N/A")</f>
        <v>N/A</v>
      </c>
      <c r="J737" s="97" t="str">
        <f>IFERROR(__xludf.DUMMYFUNCTION("""COMPUTED_VALUE"""),"N/A")</f>
        <v>N/A</v>
      </c>
      <c r="K737" s="97" t="str">
        <f>IFERROR(__xludf.DUMMYFUNCTION("""COMPUTED_VALUE"""),"N/A")</f>
        <v>N/A</v>
      </c>
      <c r="L737" s="97">
        <f>IFERROR(__xludf.DUMMYFUNCTION("""COMPUTED_VALUE"""),220.0)</f>
        <v>220</v>
      </c>
      <c r="M737" s="97">
        <f>IFERROR(__xludf.DUMMYFUNCTION("""COMPUTED_VALUE"""),50.0)</f>
        <v>50</v>
      </c>
      <c r="N737" s="97"/>
      <c r="O737" s="97" t="str">
        <f>IFERROR(__xludf.DUMMYFUNCTION("""COMPUTED_VALUE"""),"-")</f>
        <v>-</v>
      </c>
      <c r="P737" s="97"/>
      <c r="Q737" s="97" t="str">
        <f>IFERROR(__xludf.DUMMYFUNCTION("""COMPUTED_VALUE"""),"-")</f>
        <v>-</v>
      </c>
      <c r="R737" s="97" t="str">
        <f>IFERROR(__xludf.DUMMYFUNCTION("""COMPUTED_VALUE"""),"-")</f>
        <v>-</v>
      </c>
      <c r="S737" s="97" t="str">
        <f>IFERROR(__xludf.DUMMYFUNCTION("""COMPUTED_VALUE"""),"-")</f>
        <v>-</v>
      </c>
      <c r="T737" s="97" t="str">
        <f>IFERROR(__xludf.DUMMYFUNCTION("""COMPUTED_VALUE"""),"-")</f>
        <v>-</v>
      </c>
      <c r="U737" s="97" t="str">
        <f>IFERROR(__xludf.DUMMYFUNCTION("""COMPUTED_VALUE"""),"-")</f>
        <v>-</v>
      </c>
      <c r="V737" s="97" t="str">
        <f>IFERROR(__xludf.DUMMYFUNCTION("""COMPUTED_VALUE"""),"N/A")</f>
        <v>N/A</v>
      </c>
      <c r="W737" s="97" t="str">
        <f>IFERROR(__xludf.DUMMYFUNCTION("""COMPUTED_VALUE"""),"N/A")</f>
        <v>N/A</v>
      </c>
      <c r="X737" s="97" t="str">
        <f>IFERROR(__xludf.DUMMYFUNCTION("""COMPUTED_VALUE"""),"-")</f>
        <v>-</v>
      </c>
      <c r="Y737" s="97" t="str">
        <f>IFERROR(__xludf.DUMMYFUNCTION("""COMPUTED_VALUE"""),"N/A")</f>
        <v>N/A</v>
      </c>
      <c r="Z737" s="97" t="str">
        <f>IFERROR(__xludf.DUMMYFUNCTION("""COMPUTED_VALUE"""),"N/A")</f>
        <v>N/A</v>
      </c>
      <c r="AA737" s="97" t="str">
        <f>IFERROR(__xludf.DUMMYFUNCTION("""COMPUTED_VALUE"""),"N/A")</f>
        <v>N/A</v>
      </c>
      <c r="AB737" s="97" t="str">
        <f>IFERROR(__xludf.DUMMYFUNCTION("""COMPUTED_VALUE"""),"N/A")</f>
        <v>N/A</v>
      </c>
      <c r="AC737" s="97" t="str">
        <f>IFERROR(__xludf.DUMMYFUNCTION("""COMPUTED_VALUE"""),"N/A")</f>
        <v>N/A</v>
      </c>
      <c r="AD737" s="97" t="str">
        <f>IFERROR(__xludf.DUMMYFUNCTION("""COMPUTED_VALUE"""),"IP20")</f>
        <v>IP20</v>
      </c>
      <c r="AE737" s="97" t="str">
        <f>IFERROR(__xludf.DUMMYFUNCTION("""COMPUTED_VALUE"""),"Clase ll")</f>
        <v>Clase ll</v>
      </c>
      <c r="AF737" s="97" t="str">
        <f>IFERROR(__xludf.DUMMYFUNCTION("""COMPUTED_VALUE"""),"Aplicar")</f>
        <v>Aplicar</v>
      </c>
      <c r="AG737" s="97" t="str">
        <f>IFERROR(__xludf.DUMMYFUNCTION("""COMPUTED_VALUE"""),"116 x 152 x 171")</f>
        <v>116 x 152 x 171</v>
      </c>
      <c r="AH737" s="97" t="str">
        <f>IFERROR(__xludf.DUMMYFUNCTION("""COMPUTED_VALUE"""),"N/A")</f>
        <v>N/A</v>
      </c>
      <c r="AI737" s="97" t="str">
        <f>IFERROR(__xludf.DUMMYFUNCTION("""COMPUTED_VALUE"""),"N/A")</f>
        <v>N/A</v>
      </c>
      <c r="AJ737" s="97" t="str">
        <f>IFERROR(__xludf.DUMMYFUNCTION("""COMPUTED_VALUE"""),"N/A")</f>
        <v>N/A</v>
      </c>
      <c r="AK737" s="97" t="str">
        <f>IFERROR(__xludf.DUMMYFUNCTION("""COMPUTED_VALUE"""),"Acero")</f>
        <v>Acero</v>
      </c>
      <c r="AL737" s="97" t="str">
        <f>IFERROR(__xludf.DUMMYFUNCTION("""COMPUTED_VALUE"""),"Blanco Mate")</f>
        <v>Blanco Mate</v>
      </c>
      <c r="AM737" s="97" t="str">
        <f>IFERROR(__xludf.DUMMYFUNCTION("""COMPUTED_VALUE"""),"-")</f>
        <v>-</v>
      </c>
      <c r="AN737" s="97" t="str">
        <f>IFERROR(__xludf.DUMMYFUNCTION("""COMPUTED_VALUE"""),"N/A")</f>
        <v>N/A</v>
      </c>
      <c r="AO737" s="97" t="str">
        <f>IFERROR(__xludf.DUMMYFUNCTION("""COMPUTED_VALUE"""),"2 Años")</f>
        <v>2 Años</v>
      </c>
      <c r="AP737" s="97" t="str">
        <f>IFERROR(__xludf.DUMMYFUNCTION("""COMPUTED_VALUE"""),"No Aplica")</f>
        <v>No Aplica</v>
      </c>
      <c r="AQ737" s="97" t="str">
        <f>IFERROR(__xludf.DUMMYFUNCTION("""COMPUTED_VALUE"""),"No Aplica")</f>
        <v>No Aplica</v>
      </c>
      <c r="AR737" s="97" t="str">
        <f>IFERROR(__xludf.DUMMYFUNCTION("""COMPUTED_VALUE"""),"No Aplica")</f>
        <v>No Aplica</v>
      </c>
      <c r="AS737" s="97"/>
      <c r="AT737" s="97"/>
      <c r="AU737" s="97" t="str">
        <f>IFERROR(__xludf.DUMMYFUNCTION("""COMPUTED_VALUE"""),"Falta")</f>
        <v>Falta</v>
      </c>
      <c r="AV737" s="97" t="str">
        <f>IFERROR(__xludf.DUMMYFUNCTION("""COMPUTED_VALUE"""),"Aplique")</f>
        <v>Aplique</v>
      </c>
      <c r="AW737" s="97" t="str">
        <f>IFERROR(__xludf.DUMMYFUNCTION("""COMPUTED_VALUE"""),"De Pared")</f>
        <v>De Pared</v>
      </c>
      <c r="AX737" s="97" t="str">
        <f>IFERROR(__xludf.DUMMYFUNCTION("""COMPUTED_VALUE"""),"Interior")</f>
        <v>Interior</v>
      </c>
      <c r="AY737" s="97" t="str">
        <f>IFERROR(__xludf.DUMMYFUNCTION("""COMPUTED_VALUE"""),"-")</f>
        <v>-</v>
      </c>
      <c r="AZ737" s="97"/>
      <c r="BA737" s="97">
        <f>IFERROR(__xludf.DUMMYFUNCTION("""COMPUTED_VALUE"""),1.0)</f>
        <v>1</v>
      </c>
      <c r="BB737" s="97" t="str">
        <f>IFERROR(__xludf.DUMMYFUNCTION("""COMPUTED_VALUE"""),"-")</f>
        <v>-</v>
      </c>
      <c r="BC737" s="97" t="str">
        <f>IFERROR(__xludf.DUMMYFUNCTION("""COMPUTED_VALUE"""),"-")</f>
        <v>-</v>
      </c>
      <c r="BD737" s="97" t="str">
        <f>IFERROR(__xludf.DUMMYFUNCTION("""COMPUTED_VALUE"""),"LAMPY APLIQUE")</f>
        <v>LAMPY APLIQUE</v>
      </c>
      <c r="BE737" s="97" t="str">
        <f>IFERROR(__xludf.DUMMYFUNCTION("""COMPUTED_VALUE"""),"Finalizada")</f>
        <v>Finalizada</v>
      </c>
      <c r="BF737" s="97"/>
      <c r="BG737" s="97" t="str">
        <f>IFERROR(__xludf.DUMMYFUNCTION("""COMPUTED_VALUE"""),"Activo")</f>
        <v>Activo</v>
      </c>
    </row>
    <row r="738">
      <c r="A738" s="97">
        <f>IFERROR(__xludf.DUMMYFUNCTION("""COMPUTED_VALUE"""),6497.0)</f>
        <v>6497</v>
      </c>
      <c r="B738" s="97" t="str">
        <f>IFERROR(__xludf.DUMMYFUNCTION("""COMPUTED_VALUE"""),"LAMPY A AZ")</f>
        <v>LAMPY A AZ</v>
      </c>
      <c r="C738" s="97" t="str">
        <f>IFERROR(__xludf.DUMMYFUNCTION("""COMPUTED_VALUE"""),"APLIQUE LAMPY A AZ E27 IP20 LEUK")</f>
        <v>APLIQUE LAMPY A AZ E27 IP20 LEUK</v>
      </c>
      <c r="D738" s="99">
        <f>IFERROR(__xludf.DUMMYFUNCTION("""COMPUTED_VALUE"""),7.798413220582E12)</f>
        <v>7798413220582</v>
      </c>
      <c r="E738" s="97" t="str">
        <f>IFERROR(__xludf.DUMMYFUNCTION("""COMPUTED_VALUE"""),"N/A")</f>
        <v>N/A</v>
      </c>
      <c r="F738" s="97" t="str">
        <f>IFERROR(__xludf.DUMMYFUNCTION("""COMPUTED_VALUE"""),"E27")</f>
        <v>E27</v>
      </c>
      <c r="G738" s="97" t="str">
        <f>IFERROR(__xludf.DUMMYFUNCTION("""COMPUTED_VALUE"""),"N/A")</f>
        <v>N/A</v>
      </c>
      <c r="H738" s="97" t="str">
        <f>IFERROR(__xludf.DUMMYFUNCTION("""COMPUTED_VALUE"""),"N/A")</f>
        <v>N/A</v>
      </c>
      <c r="I738" s="97" t="str">
        <f>IFERROR(__xludf.DUMMYFUNCTION("""COMPUTED_VALUE"""),"N/A")</f>
        <v>N/A</v>
      </c>
      <c r="J738" s="97" t="str">
        <f>IFERROR(__xludf.DUMMYFUNCTION("""COMPUTED_VALUE"""),"N/A")</f>
        <v>N/A</v>
      </c>
      <c r="K738" s="97" t="str">
        <f>IFERROR(__xludf.DUMMYFUNCTION("""COMPUTED_VALUE"""),"N/A")</f>
        <v>N/A</v>
      </c>
      <c r="L738" s="97">
        <f>IFERROR(__xludf.DUMMYFUNCTION("""COMPUTED_VALUE"""),220.0)</f>
        <v>220</v>
      </c>
      <c r="M738" s="97">
        <f>IFERROR(__xludf.DUMMYFUNCTION("""COMPUTED_VALUE"""),50.0)</f>
        <v>50</v>
      </c>
      <c r="N738" s="97"/>
      <c r="O738" s="97" t="str">
        <f>IFERROR(__xludf.DUMMYFUNCTION("""COMPUTED_VALUE"""),"-")</f>
        <v>-</v>
      </c>
      <c r="P738" s="97"/>
      <c r="Q738" s="97" t="str">
        <f>IFERROR(__xludf.DUMMYFUNCTION("""COMPUTED_VALUE"""),"-")</f>
        <v>-</v>
      </c>
      <c r="R738" s="97" t="str">
        <f>IFERROR(__xludf.DUMMYFUNCTION("""COMPUTED_VALUE"""),"-")</f>
        <v>-</v>
      </c>
      <c r="S738" s="97" t="str">
        <f>IFERROR(__xludf.DUMMYFUNCTION("""COMPUTED_VALUE"""),"-")</f>
        <v>-</v>
      </c>
      <c r="T738" s="97" t="str">
        <f>IFERROR(__xludf.DUMMYFUNCTION("""COMPUTED_VALUE"""),"-")</f>
        <v>-</v>
      </c>
      <c r="U738" s="97" t="str">
        <f>IFERROR(__xludf.DUMMYFUNCTION("""COMPUTED_VALUE"""),"-")</f>
        <v>-</v>
      </c>
      <c r="V738" s="97" t="str">
        <f>IFERROR(__xludf.DUMMYFUNCTION("""COMPUTED_VALUE"""),"N/A")</f>
        <v>N/A</v>
      </c>
      <c r="W738" s="97" t="str">
        <f>IFERROR(__xludf.DUMMYFUNCTION("""COMPUTED_VALUE"""),"N/A")</f>
        <v>N/A</v>
      </c>
      <c r="X738" s="97" t="str">
        <f>IFERROR(__xludf.DUMMYFUNCTION("""COMPUTED_VALUE"""),"-")</f>
        <v>-</v>
      </c>
      <c r="Y738" s="97" t="str">
        <f>IFERROR(__xludf.DUMMYFUNCTION("""COMPUTED_VALUE"""),"N/A")</f>
        <v>N/A</v>
      </c>
      <c r="Z738" s="97" t="str">
        <f>IFERROR(__xludf.DUMMYFUNCTION("""COMPUTED_VALUE"""),"N/A")</f>
        <v>N/A</v>
      </c>
      <c r="AA738" s="97" t="str">
        <f>IFERROR(__xludf.DUMMYFUNCTION("""COMPUTED_VALUE"""),"N/A")</f>
        <v>N/A</v>
      </c>
      <c r="AB738" s="97" t="str">
        <f>IFERROR(__xludf.DUMMYFUNCTION("""COMPUTED_VALUE"""),"N/A")</f>
        <v>N/A</v>
      </c>
      <c r="AC738" s="97" t="str">
        <f>IFERROR(__xludf.DUMMYFUNCTION("""COMPUTED_VALUE"""),"N/A")</f>
        <v>N/A</v>
      </c>
      <c r="AD738" s="97" t="str">
        <f>IFERROR(__xludf.DUMMYFUNCTION("""COMPUTED_VALUE"""),"IP20")</f>
        <v>IP20</v>
      </c>
      <c r="AE738" s="97" t="str">
        <f>IFERROR(__xludf.DUMMYFUNCTION("""COMPUTED_VALUE"""),"Clase ll")</f>
        <v>Clase ll</v>
      </c>
      <c r="AF738" s="97" t="str">
        <f>IFERROR(__xludf.DUMMYFUNCTION("""COMPUTED_VALUE"""),"Aplicar")</f>
        <v>Aplicar</v>
      </c>
      <c r="AG738" s="97" t="str">
        <f>IFERROR(__xludf.DUMMYFUNCTION("""COMPUTED_VALUE"""),"116 x 152 x 171")</f>
        <v>116 x 152 x 171</v>
      </c>
      <c r="AH738" s="97" t="str">
        <f>IFERROR(__xludf.DUMMYFUNCTION("""COMPUTED_VALUE"""),"N/A")</f>
        <v>N/A</v>
      </c>
      <c r="AI738" s="97" t="str">
        <f>IFERROR(__xludf.DUMMYFUNCTION("""COMPUTED_VALUE"""),"N/A")</f>
        <v>N/A</v>
      </c>
      <c r="AJ738" s="97" t="str">
        <f>IFERROR(__xludf.DUMMYFUNCTION("""COMPUTED_VALUE"""),"N/A")</f>
        <v>N/A</v>
      </c>
      <c r="AK738" s="97" t="str">
        <f>IFERROR(__xludf.DUMMYFUNCTION("""COMPUTED_VALUE"""),"Acero")</f>
        <v>Acero</v>
      </c>
      <c r="AL738" s="97" t="str">
        <f>IFERROR(__xludf.DUMMYFUNCTION("""COMPUTED_VALUE"""),"Azul")</f>
        <v>Azul</v>
      </c>
      <c r="AM738" s="97" t="str">
        <f>IFERROR(__xludf.DUMMYFUNCTION("""COMPUTED_VALUE"""),"-")</f>
        <v>-</v>
      </c>
      <c r="AN738" s="97" t="str">
        <f>IFERROR(__xludf.DUMMYFUNCTION("""COMPUTED_VALUE"""),"N/A")</f>
        <v>N/A</v>
      </c>
      <c r="AO738" s="97" t="str">
        <f>IFERROR(__xludf.DUMMYFUNCTION("""COMPUTED_VALUE"""),"2 Años")</f>
        <v>2 Años</v>
      </c>
      <c r="AP738" s="97" t="str">
        <f>IFERROR(__xludf.DUMMYFUNCTION("""COMPUTED_VALUE"""),"No Aplica")</f>
        <v>No Aplica</v>
      </c>
      <c r="AQ738" s="97" t="str">
        <f>IFERROR(__xludf.DUMMYFUNCTION("""COMPUTED_VALUE"""),"No Aplica")</f>
        <v>No Aplica</v>
      </c>
      <c r="AR738" s="97" t="str">
        <f>IFERROR(__xludf.DUMMYFUNCTION("""COMPUTED_VALUE"""),"No Aplica")</f>
        <v>No Aplica</v>
      </c>
      <c r="AS738" s="97"/>
      <c r="AT738" s="97"/>
      <c r="AU738" s="97" t="str">
        <f>IFERROR(__xludf.DUMMYFUNCTION("""COMPUTED_VALUE"""),"Falta")</f>
        <v>Falta</v>
      </c>
      <c r="AV738" s="97" t="str">
        <f>IFERROR(__xludf.DUMMYFUNCTION("""COMPUTED_VALUE"""),"Aplique")</f>
        <v>Aplique</v>
      </c>
      <c r="AW738" s="97" t="str">
        <f>IFERROR(__xludf.DUMMYFUNCTION("""COMPUTED_VALUE"""),"De Pared")</f>
        <v>De Pared</v>
      </c>
      <c r="AX738" s="97" t="str">
        <f>IFERROR(__xludf.DUMMYFUNCTION("""COMPUTED_VALUE"""),"Interior")</f>
        <v>Interior</v>
      </c>
      <c r="AY738" s="97" t="str">
        <f>IFERROR(__xludf.DUMMYFUNCTION("""COMPUTED_VALUE"""),"-")</f>
        <v>-</v>
      </c>
      <c r="AZ738" s="97"/>
      <c r="BA738" s="97">
        <f>IFERROR(__xludf.DUMMYFUNCTION("""COMPUTED_VALUE"""),1.0)</f>
        <v>1</v>
      </c>
      <c r="BB738" s="97" t="str">
        <f>IFERROR(__xludf.DUMMYFUNCTION("""COMPUTED_VALUE"""),"-")</f>
        <v>-</v>
      </c>
      <c r="BC738" s="97" t="str">
        <f>IFERROR(__xludf.DUMMYFUNCTION("""COMPUTED_VALUE"""),"-")</f>
        <v>-</v>
      </c>
      <c r="BD738" s="97" t="str">
        <f>IFERROR(__xludf.DUMMYFUNCTION("""COMPUTED_VALUE"""),"LAMPY APLIQUE")</f>
        <v>LAMPY APLIQUE</v>
      </c>
      <c r="BE738" s="97" t="str">
        <f>IFERROR(__xludf.DUMMYFUNCTION("""COMPUTED_VALUE"""),"Finalizada")</f>
        <v>Finalizada</v>
      </c>
      <c r="BF738" s="97"/>
      <c r="BG738" s="97" t="str">
        <f>IFERROR(__xludf.DUMMYFUNCTION("""COMPUTED_VALUE"""),"Activo")</f>
        <v>Activo</v>
      </c>
    </row>
    <row r="739">
      <c r="A739" s="97">
        <f>IFERROR(__xludf.DUMMYFUNCTION("""COMPUTED_VALUE"""),6498.0)</f>
        <v>6498</v>
      </c>
      <c r="B739" s="97" t="str">
        <f>IFERROR(__xludf.DUMMYFUNCTION("""COMPUTED_VALUE"""),"LAMPY A VR")</f>
        <v>LAMPY A VR</v>
      </c>
      <c r="C739" s="97" t="str">
        <f>IFERROR(__xludf.DUMMYFUNCTION("""COMPUTED_VALUE"""),"APLIQUE LAMPY A VR E27 IP20 LEUK")</f>
        <v>APLIQUE LAMPY A VR E27 IP20 LEUK</v>
      </c>
      <c r="D739" s="99">
        <f>IFERROR(__xludf.DUMMYFUNCTION("""COMPUTED_VALUE"""),7.798413220599E12)</f>
        <v>7798413220599</v>
      </c>
      <c r="E739" s="97" t="str">
        <f>IFERROR(__xludf.DUMMYFUNCTION("""COMPUTED_VALUE"""),"N/A")</f>
        <v>N/A</v>
      </c>
      <c r="F739" s="97" t="str">
        <f>IFERROR(__xludf.DUMMYFUNCTION("""COMPUTED_VALUE"""),"E27")</f>
        <v>E27</v>
      </c>
      <c r="G739" s="97" t="str">
        <f>IFERROR(__xludf.DUMMYFUNCTION("""COMPUTED_VALUE"""),"N/A")</f>
        <v>N/A</v>
      </c>
      <c r="H739" s="97" t="str">
        <f>IFERROR(__xludf.DUMMYFUNCTION("""COMPUTED_VALUE"""),"N/A")</f>
        <v>N/A</v>
      </c>
      <c r="I739" s="97" t="str">
        <f>IFERROR(__xludf.DUMMYFUNCTION("""COMPUTED_VALUE"""),"N/A")</f>
        <v>N/A</v>
      </c>
      <c r="J739" s="97" t="str">
        <f>IFERROR(__xludf.DUMMYFUNCTION("""COMPUTED_VALUE"""),"N/A")</f>
        <v>N/A</v>
      </c>
      <c r="K739" s="97" t="str">
        <f>IFERROR(__xludf.DUMMYFUNCTION("""COMPUTED_VALUE"""),"N/A")</f>
        <v>N/A</v>
      </c>
      <c r="L739" s="97">
        <f>IFERROR(__xludf.DUMMYFUNCTION("""COMPUTED_VALUE"""),220.0)</f>
        <v>220</v>
      </c>
      <c r="M739" s="97">
        <f>IFERROR(__xludf.DUMMYFUNCTION("""COMPUTED_VALUE"""),50.0)</f>
        <v>50</v>
      </c>
      <c r="N739" s="97"/>
      <c r="O739" s="97" t="str">
        <f>IFERROR(__xludf.DUMMYFUNCTION("""COMPUTED_VALUE"""),"-")</f>
        <v>-</v>
      </c>
      <c r="P739" s="97"/>
      <c r="Q739" s="97" t="str">
        <f>IFERROR(__xludf.DUMMYFUNCTION("""COMPUTED_VALUE"""),"-")</f>
        <v>-</v>
      </c>
      <c r="R739" s="97" t="str">
        <f>IFERROR(__xludf.DUMMYFUNCTION("""COMPUTED_VALUE"""),"-")</f>
        <v>-</v>
      </c>
      <c r="S739" s="97" t="str">
        <f>IFERROR(__xludf.DUMMYFUNCTION("""COMPUTED_VALUE"""),"-")</f>
        <v>-</v>
      </c>
      <c r="T739" s="97" t="str">
        <f>IFERROR(__xludf.DUMMYFUNCTION("""COMPUTED_VALUE"""),"-")</f>
        <v>-</v>
      </c>
      <c r="U739" s="97" t="str">
        <f>IFERROR(__xludf.DUMMYFUNCTION("""COMPUTED_VALUE"""),"-")</f>
        <v>-</v>
      </c>
      <c r="V739" s="97" t="str">
        <f>IFERROR(__xludf.DUMMYFUNCTION("""COMPUTED_VALUE"""),"N/A")</f>
        <v>N/A</v>
      </c>
      <c r="W739" s="97" t="str">
        <f>IFERROR(__xludf.DUMMYFUNCTION("""COMPUTED_VALUE"""),"N/A")</f>
        <v>N/A</v>
      </c>
      <c r="X739" s="97" t="str">
        <f>IFERROR(__xludf.DUMMYFUNCTION("""COMPUTED_VALUE"""),"-")</f>
        <v>-</v>
      </c>
      <c r="Y739" s="97" t="str">
        <f>IFERROR(__xludf.DUMMYFUNCTION("""COMPUTED_VALUE"""),"N/A")</f>
        <v>N/A</v>
      </c>
      <c r="Z739" s="97" t="str">
        <f>IFERROR(__xludf.DUMMYFUNCTION("""COMPUTED_VALUE"""),"N/A")</f>
        <v>N/A</v>
      </c>
      <c r="AA739" s="97" t="str">
        <f>IFERROR(__xludf.DUMMYFUNCTION("""COMPUTED_VALUE"""),"N/A")</f>
        <v>N/A</v>
      </c>
      <c r="AB739" s="97" t="str">
        <f>IFERROR(__xludf.DUMMYFUNCTION("""COMPUTED_VALUE"""),"N/A")</f>
        <v>N/A</v>
      </c>
      <c r="AC739" s="97" t="str">
        <f>IFERROR(__xludf.DUMMYFUNCTION("""COMPUTED_VALUE"""),"N/A")</f>
        <v>N/A</v>
      </c>
      <c r="AD739" s="97" t="str">
        <f>IFERROR(__xludf.DUMMYFUNCTION("""COMPUTED_VALUE"""),"IP20")</f>
        <v>IP20</v>
      </c>
      <c r="AE739" s="97" t="str">
        <f>IFERROR(__xludf.DUMMYFUNCTION("""COMPUTED_VALUE"""),"Clase ll")</f>
        <v>Clase ll</v>
      </c>
      <c r="AF739" s="97" t="str">
        <f>IFERROR(__xludf.DUMMYFUNCTION("""COMPUTED_VALUE"""),"Aplicar")</f>
        <v>Aplicar</v>
      </c>
      <c r="AG739" s="97" t="str">
        <f>IFERROR(__xludf.DUMMYFUNCTION("""COMPUTED_VALUE"""),"116 x 152 x 171")</f>
        <v>116 x 152 x 171</v>
      </c>
      <c r="AH739" s="97" t="str">
        <f>IFERROR(__xludf.DUMMYFUNCTION("""COMPUTED_VALUE"""),"N/A")</f>
        <v>N/A</v>
      </c>
      <c r="AI739" s="97" t="str">
        <f>IFERROR(__xludf.DUMMYFUNCTION("""COMPUTED_VALUE"""),"N/A")</f>
        <v>N/A</v>
      </c>
      <c r="AJ739" s="97" t="str">
        <f>IFERROR(__xludf.DUMMYFUNCTION("""COMPUTED_VALUE"""),"N/A")</f>
        <v>N/A</v>
      </c>
      <c r="AK739" s="97" t="str">
        <f>IFERROR(__xludf.DUMMYFUNCTION("""COMPUTED_VALUE"""),"Acero")</f>
        <v>Acero</v>
      </c>
      <c r="AL739" s="97" t="str">
        <f>IFERROR(__xludf.DUMMYFUNCTION("""COMPUTED_VALUE"""),"Verde")</f>
        <v>Verde</v>
      </c>
      <c r="AM739" s="97" t="str">
        <f>IFERROR(__xludf.DUMMYFUNCTION("""COMPUTED_VALUE"""),"-")</f>
        <v>-</v>
      </c>
      <c r="AN739" s="97" t="str">
        <f>IFERROR(__xludf.DUMMYFUNCTION("""COMPUTED_VALUE"""),"N/A")</f>
        <v>N/A</v>
      </c>
      <c r="AO739" s="97" t="str">
        <f>IFERROR(__xludf.DUMMYFUNCTION("""COMPUTED_VALUE"""),"2 Años")</f>
        <v>2 Años</v>
      </c>
      <c r="AP739" s="97" t="str">
        <f>IFERROR(__xludf.DUMMYFUNCTION("""COMPUTED_VALUE"""),"No Aplica")</f>
        <v>No Aplica</v>
      </c>
      <c r="AQ739" s="97" t="str">
        <f>IFERROR(__xludf.DUMMYFUNCTION("""COMPUTED_VALUE"""),"No Aplica")</f>
        <v>No Aplica</v>
      </c>
      <c r="AR739" s="97" t="str">
        <f>IFERROR(__xludf.DUMMYFUNCTION("""COMPUTED_VALUE"""),"No Aplica")</f>
        <v>No Aplica</v>
      </c>
      <c r="AS739" s="97"/>
      <c r="AT739" s="97"/>
      <c r="AU739" s="97" t="str">
        <f>IFERROR(__xludf.DUMMYFUNCTION("""COMPUTED_VALUE"""),"Falta")</f>
        <v>Falta</v>
      </c>
      <c r="AV739" s="97" t="str">
        <f>IFERROR(__xludf.DUMMYFUNCTION("""COMPUTED_VALUE"""),"Aplique")</f>
        <v>Aplique</v>
      </c>
      <c r="AW739" s="97" t="str">
        <f>IFERROR(__xludf.DUMMYFUNCTION("""COMPUTED_VALUE"""),"De Pared")</f>
        <v>De Pared</v>
      </c>
      <c r="AX739" s="97" t="str">
        <f>IFERROR(__xludf.DUMMYFUNCTION("""COMPUTED_VALUE"""),"Interior")</f>
        <v>Interior</v>
      </c>
      <c r="AY739" s="97" t="str">
        <f>IFERROR(__xludf.DUMMYFUNCTION("""COMPUTED_VALUE"""),"-")</f>
        <v>-</v>
      </c>
      <c r="AZ739" s="97"/>
      <c r="BA739" s="97">
        <f>IFERROR(__xludf.DUMMYFUNCTION("""COMPUTED_VALUE"""),1.0)</f>
        <v>1</v>
      </c>
      <c r="BB739" s="97" t="str">
        <f>IFERROR(__xludf.DUMMYFUNCTION("""COMPUTED_VALUE"""),"-")</f>
        <v>-</v>
      </c>
      <c r="BC739" s="97" t="str">
        <f>IFERROR(__xludf.DUMMYFUNCTION("""COMPUTED_VALUE"""),"-")</f>
        <v>-</v>
      </c>
      <c r="BD739" s="97" t="str">
        <f>IFERROR(__xludf.DUMMYFUNCTION("""COMPUTED_VALUE"""),"LAMPY APLIQUE")</f>
        <v>LAMPY APLIQUE</v>
      </c>
      <c r="BE739" s="97" t="str">
        <f>IFERROR(__xludf.DUMMYFUNCTION("""COMPUTED_VALUE"""),"Finalizada")</f>
        <v>Finalizada</v>
      </c>
      <c r="BF739" s="97"/>
      <c r="BG739" s="97" t="str">
        <f>IFERROR(__xludf.DUMMYFUNCTION("""COMPUTED_VALUE"""),"Activo")</f>
        <v>Activo</v>
      </c>
    </row>
    <row r="740">
      <c r="A740" s="97">
        <f>IFERROR(__xludf.DUMMYFUNCTION("""COMPUTED_VALUE"""),6499.0)</f>
        <v>6499</v>
      </c>
      <c r="B740" s="97" t="str">
        <f>IFERROR(__xludf.DUMMYFUNCTION("""COMPUTED_VALUE"""),"LAMPY A BD")</f>
        <v>LAMPY A BD</v>
      </c>
      <c r="C740" s="97" t="str">
        <f>IFERROR(__xludf.DUMMYFUNCTION("""COMPUTED_VALUE"""),"APLIQUE LAMPY A BD E27 IP20 LEUK")</f>
        <v>APLIQUE LAMPY A BD E27 IP20 LEUK</v>
      </c>
      <c r="D740" s="99">
        <f>IFERROR(__xludf.DUMMYFUNCTION("""COMPUTED_VALUE"""),7.798413220605E12)</f>
        <v>7798413220605</v>
      </c>
      <c r="E740" s="97" t="str">
        <f>IFERROR(__xludf.DUMMYFUNCTION("""COMPUTED_VALUE"""),"N/A")</f>
        <v>N/A</v>
      </c>
      <c r="F740" s="97" t="str">
        <f>IFERROR(__xludf.DUMMYFUNCTION("""COMPUTED_VALUE"""),"E27")</f>
        <v>E27</v>
      </c>
      <c r="G740" s="97" t="str">
        <f>IFERROR(__xludf.DUMMYFUNCTION("""COMPUTED_VALUE"""),"N/A")</f>
        <v>N/A</v>
      </c>
      <c r="H740" s="97" t="str">
        <f>IFERROR(__xludf.DUMMYFUNCTION("""COMPUTED_VALUE"""),"N/A")</f>
        <v>N/A</v>
      </c>
      <c r="I740" s="97" t="str">
        <f>IFERROR(__xludf.DUMMYFUNCTION("""COMPUTED_VALUE"""),"N/A")</f>
        <v>N/A</v>
      </c>
      <c r="J740" s="97" t="str">
        <f>IFERROR(__xludf.DUMMYFUNCTION("""COMPUTED_VALUE"""),"N/A")</f>
        <v>N/A</v>
      </c>
      <c r="K740" s="97" t="str">
        <f>IFERROR(__xludf.DUMMYFUNCTION("""COMPUTED_VALUE"""),"N/A")</f>
        <v>N/A</v>
      </c>
      <c r="L740" s="97">
        <f>IFERROR(__xludf.DUMMYFUNCTION("""COMPUTED_VALUE"""),220.0)</f>
        <v>220</v>
      </c>
      <c r="M740" s="97">
        <f>IFERROR(__xludf.DUMMYFUNCTION("""COMPUTED_VALUE"""),50.0)</f>
        <v>50</v>
      </c>
      <c r="N740" s="97"/>
      <c r="O740" s="97" t="str">
        <f>IFERROR(__xludf.DUMMYFUNCTION("""COMPUTED_VALUE"""),"-")</f>
        <v>-</v>
      </c>
      <c r="P740" s="97"/>
      <c r="Q740" s="97" t="str">
        <f>IFERROR(__xludf.DUMMYFUNCTION("""COMPUTED_VALUE"""),"-")</f>
        <v>-</v>
      </c>
      <c r="R740" s="97" t="str">
        <f>IFERROR(__xludf.DUMMYFUNCTION("""COMPUTED_VALUE"""),"-")</f>
        <v>-</v>
      </c>
      <c r="S740" s="97" t="str">
        <f>IFERROR(__xludf.DUMMYFUNCTION("""COMPUTED_VALUE"""),"-")</f>
        <v>-</v>
      </c>
      <c r="T740" s="97" t="str">
        <f>IFERROR(__xludf.DUMMYFUNCTION("""COMPUTED_VALUE"""),"-")</f>
        <v>-</v>
      </c>
      <c r="U740" s="97" t="str">
        <f>IFERROR(__xludf.DUMMYFUNCTION("""COMPUTED_VALUE"""),"-")</f>
        <v>-</v>
      </c>
      <c r="V740" s="97" t="str">
        <f>IFERROR(__xludf.DUMMYFUNCTION("""COMPUTED_VALUE"""),"N/A")</f>
        <v>N/A</v>
      </c>
      <c r="W740" s="97" t="str">
        <f>IFERROR(__xludf.DUMMYFUNCTION("""COMPUTED_VALUE"""),"N/A")</f>
        <v>N/A</v>
      </c>
      <c r="X740" s="97" t="str">
        <f>IFERROR(__xludf.DUMMYFUNCTION("""COMPUTED_VALUE"""),"-")</f>
        <v>-</v>
      </c>
      <c r="Y740" s="97" t="str">
        <f>IFERROR(__xludf.DUMMYFUNCTION("""COMPUTED_VALUE"""),"N/A")</f>
        <v>N/A</v>
      </c>
      <c r="Z740" s="97" t="str">
        <f>IFERROR(__xludf.DUMMYFUNCTION("""COMPUTED_VALUE"""),"N/A")</f>
        <v>N/A</v>
      </c>
      <c r="AA740" s="97" t="str">
        <f>IFERROR(__xludf.DUMMYFUNCTION("""COMPUTED_VALUE"""),"N/A")</f>
        <v>N/A</v>
      </c>
      <c r="AB740" s="97" t="str">
        <f>IFERROR(__xludf.DUMMYFUNCTION("""COMPUTED_VALUE"""),"N/A")</f>
        <v>N/A</v>
      </c>
      <c r="AC740" s="97" t="str">
        <f>IFERROR(__xludf.DUMMYFUNCTION("""COMPUTED_VALUE"""),"N/A")</f>
        <v>N/A</v>
      </c>
      <c r="AD740" s="97" t="str">
        <f>IFERROR(__xludf.DUMMYFUNCTION("""COMPUTED_VALUE"""),"IP20")</f>
        <v>IP20</v>
      </c>
      <c r="AE740" s="97" t="str">
        <f>IFERROR(__xludf.DUMMYFUNCTION("""COMPUTED_VALUE"""),"Clase ll")</f>
        <v>Clase ll</v>
      </c>
      <c r="AF740" s="97" t="str">
        <f>IFERROR(__xludf.DUMMYFUNCTION("""COMPUTED_VALUE"""),"Aplicar")</f>
        <v>Aplicar</v>
      </c>
      <c r="AG740" s="97" t="str">
        <f>IFERROR(__xludf.DUMMYFUNCTION("""COMPUTED_VALUE"""),"116 x 152 x 171")</f>
        <v>116 x 152 x 171</v>
      </c>
      <c r="AH740" s="97" t="str">
        <f>IFERROR(__xludf.DUMMYFUNCTION("""COMPUTED_VALUE"""),"N/A")</f>
        <v>N/A</v>
      </c>
      <c r="AI740" s="97" t="str">
        <f>IFERROR(__xludf.DUMMYFUNCTION("""COMPUTED_VALUE"""),"N/A")</f>
        <v>N/A</v>
      </c>
      <c r="AJ740" s="97" t="str">
        <f>IFERROR(__xludf.DUMMYFUNCTION("""COMPUTED_VALUE"""),"N/A")</f>
        <v>N/A</v>
      </c>
      <c r="AK740" s="97" t="str">
        <f>IFERROR(__xludf.DUMMYFUNCTION("""COMPUTED_VALUE"""),"Acero")</f>
        <v>Acero</v>
      </c>
      <c r="AL740" s="97" t="str">
        <f>IFERROR(__xludf.DUMMYFUNCTION("""COMPUTED_VALUE"""),"Bordó")</f>
        <v>Bordó</v>
      </c>
      <c r="AM740" s="97" t="str">
        <f>IFERROR(__xludf.DUMMYFUNCTION("""COMPUTED_VALUE"""),"-")</f>
        <v>-</v>
      </c>
      <c r="AN740" s="97" t="str">
        <f>IFERROR(__xludf.DUMMYFUNCTION("""COMPUTED_VALUE"""),"N/A")</f>
        <v>N/A</v>
      </c>
      <c r="AO740" s="97" t="str">
        <f>IFERROR(__xludf.DUMMYFUNCTION("""COMPUTED_VALUE"""),"2 Años")</f>
        <v>2 Años</v>
      </c>
      <c r="AP740" s="97" t="str">
        <f>IFERROR(__xludf.DUMMYFUNCTION("""COMPUTED_VALUE"""),"No Aplica")</f>
        <v>No Aplica</v>
      </c>
      <c r="AQ740" s="97" t="str">
        <f>IFERROR(__xludf.DUMMYFUNCTION("""COMPUTED_VALUE"""),"No Aplica")</f>
        <v>No Aplica</v>
      </c>
      <c r="AR740" s="97" t="str">
        <f>IFERROR(__xludf.DUMMYFUNCTION("""COMPUTED_VALUE"""),"No Aplica")</f>
        <v>No Aplica</v>
      </c>
      <c r="AS740" s="97"/>
      <c r="AT740" s="97"/>
      <c r="AU740" s="97" t="str">
        <f>IFERROR(__xludf.DUMMYFUNCTION("""COMPUTED_VALUE"""),"Falta")</f>
        <v>Falta</v>
      </c>
      <c r="AV740" s="97" t="str">
        <f>IFERROR(__xludf.DUMMYFUNCTION("""COMPUTED_VALUE"""),"Aplique")</f>
        <v>Aplique</v>
      </c>
      <c r="AW740" s="97" t="str">
        <f>IFERROR(__xludf.DUMMYFUNCTION("""COMPUTED_VALUE"""),"De Pared")</f>
        <v>De Pared</v>
      </c>
      <c r="AX740" s="97" t="str">
        <f>IFERROR(__xludf.DUMMYFUNCTION("""COMPUTED_VALUE"""),"Interior")</f>
        <v>Interior</v>
      </c>
      <c r="AY740" s="97" t="str">
        <f>IFERROR(__xludf.DUMMYFUNCTION("""COMPUTED_VALUE"""),"-")</f>
        <v>-</v>
      </c>
      <c r="AZ740" s="97"/>
      <c r="BA740" s="97">
        <f>IFERROR(__xludf.DUMMYFUNCTION("""COMPUTED_VALUE"""),1.0)</f>
        <v>1</v>
      </c>
      <c r="BB740" s="97" t="str">
        <f>IFERROR(__xludf.DUMMYFUNCTION("""COMPUTED_VALUE"""),"-")</f>
        <v>-</v>
      </c>
      <c r="BC740" s="97" t="str">
        <f>IFERROR(__xludf.DUMMYFUNCTION("""COMPUTED_VALUE"""),"-")</f>
        <v>-</v>
      </c>
      <c r="BD740" s="97" t="str">
        <f>IFERROR(__xludf.DUMMYFUNCTION("""COMPUTED_VALUE"""),"LAMPY APLIQUE")</f>
        <v>LAMPY APLIQUE</v>
      </c>
      <c r="BE740" s="97" t="str">
        <f>IFERROR(__xludf.DUMMYFUNCTION("""COMPUTED_VALUE"""),"Finalizada")</f>
        <v>Finalizada</v>
      </c>
      <c r="BF740" s="97"/>
      <c r="BG740" s="97" t="str">
        <f>IFERROR(__xludf.DUMMYFUNCTION("""COMPUTED_VALUE"""),"Activo")</f>
        <v>Activo</v>
      </c>
    </row>
    <row r="741">
      <c r="A741" s="97">
        <f>IFERROR(__xludf.DUMMYFUNCTION("""COMPUTED_VALUE"""),6500.0)</f>
        <v>6500</v>
      </c>
      <c r="B741" s="97" t="str">
        <f>IFERROR(__xludf.DUMMYFUNCTION("""COMPUTED_VALUE"""),"REFLEX")</f>
        <v>REFLEX</v>
      </c>
      <c r="C741" s="97" t="str">
        <f>IFERROR(__xludf.DUMMYFUNCTION("""COMPUTED_VALUE"""),"LAMPARA DE MESA REFLEX NEGRO LEUK")</f>
        <v>LAMPARA DE MESA REFLEX NEGRO LEUK</v>
      </c>
      <c r="D741" s="97">
        <f>IFERROR(__xludf.DUMMYFUNCTION("""COMPUTED_VALUE"""),7.798413220971E12)</f>
        <v>7798413220971</v>
      </c>
      <c r="E741" s="97"/>
      <c r="F741" s="97" t="str">
        <f>IFERROR(__xludf.DUMMYFUNCTION("""COMPUTED_VALUE"""),"1 x GU10")</f>
        <v>1 x GU10</v>
      </c>
      <c r="G741" s="97" t="str">
        <f>IFERROR(__xludf.DUMMYFUNCTION("""COMPUTED_VALUE"""),"N/A")</f>
        <v>N/A</v>
      </c>
      <c r="H741" s="97" t="str">
        <f>IFERROR(__xludf.DUMMYFUNCTION("""COMPUTED_VALUE"""),"N/A")</f>
        <v>N/A</v>
      </c>
      <c r="I741" s="97" t="str">
        <f>IFERROR(__xludf.DUMMYFUNCTION("""COMPUTED_VALUE"""),"N/A")</f>
        <v>N/A</v>
      </c>
      <c r="J741" s="97"/>
      <c r="K741" s="97" t="str">
        <f>IFERROR(__xludf.DUMMYFUNCTION("""COMPUTED_VALUE"""),"N/A")</f>
        <v>N/A</v>
      </c>
      <c r="L741" s="97"/>
      <c r="M741" s="97"/>
      <c r="N741" s="97"/>
      <c r="O741" s="97"/>
      <c r="P741" s="97"/>
      <c r="Q741" s="97" t="str">
        <f>IFERROR(__xludf.DUMMYFUNCTION("""COMPUTED_VALUE"""),"-")</f>
        <v>-</v>
      </c>
      <c r="R741" s="97" t="str">
        <f>IFERROR(__xludf.DUMMYFUNCTION("""COMPUTED_VALUE"""),"-")</f>
        <v>-</v>
      </c>
      <c r="S741" s="97" t="str">
        <f>IFERROR(__xludf.DUMMYFUNCTION("""COMPUTED_VALUE"""),"-")</f>
        <v>-</v>
      </c>
      <c r="T741" s="97" t="str">
        <f>IFERROR(__xludf.DUMMYFUNCTION("""COMPUTED_VALUE"""),"-")</f>
        <v>-</v>
      </c>
      <c r="U741" s="97" t="str">
        <f>IFERROR(__xludf.DUMMYFUNCTION("""COMPUTED_VALUE"""),"-")</f>
        <v>-</v>
      </c>
      <c r="V741" s="97" t="str">
        <f>IFERROR(__xludf.DUMMYFUNCTION("""COMPUTED_VALUE"""),"N/A")</f>
        <v>N/A</v>
      </c>
      <c r="W741" s="97" t="str">
        <f>IFERROR(__xludf.DUMMYFUNCTION("""COMPUTED_VALUE"""),"N/A")</f>
        <v>N/A</v>
      </c>
      <c r="X741" s="97" t="str">
        <f>IFERROR(__xludf.DUMMYFUNCTION("""COMPUTED_VALUE"""),"-")</f>
        <v>-</v>
      </c>
      <c r="Y741" s="97" t="str">
        <f>IFERROR(__xludf.DUMMYFUNCTION("""COMPUTED_VALUE"""),"N/A")</f>
        <v>N/A</v>
      </c>
      <c r="Z741" s="97" t="str">
        <f>IFERROR(__xludf.DUMMYFUNCTION("""COMPUTED_VALUE"""),"N/A")</f>
        <v>N/A</v>
      </c>
      <c r="AA741" s="97" t="str">
        <f>IFERROR(__xludf.DUMMYFUNCTION("""COMPUTED_VALUE"""),"N/A")</f>
        <v>N/A</v>
      </c>
      <c r="AB741" s="97" t="str">
        <f>IFERROR(__xludf.DUMMYFUNCTION("""COMPUTED_VALUE"""),"N/A")</f>
        <v>N/A</v>
      </c>
      <c r="AC741" s="97" t="str">
        <f>IFERROR(__xludf.DUMMYFUNCTION("""COMPUTED_VALUE"""),"N/A")</f>
        <v>N/A</v>
      </c>
      <c r="AD741" s="97" t="str">
        <f>IFERROR(__xludf.DUMMYFUNCTION("""COMPUTED_VALUE"""),"IP20")</f>
        <v>IP20</v>
      </c>
      <c r="AE741" s="97" t="str">
        <f>IFERROR(__xludf.DUMMYFUNCTION("""COMPUTED_VALUE"""),"Clase ll")</f>
        <v>Clase ll</v>
      </c>
      <c r="AF741" s="97" t="str">
        <f>IFERROR(__xludf.DUMMYFUNCTION("""COMPUTED_VALUE"""),"Autoportante")</f>
        <v>Autoportante</v>
      </c>
      <c r="AG741" s="97"/>
      <c r="AH741" s="97" t="str">
        <f>IFERROR(__xludf.DUMMYFUNCTION("""COMPUTED_VALUE"""),"N/A")</f>
        <v>N/A</v>
      </c>
      <c r="AI741" s="97" t="str">
        <f>IFERROR(__xludf.DUMMYFUNCTION("""COMPUTED_VALUE"""),"N/A")</f>
        <v>N/A</v>
      </c>
      <c r="AJ741" s="97"/>
      <c r="AK741" s="97" t="str">
        <f>IFERROR(__xludf.DUMMYFUNCTION("""COMPUTED_VALUE"""),"Acero")</f>
        <v>Acero</v>
      </c>
      <c r="AL741" s="97"/>
      <c r="AM741" s="97" t="str">
        <f>IFERROR(__xludf.DUMMYFUNCTION("""COMPUTED_VALUE"""),"-")</f>
        <v>-</v>
      </c>
      <c r="AN741" s="97" t="str">
        <f>IFERROR(__xludf.DUMMYFUNCTION("""COMPUTED_VALUE"""),"N/A")</f>
        <v>N/A</v>
      </c>
      <c r="AO741" s="97" t="str">
        <f>IFERROR(__xludf.DUMMYFUNCTION("""COMPUTED_VALUE"""),"1 Año")</f>
        <v>1 Año</v>
      </c>
      <c r="AP741" s="97" t="str">
        <f>IFERROR(__xludf.DUMMYFUNCTION("""COMPUTED_VALUE"""),"No Aplica")</f>
        <v>No Aplica</v>
      </c>
      <c r="AQ741" s="97" t="str">
        <f>IFERROR(__xludf.DUMMYFUNCTION("""COMPUTED_VALUE"""),"No Aplica")</f>
        <v>No Aplica</v>
      </c>
      <c r="AR741" s="97" t="str">
        <f>IFERROR(__xludf.DUMMYFUNCTION("""COMPUTED_VALUE"""),"No Aplica")</f>
        <v>No Aplica</v>
      </c>
      <c r="AS741" s="97"/>
      <c r="AT741" s="97"/>
      <c r="AU741" s="97"/>
      <c r="AV741" s="97" t="str">
        <f>IFERROR(__xludf.DUMMYFUNCTION("""COMPUTED_VALUE"""),"Mesa")</f>
        <v>Mesa</v>
      </c>
      <c r="AW741" s="97" t="str">
        <f>IFERROR(__xludf.DUMMYFUNCTION("""COMPUTED_VALUE"""),"De Apoyo")</f>
        <v>De Apoyo</v>
      </c>
      <c r="AX741" s="97" t="str">
        <f>IFERROR(__xludf.DUMMYFUNCTION("""COMPUTED_VALUE"""),"Interior")</f>
        <v>Interior</v>
      </c>
      <c r="AY741" s="97"/>
      <c r="AZ741" s="97"/>
      <c r="BA741" s="97"/>
      <c r="BB741" s="97"/>
      <c r="BC741" s="97"/>
      <c r="BD741" s="97" t="str">
        <f>IFERROR(__xludf.DUMMYFUNCTION("""COMPUTED_VALUE"""),"REFLEX")</f>
        <v>REFLEX</v>
      </c>
      <c r="BE741" s="97" t="str">
        <f>IFERROR(__xludf.DUMMYFUNCTION("""COMPUTED_VALUE"""),"Sin Ficha")</f>
        <v>Sin Ficha</v>
      </c>
      <c r="BF741" s="97"/>
      <c r="BG741" s="97" t="str">
        <f>IFERROR(__xludf.DUMMYFUNCTION("""COMPUTED_VALUE"""),"Discontinuo")</f>
        <v>Discontinuo</v>
      </c>
    </row>
    <row r="742">
      <c r="A742" s="97">
        <f>IFERROR(__xludf.DUMMYFUNCTION("""COMPUTED_VALUE"""),6501.0)</f>
        <v>6501</v>
      </c>
      <c r="B742" s="97" t="str">
        <f>IFERROR(__xludf.DUMMYFUNCTION("""COMPUTED_VALUE"""),"REFLEX")</f>
        <v>REFLEX</v>
      </c>
      <c r="C742" s="97" t="str">
        <f>IFERROR(__xludf.DUMMYFUNCTION("""COMPUTED_VALUE"""),"LAMPARA DE MESA REFLEX BLANCO LEUK")</f>
        <v>LAMPARA DE MESA REFLEX BLANCO LEUK</v>
      </c>
      <c r="D742" s="97">
        <f>IFERROR(__xludf.DUMMYFUNCTION("""COMPUTED_VALUE"""),7.798413220988E12)</f>
        <v>7798413220988</v>
      </c>
      <c r="E742" s="97"/>
      <c r="F742" s="97" t="str">
        <f>IFERROR(__xludf.DUMMYFUNCTION("""COMPUTED_VALUE"""),"1 x GU10")</f>
        <v>1 x GU10</v>
      </c>
      <c r="G742" s="97" t="str">
        <f>IFERROR(__xludf.DUMMYFUNCTION("""COMPUTED_VALUE"""),"N/A")</f>
        <v>N/A</v>
      </c>
      <c r="H742" s="97" t="str">
        <f>IFERROR(__xludf.DUMMYFUNCTION("""COMPUTED_VALUE"""),"N/A")</f>
        <v>N/A</v>
      </c>
      <c r="I742" s="97" t="str">
        <f>IFERROR(__xludf.DUMMYFUNCTION("""COMPUTED_VALUE"""),"N/A")</f>
        <v>N/A</v>
      </c>
      <c r="J742" s="97"/>
      <c r="K742" s="97" t="str">
        <f>IFERROR(__xludf.DUMMYFUNCTION("""COMPUTED_VALUE"""),"N/A")</f>
        <v>N/A</v>
      </c>
      <c r="L742" s="97"/>
      <c r="M742" s="97"/>
      <c r="N742" s="97"/>
      <c r="O742" s="97"/>
      <c r="P742" s="97"/>
      <c r="Q742" s="97" t="str">
        <f>IFERROR(__xludf.DUMMYFUNCTION("""COMPUTED_VALUE"""),"-")</f>
        <v>-</v>
      </c>
      <c r="R742" s="97" t="str">
        <f>IFERROR(__xludf.DUMMYFUNCTION("""COMPUTED_VALUE"""),"-")</f>
        <v>-</v>
      </c>
      <c r="S742" s="97" t="str">
        <f>IFERROR(__xludf.DUMMYFUNCTION("""COMPUTED_VALUE"""),"-")</f>
        <v>-</v>
      </c>
      <c r="T742" s="97" t="str">
        <f>IFERROR(__xludf.DUMMYFUNCTION("""COMPUTED_VALUE"""),"-")</f>
        <v>-</v>
      </c>
      <c r="U742" s="97" t="str">
        <f>IFERROR(__xludf.DUMMYFUNCTION("""COMPUTED_VALUE"""),"-")</f>
        <v>-</v>
      </c>
      <c r="V742" s="97" t="str">
        <f>IFERROR(__xludf.DUMMYFUNCTION("""COMPUTED_VALUE"""),"N/A")</f>
        <v>N/A</v>
      </c>
      <c r="W742" s="97" t="str">
        <f>IFERROR(__xludf.DUMMYFUNCTION("""COMPUTED_VALUE"""),"N/A")</f>
        <v>N/A</v>
      </c>
      <c r="X742" s="97" t="str">
        <f>IFERROR(__xludf.DUMMYFUNCTION("""COMPUTED_VALUE"""),"-")</f>
        <v>-</v>
      </c>
      <c r="Y742" s="97" t="str">
        <f>IFERROR(__xludf.DUMMYFUNCTION("""COMPUTED_VALUE"""),"N/A")</f>
        <v>N/A</v>
      </c>
      <c r="Z742" s="97" t="str">
        <f>IFERROR(__xludf.DUMMYFUNCTION("""COMPUTED_VALUE"""),"N/A")</f>
        <v>N/A</v>
      </c>
      <c r="AA742" s="97" t="str">
        <f>IFERROR(__xludf.DUMMYFUNCTION("""COMPUTED_VALUE"""),"N/A")</f>
        <v>N/A</v>
      </c>
      <c r="AB742" s="97" t="str">
        <f>IFERROR(__xludf.DUMMYFUNCTION("""COMPUTED_VALUE"""),"N/A")</f>
        <v>N/A</v>
      </c>
      <c r="AC742" s="97" t="str">
        <f>IFERROR(__xludf.DUMMYFUNCTION("""COMPUTED_VALUE"""),"N/A")</f>
        <v>N/A</v>
      </c>
      <c r="AD742" s="97" t="str">
        <f>IFERROR(__xludf.DUMMYFUNCTION("""COMPUTED_VALUE"""),"IP20")</f>
        <v>IP20</v>
      </c>
      <c r="AE742" s="97" t="str">
        <f>IFERROR(__xludf.DUMMYFUNCTION("""COMPUTED_VALUE"""),"Clase ll")</f>
        <v>Clase ll</v>
      </c>
      <c r="AF742" s="97" t="str">
        <f>IFERROR(__xludf.DUMMYFUNCTION("""COMPUTED_VALUE"""),"Autoportante")</f>
        <v>Autoportante</v>
      </c>
      <c r="AG742" s="97"/>
      <c r="AH742" s="97" t="str">
        <f>IFERROR(__xludf.DUMMYFUNCTION("""COMPUTED_VALUE"""),"N/A")</f>
        <v>N/A</v>
      </c>
      <c r="AI742" s="97" t="str">
        <f>IFERROR(__xludf.DUMMYFUNCTION("""COMPUTED_VALUE"""),"N/A")</f>
        <v>N/A</v>
      </c>
      <c r="AJ742" s="97"/>
      <c r="AK742" s="97" t="str">
        <f>IFERROR(__xludf.DUMMYFUNCTION("""COMPUTED_VALUE"""),"Acero")</f>
        <v>Acero</v>
      </c>
      <c r="AL742" s="97"/>
      <c r="AM742" s="97" t="str">
        <f>IFERROR(__xludf.DUMMYFUNCTION("""COMPUTED_VALUE"""),"-")</f>
        <v>-</v>
      </c>
      <c r="AN742" s="97" t="str">
        <f>IFERROR(__xludf.DUMMYFUNCTION("""COMPUTED_VALUE"""),"N/A")</f>
        <v>N/A</v>
      </c>
      <c r="AO742" s="97" t="str">
        <f>IFERROR(__xludf.DUMMYFUNCTION("""COMPUTED_VALUE"""),"1 Año")</f>
        <v>1 Año</v>
      </c>
      <c r="AP742" s="97" t="str">
        <f>IFERROR(__xludf.DUMMYFUNCTION("""COMPUTED_VALUE"""),"No Aplica")</f>
        <v>No Aplica</v>
      </c>
      <c r="AQ742" s="97" t="str">
        <f>IFERROR(__xludf.DUMMYFUNCTION("""COMPUTED_VALUE"""),"No Aplica")</f>
        <v>No Aplica</v>
      </c>
      <c r="AR742" s="97" t="str">
        <f>IFERROR(__xludf.DUMMYFUNCTION("""COMPUTED_VALUE"""),"No Aplica")</f>
        <v>No Aplica</v>
      </c>
      <c r="AS742" s="97"/>
      <c r="AT742" s="97"/>
      <c r="AU742" s="97"/>
      <c r="AV742" s="97" t="str">
        <f>IFERROR(__xludf.DUMMYFUNCTION("""COMPUTED_VALUE"""),"Mesa")</f>
        <v>Mesa</v>
      </c>
      <c r="AW742" s="97" t="str">
        <f>IFERROR(__xludf.DUMMYFUNCTION("""COMPUTED_VALUE"""),"De Apoyo")</f>
        <v>De Apoyo</v>
      </c>
      <c r="AX742" s="97" t="str">
        <f>IFERROR(__xludf.DUMMYFUNCTION("""COMPUTED_VALUE"""),"Interior")</f>
        <v>Interior</v>
      </c>
      <c r="AY742" s="97"/>
      <c r="AZ742" s="97"/>
      <c r="BA742" s="97"/>
      <c r="BB742" s="97"/>
      <c r="BC742" s="97"/>
      <c r="BD742" s="97" t="str">
        <f>IFERROR(__xludf.DUMMYFUNCTION("""COMPUTED_VALUE"""),"REFLEX")</f>
        <v>REFLEX</v>
      </c>
      <c r="BE742" s="97" t="str">
        <f>IFERROR(__xludf.DUMMYFUNCTION("""COMPUTED_VALUE"""),"Sin Ficha")</f>
        <v>Sin Ficha</v>
      </c>
      <c r="BF742" s="97"/>
      <c r="BG742" s="97" t="str">
        <f>IFERROR(__xludf.DUMMYFUNCTION("""COMPUTED_VALUE"""),"Discontinuo")</f>
        <v>Discontinuo</v>
      </c>
    </row>
    <row r="743">
      <c r="A743" s="97">
        <f>IFERROR(__xludf.DUMMYFUNCTION("""COMPUTED_VALUE"""),6502.0)</f>
        <v>6502</v>
      </c>
      <c r="B743" s="97" t="str">
        <f>IFERROR(__xludf.DUMMYFUNCTION("""COMPUTED_VALUE"""),"REFLEX")</f>
        <v>REFLEX</v>
      </c>
      <c r="C743" s="97" t="str">
        <f>IFERROR(__xludf.DUMMYFUNCTION("""COMPUTED_VALUE"""),"LAMPARA DE PIE REFLEX NEGRO LEUK")</f>
        <v>LAMPARA DE PIE REFLEX NEGRO LEUK</v>
      </c>
      <c r="D743" s="99">
        <f>IFERROR(__xludf.DUMMYFUNCTION("""COMPUTED_VALUE"""),7.798413220759E12)</f>
        <v>7798413220759</v>
      </c>
      <c r="E743" s="97"/>
      <c r="F743" s="97" t="str">
        <f>IFERROR(__xludf.DUMMYFUNCTION("""COMPUTED_VALUE"""),"1 x GU10")</f>
        <v>1 x GU10</v>
      </c>
      <c r="G743" s="97" t="str">
        <f>IFERROR(__xludf.DUMMYFUNCTION("""COMPUTED_VALUE"""),"N/A")</f>
        <v>N/A</v>
      </c>
      <c r="H743" s="97" t="str">
        <f>IFERROR(__xludf.DUMMYFUNCTION("""COMPUTED_VALUE"""),"N/A")</f>
        <v>N/A</v>
      </c>
      <c r="I743" s="97" t="str">
        <f>IFERROR(__xludf.DUMMYFUNCTION("""COMPUTED_VALUE"""),"N/A")</f>
        <v>N/A</v>
      </c>
      <c r="J743" s="97"/>
      <c r="K743" s="97" t="str">
        <f>IFERROR(__xludf.DUMMYFUNCTION("""COMPUTED_VALUE"""),"N/A")</f>
        <v>N/A</v>
      </c>
      <c r="L743" s="97"/>
      <c r="M743" s="97"/>
      <c r="N743" s="97"/>
      <c r="O743" s="97"/>
      <c r="P743" s="97"/>
      <c r="Q743" s="97" t="str">
        <f>IFERROR(__xludf.DUMMYFUNCTION("""COMPUTED_VALUE"""),"-")</f>
        <v>-</v>
      </c>
      <c r="R743" s="97" t="str">
        <f>IFERROR(__xludf.DUMMYFUNCTION("""COMPUTED_VALUE"""),"-")</f>
        <v>-</v>
      </c>
      <c r="S743" s="97" t="str">
        <f>IFERROR(__xludf.DUMMYFUNCTION("""COMPUTED_VALUE"""),"-")</f>
        <v>-</v>
      </c>
      <c r="T743" s="97" t="str">
        <f>IFERROR(__xludf.DUMMYFUNCTION("""COMPUTED_VALUE"""),"-")</f>
        <v>-</v>
      </c>
      <c r="U743" s="97" t="str">
        <f>IFERROR(__xludf.DUMMYFUNCTION("""COMPUTED_VALUE"""),"-")</f>
        <v>-</v>
      </c>
      <c r="V743" s="97" t="str">
        <f>IFERROR(__xludf.DUMMYFUNCTION("""COMPUTED_VALUE"""),"N/A")</f>
        <v>N/A</v>
      </c>
      <c r="W743" s="97" t="str">
        <f>IFERROR(__xludf.DUMMYFUNCTION("""COMPUTED_VALUE"""),"N/A")</f>
        <v>N/A</v>
      </c>
      <c r="X743" s="97" t="str">
        <f>IFERROR(__xludf.DUMMYFUNCTION("""COMPUTED_VALUE"""),"-")</f>
        <v>-</v>
      </c>
      <c r="Y743" s="97" t="str">
        <f>IFERROR(__xludf.DUMMYFUNCTION("""COMPUTED_VALUE"""),"N/A")</f>
        <v>N/A</v>
      </c>
      <c r="Z743" s="97" t="str">
        <f>IFERROR(__xludf.DUMMYFUNCTION("""COMPUTED_VALUE"""),"N/A")</f>
        <v>N/A</v>
      </c>
      <c r="AA743" s="97" t="str">
        <f>IFERROR(__xludf.DUMMYFUNCTION("""COMPUTED_VALUE"""),"N/A")</f>
        <v>N/A</v>
      </c>
      <c r="AB743" s="97" t="str">
        <f>IFERROR(__xludf.DUMMYFUNCTION("""COMPUTED_VALUE"""),"N/A")</f>
        <v>N/A</v>
      </c>
      <c r="AC743" s="97" t="str">
        <f>IFERROR(__xludf.DUMMYFUNCTION("""COMPUTED_VALUE"""),"N/A")</f>
        <v>N/A</v>
      </c>
      <c r="AD743" s="97" t="str">
        <f>IFERROR(__xludf.DUMMYFUNCTION("""COMPUTED_VALUE"""),"IP20")</f>
        <v>IP20</v>
      </c>
      <c r="AE743" s="97" t="str">
        <f>IFERROR(__xludf.DUMMYFUNCTION("""COMPUTED_VALUE"""),"Clase ll")</f>
        <v>Clase ll</v>
      </c>
      <c r="AF743" s="97" t="str">
        <f>IFERROR(__xludf.DUMMYFUNCTION("""COMPUTED_VALUE"""),"Autoportante")</f>
        <v>Autoportante</v>
      </c>
      <c r="AG743" s="97"/>
      <c r="AH743" s="97" t="str">
        <f>IFERROR(__xludf.DUMMYFUNCTION("""COMPUTED_VALUE"""),"N/A")</f>
        <v>N/A</v>
      </c>
      <c r="AI743" s="97" t="str">
        <f>IFERROR(__xludf.DUMMYFUNCTION("""COMPUTED_VALUE"""),"N/A")</f>
        <v>N/A</v>
      </c>
      <c r="AJ743" s="97"/>
      <c r="AK743" s="97" t="str">
        <f>IFERROR(__xludf.DUMMYFUNCTION("""COMPUTED_VALUE"""),"Acero")</f>
        <v>Acero</v>
      </c>
      <c r="AL743" s="97"/>
      <c r="AM743" s="97" t="str">
        <f>IFERROR(__xludf.DUMMYFUNCTION("""COMPUTED_VALUE"""),"-")</f>
        <v>-</v>
      </c>
      <c r="AN743" s="97" t="str">
        <f>IFERROR(__xludf.DUMMYFUNCTION("""COMPUTED_VALUE"""),"N/A")</f>
        <v>N/A</v>
      </c>
      <c r="AO743" s="97" t="str">
        <f>IFERROR(__xludf.DUMMYFUNCTION("""COMPUTED_VALUE"""),"1 Año")</f>
        <v>1 Año</v>
      </c>
      <c r="AP743" s="97" t="str">
        <f>IFERROR(__xludf.DUMMYFUNCTION("""COMPUTED_VALUE"""),"No Aplica")</f>
        <v>No Aplica</v>
      </c>
      <c r="AQ743" s="97" t="str">
        <f>IFERROR(__xludf.DUMMYFUNCTION("""COMPUTED_VALUE"""),"No Aplica")</f>
        <v>No Aplica</v>
      </c>
      <c r="AR743" s="97" t="str">
        <f>IFERROR(__xludf.DUMMYFUNCTION("""COMPUTED_VALUE"""),"No Aplica")</f>
        <v>No Aplica</v>
      </c>
      <c r="AS743" s="97"/>
      <c r="AT743" s="97"/>
      <c r="AU743" s="97"/>
      <c r="AV743" s="97" t="str">
        <f>IFERROR(__xludf.DUMMYFUNCTION("""COMPUTED_VALUE"""),"Pie")</f>
        <v>Pie</v>
      </c>
      <c r="AW743" s="97" t="str">
        <f>IFERROR(__xludf.DUMMYFUNCTION("""COMPUTED_VALUE"""),"De Apoyo")</f>
        <v>De Apoyo</v>
      </c>
      <c r="AX743" s="97" t="str">
        <f>IFERROR(__xludf.DUMMYFUNCTION("""COMPUTED_VALUE"""),"Interior")</f>
        <v>Interior</v>
      </c>
      <c r="AY743" s="97"/>
      <c r="AZ743" s="97"/>
      <c r="BA743" s="97"/>
      <c r="BB743" s="97"/>
      <c r="BC743" s="97"/>
      <c r="BD743" s="97" t="str">
        <f>IFERROR(__xludf.DUMMYFUNCTION("""COMPUTED_VALUE"""),"REFLEX")</f>
        <v>REFLEX</v>
      </c>
      <c r="BE743" s="97" t="str">
        <f>IFERROR(__xludf.DUMMYFUNCTION("""COMPUTED_VALUE"""),"Sin Ficha")</f>
        <v>Sin Ficha</v>
      </c>
      <c r="BF743" s="97"/>
      <c r="BG743" s="97" t="str">
        <f>IFERROR(__xludf.DUMMYFUNCTION("""COMPUTED_VALUE"""),"Discontinuo")</f>
        <v>Discontinuo</v>
      </c>
    </row>
    <row r="744">
      <c r="A744" s="97">
        <f>IFERROR(__xludf.DUMMYFUNCTION("""COMPUTED_VALUE"""),6503.0)</f>
        <v>6503</v>
      </c>
      <c r="B744" s="97" t="str">
        <f>IFERROR(__xludf.DUMMYFUNCTION("""COMPUTED_VALUE"""),"REFLEX")</f>
        <v>REFLEX</v>
      </c>
      <c r="C744" s="97" t="str">
        <f>IFERROR(__xludf.DUMMYFUNCTION("""COMPUTED_VALUE"""),"LAMPARA DE PIE REFLEX BLANCO LEUK")</f>
        <v>LAMPARA DE PIE REFLEX BLANCO LEUK</v>
      </c>
      <c r="D744" s="99">
        <f>IFERROR(__xludf.DUMMYFUNCTION("""COMPUTED_VALUE"""),7.798413220766E12)</f>
        <v>7798413220766</v>
      </c>
      <c r="E744" s="97"/>
      <c r="F744" s="97" t="str">
        <f>IFERROR(__xludf.DUMMYFUNCTION("""COMPUTED_VALUE"""),"1 x GU10")</f>
        <v>1 x GU10</v>
      </c>
      <c r="G744" s="97" t="str">
        <f>IFERROR(__xludf.DUMMYFUNCTION("""COMPUTED_VALUE"""),"N/A")</f>
        <v>N/A</v>
      </c>
      <c r="H744" s="97" t="str">
        <f>IFERROR(__xludf.DUMMYFUNCTION("""COMPUTED_VALUE"""),"N/A")</f>
        <v>N/A</v>
      </c>
      <c r="I744" s="97" t="str">
        <f>IFERROR(__xludf.DUMMYFUNCTION("""COMPUTED_VALUE"""),"N/A")</f>
        <v>N/A</v>
      </c>
      <c r="J744" s="97"/>
      <c r="K744" s="97" t="str">
        <f>IFERROR(__xludf.DUMMYFUNCTION("""COMPUTED_VALUE"""),"N/A")</f>
        <v>N/A</v>
      </c>
      <c r="L744" s="97"/>
      <c r="M744" s="97"/>
      <c r="N744" s="97"/>
      <c r="O744" s="97"/>
      <c r="P744" s="97"/>
      <c r="Q744" s="97" t="str">
        <f>IFERROR(__xludf.DUMMYFUNCTION("""COMPUTED_VALUE"""),"-")</f>
        <v>-</v>
      </c>
      <c r="R744" s="97" t="str">
        <f>IFERROR(__xludf.DUMMYFUNCTION("""COMPUTED_VALUE"""),"-")</f>
        <v>-</v>
      </c>
      <c r="S744" s="97" t="str">
        <f>IFERROR(__xludf.DUMMYFUNCTION("""COMPUTED_VALUE"""),"-")</f>
        <v>-</v>
      </c>
      <c r="T744" s="97" t="str">
        <f>IFERROR(__xludf.DUMMYFUNCTION("""COMPUTED_VALUE"""),"-")</f>
        <v>-</v>
      </c>
      <c r="U744" s="97" t="str">
        <f>IFERROR(__xludf.DUMMYFUNCTION("""COMPUTED_VALUE"""),"-")</f>
        <v>-</v>
      </c>
      <c r="V744" s="97" t="str">
        <f>IFERROR(__xludf.DUMMYFUNCTION("""COMPUTED_VALUE"""),"N/A")</f>
        <v>N/A</v>
      </c>
      <c r="W744" s="97" t="str">
        <f>IFERROR(__xludf.DUMMYFUNCTION("""COMPUTED_VALUE"""),"N/A")</f>
        <v>N/A</v>
      </c>
      <c r="X744" s="97" t="str">
        <f>IFERROR(__xludf.DUMMYFUNCTION("""COMPUTED_VALUE"""),"-")</f>
        <v>-</v>
      </c>
      <c r="Y744" s="97" t="str">
        <f>IFERROR(__xludf.DUMMYFUNCTION("""COMPUTED_VALUE"""),"N/A")</f>
        <v>N/A</v>
      </c>
      <c r="Z744" s="97" t="str">
        <f>IFERROR(__xludf.DUMMYFUNCTION("""COMPUTED_VALUE"""),"N/A")</f>
        <v>N/A</v>
      </c>
      <c r="AA744" s="97" t="str">
        <f>IFERROR(__xludf.DUMMYFUNCTION("""COMPUTED_VALUE"""),"N/A")</f>
        <v>N/A</v>
      </c>
      <c r="AB744" s="97" t="str">
        <f>IFERROR(__xludf.DUMMYFUNCTION("""COMPUTED_VALUE"""),"N/A")</f>
        <v>N/A</v>
      </c>
      <c r="AC744" s="97" t="str">
        <f>IFERROR(__xludf.DUMMYFUNCTION("""COMPUTED_VALUE"""),"N/A")</f>
        <v>N/A</v>
      </c>
      <c r="AD744" s="97" t="str">
        <f>IFERROR(__xludf.DUMMYFUNCTION("""COMPUTED_VALUE"""),"IP20")</f>
        <v>IP20</v>
      </c>
      <c r="AE744" s="97" t="str">
        <f>IFERROR(__xludf.DUMMYFUNCTION("""COMPUTED_VALUE"""),"Clase ll")</f>
        <v>Clase ll</v>
      </c>
      <c r="AF744" s="97" t="str">
        <f>IFERROR(__xludf.DUMMYFUNCTION("""COMPUTED_VALUE"""),"Autoportante")</f>
        <v>Autoportante</v>
      </c>
      <c r="AG744" s="97"/>
      <c r="AH744" s="97" t="str">
        <f>IFERROR(__xludf.DUMMYFUNCTION("""COMPUTED_VALUE"""),"N/A")</f>
        <v>N/A</v>
      </c>
      <c r="AI744" s="97" t="str">
        <f>IFERROR(__xludf.DUMMYFUNCTION("""COMPUTED_VALUE"""),"N/A")</f>
        <v>N/A</v>
      </c>
      <c r="AJ744" s="97"/>
      <c r="AK744" s="97" t="str">
        <f>IFERROR(__xludf.DUMMYFUNCTION("""COMPUTED_VALUE"""),"Acero")</f>
        <v>Acero</v>
      </c>
      <c r="AL744" s="97"/>
      <c r="AM744" s="97" t="str">
        <f>IFERROR(__xludf.DUMMYFUNCTION("""COMPUTED_VALUE"""),"-")</f>
        <v>-</v>
      </c>
      <c r="AN744" s="97" t="str">
        <f>IFERROR(__xludf.DUMMYFUNCTION("""COMPUTED_VALUE"""),"N/A")</f>
        <v>N/A</v>
      </c>
      <c r="AO744" s="97" t="str">
        <f>IFERROR(__xludf.DUMMYFUNCTION("""COMPUTED_VALUE"""),"1 Año")</f>
        <v>1 Año</v>
      </c>
      <c r="AP744" s="97" t="str">
        <f>IFERROR(__xludf.DUMMYFUNCTION("""COMPUTED_VALUE"""),"No Aplica")</f>
        <v>No Aplica</v>
      </c>
      <c r="AQ744" s="97" t="str">
        <f>IFERROR(__xludf.DUMMYFUNCTION("""COMPUTED_VALUE"""),"No Aplica")</f>
        <v>No Aplica</v>
      </c>
      <c r="AR744" s="97" t="str">
        <f>IFERROR(__xludf.DUMMYFUNCTION("""COMPUTED_VALUE"""),"No Aplica")</f>
        <v>No Aplica</v>
      </c>
      <c r="AS744" s="97"/>
      <c r="AT744" s="97"/>
      <c r="AU744" s="97"/>
      <c r="AV744" s="97" t="str">
        <f>IFERROR(__xludf.DUMMYFUNCTION("""COMPUTED_VALUE"""),"Pie")</f>
        <v>Pie</v>
      </c>
      <c r="AW744" s="97" t="str">
        <f>IFERROR(__xludf.DUMMYFUNCTION("""COMPUTED_VALUE"""),"De Apoyo")</f>
        <v>De Apoyo</v>
      </c>
      <c r="AX744" s="97" t="str">
        <f>IFERROR(__xludf.DUMMYFUNCTION("""COMPUTED_VALUE"""),"Interior")</f>
        <v>Interior</v>
      </c>
      <c r="AY744" s="97"/>
      <c r="AZ744" s="97"/>
      <c r="BA744" s="97"/>
      <c r="BB744" s="97"/>
      <c r="BC744" s="97"/>
      <c r="BD744" s="97" t="str">
        <f>IFERROR(__xludf.DUMMYFUNCTION("""COMPUTED_VALUE"""),"REFLEX")</f>
        <v>REFLEX</v>
      </c>
      <c r="BE744" s="97" t="str">
        <f>IFERROR(__xludf.DUMMYFUNCTION("""COMPUTED_VALUE"""),"Sin Ficha")</f>
        <v>Sin Ficha</v>
      </c>
      <c r="BF744" s="97"/>
      <c r="BG744" s="97" t="str">
        <f>IFERROR(__xludf.DUMMYFUNCTION("""COMPUTED_VALUE"""),"Discontinuo")</f>
        <v>Discontinuo</v>
      </c>
    </row>
    <row r="745">
      <c r="A745" s="97">
        <f>IFERROR(__xludf.DUMMYFUNCTION("""COMPUTED_VALUE"""),6504.0)</f>
        <v>6504</v>
      </c>
      <c r="B745" s="97" t="str">
        <f>IFERROR(__xludf.DUMMYFUNCTION("""COMPUTED_VALUE"""),"ROMA")</f>
        <v>ROMA</v>
      </c>
      <c r="C745" s="97" t="str">
        <f>IFERROR(__xludf.DUMMYFUNCTION("""COMPUTED_VALUE"""),"VELADOR ROMA NEGRO LEUK")</f>
        <v>VELADOR ROMA NEGRO LEUK</v>
      </c>
      <c r="D745" s="99">
        <f>IFERROR(__xludf.DUMMYFUNCTION("""COMPUTED_VALUE"""),7.798413220643E12)</f>
        <v>7798413220643</v>
      </c>
      <c r="E745" s="97"/>
      <c r="F745" s="97" t="str">
        <f>IFERROR(__xludf.DUMMYFUNCTION("""COMPUTED_VALUE"""),"E27")</f>
        <v>E27</v>
      </c>
      <c r="G745" s="97" t="str">
        <f>IFERROR(__xludf.DUMMYFUNCTION("""COMPUTED_VALUE"""),"N/A")</f>
        <v>N/A</v>
      </c>
      <c r="H745" s="97" t="str">
        <f>IFERROR(__xludf.DUMMYFUNCTION("""COMPUTED_VALUE"""),"N/A")</f>
        <v>N/A</v>
      </c>
      <c r="I745" s="97" t="str">
        <f>IFERROR(__xludf.DUMMYFUNCTION("""COMPUTED_VALUE"""),"N/A")</f>
        <v>N/A</v>
      </c>
      <c r="J745" s="97"/>
      <c r="K745" s="97" t="str">
        <f>IFERROR(__xludf.DUMMYFUNCTION("""COMPUTED_VALUE"""),"N/A")</f>
        <v>N/A</v>
      </c>
      <c r="L745" s="97"/>
      <c r="M745" s="97"/>
      <c r="N745" s="97"/>
      <c r="O745" s="97"/>
      <c r="P745" s="97"/>
      <c r="Q745" s="97" t="str">
        <f>IFERROR(__xludf.DUMMYFUNCTION("""COMPUTED_VALUE"""),"-")</f>
        <v>-</v>
      </c>
      <c r="R745" s="97" t="str">
        <f>IFERROR(__xludf.DUMMYFUNCTION("""COMPUTED_VALUE"""),"-")</f>
        <v>-</v>
      </c>
      <c r="S745" s="97" t="str">
        <f>IFERROR(__xludf.DUMMYFUNCTION("""COMPUTED_VALUE"""),"-")</f>
        <v>-</v>
      </c>
      <c r="T745" s="97" t="str">
        <f>IFERROR(__xludf.DUMMYFUNCTION("""COMPUTED_VALUE"""),"-")</f>
        <v>-</v>
      </c>
      <c r="U745" s="97" t="str">
        <f>IFERROR(__xludf.DUMMYFUNCTION("""COMPUTED_VALUE"""),"-")</f>
        <v>-</v>
      </c>
      <c r="V745" s="97" t="str">
        <f>IFERROR(__xludf.DUMMYFUNCTION("""COMPUTED_VALUE"""),"N/A")</f>
        <v>N/A</v>
      </c>
      <c r="W745" s="97" t="str">
        <f>IFERROR(__xludf.DUMMYFUNCTION("""COMPUTED_VALUE"""),"N/A")</f>
        <v>N/A</v>
      </c>
      <c r="X745" s="97" t="str">
        <f>IFERROR(__xludf.DUMMYFUNCTION("""COMPUTED_VALUE"""),"-")</f>
        <v>-</v>
      </c>
      <c r="Y745" s="97" t="str">
        <f>IFERROR(__xludf.DUMMYFUNCTION("""COMPUTED_VALUE"""),"N/A")</f>
        <v>N/A</v>
      </c>
      <c r="Z745" s="97" t="str">
        <f>IFERROR(__xludf.DUMMYFUNCTION("""COMPUTED_VALUE"""),"N/A")</f>
        <v>N/A</v>
      </c>
      <c r="AA745" s="97" t="str">
        <f>IFERROR(__xludf.DUMMYFUNCTION("""COMPUTED_VALUE"""),"N/A")</f>
        <v>N/A</v>
      </c>
      <c r="AB745" s="97" t="str">
        <f>IFERROR(__xludf.DUMMYFUNCTION("""COMPUTED_VALUE"""),"N/A")</f>
        <v>N/A</v>
      </c>
      <c r="AC745" s="97" t="str">
        <f>IFERROR(__xludf.DUMMYFUNCTION("""COMPUTED_VALUE"""),"N/A")</f>
        <v>N/A</v>
      </c>
      <c r="AD745" s="97" t="str">
        <f>IFERROR(__xludf.DUMMYFUNCTION("""COMPUTED_VALUE"""),"IP20")</f>
        <v>IP20</v>
      </c>
      <c r="AE745" s="97" t="str">
        <f>IFERROR(__xludf.DUMMYFUNCTION("""COMPUTED_VALUE"""),"Clase ll")</f>
        <v>Clase ll</v>
      </c>
      <c r="AF745" s="97" t="str">
        <f>IFERROR(__xludf.DUMMYFUNCTION("""COMPUTED_VALUE"""),"Autoportante")</f>
        <v>Autoportante</v>
      </c>
      <c r="AG745" s="97"/>
      <c r="AH745" s="97" t="str">
        <f>IFERROR(__xludf.DUMMYFUNCTION("""COMPUTED_VALUE"""),"N/A")</f>
        <v>N/A</v>
      </c>
      <c r="AI745" s="97" t="str">
        <f>IFERROR(__xludf.DUMMYFUNCTION("""COMPUTED_VALUE"""),"N/A")</f>
        <v>N/A</v>
      </c>
      <c r="AJ745" s="97"/>
      <c r="AK745" s="97" t="str">
        <f>IFERROR(__xludf.DUMMYFUNCTION("""COMPUTED_VALUE"""),"Acero")</f>
        <v>Acero</v>
      </c>
      <c r="AL745" s="97"/>
      <c r="AM745" s="97" t="str">
        <f>IFERROR(__xludf.DUMMYFUNCTION("""COMPUTED_VALUE"""),"-")</f>
        <v>-</v>
      </c>
      <c r="AN745" s="97" t="str">
        <f>IFERROR(__xludf.DUMMYFUNCTION("""COMPUTED_VALUE"""),"N/A")</f>
        <v>N/A</v>
      </c>
      <c r="AO745" s="97" t="str">
        <f>IFERROR(__xludf.DUMMYFUNCTION("""COMPUTED_VALUE"""),"1 Año")</f>
        <v>1 Año</v>
      </c>
      <c r="AP745" s="97" t="str">
        <f>IFERROR(__xludf.DUMMYFUNCTION("""COMPUTED_VALUE"""),"No Aplica")</f>
        <v>No Aplica</v>
      </c>
      <c r="AQ745" s="97" t="str">
        <f>IFERROR(__xludf.DUMMYFUNCTION("""COMPUTED_VALUE"""),"No Aplica")</f>
        <v>No Aplica</v>
      </c>
      <c r="AR745" s="97" t="str">
        <f>IFERROR(__xludf.DUMMYFUNCTION("""COMPUTED_VALUE"""),"No Aplica")</f>
        <v>No Aplica</v>
      </c>
      <c r="AS745" s="97"/>
      <c r="AT745" s="97"/>
      <c r="AU745" s="97"/>
      <c r="AV745" s="97" t="str">
        <f>IFERROR(__xludf.DUMMYFUNCTION("""COMPUTED_VALUE"""),"Mesa")</f>
        <v>Mesa</v>
      </c>
      <c r="AW745" s="97" t="str">
        <f>IFERROR(__xludf.DUMMYFUNCTION("""COMPUTED_VALUE"""),"De Apoyo")</f>
        <v>De Apoyo</v>
      </c>
      <c r="AX745" s="97" t="str">
        <f>IFERROR(__xludf.DUMMYFUNCTION("""COMPUTED_VALUE"""),"Interior")</f>
        <v>Interior</v>
      </c>
      <c r="AY745" s="97"/>
      <c r="AZ745" s="97"/>
      <c r="BA745" s="97"/>
      <c r="BB745" s="97"/>
      <c r="BC745" s="97"/>
      <c r="BD745" s="97" t="str">
        <f>IFERROR(__xludf.DUMMYFUNCTION("""COMPUTED_VALUE"""),"ROMA")</f>
        <v>ROMA</v>
      </c>
      <c r="BE745" s="97" t="str">
        <f>IFERROR(__xludf.DUMMYFUNCTION("""COMPUTED_VALUE"""),"Sin Ficha")</f>
        <v>Sin Ficha</v>
      </c>
      <c r="BF745" s="97"/>
      <c r="BG745" s="97" t="str">
        <f>IFERROR(__xludf.DUMMYFUNCTION("""COMPUTED_VALUE"""),"Discontinuo")</f>
        <v>Discontinuo</v>
      </c>
    </row>
    <row r="746">
      <c r="A746" s="97">
        <f>IFERROR(__xludf.DUMMYFUNCTION("""COMPUTED_VALUE"""),6505.0)</f>
        <v>6505</v>
      </c>
      <c r="B746" s="97" t="str">
        <f>IFERROR(__xludf.DUMMYFUNCTION("""COMPUTED_VALUE"""),"ROMA ")</f>
        <v>ROMA </v>
      </c>
      <c r="C746" s="97" t="str">
        <f>IFERROR(__xludf.DUMMYFUNCTION("""COMPUTED_VALUE"""),"VELADOR ROMA BLANCO LEUK ")</f>
        <v>VELADOR ROMA BLANCO LEUK </v>
      </c>
      <c r="D746" s="97">
        <f>IFERROR(__xludf.DUMMYFUNCTION("""COMPUTED_VALUE"""),7.798413220865E12)</f>
        <v>7798413220865</v>
      </c>
      <c r="E746" s="97"/>
      <c r="F746" s="97" t="str">
        <f>IFERROR(__xludf.DUMMYFUNCTION("""COMPUTED_VALUE"""),"E27")</f>
        <v>E27</v>
      </c>
      <c r="G746" s="97" t="str">
        <f>IFERROR(__xludf.DUMMYFUNCTION("""COMPUTED_VALUE"""),"N/A")</f>
        <v>N/A</v>
      </c>
      <c r="H746" s="97" t="str">
        <f>IFERROR(__xludf.DUMMYFUNCTION("""COMPUTED_VALUE"""),"N/A")</f>
        <v>N/A</v>
      </c>
      <c r="I746" s="97" t="str">
        <f>IFERROR(__xludf.DUMMYFUNCTION("""COMPUTED_VALUE"""),"N/A")</f>
        <v>N/A</v>
      </c>
      <c r="J746" s="97"/>
      <c r="K746" s="97" t="str">
        <f>IFERROR(__xludf.DUMMYFUNCTION("""COMPUTED_VALUE"""),"N/A")</f>
        <v>N/A</v>
      </c>
      <c r="L746" s="97"/>
      <c r="M746" s="97"/>
      <c r="N746" s="97"/>
      <c r="O746" s="97"/>
      <c r="P746" s="97"/>
      <c r="Q746" s="97" t="str">
        <f>IFERROR(__xludf.DUMMYFUNCTION("""COMPUTED_VALUE"""),"-")</f>
        <v>-</v>
      </c>
      <c r="R746" s="97" t="str">
        <f>IFERROR(__xludf.DUMMYFUNCTION("""COMPUTED_VALUE"""),"-")</f>
        <v>-</v>
      </c>
      <c r="S746" s="97" t="str">
        <f>IFERROR(__xludf.DUMMYFUNCTION("""COMPUTED_VALUE"""),"-")</f>
        <v>-</v>
      </c>
      <c r="T746" s="97" t="str">
        <f>IFERROR(__xludf.DUMMYFUNCTION("""COMPUTED_VALUE"""),"-")</f>
        <v>-</v>
      </c>
      <c r="U746" s="97" t="str">
        <f>IFERROR(__xludf.DUMMYFUNCTION("""COMPUTED_VALUE"""),"-")</f>
        <v>-</v>
      </c>
      <c r="V746" s="97" t="str">
        <f>IFERROR(__xludf.DUMMYFUNCTION("""COMPUTED_VALUE"""),"N/A")</f>
        <v>N/A</v>
      </c>
      <c r="W746" s="97" t="str">
        <f>IFERROR(__xludf.DUMMYFUNCTION("""COMPUTED_VALUE"""),"N/A")</f>
        <v>N/A</v>
      </c>
      <c r="X746" s="97" t="str">
        <f>IFERROR(__xludf.DUMMYFUNCTION("""COMPUTED_VALUE"""),"-")</f>
        <v>-</v>
      </c>
      <c r="Y746" s="97" t="str">
        <f>IFERROR(__xludf.DUMMYFUNCTION("""COMPUTED_VALUE"""),"N/A")</f>
        <v>N/A</v>
      </c>
      <c r="Z746" s="97" t="str">
        <f>IFERROR(__xludf.DUMMYFUNCTION("""COMPUTED_VALUE"""),"N/A")</f>
        <v>N/A</v>
      </c>
      <c r="AA746" s="97" t="str">
        <f>IFERROR(__xludf.DUMMYFUNCTION("""COMPUTED_VALUE"""),"N/A")</f>
        <v>N/A</v>
      </c>
      <c r="AB746" s="97" t="str">
        <f>IFERROR(__xludf.DUMMYFUNCTION("""COMPUTED_VALUE"""),"N/A")</f>
        <v>N/A</v>
      </c>
      <c r="AC746" s="97" t="str">
        <f>IFERROR(__xludf.DUMMYFUNCTION("""COMPUTED_VALUE"""),"N/A")</f>
        <v>N/A</v>
      </c>
      <c r="AD746" s="97" t="str">
        <f>IFERROR(__xludf.DUMMYFUNCTION("""COMPUTED_VALUE"""),"IP20")</f>
        <v>IP20</v>
      </c>
      <c r="AE746" s="97" t="str">
        <f>IFERROR(__xludf.DUMMYFUNCTION("""COMPUTED_VALUE"""),"Clase ll")</f>
        <v>Clase ll</v>
      </c>
      <c r="AF746" s="97" t="str">
        <f>IFERROR(__xludf.DUMMYFUNCTION("""COMPUTED_VALUE"""),"Autoportante")</f>
        <v>Autoportante</v>
      </c>
      <c r="AG746" s="97"/>
      <c r="AH746" s="97" t="str">
        <f>IFERROR(__xludf.DUMMYFUNCTION("""COMPUTED_VALUE"""),"N/A")</f>
        <v>N/A</v>
      </c>
      <c r="AI746" s="97" t="str">
        <f>IFERROR(__xludf.DUMMYFUNCTION("""COMPUTED_VALUE"""),"N/A")</f>
        <v>N/A</v>
      </c>
      <c r="AJ746" s="97"/>
      <c r="AK746" s="97" t="str">
        <f>IFERROR(__xludf.DUMMYFUNCTION("""COMPUTED_VALUE"""),"Acero")</f>
        <v>Acero</v>
      </c>
      <c r="AL746" s="97"/>
      <c r="AM746" s="97" t="str">
        <f>IFERROR(__xludf.DUMMYFUNCTION("""COMPUTED_VALUE"""),"-")</f>
        <v>-</v>
      </c>
      <c r="AN746" s="97" t="str">
        <f>IFERROR(__xludf.DUMMYFUNCTION("""COMPUTED_VALUE"""),"N/A")</f>
        <v>N/A</v>
      </c>
      <c r="AO746" s="97" t="str">
        <f>IFERROR(__xludf.DUMMYFUNCTION("""COMPUTED_VALUE"""),"1 Año")</f>
        <v>1 Año</v>
      </c>
      <c r="AP746" s="97" t="str">
        <f>IFERROR(__xludf.DUMMYFUNCTION("""COMPUTED_VALUE"""),"No Aplica")</f>
        <v>No Aplica</v>
      </c>
      <c r="AQ746" s="97" t="str">
        <f>IFERROR(__xludf.DUMMYFUNCTION("""COMPUTED_VALUE"""),"No Aplica")</f>
        <v>No Aplica</v>
      </c>
      <c r="AR746" s="97" t="str">
        <f>IFERROR(__xludf.DUMMYFUNCTION("""COMPUTED_VALUE"""),"No Aplica")</f>
        <v>No Aplica</v>
      </c>
      <c r="AS746" s="97"/>
      <c r="AT746" s="97"/>
      <c r="AU746" s="97"/>
      <c r="AV746" s="97" t="str">
        <f>IFERROR(__xludf.DUMMYFUNCTION("""COMPUTED_VALUE"""),"Mesa")</f>
        <v>Mesa</v>
      </c>
      <c r="AW746" s="97" t="str">
        <f>IFERROR(__xludf.DUMMYFUNCTION("""COMPUTED_VALUE"""),"De Apoyo")</f>
        <v>De Apoyo</v>
      </c>
      <c r="AX746" s="97" t="str">
        <f>IFERROR(__xludf.DUMMYFUNCTION("""COMPUTED_VALUE"""),"Interior")</f>
        <v>Interior</v>
      </c>
      <c r="AY746" s="97"/>
      <c r="AZ746" s="97"/>
      <c r="BA746" s="97"/>
      <c r="BB746" s="97"/>
      <c r="BC746" s="97"/>
      <c r="BD746" s="97" t="str">
        <f>IFERROR(__xludf.DUMMYFUNCTION("""COMPUTED_VALUE"""),"ROMA ")</f>
        <v>ROMA </v>
      </c>
      <c r="BE746" s="97" t="str">
        <f>IFERROR(__xludf.DUMMYFUNCTION("""COMPUTED_VALUE"""),"Sin Ficha")</f>
        <v>Sin Ficha</v>
      </c>
      <c r="BF746" s="97"/>
      <c r="BG746" s="97" t="str">
        <f>IFERROR(__xludf.DUMMYFUNCTION("""COMPUTED_VALUE"""),"Discontinuo")</f>
        <v>Discontinuo</v>
      </c>
    </row>
    <row r="747">
      <c r="A747" s="97">
        <f>IFERROR(__xludf.DUMMYFUNCTION("""COMPUTED_VALUE"""),6506.0)</f>
        <v>6506</v>
      </c>
      <c r="B747" s="97" t="str">
        <f>IFERROR(__xludf.DUMMYFUNCTION("""COMPUTED_VALUE"""),"ROMA")</f>
        <v>ROMA</v>
      </c>
      <c r="C747" s="97" t="str">
        <f>IFERROR(__xludf.DUMMYFUNCTION("""COMPUTED_VALUE"""),"VELADOR ROMA BORDO LEUK")</f>
        <v>VELADOR ROMA BORDO LEUK</v>
      </c>
      <c r="D747" s="99">
        <f>IFERROR(__xludf.DUMMYFUNCTION("""COMPUTED_VALUE"""),7.798413220667E12)</f>
        <v>7798413220667</v>
      </c>
      <c r="E747" s="97"/>
      <c r="F747" s="97" t="str">
        <f>IFERROR(__xludf.DUMMYFUNCTION("""COMPUTED_VALUE"""),"E27")</f>
        <v>E27</v>
      </c>
      <c r="G747" s="97" t="str">
        <f>IFERROR(__xludf.DUMMYFUNCTION("""COMPUTED_VALUE"""),"N/A")</f>
        <v>N/A</v>
      </c>
      <c r="H747" s="97" t="str">
        <f>IFERROR(__xludf.DUMMYFUNCTION("""COMPUTED_VALUE"""),"N/A")</f>
        <v>N/A</v>
      </c>
      <c r="I747" s="97" t="str">
        <f>IFERROR(__xludf.DUMMYFUNCTION("""COMPUTED_VALUE"""),"N/A")</f>
        <v>N/A</v>
      </c>
      <c r="J747" s="97"/>
      <c r="K747" s="97" t="str">
        <f>IFERROR(__xludf.DUMMYFUNCTION("""COMPUTED_VALUE"""),"N/A")</f>
        <v>N/A</v>
      </c>
      <c r="L747" s="97"/>
      <c r="M747" s="97"/>
      <c r="N747" s="97"/>
      <c r="O747" s="97"/>
      <c r="P747" s="97"/>
      <c r="Q747" s="97" t="str">
        <f>IFERROR(__xludf.DUMMYFUNCTION("""COMPUTED_VALUE"""),"-")</f>
        <v>-</v>
      </c>
      <c r="R747" s="97" t="str">
        <f>IFERROR(__xludf.DUMMYFUNCTION("""COMPUTED_VALUE"""),"-")</f>
        <v>-</v>
      </c>
      <c r="S747" s="97" t="str">
        <f>IFERROR(__xludf.DUMMYFUNCTION("""COMPUTED_VALUE"""),"-")</f>
        <v>-</v>
      </c>
      <c r="T747" s="97" t="str">
        <f>IFERROR(__xludf.DUMMYFUNCTION("""COMPUTED_VALUE"""),"-")</f>
        <v>-</v>
      </c>
      <c r="U747" s="97" t="str">
        <f>IFERROR(__xludf.DUMMYFUNCTION("""COMPUTED_VALUE"""),"-")</f>
        <v>-</v>
      </c>
      <c r="V747" s="97" t="str">
        <f>IFERROR(__xludf.DUMMYFUNCTION("""COMPUTED_VALUE"""),"N/A")</f>
        <v>N/A</v>
      </c>
      <c r="W747" s="97" t="str">
        <f>IFERROR(__xludf.DUMMYFUNCTION("""COMPUTED_VALUE"""),"N/A")</f>
        <v>N/A</v>
      </c>
      <c r="X747" s="97" t="str">
        <f>IFERROR(__xludf.DUMMYFUNCTION("""COMPUTED_VALUE"""),"-")</f>
        <v>-</v>
      </c>
      <c r="Y747" s="97" t="str">
        <f>IFERROR(__xludf.DUMMYFUNCTION("""COMPUTED_VALUE"""),"N/A")</f>
        <v>N/A</v>
      </c>
      <c r="Z747" s="97" t="str">
        <f>IFERROR(__xludf.DUMMYFUNCTION("""COMPUTED_VALUE"""),"N/A")</f>
        <v>N/A</v>
      </c>
      <c r="AA747" s="97" t="str">
        <f>IFERROR(__xludf.DUMMYFUNCTION("""COMPUTED_VALUE"""),"N/A")</f>
        <v>N/A</v>
      </c>
      <c r="AB747" s="97" t="str">
        <f>IFERROR(__xludf.DUMMYFUNCTION("""COMPUTED_VALUE"""),"N/A")</f>
        <v>N/A</v>
      </c>
      <c r="AC747" s="97" t="str">
        <f>IFERROR(__xludf.DUMMYFUNCTION("""COMPUTED_VALUE"""),"N/A")</f>
        <v>N/A</v>
      </c>
      <c r="AD747" s="97" t="str">
        <f>IFERROR(__xludf.DUMMYFUNCTION("""COMPUTED_VALUE"""),"IP20")</f>
        <v>IP20</v>
      </c>
      <c r="AE747" s="97" t="str">
        <f>IFERROR(__xludf.DUMMYFUNCTION("""COMPUTED_VALUE"""),"Clase ll")</f>
        <v>Clase ll</v>
      </c>
      <c r="AF747" s="97" t="str">
        <f>IFERROR(__xludf.DUMMYFUNCTION("""COMPUTED_VALUE"""),"Autoportante")</f>
        <v>Autoportante</v>
      </c>
      <c r="AG747" s="97"/>
      <c r="AH747" s="97" t="str">
        <f>IFERROR(__xludf.DUMMYFUNCTION("""COMPUTED_VALUE"""),"N/A")</f>
        <v>N/A</v>
      </c>
      <c r="AI747" s="97" t="str">
        <f>IFERROR(__xludf.DUMMYFUNCTION("""COMPUTED_VALUE"""),"N/A")</f>
        <v>N/A</v>
      </c>
      <c r="AJ747" s="97"/>
      <c r="AK747" s="97" t="str">
        <f>IFERROR(__xludf.DUMMYFUNCTION("""COMPUTED_VALUE"""),"Acero")</f>
        <v>Acero</v>
      </c>
      <c r="AL747" s="97"/>
      <c r="AM747" s="97" t="str">
        <f>IFERROR(__xludf.DUMMYFUNCTION("""COMPUTED_VALUE"""),"-")</f>
        <v>-</v>
      </c>
      <c r="AN747" s="97" t="str">
        <f>IFERROR(__xludf.DUMMYFUNCTION("""COMPUTED_VALUE"""),"N/A")</f>
        <v>N/A</v>
      </c>
      <c r="AO747" s="97" t="str">
        <f>IFERROR(__xludf.DUMMYFUNCTION("""COMPUTED_VALUE"""),"1 Año")</f>
        <v>1 Año</v>
      </c>
      <c r="AP747" s="97" t="str">
        <f>IFERROR(__xludf.DUMMYFUNCTION("""COMPUTED_VALUE"""),"No Aplica")</f>
        <v>No Aplica</v>
      </c>
      <c r="AQ747" s="97" t="str">
        <f>IFERROR(__xludf.DUMMYFUNCTION("""COMPUTED_VALUE"""),"No Aplica")</f>
        <v>No Aplica</v>
      </c>
      <c r="AR747" s="97" t="str">
        <f>IFERROR(__xludf.DUMMYFUNCTION("""COMPUTED_VALUE"""),"No Aplica")</f>
        <v>No Aplica</v>
      </c>
      <c r="AS747" s="97"/>
      <c r="AT747" s="97"/>
      <c r="AU747" s="97"/>
      <c r="AV747" s="97" t="str">
        <f>IFERROR(__xludf.DUMMYFUNCTION("""COMPUTED_VALUE"""),"Mesa")</f>
        <v>Mesa</v>
      </c>
      <c r="AW747" s="97" t="str">
        <f>IFERROR(__xludf.DUMMYFUNCTION("""COMPUTED_VALUE"""),"De Apoyo")</f>
        <v>De Apoyo</v>
      </c>
      <c r="AX747" s="97" t="str">
        <f>IFERROR(__xludf.DUMMYFUNCTION("""COMPUTED_VALUE"""),"Interior")</f>
        <v>Interior</v>
      </c>
      <c r="AY747" s="97"/>
      <c r="AZ747" s="97"/>
      <c r="BA747" s="97"/>
      <c r="BB747" s="97"/>
      <c r="BC747" s="97"/>
      <c r="BD747" s="97" t="str">
        <f>IFERROR(__xludf.DUMMYFUNCTION("""COMPUTED_VALUE"""),"ROMA")</f>
        <v>ROMA</v>
      </c>
      <c r="BE747" s="97" t="str">
        <f>IFERROR(__xludf.DUMMYFUNCTION("""COMPUTED_VALUE"""),"Sin Ficha")</f>
        <v>Sin Ficha</v>
      </c>
      <c r="BF747" s="97"/>
      <c r="BG747" s="97" t="str">
        <f>IFERROR(__xludf.DUMMYFUNCTION("""COMPUTED_VALUE"""),"Discontinuo")</f>
        <v>Discontinuo</v>
      </c>
    </row>
    <row r="748">
      <c r="A748" s="97">
        <f>IFERROR(__xludf.DUMMYFUNCTION("""COMPUTED_VALUE"""),6507.0)</f>
        <v>6507</v>
      </c>
      <c r="B748" s="97" t="str">
        <f>IFERROR(__xludf.DUMMYFUNCTION("""COMPUTED_VALUE"""),"ROMA ")</f>
        <v>ROMA </v>
      </c>
      <c r="C748" s="97" t="str">
        <f>IFERROR(__xludf.DUMMYFUNCTION("""COMPUTED_VALUE"""),"LAMPARA DE PIE ROMA NEGRO LEUK ")</f>
        <v>LAMPARA DE PIE ROMA NEGRO LEUK </v>
      </c>
      <c r="D748" s="97"/>
      <c r="E748" s="97"/>
      <c r="F748" s="97" t="str">
        <f>IFERROR(__xludf.DUMMYFUNCTION("""COMPUTED_VALUE"""),"E27")</f>
        <v>E27</v>
      </c>
      <c r="G748" s="97" t="str">
        <f>IFERROR(__xludf.DUMMYFUNCTION("""COMPUTED_VALUE"""),"N/A")</f>
        <v>N/A</v>
      </c>
      <c r="H748" s="97" t="str">
        <f>IFERROR(__xludf.DUMMYFUNCTION("""COMPUTED_VALUE"""),"N/A")</f>
        <v>N/A</v>
      </c>
      <c r="I748" s="97" t="str">
        <f>IFERROR(__xludf.DUMMYFUNCTION("""COMPUTED_VALUE"""),"N/A")</f>
        <v>N/A</v>
      </c>
      <c r="J748" s="97"/>
      <c r="K748" s="97" t="str">
        <f>IFERROR(__xludf.DUMMYFUNCTION("""COMPUTED_VALUE"""),"N/A")</f>
        <v>N/A</v>
      </c>
      <c r="L748" s="97"/>
      <c r="M748" s="97"/>
      <c r="N748" s="97"/>
      <c r="O748" s="97"/>
      <c r="P748" s="97"/>
      <c r="Q748" s="97" t="str">
        <f>IFERROR(__xludf.DUMMYFUNCTION("""COMPUTED_VALUE"""),"-")</f>
        <v>-</v>
      </c>
      <c r="R748" s="97" t="str">
        <f>IFERROR(__xludf.DUMMYFUNCTION("""COMPUTED_VALUE"""),"-")</f>
        <v>-</v>
      </c>
      <c r="S748" s="97" t="str">
        <f>IFERROR(__xludf.DUMMYFUNCTION("""COMPUTED_VALUE"""),"-")</f>
        <v>-</v>
      </c>
      <c r="T748" s="97" t="str">
        <f>IFERROR(__xludf.DUMMYFUNCTION("""COMPUTED_VALUE"""),"-")</f>
        <v>-</v>
      </c>
      <c r="U748" s="97" t="str">
        <f>IFERROR(__xludf.DUMMYFUNCTION("""COMPUTED_VALUE"""),"-")</f>
        <v>-</v>
      </c>
      <c r="V748" s="97" t="str">
        <f>IFERROR(__xludf.DUMMYFUNCTION("""COMPUTED_VALUE"""),"N/A")</f>
        <v>N/A</v>
      </c>
      <c r="W748" s="97" t="str">
        <f>IFERROR(__xludf.DUMMYFUNCTION("""COMPUTED_VALUE"""),"N/A")</f>
        <v>N/A</v>
      </c>
      <c r="X748" s="97" t="str">
        <f>IFERROR(__xludf.DUMMYFUNCTION("""COMPUTED_VALUE"""),"-")</f>
        <v>-</v>
      </c>
      <c r="Y748" s="97" t="str">
        <f>IFERROR(__xludf.DUMMYFUNCTION("""COMPUTED_VALUE"""),"N/A")</f>
        <v>N/A</v>
      </c>
      <c r="Z748" s="97" t="str">
        <f>IFERROR(__xludf.DUMMYFUNCTION("""COMPUTED_VALUE"""),"N/A")</f>
        <v>N/A</v>
      </c>
      <c r="AA748" s="97" t="str">
        <f>IFERROR(__xludf.DUMMYFUNCTION("""COMPUTED_VALUE"""),"N/A")</f>
        <v>N/A</v>
      </c>
      <c r="AB748" s="97" t="str">
        <f>IFERROR(__xludf.DUMMYFUNCTION("""COMPUTED_VALUE"""),"N/A")</f>
        <v>N/A</v>
      </c>
      <c r="AC748" s="97" t="str">
        <f>IFERROR(__xludf.DUMMYFUNCTION("""COMPUTED_VALUE"""),"N/A")</f>
        <v>N/A</v>
      </c>
      <c r="AD748" s="97" t="str">
        <f>IFERROR(__xludf.DUMMYFUNCTION("""COMPUTED_VALUE"""),"IP20")</f>
        <v>IP20</v>
      </c>
      <c r="AE748" s="97" t="str">
        <f>IFERROR(__xludf.DUMMYFUNCTION("""COMPUTED_VALUE"""),"Clase ll")</f>
        <v>Clase ll</v>
      </c>
      <c r="AF748" s="97" t="str">
        <f>IFERROR(__xludf.DUMMYFUNCTION("""COMPUTED_VALUE"""),"Autoportante")</f>
        <v>Autoportante</v>
      </c>
      <c r="AG748" s="97"/>
      <c r="AH748" s="97" t="str">
        <f>IFERROR(__xludf.DUMMYFUNCTION("""COMPUTED_VALUE"""),"N/A")</f>
        <v>N/A</v>
      </c>
      <c r="AI748" s="97" t="str">
        <f>IFERROR(__xludf.DUMMYFUNCTION("""COMPUTED_VALUE"""),"N/A")</f>
        <v>N/A</v>
      </c>
      <c r="AJ748" s="97"/>
      <c r="AK748" s="97" t="str">
        <f>IFERROR(__xludf.DUMMYFUNCTION("""COMPUTED_VALUE"""),"Acero")</f>
        <v>Acero</v>
      </c>
      <c r="AL748" s="97"/>
      <c r="AM748" s="97" t="str">
        <f>IFERROR(__xludf.DUMMYFUNCTION("""COMPUTED_VALUE"""),"-")</f>
        <v>-</v>
      </c>
      <c r="AN748" s="97" t="str">
        <f>IFERROR(__xludf.DUMMYFUNCTION("""COMPUTED_VALUE"""),"N/A")</f>
        <v>N/A</v>
      </c>
      <c r="AO748" s="97" t="str">
        <f>IFERROR(__xludf.DUMMYFUNCTION("""COMPUTED_VALUE"""),"1 Año")</f>
        <v>1 Año</v>
      </c>
      <c r="AP748" s="97" t="str">
        <f>IFERROR(__xludf.DUMMYFUNCTION("""COMPUTED_VALUE"""),"No Aplica")</f>
        <v>No Aplica</v>
      </c>
      <c r="AQ748" s="97" t="str">
        <f>IFERROR(__xludf.DUMMYFUNCTION("""COMPUTED_VALUE"""),"No Aplica")</f>
        <v>No Aplica</v>
      </c>
      <c r="AR748" s="97" t="str">
        <f>IFERROR(__xludf.DUMMYFUNCTION("""COMPUTED_VALUE"""),"No Aplica")</f>
        <v>No Aplica</v>
      </c>
      <c r="AS748" s="97"/>
      <c r="AT748" s="97"/>
      <c r="AU748" s="97"/>
      <c r="AV748" s="97" t="str">
        <f>IFERROR(__xludf.DUMMYFUNCTION("""COMPUTED_VALUE"""),"Pie")</f>
        <v>Pie</v>
      </c>
      <c r="AW748" s="97" t="str">
        <f>IFERROR(__xludf.DUMMYFUNCTION("""COMPUTED_VALUE"""),"De Apoyo")</f>
        <v>De Apoyo</v>
      </c>
      <c r="AX748" s="97" t="str">
        <f>IFERROR(__xludf.DUMMYFUNCTION("""COMPUTED_VALUE"""),"Interior")</f>
        <v>Interior</v>
      </c>
      <c r="AY748" s="97"/>
      <c r="AZ748" s="97"/>
      <c r="BA748" s="97"/>
      <c r="BB748" s="97"/>
      <c r="BC748" s="97"/>
      <c r="BD748" s="97" t="str">
        <f>IFERROR(__xludf.DUMMYFUNCTION("""COMPUTED_VALUE"""),"ROMA ")</f>
        <v>ROMA </v>
      </c>
      <c r="BE748" s="97" t="str">
        <f>IFERROR(__xludf.DUMMYFUNCTION("""COMPUTED_VALUE"""),"Sin Ficha")</f>
        <v>Sin Ficha</v>
      </c>
      <c r="BF748" s="97"/>
      <c r="BG748" s="97" t="str">
        <f>IFERROR(__xludf.DUMMYFUNCTION("""COMPUTED_VALUE"""),"Discontinuo")</f>
        <v>Discontinuo</v>
      </c>
    </row>
    <row r="749">
      <c r="A749" s="97">
        <f>IFERROR(__xludf.DUMMYFUNCTION("""COMPUTED_VALUE"""),6508.0)</f>
        <v>6508</v>
      </c>
      <c r="B749" s="97" t="str">
        <f>IFERROR(__xludf.DUMMYFUNCTION("""COMPUTED_VALUE"""),"ROMA ")</f>
        <v>ROMA </v>
      </c>
      <c r="C749" s="97" t="str">
        <f>IFERROR(__xludf.DUMMYFUNCTION("""COMPUTED_VALUE"""),"LAMPARA DE PIE ROMA BLANCO LEUK ")</f>
        <v>LAMPARA DE PIE ROMA BLANCO LEUK </v>
      </c>
      <c r="D749" s="97"/>
      <c r="E749" s="97"/>
      <c r="F749" s="97" t="str">
        <f>IFERROR(__xludf.DUMMYFUNCTION("""COMPUTED_VALUE"""),"E27")</f>
        <v>E27</v>
      </c>
      <c r="G749" s="97" t="str">
        <f>IFERROR(__xludf.DUMMYFUNCTION("""COMPUTED_VALUE"""),"N/A")</f>
        <v>N/A</v>
      </c>
      <c r="H749" s="97" t="str">
        <f>IFERROR(__xludf.DUMMYFUNCTION("""COMPUTED_VALUE"""),"N/A")</f>
        <v>N/A</v>
      </c>
      <c r="I749" s="97" t="str">
        <f>IFERROR(__xludf.DUMMYFUNCTION("""COMPUTED_VALUE"""),"N/A")</f>
        <v>N/A</v>
      </c>
      <c r="J749" s="97"/>
      <c r="K749" s="97" t="str">
        <f>IFERROR(__xludf.DUMMYFUNCTION("""COMPUTED_VALUE"""),"N/A")</f>
        <v>N/A</v>
      </c>
      <c r="L749" s="97"/>
      <c r="M749" s="97"/>
      <c r="N749" s="97"/>
      <c r="O749" s="97"/>
      <c r="P749" s="97"/>
      <c r="Q749" s="97" t="str">
        <f>IFERROR(__xludf.DUMMYFUNCTION("""COMPUTED_VALUE"""),"-")</f>
        <v>-</v>
      </c>
      <c r="R749" s="97" t="str">
        <f>IFERROR(__xludf.DUMMYFUNCTION("""COMPUTED_VALUE"""),"-")</f>
        <v>-</v>
      </c>
      <c r="S749" s="97" t="str">
        <f>IFERROR(__xludf.DUMMYFUNCTION("""COMPUTED_VALUE"""),"-")</f>
        <v>-</v>
      </c>
      <c r="T749" s="97" t="str">
        <f>IFERROR(__xludf.DUMMYFUNCTION("""COMPUTED_VALUE"""),"-")</f>
        <v>-</v>
      </c>
      <c r="U749" s="97" t="str">
        <f>IFERROR(__xludf.DUMMYFUNCTION("""COMPUTED_VALUE"""),"-")</f>
        <v>-</v>
      </c>
      <c r="V749" s="97" t="str">
        <f>IFERROR(__xludf.DUMMYFUNCTION("""COMPUTED_VALUE"""),"N/A")</f>
        <v>N/A</v>
      </c>
      <c r="W749" s="97" t="str">
        <f>IFERROR(__xludf.DUMMYFUNCTION("""COMPUTED_VALUE"""),"N/A")</f>
        <v>N/A</v>
      </c>
      <c r="X749" s="97" t="str">
        <f>IFERROR(__xludf.DUMMYFUNCTION("""COMPUTED_VALUE"""),"-")</f>
        <v>-</v>
      </c>
      <c r="Y749" s="97" t="str">
        <f>IFERROR(__xludf.DUMMYFUNCTION("""COMPUTED_VALUE"""),"N/A")</f>
        <v>N/A</v>
      </c>
      <c r="Z749" s="97" t="str">
        <f>IFERROR(__xludf.DUMMYFUNCTION("""COMPUTED_VALUE"""),"N/A")</f>
        <v>N/A</v>
      </c>
      <c r="AA749" s="97" t="str">
        <f>IFERROR(__xludf.DUMMYFUNCTION("""COMPUTED_VALUE"""),"N/A")</f>
        <v>N/A</v>
      </c>
      <c r="AB749" s="97" t="str">
        <f>IFERROR(__xludf.DUMMYFUNCTION("""COMPUTED_VALUE"""),"N/A")</f>
        <v>N/A</v>
      </c>
      <c r="AC749" s="97" t="str">
        <f>IFERROR(__xludf.DUMMYFUNCTION("""COMPUTED_VALUE"""),"N/A")</f>
        <v>N/A</v>
      </c>
      <c r="AD749" s="97" t="str">
        <f>IFERROR(__xludf.DUMMYFUNCTION("""COMPUTED_VALUE"""),"IP20")</f>
        <v>IP20</v>
      </c>
      <c r="AE749" s="97" t="str">
        <f>IFERROR(__xludf.DUMMYFUNCTION("""COMPUTED_VALUE"""),"Clase ll")</f>
        <v>Clase ll</v>
      </c>
      <c r="AF749" s="97" t="str">
        <f>IFERROR(__xludf.DUMMYFUNCTION("""COMPUTED_VALUE"""),"Autoportante")</f>
        <v>Autoportante</v>
      </c>
      <c r="AG749" s="97"/>
      <c r="AH749" s="97" t="str">
        <f>IFERROR(__xludf.DUMMYFUNCTION("""COMPUTED_VALUE"""),"N/A")</f>
        <v>N/A</v>
      </c>
      <c r="AI749" s="97" t="str">
        <f>IFERROR(__xludf.DUMMYFUNCTION("""COMPUTED_VALUE"""),"N/A")</f>
        <v>N/A</v>
      </c>
      <c r="AJ749" s="97"/>
      <c r="AK749" s="97" t="str">
        <f>IFERROR(__xludf.DUMMYFUNCTION("""COMPUTED_VALUE"""),"Acero")</f>
        <v>Acero</v>
      </c>
      <c r="AL749" s="97"/>
      <c r="AM749" s="97" t="str">
        <f>IFERROR(__xludf.DUMMYFUNCTION("""COMPUTED_VALUE"""),"-")</f>
        <v>-</v>
      </c>
      <c r="AN749" s="97" t="str">
        <f>IFERROR(__xludf.DUMMYFUNCTION("""COMPUTED_VALUE"""),"N/A")</f>
        <v>N/A</v>
      </c>
      <c r="AO749" s="97" t="str">
        <f>IFERROR(__xludf.DUMMYFUNCTION("""COMPUTED_VALUE"""),"1 Año")</f>
        <v>1 Año</v>
      </c>
      <c r="AP749" s="97" t="str">
        <f>IFERROR(__xludf.DUMMYFUNCTION("""COMPUTED_VALUE"""),"No Aplica")</f>
        <v>No Aplica</v>
      </c>
      <c r="AQ749" s="97" t="str">
        <f>IFERROR(__xludf.DUMMYFUNCTION("""COMPUTED_VALUE"""),"No Aplica")</f>
        <v>No Aplica</v>
      </c>
      <c r="AR749" s="97" t="str">
        <f>IFERROR(__xludf.DUMMYFUNCTION("""COMPUTED_VALUE"""),"No Aplica")</f>
        <v>No Aplica</v>
      </c>
      <c r="AS749" s="97"/>
      <c r="AT749" s="97"/>
      <c r="AU749" s="97"/>
      <c r="AV749" s="97" t="str">
        <f>IFERROR(__xludf.DUMMYFUNCTION("""COMPUTED_VALUE"""),"Pie")</f>
        <v>Pie</v>
      </c>
      <c r="AW749" s="97" t="str">
        <f>IFERROR(__xludf.DUMMYFUNCTION("""COMPUTED_VALUE"""),"De Apoyo")</f>
        <v>De Apoyo</v>
      </c>
      <c r="AX749" s="97" t="str">
        <f>IFERROR(__xludf.DUMMYFUNCTION("""COMPUTED_VALUE"""),"Interior")</f>
        <v>Interior</v>
      </c>
      <c r="AY749" s="97"/>
      <c r="AZ749" s="97"/>
      <c r="BA749" s="97"/>
      <c r="BB749" s="97"/>
      <c r="BC749" s="97"/>
      <c r="BD749" s="97" t="str">
        <f>IFERROR(__xludf.DUMMYFUNCTION("""COMPUTED_VALUE"""),"ROMA ")</f>
        <v>ROMA </v>
      </c>
      <c r="BE749" s="97" t="str">
        <f>IFERROR(__xludf.DUMMYFUNCTION("""COMPUTED_VALUE"""),"Sin Ficha")</f>
        <v>Sin Ficha</v>
      </c>
      <c r="BF749" s="97"/>
      <c r="BG749" s="97" t="str">
        <f>IFERROR(__xludf.DUMMYFUNCTION("""COMPUTED_VALUE"""),"Discontinuo")</f>
        <v>Discontinuo</v>
      </c>
    </row>
    <row r="750">
      <c r="A750" s="97">
        <f>IFERROR(__xludf.DUMMYFUNCTION("""COMPUTED_VALUE"""),6509.0)</f>
        <v>6509</v>
      </c>
      <c r="B750" s="97" t="str">
        <f>IFERROR(__xludf.DUMMYFUNCTION("""COMPUTED_VALUE"""),"ROMA ")</f>
        <v>ROMA </v>
      </c>
      <c r="C750" s="97" t="str">
        <f>IFERROR(__xludf.DUMMYFUNCTION("""COMPUTED_VALUE"""),"LAMPARA DE PIE ROMA BORDO LEUK ")</f>
        <v>LAMPARA DE PIE ROMA BORDO LEUK </v>
      </c>
      <c r="D750" s="97"/>
      <c r="E750" s="97"/>
      <c r="F750" s="97" t="str">
        <f>IFERROR(__xludf.DUMMYFUNCTION("""COMPUTED_VALUE"""),"E27")</f>
        <v>E27</v>
      </c>
      <c r="G750" s="97" t="str">
        <f>IFERROR(__xludf.DUMMYFUNCTION("""COMPUTED_VALUE"""),"N/A")</f>
        <v>N/A</v>
      </c>
      <c r="H750" s="97" t="str">
        <f>IFERROR(__xludf.DUMMYFUNCTION("""COMPUTED_VALUE"""),"N/A")</f>
        <v>N/A</v>
      </c>
      <c r="I750" s="97" t="str">
        <f>IFERROR(__xludf.DUMMYFUNCTION("""COMPUTED_VALUE"""),"N/A")</f>
        <v>N/A</v>
      </c>
      <c r="J750" s="97"/>
      <c r="K750" s="97" t="str">
        <f>IFERROR(__xludf.DUMMYFUNCTION("""COMPUTED_VALUE"""),"N/A")</f>
        <v>N/A</v>
      </c>
      <c r="L750" s="97"/>
      <c r="M750" s="97"/>
      <c r="N750" s="97"/>
      <c r="O750" s="97"/>
      <c r="P750" s="97"/>
      <c r="Q750" s="97" t="str">
        <f>IFERROR(__xludf.DUMMYFUNCTION("""COMPUTED_VALUE"""),"-")</f>
        <v>-</v>
      </c>
      <c r="R750" s="97" t="str">
        <f>IFERROR(__xludf.DUMMYFUNCTION("""COMPUTED_VALUE"""),"-")</f>
        <v>-</v>
      </c>
      <c r="S750" s="97" t="str">
        <f>IFERROR(__xludf.DUMMYFUNCTION("""COMPUTED_VALUE"""),"-")</f>
        <v>-</v>
      </c>
      <c r="T750" s="97" t="str">
        <f>IFERROR(__xludf.DUMMYFUNCTION("""COMPUTED_VALUE"""),"-")</f>
        <v>-</v>
      </c>
      <c r="U750" s="97" t="str">
        <f>IFERROR(__xludf.DUMMYFUNCTION("""COMPUTED_VALUE"""),"-")</f>
        <v>-</v>
      </c>
      <c r="V750" s="97" t="str">
        <f>IFERROR(__xludf.DUMMYFUNCTION("""COMPUTED_VALUE"""),"N/A")</f>
        <v>N/A</v>
      </c>
      <c r="W750" s="97" t="str">
        <f>IFERROR(__xludf.DUMMYFUNCTION("""COMPUTED_VALUE"""),"N/A")</f>
        <v>N/A</v>
      </c>
      <c r="X750" s="97" t="str">
        <f>IFERROR(__xludf.DUMMYFUNCTION("""COMPUTED_VALUE"""),"-")</f>
        <v>-</v>
      </c>
      <c r="Y750" s="97" t="str">
        <f>IFERROR(__xludf.DUMMYFUNCTION("""COMPUTED_VALUE"""),"N/A")</f>
        <v>N/A</v>
      </c>
      <c r="Z750" s="97" t="str">
        <f>IFERROR(__xludf.DUMMYFUNCTION("""COMPUTED_VALUE"""),"N/A")</f>
        <v>N/A</v>
      </c>
      <c r="AA750" s="97" t="str">
        <f>IFERROR(__xludf.DUMMYFUNCTION("""COMPUTED_VALUE"""),"N/A")</f>
        <v>N/A</v>
      </c>
      <c r="AB750" s="97" t="str">
        <f>IFERROR(__xludf.DUMMYFUNCTION("""COMPUTED_VALUE"""),"N/A")</f>
        <v>N/A</v>
      </c>
      <c r="AC750" s="97" t="str">
        <f>IFERROR(__xludf.DUMMYFUNCTION("""COMPUTED_VALUE"""),"N/A")</f>
        <v>N/A</v>
      </c>
      <c r="AD750" s="97" t="str">
        <f>IFERROR(__xludf.DUMMYFUNCTION("""COMPUTED_VALUE"""),"IP20")</f>
        <v>IP20</v>
      </c>
      <c r="AE750" s="97" t="str">
        <f>IFERROR(__xludf.DUMMYFUNCTION("""COMPUTED_VALUE"""),"Clase ll")</f>
        <v>Clase ll</v>
      </c>
      <c r="AF750" s="97" t="str">
        <f>IFERROR(__xludf.DUMMYFUNCTION("""COMPUTED_VALUE"""),"Autoportante")</f>
        <v>Autoportante</v>
      </c>
      <c r="AG750" s="97"/>
      <c r="AH750" s="97" t="str">
        <f>IFERROR(__xludf.DUMMYFUNCTION("""COMPUTED_VALUE"""),"N/A")</f>
        <v>N/A</v>
      </c>
      <c r="AI750" s="97" t="str">
        <f>IFERROR(__xludf.DUMMYFUNCTION("""COMPUTED_VALUE"""),"N/A")</f>
        <v>N/A</v>
      </c>
      <c r="AJ750" s="97"/>
      <c r="AK750" s="97" t="str">
        <f>IFERROR(__xludf.DUMMYFUNCTION("""COMPUTED_VALUE"""),"Acero")</f>
        <v>Acero</v>
      </c>
      <c r="AL750" s="97"/>
      <c r="AM750" s="97" t="str">
        <f>IFERROR(__xludf.DUMMYFUNCTION("""COMPUTED_VALUE"""),"-")</f>
        <v>-</v>
      </c>
      <c r="AN750" s="97" t="str">
        <f>IFERROR(__xludf.DUMMYFUNCTION("""COMPUTED_VALUE"""),"N/A")</f>
        <v>N/A</v>
      </c>
      <c r="AO750" s="97" t="str">
        <f>IFERROR(__xludf.DUMMYFUNCTION("""COMPUTED_VALUE"""),"1 Año")</f>
        <v>1 Año</v>
      </c>
      <c r="AP750" s="97" t="str">
        <f>IFERROR(__xludf.DUMMYFUNCTION("""COMPUTED_VALUE"""),"No Aplica")</f>
        <v>No Aplica</v>
      </c>
      <c r="AQ750" s="97" t="str">
        <f>IFERROR(__xludf.DUMMYFUNCTION("""COMPUTED_VALUE"""),"No Aplica")</f>
        <v>No Aplica</v>
      </c>
      <c r="AR750" s="97" t="str">
        <f>IFERROR(__xludf.DUMMYFUNCTION("""COMPUTED_VALUE"""),"No Aplica")</f>
        <v>No Aplica</v>
      </c>
      <c r="AS750" s="97"/>
      <c r="AT750" s="97"/>
      <c r="AU750" s="97"/>
      <c r="AV750" s="97" t="str">
        <f>IFERROR(__xludf.DUMMYFUNCTION("""COMPUTED_VALUE"""),"Pie")</f>
        <v>Pie</v>
      </c>
      <c r="AW750" s="97" t="str">
        <f>IFERROR(__xludf.DUMMYFUNCTION("""COMPUTED_VALUE"""),"De Apoyo")</f>
        <v>De Apoyo</v>
      </c>
      <c r="AX750" s="97" t="str">
        <f>IFERROR(__xludf.DUMMYFUNCTION("""COMPUTED_VALUE"""),"Interior")</f>
        <v>Interior</v>
      </c>
      <c r="AY750" s="97"/>
      <c r="AZ750" s="97"/>
      <c r="BA750" s="97"/>
      <c r="BB750" s="97"/>
      <c r="BC750" s="97"/>
      <c r="BD750" s="97" t="str">
        <f>IFERROR(__xludf.DUMMYFUNCTION("""COMPUTED_VALUE"""),"ROMA ")</f>
        <v>ROMA </v>
      </c>
      <c r="BE750" s="97" t="str">
        <f>IFERROR(__xludf.DUMMYFUNCTION("""COMPUTED_VALUE"""),"Sin Ficha")</f>
        <v>Sin Ficha</v>
      </c>
      <c r="BF750" s="97"/>
      <c r="BG750" s="97" t="str">
        <f>IFERROR(__xludf.DUMMYFUNCTION("""COMPUTED_VALUE"""),"Discontinuo")</f>
        <v>Discontinuo</v>
      </c>
    </row>
    <row r="751">
      <c r="A751" s="97">
        <f>IFERROR(__xludf.DUMMYFUNCTION("""COMPUTED_VALUE"""),6510.0)</f>
        <v>6510</v>
      </c>
      <c r="B751" s="97" t="str">
        <f>IFERROR(__xludf.DUMMYFUNCTION("""COMPUTED_VALUE"""),"TROPHY")</f>
        <v>TROPHY</v>
      </c>
      <c r="C751" s="97" t="str">
        <f>IFERROR(__xludf.DUMMYFUNCTION("""COMPUTED_VALUE"""),"VELADOR TROPHY NEGRO LEUK")</f>
        <v>VELADOR TROPHY NEGRO LEUK</v>
      </c>
      <c r="D751" s="99">
        <f>IFERROR(__xludf.DUMMYFUNCTION("""COMPUTED_VALUE"""),7.798413221084E12)</f>
        <v>7798413221084</v>
      </c>
      <c r="E751" s="97"/>
      <c r="F751" s="97" t="str">
        <f>IFERROR(__xludf.DUMMYFUNCTION("""COMPUTED_VALUE"""),"E27")</f>
        <v>E27</v>
      </c>
      <c r="G751" s="97" t="str">
        <f>IFERROR(__xludf.DUMMYFUNCTION("""COMPUTED_VALUE"""),"N/A")</f>
        <v>N/A</v>
      </c>
      <c r="H751" s="97" t="str">
        <f>IFERROR(__xludf.DUMMYFUNCTION("""COMPUTED_VALUE"""),"N/A")</f>
        <v>N/A</v>
      </c>
      <c r="I751" s="97" t="str">
        <f>IFERROR(__xludf.DUMMYFUNCTION("""COMPUTED_VALUE"""),"N/A")</f>
        <v>N/A</v>
      </c>
      <c r="J751" s="97"/>
      <c r="K751" s="97" t="str">
        <f>IFERROR(__xludf.DUMMYFUNCTION("""COMPUTED_VALUE"""),"N/A")</f>
        <v>N/A</v>
      </c>
      <c r="L751" s="97"/>
      <c r="M751" s="97"/>
      <c r="N751" s="97"/>
      <c r="O751" s="97"/>
      <c r="P751" s="97"/>
      <c r="Q751" s="97" t="str">
        <f>IFERROR(__xludf.DUMMYFUNCTION("""COMPUTED_VALUE"""),"-")</f>
        <v>-</v>
      </c>
      <c r="R751" s="97" t="str">
        <f>IFERROR(__xludf.DUMMYFUNCTION("""COMPUTED_VALUE"""),"-")</f>
        <v>-</v>
      </c>
      <c r="S751" s="97" t="str">
        <f>IFERROR(__xludf.DUMMYFUNCTION("""COMPUTED_VALUE"""),"-")</f>
        <v>-</v>
      </c>
      <c r="T751" s="97" t="str">
        <f>IFERROR(__xludf.DUMMYFUNCTION("""COMPUTED_VALUE"""),"-")</f>
        <v>-</v>
      </c>
      <c r="U751" s="97" t="str">
        <f>IFERROR(__xludf.DUMMYFUNCTION("""COMPUTED_VALUE"""),"-")</f>
        <v>-</v>
      </c>
      <c r="V751" s="97" t="str">
        <f>IFERROR(__xludf.DUMMYFUNCTION("""COMPUTED_VALUE"""),"N/A")</f>
        <v>N/A</v>
      </c>
      <c r="W751" s="97" t="str">
        <f>IFERROR(__xludf.DUMMYFUNCTION("""COMPUTED_VALUE"""),"N/A")</f>
        <v>N/A</v>
      </c>
      <c r="X751" s="97" t="str">
        <f>IFERROR(__xludf.DUMMYFUNCTION("""COMPUTED_VALUE"""),"-")</f>
        <v>-</v>
      </c>
      <c r="Y751" s="97" t="str">
        <f>IFERROR(__xludf.DUMMYFUNCTION("""COMPUTED_VALUE"""),"N/A")</f>
        <v>N/A</v>
      </c>
      <c r="Z751" s="97" t="str">
        <f>IFERROR(__xludf.DUMMYFUNCTION("""COMPUTED_VALUE"""),"N/A")</f>
        <v>N/A</v>
      </c>
      <c r="AA751" s="97" t="str">
        <f>IFERROR(__xludf.DUMMYFUNCTION("""COMPUTED_VALUE"""),"N/A")</f>
        <v>N/A</v>
      </c>
      <c r="AB751" s="97" t="str">
        <f>IFERROR(__xludf.DUMMYFUNCTION("""COMPUTED_VALUE"""),"N/A")</f>
        <v>N/A</v>
      </c>
      <c r="AC751" s="97" t="str">
        <f>IFERROR(__xludf.DUMMYFUNCTION("""COMPUTED_VALUE"""),"N/A")</f>
        <v>N/A</v>
      </c>
      <c r="AD751" s="97" t="str">
        <f>IFERROR(__xludf.DUMMYFUNCTION("""COMPUTED_VALUE"""),"IP20")</f>
        <v>IP20</v>
      </c>
      <c r="AE751" s="97" t="str">
        <f>IFERROR(__xludf.DUMMYFUNCTION("""COMPUTED_VALUE"""),"Clase ll")</f>
        <v>Clase ll</v>
      </c>
      <c r="AF751" s="97" t="str">
        <f>IFERROR(__xludf.DUMMYFUNCTION("""COMPUTED_VALUE"""),"Autoportante")</f>
        <v>Autoportante</v>
      </c>
      <c r="AG751" s="97"/>
      <c r="AH751" s="97"/>
      <c r="AI751" s="97"/>
      <c r="AJ751" s="97"/>
      <c r="AK751" s="97" t="str">
        <f>IFERROR(__xludf.DUMMYFUNCTION("""COMPUTED_VALUE"""),"Acero")</f>
        <v>Acero</v>
      </c>
      <c r="AL751" s="97"/>
      <c r="AM751" s="97" t="str">
        <f>IFERROR(__xludf.DUMMYFUNCTION("""COMPUTED_VALUE"""),"-")</f>
        <v>-</v>
      </c>
      <c r="AN751" s="97" t="str">
        <f>IFERROR(__xludf.DUMMYFUNCTION("""COMPUTED_VALUE"""),"N/A")</f>
        <v>N/A</v>
      </c>
      <c r="AO751" s="97" t="str">
        <f>IFERROR(__xludf.DUMMYFUNCTION("""COMPUTED_VALUE"""),"1 Año")</f>
        <v>1 Año</v>
      </c>
      <c r="AP751" s="97" t="str">
        <f>IFERROR(__xludf.DUMMYFUNCTION("""COMPUTED_VALUE"""),"No Aplica")</f>
        <v>No Aplica</v>
      </c>
      <c r="AQ751" s="97" t="str">
        <f>IFERROR(__xludf.DUMMYFUNCTION("""COMPUTED_VALUE"""),"No Aplica")</f>
        <v>No Aplica</v>
      </c>
      <c r="AR751" s="97" t="str">
        <f>IFERROR(__xludf.DUMMYFUNCTION("""COMPUTED_VALUE"""),"No Aplica")</f>
        <v>No Aplica</v>
      </c>
      <c r="AS751" s="97"/>
      <c r="AT751" s="97"/>
      <c r="AU751" s="97"/>
      <c r="AV751" s="97" t="str">
        <f>IFERROR(__xludf.DUMMYFUNCTION("""COMPUTED_VALUE"""),"Mesa")</f>
        <v>Mesa</v>
      </c>
      <c r="AW751" s="97" t="str">
        <f>IFERROR(__xludf.DUMMYFUNCTION("""COMPUTED_VALUE"""),"De Apoyo")</f>
        <v>De Apoyo</v>
      </c>
      <c r="AX751" s="97" t="str">
        <f>IFERROR(__xludf.DUMMYFUNCTION("""COMPUTED_VALUE"""),"Interior")</f>
        <v>Interior</v>
      </c>
      <c r="AY751" s="97"/>
      <c r="AZ751" s="97"/>
      <c r="BA751" s="97"/>
      <c r="BB751" s="97"/>
      <c r="BC751" s="97"/>
      <c r="BD751" s="97" t="str">
        <f>IFERROR(__xludf.DUMMYFUNCTION("""COMPUTED_VALUE"""),"TROPHY")</f>
        <v>TROPHY</v>
      </c>
      <c r="BE751" s="97" t="str">
        <f>IFERROR(__xludf.DUMMYFUNCTION("""COMPUTED_VALUE"""),"Sin Ficha")</f>
        <v>Sin Ficha</v>
      </c>
      <c r="BF751" s="97"/>
      <c r="BG751" s="97" t="str">
        <f>IFERROR(__xludf.DUMMYFUNCTION("""COMPUTED_VALUE"""),"Discontinuo")</f>
        <v>Discontinuo</v>
      </c>
    </row>
    <row r="752">
      <c r="A752" s="97">
        <f>IFERROR(__xludf.DUMMYFUNCTION("""COMPUTED_VALUE"""),6511.0)</f>
        <v>6511</v>
      </c>
      <c r="B752" s="97" t="str">
        <f>IFERROR(__xludf.DUMMYFUNCTION("""COMPUTED_VALUE"""),"TROPHY ")</f>
        <v>TROPHY </v>
      </c>
      <c r="C752" s="97" t="str">
        <f>IFERROR(__xludf.DUMMYFUNCTION("""COMPUTED_VALUE"""),"VELADOR TROPHY BLANCO LEUK ")</f>
        <v>VELADOR TROPHY BLANCO LEUK </v>
      </c>
      <c r="D752" s="99">
        <f>IFERROR(__xludf.DUMMYFUNCTION("""COMPUTED_VALUE"""),7.798413221091E12)</f>
        <v>7798413221091</v>
      </c>
      <c r="E752" s="97"/>
      <c r="F752" s="97" t="str">
        <f>IFERROR(__xludf.DUMMYFUNCTION("""COMPUTED_VALUE"""),"E27")</f>
        <v>E27</v>
      </c>
      <c r="G752" s="97" t="str">
        <f>IFERROR(__xludf.DUMMYFUNCTION("""COMPUTED_VALUE"""),"N/A")</f>
        <v>N/A</v>
      </c>
      <c r="H752" s="97" t="str">
        <f>IFERROR(__xludf.DUMMYFUNCTION("""COMPUTED_VALUE"""),"N/A")</f>
        <v>N/A</v>
      </c>
      <c r="I752" s="97" t="str">
        <f>IFERROR(__xludf.DUMMYFUNCTION("""COMPUTED_VALUE"""),"N/A")</f>
        <v>N/A</v>
      </c>
      <c r="J752" s="97"/>
      <c r="K752" s="97" t="str">
        <f>IFERROR(__xludf.DUMMYFUNCTION("""COMPUTED_VALUE"""),"N/A")</f>
        <v>N/A</v>
      </c>
      <c r="L752" s="97"/>
      <c r="M752" s="97"/>
      <c r="N752" s="97"/>
      <c r="O752" s="97"/>
      <c r="P752" s="97"/>
      <c r="Q752" s="97" t="str">
        <f>IFERROR(__xludf.DUMMYFUNCTION("""COMPUTED_VALUE"""),"-")</f>
        <v>-</v>
      </c>
      <c r="R752" s="97" t="str">
        <f>IFERROR(__xludf.DUMMYFUNCTION("""COMPUTED_VALUE"""),"-")</f>
        <v>-</v>
      </c>
      <c r="S752" s="97" t="str">
        <f>IFERROR(__xludf.DUMMYFUNCTION("""COMPUTED_VALUE"""),"-")</f>
        <v>-</v>
      </c>
      <c r="T752" s="97" t="str">
        <f>IFERROR(__xludf.DUMMYFUNCTION("""COMPUTED_VALUE"""),"-")</f>
        <v>-</v>
      </c>
      <c r="U752" s="97" t="str">
        <f>IFERROR(__xludf.DUMMYFUNCTION("""COMPUTED_VALUE"""),"-")</f>
        <v>-</v>
      </c>
      <c r="V752" s="97" t="str">
        <f>IFERROR(__xludf.DUMMYFUNCTION("""COMPUTED_VALUE"""),"N/A")</f>
        <v>N/A</v>
      </c>
      <c r="W752" s="97" t="str">
        <f>IFERROR(__xludf.DUMMYFUNCTION("""COMPUTED_VALUE"""),"N/A")</f>
        <v>N/A</v>
      </c>
      <c r="X752" s="97" t="str">
        <f>IFERROR(__xludf.DUMMYFUNCTION("""COMPUTED_VALUE"""),"-")</f>
        <v>-</v>
      </c>
      <c r="Y752" s="97" t="str">
        <f>IFERROR(__xludf.DUMMYFUNCTION("""COMPUTED_VALUE"""),"N/A")</f>
        <v>N/A</v>
      </c>
      <c r="Z752" s="97" t="str">
        <f>IFERROR(__xludf.DUMMYFUNCTION("""COMPUTED_VALUE"""),"N/A")</f>
        <v>N/A</v>
      </c>
      <c r="AA752" s="97" t="str">
        <f>IFERROR(__xludf.DUMMYFUNCTION("""COMPUTED_VALUE"""),"N/A")</f>
        <v>N/A</v>
      </c>
      <c r="AB752" s="97" t="str">
        <f>IFERROR(__xludf.DUMMYFUNCTION("""COMPUTED_VALUE"""),"N/A")</f>
        <v>N/A</v>
      </c>
      <c r="AC752" s="97" t="str">
        <f>IFERROR(__xludf.DUMMYFUNCTION("""COMPUTED_VALUE"""),"N/A")</f>
        <v>N/A</v>
      </c>
      <c r="AD752" s="97" t="str">
        <f>IFERROR(__xludf.DUMMYFUNCTION("""COMPUTED_VALUE"""),"IP20")</f>
        <v>IP20</v>
      </c>
      <c r="AE752" s="97" t="str">
        <f>IFERROR(__xludf.DUMMYFUNCTION("""COMPUTED_VALUE"""),"Clase ll")</f>
        <v>Clase ll</v>
      </c>
      <c r="AF752" s="97" t="str">
        <f>IFERROR(__xludf.DUMMYFUNCTION("""COMPUTED_VALUE"""),"Autoportante")</f>
        <v>Autoportante</v>
      </c>
      <c r="AG752" s="97"/>
      <c r="AH752" s="97"/>
      <c r="AI752" s="97"/>
      <c r="AJ752" s="97"/>
      <c r="AK752" s="97" t="str">
        <f>IFERROR(__xludf.DUMMYFUNCTION("""COMPUTED_VALUE"""),"Acero")</f>
        <v>Acero</v>
      </c>
      <c r="AL752" s="97"/>
      <c r="AM752" s="97" t="str">
        <f>IFERROR(__xludf.DUMMYFUNCTION("""COMPUTED_VALUE"""),"-")</f>
        <v>-</v>
      </c>
      <c r="AN752" s="97" t="str">
        <f>IFERROR(__xludf.DUMMYFUNCTION("""COMPUTED_VALUE"""),"N/A")</f>
        <v>N/A</v>
      </c>
      <c r="AO752" s="97" t="str">
        <f>IFERROR(__xludf.DUMMYFUNCTION("""COMPUTED_VALUE"""),"1 Año")</f>
        <v>1 Año</v>
      </c>
      <c r="AP752" s="97" t="str">
        <f>IFERROR(__xludf.DUMMYFUNCTION("""COMPUTED_VALUE"""),"No Aplica")</f>
        <v>No Aplica</v>
      </c>
      <c r="AQ752" s="97" t="str">
        <f>IFERROR(__xludf.DUMMYFUNCTION("""COMPUTED_VALUE"""),"No Aplica")</f>
        <v>No Aplica</v>
      </c>
      <c r="AR752" s="97" t="str">
        <f>IFERROR(__xludf.DUMMYFUNCTION("""COMPUTED_VALUE"""),"No Aplica")</f>
        <v>No Aplica</v>
      </c>
      <c r="AS752" s="97"/>
      <c r="AT752" s="97"/>
      <c r="AU752" s="97"/>
      <c r="AV752" s="97" t="str">
        <f>IFERROR(__xludf.DUMMYFUNCTION("""COMPUTED_VALUE"""),"Mesa")</f>
        <v>Mesa</v>
      </c>
      <c r="AW752" s="97" t="str">
        <f>IFERROR(__xludf.DUMMYFUNCTION("""COMPUTED_VALUE"""),"De Apoyo")</f>
        <v>De Apoyo</v>
      </c>
      <c r="AX752" s="97" t="str">
        <f>IFERROR(__xludf.DUMMYFUNCTION("""COMPUTED_VALUE"""),"Interior")</f>
        <v>Interior</v>
      </c>
      <c r="AY752" s="97"/>
      <c r="AZ752" s="97"/>
      <c r="BA752" s="97"/>
      <c r="BB752" s="97"/>
      <c r="BC752" s="97"/>
      <c r="BD752" s="97" t="str">
        <f>IFERROR(__xludf.DUMMYFUNCTION("""COMPUTED_VALUE"""),"TROPHY ")</f>
        <v>TROPHY </v>
      </c>
      <c r="BE752" s="97" t="str">
        <f>IFERROR(__xludf.DUMMYFUNCTION("""COMPUTED_VALUE"""),"Sin Ficha")</f>
        <v>Sin Ficha</v>
      </c>
      <c r="BF752" s="97"/>
      <c r="BG752" s="97" t="str">
        <f>IFERROR(__xludf.DUMMYFUNCTION("""COMPUTED_VALUE"""),"Discontinuo")</f>
        <v>Discontinuo</v>
      </c>
    </row>
    <row r="753">
      <c r="A753" s="97">
        <f>IFERROR(__xludf.DUMMYFUNCTION("""COMPUTED_VALUE"""),6512.0)</f>
        <v>6512</v>
      </c>
      <c r="B753" s="97" t="str">
        <f>IFERROR(__xludf.DUMMYFUNCTION("""COMPUTED_VALUE"""),"KIOTO")</f>
        <v>KIOTO</v>
      </c>
      <c r="C753" s="97" t="str">
        <f>IFERROR(__xludf.DUMMYFUNCTION("""COMPUTED_VALUE"""),"VELADOR KIOTO NEGRO LEUK")</f>
        <v>VELADOR KIOTO NEGRO LEUK</v>
      </c>
      <c r="D753" s="97"/>
      <c r="E753" s="97"/>
      <c r="F753" s="97" t="str">
        <f>IFERROR(__xludf.DUMMYFUNCTION("""COMPUTED_VALUE"""),"2 x GU10")</f>
        <v>2 x GU10</v>
      </c>
      <c r="G753" s="97" t="str">
        <f>IFERROR(__xludf.DUMMYFUNCTION("""COMPUTED_VALUE"""),"N/A")</f>
        <v>N/A</v>
      </c>
      <c r="H753" s="97" t="str">
        <f>IFERROR(__xludf.DUMMYFUNCTION("""COMPUTED_VALUE"""),"N/A")</f>
        <v>N/A</v>
      </c>
      <c r="I753" s="97" t="str">
        <f>IFERROR(__xludf.DUMMYFUNCTION("""COMPUTED_VALUE"""),"N/A")</f>
        <v>N/A</v>
      </c>
      <c r="J753" s="97"/>
      <c r="K753" s="97" t="str">
        <f>IFERROR(__xludf.DUMMYFUNCTION("""COMPUTED_VALUE"""),"N/A")</f>
        <v>N/A</v>
      </c>
      <c r="L753" s="97"/>
      <c r="M753" s="97"/>
      <c r="N753" s="97"/>
      <c r="O753" s="97"/>
      <c r="P753" s="97"/>
      <c r="Q753" s="97" t="str">
        <f>IFERROR(__xludf.DUMMYFUNCTION("""COMPUTED_VALUE"""),"-")</f>
        <v>-</v>
      </c>
      <c r="R753" s="97" t="str">
        <f>IFERROR(__xludf.DUMMYFUNCTION("""COMPUTED_VALUE"""),"-")</f>
        <v>-</v>
      </c>
      <c r="S753" s="97" t="str">
        <f>IFERROR(__xludf.DUMMYFUNCTION("""COMPUTED_VALUE"""),"-")</f>
        <v>-</v>
      </c>
      <c r="T753" s="97" t="str">
        <f>IFERROR(__xludf.DUMMYFUNCTION("""COMPUTED_VALUE"""),"-")</f>
        <v>-</v>
      </c>
      <c r="U753" s="97" t="str">
        <f>IFERROR(__xludf.DUMMYFUNCTION("""COMPUTED_VALUE"""),"-")</f>
        <v>-</v>
      </c>
      <c r="V753" s="97" t="str">
        <f>IFERROR(__xludf.DUMMYFUNCTION("""COMPUTED_VALUE"""),"N/A")</f>
        <v>N/A</v>
      </c>
      <c r="W753" s="97" t="str">
        <f>IFERROR(__xludf.DUMMYFUNCTION("""COMPUTED_VALUE"""),"N/A")</f>
        <v>N/A</v>
      </c>
      <c r="X753" s="97" t="str">
        <f>IFERROR(__xludf.DUMMYFUNCTION("""COMPUTED_VALUE"""),"-")</f>
        <v>-</v>
      </c>
      <c r="Y753" s="97" t="str">
        <f>IFERROR(__xludf.DUMMYFUNCTION("""COMPUTED_VALUE"""),"N/A")</f>
        <v>N/A</v>
      </c>
      <c r="Z753" s="97" t="str">
        <f>IFERROR(__xludf.DUMMYFUNCTION("""COMPUTED_VALUE"""),"N/A")</f>
        <v>N/A</v>
      </c>
      <c r="AA753" s="97" t="str">
        <f>IFERROR(__xludf.DUMMYFUNCTION("""COMPUTED_VALUE"""),"N/A")</f>
        <v>N/A</v>
      </c>
      <c r="AB753" s="97" t="str">
        <f>IFERROR(__xludf.DUMMYFUNCTION("""COMPUTED_VALUE"""),"N/A")</f>
        <v>N/A</v>
      </c>
      <c r="AC753" s="97" t="str">
        <f>IFERROR(__xludf.DUMMYFUNCTION("""COMPUTED_VALUE"""),"N/A")</f>
        <v>N/A</v>
      </c>
      <c r="AD753" s="97" t="str">
        <f>IFERROR(__xludf.DUMMYFUNCTION("""COMPUTED_VALUE"""),"IP20")</f>
        <v>IP20</v>
      </c>
      <c r="AE753" s="97" t="str">
        <f>IFERROR(__xludf.DUMMYFUNCTION("""COMPUTED_VALUE"""),"Clase ll")</f>
        <v>Clase ll</v>
      </c>
      <c r="AF753" s="97" t="str">
        <f>IFERROR(__xludf.DUMMYFUNCTION("""COMPUTED_VALUE"""),"Autoportante")</f>
        <v>Autoportante</v>
      </c>
      <c r="AG753" s="97"/>
      <c r="AH753" s="97"/>
      <c r="AI753" s="97"/>
      <c r="AJ753" s="97"/>
      <c r="AK753" s="97" t="str">
        <f>IFERROR(__xludf.DUMMYFUNCTION("""COMPUTED_VALUE"""),"Acero")</f>
        <v>Acero</v>
      </c>
      <c r="AL753" s="97"/>
      <c r="AM753" s="97" t="str">
        <f>IFERROR(__xludf.DUMMYFUNCTION("""COMPUTED_VALUE"""),"-")</f>
        <v>-</v>
      </c>
      <c r="AN753" s="97" t="str">
        <f>IFERROR(__xludf.DUMMYFUNCTION("""COMPUTED_VALUE"""),"N/A")</f>
        <v>N/A</v>
      </c>
      <c r="AO753" s="97" t="str">
        <f>IFERROR(__xludf.DUMMYFUNCTION("""COMPUTED_VALUE"""),"1 Año")</f>
        <v>1 Año</v>
      </c>
      <c r="AP753" s="97" t="str">
        <f>IFERROR(__xludf.DUMMYFUNCTION("""COMPUTED_VALUE"""),"No Aplica")</f>
        <v>No Aplica</v>
      </c>
      <c r="AQ753" s="97" t="str">
        <f>IFERROR(__xludf.DUMMYFUNCTION("""COMPUTED_VALUE"""),"No Aplica")</f>
        <v>No Aplica</v>
      </c>
      <c r="AR753" s="97" t="str">
        <f>IFERROR(__xludf.DUMMYFUNCTION("""COMPUTED_VALUE"""),"No Aplica")</f>
        <v>No Aplica</v>
      </c>
      <c r="AS753" s="97"/>
      <c r="AT753" s="97"/>
      <c r="AU753" s="97"/>
      <c r="AV753" s="97" t="str">
        <f>IFERROR(__xludf.DUMMYFUNCTION("""COMPUTED_VALUE"""),"Mesa")</f>
        <v>Mesa</v>
      </c>
      <c r="AW753" s="97" t="str">
        <f>IFERROR(__xludf.DUMMYFUNCTION("""COMPUTED_VALUE"""),"De Apoyo")</f>
        <v>De Apoyo</v>
      </c>
      <c r="AX753" s="97" t="str">
        <f>IFERROR(__xludf.DUMMYFUNCTION("""COMPUTED_VALUE"""),"Interior")</f>
        <v>Interior</v>
      </c>
      <c r="AY753" s="97"/>
      <c r="AZ753" s="97"/>
      <c r="BA753" s="97"/>
      <c r="BB753" s="97"/>
      <c r="BC753" s="97"/>
      <c r="BD753" s="97" t="str">
        <f>IFERROR(__xludf.DUMMYFUNCTION("""COMPUTED_VALUE"""),"KIOTO")</f>
        <v>KIOTO</v>
      </c>
      <c r="BE753" s="97" t="str">
        <f>IFERROR(__xludf.DUMMYFUNCTION("""COMPUTED_VALUE"""),"Sin Ficha")</f>
        <v>Sin Ficha</v>
      </c>
      <c r="BF753" s="97"/>
      <c r="BG753" s="97" t="str">
        <f>IFERROR(__xludf.DUMMYFUNCTION("""COMPUTED_VALUE"""),"Discontinuo")</f>
        <v>Discontinuo</v>
      </c>
    </row>
    <row r="754">
      <c r="A754" s="97">
        <f>IFERROR(__xludf.DUMMYFUNCTION("""COMPUTED_VALUE"""),6513.0)</f>
        <v>6513</v>
      </c>
      <c r="B754" s="97" t="str">
        <f>IFERROR(__xludf.DUMMYFUNCTION("""COMPUTED_VALUE"""),"KIOTO ")</f>
        <v>KIOTO </v>
      </c>
      <c r="C754" s="97" t="str">
        <f>IFERROR(__xludf.DUMMYFUNCTION("""COMPUTED_VALUE"""),"VELADOR KIOTO BLANCO LEUK ")</f>
        <v>VELADOR KIOTO BLANCO LEUK </v>
      </c>
      <c r="D754" s="97"/>
      <c r="E754" s="97"/>
      <c r="F754" s="97" t="str">
        <f>IFERROR(__xludf.DUMMYFUNCTION("""COMPUTED_VALUE"""),"2 x GU10")</f>
        <v>2 x GU10</v>
      </c>
      <c r="G754" s="97" t="str">
        <f>IFERROR(__xludf.DUMMYFUNCTION("""COMPUTED_VALUE"""),"N/A")</f>
        <v>N/A</v>
      </c>
      <c r="H754" s="97" t="str">
        <f>IFERROR(__xludf.DUMMYFUNCTION("""COMPUTED_VALUE"""),"N/A")</f>
        <v>N/A</v>
      </c>
      <c r="I754" s="97" t="str">
        <f>IFERROR(__xludf.DUMMYFUNCTION("""COMPUTED_VALUE"""),"N/A")</f>
        <v>N/A</v>
      </c>
      <c r="J754" s="97"/>
      <c r="K754" s="97" t="str">
        <f>IFERROR(__xludf.DUMMYFUNCTION("""COMPUTED_VALUE"""),"N/A")</f>
        <v>N/A</v>
      </c>
      <c r="L754" s="97"/>
      <c r="M754" s="97"/>
      <c r="N754" s="97"/>
      <c r="O754" s="97"/>
      <c r="P754" s="97"/>
      <c r="Q754" s="97" t="str">
        <f>IFERROR(__xludf.DUMMYFUNCTION("""COMPUTED_VALUE"""),"-")</f>
        <v>-</v>
      </c>
      <c r="R754" s="97" t="str">
        <f>IFERROR(__xludf.DUMMYFUNCTION("""COMPUTED_VALUE"""),"-")</f>
        <v>-</v>
      </c>
      <c r="S754" s="97" t="str">
        <f>IFERROR(__xludf.DUMMYFUNCTION("""COMPUTED_VALUE"""),"-")</f>
        <v>-</v>
      </c>
      <c r="T754" s="97" t="str">
        <f>IFERROR(__xludf.DUMMYFUNCTION("""COMPUTED_VALUE"""),"-")</f>
        <v>-</v>
      </c>
      <c r="U754" s="97" t="str">
        <f>IFERROR(__xludf.DUMMYFUNCTION("""COMPUTED_VALUE"""),"-")</f>
        <v>-</v>
      </c>
      <c r="V754" s="97" t="str">
        <f>IFERROR(__xludf.DUMMYFUNCTION("""COMPUTED_VALUE"""),"N/A")</f>
        <v>N/A</v>
      </c>
      <c r="W754" s="97" t="str">
        <f>IFERROR(__xludf.DUMMYFUNCTION("""COMPUTED_VALUE"""),"N/A")</f>
        <v>N/A</v>
      </c>
      <c r="X754" s="97" t="str">
        <f>IFERROR(__xludf.DUMMYFUNCTION("""COMPUTED_VALUE"""),"-")</f>
        <v>-</v>
      </c>
      <c r="Y754" s="97" t="str">
        <f>IFERROR(__xludf.DUMMYFUNCTION("""COMPUTED_VALUE"""),"N/A")</f>
        <v>N/A</v>
      </c>
      <c r="Z754" s="97" t="str">
        <f>IFERROR(__xludf.DUMMYFUNCTION("""COMPUTED_VALUE"""),"N/A")</f>
        <v>N/A</v>
      </c>
      <c r="AA754" s="97" t="str">
        <f>IFERROR(__xludf.DUMMYFUNCTION("""COMPUTED_VALUE"""),"N/A")</f>
        <v>N/A</v>
      </c>
      <c r="AB754" s="97" t="str">
        <f>IFERROR(__xludf.DUMMYFUNCTION("""COMPUTED_VALUE"""),"N/A")</f>
        <v>N/A</v>
      </c>
      <c r="AC754" s="97" t="str">
        <f>IFERROR(__xludf.DUMMYFUNCTION("""COMPUTED_VALUE"""),"N/A")</f>
        <v>N/A</v>
      </c>
      <c r="AD754" s="97" t="str">
        <f>IFERROR(__xludf.DUMMYFUNCTION("""COMPUTED_VALUE"""),"IP20")</f>
        <v>IP20</v>
      </c>
      <c r="AE754" s="97" t="str">
        <f>IFERROR(__xludf.DUMMYFUNCTION("""COMPUTED_VALUE"""),"Clase ll")</f>
        <v>Clase ll</v>
      </c>
      <c r="AF754" s="97" t="str">
        <f>IFERROR(__xludf.DUMMYFUNCTION("""COMPUTED_VALUE"""),"Autoportante")</f>
        <v>Autoportante</v>
      </c>
      <c r="AG754" s="97"/>
      <c r="AH754" s="97"/>
      <c r="AI754" s="97"/>
      <c r="AJ754" s="97"/>
      <c r="AK754" s="97" t="str">
        <f>IFERROR(__xludf.DUMMYFUNCTION("""COMPUTED_VALUE"""),"Acero")</f>
        <v>Acero</v>
      </c>
      <c r="AL754" s="97"/>
      <c r="AM754" s="97" t="str">
        <f>IFERROR(__xludf.DUMMYFUNCTION("""COMPUTED_VALUE"""),"-")</f>
        <v>-</v>
      </c>
      <c r="AN754" s="97" t="str">
        <f>IFERROR(__xludf.DUMMYFUNCTION("""COMPUTED_VALUE"""),"N/A")</f>
        <v>N/A</v>
      </c>
      <c r="AO754" s="97" t="str">
        <f>IFERROR(__xludf.DUMMYFUNCTION("""COMPUTED_VALUE"""),"1 Año")</f>
        <v>1 Año</v>
      </c>
      <c r="AP754" s="97" t="str">
        <f>IFERROR(__xludf.DUMMYFUNCTION("""COMPUTED_VALUE"""),"No Aplica")</f>
        <v>No Aplica</v>
      </c>
      <c r="AQ754" s="97" t="str">
        <f>IFERROR(__xludf.DUMMYFUNCTION("""COMPUTED_VALUE"""),"No Aplica")</f>
        <v>No Aplica</v>
      </c>
      <c r="AR754" s="97" t="str">
        <f>IFERROR(__xludf.DUMMYFUNCTION("""COMPUTED_VALUE"""),"No Aplica")</f>
        <v>No Aplica</v>
      </c>
      <c r="AS754" s="97"/>
      <c r="AT754" s="97"/>
      <c r="AU754" s="97"/>
      <c r="AV754" s="97" t="str">
        <f>IFERROR(__xludf.DUMMYFUNCTION("""COMPUTED_VALUE"""),"Mesa")</f>
        <v>Mesa</v>
      </c>
      <c r="AW754" s="97" t="str">
        <f>IFERROR(__xludf.DUMMYFUNCTION("""COMPUTED_VALUE"""),"De Apoyo")</f>
        <v>De Apoyo</v>
      </c>
      <c r="AX754" s="97" t="str">
        <f>IFERROR(__xludf.DUMMYFUNCTION("""COMPUTED_VALUE"""),"Interior")</f>
        <v>Interior</v>
      </c>
      <c r="AY754" s="97"/>
      <c r="AZ754" s="97"/>
      <c r="BA754" s="97"/>
      <c r="BB754" s="97"/>
      <c r="BC754" s="97"/>
      <c r="BD754" s="97" t="str">
        <f>IFERROR(__xludf.DUMMYFUNCTION("""COMPUTED_VALUE"""),"KIOTO ")</f>
        <v>KIOTO </v>
      </c>
      <c r="BE754" s="97" t="str">
        <f>IFERROR(__xludf.DUMMYFUNCTION("""COMPUTED_VALUE"""),"Sin Ficha")</f>
        <v>Sin Ficha</v>
      </c>
      <c r="BF754" s="97"/>
      <c r="BG754" s="97" t="str">
        <f>IFERROR(__xludf.DUMMYFUNCTION("""COMPUTED_VALUE"""),"Discontinuo")</f>
        <v>Discontinuo</v>
      </c>
    </row>
    <row r="755">
      <c r="A755" s="97">
        <f>IFERROR(__xludf.DUMMYFUNCTION("""COMPUTED_VALUE"""),6514.0)</f>
        <v>6514</v>
      </c>
      <c r="B755" s="97" t="str">
        <f>IFERROR(__xludf.DUMMYFUNCTION("""COMPUTED_VALUE"""),"KIOTO ")</f>
        <v>KIOTO </v>
      </c>
      <c r="C755" s="97" t="str">
        <f>IFERROR(__xludf.DUMMYFUNCTION("""COMPUTED_VALUE"""),"LAMPARA DE PIE KIOTO NEGRO LEUK ")</f>
        <v>LAMPARA DE PIE KIOTO NEGRO LEUK </v>
      </c>
      <c r="D755" s="97"/>
      <c r="E755" s="97"/>
      <c r="F755" s="97" t="str">
        <f>IFERROR(__xludf.DUMMYFUNCTION("""COMPUTED_VALUE"""),"2 x GU10")</f>
        <v>2 x GU10</v>
      </c>
      <c r="G755" s="97" t="str">
        <f>IFERROR(__xludf.DUMMYFUNCTION("""COMPUTED_VALUE"""),"N/A")</f>
        <v>N/A</v>
      </c>
      <c r="H755" s="97" t="str">
        <f>IFERROR(__xludf.DUMMYFUNCTION("""COMPUTED_VALUE"""),"N/A")</f>
        <v>N/A</v>
      </c>
      <c r="I755" s="97" t="str">
        <f>IFERROR(__xludf.DUMMYFUNCTION("""COMPUTED_VALUE"""),"N/A")</f>
        <v>N/A</v>
      </c>
      <c r="J755" s="97"/>
      <c r="K755" s="97" t="str">
        <f>IFERROR(__xludf.DUMMYFUNCTION("""COMPUTED_VALUE"""),"N/A")</f>
        <v>N/A</v>
      </c>
      <c r="L755" s="97"/>
      <c r="M755" s="97"/>
      <c r="N755" s="97"/>
      <c r="O755" s="97"/>
      <c r="P755" s="97"/>
      <c r="Q755" s="97" t="str">
        <f>IFERROR(__xludf.DUMMYFUNCTION("""COMPUTED_VALUE"""),"-")</f>
        <v>-</v>
      </c>
      <c r="R755" s="97" t="str">
        <f>IFERROR(__xludf.DUMMYFUNCTION("""COMPUTED_VALUE"""),"-")</f>
        <v>-</v>
      </c>
      <c r="S755" s="97" t="str">
        <f>IFERROR(__xludf.DUMMYFUNCTION("""COMPUTED_VALUE"""),"-")</f>
        <v>-</v>
      </c>
      <c r="T755" s="97" t="str">
        <f>IFERROR(__xludf.DUMMYFUNCTION("""COMPUTED_VALUE"""),"-")</f>
        <v>-</v>
      </c>
      <c r="U755" s="97" t="str">
        <f>IFERROR(__xludf.DUMMYFUNCTION("""COMPUTED_VALUE"""),"-")</f>
        <v>-</v>
      </c>
      <c r="V755" s="97" t="str">
        <f>IFERROR(__xludf.DUMMYFUNCTION("""COMPUTED_VALUE"""),"N/A")</f>
        <v>N/A</v>
      </c>
      <c r="W755" s="97" t="str">
        <f>IFERROR(__xludf.DUMMYFUNCTION("""COMPUTED_VALUE"""),"N/A")</f>
        <v>N/A</v>
      </c>
      <c r="X755" s="97" t="str">
        <f>IFERROR(__xludf.DUMMYFUNCTION("""COMPUTED_VALUE"""),"-")</f>
        <v>-</v>
      </c>
      <c r="Y755" s="97" t="str">
        <f>IFERROR(__xludf.DUMMYFUNCTION("""COMPUTED_VALUE"""),"N/A")</f>
        <v>N/A</v>
      </c>
      <c r="Z755" s="97" t="str">
        <f>IFERROR(__xludf.DUMMYFUNCTION("""COMPUTED_VALUE"""),"N/A")</f>
        <v>N/A</v>
      </c>
      <c r="AA755" s="97" t="str">
        <f>IFERROR(__xludf.DUMMYFUNCTION("""COMPUTED_VALUE"""),"N/A")</f>
        <v>N/A</v>
      </c>
      <c r="AB755" s="97" t="str">
        <f>IFERROR(__xludf.DUMMYFUNCTION("""COMPUTED_VALUE"""),"N/A")</f>
        <v>N/A</v>
      </c>
      <c r="AC755" s="97" t="str">
        <f>IFERROR(__xludf.DUMMYFUNCTION("""COMPUTED_VALUE"""),"N/A")</f>
        <v>N/A</v>
      </c>
      <c r="AD755" s="97" t="str">
        <f>IFERROR(__xludf.DUMMYFUNCTION("""COMPUTED_VALUE"""),"IP20")</f>
        <v>IP20</v>
      </c>
      <c r="AE755" s="97" t="str">
        <f>IFERROR(__xludf.DUMMYFUNCTION("""COMPUTED_VALUE"""),"Clase ll")</f>
        <v>Clase ll</v>
      </c>
      <c r="AF755" s="97" t="str">
        <f>IFERROR(__xludf.DUMMYFUNCTION("""COMPUTED_VALUE"""),"Autoportante")</f>
        <v>Autoportante</v>
      </c>
      <c r="AG755" s="97"/>
      <c r="AH755" s="97"/>
      <c r="AI755" s="97"/>
      <c r="AJ755" s="97"/>
      <c r="AK755" s="97" t="str">
        <f>IFERROR(__xludf.DUMMYFUNCTION("""COMPUTED_VALUE"""),"Acero")</f>
        <v>Acero</v>
      </c>
      <c r="AL755" s="97"/>
      <c r="AM755" s="97" t="str">
        <f>IFERROR(__xludf.DUMMYFUNCTION("""COMPUTED_VALUE"""),"-")</f>
        <v>-</v>
      </c>
      <c r="AN755" s="97" t="str">
        <f>IFERROR(__xludf.DUMMYFUNCTION("""COMPUTED_VALUE"""),"N/A")</f>
        <v>N/A</v>
      </c>
      <c r="AO755" s="97" t="str">
        <f>IFERROR(__xludf.DUMMYFUNCTION("""COMPUTED_VALUE"""),"1 Año")</f>
        <v>1 Año</v>
      </c>
      <c r="AP755" s="97" t="str">
        <f>IFERROR(__xludf.DUMMYFUNCTION("""COMPUTED_VALUE"""),"No Aplica")</f>
        <v>No Aplica</v>
      </c>
      <c r="AQ755" s="97" t="str">
        <f>IFERROR(__xludf.DUMMYFUNCTION("""COMPUTED_VALUE"""),"No Aplica")</f>
        <v>No Aplica</v>
      </c>
      <c r="AR755" s="97" t="str">
        <f>IFERROR(__xludf.DUMMYFUNCTION("""COMPUTED_VALUE"""),"No Aplica")</f>
        <v>No Aplica</v>
      </c>
      <c r="AS755" s="97"/>
      <c r="AT755" s="97"/>
      <c r="AU755" s="97"/>
      <c r="AV755" s="97" t="str">
        <f>IFERROR(__xludf.DUMMYFUNCTION("""COMPUTED_VALUE"""),"Pie")</f>
        <v>Pie</v>
      </c>
      <c r="AW755" s="97" t="str">
        <f>IFERROR(__xludf.DUMMYFUNCTION("""COMPUTED_VALUE"""),"De Apoyo")</f>
        <v>De Apoyo</v>
      </c>
      <c r="AX755" s="97" t="str">
        <f>IFERROR(__xludf.DUMMYFUNCTION("""COMPUTED_VALUE"""),"Interior")</f>
        <v>Interior</v>
      </c>
      <c r="AY755" s="97"/>
      <c r="AZ755" s="97"/>
      <c r="BA755" s="97"/>
      <c r="BB755" s="97"/>
      <c r="BC755" s="97"/>
      <c r="BD755" s="97" t="str">
        <f>IFERROR(__xludf.DUMMYFUNCTION("""COMPUTED_VALUE"""),"KIOTO ")</f>
        <v>KIOTO </v>
      </c>
      <c r="BE755" s="97" t="str">
        <f>IFERROR(__xludf.DUMMYFUNCTION("""COMPUTED_VALUE"""),"Sin Ficha")</f>
        <v>Sin Ficha</v>
      </c>
      <c r="BF755" s="97"/>
      <c r="BG755" s="97" t="str">
        <f>IFERROR(__xludf.DUMMYFUNCTION("""COMPUTED_VALUE"""),"Discontinuo")</f>
        <v>Discontinuo</v>
      </c>
    </row>
    <row r="756">
      <c r="A756" s="97">
        <f>IFERROR(__xludf.DUMMYFUNCTION("""COMPUTED_VALUE"""),6515.0)</f>
        <v>6515</v>
      </c>
      <c r="B756" s="97" t="str">
        <f>IFERROR(__xludf.DUMMYFUNCTION("""COMPUTED_VALUE"""),"KIOTO ")</f>
        <v>KIOTO </v>
      </c>
      <c r="C756" s="97" t="str">
        <f>IFERROR(__xludf.DUMMYFUNCTION("""COMPUTED_VALUE"""),"LAMPARA DE PIE KIOTO BLANCO LEUK ")</f>
        <v>LAMPARA DE PIE KIOTO BLANCO LEUK </v>
      </c>
      <c r="D756" s="97"/>
      <c r="E756" s="97"/>
      <c r="F756" s="97" t="str">
        <f>IFERROR(__xludf.DUMMYFUNCTION("""COMPUTED_VALUE"""),"2 x GU10")</f>
        <v>2 x GU10</v>
      </c>
      <c r="G756" s="97" t="str">
        <f>IFERROR(__xludf.DUMMYFUNCTION("""COMPUTED_VALUE"""),"N/A")</f>
        <v>N/A</v>
      </c>
      <c r="H756" s="97" t="str">
        <f>IFERROR(__xludf.DUMMYFUNCTION("""COMPUTED_VALUE"""),"N/A")</f>
        <v>N/A</v>
      </c>
      <c r="I756" s="97" t="str">
        <f>IFERROR(__xludf.DUMMYFUNCTION("""COMPUTED_VALUE"""),"N/A")</f>
        <v>N/A</v>
      </c>
      <c r="J756" s="97"/>
      <c r="K756" s="97" t="str">
        <f>IFERROR(__xludf.DUMMYFUNCTION("""COMPUTED_VALUE"""),"N/A")</f>
        <v>N/A</v>
      </c>
      <c r="L756" s="97"/>
      <c r="M756" s="97"/>
      <c r="N756" s="97"/>
      <c r="O756" s="97"/>
      <c r="P756" s="97"/>
      <c r="Q756" s="97" t="str">
        <f>IFERROR(__xludf.DUMMYFUNCTION("""COMPUTED_VALUE"""),"-")</f>
        <v>-</v>
      </c>
      <c r="R756" s="97" t="str">
        <f>IFERROR(__xludf.DUMMYFUNCTION("""COMPUTED_VALUE"""),"-")</f>
        <v>-</v>
      </c>
      <c r="S756" s="97" t="str">
        <f>IFERROR(__xludf.DUMMYFUNCTION("""COMPUTED_VALUE"""),"-")</f>
        <v>-</v>
      </c>
      <c r="T756" s="97" t="str">
        <f>IFERROR(__xludf.DUMMYFUNCTION("""COMPUTED_VALUE"""),"-")</f>
        <v>-</v>
      </c>
      <c r="U756" s="97" t="str">
        <f>IFERROR(__xludf.DUMMYFUNCTION("""COMPUTED_VALUE"""),"-")</f>
        <v>-</v>
      </c>
      <c r="V756" s="97" t="str">
        <f>IFERROR(__xludf.DUMMYFUNCTION("""COMPUTED_VALUE"""),"N/A")</f>
        <v>N/A</v>
      </c>
      <c r="W756" s="97" t="str">
        <f>IFERROR(__xludf.DUMMYFUNCTION("""COMPUTED_VALUE"""),"N/A")</f>
        <v>N/A</v>
      </c>
      <c r="X756" s="97" t="str">
        <f>IFERROR(__xludf.DUMMYFUNCTION("""COMPUTED_VALUE"""),"-")</f>
        <v>-</v>
      </c>
      <c r="Y756" s="97" t="str">
        <f>IFERROR(__xludf.DUMMYFUNCTION("""COMPUTED_VALUE"""),"N/A")</f>
        <v>N/A</v>
      </c>
      <c r="Z756" s="97" t="str">
        <f>IFERROR(__xludf.DUMMYFUNCTION("""COMPUTED_VALUE"""),"N/A")</f>
        <v>N/A</v>
      </c>
      <c r="AA756" s="97" t="str">
        <f>IFERROR(__xludf.DUMMYFUNCTION("""COMPUTED_VALUE"""),"N/A")</f>
        <v>N/A</v>
      </c>
      <c r="AB756" s="97" t="str">
        <f>IFERROR(__xludf.DUMMYFUNCTION("""COMPUTED_VALUE"""),"N/A")</f>
        <v>N/A</v>
      </c>
      <c r="AC756" s="97" t="str">
        <f>IFERROR(__xludf.DUMMYFUNCTION("""COMPUTED_VALUE"""),"N/A")</f>
        <v>N/A</v>
      </c>
      <c r="AD756" s="97" t="str">
        <f>IFERROR(__xludf.DUMMYFUNCTION("""COMPUTED_VALUE"""),"IP20")</f>
        <v>IP20</v>
      </c>
      <c r="AE756" s="97" t="str">
        <f>IFERROR(__xludf.DUMMYFUNCTION("""COMPUTED_VALUE"""),"Clase ll")</f>
        <v>Clase ll</v>
      </c>
      <c r="AF756" s="97" t="str">
        <f>IFERROR(__xludf.DUMMYFUNCTION("""COMPUTED_VALUE"""),"Autoportante")</f>
        <v>Autoportante</v>
      </c>
      <c r="AG756" s="97"/>
      <c r="AH756" s="97"/>
      <c r="AI756" s="97"/>
      <c r="AJ756" s="97"/>
      <c r="AK756" s="97" t="str">
        <f>IFERROR(__xludf.DUMMYFUNCTION("""COMPUTED_VALUE"""),"Acero")</f>
        <v>Acero</v>
      </c>
      <c r="AL756" s="97"/>
      <c r="AM756" s="97" t="str">
        <f>IFERROR(__xludf.DUMMYFUNCTION("""COMPUTED_VALUE"""),"-")</f>
        <v>-</v>
      </c>
      <c r="AN756" s="97" t="str">
        <f>IFERROR(__xludf.DUMMYFUNCTION("""COMPUTED_VALUE"""),"N/A")</f>
        <v>N/A</v>
      </c>
      <c r="AO756" s="97" t="str">
        <f>IFERROR(__xludf.DUMMYFUNCTION("""COMPUTED_VALUE"""),"1 Año")</f>
        <v>1 Año</v>
      </c>
      <c r="AP756" s="97" t="str">
        <f>IFERROR(__xludf.DUMMYFUNCTION("""COMPUTED_VALUE"""),"No Aplica")</f>
        <v>No Aplica</v>
      </c>
      <c r="AQ756" s="97" t="str">
        <f>IFERROR(__xludf.DUMMYFUNCTION("""COMPUTED_VALUE"""),"No Aplica")</f>
        <v>No Aplica</v>
      </c>
      <c r="AR756" s="97" t="str">
        <f>IFERROR(__xludf.DUMMYFUNCTION("""COMPUTED_VALUE"""),"No Aplica")</f>
        <v>No Aplica</v>
      </c>
      <c r="AS756" s="97"/>
      <c r="AT756" s="97"/>
      <c r="AU756" s="97"/>
      <c r="AV756" s="97" t="str">
        <f>IFERROR(__xludf.DUMMYFUNCTION("""COMPUTED_VALUE"""),"Pie")</f>
        <v>Pie</v>
      </c>
      <c r="AW756" s="97" t="str">
        <f>IFERROR(__xludf.DUMMYFUNCTION("""COMPUTED_VALUE"""),"De Apoyo")</f>
        <v>De Apoyo</v>
      </c>
      <c r="AX756" s="97" t="str">
        <f>IFERROR(__xludf.DUMMYFUNCTION("""COMPUTED_VALUE"""),"Interior")</f>
        <v>Interior</v>
      </c>
      <c r="AY756" s="97"/>
      <c r="AZ756" s="97"/>
      <c r="BA756" s="97"/>
      <c r="BB756" s="97"/>
      <c r="BC756" s="97"/>
      <c r="BD756" s="97" t="str">
        <f>IFERROR(__xludf.DUMMYFUNCTION("""COMPUTED_VALUE"""),"KIOTO ")</f>
        <v>KIOTO </v>
      </c>
      <c r="BE756" s="97" t="str">
        <f>IFERROR(__xludf.DUMMYFUNCTION("""COMPUTED_VALUE"""),"Sin Ficha")</f>
        <v>Sin Ficha</v>
      </c>
      <c r="BF756" s="97"/>
      <c r="BG756" s="97" t="str">
        <f>IFERROR(__xludf.DUMMYFUNCTION("""COMPUTED_VALUE"""),"Discontinuo")</f>
        <v>Discontinuo</v>
      </c>
    </row>
    <row r="757">
      <c r="A757" s="97">
        <f>IFERROR(__xludf.DUMMYFUNCTION("""COMPUTED_VALUE"""),6516.0)</f>
        <v>6516</v>
      </c>
      <c r="B757" s="97" t="str">
        <f>IFERROR(__xludf.DUMMYFUNCTION("""COMPUTED_VALUE"""),"INAM NG")</f>
        <v>INAM NG</v>
      </c>
      <c r="C757" s="97" t="str">
        <f>IFERROR(__xludf.DUMMYFUNCTION("""COMPUTED_VALUE"""),"LAMPARA DE PIE INAM NEGRO LEUK")</f>
        <v>LAMPARA DE PIE INAM NEGRO LEUK</v>
      </c>
      <c r="D757" s="99">
        <f>IFERROR(__xludf.DUMMYFUNCTION("""COMPUTED_VALUE"""),7.798413220773E12)</f>
        <v>7798413220773</v>
      </c>
      <c r="E757" s="97"/>
      <c r="F757" s="97" t="str">
        <f>IFERROR(__xludf.DUMMYFUNCTION("""COMPUTED_VALUE"""),"E27")</f>
        <v>E27</v>
      </c>
      <c r="G757" s="97" t="str">
        <f>IFERROR(__xludf.DUMMYFUNCTION("""COMPUTED_VALUE"""),"N/A")</f>
        <v>N/A</v>
      </c>
      <c r="H757" s="97" t="str">
        <f>IFERROR(__xludf.DUMMYFUNCTION("""COMPUTED_VALUE"""),"N/A")</f>
        <v>N/A</v>
      </c>
      <c r="I757" s="97" t="str">
        <f>IFERROR(__xludf.DUMMYFUNCTION("""COMPUTED_VALUE"""),"N/A")</f>
        <v>N/A</v>
      </c>
      <c r="J757" s="97"/>
      <c r="K757" s="97" t="str">
        <f>IFERROR(__xludf.DUMMYFUNCTION("""COMPUTED_VALUE"""),"N/A")</f>
        <v>N/A</v>
      </c>
      <c r="L757" s="97"/>
      <c r="M757" s="97"/>
      <c r="N757" s="97"/>
      <c r="O757" s="97"/>
      <c r="P757" s="97"/>
      <c r="Q757" s="97" t="str">
        <f>IFERROR(__xludf.DUMMYFUNCTION("""COMPUTED_VALUE"""),"-")</f>
        <v>-</v>
      </c>
      <c r="R757" s="97" t="str">
        <f>IFERROR(__xludf.DUMMYFUNCTION("""COMPUTED_VALUE"""),"-")</f>
        <v>-</v>
      </c>
      <c r="S757" s="97" t="str">
        <f>IFERROR(__xludf.DUMMYFUNCTION("""COMPUTED_VALUE"""),"-")</f>
        <v>-</v>
      </c>
      <c r="T757" s="97" t="str">
        <f>IFERROR(__xludf.DUMMYFUNCTION("""COMPUTED_VALUE"""),"-")</f>
        <v>-</v>
      </c>
      <c r="U757" s="97" t="str">
        <f>IFERROR(__xludf.DUMMYFUNCTION("""COMPUTED_VALUE"""),"-")</f>
        <v>-</v>
      </c>
      <c r="V757" s="97" t="str">
        <f>IFERROR(__xludf.DUMMYFUNCTION("""COMPUTED_VALUE"""),"N/A")</f>
        <v>N/A</v>
      </c>
      <c r="W757" s="97" t="str">
        <f>IFERROR(__xludf.DUMMYFUNCTION("""COMPUTED_VALUE"""),"N/A")</f>
        <v>N/A</v>
      </c>
      <c r="X757" s="97" t="str">
        <f>IFERROR(__xludf.DUMMYFUNCTION("""COMPUTED_VALUE"""),"-")</f>
        <v>-</v>
      </c>
      <c r="Y757" s="97" t="str">
        <f>IFERROR(__xludf.DUMMYFUNCTION("""COMPUTED_VALUE"""),"N/A")</f>
        <v>N/A</v>
      </c>
      <c r="Z757" s="97" t="str">
        <f>IFERROR(__xludf.DUMMYFUNCTION("""COMPUTED_VALUE"""),"N/A")</f>
        <v>N/A</v>
      </c>
      <c r="AA757" s="97" t="str">
        <f>IFERROR(__xludf.DUMMYFUNCTION("""COMPUTED_VALUE"""),"N/A")</f>
        <v>N/A</v>
      </c>
      <c r="AB757" s="97" t="str">
        <f>IFERROR(__xludf.DUMMYFUNCTION("""COMPUTED_VALUE"""),"N/A")</f>
        <v>N/A</v>
      </c>
      <c r="AC757" s="97" t="str">
        <f>IFERROR(__xludf.DUMMYFUNCTION("""COMPUTED_VALUE"""),"N/A")</f>
        <v>N/A</v>
      </c>
      <c r="AD757" s="97" t="str">
        <f>IFERROR(__xludf.DUMMYFUNCTION("""COMPUTED_VALUE"""),"IP20")</f>
        <v>IP20</v>
      </c>
      <c r="AE757" s="97" t="str">
        <f>IFERROR(__xludf.DUMMYFUNCTION("""COMPUTED_VALUE"""),"Clase ll")</f>
        <v>Clase ll</v>
      </c>
      <c r="AF757" s="97" t="str">
        <f>IFERROR(__xludf.DUMMYFUNCTION("""COMPUTED_VALUE"""),"Autoportante")</f>
        <v>Autoportante</v>
      </c>
      <c r="AG757" s="97"/>
      <c r="AH757" s="97"/>
      <c r="AI757" s="97"/>
      <c r="AJ757" s="97"/>
      <c r="AK757" s="97" t="str">
        <f>IFERROR(__xludf.DUMMYFUNCTION("""COMPUTED_VALUE"""),"Acero")</f>
        <v>Acero</v>
      </c>
      <c r="AL757" s="97"/>
      <c r="AM757" s="97" t="str">
        <f>IFERROR(__xludf.DUMMYFUNCTION("""COMPUTED_VALUE"""),"-")</f>
        <v>-</v>
      </c>
      <c r="AN757" s="97" t="str">
        <f>IFERROR(__xludf.DUMMYFUNCTION("""COMPUTED_VALUE"""),"N/A")</f>
        <v>N/A</v>
      </c>
      <c r="AO757" s="97" t="str">
        <f>IFERROR(__xludf.DUMMYFUNCTION("""COMPUTED_VALUE"""),"1 Año")</f>
        <v>1 Año</v>
      </c>
      <c r="AP757" s="97" t="str">
        <f>IFERROR(__xludf.DUMMYFUNCTION("""COMPUTED_VALUE"""),"No Aplica")</f>
        <v>No Aplica</v>
      </c>
      <c r="AQ757" s="97" t="str">
        <f>IFERROR(__xludf.DUMMYFUNCTION("""COMPUTED_VALUE"""),"No Aplica")</f>
        <v>No Aplica</v>
      </c>
      <c r="AR757" s="97" t="str">
        <f>IFERROR(__xludf.DUMMYFUNCTION("""COMPUTED_VALUE"""),"No Aplica")</f>
        <v>No Aplica</v>
      </c>
      <c r="AS757" s="97"/>
      <c r="AT757" s="97"/>
      <c r="AU757" s="97"/>
      <c r="AV757" s="97" t="str">
        <f>IFERROR(__xludf.DUMMYFUNCTION("""COMPUTED_VALUE"""),"Pie")</f>
        <v>Pie</v>
      </c>
      <c r="AW757" s="97" t="str">
        <f>IFERROR(__xludf.DUMMYFUNCTION("""COMPUTED_VALUE"""),"De Apoyo")</f>
        <v>De Apoyo</v>
      </c>
      <c r="AX757" s="97" t="str">
        <f>IFERROR(__xludf.DUMMYFUNCTION("""COMPUTED_VALUE"""),"Interior")</f>
        <v>Interior</v>
      </c>
      <c r="AY757" s="97"/>
      <c r="AZ757" s="97"/>
      <c r="BA757" s="97"/>
      <c r="BB757" s="97"/>
      <c r="BC757" s="97"/>
      <c r="BD757" s="97" t="str">
        <f>IFERROR(__xludf.DUMMYFUNCTION("""COMPUTED_VALUE"""),"INAM")</f>
        <v>INAM</v>
      </c>
      <c r="BE757" s="97" t="str">
        <f>IFERROR(__xludf.DUMMYFUNCTION("""COMPUTED_VALUE"""),"Sin Ficha")</f>
        <v>Sin Ficha</v>
      </c>
      <c r="BF757" s="97"/>
      <c r="BG757" s="97" t="str">
        <f>IFERROR(__xludf.DUMMYFUNCTION("""COMPUTED_VALUE"""),"Discontinuo")</f>
        <v>Discontinuo</v>
      </c>
    </row>
    <row r="758">
      <c r="A758" s="97">
        <f>IFERROR(__xludf.DUMMYFUNCTION("""COMPUTED_VALUE"""),6517.0)</f>
        <v>6517</v>
      </c>
      <c r="B758" s="97" t="str">
        <f>IFERROR(__xludf.DUMMYFUNCTION("""COMPUTED_VALUE"""),"INAM BL")</f>
        <v>INAM BL</v>
      </c>
      <c r="C758" s="97" t="str">
        <f>IFERROR(__xludf.DUMMYFUNCTION("""COMPUTED_VALUE"""),"LAMPARA DE PIE INAM BLANCO LEUK")</f>
        <v>LAMPARA DE PIE INAM BLANCO LEUK</v>
      </c>
      <c r="D758" s="99">
        <f>IFERROR(__xludf.DUMMYFUNCTION("""COMPUTED_VALUE"""),7.79841322078E12)</f>
        <v>7798413220780</v>
      </c>
      <c r="E758" s="97"/>
      <c r="F758" s="97" t="str">
        <f>IFERROR(__xludf.DUMMYFUNCTION("""COMPUTED_VALUE"""),"E27")</f>
        <v>E27</v>
      </c>
      <c r="G758" s="97" t="str">
        <f>IFERROR(__xludf.DUMMYFUNCTION("""COMPUTED_VALUE"""),"N/A")</f>
        <v>N/A</v>
      </c>
      <c r="H758" s="97" t="str">
        <f>IFERROR(__xludf.DUMMYFUNCTION("""COMPUTED_VALUE"""),"N/A")</f>
        <v>N/A</v>
      </c>
      <c r="I758" s="97" t="str">
        <f>IFERROR(__xludf.DUMMYFUNCTION("""COMPUTED_VALUE"""),"N/A")</f>
        <v>N/A</v>
      </c>
      <c r="J758" s="97"/>
      <c r="K758" s="97" t="str">
        <f>IFERROR(__xludf.DUMMYFUNCTION("""COMPUTED_VALUE"""),"N/A")</f>
        <v>N/A</v>
      </c>
      <c r="L758" s="97"/>
      <c r="M758" s="97"/>
      <c r="N758" s="97"/>
      <c r="O758" s="97"/>
      <c r="P758" s="97"/>
      <c r="Q758" s="97" t="str">
        <f>IFERROR(__xludf.DUMMYFUNCTION("""COMPUTED_VALUE"""),"-")</f>
        <v>-</v>
      </c>
      <c r="R758" s="97" t="str">
        <f>IFERROR(__xludf.DUMMYFUNCTION("""COMPUTED_VALUE"""),"-")</f>
        <v>-</v>
      </c>
      <c r="S758" s="97" t="str">
        <f>IFERROR(__xludf.DUMMYFUNCTION("""COMPUTED_VALUE"""),"-")</f>
        <v>-</v>
      </c>
      <c r="T758" s="97" t="str">
        <f>IFERROR(__xludf.DUMMYFUNCTION("""COMPUTED_VALUE"""),"-")</f>
        <v>-</v>
      </c>
      <c r="U758" s="97" t="str">
        <f>IFERROR(__xludf.DUMMYFUNCTION("""COMPUTED_VALUE"""),"-")</f>
        <v>-</v>
      </c>
      <c r="V758" s="97" t="str">
        <f>IFERROR(__xludf.DUMMYFUNCTION("""COMPUTED_VALUE"""),"N/A")</f>
        <v>N/A</v>
      </c>
      <c r="W758" s="97" t="str">
        <f>IFERROR(__xludf.DUMMYFUNCTION("""COMPUTED_VALUE"""),"N/A")</f>
        <v>N/A</v>
      </c>
      <c r="X758" s="97" t="str">
        <f>IFERROR(__xludf.DUMMYFUNCTION("""COMPUTED_VALUE"""),"-")</f>
        <v>-</v>
      </c>
      <c r="Y758" s="97" t="str">
        <f>IFERROR(__xludf.DUMMYFUNCTION("""COMPUTED_VALUE"""),"N/A")</f>
        <v>N/A</v>
      </c>
      <c r="Z758" s="97" t="str">
        <f>IFERROR(__xludf.DUMMYFUNCTION("""COMPUTED_VALUE"""),"N/A")</f>
        <v>N/A</v>
      </c>
      <c r="AA758" s="97" t="str">
        <f>IFERROR(__xludf.DUMMYFUNCTION("""COMPUTED_VALUE"""),"N/A")</f>
        <v>N/A</v>
      </c>
      <c r="AB758" s="97" t="str">
        <f>IFERROR(__xludf.DUMMYFUNCTION("""COMPUTED_VALUE"""),"N/A")</f>
        <v>N/A</v>
      </c>
      <c r="AC758" s="97" t="str">
        <f>IFERROR(__xludf.DUMMYFUNCTION("""COMPUTED_VALUE"""),"N/A")</f>
        <v>N/A</v>
      </c>
      <c r="AD758" s="97" t="str">
        <f>IFERROR(__xludf.DUMMYFUNCTION("""COMPUTED_VALUE"""),"IP20")</f>
        <v>IP20</v>
      </c>
      <c r="AE758" s="97" t="str">
        <f>IFERROR(__xludf.DUMMYFUNCTION("""COMPUTED_VALUE"""),"Clase ll")</f>
        <v>Clase ll</v>
      </c>
      <c r="AF758" s="97" t="str">
        <f>IFERROR(__xludf.DUMMYFUNCTION("""COMPUTED_VALUE"""),"Autoportante")</f>
        <v>Autoportante</v>
      </c>
      <c r="AG758" s="97"/>
      <c r="AH758" s="97"/>
      <c r="AI758" s="97"/>
      <c r="AJ758" s="97"/>
      <c r="AK758" s="97" t="str">
        <f>IFERROR(__xludf.DUMMYFUNCTION("""COMPUTED_VALUE"""),"Acero")</f>
        <v>Acero</v>
      </c>
      <c r="AL758" s="97"/>
      <c r="AM758" s="97" t="str">
        <f>IFERROR(__xludf.DUMMYFUNCTION("""COMPUTED_VALUE"""),"-")</f>
        <v>-</v>
      </c>
      <c r="AN758" s="97" t="str">
        <f>IFERROR(__xludf.DUMMYFUNCTION("""COMPUTED_VALUE"""),"N/A")</f>
        <v>N/A</v>
      </c>
      <c r="AO758" s="97" t="str">
        <f>IFERROR(__xludf.DUMMYFUNCTION("""COMPUTED_VALUE"""),"1 Año")</f>
        <v>1 Año</v>
      </c>
      <c r="AP758" s="97" t="str">
        <f>IFERROR(__xludf.DUMMYFUNCTION("""COMPUTED_VALUE"""),"No Aplica")</f>
        <v>No Aplica</v>
      </c>
      <c r="AQ758" s="97" t="str">
        <f>IFERROR(__xludf.DUMMYFUNCTION("""COMPUTED_VALUE"""),"No Aplica")</f>
        <v>No Aplica</v>
      </c>
      <c r="AR758" s="97" t="str">
        <f>IFERROR(__xludf.DUMMYFUNCTION("""COMPUTED_VALUE"""),"No Aplica")</f>
        <v>No Aplica</v>
      </c>
      <c r="AS758" s="97"/>
      <c r="AT758" s="97"/>
      <c r="AU758" s="97"/>
      <c r="AV758" s="97" t="str">
        <f>IFERROR(__xludf.DUMMYFUNCTION("""COMPUTED_VALUE"""),"Pie")</f>
        <v>Pie</v>
      </c>
      <c r="AW758" s="97" t="str">
        <f>IFERROR(__xludf.DUMMYFUNCTION("""COMPUTED_VALUE"""),"De Apoyo")</f>
        <v>De Apoyo</v>
      </c>
      <c r="AX758" s="97" t="str">
        <f>IFERROR(__xludf.DUMMYFUNCTION("""COMPUTED_VALUE"""),"Interior")</f>
        <v>Interior</v>
      </c>
      <c r="AY758" s="97"/>
      <c r="AZ758" s="97"/>
      <c r="BA758" s="97"/>
      <c r="BB758" s="97"/>
      <c r="BC758" s="97"/>
      <c r="BD758" s="97" t="str">
        <f>IFERROR(__xludf.DUMMYFUNCTION("""COMPUTED_VALUE"""),"INAM")</f>
        <v>INAM</v>
      </c>
      <c r="BE758" s="97" t="str">
        <f>IFERROR(__xludf.DUMMYFUNCTION("""COMPUTED_VALUE"""),"Sin Ficha")</f>
        <v>Sin Ficha</v>
      </c>
      <c r="BF758" s="97"/>
      <c r="BG758" s="97" t="str">
        <f>IFERROR(__xludf.DUMMYFUNCTION("""COMPUTED_VALUE"""),"Discontinuo")</f>
        <v>Discontinuo</v>
      </c>
    </row>
    <row r="759">
      <c r="A759" s="97">
        <f>IFERROR(__xludf.DUMMYFUNCTION("""COMPUTED_VALUE"""),6518.0)</f>
        <v>6518</v>
      </c>
      <c r="B759" s="97" t="str">
        <f>IFERROR(__xludf.DUMMYFUNCTION("""COMPUTED_VALUE"""),"INAM BD")</f>
        <v>INAM BD</v>
      </c>
      <c r="C759" s="97" t="str">
        <f>IFERROR(__xludf.DUMMYFUNCTION("""COMPUTED_VALUE"""),"LAMPARA DE PIE INAM BORDO LEUK")</f>
        <v>LAMPARA DE PIE INAM BORDO LEUK</v>
      </c>
      <c r="D759" s="99">
        <f>IFERROR(__xludf.DUMMYFUNCTION("""COMPUTED_VALUE"""),7.798413220797E12)</f>
        <v>7798413220797</v>
      </c>
      <c r="E759" s="97"/>
      <c r="F759" s="97" t="str">
        <f>IFERROR(__xludf.DUMMYFUNCTION("""COMPUTED_VALUE"""),"E27")</f>
        <v>E27</v>
      </c>
      <c r="G759" s="97" t="str">
        <f>IFERROR(__xludf.DUMMYFUNCTION("""COMPUTED_VALUE"""),"N/A")</f>
        <v>N/A</v>
      </c>
      <c r="H759" s="97" t="str">
        <f>IFERROR(__xludf.DUMMYFUNCTION("""COMPUTED_VALUE"""),"N/A")</f>
        <v>N/A</v>
      </c>
      <c r="I759" s="97" t="str">
        <f>IFERROR(__xludf.DUMMYFUNCTION("""COMPUTED_VALUE"""),"N/A")</f>
        <v>N/A</v>
      </c>
      <c r="J759" s="97"/>
      <c r="K759" s="97" t="str">
        <f>IFERROR(__xludf.DUMMYFUNCTION("""COMPUTED_VALUE"""),"N/A")</f>
        <v>N/A</v>
      </c>
      <c r="L759" s="97"/>
      <c r="M759" s="97"/>
      <c r="N759" s="97"/>
      <c r="O759" s="97"/>
      <c r="P759" s="97"/>
      <c r="Q759" s="97" t="str">
        <f>IFERROR(__xludf.DUMMYFUNCTION("""COMPUTED_VALUE"""),"-")</f>
        <v>-</v>
      </c>
      <c r="R759" s="97" t="str">
        <f>IFERROR(__xludf.DUMMYFUNCTION("""COMPUTED_VALUE"""),"-")</f>
        <v>-</v>
      </c>
      <c r="S759" s="97" t="str">
        <f>IFERROR(__xludf.DUMMYFUNCTION("""COMPUTED_VALUE"""),"-")</f>
        <v>-</v>
      </c>
      <c r="T759" s="97" t="str">
        <f>IFERROR(__xludf.DUMMYFUNCTION("""COMPUTED_VALUE"""),"-")</f>
        <v>-</v>
      </c>
      <c r="U759" s="97" t="str">
        <f>IFERROR(__xludf.DUMMYFUNCTION("""COMPUTED_VALUE"""),"-")</f>
        <v>-</v>
      </c>
      <c r="V759" s="97" t="str">
        <f>IFERROR(__xludf.DUMMYFUNCTION("""COMPUTED_VALUE"""),"N/A")</f>
        <v>N/A</v>
      </c>
      <c r="W759" s="97" t="str">
        <f>IFERROR(__xludf.DUMMYFUNCTION("""COMPUTED_VALUE"""),"N/A")</f>
        <v>N/A</v>
      </c>
      <c r="X759" s="97" t="str">
        <f>IFERROR(__xludf.DUMMYFUNCTION("""COMPUTED_VALUE"""),"-")</f>
        <v>-</v>
      </c>
      <c r="Y759" s="97" t="str">
        <f>IFERROR(__xludf.DUMMYFUNCTION("""COMPUTED_VALUE"""),"N/A")</f>
        <v>N/A</v>
      </c>
      <c r="Z759" s="97" t="str">
        <f>IFERROR(__xludf.DUMMYFUNCTION("""COMPUTED_VALUE"""),"N/A")</f>
        <v>N/A</v>
      </c>
      <c r="AA759" s="97" t="str">
        <f>IFERROR(__xludf.DUMMYFUNCTION("""COMPUTED_VALUE"""),"N/A")</f>
        <v>N/A</v>
      </c>
      <c r="AB759" s="97" t="str">
        <f>IFERROR(__xludf.DUMMYFUNCTION("""COMPUTED_VALUE"""),"N/A")</f>
        <v>N/A</v>
      </c>
      <c r="AC759" s="97" t="str">
        <f>IFERROR(__xludf.DUMMYFUNCTION("""COMPUTED_VALUE"""),"N/A")</f>
        <v>N/A</v>
      </c>
      <c r="AD759" s="97" t="str">
        <f>IFERROR(__xludf.DUMMYFUNCTION("""COMPUTED_VALUE"""),"IP20")</f>
        <v>IP20</v>
      </c>
      <c r="AE759" s="97" t="str">
        <f>IFERROR(__xludf.DUMMYFUNCTION("""COMPUTED_VALUE"""),"Clase ll")</f>
        <v>Clase ll</v>
      </c>
      <c r="AF759" s="97" t="str">
        <f>IFERROR(__xludf.DUMMYFUNCTION("""COMPUTED_VALUE"""),"Autoportante")</f>
        <v>Autoportante</v>
      </c>
      <c r="AG759" s="97"/>
      <c r="AH759" s="97"/>
      <c r="AI759" s="97"/>
      <c r="AJ759" s="97"/>
      <c r="AK759" s="97" t="str">
        <f>IFERROR(__xludf.DUMMYFUNCTION("""COMPUTED_VALUE"""),"Acero")</f>
        <v>Acero</v>
      </c>
      <c r="AL759" s="97"/>
      <c r="AM759" s="97" t="str">
        <f>IFERROR(__xludf.DUMMYFUNCTION("""COMPUTED_VALUE"""),"-")</f>
        <v>-</v>
      </c>
      <c r="AN759" s="97" t="str">
        <f>IFERROR(__xludf.DUMMYFUNCTION("""COMPUTED_VALUE"""),"N/A")</f>
        <v>N/A</v>
      </c>
      <c r="AO759" s="97" t="str">
        <f>IFERROR(__xludf.DUMMYFUNCTION("""COMPUTED_VALUE"""),"1 Año")</f>
        <v>1 Año</v>
      </c>
      <c r="AP759" s="97" t="str">
        <f>IFERROR(__xludf.DUMMYFUNCTION("""COMPUTED_VALUE"""),"No Aplica")</f>
        <v>No Aplica</v>
      </c>
      <c r="AQ759" s="97" t="str">
        <f>IFERROR(__xludf.DUMMYFUNCTION("""COMPUTED_VALUE"""),"No Aplica")</f>
        <v>No Aplica</v>
      </c>
      <c r="AR759" s="97" t="str">
        <f>IFERROR(__xludf.DUMMYFUNCTION("""COMPUTED_VALUE"""),"No Aplica")</f>
        <v>No Aplica</v>
      </c>
      <c r="AS759" s="97"/>
      <c r="AT759" s="97"/>
      <c r="AU759" s="97"/>
      <c r="AV759" s="97" t="str">
        <f>IFERROR(__xludf.DUMMYFUNCTION("""COMPUTED_VALUE"""),"Pie")</f>
        <v>Pie</v>
      </c>
      <c r="AW759" s="97" t="str">
        <f>IFERROR(__xludf.DUMMYFUNCTION("""COMPUTED_VALUE"""),"De Apoyo")</f>
        <v>De Apoyo</v>
      </c>
      <c r="AX759" s="97" t="str">
        <f>IFERROR(__xludf.DUMMYFUNCTION("""COMPUTED_VALUE"""),"Interior")</f>
        <v>Interior</v>
      </c>
      <c r="AY759" s="97"/>
      <c r="AZ759" s="97"/>
      <c r="BA759" s="97"/>
      <c r="BB759" s="97"/>
      <c r="BC759" s="97"/>
      <c r="BD759" s="97" t="str">
        <f>IFERROR(__xludf.DUMMYFUNCTION("""COMPUTED_VALUE"""),"INAM")</f>
        <v>INAM</v>
      </c>
      <c r="BE759" s="97" t="str">
        <f>IFERROR(__xludf.DUMMYFUNCTION("""COMPUTED_VALUE"""),"Sin Ficha")</f>
        <v>Sin Ficha</v>
      </c>
      <c r="BF759" s="97"/>
      <c r="BG759" s="97" t="str">
        <f>IFERROR(__xludf.DUMMYFUNCTION("""COMPUTED_VALUE"""),"Discontinuo")</f>
        <v>Discontinuo</v>
      </c>
    </row>
    <row r="760">
      <c r="A760" s="97">
        <f>IFERROR(__xludf.DUMMYFUNCTION("""COMPUTED_VALUE"""),6519.0)</f>
        <v>6519</v>
      </c>
      <c r="B760" s="97" t="str">
        <f>IFERROR(__xludf.DUMMYFUNCTION("""COMPUTED_VALUE"""),"ZOPI")</f>
        <v>ZOPI</v>
      </c>
      <c r="C760" s="97" t="str">
        <f>IFERROR(__xludf.DUMMYFUNCTION("""COMPUTED_VALUE"""),"LAMPARA DE MESA ZOPI BLANCO LEUK")</f>
        <v>LAMPARA DE MESA ZOPI BLANCO LEUK</v>
      </c>
      <c r="D760" s="97">
        <f>IFERROR(__xludf.DUMMYFUNCTION("""COMPUTED_VALUE"""),7.798328758408E12)</f>
        <v>7798328758408</v>
      </c>
      <c r="E760" s="97"/>
      <c r="F760" s="97" t="str">
        <f>IFERROR(__xludf.DUMMYFUNCTION("""COMPUTED_VALUE"""),"E27")</f>
        <v>E27</v>
      </c>
      <c r="G760" s="97" t="str">
        <f>IFERROR(__xludf.DUMMYFUNCTION("""COMPUTED_VALUE"""),"N/A")</f>
        <v>N/A</v>
      </c>
      <c r="H760" s="97" t="str">
        <f>IFERROR(__xludf.DUMMYFUNCTION("""COMPUTED_VALUE"""),"N/A")</f>
        <v>N/A</v>
      </c>
      <c r="I760" s="97" t="str">
        <f>IFERROR(__xludf.DUMMYFUNCTION("""COMPUTED_VALUE"""),"N/A")</f>
        <v>N/A</v>
      </c>
      <c r="J760" s="97"/>
      <c r="K760" s="97" t="str">
        <f>IFERROR(__xludf.DUMMYFUNCTION("""COMPUTED_VALUE"""),"N/A")</f>
        <v>N/A</v>
      </c>
      <c r="L760" s="97"/>
      <c r="M760" s="97"/>
      <c r="N760" s="97"/>
      <c r="O760" s="97"/>
      <c r="P760" s="97"/>
      <c r="Q760" s="97" t="str">
        <f>IFERROR(__xludf.DUMMYFUNCTION("""COMPUTED_VALUE"""),"-")</f>
        <v>-</v>
      </c>
      <c r="R760" s="97" t="str">
        <f>IFERROR(__xludf.DUMMYFUNCTION("""COMPUTED_VALUE"""),"-")</f>
        <v>-</v>
      </c>
      <c r="S760" s="97" t="str">
        <f>IFERROR(__xludf.DUMMYFUNCTION("""COMPUTED_VALUE"""),"-")</f>
        <v>-</v>
      </c>
      <c r="T760" s="97" t="str">
        <f>IFERROR(__xludf.DUMMYFUNCTION("""COMPUTED_VALUE"""),"-")</f>
        <v>-</v>
      </c>
      <c r="U760" s="97" t="str">
        <f>IFERROR(__xludf.DUMMYFUNCTION("""COMPUTED_VALUE"""),"-")</f>
        <v>-</v>
      </c>
      <c r="V760" s="97" t="str">
        <f>IFERROR(__xludf.DUMMYFUNCTION("""COMPUTED_VALUE"""),"N/A")</f>
        <v>N/A</v>
      </c>
      <c r="W760" s="97" t="str">
        <f>IFERROR(__xludf.DUMMYFUNCTION("""COMPUTED_VALUE"""),"N/A")</f>
        <v>N/A</v>
      </c>
      <c r="X760" s="97" t="str">
        <f>IFERROR(__xludf.DUMMYFUNCTION("""COMPUTED_VALUE"""),"-")</f>
        <v>-</v>
      </c>
      <c r="Y760" s="97" t="str">
        <f>IFERROR(__xludf.DUMMYFUNCTION("""COMPUTED_VALUE"""),"N/A")</f>
        <v>N/A</v>
      </c>
      <c r="Z760" s="97" t="str">
        <f>IFERROR(__xludf.DUMMYFUNCTION("""COMPUTED_VALUE"""),"N/A")</f>
        <v>N/A</v>
      </c>
      <c r="AA760" s="97" t="str">
        <f>IFERROR(__xludf.DUMMYFUNCTION("""COMPUTED_VALUE"""),"N/A")</f>
        <v>N/A</v>
      </c>
      <c r="AB760" s="97" t="str">
        <f>IFERROR(__xludf.DUMMYFUNCTION("""COMPUTED_VALUE"""),"N/A")</f>
        <v>N/A</v>
      </c>
      <c r="AC760" s="97" t="str">
        <f>IFERROR(__xludf.DUMMYFUNCTION("""COMPUTED_VALUE"""),"N/A")</f>
        <v>N/A</v>
      </c>
      <c r="AD760" s="97" t="str">
        <f>IFERROR(__xludf.DUMMYFUNCTION("""COMPUTED_VALUE"""),"IP20")</f>
        <v>IP20</v>
      </c>
      <c r="AE760" s="97" t="str">
        <f>IFERROR(__xludf.DUMMYFUNCTION("""COMPUTED_VALUE"""),"Clase ll")</f>
        <v>Clase ll</v>
      </c>
      <c r="AF760" s="97" t="str">
        <f>IFERROR(__xludf.DUMMYFUNCTION("""COMPUTED_VALUE"""),"Autoportante")</f>
        <v>Autoportante</v>
      </c>
      <c r="AG760" s="97"/>
      <c r="AH760" s="97"/>
      <c r="AI760" s="97"/>
      <c r="AJ760" s="97"/>
      <c r="AK760" s="97" t="str">
        <f>IFERROR(__xludf.DUMMYFUNCTION("""COMPUTED_VALUE"""),"Cerámica")</f>
        <v>Cerámica</v>
      </c>
      <c r="AL760" s="97"/>
      <c r="AM760" s="97" t="str">
        <f>IFERROR(__xludf.DUMMYFUNCTION("""COMPUTED_VALUE"""),"-")</f>
        <v>-</v>
      </c>
      <c r="AN760" s="97" t="str">
        <f>IFERROR(__xludf.DUMMYFUNCTION("""COMPUTED_VALUE"""),"N/A")</f>
        <v>N/A</v>
      </c>
      <c r="AO760" s="97" t="str">
        <f>IFERROR(__xludf.DUMMYFUNCTION("""COMPUTED_VALUE"""),"1 Año")</f>
        <v>1 Año</v>
      </c>
      <c r="AP760" s="97" t="str">
        <f>IFERROR(__xludf.DUMMYFUNCTION("""COMPUTED_VALUE"""),"No Aplica")</f>
        <v>No Aplica</v>
      </c>
      <c r="AQ760" s="97" t="str">
        <f>IFERROR(__xludf.DUMMYFUNCTION("""COMPUTED_VALUE"""),"No Aplica")</f>
        <v>No Aplica</v>
      </c>
      <c r="AR760" s="97" t="str">
        <f>IFERROR(__xludf.DUMMYFUNCTION("""COMPUTED_VALUE"""),"No Aplica")</f>
        <v>No Aplica</v>
      </c>
      <c r="AS760" s="97"/>
      <c r="AT760" s="97"/>
      <c r="AU760" s="97"/>
      <c r="AV760" s="97" t="str">
        <f>IFERROR(__xludf.DUMMYFUNCTION("""COMPUTED_VALUE"""),"Mesa")</f>
        <v>Mesa</v>
      </c>
      <c r="AW760" s="97" t="str">
        <f>IFERROR(__xludf.DUMMYFUNCTION("""COMPUTED_VALUE"""),"De Apoyo")</f>
        <v>De Apoyo</v>
      </c>
      <c r="AX760" s="97" t="str">
        <f>IFERROR(__xludf.DUMMYFUNCTION("""COMPUTED_VALUE"""),"Interior")</f>
        <v>Interior</v>
      </c>
      <c r="AY760" s="97"/>
      <c r="AZ760" s="97"/>
      <c r="BA760" s="97">
        <f>IFERROR(__xludf.DUMMYFUNCTION("""COMPUTED_VALUE"""),1.0)</f>
        <v>1</v>
      </c>
      <c r="BB760" s="97"/>
      <c r="BC760" s="97"/>
      <c r="BD760" s="97" t="str">
        <f>IFERROR(__xludf.DUMMYFUNCTION("""COMPUTED_VALUE"""),"ZOPI")</f>
        <v>ZOPI</v>
      </c>
      <c r="BE760" s="97" t="str">
        <f>IFERROR(__xludf.DUMMYFUNCTION("""COMPUTED_VALUE"""),"Sin Ficha")</f>
        <v>Sin Ficha</v>
      </c>
      <c r="BF760" s="97"/>
      <c r="BG760" s="97" t="str">
        <f>IFERROR(__xludf.DUMMYFUNCTION("""COMPUTED_VALUE"""),"Discontinuo")</f>
        <v>Discontinuo</v>
      </c>
    </row>
    <row r="761">
      <c r="A761" s="97">
        <f>IFERROR(__xludf.DUMMYFUNCTION("""COMPUTED_VALUE"""),6520.0)</f>
        <v>6520</v>
      </c>
      <c r="B761" s="97" t="str">
        <f>IFERROR(__xludf.DUMMYFUNCTION("""COMPUTED_VALUE"""),"ZOPI")</f>
        <v>ZOPI</v>
      </c>
      <c r="C761" s="97" t="str">
        <f>IFERROR(__xludf.DUMMYFUNCTION("""COMPUTED_VALUE"""),"LAMPARA DE MESA ZOPI NEGRO LEUK")</f>
        <v>LAMPARA DE MESA ZOPI NEGRO LEUK</v>
      </c>
      <c r="D761" s="97">
        <f>IFERROR(__xludf.DUMMYFUNCTION("""COMPUTED_VALUE"""),7.798328758415E12)</f>
        <v>7798328758415</v>
      </c>
      <c r="E761" s="97"/>
      <c r="F761" s="97" t="str">
        <f>IFERROR(__xludf.DUMMYFUNCTION("""COMPUTED_VALUE"""),"E27")</f>
        <v>E27</v>
      </c>
      <c r="G761" s="97" t="str">
        <f>IFERROR(__xludf.DUMMYFUNCTION("""COMPUTED_VALUE"""),"N/A")</f>
        <v>N/A</v>
      </c>
      <c r="H761" s="97" t="str">
        <f>IFERROR(__xludf.DUMMYFUNCTION("""COMPUTED_VALUE"""),"N/A")</f>
        <v>N/A</v>
      </c>
      <c r="I761" s="97" t="str">
        <f>IFERROR(__xludf.DUMMYFUNCTION("""COMPUTED_VALUE"""),"N/A")</f>
        <v>N/A</v>
      </c>
      <c r="J761" s="97"/>
      <c r="K761" s="97" t="str">
        <f>IFERROR(__xludf.DUMMYFUNCTION("""COMPUTED_VALUE"""),"N/A")</f>
        <v>N/A</v>
      </c>
      <c r="L761" s="97"/>
      <c r="M761" s="97"/>
      <c r="N761" s="97"/>
      <c r="O761" s="97"/>
      <c r="P761" s="97"/>
      <c r="Q761" s="97" t="str">
        <f>IFERROR(__xludf.DUMMYFUNCTION("""COMPUTED_VALUE"""),"-")</f>
        <v>-</v>
      </c>
      <c r="R761" s="97" t="str">
        <f>IFERROR(__xludf.DUMMYFUNCTION("""COMPUTED_VALUE"""),"-")</f>
        <v>-</v>
      </c>
      <c r="S761" s="97" t="str">
        <f>IFERROR(__xludf.DUMMYFUNCTION("""COMPUTED_VALUE"""),"-")</f>
        <v>-</v>
      </c>
      <c r="T761" s="97" t="str">
        <f>IFERROR(__xludf.DUMMYFUNCTION("""COMPUTED_VALUE"""),"-")</f>
        <v>-</v>
      </c>
      <c r="U761" s="97" t="str">
        <f>IFERROR(__xludf.DUMMYFUNCTION("""COMPUTED_VALUE"""),"-")</f>
        <v>-</v>
      </c>
      <c r="V761" s="97" t="str">
        <f>IFERROR(__xludf.DUMMYFUNCTION("""COMPUTED_VALUE"""),"N/A")</f>
        <v>N/A</v>
      </c>
      <c r="W761" s="97" t="str">
        <f>IFERROR(__xludf.DUMMYFUNCTION("""COMPUTED_VALUE"""),"N/A")</f>
        <v>N/A</v>
      </c>
      <c r="X761" s="97" t="str">
        <f>IFERROR(__xludf.DUMMYFUNCTION("""COMPUTED_VALUE"""),"-")</f>
        <v>-</v>
      </c>
      <c r="Y761" s="97" t="str">
        <f>IFERROR(__xludf.DUMMYFUNCTION("""COMPUTED_VALUE"""),"N/A")</f>
        <v>N/A</v>
      </c>
      <c r="Z761" s="97" t="str">
        <f>IFERROR(__xludf.DUMMYFUNCTION("""COMPUTED_VALUE"""),"N/A")</f>
        <v>N/A</v>
      </c>
      <c r="AA761" s="97" t="str">
        <f>IFERROR(__xludf.DUMMYFUNCTION("""COMPUTED_VALUE"""),"N/A")</f>
        <v>N/A</v>
      </c>
      <c r="AB761" s="97" t="str">
        <f>IFERROR(__xludf.DUMMYFUNCTION("""COMPUTED_VALUE"""),"N/A")</f>
        <v>N/A</v>
      </c>
      <c r="AC761" s="97" t="str">
        <f>IFERROR(__xludf.DUMMYFUNCTION("""COMPUTED_VALUE"""),"N/A")</f>
        <v>N/A</v>
      </c>
      <c r="AD761" s="97" t="str">
        <f>IFERROR(__xludf.DUMMYFUNCTION("""COMPUTED_VALUE"""),"IP20")</f>
        <v>IP20</v>
      </c>
      <c r="AE761" s="97" t="str">
        <f>IFERROR(__xludf.DUMMYFUNCTION("""COMPUTED_VALUE"""),"Clase ll")</f>
        <v>Clase ll</v>
      </c>
      <c r="AF761" s="97" t="str">
        <f>IFERROR(__xludf.DUMMYFUNCTION("""COMPUTED_VALUE"""),"Autoportante")</f>
        <v>Autoportante</v>
      </c>
      <c r="AG761" s="97"/>
      <c r="AH761" s="97"/>
      <c r="AI761" s="97"/>
      <c r="AJ761" s="97"/>
      <c r="AK761" s="97" t="str">
        <f>IFERROR(__xludf.DUMMYFUNCTION("""COMPUTED_VALUE"""),"Cerámica")</f>
        <v>Cerámica</v>
      </c>
      <c r="AL761" s="97"/>
      <c r="AM761" s="97" t="str">
        <f>IFERROR(__xludf.DUMMYFUNCTION("""COMPUTED_VALUE"""),"-")</f>
        <v>-</v>
      </c>
      <c r="AN761" s="97" t="str">
        <f>IFERROR(__xludf.DUMMYFUNCTION("""COMPUTED_VALUE"""),"N/A")</f>
        <v>N/A</v>
      </c>
      <c r="AO761" s="97" t="str">
        <f>IFERROR(__xludf.DUMMYFUNCTION("""COMPUTED_VALUE"""),"1 Año")</f>
        <v>1 Año</v>
      </c>
      <c r="AP761" s="97" t="str">
        <f>IFERROR(__xludf.DUMMYFUNCTION("""COMPUTED_VALUE"""),"No Aplica")</f>
        <v>No Aplica</v>
      </c>
      <c r="AQ761" s="97" t="str">
        <f>IFERROR(__xludf.DUMMYFUNCTION("""COMPUTED_VALUE"""),"No Aplica")</f>
        <v>No Aplica</v>
      </c>
      <c r="AR761" s="97" t="str">
        <f>IFERROR(__xludf.DUMMYFUNCTION("""COMPUTED_VALUE"""),"No Aplica")</f>
        <v>No Aplica</v>
      </c>
      <c r="AS761" s="97"/>
      <c r="AT761" s="97"/>
      <c r="AU761" s="97"/>
      <c r="AV761" s="97" t="str">
        <f>IFERROR(__xludf.DUMMYFUNCTION("""COMPUTED_VALUE"""),"Mesa")</f>
        <v>Mesa</v>
      </c>
      <c r="AW761" s="97" t="str">
        <f>IFERROR(__xludf.DUMMYFUNCTION("""COMPUTED_VALUE"""),"De Apoyo")</f>
        <v>De Apoyo</v>
      </c>
      <c r="AX761" s="97" t="str">
        <f>IFERROR(__xludf.DUMMYFUNCTION("""COMPUTED_VALUE"""),"Interior")</f>
        <v>Interior</v>
      </c>
      <c r="AY761" s="97"/>
      <c r="AZ761" s="97"/>
      <c r="BA761" s="97">
        <f>IFERROR(__xludf.DUMMYFUNCTION("""COMPUTED_VALUE"""),1.0)</f>
        <v>1</v>
      </c>
      <c r="BB761" s="97"/>
      <c r="BC761" s="97"/>
      <c r="BD761" s="97" t="str">
        <f>IFERROR(__xludf.DUMMYFUNCTION("""COMPUTED_VALUE"""),"ZOPI")</f>
        <v>ZOPI</v>
      </c>
      <c r="BE761" s="97" t="str">
        <f>IFERROR(__xludf.DUMMYFUNCTION("""COMPUTED_VALUE"""),"Sin Ficha")</f>
        <v>Sin Ficha</v>
      </c>
      <c r="BF761" s="97"/>
      <c r="BG761" s="97" t="str">
        <f>IFERROR(__xludf.DUMMYFUNCTION("""COMPUTED_VALUE"""),"Discontinuo")</f>
        <v>Discontinuo</v>
      </c>
    </row>
    <row r="762">
      <c r="A762" s="97">
        <f>IFERROR(__xludf.DUMMYFUNCTION("""COMPUTED_VALUE"""),6521.0)</f>
        <v>6521</v>
      </c>
      <c r="B762" s="97" t="str">
        <f>IFERROR(__xludf.DUMMYFUNCTION("""COMPUTED_VALUE"""),"ZOPI")</f>
        <v>ZOPI</v>
      </c>
      <c r="C762" s="97" t="str">
        <f>IFERROR(__xludf.DUMMYFUNCTION("""COMPUTED_VALUE"""),"LAMPARA DE MESA ZOPI AMARILLO LEUK")</f>
        <v>LAMPARA DE MESA ZOPI AMARILLO LEUK</v>
      </c>
      <c r="D762" s="97">
        <f>IFERROR(__xludf.DUMMYFUNCTION("""COMPUTED_VALUE"""),7.798328758392E12)</f>
        <v>7798328758392</v>
      </c>
      <c r="E762" s="97"/>
      <c r="F762" s="97" t="str">
        <f>IFERROR(__xludf.DUMMYFUNCTION("""COMPUTED_VALUE"""),"E27")</f>
        <v>E27</v>
      </c>
      <c r="G762" s="97" t="str">
        <f>IFERROR(__xludf.DUMMYFUNCTION("""COMPUTED_VALUE"""),"N/A")</f>
        <v>N/A</v>
      </c>
      <c r="H762" s="97" t="str">
        <f>IFERROR(__xludf.DUMMYFUNCTION("""COMPUTED_VALUE"""),"N/A")</f>
        <v>N/A</v>
      </c>
      <c r="I762" s="97" t="str">
        <f>IFERROR(__xludf.DUMMYFUNCTION("""COMPUTED_VALUE"""),"N/A")</f>
        <v>N/A</v>
      </c>
      <c r="J762" s="97"/>
      <c r="K762" s="97" t="str">
        <f>IFERROR(__xludf.DUMMYFUNCTION("""COMPUTED_VALUE"""),"N/A")</f>
        <v>N/A</v>
      </c>
      <c r="L762" s="97"/>
      <c r="M762" s="97"/>
      <c r="N762" s="97"/>
      <c r="O762" s="97"/>
      <c r="P762" s="97"/>
      <c r="Q762" s="97" t="str">
        <f>IFERROR(__xludf.DUMMYFUNCTION("""COMPUTED_VALUE"""),"-")</f>
        <v>-</v>
      </c>
      <c r="R762" s="97" t="str">
        <f>IFERROR(__xludf.DUMMYFUNCTION("""COMPUTED_VALUE"""),"-")</f>
        <v>-</v>
      </c>
      <c r="S762" s="97" t="str">
        <f>IFERROR(__xludf.DUMMYFUNCTION("""COMPUTED_VALUE"""),"-")</f>
        <v>-</v>
      </c>
      <c r="T762" s="97" t="str">
        <f>IFERROR(__xludf.DUMMYFUNCTION("""COMPUTED_VALUE"""),"-")</f>
        <v>-</v>
      </c>
      <c r="U762" s="97" t="str">
        <f>IFERROR(__xludf.DUMMYFUNCTION("""COMPUTED_VALUE"""),"-")</f>
        <v>-</v>
      </c>
      <c r="V762" s="97" t="str">
        <f>IFERROR(__xludf.DUMMYFUNCTION("""COMPUTED_VALUE"""),"N/A")</f>
        <v>N/A</v>
      </c>
      <c r="W762" s="97" t="str">
        <f>IFERROR(__xludf.DUMMYFUNCTION("""COMPUTED_VALUE"""),"N/A")</f>
        <v>N/A</v>
      </c>
      <c r="X762" s="97" t="str">
        <f>IFERROR(__xludf.DUMMYFUNCTION("""COMPUTED_VALUE"""),"-")</f>
        <v>-</v>
      </c>
      <c r="Y762" s="97" t="str">
        <f>IFERROR(__xludf.DUMMYFUNCTION("""COMPUTED_VALUE"""),"N/A")</f>
        <v>N/A</v>
      </c>
      <c r="Z762" s="97" t="str">
        <f>IFERROR(__xludf.DUMMYFUNCTION("""COMPUTED_VALUE"""),"N/A")</f>
        <v>N/A</v>
      </c>
      <c r="AA762" s="97" t="str">
        <f>IFERROR(__xludf.DUMMYFUNCTION("""COMPUTED_VALUE"""),"N/A")</f>
        <v>N/A</v>
      </c>
      <c r="AB762" s="97" t="str">
        <f>IFERROR(__xludf.DUMMYFUNCTION("""COMPUTED_VALUE"""),"N/A")</f>
        <v>N/A</v>
      </c>
      <c r="AC762" s="97" t="str">
        <f>IFERROR(__xludf.DUMMYFUNCTION("""COMPUTED_VALUE"""),"N/A")</f>
        <v>N/A</v>
      </c>
      <c r="AD762" s="97" t="str">
        <f>IFERROR(__xludf.DUMMYFUNCTION("""COMPUTED_VALUE"""),"IP20")</f>
        <v>IP20</v>
      </c>
      <c r="AE762" s="97" t="str">
        <f>IFERROR(__xludf.DUMMYFUNCTION("""COMPUTED_VALUE"""),"Clase ll")</f>
        <v>Clase ll</v>
      </c>
      <c r="AF762" s="97" t="str">
        <f>IFERROR(__xludf.DUMMYFUNCTION("""COMPUTED_VALUE"""),"Autoportante")</f>
        <v>Autoportante</v>
      </c>
      <c r="AG762" s="97"/>
      <c r="AH762" s="97"/>
      <c r="AI762" s="97"/>
      <c r="AJ762" s="97"/>
      <c r="AK762" s="97" t="str">
        <f>IFERROR(__xludf.DUMMYFUNCTION("""COMPUTED_VALUE"""),"Cerámica")</f>
        <v>Cerámica</v>
      </c>
      <c r="AL762" s="97"/>
      <c r="AM762" s="97" t="str">
        <f>IFERROR(__xludf.DUMMYFUNCTION("""COMPUTED_VALUE"""),"-")</f>
        <v>-</v>
      </c>
      <c r="AN762" s="97" t="str">
        <f>IFERROR(__xludf.DUMMYFUNCTION("""COMPUTED_VALUE"""),"N/A")</f>
        <v>N/A</v>
      </c>
      <c r="AO762" s="97" t="str">
        <f>IFERROR(__xludf.DUMMYFUNCTION("""COMPUTED_VALUE"""),"1 Año")</f>
        <v>1 Año</v>
      </c>
      <c r="AP762" s="97" t="str">
        <f>IFERROR(__xludf.DUMMYFUNCTION("""COMPUTED_VALUE"""),"No Aplica")</f>
        <v>No Aplica</v>
      </c>
      <c r="AQ762" s="97" t="str">
        <f>IFERROR(__xludf.DUMMYFUNCTION("""COMPUTED_VALUE"""),"No Aplica")</f>
        <v>No Aplica</v>
      </c>
      <c r="AR762" s="97" t="str">
        <f>IFERROR(__xludf.DUMMYFUNCTION("""COMPUTED_VALUE"""),"No Aplica")</f>
        <v>No Aplica</v>
      </c>
      <c r="AS762" s="97"/>
      <c r="AT762" s="97"/>
      <c r="AU762" s="97"/>
      <c r="AV762" s="97" t="str">
        <f>IFERROR(__xludf.DUMMYFUNCTION("""COMPUTED_VALUE"""),"Mesa")</f>
        <v>Mesa</v>
      </c>
      <c r="AW762" s="97" t="str">
        <f>IFERROR(__xludf.DUMMYFUNCTION("""COMPUTED_VALUE"""),"De Apoyo")</f>
        <v>De Apoyo</v>
      </c>
      <c r="AX762" s="97" t="str">
        <f>IFERROR(__xludf.DUMMYFUNCTION("""COMPUTED_VALUE"""),"Interior")</f>
        <v>Interior</v>
      </c>
      <c r="AY762" s="97"/>
      <c r="AZ762" s="97"/>
      <c r="BA762" s="97">
        <f>IFERROR(__xludf.DUMMYFUNCTION("""COMPUTED_VALUE"""),1.0)</f>
        <v>1</v>
      </c>
      <c r="BB762" s="97"/>
      <c r="BC762" s="97"/>
      <c r="BD762" s="97" t="str">
        <f>IFERROR(__xludf.DUMMYFUNCTION("""COMPUTED_VALUE"""),"ZOPI")</f>
        <v>ZOPI</v>
      </c>
      <c r="BE762" s="97" t="str">
        <f>IFERROR(__xludf.DUMMYFUNCTION("""COMPUTED_VALUE"""),"Sin Ficha")</f>
        <v>Sin Ficha</v>
      </c>
      <c r="BF762" s="97"/>
      <c r="BG762" s="97" t="str">
        <f>IFERROR(__xludf.DUMMYFUNCTION("""COMPUTED_VALUE"""),"Discontinuo")</f>
        <v>Discontinuo</v>
      </c>
    </row>
    <row r="763">
      <c r="A763" s="97">
        <f>IFERROR(__xludf.DUMMYFUNCTION("""COMPUTED_VALUE"""),6522.0)</f>
        <v>6522</v>
      </c>
      <c r="B763" s="97" t="str">
        <f>IFERROR(__xludf.DUMMYFUNCTION("""COMPUTED_VALUE"""),"HELE NG")</f>
        <v>HELE NG</v>
      </c>
      <c r="C763" s="97" t="str">
        <f>IFERROR(__xludf.DUMMYFUNCTION("""COMPUTED_VALUE"""),"LAMPARA DE PIE HELE NEGRO LEUK")</f>
        <v>LAMPARA DE PIE HELE NEGRO LEUK</v>
      </c>
      <c r="D763" s="99">
        <f>IFERROR(__xludf.DUMMYFUNCTION("""COMPUTED_VALUE"""),7.798413220674E12)</f>
        <v>7798413220674</v>
      </c>
      <c r="E763" s="97"/>
      <c r="F763" s="97" t="str">
        <f>IFERROR(__xludf.DUMMYFUNCTION("""COMPUTED_VALUE"""),"E27")</f>
        <v>E27</v>
      </c>
      <c r="G763" s="97" t="str">
        <f>IFERROR(__xludf.DUMMYFUNCTION("""COMPUTED_VALUE"""),"N/A")</f>
        <v>N/A</v>
      </c>
      <c r="H763" s="97" t="str">
        <f>IFERROR(__xludf.DUMMYFUNCTION("""COMPUTED_VALUE"""),"N/A")</f>
        <v>N/A</v>
      </c>
      <c r="I763" s="97" t="str">
        <f>IFERROR(__xludf.DUMMYFUNCTION("""COMPUTED_VALUE"""),"N/A")</f>
        <v>N/A</v>
      </c>
      <c r="J763" s="97"/>
      <c r="K763" s="97" t="str">
        <f>IFERROR(__xludf.DUMMYFUNCTION("""COMPUTED_VALUE"""),"N/A")</f>
        <v>N/A</v>
      </c>
      <c r="L763" s="97"/>
      <c r="M763" s="97"/>
      <c r="N763" s="97"/>
      <c r="O763" s="97"/>
      <c r="P763" s="97"/>
      <c r="Q763" s="97" t="str">
        <f>IFERROR(__xludf.DUMMYFUNCTION("""COMPUTED_VALUE"""),"-")</f>
        <v>-</v>
      </c>
      <c r="R763" s="97" t="str">
        <f>IFERROR(__xludf.DUMMYFUNCTION("""COMPUTED_VALUE"""),"-")</f>
        <v>-</v>
      </c>
      <c r="S763" s="97" t="str">
        <f>IFERROR(__xludf.DUMMYFUNCTION("""COMPUTED_VALUE"""),"-")</f>
        <v>-</v>
      </c>
      <c r="T763" s="97" t="str">
        <f>IFERROR(__xludf.DUMMYFUNCTION("""COMPUTED_VALUE"""),"-")</f>
        <v>-</v>
      </c>
      <c r="U763" s="97" t="str">
        <f>IFERROR(__xludf.DUMMYFUNCTION("""COMPUTED_VALUE"""),"-")</f>
        <v>-</v>
      </c>
      <c r="V763" s="97" t="str">
        <f>IFERROR(__xludf.DUMMYFUNCTION("""COMPUTED_VALUE"""),"N/A")</f>
        <v>N/A</v>
      </c>
      <c r="W763" s="97" t="str">
        <f>IFERROR(__xludf.DUMMYFUNCTION("""COMPUTED_VALUE"""),"N/A")</f>
        <v>N/A</v>
      </c>
      <c r="X763" s="97" t="str">
        <f>IFERROR(__xludf.DUMMYFUNCTION("""COMPUTED_VALUE"""),"-")</f>
        <v>-</v>
      </c>
      <c r="Y763" s="97" t="str">
        <f>IFERROR(__xludf.DUMMYFUNCTION("""COMPUTED_VALUE"""),"N/A")</f>
        <v>N/A</v>
      </c>
      <c r="Z763" s="97" t="str">
        <f>IFERROR(__xludf.DUMMYFUNCTION("""COMPUTED_VALUE"""),"N/A")</f>
        <v>N/A</v>
      </c>
      <c r="AA763" s="97" t="str">
        <f>IFERROR(__xludf.DUMMYFUNCTION("""COMPUTED_VALUE"""),"N/A")</f>
        <v>N/A</v>
      </c>
      <c r="AB763" s="97" t="str">
        <f>IFERROR(__xludf.DUMMYFUNCTION("""COMPUTED_VALUE"""),"N/A")</f>
        <v>N/A</v>
      </c>
      <c r="AC763" s="97" t="str">
        <f>IFERROR(__xludf.DUMMYFUNCTION("""COMPUTED_VALUE"""),"N/A")</f>
        <v>N/A</v>
      </c>
      <c r="AD763" s="97" t="str">
        <f>IFERROR(__xludf.DUMMYFUNCTION("""COMPUTED_VALUE"""),"IP20")</f>
        <v>IP20</v>
      </c>
      <c r="AE763" s="97" t="str">
        <f>IFERROR(__xludf.DUMMYFUNCTION("""COMPUTED_VALUE"""),"Clase ll")</f>
        <v>Clase ll</v>
      </c>
      <c r="AF763" s="97" t="str">
        <f>IFERROR(__xludf.DUMMYFUNCTION("""COMPUTED_VALUE"""),"Autoportante")</f>
        <v>Autoportante</v>
      </c>
      <c r="AG763" s="97"/>
      <c r="AH763" s="97"/>
      <c r="AI763" s="97"/>
      <c r="AJ763" s="97" t="str">
        <f>IFERROR(__xludf.DUMMYFUNCTION("""COMPUTED_VALUE"""),"Vidrio")</f>
        <v>Vidrio</v>
      </c>
      <c r="AK763" s="97" t="str">
        <f>IFERROR(__xludf.DUMMYFUNCTION("""COMPUTED_VALUE"""),"Acero")</f>
        <v>Acero</v>
      </c>
      <c r="AL763" s="97"/>
      <c r="AM763" s="97" t="str">
        <f>IFERROR(__xludf.DUMMYFUNCTION("""COMPUTED_VALUE"""),"-")</f>
        <v>-</v>
      </c>
      <c r="AN763" s="97" t="str">
        <f>IFERROR(__xludf.DUMMYFUNCTION("""COMPUTED_VALUE"""),"N/A")</f>
        <v>N/A</v>
      </c>
      <c r="AO763" s="97" t="str">
        <f>IFERROR(__xludf.DUMMYFUNCTION("""COMPUTED_VALUE"""),"1 Año")</f>
        <v>1 Año</v>
      </c>
      <c r="AP763" s="97" t="str">
        <f>IFERROR(__xludf.DUMMYFUNCTION("""COMPUTED_VALUE"""),"No Aplica")</f>
        <v>No Aplica</v>
      </c>
      <c r="AQ763" s="97" t="str">
        <f>IFERROR(__xludf.DUMMYFUNCTION("""COMPUTED_VALUE"""),"No Aplica")</f>
        <v>No Aplica</v>
      </c>
      <c r="AR763" s="97" t="str">
        <f>IFERROR(__xludf.DUMMYFUNCTION("""COMPUTED_VALUE"""),"No Aplica")</f>
        <v>No Aplica</v>
      </c>
      <c r="AS763" s="97"/>
      <c r="AT763" s="97"/>
      <c r="AU763" s="97"/>
      <c r="AV763" s="97" t="str">
        <f>IFERROR(__xludf.DUMMYFUNCTION("""COMPUTED_VALUE"""),"Pie")</f>
        <v>Pie</v>
      </c>
      <c r="AW763" s="97" t="str">
        <f>IFERROR(__xludf.DUMMYFUNCTION("""COMPUTED_VALUE"""),"De Apoyo")</f>
        <v>De Apoyo</v>
      </c>
      <c r="AX763" s="97" t="str">
        <f>IFERROR(__xludf.DUMMYFUNCTION("""COMPUTED_VALUE"""),"Interior")</f>
        <v>Interior</v>
      </c>
      <c r="AY763" s="97"/>
      <c r="AZ763" s="97"/>
      <c r="BA763" s="97">
        <f>IFERROR(__xludf.DUMMYFUNCTION("""COMPUTED_VALUE"""),1.0)</f>
        <v>1</v>
      </c>
      <c r="BB763" s="97"/>
      <c r="BC763" s="97"/>
      <c r="BD763" s="97" t="str">
        <f>IFERROR(__xludf.DUMMYFUNCTION("""COMPUTED_VALUE"""),"HELE")</f>
        <v>HELE</v>
      </c>
      <c r="BE763" s="97" t="str">
        <f>IFERROR(__xludf.DUMMYFUNCTION("""COMPUTED_VALUE"""),"Sin Ficha")</f>
        <v>Sin Ficha</v>
      </c>
      <c r="BF763" s="97"/>
      <c r="BG763" s="97" t="str">
        <f>IFERROR(__xludf.DUMMYFUNCTION("""COMPUTED_VALUE"""),"Discontinuo")</f>
        <v>Discontinuo</v>
      </c>
    </row>
    <row r="764">
      <c r="A764" s="97">
        <f>IFERROR(__xludf.DUMMYFUNCTION("""COMPUTED_VALUE"""),6523.0)</f>
        <v>6523</v>
      </c>
      <c r="B764" s="97" t="str">
        <f>IFERROR(__xludf.DUMMYFUNCTION("""COMPUTED_VALUE"""),"HELE BL")</f>
        <v>HELE BL</v>
      </c>
      <c r="C764" s="97" t="str">
        <f>IFERROR(__xludf.DUMMYFUNCTION("""COMPUTED_VALUE"""),"LAMPARA DE PIE HELE BLANCO LEUK")</f>
        <v>LAMPARA DE PIE HELE BLANCO LEUK</v>
      </c>
      <c r="D764" s="99">
        <f>IFERROR(__xludf.DUMMYFUNCTION("""COMPUTED_VALUE"""),7.798413220681E12)</f>
        <v>7798413220681</v>
      </c>
      <c r="E764" s="97"/>
      <c r="F764" s="97" t="str">
        <f>IFERROR(__xludf.DUMMYFUNCTION("""COMPUTED_VALUE"""),"E27")</f>
        <v>E27</v>
      </c>
      <c r="G764" s="97" t="str">
        <f>IFERROR(__xludf.DUMMYFUNCTION("""COMPUTED_VALUE"""),"N/A")</f>
        <v>N/A</v>
      </c>
      <c r="H764" s="97" t="str">
        <f>IFERROR(__xludf.DUMMYFUNCTION("""COMPUTED_VALUE"""),"N/A")</f>
        <v>N/A</v>
      </c>
      <c r="I764" s="97" t="str">
        <f>IFERROR(__xludf.DUMMYFUNCTION("""COMPUTED_VALUE"""),"N/A")</f>
        <v>N/A</v>
      </c>
      <c r="J764" s="97"/>
      <c r="K764" s="97" t="str">
        <f>IFERROR(__xludf.DUMMYFUNCTION("""COMPUTED_VALUE"""),"N/A")</f>
        <v>N/A</v>
      </c>
      <c r="L764" s="97"/>
      <c r="M764" s="97"/>
      <c r="N764" s="97"/>
      <c r="O764" s="97"/>
      <c r="P764" s="97"/>
      <c r="Q764" s="97" t="str">
        <f>IFERROR(__xludf.DUMMYFUNCTION("""COMPUTED_VALUE"""),"-")</f>
        <v>-</v>
      </c>
      <c r="R764" s="97" t="str">
        <f>IFERROR(__xludf.DUMMYFUNCTION("""COMPUTED_VALUE"""),"-")</f>
        <v>-</v>
      </c>
      <c r="S764" s="97" t="str">
        <f>IFERROR(__xludf.DUMMYFUNCTION("""COMPUTED_VALUE"""),"-")</f>
        <v>-</v>
      </c>
      <c r="T764" s="97" t="str">
        <f>IFERROR(__xludf.DUMMYFUNCTION("""COMPUTED_VALUE"""),"-")</f>
        <v>-</v>
      </c>
      <c r="U764" s="97" t="str">
        <f>IFERROR(__xludf.DUMMYFUNCTION("""COMPUTED_VALUE"""),"-")</f>
        <v>-</v>
      </c>
      <c r="V764" s="97" t="str">
        <f>IFERROR(__xludf.DUMMYFUNCTION("""COMPUTED_VALUE"""),"N/A")</f>
        <v>N/A</v>
      </c>
      <c r="W764" s="97" t="str">
        <f>IFERROR(__xludf.DUMMYFUNCTION("""COMPUTED_VALUE"""),"N/A")</f>
        <v>N/A</v>
      </c>
      <c r="X764" s="97" t="str">
        <f>IFERROR(__xludf.DUMMYFUNCTION("""COMPUTED_VALUE"""),"-")</f>
        <v>-</v>
      </c>
      <c r="Y764" s="97" t="str">
        <f>IFERROR(__xludf.DUMMYFUNCTION("""COMPUTED_VALUE"""),"N/A")</f>
        <v>N/A</v>
      </c>
      <c r="Z764" s="97" t="str">
        <f>IFERROR(__xludf.DUMMYFUNCTION("""COMPUTED_VALUE"""),"N/A")</f>
        <v>N/A</v>
      </c>
      <c r="AA764" s="97" t="str">
        <f>IFERROR(__xludf.DUMMYFUNCTION("""COMPUTED_VALUE"""),"N/A")</f>
        <v>N/A</v>
      </c>
      <c r="AB764" s="97" t="str">
        <f>IFERROR(__xludf.DUMMYFUNCTION("""COMPUTED_VALUE"""),"N/A")</f>
        <v>N/A</v>
      </c>
      <c r="AC764" s="97" t="str">
        <f>IFERROR(__xludf.DUMMYFUNCTION("""COMPUTED_VALUE"""),"N/A")</f>
        <v>N/A</v>
      </c>
      <c r="AD764" s="97" t="str">
        <f>IFERROR(__xludf.DUMMYFUNCTION("""COMPUTED_VALUE"""),"IP20")</f>
        <v>IP20</v>
      </c>
      <c r="AE764" s="97" t="str">
        <f>IFERROR(__xludf.DUMMYFUNCTION("""COMPUTED_VALUE"""),"Clase ll")</f>
        <v>Clase ll</v>
      </c>
      <c r="AF764" s="97" t="str">
        <f>IFERROR(__xludf.DUMMYFUNCTION("""COMPUTED_VALUE"""),"Autoportante")</f>
        <v>Autoportante</v>
      </c>
      <c r="AG764" s="97"/>
      <c r="AH764" s="97"/>
      <c r="AI764" s="97"/>
      <c r="AJ764" s="97" t="str">
        <f>IFERROR(__xludf.DUMMYFUNCTION("""COMPUTED_VALUE"""),"Vidrio")</f>
        <v>Vidrio</v>
      </c>
      <c r="AK764" s="97" t="str">
        <f>IFERROR(__xludf.DUMMYFUNCTION("""COMPUTED_VALUE"""),"Acero")</f>
        <v>Acero</v>
      </c>
      <c r="AL764" s="97"/>
      <c r="AM764" s="97" t="str">
        <f>IFERROR(__xludf.DUMMYFUNCTION("""COMPUTED_VALUE"""),"-")</f>
        <v>-</v>
      </c>
      <c r="AN764" s="97" t="str">
        <f>IFERROR(__xludf.DUMMYFUNCTION("""COMPUTED_VALUE"""),"N/A")</f>
        <v>N/A</v>
      </c>
      <c r="AO764" s="97" t="str">
        <f>IFERROR(__xludf.DUMMYFUNCTION("""COMPUTED_VALUE"""),"1 Año")</f>
        <v>1 Año</v>
      </c>
      <c r="AP764" s="97" t="str">
        <f>IFERROR(__xludf.DUMMYFUNCTION("""COMPUTED_VALUE"""),"No Aplica")</f>
        <v>No Aplica</v>
      </c>
      <c r="AQ764" s="97" t="str">
        <f>IFERROR(__xludf.DUMMYFUNCTION("""COMPUTED_VALUE"""),"No Aplica")</f>
        <v>No Aplica</v>
      </c>
      <c r="AR764" s="97" t="str">
        <f>IFERROR(__xludf.DUMMYFUNCTION("""COMPUTED_VALUE"""),"No Aplica")</f>
        <v>No Aplica</v>
      </c>
      <c r="AS764" s="97"/>
      <c r="AT764" s="97"/>
      <c r="AU764" s="97"/>
      <c r="AV764" s="97" t="str">
        <f>IFERROR(__xludf.DUMMYFUNCTION("""COMPUTED_VALUE"""),"Pie")</f>
        <v>Pie</v>
      </c>
      <c r="AW764" s="97" t="str">
        <f>IFERROR(__xludf.DUMMYFUNCTION("""COMPUTED_VALUE"""),"De Apoyo")</f>
        <v>De Apoyo</v>
      </c>
      <c r="AX764" s="97" t="str">
        <f>IFERROR(__xludf.DUMMYFUNCTION("""COMPUTED_VALUE"""),"Interior")</f>
        <v>Interior</v>
      </c>
      <c r="AY764" s="97"/>
      <c r="AZ764" s="97"/>
      <c r="BA764" s="97">
        <f>IFERROR(__xludf.DUMMYFUNCTION("""COMPUTED_VALUE"""),1.0)</f>
        <v>1</v>
      </c>
      <c r="BB764" s="97"/>
      <c r="BC764" s="97"/>
      <c r="BD764" s="97" t="str">
        <f>IFERROR(__xludf.DUMMYFUNCTION("""COMPUTED_VALUE"""),"HELE")</f>
        <v>HELE</v>
      </c>
      <c r="BE764" s="97" t="str">
        <f>IFERROR(__xludf.DUMMYFUNCTION("""COMPUTED_VALUE"""),"Sin Ficha")</f>
        <v>Sin Ficha</v>
      </c>
      <c r="BF764" s="97"/>
      <c r="BG764" s="97" t="str">
        <f>IFERROR(__xludf.DUMMYFUNCTION("""COMPUTED_VALUE"""),"Discontinuo")</f>
        <v>Discontinuo</v>
      </c>
    </row>
    <row r="765">
      <c r="A765" s="97">
        <f>IFERROR(__xludf.DUMMYFUNCTION("""COMPUTED_VALUE"""),6524.0)</f>
        <v>6524</v>
      </c>
      <c r="B765" s="97" t="str">
        <f>IFERROR(__xludf.DUMMYFUNCTION("""COMPUTED_VALUE"""),"HELE BD")</f>
        <v>HELE BD</v>
      </c>
      <c r="C765" s="97" t="str">
        <f>IFERROR(__xludf.DUMMYFUNCTION("""COMPUTED_VALUE"""),"LAMPARA DE PIE HELE BORDO LEUK")</f>
        <v>LAMPARA DE PIE HELE BORDO LEUK</v>
      </c>
      <c r="D765" s="99">
        <f>IFERROR(__xludf.DUMMYFUNCTION("""COMPUTED_VALUE"""),7.798413220698E12)</f>
        <v>7798413220698</v>
      </c>
      <c r="E765" s="97"/>
      <c r="F765" s="97" t="str">
        <f>IFERROR(__xludf.DUMMYFUNCTION("""COMPUTED_VALUE"""),"E27")</f>
        <v>E27</v>
      </c>
      <c r="G765" s="97" t="str">
        <f>IFERROR(__xludf.DUMMYFUNCTION("""COMPUTED_VALUE"""),"N/A")</f>
        <v>N/A</v>
      </c>
      <c r="H765" s="97" t="str">
        <f>IFERROR(__xludf.DUMMYFUNCTION("""COMPUTED_VALUE"""),"N/A")</f>
        <v>N/A</v>
      </c>
      <c r="I765" s="97" t="str">
        <f>IFERROR(__xludf.DUMMYFUNCTION("""COMPUTED_VALUE"""),"N/A")</f>
        <v>N/A</v>
      </c>
      <c r="J765" s="97"/>
      <c r="K765" s="97" t="str">
        <f>IFERROR(__xludf.DUMMYFUNCTION("""COMPUTED_VALUE"""),"N/A")</f>
        <v>N/A</v>
      </c>
      <c r="L765" s="97"/>
      <c r="M765" s="97"/>
      <c r="N765" s="97"/>
      <c r="O765" s="97"/>
      <c r="P765" s="97"/>
      <c r="Q765" s="97" t="str">
        <f>IFERROR(__xludf.DUMMYFUNCTION("""COMPUTED_VALUE"""),"-")</f>
        <v>-</v>
      </c>
      <c r="R765" s="97" t="str">
        <f>IFERROR(__xludf.DUMMYFUNCTION("""COMPUTED_VALUE"""),"-")</f>
        <v>-</v>
      </c>
      <c r="S765" s="97" t="str">
        <f>IFERROR(__xludf.DUMMYFUNCTION("""COMPUTED_VALUE"""),"-")</f>
        <v>-</v>
      </c>
      <c r="T765" s="97" t="str">
        <f>IFERROR(__xludf.DUMMYFUNCTION("""COMPUTED_VALUE"""),"-")</f>
        <v>-</v>
      </c>
      <c r="U765" s="97" t="str">
        <f>IFERROR(__xludf.DUMMYFUNCTION("""COMPUTED_VALUE"""),"-")</f>
        <v>-</v>
      </c>
      <c r="V765" s="97" t="str">
        <f>IFERROR(__xludf.DUMMYFUNCTION("""COMPUTED_VALUE"""),"N/A")</f>
        <v>N/A</v>
      </c>
      <c r="W765" s="97" t="str">
        <f>IFERROR(__xludf.DUMMYFUNCTION("""COMPUTED_VALUE"""),"N/A")</f>
        <v>N/A</v>
      </c>
      <c r="X765" s="97" t="str">
        <f>IFERROR(__xludf.DUMMYFUNCTION("""COMPUTED_VALUE"""),"-")</f>
        <v>-</v>
      </c>
      <c r="Y765" s="97" t="str">
        <f>IFERROR(__xludf.DUMMYFUNCTION("""COMPUTED_VALUE"""),"N/A")</f>
        <v>N/A</v>
      </c>
      <c r="Z765" s="97" t="str">
        <f>IFERROR(__xludf.DUMMYFUNCTION("""COMPUTED_VALUE"""),"N/A")</f>
        <v>N/A</v>
      </c>
      <c r="AA765" s="97" t="str">
        <f>IFERROR(__xludf.DUMMYFUNCTION("""COMPUTED_VALUE"""),"N/A")</f>
        <v>N/A</v>
      </c>
      <c r="AB765" s="97" t="str">
        <f>IFERROR(__xludf.DUMMYFUNCTION("""COMPUTED_VALUE"""),"N/A")</f>
        <v>N/A</v>
      </c>
      <c r="AC765" s="97" t="str">
        <f>IFERROR(__xludf.DUMMYFUNCTION("""COMPUTED_VALUE"""),"N/A")</f>
        <v>N/A</v>
      </c>
      <c r="AD765" s="97" t="str">
        <f>IFERROR(__xludf.DUMMYFUNCTION("""COMPUTED_VALUE"""),"IP20")</f>
        <v>IP20</v>
      </c>
      <c r="AE765" s="97" t="str">
        <f>IFERROR(__xludf.DUMMYFUNCTION("""COMPUTED_VALUE"""),"Clase ll")</f>
        <v>Clase ll</v>
      </c>
      <c r="AF765" s="97" t="str">
        <f>IFERROR(__xludf.DUMMYFUNCTION("""COMPUTED_VALUE"""),"Autoportante")</f>
        <v>Autoportante</v>
      </c>
      <c r="AG765" s="97"/>
      <c r="AH765" s="97"/>
      <c r="AI765" s="97"/>
      <c r="AJ765" s="97" t="str">
        <f>IFERROR(__xludf.DUMMYFUNCTION("""COMPUTED_VALUE"""),"Vidrio")</f>
        <v>Vidrio</v>
      </c>
      <c r="AK765" s="97" t="str">
        <f>IFERROR(__xludf.DUMMYFUNCTION("""COMPUTED_VALUE"""),"Acero")</f>
        <v>Acero</v>
      </c>
      <c r="AL765" s="97"/>
      <c r="AM765" s="97" t="str">
        <f>IFERROR(__xludf.DUMMYFUNCTION("""COMPUTED_VALUE"""),"-")</f>
        <v>-</v>
      </c>
      <c r="AN765" s="97" t="str">
        <f>IFERROR(__xludf.DUMMYFUNCTION("""COMPUTED_VALUE"""),"N/A")</f>
        <v>N/A</v>
      </c>
      <c r="AO765" s="97" t="str">
        <f>IFERROR(__xludf.DUMMYFUNCTION("""COMPUTED_VALUE"""),"1 Año")</f>
        <v>1 Año</v>
      </c>
      <c r="AP765" s="97" t="str">
        <f>IFERROR(__xludf.DUMMYFUNCTION("""COMPUTED_VALUE"""),"No Aplica")</f>
        <v>No Aplica</v>
      </c>
      <c r="AQ765" s="97" t="str">
        <f>IFERROR(__xludf.DUMMYFUNCTION("""COMPUTED_VALUE"""),"No Aplica")</f>
        <v>No Aplica</v>
      </c>
      <c r="AR765" s="97" t="str">
        <f>IFERROR(__xludf.DUMMYFUNCTION("""COMPUTED_VALUE"""),"No Aplica")</f>
        <v>No Aplica</v>
      </c>
      <c r="AS765" s="97"/>
      <c r="AT765" s="97"/>
      <c r="AU765" s="97"/>
      <c r="AV765" s="97" t="str">
        <f>IFERROR(__xludf.DUMMYFUNCTION("""COMPUTED_VALUE"""),"Pie")</f>
        <v>Pie</v>
      </c>
      <c r="AW765" s="97" t="str">
        <f>IFERROR(__xludf.DUMMYFUNCTION("""COMPUTED_VALUE"""),"De Apoyo")</f>
        <v>De Apoyo</v>
      </c>
      <c r="AX765" s="97" t="str">
        <f>IFERROR(__xludf.DUMMYFUNCTION("""COMPUTED_VALUE"""),"Interior")</f>
        <v>Interior</v>
      </c>
      <c r="AY765" s="97"/>
      <c r="AZ765" s="97"/>
      <c r="BA765" s="97">
        <f>IFERROR(__xludf.DUMMYFUNCTION("""COMPUTED_VALUE"""),1.0)</f>
        <v>1</v>
      </c>
      <c r="BB765" s="97"/>
      <c r="BC765" s="97"/>
      <c r="BD765" s="97" t="str">
        <f>IFERROR(__xludf.DUMMYFUNCTION("""COMPUTED_VALUE"""),"HELE")</f>
        <v>HELE</v>
      </c>
      <c r="BE765" s="97" t="str">
        <f>IFERROR(__xludf.DUMMYFUNCTION("""COMPUTED_VALUE"""),"Sin Ficha")</f>
        <v>Sin Ficha</v>
      </c>
      <c r="BF765" s="97"/>
      <c r="BG765" s="97" t="str">
        <f>IFERROR(__xludf.DUMMYFUNCTION("""COMPUTED_VALUE"""),"Discontinuo")</f>
        <v>Discontinuo</v>
      </c>
    </row>
    <row r="766">
      <c r="A766" s="97">
        <f>IFERROR(__xludf.DUMMYFUNCTION("""COMPUTED_VALUE"""),6525.0)</f>
        <v>6525</v>
      </c>
      <c r="B766" s="97" t="str">
        <f>IFERROR(__xludf.DUMMYFUNCTION("""COMPUTED_VALUE"""),"HAUS BL")</f>
        <v>HAUS BL</v>
      </c>
      <c r="C766" s="97" t="str">
        <f>IFERROR(__xludf.DUMMYFUNCTION("""COMPUTED_VALUE"""),"VELADOR HAUS BLANCO LEUK")</f>
        <v>VELADOR HAUS BLANCO LEUK</v>
      </c>
      <c r="D766" s="97">
        <f>IFERROR(__xludf.DUMMYFUNCTION("""COMPUTED_VALUE"""),7.798413221008E12)</f>
        <v>7798413221008</v>
      </c>
      <c r="E766" s="97"/>
      <c r="F766" s="97" t="str">
        <f>IFERROR(__xludf.DUMMYFUNCTION("""COMPUTED_VALUE"""),"E27")</f>
        <v>E27</v>
      </c>
      <c r="G766" s="97" t="str">
        <f>IFERROR(__xludf.DUMMYFUNCTION("""COMPUTED_VALUE"""),"N/A")</f>
        <v>N/A</v>
      </c>
      <c r="H766" s="97" t="str">
        <f>IFERROR(__xludf.DUMMYFUNCTION("""COMPUTED_VALUE"""),"N/A")</f>
        <v>N/A</v>
      </c>
      <c r="I766" s="97" t="str">
        <f>IFERROR(__xludf.DUMMYFUNCTION("""COMPUTED_VALUE"""),"N/A")</f>
        <v>N/A</v>
      </c>
      <c r="J766" s="97"/>
      <c r="K766" s="97" t="str">
        <f>IFERROR(__xludf.DUMMYFUNCTION("""COMPUTED_VALUE"""),"N/A")</f>
        <v>N/A</v>
      </c>
      <c r="L766" s="97"/>
      <c r="M766" s="97"/>
      <c r="N766" s="97"/>
      <c r="O766" s="97"/>
      <c r="P766" s="97"/>
      <c r="Q766" s="97" t="str">
        <f>IFERROR(__xludf.DUMMYFUNCTION("""COMPUTED_VALUE"""),"-")</f>
        <v>-</v>
      </c>
      <c r="R766" s="97" t="str">
        <f>IFERROR(__xludf.DUMMYFUNCTION("""COMPUTED_VALUE"""),"-")</f>
        <v>-</v>
      </c>
      <c r="S766" s="97" t="str">
        <f>IFERROR(__xludf.DUMMYFUNCTION("""COMPUTED_VALUE"""),"-")</f>
        <v>-</v>
      </c>
      <c r="T766" s="97" t="str">
        <f>IFERROR(__xludf.DUMMYFUNCTION("""COMPUTED_VALUE"""),"-")</f>
        <v>-</v>
      </c>
      <c r="U766" s="97" t="str">
        <f>IFERROR(__xludf.DUMMYFUNCTION("""COMPUTED_VALUE"""),"-")</f>
        <v>-</v>
      </c>
      <c r="V766" s="97" t="str">
        <f>IFERROR(__xludf.DUMMYFUNCTION("""COMPUTED_VALUE"""),"N/A")</f>
        <v>N/A</v>
      </c>
      <c r="W766" s="97" t="str">
        <f>IFERROR(__xludf.DUMMYFUNCTION("""COMPUTED_VALUE"""),"N/A")</f>
        <v>N/A</v>
      </c>
      <c r="X766" s="97" t="str">
        <f>IFERROR(__xludf.DUMMYFUNCTION("""COMPUTED_VALUE"""),"-")</f>
        <v>-</v>
      </c>
      <c r="Y766" s="97" t="str">
        <f>IFERROR(__xludf.DUMMYFUNCTION("""COMPUTED_VALUE"""),"N/A")</f>
        <v>N/A</v>
      </c>
      <c r="Z766" s="97" t="str">
        <f>IFERROR(__xludf.DUMMYFUNCTION("""COMPUTED_VALUE"""),"N/A")</f>
        <v>N/A</v>
      </c>
      <c r="AA766" s="97" t="str">
        <f>IFERROR(__xludf.DUMMYFUNCTION("""COMPUTED_VALUE"""),"N/A")</f>
        <v>N/A</v>
      </c>
      <c r="AB766" s="97" t="str">
        <f>IFERROR(__xludf.DUMMYFUNCTION("""COMPUTED_VALUE"""),"N/A")</f>
        <v>N/A</v>
      </c>
      <c r="AC766" s="97" t="str">
        <f>IFERROR(__xludf.DUMMYFUNCTION("""COMPUTED_VALUE"""),"N/A")</f>
        <v>N/A</v>
      </c>
      <c r="AD766" s="97" t="str">
        <f>IFERROR(__xludf.DUMMYFUNCTION("""COMPUTED_VALUE"""),"IP20")</f>
        <v>IP20</v>
      </c>
      <c r="AE766" s="97" t="str">
        <f>IFERROR(__xludf.DUMMYFUNCTION("""COMPUTED_VALUE"""),"Clase ll")</f>
        <v>Clase ll</v>
      </c>
      <c r="AF766" s="97" t="str">
        <f>IFERROR(__xludf.DUMMYFUNCTION("""COMPUTED_VALUE"""),"Autoportante")</f>
        <v>Autoportante</v>
      </c>
      <c r="AG766" s="97"/>
      <c r="AH766" s="97"/>
      <c r="AI766" s="97"/>
      <c r="AJ766" s="97" t="str">
        <f>IFERROR(__xludf.DUMMYFUNCTION("""COMPUTED_VALUE"""),"Vidrio")</f>
        <v>Vidrio</v>
      </c>
      <c r="AK766" s="97" t="str">
        <f>IFERROR(__xludf.DUMMYFUNCTION("""COMPUTED_VALUE"""),"Madera")</f>
        <v>Madera</v>
      </c>
      <c r="AL766" s="97"/>
      <c r="AM766" s="97" t="str">
        <f>IFERROR(__xludf.DUMMYFUNCTION("""COMPUTED_VALUE"""),"-")</f>
        <v>-</v>
      </c>
      <c r="AN766" s="97" t="str">
        <f>IFERROR(__xludf.DUMMYFUNCTION("""COMPUTED_VALUE"""),"N/A")</f>
        <v>N/A</v>
      </c>
      <c r="AO766" s="97" t="str">
        <f>IFERROR(__xludf.DUMMYFUNCTION("""COMPUTED_VALUE"""),"1 Año")</f>
        <v>1 Año</v>
      </c>
      <c r="AP766" s="97" t="str">
        <f>IFERROR(__xludf.DUMMYFUNCTION("""COMPUTED_VALUE"""),"No Aplica")</f>
        <v>No Aplica</v>
      </c>
      <c r="AQ766" s="97" t="str">
        <f>IFERROR(__xludf.DUMMYFUNCTION("""COMPUTED_VALUE"""),"No Aplica")</f>
        <v>No Aplica</v>
      </c>
      <c r="AR766" s="97" t="str">
        <f>IFERROR(__xludf.DUMMYFUNCTION("""COMPUTED_VALUE"""),"No Aplica")</f>
        <v>No Aplica</v>
      </c>
      <c r="AS766" s="97"/>
      <c r="AT766" s="97"/>
      <c r="AU766" s="97"/>
      <c r="AV766" s="97" t="str">
        <f>IFERROR(__xludf.DUMMYFUNCTION("""COMPUTED_VALUE"""),"Mesa")</f>
        <v>Mesa</v>
      </c>
      <c r="AW766" s="97" t="str">
        <f>IFERROR(__xludf.DUMMYFUNCTION("""COMPUTED_VALUE"""),"De Apoyo")</f>
        <v>De Apoyo</v>
      </c>
      <c r="AX766" s="97" t="str">
        <f>IFERROR(__xludf.DUMMYFUNCTION("""COMPUTED_VALUE"""),"Interior")</f>
        <v>Interior</v>
      </c>
      <c r="AY766" s="97"/>
      <c r="AZ766" s="97"/>
      <c r="BA766" s="97"/>
      <c r="BB766" s="97"/>
      <c r="BC766" s="97"/>
      <c r="BD766" s="97" t="str">
        <f>IFERROR(__xludf.DUMMYFUNCTION("""COMPUTED_VALUE"""),"HAUS")</f>
        <v>HAUS</v>
      </c>
      <c r="BE766" s="97" t="str">
        <f>IFERROR(__xludf.DUMMYFUNCTION("""COMPUTED_VALUE"""),"Sin Ficha")</f>
        <v>Sin Ficha</v>
      </c>
      <c r="BF766" s="97"/>
      <c r="BG766" s="97" t="str">
        <f>IFERROR(__xludf.DUMMYFUNCTION("""COMPUTED_VALUE"""),"Discontinuo")</f>
        <v>Discontinuo</v>
      </c>
    </row>
    <row r="767">
      <c r="A767" s="97">
        <f>IFERROR(__xludf.DUMMYFUNCTION("""COMPUTED_VALUE"""),6526.0)</f>
        <v>6526</v>
      </c>
      <c r="B767" s="97" t="str">
        <f>IFERROR(__xludf.DUMMYFUNCTION("""COMPUTED_VALUE"""),"HAUS NG")</f>
        <v>HAUS NG</v>
      </c>
      <c r="C767" s="97" t="str">
        <f>IFERROR(__xludf.DUMMYFUNCTION("""COMPUTED_VALUE"""),"VELADOR HAUS NEGRO LEUK")</f>
        <v>VELADOR HAUS NEGRO LEUK</v>
      </c>
      <c r="D767" s="97">
        <f>IFERROR(__xludf.DUMMYFUNCTION("""COMPUTED_VALUE"""),7.798413220995E12)</f>
        <v>7798413220995</v>
      </c>
      <c r="E767" s="97"/>
      <c r="F767" s="97" t="str">
        <f>IFERROR(__xludf.DUMMYFUNCTION("""COMPUTED_VALUE"""),"E27")</f>
        <v>E27</v>
      </c>
      <c r="G767" s="97" t="str">
        <f>IFERROR(__xludf.DUMMYFUNCTION("""COMPUTED_VALUE"""),"N/A")</f>
        <v>N/A</v>
      </c>
      <c r="H767" s="97" t="str">
        <f>IFERROR(__xludf.DUMMYFUNCTION("""COMPUTED_VALUE"""),"N/A")</f>
        <v>N/A</v>
      </c>
      <c r="I767" s="97" t="str">
        <f>IFERROR(__xludf.DUMMYFUNCTION("""COMPUTED_VALUE"""),"N/A")</f>
        <v>N/A</v>
      </c>
      <c r="J767" s="97"/>
      <c r="K767" s="97" t="str">
        <f>IFERROR(__xludf.DUMMYFUNCTION("""COMPUTED_VALUE"""),"N/A")</f>
        <v>N/A</v>
      </c>
      <c r="L767" s="97"/>
      <c r="M767" s="97"/>
      <c r="N767" s="97"/>
      <c r="O767" s="97"/>
      <c r="P767" s="97"/>
      <c r="Q767" s="97" t="str">
        <f>IFERROR(__xludf.DUMMYFUNCTION("""COMPUTED_VALUE"""),"-")</f>
        <v>-</v>
      </c>
      <c r="R767" s="97" t="str">
        <f>IFERROR(__xludf.DUMMYFUNCTION("""COMPUTED_VALUE"""),"-")</f>
        <v>-</v>
      </c>
      <c r="S767" s="97" t="str">
        <f>IFERROR(__xludf.DUMMYFUNCTION("""COMPUTED_VALUE"""),"-")</f>
        <v>-</v>
      </c>
      <c r="T767" s="97" t="str">
        <f>IFERROR(__xludf.DUMMYFUNCTION("""COMPUTED_VALUE"""),"-")</f>
        <v>-</v>
      </c>
      <c r="U767" s="97" t="str">
        <f>IFERROR(__xludf.DUMMYFUNCTION("""COMPUTED_VALUE"""),"-")</f>
        <v>-</v>
      </c>
      <c r="V767" s="97" t="str">
        <f>IFERROR(__xludf.DUMMYFUNCTION("""COMPUTED_VALUE"""),"N/A")</f>
        <v>N/A</v>
      </c>
      <c r="W767" s="97" t="str">
        <f>IFERROR(__xludf.DUMMYFUNCTION("""COMPUTED_VALUE"""),"N/A")</f>
        <v>N/A</v>
      </c>
      <c r="X767" s="97" t="str">
        <f>IFERROR(__xludf.DUMMYFUNCTION("""COMPUTED_VALUE"""),"-")</f>
        <v>-</v>
      </c>
      <c r="Y767" s="97" t="str">
        <f>IFERROR(__xludf.DUMMYFUNCTION("""COMPUTED_VALUE"""),"N/A")</f>
        <v>N/A</v>
      </c>
      <c r="Z767" s="97" t="str">
        <f>IFERROR(__xludf.DUMMYFUNCTION("""COMPUTED_VALUE"""),"N/A")</f>
        <v>N/A</v>
      </c>
      <c r="AA767" s="97" t="str">
        <f>IFERROR(__xludf.DUMMYFUNCTION("""COMPUTED_VALUE"""),"N/A")</f>
        <v>N/A</v>
      </c>
      <c r="AB767" s="97" t="str">
        <f>IFERROR(__xludf.DUMMYFUNCTION("""COMPUTED_VALUE"""),"N/A")</f>
        <v>N/A</v>
      </c>
      <c r="AC767" s="97" t="str">
        <f>IFERROR(__xludf.DUMMYFUNCTION("""COMPUTED_VALUE"""),"N/A")</f>
        <v>N/A</v>
      </c>
      <c r="AD767" s="97" t="str">
        <f>IFERROR(__xludf.DUMMYFUNCTION("""COMPUTED_VALUE"""),"IP20")</f>
        <v>IP20</v>
      </c>
      <c r="AE767" s="97" t="str">
        <f>IFERROR(__xludf.DUMMYFUNCTION("""COMPUTED_VALUE"""),"Clase ll")</f>
        <v>Clase ll</v>
      </c>
      <c r="AF767" s="97" t="str">
        <f>IFERROR(__xludf.DUMMYFUNCTION("""COMPUTED_VALUE"""),"Autoportante")</f>
        <v>Autoportante</v>
      </c>
      <c r="AG767" s="97"/>
      <c r="AH767" s="97"/>
      <c r="AI767" s="97"/>
      <c r="AJ767" s="97" t="str">
        <f>IFERROR(__xludf.DUMMYFUNCTION("""COMPUTED_VALUE"""),"Vidrio")</f>
        <v>Vidrio</v>
      </c>
      <c r="AK767" s="97" t="str">
        <f>IFERROR(__xludf.DUMMYFUNCTION("""COMPUTED_VALUE"""),"Madera")</f>
        <v>Madera</v>
      </c>
      <c r="AL767" s="97"/>
      <c r="AM767" s="97" t="str">
        <f>IFERROR(__xludf.DUMMYFUNCTION("""COMPUTED_VALUE"""),"-")</f>
        <v>-</v>
      </c>
      <c r="AN767" s="97" t="str">
        <f>IFERROR(__xludf.DUMMYFUNCTION("""COMPUTED_VALUE"""),"N/A")</f>
        <v>N/A</v>
      </c>
      <c r="AO767" s="97" t="str">
        <f>IFERROR(__xludf.DUMMYFUNCTION("""COMPUTED_VALUE"""),"1 Año")</f>
        <v>1 Año</v>
      </c>
      <c r="AP767" s="97" t="str">
        <f>IFERROR(__xludf.DUMMYFUNCTION("""COMPUTED_VALUE"""),"No Aplica")</f>
        <v>No Aplica</v>
      </c>
      <c r="AQ767" s="97" t="str">
        <f>IFERROR(__xludf.DUMMYFUNCTION("""COMPUTED_VALUE"""),"No Aplica")</f>
        <v>No Aplica</v>
      </c>
      <c r="AR767" s="97" t="str">
        <f>IFERROR(__xludf.DUMMYFUNCTION("""COMPUTED_VALUE"""),"No Aplica")</f>
        <v>No Aplica</v>
      </c>
      <c r="AS767" s="97"/>
      <c r="AT767" s="97"/>
      <c r="AU767" s="97"/>
      <c r="AV767" s="97" t="str">
        <f>IFERROR(__xludf.DUMMYFUNCTION("""COMPUTED_VALUE"""),"Mesa")</f>
        <v>Mesa</v>
      </c>
      <c r="AW767" s="97" t="str">
        <f>IFERROR(__xludf.DUMMYFUNCTION("""COMPUTED_VALUE"""),"De Apoyo")</f>
        <v>De Apoyo</v>
      </c>
      <c r="AX767" s="97" t="str">
        <f>IFERROR(__xludf.DUMMYFUNCTION("""COMPUTED_VALUE"""),"Interior")</f>
        <v>Interior</v>
      </c>
      <c r="AY767" s="97"/>
      <c r="AZ767" s="97"/>
      <c r="BA767" s="97"/>
      <c r="BB767" s="97"/>
      <c r="BC767" s="97"/>
      <c r="BD767" s="97" t="str">
        <f>IFERROR(__xludf.DUMMYFUNCTION("""COMPUTED_VALUE"""),"HAUS")</f>
        <v>HAUS</v>
      </c>
      <c r="BE767" s="97" t="str">
        <f>IFERROR(__xludf.DUMMYFUNCTION("""COMPUTED_VALUE"""),"Sin Ficha")</f>
        <v>Sin Ficha</v>
      </c>
      <c r="BF767" s="97"/>
      <c r="BG767" s="97" t="str">
        <f>IFERROR(__xludf.DUMMYFUNCTION("""COMPUTED_VALUE"""),"Discontinuo")</f>
        <v>Discontinuo</v>
      </c>
    </row>
    <row r="768">
      <c r="A768" s="97">
        <f>IFERROR(__xludf.DUMMYFUNCTION("""COMPUTED_VALUE"""),6527.0)</f>
        <v>6527</v>
      </c>
      <c r="B768" s="97" t="str">
        <f>IFERROR(__xludf.DUMMYFUNCTION("""COMPUTED_VALUE"""),"HAUS AM")</f>
        <v>HAUS AM</v>
      </c>
      <c r="C768" s="97" t="str">
        <f>IFERROR(__xludf.DUMMYFUNCTION("""COMPUTED_VALUE"""),"VELADOR HAUS AMARILLO LEUK")</f>
        <v>VELADOR HAUS AMARILLO LEUK</v>
      </c>
      <c r="D768" s="97">
        <f>IFERROR(__xludf.DUMMYFUNCTION("""COMPUTED_VALUE"""),7.798413221015E12)</f>
        <v>7798413221015</v>
      </c>
      <c r="E768" s="97"/>
      <c r="F768" s="97" t="str">
        <f>IFERROR(__xludf.DUMMYFUNCTION("""COMPUTED_VALUE"""),"E27")</f>
        <v>E27</v>
      </c>
      <c r="G768" s="97" t="str">
        <f>IFERROR(__xludf.DUMMYFUNCTION("""COMPUTED_VALUE"""),"N/A")</f>
        <v>N/A</v>
      </c>
      <c r="H768" s="97" t="str">
        <f>IFERROR(__xludf.DUMMYFUNCTION("""COMPUTED_VALUE"""),"N/A")</f>
        <v>N/A</v>
      </c>
      <c r="I768" s="97" t="str">
        <f>IFERROR(__xludf.DUMMYFUNCTION("""COMPUTED_VALUE"""),"N/A")</f>
        <v>N/A</v>
      </c>
      <c r="J768" s="97"/>
      <c r="K768" s="97" t="str">
        <f>IFERROR(__xludf.DUMMYFUNCTION("""COMPUTED_VALUE"""),"N/A")</f>
        <v>N/A</v>
      </c>
      <c r="L768" s="97"/>
      <c r="M768" s="97"/>
      <c r="N768" s="97"/>
      <c r="O768" s="97"/>
      <c r="P768" s="97"/>
      <c r="Q768" s="97" t="str">
        <f>IFERROR(__xludf.DUMMYFUNCTION("""COMPUTED_VALUE"""),"-")</f>
        <v>-</v>
      </c>
      <c r="R768" s="97" t="str">
        <f>IFERROR(__xludf.DUMMYFUNCTION("""COMPUTED_VALUE"""),"-")</f>
        <v>-</v>
      </c>
      <c r="S768" s="97" t="str">
        <f>IFERROR(__xludf.DUMMYFUNCTION("""COMPUTED_VALUE"""),"-")</f>
        <v>-</v>
      </c>
      <c r="T768" s="97" t="str">
        <f>IFERROR(__xludf.DUMMYFUNCTION("""COMPUTED_VALUE"""),"-")</f>
        <v>-</v>
      </c>
      <c r="U768" s="97" t="str">
        <f>IFERROR(__xludf.DUMMYFUNCTION("""COMPUTED_VALUE"""),"-")</f>
        <v>-</v>
      </c>
      <c r="V768" s="97" t="str">
        <f>IFERROR(__xludf.DUMMYFUNCTION("""COMPUTED_VALUE"""),"N/A")</f>
        <v>N/A</v>
      </c>
      <c r="W768" s="97" t="str">
        <f>IFERROR(__xludf.DUMMYFUNCTION("""COMPUTED_VALUE"""),"N/A")</f>
        <v>N/A</v>
      </c>
      <c r="X768" s="97" t="str">
        <f>IFERROR(__xludf.DUMMYFUNCTION("""COMPUTED_VALUE"""),"-")</f>
        <v>-</v>
      </c>
      <c r="Y768" s="97" t="str">
        <f>IFERROR(__xludf.DUMMYFUNCTION("""COMPUTED_VALUE"""),"N/A")</f>
        <v>N/A</v>
      </c>
      <c r="Z768" s="97" t="str">
        <f>IFERROR(__xludf.DUMMYFUNCTION("""COMPUTED_VALUE"""),"N/A")</f>
        <v>N/A</v>
      </c>
      <c r="AA768" s="97" t="str">
        <f>IFERROR(__xludf.DUMMYFUNCTION("""COMPUTED_VALUE"""),"N/A")</f>
        <v>N/A</v>
      </c>
      <c r="AB768" s="97" t="str">
        <f>IFERROR(__xludf.DUMMYFUNCTION("""COMPUTED_VALUE"""),"N/A")</f>
        <v>N/A</v>
      </c>
      <c r="AC768" s="97" t="str">
        <f>IFERROR(__xludf.DUMMYFUNCTION("""COMPUTED_VALUE"""),"N/A")</f>
        <v>N/A</v>
      </c>
      <c r="AD768" s="97" t="str">
        <f>IFERROR(__xludf.DUMMYFUNCTION("""COMPUTED_VALUE"""),"IP20")</f>
        <v>IP20</v>
      </c>
      <c r="AE768" s="97" t="str">
        <f>IFERROR(__xludf.DUMMYFUNCTION("""COMPUTED_VALUE"""),"Clase ll")</f>
        <v>Clase ll</v>
      </c>
      <c r="AF768" s="97" t="str">
        <f>IFERROR(__xludf.DUMMYFUNCTION("""COMPUTED_VALUE"""),"Autoportante")</f>
        <v>Autoportante</v>
      </c>
      <c r="AG768" s="97"/>
      <c r="AH768" s="97"/>
      <c r="AI768" s="97"/>
      <c r="AJ768" s="97" t="str">
        <f>IFERROR(__xludf.DUMMYFUNCTION("""COMPUTED_VALUE"""),"Vidrio")</f>
        <v>Vidrio</v>
      </c>
      <c r="AK768" s="97" t="str">
        <f>IFERROR(__xludf.DUMMYFUNCTION("""COMPUTED_VALUE"""),"Madera")</f>
        <v>Madera</v>
      </c>
      <c r="AL768" s="97"/>
      <c r="AM768" s="97" t="str">
        <f>IFERROR(__xludf.DUMMYFUNCTION("""COMPUTED_VALUE"""),"-")</f>
        <v>-</v>
      </c>
      <c r="AN768" s="97" t="str">
        <f>IFERROR(__xludf.DUMMYFUNCTION("""COMPUTED_VALUE"""),"N/A")</f>
        <v>N/A</v>
      </c>
      <c r="AO768" s="97" t="str">
        <f>IFERROR(__xludf.DUMMYFUNCTION("""COMPUTED_VALUE"""),"1 Año")</f>
        <v>1 Año</v>
      </c>
      <c r="AP768" s="97" t="str">
        <f>IFERROR(__xludf.DUMMYFUNCTION("""COMPUTED_VALUE"""),"No Aplica")</f>
        <v>No Aplica</v>
      </c>
      <c r="AQ768" s="97" t="str">
        <f>IFERROR(__xludf.DUMMYFUNCTION("""COMPUTED_VALUE"""),"No Aplica")</f>
        <v>No Aplica</v>
      </c>
      <c r="AR768" s="97" t="str">
        <f>IFERROR(__xludf.DUMMYFUNCTION("""COMPUTED_VALUE"""),"No Aplica")</f>
        <v>No Aplica</v>
      </c>
      <c r="AS768" s="97"/>
      <c r="AT768" s="97"/>
      <c r="AU768" s="97"/>
      <c r="AV768" s="97" t="str">
        <f>IFERROR(__xludf.DUMMYFUNCTION("""COMPUTED_VALUE"""),"Mesa")</f>
        <v>Mesa</v>
      </c>
      <c r="AW768" s="97" t="str">
        <f>IFERROR(__xludf.DUMMYFUNCTION("""COMPUTED_VALUE"""),"De Apoyo")</f>
        <v>De Apoyo</v>
      </c>
      <c r="AX768" s="97" t="str">
        <f>IFERROR(__xludf.DUMMYFUNCTION("""COMPUTED_VALUE"""),"Interior")</f>
        <v>Interior</v>
      </c>
      <c r="AY768" s="97"/>
      <c r="AZ768" s="97"/>
      <c r="BA768" s="97"/>
      <c r="BB768" s="97"/>
      <c r="BC768" s="97"/>
      <c r="BD768" s="97" t="str">
        <f>IFERROR(__xludf.DUMMYFUNCTION("""COMPUTED_VALUE"""),"HAUS")</f>
        <v>HAUS</v>
      </c>
      <c r="BE768" s="97" t="str">
        <f>IFERROR(__xludf.DUMMYFUNCTION("""COMPUTED_VALUE"""),"Sin Ficha")</f>
        <v>Sin Ficha</v>
      </c>
      <c r="BF768" s="97"/>
      <c r="BG768" s="97" t="str">
        <f>IFERROR(__xludf.DUMMYFUNCTION("""COMPUTED_VALUE"""),"Discontinuo")</f>
        <v>Discontinuo</v>
      </c>
    </row>
    <row r="769">
      <c r="A769" s="97">
        <f>IFERROR(__xludf.DUMMYFUNCTION("""COMPUTED_VALUE"""),6528.0)</f>
        <v>6528</v>
      </c>
      <c r="B769" s="97" t="str">
        <f>IFERROR(__xludf.DUMMYFUNCTION("""COMPUTED_VALUE"""),"HAUS RS")</f>
        <v>HAUS RS</v>
      </c>
      <c r="C769" s="97" t="str">
        <f>IFERROR(__xludf.DUMMYFUNCTION("""COMPUTED_VALUE"""),"VELADOR HAUS ROSA LEUK")</f>
        <v>VELADOR HAUS ROSA LEUK</v>
      </c>
      <c r="D769" s="97">
        <f>IFERROR(__xludf.DUMMYFUNCTION("""COMPUTED_VALUE"""),7.798413221022E12)</f>
        <v>7798413221022</v>
      </c>
      <c r="E769" s="97"/>
      <c r="F769" s="97" t="str">
        <f>IFERROR(__xludf.DUMMYFUNCTION("""COMPUTED_VALUE"""),"E27")</f>
        <v>E27</v>
      </c>
      <c r="G769" s="97" t="str">
        <f>IFERROR(__xludf.DUMMYFUNCTION("""COMPUTED_VALUE"""),"N/A")</f>
        <v>N/A</v>
      </c>
      <c r="H769" s="97" t="str">
        <f>IFERROR(__xludf.DUMMYFUNCTION("""COMPUTED_VALUE"""),"N/A")</f>
        <v>N/A</v>
      </c>
      <c r="I769" s="97" t="str">
        <f>IFERROR(__xludf.DUMMYFUNCTION("""COMPUTED_VALUE"""),"N/A")</f>
        <v>N/A</v>
      </c>
      <c r="J769" s="97"/>
      <c r="K769" s="97" t="str">
        <f>IFERROR(__xludf.DUMMYFUNCTION("""COMPUTED_VALUE"""),"N/A")</f>
        <v>N/A</v>
      </c>
      <c r="L769" s="97"/>
      <c r="M769" s="97"/>
      <c r="N769" s="97"/>
      <c r="O769" s="97"/>
      <c r="P769" s="97"/>
      <c r="Q769" s="97" t="str">
        <f>IFERROR(__xludf.DUMMYFUNCTION("""COMPUTED_VALUE"""),"-")</f>
        <v>-</v>
      </c>
      <c r="R769" s="97" t="str">
        <f>IFERROR(__xludf.DUMMYFUNCTION("""COMPUTED_VALUE"""),"-")</f>
        <v>-</v>
      </c>
      <c r="S769" s="97" t="str">
        <f>IFERROR(__xludf.DUMMYFUNCTION("""COMPUTED_VALUE"""),"-")</f>
        <v>-</v>
      </c>
      <c r="T769" s="97" t="str">
        <f>IFERROR(__xludf.DUMMYFUNCTION("""COMPUTED_VALUE"""),"-")</f>
        <v>-</v>
      </c>
      <c r="U769" s="97" t="str">
        <f>IFERROR(__xludf.DUMMYFUNCTION("""COMPUTED_VALUE"""),"-")</f>
        <v>-</v>
      </c>
      <c r="V769" s="97" t="str">
        <f>IFERROR(__xludf.DUMMYFUNCTION("""COMPUTED_VALUE"""),"N/A")</f>
        <v>N/A</v>
      </c>
      <c r="W769" s="97" t="str">
        <f>IFERROR(__xludf.DUMMYFUNCTION("""COMPUTED_VALUE"""),"N/A")</f>
        <v>N/A</v>
      </c>
      <c r="X769" s="97" t="str">
        <f>IFERROR(__xludf.DUMMYFUNCTION("""COMPUTED_VALUE"""),"-")</f>
        <v>-</v>
      </c>
      <c r="Y769" s="97" t="str">
        <f>IFERROR(__xludf.DUMMYFUNCTION("""COMPUTED_VALUE"""),"N/A")</f>
        <v>N/A</v>
      </c>
      <c r="Z769" s="97" t="str">
        <f>IFERROR(__xludf.DUMMYFUNCTION("""COMPUTED_VALUE"""),"N/A")</f>
        <v>N/A</v>
      </c>
      <c r="AA769" s="97" t="str">
        <f>IFERROR(__xludf.DUMMYFUNCTION("""COMPUTED_VALUE"""),"N/A")</f>
        <v>N/A</v>
      </c>
      <c r="AB769" s="97" t="str">
        <f>IFERROR(__xludf.DUMMYFUNCTION("""COMPUTED_VALUE"""),"N/A")</f>
        <v>N/A</v>
      </c>
      <c r="AC769" s="97" t="str">
        <f>IFERROR(__xludf.DUMMYFUNCTION("""COMPUTED_VALUE"""),"N/A")</f>
        <v>N/A</v>
      </c>
      <c r="AD769" s="97" t="str">
        <f>IFERROR(__xludf.DUMMYFUNCTION("""COMPUTED_VALUE"""),"IP20")</f>
        <v>IP20</v>
      </c>
      <c r="AE769" s="97" t="str">
        <f>IFERROR(__xludf.DUMMYFUNCTION("""COMPUTED_VALUE"""),"Clase ll")</f>
        <v>Clase ll</v>
      </c>
      <c r="AF769" s="97" t="str">
        <f>IFERROR(__xludf.DUMMYFUNCTION("""COMPUTED_VALUE"""),"Autoportante")</f>
        <v>Autoportante</v>
      </c>
      <c r="AG769" s="97"/>
      <c r="AH769" s="97"/>
      <c r="AI769" s="97"/>
      <c r="AJ769" s="97" t="str">
        <f>IFERROR(__xludf.DUMMYFUNCTION("""COMPUTED_VALUE"""),"Vidrio")</f>
        <v>Vidrio</v>
      </c>
      <c r="AK769" s="97" t="str">
        <f>IFERROR(__xludf.DUMMYFUNCTION("""COMPUTED_VALUE"""),"Madera")</f>
        <v>Madera</v>
      </c>
      <c r="AL769" s="97"/>
      <c r="AM769" s="97" t="str">
        <f>IFERROR(__xludf.DUMMYFUNCTION("""COMPUTED_VALUE"""),"-")</f>
        <v>-</v>
      </c>
      <c r="AN769" s="97" t="str">
        <f>IFERROR(__xludf.DUMMYFUNCTION("""COMPUTED_VALUE"""),"N/A")</f>
        <v>N/A</v>
      </c>
      <c r="AO769" s="97" t="str">
        <f>IFERROR(__xludf.DUMMYFUNCTION("""COMPUTED_VALUE"""),"1 Año")</f>
        <v>1 Año</v>
      </c>
      <c r="AP769" s="97" t="str">
        <f>IFERROR(__xludf.DUMMYFUNCTION("""COMPUTED_VALUE"""),"No Aplica")</f>
        <v>No Aplica</v>
      </c>
      <c r="AQ769" s="97" t="str">
        <f>IFERROR(__xludf.DUMMYFUNCTION("""COMPUTED_VALUE"""),"No Aplica")</f>
        <v>No Aplica</v>
      </c>
      <c r="AR769" s="97" t="str">
        <f>IFERROR(__xludf.DUMMYFUNCTION("""COMPUTED_VALUE"""),"No Aplica")</f>
        <v>No Aplica</v>
      </c>
      <c r="AS769" s="97"/>
      <c r="AT769" s="97"/>
      <c r="AU769" s="97"/>
      <c r="AV769" s="97" t="str">
        <f>IFERROR(__xludf.DUMMYFUNCTION("""COMPUTED_VALUE"""),"Mesa")</f>
        <v>Mesa</v>
      </c>
      <c r="AW769" s="97" t="str">
        <f>IFERROR(__xludf.DUMMYFUNCTION("""COMPUTED_VALUE"""),"De Apoyo")</f>
        <v>De Apoyo</v>
      </c>
      <c r="AX769" s="97" t="str">
        <f>IFERROR(__xludf.DUMMYFUNCTION("""COMPUTED_VALUE"""),"Interior")</f>
        <v>Interior</v>
      </c>
      <c r="AY769" s="97"/>
      <c r="AZ769" s="97"/>
      <c r="BA769" s="97"/>
      <c r="BB769" s="97"/>
      <c r="BC769" s="97"/>
      <c r="BD769" s="97" t="str">
        <f>IFERROR(__xludf.DUMMYFUNCTION("""COMPUTED_VALUE"""),"HAUS")</f>
        <v>HAUS</v>
      </c>
      <c r="BE769" s="97" t="str">
        <f>IFERROR(__xludf.DUMMYFUNCTION("""COMPUTED_VALUE"""),"Sin Ficha")</f>
        <v>Sin Ficha</v>
      </c>
      <c r="BF769" s="97"/>
      <c r="BG769" s="97" t="str">
        <f>IFERROR(__xludf.DUMMYFUNCTION("""COMPUTED_VALUE"""),"Discontinuo")</f>
        <v>Discontinuo</v>
      </c>
    </row>
    <row r="770">
      <c r="A770" s="97">
        <f>IFERROR(__xludf.DUMMYFUNCTION("""COMPUTED_VALUE"""),6529.0)</f>
        <v>6529</v>
      </c>
      <c r="B770" s="97" t="str">
        <f>IFERROR(__xludf.DUMMYFUNCTION("""COMPUTED_VALUE"""),"HAUS NT")</f>
        <v>HAUS NT</v>
      </c>
      <c r="C770" s="97" t="str">
        <f>IFERROR(__xludf.DUMMYFUNCTION("""COMPUTED_VALUE"""),"VELADOR HAUS TRANSPARENTE LEUK")</f>
        <v>VELADOR HAUS TRANSPARENTE LEUK</v>
      </c>
      <c r="D770" s="99">
        <f>IFERROR(__xludf.DUMMYFUNCTION("""COMPUTED_VALUE"""),7.798413221039E12)</f>
        <v>7798413221039</v>
      </c>
      <c r="E770" s="97"/>
      <c r="F770" s="97" t="str">
        <f>IFERROR(__xludf.DUMMYFUNCTION("""COMPUTED_VALUE"""),"E27")</f>
        <v>E27</v>
      </c>
      <c r="G770" s="97" t="str">
        <f>IFERROR(__xludf.DUMMYFUNCTION("""COMPUTED_VALUE"""),"N/A")</f>
        <v>N/A</v>
      </c>
      <c r="H770" s="97" t="str">
        <f>IFERROR(__xludf.DUMMYFUNCTION("""COMPUTED_VALUE"""),"N/A")</f>
        <v>N/A</v>
      </c>
      <c r="I770" s="97" t="str">
        <f>IFERROR(__xludf.DUMMYFUNCTION("""COMPUTED_VALUE"""),"N/A")</f>
        <v>N/A</v>
      </c>
      <c r="J770" s="97"/>
      <c r="K770" s="97" t="str">
        <f>IFERROR(__xludf.DUMMYFUNCTION("""COMPUTED_VALUE"""),"N/A")</f>
        <v>N/A</v>
      </c>
      <c r="L770" s="97"/>
      <c r="M770" s="97"/>
      <c r="N770" s="97"/>
      <c r="O770" s="97"/>
      <c r="P770" s="97"/>
      <c r="Q770" s="97" t="str">
        <f>IFERROR(__xludf.DUMMYFUNCTION("""COMPUTED_VALUE"""),"-")</f>
        <v>-</v>
      </c>
      <c r="R770" s="97" t="str">
        <f>IFERROR(__xludf.DUMMYFUNCTION("""COMPUTED_VALUE"""),"-")</f>
        <v>-</v>
      </c>
      <c r="S770" s="97" t="str">
        <f>IFERROR(__xludf.DUMMYFUNCTION("""COMPUTED_VALUE"""),"-")</f>
        <v>-</v>
      </c>
      <c r="T770" s="97" t="str">
        <f>IFERROR(__xludf.DUMMYFUNCTION("""COMPUTED_VALUE"""),"-")</f>
        <v>-</v>
      </c>
      <c r="U770" s="97" t="str">
        <f>IFERROR(__xludf.DUMMYFUNCTION("""COMPUTED_VALUE"""),"-")</f>
        <v>-</v>
      </c>
      <c r="V770" s="97" t="str">
        <f>IFERROR(__xludf.DUMMYFUNCTION("""COMPUTED_VALUE"""),"N/A")</f>
        <v>N/A</v>
      </c>
      <c r="W770" s="97" t="str">
        <f>IFERROR(__xludf.DUMMYFUNCTION("""COMPUTED_VALUE"""),"N/A")</f>
        <v>N/A</v>
      </c>
      <c r="X770" s="97" t="str">
        <f>IFERROR(__xludf.DUMMYFUNCTION("""COMPUTED_VALUE"""),"-")</f>
        <v>-</v>
      </c>
      <c r="Y770" s="97" t="str">
        <f>IFERROR(__xludf.DUMMYFUNCTION("""COMPUTED_VALUE"""),"N/A")</f>
        <v>N/A</v>
      </c>
      <c r="Z770" s="97" t="str">
        <f>IFERROR(__xludf.DUMMYFUNCTION("""COMPUTED_VALUE"""),"N/A")</f>
        <v>N/A</v>
      </c>
      <c r="AA770" s="97" t="str">
        <f>IFERROR(__xludf.DUMMYFUNCTION("""COMPUTED_VALUE"""),"N/A")</f>
        <v>N/A</v>
      </c>
      <c r="AB770" s="97" t="str">
        <f>IFERROR(__xludf.DUMMYFUNCTION("""COMPUTED_VALUE"""),"N/A")</f>
        <v>N/A</v>
      </c>
      <c r="AC770" s="97" t="str">
        <f>IFERROR(__xludf.DUMMYFUNCTION("""COMPUTED_VALUE"""),"N/A")</f>
        <v>N/A</v>
      </c>
      <c r="AD770" s="97" t="str">
        <f>IFERROR(__xludf.DUMMYFUNCTION("""COMPUTED_VALUE"""),"IP20")</f>
        <v>IP20</v>
      </c>
      <c r="AE770" s="97" t="str">
        <f>IFERROR(__xludf.DUMMYFUNCTION("""COMPUTED_VALUE"""),"Clase ll")</f>
        <v>Clase ll</v>
      </c>
      <c r="AF770" s="97" t="str">
        <f>IFERROR(__xludf.DUMMYFUNCTION("""COMPUTED_VALUE"""),"Autoportante")</f>
        <v>Autoportante</v>
      </c>
      <c r="AG770" s="97"/>
      <c r="AH770" s="97"/>
      <c r="AI770" s="97"/>
      <c r="AJ770" s="97" t="str">
        <f>IFERROR(__xludf.DUMMYFUNCTION("""COMPUTED_VALUE"""),"Vidrio")</f>
        <v>Vidrio</v>
      </c>
      <c r="AK770" s="97" t="str">
        <f>IFERROR(__xludf.DUMMYFUNCTION("""COMPUTED_VALUE"""),"Acrilico")</f>
        <v>Acrilico</v>
      </c>
      <c r="AL770" s="97"/>
      <c r="AM770" s="97" t="str">
        <f>IFERROR(__xludf.DUMMYFUNCTION("""COMPUTED_VALUE"""),"-")</f>
        <v>-</v>
      </c>
      <c r="AN770" s="97" t="str">
        <f>IFERROR(__xludf.DUMMYFUNCTION("""COMPUTED_VALUE"""),"N/A")</f>
        <v>N/A</v>
      </c>
      <c r="AO770" s="97" t="str">
        <f>IFERROR(__xludf.DUMMYFUNCTION("""COMPUTED_VALUE"""),"1 Año")</f>
        <v>1 Año</v>
      </c>
      <c r="AP770" s="97" t="str">
        <f>IFERROR(__xludf.DUMMYFUNCTION("""COMPUTED_VALUE"""),"No Aplica")</f>
        <v>No Aplica</v>
      </c>
      <c r="AQ770" s="97" t="str">
        <f>IFERROR(__xludf.DUMMYFUNCTION("""COMPUTED_VALUE"""),"No Aplica")</f>
        <v>No Aplica</v>
      </c>
      <c r="AR770" s="97" t="str">
        <f>IFERROR(__xludf.DUMMYFUNCTION("""COMPUTED_VALUE"""),"No Aplica")</f>
        <v>No Aplica</v>
      </c>
      <c r="AS770" s="97"/>
      <c r="AT770" s="97"/>
      <c r="AU770" s="97"/>
      <c r="AV770" s="97" t="str">
        <f>IFERROR(__xludf.DUMMYFUNCTION("""COMPUTED_VALUE"""),"Mesa")</f>
        <v>Mesa</v>
      </c>
      <c r="AW770" s="97" t="str">
        <f>IFERROR(__xludf.DUMMYFUNCTION("""COMPUTED_VALUE"""),"De Apoyo")</f>
        <v>De Apoyo</v>
      </c>
      <c r="AX770" s="97" t="str">
        <f>IFERROR(__xludf.DUMMYFUNCTION("""COMPUTED_VALUE"""),"Interior")</f>
        <v>Interior</v>
      </c>
      <c r="AY770" s="97"/>
      <c r="AZ770" s="97"/>
      <c r="BA770" s="97"/>
      <c r="BB770" s="97"/>
      <c r="BC770" s="97"/>
      <c r="BD770" s="97" t="str">
        <f>IFERROR(__xludf.DUMMYFUNCTION("""COMPUTED_VALUE"""),"HAUS")</f>
        <v>HAUS</v>
      </c>
      <c r="BE770" s="97" t="str">
        <f>IFERROR(__xludf.DUMMYFUNCTION("""COMPUTED_VALUE"""),"Sin Ficha")</f>
        <v>Sin Ficha</v>
      </c>
      <c r="BF770" s="97"/>
      <c r="BG770" s="97" t="str">
        <f>IFERROR(__xludf.DUMMYFUNCTION("""COMPUTED_VALUE"""),"Discontinuo")</f>
        <v>Discontinuo</v>
      </c>
    </row>
    <row r="771">
      <c r="A771" s="97">
        <f>IFERROR(__xludf.DUMMYFUNCTION("""COMPUTED_VALUE"""),6530.0)</f>
        <v>6530</v>
      </c>
      <c r="B771" s="97" t="str">
        <f>IFERROR(__xludf.DUMMYFUNCTION("""COMPUTED_VALUE"""),"HANGIT MS BL")</f>
        <v>HANGIT MS BL</v>
      </c>
      <c r="C771" s="97" t="str">
        <f>IFERROR(__xludf.DUMMYFUNCTION("""COMPUTED_VALUE"""),"VELADOR HANGIT BLANCO LEUK")</f>
        <v>VELADOR HANGIT BLANCO LEUK</v>
      </c>
      <c r="D771" s="99">
        <f>IFERROR(__xludf.DUMMYFUNCTION("""COMPUTED_VALUE"""),7.798413221046E12)</f>
        <v>7798413221046</v>
      </c>
      <c r="E771" s="97"/>
      <c r="F771" s="97" t="str">
        <f>IFERROR(__xludf.DUMMYFUNCTION("""COMPUTED_VALUE"""),"E27")</f>
        <v>E27</v>
      </c>
      <c r="G771" s="97" t="str">
        <f>IFERROR(__xludf.DUMMYFUNCTION("""COMPUTED_VALUE"""),"N/A")</f>
        <v>N/A</v>
      </c>
      <c r="H771" s="97" t="str">
        <f>IFERROR(__xludf.DUMMYFUNCTION("""COMPUTED_VALUE"""),"N/A")</f>
        <v>N/A</v>
      </c>
      <c r="I771" s="97" t="str">
        <f>IFERROR(__xludf.DUMMYFUNCTION("""COMPUTED_VALUE"""),"N/A")</f>
        <v>N/A</v>
      </c>
      <c r="J771" s="97"/>
      <c r="K771" s="97" t="str">
        <f>IFERROR(__xludf.DUMMYFUNCTION("""COMPUTED_VALUE"""),"N/A")</f>
        <v>N/A</v>
      </c>
      <c r="L771" s="97"/>
      <c r="M771" s="97"/>
      <c r="N771" s="97"/>
      <c r="O771" s="97"/>
      <c r="P771" s="97"/>
      <c r="Q771" s="97" t="str">
        <f>IFERROR(__xludf.DUMMYFUNCTION("""COMPUTED_VALUE"""),"-")</f>
        <v>-</v>
      </c>
      <c r="R771" s="97" t="str">
        <f>IFERROR(__xludf.DUMMYFUNCTION("""COMPUTED_VALUE"""),"-")</f>
        <v>-</v>
      </c>
      <c r="S771" s="97" t="str">
        <f>IFERROR(__xludf.DUMMYFUNCTION("""COMPUTED_VALUE"""),"-")</f>
        <v>-</v>
      </c>
      <c r="T771" s="97" t="str">
        <f>IFERROR(__xludf.DUMMYFUNCTION("""COMPUTED_VALUE"""),"-")</f>
        <v>-</v>
      </c>
      <c r="U771" s="97" t="str">
        <f>IFERROR(__xludf.DUMMYFUNCTION("""COMPUTED_VALUE"""),"-")</f>
        <v>-</v>
      </c>
      <c r="V771" s="97" t="str">
        <f>IFERROR(__xludf.DUMMYFUNCTION("""COMPUTED_VALUE"""),"N/A")</f>
        <v>N/A</v>
      </c>
      <c r="W771" s="97" t="str">
        <f>IFERROR(__xludf.DUMMYFUNCTION("""COMPUTED_VALUE"""),"N/A")</f>
        <v>N/A</v>
      </c>
      <c r="X771" s="97" t="str">
        <f>IFERROR(__xludf.DUMMYFUNCTION("""COMPUTED_VALUE"""),"-")</f>
        <v>-</v>
      </c>
      <c r="Y771" s="97" t="str">
        <f>IFERROR(__xludf.DUMMYFUNCTION("""COMPUTED_VALUE"""),"N/A")</f>
        <v>N/A</v>
      </c>
      <c r="Z771" s="97" t="str">
        <f>IFERROR(__xludf.DUMMYFUNCTION("""COMPUTED_VALUE"""),"N/A")</f>
        <v>N/A</v>
      </c>
      <c r="AA771" s="97" t="str">
        <f>IFERROR(__xludf.DUMMYFUNCTION("""COMPUTED_VALUE"""),"N/A")</f>
        <v>N/A</v>
      </c>
      <c r="AB771" s="97" t="str">
        <f>IFERROR(__xludf.DUMMYFUNCTION("""COMPUTED_VALUE"""),"N/A")</f>
        <v>N/A</v>
      </c>
      <c r="AC771" s="97" t="str">
        <f>IFERROR(__xludf.DUMMYFUNCTION("""COMPUTED_VALUE"""),"N/A")</f>
        <v>N/A</v>
      </c>
      <c r="AD771" s="97" t="str">
        <f>IFERROR(__xludf.DUMMYFUNCTION("""COMPUTED_VALUE"""),"IP20")</f>
        <v>IP20</v>
      </c>
      <c r="AE771" s="97" t="str">
        <f>IFERROR(__xludf.DUMMYFUNCTION("""COMPUTED_VALUE"""),"Clase ll")</f>
        <v>Clase ll</v>
      </c>
      <c r="AF771" s="97" t="str">
        <f>IFERROR(__xludf.DUMMYFUNCTION("""COMPUTED_VALUE"""),"Autoportante")</f>
        <v>Autoportante</v>
      </c>
      <c r="AG771" s="97"/>
      <c r="AH771" s="97"/>
      <c r="AI771" s="97"/>
      <c r="AJ771" s="97" t="str">
        <f>IFERROR(__xludf.DUMMYFUNCTION("""COMPUTED_VALUE"""),"Vidrio")</f>
        <v>Vidrio</v>
      </c>
      <c r="AK771" s="97" t="str">
        <f>IFERROR(__xludf.DUMMYFUNCTION("""COMPUTED_VALUE"""),"Acero")</f>
        <v>Acero</v>
      </c>
      <c r="AL771" s="97"/>
      <c r="AM771" s="97" t="str">
        <f>IFERROR(__xludf.DUMMYFUNCTION("""COMPUTED_VALUE"""),"-")</f>
        <v>-</v>
      </c>
      <c r="AN771" s="97" t="str">
        <f>IFERROR(__xludf.DUMMYFUNCTION("""COMPUTED_VALUE"""),"N/A")</f>
        <v>N/A</v>
      </c>
      <c r="AO771" s="97" t="str">
        <f>IFERROR(__xludf.DUMMYFUNCTION("""COMPUTED_VALUE"""),"1 Año")</f>
        <v>1 Año</v>
      </c>
      <c r="AP771" s="97" t="str">
        <f>IFERROR(__xludf.DUMMYFUNCTION("""COMPUTED_VALUE"""),"No Aplica")</f>
        <v>No Aplica</v>
      </c>
      <c r="AQ771" s="97" t="str">
        <f>IFERROR(__xludf.DUMMYFUNCTION("""COMPUTED_VALUE"""),"No Aplica")</f>
        <v>No Aplica</v>
      </c>
      <c r="AR771" s="97" t="str">
        <f>IFERROR(__xludf.DUMMYFUNCTION("""COMPUTED_VALUE"""),"No Aplica")</f>
        <v>No Aplica</v>
      </c>
      <c r="AS771" s="97"/>
      <c r="AT771" s="97"/>
      <c r="AU771" s="97"/>
      <c r="AV771" s="97" t="str">
        <f>IFERROR(__xludf.DUMMYFUNCTION("""COMPUTED_VALUE"""),"Mesa")</f>
        <v>Mesa</v>
      </c>
      <c r="AW771" s="97" t="str">
        <f>IFERROR(__xludf.DUMMYFUNCTION("""COMPUTED_VALUE"""),"De Apoyo")</f>
        <v>De Apoyo</v>
      </c>
      <c r="AX771" s="97" t="str">
        <f>IFERROR(__xludf.DUMMYFUNCTION("""COMPUTED_VALUE"""),"Interior")</f>
        <v>Interior</v>
      </c>
      <c r="AY771" s="97"/>
      <c r="AZ771" s="97"/>
      <c r="BA771" s="97"/>
      <c r="BB771" s="97"/>
      <c r="BC771" s="97"/>
      <c r="BD771" s="97" t="str">
        <f>IFERROR(__xludf.DUMMYFUNCTION("""COMPUTED_VALUE"""),"HANGI")</f>
        <v>HANGI</v>
      </c>
      <c r="BE771" s="97" t="str">
        <f>IFERROR(__xludf.DUMMYFUNCTION("""COMPUTED_VALUE"""),"Sin Ficha")</f>
        <v>Sin Ficha</v>
      </c>
      <c r="BF771" s="97"/>
      <c r="BG771" s="97" t="str">
        <f>IFERROR(__xludf.DUMMYFUNCTION("""COMPUTED_VALUE"""),"Discontinuo")</f>
        <v>Discontinuo</v>
      </c>
    </row>
    <row r="772">
      <c r="A772" s="97">
        <f>IFERROR(__xludf.DUMMYFUNCTION("""COMPUTED_VALUE"""),6531.0)</f>
        <v>6531</v>
      </c>
      <c r="B772" s="97" t="str">
        <f>IFERROR(__xludf.DUMMYFUNCTION("""COMPUTED_VALUE"""),"HANGIT MS NG")</f>
        <v>HANGIT MS NG</v>
      </c>
      <c r="C772" s="97" t="str">
        <f>IFERROR(__xludf.DUMMYFUNCTION("""COMPUTED_VALUE"""),"VELADOR HANGIT NEGRO LEUK")</f>
        <v>VELADOR HANGIT NEGRO LEUK</v>
      </c>
      <c r="D772" s="99">
        <f>IFERROR(__xludf.DUMMYFUNCTION("""COMPUTED_VALUE"""),7.798413221053E12)</f>
        <v>7798413221053</v>
      </c>
      <c r="E772" s="97"/>
      <c r="F772" s="97" t="str">
        <f>IFERROR(__xludf.DUMMYFUNCTION("""COMPUTED_VALUE"""),"E27")</f>
        <v>E27</v>
      </c>
      <c r="G772" s="97" t="str">
        <f>IFERROR(__xludf.DUMMYFUNCTION("""COMPUTED_VALUE"""),"N/A")</f>
        <v>N/A</v>
      </c>
      <c r="H772" s="97" t="str">
        <f>IFERROR(__xludf.DUMMYFUNCTION("""COMPUTED_VALUE"""),"N/A")</f>
        <v>N/A</v>
      </c>
      <c r="I772" s="97" t="str">
        <f>IFERROR(__xludf.DUMMYFUNCTION("""COMPUTED_VALUE"""),"N/A")</f>
        <v>N/A</v>
      </c>
      <c r="J772" s="97"/>
      <c r="K772" s="97" t="str">
        <f>IFERROR(__xludf.DUMMYFUNCTION("""COMPUTED_VALUE"""),"N/A")</f>
        <v>N/A</v>
      </c>
      <c r="L772" s="97"/>
      <c r="M772" s="97"/>
      <c r="N772" s="97"/>
      <c r="O772" s="97"/>
      <c r="P772" s="97"/>
      <c r="Q772" s="97" t="str">
        <f>IFERROR(__xludf.DUMMYFUNCTION("""COMPUTED_VALUE"""),"-")</f>
        <v>-</v>
      </c>
      <c r="R772" s="97" t="str">
        <f>IFERROR(__xludf.DUMMYFUNCTION("""COMPUTED_VALUE"""),"-")</f>
        <v>-</v>
      </c>
      <c r="S772" s="97" t="str">
        <f>IFERROR(__xludf.DUMMYFUNCTION("""COMPUTED_VALUE"""),"-")</f>
        <v>-</v>
      </c>
      <c r="T772" s="97" t="str">
        <f>IFERROR(__xludf.DUMMYFUNCTION("""COMPUTED_VALUE"""),"-")</f>
        <v>-</v>
      </c>
      <c r="U772" s="97" t="str">
        <f>IFERROR(__xludf.DUMMYFUNCTION("""COMPUTED_VALUE"""),"-")</f>
        <v>-</v>
      </c>
      <c r="V772" s="97" t="str">
        <f>IFERROR(__xludf.DUMMYFUNCTION("""COMPUTED_VALUE"""),"N/A")</f>
        <v>N/A</v>
      </c>
      <c r="W772" s="97" t="str">
        <f>IFERROR(__xludf.DUMMYFUNCTION("""COMPUTED_VALUE"""),"N/A")</f>
        <v>N/A</v>
      </c>
      <c r="X772" s="97" t="str">
        <f>IFERROR(__xludf.DUMMYFUNCTION("""COMPUTED_VALUE"""),"-")</f>
        <v>-</v>
      </c>
      <c r="Y772" s="97" t="str">
        <f>IFERROR(__xludf.DUMMYFUNCTION("""COMPUTED_VALUE"""),"N/A")</f>
        <v>N/A</v>
      </c>
      <c r="Z772" s="97" t="str">
        <f>IFERROR(__xludf.DUMMYFUNCTION("""COMPUTED_VALUE"""),"N/A")</f>
        <v>N/A</v>
      </c>
      <c r="AA772" s="97" t="str">
        <f>IFERROR(__xludf.DUMMYFUNCTION("""COMPUTED_VALUE"""),"N/A")</f>
        <v>N/A</v>
      </c>
      <c r="AB772" s="97" t="str">
        <f>IFERROR(__xludf.DUMMYFUNCTION("""COMPUTED_VALUE"""),"N/A")</f>
        <v>N/A</v>
      </c>
      <c r="AC772" s="97" t="str">
        <f>IFERROR(__xludf.DUMMYFUNCTION("""COMPUTED_VALUE"""),"N/A")</f>
        <v>N/A</v>
      </c>
      <c r="AD772" s="97" t="str">
        <f>IFERROR(__xludf.DUMMYFUNCTION("""COMPUTED_VALUE"""),"IP20")</f>
        <v>IP20</v>
      </c>
      <c r="AE772" s="97" t="str">
        <f>IFERROR(__xludf.DUMMYFUNCTION("""COMPUTED_VALUE"""),"Clase ll")</f>
        <v>Clase ll</v>
      </c>
      <c r="AF772" s="97" t="str">
        <f>IFERROR(__xludf.DUMMYFUNCTION("""COMPUTED_VALUE"""),"Autoportante")</f>
        <v>Autoportante</v>
      </c>
      <c r="AG772" s="97"/>
      <c r="AH772" s="97"/>
      <c r="AI772" s="97"/>
      <c r="AJ772" s="97" t="str">
        <f>IFERROR(__xludf.DUMMYFUNCTION("""COMPUTED_VALUE"""),"Vidrio")</f>
        <v>Vidrio</v>
      </c>
      <c r="AK772" s="97" t="str">
        <f>IFERROR(__xludf.DUMMYFUNCTION("""COMPUTED_VALUE"""),"Acero")</f>
        <v>Acero</v>
      </c>
      <c r="AL772" s="97"/>
      <c r="AM772" s="97" t="str">
        <f>IFERROR(__xludf.DUMMYFUNCTION("""COMPUTED_VALUE"""),"-")</f>
        <v>-</v>
      </c>
      <c r="AN772" s="97" t="str">
        <f>IFERROR(__xludf.DUMMYFUNCTION("""COMPUTED_VALUE"""),"N/A")</f>
        <v>N/A</v>
      </c>
      <c r="AO772" s="97" t="str">
        <f>IFERROR(__xludf.DUMMYFUNCTION("""COMPUTED_VALUE"""),"1 Año")</f>
        <v>1 Año</v>
      </c>
      <c r="AP772" s="97" t="str">
        <f>IFERROR(__xludf.DUMMYFUNCTION("""COMPUTED_VALUE"""),"No Aplica")</f>
        <v>No Aplica</v>
      </c>
      <c r="AQ772" s="97" t="str">
        <f>IFERROR(__xludf.DUMMYFUNCTION("""COMPUTED_VALUE"""),"No Aplica")</f>
        <v>No Aplica</v>
      </c>
      <c r="AR772" s="97" t="str">
        <f>IFERROR(__xludf.DUMMYFUNCTION("""COMPUTED_VALUE"""),"No Aplica")</f>
        <v>No Aplica</v>
      </c>
      <c r="AS772" s="97"/>
      <c r="AT772" s="97"/>
      <c r="AU772" s="97"/>
      <c r="AV772" s="97" t="str">
        <f>IFERROR(__xludf.DUMMYFUNCTION("""COMPUTED_VALUE"""),"Mesa")</f>
        <v>Mesa</v>
      </c>
      <c r="AW772" s="97" t="str">
        <f>IFERROR(__xludf.DUMMYFUNCTION("""COMPUTED_VALUE"""),"De Apoyo")</f>
        <v>De Apoyo</v>
      </c>
      <c r="AX772" s="97" t="str">
        <f>IFERROR(__xludf.DUMMYFUNCTION("""COMPUTED_VALUE"""),"Interior")</f>
        <v>Interior</v>
      </c>
      <c r="AY772" s="97"/>
      <c r="AZ772" s="97"/>
      <c r="BA772" s="97"/>
      <c r="BB772" s="97"/>
      <c r="BC772" s="97"/>
      <c r="BD772" s="97" t="str">
        <f>IFERROR(__xludf.DUMMYFUNCTION("""COMPUTED_VALUE"""),"HANGI")</f>
        <v>HANGI</v>
      </c>
      <c r="BE772" s="97" t="str">
        <f>IFERROR(__xludf.DUMMYFUNCTION("""COMPUTED_VALUE"""),"Sin Ficha")</f>
        <v>Sin Ficha</v>
      </c>
      <c r="BF772" s="97"/>
      <c r="BG772" s="97" t="str">
        <f>IFERROR(__xludf.DUMMYFUNCTION("""COMPUTED_VALUE"""),"Discontinuo")</f>
        <v>Discontinuo</v>
      </c>
    </row>
    <row r="773">
      <c r="A773" s="97">
        <f>IFERROR(__xludf.DUMMYFUNCTION("""COMPUTED_VALUE"""),6532.0)</f>
        <v>6532</v>
      </c>
      <c r="B773" s="97" t="str">
        <f>IFERROR(__xludf.DUMMYFUNCTION("""COMPUTED_VALUE"""),"HANGIT BL")</f>
        <v>HANGIT BL</v>
      </c>
      <c r="C773" s="97" t="str">
        <f>IFERROR(__xludf.DUMMYFUNCTION("""COMPUTED_VALUE"""),"LAMPARA DE PIE HANGIT BLANCO LEUK")</f>
        <v>LAMPARA DE PIE HANGIT BLANCO LEUK</v>
      </c>
      <c r="D773" s="99">
        <f>IFERROR(__xludf.DUMMYFUNCTION("""COMPUTED_VALUE"""),7.798413220803E12)</f>
        <v>7798413220803</v>
      </c>
      <c r="E773" s="97"/>
      <c r="F773" s="97" t="str">
        <f>IFERROR(__xludf.DUMMYFUNCTION("""COMPUTED_VALUE"""),"E27")</f>
        <v>E27</v>
      </c>
      <c r="G773" s="97" t="str">
        <f>IFERROR(__xludf.DUMMYFUNCTION("""COMPUTED_VALUE"""),"N/A")</f>
        <v>N/A</v>
      </c>
      <c r="H773" s="97" t="str">
        <f>IFERROR(__xludf.DUMMYFUNCTION("""COMPUTED_VALUE"""),"N/A")</f>
        <v>N/A</v>
      </c>
      <c r="I773" s="97" t="str">
        <f>IFERROR(__xludf.DUMMYFUNCTION("""COMPUTED_VALUE"""),"N/A")</f>
        <v>N/A</v>
      </c>
      <c r="J773" s="97"/>
      <c r="K773" s="97" t="str">
        <f>IFERROR(__xludf.DUMMYFUNCTION("""COMPUTED_VALUE"""),"N/A")</f>
        <v>N/A</v>
      </c>
      <c r="L773" s="97"/>
      <c r="M773" s="97"/>
      <c r="N773" s="97"/>
      <c r="O773" s="97"/>
      <c r="P773" s="97"/>
      <c r="Q773" s="97" t="str">
        <f>IFERROR(__xludf.DUMMYFUNCTION("""COMPUTED_VALUE"""),"-")</f>
        <v>-</v>
      </c>
      <c r="R773" s="97" t="str">
        <f>IFERROR(__xludf.DUMMYFUNCTION("""COMPUTED_VALUE"""),"-")</f>
        <v>-</v>
      </c>
      <c r="S773" s="97" t="str">
        <f>IFERROR(__xludf.DUMMYFUNCTION("""COMPUTED_VALUE"""),"-")</f>
        <v>-</v>
      </c>
      <c r="T773" s="97" t="str">
        <f>IFERROR(__xludf.DUMMYFUNCTION("""COMPUTED_VALUE"""),"-")</f>
        <v>-</v>
      </c>
      <c r="U773" s="97" t="str">
        <f>IFERROR(__xludf.DUMMYFUNCTION("""COMPUTED_VALUE"""),"-")</f>
        <v>-</v>
      </c>
      <c r="V773" s="97" t="str">
        <f>IFERROR(__xludf.DUMMYFUNCTION("""COMPUTED_VALUE"""),"N/A")</f>
        <v>N/A</v>
      </c>
      <c r="W773" s="97" t="str">
        <f>IFERROR(__xludf.DUMMYFUNCTION("""COMPUTED_VALUE"""),"N/A")</f>
        <v>N/A</v>
      </c>
      <c r="X773" s="97" t="str">
        <f>IFERROR(__xludf.DUMMYFUNCTION("""COMPUTED_VALUE"""),"-")</f>
        <v>-</v>
      </c>
      <c r="Y773" s="97" t="str">
        <f>IFERROR(__xludf.DUMMYFUNCTION("""COMPUTED_VALUE"""),"N/A")</f>
        <v>N/A</v>
      </c>
      <c r="Z773" s="97" t="str">
        <f>IFERROR(__xludf.DUMMYFUNCTION("""COMPUTED_VALUE"""),"N/A")</f>
        <v>N/A</v>
      </c>
      <c r="AA773" s="97" t="str">
        <f>IFERROR(__xludf.DUMMYFUNCTION("""COMPUTED_VALUE"""),"N/A")</f>
        <v>N/A</v>
      </c>
      <c r="AB773" s="97" t="str">
        <f>IFERROR(__xludf.DUMMYFUNCTION("""COMPUTED_VALUE"""),"N/A")</f>
        <v>N/A</v>
      </c>
      <c r="AC773" s="97" t="str">
        <f>IFERROR(__xludf.DUMMYFUNCTION("""COMPUTED_VALUE"""),"N/A")</f>
        <v>N/A</v>
      </c>
      <c r="AD773" s="97" t="str">
        <f>IFERROR(__xludf.DUMMYFUNCTION("""COMPUTED_VALUE"""),"IP20")</f>
        <v>IP20</v>
      </c>
      <c r="AE773" s="97" t="str">
        <f>IFERROR(__xludf.DUMMYFUNCTION("""COMPUTED_VALUE"""),"Clase ll")</f>
        <v>Clase ll</v>
      </c>
      <c r="AF773" s="97" t="str">
        <f>IFERROR(__xludf.DUMMYFUNCTION("""COMPUTED_VALUE"""),"Autoportante")</f>
        <v>Autoportante</v>
      </c>
      <c r="AG773" s="97"/>
      <c r="AH773" s="97"/>
      <c r="AI773" s="97"/>
      <c r="AJ773" s="97" t="str">
        <f>IFERROR(__xludf.DUMMYFUNCTION("""COMPUTED_VALUE"""),"Vidrio")</f>
        <v>Vidrio</v>
      </c>
      <c r="AK773" s="97" t="str">
        <f>IFERROR(__xludf.DUMMYFUNCTION("""COMPUTED_VALUE"""),"Acero")</f>
        <v>Acero</v>
      </c>
      <c r="AL773" s="97"/>
      <c r="AM773" s="97" t="str">
        <f>IFERROR(__xludf.DUMMYFUNCTION("""COMPUTED_VALUE"""),"-")</f>
        <v>-</v>
      </c>
      <c r="AN773" s="97" t="str">
        <f>IFERROR(__xludf.DUMMYFUNCTION("""COMPUTED_VALUE"""),"N/A")</f>
        <v>N/A</v>
      </c>
      <c r="AO773" s="97" t="str">
        <f>IFERROR(__xludf.DUMMYFUNCTION("""COMPUTED_VALUE"""),"1 Año")</f>
        <v>1 Año</v>
      </c>
      <c r="AP773" s="97" t="str">
        <f>IFERROR(__xludf.DUMMYFUNCTION("""COMPUTED_VALUE"""),"No Aplica")</f>
        <v>No Aplica</v>
      </c>
      <c r="AQ773" s="97" t="str">
        <f>IFERROR(__xludf.DUMMYFUNCTION("""COMPUTED_VALUE"""),"No Aplica")</f>
        <v>No Aplica</v>
      </c>
      <c r="AR773" s="97" t="str">
        <f>IFERROR(__xludf.DUMMYFUNCTION("""COMPUTED_VALUE"""),"No Aplica")</f>
        <v>No Aplica</v>
      </c>
      <c r="AS773" s="97"/>
      <c r="AT773" s="97"/>
      <c r="AU773" s="97"/>
      <c r="AV773" s="97" t="str">
        <f>IFERROR(__xludf.DUMMYFUNCTION("""COMPUTED_VALUE"""),"Pie")</f>
        <v>Pie</v>
      </c>
      <c r="AW773" s="97" t="str">
        <f>IFERROR(__xludf.DUMMYFUNCTION("""COMPUTED_VALUE"""),"De Apoyo")</f>
        <v>De Apoyo</v>
      </c>
      <c r="AX773" s="97" t="str">
        <f>IFERROR(__xludf.DUMMYFUNCTION("""COMPUTED_VALUE"""),"Interior")</f>
        <v>Interior</v>
      </c>
      <c r="AY773" s="97"/>
      <c r="AZ773" s="97"/>
      <c r="BA773" s="97"/>
      <c r="BB773" s="97"/>
      <c r="BC773" s="97"/>
      <c r="BD773" s="97" t="str">
        <f>IFERROR(__xludf.DUMMYFUNCTION("""COMPUTED_VALUE"""),"HANGI")</f>
        <v>HANGI</v>
      </c>
      <c r="BE773" s="97" t="str">
        <f>IFERROR(__xludf.DUMMYFUNCTION("""COMPUTED_VALUE"""),"Sin Ficha")</f>
        <v>Sin Ficha</v>
      </c>
      <c r="BF773" s="97"/>
      <c r="BG773" s="97" t="str">
        <f>IFERROR(__xludf.DUMMYFUNCTION("""COMPUTED_VALUE"""),"Discontinuo")</f>
        <v>Discontinuo</v>
      </c>
    </row>
    <row r="774">
      <c r="A774" s="97">
        <f>IFERROR(__xludf.DUMMYFUNCTION("""COMPUTED_VALUE"""),6533.0)</f>
        <v>6533</v>
      </c>
      <c r="B774" s="97" t="str">
        <f>IFERROR(__xludf.DUMMYFUNCTION("""COMPUTED_VALUE"""),"HANGIT NG")</f>
        <v>HANGIT NG</v>
      </c>
      <c r="C774" s="97" t="str">
        <f>IFERROR(__xludf.DUMMYFUNCTION("""COMPUTED_VALUE"""),"LAMPARA DE PIE HANGIT NEGRO LEUK")</f>
        <v>LAMPARA DE PIE HANGIT NEGRO LEUK</v>
      </c>
      <c r="D774" s="99">
        <f>IFERROR(__xludf.DUMMYFUNCTION("""COMPUTED_VALUE"""),7.79841322081E12)</f>
        <v>7798413220810</v>
      </c>
      <c r="E774" s="97"/>
      <c r="F774" s="97" t="str">
        <f>IFERROR(__xludf.DUMMYFUNCTION("""COMPUTED_VALUE"""),"E27")</f>
        <v>E27</v>
      </c>
      <c r="G774" s="97" t="str">
        <f>IFERROR(__xludf.DUMMYFUNCTION("""COMPUTED_VALUE"""),"N/A")</f>
        <v>N/A</v>
      </c>
      <c r="H774" s="97" t="str">
        <f>IFERROR(__xludf.DUMMYFUNCTION("""COMPUTED_VALUE"""),"N/A")</f>
        <v>N/A</v>
      </c>
      <c r="I774" s="97" t="str">
        <f>IFERROR(__xludf.DUMMYFUNCTION("""COMPUTED_VALUE"""),"N/A")</f>
        <v>N/A</v>
      </c>
      <c r="J774" s="97"/>
      <c r="K774" s="97" t="str">
        <f>IFERROR(__xludf.DUMMYFUNCTION("""COMPUTED_VALUE"""),"N/A")</f>
        <v>N/A</v>
      </c>
      <c r="L774" s="97"/>
      <c r="M774" s="97"/>
      <c r="N774" s="97"/>
      <c r="O774" s="97"/>
      <c r="P774" s="97"/>
      <c r="Q774" s="97" t="str">
        <f>IFERROR(__xludf.DUMMYFUNCTION("""COMPUTED_VALUE"""),"-")</f>
        <v>-</v>
      </c>
      <c r="R774" s="97" t="str">
        <f>IFERROR(__xludf.DUMMYFUNCTION("""COMPUTED_VALUE"""),"-")</f>
        <v>-</v>
      </c>
      <c r="S774" s="97" t="str">
        <f>IFERROR(__xludf.DUMMYFUNCTION("""COMPUTED_VALUE"""),"-")</f>
        <v>-</v>
      </c>
      <c r="T774" s="97" t="str">
        <f>IFERROR(__xludf.DUMMYFUNCTION("""COMPUTED_VALUE"""),"-")</f>
        <v>-</v>
      </c>
      <c r="U774" s="97" t="str">
        <f>IFERROR(__xludf.DUMMYFUNCTION("""COMPUTED_VALUE"""),"-")</f>
        <v>-</v>
      </c>
      <c r="V774" s="97" t="str">
        <f>IFERROR(__xludf.DUMMYFUNCTION("""COMPUTED_VALUE"""),"N/A")</f>
        <v>N/A</v>
      </c>
      <c r="W774" s="97" t="str">
        <f>IFERROR(__xludf.DUMMYFUNCTION("""COMPUTED_VALUE"""),"N/A")</f>
        <v>N/A</v>
      </c>
      <c r="X774" s="97" t="str">
        <f>IFERROR(__xludf.DUMMYFUNCTION("""COMPUTED_VALUE"""),"-")</f>
        <v>-</v>
      </c>
      <c r="Y774" s="97" t="str">
        <f>IFERROR(__xludf.DUMMYFUNCTION("""COMPUTED_VALUE"""),"N/A")</f>
        <v>N/A</v>
      </c>
      <c r="Z774" s="97" t="str">
        <f>IFERROR(__xludf.DUMMYFUNCTION("""COMPUTED_VALUE"""),"N/A")</f>
        <v>N/A</v>
      </c>
      <c r="AA774" s="97" t="str">
        <f>IFERROR(__xludf.DUMMYFUNCTION("""COMPUTED_VALUE"""),"N/A")</f>
        <v>N/A</v>
      </c>
      <c r="AB774" s="97" t="str">
        <f>IFERROR(__xludf.DUMMYFUNCTION("""COMPUTED_VALUE"""),"N/A")</f>
        <v>N/A</v>
      </c>
      <c r="AC774" s="97" t="str">
        <f>IFERROR(__xludf.DUMMYFUNCTION("""COMPUTED_VALUE"""),"N/A")</f>
        <v>N/A</v>
      </c>
      <c r="AD774" s="97" t="str">
        <f>IFERROR(__xludf.DUMMYFUNCTION("""COMPUTED_VALUE"""),"IP20")</f>
        <v>IP20</v>
      </c>
      <c r="AE774" s="97" t="str">
        <f>IFERROR(__xludf.DUMMYFUNCTION("""COMPUTED_VALUE"""),"Clase ll")</f>
        <v>Clase ll</v>
      </c>
      <c r="AF774" s="97" t="str">
        <f>IFERROR(__xludf.DUMMYFUNCTION("""COMPUTED_VALUE"""),"Autoportante")</f>
        <v>Autoportante</v>
      </c>
      <c r="AG774" s="97"/>
      <c r="AH774" s="97"/>
      <c r="AI774" s="97"/>
      <c r="AJ774" s="97" t="str">
        <f>IFERROR(__xludf.DUMMYFUNCTION("""COMPUTED_VALUE"""),"Vidrio")</f>
        <v>Vidrio</v>
      </c>
      <c r="AK774" s="97" t="str">
        <f>IFERROR(__xludf.DUMMYFUNCTION("""COMPUTED_VALUE"""),"Acero")</f>
        <v>Acero</v>
      </c>
      <c r="AL774" s="97"/>
      <c r="AM774" s="97" t="str">
        <f>IFERROR(__xludf.DUMMYFUNCTION("""COMPUTED_VALUE"""),"-")</f>
        <v>-</v>
      </c>
      <c r="AN774" s="97" t="str">
        <f>IFERROR(__xludf.DUMMYFUNCTION("""COMPUTED_VALUE"""),"N/A")</f>
        <v>N/A</v>
      </c>
      <c r="AO774" s="97" t="str">
        <f>IFERROR(__xludf.DUMMYFUNCTION("""COMPUTED_VALUE"""),"1 Año")</f>
        <v>1 Año</v>
      </c>
      <c r="AP774" s="97" t="str">
        <f>IFERROR(__xludf.DUMMYFUNCTION("""COMPUTED_VALUE"""),"No Aplica")</f>
        <v>No Aplica</v>
      </c>
      <c r="AQ774" s="97" t="str">
        <f>IFERROR(__xludf.DUMMYFUNCTION("""COMPUTED_VALUE"""),"No Aplica")</f>
        <v>No Aplica</v>
      </c>
      <c r="AR774" s="97" t="str">
        <f>IFERROR(__xludf.DUMMYFUNCTION("""COMPUTED_VALUE"""),"No Aplica")</f>
        <v>No Aplica</v>
      </c>
      <c r="AS774" s="97"/>
      <c r="AT774" s="97"/>
      <c r="AU774" s="97"/>
      <c r="AV774" s="97" t="str">
        <f>IFERROR(__xludf.DUMMYFUNCTION("""COMPUTED_VALUE"""),"Pie")</f>
        <v>Pie</v>
      </c>
      <c r="AW774" s="97" t="str">
        <f>IFERROR(__xludf.DUMMYFUNCTION("""COMPUTED_VALUE"""),"De Apoyo")</f>
        <v>De Apoyo</v>
      </c>
      <c r="AX774" s="97" t="str">
        <f>IFERROR(__xludf.DUMMYFUNCTION("""COMPUTED_VALUE"""),"Interior")</f>
        <v>Interior</v>
      </c>
      <c r="AY774" s="97"/>
      <c r="AZ774" s="97"/>
      <c r="BA774" s="97"/>
      <c r="BB774" s="97"/>
      <c r="BC774" s="97"/>
      <c r="BD774" s="97" t="str">
        <f>IFERROR(__xludf.DUMMYFUNCTION("""COMPUTED_VALUE"""),"HANGI")</f>
        <v>HANGI</v>
      </c>
      <c r="BE774" s="97" t="str">
        <f>IFERROR(__xludf.DUMMYFUNCTION("""COMPUTED_VALUE"""),"Sin Ficha")</f>
        <v>Sin Ficha</v>
      </c>
      <c r="BF774" s="97"/>
      <c r="BG774" s="97" t="str">
        <f>IFERROR(__xludf.DUMMYFUNCTION("""COMPUTED_VALUE"""),"Discontinuo")</f>
        <v>Discontinuo</v>
      </c>
    </row>
    <row r="775">
      <c r="A775" s="97">
        <f>IFERROR(__xludf.DUMMYFUNCTION("""COMPUTED_VALUE"""),6534.0)</f>
        <v>6534</v>
      </c>
      <c r="B775" s="97" t="str">
        <f>IFERROR(__xludf.DUMMYFUNCTION("""COMPUTED_VALUE"""),"TOAD")</f>
        <v>TOAD</v>
      </c>
      <c r="C775" s="97" t="str">
        <f>IFERROR(__xludf.DUMMYFUNCTION("""COMPUTED_VALUE"""),"VELADOR TOAD NEGRO LEUK")</f>
        <v>VELADOR TOAD NEGRO LEUK</v>
      </c>
      <c r="D775" s="99">
        <f>IFERROR(__xludf.DUMMYFUNCTION("""COMPUTED_VALUE"""),7.79841322106E12)</f>
        <v>7798413221060</v>
      </c>
      <c r="E775" s="97"/>
      <c r="F775" s="97" t="str">
        <f>IFERROR(__xludf.DUMMYFUNCTION("""COMPUTED_VALUE"""),"E27")</f>
        <v>E27</v>
      </c>
      <c r="G775" s="97" t="str">
        <f>IFERROR(__xludf.DUMMYFUNCTION("""COMPUTED_VALUE"""),"N/A")</f>
        <v>N/A</v>
      </c>
      <c r="H775" s="97" t="str">
        <f>IFERROR(__xludf.DUMMYFUNCTION("""COMPUTED_VALUE"""),"N/A")</f>
        <v>N/A</v>
      </c>
      <c r="I775" s="97" t="str">
        <f>IFERROR(__xludf.DUMMYFUNCTION("""COMPUTED_VALUE"""),"N/A")</f>
        <v>N/A</v>
      </c>
      <c r="J775" s="97"/>
      <c r="K775" s="97" t="str">
        <f>IFERROR(__xludf.DUMMYFUNCTION("""COMPUTED_VALUE"""),"N/A")</f>
        <v>N/A</v>
      </c>
      <c r="L775" s="97"/>
      <c r="M775" s="97"/>
      <c r="N775" s="97"/>
      <c r="O775" s="97"/>
      <c r="P775" s="97"/>
      <c r="Q775" s="97" t="str">
        <f>IFERROR(__xludf.DUMMYFUNCTION("""COMPUTED_VALUE"""),"-")</f>
        <v>-</v>
      </c>
      <c r="R775" s="97" t="str">
        <f>IFERROR(__xludf.DUMMYFUNCTION("""COMPUTED_VALUE"""),"-")</f>
        <v>-</v>
      </c>
      <c r="S775" s="97" t="str">
        <f>IFERROR(__xludf.DUMMYFUNCTION("""COMPUTED_VALUE"""),"-")</f>
        <v>-</v>
      </c>
      <c r="T775" s="97" t="str">
        <f>IFERROR(__xludf.DUMMYFUNCTION("""COMPUTED_VALUE"""),"-")</f>
        <v>-</v>
      </c>
      <c r="U775" s="97" t="str">
        <f>IFERROR(__xludf.DUMMYFUNCTION("""COMPUTED_VALUE"""),"-")</f>
        <v>-</v>
      </c>
      <c r="V775" s="97" t="str">
        <f>IFERROR(__xludf.DUMMYFUNCTION("""COMPUTED_VALUE"""),"N/A")</f>
        <v>N/A</v>
      </c>
      <c r="W775" s="97" t="str">
        <f>IFERROR(__xludf.DUMMYFUNCTION("""COMPUTED_VALUE"""),"N/A")</f>
        <v>N/A</v>
      </c>
      <c r="X775" s="97" t="str">
        <f>IFERROR(__xludf.DUMMYFUNCTION("""COMPUTED_VALUE"""),"-")</f>
        <v>-</v>
      </c>
      <c r="Y775" s="97" t="str">
        <f>IFERROR(__xludf.DUMMYFUNCTION("""COMPUTED_VALUE"""),"N/A")</f>
        <v>N/A</v>
      </c>
      <c r="Z775" s="97" t="str">
        <f>IFERROR(__xludf.DUMMYFUNCTION("""COMPUTED_VALUE"""),"N/A")</f>
        <v>N/A</v>
      </c>
      <c r="AA775" s="97" t="str">
        <f>IFERROR(__xludf.DUMMYFUNCTION("""COMPUTED_VALUE"""),"N/A")</f>
        <v>N/A</v>
      </c>
      <c r="AB775" s="97" t="str">
        <f>IFERROR(__xludf.DUMMYFUNCTION("""COMPUTED_VALUE"""),"N/A")</f>
        <v>N/A</v>
      </c>
      <c r="AC775" s="97" t="str">
        <f>IFERROR(__xludf.DUMMYFUNCTION("""COMPUTED_VALUE"""),"N/A")</f>
        <v>N/A</v>
      </c>
      <c r="AD775" s="97" t="str">
        <f>IFERROR(__xludf.DUMMYFUNCTION("""COMPUTED_VALUE"""),"IP20")</f>
        <v>IP20</v>
      </c>
      <c r="AE775" s="97" t="str">
        <f>IFERROR(__xludf.DUMMYFUNCTION("""COMPUTED_VALUE"""),"Clase ll")</f>
        <v>Clase ll</v>
      </c>
      <c r="AF775" s="97" t="str">
        <f>IFERROR(__xludf.DUMMYFUNCTION("""COMPUTED_VALUE"""),"Autoportante")</f>
        <v>Autoportante</v>
      </c>
      <c r="AG775" s="97"/>
      <c r="AH775" s="97"/>
      <c r="AI775" s="97"/>
      <c r="AJ775" s="97" t="str">
        <f>IFERROR(__xludf.DUMMYFUNCTION("""COMPUTED_VALUE"""),"Vidrio")</f>
        <v>Vidrio</v>
      </c>
      <c r="AK775" s="97" t="str">
        <f>IFERROR(__xludf.DUMMYFUNCTION("""COMPUTED_VALUE"""),"Acero")</f>
        <v>Acero</v>
      </c>
      <c r="AL775" s="97"/>
      <c r="AM775" s="97" t="str">
        <f>IFERROR(__xludf.DUMMYFUNCTION("""COMPUTED_VALUE"""),"-")</f>
        <v>-</v>
      </c>
      <c r="AN775" s="97" t="str">
        <f>IFERROR(__xludf.DUMMYFUNCTION("""COMPUTED_VALUE"""),"N/A")</f>
        <v>N/A</v>
      </c>
      <c r="AO775" s="97" t="str">
        <f>IFERROR(__xludf.DUMMYFUNCTION("""COMPUTED_VALUE"""),"1 Año")</f>
        <v>1 Año</v>
      </c>
      <c r="AP775" s="97" t="str">
        <f>IFERROR(__xludf.DUMMYFUNCTION("""COMPUTED_VALUE"""),"No Aplica")</f>
        <v>No Aplica</v>
      </c>
      <c r="AQ775" s="97" t="str">
        <f>IFERROR(__xludf.DUMMYFUNCTION("""COMPUTED_VALUE"""),"No Aplica")</f>
        <v>No Aplica</v>
      </c>
      <c r="AR775" s="97" t="str">
        <f>IFERROR(__xludf.DUMMYFUNCTION("""COMPUTED_VALUE"""),"No Aplica")</f>
        <v>No Aplica</v>
      </c>
      <c r="AS775" s="97"/>
      <c r="AT775" s="97"/>
      <c r="AU775" s="97"/>
      <c r="AV775" s="97" t="str">
        <f>IFERROR(__xludf.DUMMYFUNCTION("""COMPUTED_VALUE"""),"Mesa")</f>
        <v>Mesa</v>
      </c>
      <c r="AW775" s="97" t="str">
        <f>IFERROR(__xludf.DUMMYFUNCTION("""COMPUTED_VALUE"""),"De Apoyo")</f>
        <v>De Apoyo</v>
      </c>
      <c r="AX775" s="97" t="str">
        <f>IFERROR(__xludf.DUMMYFUNCTION("""COMPUTED_VALUE"""),"Interior")</f>
        <v>Interior</v>
      </c>
      <c r="AY775" s="97"/>
      <c r="AZ775" s="97"/>
      <c r="BA775" s="97">
        <f>IFERROR(__xludf.DUMMYFUNCTION("""COMPUTED_VALUE"""),1.0)</f>
        <v>1</v>
      </c>
      <c r="BB775" s="97"/>
      <c r="BC775" s="97"/>
      <c r="BD775" s="97" t="str">
        <f>IFERROR(__xludf.DUMMYFUNCTION("""COMPUTED_VALUE"""),"TOAD")</f>
        <v>TOAD</v>
      </c>
      <c r="BE775" s="97" t="str">
        <f>IFERROR(__xludf.DUMMYFUNCTION("""COMPUTED_VALUE"""),"Sin Ficha")</f>
        <v>Sin Ficha</v>
      </c>
      <c r="BF775" s="97"/>
      <c r="BG775" s="97" t="str">
        <f>IFERROR(__xludf.DUMMYFUNCTION("""COMPUTED_VALUE"""),"Discontinuo")</f>
        <v>Discontinuo</v>
      </c>
    </row>
    <row r="776">
      <c r="A776" s="97">
        <f>IFERROR(__xludf.DUMMYFUNCTION("""COMPUTED_VALUE"""),6535.0)</f>
        <v>6535</v>
      </c>
      <c r="B776" s="97" t="str">
        <f>IFERROR(__xludf.DUMMYFUNCTION("""COMPUTED_VALUE"""),"TOAD")</f>
        <v>TOAD</v>
      </c>
      <c r="C776" s="97" t="str">
        <f>IFERROR(__xludf.DUMMYFUNCTION("""COMPUTED_VALUE"""),"VELADOR TOAD BLANCO LEUK")</f>
        <v>VELADOR TOAD BLANCO LEUK</v>
      </c>
      <c r="D776" s="99">
        <f>IFERROR(__xludf.DUMMYFUNCTION("""COMPUTED_VALUE"""),7.798413221077E12)</f>
        <v>7798413221077</v>
      </c>
      <c r="E776" s="97"/>
      <c r="F776" s="97" t="str">
        <f>IFERROR(__xludf.DUMMYFUNCTION("""COMPUTED_VALUE"""),"E27")</f>
        <v>E27</v>
      </c>
      <c r="G776" s="97" t="str">
        <f>IFERROR(__xludf.DUMMYFUNCTION("""COMPUTED_VALUE"""),"N/A")</f>
        <v>N/A</v>
      </c>
      <c r="H776" s="97" t="str">
        <f>IFERROR(__xludf.DUMMYFUNCTION("""COMPUTED_VALUE"""),"N/A")</f>
        <v>N/A</v>
      </c>
      <c r="I776" s="97" t="str">
        <f>IFERROR(__xludf.DUMMYFUNCTION("""COMPUTED_VALUE"""),"N/A")</f>
        <v>N/A</v>
      </c>
      <c r="J776" s="97"/>
      <c r="K776" s="97" t="str">
        <f>IFERROR(__xludf.DUMMYFUNCTION("""COMPUTED_VALUE"""),"N/A")</f>
        <v>N/A</v>
      </c>
      <c r="L776" s="97"/>
      <c r="M776" s="97"/>
      <c r="N776" s="97"/>
      <c r="O776" s="97"/>
      <c r="P776" s="97"/>
      <c r="Q776" s="97" t="str">
        <f>IFERROR(__xludf.DUMMYFUNCTION("""COMPUTED_VALUE"""),"-")</f>
        <v>-</v>
      </c>
      <c r="R776" s="97" t="str">
        <f>IFERROR(__xludf.DUMMYFUNCTION("""COMPUTED_VALUE"""),"-")</f>
        <v>-</v>
      </c>
      <c r="S776" s="97" t="str">
        <f>IFERROR(__xludf.DUMMYFUNCTION("""COMPUTED_VALUE"""),"-")</f>
        <v>-</v>
      </c>
      <c r="T776" s="97" t="str">
        <f>IFERROR(__xludf.DUMMYFUNCTION("""COMPUTED_VALUE"""),"-")</f>
        <v>-</v>
      </c>
      <c r="U776" s="97" t="str">
        <f>IFERROR(__xludf.DUMMYFUNCTION("""COMPUTED_VALUE"""),"-")</f>
        <v>-</v>
      </c>
      <c r="V776" s="97" t="str">
        <f>IFERROR(__xludf.DUMMYFUNCTION("""COMPUTED_VALUE"""),"N/A")</f>
        <v>N/A</v>
      </c>
      <c r="W776" s="97" t="str">
        <f>IFERROR(__xludf.DUMMYFUNCTION("""COMPUTED_VALUE"""),"N/A")</f>
        <v>N/A</v>
      </c>
      <c r="X776" s="97" t="str">
        <f>IFERROR(__xludf.DUMMYFUNCTION("""COMPUTED_VALUE"""),"-")</f>
        <v>-</v>
      </c>
      <c r="Y776" s="97" t="str">
        <f>IFERROR(__xludf.DUMMYFUNCTION("""COMPUTED_VALUE"""),"N/A")</f>
        <v>N/A</v>
      </c>
      <c r="Z776" s="97" t="str">
        <f>IFERROR(__xludf.DUMMYFUNCTION("""COMPUTED_VALUE"""),"N/A")</f>
        <v>N/A</v>
      </c>
      <c r="AA776" s="97" t="str">
        <f>IFERROR(__xludf.DUMMYFUNCTION("""COMPUTED_VALUE"""),"N/A")</f>
        <v>N/A</v>
      </c>
      <c r="AB776" s="97" t="str">
        <f>IFERROR(__xludf.DUMMYFUNCTION("""COMPUTED_VALUE"""),"N/A")</f>
        <v>N/A</v>
      </c>
      <c r="AC776" s="97" t="str">
        <f>IFERROR(__xludf.DUMMYFUNCTION("""COMPUTED_VALUE"""),"N/A")</f>
        <v>N/A</v>
      </c>
      <c r="AD776" s="97" t="str">
        <f>IFERROR(__xludf.DUMMYFUNCTION("""COMPUTED_VALUE"""),"IP20")</f>
        <v>IP20</v>
      </c>
      <c r="AE776" s="97" t="str">
        <f>IFERROR(__xludf.DUMMYFUNCTION("""COMPUTED_VALUE"""),"Clase ll")</f>
        <v>Clase ll</v>
      </c>
      <c r="AF776" s="97" t="str">
        <f>IFERROR(__xludf.DUMMYFUNCTION("""COMPUTED_VALUE"""),"Autoportante")</f>
        <v>Autoportante</v>
      </c>
      <c r="AG776" s="97"/>
      <c r="AH776" s="97"/>
      <c r="AI776" s="97"/>
      <c r="AJ776" s="97" t="str">
        <f>IFERROR(__xludf.DUMMYFUNCTION("""COMPUTED_VALUE"""),"Vidrio")</f>
        <v>Vidrio</v>
      </c>
      <c r="AK776" s="97" t="str">
        <f>IFERROR(__xludf.DUMMYFUNCTION("""COMPUTED_VALUE"""),"Acero")</f>
        <v>Acero</v>
      </c>
      <c r="AL776" s="97"/>
      <c r="AM776" s="97" t="str">
        <f>IFERROR(__xludf.DUMMYFUNCTION("""COMPUTED_VALUE"""),"-")</f>
        <v>-</v>
      </c>
      <c r="AN776" s="97" t="str">
        <f>IFERROR(__xludf.DUMMYFUNCTION("""COMPUTED_VALUE"""),"N/A")</f>
        <v>N/A</v>
      </c>
      <c r="AO776" s="97" t="str">
        <f>IFERROR(__xludf.DUMMYFUNCTION("""COMPUTED_VALUE"""),"1 Año")</f>
        <v>1 Año</v>
      </c>
      <c r="AP776" s="97" t="str">
        <f>IFERROR(__xludf.DUMMYFUNCTION("""COMPUTED_VALUE"""),"No Aplica")</f>
        <v>No Aplica</v>
      </c>
      <c r="AQ776" s="97" t="str">
        <f>IFERROR(__xludf.DUMMYFUNCTION("""COMPUTED_VALUE"""),"No Aplica")</f>
        <v>No Aplica</v>
      </c>
      <c r="AR776" s="97" t="str">
        <f>IFERROR(__xludf.DUMMYFUNCTION("""COMPUTED_VALUE"""),"No Aplica")</f>
        <v>No Aplica</v>
      </c>
      <c r="AS776" s="97"/>
      <c r="AT776" s="97"/>
      <c r="AU776" s="97"/>
      <c r="AV776" s="97" t="str">
        <f>IFERROR(__xludf.DUMMYFUNCTION("""COMPUTED_VALUE"""),"Mesa")</f>
        <v>Mesa</v>
      </c>
      <c r="AW776" s="97" t="str">
        <f>IFERROR(__xludf.DUMMYFUNCTION("""COMPUTED_VALUE"""),"De Apoyo")</f>
        <v>De Apoyo</v>
      </c>
      <c r="AX776" s="97" t="str">
        <f>IFERROR(__xludf.DUMMYFUNCTION("""COMPUTED_VALUE"""),"Interior")</f>
        <v>Interior</v>
      </c>
      <c r="AY776" s="97"/>
      <c r="AZ776" s="97"/>
      <c r="BA776" s="97">
        <f>IFERROR(__xludf.DUMMYFUNCTION("""COMPUTED_VALUE"""),1.0)</f>
        <v>1</v>
      </c>
      <c r="BB776" s="97"/>
      <c r="BC776" s="97"/>
      <c r="BD776" s="97" t="str">
        <f>IFERROR(__xludf.DUMMYFUNCTION("""COMPUTED_VALUE"""),"TOAD")</f>
        <v>TOAD</v>
      </c>
      <c r="BE776" s="97" t="str">
        <f>IFERROR(__xludf.DUMMYFUNCTION("""COMPUTED_VALUE"""),"Sin Ficha")</f>
        <v>Sin Ficha</v>
      </c>
      <c r="BF776" s="97"/>
      <c r="BG776" s="97" t="str">
        <f>IFERROR(__xludf.DUMMYFUNCTION("""COMPUTED_VALUE"""),"Discontinuo")</f>
        <v>Discontinuo</v>
      </c>
    </row>
    <row r="777">
      <c r="A777" s="97">
        <f>IFERROR(__xludf.DUMMYFUNCTION("""COMPUTED_VALUE"""),6536.0)</f>
        <v>6536</v>
      </c>
      <c r="B777" s="97" t="str">
        <f>IFERROR(__xludf.DUMMYFUNCTION("""COMPUTED_VALUE"""),"FLOAT BL")</f>
        <v>FLOAT BL</v>
      </c>
      <c r="C777" s="97" t="str">
        <f>IFERROR(__xludf.DUMMYFUNCTION("""COMPUTED_VALUE"""),"VELADOR FLOAT BLANCO LEUK")</f>
        <v>VELADOR FLOAT BLANCO LEUK</v>
      </c>
      <c r="D777" s="99">
        <f>IFERROR(__xludf.DUMMYFUNCTION("""COMPUTED_VALUE"""),7.798413220827E12)</f>
        <v>7798413220827</v>
      </c>
      <c r="E777" s="97"/>
      <c r="F777" s="97" t="str">
        <f>IFERROR(__xludf.DUMMYFUNCTION("""COMPUTED_VALUE"""),"E27")</f>
        <v>E27</v>
      </c>
      <c r="G777" s="97" t="str">
        <f>IFERROR(__xludf.DUMMYFUNCTION("""COMPUTED_VALUE"""),"N/A")</f>
        <v>N/A</v>
      </c>
      <c r="H777" s="97" t="str">
        <f>IFERROR(__xludf.DUMMYFUNCTION("""COMPUTED_VALUE"""),"N/A")</f>
        <v>N/A</v>
      </c>
      <c r="I777" s="97" t="str">
        <f>IFERROR(__xludf.DUMMYFUNCTION("""COMPUTED_VALUE"""),"N/A")</f>
        <v>N/A</v>
      </c>
      <c r="J777" s="97"/>
      <c r="K777" s="97" t="str">
        <f>IFERROR(__xludf.DUMMYFUNCTION("""COMPUTED_VALUE"""),"N/A")</f>
        <v>N/A</v>
      </c>
      <c r="L777" s="97"/>
      <c r="M777" s="97"/>
      <c r="N777" s="97"/>
      <c r="O777" s="97"/>
      <c r="P777" s="97"/>
      <c r="Q777" s="97" t="str">
        <f>IFERROR(__xludf.DUMMYFUNCTION("""COMPUTED_VALUE"""),"-")</f>
        <v>-</v>
      </c>
      <c r="R777" s="97" t="str">
        <f>IFERROR(__xludf.DUMMYFUNCTION("""COMPUTED_VALUE"""),"-")</f>
        <v>-</v>
      </c>
      <c r="S777" s="97" t="str">
        <f>IFERROR(__xludf.DUMMYFUNCTION("""COMPUTED_VALUE"""),"-")</f>
        <v>-</v>
      </c>
      <c r="T777" s="97" t="str">
        <f>IFERROR(__xludf.DUMMYFUNCTION("""COMPUTED_VALUE"""),"-")</f>
        <v>-</v>
      </c>
      <c r="U777" s="97" t="str">
        <f>IFERROR(__xludf.DUMMYFUNCTION("""COMPUTED_VALUE"""),"-")</f>
        <v>-</v>
      </c>
      <c r="V777" s="97" t="str">
        <f>IFERROR(__xludf.DUMMYFUNCTION("""COMPUTED_VALUE"""),"N/A")</f>
        <v>N/A</v>
      </c>
      <c r="W777" s="97" t="str">
        <f>IFERROR(__xludf.DUMMYFUNCTION("""COMPUTED_VALUE"""),"N/A")</f>
        <v>N/A</v>
      </c>
      <c r="X777" s="97" t="str">
        <f>IFERROR(__xludf.DUMMYFUNCTION("""COMPUTED_VALUE"""),"-")</f>
        <v>-</v>
      </c>
      <c r="Y777" s="97" t="str">
        <f>IFERROR(__xludf.DUMMYFUNCTION("""COMPUTED_VALUE"""),"N/A")</f>
        <v>N/A</v>
      </c>
      <c r="Z777" s="97" t="str">
        <f>IFERROR(__xludf.DUMMYFUNCTION("""COMPUTED_VALUE"""),"N/A")</f>
        <v>N/A</v>
      </c>
      <c r="AA777" s="97" t="str">
        <f>IFERROR(__xludf.DUMMYFUNCTION("""COMPUTED_VALUE"""),"N/A")</f>
        <v>N/A</v>
      </c>
      <c r="AB777" s="97" t="str">
        <f>IFERROR(__xludf.DUMMYFUNCTION("""COMPUTED_VALUE"""),"N/A")</f>
        <v>N/A</v>
      </c>
      <c r="AC777" s="97" t="str">
        <f>IFERROR(__xludf.DUMMYFUNCTION("""COMPUTED_VALUE"""),"N/A")</f>
        <v>N/A</v>
      </c>
      <c r="AD777" s="97" t="str">
        <f>IFERROR(__xludf.DUMMYFUNCTION("""COMPUTED_VALUE"""),"IP20")</f>
        <v>IP20</v>
      </c>
      <c r="AE777" s="97" t="str">
        <f>IFERROR(__xludf.DUMMYFUNCTION("""COMPUTED_VALUE"""),"Clase ll")</f>
        <v>Clase ll</v>
      </c>
      <c r="AF777" s="97" t="str">
        <f>IFERROR(__xludf.DUMMYFUNCTION("""COMPUTED_VALUE"""),"Autoportante")</f>
        <v>Autoportante</v>
      </c>
      <c r="AG777" s="97"/>
      <c r="AH777" s="97"/>
      <c r="AI777" s="97"/>
      <c r="AJ777" s="97" t="str">
        <f>IFERROR(__xludf.DUMMYFUNCTION("""COMPUTED_VALUE"""),"Vidrio")</f>
        <v>Vidrio</v>
      </c>
      <c r="AK777" s="97" t="str">
        <f>IFERROR(__xludf.DUMMYFUNCTION("""COMPUTED_VALUE"""),"Acero")</f>
        <v>Acero</v>
      </c>
      <c r="AL777" s="97"/>
      <c r="AM777" s="97" t="str">
        <f>IFERROR(__xludf.DUMMYFUNCTION("""COMPUTED_VALUE"""),"-")</f>
        <v>-</v>
      </c>
      <c r="AN777" s="97" t="str">
        <f>IFERROR(__xludf.DUMMYFUNCTION("""COMPUTED_VALUE"""),"N/A")</f>
        <v>N/A</v>
      </c>
      <c r="AO777" s="97" t="str">
        <f>IFERROR(__xludf.DUMMYFUNCTION("""COMPUTED_VALUE"""),"1 Año")</f>
        <v>1 Año</v>
      </c>
      <c r="AP777" s="97" t="str">
        <f>IFERROR(__xludf.DUMMYFUNCTION("""COMPUTED_VALUE"""),"No Aplica")</f>
        <v>No Aplica</v>
      </c>
      <c r="AQ777" s="97" t="str">
        <f>IFERROR(__xludf.DUMMYFUNCTION("""COMPUTED_VALUE"""),"No Aplica")</f>
        <v>No Aplica</v>
      </c>
      <c r="AR777" s="97" t="str">
        <f>IFERROR(__xludf.DUMMYFUNCTION("""COMPUTED_VALUE"""),"No Aplica")</f>
        <v>No Aplica</v>
      </c>
      <c r="AS777" s="97"/>
      <c r="AT777" s="97"/>
      <c r="AU777" s="97"/>
      <c r="AV777" s="97" t="str">
        <f>IFERROR(__xludf.DUMMYFUNCTION("""COMPUTED_VALUE"""),"Mesa")</f>
        <v>Mesa</v>
      </c>
      <c r="AW777" s="97" t="str">
        <f>IFERROR(__xludf.DUMMYFUNCTION("""COMPUTED_VALUE"""),"De Apoyo")</f>
        <v>De Apoyo</v>
      </c>
      <c r="AX777" s="97" t="str">
        <f>IFERROR(__xludf.DUMMYFUNCTION("""COMPUTED_VALUE"""),"Interior")</f>
        <v>Interior</v>
      </c>
      <c r="AY777" s="97"/>
      <c r="AZ777" s="97"/>
      <c r="BA777" s="97"/>
      <c r="BB777" s="97"/>
      <c r="BC777" s="97"/>
      <c r="BD777" s="97" t="str">
        <f>IFERROR(__xludf.DUMMYFUNCTION("""COMPUTED_VALUE"""),"FLOAT")</f>
        <v>FLOAT</v>
      </c>
      <c r="BE777" s="97" t="str">
        <f>IFERROR(__xludf.DUMMYFUNCTION("""COMPUTED_VALUE"""),"Sin Ficha")</f>
        <v>Sin Ficha</v>
      </c>
      <c r="BF777" s="97"/>
      <c r="BG777" s="97" t="str">
        <f>IFERROR(__xludf.DUMMYFUNCTION("""COMPUTED_VALUE"""),"Discontinuo")</f>
        <v>Discontinuo</v>
      </c>
    </row>
    <row r="778">
      <c r="A778" s="97">
        <f>IFERROR(__xludf.DUMMYFUNCTION("""COMPUTED_VALUE"""),6537.0)</f>
        <v>6537</v>
      </c>
      <c r="B778" s="97" t="str">
        <f>IFERROR(__xludf.DUMMYFUNCTION("""COMPUTED_VALUE"""),"FLOAT NG")</f>
        <v>FLOAT NG</v>
      </c>
      <c r="C778" s="97" t="str">
        <f>IFERROR(__xludf.DUMMYFUNCTION("""COMPUTED_VALUE"""),"VELADOR FLOAT NEGRO LEUK")</f>
        <v>VELADOR FLOAT NEGRO LEUK</v>
      </c>
      <c r="D778" s="99">
        <f>IFERROR(__xludf.DUMMYFUNCTION("""COMPUTED_VALUE"""),7.798413220834E12)</f>
        <v>7798413220834</v>
      </c>
      <c r="E778" s="97"/>
      <c r="F778" s="97" t="str">
        <f>IFERROR(__xludf.DUMMYFUNCTION("""COMPUTED_VALUE"""),"E27")</f>
        <v>E27</v>
      </c>
      <c r="G778" s="97" t="str">
        <f>IFERROR(__xludf.DUMMYFUNCTION("""COMPUTED_VALUE"""),"N/A")</f>
        <v>N/A</v>
      </c>
      <c r="H778" s="97" t="str">
        <f>IFERROR(__xludf.DUMMYFUNCTION("""COMPUTED_VALUE"""),"N/A")</f>
        <v>N/A</v>
      </c>
      <c r="I778" s="97" t="str">
        <f>IFERROR(__xludf.DUMMYFUNCTION("""COMPUTED_VALUE"""),"N/A")</f>
        <v>N/A</v>
      </c>
      <c r="J778" s="97"/>
      <c r="K778" s="97" t="str">
        <f>IFERROR(__xludf.DUMMYFUNCTION("""COMPUTED_VALUE"""),"N/A")</f>
        <v>N/A</v>
      </c>
      <c r="L778" s="97"/>
      <c r="M778" s="97"/>
      <c r="N778" s="97"/>
      <c r="O778" s="97"/>
      <c r="P778" s="97"/>
      <c r="Q778" s="97" t="str">
        <f>IFERROR(__xludf.DUMMYFUNCTION("""COMPUTED_VALUE"""),"-")</f>
        <v>-</v>
      </c>
      <c r="R778" s="97" t="str">
        <f>IFERROR(__xludf.DUMMYFUNCTION("""COMPUTED_VALUE"""),"-")</f>
        <v>-</v>
      </c>
      <c r="S778" s="97" t="str">
        <f>IFERROR(__xludf.DUMMYFUNCTION("""COMPUTED_VALUE"""),"-")</f>
        <v>-</v>
      </c>
      <c r="T778" s="97" t="str">
        <f>IFERROR(__xludf.DUMMYFUNCTION("""COMPUTED_VALUE"""),"-")</f>
        <v>-</v>
      </c>
      <c r="U778" s="97" t="str">
        <f>IFERROR(__xludf.DUMMYFUNCTION("""COMPUTED_VALUE"""),"-")</f>
        <v>-</v>
      </c>
      <c r="V778" s="97" t="str">
        <f>IFERROR(__xludf.DUMMYFUNCTION("""COMPUTED_VALUE"""),"N/A")</f>
        <v>N/A</v>
      </c>
      <c r="W778" s="97" t="str">
        <f>IFERROR(__xludf.DUMMYFUNCTION("""COMPUTED_VALUE"""),"N/A")</f>
        <v>N/A</v>
      </c>
      <c r="X778" s="97" t="str">
        <f>IFERROR(__xludf.DUMMYFUNCTION("""COMPUTED_VALUE"""),"-")</f>
        <v>-</v>
      </c>
      <c r="Y778" s="97" t="str">
        <f>IFERROR(__xludf.DUMMYFUNCTION("""COMPUTED_VALUE"""),"N/A")</f>
        <v>N/A</v>
      </c>
      <c r="Z778" s="97" t="str">
        <f>IFERROR(__xludf.DUMMYFUNCTION("""COMPUTED_VALUE"""),"N/A")</f>
        <v>N/A</v>
      </c>
      <c r="AA778" s="97" t="str">
        <f>IFERROR(__xludf.DUMMYFUNCTION("""COMPUTED_VALUE"""),"N/A")</f>
        <v>N/A</v>
      </c>
      <c r="AB778" s="97" t="str">
        <f>IFERROR(__xludf.DUMMYFUNCTION("""COMPUTED_VALUE"""),"N/A")</f>
        <v>N/A</v>
      </c>
      <c r="AC778" s="97" t="str">
        <f>IFERROR(__xludf.DUMMYFUNCTION("""COMPUTED_VALUE"""),"N/A")</f>
        <v>N/A</v>
      </c>
      <c r="AD778" s="97" t="str">
        <f>IFERROR(__xludf.DUMMYFUNCTION("""COMPUTED_VALUE"""),"IP20")</f>
        <v>IP20</v>
      </c>
      <c r="AE778" s="97" t="str">
        <f>IFERROR(__xludf.DUMMYFUNCTION("""COMPUTED_VALUE"""),"Clase ll")</f>
        <v>Clase ll</v>
      </c>
      <c r="AF778" s="97" t="str">
        <f>IFERROR(__xludf.DUMMYFUNCTION("""COMPUTED_VALUE"""),"Autoportante")</f>
        <v>Autoportante</v>
      </c>
      <c r="AG778" s="97"/>
      <c r="AH778" s="97"/>
      <c r="AI778" s="97"/>
      <c r="AJ778" s="97" t="str">
        <f>IFERROR(__xludf.DUMMYFUNCTION("""COMPUTED_VALUE"""),"Vidrio")</f>
        <v>Vidrio</v>
      </c>
      <c r="AK778" s="97" t="str">
        <f>IFERROR(__xludf.DUMMYFUNCTION("""COMPUTED_VALUE"""),"Acero")</f>
        <v>Acero</v>
      </c>
      <c r="AL778" s="97"/>
      <c r="AM778" s="97" t="str">
        <f>IFERROR(__xludf.DUMMYFUNCTION("""COMPUTED_VALUE"""),"-")</f>
        <v>-</v>
      </c>
      <c r="AN778" s="97" t="str">
        <f>IFERROR(__xludf.DUMMYFUNCTION("""COMPUTED_VALUE"""),"N/A")</f>
        <v>N/A</v>
      </c>
      <c r="AO778" s="97" t="str">
        <f>IFERROR(__xludf.DUMMYFUNCTION("""COMPUTED_VALUE"""),"1 Año")</f>
        <v>1 Año</v>
      </c>
      <c r="AP778" s="97" t="str">
        <f>IFERROR(__xludf.DUMMYFUNCTION("""COMPUTED_VALUE"""),"No Aplica")</f>
        <v>No Aplica</v>
      </c>
      <c r="AQ778" s="97" t="str">
        <f>IFERROR(__xludf.DUMMYFUNCTION("""COMPUTED_VALUE"""),"No Aplica")</f>
        <v>No Aplica</v>
      </c>
      <c r="AR778" s="97" t="str">
        <f>IFERROR(__xludf.DUMMYFUNCTION("""COMPUTED_VALUE"""),"No Aplica")</f>
        <v>No Aplica</v>
      </c>
      <c r="AS778" s="97"/>
      <c r="AT778" s="97"/>
      <c r="AU778" s="97"/>
      <c r="AV778" s="97" t="str">
        <f>IFERROR(__xludf.DUMMYFUNCTION("""COMPUTED_VALUE"""),"Mesa")</f>
        <v>Mesa</v>
      </c>
      <c r="AW778" s="97" t="str">
        <f>IFERROR(__xludf.DUMMYFUNCTION("""COMPUTED_VALUE"""),"De Apoyo")</f>
        <v>De Apoyo</v>
      </c>
      <c r="AX778" s="97" t="str">
        <f>IFERROR(__xludf.DUMMYFUNCTION("""COMPUTED_VALUE"""),"Interior")</f>
        <v>Interior</v>
      </c>
      <c r="AY778" s="97"/>
      <c r="AZ778" s="97"/>
      <c r="BA778" s="97"/>
      <c r="BB778" s="97"/>
      <c r="BC778" s="97"/>
      <c r="BD778" s="97" t="str">
        <f>IFERROR(__xludf.DUMMYFUNCTION("""COMPUTED_VALUE"""),"FLOAT")</f>
        <v>FLOAT</v>
      </c>
      <c r="BE778" s="97" t="str">
        <f>IFERROR(__xludf.DUMMYFUNCTION("""COMPUTED_VALUE"""),"Sin Ficha")</f>
        <v>Sin Ficha</v>
      </c>
      <c r="BF778" s="97"/>
      <c r="BG778" s="97" t="str">
        <f>IFERROR(__xludf.DUMMYFUNCTION("""COMPUTED_VALUE"""),"Discontinuo")</f>
        <v>Discontinuo</v>
      </c>
    </row>
    <row r="779">
      <c r="A779" s="97">
        <f>IFERROR(__xludf.DUMMYFUNCTION("""COMPUTED_VALUE"""),6538.0)</f>
        <v>6538</v>
      </c>
      <c r="B779" s="97" t="str">
        <f>IFERROR(__xludf.DUMMYFUNCTION("""COMPUTED_VALUE"""),"FLOAT BD")</f>
        <v>FLOAT BD</v>
      </c>
      <c r="C779" s="97" t="str">
        <f>IFERROR(__xludf.DUMMYFUNCTION("""COMPUTED_VALUE"""),"VELADOR FLOAT BORDO LEUK")</f>
        <v>VELADOR FLOAT BORDO LEUK</v>
      </c>
      <c r="D779" s="99">
        <f>IFERROR(__xludf.DUMMYFUNCTION("""COMPUTED_VALUE"""),7.798413220841E12)</f>
        <v>7798413220841</v>
      </c>
      <c r="E779" s="97"/>
      <c r="F779" s="97" t="str">
        <f>IFERROR(__xludf.DUMMYFUNCTION("""COMPUTED_VALUE"""),"E27")</f>
        <v>E27</v>
      </c>
      <c r="G779" s="97" t="str">
        <f>IFERROR(__xludf.DUMMYFUNCTION("""COMPUTED_VALUE"""),"N/A")</f>
        <v>N/A</v>
      </c>
      <c r="H779" s="97" t="str">
        <f>IFERROR(__xludf.DUMMYFUNCTION("""COMPUTED_VALUE"""),"N/A")</f>
        <v>N/A</v>
      </c>
      <c r="I779" s="97" t="str">
        <f>IFERROR(__xludf.DUMMYFUNCTION("""COMPUTED_VALUE"""),"N/A")</f>
        <v>N/A</v>
      </c>
      <c r="J779" s="97"/>
      <c r="K779" s="97" t="str">
        <f>IFERROR(__xludf.DUMMYFUNCTION("""COMPUTED_VALUE"""),"N/A")</f>
        <v>N/A</v>
      </c>
      <c r="L779" s="97"/>
      <c r="M779" s="97"/>
      <c r="N779" s="97"/>
      <c r="O779" s="97"/>
      <c r="P779" s="97"/>
      <c r="Q779" s="97" t="str">
        <f>IFERROR(__xludf.DUMMYFUNCTION("""COMPUTED_VALUE"""),"-")</f>
        <v>-</v>
      </c>
      <c r="R779" s="97" t="str">
        <f>IFERROR(__xludf.DUMMYFUNCTION("""COMPUTED_VALUE"""),"-")</f>
        <v>-</v>
      </c>
      <c r="S779" s="97" t="str">
        <f>IFERROR(__xludf.DUMMYFUNCTION("""COMPUTED_VALUE"""),"-")</f>
        <v>-</v>
      </c>
      <c r="T779" s="97" t="str">
        <f>IFERROR(__xludf.DUMMYFUNCTION("""COMPUTED_VALUE"""),"-")</f>
        <v>-</v>
      </c>
      <c r="U779" s="97" t="str">
        <f>IFERROR(__xludf.DUMMYFUNCTION("""COMPUTED_VALUE"""),"-")</f>
        <v>-</v>
      </c>
      <c r="V779" s="97" t="str">
        <f>IFERROR(__xludf.DUMMYFUNCTION("""COMPUTED_VALUE"""),"N/A")</f>
        <v>N/A</v>
      </c>
      <c r="W779" s="97" t="str">
        <f>IFERROR(__xludf.DUMMYFUNCTION("""COMPUTED_VALUE"""),"N/A")</f>
        <v>N/A</v>
      </c>
      <c r="X779" s="97" t="str">
        <f>IFERROR(__xludf.DUMMYFUNCTION("""COMPUTED_VALUE"""),"-")</f>
        <v>-</v>
      </c>
      <c r="Y779" s="97" t="str">
        <f>IFERROR(__xludf.DUMMYFUNCTION("""COMPUTED_VALUE"""),"N/A")</f>
        <v>N/A</v>
      </c>
      <c r="Z779" s="97" t="str">
        <f>IFERROR(__xludf.DUMMYFUNCTION("""COMPUTED_VALUE"""),"N/A")</f>
        <v>N/A</v>
      </c>
      <c r="AA779" s="97" t="str">
        <f>IFERROR(__xludf.DUMMYFUNCTION("""COMPUTED_VALUE"""),"N/A")</f>
        <v>N/A</v>
      </c>
      <c r="AB779" s="97" t="str">
        <f>IFERROR(__xludf.DUMMYFUNCTION("""COMPUTED_VALUE"""),"N/A")</f>
        <v>N/A</v>
      </c>
      <c r="AC779" s="97" t="str">
        <f>IFERROR(__xludf.DUMMYFUNCTION("""COMPUTED_VALUE"""),"N/A")</f>
        <v>N/A</v>
      </c>
      <c r="AD779" s="97" t="str">
        <f>IFERROR(__xludf.DUMMYFUNCTION("""COMPUTED_VALUE"""),"IP20")</f>
        <v>IP20</v>
      </c>
      <c r="AE779" s="97" t="str">
        <f>IFERROR(__xludf.DUMMYFUNCTION("""COMPUTED_VALUE"""),"Clase ll")</f>
        <v>Clase ll</v>
      </c>
      <c r="AF779" s="97" t="str">
        <f>IFERROR(__xludf.DUMMYFUNCTION("""COMPUTED_VALUE"""),"Autoportante")</f>
        <v>Autoportante</v>
      </c>
      <c r="AG779" s="97"/>
      <c r="AH779" s="97"/>
      <c r="AI779" s="97"/>
      <c r="AJ779" s="97" t="str">
        <f>IFERROR(__xludf.DUMMYFUNCTION("""COMPUTED_VALUE"""),"Vidrio")</f>
        <v>Vidrio</v>
      </c>
      <c r="AK779" s="97" t="str">
        <f>IFERROR(__xludf.DUMMYFUNCTION("""COMPUTED_VALUE"""),"Acero")</f>
        <v>Acero</v>
      </c>
      <c r="AL779" s="97"/>
      <c r="AM779" s="97" t="str">
        <f>IFERROR(__xludf.DUMMYFUNCTION("""COMPUTED_VALUE"""),"-")</f>
        <v>-</v>
      </c>
      <c r="AN779" s="97" t="str">
        <f>IFERROR(__xludf.DUMMYFUNCTION("""COMPUTED_VALUE"""),"N/A")</f>
        <v>N/A</v>
      </c>
      <c r="AO779" s="97" t="str">
        <f>IFERROR(__xludf.DUMMYFUNCTION("""COMPUTED_VALUE"""),"1 Año")</f>
        <v>1 Año</v>
      </c>
      <c r="AP779" s="97" t="str">
        <f>IFERROR(__xludf.DUMMYFUNCTION("""COMPUTED_VALUE"""),"No Aplica")</f>
        <v>No Aplica</v>
      </c>
      <c r="AQ779" s="97" t="str">
        <f>IFERROR(__xludf.DUMMYFUNCTION("""COMPUTED_VALUE"""),"No Aplica")</f>
        <v>No Aplica</v>
      </c>
      <c r="AR779" s="97" t="str">
        <f>IFERROR(__xludf.DUMMYFUNCTION("""COMPUTED_VALUE"""),"No Aplica")</f>
        <v>No Aplica</v>
      </c>
      <c r="AS779" s="97"/>
      <c r="AT779" s="97"/>
      <c r="AU779" s="97"/>
      <c r="AV779" s="97" t="str">
        <f>IFERROR(__xludf.DUMMYFUNCTION("""COMPUTED_VALUE"""),"Mesa")</f>
        <v>Mesa</v>
      </c>
      <c r="AW779" s="97" t="str">
        <f>IFERROR(__xludf.DUMMYFUNCTION("""COMPUTED_VALUE"""),"De Apoyo")</f>
        <v>De Apoyo</v>
      </c>
      <c r="AX779" s="97" t="str">
        <f>IFERROR(__xludf.DUMMYFUNCTION("""COMPUTED_VALUE"""),"Interior")</f>
        <v>Interior</v>
      </c>
      <c r="AY779" s="97"/>
      <c r="AZ779" s="97"/>
      <c r="BA779" s="97"/>
      <c r="BB779" s="97"/>
      <c r="BC779" s="97"/>
      <c r="BD779" s="97" t="str">
        <f>IFERROR(__xludf.DUMMYFUNCTION("""COMPUTED_VALUE"""),"FLOAT")</f>
        <v>FLOAT</v>
      </c>
      <c r="BE779" s="97" t="str">
        <f>IFERROR(__xludf.DUMMYFUNCTION("""COMPUTED_VALUE"""),"Sin Ficha")</f>
        <v>Sin Ficha</v>
      </c>
      <c r="BF779" s="97"/>
      <c r="BG779" s="97" t="str">
        <f>IFERROR(__xludf.DUMMYFUNCTION("""COMPUTED_VALUE"""),"Discontinuo")</f>
        <v>Discontinuo</v>
      </c>
    </row>
    <row r="780">
      <c r="A780" s="97">
        <f>IFERROR(__xludf.DUMMYFUNCTION("""COMPUTED_VALUE"""),6539.0)</f>
        <v>6539</v>
      </c>
      <c r="B780" s="97" t="str">
        <f>IFERROR(__xludf.DUMMYFUNCTION("""COMPUTED_VALUE"""),"FLOAT BL")</f>
        <v>FLOAT BL</v>
      </c>
      <c r="C780" s="97" t="str">
        <f>IFERROR(__xludf.DUMMYFUNCTION("""COMPUTED_VALUE"""),"LAMPARA DE PIE FLOAT BLANCO LEUK")</f>
        <v>LAMPARA DE PIE FLOAT BLANCO LEUK</v>
      </c>
      <c r="D780" s="99">
        <f>IFERROR(__xludf.DUMMYFUNCTION("""COMPUTED_VALUE"""),7.798413220629E12)</f>
        <v>7798413220629</v>
      </c>
      <c r="E780" s="97"/>
      <c r="F780" s="97" t="str">
        <f>IFERROR(__xludf.DUMMYFUNCTION("""COMPUTED_VALUE"""),"E27")</f>
        <v>E27</v>
      </c>
      <c r="G780" s="97" t="str">
        <f>IFERROR(__xludf.DUMMYFUNCTION("""COMPUTED_VALUE"""),"N/A")</f>
        <v>N/A</v>
      </c>
      <c r="H780" s="97" t="str">
        <f>IFERROR(__xludf.DUMMYFUNCTION("""COMPUTED_VALUE"""),"N/A")</f>
        <v>N/A</v>
      </c>
      <c r="I780" s="97" t="str">
        <f>IFERROR(__xludf.DUMMYFUNCTION("""COMPUTED_VALUE"""),"N/A")</f>
        <v>N/A</v>
      </c>
      <c r="J780" s="97"/>
      <c r="K780" s="97" t="str">
        <f>IFERROR(__xludf.DUMMYFUNCTION("""COMPUTED_VALUE"""),"N/A")</f>
        <v>N/A</v>
      </c>
      <c r="L780" s="97"/>
      <c r="M780" s="97"/>
      <c r="N780" s="97"/>
      <c r="O780" s="97"/>
      <c r="P780" s="97"/>
      <c r="Q780" s="97" t="str">
        <f>IFERROR(__xludf.DUMMYFUNCTION("""COMPUTED_VALUE"""),"-")</f>
        <v>-</v>
      </c>
      <c r="R780" s="97" t="str">
        <f>IFERROR(__xludf.DUMMYFUNCTION("""COMPUTED_VALUE"""),"-")</f>
        <v>-</v>
      </c>
      <c r="S780" s="97" t="str">
        <f>IFERROR(__xludf.DUMMYFUNCTION("""COMPUTED_VALUE"""),"-")</f>
        <v>-</v>
      </c>
      <c r="T780" s="97" t="str">
        <f>IFERROR(__xludf.DUMMYFUNCTION("""COMPUTED_VALUE"""),"-")</f>
        <v>-</v>
      </c>
      <c r="U780" s="97" t="str">
        <f>IFERROR(__xludf.DUMMYFUNCTION("""COMPUTED_VALUE"""),"-")</f>
        <v>-</v>
      </c>
      <c r="V780" s="97" t="str">
        <f>IFERROR(__xludf.DUMMYFUNCTION("""COMPUTED_VALUE"""),"N/A")</f>
        <v>N/A</v>
      </c>
      <c r="W780" s="97" t="str">
        <f>IFERROR(__xludf.DUMMYFUNCTION("""COMPUTED_VALUE"""),"N/A")</f>
        <v>N/A</v>
      </c>
      <c r="X780" s="97" t="str">
        <f>IFERROR(__xludf.DUMMYFUNCTION("""COMPUTED_VALUE"""),"-")</f>
        <v>-</v>
      </c>
      <c r="Y780" s="97" t="str">
        <f>IFERROR(__xludf.DUMMYFUNCTION("""COMPUTED_VALUE"""),"N/A")</f>
        <v>N/A</v>
      </c>
      <c r="Z780" s="97" t="str">
        <f>IFERROR(__xludf.DUMMYFUNCTION("""COMPUTED_VALUE"""),"N/A")</f>
        <v>N/A</v>
      </c>
      <c r="AA780" s="97" t="str">
        <f>IFERROR(__xludf.DUMMYFUNCTION("""COMPUTED_VALUE"""),"N/A")</f>
        <v>N/A</v>
      </c>
      <c r="AB780" s="97" t="str">
        <f>IFERROR(__xludf.DUMMYFUNCTION("""COMPUTED_VALUE"""),"N/A")</f>
        <v>N/A</v>
      </c>
      <c r="AC780" s="97" t="str">
        <f>IFERROR(__xludf.DUMMYFUNCTION("""COMPUTED_VALUE"""),"N/A")</f>
        <v>N/A</v>
      </c>
      <c r="AD780" s="97" t="str">
        <f>IFERROR(__xludf.DUMMYFUNCTION("""COMPUTED_VALUE"""),"IP20")</f>
        <v>IP20</v>
      </c>
      <c r="AE780" s="97" t="str">
        <f>IFERROR(__xludf.DUMMYFUNCTION("""COMPUTED_VALUE"""),"Clase ll")</f>
        <v>Clase ll</v>
      </c>
      <c r="AF780" s="97" t="str">
        <f>IFERROR(__xludf.DUMMYFUNCTION("""COMPUTED_VALUE"""),"Autoportante")</f>
        <v>Autoportante</v>
      </c>
      <c r="AG780" s="97"/>
      <c r="AH780" s="97"/>
      <c r="AI780" s="97"/>
      <c r="AJ780" s="97" t="str">
        <f>IFERROR(__xludf.DUMMYFUNCTION("""COMPUTED_VALUE"""),"Vidrio")</f>
        <v>Vidrio</v>
      </c>
      <c r="AK780" s="97" t="str">
        <f>IFERROR(__xludf.DUMMYFUNCTION("""COMPUTED_VALUE"""),"Acero")</f>
        <v>Acero</v>
      </c>
      <c r="AL780" s="97"/>
      <c r="AM780" s="97" t="str">
        <f>IFERROR(__xludf.DUMMYFUNCTION("""COMPUTED_VALUE"""),"-")</f>
        <v>-</v>
      </c>
      <c r="AN780" s="97" t="str">
        <f>IFERROR(__xludf.DUMMYFUNCTION("""COMPUTED_VALUE"""),"N/A")</f>
        <v>N/A</v>
      </c>
      <c r="AO780" s="97" t="str">
        <f>IFERROR(__xludf.DUMMYFUNCTION("""COMPUTED_VALUE"""),"1 Año")</f>
        <v>1 Año</v>
      </c>
      <c r="AP780" s="97" t="str">
        <f>IFERROR(__xludf.DUMMYFUNCTION("""COMPUTED_VALUE"""),"No Aplica")</f>
        <v>No Aplica</v>
      </c>
      <c r="AQ780" s="97" t="str">
        <f>IFERROR(__xludf.DUMMYFUNCTION("""COMPUTED_VALUE"""),"No Aplica")</f>
        <v>No Aplica</v>
      </c>
      <c r="AR780" s="97" t="str">
        <f>IFERROR(__xludf.DUMMYFUNCTION("""COMPUTED_VALUE"""),"No Aplica")</f>
        <v>No Aplica</v>
      </c>
      <c r="AS780" s="97"/>
      <c r="AT780" s="97"/>
      <c r="AU780" s="97"/>
      <c r="AV780" s="97" t="str">
        <f>IFERROR(__xludf.DUMMYFUNCTION("""COMPUTED_VALUE"""),"Pie")</f>
        <v>Pie</v>
      </c>
      <c r="AW780" s="97" t="str">
        <f>IFERROR(__xludf.DUMMYFUNCTION("""COMPUTED_VALUE"""),"De Apoyo")</f>
        <v>De Apoyo</v>
      </c>
      <c r="AX780" s="97" t="str">
        <f>IFERROR(__xludf.DUMMYFUNCTION("""COMPUTED_VALUE"""),"Interior")</f>
        <v>Interior</v>
      </c>
      <c r="AY780" s="97"/>
      <c r="AZ780" s="97"/>
      <c r="BA780" s="97"/>
      <c r="BB780" s="97"/>
      <c r="BC780" s="97"/>
      <c r="BD780" s="97" t="str">
        <f>IFERROR(__xludf.DUMMYFUNCTION("""COMPUTED_VALUE"""),"FLOAT")</f>
        <v>FLOAT</v>
      </c>
      <c r="BE780" s="97" t="str">
        <f>IFERROR(__xludf.DUMMYFUNCTION("""COMPUTED_VALUE"""),"Sin Ficha")</f>
        <v>Sin Ficha</v>
      </c>
      <c r="BF780" s="97"/>
      <c r="BG780" s="97" t="str">
        <f>IFERROR(__xludf.DUMMYFUNCTION("""COMPUTED_VALUE"""),"Discontinuo")</f>
        <v>Discontinuo</v>
      </c>
    </row>
    <row r="781">
      <c r="A781" s="97">
        <f>IFERROR(__xludf.DUMMYFUNCTION("""COMPUTED_VALUE"""),6540.0)</f>
        <v>6540</v>
      </c>
      <c r="B781" s="97" t="str">
        <f>IFERROR(__xludf.DUMMYFUNCTION("""COMPUTED_VALUE"""),"FLOAT NG")</f>
        <v>FLOAT NG</v>
      </c>
      <c r="C781" s="97" t="str">
        <f>IFERROR(__xludf.DUMMYFUNCTION("""COMPUTED_VALUE"""),"LAMPARA DE PIE FLOAT NEGRO LEUK")</f>
        <v>LAMPARA DE PIE FLOAT NEGRO LEUK</v>
      </c>
      <c r="D781" s="99">
        <f>IFERROR(__xludf.DUMMYFUNCTION("""COMPUTED_VALUE"""),7.798413220612E12)</f>
        <v>7798413220612</v>
      </c>
      <c r="E781" s="97"/>
      <c r="F781" s="97" t="str">
        <f>IFERROR(__xludf.DUMMYFUNCTION("""COMPUTED_VALUE"""),"E27")</f>
        <v>E27</v>
      </c>
      <c r="G781" s="97" t="str">
        <f>IFERROR(__xludf.DUMMYFUNCTION("""COMPUTED_VALUE"""),"N/A")</f>
        <v>N/A</v>
      </c>
      <c r="H781" s="97" t="str">
        <f>IFERROR(__xludf.DUMMYFUNCTION("""COMPUTED_VALUE"""),"N/A")</f>
        <v>N/A</v>
      </c>
      <c r="I781" s="97" t="str">
        <f>IFERROR(__xludf.DUMMYFUNCTION("""COMPUTED_VALUE"""),"N/A")</f>
        <v>N/A</v>
      </c>
      <c r="J781" s="97"/>
      <c r="K781" s="97" t="str">
        <f>IFERROR(__xludf.DUMMYFUNCTION("""COMPUTED_VALUE"""),"N/A")</f>
        <v>N/A</v>
      </c>
      <c r="L781" s="97"/>
      <c r="M781" s="97"/>
      <c r="N781" s="97"/>
      <c r="O781" s="97"/>
      <c r="P781" s="97"/>
      <c r="Q781" s="97" t="str">
        <f>IFERROR(__xludf.DUMMYFUNCTION("""COMPUTED_VALUE"""),"-")</f>
        <v>-</v>
      </c>
      <c r="R781" s="97" t="str">
        <f>IFERROR(__xludf.DUMMYFUNCTION("""COMPUTED_VALUE"""),"-")</f>
        <v>-</v>
      </c>
      <c r="S781" s="97" t="str">
        <f>IFERROR(__xludf.DUMMYFUNCTION("""COMPUTED_VALUE"""),"-")</f>
        <v>-</v>
      </c>
      <c r="T781" s="97" t="str">
        <f>IFERROR(__xludf.DUMMYFUNCTION("""COMPUTED_VALUE"""),"-")</f>
        <v>-</v>
      </c>
      <c r="U781" s="97" t="str">
        <f>IFERROR(__xludf.DUMMYFUNCTION("""COMPUTED_VALUE"""),"-")</f>
        <v>-</v>
      </c>
      <c r="V781" s="97" t="str">
        <f>IFERROR(__xludf.DUMMYFUNCTION("""COMPUTED_VALUE"""),"N/A")</f>
        <v>N/A</v>
      </c>
      <c r="W781" s="97" t="str">
        <f>IFERROR(__xludf.DUMMYFUNCTION("""COMPUTED_VALUE"""),"N/A")</f>
        <v>N/A</v>
      </c>
      <c r="X781" s="97" t="str">
        <f>IFERROR(__xludf.DUMMYFUNCTION("""COMPUTED_VALUE"""),"-")</f>
        <v>-</v>
      </c>
      <c r="Y781" s="97" t="str">
        <f>IFERROR(__xludf.DUMMYFUNCTION("""COMPUTED_VALUE"""),"N/A")</f>
        <v>N/A</v>
      </c>
      <c r="Z781" s="97" t="str">
        <f>IFERROR(__xludf.DUMMYFUNCTION("""COMPUTED_VALUE"""),"N/A")</f>
        <v>N/A</v>
      </c>
      <c r="AA781" s="97" t="str">
        <f>IFERROR(__xludf.DUMMYFUNCTION("""COMPUTED_VALUE"""),"N/A")</f>
        <v>N/A</v>
      </c>
      <c r="AB781" s="97" t="str">
        <f>IFERROR(__xludf.DUMMYFUNCTION("""COMPUTED_VALUE"""),"N/A")</f>
        <v>N/A</v>
      </c>
      <c r="AC781" s="97" t="str">
        <f>IFERROR(__xludf.DUMMYFUNCTION("""COMPUTED_VALUE"""),"N/A")</f>
        <v>N/A</v>
      </c>
      <c r="AD781" s="97" t="str">
        <f>IFERROR(__xludf.DUMMYFUNCTION("""COMPUTED_VALUE"""),"IP20")</f>
        <v>IP20</v>
      </c>
      <c r="AE781" s="97" t="str">
        <f>IFERROR(__xludf.DUMMYFUNCTION("""COMPUTED_VALUE"""),"Clase ll")</f>
        <v>Clase ll</v>
      </c>
      <c r="AF781" s="97" t="str">
        <f>IFERROR(__xludf.DUMMYFUNCTION("""COMPUTED_VALUE"""),"Autoportante")</f>
        <v>Autoportante</v>
      </c>
      <c r="AG781" s="97"/>
      <c r="AH781" s="97"/>
      <c r="AI781" s="97"/>
      <c r="AJ781" s="97" t="str">
        <f>IFERROR(__xludf.DUMMYFUNCTION("""COMPUTED_VALUE"""),"Vidrio")</f>
        <v>Vidrio</v>
      </c>
      <c r="AK781" s="97" t="str">
        <f>IFERROR(__xludf.DUMMYFUNCTION("""COMPUTED_VALUE"""),"Acero")</f>
        <v>Acero</v>
      </c>
      <c r="AL781" s="97"/>
      <c r="AM781" s="97" t="str">
        <f>IFERROR(__xludf.DUMMYFUNCTION("""COMPUTED_VALUE"""),"-")</f>
        <v>-</v>
      </c>
      <c r="AN781" s="97" t="str">
        <f>IFERROR(__xludf.DUMMYFUNCTION("""COMPUTED_VALUE"""),"N/A")</f>
        <v>N/A</v>
      </c>
      <c r="AO781" s="97" t="str">
        <f>IFERROR(__xludf.DUMMYFUNCTION("""COMPUTED_VALUE"""),"1 Año")</f>
        <v>1 Año</v>
      </c>
      <c r="AP781" s="97" t="str">
        <f>IFERROR(__xludf.DUMMYFUNCTION("""COMPUTED_VALUE"""),"No Aplica")</f>
        <v>No Aplica</v>
      </c>
      <c r="AQ781" s="97" t="str">
        <f>IFERROR(__xludf.DUMMYFUNCTION("""COMPUTED_VALUE"""),"No Aplica")</f>
        <v>No Aplica</v>
      </c>
      <c r="AR781" s="97" t="str">
        <f>IFERROR(__xludf.DUMMYFUNCTION("""COMPUTED_VALUE"""),"No Aplica")</f>
        <v>No Aplica</v>
      </c>
      <c r="AS781" s="97"/>
      <c r="AT781" s="97"/>
      <c r="AU781" s="97"/>
      <c r="AV781" s="97" t="str">
        <f>IFERROR(__xludf.DUMMYFUNCTION("""COMPUTED_VALUE"""),"Pie")</f>
        <v>Pie</v>
      </c>
      <c r="AW781" s="97" t="str">
        <f>IFERROR(__xludf.DUMMYFUNCTION("""COMPUTED_VALUE"""),"De Apoyo")</f>
        <v>De Apoyo</v>
      </c>
      <c r="AX781" s="97" t="str">
        <f>IFERROR(__xludf.DUMMYFUNCTION("""COMPUTED_VALUE"""),"Interior")</f>
        <v>Interior</v>
      </c>
      <c r="AY781" s="97"/>
      <c r="AZ781" s="97"/>
      <c r="BA781" s="97"/>
      <c r="BB781" s="97"/>
      <c r="BC781" s="97"/>
      <c r="BD781" s="97" t="str">
        <f>IFERROR(__xludf.DUMMYFUNCTION("""COMPUTED_VALUE"""),"FLOAT")</f>
        <v>FLOAT</v>
      </c>
      <c r="BE781" s="97" t="str">
        <f>IFERROR(__xludf.DUMMYFUNCTION("""COMPUTED_VALUE"""),"Sin Ficha")</f>
        <v>Sin Ficha</v>
      </c>
      <c r="BF781" s="97"/>
      <c r="BG781" s="97" t="str">
        <f>IFERROR(__xludf.DUMMYFUNCTION("""COMPUTED_VALUE"""),"Discontinuo")</f>
        <v>Discontinuo</v>
      </c>
    </row>
    <row r="782">
      <c r="A782" s="97">
        <f>IFERROR(__xludf.DUMMYFUNCTION("""COMPUTED_VALUE"""),6541.0)</f>
        <v>6541</v>
      </c>
      <c r="B782" s="97" t="str">
        <f>IFERROR(__xludf.DUMMYFUNCTION("""COMPUTED_VALUE"""),"FLOAT BD")</f>
        <v>FLOAT BD</v>
      </c>
      <c r="C782" s="97" t="str">
        <f>IFERROR(__xludf.DUMMYFUNCTION("""COMPUTED_VALUE"""),"LAMPARA DE PIE FLOAT BORDO LEUK")</f>
        <v>LAMPARA DE PIE FLOAT BORDO LEUK</v>
      </c>
      <c r="D782" s="99">
        <f>IFERROR(__xludf.DUMMYFUNCTION("""COMPUTED_VALUE"""),7.798413220636E12)</f>
        <v>7798413220636</v>
      </c>
      <c r="E782" s="97"/>
      <c r="F782" s="97" t="str">
        <f>IFERROR(__xludf.DUMMYFUNCTION("""COMPUTED_VALUE"""),"E27")</f>
        <v>E27</v>
      </c>
      <c r="G782" s="97" t="str">
        <f>IFERROR(__xludf.DUMMYFUNCTION("""COMPUTED_VALUE"""),"N/A")</f>
        <v>N/A</v>
      </c>
      <c r="H782" s="97" t="str">
        <f>IFERROR(__xludf.DUMMYFUNCTION("""COMPUTED_VALUE"""),"N/A")</f>
        <v>N/A</v>
      </c>
      <c r="I782" s="97" t="str">
        <f>IFERROR(__xludf.DUMMYFUNCTION("""COMPUTED_VALUE"""),"N/A")</f>
        <v>N/A</v>
      </c>
      <c r="J782" s="97"/>
      <c r="K782" s="97" t="str">
        <f>IFERROR(__xludf.DUMMYFUNCTION("""COMPUTED_VALUE"""),"N/A")</f>
        <v>N/A</v>
      </c>
      <c r="L782" s="97"/>
      <c r="M782" s="97"/>
      <c r="N782" s="97"/>
      <c r="O782" s="97"/>
      <c r="P782" s="97"/>
      <c r="Q782" s="97" t="str">
        <f>IFERROR(__xludf.DUMMYFUNCTION("""COMPUTED_VALUE"""),"-")</f>
        <v>-</v>
      </c>
      <c r="R782" s="97" t="str">
        <f>IFERROR(__xludf.DUMMYFUNCTION("""COMPUTED_VALUE"""),"-")</f>
        <v>-</v>
      </c>
      <c r="S782" s="97" t="str">
        <f>IFERROR(__xludf.DUMMYFUNCTION("""COMPUTED_VALUE"""),"-")</f>
        <v>-</v>
      </c>
      <c r="T782" s="97" t="str">
        <f>IFERROR(__xludf.DUMMYFUNCTION("""COMPUTED_VALUE"""),"-")</f>
        <v>-</v>
      </c>
      <c r="U782" s="97" t="str">
        <f>IFERROR(__xludf.DUMMYFUNCTION("""COMPUTED_VALUE"""),"-")</f>
        <v>-</v>
      </c>
      <c r="V782" s="97" t="str">
        <f>IFERROR(__xludf.DUMMYFUNCTION("""COMPUTED_VALUE"""),"N/A")</f>
        <v>N/A</v>
      </c>
      <c r="W782" s="97" t="str">
        <f>IFERROR(__xludf.DUMMYFUNCTION("""COMPUTED_VALUE"""),"N/A")</f>
        <v>N/A</v>
      </c>
      <c r="X782" s="97" t="str">
        <f>IFERROR(__xludf.DUMMYFUNCTION("""COMPUTED_VALUE"""),"-")</f>
        <v>-</v>
      </c>
      <c r="Y782" s="97" t="str">
        <f>IFERROR(__xludf.DUMMYFUNCTION("""COMPUTED_VALUE"""),"N/A")</f>
        <v>N/A</v>
      </c>
      <c r="Z782" s="97" t="str">
        <f>IFERROR(__xludf.DUMMYFUNCTION("""COMPUTED_VALUE"""),"N/A")</f>
        <v>N/A</v>
      </c>
      <c r="AA782" s="97" t="str">
        <f>IFERROR(__xludf.DUMMYFUNCTION("""COMPUTED_VALUE"""),"N/A")</f>
        <v>N/A</v>
      </c>
      <c r="AB782" s="97" t="str">
        <f>IFERROR(__xludf.DUMMYFUNCTION("""COMPUTED_VALUE"""),"N/A")</f>
        <v>N/A</v>
      </c>
      <c r="AC782" s="97" t="str">
        <f>IFERROR(__xludf.DUMMYFUNCTION("""COMPUTED_VALUE"""),"N/A")</f>
        <v>N/A</v>
      </c>
      <c r="AD782" s="97" t="str">
        <f>IFERROR(__xludf.DUMMYFUNCTION("""COMPUTED_VALUE"""),"IP20")</f>
        <v>IP20</v>
      </c>
      <c r="AE782" s="97" t="str">
        <f>IFERROR(__xludf.DUMMYFUNCTION("""COMPUTED_VALUE"""),"Clase ll")</f>
        <v>Clase ll</v>
      </c>
      <c r="AF782" s="97" t="str">
        <f>IFERROR(__xludf.DUMMYFUNCTION("""COMPUTED_VALUE"""),"Autoportante")</f>
        <v>Autoportante</v>
      </c>
      <c r="AG782" s="97"/>
      <c r="AH782" s="97"/>
      <c r="AI782" s="97"/>
      <c r="AJ782" s="97" t="str">
        <f>IFERROR(__xludf.DUMMYFUNCTION("""COMPUTED_VALUE"""),"Vidrio")</f>
        <v>Vidrio</v>
      </c>
      <c r="AK782" s="97" t="str">
        <f>IFERROR(__xludf.DUMMYFUNCTION("""COMPUTED_VALUE"""),"Acero")</f>
        <v>Acero</v>
      </c>
      <c r="AL782" s="97"/>
      <c r="AM782" s="97" t="str">
        <f>IFERROR(__xludf.DUMMYFUNCTION("""COMPUTED_VALUE"""),"-")</f>
        <v>-</v>
      </c>
      <c r="AN782" s="97" t="str">
        <f>IFERROR(__xludf.DUMMYFUNCTION("""COMPUTED_VALUE"""),"N/A")</f>
        <v>N/A</v>
      </c>
      <c r="AO782" s="97" t="str">
        <f>IFERROR(__xludf.DUMMYFUNCTION("""COMPUTED_VALUE"""),"1 Año")</f>
        <v>1 Año</v>
      </c>
      <c r="AP782" s="97" t="str">
        <f>IFERROR(__xludf.DUMMYFUNCTION("""COMPUTED_VALUE"""),"No Aplica")</f>
        <v>No Aplica</v>
      </c>
      <c r="AQ782" s="97" t="str">
        <f>IFERROR(__xludf.DUMMYFUNCTION("""COMPUTED_VALUE"""),"No Aplica")</f>
        <v>No Aplica</v>
      </c>
      <c r="AR782" s="97" t="str">
        <f>IFERROR(__xludf.DUMMYFUNCTION("""COMPUTED_VALUE"""),"No Aplica")</f>
        <v>No Aplica</v>
      </c>
      <c r="AS782" s="97"/>
      <c r="AT782" s="97"/>
      <c r="AU782" s="97"/>
      <c r="AV782" s="97" t="str">
        <f>IFERROR(__xludf.DUMMYFUNCTION("""COMPUTED_VALUE"""),"Pie")</f>
        <v>Pie</v>
      </c>
      <c r="AW782" s="97" t="str">
        <f>IFERROR(__xludf.DUMMYFUNCTION("""COMPUTED_VALUE"""),"De Apoyo")</f>
        <v>De Apoyo</v>
      </c>
      <c r="AX782" s="97" t="str">
        <f>IFERROR(__xludf.DUMMYFUNCTION("""COMPUTED_VALUE"""),"Interior")</f>
        <v>Interior</v>
      </c>
      <c r="AY782" s="97"/>
      <c r="AZ782" s="97"/>
      <c r="BA782" s="97"/>
      <c r="BB782" s="97"/>
      <c r="BC782" s="97"/>
      <c r="BD782" s="97" t="str">
        <f>IFERROR(__xludf.DUMMYFUNCTION("""COMPUTED_VALUE"""),"FLOAT")</f>
        <v>FLOAT</v>
      </c>
      <c r="BE782" s="97" t="str">
        <f>IFERROR(__xludf.DUMMYFUNCTION("""COMPUTED_VALUE"""),"Sin Ficha")</f>
        <v>Sin Ficha</v>
      </c>
      <c r="BF782" s="97"/>
      <c r="BG782" s="97" t="str">
        <f>IFERROR(__xludf.DUMMYFUNCTION("""COMPUTED_VALUE"""),"Discontinuo")</f>
        <v>Discontinuo</v>
      </c>
    </row>
    <row r="783">
      <c r="A783" s="97">
        <f>IFERROR(__xludf.DUMMYFUNCTION("""COMPUTED_VALUE"""),6542.0)</f>
        <v>6542</v>
      </c>
      <c r="B783" s="97" t="str">
        <f>IFERROR(__xludf.DUMMYFUNCTION("""COMPUTED_VALUE"""),"HELE MS NG")</f>
        <v>HELE MS NG</v>
      </c>
      <c r="C783" s="97" t="str">
        <f>IFERROR(__xludf.DUMMYFUNCTION("""COMPUTED_VALUE"""),"VELADOR HELE NEGRO LEUK ")</f>
        <v>VELADOR HELE NEGRO LEUK </v>
      </c>
      <c r="D783" s="97">
        <f>IFERROR(__xludf.DUMMYFUNCTION("""COMPUTED_VALUE"""),7.798413220889E12)</f>
        <v>7798413220889</v>
      </c>
      <c r="E783" s="97"/>
      <c r="F783" s="97" t="str">
        <f>IFERROR(__xludf.DUMMYFUNCTION("""COMPUTED_VALUE"""),"E27")</f>
        <v>E27</v>
      </c>
      <c r="G783" s="97" t="str">
        <f>IFERROR(__xludf.DUMMYFUNCTION("""COMPUTED_VALUE"""),"N/A")</f>
        <v>N/A</v>
      </c>
      <c r="H783" s="97" t="str">
        <f>IFERROR(__xludf.DUMMYFUNCTION("""COMPUTED_VALUE"""),"N/A")</f>
        <v>N/A</v>
      </c>
      <c r="I783" s="97" t="str">
        <f>IFERROR(__xludf.DUMMYFUNCTION("""COMPUTED_VALUE"""),"N/A")</f>
        <v>N/A</v>
      </c>
      <c r="J783" s="97"/>
      <c r="K783" s="97" t="str">
        <f>IFERROR(__xludf.DUMMYFUNCTION("""COMPUTED_VALUE"""),"N/A")</f>
        <v>N/A</v>
      </c>
      <c r="L783" s="97"/>
      <c r="M783" s="97"/>
      <c r="N783" s="97"/>
      <c r="O783" s="97"/>
      <c r="P783" s="97"/>
      <c r="Q783" s="97" t="str">
        <f>IFERROR(__xludf.DUMMYFUNCTION("""COMPUTED_VALUE"""),"-")</f>
        <v>-</v>
      </c>
      <c r="R783" s="97" t="str">
        <f>IFERROR(__xludf.DUMMYFUNCTION("""COMPUTED_VALUE"""),"-")</f>
        <v>-</v>
      </c>
      <c r="S783" s="97" t="str">
        <f>IFERROR(__xludf.DUMMYFUNCTION("""COMPUTED_VALUE"""),"-")</f>
        <v>-</v>
      </c>
      <c r="T783" s="97" t="str">
        <f>IFERROR(__xludf.DUMMYFUNCTION("""COMPUTED_VALUE"""),"-")</f>
        <v>-</v>
      </c>
      <c r="U783" s="97" t="str">
        <f>IFERROR(__xludf.DUMMYFUNCTION("""COMPUTED_VALUE"""),"-")</f>
        <v>-</v>
      </c>
      <c r="V783" s="97" t="str">
        <f>IFERROR(__xludf.DUMMYFUNCTION("""COMPUTED_VALUE"""),"N/A")</f>
        <v>N/A</v>
      </c>
      <c r="W783" s="97" t="str">
        <f>IFERROR(__xludf.DUMMYFUNCTION("""COMPUTED_VALUE"""),"N/A")</f>
        <v>N/A</v>
      </c>
      <c r="X783" s="97" t="str">
        <f>IFERROR(__xludf.DUMMYFUNCTION("""COMPUTED_VALUE"""),"-")</f>
        <v>-</v>
      </c>
      <c r="Y783" s="97" t="str">
        <f>IFERROR(__xludf.DUMMYFUNCTION("""COMPUTED_VALUE"""),"N/A")</f>
        <v>N/A</v>
      </c>
      <c r="Z783" s="97" t="str">
        <f>IFERROR(__xludf.DUMMYFUNCTION("""COMPUTED_VALUE"""),"N/A")</f>
        <v>N/A</v>
      </c>
      <c r="AA783" s="97" t="str">
        <f>IFERROR(__xludf.DUMMYFUNCTION("""COMPUTED_VALUE"""),"N/A")</f>
        <v>N/A</v>
      </c>
      <c r="AB783" s="97" t="str">
        <f>IFERROR(__xludf.DUMMYFUNCTION("""COMPUTED_VALUE"""),"N/A")</f>
        <v>N/A</v>
      </c>
      <c r="AC783" s="97" t="str">
        <f>IFERROR(__xludf.DUMMYFUNCTION("""COMPUTED_VALUE"""),"N/A")</f>
        <v>N/A</v>
      </c>
      <c r="AD783" s="97" t="str">
        <f>IFERROR(__xludf.DUMMYFUNCTION("""COMPUTED_VALUE"""),"IP20")</f>
        <v>IP20</v>
      </c>
      <c r="AE783" s="97" t="str">
        <f>IFERROR(__xludf.DUMMYFUNCTION("""COMPUTED_VALUE"""),"Clase ll")</f>
        <v>Clase ll</v>
      </c>
      <c r="AF783" s="97" t="str">
        <f>IFERROR(__xludf.DUMMYFUNCTION("""COMPUTED_VALUE"""),"Autoportante")</f>
        <v>Autoportante</v>
      </c>
      <c r="AG783" s="97"/>
      <c r="AH783" s="97"/>
      <c r="AI783" s="97"/>
      <c r="AJ783" s="97" t="str">
        <f>IFERROR(__xludf.DUMMYFUNCTION("""COMPUTED_VALUE"""),"Vidrio")</f>
        <v>Vidrio</v>
      </c>
      <c r="AK783" s="97" t="str">
        <f>IFERROR(__xludf.DUMMYFUNCTION("""COMPUTED_VALUE"""),"Acero")</f>
        <v>Acero</v>
      </c>
      <c r="AL783" s="97"/>
      <c r="AM783" s="97" t="str">
        <f>IFERROR(__xludf.DUMMYFUNCTION("""COMPUTED_VALUE"""),"-")</f>
        <v>-</v>
      </c>
      <c r="AN783" s="97" t="str">
        <f>IFERROR(__xludf.DUMMYFUNCTION("""COMPUTED_VALUE"""),"N/A")</f>
        <v>N/A</v>
      </c>
      <c r="AO783" s="97" t="str">
        <f>IFERROR(__xludf.DUMMYFUNCTION("""COMPUTED_VALUE"""),"1 Año")</f>
        <v>1 Año</v>
      </c>
      <c r="AP783" s="97" t="str">
        <f>IFERROR(__xludf.DUMMYFUNCTION("""COMPUTED_VALUE"""),"No Aplica")</f>
        <v>No Aplica</v>
      </c>
      <c r="AQ783" s="97" t="str">
        <f>IFERROR(__xludf.DUMMYFUNCTION("""COMPUTED_VALUE"""),"No Aplica")</f>
        <v>No Aplica</v>
      </c>
      <c r="AR783" s="97" t="str">
        <f>IFERROR(__xludf.DUMMYFUNCTION("""COMPUTED_VALUE"""),"No Aplica")</f>
        <v>No Aplica</v>
      </c>
      <c r="AS783" s="97"/>
      <c r="AT783" s="97"/>
      <c r="AU783" s="97"/>
      <c r="AV783" s="97" t="str">
        <f>IFERROR(__xludf.DUMMYFUNCTION("""COMPUTED_VALUE"""),"Mesa")</f>
        <v>Mesa</v>
      </c>
      <c r="AW783" s="97" t="str">
        <f>IFERROR(__xludf.DUMMYFUNCTION("""COMPUTED_VALUE"""),"De Apoyo")</f>
        <v>De Apoyo</v>
      </c>
      <c r="AX783" s="97" t="str">
        <f>IFERROR(__xludf.DUMMYFUNCTION("""COMPUTED_VALUE"""),"Interior")</f>
        <v>Interior</v>
      </c>
      <c r="AY783" s="97"/>
      <c r="AZ783" s="97"/>
      <c r="BA783" s="97">
        <f>IFERROR(__xludf.DUMMYFUNCTION("""COMPUTED_VALUE"""),1.0)</f>
        <v>1</v>
      </c>
      <c r="BB783" s="97"/>
      <c r="BC783" s="97"/>
      <c r="BD783" s="97" t="str">
        <f>IFERROR(__xludf.DUMMYFUNCTION("""COMPUTED_VALUE"""),"HELE ")</f>
        <v>HELE </v>
      </c>
      <c r="BE783" s="97" t="str">
        <f>IFERROR(__xludf.DUMMYFUNCTION("""COMPUTED_VALUE"""),"Sin Ficha")</f>
        <v>Sin Ficha</v>
      </c>
      <c r="BF783" s="97"/>
      <c r="BG783" s="97" t="str">
        <f>IFERROR(__xludf.DUMMYFUNCTION("""COMPUTED_VALUE"""),"Discontinuo")</f>
        <v>Discontinuo</v>
      </c>
    </row>
    <row r="784">
      <c r="A784" s="97">
        <f>IFERROR(__xludf.DUMMYFUNCTION("""COMPUTED_VALUE"""),6543.0)</f>
        <v>6543</v>
      </c>
      <c r="B784" s="97" t="str">
        <f>IFERROR(__xludf.DUMMYFUNCTION("""COMPUTED_VALUE"""),"HELE MS BL")</f>
        <v>HELE MS BL</v>
      </c>
      <c r="C784" s="97" t="str">
        <f>IFERROR(__xludf.DUMMYFUNCTION("""COMPUTED_VALUE"""),"VELADOR HELE BLANCO LEUK")</f>
        <v>VELADOR HELE BLANCO LEUK</v>
      </c>
      <c r="D784" s="97">
        <f>IFERROR(__xludf.DUMMYFUNCTION("""COMPUTED_VALUE"""),7.798413220896E12)</f>
        <v>7798413220896</v>
      </c>
      <c r="E784" s="97"/>
      <c r="F784" s="97" t="str">
        <f>IFERROR(__xludf.DUMMYFUNCTION("""COMPUTED_VALUE"""),"E27")</f>
        <v>E27</v>
      </c>
      <c r="G784" s="97" t="str">
        <f>IFERROR(__xludf.DUMMYFUNCTION("""COMPUTED_VALUE"""),"N/A")</f>
        <v>N/A</v>
      </c>
      <c r="H784" s="97" t="str">
        <f>IFERROR(__xludf.DUMMYFUNCTION("""COMPUTED_VALUE"""),"N/A")</f>
        <v>N/A</v>
      </c>
      <c r="I784" s="97" t="str">
        <f>IFERROR(__xludf.DUMMYFUNCTION("""COMPUTED_VALUE"""),"N/A")</f>
        <v>N/A</v>
      </c>
      <c r="J784" s="97"/>
      <c r="K784" s="97" t="str">
        <f>IFERROR(__xludf.DUMMYFUNCTION("""COMPUTED_VALUE"""),"N/A")</f>
        <v>N/A</v>
      </c>
      <c r="L784" s="97"/>
      <c r="M784" s="97"/>
      <c r="N784" s="97"/>
      <c r="O784" s="97"/>
      <c r="P784" s="97"/>
      <c r="Q784" s="97" t="str">
        <f>IFERROR(__xludf.DUMMYFUNCTION("""COMPUTED_VALUE"""),"-")</f>
        <v>-</v>
      </c>
      <c r="R784" s="97" t="str">
        <f>IFERROR(__xludf.DUMMYFUNCTION("""COMPUTED_VALUE"""),"-")</f>
        <v>-</v>
      </c>
      <c r="S784" s="97" t="str">
        <f>IFERROR(__xludf.DUMMYFUNCTION("""COMPUTED_VALUE"""),"-")</f>
        <v>-</v>
      </c>
      <c r="T784" s="97" t="str">
        <f>IFERROR(__xludf.DUMMYFUNCTION("""COMPUTED_VALUE"""),"-")</f>
        <v>-</v>
      </c>
      <c r="U784" s="97" t="str">
        <f>IFERROR(__xludf.DUMMYFUNCTION("""COMPUTED_VALUE"""),"-")</f>
        <v>-</v>
      </c>
      <c r="V784" s="97" t="str">
        <f>IFERROR(__xludf.DUMMYFUNCTION("""COMPUTED_VALUE"""),"N/A")</f>
        <v>N/A</v>
      </c>
      <c r="W784" s="97" t="str">
        <f>IFERROR(__xludf.DUMMYFUNCTION("""COMPUTED_VALUE"""),"N/A")</f>
        <v>N/A</v>
      </c>
      <c r="X784" s="97" t="str">
        <f>IFERROR(__xludf.DUMMYFUNCTION("""COMPUTED_VALUE"""),"-")</f>
        <v>-</v>
      </c>
      <c r="Y784" s="97" t="str">
        <f>IFERROR(__xludf.DUMMYFUNCTION("""COMPUTED_VALUE"""),"N/A")</f>
        <v>N/A</v>
      </c>
      <c r="Z784" s="97" t="str">
        <f>IFERROR(__xludf.DUMMYFUNCTION("""COMPUTED_VALUE"""),"N/A")</f>
        <v>N/A</v>
      </c>
      <c r="AA784" s="97" t="str">
        <f>IFERROR(__xludf.DUMMYFUNCTION("""COMPUTED_VALUE"""),"N/A")</f>
        <v>N/A</v>
      </c>
      <c r="AB784" s="97" t="str">
        <f>IFERROR(__xludf.DUMMYFUNCTION("""COMPUTED_VALUE"""),"N/A")</f>
        <v>N/A</v>
      </c>
      <c r="AC784" s="97" t="str">
        <f>IFERROR(__xludf.DUMMYFUNCTION("""COMPUTED_VALUE"""),"N/A")</f>
        <v>N/A</v>
      </c>
      <c r="AD784" s="97" t="str">
        <f>IFERROR(__xludf.DUMMYFUNCTION("""COMPUTED_VALUE"""),"IP20")</f>
        <v>IP20</v>
      </c>
      <c r="AE784" s="97" t="str">
        <f>IFERROR(__xludf.DUMMYFUNCTION("""COMPUTED_VALUE"""),"Clase ll")</f>
        <v>Clase ll</v>
      </c>
      <c r="AF784" s="97" t="str">
        <f>IFERROR(__xludf.DUMMYFUNCTION("""COMPUTED_VALUE"""),"Autoportante")</f>
        <v>Autoportante</v>
      </c>
      <c r="AG784" s="97"/>
      <c r="AH784" s="97"/>
      <c r="AI784" s="97"/>
      <c r="AJ784" s="97" t="str">
        <f>IFERROR(__xludf.DUMMYFUNCTION("""COMPUTED_VALUE"""),"Vidrio")</f>
        <v>Vidrio</v>
      </c>
      <c r="AK784" s="97" t="str">
        <f>IFERROR(__xludf.DUMMYFUNCTION("""COMPUTED_VALUE"""),"Acero")</f>
        <v>Acero</v>
      </c>
      <c r="AL784" s="97"/>
      <c r="AM784" s="97" t="str">
        <f>IFERROR(__xludf.DUMMYFUNCTION("""COMPUTED_VALUE"""),"-")</f>
        <v>-</v>
      </c>
      <c r="AN784" s="97" t="str">
        <f>IFERROR(__xludf.DUMMYFUNCTION("""COMPUTED_VALUE"""),"N/A")</f>
        <v>N/A</v>
      </c>
      <c r="AO784" s="97" t="str">
        <f>IFERROR(__xludf.DUMMYFUNCTION("""COMPUTED_VALUE"""),"1 Año")</f>
        <v>1 Año</v>
      </c>
      <c r="AP784" s="97" t="str">
        <f>IFERROR(__xludf.DUMMYFUNCTION("""COMPUTED_VALUE"""),"No Aplica")</f>
        <v>No Aplica</v>
      </c>
      <c r="AQ784" s="97" t="str">
        <f>IFERROR(__xludf.DUMMYFUNCTION("""COMPUTED_VALUE"""),"No Aplica")</f>
        <v>No Aplica</v>
      </c>
      <c r="AR784" s="97" t="str">
        <f>IFERROR(__xludf.DUMMYFUNCTION("""COMPUTED_VALUE"""),"No Aplica")</f>
        <v>No Aplica</v>
      </c>
      <c r="AS784" s="97"/>
      <c r="AT784" s="97"/>
      <c r="AU784" s="97"/>
      <c r="AV784" s="97" t="str">
        <f>IFERROR(__xludf.DUMMYFUNCTION("""COMPUTED_VALUE"""),"Mesa")</f>
        <v>Mesa</v>
      </c>
      <c r="AW784" s="97" t="str">
        <f>IFERROR(__xludf.DUMMYFUNCTION("""COMPUTED_VALUE"""),"De Apoyo")</f>
        <v>De Apoyo</v>
      </c>
      <c r="AX784" s="97" t="str">
        <f>IFERROR(__xludf.DUMMYFUNCTION("""COMPUTED_VALUE"""),"Interior")</f>
        <v>Interior</v>
      </c>
      <c r="AY784" s="97"/>
      <c r="AZ784" s="97"/>
      <c r="BA784" s="97">
        <f>IFERROR(__xludf.DUMMYFUNCTION("""COMPUTED_VALUE"""),1.0)</f>
        <v>1</v>
      </c>
      <c r="BB784" s="97"/>
      <c r="BC784" s="97"/>
      <c r="BD784" s="97" t="str">
        <f>IFERROR(__xludf.DUMMYFUNCTION("""COMPUTED_VALUE"""),"HELE")</f>
        <v>HELE</v>
      </c>
      <c r="BE784" s="97" t="str">
        <f>IFERROR(__xludf.DUMMYFUNCTION("""COMPUTED_VALUE"""),"Sin Ficha")</f>
        <v>Sin Ficha</v>
      </c>
      <c r="BF784" s="97"/>
      <c r="BG784" s="97" t="str">
        <f>IFERROR(__xludf.DUMMYFUNCTION("""COMPUTED_VALUE"""),"Discontinuo")</f>
        <v>Discontinuo</v>
      </c>
    </row>
    <row r="785">
      <c r="A785" s="97">
        <f>IFERROR(__xludf.DUMMYFUNCTION("""COMPUTED_VALUE"""),6544.0)</f>
        <v>6544</v>
      </c>
      <c r="B785" s="97" t="str">
        <f>IFERROR(__xludf.DUMMYFUNCTION("""COMPUTED_VALUE"""),"HELE MS BD")</f>
        <v>HELE MS BD</v>
      </c>
      <c r="C785" s="97" t="str">
        <f>IFERROR(__xludf.DUMMYFUNCTION("""COMPUTED_VALUE"""),"VELADOR HELE BORDO LEUK ")</f>
        <v>VELADOR HELE BORDO LEUK </v>
      </c>
      <c r="D785" s="97">
        <f>IFERROR(__xludf.DUMMYFUNCTION("""COMPUTED_VALUE"""),7.798413220902E12)</f>
        <v>7798413220902</v>
      </c>
      <c r="E785" s="97"/>
      <c r="F785" s="97" t="str">
        <f>IFERROR(__xludf.DUMMYFUNCTION("""COMPUTED_VALUE"""),"E27")</f>
        <v>E27</v>
      </c>
      <c r="G785" s="97" t="str">
        <f>IFERROR(__xludf.DUMMYFUNCTION("""COMPUTED_VALUE"""),"N/A")</f>
        <v>N/A</v>
      </c>
      <c r="H785" s="97" t="str">
        <f>IFERROR(__xludf.DUMMYFUNCTION("""COMPUTED_VALUE"""),"N/A")</f>
        <v>N/A</v>
      </c>
      <c r="I785" s="97" t="str">
        <f>IFERROR(__xludf.DUMMYFUNCTION("""COMPUTED_VALUE"""),"N/A")</f>
        <v>N/A</v>
      </c>
      <c r="J785" s="97"/>
      <c r="K785" s="97" t="str">
        <f>IFERROR(__xludf.DUMMYFUNCTION("""COMPUTED_VALUE"""),"N/A")</f>
        <v>N/A</v>
      </c>
      <c r="L785" s="97"/>
      <c r="M785" s="97"/>
      <c r="N785" s="97"/>
      <c r="O785" s="97"/>
      <c r="P785" s="97"/>
      <c r="Q785" s="97" t="str">
        <f>IFERROR(__xludf.DUMMYFUNCTION("""COMPUTED_VALUE"""),"-")</f>
        <v>-</v>
      </c>
      <c r="R785" s="97" t="str">
        <f>IFERROR(__xludf.DUMMYFUNCTION("""COMPUTED_VALUE"""),"-")</f>
        <v>-</v>
      </c>
      <c r="S785" s="97" t="str">
        <f>IFERROR(__xludf.DUMMYFUNCTION("""COMPUTED_VALUE"""),"-")</f>
        <v>-</v>
      </c>
      <c r="T785" s="97" t="str">
        <f>IFERROR(__xludf.DUMMYFUNCTION("""COMPUTED_VALUE"""),"-")</f>
        <v>-</v>
      </c>
      <c r="U785" s="97" t="str">
        <f>IFERROR(__xludf.DUMMYFUNCTION("""COMPUTED_VALUE"""),"-")</f>
        <v>-</v>
      </c>
      <c r="V785" s="97" t="str">
        <f>IFERROR(__xludf.DUMMYFUNCTION("""COMPUTED_VALUE"""),"N/A")</f>
        <v>N/A</v>
      </c>
      <c r="W785" s="97" t="str">
        <f>IFERROR(__xludf.DUMMYFUNCTION("""COMPUTED_VALUE"""),"N/A")</f>
        <v>N/A</v>
      </c>
      <c r="X785" s="97" t="str">
        <f>IFERROR(__xludf.DUMMYFUNCTION("""COMPUTED_VALUE"""),"-")</f>
        <v>-</v>
      </c>
      <c r="Y785" s="97" t="str">
        <f>IFERROR(__xludf.DUMMYFUNCTION("""COMPUTED_VALUE"""),"N/A")</f>
        <v>N/A</v>
      </c>
      <c r="Z785" s="97" t="str">
        <f>IFERROR(__xludf.DUMMYFUNCTION("""COMPUTED_VALUE"""),"N/A")</f>
        <v>N/A</v>
      </c>
      <c r="AA785" s="97" t="str">
        <f>IFERROR(__xludf.DUMMYFUNCTION("""COMPUTED_VALUE"""),"N/A")</f>
        <v>N/A</v>
      </c>
      <c r="AB785" s="97" t="str">
        <f>IFERROR(__xludf.DUMMYFUNCTION("""COMPUTED_VALUE"""),"N/A")</f>
        <v>N/A</v>
      </c>
      <c r="AC785" s="97" t="str">
        <f>IFERROR(__xludf.DUMMYFUNCTION("""COMPUTED_VALUE"""),"N/A")</f>
        <v>N/A</v>
      </c>
      <c r="AD785" s="97" t="str">
        <f>IFERROR(__xludf.DUMMYFUNCTION("""COMPUTED_VALUE"""),"IP20")</f>
        <v>IP20</v>
      </c>
      <c r="AE785" s="97" t="str">
        <f>IFERROR(__xludf.DUMMYFUNCTION("""COMPUTED_VALUE"""),"Clase ll")</f>
        <v>Clase ll</v>
      </c>
      <c r="AF785" s="97" t="str">
        <f>IFERROR(__xludf.DUMMYFUNCTION("""COMPUTED_VALUE"""),"Autoportante")</f>
        <v>Autoportante</v>
      </c>
      <c r="AG785" s="97"/>
      <c r="AH785" s="97"/>
      <c r="AI785" s="97"/>
      <c r="AJ785" s="97" t="str">
        <f>IFERROR(__xludf.DUMMYFUNCTION("""COMPUTED_VALUE"""),"Vidrio")</f>
        <v>Vidrio</v>
      </c>
      <c r="AK785" s="97" t="str">
        <f>IFERROR(__xludf.DUMMYFUNCTION("""COMPUTED_VALUE"""),"Acero")</f>
        <v>Acero</v>
      </c>
      <c r="AL785" s="97"/>
      <c r="AM785" s="97" t="str">
        <f>IFERROR(__xludf.DUMMYFUNCTION("""COMPUTED_VALUE"""),"-")</f>
        <v>-</v>
      </c>
      <c r="AN785" s="97" t="str">
        <f>IFERROR(__xludf.DUMMYFUNCTION("""COMPUTED_VALUE"""),"N/A")</f>
        <v>N/A</v>
      </c>
      <c r="AO785" s="97" t="str">
        <f>IFERROR(__xludf.DUMMYFUNCTION("""COMPUTED_VALUE"""),"1 Año")</f>
        <v>1 Año</v>
      </c>
      <c r="AP785" s="97" t="str">
        <f>IFERROR(__xludf.DUMMYFUNCTION("""COMPUTED_VALUE"""),"No Aplica")</f>
        <v>No Aplica</v>
      </c>
      <c r="AQ785" s="97" t="str">
        <f>IFERROR(__xludf.DUMMYFUNCTION("""COMPUTED_VALUE"""),"No Aplica")</f>
        <v>No Aplica</v>
      </c>
      <c r="AR785" s="97" t="str">
        <f>IFERROR(__xludf.DUMMYFUNCTION("""COMPUTED_VALUE"""),"No Aplica")</f>
        <v>No Aplica</v>
      </c>
      <c r="AS785" s="97"/>
      <c r="AT785" s="97"/>
      <c r="AU785" s="97"/>
      <c r="AV785" s="97" t="str">
        <f>IFERROR(__xludf.DUMMYFUNCTION("""COMPUTED_VALUE"""),"Mesa")</f>
        <v>Mesa</v>
      </c>
      <c r="AW785" s="97" t="str">
        <f>IFERROR(__xludf.DUMMYFUNCTION("""COMPUTED_VALUE"""),"De Apoyo")</f>
        <v>De Apoyo</v>
      </c>
      <c r="AX785" s="97" t="str">
        <f>IFERROR(__xludf.DUMMYFUNCTION("""COMPUTED_VALUE"""),"Interior")</f>
        <v>Interior</v>
      </c>
      <c r="AY785" s="97"/>
      <c r="AZ785" s="97"/>
      <c r="BA785" s="97">
        <f>IFERROR(__xludf.DUMMYFUNCTION("""COMPUTED_VALUE"""),1.0)</f>
        <v>1</v>
      </c>
      <c r="BB785" s="97"/>
      <c r="BC785" s="97"/>
      <c r="BD785" s="97" t="str">
        <f>IFERROR(__xludf.DUMMYFUNCTION("""COMPUTED_VALUE"""),"HELE ")</f>
        <v>HELE </v>
      </c>
      <c r="BE785" s="97" t="str">
        <f>IFERROR(__xludf.DUMMYFUNCTION("""COMPUTED_VALUE"""),"Sin Ficha")</f>
        <v>Sin Ficha</v>
      </c>
      <c r="BF785" s="97"/>
      <c r="BG785" s="97" t="str">
        <f>IFERROR(__xludf.DUMMYFUNCTION("""COMPUTED_VALUE"""),"Discontinuo")</f>
        <v>Discontinuo</v>
      </c>
    </row>
    <row r="786">
      <c r="A786" s="97">
        <f>IFERROR(__xludf.DUMMYFUNCTION("""COMPUTED_VALUE"""),6545.0)</f>
        <v>6545</v>
      </c>
      <c r="B786" s="97" t="str">
        <f>IFERROR(__xludf.DUMMYFUNCTION("""COMPUTED_VALUE"""),"BIG ZOPI BL")</f>
        <v>BIG ZOPI BL</v>
      </c>
      <c r="C786" s="97" t="str">
        <f>IFERROR(__xludf.DUMMYFUNCTION("""COMPUTED_VALUE"""),"LAMPARA DE PISO BIG ZOPI BLANCO LEUK")</f>
        <v>LAMPARA DE PISO BIG ZOPI BLANCO LEUK</v>
      </c>
      <c r="D786" s="97">
        <f>IFERROR(__xludf.DUMMYFUNCTION("""COMPUTED_VALUE"""),7.798328758378E12)</f>
        <v>7798328758378</v>
      </c>
      <c r="E786" s="97"/>
      <c r="F786" s="97" t="str">
        <f>IFERROR(__xludf.DUMMYFUNCTION("""COMPUTED_VALUE"""),"E27")</f>
        <v>E27</v>
      </c>
      <c r="G786" s="97" t="str">
        <f>IFERROR(__xludf.DUMMYFUNCTION("""COMPUTED_VALUE"""),"N/A")</f>
        <v>N/A</v>
      </c>
      <c r="H786" s="97" t="str">
        <f>IFERROR(__xludf.DUMMYFUNCTION("""COMPUTED_VALUE"""),"N/A")</f>
        <v>N/A</v>
      </c>
      <c r="I786" s="97" t="str">
        <f>IFERROR(__xludf.DUMMYFUNCTION("""COMPUTED_VALUE"""),"N/A")</f>
        <v>N/A</v>
      </c>
      <c r="J786" s="97"/>
      <c r="K786" s="97" t="str">
        <f>IFERROR(__xludf.DUMMYFUNCTION("""COMPUTED_VALUE"""),"N/A")</f>
        <v>N/A</v>
      </c>
      <c r="L786" s="97"/>
      <c r="M786" s="97"/>
      <c r="N786" s="97"/>
      <c r="O786" s="97"/>
      <c r="P786" s="97"/>
      <c r="Q786" s="97" t="str">
        <f>IFERROR(__xludf.DUMMYFUNCTION("""COMPUTED_VALUE"""),"-")</f>
        <v>-</v>
      </c>
      <c r="R786" s="97" t="str">
        <f>IFERROR(__xludf.DUMMYFUNCTION("""COMPUTED_VALUE"""),"-")</f>
        <v>-</v>
      </c>
      <c r="S786" s="97" t="str">
        <f>IFERROR(__xludf.DUMMYFUNCTION("""COMPUTED_VALUE"""),"-")</f>
        <v>-</v>
      </c>
      <c r="T786" s="97" t="str">
        <f>IFERROR(__xludf.DUMMYFUNCTION("""COMPUTED_VALUE"""),"-")</f>
        <v>-</v>
      </c>
      <c r="U786" s="97" t="str">
        <f>IFERROR(__xludf.DUMMYFUNCTION("""COMPUTED_VALUE"""),"-")</f>
        <v>-</v>
      </c>
      <c r="V786" s="97" t="str">
        <f>IFERROR(__xludf.DUMMYFUNCTION("""COMPUTED_VALUE"""),"N/A")</f>
        <v>N/A</v>
      </c>
      <c r="W786" s="97" t="str">
        <f>IFERROR(__xludf.DUMMYFUNCTION("""COMPUTED_VALUE"""),"N/A")</f>
        <v>N/A</v>
      </c>
      <c r="X786" s="97" t="str">
        <f>IFERROR(__xludf.DUMMYFUNCTION("""COMPUTED_VALUE"""),"-")</f>
        <v>-</v>
      </c>
      <c r="Y786" s="97" t="str">
        <f>IFERROR(__xludf.DUMMYFUNCTION("""COMPUTED_VALUE"""),"N/A")</f>
        <v>N/A</v>
      </c>
      <c r="Z786" s="97" t="str">
        <f>IFERROR(__xludf.DUMMYFUNCTION("""COMPUTED_VALUE"""),"N/A")</f>
        <v>N/A</v>
      </c>
      <c r="AA786" s="97" t="str">
        <f>IFERROR(__xludf.DUMMYFUNCTION("""COMPUTED_VALUE"""),"N/A")</f>
        <v>N/A</v>
      </c>
      <c r="AB786" s="97" t="str">
        <f>IFERROR(__xludf.DUMMYFUNCTION("""COMPUTED_VALUE"""),"N/A")</f>
        <v>N/A</v>
      </c>
      <c r="AC786" s="97" t="str">
        <f>IFERROR(__xludf.DUMMYFUNCTION("""COMPUTED_VALUE"""),"N/A")</f>
        <v>N/A</v>
      </c>
      <c r="AD786" s="97" t="str">
        <f>IFERROR(__xludf.DUMMYFUNCTION("""COMPUTED_VALUE"""),"IP20")</f>
        <v>IP20</v>
      </c>
      <c r="AE786" s="97" t="str">
        <f>IFERROR(__xludf.DUMMYFUNCTION("""COMPUTED_VALUE"""),"Clase ll")</f>
        <v>Clase ll</v>
      </c>
      <c r="AF786" s="97" t="str">
        <f>IFERROR(__xludf.DUMMYFUNCTION("""COMPUTED_VALUE"""),"Autoportante")</f>
        <v>Autoportante</v>
      </c>
      <c r="AG786" s="97"/>
      <c r="AH786" s="97"/>
      <c r="AI786" s="97"/>
      <c r="AJ786" s="97" t="str">
        <f>IFERROR(__xludf.DUMMYFUNCTION("""COMPUTED_VALUE"""),"N/A")</f>
        <v>N/A</v>
      </c>
      <c r="AK786" s="97" t="str">
        <f>IFERROR(__xludf.DUMMYFUNCTION("""COMPUTED_VALUE"""),"Cerámica")</f>
        <v>Cerámica</v>
      </c>
      <c r="AL786" s="97"/>
      <c r="AM786" s="97" t="str">
        <f>IFERROR(__xludf.DUMMYFUNCTION("""COMPUTED_VALUE"""),"-")</f>
        <v>-</v>
      </c>
      <c r="AN786" s="97" t="str">
        <f>IFERROR(__xludf.DUMMYFUNCTION("""COMPUTED_VALUE"""),"N/A")</f>
        <v>N/A</v>
      </c>
      <c r="AO786" s="97" t="str">
        <f>IFERROR(__xludf.DUMMYFUNCTION("""COMPUTED_VALUE"""),"1 Año")</f>
        <v>1 Año</v>
      </c>
      <c r="AP786" s="97" t="str">
        <f>IFERROR(__xludf.DUMMYFUNCTION("""COMPUTED_VALUE"""),"No Aplica")</f>
        <v>No Aplica</v>
      </c>
      <c r="AQ786" s="97" t="str">
        <f>IFERROR(__xludf.DUMMYFUNCTION("""COMPUTED_VALUE"""),"No Aplica")</f>
        <v>No Aplica</v>
      </c>
      <c r="AR786" s="97" t="str">
        <f>IFERROR(__xludf.DUMMYFUNCTION("""COMPUTED_VALUE"""),"No Aplica")</f>
        <v>No Aplica</v>
      </c>
      <c r="AS786" s="97"/>
      <c r="AT786" s="97"/>
      <c r="AU786" s="97"/>
      <c r="AV786" s="97" t="str">
        <f>IFERROR(__xludf.DUMMYFUNCTION("""COMPUTED_VALUE"""),"Pie")</f>
        <v>Pie</v>
      </c>
      <c r="AW786" s="97" t="str">
        <f>IFERROR(__xludf.DUMMYFUNCTION("""COMPUTED_VALUE"""),"De Apoyo")</f>
        <v>De Apoyo</v>
      </c>
      <c r="AX786" s="97" t="str">
        <f>IFERROR(__xludf.DUMMYFUNCTION("""COMPUTED_VALUE"""),"Interior")</f>
        <v>Interior</v>
      </c>
      <c r="AY786" s="97"/>
      <c r="AZ786" s="97"/>
      <c r="BA786" s="97">
        <f>IFERROR(__xludf.DUMMYFUNCTION("""COMPUTED_VALUE"""),1.0)</f>
        <v>1</v>
      </c>
      <c r="BB786" s="97"/>
      <c r="BC786" s="97"/>
      <c r="BD786" s="97" t="str">
        <f>IFERROR(__xludf.DUMMYFUNCTION("""COMPUTED_VALUE"""),"BIG ZOPI")</f>
        <v>BIG ZOPI</v>
      </c>
      <c r="BE786" s="97" t="str">
        <f>IFERROR(__xludf.DUMMYFUNCTION("""COMPUTED_VALUE"""),"Sin Ficha")</f>
        <v>Sin Ficha</v>
      </c>
      <c r="BF786" s="97"/>
      <c r="BG786" s="97" t="str">
        <f>IFERROR(__xludf.DUMMYFUNCTION("""COMPUTED_VALUE"""),"Discontinuo")</f>
        <v>Discontinuo</v>
      </c>
    </row>
    <row r="787">
      <c r="A787" s="97">
        <f>IFERROR(__xludf.DUMMYFUNCTION("""COMPUTED_VALUE"""),6546.0)</f>
        <v>6546</v>
      </c>
      <c r="B787" s="97" t="str">
        <f>IFERROR(__xludf.DUMMYFUNCTION("""COMPUTED_VALUE"""),"BIG ZOPI AM")</f>
        <v>BIG ZOPI AM</v>
      </c>
      <c r="C787" s="97" t="str">
        <f>IFERROR(__xludf.DUMMYFUNCTION("""COMPUTED_VALUE"""),"LAMPARA DE PISO BIG ZOPI AMARILLO LEUK")</f>
        <v>LAMPARA DE PISO BIG ZOPI AMARILLO LEUK</v>
      </c>
      <c r="D787" s="97">
        <f>IFERROR(__xludf.DUMMYFUNCTION("""COMPUTED_VALUE"""),7.798328758361E12)</f>
        <v>7798328758361</v>
      </c>
      <c r="E787" s="97"/>
      <c r="F787" s="97" t="str">
        <f>IFERROR(__xludf.DUMMYFUNCTION("""COMPUTED_VALUE"""),"E27")</f>
        <v>E27</v>
      </c>
      <c r="G787" s="97" t="str">
        <f>IFERROR(__xludf.DUMMYFUNCTION("""COMPUTED_VALUE"""),"N/A")</f>
        <v>N/A</v>
      </c>
      <c r="H787" s="97" t="str">
        <f>IFERROR(__xludf.DUMMYFUNCTION("""COMPUTED_VALUE"""),"N/A")</f>
        <v>N/A</v>
      </c>
      <c r="I787" s="97" t="str">
        <f>IFERROR(__xludf.DUMMYFUNCTION("""COMPUTED_VALUE"""),"N/A")</f>
        <v>N/A</v>
      </c>
      <c r="J787" s="97"/>
      <c r="K787" s="97" t="str">
        <f>IFERROR(__xludf.DUMMYFUNCTION("""COMPUTED_VALUE"""),"N/A")</f>
        <v>N/A</v>
      </c>
      <c r="L787" s="97"/>
      <c r="M787" s="97"/>
      <c r="N787" s="97"/>
      <c r="O787" s="97"/>
      <c r="P787" s="97"/>
      <c r="Q787" s="97" t="str">
        <f>IFERROR(__xludf.DUMMYFUNCTION("""COMPUTED_VALUE"""),"-")</f>
        <v>-</v>
      </c>
      <c r="R787" s="97" t="str">
        <f>IFERROR(__xludf.DUMMYFUNCTION("""COMPUTED_VALUE"""),"-")</f>
        <v>-</v>
      </c>
      <c r="S787" s="97" t="str">
        <f>IFERROR(__xludf.DUMMYFUNCTION("""COMPUTED_VALUE"""),"-")</f>
        <v>-</v>
      </c>
      <c r="T787" s="97" t="str">
        <f>IFERROR(__xludf.DUMMYFUNCTION("""COMPUTED_VALUE"""),"-")</f>
        <v>-</v>
      </c>
      <c r="U787" s="97" t="str">
        <f>IFERROR(__xludf.DUMMYFUNCTION("""COMPUTED_VALUE"""),"-")</f>
        <v>-</v>
      </c>
      <c r="V787" s="97" t="str">
        <f>IFERROR(__xludf.DUMMYFUNCTION("""COMPUTED_VALUE"""),"N/A")</f>
        <v>N/A</v>
      </c>
      <c r="W787" s="97" t="str">
        <f>IFERROR(__xludf.DUMMYFUNCTION("""COMPUTED_VALUE"""),"N/A")</f>
        <v>N/A</v>
      </c>
      <c r="X787" s="97" t="str">
        <f>IFERROR(__xludf.DUMMYFUNCTION("""COMPUTED_VALUE"""),"-")</f>
        <v>-</v>
      </c>
      <c r="Y787" s="97" t="str">
        <f>IFERROR(__xludf.DUMMYFUNCTION("""COMPUTED_VALUE"""),"N/A")</f>
        <v>N/A</v>
      </c>
      <c r="Z787" s="97" t="str">
        <f>IFERROR(__xludf.DUMMYFUNCTION("""COMPUTED_VALUE"""),"N/A")</f>
        <v>N/A</v>
      </c>
      <c r="AA787" s="97" t="str">
        <f>IFERROR(__xludf.DUMMYFUNCTION("""COMPUTED_VALUE"""),"N/A")</f>
        <v>N/A</v>
      </c>
      <c r="AB787" s="97" t="str">
        <f>IFERROR(__xludf.DUMMYFUNCTION("""COMPUTED_VALUE"""),"N/A")</f>
        <v>N/A</v>
      </c>
      <c r="AC787" s="97" t="str">
        <f>IFERROR(__xludf.DUMMYFUNCTION("""COMPUTED_VALUE"""),"N/A")</f>
        <v>N/A</v>
      </c>
      <c r="AD787" s="97" t="str">
        <f>IFERROR(__xludf.DUMMYFUNCTION("""COMPUTED_VALUE"""),"IP20")</f>
        <v>IP20</v>
      </c>
      <c r="AE787" s="97" t="str">
        <f>IFERROR(__xludf.DUMMYFUNCTION("""COMPUTED_VALUE"""),"Clase ll")</f>
        <v>Clase ll</v>
      </c>
      <c r="AF787" s="97" t="str">
        <f>IFERROR(__xludf.DUMMYFUNCTION("""COMPUTED_VALUE"""),"Autoportante")</f>
        <v>Autoportante</v>
      </c>
      <c r="AG787" s="97"/>
      <c r="AH787" s="97"/>
      <c r="AI787" s="97"/>
      <c r="AJ787" s="97" t="str">
        <f>IFERROR(__xludf.DUMMYFUNCTION("""COMPUTED_VALUE"""),"N/A")</f>
        <v>N/A</v>
      </c>
      <c r="AK787" s="97" t="str">
        <f>IFERROR(__xludf.DUMMYFUNCTION("""COMPUTED_VALUE"""),"Cerámica")</f>
        <v>Cerámica</v>
      </c>
      <c r="AL787" s="97"/>
      <c r="AM787" s="97" t="str">
        <f>IFERROR(__xludf.DUMMYFUNCTION("""COMPUTED_VALUE"""),"-")</f>
        <v>-</v>
      </c>
      <c r="AN787" s="97" t="str">
        <f>IFERROR(__xludf.DUMMYFUNCTION("""COMPUTED_VALUE"""),"N/A")</f>
        <v>N/A</v>
      </c>
      <c r="AO787" s="97" t="str">
        <f>IFERROR(__xludf.DUMMYFUNCTION("""COMPUTED_VALUE"""),"1 Año")</f>
        <v>1 Año</v>
      </c>
      <c r="AP787" s="97" t="str">
        <f>IFERROR(__xludf.DUMMYFUNCTION("""COMPUTED_VALUE"""),"No Aplica")</f>
        <v>No Aplica</v>
      </c>
      <c r="AQ787" s="97" t="str">
        <f>IFERROR(__xludf.DUMMYFUNCTION("""COMPUTED_VALUE"""),"No Aplica")</f>
        <v>No Aplica</v>
      </c>
      <c r="AR787" s="97" t="str">
        <f>IFERROR(__xludf.DUMMYFUNCTION("""COMPUTED_VALUE"""),"No Aplica")</f>
        <v>No Aplica</v>
      </c>
      <c r="AS787" s="97"/>
      <c r="AT787" s="97"/>
      <c r="AU787" s="97"/>
      <c r="AV787" s="97" t="str">
        <f>IFERROR(__xludf.DUMMYFUNCTION("""COMPUTED_VALUE"""),"Pie")</f>
        <v>Pie</v>
      </c>
      <c r="AW787" s="97" t="str">
        <f>IFERROR(__xludf.DUMMYFUNCTION("""COMPUTED_VALUE"""),"De Apoyo")</f>
        <v>De Apoyo</v>
      </c>
      <c r="AX787" s="97" t="str">
        <f>IFERROR(__xludf.DUMMYFUNCTION("""COMPUTED_VALUE"""),"Interior")</f>
        <v>Interior</v>
      </c>
      <c r="AY787" s="97"/>
      <c r="AZ787" s="97"/>
      <c r="BA787" s="97">
        <f>IFERROR(__xludf.DUMMYFUNCTION("""COMPUTED_VALUE"""),1.0)</f>
        <v>1</v>
      </c>
      <c r="BB787" s="97"/>
      <c r="BC787" s="97"/>
      <c r="BD787" s="97" t="str">
        <f>IFERROR(__xludf.DUMMYFUNCTION("""COMPUTED_VALUE"""),"BIG ZOPI")</f>
        <v>BIG ZOPI</v>
      </c>
      <c r="BE787" s="97" t="str">
        <f>IFERROR(__xludf.DUMMYFUNCTION("""COMPUTED_VALUE"""),"Sin Ficha")</f>
        <v>Sin Ficha</v>
      </c>
      <c r="BF787" s="97"/>
      <c r="BG787" s="97" t="str">
        <f>IFERROR(__xludf.DUMMYFUNCTION("""COMPUTED_VALUE"""),"Discontinuo")</f>
        <v>Discontinuo</v>
      </c>
    </row>
    <row r="788">
      <c r="A788" s="97">
        <f>IFERROR(__xludf.DUMMYFUNCTION("""COMPUTED_VALUE"""),6547.0)</f>
        <v>6547</v>
      </c>
      <c r="B788" s="97" t="str">
        <f>IFERROR(__xludf.DUMMYFUNCTION("""COMPUTED_VALUE"""),"BIG ZOPI NG")</f>
        <v>BIG ZOPI NG</v>
      </c>
      <c r="C788" s="97" t="str">
        <f>IFERROR(__xludf.DUMMYFUNCTION("""COMPUTED_VALUE"""),"LAMPARA DE PISO BIG ZOPI NEGRO LEUK")</f>
        <v>LAMPARA DE PISO BIG ZOPI NEGRO LEUK</v>
      </c>
      <c r="D788" s="97">
        <f>IFERROR(__xludf.DUMMYFUNCTION("""COMPUTED_VALUE"""),7.798328758385E12)</f>
        <v>7798328758385</v>
      </c>
      <c r="E788" s="97"/>
      <c r="F788" s="97" t="str">
        <f>IFERROR(__xludf.DUMMYFUNCTION("""COMPUTED_VALUE"""),"E27")</f>
        <v>E27</v>
      </c>
      <c r="G788" s="97" t="str">
        <f>IFERROR(__xludf.DUMMYFUNCTION("""COMPUTED_VALUE"""),"N/A")</f>
        <v>N/A</v>
      </c>
      <c r="H788" s="97" t="str">
        <f>IFERROR(__xludf.DUMMYFUNCTION("""COMPUTED_VALUE"""),"N/A")</f>
        <v>N/A</v>
      </c>
      <c r="I788" s="97" t="str">
        <f>IFERROR(__xludf.DUMMYFUNCTION("""COMPUTED_VALUE"""),"N/A")</f>
        <v>N/A</v>
      </c>
      <c r="J788" s="97"/>
      <c r="K788" s="97" t="str">
        <f>IFERROR(__xludf.DUMMYFUNCTION("""COMPUTED_VALUE"""),"N/A")</f>
        <v>N/A</v>
      </c>
      <c r="L788" s="97"/>
      <c r="M788" s="97"/>
      <c r="N788" s="97"/>
      <c r="O788" s="97"/>
      <c r="P788" s="97"/>
      <c r="Q788" s="97" t="str">
        <f>IFERROR(__xludf.DUMMYFUNCTION("""COMPUTED_VALUE"""),"-")</f>
        <v>-</v>
      </c>
      <c r="R788" s="97" t="str">
        <f>IFERROR(__xludf.DUMMYFUNCTION("""COMPUTED_VALUE"""),"-")</f>
        <v>-</v>
      </c>
      <c r="S788" s="97" t="str">
        <f>IFERROR(__xludf.DUMMYFUNCTION("""COMPUTED_VALUE"""),"-")</f>
        <v>-</v>
      </c>
      <c r="T788" s="97" t="str">
        <f>IFERROR(__xludf.DUMMYFUNCTION("""COMPUTED_VALUE"""),"-")</f>
        <v>-</v>
      </c>
      <c r="U788" s="97" t="str">
        <f>IFERROR(__xludf.DUMMYFUNCTION("""COMPUTED_VALUE"""),"-")</f>
        <v>-</v>
      </c>
      <c r="V788" s="97" t="str">
        <f>IFERROR(__xludf.DUMMYFUNCTION("""COMPUTED_VALUE"""),"N/A")</f>
        <v>N/A</v>
      </c>
      <c r="W788" s="97" t="str">
        <f>IFERROR(__xludf.DUMMYFUNCTION("""COMPUTED_VALUE"""),"N/A")</f>
        <v>N/A</v>
      </c>
      <c r="X788" s="97" t="str">
        <f>IFERROR(__xludf.DUMMYFUNCTION("""COMPUTED_VALUE"""),"-")</f>
        <v>-</v>
      </c>
      <c r="Y788" s="97" t="str">
        <f>IFERROR(__xludf.DUMMYFUNCTION("""COMPUTED_VALUE"""),"N/A")</f>
        <v>N/A</v>
      </c>
      <c r="Z788" s="97" t="str">
        <f>IFERROR(__xludf.DUMMYFUNCTION("""COMPUTED_VALUE"""),"N/A")</f>
        <v>N/A</v>
      </c>
      <c r="AA788" s="97" t="str">
        <f>IFERROR(__xludf.DUMMYFUNCTION("""COMPUTED_VALUE"""),"N/A")</f>
        <v>N/A</v>
      </c>
      <c r="AB788" s="97" t="str">
        <f>IFERROR(__xludf.DUMMYFUNCTION("""COMPUTED_VALUE"""),"N/A")</f>
        <v>N/A</v>
      </c>
      <c r="AC788" s="97" t="str">
        <f>IFERROR(__xludf.DUMMYFUNCTION("""COMPUTED_VALUE"""),"N/A")</f>
        <v>N/A</v>
      </c>
      <c r="AD788" s="97" t="str">
        <f>IFERROR(__xludf.DUMMYFUNCTION("""COMPUTED_VALUE"""),"IP20")</f>
        <v>IP20</v>
      </c>
      <c r="AE788" s="97" t="str">
        <f>IFERROR(__xludf.DUMMYFUNCTION("""COMPUTED_VALUE"""),"Clase ll")</f>
        <v>Clase ll</v>
      </c>
      <c r="AF788" s="97" t="str">
        <f>IFERROR(__xludf.DUMMYFUNCTION("""COMPUTED_VALUE"""),"Autoportante")</f>
        <v>Autoportante</v>
      </c>
      <c r="AG788" s="97"/>
      <c r="AH788" s="97"/>
      <c r="AI788" s="97"/>
      <c r="AJ788" s="97" t="str">
        <f>IFERROR(__xludf.DUMMYFUNCTION("""COMPUTED_VALUE"""),"N/A")</f>
        <v>N/A</v>
      </c>
      <c r="AK788" s="97" t="str">
        <f>IFERROR(__xludf.DUMMYFUNCTION("""COMPUTED_VALUE"""),"Cerámica")</f>
        <v>Cerámica</v>
      </c>
      <c r="AL788" s="97"/>
      <c r="AM788" s="97" t="str">
        <f>IFERROR(__xludf.DUMMYFUNCTION("""COMPUTED_VALUE"""),"-")</f>
        <v>-</v>
      </c>
      <c r="AN788" s="97" t="str">
        <f>IFERROR(__xludf.DUMMYFUNCTION("""COMPUTED_VALUE"""),"N/A")</f>
        <v>N/A</v>
      </c>
      <c r="AO788" s="97" t="str">
        <f>IFERROR(__xludf.DUMMYFUNCTION("""COMPUTED_VALUE"""),"1 Año")</f>
        <v>1 Año</v>
      </c>
      <c r="AP788" s="97" t="str">
        <f>IFERROR(__xludf.DUMMYFUNCTION("""COMPUTED_VALUE"""),"No Aplica")</f>
        <v>No Aplica</v>
      </c>
      <c r="AQ788" s="97" t="str">
        <f>IFERROR(__xludf.DUMMYFUNCTION("""COMPUTED_VALUE"""),"No Aplica")</f>
        <v>No Aplica</v>
      </c>
      <c r="AR788" s="97" t="str">
        <f>IFERROR(__xludf.DUMMYFUNCTION("""COMPUTED_VALUE"""),"No Aplica")</f>
        <v>No Aplica</v>
      </c>
      <c r="AS788" s="97"/>
      <c r="AT788" s="97"/>
      <c r="AU788" s="97"/>
      <c r="AV788" s="97" t="str">
        <f>IFERROR(__xludf.DUMMYFUNCTION("""COMPUTED_VALUE"""),"Pie")</f>
        <v>Pie</v>
      </c>
      <c r="AW788" s="97" t="str">
        <f>IFERROR(__xludf.DUMMYFUNCTION("""COMPUTED_VALUE"""),"De Apoyo")</f>
        <v>De Apoyo</v>
      </c>
      <c r="AX788" s="97" t="str">
        <f>IFERROR(__xludf.DUMMYFUNCTION("""COMPUTED_VALUE"""),"Interior")</f>
        <v>Interior</v>
      </c>
      <c r="AY788" s="97"/>
      <c r="AZ788" s="97"/>
      <c r="BA788" s="97">
        <f>IFERROR(__xludf.DUMMYFUNCTION("""COMPUTED_VALUE"""),1.0)</f>
        <v>1</v>
      </c>
      <c r="BB788" s="97"/>
      <c r="BC788" s="97"/>
      <c r="BD788" s="97" t="str">
        <f>IFERROR(__xludf.DUMMYFUNCTION("""COMPUTED_VALUE"""),"BIG ZOPI")</f>
        <v>BIG ZOPI</v>
      </c>
      <c r="BE788" s="97" t="str">
        <f>IFERROR(__xludf.DUMMYFUNCTION("""COMPUTED_VALUE"""),"Sin Ficha")</f>
        <v>Sin Ficha</v>
      </c>
      <c r="BF788" s="97"/>
      <c r="BG788" s="97" t="str">
        <f>IFERROR(__xludf.DUMMYFUNCTION("""COMPUTED_VALUE"""),"Discontinuo")</f>
        <v>Discontinuo</v>
      </c>
    </row>
    <row r="789">
      <c r="A789" s="97">
        <f>IFERROR(__xludf.DUMMYFUNCTION("""COMPUTED_VALUE"""),6562.0)</f>
        <v>6562</v>
      </c>
      <c r="B789" s="97" t="str">
        <f>IFERROR(__xludf.DUMMYFUNCTION("""COMPUTED_VALUE"""),"FREDD DR")</f>
        <v>FREDD DR</v>
      </c>
      <c r="C789" s="97" t="str">
        <f>IFERROR(__xludf.DUMMYFUNCTION("""COMPUTED_VALUE"""),"COLGANTE FREDD DORADO LEUK")</f>
        <v>COLGANTE FREDD DORADO LEUK</v>
      </c>
      <c r="D789" s="97">
        <f>IFERROR(__xludf.DUMMYFUNCTION("""COMPUTED_VALUE"""),7.798413221107E12)</f>
        <v>7798413221107</v>
      </c>
      <c r="E789" s="97"/>
      <c r="F789" s="97"/>
      <c r="G789" s="97"/>
      <c r="H789" s="97"/>
      <c r="I789" s="97" t="str">
        <f>IFERROR(__xludf.DUMMYFUNCTION("""COMPUTED_VALUE"""),"-")</f>
        <v>-</v>
      </c>
      <c r="J789" s="97"/>
      <c r="K789" s="97"/>
      <c r="L789" s="97"/>
      <c r="M789" s="97"/>
      <c r="N789" s="97"/>
      <c r="O789" s="97"/>
      <c r="P789" s="97"/>
      <c r="Q789" s="97"/>
      <c r="R789" s="97"/>
      <c r="S789" s="97"/>
      <c r="T789" s="97"/>
      <c r="U789" s="97"/>
      <c r="V789" s="97"/>
      <c r="W789" s="97"/>
      <c r="X789" s="97"/>
      <c r="Y789" s="97"/>
      <c r="Z789" s="97"/>
      <c r="AA789" s="97"/>
      <c r="AB789" s="97"/>
      <c r="AC789" s="97"/>
      <c r="AD789" s="97" t="str">
        <f>IFERROR(__xludf.DUMMYFUNCTION("""COMPUTED_VALUE"""),"IP20")</f>
        <v>IP20</v>
      </c>
      <c r="AE789" s="97"/>
      <c r="AF789" s="97" t="str">
        <f>IFERROR(__xludf.DUMMYFUNCTION("""COMPUTED_VALUE"""),"Suspender")</f>
        <v>Suspender</v>
      </c>
      <c r="AG789" s="97"/>
      <c r="AH789" s="97"/>
      <c r="AI789" s="97"/>
      <c r="AJ789" s="97"/>
      <c r="AK789" s="97"/>
      <c r="AL789" s="97"/>
      <c r="AM789" s="97"/>
      <c r="AN789" s="97"/>
      <c r="AO789" s="97" t="str">
        <f>IFERROR(__xludf.DUMMYFUNCTION("""COMPUTED_VALUE"""),"1 Año")</f>
        <v>1 Año</v>
      </c>
      <c r="AP789" s="97"/>
      <c r="AQ789" s="97"/>
      <c r="AR789" s="97"/>
      <c r="AS789" s="97"/>
      <c r="AT789" s="97"/>
      <c r="AU789" s="97"/>
      <c r="AV789" s="97" t="str">
        <f>IFERROR(__xludf.DUMMYFUNCTION("""COMPUTED_VALUE"""),"MDD")</f>
        <v>MDD</v>
      </c>
      <c r="AW789" s="97" t="str">
        <f>IFERROR(__xludf.DUMMYFUNCTION("""COMPUTED_VALUE"""),"MDD")</f>
        <v>MDD</v>
      </c>
      <c r="AX789" s="97" t="str">
        <f>IFERROR(__xludf.DUMMYFUNCTION("""COMPUTED_VALUE"""),"MDD")</f>
        <v>MDD</v>
      </c>
      <c r="AY789" s="97"/>
      <c r="AZ789" s="97"/>
      <c r="BA789" s="97"/>
      <c r="BB789" s="97"/>
      <c r="BC789" s="97"/>
      <c r="BD789" s="97" t="str">
        <f>IFERROR(__xludf.DUMMYFUNCTION("""COMPUTED_VALUE"""),"FREDD")</f>
        <v>FREDD</v>
      </c>
      <c r="BE789" s="97" t="str">
        <f>IFERROR(__xludf.DUMMYFUNCTION("""COMPUTED_VALUE"""),"Sin Ficha")</f>
        <v>Sin Ficha</v>
      </c>
      <c r="BF789" s="97"/>
      <c r="BG789" s="97" t="str">
        <f>IFERROR(__xludf.DUMMYFUNCTION("""COMPUTED_VALUE"""),"Discontinuo")</f>
        <v>Discontinuo</v>
      </c>
    </row>
    <row r="790">
      <c r="A790" s="97">
        <f>IFERROR(__xludf.DUMMYFUNCTION("""COMPUTED_VALUE"""),6563.0)</f>
        <v>6563</v>
      </c>
      <c r="B790" s="97" t="str">
        <f>IFERROR(__xludf.DUMMYFUNCTION("""COMPUTED_VALUE"""),"KIT SUSPENSION RIEL")</f>
        <v>KIT SUSPENSION RIEL</v>
      </c>
      <c r="C790" s="97" t="str">
        <f>IFERROR(__xludf.DUMMYFUNCTION("""COMPUTED_VALUE"""),"ACCESORIO KIT SUSPENSION RIEL LEUK")</f>
        <v>ACCESORIO KIT SUSPENSION RIEL LEUK</v>
      </c>
      <c r="D790" s="97">
        <f>IFERROR(__xludf.DUMMYFUNCTION("""COMPUTED_VALUE"""),7.798413220544E12)</f>
        <v>7798413220544</v>
      </c>
      <c r="E790" s="97" t="str">
        <f>IFERROR(__xludf.DUMMYFUNCTION("""COMPUTED_VALUE"""),"N/A")</f>
        <v>N/A</v>
      </c>
      <c r="F790" s="97" t="str">
        <f>IFERROR(__xludf.DUMMYFUNCTION("""COMPUTED_VALUE"""),"N/A")</f>
        <v>N/A</v>
      </c>
      <c r="G790" s="97" t="str">
        <f>IFERROR(__xludf.DUMMYFUNCTION("""COMPUTED_VALUE"""),"N/A")</f>
        <v>N/A</v>
      </c>
      <c r="H790" s="97" t="str">
        <f>IFERROR(__xludf.DUMMYFUNCTION("""COMPUTED_VALUE"""),"N/A")</f>
        <v>N/A</v>
      </c>
      <c r="I790" s="97" t="str">
        <f>IFERROR(__xludf.DUMMYFUNCTION("""COMPUTED_VALUE"""),"N/A")</f>
        <v>N/A</v>
      </c>
      <c r="J790" s="97" t="str">
        <f>IFERROR(__xludf.DUMMYFUNCTION("""COMPUTED_VALUE"""),"N/A")</f>
        <v>N/A</v>
      </c>
      <c r="K790" s="97" t="str">
        <f>IFERROR(__xludf.DUMMYFUNCTION("""COMPUTED_VALUE"""),"N/A")</f>
        <v>N/A</v>
      </c>
      <c r="L790" s="97" t="str">
        <f>IFERROR(__xludf.DUMMYFUNCTION("""COMPUTED_VALUE"""),"N/A")</f>
        <v>N/A</v>
      </c>
      <c r="M790" s="97" t="str">
        <f>IFERROR(__xludf.DUMMYFUNCTION("""COMPUTED_VALUE"""),"N/A")</f>
        <v>N/A</v>
      </c>
      <c r="N790" s="97" t="str">
        <f>IFERROR(__xludf.DUMMYFUNCTION("""COMPUTED_VALUE"""),"N/A")</f>
        <v>N/A</v>
      </c>
      <c r="O790" s="97" t="str">
        <f>IFERROR(__xludf.DUMMYFUNCTION("""COMPUTED_VALUE"""),"-")</f>
        <v>-</v>
      </c>
      <c r="P790" s="97"/>
      <c r="Q790" s="97" t="str">
        <f>IFERROR(__xludf.DUMMYFUNCTION("""COMPUTED_VALUE"""),"-")</f>
        <v>-</v>
      </c>
      <c r="R790" s="97" t="str">
        <f>IFERROR(__xludf.DUMMYFUNCTION("""COMPUTED_VALUE"""),"-")</f>
        <v>-</v>
      </c>
      <c r="S790" s="97" t="str">
        <f>IFERROR(__xludf.DUMMYFUNCTION("""COMPUTED_VALUE"""),"-")</f>
        <v>-</v>
      </c>
      <c r="T790" s="97" t="str">
        <f>IFERROR(__xludf.DUMMYFUNCTION("""COMPUTED_VALUE"""),"-")</f>
        <v>-</v>
      </c>
      <c r="U790" s="97" t="str">
        <f>IFERROR(__xludf.DUMMYFUNCTION("""COMPUTED_VALUE"""),"-")</f>
        <v>-</v>
      </c>
      <c r="V790" s="97" t="str">
        <f>IFERROR(__xludf.DUMMYFUNCTION("""COMPUTED_VALUE"""),"N/A")</f>
        <v>N/A</v>
      </c>
      <c r="W790" s="97" t="str">
        <f>IFERROR(__xludf.DUMMYFUNCTION("""COMPUTED_VALUE"""),"N/A")</f>
        <v>N/A</v>
      </c>
      <c r="X790" s="97" t="str">
        <f>IFERROR(__xludf.DUMMYFUNCTION("""COMPUTED_VALUE"""),"-")</f>
        <v>-</v>
      </c>
      <c r="Y790" s="97" t="str">
        <f>IFERROR(__xludf.DUMMYFUNCTION("""COMPUTED_VALUE"""),"N/A")</f>
        <v>N/A</v>
      </c>
      <c r="Z790" s="97" t="str">
        <f>IFERROR(__xludf.DUMMYFUNCTION("""COMPUTED_VALUE"""),"N/A")</f>
        <v>N/A</v>
      </c>
      <c r="AA790" s="97" t="str">
        <f>IFERROR(__xludf.DUMMYFUNCTION("""COMPUTED_VALUE"""),"N/A")</f>
        <v>N/A</v>
      </c>
      <c r="AB790" s="97" t="str">
        <f>IFERROR(__xludf.DUMMYFUNCTION("""COMPUTED_VALUE"""),"N/A")</f>
        <v>N/A</v>
      </c>
      <c r="AC790" s="97" t="str">
        <f>IFERROR(__xludf.DUMMYFUNCTION("""COMPUTED_VALUE"""),"N/A")</f>
        <v>N/A</v>
      </c>
      <c r="AD790" s="97" t="str">
        <f>IFERROR(__xludf.DUMMYFUNCTION("""COMPUTED_VALUE"""),"N/A")</f>
        <v>N/A</v>
      </c>
      <c r="AE790" s="97" t="str">
        <f>IFERROR(__xludf.DUMMYFUNCTION("""COMPUTED_VALUE"""),"N/A")</f>
        <v>N/A</v>
      </c>
      <c r="AF790" s="97" t="str">
        <f>IFERROR(__xludf.DUMMYFUNCTION("""COMPUTED_VALUE"""),"N/A")</f>
        <v>N/A</v>
      </c>
      <c r="AG790" s="97" t="str">
        <f>IFERROR(__xludf.DUMMYFUNCTION("""COMPUTED_VALUE"""),"Ø2 x 2000")</f>
        <v>Ø2 x 2000</v>
      </c>
      <c r="AH790" s="97" t="str">
        <f>IFERROR(__xludf.DUMMYFUNCTION("""COMPUTED_VALUE"""),"N/A")</f>
        <v>N/A</v>
      </c>
      <c r="AI790" s="97" t="str">
        <f>IFERROR(__xludf.DUMMYFUNCTION("""COMPUTED_VALUE"""),"N/A")</f>
        <v>N/A</v>
      </c>
      <c r="AJ790" s="97" t="str">
        <f>IFERROR(__xludf.DUMMYFUNCTION("""COMPUTED_VALUE"""),"N/A")</f>
        <v>N/A</v>
      </c>
      <c r="AK790" s="97" t="str">
        <f>IFERROR(__xludf.DUMMYFUNCTION("""COMPUTED_VALUE"""),"Acero")</f>
        <v>Acero</v>
      </c>
      <c r="AL790" s="97" t="str">
        <f>IFERROR(__xludf.DUMMYFUNCTION("""COMPUTED_VALUE"""),"Natural")</f>
        <v>Natural</v>
      </c>
      <c r="AM790" s="97" t="str">
        <f>IFERROR(__xludf.DUMMYFUNCTION("""COMPUTED_VALUE"""),"-")</f>
        <v>-</v>
      </c>
      <c r="AN790" s="97" t="str">
        <f>IFERROR(__xludf.DUMMYFUNCTION("""COMPUTED_VALUE"""),"N/A")</f>
        <v>N/A</v>
      </c>
      <c r="AO790" s="97" t="str">
        <f>IFERROR(__xludf.DUMMYFUNCTION("""COMPUTED_VALUE"""),"3 Años")</f>
        <v>3 Años</v>
      </c>
      <c r="AP790" s="97" t="str">
        <f>IFERROR(__xludf.DUMMYFUNCTION("""COMPUTED_VALUE"""),"No Aplica")</f>
        <v>No Aplica</v>
      </c>
      <c r="AQ790" s="97" t="str">
        <f>IFERROR(__xludf.DUMMYFUNCTION("""COMPUTED_VALUE"""),"No Aplica")</f>
        <v>No Aplica</v>
      </c>
      <c r="AR790" s="97" t="str">
        <f>IFERROR(__xludf.DUMMYFUNCTION("""COMPUTED_VALUE"""),"No Aplica")</f>
        <v>No Aplica</v>
      </c>
      <c r="AS790" s="97" t="str">
        <f>IFERROR(__xludf.DUMMYFUNCTION("""COMPUTED_VALUE"""),"No Aplica")</f>
        <v>No Aplica</v>
      </c>
      <c r="AT790" s="97" t="str">
        <f>IFERROR(__xludf.DUMMYFUNCTION("""COMPUTED_VALUE"""),"No Aplica")</f>
        <v>No Aplica</v>
      </c>
      <c r="AU790" s="97" t="str">
        <f>IFERROR(__xludf.DUMMYFUNCTION("""COMPUTED_VALUE"""),"Falta")</f>
        <v>Falta</v>
      </c>
      <c r="AV790" s="97" t="str">
        <f>IFERROR(__xludf.DUMMYFUNCTION("""COMPUTED_VALUE"""),"Accesorio")</f>
        <v>Accesorio</v>
      </c>
      <c r="AW790" s="97" t="str">
        <f>IFERROR(__xludf.DUMMYFUNCTION("""COMPUTED_VALUE"""),"Rieles")</f>
        <v>Rieles</v>
      </c>
      <c r="AX790" s="97" t="str">
        <f>IFERROR(__xludf.DUMMYFUNCTION("""COMPUTED_VALUE"""),"Interior")</f>
        <v>Interior</v>
      </c>
      <c r="AY790" s="97" t="str">
        <f>IFERROR(__xludf.DUMMYFUNCTION("""COMPUTED_VALUE"""),"-")</f>
        <v>-</v>
      </c>
      <c r="AZ790" s="97" t="str">
        <f>IFERROR(__xludf.DUMMYFUNCTION("""COMPUTED_VALUE"""),"Vienen 2 tensores. Tmb va en FichaTec RIELES 3 EF")</f>
        <v>Vienen 2 tensores. Tmb va en FichaTec RIELES 3 EF</v>
      </c>
      <c r="BA790" s="97">
        <f>IFERROR(__xludf.DUMMYFUNCTION("""COMPUTED_VALUE"""),250.0)</f>
        <v>250</v>
      </c>
      <c r="BB790" s="97" t="str">
        <f>IFERROR(__xludf.DUMMYFUNCTION("""COMPUTED_VALUE"""),"-")</f>
        <v>-</v>
      </c>
      <c r="BC790" s="97" t="str">
        <f>IFERROR(__xludf.DUMMYFUNCTION("""COMPUTED_VALUE"""),"-")</f>
        <v>-</v>
      </c>
      <c r="BD790" s="97" t="str">
        <f>IFERROR(__xludf.DUMMYFUNCTION("""COMPUTED_VALUE"""),"RIELES 1EF")</f>
        <v>RIELES 1EF</v>
      </c>
      <c r="BE790" s="97" t="str">
        <f>IFERROR(__xludf.DUMMYFUNCTION("""COMPUTED_VALUE"""),"Finalizada")</f>
        <v>Finalizada</v>
      </c>
      <c r="BF790" s="97"/>
      <c r="BG790" s="97" t="str">
        <f>IFERROR(__xludf.DUMMYFUNCTION("""COMPUTED_VALUE"""),"Activo")</f>
        <v>Activo</v>
      </c>
    </row>
    <row r="791">
      <c r="A791" s="97">
        <f>IFERROR(__xludf.DUMMYFUNCTION("""COMPUTED_VALUE"""),6564.0)</f>
        <v>6564</v>
      </c>
      <c r="B791" s="97" t="str">
        <f>IFERROR(__xludf.DUMMYFUNCTION("""COMPUTED_VALUE"""),"ALIMENTACION EXTREMO POWER 1EF BL")</f>
        <v>ALIMENTACION EXTREMO POWER 1EF BL</v>
      </c>
      <c r="C791" s="97" t="str">
        <f>IFERROR(__xludf.DUMMYFUNCTION("""COMPUTED_VALUE"""),"UNIÓN ALIMENTACION EXTREMO POWER 1EF BL LEUK")</f>
        <v>UNIÓN ALIMENTACION EXTREMO POWER 1EF BL LEUK</v>
      </c>
      <c r="D791" s="97">
        <f>IFERROR(__xludf.DUMMYFUNCTION("""COMPUTED_VALUE"""),7.798413220537E12)</f>
        <v>7798413220537</v>
      </c>
      <c r="E791" s="97"/>
      <c r="F791" s="97" t="str">
        <f>IFERROR(__xludf.DUMMYFUNCTION("""COMPUTED_VALUE"""),"N/A")</f>
        <v>N/A</v>
      </c>
      <c r="G791" s="97" t="str">
        <f>IFERROR(__xludf.DUMMYFUNCTION("""COMPUTED_VALUE"""),"N/A")</f>
        <v>N/A</v>
      </c>
      <c r="H791" s="97" t="str">
        <f>IFERROR(__xludf.DUMMYFUNCTION("""COMPUTED_VALUE"""),"N/A")</f>
        <v>N/A</v>
      </c>
      <c r="I791" s="97" t="str">
        <f>IFERROR(__xludf.DUMMYFUNCTION("""COMPUTED_VALUE"""),"N/A")</f>
        <v>N/A</v>
      </c>
      <c r="J791" s="97" t="str">
        <f>IFERROR(__xludf.DUMMYFUNCTION("""COMPUTED_VALUE"""),"N/A")</f>
        <v>N/A</v>
      </c>
      <c r="K791" s="97" t="str">
        <f>IFERROR(__xludf.DUMMYFUNCTION("""COMPUTED_VALUE"""),"N/A")</f>
        <v>N/A</v>
      </c>
      <c r="L791" s="97">
        <f>IFERROR(__xludf.DUMMYFUNCTION("""COMPUTED_VALUE"""),220.0)</f>
        <v>220</v>
      </c>
      <c r="M791" s="97">
        <f>IFERROR(__xludf.DUMMYFUNCTION("""COMPUTED_VALUE"""),50.0)</f>
        <v>50</v>
      </c>
      <c r="N791" s="97" t="str">
        <f>IFERROR(__xludf.DUMMYFUNCTION("""COMPUTED_VALUE"""),"N/A")</f>
        <v>N/A</v>
      </c>
      <c r="O791" s="97" t="str">
        <f>IFERROR(__xludf.DUMMYFUNCTION("""COMPUTED_VALUE"""),"-")</f>
        <v>-</v>
      </c>
      <c r="P791" s="97"/>
      <c r="Q791" s="97" t="str">
        <f>IFERROR(__xludf.DUMMYFUNCTION("""COMPUTED_VALUE"""),"-")</f>
        <v>-</v>
      </c>
      <c r="R791" s="97" t="str">
        <f>IFERROR(__xludf.DUMMYFUNCTION("""COMPUTED_VALUE"""),"-")</f>
        <v>-</v>
      </c>
      <c r="S791" s="97" t="str">
        <f>IFERROR(__xludf.DUMMYFUNCTION("""COMPUTED_VALUE"""),"-")</f>
        <v>-</v>
      </c>
      <c r="T791" s="97" t="str">
        <f>IFERROR(__xludf.DUMMYFUNCTION("""COMPUTED_VALUE"""),"-")</f>
        <v>-</v>
      </c>
      <c r="U791" s="97" t="str">
        <f>IFERROR(__xludf.DUMMYFUNCTION("""COMPUTED_VALUE"""),"-")</f>
        <v>-</v>
      </c>
      <c r="V791" s="97" t="str">
        <f>IFERROR(__xludf.DUMMYFUNCTION("""COMPUTED_VALUE"""),"N/A")</f>
        <v>N/A</v>
      </c>
      <c r="W791" s="97" t="str">
        <f>IFERROR(__xludf.DUMMYFUNCTION("""COMPUTED_VALUE"""),"N/A")</f>
        <v>N/A</v>
      </c>
      <c r="X791" s="97" t="str">
        <f>IFERROR(__xludf.DUMMYFUNCTION("""COMPUTED_VALUE"""),"-")</f>
        <v>-</v>
      </c>
      <c r="Y791" s="97" t="str">
        <f>IFERROR(__xludf.DUMMYFUNCTION("""COMPUTED_VALUE"""),"N/A")</f>
        <v>N/A</v>
      </c>
      <c r="Z791" s="97" t="str">
        <f>IFERROR(__xludf.DUMMYFUNCTION("""COMPUTED_VALUE"""),"N/A")</f>
        <v>N/A</v>
      </c>
      <c r="AA791" s="97" t="str">
        <f>IFERROR(__xludf.DUMMYFUNCTION("""COMPUTED_VALUE"""),"N/A")</f>
        <v>N/A</v>
      </c>
      <c r="AB791" s="97" t="str">
        <f>IFERROR(__xludf.DUMMYFUNCTION("""COMPUTED_VALUE"""),"N/A")</f>
        <v>N/A</v>
      </c>
      <c r="AC791" s="97" t="str">
        <f>IFERROR(__xludf.DUMMYFUNCTION("""COMPUTED_VALUE"""),"N/A")</f>
        <v>N/A</v>
      </c>
      <c r="AD791" s="97" t="str">
        <f>IFERROR(__xludf.DUMMYFUNCTION("""COMPUTED_VALUE"""),"IP20")</f>
        <v>IP20</v>
      </c>
      <c r="AE791" s="97" t="str">
        <f>IFERROR(__xludf.DUMMYFUNCTION("""COMPUTED_VALUE"""),"Clase l")</f>
        <v>Clase l</v>
      </c>
      <c r="AF791" s="97" t="str">
        <f>IFERROR(__xludf.DUMMYFUNCTION("""COMPUTED_VALUE"""),"N/A")</f>
        <v>N/A</v>
      </c>
      <c r="AG791" s="97" t="str">
        <f>IFERROR(__xludf.DUMMYFUNCTION("""COMPUTED_VALUE"""),"35 x 108 x 17")</f>
        <v>35 x 108 x 17</v>
      </c>
      <c r="AH791" s="97" t="str">
        <f>IFERROR(__xludf.DUMMYFUNCTION("""COMPUTED_VALUE"""),"N/A")</f>
        <v>N/A</v>
      </c>
      <c r="AI791" s="97" t="str">
        <f>IFERROR(__xludf.DUMMYFUNCTION("""COMPUTED_VALUE"""),"N/A")</f>
        <v>N/A</v>
      </c>
      <c r="AJ791" s="97" t="str">
        <f>IFERROR(__xludf.DUMMYFUNCTION("""COMPUTED_VALUE"""),"N/A")</f>
        <v>N/A</v>
      </c>
      <c r="AK791" s="97" t="str">
        <f>IFERROR(__xludf.DUMMYFUNCTION("""COMPUTED_VALUE"""),"Policarbonato (PC)")</f>
        <v>Policarbonato (PC)</v>
      </c>
      <c r="AL791" s="97" t="str">
        <f>IFERROR(__xludf.DUMMYFUNCTION("""COMPUTED_VALUE"""),"Blanco Mate")</f>
        <v>Blanco Mate</v>
      </c>
      <c r="AM791" s="97" t="str">
        <f>IFERROR(__xludf.DUMMYFUNCTION("""COMPUTED_VALUE"""),"-")</f>
        <v>-</v>
      </c>
      <c r="AN791" s="97" t="str">
        <f>IFERROR(__xludf.DUMMYFUNCTION("""COMPUTED_VALUE"""),"N/A")</f>
        <v>N/A</v>
      </c>
      <c r="AO791" s="97" t="str">
        <f>IFERROR(__xludf.DUMMYFUNCTION("""COMPUTED_VALUE"""),"3 Años")</f>
        <v>3 Años</v>
      </c>
      <c r="AP791" s="97" t="str">
        <f>IFERROR(__xludf.DUMMYFUNCTION("""COMPUTED_VALUE"""),"No Aplica")</f>
        <v>No Aplica</v>
      </c>
      <c r="AQ791" s="97" t="str">
        <f>IFERROR(__xludf.DUMMYFUNCTION("""COMPUTED_VALUE"""),"No Aplica")</f>
        <v>No Aplica</v>
      </c>
      <c r="AR791" s="97" t="str">
        <f>IFERROR(__xludf.DUMMYFUNCTION("""COMPUTED_VALUE"""),"No Aplica")</f>
        <v>No Aplica</v>
      </c>
      <c r="AS791" s="97"/>
      <c r="AT791" s="97"/>
      <c r="AU791" s="97" t="str">
        <f>IFERROR(__xludf.DUMMYFUNCTION("""COMPUTED_VALUE"""),"Falta")</f>
        <v>Falta</v>
      </c>
      <c r="AV791" s="97" t="str">
        <f>IFERROR(__xludf.DUMMYFUNCTION("""COMPUTED_VALUE"""),"Unión")</f>
        <v>Unión</v>
      </c>
      <c r="AW791" s="97" t="str">
        <f>IFERROR(__xludf.DUMMYFUNCTION("""COMPUTED_VALUE"""),"Rieles")</f>
        <v>Rieles</v>
      </c>
      <c r="AX791" s="97" t="str">
        <f>IFERROR(__xludf.DUMMYFUNCTION("""COMPUTED_VALUE"""),"Interior")</f>
        <v>Interior</v>
      </c>
      <c r="AY791" s="97" t="str">
        <f>IFERROR(__xludf.DUMMYFUNCTION("""COMPUTED_VALUE"""),"-")</f>
        <v>-</v>
      </c>
      <c r="AZ791" s="97" t="str">
        <f>IFERROR(__xludf.DUMMYFUNCTION("""COMPUTED_VALUE"""),"Soporta 10A. Con entrada de alimentación 220 V~.")</f>
        <v>Soporta 10A. Con entrada de alimentación 220 V~.</v>
      </c>
      <c r="BA791" s="97">
        <f>IFERROR(__xludf.DUMMYFUNCTION("""COMPUTED_VALUE"""),20.0)</f>
        <v>20</v>
      </c>
      <c r="BB791" s="97" t="str">
        <f>IFERROR(__xludf.DUMMYFUNCTION("""COMPUTED_VALUE"""),"-")</f>
        <v>-</v>
      </c>
      <c r="BC791" s="97" t="str">
        <f>IFERROR(__xludf.DUMMYFUNCTION("""COMPUTED_VALUE"""),"-")</f>
        <v>-</v>
      </c>
      <c r="BD791" s="97" t="str">
        <f>IFERROR(__xludf.DUMMYFUNCTION("""COMPUTED_VALUE"""),"RIELES 1EF")</f>
        <v>RIELES 1EF</v>
      </c>
      <c r="BE791" s="97" t="str">
        <f>IFERROR(__xludf.DUMMYFUNCTION("""COMPUTED_VALUE"""),"Finalizada")</f>
        <v>Finalizada</v>
      </c>
      <c r="BF791" s="97"/>
      <c r="BG791" s="97" t="str">
        <f>IFERROR(__xludf.DUMMYFUNCTION("""COMPUTED_VALUE"""),"Activo")</f>
        <v>Activo</v>
      </c>
    </row>
    <row r="792">
      <c r="A792" s="97">
        <f>IFERROR(__xludf.DUMMYFUNCTION("""COMPUTED_VALUE"""),6565.0)</f>
        <v>6565</v>
      </c>
      <c r="B792" s="97" t="str">
        <f>IFERROR(__xludf.DUMMYFUNCTION("""COMPUTED_VALUE"""),"ALIMENTACION EXTREMO POWER 1EF NG")</f>
        <v>ALIMENTACION EXTREMO POWER 1EF NG</v>
      </c>
      <c r="C792" s="97" t="str">
        <f>IFERROR(__xludf.DUMMYFUNCTION("""COMPUTED_VALUE"""),"UNIÓN ALIMENTACION EXTREMO POWER 1EF NG LEUK")</f>
        <v>UNIÓN ALIMENTACION EXTREMO POWER 1EF NG LEUK</v>
      </c>
      <c r="D792" s="97">
        <f>IFERROR(__xludf.DUMMYFUNCTION("""COMPUTED_VALUE"""),7.79841322052E12)</f>
        <v>7798413220520</v>
      </c>
      <c r="E792" s="97"/>
      <c r="F792" s="97" t="str">
        <f>IFERROR(__xludf.DUMMYFUNCTION("""COMPUTED_VALUE"""),"N/A")</f>
        <v>N/A</v>
      </c>
      <c r="G792" s="97" t="str">
        <f>IFERROR(__xludf.DUMMYFUNCTION("""COMPUTED_VALUE"""),"N/A")</f>
        <v>N/A</v>
      </c>
      <c r="H792" s="97" t="str">
        <f>IFERROR(__xludf.DUMMYFUNCTION("""COMPUTED_VALUE"""),"N/A")</f>
        <v>N/A</v>
      </c>
      <c r="I792" s="97" t="str">
        <f>IFERROR(__xludf.DUMMYFUNCTION("""COMPUTED_VALUE"""),"N/A")</f>
        <v>N/A</v>
      </c>
      <c r="J792" s="97" t="str">
        <f>IFERROR(__xludf.DUMMYFUNCTION("""COMPUTED_VALUE"""),"N/A")</f>
        <v>N/A</v>
      </c>
      <c r="K792" s="97" t="str">
        <f>IFERROR(__xludf.DUMMYFUNCTION("""COMPUTED_VALUE"""),"N/A")</f>
        <v>N/A</v>
      </c>
      <c r="L792" s="97">
        <f>IFERROR(__xludf.DUMMYFUNCTION("""COMPUTED_VALUE"""),220.0)</f>
        <v>220</v>
      </c>
      <c r="M792" s="97">
        <f>IFERROR(__xludf.DUMMYFUNCTION("""COMPUTED_VALUE"""),50.0)</f>
        <v>50</v>
      </c>
      <c r="N792" s="97" t="str">
        <f>IFERROR(__xludf.DUMMYFUNCTION("""COMPUTED_VALUE"""),"N/A")</f>
        <v>N/A</v>
      </c>
      <c r="O792" s="97" t="str">
        <f>IFERROR(__xludf.DUMMYFUNCTION("""COMPUTED_VALUE"""),"-")</f>
        <v>-</v>
      </c>
      <c r="P792" s="97"/>
      <c r="Q792" s="97" t="str">
        <f>IFERROR(__xludf.DUMMYFUNCTION("""COMPUTED_VALUE"""),"-")</f>
        <v>-</v>
      </c>
      <c r="R792" s="97" t="str">
        <f>IFERROR(__xludf.DUMMYFUNCTION("""COMPUTED_VALUE"""),"-")</f>
        <v>-</v>
      </c>
      <c r="S792" s="97" t="str">
        <f>IFERROR(__xludf.DUMMYFUNCTION("""COMPUTED_VALUE"""),"-")</f>
        <v>-</v>
      </c>
      <c r="T792" s="97" t="str">
        <f>IFERROR(__xludf.DUMMYFUNCTION("""COMPUTED_VALUE"""),"-")</f>
        <v>-</v>
      </c>
      <c r="U792" s="97" t="str">
        <f>IFERROR(__xludf.DUMMYFUNCTION("""COMPUTED_VALUE"""),"-")</f>
        <v>-</v>
      </c>
      <c r="V792" s="97" t="str">
        <f>IFERROR(__xludf.DUMMYFUNCTION("""COMPUTED_VALUE"""),"N/A")</f>
        <v>N/A</v>
      </c>
      <c r="W792" s="97" t="str">
        <f>IFERROR(__xludf.DUMMYFUNCTION("""COMPUTED_VALUE"""),"N/A")</f>
        <v>N/A</v>
      </c>
      <c r="X792" s="97" t="str">
        <f>IFERROR(__xludf.DUMMYFUNCTION("""COMPUTED_VALUE"""),"-")</f>
        <v>-</v>
      </c>
      <c r="Y792" s="97" t="str">
        <f>IFERROR(__xludf.DUMMYFUNCTION("""COMPUTED_VALUE"""),"N/A")</f>
        <v>N/A</v>
      </c>
      <c r="Z792" s="97" t="str">
        <f>IFERROR(__xludf.DUMMYFUNCTION("""COMPUTED_VALUE"""),"N/A")</f>
        <v>N/A</v>
      </c>
      <c r="AA792" s="97" t="str">
        <f>IFERROR(__xludf.DUMMYFUNCTION("""COMPUTED_VALUE"""),"N/A")</f>
        <v>N/A</v>
      </c>
      <c r="AB792" s="97" t="str">
        <f>IFERROR(__xludf.DUMMYFUNCTION("""COMPUTED_VALUE"""),"N/A")</f>
        <v>N/A</v>
      </c>
      <c r="AC792" s="97" t="str">
        <f>IFERROR(__xludf.DUMMYFUNCTION("""COMPUTED_VALUE"""),"N/A")</f>
        <v>N/A</v>
      </c>
      <c r="AD792" s="97" t="str">
        <f>IFERROR(__xludf.DUMMYFUNCTION("""COMPUTED_VALUE"""),"IP20")</f>
        <v>IP20</v>
      </c>
      <c r="AE792" s="97" t="str">
        <f>IFERROR(__xludf.DUMMYFUNCTION("""COMPUTED_VALUE"""),"Clase l")</f>
        <v>Clase l</v>
      </c>
      <c r="AF792" s="97" t="str">
        <f>IFERROR(__xludf.DUMMYFUNCTION("""COMPUTED_VALUE"""),"N/A")</f>
        <v>N/A</v>
      </c>
      <c r="AG792" s="97" t="str">
        <f>IFERROR(__xludf.DUMMYFUNCTION("""COMPUTED_VALUE"""),"35 x 108 x 17")</f>
        <v>35 x 108 x 17</v>
      </c>
      <c r="AH792" s="97" t="str">
        <f>IFERROR(__xludf.DUMMYFUNCTION("""COMPUTED_VALUE"""),"N/A")</f>
        <v>N/A</v>
      </c>
      <c r="AI792" s="97" t="str">
        <f>IFERROR(__xludf.DUMMYFUNCTION("""COMPUTED_VALUE"""),"N/A")</f>
        <v>N/A</v>
      </c>
      <c r="AJ792" s="97" t="str">
        <f>IFERROR(__xludf.DUMMYFUNCTION("""COMPUTED_VALUE"""),"N/A")</f>
        <v>N/A</v>
      </c>
      <c r="AK792" s="97" t="str">
        <f>IFERROR(__xludf.DUMMYFUNCTION("""COMPUTED_VALUE"""),"Policarbonato (PC)")</f>
        <v>Policarbonato (PC)</v>
      </c>
      <c r="AL792" s="97" t="str">
        <f>IFERROR(__xludf.DUMMYFUNCTION("""COMPUTED_VALUE"""),"Negro Mate")</f>
        <v>Negro Mate</v>
      </c>
      <c r="AM792" s="97" t="str">
        <f>IFERROR(__xludf.DUMMYFUNCTION("""COMPUTED_VALUE"""),"-")</f>
        <v>-</v>
      </c>
      <c r="AN792" s="97" t="str">
        <f>IFERROR(__xludf.DUMMYFUNCTION("""COMPUTED_VALUE"""),"N/A")</f>
        <v>N/A</v>
      </c>
      <c r="AO792" s="97" t="str">
        <f>IFERROR(__xludf.DUMMYFUNCTION("""COMPUTED_VALUE"""),"3 Años")</f>
        <v>3 Años</v>
      </c>
      <c r="AP792" s="97" t="str">
        <f>IFERROR(__xludf.DUMMYFUNCTION("""COMPUTED_VALUE"""),"No Aplica")</f>
        <v>No Aplica</v>
      </c>
      <c r="AQ792" s="97" t="str">
        <f>IFERROR(__xludf.DUMMYFUNCTION("""COMPUTED_VALUE"""),"No Aplica")</f>
        <v>No Aplica</v>
      </c>
      <c r="AR792" s="97" t="str">
        <f>IFERROR(__xludf.DUMMYFUNCTION("""COMPUTED_VALUE"""),"No Aplica")</f>
        <v>No Aplica</v>
      </c>
      <c r="AS792" s="97"/>
      <c r="AT792" s="97"/>
      <c r="AU792" s="97" t="str">
        <f>IFERROR(__xludf.DUMMYFUNCTION("""COMPUTED_VALUE"""),"Falta")</f>
        <v>Falta</v>
      </c>
      <c r="AV792" s="97" t="str">
        <f>IFERROR(__xludf.DUMMYFUNCTION("""COMPUTED_VALUE"""),"Unión")</f>
        <v>Unión</v>
      </c>
      <c r="AW792" s="97" t="str">
        <f>IFERROR(__xludf.DUMMYFUNCTION("""COMPUTED_VALUE"""),"Rieles")</f>
        <v>Rieles</v>
      </c>
      <c r="AX792" s="97" t="str">
        <f>IFERROR(__xludf.DUMMYFUNCTION("""COMPUTED_VALUE"""),"Interior")</f>
        <v>Interior</v>
      </c>
      <c r="AY792" s="97" t="str">
        <f>IFERROR(__xludf.DUMMYFUNCTION("""COMPUTED_VALUE"""),"-")</f>
        <v>-</v>
      </c>
      <c r="AZ792" s="97" t="str">
        <f>IFERROR(__xludf.DUMMYFUNCTION("""COMPUTED_VALUE"""),"Soporta 10A. Con entrada de alimentación 220 V~.")</f>
        <v>Soporta 10A. Con entrada de alimentación 220 V~.</v>
      </c>
      <c r="BA792" s="97">
        <f>IFERROR(__xludf.DUMMYFUNCTION("""COMPUTED_VALUE"""),30.0)</f>
        <v>30</v>
      </c>
      <c r="BB792" s="97" t="str">
        <f>IFERROR(__xludf.DUMMYFUNCTION("""COMPUTED_VALUE"""),"-")</f>
        <v>-</v>
      </c>
      <c r="BC792" s="97" t="str">
        <f>IFERROR(__xludf.DUMMYFUNCTION("""COMPUTED_VALUE"""),"-")</f>
        <v>-</v>
      </c>
      <c r="BD792" s="97" t="str">
        <f>IFERROR(__xludf.DUMMYFUNCTION("""COMPUTED_VALUE"""),"RIELES 1EF")</f>
        <v>RIELES 1EF</v>
      </c>
      <c r="BE792" s="97" t="str">
        <f>IFERROR(__xludf.DUMMYFUNCTION("""COMPUTED_VALUE"""),"Finalizada")</f>
        <v>Finalizada</v>
      </c>
      <c r="BF792" s="97"/>
      <c r="BG792" s="97" t="str">
        <f>IFERROR(__xludf.DUMMYFUNCTION("""COMPUTED_VALUE"""),"Activo")</f>
        <v>Activo</v>
      </c>
    </row>
    <row r="793">
      <c r="A793" s="97">
        <f>IFERROR(__xludf.DUMMYFUNCTION("""COMPUTED_VALUE"""),6566.0)</f>
        <v>6566</v>
      </c>
      <c r="B793" s="97" t="str">
        <f>IFERROR(__xludf.DUMMYFUNCTION("""COMPUTED_VALUE"""),"TAPA 1EF BL")</f>
        <v>TAPA 1EF BL</v>
      </c>
      <c r="C793" s="97" t="str">
        <f>IFERROR(__xludf.DUMMYFUNCTION("""COMPUTED_VALUE"""),"ACCESORIO TAPA 1EF BL LEUK")</f>
        <v>ACCESORIO TAPA 1EF BL LEUK</v>
      </c>
      <c r="D793" s="97">
        <f>IFERROR(__xludf.DUMMYFUNCTION("""COMPUTED_VALUE"""),7.798413220513E12)</f>
        <v>7798413220513</v>
      </c>
      <c r="E793" s="97" t="str">
        <f>IFERROR(__xludf.DUMMYFUNCTION("""COMPUTED_VALUE"""),"N/A")</f>
        <v>N/A</v>
      </c>
      <c r="F793" s="97" t="str">
        <f>IFERROR(__xludf.DUMMYFUNCTION("""COMPUTED_VALUE"""),"N/A")</f>
        <v>N/A</v>
      </c>
      <c r="G793" s="97" t="str">
        <f>IFERROR(__xludf.DUMMYFUNCTION("""COMPUTED_VALUE"""),"N/A")</f>
        <v>N/A</v>
      </c>
      <c r="H793" s="97" t="str">
        <f>IFERROR(__xludf.DUMMYFUNCTION("""COMPUTED_VALUE"""),"N/A")</f>
        <v>N/A</v>
      </c>
      <c r="I793" s="97" t="str">
        <f>IFERROR(__xludf.DUMMYFUNCTION("""COMPUTED_VALUE"""),"N/A")</f>
        <v>N/A</v>
      </c>
      <c r="J793" s="97" t="str">
        <f>IFERROR(__xludf.DUMMYFUNCTION("""COMPUTED_VALUE"""),"N/A")</f>
        <v>N/A</v>
      </c>
      <c r="K793" s="97" t="str">
        <f>IFERROR(__xludf.DUMMYFUNCTION("""COMPUTED_VALUE"""),"N/A")</f>
        <v>N/A</v>
      </c>
      <c r="L793" s="97" t="str">
        <f>IFERROR(__xludf.DUMMYFUNCTION("""COMPUTED_VALUE"""),"N/A")</f>
        <v>N/A</v>
      </c>
      <c r="M793" s="97" t="str">
        <f>IFERROR(__xludf.DUMMYFUNCTION("""COMPUTED_VALUE"""),"N/A")</f>
        <v>N/A</v>
      </c>
      <c r="N793" s="97" t="str">
        <f>IFERROR(__xludf.DUMMYFUNCTION("""COMPUTED_VALUE"""),"N/A")</f>
        <v>N/A</v>
      </c>
      <c r="O793" s="97" t="str">
        <f>IFERROR(__xludf.DUMMYFUNCTION("""COMPUTED_VALUE"""),"-")</f>
        <v>-</v>
      </c>
      <c r="P793" s="97"/>
      <c r="Q793" s="97" t="str">
        <f>IFERROR(__xludf.DUMMYFUNCTION("""COMPUTED_VALUE"""),"-")</f>
        <v>-</v>
      </c>
      <c r="R793" s="97" t="str">
        <f>IFERROR(__xludf.DUMMYFUNCTION("""COMPUTED_VALUE"""),"-")</f>
        <v>-</v>
      </c>
      <c r="S793" s="97" t="str">
        <f>IFERROR(__xludf.DUMMYFUNCTION("""COMPUTED_VALUE"""),"-")</f>
        <v>-</v>
      </c>
      <c r="T793" s="97" t="str">
        <f>IFERROR(__xludf.DUMMYFUNCTION("""COMPUTED_VALUE"""),"-")</f>
        <v>-</v>
      </c>
      <c r="U793" s="97" t="str">
        <f>IFERROR(__xludf.DUMMYFUNCTION("""COMPUTED_VALUE"""),"-")</f>
        <v>-</v>
      </c>
      <c r="V793" s="97" t="str">
        <f>IFERROR(__xludf.DUMMYFUNCTION("""COMPUTED_VALUE"""),"N/A")</f>
        <v>N/A</v>
      </c>
      <c r="W793" s="97" t="str">
        <f>IFERROR(__xludf.DUMMYFUNCTION("""COMPUTED_VALUE"""),"N/A")</f>
        <v>N/A</v>
      </c>
      <c r="X793" s="97" t="str">
        <f>IFERROR(__xludf.DUMMYFUNCTION("""COMPUTED_VALUE"""),"-")</f>
        <v>-</v>
      </c>
      <c r="Y793" s="97" t="str">
        <f>IFERROR(__xludf.DUMMYFUNCTION("""COMPUTED_VALUE"""),"N/A")</f>
        <v>N/A</v>
      </c>
      <c r="Z793" s="97" t="str">
        <f>IFERROR(__xludf.DUMMYFUNCTION("""COMPUTED_VALUE"""),"N/A")</f>
        <v>N/A</v>
      </c>
      <c r="AA793" s="97" t="str">
        <f>IFERROR(__xludf.DUMMYFUNCTION("""COMPUTED_VALUE"""),"N/A")</f>
        <v>N/A</v>
      </c>
      <c r="AB793" s="97" t="str">
        <f>IFERROR(__xludf.DUMMYFUNCTION("""COMPUTED_VALUE"""),"N/A")</f>
        <v>N/A</v>
      </c>
      <c r="AC793" s="97" t="str">
        <f>IFERROR(__xludf.DUMMYFUNCTION("""COMPUTED_VALUE"""),"N/A")</f>
        <v>N/A</v>
      </c>
      <c r="AD793" s="97" t="str">
        <f>IFERROR(__xludf.DUMMYFUNCTION("""COMPUTED_VALUE"""),"N/A")</f>
        <v>N/A</v>
      </c>
      <c r="AE793" s="97" t="str">
        <f>IFERROR(__xludf.DUMMYFUNCTION("""COMPUTED_VALUE"""),"N/A")</f>
        <v>N/A</v>
      </c>
      <c r="AF793" s="97" t="str">
        <f>IFERROR(__xludf.DUMMYFUNCTION("""COMPUTED_VALUE"""),"N/A")</f>
        <v>N/A</v>
      </c>
      <c r="AG793" s="97" t="str">
        <f>IFERROR(__xludf.DUMMYFUNCTION("""COMPUTED_VALUE"""),"34 x 15 x 17")</f>
        <v>34 x 15 x 17</v>
      </c>
      <c r="AH793" s="97" t="str">
        <f>IFERROR(__xludf.DUMMYFUNCTION("""COMPUTED_VALUE"""),"N/A")</f>
        <v>N/A</v>
      </c>
      <c r="AI793" s="97" t="str">
        <f>IFERROR(__xludf.DUMMYFUNCTION("""COMPUTED_VALUE"""),"N/A")</f>
        <v>N/A</v>
      </c>
      <c r="AJ793" s="97" t="str">
        <f>IFERROR(__xludf.DUMMYFUNCTION("""COMPUTED_VALUE"""),"N/A")</f>
        <v>N/A</v>
      </c>
      <c r="AK793" s="97" t="str">
        <f>IFERROR(__xludf.DUMMYFUNCTION("""COMPUTED_VALUE"""),"Policarbonato (PC)")</f>
        <v>Policarbonato (PC)</v>
      </c>
      <c r="AL793" s="97" t="str">
        <f>IFERROR(__xludf.DUMMYFUNCTION("""COMPUTED_VALUE"""),"Blanco Mate")</f>
        <v>Blanco Mate</v>
      </c>
      <c r="AM793" s="97" t="str">
        <f>IFERROR(__xludf.DUMMYFUNCTION("""COMPUTED_VALUE"""),"-")</f>
        <v>-</v>
      </c>
      <c r="AN793" s="97" t="str">
        <f>IFERROR(__xludf.DUMMYFUNCTION("""COMPUTED_VALUE"""),"N/A")</f>
        <v>N/A</v>
      </c>
      <c r="AO793" s="97" t="str">
        <f>IFERROR(__xludf.DUMMYFUNCTION("""COMPUTED_VALUE"""),"3 Años")</f>
        <v>3 Años</v>
      </c>
      <c r="AP793" s="97" t="str">
        <f>IFERROR(__xludf.DUMMYFUNCTION("""COMPUTED_VALUE"""),"No Aplica")</f>
        <v>No Aplica</v>
      </c>
      <c r="AQ793" s="97" t="str">
        <f>IFERROR(__xludf.DUMMYFUNCTION("""COMPUTED_VALUE"""),"No Aplica")</f>
        <v>No Aplica</v>
      </c>
      <c r="AR793" s="97" t="str">
        <f>IFERROR(__xludf.DUMMYFUNCTION("""COMPUTED_VALUE"""),"No Aplica")</f>
        <v>No Aplica</v>
      </c>
      <c r="AS793" s="97"/>
      <c r="AT793" s="97"/>
      <c r="AU793" s="97" t="str">
        <f>IFERROR(__xludf.DUMMYFUNCTION("""COMPUTED_VALUE"""),"Falta")</f>
        <v>Falta</v>
      </c>
      <c r="AV793" s="97" t="str">
        <f>IFERROR(__xludf.DUMMYFUNCTION("""COMPUTED_VALUE"""),"Accesorio")</f>
        <v>Accesorio</v>
      </c>
      <c r="AW793" s="97" t="str">
        <f>IFERROR(__xludf.DUMMYFUNCTION("""COMPUTED_VALUE"""),"Rieles")</f>
        <v>Rieles</v>
      </c>
      <c r="AX793" s="97" t="str">
        <f>IFERROR(__xludf.DUMMYFUNCTION("""COMPUTED_VALUE"""),"Interior")</f>
        <v>Interior</v>
      </c>
      <c r="AY793" s="97" t="str">
        <f>IFERROR(__xludf.DUMMYFUNCTION("""COMPUTED_VALUE"""),"-")</f>
        <v>-</v>
      </c>
      <c r="AZ793" s="97"/>
      <c r="BA793" s="97">
        <f>IFERROR(__xludf.DUMMYFUNCTION("""COMPUTED_VALUE"""),60.0)</f>
        <v>60</v>
      </c>
      <c r="BB793" s="97" t="str">
        <f>IFERROR(__xludf.DUMMYFUNCTION("""COMPUTED_VALUE"""),"-")</f>
        <v>-</v>
      </c>
      <c r="BC793" s="97" t="str">
        <f>IFERROR(__xludf.DUMMYFUNCTION("""COMPUTED_VALUE"""),"-")</f>
        <v>-</v>
      </c>
      <c r="BD793" s="97" t="str">
        <f>IFERROR(__xludf.DUMMYFUNCTION("""COMPUTED_VALUE"""),"RIELES 1EF")</f>
        <v>RIELES 1EF</v>
      </c>
      <c r="BE793" s="97" t="str">
        <f>IFERROR(__xludf.DUMMYFUNCTION("""COMPUTED_VALUE"""),"Finalizada")</f>
        <v>Finalizada</v>
      </c>
      <c r="BF793" s="97"/>
      <c r="BG793" s="97" t="str">
        <f>IFERROR(__xludf.DUMMYFUNCTION("""COMPUTED_VALUE"""),"Activo")</f>
        <v>Activo</v>
      </c>
    </row>
    <row r="794">
      <c r="A794" s="97">
        <f>IFERROR(__xludf.DUMMYFUNCTION("""COMPUTED_VALUE"""),6567.0)</f>
        <v>6567</v>
      </c>
      <c r="B794" s="97" t="str">
        <f>IFERROR(__xludf.DUMMYFUNCTION("""COMPUTED_VALUE"""),"TAPA 1EF NG")</f>
        <v>TAPA 1EF NG</v>
      </c>
      <c r="C794" s="97" t="str">
        <f>IFERROR(__xludf.DUMMYFUNCTION("""COMPUTED_VALUE"""),"ACCESORIO TAPA 1EF NG LEUK")</f>
        <v>ACCESORIO TAPA 1EF NG LEUK</v>
      </c>
      <c r="D794" s="97">
        <f>IFERROR(__xludf.DUMMYFUNCTION("""COMPUTED_VALUE"""),7.798413220506E12)</f>
        <v>7798413220506</v>
      </c>
      <c r="E794" s="97" t="str">
        <f>IFERROR(__xludf.DUMMYFUNCTION("""COMPUTED_VALUE"""),"N/A")</f>
        <v>N/A</v>
      </c>
      <c r="F794" s="97" t="str">
        <f>IFERROR(__xludf.DUMMYFUNCTION("""COMPUTED_VALUE"""),"N/A")</f>
        <v>N/A</v>
      </c>
      <c r="G794" s="97" t="str">
        <f>IFERROR(__xludf.DUMMYFUNCTION("""COMPUTED_VALUE"""),"N/A")</f>
        <v>N/A</v>
      </c>
      <c r="H794" s="97" t="str">
        <f>IFERROR(__xludf.DUMMYFUNCTION("""COMPUTED_VALUE"""),"N/A")</f>
        <v>N/A</v>
      </c>
      <c r="I794" s="97" t="str">
        <f>IFERROR(__xludf.DUMMYFUNCTION("""COMPUTED_VALUE"""),"N/A")</f>
        <v>N/A</v>
      </c>
      <c r="J794" s="97" t="str">
        <f>IFERROR(__xludf.DUMMYFUNCTION("""COMPUTED_VALUE"""),"N/A")</f>
        <v>N/A</v>
      </c>
      <c r="K794" s="97" t="str">
        <f>IFERROR(__xludf.DUMMYFUNCTION("""COMPUTED_VALUE"""),"N/A")</f>
        <v>N/A</v>
      </c>
      <c r="L794" s="97" t="str">
        <f>IFERROR(__xludf.DUMMYFUNCTION("""COMPUTED_VALUE"""),"N/A")</f>
        <v>N/A</v>
      </c>
      <c r="M794" s="97" t="str">
        <f>IFERROR(__xludf.DUMMYFUNCTION("""COMPUTED_VALUE"""),"N/A")</f>
        <v>N/A</v>
      </c>
      <c r="N794" s="97" t="str">
        <f>IFERROR(__xludf.DUMMYFUNCTION("""COMPUTED_VALUE"""),"N/A")</f>
        <v>N/A</v>
      </c>
      <c r="O794" s="97" t="str">
        <f>IFERROR(__xludf.DUMMYFUNCTION("""COMPUTED_VALUE"""),"-")</f>
        <v>-</v>
      </c>
      <c r="P794" s="97"/>
      <c r="Q794" s="97" t="str">
        <f>IFERROR(__xludf.DUMMYFUNCTION("""COMPUTED_VALUE"""),"-")</f>
        <v>-</v>
      </c>
      <c r="R794" s="97" t="str">
        <f>IFERROR(__xludf.DUMMYFUNCTION("""COMPUTED_VALUE"""),"-")</f>
        <v>-</v>
      </c>
      <c r="S794" s="97" t="str">
        <f>IFERROR(__xludf.DUMMYFUNCTION("""COMPUTED_VALUE"""),"-")</f>
        <v>-</v>
      </c>
      <c r="T794" s="97" t="str">
        <f>IFERROR(__xludf.DUMMYFUNCTION("""COMPUTED_VALUE"""),"-")</f>
        <v>-</v>
      </c>
      <c r="U794" s="97" t="str">
        <f>IFERROR(__xludf.DUMMYFUNCTION("""COMPUTED_VALUE"""),"-")</f>
        <v>-</v>
      </c>
      <c r="V794" s="97" t="str">
        <f>IFERROR(__xludf.DUMMYFUNCTION("""COMPUTED_VALUE"""),"N/A")</f>
        <v>N/A</v>
      </c>
      <c r="W794" s="97" t="str">
        <f>IFERROR(__xludf.DUMMYFUNCTION("""COMPUTED_VALUE"""),"N/A")</f>
        <v>N/A</v>
      </c>
      <c r="X794" s="97" t="str">
        <f>IFERROR(__xludf.DUMMYFUNCTION("""COMPUTED_VALUE"""),"-")</f>
        <v>-</v>
      </c>
      <c r="Y794" s="97" t="str">
        <f>IFERROR(__xludf.DUMMYFUNCTION("""COMPUTED_VALUE"""),"N/A")</f>
        <v>N/A</v>
      </c>
      <c r="Z794" s="97" t="str">
        <f>IFERROR(__xludf.DUMMYFUNCTION("""COMPUTED_VALUE"""),"N/A")</f>
        <v>N/A</v>
      </c>
      <c r="AA794" s="97" t="str">
        <f>IFERROR(__xludf.DUMMYFUNCTION("""COMPUTED_VALUE"""),"N/A")</f>
        <v>N/A</v>
      </c>
      <c r="AB794" s="97" t="str">
        <f>IFERROR(__xludf.DUMMYFUNCTION("""COMPUTED_VALUE"""),"N/A")</f>
        <v>N/A</v>
      </c>
      <c r="AC794" s="97" t="str">
        <f>IFERROR(__xludf.DUMMYFUNCTION("""COMPUTED_VALUE"""),"N/A")</f>
        <v>N/A</v>
      </c>
      <c r="AD794" s="97" t="str">
        <f>IFERROR(__xludf.DUMMYFUNCTION("""COMPUTED_VALUE"""),"N/A")</f>
        <v>N/A</v>
      </c>
      <c r="AE794" s="97" t="str">
        <f>IFERROR(__xludf.DUMMYFUNCTION("""COMPUTED_VALUE"""),"N/A")</f>
        <v>N/A</v>
      </c>
      <c r="AF794" s="97" t="str">
        <f>IFERROR(__xludf.DUMMYFUNCTION("""COMPUTED_VALUE"""),"N/A")</f>
        <v>N/A</v>
      </c>
      <c r="AG794" s="97" t="str">
        <f>IFERROR(__xludf.DUMMYFUNCTION("""COMPUTED_VALUE"""),"34 x 15 x 17")</f>
        <v>34 x 15 x 17</v>
      </c>
      <c r="AH794" s="97" t="str">
        <f>IFERROR(__xludf.DUMMYFUNCTION("""COMPUTED_VALUE"""),"N/A")</f>
        <v>N/A</v>
      </c>
      <c r="AI794" s="97" t="str">
        <f>IFERROR(__xludf.DUMMYFUNCTION("""COMPUTED_VALUE"""),"N/A")</f>
        <v>N/A</v>
      </c>
      <c r="AJ794" s="97" t="str">
        <f>IFERROR(__xludf.DUMMYFUNCTION("""COMPUTED_VALUE"""),"N/A")</f>
        <v>N/A</v>
      </c>
      <c r="AK794" s="97" t="str">
        <f>IFERROR(__xludf.DUMMYFUNCTION("""COMPUTED_VALUE"""),"Policarbonato (PC)")</f>
        <v>Policarbonato (PC)</v>
      </c>
      <c r="AL794" s="97" t="str">
        <f>IFERROR(__xludf.DUMMYFUNCTION("""COMPUTED_VALUE"""),"Negro Mate")</f>
        <v>Negro Mate</v>
      </c>
      <c r="AM794" s="97" t="str">
        <f>IFERROR(__xludf.DUMMYFUNCTION("""COMPUTED_VALUE"""),"-")</f>
        <v>-</v>
      </c>
      <c r="AN794" s="97" t="str">
        <f>IFERROR(__xludf.DUMMYFUNCTION("""COMPUTED_VALUE"""),"N/A")</f>
        <v>N/A</v>
      </c>
      <c r="AO794" s="97" t="str">
        <f>IFERROR(__xludf.DUMMYFUNCTION("""COMPUTED_VALUE"""),"3 Años")</f>
        <v>3 Años</v>
      </c>
      <c r="AP794" s="97" t="str">
        <f>IFERROR(__xludf.DUMMYFUNCTION("""COMPUTED_VALUE"""),"No Aplica")</f>
        <v>No Aplica</v>
      </c>
      <c r="AQ794" s="97" t="str">
        <f>IFERROR(__xludf.DUMMYFUNCTION("""COMPUTED_VALUE"""),"No Aplica")</f>
        <v>No Aplica</v>
      </c>
      <c r="AR794" s="97" t="str">
        <f>IFERROR(__xludf.DUMMYFUNCTION("""COMPUTED_VALUE"""),"No Aplica")</f>
        <v>No Aplica</v>
      </c>
      <c r="AS794" s="97"/>
      <c r="AT794" s="97"/>
      <c r="AU794" s="97" t="str">
        <f>IFERROR(__xludf.DUMMYFUNCTION("""COMPUTED_VALUE"""),"Falta")</f>
        <v>Falta</v>
      </c>
      <c r="AV794" s="97" t="str">
        <f>IFERROR(__xludf.DUMMYFUNCTION("""COMPUTED_VALUE"""),"Accesorio")</f>
        <v>Accesorio</v>
      </c>
      <c r="AW794" s="97" t="str">
        <f>IFERROR(__xludf.DUMMYFUNCTION("""COMPUTED_VALUE"""),"Rieles")</f>
        <v>Rieles</v>
      </c>
      <c r="AX794" s="97" t="str">
        <f>IFERROR(__xludf.DUMMYFUNCTION("""COMPUTED_VALUE"""),"Interior")</f>
        <v>Interior</v>
      </c>
      <c r="AY794" s="97" t="str">
        <f>IFERROR(__xludf.DUMMYFUNCTION("""COMPUTED_VALUE"""),"-")</f>
        <v>-</v>
      </c>
      <c r="AZ794" s="97"/>
      <c r="BA794" s="97">
        <f>IFERROR(__xludf.DUMMYFUNCTION("""COMPUTED_VALUE"""),70.0)</f>
        <v>70</v>
      </c>
      <c r="BB794" s="97" t="str">
        <f>IFERROR(__xludf.DUMMYFUNCTION("""COMPUTED_VALUE"""),"-")</f>
        <v>-</v>
      </c>
      <c r="BC794" s="97" t="str">
        <f>IFERROR(__xludf.DUMMYFUNCTION("""COMPUTED_VALUE"""),"-")</f>
        <v>-</v>
      </c>
      <c r="BD794" s="97" t="str">
        <f>IFERROR(__xludf.DUMMYFUNCTION("""COMPUTED_VALUE"""),"RIELES 1EF")</f>
        <v>RIELES 1EF</v>
      </c>
      <c r="BE794" s="97" t="str">
        <f>IFERROR(__xludf.DUMMYFUNCTION("""COMPUTED_VALUE"""),"Finalizada")</f>
        <v>Finalizada</v>
      </c>
      <c r="BF794" s="97"/>
      <c r="BG794" s="97" t="str">
        <f>IFERROR(__xludf.DUMMYFUNCTION("""COMPUTED_VALUE"""),"Activo")</f>
        <v>Activo</v>
      </c>
    </row>
    <row r="795">
      <c r="A795" s="97">
        <f>IFERROR(__xludf.DUMMYFUNCTION("""COMPUTED_VALUE"""),6568.0)</f>
        <v>6568</v>
      </c>
      <c r="B795" s="97" t="str">
        <f>IFERROR(__xludf.DUMMYFUNCTION("""COMPUTED_VALUE"""),"ADAPTADOR 1EF BL")</f>
        <v>ADAPTADOR 1EF BL</v>
      </c>
      <c r="C795" s="97" t="str">
        <f>IFERROR(__xludf.DUMMYFUNCTION("""COMPUTED_VALUE"""),"ACCESORIO ADAPTADOR 1EF BL LEUK")</f>
        <v>ACCESORIO ADAPTADOR 1EF BL LEUK</v>
      </c>
      <c r="D795" s="97">
        <f>IFERROR(__xludf.DUMMYFUNCTION("""COMPUTED_VALUE"""),7.79841322049E12)</f>
        <v>7798413220490</v>
      </c>
      <c r="E795" s="97"/>
      <c r="F795" s="97" t="str">
        <f>IFERROR(__xludf.DUMMYFUNCTION("""COMPUTED_VALUE"""),"N/A")</f>
        <v>N/A</v>
      </c>
      <c r="G795" s="97" t="str">
        <f>IFERROR(__xludf.DUMMYFUNCTION("""COMPUTED_VALUE"""),"N/A")</f>
        <v>N/A</v>
      </c>
      <c r="H795" s="97" t="str">
        <f>IFERROR(__xludf.DUMMYFUNCTION("""COMPUTED_VALUE"""),"N/A")</f>
        <v>N/A</v>
      </c>
      <c r="I795" s="97" t="str">
        <f>IFERROR(__xludf.DUMMYFUNCTION("""COMPUTED_VALUE"""),"N/A")</f>
        <v>N/A</v>
      </c>
      <c r="J795" s="97" t="str">
        <f>IFERROR(__xludf.DUMMYFUNCTION("""COMPUTED_VALUE"""),"N/A")</f>
        <v>N/A</v>
      </c>
      <c r="K795" s="97" t="str">
        <f>IFERROR(__xludf.DUMMYFUNCTION("""COMPUTED_VALUE"""),"N/A")</f>
        <v>N/A</v>
      </c>
      <c r="L795" s="97">
        <f>IFERROR(__xludf.DUMMYFUNCTION("""COMPUTED_VALUE"""),220.0)</f>
        <v>220</v>
      </c>
      <c r="M795" s="97">
        <f>IFERROR(__xludf.DUMMYFUNCTION("""COMPUTED_VALUE"""),50.0)</f>
        <v>50</v>
      </c>
      <c r="N795" s="97" t="str">
        <f>IFERROR(__xludf.DUMMYFUNCTION("""COMPUTED_VALUE"""),"N/A")</f>
        <v>N/A</v>
      </c>
      <c r="O795" s="97" t="str">
        <f>IFERROR(__xludf.DUMMYFUNCTION("""COMPUTED_VALUE"""),"-")</f>
        <v>-</v>
      </c>
      <c r="P795" s="97"/>
      <c r="Q795" s="97" t="str">
        <f>IFERROR(__xludf.DUMMYFUNCTION("""COMPUTED_VALUE"""),"-")</f>
        <v>-</v>
      </c>
      <c r="R795" s="97" t="str">
        <f>IFERROR(__xludf.DUMMYFUNCTION("""COMPUTED_VALUE"""),"-")</f>
        <v>-</v>
      </c>
      <c r="S795" s="97" t="str">
        <f>IFERROR(__xludf.DUMMYFUNCTION("""COMPUTED_VALUE"""),"-")</f>
        <v>-</v>
      </c>
      <c r="T795" s="97" t="str">
        <f>IFERROR(__xludf.DUMMYFUNCTION("""COMPUTED_VALUE"""),"-")</f>
        <v>-</v>
      </c>
      <c r="U795" s="97" t="str">
        <f>IFERROR(__xludf.DUMMYFUNCTION("""COMPUTED_VALUE"""),"-")</f>
        <v>-</v>
      </c>
      <c r="V795" s="97" t="str">
        <f>IFERROR(__xludf.DUMMYFUNCTION("""COMPUTED_VALUE"""),"N/A")</f>
        <v>N/A</v>
      </c>
      <c r="W795" s="97" t="str">
        <f>IFERROR(__xludf.DUMMYFUNCTION("""COMPUTED_VALUE"""),"N/A")</f>
        <v>N/A</v>
      </c>
      <c r="X795" s="97" t="str">
        <f>IFERROR(__xludf.DUMMYFUNCTION("""COMPUTED_VALUE"""),"-")</f>
        <v>-</v>
      </c>
      <c r="Y795" s="97" t="str">
        <f>IFERROR(__xludf.DUMMYFUNCTION("""COMPUTED_VALUE"""),"N/A")</f>
        <v>N/A</v>
      </c>
      <c r="Z795" s="97" t="str">
        <f>IFERROR(__xludf.DUMMYFUNCTION("""COMPUTED_VALUE"""),"N/A")</f>
        <v>N/A</v>
      </c>
      <c r="AA795" s="97" t="str">
        <f>IFERROR(__xludf.DUMMYFUNCTION("""COMPUTED_VALUE"""),"N/A")</f>
        <v>N/A</v>
      </c>
      <c r="AB795" s="97" t="str">
        <f>IFERROR(__xludf.DUMMYFUNCTION("""COMPUTED_VALUE"""),"N/A")</f>
        <v>N/A</v>
      </c>
      <c r="AC795" s="97" t="str">
        <f>IFERROR(__xludf.DUMMYFUNCTION("""COMPUTED_VALUE"""),"N/A")</f>
        <v>N/A</v>
      </c>
      <c r="AD795" s="97" t="str">
        <f>IFERROR(__xludf.DUMMYFUNCTION("""COMPUTED_VALUE"""),"IP20")</f>
        <v>IP20</v>
      </c>
      <c r="AE795" s="97" t="str">
        <f>IFERROR(__xludf.DUMMYFUNCTION("""COMPUTED_VALUE"""),"Clase l")</f>
        <v>Clase l</v>
      </c>
      <c r="AF795" s="97" t="str">
        <f>IFERROR(__xludf.DUMMYFUNCTION("""COMPUTED_VALUE"""),"N/A")</f>
        <v>N/A</v>
      </c>
      <c r="AG795" s="97" t="str">
        <f>IFERROR(__xludf.DUMMYFUNCTION("""COMPUTED_VALUE"""),"80 x 35 x 35")</f>
        <v>80 x 35 x 35</v>
      </c>
      <c r="AH795" s="97" t="str">
        <f>IFERROR(__xludf.DUMMYFUNCTION("""COMPUTED_VALUE"""),"N/A")</f>
        <v>N/A</v>
      </c>
      <c r="AI795" s="97" t="str">
        <f>IFERROR(__xludf.DUMMYFUNCTION("""COMPUTED_VALUE"""),"N/A")</f>
        <v>N/A</v>
      </c>
      <c r="AJ795" s="97" t="str">
        <f>IFERROR(__xludf.DUMMYFUNCTION("""COMPUTED_VALUE"""),"N/A")</f>
        <v>N/A</v>
      </c>
      <c r="AK795" s="97" t="str">
        <f>IFERROR(__xludf.DUMMYFUNCTION("""COMPUTED_VALUE"""),"Policarbonato (PC)")</f>
        <v>Policarbonato (PC)</v>
      </c>
      <c r="AL795" s="97" t="str">
        <f>IFERROR(__xludf.DUMMYFUNCTION("""COMPUTED_VALUE"""),"Blanco Mate")</f>
        <v>Blanco Mate</v>
      </c>
      <c r="AM795" s="97" t="str">
        <f>IFERROR(__xludf.DUMMYFUNCTION("""COMPUTED_VALUE"""),"-")</f>
        <v>-</v>
      </c>
      <c r="AN795" s="97" t="str">
        <f>IFERROR(__xludf.DUMMYFUNCTION("""COMPUTED_VALUE"""),"N/A")</f>
        <v>N/A</v>
      </c>
      <c r="AO795" s="97" t="str">
        <f>IFERROR(__xludf.DUMMYFUNCTION("""COMPUTED_VALUE"""),"3 Años")</f>
        <v>3 Años</v>
      </c>
      <c r="AP795" s="97" t="str">
        <f>IFERROR(__xludf.DUMMYFUNCTION("""COMPUTED_VALUE"""),"No Aplica")</f>
        <v>No Aplica</v>
      </c>
      <c r="AQ795" s="97" t="str">
        <f>IFERROR(__xludf.DUMMYFUNCTION("""COMPUTED_VALUE"""),"No Aplica")</f>
        <v>No Aplica</v>
      </c>
      <c r="AR795" s="97" t="str">
        <f>IFERROR(__xludf.DUMMYFUNCTION("""COMPUTED_VALUE"""),"No Aplica")</f>
        <v>No Aplica</v>
      </c>
      <c r="AS795" s="97"/>
      <c r="AT795" s="97"/>
      <c r="AU795" s="97" t="str">
        <f>IFERROR(__xludf.DUMMYFUNCTION("""COMPUTED_VALUE"""),"Falta")</f>
        <v>Falta</v>
      </c>
      <c r="AV795" s="97" t="str">
        <f>IFERROR(__xludf.DUMMYFUNCTION("""COMPUTED_VALUE"""),"Accesorio")</f>
        <v>Accesorio</v>
      </c>
      <c r="AW795" s="97" t="str">
        <f>IFERROR(__xludf.DUMMYFUNCTION("""COMPUTED_VALUE"""),"Rieles")</f>
        <v>Rieles</v>
      </c>
      <c r="AX795" s="97" t="str">
        <f>IFERROR(__xludf.DUMMYFUNCTION("""COMPUTED_VALUE"""),"Interior")</f>
        <v>Interior</v>
      </c>
      <c r="AY795" s="97" t="str">
        <f>IFERROR(__xludf.DUMMYFUNCTION("""COMPUTED_VALUE"""),"-")</f>
        <v>-</v>
      </c>
      <c r="AZ795" s="97" t="str">
        <f>IFERROR(__xludf.DUMMYFUNCTION("""COMPUTED_VALUE"""),"Soporta 10A")</f>
        <v>Soporta 10A</v>
      </c>
      <c r="BA795" s="97">
        <f>IFERROR(__xludf.DUMMYFUNCTION("""COMPUTED_VALUE"""),150.0)</f>
        <v>150</v>
      </c>
      <c r="BB795" s="97" t="str">
        <f>IFERROR(__xludf.DUMMYFUNCTION("""COMPUTED_VALUE"""),"-")</f>
        <v>-</v>
      </c>
      <c r="BC795" s="97" t="str">
        <f>IFERROR(__xludf.DUMMYFUNCTION("""COMPUTED_VALUE"""),"-")</f>
        <v>-</v>
      </c>
      <c r="BD795" s="97" t="str">
        <f>IFERROR(__xludf.DUMMYFUNCTION("""COMPUTED_VALUE"""),"RIELES 1EF")</f>
        <v>RIELES 1EF</v>
      </c>
      <c r="BE795" s="97" t="str">
        <f>IFERROR(__xludf.DUMMYFUNCTION("""COMPUTED_VALUE"""),"Finalizada")</f>
        <v>Finalizada</v>
      </c>
      <c r="BF795" s="97"/>
      <c r="BG795" s="97" t="str">
        <f>IFERROR(__xludf.DUMMYFUNCTION("""COMPUTED_VALUE"""),"Activo")</f>
        <v>Activo</v>
      </c>
    </row>
    <row r="796">
      <c r="A796" s="97">
        <f>IFERROR(__xludf.DUMMYFUNCTION("""COMPUTED_VALUE"""),6569.0)</f>
        <v>6569</v>
      </c>
      <c r="B796" s="97" t="str">
        <f>IFERROR(__xludf.DUMMYFUNCTION("""COMPUTED_VALUE"""),"ADAPTADOR 1EF NG")</f>
        <v>ADAPTADOR 1EF NG</v>
      </c>
      <c r="C796" s="97" t="str">
        <f>IFERROR(__xludf.DUMMYFUNCTION("""COMPUTED_VALUE"""),"ACCESORIO ADAPTADOR 1EF NG LEUK")</f>
        <v>ACCESORIO ADAPTADOR 1EF NG LEUK</v>
      </c>
      <c r="D796" s="97">
        <f>IFERROR(__xludf.DUMMYFUNCTION("""COMPUTED_VALUE"""),7.798413220483E12)</f>
        <v>7798413220483</v>
      </c>
      <c r="E796" s="97"/>
      <c r="F796" s="97" t="str">
        <f>IFERROR(__xludf.DUMMYFUNCTION("""COMPUTED_VALUE"""),"N/A")</f>
        <v>N/A</v>
      </c>
      <c r="G796" s="97" t="str">
        <f>IFERROR(__xludf.DUMMYFUNCTION("""COMPUTED_VALUE"""),"N/A")</f>
        <v>N/A</v>
      </c>
      <c r="H796" s="97" t="str">
        <f>IFERROR(__xludf.DUMMYFUNCTION("""COMPUTED_VALUE"""),"N/A")</f>
        <v>N/A</v>
      </c>
      <c r="I796" s="97" t="str">
        <f>IFERROR(__xludf.DUMMYFUNCTION("""COMPUTED_VALUE"""),"N/A")</f>
        <v>N/A</v>
      </c>
      <c r="J796" s="97" t="str">
        <f>IFERROR(__xludf.DUMMYFUNCTION("""COMPUTED_VALUE"""),"N/A")</f>
        <v>N/A</v>
      </c>
      <c r="K796" s="97" t="str">
        <f>IFERROR(__xludf.DUMMYFUNCTION("""COMPUTED_VALUE"""),"N/A")</f>
        <v>N/A</v>
      </c>
      <c r="L796" s="97">
        <f>IFERROR(__xludf.DUMMYFUNCTION("""COMPUTED_VALUE"""),220.0)</f>
        <v>220</v>
      </c>
      <c r="M796" s="97">
        <f>IFERROR(__xludf.DUMMYFUNCTION("""COMPUTED_VALUE"""),50.0)</f>
        <v>50</v>
      </c>
      <c r="N796" s="97" t="str">
        <f>IFERROR(__xludf.DUMMYFUNCTION("""COMPUTED_VALUE"""),"N/A")</f>
        <v>N/A</v>
      </c>
      <c r="O796" s="97" t="str">
        <f>IFERROR(__xludf.DUMMYFUNCTION("""COMPUTED_VALUE"""),"-")</f>
        <v>-</v>
      </c>
      <c r="P796" s="97"/>
      <c r="Q796" s="97" t="str">
        <f>IFERROR(__xludf.DUMMYFUNCTION("""COMPUTED_VALUE"""),"-")</f>
        <v>-</v>
      </c>
      <c r="R796" s="97" t="str">
        <f>IFERROR(__xludf.DUMMYFUNCTION("""COMPUTED_VALUE"""),"-")</f>
        <v>-</v>
      </c>
      <c r="S796" s="97" t="str">
        <f>IFERROR(__xludf.DUMMYFUNCTION("""COMPUTED_VALUE"""),"-")</f>
        <v>-</v>
      </c>
      <c r="T796" s="97" t="str">
        <f>IFERROR(__xludf.DUMMYFUNCTION("""COMPUTED_VALUE"""),"-")</f>
        <v>-</v>
      </c>
      <c r="U796" s="97" t="str">
        <f>IFERROR(__xludf.DUMMYFUNCTION("""COMPUTED_VALUE"""),"-")</f>
        <v>-</v>
      </c>
      <c r="V796" s="97" t="str">
        <f>IFERROR(__xludf.DUMMYFUNCTION("""COMPUTED_VALUE"""),"N/A")</f>
        <v>N/A</v>
      </c>
      <c r="W796" s="97" t="str">
        <f>IFERROR(__xludf.DUMMYFUNCTION("""COMPUTED_VALUE"""),"N/A")</f>
        <v>N/A</v>
      </c>
      <c r="X796" s="97" t="str">
        <f>IFERROR(__xludf.DUMMYFUNCTION("""COMPUTED_VALUE"""),"-")</f>
        <v>-</v>
      </c>
      <c r="Y796" s="97" t="str">
        <f>IFERROR(__xludf.DUMMYFUNCTION("""COMPUTED_VALUE"""),"N/A")</f>
        <v>N/A</v>
      </c>
      <c r="Z796" s="97" t="str">
        <f>IFERROR(__xludf.DUMMYFUNCTION("""COMPUTED_VALUE"""),"N/A")</f>
        <v>N/A</v>
      </c>
      <c r="AA796" s="97" t="str">
        <f>IFERROR(__xludf.DUMMYFUNCTION("""COMPUTED_VALUE"""),"N/A")</f>
        <v>N/A</v>
      </c>
      <c r="AB796" s="97" t="str">
        <f>IFERROR(__xludf.DUMMYFUNCTION("""COMPUTED_VALUE"""),"N/A")</f>
        <v>N/A</v>
      </c>
      <c r="AC796" s="97" t="str">
        <f>IFERROR(__xludf.DUMMYFUNCTION("""COMPUTED_VALUE"""),"N/A")</f>
        <v>N/A</v>
      </c>
      <c r="AD796" s="97" t="str">
        <f>IFERROR(__xludf.DUMMYFUNCTION("""COMPUTED_VALUE"""),"IP20")</f>
        <v>IP20</v>
      </c>
      <c r="AE796" s="97" t="str">
        <f>IFERROR(__xludf.DUMMYFUNCTION("""COMPUTED_VALUE"""),"Clase l")</f>
        <v>Clase l</v>
      </c>
      <c r="AF796" s="97" t="str">
        <f>IFERROR(__xludf.DUMMYFUNCTION("""COMPUTED_VALUE"""),"N/A")</f>
        <v>N/A</v>
      </c>
      <c r="AG796" s="97" t="str">
        <f>IFERROR(__xludf.DUMMYFUNCTION("""COMPUTED_VALUE"""),"80 x 35 x 35")</f>
        <v>80 x 35 x 35</v>
      </c>
      <c r="AH796" s="97" t="str">
        <f>IFERROR(__xludf.DUMMYFUNCTION("""COMPUTED_VALUE"""),"N/A")</f>
        <v>N/A</v>
      </c>
      <c r="AI796" s="97" t="str">
        <f>IFERROR(__xludf.DUMMYFUNCTION("""COMPUTED_VALUE"""),"N/A")</f>
        <v>N/A</v>
      </c>
      <c r="AJ796" s="97" t="str">
        <f>IFERROR(__xludf.DUMMYFUNCTION("""COMPUTED_VALUE"""),"N/A")</f>
        <v>N/A</v>
      </c>
      <c r="AK796" s="97" t="str">
        <f>IFERROR(__xludf.DUMMYFUNCTION("""COMPUTED_VALUE"""),"Policarbonato (PC)")</f>
        <v>Policarbonato (PC)</v>
      </c>
      <c r="AL796" s="97" t="str">
        <f>IFERROR(__xludf.DUMMYFUNCTION("""COMPUTED_VALUE"""),"Negro Mate")</f>
        <v>Negro Mate</v>
      </c>
      <c r="AM796" s="97" t="str">
        <f>IFERROR(__xludf.DUMMYFUNCTION("""COMPUTED_VALUE"""),"-")</f>
        <v>-</v>
      </c>
      <c r="AN796" s="97" t="str">
        <f>IFERROR(__xludf.DUMMYFUNCTION("""COMPUTED_VALUE"""),"N/A")</f>
        <v>N/A</v>
      </c>
      <c r="AO796" s="97" t="str">
        <f>IFERROR(__xludf.DUMMYFUNCTION("""COMPUTED_VALUE"""),"3 Años")</f>
        <v>3 Años</v>
      </c>
      <c r="AP796" s="97" t="str">
        <f>IFERROR(__xludf.DUMMYFUNCTION("""COMPUTED_VALUE"""),"No Aplica")</f>
        <v>No Aplica</v>
      </c>
      <c r="AQ796" s="97" t="str">
        <f>IFERROR(__xludf.DUMMYFUNCTION("""COMPUTED_VALUE"""),"No Aplica")</f>
        <v>No Aplica</v>
      </c>
      <c r="AR796" s="97" t="str">
        <f>IFERROR(__xludf.DUMMYFUNCTION("""COMPUTED_VALUE"""),"No Aplica")</f>
        <v>No Aplica</v>
      </c>
      <c r="AS796" s="97"/>
      <c r="AT796" s="97"/>
      <c r="AU796" s="97" t="str">
        <f>IFERROR(__xludf.DUMMYFUNCTION("""COMPUTED_VALUE"""),"Falta")</f>
        <v>Falta</v>
      </c>
      <c r="AV796" s="97" t="str">
        <f>IFERROR(__xludf.DUMMYFUNCTION("""COMPUTED_VALUE"""),"Accesorio")</f>
        <v>Accesorio</v>
      </c>
      <c r="AW796" s="97" t="str">
        <f>IFERROR(__xludf.DUMMYFUNCTION("""COMPUTED_VALUE"""),"Rieles")</f>
        <v>Rieles</v>
      </c>
      <c r="AX796" s="97" t="str">
        <f>IFERROR(__xludf.DUMMYFUNCTION("""COMPUTED_VALUE"""),"Interior")</f>
        <v>Interior</v>
      </c>
      <c r="AY796" s="97" t="str">
        <f>IFERROR(__xludf.DUMMYFUNCTION("""COMPUTED_VALUE"""),"-")</f>
        <v>-</v>
      </c>
      <c r="AZ796" s="97" t="str">
        <f>IFERROR(__xludf.DUMMYFUNCTION("""COMPUTED_VALUE"""),"Soporta 10A")</f>
        <v>Soporta 10A</v>
      </c>
      <c r="BA796" s="97">
        <f>IFERROR(__xludf.DUMMYFUNCTION("""COMPUTED_VALUE"""),150.0)</f>
        <v>150</v>
      </c>
      <c r="BB796" s="97" t="str">
        <f>IFERROR(__xludf.DUMMYFUNCTION("""COMPUTED_VALUE"""),"-")</f>
        <v>-</v>
      </c>
      <c r="BC796" s="97" t="str">
        <f>IFERROR(__xludf.DUMMYFUNCTION("""COMPUTED_VALUE"""),"-")</f>
        <v>-</v>
      </c>
      <c r="BD796" s="97" t="str">
        <f>IFERROR(__xludf.DUMMYFUNCTION("""COMPUTED_VALUE"""),"RIELES 1EF")</f>
        <v>RIELES 1EF</v>
      </c>
      <c r="BE796" s="97" t="str">
        <f>IFERROR(__xludf.DUMMYFUNCTION("""COMPUTED_VALUE"""),"Finalizada")</f>
        <v>Finalizada</v>
      </c>
      <c r="BF796" s="97"/>
      <c r="BG796" s="97" t="str">
        <f>IFERROR(__xludf.DUMMYFUNCTION("""COMPUTED_VALUE"""),"Activo")</f>
        <v>Activo</v>
      </c>
    </row>
    <row r="797">
      <c r="A797" s="97">
        <f>IFERROR(__xludf.DUMMYFUNCTION("""COMPUTED_VALUE"""),6570.0)</f>
        <v>6570</v>
      </c>
      <c r="B797" s="97" t="str">
        <f>IFERROR(__xludf.DUMMYFUNCTION("""COMPUTED_VALUE"""),"UNION C/MOVIMIENTO 1 EF BL")</f>
        <v>UNION C/MOVIMIENTO 1 EF BL</v>
      </c>
      <c r="C797" s="97" t="str">
        <f>IFERROR(__xludf.DUMMYFUNCTION("""COMPUTED_VALUE"""),"UNIÓN UNION C/MOVIMIENTO 1 EF BL LEUK")</f>
        <v>UNIÓN UNION C/MOVIMIENTO 1 EF BL LEUK</v>
      </c>
      <c r="D797" s="97">
        <f>IFERROR(__xludf.DUMMYFUNCTION("""COMPUTED_VALUE"""),7.798413220476E12)</f>
        <v>7798413220476</v>
      </c>
      <c r="E797" s="97"/>
      <c r="F797" s="97" t="str">
        <f>IFERROR(__xludf.DUMMYFUNCTION("""COMPUTED_VALUE"""),"N/A")</f>
        <v>N/A</v>
      </c>
      <c r="G797" s="97" t="str">
        <f>IFERROR(__xludf.DUMMYFUNCTION("""COMPUTED_VALUE"""),"N/A")</f>
        <v>N/A</v>
      </c>
      <c r="H797" s="97" t="str">
        <f>IFERROR(__xludf.DUMMYFUNCTION("""COMPUTED_VALUE"""),"N/A")</f>
        <v>N/A</v>
      </c>
      <c r="I797" s="97" t="str">
        <f>IFERROR(__xludf.DUMMYFUNCTION("""COMPUTED_VALUE"""),"N/A")</f>
        <v>N/A</v>
      </c>
      <c r="J797" s="97" t="str">
        <f>IFERROR(__xludf.DUMMYFUNCTION("""COMPUTED_VALUE"""),"N/A")</f>
        <v>N/A</v>
      </c>
      <c r="K797" s="97" t="str">
        <f>IFERROR(__xludf.DUMMYFUNCTION("""COMPUTED_VALUE"""),"N/A")</f>
        <v>N/A</v>
      </c>
      <c r="L797" s="97">
        <f>IFERROR(__xludf.DUMMYFUNCTION("""COMPUTED_VALUE"""),220.0)</f>
        <v>220</v>
      </c>
      <c r="M797" s="97">
        <f>IFERROR(__xludf.DUMMYFUNCTION("""COMPUTED_VALUE"""),50.0)</f>
        <v>50</v>
      </c>
      <c r="N797" s="97" t="str">
        <f>IFERROR(__xludf.DUMMYFUNCTION("""COMPUTED_VALUE"""),"N/A")</f>
        <v>N/A</v>
      </c>
      <c r="O797" s="97" t="str">
        <f>IFERROR(__xludf.DUMMYFUNCTION("""COMPUTED_VALUE"""),"-")</f>
        <v>-</v>
      </c>
      <c r="P797" s="97"/>
      <c r="Q797" s="97" t="str">
        <f>IFERROR(__xludf.DUMMYFUNCTION("""COMPUTED_VALUE"""),"-")</f>
        <v>-</v>
      </c>
      <c r="R797" s="97" t="str">
        <f>IFERROR(__xludf.DUMMYFUNCTION("""COMPUTED_VALUE"""),"-")</f>
        <v>-</v>
      </c>
      <c r="S797" s="97" t="str">
        <f>IFERROR(__xludf.DUMMYFUNCTION("""COMPUTED_VALUE"""),"-")</f>
        <v>-</v>
      </c>
      <c r="T797" s="97" t="str">
        <f>IFERROR(__xludf.DUMMYFUNCTION("""COMPUTED_VALUE"""),"-")</f>
        <v>-</v>
      </c>
      <c r="U797" s="97" t="str">
        <f>IFERROR(__xludf.DUMMYFUNCTION("""COMPUTED_VALUE"""),"-")</f>
        <v>-</v>
      </c>
      <c r="V797" s="97" t="str">
        <f>IFERROR(__xludf.DUMMYFUNCTION("""COMPUTED_VALUE"""),"N/A")</f>
        <v>N/A</v>
      </c>
      <c r="W797" s="97" t="str">
        <f>IFERROR(__xludf.DUMMYFUNCTION("""COMPUTED_VALUE"""),"N/A")</f>
        <v>N/A</v>
      </c>
      <c r="X797" s="97" t="str">
        <f>IFERROR(__xludf.DUMMYFUNCTION("""COMPUTED_VALUE"""),"-")</f>
        <v>-</v>
      </c>
      <c r="Y797" s="97" t="str">
        <f>IFERROR(__xludf.DUMMYFUNCTION("""COMPUTED_VALUE"""),"N/A")</f>
        <v>N/A</v>
      </c>
      <c r="Z797" s="97" t="str">
        <f>IFERROR(__xludf.DUMMYFUNCTION("""COMPUTED_VALUE"""),"N/A")</f>
        <v>N/A</v>
      </c>
      <c r="AA797" s="97" t="str">
        <f>IFERROR(__xludf.DUMMYFUNCTION("""COMPUTED_VALUE"""),"N/A")</f>
        <v>N/A</v>
      </c>
      <c r="AB797" s="97" t="str">
        <f>IFERROR(__xludf.DUMMYFUNCTION("""COMPUTED_VALUE"""),"N/A")</f>
        <v>N/A</v>
      </c>
      <c r="AC797" s="97" t="str">
        <f>IFERROR(__xludf.DUMMYFUNCTION("""COMPUTED_VALUE"""),"N/A")</f>
        <v>N/A</v>
      </c>
      <c r="AD797" s="97" t="str">
        <f>IFERROR(__xludf.DUMMYFUNCTION("""COMPUTED_VALUE"""),"IP20")</f>
        <v>IP20</v>
      </c>
      <c r="AE797" s="97" t="str">
        <f>IFERROR(__xludf.DUMMYFUNCTION("""COMPUTED_VALUE"""),"Clase l")</f>
        <v>Clase l</v>
      </c>
      <c r="AF797" s="97" t="str">
        <f>IFERROR(__xludf.DUMMYFUNCTION("""COMPUTED_VALUE"""),"N/A")</f>
        <v>N/A</v>
      </c>
      <c r="AG797" s="97" t="str">
        <f>IFERROR(__xludf.DUMMYFUNCTION("""COMPUTED_VALUE"""),"35 x 195 x 17")</f>
        <v>35 x 195 x 17</v>
      </c>
      <c r="AH797" s="97" t="str">
        <f>IFERROR(__xludf.DUMMYFUNCTION("""COMPUTED_VALUE"""),"N/A")</f>
        <v>N/A</v>
      </c>
      <c r="AI797" s="97" t="str">
        <f>IFERROR(__xludf.DUMMYFUNCTION("""COMPUTED_VALUE"""),"N/A")</f>
        <v>N/A</v>
      </c>
      <c r="AJ797" s="97" t="str">
        <f>IFERROR(__xludf.DUMMYFUNCTION("""COMPUTED_VALUE"""),"N/A")</f>
        <v>N/A</v>
      </c>
      <c r="AK797" s="97" t="str">
        <f>IFERROR(__xludf.DUMMYFUNCTION("""COMPUTED_VALUE"""),"Policarbonato (PC)")</f>
        <v>Policarbonato (PC)</v>
      </c>
      <c r="AL797" s="97" t="str">
        <f>IFERROR(__xludf.DUMMYFUNCTION("""COMPUTED_VALUE"""),"Blanco Mate")</f>
        <v>Blanco Mate</v>
      </c>
      <c r="AM797" s="97" t="str">
        <f>IFERROR(__xludf.DUMMYFUNCTION("""COMPUTED_VALUE"""),"-")</f>
        <v>-</v>
      </c>
      <c r="AN797" s="97" t="str">
        <f>IFERROR(__xludf.DUMMYFUNCTION("""COMPUTED_VALUE"""),"N/A")</f>
        <v>N/A</v>
      </c>
      <c r="AO797" s="97" t="str">
        <f>IFERROR(__xludf.DUMMYFUNCTION("""COMPUTED_VALUE"""),"3 Años")</f>
        <v>3 Años</v>
      </c>
      <c r="AP797" s="97" t="str">
        <f>IFERROR(__xludf.DUMMYFUNCTION("""COMPUTED_VALUE"""),"No Aplica")</f>
        <v>No Aplica</v>
      </c>
      <c r="AQ797" s="97" t="str">
        <f>IFERROR(__xludf.DUMMYFUNCTION("""COMPUTED_VALUE"""),"No Aplica")</f>
        <v>No Aplica</v>
      </c>
      <c r="AR797" s="97" t="str">
        <f>IFERROR(__xludf.DUMMYFUNCTION("""COMPUTED_VALUE"""),"No Aplica")</f>
        <v>No Aplica</v>
      </c>
      <c r="AS797" s="97"/>
      <c r="AT797" s="97"/>
      <c r="AU797" s="97" t="str">
        <f>IFERROR(__xludf.DUMMYFUNCTION("""COMPUTED_VALUE"""),"Falta")</f>
        <v>Falta</v>
      </c>
      <c r="AV797" s="97" t="str">
        <f>IFERROR(__xludf.DUMMYFUNCTION("""COMPUTED_VALUE"""),"Unión")</f>
        <v>Unión</v>
      </c>
      <c r="AW797" s="97" t="str">
        <f>IFERROR(__xludf.DUMMYFUNCTION("""COMPUTED_VALUE"""),"Rieles")</f>
        <v>Rieles</v>
      </c>
      <c r="AX797" s="97" t="str">
        <f>IFERROR(__xludf.DUMMYFUNCTION("""COMPUTED_VALUE"""),"Interior")</f>
        <v>Interior</v>
      </c>
      <c r="AY797" s="97" t="str">
        <f>IFERROR(__xludf.DUMMYFUNCTION("""COMPUTED_VALUE"""),"-")</f>
        <v>-</v>
      </c>
      <c r="AZ797" s="97" t="str">
        <f>IFERROR(__xludf.DUMMYFUNCTION("""COMPUTED_VALUE"""),"Soporta 10A")</f>
        <v>Soporta 10A</v>
      </c>
      <c r="BA797" s="97">
        <f>IFERROR(__xludf.DUMMYFUNCTION("""COMPUTED_VALUE"""),40.0)</f>
        <v>40</v>
      </c>
      <c r="BB797" s="97" t="str">
        <f>IFERROR(__xludf.DUMMYFUNCTION("""COMPUTED_VALUE"""),"-")</f>
        <v>-</v>
      </c>
      <c r="BC797" s="97" t="str">
        <f>IFERROR(__xludf.DUMMYFUNCTION("""COMPUTED_VALUE"""),"-")</f>
        <v>-</v>
      </c>
      <c r="BD797" s="97" t="str">
        <f>IFERROR(__xludf.DUMMYFUNCTION("""COMPUTED_VALUE"""),"RIELES 1EF")</f>
        <v>RIELES 1EF</v>
      </c>
      <c r="BE797" s="97" t="str">
        <f>IFERROR(__xludf.DUMMYFUNCTION("""COMPUTED_VALUE"""),"Finalizada")</f>
        <v>Finalizada</v>
      </c>
      <c r="BF797" s="97"/>
      <c r="BG797" s="97" t="str">
        <f>IFERROR(__xludf.DUMMYFUNCTION("""COMPUTED_VALUE"""),"Activo")</f>
        <v>Activo</v>
      </c>
    </row>
    <row r="798">
      <c r="A798" s="97">
        <f>IFERROR(__xludf.DUMMYFUNCTION("""COMPUTED_VALUE"""),6571.0)</f>
        <v>6571</v>
      </c>
      <c r="B798" s="97" t="str">
        <f>IFERROR(__xludf.DUMMYFUNCTION("""COMPUTED_VALUE"""),"UNION C/MOVIMIENTO 1EF NG")</f>
        <v>UNION C/MOVIMIENTO 1EF NG</v>
      </c>
      <c r="C798" s="97" t="str">
        <f>IFERROR(__xludf.DUMMYFUNCTION("""COMPUTED_VALUE"""),"UNIÓN UNION C/MOVIMIENTO 1EF NG LEUK")</f>
        <v>UNIÓN UNION C/MOVIMIENTO 1EF NG LEUK</v>
      </c>
      <c r="D798" s="97">
        <f>IFERROR(__xludf.DUMMYFUNCTION("""COMPUTED_VALUE"""),7.798413220469E12)</f>
        <v>7798413220469</v>
      </c>
      <c r="E798" s="97"/>
      <c r="F798" s="97" t="str">
        <f>IFERROR(__xludf.DUMMYFUNCTION("""COMPUTED_VALUE"""),"N/A")</f>
        <v>N/A</v>
      </c>
      <c r="G798" s="97" t="str">
        <f>IFERROR(__xludf.DUMMYFUNCTION("""COMPUTED_VALUE"""),"N/A")</f>
        <v>N/A</v>
      </c>
      <c r="H798" s="97" t="str">
        <f>IFERROR(__xludf.DUMMYFUNCTION("""COMPUTED_VALUE"""),"N/A")</f>
        <v>N/A</v>
      </c>
      <c r="I798" s="97" t="str">
        <f>IFERROR(__xludf.DUMMYFUNCTION("""COMPUTED_VALUE"""),"N/A")</f>
        <v>N/A</v>
      </c>
      <c r="J798" s="97" t="str">
        <f>IFERROR(__xludf.DUMMYFUNCTION("""COMPUTED_VALUE"""),"N/A")</f>
        <v>N/A</v>
      </c>
      <c r="K798" s="97" t="str">
        <f>IFERROR(__xludf.DUMMYFUNCTION("""COMPUTED_VALUE"""),"N/A")</f>
        <v>N/A</v>
      </c>
      <c r="L798" s="97">
        <f>IFERROR(__xludf.DUMMYFUNCTION("""COMPUTED_VALUE"""),220.0)</f>
        <v>220</v>
      </c>
      <c r="M798" s="97">
        <f>IFERROR(__xludf.DUMMYFUNCTION("""COMPUTED_VALUE"""),50.0)</f>
        <v>50</v>
      </c>
      <c r="N798" s="97" t="str">
        <f>IFERROR(__xludf.DUMMYFUNCTION("""COMPUTED_VALUE"""),"N/A")</f>
        <v>N/A</v>
      </c>
      <c r="O798" s="97" t="str">
        <f>IFERROR(__xludf.DUMMYFUNCTION("""COMPUTED_VALUE"""),"-")</f>
        <v>-</v>
      </c>
      <c r="P798" s="97"/>
      <c r="Q798" s="97" t="str">
        <f>IFERROR(__xludf.DUMMYFUNCTION("""COMPUTED_VALUE"""),"-")</f>
        <v>-</v>
      </c>
      <c r="R798" s="97" t="str">
        <f>IFERROR(__xludf.DUMMYFUNCTION("""COMPUTED_VALUE"""),"-")</f>
        <v>-</v>
      </c>
      <c r="S798" s="97" t="str">
        <f>IFERROR(__xludf.DUMMYFUNCTION("""COMPUTED_VALUE"""),"-")</f>
        <v>-</v>
      </c>
      <c r="T798" s="97" t="str">
        <f>IFERROR(__xludf.DUMMYFUNCTION("""COMPUTED_VALUE"""),"-")</f>
        <v>-</v>
      </c>
      <c r="U798" s="97" t="str">
        <f>IFERROR(__xludf.DUMMYFUNCTION("""COMPUTED_VALUE"""),"-")</f>
        <v>-</v>
      </c>
      <c r="V798" s="97" t="str">
        <f>IFERROR(__xludf.DUMMYFUNCTION("""COMPUTED_VALUE"""),"N/A")</f>
        <v>N/A</v>
      </c>
      <c r="W798" s="97" t="str">
        <f>IFERROR(__xludf.DUMMYFUNCTION("""COMPUTED_VALUE"""),"N/A")</f>
        <v>N/A</v>
      </c>
      <c r="X798" s="97" t="str">
        <f>IFERROR(__xludf.DUMMYFUNCTION("""COMPUTED_VALUE"""),"-")</f>
        <v>-</v>
      </c>
      <c r="Y798" s="97" t="str">
        <f>IFERROR(__xludf.DUMMYFUNCTION("""COMPUTED_VALUE"""),"N/A")</f>
        <v>N/A</v>
      </c>
      <c r="Z798" s="97" t="str">
        <f>IFERROR(__xludf.DUMMYFUNCTION("""COMPUTED_VALUE"""),"N/A")</f>
        <v>N/A</v>
      </c>
      <c r="AA798" s="97" t="str">
        <f>IFERROR(__xludf.DUMMYFUNCTION("""COMPUTED_VALUE"""),"N/A")</f>
        <v>N/A</v>
      </c>
      <c r="AB798" s="97" t="str">
        <f>IFERROR(__xludf.DUMMYFUNCTION("""COMPUTED_VALUE"""),"N/A")</f>
        <v>N/A</v>
      </c>
      <c r="AC798" s="97" t="str">
        <f>IFERROR(__xludf.DUMMYFUNCTION("""COMPUTED_VALUE"""),"N/A")</f>
        <v>N/A</v>
      </c>
      <c r="AD798" s="97" t="str">
        <f>IFERROR(__xludf.DUMMYFUNCTION("""COMPUTED_VALUE"""),"IP20")</f>
        <v>IP20</v>
      </c>
      <c r="AE798" s="97" t="str">
        <f>IFERROR(__xludf.DUMMYFUNCTION("""COMPUTED_VALUE"""),"Clase l")</f>
        <v>Clase l</v>
      </c>
      <c r="AF798" s="97" t="str">
        <f>IFERROR(__xludf.DUMMYFUNCTION("""COMPUTED_VALUE"""),"N/A")</f>
        <v>N/A</v>
      </c>
      <c r="AG798" s="97" t="str">
        <f>IFERROR(__xludf.DUMMYFUNCTION("""COMPUTED_VALUE"""),"35 x 195 x 17")</f>
        <v>35 x 195 x 17</v>
      </c>
      <c r="AH798" s="97" t="str">
        <f>IFERROR(__xludf.DUMMYFUNCTION("""COMPUTED_VALUE"""),"N/A")</f>
        <v>N/A</v>
      </c>
      <c r="AI798" s="97" t="str">
        <f>IFERROR(__xludf.DUMMYFUNCTION("""COMPUTED_VALUE"""),"N/A")</f>
        <v>N/A</v>
      </c>
      <c r="AJ798" s="97" t="str">
        <f>IFERROR(__xludf.DUMMYFUNCTION("""COMPUTED_VALUE"""),"N/A")</f>
        <v>N/A</v>
      </c>
      <c r="AK798" s="97" t="str">
        <f>IFERROR(__xludf.DUMMYFUNCTION("""COMPUTED_VALUE"""),"Policarbonato (PC)")</f>
        <v>Policarbonato (PC)</v>
      </c>
      <c r="AL798" s="97" t="str">
        <f>IFERROR(__xludf.DUMMYFUNCTION("""COMPUTED_VALUE"""),"Negro Mate")</f>
        <v>Negro Mate</v>
      </c>
      <c r="AM798" s="97" t="str">
        <f>IFERROR(__xludf.DUMMYFUNCTION("""COMPUTED_VALUE"""),"-")</f>
        <v>-</v>
      </c>
      <c r="AN798" s="97" t="str">
        <f>IFERROR(__xludf.DUMMYFUNCTION("""COMPUTED_VALUE"""),"N/A")</f>
        <v>N/A</v>
      </c>
      <c r="AO798" s="97" t="str">
        <f>IFERROR(__xludf.DUMMYFUNCTION("""COMPUTED_VALUE"""),"3 Años")</f>
        <v>3 Años</v>
      </c>
      <c r="AP798" s="97" t="str">
        <f>IFERROR(__xludf.DUMMYFUNCTION("""COMPUTED_VALUE"""),"No Aplica")</f>
        <v>No Aplica</v>
      </c>
      <c r="AQ798" s="97" t="str">
        <f>IFERROR(__xludf.DUMMYFUNCTION("""COMPUTED_VALUE"""),"No Aplica")</f>
        <v>No Aplica</v>
      </c>
      <c r="AR798" s="97" t="str">
        <f>IFERROR(__xludf.DUMMYFUNCTION("""COMPUTED_VALUE"""),"No Aplica")</f>
        <v>No Aplica</v>
      </c>
      <c r="AS798" s="97"/>
      <c r="AT798" s="97"/>
      <c r="AU798" s="97" t="str">
        <f>IFERROR(__xludf.DUMMYFUNCTION("""COMPUTED_VALUE"""),"Falta")</f>
        <v>Falta</v>
      </c>
      <c r="AV798" s="97" t="str">
        <f>IFERROR(__xludf.DUMMYFUNCTION("""COMPUTED_VALUE"""),"Unión")</f>
        <v>Unión</v>
      </c>
      <c r="AW798" s="97" t="str">
        <f>IFERROR(__xludf.DUMMYFUNCTION("""COMPUTED_VALUE"""),"Rieles")</f>
        <v>Rieles</v>
      </c>
      <c r="AX798" s="97" t="str">
        <f>IFERROR(__xludf.DUMMYFUNCTION("""COMPUTED_VALUE"""),"Interior")</f>
        <v>Interior</v>
      </c>
      <c r="AY798" s="97" t="str">
        <f>IFERROR(__xludf.DUMMYFUNCTION("""COMPUTED_VALUE"""),"-")</f>
        <v>-</v>
      </c>
      <c r="AZ798" s="97" t="str">
        <f>IFERROR(__xludf.DUMMYFUNCTION("""COMPUTED_VALUE"""),"Soporta 10A")</f>
        <v>Soporta 10A</v>
      </c>
      <c r="BA798" s="97">
        <f>IFERROR(__xludf.DUMMYFUNCTION("""COMPUTED_VALUE"""),40.0)</f>
        <v>40</v>
      </c>
      <c r="BB798" s="97" t="str">
        <f>IFERROR(__xludf.DUMMYFUNCTION("""COMPUTED_VALUE"""),"-")</f>
        <v>-</v>
      </c>
      <c r="BC798" s="97" t="str">
        <f>IFERROR(__xludf.DUMMYFUNCTION("""COMPUTED_VALUE"""),"-")</f>
        <v>-</v>
      </c>
      <c r="BD798" s="97" t="str">
        <f>IFERROR(__xludf.DUMMYFUNCTION("""COMPUTED_VALUE"""),"RIELES 1EF")</f>
        <v>RIELES 1EF</v>
      </c>
      <c r="BE798" s="97" t="str">
        <f>IFERROR(__xludf.DUMMYFUNCTION("""COMPUTED_VALUE"""),"Finalizada")</f>
        <v>Finalizada</v>
      </c>
      <c r="BF798" s="97"/>
      <c r="BG798" s="97" t="str">
        <f>IFERROR(__xludf.DUMMYFUNCTION("""COMPUTED_VALUE"""),"Activo")</f>
        <v>Activo</v>
      </c>
    </row>
    <row r="799">
      <c r="A799" s="97">
        <f>IFERROR(__xludf.DUMMYFUNCTION("""COMPUTED_VALUE"""),6572.0)</f>
        <v>6572</v>
      </c>
      <c r="B799" s="97" t="str">
        <f>IFERROR(__xludf.DUMMYFUNCTION("""COMPUTED_VALUE"""),"UNION CRUZ 1EF BL")</f>
        <v>UNION CRUZ 1EF BL</v>
      </c>
      <c r="C799" s="97" t="str">
        <f>IFERROR(__xludf.DUMMYFUNCTION("""COMPUTED_VALUE"""),"UNIÓN UNION CRUZ 1EF BL LEUK")</f>
        <v>UNIÓN UNION CRUZ 1EF BL LEUK</v>
      </c>
      <c r="D799" s="97">
        <f>IFERROR(__xludf.DUMMYFUNCTION("""COMPUTED_VALUE"""),7.798413220452E12)</f>
        <v>7798413220452</v>
      </c>
      <c r="E799" s="97"/>
      <c r="F799" s="97" t="str">
        <f>IFERROR(__xludf.DUMMYFUNCTION("""COMPUTED_VALUE"""),"N/A")</f>
        <v>N/A</v>
      </c>
      <c r="G799" s="97" t="str">
        <f>IFERROR(__xludf.DUMMYFUNCTION("""COMPUTED_VALUE"""),"N/A")</f>
        <v>N/A</v>
      </c>
      <c r="H799" s="97" t="str">
        <f>IFERROR(__xludf.DUMMYFUNCTION("""COMPUTED_VALUE"""),"N/A")</f>
        <v>N/A</v>
      </c>
      <c r="I799" s="97" t="str">
        <f>IFERROR(__xludf.DUMMYFUNCTION("""COMPUTED_VALUE"""),"N/A")</f>
        <v>N/A</v>
      </c>
      <c r="J799" s="97" t="str">
        <f>IFERROR(__xludf.DUMMYFUNCTION("""COMPUTED_VALUE"""),"N/A")</f>
        <v>N/A</v>
      </c>
      <c r="K799" s="97" t="str">
        <f>IFERROR(__xludf.DUMMYFUNCTION("""COMPUTED_VALUE"""),"N/A")</f>
        <v>N/A</v>
      </c>
      <c r="L799" s="97">
        <f>IFERROR(__xludf.DUMMYFUNCTION("""COMPUTED_VALUE"""),220.0)</f>
        <v>220</v>
      </c>
      <c r="M799" s="97">
        <f>IFERROR(__xludf.DUMMYFUNCTION("""COMPUTED_VALUE"""),50.0)</f>
        <v>50</v>
      </c>
      <c r="N799" s="97" t="str">
        <f>IFERROR(__xludf.DUMMYFUNCTION("""COMPUTED_VALUE"""),"N/A")</f>
        <v>N/A</v>
      </c>
      <c r="O799" s="97" t="str">
        <f>IFERROR(__xludf.DUMMYFUNCTION("""COMPUTED_VALUE"""),"-")</f>
        <v>-</v>
      </c>
      <c r="P799" s="97"/>
      <c r="Q799" s="97" t="str">
        <f>IFERROR(__xludf.DUMMYFUNCTION("""COMPUTED_VALUE"""),"-")</f>
        <v>-</v>
      </c>
      <c r="R799" s="97" t="str">
        <f>IFERROR(__xludf.DUMMYFUNCTION("""COMPUTED_VALUE"""),"-")</f>
        <v>-</v>
      </c>
      <c r="S799" s="97" t="str">
        <f>IFERROR(__xludf.DUMMYFUNCTION("""COMPUTED_VALUE"""),"-")</f>
        <v>-</v>
      </c>
      <c r="T799" s="97" t="str">
        <f>IFERROR(__xludf.DUMMYFUNCTION("""COMPUTED_VALUE"""),"-")</f>
        <v>-</v>
      </c>
      <c r="U799" s="97" t="str">
        <f>IFERROR(__xludf.DUMMYFUNCTION("""COMPUTED_VALUE"""),"-")</f>
        <v>-</v>
      </c>
      <c r="V799" s="97" t="str">
        <f>IFERROR(__xludf.DUMMYFUNCTION("""COMPUTED_VALUE"""),"N/A")</f>
        <v>N/A</v>
      </c>
      <c r="W799" s="97" t="str">
        <f>IFERROR(__xludf.DUMMYFUNCTION("""COMPUTED_VALUE"""),"N/A")</f>
        <v>N/A</v>
      </c>
      <c r="X799" s="97" t="str">
        <f>IFERROR(__xludf.DUMMYFUNCTION("""COMPUTED_VALUE"""),"-")</f>
        <v>-</v>
      </c>
      <c r="Y799" s="97" t="str">
        <f>IFERROR(__xludf.DUMMYFUNCTION("""COMPUTED_VALUE"""),"N/A")</f>
        <v>N/A</v>
      </c>
      <c r="Z799" s="97" t="str">
        <f>IFERROR(__xludf.DUMMYFUNCTION("""COMPUTED_VALUE"""),"N/A")</f>
        <v>N/A</v>
      </c>
      <c r="AA799" s="97" t="str">
        <f>IFERROR(__xludf.DUMMYFUNCTION("""COMPUTED_VALUE"""),"N/A")</f>
        <v>N/A</v>
      </c>
      <c r="AB799" s="97" t="str">
        <f>IFERROR(__xludf.DUMMYFUNCTION("""COMPUTED_VALUE"""),"N/A")</f>
        <v>N/A</v>
      </c>
      <c r="AC799" s="97" t="str">
        <f>IFERROR(__xludf.DUMMYFUNCTION("""COMPUTED_VALUE"""),"N/A")</f>
        <v>N/A</v>
      </c>
      <c r="AD799" s="97" t="str">
        <f>IFERROR(__xludf.DUMMYFUNCTION("""COMPUTED_VALUE"""),"IP20")</f>
        <v>IP20</v>
      </c>
      <c r="AE799" s="97" t="str">
        <f>IFERROR(__xludf.DUMMYFUNCTION("""COMPUTED_VALUE"""),"Clase l")</f>
        <v>Clase l</v>
      </c>
      <c r="AF799" s="97" t="str">
        <f>IFERROR(__xludf.DUMMYFUNCTION("""COMPUTED_VALUE"""),"N/A")</f>
        <v>N/A</v>
      </c>
      <c r="AG799" s="97" t="str">
        <f>IFERROR(__xludf.DUMMYFUNCTION("""COMPUTED_VALUE"""),"177 x 177 x 17")</f>
        <v>177 x 177 x 17</v>
      </c>
      <c r="AH799" s="97" t="str">
        <f>IFERROR(__xludf.DUMMYFUNCTION("""COMPUTED_VALUE"""),"N/A")</f>
        <v>N/A</v>
      </c>
      <c r="AI799" s="97" t="str">
        <f>IFERROR(__xludf.DUMMYFUNCTION("""COMPUTED_VALUE"""),"N/A")</f>
        <v>N/A</v>
      </c>
      <c r="AJ799" s="97" t="str">
        <f>IFERROR(__xludf.DUMMYFUNCTION("""COMPUTED_VALUE"""),"N/A")</f>
        <v>N/A</v>
      </c>
      <c r="AK799" s="97" t="str">
        <f>IFERROR(__xludf.DUMMYFUNCTION("""COMPUTED_VALUE"""),"Policarbonato (PC)")</f>
        <v>Policarbonato (PC)</v>
      </c>
      <c r="AL799" s="97" t="str">
        <f>IFERROR(__xludf.DUMMYFUNCTION("""COMPUTED_VALUE"""),"Blanco Mate")</f>
        <v>Blanco Mate</v>
      </c>
      <c r="AM799" s="97" t="str">
        <f>IFERROR(__xludf.DUMMYFUNCTION("""COMPUTED_VALUE"""),"-")</f>
        <v>-</v>
      </c>
      <c r="AN799" s="97" t="str">
        <f>IFERROR(__xludf.DUMMYFUNCTION("""COMPUTED_VALUE"""),"N/A")</f>
        <v>N/A</v>
      </c>
      <c r="AO799" s="97" t="str">
        <f>IFERROR(__xludf.DUMMYFUNCTION("""COMPUTED_VALUE"""),"3 Años")</f>
        <v>3 Años</v>
      </c>
      <c r="AP799" s="97" t="str">
        <f>IFERROR(__xludf.DUMMYFUNCTION("""COMPUTED_VALUE"""),"No Aplica")</f>
        <v>No Aplica</v>
      </c>
      <c r="AQ799" s="97" t="str">
        <f>IFERROR(__xludf.DUMMYFUNCTION("""COMPUTED_VALUE"""),"No Aplica")</f>
        <v>No Aplica</v>
      </c>
      <c r="AR799" s="97" t="str">
        <f>IFERROR(__xludf.DUMMYFUNCTION("""COMPUTED_VALUE"""),"No Aplica")</f>
        <v>No Aplica</v>
      </c>
      <c r="AS799" s="97"/>
      <c r="AT799" s="97"/>
      <c r="AU799" s="97" t="str">
        <f>IFERROR(__xludf.DUMMYFUNCTION("""COMPUTED_VALUE"""),"Falta")</f>
        <v>Falta</v>
      </c>
      <c r="AV799" s="97" t="str">
        <f>IFERROR(__xludf.DUMMYFUNCTION("""COMPUTED_VALUE"""),"Unión")</f>
        <v>Unión</v>
      </c>
      <c r="AW799" s="97" t="str">
        <f>IFERROR(__xludf.DUMMYFUNCTION("""COMPUTED_VALUE"""),"Rieles")</f>
        <v>Rieles</v>
      </c>
      <c r="AX799" s="97" t="str">
        <f>IFERROR(__xludf.DUMMYFUNCTION("""COMPUTED_VALUE"""),"Interior")</f>
        <v>Interior</v>
      </c>
      <c r="AY799" s="97" t="str">
        <f>IFERROR(__xludf.DUMMYFUNCTION("""COMPUTED_VALUE"""),"-")</f>
        <v>-</v>
      </c>
      <c r="AZ799" s="97" t="str">
        <f>IFERROR(__xludf.DUMMYFUNCTION("""COMPUTED_VALUE"""),"Soporta 10A. Con entrada de alimentación 220 V~.")</f>
        <v>Soporta 10A. Con entrada de alimentación 220 V~.</v>
      </c>
      <c r="BA799" s="97">
        <f>IFERROR(__xludf.DUMMYFUNCTION("""COMPUTED_VALUE"""),40.0)</f>
        <v>40</v>
      </c>
      <c r="BB799" s="97" t="str">
        <f>IFERROR(__xludf.DUMMYFUNCTION("""COMPUTED_VALUE"""),"-")</f>
        <v>-</v>
      </c>
      <c r="BC799" s="97" t="str">
        <f>IFERROR(__xludf.DUMMYFUNCTION("""COMPUTED_VALUE"""),"-")</f>
        <v>-</v>
      </c>
      <c r="BD799" s="97" t="str">
        <f>IFERROR(__xludf.DUMMYFUNCTION("""COMPUTED_VALUE"""),"RIELES 1EF")</f>
        <v>RIELES 1EF</v>
      </c>
      <c r="BE799" s="97" t="str">
        <f>IFERROR(__xludf.DUMMYFUNCTION("""COMPUTED_VALUE"""),"Finalizada")</f>
        <v>Finalizada</v>
      </c>
      <c r="BF799" s="97"/>
      <c r="BG799" s="97" t="str">
        <f>IFERROR(__xludf.DUMMYFUNCTION("""COMPUTED_VALUE"""),"Activo")</f>
        <v>Activo</v>
      </c>
    </row>
    <row r="800">
      <c r="A800" s="97">
        <f>IFERROR(__xludf.DUMMYFUNCTION("""COMPUTED_VALUE"""),6573.0)</f>
        <v>6573</v>
      </c>
      <c r="B800" s="97" t="str">
        <f>IFERROR(__xludf.DUMMYFUNCTION("""COMPUTED_VALUE"""),"UNION CRUZ 1EF NG")</f>
        <v>UNION CRUZ 1EF NG</v>
      </c>
      <c r="C800" s="97" t="str">
        <f>IFERROR(__xludf.DUMMYFUNCTION("""COMPUTED_VALUE"""),"UNIÓN UNION CRUZ 1EF NG LEUK")</f>
        <v>UNIÓN UNION CRUZ 1EF NG LEUK</v>
      </c>
      <c r="D800" s="97">
        <f>IFERROR(__xludf.DUMMYFUNCTION("""COMPUTED_VALUE"""),7.798413220445E12)</f>
        <v>7798413220445</v>
      </c>
      <c r="E800" s="97"/>
      <c r="F800" s="97" t="str">
        <f>IFERROR(__xludf.DUMMYFUNCTION("""COMPUTED_VALUE"""),"N/A")</f>
        <v>N/A</v>
      </c>
      <c r="G800" s="97" t="str">
        <f>IFERROR(__xludf.DUMMYFUNCTION("""COMPUTED_VALUE"""),"N/A")</f>
        <v>N/A</v>
      </c>
      <c r="H800" s="97" t="str">
        <f>IFERROR(__xludf.DUMMYFUNCTION("""COMPUTED_VALUE"""),"N/A")</f>
        <v>N/A</v>
      </c>
      <c r="I800" s="97" t="str">
        <f>IFERROR(__xludf.DUMMYFUNCTION("""COMPUTED_VALUE"""),"N/A")</f>
        <v>N/A</v>
      </c>
      <c r="J800" s="97" t="str">
        <f>IFERROR(__xludf.DUMMYFUNCTION("""COMPUTED_VALUE"""),"N/A")</f>
        <v>N/A</v>
      </c>
      <c r="K800" s="97" t="str">
        <f>IFERROR(__xludf.DUMMYFUNCTION("""COMPUTED_VALUE"""),"N/A")</f>
        <v>N/A</v>
      </c>
      <c r="L800" s="97">
        <f>IFERROR(__xludf.DUMMYFUNCTION("""COMPUTED_VALUE"""),220.0)</f>
        <v>220</v>
      </c>
      <c r="M800" s="97">
        <f>IFERROR(__xludf.DUMMYFUNCTION("""COMPUTED_VALUE"""),50.0)</f>
        <v>50</v>
      </c>
      <c r="N800" s="97" t="str">
        <f>IFERROR(__xludf.DUMMYFUNCTION("""COMPUTED_VALUE"""),"N/A")</f>
        <v>N/A</v>
      </c>
      <c r="O800" s="97" t="str">
        <f>IFERROR(__xludf.DUMMYFUNCTION("""COMPUTED_VALUE"""),"-")</f>
        <v>-</v>
      </c>
      <c r="P800" s="97"/>
      <c r="Q800" s="97" t="str">
        <f>IFERROR(__xludf.DUMMYFUNCTION("""COMPUTED_VALUE"""),"-")</f>
        <v>-</v>
      </c>
      <c r="R800" s="97" t="str">
        <f>IFERROR(__xludf.DUMMYFUNCTION("""COMPUTED_VALUE"""),"-")</f>
        <v>-</v>
      </c>
      <c r="S800" s="97" t="str">
        <f>IFERROR(__xludf.DUMMYFUNCTION("""COMPUTED_VALUE"""),"-")</f>
        <v>-</v>
      </c>
      <c r="T800" s="97" t="str">
        <f>IFERROR(__xludf.DUMMYFUNCTION("""COMPUTED_VALUE"""),"-")</f>
        <v>-</v>
      </c>
      <c r="U800" s="97" t="str">
        <f>IFERROR(__xludf.DUMMYFUNCTION("""COMPUTED_VALUE"""),"-")</f>
        <v>-</v>
      </c>
      <c r="V800" s="97" t="str">
        <f>IFERROR(__xludf.DUMMYFUNCTION("""COMPUTED_VALUE"""),"N/A")</f>
        <v>N/A</v>
      </c>
      <c r="W800" s="97" t="str">
        <f>IFERROR(__xludf.DUMMYFUNCTION("""COMPUTED_VALUE"""),"N/A")</f>
        <v>N/A</v>
      </c>
      <c r="X800" s="97" t="str">
        <f>IFERROR(__xludf.DUMMYFUNCTION("""COMPUTED_VALUE"""),"-")</f>
        <v>-</v>
      </c>
      <c r="Y800" s="97" t="str">
        <f>IFERROR(__xludf.DUMMYFUNCTION("""COMPUTED_VALUE"""),"N/A")</f>
        <v>N/A</v>
      </c>
      <c r="Z800" s="97" t="str">
        <f>IFERROR(__xludf.DUMMYFUNCTION("""COMPUTED_VALUE"""),"N/A")</f>
        <v>N/A</v>
      </c>
      <c r="AA800" s="97" t="str">
        <f>IFERROR(__xludf.DUMMYFUNCTION("""COMPUTED_VALUE"""),"N/A")</f>
        <v>N/A</v>
      </c>
      <c r="AB800" s="97" t="str">
        <f>IFERROR(__xludf.DUMMYFUNCTION("""COMPUTED_VALUE"""),"N/A")</f>
        <v>N/A</v>
      </c>
      <c r="AC800" s="97" t="str">
        <f>IFERROR(__xludf.DUMMYFUNCTION("""COMPUTED_VALUE"""),"N/A")</f>
        <v>N/A</v>
      </c>
      <c r="AD800" s="97" t="str">
        <f>IFERROR(__xludf.DUMMYFUNCTION("""COMPUTED_VALUE"""),"IP20")</f>
        <v>IP20</v>
      </c>
      <c r="AE800" s="97" t="str">
        <f>IFERROR(__xludf.DUMMYFUNCTION("""COMPUTED_VALUE"""),"Clase l")</f>
        <v>Clase l</v>
      </c>
      <c r="AF800" s="97" t="str">
        <f>IFERROR(__xludf.DUMMYFUNCTION("""COMPUTED_VALUE"""),"N/A")</f>
        <v>N/A</v>
      </c>
      <c r="AG800" s="97" t="str">
        <f>IFERROR(__xludf.DUMMYFUNCTION("""COMPUTED_VALUE"""),"177 x 177 x 17")</f>
        <v>177 x 177 x 17</v>
      </c>
      <c r="AH800" s="97" t="str">
        <f>IFERROR(__xludf.DUMMYFUNCTION("""COMPUTED_VALUE"""),"N/A")</f>
        <v>N/A</v>
      </c>
      <c r="AI800" s="97" t="str">
        <f>IFERROR(__xludf.DUMMYFUNCTION("""COMPUTED_VALUE"""),"N/A")</f>
        <v>N/A</v>
      </c>
      <c r="AJ800" s="97" t="str">
        <f>IFERROR(__xludf.DUMMYFUNCTION("""COMPUTED_VALUE"""),"N/A")</f>
        <v>N/A</v>
      </c>
      <c r="AK800" s="97" t="str">
        <f>IFERROR(__xludf.DUMMYFUNCTION("""COMPUTED_VALUE"""),"Policarbonato (PC)")</f>
        <v>Policarbonato (PC)</v>
      </c>
      <c r="AL800" s="97" t="str">
        <f>IFERROR(__xludf.DUMMYFUNCTION("""COMPUTED_VALUE"""),"Negro Mate")</f>
        <v>Negro Mate</v>
      </c>
      <c r="AM800" s="97" t="str">
        <f>IFERROR(__xludf.DUMMYFUNCTION("""COMPUTED_VALUE"""),"-")</f>
        <v>-</v>
      </c>
      <c r="AN800" s="97" t="str">
        <f>IFERROR(__xludf.DUMMYFUNCTION("""COMPUTED_VALUE"""),"N/A")</f>
        <v>N/A</v>
      </c>
      <c r="AO800" s="97" t="str">
        <f>IFERROR(__xludf.DUMMYFUNCTION("""COMPUTED_VALUE"""),"3 Años")</f>
        <v>3 Años</v>
      </c>
      <c r="AP800" s="97" t="str">
        <f>IFERROR(__xludf.DUMMYFUNCTION("""COMPUTED_VALUE"""),"No Aplica")</f>
        <v>No Aplica</v>
      </c>
      <c r="AQ800" s="97" t="str">
        <f>IFERROR(__xludf.DUMMYFUNCTION("""COMPUTED_VALUE"""),"No Aplica")</f>
        <v>No Aplica</v>
      </c>
      <c r="AR800" s="97" t="str">
        <f>IFERROR(__xludf.DUMMYFUNCTION("""COMPUTED_VALUE"""),"No Aplica")</f>
        <v>No Aplica</v>
      </c>
      <c r="AS800" s="97"/>
      <c r="AT800" s="97"/>
      <c r="AU800" s="97" t="str">
        <f>IFERROR(__xludf.DUMMYFUNCTION("""COMPUTED_VALUE"""),"Falta")</f>
        <v>Falta</v>
      </c>
      <c r="AV800" s="97" t="str">
        <f>IFERROR(__xludf.DUMMYFUNCTION("""COMPUTED_VALUE"""),"Unión")</f>
        <v>Unión</v>
      </c>
      <c r="AW800" s="97" t="str">
        <f>IFERROR(__xludf.DUMMYFUNCTION("""COMPUTED_VALUE"""),"Rieles")</f>
        <v>Rieles</v>
      </c>
      <c r="AX800" s="97" t="str">
        <f>IFERROR(__xludf.DUMMYFUNCTION("""COMPUTED_VALUE"""),"Interior")</f>
        <v>Interior</v>
      </c>
      <c r="AY800" s="97" t="str">
        <f>IFERROR(__xludf.DUMMYFUNCTION("""COMPUTED_VALUE"""),"-")</f>
        <v>-</v>
      </c>
      <c r="AZ800" s="97" t="str">
        <f>IFERROR(__xludf.DUMMYFUNCTION("""COMPUTED_VALUE"""),"Soporta 10A. Con entrada de alimentación 220 V~.")</f>
        <v>Soporta 10A. Con entrada de alimentación 220 V~.</v>
      </c>
      <c r="BA800" s="97">
        <f>IFERROR(__xludf.DUMMYFUNCTION("""COMPUTED_VALUE"""),40.0)</f>
        <v>40</v>
      </c>
      <c r="BB800" s="97" t="str">
        <f>IFERROR(__xludf.DUMMYFUNCTION("""COMPUTED_VALUE"""),"-")</f>
        <v>-</v>
      </c>
      <c r="BC800" s="97" t="str">
        <f>IFERROR(__xludf.DUMMYFUNCTION("""COMPUTED_VALUE"""),"-")</f>
        <v>-</v>
      </c>
      <c r="BD800" s="97" t="str">
        <f>IFERROR(__xludf.DUMMYFUNCTION("""COMPUTED_VALUE"""),"RIELES 1EF")</f>
        <v>RIELES 1EF</v>
      </c>
      <c r="BE800" s="97" t="str">
        <f>IFERROR(__xludf.DUMMYFUNCTION("""COMPUTED_VALUE"""),"Finalizada")</f>
        <v>Finalizada</v>
      </c>
      <c r="BF800" s="97"/>
      <c r="BG800" s="97" t="str">
        <f>IFERROR(__xludf.DUMMYFUNCTION("""COMPUTED_VALUE"""),"Activo")</f>
        <v>Activo</v>
      </c>
    </row>
    <row r="801">
      <c r="A801" s="97">
        <f>IFERROR(__xludf.DUMMYFUNCTION("""COMPUTED_VALUE"""),6574.0)</f>
        <v>6574</v>
      </c>
      <c r="B801" s="97" t="str">
        <f>IFERROR(__xludf.DUMMYFUNCTION("""COMPUTED_VALUE"""),"UNION T 1EF BL")</f>
        <v>UNION T 1EF BL</v>
      </c>
      <c r="C801" s="97" t="str">
        <f>IFERROR(__xludf.DUMMYFUNCTION("""COMPUTED_VALUE"""),"UNIÓN UNION T 1EF BL LEUK")</f>
        <v>UNIÓN UNION T 1EF BL LEUK</v>
      </c>
      <c r="D801" s="97">
        <f>IFERROR(__xludf.DUMMYFUNCTION("""COMPUTED_VALUE"""),7.798413220438E12)</f>
        <v>7798413220438</v>
      </c>
      <c r="E801" s="97"/>
      <c r="F801" s="97" t="str">
        <f>IFERROR(__xludf.DUMMYFUNCTION("""COMPUTED_VALUE"""),"N/A")</f>
        <v>N/A</v>
      </c>
      <c r="G801" s="97" t="str">
        <f>IFERROR(__xludf.DUMMYFUNCTION("""COMPUTED_VALUE"""),"N/A")</f>
        <v>N/A</v>
      </c>
      <c r="H801" s="97" t="str">
        <f>IFERROR(__xludf.DUMMYFUNCTION("""COMPUTED_VALUE"""),"N/A")</f>
        <v>N/A</v>
      </c>
      <c r="I801" s="97" t="str">
        <f>IFERROR(__xludf.DUMMYFUNCTION("""COMPUTED_VALUE"""),"N/A")</f>
        <v>N/A</v>
      </c>
      <c r="J801" s="97" t="str">
        <f>IFERROR(__xludf.DUMMYFUNCTION("""COMPUTED_VALUE"""),"N/A")</f>
        <v>N/A</v>
      </c>
      <c r="K801" s="97" t="str">
        <f>IFERROR(__xludf.DUMMYFUNCTION("""COMPUTED_VALUE"""),"N/A")</f>
        <v>N/A</v>
      </c>
      <c r="L801" s="97">
        <f>IFERROR(__xludf.DUMMYFUNCTION("""COMPUTED_VALUE"""),220.0)</f>
        <v>220</v>
      </c>
      <c r="M801" s="97">
        <f>IFERROR(__xludf.DUMMYFUNCTION("""COMPUTED_VALUE"""),50.0)</f>
        <v>50</v>
      </c>
      <c r="N801" s="97" t="str">
        <f>IFERROR(__xludf.DUMMYFUNCTION("""COMPUTED_VALUE"""),"N/A")</f>
        <v>N/A</v>
      </c>
      <c r="O801" s="97" t="str">
        <f>IFERROR(__xludf.DUMMYFUNCTION("""COMPUTED_VALUE"""),"-")</f>
        <v>-</v>
      </c>
      <c r="P801" s="97"/>
      <c r="Q801" s="97" t="str">
        <f>IFERROR(__xludf.DUMMYFUNCTION("""COMPUTED_VALUE"""),"-")</f>
        <v>-</v>
      </c>
      <c r="R801" s="97" t="str">
        <f>IFERROR(__xludf.DUMMYFUNCTION("""COMPUTED_VALUE"""),"-")</f>
        <v>-</v>
      </c>
      <c r="S801" s="97" t="str">
        <f>IFERROR(__xludf.DUMMYFUNCTION("""COMPUTED_VALUE"""),"-")</f>
        <v>-</v>
      </c>
      <c r="T801" s="97" t="str">
        <f>IFERROR(__xludf.DUMMYFUNCTION("""COMPUTED_VALUE"""),"-")</f>
        <v>-</v>
      </c>
      <c r="U801" s="97" t="str">
        <f>IFERROR(__xludf.DUMMYFUNCTION("""COMPUTED_VALUE"""),"-")</f>
        <v>-</v>
      </c>
      <c r="V801" s="97" t="str">
        <f>IFERROR(__xludf.DUMMYFUNCTION("""COMPUTED_VALUE"""),"N/A")</f>
        <v>N/A</v>
      </c>
      <c r="W801" s="97" t="str">
        <f>IFERROR(__xludf.DUMMYFUNCTION("""COMPUTED_VALUE"""),"N/A")</f>
        <v>N/A</v>
      </c>
      <c r="X801" s="97" t="str">
        <f>IFERROR(__xludf.DUMMYFUNCTION("""COMPUTED_VALUE"""),"-")</f>
        <v>-</v>
      </c>
      <c r="Y801" s="97" t="str">
        <f>IFERROR(__xludf.DUMMYFUNCTION("""COMPUTED_VALUE"""),"N/A")</f>
        <v>N/A</v>
      </c>
      <c r="Z801" s="97" t="str">
        <f>IFERROR(__xludf.DUMMYFUNCTION("""COMPUTED_VALUE"""),"N/A")</f>
        <v>N/A</v>
      </c>
      <c r="AA801" s="97" t="str">
        <f>IFERROR(__xludf.DUMMYFUNCTION("""COMPUTED_VALUE"""),"N/A")</f>
        <v>N/A</v>
      </c>
      <c r="AB801" s="97" t="str">
        <f>IFERROR(__xludf.DUMMYFUNCTION("""COMPUTED_VALUE"""),"N/A")</f>
        <v>N/A</v>
      </c>
      <c r="AC801" s="97" t="str">
        <f>IFERROR(__xludf.DUMMYFUNCTION("""COMPUTED_VALUE"""),"N/A")</f>
        <v>N/A</v>
      </c>
      <c r="AD801" s="97" t="str">
        <f>IFERROR(__xludf.DUMMYFUNCTION("""COMPUTED_VALUE"""),"IP20")</f>
        <v>IP20</v>
      </c>
      <c r="AE801" s="97" t="str">
        <f>IFERROR(__xludf.DUMMYFUNCTION("""COMPUTED_VALUE"""),"Clase l")</f>
        <v>Clase l</v>
      </c>
      <c r="AF801" s="97" t="str">
        <f>IFERROR(__xludf.DUMMYFUNCTION("""COMPUTED_VALUE"""),"N/A")</f>
        <v>N/A</v>
      </c>
      <c r="AG801" s="97" t="str">
        <f>IFERROR(__xludf.DUMMYFUNCTION("""COMPUTED_VALUE"""),"106 x 177 x 17")</f>
        <v>106 x 177 x 17</v>
      </c>
      <c r="AH801" s="97" t="str">
        <f>IFERROR(__xludf.DUMMYFUNCTION("""COMPUTED_VALUE"""),"N/A")</f>
        <v>N/A</v>
      </c>
      <c r="AI801" s="97" t="str">
        <f>IFERROR(__xludf.DUMMYFUNCTION("""COMPUTED_VALUE"""),"N/A")</f>
        <v>N/A</v>
      </c>
      <c r="AJ801" s="97" t="str">
        <f>IFERROR(__xludf.DUMMYFUNCTION("""COMPUTED_VALUE"""),"N/A")</f>
        <v>N/A</v>
      </c>
      <c r="AK801" s="97" t="str">
        <f>IFERROR(__xludf.DUMMYFUNCTION("""COMPUTED_VALUE"""),"Policarbonato (PC)")</f>
        <v>Policarbonato (PC)</v>
      </c>
      <c r="AL801" s="97" t="str">
        <f>IFERROR(__xludf.DUMMYFUNCTION("""COMPUTED_VALUE"""),"Blanco Mate")</f>
        <v>Blanco Mate</v>
      </c>
      <c r="AM801" s="97" t="str">
        <f>IFERROR(__xludf.DUMMYFUNCTION("""COMPUTED_VALUE"""),"-")</f>
        <v>-</v>
      </c>
      <c r="AN801" s="97" t="str">
        <f>IFERROR(__xludf.DUMMYFUNCTION("""COMPUTED_VALUE"""),"N/A")</f>
        <v>N/A</v>
      </c>
      <c r="AO801" s="97" t="str">
        <f>IFERROR(__xludf.DUMMYFUNCTION("""COMPUTED_VALUE"""),"3 Años")</f>
        <v>3 Años</v>
      </c>
      <c r="AP801" s="97" t="str">
        <f>IFERROR(__xludf.DUMMYFUNCTION("""COMPUTED_VALUE"""),"No Aplica")</f>
        <v>No Aplica</v>
      </c>
      <c r="AQ801" s="97" t="str">
        <f>IFERROR(__xludf.DUMMYFUNCTION("""COMPUTED_VALUE"""),"No Aplica")</f>
        <v>No Aplica</v>
      </c>
      <c r="AR801" s="97" t="str">
        <f>IFERROR(__xludf.DUMMYFUNCTION("""COMPUTED_VALUE"""),"No Aplica")</f>
        <v>No Aplica</v>
      </c>
      <c r="AS801" s="97"/>
      <c r="AT801" s="97"/>
      <c r="AU801" s="97" t="str">
        <f>IFERROR(__xludf.DUMMYFUNCTION("""COMPUTED_VALUE"""),"Falta")</f>
        <v>Falta</v>
      </c>
      <c r="AV801" s="97" t="str">
        <f>IFERROR(__xludf.DUMMYFUNCTION("""COMPUTED_VALUE"""),"Unión")</f>
        <v>Unión</v>
      </c>
      <c r="AW801" s="97" t="str">
        <f>IFERROR(__xludf.DUMMYFUNCTION("""COMPUTED_VALUE"""),"Rieles")</f>
        <v>Rieles</v>
      </c>
      <c r="AX801" s="97" t="str">
        <f>IFERROR(__xludf.DUMMYFUNCTION("""COMPUTED_VALUE"""),"Interior")</f>
        <v>Interior</v>
      </c>
      <c r="AY801" s="97" t="str">
        <f>IFERROR(__xludf.DUMMYFUNCTION("""COMPUTED_VALUE"""),"-")</f>
        <v>-</v>
      </c>
      <c r="AZ801" s="97" t="str">
        <f>IFERROR(__xludf.DUMMYFUNCTION("""COMPUTED_VALUE"""),"Soporta 10A. Con entrada de alimentación 220 V~.")</f>
        <v>Soporta 10A. Con entrada de alimentación 220 V~.</v>
      </c>
      <c r="BA801" s="97">
        <f>IFERROR(__xludf.DUMMYFUNCTION("""COMPUTED_VALUE"""),40.0)</f>
        <v>40</v>
      </c>
      <c r="BB801" s="97" t="str">
        <f>IFERROR(__xludf.DUMMYFUNCTION("""COMPUTED_VALUE"""),"-")</f>
        <v>-</v>
      </c>
      <c r="BC801" s="97" t="str">
        <f>IFERROR(__xludf.DUMMYFUNCTION("""COMPUTED_VALUE"""),"-")</f>
        <v>-</v>
      </c>
      <c r="BD801" s="97" t="str">
        <f>IFERROR(__xludf.DUMMYFUNCTION("""COMPUTED_VALUE"""),"RIELES 1EF")</f>
        <v>RIELES 1EF</v>
      </c>
      <c r="BE801" s="97" t="str">
        <f>IFERROR(__xludf.DUMMYFUNCTION("""COMPUTED_VALUE"""),"Finalizada")</f>
        <v>Finalizada</v>
      </c>
      <c r="BF801" s="97"/>
      <c r="BG801" s="97" t="str">
        <f>IFERROR(__xludf.DUMMYFUNCTION("""COMPUTED_VALUE"""),"Activo")</f>
        <v>Activo</v>
      </c>
    </row>
    <row r="802">
      <c r="A802" s="97">
        <f>IFERROR(__xludf.DUMMYFUNCTION("""COMPUTED_VALUE"""),6575.0)</f>
        <v>6575</v>
      </c>
      <c r="B802" s="97" t="str">
        <f>IFERROR(__xludf.DUMMYFUNCTION("""COMPUTED_VALUE"""),"UNION T 1EF NG")</f>
        <v>UNION T 1EF NG</v>
      </c>
      <c r="C802" s="97" t="str">
        <f>IFERROR(__xludf.DUMMYFUNCTION("""COMPUTED_VALUE"""),"UNIÓN UNION T 1EF NG LEUK")</f>
        <v>UNIÓN UNION T 1EF NG LEUK</v>
      </c>
      <c r="D802" s="97">
        <f>IFERROR(__xludf.DUMMYFUNCTION("""COMPUTED_VALUE"""),7.798413220421E12)</f>
        <v>7798413220421</v>
      </c>
      <c r="E802" s="97"/>
      <c r="F802" s="97" t="str">
        <f>IFERROR(__xludf.DUMMYFUNCTION("""COMPUTED_VALUE"""),"N/A")</f>
        <v>N/A</v>
      </c>
      <c r="G802" s="97" t="str">
        <f>IFERROR(__xludf.DUMMYFUNCTION("""COMPUTED_VALUE"""),"N/A")</f>
        <v>N/A</v>
      </c>
      <c r="H802" s="97" t="str">
        <f>IFERROR(__xludf.DUMMYFUNCTION("""COMPUTED_VALUE"""),"N/A")</f>
        <v>N/A</v>
      </c>
      <c r="I802" s="97" t="str">
        <f>IFERROR(__xludf.DUMMYFUNCTION("""COMPUTED_VALUE"""),"N/A")</f>
        <v>N/A</v>
      </c>
      <c r="J802" s="97" t="str">
        <f>IFERROR(__xludf.DUMMYFUNCTION("""COMPUTED_VALUE"""),"N/A")</f>
        <v>N/A</v>
      </c>
      <c r="K802" s="97" t="str">
        <f>IFERROR(__xludf.DUMMYFUNCTION("""COMPUTED_VALUE"""),"N/A")</f>
        <v>N/A</v>
      </c>
      <c r="L802" s="97">
        <f>IFERROR(__xludf.DUMMYFUNCTION("""COMPUTED_VALUE"""),220.0)</f>
        <v>220</v>
      </c>
      <c r="M802" s="97">
        <f>IFERROR(__xludf.DUMMYFUNCTION("""COMPUTED_VALUE"""),50.0)</f>
        <v>50</v>
      </c>
      <c r="N802" s="97" t="str">
        <f>IFERROR(__xludf.DUMMYFUNCTION("""COMPUTED_VALUE"""),"N/A")</f>
        <v>N/A</v>
      </c>
      <c r="O802" s="97" t="str">
        <f>IFERROR(__xludf.DUMMYFUNCTION("""COMPUTED_VALUE"""),"-")</f>
        <v>-</v>
      </c>
      <c r="P802" s="97"/>
      <c r="Q802" s="97" t="str">
        <f>IFERROR(__xludf.DUMMYFUNCTION("""COMPUTED_VALUE"""),"-")</f>
        <v>-</v>
      </c>
      <c r="R802" s="97" t="str">
        <f>IFERROR(__xludf.DUMMYFUNCTION("""COMPUTED_VALUE"""),"-")</f>
        <v>-</v>
      </c>
      <c r="S802" s="97" t="str">
        <f>IFERROR(__xludf.DUMMYFUNCTION("""COMPUTED_VALUE"""),"-")</f>
        <v>-</v>
      </c>
      <c r="T802" s="97" t="str">
        <f>IFERROR(__xludf.DUMMYFUNCTION("""COMPUTED_VALUE"""),"-")</f>
        <v>-</v>
      </c>
      <c r="U802" s="97" t="str">
        <f>IFERROR(__xludf.DUMMYFUNCTION("""COMPUTED_VALUE"""),"-")</f>
        <v>-</v>
      </c>
      <c r="V802" s="97" t="str">
        <f>IFERROR(__xludf.DUMMYFUNCTION("""COMPUTED_VALUE"""),"N/A")</f>
        <v>N/A</v>
      </c>
      <c r="W802" s="97" t="str">
        <f>IFERROR(__xludf.DUMMYFUNCTION("""COMPUTED_VALUE"""),"N/A")</f>
        <v>N/A</v>
      </c>
      <c r="X802" s="97" t="str">
        <f>IFERROR(__xludf.DUMMYFUNCTION("""COMPUTED_VALUE"""),"-")</f>
        <v>-</v>
      </c>
      <c r="Y802" s="97" t="str">
        <f>IFERROR(__xludf.DUMMYFUNCTION("""COMPUTED_VALUE"""),"N/A")</f>
        <v>N/A</v>
      </c>
      <c r="Z802" s="97" t="str">
        <f>IFERROR(__xludf.DUMMYFUNCTION("""COMPUTED_VALUE"""),"N/A")</f>
        <v>N/A</v>
      </c>
      <c r="AA802" s="97" t="str">
        <f>IFERROR(__xludf.DUMMYFUNCTION("""COMPUTED_VALUE"""),"N/A")</f>
        <v>N/A</v>
      </c>
      <c r="AB802" s="97" t="str">
        <f>IFERROR(__xludf.DUMMYFUNCTION("""COMPUTED_VALUE"""),"N/A")</f>
        <v>N/A</v>
      </c>
      <c r="AC802" s="97" t="str">
        <f>IFERROR(__xludf.DUMMYFUNCTION("""COMPUTED_VALUE"""),"N/A")</f>
        <v>N/A</v>
      </c>
      <c r="AD802" s="97" t="str">
        <f>IFERROR(__xludf.DUMMYFUNCTION("""COMPUTED_VALUE"""),"IP20")</f>
        <v>IP20</v>
      </c>
      <c r="AE802" s="97" t="str">
        <f>IFERROR(__xludf.DUMMYFUNCTION("""COMPUTED_VALUE"""),"Clase l")</f>
        <v>Clase l</v>
      </c>
      <c r="AF802" s="97" t="str">
        <f>IFERROR(__xludf.DUMMYFUNCTION("""COMPUTED_VALUE"""),"N/A")</f>
        <v>N/A</v>
      </c>
      <c r="AG802" s="97" t="str">
        <f>IFERROR(__xludf.DUMMYFUNCTION("""COMPUTED_VALUE"""),"106 x 177 x 17")</f>
        <v>106 x 177 x 17</v>
      </c>
      <c r="AH802" s="97" t="str">
        <f>IFERROR(__xludf.DUMMYFUNCTION("""COMPUTED_VALUE"""),"N/A")</f>
        <v>N/A</v>
      </c>
      <c r="AI802" s="97" t="str">
        <f>IFERROR(__xludf.DUMMYFUNCTION("""COMPUTED_VALUE"""),"N/A")</f>
        <v>N/A</v>
      </c>
      <c r="AJ802" s="97" t="str">
        <f>IFERROR(__xludf.DUMMYFUNCTION("""COMPUTED_VALUE"""),"N/A")</f>
        <v>N/A</v>
      </c>
      <c r="AK802" s="97" t="str">
        <f>IFERROR(__xludf.DUMMYFUNCTION("""COMPUTED_VALUE"""),"Policarbonato (PC)")</f>
        <v>Policarbonato (PC)</v>
      </c>
      <c r="AL802" s="97" t="str">
        <f>IFERROR(__xludf.DUMMYFUNCTION("""COMPUTED_VALUE"""),"Negro Mate")</f>
        <v>Negro Mate</v>
      </c>
      <c r="AM802" s="97" t="str">
        <f>IFERROR(__xludf.DUMMYFUNCTION("""COMPUTED_VALUE"""),"-")</f>
        <v>-</v>
      </c>
      <c r="AN802" s="97" t="str">
        <f>IFERROR(__xludf.DUMMYFUNCTION("""COMPUTED_VALUE"""),"N/A")</f>
        <v>N/A</v>
      </c>
      <c r="AO802" s="97" t="str">
        <f>IFERROR(__xludf.DUMMYFUNCTION("""COMPUTED_VALUE"""),"3 Años")</f>
        <v>3 Años</v>
      </c>
      <c r="AP802" s="97" t="str">
        <f>IFERROR(__xludf.DUMMYFUNCTION("""COMPUTED_VALUE"""),"No Aplica")</f>
        <v>No Aplica</v>
      </c>
      <c r="AQ802" s="97" t="str">
        <f>IFERROR(__xludf.DUMMYFUNCTION("""COMPUTED_VALUE"""),"No Aplica")</f>
        <v>No Aplica</v>
      </c>
      <c r="AR802" s="97" t="str">
        <f>IFERROR(__xludf.DUMMYFUNCTION("""COMPUTED_VALUE"""),"No Aplica")</f>
        <v>No Aplica</v>
      </c>
      <c r="AS802" s="97"/>
      <c r="AT802" s="97"/>
      <c r="AU802" s="97" t="str">
        <f>IFERROR(__xludf.DUMMYFUNCTION("""COMPUTED_VALUE"""),"Falta")</f>
        <v>Falta</v>
      </c>
      <c r="AV802" s="97" t="str">
        <f>IFERROR(__xludf.DUMMYFUNCTION("""COMPUTED_VALUE"""),"Unión")</f>
        <v>Unión</v>
      </c>
      <c r="AW802" s="97" t="str">
        <f>IFERROR(__xludf.DUMMYFUNCTION("""COMPUTED_VALUE"""),"Rieles")</f>
        <v>Rieles</v>
      </c>
      <c r="AX802" s="97" t="str">
        <f>IFERROR(__xludf.DUMMYFUNCTION("""COMPUTED_VALUE"""),"Interior")</f>
        <v>Interior</v>
      </c>
      <c r="AY802" s="97" t="str">
        <f>IFERROR(__xludf.DUMMYFUNCTION("""COMPUTED_VALUE"""),"-")</f>
        <v>-</v>
      </c>
      <c r="AZ802" s="97" t="str">
        <f>IFERROR(__xludf.DUMMYFUNCTION("""COMPUTED_VALUE"""),"Soporta 10A. Con entrada de alimentación 220 V~.")</f>
        <v>Soporta 10A. Con entrada de alimentación 220 V~.</v>
      </c>
      <c r="BA802" s="97">
        <f>IFERROR(__xludf.DUMMYFUNCTION("""COMPUTED_VALUE"""),40.0)</f>
        <v>40</v>
      </c>
      <c r="BB802" s="97" t="str">
        <f>IFERROR(__xludf.DUMMYFUNCTION("""COMPUTED_VALUE"""),"-")</f>
        <v>-</v>
      </c>
      <c r="BC802" s="97" t="str">
        <f>IFERROR(__xludf.DUMMYFUNCTION("""COMPUTED_VALUE"""),"-")</f>
        <v>-</v>
      </c>
      <c r="BD802" s="97" t="str">
        <f>IFERROR(__xludf.DUMMYFUNCTION("""COMPUTED_VALUE"""),"RIELES 1EF")</f>
        <v>RIELES 1EF</v>
      </c>
      <c r="BE802" s="97" t="str">
        <f>IFERROR(__xludf.DUMMYFUNCTION("""COMPUTED_VALUE"""),"Finalizada")</f>
        <v>Finalizada</v>
      </c>
      <c r="BF802" s="97"/>
      <c r="BG802" s="97" t="str">
        <f>IFERROR(__xludf.DUMMYFUNCTION("""COMPUTED_VALUE"""),"Activo")</f>
        <v>Activo</v>
      </c>
    </row>
    <row r="803">
      <c r="A803" s="97">
        <f>IFERROR(__xludf.DUMMYFUNCTION("""COMPUTED_VALUE"""),6576.0)</f>
        <v>6576</v>
      </c>
      <c r="B803" s="97" t="str">
        <f>IFERROR(__xludf.DUMMYFUNCTION("""COMPUTED_VALUE"""),"UNION L 1EF BL")</f>
        <v>UNION L 1EF BL</v>
      </c>
      <c r="C803" s="97" t="str">
        <f>IFERROR(__xludf.DUMMYFUNCTION("""COMPUTED_VALUE"""),"UNIÓN UNION L 1EF BL LEUK")</f>
        <v>UNIÓN UNION L 1EF BL LEUK</v>
      </c>
      <c r="D803" s="97">
        <f>IFERROR(__xludf.DUMMYFUNCTION("""COMPUTED_VALUE"""),7.798413220414E12)</f>
        <v>7798413220414</v>
      </c>
      <c r="E803" s="97"/>
      <c r="F803" s="97" t="str">
        <f>IFERROR(__xludf.DUMMYFUNCTION("""COMPUTED_VALUE"""),"N/A")</f>
        <v>N/A</v>
      </c>
      <c r="G803" s="97" t="str">
        <f>IFERROR(__xludf.DUMMYFUNCTION("""COMPUTED_VALUE"""),"N/A")</f>
        <v>N/A</v>
      </c>
      <c r="H803" s="97" t="str">
        <f>IFERROR(__xludf.DUMMYFUNCTION("""COMPUTED_VALUE"""),"N/A")</f>
        <v>N/A</v>
      </c>
      <c r="I803" s="97" t="str">
        <f>IFERROR(__xludf.DUMMYFUNCTION("""COMPUTED_VALUE"""),"N/A")</f>
        <v>N/A</v>
      </c>
      <c r="J803" s="97" t="str">
        <f>IFERROR(__xludf.DUMMYFUNCTION("""COMPUTED_VALUE"""),"N/A")</f>
        <v>N/A</v>
      </c>
      <c r="K803" s="97" t="str">
        <f>IFERROR(__xludf.DUMMYFUNCTION("""COMPUTED_VALUE"""),"N/A")</f>
        <v>N/A</v>
      </c>
      <c r="L803" s="97">
        <f>IFERROR(__xludf.DUMMYFUNCTION("""COMPUTED_VALUE"""),220.0)</f>
        <v>220</v>
      </c>
      <c r="M803" s="97">
        <f>IFERROR(__xludf.DUMMYFUNCTION("""COMPUTED_VALUE"""),50.0)</f>
        <v>50</v>
      </c>
      <c r="N803" s="97" t="str">
        <f>IFERROR(__xludf.DUMMYFUNCTION("""COMPUTED_VALUE"""),"N/A")</f>
        <v>N/A</v>
      </c>
      <c r="O803" s="97" t="str">
        <f>IFERROR(__xludf.DUMMYFUNCTION("""COMPUTED_VALUE"""),"-")</f>
        <v>-</v>
      </c>
      <c r="P803" s="97"/>
      <c r="Q803" s="97" t="str">
        <f>IFERROR(__xludf.DUMMYFUNCTION("""COMPUTED_VALUE"""),"-")</f>
        <v>-</v>
      </c>
      <c r="R803" s="97" t="str">
        <f>IFERROR(__xludf.DUMMYFUNCTION("""COMPUTED_VALUE"""),"-")</f>
        <v>-</v>
      </c>
      <c r="S803" s="97" t="str">
        <f>IFERROR(__xludf.DUMMYFUNCTION("""COMPUTED_VALUE"""),"-")</f>
        <v>-</v>
      </c>
      <c r="T803" s="97" t="str">
        <f>IFERROR(__xludf.DUMMYFUNCTION("""COMPUTED_VALUE"""),"-")</f>
        <v>-</v>
      </c>
      <c r="U803" s="97" t="str">
        <f>IFERROR(__xludf.DUMMYFUNCTION("""COMPUTED_VALUE"""),"-")</f>
        <v>-</v>
      </c>
      <c r="V803" s="97" t="str">
        <f>IFERROR(__xludf.DUMMYFUNCTION("""COMPUTED_VALUE"""),"N/A")</f>
        <v>N/A</v>
      </c>
      <c r="W803" s="97" t="str">
        <f>IFERROR(__xludf.DUMMYFUNCTION("""COMPUTED_VALUE"""),"N/A")</f>
        <v>N/A</v>
      </c>
      <c r="X803" s="97" t="str">
        <f>IFERROR(__xludf.DUMMYFUNCTION("""COMPUTED_VALUE"""),"-")</f>
        <v>-</v>
      </c>
      <c r="Y803" s="97" t="str">
        <f>IFERROR(__xludf.DUMMYFUNCTION("""COMPUTED_VALUE"""),"N/A")</f>
        <v>N/A</v>
      </c>
      <c r="Z803" s="97" t="str">
        <f>IFERROR(__xludf.DUMMYFUNCTION("""COMPUTED_VALUE"""),"N/A")</f>
        <v>N/A</v>
      </c>
      <c r="AA803" s="97" t="str">
        <f>IFERROR(__xludf.DUMMYFUNCTION("""COMPUTED_VALUE"""),"N/A")</f>
        <v>N/A</v>
      </c>
      <c r="AB803" s="97" t="str">
        <f>IFERROR(__xludf.DUMMYFUNCTION("""COMPUTED_VALUE"""),"N/A")</f>
        <v>N/A</v>
      </c>
      <c r="AC803" s="97" t="str">
        <f>IFERROR(__xludf.DUMMYFUNCTION("""COMPUTED_VALUE"""),"N/A")</f>
        <v>N/A</v>
      </c>
      <c r="AD803" s="97" t="str">
        <f>IFERROR(__xludf.DUMMYFUNCTION("""COMPUTED_VALUE"""),"IP20")</f>
        <v>IP20</v>
      </c>
      <c r="AE803" s="97" t="str">
        <f>IFERROR(__xludf.DUMMYFUNCTION("""COMPUTED_VALUE"""),"Clase l")</f>
        <v>Clase l</v>
      </c>
      <c r="AF803" s="97" t="str">
        <f>IFERROR(__xludf.DUMMYFUNCTION("""COMPUTED_VALUE"""),"N/A")</f>
        <v>N/A</v>
      </c>
      <c r="AG803" s="97" t="str">
        <f>IFERROR(__xludf.DUMMYFUNCTION("""COMPUTED_VALUE"""),"106 x 106 x 17")</f>
        <v>106 x 106 x 17</v>
      </c>
      <c r="AH803" s="97" t="str">
        <f>IFERROR(__xludf.DUMMYFUNCTION("""COMPUTED_VALUE"""),"N/A")</f>
        <v>N/A</v>
      </c>
      <c r="AI803" s="97" t="str">
        <f>IFERROR(__xludf.DUMMYFUNCTION("""COMPUTED_VALUE"""),"N/A")</f>
        <v>N/A</v>
      </c>
      <c r="AJ803" s="97" t="str">
        <f>IFERROR(__xludf.DUMMYFUNCTION("""COMPUTED_VALUE"""),"N/A")</f>
        <v>N/A</v>
      </c>
      <c r="AK803" s="97" t="str">
        <f>IFERROR(__xludf.DUMMYFUNCTION("""COMPUTED_VALUE"""),"Policarbonato (PC)")</f>
        <v>Policarbonato (PC)</v>
      </c>
      <c r="AL803" s="97" t="str">
        <f>IFERROR(__xludf.DUMMYFUNCTION("""COMPUTED_VALUE"""),"Blanco Mate")</f>
        <v>Blanco Mate</v>
      </c>
      <c r="AM803" s="97" t="str">
        <f>IFERROR(__xludf.DUMMYFUNCTION("""COMPUTED_VALUE"""),"-")</f>
        <v>-</v>
      </c>
      <c r="AN803" s="97" t="str">
        <f>IFERROR(__xludf.DUMMYFUNCTION("""COMPUTED_VALUE"""),"N/A")</f>
        <v>N/A</v>
      </c>
      <c r="AO803" s="97" t="str">
        <f>IFERROR(__xludf.DUMMYFUNCTION("""COMPUTED_VALUE"""),"3 Años")</f>
        <v>3 Años</v>
      </c>
      <c r="AP803" s="97" t="str">
        <f>IFERROR(__xludf.DUMMYFUNCTION("""COMPUTED_VALUE"""),"No Aplica")</f>
        <v>No Aplica</v>
      </c>
      <c r="AQ803" s="97" t="str">
        <f>IFERROR(__xludf.DUMMYFUNCTION("""COMPUTED_VALUE"""),"No Aplica")</f>
        <v>No Aplica</v>
      </c>
      <c r="AR803" s="97" t="str">
        <f>IFERROR(__xludf.DUMMYFUNCTION("""COMPUTED_VALUE"""),"No Aplica")</f>
        <v>No Aplica</v>
      </c>
      <c r="AS803" s="97"/>
      <c r="AT803" s="97"/>
      <c r="AU803" s="97" t="str">
        <f>IFERROR(__xludf.DUMMYFUNCTION("""COMPUTED_VALUE"""),"Falta")</f>
        <v>Falta</v>
      </c>
      <c r="AV803" s="97" t="str">
        <f>IFERROR(__xludf.DUMMYFUNCTION("""COMPUTED_VALUE"""),"Unión")</f>
        <v>Unión</v>
      </c>
      <c r="AW803" s="97" t="str">
        <f>IFERROR(__xludf.DUMMYFUNCTION("""COMPUTED_VALUE"""),"Rieles")</f>
        <v>Rieles</v>
      </c>
      <c r="AX803" s="97" t="str">
        <f>IFERROR(__xludf.DUMMYFUNCTION("""COMPUTED_VALUE"""),"Interior")</f>
        <v>Interior</v>
      </c>
      <c r="AY803" s="97" t="str">
        <f>IFERROR(__xludf.DUMMYFUNCTION("""COMPUTED_VALUE"""),"-")</f>
        <v>-</v>
      </c>
      <c r="AZ803" s="97" t="str">
        <f>IFERROR(__xludf.DUMMYFUNCTION("""COMPUTED_VALUE"""),"Soporta 10A. Con entrada de alimentación 220 V~.")</f>
        <v>Soporta 10A. Con entrada de alimentación 220 V~.</v>
      </c>
      <c r="BA803" s="97">
        <f>IFERROR(__xludf.DUMMYFUNCTION("""COMPUTED_VALUE"""),40.0)</f>
        <v>40</v>
      </c>
      <c r="BB803" s="97" t="str">
        <f>IFERROR(__xludf.DUMMYFUNCTION("""COMPUTED_VALUE"""),"-")</f>
        <v>-</v>
      </c>
      <c r="BC803" s="97" t="str">
        <f>IFERROR(__xludf.DUMMYFUNCTION("""COMPUTED_VALUE"""),"-")</f>
        <v>-</v>
      </c>
      <c r="BD803" s="97" t="str">
        <f>IFERROR(__xludf.DUMMYFUNCTION("""COMPUTED_VALUE"""),"RIELES 1EF")</f>
        <v>RIELES 1EF</v>
      </c>
      <c r="BE803" s="97" t="str">
        <f>IFERROR(__xludf.DUMMYFUNCTION("""COMPUTED_VALUE"""),"Finalizada")</f>
        <v>Finalizada</v>
      </c>
      <c r="BF803" s="97"/>
      <c r="BG803" s="97" t="str">
        <f>IFERROR(__xludf.DUMMYFUNCTION("""COMPUTED_VALUE"""),"Activo")</f>
        <v>Activo</v>
      </c>
    </row>
    <row r="804">
      <c r="A804" s="97">
        <f>IFERROR(__xludf.DUMMYFUNCTION("""COMPUTED_VALUE"""),6577.0)</f>
        <v>6577</v>
      </c>
      <c r="B804" s="97" t="str">
        <f>IFERROR(__xludf.DUMMYFUNCTION("""COMPUTED_VALUE"""),"UNION L 1EF NG")</f>
        <v>UNION L 1EF NG</v>
      </c>
      <c r="C804" s="97" t="str">
        <f>IFERROR(__xludf.DUMMYFUNCTION("""COMPUTED_VALUE"""),"UNIÓN UNION L 1EF NG LEUK")</f>
        <v>UNIÓN UNION L 1EF NG LEUK</v>
      </c>
      <c r="D804" s="97">
        <f>IFERROR(__xludf.DUMMYFUNCTION("""COMPUTED_VALUE"""),7.798413220407E12)</f>
        <v>7798413220407</v>
      </c>
      <c r="E804" s="97"/>
      <c r="F804" s="97" t="str">
        <f>IFERROR(__xludf.DUMMYFUNCTION("""COMPUTED_VALUE"""),"N/A")</f>
        <v>N/A</v>
      </c>
      <c r="G804" s="97" t="str">
        <f>IFERROR(__xludf.DUMMYFUNCTION("""COMPUTED_VALUE"""),"N/A")</f>
        <v>N/A</v>
      </c>
      <c r="H804" s="97" t="str">
        <f>IFERROR(__xludf.DUMMYFUNCTION("""COMPUTED_VALUE"""),"N/A")</f>
        <v>N/A</v>
      </c>
      <c r="I804" s="97" t="str">
        <f>IFERROR(__xludf.DUMMYFUNCTION("""COMPUTED_VALUE"""),"N/A")</f>
        <v>N/A</v>
      </c>
      <c r="J804" s="97" t="str">
        <f>IFERROR(__xludf.DUMMYFUNCTION("""COMPUTED_VALUE"""),"N/A")</f>
        <v>N/A</v>
      </c>
      <c r="K804" s="97" t="str">
        <f>IFERROR(__xludf.DUMMYFUNCTION("""COMPUTED_VALUE"""),"N/A")</f>
        <v>N/A</v>
      </c>
      <c r="L804" s="97">
        <f>IFERROR(__xludf.DUMMYFUNCTION("""COMPUTED_VALUE"""),220.0)</f>
        <v>220</v>
      </c>
      <c r="M804" s="97">
        <f>IFERROR(__xludf.DUMMYFUNCTION("""COMPUTED_VALUE"""),50.0)</f>
        <v>50</v>
      </c>
      <c r="N804" s="97" t="str">
        <f>IFERROR(__xludf.DUMMYFUNCTION("""COMPUTED_VALUE"""),"N/A")</f>
        <v>N/A</v>
      </c>
      <c r="O804" s="97" t="str">
        <f>IFERROR(__xludf.DUMMYFUNCTION("""COMPUTED_VALUE"""),"-")</f>
        <v>-</v>
      </c>
      <c r="P804" s="97"/>
      <c r="Q804" s="97" t="str">
        <f>IFERROR(__xludf.DUMMYFUNCTION("""COMPUTED_VALUE"""),"-")</f>
        <v>-</v>
      </c>
      <c r="R804" s="97" t="str">
        <f>IFERROR(__xludf.DUMMYFUNCTION("""COMPUTED_VALUE"""),"-")</f>
        <v>-</v>
      </c>
      <c r="S804" s="97" t="str">
        <f>IFERROR(__xludf.DUMMYFUNCTION("""COMPUTED_VALUE"""),"-")</f>
        <v>-</v>
      </c>
      <c r="T804" s="97" t="str">
        <f>IFERROR(__xludf.DUMMYFUNCTION("""COMPUTED_VALUE"""),"-")</f>
        <v>-</v>
      </c>
      <c r="U804" s="97" t="str">
        <f>IFERROR(__xludf.DUMMYFUNCTION("""COMPUTED_VALUE"""),"-")</f>
        <v>-</v>
      </c>
      <c r="V804" s="97" t="str">
        <f>IFERROR(__xludf.DUMMYFUNCTION("""COMPUTED_VALUE"""),"N/A")</f>
        <v>N/A</v>
      </c>
      <c r="W804" s="97" t="str">
        <f>IFERROR(__xludf.DUMMYFUNCTION("""COMPUTED_VALUE"""),"N/A")</f>
        <v>N/A</v>
      </c>
      <c r="X804" s="97" t="str">
        <f>IFERROR(__xludf.DUMMYFUNCTION("""COMPUTED_VALUE"""),"-")</f>
        <v>-</v>
      </c>
      <c r="Y804" s="97" t="str">
        <f>IFERROR(__xludf.DUMMYFUNCTION("""COMPUTED_VALUE"""),"N/A")</f>
        <v>N/A</v>
      </c>
      <c r="Z804" s="97" t="str">
        <f>IFERROR(__xludf.DUMMYFUNCTION("""COMPUTED_VALUE"""),"N/A")</f>
        <v>N/A</v>
      </c>
      <c r="AA804" s="97" t="str">
        <f>IFERROR(__xludf.DUMMYFUNCTION("""COMPUTED_VALUE"""),"N/A")</f>
        <v>N/A</v>
      </c>
      <c r="AB804" s="97" t="str">
        <f>IFERROR(__xludf.DUMMYFUNCTION("""COMPUTED_VALUE"""),"N/A")</f>
        <v>N/A</v>
      </c>
      <c r="AC804" s="97" t="str">
        <f>IFERROR(__xludf.DUMMYFUNCTION("""COMPUTED_VALUE"""),"N/A")</f>
        <v>N/A</v>
      </c>
      <c r="AD804" s="97" t="str">
        <f>IFERROR(__xludf.DUMMYFUNCTION("""COMPUTED_VALUE"""),"IP20")</f>
        <v>IP20</v>
      </c>
      <c r="AE804" s="97" t="str">
        <f>IFERROR(__xludf.DUMMYFUNCTION("""COMPUTED_VALUE"""),"Clase l")</f>
        <v>Clase l</v>
      </c>
      <c r="AF804" s="97" t="str">
        <f>IFERROR(__xludf.DUMMYFUNCTION("""COMPUTED_VALUE"""),"N/A")</f>
        <v>N/A</v>
      </c>
      <c r="AG804" s="97" t="str">
        <f>IFERROR(__xludf.DUMMYFUNCTION("""COMPUTED_VALUE"""),"106 x 106 x 17")</f>
        <v>106 x 106 x 17</v>
      </c>
      <c r="AH804" s="97" t="str">
        <f>IFERROR(__xludf.DUMMYFUNCTION("""COMPUTED_VALUE"""),"N/A")</f>
        <v>N/A</v>
      </c>
      <c r="AI804" s="97" t="str">
        <f>IFERROR(__xludf.DUMMYFUNCTION("""COMPUTED_VALUE"""),"N/A")</f>
        <v>N/A</v>
      </c>
      <c r="AJ804" s="97" t="str">
        <f>IFERROR(__xludf.DUMMYFUNCTION("""COMPUTED_VALUE"""),"N/A")</f>
        <v>N/A</v>
      </c>
      <c r="AK804" s="97" t="str">
        <f>IFERROR(__xludf.DUMMYFUNCTION("""COMPUTED_VALUE"""),"Policarbonato (PC)")</f>
        <v>Policarbonato (PC)</v>
      </c>
      <c r="AL804" s="97" t="str">
        <f>IFERROR(__xludf.DUMMYFUNCTION("""COMPUTED_VALUE"""),"Negro Mate")</f>
        <v>Negro Mate</v>
      </c>
      <c r="AM804" s="97" t="str">
        <f>IFERROR(__xludf.DUMMYFUNCTION("""COMPUTED_VALUE"""),"-")</f>
        <v>-</v>
      </c>
      <c r="AN804" s="97" t="str">
        <f>IFERROR(__xludf.DUMMYFUNCTION("""COMPUTED_VALUE"""),"N/A")</f>
        <v>N/A</v>
      </c>
      <c r="AO804" s="97" t="str">
        <f>IFERROR(__xludf.DUMMYFUNCTION("""COMPUTED_VALUE"""),"3 Años")</f>
        <v>3 Años</v>
      </c>
      <c r="AP804" s="97" t="str">
        <f>IFERROR(__xludf.DUMMYFUNCTION("""COMPUTED_VALUE"""),"No Aplica")</f>
        <v>No Aplica</v>
      </c>
      <c r="AQ804" s="97" t="str">
        <f>IFERROR(__xludf.DUMMYFUNCTION("""COMPUTED_VALUE"""),"No Aplica")</f>
        <v>No Aplica</v>
      </c>
      <c r="AR804" s="97" t="str">
        <f>IFERROR(__xludf.DUMMYFUNCTION("""COMPUTED_VALUE"""),"No Aplica")</f>
        <v>No Aplica</v>
      </c>
      <c r="AS804" s="97"/>
      <c r="AT804" s="97"/>
      <c r="AU804" s="97" t="str">
        <f>IFERROR(__xludf.DUMMYFUNCTION("""COMPUTED_VALUE"""),"Falta")</f>
        <v>Falta</v>
      </c>
      <c r="AV804" s="97" t="str">
        <f>IFERROR(__xludf.DUMMYFUNCTION("""COMPUTED_VALUE"""),"Unión")</f>
        <v>Unión</v>
      </c>
      <c r="AW804" s="97" t="str">
        <f>IFERROR(__xludf.DUMMYFUNCTION("""COMPUTED_VALUE"""),"Rieles")</f>
        <v>Rieles</v>
      </c>
      <c r="AX804" s="97" t="str">
        <f>IFERROR(__xludf.DUMMYFUNCTION("""COMPUTED_VALUE"""),"Interior")</f>
        <v>Interior</v>
      </c>
      <c r="AY804" s="97" t="str">
        <f>IFERROR(__xludf.DUMMYFUNCTION("""COMPUTED_VALUE"""),"-")</f>
        <v>-</v>
      </c>
      <c r="AZ804" s="97" t="str">
        <f>IFERROR(__xludf.DUMMYFUNCTION("""COMPUTED_VALUE"""),"Soporta 10A. Con entrada de alimentación 220 V~.")</f>
        <v>Soporta 10A. Con entrada de alimentación 220 V~.</v>
      </c>
      <c r="BA804" s="97">
        <f>IFERROR(__xludf.DUMMYFUNCTION("""COMPUTED_VALUE"""),100.0)</f>
        <v>100</v>
      </c>
      <c r="BB804" s="97" t="str">
        <f>IFERROR(__xludf.DUMMYFUNCTION("""COMPUTED_VALUE"""),"-")</f>
        <v>-</v>
      </c>
      <c r="BC804" s="97" t="str">
        <f>IFERROR(__xludf.DUMMYFUNCTION("""COMPUTED_VALUE"""),"-")</f>
        <v>-</v>
      </c>
      <c r="BD804" s="97" t="str">
        <f>IFERROR(__xludf.DUMMYFUNCTION("""COMPUTED_VALUE"""),"RIELES 1EF")</f>
        <v>RIELES 1EF</v>
      </c>
      <c r="BE804" s="97" t="str">
        <f>IFERROR(__xludf.DUMMYFUNCTION("""COMPUTED_VALUE"""),"Finalizada")</f>
        <v>Finalizada</v>
      </c>
      <c r="BF804" s="97"/>
      <c r="BG804" s="97" t="str">
        <f>IFERROR(__xludf.DUMMYFUNCTION("""COMPUTED_VALUE"""),"Activo")</f>
        <v>Activo</v>
      </c>
    </row>
    <row r="805">
      <c r="A805" s="97">
        <f>IFERROR(__xludf.DUMMYFUNCTION("""COMPUTED_VALUE"""),6578.0)</f>
        <v>6578</v>
      </c>
      <c r="B805" s="97" t="str">
        <f>IFERROR(__xludf.DUMMYFUNCTION("""COMPUTED_VALUE"""),"UNION LINEAL POWER 1EF BL")</f>
        <v>UNION LINEAL POWER 1EF BL</v>
      </c>
      <c r="C805" s="97" t="str">
        <f>IFERROR(__xludf.DUMMYFUNCTION("""COMPUTED_VALUE"""),"UNIÓN UNION LINEAL POWER 1EF BL LEUK")</f>
        <v>UNIÓN UNION LINEAL POWER 1EF BL LEUK</v>
      </c>
      <c r="D805" s="97">
        <f>IFERROR(__xludf.DUMMYFUNCTION("""COMPUTED_VALUE"""),7.798413220391E12)</f>
        <v>7798413220391</v>
      </c>
      <c r="E805" s="97"/>
      <c r="F805" s="97" t="str">
        <f>IFERROR(__xludf.DUMMYFUNCTION("""COMPUTED_VALUE"""),"N/A")</f>
        <v>N/A</v>
      </c>
      <c r="G805" s="97" t="str">
        <f>IFERROR(__xludf.DUMMYFUNCTION("""COMPUTED_VALUE"""),"N/A")</f>
        <v>N/A</v>
      </c>
      <c r="H805" s="97" t="str">
        <f>IFERROR(__xludf.DUMMYFUNCTION("""COMPUTED_VALUE"""),"N/A")</f>
        <v>N/A</v>
      </c>
      <c r="I805" s="97" t="str">
        <f>IFERROR(__xludf.DUMMYFUNCTION("""COMPUTED_VALUE"""),"N/A")</f>
        <v>N/A</v>
      </c>
      <c r="J805" s="97" t="str">
        <f>IFERROR(__xludf.DUMMYFUNCTION("""COMPUTED_VALUE"""),"N/A")</f>
        <v>N/A</v>
      </c>
      <c r="K805" s="97" t="str">
        <f>IFERROR(__xludf.DUMMYFUNCTION("""COMPUTED_VALUE"""),"N/A")</f>
        <v>N/A</v>
      </c>
      <c r="L805" s="97">
        <f>IFERROR(__xludf.DUMMYFUNCTION("""COMPUTED_VALUE"""),220.0)</f>
        <v>220</v>
      </c>
      <c r="M805" s="97">
        <f>IFERROR(__xludf.DUMMYFUNCTION("""COMPUTED_VALUE"""),50.0)</f>
        <v>50</v>
      </c>
      <c r="N805" s="97" t="str">
        <f>IFERROR(__xludf.DUMMYFUNCTION("""COMPUTED_VALUE"""),"N/A")</f>
        <v>N/A</v>
      </c>
      <c r="O805" s="97" t="str">
        <f>IFERROR(__xludf.DUMMYFUNCTION("""COMPUTED_VALUE"""),"-")</f>
        <v>-</v>
      </c>
      <c r="P805" s="97"/>
      <c r="Q805" s="97" t="str">
        <f>IFERROR(__xludf.DUMMYFUNCTION("""COMPUTED_VALUE"""),"-")</f>
        <v>-</v>
      </c>
      <c r="R805" s="97" t="str">
        <f>IFERROR(__xludf.DUMMYFUNCTION("""COMPUTED_VALUE"""),"-")</f>
        <v>-</v>
      </c>
      <c r="S805" s="97" t="str">
        <f>IFERROR(__xludf.DUMMYFUNCTION("""COMPUTED_VALUE"""),"-")</f>
        <v>-</v>
      </c>
      <c r="T805" s="97" t="str">
        <f>IFERROR(__xludf.DUMMYFUNCTION("""COMPUTED_VALUE"""),"-")</f>
        <v>-</v>
      </c>
      <c r="U805" s="97" t="str">
        <f>IFERROR(__xludf.DUMMYFUNCTION("""COMPUTED_VALUE"""),"-")</f>
        <v>-</v>
      </c>
      <c r="V805" s="97" t="str">
        <f>IFERROR(__xludf.DUMMYFUNCTION("""COMPUTED_VALUE"""),"N/A")</f>
        <v>N/A</v>
      </c>
      <c r="W805" s="97" t="str">
        <f>IFERROR(__xludf.DUMMYFUNCTION("""COMPUTED_VALUE"""),"N/A")</f>
        <v>N/A</v>
      </c>
      <c r="X805" s="97" t="str">
        <f>IFERROR(__xludf.DUMMYFUNCTION("""COMPUTED_VALUE"""),"-")</f>
        <v>-</v>
      </c>
      <c r="Y805" s="97" t="str">
        <f>IFERROR(__xludf.DUMMYFUNCTION("""COMPUTED_VALUE"""),"N/A")</f>
        <v>N/A</v>
      </c>
      <c r="Z805" s="97" t="str">
        <f>IFERROR(__xludf.DUMMYFUNCTION("""COMPUTED_VALUE"""),"N/A")</f>
        <v>N/A</v>
      </c>
      <c r="AA805" s="97" t="str">
        <f>IFERROR(__xludf.DUMMYFUNCTION("""COMPUTED_VALUE"""),"N/A")</f>
        <v>N/A</v>
      </c>
      <c r="AB805" s="97" t="str">
        <f>IFERROR(__xludf.DUMMYFUNCTION("""COMPUTED_VALUE"""),"N/A")</f>
        <v>N/A</v>
      </c>
      <c r="AC805" s="97" t="str">
        <f>IFERROR(__xludf.DUMMYFUNCTION("""COMPUTED_VALUE"""),"N/A")</f>
        <v>N/A</v>
      </c>
      <c r="AD805" s="97" t="str">
        <f>IFERROR(__xludf.DUMMYFUNCTION("""COMPUTED_VALUE"""),"IP20")</f>
        <v>IP20</v>
      </c>
      <c r="AE805" s="97" t="str">
        <f>IFERROR(__xludf.DUMMYFUNCTION("""COMPUTED_VALUE"""),"Clase l")</f>
        <v>Clase l</v>
      </c>
      <c r="AF805" s="97" t="str">
        <f>IFERROR(__xludf.DUMMYFUNCTION("""COMPUTED_VALUE"""),"N/A")</f>
        <v>N/A</v>
      </c>
      <c r="AG805" s="97" t="str">
        <f>IFERROR(__xludf.DUMMYFUNCTION("""COMPUTED_VALUE"""),"35 x 177 x 17")</f>
        <v>35 x 177 x 17</v>
      </c>
      <c r="AH805" s="97" t="str">
        <f>IFERROR(__xludf.DUMMYFUNCTION("""COMPUTED_VALUE"""),"N/A")</f>
        <v>N/A</v>
      </c>
      <c r="AI805" s="97" t="str">
        <f>IFERROR(__xludf.DUMMYFUNCTION("""COMPUTED_VALUE"""),"N/A")</f>
        <v>N/A</v>
      </c>
      <c r="AJ805" s="97" t="str">
        <f>IFERROR(__xludf.DUMMYFUNCTION("""COMPUTED_VALUE"""),"N/A")</f>
        <v>N/A</v>
      </c>
      <c r="AK805" s="97" t="str">
        <f>IFERROR(__xludf.DUMMYFUNCTION("""COMPUTED_VALUE"""),"Policarbonato (PC)")</f>
        <v>Policarbonato (PC)</v>
      </c>
      <c r="AL805" s="97" t="str">
        <f>IFERROR(__xludf.DUMMYFUNCTION("""COMPUTED_VALUE"""),"Blanco Mate")</f>
        <v>Blanco Mate</v>
      </c>
      <c r="AM805" s="97" t="str">
        <f>IFERROR(__xludf.DUMMYFUNCTION("""COMPUTED_VALUE"""),"-")</f>
        <v>-</v>
      </c>
      <c r="AN805" s="97" t="str">
        <f>IFERROR(__xludf.DUMMYFUNCTION("""COMPUTED_VALUE"""),"N/A")</f>
        <v>N/A</v>
      </c>
      <c r="AO805" s="97" t="str">
        <f>IFERROR(__xludf.DUMMYFUNCTION("""COMPUTED_VALUE"""),"3 Años")</f>
        <v>3 Años</v>
      </c>
      <c r="AP805" s="97" t="str">
        <f>IFERROR(__xludf.DUMMYFUNCTION("""COMPUTED_VALUE"""),"No Aplica")</f>
        <v>No Aplica</v>
      </c>
      <c r="AQ805" s="97" t="str">
        <f>IFERROR(__xludf.DUMMYFUNCTION("""COMPUTED_VALUE"""),"No Aplica")</f>
        <v>No Aplica</v>
      </c>
      <c r="AR805" s="97" t="str">
        <f>IFERROR(__xludf.DUMMYFUNCTION("""COMPUTED_VALUE"""),"No Aplica")</f>
        <v>No Aplica</v>
      </c>
      <c r="AS805" s="97"/>
      <c r="AT805" s="97"/>
      <c r="AU805" s="97" t="str">
        <f>IFERROR(__xludf.DUMMYFUNCTION("""COMPUTED_VALUE"""),"Falta")</f>
        <v>Falta</v>
      </c>
      <c r="AV805" s="97" t="str">
        <f>IFERROR(__xludf.DUMMYFUNCTION("""COMPUTED_VALUE"""),"Unión")</f>
        <v>Unión</v>
      </c>
      <c r="AW805" s="97" t="str">
        <f>IFERROR(__xludf.DUMMYFUNCTION("""COMPUTED_VALUE"""),"Rieles")</f>
        <v>Rieles</v>
      </c>
      <c r="AX805" s="97" t="str">
        <f>IFERROR(__xludf.DUMMYFUNCTION("""COMPUTED_VALUE"""),"Interior")</f>
        <v>Interior</v>
      </c>
      <c r="AY805" s="97" t="str">
        <f>IFERROR(__xludf.DUMMYFUNCTION("""COMPUTED_VALUE"""),"-")</f>
        <v>-</v>
      </c>
      <c r="AZ805" s="97" t="str">
        <f>IFERROR(__xludf.DUMMYFUNCTION("""COMPUTED_VALUE"""),"Soporta 10A. Con entrada de alimentación 220 V~.")</f>
        <v>Soporta 10A. Con entrada de alimentación 220 V~.</v>
      </c>
      <c r="BA805" s="97">
        <f>IFERROR(__xludf.DUMMYFUNCTION("""COMPUTED_VALUE"""),40.0)</f>
        <v>40</v>
      </c>
      <c r="BB805" s="97" t="str">
        <f>IFERROR(__xludf.DUMMYFUNCTION("""COMPUTED_VALUE"""),"-")</f>
        <v>-</v>
      </c>
      <c r="BC805" s="97" t="str">
        <f>IFERROR(__xludf.DUMMYFUNCTION("""COMPUTED_VALUE"""),"-")</f>
        <v>-</v>
      </c>
      <c r="BD805" s="97" t="str">
        <f>IFERROR(__xludf.DUMMYFUNCTION("""COMPUTED_VALUE"""),"RIELES 1EF")</f>
        <v>RIELES 1EF</v>
      </c>
      <c r="BE805" s="97" t="str">
        <f>IFERROR(__xludf.DUMMYFUNCTION("""COMPUTED_VALUE"""),"Finalizada")</f>
        <v>Finalizada</v>
      </c>
      <c r="BF805" s="97"/>
      <c r="BG805" s="97" t="str">
        <f>IFERROR(__xludf.DUMMYFUNCTION("""COMPUTED_VALUE"""),"Activo")</f>
        <v>Activo</v>
      </c>
    </row>
    <row r="806">
      <c r="A806" s="97">
        <f>IFERROR(__xludf.DUMMYFUNCTION("""COMPUTED_VALUE"""),6579.0)</f>
        <v>6579</v>
      </c>
      <c r="B806" s="97" t="str">
        <f>IFERROR(__xludf.DUMMYFUNCTION("""COMPUTED_VALUE"""),"UNION LINEAL POWER 1EF NG")</f>
        <v>UNION LINEAL POWER 1EF NG</v>
      </c>
      <c r="C806" s="97" t="str">
        <f>IFERROR(__xludf.DUMMYFUNCTION("""COMPUTED_VALUE"""),"UNIÓN UNION LINEAL POWER 1EF NG LEUK")</f>
        <v>UNIÓN UNION LINEAL POWER 1EF NG LEUK</v>
      </c>
      <c r="D806" s="97">
        <f>IFERROR(__xludf.DUMMYFUNCTION("""COMPUTED_VALUE"""),7.798413220384E12)</f>
        <v>7798413220384</v>
      </c>
      <c r="E806" s="97"/>
      <c r="F806" s="97" t="str">
        <f>IFERROR(__xludf.DUMMYFUNCTION("""COMPUTED_VALUE"""),"N/A")</f>
        <v>N/A</v>
      </c>
      <c r="G806" s="97" t="str">
        <f>IFERROR(__xludf.DUMMYFUNCTION("""COMPUTED_VALUE"""),"N/A")</f>
        <v>N/A</v>
      </c>
      <c r="H806" s="97" t="str">
        <f>IFERROR(__xludf.DUMMYFUNCTION("""COMPUTED_VALUE"""),"N/A")</f>
        <v>N/A</v>
      </c>
      <c r="I806" s="97" t="str">
        <f>IFERROR(__xludf.DUMMYFUNCTION("""COMPUTED_VALUE"""),"N/A")</f>
        <v>N/A</v>
      </c>
      <c r="J806" s="97" t="str">
        <f>IFERROR(__xludf.DUMMYFUNCTION("""COMPUTED_VALUE"""),"N/A")</f>
        <v>N/A</v>
      </c>
      <c r="K806" s="97" t="str">
        <f>IFERROR(__xludf.DUMMYFUNCTION("""COMPUTED_VALUE"""),"N/A")</f>
        <v>N/A</v>
      </c>
      <c r="L806" s="97">
        <f>IFERROR(__xludf.DUMMYFUNCTION("""COMPUTED_VALUE"""),220.0)</f>
        <v>220</v>
      </c>
      <c r="M806" s="97">
        <f>IFERROR(__xludf.DUMMYFUNCTION("""COMPUTED_VALUE"""),50.0)</f>
        <v>50</v>
      </c>
      <c r="N806" s="97" t="str">
        <f>IFERROR(__xludf.DUMMYFUNCTION("""COMPUTED_VALUE"""),"N/A")</f>
        <v>N/A</v>
      </c>
      <c r="O806" s="97" t="str">
        <f>IFERROR(__xludf.DUMMYFUNCTION("""COMPUTED_VALUE"""),"-")</f>
        <v>-</v>
      </c>
      <c r="P806" s="97"/>
      <c r="Q806" s="97" t="str">
        <f>IFERROR(__xludf.DUMMYFUNCTION("""COMPUTED_VALUE"""),"-")</f>
        <v>-</v>
      </c>
      <c r="R806" s="97" t="str">
        <f>IFERROR(__xludf.DUMMYFUNCTION("""COMPUTED_VALUE"""),"-")</f>
        <v>-</v>
      </c>
      <c r="S806" s="97" t="str">
        <f>IFERROR(__xludf.DUMMYFUNCTION("""COMPUTED_VALUE"""),"-")</f>
        <v>-</v>
      </c>
      <c r="T806" s="97" t="str">
        <f>IFERROR(__xludf.DUMMYFUNCTION("""COMPUTED_VALUE"""),"-")</f>
        <v>-</v>
      </c>
      <c r="U806" s="97" t="str">
        <f>IFERROR(__xludf.DUMMYFUNCTION("""COMPUTED_VALUE"""),"-")</f>
        <v>-</v>
      </c>
      <c r="V806" s="97" t="str">
        <f>IFERROR(__xludf.DUMMYFUNCTION("""COMPUTED_VALUE"""),"N/A")</f>
        <v>N/A</v>
      </c>
      <c r="W806" s="97" t="str">
        <f>IFERROR(__xludf.DUMMYFUNCTION("""COMPUTED_VALUE"""),"N/A")</f>
        <v>N/A</v>
      </c>
      <c r="X806" s="97" t="str">
        <f>IFERROR(__xludf.DUMMYFUNCTION("""COMPUTED_VALUE"""),"-")</f>
        <v>-</v>
      </c>
      <c r="Y806" s="97" t="str">
        <f>IFERROR(__xludf.DUMMYFUNCTION("""COMPUTED_VALUE"""),"N/A")</f>
        <v>N/A</v>
      </c>
      <c r="Z806" s="97" t="str">
        <f>IFERROR(__xludf.DUMMYFUNCTION("""COMPUTED_VALUE"""),"N/A")</f>
        <v>N/A</v>
      </c>
      <c r="AA806" s="97" t="str">
        <f>IFERROR(__xludf.DUMMYFUNCTION("""COMPUTED_VALUE"""),"N/A")</f>
        <v>N/A</v>
      </c>
      <c r="AB806" s="97" t="str">
        <f>IFERROR(__xludf.DUMMYFUNCTION("""COMPUTED_VALUE"""),"N/A")</f>
        <v>N/A</v>
      </c>
      <c r="AC806" s="97" t="str">
        <f>IFERROR(__xludf.DUMMYFUNCTION("""COMPUTED_VALUE"""),"N/A")</f>
        <v>N/A</v>
      </c>
      <c r="AD806" s="97" t="str">
        <f>IFERROR(__xludf.DUMMYFUNCTION("""COMPUTED_VALUE"""),"IP20")</f>
        <v>IP20</v>
      </c>
      <c r="AE806" s="97" t="str">
        <f>IFERROR(__xludf.DUMMYFUNCTION("""COMPUTED_VALUE"""),"Clase l")</f>
        <v>Clase l</v>
      </c>
      <c r="AF806" s="97" t="str">
        <f>IFERROR(__xludf.DUMMYFUNCTION("""COMPUTED_VALUE"""),"N/A")</f>
        <v>N/A</v>
      </c>
      <c r="AG806" s="97" t="str">
        <f>IFERROR(__xludf.DUMMYFUNCTION("""COMPUTED_VALUE"""),"35 x 177 x 17")</f>
        <v>35 x 177 x 17</v>
      </c>
      <c r="AH806" s="97" t="str">
        <f>IFERROR(__xludf.DUMMYFUNCTION("""COMPUTED_VALUE"""),"N/A")</f>
        <v>N/A</v>
      </c>
      <c r="AI806" s="97" t="str">
        <f>IFERROR(__xludf.DUMMYFUNCTION("""COMPUTED_VALUE"""),"N/A")</f>
        <v>N/A</v>
      </c>
      <c r="AJ806" s="97" t="str">
        <f>IFERROR(__xludf.DUMMYFUNCTION("""COMPUTED_VALUE"""),"N/A")</f>
        <v>N/A</v>
      </c>
      <c r="AK806" s="97" t="str">
        <f>IFERROR(__xludf.DUMMYFUNCTION("""COMPUTED_VALUE"""),"Policarbonato (PC)")</f>
        <v>Policarbonato (PC)</v>
      </c>
      <c r="AL806" s="97" t="str">
        <f>IFERROR(__xludf.DUMMYFUNCTION("""COMPUTED_VALUE"""),"Negro Mate")</f>
        <v>Negro Mate</v>
      </c>
      <c r="AM806" s="97" t="str">
        <f>IFERROR(__xludf.DUMMYFUNCTION("""COMPUTED_VALUE"""),"-")</f>
        <v>-</v>
      </c>
      <c r="AN806" s="97" t="str">
        <f>IFERROR(__xludf.DUMMYFUNCTION("""COMPUTED_VALUE"""),"N/A")</f>
        <v>N/A</v>
      </c>
      <c r="AO806" s="97" t="str">
        <f>IFERROR(__xludf.DUMMYFUNCTION("""COMPUTED_VALUE"""),"3 Años")</f>
        <v>3 Años</v>
      </c>
      <c r="AP806" s="97" t="str">
        <f>IFERROR(__xludf.DUMMYFUNCTION("""COMPUTED_VALUE"""),"No Aplica")</f>
        <v>No Aplica</v>
      </c>
      <c r="AQ806" s="97" t="str">
        <f>IFERROR(__xludf.DUMMYFUNCTION("""COMPUTED_VALUE"""),"No Aplica")</f>
        <v>No Aplica</v>
      </c>
      <c r="AR806" s="97" t="str">
        <f>IFERROR(__xludf.DUMMYFUNCTION("""COMPUTED_VALUE"""),"No Aplica")</f>
        <v>No Aplica</v>
      </c>
      <c r="AS806" s="97"/>
      <c r="AT806" s="97"/>
      <c r="AU806" s="97" t="str">
        <f>IFERROR(__xludf.DUMMYFUNCTION("""COMPUTED_VALUE"""),"Falta")</f>
        <v>Falta</v>
      </c>
      <c r="AV806" s="97" t="str">
        <f>IFERROR(__xludf.DUMMYFUNCTION("""COMPUTED_VALUE"""),"Unión")</f>
        <v>Unión</v>
      </c>
      <c r="AW806" s="97" t="str">
        <f>IFERROR(__xludf.DUMMYFUNCTION("""COMPUTED_VALUE"""),"Rieles")</f>
        <v>Rieles</v>
      </c>
      <c r="AX806" s="97" t="str">
        <f>IFERROR(__xludf.DUMMYFUNCTION("""COMPUTED_VALUE"""),"Interior")</f>
        <v>Interior</v>
      </c>
      <c r="AY806" s="97" t="str">
        <f>IFERROR(__xludf.DUMMYFUNCTION("""COMPUTED_VALUE"""),"-")</f>
        <v>-</v>
      </c>
      <c r="AZ806" s="97" t="str">
        <f>IFERROR(__xludf.DUMMYFUNCTION("""COMPUTED_VALUE"""),"Soporta 10A. Con entrada de alimentación 220 V~.")</f>
        <v>Soporta 10A. Con entrada de alimentación 220 V~.</v>
      </c>
      <c r="BA806" s="97">
        <f>IFERROR(__xludf.DUMMYFUNCTION("""COMPUTED_VALUE"""),40.0)</f>
        <v>40</v>
      </c>
      <c r="BB806" s="97" t="str">
        <f>IFERROR(__xludf.DUMMYFUNCTION("""COMPUTED_VALUE"""),"-")</f>
        <v>-</v>
      </c>
      <c r="BC806" s="97" t="str">
        <f>IFERROR(__xludf.DUMMYFUNCTION("""COMPUTED_VALUE"""),"-")</f>
        <v>-</v>
      </c>
      <c r="BD806" s="97" t="str">
        <f>IFERROR(__xludf.DUMMYFUNCTION("""COMPUTED_VALUE"""),"RIELES 1EF")</f>
        <v>RIELES 1EF</v>
      </c>
      <c r="BE806" s="97" t="str">
        <f>IFERROR(__xludf.DUMMYFUNCTION("""COMPUTED_VALUE"""),"Finalizada")</f>
        <v>Finalizada</v>
      </c>
      <c r="BF806" s="97"/>
      <c r="BG806" s="97" t="str">
        <f>IFERROR(__xludf.DUMMYFUNCTION("""COMPUTED_VALUE"""),"Activo")</f>
        <v>Activo</v>
      </c>
    </row>
    <row r="807">
      <c r="A807" s="97">
        <f>IFERROR(__xludf.DUMMYFUNCTION("""COMPUTED_VALUE"""),6580.0)</f>
        <v>6580</v>
      </c>
      <c r="B807" s="97" t="str">
        <f>IFERROR(__xludf.DUMMYFUNCTION("""COMPUTED_VALUE"""),"UNION LINEAL 1EF BL")</f>
        <v>UNION LINEAL 1EF BL</v>
      </c>
      <c r="C807" s="97" t="str">
        <f>IFERROR(__xludf.DUMMYFUNCTION("""COMPUTED_VALUE"""),"UNIÓN UNION LINEAL 1EF BL LEUK")</f>
        <v>UNIÓN UNION LINEAL 1EF BL LEUK</v>
      </c>
      <c r="D807" s="97">
        <f>IFERROR(__xludf.DUMMYFUNCTION("""COMPUTED_VALUE"""),7.798413220377E12)</f>
        <v>7798413220377</v>
      </c>
      <c r="E807" s="97"/>
      <c r="F807" s="97" t="str">
        <f>IFERROR(__xludf.DUMMYFUNCTION("""COMPUTED_VALUE"""),"N/A")</f>
        <v>N/A</v>
      </c>
      <c r="G807" s="97" t="str">
        <f>IFERROR(__xludf.DUMMYFUNCTION("""COMPUTED_VALUE"""),"N/A")</f>
        <v>N/A</v>
      </c>
      <c r="H807" s="97" t="str">
        <f>IFERROR(__xludf.DUMMYFUNCTION("""COMPUTED_VALUE"""),"N/A")</f>
        <v>N/A</v>
      </c>
      <c r="I807" s="97" t="str">
        <f>IFERROR(__xludf.DUMMYFUNCTION("""COMPUTED_VALUE"""),"N/A")</f>
        <v>N/A</v>
      </c>
      <c r="J807" s="97" t="str">
        <f>IFERROR(__xludf.DUMMYFUNCTION("""COMPUTED_VALUE"""),"N/A")</f>
        <v>N/A</v>
      </c>
      <c r="K807" s="97" t="str">
        <f>IFERROR(__xludf.DUMMYFUNCTION("""COMPUTED_VALUE"""),"N/A")</f>
        <v>N/A</v>
      </c>
      <c r="L807" s="97">
        <f>IFERROR(__xludf.DUMMYFUNCTION("""COMPUTED_VALUE"""),220.0)</f>
        <v>220</v>
      </c>
      <c r="M807" s="97">
        <f>IFERROR(__xludf.DUMMYFUNCTION("""COMPUTED_VALUE"""),50.0)</f>
        <v>50</v>
      </c>
      <c r="N807" s="97" t="str">
        <f>IFERROR(__xludf.DUMMYFUNCTION("""COMPUTED_VALUE"""),"N/A")</f>
        <v>N/A</v>
      </c>
      <c r="O807" s="97" t="str">
        <f>IFERROR(__xludf.DUMMYFUNCTION("""COMPUTED_VALUE"""),"-")</f>
        <v>-</v>
      </c>
      <c r="P807" s="97"/>
      <c r="Q807" s="97" t="str">
        <f>IFERROR(__xludf.DUMMYFUNCTION("""COMPUTED_VALUE"""),"-")</f>
        <v>-</v>
      </c>
      <c r="R807" s="97" t="str">
        <f>IFERROR(__xludf.DUMMYFUNCTION("""COMPUTED_VALUE"""),"-")</f>
        <v>-</v>
      </c>
      <c r="S807" s="97" t="str">
        <f>IFERROR(__xludf.DUMMYFUNCTION("""COMPUTED_VALUE"""),"-")</f>
        <v>-</v>
      </c>
      <c r="T807" s="97" t="str">
        <f>IFERROR(__xludf.DUMMYFUNCTION("""COMPUTED_VALUE"""),"-")</f>
        <v>-</v>
      </c>
      <c r="U807" s="97" t="str">
        <f>IFERROR(__xludf.DUMMYFUNCTION("""COMPUTED_VALUE"""),"-")</f>
        <v>-</v>
      </c>
      <c r="V807" s="97" t="str">
        <f>IFERROR(__xludf.DUMMYFUNCTION("""COMPUTED_VALUE"""),"N/A")</f>
        <v>N/A</v>
      </c>
      <c r="W807" s="97" t="str">
        <f>IFERROR(__xludf.DUMMYFUNCTION("""COMPUTED_VALUE"""),"N/A")</f>
        <v>N/A</v>
      </c>
      <c r="X807" s="97" t="str">
        <f>IFERROR(__xludf.DUMMYFUNCTION("""COMPUTED_VALUE"""),"-")</f>
        <v>-</v>
      </c>
      <c r="Y807" s="97" t="str">
        <f>IFERROR(__xludf.DUMMYFUNCTION("""COMPUTED_VALUE"""),"N/A")</f>
        <v>N/A</v>
      </c>
      <c r="Z807" s="97" t="str">
        <f>IFERROR(__xludf.DUMMYFUNCTION("""COMPUTED_VALUE"""),"N/A")</f>
        <v>N/A</v>
      </c>
      <c r="AA807" s="97" t="str">
        <f>IFERROR(__xludf.DUMMYFUNCTION("""COMPUTED_VALUE"""),"N/A")</f>
        <v>N/A</v>
      </c>
      <c r="AB807" s="97" t="str">
        <f>IFERROR(__xludf.DUMMYFUNCTION("""COMPUTED_VALUE"""),"N/A")</f>
        <v>N/A</v>
      </c>
      <c r="AC807" s="97" t="str">
        <f>IFERROR(__xludf.DUMMYFUNCTION("""COMPUTED_VALUE"""),"N/A")</f>
        <v>N/A</v>
      </c>
      <c r="AD807" s="97" t="str">
        <f>IFERROR(__xludf.DUMMYFUNCTION("""COMPUTED_VALUE"""),"IP20")</f>
        <v>IP20</v>
      </c>
      <c r="AE807" s="97" t="str">
        <f>IFERROR(__xludf.DUMMYFUNCTION("""COMPUTED_VALUE"""),"Clase l")</f>
        <v>Clase l</v>
      </c>
      <c r="AF807" s="97" t="str">
        <f>IFERROR(__xludf.DUMMYFUNCTION("""COMPUTED_VALUE"""),"N/A")</f>
        <v>N/A</v>
      </c>
      <c r="AG807" s="97" t="str">
        <f>IFERROR(__xludf.DUMMYFUNCTION("""COMPUTED_VALUE"""),"35 x 79 x 17")</f>
        <v>35 x 79 x 17</v>
      </c>
      <c r="AH807" s="97" t="str">
        <f>IFERROR(__xludf.DUMMYFUNCTION("""COMPUTED_VALUE"""),"N/A")</f>
        <v>N/A</v>
      </c>
      <c r="AI807" s="97" t="str">
        <f>IFERROR(__xludf.DUMMYFUNCTION("""COMPUTED_VALUE"""),"N/A")</f>
        <v>N/A</v>
      </c>
      <c r="AJ807" s="97" t="str">
        <f>IFERROR(__xludf.DUMMYFUNCTION("""COMPUTED_VALUE"""),"N/A")</f>
        <v>N/A</v>
      </c>
      <c r="AK807" s="97" t="str">
        <f>IFERROR(__xludf.DUMMYFUNCTION("""COMPUTED_VALUE"""),"Policarbonato (PC)")</f>
        <v>Policarbonato (PC)</v>
      </c>
      <c r="AL807" s="97" t="str">
        <f>IFERROR(__xludf.DUMMYFUNCTION("""COMPUTED_VALUE"""),"Blanco Mate")</f>
        <v>Blanco Mate</v>
      </c>
      <c r="AM807" s="97" t="str">
        <f>IFERROR(__xludf.DUMMYFUNCTION("""COMPUTED_VALUE"""),"-")</f>
        <v>-</v>
      </c>
      <c r="AN807" s="97" t="str">
        <f>IFERROR(__xludf.DUMMYFUNCTION("""COMPUTED_VALUE"""),"N/A")</f>
        <v>N/A</v>
      </c>
      <c r="AO807" s="97" t="str">
        <f>IFERROR(__xludf.DUMMYFUNCTION("""COMPUTED_VALUE"""),"3 Años")</f>
        <v>3 Años</v>
      </c>
      <c r="AP807" s="97" t="str">
        <f>IFERROR(__xludf.DUMMYFUNCTION("""COMPUTED_VALUE"""),"No Aplica")</f>
        <v>No Aplica</v>
      </c>
      <c r="AQ807" s="97" t="str">
        <f>IFERROR(__xludf.DUMMYFUNCTION("""COMPUTED_VALUE"""),"No Aplica")</f>
        <v>No Aplica</v>
      </c>
      <c r="AR807" s="97" t="str">
        <f>IFERROR(__xludf.DUMMYFUNCTION("""COMPUTED_VALUE"""),"No Aplica")</f>
        <v>No Aplica</v>
      </c>
      <c r="AS807" s="97"/>
      <c r="AT807" s="97"/>
      <c r="AU807" s="97" t="str">
        <f>IFERROR(__xludf.DUMMYFUNCTION("""COMPUTED_VALUE"""),"Falta")</f>
        <v>Falta</v>
      </c>
      <c r="AV807" s="97" t="str">
        <f>IFERROR(__xludf.DUMMYFUNCTION("""COMPUTED_VALUE"""),"Unión")</f>
        <v>Unión</v>
      </c>
      <c r="AW807" s="97" t="str">
        <f>IFERROR(__xludf.DUMMYFUNCTION("""COMPUTED_VALUE"""),"Rieles")</f>
        <v>Rieles</v>
      </c>
      <c r="AX807" s="97" t="str">
        <f>IFERROR(__xludf.DUMMYFUNCTION("""COMPUTED_VALUE"""),"Interior")</f>
        <v>Interior</v>
      </c>
      <c r="AY807" s="97" t="str">
        <f>IFERROR(__xludf.DUMMYFUNCTION("""COMPUTED_VALUE"""),"-")</f>
        <v>-</v>
      </c>
      <c r="AZ807" s="97" t="str">
        <f>IFERROR(__xludf.DUMMYFUNCTION("""COMPUTED_VALUE"""),"Soporta 10A")</f>
        <v>Soporta 10A</v>
      </c>
      <c r="BA807" s="97">
        <f>IFERROR(__xludf.DUMMYFUNCTION("""COMPUTED_VALUE"""),150.0)</f>
        <v>150</v>
      </c>
      <c r="BB807" s="97" t="str">
        <f>IFERROR(__xludf.DUMMYFUNCTION("""COMPUTED_VALUE"""),"-")</f>
        <v>-</v>
      </c>
      <c r="BC807" s="97" t="str">
        <f>IFERROR(__xludf.DUMMYFUNCTION("""COMPUTED_VALUE"""),"-")</f>
        <v>-</v>
      </c>
      <c r="BD807" s="97" t="str">
        <f>IFERROR(__xludf.DUMMYFUNCTION("""COMPUTED_VALUE"""),"RIELES 1EF")</f>
        <v>RIELES 1EF</v>
      </c>
      <c r="BE807" s="97" t="str">
        <f>IFERROR(__xludf.DUMMYFUNCTION("""COMPUTED_VALUE"""),"Finalizada")</f>
        <v>Finalizada</v>
      </c>
      <c r="BF807" s="97"/>
      <c r="BG807" s="97" t="str">
        <f>IFERROR(__xludf.DUMMYFUNCTION("""COMPUTED_VALUE"""),"Activo")</f>
        <v>Activo</v>
      </c>
    </row>
    <row r="808">
      <c r="A808" s="97">
        <f>IFERROR(__xludf.DUMMYFUNCTION("""COMPUTED_VALUE"""),6581.0)</f>
        <v>6581</v>
      </c>
      <c r="B808" s="97" t="str">
        <f>IFERROR(__xludf.DUMMYFUNCTION("""COMPUTED_VALUE"""),"UNION LINEAL 1EF NG")</f>
        <v>UNION LINEAL 1EF NG</v>
      </c>
      <c r="C808" s="97" t="str">
        <f>IFERROR(__xludf.DUMMYFUNCTION("""COMPUTED_VALUE"""),"UNIÓN UNION LINEAL 1EF NG LEUK")</f>
        <v>UNIÓN UNION LINEAL 1EF NG LEUK</v>
      </c>
      <c r="D808" s="97">
        <f>IFERROR(__xludf.DUMMYFUNCTION("""COMPUTED_VALUE"""),7.79841322036E12)</f>
        <v>7798413220360</v>
      </c>
      <c r="E808" s="97"/>
      <c r="F808" s="97" t="str">
        <f>IFERROR(__xludf.DUMMYFUNCTION("""COMPUTED_VALUE"""),"N/A")</f>
        <v>N/A</v>
      </c>
      <c r="G808" s="97" t="str">
        <f>IFERROR(__xludf.DUMMYFUNCTION("""COMPUTED_VALUE"""),"N/A")</f>
        <v>N/A</v>
      </c>
      <c r="H808" s="97" t="str">
        <f>IFERROR(__xludf.DUMMYFUNCTION("""COMPUTED_VALUE"""),"N/A")</f>
        <v>N/A</v>
      </c>
      <c r="I808" s="97" t="str">
        <f>IFERROR(__xludf.DUMMYFUNCTION("""COMPUTED_VALUE"""),"N/A")</f>
        <v>N/A</v>
      </c>
      <c r="J808" s="97" t="str">
        <f>IFERROR(__xludf.DUMMYFUNCTION("""COMPUTED_VALUE"""),"N/A")</f>
        <v>N/A</v>
      </c>
      <c r="K808" s="97" t="str">
        <f>IFERROR(__xludf.DUMMYFUNCTION("""COMPUTED_VALUE"""),"N/A")</f>
        <v>N/A</v>
      </c>
      <c r="L808" s="97">
        <f>IFERROR(__xludf.DUMMYFUNCTION("""COMPUTED_VALUE"""),220.0)</f>
        <v>220</v>
      </c>
      <c r="M808" s="97">
        <f>IFERROR(__xludf.DUMMYFUNCTION("""COMPUTED_VALUE"""),50.0)</f>
        <v>50</v>
      </c>
      <c r="N808" s="97" t="str">
        <f>IFERROR(__xludf.DUMMYFUNCTION("""COMPUTED_VALUE"""),"N/A")</f>
        <v>N/A</v>
      </c>
      <c r="O808" s="97" t="str">
        <f>IFERROR(__xludf.DUMMYFUNCTION("""COMPUTED_VALUE"""),"-")</f>
        <v>-</v>
      </c>
      <c r="P808" s="97"/>
      <c r="Q808" s="97" t="str">
        <f>IFERROR(__xludf.DUMMYFUNCTION("""COMPUTED_VALUE"""),"-")</f>
        <v>-</v>
      </c>
      <c r="R808" s="97" t="str">
        <f>IFERROR(__xludf.DUMMYFUNCTION("""COMPUTED_VALUE"""),"-")</f>
        <v>-</v>
      </c>
      <c r="S808" s="97" t="str">
        <f>IFERROR(__xludf.DUMMYFUNCTION("""COMPUTED_VALUE"""),"-")</f>
        <v>-</v>
      </c>
      <c r="T808" s="97" t="str">
        <f>IFERROR(__xludf.DUMMYFUNCTION("""COMPUTED_VALUE"""),"-")</f>
        <v>-</v>
      </c>
      <c r="U808" s="97" t="str">
        <f>IFERROR(__xludf.DUMMYFUNCTION("""COMPUTED_VALUE"""),"-")</f>
        <v>-</v>
      </c>
      <c r="V808" s="97" t="str">
        <f>IFERROR(__xludf.DUMMYFUNCTION("""COMPUTED_VALUE"""),"N/A")</f>
        <v>N/A</v>
      </c>
      <c r="W808" s="97" t="str">
        <f>IFERROR(__xludf.DUMMYFUNCTION("""COMPUTED_VALUE"""),"N/A")</f>
        <v>N/A</v>
      </c>
      <c r="X808" s="97" t="str">
        <f>IFERROR(__xludf.DUMMYFUNCTION("""COMPUTED_VALUE"""),"-")</f>
        <v>-</v>
      </c>
      <c r="Y808" s="97" t="str">
        <f>IFERROR(__xludf.DUMMYFUNCTION("""COMPUTED_VALUE"""),"N/A")</f>
        <v>N/A</v>
      </c>
      <c r="Z808" s="97" t="str">
        <f>IFERROR(__xludf.DUMMYFUNCTION("""COMPUTED_VALUE"""),"N/A")</f>
        <v>N/A</v>
      </c>
      <c r="AA808" s="97" t="str">
        <f>IFERROR(__xludf.DUMMYFUNCTION("""COMPUTED_VALUE"""),"N/A")</f>
        <v>N/A</v>
      </c>
      <c r="AB808" s="97" t="str">
        <f>IFERROR(__xludf.DUMMYFUNCTION("""COMPUTED_VALUE"""),"N/A")</f>
        <v>N/A</v>
      </c>
      <c r="AC808" s="97" t="str">
        <f>IFERROR(__xludf.DUMMYFUNCTION("""COMPUTED_VALUE"""),"N/A")</f>
        <v>N/A</v>
      </c>
      <c r="AD808" s="97" t="str">
        <f>IFERROR(__xludf.DUMMYFUNCTION("""COMPUTED_VALUE"""),"IP20")</f>
        <v>IP20</v>
      </c>
      <c r="AE808" s="97" t="str">
        <f>IFERROR(__xludf.DUMMYFUNCTION("""COMPUTED_VALUE"""),"Clase l")</f>
        <v>Clase l</v>
      </c>
      <c r="AF808" s="97" t="str">
        <f>IFERROR(__xludf.DUMMYFUNCTION("""COMPUTED_VALUE"""),"N/A")</f>
        <v>N/A</v>
      </c>
      <c r="AG808" s="97" t="str">
        <f>IFERROR(__xludf.DUMMYFUNCTION("""COMPUTED_VALUE"""),"35 x 79 x 17")</f>
        <v>35 x 79 x 17</v>
      </c>
      <c r="AH808" s="97" t="str">
        <f>IFERROR(__xludf.DUMMYFUNCTION("""COMPUTED_VALUE"""),"N/A")</f>
        <v>N/A</v>
      </c>
      <c r="AI808" s="97" t="str">
        <f>IFERROR(__xludf.DUMMYFUNCTION("""COMPUTED_VALUE"""),"N/A")</f>
        <v>N/A</v>
      </c>
      <c r="AJ808" s="97" t="str">
        <f>IFERROR(__xludf.DUMMYFUNCTION("""COMPUTED_VALUE"""),"N/A")</f>
        <v>N/A</v>
      </c>
      <c r="AK808" s="97" t="str">
        <f>IFERROR(__xludf.DUMMYFUNCTION("""COMPUTED_VALUE"""),"Policarbonato (PC)")</f>
        <v>Policarbonato (PC)</v>
      </c>
      <c r="AL808" s="97" t="str">
        <f>IFERROR(__xludf.DUMMYFUNCTION("""COMPUTED_VALUE"""),"Negro Mate")</f>
        <v>Negro Mate</v>
      </c>
      <c r="AM808" s="97" t="str">
        <f>IFERROR(__xludf.DUMMYFUNCTION("""COMPUTED_VALUE"""),"-")</f>
        <v>-</v>
      </c>
      <c r="AN808" s="97" t="str">
        <f>IFERROR(__xludf.DUMMYFUNCTION("""COMPUTED_VALUE"""),"N/A")</f>
        <v>N/A</v>
      </c>
      <c r="AO808" s="97" t="str">
        <f>IFERROR(__xludf.DUMMYFUNCTION("""COMPUTED_VALUE"""),"3 Años")</f>
        <v>3 Años</v>
      </c>
      <c r="AP808" s="97" t="str">
        <f>IFERROR(__xludf.DUMMYFUNCTION("""COMPUTED_VALUE"""),"No Aplica")</f>
        <v>No Aplica</v>
      </c>
      <c r="AQ808" s="97" t="str">
        <f>IFERROR(__xludf.DUMMYFUNCTION("""COMPUTED_VALUE"""),"No Aplica")</f>
        <v>No Aplica</v>
      </c>
      <c r="AR808" s="97" t="str">
        <f>IFERROR(__xludf.DUMMYFUNCTION("""COMPUTED_VALUE"""),"No Aplica")</f>
        <v>No Aplica</v>
      </c>
      <c r="AS808" s="97"/>
      <c r="AT808" s="97"/>
      <c r="AU808" s="97" t="str">
        <f>IFERROR(__xludf.DUMMYFUNCTION("""COMPUTED_VALUE"""),"Falta")</f>
        <v>Falta</v>
      </c>
      <c r="AV808" s="97" t="str">
        <f>IFERROR(__xludf.DUMMYFUNCTION("""COMPUTED_VALUE"""),"Unión")</f>
        <v>Unión</v>
      </c>
      <c r="AW808" s="97" t="str">
        <f>IFERROR(__xludf.DUMMYFUNCTION("""COMPUTED_VALUE"""),"Rieles")</f>
        <v>Rieles</v>
      </c>
      <c r="AX808" s="97" t="str">
        <f>IFERROR(__xludf.DUMMYFUNCTION("""COMPUTED_VALUE"""),"Interior")</f>
        <v>Interior</v>
      </c>
      <c r="AY808" s="97" t="str">
        <f>IFERROR(__xludf.DUMMYFUNCTION("""COMPUTED_VALUE"""),"-")</f>
        <v>-</v>
      </c>
      <c r="AZ808" s="97" t="str">
        <f>IFERROR(__xludf.DUMMYFUNCTION("""COMPUTED_VALUE"""),"Soporta 10A")</f>
        <v>Soporta 10A</v>
      </c>
      <c r="BA808" s="97">
        <f>IFERROR(__xludf.DUMMYFUNCTION("""COMPUTED_VALUE"""),120.0)</f>
        <v>120</v>
      </c>
      <c r="BB808" s="97" t="str">
        <f>IFERROR(__xludf.DUMMYFUNCTION("""COMPUTED_VALUE"""),"-")</f>
        <v>-</v>
      </c>
      <c r="BC808" s="97" t="str">
        <f>IFERROR(__xludf.DUMMYFUNCTION("""COMPUTED_VALUE"""),"-")</f>
        <v>-</v>
      </c>
      <c r="BD808" s="97" t="str">
        <f>IFERROR(__xludf.DUMMYFUNCTION("""COMPUTED_VALUE"""),"RIELES 1EF")</f>
        <v>RIELES 1EF</v>
      </c>
      <c r="BE808" s="97" t="str">
        <f>IFERROR(__xludf.DUMMYFUNCTION("""COMPUTED_VALUE"""),"Finalizada")</f>
        <v>Finalizada</v>
      </c>
      <c r="BF808" s="97"/>
      <c r="BG808" s="97" t="str">
        <f>IFERROR(__xludf.DUMMYFUNCTION("""COMPUTED_VALUE"""),"Activo")</f>
        <v>Activo</v>
      </c>
    </row>
    <row r="809">
      <c r="A809" s="97">
        <f>IFERROR(__xludf.DUMMYFUNCTION("""COMPUTED_VALUE"""),6582.0)</f>
        <v>6582</v>
      </c>
      <c r="B809" s="97" t="str">
        <f>IFERROR(__xludf.DUMMYFUNCTION("""COMPUTED_VALUE"""),"RIEL 3MTS 1EF BL")</f>
        <v>RIEL 3MTS 1EF BL</v>
      </c>
      <c r="C809" s="97" t="str">
        <f>IFERROR(__xludf.DUMMYFUNCTION("""COMPUTED_VALUE"""),"RIEL RIEL 3MTS 1EF BL LEUK")</f>
        <v>RIEL RIEL 3MTS 1EF BL LEUK</v>
      </c>
      <c r="D809" s="97">
        <f>IFERROR(__xludf.DUMMYFUNCTION("""COMPUTED_VALUE"""),7.798413220353E12)</f>
        <v>7798413220353</v>
      </c>
      <c r="E809" s="97"/>
      <c r="F809" s="97" t="str">
        <f>IFERROR(__xludf.DUMMYFUNCTION("""COMPUTED_VALUE"""),"N/A")</f>
        <v>N/A</v>
      </c>
      <c r="G809" s="97" t="str">
        <f>IFERROR(__xludf.DUMMYFUNCTION("""COMPUTED_VALUE"""),"N/A")</f>
        <v>N/A</v>
      </c>
      <c r="H809" s="97" t="str">
        <f>IFERROR(__xludf.DUMMYFUNCTION("""COMPUTED_VALUE"""),"N/A")</f>
        <v>N/A</v>
      </c>
      <c r="I809" s="97" t="str">
        <f>IFERROR(__xludf.DUMMYFUNCTION("""COMPUTED_VALUE"""),"N/A")</f>
        <v>N/A</v>
      </c>
      <c r="J809" s="97" t="str">
        <f>IFERROR(__xludf.DUMMYFUNCTION("""COMPUTED_VALUE"""),"N/A")</f>
        <v>N/A</v>
      </c>
      <c r="K809" s="97" t="str">
        <f>IFERROR(__xludf.DUMMYFUNCTION("""COMPUTED_VALUE"""),"N/A")</f>
        <v>N/A</v>
      </c>
      <c r="L809" s="97">
        <f>IFERROR(__xludf.DUMMYFUNCTION("""COMPUTED_VALUE"""),220.0)</f>
        <v>220</v>
      </c>
      <c r="M809" s="97">
        <f>IFERROR(__xludf.DUMMYFUNCTION("""COMPUTED_VALUE"""),50.0)</f>
        <v>50</v>
      </c>
      <c r="N809" s="97" t="str">
        <f>IFERROR(__xludf.DUMMYFUNCTION("""COMPUTED_VALUE"""),"N/A")</f>
        <v>N/A</v>
      </c>
      <c r="O809" s="97" t="str">
        <f>IFERROR(__xludf.DUMMYFUNCTION("""COMPUTED_VALUE"""),"-")</f>
        <v>-</v>
      </c>
      <c r="P809" s="97"/>
      <c r="Q809" s="97" t="str">
        <f>IFERROR(__xludf.DUMMYFUNCTION("""COMPUTED_VALUE"""),"-")</f>
        <v>-</v>
      </c>
      <c r="R809" s="97" t="str">
        <f>IFERROR(__xludf.DUMMYFUNCTION("""COMPUTED_VALUE"""),"-")</f>
        <v>-</v>
      </c>
      <c r="S809" s="97" t="str">
        <f>IFERROR(__xludf.DUMMYFUNCTION("""COMPUTED_VALUE"""),"-")</f>
        <v>-</v>
      </c>
      <c r="T809" s="97" t="str">
        <f>IFERROR(__xludf.DUMMYFUNCTION("""COMPUTED_VALUE"""),"-")</f>
        <v>-</v>
      </c>
      <c r="U809" s="97" t="str">
        <f>IFERROR(__xludf.DUMMYFUNCTION("""COMPUTED_VALUE"""),"-")</f>
        <v>-</v>
      </c>
      <c r="V809" s="97" t="str">
        <f>IFERROR(__xludf.DUMMYFUNCTION("""COMPUTED_VALUE"""),"N/A")</f>
        <v>N/A</v>
      </c>
      <c r="W809" s="97" t="str">
        <f>IFERROR(__xludf.DUMMYFUNCTION("""COMPUTED_VALUE"""),"N/A")</f>
        <v>N/A</v>
      </c>
      <c r="X809" s="97" t="str">
        <f>IFERROR(__xludf.DUMMYFUNCTION("""COMPUTED_VALUE"""),"-")</f>
        <v>-</v>
      </c>
      <c r="Y809" s="97" t="str">
        <f>IFERROR(__xludf.DUMMYFUNCTION("""COMPUTED_VALUE"""),"N/A")</f>
        <v>N/A</v>
      </c>
      <c r="Z809" s="97" t="str">
        <f>IFERROR(__xludf.DUMMYFUNCTION("""COMPUTED_VALUE"""),"N/A")</f>
        <v>N/A</v>
      </c>
      <c r="AA809" s="97" t="str">
        <f>IFERROR(__xludf.DUMMYFUNCTION("""COMPUTED_VALUE"""),"N/A")</f>
        <v>N/A</v>
      </c>
      <c r="AB809" s="97" t="str">
        <f>IFERROR(__xludf.DUMMYFUNCTION("""COMPUTED_VALUE"""),"N/A")</f>
        <v>N/A</v>
      </c>
      <c r="AC809" s="97" t="str">
        <f>IFERROR(__xludf.DUMMYFUNCTION("""COMPUTED_VALUE"""),"N/A")</f>
        <v>N/A</v>
      </c>
      <c r="AD809" s="97" t="str">
        <f>IFERROR(__xludf.DUMMYFUNCTION("""COMPUTED_VALUE"""),"IP20")</f>
        <v>IP20</v>
      </c>
      <c r="AE809" s="97" t="str">
        <f>IFERROR(__xludf.DUMMYFUNCTION("""COMPUTED_VALUE"""),"Clase l")</f>
        <v>Clase l</v>
      </c>
      <c r="AF809" s="97" t="str">
        <f>IFERROR(__xludf.DUMMYFUNCTION("""COMPUTED_VALUE"""),"Embutir, Aplicar, Suspender")</f>
        <v>Embutir, Aplicar, Suspender</v>
      </c>
      <c r="AG809" s="97" t="str">
        <f>IFERROR(__xludf.DUMMYFUNCTION("""COMPUTED_VALUE"""),"34 x 17 x 3000 (Ancho x Alto x Largo)")</f>
        <v>34 x 17 x 3000 (Ancho x Alto x Largo)</v>
      </c>
      <c r="AH809" s="97" t="str">
        <f>IFERROR(__xludf.DUMMYFUNCTION("""COMPUTED_VALUE"""),"N/A")</f>
        <v>N/A</v>
      </c>
      <c r="AI809" s="97" t="str">
        <f>IFERROR(__xludf.DUMMYFUNCTION("""COMPUTED_VALUE"""),"N/A")</f>
        <v>N/A</v>
      </c>
      <c r="AJ809" s="97" t="str">
        <f>IFERROR(__xludf.DUMMYFUNCTION("""COMPUTED_VALUE"""),"N/A")</f>
        <v>N/A</v>
      </c>
      <c r="AK809" s="97" t="str">
        <f>IFERROR(__xludf.DUMMYFUNCTION("""COMPUTED_VALUE"""),"Aluminio")</f>
        <v>Aluminio</v>
      </c>
      <c r="AL809" s="97" t="str">
        <f>IFERROR(__xludf.DUMMYFUNCTION("""COMPUTED_VALUE"""),"Blanco Brillante")</f>
        <v>Blanco Brillante</v>
      </c>
      <c r="AM809" s="97" t="str">
        <f>IFERROR(__xludf.DUMMYFUNCTION("""COMPUTED_VALUE"""),"-")</f>
        <v>-</v>
      </c>
      <c r="AN809" s="97" t="str">
        <f>IFERROR(__xludf.DUMMYFUNCTION("""COMPUTED_VALUE"""),"N/A")</f>
        <v>N/A</v>
      </c>
      <c r="AO809" s="97" t="str">
        <f>IFERROR(__xludf.DUMMYFUNCTION("""COMPUTED_VALUE"""),"3 Años")</f>
        <v>3 Años</v>
      </c>
      <c r="AP809" s="97" t="str">
        <f>IFERROR(__xludf.DUMMYFUNCTION("""COMPUTED_VALUE"""),"No Aplica")</f>
        <v>No Aplica</v>
      </c>
      <c r="AQ809" s="97" t="str">
        <f>IFERROR(__xludf.DUMMYFUNCTION("""COMPUTED_VALUE"""),"No Aplica")</f>
        <v>No Aplica</v>
      </c>
      <c r="AR809" s="97" t="str">
        <f>IFERROR(__xludf.DUMMYFUNCTION("""COMPUTED_VALUE"""),"No Aplica")</f>
        <v>No Aplica</v>
      </c>
      <c r="AS809" s="97"/>
      <c r="AT809" s="97"/>
      <c r="AU809" s="97" t="str">
        <f>IFERROR(__xludf.DUMMYFUNCTION("""COMPUTED_VALUE"""),"Falta")</f>
        <v>Falta</v>
      </c>
      <c r="AV809" s="97" t="str">
        <f>IFERROR(__xludf.DUMMYFUNCTION("""COMPUTED_VALUE"""),"Riel")</f>
        <v>Riel</v>
      </c>
      <c r="AW809" s="97" t="str">
        <f>IFERROR(__xludf.DUMMYFUNCTION("""COMPUTED_VALUE"""),"Rieles")</f>
        <v>Rieles</v>
      </c>
      <c r="AX809" s="97" t="str">
        <f>IFERROR(__xludf.DUMMYFUNCTION("""COMPUTED_VALUE"""),"Interior")</f>
        <v>Interior</v>
      </c>
      <c r="AY809" s="97" t="str">
        <f>IFERROR(__xludf.DUMMYFUNCTION("""COMPUTED_VALUE"""),"-")</f>
        <v>-</v>
      </c>
      <c r="AZ809" s="97" t="str">
        <f>IFERROR(__xludf.DUMMYFUNCTION("""COMPUTED_VALUE"""),"Soporta 10A. Incluye tapas extremas.")</f>
        <v>Soporta 10A. Incluye tapas extremas.</v>
      </c>
      <c r="BA809" s="97">
        <f>IFERROR(__xludf.DUMMYFUNCTION("""COMPUTED_VALUE"""),20.0)</f>
        <v>20</v>
      </c>
      <c r="BB809" s="97" t="str">
        <f>IFERROR(__xludf.DUMMYFUNCTION("""COMPUTED_VALUE"""),"-")</f>
        <v>-</v>
      </c>
      <c r="BC809" s="97" t="str">
        <f>IFERROR(__xludf.DUMMYFUNCTION("""COMPUTED_VALUE"""),"-")</f>
        <v>-</v>
      </c>
      <c r="BD809" s="97" t="str">
        <f>IFERROR(__xludf.DUMMYFUNCTION("""COMPUTED_VALUE"""),"RIELES 1EF")</f>
        <v>RIELES 1EF</v>
      </c>
      <c r="BE809" s="97" t="str">
        <f>IFERROR(__xludf.DUMMYFUNCTION("""COMPUTED_VALUE"""),"Finalizada")</f>
        <v>Finalizada</v>
      </c>
      <c r="BF809" s="97"/>
      <c r="BG809" s="97" t="str">
        <f>IFERROR(__xludf.DUMMYFUNCTION("""COMPUTED_VALUE"""),"Activo")</f>
        <v>Activo</v>
      </c>
    </row>
    <row r="810">
      <c r="A810" s="97">
        <f>IFERROR(__xludf.DUMMYFUNCTION("""COMPUTED_VALUE"""),6583.0)</f>
        <v>6583</v>
      </c>
      <c r="B810" s="97" t="str">
        <f>IFERROR(__xludf.DUMMYFUNCTION("""COMPUTED_VALUE"""),"RIEL 3MTS 1EF NG")</f>
        <v>RIEL 3MTS 1EF NG</v>
      </c>
      <c r="C810" s="97" t="str">
        <f>IFERROR(__xludf.DUMMYFUNCTION("""COMPUTED_VALUE"""),"RIEL RIEL 3MTS 1EF NG LEUK")</f>
        <v>RIEL RIEL 3MTS 1EF NG LEUK</v>
      </c>
      <c r="D810" s="97">
        <f>IFERROR(__xludf.DUMMYFUNCTION("""COMPUTED_VALUE"""),7.798413220346E12)</f>
        <v>7798413220346</v>
      </c>
      <c r="E810" s="97"/>
      <c r="F810" s="97" t="str">
        <f>IFERROR(__xludf.DUMMYFUNCTION("""COMPUTED_VALUE"""),"N/A")</f>
        <v>N/A</v>
      </c>
      <c r="G810" s="97" t="str">
        <f>IFERROR(__xludf.DUMMYFUNCTION("""COMPUTED_VALUE"""),"N/A")</f>
        <v>N/A</v>
      </c>
      <c r="H810" s="97" t="str">
        <f>IFERROR(__xludf.DUMMYFUNCTION("""COMPUTED_VALUE"""),"N/A")</f>
        <v>N/A</v>
      </c>
      <c r="I810" s="97" t="str">
        <f>IFERROR(__xludf.DUMMYFUNCTION("""COMPUTED_VALUE"""),"N/A")</f>
        <v>N/A</v>
      </c>
      <c r="J810" s="97" t="str">
        <f>IFERROR(__xludf.DUMMYFUNCTION("""COMPUTED_VALUE"""),"N/A")</f>
        <v>N/A</v>
      </c>
      <c r="K810" s="97" t="str">
        <f>IFERROR(__xludf.DUMMYFUNCTION("""COMPUTED_VALUE"""),"N/A")</f>
        <v>N/A</v>
      </c>
      <c r="L810" s="97">
        <f>IFERROR(__xludf.DUMMYFUNCTION("""COMPUTED_VALUE"""),220.0)</f>
        <v>220</v>
      </c>
      <c r="M810" s="97">
        <f>IFERROR(__xludf.DUMMYFUNCTION("""COMPUTED_VALUE"""),50.0)</f>
        <v>50</v>
      </c>
      <c r="N810" s="97" t="str">
        <f>IFERROR(__xludf.DUMMYFUNCTION("""COMPUTED_VALUE"""),"N/A")</f>
        <v>N/A</v>
      </c>
      <c r="O810" s="97" t="str">
        <f>IFERROR(__xludf.DUMMYFUNCTION("""COMPUTED_VALUE"""),"-")</f>
        <v>-</v>
      </c>
      <c r="P810" s="97"/>
      <c r="Q810" s="97" t="str">
        <f>IFERROR(__xludf.DUMMYFUNCTION("""COMPUTED_VALUE"""),"-")</f>
        <v>-</v>
      </c>
      <c r="R810" s="97" t="str">
        <f>IFERROR(__xludf.DUMMYFUNCTION("""COMPUTED_VALUE"""),"-")</f>
        <v>-</v>
      </c>
      <c r="S810" s="97" t="str">
        <f>IFERROR(__xludf.DUMMYFUNCTION("""COMPUTED_VALUE"""),"-")</f>
        <v>-</v>
      </c>
      <c r="T810" s="97" t="str">
        <f>IFERROR(__xludf.DUMMYFUNCTION("""COMPUTED_VALUE"""),"-")</f>
        <v>-</v>
      </c>
      <c r="U810" s="97" t="str">
        <f>IFERROR(__xludf.DUMMYFUNCTION("""COMPUTED_VALUE"""),"-")</f>
        <v>-</v>
      </c>
      <c r="V810" s="97" t="str">
        <f>IFERROR(__xludf.DUMMYFUNCTION("""COMPUTED_VALUE"""),"N/A")</f>
        <v>N/A</v>
      </c>
      <c r="W810" s="97" t="str">
        <f>IFERROR(__xludf.DUMMYFUNCTION("""COMPUTED_VALUE"""),"N/A")</f>
        <v>N/A</v>
      </c>
      <c r="X810" s="97" t="str">
        <f>IFERROR(__xludf.DUMMYFUNCTION("""COMPUTED_VALUE"""),"-")</f>
        <v>-</v>
      </c>
      <c r="Y810" s="97" t="str">
        <f>IFERROR(__xludf.DUMMYFUNCTION("""COMPUTED_VALUE"""),"N/A")</f>
        <v>N/A</v>
      </c>
      <c r="Z810" s="97" t="str">
        <f>IFERROR(__xludf.DUMMYFUNCTION("""COMPUTED_VALUE"""),"N/A")</f>
        <v>N/A</v>
      </c>
      <c r="AA810" s="97" t="str">
        <f>IFERROR(__xludf.DUMMYFUNCTION("""COMPUTED_VALUE"""),"N/A")</f>
        <v>N/A</v>
      </c>
      <c r="AB810" s="97" t="str">
        <f>IFERROR(__xludf.DUMMYFUNCTION("""COMPUTED_VALUE"""),"N/A")</f>
        <v>N/A</v>
      </c>
      <c r="AC810" s="97" t="str">
        <f>IFERROR(__xludf.DUMMYFUNCTION("""COMPUTED_VALUE"""),"N/A")</f>
        <v>N/A</v>
      </c>
      <c r="AD810" s="97" t="str">
        <f>IFERROR(__xludf.DUMMYFUNCTION("""COMPUTED_VALUE"""),"IP20")</f>
        <v>IP20</v>
      </c>
      <c r="AE810" s="97" t="str">
        <f>IFERROR(__xludf.DUMMYFUNCTION("""COMPUTED_VALUE"""),"Clase l")</f>
        <v>Clase l</v>
      </c>
      <c r="AF810" s="97" t="str">
        <f>IFERROR(__xludf.DUMMYFUNCTION("""COMPUTED_VALUE"""),"Embutir, Aplicar, Suspender")</f>
        <v>Embutir, Aplicar, Suspender</v>
      </c>
      <c r="AG810" s="97" t="str">
        <f>IFERROR(__xludf.DUMMYFUNCTION("""COMPUTED_VALUE"""),"34 x 17 x 3000 (Ancho x Alto x Largo)")</f>
        <v>34 x 17 x 3000 (Ancho x Alto x Largo)</v>
      </c>
      <c r="AH810" s="97" t="str">
        <f>IFERROR(__xludf.DUMMYFUNCTION("""COMPUTED_VALUE"""),"N/A")</f>
        <v>N/A</v>
      </c>
      <c r="AI810" s="97" t="str">
        <f>IFERROR(__xludf.DUMMYFUNCTION("""COMPUTED_VALUE"""),"N/A")</f>
        <v>N/A</v>
      </c>
      <c r="AJ810" s="97" t="str">
        <f>IFERROR(__xludf.DUMMYFUNCTION("""COMPUTED_VALUE"""),"N/A")</f>
        <v>N/A</v>
      </c>
      <c r="AK810" s="97" t="str">
        <f>IFERROR(__xludf.DUMMYFUNCTION("""COMPUTED_VALUE"""),"Aluminio")</f>
        <v>Aluminio</v>
      </c>
      <c r="AL810" s="97" t="str">
        <f>IFERROR(__xludf.DUMMYFUNCTION("""COMPUTED_VALUE"""),"Negro Brillante")</f>
        <v>Negro Brillante</v>
      </c>
      <c r="AM810" s="97" t="str">
        <f>IFERROR(__xludf.DUMMYFUNCTION("""COMPUTED_VALUE"""),"-")</f>
        <v>-</v>
      </c>
      <c r="AN810" s="97" t="str">
        <f>IFERROR(__xludf.DUMMYFUNCTION("""COMPUTED_VALUE"""),"N/A")</f>
        <v>N/A</v>
      </c>
      <c r="AO810" s="97" t="str">
        <f>IFERROR(__xludf.DUMMYFUNCTION("""COMPUTED_VALUE"""),"3 Años")</f>
        <v>3 Años</v>
      </c>
      <c r="AP810" s="97" t="str">
        <f>IFERROR(__xludf.DUMMYFUNCTION("""COMPUTED_VALUE"""),"No Aplica")</f>
        <v>No Aplica</v>
      </c>
      <c r="AQ810" s="97" t="str">
        <f>IFERROR(__xludf.DUMMYFUNCTION("""COMPUTED_VALUE"""),"No Aplica")</f>
        <v>No Aplica</v>
      </c>
      <c r="AR810" s="97" t="str">
        <f>IFERROR(__xludf.DUMMYFUNCTION("""COMPUTED_VALUE"""),"No Aplica")</f>
        <v>No Aplica</v>
      </c>
      <c r="AS810" s="97"/>
      <c r="AT810" s="97"/>
      <c r="AU810" s="97" t="str">
        <f>IFERROR(__xludf.DUMMYFUNCTION("""COMPUTED_VALUE"""),"Falta")</f>
        <v>Falta</v>
      </c>
      <c r="AV810" s="97" t="str">
        <f>IFERROR(__xludf.DUMMYFUNCTION("""COMPUTED_VALUE"""),"Riel")</f>
        <v>Riel</v>
      </c>
      <c r="AW810" s="97" t="str">
        <f>IFERROR(__xludf.DUMMYFUNCTION("""COMPUTED_VALUE"""),"Rieles")</f>
        <v>Rieles</v>
      </c>
      <c r="AX810" s="97" t="str">
        <f>IFERROR(__xludf.DUMMYFUNCTION("""COMPUTED_VALUE"""),"Interior")</f>
        <v>Interior</v>
      </c>
      <c r="AY810" s="97" t="str">
        <f>IFERROR(__xludf.DUMMYFUNCTION("""COMPUTED_VALUE"""),"-")</f>
        <v>-</v>
      </c>
      <c r="AZ810" s="97" t="str">
        <f>IFERROR(__xludf.DUMMYFUNCTION("""COMPUTED_VALUE"""),"Soporta 10A. Incluye tapas extremas.")</f>
        <v>Soporta 10A. Incluye tapas extremas.</v>
      </c>
      <c r="BA810" s="97">
        <f>IFERROR(__xludf.DUMMYFUNCTION("""COMPUTED_VALUE"""),20.0)</f>
        <v>20</v>
      </c>
      <c r="BB810" s="97" t="str">
        <f>IFERROR(__xludf.DUMMYFUNCTION("""COMPUTED_VALUE"""),"-")</f>
        <v>-</v>
      </c>
      <c r="BC810" s="97" t="str">
        <f>IFERROR(__xludf.DUMMYFUNCTION("""COMPUTED_VALUE"""),"-")</f>
        <v>-</v>
      </c>
      <c r="BD810" s="97" t="str">
        <f>IFERROR(__xludf.DUMMYFUNCTION("""COMPUTED_VALUE"""),"RIELES 1EF")</f>
        <v>RIELES 1EF</v>
      </c>
      <c r="BE810" s="97" t="str">
        <f>IFERROR(__xludf.DUMMYFUNCTION("""COMPUTED_VALUE"""),"Finalizada")</f>
        <v>Finalizada</v>
      </c>
      <c r="BF810" s="97"/>
      <c r="BG810" s="97" t="str">
        <f>IFERROR(__xludf.DUMMYFUNCTION("""COMPUTED_VALUE"""),"Activo")</f>
        <v>Activo</v>
      </c>
    </row>
    <row r="811">
      <c r="A811" s="97">
        <f>IFERROR(__xludf.DUMMYFUNCTION("""COMPUTED_VALUE"""),6584.0)</f>
        <v>6584</v>
      </c>
      <c r="B811" s="97" t="str">
        <f>IFERROR(__xludf.DUMMYFUNCTION("""COMPUTED_VALUE"""),"RIEL 2MTS 1EF BL")</f>
        <v>RIEL 2MTS 1EF BL</v>
      </c>
      <c r="C811" s="97" t="str">
        <f>IFERROR(__xludf.DUMMYFUNCTION("""COMPUTED_VALUE"""),"RIEL RIEL 2MTS 1EF BL LEUK")</f>
        <v>RIEL RIEL 2MTS 1EF BL LEUK</v>
      </c>
      <c r="D811" s="97">
        <f>IFERROR(__xludf.DUMMYFUNCTION("""COMPUTED_VALUE"""),7.798413220339E12)</f>
        <v>7798413220339</v>
      </c>
      <c r="E811" s="97" t="str">
        <f>IFERROR(__xludf.DUMMYFUNCTION("""COMPUTED_VALUE"""),"H27")</f>
        <v>H27</v>
      </c>
      <c r="F811" s="97" t="str">
        <f>IFERROR(__xludf.DUMMYFUNCTION("""COMPUTED_VALUE"""),"N/A")</f>
        <v>N/A</v>
      </c>
      <c r="G811" s="97" t="str">
        <f>IFERROR(__xludf.DUMMYFUNCTION("""COMPUTED_VALUE"""),"N/A")</f>
        <v>N/A</v>
      </c>
      <c r="H811" s="97" t="str">
        <f>IFERROR(__xludf.DUMMYFUNCTION("""COMPUTED_VALUE"""),"N/A")</f>
        <v>N/A</v>
      </c>
      <c r="I811" s="97" t="str">
        <f>IFERROR(__xludf.DUMMYFUNCTION("""COMPUTED_VALUE"""),"N/A")</f>
        <v>N/A</v>
      </c>
      <c r="J811" s="97" t="str">
        <f>IFERROR(__xludf.DUMMYFUNCTION("""COMPUTED_VALUE"""),"N/A")</f>
        <v>N/A</v>
      </c>
      <c r="K811" s="97" t="str">
        <f>IFERROR(__xludf.DUMMYFUNCTION("""COMPUTED_VALUE"""),"N/A")</f>
        <v>N/A</v>
      </c>
      <c r="L811" s="97">
        <f>IFERROR(__xludf.DUMMYFUNCTION("""COMPUTED_VALUE"""),220.0)</f>
        <v>220</v>
      </c>
      <c r="M811" s="97">
        <f>IFERROR(__xludf.DUMMYFUNCTION("""COMPUTED_VALUE"""),50.0)</f>
        <v>50</v>
      </c>
      <c r="N811" s="97" t="str">
        <f>IFERROR(__xludf.DUMMYFUNCTION("""COMPUTED_VALUE"""),"N/A")</f>
        <v>N/A</v>
      </c>
      <c r="O811" s="97" t="str">
        <f>IFERROR(__xludf.DUMMYFUNCTION("""COMPUTED_VALUE"""),"-")</f>
        <v>-</v>
      </c>
      <c r="P811" s="97"/>
      <c r="Q811" s="97" t="str">
        <f>IFERROR(__xludf.DUMMYFUNCTION("""COMPUTED_VALUE"""),"-")</f>
        <v>-</v>
      </c>
      <c r="R811" s="97" t="str">
        <f>IFERROR(__xludf.DUMMYFUNCTION("""COMPUTED_VALUE"""),"-")</f>
        <v>-</v>
      </c>
      <c r="S811" s="97" t="str">
        <f>IFERROR(__xludf.DUMMYFUNCTION("""COMPUTED_VALUE"""),"-")</f>
        <v>-</v>
      </c>
      <c r="T811" s="97" t="str">
        <f>IFERROR(__xludf.DUMMYFUNCTION("""COMPUTED_VALUE"""),"-")</f>
        <v>-</v>
      </c>
      <c r="U811" s="97" t="str">
        <f>IFERROR(__xludf.DUMMYFUNCTION("""COMPUTED_VALUE"""),"-")</f>
        <v>-</v>
      </c>
      <c r="V811" s="97" t="str">
        <f>IFERROR(__xludf.DUMMYFUNCTION("""COMPUTED_VALUE"""),"N/A")</f>
        <v>N/A</v>
      </c>
      <c r="W811" s="97" t="str">
        <f>IFERROR(__xludf.DUMMYFUNCTION("""COMPUTED_VALUE"""),"N/A")</f>
        <v>N/A</v>
      </c>
      <c r="X811" s="97" t="str">
        <f>IFERROR(__xludf.DUMMYFUNCTION("""COMPUTED_VALUE"""),"-")</f>
        <v>-</v>
      </c>
      <c r="Y811" s="97" t="str">
        <f>IFERROR(__xludf.DUMMYFUNCTION("""COMPUTED_VALUE"""),"N/A")</f>
        <v>N/A</v>
      </c>
      <c r="Z811" s="97" t="str">
        <f>IFERROR(__xludf.DUMMYFUNCTION("""COMPUTED_VALUE"""),"N/A")</f>
        <v>N/A</v>
      </c>
      <c r="AA811" s="97" t="str">
        <f>IFERROR(__xludf.DUMMYFUNCTION("""COMPUTED_VALUE"""),"N/A")</f>
        <v>N/A</v>
      </c>
      <c r="AB811" s="97" t="str">
        <f>IFERROR(__xludf.DUMMYFUNCTION("""COMPUTED_VALUE"""),"N/A")</f>
        <v>N/A</v>
      </c>
      <c r="AC811" s="97" t="str">
        <f>IFERROR(__xludf.DUMMYFUNCTION("""COMPUTED_VALUE"""),"N/A")</f>
        <v>N/A</v>
      </c>
      <c r="AD811" s="97" t="str">
        <f>IFERROR(__xludf.DUMMYFUNCTION("""COMPUTED_VALUE"""),"IP20")</f>
        <v>IP20</v>
      </c>
      <c r="AE811" s="97" t="str">
        <f>IFERROR(__xludf.DUMMYFUNCTION("""COMPUTED_VALUE"""),"Clase l")</f>
        <v>Clase l</v>
      </c>
      <c r="AF811" s="97" t="str">
        <f>IFERROR(__xludf.DUMMYFUNCTION("""COMPUTED_VALUE"""),"Embutir, Aplicar, Suspender")</f>
        <v>Embutir, Aplicar, Suspender</v>
      </c>
      <c r="AG811" s="97" t="str">
        <f>IFERROR(__xludf.DUMMYFUNCTION("""COMPUTED_VALUE"""),"34 x 17 x 2000 (Ancho x Alto x Largo)")</f>
        <v>34 x 17 x 2000 (Ancho x Alto x Largo)</v>
      </c>
      <c r="AH811" s="97" t="str">
        <f>IFERROR(__xludf.DUMMYFUNCTION("""COMPUTED_VALUE"""),"N/A")</f>
        <v>N/A</v>
      </c>
      <c r="AI811" s="97" t="str">
        <f>IFERROR(__xludf.DUMMYFUNCTION("""COMPUTED_VALUE"""),"N/A")</f>
        <v>N/A</v>
      </c>
      <c r="AJ811" s="97" t="str">
        <f>IFERROR(__xludf.DUMMYFUNCTION("""COMPUTED_VALUE"""),"N/A")</f>
        <v>N/A</v>
      </c>
      <c r="AK811" s="97" t="str">
        <f>IFERROR(__xludf.DUMMYFUNCTION("""COMPUTED_VALUE"""),"Aluminio")</f>
        <v>Aluminio</v>
      </c>
      <c r="AL811" s="97" t="str">
        <f>IFERROR(__xludf.DUMMYFUNCTION("""COMPUTED_VALUE"""),"Blanco Brillante")</f>
        <v>Blanco Brillante</v>
      </c>
      <c r="AM811" s="97" t="str">
        <f>IFERROR(__xludf.DUMMYFUNCTION("""COMPUTED_VALUE"""),"-")</f>
        <v>-</v>
      </c>
      <c r="AN811" s="97" t="str">
        <f>IFERROR(__xludf.DUMMYFUNCTION("""COMPUTED_VALUE"""),"N/A")</f>
        <v>N/A</v>
      </c>
      <c r="AO811" s="97" t="str">
        <f>IFERROR(__xludf.DUMMYFUNCTION("""COMPUTED_VALUE"""),"3 Años")</f>
        <v>3 Años</v>
      </c>
      <c r="AP811" s="97" t="str">
        <f>IFERROR(__xludf.DUMMYFUNCTION("""COMPUTED_VALUE"""),"No Aplica")</f>
        <v>No Aplica</v>
      </c>
      <c r="AQ811" s="97" t="str">
        <f>IFERROR(__xludf.DUMMYFUNCTION("""COMPUTED_VALUE"""),"No Aplica")</f>
        <v>No Aplica</v>
      </c>
      <c r="AR811" s="97" t="str">
        <f>IFERROR(__xludf.DUMMYFUNCTION("""COMPUTED_VALUE"""),"No Aplica")</f>
        <v>No Aplica</v>
      </c>
      <c r="AS811" s="97"/>
      <c r="AT811" s="97"/>
      <c r="AU811" s="97" t="str">
        <f>IFERROR(__xludf.DUMMYFUNCTION("""COMPUTED_VALUE"""),"Falta")</f>
        <v>Falta</v>
      </c>
      <c r="AV811" s="97" t="str">
        <f>IFERROR(__xludf.DUMMYFUNCTION("""COMPUTED_VALUE"""),"Riel")</f>
        <v>Riel</v>
      </c>
      <c r="AW811" s="97" t="str">
        <f>IFERROR(__xludf.DUMMYFUNCTION("""COMPUTED_VALUE"""),"Rieles")</f>
        <v>Rieles</v>
      </c>
      <c r="AX811" s="97" t="str">
        <f>IFERROR(__xludf.DUMMYFUNCTION("""COMPUTED_VALUE"""),"Interior")</f>
        <v>Interior</v>
      </c>
      <c r="AY811" s="97" t="str">
        <f>IFERROR(__xludf.DUMMYFUNCTION("""COMPUTED_VALUE"""),"-")</f>
        <v>-</v>
      </c>
      <c r="AZ811" s="97" t="str">
        <f>IFERROR(__xludf.DUMMYFUNCTION("""COMPUTED_VALUE"""),"Soporta 10A. Incluye tapas extremas.")</f>
        <v>Soporta 10A. Incluye tapas extremas.</v>
      </c>
      <c r="BA811" s="97">
        <f>IFERROR(__xludf.DUMMYFUNCTION("""COMPUTED_VALUE"""),20.0)</f>
        <v>20</v>
      </c>
      <c r="BB811" s="97" t="str">
        <f>IFERROR(__xludf.DUMMYFUNCTION("""COMPUTED_VALUE"""),"-")</f>
        <v>-</v>
      </c>
      <c r="BC811" s="97" t="str">
        <f>IFERROR(__xludf.DUMMYFUNCTION("""COMPUTED_VALUE"""),"-")</f>
        <v>-</v>
      </c>
      <c r="BD811" s="97" t="str">
        <f>IFERROR(__xludf.DUMMYFUNCTION("""COMPUTED_VALUE"""),"RIELES 1EF")</f>
        <v>RIELES 1EF</v>
      </c>
      <c r="BE811" s="97" t="str">
        <f>IFERROR(__xludf.DUMMYFUNCTION("""COMPUTED_VALUE"""),"Finalizada")</f>
        <v>Finalizada</v>
      </c>
      <c r="BF811" s="97"/>
      <c r="BG811" s="97" t="str">
        <f>IFERROR(__xludf.DUMMYFUNCTION("""COMPUTED_VALUE"""),"Activo")</f>
        <v>Activo</v>
      </c>
    </row>
    <row r="812">
      <c r="A812" s="97">
        <f>IFERROR(__xludf.DUMMYFUNCTION("""COMPUTED_VALUE"""),6585.0)</f>
        <v>6585</v>
      </c>
      <c r="B812" s="97" t="str">
        <f>IFERROR(__xludf.DUMMYFUNCTION("""COMPUTED_VALUE"""),"RIEL 2MTS 1EF NG")</f>
        <v>RIEL 2MTS 1EF NG</v>
      </c>
      <c r="C812" s="97" t="str">
        <f>IFERROR(__xludf.DUMMYFUNCTION("""COMPUTED_VALUE"""),"RIEL RIEL 2MTS 1EF NG LEUK")</f>
        <v>RIEL RIEL 2MTS 1EF NG LEUK</v>
      </c>
      <c r="D812" s="97">
        <f>IFERROR(__xludf.DUMMYFUNCTION("""COMPUTED_VALUE"""),7.798413220322E12)</f>
        <v>7798413220322</v>
      </c>
      <c r="E812" s="97"/>
      <c r="F812" s="97" t="str">
        <f>IFERROR(__xludf.DUMMYFUNCTION("""COMPUTED_VALUE"""),"N/A")</f>
        <v>N/A</v>
      </c>
      <c r="G812" s="97" t="str">
        <f>IFERROR(__xludf.DUMMYFUNCTION("""COMPUTED_VALUE"""),"N/A")</f>
        <v>N/A</v>
      </c>
      <c r="H812" s="97" t="str">
        <f>IFERROR(__xludf.DUMMYFUNCTION("""COMPUTED_VALUE"""),"N/A")</f>
        <v>N/A</v>
      </c>
      <c r="I812" s="97" t="str">
        <f>IFERROR(__xludf.DUMMYFUNCTION("""COMPUTED_VALUE"""),"N/A")</f>
        <v>N/A</v>
      </c>
      <c r="J812" s="97" t="str">
        <f>IFERROR(__xludf.DUMMYFUNCTION("""COMPUTED_VALUE"""),"N/A")</f>
        <v>N/A</v>
      </c>
      <c r="K812" s="97" t="str">
        <f>IFERROR(__xludf.DUMMYFUNCTION("""COMPUTED_VALUE"""),"N/A")</f>
        <v>N/A</v>
      </c>
      <c r="L812" s="97">
        <f>IFERROR(__xludf.DUMMYFUNCTION("""COMPUTED_VALUE"""),220.0)</f>
        <v>220</v>
      </c>
      <c r="M812" s="97">
        <f>IFERROR(__xludf.DUMMYFUNCTION("""COMPUTED_VALUE"""),50.0)</f>
        <v>50</v>
      </c>
      <c r="N812" s="97" t="str">
        <f>IFERROR(__xludf.DUMMYFUNCTION("""COMPUTED_VALUE"""),"N/A")</f>
        <v>N/A</v>
      </c>
      <c r="O812" s="97" t="str">
        <f>IFERROR(__xludf.DUMMYFUNCTION("""COMPUTED_VALUE"""),"-")</f>
        <v>-</v>
      </c>
      <c r="P812" s="97"/>
      <c r="Q812" s="97" t="str">
        <f>IFERROR(__xludf.DUMMYFUNCTION("""COMPUTED_VALUE"""),"-")</f>
        <v>-</v>
      </c>
      <c r="R812" s="97" t="str">
        <f>IFERROR(__xludf.DUMMYFUNCTION("""COMPUTED_VALUE"""),"-")</f>
        <v>-</v>
      </c>
      <c r="S812" s="97" t="str">
        <f>IFERROR(__xludf.DUMMYFUNCTION("""COMPUTED_VALUE"""),"-")</f>
        <v>-</v>
      </c>
      <c r="T812" s="97" t="str">
        <f>IFERROR(__xludf.DUMMYFUNCTION("""COMPUTED_VALUE"""),"-")</f>
        <v>-</v>
      </c>
      <c r="U812" s="97" t="str">
        <f>IFERROR(__xludf.DUMMYFUNCTION("""COMPUTED_VALUE"""),"-")</f>
        <v>-</v>
      </c>
      <c r="V812" s="97" t="str">
        <f>IFERROR(__xludf.DUMMYFUNCTION("""COMPUTED_VALUE"""),"N/A")</f>
        <v>N/A</v>
      </c>
      <c r="W812" s="97" t="str">
        <f>IFERROR(__xludf.DUMMYFUNCTION("""COMPUTED_VALUE"""),"N/A")</f>
        <v>N/A</v>
      </c>
      <c r="X812" s="97" t="str">
        <f>IFERROR(__xludf.DUMMYFUNCTION("""COMPUTED_VALUE"""),"-")</f>
        <v>-</v>
      </c>
      <c r="Y812" s="97" t="str">
        <f>IFERROR(__xludf.DUMMYFUNCTION("""COMPUTED_VALUE"""),"N/A")</f>
        <v>N/A</v>
      </c>
      <c r="Z812" s="97" t="str">
        <f>IFERROR(__xludf.DUMMYFUNCTION("""COMPUTED_VALUE"""),"N/A")</f>
        <v>N/A</v>
      </c>
      <c r="AA812" s="97" t="str">
        <f>IFERROR(__xludf.DUMMYFUNCTION("""COMPUTED_VALUE"""),"N/A")</f>
        <v>N/A</v>
      </c>
      <c r="AB812" s="97" t="str">
        <f>IFERROR(__xludf.DUMMYFUNCTION("""COMPUTED_VALUE"""),"N/A")</f>
        <v>N/A</v>
      </c>
      <c r="AC812" s="97" t="str">
        <f>IFERROR(__xludf.DUMMYFUNCTION("""COMPUTED_VALUE"""),"N/A")</f>
        <v>N/A</v>
      </c>
      <c r="AD812" s="97" t="str">
        <f>IFERROR(__xludf.DUMMYFUNCTION("""COMPUTED_VALUE"""),"IP20")</f>
        <v>IP20</v>
      </c>
      <c r="AE812" s="97" t="str">
        <f>IFERROR(__xludf.DUMMYFUNCTION("""COMPUTED_VALUE"""),"Clase l")</f>
        <v>Clase l</v>
      </c>
      <c r="AF812" s="97" t="str">
        <f>IFERROR(__xludf.DUMMYFUNCTION("""COMPUTED_VALUE"""),"Embutir, Aplicar, Suspender")</f>
        <v>Embutir, Aplicar, Suspender</v>
      </c>
      <c r="AG812" s="97" t="str">
        <f>IFERROR(__xludf.DUMMYFUNCTION("""COMPUTED_VALUE"""),"34 x 17 x 2000 (Ancho x Alto x Largo)")</f>
        <v>34 x 17 x 2000 (Ancho x Alto x Largo)</v>
      </c>
      <c r="AH812" s="97" t="str">
        <f>IFERROR(__xludf.DUMMYFUNCTION("""COMPUTED_VALUE"""),"N/A")</f>
        <v>N/A</v>
      </c>
      <c r="AI812" s="97" t="str">
        <f>IFERROR(__xludf.DUMMYFUNCTION("""COMPUTED_VALUE"""),"N/A")</f>
        <v>N/A</v>
      </c>
      <c r="AJ812" s="97" t="str">
        <f>IFERROR(__xludf.DUMMYFUNCTION("""COMPUTED_VALUE"""),"N/A")</f>
        <v>N/A</v>
      </c>
      <c r="AK812" s="97" t="str">
        <f>IFERROR(__xludf.DUMMYFUNCTION("""COMPUTED_VALUE"""),"Aluminio")</f>
        <v>Aluminio</v>
      </c>
      <c r="AL812" s="97" t="str">
        <f>IFERROR(__xludf.DUMMYFUNCTION("""COMPUTED_VALUE"""),"Negro Brillante")</f>
        <v>Negro Brillante</v>
      </c>
      <c r="AM812" s="97" t="str">
        <f>IFERROR(__xludf.DUMMYFUNCTION("""COMPUTED_VALUE"""),"-")</f>
        <v>-</v>
      </c>
      <c r="AN812" s="97" t="str">
        <f>IFERROR(__xludf.DUMMYFUNCTION("""COMPUTED_VALUE"""),"N/A")</f>
        <v>N/A</v>
      </c>
      <c r="AO812" s="97" t="str">
        <f>IFERROR(__xludf.DUMMYFUNCTION("""COMPUTED_VALUE"""),"3 Años")</f>
        <v>3 Años</v>
      </c>
      <c r="AP812" s="97" t="str">
        <f>IFERROR(__xludf.DUMMYFUNCTION("""COMPUTED_VALUE"""),"No Aplica")</f>
        <v>No Aplica</v>
      </c>
      <c r="AQ812" s="97" t="str">
        <f>IFERROR(__xludf.DUMMYFUNCTION("""COMPUTED_VALUE"""),"No Aplica")</f>
        <v>No Aplica</v>
      </c>
      <c r="AR812" s="97" t="str">
        <f>IFERROR(__xludf.DUMMYFUNCTION("""COMPUTED_VALUE"""),"No Aplica")</f>
        <v>No Aplica</v>
      </c>
      <c r="AS812" s="97"/>
      <c r="AT812" s="97"/>
      <c r="AU812" s="97" t="str">
        <f>IFERROR(__xludf.DUMMYFUNCTION("""COMPUTED_VALUE"""),"Falta")</f>
        <v>Falta</v>
      </c>
      <c r="AV812" s="97" t="str">
        <f>IFERROR(__xludf.DUMMYFUNCTION("""COMPUTED_VALUE"""),"Riel")</f>
        <v>Riel</v>
      </c>
      <c r="AW812" s="97" t="str">
        <f>IFERROR(__xludf.DUMMYFUNCTION("""COMPUTED_VALUE"""),"Rieles")</f>
        <v>Rieles</v>
      </c>
      <c r="AX812" s="97" t="str">
        <f>IFERROR(__xludf.DUMMYFUNCTION("""COMPUTED_VALUE"""),"Interior")</f>
        <v>Interior</v>
      </c>
      <c r="AY812" s="97" t="str">
        <f>IFERROR(__xludf.DUMMYFUNCTION("""COMPUTED_VALUE"""),"-")</f>
        <v>-</v>
      </c>
      <c r="AZ812" s="97" t="str">
        <f>IFERROR(__xludf.DUMMYFUNCTION("""COMPUTED_VALUE"""),"Soporta 10A. Incluye tapas extremas.")</f>
        <v>Soporta 10A. Incluye tapas extremas.</v>
      </c>
      <c r="BA812" s="97">
        <f>IFERROR(__xludf.DUMMYFUNCTION("""COMPUTED_VALUE"""),20.0)</f>
        <v>20</v>
      </c>
      <c r="BB812" s="97" t="str">
        <f>IFERROR(__xludf.DUMMYFUNCTION("""COMPUTED_VALUE"""),"-")</f>
        <v>-</v>
      </c>
      <c r="BC812" s="97" t="str">
        <f>IFERROR(__xludf.DUMMYFUNCTION("""COMPUTED_VALUE"""),"-")</f>
        <v>-</v>
      </c>
      <c r="BD812" s="97" t="str">
        <f>IFERROR(__xludf.DUMMYFUNCTION("""COMPUTED_VALUE"""),"RIELES 1EF")</f>
        <v>RIELES 1EF</v>
      </c>
      <c r="BE812" s="97" t="str">
        <f>IFERROR(__xludf.DUMMYFUNCTION("""COMPUTED_VALUE"""),"Finalizada")</f>
        <v>Finalizada</v>
      </c>
      <c r="BF812" s="97"/>
      <c r="BG812" s="97" t="str">
        <f>IFERROR(__xludf.DUMMYFUNCTION("""COMPUTED_VALUE"""),"Activo")</f>
        <v>Activo</v>
      </c>
    </row>
    <row r="813">
      <c r="A813" s="97">
        <f>IFERROR(__xludf.DUMMYFUNCTION("""COMPUTED_VALUE"""),6586.0)</f>
        <v>6586</v>
      </c>
      <c r="B813" s="97" t="str">
        <f>IFERROR(__xludf.DUMMYFUNCTION("""COMPUTED_VALUE"""),"RIEL 1MT 1EF BL")</f>
        <v>RIEL 1MT 1EF BL</v>
      </c>
      <c r="C813" s="97" t="str">
        <f>IFERROR(__xludf.DUMMYFUNCTION("""COMPUTED_VALUE"""),"RIEL RIEL 1MT 1EF BL LEUK")</f>
        <v>RIEL RIEL 1MT 1EF BL LEUK</v>
      </c>
      <c r="D813" s="97">
        <f>IFERROR(__xludf.DUMMYFUNCTION("""COMPUTED_VALUE"""),7.798413220315E12)</f>
        <v>7798413220315</v>
      </c>
      <c r="E813" s="97"/>
      <c r="F813" s="97" t="str">
        <f>IFERROR(__xludf.DUMMYFUNCTION("""COMPUTED_VALUE"""),"N/A")</f>
        <v>N/A</v>
      </c>
      <c r="G813" s="97" t="str">
        <f>IFERROR(__xludf.DUMMYFUNCTION("""COMPUTED_VALUE"""),"N/A")</f>
        <v>N/A</v>
      </c>
      <c r="H813" s="97" t="str">
        <f>IFERROR(__xludf.DUMMYFUNCTION("""COMPUTED_VALUE"""),"N/A")</f>
        <v>N/A</v>
      </c>
      <c r="I813" s="97" t="str">
        <f>IFERROR(__xludf.DUMMYFUNCTION("""COMPUTED_VALUE"""),"N/A")</f>
        <v>N/A</v>
      </c>
      <c r="J813" s="97" t="str">
        <f>IFERROR(__xludf.DUMMYFUNCTION("""COMPUTED_VALUE"""),"N/A")</f>
        <v>N/A</v>
      </c>
      <c r="K813" s="97" t="str">
        <f>IFERROR(__xludf.DUMMYFUNCTION("""COMPUTED_VALUE"""),"N/A")</f>
        <v>N/A</v>
      </c>
      <c r="L813" s="97">
        <f>IFERROR(__xludf.DUMMYFUNCTION("""COMPUTED_VALUE"""),220.0)</f>
        <v>220</v>
      </c>
      <c r="M813" s="97">
        <f>IFERROR(__xludf.DUMMYFUNCTION("""COMPUTED_VALUE"""),50.0)</f>
        <v>50</v>
      </c>
      <c r="N813" s="97" t="str">
        <f>IFERROR(__xludf.DUMMYFUNCTION("""COMPUTED_VALUE"""),"N/A")</f>
        <v>N/A</v>
      </c>
      <c r="O813" s="97" t="str">
        <f>IFERROR(__xludf.DUMMYFUNCTION("""COMPUTED_VALUE"""),"-")</f>
        <v>-</v>
      </c>
      <c r="P813" s="97"/>
      <c r="Q813" s="97" t="str">
        <f>IFERROR(__xludf.DUMMYFUNCTION("""COMPUTED_VALUE"""),"-")</f>
        <v>-</v>
      </c>
      <c r="R813" s="97" t="str">
        <f>IFERROR(__xludf.DUMMYFUNCTION("""COMPUTED_VALUE"""),"-")</f>
        <v>-</v>
      </c>
      <c r="S813" s="97" t="str">
        <f>IFERROR(__xludf.DUMMYFUNCTION("""COMPUTED_VALUE"""),"-")</f>
        <v>-</v>
      </c>
      <c r="T813" s="97" t="str">
        <f>IFERROR(__xludf.DUMMYFUNCTION("""COMPUTED_VALUE"""),"-")</f>
        <v>-</v>
      </c>
      <c r="U813" s="97" t="str">
        <f>IFERROR(__xludf.DUMMYFUNCTION("""COMPUTED_VALUE"""),"-")</f>
        <v>-</v>
      </c>
      <c r="V813" s="97" t="str">
        <f>IFERROR(__xludf.DUMMYFUNCTION("""COMPUTED_VALUE"""),"N/A")</f>
        <v>N/A</v>
      </c>
      <c r="W813" s="97" t="str">
        <f>IFERROR(__xludf.DUMMYFUNCTION("""COMPUTED_VALUE"""),"N/A")</f>
        <v>N/A</v>
      </c>
      <c r="X813" s="97" t="str">
        <f>IFERROR(__xludf.DUMMYFUNCTION("""COMPUTED_VALUE"""),"-")</f>
        <v>-</v>
      </c>
      <c r="Y813" s="97" t="str">
        <f>IFERROR(__xludf.DUMMYFUNCTION("""COMPUTED_VALUE"""),"N/A")</f>
        <v>N/A</v>
      </c>
      <c r="Z813" s="97" t="str">
        <f>IFERROR(__xludf.DUMMYFUNCTION("""COMPUTED_VALUE"""),"N/A")</f>
        <v>N/A</v>
      </c>
      <c r="AA813" s="97" t="str">
        <f>IFERROR(__xludf.DUMMYFUNCTION("""COMPUTED_VALUE"""),"N/A")</f>
        <v>N/A</v>
      </c>
      <c r="AB813" s="97" t="str">
        <f>IFERROR(__xludf.DUMMYFUNCTION("""COMPUTED_VALUE"""),"N/A")</f>
        <v>N/A</v>
      </c>
      <c r="AC813" s="97" t="str">
        <f>IFERROR(__xludf.DUMMYFUNCTION("""COMPUTED_VALUE"""),"N/A")</f>
        <v>N/A</v>
      </c>
      <c r="AD813" s="97" t="str">
        <f>IFERROR(__xludf.DUMMYFUNCTION("""COMPUTED_VALUE"""),"IP20")</f>
        <v>IP20</v>
      </c>
      <c r="AE813" s="97" t="str">
        <f>IFERROR(__xludf.DUMMYFUNCTION("""COMPUTED_VALUE"""),"Clase l")</f>
        <v>Clase l</v>
      </c>
      <c r="AF813" s="97" t="str">
        <f>IFERROR(__xludf.DUMMYFUNCTION("""COMPUTED_VALUE"""),"Embutir, Aplicar, Suspender")</f>
        <v>Embutir, Aplicar, Suspender</v>
      </c>
      <c r="AG813" s="97" t="str">
        <f>IFERROR(__xludf.DUMMYFUNCTION("""COMPUTED_VALUE"""),"34 x 17 x 1000 (Ancho x Alto x Largo)")</f>
        <v>34 x 17 x 1000 (Ancho x Alto x Largo)</v>
      </c>
      <c r="AH813" s="97" t="str">
        <f>IFERROR(__xludf.DUMMYFUNCTION("""COMPUTED_VALUE"""),"N/A")</f>
        <v>N/A</v>
      </c>
      <c r="AI813" s="97" t="str">
        <f>IFERROR(__xludf.DUMMYFUNCTION("""COMPUTED_VALUE"""),"N/A")</f>
        <v>N/A</v>
      </c>
      <c r="AJ813" s="97" t="str">
        <f>IFERROR(__xludf.DUMMYFUNCTION("""COMPUTED_VALUE"""),"N/A")</f>
        <v>N/A</v>
      </c>
      <c r="AK813" s="97" t="str">
        <f>IFERROR(__xludf.DUMMYFUNCTION("""COMPUTED_VALUE"""),"Aluminio")</f>
        <v>Aluminio</v>
      </c>
      <c r="AL813" s="97" t="str">
        <f>IFERROR(__xludf.DUMMYFUNCTION("""COMPUTED_VALUE"""),"Blanco Brillante")</f>
        <v>Blanco Brillante</v>
      </c>
      <c r="AM813" s="97" t="str">
        <f>IFERROR(__xludf.DUMMYFUNCTION("""COMPUTED_VALUE"""),"-")</f>
        <v>-</v>
      </c>
      <c r="AN813" s="97" t="str">
        <f>IFERROR(__xludf.DUMMYFUNCTION("""COMPUTED_VALUE"""),"N/A")</f>
        <v>N/A</v>
      </c>
      <c r="AO813" s="97" t="str">
        <f>IFERROR(__xludf.DUMMYFUNCTION("""COMPUTED_VALUE"""),"3 Años")</f>
        <v>3 Años</v>
      </c>
      <c r="AP813" s="97" t="str">
        <f>IFERROR(__xludf.DUMMYFUNCTION("""COMPUTED_VALUE"""),"No Aplica")</f>
        <v>No Aplica</v>
      </c>
      <c r="AQ813" s="97" t="str">
        <f>IFERROR(__xludf.DUMMYFUNCTION("""COMPUTED_VALUE"""),"No Aplica")</f>
        <v>No Aplica</v>
      </c>
      <c r="AR813" s="97" t="str">
        <f>IFERROR(__xludf.DUMMYFUNCTION("""COMPUTED_VALUE"""),"No Aplica")</f>
        <v>No Aplica</v>
      </c>
      <c r="AS813" s="97"/>
      <c r="AT813" s="97"/>
      <c r="AU813" s="97" t="str">
        <f>IFERROR(__xludf.DUMMYFUNCTION("""COMPUTED_VALUE"""),"Falta")</f>
        <v>Falta</v>
      </c>
      <c r="AV813" s="97" t="str">
        <f>IFERROR(__xludf.DUMMYFUNCTION("""COMPUTED_VALUE"""),"Riel")</f>
        <v>Riel</v>
      </c>
      <c r="AW813" s="97" t="str">
        <f>IFERROR(__xludf.DUMMYFUNCTION("""COMPUTED_VALUE"""),"Rieles")</f>
        <v>Rieles</v>
      </c>
      <c r="AX813" s="97" t="str">
        <f>IFERROR(__xludf.DUMMYFUNCTION("""COMPUTED_VALUE"""),"Interior")</f>
        <v>Interior</v>
      </c>
      <c r="AY813" s="97" t="str">
        <f>IFERROR(__xludf.DUMMYFUNCTION("""COMPUTED_VALUE"""),"-")</f>
        <v>-</v>
      </c>
      <c r="AZ813" s="97" t="str">
        <f>IFERROR(__xludf.DUMMYFUNCTION("""COMPUTED_VALUE"""),"Soporta 10A. Incluye tapas extremas.")</f>
        <v>Soporta 10A. Incluye tapas extremas.</v>
      </c>
      <c r="BA813" s="97">
        <f>IFERROR(__xludf.DUMMYFUNCTION("""COMPUTED_VALUE"""),20.0)</f>
        <v>20</v>
      </c>
      <c r="BB813" s="97" t="str">
        <f>IFERROR(__xludf.DUMMYFUNCTION("""COMPUTED_VALUE"""),"-")</f>
        <v>-</v>
      </c>
      <c r="BC813" s="97" t="str">
        <f>IFERROR(__xludf.DUMMYFUNCTION("""COMPUTED_VALUE"""),"-")</f>
        <v>-</v>
      </c>
      <c r="BD813" s="97" t="str">
        <f>IFERROR(__xludf.DUMMYFUNCTION("""COMPUTED_VALUE"""),"RIELES 1EF")</f>
        <v>RIELES 1EF</v>
      </c>
      <c r="BE813" s="97" t="str">
        <f>IFERROR(__xludf.DUMMYFUNCTION("""COMPUTED_VALUE"""),"Finalizada")</f>
        <v>Finalizada</v>
      </c>
      <c r="BF813" s="97"/>
      <c r="BG813" s="97" t="str">
        <f>IFERROR(__xludf.DUMMYFUNCTION("""COMPUTED_VALUE"""),"Activo")</f>
        <v>Activo</v>
      </c>
    </row>
    <row r="814">
      <c r="A814" s="97">
        <f>IFERROR(__xludf.DUMMYFUNCTION("""COMPUTED_VALUE"""),6587.0)</f>
        <v>6587</v>
      </c>
      <c r="B814" s="97" t="str">
        <f>IFERROR(__xludf.DUMMYFUNCTION("""COMPUTED_VALUE"""),"RIEL 1MT 1EF NG")</f>
        <v>RIEL 1MT 1EF NG</v>
      </c>
      <c r="C814" s="97" t="str">
        <f>IFERROR(__xludf.DUMMYFUNCTION("""COMPUTED_VALUE"""),"RIEL RIEL 1MT 1EF NG LEUK")</f>
        <v>RIEL RIEL 1MT 1EF NG LEUK</v>
      </c>
      <c r="D814" s="97">
        <f>IFERROR(__xludf.DUMMYFUNCTION("""COMPUTED_VALUE"""),7.798413220308E12)</f>
        <v>7798413220308</v>
      </c>
      <c r="E814" s="97"/>
      <c r="F814" s="97" t="str">
        <f>IFERROR(__xludf.DUMMYFUNCTION("""COMPUTED_VALUE"""),"N/A")</f>
        <v>N/A</v>
      </c>
      <c r="G814" s="97" t="str">
        <f>IFERROR(__xludf.DUMMYFUNCTION("""COMPUTED_VALUE"""),"N/A")</f>
        <v>N/A</v>
      </c>
      <c r="H814" s="97" t="str">
        <f>IFERROR(__xludf.DUMMYFUNCTION("""COMPUTED_VALUE"""),"N/A")</f>
        <v>N/A</v>
      </c>
      <c r="I814" s="97" t="str">
        <f>IFERROR(__xludf.DUMMYFUNCTION("""COMPUTED_VALUE"""),"N/A")</f>
        <v>N/A</v>
      </c>
      <c r="J814" s="97" t="str">
        <f>IFERROR(__xludf.DUMMYFUNCTION("""COMPUTED_VALUE"""),"N/A")</f>
        <v>N/A</v>
      </c>
      <c r="K814" s="97" t="str">
        <f>IFERROR(__xludf.DUMMYFUNCTION("""COMPUTED_VALUE"""),"N/A")</f>
        <v>N/A</v>
      </c>
      <c r="L814" s="97">
        <f>IFERROR(__xludf.DUMMYFUNCTION("""COMPUTED_VALUE"""),220.0)</f>
        <v>220</v>
      </c>
      <c r="M814" s="97">
        <f>IFERROR(__xludf.DUMMYFUNCTION("""COMPUTED_VALUE"""),50.0)</f>
        <v>50</v>
      </c>
      <c r="N814" s="97" t="str">
        <f>IFERROR(__xludf.DUMMYFUNCTION("""COMPUTED_VALUE"""),"N/A")</f>
        <v>N/A</v>
      </c>
      <c r="O814" s="97" t="str">
        <f>IFERROR(__xludf.DUMMYFUNCTION("""COMPUTED_VALUE"""),"-")</f>
        <v>-</v>
      </c>
      <c r="P814" s="97"/>
      <c r="Q814" s="97" t="str">
        <f>IFERROR(__xludf.DUMMYFUNCTION("""COMPUTED_VALUE"""),"-")</f>
        <v>-</v>
      </c>
      <c r="R814" s="97" t="str">
        <f>IFERROR(__xludf.DUMMYFUNCTION("""COMPUTED_VALUE"""),"-")</f>
        <v>-</v>
      </c>
      <c r="S814" s="97" t="str">
        <f>IFERROR(__xludf.DUMMYFUNCTION("""COMPUTED_VALUE"""),"-")</f>
        <v>-</v>
      </c>
      <c r="T814" s="97" t="str">
        <f>IFERROR(__xludf.DUMMYFUNCTION("""COMPUTED_VALUE"""),"-")</f>
        <v>-</v>
      </c>
      <c r="U814" s="97" t="str">
        <f>IFERROR(__xludf.DUMMYFUNCTION("""COMPUTED_VALUE"""),"-")</f>
        <v>-</v>
      </c>
      <c r="V814" s="97" t="str">
        <f>IFERROR(__xludf.DUMMYFUNCTION("""COMPUTED_VALUE"""),"N/A")</f>
        <v>N/A</v>
      </c>
      <c r="W814" s="97" t="str">
        <f>IFERROR(__xludf.DUMMYFUNCTION("""COMPUTED_VALUE"""),"N/A")</f>
        <v>N/A</v>
      </c>
      <c r="X814" s="97" t="str">
        <f>IFERROR(__xludf.DUMMYFUNCTION("""COMPUTED_VALUE"""),"-")</f>
        <v>-</v>
      </c>
      <c r="Y814" s="97" t="str">
        <f>IFERROR(__xludf.DUMMYFUNCTION("""COMPUTED_VALUE"""),"N/A")</f>
        <v>N/A</v>
      </c>
      <c r="Z814" s="97" t="str">
        <f>IFERROR(__xludf.DUMMYFUNCTION("""COMPUTED_VALUE"""),"N/A")</f>
        <v>N/A</v>
      </c>
      <c r="AA814" s="97" t="str">
        <f>IFERROR(__xludf.DUMMYFUNCTION("""COMPUTED_VALUE"""),"N/A")</f>
        <v>N/A</v>
      </c>
      <c r="AB814" s="97" t="str">
        <f>IFERROR(__xludf.DUMMYFUNCTION("""COMPUTED_VALUE"""),"N/A")</f>
        <v>N/A</v>
      </c>
      <c r="AC814" s="97" t="str">
        <f>IFERROR(__xludf.DUMMYFUNCTION("""COMPUTED_VALUE"""),"N/A")</f>
        <v>N/A</v>
      </c>
      <c r="AD814" s="97" t="str">
        <f>IFERROR(__xludf.DUMMYFUNCTION("""COMPUTED_VALUE"""),"IP20")</f>
        <v>IP20</v>
      </c>
      <c r="AE814" s="97" t="str">
        <f>IFERROR(__xludf.DUMMYFUNCTION("""COMPUTED_VALUE"""),"Clase l")</f>
        <v>Clase l</v>
      </c>
      <c r="AF814" s="97" t="str">
        <f>IFERROR(__xludf.DUMMYFUNCTION("""COMPUTED_VALUE"""),"Embutir, Aplicar, Suspender")</f>
        <v>Embutir, Aplicar, Suspender</v>
      </c>
      <c r="AG814" s="97" t="str">
        <f>IFERROR(__xludf.DUMMYFUNCTION("""COMPUTED_VALUE"""),"34 x 17 x 1000 (Ancho x Alto x Largo)")</f>
        <v>34 x 17 x 1000 (Ancho x Alto x Largo)</v>
      </c>
      <c r="AH814" s="97" t="str">
        <f>IFERROR(__xludf.DUMMYFUNCTION("""COMPUTED_VALUE"""),"N/A")</f>
        <v>N/A</v>
      </c>
      <c r="AI814" s="97" t="str">
        <f>IFERROR(__xludf.DUMMYFUNCTION("""COMPUTED_VALUE"""),"N/A")</f>
        <v>N/A</v>
      </c>
      <c r="AJ814" s="97" t="str">
        <f>IFERROR(__xludf.DUMMYFUNCTION("""COMPUTED_VALUE"""),"N/A")</f>
        <v>N/A</v>
      </c>
      <c r="AK814" s="97" t="str">
        <f>IFERROR(__xludf.DUMMYFUNCTION("""COMPUTED_VALUE"""),"Aluminio")</f>
        <v>Aluminio</v>
      </c>
      <c r="AL814" s="97" t="str">
        <f>IFERROR(__xludf.DUMMYFUNCTION("""COMPUTED_VALUE"""),"Negro Brillante")</f>
        <v>Negro Brillante</v>
      </c>
      <c r="AM814" s="97" t="str">
        <f>IFERROR(__xludf.DUMMYFUNCTION("""COMPUTED_VALUE"""),"-")</f>
        <v>-</v>
      </c>
      <c r="AN814" s="97" t="str">
        <f>IFERROR(__xludf.DUMMYFUNCTION("""COMPUTED_VALUE"""),"N/A")</f>
        <v>N/A</v>
      </c>
      <c r="AO814" s="97" t="str">
        <f>IFERROR(__xludf.DUMMYFUNCTION("""COMPUTED_VALUE"""),"3 Años")</f>
        <v>3 Años</v>
      </c>
      <c r="AP814" s="97" t="str">
        <f>IFERROR(__xludf.DUMMYFUNCTION("""COMPUTED_VALUE"""),"No Aplica")</f>
        <v>No Aplica</v>
      </c>
      <c r="AQ814" s="97" t="str">
        <f>IFERROR(__xludf.DUMMYFUNCTION("""COMPUTED_VALUE"""),"No Aplica")</f>
        <v>No Aplica</v>
      </c>
      <c r="AR814" s="97" t="str">
        <f>IFERROR(__xludf.DUMMYFUNCTION("""COMPUTED_VALUE"""),"No Aplica")</f>
        <v>No Aplica</v>
      </c>
      <c r="AS814" s="97"/>
      <c r="AT814" s="97"/>
      <c r="AU814" s="97" t="str">
        <f>IFERROR(__xludf.DUMMYFUNCTION("""COMPUTED_VALUE"""),"Falta")</f>
        <v>Falta</v>
      </c>
      <c r="AV814" s="97" t="str">
        <f>IFERROR(__xludf.DUMMYFUNCTION("""COMPUTED_VALUE"""),"Riel")</f>
        <v>Riel</v>
      </c>
      <c r="AW814" s="97" t="str">
        <f>IFERROR(__xludf.DUMMYFUNCTION("""COMPUTED_VALUE"""),"Rieles")</f>
        <v>Rieles</v>
      </c>
      <c r="AX814" s="97" t="str">
        <f>IFERROR(__xludf.DUMMYFUNCTION("""COMPUTED_VALUE"""),"Interior")</f>
        <v>Interior</v>
      </c>
      <c r="AY814" s="97" t="str">
        <f>IFERROR(__xludf.DUMMYFUNCTION("""COMPUTED_VALUE"""),"-")</f>
        <v>-</v>
      </c>
      <c r="AZ814" s="97" t="str">
        <f>IFERROR(__xludf.DUMMYFUNCTION("""COMPUTED_VALUE"""),"Soporta 10A. Incluye tapas extremas.")</f>
        <v>Soporta 10A. Incluye tapas extremas.</v>
      </c>
      <c r="BA814" s="97">
        <f>IFERROR(__xludf.DUMMYFUNCTION("""COMPUTED_VALUE"""),20.0)</f>
        <v>20</v>
      </c>
      <c r="BB814" s="97" t="str">
        <f>IFERROR(__xludf.DUMMYFUNCTION("""COMPUTED_VALUE"""),"-")</f>
        <v>-</v>
      </c>
      <c r="BC814" s="97" t="str">
        <f>IFERROR(__xludf.DUMMYFUNCTION("""COMPUTED_VALUE"""),"-")</f>
        <v>-</v>
      </c>
      <c r="BD814" s="97" t="str">
        <f>IFERROR(__xludf.DUMMYFUNCTION("""COMPUTED_VALUE"""),"RIELES 1EF")</f>
        <v>RIELES 1EF</v>
      </c>
      <c r="BE814" s="97" t="str">
        <f>IFERROR(__xludf.DUMMYFUNCTION("""COMPUTED_VALUE"""),"Finalizada")</f>
        <v>Finalizada</v>
      </c>
      <c r="BF814" s="97"/>
      <c r="BG814" s="97" t="str">
        <f>IFERROR(__xludf.DUMMYFUNCTION("""COMPUTED_VALUE"""),"Activo")</f>
        <v>Activo</v>
      </c>
    </row>
    <row r="815">
      <c r="A815" s="97">
        <f>IFERROR(__xludf.DUMMYFUNCTION("""COMPUTED_VALUE"""),6588.0)</f>
        <v>6588</v>
      </c>
      <c r="B815" s="97" t="str">
        <f>IFERROR(__xludf.DUMMYFUNCTION("""COMPUTED_VALUE"""),"ALIMENTACION EXTREMO POWER 3EF BL")</f>
        <v>ALIMENTACION EXTREMO POWER 3EF BL</v>
      </c>
      <c r="C815" s="97" t="str">
        <f>IFERROR(__xludf.DUMMYFUNCTION("""COMPUTED_VALUE"""),"UNIÓN ALIMENTACION EXTREMO POWER 3EF BL LEUK")</f>
        <v>UNIÓN ALIMENTACION EXTREMO POWER 3EF BL LEUK</v>
      </c>
      <c r="D815" s="97">
        <f>IFERROR(__xludf.DUMMYFUNCTION("""COMPUTED_VALUE"""),7.798413220292E12)</f>
        <v>7798413220292</v>
      </c>
      <c r="E815" s="97" t="str">
        <f>IFERROR(__xludf.DUMMYFUNCTION("""COMPUTED_VALUE"""),"h23")</f>
        <v>h23</v>
      </c>
      <c r="F815" s="97" t="str">
        <f>IFERROR(__xludf.DUMMYFUNCTION("""COMPUTED_VALUE"""),"N/A")</f>
        <v>N/A</v>
      </c>
      <c r="G815" s="97" t="str">
        <f>IFERROR(__xludf.DUMMYFUNCTION("""COMPUTED_VALUE"""),"N/A")</f>
        <v>N/A</v>
      </c>
      <c r="H815" s="97" t="str">
        <f>IFERROR(__xludf.DUMMYFUNCTION("""COMPUTED_VALUE"""),"N/A")</f>
        <v>N/A</v>
      </c>
      <c r="I815" s="97" t="str">
        <f>IFERROR(__xludf.DUMMYFUNCTION("""COMPUTED_VALUE"""),"N/A")</f>
        <v>N/A</v>
      </c>
      <c r="J815" s="97" t="str">
        <f>IFERROR(__xludf.DUMMYFUNCTION("""COMPUTED_VALUE"""),"N/A")</f>
        <v>N/A</v>
      </c>
      <c r="K815" s="97" t="str">
        <f>IFERROR(__xludf.DUMMYFUNCTION("""COMPUTED_VALUE"""),"N/A")</f>
        <v>N/A</v>
      </c>
      <c r="L815" s="97">
        <f>IFERROR(__xludf.DUMMYFUNCTION("""COMPUTED_VALUE"""),220.0)</f>
        <v>220</v>
      </c>
      <c r="M815" s="97">
        <f>IFERROR(__xludf.DUMMYFUNCTION("""COMPUTED_VALUE"""),50.0)</f>
        <v>50</v>
      </c>
      <c r="N815" s="97" t="str">
        <f>IFERROR(__xludf.DUMMYFUNCTION("""COMPUTED_VALUE"""),"N/A")</f>
        <v>N/A</v>
      </c>
      <c r="O815" s="97" t="str">
        <f>IFERROR(__xludf.DUMMYFUNCTION("""COMPUTED_VALUE"""),"-")</f>
        <v>-</v>
      </c>
      <c r="P815" s="97"/>
      <c r="Q815" s="97" t="str">
        <f>IFERROR(__xludf.DUMMYFUNCTION("""COMPUTED_VALUE"""),"-")</f>
        <v>-</v>
      </c>
      <c r="R815" s="97" t="str">
        <f>IFERROR(__xludf.DUMMYFUNCTION("""COMPUTED_VALUE"""),"-")</f>
        <v>-</v>
      </c>
      <c r="S815" s="97" t="str">
        <f>IFERROR(__xludf.DUMMYFUNCTION("""COMPUTED_VALUE"""),"-")</f>
        <v>-</v>
      </c>
      <c r="T815" s="97" t="str">
        <f>IFERROR(__xludf.DUMMYFUNCTION("""COMPUTED_VALUE"""),"-")</f>
        <v>-</v>
      </c>
      <c r="U815" s="97" t="str">
        <f>IFERROR(__xludf.DUMMYFUNCTION("""COMPUTED_VALUE"""),"-")</f>
        <v>-</v>
      </c>
      <c r="V815" s="97" t="str">
        <f>IFERROR(__xludf.DUMMYFUNCTION("""COMPUTED_VALUE"""),"N/A")</f>
        <v>N/A</v>
      </c>
      <c r="W815" s="97" t="str">
        <f>IFERROR(__xludf.DUMMYFUNCTION("""COMPUTED_VALUE"""),"N/A")</f>
        <v>N/A</v>
      </c>
      <c r="X815" s="97" t="str">
        <f>IFERROR(__xludf.DUMMYFUNCTION("""COMPUTED_VALUE"""),"-")</f>
        <v>-</v>
      </c>
      <c r="Y815" s="97" t="str">
        <f>IFERROR(__xludf.DUMMYFUNCTION("""COMPUTED_VALUE"""),"N/A")</f>
        <v>N/A</v>
      </c>
      <c r="Z815" s="97" t="str">
        <f>IFERROR(__xludf.DUMMYFUNCTION("""COMPUTED_VALUE"""),"N/A")</f>
        <v>N/A</v>
      </c>
      <c r="AA815" s="97" t="str">
        <f>IFERROR(__xludf.DUMMYFUNCTION("""COMPUTED_VALUE"""),"N/A")</f>
        <v>N/A</v>
      </c>
      <c r="AB815" s="97" t="str">
        <f>IFERROR(__xludf.DUMMYFUNCTION("""COMPUTED_VALUE"""),"N/A")</f>
        <v>N/A</v>
      </c>
      <c r="AC815" s="97" t="str">
        <f>IFERROR(__xludf.DUMMYFUNCTION("""COMPUTED_VALUE"""),"N/A")</f>
        <v>N/A</v>
      </c>
      <c r="AD815" s="97" t="str">
        <f>IFERROR(__xludf.DUMMYFUNCTION("""COMPUTED_VALUE"""),"IP20")</f>
        <v>IP20</v>
      </c>
      <c r="AE815" s="97" t="str">
        <f>IFERROR(__xludf.DUMMYFUNCTION("""COMPUTED_VALUE"""),"Clase l")</f>
        <v>Clase l</v>
      </c>
      <c r="AF815" s="97" t="str">
        <f>IFERROR(__xludf.DUMMYFUNCTION("""COMPUTED_VALUE"""),"N/A")</f>
        <v>N/A</v>
      </c>
      <c r="AG815" s="97" t="str">
        <f>IFERROR(__xludf.DUMMYFUNCTION("""COMPUTED_VALUE"""),"30 x 100 x 32")</f>
        <v>30 x 100 x 32</v>
      </c>
      <c r="AH815" s="97" t="str">
        <f>IFERROR(__xludf.DUMMYFUNCTION("""COMPUTED_VALUE"""),"N/A")</f>
        <v>N/A</v>
      </c>
      <c r="AI815" s="97" t="str">
        <f>IFERROR(__xludf.DUMMYFUNCTION("""COMPUTED_VALUE"""),"N/A")</f>
        <v>N/A</v>
      </c>
      <c r="AJ815" s="97" t="str">
        <f>IFERROR(__xludf.DUMMYFUNCTION("""COMPUTED_VALUE"""),"N/A")</f>
        <v>N/A</v>
      </c>
      <c r="AK815" s="97" t="str">
        <f>IFERROR(__xludf.DUMMYFUNCTION("""COMPUTED_VALUE"""),"Policarbonato (PC)")</f>
        <v>Policarbonato (PC)</v>
      </c>
      <c r="AL815" s="97" t="str">
        <f>IFERROR(__xludf.DUMMYFUNCTION("""COMPUTED_VALUE"""),"Blanco Mate")</f>
        <v>Blanco Mate</v>
      </c>
      <c r="AM815" s="97" t="str">
        <f>IFERROR(__xludf.DUMMYFUNCTION("""COMPUTED_VALUE"""),"-")</f>
        <v>-</v>
      </c>
      <c r="AN815" s="97" t="str">
        <f>IFERROR(__xludf.DUMMYFUNCTION("""COMPUTED_VALUE"""),"N/A")</f>
        <v>N/A</v>
      </c>
      <c r="AO815" s="97" t="str">
        <f>IFERROR(__xludf.DUMMYFUNCTION("""COMPUTED_VALUE"""),"3 Años")</f>
        <v>3 Años</v>
      </c>
      <c r="AP815" s="97" t="str">
        <f>IFERROR(__xludf.DUMMYFUNCTION("""COMPUTED_VALUE"""),"No Aplica")</f>
        <v>No Aplica</v>
      </c>
      <c r="AQ815" s="97" t="str">
        <f>IFERROR(__xludf.DUMMYFUNCTION("""COMPUTED_VALUE"""),"No Aplica")</f>
        <v>No Aplica</v>
      </c>
      <c r="AR815" s="97" t="str">
        <f>IFERROR(__xludf.DUMMYFUNCTION("""COMPUTED_VALUE"""),"No Aplica")</f>
        <v>No Aplica</v>
      </c>
      <c r="AS815" s="97"/>
      <c r="AT815" s="97"/>
      <c r="AU815" s="97" t="str">
        <f>IFERROR(__xludf.DUMMYFUNCTION("""COMPUTED_VALUE"""),"Falta")</f>
        <v>Falta</v>
      </c>
      <c r="AV815" s="97" t="str">
        <f>IFERROR(__xludf.DUMMYFUNCTION("""COMPUTED_VALUE"""),"Unión")</f>
        <v>Unión</v>
      </c>
      <c r="AW815" s="97" t="str">
        <f>IFERROR(__xludf.DUMMYFUNCTION("""COMPUTED_VALUE"""),"Rieles")</f>
        <v>Rieles</v>
      </c>
      <c r="AX815" s="97" t="str">
        <f>IFERROR(__xludf.DUMMYFUNCTION("""COMPUTED_VALUE"""),"Interior")</f>
        <v>Interior</v>
      </c>
      <c r="AY815" s="97" t="str">
        <f>IFERROR(__xludf.DUMMYFUNCTION("""COMPUTED_VALUE"""),"-")</f>
        <v>-</v>
      </c>
      <c r="AZ815" s="97" t="str">
        <f>IFERROR(__xludf.DUMMYFUNCTION("""COMPUTED_VALUE"""),"Soporta 10A. Con entrada de alimentación 220 V~.")</f>
        <v>Soporta 10A. Con entrada de alimentación 220 V~.</v>
      </c>
      <c r="BA815" s="97">
        <f>IFERROR(__xludf.DUMMYFUNCTION("""COMPUTED_VALUE"""),20.0)</f>
        <v>20</v>
      </c>
      <c r="BB815" s="97" t="str">
        <f>IFERROR(__xludf.DUMMYFUNCTION("""COMPUTED_VALUE"""),"-")</f>
        <v>-</v>
      </c>
      <c r="BC815" s="97" t="str">
        <f>IFERROR(__xludf.DUMMYFUNCTION("""COMPUTED_VALUE"""),"-")</f>
        <v>-</v>
      </c>
      <c r="BD815" s="97" t="str">
        <f>IFERROR(__xludf.DUMMYFUNCTION("""COMPUTED_VALUE"""),"RIELES 3EF")</f>
        <v>RIELES 3EF</v>
      </c>
      <c r="BE815" s="97" t="str">
        <f>IFERROR(__xludf.DUMMYFUNCTION("""COMPUTED_VALUE"""),"Finalizada")</f>
        <v>Finalizada</v>
      </c>
      <c r="BF815" s="97"/>
      <c r="BG815" s="97" t="str">
        <f>IFERROR(__xludf.DUMMYFUNCTION("""COMPUTED_VALUE"""),"Activo")</f>
        <v>Activo</v>
      </c>
    </row>
    <row r="816">
      <c r="A816" s="97">
        <f>IFERROR(__xludf.DUMMYFUNCTION("""COMPUTED_VALUE"""),6589.0)</f>
        <v>6589</v>
      </c>
      <c r="B816" s="97" t="str">
        <f>IFERROR(__xludf.DUMMYFUNCTION("""COMPUTED_VALUE"""),"ALIMENTACION EXTREMO POWER 3EF NG")</f>
        <v>ALIMENTACION EXTREMO POWER 3EF NG</v>
      </c>
      <c r="C816" s="97" t="str">
        <f>IFERROR(__xludf.DUMMYFUNCTION("""COMPUTED_VALUE"""),"UNIÓN ALIMENTACION EXTREMO POWER 3EF NG LEUK")</f>
        <v>UNIÓN ALIMENTACION EXTREMO POWER 3EF NG LEUK</v>
      </c>
      <c r="D816" s="97">
        <f>IFERROR(__xludf.DUMMYFUNCTION("""COMPUTED_VALUE"""),7.798413220285E12)</f>
        <v>7798413220285</v>
      </c>
      <c r="E816" s="97" t="str">
        <f>IFERROR(__xludf.DUMMYFUNCTION("""COMPUTED_VALUE"""),"h24")</f>
        <v>h24</v>
      </c>
      <c r="F816" s="97" t="str">
        <f>IFERROR(__xludf.DUMMYFUNCTION("""COMPUTED_VALUE"""),"N/A")</f>
        <v>N/A</v>
      </c>
      <c r="G816" s="97" t="str">
        <f>IFERROR(__xludf.DUMMYFUNCTION("""COMPUTED_VALUE"""),"N/A")</f>
        <v>N/A</v>
      </c>
      <c r="H816" s="97" t="str">
        <f>IFERROR(__xludf.DUMMYFUNCTION("""COMPUTED_VALUE"""),"N/A")</f>
        <v>N/A</v>
      </c>
      <c r="I816" s="97" t="str">
        <f>IFERROR(__xludf.DUMMYFUNCTION("""COMPUTED_VALUE"""),"N/A")</f>
        <v>N/A</v>
      </c>
      <c r="J816" s="97" t="str">
        <f>IFERROR(__xludf.DUMMYFUNCTION("""COMPUTED_VALUE"""),"N/A")</f>
        <v>N/A</v>
      </c>
      <c r="K816" s="97" t="str">
        <f>IFERROR(__xludf.DUMMYFUNCTION("""COMPUTED_VALUE"""),"N/A")</f>
        <v>N/A</v>
      </c>
      <c r="L816" s="97">
        <f>IFERROR(__xludf.DUMMYFUNCTION("""COMPUTED_VALUE"""),220.0)</f>
        <v>220</v>
      </c>
      <c r="M816" s="97">
        <f>IFERROR(__xludf.DUMMYFUNCTION("""COMPUTED_VALUE"""),50.0)</f>
        <v>50</v>
      </c>
      <c r="N816" s="97" t="str">
        <f>IFERROR(__xludf.DUMMYFUNCTION("""COMPUTED_VALUE"""),"N/A")</f>
        <v>N/A</v>
      </c>
      <c r="O816" s="97" t="str">
        <f>IFERROR(__xludf.DUMMYFUNCTION("""COMPUTED_VALUE"""),"-")</f>
        <v>-</v>
      </c>
      <c r="P816" s="97"/>
      <c r="Q816" s="97" t="str">
        <f>IFERROR(__xludf.DUMMYFUNCTION("""COMPUTED_VALUE"""),"-")</f>
        <v>-</v>
      </c>
      <c r="R816" s="97" t="str">
        <f>IFERROR(__xludf.DUMMYFUNCTION("""COMPUTED_VALUE"""),"-")</f>
        <v>-</v>
      </c>
      <c r="S816" s="97" t="str">
        <f>IFERROR(__xludf.DUMMYFUNCTION("""COMPUTED_VALUE"""),"-")</f>
        <v>-</v>
      </c>
      <c r="T816" s="97" t="str">
        <f>IFERROR(__xludf.DUMMYFUNCTION("""COMPUTED_VALUE"""),"-")</f>
        <v>-</v>
      </c>
      <c r="U816" s="97" t="str">
        <f>IFERROR(__xludf.DUMMYFUNCTION("""COMPUTED_VALUE"""),"-")</f>
        <v>-</v>
      </c>
      <c r="V816" s="97" t="str">
        <f>IFERROR(__xludf.DUMMYFUNCTION("""COMPUTED_VALUE"""),"N/A")</f>
        <v>N/A</v>
      </c>
      <c r="W816" s="97" t="str">
        <f>IFERROR(__xludf.DUMMYFUNCTION("""COMPUTED_VALUE"""),"N/A")</f>
        <v>N/A</v>
      </c>
      <c r="X816" s="97" t="str">
        <f>IFERROR(__xludf.DUMMYFUNCTION("""COMPUTED_VALUE"""),"-")</f>
        <v>-</v>
      </c>
      <c r="Y816" s="97" t="str">
        <f>IFERROR(__xludf.DUMMYFUNCTION("""COMPUTED_VALUE"""),"N/A")</f>
        <v>N/A</v>
      </c>
      <c r="Z816" s="97" t="str">
        <f>IFERROR(__xludf.DUMMYFUNCTION("""COMPUTED_VALUE"""),"N/A")</f>
        <v>N/A</v>
      </c>
      <c r="AA816" s="97" t="str">
        <f>IFERROR(__xludf.DUMMYFUNCTION("""COMPUTED_VALUE"""),"N/A")</f>
        <v>N/A</v>
      </c>
      <c r="AB816" s="97" t="str">
        <f>IFERROR(__xludf.DUMMYFUNCTION("""COMPUTED_VALUE"""),"N/A")</f>
        <v>N/A</v>
      </c>
      <c r="AC816" s="97" t="str">
        <f>IFERROR(__xludf.DUMMYFUNCTION("""COMPUTED_VALUE"""),"N/A")</f>
        <v>N/A</v>
      </c>
      <c r="AD816" s="97" t="str">
        <f>IFERROR(__xludf.DUMMYFUNCTION("""COMPUTED_VALUE"""),"IP20")</f>
        <v>IP20</v>
      </c>
      <c r="AE816" s="97" t="str">
        <f>IFERROR(__xludf.DUMMYFUNCTION("""COMPUTED_VALUE"""),"Clase l")</f>
        <v>Clase l</v>
      </c>
      <c r="AF816" s="97" t="str">
        <f>IFERROR(__xludf.DUMMYFUNCTION("""COMPUTED_VALUE"""),"N/A")</f>
        <v>N/A</v>
      </c>
      <c r="AG816" s="97" t="str">
        <f>IFERROR(__xludf.DUMMYFUNCTION("""COMPUTED_VALUE"""),"30 x 100 x 32")</f>
        <v>30 x 100 x 32</v>
      </c>
      <c r="AH816" s="97" t="str">
        <f>IFERROR(__xludf.DUMMYFUNCTION("""COMPUTED_VALUE"""),"N/A")</f>
        <v>N/A</v>
      </c>
      <c r="AI816" s="97" t="str">
        <f>IFERROR(__xludf.DUMMYFUNCTION("""COMPUTED_VALUE"""),"N/A")</f>
        <v>N/A</v>
      </c>
      <c r="AJ816" s="97" t="str">
        <f>IFERROR(__xludf.DUMMYFUNCTION("""COMPUTED_VALUE"""),"N/A")</f>
        <v>N/A</v>
      </c>
      <c r="AK816" s="97" t="str">
        <f>IFERROR(__xludf.DUMMYFUNCTION("""COMPUTED_VALUE"""),"Policarbonato (PC)")</f>
        <v>Policarbonato (PC)</v>
      </c>
      <c r="AL816" s="97" t="str">
        <f>IFERROR(__xludf.DUMMYFUNCTION("""COMPUTED_VALUE"""),"Negro Mate")</f>
        <v>Negro Mate</v>
      </c>
      <c r="AM816" s="97" t="str">
        <f>IFERROR(__xludf.DUMMYFUNCTION("""COMPUTED_VALUE"""),"-")</f>
        <v>-</v>
      </c>
      <c r="AN816" s="97" t="str">
        <f>IFERROR(__xludf.DUMMYFUNCTION("""COMPUTED_VALUE"""),"N/A")</f>
        <v>N/A</v>
      </c>
      <c r="AO816" s="97" t="str">
        <f>IFERROR(__xludf.DUMMYFUNCTION("""COMPUTED_VALUE"""),"3 Años")</f>
        <v>3 Años</v>
      </c>
      <c r="AP816" s="97" t="str">
        <f>IFERROR(__xludf.DUMMYFUNCTION("""COMPUTED_VALUE"""),"No Aplica")</f>
        <v>No Aplica</v>
      </c>
      <c r="AQ816" s="97" t="str">
        <f>IFERROR(__xludf.DUMMYFUNCTION("""COMPUTED_VALUE"""),"No Aplica")</f>
        <v>No Aplica</v>
      </c>
      <c r="AR816" s="97" t="str">
        <f>IFERROR(__xludf.DUMMYFUNCTION("""COMPUTED_VALUE"""),"No Aplica")</f>
        <v>No Aplica</v>
      </c>
      <c r="AS816" s="97"/>
      <c r="AT816" s="97"/>
      <c r="AU816" s="97" t="str">
        <f>IFERROR(__xludf.DUMMYFUNCTION("""COMPUTED_VALUE"""),"Falta")</f>
        <v>Falta</v>
      </c>
      <c r="AV816" s="97" t="str">
        <f>IFERROR(__xludf.DUMMYFUNCTION("""COMPUTED_VALUE"""),"Unión")</f>
        <v>Unión</v>
      </c>
      <c r="AW816" s="97" t="str">
        <f>IFERROR(__xludf.DUMMYFUNCTION("""COMPUTED_VALUE"""),"Rieles")</f>
        <v>Rieles</v>
      </c>
      <c r="AX816" s="97" t="str">
        <f>IFERROR(__xludf.DUMMYFUNCTION("""COMPUTED_VALUE"""),"Interior")</f>
        <v>Interior</v>
      </c>
      <c r="AY816" s="97" t="str">
        <f>IFERROR(__xludf.DUMMYFUNCTION("""COMPUTED_VALUE"""),"-")</f>
        <v>-</v>
      </c>
      <c r="AZ816" s="97" t="str">
        <f>IFERROR(__xludf.DUMMYFUNCTION("""COMPUTED_VALUE"""),"Soporta 10A. Con entrada de alimentación 220 V~.")</f>
        <v>Soporta 10A. Con entrada de alimentación 220 V~.</v>
      </c>
      <c r="BA816" s="97">
        <f>IFERROR(__xludf.DUMMYFUNCTION("""COMPUTED_VALUE"""),60.0)</f>
        <v>60</v>
      </c>
      <c r="BB816" s="97" t="str">
        <f>IFERROR(__xludf.DUMMYFUNCTION("""COMPUTED_VALUE"""),"-")</f>
        <v>-</v>
      </c>
      <c r="BC816" s="97" t="str">
        <f>IFERROR(__xludf.DUMMYFUNCTION("""COMPUTED_VALUE"""),"-")</f>
        <v>-</v>
      </c>
      <c r="BD816" s="97" t="str">
        <f>IFERROR(__xludf.DUMMYFUNCTION("""COMPUTED_VALUE"""),"RIELES 3EF")</f>
        <v>RIELES 3EF</v>
      </c>
      <c r="BE816" s="97" t="str">
        <f>IFERROR(__xludf.DUMMYFUNCTION("""COMPUTED_VALUE"""),"Finalizada")</f>
        <v>Finalizada</v>
      </c>
      <c r="BF816" s="97"/>
      <c r="BG816" s="97" t="str">
        <f>IFERROR(__xludf.DUMMYFUNCTION("""COMPUTED_VALUE"""),"Activo")</f>
        <v>Activo</v>
      </c>
    </row>
    <row r="817">
      <c r="A817" s="97">
        <f>IFERROR(__xludf.DUMMYFUNCTION("""COMPUTED_VALUE"""),6590.0)</f>
        <v>6590</v>
      </c>
      <c r="B817" s="97" t="str">
        <f>IFERROR(__xludf.DUMMYFUNCTION("""COMPUTED_VALUE"""),"TAPA 3EF BL")</f>
        <v>TAPA 3EF BL</v>
      </c>
      <c r="C817" s="97" t="str">
        <f>IFERROR(__xludf.DUMMYFUNCTION("""COMPUTED_VALUE"""),"ACCESORIO TAPA 3EF BL LEUK")</f>
        <v>ACCESORIO TAPA 3EF BL LEUK</v>
      </c>
      <c r="D817" s="97">
        <f>IFERROR(__xludf.DUMMYFUNCTION("""COMPUTED_VALUE"""),7.798413220278E12)</f>
        <v>7798413220278</v>
      </c>
      <c r="E817" s="97" t="str">
        <f>IFERROR(__xludf.DUMMYFUNCTION("""COMPUTED_VALUE"""),"N/A")</f>
        <v>N/A</v>
      </c>
      <c r="F817" s="97" t="str">
        <f>IFERROR(__xludf.DUMMYFUNCTION("""COMPUTED_VALUE"""),"N/A")</f>
        <v>N/A</v>
      </c>
      <c r="G817" s="97" t="str">
        <f>IFERROR(__xludf.DUMMYFUNCTION("""COMPUTED_VALUE"""),"N/A")</f>
        <v>N/A</v>
      </c>
      <c r="H817" s="97" t="str">
        <f>IFERROR(__xludf.DUMMYFUNCTION("""COMPUTED_VALUE"""),"N/A")</f>
        <v>N/A</v>
      </c>
      <c r="I817" s="97" t="str">
        <f>IFERROR(__xludf.DUMMYFUNCTION("""COMPUTED_VALUE"""),"N/A")</f>
        <v>N/A</v>
      </c>
      <c r="J817" s="97" t="str">
        <f>IFERROR(__xludf.DUMMYFUNCTION("""COMPUTED_VALUE"""),"N/A")</f>
        <v>N/A</v>
      </c>
      <c r="K817" s="97" t="str">
        <f>IFERROR(__xludf.DUMMYFUNCTION("""COMPUTED_VALUE"""),"N/A")</f>
        <v>N/A</v>
      </c>
      <c r="L817" s="97" t="str">
        <f>IFERROR(__xludf.DUMMYFUNCTION("""COMPUTED_VALUE"""),"N/A")</f>
        <v>N/A</v>
      </c>
      <c r="M817" s="97" t="str">
        <f>IFERROR(__xludf.DUMMYFUNCTION("""COMPUTED_VALUE"""),"N/A")</f>
        <v>N/A</v>
      </c>
      <c r="N817" s="97" t="str">
        <f>IFERROR(__xludf.DUMMYFUNCTION("""COMPUTED_VALUE"""),"N/A")</f>
        <v>N/A</v>
      </c>
      <c r="O817" s="97" t="str">
        <f>IFERROR(__xludf.DUMMYFUNCTION("""COMPUTED_VALUE"""),"-")</f>
        <v>-</v>
      </c>
      <c r="P817" s="97"/>
      <c r="Q817" s="97" t="str">
        <f>IFERROR(__xludf.DUMMYFUNCTION("""COMPUTED_VALUE"""),"-")</f>
        <v>-</v>
      </c>
      <c r="R817" s="97" t="str">
        <f>IFERROR(__xludf.DUMMYFUNCTION("""COMPUTED_VALUE"""),"-")</f>
        <v>-</v>
      </c>
      <c r="S817" s="97" t="str">
        <f>IFERROR(__xludf.DUMMYFUNCTION("""COMPUTED_VALUE"""),"-")</f>
        <v>-</v>
      </c>
      <c r="T817" s="97" t="str">
        <f>IFERROR(__xludf.DUMMYFUNCTION("""COMPUTED_VALUE"""),"-")</f>
        <v>-</v>
      </c>
      <c r="U817" s="97" t="str">
        <f>IFERROR(__xludf.DUMMYFUNCTION("""COMPUTED_VALUE"""),"-")</f>
        <v>-</v>
      </c>
      <c r="V817" s="97" t="str">
        <f>IFERROR(__xludf.DUMMYFUNCTION("""COMPUTED_VALUE"""),"N/A")</f>
        <v>N/A</v>
      </c>
      <c r="W817" s="97" t="str">
        <f>IFERROR(__xludf.DUMMYFUNCTION("""COMPUTED_VALUE"""),"N/A")</f>
        <v>N/A</v>
      </c>
      <c r="X817" s="97" t="str">
        <f>IFERROR(__xludf.DUMMYFUNCTION("""COMPUTED_VALUE"""),"-")</f>
        <v>-</v>
      </c>
      <c r="Y817" s="97" t="str">
        <f>IFERROR(__xludf.DUMMYFUNCTION("""COMPUTED_VALUE"""),"N/A")</f>
        <v>N/A</v>
      </c>
      <c r="Z817" s="97" t="str">
        <f>IFERROR(__xludf.DUMMYFUNCTION("""COMPUTED_VALUE"""),"N/A")</f>
        <v>N/A</v>
      </c>
      <c r="AA817" s="97" t="str">
        <f>IFERROR(__xludf.DUMMYFUNCTION("""COMPUTED_VALUE"""),"N/A")</f>
        <v>N/A</v>
      </c>
      <c r="AB817" s="97" t="str">
        <f>IFERROR(__xludf.DUMMYFUNCTION("""COMPUTED_VALUE"""),"N/A")</f>
        <v>N/A</v>
      </c>
      <c r="AC817" s="97" t="str">
        <f>IFERROR(__xludf.DUMMYFUNCTION("""COMPUTED_VALUE"""),"N/A")</f>
        <v>N/A</v>
      </c>
      <c r="AD817" s="97" t="str">
        <f>IFERROR(__xludf.DUMMYFUNCTION("""COMPUTED_VALUE"""),"N/A")</f>
        <v>N/A</v>
      </c>
      <c r="AE817" s="97" t="str">
        <f>IFERROR(__xludf.DUMMYFUNCTION("""COMPUTED_VALUE"""),"N/A")</f>
        <v>N/A</v>
      </c>
      <c r="AF817" s="97" t="str">
        <f>IFERROR(__xludf.DUMMYFUNCTION("""COMPUTED_VALUE"""),"N/A")</f>
        <v>N/A</v>
      </c>
      <c r="AG817" s="97" t="str">
        <f>IFERROR(__xludf.DUMMYFUNCTION("""COMPUTED_VALUE"""),"30 x 32x 32")</f>
        <v>30 x 32x 32</v>
      </c>
      <c r="AH817" s="97" t="str">
        <f>IFERROR(__xludf.DUMMYFUNCTION("""COMPUTED_VALUE"""),"N/A")</f>
        <v>N/A</v>
      </c>
      <c r="AI817" s="97" t="str">
        <f>IFERROR(__xludf.DUMMYFUNCTION("""COMPUTED_VALUE"""),"N/A")</f>
        <v>N/A</v>
      </c>
      <c r="AJ817" s="97" t="str">
        <f>IFERROR(__xludf.DUMMYFUNCTION("""COMPUTED_VALUE"""),"N/A")</f>
        <v>N/A</v>
      </c>
      <c r="AK817" s="97" t="str">
        <f>IFERROR(__xludf.DUMMYFUNCTION("""COMPUTED_VALUE"""),"Policarbonato (PC)")</f>
        <v>Policarbonato (PC)</v>
      </c>
      <c r="AL817" s="97" t="str">
        <f>IFERROR(__xludf.DUMMYFUNCTION("""COMPUTED_VALUE"""),"Blanco Mate")</f>
        <v>Blanco Mate</v>
      </c>
      <c r="AM817" s="97" t="str">
        <f>IFERROR(__xludf.DUMMYFUNCTION("""COMPUTED_VALUE"""),"-")</f>
        <v>-</v>
      </c>
      <c r="AN817" s="97" t="str">
        <f>IFERROR(__xludf.DUMMYFUNCTION("""COMPUTED_VALUE"""),"N/A")</f>
        <v>N/A</v>
      </c>
      <c r="AO817" s="97" t="str">
        <f>IFERROR(__xludf.DUMMYFUNCTION("""COMPUTED_VALUE"""),"3 Años")</f>
        <v>3 Años</v>
      </c>
      <c r="AP817" s="97" t="str">
        <f>IFERROR(__xludf.DUMMYFUNCTION("""COMPUTED_VALUE"""),"No Aplica")</f>
        <v>No Aplica</v>
      </c>
      <c r="AQ817" s="97" t="str">
        <f>IFERROR(__xludf.DUMMYFUNCTION("""COMPUTED_VALUE"""),"No Aplica")</f>
        <v>No Aplica</v>
      </c>
      <c r="AR817" s="97" t="str">
        <f>IFERROR(__xludf.DUMMYFUNCTION("""COMPUTED_VALUE"""),"No Aplica")</f>
        <v>No Aplica</v>
      </c>
      <c r="AS817" s="97"/>
      <c r="AT817" s="97"/>
      <c r="AU817" s="97" t="str">
        <f>IFERROR(__xludf.DUMMYFUNCTION("""COMPUTED_VALUE"""),"Falta")</f>
        <v>Falta</v>
      </c>
      <c r="AV817" s="97" t="str">
        <f>IFERROR(__xludf.DUMMYFUNCTION("""COMPUTED_VALUE"""),"Accesorio")</f>
        <v>Accesorio</v>
      </c>
      <c r="AW817" s="97" t="str">
        <f>IFERROR(__xludf.DUMMYFUNCTION("""COMPUTED_VALUE"""),"Rieles")</f>
        <v>Rieles</v>
      </c>
      <c r="AX817" s="97" t="str">
        <f>IFERROR(__xludf.DUMMYFUNCTION("""COMPUTED_VALUE"""),"Interior")</f>
        <v>Interior</v>
      </c>
      <c r="AY817" s="97" t="str">
        <f>IFERROR(__xludf.DUMMYFUNCTION("""COMPUTED_VALUE"""),"-")</f>
        <v>-</v>
      </c>
      <c r="AZ817" s="97"/>
      <c r="BA817" s="97">
        <f>IFERROR(__xludf.DUMMYFUNCTION("""COMPUTED_VALUE"""),40.0)</f>
        <v>40</v>
      </c>
      <c r="BB817" s="97" t="str">
        <f>IFERROR(__xludf.DUMMYFUNCTION("""COMPUTED_VALUE"""),"-")</f>
        <v>-</v>
      </c>
      <c r="BC817" s="97" t="str">
        <f>IFERROR(__xludf.DUMMYFUNCTION("""COMPUTED_VALUE"""),"-")</f>
        <v>-</v>
      </c>
      <c r="BD817" s="97" t="str">
        <f>IFERROR(__xludf.DUMMYFUNCTION("""COMPUTED_VALUE"""),"RIELES 3EF")</f>
        <v>RIELES 3EF</v>
      </c>
      <c r="BE817" s="97" t="str">
        <f>IFERROR(__xludf.DUMMYFUNCTION("""COMPUTED_VALUE"""),"Finalizada")</f>
        <v>Finalizada</v>
      </c>
      <c r="BF817" s="97"/>
      <c r="BG817" s="97" t="str">
        <f>IFERROR(__xludf.DUMMYFUNCTION("""COMPUTED_VALUE"""),"Activo")</f>
        <v>Activo</v>
      </c>
    </row>
    <row r="818">
      <c r="A818" s="97">
        <f>IFERROR(__xludf.DUMMYFUNCTION("""COMPUTED_VALUE"""),6591.0)</f>
        <v>6591</v>
      </c>
      <c r="B818" s="97" t="str">
        <f>IFERROR(__xludf.DUMMYFUNCTION("""COMPUTED_VALUE"""),"TAPA 3EF NG")</f>
        <v>TAPA 3EF NG</v>
      </c>
      <c r="C818" s="97" t="str">
        <f>IFERROR(__xludf.DUMMYFUNCTION("""COMPUTED_VALUE"""),"ACCESORIO TAPA 3EF NG LEUK")</f>
        <v>ACCESORIO TAPA 3EF NG LEUK</v>
      </c>
      <c r="D818" s="97">
        <f>IFERROR(__xludf.DUMMYFUNCTION("""COMPUTED_VALUE"""),7.798413220261E12)</f>
        <v>7798413220261</v>
      </c>
      <c r="E818" s="97" t="str">
        <f>IFERROR(__xludf.DUMMYFUNCTION("""COMPUTED_VALUE"""),"N/A")</f>
        <v>N/A</v>
      </c>
      <c r="F818" s="97" t="str">
        <f>IFERROR(__xludf.DUMMYFUNCTION("""COMPUTED_VALUE"""),"N/A")</f>
        <v>N/A</v>
      </c>
      <c r="G818" s="97" t="str">
        <f>IFERROR(__xludf.DUMMYFUNCTION("""COMPUTED_VALUE"""),"N/A")</f>
        <v>N/A</v>
      </c>
      <c r="H818" s="97" t="str">
        <f>IFERROR(__xludf.DUMMYFUNCTION("""COMPUTED_VALUE"""),"N/A")</f>
        <v>N/A</v>
      </c>
      <c r="I818" s="97" t="str">
        <f>IFERROR(__xludf.DUMMYFUNCTION("""COMPUTED_VALUE"""),"N/A")</f>
        <v>N/A</v>
      </c>
      <c r="J818" s="97" t="str">
        <f>IFERROR(__xludf.DUMMYFUNCTION("""COMPUTED_VALUE"""),"N/A")</f>
        <v>N/A</v>
      </c>
      <c r="K818" s="97" t="str">
        <f>IFERROR(__xludf.DUMMYFUNCTION("""COMPUTED_VALUE"""),"N/A")</f>
        <v>N/A</v>
      </c>
      <c r="L818" s="97" t="str">
        <f>IFERROR(__xludf.DUMMYFUNCTION("""COMPUTED_VALUE"""),"N/A")</f>
        <v>N/A</v>
      </c>
      <c r="M818" s="97" t="str">
        <f>IFERROR(__xludf.DUMMYFUNCTION("""COMPUTED_VALUE"""),"N/A")</f>
        <v>N/A</v>
      </c>
      <c r="N818" s="97" t="str">
        <f>IFERROR(__xludf.DUMMYFUNCTION("""COMPUTED_VALUE"""),"N/A")</f>
        <v>N/A</v>
      </c>
      <c r="O818" s="97" t="str">
        <f>IFERROR(__xludf.DUMMYFUNCTION("""COMPUTED_VALUE"""),"-")</f>
        <v>-</v>
      </c>
      <c r="P818" s="97"/>
      <c r="Q818" s="97" t="str">
        <f>IFERROR(__xludf.DUMMYFUNCTION("""COMPUTED_VALUE"""),"-")</f>
        <v>-</v>
      </c>
      <c r="R818" s="97" t="str">
        <f>IFERROR(__xludf.DUMMYFUNCTION("""COMPUTED_VALUE"""),"-")</f>
        <v>-</v>
      </c>
      <c r="S818" s="97" t="str">
        <f>IFERROR(__xludf.DUMMYFUNCTION("""COMPUTED_VALUE"""),"-")</f>
        <v>-</v>
      </c>
      <c r="T818" s="97" t="str">
        <f>IFERROR(__xludf.DUMMYFUNCTION("""COMPUTED_VALUE"""),"-")</f>
        <v>-</v>
      </c>
      <c r="U818" s="97" t="str">
        <f>IFERROR(__xludf.DUMMYFUNCTION("""COMPUTED_VALUE"""),"-")</f>
        <v>-</v>
      </c>
      <c r="V818" s="97" t="str">
        <f>IFERROR(__xludf.DUMMYFUNCTION("""COMPUTED_VALUE"""),"N/A")</f>
        <v>N/A</v>
      </c>
      <c r="W818" s="97" t="str">
        <f>IFERROR(__xludf.DUMMYFUNCTION("""COMPUTED_VALUE"""),"N/A")</f>
        <v>N/A</v>
      </c>
      <c r="X818" s="97" t="str">
        <f>IFERROR(__xludf.DUMMYFUNCTION("""COMPUTED_VALUE"""),"-")</f>
        <v>-</v>
      </c>
      <c r="Y818" s="97" t="str">
        <f>IFERROR(__xludf.DUMMYFUNCTION("""COMPUTED_VALUE"""),"N/A")</f>
        <v>N/A</v>
      </c>
      <c r="Z818" s="97" t="str">
        <f>IFERROR(__xludf.DUMMYFUNCTION("""COMPUTED_VALUE"""),"N/A")</f>
        <v>N/A</v>
      </c>
      <c r="AA818" s="97" t="str">
        <f>IFERROR(__xludf.DUMMYFUNCTION("""COMPUTED_VALUE"""),"N/A")</f>
        <v>N/A</v>
      </c>
      <c r="AB818" s="97" t="str">
        <f>IFERROR(__xludf.DUMMYFUNCTION("""COMPUTED_VALUE"""),"N/A")</f>
        <v>N/A</v>
      </c>
      <c r="AC818" s="97" t="str">
        <f>IFERROR(__xludf.DUMMYFUNCTION("""COMPUTED_VALUE"""),"N/A")</f>
        <v>N/A</v>
      </c>
      <c r="AD818" s="97" t="str">
        <f>IFERROR(__xludf.DUMMYFUNCTION("""COMPUTED_VALUE"""),"N/A")</f>
        <v>N/A</v>
      </c>
      <c r="AE818" s="97" t="str">
        <f>IFERROR(__xludf.DUMMYFUNCTION("""COMPUTED_VALUE"""),"N/A")</f>
        <v>N/A</v>
      </c>
      <c r="AF818" s="97" t="str">
        <f>IFERROR(__xludf.DUMMYFUNCTION("""COMPUTED_VALUE"""),"N/A")</f>
        <v>N/A</v>
      </c>
      <c r="AG818" s="97" t="str">
        <f>IFERROR(__xludf.DUMMYFUNCTION("""COMPUTED_VALUE"""),"30 x 32x 32")</f>
        <v>30 x 32x 32</v>
      </c>
      <c r="AH818" s="97" t="str">
        <f>IFERROR(__xludf.DUMMYFUNCTION("""COMPUTED_VALUE"""),"N/A")</f>
        <v>N/A</v>
      </c>
      <c r="AI818" s="97" t="str">
        <f>IFERROR(__xludf.DUMMYFUNCTION("""COMPUTED_VALUE"""),"N/A")</f>
        <v>N/A</v>
      </c>
      <c r="AJ818" s="97" t="str">
        <f>IFERROR(__xludf.DUMMYFUNCTION("""COMPUTED_VALUE"""),"N/A")</f>
        <v>N/A</v>
      </c>
      <c r="AK818" s="97" t="str">
        <f>IFERROR(__xludf.DUMMYFUNCTION("""COMPUTED_VALUE"""),"Policarbonato (PC)")</f>
        <v>Policarbonato (PC)</v>
      </c>
      <c r="AL818" s="97" t="str">
        <f>IFERROR(__xludf.DUMMYFUNCTION("""COMPUTED_VALUE"""),"Negro Mate")</f>
        <v>Negro Mate</v>
      </c>
      <c r="AM818" s="97" t="str">
        <f>IFERROR(__xludf.DUMMYFUNCTION("""COMPUTED_VALUE"""),"-")</f>
        <v>-</v>
      </c>
      <c r="AN818" s="97" t="str">
        <f>IFERROR(__xludf.DUMMYFUNCTION("""COMPUTED_VALUE"""),"N/A")</f>
        <v>N/A</v>
      </c>
      <c r="AO818" s="97" t="str">
        <f>IFERROR(__xludf.DUMMYFUNCTION("""COMPUTED_VALUE"""),"3 Años")</f>
        <v>3 Años</v>
      </c>
      <c r="AP818" s="97" t="str">
        <f>IFERROR(__xludf.DUMMYFUNCTION("""COMPUTED_VALUE"""),"No Aplica")</f>
        <v>No Aplica</v>
      </c>
      <c r="AQ818" s="97" t="str">
        <f>IFERROR(__xludf.DUMMYFUNCTION("""COMPUTED_VALUE"""),"No Aplica")</f>
        <v>No Aplica</v>
      </c>
      <c r="AR818" s="97" t="str">
        <f>IFERROR(__xludf.DUMMYFUNCTION("""COMPUTED_VALUE"""),"No Aplica")</f>
        <v>No Aplica</v>
      </c>
      <c r="AS818" s="97"/>
      <c r="AT818" s="97"/>
      <c r="AU818" s="97" t="str">
        <f>IFERROR(__xludf.DUMMYFUNCTION("""COMPUTED_VALUE"""),"Falta")</f>
        <v>Falta</v>
      </c>
      <c r="AV818" s="97" t="str">
        <f>IFERROR(__xludf.DUMMYFUNCTION("""COMPUTED_VALUE"""),"Accesorio")</f>
        <v>Accesorio</v>
      </c>
      <c r="AW818" s="97" t="str">
        <f>IFERROR(__xludf.DUMMYFUNCTION("""COMPUTED_VALUE"""),"Rieles")</f>
        <v>Rieles</v>
      </c>
      <c r="AX818" s="97" t="str">
        <f>IFERROR(__xludf.DUMMYFUNCTION("""COMPUTED_VALUE"""),"Interior")</f>
        <v>Interior</v>
      </c>
      <c r="AY818" s="97" t="str">
        <f>IFERROR(__xludf.DUMMYFUNCTION("""COMPUTED_VALUE"""),"-")</f>
        <v>-</v>
      </c>
      <c r="AZ818" s="97"/>
      <c r="BA818" s="97">
        <f>IFERROR(__xludf.DUMMYFUNCTION("""COMPUTED_VALUE"""),40.0)</f>
        <v>40</v>
      </c>
      <c r="BB818" s="97" t="str">
        <f>IFERROR(__xludf.DUMMYFUNCTION("""COMPUTED_VALUE"""),"-")</f>
        <v>-</v>
      </c>
      <c r="BC818" s="97" t="str">
        <f>IFERROR(__xludf.DUMMYFUNCTION("""COMPUTED_VALUE"""),"-")</f>
        <v>-</v>
      </c>
      <c r="BD818" s="97" t="str">
        <f>IFERROR(__xludf.DUMMYFUNCTION("""COMPUTED_VALUE"""),"RIELES 3EF")</f>
        <v>RIELES 3EF</v>
      </c>
      <c r="BE818" s="97" t="str">
        <f>IFERROR(__xludf.DUMMYFUNCTION("""COMPUTED_VALUE"""),"Finalizada")</f>
        <v>Finalizada</v>
      </c>
      <c r="BF818" s="97"/>
      <c r="BG818" s="97" t="str">
        <f>IFERROR(__xludf.DUMMYFUNCTION("""COMPUTED_VALUE"""),"Activo")</f>
        <v>Activo</v>
      </c>
    </row>
    <row r="819">
      <c r="A819" s="97">
        <f>IFERROR(__xludf.DUMMYFUNCTION("""COMPUTED_VALUE"""),6592.0)</f>
        <v>6592</v>
      </c>
      <c r="B819" s="97" t="str">
        <f>IFERROR(__xludf.DUMMYFUNCTION("""COMPUTED_VALUE"""),"ADAPTADOR 3EF BL")</f>
        <v>ADAPTADOR 3EF BL</v>
      </c>
      <c r="C819" s="97" t="str">
        <f>IFERROR(__xludf.DUMMYFUNCTION("""COMPUTED_VALUE"""),"ACCESORIO ADAPTADOR 3EF BL LEUK")</f>
        <v>ACCESORIO ADAPTADOR 3EF BL LEUK</v>
      </c>
      <c r="D819" s="97">
        <f>IFERROR(__xludf.DUMMYFUNCTION("""COMPUTED_VALUE"""),7.798413220254E12)</f>
        <v>7798413220254</v>
      </c>
      <c r="E819" s="97"/>
      <c r="F819" s="97" t="str">
        <f>IFERROR(__xludf.DUMMYFUNCTION("""COMPUTED_VALUE"""),"N/A")</f>
        <v>N/A</v>
      </c>
      <c r="G819" s="97" t="str">
        <f>IFERROR(__xludf.DUMMYFUNCTION("""COMPUTED_VALUE"""),"N/A")</f>
        <v>N/A</v>
      </c>
      <c r="H819" s="97" t="str">
        <f>IFERROR(__xludf.DUMMYFUNCTION("""COMPUTED_VALUE"""),"N/A")</f>
        <v>N/A</v>
      </c>
      <c r="I819" s="97" t="str">
        <f>IFERROR(__xludf.DUMMYFUNCTION("""COMPUTED_VALUE"""),"N/A")</f>
        <v>N/A</v>
      </c>
      <c r="J819" s="97" t="str">
        <f>IFERROR(__xludf.DUMMYFUNCTION("""COMPUTED_VALUE"""),"N/A")</f>
        <v>N/A</v>
      </c>
      <c r="K819" s="97" t="str">
        <f>IFERROR(__xludf.DUMMYFUNCTION("""COMPUTED_VALUE"""),"N/A")</f>
        <v>N/A</v>
      </c>
      <c r="L819" s="97">
        <f>IFERROR(__xludf.DUMMYFUNCTION("""COMPUTED_VALUE"""),220.0)</f>
        <v>220</v>
      </c>
      <c r="M819" s="97">
        <f>IFERROR(__xludf.DUMMYFUNCTION("""COMPUTED_VALUE"""),50.0)</f>
        <v>50</v>
      </c>
      <c r="N819" s="97" t="str">
        <f>IFERROR(__xludf.DUMMYFUNCTION("""COMPUTED_VALUE"""),"N/A")</f>
        <v>N/A</v>
      </c>
      <c r="O819" s="97" t="str">
        <f>IFERROR(__xludf.DUMMYFUNCTION("""COMPUTED_VALUE"""),"-")</f>
        <v>-</v>
      </c>
      <c r="P819" s="97"/>
      <c r="Q819" s="97" t="str">
        <f>IFERROR(__xludf.DUMMYFUNCTION("""COMPUTED_VALUE"""),"-")</f>
        <v>-</v>
      </c>
      <c r="R819" s="97" t="str">
        <f>IFERROR(__xludf.DUMMYFUNCTION("""COMPUTED_VALUE"""),"-")</f>
        <v>-</v>
      </c>
      <c r="S819" s="97" t="str">
        <f>IFERROR(__xludf.DUMMYFUNCTION("""COMPUTED_VALUE"""),"-")</f>
        <v>-</v>
      </c>
      <c r="T819" s="97" t="str">
        <f>IFERROR(__xludf.DUMMYFUNCTION("""COMPUTED_VALUE"""),"-")</f>
        <v>-</v>
      </c>
      <c r="U819" s="97" t="str">
        <f>IFERROR(__xludf.DUMMYFUNCTION("""COMPUTED_VALUE"""),"-")</f>
        <v>-</v>
      </c>
      <c r="V819" s="97" t="str">
        <f>IFERROR(__xludf.DUMMYFUNCTION("""COMPUTED_VALUE"""),"N/A")</f>
        <v>N/A</v>
      </c>
      <c r="W819" s="97" t="str">
        <f>IFERROR(__xludf.DUMMYFUNCTION("""COMPUTED_VALUE"""),"N/A")</f>
        <v>N/A</v>
      </c>
      <c r="X819" s="97" t="str">
        <f>IFERROR(__xludf.DUMMYFUNCTION("""COMPUTED_VALUE"""),"-")</f>
        <v>-</v>
      </c>
      <c r="Y819" s="97" t="str">
        <f>IFERROR(__xludf.DUMMYFUNCTION("""COMPUTED_VALUE"""),"N/A")</f>
        <v>N/A</v>
      </c>
      <c r="Z819" s="97" t="str">
        <f>IFERROR(__xludf.DUMMYFUNCTION("""COMPUTED_VALUE"""),"N/A")</f>
        <v>N/A</v>
      </c>
      <c r="AA819" s="97" t="str">
        <f>IFERROR(__xludf.DUMMYFUNCTION("""COMPUTED_VALUE"""),"N/A")</f>
        <v>N/A</v>
      </c>
      <c r="AB819" s="97" t="str">
        <f>IFERROR(__xludf.DUMMYFUNCTION("""COMPUTED_VALUE"""),"N/A")</f>
        <v>N/A</v>
      </c>
      <c r="AC819" s="97" t="str">
        <f>IFERROR(__xludf.DUMMYFUNCTION("""COMPUTED_VALUE"""),"N/A")</f>
        <v>N/A</v>
      </c>
      <c r="AD819" s="97" t="str">
        <f>IFERROR(__xludf.DUMMYFUNCTION("""COMPUTED_VALUE"""),"IP20")</f>
        <v>IP20</v>
      </c>
      <c r="AE819" s="97" t="str">
        <f>IFERROR(__xludf.DUMMYFUNCTION("""COMPUTED_VALUE"""),"Clase l")</f>
        <v>Clase l</v>
      </c>
      <c r="AF819" s="97" t="str">
        <f>IFERROR(__xludf.DUMMYFUNCTION("""COMPUTED_VALUE"""),"N/A")</f>
        <v>N/A</v>
      </c>
      <c r="AG819" s="97" t="str">
        <f>IFERROR(__xludf.DUMMYFUNCTION("""COMPUTED_VALUE"""),"84 x 32 x 57")</f>
        <v>84 x 32 x 57</v>
      </c>
      <c r="AH819" s="97" t="str">
        <f>IFERROR(__xludf.DUMMYFUNCTION("""COMPUTED_VALUE"""),"N/A")</f>
        <v>N/A</v>
      </c>
      <c r="AI819" s="97" t="str">
        <f>IFERROR(__xludf.DUMMYFUNCTION("""COMPUTED_VALUE"""),"N/A")</f>
        <v>N/A</v>
      </c>
      <c r="AJ819" s="97" t="str">
        <f>IFERROR(__xludf.DUMMYFUNCTION("""COMPUTED_VALUE"""),"N/A")</f>
        <v>N/A</v>
      </c>
      <c r="AK819" s="97" t="str">
        <f>IFERROR(__xludf.DUMMYFUNCTION("""COMPUTED_VALUE"""),"Policarbonato (PC)")</f>
        <v>Policarbonato (PC)</v>
      </c>
      <c r="AL819" s="97" t="str">
        <f>IFERROR(__xludf.DUMMYFUNCTION("""COMPUTED_VALUE"""),"Blanco Mate")</f>
        <v>Blanco Mate</v>
      </c>
      <c r="AM819" s="97" t="str">
        <f>IFERROR(__xludf.DUMMYFUNCTION("""COMPUTED_VALUE"""),"-")</f>
        <v>-</v>
      </c>
      <c r="AN819" s="97" t="str">
        <f>IFERROR(__xludf.DUMMYFUNCTION("""COMPUTED_VALUE"""),"N/A")</f>
        <v>N/A</v>
      </c>
      <c r="AO819" s="97" t="str">
        <f>IFERROR(__xludf.DUMMYFUNCTION("""COMPUTED_VALUE"""),"3 Años")</f>
        <v>3 Años</v>
      </c>
      <c r="AP819" s="97" t="str">
        <f>IFERROR(__xludf.DUMMYFUNCTION("""COMPUTED_VALUE"""),"No Aplica")</f>
        <v>No Aplica</v>
      </c>
      <c r="AQ819" s="97" t="str">
        <f>IFERROR(__xludf.DUMMYFUNCTION("""COMPUTED_VALUE"""),"No Aplica")</f>
        <v>No Aplica</v>
      </c>
      <c r="AR819" s="97" t="str">
        <f>IFERROR(__xludf.DUMMYFUNCTION("""COMPUTED_VALUE"""),"No Aplica")</f>
        <v>No Aplica</v>
      </c>
      <c r="AS819" s="97"/>
      <c r="AT819" s="97"/>
      <c r="AU819" s="97" t="str">
        <f>IFERROR(__xludf.DUMMYFUNCTION("""COMPUTED_VALUE"""),"Falta")</f>
        <v>Falta</v>
      </c>
      <c r="AV819" s="97" t="str">
        <f>IFERROR(__xludf.DUMMYFUNCTION("""COMPUTED_VALUE"""),"Accesorio")</f>
        <v>Accesorio</v>
      </c>
      <c r="AW819" s="97" t="str">
        <f>IFERROR(__xludf.DUMMYFUNCTION("""COMPUTED_VALUE"""),"Rieles")</f>
        <v>Rieles</v>
      </c>
      <c r="AX819" s="97" t="str">
        <f>IFERROR(__xludf.DUMMYFUNCTION("""COMPUTED_VALUE"""),"Interior")</f>
        <v>Interior</v>
      </c>
      <c r="AY819" s="97" t="str">
        <f>IFERROR(__xludf.DUMMYFUNCTION("""COMPUTED_VALUE"""),"-")</f>
        <v>-</v>
      </c>
      <c r="AZ819" s="97" t="str">
        <f>IFERROR(__xludf.DUMMYFUNCTION("""COMPUTED_VALUE"""),"Soporta 10A")</f>
        <v>Soporta 10A</v>
      </c>
      <c r="BA819" s="97">
        <f>IFERROR(__xludf.DUMMYFUNCTION("""COMPUTED_VALUE"""),100.0)</f>
        <v>100</v>
      </c>
      <c r="BB819" s="97" t="str">
        <f>IFERROR(__xludf.DUMMYFUNCTION("""COMPUTED_VALUE"""),"-")</f>
        <v>-</v>
      </c>
      <c r="BC819" s="97" t="str">
        <f>IFERROR(__xludf.DUMMYFUNCTION("""COMPUTED_VALUE"""),"-")</f>
        <v>-</v>
      </c>
      <c r="BD819" s="97" t="str">
        <f>IFERROR(__xludf.DUMMYFUNCTION("""COMPUTED_VALUE"""),"RIELES 3EF")</f>
        <v>RIELES 3EF</v>
      </c>
      <c r="BE819" s="97" t="str">
        <f>IFERROR(__xludf.DUMMYFUNCTION("""COMPUTED_VALUE"""),"Finalizada")</f>
        <v>Finalizada</v>
      </c>
      <c r="BF819" s="97"/>
      <c r="BG819" s="97" t="str">
        <f>IFERROR(__xludf.DUMMYFUNCTION("""COMPUTED_VALUE"""),"Activo")</f>
        <v>Activo</v>
      </c>
    </row>
    <row r="820">
      <c r="A820" s="97">
        <f>IFERROR(__xludf.DUMMYFUNCTION("""COMPUTED_VALUE"""),6593.0)</f>
        <v>6593</v>
      </c>
      <c r="B820" s="97" t="str">
        <f>IFERROR(__xludf.DUMMYFUNCTION("""COMPUTED_VALUE"""),"ADAPTADOR 3EF NG")</f>
        <v>ADAPTADOR 3EF NG</v>
      </c>
      <c r="C820" s="97" t="str">
        <f>IFERROR(__xludf.DUMMYFUNCTION("""COMPUTED_VALUE"""),"ACCESORIO ADAPTADOR 3EF NG LEUK")</f>
        <v>ACCESORIO ADAPTADOR 3EF NG LEUK</v>
      </c>
      <c r="D820" s="97">
        <f>IFERROR(__xludf.DUMMYFUNCTION("""COMPUTED_VALUE"""),7.798413220247E12)</f>
        <v>7798413220247</v>
      </c>
      <c r="E820" s="97"/>
      <c r="F820" s="97" t="str">
        <f>IFERROR(__xludf.DUMMYFUNCTION("""COMPUTED_VALUE"""),"N/A")</f>
        <v>N/A</v>
      </c>
      <c r="G820" s="97" t="str">
        <f>IFERROR(__xludf.DUMMYFUNCTION("""COMPUTED_VALUE"""),"N/A")</f>
        <v>N/A</v>
      </c>
      <c r="H820" s="97" t="str">
        <f>IFERROR(__xludf.DUMMYFUNCTION("""COMPUTED_VALUE"""),"N/A")</f>
        <v>N/A</v>
      </c>
      <c r="I820" s="97" t="str">
        <f>IFERROR(__xludf.DUMMYFUNCTION("""COMPUTED_VALUE"""),"N/A")</f>
        <v>N/A</v>
      </c>
      <c r="J820" s="97" t="str">
        <f>IFERROR(__xludf.DUMMYFUNCTION("""COMPUTED_VALUE"""),"N/A")</f>
        <v>N/A</v>
      </c>
      <c r="K820" s="97" t="str">
        <f>IFERROR(__xludf.DUMMYFUNCTION("""COMPUTED_VALUE"""),"N/A")</f>
        <v>N/A</v>
      </c>
      <c r="L820" s="97">
        <f>IFERROR(__xludf.DUMMYFUNCTION("""COMPUTED_VALUE"""),220.0)</f>
        <v>220</v>
      </c>
      <c r="M820" s="97">
        <f>IFERROR(__xludf.DUMMYFUNCTION("""COMPUTED_VALUE"""),50.0)</f>
        <v>50</v>
      </c>
      <c r="N820" s="97" t="str">
        <f>IFERROR(__xludf.DUMMYFUNCTION("""COMPUTED_VALUE"""),"N/A")</f>
        <v>N/A</v>
      </c>
      <c r="O820" s="97" t="str">
        <f>IFERROR(__xludf.DUMMYFUNCTION("""COMPUTED_VALUE"""),"-")</f>
        <v>-</v>
      </c>
      <c r="P820" s="97"/>
      <c r="Q820" s="97" t="str">
        <f>IFERROR(__xludf.DUMMYFUNCTION("""COMPUTED_VALUE"""),"-")</f>
        <v>-</v>
      </c>
      <c r="R820" s="97" t="str">
        <f>IFERROR(__xludf.DUMMYFUNCTION("""COMPUTED_VALUE"""),"-")</f>
        <v>-</v>
      </c>
      <c r="S820" s="97" t="str">
        <f>IFERROR(__xludf.DUMMYFUNCTION("""COMPUTED_VALUE"""),"-")</f>
        <v>-</v>
      </c>
      <c r="T820" s="97" t="str">
        <f>IFERROR(__xludf.DUMMYFUNCTION("""COMPUTED_VALUE"""),"-")</f>
        <v>-</v>
      </c>
      <c r="U820" s="97" t="str">
        <f>IFERROR(__xludf.DUMMYFUNCTION("""COMPUTED_VALUE"""),"-")</f>
        <v>-</v>
      </c>
      <c r="V820" s="97" t="str">
        <f>IFERROR(__xludf.DUMMYFUNCTION("""COMPUTED_VALUE"""),"N/A")</f>
        <v>N/A</v>
      </c>
      <c r="W820" s="97" t="str">
        <f>IFERROR(__xludf.DUMMYFUNCTION("""COMPUTED_VALUE"""),"N/A")</f>
        <v>N/A</v>
      </c>
      <c r="X820" s="97" t="str">
        <f>IFERROR(__xludf.DUMMYFUNCTION("""COMPUTED_VALUE"""),"-")</f>
        <v>-</v>
      </c>
      <c r="Y820" s="97" t="str">
        <f>IFERROR(__xludf.DUMMYFUNCTION("""COMPUTED_VALUE"""),"N/A")</f>
        <v>N/A</v>
      </c>
      <c r="Z820" s="97" t="str">
        <f>IFERROR(__xludf.DUMMYFUNCTION("""COMPUTED_VALUE"""),"N/A")</f>
        <v>N/A</v>
      </c>
      <c r="AA820" s="97" t="str">
        <f>IFERROR(__xludf.DUMMYFUNCTION("""COMPUTED_VALUE"""),"N/A")</f>
        <v>N/A</v>
      </c>
      <c r="AB820" s="97" t="str">
        <f>IFERROR(__xludf.DUMMYFUNCTION("""COMPUTED_VALUE"""),"N/A")</f>
        <v>N/A</v>
      </c>
      <c r="AC820" s="97" t="str">
        <f>IFERROR(__xludf.DUMMYFUNCTION("""COMPUTED_VALUE"""),"N/A")</f>
        <v>N/A</v>
      </c>
      <c r="AD820" s="97" t="str">
        <f>IFERROR(__xludf.DUMMYFUNCTION("""COMPUTED_VALUE"""),"IP20")</f>
        <v>IP20</v>
      </c>
      <c r="AE820" s="97" t="str">
        <f>IFERROR(__xludf.DUMMYFUNCTION("""COMPUTED_VALUE"""),"Clase l")</f>
        <v>Clase l</v>
      </c>
      <c r="AF820" s="97" t="str">
        <f>IFERROR(__xludf.DUMMYFUNCTION("""COMPUTED_VALUE"""),"N/A")</f>
        <v>N/A</v>
      </c>
      <c r="AG820" s="97" t="str">
        <f>IFERROR(__xludf.DUMMYFUNCTION("""COMPUTED_VALUE"""),"84 x 32 x 57")</f>
        <v>84 x 32 x 57</v>
      </c>
      <c r="AH820" s="97" t="str">
        <f>IFERROR(__xludf.DUMMYFUNCTION("""COMPUTED_VALUE"""),"N/A")</f>
        <v>N/A</v>
      </c>
      <c r="AI820" s="97" t="str">
        <f>IFERROR(__xludf.DUMMYFUNCTION("""COMPUTED_VALUE"""),"N/A")</f>
        <v>N/A</v>
      </c>
      <c r="AJ820" s="97" t="str">
        <f>IFERROR(__xludf.DUMMYFUNCTION("""COMPUTED_VALUE"""),"N/A")</f>
        <v>N/A</v>
      </c>
      <c r="AK820" s="97" t="str">
        <f>IFERROR(__xludf.DUMMYFUNCTION("""COMPUTED_VALUE"""),"Policarbonato (PC)")</f>
        <v>Policarbonato (PC)</v>
      </c>
      <c r="AL820" s="97" t="str">
        <f>IFERROR(__xludf.DUMMYFUNCTION("""COMPUTED_VALUE"""),"Negro Mate")</f>
        <v>Negro Mate</v>
      </c>
      <c r="AM820" s="97" t="str">
        <f>IFERROR(__xludf.DUMMYFUNCTION("""COMPUTED_VALUE"""),"-")</f>
        <v>-</v>
      </c>
      <c r="AN820" s="97" t="str">
        <f>IFERROR(__xludf.DUMMYFUNCTION("""COMPUTED_VALUE"""),"N/A")</f>
        <v>N/A</v>
      </c>
      <c r="AO820" s="97" t="str">
        <f>IFERROR(__xludf.DUMMYFUNCTION("""COMPUTED_VALUE"""),"3 Años")</f>
        <v>3 Años</v>
      </c>
      <c r="AP820" s="97" t="str">
        <f>IFERROR(__xludf.DUMMYFUNCTION("""COMPUTED_VALUE"""),"No Aplica")</f>
        <v>No Aplica</v>
      </c>
      <c r="AQ820" s="97" t="str">
        <f>IFERROR(__xludf.DUMMYFUNCTION("""COMPUTED_VALUE"""),"No Aplica")</f>
        <v>No Aplica</v>
      </c>
      <c r="AR820" s="97" t="str">
        <f>IFERROR(__xludf.DUMMYFUNCTION("""COMPUTED_VALUE"""),"No Aplica")</f>
        <v>No Aplica</v>
      </c>
      <c r="AS820" s="97"/>
      <c r="AT820" s="97"/>
      <c r="AU820" s="97" t="str">
        <f>IFERROR(__xludf.DUMMYFUNCTION("""COMPUTED_VALUE"""),"Falta")</f>
        <v>Falta</v>
      </c>
      <c r="AV820" s="97" t="str">
        <f>IFERROR(__xludf.DUMMYFUNCTION("""COMPUTED_VALUE"""),"Accesorio")</f>
        <v>Accesorio</v>
      </c>
      <c r="AW820" s="97" t="str">
        <f>IFERROR(__xludf.DUMMYFUNCTION("""COMPUTED_VALUE"""),"Rieles")</f>
        <v>Rieles</v>
      </c>
      <c r="AX820" s="97" t="str">
        <f>IFERROR(__xludf.DUMMYFUNCTION("""COMPUTED_VALUE"""),"Interior")</f>
        <v>Interior</v>
      </c>
      <c r="AY820" s="97" t="str">
        <f>IFERROR(__xludf.DUMMYFUNCTION("""COMPUTED_VALUE"""),"-")</f>
        <v>-</v>
      </c>
      <c r="AZ820" s="97" t="str">
        <f>IFERROR(__xludf.DUMMYFUNCTION("""COMPUTED_VALUE"""),"Soporta 10A")</f>
        <v>Soporta 10A</v>
      </c>
      <c r="BA820" s="97">
        <f>IFERROR(__xludf.DUMMYFUNCTION("""COMPUTED_VALUE"""),100.0)</f>
        <v>100</v>
      </c>
      <c r="BB820" s="97" t="str">
        <f>IFERROR(__xludf.DUMMYFUNCTION("""COMPUTED_VALUE"""),"-")</f>
        <v>-</v>
      </c>
      <c r="BC820" s="97" t="str">
        <f>IFERROR(__xludf.DUMMYFUNCTION("""COMPUTED_VALUE"""),"-")</f>
        <v>-</v>
      </c>
      <c r="BD820" s="97" t="str">
        <f>IFERROR(__xludf.DUMMYFUNCTION("""COMPUTED_VALUE"""),"RIELES 3EF")</f>
        <v>RIELES 3EF</v>
      </c>
      <c r="BE820" s="97" t="str">
        <f>IFERROR(__xludf.DUMMYFUNCTION("""COMPUTED_VALUE"""),"Finalizada")</f>
        <v>Finalizada</v>
      </c>
      <c r="BF820" s="97"/>
      <c r="BG820" s="97" t="str">
        <f>IFERROR(__xludf.DUMMYFUNCTION("""COMPUTED_VALUE"""),"Activo")</f>
        <v>Activo</v>
      </c>
    </row>
    <row r="821">
      <c r="A821" s="97">
        <f>IFERROR(__xludf.DUMMYFUNCTION("""COMPUTED_VALUE"""),6594.0)</f>
        <v>6594</v>
      </c>
      <c r="B821" s="97" t="str">
        <f>IFERROR(__xludf.DUMMYFUNCTION("""COMPUTED_VALUE"""),"UNION C/MOVIMIENTO 3EF BL")</f>
        <v>UNION C/MOVIMIENTO 3EF BL</v>
      </c>
      <c r="C821" s="97" t="str">
        <f>IFERROR(__xludf.DUMMYFUNCTION("""COMPUTED_VALUE"""),"UNIÓN UNION C/MOVIMIENTO 3EF BL LEUK")</f>
        <v>UNIÓN UNION C/MOVIMIENTO 3EF BL LEUK</v>
      </c>
      <c r="D821" s="97">
        <f>IFERROR(__xludf.DUMMYFUNCTION("""COMPUTED_VALUE"""),7.79841322023E12)</f>
        <v>7798413220230</v>
      </c>
      <c r="E821" s="97"/>
      <c r="F821" s="97" t="str">
        <f>IFERROR(__xludf.DUMMYFUNCTION("""COMPUTED_VALUE"""),"N/A")</f>
        <v>N/A</v>
      </c>
      <c r="G821" s="97" t="str">
        <f>IFERROR(__xludf.DUMMYFUNCTION("""COMPUTED_VALUE"""),"N/A")</f>
        <v>N/A</v>
      </c>
      <c r="H821" s="97" t="str">
        <f>IFERROR(__xludf.DUMMYFUNCTION("""COMPUTED_VALUE"""),"N/A")</f>
        <v>N/A</v>
      </c>
      <c r="I821" s="97" t="str">
        <f>IFERROR(__xludf.DUMMYFUNCTION("""COMPUTED_VALUE"""),"N/A")</f>
        <v>N/A</v>
      </c>
      <c r="J821" s="97" t="str">
        <f>IFERROR(__xludf.DUMMYFUNCTION("""COMPUTED_VALUE"""),"N/A")</f>
        <v>N/A</v>
      </c>
      <c r="K821" s="97" t="str">
        <f>IFERROR(__xludf.DUMMYFUNCTION("""COMPUTED_VALUE"""),"N/A")</f>
        <v>N/A</v>
      </c>
      <c r="L821" s="97">
        <f>IFERROR(__xludf.DUMMYFUNCTION("""COMPUTED_VALUE"""),220.0)</f>
        <v>220</v>
      </c>
      <c r="M821" s="97">
        <f>IFERROR(__xludf.DUMMYFUNCTION("""COMPUTED_VALUE"""),50.0)</f>
        <v>50</v>
      </c>
      <c r="N821" s="97" t="str">
        <f>IFERROR(__xludf.DUMMYFUNCTION("""COMPUTED_VALUE"""),"N/A")</f>
        <v>N/A</v>
      </c>
      <c r="O821" s="97" t="str">
        <f>IFERROR(__xludf.DUMMYFUNCTION("""COMPUTED_VALUE"""),"-")</f>
        <v>-</v>
      </c>
      <c r="P821" s="97"/>
      <c r="Q821" s="97" t="str">
        <f>IFERROR(__xludf.DUMMYFUNCTION("""COMPUTED_VALUE"""),"-")</f>
        <v>-</v>
      </c>
      <c r="R821" s="97" t="str">
        <f>IFERROR(__xludf.DUMMYFUNCTION("""COMPUTED_VALUE"""),"-")</f>
        <v>-</v>
      </c>
      <c r="S821" s="97" t="str">
        <f>IFERROR(__xludf.DUMMYFUNCTION("""COMPUTED_VALUE"""),"-")</f>
        <v>-</v>
      </c>
      <c r="T821" s="97" t="str">
        <f>IFERROR(__xludf.DUMMYFUNCTION("""COMPUTED_VALUE"""),"-")</f>
        <v>-</v>
      </c>
      <c r="U821" s="97" t="str">
        <f>IFERROR(__xludf.DUMMYFUNCTION("""COMPUTED_VALUE"""),"-")</f>
        <v>-</v>
      </c>
      <c r="V821" s="97" t="str">
        <f>IFERROR(__xludf.DUMMYFUNCTION("""COMPUTED_VALUE"""),"N/A")</f>
        <v>N/A</v>
      </c>
      <c r="W821" s="97" t="str">
        <f>IFERROR(__xludf.DUMMYFUNCTION("""COMPUTED_VALUE"""),"N/A")</f>
        <v>N/A</v>
      </c>
      <c r="X821" s="97" t="str">
        <f>IFERROR(__xludf.DUMMYFUNCTION("""COMPUTED_VALUE"""),"-")</f>
        <v>-</v>
      </c>
      <c r="Y821" s="97" t="str">
        <f>IFERROR(__xludf.DUMMYFUNCTION("""COMPUTED_VALUE"""),"N/A")</f>
        <v>N/A</v>
      </c>
      <c r="Z821" s="97" t="str">
        <f>IFERROR(__xludf.DUMMYFUNCTION("""COMPUTED_VALUE"""),"N/A")</f>
        <v>N/A</v>
      </c>
      <c r="AA821" s="97" t="str">
        <f>IFERROR(__xludf.DUMMYFUNCTION("""COMPUTED_VALUE"""),"N/A")</f>
        <v>N/A</v>
      </c>
      <c r="AB821" s="97" t="str">
        <f>IFERROR(__xludf.DUMMYFUNCTION("""COMPUTED_VALUE"""),"N/A")</f>
        <v>N/A</v>
      </c>
      <c r="AC821" s="97" t="str">
        <f>IFERROR(__xludf.DUMMYFUNCTION("""COMPUTED_VALUE"""),"N/A")</f>
        <v>N/A</v>
      </c>
      <c r="AD821" s="97" t="str">
        <f>IFERROR(__xludf.DUMMYFUNCTION("""COMPUTED_VALUE"""),"IP20")</f>
        <v>IP20</v>
      </c>
      <c r="AE821" s="97" t="str">
        <f>IFERROR(__xludf.DUMMYFUNCTION("""COMPUTED_VALUE"""),"Clase l")</f>
        <v>Clase l</v>
      </c>
      <c r="AF821" s="97" t="str">
        <f>IFERROR(__xludf.DUMMYFUNCTION("""COMPUTED_VALUE"""),"N/A")</f>
        <v>N/A</v>
      </c>
      <c r="AG821" s="97" t="str">
        <f>IFERROR(__xludf.DUMMYFUNCTION("""COMPUTED_VALUE"""),"30 x 225 x 32")</f>
        <v>30 x 225 x 32</v>
      </c>
      <c r="AH821" s="97" t="str">
        <f>IFERROR(__xludf.DUMMYFUNCTION("""COMPUTED_VALUE"""),"N/A")</f>
        <v>N/A</v>
      </c>
      <c r="AI821" s="97" t="str">
        <f>IFERROR(__xludf.DUMMYFUNCTION("""COMPUTED_VALUE"""),"N/A")</f>
        <v>N/A</v>
      </c>
      <c r="AJ821" s="97" t="str">
        <f>IFERROR(__xludf.DUMMYFUNCTION("""COMPUTED_VALUE"""),"N/A")</f>
        <v>N/A</v>
      </c>
      <c r="AK821" s="97" t="str">
        <f>IFERROR(__xludf.DUMMYFUNCTION("""COMPUTED_VALUE"""),"Policarbonato (PC)")</f>
        <v>Policarbonato (PC)</v>
      </c>
      <c r="AL821" s="97" t="str">
        <f>IFERROR(__xludf.DUMMYFUNCTION("""COMPUTED_VALUE"""),"Blanco Mate")</f>
        <v>Blanco Mate</v>
      </c>
      <c r="AM821" s="97" t="str">
        <f>IFERROR(__xludf.DUMMYFUNCTION("""COMPUTED_VALUE"""),"-")</f>
        <v>-</v>
      </c>
      <c r="AN821" s="97" t="str">
        <f>IFERROR(__xludf.DUMMYFUNCTION("""COMPUTED_VALUE"""),"N/A")</f>
        <v>N/A</v>
      </c>
      <c r="AO821" s="97" t="str">
        <f>IFERROR(__xludf.DUMMYFUNCTION("""COMPUTED_VALUE"""),"3 Años")</f>
        <v>3 Años</v>
      </c>
      <c r="AP821" s="97" t="str">
        <f>IFERROR(__xludf.DUMMYFUNCTION("""COMPUTED_VALUE"""),"No Aplica")</f>
        <v>No Aplica</v>
      </c>
      <c r="AQ821" s="97" t="str">
        <f>IFERROR(__xludf.DUMMYFUNCTION("""COMPUTED_VALUE"""),"No Aplica")</f>
        <v>No Aplica</v>
      </c>
      <c r="AR821" s="97" t="str">
        <f>IFERROR(__xludf.DUMMYFUNCTION("""COMPUTED_VALUE"""),"No Aplica")</f>
        <v>No Aplica</v>
      </c>
      <c r="AS821" s="97"/>
      <c r="AT821" s="97"/>
      <c r="AU821" s="97" t="str">
        <f>IFERROR(__xludf.DUMMYFUNCTION("""COMPUTED_VALUE"""),"Falta")</f>
        <v>Falta</v>
      </c>
      <c r="AV821" s="97" t="str">
        <f>IFERROR(__xludf.DUMMYFUNCTION("""COMPUTED_VALUE"""),"Unión")</f>
        <v>Unión</v>
      </c>
      <c r="AW821" s="97" t="str">
        <f>IFERROR(__xludf.DUMMYFUNCTION("""COMPUTED_VALUE"""),"Rieles")</f>
        <v>Rieles</v>
      </c>
      <c r="AX821" s="97" t="str">
        <f>IFERROR(__xludf.DUMMYFUNCTION("""COMPUTED_VALUE"""),"Interior")</f>
        <v>Interior</v>
      </c>
      <c r="AY821" s="97" t="str">
        <f>IFERROR(__xludf.DUMMYFUNCTION("""COMPUTED_VALUE"""),"-")</f>
        <v>-</v>
      </c>
      <c r="AZ821" s="97" t="str">
        <f>IFERROR(__xludf.DUMMYFUNCTION("""COMPUTED_VALUE"""),"Soporta 10A")</f>
        <v>Soporta 10A</v>
      </c>
      <c r="BA821" s="97">
        <f>IFERROR(__xludf.DUMMYFUNCTION("""COMPUTED_VALUE"""),20.0)</f>
        <v>20</v>
      </c>
      <c r="BB821" s="97" t="str">
        <f>IFERROR(__xludf.DUMMYFUNCTION("""COMPUTED_VALUE"""),"-")</f>
        <v>-</v>
      </c>
      <c r="BC821" s="97" t="str">
        <f>IFERROR(__xludf.DUMMYFUNCTION("""COMPUTED_VALUE"""),"-")</f>
        <v>-</v>
      </c>
      <c r="BD821" s="97" t="str">
        <f>IFERROR(__xludf.DUMMYFUNCTION("""COMPUTED_VALUE"""),"RIELES 3EF")</f>
        <v>RIELES 3EF</v>
      </c>
      <c r="BE821" s="97" t="str">
        <f>IFERROR(__xludf.DUMMYFUNCTION("""COMPUTED_VALUE"""),"Finalizada")</f>
        <v>Finalizada</v>
      </c>
      <c r="BF821" s="97"/>
      <c r="BG821" s="97" t="str">
        <f>IFERROR(__xludf.DUMMYFUNCTION("""COMPUTED_VALUE"""),"Activo")</f>
        <v>Activo</v>
      </c>
    </row>
    <row r="822">
      <c r="A822" s="97">
        <f>IFERROR(__xludf.DUMMYFUNCTION("""COMPUTED_VALUE"""),6595.0)</f>
        <v>6595</v>
      </c>
      <c r="B822" s="97" t="str">
        <f>IFERROR(__xludf.DUMMYFUNCTION("""COMPUTED_VALUE"""),"UNION C/MOVIMIENTO 3EF NG")</f>
        <v>UNION C/MOVIMIENTO 3EF NG</v>
      </c>
      <c r="C822" s="97" t="str">
        <f>IFERROR(__xludf.DUMMYFUNCTION("""COMPUTED_VALUE"""),"UNIÓN UNION C/MOVIMIENTO 3EF NG LEUK")</f>
        <v>UNIÓN UNION C/MOVIMIENTO 3EF NG LEUK</v>
      </c>
      <c r="D822" s="97">
        <f>IFERROR(__xludf.DUMMYFUNCTION("""COMPUTED_VALUE"""),7.798413220223E12)</f>
        <v>7798413220223</v>
      </c>
      <c r="E822" s="97"/>
      <c r="F822" s="97" t="str">
        <f>IFERROR(__xludf.DUMMYFUNCTION("""COMPUTED_VALUE"""),"N/A")</f>
        <v>N/A</v>
      </c>
      <c r="G822" s="97" t="str">
        <f>IFERROR(__xludf.DUMMYFUNCTION("""COMPUTED_VALUE"""),"N/A")</f>
        <v>N/A</v>
      </c>
      <c r="H822" s="97" t="str">
        <f>IFERROR(__xludf.DUMMYFUNCTION("""COMPUTED_VALUE"""),"N/A")</f>
        <v>N/A</v>
      </c>
      <c r="I822" s="97" t="str">
        <f>IFERROR(__xludf.DUMMYFUNCTION("""COMPUTED_VALUE"""),"N/A")</f>
        <v>N/A</v>
      </c>
      <c r="J822" s="97" t="str">
        <f>IFERROR(__xludf.DUMMYFUNCTION("""COMPUTED_VALUE"""),"N/A")</f>
        <v>N/A</v>
      </c>
      <c r="K822" s="97" t="str">
        <f>IFERROR(__xludf.DUMMYFUNCTION("""COMPUTED_VALUE"""),"N/A")</f>
        <v>N/A</v>
      </c>
      <c r="L822" s="97">
        <f>IFERROR(__xludf.DUMMYFUNCTION("""COMPUTED_VALUE"""),220.0)</f>
        <v>220</v>
      </c>
      <c r="M822" s="97">
        <f>IFERROR(__xludf.DUMMYFUNCTION("""COMPUTED_VALUE"""),50.0)</f>
        <v>50</v>
      </c>
      <c r="N822" s="97" t="str">
        <f>IFERROR(__xludf.DUMMYFUNCTION("""COMPUTED_VALUE"""),"N/A")</f>
        <v>N/A</v>
      </c>
      <c r="O822" s="97" t="str">
        <f>IFERROR(__xludf.DUMMYFUNCTION("""COMPUTED_VALUE"""),"-")</f>
        <v>-</v>
      </c>
      <c r="P822" s="97"/>
      <c r="Q822" s="97" t="str">
        <f>IFERROR(__xludf.DUMMYFUNCTION("""COMPUTED_VALUE"""),"-")</f>
        <v>-</v>
      </c>
      <c r="R822" s="97" t="str">
        <f>IFERROR(__xludf.DUMMYFUNCTION("""COMPUTED_VALUE"""),"-")</f>
        <v>-</v>
      </c>
      <c r="S822" s="97" t="str">
        <f>IFERROR(__xludf.DUMMYFUNCTION("""COMPUTED_VALUE"""),"-")</f>
        <v>-</v>
      </c>
      <c r="T822" s="97" t="str">
        <f>IFERROR(__xludf.DUMMYFUNCTION("""COMPUTED_VALUE"""),"-")</f>
        <v>-</v>
      </c>
      <c r="U822" s="97" t="str">
        <f>IFERROR(__xludf.DUMMYFUNCTION("""COMPUTED_VALUE"""),"-")</f>
        <v>-</v>
      </c>
      <c r="V822" s="97" t="str">
        <f>IFERROR(__xludf.DUMMYFUNCTION("""COMPUTED_VALUE"""),"N/A")</f>
        <v>N/A</v>
      </c>
      <c r="W822" s="97" t="str">
        <f>IFERROR(__xludf.DUMMYFUNCTION("""COMPUTED_VALUE"""),"N/A")</f>
        <v>N/A</v>
      </c>
      <c r="X822" s="97" t="str">
        <f>IFERROR(__xludf.DUMMYFUNCTION("""COMPUTED_VALUE"""),"-")</f>
        <v>-</v>
      </c>
      <c r="Y822" s="97" t="str">
        <f>IFERROR(__xludf.DUMMYFUNCTION("""COMPUTED_VALUE"""),"N/A")</f>
        <v>N/A</v>
      </c>
      <c r="Z822" s="97" t="str">
        <f>IFERROR(__xludf.DUMMYFUNCTION("""COMPUTED_VALUE"""),"N/A")</f>
        <v>N/A</v>
      </c>
      <c r="AA822" s="97" t="str">
        <f>IFERROR(__xludf.DUMMYFUNCTION("""COMPUTED_VALUE"""),"N/A")</f>
        <v>N/A</v>
      </c>
      <c r="AB822" s="97" t="str">
        <f>IFERROR(__xludf.DUMMYFUNCTION("""COMPUTED_VALUE"""),"N/A")</f>
        <v>N/A</v>
      </c>
      <c r="AC822" s="97" t="str">
        <f>IFERROR(__xludf.DUMMYFUNCTION("""COMPUTED_VALUE"""),"N/A")</f>
        <v>N/A</v>
      </c>
      <c r="AD822" s="97" t="str">
        <f>IFERROR(__xludf.DUMMYFUNCTION("""COMPUTED_VALUE"""),"IP20")</f>
        <v>IP20</v>
      </c>
      <c r="AE822" s="97" t="str">
        <f>IFERROR(__xludf.DUMMYFUNCTION("""COMPUTED_VALUE"""),"Clase l")</f>
        <v>Clase l</v>
      </c>
      <c r="AF822" s="97" t="str">
        <f>IFERROR(__xludf.DUMMYFUNCTION("""COMPUTED_VALUE"""),"N/A")</f>
        <v>N/A</v>
      </c>
      <c r="AG822" s="97" t="str">
        <f>IFERROR(__xludf.DUMMYFUNCTION("""COMPUTED_VALUE"""),"30 x 225 x 32")</f>
        <v>30 x 225 x 32</v>
      </c>
      <c r="AH822" s="97" t="str">
        <f>IFERROR(__xludf.DUMMYFUNCTION("""COMPUTED_VALUE"""),"N/A")</f>
        <v>N/A</v>
      </c>
      <c r="AI822" s="97" t="str">
        <f>IFERROR(__xludf.DUMMYFUNCTION("""COMPUTED_VALUE"""),"N/A")</f>
        <v>N/A</v>
      </c>
      <c r="AJ822" s="97" t="str">
        <f>IFERROR(__xludf.DUMMYFUNCTION("""COMPUTED_VALUE"""),"N/A")</f>
        <v>N/A</v>
      </c>
      <c r="AK822" s="97" t="str">
        <f>IFERROR(__xludf.DUMMYFUNCTION("""COMPUTED_VALUE"""),"Policarbonato (PC)")</f>
        <v>Policarbonato (PC)</v>
      </c>
      <c r="AL822" s="97" t="str">
        <f>IFERROR(__xludf.DUMMYFUNCTION("""COMPUTED_VALUE"""),"Negro Mate")</f>
        <v>Negro Mate</v>
      </c>
      <c r="AM822" s="97" t="str">
        <f>IFERROR(__xludf.DUMMYFUNCTION("""COMPUTED_VALUE"""),"-")</f>
        <v>-</v>
      </c>
      <c r="AN822" s="97" t="str">
        <f>IFERROR(__xludf.DUMMYFUNCTION("""COMPUTED_VALUE"""),"N/A")</f>
        <v>N/A</v>
      </c>
      <c r="AO822" s="97" t="str">
        <f>IFERROR(__xludf.DUMMYFUNCTION("""COMPUTED_VALUE"""),"3 Años")</f>
        <v>3 Años</v>
      </c>
      <c r="AP822" s="97" t="str">
        <f>IFERROR(__xludf.DUMMYFUNCTION("""COMPUTED_VALUE"""),"No Aplica")</f>
        <v>No Aplica</v>
      </c>
      <c r="AQ822" s="97" t="str">
        <f>IFERROR(__xludf.DUMMYFUNCTION("""COMPUTED_VALUE"""),"No Aplica")</f>
        <v>No Aplica</v>
      </c>
      <c r="AR822" s="97" t="str">
        <f>IFERROR(__xludf.DUMMYFUNCTION("""COMPUTED_VALUE"""),"No Aplica")</f>
        <v>No Aplica</v>
      </c>
      <c r="AS822" s="97"/>
      <c r="AT822" s="97"/>
      <c r="AU822" s="97" t="str">
        <f>IFERROR(__xludf.DUMMYFUNCTION("""COMPUTED_VALUE"""),"Falta")</f>
        <v>Falta</v>
      </c>
      <c r="AV822" s="97" t="str">
        <f>IFERROR(__xludf.DUMMYFUNCTION("""COMPUTED_VALUE"""),"Unión")</f>
        <v>Unión</v>
      </c>
      <c r="AW822" s="97" t="str">
        <f>IFERROR(__xludf.DUMMYFUNCTION("""COMPUTED_VALUE"""),"Rieles")</f>
        <v>Rieles</v>
      </c>
      <c r="AX822" s="97" t="str">
        <f>IFERROR(__xludf.DUMMYFUNCTION("""COMPUTED_VALUE"""),"Interior")</f>
        <v>Interior</v>
      </c>
      <c r="AY822" s="97" t="str">
        <f>IFERROR(__xludf.DUMMYFUNCTION("""COMPUTED_VALUE"""),"-")</f>
        <v>-</v>
      </c>
      <c r="AZ822" s="97" t="str">
        <f>IFERROR(__xludf.DUMMYFUNCTION("""COMPUTED_VALUE"""),"Soporta 10A")</f>
        <v>Soporta 10A</v>
      </c>
      <c r="BA822" s="97">
        <f>IFERROR(__xludf.DUMMYFUNCTION("""COMPUTED_VALUE"""),20.0)</f>
        <v>20</v>
      </c>
      <c r="BB822" s="97" t="str">
        <f>IFERROR(__xludf.DUMMYFUNCTION("""COMPUTED_VALUE"""),"-")</f>
        <v>-</v>
      </c>
      <c r="BC822" s="97" t="str">
        <f>IFERROR(__xludf.DUMMYFUNCTION("""COMPUTED_VALUE"""),"-")</f>
        <v>-</v>
      </c>
      <c r="BD822" s="97" t="str">
        <f>IFERROR(__xludf.DUMMYFUNCTION("""COMPUTED_VALUE"""),"RIELES 3EF")</f>
        <v>RIELES 3EF</v>
      </c>
      <c r="BE822" s="97" t="str">
        <f>IFERROR(__xludf.DUMMYFUNCTION("""COMPUTED_VALUE"""),"Finalizada")</f>
        <v>Finalizada</v>
      </c>
      <c r="BF822" s="97"/>
      <c r="BG822" s="97" t="str">
        <f>IFERROR(__xludf.DUMMYFUNCTION("""COMPUTED_VALUE"""),"Activo")</f>
        <v>Activo</v>
      </c>
    </row>
    <row r="823">
      <c r="A823" s="97">
        <f>IFERROR(__xludf.DUMMYFUNCTION("""COMPUTED_VALUE"""),6596.0)</f>
        <v>6596</v>
      </c>
      <c r="B823" s="97" t="str">
        <f>IFERROR(__xludf.DUMMYFUNCTION("""COMPUTED_VALUE"""),"UNION CRUZ 3EF BL")</f>
        <v>UNION CRUZ 3EF BL</v>
      </c>
      <c r="C823" s="97" t="str">
        <f>IFERROR(__xludf.DUMMYFUNCTION("""COMPUTED_VALUE"""),"UNIÓN UNION CRUZ 3EF BL LEUK")</f>
        <v>UNIÓN UNION CRUZ 3EF BL LEUK</v>
      </c>
      <c r="D823" s="97">
        <f>IFERROR(__xludf.DUMMYFUNCTION("""COMPUTED_VALUE"""),7.798413220216E12)</f>
        <v>7798413220216</v>
      </c>
      <c r="E823" s="97"/>
      <c r="F823" s="97" t="str">
        <f>IFERROR(__xludf.DUMMYFUNCTION("""COMPUTED_VALUE"""),"N/A")</f>
        <v>N/A</v>
      </c>
      <c r="G823" s="97" t="str">
        <f>IFERROR(__xludf.DUMMYFUNCTION("""COMPUTED_VALUE"""),"N/A")</f>
        <v>N/A</v>
      </c>
      <c r="H823" s="97" t="str">
        <f>IFERROR(__xludf.DUMMYFUNCTION("""COMPUTED_VALUE"""),"N/A")</f>
        <v>N/A</v>
      </c>
      <c r="I823" s="97" t="str">
        <f>IFERROR(__xludf.DUMMYFUNCTION("""COMPUTED_VALUE"""),"N/A")</f>
        <v>N/A</v>
      </c>
      <c r="J823" s="97" t="str">
        <f>IFERROR(__xludf.DUMMYFUNCTION("""COMPUTED_VALUE"""),"N/A")</f>
        <v>N/A</v>
      </c>
      <c r="K823" s="97" t="str">
        <f>IFERROR(__xludf.DUMMYFUNCTION("""COMPUTED_VALUE"""),"N/A")</f>
        <v>N/A</v>
      </c>
      <c r="L823" s="97">
        <f>IFERROR(__xludf.DUMMYFUNCTION("""COMPUTED_VALUE"""),220.0)</f>
        <v>220</v>
      </c>
      <c r="M823" s="97">
        <f>IFERROR(__xludf.DUMMYFUNCTION("""COMPUTED_VALUE"""),50.0)</f>
        <v>50</v>
      </c>
      <c r="N823" s="97" t="str">
        <f>IFERROR(__xludf.DUMMYFUNCTION("""COMPUTED_VALUE"""),"N/A")</f>
        <v>N/A</v>
      </c>
      <c r="O823" s="97" t="str">
        <f>IFERROR(__xludf.DUMMYFUNCTION("""COMPUTED_VALUE"""),"-")</f>
        <v>-</v>
      </c>
      <c r="P823" s="97"/>
      <c r="Q823" s="97" t="str">
        <f>IFERROR(__xludf.DUMMYFUNCTION("""COMPUTED_VALUE"""),"-")</f>
        <v>-</v>
      </c>
      <c r="R823" s="97" t="str">
        <f>IFERROR(__xludf.DUMMYFUNCTION("""COMPUTED_VALUE"""),"-")</f>
        <v>-</v>
      </c>
      <c r="S823" s="97" t="str">
        <f>IFERROR(__xludf.DUMMYFUNCTION("""COMPUTED_VALUE"""),"-")</f>
        <v>-</v>
      </c>
      <c r="T823" s="97" t="str">
        <f>IFERROR(__xludf.DUMMYFUNCTION("""COMPUTED_VALUE"""),"-")</f>
        <v>-</v>
      </c>
      <c r="U823" s="97" t="str">
        <f>IFERROR(__xludf.DUMMYFUNCTION("""COMPUTED_VALUE"""),"-")</f>
        <v>-</v>
      </c>
      <c r="V823" s="97" t="str">
        <f>IFERROR(__xludf.DUMMYFUNCTION("""COMPUTED_VALUE"""),"N/A")</f>
        <v>N/A</v>
      </c>
      <c r="W823" s="97" t="str">
        <f>IFERROR(__xludf.DUMMYFUNCTION("""COMPUTED_VALUE"""),"N/A")</f>
        <v>N/A</v>
      </c>
      <c r="X823" s="97" t="str">
        <f>IFERROR(__xludf.DUMMYFUNCTION("""COMPUTED_VALUE"""),"-")</f>
        <v>-</v>
      </c>
      <c r="Y823" s="97" t="str">
        <f>IFERROR(__xludf.DUMMYFUNCTION("""COMPUTED_VALUE"""),"N/A")</f>
        <v>N/A</v>
      </c>
      <c r="Z823" s="97" t="str">
        <f>IFERROR(__xludf.DUMMYFUNCTION("""COMPUTED_VALUE"""),"N/A")</f>
        <v>N/A</v>
      </c>
      <c r="AA823" s="97" t="str">
        <f>IFERROR(__xludf.DUMMYFUNCTION("""COMPUTED_VALUE"""),"N/A")</f>
        <v>N/A</v>
      </c>
      <c r="AB823" s="97" t="str">
        <f>IFERROR(__xludf.DUMMYFUNCTION("""COMPUTED_VALUE"""),"N/A")</f>
        <v>N/A</v>
      </c>
      <c r="AC823" s="97" t="str">
        <f>IFERROR(__xludf.DUMMYFUNCTION("""COMPUTED_VALUE"""),"N/A")</f>
        <v>N/A</v>
      </c>
      <c r="AD823" s="97" t="str">
        <f>IFERROR(__xludf.DUMMYFUNCTION("""COMPUTED_VALUE"""),"IP20")</f>
        <v>IP20</v>
      </c>
      <c r="AE823" s="97" t="str">
        <f>IFERROR(__xludf.DUMMYFUNCTION("""COMPUTED_VALUE"""),"Clase l")</f>
        <v>Clase l</v>
      </c>
      <c r="AF823" s="97" t="str">
        <f>IFERROR(__xludf.DUMMYFUNCTION("""COMPUTED_VALUE"""),"N/A")</f>
        <v>N/A</v>
      </c>
      <c r="AG823" s="97" t="str">
        <f>IFERROR(__xludf.DUMMYFUNCTION("""COMPUTED_VALUE"""),"165 x 165 x 32")</f>
        <v>165 x 165 x 32</v>
      </c>
      <c r="AH823" s="97" t="str">
        <f>IFERROR(__xludf.DUMMYFUNCTION("""COMPUTED_VALUE"""),"N/A")</f>
        <v>N/A</v>
      </c>
      <c r="AI823" s="97" t="str">
        <f>IFERROR(__xludf.DUMMYFUNCTION("""COMPUTED_VALUE"""),"N/A")</f>
        <v>N/A</v>
      </c>
      <c r="AJ823" s="97" t="str">
        <f>IFERROR(__xludf.DUMMYFUNCTION("""COMPUTED_VALUE"""),"N/A")</f>
        <v>N/A</v>
      </c>
      <c r="AK823" s="97" t="str">
        <f>IFERROR(__xludf.DUMMYFUNCTION("""COMPUTED_VALUE"""),"Policarbonato (PC)")</f>
        <v>Policarbonato (PC)</v>
      </c>
      <c r="AL823" s="97" t="str">
        <f>IFERROR(__xludf.DUMMYFUNCTION("""COMPUTED_VALUE"""),"Blanco Mate")</f>
        <v>Blanco Mate</v>
      </c>
      <c r="AM823" s="97" t="str">
        <f>IFERROR(__xludf.DUMMYFUNCTION("""COMPUTED_VALUE"""),"-")</f>
        <v>-</v>
      </c>
      <c r="AN823" s="97" t="str">
        <f>IFERROR(__xludf.DUMMYFUNCTION("""COMPUTED_VALUE"""),"N/A")</f>
        <v>N/A</v>
      </c>
      <c r="AO823" s="97" t="str">
        <f>IFERROR(__xludf.DUMMYFUNCTION("""COMPUTED_VALUE"""),"3 Años")</f>
        <v>3 Años</v>
      </c>
      <c r="AP823" s="97" t="str">
        <f>IFERROR(__xludf.DUMMYFUNCTION("""COMPUTED_VALUE"""),"No Aplica")</f>
        <v>No Aplica</v>
      </c>
      <c r="AQ823" s="97" t="str">
        <f>IFERROR(__xludf.DUMMYFUNCTION("""COMPUTED_VALUE"""),"No Aplica")</f>
        <v>No Aplica</v>
      </c>
      <c r="AR823" s="97" t="str">
        <f>IFERROR(__xludf.DUMMYFUNCTION("""COMPUTED_VALUE"""),"No Aplica")</f>
        <v>No Aplica</v>
      </c>
      <c r="AS823" s="97"/>
      <c r="AT823" s="97"/>
      <c r="AU823" s="97" t="str">
        <f>IFERROR(__xludf.DUMMYFUNCTION("""COMPUTED_VALUE"""),"Falta")</f>
        <v>Falta</v>
      </c>
      <c r="AV823" s="97" t="str">
        <f>IFERROR(__xludf.DUMMYFUNCTION("""COMPUTED_VALUE"""),"Unión")</f>
        <v>Unión</v>
      </c>
      <c r="AW823" s="97" t="str">
        <f>IFERROR(__xludf.DUMMYFUNCTION("""COMPUTED_VALUE"""),"Rieles")</f>
        <v>Rieles</v>
      </c>
      <c r="AX823" s="97" t="str">
        <f>IFERROR(__xludf.DUMMYFUNCTION("""COMPUTED_VALUE"""),"Interior")</f>
        <v>Interior</v>
      </c>
      <c r="AY823" s="97" t="str">
        <f>IFERROR(__xludf.DUMMYFUNCTION("""COMPUTED_VALUE"""),"-")</f>
        <v>-</v>
      </c>
      <c r="AZ823" s="97" t="str">
        <f>IFERROR(__xludf.DUMMYFUNCTION("""COMPUTED_VALUE"""),"Soporta 10A. Con entrada de alimentación 220 V~.")</f>
        <v>Soporta 10A. Con entrada de alimentación 220 V~.</v>
      </c>
      <c r="BA823" s="97">
        <f>IFERROR(__xludf.DUMMYFUNCTION("""COMPUTED_VALUE"""),20.0)</f>
        <v>20</v>
      </c>
      <c r="BB823" s="97" t="str">
        <f>IFERROR(__xludf.DUMMYFUNCTION("""COMPUTED_VALUE"""),"-")</f>
        <v>-</v>
      </c>
      <c r="BC823" s="97" t="str">
        <f>IFERROR(__xludf.DUMMYFUNCTION("""COMPUTED_VALUE"""),"-")</f>
        <v>-</v>
      </c>
      <c r="BD823" s="97" t="str">
        <f>IFERROR(__xludf.DUMMYFUNCTION("""COMPUTED_VALUE"""),"RIELES 3EF")</f>
        <v>RIELES 3EF</v>
      </c>
      <c r="BE823" s="97" t="str">
        <f>IFERROR(__xludf.DUMMYFUNCTION("""COMPUTED_VALUE"""),"Finalizada")</f>
        <v>Finalizada</v>
      </c>
      <c r="BF823" s="97"/>
      <c r="BG823" s="97" t="str">
        <f>IFERROR(__xludf.DUMMYFUNCTION("""COMPUTED_VALUE"""),"Activo")</f>
        <v>Activo</v>
      </c>
    </row>
    <row r="824">
      <c r="A824" s="97">
        <f>IFERROR(__xludf.DUMMYFUNCTION("""COMPUTED_VALUE"""),6597.0)</f>
        <v>6597</v>
      </c>
      <c r="B824" s="97" t="str">
        <f>IFERROR(__xludf.DUMMYFUNCTION("""COMPUTED_VALUE"""),"UNION CRUZ 3EF NG")</f>
        <v>UNION CRUZ 3EF NG</v>
      </c>
      <c r="C824" s="97" t="str">
        <f>IFERROR(__xludf.DUMMYFUNCTION("""COMPUTED_VALUE"""),"UNIÓN UNION CRUZ 3EF NG LEUK")</f>
        <v>UNIÓN UNION CRUZ 3EF NG LEUK</v>
      </c>
      <c r="D824" s="97">
        <f>IFERROR(__xludf.DUMMYFUNCTION("""COMPUTED_VALUE"""),7.798413220209E12)</f>
        <v>7798413220209</v>
      </c>
      <c r="E824" s="97"/>
      <c r="F824" s="97" t="str">
        <f>IFERROR(__xludf.DUMMYFUNCTION("""COMPUTED_VALUE"""),"N/A")</f>
        <v>N/A</v>
      </c>
      <c r="G824" s="97" t="str">
        <f>IFERROR(__xludf.DUMMYFUNCTION("""COMPUTED_VALUE"""),"N/A")</f>
        <v>N/A</v>
      </c>
      <c r="H824" s="97" t="str">
        <f>IFERROR(__xludf.DUMMYFUNCTION("""COMPUTED_VALUE"""),"N/A")</f>
        <v>N/A</v>
      </c>
      <c r="I824" s="97" t="str">
        <f>IFERROR(__xludf.DUMMYFUNCTION("""COMPUTED_VALUE"""),"N/A")</f>
        <v>N/A</v>
      </c>
      <c r="J824" s="97" t="str">
        <f>IFERROR(__xludf.DUMMYFUNCTION("""COMPUTED_VALUE"""),"N/A")</f>
        <v>N/A</v>
      </c>
      <c r="K824" s="97" t="str">
        <f>IFERROR(__xludf.DUMMYFUNCTION("""COMPUTED_VALUE"""),"N/A")</f>
        <v>N/A</v>
      </c>
      <c r="L824" s="97">
        <f>IFERROR(__xludf.DUMMYFUNCTION("""COMPUTED_VALUE"""),220.0)</f>
        <v>220</v>
      </c>
      <c r="M824" s="97">
        <f>IFERROR(__xludf.DUMMYFUNCTION("""COMPUTED_VALUE"""),50.0)</f>
        <v>50</v>
      </c>
      <c r="N824" s="97" t="str">
        <f>IFERROR(__xludf.DUMMYFUNCTION("""COMPUTED_VALUE"""),"N/A")</f>
        <v>N/A</v>
      </c>
      <c r="O824" s="97" t="str">
        <f>IFERROR(__xludf.DUMMYFUNCTION("""COMPUTED_VALUE"""),"-")</f>
        <v>-</v>
      </c>
      <c r="P824" s="97"/>
      <c r="Q824" s="97" t="str">
        <f>IFERROR(__xludf.DUMMYFUNCTION("""COMPUTED_VALUE"""),"-")</f>
        <v>-</v>
      </c>
      <c r="R824" s="97" t="str">
        <f>IFERROR(__xludf.DUMMYFUNCTION("""COMPUTED_VALUE"""),"-")</f>
        <v>-</v>
      </c>
      <c r="S824" s="97" t="str">
        <f>IFERROR(__xludf.DUMMYFUNCTION("""COMPUTED_VALUE"""),"-")</f>
        <v>-</v>
      </c>
      <c r="T824" s="97" t="str">
        <f>IFERROR(__xludf.DUMMYFUNCTION("""COMPUTED_VALUE"""),"-")</f>
        <v>-</v>
      </c>
      <c r="U824" s="97" t="str">
        <f>IFERROR(__xludf.DUMMYFUNCTION("""COMPUTED_VALUE"""),"-")</f>
        <v>-</v>
      </c>
      <c r="V824" s="97" t="str">
        <f>IFERROR(__xludf.DUMMYFUNCTION("""COMPUTED_VALUE"""),"N/A")</f>
        <v>N/A</v>
      </c>
      <c r="W824" s="97" t="str">
        <f>IFERROR(__xludf.DUMMYFUNCTION("""COMPUTED_VALUE"""),"N/A")</f>
        <v>N/A</v>
      </c>
      <c r="X824" s="97" t="str">
        <f>IFERROR(__xludf.DUMMYFUNCTION("""COMPUTED_VALUE"""),"-")</f>
        <v>-</v>
      </c>
      <c r="Y824" s="97" t="str">
        <f>IFERROR(__xludf.DUMMYFUNCTION("""COMPUTED_VALUE"""),"N/A")</f>
        <v>N/A</v>
      </c>
      <c r="Z824" s="97" t="str">
        <f>IFERROR(__xludf.DUMMYFUNCTION("""COMPUTED_VALUE"""),"N/A")</f>
        <v>N/A</v>
      </c>
      <c r="AA824" s="97" t="str">
        <f>IFERROR(__xludf.DUMMYFUNCTION("""COMPUTED_VALUE"""),"N/A")</f>
        <v>N/A</v>
      </c>
      <c r="AB824" s="97" t="str">
        <f>IFERROR(__xludf.DUMMYFUNCTION("""COMPUTED_VALUE"""),"N/A")</f>
        <v>N/A</v>
      </c>
      <c r="AC824" s="97" t="str">
        <f>IFERROR(__xludf.DUMMYFUNCTION("""COMPUTED_VALUE"""),"N/A")</f>
        <v>N/A</v>
      </c>
      <c r="AD824" s="97" t="str">
        <f>IFERROR(__xludf.DUMMYFUNCTION("""COMPUTED_VALUE"""),"IP20")</f>
        <v>IP20</v>
      </c>
      <c r="AE824" s="97" t="str">
        <f>IFERROR(__xludf.DUMMYFUNCTION("""COMPUTED_VALUE"""),"Clase l")</f>
        <v>Clase l</v>
      </c>
      <c r="AF824" s="97" t="str">
        <f>IFERROR(__xludf.DUMMYFUNCTION("""COMPUTED_VALUE"""),"N/A")</f>
        <v>N/A</v>
      </c>
      <c r="AG824" s="97" t="str">
        <f>IFERROR(__xludf.DUMMYFUNCTION("""COMPUTED_VALUE"""),"165 x 165 x 32")</f>
        <v>165 x 165 x 32</v>
      </c>
      <c r="AH824" s="97" t="str">
        <f>IFERROR(__xludf.DUMMYFUNCTION("""COMPUTED_VALUE"""),"N/A")</f>
        <v>N/A</v>
      </c>
      <c r="AI824" s="97" t="str">
        <f>IFERROR(__xludf.DUMMYFUNCTION("""COMPUTED_VALUE"""),"N/A")</f>
        <v>N/A</v>
      </c>
      <c r="AJ824" s="97" t="str">
        <f>IFERROR(__xludf.DUMMYFUNCTION("""COMPUTED_VALUE"""),"N/A")</f>
        <v>N/A</v>
      </c>
      <c r="AK824" s="97" t="str">
        <f>IFERROR(__xludf.DUMMYFUNCTION("""COMPUTED_VALUE"""),"Policarbonato (PC)")</f>
        <v>Policarbonato (PC)</v>
      </c>
      <c r="AL824" s="97" t="str">
        <f>IFERROR(__xludf.DUMMYFUNCTION("""COMPUTED_VALUE"""),"Negro Mate")</f>
        <v>Negro Mate</v>
      </c>
      <c r="AM824" s="97" t="str">
        <f>IFERROR(__xludf.DUMMYFUNCTION("""COMPUTED_VALUE"""),"-")</f>
        <v>-</v>
      </c>
      <c r="AN824" s="97" t="str">
        <f>IFERROR(__xludf.DUMMYFUNCTION("""COMPUTED_VALUE"""),"N/A")</f>
        <v>N/A</v>
      </c>
      <c r="AO824" s="97" t="str">
        <f>IFERROR(__xludf.DUMMYFUNCTION("""COMPUTED_VALUE"""),"3 Años")</f>
        <v>3 Años</v>
      </c>
      <c r="AP824" s="97" t="str">
        <f>IFERROR(__xludf.DUMMYFUNCTION("""COMPUTED_VALUE"""),"No Aplica")</f>
        <v>No Aplica</v>
      </c>
      <c r="AQ824" s="97" t="str">
        <f>IFERROR(__xludf.DUMMYFUNCTION("""COMPUTED_VALUE"""),"No Aplica")</f>
        <v>No Aplica</v>
      </c>
      <c r="AR824" s="97" t="str">
        <f>IFERROR(__xludf.DUMMYFUNCTION("""COMPUTED_VALUE"""),"No Aplica")</f>
        <v>No Aplica</v>
      </c>
      <c r="AS824" s="97"/>
      <c r="AT824" s="97"/>
      <c r="AU824" s="97" t="str">
        <f>IFERROR(__xludf.DUMMYFUNCTION("""COMPUTED_VALUE"""),"Falta")</f>
        <v>Falta</v>
      </c>
      <c r="AV824" s="97" t="str">
        <f>IFERROR(__xludf.DUMMYFUNCTION("""COMPUTED_VALUE"""),"Unión")</f>
        <v>Unión</v>
      </c>
      <c r="AW824" s="97" t="str">
        <f>IFERROR(__xludf.DUMMYFUNCTION("""COMPUTED_VALUE"""),"Rieles")</f>
        <v>Rieles</v>
      </c>
      <c r="AX824" s="97" t="str">
        <f>IFERROR(__xludf.DUMMYFUNCTION("""COMPUTED_VALUE"""),"Interior")</f>
        <v>Interior</v>
      </c>
      <c r="AY824" s="97" t="str">
        <f>IFERROR(__xludf.DUMMYFUNCTION("""COMPUTED_VALUE"""),"-")</f>
        <v>-</v>
      </c>
      <c r="AZ824" s="97" t="str">
        <f>IFERROR(__xludf.DUMMYFUNCTION("""COMPUTED_VALUE"""),"Soporta 10A. Con entrada de alimentación 220 V~.")</f>
        <v>Soporta 10A. Con entrada de alimentación 220 V~.</v>
      </c>
      <c r="BA824" s="97">
        <f>IFERROR(__xludf.DUMMYFUNCTION("""COMPUTED_VALUE"""),20.0)</f>
        <v>20</v>
      </c>
      <c r="BB824" s="97" t="str">
        <f>IFERROR(__xludf.DUMMYFUNCTION("""COMPUTED_VALUE"""),"-")</f>
        <v>-</v>
      </c>
      <c r="BC824" s="97" t="str">
        <f>IFERROR(__xludf.DUMMYFUNCTION("""COMPUTED_VALUE"""),"-")</f>
        <v>-</v>
      </c>
      <c r="BD824" s="97" t="str">
        <f>IFERROR(__xludf.DUMMYFUNCTION("""COMPUTED_VALUE"""),"RIELES 3EF")</f>
        <v>RIELES 3EF</v>
      </c>
      <c r="BE824" s="97" t="str">
        <f>IFERROR(__xludf.DUMMYFUNCTION("""COMPUTED_VALUE"""),"Finalizada")</f>
        <v>Finalizada</v>
      </c>
      <c r="BF824" s="97"/>
      <c r="BG824" s="97" t="str">
        <f>IFERROR(__xludf.DUMMYFUNCTION("""COMPUTED_VALUE"""),"Activo")</f>
        <v>Activo</v>
      </c>
    </row>
    <row r="825">
      <c r="A825" s="97">
        <f>IFERROR(__xludf.DUMMYFUNCTION("""COMPUTED_VALUE"""),6598.0)</f>
        <v>6598</v>
      </c>
      <c r="B825" s="97" t="str">
        <f>IFERROR(__xludf.DUMMYFUNCTION("""COMPUTED_VALUE"""),"UNION T 3EF BL")</f>
        <v>UNION T 3EF BL</v>
      </c>
      <c r="C825" s="97" t="str">
        <f>IFERROR(__xludf.DUMMYFUNCTION("""COMPUTED_VALUE"""),"UNIÓN UNION T 3EF BL LEUK")</f>
        <v>UNIÓN UNION T 3EF BL LEUK</v>
      </c>
      <c r="D825" s="97">
        <f>IFERROR(__xludf.DUMMYFUNCTION("""COMPUTED_VALUE"""),7.798413220193E12)</f>
        <v>7798413220193</v>
      </c>
      <c r="E825" s="97"/>
      <c r="F825" s="97" t="str">
        <f>IFERROR(__xludf.DUMMYFUNCTION("""COMPUTED_VALUE"""),"N/A")</f>
        <v>N/A</v>
      </c>
      <c r="G825" s="97" t="str">
        <f>IFERROR(__xludf.DUMMYFUNCTION("""COMPUTED_VALUE"""),"N/A")</f>
        <v>N/A</v>
      </c>
      <c r="H825" s="97" t="str">
        <f>IFERROR(__xludf.DUMMYFUNCTION("""COMPUTED_VALUE"""),"N/A")</f>
        <v>N/A</v>
      </c>
      <c r="I825" s="97" t="str">
        <f>IFERROR(__xludf.DUMMYFUNCTION("""COMPUTED_VALUE"""),"N/A")</f>
        <v>N/A</v>
      </c>
      <c r="J825" s="97" t="str">
        <f>IFERROR(__xludf.DUMMYFUNCTION("""COMPUTED_VALUE"""),"N/A")</f>
        <v>N/A</v>
      </c>
      <c r="K825" s="97" t="str">
        <f>IFERROR(__xludf.DUMMYFUNCTION("""COMPUTED_VALUE"""),"N/A")</f>
        <v>N/A</v>
      </c>
      <c r="L825" s="97">
        <f>IFERROR(__xludf.DUMMYFUNCTION("""COMPUTED_VALUE"""),220.0)</f>
        <v>220</v>
      </c>
      <c r="M825" s="97">
        <f>IFERROR(__xludf.DUMMYFUNCTION("""COMPUTED_VALUE"""),50.0)</f>
        <v>50</v>
      </c>
      <c r="N825" s="97" t="str">
        <f>IFERROR(__xludf.DUMMYFUNCTION("""COMPUTED_VALUE"""),"N/A")</f>
        <v>N/A</v>
      </c>
      <c r="O825" s="97" t="str">
        <f>IFERROR(__xludf.DUMMYFUNCTION("""COMPUTED_VALUE"""),"-")</f>
        <v>-</v>
      </c>
      <c r="P825" s="97"/>
      <c r="Q825" s="97" t="str">
        <f>IFERROR(__xludf.DUMMYFUNCTION("""COMPUTED_VALUE"""),"-")</f>
        <v>-</v>
      </c>
      <c r="R825" s="97" t="str">
        <f>IFERROR(__xludf.DUMMYFUNCTION("""COMPUTED_VALUE"""),"-")</f>
        <v>-</v>
      </c>
      <c r="S825" s="97" t="str">
        <f>IFERROR(__xludf.DUMMYFUNCTION("""COMPUTED_VALUE"""),"-")</f>
        <v>-</v>
      </c>
      <c r="T825" s="97" t="str">
        <f>IFERROR(__xludf.DUMMYFUNCTION("""COMPUTED_VALUE"""),"-")</f>
        <v>-</v>
      </c>
      <c r="U825" s="97" t="str">
        <f>IFERROR(__xludf.DUMMYFUNCTION("""COMPUTED_VALUE"""),"-")</f>
        <v>-</v>
      </c>
      <c r="V825" s="97" t="str">
        <f>IFERROR(__xludf.DUMMYFUNCTION("""COMPUTED_VALUE"""),"N/A")</f>
        <v>N/A</v>
      </c>
      <c r="W825" s="97" t="str">
        <f>IFERROR(__xludf.DUMMYFUNCTION("""COMPUTED_VALUE"""),"N/A")</f>
        <v>N/A</v>
      </c>
      <c r="X825" s="97" t="str">
        <f>IFERROR(__xludf.DUMMYFUNCTION("""COMPUTED_VALUE"""),"-")</f>
        <v>-</v>
      </c>
      <c r="Y825" s="97" t="str">
        <f>IFERROR(__xludf.DUMMYFUNCTION("""COMPUTED_VALUE"""),"N/A")</f>
        <v>N/A</v>
      </c>
      <c r="Z825" s="97" t="str">
        <f>IFERROR(__xludf.DUMMYFUNCTION("""COMPUTED_VALUE"""),"N/A")</f>
        <v>N/A</v>
      </c>
      <c r="AA825" s="97" t="str">
        <f>IFERROR(__xludf.DUMMYFUNCTION("""COMPUTED_VALUE"""),"N/A")</f>
        <v>N/A</v>
      </c>
      <c r="AB825" s="97" t="str">
        <f>IFERROR(__xludf.DUMMYFUNCTION("""COMPUTED_VALUE"""),"N/A")</f>
        <v>N/A</v>
      </c>
      <c r="AC825" s="97" t="str">
        <f>IFERROR(__xludf.DUMMYFUNCTION("""COMPUTED_VALUE"""),"N/A")</f>
        <v>N/A</v>
      </c>
      <c r="AD825" s="97" t="str">
        <f>IFERROR(__xludf.DUMMYFUNCTION("""COMPUTED_VALUE"""),"IP20")</f>
        <v>IP20</v>
      </c>
      <c r="AE825" s="97" t="str">
        <f>IFERROR(__xludf.DUMMYFUNCTION("""COMPUTED_VALUE"""),"Clase l")</f>
        <v>Clase l</v>
      </c>
      <c r="AF825" s="97" t="str">
        <f>IFERROR(__xludf.DUMMYFUNCTION("""COMPUTED_VALUE"""),"N/A")</f>
        <v>N/A</v>
      </c>
      <c r="AG825" s="97" t="str">
        <f>IFERROR(__xludf.DUMMYFUNCTION("""COMPUTED_VALUE"""),"165 x 97 x 32")</f>
        <v>165 x 97 x 32</v>
      </c>
      <c r="AH825" s="97" t="str">
        <f>IFERROR(__xludf.DUMMYFUNCTION("""COMPUTED_VALUE"""),"N/A")</f>
        <v>N/A</v>
      </c>
      <c r="AI825" s="97" t="str">
        <f>IFERROR(__xludf.DUMMYFUNCTION("""COMPUTED_VALUE"""),"N/A")</f>
        <v>N/A</v>
      </c>
      <c r="AJ825" s="97" t="str">
        <f>IFERROR(__xludf.DUMMYFUNCTION("""COMPUTED_VALUE"""),"N/A")</f>
        <v>N/A</v>
      </c>
      <c r="AK825" s="97" t="str">
        <f>IFERROR(__xludf.DUMMYFUNCTION("""COMPUTED_VALUE"""),"Policarbonato (PC)")</f>
        <v>Policarbonato (PC)</v>
      </c>
      <c r="AL825" s="97" t="str">
        <f>IFERROR(__xludf.DUMMYFUNCTION("""COMPUTED_VALUE"""),"Blanco Mate")</f>
        <v>Blanco Mate</v>
      </c>
      <c r="AM825" s="97" t="str">
        <f>IFERROR(__xludf.DUMMYFUNCTION("""COMPUTED_VALUE"""),"-")</f>
        <v>-</v>
      </c>
      <c r="AN825" s="97" t="str">
        <f>IFERROR(__xludf.DUMMYFUNCTION("""COMPUTED_VALUE"""),"N/A")</f>
        <v>N/A</v>
      </c>
      <c r="AO825" s="97" t="str">
        <f>IFERROR(__xludf.DUMMYFUNCTION("""COMPUTED_VALUE"""),"3 Años")</f>
        <v>3 Años</v>
      </c>
      <c r="AP825" s="97" t="str">
        <f>IFERROR(__xludf.DUMMYFUNCTION("""COMPUTED_VALUE"""),"No Aplica")</f>
        <v>No Aplica</v>
      </c>
      <c r="AQ825" s="97" t="str">
        <f>IFERROR(__xludf.DUMMYFUNCTION("""COMPUTED_VALUE"""),"No Aplica")</f>
        <v>No Aplica</v>
      </c>
      <c r="AR825" s="97" t="str">
        <f>IFERROR(__xludf.DUMMYFUNCTION("""COMPUTED_VALUE"""),"No Aplica")</f>
        <v>No Aplica</v>
      </c>
      <c r="AS825" s="97"/>
      <c r="AT825" s="97"/>
      <c r="AU825" s="97" t="str">
        <f>IFERROR(__xludf.DUMMYFUNCTION("""COMPUTED_VALUE"""),"Falta")</f>
        <v>Falta</v>
      </c>
      <c r="AV825" s="97" t="str">
        <f>IFERROR(__xludf.DUMMYFUNCTION("""COMPUTED_VALUE"""),"Unión")</f>
        <v>Unión</v>
      </c>
      <c r="AW825" s="97" t="str">
        <f>IFERROR(__xludf.DUMMYFUNCTION("""COMPUTED_VALUE"""),"Rieles")</f>
        <v>Rieles</v>
      </c>
      <c r="AX825" s="97" t="str">
        <f>IFERROR(__xludf.DUMMYFUNCTION("""COMPUTED_VALUE"""),"Interior")</f>
        <v>Interior</v>
      </c>
      <c r="AY825" s="97" t="str">
        <f>IFERROR(__xludf.DUMMYFUNCTION("""COMPUTED_VALUE"""),"-")</f>
        <v>-</v>
      </c>
      <c r="AZ825" s="97" t="str">
        <f>IFERROR(__xludf.DUMMYFUNCTION("""COMPUTED_VALUE"""),"Soporta 10A. Con entrada de alimentación 220 V~.")</f>
        <v>Soporta 10A. Con entrada de alimentación 220 V~.</v>
      </c>
      <c r="BA825" s="97">
        <f>IFERROR(__xludf.DUMMYFUNCTION("""COMPUTED_VALUE"""),20.0)</f>
        <v>20</v>
      </c>
      <c r="BB825" s="97" t="str">
        <f>IFERROR(__xludf.DUMMYFUNCTION("""COMPUTED_VALUE"""),"-")</f>
        <v>-</v>
      </c>
      <c r="BC825" s="97" t="str">
        <f>IFERROR(__xludf.DUMMYFUNCTION("""COMPUTED_VALUE"""),"-")</f>
        <v>-</v>
      </c>
      <c r="BD825" s="97" t="str">
        <f>IFERROR(__xludf.DUMMYFUNCTION("""COMPUTED_VALUE"""),"RIELES 3EF")</f>
        <v>RIELES 3EF</v>
      </c>
      <c r="BE825" s="97" t="str">
        <f>IFERROR(__xludf.DUMMYFUNCTION("""COMPUTED_VALUE"""),"Finalizada")</f>
        <v>Finalizada</v>
      </c>
      <c r="BF825" s="97"/>
      <c r="BG825" s="97" t="str">
        <f>IFERROR(__xludf.DUMMYFUNCTION("""COMPUTED_VALUE"""),"Activo")</f>
        <v>Activo</v>
      </c>
    </row>
    <row r="826">
      <c r="A826" s="97">
        <f>IFERROR(__xludf.DUMMYFUNCTION("""COMPUTED_VALUE"""),6599.0)</f>
        <v>6599</v>
      </c>
      <c r="B826" s="97" t="str">
        <f>IFERROR(__xludf.DUMMYFUNCTION("""COMPUTED_VALUE"""),"UNION T 3EF NG")</f>
        <v>UNION T 3EF NG</v>
      </c>
      <c r="C826" s="97" t="str">
        <f>IFERROR(__xludf.DUMMYFUNCTION("""COMPUTED_VALUE"""),"UNIÓN UNION T 3EF NG LEUK")</f>
        <v>UNIÓN UNION T 3EF NG LEUK</v>
      </c>
      <c r="D826" s="97">
        <f>IFERROR(__xludf.DUMMYFUNCTION("""COMPUTED_VALUE"""),7.798413220186E12)</f>
        <v>7798413220186</v>
      </c>
      <c r="E826" s="97"/>
      <c r="F826" s="97" t="str">
        <f>IFERROR(__xludf.DUMMYFUNCTION("""COMPUTED_VALUE"""),"N/A")</f>
        <v>N/A</v>
      </c>
      <c r="G826" s="97" t="str">
        <f>IFERROR(__xludf.DUMMYFUNCTION("""COMPUTED_VALUE"""),"N/A")</f>
        <v>N/A</v>
      </c>
      <c r="H826" s="97" t="str">
        <f>IFERROR(__xludf.DUMMYFUNCTION("""COMPUTED_VALUE"""),"N/A")</f>
        <v>N/A</v>
      </c>
      <c r="I826" s="97" t="str">
        <f>IFERROR(__xludf.DUMMYFUNCTION("""COMPUTED_VALUE"""),"N/A")</f>
        <v>N/A</v>
      </c>
      <c r="J826" s="97" t="str">
        <f>IFERROR(__xludf.DUMMYFUNCTION("""COMPUTED_VALUE"""),"N/A")</f>
        <v>N/A</v>
      </c>
      <c r="K826" s="97" t="str">
        <f>IFERROR(__xludf.DUMMYFUNCTION("""COMPUTED_VALUE"""),"N/A")</f>
        <v>N/A</v>
      </c>
      <c r="L826" s="97">
        <f>IFERROR(__xludf.DUMMYFUNCTION("""COMPUTED_VALUE"""),220.0)</f>
        <v>220</v>
      </c>
      <c r="M826" s="97">
        <f>IFERROR(__xludf.DUMMYFUNCTION("""COMPUTED_VALUE"""),50.0)</f>
        <v>50</v>
      </c>
      <c r="N826" s="97" t="str">
        <f>IFERROR(__xludf.DUMMYFUNCTION("""COMPUTED_VALUE"""),"N/A")</f>
        <v>N/A</v>
      </c>
      <c r="O826" s="97" t="str">
        <f>IFERROR(__xludf.DUMMYFUNCTION("""COMPUTED_VALUE"""),"-")</f>
        <v>-</v>
      </c>
      <c r="P826" s="97"/>
      <c r="Q826" s="97" t="str">
        <f>IFERROR(__xludf.DUMMYFUNCTION("""COMPUTED_VALUE"""),"-")</f>
        <v>-</v>
      </c>
      <c r="R826" s="97" t="str">
        <f>IFERROR(__xludf.DUMMYFUNCTION("""COMPUTED_VALUE"""),"-")</f>
        <v>-</v>
      </c>
      <c r="S826" s="97" t="str">
        <f>IFERROR(__xludf.DUMMYFUNCTION("""COMPUTED_VALUE"""),"-")</f>
        <v>-</v>
      </c>
      <c r="T826" s="97" t="str">
        <f>IFERROR(__xludf.DUMMYFUNCTION("""COMPUTED_VALUE"""),"-")</f>
        <v>-</v>
      </c>
      <c r="U826" s="97" t="str">
        <f>IFERROR(__xludf.DUMMYFUNCTION("""COMPUTED_VALUE"""),"-")</f>
        <v>-</v>
      </c>
      <c r="V826" s="97" t="str">
        <f>IFERROR(__xludf.DUMMYFUNCTION("""COMPUTED_VALUE"""),"N/A")</f>
        <v>N/A</v>
      </c>
      <c r="W826" s="97" t="str">
        <f>IFERROR(__xludf.DUMMYFUNCTION("""COMPUTED_VALUE"""),"N/A")</f>
        <v>N/A</v>
      </c>
      <c r="X826" s="97" t="str">
        <f>IFERROR(__xludf.DUMMYFUNCTION("""COMPUTED_VALUE"""),"-")</f>
        <v>-</v>
      </c>
      <c r="Y826" s="97" t="str">
        <f>IFERROR(__xludf.DUMMYFUNCTION("""COMPUTED_VALUE"""),"N/A")</f>
        <v>N/A</v>
      </c>
      <c r="Z826" s="97" t="str">
        <f>IFERROR(__xludf.DUMMYFUNCTION("""COMPUTED_VALUE"""),"N/A")</f>
        <v>N/A</v>
      </c>
      <c r="AA826" s="97" t="str">
        <f>IFERROR(__xludf.DUMMYFUNCTION("""COMPUTED_VALUE"""),"N/A")</f>
        <v>N/A</v>
      </c>
      <c r="AB826" s="97" t="str">
        <f>IFERROR(__xludf.DUMMYFUNCTION("""COMPUTED_VALUE"""),"N/A")</f>
        <v>N/A</v>
      </c>
      <c r="AC826" s="97" t="str">
        <f>IFERROR(__xludf.DUMMYFUNCTION("""COMPUTED_VALUE"""),"N/A")</f>
        <v>N/A</v>
      </c>
      <c r="AD826" s="97" t="str">
        <f>IFERROR(__xludf.DUMMYFUNCTION("""COMPUTED_VALUE"""),"IP20")</f>
        <v>IP20</v>
      </c>
      <c r="AE826" s="97" t="str">
        <f>IFERROR(__xludf.DUMMYFUNCTION("""COMPUTED_VALUE"""),"Clase l")</f>
        <v>Clase l</v>
      </c>
      <c r="AF826" s="97" t="str">
        <f>IFERROR(__xludf.DUMMYFUNCTION("""COMPUTED_VALUE"""),"N/A")</f>
        <v>N/A</v>
      </c>
      <c r="AG826" s="97" t="str">
        <f>IFERROR(__xludf.DUMMYFUNCTION("""COMPUTED_VALUE"""),"165 x 97 x 32")</f>
        <v>165 x 97 x 32</v>
      </c>
      <c r="AH826" s="97" t="str">
        <f>IFERROR(__xludf.DUMMYFUNCTION("""COMPUTED_VALUE"""),"N/A")</f>
        <v>N/A</v>
      </c>
      <c r="AI826" s="97" t="str">
        <f>IFERROR(__xludf.DUMMYFUNCTION("""COMPUTED_VALUE"""),"N/A")</f>
        <v>N/A</v>
      </c>
      <c r="AJ826" s="97" t="str">
        <f>IFERROR(__xludf.DUMMYFUNCTION("""COMPUTED_VALUE"""),"N/A")</f>
        <v>N/A</v>
      </c>
      <c r="AK826" s="97" t="str">
        <f>IFERROR(__xludf.DUMMYFUNCTION("""COMPUTED_VALUE"""),"Policarbonato (PC)")</f>
        <v>Policarbonato (PC)</v>
      </c>
      <c r="AL826" s="97" t="str">
        <f>IFERROR(__xludf.DUMMYFUNCTION("""COMPUTED_VALUE"""),"Negro Mate")</f>
        <v>Negro Mate</v>
      </c>
      <c r="AM826" s="97" t="str">
        <f>IFERROR(__xludf.DUMMYFUNCTION("""COMPUTED_VALUE"""),"-")</f>
        <v>-</v>
      </c>
      <c r="AN826" s="97" t="str">
        <f>IFERROR(__xludf.DUMMYFUNCTION("""COMPUTED_VALUE"""),"N/A")</f>
        <v>N/A</v>
      </c>
      <c r="AO826" s="97" t="str">
        <f>IFERROR(__xludf.DUMMYFUNCTION("""COMPUTED_VALUE"""),"3 Años")</f>
        <v>3 Años</v>
      </c>
      <c r="AP826" s="97" t="str">
        <f>IFERROR(__xludf.DUMMYFUNCTION("""COMPUTED_VALUE"""),"No Aplica")</f>
        <v>No Aplica</v>
      </c>
      <c r="AQ826" s="97" t="str">
        <f>IFERROR(__xludf.DUMMYFUNCTION("""COMPUTED_VALUE"""),"No Aplica")</f>
        <v>No Aplica</v>
      </c>
      <c r="AR826" s="97" t="str">
        <f>IFERROR(__xludf.DUMMYFUNCTION("""COMPUTED_VALUE"""),"No Aplica")</f>
        <v>No Aplica</v>
      </c>
      <c r="AS826" s="97"/>
      <c r="AT826" s="97"/>
      <c r="AU826" s="97" t="str">
        <f>IFERROR(__xludf.DUMMYFUNCTION("""COMPUTED_VALUE"""),"Falta")</f>
        <v>Falta</v>
      </c>
      <c r="AV826" s="97" t="str">
        <f>IFERROR(__xludf.DUMMYFUNCTION("""COMPUTED_VALUE"""),"Unión")</f>
        <v>Unión</v>
      </c>
      <c r="AW826" s="97" t="str">
        <f>IFERROR(__xludf.DUMMYFUNCTION("""COMPUTED_VALUE"""),"Rieles")</f>
        <v>Rieles</v>
      </c>
      <c r="AX826" s="97" t="str">
        <f>IFERROR(__xludf.DUMMYFUNCTION("""COMPUTED_VALUE"""),"Interior")</f>
        <v>Interior</v>
      </c>
      <c r="AY826" s="97" t="str">
        <f>IFERROR(__xludf.DUMMYFUNCTION("""COMPUTED_VALUE"""),"-")</f>
        <v>-</v>
      </c>
      <c r="AZ826" s="97" t="str">
        <f>IFERROR(__xludf.DUMMYFUNCTION("""COMPUTED_VALUE"""),"Soporta 10A. Con entrada de alimentación 220 V~.")</f>
        <v>Soporta 10A. Con entrada de alimentación 220 V~.</v>
      </c>
      <c r="BA826" s="97">
        <f>IFERROR(__xludf.DUMMYFUNCTION("""COMPUTED_VALUE"""),20.0)</f>
        <v>20</v>
      </c>
      <c r="BB826" s="97" t="str">
        <f>IFERROR(__xludf.DUMMYFUNCTION("""COMPUTED_VALUE"""),"-")</f>
        <v>-</v>
      </c>
      <c r="BC826" s="97" t="str">
        <f>IFERROR(__xludf.DUMMYFUNCTION("""COMPUTED_VALUE"""),"-")</f>
        <v>-</v>
      </c>
      <c r="BD826" s="97" t="str">
        <f>IFERROR(__xludf.DUMMYFUNCTION("""COMPUTED_VALUE"""),"RIELES 3EF")</f>
        <v>RIELES 3EF</v>
      </c>
      <c r="BE826" s="97" t="str">
        <f>IFERROR(__xludf.DUMMYFUNCTION("""COMPUTED_VALUE"""),"Finalizada")</f>
        <v>Finalizada</v>
      </c>
      <c r="BF826" s="97"/>
      <c r="BG826" s="97" t="str">
        <f>IFERROR(__xludf.DUMMYFUNCTION("""COMPUTED_VALUE"""),"Activo")</f>
        <v>Activo</v>
      </c>
    </row>
    <row r="827">
      <c r="A827" s="97">
        <f>IFERROR(__xludf.DUMMYFUNCTION("""COMPUTED_VALUE"""),6600.0)</f>
        <v>6600</v>
      </c>
      <c r="B827" s="97" t="str">
        <f>IFERROR(__xludf.DUMMYFUNCTION("""COMPUTED_VALUE"""),"UNION L 3EF BL")</f>
        <v>UNION L 3EF BL</v>
      </c>
      <c r="C827" s="97" t="str">
        <f>IFERROR(__xludf.DUMMYFUNCTION("""COMPUTED_VALUE"""),"UNIÓN UNION L 3EF BL LEUK")</f>
        <v>UNIÓN UNION L 3EF BL LEUK</v>
      </c>
      <c r="D827" s="97">
        <f>IFERROR(__xludf.DUMMYFUNCTION("""COMPUTED_VALUE"""),7.798413220179E12)</f>
        <v>7798413220179</v>
      </c>
      <c r="E827" s="97"/>
      <c r="F827" s="97" t="str">
        <f>IFERROR(__xludf.DUMMYFUNCTION("""COMPUTED_VALUE"""),"N/A")</f>
        <v>N/A</v>
      </c>
      <c r="G827" s="97" t="str">
        <f>IFERROR(__xludf.DUMMYFUNCTION("""COMPUTED_VALUE"""),"N/A")</f>
        <v>N/A</v>
      </c>
      <c r="H827" s="97" t="str">
        <f>IFERROR(__xludf.DUMMYFUNCTION("""COMPUTED_VALUE"""),"N/A")</f>
        <v>N/A</v>
      </c>
      <c r="I827" s="97" t="str">
        <f>IFERROR(__xludf.DUMMYFUNCTION("""COMPUTED_VALUE"""),"N/A")</f>
        <v>N/A</v>
      </c>
      <c r="J827" s="97" t="str">
        <f>IFERROR(__xludf.DUMMYFUNCTION("""COMPUTED_VALUE"""),"N/A")</f>
        <v>N/A</v>
      </c>
      <c r="K827" s="97" t="str">
        <f>IFERROR(__xludf.DUMMYFUNCTION("""COMPUTED_VALUE"""),"N/A")</f>
        <v>N/A</v>
      </c>
      <c r="L827" s="97">
        <f>IFERROR(__xludf.DUMMYFUNCTION("""COMPUTED_VALUE"""),220.0)</f>
        <v>220</v>
      </c>
      <c r="M827" s="97">
        <f>IFERROR(__xludf.DUMMYFUNCTION("""COMPUTED_VALUE"""),50.0)</f>
        <v>50</v>
      </c>
      <c r="N827" s="97" t="str">
        <f>IFERROR(__xludf.DUMMYFUNCTION("""COMPUTED_VALUE"""),"N/A")</f>
        <v>N/A</v>
      </c>
      <c r="O827" s="97" t="str">
        <f>IFERROR(__xludf.DUMMYFUNCTION("""COMPUTED_VALUE"""),"-")</f>
        <v>-</v>
      </c>
      <c r="P827" s="97"/>
      <c r="Q827" s="97" t="str">
        <f>IFERROR(__xludf.DUMMYFUNCTION("""COMPUTED_VALUE"""),"-")</f>
        <v>-</v>
      </c>
      <c r="R827" s="97" t="str">
        <f>IFERROR(__xludf.DUMMYFUNCTION("""COMPUTED_VALUE"""),"-")</f>
        <v>-</v>
      </c>
      <c r="S827" s="97" t="str">
        <f>IFERROR(__xludf.DUMMYFUNCTION("""COMPUTED_VALUE"""),"-")</f>
        <v>-</v>
      </c>
      <c r="T827" s="97" t="str">
        <f>IFERROR(__xludf.DUMMYFUNCTION("""COMPUTED_VALUE"""),"-")</f>
        <v>-</v>
      </c>
      <c r="U827" s="97" t="str">
        <f>IFERROR(__xludf.DUMMYFUNCTION("""COMPUTED_VALUE"""),"-")</f>
        <v>-</v>
      </c>
      <c r="V827" s="97" t="str">
        <f>IFERROR(__xludf.DUMMYFUNCTION("""COMPUTED_VALUE"""),"N/A")</f>
        <v>N/A</v>
      </c>
      <c r="W827" s="97" t="str">
        <f>IFERROR(__xludf.DUMMYFUNCTION("""COMPUTED_VALUE"""),"N/A")</f>
        <v>N/A</v>
      </c>
      <c r="X827" s="97" t="str">
        <f>IFERROR(__xludf.DUMMYFUNCTION("""COMPUTED_VALUE"""),"-")</f>
        <v>-</v>
      </c>
      <c r="Y827" s="97" t="str">
        <f>IFERROR(__xludf.DUMMYFUNCTION("""COMPUTED_VALUE"""),"N/A")</f>
        <v>N/A</v>
      </c>
      <c r="Z827" s="97" t="str">
        <f>IFERROR(__xludf.DUMMYFUNCTION("""COMPUTED_VALUE"""),"N/A")</f>
        <v>N/A</v>
      </c>
      <c r="AA827" s="97" t="str">
        <f>IFERROR(__xludf.DUMMYFUNCTION("""COMPUTED_VALUE"""),"N/A")</f>
        <v>N/A</v>
      </c>
      <c r="AB827" s="97" t="str">
        <f>IFERROR(__xludf.DUMMYFUNCTION("""COMPUTED_VALUE"""),"N/A")</f>
        <v>N/A</v>
      </c>
      <c r="AC827" s="97" t="str">
        <f>IFERROR(__xludf.DUMMYFUNCTION("""COMPUTED_VALUE"""),"N/A")</f>
        <v>N/A</v>
      </c>
      <c r="AD827" s="97" t="str">
        <f>IFERROR(__xludf.DUMMYFUNCTION("""COMPUTED_VALUE"""),"IP20")</f>
        <v>IP20</v>
      </c>
      <c r="AE827" s="97" t="str">
        <f>IFERROR(__xludf.DUMMYFUNCTION("""COMPUTED_VALUE"""),"Clase l")</f>
        <v>Clase l</v>
      </c>
      <c r="AF827" s="97" t="str">
        <f>IFERROR(__xludf.DUMMYFUNCTION("""COMPUTED_VALUE"""),"N/A")</f>
        <v>N/A</v>
      </c>
      <c r="AG827" s="97" t="str">
        <f>IFERROR(__xludf.DUMMYFUNCTION("""COMPUTED_VALUE"""),"97 x 97 x 32")</f>
        <v>97 x 97 x 32</v>
      </c>
      <c r="AH827" s="97" t="str">
        <f>IFERROR(__xludf.DUMMYFUNCTION("""COMPUTED_VALUE"""),"N/A")</f>
        <v>N/A</v>
      </c>
      <c r="AI827" s="97" t="str">
        <f>IFERROR(__xludf.DUMMYFUNCTION("""COMPUTED_VALUE"""),"N/A")</f>
        <v>N/A</v>
      </c>
      <c r="AJ827" s="97" t="str">
        <f>IFERROR(__xludf.DUMMYFUNCTION("""COMPUTED_VALUE"""),"N/A")</f>
        <v>N/A</v>
      </c>
      <c r="AK827" s="97" t="str">
        <f>IFERROR(__xludf.DUMMYFUNCTION("""COMPUTED_VALUE"""),"Policarbonato (PC)")</f>
        <v>Policarbonato (PC)</v>
      </c>
      <c r="AL827" s="97" t="str">
        <f>IFERROR(__xludf.DUMMYFUNCTION("""COMPUTED_VALUE"""),"Blanco Mate")</f>
        <v>Blanco Mate</v>
      </c>
      <c r="AM827" s="97" t="str">
        <f>IFERROR(__xludf.DUMMYFUNCTION("""COMPUTED_VALUE"""),"-")</f>
        <v>-</v>
      </c>
      <c r="AN827" s="97" t="str">
        <f>IFERROR(__xludf.DUMMYFUNCTION("""COMPUTED_VALUE"""),"N/A")</f>
        <v>N/A</v>
      </c>
      <c r="AO827" s="97" t="str">
        <f>IFERROR(__xludf.DUMMYFUNCTION("""COMPUTED_VALUE"""),"3 Años")</f>
        <v>3 Años</v>
      </c>
      <c r="AP827" s="97" t="str">
        <f>IFERROR(__xludf.DUMMYFUNCTION("""COMPUTED_VALUE"""),"No Aplica")</f>
        <v>No Aplica</v>
      </c>
      <c r="AQ827" s="97" t="str">
        <f>IFERROR(__xludf.DUMMYFUNCTION("""COMPUTED_VALUE"""),"No Aplica")</f>
        <v>No Aplica</v>
      </c>
      <c r="AR827" s="97" t="str">
        <f>IFERROR(__xludf.DUMMYFUNCTION("""COMPUTED_VALUE"""),"No Aplica")</f>
        <v>No Aplica</v>
      </c>
      <c r="AS827" s="97"/>
      <c r="AT827" s="97"/>
      <c r="AU827" s="97" t="str">
        <f>IFERROR(__xludf.DUMMYFUNCTION("""COMPUTED_VALUE"""),"Falta")</f>
        <v>Falta</v>
      </c>
      <c r="AV827" s="97" t="str">
        <f>IFERROR(__xludf.DUMMYFUNCTION("""COMPUTED_VALUE"""),"Unión")</f>
        <v>Unión</v>
      </c>
      <c r="AW827" s="97" t="str">
        <f>IFERROR(__xludf.DUMMYFUNCTION("""COMPUTED_VALUE"""),"Rieles")</f>
        <v>Rieles</v>
      </c>
      <c r="AX827" s="97" t="str">
        <f>IFERROR(__xludf.DUMMYFUNCTION("""COMPUTED_VALUE"""),"Interior")</f>
        <v>Interior</v>
      </c>
      <c r="AY827" s="97" t="str">
        <f>IFERROR(__xludf.DUMMYFUNCTION("""COMPUTED_VALUE"""),"-")</f>
        <v>-</v>
      </c>
      <c r="AZ827" s="97" t="str">
        <f>IFERROR(__xludf.DUMMYFUNCTION("""COMPUTED_VALUE"""),"Soporta 10A. Con entrada de alimentación 220 V~.")</f>
        <v>Soporta 10A. Con entrada de alimentación 220 V~.</v>
      </c>
      <c r="BA827" s="97">
        <f>IFERROR(__xludf.DUMMYFUNCTION("""COMPUTED_VALUE"""),20.0)</f>
        <v>20</v>
      </c>
      <c r="BB827" s="97" t="str">
        <f>IFERROR(__xludf.DUMMYFUNCTION("""COMPUTED_VALUE"""),"-")</f>
        <v>-</v>
      </c>
      <c r="BC827" s="97" t="str">
        <f>IFERROR(__xludf.DUMMYFUNCTION("""COMPUTED_VALUE"""),"-")</f>
        <v>-</v>
      </c>
      <c r="BD827" s="97" t="str">
        <f>IFERROR(__xludf.DUMMYFUNCTION("""COMPUTED_VALUE"""),"RIELES 3EF")</f>
        <v>RIELES 3EF</v>
      </c>
      <c r="BE827" s="97" t="str">
        <f>IFERROR(__xludf.DUMMYFUNCTION("""COMPUTED_VALUE"""),"Finalizada")</f>
        <v>Finalizada</v>
      </c>
      <c r="BF827" s="97"/>
      <c r="BG827" s="97" t="str">
        <f>IFERROR(__xludf.DUMMYFUNCTION("""COMPUTED_VALUE"""),"Activo")</f>
        <v>Activo</v>
      </c>
    </row>
    <row r="828">
      <c r="A828" s="97">
        <f>IFERROR(__xludf.DUMMYFUNCTION("""COMPUTED_VALUE"""),6601.0)</f>
        <v>6601</v>
      </c>
      <c r="B828" s="97" t="str">
        <f>IFERROR(__xludf.DUMMYFUNCTION("""COMPUTED_VALUE"""),"UNION L 3EF NG")</f>
        <v>UNION L 3EF NG</v>
      </c>
      <c r="C828" s="97" t="str">
        <f>IFERROR(__xludf.DUMMYFUNCTION("""COMPUTED_VALUE"""),"UNIÓN UNION L 3EF NG LEUK")</f>
        <v>UNIÓN UNION L 3EF NG LEUK</v>
      </c>
      <c r="D828" s="97">
        <f>IFERROR(__xludf.DUMMYFUNCTION("""COMPUTED_VALUE"""),7.798413220162E12)</f>
        <v>7798413220162</v>
      </c>
      <c r="E828" s="97"/>
      <c r="F828" s="97" t="str">
        <f>IFERROR(__xludf.DUMMYFUNCTION("""COMPUTED_VALUE"""),"N/A")</f>
        <v>N/A</v>
      </c>
      <c r="G828" s="97" t="str">
        <f>IFERROR(__xludf.DUMMYFUNCTION("""COMPUTED_VALUE"""),"N/A")</f>
        <v>N/A</v>
      </c>
      <c r="H828" s="97" t="str">
        <f>IFERROR(__xludf.DUMMYFUNCTION("""COMPUTED_VALUE"""),"N/A")</f>
        <v>N/A</v>
      </c>
      <c r="I828" s="97" t="str">
        <f>IFERROR(__xludf.DUMMYFUNCTION("""COMPUTED_VALUE"""),"N/A")</f>
        <v>N/A</v>
      </c>
      <c r="J828" s="97" t="str">
        <f>IFERROR(__xludf.DUMMYFUNCTION("""COMPUTED_VALUE"""),"N/A")</f>
        <v>N/A</v>
      </c>
      <c r="K828" s="97" t="str">
        <f>IFERROR(__xludf.DUMMYFUNCTION("""COMPUTED_VALUE"""),"N/A")</f>
        <v>N/A</v>
      </c>
      <c r="L828" s="97">
        <f>IFERROR(__xludf.DUMMYFUNCTION("""COMPUTED_VALUE"""),220.0)</f>
        <v>220</v>
      </c>
      <c r="M828" s="97">
        <f>IFERROR(__xludf.DUMMYFUNCTION("""COMPUTED_VALUE"""),50.0)</f>
        <v>50</v>
      </c>
      <c r="N828" s="97" t="str">
        <f>IFERROR(__xludf.DUMMYFUNCTION("""COMPUTED_VALUE"""),"N/A")</f>
        <v>N/A</v>
      </c>
      <c r="O828" s="97" t="str">
        <f>IFERROR(__xludf.DUMMYFUNCTION("""COMPUTED_VALUE"""),"-")</f>
        <v>-</v>
      </c>
      <c r="P828" s="97"/>
      <c r="Q828" s="97" t="str">
        <f>IFERROR(__xludf.DUMMYFUNCTION("""COMPUTED_VALUE"""),"-")</f>
        <v>-</v>
      </c>
      <c r="R828" s="97" t="str">
        <f>IFERROR(__xludf.DUMMYFUNCTION("""COMPUTED_VALUE"""),"-")</f>
        <v>-</v>
      </c>
      <c r="S828" s="97" t="str">
        <f>IFERROR(__xludf.DUMMYFUNCTION("""COMPUTED_VALUE"""),"-")</f>
        <v>-</v>
      </c>
      <c r="T828" s="97" t="str">
        <f>IFERROR(__xludf.DUMMYFUNCTION("""COMPUTED_VALUE"""),"-")</f>
        <v>-</v>
      </c>
      <c r="U828" s="97" t="str">
        <f>IFERROR(__xludf.DUMMYFUNCTION("""COMPUTED_VALUE"""),"-")</f>
        <v>-</v>
      </c>
      <c r="V828" s="97" t="str">
        <f>IFERROR(__xludf.DUMMYFUNCTION("""COMPUTED_VALUE"""),"N/A")</f>
        <v>N/A</v>
      </c>
      <c r="W828" s="97" t="str">
        <f>IFERROR(__xludf.DUMMYFUNCTION("""COMPUTED_VALUE"""),"N/A")</f>
        <v>N/A</v>
      </c>
      <c r="X828" s="97" t="str">
        <f>IFERROR(__xludf.DUMMYFUNCTION("""COMPUTED_VALUE"""),"-")</f>
        <v>-</v>
      </c>
      <c r="Y828" s="97" t="str">
        <f>IFERROR(__xludf.DUMMYFUNCTION("""COMPUTED_VALUE"""),"N/A")</f>
        <v>N/A</v>
      </c>
      <c r="Z828" s="97" t="str">
        <f>IFERROR(__xludf.DUMMYFUNCTION("""COMPUTED_VALUE"""),"N/A")</f>
        <v>N/A</v>
      </c>
      <c r="AA828" s="97" t="str">
        <f>IFERROR(__xludf.DUMMYFUNCTION("""COMPUTED_VALUE"""),"N/A")</f>
        <v>N/A</v>
      </c>
      <c r="AB828" s="97" t="str">
        <f>IFERROR(__xludf.DUMMYFUNCTION("""COMPUTED_VALUE"""),"N/A")</f>
        <v>N/A</v>
      </c>
      <c r="AC828" s="97" t="str">
        <f>IFERROR(__xludf.DUMMYFUNCTION("""COMPUTED_VALUE"""),"N/A")</f>
        <v>N/A</v>
      </c>
      <c r="AD828" s="97" t="str">
        <f>IFERROR(__xludf.DUMMYFUNCTION("""COMPUTED_VALUE"""),"IP20")</f>
        <v>IP20</v>
      </c>
      <c r="AE828" s="97" t="str">
        <f>IFERROR(__xludf.DUMMYFUNCTION("""COMPUTED_VALUE"""),"Clase l")</f>
        <v>Clase l</v>
      </c>
      <c r="AF828" s="97" t="str">
        <f>IFERROR(__xludf.DUMMYFUNCTION("""COMPUTED_VALUE"""),"N/A")</f>
        <v>N/A</v>
      </c>
      <c r="AG828" s="97" t="str">
        <f>IFERROR(__xludf.DUMMYFUNCTION("""COMPUTED_VALUE"""),"97 x 97 x 32")</f>
        <v>97 x 97 x 32</v>
      </c>
      <c r="AH828" s="97" t="str">
        <f>IFERROR(__xludf.DUMMYFUNCTION("""COMPUTED_VALUE"""),"N/A")</f>
        <v>N/A</v>
      </c>
      <c r="AI828" s="97" t="str">
        <f>IFERROR(__xludf.DUMMYFUNCTION("""COMPUTED_VALUE"""),"N/A")</f>
        <v>N/A</v>
      </c>
      <c r="AJ828" s="97" t="str">
        <f>IFERROR(__xludf.DUMMYFUNCTION("""COMPUTED_VALUE"""),"N/A")</f>
        <v>N/A</v>
      </c>
      <c r="AK828" s="97" t="str">
        <f>IFERROR(__xludf.DUMMYFUNCTION("""COMPUTED_VALUE"""),"Policarbonato (PC)")</f>
        <v>Policarbonato (PC)</v>
      </c>
      <c r="AL828" s="97" t="str">
        <f>IFERROR(__xludf.DUMMYFUNCTION("""COMPUTED_VALUE"""),"Negro Mate")</f>
        <v>Negro Mate</v>
      </c>
      <c r="AM828" s="97" t="str">
        <f>IFERROR(__xludf.DUMMYFUNCTION("""COMPUTED_VALUE"""),"-")</f>
        <v>-</v>
      </c>
      <c r="AN828" s="97" t="str">
        <f>IFERROR(__xludf.DUMMYFUNCTION("""COMPUTED_VALUE"""),"N/A")</f>
        <v>N/A</v>
      </c>
      <c r="AO828" s="97" t="str">
        <f>IFERROR(__xludf.DUMMYFUNCTION("""COMPUTED_VALUE"""),"3 Años")</f>
        <v>3 Años</v>
      </c>
      <c r="AP828" s="97" t="str">
        <f>IFERROR(__xludf.DUMMYFUNCTION("""COMPUTED_VALUE"""),"No Aplica")</f>
        <v>No Aplica</v>
      </c>
      <c r="AQ828" s="97" t="str">
        <f>IFERROR(__xludf.DUMMYFUNCTION("""COMPUTED_VALUE"""),"No Aplica")</f>
        <v>No Aplica</v>
      </c>
      <c r="AR828" s="97" t="str">
        <f>IFERROR(__xludf.DUMMYFUNCTION("""COMPUTED_VALUE"""),"No Aplica")</f>
        <v>No Aplica</v>
      </c>
      <c r="AS828" s="97"/>
      <c r="AT828" s="97"/>
      <c r="AU828" s="97" t="str">
        <f>IFERROR(__xludf.DUMMYFUNCTION("""COMPUTED_VALUE"""),"Falta")</f>
        <v>Falta</v>
      </c>
      <c r="AV828" s="97" t="str">
        <f>IFERROR(__xludf.DUMMYFUNCTION("""COMPUTED_VALUE"""),"Unión")</f>
        <v>Unión</v>
      </c>
      <c r="AW828" s="97" t="str">
        <f>IFERROR(__xludf.DUMMYFUNCTION("""COMPUTED_VALUE"""),"Rieles")</f>
        <v>Rieles</v>
      </c>
      <c r="AX828" s="97" t="str">
        <f>IFERROR(__xludf.DUMMYFUNCTION("""COMPUTED_VALUE"""),"Interior")</f>
        <v>Interior</v>
      </c>
      <c r="AY828" s="97" t="str">
        <f>IFERROR(__xludf.DUMMYFUNCTION("""COMPUTED_VALUE"""),"-")</f>
        <v>-</v>
      </c>
      <c r="AZ828" s="97" t="str">
        <f>IFERROR(__xludf.DUMMYFUNCTION("""COMPUTED_VALUE"""),"Soporta 10A. Con entrada de alimentación 220 V~.")</f>
        <v>Soporta 10A. Con entrada de alimentación 220 V~.</v>
      </c>
      <c r="BA828" s="97">
        <f>IFERROR(__xludf.DUMMYFUNCTION("""COMPUTED_VALUE"""),20.0)</f>
        <v>20</v>
      </c>
      <c r="BB828" s="97" t="str">
        <f>IFERROR(__xludf.DUMMYFUNCTION("""COMPUTED_VALUE"""),"-")</f>
        <v>-</v>
      </c>
      <c r="BC828" s="97" t="str">
        <f>IFERROR(__xludf.DUMMYFUNCTION("""COMPUTED_VALUE"""),"-")</f>
        <v>-</v>
      </c>
      <c r="BD828" s="97" t="str">
        <f>IFERROR(__xludf.DUMMYFUNCTION("""COMPUTED_VALUE"""),"RIELES 3EF")</f>
        <v>RIELES 3EF</v>
      </c>
      <c r="BE828" s="97" t="str">
        <f>IFERROR(__xludf.DUMMYFUNCTION("""COMPUTED_VALUE"""),"Finalizada")</f>
        <v>Finalizada</v>
      </c>
      <c r="BF828" s="97"/>
      <c r="BG828" s="97" t="str">
        <f>IFERROR(__xludf.DUMMYFUNCTION("""COMPUTED_VALUE"""),"Activo")</f>
        <v>Activo</v>
      </c>
    </row>
    <row r="829">
      <c r="A829" s="97">
        <f>IFERROR(__xludf.DUMMYFUNCTION("""COMPUTED_VALUE"""),6602.0)</f>
        <v>6602</v>
      </c>
      <c r="B829" s="97" t="str">
        <f>IFERROR(__xludf.DUMMYFUNCTION("""COMPUTED_VALUE"""),"UNION LINEAL POWER 3EF BL")</f>
        <v>UNION LINEAL POWER 3EF BL</v>
      </c>
      <c r="C829" s="97" t="str">
        <f>IFERROR(__xludf.DUMMYFUNCTION("""COMPUTED_VALUE"""),"UNIÓN UNION LINEAL POWER 3EF BL LEUK")</f>
        <v>UNIÓN UNION LINEAL POWER 3EF BL LEUK</v>
      </c>
      <c r="D829" s="97">
        <f>IFERROR(__xludf.DUMMYFUNCTION("""COMPUTED_VALUE"""),7.798413220155E12)</f>
        <v>7798413220155</v>
      </c>
      <c r="E829" s="97"/>
      <c r="F829" s="97" t="str">
        <f>IFERROR(__xludf.DUMMYFUNCTION("""COMPUTED_VALUE"""),"N/A")</f>
        <v>N/A</v>
      </c>
      <c r="G829" s="97" t="str">
        <f>IFERROR(__xludf.DUMMYFUNCTION("""COMPUTED_VALUE"""),"N/A")</f>
        <v>N/A</v>
      </c>
      <c r="H829" s="97" t="str">
        <f>IFERROR(__xludf.DUMMYFUNCTION("""COMPUTED_VALUE"""),"N/A")</f>
        <v>N/A</v>
      </c>
      <c r="I829" s="97" t="str">
        <f>IFERROR(__xludf.DUMMYFUNCTION("""COMPUTED_VALUE"""),"N/A")</f>
        <v>N/A</v>
      </c>
      <c r="J829" s="97" t="str">
        <f>IFERROR(__xludf.DUMMYFUNCTION("""COMPUTED_VALUE"""),"N/A")</f>
        <v>N/A</v>
      </c>
      <c r="K829" s="97" t="str">
        <f>IFERROR(__xludf.DUMMYFUNCTION("""COMPUTED_VALUE"""),"N/A")</f>
        <v>N/A</v>
      </c>
      <c r="L829" s="97">
        <f>IFERROR(__xludf.DUMMYFUNCTION("""COMPUTED_VALUE"""),220.0)</f>
        <v>220</v>
      </c>
      <c r="M829" s="97">
        <f>IFERROR(__xludf.DUMMYFUNCTION("""COMPUTED_VALUE"""),50.0)</f>
        <v>50</v>
      </c>
      <c r="N829" s="97" t="str">
        <f>IFERROR(__xludf.DUMMYFUNCTION("""COMPUTED_VALUE"""),"N/A")</f>
        <v>N/A</v>
      </c>
      <c r="O829" s="97" t="str">
        <f>IFERROR(__xludf.DUMMYFUNCTION("""COMPUTED_VALUE"""),"-")</f>
        <v>-</v>
      </c>
      <c r="P829" s="97"/>
      <c r="Q829" s="97" t="str">
        <f>IFERROR(__xludf.DUMMYFUNCTION("""COMPUTED_VALUE"""),"-")</f>
        <v>-</v>
      </c>
      <c r="R829" s="97" t="str">
        <f>IFERROR(__xludf.DUMMYFUNCTION("""COMPUTED_VALUE"""),"-")</f>
        <v>-</v>
      </c>
      <c r="S829" s="97" t="str">
        <f>IFERROR(__xludf.DUMMYFUNCTION("""COMPUTED_VALUE"""),"-")</f>
        <v>-</v>
      </c>
      <c r="T829" s="97" t="str">
        <f>IFERROR(__xludf.DUMMYFUNCTION("""COMPUTED_VALUE"""),"-")</f>
        <v>-</v>
      </c>
      <c r="U829" s="97" t="str">
        <f>IFERROR(__xludf.DUMMYFUNCTION("""COMPUTED_VALUE"""),"-")</f>
        <v>-</v>
      </c>
      <c r="V829" s="97" t="str">
        <f>IFERROR(__xludf.DUMMYFUNCTION("""COMPUTED_VALUE"""),"N/A")</f>
        <v>N/A</v>
      </c>
      <c r="W829" s="97" t="str">
        <f>IFERROR(__xludf.DUMMYFUNCTION("""COMPUTED_VALUE"""),"N/A")</f>
        <v>N/A</v>
      </c>
      <c r="X829" s="97" t="str">
        <f>IFERROR(__xludf.DUMMYFUNCTION("""COMPUTED_VALUE"""),"-")</f>
        <v>-</v>
      </c>
      <c r="Y829" s="97" t="str">
        <f>IFERROR(__xludf.DUMMYFUNCTION("""COMPUTED_VALUE"""),"N/A")</f>
        <v>N/A</v>
      </c>
      <c r="Z829" s="97" t="str">
        <f>IFERROR(__xludf.DUMMYFUNCTION("""COMPUTED_VALUE"""),"N/A")</f>
        <v>N/A</v>
      </c>
      <c r="AA829" s="97" t="str">
        <f>IFERROR(__xludf.DUMMYFUNCTION("""COMPUTED_VALUE"""),"N/A")</f>
        <v>N/A</v>
      </c>
      <c r="AB829" s="97" t="str">
        <f>IFERROR(__xludf.DUMMYFUNCTION("""COMPUTED_VALUE"""),"N/A")</f>
        <v>N/A</v>
      </c>
      <c r="AC829" s="97" t="str">
        <f>IFERROR(__xludf.DUMMYFUNCTION("""COMPUTED_VALUE"""),"N/A")</f>
        <v>N/A</v>
      </c>
      <c r="AD829" s="97" t="str">
        <f>IFERROR(__xludf.DUMMYFUNCTION("""COMPUTED_VALUE"""),"IP20")</f>
        <v>IP20</v>
      </c>
      <c r="AE829" s="97" t="str">
        <f>IFERROR(__xludf.DUMMYFUNCTION("""COMPUTED_VALUE"""),"Clase l")</f>
        <v>Clase l</v>
      </c>
      <c r="AF829" s="97" t="str">
        <f>IFERROR(__xludf.DUMMYFUNCTION("""COMPUTED_VALUE"""),"N/A")</f>
        <v>N/A</v>
      </c>
      <c r="AG829" s="97" t="str">
        <f>IFERROR(__xludf.DUMMYFUNCTION("""COMPUTED_VALUE"""),"30 x 165 x 32")</f>
        <v>30 x 165 x 32</v>
      </c>
      <c r="AH829" s="97" t="str">
        <f>IFERROR(__xludf.DUMMYFUNCTION("""COMPUTED_VALUE"""),"N/A")</f>
        <v>N/A</v>
      </c>
      <c r="AI829" s="97" t="str">
        <f>IFERROR(__xludf.DUMMYFUNCTION("""COMPUTED_VALUE"""),"N/A")</f>
        <v>N/A</v>
      </c>
      <c r="AJ829" s="97" t="str">
        <f>IFERROR(__xludf.DUMMYFUNCTION("""COMPUTED_VALUE"""),"N/A")</f>
        <v>N/A</v>
      </c>
      <c r="AK829" s="97" t="str">
        <f>IFERROR(__xludf.DUMMYFUNCTION("""COMPUTED_VALUE"""),"Policarbonato (PC)")</f>
        <v>Policarbonato (PC)</v>
      </c>
      <c r="AL829" s="97" t="str">
        <f>IFERROR(__xludf.DUMMYFUNCTION("""COMPUTED_VALUE"""),"Blanco Mate")</f>
        <v>Blanco Mate</v>
      </c>
      <c r="AM829" s="97" t="str">
        <f>IFERROR(__xludf.DUMMYFUNCTION("""COMPUTED_VALUE"""),"-")</f>
        <v>-</v>
      </c>
      <c r="AN829" s="97" t="str">
        <f>IFERROR(__xludf.DUMMYFUNCTION("""COMPUTED_VALUE"""),"N/A")</f>
        <v>N/A</v>
      </c>
      <c r="AO829" s="97" t="str">
        <f>IFERROR(__xludf.DUMMYFUNCTION("""COMPUTED_VALUE"""),"3 Años")</f>
        <v>3 Años</v>
      </c>
      <c r="AP829" s="97" t="str">
        <f>IFERROR(__xludf.DUMMYFUNCTION("""COMPUTED_VALUE"""),"No Aplica")</f>
        <v>No Aplica</v>
      </c>
      <c r="AQ829" s="97" t="str">
        <f>IFERROR(__xludf.DUMMYFUNCTION("""COMPUTED_VALUE"""),"No Aplica")</f>
        <v>No Aplica</v>
      </c>
      <c r="AR829" s="97" t="str">
        <f>IFERROR(__xludf.DUMMYFUNCTION("""COMPUTED_VALUE"""),"No Aplica")</f>
        <v>No Aplica</v>
      </c>
      <c r="AS829" s="97"/>
      <c r="AT829" s="97"/>
      <c r="AU829" s="97" t="str">
        <f>IFERROR(__xludf.DUMMYFUNCTION("""COMPUTED_VALUE"""),"Falta")</f>
        <v>Falta</v>
      </c>
      <c r="AV829" s="97" t="str">
        <f>IFERROR(__xludf.DUMMYFUNCTION("""COMPUTED_VALUE"""),"Unión")</f>
        <v>Unión</v>
      </c>
      <c r="AW829" s="97" t="str">
        <f>IFERROR(__xludf.DUMMYFUNCTION("""COMPUTED_VALUE"""),"Rieles")</f>
        <v>Rieles</v>
      </c>
      <c r="AX829" s="97" t="str">
        <f>IFERROR(__xludf.DUMMYFUNCTION("""COMPUTED_VALUE"""),"Interior")</f>
        <v>Interior</v>
      </c>
      <c r="AY829" s="97" t="str">
        <f>IFERROR(__xludf.DUMMYFUNCTION("""COMPUTED_VALUE"""),"-")</f>
        <v>-</v>
      </c>
      <c r="AZ829" s="97" t="str">
        <f>IFERROR(__xludf.DUMMYFUNCTION("""COMPUTED_VALUE"""),"Soporta 10A. Con entrada de alimentación 220 V~.")</f>
        <v>Soporta 10A. Con entrada de alimentación 220 V~.</v>
      </c>
      <c r="BA829" s="97">
        <f>IFERROR(__xludf.DUMMYFUNCTION("""COMPUTED_VALUE"""),20.0)</f>
        <v>20</v>
      </c>
      <c r="BB829" s="97" t="str">
        <f>IFERROR(__xludf.DUMMYFUNCTION("""COMPUTED_VALUE"""),"-")</f>
        <v>-</v>
      </c>
      <c r="BC829" s="97" t="str">
        <f>IFERROR(__xludf.DUMMYFUNCTION("""COMPUTED_VALUE"""),"-")</f>
        <v>-</v>
      </c>
      <c r="BD829" s="97" t="str">
        <f>IFERROR(__xludf.DUMMYFUNCTION("""COMPUTED_VALUE"""),"RIELES 3EF")</f>
        <v>RIELES 3EF</v>
      </c>
      <c r="BE829" s="97" t="str">
        <f>IFERROR(__xludf.DUMMYFUNCTION("""COMPUTED_VALUE"""),"Finalizada")</f>
        <v>Finalizada</v>
      </c>
      <c r="BF829" s="97"/>
      <c r="BG829" s="97" t="str">
        <f>IFERROR(__xludf.DUMMYFUNCTION("""COMPUTED_VALUE"""),"Activo")</f>
        <v>Activo</v>
      </c>
    </row>
    <row r="830">
      <c r="A830" s="97">
        <f>IFERROR(__xludf.DUMMYFUNCTION("""COMPUTED_VALUE"""),6603.0)</f>
        <v>6603</v>
      </c>
      <c r="B830" s="97" t="str">
        <f>IFERROR(__xludf.DUMMYFUNCTION("""COMPUTED_VALUE"""),"UNION LINEAL POWER 3EF NG")</f>
        <v>UNION LINEAL POWER 3EF NG</v>
      </c>
      <c r="C830" s="97" t="str">
        <f>IFERROR(__xludf.DUMMYFUNCTION("""COMPUTED_VALUE"""),"UNIÓN UNION LINEAL POWER 3EF NG LEUK")</f>
        <v>UNIÓN UNION LINEAL POWER 3EF NG LEUK</v>
      </c>
      <c r="D830" s="97">
        <f>IFERROR(__xludf.DUMMYFUNCTION("""COMPUTED_VALUE"""),7.798413220148E12)</f>
        <v>7798413220148</v>
      </c>
      <c r="E830" s="97"/>
      <c r="F830" s="97" t="str">
        <f>IFERROR(__xludf.DUMMYFUNCTION("""COMPUTED_VALUE"""),"N/A")</f>
        <v>N/A</v>
      </c>
      <c r="G830" s="97" t="str">
        <f>IFERROR(__xludf.DUMMYFUNCTION("""COMPUTED_VALUE"""),"N/A")</f>
        <v>N/A</v>
      </c>
      <c r="H830" s="97" t="str">
        <f>IFERROR(__xludf.DUMMYFUNCTION("""COMPUTED_VALUE"""),"N/A")</f>
        <v>N/A</v>
      </c>
      <c r="I830" s="97" t="str">
        <f>IFERROR(__xludf.DUMMYFUNCTION("""COMPUTED_VALUE"""),"N/A")</f>
        <v>N/A</v>
      </c>
      <c r="J830" s="97" t="str">
        <f>IFERROR(__xludf.DUMMYFUNCTION("""COMPUTED_VALUE"""),"N/A")</f>
        <v>N/A</v>
      </c>
      <c r="K830" s="97" t="str">
        <f>IFERROR(__xludf.DUMMYFUNCTION("""COMPUTED_VALUE"""),"N/A")</f>
        <v>N/A</v>
      </c>
      <c r="L830" s="97">
        <f>IFERROR(__xludf.DUMMYFUNCTION("""COMPUTED_VALUE"""),220.0)</f>
        <v>220</v>
      </c>
      <c r="M830" s="97">
        <f>IFERROR(__xludf.DUMMYFUNCTION("""COMPUTED_VALUE"""),50.0)</f>
        <v>50</v>
      </c>
      <c r="N830" s="97" t="str">
        <f>IFERROR(__xludf.DUMMYFUNCTION("""COMPUTED_VALUE"""),"N/A")</f>
        <v>N/A</v>
      </c>
      <c r="O830" s="97" t="str">
        <f>IFERROR(__xludf.DUMMYFUNCTION("""COMPUTED_VALUE"""),"-")</f>
        <v>-</v>
      </c>
      <c r="P830" s="97"/>
      <c r="Q830" s="97" t="str">
        <f>IFERROR(__xludf.DUMMYFUNCTION("""COMPUTED_VALUE"""),"-")</f>
        <v>-</v>
      </c>
      <c r="R830" s="97" t="str">
        <f>IFERROR(__xludf.DUMMYFUNCTION("""COMPUTED_VALUE"""),"-")</f>
        <v>-</v>
      </c>
      <c r="S830" s="97" t="str">
        <f>IFERROR(__xludf.DUMMYFUNCTION("""COMPUTED_VALUE"""),"-")</f>
        <v>-</v>
      </c>
      <c r="T830" s="97" t="str">
        <f>IFERROR(__xludf.DUMMYFUNCTION("""COMPUTED_VALUE"""),"-")</f>
        <v>-</v>
      </c>
      <c r="U830" s="97" t="str">
        <f>IFERROR(__xludf.DUMMYFUNCTION("""COMPUTED_VALUE"""),"-")</f>
        <v>-</v>
      </c>
      <c r="V830" s="97" t="str">
        <f>IFERROR(__xludf.DUMMYFUNCTION("""COMPUTED_VALUE"""),"N/A")</f>
        <v>N/A</v>
      </c>
      <c r="W830" s="97" t="str">
        <f>IFERROR(__xludf.DUMMYFUNCTION("""COMPUTED_VALUE"""),"N/A")</f>
        <v>N/A</v>
      </c>
      <c r="X830" s="97" t="str">
        <f>IFERROR(__xludf.DUMMYFUNCTION("""COMPUTED_VALUE"""),"-")</f>
        <v>-</v>
      </c>
      <c r="Y830" s="97" t="str">
        <f>IFERROR(__xludf.DUMMYFUNCTION("""COMPUTED_VALUE"""),"N/A")</f>
        <v>N/A</v>
      </c>
      <c r="Z830" s="97" t="str">
        <f>IFERROR(__xludf.DUMMYFUNCTION("""COMPUTED_VALUE"""),"N/A")</f>
        <v>N/A</v>
      </c>
      <c r="AA830" s="97" t="str">
        <f>IFERROR(__xludf.DUMMYFUNCTION("""COMPUTED_VALUE"""),"N/A")</f>
        <v>N/A</v>
      </c>
      <c r="AB830" s="97" t="str">
        <f>IFERROR(__xludf.DUMMYFUNCTION("""COMPUTED_VALUE"""),"N/A")</f>
        <v>N/A</v>
      </c>
      <c r="AC830" s="97" t="str">
        <f>IFERROR(__xludf.DUMMYFUNCTION("""COMPUTED_VALUE"""),"N/A")</f>
        <v>N/A</v>
      </c>
      <c r="AD830" s="97" t="str">
        <f>IFERROR(__xludf.DUMMYFUNCTION("""COMPUTED_VALUE"""),"IP20")</f>
        <v>IP20</v>
      </c>
      <c r="AE830" s="97" t="str">
        <f>IFERROR(__xludf.DUMMYFUNCTION("""COMPUTED_VALUE"""),"Clase l")</f>
        <v>Clase l</v>
      </c>
      <c r="AF830" s="97" t="str">
        <f>IFERROR(__xludf.DUMMYFUNCTION("""COMPUTED_VALUE"""),"N/A")</f>
        <v>N/A</v>
      </c>
      <c r="AG830" s="97" t="str">
        <f>IFERROR(__xludf.DUMMYFUNCTION("""COMPUTED_VALUE"""),"30 x 165 x 32")</f>
        <v>30 x 165 x 32</v>
      </c>
      <c r="AH830" s="97" t="str">
        <f>IFERROR(__xludf.DUMMYFUNCTION("""COMPUTED_VALUE"""),"N/A")</f>
        <v>N/A</v>
      </c>
      <c r="AI830" s="97" t="str">
        <f>IFERROR(__xludf.DUMMYFUNCTION("""COMPUTED_VALUE"""),"N/A")</f>
        <v>N/A</v>
      </c>
      <c r="AJ830" s="97" t="str">
        <f>IFERROR(__xludf.DUMMYFUNCTION("""COMPUTED_VALUE"""),"N/A")</f>
        <v>N/A</v>
      </c>
      <c r="AK830" s="97" t="str">
        <f>IFERROR(__xludf.DUMMYFUNCTION("""COMPUTED_VALUE"""),"Policarbonato (PC)")</f>
        <v>Policarbonato (PC)</v>
      </c>
      <c r="AL830" s="97" t="str">
        <f>IFERROR(__xludf.DUMMYFUNCTION("""COMPUTED_VALUE"""),"Negro Mate")</f>
        <v>Negro Mate</v>
      </c>
      <c r="AM830" s="97" t="str">
        <f>IFERROR(__xludf.DUMMYFUNCTION("""COMPUTED_VALUE"""),"-")</f>
        <v>-</v>
      </c>
      <c r="AN830" s="97" t="str">
        <f>IFERROR(__xludf.DUMMYFUNCTION("""COMPUTED_VALUE"""),"N/A")</f>
        <v>N/A</v>
      </c>
      <c r="AO830" s="97" t="str">
        <f>IFERROR(__xludf.DUMMYFUNCTION("""COMPUTED_VALUE"""),"3 Años")</f>
        <v>3 Años</v>
      </c>
      <c r="AP830" s="97" t="str">
        <f>IFERROR(__xludf.DUMMYFUNCTION("""COMPUTED_VALUE"""),"No Aplica")</f>
        <v>No Aplica</v>
      </c>
      <c r="AQ830" s="97" t="str">
        <f>IFERROR(__xludf.DUMMYFUNCTION("""COMPUTED_VALUE"""),"No Aplica")</f>
        <v>No Aplica</v>
      </c>
      <c r="AR830" s="97" t="str">
        <f>IFERROR(__xludf.DUMMYFUNCTION("""COMPUTED_VALUE"""),"No Aplica")</f>
        <v>No Aplica</v>
      </c>
      <c r="AS830" s="97"/>
      <c r="AT830" s="97"/>
      <c r="AU830" s="97" t="str">
        <f>IFERROR(__xludf.DUMMYFUNCTION("""COMPUTED_VALUE"""),"Falta")</f>
        <v>Falta</v>
      </c>
      <c r="AV830" s="97" t="str">
        <f>IFERROR(__xludf.DUMMYFUNCTION("""COMPUTED_VALUE"""),"Unión")</f>
        <v>Unión</v>
      </c>
      <c r="AW830" s="97" t="str">
        <f>IFERROR(__xludf.DUMMYFUNCTION("""COMPUTED_VALUE"""),"Rieles")</f>
        <v>Rieles</v>
      </c>
      <c r="AX830" s="97" t="str">
        <f>IFERROR(__xludf.DUMMYFUNCTION("""COMPUTED_VALUE"""),"Interior")</f>
        <v>Interior</v>
      </c>
      <c r="AY830" s="97" t="str">
        <f>IFERROR(__xludf.DUMMYFUNCTION("""COMPUTED_VALUE"""),"-")</f>
        <v>-</v>
      </c>
      <c r="AZ830" s="97" t="str">
        <f>IFERROR(__xludf.DUMMYFUNCTION("""COMPUTED_VALUE"""),"Soporta 10A. Con entrada de alimentación 220 V~.")</f>
        <v>Soporta 10A. Con entrada de alimentación 220 V~.</v>
      </c>
      <c r="BA830" s="97">
        <f>IFERROR(__xludf.DUMMYFUNCTION("""COMPUTED_VALUE"""),20.0)</f>
        <v>20</v>
      </c>
      <c r="BB830" s="97" t="str">
        <f>IFERROR(__xludf.DUMMYFUNCTION("""COMPUTED_VALUE"""),"-")</f>
        <v>-</v>
      </c>
      <c r="BC830" s="97" t="str">
        <f>IFERROR(__xludf.DUMMYFUNCTION("""COMPUTED_VALUE"""),"-")</f>
        <v>-</v>
      </c>
      <c r="BD830" s="97" t="str">
        <f>IFERROR(__xludf.DUMMYFUNCTION("""COMPUTED_VALUE"""),"RIELES 3EF")</f>
        <v>RIELES 3EF</v>
      </c>
      <c r="BE830" s="97" t="str">
        <f>IFERROR(__xludf.DUMMYFUNCTION("""COMPUTED_VALUE"""),"Finalizada")</f>
        <v>Finalizada</v>
      </c>
      <c r="BF830" s="97"/>
      <c r="BG830" s="97" t="str">
        <f>IFERROR(__xludf.DUMMYFUNCTION("""COMPUTED_VALUE"""),"Activo")</f>
        <v>Activo</v>
      </c>
    </row>
    <row r="831">
      <c r="A831" s="97">
        <f>IFERROR(__xludf.DUMMYFUNCTION("""COMPUTED_VALUE"""),6604.0)</f>
        <v>6604</v>
      </c>
      <c r="B831" s="97" t="str">
        <f>IFERROR(__xludf.DUMMYFUNCTION("""COMPUTED_VALUE"""),"UNION LINEAL 3EF BL")</f>
        <v>UNION LINEAL 3EF BL</v>
      </c>
      <c r="C831" s="97" t="str">
        <f>IFERROR(__xludf.DUMMYFUNCTION("""COMPUTED_VALUE"""),"UNIÓN UNION LINEAL 3EF BL LEUK")</f>
        <v>UNIÓN UNION LINEAL 3EF BL LEUK</v>
      </c>
      <c r="D831" s="97">
        <f>IFERROR(__xludf.DUMMYFUNCTION("""COMPUTED_VALUE"""),7.798413220131E12)</f>
        <v>7798413220131</v>
      </c>
      <c r="E831" s="97"/>
      <c r="F831" s="97" t="str">
        <f>IFERROR(__xludf.DUMMYFUNCTION("""COMPUTED_VALUE"""),"N/A")</f>
        <v>N/A</v>
      </c>
      <c r="G831" s="97" t="str">
        <f>IFERROR(__xludf.DUMMYFUNCTION("""COMPUTED_VALUE"""),"N/A")</f>
        <v>N/A</v>
      </c>
      <c r="H831" s="97" t="str">
        <f>IFERROR(__xludf.DUMMYFUNCTION("""COMPUTED_VALUE"""),"N/A")</f>
        <v>N/A</v>
      </c>
      <c r="I831" s="97" t="str">
        <f>IFERROR(__xludf.DUMMYFUNCTION("""COMPUTED_VALUE"""),"N/A")</f>
        <v>N/A</v>
      </c>
      <c r="J831" s="97" t="str">
        <f>IFERROR(__xludf.DUMMYFUNCTION("""COMPUTED_VALUE"""),"N/A")</f>
        <v>N/A</v>
      </c>
      <c r="K831" s="97" t="str">
        <f>IFERROR(__xludf.DUMMYFUNCTION("""COMPUTED_VALUE"""),"N/A")</f>
        <v>N/A</v>
      </c>
      <c r="L831" s="97">
        <f>IFERROR(__xludf.DUMMYFUNCTION("""COMPUTED_VALUE"""),220.0)</f>
        <v>220</v>
      </c>
      <c r="M831" s="97">
        <f>IFERROR(__xludf.DUMMYFUNCTION("""COMPUTED_VALUE"""),50.0)</f>
        <v>50</v>
      </c>
      <c r="N831" s="97" t="str">
        <f>IFERROR(__xludf.DUMMYFUNCTION("""COMPUTED_VALUE"""),"N/A")</f>
        <v>N/A</v>
      </c>
      <c r="O831" s="97" t="str">
        <f>IFERROR(__xludf.DUMMYFUNCTION("""COMPUTED_VALUE"""),"-")</f>
        <v>-</v>
      </c>
      <c r="P831" s="97"/>
      <c r="Q831" s="97" t="str">
        <f>IFERROR(__xludf.DUMMYFUNCTION("""COMPUTED_VALUE"""),"-")</f>
        <v>-</v>
      </c>
      <c r="R831" s="97" t="str">
        <f>IFERROR(__xludf.DUMMYFUNCTION("""COMPUTED_VALUE"""),"-")</f>
        <v>-</v>
      </c>
      <c r="S831" s="97" t="str">
        <f>IFERROR(__xludf.DUMMYFUNCTION("""COMPUTED_VALUE"""),"-")</f>
        <v>-</v>
      </c>
      <c r="T831" s="97" t="str">
        <f>IFERROR(__xludf.DUMMYFUNCTION("""COMPUTED_VALUE"""),"-")</f>
        <v>-</v>
      </c>
      <c r="U831" s="97" t="str">
        <f>IFERROR(__xludf.DUMMYFUNCTION("""COMPUTED_VALUE"""),"-")</f>
        <v>-</v>
      </c>
      <c r="V831" s="97" t="str">
        <f>IFERROR(__xludf.DUMMYFUNCTION("""COMPUTED_VALUE"""),"N/A")</f>
        <v>N/A</v>
      </c>
      <c r="W831" s="97" t="str">
        <f>IFERROR(__xludf.DUMMYFUNCTION("""COMPUTED_VALUE"""),"N/A")</f>
        <v>N/A</v>
      </c>
      <c r="X831" s="97" t="str">
        <f>IFERROR(__xludf.DUMMYFUNCTION("""COMPUTED_VALUE"""),"-")</f>
        <v>-</v>
      </c>
      <c r="Y831" s="97" t="str">
        <f>IFERROR(__xludf.DUMMYFUNCTION("""COMPUTED_VALUE"""),"N/A")</f>
        <v>N/A</v>
      </c>
      <c r="Z831" s="97" t="str">
        <f>IFERROR(__xludf.DUMMYFUNCTION("""COMPUTED_VALUE"""),"N/A")</f>
        <v>N/A</v>
      </c>
      <c r="AA831" s="97" t="str">
        <f>IFERROR(__xludf.DUMMYFUNCTION("""COMPUTED_VALUE"""),"N/A")</f>
        <v>N/A</v>
      </c>
      <c r="AB831" s="97" t="str">
        <f>IFERROR(__xludf.DUMMYFUNCTION("""COMPUTED_VALUE"""),"N/A")</f>
        <v>N/A</v>
      </c>
      <c r="AC831" s="97" t="str">
        <f>IFERROR(__xludf.DUMMYFUNCTION("""COMPUTED_VALUE"""),"N/A")</f>
        <v>N/A</v>
      </c>
      <c r="AD831" s="97" t="str">
        <f>IFERROR(__xludf.DUMMYFUNCTION("""COMPUTED_VALUE"""),"IP20")</f>
        <v>IP20</v>
      </c>
      <c r="AE831" s="97" t="str">
        <f>IFERROR(__xludf.DUMMYFUNCTION("""COMPUTED_VALUE"""),"Clase l")</f>
        <v>Clase l</v>
      </c>
      <c r="AF831" s="97" t="str">
        <f>IFERROR(__xludf.DUMMYFUNCTION("""COMPUTED_VALUE"""),"N/A")</f>
        <v>N/A</v>
      </c>
      <c r="AG831" s="97" t="str">
        <f>IFERROR(__xludf.DUMMYFUNCTION("""COMPUTED_VALUE"""),"20 x 70 x 26")</f>
        <v>20 x 70 x 26</v>
      </c>
      <c r="AH831" s="97" t="str">
        <f>IFERROR(__xludf.DUMMYFUNCTION("""COMPUTED_VALUE"""),"N/A")</f>
        <v>N/A</v>
      </c>
      <c r="AI831" s="97" t="str">
        <f>IFERROR(__xludf.DUMMYFUNCTION("""COMPUTED_VALUE"""),"N/A")</f>
        <v>N/A</v>
      </c>
      <c r="AJ831" s="97" t="str">
        <f>IFERROR(__xludf.DUMMYFUNCTION("""COMPUTED_VALUE"""),"N/A")</f>
        <v>N/A</v>
      </c>
      <c r="AK831" s="97" t="str">
        <f>IFERROR(__xludf.DUMMYFUNCTION("""COMPUTED_VALUE"""),"Policarbonato (PC)")</f>
        <v>Policarbonato (PC)</v>
      </c>
      <c r="AL831" s="97" t="str">
        <f>IFERROR(__xludf.DUMMYFUNCTION("""COMPUTED_VALUE"""),"Blanco Mate")</f>
        <v>Blanco Mate</v>
      </c>
      <c r="AM831" s="97" t="str">
        <f>IFERROR(__xludf.DUMMYFUNCTION("""COMPUTED_VALUE"""),"-")</f>
        <v>-</v>
      </c>
      <c r="AN831" s="97" t="str">
        <f>IFERROR(__xludf.DUMMYFUNCTION("""COMPUTED_VALUE"""),"N/A")</f>
        <v>N/A</v>
      </c>
      <c r="AO831" s="97" t="str">
        <f>IFERROR(__xludf.DUMMYFUNCTION("""COMPUTED_VALUE"""),"3 Años")</f>
        <v>3 Años</v>
      </c>
      <c r="AP831" s="97" t="str">
        <f>IFERROR(__xludf.DUMMYFUNCTION("""COMPUTED_VALUE"""),"No Aplica")</f>
        <v>No Aplica</v>
      </c>
      <c r="AQ831" s="97" t="str">
        <f>IFERROR(__xludf.DUMMYFUNCTION("""COMPUTED_VALUE"""),"No Aplica")</f>
        <v>No Aplica</v>
      </c>
      <c r="AR831" s="97" t="str">
        <f>IFERROR(__xludf.DUMMYFUNCTION("""COMPUTED_VALUE"""),"No Aplica")</f>
        <v>No Aplica</v>
      </c>
      <c r="AS831" s="97"/>
      <c r="AT831" s="97"/>
      <c r="AU831" s="97" t="str">
        <f>IFERROR(__xludf.DUMMYFUNCTION("""COMPUTED_VALUE"""),"Falta")</f>
        <v>Falta</v>
      </c>
      <c r="AV831" s="97" t="str">
        <f>IFERROR(__xludf.DUMMYFUNCTION("""COMPUTED_VALUE"""),"Unión")</f>
        <v>Unión</v>
      </c>
      <c r="AW831" s="97" t="str">
        <f>IFERROR(__xludf.DUMMYFUNCTION("""COMPUTED_VALUE"""),"Rieles")</f>
        <v>Rieles</v>
      </c>
      <c r="AX831" s="97" t="str">
        <f>IFERROR(__xludf.DUMMYFUNCTION("""COMPUTED_VALUE"""),"Interior")</f>
        <v>Interior</v>
      </c>
      <c r="AY831" s="97" t="str">
        <f>IFERROR(__xludf.DUMMYFUNCTION("""COMPUTED_VALUE"""),"-")</f>
        <v>-</v>
      </c>
      <c r="AZ831" s="97" t="str">
        <f>IFERROR(__xludf.DUMMYFUNCTION("""COMPUTED_VALUE"""),"Soporta 10A")</f>
        <v>Soporta 10A</v>
      </c>
      <c r="BA831" s="97">
        <f>IFERROR(__xludf.DUMMYFUNCTION("""COMPUTED_VALUE"""),200.0)</f>
        <v>200</v>
      </c>
      <c r="BB831" s="97" t="str">
        <f>IFERROR(__xludf.DUMMYFUNCTION("""COMPUTED_VALUE"""),"-")</f>
        <v>-</v>
      </c>
      <c r="BC831" s="97" t="str">
        <f>IFERROR(__xludf.DUMMYFUNCTION("""COMPUTED_VALUE"""),"-")</f>
        <v>-</v>
      </c>
      <c r="BD831" s="97" t="str">
        <f>IFERROR(__xludf.DUMMYFUNCTION("""COMPUTED_VALUE"""),"RIELES 3EF")</f>
        <v>RIELES 3EF</v>
      </c>
      <c r="BE831" s="97" t="str">
        <f>IFERROR(__xludf.DUMMYFUNCTION("""COMPUTED_VALUE"""),"Finalizada")</f>
        <v>Finalizada</v>
      </c>
      <c r="BF831" s="97"/>
      <c r="BG831" s="97" t="str">
        <f>IFERROR(__xludf.DUMMYFUNCTION("""COMPUTED_VALUE"""),"Activo")</f>
        <v>Activo</v>
      </c>
    </row>
    <row r="832">
      <c r="A832" s="97">
        <f>IFERROR(__xludf.DUMMYFUNCTION("""COMPUTED_VALUE"""),6605.0)</f>
        <v>6605</v>
      </c>
      <c r="B832" s="97" t="str">
        <f>IFERROR(__xludf.DUMMYFUNCTION("""COMPUTED_VALUE"""),"UNION LINEAL 3EF NG")</f>
        <v>UNION LINEAL 3EF NG</v>
      </c>
      <c r="C832" s="97" t="str">
        <f>IFERROR(__xludf.DUMMYFUNCTION("""COMPUTED_VALUE"""),"UNIÓN UNION LINEAL 3EF NG LEUK")</f>
        <v>UNIÓN UNION LINEAL 3EF NG LEUK</v>
      </c>
      <c r="D832" s="97">
        <f>IFERROR(__xludf.DUMMYFUNCTION("""COMPUTED_VALUE"""),7.798413220124E12)</f>
        <v>7798413220124</v>
      </c>
      <c r="E832" s="97"/>
      <c r="F832" s="97" t="str">
        <f>IFERROR(__xludf.DUMMYFUNCTION("""COMPUTED_VALUE"""),"N/A")</f>
        <v>N/A</v>
      </c>
      <c r="G832" s="97" t="str">
        <f>IFERROR(__xludf.DUMMYFUNCTION("""COMPUTED_VALUE"""),"N/A")</f>
        <v>N/A</v>
      </c>
      <c r="H832" s="97" t="str">
        <f>IFERROR(__xludf.DUMMYFUNCTION("""COMPUTED_VALUE"""),"N/A")</f>
        <v>N/A</v>
      </c>
      <c r="I832" s="97" t="str">
        <f>IFERROR(__xludf.DUMMYFUNCTION("""COMPUTED_VALUE"""),"N/A")</f>
        <v>N/A</v>
      </c>
      <c r="J832" s="97" t="str">
        <f>IFERROR(__xludf.DUMMYFUNCTION("""COMPUTED_VALUE"""),"N/A")</f>
        <v>N/A</v>
      </c>
      <c r="K832" s="97" t="str">
        <f>IFERROR(__xludf.DUMMYFUNCTION("""COMPUTED_VALUE"""),"N/A")</f>
        <v>N/A</v>
      </c>
      <c r="L832" s="97">
        <f>IFERROR(__xludf.DUMMYFUNCTION("""COMPUTED_VALUE"""),220.0)</f>
        <v>220</v>
      </c>
      <c r="M832" s="97">
        <f>IFERROR(__xludf.DUMMYFUNCTION("""COMPUTED_VALUE"""),50.0)</f>
        <v>50</v>
      </c>
      <c r="N832" s="97" t="str">
        <f>IFERROR(__xludf.DUMMYFUNCTION("""COMPUTED_VALUE"""),"N/A")</f>
        <v>N/A</v>
      </c>
      <c r="O832" s="97" t="str">
        <f>IFERROR(__xludf.DUMMYFUNCTION("""COMPUTED_VALUE"""),"-")</f>
        <v>-</v>
      </c>
      <c r="P832" s="97"/>
      <c r="Q832" s="97" t="str">
        <f>IFERROR(__xludf.DUMMYFUNCTION("""COMPUTED_VALUE"""),"-")</f>
        <v>-</v>
      </c>
      <c r="R832" s="97" t="str">
        <f>IFERROR(__xludf.DUMMYFUNCTION("""COMPUTED_VALUE"""),"-")</f>
        <v>-</v>
      </c>
      <c r="S832" s="97" t="str">
        <f>IFERROR(__xludf.DUMMYFUNCTION("""COMPUTED_VALUE"""),"-")</f>
        <v>-</v>
      </c>
      <c r="T832" s="97" t="str">
        <f>IFERROR(__xludf.DUMMYFUNCTION("""COMPUTED_VALUE"""),"-")</f>
        <v>-</v>
      </c>
      <c r="U832" s="97" t="str">
        <f>IFERROR(__xludf.DUMMYFUNCTION("""COMPUTED_VALUE"""),"-")</f>
        <v>-</v>
      </c>
      <c r="V832" s="97" t="str">
        <f>IFERROR(__xludf.DUMMYFUNCTION("""COMPUTED_VALUE"""),"N/A")</f>
        <v>N/A</v>
      </c>
      <c r="W832" s="97" t="str">
        <f>IFERROR(__xludf.DUMMYFUNCTION("""COMPUTED_VALUE"""),"N/A")</f>
        <v>N/A</v>
      </c>
      <c r="X832" s="97" t="str">
        <f>IFERROR(__xludf.DUMMYFUNCTION("""COMPUTED_VALUE"""),"-")</f>
        <v>-</v>
      </c>
      <c r="Y832" s="97" t="str">
        <f>IFERROR(__xludf.DUMMYFUNCTION("""COMPUTED_VALUE"""),"N/A")</f>
        <v>N/A</v>
      </c>
      <c r="Z832" s="97" t="str">
        <f>IFERROR(__xludf.DUMMYFUNCTION("""COMPUTED_VALUE"""),"N/A")</f>
        <v>N/A</v>
      </c>
      <c r="AA832" s="97" t="str">
        <f>IFERROR(__xludf.DUMMYFUNCTION("""COMPUTED_VALUE"""),"N/A")</f>
        <v>N/A</v>
      </c>
      <c r="AB832" s="97" t="str">
        <f>IFERROR(__xludf.DUMMYFUNCTION("""COMPUTED_VALUE"""),"N/A")</f>
        <v>N/A</v>
      </c>
      <c r="AC832" s="97" t="str">
        <f>IFERROR(__xludf.DUMMYFUNCTION("""COMPUTED_VALUE"""),"N/A")</f>
        <v>N/A</v>
      </c>
      <c r="AD832" s="97" t="str">
        <f>IFERROR(__xludf.DUMMYFUNCTION("""COMPUTED_VALUE"""),"IP20")</f>
        <v>IP20</v>
      </c>
      <c r="AE832" s="97" t="str">
        <f>IFERROR(__xludf.DUMMYFUNCTION("""COMPUTED_VALUE"""),"Clase l")</f>
        <v>Clase l</v>
      </c>
      <c r="AF832" s="97" t="str">
        <f>IFERROR(__xludf.DUMMYFUNCTION("""COMPUTED_VALUE"""),"N/A")</f>
        <v>N/A</v>
      </c>
      <c r="AG832" s="97" t="str">
        <f>IFERROR(__xludf.DUMMYFUNCTION("""COMPUTED_VALUE"""),"20 x 70 x 26")</f>
        <v>20 x 70 x 26</v>
      </c>
      <c r="AH832" s="97" t="str">
        <f>IFERROR(__xludf.DUMMYFUNCTION("""COMPUTED_VALUE"""),"N/A")</f>
        <v>N/A</v>
      </c>
      <c r="AI832" s="97" t="str">
        <f>IFERROR(__xludf.DUMMYFUNCTION("""COMPUTED_VALUE"""),"N/A")</f>
        <v>N/A</v>
      </c>
      <c r="AJ832" s="97" t="str">
        <f>IFERROR(__xludf.DUMMYFUNCTION("""COMPUTED_VALUE"""),"N/A")</f>
        <v>N/A</v>
      </c>
      <c r="AK832" s="97" t="str">
        <f>IFERROR(__xludf.DUMMYFUNCTION("""COMPUTED_VALUE"""),"Policarbonato (PC)")</f>
        <v>Policarbonato (PC)</v>
      </c>
      <c r="AL832" s="97" t="str">
        <f>IFERROR(__xludf.DUMMYFUNCTION("""COMPUTED_VALUE"""),"Negro Mate")</f>
        <v>Negro Mate</v>
      </c>
      <c r="AM832" s="97" t="str">
        <f>IFERROR(__xludf.DUMMYFUNCTION("""COMPUTED_VALUE"""),"-")</f>
        <v>-</v>
      </c>
      <c r="AN832" s="97" t="str">
        <f>IFERROR(__xludf.DUMMYFUNCTION("""COMPUTED_VALUE"""),"N/A")</f>
        <v>N/A</v>
      </c>
      <c r="AO832" s="97" t="str">
        <f>IFERROR(__xludf.DUMMYFUNCTION("""COMPUTED_VALUE"""),"3 Años")</f>
        <v>3 Años</v>
      </c>
      <c r="AP832" s="97" t="str">
        <f>IFERROR(__xludf.DUMMYFUNCTION("""COMPUTED_VALUE"""),"No Aplica")</f>
        <v>No Aplica</v>
      </c>
      <c r="AQ832" s="97" t="str">
        <f>IFERROR(__xludf.DUMMYFUNCTION("""COMPUTED_VALUE"""),"No Aplica")</f>
        <v>No Aplica</v>
      </c>
      <c r="AR832" s="97" t="str">
        <f>IFERROR(__xludf.DUMMYFUNCTION("""COMPUTED_VALUE"""),"No Aplica")</f>
        <v>No Aplica</v>
      </c>
      <c r="AS832" s="97"/>
      <c r="AT832" s="97"/>
      <c r="AU832" s="97" t="str">
        <f>IFERROR(__xludf.DUMMYFUNCTION("""COMPUTED_VALUE"""),"Falta")</f>
        <v>Falta</v>
      </c>
      <c r="AV832" s="97" t="str">
        <f>IFERROR(__xludf.DUMMYFUNCTION("""COMPUTED_VALUE"""),"Unión")</f>
        <v>Unión</v>
      </c>
      <c r="AW832" s="97" t="str">
        <f>IFERROR(__xludf.DUMMYFUNCTION("""COMPUTED_VALUE"""),"Rieles")</f>
        <v>Rieles</v>
      </c>
      <c r="AX832" s="97" t="str">
        <f>IFERROR(__xludf.DUMMYFUNCTION("""COMPUTED_VALUE"""),"Interior")</f>
        <v>Interior</v>
      </c>
      <c r="AY832" s="97" t="str">
        <f>IFERROR(__xludf.DUMMYFUNCTION("""COMPUTED_VALUE"""),"-")</f>
        <v>-</v>
      </c>
      <c r="AZ832" s="97" t="str">
        <f>IFERROR(__xludf.DUMMYFUNCTION("""COMPUTED_VALUE"""),"Soporta 10A")</f>
        <v>Soporta 10A</v>
      </c>
      <c r="BA832" s="97">
        <f>IFERROR(__xludf.DUMMYFUNCTION("""COMPUTED_VALUE"""),200.0)</f>
        <v>200</v>
      </c>
      <c r="BB832" s="97" t="str">
        <f>IFERROR(__xludf.DUMMYFUNCTION("""COMPUTED_VALUE"""),"-")</f>
        <v>-</v>
      </c>
      <c r="BC832" s="97" t="str">
        <f>IFERROR(__xludf.DUMMYFUNCTION("""COMPUTED_VALUE"""),"-")</f>
        <v>-</v>
      </c>
      <c r="BD832" s="97" t="str">
        <f>IFERROR(__xludf.DUMMYFUNCTION("""COMPUTED_VALUE"""),"RIELES 3EF")</f>
        <v>RIELES 3EF</v>
      </c>
      <c r="BE832" s="97" t="str">
        <f>IFERROR(__xludf.DUMMYFUNCTION("""COMPUTED_VALUE"""),"Finalizada")</f>
        <v>Finalizada</v>
      </c>
      <c r="BF832" s="97"/>
      <c r="BG832" s="97" t="str">
        <f>IFERROR(__xludf.DUMMYFUNCTION("""COMPUTED_VALUE"""),"Activo")</f>
        <v>Activo</v>
      </c>
    </row>
    <row r="833">
      <c r="A833" s="97">
        <f>IFERROR(__xludf.DUMMYFUNCTION("""COMPUTED_VALUE"""),6606.0)</f>
        <v>6606</v>
      </c>
      <c r="B833" s="97" t="str">
        <f>IFERROR(__xludf.DUMMYFUNCTION("""COMPUTED_VALUE"""),"RIEL 3MTS 3EF BL")</f>
        <v>RIEL 3MTS 3EF BL</v>
      </c>
      <c r="C833" s="97" t="str">
        <f>IFERROR(__xludf.DUMMYFUNCTION("""COMPUTED_VALUE"""),"RIEL RIEL 3MTS 3EF BL LEUK")</f>
        <v>RIEL RIEL 3MTS 3EF BL LEUK</v>
      </c>
      <c r="D833" s="97">
        <f>IFERROR(__xludf.DUMMYFUNCTION("""COMPUTED_VALUE"""),7.798413220117E12)</f>
        <v>7798413220117</v>
      </c>
      <c r="E833" s="97" t="str">
        <f>IFERROR(__xludf.DUMMYFUNCTION("""COMPUTED_VALUE"""),"H6")</f>
        <v>H6</v>
      </c>
      <c r="F833" s="97" t="str">
        <f>IFERROR(__xludf.DUMMYFUNCTION("""COMPUTED_VALUE"""),"N/A")</f>
        <v>N/A</v>
      </c>
      <c r="G833" s="97" t="str">
        <f>IFERROR(__xludf.DUMMYFUNCTION("""COMPUTED_VALUE"""),"N/A")</f>
        <v>N/A</v>
      </c>
      <c r="H833" s="97" t="str">
        <f>IFERROR(__xludf.DUMMYFUNCTION("""COMPUTED_VALUE"""),"N/A")</f>
        <v>N/A</v>
      </c>
      <c r="I833" s="97" t="str">
        <f>IFERROR(__xludf.DUMMYFUNCTION("""COMPUTED_VALUE"""),"N/A")</f>
        <v>N/A</v>
      </c>
      <c r="J833" s="97" t="str">
        <f>IFERROR(__xludf.DUMMYFUNCTION("""COMPUTED_VALUE"""),"N/A")</f>
        <v>N/A</v>
      </c>
      <c r="K833" s="97" t="str">
        <f>IFERROR(__xludf.DUMMYFUNCTION("""COMPUTED_VALUE"""),"N/A")</f>
        <v>N/A</v>
      </c>
      <c r="L833" s="97">
        <f>IFERROR(__xludf.DUMMYFUNCTION("""COMPUTED_VALUE"""),220.0)</f>
        <v>220</v>
      </c>
      <c r="M833" s="97">
        <f>IFERROR(__xludf.DUMMYFUNCTION("""COMPUTED_VALUE"""),50.0)</f>
        <v>50</v>
      </c>
      <c r="N833" s="97" t="str">
        <f>IFERROR(__xludf.DUMMYFUNCTION("""COMPUTED_VALUE"""),"N/A")</f>
        <v>N/A</v>
      </c>
      <c r="O833" s="97" t="str">
        <f>IFERROR(__xludf.DUMMYFUNCTION("""COMPUTED_VALUE"""),"-")</f>
        <v>-</v>
      </c>
      <c r="P833" s="97"/>
      <c r="Q833" s="97" t="str">
        <f>IFERROR(__xludf.DUMMYFUNCTION("""COMPUTED_VALUE"""),"-")</f>
        <v>-</v>
      </c>
      <c r="R833" s="97" t="str">
        <f>IFERROR(__xludf.DUMMYFUNCTION("""COMPUTED_VALUE"""),"-")</f>
        <v>-</v>
      </c>
      <c r="S833" s="97" t="str">
        <f>IFERROR(__xludf.DUMMYFUNCTION("""COMPUTED_VALUE"""),"-")</f>
        <v>-</v>
      </c>
      <c r="T833" s="97" t="str">
        <f>IFERROR(__xludf.DUMMYFUNCTION("""COMPUTED_VALUE"""),"-")</f>
        <v>-</v>
      </c>
      <c r="U833" s="97" t="str">
        <f>IFERROR(__xludf.DUMMYFUNCTION("""COMPUTED_VALUE"""),"-")</f>
        <v>-</v>
      </c>
      <c r="V833" s="97" t="str">
        <f>IFERROR(__xludf.DUMMYFUNCTION("""COMPUTED_VALUE"""),"N/A")</f>
        <v>N/A</v>
      </c>
      <c r="W833" s="97" t="str">
        <f>IFERROR(__xludf.DUMMYFUNCTION("""COMPUTED_VALUE"""),"N/A")</f>
        <v>N/A</v>
      </c>
      <c r="X833" s="97" t="str">
        <f>IFERROR(__xludf.DUMMYFUNCTION("""COMPUTED_VALUE"""),"-")</f>
        <v>-</v>
      </c>
      <c r="Y833" s="97" t="str">
        <f>IFERROR(__xludf.DUMMYFUNCTION("""COMPUTED_VALUE"""),"N/A")</f>
        <v>N/A</v>
      </c>
      <c r="Z833" s="97" t="str">
        <f>IFERROR(__xludf.DUMMYFUNCTION("""COMPUTED_VALUE"""),"N/A")</f>
        <v>N/A</v>
      </c>
      <c r="AA833" s="97" t="str">
        <f>IFERROR(__xludf.DUMMYFUNCTION("""COMPUTED_VALUE"""),"N/A")</f>
        <v>N/A</v>
      </c>
      <c r="AB833" s="97" t="str">
        <f>IFERROR(__xludf.DUMMYFUNCTION("""COMPUTED_VALUE"""),"N/A")</f>
        <v>N/A</v>
      </c>
      <c r="AC833" s="97" t="str">
        <f>IFERROR(__xludf.DUMMYFUNCTION("""COMPUTED_VALUE"""),"N/A")</f>
        <v>N/A</v>
      </c>
      <c r="AD833" s="97" t="str">
        <f>IFERROR(__xludf.DUMMYFUNCTION("""COMPUTED_VALUE"""),"IP20")</f>
        <v>IP20</v>
      </c>
      <c r="AE833" s="97" t="str">
        <f>IFERROR(__xludf.DUMMYFUNCTION("""COMPUTED_VALUE"""),"Clase l")</f>
        <v>Clase l</v>
      </c>
      <c r="AF833" s="97" t="str">
        <f>IFERROR(__xludf.DUMMYFUNCTION("""COMPUTED_VALUE"""),"Embutir, Aplicar, Suspender")</f>
        <v>Embutir, Aplicar, Suspender</v>
      </c>
      <c r="AG833" s="97" t="str">
        <f>IFERROR(__xludf.DUMMYFUNCTION("""COMPUTED_VALUE"""),"32 x 36 x 3000 (Ancho x Alto x Largo)")</f>
        <v>32 x 36 x 3000 (Ancho x Alto x Largo)</v>
      </c>
      <c r="AH833" s="97" t="str">
        <f>IFERROR(__xludf.DUMMYFUNCTION("""COMPUTED_VALUE"""),"N/A")</f>
        <v>N/A</v>
      </c>
      <c r="AI833" s="97" t="str">
        <f>IFERROR(__xludf.DUMMYFUNCTION("""COMPUTED_VALUE"""),"N/A")</f>
        <v>N/A</v>
      </c>
      <c r="AJ833" s="97" t="str">
        <f>IFERROR(__xludf.DUMMYFUNCTION("""COMPUTED_VALUE"""),"N/A")</f>
        <v>N/A</v>
      </c>
      <c r="AK833" s="97" t="str">
        <f>IFERROR(__xludf.DUMMYFUNCTION("""COMPUTED_VALUE"""),"Aluminio")</f>
        <v>Aluminio</v>
      </c>
      <c r="AL833" s="97" t="str">
        <f>IFERROR(__xludf.DUMMYFUNCTION("""COMPUTED_VALUE"""),"Blanco Brillante")</f>
        <v>Blanco Brillante</v>
      </c>
      <c r="AM833" s="97" t="str">
        <f>IFERROR(__xludf.DUMMYFUNCTION("""COMPUTED_VALUE"""),"-")</f>
        <v>-</v>
      </c>
      <c r="AN833" s="97" t="str">
        <f>IFERROR(__xludf.DUMMYFUNCTION("""COMPUTED_VALUE"""),"N/A")</f>
        <v>N/A</v>
      </c>
      <c r="AO833" s="97" t="str">
        <f>IFERROR(__xludf.DUMMYFUNCTION("""COMPUTED_VALUE"""),"3 Años")</f>
        <v>3 Años</v>
      </c>
      <c r="AP833" s="97" t="str">
        <f>IFERROR(__xludf.DUMMYFUNCTION("""COMPUTED_VALUE"""),"No Aplica")</f>
        <v>No Aplica</v>
      </c>
      <c r="AQ833" s="97" t="str">
        <f>IFERROR(__xludf.DUMMYFUNCTION("""COMPUTED_VALUE"""),"No Aplica")</f>
        <v>No Aplica</v>
      </c>
      <c r="AR833" s="97" t="str">
        <f>IFERROR(__xludf.DUMMYFUNCTION("""COMPUTED_VALUE"""),"No Aplica")</f>
        <v>No Aplica</v>
      </c>
      <c r="AS833" s="97"/>
      <c r="AT833" s="97"/>
      <c r="AU833" s="97" t="str">
        <f>IFERROR(__xludf.DUMMYFUNCTION("""COMPUTED_VALUE"""),"Falta")</f>
        <v>Falta</v>
      </c>
      <c r="AV833" s="97" t="str">
        <f>IFERROR(__xludf.DUMMYFUNCTION("""COMPUTED_VALUE"""),"Riel")</f>
        <v>Riel</v>
      </c>
      <c r="AW833" s="97" t="str">
        <f>IFERROR(__xludf.DUMMYFUNCTION("""COMPUTED_VALUE"""),"Rieles")</f>
        <v>Rieles</v>
      </c>
      <c r="AX833" s="97" t="str">
        <f>IFERROR(__xludf.DUMMYFUNCTION("""COMPUTED_VALUE"""),"Interior")</f>
        <v>Interior</v>
      </c>
      <c r="AY833" s="97" t="str">
        <f>IFERROR(__xludf.DUMMYFUNCTION("""COMPUTED_VALUE"""),"-")</f>
        <v>-</v>
      </c>
      <c r="AZ833" s="97" t="str">
        <f>IFERROR(__xludf.DUMMYFUNCTION("""COMPUTED_VALUE"""),"Soporta 10A. Incluye tapas extremas.")</f>
        <v>Soporta 10A. Incluye tapas extremas.</v>
      </c>
      <c r="BA833" s="97">
        <f>IFERROR(__xludf.DUMMYFUNCTION("""COMPUTED_VALUE"""),10.0)</f>
        <v>10</v>
      </c>
      <c r="BB833" s="97" t="str">
        <f>IFERROR(__xludf.DUMMYFUNCTION("""COMPUTED_VALUE"""),"-")</f>
        <v>-</v>
      </c>
      <c r="BC833" s="97" t="str">
        <f>IFERROR(__xludf.DUMMYFUNCTION("""COMPUTED_VALUE"""),"-")</f>
        <v>-</v>
      </c>
      <c r="BD833" s="97" t="str">
        <f>IFERROR(__xludf.DUMMYFUNCTION("""COMPUTED_VALUE"""),"RIELES 3EF")</f>
        <v>RIELES 3EF</v>
      </c>
      <c r="BE833" s="97" t="str">
        <f>IFERROR(__xludf.DUMMYFUNCTION("""COMPUTED_VALUE"""),"Finalizada")</f>
        <v>Finalizada</v>
      </c>
      <c r="BF833" s="97">
        <f>IFERROR(__xludf.DUMMYFUNCTION("""COMPUTED_VALUE"""),7232.0)</f>
        <v>7232</v>
      </c>
      <c r="BG833" s="97" t="str">
        <f>IFERROR(__xludf.DUMMYFUNCTION("""COMPUTED_VALUE"""),"En Salida")</f>
        <v>En Salida</v>
      </c>
    </row>
    <row r="834">
      <c r="A834" s="97">
        <f>IFERROR(__xludf.DUMMYFUNCTION("""COMPUTED_VALUE"""),6607.0)</f>
        <v>6607</v>
      </c>
      <c r="B834" s="97" t="str">
        <f>IFERROR(__xludf.DUMMYFUNCTION("""COMPUTED_VALUE"""),"RIEL 3MTS 3EF NG")</f>
        <v>RIEL 3MTS 3EF NG</v>
      </c>
      <c r="C834" s="97" t="str">
        <f>IFERROR(__xludf.DUMMYFUNCTION("""COMPUTED_VALUE"""),"RIEL RIEL 3MTS 3EF NG LEUK")</f>
        <v>RIEL RIEL 3MTS 3EF NG LEUK</v>
      </c>
      <c r="D834" s="97">
        <f>IFERROR(__xludf.DUMMYFUNCTION("""COMPUTED_VALUE"""),7.7984132201E12)</f>
        <v>7798413220100</v>
      </c>
      <c r="E834" s="97" t="str">
        <f>IFERROR(__xludf.DUMMYFUNCTION("""COMPUTED_VALUE"""),"H5")</f>
        <v>H5</v>
      </c>
      <c r="F834" s="97" t="str">
        <f>IFERROR(__xludf.DUMMYFUNCTION("""COMPUTED_VALUE"""),"N/A")</f>
        <v>N/A</v>
      </c>
      <c r="G834" s="97" t="str">
        <f>IFERROR(__xludf.DUMMYFUNCTION("""COMPUTED_VALUE"""),"N/A")</f>
        <v>N/A</v>
      </c>
      <c r="H834" s="97" t="str">
        <f>IFERROR(__xludf.DUMMYFUNCTION("""COMPUTED_VALUE"""),"N/A")</f>
        <v>N/A</v>
      </c>
      <c r="I834" s="97" t="str">
        <f>IFERROR(__xludf.DUMMYFUNCTION("""COMPUTED_VALUE"""),"N/A")</f>
        <v>N/A</v>
      </c>
      <c r="J834" s="97" t="str">
        <f>IFERROR(__xludf.DUMMYFUNCTION("""COMPUTED_VALUE"""),"N/A")</f>
        <v>N/A</v>
      </c>
      <c r="K834" s="97" t="str">
        <f>IFERROR(__xludf.DUMMYFUNCTION("""COMPUTED_VALUE"""),"N/A")</f>
        <v>N/A</v>
      </c>
      <c r="L834" s="97">
        <f>IFERROR(__xludf.DUMMYFUNCTION("""COMPUTED_VALUE"""),220.0)</f>
        <v>220</v>
      </c>
      <c r="M834" s="97">
        <f>IFERROR(__xludf.DUMMYFUNCTION("""COMPUTED_VALUE"""),50.0)</f>
        <v>50</v>
      </c>
      <c r="N834" s="97" t="str">
        <f>IFERROR(__xludf.DUMMYFUNCTION("""COMPUTED_VALUE"""),"N/A")</f>
        <v>N/A</v>
      </c>
      <c r="O834" s="97" t="str">
        <f>IFERROR(__xludf.DUMMYFUNCTION("""COMPUTED_VALUE"""),"-")</f>
        <v>-</v>
      </c>
      <c r="P834" s="97"/>
      <c r="Q834" s="97" t="str">
        <f>IFERROR(__xludf.DUMMYFUNCTION("""COMPUTED_VALUE"""),"-")</f>
        <v>-</v>
      </c>
      <c r="R834" s="97" t="str">
        <f>IFERROR(__xludf.DUMMYFUNCTION("""COMPUTED_VALUE"""),"-")</f>
        <v>-</v>
      </c>
      <c r="S834" s="97" t="str">
        <f>IFERROR(__xludf.DUMMYFUNCTION("""COMPUTED_VALUE"""),"-")</f>
        <v>-</v>
      </c>
      <c r="T834" s="97" t="str">
        <f>IFERROR(__xludf.DUMMYFUNCTION("""COMPUTED_VALUE"""),"-")</f>
        <v>-</v>
      </c>
      <c r="U834" s="97" t="str">
        <f>IFERROR(__xludf.DUMMYFUNCTION("""COMPUTED_VALUE"""),"-")</f>
        <v>-</v>
      </c>
      <c r="V834" s="97" t="str">
        <f>IFERROR(__xludf.DUMMYFUNCTION("""COMPUTED_VALUE"""),"N/A")</f>
        <v>N/A</v>
      </c>
      <c r="W834" s="97" t="str">
        <f>IFERROR(__xludf.DUMMYFUNCTION("""COMPUTED_VALUE"""),"N/A")</f>
        <v>N/A</v>
      </c>
      <c r="X834" s="97" t="str">
        <f>IFERROR(__xludf.DUMMYFUNCTION("""COMPUTED_VALUE"""),"-")</f>
        <v>-</v>
      </c>
      <c r="Y834" s="97" t="str">
        <f>IFERROR(__xludf.DUMMYFUNCTION("""COMPUTED_VALUE"""),"N/A")</f>
        <v>N/A</v>
      </c>
      <c r="Z834" s="97" t="str">
        <f>IFERROR(__xludf.DUMMYFUNCTION("""COMPUTED_VALUE"""),"N/A")</f>
        <v>N/A</v>
      </c>
      <c r="AA834" s="97" t="str">
        <f>IFERROR(__xludf.DUMMYFUNCTION("""COMPUTED_VALUE"""),"N/A")</f>
        <v>N/A</v>
      </c>
      <c r="AB834" s="97" t="str">
        <f>IFERROR(__xludf.DUMMYFUNCTION("""COMPUTED_VALUE"""),"N/A")</f>
        <v>N/A</v>
      </c>
      <c r="AC834" s="97" t="str">
        <f>IFERROR(__xludf.DUMMYFUNCTION("""COMPUTED_VALUE"""),"N/A")</f>
        <v>N/A</v>
      </c>
      <c r="AD834" s="97" t="str">
        <f>IFERROR(__xludf.DUMMYFUNCTION("""COMPUTED_VALUE"""),"IP20")</f>
        <v>IP20</v>
      </c>
      <c r="AE834" s="97" t="str">
        <f>IFERROR(__xludf.DUMMYFUNCTION("""COMPUTED_VALUE"""),"Clase l")</f>
        <v>Clase l</v>
      </c>
      <c r="AF834" s="97" t="str">
        <f>IFERROR(__xludf.DUMMYFUNCTION("""COMPUTED_VALUE"""),"Embutir, Aplicar, Suspender")</f>
        <v>Embutir, Aplicar, Suspender</v>
      </c>
      <c r="AG834" s="97" t="str">
        <f>IFERROR(__xludf.DUMMYFUNCTION("""COMPUTED_VALUE"""),"32 x 36 x 3000 (Ancho x Alto x Largo)")</f>
        <v>32 x 36 x 3000 (Ancho x Alto x Largo)</v>
      </c>
      <c r="AH834" s="97" t="str">
        <f>IFERROR(__xludf.DUMMYFUNCTION("""COMPUTED_VALUE"""),"N/A")</f>
        <v>N/A</v>
      </c>
      <c r="AI834" s="97" t="str">
        <f>IFERROR(__xludf.DUMMYFUNCTION("""COMPUTED_VALUE"""),"N/A")</f>
        <v>N/A</v>
      </c>
      <c r="AJ834" s="97" t="str">
        <f>IFERROR(__xludf.DUMMYFUNCTION("""COMPUTED_VALUE"""),"N/A")</f>
        <v>N/A</v>
      </c>
      <c r="AK834" s="97" t="str">
        <f>IFERROR(__xludf.DUMMYFUNCTION("""COMPUTED_VALUE"""),"Aluminio")</f>
        <v>Aluminio</v>
      </c>
      <c r="AL834" s="97" t="str">
        <f>IFERROR(__xludf.DUMMYFUNCTION("""COMPUTED_VALUE"""),"Negro Brillante")</f>
        <v>Negro Brillante</v>
      </c>
      <c r="AM834" s="97" t="str">
        <f>IFERROR(__xludf.DUMMYFUNCTION("""COMPUTED_VALUE"""),"-")</f>
        <v>-</v>
      </c>
      <c r="AN834" s="97" t="str">
        <f>IFERROR(__xludf.DUMMYFUNCTION("""COMPUTED_VALUE"""),"N/A")</f>
        <v>N/A</v>
      </c>
      <c r="AO834" s="97" t="str">
        <f>IFERROR(__xludf.DUMMYFUNCTION("""COMPUTED_VALUE"""),"3 Años")</f>
        <v>3 Años</v>
      </c>
      <c r="AP834" s="97" t="str">
        <f>IFERROR(__xludf.DUMMYFUNCTION("""COMPUTED_VALUE"""),"No Aplica")</f>
        <v>No Aplica</v>
      </c>
      <c r="AQ834" s="97" t="str">
        <f>IFERROR(__xludf.DUMMYFUNCTION("""COMPUTED_VALUE"""),"No Aplica")</f>
        <v>No Aplica</v>
      </c>
      <c r="AR834" s="97" t="str">
        <f>IFERROR(__xludf.DUMMYFUNCTION("""COMPUTED_VALUE"""),"No Aplica")</f>
        <v>No Aplica</v>
      </c>
      <c r="AS834" s="97"/>
      <c r="AT834" s="97"/>
      <c r="AU834" s="97" t="str">
        <f>IFERROR(__xludf.DUMMYFUNCTION("""COMPUTED_VALUE"""),"Falta")</f>
        <v>Falta</v>
      </c>
      <c r="AV834" s="97" t="str">
        <f>IFERROR(__xludf.DUMMYFUNCTION("""COMPUTED_VALUE"""),"Riel")</f>
        <v>Riel</v>
      </c>
      <c r="AW834" s="97" t="str">
        <f>IFERROR(__xludf.DUMMYFUNCTION("""COMPUTED_VALUE"""),"Rieles")</f>
        <v>Rieles</v>
      </c>
      <c r="AX834" s="97" t="str">
        <f>IFERROR(__xludf.DUMMYFUNCTION("""COMPUTED_VALUE"""),"Interior")</f>
        <v>Interior</v>
      </c>
      <c r="AY834" s="97" t="str">
        <f>IFERROR(__xludf.DUMMYFUNCTION("""COMPUTED_VALUE"""),"-")</f>
        <v>-</v>
      </c>
      <c r="AZ834" s="97" t="str">
        <f>IFERROR(__xludf.DUMMYFUNCTION("""COMPUTED_VALUE"""),"Soporta 10A. Incluye tapas extremas.")</f>
        <v>Soporta 10A. Incluye tapas extremas.</v>
      </c>
      <c r="BA834" s="97">
        <f>IFERROR(__xludf.DUMMYFUNCTION("""COMPUTED_VALUE"""),10.0)</f>
        <v>10</v>
      </c>
      <c r="BB834" s="97" t="str">
        <f>IFERROR(__xludf.DUMMYFUNCTION("""COMPUTED_VALUE"""),"-")</f>
        <v>-</v>
      </c>
      <c r="BC834" s="97" t="str">
        <f>IFERROR(__xludf.DUMMYFUNCTION("""COMPUTED_VALUE"""),"-")</f>
        <v>-</v>
      </c>
      <c r="BD834" s="97" t="str">
        <f>IFERROR(__xludf.DUMMYFUNCTION("""COMPUTED_VALUE"""),"RIELES 3EF")</f>
        <v>RIELES 3EF</v>
      </c>
      <c r="BE834" s="97" t="str">
        <f>IFERROR(__xludf.DUMMYFUNCTION("""COMPUTED_VALUE"""),"Finalizada")</f>
        <v>Finalizada</v>
      </c>
      <c r="BF834" s="97">
        <f>IFERROR(__xludf.DUMMYFUNCTION("""COMPUTED_VALUE"""),7231.0)</f>
        <v>7231</v>
      </c>
      <c r="BG834" s="97" t="str">
        <f>IFERROR(__xludf.DUMMYFUNCTION("""COMPUTED_VALUE"""),"En Salida")</f>
        <v>En Salida</v>
      </c>
    </row>
    <row r="835">
      <c r="A835" s="97">
        <f>IFERROR(__xludf.DUMMYFUNCTION("""COMPUTED_VALUE"""),6608.0)</f>
        <v>6608</v>
      </c>
      <c r="B835" s="97" t="str">
        <f>IFERROR(__xludf.DUMMYFUNCTION("""COMPUTED_VALUE"""),"RIEL 2MTS 3EF BL")</f>
        <v>RIEL 2MTS 3EF BL</v>
      </c>
      <c r="C835" s="97" t="str">
        <f>IFERROR(__xludf.DUMMYFUNCTION("""COMPUTED_VALUE"""),"RIEL RIEL 2MTS 3EF BL LEUK")</f>
        <v>RIEL RIEL 2MTS 3EF BL LEUK</v>
      </c>
      <c r="D835" s="97">
        <f>IFERROR(__xludf.DUMMYFUNCTION("""COMPUTED_VALUE"""),7.798413220094E12)</f>
        <v>7798413220094</v>
      </c>
      <c r="E835" s="97"/>
      <c r="F835" s="97" t="str">
        <f>IFERROR(__xludf.DUMMYFUNCTION("""COMPUTED_VALUE"""),"N/A")</f>
        <v>N/A</v>
      </c>
      <c r="G835" s="97" t="str">
        <f>IFERROR(__xludf.DUMMYFUNCTION("""COMPUTED_VALUE"""),"N/A")</f>
        <v>N/A</v>
      </c>
      <c r="H835" s="97" t="str">
        <f>IFERROR(__xludf.DUMMYFUNCTION("""COMPUTED_VALUE"""),"N/A")</f>
        <v>N/A</v>
      </c>
      <c r="I835" s="97" t="str">
        <f>IFERROR(__xludf.DUMMYFUNCTION("""COMPUTED_VALUE"""),"N/A")</f>
        <v>N/A</v>
      </c>
      <c r="J835" s="97" t="str">
        <f>IFERROR(__xludf.DUMMYFUNCTION("""COMPUTED_VALUE"""),"N/A")</f>
        <v>N/A</v>
      </c>
      <c r="K835" s="97" t="str">
        <f>IFERROR(__xludf.DUMMYFUNCTION("""COMPUTED_VALUE"""),"N/A")</f>
        <v>N/A</v>
      </c>
      <c r="L835" s="97">
        <f>IFERROR(__xludf.DUMMYFUNCTION("""COMPUTED_VALUE"""),220.0)</f>
        <v>220</v>
      </c>
      <c r="M835" s="97">
        <f>IFERROR(__xludf.DUMMYFUNCTION("""COMPUTED_VALUE"""),50.0)</f>
        <v>50</v>
      </c>
      <c r="N835" s="97" t="str">
        <f>IFERROR(__xludf.DUMMYFUNCTION("""COMPUTED_VALUE"""),"N/A")</f>
        <v>N/A</v>
      </c>
      <c r="O835" s="97" t="str">
        <f>IFERROR(__xludf.DUMMYFUNCTION("""COMPUTED_VALUE"""),"-")</f>
        <v>-</v>
      </c>
      <c r="P835" s="97"/>
      <c r="Q835" s="97" t="str">
        <f>IFERROR(__xludf.DUMMYFUNCTION("""COMPUTED_VALUE"""),"-")</f>
        <v>-</v>
      </c>
      <c r="R835" s="97" t="str">
        <f>IFERROR(__xludf.DUMMYFUNCTION("""COMPUTED_VALUE"""),"-")</f>
        <v>-</v>
      </c>
      <c r="S835" s="97" t="str">
        <f>IFERROR(__xludf.DUMMYFUNCTION("""COMPUTED_VALUE"""),"-")</f>
        <v>-</v>
      </c>
      <c r="T835" s="97" t="str">
        <f>IFERROR(__xludf.DUMMYFUNCTION("""COMPUTED_VALUE"""),"-")</f>
        <v>-</v>
      </c>
      <c r="U835" s="97" t="str">
        <f>IFERROR(__xludf.DUMMYFUNCTION("""COMPUTED_VALUE"""),"-")</f>
        <v>-</v>
      </c>
      <c r="V835" s="97" t="str">
        <f>IFERROR(__xludf.DUMMYFUNCTION("""COMPUTED_VALUE"""),"N/A")</f>
        <v>N/A</v>
      </c>
      <c r="W835" s="97" t="str">
        <f>IFERROR(__xludf.DUMMYFUNCTION("""COMPUTED_VALUE"""),"N/A")</f>
        <v>N/A</v>
      </c>
      <c r="X835" s="97" t="str">
        <f>IFERROR(__xludf.DUMMYFUNCTION("""COMPUTED_VALUE"""),"-")</f>
        <v>-</v>
      </c>
      <c r="Y835" s="97" t="str">
        <f>IFERROR(__xludf.DUMMYFUNCTION("""COMPUTED_VALUE"""),"N/A")</f>
        <v>N/A</v>
      </c>
      <c r="Z835" s="97" t="str">
        <f>IFERROR(__xludf.DUMMYFUNCTION("""COMPUTED_VALUE"""),"N/A")</f>
        <v>N/A</v>
      </c>
      <c r="AA835" s="97" t="str">
        <f>IFERROR(__xludf.DUMMYFUNCTION("""COMPUTED_VALUE"""),"N/A")</f>
        <v>N/A</v>
      </c>
      <c r="AB835" s="97" t="str">
        <f>IFERROR(__xludf.DUMMYFUNCTION("""COMPUTED_VALUE"""),"N/A")</f>
        <v>N/A</v>
      </c>
      <c r="AC835" s="97" t="str">
        <f>IFERROR(__xludf.DUMMYFUNCTION("""COMPUTED_VALUE"""),"N/A")</f>
        <v>N/A</v>
      </c>
      <c r="AD835" s="97" t="str">
        <f>IFERROR(__xludf.DUMMYFUNCTION("""COMPUTED_VALUE"""),"IP20")</f>
        <v>IP20</v>
      </c>
      <c r="AE835" s="97" t="str">
        <f>IFERROR(__xludf.DUMMYFUNCTION("""COMPUTED_VALUE"""),"Clase l")</f>
        <v>Clase l</v>
      </c>
      <c r="AF835" s="97" t="str">
        <f>IFERROR(__xludf.DUMMYFUNCTION("""COMPUTED_VALUE"""),"Embutir, Aplicar, Suspender")</f>
        <v>Embutir, Aplicar, Suspender</v>
      </c>
      <c r="AG835" s="97" t="str">
        <f>IFERROR(__xludf.DUMMYFUNCTION("""COMPUTED_VALUE"""),"32 x 36 x 2000 (Ancho x Alto x Largo)")</f>
        <v>32 x 36 x 2000 (Ancho x Alto x Largo)</v>
      </c>
      <c r="AH835" s="97" t="str">
        <f>IFERROR(__xludf.DUMMYFUNCTION("""COMPUTED_VALUE"""),"N/A")</f>
        <v>N/A</v>
      </c>
      <c r="AI835" s="97" t="str">
        <f>IFERROR(__xludf.DUMMYFUNCTION("""COMPUTED_VALUE"""),"N/A")</f>
        <v>N/A</v>
      </c>
      <c r="AJ835" s="97" t="str">
        <f>IFERROR(__xludf.DUMMYFUNCTION("""COMPUTED_VALUE"""),"N/A")</f>
        <v>N/A</v>
      </c>
      <c r="AK835" s="97" t="str">
        <f>IFERROR(__xludf.DUMMYFUNCTION("""COMPUTED_VALUE"""),"Aluminio")</f>
        <v>Aluminio</v>
      </c>
      <c r="AL835" s="97" t="str">
        <f>IFERROR(__xludf.DUMMYFUNCTION("""COMPUTED_VALUE"""),"Blanco Brillante")</f>
        <v>Blanco Brillante</v>
      </c>
      <c r="AM835" s="97" t="str">
        <f>IFERROR(__xludf.DUMMYFUNCTION("""COMPUTED_VALUE"""),"-")</f>
        <v>-</v>
      </c>
      <c r="AN835" s="97" t="str">
        <f>IFERROR(__xludf.DUMMYFUNCTION("""COMPUTED_VALUE"""),"N/A")</f>
        <v>N/A</v>
      </c>
      <c r="AO835" s="97" t="str">
        <f>IFERROR(__xludf.DUMMYFUNCTION("""COMPUTED_VALUE"""),"3 Años")</f>
        <v>3 Años</v>
      </c>
      <c r="AP835" s="97" t="str">
        <f>IFERROR(__xludf.DUMMYFUNCTION("""COMPUTED_VALUE"""),"No Aplica")</f>
        <v>No Aplica</v>
      </c>
      <c r="AQ835" s="97" t="str">
        <f>IFERROR(__xludf.DUMMYFUNCTION("""COMPUTED_VALUE"""),"No Aplica")</f>
        <v>No Aplica</v>
      </c>
      <c r="AR835" s="97" t="str">
        <f>IFERROR(__xludf.DUMMYFUNCTION("""COMPUTED_VALUE"""),"No Aplica")</f>
        <v>No Aplica</v>
      </c>
      <c r="AS835" s="97"/>
      <c r="AT835" s="97"/>
      <c r="AU835" s="97" t="str">
        <f>IFERROR(__xludf.DUMMYFUNCTION("""COMPUTED_VALUE"""),"Falta")</f>
        <v>Falta</v>
      </c>
      <c r="AV835" s="97" t="str">
        <f>IFERROR(__xludf.DUMMYFUNCTION("""COMPUTED_VALUE"""),"Riel")</f>
        <v>Riel</v>
      </c>
      <c r="AW835" s="97" t="str">
        <f>IFERROR(__xludf.DUMMYFUNCTION("""COMPUTED_VALUE"""),"Rieles")</f>
        <v>Rieles</v>
      </c>
      <c r="AX835" s="97" t="str">
        <f>IFERROR(__xludf.DUMMYFUNCTION("""COMPUTED_VALUE"""),"Interior")</f>
        <v>Interior</v>
      </c>
      <c r="AY835" s="97" t="str">
        <f>IFERROR(__xludf.DUMMYFUNCTION("""COMPUTED_VALUE"""),"-")</f>
        <v>-</v>
      </c>
      <c r="AZ835" s="97" t="str">
        <f>IFERROR(__xludf.DUMMYFUNCTION("""COMPUTED_VALUE"""),"Soporta 10A. Incluye tapas extremas.")</f>
        <v>Soporta 10A. Incluye tapas extremas.</v>
      </c>
      <c r="BA835" s="97">
        <f>IFERROR(__xludf.DUMMYFUNCTION("""COMPUTED_VALUE"""),10.0)</f>
        <v>10</v>
      </c>
      <c r="BB835" s="97" t="str">
        <f>IFERROR(__xludf.DUMMYFUNCTION("""COMPUTED_VALUE"""),"-")</f>
        <v>-</v>
      </c>
      <c r="BC835" s="97" t="str">
        <f>IFERROR(__xludf.DUMMYFUNCTION("""COMPUTED_VALUE"""),"-")</f>
        <v>-</v>
      </c>
      <c r="BD835" s="97" t="str">
        <f>IFERROR(__xludf.DUMMYFUNCTION("""COMPUTED_VALUE"""),"RIELES 3EF")</f>
        <v>RIELES 3EF</v>
      </c>
      <c r="BE835" s="97" t="str">
        <f>IFERROR(__xludf.DUMMYFUNCTION("""COMPUTED_VALUE"""),"Finalizada")</f>
        <v>Finalizada</v>
      </c>
      <c r="BF835" s="97">
        <f>IFERROR(__xludf.DUMMYFUNCTION("""COMPUTED_VALUE"""),7230.0)</f>
        <v>7230</v>
      </c>
      <c r="BG835" s="97" t="str">
        <f>IFERROR(__xludf.DUMMYFUNCTION("""COMPUTED_VALUE"""),"En Salida")</f>
        <v>En Salida</v>
      </c>
    </row>
    <row r="836">
      <c r="A836" s="97">
        <f>IFERROR(__xludf.DUMMYFUNCTION("""COMPUTED_VALUE"""),6609.0)</f>
        <v>6609</v>
      </c>
      <c r="B836" s="97" t="str">
        <f>IFERROR(__xludf.DUMMYFUNCTION("""COMPUTED_VALUE"""),"RIEL 2MTS 3EF NG")</f>
        <v>RIEL 2MTS 3EF NG</v>
      </c>
      <c r="C836" s="97" t="str">
        <f>IFERROR(__xludf.DUMMYFUNCTION("""COMPUTED_VALUE"""),"RIEL RIEL 2MTS 3EF NG LEUK")</f>
        <v>RIEL RIEL 2MTS 3EF NG LEUK</v>
      </c>
      <c r="D836" s="97">
        <f>IFERROR(__xludf.DUMMYFUNCTION("""COMPUTED_VALUE"""),7.798413220087E12)</f>
        <v>7798413220087</v>
      </c>
      <c r="E836" s="97" t="str">
        <f>IFERROR(__xludf.DUMMYFUNCTION("""COMPUTED_VALUE"""),"H3")</f>
        <v>H3</v>
      </c>
      <c r="F836" s="97" t="str">
        <f>IFERROR(__xludf.DUMMYFUNCTION("""COMPUTED_VALUE"""),"N/A")</f>
        <v>N/A</v>
      </c>
      <c r="G836" s="97" t="str">
        <f>IFERROR(__xludf.DUMMYFUNCTION("""COMPUTED_VALUE"""),"N/A")</f>
        <v>N/A</v>
      </c>
      <c r="H836" s="97" t="str">
        <f>IFERROR(__xludf.DUMMYFUNCTION("""COMPUTED_VALUE"""),"N/A")</f>
        <v>N/A</v>
      </c>
      <c r="I836" s="97" t="str">
        <f>IFERROR(__xludf.DUMMYFUNCTION("""COMPUTED_VALUE"""),"N/A")</f>
        <v>N/A</v>
      </c>
      <c r="J836" s="97" t="str">
        <f>IFERROR(__xludf.DUMMYFUNCTION("""COMPUTED_VALUE"""),"N/A")</f>
        <v>N/A</v>
      </c>
      <c r="K836" s="97" t="str">
        <f>IFERROR(__xludf.DUMMYFUNCTION("""COMPUTED_VALUE"""),"N/A")</f>
        <v>N/A</v>
      </c>
      <c r="L836" s="97">
        <f>IFERROR(__xludf.DUMMYFUNCTION("""COMPUTED_VALUE"""),220.0)</f>
        <v>220</v>
      </c>
      <c r="M836" s="97">
        <f>IFERROR(__xludf.DUMMYFUNCTION("""COMPUTED_VALUE"""),50.0)</f>
        <v>50</v>
      </c>
      <c r="N836" s="97" t="str">
        <f>IFERROR(__xludf.DUMMYFUNCTION("""COMPUTED_VALUE"""),"N/A")</f>
        <v>N/A</v>
      </c>
      <c r="O836" s="97" t="str">
        <f>IFERROR(__xludf.DUMMYFUNCTION("""COMPUTED_VALUE"""),"-")</f>
        <v>-</v>
      </c>
      <c r="P836" s="97"/>
      <c r="Q836" s="97" t="str">
        <f>IFERROR(__xludf.DUMMYFUNCTION("""COMPUTED_VALUE"""),"-")</f>
        <v>-</v>
      </c>
      <c r="R836" s="97" t="str">
        <f>IFERROR(__xludf.DUMMYFUNCTION("""COMPUTED_VALUE"""),"-")</f>
        <v>-</v>
      </c>
      <c r="S836" s="97" t="str">
        <f>IFERROR(__xludf.DUMMYFUNCTION("""COMPUTED_VALUE"""),"-")</f>
        <v>-</v>
      </c>
      <c r="T836" s="97" t="str">
        <f>IFERROR(__xludf.DUMMYFUNCTION("""COMPUTED_VALUE"""),"-")</f>
        <v>-</v>
      </c>
      <c r="U836" s="97" t="str">
        <f>IFERROR(__xludf.DUMMYFUNCTION("""COMPUTED_VALUE"""),"-")</f>
        <v>-</v>
      </c>
      <c r="V836" s="97" t="str">
        <f>IFERROR(__xludf.DUMMYFUNCTION("""COMPUTED_VALUE"""),"N/A")</f>
        <v>N/A</v>
      </c>
      <c r="W836" s="97" t="str">
        <f>IFERROR(__xludf.DUMMYFUNCTION("""COMPUTED_VALUE"""),"N/A")</f>
        <v>N/A</v>
      </c>
      <c r="X836" s="97" t="str">
        <f>IFERROR(__xludf.DUMMYFUNCTION("""COMPUTED_VALUE"""),"-")</f>
        <v>-</v>
      </c>
      <c r="Y836" s="97" t="str">
        <f>IFERROR(__xludf.DUMMYFUNCTION("""COMPUTED_VALUE"""),"N/A")</f>
        <v>N/A</v>
      </c>
      <c r="Z836" s="97" t="str">
        <f>IFERROR(__xludf.DUMMYFUNCTION("""COMPUTED_VALUE"""),"N/A")</f>
        <v>N/A</v>
      </c>
      <c r="AA836" s="97" t="str">
        <f>IFERROR(__xludf.DUMMYFUNCTION("""COMPUTED_VALUE"""),"N/A")</f>
        <v>N/A</v>
      </c>
      <c r="AB836" s="97" t="str">
        <f>IFERROR(__xludf.DUMMYFUNCTION("""COMPUTED_VALUE"""),"N/A")</f>
        <v>N/A</v>
      </c>
      <c r="AC836" s="97" t="str">
        <f>IFERROR(__xludf.DUMMYFUNCTION("""COMPUTED_VALUE"""),"N/A")</f>
        <v>N/A</v>
      </c>
      <c r="AD836" s="97" t="str">
        <f>IFERROR(__xludf.DUMMYFUNCTION("""COMPUTED_VALUE"""),"IP20")</f>
        <v>IP20</v>
      </c>
      <c r="AE836" s="97" t="str">
        <f>IFERROR(__xludf.DUMMYFUNCTION("""COMPUTED_VALUE"""),"Clase l")</f>
        <v>Clase l</v>
      </c>
      <c r="AF836" s="97" t="str">
        <f>IFERROR(__xludf.DUMMYFUNCTION("""COMPUTED_VALUE"""),"Embutir, Aplicar, Suspender")</f>
        <v>Embutir, Aplicar, Suspender</v>
      </c>
      <c r="AG836" s="97" t="str">
        <f>IFERROR(__xludf.DUMMYFUNCTION("""COMPUTED_VALUE"""),"32 x 36 x 2000 (Ancho x Alto x Largo)")</f>
        <v>32 x 36 x 2000 (Ancho x Alto x Largo)</v>
      </c>
      <c r="AH836" s="97" t="str">
        <f>IFERROR(__xludf.DUMMYFUNCTION("""COMPUTED_VALUE"""),"N/A")</f>
        <v>N/A</v>
      </c>
      <c r="AI836" s="97" t="str">
        <f>IFERROR(__xludf.DUMMYFUNCTION("""COMPUTED_VALUE"""),"N/A")</f>
        <v>N/A</v>
      </c>
      <c r="AJ836" s="97" t="str">
        <f>IFERROR(__xludf.DUMMYFUNCTION("""COMPUTED_VALUE"""),"N/A")</f>
        <v>N/A</v>
      </c>
      <c r="AK836" s="97" t="str">
        <f>IFERROR(__xludf.DUMMYFUNCTION("""COMPUTED_VALUE"""),"Aluminio")</f>
        <v>Aluminio</v>
      </c>
      <c r="AL836" s="97" t="str">
        <f>IFERROR(__xludf.DUMMYFUNCTION("""COMPUTED_VALUE"""),"Negro Brillante")</f>
        <v>Negro Brillante</v>
      </c>
      <c r="AM836" s="97" t="str">
        <f>IFERROR(__xludf.DUMMYFUNCTION("""COMPUTED_VALUE"""),"-")</f>
        <v>-</v>
      </c>
      <c r="AN836" s="97" t="str">
        <f>IFERROR(__xludf.DUMMYFUNCTION("""COMPUTED_VALUE"""),"N/A")</f>
        <v>N/A</v>
      </c>
      <c r="AO836" s="97" t="str">
        <f>IFERROR(__xludf.DUMMYFUNCTION("""COMPUTED_VALUE"""),"3 Años")</f>
        <v>3 Años</v>
      </c>
      <c r="AP836" s="97" t="str">
        <f>IFERROR(__xludf.DUMMYFUNCTION("""COMPUTED_VALUE"""),"No Aplica")</f>
        <v>No Aplica</v>
      </c>
      <c r="AQ836" s="97" t="str">
        <f>IFERROR(__xludf.DUMMYFUNCTION("""COMPUTED_VALUE"""),"No Aplica")</f>
        <v>No Aplica</v>
      </c>
      <c r="AR836" s="97" t="str">
        <f>IFERROR(__xludf.DUMMYFUNCTION("""COMPUTED_VALUE"""),"No Aplica")</f>
        <v>No Aplica</v>
      </c>
      <c r="AS836" s="97"/>
      <c r="AT836" s="97"/>
      <c r="AU836" s="97" t="str">
        <f>IFERROR(__xludf.DUMMYFUNCTION("""COMPUTED_VALUE"""),"Falta")</f>
        <v>Falta</v>
      </c>
      <c r="AV836" s="97" t="str">
        <f>IFERROR(__xludf.DUMMYFUNCTION("""COMPUTED_VALUE"""),"Riel")</f>
        <v>Riel</v>
      </c>
      <c r="AW836" s="97" t="str">
        <f>IFERROR(__xludf.DUMMYFUNCTION("""COMPUTED_VALUE"""),"Rieles")</f>
        <v>Rieles</v>
      </c>
      <c r="AX836" s="97" t="str">
        <f>IFERROR(__xludf.DUMMYFUNCTION("""COMPUTED_VALUE"""),"Interior")</f>
        <v>Interior</v>
      </c>
      <c r="AY836" s="97" t="str">
        <f>IFERROR(__xludf.DUMMYFUNCTION("""COMPUTED_VALUE"""),"-")</f>
        <v>-</v>
      </c>
      <c r="AZ836" s="97" t="str">
        <f>IFERROR(__xludf.DUMMYFUNCTION("""COMPUTED_VALUE"""),"Soporta 10A. Incluye tapas extremas.")</f>
        <v>Soporta 10A. Incluye tapas extremas.</v>
      </c>
      <c r="BA836" s="97">
        <f>IFERROR(__xludf.DUMMYFUNCTION("""COMPUTED_VALUE"""),10.0)</f>
        <v>10</v>
      </c>
      <c r="BB836" s="97" t="str">
        <f>IFERROR(__xludf.DUMMYFUNCTION("""COMPUTED_VALUE"""),"-")</f>
        <v>-</v>
      </c>
      <c r="BC836" s="97" t="str">
        <f>IFERROR(__xludf.DUMMYFUNCTION("""COMPUTED_VALUE"""),"-")</f>
        <v>-</v>
      </c>
      <c r="BD836" s="97" t="str">
        <f>IFERROR(__xludf.DUMMYFUNCTION("""COMPUTED_VALUE"""),"RIELES 3EF")</f>
        <v>RIELES 3EF</v>
      </c>
      <c r="BE836" s="97" t="str">
        <f>IFERROR(__xludf.DUMMYFUNCTION("""COMPUTED_VALUE"""),"Finalizada")</f>
        <v>Finalizada</v>
      </c>
      <c r="BF836" s="97">
        <f>IFERROR(__xludf.DUMMYFUNCTION("""COMPUTED_VALUE"""),7229.0)</f>
        <v>7229</v>
      </c>
      <c r="BG836" s="97" t="str">
        <f>IFERROR(__xludf.DUMMYFUNCTION("""COMPUTED_VALUE"""),"En Salida")</f>
        <v>En Salida</v>
      </c>
    </row>
    <row r="837">
      <c r="A837" s="97">
        <f>IFERROR(__xludf.DUMMYFUNCTION("""COMPUTED_VALUE"""),6610.0)</f>
        <v>6610</v>
      </c>
      <c r="B837" s="97" t="str">
        <f>IFERROR(__xludf.DUMMYFUNCTION("""COMPUTED_VALUE"""),"RIEL 1MT 3EF BL")</f>
        <v>RIEL 1MT 3EF BL</v>
      </c>
      <c r="C837" s="97" t="str">
        <f>IFERROR(__xludf.DUMMYFUNCTION("""COMPUTED_VALUE"""),"RIEL RIEL 1MT 3EF BL LEUK")</f>
        <v>RIEL RIEL 1MT 3EF BL LEUK</v>
      </c>
      <c r="D837" s="97">
        <f>IFERROR(__xludf.DUMMYFUNCTION("""COMPUTED_VALUE"""),7.79841322007E12)</f>
        <v>7798413220070</v>
      </c>
      <c r="E837" s="97"/>
      <c r="F837" s="97" t="str">
        <f>IFERROR(__xludf.DUMMYFUNCTION("""COMPUTED_VALUE"""),"N/A")</f>
        <v>N/A</v>
      </c>
      <c r="G837" s="97" t="str">
        <f>IFERROR(__xludf.DUMMYFUNCTION("""COMPUTED_VALUE"""),"N/A")</f>
        <v>N/A</v>
      </c>
      <c r="H837" s="97" t="str">
        <f>IFERROR(__xludf.DUMMYFUNCTION("""COMPUTED_VALUE"""),"N/A")</f>
        <v>N/A</v>
      </c>
      <c r="I837" s="97" t="str">
        <f>IFERROR(__xludf.DUMMYFUNCTION("""COMPUTED_VALUE"""),"N/A")</f>
        <v>N/A</v>
      </c>
      <c r="J837" s="97" t="str">
        <f>IFERROR(__xludf.DUMMYFUNCTION("""COMPUTED_VALUE"""),"N/A")</f>
        <v>N/A</v>
      </c>
      <c r="K837" s="97" t="str">
        <f>IFERROR(__xludf.DUMMYFUNCTION("""COMPUTED_VALUE"""),"N/A")</f>
        <v>N/A</v>
      </c>
      <c r="L837" s="97">
        <f>IFERROR(__xludf.DUMMYFUNCTION("""COMPUTED_VALUE"""),220.0)</f>
        <v>220</v>
      </c>
      <c r="M837" s="97">
        <f>IFERROR(__xludf.DUMMYFUNCTION("""COMPUTED_VALUE"""),50.0)</f>
        <v>50</v>
      </c>
      <c r="N837" s="97" t="str">
        <f>IFERROR(__xludf.DUMMYFUNCTION("""COMPUTED_VALUE"""),"N/A")</f>
        <v>N/A</v>
      </c>
      <c r="O837" s="97" t="str">
        <f>IFERROR(__xludf.DUMMYFUNCTION("""COMPUTED_VALUE"""),"-")</f>
        <v>-</v>
      </c>
      <c r="P837" s="97"/>
      <c r="Q837" s="97" t="str">
        <f>IFERROR(__xludf.DUMMYFUNCTION("""COMPUTED_VALUE"""),"-")</f>
        <v>-</v>
      </c>
      <c r="R837" s="97" t="str">
        <f>IFERROR(__xludf.DUMMYFUNCTION("""COMPUTED_VALUE"""),"-")</f>
        <v>-</v>
      </c>
      <c r="S837" s="97" t="str">
        <f>IFERROR(__xludf.DUMMYFUNCTION("""COMPUTED_VALUE"""),"-")</f>
        <v>-</v>
      </c>
      <c r="T837" s="97" t="str">
        <f>IFERROR(__xludf.DUMMYFUNCTION("""COMPUTED_VALUE"""),"-")</f>
        <v>-</v>
      </c>
      <c r="U837" s="97" t="str">
        <f>IFERROR(__xludf.DUMMYFUNCTION("""COMPUTED_VALUE"""),"-")</f>
        <v>-</v>
      </c>
      <c r="V837" s="97" t="str">
        <f>IFERROR(__xludf.DUMMYFUNCTION("""COMPUTED_VALUE"""),"N/A")</f>
        <v>N/A</v>
      </c>
      <c r="W837" s="97" t="str">
        <f>IFERROR(__xludf.DUMMYFUNCTION("""COMPUTED_VALUE"""),"N/A")</f>
        <v>N/A</v>
      </c>
      <c r="X837" s="97" t="str">
        <f>IFERROR(__xludf.DUMMYFUNCTION("""COMPUTED_VALUE"""),"-")</f>
        <v>-</v>
      </c>
      <c r="Y837" s="97" t="str">
        <f>IFERROR(__xludf.DUMMYFUNCTION("""COMPUTED_VALUE"""),"N/A")</f>
        <v>N/A</v>
      </c>
      <c r="Z837" s="97" t="str">
        <f>IFERROR(__xludf.DUMMYFUNCTION("""COMPUTED_VALUE"""),"N/A")</f>
        <v>N/A</v>
      </c>
      <c r="AA837" s="97" t="str">
        <f>IFERROR(__xludf.DUMMYFUNCTION("""COMPUTED_VALUE"""),"N/A")</f>
        <v>N/A</v>
      </c>
      <c r="AB837" s="97" t="str">
        <f>IFERROR(__xludf.DUMMYFUNCTION("""COMPUTED_VALUE"""),"N/A")</f>
        <v>N/A</v>
      </c>
      <c r="AC837" s="97" t="str">
        <f>IFERROR(__xludf.DUMMYFUNCTION("""COMPUTED_VALUE"""),"N/A")</f>
        <v>N/A</v>
      </c>
      <c r="AD837" s="97" t="str">
        <f>IFERROR(__xludf.DUMMYFUNCTION("""COMPUTED_VALUE"""),"IP20")</f>
        <v>IP20</v>
      </c>
      <c r="AE837" s="97" t="str">
        <f>IFERROR(__xludf.DUMMYFUNCTION("""COMPUTED_VALUE"""),"Clase l")</f>
        <v>Clase l</v>
      </c>
      <c r="AF837" s="97" t="str">
        <f>IFERROR(__xludf.DUMMYFUNCTION("""COMPUTED_VALUE"""),"Embutir, Aplicar, Suspender")</f>
        <v>Embutir, Aplicar, Suspender</v>
      </c>
      <c r="AG837" s="97" t="str">
        <f>IFERROR(__xludf.DUMMYFUNCTION("""COMPUTED_VALUE"""),"32 x 36 x 1000 (Ancho x Alto x Largo)")</f>
        <v>32 x 36 x 1000 (Ancho x Alto x Largo)</v>
      </c>
      <c r="AH837" s="97" t="str">
        <f>IFERROR(__xludf.DUMMYFUNCTION("""COMPUTED_VALUE"""),"N/A")</f>
        <v>N/A</v>
      </c>
      <c r="AI837" s="97" t="str">
        <f>IFERROR(__xludf.DUMMYFUNCTION("""COMPUTED_VALUE"""),"N/A")</f>
        <v>N/A</v>
      </c>
      <c r="AJ837" s="97" t="str">
        <f>IFERROR(__xludf.DUMMYFUNCTION("""COMPUTED_VALUE"""),"N/A")</f>
        <v>N/A</v>
      </c>
      <c r="AK837" s="97" t="str">
        <f>IFERROR(__xludf.DUMMYFUNCTION("""COMPUTED_VALUE"""),"Aluminio")</f>
        <v>Aluminio</v>
      </c>
      <c r="AL837" s="97" t="str">
        <f>IFERROR(__xludf.DUMMYFUNCTION("""COMPUTED_VALUE"""),"Blanco Brillante")</f>
        <v>Blanco Brillante</v>
      </c>
      <c r="AM837" s="97" t="str">
        <f>IFERROR(__xludf.DUMMYFUNCTION("""COMPUTED_VALUE"""),"-")</f>
        <v>-</v>
      </c>
      <c r="AN837" s="97" t="str">
        <f>IFERROR(__xludf.DUMMYFUNCTION("""COMPUTED_VALUE"""),"N/A")</f>
        <v>N/A</v>
      </c>
      <c r="AO837" s="97" t="str">
        <f>IFERROR(__xludf.DUMMYFUNCTION("""COMPUTED_VALUE"""),"3 Años")</f>
        <v>3 Años</v>
      </c>
      <c r="AP837" s="97" t="str">
        <f>IFERROR(__xludf.DUMMYFUNCTION("""COMPUTED_VALUE"""),"No Aplica")</f>
        <v>No Aplica</v>
      </c>
      <c r="AQ837" s="97" t="str">
        <f>IFERROR(__xludf.DUMMYFUNCTION("""COMPUTED_VALUE"""),"No Aplica")</f>
        <v>No Aplica</v>
      </c>
      <c r="AR837" s="97" t="str">
        <f>IFERROR(__xludf.DUMMYFUNCTION("""COMPUTED_VALUE"""),"No Aplica")</f>
        <v>No Aplica</v>
      </c>
      <c r="AS837" s="97"/>
      <c r="AT837" s="97"/>
      <c r="AU837" s="97" t="str">
        <f>IFERROR(__xludf.DUMMYFUNCTION("""COMPUTED_VALUE"""),"Falta")</f>
        <v>Falta</v>
      </c>
      <c r="AV837" s="97" t="str">
        <f>IFERROR(__xludf.DUMMYFUNCTION("""COMPUTED_VALUE"""),"Riel")</f>
        <v>Riel</v>
      </c>
      <c r="AW837" s="97" t="str">
        <f>IFERROR(__xludf.DUMMYFUNCTION("""COMPUTED_VALUE"""),"Rieles")</f>
        <v>Rieles</v>
      </c>
      <c r="AX837" s="97" t="str">
        <f>IFERROR(__xludf.DUMMYFUNCTION("""COMPUTED_VALUE"""),"Interior")</f>
        <v>Interior</v>
      </c>
      <c r="AY837" s="97" t="str">
        <f>IFERROR(__xludf.DUMMYFUNCTION("""COMPUTED_VALUE"""),"-")</f>
        <v>-</v>
      </c>
      <c r="AZ837" s="97" t="str">
        <f>IFERROR(__xludf.DUMMYFUNCTION("""COMPUTED_VALUE"""),"Soporta 10A. Incluye tapas extremas.")</f>
        <v>Soporta 10A. Incluye tapas extremas.</v>
      </c>
      <c r="BA837" s="97">
        <f>IFERROR(__xludf.DUMMYFUNCTION("""COMPUTED_VALUE"""),10.0)</f>
        <v>10</v>
      </c>
      <c r="BB837" s="97" t="str">
        <f>IFERROR(__xludf.DUMMYFUNCTION("""COMPUTED_VALUE"""),"-")</f>
        <v>-</v>
      </c>
      <c r="BC837" s="97" t="str">
        <f>IFERROR(__xludf.DUMMYFUNCTION("""COMPUTED_VALUE"""),"-")</f>
        <v>-</v>
      </c>
      <c r="BD837" s="97" t="str">
        <f>IFERROR(__xludf.DUMMYFUNCTION("""COMPUTED_VALUE"""),"RIELES 3EF")</f>
        <v>RIELES 3EF</v>
      </c>
      <c r="BE837" s="97" t="str">
        <f>IFERROR(__xludf.DUMMYFUNCTION("""COMPUTED_VALUE"""),"Finalizada")</f>
        <v>Finalizada</v>
      </c>
      <c r="BF837" s="97">
        <f>IFERROR(__xludf.DUMMYFUNCTION("""COMPUTED_VALUE"""),7242.0)</f>
        <v>7242</v>
      </c>
      <c r="BG837" s="97" t="str">
        <f>IFERROR(__xludf.DUMMYFUNCTION("""COMPUTED_VALUE"""),"En Salida")</f>
        <v>En Salida</v>
      </c>
    </row>
    <row r="838">
      <c r="A838" s="97">
        <f>IFERROR(__xludf.DUMMYFUNCTION("""COMPUTED_VALUE"""),6611.0)</f>
        <v>6611</v>
      </c>
      <c r="B838" s="97" t="str">
        <f>IFERROR(__xludf.DUMMYFUNCTION("""COMPUTED_VALUE"""),"RIEL 1MT 3EF NG")</f>
        <v>RIEL 1MT 3EF NG</v>
      </c>
      <c r="C838" s="97" t="str">
        <f>IFERROR(__xludf.DUMMYFUNCTION("""COMPUTED_VALUE"""),"RIEL RIEL 1MT 3EF NG LEUK")</f>
        <v>RIEL RIEL 1MT 3EF NG LEUK</v>
      </c>
      <c r="D838" s="97">
        <f>IFERROR(__xludf.DUMMYFUNCTION("""COMPUTED_VALUE"""),7.798413220063E12)</f>
        <v>7798413220063</v>
      </c>
      <c r="E838" s="97"/>
      <c r="F838" s="97" t="str">
        <f>IFERROR(__xludf.DUMMYFUNCTION("""COMPUTED_VALUE"""),"N/A")</f>
        <v>N/A</v>
      </c>
      <c r="G838" s="97" t="str">
        <f>IFERROR(__xludf.DUMMYFUNCTION("""COMPUTED_VALUE"""),"N/A")</f>
        <v>N/A</v>
      </c>
      <c r="H838" s="97" t="str">
        <f>IFERROR(__xludf.DUMMYFUNCTION("""COMPUTED_VALUE"""),"N/A")</f>
        <v>N/A</v>
      </c>
      <c r="I838" s="97" t="str">
        <f>IFERROR(__xludf.DUMMYFUNCTION("""COMPUTED_VALUE"""),"N/A")</f>
        <v>N/A</v>
      </c>
      <c r="J838" s="97" t="str">
        <f>IFERROR(__xludf.DUMMYFUNCTION("""COMPUTED_VALUE"""),"N/A")</f>
        <v>N/A</v>
      </c>
      <c r="K838" s="97" t="str">
        <f>IFERROR(__xludf.DUMMYFUNCTION("""COMPUTED_VALUE"""),"N/A")</f>
        <v>N/A</v>
      </c>
      <c r="L838" s="97">
        <f>IFERROR(__xludf.DUMMYFUNCTION("""COMPUTED_VALUE"""),220.0)</f>
        <v>220</v>
      </c>
      <c r="M838" s="97">
        <f>IFERROR(__xludf.DUMMYFUNCTION("""COMPUTED_VALUE"""),50.0)</f>
        <v>50</v>
      </c>
      <c r="N838" s="97" t="str">
        <f>IFERROR(__xludf.DUMMYFUNCTION("""COMPUTED_VALUE"""),"N/A")</f>
        <v>N/A</v>
      </c>
      <c r="O838" s="97" t="str">
        <f>IFERROR(__xludf.DUMMYFUNCTION("""COMPUTED_VALUE"""),"-")</f>
        <v>-</v>
      </c>
      <c r="P838" s="97"/>
      <c r="Q838" s="97" t="str">
        <f>IFERROR(__xludf.DUMMYFUNCTION("""COMPUTED_VALUE"""),"-")</f>
        <v>-</v>
      </c>
      <c r="R838" s="97" t="str">
        <f>IFERROR(__xludf.DUMMYFUNCTION("""COMPUTED_VALUE"""),"-")</f>
        <v>-</v>
      </c>
      <c r="S838" s="97" t="str">
        <f>IFERROR(__xludf.DUMMYFUNCTION("""COMPUTED_VALUE"""),"-")</f>
        <v>-</v>
      </c>
      <c r="T838" s="97" t="str">
        <f>IFERROR(__xludf.DUMMYFUNCTION("""COMPUTED_VALUE"""),"-")</f>
        <v>-</v>
      </c>
      <c r="U838" s="97" t="str">
        <f>IFERROR(__xludf.DUMMYFUNCTION("""COMPUTED_VALUE"""),"-")</f>
        <v>-</v>
      </c>
      <c r="V838" s="97" t="str">
        <f>IFERROR(__xludf.DUMMYFUNCTION("""COMPUTED_VALUE"""),"N/A")</f>
        <v>N/A</v>
      </c>
      <c r="W838" s="97" t="str">
        <f>IFERROR(__xludf.DUMMYFUNCTION("""COMPUTED_VALUE"""),"N/A")</f>
        <v>N/A</v>
      </c>
      <c r="X838" s="97" t="str">
        <f>IFERROR(__xludf.DUMMYFUNCTION("""COMPUTED_VALUE"""),"-")</f>
        <v>-</v>
      </c>
      <c r="Y838" s="97" t="str">
        <f>IFERROR(__xludf.DUMMYFUNCTION("""COMPUTED_VALUE"""),"N/A")</f>
        <v>N/A</v>
      </c>
      <c r="Z838" s="97" t="str">
        <f>IFERROR(__xludf.DUMMYFUNCTION("""COMPUTED_VALUE"""),"N/A")</f>
        <v>N/A</v>
      </c>
      <c r="AA838" s="97" t="str">
        <f>IFERROR(__xludf.DUMMYFUNCTION("""COMPUTED_VALUE"""),"N/A")</f>
        <v>N/A</v>
      </c>
      <c r="AB838" s="97" t="str">
        <f>IFERROR(__xludf.DUMMYFUNCTION("""COMPUTED_VALUE"""),"N/A")</f>
        <v>N/A</v>
      </c>
      <c r="AC838" s="97" t="str">
        <f>IFERROR(__xludf.DUMMYFUNCTION("""COMPUTED_VALUE"""),"N/A")</f>
        <v>N/A</v>
      </c>
      <c r="AD838" s="97" t="str">
        <f>IFERROR(__xludf.DUMMYFUNCTION("""COMPUTED_VALUE"""),"IP20")</f>
        <v>IP20</v>
      </c>
      <c r="AE838" s="97" t="str">
        <f>IFERROR(__xludf.DUMMYFUNCTION("""COMPUTED_VALUE"""),"Clase l")</f>
        <v>Clase l</v>
      </c>
      <c r="AF838" s="97" t="str">
        <f>IFERROR(__xludf.DUMMYFUNCTION("""COMPUTED_VALUE"""),"Embutir, Aplicar, Suspender")</f>
        <v>Embutir, Aplicar, Suspender</v>
      </c>
      <c r="AG838" s="97" t="str">
        <f>IFERROR(__xludf.DUMMYFUNCTION("""COMPUTED_VALUE"""),"32 x 36 x 1000 (Ancho x Alto x Largo)")</f>
        <v>32 x 36 x 1000 (Ancho x Alto x Largo)</v>
      </c>
      <c r="AH838" s="97" t="str">
        <f>IFERROR(__xludf.DUMMYFUNCTION("""COMPUTED_VALUE"""),"N/A")</f>
        <v>N/A</v>
      </c>
      <c r="AI838" s="97" t="str">
        <f>IFERROR(__xludf.DUMMYFUNCTION("""COMPUTED_VALUE"""),"N/A")</f>
        <v>N/A</v>
      </c>
      <c r="AJ838" s="97" t="str">
        <f>IFERROR(__xludf.DUMMYFUNCTION("""COMPUTED_VALUE"""),"N/A")</f>
        <v>N/A</v>
      </c>
      <c r="AK838" s="97" t="str">
        <f>IFERROR(__xludf.DUMMYFUNCTION("""COMPUTED_VALUE"""),"Aluminio")</f>
        <v>Aluminio</v>
      </c>
      <c r="AL838" s="97" t="str">
        <f>IFERROR(__xludf.DUMMYFUNCTION("""COMPUTED_VALUE"""),"Negro Brillante")</f>
        <v>Negro Brillante</v>
      </c>
      <c r="AM838" s="97" t="str">
        <f>IFERROR(__xludf.DUMMYFUNCTION("""COMPUTED_VALUE"""),"-")</f>
        <v>-</v>
      </c>
      <c r="AN838" s="97" t="str">
        <f>IFERROR(__xludf.DUMMYFUNCTION("""COMPUTED_VALUE"""),"N/A")</f>
        <v>N/A</v>
      </c>
      <c r="AO838" s="97" t="str">
        <f>IFERROR(__xludf.DUMMYFUNCTION("""COMPUTED_VALUE"""),"3 Años")</f>
        <v>3 Años</v>
      </c>
      <c r="AP838" s="97" t="str">
        <f>IFERROR(__xludf.DUMMYFUNCTION("""COMPUTED_VALUE"""),"No Aplica")</f>
        <v>No Aplica</v>
      </c>
      <c r="AQ838" s="97" t="str">
        <f>IFERROR(__xludf.DUMMYFUNCTION("""COMPUTED_VALUE"""),"No Aplica")</f>
        <v>No Aplica</v>
      </c>
      <c r="AR838" s="97" t="str">
        <f>IFERROR(__xludf.DUMMYFUNCTION("""COMPUTED_VALUE"""),"No Aplica")</f>
        <v>No Aplica</v>
      </c>
      <c r="AS838" s="97"/>
      <c r="AT838" s="97"/>
      <c r="AU838" s="97" t="str">
        <f>IFERROR(__xludf.DUMMYFUNCTION("""COMPUTED_VALUE"""),"Falta")</f>
        <v>Falta</v>
      </c>
      <c r="AV838" s="97" t="str">
        <f>IFERROR(__xludf.DUMMYFUNCTION("""COMPUTED_VALUE"""),"Riel")</f>
        <v>Riel</v>
      </c>
      <c r="AW838" s="97" t="str">
        <f>IFERROR(__xludf.DUMMYFUNCTION("""COMPUTED_VALUE"""),"Rieles")</f>
        <v>Rieles</v>
      </c>
      <c r="AX838" s="97" t="str">
        <f>IFERROR(__xludf.DUMMYFUNCTION("""COMPUTED_VALUE"""),"Interior")</f>
        <v>Interior</v>
      </c>
      <c r="AY838" s="97" t="str">
        <f>IFERROR(__xludf.DUMMYFUNCTION("""COMPUTED_VALUE"""),"-")</f>
        <v>-</v>
      </c>
      <c r="AZ838" s="97" t="str">
        <f>IFERROR(__xludf.DUMMYFUNCTION("""COMPUTED_VALUE"""),"Soporta 10A. Incluye tapas extremas.")</f>
        <v>Soporta 10A. Incluye tapas extremas.</v>
      </c>
      <c r="BA838" s="97">
        <f>IFERROR(__xludf.DUMMYFUNCTION("""COMPUTED_VALUE"""),10.0)</f>
        <v>10</v>
      </c>
      <c r="BB838" s="97" t="str">
        <f>IFERROR(__xludf.DUMMYFUNCTION("""COMPUTED_VALUE"""),"-")</f>
        <v>-</v>
      </c>
      <c r="BC838" s="97" t="str">
        <f>IFERROR(__xludf.DUMMYFUNCTION("""COMPUTED_VALUE"""),"-")</f>
        <v>-</v>
      </c>
      <c r="BD838" s="97" t="str">
        <f>IFERROR(__xludf.DUMMYFUNCTION("""COMPUTED_VALUE"""),"RIELES 3EF")</f>
        <v>RIELES 3EF</v>
      </c>
      <c r="BE838" s="97" t="str">
        <f>IFERROR(__xludf.DUMMYFUNCTION("""COMPUTED_VALUE"""),"Finalizada")</f>
        <v>Finalizada</v>
      </c>
      <c r="BF838" s="97">
        <f>IFERROR(__xludf.DUMMYFUNCTION("""COMPUTED_VALUE"""),7241.0)</f>
        <v>7241</v>
      </c>
      <c r="BG838" s="97" t="str">
        <f>IFERROR(__xludf.DUMMYFUNCTION("""COMPUTED_VALUE"""),"En Salida")</f>
        <v>En Salida</v>
      </c>
    </row>
    <row r="839">
      <c r="A839" s="97">
        <f>IFERROR(__xludf.DUMMYFUNCTION("""COMPUTED_VALUE"""),6612.0)</f>
        <v>6612</v>
      </c>
      <c r="B839" s="97" t="str">
        <f>IFERROR(__xludf.DUMMYFUNCTION("""COMPUTED_VALUE"""),"FOCO DICRO BL")</f>
        <v>FOCO DICRO BL</v>
      </c>
      <c r="C839" s="97" t="str">
        <f>IFERROR(__xludf.DUMMYFUNCTION("""COMPUTED_VALUE"""),"CABEZAL FOCO DICRO BL 1XGU10 DICRO IP20 LEUK")</f>
        <v>CABEZAL FOCO DICRO BL 1XGU10 DICRO IP20 LEUK</v>
      </c>
      <c r="D839" s="97">
        <f>IFERROR(__xludf.DUMMYFUNCTION("""COMPUTED_VALUE"""),7.798413221138E12)</f>
        <v>7798413221138</v>
      </c>
      <c r="E839" s="97" t="str">
        <f>IFERROR(__xludf.DUMMYFUNCTION("""COMPUTED_VALUE"""),"N/A")</f>
        <v>N/A</v>
      </c>
      <c r="F839" s="97" t="str">
        <f>IFERROR(__xludf.DUMMYFUNCTION("""COMPUTED_VALUE"""),"1xGU10 Dicro")</f>
        <v>1xGU10 Dicro</v>
      </c>
      <c r="G839" s="97" t="str">
        <f>IFERROR(__xludf.DUMMYFUNCTION("""COMPUTED_VALUE"""),"N/A")</f>
        <v>N/A</v>
      </c>
      <c r="H839" s="97" t="str">
        <f>IFERROR(__xludf.DUMMYFUNCTION("""COMPUTED_VALUE"""),"N/A")</f>
        <v>N/A</v>
      </c>
      <c r="I839" s="97" t="str">
        <f>IFERROR(__xludf.DUMMYFUNCTION("""COMPUTED_VALUE"""),"N/A")</f>
        <v>N/A</v>
      </c>
      <c r="J839" s="97" t="str">
        <f>IFERROR(__xludf.DUMMYFUNCTION("""COMPUTED_VALUE"""),"N/A")</f>
        <v>N/A</v>
      </c>
      <c r="K839" s="97" t="str">
        <f>IFERROR(__xludf.DUMMYFUNCTION("""COMPUTED_VALUE"""),"N/A")</f>
        <v>N/A</v>
      </c>
      <c r="L839" s="97">
        <f>IFERROR(__xludf.DUMMYFUNCTION("""COMPUTED_VALUE"""),220.0)</f>
        <v>220</v>
      </c>
      <c r="M839" s="97">
        <f>IFERROR(__xludf.DUMMYFUNCTION("""COMPUTED_VALUE"""),50.0)</f>
        <v>50</v>
      </c>
      <c r="N839" s="97"/>
      <c r="O839" s="97" t="str">
        <f>IFERROR(__xludf.DUMMYFUNCTION("""COMPUTED_VALUE"""),"1 x 7W Max")</f>
        <v>1 x 7W Max</v>
      </c>
      <c r="P839" s="97"/>
      <c r="Q839" s="97" t="str">
        <f>IFERROR(__xludf.DUMMYFUNCTION("""COMPUTED_VALUE"""),"-")</f>
        <v>-</v>
      </c>
      <c r="R839" s="97" t="str">
        <f>IFERROR(__xludf.DUMMYFUNCTION("""COMPUTED_VALUE"""),"-")</f>
        <v>-</v>
      </c>
      <c r="S839" s="97" t="str">
        <f>IFERROR(__xludf.DUMMYFUNCTION("""COMPUTED_VALUE"""),"-")</f>
        <v>-</v>
      </c>
      <c r="T839" s="97" t="str">
        <f>IFERROR(__xludf.DUMMYFUNCTION("""COMPUTED_VALUE"""),"-")</f>
        <v>-</v>
      </c>
      <c r="U839" s="97" t="str">
        <f>IFERROR(__xludf.DUMMYFUNCTION("""COMPUTED_VALUE"""),"-")</f>
        <v>-</v>
      </c>
      <c r="V839" s="97" t="str">
        <f>IFERROR(__xludf.DUMMYFUNCTION("""COMPUTED_VALUE"""),"N/A")</f>
        <v>N/A</v>
      </c>
      <c r="W839" s="97" t="str">
        <f>IFERROR(__xludf.DUMMYFUNCTION("""COMPUTED_VALUE"""),"N/A")</f>
        <v>N/A</v>
      </c>
      <c r="X839" s="97" t="str">
        <f>IFERROR(__xludf.DUMMYFUNCTION("""COMPUTED_VALUE"""),"-")</f>
        <v>-</v>
      </c>
      <c r="Y839" s="97" t="str">
        <f>IFERROR(__xludf.DUMMYFUNCTION("""COMPUTED_VALUE"""),"N/A")</f>
        <v>N/A</v>
      </c>
      <c r="Z839" s="97" t="str">
        <f>IFERROR(__xludf.DUMMYFUNCTION("""COMPUTED_VALUE"""),"N/A")</f>
        <v>N/A</v>
      </c>
      <c r="AA839" s="97" t="str">
        <f>IFERROR(__xludf.DUMMYFUNCTION("""COMPUTED_VALUE"""),"N/A")</f>
        <v>N/A</v>
      </c>
      <c r="AB839" s="97" t="str">
        <f>IFERROR(__xludf.DUMMYFUNCTION("""COMPUTED_VALUE"""),"N/A")</f>
        <v>N/A</v>
      </c>
      <c r="AC839" s="97" t="str">
        <f>IFERROR(__xludf.DUMMYFUNCTION("""COMPUTED_VALUE"""),"N/A")</f>
        <v>N/A</v>
      </c>
      <c r="AD839" s="97" t="str">
        <f>IFERROR(__xludf.DUMMYFUNCTION("""COMPUTED_VALUE"""),"IP20")</f>
        <v>IP20</v>
      </c>
      <c r="AE839" s="97" t="str">
        <f>IFERROR(__xludf.DUMMYFUNCTION("""COMPUTED_VALUE"""),"Clase ll")</f>
        <v>Clase ll</v>
      </c>
      <c r="AF839" s="97" t="str">
        <f>IFERROR(__xludf.DUMMYFUNCTION("""COMPUTED_VALUE"""),"Cabezal")</f>
        <v>Cabezal</v>
      </c>
      <c r="AG839" s="97" t="str">
        <f>IFERROR(__xludf.DUMMYFUNCTION("""COMPUTED_VALUE"""),"Ø52 x 110")</f>
        <v>Ø52 x 110</v>
      </c>
      <c r="AH839" s="97" t="str">
        <f>IFERROR(__xludf.DUMMYFUNCTION("""COMPUTED_VALUE"""),"N/A")</f>
        <v>N/A</v>
      </c>
      <c r="AI839" s="97" t="str">
        <f>IFERROR(__xludf.DUMMYFUNCTION("""COMPUTED_VALUE"""),"N/A")</f>
        <v>N/A</v>
      </c>
      <c r="AJ839" s="97" t="str">
        <f>IFERROR(__xludf.DUMMYFUNCTION("""COMPUTED_VALUE"""),"N/A")</f>
        <v>N/A</v>
      </c>
      <c r="AK839" s="97" t="str">
        <f>IFERROR(__xludf.DUMMYFUNCTION("""COMPUTED_VALUE"""),"Acero")</f>
        <v>Acero</v>
      </c>
      <c r="AL839" s="97" t="str">
        <f>IFERROR(__xludf.DUMMYFUNCTION("""COMPUTED_VALUE"""),"Blanco Satinado")</f>
        <v>Blanco Satinado</v>
      </c>
      <c r="AM839" s="97" t="str">
        <f>IFERROR(__xludf.DUMMYFUNCTION("""COMPUTED_VALUE"""),"-")</f>
        <v>-</v>
      </c>
      <c r="AN839" s="97" t="str">
        <f>IFERROR(__xludf.DUMMYFUNCTION("""COMPUTED_VALUE"""),"N/A")</f>
        <v>N/A</v>
      </c>
      <c r="AO839" s="97" t="str">
        <f>IFERROR(__xludf.DUMMYFUNCTION("""COMPUTED_VALUE"""),"2 Años")</f>
        <v>2 Años</v>
      </c>
      <c r="AP839" s="97" t="str">
        <f>IFERROR(__xludf.DUMMYFUNCTION("""COMPUTED_VALUE"""),"No Aplica")</f>
        <v>No Aplica</v>
      </c>
      <c r="AQ839" s="97" t="str">
        <f>IFERROR(__xludf.DUMMYFUNCTION("""COMPUTED_VALUE"""),"No Aplica")</f>
        <v>No Aplica</v>
      </c>
      <c r="AR839" s="97" t="str">
        <f>IFERROR(__xludf.DUMMYFUNCTION("""COMPUTED_VALUE"""),"No Aplica")</f>
        <v>No Aplica</v>
      </c>
      <c r="AS839" s="97"/>
      <c r="AT839" s="97"/>
      <c r="AU839" s="97" t="str">
        <f>IFERROR(__xludf.DUMMYFUNCTION("""COMPUTED_VALUE"""),"Falta")</f>
        <v>Falta</v>
      </c>
      <c r="AV839" s="97" t="str">
        <f>IFERROR(__xludf.DUMMYFUNCTION("""COMPUTED_VALUE"""),"Cabezal")</f>
        <v>Cabezal</v>
      </c>
      <c r="AW839" s="97" t="str">
        <f>IFERROR(__xludf.DUMMYFUNCTION("""COMPUTED_VALUE"""),"De Techo")</f>
        <v>De Techo</v>
      </c>
      <c r="AX839" s="97" t="str">
        <f>IFERROR(__xludf.DUMMYFUNCTION("""COMPUTED_VALUE"""),"Interior")</f>
        <v>Interior</v>
      </c>
      <c r="AY839" s="97" t="str">
        <f>IFERROR(__xludf.DUMMYFUNCTION("""COMPUTED_VALUE"""),"-")</f>
        <v>-</v>
      </c>
      <c r="AZ839" s="97" t="str">
        <f>IFERROR(__xludf.DUMMYFUNCTION("""COMPUTED_VALUE"""),"-")</f>
        <v>-</v>
      </c>
      <c r="BA839" s="97">
        <f>IFERROR(__xludf.DUMMYFUNCTION("""COMPUTED_VALUE"""),10.0)</f>
        <v>10</v>
      </c>
      <c r="BB839" s="97" t="str">
        <f>IFERROR(__xludf.DUMMYFUNCTION("""COMPUTED_VALUE"""),"-")</f>
        <v>-</v>
      </c>
      <c r="BC839" s="97" t="str">
        <f>IFERROR(__xludf.DUMMYFUNCTION("""COMPUTED_VALUE"""),"-")</f>
        <v>-</v>
      </c>
      <c r="BD839" s="97" t="str">
        <f>IFERROR(__xludf.DUMMYFUNCTION("""COMPUTED_VALUE"""),"FOCO DICRO")</f>
        <v>FOCO DICRO</v>
      </c>
      <c r="BE839" s="97" t="str">
        <f>IFERROR(__xludf.DUMMYFUNCTION("""COMPUTED_VALUE"""),"Finalizada")</f>
        <v>Finalizada</v>
      </c>
      <c r="BF839" s="97"/>
      <c r="BG839" s="97" t="str">
        <f>IFERROR(__xludf.DUMMYFUNCTION("""COMPUTED_VALUE"""),"En Salida")</f>
        <v>En Salida</v>
      </c>
    </row>
    <row r="840">
      <c r="A840" s="97">
        <f>IFERROR(__xludf.DUMMYFUNCTION("""COMPUTED_VALUE"""),6613.0)</f>
        <v>6613</v>
      </c>
      <c r="B840" s="97" t="str">
        <f>IFERROR(__xludf.DUMMYFUNCTION("""COMPUTED_VALUE"""),"FOCO DICRO NG")</f>
        <v>FOCO DICRO NG</v>
      </c>
      <c r="C840" s="97" t="str">
        <f>IFERROR(__xludf.DUMMYFUNCTION("""COMPUTED_VALUE"""),"CABEZAL FOCO DICRO NG 1XGU10 DICRO IP20 LEUK")</f>
        <v>CABEZAL FOCO DICRO NG 1XGU10 DICRO IP20 LEUK</v>
      </c>
      <c r="D840" s="97">
        <f>IFERROR(__xludf.DUMMYFUNCTION("""COMPUTED_VALUE"""),7.798413221121E12)</f>
        <v>7798413221121</v>
      </c>
      <c r="E840" s="97" t="str">
        <f>IFERROR(__xludf.DUMMYFUNCTION("""COMPUTED_VALUE"""),"N/A")</f>
        <v>N/A</v>
      </c>
      <c r="F840" s="97" t="str">
        <f>IFERROR(__xludf.DUMMYFUNCTION("""COMPUTED_VALUE"""),"1xGU10 Dicro")</f>
        <v>1xGU10 Dicro</v>
      </c>
      <c r="G840" s="97" t="str">
        <f>IFERROR(__xludf.DUMMYFUNCTION("""COMPUTED_VALUE"""),"N/A")</f>
        <v>N/A</v>
      </c>
      <c r="H840" s="97" t="str">
        <f>IFERROR(__xludf.DUMMYFUNCTION("""COMPUTED_VALUE"""),"N/A")</f>
        <v>N/A</v>
      </c>
      <c r="I840" s="97" t="str">
        <f>IFERROR(__xludf.DUMMYFUNCTION("""COMPUTED_VALUE"""),"N/A")</f>
        <v>N/A</v>
      </c>
      <c r="J840" s="97" t="str">
        <f>IFERROR(__xludf.DUMMYFUNCTION("""COMPUTED_VALUE"""),"N/A")</f>
        <v>N/A</v>
      </c>
      <c r="K840" s="97" t="str">
        <f>IFERROR(__xludf.DUMMYFUNCTION("""COMPUTED_VALUE"""),"N/A")</f>
        <v>N/A</v>
      </c>
      <c r="L840" s="97">
        <f>IFERROR(__xludf.DUMMYFUNCTION("""COMPUTED_VALUE"""),220.0)</f>
        <v>220</v>
      </c>
      <c r="M840" s="97">
        <f>IFERROR(__xludf.DUMMYFUNCTION("""COMPUTED_VALUE"""),50.0)</f>
        <v>50</v>
      </c>
      <c r="N840" s="97"/>
      <c r="O840" s="97" t="str">
        <f>IFERROR(__xludf.DUMMYFUNCTION("""COMPUTED_VALUE"""),"1 x 7W Max")</f>
        <v>1 x 7W Max</v>
      </c>
      <c r="P840" s="97"/>
      <c r="Q840" s="97" t="str">
        <f>IFERROR(__xludf.DUMMYFUNCTION("""COMPUTED_VALUE"""),"-")</f>
        <v>-</v>
      </c>
      <c r="R840" s="97" t="str">
        <f>IFERROR(__xludf.DUMMYFUNCTION("""COMPUTED_VALUE"""),"-")</f>
        <v>-</v>
      </c>
      <c r="S840" s="97" t="str">
        <f>IFERROR(__xludf.DUMMYFUNCTION("""COMPUTED_VALUE"""),"-")</f>
        <v>-</v>
      </c>
      <c r="T840" s="97" t="str">
        <f>IFERROR(__xludf.DUMMYFUNCTION("""COMPUTED_VALUE"""),"-")</f>
        <v>-</v>
      </c>
      <c r="U840" s="97" t="str">
        <f>IFERROR(__xludf.DUMMYFUNCTION("""COMPUTED_VALUE"""),"-")</f>
        <v>-</v>
      </c>
      <c r="V840" s="97" t="str">
        <f>IFERROR(__xludf.DUMMYFUNCTION("""COMPUTED_VALUE"""),"N/A")</f>
        <v>N/A</v>
      </c>
      <c r="W840" s="97" t="str">
        <f>IFERROR(__xludf.DUMMYFUNCTION("""COMPUTED_VALUE"""),"N/A")</f>
        <v>N/A</v>
      </c>
      <c r="X840" s="97" t="str">
        <f>IFERROR(__xludf.DUMMYFUNCTION("""COMPUTED_VALUE"""),"-")</f>
        <v>-</v>
      </c>
      <c r="Y840" s="97" t="str">
        <f>IFERROR(__xludf.DUMMYFUNCTION("""COMPUTED_VALUE"""),"N/A")</f>
        <v>N/A</v>
      </c>
      <c r="Z840" s="97" t="str">
        <f>IFERROR(__xludf.DUMMYFUNCTION("""COMPUTED_VALUE"""),"N/A")</f>
        <v>N/A</v>
      </c>
      <c r="AA840" s="97" t="str">
        <f>IFERROR(__xludf.DUMMYFUNCTION("""COMPUTED_VALUE"""),"N/A")</f>
        <v>N/A</v>
      </c>
      <c r="AB840" s="97" t="str">
        <f>IFERROR(__xludf.DUMMYFUNCTION("""COMPUTED_VALUE"""),"N/A")</f>
        <v>N/A</v>
      </c>
      <c r="AC840" s="97" t="str">
        <f>IFERROR(__xludf.DUMMYFUNCTION("""COMPUTED_VALUE"""),"N/A")</f>
        <v>N/A</v>
      </c>
      <c r="AD840" s="97" t="str">
        <f>IFERROR(__xludf.DUMMYFUNCTION("""COMPUTED_VALUE"""),"IP20")</f>
        <v>IP20</v>
      </c>
      <c r="AE840" s="97" t="str">
        <f>IFERROR(__xludf.DUMMYFUNCTION("""COMPUTED_VALUE"""),"Clase ll")</f>
        <v>Clase ll</v>
      </c>
      <c r="AF840" s="97" t="str">
        <f>IFERROR(__xludf.DUMMYFUNCTION("""COMPUTED_VALUE"""),"Cabezal")</f>
        <v>Cabezal</v>
      </c>
      <c r="AG840" s="97" t="str">
        <f>IFERROR(__xludf.DUMMYFUNCTION("""COMPUTED_VALUE"""),"Ø52 x 110")</f>
        <v>Ø52 x 110</v>
      </c>
      <c r="AH840" s="97" t="str">
        <f>IFERROR(__xludf.DUMMYFUNCTION("""COMPUTED_VALUE"""),"N/A")</f>
        <v>N/A</v>
      </c>
      <c r="AI840" s="97" t="str">
        <f>IFERROR(__xludf.DUMMYFUNCTION("""COMPUTED_VALUE"""),"N/A")</f>
        <v>N/A</v>
      </c>
      <c r="AJ840" s="97" t="str">
        <f>IFERROR(__xludf.DUMMYFUNCTION("""COMPUTED_VALUE"""),"N/A")</f>
        <v>N/A</v>
      </c>
      <c r="AK840" s="97" t="str">
        <f>IFERROR(__xludf.DUMMYFUNCTION("""COMPUTED_VALUE"""),"Acero")</f>
        <v>Acero</v>
      </c>
      <c r="AL840" s="97" t="str">
        <f>IFERROR(__xludf.DUMMYFUNCTION("""COMPUTED_VALUE"""),"Negro Satinado")</f>
        <v>Negro Satinado</v>
      </c>
      <c r="AM840" s="97" t="str">
        <f>IFERROR(__xludf.DUMMYFUNCTION("""COMPUTED_VALUE"""),"-")</f>
        <v>-</v>
      </c>
      <c r="AN840" s="97" t="str">
        <f>IFERROR(__xludf.DUMMYFUNCTION("""COMPUTED_VALUE"""),"N/A")</f>
        <v>N/A</v>
      </c>
      <c r="AO840" s="97" t="str">
        <f>IFERROR(__xludf.DUMMYFUNCTION("""COMPUTED_VALUE"""),"2 Años")</f>
        <v>2 Años</v>
      </c>
      <c r="AP840" s="97" t="str">
        <f>IFERROR(__xludf.DUMMYFUNCTION("""COMPUTED_VALUE"""),"No Aplica")</f>
        <v>No Aplica</v>
      </c>
      <c r="AQ840" s="97" t="str">
        <f>IFERROR(__xludf.DUMMYFUNCTION("""COMPUTED_VALUE"""),"No Aplica")</f>
        <v>No Aplica</v>
      </c>
      <c r="AR840" s="97" t="str">
        <f>IFERROR(__xludf.DUMMYFUNCTION("""COMPUTED_VALUE"""),"No Aplica")</f>
        <v>No Aplica</v>
      </c>
      <c r="AS840" s="97"/>
      <c r="AT840" s="97"/>
      <c r="AU840" s="97" t="str">
        <f>IFERROR(__xludf.DUMMYFUNCTION("""COMPUTED_VALUE"""),"Falta")</f>
        <v>Falta</v>
      </c>
      <c r="AV840" s="97" t="str">
        <f>IFERROR(__xludf.DUMMYFUNCTION("""COMPUTED_VALUE"""),"Cabezal")</f>
        <v>Cabezal</v>
      </c>
      <c r="AW840" s="97" t="str">
        <f>IFERROR(__xludf.DUMMYFUNCTION("""COMPUTED_VALUE"""),"De Techo")</f>
        <v>De Techo</v>
      </c>
      <c r="AX840" s="97" t="str">
        <f>IFERROR(__xludf.DUMMYFUNCTION("""COMPUTED_VALUE"""),"Interior")</f>
        <v>Interior</v>
      </c>
      <c r="AY840" s="97" t="str">
        <f>IFERROR(__xludf.DUMMYFUNCTION("""COMPUTED_VALUE"""),"-")</f>
        <v>-</v>
      </c>
      <c r="AZ840" s="97" t="str">
        <f>IFERROR(__xludf.DUMMYFUNCTION("""COMPUTED_VALUE"""),"-")</f>
        <v>-</v>
      </c>
      <c r="BA840" s="97">
        <f>IFERROR(__xludf.DUMMYFUNCTION("""COMPUTED_VALUE"""),10.0)</f>
        <v>10</v>
      </c>
      <c r="BB840" s="97" t="str">
        <f>IFERROR(__xludf.DUMMYFUNCTION("""COMPUTED_VALUE"""),"-")</f>
        <v>-</v>
      </c>
      <c r="BC840" s="97" t="str">
        <f>IFERROR(__xludf.DUMMYFUNCTION("""COMPUTED_VALUE"""),"-")</f>
        <v>-</v>
      </c>
      <c r="BD840" s="97" t="str">
        <f>IFERROR(__xludf.DUMMYFUNCTION("""COMPUTED_VALUE"""),"FOCO DICRO")</f>
        <v>FOCO DICRO</v>
      </c>
      <c r="BE840" s="97" t="str">
        <f>IFERROR(__xludf.DUMMYFUNCTION("""COMPUTED_VALUE"""),"Finalizada")</f>
        <v>Finalizada</v>
      </c>
      <c r="BF840" s="97"/>
      <c r="BG840" s="97" t="str">
        <f>IFERROR(__xludf.DUMMYFUNCTION("""COMPUTED_VALUE"""),"En Salida")</f>
        <v>En Salida</v>
      </c>
    </row>
    <row r="841">
      <c r="A841" s="97">
        <f>IFERROR(__xludf.DUMMYFUNCTION("""COMPUTED_VALUE"""),6614.0)</f>
        <v>6614</v>
      </c>
      <c r="B841" s="97" t="str">
        <f>IFERROR(__xludf.DUMMYFUNCTION("""COMPUTED_VALUE"""),"YORK NG")</f>
        <v>YORK NG</v>
      </c>
      <c r="C841" s="97" t="str">
        <f>IFERROR(__xludf.DUMMYFUNCTION("""COMPUTED_VALUE"""),"APLIQUE YORK NG 45W 3000/4000/6500K 3360LM CRI&gt;90 IP20 LEUK")</f>
        <v>APLIQUE YORK NG 45W 3000/4000/6500K 3360LM CRI&gt;90 IP20 LEUK</v>
      </c>
      <c r="D841" s="97">
        <f>IFERROR(__xludf.DUMMYFUNCTION("""COMPUTED_VALUE"""),7.798413221145E12)</f>
        <v>7798413221145</v>
      </c>
      <c r="E841" s="97" t="str">
        <f>IFERROR(__xludf.DUMMYFUNCTION("""COMPUTED_VALUE"""),"g1")</f>
        <v>g1</v>
      </c>
      <c r="F841" s="97" t="str">
        <f>IFERROR(__xludf.DUMMYFUNCTION("""COMPUTED_VALUE"""),"LED integrado")</f>
        <v>LED integrado</v>
      </c>
      <c r="G841" s="97" t="str">
        <f>IFERROR(__xludf.DUMMYFUNCTION("""COMPUTED_VALUE"""),"-")</f>
        <v>-</v>
      </c>
      <c r="H841" s="97" t="str">
        <f>IFERROR(__xludf.DUMMYFUNCTION("""COMPUTED_VALUE"""),"-")</f>
        <v>-</v>
      </c>
      <c r="I841" s="97"/>
      <c r="J841" s="97" t="str">
        <f>IFERROR(__xludf.DUMMYFUNCTION("""COMPUTED_VALUE"""),"Modelo: CX-37-60Wx2
In: 200-240Vac 50/60Hz
Out: 110-190V 230mA")</f>
        <v>Modelo: CX-37-60Wx2
In: 200-240Vac 50/60Hz
Out: 110-190V 230mA</v>
      </c>
      <c r="K841" s="97" t="str">
        <f>IFERROR(__xludf.DUMMYFUNCTION("""COMPUTED_VALUE"""),"Remoto IR / RF")</f>
        <v>Remoto IR / RF</v>
      </c>
      <c r="L841" s="97" t="str">
        <f>IFERROR(__xludf.DUMMYFUNCTION("""COMPUTED_VALUE"""),"200-240")</f>
        <v>200-240</v>
      </c>
      <c r="M841" s="97" t="str">
        <f>IFERROR(__xludf.DUMMYFUNCTION("""COMPUTED_VALUE"""),"50/60")</f>
        <v>50/60</v>
      </c>
      <c r="N841" s="97" t="str">
        <f>IFERROR(__xludf.DUMMYFUNCTION("""COMPUTED_VALUE"""),"Directa-Simétrica")</f>
        <v>Directa-Simétrica</v>
      </c>
      <c r="O841" s="97">
        <f>IFERROR(__xludf.DUMMYFUNCTION("""COMPUTED_VALUE"""),45.0)</f>
        <v>45</v>
      </c>
      <c r="P841" s="97"/>
      <c r="Q841" s="97">
        <f>IFERROR(__xludf.DUMMYFUNCTION("""COMPUTED_VALUE"""),0.55)</f>
        <v>0.55</v>
      </c>
      <c r="R841" s="97" t="str">
        <f>IFERROR(__xludf.DUMMYFUNCTION("""COMPUTED_VALUE"""),"-")</f>
        <v>-</v>
      </c>
      <c r="S841" s="97" t="str">
        <f>IFERROR(__xludf.DUMMYFUNCTION("""COMPUTED_VALUE"""),"-")</f>
        <v>-</v>
      </c>
      <c r="T841" s="97">
        <f>IFERROR(__xludf.DUMMYFUNCTION("""COMPUTED_VALUE"""),3360.0)</f>
        <v>3360</v>
      </c>
      <c r="U841" s="99">
        <f>IFERROR(__xludf.DUMMYFUNCTION("""COMPUTED_VALUE"""),74.66666666666667)</f>
        <v>74.66666667</v>
      </c>
      <c r="V841" s="97">
        <f>IFERROR(__xludf.DUMMYFUNCTION("""COMPUTED_VALUE"""),112.0)</f>
        <v>112</v>
      </c>
      <c r="W841" s="97" t="str">
        <f>IFERROR(__xludf.DUMMYFUNCTION("""COMPUTED_VALUE"""),"&lt; 20")</f>
        <v>&lt; 20</v>
      </c>
      <c r="X841" s="97" t="str">
        <f>IFERROR(__xludf.DUMMYFUNCTION("""COMPUTED_VALUE"""),"3000/4000/6500")</f>
        <v>3000/4000/6500</v>
      </c>
      <c r="Y841" s="97" t="str">
        <f>IFERROR(__xludf.DUMMYFUNCTION("""COMPUTED_VALUE"""),"&gt;90")</f>
        <v>&gt;90</v>
      </c>
      <c r="Z841" s="97"/>
      <c r="AA841" s="97"/>
      <c r="AB841" s="97" t="str">
        <f>IFERROR(__xludf.DUMMYFUNCTION("""COMPUTED_VALUE"""),"-")</f>
        <v>-</v>
      </c>
      <c r="AC841" s="97"/>
      <c r="AD841" s="97" t="str">
        <f>IFERROR(__xludf.DUMMYFUNCTION("""COMPUTED_VALUE"""),"IP20")</f>
        <v>IP20</v>
      </c>
      <c r="AE841" s="97" t="str">
        <f>IFERROR(__xludf.DUMMYFUNCTION("""COMPUTED_VALUE"""),"Clase l")</f>
        <v>Clase l</v>
      </c>
      <c r="AF841" s="97" t="str">
        <f>IFERROR(__xludf.DUMMYFUNCTION("""COMPUTED_VALUE"""),"Aplicar, Suspender")</f>
        <v>Aplicar, Suspender</v>
      </c>
      <c r="AG841" s="97" t="str">
        <f>IFERROR(__xludf.DUMMYFUNCTION("""COMPUTED_VALUE"""),"Ø480 x 70")</f>
        <v>Ø480 x 70</v>
      </c>
      <c r="AH841" s="97" t="str">
        <f>IFERROR(__xludf.DUMMYFUNCTION("""COMPUTED_VALUE"""),"N/A")</f>
        <v>N/A</v>
      </c>
      <c r="AI841" s="97" t="str">
        <f>IFERROR(__xludf.DUMMYFUNCTION("""COMPUTED_VALUE"""),"N/A")</f>
        <v>N/A</v>
      </c>
      <c r="AJ841" s="97" t="str">
        <f>IFERROR(__xludf.DUMMYFUNCTION("""COMPUTED_VALUE"""),"PMMA")</f>
        <v>PMMA</v>
      </c>
      <c r="AK841" s="97" t="str">
        <f>IFERROR(__xludf.DUMMYFUNCTION("""COMPUTED_VALUE"""),"Acero")</f>
        <v>Acero</v>
      </c>
      <c r="AL841" s="97" t="str">
        <f>IFERROR(__xludf.DUMMYFUNCTION("""COMPUTED_VALUE"""),"Negro Brillante")</f>
        <v>Negro Brillante</v>
      </c>
      <c r="AM841" s="97" t="str">
        <f>IFERROR(__xludf.DUMMYFUNCTION("""COMPUTED_VALUE"""),"-")</f>
        <v>-</v>
      </c>
      <c r="AN841" s="97" t="str">
        <f>IFERROR(__xludf.DUMMYFUNCTION("""COMPUTED_VALUE"""),"25.000hs (L70)")</f>
        <v>25.000hs (L70)</v>
      </c>
      <c r="AO841" s="97" t="str">
        <f>IFERROR(__xludf.DUMMYFUNCTION("""COMPUTED_VALUE"""),"2 Años")</f>
        <v>2 Años</v>
      </c>
      <c r="AP841" s="97" t="str">
        <f>IFERROR(__xludf.DUMMYFUNCTION("""COMPUTED_VALUE"""),"Disponible")</f>
        <v>Disponible</v>
      </c>
      <c r="AQ841" s="97" t="str">
        <f>IFERROR(__xludf.DUMMYFUNCTION("""COMPUTED_VALUE"""),"Disponible")</f>
        <v>Disponible</v>
      </c>
      <c r="AR841" s="97" t="str">
        <f>IFERROR(__xludf.DUMMYFUNCTION("""COMPUTED_VALUE"""),"Disponible")</f>
        <v>Disponible</v>
      </c>
      <c r="AS841" s="97"/>
      <c r="AT841" s="97"/>
      <c r="AU841" s="97" t="str">
        <f>IFERROR(__xludf.DUMMYFUNCTION("""COMPUTED_VALUE"""),"Disponible")</f>
        <v>Disponible</v>
      </c>
      <c r="AV841" s="97" t="str">
        <f>IFERROR(__xludf.DUMMYFUNCTION("""COMPUTED_VALUE"""),"Aplique")</f>
        <v>Aplique</v>
      </c>
      <c r="AW841" s="97" t="str">
        <f>IFERROR(__xludf.DUMMYFUNCTION("""COMPUTED_VALUE"""),"De Techo")</f>
        <v>De Techo</v>
      </c>
      <c r="AX841" s="97" t="str">
        <f>IFERROR(__xludf.DUMMYFUNCTION("""COMPUTED_VALUE"""),"Interior")</f>
        <v>Interior</v>
      </c>
      <c r="AY841" s="97" t="str">
        <f>IFERROR(__xludf.DUMMYFUNCTION("""COMPUTED_VALUE"""),"-")</f>
        <v>-</v>
      </c>
      <c r="AZ841" s="97" t="str">
        <f>IFERROR(__xludf.DUMMYFUNCTION("""COMPUTED_VALUE"""),"Blanco dinamico. Dimeriza. Con control Remoto. Aplica KIT SUSPENSIÓN 4 TENSORES BL 6829 o NG 6830.")</f>
        <v>Blanco dinamico. Dimeriza. Con control Remoto. Aplica KIT SUSPENSIÓN 4 TENSORES BL 6829 o NG 6830.</v>
      </c>
      <c r="BA841" s="97">
        <f>IFERROR(__xludf.DUMMYFUNCTION("""COMPUTED_VALUE"""),10.0)</f>
        <v>10</v>
      </c>
      <c r="BB841" s="97" t="str">
        <f>IFERROR(__xludf.DUMMYFUNCTION("""COMPUTED_VALUE"""),"-")</f>
        <v>-</v>
      </c>
      <c r="BC841" s="97" t="str">
        <f>IFERROR(__xludf.DUMMYFUNCTION("""COMPUTED_VALUE"""),"-")</f>
        <v>-</v>
      </c>
      <c r="BD841" s="97" t="str">
        <f>IFERROR(__xludf.DUMMYFUNCTION("""COMPUTED_VALUE"""),"YORK")</f>
        <v>YORK</v>
      </c>
      <c r="BE841" s="97" t="str">
        <f>IFERROR(__xludf.DUMMYFUNCTION("""COMPUTED_VALUE"""),"Solicitada")</f>
        <v>Solicitada</v>
      </c>
      <c r="BF841" s="97"/>
      <c r="BG841" s="97" t="str">
        <f>IFERROR(__xludf.DUMMYFUNCTION("""COMPUTED_VALUE"""),"En Salida")</f>
        <v>En Salida</v>
      </c>
    </row>
    <row r="842">
      <c r="A842" s="97">
        <f>IFERROR(__xludf.DUMMYFUNCTION("""COMPUTED_VALUE"""),6615.0)</f>
        <v>6615</v>
      </c>
      <c r="B842" s="97" t="str">
        <f>IFERROR(__xludf.DUMMYFUNCTION("""COMPUTED_VALUE"""),"YORK BL")</f>
        <v>YORK BL</v>
      </c>
      <c r="C842" s="97" t="str">
        <f>IFERROR(__xludf.DUMMYFUNCTION("""COMPUTED_VALUE"""),"APLIQUE YORK BL 45W 3000/4000/6500K 3360LM CRI&gt;90 IP20 LEUK")</f>
        <v>APLIQUE YORK BL 45W 3000/4000/6500K 3360LM CRI&gt;90 IP20 LEUK</v>
      </c>
      <c r="D842" s="97">
        <f>IFERROR(__xludf.DUMMYFUNCTION("""COMPUTED_VALUE"""),7.798413221152E12)</f>
        <v>7798413221152</v>
      </c>
      <c r="E842" s="97" t="str">
        <f>IFERROR(__xludf.DUMMYFUNCTION("""COMPUTED_VALUE"""),"g2")</f>
        <v>g2</v>
      </c>
      <c r="F842" s="97" t="str">
        <f>IFERROR(__xludf.DUMMYFUNCTION("""COMPUTED_VALUE"""),"LED integrado")</f>
        <v>LED integrado</v>
      </c>
      <c r="G842" s="97" t="str">
        <f>IFERROR(__xludf.DUMMYFUNCTION("""COMPUTED_VALUE"""),"-")</f>
        <v>-</v>
      </c>
      <c r="H842" s="97" t="str">
        <f>IFERROR(__xludf.DUMMYFUNCTION("""COMPUTED_VALUE"""),"-")</f>
        <v>-</v>
      </c>
      <c r="I842" s="97"/>
      <c r="J842" s="97" t="str">
        <f>IFERROR(__xludf.DUMMYFUNCTION("""COMPUTED_VALUE"""),"Modelo: CX-37-60Wx2
In: 200-240Vac 50/60Hz
Out: 110-190V 230mA")</f>
        <v>Modelo: CX-37-60Wx2
In: 200-240Vac 50/60Hz
Out: 110-190V 230mA</v>
      </c>
      <c r="K842" s="97" t="str">
        <f>IFERROR(__xludf.DUMMYFUNCTION("""COMPUTED_VALUE"""),"Remoto IR / RF")</f>
        <v>Remoto IR / RF</v>
      </c>
      <c r="L842" s="97" t="str">
        <f>IFERROR(__xludf.DUMMYFUNCTION("""COMPUTED_VALUE"""),"200-240")</f>
        <v>200-240</v>
      </c>
      <c r="M842" s="97" t="str">
        <f>IFERROR(__xludf.DUMMYFUNCTION("""COMPUTED_VALUE"""),"50/60")</f>
        <v>50/60</v>
      </c>
      <c r="N842" s="97" t="str">
        <f>IFERROR(__xludf.DUMMYFUNCTION("""COMPUTED_VALUE"""),"Directa-Simétrica")</f>
        <v>Directa-Simétrica</v>
      </c>
      <c r="O842" s="97">
        <f>IFERROR(__xludf.DUMMYFUNCTION("""COMPUTED_VALUE"""),45.0)</f>
        <v>45</v>
      </c>
      <c r="P842" s="97"/>
      <c r="Q842" s="97">
        <f>IFERROR(__xludf.DUMMYFUNCTION("""COMPUTED_VALUE"""),0.55)</f>
        <v>0.55</v>
      </c>
      <c r="R842" s="97" t="str">
        <f>IFERROR(__xludf.DUMMYFUNCTION("""COMPUTED_VALUE"""),"-")</f>
        <v>-</v>
      </c>
      <c r="S842" s="97" t="str">
        <f>IFERROR(__xludf.DUMMYFUNCTION("""COMPUTED_VALUE"""),"-")</f>
        <v>-</v>
      </c>
      <c r="T842" s="97">
        <f>IFERROR(__xludf.DUMMYFUNCTION("""COMPUTED_VALUE"""),3360.0)</f>
        <v>3360</v>
      </c>
      <c r="U842" s="99">
        <f>IFERROR(__xludf.DUMMYFUNCTION("""COMPUTED_VALUE"""),74.66666666666667)</f>
        <v>74.66666667</v>
      </c>
      <c r="V842" s="97">
        <f>IFERROR(__xludf.DUMMYFUNCTION("""COMPUTED_VALUE"""),112.0)</f>
        <v>112</v>
      </c>
      <c r="W842" s="97" t="str">
        <f>IFERROR(__xludf.DUMMYFUNCTION("""COMPUTED_VALUE"""),"&lt; 20")</f>
        <v>&lt; 20</v>
      </c>
      <c r="X842" s="97" t="str">
        <f>IFERROR(__xludf.DUMMYFUNCTION("""COMPUTED_VALUE"""),"3000/4000/6500")</f>
        <v>3000/4000/6500</v>
      </c>
      <c r="Y842" s="97" t="str">
        <f>IFERROR(__xludf.DUMMYFUNCTION("""COMPUTED_VALUE"""),"&gt;90")</f>
        <v>&gt;90</v>
      </c>
      <c r="Z842" s="97"/>
      <c r="AA842" s="97"/>
      <c r="AB842" s="97" t="str">
        <f>IFERROR(__xludf.DUMMYFUNCTION("""COMPUTED_VALUE"""),"-")</f>
        <v>-</v>
      </c>
      <c r="AC842" s="97"/>
      <c r="AD842" s="97" t="str">
        <f>IFERROR(__xludf.DUMMYFUNCTION("""COMPUTED_VALUE"""),"IP20")</f>
        <v>IP20</v>
      </c>
      <c r="AE842" s="97" t="str">
        <f>IFERROR(__xludf.DUMMYFUNCTION("""COMPUTED_VALUE"""),"Clase l")</f>
        <v>Clase l</v>
      </c>
      <c r="AF842" s="97" t="str">
        <f>IFERROR(__xludf.DUMMYFUNCTION("""COMPUTED_VALUE"""),"Aplicar, Suspender")</f>
        <v>Aplicar, Suspender</v>
      </c>
      <c r="AG842" s="97" t="str">
        <f>IFERROR(__xludf.DUMMYFUNCTION("""COMPUTED_VALUE"""),"Ø480 x 70")</f>
        <v>Ø480 x 70</v>
      </c>
      <c r="AH842" s="97" t="str">
        <f>IFERROR(__xludf.DUMMYFUNCTION("""COMPUTED_VALUE"""),"N/A")</f>
        <v>N/A</v>
      </c>
      <c r="AI842" s="97" t="str">
        <f>IFERROR(__xludf.DUMMYFUNCTION("""COMPUTED_VALUE"""),"N/A")</f>
        <v>N/A</v>
      </c>
      <c r="AJ842" s="97" t="str">
        <f>IFERROR(__xludf.DUMMYFUNCTION("""COMPUTED_VALUE"""),"PMMA")</f>
        <v>PMMA</v>
      </c>
      <c r="AK842" s="97" t="str">
        <f>IFERROR(__xludf.DUMMYFUNCTION("""COMPUTED_VALUE"""),"Acero")</f>
        <v>Acero</v>
      </c>
      <c r="AL842" s="97" t="str">
        <f>IFERROR(__xludf.DUMMYFUNCTION("""COMPUTED_VALUE"""),"Blanco Brillante")</f>
        <v>Blanco Brillante</v>
      </c>
      <c r="AM842" s="97" t="str">
        <f>IFERROR(__xludf.DUMMYFUNCTION("""COMPUTED_VALUE"""),"-")</f>
        <v>-</v>
      </c>
      <c r="AN842" s="97" t="str">
        <f>IFERROR(__xludf.DUMMYFUNCTION("""COMPUTED_VALUE"""),"25.000hs (L70)")</f>
        <v>25.000hs (L70)</v>
      </c>
      <c r="AO842" s="97" t="str">
        <f>IFERROR(__xludf.DUMMYFUNCTION("""COMPUTED_VALUE"""),"2 Años")</f>
        <v>2 Años</v>
      </c>
      <c r="AP842" s="97" t="str">
        <f>IFERROR(__xludf.DUMMYFUNCTION("""COMPUTED_VALUE"""),"Disponible")</f>
        <v>Disponible</v>
      </c>
      <c r="AQ842" s="97" t="str">
        <f>IFERROR(__xludf.DUMMYFUNCTION("""COMPUTED_VALUE"""),"Disponible")</f>
        <v>Disponible</v>
      </c>
      <c r="AR842" s="97" t="str">
        <f>IFERROR(__xludf.DUMMYFUNCTION("""COMPUTED_VALUE"""),"Disponible")</f>
        <v>Disponible</v>
      </c>
      <c r="AS842" s="97"/>
      <c r="AT842" s="97"/>
      <c r="AU842" s="97" t="str">
        <f>IFERROR(__xludf.DUMMYFUNCTION("""COMPUTED_VALUE"""),"Disponible")</f>
        <v>Disponible</v>
      </c>
      <c r="AV842" s="97" t="str">
        <f>IFERROR(__xludf.DUMMYFUNCTION("""COMPUTED_VALUE"""),"Aplique")</f>
        <v>Aplique</v>
      </c>
      <c r="AW842" s="97" t="str">
        <f>IFERROR(__xludf.DUMMYFUNCTION("""COMPUTED_VALUE"""),"De Techo")</f>
        <v>De Techo</v>
      </c>
      <c r="AX842" s="97" t="str">
        <f>IFERROR(__xludf.DUMMYFUNCTION("""COMPUTED_VALUE"""),"Interior")</f>
        <v>Interior</v>
      </c>
      <c r="AY842" s="97" t="str">
        <f>IFERROR(__xludf.DUMMYFUNCTION("""COMPUTED_VALUE"""),"-")</f>
        <v>-</v>
      </c>
      <c r="AZ842" s="97" t="str">
        <f>IFERROR(__xludf.DUMMYFUNCTION("""COMPUTED_VALUE"""),"Blanco dinamico. Dimeriza. Con control Remoto. Aplica KIT SUSPENSIÓN 4 TENSORES BL 6829 o NG 6830.")</f>
        <v>Blanco dinamico. Dimeriza. Con control Remoto. Aplica KIT SUSPENSIÓN 4 TENSORES BL 6829 o NG 6830.</v>
      </c>
      <c r="BA842" s="97">
        <f>IFERROR(__xludf.DUMMYFUNCTION("""COMPUTED_VALUE"""),10.0)</f>
        <v>10</v>
      </c>
      <c r="BB842" s="97" t="str">
        <f>IFERROR(__xludf.DUMMYFUNCTION("""COMPUTED_VALUE"""),"-")</f>
        <v>-</v>
      </c>
      <c r="BC842" s="97" t="str">
        <f>IFERROR(__xludf.DUMMYFUNCTION("""COMPUTED_VALUE"""),"-")</f>
        <v>-</v>
      </c>
      <c r="BD842" s="97" t="str">
        <f>IFERROR(__xludf.DUMMYFUNCTION("""COMPUTED_VALUE"""),"YORK")</f>
        <v>YORK</v>
      </c>
      <c r="BE842" s="97" t="str">
        <f>IFERROR(__xludf.DUMMYFUNCTION("""COMPUTED_VALUE"""),"Solicitada")</f>
        <v>Solicitada</v>
      </c>
      <c r="BF842" s="97"/>
      <c r="BG842" s="97" t="str">
        <f>IFERROR(__xludf.DUMMYFUNCTION("""COMPUTED_VALUE"""),"En Salida")</f>
        <v>En Salida</v>
      </c>
    </row>
    <row r="843">
      <c r="A843" s="97">
        <f>IFERROR(__xludf.DUMMYFUNCTION("""COMPUTED_VALUE"""),6616.0)</f>
        <v>6616</v>
      </c>
      <c r="B843" s="97" t="str">
        <f>IFERROR(__xludf.DUMMYFUNCTION("""COMPUTED_VALUE"""),"YORK S NG")</f>
        <v>YORK S NG</v>
      </c>
      <c r="C843" s="97" t="str">
        <f>IFERROR(__xludf.DUMMYFUNCTION("""COMPUTED_VALUE"""),"APLIQUE YORK S 45W NEGRO LEUK")</f>
        <v>APLIQUE YORK S 45W NEGRO LEUK</v>
      </c>
      <c r="D843" s="97">
        <f>IFERROR(__xludf.DUMMYFUNCTION("""COMPUTED_VALUE"""),7.798413221169E12)</f>
        <v>7798413221169</v>
      </c>
      <c r="E843" s="97"/>
      <c r="F843" s="97" t="str">
        <f>IFERROR(__xludf.DUMMYFUNCTION("""COMPUTED_VALUE"""),"LED integrado")</f>
        <v>LED integrado</v>
      </c>
      <c r="G843" s="97" t="str">
        <f>IFERROR(__xludf.DUMMYFUNCTION("""COMPUTED_VALUE"""),"-")</f>
        <v>-</v>
      </c>
      <c r="H843" s="97" t="str">
        <f>IFERROR(__xludf.DUMMYFUNCTION("""COMPUTED_VALUE"""),"-")</f>
        <v>-</v>
      </c>
      <c r="I843" s="97"/>
      <c r="J843" s="97"/>
      <c r="K843" s="97" t="str">
        <f>IFERROR(__xludf.DUMMYFUNCTION("""COMPUTED_VALUE"""),"Remoto IR / RF")</f>
        <v>Remoto IR / RF</v>
      </c>
      <c r="L843" s="97" t="str">
        <f>IFERROR(__xludf.DUMMYFUNCTION("""COMPUTED_VALUE"""),"220-240")</f>
        <v>220-240</v>
      </c>
      <c r="M843" s="97" t="str">
        <f>IFERROR(__xludf.DUMMYFUNCTION("""COMPUTED_VALUE"""),"50/60")</f>
        <v>50/60</v>
      </c>
      <c r="N843" s="97" t="str">
        <f>IFERROR(__xludf.DUMMYFUNCTION("""COMPUTED_VALUE"""),"Directa-Simétrica")</f>
        <v>Directa-Simétrica</v>
      </c>
      <c r="O843" s="97">
        <f>IFERROR(__xludf.DUMMYFUNCTION("""COMPUTED_VALUE"""),45.0)</f>
        <v>45</v>
      </c>
      <c r="P843" s="97"/>
      <c r="Q843" s="97">
        <f>IFERROR(__xludf.DUMMYFUNCTION("""COMPUTED_VALUE"""),0.55)</f>
        <v>0.55</v>
      </c>
      <c r="R843" s="97" t="str">
        <f>IFERROR(__xludf.DUMMYFUNCTION("""COMPUTED_VALUE"""),"-")</f>
        <v>-</v>
      </c>
      <c r="S843" s="97" t="str">
        <f>IFERROR(__xludf.DUMMYFUNCTION("""COMPUTED_VALUE"""),"-")</f>
        <v>-</v>
      </c>
      <c r="T843" s="97">
        <f>IFERROR(__xludf.DUMMYFUNCTION("""COMPUTED_VALUE"""),3360.0)</f>
        <v>3360</v>
      </c>
      <c r="U843" s="99">
        <f>IFERROR(__xludf.DUMMYFUNCTION("""COMPUTED_VALUE"""),74.66666666666667)</f>
        <v>74.66666667</v>
      </c>
      <c r="V843" s="97">
        <f>IFERROR(__xludf.DUMMYFUNCTION("""COMPUTED_VALUE"""),112.0)</f>
        <v>112</v>
      </c>
      <c r="W843" s="97" t="str">
        <f>IFERROR(__xludf.DUMMYFUNCTION("""COMPUTED_VALUE"""),"&lt; 20")</f>
        <v>&lt; 20</v>
      </c>
      <c r="X843" s="97" t="str">
        <f>IFERROR(__xludf.DUMMYFUNCTION("""COMPUTED_VALUE"""),"3000/4000/6500")</f>
        <v>3000/4000/6500</v>
      </c>
      <c r="Y843" s="97" t="str">
        <f>IFERROR(__xludf.DUMMYFUNCTION("""COMPUTED_VALUE"""),"&gt;85")</f>
        <v>&gt;85</v>
      </c>
      <c r="Z843" s="97" t="str">
        <f>IFERROR(__xludf.DUMMYFUNCTION("""COMPUTED_VALUE"""),"-")</f>
        <v>-</v>
      </c>
      <c r="AA843" s="97" t="str">
        <f>IFERROR(__xludf.DUMMYFUNCTION("""COMPUTED_VALUE"""),"-")</f>
        <v>-</v>
      </c>
      <c r="AB843" s="97" t="str">
        <f>IFERROR(__xludf.DUMMYFUNCTION("""COMPUTED_VALUE"""),"-")</f>
        <v>-</v>
      </c>
      <c r="AC843" s="97"/>
      <c r="AD843" s="97" t="str">
        <f>IFERROR(__xludf.DUMMYFUNCTION("""COMPUTED_VALUE"""),"IP20")</f>
        <v>IP20</v>
      </c>
      <c r="AE843" s="97" t="str">
        <f>IFERROR(__xludf.DUMMYFUNCTION("""COMPUTED_VALUE"""),"Clase l")</f>
        <v>Clase l</v>
      </c>
      <c r="AF843" s="97" t="str">
        <f>IFERROR(__xludf.DUMMYFUNCTION("""COMPUTED_VALUE"""),"Suspender")</f>
        <v>Suspender</v>
      </c>
      <c r="AG843" s="97" t="str">
        <f>IFERROR(__xludf.DUMMYFUNCTION("""COMPUTED_VALUE"""),"Ø480 x 70")</f>
        <v>Ø480 x 70</v>
      </c>
      <c r="AH843" s="97" t="str">
        <f>IFERROR(__xludf.DUMMYFUNCTION("""COMPUTED_VALUE"""),"N/A")</f>
        <v>N/A</v>
      </c>
      <c r="AI843" s="97" t="str">
        <f>IFERROR(__xludf.DUMMYFUNCTION("""COMPUTED_VALUE"""),"N/A")</f>
        <v>N/A</v>
      </c>
      <c r="AJ843" s="97" t="str">
        <f>IFERROR(__xludf.DUMMYFUNCTION("""COMPUTED_VALUE"""),"PMMA")</f>
        <v>PMMA</v>
      </c>
      <c r="AK843" s="97" t="str">
        <f>IFERROR(__xludf.DUMMYFUNCTION("""COMPUTED_VALUE"""),"Acero")</f>
        <v>Acero</v>
      </c>
      <c r="AL843" s="97" t="str">
        <f>IFERROR(__xludf.DUMMYFUNCTION("""COMPUTED_VALUE"""),"Negro Brillante")</f>
        <v>Negro Brillante</v>
      </c>
      <c r="AM843" s="97" t="str">
        <f>IFERROR(__xludf.DUMMYFUNCTION("""COMPUTED_VALUE"""),"-")</f>
        <v>-</v>
      </c>
      <c r="AN843" s="97" t="str">
        <f>IFERROR(__xludf.DUMMYFUNCTION("""COMPUTED_VALUE"""),"-")</f>
        <v>-</v>
      </c>
      <c r="AO843" s="97" t="str">
        <f>IFERROR(__xludf.DUMMYFUNCTION("""COMPUTED_VALUE"""),"1 Año")</f>
        <v>1 Año</v>
      </c>
      <c r="AP843" s="97"/>
      <c r="AQ843" s="97"/>
      <c r="AR843" s="97"/>
      <c r="AS843" s="97"/>
      <c r="AT843" s="97"/>
      <c r="AU843" s="97"/>
      <c r="AV843" s="97" t="str">
        <f>IFERROR(__xludf.DUMMYFUNCTION("""COMPUTED_VALUE"""),"Colgante")</f>
        <v>Colgante</v>
      </c>
      <c r="AW843" s="97" t="str">
        <f>IFERROR(__xludf.DUMMYFUNCTION("""COMPUTED_VALUE"""),"De Techo")</f>
        <v>De Techo</v>
      </c>
      <c r="AX843" s="97" t="str">
        <f>IFERROR(__xludf.DUMMYFUNCTION("""COMPUTED_VALUE"""),"Interior")</f>
        <v>Interior</v>
      </c>
      <c r="AY843" s="97"/>
      <c r="AZ843" s="97" t="str">
        <f>IFERROR(__xludf.DUMMYFUNCTION("""COMPUTED_VALUE"""),"Blanco dinamico. Dimeriza. Con control Remoto.")</f>
        <v>Blanco dinamico. Dimeriza. Con control Remoto.</v>
      </c>
      <c r="BA843" s="97">
        <f>IFERROR(__xludf.DUMMYFUNCTION("""COMPUTED_VALUE"""),10.0)</f>
        <v>10</v>
      </c>
      <c r="BB843" s="97"/>
      <c r="BC843" s="97"/>
      <c r="BD843" s="97" t="str">
        <f>IFERROR(__xludf.DUMMYFUNCTION("""COMPUTED_VALUE"""),"YORK S")</f>
        <v>YORK S</v>
      </c>
      <c r="BE843" s="97" t="str">
        <f>IFERROR(__xludf.DUMMYFUNCTION("""COMPUTED_VALUE"""),"Finalizada")</f>
        <v>Finalizada</v>
      </c>
      <c r="BF843" s="97" t="str">
        <f>IFERROR(__xludf.DUMMYFUNCTION("""COMPUTED_VALUE"""),"6614 + 6717")</f>
        <v>6614 + 6717</v>
      </c>
      <c r="BG843" s="97" t="str">
        <f>IFERROR(__xludf.DUMMYFUNCTION("""COMPUTED_VALUE"""),"Discontinuo")</f>
        <v>Discontinuo</v>
      </c>
    </row>
    <row r="844">
      <c r="A844" s="97">
        <f>IFERROR(__xludf.DUMMYFUNCTION("""COMPUTED_VALUE"""),6617.0)</f>
        <v>6617</v>
      </c>
      <c r="B844" s="97" t="str">
        <f>IFERROR(__xludf.DUMMYFUNCTION("""COMPUTED_VALUE"""),"YORK S BL")</f>
        <v>YORK S BL</v>
      </c>
      <c r="C844" s="97" t="str">
        <f>IFERROR(__xludf.DUMMYFUNCTION("""COMPUTED_VALUE"""),"APLIQUE YORK S 45W BLANCO LEUK")</f>
        <v>APLIQUE YORK S 45W BLANCO LEUK</v>
      </c>
      <c r="D844" s="97">
        <f>IFERROR(__xludf.DUMMYFUNCTION("""COMPUTED_VALUE"""),7.798413221176E12)</f>
        <v>7798413221176</v>
      </c>
      <c r="E844" s="97"/>
      <c r="F844" s="97" t="str">
        <f>IFERROR(__xludf.DUMMYFUNCTION("""COMPUTED_VALUE"""),"LED integrado")</f>
        <v>LED integrado</v>
      </c>
      <c r="G844" s="97" t="str">
        <f>IFERROR(__xludf.DUMMYFUNCTION("""COMPUTED_VALUE"""),"-")</f>
        <v>-</v>
      </c>
      <c r="H844" s="97" t="str">
        <f>IFERROR(__xludf.DUMMYFUNCTION("""COMPUTED_VALUE"""),"-")</f>
        <v>-</v>
      </c>
      <c r="I844" s="97"/>
      <c r="J844" s="97"/>
      <c r="K844" s="97" t="str">
        <f>IFERROR(__xludf.DUMMYFUNCTION("""COMPUTED_VALUE"""),"Remoto IR / RF")</f>
        <v>Remoto IR / RF</v>
      </c>
      <c r="L844" s="97" t="str">
        <f>IFERROR(__xludf.DUMMYFUNCTION("""COMPUTED_VALUE"""),"220-240")</f>
        <v>220-240</v>
      </c>
      <c r="M844" s="97" t="str">
        <f>IFERROR(__xludf.DUMMYFUNCTION("""COMPUTED_VALUE"""),"50/60")</f>
        <v>50/60</v>
      </c>
      <c r="N844" s="97" t="str">
        <f>IFERROR(__xludf.DUMMYFUNCTION("""COMPUTED_VALUE"""),"Directa-Simétrica")</f>
        <v>Directa-Simétrica</v>
      </c>
      <c r="O844" s="97">
        <f>IFERROR(__xludf.DUMMYFUNCTION("""COMPUTED_VALUE"""),45.0)</f>
        <v>45</v>
      </c>
      <c r="P844" s="97"/>
      <c r="Q844" s="97">
        <f>IFERROR(__xludf.DUMMYFUNCTION("""COMPUTED_VALUE"""),0.55)</f>
        <v>0.55</v>
      </c>
      <c r="R844" s="97" t="str">
        <f>IFERROR(__xludf.DUMMYFUNCTION("""COMPUTED_VALUE"""),"-")</f>
        <v>-</v>
      </c>
      <c r="S844" s="97" t="str">
        <f>IFERROR(__xludf.DUMMYFUNCTION("""COMPUTED_VALUE"""),"-")</f>
        <v>-</v>
      </c>
      <c r="T844" s="97">
        <f>IFERROR(__xludf.DUMMYFUNCTION("""COMPUTED_VALUE"""),3360.0)</f>
        <v>3360</v>
      </c>
      <c r="U844" s="99">
        <f>IFERROR(__xludf.DUMMYFUNCTION("""COMPUTED_VALUE"""),74.66666666666667)</f>
        <v>74.66666667</v>
      </c>
      <c r="V844" s="97">
        <f>IFERROR(__xludf.DUMMYFUNCTION("""COMPUTED_VALUE"""),112.0)</f>
        <v>112</v>
      </c>
      <c r="W844" s="97" t="str">
        <f>IFERROR(__xludf.DUMMYFUNCTION("""COMPUTED_VALUE"""),"&lt; 20")</f>
        <v>&lt; 20</v>
      </c>
      <c r="X844" s="97" t="str">
        <f>IFERROR(__xludf.DUMMYFUNCTION("""COMPUTED_VALUE"""),"3000/4000/6500")</f>
        <v>3000/4000/6500</v>
      </c>
      <c r="Y844" s="97" t="str">
        <f>IFERROR(__xludf.DUMMYFUNCTION("""COMPUTED_VALUE"""),"&gt;85")</f>
        <v>&gt;85</v>
      </c>
      <c r="Z844" s="97" t="str">
        <f>IFERROR(__xludf.DUMMYFUNCTION("""COMPUTED_VALUE"""),"-")</f>
        <v>-</v>
      </c>
      <c r="AA844" s="97" t="str">
        <f>IFERROR(__xludf.DUMMYFUNCTION("""COMPUTED_VALUE"""),"-")</f>
        <v>-</v>
      </c>
      <c r="AB844" s="97" t="str">
        <f>IFERROR(__xludf.DUMMYFUNCTION("""COMPUTED_VALUE"""),"-")</f>
        <v>-</v>
      </c>
      <c r="AC844" s="97"/>
      <c r="AD844" s="97" t="str">
        <f>IFERROR(__xludf.DUMMYFUNCTION("""COMPUTED_VALUE"""),"IP20")</f>
        <v>IP20</v>
      </c>
      <c r="AE844" s="97" t="str">
        <f>IFERROR(__xludf.DUMMYFUNCTION("""COMPUTED_VALUE"""),"Clase l")</f>
        <v>Clase l</v>
      </c>
      <c r="AF844" s="97" t="str">
        <f>IFERROR(__xludf.DUMMYFUNCTION("""COMPUTED_VALUE"""),"Suspender")</f>
        <v>Suspender</v>
      </c>
      <c r="AG844" s="97" t="str">
        <f>IFERROR(__xludf.DUMMYFUNCTION("""COMPUTED_VALUE"""),"Ø480 x 70")</f>
        <v>Ø480 x 70</v>
      </c>
      <c r="AH844" s="97" t="str">
        <f>IFERROR(__xludf.DUMMYFUNCTION("""COMPUTED_VALUE"""),"N/A")</f>
        <v>N/A</v>
      </c>
      <c r="AI844" s="97" t="str">
        <f>IFERROR(__xludf.DUMMYFUNCTION("""COMPUTED_VALUE"""),"N/A")</f>
        <v>N/A</v>
      </c>
      <c r="AJ844" s="97" t="str">
        <f>IFERROR(__xludf.DUMMYFUNCTION("""COMPUTED_VALUE"""),"PMMA")</f>
        <v>PMMA</v>
      </c>
      <c r="AK844" s="97" t="str">
        <f>IFERROR(__xludf.DUMMYFUNCTION("""COMPUTED_VALUE"""),"Acero")</f>
        <v>Acero</v>
      </c>
      <c r="AL844" s="97" t="str">
        <f>IFERROR(__xludf.DUMMYFUNCTION("""COMPUTED_VALUE"""),"Blanco Brillante")</f>
        <v>Blanco Brillante</v>
      </c>
      <c r="AM844" s="97" t="str">
        <f>IFERROR(__xludf.DUMMYFUNCTION("""COMPUTED_VALUE"""),"-")</f>
        <v>-</v>
      </c>
      <c r="AN844" s="97" t="str">
        <f>IFERROR(__xludf.DUMMYFUNCTION("""COMPUTED_VALUE"""),"-")</f>
        <v>-</v>
      </c>
      <c r="AO844" s="97" t="str">
        <f>IFERROR(__xludf.DUMMYFUNCTION("""COMPUTED_VALUE"""),"1 Año")</f>
        <v>1 Año</v>
      </c>
      <c r="AP844" s="97"/>
      <c r="AQ844" s="97"/>
      <c r="AR844" s="97"/>
      <c r="AS844" s="97"/>
      <c r="AT844" s="97"/>
      <c r="AU844" s="97"/>
      <c r="AV844" s="97" t="str">
        <f>IFERROR(__xludf.DUMMYFUNCTION("""COMPUTED_VALUE"""),"Colgante")</f>
        <v>Colgante</v>
      </c>
      <c r="AW844" s="97" t="str">
        <f>IFERROR(__xludf.DUMMYFUNCTION("""COMPUTED_VALUE"""),"De Techo")</f>
        <v>De Techo</v>
      </c>
      <c r="AX844" s="97" t="str">
        <f>IFERROR(__xludf.DUMMYFUNCTION("""COMPUTED_VALUE"""),"Interior")</f>
        <v>Interior</v>
      </c>
      <c r="AY844" s="97"/>
      <c r="AZ844" s="97" t="str">
        <f>IFERROR(__xludf.DUMMYFUNCTION("""COMPUTED_VALUE"""),"Blanco dinamico. Dimeriza. Con control Remoto.")</f>
        <v>Blanco dinamico. Dimeriza. Con control Remoto.</v>
      </c>
      <c r="BA844" s="97">
        <f>IFERROR(__xludf.DUMMYFUNCTION("""COMPUTED_VALUE"""),10.0)</f>
        <v>10</v>
      </c>
      <c r="BB844" s="97"/>
      <c r="BC844" s="97"/>
      <c r="BD844" s="97" t="str">
        <f>IFERROR(__xludf.DUMMYFUNCTION("""COMPUTED_VALUE"""),"YORK S")</f>
        <v>YORK S</v>
      </c>
      <c r="BE844" s="97" t="str">
        <f>IFERROR(__xludf.DUMMYFUNCTION("""COMPUTED_VALUE"""),"Finalizada")</f>
        <v>Finalizada</v>
      </c>
      <c r="BF844" s="97" t="str">
        <f>IFERROR(__xludf.DUMMYFUNCTION("""COMPUTED_VALUE"""),"6615 + 6716")</f>
        <v>6615 + 6716</v>
      </c>
      <c r="BG844" s="97" t="str">
        <f>IFERROR(__xludf.DUMMYFUNCTION("""COMPUTED_VALUE"""),"Discontinuo")</f>
        <v>Discontinuo</v>
      </c>
    </row>
    <row r="845">
      <c r="A845" s="97">
        <f>IFERROR(__xludf.DUMMYFUNCTION("""COMPUTED_VALUE"""),6618.0)</f>
        <v>6618</v>
      </c>
      <c r="B845" s="97" t="str">
        <f>IFERROR(__xludf.DUMMYFUNCTION("""COMPUTED_VALUE"""),"SINTRA SQ BL")</f>
        <v>SINTRA SQ BL</v>
      </c>
      <c r="C845" s="97" t="str">
        <f>IFERROR(__xludf.DUMMYFUNCTION("""COMPUTED_VALUE"""),"APLIQUE SINTRA SQ BL 45W 3000/4000/6500K 3360LM CRI&gt;85 IP20 LEUK")</f>
        <v>APLIQUE SINTRA SQ BL 45W 3000/4000/6500K 3360LM CRI&gt;85 IP20 LEUK</v>
      </c>
      <c r="D845" s="97">
        <f>IFERROR(__xludf.DUMMYFUNCTION("""COMPUTED_VALUE"""),7.798413221183E12)</f>
        <v>7798413221183</v>
      </c>
      <c r="E845" s="97" t="str">
        <f>IFERROR(__xludf.DUMMYFUNCTION("""COMPUTED_VALUE"""),"g5")</f>
        <v>g5</v>
      </c>
      <c r="F845" s="97" t="str">
        <f>IFERROR(__xludf.DUMMYFUNCTION("""COMPUTED_VALUE"""),"LED integrado")</f>
        <v>LED integrado</v>
      </c>
      <c r="G845" s="97" t="str">
        <f>IFERROR(__xludf.DUMMYFUNCTION("""COMPUTED_VALUE"""),"-")</f>
        <v>-</v>
      </c>
      <c r="H845" s="97" t="str">
        <f>IFERROR(__xludf.DUMMYFUNCTION("""COMPUTED_VALUE"""),"-")</f>
        <v>-</v>
      </c>
      <c r="I845" s="97"/>
      <c r="J845" s="97"/>
      <c r="K845" s="97" t="str">
        <f>IFERROR(__xludf.DUMMYFUNCTION("""COMPUTED_VALUE"""),"Remoto IR / RF")</f>
        <v>Remoto IR / RF</v>
      </c>
      <c r="L845" s="97" t="str">
        <f>IFERROR(__xludf.DUMMYFUNCTION("""COMPUTED_VALUE"""),"200-240")</f>
        <v>200-240</v>
      </c>
      <c r="M845" s="97" t="str">
        <f>IFERROR(__xludf.DUMMYFUNCTION("""COMPUTED_VALUE"""),"50/60")</f>
        <v>50/60</v>
      </c>
      <c r="N845" s="97" t="str">
        <f>IFERROR(__xludf.DUMMYFUNCTION("""COMPUTED_VALUE"""),"Directa-Simétrica")</f>
        <v>Directa-Simétrica</v>
      </c>
      <c r="O845" s="97">
        <f>IFERROR(__xludf.DUMMYFUNCTION("""COMPUTED_VALUE"""),45.0)</f>
        <v>45</v>
      </c>
      <c r="P845" s="97"/>
      <c r="Q845" s="97">
        <f>IFERROR(__xludf.DUMMYFUNCTION("""COMPUTED_VALUE"""),0.55)</f>
        <v>0.55</v>
      </c>
      <c r="R845" s="97" t="str">
        <f>IFERROR(__xludf.DUMMYFUNCTION("""COMPUTED_VALUE"""),"-")</f>
        <v>-</v>
      </c>
      <c r="S845" s="97" t="str">
        <f>IFERROR(__xludf.DUMMYFUNCTION("""COMPUTED_VALUE"""),"-")</f>
        <v>-</v>
      </c>
      <c r="T845" s="97">
        <f>IFERROR(__xludf.DUMMYFUNCTION("""COMPUTED_VALUE"""),3360.0)</f>
        <v>3360</v>
      </c>
      <c r="U845" s="99">
        <f>IFERROR(__xludf.DUMMYFUNCTION("""COMPUTED_VALUE"""),74.66666666666667)</f>
        <v>74.66666667</v>
      </c>
      <c r="V845" s="97">
        <f>IFERROR(__xludf.DUMMYFUNCTION("""COMPUTED_VALUE"""),121.0)</f>
        <v>121</v>
      </c>
      <c r="W845" s="97" t="str">
        <f>IFERROR(__xludf.DUMMYFUNCTION("""COMPUTED_VALUE"""),"&lt; 20")</f>
        <v>&lt; 20</v>
      </c>
      <c r="X845" s="97" t="str">
        <f>IFERROR(__xludf.DUMMYFUNCTION("""COMPUTED_VALUE"""),"3000/4000/6500")</f>
        <v>3000/4000/6500</v>
      </c>
      <c r="Y845" s="97" t="str">
        <f>IFERROR(__xludf.DUMMYFUNCTION("""COMPUTED_VALUE"""),"&gt;85")</f>
        <v>&gt;85</v>
      </c>
      <c r="Z845" s="97"/>
      <c r="AA845" s="97"/>
      <c r="AB845" s="97" t="str">
        <f>IFERROR(__xludf.DUMMYFUNCTION("""COMPUTED_VALUE"""),"-")</f>
        <v>-</v>
      </c>
      <c r="AC845" s="97"/>
      <c r="AD845" s="97" t="str">
        <f>IFERROR(__xludf.DUMMYFUNCTION("""COMPUTED_VALUE"""),"IP20")</f>
        <v>IP20</v>
      </c>
      <c r="AE845" s="97" t="str">
        <f>IFERROR(__xludf.DUMMYFUNCTION("""COMPUTED_VALUE"""),"Clase l")</f>
        <v>Clase l</v>
      </c>
      <c r="AF845" s="97" t="str">
        <f>IFERROR(__xludf.DUMMYFUNCTION("""COMPUTED_VALUE"""),"Aplicar")</f>
        <v>Aplicar</v>
      </c>
      <c r="AG845" s="97" t="str">
        <f>IFERROR(__xludf.DUMMYFUNCTION("""COMPUTED_VALUE"""),"480 x 480 x 70")</f>
        <v>480 x 480 x 70</v>
      </c>
      <c r="AH845" s="97" t="str">
        <f>IFERROR(__xludf.DUMMYFUNCTION("""COMPUTED_VALUE"""),"N/A")</f>
        <v>N/A</v>
      </c>
      <c r="AI845" s="97" t="str">
        <f>IFERROR(__xludf.DUMMYFUNCTION("""COMPUTED_VALUE"""),"N/A")</f>
        <v>N/A</v>
      </c>
      <c r="AJ845" s="97" t="str">
        <f>IFERROR(__xludf.DUMMYFUNCTION("""COMPUTED_VALUE"""),"PMMA")</f>
        <v>PMMA</v>
      </c>
      <c r="AK845" s="97" t="str">
        <f>IFERROR(__xludf.DUMMYFUNCTION("""COMPUTED_VALUE"""),"Acero")</f>
        <v>Acero</v>
      </c>
      <c r="AL845" s="97" t="str">
        <f>IFERROR(__xludf.DUMMYFUNCTION("""COMPUTED_VALUE"""),"Blanco Brillante")</f>
        <v>Blanco Brillante</v>
      </c>
      <c r="AM845" s="97" t="str">
        <f>IFERROR(__xludf.DUMMYFUNCTION("""COMPUTED_VALUE"""),"-")</f>
        <v>-</v>
      </c>
      <c r="AN845" s="97" t="str">
        <f>IFERROR(__xludf.DUMMYFUNCTION("""COMPUTED_VALUE"""),"25.000hs (L70)")</f>
        <v>25.000hs (L70)</v>
      </c>
      <c r="AO845" s="97" t="str">
        <f>IFERROR(__xludf.DUMMYFUNCTION("""COMPUTED_VALUE"""),"2 Años")</f>
        <v>2 Años</v>
      </c>
      <c r="AP845" s="97" t="str">
        <f>IFERROR(__xludf.DUMMYFUNCTION("""COMPUTED_VALUE"""),"Disponible")</f>
        <v>Disponible</v>
      </c>
      <c r="AQ845" s="97" t="str">
        <f>IFERROR(__xludf.DUMMYFUNCTION("""COMPUTED_VALUE"""),"Disponible")</f>
        <v>Disponible</v>
      </c>
      <c r="AR845" s="97" t="str">
        <f>IFERROR(__xludf.DUMMYFUNCTION("""COMPUTED_VALUE"""),"Disponible")</f>
        <v>Disponible</v>
      </c>
      <c r="AS845" s="97"/>
      <c r="AT845" s="97"/>
      <c r="AU845" s="97" t="str">
        <f>IFERROR(__xludf.DUMMYFUNCTION("""COMPUTED_VALUE"""),"Falta")</f>
        <v>Falta</v>
      </c>
      <c r="AV845" s="97" t="str">
        <f>IFERROR(__xludf.DUMMYFUNCTION("""COMPUTED_VALUE"""),"Aplique")</f>
        <v>Aplique</v>
      </c>
      <c r="AW845" s="97" t="str">
        <f>IFERROR(__xludf.DUMMYFUNCTION("""COMPUTED_VALUE"""),"De Techo")</f>
        <v>De Techo</v>
      </c>
      <c r="AX845" s="97" t="str">
        <f>IFERROR(__xludf.DUMMYFUNCTION("""COMPUTED_VALUE"""),"Interior")</f>
        <v>Interior</v>
      </c>
      <c r="AY845" s="97" t="str">
        <f>IFERROR(__xludf.DUMMYFUNCTION("""COMPUTED_VALUE"""),"-")</f>
        <v>-</v>
      </c>
      <c r="AZ845" s="97" t="str">
        <f>IFERROR(__xludf.DUMMYFUNCTION("""COMPUTED_VALUE"""),"Blanco dinamico. Dimeriza. Con control Remoto.")</f>
        <v>Blanco dinamico. Dimeriza. Con control Remoto.</v>
      </c>
      <c r="BA845" s="97">
        <f>IFERROR(__xludf.DUMMYFUNCTION("""COMPUTED_VALUE"""),10.0)</f>
        <v>10</v>
      </c>
      <c r="BB845" s="97" t="str">
        <f>IFERROR(__xludf.DUMMYFUNCTION("""COMPUTED_VALUE"""),"-")</f>
        <v>-</v>
      </c>
      <c r="BC845" s="97" t="str">
        <f>IFERROR(__xludf.DUMMYFUNCTION("""COMPUTED_VALUE"""),"-")</f>
        <v>-</v>
      </c>
      <c r="BD845" s="97" t="str">
        <f>IFERROR(__xludf.DUMMYFUNCTION("""COMPUTED_VALUE"""),"SINTRA SQ")</f>
        <v>SINTRA SQ</v>
      </c>
      <c r="BE845" s="97" t="str">
        <f>IFERROR(__xludf.DUMMYFUNCTION("""COMPUTED_VALUE"""),"Finalizada")</f>
        <v>Finalizada</v>
      </c>
      <c r="BF845" s="97"/>
      <c r="BG845" s="97" t="str">
        <f>IFERROR(__xludf.DUMMYFUNCTION("""COMPUTED_VALUE"""),"En Salida")</f>
        <v>En Salida</v>
      </c>
    </row>
    <row r="846">
      <c r="A846" s="97">
        <f>IFERROR(__xludf.DUMMYFUNCTION("""COMPUTED_VALUE"""),6619.0)</f>
        <v>6619</v>
      </c>
      <c r="B846" s="97" t="str">
        <f>IFERROR(__xludf.DUMMYFUNCTION("""COMPUTED_VALUE"""),"SINTRA BL")</f>
        <v>SINTRA BL</v>
      </c>
      <c r="C846" s="97" t="str">
        <f>IFERROR(__xludf.DUMMYFUNCTION("""COMPUTED_VALUE"""),"APLIQUE SINTRA BL 45W 3000/4000/6500K 3360LM CRI&gt;85 IP20 LEUK")</f>
        <v>APLIQUE SINTRA BL 45W 3000/4000/6500K 3360LM CRI&gt;85 IP20 LEUK</v>
      </c>
      <c r="D846" s="97">
        <f>IFERROR(__xludf.DUMMYFUNCTION("""COMPUTED_VALUE"""),7.79841322119E12)</f>
        <v>7798413221190</v>
      </c>
      <c r="E846" s="97" t="str">
        <f>IFERROR(__xludf.DUMMYFUNCTION("""COMPUTED_VALUE"""),"g6")</f>
        <v>g6</v>
      </c>
      <c r="F846" s="97" t="str">
        <f>IFERROR(__xludf.DUMMYFUNCTION("""COMPUTED_VALUE"""),"LED integrado")</f>
        <v>LED integrado</v>
      </c>
      <c r="G846" s="97" t="str">
        <f>IFERROR(__xludf.DUMMYFUNCTION("""COMPUTED_VALUE"""),"-")</f>
        <v>-</v>
      </c>
      <c r="H846" s="97" t="str">
        <f>IFERROR(__xludf.DUMMYFUNCTION("""COMPUTED_VALUE"""),"-")</f>
        <v>-</v>
      </c>
      <c r="I846" s="97"/>
      <c r="J846" s="97"/>
      <c r="K846" s="97" t="str">
        <f>IFERROR(__xludf.DUMMYFUNCTION("""COMPUTED_VALUE"""),"Remoto IR / RF")</f>
        <v>Remoto IR / RF</v>
      </c>
      <c r="L846" s="97" t="str">
        <f>IFERROR(__xludf.DUMMYFUNCTION("""COMPUTED_VALUE"""),"200-240")</f>
        <v>200-240</v>
      </c>
      <c r="M846" s="97" t="str">
        <f>IFERROR(__xludf.DUMMYFUNCTION("""COMPUTED_VALUE"""),"50/60")</f>
        <v>50/60</v>
      </c>
      <c r="N846" s="97" t="str">
        <f>IFERROR(__xludf.DUMMYFUNCTION("""COMPUTED_VALUE"""),"Directa-Simétrica")</f>
        <v>Directa-Simétrica</v>
      </c>
      <c r="O846" s="97">
        <f>IFERROR(__xludf.DUMMYFUNCTION("""COMPUTED_VALUE"""),45.0)</f>
        <v>45</v>
      </c>
      <c r="P846" s="97"/>
      <c r="Q846" s="97">
        <f>IFERROR(__xludf.DUMMYFUNCTION("""COMPUTED_VALUE"""),0.55)</f>
        <v>0.55</v>
      </c>
      <c r="R846" s="97" t="str">
        <f>IFERROR(__xludf.DUMMYFUNCTION("""COMPUTED_VALUE"""),"-")</f>
        <v>-</v>
      </c>
      <c r="S846" s="97" t="str">
        <f>IFERROR(__xludf.DUMMYFUNCTION("""COMPUTED_VALUE"""),"-")</f>
        <v>-</v>
      </c>
      <c r="T846" s="97">
        <f>IFERROR(__xludf.DUMMYFUNCTION("""COMPUTED_VALUE"""),3360.0)</f>
        <v>3360</v>
      </c>
      <c r="U846" s="99">
        <f>IFERROR(__xludf.DUMMYFUNCTION("""COMPUTED_VALUE"""),74.66666666666667)</f>
        <v>74.66666667</v>
      </c>
      <c r="V846" s="97">
        <f>IFERROR(__xludf.DUMMYFUNCTION("""COMPUTED_VALUE"""),116.0)</f>
        <v>116</v>
      </c>
      <c r="W846" s="97" t="str">
        <f>IFERROR(__xludf.DUMMYFUNCTION("""COMPUTED_VALUE"""),"&lt; 20")</f>
        <v>&lt; 20</v>
      </c>
      <c r="X846" s="97" t="str">
        <f>IFERROR(__xludf.DUMMYFUNCTION("""COMPUTED_VALUE"""),"3000/4000/6500")</f>
        <v>3000/4000/6500</v>
      </c>
      <c r="Y846" s="97" t="str">
        <f>IFERROR(__xludf.DUMMYFUNCTION("""COMPUTED_VALUE"""),"&gt;85")</f>
        <v>&gt;85</v>
      </c>
      <c r="Z846" s="97"/>
      <c r="AA846" s="97"/>
      <c r="AB846" s="97" t="str">
        <f>IFERROR(__xludf.DUMMYFUNCTION("""COMPUTED_VALUE"""),"-")</f>
        <v>-</v>
      </c>
      <c r="AC846" s="97"/>
      <c r="AD846" s="97" t="str">
        <f>IFERROR(__xludf.DUMMYFUNCTION("""COMPUTED_VALUE"""),"IP20")</f>
        <v>IP20</v>
      </c>
      <c r="AE846" s="97" t="str">
        <f>IFERROR(__xludf.DUMMYFUNCTION("""COMPUTED_VALUE"""),"Clase l")</f>
        <v>Clase l</v>
      </c>
      <c r="AF846" s="97" t="str">
        <f>IFERROR(__xludf.DUMMYFUNCTION("""COMPUTED_VALUE"""),"Aplicar, Suspender")</f>
        <v>Aplicar, Suspender</v>
      </c>
      <c r="AG846" s="97" t="str">
        <f>IFERROR(__xludf.DUMMYFUNCTION("""COMPUTED_VALUE"""),"Ø480 x 70")</f>
        <v>Ø480 x 70</v>
      </c>
      <c r="AH846" s="97" t="str">
        <f>IFERROR(__xludf.DUMMYFUNCTION("""COMPUTED_VALUE"""),"N/A")</f>
        <v>N/A</v>
      </c>
      <c r="AI846" s="97" t="str">
        <f>IFERROR(__xludf.DUMMYFUNCTION("""COMPUTED_VALUE"""),"N/A")</f>
        <v>N/A</v>
      </c>
      <c r="AJ846" s="97" t="str">
        <f>IFERROR(__xludf.DUMMYFUNCTION("""COMPUTED_VALUE"""),"PMMA")</f>
        <v>PMMA</v>
      </c>
      <c r="AK846" s="97" t="str">
        <f>IFERROR(__xludf.DUMMYFUNCTION("""COMPUTED_VALUE"""),"Acero")</f>
        <v>Acero</v>
      </c>
      <c r="AL846" s="97" t="str">
        <f>IFERROR(__xludf.DUMMYFUNCTION("""COMPUTED_VALUE"""),"Blanco Brillante")</f>
        <v>Blanco Brillante</v>
      </c>
      <c r="AM846" s="97" t="str">
        <f>IFERROR(__xludf.DUMMYFUNCTION("""COMPUTED_VALUE"""),"-")</f>
        <v>-</v>
      </c>
      <c r="AN846" s="97" t="str">
        <f>IFERROR(__xludf.DUMMYFUNCTION("""COMPUTED_VALUE"""),"25.000hs (L70)")</f>
        <v>25.000hs (L70)</v>
      </c>
      <c r="AO846" s="97" t="str">
        <f>IFERROR(__xludf.DUMMYFUNCTION("""COMPUTED_VALUE"""),"2 Años")</f>
        <v>2 Años</v>
      </c>
      <c r="AP846" s="97" t="str">
        <f>IFERROR(__xludf.DUMMYFUNCTION("""COMPUTED_VALUE"""),"Disponible")</f>
        <v>Disponible</v>
      </c>
      <c r="AQ846" s="97" t="str">
        <f>IFERROR(__xludf.DUMMYFUNCTION("""COMPUTED_VALUE"""),"Disponible")</f>
        <v>Disponible</v>
      </c>
      <c r="AR846" s="97" t="str">
        <f>IFERROR(__xludf.DUMMYFUNCTION("""COMPUTED_VALUE"""),"Disponible")</f>
        <v>Disponible</v>
      </c>
      <c r="AS846" s="97"/>
      <c r="AT846" s="97"/>
      <c r="AU846" s="97" t="str">
        <f>IFERROR(__xludf.DUMMYFUNCTION("""COMPUTED_VALUE"""),"Disponible")</f>
        <v>Disponible</v>
      </c>
      <c r="AV846" s="97" t="str">
        <f>IFERROR(__xludf.DUMMYFUNCTION("""COMPUTED_VALUE"""),"Aplique")</f>
        <v>Aplique</v>
      </c>
      <c r="AW846" s="97" t="str">
        <f>IFERROR(__xludf.DUMMYFUNCTION("""COMPUTED_VALUE"""),"De Techo")</f>
        <v>De Techo</v>
      </c>
      <c r="AX846" s="97" t="str">
        <f>IFERROR(__xludf.DUMMYFUNCTION("""COMPUTED_VALUE"""),"Interior")</f>
        <v>Interior</v>
      </c>
      <c r="AY846" s="97" t="str">
        <f>IFERROR(__xludf.DUMMYFUNCTION("""COMPUTED_VALUE"""),"-")</f>
        <v>-</v>
      </c>
      <c r="AZ846" s="97" t="str">
        <f>IFERROR(__xludf.DUMMYFUNCTION("""COMPUTED_VALUE"""),"Blanco dinamico. Dimeriza. Con control Remoto. Aplica KIT SUSPENSIÓN 4 TENSORES BL 6829 o NG 6830.")</f>
        <v>Blanco dinamico. Dimeriza. Con control Remoto. Aplica KIT SUSPENSIÓN 4 TENSORES BL 6829 o NG 6830.</v>
      </c>
      <c r="BA846" s="97">
        <f>IFERROR(__xludf.DUMMYFUNCTION("""COMPUTED_VALUE"""),10.0)</f>
        <v>10</v>
      </c>
      <c r="BB846" s="97" t="str">
        <f>IFERROR(__xludf.DUMMYFUNCTION("""COMPUTED_VALUE"""),"-")</f>
        <v>-</v>
      </c>
      <c r="BC846" s="97" t="str">
        <f>IFERROR(__xludf.DUMMYFUNCTION("""COMPUTED_VALUE"""),"-")</f>
        <v>-</v>
      </c>
      <c r="BD846" s="97" t="str">
        <f>IFERROR(__xludf.DUMMYFUNCTION("""COMPUTED_VALUE"""),"SINTRA")</f>
        <v>SINTRA</v>
      </c>
      <c r="BE846" s="97" t="str">
        <f>IFERROR(__xludf.DUMMYFUNCTION("""COMPUTED_VALUE"""),"Actualizar")</f>
        <v>Actualizar</v>
      </c>
      <c r="BF846" s="97"/>
      <c r="BG846" s="97" t="str">
        <f>IFERROR(__xludf.DUMMYFUNCTION("""COMPUTED_VALUE"""),"En Salida")</f>
        <v>En Salida</v>
      </c>
    </row>
    <row r="847">
      <c r="A847" s="97">
        <f>IFERROR(__xludf.DUMMYFUNCTION("""COMPUTED_VALUE"""),6620.0)</f>
        <v>6620</v>
      </c>
      <c r="B847" s="97" t="str">
        <f>IFERROR(__xludf.DUMMYFUNCTION("""COMPUTED_VALUE"""),"SINTRA S BL")</f>
        <v>SINTRA S BL</v>
      </c>
      <c r="C847" s="97" t="str">
        <f>IFERROR(__xludf.DUMMYFUNCTION("""COMPUTED_VALUE"""),"APLIQUE SINTRA S 45W BLANCO LEUK")</f>
        <v>APLIQUE SINTRA S 45W BLANCO LEUK</v>
      </c>
      <c r="D847" s="97">
        <f>IFERROR(__xludf.DUMMYFUNCTION("""COMPUTED_VALUE"""),7.798413221206E12)</f>
        <v>7798413221206</v>
      </c>
      <c r="E847" s="97"/>
      <c r="F847" s="97" t="str">
        <f>IFERROR(__xludf.DUMMYFUNCTION("""COMPUTED_VALUE"""),"LED integrado")</f>
        <v>LED integrado</v>
      </c>
      <c r="G847" s="97" t="str">
        <f>IFERROR(__xludf.DUMMYFUNCTION("""COMPUTED_VALUE"""),"-")</f>
        <v>-</v>
      </c>
      <c r="H847" s="97" t="str">
        <f>IFERROR(__xludf.DUMMYFUNCTION("""COMPUTED_VALUE"""),"-")</f>
        <v>-</v>
      </c>
      <c r="I847" s="97"/>
      <c r="J847" s="97"/>
      <c r="K847" s="97" t="str">
        <f>IFERROR(__xludf.DUMMYFUNCTION("""COMPUTED_VALUE"""),"Remoto IR / RF")</f>
        <v>Remoto IR / RF</v>
      </c>
      <c r="L847" s="97" t="str">
        <f>IFERROR(__xludf.DUMMYFUNCTION("""COMPUTED_VALUE"""),"220-240")</f>
        <v>220-240</v>
      </c>
      <c r="M847" s="97" t="str">
        <f>IFERROR(__xludf.DUMMYFUNCTION("""COMPUTED_VALUE"""),"50/60")</f>
        <v>50/60</v>
      </c>
      <c r="N847" s="97" t="str">
        <f>IFERROR(__xludf.DUMMYFUNCTION("""COMPUTED_VALUE"""),"Directa-Simétrica")</f>
        <v>Directa-Simétrica</v>
      </c>
      <c r="O847" s="97">
        <f>IFERROR(__xludf.DUMMYFUNCTION("""COMPUTED_VALUE"""),45.0)</f>
        <v>45</v>
      </c>
      <c r="P847" s="97"/>
      <c r="Q847" s="97">
        <f>IFERROR(__xludf.DUMMYFUNCTION("""COMPUTED_VALUE"""),0.55)</f>
        <v>0.55</v>
      </c>
      <c r="R847" s="97" t="str">
        <f>IFERROR(__xludf.DUMMYFUNCTION("""COMPUTED_VALUE"""),"-")</f>
        <v>-</v>
      </c>
      <c r="S847" s="97" t="str">
        <f>IFERROR(__xludf.DUMMYFUNCTION("""COMPUTED_VALUE"""),"-")</f>
        <v>-</v>
      </c>
      <c r="T847" s="97">
        <f>IFERROR(__xludf.DUMMYFUNCTION("""COMPUTED_VALUE"""),3360.0)</f>
        <v>3360</v>
      </c>
      <c r="U847" s="99">
        <f>IFERROR(__xludf.DUMMYFUNCTION("""COMPUTED_VALUE"""),74.66666666666667)</f>
        <v>74.66666667</v>
      </c>
      <c r="V847" s="97">
        <f>IFERROR(__xludf.DUMMYFUNCTION("""COMPUTED_VALUE"""),116.0)</f>
        <v>116</v>
      </c>
      <c r="W847" s="97" t="str">
        <f>IFERROR(__xludf.DUMMYFUNCTION("""COMPUTED_VALUE"""),"&lt; 20")</f>
        <v>&lt; 20</v>
      </c>
      <c r="X847" s="97" t="str">
        <f>IFERROR(__xludf.DUMMYFUNCTION("""COMPUTED_VALUE"""),"3000 / 4000 / 6500")</f>
        <v>3000 / 4000 / 6500</v>
      </c>
      <c r="Y847" s="97" t="str">
        <f>IFERROR(__xludf.DUMMYFUNCTION("""COMPUTED_VALUE"""),"&gt;85")</f>
        <v>&gt;85</v>
      </c>
      <c r="Z847" s="97" t="str">
        <f>IFERROR(__xludf.DUMMYFUNCTION("""COMPUTED_VALUE"""),"-")</f>
        <v>-</v>
      </c>
      <c r="AA847" s="97" t="str">
        <f>IFERROR(__xludf.DUMMYFUNCTION("""COMPUTED_VALUE"""),"-")</f>
        <v>-</v>
      </c>
      <c r="AB847" s="97" t="str">
        <f>IFERROR(__xludf.DUMMYFUNCTION("""COMPUTED_VALUE"""),"-")</f>
        <v>-</v>
      </c>
      <c r="AC847" s="97"/>
      <c r="AD847" s="97" t="str">
        <f>IFERROR(__xludf.DUMMYFUNCTION("""COMPUTED_VALUE"""),"IP20")</f>
        <v>IP20</v>
      </c>
      <c r="AE847" s="97" t="str">
        <f>IFERROR(__xludf.DUMMYFUNCTION("""COMPUTED_VALUE"""),"Clase l")</f>
        <v>Clase l</v>
      </c>
      <c r="AF847" s="97" t="str">
        <f>IFERROR(__xludf.DUMMYFUNCTION("""COMPUTED_VALUE"""),"Suspender")</f>
        <v>Suspender</v>
      </c>
      <c r="AG847" s="97" t="str">
        <f>IFERROR(__xludf.DUMMYFUNCTION("""COMPUTED_VALUE"""),"Ø480 x 70")</f>
        <v>Ø480 x 70</v>
      </c>
      <c r="AH847" s="97" t="str">
        <f>IFERROR(__xludf.DUMMYFUNCTION("""COMPUTED_VALUE"""),"N/A")</f>
        <v>N/A</v>
      </c>
      <c r="AI847" s="97" t="str">
        <f>IFERROR(__xludf.DUMMYFUNCTION("""COMPUTED_VALUE"""),"N/A")</f>
        <v>N/A</v>
      </c>
      <c r="AJ847" s="97" t="str">
        <f>IFERROR(__xludf.DUMMYFUNCTION("""COMPUTED_VALUE"""),"PMMA")</f>
        <v>PMMA</v>
      </c>
      <c r="AK847" s="97" t="str">
        <f>IFERROR(__xludf.DUMMYFUNCTION("""COMPUTED_VALUE"""),"Acero")</f>
        <v>Acero</v>
      </c>
      <c r="AL847" s="97" t="str">
        <f>IFERROR(__xludf.DUMMYFUNCTION("""COMPUTED_VALUE"""),"Blanco Brillante")</f>
        <v>Blanco Brillante</v>
      </c>
      <c r="AM847" s="97" t="str">
        <f>IFERROR(__xludf.DUMMYFUNCTION("""COMPUTED_VALUE"""),"-")</f>
        <v>-</v>
      </c>
      <c r="AN847" s="97" t="str">
        <f>IFERROR(__xludf.DUMMYFUNCTION("""COMPUTED_VALUE"""),"-")</f>
        <v>-</v>
      </c>
      <c r="AO847" s="97" t="str">
        <f>IFERROR(__xludf.DUMMYFUNCTION("""COMPUTED_VALUE"""),"1 Año")</f>
        <v>1 Año</v>
      </c>
      <c r="AP847" s="97"/>
      <c r="AQ847" s="97"/>
      <c r="AR847" s="97"/>
      <c r="AS847" s="97"/>
      <c r="AT847" s="97"/>
      <c r="AU847" s="97"/>
      <c r="AV847" s="97" t="str">
        <f>IFERROR(__xludf.DUMMYFUNCTION("""COMPUTED_VALUE"""),"Colgante")</f>
        <v>Colgante</v>
      </c>
      <c r="AW847" s="97" t="str">
        <f>IFERROR(__xludf.DUMMYFUNCTION("""COMPUTED_VALUE"""),"De Techo")</f>
        <v>De Techo</v>
      </c>
      <c r="AX847" s="97" t="str">
        <f>IFERROR(__xludf.DUMMYFUNCTION("""COMPUTED_VALUE"""),"Interior")</f>
        <v>Interior</v>
      </c>
      <c r="AY847" s="97"/>
      <c r="AZ847" s="97" t="str">
        <f>IFERROR(__xludf.DUMMYFUNCTION("""COMPUTED_VALUE"""),"Blanco dinamico. Dimeriza. Con control Remoto.")</f>
        <v>Blanco dinamico. Dimeriza. Con control Remoto.</v>
      </c>
      <c r="BA847" s="97">
        <f>IFERROR(__xludf.DUMMYFUNCTION("""COMPUTED_VALUE"""),10.0)</f>
        <v>10</v>
      </c>
      <c r="BB847" s="97"/>
      <c r="BC847" s="97"/>
      <c r="BD847" s="97" t="str">
        <f>IFERROR(__xludf.DUMMYFUNCTION("""COMPUTED_VALUE"""),"SINTRA S")</f>
        <v>SINTRA S</v>
      </c>
      <c r="BE847" s="97" t="str">
        <f>IFERROR(__xludf.DUMMYFUNCTION("""COMPUTED_VALUE"""),"Finalizada")</f>
        <v>Finalizada</v>
      </c>
      <c r="BF847" s="97" t="str">
        <f>IFERROR(__xludf.DUMMYFUNCTION("""COMPUTED_VALUE"""),"6619 + 6716")</f>
        <v>6619 + 6716</v>
      </c>
      <c r="BG847" s="97" t="str">
        <f>IFERROR(__xludf.DUMMYFUNCTION("""COMPUTED_VALUE"""),"Discontinuo")</f>
        <v>Discontinuo</v>
      </c>
    </row>
    <row r="848">
      <c r="A848" s="97">
        <f>IFERROR(__xludf.DUMMYFUNCTION("""COMPUTED_VALUE"""),6621.0)</f>
        <v>6621</v>
      </c>
      <c r="B848" s="97" t="str">
        <f>IFERROR(__xludf.DUMMYFUNCTION("""COMPUTED_VALUE"""),"BIZ 1 EF NG")</f>
        <v>BIZ 1 EF NG</v>
      </c>
      <c r="C848" s="97" t="str">
        <f>IFERROR(__xludf.DUMMYFUNCTION("""COMPUTED_VALUE"""),"CABEZAL BIZ 1 EF NG 1XGU10 DICRO IP20 LEUK")</f>
        <v>CABEZAL BIZ 1 EF NG 1XGU10 DICRO IP20 LEUK</v>
      </c>
      <c r="D848" s="97">
        <f>IFERROR(__xludf.DUMMYFUNCTION("""COMPUTED_VALUE"""),7.798413221336E12)</f>
        <v>7798413221336</v>
      </c>
      <c r="E848" s="97"/>
      <c r="F848" s="97" t="str">
        <f>IFERROR(__xludf.DUMMYFUNCTION("""COMPUTED_VALUE"""),"1xGU10 Dicro")</f>
        <v>1xGU10 Dicro</v>
      </c>
      <c r="G848" s="97" t="str">
        <f>IFERROR(__xludf.DUMMYFUNCTION("""COMPUTED_VALUE"""),"N/A")</f>
        <v>N/A</v>
      </c>
      <c r="H848" s="97" t="str">
        <f>IFERROR(__xludf.DUMMYFUNCTION("""COMPUTED_VALUE"""),"N/A")</f>
        <v>N/A</v>
      </c>
      <c r="I848" s="97" t="str">
        <f>IFERROR(__xludf.DUMMYFUNCTION("""COMPUTED_VALUE"""),"N/A")</f>
        <v>N/A</v>
      </c>
      <c r="J848" s="97" t="str">
        <f>IFERROR(__xludf.DUMMYFUNCTION("""COMPUTED_VALUE"""),"N/A")</f>
        <v>N/A</v>
      </c>
      <c r="K848" s="97" t="str">
        <f>IFERROR(__xludf.DUMMYFUNCTION("""COMPUTED_VALUE"""),"N/A")</f>
        <v>N/A</v>
      </c>
      <c r="L848" s="97">
        <f>IFERROR(__xludf.DUMMYFUNCTION("""COMPUTED_VALUE"""),220.0)</f>
        <v>220</v>
      </c>
      <c r="M848" s="97">
        <f>IFERROR(__xludf.DUMMYFUNCTION("""COMPUTED_VALUE"""),50.0)</f>
        <v>50</v>
      </c>
      <c r="N848" s="97"/>
      <c r="O848" s="97" t="str">
        <f>IFERROR(__xludf.DUMMYFUNCTION("""COMPUTED_VALUE"""),"1 x 7W Max")</f>
        <v>1 x 7W Max</v>
      </c>
      <c r="P848" s="97"/>
      <c r="Q848" s="97" t="str">
        <f>IFERROR(__xludf.DUMMYFUNCTION("""COMPUTED_VALUE"""),"-")</f>
        <v>-</v>
      </c>
      <c r="R848" s="97" t="str">
        <f>IFERROR(__xludf.DUMMYFUNCTION("""COMPUTED_VALUE"""),"-")</f>
        <v>-</v>
      </c>
      <c r="S848" s="97" t="str">
        <f>IFERROR(__xludf.DUMMYFUNCTION("""COMPUTED_VALUE"""),"-")</f>
        <v>-</v>
      </c>
      <c r="T848" s="97" t="str">
        <f>IFERROR(__xludf.DUMMYFUNCTION("""COMPUTED_VALUE"""),"-")</f>
        <v>-</v>
      </c>
      <c r="U848" s="97" t="str">
        <f>IFERROR(__xludf.DUMMYFUNCTION("""COMPUTED_VALUE"""),"-")</f>
        <v>-</v>
      </c>
      <c r="V848" s="97" t="str">
        <f>IFERROR(__xludf.DUMMYFUNCTION("""COMPUTED_VALUE"""),"N/A")</f>
        <v>N/A</v>
      </c>
      <c r="W848" s="97" t="str">
        <f>IFERROR(__xludf.DUMMYFUNCTION("""COMPUTED_VALUE"""),"N/A")</f>
        <v>N/A</v>
      </c>
      <c r="X848" s="97" t="str">
        <f>IFERROR(__xludf.DUMMYFUNCTION("""COMPUTED_VALUE"""),"-")</f>
        <v>-</v>
      </c>
      <c r="Y848" s="97" t="str">
        <f>IFERROR(__xludf.DUMMYFUNCTION("""COMPUTED_VALUE"""),"N/A")</f>
        <v>N/A</v>
      </c>
      <c r="Z848" s="97" t="str">
        <f>IFERROR(__xludf.DUMMYFUNCTION("""COMPUTED_VALUE"""),"N/A")</f>
        <v>N/A</v>
      </c>
      <c r="AA848" s="97" t="str">
        <f>IFERROR(__xludf.DUMMYFUNCTION("""COMPUTED_VALUE"""),"N/A")</f>
        <v>N/A</v>
      </c>
      <c r="AB848" s="97" t="str">
        <f>IFERROR(__xludf.DUMMYFUNCTION("""COMPUTED_VALUE"""),"N/A")</f>
        <v>N/A</v>
      </c>
      <c r="AC848" s="97" t="str">
        <f>IFERROR(__xludf.DUMMYFUNCTION("""COMPUTED_VALUE"""),"N/A")</f>
        <v>N/A</v>
      </c>
      <c r="AD848" s="97" t="str">
        <f>IFERROR(__xludf.DUMMYFUNCTION("""COMPUTED_VALUE"""),"IP20")</f>
        <v>IP20</v>
      </c>
      <c r="AE848" s="97" t="str">
        <f>IFERROR(__xludf.DUMMYFUNCTION("""COMPUTED_VALUE"""),"Clase l")</f>
        <v>Clase l</v>
      </c>
      <c r="AF848" s="97" t="str">
        <f>IFERROR(__xludf.DUMMYFUNCTION("""COMPUTED_VALUE"""),"Riel")</f>
        <v>Riel</v>
      </c>
      <c r="AG848" s="97" t="str">
        <f>IFERROR(__xludf.DUMMYFUNCTION("""COMPUTED_VALUE"""),"Ø60 x 105")</f>
        <v>Ø60 x 105</v>
      </c>
      <c r="AH848" s="97" t="str">
        <f>IFERROR(__xludf.DUMMYFUNCTION("""COMPUTED_VALUE"""),"N/A")</f>
        <v>N/A</v>
      </c>
      <c r="AI848" s="97" t="str">
        <f>IFERROR(__xludf.DUMMYFUNCTION("""COMPUTED_VALUE"""),"N/A")</f>
        <v>N/A</v>
      </c>
      <c r="AJ848" s="97" t="str">
        <f>IFERROR(__xludf.DUMMYFUNCTION("""COMPUTED_VALUE"""),"N/A")</f>
        <v>N/A</v>
      </c>
      <c r="AK848" s="97" t="str">
        <f>IFERROR(__xludf.DUMMYFUNCTION("""COMPUTED_VALUE"""),"Aluminio")</f>
        <v>Aluminio</v>
      </c>
      <c r="AL848" s="97" t="str">
        <f>IFERROR(__xludf.DUMMYFUNCTION("""COMPUTED_VALUE"""),"Negro Satinado")</f>
        <v>Negro Satinado</v>
      </c>
      <c r="AM848" s="97" t="str">
        <f>IFERROR(__xludf.DUMMYFUNCTION("""COMPUTED_VALUE"""),"-")</f>
        <v>-</v>
      </c>
      <c r="AN848" s="97" t="str">
        <f>IFERROR(__xludf.DUMMYFUNCTION("""COMPUTED_VALUE"""),"N/A")</f>
        <v>N/A</v>
      </c>
      <c r="AO848" s="97" t="str">
        <f>IFERROR(__xludf.DUMMYFUNCTION("""COMPUTED_VALUE"""),"2 Años")</f>
        <v>2 Años</v>
      </c>
      <c r="AP848" s="97" t="str">
        <f>IFERROR(__xludf.DUMMYFUNCTION("""COMPUTED_VALUE"""),"No Aplica")</f>
        <v>No Aplica</v>
      </c>
      <c r="AQ848" s="97" t="str">
        <f>IFERROR(__xludf.DUMMYFUNCTION("""COMPUTED_VALUE"""),"No Aplica")</f>
        <v>No Aplica</v>
      </c>
      <c r="AR848" s="97" t="str">
        <f>IFERROR(__xludf.DUMMYFUNCTION("""COMPUTED_VALUE"""),"No Aplica")</f>
        <v>No Aplica</v>
      </c>
      <c r="AS848" s="97"/>
      <c r="AT848" s="97"/>
      <c r="AU848" s="97" t="str">
        <f>IFERROR(__xludf.DUMMYFUNCTION("""COMPUTED_VALUE"""),"Falta")</f>
        <v>Falta</v>
      </c>
      <c r="AV848" s="97" t="str">
        <f>IFERROR(__xludf.DUMMYFUNCTION("""COMPUTED_VALUE"""),"Cabezal")</f>
        <v>Cabezal</v>
      </c>
      <c r="AW848" s="97" t="str">
        <f>IFERROR(__xludf.DUMMYFUNCTION("""COMPUTED_VALUE"""),"Rieles")</f>
        <v>Rieles</v>
      </c>
      <c r="AX848" s="97" t="str">
        <f>IFERROR(__xludf.DUMMYFUNCTION("""COMPUTED_VALUE"""),"Interior")</f>
        <v>Interior</v>
      </c>
      <c r="AY848" s="97" t="str">
        <f>IFERROR(__xludf.DUMMYFUNCTION("""COMPUTED_VALUE"""),"-")</f>
        <v>-</v>
      </c>
      <c r="AZ848" s="97" t="str">
        <f>IFERROR(__xludf.DUMMYFUNCTION("""COMPUTED_VALUE"""),"Cabezal orientable. Con adaptador de 1EF")</f>
        <v>Cabezal orientable. Con adaptador de 1EF</v>
      </c>
      <c r="BA848" s="97">
        <f>IFERROR(__xludf.DUMMYFUNCTION("""COMPUTED_VALUE"""),50.0)</f>
        <v>50</v>
      </c>
      <c r="BB848" s="97" t="str">
        <f>IFERROR(__xludf.DUMMYFUNCTION("""COMPUTED_VALUE"""),"-")</f>
        <v>-</v>
      </c>
      <c r="BC848" s="97" t="str">
        <f>IFERROR(__xludf.DUMMYFUNCTION("""COMPUTED_VALUE"""),"-")</f>
        <v>-</v>
      </c>
      <c r="BD848" s="97" t="str">
        <f>IFERROR(__xludf.DUMMYFUNCTION("""COMPUTED_VALUE"""),"BIZ 1EF")</f>
        <v>BIZ 1EF</v>
      </c>
      <c r="BE848" s="97" t="str">
        <f>IFERROR(__xludf.DUMMYFUNCTION("""COMPUTED_VALUE"""),"Finalizada")</f>
        <v>Finalizada</v>
      </c>
      <c r="BF848" s="97"/>
      <c r="BG848" s="97" t="str">
        <f>IFERROR(__xludf.DUMMYFUNCTION("""COMPUTED_VALUE"""),"Activo")</f>
        <v>Activo</v>
      </c>
    </row>
    <row r="849">
      <c r="A849" s="97">
        <f>IFERROR(__xludf.DUMMYFUNCTION("""COMPUTED_VALUE"""),6622.0)</f>
        <v>6622</v>
      </c>
      <c r="B849" s="97" t="str">
        <f>IFERROR(__xludf.DUMMYFUNCTION("""COMPUTED_VALUE"""),"BIZ 1 EF BL")</f>
        <v>BIZ 1 EF BL</v>
      </c>
      <c r="C849" s="97" t="str">
        <f>IFERROR(__xludf.DUMMYFUNCTION("""COMPUTED_VALUE"""),"CABEZAL BIZ 1 EF BL 1XGU10 DICRO IP20 LEUK")</f>
        <v>CABEZAL BIZ 1 EF BL 1XGU10 DICRO IP20 LEUK</v>
      </c>
      <c r="D849" s="97">
        <f>IFERROR(__xludf.DUMMYFUNCTION("""COMPUTED_VALUE"""),7.798413221343E12)</f>
        <v>7798413221343</v>
      </c>
      <c r="E849" s="97"/>
      <c r="F849" s="97" t="str">
        <f>IFERROR(__xludf.DUMMYFUNCTION("""COMPUTED_VALUE"""),"1xGU10 Dicro")</f>
        <v>1xGU10 Dicro</v>
      </c>
      <c r="G849" s="97" t="str">
        <f>IFERROR(__xludf.DUMMYFUNCTION("""COMPUTED_VALUE"""),"N/A")</f>
        <v>N/A</v>
      </c>
      <c r="H849" s="97" t="str">
        <f>IFERROR(__xludf.DUMMYFUNCTION("""COMPUTED_VALUE"""),"N/A")</f>
        <v>N/A</v>
      </c>
      <c r="I849" s="97" t="str">
        <f>IFERROR(__xludf.DUMMYFUNCTION("""COMPUTED_VALUE"""),"N/A")</f>
        <v>N/A</v>
      </c>
      <c r="J849" s="97" t="str">
        <f>IFERROR(__xludf.DUMMYFUNCTION("""COMPUTED_VALUE"""),"N/A")</f>
        <v>N/A</v>
      </c>
      <c r="K849" s="97" t="str">
        <f>IFERROR(__xludf.DUMMYFUNCTION("""COMPUTED_VALUE"""),"N/A")</f>
        <v>N/A</v>
      </c>
      <c r="L849" s="97">
        <f>IFERROR(__xludf.DUMMYFUNCTION("""COMPUTED_VALUE"""),220.0)</f>
        <v>220</v>
      </c>
      <c r="M849" s="97">
        <f>IFERROR(__xludf.DUMMYFUNCTION("""COMPUTED_VALUE"""),50.0)</f>
        <v>50</v>
      </c>
      <c r="N849" s="97"/>
      <c r="O849" s="97" t="str">
        <f>IFERROR(__xludf.DUMMYFUNCTION("""COMPUTED_VALUE"""),"1 x 7W Max")</f>
        <v>1 x 7W Max</v>
      </c>
      <c r="P849" s="97"/>
      <c r="Q849" s="97" t="str">
        <f>IFERROR(__xludf.DUMMYFUNCTION("""COMPUTED_VALUE"""),"-")</f>
        <v>-</v>
      </c>
      <c r="R849" s="97" t="str">
        <f>IFERROR(__xludf.DUMMYFUNCTION("""COMPUTED_VALUE"""),"-")</f>
        <v>-</v>
      </c>
      <c r="S849" s="97" t="str">
        <f>IFERROR(__xludf.DUMMYFUNCTION("""COMPUTED_VALUE"""),"-")</f>
        <v>-</v>
      </c>
      <c r="T849" s="97" t="str">
        <f>IFERROR(__xludf.DUMMYFUNCTION("""COMPUTED_VALUE"""),"-")</f>
        <v>-</v>
      </c>
      <c r="U849" s="97" t="str">
        <f>IFERROR(__xludf.DUMMYFUNCTION("""COMPUTED_VALUE"""),"-")</f>
        <v>-</v>
      </c>
      <c r="V849" s="97" t="str">
        <f>IFERROR(__xludf.DUMMYFUNCTION("""COMPUTED_VALUE"""),"N/A")</f>
        <v>N/A</v>
      </c>
      <c r="W849" s="97" t="str">
        <f>IFERROR(__xludf.DUMMYFUNCTION("""COMPUTED_VALUE"""),"N/A")</f>
        <v>N/A</v>
      </c>
      <c r="X849" s="97" t="str">
        <f>IFERROR(__xludf.DUMMYFUNCTION("""COMPUTED_VALUE"""),"-")</f>
        <v>-</v>
      </c>
      <c r="Y849" s="97" t="str">
        <f>IFERROR(__xludf.DUMMYFUNCTION("""COMPUTED_VALUE"""),"N/A")</f>
        <v>N/A</v>
      </c>
      <c r="Z849" s="97" t="str">
        <f>IFERROR(__xludf.DUMMYFUNCTION("""COMPUTED_VALUE"""),"N/A")</f>
        <v>N/A</v>
      </c>
      <c r="AA849" s="97" t="str">
        <f>IFERROR(__xludf.DUMMYFUNCTION("""COMPUTED_VALUE"""),"N/A")</f>
        <v>N/A</v>
      </c>
      <c r="AB849" s="97" t="str">
        <f>IFERROR(__xludf.DUMMYFUNCTION("""COMPUTED_VALUE"""),"N/A")</f>
        <v>N/A</v>
      </c>
      <c r="AC849" s="97" t="str">
        <f>IFERROR(__xludf.DUMMYFUNCTION("""COMPUTED_VALUE"""),"N/A")</f>
        <v>N/A</v>
      </c>
      <c r="AD849" s="97" t="str">
        <f>IFERROR(__xludf.DUMMYFUNCTION("""COMPUTED_VALUE"""),"IP20")</f>
        <v>IP20</v>
      </c>
      <c r="AE849" s="97" t="str">
        <f>IFERROR(__xludf.DUMMYFUNCTION("""COMPUTED_VALUE"""),"Clase l")</f>
        <v>Clase l</v>
      </c>
      <c r="AF849" s="97" t="str">
        <f>IFERROR(__xludf.DUMMYFUNCTION("""COMPUTED_VALUE"""),"Riel")</f>
        <v>Riel</v>
      </c>
      <c r="AG849" s="97" t="str">
        <f>IFERROR(__xludf.DUMMYFUNCTION("""COMPUTED_VALUE"""),"Ø60 x 105")</f>
        <v>Ø60 x 105</v>
      </c>
      <c r="AH849" s="97" t="str">
        <f>IFERROR(__xludf.DUMMYFUNCTION("""COMPUTED_VALUE"""),"N/A")</f>
        <v>N/A</v>
      </c>
      <c r="AI849" s="97" t="str">
        <f>IFERROR(__xludf.DUMMYFUNCTION("""COMPUTED_VALUE"""),"N/A")</f>
        <v>N/A</v>
      </c>
      <c r="AJ849" s="97" t="str">
        <f>IFERROR(__xludf.DUMMYFUNCTION("""COMPUTED_VALUE"""),"N/A")</f>
        <v>N/A</v>
      </c>
      <c r="AK849" s="97" t="str">
        <f>IFERROR(__xludf.DUMMYFUNCTION("""COMPUTED_VALUE"""),"Aluminio")</f>
        <v>Aluminio</v>
      </c>
      <c r="AL849" s="97" t="str">
        <f>IFERROR(__xludf.DUMMYFUNCTION("""COMPUTED_VALUE"""),"Blanco Satinado")</f>
        <v>Blanco Satinado</v>
      </c>
      <c r="AM849" s="97" t="str">
        <f>IFERROR(__xludf.DUMMYFUNCTION("""COMPUTED_VALUE"""),"-")</f>
        <v>-</v>
      </c>
      <c r="AN849" s="97" t="str">
        <f>IFERROR(__xludf.DUMMYFUNCTION("""COMPUTED_VALUE"""),"N/A")</f>
        <v>N/A</v>
      </c>
      <c r="AO849" s="97" t="str">
        <f>IFERROR(__xludf.DUMMYFUNCTION("""COMPUTED_VALUE"""),"2 Años")</f>
        <v>2 Años</v>
      </c>
      <c r="AP849" s="97" t="str">
        <f>IFERROR(__xludf.DUMMYFUNCTION("""COMPUTED_VALUE"""),"No Aplica")</f>
        <v>No Aplica</v>
      </c>
      <c r="AQ849" s="97" t="str">
        <f>IFERROR(__xludf.DUMMYFUNCTION("""COMPUTED_VALUE"""),"No Aplica")</f>
        <v>No Aplica</v>
      </c>
      <c r="AR849" s="97" t="str">
        <f>IFERROR(__xludf.DUMMYFUNCTION("""COMPUTED_VALUE"""),"No Aplica")</f>
        <v>No Aplica</v>
      </c>
      <c r="AS849" s="97"/>
      <c r="AT849" s="97"/>
      <c r="AU849" s="97" t="str">
        <f>IFERROR(__xludf.DUMMYFUNCTION("""COMPUTED_VALUE"""),"Falta")</f>
        <v>Falta</v>
      </c>
      <c r="AV849" s="97" t="str">
        <f>IFERROR(__xludf.DUMMYFUNCTION("""COMPUTED_VALUE"""),"Cabezal")</f>
        <v>Cabezal</v>
      </c>
      <c r="AW849" s="97" t="str">
        <f>IFERROR(__xludf.DUMMYFUNCTION("""COMPUTED_VALUE"""),"Rieles")</f>
        <v>Rieles</v>
      </c>
      <c r="AX849" s="97" t="str">
        <f>IFERROR(__xludf.DUMMYFUNCTION("""COMPUTED_VALUE"""),"Interior")</f>
        <v>Interior</v>
      </c>
      <c r="AY849" s="97" t="str">
        <f>IFERROR(__xludf.DUMMYFUNCTION("""COMPUTED_VALUE"""),"-")</f>
        <v>-</v>
      </c>
      <c r="AZ849" s="97" t="str">
        <f>IFERROR(__xludf.DUMMYFUNCTION("""COMPUTED_VALUE"""),"Cabezal orientable. Con adaptador de 1EF")</f>
        <v>Cabezal orientable. Con adaptador de 1EF</v>
      </c>
      <c r="BA849" s="97">
        <f>IFERROR(__xludf.DUMMYFUNCTION("""COMPUTED_VALUE"""),50.0)</f>
        <v>50</v>
      </c>
      <c r="BB849" s="97" t="str">
        <f>IFERROR(__xludf.DUMMYFUNCTION("""COMPUTED_VALUE"""),"-")</f>
        <v>-</v>
      </c>
      <c r="BC849" s="97" t="str">
        <f>IFERROR(__xludf.DUMMYFUNCTION("""COMPUTED_VALUE"""),"-")</f>
        <v>-</v>
      </c>
      <c r="BD849" s="97" t="str">
        <f>IFERROR(__xludf.DUMMYFUNCTION("""COMPUTED_VALUE"""),"BIZ 1EF")</f>
        <v>BIZ 1EF</v>
      </c>
      <c r="BE849" s="97" t="str">
        <f>IFERROR(__xludf.DUMMYFUNCTION("""COMPUTED_VALUE"""),"Finalizada")</f>
        <v>Finalizada</v>
      </c>
      <c r="BF849" s="97"/>
      <c r="BG849" s="97" t="str">
        <f>IFERROR(__xludf.DUMMYFUNCTION("""COMPUTED_VALUE"""),"Activo")</f>
        <v>Activo</v>
      </c>
    </row>
    <row r="850">
      <c r="A850" s="97">
        <f>IFERROR(__xludf.DUMMYFUNCTION("""COMPUTED_VALUE"""),6623.0)</f>
        <v>6623</v>
      </c>
      <c r="B850" s="97" t="str">
        <f>IFERROR(__xludf.DUMMYFUNCTION("""COMPUTED_VALUE"""),"BIZ 3 EF NG")</f>
        <v>BIZ 3 EF NG</v>
      </c>
      <c r="C850" s="97" t="str">
        <f>IFERROR(__xludf.DUMMYFUNCTION("""COMPUTED_VALUE"""),"CABEZAL BIZ 3 EF NG 1XGU10 DICRO IP20 LEUK")</f>
        <v>CABEZAL BIZ 3 EF NG 1XGU10 DICRO IP20 LEUK</v>
      </c>
      <c r="D850" s="97">
        <f>IFERROR(__xludf.DUMMYFUNCTION("""COMPUTED_VALUE"""),7.79841322135E12)</f>
        <v>7798413221350</v>
      </c>
      <c r="E850" s="97"/>
      <c r="F850" s="97" t="str">
        <f>IFERROR(__xludf.DUMMYFUNCTION("""COMPUTED_VALUE"""),"1xGU10 Dicro")</f>
        <v>1xGU10 Dicro</v>
      </c>
      <c r="G850" s="97" t="str">
        <f>IFERROR(__xludf.DUMMYFUNCTION("""COMPUTED_VALUE"""),"N/A")</f>
        <v>N/A</v>
      </c>
      <c r="H850" s="97" t="str">
        <f>IFERROR(__xludf.DUMMYFUNCTION("""COMPUTED_VALUE"""),"N/A")</f>
        <v>N/A</v>
      </c>
      <c r="I850" s="97" t="str">
        <f>IFERROR(__xludf.DUMMYFUNCTION("""COMPUTED_VALUE"""),"N/A")</f>
        <v>N/A</v>
      </c>
      <c r="J850" s="97" t="str">
        <f>IFERROR(__xludf.DUMMYFUNCTION("""COMPUTED_VALUE"""),"N/A")</f>
        <v>N/A</v>
      </c>
      <c r="K850" s="97" t="str">
        <f>IFERROR(__xludf.DUMMYFUNCTION("""COMPUTED_VALUE"""),"N/A")</f>
        <v>N/A</v>
      </c>
      <c r="L850" s="97">
        <f>IFERROR(__xludf.DUMMYFUNCTION("""COMPUTED_VALUE"""),220.0)</f>
        <v>220</v>
      </c>
      <c r="M850" s="97">
        <f>IFERROR(__xludf.DUMMYFUNCTION("""COMPUTED_VALUE"""),50.0)</f>
        <v>50</v>
      </c>
      <c r="N850" s="97"/>
      <c r="O850" s="97" t="str">
        <f>IFERROR(__xludf.DUMMYFUNCTION("""COMPUTED_VALUE"""),"1 x 7W Max")</f>
        <v>1 x 7W Max</v>
      </c>
      <c r="P850" s="97"/>
      <c r="Q850" s="97" t="str">
        <f>IFERROR(__xludf.DUMMYFUNCTION("""COMPUTED_VALUE"""),"-")</f>
        <v>-</v>
      </c>
      <c r="R850" s="97" t="str">
        <f>IFERROR(__xludf.DUMMYFUNCTION("""COMPUTED_VALUE"""),"-")</f>
        <v>-</v>
      </c>
      <c r="S850" s="97" t="str">
        <f>IFERROR(__xludf.DUMMYFUNCTION("""COMPUTED_VALUE"""),"-")</f>
        <v>-</v>
      </c>
      <c r="T850" s="97" t="str">
        <f>IFERROR(__xludf.DUMMYFUNCTION("""COMPUTED_VALUE"""),"-")</f>
        <v>-</v>
      </c>
      <c r="U850" s="97" t="str">
        <f>IFERROR(__xludf.DUMMYFUNCTION("""COMPUTED_VALUE"""),"-")</f>
        <v>-</v>
      </c>
      <c r="V850" s="97" t="str">
        <f>IFERROR(__xludf.DUMMYFUNCTION("""COMPUTED_VALUE"""),"N/A")</f>
        <v>N/A</v>
      </c>
      <c r="W850" s="97" t="str">
        <f>IFERROR(__xludf.DUMMYFUNCTION("""COMPUTED_VALUE"""),"N/A")</f>
        <v>N/A</v>
      </c>
      <c r="X850" s="97" t="str">
        <f>IFERROR(__xludf.DUMMYFUNCTION("""COMPUTED_VALUE"""),"-")</f>
        <v>-</v>
      </c>
      <c r="Y850" s="97" t="str">
        <f>IFERROR(__xludf.DUMMYFUNCTION("""COMPUTED_VALUE"""),"N/A")</f>
        <v>N/A</v>
      </c>
      <c r="Z850" s="97" t="str">
        <f>IFERROR(__xludf.DUMMYFUNCTION("""COMPUTED_VALUE"""),"N/A")</f>
        <v>N/A</v>
      </c>
      <c r="AA850" s="97" t="str">
        <f>IFERROR(__xludf.DUMMYFUNCTION("""COMPUTED_VALUE"""),"N/A")</f>
        <v>N/A</v>
      </c>
      <c r="AB850" s="97" t="str">
        <f>IFERROR(__xludf.DUMMYFUNCTION("""COMPUTED_VALUE"""),"N/A")</f>
        <v>N/A</v>
      </c>
      <c r="AC850" s="97" t="str">
        <f>IFERROR(__xludf.DUMMYFUNCTION("""COMPUTED_VALUE"""),"N/A")</f>
        <v>N/A</v>
      </c>
      <c r="AD850" s="97" t="str">
        <f>IFERROR(__xludf.DUMMYFUNCTION("""COMPUTED_VALUE"""),"IP20")</f>
        <v>IP20</v>
      </c>
      <c r="AE850" s="97" t="str">
        <f>IFERROR(__xludf.DUMMYFUNCTION("""COMPUTED_VALUE"""),"Clase l")</f>
        <v>Clase l</v>
      </c>
      <c r="AF850" s="97" t="str">
        <f>IFERROR(__xludf.DUMMYFUNCTION("""COMPUTED_VALUE"""),"Riel")</f>
        <v>Riel</v>
      </c>
      <c r="AG850" s="97" t="str">
        <f>IFERROR(__xludf.DUMMYFUNCTION("""COMPUTED_VALUE"""),"Ø60 x 105")</f>
        <v>Ø60 x 105</v>
      </c>
      <c r="AH850" s="97" t="str">
        <f>IFERROR(__xludf.DUMMYFUNCTION("""COMPUTED_VALUE"""),"N/A")</f>
        <v>N/A</v>
      </c>
      <c r="AI850" s="97" t="str">
        <f>IFERROR(__xludf.DUMMYFUNCTION("""COMPUTED_VALUE"""),"N/A")</f>
        <v>N/A</v>
      </c>
      <c r="AJ850" s="97" t="str">
        <f>IFERROR(__xludf.DUMMYFUNCTION("""COMPUTED_VALUE"""),"N/A")</f>
        <v>N/A</v>
      </c>
      <c r="AK850" s="97" t="str">
        <f>IFERROR(__xludf.DUMMYFUNCTION("""COMPUTED_VALUE"""),"Aluminio")</f>
        <v>Aluminio</v>
      </c>
      <c r="AL850" s="97" t="str">
        <f>IFERROR(__xludf.DUMMYFUNCTION("""COMPUTED_VALUE"""),"Negro Satinado")</f>
        <v>Negro Satinado</v>
      </c>
      <c r="AM850" s="97" t="str">
        <f>IFERROR(__xludf.DUMMYFUNCTION("""COMPUTED_VALUE"""),"-")</f>
        <v>-</v>
      </c>
      <c r="AN850" s="97" t="str">
        <f>IFERROR(__xludf.DUMMYFUNCTION("""COMPUTED_VALUE"""),"N/A")</f>
        <v>N/A</v>
      </c>
      <c r="AO850" s="97" t="str">
        <f>IFERROR(__xludf.DUMMYFUNCTION("""COMPUTED_VALUE"""),"2 Años")</f>
        <v>2 Años</v>
      </c>
      <c r="AP850" s="97" t="str">
        <f>IFERROR(__xludf.DUMMYFUNCTION("""COMPUTED_VALUE"""),"No Aplica")</f>
        <v>No Aplica</v>
      </c>
      <c r="AQ850" s="97" t="str">
        <f>IFERROR(__xludf.DUMMYFUNCTION("""COMPUTED_VALUE"""),"No Aplica")</f>
        <v>No Aplica</v>
      </c>
      <c r="AR850" s="97" t="str">
        <f>IFERROR(__xludf.DUMMYFUNCTION("""COMPUTED_VALUE"""),"No Aplica")</f>
        <v>No Aplica</v>
      </c>
      <c r="AS850" s="97"/>
      <c r="AT850" s="97"/>
      <c r="AU850" s="97" t="str">
        <f>IFERROR(__xludf.DUMMYFUNCTION("""COMPUTED_VALUE"""),"Falta")</f>
        <v>Falta</v>
      </c>
      <c r="AV850" s="97" t="str">
        <f>IFERROR(__xludf.DUMMYFUNCTION("""COMPUTED_VALUE"""),"Cabezal")</f>
        <v>Cabezal</v>
      </c>
      <c r="AW850" s="97" t="str">
        <f>IFERROR(__xludf.DUMMYFUNCTION("""COMPUTED_VALUE"""),"Rieles")</f>
        <v>Rieles</v>
      </c>
      <c r="AX850" s="97" t="str">
        <f>IFERROR(__xludf.DUMMYFUNCTION("""COMPUTED_VALUE"""),"Interior")</f>
        <v>Interior</v>
      </c>
      <c r="AY850" s="97" t="str">
        <f>IFERROR(__xludf.DUMMYFUNCTION("""COMPUTED_VALUE"""),"-")</f>
        <v>-</v>
      </c>
      <c r="AZ850" s="97" t="str">
        <f>IFERROR(__xludf.DUMMYFUNCTION("""COMPUTED_VALUE"""),"Cabezal orientable. Con adaptador de 3EF")</f>
        <v>Cabezal orientable. Con adaptador de 3EF</v>
      </c>
      <c r="BA850" s="97">
        <f>IFERROR(__xludf.DUMMYFUNCTION("""COMPUTED_VALUE"""),40.0)</f>
        <v>40</v>
      </c>
      <c r="BB850" s="97" t="str">
        <f>IFERROR(__xludf.DUMMYFUNCTION("""COMPUTED_VALUE"""),"-")</f>
        <v>-</v>
      </c>
      <c r="BC850" s="97" t="str">
        <f>IFERROR(__xludf.DUMMYFUNCTION("""COMPUTED_VALUE"""),"-")</f>
        <v>-</v>
      </c>
      <c r="BD850" s="97" t="str">
        <f>IFERROR(__xludf.DUMMYFUNCTION("""COMPUTED_VALUE"""),"BIZ 3EF")</f>
        <v>BIZ 3EF</v>
      </c>
      <c r="BE850" s="97" t="str">
        <f>IFERROR(__xludf.DUMMYFUNCTION("""COMPUTED_VALUE"""),"Finalizada")</f>
        <v>Finalizada</v>
      </c>
      <c r="BF850" s="97"/>
      <c r="BG850" s="97" t="str">
        <f>IFERROR(__xludf.DUMMYFUNCTION("""COMPUTED_VALUE"""),"Activo")</f>
        <v>Activo</v>
      </c>
    </row>
    <row r="851">
      <c r="A851" s="97">
        <f>IFERROR(__xludf.DUMMYFUNCTION("""COMPUTED_VALUE"""),6624.0)</f>
        <v>6624</v>
      </c>
      <c r="B851" s="97" t="str">
        <f>IFERROR(__xludf.DUMMYFUNCTION("""COMPUTED_VALUE"""),"BIZ 3 EF BL")</f>
        <v>BIZ 3 EF BL</v>
      </c>
      <c r="C851" s="97" t="str">
        <f>IFERROR(__xludf.DUMMYFUNCTION("""COMPUTED_VALUE"""),"CABEZAL BIZ 3 EF BL 1XGU10 DICRO IP20 LEUK")</f>
        <v>CABEZAL BIZ 3 EF BL 1XGU10 DICRO IP20 LEUK</v>
      </c>
      <c r="D851" s="97">
        <f>IFERROR(__xludf.DUMMYFUNCTION("""COMPUTED_VALUE"""),7.798413221367E12)</f>
        <v>7798413221367</v>
      </c>
      <c r="E851" s="97"/>
      <c r="F851" s="97" t="str">
        <f>IFERROR(__xludf.DUMMYFUNCTION("""COMPUTED_VALUE"""),"1xGU10 Dicro")</f>
        <v>1xGU10 Dicro</v>
      </c>
      <c r="G851" s="97" t="str">
        <f>IFERROR(__xludf.DUMMYFUNCTION("""COMPUTED_VALUE"""),"N/A")</f>
        <v>N/A</v>
      </c>
      <c r="H851" s="97" t="str">
        <f>IFERROR(__xludf.DUMMYFUNCTION("""COMPUTED_VALUE"""),"N/A")</f>
        <v>N/A</v>
      </c>
      <c r="I851" s="97" t="str">
        <f>IFERROR(__xludf.DUMMYFUNCTION("""COMPUTED_VALUE"""),"N/A")</f>
        <v>N/A</v>
      </c>
      <c r="J851" s="97" t="str">
        <f>IFERROR(__xludf.DUMMYFUNCTION("""COMPUTED_VALUE"""),"N/A")</f>
        <v>N/A</v>
      </c>
      <c r="K851" s="97" t="str">
        <f>IFERROR(__xludf.DUMMYFUNCTION("""COMPUTED_VALUE"""),"N/A")</f>
        <v>N/A</v>
      </c>
      <c r="L851" s="97">
        <f>IFERROR(__xludf.DUMMYFUNCTION("""COMPUTED_VALUE"""),220.0)</f>
        <v>220</v>
      </c>
      <c r="M851" s="97">
        <f>IFERROR(__xludf.DUMMYFUNCTION("""COMPUTED_VALUE"""),50.0)</f>
        <v>50</v>
      </c>
      <c r="N851" s="97"/>
      <c r="O851" s="97" t="str">
        <f>IFERROR(__xludf.DUMMYFUNCTION("""COMPUTED_VALUE"""),"1 x 7W Max")</f>
        <v>1 x 7W Max</v>
      </c>
      <c r="P851" s="97"/>
      <c r="Q851" s="97" t="str">
        <f>IFERROR(__xludf.DUMMYFUNCTION("""COMPUTED_VALUE"""),"-")</f>
        <v>-</v>
      </c>
      <c r="R851" s="97" t="str">
        <f>IFERROR(__xludf.DUMMYFUNCTION("""COMPUTED_VALUE"""),"-")</f>
        <v>-</v>
      </c>
      <c r="S851" s="97" t="str">
        <f>IFERROR(__xludf.DUMMYFUNCTION("""COMPUTED_VALUE"""),"-")</f>
        <v>-</v>
      </c>
      <c r="T851" s="97" t="str">
        <f>IFERROR(__xludf.DUMMYFUNCTION("""COMPUTED_VALUE"""),"-")</f>
        <v>-</v>
      </c>
      <c r="U851" s="97" t="str">
        <f>IFERROR(__xludf.DUMMYFUNCTION("""COMPUTED_VALUE"""),"-")</f>
        <v>-</v>
      </c>
      <c r="V851" s="97" t="str">
        <f>IFERROR(__xludf.DUMMYFUNCTION("""COMPUTED_VALUE"""),"N/A")</f>
        <v>N/A</v>
      </c>
      <c r="W851" s="97" t="str">
        <f>IFERROR(__xludf.DUMMYFUNCTION("""COMPUTED_VALUE"""),"N/A")</f>
        <v>N/A</v>
      </c>
      <c r="X851" s="97" t="str">
        <f>IFERROR(__xludf.DUMMYFUNCTION("""COMPUTED_VALUE"""),"-")</f>
        <v>-</v>
      </c>
      <c r="Y851" s="97" t="str">
        <f>IFERROR(__xludf.DUMMYFUNCTION("""COMPUTED_VALUE"""),"N/A")</f>
        <v>N/A</v>
      </c>
      <c r="Z851" s="97" t="str">
        <f>IFERROR(__xludf.DUMMYFUNCTION("""COMPUTED_VALUE"""),"N/A")</f>
        <v>N/A</v>
      </c>
      <c r="AA851" s="97" t="str">
        <f>IFERROR(__xludf.DUMMYFUNCTION("""COMPUTED_VALUE"""),"N/A")</f>
        <v>N/A</v>
      </c>
      <c r="AB851" s="97" t="str">
        <f>IFERROR(__xludf.DUMMYFUNCTION("""COMPUTED_VALUE"""),"N/A")</f>
        <v>N/A</v>
      </c>
      <c r="AC851" s="97" t="str">
        <f>IFERROR(__xludf.DUMMYFUNCTION("""COMPUTED_VALUE"""),"N/A")</f>
        <v>N/A</v>
      </c>
      <c r="AD851" s="97" t="str">
        <f>IFERROR(__xludf.DUMMYFUNCTION("""COMPUTED_VALUE"""),"IP20")</f>
        <v>IP20</v>
      </c>
      <c r="AE851" s="97" t="str">
        <f>IFERROR(__xludf.DUMMYFUNCTION("""COMPUTED_VALUE"""),"Clase l")</f>
        <v>Clase l</v>
      </c>
      <c r="AF851" s="97" t="str">
        <f>IFERROR(__xludf.DUMMYFUNCTION("""COMPUTED_VALUE"""),"Riel")</f>
        <v>Riel</v>
      </c>
      <c r="AG851" s="97" t="str">
        <f>IFERROR(__xludf.DUMMYFUNCTION("""COMPUTED_VALUE"""),"Ø60 x 105")</f>
        <v>Ø60 x 105</v>
      </c>
      <c r="AH851" s="97" t="str">
        <f>IFERROR(__xludf.DUMMYFUNCTION("""COMPUTED_VALUE"""),"N/A")</f>
        <v>N/A</v>
      </c>
      <c r="AI851" s="97" t="str">
        <f>IFERROR(__xludf.DUMMYFUNCTION("""COMPUTED_VALUE"""),"N/A")</f>
        <v>N/A</v>
      </c>
      <c r="AJ851" s="97" t="str">
        <f>IFERROR(__xludf.DUMMYFUNCTION("""COMPUTED_VALUE"""),"N/A")</f>
        <v>N/A</v>
      </c>
      <c r="AK851" s="97" t="str">
        <f>IFERROR(__xludf.DUMMYFUNCTION("""COMPUTED_VALUE"""),"Aluminio")</f>
        <v>Aluminio</v>
      </c>
      <c r="AL851" s="97" t="str">
        <f>IFERROR(__xludf.DUMMYFUNCTION("""COMPUTED_VALUE"""),"Blanco Satinado")</f>
        <v>Blanco Satinado</v>
      </c>
      <c r="AM851" s="97" t="str">
        <f>IFERROR(__xludf.DUMMYFUNCTION("""COMPUTED_VALUE"""),"-")</f>
        <v>-</v>
      </c>
      <c r="AN851" s="97" t="str">
        <f>IFERROR(__xludf.DUMMYFUNCTION("""COMPUTED_VALUE"""),"N/A")</f>
        <v>N/A</v>
      </c>
      <c r="AO851" s="97" t="str">
        <f>IFERROR(__xludf.DUMMYFUNCTION("""COMPUTED_VALUE"""),"2 Años")</f>
        <v>2 Años</v>
      </c>
      <c r="AP851" s="97" t="str">
        <f>IFERROR(__xludf.DUMMYFUNCTION("""COMPUTED_VALUE"""),"No Aplica")</f>
        <v>No Aplica</v>
      </c>
      <c r="AQ851" s="97" t="str">
        <f>IFERROR(__xludf.DUMMYFUNCTION("""COMPUTED_VALUE"""),"No Aplica")</f>
        <v>No Aplica</v>
      </c>
      <c r="AR851" s="97" t="str">
        <f>IFERROR(__xludf.DUMMYFUNCTION("""COMPUTED_VALUE"""),"No Aplica")</f>
        <v>No Aplica</v>
      </c>
      <c r="AS851" s="97"/>
      <c r="AT851" s="97"/>
      <c r="AU851" s="97" t="str">
        <f>IFERROR(__xludf.DUMMYFUNCTION("""COMPUTED_VALUE"""),"Falta")</f>
        <v>Falta</v>
      </c>
      <c r="AV851" s="97" t="str">
        <f>IFERROR(__xludf.DUMMYFUNCTION("""COMPUTED_VALUE"""),"Cabezal")</f>
        <v>Cabezal</v>
      </c>
      <c r="AW851" s="97" t="str">
        <f>IFERROR(__xludf.DUMMYFUNCTION("""COMPUTED_VALUE"""),"Rieles")</f>
        <v>Rieles</v>
      </c>
      <c r="AX851" s="97" t="str">
        <f>IFERROR(__xludf.DUMMYFUNCTION("""COMPUTED_VALUE"""),"Interior")</f>
        <v>Interior</v>
      </c>
      <c r="AY851" s="97" t="str">
        <f>IFERROR(__xludf.DUMMYFUNCTION("""COMPUTED_VALUE"""),"-")</f>
        <v>-</v>
      </c>
      <c r="AZ851" s="97" t="str">
        <f>IFERROR(__xludf.DUMMYFUNCTION("""COMPUTED_VALUE"""),"Cabezal orientable. Con adaptador de 3EF")</f>
        <v>Cabezal orientable. Con adaptador de 3EF</v>
      </c>
      <c r="BA851" s="97">
        <f>IFERROR(__xludf.DUMMYFUNCTION("""COMPUTED_VALUE"""),40.0)</f>
        <v>40</v>
      </c>
      <c r="BB851" s="97" t="str">
        <f>IFERROR(__xludf.DUMMYFUNCTION("""COMPUTED_VALUE"""),"-")</f>
        <v>-</v>
      </c>
      <c r="BC851" s="97" t="str">
        <f>IFERROR(__xludf.DUMMYFUNCTION("""COMPUTED_VALUE"""),"-")</f>
        <v>-</v>
      </c>
      <c r="BD851" s="97" t="str">
        <f>IFERROR(__xludf.DUMMYFUNCTION("""COMPUTED_VALUE"""),"BIZ 3EF")</f>
        <v>BIZ 3EF</v>
      </c>
      <c r="BE851" s="97" t="str">
        <f>IFERROR(__xludf.DUMMYFUNCTION("""COMPUTED_VALUE"""),"Finalizada")</f>
        <v>Finalizada</v>
      </c>
      <c r="BF851" s="97"/>
      <c r="BG851" s="97" t="str">
        <f>IFERROR(__xludf.DUMMYFUNCTION("""COMPUTED_VALUE"""),"Activo")</f>
        <v>Activo</v>
      </c>
    </row>
    <row r="852">
      <c r="A852" s="97">
        <f>IFERROR(__xludf.DUMMYFUNCTION("""COMPUTED_VALUE"""),6625.0)</f>
        <v>6625</v>
      </c>
      <c r="B852" s="97" t="str">
        <f>IFERROR(__xludf.DUMMYFUNCTION("""COMPUTED_VALUE"""),"BIZ UNIVERSAL NG")</f>
        <v>BIZ UNIVERSAL NG</v>
      </c>
      <c r="C852" s="97" t="str">
        <f>IFERROR(__xludf.DUMMYFUNCTION("""COMPUTED_VALUE"""),"CABEZAL BIZ UNIVERSAL NG 1XGU10 DICRO IP20 LEUK")</f>
        <v>CABEZAL BIZ UNIVERSAL NG 1XGU10 DICRO IP20 LEUK</v>
      </c>
      <c r="D852" s="97">
        <f>IFERROR(__xludf.DUMMYFUNCTION("""COMPUTED_VALUE"""),7.798413221374E12)</f>
        <v>7798413221374</v>
      </c>
      <c r="E852" s="97"/>
      <c r="F852" s="97" t="str">
        <f>IFERROR(__xludf.DUMMYFUNCTION("""COMPUTED_VALUE"""),"1xGU10 Dicro")</f>
        <v>1xGU10 Dicro</v>
      </c>
      <c r="G852" s="97" t="str">
        <f>IFERROR(__xludf.DUMMYFUNCTION("""COMPUTED_VALUE"""),"N/A")</f>
        <v>N/A</v>
      </c>
      <c r="H852" s="97" t="str">
        <f>IFERROR(__xludf.DUMMYFUNCTION("""COMPUTED_VALUE"""),"N/A")</f>
        <v>N/A</v>
      </c>
      <c r="I852" s="97" t="str">
        <f>IFERROR(__xludf.DUMMYFUNCTION("""COMPUTED_VALUE"""),"N/A")</f>
        <v>N/A</v>
      </c>
      <c r="J852" s="97" t="str">
        <f>IFERROR(__xludf.DUMMYFUNCTION("""COMPUTED_VALUE"""),"N/A")</f>
        <v>N/A</v>
      </c>
      <c r="K852" s="97" t="str">
        <f>IFERROR(__xludf.DUMMYFUNCTION("""COMPUTED_VALUE"""),"N/A")</f>
        <v>N/A</v>
      </c>
      <c r="L852" s="97">
        <f>IFERROR(__xludf.DUMMYFUNCTION("""COMPUTED_VALUE"""),220.0)</f>
        <v>220</v>
      </c>
      <c r="M852" s="97">
        <f>IFERROR(__xludf.DUMMYFUNCTION("""COMPUTED_VALUE"""),50.0)</f>
        <v>50</v>
      </c>
      <c r="N852" s="97"/>
      <c r="O852" s="97" t="str">
        <f>IFERROR(__xludf.DUMMYFUNCTION("""COMPUTED_VALUE"""),"1 x 7W Max")</f>
        <v>1 x 7W Max</v>
      </c>
      <c r="P852" s="97"/>
      <c r="Q852" s="97" t="str">
        <f>IFERROR(__xludf.DUMMYFUNCTION("""COMPUTED_VALUE"""),"-")</f>
        <v>-</v>
      </c>
      <c r="R852" s="97" t="str">
        <f>IFERROR(__xludf.DUMMYFUNCTION("""COMPUTED_VALUE"""),"-")</f>
        <v>-</v>
      </c>
      <c r="S852" s="97" t="str">
        <f>IFERROR(__xludf.DUMMYFUNCTION("""COMPUTED_VALUE"""),"-")</f>
        <v>-</v>
      </c>
      <c r="T852" s="97" t="str">
        <f>IFERROR(__xludf.DUMMYFUNCTION("""COMPUTED_VALUE"""),"-")</f>
        <v>-</v>
      </c>
      <c r="U852" s="97" t="str">
        <f>IFERROR(__xludf.DUMMYFUNCTION("""COMPUTED_VALUE"""),"-")</f>
        <v>-</v>
      </c>
      <c r="V852" s="97" t="str">
        <f>IFERROR(__xludf.DUMMYFUNCTION("""COMPUTED_VALUE"""),"N/A")</f>
        <v>N/A</v>
      </c>
      <c r="W852" s="97" t="str">
        <f>IFERROR(__xludf.DUMMYFUNCTION("""COMPUTED_VALUE"""),"N/A")</f>
        <v>N/A</v>
      </c>
      <c r="X852" s="97" t="str">
        <f>IFERROR(__xludf.DUMMYFUNCTION("""COMPUTED_VALUE"""),"-")</f>
        <v>-</v>
      </c>
      <c r="Y852" s="97" t="str">
        <f>IFERROR(__xludf.DUMMYFUNCTION("""COMPUTED_VALUE"""),"N/A")</f>
        <v>N/A</v>
      </c>
      <c r="Z852" s="97" t="str">
        <f>IFERROR(__xludf.DUMMYFUNCTION("""COMPUTED_VALUE"""),"N/A")</f>
        <v>N/A</v>
      </c>
      <c r="AA852" s="97" t="str">
        <f>IFERROR(__xludf.DUMMYFUNCTION("""COMPUTED_VALUE"""),"N/A")</f>
        <v>N/A</v>
      </c>
      <c r="AB852" s="97" t="str">
        <f>IFERROR(__xludf.DUMMYFUNCTION("""COMPUTED_VALUE"""),"N/A")</f>
        <v>N/A</v>
      </c>
      <c r="AC852" s="97" t="str">
        <f>IFERROR(__xludf.DUMMYFUNCTION("""COMPUTED_VALUE"""),"N/A")</f>
        <v>N/A</v>
      </c>
      <c r="AD852" s="97" t="str">
        <f>IFERROR(__xludf.DUMMYFUNCTION("""COMPUTED_VALUE"""),"IP20")</f>
        <v>IP20</v>
      </c>
      <c r="AE852" s="97" t="str">
        <f>IFERROR(__xludf.DUMMYFUNCTION("""COMPUTED_VALUE"""),"Clase l")</f>
        <v>Clase l</v>
      </c>
      <c r="AF852" s="97" t="str">
        <f>IFERROR(__xludf.DUMMYFUNCTION("""COMPUTED_VALUE"""),"Cabezal")</f>
        <v>Cabezal</v>
      </c>
      <c r="AG852" s="97" t="str">
        <f>IFERROR(__xludf.DUMMYFUNCTION("""COMPUTED_VALUE"""),"Ø60 x 105")</f>
        <v>Ø60 x 105</v>
      </c>
      <c r="AH852" s="97" t="str">
        <f>IFERROR(__xludf.DUMMYFUNCTION("""COMPUTED_VALUE"""),"N/A")</f>
        <v>N/A</v>
      </c>
      <c r="AI852" s="97" t="str">
        <f>IFERROR(__xludf.DUMMYFUNCTION("""COMPUTED_VALUE"""),"N/A")</f>
        <v>N/A</v>
      </c>
      <c r="AJ852" s="97" t="str">
        <f>IFERROR(__xludf.DUMMYFUNCTION("""COMPUTED_VALUE"""),"N/A")</f>
        <v>N/A</v>
      </c>
      <c r="AK852" s="97" t="str">
        <f>IFERROR(__xludf.DUMMYFUNCTION("""COMPUTED_VALUE"""),"Aluminio")</f>
        <v>Aluminio</v>
      </c>
      <c r="AL852" s="97" t="str">
        <f>IFERROR(__xludf.DUMMYFUNCTION("""COMPUTED_VALUE"""),"Negro Satinado")</f>
        <v>Negro Satinado</v>
      </c>
      <c r="AM852" s="97" t="str">
        <f>IFERROR(__xludf.DUMMYFUNCTION("""COMPUTED_VALUE"""),"-")</f>
        <v>-</v>
      </c>
      <c r="AN852" s="97" t="str">
        <f>IFERROR(__xludf.DUMMYFUNCTION("""COMPUTED_VALUE"""),"N/A")</f>
        <v>N/A</v>
      </c>
      <c r="AO852" s="97" t="str">
        <f>IFERROR(__xludf.DUMMYFUNCTION("""COMPUTED_VALUE"""),"2 Años")</f>
        <v>2 Años</v>
      </c>
      <c r="AP852" s="97" t="str">
        <f>IFERROR(__xludf.DUMMYFUNCTION("""COMPUTED_VALUE"""),"No Aplica")</f>
        <v>No Aplica</v>
      </c>
      <c r="AQ852" s="97" t="str">
        <f>IFERROR(__xludf.DUMMYFUNCTION("""COMPUTED_VALUE"""),"No Aplica")</f>
        <v>No Aplica</v>
      </c>
      <c r="AR852" s="97" t="str">
        <f>IFERROR(__xludf.DUMMYFUNCTION("""COMPUTED_VALUE"""),"No Aplica")</f>
        <v>No Aplica</v>
      </c>
      <c r="AS852" s="97"/>
      <c r="AT852" s="97"/>
      <c r="AU852" s="97" t="str">
        <f>IFERROR(__xludf.DUMMYFUNCTION("""COMPUTED_VALUE"""),"Falta")</f>
        <v>Falta</v>
      </c>
      <c r="AV852" s="97" t="str">
        <f>IFERROR(__xludf.DUMMYFUNCTION("""COMPUTED_VALUE"""),"Cabezal")</f>
        <v>Cabezal</v>
      </c>
      <c r="AW852" s="97" t="str">
        <f>IFERROR(__xludf.DUMMYFUNCTION("""COMPUTED_VALUE"""),"De Techo")</f>
        <v>De Techo</v>
      </c>
      <c r="AX852" s="97" t="str">
        <f>IFERROR(__xludf.DUMMYFUNCTION("""COMPUTED_VALUE"""),"Interior")</f>
        <v>Interior</v>
      </c>
      <c r="AY852" s="97" t="str">
        <f>IFERROR(__xludf.DUMMYFUNCTION("""COMPUTED_VALUE"""),"-")</f>
        <v>-</v>
      </c>
      <c r="AZ852" s="97" t="str">
        <f>IFERROR(__xludf.DUMMYFUNCTION("""COMPUTED_VALUE"""),"Cabezal orientable. Universal. Rosca Macho")</f>
        <v>Cabezal orientable. Universal. Rosca Macho</v>
      </c>
      <c r="BA852" s="97">
        <f>IFERROR(__xludf.DUMMYFUNCTION("""COMPUTED_VALUE"""),40.0)</f>
        <v>40</v>
      </c>
      <c r="BB852" s="97" t="str">
        <f>IFERROR(__xludf.DUMMYFUNCTION("""COMPUTED_VALUE"""),"-")</f>
        <v>-</v>
      </c>
      <c r="BC852" s="97" t="str">
        <f>IFERROR(__xludf.DUMMYFUNCTION("""COMPUTED_VALUE"""),"-")</f>
        <v>-</v>
      </c>
      <c r="BD852" s="97" t="str">
        <f>IFERROR(__xludf.DUMMYFUNCTION("""COMPUTED_VALUE"""),"BIZ")</f>
        <v>BIZ</v>
      </c>
      <c r="BE852" s="97" t="str">
        <f>IFERROR(__xludf.DUMMYFUNCTION("""COMPUTED_VALUE"""),"Finalizada")</f>
        <v>Finalizada</v>
      </c>
      <c r="BF852" s="97"/>
      <c r="BG852" s="97" t="str">
        <f>IFERROR(__xludf.DUMMYFUNCTION("""COMPUTED_VALUE"""),"Activo")</f>
        <v>Activo</v>
      </c>
    </row>
    <row r="853">
      <c r="A853" s="97">
        <f>IFERROR(__xludf.DUMMYFUNCTION("""COMPUTED_VALUE"""),6626.0)</f>
        <v>6626</v>
      </c>
      <c r="B853" s="97" t="str">
        <f>IFERROR(__xludf.DUMMYFUNCTION("""COMPUTED_VALUE"""),"BIZ UNIVERSAL BL")</f>
        <v>BIZ UNIVERSAL BL</v>
      </c>
      <c r="C853" s="97" t="str">
        <f>IFERROR(__xludf.DUMMYFUNCTION("""COMPUTED_VALUE"""),"CABEZAL BIZ UNIVERSAL BL 1XGU10 DICRO IP20 LEUK")</f>
        <v>CABEZAL BIZ UNIVERSAL BL 1XGU10 DICRO IP20 LEUK</v>
      </c>
      <c r="D853" s="97">
        <f>IFERROR(__xludf.DUMMYFUNCTION("""COMPUTED_VALUE"""),7.798413221381E12)</f>
        <v>7798413221381</v>
      </c>
      <c r="E853" s="97"/>
      <c r="F853" s="97" t="str">
        <f>IFERROR(__xludf.DUMMYFUNCTION("""COMPUTED_VALUE"""),"1xGU10 Dicro")</f>
        <v>1xGU10 Dicro</v>
      </c>
      <c r="G853" s="97" t="str">
        <f>IFERROR(__xludf.DUMMYFUNCTION("""COMPUTED_VALUE"""),"N/A")</f>
        <v>N/A</v>
      </c>
      <c r="H853" s="97" t="str">
        <f>IFERROR(__xludf.DUMMYFUNCTION("""COMPUTED_VALUE"""),"N/A")</f>
        <v>N/A</v>
      </c>
      <c r="I853" s="97" t="str">
        <f>IFERROR(__xludf.DUMMYFUNCTION("""COMPUTED_VALUE"""),"N/A")</f>
        <v>N/A</v>
      </c>
      <c r="J853" s="97" t="str">
        <f>IFERROR(__xludf.DUMMYFUNCTION("""COMPUTED_VALUE"""),"N/A")</f>
        <v>N/A</v>
      </c>
      <c r="K853" s="97" t="str">
        <f>IFERROR(__xludf.DUMMYFUNCTION("""COMPUTED_VALUE"""),"N/A")</f>
        <v>N/A</v>
      </c>
      <c r="L853" s="97">
        <f>IFERROR(__xludf.DUMMYFUNCTION("""COMPUTED_VALUE"""),220.0)</f>
        <v>220</v>
      </c>
      <c r="M853" s="97">
        <f>IFERROR(__xludf.DUMMYFUNCTION("""COMPUTED_VALUE"""),50.0)</f>
        <v>50</v>
      </c>
      <c r="N853" s="97"/>
      <c r="O853" s="97" t="str">
        <f>IFERROR(__xludf.DUMMYFUNCTION("""COMPUTED_VALUE"""),"1 x 7W Max")</f>
        <v>1 x 7W Max</v>
      </c>
      <c r="P853" s="97"/>
      <c r="Q853" s="97" t="str">
        <f>IFERROR(__xludf.DUMMYFUNCTION("""COMPUTED_VALUE"""),"-")</f>
        <v>-</v>
      </c>
      <c r="R853" s="97" t="str">
        <f>IFERROR(__xludf.DUMMYFUNCTION("""COMPUTED_VALUE"""),"-")</f>
        <v>-</v>
      </c>
      <c r="S853" s="97" t="str">
        <f>IFERROR(__xludf.DUMMYFUNCTION("""COMPUTED_VALUE"""),"-")</f>
        <v>-</v>
      </c>
      <c r="T853" s="97" t="str">
        <f>IFERROR(__xludf.DUMMYFUNCTION("""COMPUTED_VALUE"""),"-")</f>
        <v>-</v>
      </c>
      <c r="U853" s="97" t="str">
        <f>IFERROR(__xludf.DUMMYFUNCTION("""COMPUTED_VALUE"""),"-")</f>
        <v>-</v>
      </c>
      <c r="V853" s="97" t="str">
        <f>IFERROR(__xludf.DUMMYFUNCTION("""COMPUTED_VALUE"""),"N/A")</f>
        <v>N/A</v>
      </c>
      <c r="W853" s="97" t="str">
        <f>IFERROR(__xludf.DUMMYFUNCTION("""COMPUTED_VALUE"""),"N/A")</f>
        <v>N/A</v>
      </c>
      <c r="X853" s="97" t="str">
        <f>IFERROR(__xludf.DUMMYFUNCTION("""COMPUTED_VALUE"""),"-")</f>
        <v>-</v>
      </c>
      <c r="Y853" s="97" t="str">
        <f>IFERROR(__xludf.DUMMYFUNCTION("""COMPUTED_VALUE"""),"N/A")</f>
        <v>N/A</v>
      </c>
      <c r="Z853" s="97" t="str">
        <f>IFERROR(__xludf.DUMMYFUNCTION("""COMPUTED_VALUE"""),"N/A")</f>
        <v>N/A</v>
      </c>
      <c r="AA853" s="97" t="str">
        <f>IFERROR(__xludf.DUMMYFUNCTION("""COMPUTED_VALUE"""),"N/A")</f>
        <v>N/A</v>
      </c>
      <c r="AB853" s="97" t="str">
        <f>IFERROR(__xludf.DUMMYFUNCTION("""COMPUTED_VALUE"""),"N/A")</f>
        <v>N/A</v>
      </c>
      <c r="AC853" s="97" t="str">
        <f>IFERROR(__xludf.DUMMYFUNCTION("""COMPUTED_VALUE"""),"N/A")</f>
        <v>N/A</v>
      </c>
      <c r="AD853" s="97" t="str">
        <f>IFERROR(__xludf.DUMMYFUNCTION("""COMPUTED_VALUE"""),"IP20")</f>
        <v>IP20</v>
      </c>
      <c r="AE853" s="97" t="str">
        <f>IFERROR(__xludf.DUMMYFUNCTION("""COMPUTED_VALUE"""),"Clase l")</f>
        <v>Clase l</v>
      </c>
      <c r="AF853" s="97" t="str">
        <f>IFERROR(__xludf.DUMMYFUNCTION("""COMPUTED_VALUE"""),"Cabezal")</f>
        <v>Cabezal</v>
      </c>
      <c r="AG853" s="97" t="str">
        <f>IFERROR(__xludf.DUMMYFUNCTION("""COMPUTED_VALUE"""),"Ø60 x 105")</f>
        <v>Ø60 x 105</v>
      </c>
      <c r="AH853" s="97" t="str">
        <f>IFERROR(__xludf.DUMMYFUNCTION("""COMPUTED_VALUE"""),"N/A")</f>
        <v>N/A</v>
      </c>
      <c r="AI853" s="97" t="str">
        <f>IFERROR(__xludf.DUMMYFUNCTION("""COMPUTED_VALUE"""),"N/A")</f>
        <v>N/A</v>
      </c>
      <c r="AJ853" s="97" t="str">
        <f>IFERROR(__xludf.DUMMYFUNCTION("""COMPUTED_VALUE"""),"N/A")</f>
        <v>N/A</v>
      </c>
      <c r="AK853" s="97" t="str">
        <f>IFERROR(__xludf.DUMMYFUNCTION("""COMPUTED_VALUE"""),"Aluminio")</f>
        <v>Aluminio</v>
      </c>
      <c r="AL853" s="97" t="str">
        <f>IFERROR(__xludf.DUMMYFUNCTION("""COMPUTED_VALUE"""),"Blanco Satinado")</f>
        <v>Blanco Satinado</v>
      </c>
      <c r="AM853" s="97" t="str">
        <f>IFERROR(__xludf.DUMMYFUNCTION("""COMPUTED_VALUE"""),"-")</f>
        <v>-</v>
      </c>
      <c r="AN853" s="97" t="str">
        <f>IFERROR(__xludf.DUMMYFUNCTION("""COMPUTED_VALUE"""),"N/A")</f>
        <v>N/A</v>
      </c>
      <c r="AO853" s="97" t="str">
        <f>IFERROR(__xludf.DUMMYFUNCTION("""COMPUTED_VALUE"""),"2 Años")</f>
        <v>2 Años</v>
      </c>
      <c r="AP853" s="97" t="str">
        <f>IFERROR(__xludf.DUMMYFUNCTION("""COMPUTED_VALUE"""),"No Aplica")</f>
        <v>No Aplica</v>
      </c>
      <c r="AQ853" s="97" t="str">
        <f>IFERROR(__xludf.DUMMYFUNCTION("""COMPUTED_VALUE"""),"No Aplica")</f>
        <v>No Aplica</v>
      </c>
      <c r="AR853" s="97" t="str">
        <f>IFERROR(__xludf.DUMMYFUNCTION("""COMPUTED_VALUE"""),"No Aplica")</f>
        <v>No Aplica</v>
      </c>
      <c r="AS853" s="97"/>
      <c r="AT853" s="97"/>
      <c r="AU853" s="97" t="str">
        <f>IFERROR(__xludf.DUMMYFUNCTION("""COMPUTED_VALUE"""),"Falta")</f>
        <v>Falta</v>
      </c>
      <c r="AV853" s="97" t="str">
        <f>IFERROR(__xludf.DUMMYFUNCTION("""COMPUTED_VALUE"""),"Cabezal")</f>
        <v>Cabezal</v>
      </c>
      <c r="AW853" s="97" t="str">
        <f>IFERROR(__xludf.DUMMYFUNCTION("""COMPUTED_VALUE"""),"De Techo")</f>
        <v>De Techo</v>
      </c>
      <c r="AX853" s="97" t="str">
        <f>IFERROR(__xludf.DUMMYFUNCTION("""COMPUTED_VALUE"""),"Interior")</f>
        <v>Interior</v>
      </c>
      <c r="AY853" s="97" t="str">
        <f>IFERROR(__xludf.DUMMYFUNCTION("""COMPUTED_VALUE"""),"-")</f>
        <v>-</v>
      </c>
      <c r="AZ853" s="97" t="str">
        <f>IFERROR(__xludf.DUMMYFUNCTION("""COMPUTED_VALUE"""),"Cabezal orientable. Universal. Rosca Macho")</f>
        <v>Cabezal orientable. Universal. Rosca Macho</v>
      </c>
      <c r="BA853" s="97">
        <f>IFERROR(__xludf.DUMMYFUNCTION("""COMPUTED_VALUE"""),40.0)</f>
        <v>40</v>
      </c>
      <c r="BB853" s="97" t="str">
        <f>IFERROR(__xludf.DUMMYFUNCTION("""COMPUTED_VALUE"""),"-")</f>
        <v>-</v>
      </c>
      <c r="BC853" s="97" t="str">
        <f>IFERROR(__xludf.DUMMYFUNCTION("""COMPUTED_VALUE"""),"-")</f>
        <v>-</v>
      </c>
      <c r="BD853" s="97" t="str">
        <f>IFERROR(__xludf.DUMMYFUNCTION("""COMPUTED_VALUE"""),"BIZ")</f>
        <v>BIZ</v>
      </c>
      <c r="BE853" s="97" t="str">
        <f>IFERROR(__xludf.DUMMYFUNCTION("""COMPUTED_VALUE"""),"Finalizada")</f>
        <v>Finalizada</v>
      </c>
      <c r="BF853" s="97"/>
      <c r="BG853" s="97" t="str">
        <f>IFERROR(__xludf.DUMMYFUNCTION("""COMPUTED_VALUE"""),"Activo")</f>
        <v>Activo</v>
      </c>
    </row>
    <row r="854">
      <c r="A854" s="97">
        <f>IFERROR(__xludf.DUMMYFUNCTION("""COMPUTED_VALUE"""),6627.0)</f>
        <v>6627</v>
      </c>
      <c r="B854" s="97" t="str">
        <f>IFERROR(__xludf.DUMMYFUNCTION("""COMPUTED_VALUE"""),"TULA")</f>
        <v>TULA</v>
      </c>
      <c r="C854" s="97" t="str">
        <f>IFERROR(__xludf.DUMMYFUNCTION("""COMPUTED_VALUE"""),"PERFIL TULA 3MTS TRIMLESS LEUK")</f>
        <v>PERFIL TULA 3MTS TRIMLESS LEUK</v>
      </c>
      <c r="D854" s="97">
        <f>IFERROR(__xludf.DUMMYFUNCTION("""COMPUTED_VALUE"""),7.798413221411E12)</f>
        <v>7798413221411</v>
      </c>
      <c r="E854" s="97" t="str">
        <f>IFERROR(__xludf.DUMMYFUNCTION("""COMPUTED_VALUE"""),"N/A")</f>
        <v>N/A</v>
      </c>
      <c r="F854" s="97" t="str">
        <f>IFERROR(__xludf.DUMMYFUNCTION("""COMPUTED_VALUE"""),"N/A")</f>
        <v>N/A</v>
      </c>
      <c r="G854" s="97" t="str">
        <f>IFERROR(__xludf.DUMMYFUNCTION("""COMPUTED_VALUE"""),"N/A")</f>
        <v>N/A</v>
      </c>
      <c r="H854" s="97" t="str">
        <f>IFERROR(__xludf.DUMMYFUNCTION("""COMPUTED_VALUE"""),"N/A")</f>
        <v>N/A</v>
      </c>
      <c r="I854" s="97" t="str">
        <f>IFERROR(__xludf.DUMMYFUNCTION("""COMPUTED_VALUE"""),"N/A")</f>
        <v>N/A</v>
      </c>
      <c r="J854" s="97" t="str">
        <f>IFERROR(__xludf.DUMMYFUNCTION("""COMPUTED_VALUE"""),"N/A")</f>
        <v>N/A</v>
      </c>
      <c r="K854" s="97" t="str">
        <f>IFERROR(__xludf.DUMMYFUNCTION("""COMPUTED_VALUE"""),"N/A")</f>
        <v>N/A</v>
      </c>
      <c r="L854" s="97" t="str">
        <f>IFERROR(__xludf.DUMMYFUNCTION("""COMPUTED_VALUE"""),"N/A")</f>
        <v>N/A</v>
      </c>
      <c r="M854" s="97" t="str">
        <f>IFERROR(__xludf.DUMMYFUNCTION("""COMPUTED_VALUE"""),"N/A")</f>
        <v>N/A</v>
      </c>
      <c r="N854" s="97"/>
      <c r="O854" s="97" t="str">
        <f>IFERROR(__xludf.DUMMYFUNCTION("""COMPUTED_VALUE"""),"-")</f>
        <v>-</v>
      </c>
      <c r="P854" s="97"/>
      <c r="Q854" s="97" t="str">
        <f>IFERROR(__xludf.DUMMYFUNCTION("""COMPUTED_VALUE"""),"-")</f>
        <v>-</v>
      </c>
      <c r="R854" s="97" t="str">
        <f>IFERROR(__xludf.DUMMYFUNCTION("""COMPUTED_VALUE"""),"-")</f>
        <v>-</v>
      </c>
      <c r="S854" s="97" t="str">
        <f>IFERROR(__xludf.DUMMYFUNCTION("""COMPUTED_VALUE"""),"-")</f>
        <v>-</v>
      </c>
      <c r="T854" s="97" t="str">
        <f>IFERROR(__xludf.DUMMYFUNCTION("""COMPUTED_VALUE"""),"-")</f>
        <v>-</v>
      </c>
      <c r="U854" s="97" t="str">
        <f>IFERROR(__xludf.DUMMYFUNCTION("""COMPUTED_VALUE"""),"-")</f>
        <v>-</v>
      </c>
      <c r="V854" s="97" t="str">
        <f>IFERROR(__xludf.DUMMYFUNCTION("""COMPUTED_VALUE"""),"N/A")</f>
        <v>N/A</v>
      </c>
      <c r="W854" s="97" t="str">
        <f>IFERROR(__xludf.DUMMYFUNCTION("""COMPUTED_VALUE"""),"N/A")</f>
        <v>N/A</v>
      </c>
      <c r="X854" s="97" t="str">
        <f>IFERROR(__xludf.DUMMYFUNCTION("""COMPUTED_VALUE"""),"-")</f>
        <v>-</v>
      </c>
      <c r="Y854" s="97" t="str">
        <f>IFERROR(__xludf.DUMMYFUNCTION("""COMPUTED_VALUE"""),"N/A")</f>
        <v>N/A</v>
      </c>
      <c r="Z854" s="97" t="str">
        <f>IFERROR(__xludf.DUMMYFUNCTION("""COMPUTED_VALUE"""),"N/A")</f>
        <v>N/A</v>
      </c>
      <c r="AA854" s="97" t="str">
        <f>IFERROR(__xludf.DUMMYFUNCTION("""COMPUTED_VALUE"""),"N/A")</f>
        <v>N/A</v>
      </c>
      <c r="AB854" s="97" t="str">
        <f>IFERROR(__xludf.DUMMYFUNCTION("""COMPUTED_VALUE"""),"N/A")</f>
        <v>N/A</v>
      </c>
      <c r="AC854" s="97" t="str">
        <f>IFERROR(__xludf.DUMMYFUNCTION("""COMPUTED_VALUE"""),"N/A")</f>
        <v>N/A</v>
      </c>
      <c r="AD854" s="97" t="str">
        <f>IFERROR(__xludf.DUMMYFUNCTION("""COMPUTED_VALUE"""),"N/A")</f>
        <v>N/A</v>
      </c>
      <c r="AE854" s="97" t="str">
        <f>IFERROR(__xludf.DUMMYFUNCTION("""COMPUTED_VALUE"""),"N/A")</f>
        <v>N/A</v>
      </c>
      <c r="AF854" s="97" t="str">
        <f>IFERROR(__xludf.DUMMYFUNCTION("""COMPUTED_VALUE"""),"Embutir")</f>
        <v>Embutir</v>
      </c>
      <c r="AG854" s="97" t="str">
        <f>IFERROR(__xludf.DUMMYFUNCTION("""COMPUTED_VALUE"""),"60 x 15 x 3000 (Ancho x Alto x Prof)")</f>
        <v>60 x 15 x 3000 (Ancho x Alto x Prof)</v>
      </c>
      <c r="AH854" s="97" t="str">
        <f>IFERROR(__xludf.DUMMYFUNCTION("""COMPUTED_VALUE"""),"22 x 3000 ")</f>
        <v>22 x 3000 </v>
      </c>
      <c r="AI854" s="97">
        <f>IFERROR(__xludf.DUMMYFUNCTION("""COMPUTED_VALUE"""),10.0)</f>
        <v>10</v>
      </c>
      <c r="AJ854" s="97" t="str">
        <f>IFERROR(__xludf.DUMMYFUNCTION("""COMPUTED_VALUE"""),"N/A")</f>
        <v>N/A</v>
      </c>
      <c r="AK854" s="97" t="str">
        <f>IFERROR(__xludf.DUMMYFUNCTION("""COMPUTED_VALUE"""),"Aluminio")</f>
        <v>Aluminio</v>
      </c>
      <c r="AL854" s="97" t="str">
        <f>IFERROR(__xludf.DUMMYFUNCTION("""COMPUTED_VALUE"""),"Natural")</f>
        <v>Natural</v>
      </c>
      <c r="AM854" s="97" t="str">
        <f>IFERROR(__xludf.DUMMYFUNCTION("""COMPUTED_VALUE"""),"-")</f>
        <v>-</v>
      </c>
      <c r="AN854" s="97" t="str">
        <f>IFERROR(__xludf.DUMMYFUNCTION("""COMPUTED_VALUE"""),"N/A")</f>
        <v>N/A</v>
      </c>
      <c r="AO854" s="97" t="str">
        <f>IFERROR(__xludf.DUMMYFUNCTION("""COMPUTED_VALUE"""),"3 Años")</f>
        <v>3 Años</v>
      </c>
      <c r="AP854" s="97" t="str">
        <f>IFERROR(__xludf.DUMMYFUNCTION("""COMPUTED_VALUE"""),"No Aplica")</f>
        <v>No Aplica</v>
      </c>
      <c r="AQ854" s="97" t="str">
        <f>IFERROR(__xludf.DUMMYFUNCTION("""COMPUTED_VALUE"""),"No Aplica")</f>
        <v>No Aplica</v>
      </c>
      <c r="AR854" s="97" t="str">
        <f>IFERROR(__xludf.DUMMYFUNCTION("""COMPUTED_VALUE"""),"No Aplica")</f>
        <v>No Aplica</v>
      </c>
      <c r="AS854" s="97"/>
      <c r="AT854" s="97"/>
      <c r="AU854" s="97" t="str">
        <f>IFERROR(__xludf.DUMMYFUNCTION("""COMPUTED_VALUE"""),"Falta")</f>
        <v>Falta</v>
      </c>
      <c r="AV854" s="97" t="str">
        <f>IFERROR(__xludf.DUMMYFUNCTION("""COMPUTED_VALUE"""),"Perfil")</f>
        <v>Perfil</v>
      </c>
      <c r="AW854" s="97" t="str">
        <f>IFERROR(__xludf.DUMMYFUNCTION("""COMPUTED_VALUE"""),"Perfiles")</f>
        <v>Perfiles</v>
      </c>
      <c r="AX854" s="97" t="str">
        <f>IFERROR(__xludf.DUMMYFUNCTION("""COMPUTED_VALUE"""),"Interior")</f>
        <v>Interior</v>
      </c>
      <c r="AY854" s="97" t="str">
        <f>IFERROR(__xludf.DUMMYFUNCTION("""COMPUTED_VALUE"""),"-")</f>
        <v>-</v>
      </c>
      <c r="AZ854" s="97"/>
      <c r="BA854" s="97">
        <f>IFERROR(__xludf.DUMMYFUNCTION("""COMPUTED_VALUE"""),30.0)</f>
        <v>30</v>
      </c>
      <c r="BB854" s="97" t="str">
        <f>IFERROR(__xludf.DUMMYFUNCTION("""COMPUTED_VALUE"""),"-")</f>
        <v>-</v>
      </c>
      <c r="BC854" s="97" t="str">
        <f>IFERROR(__xludf.DUMMYFUNCTION("""COMPUTED_VALUE"""),"-")</f>
        <v>-</v>
      </c>
      <c r="BD854" s="97" t="str">
        <f>IFERROR(__xludf.DUMMYFUNCTION("""COMPUTED_VALUE"""),"TULA")</f>
        <v>TULA</v>
      </c>
      <c r="BE854" s="97" t="str">
        <f>IFERROR(__xludf.DUMMYFUNCTION("""COMPUTED_VALUE"""),"Finalizada")</f>
        <v>Finalizada</v>
      </c>
      <c r="BF854" s="97"/>
      <c r="BG854" s="97" t="str">
        <f>IFERROR(__xludf.DUMMYFUNCTION("""COMPUTED_VALUE"""),"Activo")</f>
        <v>Activo</v>
      </c>
    </row>
    <row r="855">
      <c r="A855" s="97">
        <f>IFERROR(__xludf.DUMMYFUNCTION("""COMPUTED_VALUE"""),6628.0)</f>
        <v>6628</v>
      </c>
      <c r="B855" s="97" t="str">
        <f>IFERROR(__xludf.DUMMYFUNCTION("""COMPUTED_VALUE"""),"DIFUSOR TULA")</f>
        <v>DIFUSOR TULA</v>
      </c>
      <c r="C855" s="97" t="str">
        <f>IFERROR(__xludf.DUMMYFUNCTION("""COMPUTED_VALUE"""),"ACCESORIO DIFUSOR TULA 10MTS LEUK")</f>
        <v>ACCESORIO DIFUSOR TULA 10MTS LEUK</v>
      </c>
      <c r="D855" s="97">
        <f>IFERROR(__xludf.DUMMYFUNCTION("""COMPUTED_VALUE"""),7.798413221428E12)</f>
        <v>7798413221428</v>
      </c>
      <c r="E855" s="97" t="str">
        <f>IFERROR(__xludf.DUMMYFUNCTION("""COMPUTED_VALUE"""),"N/A")</f>
        <v>N/A</v>
      </c>
      <c r="F855" s="97" t="str">
        <f>IFERROR(__xludf.DUMMYFUNCTION("""COMPUTED_VALUE"""),"N/A")</f>
        <v>N/A</v>
      </c>
      <c r="G855" s="97" t="str">
        <f>IFERROR(__xludf.DUMMYFUNCTION("""COMPUTED_VALUE"""),"N/A")</f>
        <v>N/A</v>
      </c>
      <c r="H855" s="97" t="str">
        <f>IFERROR(__xludf.DUMMYFUNCTION("""COMPUTED_VALUE"""),"N/A")</f>
        <v>N/A</v>
      </c>
      <c r="I855" s="97" t="str">
        <f>IFERROR(__xludf.DUMMYFUNCTION("""COMPUTED_VALUE"""),"N/A")</f>
        <v>N/A</v>
      </c>
      <c r="J855" s="97" t="str">
        <f>IFERROR(__xludf.DUMMYFUNCTION("""COMPUTED_VALUE"""),"N/A")</f>
        <v>N/A</v>
      </c>
      <c r="K855" s="97" t="str">
        <f>IFERROR(__xludf.DUMMYFUNCTION("""COMPUTED_VALUE"""),"N/A")</f>
        <v>N/A</v>
      </c>
      <c r="L855" s="97" t="str">
        <f>IFERROR(__xludf.DUMMYFUNCTION("""COMPUTED_VALUE"""),"N/A")</f>
        <v>N/A</v>
      </c>
      <c r="M855" s="97" t="str">
        <f>IFERROR(__xludf.DUMMYFUNCTION("""COMPUTED_VALUE"""),"N/A")</f>
        <v>N/A</v>
      </c>
      <c r="N855" s="97"/>
      <c r="O855" s="97" t="str">
        <f>IFERROR(__xludf.DUMMYFUNCTION("""COMPUTED_VALUE"""),"-")</f>
        <v>-</v>
      </c>
      <c r="P855" s="97"/>
      <c r="Q855" s="97" t="str">
        <f>IFERROR(__xludf.DUMMYFUNCTION("""COMPUTED_VALUE"""),"-")</f>
        <v>-</v>
      </c>
      <c r="R855" s="97" t="str">
        <f>IFERROR(__xludf.DUMMYFUNCTION("""COMPUTED_VALUE"""),"-")</f>
        <v>-</v>
      </c>
      <c r="S855" s="97" t="str">
        <f>IFERROR(__xludf.DUMMYFUNCTION("""COMPUTED_VALUE"""),"-")</f>
        <v>-</v>
      </c>
      <c r="T855" s="97" t="str">
        <f>IFERROR(__xludf.DUMMYFUNCTION("""COMPUTED_VALUE"""),"-")</f>
        <v>-</v>
      </c>
      <c r="U855" s="97" t="str">
        <f>IFERROR(__xludf.DUMMYFUNCTION("""COMPUTED_VALUE"""),"-")</f>
        <v>-</v>
      </c>
      <c r="V855" s="97" t="str">
        <f>IFERROR(__xludf.DUMMYFUNCTION("""COMPUTED_VALUE"""),"N/A")</f>
        <v>N/A</v>
      </c>
      <c r="W855" s="97" t="str">
        <f>IFERROR(__xludf.DUMMYFUNCTION("""COMPUTED_VALUE"""),"N/A")</f>
        <v>N/A</v>
      </c>
      <c r="X855" s="97" t="str">
        <f>IFERROR(__xludf.DUMMYFUNCTION("""COMPUTED_VALUE"""),"-")</f>
        <v>-</v>
      </c>
      <c r="Y855" s="97" t="str">
        <f>IFERROR(__xludf.DUMMYFUNCTION("""COMPUTED_VALUE"""),"N/A")</f>
        <v>N/A</v>
      </c>
      <c r="Z855" s="97" t="str">
        <f>IFERROR(__xludf.DUMMYFUNCTION("""COMPUTED_VALUE"""),"N/A")</f>
        <v>N/A</v>
      </c>
      <c r="AA855" s="97" t="str">
        <f>IFERROR(__xludf.DUMMYFUNCTION("""COMPUTED_VALUE"""),"N/A")</f>
        <v>N/A</v>
      </c>
      <c r="AB855" s="97" t="str">
        <f>IFERROR(__xludf.DUMMYFUNCTION("""COMPUTED_VALUE"""),"N/A")</f>
        <v>N/A</v>
      </c>
      <c r="AC855" s="97" t="str">
        <f>IFERROR(__xludf.DUMMYFUNCTION("""COMPUTED_VALUE"""),"N/A")</f>
        <v>N/A</v>
      </c>
      <c r="AD855" s="97" t="str">
        <f>IFERROR(__xludf.DUMMYFUNCTION("""COMPUTED_VALUE"""),"N/A")</f>
        <v>N/A</v>
      </c>
      <c r="AE855" s="97" t="str">
        <f>IFERROR(__xludf.DUMMYFUNCTION("""COMPUTED_VALUE"""),"N/A")</f>
        <v>N/A</v>
      </c>
      <c r="AF855" s="97" t="str">
        <f>IFERROR(__xludf.DUMMYFUNCTION("""COMPUTED_VALUE"""),"N/A")</f>
        <v>N/A</v>
      </c>
      <c r="AG855" s="97" t="str">
        <f>IFERROR(__xludf.DUMMYFUNCTION("""COMPUTED_VALUE"""),"N/A")</f>
        <v>N/A</v>
      </c>
      <c r="AH855" s="97" t="str">
        <f>IFERROR(__xludf.DUMMYFUNCTION("""COMPUTED_VALUE"""),"N/A")</f>
        <v>N/A</v>
      </c>
      <c r="AI855" s="97" t="str">
        <f>IFERROR(__xludf.DUMMYFUNCTION("""COMPUTED_VALUE"""),"N/A")</f>
        <v>N/A</v>
      </c>
      <c r="AJ855" s="97" t="str">
        <f>IFERROR(__xludf.DUMMYFUNCTION("""COMPUTED_VALUE"""),"Silicona")</f>
        <v>Silicona</v>
      </c>
      <c r="AK855" s="97" t="str">
        <f>IFERROR(__xludf.DUMMYFUNCTION("""COMPUTED_VALUE"""),"Silicona")</f>
        <v>Silicona</v>
      </c>
      <c r="AL855" s="97" t="str">
        <f>IFERROR(__xludf.DUMMYFUNCTION("""COMPUTED_VALUE"""),"Natural")</f>
        <v>Natural</v>
      </c>
      <c r="AM855" s="97" t="str">
        <f>IFERROR(__xludf.DUMMYFUNCTION("""COMPUTED_VALUE"""),"-")</f>
        <v>-</v>
      </c>
      <c r="AN855" s="97" t="str">
        <f>IFERROR(__xludf.DUMMYFUNCTION("""COMPUTED_VALUE"""),"N/A")</f>
        <v>N/A</v>
      </c>
      <c r="AO855" s="97" t="str">
        <f>IFERROR(__xludf.DUMMYFUNCTION("""COMPUTED_VALUE"""),"3 Años")</f>
        <v>3 Años</v>
      </c>
      <c r="AP855" s="97" t="str">
        <f>IFERROR(__xludf.DUMMYFUNCTION("""COMPUTED_VALUE"""),"No Aplica")</f>
        <v>No Aplica</v>
      </c>
      <c r="AQ855" s="97" t="str">
        <f>IFERROR(__xludf.DUMMYFUNCTION("""COMPUTED_VALUE"""),"No Aplica")</f>
        <v>No Aplica</v>
      </c>
      <c r="AR855" s="97" t="str">
        <f>IFERROR(__xludf.DUMMYFUNCTION("""COMPUTED_VALUE"""),"No Aplica")</f>
        <v>No Aplica</v>
      </c>
      <c r="AS855" s="97"/>
      <c r="AT855" s="97"/>
      <c r="AU855" s="97" t="str">
        <f>IFERROR(__xludf.DUMMYFUNCTION("""COMPUTED_VALUE"""),"Falta")</f>
        <v>Falta</v>
      </c>
      <c r="AV855" s="97" t="str">
        <f>IFERROR(__xludf.DUMMYFUNCTION("""COMPUTED_VALUE"""),"Accesorio")</f>
        <v>Accesorio</v>
      </c>
      <c r="AW855" s="97" t="str">
        <f>IFERROR(__xludf.DUMMYFUNCTION("""COMPUTED_VALUE"""),"Perfiles")</f>
        <v>Perfiles</v>
      </c>
      <c r="AX855" s="97" t="str">
        <f>IFERROR(__xludf.DUMMYFUNCTION("""COMPUTED_VALUE"""),"Interior")</f>
        <v>Interior</v>
      </c>
      <c r="AY855" s="97" t="str">
        <f>IFERROR(__xludf.DUMMYFUNCTION("""COMPUTED_VALUE"""),"-")</f>
        <v>-</v>
      </c>
      <c r="AZ855" s="97"/>
      <c r="BA855" s="97">
        <f>IFERROR(__xludf.DUMMYFUNCTION("""COMPUTED_VALUE"""),12.0)</f>
        <v>12</v>
      </c>
      <c r="BB855" s="97" t="str">
        <f>IFERROR(__xludf.DUMMYFUNCTION("""COMPUTED_VALUE"""),"-")</f>
        <v>-</v>
      </c>
      <c r="BC855" s="97" t="str">
        <f>IFERROR(__xludf.DUMMYFUNCTION("""COMPUTED_VALUE"""),"-")</f>
        <v>-</v>
      </c>
      <c r="BD855" s="97" t="str">
        <f>IFERROR(__xludf.DUMMYFUNCTION("""COMPUTED_VALUE"""),"TULA")</f>
        <v>TULA</v>
      </c>
      <c r="BE855" s="97" t="str">
        <f>IFERROR(__xludf.DUMMYFUNCTION("""COMPUTED_VALUE"""),"Finalizada")</f>
        <v>Finalizada</v>
      </c>
      <c r="BF855" s="97"/>
      <c r="BG855" s="97" t="str">
        <f>IFERROR(__xludf.DUMMYFUNCTION("""COMPUTED_VALUE"""),"Activo")</f>
        <v>Activo</v>
      </c>
    </row>
    <row r="856">
      <c r="A856" s="97">
        <f>IFERROR(__xludf.DUMMYFUNCTION("""COMPUTED_VALUE"""),6629.0)</f>
        <v>6629</v>
      </c>
      <c r="B856" s="97" t="str">
        <f>IFERROR(__xludf.DUMMYFUNCTION("""COMPUTED_VALUE"""),"MOMO NG")</f>
        <v>MOMO NG</v>
      </c>
      <c r="C856" s="97" t="str">
        <f>IFERROR(__xludf.DUMMYFUNCTION("""COMPUTED_VALUE"""),"APLIQUE MOMO 24W NEGRO 3000K LEUK")</f>
        <v>APLIQUE MOMO 24W NEGRO 3000K LEUK</v>
      </c>
      <c r="D856" s="97">
        <f>IFERROR(__xludf.DUMMYFUNCTION("""COMPUTED_VALUE"""),7.798413221459E12)</f>
        <v>7798413221459</v>
      </c>
      <c r="E856" s="97"/>
      <c r="F856" s="97" t="str">
        <f>IFERROR(__xludf.DUMMYFUNCTION("""COMPUTED_VALUE"""),"LED integrado")</f>
        <v>LED integrado</v>
      </c>
      <c r="G856" s="97" t="str">
        <f>IFERROR(__xludf.DUMMYFUNCTION("""COMPUTED_VALUE"""),"-")</f>
        <v>-</v>
      </c>
      <c r="H856" s="97" t="str">
        <f>IFERROR(__xludf.DUMMYFUNCTION("""COMPUTED_VALUE"""),"-")</f>
        <v>-</v>
      </c>
      <c r="I856" s="97"/>
      <c r="J856" s="97"/>
      <c r="K856" s="97" t="str">
        <f>IFERROR(__xludf.DUMMYFUNCTION("""COMPUTED_VALUE"""),"ON/OFF")</f>
        <v>ON/OFF</v>
      </c>
      <c r="L856" s="97" t="str">
        <f>IFERROR(__xludf.DUMMYFUNCTION("""COMPUTED_VALUE"""),"220-240")</f>
        <v>220-240</v>
      </c>
      <c r="M856" s="97" t="str">
        <f>IFERROR(__xludf.DUMMYFUNCTION("""COMPUTED_VALUE"""),"50/60")</f>
        <v>50/60</v>
      </c>
      <c r="N856" s="97"/>
      <c r="O856" s="97">
        <f>IFERROR(__xludf.DUMMYFUNCTION("""COMPUTED_VALUE"""),24.0)</f>
        <v>24</v>
      </c>
      <c r="P856" s="97"/>
      <c r="Q856" s="97">
        <f>IFERROR(__xludf.DUMMYFUNCTION("""COMPUTED_VALUE"""),0.45)</f>
        <v>0.45</v>
      </c>
      <c r="R856" s="97" t="str">
        <f>IFERROR(__xludf.DUMMYFUNCTION("""COMPUTED_VALUE"""),"-")</f>
        <v>-</v>
      </c>
      <c r="S856" s="97" t="str">
        <f>IFERROR(__xludf.DUMMYFUNCTION("""COMPUTED_VALUE"""),"-")</f>
        <v>-</v>
      </c>
      <c r="T856" s="97">
        <f>IFERROR(__xludf.DUMMYFUNCTION("""COMPUTED_VALUE"""),1568.0)</f>
        <v>1568</v>
      </c>
      <c r="U856" s="99">
        <f>IFERROR(__xludf.DUMMYFUNCTION("""COMPUTED_VALUE"""),65.33333333333333)</f>
        <v>65.33333333</v>
      </c>
      <c r="V856" s="97">
        <f>IFERROR(__xludf.DUMMYFUNCTION("""COMPUTED_VALUE"""),250.0)</f>
        <v>250</v>
      </c>
      <c r="W856" s="97" t="str">
        <f>IFERROR(__xludf.DUMMYFUNCTION("""COMPUTED_VALUE"""),"&lt; 20")</f>
        <v>&lt; 20</v>
      </c>
      <c r="X856" s="97">
        <f>IFERROR(__xludf.DUMMYFUNCTION("""COMPUTED_VALUE"""),3000.0)</f>
        <v>3000</v>
      </c>
      <c r="Y856" s="97" t="str">
        <f>IFERROR(__xludf.DUMMYFUNCTION("""COMPUTED_VALUE"""),"&gt;85")</f>
        <v>&gt;85</v>
      </c>
      <c r="Z856" s="97" t="str">
        <f>IFERROR(__xludf.DUMMYFUNCTION("""COMPUTED_VALUE"""),"-")</f>
        <v>-</v>
      </c>
      <c r="AA856" s="97" t="str">
        <f>IFERROR(__xludf.DUMMYFUNCTION("""COMPUTED_VALUE"""),"-")</f>
        <v>-</v>
      </c>
      <c r="AB856" s="97"/>
      <c r="AC856" s="97"/>
      <c r="AD856" s="97" t="str">
        <f>IFERROR(__xludf.DUMMYFUNCTION("""COMPUTED_VALUE"""),"IP20")</f>
        <v>IP20</v>
      </c>
      <c r="AE856" s="97" t="str">
        <f>IFERROR(__xludf.DUMMYFUNCTION("""COMPUTED_VALUE"""),"Clase l")</f>
        <v>Clase l</v>
      </c>
      <c r="AF856" s="97" t="str">
        <f>IFERROR(__xludf.DUMMYFUNCTION("""COMPUTED_VALUE"""),"Aplicar")</f>
        <v>Aplicar</v>
      </c>
      <c r="AG856" s="97" t="str">
        <f>IFERROR(__xludf.DUMMYFUNCTION("""COMPUTED_VALUE"""),"460 x 35 x 90")</f>
        <v>460 x 35 x 90</v>
      </c>
      <c r="AH856" s="97" t="str">
        <f>IFERROR(__xludf.DUMMYFUNCTION("""COMPUTED_VALUE"""),"N/A")</f>
        <v>N/A</v>
      </c>
      <c r="AI856" s="97" t="str">
        <f>IFERROR(__xludf.DUMMYFUNCTION("""COMPUTED_VALUE"""),"N/A")</f>
        <v>N/A</v>
      </c>
      <c r="AJ856" s="97" t="str">
        <f>IFERROR(__xludf.DUMMYFUNCTION("""COMPUTED_VALUE"""),"Policarbonato (PC)")</f>
        <v>Policarbonato (PC)</v>
      </c>
      <c r="AK856" s="97" t="str">
        <f>IFERROR(__xludf.DUMMYFUNCTION("""COMPUTED_VALUE"""),"Aluminio")</f>
        <v>Aluminio</v>
      </c>
      <c r="AL856" s="97" t="str">
        <f>IFERROR(__xludf.DUMMYFUNCTION("""COMPUTED_VALUE"""),"Negro Satinado")</f>
        <v>Negro Satinado</v>
      </c>
      <c r="AM856" s="97" t="str">
        <f>IFERROR(__xludf.DUMMYFUNCTION("""COMPUTED_VALUE"""),"-")</f>
        <v>-</v>
      </c>
      <c r="AN856" s="97" t="str">
        <f>IFERROR(__xludf.DUMMYFUNCTION("""COMPUTED_VALUE"""),"-")</f>
        <v>-</v>
      </c>
      <c r="AO856" s="97" t="str">
        <f>IFERROR(__xludf.DUMMYFUNCTION("""COMPUTED_VALUE"""),"1 Año")</f>
        <v>1 Año</v>
      </c>
      <c r="AP856" s="97"/>
      <c r="AQ856" s="97"/>
      <c r="AR856" s="97"/>
      <c r="AS856" s="97"/>
      <c r="AT856" s="97"/>
      <c r="AU856" s="97"/>
      <c r="AV856" s="97" t="str">
        <f>IFERROR(__xludf.DUMMYFUNCTION("""COMPUTED_VALUE"""),"Aplique")</f>
        <v>Aplique</v>
      </c>
      <c r="AW856" s="97" t="str">
        <f>IFERROR(__xludf.DUMMYFUNCTION("""COMPUTED_VALUE"""),"De Pared")</f>
        <v>De Pared</v>
      </c>
      <c r="AX856" s="97" t="str">
        <f>IFERROR(__xludf.DUMMYFUNCTION("""COMPUTED_VALUE"""),"Interior")</f>
        <v>Interior</v>
      </c>
      <c r="AY856" s="97"/>
      <c r="AZ856" s="97"/>
      <c r="BA856" s="97">
        <f>IFERROR(__xludf.DUMMYFUNCTION("""COMPUTED_VALUE"""),30.0)</f>
        <v>30</v>
      </c>
      <c r="BB856" s="97"/>
      <c r="BC856" s="97"/>
      <c r="BD856" s="97" t="str">
        <f>IFERROR(__xludf.DUMMYFUNCTION("""COMPUTED_VALUE"""),"MOMO")</f>
        <v>MOMO</v>
      </c>
      <c r="BE856" s="97" t="str">
        <f>IFERROR(__xludf.DUMMYFUNCTION("""COMPUTED_VALUE"""),"Finalizada")</f>
        <v>Finalizada</v>
      </c>
      <c r="BF856" s="97">
        <f>IFERROR(__xludf.DUMMYFUNCTION("""COMPUTED_VALUE"""),6725.0)</f>
        <v>6725</v>
      </c>
      <c r="BG856" s="97" t="str">
        <f>IFERROR(__xludf.DUMMYFUNCTION("""COMPUTED_VALUE"""),"Discontinuo")</f>
        <v>Discontinuo</v>
      </c>
    </row>
    <row r="857">
      <c r="A857" s="97">
        <f>IFERROR(__xludf.DUMMYFUNCTION("""COMPUTED_VALUE"""),6630.0)</f>
        <v>6630</v>
      </c>
      <c r="B857" s="97" t="str">
        <f>IFERROR(__xludf.DUMMYFUNCTION("""COMPUTED_VALUE"""),"MOMO BL")</f>
        <v>MOMO BL</v>
      </c>
      <c r="C857" s="97" t="str">
        <f>IFERROR(__xludf.DUMMYFUNCTION("""COMPUTED_VALUE"""),"APLIQUE MOMO 24W BLANCO 3000K LEUK")</f>
        <v>APLIQUE MOMO 24W BLANCO 3000K LEUK</v>
      </c>
      <c r="D857" s="97">
        <f>IFERROR(__xludf.DUMMYFUNCTION("""COMPUTED_VALUE"""),7.798413221466E12)</f>
        <v>7798413221466</v>
      </c>
      <c r="E857" s="97"/>
      <c r="F857" s="97" t="str">
        <f>IFERROR(__xludf.DUMMYFUNCTION("""COMPUTED_VALUE"""),"LED integrado")</f>
        <v>LED integrado</v>
      </c>
      <c r="G857" s="97" t="str">
        <f>IFERROR(__xludf.DUMMYFUNCTION("""COMPUTED_VALUE"""),"-")</f>
        <v>-</v>
      </c>
      <c r="H857" s="97" t="str">
        <f>IFERROR(__xludf.DUMMYFUNCTION("""COMPUTED_VALUE"""),"-")</f>
        <v>-</v>
      </c>
      <c r="I857" s="97"/>
      <c r="J857" s="97"/>
      <c r="K857" s="97" t="str">
        <f>IFERROR(__xludf.DUMMYFUNCTION("""COMPUTED_VALUE"""),"ON/OFF")</f>
        <v>ON/OFF</v>
      </c>
      <c r="L857" s="97" t="str">
        <f>IFERROR(__xludf.DUMMYFUNCTION("""COMPUTED_VALUE"""),"220-240")</f>
        <v>220-240</v>
      </c>
      <c r="M857" s="97" t="str">
        <f>IFERROR(__xludf.DUMMYFUNCTION("""COMPUTED_VALUE"""),"50/60")</f>
        <v>50/60</v>
      </c>
      <c r="N857" s="97"/>
      <c r="O857" s="97">
        <f>IFERROR(__xludf.DUMMYFUNCTION("""COMPUTED_VALUE"""),24.0)</f>
        <v>24</v>
      </c>
      <c r="P857" s="97"/>
      <c r="Q857" s="97">
        <f>IFERROR(__xludf.DUMMYFUNCTION("""COMPUTED_VALUE"""),0.45)</f>
        <v>0.45</v>
      </c>
      <c r="R857" s="97" t="str">
        <f>IFERROR(__xludf.DUMMYFUNCTION("""COMPUTED_VALUE"""),"-")</f>
        <v>-</v>
      </c>
      <c r="S857" s="97" t="str">
        <f>IFERROR(__xludf.DUMMYFUNCTION("""COMPUTED_VALUE"""),"-")</f>
        <v>-</v>
      </c>
      <c r="T857" s="97">
        <f>IFERROR(__xludf.DUMMYFUNCTION("""COMPUTED_VALUE"""),1568.0)</f>
        <v>1568</v>
      </c>
      <c r="U857" s="99">
        <f>IFERROR(__xludf.DUMMYFUNCTION("""COMPUTED_VALUE"""),65.33333333333333)</f>
        <v>65.33333333</v>
      </c>
      <c r="V857" s="97">
        <f>IFERROR(__xludf.DUMMYFUNCTION("""COMPUTED_VALUE"""),250.0)</f>
        <v>250</v>
      </c>
      <c r="W857" s="97" t="str">
        <f>IFERROR(__xludf.DUMMYFUNCTION("""COMPUTED_VALUE"""),"&lt; 20")</f>
        <v>&lt; 20</v>
      </c>
      <c r="X857" s="97">
        <f>IFERROR(__xludf.DUMMYFUNCTION("""COMPUTED_VALUE"""),3000.0)</f>
        <v>3000</v>
      </c>
      <c r="Y857" s="97" t="str">
        <f>IFERROR(__xludf.DUMMYFUNCTION("""COMPUTED_VALUE"""),"&gt;85")</f>
        <v>&gt;85</v>
      </c>
      <c r="Z857" s="97" t="str">
        <f>IFERROR(__xludf.DUMMYFUNCTION("""COMPUTED_VALUE"""),"-")</f>
        <v>-</v>
      </c>
      <c r="AA857" s="97" t="str">
        <f>IFERROR(__xludf.DUMMYFUNCTION("""COMPUTED_VALUE"""),"-")</f>
        <v>-</v>
      </c>
      <c r="AB857" s="97"/>
      <c r="AC857" s="97"/>
      <c r="AD857" s="97" t="str">
        <f>IFERROR(__xludf.DUMMYFUNCTION("""COMPUTED_VALUE"""),"IP20")</f>
        <v>IP20</v>
      </c>
      <c r="AE857" s="97" t="str">
        <f>IFERROR(__xludf.DUMMYFUNCTION("""COMPUTED_VALUE"""),"Clase l")</f>
        <v>Clase l</v>
      </c>
      <c r="AF857" s="97" t="str">
        <f>IFERROR(__xludf.DUMMYFUNCTION("""COMPUTED_VALUE"""),"Aplicar")</f>
        <v>Aplicar</v>
      </c>
      <c r="AG857" s="97" t="str">
        <f>IFERROR(__xludf.DUMMYFUNCTION("""COMPUTED_VALUE"""),"460 x 35 x 90")</f>
        <v>460 x 35 x 90</v>
      </c>
      <c r="AH857" s="97" t="str">
        <f>IFERROR(__xludf.DUMMYFUNCTION("""COMPUTED_VALUE"""),"N/A")</f>
        <v>N/A</v>
      </c>
      <c r="AI857" s="97" t="str">
        <f>IFERROR(__xludf.DUMMYFUNCTION("""COMPUTED_VALUE"""),"N/A")</f>
        <v>N/A</v>
      </c>
      <c r="AJ857" s="97" t="str">
        <f>IFERROR(__xludf.DUMMYFUNCTION("""COMPUTED_VALUE"""),"Policarbonato (PC)")</f>
        <v>Policarbonato (PC)</v>
      </c>
      <c r="AK857" s="97" t="str">
        <f>IFERROR(__xludf.DUMMYFUNCTION("""COMPUTED_VALUE"""),"Aluminio")</f>
        <v>Aluminio</v>
      </c>
      <c r="AL857" s="97" t="str">
        <f>IFERROR(__xludf.DUMMYFUNCTION("""COMPUTED_VALUE"""),"Blanco Satinado")</f>
        <v>Blanco Satinado</v>
      </c>
      <c r="AM857" s="97" t="str">
        <f>IFERROR(__xludf.DUMMYFUNCTION("""COMPUTED_VALUE"""),"-")</f>
        <v>-</v>
      </c>
      <c r="AN857" s="97" t="str">
        <f>IFERROR(__xludf.DUMMYFUNCTION("""COMPUTED_VALUE"""),"-")</f>
        <v>-</v>
      </c>
      <c r="AO857" s="97" t="str">
        <f>IFERROR(__xludf.DUMMYFUNCTION("""COMPUTED_VALUE"""),"1 Año")</f>
        <v>1 Año</v>
      </c>
      <c r="AP857" s="97"/>
      <c r="AQ857" s="97"/>
      <c r="AR857" s="97"/>
      <c r="AS857" s="97"/>
      <c r="AT857" s="97"/>
      <c r="AU857" s="97"/>
      <c r="AV857" s="97" t="str">
        <f>IFERROR(__xludf.DUMMYFUNCTION("""COMPUTED_VALUE"""),"Aplique")</f>
        <v>Aplique</v>
      </c>
      <c r="AW857" s="97" t="str">
        <f>IFERROR(__xludf.DUMMYFUNCTION("""COMPUTED_VALUE"""),"De Pared")</f>
        <v>De Pared</v>
      </c>
      <c r="AX857" s="97" t="str">
        <f>IFERROR(__xludf.DUMMYFUNCTION("""COMPUTED_VALUE"""),"Interior")</f>
        <v>Interior</v>
      </c>
      <c r="AY857" s="97"/>
      <c r="AZ857" s="97"/>
      <c r="BA857" s="97">
        <f>IFERROR(__xludf.DUMMYFUNCTION("""COMPUTED_VALUE"""),30.0)</f>
        <v>30</v>
      </c>
      <c r="BB857" s="97"/>
      <c r="BC857" s="97"/>
      <c r="BD857" s="97" t="str">
        <f>IFERROR(__xludf.DUMMYFUNCTION("""COMPUTED_VALUE"""),"MOMO")</f>
        <v>MOMO</v>
      </c>
      <c r="BE857" s="97" t="str">
        <f>IFERROR(__xludf.DUMMYFUNCTION("""COMPUTED_VALUE"""),"Finalizada")</f>
        <v>Finalizada</v>
      </c>
      <c r="BF857" s="97">
        <f>IFERROR(__xludf.DUMMYFUNCTION("""COMPUTED_VALUE"""),6724.0)</f>
        <v>6724</v>
      </c>
      <c r="BG857" s="97" t="str">
        <f>IFERROR(__xludf.DUMMYFUNCTION("""COMPUTED_VALUE"""),"Discontinuo")</f>
        <v>Discontinuo</v>
      </c>
    </row>
    <row r="858">
      <c r="A858" s="97">
        <f>IFERROR(__xludf.DUMMYFUNCTION("""COMPUTED_VALUE"""),6631.0)</f>
        <v>6631</v>
      </c>
      <c r="B858" s="97" t="str">
        <f>IFERROR(__xludf.DUMMYFUNCTION("""COMPUTED_VALUE"""),"ACRU NG")</f>
        <v>ACRU NG</v>
      </c>
      <c r="C858" s="97" t="str">
        <f>IFERROR(__xludf.DUMMYFUNCTION("""COMPUTED_VALUE"""),"EMPOTRABLE ACRU NG 3W 3000K 177LM CRI&gt;80 IP20 LEUK")</f>
        <v>EMPOTRABLE ACRU NG 3W 3000K 177LM CRI&gt;80 IP20 LEUK</v>
      </c>
      <c r="D858" s="97">
        <f>IFERROR(__xludf.DUMMYFUNCTION("""COMPUTED_VALUE"""),7.798413221473E12)</f>
        <v>7798413221473</v>
      </c>
      <c r="E858" s="97"/>
      <c r="F858" s="97" t="str">
        <f>IFERROR(__xludf.DUMMYFUNCTION("""COMPUTED_VALUE"""),"LED integrado")</f>
        <v>LED integrado</v>
      </c>
      <c r="G858" s="97" t="str">
        <f>IFERROR(__xludf.DUMMYFUNCTION("""COMPUTED_VALUE"""),"-")</f>
        <v>-</v>
      </c>
      <c r="H858" s="97" t="str">
        <f>IFERROR(__xludf.DUMMYFUNCTION("""COMPUTED_VALUE"""),"-")</f>
        <v>-</v>
      </c>
      <c r="I858" s="97"/>
      <c r="J858" s="97" t="str">
        <f>IFERROR(__xludf.DUMMYFUNCTION("""COMPUTED_VALUE"""),"Modelo: 1x3W
In: 85-265Vac 50/60Hz
Out: 3-4Vdc 600mA")</f>
        <v>Modelo: 1x3W
In: 85-265Vac 50/60Hz
Out: 3-4Vdc 600mA</v>
      </c>
      <c r="K858" s="97" t="str">
        <f>IFERROR(__xludf.DUMMYFUNCTION("""COMPUTED_VALUE"""),"ON/OFF")</f>
        <v>ON/OFF</v>
      </c>
      <c r="L858" s="97" t="str">
        <f>IFERROR(__xludf.DUMMYFUNCTION("""COMPUTED_VALUE"""),"220-240")</f>
        <v>220-240</v>
      </c>
      <c r="M858" s="97" t="str">
        <f>IFERROR(__xludf.DUMMYFUNCTION("""COMPUTED_VALUE"""),"50/60")</f>
        <v>50/60</v>
      </c>
      <c r="N858" s="97" t="str">
        <f>IFERROR(__xludf.DUMMYFUNCTION("""COMPUTED_VALUE"""),"Directa-Direccional")</f>
        <v>Directa-Direccional</v>
      </c>
      <c r="O858" s="97">
        <f>IFERROR(__xludf.DUMMYFUNCTION("""COMPUTED_VALUE"""),3.0)</f>
        <v>3</v>
      </c>
      <c r="P858" s="97"/>
      <c r="Q858" s="97">
        <f>IFERROR(__xludf.DUMMYFUNCTION("""COMPUTED_VALUE"""),0.4)</f>
        <v>0.4</v>
      </c>
      <c r="R858" s="97" t="str">
        <f>IFERROR(__xludf.DUMMYFUNCTION("""COMPUTED_VALUE"""),"-")</f>
        <v>-</v>
      </c>
      <c r="S858" s="97" t="str">
        <f>IFERROR(__xludf.DUMMYFUNCTION("""COMPUTED_VALUE"""),"-")</f>
        <v>-</v>
      </c>
      <c r="T858" s="97">
        <f>IFERROR(__xludf.DUMMYFUNCTION("""COMPUTED_VALUE"""),177.0)</f>
        <v>177</v>
      </c>
      <c r="U858" s="99">
        <f>IFERROR(__xludf.DUMMYFUNCTION("""COMPUTED_VALUE"""),59.0)</f>
        <v>59</v>
      </c>
      <c r="V858" s="97">
        <f>IFERROR(__xludf.DUMMYFUNCTION("""COMPUTED_VALUE"""),23.0)</f>
        <v>23</v>
      </c>
      <c r="W858" s="97" t="str">
        <f>IFERROR(__xludf.DUMMYFUNCTION("""COMPUTED_VALUE"""),"&lt; 20")</f>
        <v>&lt; 20</v>
      </c>
      <c r="X858" s="97">
        <f>IFERROR(__xludf.DUMMYFUNCTION("""COMPUTED_VALUE"""),3000.0)</f>
        <v>3000</v>
      </c>
      <c r="Y858" s="97" t="str">
        <f>IFERROR(__xludf.DUMMYFUNCTION("""COMPUTED_VALUE"""),"&gt;80")</f>
        <v>&gt;80</v>
      </c>
      <c r="Z858" s="97"/>
      <c r="AA858" s="97"/>
      <c r="AB858" s="97"/>
      <c r="AC858" s="97"/>
      <c r="AD858" s="97" t="str">
        <f>IFERROR(__xludf.DUMMYFUNCTION("""COMPUTED_VALUE"""),"IP20")</f>
        <v>IP20</v>
      </c>
      <c r="AE858" s="97" t="str">
        <f>IFERROR(__xludf.DUMMYFUNCTION("""COMPUTED_VALUE"""),"Clase l")</f>
        <v>Clase l</v>
      </c>
      <c r="AF858" s="97" t="str">
        <f>IFERROR(__xludf.DUMMYFUNCTION("""COMPUTED_VALUE"""),"Aplicar, Embutir")</f>
        <v>Aplicar, Embutir</v>
      </c>
      <c r="AG858" s="97" t="str">
        <f>IFERROR(__xludf.DUMMYFUNCTION("""COMPUTED_VALUE"""),"68 x 52 x 170")</f>
        <v>68 x 52 x 170</v>
      </c>
      <c r="AH858" s="97" t="str">
        <f>IFERROR(__xludf.DUMMYFUNCTION("""COMPUTED_VALUE"""),"155 x 54 ")</f>
        <v>155 x 54 </v>
      </c>
      <c r="AI858" s="97">
        <f>IFERROR(__xludf.DUMMYFUNCTION("""COMPUTED_VALUE"""),42.0)</f>
        <v>42</v>
      </c>
      <c r="AJ858" s="97" t="str">
        <f>IFERROR(__xludf.DUMMYFUNCTION("""COMPUTED_VALUE"""),"Policarbonato (PC)")</f>
        <v>Policarbonato (PC)</v>
      </c>
      <c r="AK858" s="97" t="str">
        <f>IFERROR(__xludf.DUMMYFUNCTION("""COMPUTED_VALUE"""),"Aluminio")</f>
        <v>Aluminio</v>
      </c>
      <c r="AL858" s="97" t="str">
        <f>IFERROR(__xludf.DUMMYFUNCTION("""COMPUTED_VALUE"""),"Negro Satinado")</f>
        <v>Negro Satinado</v>
      </c>
      <c r="AM858" s="97" t="str">
        <f>IFERROR(__xludf.DUMMYFUNCTION("""COMPUTED_VALUE"""),"-")</f>
        <v>-</v>
      </c>
      <c r="AN858" s="97" t="str">
        <f>IFERROR(__xludf.DUMMYFUNCTION("""COMPUTED_VALUE"""),"25.000hs (L70)")</f>
        <v>25.000hs (L70)</v>
      </c>
      <c r="AO858" s="97" t="str">
        <f>IFERROR(__xludf.DUMMYFUNCTION("""COMPUTED_VALUE"""),"2 Años")</f>
        <v>2 Años</v>
      </c>
      <c r="AP858" s="97" t="str">
        <f>IFERROR(__xludf.DUMMYFUNCTION("""COMPUTED_VALUE"""),"Disponible")</f>
        <v>Disponible</v>
      </c>
      <c r="AQ858" s="97" t="str">
        <f>IFERROR(__xludf.DUMMYFUNCTION("""COMPUTED_VALUE"""),"Disponible")</f>
        <v>Disponible</v>
      </c>
      <c r="AR858" s="97" t="str">
        <f>IFERROR(__xludf.DUMMYFUNCTION("""COMPUTED_VALUE"""),"Disponible")</f>
        <v>Disponible</v>
      </c>
      <c r="AS858" s="97"/>
      <c r="AT858" s="97"/>
      <c r="AU858" s="97" t="str">
        <f>IFERROR(__xludf.DUMMYFUNCTION("""COMPUTED_VALUE"""),"Falta")</f>
        <v>Falta</v>
      </c>
      <c r="AV858" s="97" t="str">
        <f>IFERROR(__xludf.DUMMYFUNCTION("""COMPUTED_VALUE"""),"Empotrable")</f>
        <v>Empotrable</v>
      </c>
      <c r="AW858" s="97" t="str">
        <f>IFERROR(__xludf.DUMMYFUNCTION("""COMPUTED_VALUE"""),"De Pared")</f>
        <v>De Pared</v>
      </c>
      <c r="AX858" s="97" t="str">
        <f>IFERROR(__xludf.DUMMYFUNCTION("""COMPUTED_VALUE"""),"Interior")</f>
        <v>Interior</v>
      </c>
      <c r="AY858" s="97" t="str">
        <f>IFERROR(__xludf.DUMMYFUNCTION("""COMPUTED_VALUE"""),"-")</f>
        <v>-</v>
      </c>
      <c r="AZ858" s="97"/>
      <c r="BA858" s="97">
        <f>IFERROR(__xludf.DUMMYFUNCTION("""COMPUTED_VALUE"""),20.0)</f>
        <v>20</v>
      </c>
      <c r="BB858" s="97" t="str">
        <f>IFERROR(__xludf.DUMMYFUNCTION("""COMPUTED_VALUE"""),"-")</f>
        <v>-</v>
      </c>
      <c r="BC858" s="97" t="str">
        <f>IFERROR(__xludf.DUMMYFUNCTION("""COMPUTED_VALUE"""),"-")</f>
        <v>-</v>
      </c>
      <c r="BD858" s="97" t="str">
        <f>IFERROR(__xludf.DUMMYFUNCTION("""COMPUTED_VALUE"""),"ACRU")</f>
        <v>ACRU</v>
      </c>
      <c r="BE858" s="97" t="str">
        <f>IFERROR(__xludf.DUMMYFUNCTION("""COMPUTED_VALUE"""),"Finalizada")</f>
        <v>Finalizada</v>
      </c>
      <c r="BF858" s="97"/>
      <c r="BG858" s="97" t="str">
        <f>IFERROR(__xludf.DUMMYFUNCTION("""COMPUTED_VALUE"""),"Activo")</f>
        <v>Activo</v>
      </c>
    </row>
    <row r="859">
      <c r="A859" s="97">
        <f>IFERROR(__xludf.DUMMYFUNCTION("""COMPUTED_VALUE"""),6632.0)</f>
        <v>6632</v>
      </c>
      <c r="B859" s="97" t="str">
        <f>IFERROR(__xludf.DUMMYFUNCTION("""COMPUTED_VALUE"""),"ACRU BL")</f>
        <v>ACRU BL</v>
      </c>
      <c r="C859" s="97" t="str">
        <f>IFERROR(__xludf.DUMMYFUNCTION("""COMPUTED_VALUE"""),"EMPOTRABLE ACRU BL 3W 3000K 177LM CRI&gt;80 IP20 LEUK")</f>
        <v>EMPOTRABLE ACRU BL 3W 3000K 177LM CRI&gt;80 IP20 LEUK</v>
      </c>
      <c r="D859" s="97">
        <f>IFERROR(__xludf.DUMMYFUNCTION("""COMPUTED_VALUE"""),7.79841322148E12)</f>
        <v>7798413221480</v>
      </c>
      <c r="E859" s="97"/>
      <c r="F859" s="97" t="str">
        <f>IFERROR(__xludf.DUMMYFUNCTION("""COMPUTED_VALUE"""),"LED integrado")</f>
        <v>LED integrado</v>
      </c>
      <c r="G859" s="97" t="str">
        <f>IFERROR(__xludf.DUMMYFUNCTION("""COMPUTED_VALUE"""),"-")</f>
        <v>-</v>
      </c>
      <c r="H859" s="97" t="str">
        <f>IFERROR(__xludf.DUMMYFUNCTION("""COMPUTED_VALUE"""),"-")</f>
        <v>-</v>
      </c>
      <c r="I859" s="97"/>
      <c r="J859" s="97" t="str">
        <f>IFERROR(__xludf.DUMMYFUNCTION("""COMPUTED_VALUE"""),"Modelo: 1x3W
In: 85-265Vac 50/60Hz
Out: 3-4Vdc 600mA")</f>
        <v>Modelo: 1x3W
In: 85-265Vac 50/60Hz
Out: 3-4Vdc 600mA</v>
      </c>
      <c r="K859" s="97" t="str">
        <f>IFERROR(__xludf.DUMMYFUNCTION("""COMPUTED_VALUE"""),"ON/OFF")</f>
        <v>ON/OFF</v>
      </c>
      <c r="L859" s="97" t="str">
        <f>IFERROR(__xludf.DUMMYFUNCTION("""COMPUTED_VALUE"""),"220-240")</f>
        <v>220-240</v>
      </c>
      <c r="M859" s="97" t="str">
        <f>IFERROR(__xludf.DUMMYFUNCTION("""COMPUTED_VALUE"""),"50/60")</f>
        <v>50/60</v>
      </c>
      <c r="N859" s="97" t="str">
        <f>IFERROR(__xludf.DUMMYFUNCTION("""COMPUTED_VALUE"""),"Directa-Direccional")</f>
        <v>Directa-Direccional</v>
      </c>
      <c r="O859" s="97">
        <f>IFERROR(__xludf.DUMMYFUNCTION("""COMPUTED_VALUE"""),3.0)</f>
        <v>3</v>
      </c>
      <c r="P859" s="97"/>
      <c r="Q859" s="97">
        <f>IFERROR(__xludf.DUMMYFUNCTION("""COMPUTED_VALUE"""),0.4)</f>
        <v>0.4</v>
      </c>
      <c r="R859" s="97" t="str">
        <f>IFERROR(__xludf.DUMMYFUNCTION("""COMPUTED_VALUE"""),"-")</f>
        <v>-</v>
      </c>
      <c r="S859" s="97" t="str">
        <f>IFERROR(__xludf.DUMMYFUNCTION("""COMPUTED_VALUE"""),"-")</f>
        <v>-</v>
      </c>
      <c r="T859" s="97">
        <f>IFERROR(__xludf.DUMMYFUNCTION("""COMPUTED_VALUE"""),177.0)</f>
        <v>177</v>
      </c>
      <c r="U859" s="99">
        <f>IFERROR(__xludf.DUMMYFUNCTION("""COMPUTED_VALUE"""),59.0)</f>
        <v>59</v>
      </c>
      <c r="V859" s="97">
        <f>IFERROR(__xludf.DUMMYFUNCTION("""COMPUTED_VALUE"""),23.0)</f>
        <v>23</v>
      </c>
      <c r="W859" s="97" t="str">
        <f>IFERROR(__xludf.DUMMYFUNCTION("""COMPUTED_VALUE"""),"&lt; 20")</f>
        <v>&lt; 20</v>
      </c>
      <c r="X859" s="97">
        <f>IFERROR(__xludf.DUMMYFUNCTION("""COMPUTED_VALUE"""),3000.0)</f>
        <v>3000</v>
      </c>
      <c r="Y859" s="97" t="str">
        <f>IFERROR(__xludf.DUMMYFUNCTION("""COMPUTED_VALUE"""),"&gt;80")</f>
        <v>&gt;80</v>
      </c>
      <c r="Z859" s="97"/>
      <c r="AA859" s="97"/>
      <c r="AB859" s="97"/>
      <c r="AC859" s="97"/>
      <c r="AD859" s="97" t="str">
        <f>IFERROR(__xludf.DUMMYFUNCTION("""COMPUTED_VALUE"""),"IP20")</f>
        <v>IP20</v>
      </c>
      <c r="AE859" s="97" t="str">
        <f>IFERROR(__xludf.DUMMYFUNCTION("""COMPUTED_VALUE"""),"Clase l")</f>
        <v>Clase l</v>
      </c>
      <c r="AF859" s="97" t="str">
        <f>IFERROR(__xludf.DUMMYFUNCTION("""COMPUTED_VALUE"""),"Aplicar, Embutir")</f>
        <v>Aplicar, Embutir</v>
      </c>
      <c r="AG859" s="97" t="str">
        <f>IFERROR(__xludf.DUMMYFUNCTION("""COMPUTED_VALUE"""),"68 x 52 x 170")</f>
        <v>68 x 52 x 170</v>
      </c>
      <c r="AH859" s="97" t="str">
        <f>IFERROR(__xludf.DUMMYFUNCTION("""COMPUTED_VALUE"""),"155 x 54 ")</f>
        <v>155 x 54 </v>
      </c>
      <c r="AI859" s="97">
        <f>IFERROR(__xludf.DUMMYFUNCTION("""COMPUTED_VALUE"""),42.0)</f>
        <v>42</v>
      </c>
      <c r="AJ859" s="97" t="str">
        <f>IFERROR(__xludf.DUMMYFUNCTION("""COMPUTED_VALUE"""),"Policarbonato (PC)")</f>
        <v>Policarbonato (PC)</v>
      </c>
      <c r="AK859" s="97" t="str">
        <f>IFERROR(__xludf.DUMMYFUNCTION("""COMPUTED_VALUE"""),"Aluminio")</f>
        <v>Aluminio</v>
      </c>
      <c r="AL859" s="97" t="str">
        <f>IFERROR(__xludf.DUMMYFUNCTION("""COMPUTED_VALUE"""),"Blanco Satinado")</f>
        <v>Blanco Satinado</v>
      </c>
      <c r="AM859" s="97" t="str">
        <f>IFERROR(__xludf.DUMMYFUNCTION("""COMPUTED_VALUE"""),"-")</f>
        <v>-</v>
      </c>
      <c r="AN859" s="97" t="str">
        <f>IFERROR(__xludf.DUMMYFUNCTION("""COMPUTED_VALUE"""),"25.000hs (L70)")</f>
        <v>25.000hs (L70)</v>
      </c>
      <c r="AO859" s="97" t="str">
        <f>IFERROR(__xludf.DUMMYFUNCTION("""COMPUTED_VALUE"""),"2 Años")</f>
        <v>2 Años</v>
      </c>
      <c r="AP859" s="97" t="str">
        <f>IFERROR(__xludf.DUMMYFUNCTION("""COMPUTED_VALUE"""),"Disponible")</f>
        <v>Disponible</v>
      </c>
      <c r="AQ859" s="97" t="str">
        <f>IFERROR(__xludf.DUMMYFUNCTION("""COMPUTED_VALUE"""),"Disponible")</f>
        <v>Disponible</v>
      </c>
      <c r="AR859" s="97" t="str">
        <f>IFERROR(__xludf.DUMMYFUNCTION("""COMPUTED_VALUE"""),"Disponible")</f>
        <v>Disponible</v>
      </c>
      <c r="AS859" s="97"/>
      <c r="AT859" s="97"/>
      <c r="AU859" s="97" t="str">
        <f>IFERROR(__xludf.DUMMYFUNCTION("""COMPUTED_VALUE"""),"Falta")</f>
        <v>Falta</v>
      </c>
      <c r="AV859" s="97" t="str">
        <f>IFERROR(__xludf.DUMMYFUNCTION("""COMPUTED_VALUE"""),"Empotrable")</f>
        <v>Empotrable</v>
      </c>
      <c r="AW859" s="97" t="str">
        <f>IFERROR(__xludf.DUMMYFUNCTION("""COMPUTED_VALUE"""),"De Pared")</f>
        <v>De Pared</v>
      </c>
      <c r="AX859" s="97" t="str">
        <f>IFERROR(__xludf.DUMMYFUNCTION("""COMPUTED_VALUE"""),"Interior")</f>
        <v>Interior</v>
      </c>
      <c r="AY859" s="97" t="str">
        <f>IFERROR(__xludf.DUMMYFUNCTION("""COMPUTED_VALUE"""),"-")</f>
        <v>-</v>
      </c>
      <c r="AZ859" s="97"/>
      <c r="BA859" s="97">
        <f>IFERROR(__xludf.DUMMYFUNCTION("""COMPUTED_VALUE"""),20.0)</f>
        <v>20</v>
      </c>
      <c r="BB859" s="97" t="str">
        <f>IFERROR(__xludf.DUMMYFUNCTION("""COMPUTED_VALUE"""),"-")</f>
        <v>-</v>
      </c>
      <c r="BC859" s="97" t="str">
        <f>IFERROR(__xludf.DUMMYFUNCTION("""COMPUTED_VALUE"""),"-")</f>
        <v>-</v>
      </c>
      <c r="BD859" s="97" t="str">
        <f>IFERROR(__xludf.DUMMYFUNCTION("""COMPUTED_VALUE"""),"ACRU")</f>
        <v>ACRU</v>
      </c>
      <c r="BE859" s="97" t="str">
        <f>IFERROR(__xludf.DUMMYFUNCTION("""COMPUTED_VALUE"""),"Finalizada")</f>
        <v>Finalizada</v>
      </c>
      <c r="BF859" s="97"/>
      <c r="BG859" s="97" t="str">
        <f>IFERROR(__xludf.DUMMYFUNCTION("""COMPUTED_VALUE"""),"Activo")</f>
        <v>Activo</v>
      </c>
    </row>
    <row r="860">
      <c r="A860" s="97">
        <f>IFERROR(__xludf.DUMMYFUNCTION("""COMPUTED_VALUE"""),6633.0)</f>
        <v>6633</v>
      </c>
      <c r="B860" s="97" t="str">
        <f>IFERROR(__xludf.DUMMYFUNCTION("""COMPUTED_VALUE"""),"BIG SKOTE NG")</f>
        <v>BIG SKOTE NG</v>
      </c>
      <c r="C860" s="97" t="str">
        <f>IFERROR(__xludf.DUMMYFUNCTION("""COMPUTED_VALUE"""),"APLIQUE BIG SKOTE NG 24W 3000K 1250LM CRI&gt;90 IP65 LEUK")</f>
        <v>APLIQUE BIG SKOTE NG 24W 3000K 1250LM CRI&gt;90 IP65 LEUK</v>
      </c>
      <c r="D860" s="97">
        <f>IFERROR(__xludf.DUMMYFUNCTION("""COMPUTED_VALUE"""),7.798413221497E12)</f>
        <v>7798413221497</v>
      </c>
      <c r="E860" s="97"/>
      <c r="F860" s="97" t="str">
        <f>IFERROR(__xludf.DUMMYFUNCTION("""COMPUTED_VALUE"""),"LED integrado")</f>
        <v>LED integrado</v>
      </c>
      <c r="G860" s="97" t="str">
        <f>IFERROR(__xludf.DUMMYFUNCTION("""COMPUTED_VALUE"""),"-")</f>
        <v>-</v>
      </c>
      <c r="H860" s="97" t="str">
        <f>IFERROR(__xludf.DUMMYFUNCTION("""COMPUTED_VALUE"""),"-")</f>
        <v>-</v>
      </c>
      <c r="I860" s="97"/>
      <c r="J860" s="97"/>
      <c r="K860" s="97" t="str">
        <f>IFERROR(__xludf.DUMMYFUNCTION("""COMPUTED_VALUE"""),"ON/OFF")</f>
        <v>ON/OFF</v>
      </c>
      <c r="L860" s="97" t="str">
        <f>IFERROR(__xludf.DUMMYFUNCTION("""COMPUTED_VALUE"""),"220-240")</f>
        <v>220-240</v>
      </c>
      <c r="M860" s="97" t="str">
        <f>IFERROR(__xludf.DUMMYFUNCTION("""COMPUTED_VALUE"""),"50/60")</f>
        <v>50/60</v>
      </c>
      <c r="N860" s="97"/>
      <c r="O860" s="97">
        <f>IFERROR(__xludf.DUMMYFUNCTION("""COMPUTED_VALUE"""),24.0)</f>
        <v>24</v>
      </c>
      <c r="P860" s="97"/>
      <c r="Q860" s="97">
        <f>IFERROR(__xludf.DUMMYFUNCTION("""COMPUTED_VALUE"""),0.51)</f>
        <v>0.51</v>
      </c>
      <c r="R860" s="97" t="str">
        <f>IFERROR(__xludf.DUMMYFUNCTION("""COMPUTED_VALUE"""),"-")</f>
        <v>-</v>
      </c>
      <c r="S860" s="97" t="str">
        <f>IFERROR(__xludf.DUMMYFUNCTION("""COMPUTED_VALUE"""),"-")</f>
        <v>-</v>
      </c>
      <c r="T860" s="97">
        <f>IFERROR(__xludf.DUMMYFUNCTION("""COMPUTED_VALUE"""),1250.0)</f>
        <v>1250</v>
      </c>
      <c r="U860" s="99">
        <f>IFERROR(__xludf.DUMMYFUNCTION("""COMPUTED_VALUE"""),52.083333333333336)</f>
        <v>52.08333333</v>
      </c>
      <c r="V860" s="97">
        <f>IFERROR(__xludf.DUMMYFUNCTION("""COMPUTED_VALUE"""),90.0)</f>
        <v>90</v>
      </c>
      <c r="W860" s="97" t="str">
        <f>IFERROR(__xludf.DUMMYFUNCTION("""COMPUTED_VALUE"""),"&lt; 20")</f>
        <v>&lt; 20</v>
      </c>
      <c r="X860" s="97">
        <f>IFERROR(__xludf.DUMMYFUNCTION("""COMPUTED_VALUE"""),3000.0)</f>
        <v>3000</v>
      </c>
      <c r="Y860" s="97" t="str">
        <f>IFERROR(__xludf.DUMMYFUNCTION("""COMPUTED_VALUE"""),"&gt;90")</f>
        <v>&gt;90</v>
      </c>
      <c r="Z860" s="97"/>
      <c r="AA860" s="97"/>
      <c r="AB860" s="97" t="str">
        <f>IFERROR(__xludf.DUMMYFUNCTION("""COMPUTED_VALUE"""),"&lt; 2")</f>
        <v>&lt; 2</v>
      </c>
      <c r="AC860" s="97"/>
      <c r="AD860" s="97" t="str">
        <f>IFERROR(__xludf.DUMMYFUNCTION("""COMPUTED_VALUE"""),"IP65")</f>
        <v>IP65</v>
      </c>
      <c r="AE860" s="97" t="str">
        <f>IFERROR(__xludf.DUMMYFUNCTION("""COMPUTED_VALUE"""),"Clase l")</f>
        <v>Clase l</v>
      </c>
      <c r="AF860" s="97" t="str">
        <f>IFERROR(__xludf.DUMMYFUNCTION("""COMPUTED_VALUE"""),"Aplicar")</f>
        <v>Aplicar</v>
      </c>
      <c r="AG860" s="97" t="str">
        <f>IFERROR(__xludf.DUMMYFUNCTION("""COMPUTED_VALUE"""),"Ø270 x Prof 45")</f>
        <v>Ø270 x Prof 45</v>
      </c>
      <c r="AH860" s="97" t="str">
        <f>IFERROR(__xludf.DUMMYFUNCTION("""COMPUTED_VALUE"""),"N/A")</f>
        <v>N/A</v>
      </c>
      <c r="AI860" s="97" t="str">
        <f>IFERROR(__xludf.DUMMYFUNCTION("""COMPUTED_VALUE"""),"N/A")</f>
        <v>N/A</v>
      </c>
      <c r="AJ860" s="97" t="str">
        <f>IFERROR(__xludf.DUMMYFUNCTION("""COMPUTED_VALUE"""),"Policarbonato (PC)")</f>
        <v>Policarbonato (PC)</v>
      </c>
      <c r="AK860" s="97" t="str">
        <f>IFERROR(__xludf.DUMMYFUNCTION("""COMPUTED_VALUE"""),"Aluminio")</f>
        <v>Aluminio</v>
      </c>
      <c r="AL860" s="97" t="str">
        <f>IFERROR(__xludf.DUMMYFUNCTION("""COMPUTED_VALUE"""),"Negro Satinado")</f>
        <v>Negro Satinado</v>
      </c>
      <c r="AM860" s="97" t="str">
        <f>IFERROR(__xludf.DUMMYFUNCTION("""COMPUTED_VALUE"""),"-")</f>
        <v>-</v>
      </c>
      <c r="AN860" s="97" t="str">
        <f>IFERROR(__xludf.DUMMYFUNCTION("""COMPUTED_VALUE"""),"25.000hs (L70)")</f>
        <v>25.000hs (L70)</v>
      </c>
      <c r="AO860" s="97" t="str">
        <f>IFERROR(__xludf.DUMMYFUNCTION("""COMPUTED_VALUE"""),"2 Años")</f>
        <v>2 Años</v>
      </c>
      <c r="AP860" s="97" t="str">
        <f>IFERROR(__xludf.DUMMYFUNCTION("""COMPUTED_VALUE"""),"Disponible")</f>
        <v>Disponible</v>
      </c>
      <c r="AQ860" s="97" t="str">
        <f>IFERROR(__xludf.DUMMYFUNCTION("""COMPUTED_VALUE"""),"Disponible")</f>
        <v>Disponible</v>
      </c>
      <c r="AR860" s="97" t="str">
        <f>IFERROR(__xludf.DUMMYFUNCTION("""COMPUTED_VALUE"""),"Disponible")</f>
        <v>Disponible</v>
      </c>
      <c r="AS860" s="97"/>
      <c r="AT860" s="97"/>
      <c r="AU860" s="97" t="str">
        <f>IFERROR(__xludf.DUMMYFUNCTION("""COMPUTED_VALUE"""),"Falta")</f>
        <v>Falta</v>
      </c>
      <c r="AV860" s="97" t="str">
        <f>IFERROR(__xludf.DUMMYFUNCTION("""COMPUTED_VALUE"""),"Aplique")</f>
        <v>Aplique</v>
      </c>
      <c r="AW860" s="97" t="str">
        <f>IFERROR(__xludf.DUMMYFUNCTION("""COMPUTED_VALUE"""),"De Pared")</f>
        <v>De Pared</v>
      </c>
      <c r="AX860" s="97" t="str">
        <f>IFERROR(__xludf.DUMMYFUNCTION("""COMPUTED_VALUE"""),"Exterior")</f>
        <v>Exterior</v>
      </c>
      <c r="AY860" s="97" t="str">
        <f>IFERROR(__xludf.DUMMYFUNCTION("""COMPUTED_VALUE"""),"-")</f>
        <v>-</v>
      </c>
      <c r="AZ860" s="97"/>
      <c r="BA860" s="97">
        <f>IFERROR(__xludf.DUMMYFUNCTION("""COMPUTED_VALUE"""),12.0)</f>
        <v>12</v>
      </c>
      <c r="BB860" s="97" t="str">
        <f>IFERROR(__xludf.DUMMYFUNCTION("""COMPUTED_VALUE"""),"-")</f>
        <v>-</v>
      </c>
      <c r="BC860" s="97" t="str">
        <f>IFERROR(__xludf.DUMMYFUNCTION("""COMPUTED_VALUE"""),"-")</f>
        <v>-</v>
      </c>
      <c r="BD860" s="97" t="str">
        <f>IFERROR(__xludf.DUMMYFUNCTION("""COMPUTED_VALUE"""),"BIG SKOTE ")</f>
        <v>BIG SKOTE </v>
      </c>
      <c r="BE860" s="97" t="str">
        <f>IFERROR(__xludf.DUMMYFUNCTION("""COMPUTED_VALUE"""),"Actualizar")</f>
        <v>Actualizar</v>
      </c>
      <c r="BF860" s="97"/>
      <c r="BG860" s="97" t="str">
        <f>IFERROR(__xludf.DUMMYFUNCTION("""COMPUTED_VALUE"""),"Activo")</f>
        <v>Activo</v>
      </c>
    </row>
    <row r="861">
      <c r="A861" s="97">
        <f>IFERROR(__xludf.DUMMYFUNCTION("""COMPUTED_VALUE"""),6634.0)</f>
        <v>6634</v>
      </c>
      <c r="B861" s="97" t="str">
        <f>IFERROR(__xludf.DUMMYFUNCTION("""COMPUTED_VALUE"""),"BIG SKOTE BL")</f>
        <v>BIG SKOTE BL</v>
      </c>
      <c r="C861" s="97" t="str">
        <f>IFERROR(__xludf.DUMMYFUNCTION("""COMPUTED_VALUE"""),"APLIQUE BIG SKOTE BL 24W 3000K 1250LM CRI&gt;90 IP65 LEUK")</f>
        <v>APLIQUE BIG SKOTE BL 24W 3000K 1250LM CRI&gt;90 IP65 LEUK</v>
      </c>
      <c r="D861" s="97">
        <f>IFERROR(__xludf.DUMMYFUNCTION("""COMPUTED_VALUE"""),7.798413221503E12)</f>
        <v>7798413221503</v>
      </c>
      <c r="E861" s="97"/>
      <c r="F861" s="97" t="str">
        <f>IFERROR(__xludf.DUMMYFUNCTION("""COMPUTED_VALUE"""),"LED integrado")</f>
        <v>LED integrado</v>
      </c>
      <c r="G861" s="97" t="str">
        <f>IFERROR(__xludf.DUMMYFUNCTION("""COMPUTED_VALUE"""),"-")</f>
        <v>-</v>
      </c>
      <c r="H861" s="97" t="str">
        <f>IFERROR(__xludf.DUMMYFUNCTION("""COMPUTED_VALUE"""),"-")</f>
        <v>-</v>
      </c>
      <c r="I861" s="97"/>
      <c r="J861" s="97"/>
      <c r="K861" s="97" t="str">
        <f>IFERROR(__xludf.DUMMYFUNCTION("""COMPUTED_VALUE"""),"ON/OFF")</f>
        <v>ON/OFF</v>
      </c>
      <c r="L861" s="97" t="str">
        <f>IFERROR(__xludf.DUMMYFUNCTION("""COMPUTED_VALUE"""),"220-240")</f>
        <v>220-240</v>
      </c>
      <c r="M861" s="97" t="str">
        <f>IFERROR(__xludf.DUMMYFUNCTION("""COMPUTED_VALUE"""),"50/60")</f>
        <v>50/60</v>
      </c>
      <c r="N861" s="97"/>
      <c r="O861" s="97">
        <f>IFERROR(__xludf.DUMMYFUNCTION("""COMPUTED_VALUE"""),24.0)</f>
        <v>24</v>
      </c>
      <c r="P861" s="97"/>
      <c r="Q861" s="97">
        <f>IFERROR(__xludf.DUMMYFUNCTION("""COMPUTED_VALUE"""),0.51)</f>
        <v>0.51</v>
      </c>
      <c r="R861" s="97" t="str">
        <f>IFERROR(__xludf.DUMMYFUNCTION("""COMPUTED_VALUE"""),"-")</f>
        <v>-</v>
      </c>
      <c r="S861" s="97" t="str">
        <f>IFERROR(__xludf.DUMMYFUNCTION("""COMPUTED_VALUE"""),"-")</f>
        <v>-</v>
      </c>
      <c r="T861" s="97">
        <f>IFERROR(__xludf.DUMMYFUNCTION("""COMPUTED_VALUE"""),1250.0)</f>
        <v>1250</v>
      </c>
      <c r="U861" s="99">
        <f>IFERROR(__xludf.DUMMYFUNCTION("""COMPUTED_VALUE"""),52.083333333333336)</f>
        <v>52.08333333</v>
      </c>
      <c r="V861" s="97">
        <f>IFERROR(__xludf.DUMMYFUNCTION("""COMPUTED_VALUE"""),90.0)</f>
        <v>90</v>
      </c>
      <c r="W861" s="97" t="str">
        <f>IFERROR(__xludf.DUMMYFUNCTION("""COMPUTED_VALUE"""),"&lt; 20")</f>
        <v>&lt; 20</v>
      </c>
      <c r="X861" s="97">
        <f>IFERROR(__xludf.DUMMYFUNCTION("""COMPUTED_VALUE"""),3000.0)</f>
        <v>3000</v>
      </c>
      <c r="Y861" s="97" t="str">
        <f>IFERROR(__xludf.DUMMYFUNCTION("""COMPUTED_VALUE"""),"&gt;90")</f>
        <v>&gt;90</v>
      </c>
      <c r="Z861" s="97"/>
      <c r="AA861" s="97"/>
      <c r="AB861" s="97" t="str">
        <f>IFERROR(__xludf.DUMMYFUNCTION("""COMPUTED_VALUE"""),"&lt; 2")</f>
        <v>&lt; 2</v>
      </c>
      <c r="AC861" s="97"/>
      <c r="AD861" s="97" t="str">
        <f>IFERROR(__xludf.DUMMYFUNCTION("""COMPUTED_VALUE"""),"IP65")</f>
        <v>IP65</v>
      </c>
      <c r="AE861" s="97" t="str">
        <f>IFERROR(__xludf.DUMMYFUNCTION("""COMPUTED_VALUE"""),"Clase l")</f>
        <v>Clase l</v>
      </c>
      <c r="AF861" s="97" t="str">
        <f>IFERROR(__xludf.DUMMYFUNCTION("""COMPUTED_VALUE"""),"Aplicar")</f>
        <v>Aplicar</v>
      </c>
      <c r="AG861" s="97" t="str">
        <f>IFERROR(__xludf.DUMMYFUNCTION("""COMPUTED_VALUE"""),"Ø270 x Prof 45")</f>
        <v>Ø270 x Prof 45</v>
      </c>
      <c r="AH861" s="97" t="str">
        <f>IFERROR(__xludf.DUMMYFUNCTION("""COMPUTED_VALUE"""),"N/A")</f>
        <v>N/A</v>
      </c>
      <c r="AI861" s="97" t="str">
        <f>IFERROR(__xludf.DUMMYFUNCTION("""COMPUTED_VALUE"""),"N/A")</f>
        <v>N/A</v>
      </c>
      <c r="AJ861" s="97" t="str">
        <f>IFERROR(__xludf.DUMMYFUNCTION("""COMPUTED_VALUE"""),"Policarbonato (PC)")</f>
        <v>Policarbonato (PC)</v>
      </c>
      <c r="AK861" s="97" t="str">
        <f>IFERROR(__xludf.DUMMYFUNCTION("""COMPUTED_VALUE"""),"Aluminio")</f>
        <v>Aluminio</v>
      </c>
      <c r="AL861" s="97" t="str">
        <f>IFERROR(__xludf.DUMMYFUNCTION("""COMPUTED_VALUE"""),"Blanco Satinado")</f>
        <v>Blanco Satinado</v>
      </c>
      <c r="AM861" s="97" t="str">
        <f>IFERROR(__xludf.DUMMYFUNCTION("""COMPUTED_VALUE"""),"-")</f>
        <v>-</v>
      </c>
      <c r="AN861" s="97" t="str">
        <f>IFERROR(__xludf.DUMMYFUNCTION("""COMPUTED_VALUE"""),"25.000hs (L70)")</f>
        <v>25.000hs (L70)</v>
      </c>
      <c r="AO861" s="97" t="str">
        <f>IFERROR(__xludf.DUMMYFUNCTION("""COMPUTED_VALUE"""),"2 Años")</f>
        <v>2 Años</v>
      </c>
      <c r="AP861" s="97" t="str">
        <f>IFERROR(__xludf.DUMMYFUNCTION("""COMPUTED_VALUE"""),"Disponible")</f>
        <v>Disponible</v>
      </c>
      <c r="AQ861" s="97" t="str">
        <f>IFERROR(__xludf.DUMMYFUNCTION("""COMPUTED_VALUE"""),"Disponible")</f>
        <v>Disponible</v>
      </c>
      <c r="AR861" s="97" t="str">
        <f>IFERROR(__xludf.DUMMYFUNCTION("""COMPUTED_VALUE"""),"Disponible")</f>
        <v>Disponible</v>
      </c>
      <c r="AS861" s="97"/>
      <c r="AT861" s="97"/>
      <c r="AU861" s="97" t="str">
        <f>IFERROR(__xludf.DUMMYFUNCTION("""COMPUTED_VALUE"""),"Falta")</f>
        <v>Falta</v>
      </c>
      <c r="AV861" s="97" t="str">
        <f>IFERROR(__xludf.DUMMYFUNCTION("""COMPUTED_VALUE"""),"Aplique")</f>
        <v>Aplique</v>
      </c>
      <c r="AW861" s="97" t="str">
        <f>IFERROR(__xludf.DUMMYFUNCTION("""COMPUTED_VALUE"""),"De Pared")</f>
        <v>De Pared</v>
      </c>
      <c r="AX861" s="97" t="str">
        <f>IFERROR(__xludf.DUMMYFUNCTION("""COMPUTED_VALUE"""),"Exterior")</f>
        <v>Exterior</v>
      </c>
      <c r="AY861" s="97" t="str">
        <f>IFERROR(__xludf.DUMMYFUNCTION("""COMPUTED_VALUE"""),"-")</f>
        <v>-</v>
      </c>
      <c r="AZ861" s="97"/>
      <c r="BA861" s="97">
        <f>IFERROR(__xludf.DUMMYFUNCTION("""COMPUTED_VALUE"""),12.0)</f>
        <v>12</v>
      </c>
      <c r="BB861" s="97" t="str">
        <f>IFERROR(__xludf.DUMMYFUNCTION("""COMPUTED_VALUE"""),"-")</f>
        <v>-</v>
      </c>
      <c r="BC861" s="97" t="str">
        <f>IFERROR(__xludf.DUMMYFUNCTION("""COMPUTED_VALUE"""),"-")</f>
        <v>-</v>
      </c>
      <c r="BD861" s="97" t="str">
        <f>IFERROR(__xludf.DUMMYFUNCTION("""COMPUTED_VALUE"""),"BIG SKOTE ")</f>
        <v>BIG SKOTE </v>
      </c>
      <c r="BE861" s="97" t="str">
        <f>IFERROR(__xludf.DUMMYFUNCTION("""COMPUTED_VALUE"""),"Actualizar")</f>
        <v>Actualizar</v>
      </c>
      <c r="BF861" s="97"/>
      <c r="BG861" s="97" t="str">
        <f>IFERROR(__xludf.DUMMYFUNCTION("""COMPUTED_VALUE"""),"Activo")</f>
        <v>Activo</v>
      </c>
    </row>
    <row r="862">
      <c r="A862" s="97">
        <f>IFERROR(__xludf.DUMMYFUNCTION("""COMPUTED_VALUE"""),6635.0)</f>
        <v>6635</v>
      </c>
      <c r="B862" s="97" t="str">
        <f>IFERROR(__xludf.DUMMYFUNCTION("""COMPUTED_VALUE"""),"KIT SUSPENSION DYNA")</f>
        <v>KIT SUSPENSION DYNA</v>
      </c>
      <c r="C862" s="97" t="str">
        <f>IFERROR(__xludf.DUMMYFUNCTION("""COMPUTED_VALUE"""),"ACCESORIO KIT SUSPENSION DYNA 2MTS LEUK")</f>
        <v>ACCESORIO KIT SUSPENSION DYNA 2MTS LEUK</v>
      </c>
      <c r="D862" s="97">
        <f>IFERROR(__xludf.DUMMYFUNCTION("""COMPUTED_VALUE"""),7.798413221671E12)</f>
        <v>7798413221671</v>
      </c>
      <c r="E862" s="97" t="str">
        <f>IFERROR(__xludf.DUMMYFUNCTION("""COMPUTED_VALUE"""),"N/A")</f>
        <v>N/A</v>
      </c>
      <c r="F862" s="97" t="str">
        <f>IFERROR(__xludf.DUMMYFUNCTION("""COMPUTED_VALUE"""),"N/A")</f>
        <v>N/A</v>
      </c>
      <c r="G862" s="97" t="str">
        <f>IFERROR(__xludf.DUMMYFUNCTION("""COMPUTED_VALUE"""),"N/A")</f>
        <v>N/A</v>
      </c>
      <c r="H862" s="97" t="str">
        <f>IFERROR(__xludf.DUMMYFUNCTION("""COMPUTED_VALUE"""),"N/A")</f>
        <v>N/A</v>
      </c>
      <c r="I862" s="97" t="str">
        <f>IFERROR(__xludf.DUMMYFUNCTION("""COMPUTED_VALUE"""),"N/A")</f>
        <v>N/A</v>
      </c>
      <c r="J862" s="97" t="str">
        <f>IFERROR(__xludf.DUMMYFUNCTION("""COMPUTED_VALUE"""),"N/A")</f>
        <v>N/A</v>
      </c>
      <c r="K862" s="97" t="str">
        <f>IFERROR(__xludf.DUMMYFUNCTION("""COMPUTED_VALUE"""),"N/A")</f>
        <v>N/A</v>
      </c>
      <c r="L862" s="97" t="str">
        <f>IFERROR(__xludf.DUMMYFUNCTION("""COMPUTED_VALUE"""),"N/A")</f>
        <v>N/A</v>
      </c>
      <c r="M862" s="97" t="str">
        <f>IFERROR(__xludf.DUMMYFUNCTION("""COMPUTED_VALUE"""),"N/A")</f>
        <v>N/A</v>
      </c>
      <c r="N862" s="97"/>
      <c r="O862" s="97" t="str">
        <f>IFERROR(__xludf.DUMMYFUNCTION("""COMPUTED_VALUE"""),"-")</f>
        <v>-</v>
      </c>
      <c r="P862" s="97"/>
      <c r="Q862" s="97" t="str">
        <f>IFERROR(__xludf.DUMMYFUNCTION("""COMPUTED_VALUE"""),"-")</f>
        <v>-</v>
      </c>
      <c r="R862" s="97" t="str">
        <f>IFERROR(__xludf.DUMMYFUNCTION("""COMPUTED_VALUE"""),"-")</f>
        <v>-</v>
      </c>
      <c r="S862" s="97" t="str">
        <f>IFERROR(__xludf.DUMMYFUNCTION("""COMPUTED_VALUE"""),"-")</f>
        <v>-</v>
      </c>
      <c r="T862" s="97" t="str">
        <f>IFERROR(__xludf.DUMMYFUNCTION("""COMPUTED_VALUE"""),"-")</f>
        <v>-</v>
      </c>
      <c r="U862" s="97" t="str">
        <f>IFERROR(__xludf.DUMMYFUNCTION("""COMPUTED_VALUE"""),"-")</f>
        <v>-</v>
      </c>
      <c r="V862" s="97" t="str">
        <f>IFERROR(__xludf.DUMMYFUNCTION("""COMPUTED_VALUE"""),"N/A")</f>
        <v>N/A</v>
      </c>
      <c r="W862" s="97" t="str">
        <f>IFERROR(__xludf.DUMMYFUNCTION("""COMPUTED_VALUE"""),"N/A")</f>
        <v>N/A</v>
      </c>
      <c r="X862" s="97" t="str">
        <f>IFERROR(__xludf.DUMMYFUNCTION("""COMPUTED_VALUE"""),"-")</f>
        <v>-</v>
      </c>
      <c r="Y862" s="97" t="str">
        <f>IFERROR(__xludf.DUMMYFUNCTION("""COMPUTED_VALUE"""),"N/A")</f>
        <v>N/A</v>
      </c>
      <c r="Z862" s="97" t="str">
        <f>IFERROR(__xludf.DUMMYFUNCTION("""COMPUTED_VALUE"""),"N/A")</f>
        <v>N/A</v>
      </c>
      <c r="AA862" s="97" t="str">
        <f>IFERROR(__xludf.DUMMYFUNCTION("""COMPUTED_VALUE"""),"N/A")</f>
        <v>N/A</v>
      </c>
      <c r="AB862" s="97" t="str">
        <f>IFERROR(__xludf.DUMMYFUNCTION("""COMPUTED_VALUE"""),"N/A")</f>
        <v>N/A</v>
      </c>
      <c r="AC862" s="97" t="str">
        <f>IFERROR(__xludf.DUMMYFUNCTION("""COMPUTED_VALUE"""),"N/A")</f>
        <v>N/A</v>
      </c>
      <c r="AD862" s="97" t="str">
        <f>IFERROR(__xludf.DUMMYFUNCTION("""COMPUTED_VALUE"""),"N/A")</f>
        <v>N/A</v>
      </c>
      <c r="AE862" s="97" t="str">
        <f>IFERROR(__xludf.DUMMYFUNCTION("""COMPUTED_VALUE"""),"N/A")</f>
        <v>N/A</v>
      </c>
      <c r="AF862" s="97" t="str">
        <f>IFERROR(__xludf.DUMMYFUNCTION("""COMPUTED_VALUE"""),"N/A")</f>
        <v>N/A</v>
      </c>
      <c r="AG862" s="97" t="str">
        <f>IFERROR(__xludf.DUMMYFUNCTION("""COMPUTED_VALUE"""),"2 mts")</f>
        <v>2 mts</v>
      </c>
      <c r="AH862" s="97" t="str">
        <f>IFERROR(__xludf.DUMMYFUNCTION("""COMPUTED_VALUE"""),"N/A")</f>
        <v>N/A</v>
      </c>
      <c r="AI862" s="97" t="str">
        <f>IFERROR(__xludf.DUMMYFUNCTION("""COMPUTED_VALUE"""),"N/A")</f>
        <v>N/A</v>
      </c>
      <c r="AJ862" s="97" t="str">
        <f>IFERROR(__xludf.DUMMYFUNCTION("""COMPUTED_VALUE"""),"N/A")</f>
        <v>N/A</v>
      </c>
      <c r="AK862" s="97" t="str">
        <f>IFERROR(__xludf.DUMMYFUNCTION("""COMPUTED_VALUE"""),"Acero")</f>
        <v>Acero</v>
      </c>
      <c r="AL862" s="97" t="str">
        <f>IFERROR(__xludf.DUMMYFUNCTION("""COMPUTED_VALUE"""),"Natural")</f>
        <v>Natural</v>
      </c>
      <c r="AM862" s="97" t="str">
        <f>IFERROR(__xludf.DUMMYFUNCTION("""COMPUTED_VALUE"""),"-")</f>
        <v>-</v>
      </c>
      <c r="AN862" s="97" t="str">
        <f>IFERROR(__xludf.DUMMYFUNCTION("""COMPUTED_VALUE"""),"N/A")</f>
        <v>N/A</v>
      </c>
      <c r="AO862" s="97" t="str">
        <f>IFERROR(__xludf.DUMMYFUNCTION("""COMPUTED_VALUE"""),"3 Años")</f>
        <v>3 Años</v>
      </c>
      <c r="AP862" s="97" t="str">
        <f>IFERROR(__xludf.DUMMYFUNCTION("""COMPUTED_VALUE"""),"No Aplica")</f>
        <v>No Aplica</v>
      </c>
      <c r="AQ862" s="97" t="str">
        <f>IFERROR(__xludf.DUMMYFUNCTION("""COMPUTED_VALUE"""),"No Aplica")</f>
        <v>No Aplica</v>
      </c>
      <c r="AR862" s="97" t="str">
        <f>IFERROR(__xludf.DUMMYFUNCTION("""COMPUTED_VALUE"""),"No Aplica")</f>
        <v>No Aplica</v>
      </c>
      <c r="AS862" s="97"/>
      <c r="AT862" s="97"/>
      <c r="AU862" s="97" t="str">
        <f>IFERROR(__xludf.DUMMYFUNCTION("""COMPUTED_VALUE"""),"Falta")</f>
        <v>Falta</v>
      </c>
      <c r="AV862" s="97" t="str">
        <f>IFERROR(__xludf.DUMMYFUNCTION("""COMPUTED_VALUE"""),"Accesorio")</f>
        <v>Accesorio</v>
      </c>
      <c r="AW862" s="97" t="str">
        <f>IFERROR(__xludf.DUMMYFUNCTION("""COMPUTED_VALUE"""),"Lineales")</f>
        <v>Lineales</v>
      </c>
      <c r="AX862" s="97" t="str">
        <f>IFERROR(__xludf.DUMMYFUNCTION("""COMPUTED_VALUE"""),"Interior")</f>
        <v>Interior</v>
      </c>
      <c r="AY862" s="97" t="str">
        <f>IFERROR(__xludf.DUMMYFUNCTION("""COMPUTED_VALUE"""),"Dyna")</f>
        <v>Dyna</v>
      </c>
      <c r="AZ862" s="97" t="str">
        <f>IFERROR(__xludf.DUMMYFUNCTION("""COMPUTED_VALUE"""),"Vienen 2 tensores")</f>
        <v>Vienen 2 tensores</v>
      </c>
      <c r="BA862" s="97">
        <f>IFERROR(__xludf.DUMMYFUNCTION("""COMPUTED_VALUE"""),300.0)</f>
        <v>300</v>
      </c>
      <c r="BB862" s="97" t="str">
        <f>IFERROR(__xludf.DUMMYFUNCTION("""COMPUTED_VALUE"""),"-")</f>
        <v>-</v>
      </c>
      <c r="BC862" s="97" t="str">
        <f>IFERROR(__xludf.DUMMYFUNCTION("""COMPUTED_VALUE"""),"-")</f>
        <v>-</v>
      </c>
      <c r="BD862" s="97" t="str">
        <f>IFERROR(__xludf.DUMMYFUNCTION("""COMPUTED_VALUE"""),"DYNA")</f>
        <v>DYNA</v>
      </c>
      <c r="BE862" s="97" t="str">
        <f>IFERROR(__xludf.DUMMYFUNCTION("""COMPUTED_VALUE"""),"Finalizada")</f>
        <v>Finalizada</v>
      </c>
      <c r="BF862" s="97"/>
      <c r="BG862" s="97" t="str">
        <f>IFERROR(__xludf.DUMMYFUNCTION("""COMPUTED_VALUE"""),"Activo")</f>
        <v>Activo</v>
      </c>
    </row>
    <row r="863">
      <c r="A863" s="97">
        <f>IFERROR(__xludf.DUMMYFUNCTION("""COMPUTED_VALUE"""),6636.0)</f>
        <v>6636</v>
      </c>
      <c r="B863" s="97" t="str">
        <f>IFERROR(__xludf.DUMMYFUNCTION("""COMPUTED_VALUE"""),"DRIVER DALI 60W")</f>
        <v>DRIVER DALI 60W</v>
      </c>
      <c r="C863" s="97" t="str">
        <f>IFERROR(__xludf.DUMMYFUNCTION("""COMPUTED_VALUE"""),"ACCESORIO DRIVER DALI 60W LEUK")</f>
        <v>ACCESORIO DRIVER DALI 60W LEUK</v>
      </c>
      <c r="D863" s="97">
        <f>IFERROR(__xludf.DUMMYFUNCTION("""COMPUTED_VALUE"""),7.79841322177E12)</f>
        <v>7798413221770</v>
      </c>
      <c r="E863" s="97"/>
      <c r="F863" s="97" t="str">
        <f>IFERROR(__xludf.DUMMYFUNCTION("""COMPUTED_VALUE"""),"N/A")</f>
        <v>N/A</v>
      </c>
      <c r="G863" s="97" t="str">
        <f>IFERROR(__xludf.DUMMYFUNCTION("""COMPUTED_VALUE"""),"N/A")</f>
        <v>N/A</v>
      </c>
      <c r="H863" s="97" t="str">
        <f>IFERROR(__xludf.DUMMYFUNCTION("""COMPUTED_VALUE"""),"Lifud")</f>
        <v>Lifud</v>
      </c>
      <c r="I863" s="97" t="str">
        <f>IFERROR(__xludf.DUMMYFUNCTION("""COMPUTED_VALUE"""),"N/A")</f>
        <v>N/A</v>
      </c>
      <c r="J863" s="97" t="str">
        <f>IFERROR(__xludf.DUMMYFUNCTION("""COMPUTED_VALUE"""),"N/A")</f>
        <v>N/A</v>
      </c>
      <c r="K863" s="97" t="str">
        <f>IFERROR(__xludf.DUMMYFUNCTION("""COMPUTED_VALUE"""),"DALI")</f>
        <v>DALI</v>
      </c>
      <c r="L863" s="97" t="str">
        <f>IFERROR(__xludf.DUMMYFUNCTION("""COMPUTED_VALUE"""),"200-240")</f>
        <v>200-240</v>
      </c>
      <c r="M863" s="97" t="str">
        <f>IFERROR(__xludf.DUMMYFUNCTION("""COMPUTED_VALUE"""),"50/60")</f>
        <v>50/60</v>
      </c>
      <c r="N863" s="97" t="str">
        <f>IFERROR(__xludf.DUMMYFUNCTION("""COMPUTED_VALUE"""),"N/A")</f>
        <v>N/A</v>
      </c>
      <c r="O863" s="97">
        <f>IFERROR(__xludf.DUMMYFUNCTION("""COMPUTED_VALUE"""),60.0)</f>
        <v>60</v>
      </c>
      <c r="P863" s="97"/>
      <c r="Q863" s="97">
        <f>IFERROR(__xludf.DUMMYFUNCTION("""COMPUTED_VALUE"""),0.95)</f>
        <v>0.95</v>
      </c>
      <c r="R863" s="97" t="str">
        <f>IFERROR(__xludf.DUMMYFUNCTION("""COMPUTED_VALUE"""),"-")</f>
        <v>-</v>
      </c>
      <c r="S863" s="97" t="str">
        <f>IFERROR(__xludf.DUMMYFUNCTION("""COMPUTED_VALUE"""),"-")</f>
        <v>-</v>
      </c>
      <c r="T863" s="97" t="str">
        <f>IFERROR(__xludf.DUMMYFUNCTION("""COMPUTED_VALUE"""),"-")</f>
        <v>-</v>
      </c>
      <c r="U863" s="97" t="str">
        <f>IFERROR(__xludf.DUMMYFUNCTION("""COMPUTED_VALUE"""),"-")</f>
        <v>-</v>
      </c>
      <c r="V863" s="97" t="str">
        <f>IFERROR(__xludf.DUMMYFUNCTION("""COMPUTED_VALUE"""),"N/A")</f>
        <v>N/A</v>
      </c>
      <c r="W863" s="97" t="str">
        <f>IFERROR(__xludf.DUMMYFUNCTION("""COMPUTED_VALUE"""),"N/A")</f>
        <v>N/A</v>
      </c>
      <c r="X863" s="97" t="str">
        <f>IFERROR(__xludf.DUMMYFUNCTION("""COMPUTED_VALUE"""),"-")</f>
        <v>-</v>
      </c>
      <c r="Y863" s="97" t="str">
        <f>IFERROR(__xludf.DUMMYFUNCTION("""COMPUTED_VALUE"""),"N/A")</f>
        <v>N/A</v>
      </c>
      <c r="Z863" s="97" t="str">
        <f>IFERROR(__xludf.DUMMYFUNCTION("""COMPUTED_VALUE"""),"N/A")</f>
        <v>N/A</v>
      </c>
      <c r="AA863" s="97" t="str">
        <f>IFERROR(__xludf.DUMMYFUNCTION("""COMPUTED_VALUE"""),"N/A")</f>
        <v>N/A</v>
      </c>
      <c r="AB863" s="97" t="str">
        <f>IFERROR(__xludf.DUMMYFUNCTION("""COMPUTED_VALUE"""),"N/A")</f>
        <v>N/A</v>
      </c>
      <c r="AC863" s="97" t="str">
        <f>IFERROR(__xludf.DUMMYFUNCTION("""COMPUTED_VALUE"""),"N/A")</f>
        <v>N/A</v>
      </c>
      <c r="AD863" s="97" t="str">
        <f>IFERROR(__xludf.DUMMYFUNCTION("""COMPUTED_VALUE"""),"IP20")</f>
        <v>IP20</v>
      </c>
      <c r="AE863" s="97" t="str">
        <f>IFERROR(__xludf.DUMMYFUNCTION("""COMPUTED_VALUE"""),"Clase l")</f>
        <v>Clase l</v>
      </c>
      <c r="AF863" s="97" t="str">
        <f>IFERROR(__xludf.DUMMYFUNCTION("""COMPUTED_VALUE"""),"N/A")</f>
        <v>N/A</v>
      </c>
      <c r="AG863" s="97" t="str">
        <f>IFERROR(__xludf.DUMMYFUNCTION("""COMPUTED_VALUE"""),"291 x 30 x 21")</f>
        <v>291 x 30 x 21</v>
      </c>
      <c r="AH863" s="97" t="str">
        <f>IFERROR(__xludf.DUMMYFUNCTION("""COMPUTED_VALUE"""),"N/A")</f>
        <v>N/A</v>
      </c>
      <c r="AI863" s="97" t="str">
        <f>IFERROR(__xludf.DUMMYFUNCTION("""COMPUTED_VALUE"""),"N/A")</f>
        <v>N/A</v>
      </c>
      <c r="AJ863" s="97" t="str">
        <f>IFERROR(__xludf.DUMMYFUNCTION("""COMPUTED_VALUE"""),"N/A")</f>
        <v>N/A</v>
      </c>
      <c r="AK863" s="97" t="str">
        <f>IFERROR(__xludf.DUMMYFUNCTION("""COMPUTED_VALUE"""),"Acero")</f>
        <v>Acero</v>
      </c>
      <c r="AL863" s="97" t="str">
        <f>IFERROR(__xludf.DUMMYFUNCTION("""COMPUTED_VALUE"""),"Natural")</f>
        <v>Natural</v>
      </c>
      <c r="AM863" s="97" t="str">
        <f>IFERROR(__xludf.DUMMYFUNCTION("""COMPUTED_VALUE"""),"-20℃ a 45℃")</f>
        <v>-20℃ a 45℃</v>
      </c>
      <c r="AN863" s="97" t="str">
        <f>IFERROR(__xludf.DUMMYFUNCTION("""COMPUTED_VALUE"""),"N/A")</f>
        <v>N/A</v>
      </c>
      <c r="AO863" s="97" t="str">
        <f>IFERROR(__xludf.DUMMYFUNCTION("""COMPUTED_VALUE"""),"3 Años")</f>
        <v>3 Años</v>
      </c>
      <c r="AP863" s="97" t="str">
        <f>IFERROR(__xludf.DUMMYFUNCTION("""COMPUTED_VALUE"""),"No Aplica")</f>
        <v>No Aplica</v>
      </c>
      <c r="AQ863" s="97" t="str">
        <f>IFERROR(__xludf.DUMMYFUNCTION("""COMPUTED_VALUE"""),"No Aplica")</f>
        <v>No Aplica</v>
      </c>
      <c r="AR863" s="97" t="str">
        <f>IFERROR(__xludf.DUMMYFUNCTION("""COMPUTED_VALUE"""),"No Aplica")</f>
        <v>No Aplica</v>
      </c>
      <c r="AS863" s="97"/>
      <c r="AT863" s="97"/>
      <c r="AU863" s="97" t="str">
        <f>IFERROR(__xludf.DUMMYFUNCTION("""COMPUTED_VALUE"""),"Falta")</f>
        <v>Falta</v>
      </c>
      <c r="AV863" s="97" t="str">
        <f>IFERROR(__xludf.DUMMYFUNCTION("""COMPUTED_VALUE"""),"Accesorio")</f>
        <v>Accesorio</v>
      </c>
      <c r="AW863" s="97" t="str">
        <f>IFERROR(__xludf.DUMMYFUNCTION("""COMPUTED_VALUE"""),"Lineales")</f>
        <v>Lineales</v>
      </c>
      <c r="AX863" s="97" t="str">
        <f>IFERROR(__xludf.DUMMYFUNCTION("""COMPUTED_VALUE"""),"Interior")</f>
        <v>Interior</v>
      </c>
      <c r="AY863" s="97" t="str">
        <f>IFERROR(__xludf.DUMMYFUNCTION("""COMPUTED_VALUE"""),"Dyna")</f>
        <v>Dyna</v>
      </c>
      <c r="AZ863" s="97" t="str">
        <f>IFERROR(__xludf.DUMMYFUNCTION("""COMPUTED_VALUE"""),"Protocolo Dali-2. Flicker-Free. Salida: 25-42Vdc / 1100 a 1500mA")</f>
        <v>Protocolo Dali-2. Flicker-Free. Salida: 25-42Vdc / 1100 a 1500mA</v>
      </c>
      <c r="BA863" s="97">
        <f>IFERROR(__xludf.DUMMYFUNCTION("""COMPUTED_VALUE"""),48.0)</f>
        <v>48</v>
      </c>
      <c r="BB863" s="97" t="str">
        <f>IFERROR(__xludf.DUMMYFUNCTION("""COMPUTED_VALUE"""),"245g")</f>
        <v>245g</v>
      </c>
      <c r="BC863" s="97" t="str">
        <f>IFERROR(__xludf.DUMMYFUNCTION("""COMPUTED_VALUE"""),"-")</f>
        <v>-</v>
      </c>
      <c r="BD863" s="97" t="str">
        <f>IFERROR(__xludf.DUMMYFUNCTION("""COMPUTED_VALUE"""),"DYNA DRIVERS")</f>
        <v>DYNA DRIVERS</v>
      </c>
      <c r="BE863" s="97" t="str">
        <f>IFERROR(__xludf.DUMMYFUNCTION("""COMPUTED_VALUE"""),"Finalizada")</f>
        <v>Finalizada</v>
      </c>
      <c r="BF863" s="97"/>
      <c r="BG863" s="97" t="str">
        <f>IFERROR(__xludf.DUMMYFUNCTION("""COMPUTED_VALUE"""),"Activo")</f>
        <v>Activo</v>
      </c>
    </row>
    <row r="864">
      <c r="A864" s="97">
        <f>IFERROR(__xludf.DUMMYFUNCTION("""COMPUTED_VALUE"""),6637.0)</f>
        <v>6637</v>
      </c>
      <c r="B864" s="97" t="str">
        <f>IFERROR(__xludf.DUMMYFUNCTION("""COMPUTED_VALUE"""),"DRIVER TRIAC 40W")</f>
        <v>DRIVER TRIAC 40W</v>
      </c>
      <c r="C864" s="97" t="str">
        <f>IFERROR(__xludf.DUMMYFUNCTION("""COMPUTED_VALUE"""),"ACCESORIO DRIVER TRIAC 40W LEUK")</f>
        <v>ACCESORIO DRIVER TRIAC 40W LEUK</v>
      </c>
      <c r="D864" s="97">
        <f>IFERROR(__xludf.DUMMYFUNCTION("""COMPUTED_VALUE"""),7.798413221787E12)</f>
        <v>7798413221787</v>
      </c>
      <c r="E864" s="97"/>
      <c r="F864" s="97" t="str">
        <f>IFERROR(__xludf.DUMMYFUNCTION("""COMPUTED_VALUE"""),"N/A")</f>
        <v>N/A</v>
      </c>
      <c r="G864" s="97" t="str">
        <f>IFERROR(__xludf.DUMMYFUNCTION("""COMPUTED_VALUE"""),"N/A")</f>
        <v>N/A</v>
      </c>
      <c r="H864" s="97" t="str">
        <f>IFERROR(__xludf.DUMMYFUNCTION("""COMPUTED_VALUE"""),"AiDimming")</f>
        <v>AiDimming</v>
      </c>
      <c r="I864" s="97" t="str">
        <f>IFERROR(__xludf.DUMMYFUNCTION("""COMPUTED_VALUE"""),"N/A")</f>
        <v>N/A</v>
      </c>
      <c r="J864" s="97" t="str">
        <f>IFERROR(__xludf.DUMMYFUNCTION("""COMPUTED_VALUE"""),"N/A")</f>
        <v>N/A</v>
      </c>
      <c r="K864" s="97" t="str">
        <f>IFERROR(__xludf.DUMMYFUNCTION("""COMPUTED_VALUE"""),"TRIAC")</f>
        <v>TRIAC</v>
      </c>
      <c r="L864" s="97" t="str">
        <f>IFERROR(__xludf.DUMMYFUNCTION("""COMPUTED_VALUE"""),"200-240")</f>
        <v>200-240</v>
      </c>
      <c r="M864" s="97" t="str">
        <f>IFERROR(__xludf.DUMMYFUNCTION("""COMPUTED_VALUE"""),"50/60")</f>
        <v>50/60</v>
      </c>
      <c r="N864" s="97" t="str">
        <f>IFERROR(__xludf.DUMMYFUNCTION("""COMPUTED_VALUE"""),"N/A")</f>
        <v>N/A</v>
      </c>
      <c r="O864" s="97">
        <f>IFERROR(__xludf.DUMMYFUNCTION("""COMPUTED_VALUE"""),40.0)</f>
        <v>40</v>
      </c>
      <c r="P864" s="97"/>
      <c r="Q864" s="97">
        <f>IFERROR(__xludf.DUMMYFUNCTION("""COMPUTED_VALUE"""),0.98)</f>
        <v>0.98</v>
      </c>
      <c r="R864" s="97" t="str">
        <f>IFERROR(__xludf.DUMMYFUNCTION("""COMPUTED_VALUE"""),"-")</f>
        <v>-</v>
      </c>
      <c r="S864" s="97" t="str">
        <f>IFERROR(__xludf.DUMMYFUNCTION("""COMPUTED_VALUE"""),"-")</f>
        <v>-</v>
      </c>
      <c r="T864" s="97" t="str">
        <f>IFERROR(__xludf.DUMMYFUNCTION("""COMPUTED_VALUE"""),"-")</f>
        <v>-</v>
      </c>
      <c r="U864" s="97" t="str">
        <f>IFERROR(__xludf.DUMMYFUNCTION("""COMPUTED_VALUE"""),"-")</f>
        <v>-</v>
      </c>
      <c r="V864" s="97" t="str">
        <f>IFERROR(__xludf.DUMMYFUNCTION("""COMPUTED_VALUE"""),"N/A")</f>
        <v>N/A</v>
      </c>
      <c r="W864" s="97" t="str">
        <f>IFERROR(__xludf.DUMMYFUNCTION("""COMPUTED_VALUE"""),"N/A")</f>
        <v>N/A</v>
      </c>
      <c r="X864" s="97" t="str">
        <f>IFERROR(__xludf.DUMMYFUNCTION("""COMPUTED_VALUE"""),"-")</f>
        <v>-</v>
      </c>
      <c r="Y864" s="97" t="str">
        <f>IFERROR(__xludf.DUMMYFUNCTION("""COMPUTED_VALUE"""),"N/A")</f>
        <v>N/A</v>
      </c>
      <c r="Z864" s="97" t="str">
        <f>IFERROR(__xludf.DUMMYFUNCTION("""COMPUTED_VALUE"""),"N/A")</f>
        <v>N/A</v>
      </c>
      <c r="AA864" s="97" t="str">
        <f>IFERROR(__xludf.DUMMYFUNCTION("""COMPUTED_VALUE"""),"N/A")</f>
        <v>N/A</v>
      </c>
      <c r="AB864" s="97" t="str">
        <f>IFERROR(__xludf.DUMMYFUNCTION("""COMPUTED_VALUE"""),"N/A")</f>
        <v>N/A</v>
      </c>
      <c r="AC864" s="97" t="str">
        <f>IFERROR(__xludf.DUMMYFUNCTION("""COMPUTED_VALUE"""),"N/A")</f>
        <v>N/A</v>
      </c>
      <c r="AD864" s="97" t="str">
        <f>IFERROR(__xludf.DUMMYFUNCTION("""COMPUTED_VALUE"""),"IP20")</f>
        <v>IP20</v>
      </c>
      <c r="AE864" s="97" t="str">
        <f>IFERROR(__xludf.DUMMYFUNCTION("""COMPUTED_VALUE"""),"Clase l")</f>
        <v>Clase l</v>
      </c>
      <c r="AF864" s="97" t="str">
        <f>IFERROR(__xludf.DUMMYFUNCTION("""COMPUTED_VALUE"""),"N/A")</f>
        <v>N/A</v>
      </c>
      <c r="AG864" s="97" t="str">
        <f>IFERROR(__xludf.DUMMYFUNCTION("""COMPUTED_VALUE"""),"285 x 30 x 21")</f>
        <v>285 x 30 x 21</v>
      </c>
      <c r="AH864" s="97" t="str">
        <f>IFERROR(__xludf.DUMMYFUNCTION("""COMPUTED_VALUE"""),"N/A")</f>
        <v>N/A</v>
      </c>
      <c r="AI864" s="97" t="str">
        <f>IFERROR(__xludf.DUMMYFUNCTION("""COMPUTED_VALUE"""),"N/A")</f>
        <v>N/A</v>
      </c>
      <c r="AJ864" s="97" t="str">
        <f>IFERROR(__xludf.DUMMYFUNCTION("""COMPUTED_VALUE"""),"N/A")</f>
        <v>N/A</v>
      </c>
      <c r="AK864" s="97" t="str">
        <f>IFERROR(__xludf.DUMMYFUNCTION("""COMPUTED_VALUE"""),"Acero")</f>
        <v>Acero</v>
      </c>
      <c r="AL864" s="97" t="str">
        <f>IFERROR(__xludf.DUMMYFUNCTION("""COMPUTED_VALUE"""),"Natural")</f>
        <v>Natural</v>
      </c>
      <c r="AM864" s="97" t="str">
        <f>IFERROR(__xludf.DUMMYFUNCTION("""COMPUTED_VALUE"""),"-20℃ a 50℃")</f>
        <v>-20℃ a 50℃</v>
      </c>
      <c r="AN864" s="97" t="str">
        <f>IFERROR(__xludf.DUMMYFUNCTION("""COMPUTED_VALUE"""),"N/A")</f>
        <v>N/A</v>
      </c>
      <c r="AO864" s="97" t="str">
        <f>IFERROR(__xludf.DUMMYFUNCTION("""COMPUTED_VALUE"""),"3 Años")</f>
        <v>3 Años</v>
      </c>
      <c r="AP864" s="97" t="str">
        <f>IFERROR(__xludf.DUMMYFUNCTION("""COMPUTED_VALUE"""),"No Aplica")</f>
        <v>No Aplica</v>
      </c>
      <c r="AQ864" s="97" t="str">
        <f>IFERROR(__xludf.DUMMYFUNCTION("""COMPUTED_VALUE"""),"No Aplica")</f>
        <v>No Aplica</v>
      </c>
      <c r="AR864" s="97" t="str">
        <f>IFERROR(__xludf.DUMMYFUNCTION("""COMPUTED_VALUE"""),"No Aplica")</f>
        <v>No Aplica</v>
      </c>
      <c r="AS864" s="97"/>
      <c r="AT864" s="97"/>
      <c r="AU864" s="97" t="str">
        <f>IFERROR(__xludf.DUMMYFUNCTION("""COMPUTED_VALUE"""),"Falta")</f>
        <v>Falta</v>
      </c>
      <c r="AV864" s="97" t="str">
        <f>IFERROR(__xludf.DUMMYFUNCTION("""COMPUTED_VALUE"""),"Accesorio")</f>
        <v>Accesorio</v>
      </c>
      <c r="AW864" s="97" t="str">
        <f>IFERROR(__xludf.DUMMYFUNCTION("""COMPUTED_VALUE"""),"Lineales")</f>
        <v>Lineales</v>
      </c>
      <c r="AX864" s="97" t="str">
        <f>IFERROR(__xludf.DUMMYFUNCTION("""COMPUTED_VALUE"""),"Interior")</f>
        <v>Interior</v>
      </c>
      <c r="AY864" s="97" t="str">
        <f>IFERROR(__xludf.DUMMYFUNCTION("""COMPUTED_VALUE"""),"Dyna")</f>
        <v>Dyna</v>
      </c>
      <c r="AZ864" s="97" t="str">
        <f>IFERROR(__xludf.DUMMYFUNCTION("""COMPUTED_VALUE"""),"Flicker-Free. Salida: 26-42Vdc / 900 a 1050mA")</f>
        <v>Flicker-Free. Salida: 26-42Vdc / 900 a 1050mA</v>
      </c>
      <c r="BA864" s="97">
        <f>IFERROR(__xludf.DUMMYFUNCTION("""COMPUTED_VALUE"""),30.0)</f>
        <v>30</v>
      </c>
      <c r="BB864" s="97" t="str">
        <f>IFERROR(__xludf.DUMMYFUNCTION("""COMPUTED_VALUE"""),"217g")</f>
        <v>217g</v>
      </c>
      <c r="BC864" s="97" t="str">
        <f>IFERROR(__xludf.DUMMYFUNCTION("""COMPUTED_VALUE"""),"-")</f>
        <v>-</v>
      </c>
      <c r="BD864" s="97" t="str">
        <f>IFERROR(__xludf.DUMMYFUNCTION("""COMPUTED_VALUE"""),"DYNA DRIVERS")</f>
        <v>DYNA DRIVERS</v>
      </c>
      <c r="BE864" s="97" t="str">
        <f>IFERROR(__xludf.DUMMYFUNCTION("""COMPUTED_VALUE"""),"Finalizada")</f>
        <v>Finalizada</v>
      </c>
      <c r="BF864" s="97"/>
      <c r="BG864" s="97" t="str">
        <f>IFERROR(__xludf.DUMMYFUNCTION("""COMPUTED_VALUE"""),"Activo")</f>
        <v>Activo</v>
      </c>
    </row>
    <row r="865">
      <c r="A865" s="97">
        <f>IFERROR(__xludf.DUMMYFUNCTION("""COMPUTED_VALUE"""),6638.0)</f>
        <v>6638</v>
      </c>
      <c r="B865" s="97" t="str">
        <f>IFERROR(__xludf.DUMMYFUNCTION("""COMPUTED_VALUE"""),"TOTEM")</f>
        <v>TOTEM</v>
      </c>
      <c r="C865" s="97" t="str">
        <f>IFERROR(__xludf.DUMMYFUNCTION("""COMPUTED_VALUE"""),"BOLARDO TOTEM 10W 3000K 670LM CRI&gt;90 IP65 LEUK")</f>
        <v>BOLARDO TOTEM 10W 3000K 670LM CRI&gt;90 IP65 LEUK</v>
      </c>
      <c r="D865" s="97">
        <f>IFERROR(__xludf.DUMMYFUNCTION("""COMPUTED_VALUE"""),7.798413221435E12)</f>
        <v>7798413221435</v>
      </c>
      <c r="E865" s="97"/>
      <c r="F865" s="97" t="str">
        <f>IFERROR(__xludf.DUMMYFUNCTION("""COMPUTED_VALUE"""),"LED integrado")</f>
        <v>LED integrado</v>
      </c>
      <c r="G865" s="97" t="str">
        <f>IFERROR(__xludf.DUMMYFUNCTION("""COMPUTED_VALUE"""),"-")</f>
        <v>-</v>
      </c>
      <c r="H865" s="97" t="str">
        <f>IFERROR(__xludf.DUMMYFUNCTION("""COMPUTED_VALUE"""),"-")</f>
        <v>-</v>
      </c>
      <c r="I865" s="97"/>
      <c r="J865" s="97" t="str">
        <f>IFERROR(__xludf.DUMMYFUNCTION("""COMPUTED_VALUE"""),"Modelo: 8-12W
In: 85-265Vac 50/60Hz
Out: 24-36Vdc 270mA
Tc 75°C Ta 50°C")</f>
        <v>Modelo: 8-12W
In: 85-265Vac 50/60Hz
Out: 24-36Vdc 270mA
Tc 75°C Ta 50°C</v>
      </c>
      <c r="K865" s="97" t="str">
        <f>IFERROR(__xludf.DUMMYFUNCTION("""COMPUTED_VALUE"""),"ON/OFF")</f>
        <v>ON/OFF</v>
      </c>
      <c r="L865" s="97" t="str">
        <f>IFERROR(__xludf.DUMMYFUNCTION("""COMPUTED_VALUE"""),"220-240")</f>
        <v>220-240</v>
      </c>
      <c r="M865" s="97" t="str">
        <f>IFERROR(__xludf.DUMMYFUNCTION("""COMPUTED_VALUE"""),"50/60")</f>
        <v>50/60</v>
      </c>
      <c r="N865" s="97"/>
      <c r="O865" s="97">
        <f>IFERROR(__xludf.DUMMYFUNCTION("""COMPUTED_VALUE"""),10.0)</f>
        <v>10</v>
      </c>
      <c r="P865" s="97"/>
      <c r="Q865" s="97">
        <f>IFERROR(__xludf.DUMMYFUNCTION("""COMPUTED_VALUE"""),0.48)</f>
        <v>0.48</v>
      </c>
      <c r="R865" s="97" t="str">
        <f>IFERROR(__xludf.DUMMYFUNCTION("""COMPUTED_VALUE"""),"-")</f>
        <v>-</v>
      </c>
      <c r="S865" s="97" t="str">
        <f>IFERROR(__xludf.DUMMYFUNCTION("""COMPUTED_VALUE"""),"-")</f>
        <v>-</v>
      </c>
      <c r="T865" s="97">
        <f>IFERROR(__xludf.DUMMYFUNCTION("""COMPUTED_VALUE"""),670.0)</f>
        <v>670</v>
      </c>
      <c r="U865" s="99">
        <f>IFERROR(__xludf.DUMMYFUNCTION("""COMPUTED_VALUE"""),67.0)</f>
        <v>67</v>
      </c>
      <c r="V865" s="97">
        <f>IFERROR(__xludf.DUMMYFUNCTION("""COMPUTED_VALUE"""),105.0)</f>
        <v>105</v>
      </c>
      <c r="W865" s="97" t="str">
        <f>IFERROR(__xludf.DUMMYFUNCTION("""COMPUTED_VALUE"""),"&lt; 20")</f>
        <v>&lt; 20</v>
      </c>
      <c r="X865" s="97">
        <f>IFERROR(__xludf.DUMMYFUNCTION("""COMPUTED_VALUE"""),3000.0)</f>
        <v>3000</v>
      </c>
      <c r="Y865" s="97" t="str">
        <f>IFERROR(__xludf.DUMMYFUNCTION("""COMPUTED_VALUE"""),"&gt;90")</f>
        <v>&gt;90</v>
      </c>
      <c r="Z865" s="97"/>
      <c r="AA865" s="97"/>
      <c r="AB865" s="97" t="str">
        <f>IFERROR(__xludf.DUMMYFUNCTION("""COMPUTED_VALUE"""),"&lt; 3")</f>
        <v>&lt; 3</v>
      </c>
      <c r="AC865" s="97"/>
      <c r="AD865" s="97" t="str">
        <f>IFERROR(__xludf.DUMMYFUNCTION("""COMPUTED_VALUE"""),"IP65")</f>
        <v>IP65</v>
      </c>
      <c r="AE865" s="97" t="str">
        <f>IFERROR(__xludf.DUMMYFUNCTION("""COMPUTED_VALUE"""),"Clase l")</f>
        <v>Clase l</v>
      </c>
      <c r="AF865" s="97" t="str">
        <f>IFERROR(__xludf.DUMMYFUNCTION("""COMPUTED_VALUE"""),"Anclaje de piso")</f>
        <v>Anclaje de piso</v>
      </c>
      <c r="AG865" s="97" t="str">
        <f>IFERROR(__xludf.DUMMYFUNCTION("""COMPUTED_VALUE"""),"108 x 108 x 590")</f>
        <v>108 x 108 x 590</v>
      </c>
      <c r="AH865" s="97" t="str">
        <f>IFERROR(__xludf.DUMMYFUNCTION("""COMPUTED_VALUE"""),"N/A")</f>
        <v>N/A</v>
      </c>
      <c r="AI865" s="97" t="str">
        <f>IFERROR(__xludf.DUMMYFUNCTION("""COMPUTED_VALUE"""),"N/A")</f>
        <v>N/A</v>
      </c>
      <c r="AJ865" s="97" t="str">
        <f>IFERROR(__xludf.DUMMYFUNCTION("""COMPUTED_VALUE"""),"Vidrio")</f>
        <v>Vidrio</v>
      </c>
      <c r="AK865" s="97" t="str">
        <f>IFERROR(__xludf.DUMMYFUNCTION("""COMPUTED_VALUE"""),"Aluminio")</f>
        <v>Aluminio</v>
      </c>
      <c r="AL865" s="97" t="str">
        <f>IFERROR(__xludf.DUMMYFUNCTION("""COMPUTED_VALUE"""),"Negro Satinado")</f>
        <v>Negro Satinado</v>
      </c>
      <c r="AM865" s="97" t="str">
        <f>IFERROR(__xludf.DUMMYFUNCTION("""COMPUTED_VALUE"""),"-")</f>
        <v>-</v>
      </c>
      <c r="AN865" s="97" t="str">
        <f>IFERROR(__xludf.DUMMYFUNCTION("""COMPUTED_VALUE"""),"25.000hs (L70)")</f>
        <v>25.000hs (L70)</v>
      </c>
      <c r="AO865" s="97" t="str">
        <f>IFERROR(__xludf.DUMMYFUNCTION("""COMPUTED_VALUE"""),"2 Años")</f>
        <v>2 Años</v>
      </c>
      <c r="AP865" s="97" t="str">
        <f>IFERROR(__xludf.DUMMYFUNCTION("""COMPUTED_VALUE"""),"Disponible")</f>
        <v>Disponible</v>
      </c>
      <c r="AQ865" s="97" t="str">
        <f>IFERROR(__xludf.DUMMYFUNCTION("""COMPUTED_VALUE"""),"Disponible")</f>
        <v>Disponible</v>
      </c>
      <c r="AR865" s="97" t="str">
        <f>IFERROR(__xludf.DUMMYFUNCTION("""COMPUTED_VALUE"""),"Disponible")</f>
        <v>Disponible</v>
      </c>
      <c r="AS865" s="97" t="str">
        <f>IFERROR(__xludf.DUMMYFUNCTION("""COMPUTED_VALUE"""),"Falta")</f>
        <v>Falta</v>
      </c>
      <c r="AT865" s="97" t="str">
        <f>IFERROR(__xludf.DUMMYFUNCTION("""COMPUTED_VALUE"""),"Falta")</f>
        <v>Falta</v>
      </c>
      <c r="AU865" s="97" t="str">
        <f>IFERROR(__xludf.DUMMYFUNCTION("""COMPUTED_VALUE"""),"Falta")</f>
        <v>Falta</v>
      </c>
      <c r="AV865" s="97" t="str">
        <f>IFERROR(__xludf.DUMMYFUNCTION("""COMPUTED_VALUE"""),"Bolardo")</f>
        <v>Bolardo</v>
      </c>
      <c r="AW865" s="97" t="str">
        <f>IFERROR(__xludf.DUMMYFUNCTION("""COMPUTED_VALUE"""),"De Piso")</f>
        <v>De Piso</v>
      </c>
      <c r="AX865" s="97" t="str">
        <f>IFERROR(__xludf.DUMMYFUNCTION("""COMPUTED_VALUE"""),"Exterior")</f>
        <v>Exterior</v>
      </c>
      <c r="AY865" s="97" t="str">
        <f>IFERROR(__xludf.DUMMYFUNCTION("""COMPUTED_VALUE"""),"-")</f>
        <v>-</v>
      </c>
      <c r="AZ865" s="97"/>
      <c r="BA865" s="97">
        <f>IFERROR(__xludf.DUMMYFUNCTION("""COMPUTED_VALUE"""),8.0)</f>
        <v>8</v>
      </c>
      <c r="BB865" s="97" t="str">
        <f>IFERROR(__xludf.DUMMYFUNCTION("""COMPUTED_VALUE"""),"-")</f>
        <v>-</v>
      </c>
      <c r="BC865" s="97" t="str">
        <f>IFERROR(__xludf.DUMMYFUNCTION("""COMPUTED_VALUE"""),"-")</f>
        <v>-</v>
      </c>
      <c r="BD865" s="97" t="str">
        <f>IFERROR(__xludf.DUMMYFUNCTION("""COMPUTED_VALUE"""),"TOTEM")</f>
        <v>TOTEM</v>
      </c>
      <c r="BE865" s="97" t="str">
        <f>IFERROR(__xludf.DUMMYFUNCTION("""COMPUTED_VALUE"""),"Actualizar")</f>
        <v>Actualizar</v>
      </c>
      <c r="BF865" s="97"/>
      <c r="BG865" s="97" t="str">
        <f>IFERROR(__xludf.DUMMYFUNCTION("""COMPUTED_VALUE"""),"Activo")</f>
        <v>Activo</v>
      </c>
    </row>
    <row r="866">
      <c r="A866" s="97">
        <f>IFERROR(__xludf.DUMMYFUNCTION("""COMPUTED_VALUE"""),6639.0)</f>
        <v>6639</v>
      </c>
      <c r="B866" s="97" t="str">
        <f>IFERROR(__xludf.DUMMYFUNCTION("""COMPUTED_VALUE"""),"RUFFO")</f>
        <v>RUFFO</v>
      </c>
      <c r="C866" s="97" t="str">
        <f>IFERROR(__xludf.DUMMYFUNCTION("""COMPUTED_VALUE"""),"BOLARDO RUFFO 10W 3000K 360LM CRI&gt;80 IP65 LEUK")</f>
        <v>BOLARDO RUFFO 10W 3000K 360LM CRI&gt;80 IP65 LEUK</v>
      </c>
      <c r="D866" s="97">
        <f>IFERROR(__xludf.DUMMYFUNCTION("""COMPUTED_VALUE"""),7.798413221442E12)</f>
        <v>7798413221442</v>
      </c>
      <c r="E866" s="97"/>
      <c r="F866" s="97" t="str">
        <f>IFERROR(__xludf.DUMMYFUNCTION("""COMPUTED_VALUE"""),"LED integrado")</f>
        <v>LED integrado</v>
      </c>
      <c r="G866" s="97" t="str">
        <f>IFERROR(__xludf.DUMMYFUNCTION("""COMPUTED_VALUE"""),"-")</f>
        <v>-</v>
      </c>
      <c r="H866" s="97" t="str">
        <f>IFERROR(__xludf.DUMMYFUNCTION("""COMPUTED_VALUE"""),"-")</f>
        <v>-</v>
      </c>
      <c r="I866" s="97"/>
      <c r="J866" s="97"/>
      <c r="K866" s="97" t="str">
        <f>IFERROR(__xludf.DUMMYFUNCTION("""COMPUTED_VALUE"""),"ON/OFF")</f>
        <v>ON/OFF</v>
      </c>
      <c r="L866" s="97" t="str">
        <f>IFERROR(__xludf.DUMMYFUNCTION("""COMPUTED_VALUE"""),"220-240")</f>
        <v>220-240</v>
      </c>
      <c r="M866" s="97" t="str">
        <f>IFERROR(__xludf.DUMMYFUNCTION("""COMPUTED_VALUE"""),"50/60")</f>
        <v>50/60</v>
      </c>
      <c r="N866" s="97"/>
      <c r="O866" s="97">
        <f>IFERROR(__xludf.DUMMYFUNCTION("""COMPUTED_VALUE"""),10.0)</f>
        <v>10</v>
      </c>
      <c r="P866" s="97"/>
      <c r="Q866" s="97">
        <f>IFERROR(__xludf.DUMMYFUNCTION("""COMPUTED_VALUE"""),0.47)</f>
        <v>0.47</v>
      </c>
      <c r="R866" s="97" t="str">
        <f>IFERROR(__xludf.DUMMYFUNCTION("""COMPUTED_VALUE"""),"-")</f>
        <v>-</v>
      </c>
      <c r="S866" s="97" t="str">
        <f>IFERROR(__xludf.DUMMYFUNCTION("""COMPUTED_VALUE"""),"-")</f>
        <v>-</v>
      </c>
      <c r="T866" s="97">
        <f>IFERROR(__xludf.DUMMYFUNCTION("""COMPUTED_VALUE"""),360.0)</f>
        <v>360</v>
      </c>
      <c r="U866" s="99">
        <f>IFERROR(__xludf.DUMMYFUNCTION("""COMPUTED_VALUE"""),36.0)</f>
        <v>36</v>
      </c>
      <c r="V866" s="97">
        <f>IFERROR(__xludf.DUMMYFUNCTION("""COMPUTED_VALUE"""),62.0)</f>
        <v>62</v>
      </c>
      <c r="W866" s="97" t="str">
        <f>IFERROR(__xludf.DUMMYFUNCTION("""COMPUTED_VALUE"""),"&lt; 20")</f>
        <v>&lt; 20</v>
      </c>
      <c r="X866" s="97">
        <f>IFERROR(__xludf.DUMMYFUNCTION("""COMPUTED_VALUE"""),3000.0)</f>
        <v>3000</v>
      </c>
      <c r="Y866" s="97" t="str">
        <f>IFERROR(__xludf.DUMMYFUNCTION("""COMPUTED_VALUE"""),"&gt;80")</f>
        <v>&gt;80</v>
      </c>
      <c r="Z866" s="97"/>
      <c r="AA866" s="97"/>
      <c r="AB866" s="97" t="str">
        <f>IFERROR(__xludf.DUMMYFUNCTION("""COMPUTED_VALUE"""),"&lt; 4")</f>
        <v>&lt; 4</v>
      </c>
      <c r="AC866" s="97"/>
      <c r="AD866" s="97" t="str">
        <f>IFERROR(__xludf.DUMMYFUNCTION("""COMPUTED_VALUE"""),"IP65")</f>
        <v>IP65</v>
      </c>
      <c r="AE866" s="97" t="str">
        <f>IFERROR(__xludf.DUMMYFUNCTION("""COMPUTED_VALUE"""),"Clase l")</f>
        <v>Clase l</v>
      </c>
      <c r="AF866" s="97" t="str">
        <f>IFERROR(__xludf.DUMMYFUNCTION("""COMPUTED_VALUE"""),"Anclaje de piso")</f>
        <v>Anclaje de piso</v>
      </c>
      <c r="AG866" s="97" t="str">
        <f>IFERROR(__xludf.DUMMYFUNCTION("""COMPUTED_VALUE"""),"Ø110 x 590")</f>
        <v>Ø110 x 590</v>
      </c>
      <c r="AH866" s="97" t="str">
        <f>IFERROR(__xludf.DUMMYFUNCTION("""COMPUTED_VALUE"""),"N/A")</f>
        <v>N/A</v>
      </c>
      <c r="AI866" s="97" t="str">
        <f>IFERROR(__xludf.DUMMYFUNCTION("""COMPUTED_VALUE"""),"N/A")</f>
        <v>N/A</v>
      </c>
      <c r="AJ866" s="97" t="str">
        <f>IFERROR(__xludf.DUMMYFUNCTION("""COMPUTED_VALUE"""),"Vidrio")</f>
        <v>Vidrio</v>
      </c>
      <c r="AK866" s="97" t="str">
        <f>IFERROR(__xludf.DUMMYFUNCTION("""COMPUTED_VALUE"""),"Acero")</f>
        <v>Acero</v>
      </c>
      <c r="AL866" s="97" t="str">
        <f>IFERROR(__xludf.DUMMYFUNCTION("""COMPUTED_VALUE"""),"Negro Satinado")</f>
        <v>Negro Satinado</v>
      </c>
      <c r="AM866" s="97" t="str">
        <f>IFERROR(__xludf.DUMMYFUNCTION("""COMPUTED_VALUE"""),"-")</f>
        <v>-</v>
      </c>
      <c r="AN866" s="97" t="str">
        <f>IFERROR(__xludf.DUMMYFUNCTION("""COMPUTED_VALUE"""),"25.000hs (L70)")</f>
        <v>25.000hs (L70)</v>
      </c>
      <c r="AO866" s="97" t="str">
        <f>IFERROR(__xludf.DUMMYFUNCTION("""COMPUTED_VALUE"""),"2 Años")</f>
        <v>2 Años</v>
      </c>
      <c r="AP866" s="97" t="str">
        <f>IFERROR(__xludf.DUMMYFUNCTION("""COMPUTED_VALUE"""),"Disponible")</f>
        <v>Disponible</v>
      </c>
      <c r="AQ866" s="97" t="str">
        <f>IFERROR(__xludf.DUMMYFUNCTION("""COMPUTED_VALUE"""),"Disponible")</f>
        <v>Disponible</v>
      </c>
      <c r="AR866" s="97" t="str">
        <f>IFERROR(__xludf.DUMMYFUNCTION("""COMPUTED_VALUE"""),"Disponible")</f>
        <v>Disponible</v>
      </c>
      <c r="AS866" s="97" t="str">
        <f>IFERROR(__xludf.DUMMYFUNCTION("""COMPUTED_VALUE"""),"Falta")</f>
        <v>Falta</v>
      </c>
      <c r="AT866" s="97" t="str">
        <f>IFERROR(__xludf.DUMMYFUNCTION("""COMPUTED_VALUE"""),"Falta")</f>
        <v>Falta</v>
      </c>
      <c r="AU866" s="97" t="str">
        <f>IFERROR(__xludf.DUMMYFUNCTION("""COMPUTED_VALUE"""),"Falta")</f>
        <v>Falta</v>
      </c>
      <c r="AV866" s="97" t="str">
        <f>IFERROR(__xludf.DUMMYFUNCTION("""COMPUTED_VALUE"""),"Bolardo")</f>
        <v>Bolardo</v>
      </c>
      <c r="AW866" s="97" t="str">
        <f>IFERROR(__xludf.DUMMYFUNCTION("""COMPUTED_VALUE"""),"De Piso")</f>
        <v>De Piso</v>
      </c>
      <c r="AX866" s="97" t="str">
        <f>IFERROR(__xludf.DUMMYFUNCTION("""COMPUTED_VALUE"""),"Exterior")</f>
        <v>Exterior</v>
      </c>
      <c r="AY866" s="97" t="str">
        <f>IFERROR(__xludf.DUMMYFUNCTION("""COMPUTED_VALUE"""),"-")</f>
        <v>-</v>
      </c>
      <c r="AZ866" s="97"/>
      <c r="BA866" s="97"/>
      <c r="BB866" s="97" t="str">
        <f>IFERROR(__xludf.DUMMYFUNCTION("""COMPUTED_VALUE"""),"-")</f>
        <v>-</v>
      </c>
      <c r="BC866" s="97" t="str">
        <f>IFERROR(__xludf.DUMMYFUNCTION("""COMPUTED_VALUE"""),"-")</f>
        <v>-</v>
      </c>
      <c r="BD866" s="97" t="str">
        <f>IFERROR(__xludf.DUMMYFUNCTION("""COMPUTED_VALUE"""),"RUFFO")</f>
        <v>RUFFO</v>
      </c>
      <c r="BE866" s="97" t="str">
        <f>IFERROR(__xludf.DUMMYFUNCTION("""COMPUTED_VALUE"""),"Finalizada")</f>
        <v>Finalizada</v>
      </c>
      <c r="BF866" s="97"/>
      <c r="BG866" s="97" t="str">
        <f>IFERROR(__xludf.DUMMYFUNCTION("""COMPUTED_VALUE"""),"Activo")</f>
        <v>Activo</v>
      </c>
    </row>
    <row r="867">
      <c r="A867" s="97">
        <f>IFERROR(__xludf.DUMMYFUNCTION("""COMPUTED_VALUE"""),6640.0)</f>
        <v>6640</v>
      </c>
      <c r="B867" s="97" t="str">
        <f>IFERROR(__xludf.DUMMYFUNCTION("""COMPUTED_VALUE"""),"YETI")</f>
        <v>YETI</v>
      </c>
      <c r="C867" s="97" t="str">
        <f>IFERROR(__xludf.DUMMYFUNCTION("""COMPUTED_VALUE"""),"LUMINARIA DE EXTERIOR YETI 3W 24° NEGRO 3000K LEUK ")</f>
        <v>LUMINARIA DE EXTERIOR YETI 3W 24° NEGRO 3000K LEUK </v>
      </c>
      <c r="D867" s="97">
        <f>IFERROR(__xludf.DUMMYFUNCTION("""COMPUTED_VALUE"""),7.79841322151E12)</f>
        <v>7798413221510</v>
      </c>
      <c r="E867" s="97"/>
      <c r="F867" s="97" t="str">
        <f>IFERROR(__xludf.DUMMYFUNCTION("""COMPUTED_VALUE"""),"LED integrado")</f>
        <v>LED integrado</v>
      </c>
      <c r="G867" s="97" t="str">
        <f>IFERROR(__xludf.DUMMYFUNCTION("""COMPUTED_VALUE"""),"-")</f>
        <v>-</v>
      </c>
      <c r="H867" s="97" t="str">
        <f>IFERROR(__xludf.DUMMYFUNCTION("""COMPUTED_VALUE"""),"-")</f>
        <v>-</v>
      </c>
      <c r="I867" s="97"/>
      <c r="J867" s="97"/>
      <c r="K867" s="97" t="str">
        <f>IFERROR(__xludf.DUMMYFUNCTION("""COMPUTED_VALUE"""),"ON/OFF")</f>
        <v>ON/OFF</v>
      </c>
      <c r="L867" s="97" t="str">
        <f>IFERROR(__xludf.DUMMYFUNCTION("""COMPUTED_VALUE"""),"220-240")</f>
        <v>220-240</v>
      </c>
      <c r="M867" s="97" t="str">
        <f>IFERROR(__xludf.DUMMYFUNCTION("""COMPUTED_VALUE"""),"50/60")</f>
        <v>50/60</v>
      </c>
      <c r="N867" s="97"/>
      <c r="O867" s="97">
        <f>IFERROR(__xludf.DUMMYFUNCTION("""COMPUTED_VALUE"""),3.0)</f>
        <v>3</v>
      </c>
      <c r="P867" s="97"/>
      <c r="Q867" s="97">
        <f>IFERROR(__xludf.DUMMYFUNCTION("""COMPUTED_VALUE"""),0.5)</f>
        <v>0.5</v>
      </c>
      <c r="R867" s="97" t="str">
        <f>IFERROR(__xludf.DUMMYFUNCTION("""COMPUTED_VALUE"""),"-")</f>
        <v>-</v>
      </c>
      <c r="S867" s="97" t="str">
        <f>IFERROR(__xludf.DUMMYFUNCTION("""COMPUTED_VALUE"""),"-")</f>
        <v>-</v>
      </c>
      <c r="T867" s="97">
        <f>IFERROR(__xludf.DUMMYFUNCTION("""COMPUTED_VALUE"""),166.0)</f>
        <v>166</v>
      </c>
      <c r="U867" s="99">
        <f>IFERROR(__xludf.DUMMYFUNCTION("""COMPUTED_VALUE"""),55.333333333333336)</f>
        <v>55.33333333</v>
      </c>
      <c r="V867" s="97">
        <f>IFERROR(__xludf.DUMMYFUNCTION("""COMPUTED_VALUE"""),22.0)</f>
        <v>22</v>
      </c>
      <c r="W867" s="97" t="str">
        <f>IFERROR(__xludf.DUMMYFUNCTION("""COMPUTED_VALUE"""),"&lt; 20")</f>
        <v>&lt; 20</v>
      </c>
      <c r="X867" s="97">
        <f>IFERROR(__xludf.DUMMYFUNCTION("""COMPUTED_VALUE"""),3000.0)</f>
        <v>3000</v>
      </c>
      <c r="Y867" s="97">
        <f>IFERROR(__xludf.DUMMYFUNCTION("""COMPUTED_VALUE"""),70.0)</f>
        <v>70</v>
      </c>
      <c r="Z867" s="97" t="str">
        <f>IFERROR(__xludf.DUMMYFUNCTION("""COMPUTED_VALUE"""),"-")</f>
        <v>-</v>
      </c>
      <c r="AA867" s="97" t="str">
        <f>IFERROR(__xludf.DUMMYFUNCTION("""COMPUTED_VALUE"""),"-")</f>
        <v>-</v>
      </c>
      <c r="AB867" s="97" t="str">
        <f>IFERROR(__xludf.DUMMYFUNCTION("""COMPUTED_VALUE"""),"-")</f>
        <v>-</v>
      </c>
      <c r="AC867" s="97"/>
      <c r="AD867" s="97" t="str">
        <f>IFERROR(__xludf.DUMMYFUNCTION("""COMPUTED_VALUE"""),"IP65")</f>
        <v>IP65</v>
      </c>
      <c r="AE867" s="97" t="str">
        <f>IFERROR(__xludf.DUMMYFUNCTION("""COMPUTED_VALUE"""),"Clase l")</f>
        <v>Clase l</v>
      </c>
      <c r="AF867" s="97" t="str">
        <f>IFERROR(__xludf.DUMMYFUNCTION("""COMPUTED_VALUE"""),"Aplicar, Estaca")</f>
        <v>Aplicar, Estaca</v>
      </c>
      <c r="AG867" s="97" t="str">
        <f>IFERROR(__xludf.DUMMYFUNCTION("""COMPUTED_VALUE"""),"Ø42 x 90")</f>
        <v>Ø42 x 90</v>
      </c>
      <c r="AH867" s="97" t="str">
        <f>IFERROR(__xludf.DUMMYFUNCTION("""COMPUTED_VALUE"""),"N/A")</f>
        <v>N/A</v>
      </c>
      <c r="AI867" s="97" t="str">
        <f>IFERROR(__xludf.DUMMYFUNCTION("""COMPUTED_VALUE"""),"N/A")</f>
        <v>N/A</v>
      </c>
      <c r="AJ867" s="97" t="str">
        <f>IFERROR(__xludf.DUMMYFUNCTION("""COMPUTED_VALUE"""),"Policarbonato (PC)")</f>
        <v>Policarbonato (PC)</v>
      </c>
      <c r="AK867" s="97" t="str">
        <f>IFERROR(__xludf.DUMMYFUNCTION("""COMPUTED_VALUE"""),"Aluminio")</f>
        <v>Aluminio</v>
      </c>
      <c r="AL867" s="97" t="str">
        <f>IFERROR(__xludf.DUMMYFUNCTION("""COMPUTED_VALUE"""),"Negro Mate")</f>
        <v>Negro Mate</v>
      </c>
      <c r="AM867" s="97" t="str">
        <f>IFERROR(__xludf.DUMMYFUNCTION("""COMPUTED_VALUE"""),"-")</f>
        <v>-</v>
      </c>
      <c r="AN867" s="97" t="str">
        <f>IFERROR(__xludf.DUMMYFUNCTION("""COMPUTED_VALUE"""),"-")</f>
        <v>-</v>
      </c>
      <c r="AO867" s="97" t="str">
        <f>IFERROR(__xludf.DUMMYFUNCTION("""COMPUTED_VALUE"""),"1 Año")</f>
        <v>1 Año</v>
      </c>
      <c r="AP867" s="97" t="str">
        <f>IFERROR(__xludf.DUMMYFUNCTION("""COMPUTED_VALUE"""),"Disponible")</f>
        <v>Disponible</v>
      </c>
      <c r="AQ867" s="97" t="str">
        <f>IFERROR(__xludf.DUMMYFUNCTION("""COMPUTED_VALUE"""),"Disponible")</f>
        <v>Disponible</v>
      </c>
      <c r="AR867" s="97" t="str">
        <f>IFERROR(__xludf.DUMMYFUNCTION("""COMPUTED_VALUE"""),"Disponible")</f>
        <v>Disponible</v>
      </c>
      <c r="AS867" s="97" t="str">
        <f>IFERROR(__xludf.DUMMYFUNCTION("""COMPUTED_VALUE"""),"Falta")</f>
        <v>Falta</v>
      </c>
      <c r="AT867" s="97" t="str">
        <f>IFERROR(__xludf.DUMMYFUNCTION("""COMPUTED_VALUE"""),"Falta")</f>
        <v>Falta</v>
      </c>
      <c r="AU867" s="97" t="str">
        <f>IFERROR(__xludf.DUMMYFUNCTION("""COMPUTED_VALUE"""),"Falta")</f>
        <v>Falta</v>
      </c>
      <c r="AV867" s="97" t="str">
        <f>IFERROR(__xludf.DUMMYFUNCTION("""COMPUTED_VALUE"""),"Proyector")</f>
        <v>Proyector</v>
      </c>
      <c r="AW867" s="97" t="str">
        <f>IFERROR(__xludf.DUMMYFUNCTION("""COMPUTED_VALUE"""),"De Piso")</f>
        <v>De Piso</v>
      </c>
      <c r="AX867" s="97" t="str">
        <f>IFERROR(__xludf.DUMMYFUNCTION("""COMPUTED_VALUE"""),"Exterior")</f>
        <v>Exterior</v>
      </c>
      <c r="AY867" s="97"/>
      <c r="AZ867" s="97"/>
      <c r="BA867" s="97">
        <f>IFERROR(__xludf.DUMMYFUNCTION("""COMPUTED_VALUE"""),100.0)</f>
        <v>100</v>
      </c>
      <c r="BB867" s="97"/>
      <c r="BC867" s="97"/>
      <c r="BD867" s="97" t="str">
        <f>IFERROR(__xludf.DUMMYFUNCTION("""COMPUTED_VALUE"""),"YETI")</f>
        <v>YETI</v>
      </c>
      <c r="BE867" s="97" t="str">
        <f>IFERROR(__xludf.DUMMYFUNCTION("""COMPUTED_VALUE"""),"Finalizada")</f>
        <v>Finalizada</v>
      </c>
      <c r="BF867" s="97">
        <f>IFERROR(__xludf.DUMMYFUNCTION("""COMPUTED_VALUE"""),6690.0)</f>
        <v>6690</v>
      </c>
      <c r="BG867" s="97" t="str">
        <f>IFERROR(__xludf.DUMMYFUNCTION("""COMPUTED_VALUE"""),"Discontinuo")</f>
        <v>Discontinuo</v>
      </c>
    </row>
    <row r="868">
      <c r="A868" s="97">
        <f>IFERROR(__xludf.DUMMYFUNCTION("""COMPUTED_VALUE"""),6641.0)</f>
        <v>6641</v>
      </c>
      <c r="B868" s="97" t="str">
        <f>IFERROR(__xludf.DUMMYFUNCTION("""COMPUTED_VALUE"""),"OKTA")</f>
        <v>OKTA</v>
      </c>
      <c r="C868" s="97" t="str">
        <f>IFERROR(__xludf.DUMMYFUNCTION("""COMPUTED_VALUE"""),"APLIQUE OKTA 6W 3000K 191LM CRI&gt;80 IP65 LEUK")</f>
        <v>APLIQUE OKTA 6W 3000K 191LM CRI&gt;80 IP65 LEUK</v>
      </c>
      <c r="D868" s="97">
        <f>IFERROR(__xludf.DUMMYFUNCTION("""COMPUTED_VALUE"""),7.798413221527E12)</f>
        <v>7798413221527</v>
      </c>
      <c r="E868" s="97"/>
      <c r="F868" s="97" t="str">
        <f>IFERROR(__xludf.DUMMYFUNCTION("""COMPUTED_VALUE"""),"LED integrado")</f>
        <v>LED integrado</v>
      </c>
      <c r="G868" s="97" t="str">
        <f>IFERROR(__xludf.DUMMYFUNCTION("""COMPUTED_VALUE"""),"-")</f>
        <v>-</v>
      </c>
      <c r="H868" s="97" t="str">
        <f>IFERROR(__xludf.DUMMYFUNCTION("""COMPUTED_VALUE"""),"-")</f>
        <v>-</v>
      </c>
      <c r="I868" s="97"/>
      <c r="J868" s="97"/>
      <c r="K868" s="97" t="str">
        <f>IFERROR(__xludf.DUMMYFUNCTION("""COMPUTED_VALUE"""),"ON/OFF")</f>
        <v>ON/OFF</v>
      </c>
      <c r="L868" s="97" t="str">
        <f>IFERROR(__xludf.DUMMYFUNCTION("""COMPUTED_VALUE"""),"220-240")</f>
        <v>220-240</v>
      </c>
      <c r="M868" s="97" t="str">
        <f>IFERROR(__xludf.DUMMYFUNCTION("""COMPUTED_VALUE"""),"50/60")</f>
        <v>50/60</v>
      </c>
      <c r="N868" s="97"/>
      <c r="O868" s="97">
        <f>IFERROR(__xludf.DUMMYFUNCTION("""COMPUTED_VALUE"""),6.0)</f>
        <v>6</v>
      </c>
      <c r="P868" s="97"/>
      <c r="Q868" s="97">
        <f>IFERROR(__xludf.DUMMYFUNCTION("""COMPUTED_VALUE"""),0.53)</f>
        <v>0.53</v>
      </c>
      <c r="R868" s="97" t="str">
        <f>IFERROR(__xludf.DUMMYFUNCTION("""COMPUTED_VALUE"""),"-")</f>
        <v>-</v>
      </c>
      <c r="S868" s="97" t="str">
        <f>IFERROR(__xludf.DUMMYFUNCTION("""COMPUTED_VALUE"""),"-")</f>
        <v>-</v>
      </c>
      <c r="T868" s="97">
        <f>IFERROR(__xludf.DUMMYFUNCTION("""COMPUTED_VALUE"""),191.0)</f>
        <v>191</v>
      </c>
      <c r="U868" s="99">
        <f>IFERROR(__xludf.DUMMYFUNCTION("""COMPUTED_VALUE"""),31.833333333333332)</f>
        <v>31.83333333</v>
      </c>
      <c r="V868" s="97">
        <f>IFERROR(__xludf.DUMMYFUNCTION("""COMPUTED_VALUE"""),180.0)</f>
        <v>180</v>
      </c>
      <c r="W868" s="97" t="str">
        <f>IFERROR(__xludf.DUMMYFUNCTION("""COMPUTED_VALUE"""),"&lt; 20")</f>
        <v>&lt; 20</v>
      </c>
      <c r="X868" s="97">
        <f>IFERROR(__xludf.DUMMYFUNCTION("""COMPUTED_VALUE"""),3000.0)</f>
        <v>3000</v>
      </c>
      <c r="Y868" s="97" t="str">
        <f>IFERROR(__xludf.DUMMYFUNCTION("""COMPUTED_VALUE"""),"&gt;80")</f>
        <v>&gt;80</v>
      </c>
      <c r="Z868" s="97"/>
      <c r="AA868" s="97"/>
      <c r="AB868" s="97" t="str">
        <f>IFERROR(__xludf.DUMMYFUNCTION("""COMPUTED_VALUE"""),"-")</f>
        <v>-</v>
      </c>
      <c r="AC868" s="97"/>
      <c r="AD868" s="97" t="str">
        <f>IFERROR(__xludf.DUMMYFUNCTION("""COMPUTED_VALUE"""),"IP65")</f>
        <v>IP65</v>
      </c>
      <c r="AE868" s="97" t="str">
        <f>IFERROR(__xludf.DUMMYFUNCTION("""COMPUTED_VALUE"""),"Clase l")</f>
        <v>Clase l</v>
      </c>
      <c r="AF868" s="97" t="str">
        <f>IFERROR(__xludf.DUMMYFUNCTION("""COMPUTED_VALUE"""),"Aplicar")</f>
        <v>Aplicar</v>
      </c>
      <c r="AG868" s="97" t="str">
        <f>IFERROR(__xludf.DUMMYFUNCTION("""COMPUTED_VALUE"""),"115 x 32 x 115")</f>
        <v>115 x 32 x 115</v>
      </c>
      <c r="AH868" s="97" t="str">
        <f>IFERROR(__xludf.DUMMYFUNCTION("""COMPUTED_VALUE"""),"N/A")</f>
        <v>N/A</v>
      </c>
      <c r="AI868" s="97" t="str">
        <f>IFERROR(__xludf.DUMMYFUNCTION("""COMPUTED_VALUE"""),"N/A")</f>
        <v>N/A</v>
      </c>
      <c r="AJ868" s="97" t="str">
        <f>IFERROR(__xludf.DUMMYFUNCTION("""COMPUTED_VALUE"""),"Vidrio")</f>
        <v>Vidrio</v>
      </c>
      <c r="AK868" s="97" t="str">
        <f>IFERROR(__xludf.DUMMYFUNCTION("""COMPUTED_VALUE"""),"Aluminio")</f>
        <v>Aluminio</v>
      </c>
      <c r="AL868" s="97" t="str">
        <f>IFERROR(__xludf.DUMMYFUNCTION("""COMPUTED_VALUE"""),"Negro Satinado")</f>
        <v>Negro Satinado</v>
      </c>
      <c r="AM868" s="97" t="str">
        <f>IFERROR(__xludf.DUMMYFUNCTION("""COMPUTED_VALUE"""),"-")</f>
        <v>-</v>
      </c>
      <c r="AN868" s="97" t="str">
        <f>IFERROR(__xludf.DUMMYFUNCTION("""COMPUTED_VALUE"""),"25.000hs (L70)")</f>
        <v>25.000hs (L70)</v>
      </c>
      <c r="AO868" s="97" t="str">
        <f>IFERROR(__xludf.DUMMYFUNCTION("""COMPUTED_VALUE"""),"2 Años")</f>
        <v>2 Años</v>
      </c>
      <c r="AP868" s="97" t="str">
        <f>IFERROR(__xludf.DUMMYFUNCTION("""COMPUTED_VALUE"""),"Disponible")</f>
        <v>Disponible</v>
      </c>
      <c r="AQ868" s="97" t="str">
        <f>IFERROR(__xludf.DUMMYFUNCTION("""COMPUTED_VALUE"""),"Disponible")</f>
        <v>Disponible</v>
      </c>
      <c r="AR868" s="97" t="str">
        <f>IFERROR(__xludf.DUMMYFUNCTION("""COMPUTED_VALUE"""),"Disponible")</f>
        <v>Disponible</v>
      </c>
      <c r="AS868" s="97"/>
      <c r="AT868" s="97"/>
      <c r="AU868" s="97" t="str">
        <f>IFERROR(__xludf.DUMMYFUNCTION("""COMPUTED_VALUE"""),"Falta")</f>
        <v>Falta</v>
      </c>
      <c r="AV868" s="97" t="str">
        <f>IFERROR(__xludf.DUMMYFUNCTION("""COMPUTED_VALUE"""),"Aplique")</f>
        <v>Aplique</v>
      </c>
      <c r="AW868" s="97" t="str">
        <f>IFERROR(__xludf.DUMMYFUNCTION("""COMPUTED_VALUE"""),"De Pared")</f>
        <v>De Pared</v>
      </c>
      <c r="AX868" s="97" t="str">
        <f>IFERROR(__xludf.DUMMYFUNCTION("""COMPUTED_VALUE"""),"Exterior")</f>
        <v>Exterior</v>
      </c>
      <c r="AY868" s="97" t="str">
        <f>IFERROR(__xludf.DUMMYFUNCTION("""COMPUTED_VALUE"""),"-")</f>
        <v>-</v>
      </c>
      <c r="AZ868" s="97"/>
      <c r="BA868" s="97">
        <f>IFERROR(__xludf.DUMMYFUNCTION("""COMPUTED_VALUE"""),40.0)</f>
        <v>40</v>
      </c>
      <c r="BB868" s="97" t="str">
        <f>IFERROR(__xludf.DUMMYFUNCTION("""COMPUTED_VALUE"""),"-")</f>
        <v>-</v>
      </c>
      <c r="BC868" s="97" t="str">
        <f>IFERROR(__xludf.DUMMYFUNCTION("""COMPUTED_VALUE"""),"-")</f>
        <v>-</v>
      </c>
      <c r="BD868" s="97" t="str">
        <f>IFERROR(__xludf.DUMMYFUNCTION("""COMPUTED_VALUE"""),"OKTA")</f>
        <v>OKTA</v>
      </c>
      <c r="BE868" s="97" t="str">
        <f>IFERROR(__xludf.DUMMYFUNCTION("""COMPUTED_VALUE"""),"Finalizada")</f>
        <v>Finalizada</v>
      </c>
      <c r="BF868" s="97"/>
      <c r="BG868" s="97" t="str">
        <f>IFERROR(__xludf.DUMMYFUNCTION("""COMPUTED_VALUE"""),"Activo")</f>
        <v>Activo</v>
      </c>
    </row>
    <row r="869">
      <c r="A869" s="97">
        <f>IFERROR(__xludf.DUMMYFUNCTION("""COMPUTED_VALUE"""),6642.0)</f>
        <v>6642</v>
      </c>
      <c r="B869" s="97" t="str">
        <f>IFERROR(__xludf.DUMMYFUNCTION("""COMPUTED_VALUE"""),"SCALA")</f>
        <v>SCALA</v>
      </c>
      <c r="C869" s="97" t="str">
        <f>IFERROR(__xludf.DUMMYFUNCTION("""COMPUTED_VALUE"""),"EMPOTRABLE SCALA 6W 3000K 25LM CRI&gt;80 IP65 LEUK")</f>
        <v>EMPOTRABLE SCALA 6W 3000K 25LM CRI&gt;80 IP65 LEUK</v>
      </c>
      <c r="D869" s="97">
        <f>IFERROR(__xludf.DUMMYFUNCTION("""COMPUTED_VALUE"""),7.798413221534E12)</f>
        <v>7798413221534</v>
      </c>
      <c r="E869" s="97"/>
      <c r="F869" s="97" t="str">
        <f>IFERROR(__xludf.DUMMYFUNCTION("""COMPUTED_VALUE"""),"LED integrado")</f>
        <v>LED integrado</v>
      </c>
      <c r="G869" s="97" t="str">
        <f>IFERROR(__xludf.DUMMYFUNCTION("""COMPUTED_VALUE"""),"-")</f>
        <v>-</v>
      </c>
      <c r="H869" s="97" t="str">
        <f>IFERROR(__xludf.DUMMYFUNCTION("""COMPUTED_VALUE"""),"-")</f>
        <v>-</v>
      </c>
      <c r="I869" s="97"/>
      <c r="J869" s="97"/>
      <c r="K869" s="97" t="str">
        <f>IFERROR(__xludf.DUMMYFUNCTION("""COMPUTED_VALUE"""),"ON/OFF")</f>
        <v>ON/OFF</v>
      </c>
      <c r="L869" s="97" t="str">
        <f>IFERROR(__xludf.DUMMYFUNCTION("""COMPUTED_VALUE"""),"220-240")</f>
        <v>220-240</v>
      </c>
      <c r="M869" s="97" t="str">
        <f>IFERROR(__xludf.DUMMYFUNCTION("""COMPUTED_VALUE"""),"50/60")</f>
        <v>50/60</v>
      </c>
      <c r="N869" s="97"/>
      <c r="O869" s="97">
        <f>IFERROR(__xludf.DUMMYFUNCTION("""COMPUTED_VALUE"""),6.0)</f>
        <v>6</v>
      </c>
      <c r="P869" s="97"/>
      <c r="Q869" s="97">
        <f>IFERROR(__xludf.DUMMYFUNCTION("""COMPUTED_VALUE"""),0.49)</f>
        <v>0.49</v>
      </c>
      <c r="R869" s="97" t="str">
        <f>IFERROR(__xludf.DUMMYFUNCTION("""COMPUTED_VALUE"""),"-")</f>
        <v>-</v>
      </c>
      <c r="S869" s="97" t="str">
        <f>IFERROR(__xludf.DUMMYFUNCTION("""COMPUTED_VALUE"""),"-")</f>
        <v>-</v>
      </c>
      <c r="T869" s="97">
        <f>IFERROR(__xludf.DUMMYFUNCTION("""COMPUTED_VALUE"""),25.0)</f>
        <v>25</v>
      </c>
      <c r="U869" s="99">
        <f>IFERROR(__xludf.DUMMYFUNCTION("""COMPUTED_VALUE"""),4.166666666666667)</f>
        <v>4.166666667</v>
      </c>
      <c r="V869" s="97">
        <f>IFERROR(__xludf.DUMMYFUNCTION("""COMPUTED_VALUE"""),45.0)</f>
        <v>45</v>
      </c>
      <c r="W869" s="97" t="str">
        <f>IFERROR(__xludf.DUMMYFUNCTION("""COMPUTED_VALUE"""),"&lt; 20")</f>
        <v>&lt; 20</v>
      </c>
      <c r="X869" s="97">
        <f>IFERROR(__xludf.DUMMYFUNCTION("""COMPUTED_VALUE"""),3000.0)</f>
        <v>3000</v>
      </c>
      <c r="Y869" s="97" t="str">
        <f>IFERROR(__xludf.DUMMYFUNCTION("""COMPUTED_VALUE"""),"&gt;80")</f>
        <v>&gt;80</v>
      </c>
      <c r="Z869" s="97"/>
      <c r="AA869" s="97"/>
      <c r="AB869" s="97" t="str">
        <f>IFERROR(__xludf.DUMMYFUNCTION("""COMPUTED_VALUE"""),"&lt; 4")</f>
        <v>&lt; 4</v>
      </c>
      <c r="AC869" s="97"/>
      <c r="AD869" s="97" t="str">
        <f>IFERROR(__xludf.DUMMYFUNCTION("""COMPUTED_VALUE"""),"IP65")</f>
        <v>IP65</v>
      </c>
      <c r="AE869" s="97" t="str">
        <f>IFERROR(__xludf.DUMMYFUNCTION("""COMPUTED_VALUE"""),"Clase l")</f>
        <v>Clase l</v>
      </c>
      <c r="AF869" s="97" t="str">
        <f>IFERROR(__xludf.DUMMYFUNCTION("""COMPUTED_VALUE"""),"Embutir")</f>
        <v>Embutir</v>
      </c>
      <c r="AG869" s="97" t="str">
        <f>IFERROR(__xludf.DUMMYFUNCTION("""COMPUTED_VALUE"""),"65 x 45 x 210")</f>
        <v>65 x 45 x 210</v>
      </c>
      <c r="AH869" s="97" t="str">
        <f>IFERROR(__xludf.DUMMYFUNCTION("""COMPUTED_VALUE"""),"60 x 200 ")</f>
        <v>60 x 200 </v>
      </c>
      <c r="AI869" s="97">
        <f>IFERROR(__xludf.DUMMYFUNCTION("""COMPUTED_VALUE"""),51.0)</f>
        <v>51</v>
      </c>
      <c r="AJ869" s="97" t="str">
        <f>IFERROR(__xludf.DUMMYFUNCTION("""COMPUTED_VALUE"""),"Vidrio")</f>
        <v>Vidrio</v>
      </c>
      <c r="AK869" s="97" t="str">
        <f>IFERROR(__xludf.DUMMYFUNCTION("""COMPUTED_VALUE"""),"Aluminio")</f>
        <v>Aluminio</v>
      </c>
      <c r="AL869" s="97" t="str">
        <f>IFERROR(__xludf.DUMMYFUNCTION("""COMPUTED_VALUE"""),"Negro Satinado")</f>
        <v>Negro Satinado</v>
      </c>
      <c r="AM869" s="97" t="str">
        <f>IFERROR(__xludf.DUMMYFUNCTION("""COMPUTED_VALUE"""),"-")</f>
        <v>-</v>
      </c>
      <c r="AN869" s="97" t="str">
        <f>IFERROR(__xludf.DUMMYFUNCTION("""COMPUTED_VALUE"""),"25.000hs (L70)")</f>
        <v>25.000hs (L70)</v>
      </c>
      <c r="AO869" s="97" t="str">
        <f>IFERROR(__xludf.DUMMYFUNCTION("""COMPUTED_VALUE"""),"2 Años")</f>
        <v>2 Años</v>
      </c>
      <c r="AP869" s="97" t="str">
        <f>IFERROR(__xludf.DUMMYFUNCTION("""COMPUTED_VALUE"""),"Disponible")</f>
        <v>Disponible</v>
      </c>
      <c r="AQ869" s="97" t="str">
        <f>IFERROR(__xludf.DUMMYFUNCTION("""COMPUTED_VALUE"""),"Disponible")</f>
        <v>Disponible</v>
      </c>
      <c r="AR869" s="97" t="str">
        <f>IFERROR(__xludf.DUMMYFUNCTION("""COMPUTED_VALUE"""),"Disponible")</f>
        <v>Disponible</v>
      </c>
      <c r="AS869" s="97"/>
      <c r="AT869" s="97"/>
      <c r="AU869" s="97" t="str">
        <f>IFERROR(__xludf.DUMMYFUNCTION("""COMPUTED_VALUE"""),"Falta")</f>
        <v>Falta</v>
      </c>
      <c r="AV869" s="97" t="str">
        <f>IFERROR(__xludf.DUMMYFUNCTION("""COMPUTED_VALUE"""),"Empotrable")</f>
        <v>Empotrable</v>
      </c>
      <c r="AW869" s="97" t="str">
        <f>IFERROR(__xludf.DUMMYFUNCTION("""COMPUTED_VALUE"""),"De Pared")</f>
        <v>De Pared</v>
      </c>
      <c r="AX869" s="97" t="str">
        <f>IFERROR(__xludf.DUMMYFUNCTION("""COMPUTED_VALUE"""),"Exterior")</f>
        <v>Exterior</v>
      </c>
      <c r="AY869" s="97" t="str">
        <f>IFERROR(__xludf.DUMMYFUNCTION("""COMPUTED_VALUE"""),"-")</f>
        <v>-</v>
      </c>
      <c r="AZ869" s="97"/>
      <c r="BA869" s="97">
        <f>IFERROR(__xludf.DUMMYFUNCTION("""COMPUTED_VALUE"""),16.0)</f>
        <v>16</v>
      </c>
      <c r="BB869" s="97" t="str">
        <f>IFERROR(__xludf.DUMMYFUNCTION("""COMPUTED_VALUE"""),"-")</f>
        <v>-</v>
      </c>
      <c r="BC869" s="97" t="str">
        <f>IFERROR(__xludf.DUMMYFUNCTION("""COMPUTED_VALUE"""),"-")</f>
        <v>-</v>
      </c>
      <c r="BD869" s="97" t="str">
        <f>IFERROR(__xludf.DUMMYFUNCTION("""COMPUTED_VALUE"""),"SCALA")</f>
        <v>SCALA</v>
      </c>
      <c r="BE869" s="97" t="str">
        <f>IFERROR(__xludf.DUMMYFUNCTION("""COMPUTED_VALUE"""),"Finalizada")</f>
        <v>Finalizada</v>
      </c>
      <c r="BF869" s="97"/>
      <c r="BG869" s="97" t="str">
        <f>IFERROR(__xludf.DUMMYFUNCTION("""COMPUTED_VALUE"""),"Activo")</f>
        <v>Activo</v>
      </c>
    </row>
    <row r="870">
      <c r="A870" s="97">
        <f>IFERROR(__xludf.DUMMYFUNCTION("""COMPUTED_VALUE"""),6643.0)</f>
        <v>6643</v>
      </c>
      <c r="B870" s="97" t="str">
        <f>IFERROR(__xludf.DUMMYFUNCTION("""COMPUTED_VALUE"""),"ESTACA")</f>
        <v>ESTACA</v>
      </c>
      <c r="C870" s="97" t="str">
        <f>IFERROR(__xludf.DUMMYFUNCTION("""COMPUTED_VALUE"""),"ACCESORIO ESTACA LEUK")</f>
        <v>ACCESORIO ESTACA LEUK</v>
      </c>
      <c r="D870" s="97">
        <f>IFERROR(__xludf.DUMMYFUNCTION("""COMPUTED_VALUE"""),7.798413221862E12)</f>
        <v>7798413221862</v>
      </c>
      <c r="E870" s="97" t="str">
        <f>IFERROR(__xludf.DUMMYFUNCTION("""COMPUTED_VALUE"""),"N/A")</f>
        <v>N/A</v>
      </c>
      <c r="F870" s="97" t="str">
        <f>IFERROR(__xludf.DUMMYFUNCTION("""COMPUTED_VALUE"""),"N/A")</f>
        <v>N/A</v>
      </c>
      <c r="G870" s="97" t="str">
        <f>IFERROR(__xludf.DUMMYFUNCTION("""COMPUTED_VALUE"""),"N/A")</f>
        <v>N/A</v>
      </c>
      <c r="H870" s="97" t="str">
        <f>IFERROR(__xludf.DUMMYFUNCTION("""COMPUTED_VALUE"""),"N/A")</f>
        <v>N/A</v>
      </c>
      <c r="I870" s="97" t="str">
        <f>IFERROR(__xludf.DUMMYFUNCTION("""COMPUTED_VALUE"""),"N/A")</f>
        <v>N/A</v>
      </c>
      <c r="J870" s="97" t="str">
        <f>IFERROR(__xludf.DUMMYFUNCTION("""COMPUTED_VALUE"""),"N/A")</f>
        <v>N/A</v>
      </c>
      <c r="K870" s="97" t="str">
        <f>IFERROR(__xludf.DUMMYFUNCTION("""COMPUTED_VALUE"""),"N/A")</f>
        <v>N/A</v>
      </c>
      <c r="L870" s="97" t="str">
        <f>IFERROR(__xludf.DUMMYFUNCTION("""COMPUTED_VALUE"""),"N/A")</f>
        <v>N/A</v>
      </c>
      <c r="M870" s="97" t="str">
        <f>IFERROR(__xludf.DUMMYFUNCTION("""COMPUTED_VALUE"""),"N/A")</f>
        <v>N/A</v>
      </c>
      <c r="N870" s="97"/>
      <c r="O870" s="97" t="str">
        <f>IFERROR(__xludf.DUMMYFUNCTION("""COMPUTED_VALUE"""),"-")</f>
        <v>-</v>
      </c>
      <c r="P870" s="97"/>
      <c r="Q870" s="97" t="str">
        <f>IFERROR(__xludf.DUMMYFUNCTION("""COMPUTED_VALUE"""),"-")</f>
        <v>-</v>
      </c>
      <c r="R870" s="97" t="str">
        <f>IFERROR(__xludf.DUMMYFUNCTION("""COMPUTED_VALUE"""),"-")</f>
        <v>-</v>
      </c>
      <c r="S870" s="97" t="str">
        <f>IFERROR(__xludf.DUMMYFUNCTION("""COMPUTED_VALUE"""),"-")</f>
        <v>-</v>
      </c>
      <c r="T870" s="97" t="str">
        <f>IFERROR(__xludf.DUMMYFUNCTION("""COMPUTED_VALUE"""),"-")</f>
        <v>-</v>
      </c>
      <c r="U870" s="97" t="str">
        <f>IFERROR(__xludf.DUMMYFUNCTION("""COMPUTED_VALUE"""),"-")</f>
        <v>-</v>
      </c>
      <c r="V870" s="97" t="str">
        <f>IFERROR(__xludf.DUMMYFUNCTION("""COMPUTED_VALUE"""),"N/A")</f>
        <v>N/A</v>
      </c>
      <c r="W870" s="97" t="str">
        <f>IFERROR(__xludf.DUMMYFUNCTION("""COMPUTED_VALUE"""),"N/A")</f>
        <v>N/A</v>
      </c>
      <c r="X870" s="97" t="str">
        <f>IFERROR(__xludf.DUMMYFUNCTION("""COMPUTED_VALUE"""),"-")</f>
        <v>-</v>
      </c>
      <c r="Y870" s="97" t="str">
        <f>IFERROR(__xludf.DUMMYFUNCTION("""COMPUTED_VALUE"""),"N/A")</f>
        <v>N/A</v>
      </c>
      <c r="Z870" s="97" t="str">
        <f>IFERROR(__xludf.DUMMYFUNCTION("""COMPUTED_VALUE"""),"N/A")</f>
        <v>N/A</v>
      </c>
      <c r="AA870" s="97" t="str">
        <f>IFERROR(__xludf.DUMMYFUNCTION("""COMPUTED_VALUE"""),"N/A")</f>
        <v>N/A</v>
      </c>
      <c r="AB870" s="97" t="str">
        <f>IFERROR(__xludf.DUMMYFUNCTION("""COMPUTED_VALUE"""),"N/A")</f>
        <v>N/A</v>
      </c>
      <c r="AC870" s="97" t="str">
        <f>IFERROR(__xludf.DUMMYFUNCTION("""COMPUTED_VALUE"""),"N/A")</f>
        <v>N/A</v>
      </c>
      <c r="AD870" s="97" t="str">
        <f>IFERROR(__xludf.DUMMYFUNCTION("""COMPUTED_VALUE"""),"N/A")</f>
        <v>N/A</v>
      </c>
      <c r="AE870" s="97" t="str">
        <f>IFERROR(__xludf.DUMMYFUNCTION("""COMPUTED_VALUE"""),"N/A")</f>
        <v>N/A</v>
      </c>
      <c r="AF870" s="97" t="str">
        <f>IFERROR(__xludf.DUMMYFUNCTION("""COMPUTED_VALUE"""),"N/A")</f>
        <v>N/A</v>
      </c>
      <c r="AG870" s="97" t="str">
        <f>IFERROR(__xludf.DUMMYFUNCTION("""COMPUTED_VALUE"""),"Ø35 x 168 ")</f>
        <v>Ø35 x 168 </v>
      </c>
      <c r="AH870" s="97" t="str">
        <f>IFERROR(__xludf.DUMMYFUNCTION("""COMPUTED_VALUE"""),"N/A")</f>
        <v>N/A</v>
      </c>
      <c r="AI870" s="97" t="str">
        <f>IFERROR(__xludf.DUMMYFUNCTION("""COMPUTED_VALUE"""),"N/A")</f>
        <v>N/A</v>
      </c>
      <c r="AJ870" s="97" t="str">
        <f>IFERROR(__xludf.DUMMYFUNCTION("""COMPUTED_VALUE"""),"N/A")</f>
        <v>N/A</v>
      </c>
      <c r="AK870" s="97" t="str">
        <f>IFERROR(__xludf.DUMMYFUNCTION("""COMPUTED_VALUE"""),"Aluminio")</f>
        <v>Aluminio</v>
      </c>
      <c r="AL870" s="97" t="str">
        <f>IFERROR(__xludf.DUMMYFUNCTION("""COMPUTED_VALUE"""),"Negro Satinado")</f>
        <v>Negro Satinado</v>
      </c>
      <c r="AM870" s="97" t="str">
        <f>IFERROR(__xludf.DUMMYFUNCTION("""COMPUTED_VALUE"""),"-")</f>
        <v>-</v>
      </c>
      <c r="AN870" s="97" t="str">
        <f>IFERROR(__xludf.DUMMYFUNCTION("""COMPUTED_VALUE"""),"N/A")</f>
        <v>N/A</v>
      </c>
      <c r="AO870" s="97" t="str">
        <f>IFERROR(__xludf.DUMMYFUNCTION("""COMPUTED_VALUE"""),"2 Años")</f>
        <v>2 Años</v>
      </c>
      <c r="AP870" s="97" t="str">
        <f>IFERROR(__xludf.DUMMYFUNCTION("""COMPUTED_VALUE"""),"No Aplica")</f>
        <v>No Aplica</v>
      </c>
      <c r="AQ870" s="97" t="str">
        <f>IFERROR(__xludf.DUMMYFUNCTION("""COMPUTED_VALUE"""),"No Aplica")</f>
        <v>No Aplica</v>
      </c>
      <c r="AR870" s="97" t="str">
        <f>IFERROR(__xludf.DUMMYFUNCTION("""COMPUTED_VALUE"""),"No Aplica")</f>
        <v>No Aplica</v>
      </c>
      <c r="AS870" s="97" t="str">
        <f>IFERROR(__xludf.DUMMYFUNCTION("""COMPUTED_VALUE"""),"Falta")</f>
        <v>Falta</v>
      </c>
      <c r="AT870" s="97" t="str">
        <f>IFERROR(__xludf.DUMMYFUNCTION("""COMPUTED_VALUE"""),"Falta")</f>
        <v>Falta</v>
      </c>
      <c r="AU870" s="97" t="str">
        <f>IFERROR(__xludf.DUMMYFUNCTION("""COMPUTED_VALUE"""),"Falta")</f>
        <v>Falta</v>
      </c>
      <c r="AV870" s="97" t="str">
        <f>IFERROR(__xludf.DUMMYFUNCTION("""COMPUTED_VALUE"""),"Accesorio")</f>
        <v>Accesorio</v>
      </c>
      <c r="AW870" s="97" t="str">
        <f>IFERROR(__xludf.DUMMYFUNCTION("""COMPUTED_VALUE"""),"De Piso")</f>
        <v>De Piso</v>
      </c>
      <c r="AX870" s="97" t="str">
        <f>IFERROR(__xludf.DUMMYFUNCTION("""COMPUTED_VALUE"""),"Exterior")</f>
        <v>Exterior</v>
      </c>
      <c r="AY870" s="97" t="str">
        <f>IFERROR(__xludf.DUMMYFUNCTION("""COMPUTED_VALUE"""),"-")</f>
        <v>-</v>
      </c>
      <c r="AZ870" s="97"/>
      <c r="BA870" s="97">
        <f>IFERROR(__xludf.DUMMYFUNCTION("""COMPUTED_VALUE"""),700.0)</f>
        <v>700</v>
      </c>
      <c r="BB870" s="97" t="str">
        <f>IFERROR(__xludf.DUMMYFUNCTION("""COMPUTED_VALUE"""),"-")</f>
        <v>-</v>
      </c>
      <c r="BC870" s="97" t="str">
        <f>IFERROR(__xludf.DUMMYFUNCTION("""COMPUTED_VALUE"""),"-")</f>
        <v>-</v>
      </c>
      <c r="BD870" s="97" t="str">
        <f>IFERROR(__xludf.DUMMYFUNCTION("""COMPUTED_VALUE"""),"ESTACA")</f>
        <v>ESTACA</v>
      </c>
      <c r="BE870" s="97" t="str">
        <f>IFERROR(__xludf.DUMMYFUNCTION("""COMPUTED_VALUE"""),"Finalizada")</f>
        <v>Finalizada</v>
      </c>
      <c r="BF870" s="97"/>
      <c r="BG870" s="97" t="str">
        <f>IFERROR(__xludf.DUMMYFUNCTION("""COMPUTED_VALUE"""),"Activo")</f>
        <v>Activo</v>
      </c>
    </row>
    <row r="871">
      <c r="A871" s="97">
        <f>IFERROR(__xludf.DUMMYFUNCTION("""COMPUTED_VALUE"""),6644.0)</f>
        <v>6644</v>
      </c>
      <c r="B871" s="97" t="str">
        <f>IFERROR(__xludf.DUMMYFUNCTION("""COMPUTED_VALUE"""),"HOUSING 1EF 1MT NG")</f>
        <v>HOUSING 1EF 1MT NG</v>
      </c>
      <c r="C871" s="97" t="str">
        <f>IFERROR(__xludf.DUMMYFUNCTION("""COMPUTED_VALUE"""),"ACCESORIO HOUSING 1EF 1MT NG LEUK")</f>
        <v>ACCESORIO HOUSING 1EF 1MT NG LEUK</v>
      </c>
      <c r="D871" s="97">
        <f>IFERROR(__xludf.DUMMYFUNCTION("""COMPUTED_VALUE"""),7.798413221213E12)</f>
        <v>7798413221213</v>
      </c>
      <c r="E871" s="97" t="str">
        <f>IFERROR(__xludf.DUMMYFUNCTION("""COMPUTED_VALUE"""),"N/A")</f>
        <v>N/A</v>
      </c>
      <c r="F871" s="97" t="str">
        <f>IFERROR(__xludf.DUMMYFUNCTION("""COMPUTED_VALUE"""),"N/A")</f>
        <v>N/A</v>
      </c>
      <c r="G871" s="97" t="str">
        <f>IFERROR(__xludf.DUMMYFUNCTION("""COMPUTED_VALUE"""),"N/A")</f>
        <v>N/A</v>
      </c>
      <c r="H871" s="97" t="str">
        <f>IFERROR(__xludf.DUMMYFUNCTION("""COMPUTED_VALUE"""),"N/A")</f>
        <v>N/A</v>
      </c>
      <c r="I871" s="97" t="str">
        <f>IFERROR(__xludf.DUMMYFUNCTION("""COMPUTED_VALUE"""),"N/A")</f>
        <v>N/A</v>
      </c>
      <c r="J871" s="97" t="str">
        <f>IFERROR(__xludf.DUMMYFUNCTION("""COMPUTED_VALUE"""),"N/A")</f>
        <v>N/A</v>
      </c>
      <c r="K871" s="97" t="str">
        <f>IFERROR(__xludf.DUMMYFUNCTION("""COMPUTED_VALUE"""),"N/A")</f>
        <v>N/A</v>
      </c>
      <c r="L871" s="97" t="str">
        <f>IFERROR(__xludf.DUMMYFUNCTION("""COMPUTED_VALUE"""),"N/A")</f>
        <v>N/A</v>
      </c>
      <c r="M871" s="97" t="str">
        <f>IFERROR(__xludf.DUMMYFUNCTION("""COMPUTED_VALUE"""),"N/A")</f>
        <v>N/A</v>
      </c>
      <c r="N871" s="97" t="str">
        <f>IFERROR(__xludf.DUMMYFUNCTION("""COMPUTED_VALUE"""),"N/A")</f>
        <v>N/A</v>
      </c>
      <c r="O871" s="97" t="str">
        <f>IFERROR(__xludf.DUMMYFUNCTION("""COMPUTED_VALUE"""),"-")</f>
        <v>-</v>
      </c>
      <c r="P871" s="97"/>
      <c r="Q871" s="97" t="str">
        <f>IFERROR(__xludf.DUMMYFUNCTION("""COMPUTED_VALUE"""),"-")</f>
        <v>-</v>
      </c>
      <c r="R871" s="97" t="str">
        <f>IFERROR(__xludf.DUMMYFUNCTION("""COMPUTED_VALUE"""),"-")</f>
        <v>-</v>
      </c>
      <c r="S871" s="97" t="str">
        <f>IFERROR(__xludf.DUMMYFUNCTION("""COMPUTED_VALUE"""),"-")</f>
        <v>-</v>
      </c>
      <c r="T871" s="97" t="str">
        <f>IFERROR(__xludf.DUMMYFUNCTION("""COMPUTED_VALUE"""),"-")</f>
        <v>-</v>
      </c>
      <c r="U871" s="97" t="str">
        <f>IFERROR(__xludf.DUMMYFUNCTION("""COMPUTED_VALUE"""),"-")</f>
        <v>-</v>
      </c>
      <c r="V871" s="97" t="str">
        <f>IFERROR(__xludf.DUMMYFUNCTION("""COMPUTED_VALUE"""),"N/A")</f>
        <v>N/A</v>
      </c>
      <c r="W871" s="97" t="str">
        <f>IFERROR(__xludf.DUMMYFUNCTION("""COMPUTED_VALUE"""),"N/A")</f>
        <v>N/A</v>
      </c>
      <c r="X871" s="97" t="str">
        <f>IFERROR(__xludf.DUMMYFUNCTION("""COMPUTED_VALUE"""),"-")</f>
        <v>-</v>
      </c>
      <c r="Y871" s="97" t="str">
        <f>IFERROR(__xludf.DUMMYFUNCTION("""COMPUTED_VALUE"""),"N/A")</f>
        <v>N/A</v>
      </c>
      <c r="Z871" s="97" t="str">
        <f>IFERROR(__xludf.DUMMYFUNCTION("""COMPUTED_VALUE"""),"N/A")</f>
        <v>N/A</v>
      </c>
      <c r="AA871" s="97" t="str">
        <f>IFERROR(__xludf.DUMMYFUNCTION("""COMPUTED_VALUE"""),"N/A")</f>
        <v>N/A</v>
      </c>
      <c r="AB871" s="97" t="str">
        <f>IFERROR(__xludf.DUMMYFUNCTION("""COMPUTED_VALUE"""),"N/A")</f>
        <v>N/A</v>
      </c>
      <c r="AC871" s="97" t="str">
        <f>IFERROR(__xludf.DUMMYFUNCTION("""COMPUTED_VALUE"""),"N/A")</f>
        <v>N/A</v>
      </c>
      <c r="AD871" s="97" t="str">
        <f>IFERROR(__xludf.DUMMYFUNCTION("""COMPUTED_VALUE"""),"N/A")</f>
        <v>N/A</v>
      </c>
      <c r="AE871" s="97" t="str">
        <f>IFERROR(__xludf.DUMMYFUNCTION("""COMPUTED_VALUE"""),"N/A")</f>
        <v>N/A</v>
      </c>
      <c r="AF871" s="97" t="str">
        <f>IFERROR(__xludf.DUMMYFUNCTION("""COMPUTED_VALUE"""),"N/A")</f>
        <v>N/A</v>
      </c>
      <c r="AG871" s="97" t="str">
        <f>IFERROR(__xludf.DUMMYFUNCTION("""COMPUTED_VALUE"""),"42 x 20 x 1000 (Ancho x Alto x Largo)")</f>
        <v>42 x 20 x 1000 (Ancho x Alto x Largo)</v>
      </c>
      <c r="AH871" s="97" t="str">
        <f>IFERROR(__xludf.DUMMYFUNCTION("""COMPUTED_VALUE"""),"37 x 1000 ")</f>
        <v>37 x 1000 </v>
      </c>
      <c r="AI871" s="97">
        <f>IFERROR(__xludf.DUMMYFUNCTION("""COMPUTED_VALUE"""),40.0)</f>
        <v>40</v>
      </c>
      <c r="AJ871" s="97" t="str">
        <f>IFERROR(__xludf.DUMMYFUNCTION("""COMPUTED_VALUE"""),"N/A")</f>
        <v>N/A</v>
      </c>
      <c r="AK871" s="97" t="str">
        <f>IFERROR(__xludf.DUMMYFUNCTION("""COMPUTED_VALUE"""),"Aluminio")</f>
        <v>Aluminio</v>
      </c>
      <c r="AL871" s="97" t="str">
        <f>IFERROR(__xludf.DUMMYFUNCTION("""COMPUTED_VALUE"""),"Negro Mate")</f>
        <v>Negro Mate</v>
      </c>
      <c r="AM871" s="97" t="str">
        <f>IFERROR(__xludf.DUMMYFUNCTION("""COMPUTED_VALUE"""),"-")</f>
        <v>-</v>
      </c>
      <c r="AN871" s="97" t="str">
        <f>IFERROR(__xludf.DUMMYFUNCTION("""COMPUTED_VALUE"""),"N/A")</f>
        <v>N/A</v>
      </c>
      <c r="AO871" s="97" t="str">
        <f>IFERROR(__xludf.DUMMYFUNCTION("""COMPUTED_VALUE"""),"3 Años")</f>
        <v>3 Años</v>
      </c>
      <c r="AP871" s="97" t="str">
        <f>IFERROR(__xludf.DUMMYFUNCTION("""COMPUTED_VALUE"""),"No Aplica")</f>
        <v>No Aplica</v>
      </c>
      <c r="AQ871" s="97" t="str">
        <f>IFERROR(__xludf.DUMMYFUNCTION("""COMPUTED_VALUE"""),"No Aplica")</f>
        <v>No Aplica</v>
      </c>
      <c r="AR871" s="97" t="str">
        <f>IFERROR(__xludf.DUMMYFUNCTION("""COMPUTED_VALUE"""),"No Aplica")</f>
        <v>No Aplica</v>
      </c>
      <c r="AS871" s="97"/>
      <c r="AT871" s="97"/>
      <c r="AU871" s="97" t="str">
        <f>IFERROR(__xludf.DUMMYFUNCTION("""COMPUTED_VALUE"""),"Falta")</f>
        <v>Falta</v>
      </c>
      <c r="AV871" s="97" t="str">
        <f>IFERROR(__xludf.DUMMYFUNCTION("""COMPUTED_VALUE"""),"Accesorio")</f>
        <v>Accesorio</v>
      </c>
      <c r="AW871" s="97" t="str">
        <f>IFERROR(__xludf.DUMMYFUNCTION("""COMPUTED_VALUE"""),"Rieles")</f>
        <v>Rieles</v>
      </c>
      <c r="AX871" s="97" t="str">
        <f>IFERROR(__xludf.DUMMYFUNCTION("""COMPUTED_VALUE"""),"Interior")</f>
        <v>Interior</v>
      </c>
      <c r="AY871" s="97" t="str">
        <f>IFERROR(__xludf.DUMMYFUNCTION("""COMPUTED_VALUE"""),"-")</f>
        <v>-</v>
      </c>
      <c r="AZ871" s="97"/>
      <c r="BA871" s="97">
        <f>IFERROR(__xludf.DUMMYFUNCTION("""COMPUTED_VALUE"""),2.0)</f>
        <v>2</v>
      </c>
      <c r="BB871" s="97" t="str">
        <f>IFERROR(__xludf.DUMMYFUNCTION("""COMPUTED_VALUE"""),"-")</f>
        <v>-</v>
      </c>
      <c r="BC871" s="97" t="str">
        <f>IFERROR(__xludf.DUMMYFUNCTION("""COMPUTED_VALUE"""),"-")</f>
        <v>-</v>
      </c>
      <c r="BD871" s="97" t="str">
        <f>IFERROR(__xludf.DUMMYFUNCTION("""COMPUTED_VALUE"""),"RIELES 1EF")</f>
        <v>RIELES 1EF</v>
      </c>
      <c r="BE871" s="97" t="str">
        <f>IFERROR(__xludf.DUMMYFUNCTION("""COMPUTED_VALUE"""),"Finalizada")</f>
        <v>Finalizada</v>
      </c>
      <c r="BF871" s="97"/>
      <c r="BG871" s="97" t="str">
        <f>IFERROR(__xludf.DUMMYFUNCTION("""COMPUTED_VALUE"""),"Activo")</f>
        <v>Activo</v>
      </c>
    </row>
    <row r="872">
      <c r="A872" s="97">
        <f>IFERROR(__xludf.DUMMYFUNCTION("""COMPUTED_VALUE"""),6645.0)</f>
        <v>6645</v>
      </c>
      <c r="B872" s="97" t="str">
        <f>IFERROR(__xludf.DUMMYFUNCTION("""COMPUTED_VALUE"""),"HOUSING 1EF 1MT BL")</f>
        <v>HOUSING 1EF 1MT BL</v>
      </c>
      <c r="C872" s="97" t="str">
        <f>IFERROR(__xludf.DUMMYFUNCTION("""COMPUTED_VALUE"""),"ACCESORIO HOUSING 1EF 1MT BL LEUK")</f>
        <v>ACCESORIO HOUSING 1EF 1MT BL LEUK</v>
      </c>
      <c r="D872" s="97">
        <f>IFERROR(__xludf.DUMMYFUNCTION("""COMPUTED_VALUE"""),7.79841322122E12)</f>
        <v>7798413221220</v>
      </c>
      <c r="E872" s="97" t="str">
        <f>IFERROR(__xludf.DUMMYFUNCTION("""COMPUTED_VALUE"""),"N/A")</f>
        <v>N/A</v>
      </c>
      <c r="F872" s="97" t="str">
        <f>IFERROR(__xludf.DUMMYFUNCTION("""COMPUTED_VALUE"""),"N/A")</f>
        <v>N/A</v>
      </c>
      <c r="G872" s="97" t="str">
        <f>IFERROR(__xludf.DUMMYFUNCTION("""COMPUTED_VALUE"""),"N/A")</f>
        <v>N/A</v>
      </c>
      <c r="H872" s="97" t="str">
        <f>IFERROR(__xludf.DUMMYFUNCTION("""COMPUTED_VALUE"""),"N/A")</f>
        <v>N/A</v>
      </c>
      <c r="I872" s="97" t="str">
        <f>IFERROR(__xludf.DUMMYFUNCTION("""COMPUTED_VALUE"""),"N/A")</f>
        <v>N/A</v>
      </c>
      <c r="J872" s="97" t="str">
        <f>IFERROR(__xludf.DUMMYFUNCTION("""COMPUTED_VALUE"""),"N/A")</f>
        <v>N/A</v>
      </c>
      <c r="K872" s="97" t="str">
        <f>IFERROR(__xludf.DUMMYFUNCTION("""COMPUTED_VALUE"""),"N/A")</f>
        <v>N/A</v>
      </c>
      <c r="L872" s="97" t="str">
        <f>IFERROR(__xludf.DUMMYFUNCTION("""COMPUTED_VALUE"""),"N/A")</f>
        <v>N/A</v>
      </c>
      <c r="M872" s="97" t="str">
        <f>IFERROR(__xludf.DUMMYFUNCTION("""COMPUTED_VALUE"""),"N/A")</f>
        <v>N/A</v>
      </c>
      <c r="N872" s="97" t="str">
        <f>IFERROR(__xludf.DUMMYFUNCTION("""COMPUTED_VALUE"""),"N/A")</f>
        <v>N/A</v>
      </c>
      <c r="O872" s="97" t="str">
        <f>IFERROR(__xludf.DUMMYFUNCTION("""COMPUTED_VALUE"""),"-")</f>
        <v>-</v>
      </c>
      <c r="P872" s="97"/>
      <c r="Q872" s="97" t="str">
        <f>IFERROR(__xludf.DUMMYFUNCTION("""COMPUTED_VALUE"""),"-")</f>
        <v>-</v>
      </c>
      <c r="R872" s="97" t="str">
        <f>IFERROR(__xludf.DUMMYFUNCTION("""COMPUTED_VALUE"""),"-")</f>
        <v>-</v>
      </c>
      <c r="S872" s="97" t="str">
        <f>IFERROR(__xludf.DUMMYFUNCTION("""COMPUTED_VALUE"""),"-")</f>
        <v>-</v>
      </c>
      <c r="T872" s="97" t="str">
        <f>IFERROR(__xludf.DUMMYFUNCTION("""COMPUTED_VALUE"""),"-")</f>
        <v>-</v>
      </c>
      <c r="U872" s="97" t="str">
        <f>IFERROR(__xludf.DUMMYFUNCTION("""COMPUTED_VALUE"""),"-")</f>
        <v>-</v>
      </c>
      <c r="V872" s="97" t="str">
        <f>IFERROR(__xludf.DUMMYFUNCTION("""COMPUTED_VALUE"""),"N/A")</f>
        <v>N/A</v>
      </c>
      <c r="W872" s="97" t="str">
        <f>IFERROR(__xludf.DUMMYFUNCTION("""COMPUTED_VALUE"""),"N/A")</f>
        <v>N/A</v>
      </c>
      <c r="X872" s="97" t="str">
        <f>IFERROR(__xludf.DUMMYFUNCTION("""COMPUTED_VALUE"""),"-")</f>
        <v>-</v>
      </c>
      <c r="Y872" s="97" t="str">
        <f>IFERROR(__xludf.DUMMYFUNCTION("""COMPUTED_VALUE"""),"N/A")</f>
        <v>N/A</v>
      </c>
      <c r="Z872" s="97" t="str">
        <f>IFERROR(__xludf.DUMMYFUNCTION("""COMPUTED_VALUE"""),"N/A")</f>
        <v>N/A</v>
      </c>
      <c r="AA872" s="97" t="str">
        <f>IFERROR(__xludf.DUMMYFUNCTION("""COMPUTED_VALUE"""),"N/A")</f>
        <v>N/A</v>
      </c>
      <c r="AB872" s="97" t="str">
        <f>IFERROR(__xludf.DUMMYFUNCTION("""COMPUTED_VALUE"""),"N/A")</f>
        <v>N/A</v>
      </c>
      <c r="AC872" s="97" t="str">
        <f>IFERROR(__xludf.DUMMYFUNCTION("""COMPUTED_VALUE"""),"N/A")</f>
        <v>N/A</v>
      </c>
      <c r="AD872" s="97" t="str">
        <f>IFERROR(__xludf.DUMMYFUNCTION("""COMPUTED_VALUE"""),"N/A")</f>
        <v>N/A</v>
      </c>
      <c r="AE872" s="97" t="str">
        <f>IFERROR(__xludf.DUMMYFUNCTION("""COMPUTED_VALUE"""),"N/A")</f>
        <v>N/A</v>
      </c>
      <c r="AF872" s="97" t="str">
        <f>IFERROR(__xludf.DUMMYFUNCTION("""COMPUTED_VALUE"""),"N/A")</f>
        <v>N/A</v>
      </c>
      <c r="AG872" s="97" t="str">
        <f>IFERROR(__xludf.DUMMYFUNCTION("""COMPUTED_VALUE"""),"42 x 20 x 1000 (Ancho x Alto x Largo)")</f>
        <v>42 x 20 x 1000 (Ancho x Alto x Largo)</v>
      </c>
      <c r="AH872" s="97" t="str">
        <f>IFERROR(__xludf.DUMMYFUNCTION("""COMPUTED_VALUE"""),"37 x 1000 ")</f>
        <v>37 x 1000 </v>
      </c>
      <c r="AI872" s="97">
        <f>IFERROR(__xludf.DUMMYFUNCTION("""COMPUTED_VALUE"""),40.0)</f>
        <v>40</v>
      </c>
      <c r="AJ872" s="97" t="str">
        <f>IFERROR(__xludf.DUMMYFUNCTION("""COMPUTED_VALUE"""),"N/A")</f>
        <v>N/A</v>
      </c>
      <c r="AK872" s="97" t="str">
        <f>IFERROR(__xludf.DUMMYFUNCTION("""COMPUTED_VALUE"""),"Aluminio")</f>
        <v>Aluminio</v>
      </c>
      <c r="AL872" s="97" t="str">
        <f>IFERROR(__xludf.DUMMYFUNCTION("""COMPUTED_VALUE"""),"Blanco Mate")</f>
        <v>Blanco Mate</v>
      </c>
      <c r="AM872" s="97" t="str">
        <f>IFERROR(__xludf.DUMMYFUNCTION("""COMPUTED_VALUE"""),"-")</f>
        <v>-</v>
      </c>
      <c r="AN872" s="97" t="str">
        <f>IFERROR(__xludf.DUMMYFUNCTION("""COMPUTED_VALUE"""),"N/A")</f>
        <v>N/A</v>
      </c>
      <c r="AO872" s="97" t="str">
        <f>IFERROR(__xludf.DUMMYFUNCTION("""COMPUTED_VALUE"""),"3 Años")</f>
        <v>3 Años</v>
      </c>
      <c r="AP872" s="97" t="str">
        <f>IFERROR(__xludf.DUMMYFUNCTION("""COMPUTED_VALUE"""),"No Aplica")</f>
        <v>No Aplica</v>
      </c>
      <c r="AQ872" s="97" t="str">
        <f>IFERROR(__xludf.DUMMYFUNCTION("""COMPUTED_VALUE"""),"No Aplica")</f>
        <v>No Aplica</v>
      </c>
      <c r="AR872" s="97" t="str">
        <f>IFERROR(__xludf.DUMMYFUNCTION("""COMPUTED_VALUE"""),"No Aplica")</f>
        <v>No Aplica</v>
      </c>
      <c r="AS872" s="97"/>
      <c r="AT872" s="97"/>
      <c r="AU872" s="97" t="str">
        <f>IFERROR(__xludf.DUMMYFUNCTION("""COMPUTED_VALUE"""),"Falta")</f>
        <v>Falta</v>
      </c>
      <c r="AV872" s="97" t="str">
        <f>IFERROR(__xludf.DUMMYFUNCTION("""COMPUTED_VALUE"""),"Accesorio")</f>
        <v>Accesorio</v>
      </c>
      <c r="AW872" s="97" t="str">
        <f>IFERROR(__xludf.DUMMYFUNCTION("""COMPUTED_VALUE"""),"Rieles")</f>
        <v>Rieles</v>
      </c>
      <c r="AX872" s="97" t="str">
        <f>IFERROR(__xludf.DUMMYFUNCTION("""COMPUTED_VALUE"""),"Interior")</f>
        <v>Interior</v>
      </c>
      <c r="AY872" s="97" t="str">
        <f>IFERROR(__xludf.DUMMYFUNCTION("""COMPUTED_VALUE"""),"-")</f>
        <v>-</v>
      </c>
      <c r="AZ872" s="97"/>
      <c r="BA872" s="97">
        <f>IFERROR(__xludf.DUMMYFUNCTION("""COMPUTED_VALUE"""),2.0)</f>
        <v>2</v>
      </c>
      <c r="BB872" s="97" t="str">
        <f>IFERROR(__xludf.DUMMYFUNCTION("""COMPUTED_VALUE"""),"-")</f>
        <v>-</v>
      </c>
      <c r="BC872" s="97" t="str">
        <f>IFERROR(__xludf.DUMMYFUNCTION("""COMPUTED_VALUE"""),"-")</f>
        <v>-</v>
      </c>
      <c r="BD872" s="97" t="str">
        <f>IFERROR(__xludf.DUMMYFUNCTION("""COMPUTED_VALUE"""),"RIELES 1EF")</f>
        <v>RIELES 1EF</v>
      </c>
      <c r="BE872" s="97" t="str">
        <f>IFERROR(__xludf.DUMMYFUNCTION("""COMPUTED_VALUE"""),"Finalizada")</f>
        <v>Finalizada</v>
      </c>
      <c r="BF872" s="97"/>
      <c r="BG872" s="97" t="str">
        <f>IFERROR(__xludf.DUMMYFUNCTION("""COMPUTED_VALUE"""),"Activo")</f>
        <v>Activo</v>
      </c>
    </row>
    <row r="873">
      <c r="A873" s="97">
        <f>IFERROR(__xludf.DUMMYFUNCTION("""COMPUTED_VALUE"""),6646.0)</f>
        <v>6646</v>
      </c>
      <c r="B873" s="97" t="str">
        <f>IFERROR(__xludf.DUMMYFUNCTION("""COMPUTED_VALUE"""),"HOUSING 1EF 2MTS NG")</f>
        <v>HOUSING 1EF 2MTS NG</v>
      </c>
      <c r="C873" s="97" t="str">
        <f>IFERROR(__xludf.DUMMYFUNCTION("""COMPUTED_VALUE"""),"ACCESORIO HOUSING 1EF 2MTS NG LEUK")</f>
        <v>ACCESORIO HOUSING 1EF 2MTS NG LEUK</v>
      </c>
      <c r="D873" s="97">
        <f>IFERROR(__xludf.DUMMYFUNCTION("""COMPUTED_VALUE"""),7.798413221237E12)</f>
        <v>7798413221237</v>
      </c>
      <c r="E873" s="97" t="str">
        <f>IFERROR(__xludf.DUMMYFUNCTION("""COMPUTED_VALUE"""),"N/A")</f>
        <v>N/A</v>
      </c>
      <c r="F873" s="97" t="str">
        <f>IFERROR(__xludf.DUMMYFUNCTION("""COMPUTED_VALUE"""),"N/A")</f>
        <v>N/A</v>
      </c>
      <c r="G873" s="97" t="str">
        <f>IFERROR(__xludf.DUMMYFUNCTION("""COMPUTED_VALUE"""),"N/A")</f>
        <v>N/A</v>
      </c>
      <c r="H873" s="97" t="str">
        <f>IFERROR(__xludf.DUMMYFUNCTION("""COMPUTED_VALUE"""),"N/A")</f>
        <v>N/A</v>
      </c>
      <c r="I873" s="97" t="str">
        <f>IFERROR(__xludf.DUMMYFUNCTION("""COMPUTED_VALUE"""),"N/A")</f>
        <v>N/A</v>
      </c>
      <c r="J873" s="97" t="str">
        <f>IFERROR(__xludf.DUMMYFUNCTION("""COMPUTED_VALUE"""),"N/A")</f>
        <v>N/A</v>
      </c>
      <c r="K873" s="97" t="str">
        <f>IFERROR(__xludf.DUMMYFUNCTION("""COMPUTED_VALUE"""),"N/A")</f>
        <v>N/A</v>
      </c>
      <c r="L873" s="97" t="str">
        <f>IFERROR(__xludf.DUMMYFUNCTION("""COMPUTED_VALUE"""),"N/A")</f>
        <v>N/A</v>
      </c>
      <c r="M873" s="97" t="str">
        <f>IFERROR(__xludf.DUMMYFUNCTION("""COMPUTED_VALUE"""),"N/A")</f>
        <v>N/A</v>
      </c>
      <c r="N873" s="97" t="str">
        <f>IFERROR(__xludf.DUMMYFUNCTION("""COMPUTED_VALUE"""),"N/A")</f>
        <v>N/A</v>
      </c>
      <c r="O873" s="97" t="str">
        <f>IFERROR(__xludf.DUMMYFUNCTION("""COMPUTED_VALUE"""),"-")</f>
        <v>-</v>
      </c>
      <c r="P873" s="97"/>
      <c r="Q873" s="97" t="str">
        <f>IFERROR(__xludf.DUMMYFUNCTION("""COMPUTED_VALUE"""),"-")</f>
        <v>-</v>
      </c>
      <c r="R873" s="97" t="str">
        <f>IFERROR(__xludf.DUMMYFUNCTION("""COMPUTED_VALUE"""),"-")</f>
        <v>-</v>
      </c>
      <c r="S873" s="97" t="str">
        <f>IFERROR(__xludf.DUMMYFUNCTION("""COMPUTED_VALUE"""),"-")</f>
        <v>-</v>
      </c>
      <c r="T873" s="97" t="str">
        <f>IFERROR(__xludf.DUMMYFUNCTION("""COMPUTED_VALUE"""),"-")</f>
        <v>-</v>
      </c>
      <c r="U873" s="97" t="str">
        <f>IFERROR(__xludf.DUMMYFUNCTION("""COMPUTED_VALUE"""),"-")</f>
        <v>-</v>
      </c>
      <c r="V873" s="97" t="str">
        <f>IFERROR(__xludf.DUMMYFUNCTION("""COMPUTED_VALUE"""),"N/A")</f>
        <v>N/A</v>
      </c>
      <c r="W873" s="97" t="str">
        <f>IFERROR(__xludf.DUMMYFUNCTION("""COMPUTED_VALUE"""),"N/A")</f>
        <v>N/A</v>
      </c>
      <c r="X873" s="97" t="str">
        <f>IFERROR(__xludf.DUMMYFUNCTION("""COMPUTED_VALUE"""),"-")</f>
        <v>-</v>
      </c>
      <c r="Y873" s="97" t="str">
        <f>IFERROR(__xludf.DUMMYFUNCTION("""COMPUTED_VALUE"""),"N/A")</f>
        <v>N/A</v>
      </c>
      <c r="Z873" s="97" t="str">
        <f>IFERROR(__xludf.DUMMYFUNCTION("""COMPUTED_VALUE"""),"N/A")</f>
        <v>N/A</v>
      </c>
      <c r="AA873" s="97" t="str">
        <f>IFERROR(__xludf.DUMMYFUNCTION("""COMPUTED_VALUE"""),"N/A")</f>
        <v>N/A</v>
      </c>
      <c r="AB873" s="97" t="str">
        <f>IFERROR(__xludf.DUMMYFUNCTION("""COMPUTED_VALUE"""),"N/A")</f>
        <v>N/A</v>
      </c>
      <c r="AC873" s="97" t="str">
        <f>IFERROR(__xludf.DUMMYFUNCTION("""COMPUTED_VALUE"""),"N/A")</f>
        <v>N/A</v>
      </c>
      <c r="AD873" s="97" t="str">
        <f>IFERROR(__xludf.DUMMYFUNCTION("""COMPUTED_VALUE"""),"N/A")</f>
        <v>N/A</v>
      </c>
      <c r="AE873" s="97" t="str">
        <f>IFERROR(__xludf.DUMMYFUNCTION("""COMPUTED_VALUE"""),"N/A")</f>
        <v>N/A</v>
      </c>
      <c r="AF873" s="97" t="str">
        <f>IFERROR(__xludf.DUMMYFUNCTION("""COMPUTED_VALUE"""),"N/A")</f>
        <v>N/A</v>
      </c>
      <c r="AG873" s="97" t="str">
        <f>IFERROR(__xludf.DUMMYFUNCTION("""COMPUTED_VALUE"""),"42 x 20 x 2000 (Ancho x Alto x Largo)")</f>
        <v>42 x 20 x 2000 (Ancho x Alto x Largo)</v>
      </c>
      <c r="AH873" s="97" t="str">
        <f>IFERROR(__xludf.DUMMYFUNCTION("""COMPUTED_VALUE"""),"37 x 2000 ")</f>
        <v>37 x 2000 </v>
      </c>
      <c r="AI873" s="97">
        <f>IFERROR(__xludf.DUMMYFUNCTION("""COMPUTED_VALUE"""),40.0)</f>
        <v>40</v>
      </c>
      <c r="AJ873" s="97" t="str">
        <f>IFERROR(__xludf.DUMMYFUNCTION("""COMPUTED_VALUE"""),"N/A")</f>
        <v>N/A</v>
      </c>
      <c r="AK873" s="97" t="str">
        <f>IFERROR(__xludf.DUMMYFUNCTION("""COMPUTED_VALUE"""),"Aluminio")</f>
        <v>Aluminio</v>
      </c>
      <c r="AL873" s="97" t="str">
        <f>IFERROR(__xludf.DUMMYFUNCTION("""COMPUTED_VALUE"""),"Negro Mate")</f>
        <v>Negro Mate</v>
      </c>
      <c r="AM873" s="97" t="str">
        <f>IFERROR(__xludf.DUMMYFUNCTION("""COMPUTED_VALUE"""),"-")</f>
        <v>-</v>
      </c>
      <c r="AN873" s="97" t="str">
        <f>IFERROR(__xludf.DUMMYFUNCTION("""COMPUTED_VALUE"""),"N/A")</f>
        <v>N/A</v>
      </c>
      <c r="AO873" s="97" t="str">
        <f>IFERROR(__xludf.DUMMYFUNCTION("""COMPUTED_VALUE"""),"3 Años")</f>
        <v>3 Años</v>
      </c>
      <c r="AP873" s="97" t="str">
        <f>IFERROR(__xludf.DUMMYFUNCTION("""COMPUTED_VALUE"""),"No Aplica")</f>
        <v>No Aplica</v>
      </c>
      <c r="AQ873" s="97" t="str">
        <f>IFERROR(__xludf.DUMMYFUNCTION("""COMPUTED_VALUE"""),"No Aplica")</f>
        <v>No Aplica</v>
      </c>
      <c r="AR873" s="97" t="str">
        <f>IFERROR(__xludf.DUMMYFUNCTION("""COMPUTED_VALUE"""),"No Aplica")</f>
        <v>No Aplica</v>
      </c>
      <c r="AS873" s="97"/>
      <c r="AT873" s="97"/>
      <c r="AU873" s="97" t="str">
        <f>IFERROR(__xludf.DUMMYFUNCTION("""COMPUTED_VALUE"""),"Falta")</f>
        <v>Falta</v>
      </c>
      <c r="AV873" s="97" t="str">
        <f>IFERROR(__xludf.DUMMYFUNCTION("""COMPUTED_VALUE"""),"Accesorio")</f>
        <v>Accesorio</v>
      </c>
      <c r="AW873" s="97" t="str">
        <f>IFERROR(__xludf.DUMMYFUNCTION("""COMPUTED_VALUE"""),"Rieles")</f>
        <v>Rieles</v>
      </c>
      <c r="AX873" s="97" t="str">
        <f>IFERROR(__xludf.DUMMYFUNCTION("""COMPUTED_VALUE"""),"Interior")</f>
        <v>Interior</v>
      </c>
      <c r="AY873" s="97" t="str">
        <f>IFERROR(__xludf.DUMMYFUNCTION("""COMPUTED_VALUE"""),"-")</f>
        <v>-</v>
      </c>
      <c r="AZ873" s="97"/>
      <c r="BA873" s="97">
        <f>IFERROR(__xludf.DUMMYFUNCTION("""COMPUTED_VALUE"""),2.0)</f>
        <v>2</v>
      </c>
      <c r="BB873" s="97" t="str">
        <f>IFERROR(__xludf.DUMMYFUNCTION("""COMPUTED_VALUE"""),"-")</f>
        <v>-</v>
      </c>
      <c r="BC873" s="97" t="str">
        <f>IFERROR(__xludf.DUMMYFUNCTION("""COMPUTED_VALUE"""),"-")</f>
        <v>-</v>
      </c>
      <c r="BD873" s="97" t="str">
        <f>IFERROR(__xludf.DUMMYFUNCTION("""COMPUTED_VALUE"""),"RIELES 1EF")</f>
        <v>RIELES 1EF</v>
      </c>
      <c r="BE873" s="97" t="str">
        <f>IFERROR(__xludf.DUMMYFUNCTION("""COMPUTED_VALUE"""),"Finalizada")</f>
        <v>Finalizada</v>
      </c>
      <c r="BF873" s="97"/>
      <c r="BG873" s="97" t="str">
        <f>IFERROR(__xludf.DUMMYFUNCTION("""COMPUTED_VALUE"""),"Activo")</f>
        <v>Activo</v>
      </c>
    </row>
    <row r="874">
      <c r="A874" s="97">
        <f>IFERROR(__xludf.DUMMYFUNCTION("""COMPUTED_VALUE"""),6647.0)</f>
        <v>6647</v>
      </c>
      <c r="B874" s="97" t="str">
        <f>IFERROR(__xludf.DUMMYFUNCTION("""COMPUTED_VALUE"""),"HOUSING 1EF 2MTS BL")</f>
        <v>HOUSING 1EF 2MTS BL</v>
      </c>
      <c r="C874" s="97" t="str">
        <f>IFERROR(__xludf.DUMMYFUNCTION("""COMPUTED_VALUE"""),"ACCESORIO HOUSING 1EF 2MTS BL LEUK")</f>
        <v>ACCESORIO HOUSING 1EF 2MTS BL LEUK</v>
      </c>
      <c r="D874" s="97">
        <f>IFERROR(__xludf.DUMMYFUNCTION("""COMPUTED_VALUE"""),7.798413221244E12)</f>
        <v>7798413221244</v>
      </c>
      <c r="E874" s="97" t="str">
        <f>IFERROR(__xludf.DUMMYFUNCTION("""COMPUTED_VALUE"""),"N/A")</f>
        <v>N/A</v>
      </c>
      <c r="F874" s="97" t="str">
        <f>IFERROR(__xludf.DUMMYFUNCTION("""COMPUTED_VALUE"""),"N/A")</f>
        <v>N/A</v>
      </c>
      <c r="G874" s="97" t="str">
        <f>IFERROR(__xludf.DUMMYFUNCTION("""COMPUTED_VALUE"""),"N/A")</f>
        <v>N/A</v>
      </c>
      <c r="H874" s="97" t="str">
        <f>IFERROR(__xludf.DUMMYFUNCTION("""COMPUTED_VALUE"""),"N/A")</f>
        <v>N/A</v>
      </c>
      <c r="I874" s="97" t="str">
        <f>IFERROR(__xludf.DUMMYFUNCTION("""COMPUTED_VALUE"""),"N/A")</f>
        <v>N/A</v>
      </c>
      <c r="J874" s="97" t="str">
        <f>IFERROR(__xludf.DUMMYFUNCTION("""COMPUTED_VALUE"""),"N/A")</f>
        <v>N/A</v>
      </c>
      <c r="K874" s="97" t="str">
        <f>IFERROR(__xludf.DUMMYFUNCTION("""COMPUTED_VALUE"""),"N/A")</f>
        <v>N/A</v>
      </c>
      <c r="L874" s="97" t="str">
        <f>IFERROR(__xludf.DUMMYFUNCTION("""COMPUTED_VALUE"""),"N/A")</f>
        <v>N/A</v>
      </c>
      <c r="M874" s="97" t="str">
        <f>IFERROR(__xludf.DUMMYFUNCTION("""COMPUTED_VALUE"""),"N/A")</f>
        <v>N/A</v>
      </c>
      <c r="N874" s="97" t="str">
        <f>IFERROR(__xludf.DUMMYFUNCTION("""COMPUTED_VALUE"""),"N/A")</f>
        <v>N/A</v>
      </c>
      <c r="O874" s="97" t="str">
        <f>IFERROR(__xludf.DUMMYFUNCTION("""COMPUTED_VALUE"""),"-")</f>
        <v>-</v>
      </c>
      <c r="P874" s="97"/>
      <c r="Q874" s="97" t="str">
        <f>IFERROR(__xludf.DUMMYFUNCTION("""COMPUTED_VALUE"""),"-")</f>
        <v>-</v>
      </c>
      <c r="R874" s="97" t="str">
        <f>IFERROR(__xludf.DUMMYFUNCTION("""COMPUTED_VALUE"""),"-")</f>
        <v>-</v>
      </c>
      <c r="S874" s="97" t="str">
        <f>IFERROR(__xludf.DUMMYFUNCTION("""COMPUTED_VALUE"""),"-")</f>
        <v>-</v>
      </c>
      <c r="T874" s="97" t="str">
        <f>IFERROR(__xludf.DUMMYFUNCTION("""COMPUTED_VALUE"""),"-")</f>
        <v>-</v>
      </c>
      <c r="U874" s="97" t="str">
        <f>IFERROR(__xludf.DUMMYFUNCTION("""COMPUTED_VALUE"""),"-")</f>
        <v>-</v>
      </c>
      <c r="V874" s="97" t="str">
        <f>IFERROR(__xludf.DUMMYFUNCTION("""COMPUTED_VALUE"""),"N/A")</f>
        <v>N/A</v>
      </c>
      <c r="W874" s="97" t="str">
        <f>IFERROR(__xludf.DUMMYFUNCTION("""COMPUTED_VALUE"""),"N/A")</f>
        <v>N/A</v>
      </c>
      <c r="X874" s="97" t="str">
        <f>IFERROR(__xludf.DUMMYFUNCTION("""COMPUTED_VALUE"""),"-")</f>
        <v>-</v>
      </c>
      <c r="Y874" s="97" t="str">
        <f>IFERROR(__xludf.DUMMYFUNCTION("""COMPUTED_VALUE"""),"N/A")</f>
        <v>N/A</v>
      </c>
      <c r="Z874" s="97" t="str">
        <f>IFERROR(__xludf.DUMMYFUNCTION("""COMPUTED_VALUE"""),"N/A")</f>
        <v>N/A</v>
      </c>
      <c r="AA874" s="97" t="str">
        <f>IFERROR(__xludf.DUMMYFUNCTION("""COMPUTED_VALUE"""),"N/A")</f>
        <v>N/A</v>
      </c>
      <c r="AB874" s="97" t="str">
        <f>IFERROR(__xludf.DUMMYFUNCTION("""COMPUTED_VALUE"""),"N/A")</f>
        <v>N/A</v>
      </c>
      <c r="AC874" s="97" t="str">
        <f>IFERROR(__xludf.DUMMYFUNCTION("""COMPUTED_VALUE"""),"N/A")</f>
        <v>N/A</v>
      </c>
      <c r="AD874" s="97" t="str">
        <f>IFERROR(__xludf.DUMMYFUNCTION("""COMPUTED_VALUE"""),"N/A")</f>
        <v>N/A</v>
      </c>
      <c r="AE874" s="97" t="str">
        <f>IFERROR(__xludf.DUMMYFUNCTION("""COMPUTED_VALUE"""),"N/A")</f>
        <v>N/A</v>
      </c>
      <c r="AF874" s="97" t="str">
        <f>IFERROR(__xludf.DUMMYFUNCTION("""COMPUTED_VALUE"""),"N/A")</f>
        <v>N/A</v>
      </c>
      <c r="AG874" s="97" t="str">
        <f>IFERROR(__xludf.DUMMYFUNCTION("""COMPUTED_VALUE"""),"42 x 20 x 2000 (Ancho x Alto x Largo)")</f>
        <v>42 x 20 x 2000 (Ancho x Alto x Largo)</v>
      </c>
      <c r="AH874" s="97" t="str">
        <f>IFERROR(__xludf.DUMMYFUNCTION("""COMPUTED_VALUE"""),"37 x 2000 ")</f>
        <v>37 x 2000 </v>
      </c>
      <c r="AI874" s="97">
        <f>IFERROR(__xludf.DUMMYFUNCTION("""COMPUTED_VALUE"""),40.0)</f>
        <v>40</v>
      </c>
      <c r="AJ874" s="97" t="str">
        <f>IFERROR(__xludf.DUMMYFUNCTION("""COMPUTED_VALUE"""),"N/A")</f>
        <v>N/A</v>
      </c>
      <c r="AK874" s="97" t="str">
        <f>IFERROR(__xludf.DUMMYFUNCTION("""COMPUTED_VALUE"""),"Aluminio")</f>
        <v>Aluminio</v>
      </c>
      <c r="AL874" s="97" t="str">
        <f>IFERROR(__xludf.DUMMYFUNCTION("""COMPUTED_VALUE"""),"Blanco Mate")</f>
        <v>Blanco Mate</v>
      </c>
      <c r="AM874" s="97" t="str">
        <f>IFERROR(__xludf.DUMMYFUNCTION("""COMPUTED_VALUE"""),"-")</f>
        <v>-</v>
      </c>
      <c r="AN874" s="97" t="str">
        <f>IFERROR(__xludf.DUMMYFUNCTION("""COMPUTED_VALUE"""),"N/A")</f>
        <v>N/A</v>
      </c>
      <c r="AO874" s="97" t="str">
        <f>IFERROR(__xludf.DUMMYFUNCTION("""COMPUTED_VALUE"""),"3 Años")</f>
        <v>3 Años</v>
      </c>
      <c r="AP874" s="97" t="str">
        <f>IFERROR(__xludf.DUMMYFUNCTION("""COMPUTED_VALUE"""),"No Aplica")</f>
        <v>No Aplica</v>
      </c>
      <c r="AQ874" s="97" t="str">
        <f>IFERROR(__xludf.DUMMYFUNCTION("""COMPUTED_VALUE"""),"No Aplica")</f>
        <v>No Aplica</v>
      </c>
      <c r="AR874" s="97" t="str">
        <f>IFERROR(__xludf.DUMMYFUNCTION("""COMPUTED_VALUE"""),"No Aplica")</f>
        <v>No Aplica</v>
      </c>
      <c r="AS874" s="97"/>
      <c r="AT874" s="97"/>
      <c r="AU874" s="97" t="str">
        <f>IFERROR(__xludf.DUMMYFUNCTION("""COMPUTED_VALUE"""),"Falta")</f>
        <v>Falta</v>
      </c>
      <c r="AV874" s="97" t="str">
        <f>IFERROR(__xludf.DUMMYFUNCTION("""COMPUTED_VALUE"""),"Accesorio")</f>
        <v>Accesorio</v>
      </c>
      <c r="AW874" s="97" t="str">
        <f>IFERROR(__xludf.DUMMYFUNCTION("""COMPUTED_VALUE"""),"Rieles")</f>
        <v>Rieles</v>
      </c>
      <c r="AX874" s="97" t="str">
        <f>IFERROR(__xludf.DUMMYFUNCTION("""COMPUTED_VALUE"""),"Interior")</f>
        <v>Interior</v>
      </c>
      <c r="AY874" s="97" t="str">
        <f>IFERROR(__xludf.DUMMYFUNCTION("""COMPUTED_VALUE"""),"-")</f>
        <v>-</v>
      </c>
      <c r="AZ874" s="97"/>
      <c r="BA874" s="97">
        <f>IFERROR(__xludf.DUMMYFUNCTION("""COMPUTED_VALUE"""),2.0)</f>
        <v>2</v>
      </c>
      <c r="BB874" s="97" t="str">
        <f>IFERROR(__xludf.DUMMYFUNCTION("""COMPUTED_VALUE"""),"-")</f>
        <v>-</v>
      </c>
      <c r="BC874" s="97" t="str">
        <f>IFERROR(__xludf.DUMMYFUNCTION("""COMPUTED_VALUE"""),"-")</f>
        <v>-</v>
      </c>
      <c r="BD874" s="97" t="str">
        <f>IFERROR(__xludf.DUMMYFUNCTION("""COMPUTED_VALUE"""),"RIELES 1EF")</f>
        <v>RIELES 1EF</v>
      </c>
      <c r="BE874" s="97" t="str">
        <f>IFERROR(__xludf.DUMMYFUNCTION("""COMPUTED_VALUE"""),"Finalizada")</f>
        <v>Finalizada</v>
      </c>
      <c r="BF874" s="97"/>
      <c r="BG874" s="97" t="str">
        <f>IFERROR(__xludf.DUMMYFUNCTION("""COMPUTED_VALUE"""),"Activo")</f>
        <v>Activo</v>
      </c>
    </row>
    <row r="875">
      <c r="A875" s="97">
        <f>IFERROR(__xludf.DUMMYFUNCTION("""COMPUTED_VALUE"""),6648.0)</f>
        <v>6648</v>
      </c>
      <c r="B875" s="97" t="str">
        <f>IFERROR(__xludf.DUMMYFUNCTION("""COMPUTED_VALUE"""),"HOUSING 1EF 3MTS NG")</f>
        <v>HOUSING 1EF 3MTS NG</v>
      </c>
      <c r="C875" s="97" t="str">
        <f>IFERROR(__xludf.DUMMYFUNCTION("""COMPUTED_VALUE"""),"ACCESORIO HOUSING 1EF 3MTS NG LEUK")</f>
        <v>ACCESORIO HOUSING 1EF 3MTS NG LEUK</v>
      </c>
      <c r="D875" s="97">
        <f>IFERROR(__xludf.DUMMYFUNCTION("""COMPUTED_VALUE"""),7.798413221251E12)</f>
        <v>7798413221251</v>
      </c>
      <c r="E875" s="97" t="str">
        <f>IFERROR(__xludf.DUMMYFUNCTION("""COMPUTED_VALUE"""),"N/A")</f>
        <v>N/A</v>
      </c>
      <c r="F875" s="97" t="str">
        <f>IFERROR(__xludf.DUMMYFUNCTION("""COMPUTED_VALUE"""),"N/A")</f>
        <v>N/A</v>
      </c>
      <c r="G875" s="97" t="str">
        <f>IFERROR(__xludf.DUMMYFUNCTION("""COMPUTED_VALUE"""),"N/A")</f>
        <v>N/A</v>
      </c>
      <c r="H875" s="97" t="str">
        <f>IFERROR(__xludf.DUMMYFUNCTION("""COMPUTED_VALUE"""),"N/A")</f>
        <v>N/A</v>
      </c>
      <c r="I875" s="97" t="str">
        <f>IFERROR(__xludf.DUMMYFUNCTION("""COMPUTED_VALUE"""),"N/A")</f>
        <v>N/A</v>
      </c>
      <c r="J875" s="97" t="str">
        <f>IFERROR(__xludf.DUMMYFUNCTION("""COMPUTED_VALUE"""),"N/A")</f>
        <v>N/A</v>
      </c>
      <c r="K875" s="97" t="str">
        <f>IFERROR(__xludf.DUMMYFUNCTION("""COMPUTED_VALUE"""),"N/A")</f>
        <v>N/A</v>
      </c>
      <c r="L875" s="97" t="str">
        <f>IFERROR(__xludf.DUMMYFUNCTION("""COMPUTED_VALUE"""),"N/A")</f>
        <v>N/A</v>
      </c>
      <c r="M875" s="97" t="str">
        <f>IFERROR(__xludf.DUMMYFUNCTION("""COMPUTED_VALUE"""),"N/A")</f>
        <v>N/A</v>
      </c>
      <c r="N875" s="97" t="str">
        <f>IFERROR(__xludf.DUMMYFUNCTION("""COMPUTED_VALUE"""),"N/A")</f>
        <v>N/A</v>
      </c>
      <c r="O875" s="97" t="str">
        <f>IFERROR(__xludf.DUMMYFUNCTION("""COMPUTED_VALUE"""),"-")</f>
        <v>-</v>
      </c>
      <c r="P875" s="97"/>
      <c r="Q875" s="97" t="str">
        <f>IFERROR(__xludf.DUMMYFUNCTION("""COMPUTED_VALUE"""),"-")</f>
        <v>-</v>
      </c>
      <c r="R875" s="97" t="str">
        <f>IFERROR(__xludf.DUMMYFUNCTION("""COMPUTED_VALUE"""),"-")</f>
        <v>-</v>
      </c>
      <c r="S875" s="97" t="str">
        <f>IFERROR(__xludf.DUMMYFUNCTION("""COMPUTED_VALUE"""),"-")</f>
        <v>-</v>
      </c>
      <c r="T875" s="97" t="str">
        <f>IFERROR(__xludf.DUMMYFUNCTION("""COMPUTED_VALUE"""),"-")</f>
        <v>-</v>
      </c>
      <c r="U875" s="97" t="str">
        <f>IFERROR(__xludf.DUMMYFUNCTION("""COMPUTED_VALUE"""),"-")</f>
        <v>-</v>
      </c>
      <c r="V875" s="97" t="str">
        <f>IFERROR(__xludf.DUMMYFUNCTION("""COMPUTED_VALUE"""),"N/A")</f>
        <v>N/A</v>
      </c>
      <c r="W875" s="97" t="str">
        <f>IFERROR(__xludf.DUMMYFUNCTION("""COMPUTED_VALUE"""),"N/A")</f>
        <v>N/A</v>
      </c>
      <c r="X875" s="97" t="str">
        <f>IFERROR(__xludf.DUMMYFUNCTION("""COMPUTED_VALUE"""),"-")</f>
        <v>-</v>
      </c>
      <c r="Y875" s="97" t="str">
        <f>IFERROR(__xludf.DUMMYFUNCTION("""COMPUTED_VALUE"""),"N/A")</f>
        <v>N/A</v>
      </c>
      <c r="Z875" s="97" t="str">
        <f>IFERROR(__xludf.DUMMYFUNCTION("""COMPUTED_VALUE"""),"N/A")</f>
        <v>N/A</v>
      </c>
      <c r="AA875" s="97" t="str">
        <f>IFERROR(__xludf.DUMMYFUNCTION("""COMPUTED_VALUE"""),"N/A")</f>
        <v>N/A</v>
      </c>
      <c r="AB875" s="97" t="str">
        <f>IFERROR(__xludf.DUMMYFUNCTION("""COMPUTED_VALUE"""),"N/A")</f>
        <v>N/A</v>
      </c>
      <c r="AC875" s="97" t="str">
        <f>IFERROR(__xludf.DUMMYFUNCTION("""COMPUTED_VALUE"""),"N/A")</f>
        <v>N/A</v>
      </c>
      <c r="AD875" s="97" t="str">
        <f>IFERROR(__xludf.DUMMYFUNCTION("""COMPUTED_VALUE"""),"N/A")</f>
        <v>N/A</v>
      </c>
      <c r="AE875" s="97" t="str">
        <f>IFERROR(__xludf.DUMMYFUNCTION("""COMPUTED_VALUE"""),"N/A")</f>
        <v>N/A</v>
      </c>
      <c r="AF875" s="97" t="str">
        <f>IFERROR(__xludf.DUMMYFUNCTION("""COMPUTED_VALUE"""),"N/A")</f>
        <v>N/A</v>
      </c>
      <c r="AG875" s="97" t="str">
        <f>IFERROR(__xludf.DUMMYFUNCTION("""COMPUTED_VALUE"""),"42 x 20 x 3000 (Ancho x Alto x Largo)")</f>
        <v>42 x 20 x 3000 (Ancho x Alto x Largo)</v>
      </c>
      <c r="AH875" s="97" t="str">
        <f>IFERROR(__xludf.DUMMYFUNCTION("""COMPUTED_VALUE"""),"37 x 3000 ")</f>
        <v>37 x 3000 </v>
      </c>
      <c r="AI875" s="97">
        <f>IFERROR(__xludf.DUMMYFUNCTION("""COMPUTED_VALUE"""),40.0)</f>
        <v>40</v>
      </c>
      <c r="AJ875" s="97" t="str">
        <f>IFERROR(__xludf.DUMMYFUNCTION("""COMPUTED_VALUE"""),"N/A")</f>
        <v>N/A</v>
      </c>
      <c r="AK875" s="97" t="str">
        <f>IFERROR(__xludf.DUMMYFUNCTION("""COMPUTED_VALUE"""),"Aluminio")</f>
        <v>Aluminio</v>
      </c>
      <c r="AL875" s="97" t="str">
        <f>IFERROR(__xludf.DUMMYFUNCTION("""COMPUTED_VALUE"""),"Negro Mate")</f>
        <v>Negro Mate</v>
      </c>
      <c r="AM875" s="97" t="str">
        <f>IFERROR(__xludf.DUMMYFUNCTION("""COMPUTED_VALUE"""),"-")</f>
        <v>-</v>
      </c>
      <c r="AN875" s="97" t="str">
        <f>IFERROR(__xludf.DUMMYFUNCTION("""COMPUTED_VALUE"""),"N/A")</f>
        <v>N/A</v>
      </c>
      <c r="AO875" s="97" t="str">
        <f>IFERROR(__xludf.DUMMYFUNCTION("""COMPUTED_VALUE"""),"3 Años")</f>
        <v>3 Años</v>
      </c>
      <c r="AP875" s="97" t="str">
        <f>IFERROR(__xludf.DUMMYFUNCTION("""COMPUTED_VALUE"""),"No Aplica")</f>
        <v>No Aplica</v>
      </c>
      <c r="AQ875" s="97" t="str">
        <f>IFERROR(__xludf.DUMMYFUNCTION("""COMPUTED_VALUE"""),"No Aplica")</f>
        <v>No Aplica</v>
      </c>
      <c r="AR875" s="97" t="str">
        <f>IFERROR(__xludf.DUMMYFUNCTION("""COMPUTED_VALUE"""),"No Aplica")</f>
        <v>No Aplica</v>
      </c>
      <c r="AS875" s="97"/>
      <c r="AT875" s="97"/>
      <c r="AU875" s="97" t="str">
        <f>IFERROR(__xludf.DUMMYFUNCTION("""COMPUTED_VALUE"""),"Falta")</f>
        <v>Falta</v>
      </c>
      <c r="AV875" s="97" t="str">
        <f>IFERROR(__xludf.DUMMYFUNCTION("""COMPUTED_VALUE"""),"Accesorio")</f>
        <v>Accesorio</v>
      </c>
      <c r="AW875" s="97" t="str">
        <f>IFERROR(__xludf.DUMMYFUNCTION("""COMPUTED_VALUE"""),"Rieles")</f>
        <v>Rieles</v>
      </c>
      <c r="AX875" s="97" t="str">
        <f>IFERROR(__xludf.DUMMYFUNCTION("""COMPUTED_VALUE"""),"Interior")</f>
        <v>Interior</v>
      </c>
      <c r="AY875" s="97" t="str">
        <f>IFERROR(__xludf.DUMMYFUNCTION("""COMPUTED_VALUE"""),"-")</f>
        <v>-</v>
      </c>
      <c r="AZ875" s="97"/>
      <c r="BA875" s="97">
        <f>IFERROR(__xludf.DUMMYFUNCTION("""COMPUTED_VALUE"""),2.0)</f>
        <v>2</v>
      </c>
      <c r="BB875" s="97" t="str">
        <f>IFERROR(__xludf.DUMMYFUNCTION("""COMPUTED_VALUE"""),"-")</f>
        <v>-</v>
      </c>
      <c r="BC875" s="97" t="str">
        <f>IFERROR(__xludf.DUMMYFUNCTION("""COMPUTED_VALUE"""),"-")</f>
        <v>-</v>
      </c>
      <c r="BD875" s="97" t="str">
        <f>IFERROR(__xludf.DUMMYFUNCTION("""COMPUTED_VALUE"""),"RIELES 1EF")</f>
        <v>RIELES 1EF</v>
      </c>
      <c r="BE875" s="97" t="str">
        <f>IFERROR(__xludf.DUMMYFUNCTION("""COMPUTED_VALUE"""),"Finalizada")</f>
        <v>Finalizada</v>
      </c>
      <c r="BF875" s="97"/>
      <c r="BG875" s="97" t="str">
        <f>IFERROR(__xludf.DUMMYFUNCTION("""COMPUTED_VALUE"""),"Activo")</f>
        <v>Activo</v>
      </c>
    </row>
    <row r="876">
      <c r="A876" s="97">
        <f>IFERROR(__xludf.DUMMYFUNCTION("""COMPUTED_VALUE"""),6649.0)</f>
        <v>6649</v>
      </c>
      <c r="B876" s="97" t="str">
        <f>IFERROR(__xludf.DUMMYFUNCTION("""COMPUTED_VALUE"""),"HOUSING 1EF 3MTS BL")</f>
        <v>HOUSING 1EF 3MTS BL</v>
      </c>
      <c r="C876" s="97" t="str">
        <f>IFERROR(__xludf.DUMMYFUNCTION("""COMPUTED_VALUE"""),"ACCESORIO HOUSING 1EF 3MTS BL LEUK")</f>
        <v>ACCESORIO HOUSING 1EF 3MTS BL LEUK</v>
      </c>
      <c r="D876" s="97">
        <f>IFERROR(__xludf.DUMMYFUNCTION("""COMPUTED_VALUE"""),7.798413221268E12)</f>
        <v>7798413221268</v>
      </c>
      <c r="E876" s="97" t="str">
        <f>IFERROR(__xludf.DUMMYFUNCTION("""COMPUTED_VALUE"""),"N/A")</f>
        <v>N/A</v>
      </c>
      <c r="F876" s="97" t="str">
        <f>IFERROR(__xludf.DUMMYFUNCTION("""COMPUTED_VALUE"""),"N/A")</f>
        <v>N/A</v>
      </c>
      <c r="G876" s="97" t="str">
        <f>IFERROR(__xludf.DUMMYFUNCTION("""COMPUTED_VALUE"""),"N/A")</f>
        <v>N/A</v>
      </c>
      <c r="H876" s="97" t="str">
        <f>IFERROR(__xludf.DUMMYFUNCTION("""COMPUTED_VALUE"""),"N/A")</f>
        <v>N/A</v>
      </c>
      <c r="I876" s="97" t="str">
        <f>IFERROR(__xludf.DUMMYFUNCTION("""COMPUTED_VALUE"""),"N/A")</f>
        <v>N/A</v>
      </c>
      <c r="J876" s="97" t="str">
        <f>IFERROR(__xludf.DUMMYFUNCTION("""COMPUTED_VALUE"""),"N/A")</f>
        <v>N/A</v>
      </c>
      <c r="K876" s="97" t="str">
        <f>IFERROR(__xludf.DUMMYFUNCTION("""COMPUTED_VALUE"""),"N/A")</f>
        <v>N/A</v>
      </c>
      <c r="L876" s="97" t="str">
        <f>IFERROR(__xludf.DUMMYFUNCTION("""COMPUTED_VALUE"""),"N/A")</f>
        <v>N/A</v>
      </c>
      <c r="M876" s="97" t="str">
        <f>IFERROR(__xludf.DUMMYFUNCTION("""COMPUTED_VALUE"""),"N/A")</f>
        <v>N/A</v>
      </c>
      <c r="N876" s="97" t="str">
        <f>IFERROR(__xludf.DUMMYFUNCTION("""COMPUTED_VALUE"""),"N/A")</f>
        <v>N/A</v>
      </c>
      <c r="O876" s="97" t="str">
        <f>IFERROR(__xludf.DUMMYFUNCTION("""COMPUTED_VALUE"""),"-")</f>
        <v>-</v>
      </c>
      <c r="P876" s="97"/>
      <c r="Q876" s="97" t="str">
        <f>IFERROR(__xludf.DUMMYFUNCTION("""COMPUTED_VALUE"""),"-")</f>
        <v>-</v>
      </c>
      <c r="R876" s="97" t="str">
        <f>IFERROR(__xludf.DUMMYFUNCTION("""COMPUTED_VALUE"""),"-")</f>
        <v>-</v>
      </c>
      <c r="S876" s="97" t="str">
        <f>IFERROR(__xludf.DUMMYFUNCTION("""COMPUTED_VALUE"""),"-")</f>
        <v>-</v>
      </c>
      <c r="T876" s="97" t="str">
        <f>IFERROR(__xludf.DUMMYFUNCTION("""COMPUTED_VALUE"""),"-")</f>
        <v>-</v>
      </c>
      <c r="U876" s="97" t="str">
        <f>IFERROR(__xludf.DUMMYFUNCTION("""COMPUTED_VALUE"""),"-")</f>
        <v>-</v>
      </c>
      <c r="V876" s="97" t="str">
        <f>IFERROR(__xludf.DUMMYFUNCTION("""COMPUTED_VALUE"""),"N/A")</f>
        <v>N/A</v>
      </c>
      <c r="W876" s="97" t="str">
        <f>IFERROR(__xludf.DUMMYFUNCTION("""COMPUTED_VALUE"""),"N/A")</f>
        <v>N/A</v>
      </c>
      <c r="X876" s="97" t="str">
        <f>IFERROR(__xludf.DUMMYFUNCTION("""COMPUTED_VALUE"""),"-")</f>
        <v>-</v>
      </c>
      <c r="Y876" s="97" t="str">
        <f>IFERROR(__xludf.DUMMYFUNCTION("""COMPUTED_VALUE"""),"N/A")</f>
        <v>N/A</v>
      </c>
      <c r="Z876" s="97" t="str">
        <f>IFERROR(__xludf.DUMMYFUNCTION("""COMPUTED_VALUE"""),"N/A")</f>
        <v>N/A</v>
      </c>
      <c r="AA876" s="97" t="str">
        <f>IFERROR(__xludf.DUMMYFUNCTION("""COMPUTED_VALUE"""),"N/A")</f>
        <v>N/A</v>
      </c>
      <c r="AB876" s="97" t="str">
        <f>IFERROR(__xludf.DUMMYFUNCTION("""COMPUTED_VALUE"""),"N/A")</f>
        <v>N/A</v>
      </c>
      <c r="AC876" s="97" t="str">
        <f>IFERROR(__xludf.DUMMYFUNCTION("""COMPUTED_VALUE"""),"N/A")</f>
        <v>N/A</v>
      </c>
      <c r="AD876" s="97" t="str">
        <f>IFERROR(__xludf.DUMMYFUNCTION("""COMPUTED_VALUE"""),"N/A")</f>
        <v>N/A</v>
      </c>
      <c r="AE876" s="97" t="str">
        <f>IFERROR(__xludf.DUMMYFUNCTION("""COMPUTED_VALUE"""),"N/A")</f>
        <v>N/A</v>
      </c>
      <c r="AF876" s="97" t="str">
        <f>IFERROR(__xludf.DUMMYFUNCTION("""COMPUTED_VALUE"""),"N/A")</f>
        <v>N/A</v>
      </c>
      <c r="AG876" s="97" t="str">
        <f>IFERROR(__xludf.DUMMYFUNCTION("""COMPUTED_VALUE"""),"42 x 20 x 3000 (Ancho x Alto x Largo)")</f>
        <v>42 x 20 x 3000 (Ancho x Alto x Largo)</v>
      </c>
      <c r="AH876" s="97" t="str">
        <f>IFERROR(__xludf.DUMMYFUNCTION("""COMPUTED_VALUE"""),"37 x 3000 ")</f>
        <v>37 x 3000 </v>
      </c>
      <c r="AI876" s="97">
        <f>IFERROR(__xludf.DUMMYFUNCTION("""COMPUTED_VALUE"""),40.0)</f>
        <v>40</v>
      </c>
      <c r="AJ876" s="97" t="str">
        <f>IFERROR(__xludf.DUMMYFUNCTION("""COMPUTED_VALUE"""),"N/A")</f>
        <v>N/A</v>
      </c>
      <c r="AK876" s="97" t="str">
        <f>IFERROR(__xludf.DUMMYFUNCTION("""COMPUTED_VALUE"""),"Aluminio")</f>
        <v>Aluminio</v>
      </c>
      <c r="AL876" s="97" t="str">
        <f>IFERROR(__xludf.DUMMYFUNCTION("""COMPUTED_VALUE"""),"Blanco Mate")</f>
        <v>Blanco Mate</v>
      </c>
      <c r="AM876" s="97" t="str">
        <f>IFERROR(__xludf.DUMMYFUNCTION("""COMPUTED_VALUE"""),"-")</f>
        <v>-</v>
      </c>
      <c r="AN876" s="97" t="str">
        <f>IFERROR(__xludf.DUMMYFUNCTION("""COMPUTED_VALUE"""),"N/A")</f>
        <v>N/A</v>
      </c>
      <c r="AO876" s="97" t="str">
        <f>IFERROR(__xludf.DUMMYFUNCTION("""COMPUTED_VALUE"""),"3 Años")</f>
        <v>3 Años</v>
      </c>
      <c r="AP876" s="97" t="str">
        <f>IFERROR(__xludf.DUMMYFUNCTION("""COMPUTED_VALUE"""),"No Aplica")</f>
        <v>No Aplica</v>
      </c>
      <c r="AQ876" s="97" t="str">
        <f>IFERROR(__xludf.DUMMYFUNCTION("""COMPUTED_VALUE"""),"No Aplica")</f>
        <v>No Aplica</v>
      </c>
      <c r="AR876" s="97" t="str">
        <f>IFERROR(__xludf.DUMMYFUNCTION("""COMPUTED_VALUE"""),"No Aplica")</f>
        <v>No Aplica</v>
      </c>
      <c r="AS876" s="97"/>
      <c r="AT876" s="97"/>
      <c r="AU876" s="97" t="str">
        <f>IFERROR(__xludf.DUMMYFUNCTION("""COMPUTED_VALUE"""),"Falta")</f>
        <v>Falta</v>
      </c>
      <c r="AV876" s="97" t="str">
        <f>IFERROR(__xludf.DUMMYFUNCTION("""COMPUTED_VALUE"""),"Accesorio")</f>
        <v>Accesorio</v>
      </c>
      <c r="AW876" s="97" t="str">
        <f>IFERROR(__xludf.DUMMYFUNCTION("""COMPUTED_VALUE"""),"Rieles")</f>
        <v>Rieles</v>
      </c>
      <c r="AX876" s="97" t="str">
        <f>IFERROR(__xludf.DUMMYFUNCTION("""COMPUTED_VALUE"""),"Interior")</f>
        <v>Interior</v>
      </c>
      <c r="AY876" s="97" t="str">
        <f>IFERROR(__xludf.DUMMYFUNCTION("""COMPUTED_VALUE"""),"-")</f>
        <v>-</v>
      </c>
      <c r="AZ876" s="97"/>
      <c r="BA876" s="97">
        <f>IFERROR(__xludf.DUMMYFUNCTION("""COMPUTED_VALUE"""),2.0)</f>
        <v>2</v>
      </c>
      <c r="BB876" s="97" t="str">
        <f>IFERROR(__xludf.DUMMYFUNCTION("""COMPUTED_VALUE"""),"-")</f>
        <v>-</v>
      </c>
      <c r="BC876" s="97" t="str">
        <f>IFERROR(__xludf.DUMMYFUNCTION("""COMPUTED_VALUE"""),"-")</f>
        <v>-</v>
      </c>
      <c r="BD876" s="97" t="str">
        <f>IFERROR(__xludf.DUMMYFUNCTION("""COMPUTED_VALUE"""),"RIELES 1EF")</f>
        <v>RIELES 1EF</v>
      </c>
      <c r="BE876" s="97" t="str">
        <f>IFERROR(__xludf.DUMMYFUNCTION("""COMPUTED_VALUE"""),"Finalizada")</f>
        <v>Finalizada</v>
      </c>
      <c r="BF876" s="97"/>
      <c r="BG876" s="97" t="str">
        <f>IFERROR(__xludf.DUMMYFUNCTION("""COMPUTED_VALUE"""),"Activo")</f>
        <v>Activo</v>
      </c>
    </row>
    <row r="877">
      <c r="A877" s="97">
        <f>IFERROR(__xludf.DUMMYFUNCTION("""COMPUTED_VALUE"""),6650.0)</f>
        <v>6650</v>
      </c>
      <c r="B877" s="97" t="str">
        <f>IFERROR(__xludf.DUMMYFUNCTION("""COMPUTED_VALUE"""),"HOUSING 3EF 1MT NG")</f>
        <v>HOUSING 3EF 1MT NG</v>
      </c>
      <c r="C877" s="97" t="str">
        <f>IFERROR(__xludf.DUMMYFUNCTION("""COMPUTED_VALUE"""),"ACCESORIO HOUSING 3EF 1MT NG LEUK")</f>
        <v>ACCESORIO HOUSING 3EF 1MT NG LEUK</v>
      </c>
      <c r="D877" s="97">
        <f>IFERROR(__xludf.DUMMYFUNCTION("""COMPUTED_VALUE"""),7.798413221275E12)</f>
        <v>7798413221275</v>
      </c>
      <c r="E877" s="97" t="str">
        <f>IFERROR(__xludf.DUMMYFUNCTION("""COMPUTED_VALUE"""),"N/A")</f>
        <v>N/A</v>
      </c>
      <c r="F877" s="97" t="str">
        <f>IFERROR(__xludf.DUMMYFUNCTION("""COMPUTED_VALUE"""),"N/A")</f>
        <v>N/A</v>
      </c>
      <c r="G877" s="97" t="str">
        <f>IFERROR(__xludf.DUMMYFUNCTION("""COMPUTED_VALUE"""),"N/A")</f>
        <v>N/A</v>
      </c>
      <c r="H877" s="97" t="str">
        <f>IFERROR(__xludf.DUMMYFUNCTION("""COMPUTED_VALUE"""),"N/A")</f>
        <v>N/A</v>
      </c>
      <c r="I877" s="97" t="str">
        <f>IFERROR(__xludf.DUMMYFUNCTION("""COMPUTED_VALUE"""),"N/A")</f>
        <v>N/A</v>
      </c>
      <c r="J877" s="97" t="str">
        <f>IFERROR(__xludf.DUMMYFUNCTION("""COMPUTED_VALUE"""),"N/A")</f>
        <v>N/A</v>
      </c>
      <c r="K877" s="97" t="str">
        <f>IFERROR(__xludf.DUMMYFUNCTION("""COMPUTED_VALUE"""),"N/A")</f>
        <v>N/A</v>
      </c>
      <c r="L877" s="97" t="str">
        <f>IFERROR(__xludf.DUMMYFUNCTION("""COMPUTED_VALUE"""),"N/A")</f>
        <v>N/A</v>
      </c>
      <c r="M877" s="97" t="str">
        <f>IFERROR(__xludf.DUMMYFUNCTION("""COMPUTED_VALUE"""),"N/A")</f>
        <v>N/A</v>
      </c>
      <c r="N877" s="97" t="str">
        <f>IFERROR(__xludf.DUMMYFUNCTION("""COMPUTED_VALUE"""),"N/A")</f>
        <v>N/A</v>
      </c>
      <c r="O877" s="97" t="str">
        <f>IFERROR(__xludf.DUMMYFUNCTION("""COMPUTED_VALUE"""),"-")</f>
        <v>-</v>
      </c>
      <c r="P877" s="97"/>
      <c r="Q877" s="97" t="str">
        <f>IFERROR(__xludf.DUMMYFUNCTION("""COMPUTED_VALUE"""),"-")</f>
        <v>-</v>
      </c>
      <c r="R877" s="97" t="str">
        <f>IFERROR(__xludf.DUMMYFUNCTION("""COMPUTED_VALUE"""),"-")</f>
        <v>-</v>
      </c>
      <c r="S877" s="97" t="str">
        <f>IFERROR(__xludf.DUMMYFUNCTION("""COMPUTED_VALUE"""),"-")</f>
        <v>-</v>
      </c>
      <c r="T877" s="97" t="str">
        <f>IFERROR(__xludf.DUMMYFUNCTION("""COMPUTED_VALUE"""),"-")</f>
        <v>-</v>
      </c>
      <c r="U877" s="97" t="str">
        <f>IFERROR(__xludf.DUMMYFUNCTION("""COMPUTED_VALUE"""),"-")</f>
        <v>-</v>
      </c>
      <c r="V877" s="97" t="str">
        <f>IFERROR(__xludf.DUMMYFUNCTION("""COMPUTED_VALUE"""),"N/A")</f>
        <v>N/A</v>
      </c>
      <c r="W877" s="97" t="str">
        <f>IFERROR(__xludf.DUMMYFUNCTION("""COMPUTED_VALUE"""),"N/A")</f>
        <v>N/A</v>
      </c>
      <c r="X877" s="97" t="str">
        <f>IFERROR(__xludf.DUMMYFUNCTION("""COMPUTED_VALUE"""),"-")</f>
        <v>-</v>
      </c>
      <c r="Y877" s="97" t="str">
        <f>IFERROR(__xludf.DUMMYFUNCTION("""COMPUTED_VALUE"""),"N/A")</f>
        <v>N/A</v>
      </c>
      <c r="Z877" s="97" t="str">
        <f>IFERROR(__xludf.DUMMYFUNCTION("""COMPUTED_VALUE"""),"N/A")</f>
        <v>N/A</v>
      </c>
      <c r="AA877" s="97" t="str">
        <f>IFERROR(__xludf.DUMMYFUNCTION("""COMPUTED_VALUE"""),"N/A")</f>
        <v>N/A</v>
      </c>
      <c r="AB877" s="97" t="str">
        <f>IFERROR(__xludf.DUMMYFUNCTION("""COMPUTED_VALUE"""),"N/A")</f>
        <v>N/A</v>
      </c>
      <c r="AC877" s="97" t="str">
        <f>IFERROR(__xludf.DUMMYFUNCTION("""COMPUTED_VALUE"""),"N/A")</f>
        <v>N/A</v>
      </c>
      <c r="AD877" s="97" t="str">
        <f>IFERROR(__xludf.DUMMYFUNCTION("""COMPUTED_VALUE"""),"N/A")</f>
        <v>N/A</v>
      </c>
      <c r="AE877" s="97" t="str">
        <f>IFERROR(__xludf.DUMMYFUNCTION("""COMPUTED_VALUE"""),"N/A")</f>
        <v>N/A</v>
      </c>
      <c r="AF877" s="97" t="str">
        <f>IFERROR(__xludf.DUMMYFUNCTION("""COMPUTED_VALUE"""),"N/A")</f>
        <v>N/A</v>
      </c>
      <c r="AG877" s="97" t="str">
        <f>IFERROR(__xludf.DUMMYFUNCTION("""COMPUTED_VALUE"""),"42 x 36 x 1000 (Ancho x Alto x Largo)")</f>
        <v>42 x 36 x 1000 (Ancho x Alto x Largo)</v>
      </c>
      <c r="AH877" s="97" t="str">
        <f>IFERROR(__xludf.DUMMYFUNCTION("""COMPUTED_VALUE"""),"36 x 1000 ")</f>
        <v>36 x 1000 </v>
      </c>
      <c r="AI877" s="97">
        <f>IFERROR(__xludf.DUMMYFUNCTION("""COMPUTED_VALUE"""),56.0)</f>
        <v>56</v>
      </c>
      <c r="AJ877" s="97" t="str">
        <f>IFERROR(__xludf.DUMMYFUNCTION("""COMPUTED_VALUE"""),"N/A")</f>
        <v>N/A</v>
      </c>
      <c r="AK877" s="97" t="str">
        <f>IFERROR(__xludf.DUMMYFUNCTION("""COMPUTED_VALUE"""),"Aluminio")</f>
        <v>Aluminio</v>
      </c>
      <c r="AL877" s="97" t="str">
        <f>IFERROR(__xludf.DUMMYFUNCTION("""COMPUTED_VALUE"""),"Negro Mate")</f>
        <v>Negro Mate</v>
      </c>
      <c r="AM877" s="97" t="str">
        <f>IFERROR(__xludf.DUMMYFUNCTION("""COMPUTED_VALUE"""),"-")</f>
        <v>-</v>
      </c>
      <c r="AN877" s="97" t="str">
        <f>IFERROR(__xludf.DUMMYFUNCTION("""COMPUTED_VALUE"""),"N/A")</f>
        <v>N/A</v>
      </c>
      <c r="AO877" s="97" t="str">
        <f>IFERROR(__xludf.DUMMYFUNCTION("""COMPUTED_VALUE"""),"3 Años")</f>
        <v>3 Años</v>
      </c>
      <c r="AP877" s="97" t="str">
        <f>IFERROR(__xludf.DUMMYFUNCTION("""COMPUTED_VALUE"""),"No Aplica")</f>
        <v>No Aplica</v>
      </c>
      <c r="AQ877" s="97" t="str">
        <f>IFERROR(__xludf.DUMMYFUNCTION("""COMPUTED_VALUE"""),"No Aplica")</f>
        <v>No Aplica</v>
      </c>
      <c r="AR877" s="97" t="str">
        <f>IFERROR(__xludf.DUMMYFUNCTION("""COMPUTED_VALUE"""),"No Aplica")</f>
        <v>No Aplica</v>
      </c>
      <c r="AS877" s="97"/>
      <c r="AT877" s="97"/>
      <c r="AU877" s="97" t="str">
        <f>IFERROR(__xludf.DUMMYFUNCTION("""COMPUTED_VALUE"""),"Falta")</f>
        <v>Falta</v>
      </c>
      <c r="AV877" s="97" t="str">
        <f>IFERROR(__xludf.DUMMYFUNCTION("""COMPUTED_VALUE"""),"Accesorio")</f>
        <v>Accesorio</v>
      </c>
      <c r="AW877" s="97" t="str">
        <f>IFERROR(__xludf.DUMMYFUNCTION("""COMPUTED_VALUE"""),"Rieles")</f>
        <v>Rieles</v>
      </c>
      <c r="AX877" s="97" t="str">
        <f>IFERROR(__xludf.DUMMYFUNCTION("""COMPUTED_VALUE"""),"Interior")</f>
        <v>Interior</v>
      </c>
      <c r="AY877" s="97" t="str">
        <f>IFERROR(__xludf.DUMMYFUNCTION("""COMPUTED_VALUE"""),"-")</f>
        <v>-</v>
      </c>
      <c r="AZ877" s="97"/>
      <c r="BA877" s="97">
        <f>IFERROR(__xludf.DUMMYFUNCTION("""COMPUTED_VALUE"""),2.0)</f>
        <v>2</v>
      </c>
      <c r="BB877" s="97" t="str">
        <f>IFERROR(__xludf.DUMMYFUNCTION("""COMPUTED_VALUE"""),"-")</f>
        <v>-</v>
      </c>
      <c r="BC877" s="97" t="str">
        <f>IFERROR(__xludf.DUMMYFUNCTION("""COMPUTED_VALUE"""),"-")</f>
        <v>-</v>
      </c>
      <c r="BD877" s="97" t="str">
        <f>IFERROR(__xludf.DUMMYFUNCTION("""COMPUTED_VALUE"""),"RIELES 3EF")</f>
        <v>RIELES 3EF</v>
      </c>
      <c r="BE877" s="97" t="str">
        <f>IFERROR(__xludf.DUMMYFUNCTION("""COMPUTED_VALUE"""),"Finalizada")</f>
        <v>Finalizada</v>
      </c>
      <c r="BF877" s="97"/>
      <c r="BG877" s="97" t="str">
        <f>IFERROR(__xludf.DUMMYFUNCTION("""COMPUTED_VALUE"""),"Activo")</f>
        <v>Activo</v>
      </c>
    </row>
    <row r="878">
      <c r="A878" s="97">
        <f>IFERROR(__xludf.DUMMYFUNCTION("""COMPUTED_VALUE"""),6651.0)</f>
        <v>6651</v>
      </c>
      <c r="B878" s="97" t="str">
        <f>IFERROR(__xludf.DUMMYFUNCTION("""COMPUTED_VALUE"""),"HOUSING 3EF 1MT BL")</f>
        <v>HOUSING 3EF 1MT BL</v>
      </c>
      <c r="C878" s="97" t="str">
        <f>IFERROR(__xludf.DUMMYFUNCTION("""COMPUTED_VALUE"""),"ACCESORIO HOUSING 3EF 1MT BL LEUK")</f>
        <v>ACCESORIO HOUSING 3EF 1MT BL LEUK</v>
      </c>
      <c r="D878" s="97">
        <f>IFERROR(__xludf.DUMMYFUNCTION("""COMPUTED_VALUE"""),7.798413221282E12)</f>
        <v>7798413221282</v>
      </c>
      <c r="E878" s="97" t="str">
        <f>IFERROR(__xludf.DUMMYFUNCTION("""COMPUTED_VALUE"""),"N/A")</f>
        <v>N/A</v>
      </c>
      <c r="F878" s="97" t="str">
        <f>IFERROR(__xludf.DUMMYFUNCTION("""COMPUTED_VALUE"""),"N/A")</f>
        <v>N/A</v>
      </c>
      <c r="G878" s="97" t="str">
        <f>IFERROR(__xludf.DUMMYFUNCTION("""COMPUTED_VALUE"""),"N/A")</f>
        <v>N/A</v>
      </c>
      <c r="H878" s="97" t="str">
        <f>IFERROR(__xludf.DUMMYFUNCTION("""COMPUTED_VALUE"""),"N/A")</f>
        <v>N/A</v>
      </c>
      <c r="I878" s="97" t="str">
        <f>IFERROR(__xludf.DUMMYFUNCTION("""COMPUTED_VALUE"""),"N/A")</f>
        <v>N/A</v>
      </c>
      <c r="J878" s="97" t="str">
        <f>IFERROR(__xludf.DUMMYFUNCTION("""COMPUTED_VALUE"""),"N/A")</f>
        <v>N/A</v>
      </c>
      <c r="K878" s="97" t="str">
        <f>IFERROR(__xludf.DUMMYFUNCTION("""COMPUTED_VALUE"""),"N/A")</f>
        <v>N/A</v>
      </c>
      <c r="L878" s="97" t="str">
        <f>IFERROR(__xludf.DUMMYFUNCTION("""COMPUTED_VALUE"""),"N/A")</f>
        <v>N/A</v>
      </c>
      <c r="M878" s="97" t="str">
        <f>IFERROR(__xludf.DUMMYFUNCTION("""COMPUTED_VALUE"""),"N/A")</f>
        <v>N/A</v>
      </c>
      <c r="N878" s="97" t="str">
        <f>IFERROR(__xludf.DUMMYFUNCTION("""COMPUTED_VALUE"""),"N/A")</f>
        <v>N/A</v>
      </c>
      <c r="O878" s="97" t="str">
        <f>IFERROR(__xludf.DUMMYFUNCTION("""COMPUTED_VALUE"""),"-")</f>
        <v>-</v>
      </c>
      <c r="P878" s="97"/>
      <c r="Q878" s="97" t="str">
        <f>IFERROR(__xludf.DUMMYFUNCTION("""COMPUTED_VALUE"""),"-")</f>
        <v>-</v>
      </c>
      <c r="R878" s="97" t="str">
        <f>IFERROR(__xludf.DUMMYFUNCTION("""COMPUTED_VALUE"""),"-")</f>
        <v>-</v>
      </c>
      <c r="S878" s="97" t="str">
        <f>IFERROR(__xludf.DUMMYFUNCTION("""COMPUTED_VALUE"""),"-")</f>
        <v>-</v>
      </c>
      <c r="T878" s="97" t="str">
        <f>IFERROR(__xludf.DUMMYFUNCTION("""COMPUTED_VALUE"""),"-")</f>
        <v>-</v>
      </c>
      <c r="U878" s="97" t="str">
        <f>IFERROR(__xludf.DUMMYFUNCTION("""COMPUTED_VALUE"""),"-")</f>
        <v>-</v>
      </c>
      <c r="V878" s="97" t="str">
        <f>IFERROR(__xludf.DUMMYFUNCTION("""COMPUTED_VALUE"""),"N/A")</f>
        <v>N/A</v>
      </c>
      <c r="W878" s="97" t="str">
        <f>IFERROR(__xludf.DUMMYFUNCTION("""COMPUTED_VALUE"""),"N/A")</f>
        <v>N/A</v>
      </c>
      <c r="X878" s="97" t="str">
        <f>IFERROR(__xludf.DUMMYFUNCTION("""COMPUTED_VALUE"""),"-")</f>
        <v>-</v>
      </c>
      <c r="Y878" s="97" t="str">
        <f>IFERROR(__xludf.DUMMYFUNCTION("""COMPUTED_VALUE"""),"N/A")</f>
        <v>N/A</v>
      </c>
      <c r="Z878" s="97" t="str">
        <f>IFERROR(__xludf.DUMMYFUNCTION("""COMPUTED_VALUE"""),"N/A")</f>
        <v>N/A</v>
      </c>
      <c r="AA878" s="97" t="str">
        <f>IFERROR(__xludf.DUMMYFUNCTION("""COMPUTED_VALUE"""),"N/A")</f>
        <v>N/A</v>
      </c>
      <c r="AB878" s="97" t="str">
        <f>IFERROR(__xludf.DUMMYFUNCTION("""COMPUTED_VALUE"""),"N/A")</f>
        <v>N/A</v>
      </c>
      <c r="AC878" s="97" t="str">
        <f>IFERROR(__xludf.DUMMYFUNCTION("""COMPUTED_VALUE"""),"N/A")</f>
        <v>N/A</v>
      </c>
      <c r="AD878" s="97" t="str">
        <f>IFERROR(__xludf.DUMMYFUNCTION("""COMPUTED_VALUE"""),"N/A")</f>
        <v>N/A</v>
      </c>
      <c r="AE878" s="97" t="str">
        <f>IFERROR(__xludf.DUMMYFUNCTION("""COMPUTED_VALUE"""),"N/A")</f>
        <v>N/A</v>
      </c>
      <c r="AF878" s="97" t="str">
        <f>IFERROR(__xludf.DUMMYFUNCTION("""COMPUTED_VALUE"""),"N/A")</f>
        <v>N/A</v>
      </c>
      <c r="AG878" s="97" t="str">
        <f>IFERROR(__xludf.DUMMYFUNCTION("""COMPUTED_VALUE"""),"42 x 36 x 1000 (Ancho x Alto x Largo)")</f>
        <v>42 x 36 x 1000 (Ancho x Alto x Largo)</v>
      </c>
      <c r="AH878" s="97" t="str">
        <f>IFERROR(__xludf.DUMMYFUNCTION("""COMPUTED_VALUE"""),"36 x 1000 ")</f>
        <v>36 x 1000 </v>
      </c>
      <c r="AI878" s="97">
        <f>IFERROR(__xludf.DUMMYFUNCTION("""COMPUTED_VALUE"""),56.0)</f>
        <v>56</v>
      </c>
      <c r="AJ878" s="97" t="str">
        <f>IFERROR(__xludf.DUMMYFUNCTION("""COMPUTED_VALUE"""),"N/A")</f>
        <v>N/A</v>
      </c>
      <c r="AK878" s="97" t="str">
        <f>IFERROR(__xludf.DUMMYFUNCTION("""COMPUTED_VALUE"""),"Aluminio")</f>
        <v>Aluminio</v>
      </c>
      <c r="AL878" s="97" t="str">
        <f>IFERROR(__xludf.DUMMYFUNCTION("""COMPUTED_VALUE"""),"Blanco Mate")</f>
        <v>Blanco Mate</v>
      </c>
      <c r="AM878" s="97" t="str">
        <f>IFERROR(__xludf.DUMMYFUNCTION("""COMPUTED_VALUE"""),"-")</f>
        <v>-</v>
      </c>
      <c r="AN878" s="97" t="str">
        <f>IFERROR(__xludf.DUMMYFUNCTION("""COMPUTED_VALUE"""),"N/A")</f>
        <v>N/A</v>
      </c>
      <c r="AO878" s="97" t="str">
        <f>IFERROR(__xludf.DUMMYFUNCTION("""COMPUTED_VALUE"""),"3 Años")</f>
        <v>3 Años</v>
      </c>
      <c r="AP878" s="97" t="str">
        <f>IFERROR(__xludf.DUMMYFUNCTION("""COMPUTED_VALUE"""),"No Aplica")</f>
        <v>No Aplica</v>
      </c>
      <c r="AQ878" s="97" t="str">
        <f>IFERROR(__xludf.DUMMYFUNCTION("""COMPUTED_VALUE"""),"No Aplica")</f>
        <v>No Aplica</v>
      </c>
      <c r="AR878" s="97" t="str">
        <f>IFERROR(__xludf.DUMMYFUNCTION("""COMPUTED_VALUE"""),"No Aplica")</f>
        <v>No Aplica</v>
      </c>
      <c r="AS878" s="97"/>
      <c r="AT878" s="97"/>
      <c r="AU878" s="97" t="str">
        <f>IFERROR(__xludf.DUMMYFUNCTION("""COMPUTED_VALUE"""),"Falta")</f>
        <v>Falta</v>
      </c>
      <c r="AV878" s="97" t="str">
        <f>IFERROR(__xludf.DUMMYFUNCTION("""COMPUTED_VALUE"""),"Accesorio")</f>
        <v>Accesorio</v>
      </c>
      <c r="AW878" s="97" t="str">
        <f>IFERROR(__xludf.DUMMYFUNCTION("""COMPUTED_VALUE"""),"Rieles")</f>
        <v>Rieles</v>
      </c>
      <c r="AX878" s="97" t="str">
        <f>IFERROR(__xludf.DUMMYFUNCTION("""COMPUTED_VALUE"""),"Interior")</f>
        <v>Interior</v>
      </c>
      <c r="AY878" s="97" t="str">
        <f>IFERROR(__xludf.DUMMYFUNCTION("""COMPUTED_VALUE"""),"-")</f>
        <v>-</v>
      </c>
      <c r="AZ878" s="97"/>
      <c r="BA878" s="97">
        <f>IFERROR(__xludf.DUMMYFUNCTION("""COMPUTED_VALUE"""),2.0)</f>
        <v>2</v>
      </c>
      <c r="BB878" s="97" t="str">
        <f>IFERROR(__xludf.DUMMYFUNCTION("""COMPUTED_VALUE"""),"-")</f>
        <v>-</v>
      </c>
      <c r="BC878" s="97" t="str">
        <f>IFERROR(__xludf.DUMMYFUNCTION("""COMPUTED_VALUE"""),"-")</f>
        <v>-</v>
      </c>
      <c r="BD878" s="97" t="str">
        <f>IFERROR(__xludf.DUMMYFUNCTION("""COMPUTED_VALUE"""),"RIELES 3EF")</f>
        <v>RIELES 3EF</v>
      </c>
      <c r="BE878" s="97" t="str">
        <f>IFERROR(__xludf.DUMMYFUNCTION("""COMPUTED_VALUE"""),"Finalizada")</f>
        <v>Finalizada</v>
      </c>
      <c r="BF878" s="97"/>
      <c r="BG878" s="97" t="str">
        <f>IFERROR(__xludf.DUMMYFUNCTION("""COMPUTED_VALUE"""),"Activo")</f>
        <v>Activo</v>
      </c>
    </row>
    <row r="879">
      <c r="A879" s="97">
        <f>IFERROR(__xludf.DUMMYFUNCTION("""COMPUTED_VALUE"""),6652.0)</f>
        <v>6652</v>
      </c>
      <c r="B879" s="97" t="str">
        <f>IFERROR(__xludf.DUMMYFUNCTION("""COMPUTED_VALUE"""),"HOUSING 3EF 2MTS NG")</f>
        <v>HOUSING 3EF 2MTS NG</v>
      </c>
      <c r="C879" s="97" t="str">
        <f>IFERROR(__xludf.DUMMYFUNCTION("""COMPUTED_VALUE"""),"ACCESORIO HOUSING 3EF 2MTS NG LEUK")</f>
        <v>ACCESORIO HOUSING 3EF 2MTS NG LEUK</v>
      </c>
      <c r="D879" s="97">
        <f>IFERROR(__xludf.DUMMYFUNCTION("""COMPUTED_VALUE"""),7.798413221299E12)</f>
        <v>7798413221299</v>
      </c>
      <c r="E879" s="97" t="str">
        <f>IFERROR(__xludf.DUMMYFUNCTION("""COMPUTED_VALUE"""),"N/A")</f>
        <v>N/A</v>
      </c>
      <c r="F879" s="97" t="str">
        <f>IFERROR(__xludf.DUMMYFUNCTION("""COMPUTED_VALUE"""),"N/A")</f>
        <v>N/A</v>
      </c>
      <c r="G879" s="97" t="str">
        <f>IFERROR(__xludf.DUMMYFUNCTION("""COMPUTED_VALUE"""),"N/A")</f>
        <v>N/A</v>
      </c>
      <c r="H879" s="97" t="str">
        <f>IFERROR(__xludf.DUMMYFUNCTION("""COMPUTED_VALUE"""),"N/A")</f>
        <v>N/A</v>
      </c>
      <c r="I879" s="97" t="str">
        <f>IFERROR(__xludf.DUMMYFUNCTION("""COMPUTED_VALUE"""),"N/A")</f>
        <v>N/A</v>
      </c>
      <c r="J879" s="97" t="str">
        <f>IFERROR(__xludf.DUMMYFUNCTION("""COMPUTED_VALUE"""),"N/A")</f>
        <v>N/A</v>
      </c>
      <c r="K879" s="97" t="str">
        <f>IFERROR(__xludf.DUMMYFUNCTION("""COMPUTED_VALUE"""),"N/A")</f>
        <v>N/A</v>
      </c>
      <c r="L879" s="97" t="str">
        <f>IFERROR(__xludf.DUMMYFUNCTION("""COMPUTED_VALUE"""),"N/A")</f>
        <v>N/A</v>
      </c>
      <c r="M879" s="97" t="str">
        <f>IFERROR(__xludf.DUMMYFUNCTION("""COMPUTED_VALUE"""),"N/A")</f>
        <v>N/A</v>
      </c>
      <c r="N879" s="97" t="str">
        <f>IFERROR(__xludf.DUMMYFUNCTION("""COMPUTED_VALUE"""),"N/A")</f>
        <v>N/A</v>
      </c>
      <c r="O879" s="97" t="str">
        <f>IFERROR(__xludf.DUMMYFUNCTION("""COMPUTED_VALUE"""),"-")</f>
        <v>-</v>
      </c>
      <c r="P879" s="97"/>
      <c r="Q879" s="97" t="str">
        <f>IFERROR(__xludf.DUMMYFUNCTION("""COMPUTED_VALUE"""),"-")</f>
        <v>-</v>
      </c>
      <c r="R879" s="97" t="str">
        <f>IFERROR(__xludf.DUMMYFUNCTION("""COMPUTED_VALUE"""),"-")</f>
        <v>-</v>
      </c>
      <c r="S879" s="97" t="str">
        <f>IFERROR(__xludf.DUMMYFUNCTION("""COMPUTED_VALUE"""),"-")</f>
        <v>-</v>
      </c>
      <c r="T879" s="97" t="str">
        <f>IFERROR(__xludf.DUMMYFUNCTION("""COMPUTED_VALUE"""),"-")</f>
        <v>-</v>
      </c>
      <c r="U879" s="97" t="str">
        <f>IFERROR(__xludf.DUMMYFUNCTION("""COMPUTED_VALUE"""),"-")</f>
        <v>-</v>
      </c>
      <c r="V879" s="97" t="str">
        <f>IFERROR(__xludf.DUMMYFUNCTION("""COMPUTED_VALUE"""),"N/A")</f>
        <v>N/A</v>
      </c>
      <c r="W879" s="97" t="str">
        <f>IFERROR(__xludf.DUMMYFUNCTION("""COMPUTED_VALUE"""),"N/A")</f>
        <v>N/A</v>
      </c>
      <c r="X879" s="97" t="str">
        <f>IFERROR(__xludf.DUMMYFUNCTION("""COMPUTED_VALUE"""),"-")</f>
        <v>-</v>
      </c>
      <c r="Y879" s="97" t="str">
        <f>IFERROR(__xludf.DUMMYFUNCTION("""COMPUTED_VALUE"""),"N/A")</f>
        <v>N/A</v>
      </c>
      <c r="Z879" s="97" t="str">
        <f>IFERROR(__xludf.DUMMYFUNCTION("""COMPUTED_VALUE"""),"N/A")</f>
        <v>N/A</v>
      </c>
      <c r="AA879" s="97" t="str">
        <f>IFERROR(__xludf.DUMMYFUNCTION("""COMPUTED_VALUE"""),"N/A")</f>
        <v>N/A</v>
      </c>
      <c r="AB879" s="97" t="str">
        <f>IFERROR(__xludf.DUMMYFUNCTION("""COMPUTED_VALUE"""),"N/A")</f>
        <v>N/A</v>
      </c>
      <c r="AC879" s="97" t="str">
        <f>IFERROR(__xludf.DUMMYFUNCTION("""COMPUTED_VALUE"""),"N/A")</f>
        <v>N/A</v>
      </c>
      <c r="AD879" s="97" t="str">
        <f>IFERROR(__xludf.DUMMYFUNCTION("""COMPUTED_VALUE"""),"N/A")</f>
        <v>N/A</v>
      </c>
      <c r="AE879" s="97" t="str">
        <f>IFERROR(__xludf.DUMMYFUNCTION("""COMPUTED_VALUE"""),"N/A")</f>
        <v>N/A</v>
      </c>
      <c r="AF879" s="97" t="str">
        <f>IFERROR(__xludf.DUMMYFUNCTION("""COMPUTED_VALUE"""),"N/A")</f>
        <v>N/A</v>
      </c>
      <c r="AG879" s="97" t="str">
        <f>IFERROR(__xludf.DUMMYFUNCTION("""COMPUTED_VALUE"""),"42 x 36 x 2000 (Ancho x Alto x Largo)")</f>
        <v>42 x 36 x 2000 (Ancho x Alto x Largo)</v>
      </c>
      <c r="AH879" s="97" t="str">
        <f>IFERROR(__xludf.DUMMYFUNCTION("""COMPUTED_VALUE"""),"36 x 2000 ")</f>
        <v>36 x 2000 </v>
      </c>
      <c r="AI879" s="97">
        <f>IFERROR(__xludf.DUMMYFUNCTION("""COMPUTED_VALUE"""),56.0)</f>
        <v>56</v>
      </c>
      <c r="AJ879" s="97" t="str">
        <f>IFERROR(__xludf.DUMMYFUNCTION("""COMPUTED_VALUE"""),"N/A")</f>
        <v>N/A</v>
      </c>
      <c r="AK879" s="97" t="str">
        <f>IFERROR(__xludf.DUMMYFUNCTION("""COMPUTED_VALUE"""),"Aluminio")</f>
        <v>Aluminio</v>
      </c>
      <c r="AL879" s="97" t="str">
        <f>IFERROR(__xludf.DUMMYFUNCTION("""COMPUTED_VALUE"""),"Negro Mate")</f>
        <v>Negro Mate</v>
      </c>
      <c r="AM879" s="97" t="str">
        <f>IFERROR(__xludf.DUMMYFUNCTION("""COMPUTED_VALUE"""),"-")</f>
        <v>-</v>
      </c>
      <c r="AN879" s="97" t="str">
        <f>IFERROR(__xludf.DUMMYFUNCTION("""COMPUTED_VALUE"""),"N/A")</f>
        <v>N/A</v>
      </c>
      <c r="AO879" s="97" t="str">
        <f>IFERROR(__xludf.DUMMYFUNCTION("""COMPUTED_VALUE"""),"3 Años")</f>
        <v>3 Años</v>
      </c>
      <c r="AP879" s="97" t="str">
        <f>IFERROR(__xludf.DUMMYFUNCTION("""COMPUTED_VALUE"""),"No Aplica")</f>
        <v>No Aplica</v>
      </c>
      <c r="AQ879" s="97" t="str">
        <f>IFERROR(__xludf.DUMMYFUNCTION("""COMPUTED_VALUE"""),"No Aplica")</f>
        <v>No Aplica</v>
      </c>
      <c r="AR879" s="97" t="str">
        <f>IFERROR(__xludf.DUMMYFUNCTION("""COMPUTED_VALUE"""),"No Aplica")</f>
        <v>No Aplica</v>
      </c>
      <c r="AS879" s="97"/>
      <c r="AT879" s="97"/>
      <c r="AU879" s="97" t="str">
        <f>IFERROR(__xludf.DUMMYFUNCTION("""COMPUTED_VALUE"""),"Falta")</f>
        <v>Falta</v>
      </c>
      <c r="AV879" s="97" t="str">
        <f>IFERROR(__xludf.DUMMYFUNCTION("""COMPUTED_VALUE"""),"Accesorio")</f>
        <v>Accesorio</v>
      </c>
      <c r="AW879" s="97" t="str">
        <f>IFERROR(__xludf.DUMMYFUNCTION("""COMPUTED_VALUE"""),"Rieles")</f>
        <v>Rieles</v>
      </c>
      <c r="AX879" s="97" t="str">
        <f>IFERROR(__xludf.DUMMYFUNCTION("""COMPUTED_VALUE"""),"Interior")</f>
        <v>Interior</v>
      </c>
      <c r="AY879" s="97" t="str">
        <f>IFERROR(__xludf.DUMMYFUNCTION("""COMPUTED_VALUE"""),"-")</f>
        <v>-</v>
      </c>
      <c r="AZ879" s="97"/>
      <c r="BA879" s="97">
        <f>IFERROR(__xludf.DUMMYFUNCTION("""COMPUTED_VALUE"""),2.0)</f>
        <v>2</v>
      </c>
      <c r="BB879" s="97" t="str">
        <f>IFERROR(__xludf.DUMMYFUNCTION("""COMPUTED_VALUE"""),"-")</f>
        <v>-</v>
      </c>
      <c r="BC879" s="97" t="str">
        <f>IFERROR(__xludf.DUMMYFUNCTION("""COMPUTED_VALUE"""),"-")</f>
        <v>-</v>
      </c>
      <c r="BD879" s="97" t="str">
        <f>IFERROR(__xludf.DUMMYFUNCTION("""COMPUTED_VALUE"""),"RIELES 3EF")</f>
        <v>RIELES 3EF</v>
      </c>
      <c r="BE879" s="97" t="str">
        <f>IFERROR(__xludf.DUMMYFUNCTION("""COMPUTED_VALUE"""),"Finalizada")</f>
        <v>Finalizada</v>
      </c>
      <c r="BF879" s="97"/>
      <c r="BG879" s="97" t="str">
        <f>IFERROR(__xludf.DUMMYFUNCTION("""COMPUTED_VALUE"""),"Activo")</f>
        <v>Activo</v>
      </c>
    </row>
    <row r="880">
      <c r="A880" s="97">
        <f>IFERROR(__xludf.DUMMYFUNCTION("""COMPUTED_VALUE"""),6653.0)</f>
        <v>6653</v>
      </c>
      <c r="B880" s="97" t="str">
        <f>IFERROR(__xludf.DUMMYFUNCTION("""COMPUTED_VALUE"""),"HOUSING 3EF 2MTS BL")</f>
        <v>HOUSING 3EF 2MTS BL</v>
      </c>
      <c r="C880" s="97" t="str">
        <f>IFERROR(__xludf.DUMMYFUNCTION("""COMPUTED_VALUE"""),"ACCESORIO HOUSING 3EF 2MTS BL LEUK")</f>
        <v>ACCESORIO HOUSING 3EF 2MTS BL LEUK</v>
      </c>
      <c r="D880" s="97">
        <f>IFERROR(__xludf.DUMMYFUNCTION("""COMPUTED_VALUE"""),7.798413221305E12)</f>
        <v>7798413221305</v>
      </c>
      <c r="E880" s="97" t="str">
        <f>IFERROR(__xludf.DUMMYFUNCTION("""COMPUTED_VALUE"""),"N/A")</f>
        <v>N/A</v>
      </c>
      <c r="F880" s="97" t="str">
        <f>IFERROR(__xludf.DUMMYFUNCTION("""COMPUTED_VALUE"""),"N/A")</f>
        <v>N/A</v>
      </c>
      <c r="G880" s="97" t="str">
        <f>IFERROR(__xludf.DUMMYFUNCTION("""COMPUTED_VALUE"""),"N/A")</f>
        <v>N/A</v>
      </c>
      <c r="H880" s="97" t="str">
        <f>IFERROR(__xludf.DUMMYFUNCTION("""COMPUTED_VALUE"""),"N/A")</f>
        <v>N/A</v>
      </c>
      <c r="I880" s="97" t="str">
        <f>IFERROR(__xludf.DUMMYFUNCTION("""COMPUTED_VALUE"""),"N/A")</f>
        <v>N/A</v>
      </c>
      <c r="J880" s="97" t="str">
        <f>IFERROR(__xludf.DUMMYFUNCTION("""COMPUTED_VALUE"""),"N/A")</f>
        <v>N/A</v>
      </c>
      <c r="K880" s="97" t="str">
        <f>IFERROR(__xludf.DUMMYFUNCTION("""COMPUTED_VALUE"""),"N/A")</f>
        <v>N/A</v>
      </c>
      <c r="L880" s="97" t="str">
        <f>IFERROR(__xludf.DUMMYFUNCTION("""COMPUTED_VALUE"""),"N/A")</f>
        <v>N/A</v>
      </c>
      <c r="M880" s="97" t="str">
        <f>IFERROR(__xludf.DUMMYFUNCTION("""COMPUTED_VALUE"""),"N/A")</f>
        <v>N/A</v>
      </c>
      <c r="N880" s="97" t="str">
        <f>IFERROR(__xludf.DUMMYFUNCTION("""COMPUTED_VALUE"""),"N/A")</f>
        <v>N/A</v>
      </c>
      <c r="O880" s="97" t="str">
        <f>IFERROR(__xludf.DUMMYFUNCTION("""COMPUTED_VALUE"""),"-")</f>
        <v>-</v>
      </c>
      <c r="P880" s="97"/>
      <c r="Q880" s="97" t="str">
        <f>IFERROR(__xludf.DUMMYFUNCTION("""COMPUTED_VALUE"""),"-")</f>
        <v>-</v>
      </c>
      <c r="R880" s="97" t="str">
        <f>IFERROR(__xludf.DUMMYFUNCTION("""COMPUTED_VALUE"""),"-")</f>
        <v>-</v>
      </c>
      <c r="S880" s="97" t="str">
        <f>IFERROR(__xludf.DUMMYFUNCTION("""COMPUTED_VALUE"""),"-")</f>
        <v>-</v>
      </c>
      <c r="T880" s="97" t="str">
        <f>IFERROR(__xludf.DUMMYFUNCTION("""COMPUTED_VALUE"""),"-")</f>
        <v>-</v>
      </c>
      <c r="U880" s="97" t="str">
        <f>IFERROR(__xludf.DUMMYFUNCTION("""COMPUTED_VALUE"""),"-")</f>
        <v>-</v>
      </c>
      <c r="V880" s="97" t="str">
        <f>IFERROR(__xludf.DUMMYFUNCTION("""COMPUTED_VALUE"""),"N/A")</f>
        <v>N/A</v>
      </c>
      <c r="W880" s="97" t="str">
        <f>IFERROR(__xludf.DUMMYFUNCTION("""COMPUTED_VALUE"""),"N/A")</f>
        <v>N/A</v>
      </c>
      <c r="X880" s="97" t="str">
        <f>IFERROR(__xludf.DUMMYFUNCTION("""COMPUTED_VALUE"""),"-")</f>
        <v>-</v>
      </c>
      <c r="Y880" s="97" t="str">
        <f>IFERROR(__xludf.DUMMYFUNCTION("""COMPUTED_VALUE"""),"N/A")</f>
        <v>N/A</v>
      </c>
      <c r="Z880" s="97" t="str">
        <f>IFERROR(__xludf.DUMMYFUNCTION("""COMPUTED_VALUE"""),"N/A")</f>
        <v>N/A</v>
      </c>
      <c r="AA880" s="97" t="str">
        <f>IFERROR(__xludf.DUMMYFUNCTION("""COMPUTED_VALUE"""),"N/A")</f>
        <v>N/A</v>
      </c>
      <c r="AB880" s="97" t="str">
        <f>IFERROR(__xludf.DUMMYFUNCTION("""COMPUTED_VALUE"""),"N/A")</f>
        <v>N/A</v>
      </c>
      <c r="AC880" s="97" t="str">
        <f>IFERROR(__xludf.DUMMYFUNCTION("""COMPUTED_VALUE"""),"N/A")</f>
        <v>N/A</v>
      </c>
      <c r="AD880" s="97" t="str">
        <f>IFERROR(__xludf.DUMMYFUNCTION("""COMPUTED_VALUE"""),"N/A")</f>
        <v>N/A</v>
      </c>
      <c r="AE880" s="97" t="str">
        <f>IFERROR(__xludf.DUMMYFUNCTION("""COMPUTED_VALUE"""),"N/A")</f>
        <v>N/A</v>
      </c>
      <c r="AF880" s="97" t="str">
        <f>IFERROR(__xludf.DUMMYFUNCTION("""COMPUTED_VALUE"""),"N/A")</f>
        <v>N/A</v>
      </c>
      <c r="AG880" s="97" t="str">
        <f>IFERROR(__xludf.DUMMYFUNCTION("""COMPUTED_VALUE"""),"42 x 36 x 2000 (Ancho x Alto x Largo)")</f>
        <v>42 x 36 x 2000 (Ancho x Alto x Largo)</v>
      </c>
      <c r="AH880" s="97" t="str">
        <f>IFERROR(__xludf.DUMMYFUNCTION("""COMPUTED_VALUE"""),"36 x 2000 ")</f>
        <v>36 x 2000 </v>
      </c>
      <c r="AI880" s="97">
        <f>IFERROR(__xludf.DUMMYFUNCTION("""COMPUTED_VALUE"""),56.0)</f>
        <v>56</v>
      </c>
      <c r="AJ880" s="97" t="str">
        <f>IFERROR(__xludf.DUMMYFUNCTION("""COMPUTED_VALUE"""),"N/A")</f>
        <v>N/A</v>
      </c>
      <c r="AK880" s="97" t="str">
        <f>IFERROR(__xludf.DUMMYFUNCTION("""COMPUTED_VALUE"""),"Aluminio")</f>
        <v>Aluminio</v>
      </c>
      <c r="AL880" s="97" t="str">
        <f>IFERROR(__xludf.DUMMYFUNCTION("""COMPUTED_VALUE"""),"Blanco Mate")</f>
        <v>Blanco Mate</v>
      </c>
      <c r="AM880" s="97" t="str">
        <f>IFERROR(__xludf.DUMMYFUNCTION("""COMPUTED_VALUE"""),"-")</f>
        <v>-</v>
      </c>
      <c r="AN880" s="97" t="str">
        <f>IFERROR(__xludf.DUMMYFUNCTION("""COMPUTED_VALUE"""),"N/A")</f>
        <v>N/A</v>
      </c>
      <c r="AO880" s="97" t="str">
        <f>IFERROR(__xludf.DUMMYFUNCTION("""COMPUTED_VALUE"""),"3 Años")</f>
        <v>3 Años</v>
      </c>
      <c r="AP880" s="97" t="str">
        <f>IFERROR(__xludf.DUMMYFUNCTION("""COMPUTED_VALUE"""),"No Aplica")</f>
        <v>No Aplica</v>
      </c>
      <c r="AQ880" s="97" t="str">
        <f>IFERROR(__xludf.DUMMYFUNCTION("""COMPUTED_VALUE"""),"No Aplica")</f>
        <v>No Aplica</v>
      </c>
      <c r="AR880" s="97" t="str">
        <f>IFERROR(__xludf.DUMMYFUNCTION("""COMPUTED_VALUE"""),"No Aplica")</f>
        <v>No Aplica</v>
      </c>
      <c r="AS880" s="97"/>
      <c r="AT880" s="97"/>
      <c r="AU880" s="97" t="str">
        <f>IFERROR(__xludf.DUMMYFUNCTION("""COMPUTED_VALUE"""),"Falta")</f>
        <v>Falta</v>
      </c>
      <c r="AV880" s="97" t="str">
        <f>IFERROR(__xludf.DUMMYFUNCTION("""COMPUTED_VALUE"""),"Accesorio")</f>
        <v>Accesorio</v>
      </c>
      <c r="AW880" s="97" t="str">
        <f>IFERROR(__xludf.DUMMYFUNCTION("""COMPUTED_VALUE"""),"Rieles")</f>
        <v>Rieles</v>
      </c>
      <c r="AX880" s="97" t="str">
        <f>IFERROR(__xludf.DUMMYFUNCTION("""COMPUTED_VALUE"""),"Interior")</f>
        <v>Interior</v>
      </c>
      <c r="AY880" s="97" t="str">
        <f>IFERROR(__xludf.DUMMYFUNCTION("""COMPUTED_VALUE"""),"-")</f>
        <v>-</v>
      </c>
      <c r="AZ880" s="97"/>
      <c r="BA880" s="97">
        <f>IFERROR(__xludf.DUMMYFUNCTION("""COMPUTED_VALUE"""),2.0)</f>
        <v>2</v>
      </c>
      <c r="BB880" s="97" t="str">
        <f>IFERROR(__xludf.DUMMYFUNCTION("""COMPUTED_VALUE"""),"-")</f>
        <v>-</v>
      </c>
      <c r="BC880" s="97" t="str">
        <f>IFERROR(__xludf.DUMMYFUNCTION("""COMPUTED_VALUE"""),"-")</f>
        <v>-</v>
      </c>
      <c r="BD880" s="97" t="str">
        <f>IFERROR(__xludf.DUMMYFUNCTION("""COMPUTED_VALUE"""),"RIELES 3EF")</f>
        <v>RIELES 3EF</v>
      </c>
      <c r="BE880" s="97" t="str">
        <f>IFERROR(__xludf.DUMMYFUNCTION("""COMPUTED_VALUE"""),"Finalizada")</f>
        <v>Finalizada</v>
      </c>
      <c r="BF880" s="97"/>
      <c r="BG880" s="97" t="str">
        <f>IFERROR(__xludf.DUMMYFUNCTION("""COMPUTED_VALUE"""),"Activo")</f>
        <v>Activo</v>
      </c>
    </row>
    <row r="881">
      <c r="A881" s="97">
        <f>IFERROR(__xludf.DUMMYFUNCTION("""COMPUTED_VALUE"""),6654.0)</f>
        <v>6654</v>
      </c>
      <c r="B881" s="97" t="str">
        <f>IFERROR(__xludf.DUMMYFUNCTION("""COMPUTED_VALUE"""),"HOUSING 3EF 3MTS NG")</f>
        <v>HOUSING 3EF 3MTS NG</v>
      </c>
      <c r="C881" s="97" t="str">
        <f>IFERROR(__xludf.DUMMYFUNCTION("""COMPUTED_VALUE"""),"ACCESORIO HOUSING 3EF 3MTS NG LEUK")</f>
        <v>ACCESORIO HOUSING 3EF 3MTS NG LEUK</v>
      </c>
      <c r="D881" s="97">
        <f>IFERROR(__xludf.DUMMYFUNCTION("""COMPUTED_VALUE"""),7.798413221312E12)</f>
        <v>7798413221312</v>
      </c>
      <c r="E881" s="97" t="str">
        <f>IFERROR(__xludf.DUMMYFUNCTION("""COMPUTED_VALUE"""),"N/A")</f>
        <v>N/A</v>
      </c>
      <c r="F881" s="97" t="str">
        <f>IFERROR(__xludf.DUMMYFUNCTION("""COMPUTED_VALUE"""),"N/A")</f>
        <v>N/A</v>
      </c>
      <c r="G881" s="97" t="str">
        <f>IFERROR(__xludf.DUMMYFUNCTION("""COMPUTED_VALUE"""),"N/A")</f>
        <v>N/A</v>
      </c>
      <c r="H881" s="97" t="str">
        <f>IFERROR(__xludf.DUMMYFUNCTION("""COMPUTED_VALUE"""),"N/A")</f>
        <v>N/A</v>
      </c>
      <c r="I881" s="97" t="str">
        <f>IFERROR(__xludf.DUMMYFUNCTION("""COMPUTED_VALUE"""),"N/A")</f>
        <v>N/A</v>
      </c>
      <c r="J881" s="97" t="str">
        <f>IFERROR(__xludf.DUMMYFUNCTION("""COMPUTED_VALUE"""),"N/A")</f>
        <v>N/A</v>
      </c>
      <c r="K881" s="97" t="str">
        <f>IFERROR(__xludf.DUMMYFUNCTION("""COMPUTED_VALUE"""),"N/A")</f>
        <v>N/A</v>
      </c>
      <c r="L881" s="97" t="str">
        <f>IFERROR(__xludf.DUMMYFUNCTION("""COMPUTED_VALUE"""),"N/A")</f>
        <v>N/A</v>
      </c>
      <c r="M881" s="97" t="str">
        <f>IFERROR(__xludf.DUMMYFUNCTION("""COMPUTED_VALUE"""),"N/A")</f>
        <v>N/A</v>
      </c>
      <c r="N881" s="97" t="str">
        <f>IFERROR(__xludf.DUMMYFUNCTION("""COMPUTED_VALUE"""),"N/A")</f>
        <v>N/A</v>
      </c>
      <c r="O881" s="97" t="str">
        <f>IFERROR(__xludf.DUMMYFUNCTION("""COMPUTED_VALUE"""),"-")</f>
        <v>-</v>
      </c>
      <c r="P881" s="97"/>
      <c r="Q881" s="97" t="str">
        <f>IFERROR(__xludf.DUMMYFUNCTION("""COMPUTED_VALUE"""),"-")</f>
        <v>-</v>
      </c>
      <c r="R881" s="97" t="str">
        <f>IFERROR(__xludf.DUMMYFUNCTION("""COMPUTED_VALUE"""),"-")</f>
        <v>-</v>
      </c>
      <c r="S881" s="97" t="str">
        <f>IFERROR(__xludf.DUMMYFUNCTION("""COMPUTED_VALUE"""),"-")</f>
        <v>-</v>
      </c>
      <c r="T881" s="97" t="str">
        <f>IFERROR(__xludf.DUMMYFUNCTION("""COMPUTED_VALUE"""),"-")</f>
        <v>-</v>
      </c>
      <c r="U881" s="97" t="str">
        <f>IFERROR(__xludf.DUMMYFUNCTION("""COMPUTED_VALUE"""),"-")</f>
        <v>-</v>
      </c>
      <c r="V881" s="97" t="str">
        <f>IFERROR(__xludf.DUMMYFUNCTION("""COMPUTED_VALUE"""),"N/A")</f>
        <v>N/A</v>
      </c>
      <c r="W881" s="97" t="str">
        <f>IFERROR(__xludf.DUMMYFUNCTION("""COMPUTED_VALUE"""),"N/A")</f>
        <v>N/A</v>
      </c>
      <c r="X881" s="97" t="str">
        <f>IFERROR(__xludf.DUMMYFUNCTION("""COMPUTED_VALUE"""),"-")</f>
        <v>-</v>
      </c>
      <c r="Y881" s="97" t="str">
        <f>IFERROR(__xludf.DUMMYFUNCTION("""COMPUTED_VALUE"""),"N/A")</f>
        <v>N/A</v>
      </c>
      <c r="Z881" s="97" t="str">
        <f>IFERROR(__xludf.DUMMYFUNCTION("""COMPUTED_VALUE"""),"N/A")</f>
        <v>N/A</v>
      </c>
      <c r="AA881" s="97" t="str">
        <f>IFERROR(__xludf.DUMMYFUNCTION("""COMPUTED_VALUE"""),"N/A")</f>
        <v>N/A</v>
      </c>
      <c r="AB881" s="97" t="str">
        <f>IFERROR(__xludf.DUMMYFUNCTION("""COMPUTED_VALUE"""),"N/A")</f>
        <v>N/A</v>
      </c>
      <c r="AC881" s="97" t="str">
        <f>IFERROR(__xludf.DUMMYFUNCTION("""COMPUTED_VALUE"""),"N/A")</f>
        <v>N/A</v>
      </c>
      <c r="AD881" s="97" t="str">
        <f>IFERROR(__xludf.DUMMYFUNCTION("""COMPUTED_VALUE"""),"N/A")</f>
        <v>N/A</v>
      </c>
      <c r="AE881" s="97" t="str">
        <f>IFERROR(__xludf.DUMMYFUNCTION("""COMPUTED_VALUE"""),"N/A")</f>
        <v>N/A</v>
      </c>
      <c r="AF881" s="97" t="str">
        <f>IFERROR(__xludf.DUMMYFUNCTION("""COMPUTED_VALUE"""),"N/A")</f>
        <v>N/A</v>
      </c>
      <c r="AG881" s="97" t="str">
        <f>IFERROR(__xludf.DUMMYFUNCTION("""COMPUTED_VALUE"""),"42 x 36 x 3000 (Ancho x Alto x Largo)")</f>
        <v>42 x 36 x 3000 (Ancho x Alto x Largo)</v>
      </c>
      <c r="AH881" s="97" t="str">
        <f>IFERROR(__xludf.DUMMYFUNCTION("""COMPUTED_VALUE"""),"36 x 3000 ")</f>
        <v>36 x 3000 </v>
      </c>
      <c r="AI881" s="97">
        <f>IFERROR(__xludf.DUMMYFUNCTION("""COMPUTED_VALUE"""),56.0)</f>
        <v>56</v>
      </c>
      <c r="AJ881" s="97" t="str">
        <f>IFERROR(__xludf.DUMMYFUNCTION("""COMPUTED_VALUE"""),"N/A")</f>
        <v>N/A</v>
      </c>
      <c r="AK881" s="97" t="str">
        <f>IFERROR(__xludf.DUMMYFUNCTION("""COMPUTED_VALUE"""),"Aluminio")</f>
        <v>Aluminio</v>
      </c>
      <c r="AL881" s="97" t="str">
        <f>IFERROR(__xludf.DUMMYFUNCTION("""COMPUTED_VALUE"""),"Negro Mate")</f>
        <v>Negro Mate</v>
      </c>
      <c r="AM881" s="97" t="str">
        <f>IFERROR(__xludf.DUMMYFUNCTION("""COMPUTED_VALUE"""),"-")</f>
        <v>-</v>
      </c>
      <c r="AN881" s="97" t="str">
        <f>IFERROR(__xludf.DUMMYFUNCTION("""COMPUTED_VALUE"""),"N/A")</f>
        <v>N/A</v>
      </c>
      <c r="AO881" s="97" t="str">
        <f>IFERROR(__xludf.DUMMYFUNCTION("""COMPUTED_VALUE"""),"3 Años")</f>
        <v>3 Años</v>
      </c>
      <c r="AP881" s="97" t="str">
        <f>IFERROR(__xludf.DUMMYFUNCTION("""COMPUTED_VALUE"""),"No Aplica")</f>
        <v>No Aplica</v>
      </c>
      <c r="AQ881" s="97" t="str">
        <f>IFERROR(__xludf.DUMMYFUNCTION("""COMPUTED_VALUE"""),"No Aplica")</f>
        <v>No Aplica</v>
      </c>
      <c r="AR881" s="97" t="str">
        <f>IFERROR(__xludf.DUMMYFUNCTION("""COMPUTED_VALUE"""),"No Aplica")</f>
        <v>No Aplica</v>
      </c>
      <c r="AS881" s="97"/>
      <c r="AT881" s="97"/>
      <c r="AU881" s="97" t="str">
        <f>IFERROR(__xludf.DUMMYFUNCTION("""COMPUTED_VALUE"""),"Falta")</f>
        <v>Falta</v>
      </c>
      <c r="AV881" s="97" t="str">
        <f>IFERROR(__xludf.DUMMYFUNCTION("""COMPUTED_VALUE"""),"Accesorio")</f>
        <v>Accesorio</v>
      </c>
      <c r="AW881" s="97" t="str">
        <f>IFERROR(__xludf.DUMMYFUNCTION("""COMPUTED_VALUE"""),"Rieles")</f>
        <v>Rieles</v>
      </c>
      <c r="AX881" s="97" t="str">
        <f>IFERROR(__xludf.DUMMYFUNCTION("""COMPUTED_VALUE"""),"Interior")</f>
        <v>Interior</v>
      </c>
      <c r="AY881" s="97" t="str">
        <f>IFERROR(__xludf.DUMMYFUNCTION("""COMPUTED_VALUE"""),"-")</f>
        <v>-</v>
      </c>
      <c r="AZ881" s="97"/>
      <c r="BA881" s="97">
        <f>IFERROR(__xludf.DUMMYFUNCTION("""COMPUTED_VALUE"""),2.0)</f>
        <v>2</v>
      </c>
      <c r="BB881" s="97" t="str">
        <f>IFERROR(__xludf.DUMMYFUNCTION("""COMPUTED_VALUE"""),"-")</f>
        <v>-</v>
      </c>
      <c r="BC881" s="97" t="str">
        <f>IFERROR(__xludf.DUMMYFUNCTION("""COMPUTED_VALUE"""),"-")</f>
        <v>-</v>
      </c>
      <c r="BD881" s="97" t="str">
        <f>IFERROR(__xludf.DUMMYFUNCTION("""COMPUTED_VALUE"""),"RIELES 3EF")</f>
        <v>RIELES 3EF</v>
      </c>
      <c r="BE881" s="97" t="str">
        <f>IFERROR(__xludf.DUMMYFUNCTION("""COMPUTED_VALUE"""),"Finalizada")</f>
        <v>Finalizada</v>
      </c>
      <c r="BF881" s="97"/>
      <c r="BG881" s="97" t="str">
        <f>IFERROR(__xludf.DUMMYFUNCTION("""COMPUTED_VALUE"""),"Activo")</f>
        <v>Activo</v>
      </c>
    </row>
    <row r="882">
      <c r="A882" s="97">
        <f>IFERROR(__xludf.DUMMYFUNCTION("""COMPUTED_VALUE"""),6655.0)</f>
        <v>6655</v>
      </c>
      <c r="B882" s="97" t="str">
        <f>IFERROR(__xludf.DUMMYFUNCTION("""COMPUTED_VALUE"""),"HOUSING 3EF 3MTS BL")</f>
        <v>HOUSING 3EF 3MTS BL</v>
      </c>
      <c r="C882" s="97" t="str">
        <f>IFERROR(__xludf.DUMMYFUNCTION("""COMPUTED_VALUE"""),"ACCESORIO HOUSING 3EF 3MTS BL LEUK")</f>
        <v>ACCESORIO HOUSING 3EF 3MTS BL LEUK</v>
      </c>
      <c r="D882" s="97">
        <f>IFERROR(__xludf.DUMMYFUNCTION("""COMPUTED_VALUE"""),7.798413221329E12)</f>
        <v>7798413221329</v>
      </c>
      <c r="E882" s="97" t="str">
        <f>IFERROR(__xludf.DUMMYFUNCTION("""COMPUTED_VALUE"""),"N/A")</f>
        <v>N/A</v>
      </c>
      <c r="F882" s="97" t="str">
        <f>IFERROR(__xludf.DUMMYFUNCTION("""COMPUTED_VALUE"""),"N/A")</f>
        <v>N/A</v>
      </c>
      <c r="G882" s="97" t="str">
        <f>IFERROR(__xludf.DUMMYFUNCTION("""COMPUTED_VALUE"""),"N/A")</f>
        <v>N/A</v>
      </c>
      <c r="H882" s="97" t="str">
        <f>IFERROR(__xludf.DUMMYFUNCTION("""COMPUTED_VALUE"""),"N/A")</f>
        <v>N/A</v>
      </c>
      <c r="I882" s="97" t="str">
        <f>IFERROR(__xludf.DUMMYFUNCTION("""COMPUTED_VALUE"""),"N/A")</f>
        <v>N/A</v>
      </c>
      <c r="J882" s="97" t="str">
        <f>IFERROR(__xludf.DUMMYFUNCTION("""COMPUTED_VALUE"""),"N/A")</f>
        <v>N/A</v>
      </c>
      <c r="K882" s="97" t="str">
        <f>IFERROR(__xludf.DUMMYFUNCTION("""COMPUTED_VALUE"""),"N/A")</f>
        <v>N/A</v>
      </c>
      <c r="L882" s="97" t="str">
        <f>IFERROR(__xludf.DUMMYFUNCTION("""COMPUTED_VALUE"""),"N/A")</f>
        <v>N/A</v>
      </c>
      <c r="M882" s="97" t="str">
        <f>IFERROR(__xludf.DUMMYFUNCTION("""COMPUTED_VALUE"""),"N/A")</f>
        <v>N/A</v>
      </c>
      <c r="N882" s="97" t="str">
        <f>IFERROR(__xludf.DUMMYFUNCTION("""COMPUTED_VALUE"""),"N/A")</f>
        <v>N/A</v>
      </c>
      <c r="O882" s="97" t="str">
        <f>IFERROR(__xludf.DUMMYFUNCTION("""COMPUTED_VALUE"""),"-")</f>
        <v>-</v>
      </c>
      <c r="P882" s="97"/>
      <c r="Q882" s="97" t="str">
        <f>IFERROR(__xludf.DUMMYFUNCTION("""COMPUTED_VALUE"""),"-")</f>
        <v>-</v>
      </c>
      <c r="R882" s="97" t="str">
        <f>IFERROR(__xludf.DUMMYFUNCTION("""COMPUTED_VALUE"""),"-")</f>
        <v>-</v>
      </c>
      <c r="S882" s="97" t="str">
        <f>IFERROR(__xludf.DUMMYFUNCTION("""COMPUTED_VALUE"""),"-")</f>
        <v>-</v>
      </c>
      <c r="T882" s="97" t="str">
        <f>IFERROR(__xludf.DUMMYFUNCTION("""COMPUTED_VALUE"""),"-")</f>
        <v>-</v>
      </c>
      <c r="U882" s="97" t="str">
        <f>IFERROR(__xludf.DUMMYFUNCTION("""COMPUTED_VALUE"""),"-")</f>
        <v>-</v>
      </c>
      <c r="V882" s="97" t="str">
        <f>IFERROR(__xludf.DUMMYFUNCTION("""COMPUTED_VALUE"""),"N/A")</f>
        <v>N/A</v>
      </c>
      <c r="W882" s="97" t="str">
        <f>IFERROR(__xludf.DUMMYFUNCTION("""COMPUTED_VALUE"""),"N/A")</f>
        <v>N/A</v>
      </c>
      <c r="X882" s="97" t="str">
        <f>IFERROR(__xludf.DUMMYFUNCTION("""COMPUTED_VALUE"""),"-")</f>
        <v>-</v>
      </c>
      <c r="Y882" s="97" t="str">
        <f>IFERROR(__xludf.DUMMYFUNCTION("""COMPUTED_VALUE"""),"N/A")</f>
        <v>N/A</v>
      </c>
      <c r="Z882" s="97" t="str">
        <f>IFERROR(__xludf.DUMMYFUNCTION("""COMPUTED_VALUE"""),"N/A")</f>
        <v>N/A</v>
      </c>
      <c r="AA882" s="97" t="str">
        <f>IFERROR(__xludf.DUMMYFUNCTION("""COMPUTED_VALUE"""),"N/A")</f>
        <v>N/A</v>
      </c>
      <c r="AB882" s="97" t="str">
        <f>IFERROR(__xludf.DUMMYFUNCTION("""COMPUTED_VALUE"""),"N/A")</f>
        <v>N/A</v>
      </c>
      <c r="AC882" s="97" t="str">
        <f>IFERROR(__xludf.DUMMYFUNCTION("""COMPUTED_VALUE"""),"N/A")</f>
        <v>N/A</v>
      </c>
      <c r="AD882" s="97" t="str">
        <f>IFERROR(__xludf.DUMMYFUNCTION("""COMPUTED_VALUE"""),"N/A")</f>
        <v>N/A</v>
      </c>
      <c r="AE882" s="97" t="str">
        <f>IFERROR(__xludf.DUMMYFUNCTION("""COMPUTED_VALUE"""),"N/A")</f>
        <v>N/A</v>
      </c>
      <c r="AF882" s="97" t="str">
        <f>IFERROR(__xludf.DUMMYFUNCTION("""COMPUTED_VALUE"""),"N/A")</f>
        <v>N/A</v>
      </c>
      <c r="AG882" s="97" t="str">
        <f>IFERROR(__xludf.DUMMYFUNCTION("""COMPUTED_VALUE"""),"42 x 36 x 3000 (Ancho x Alto x Largo)")</f>
        <v>42 x 36 x 3000 (Ancho x Alto x Largo)</v>
      </c>
      <c r="AH882" s="97" t="str">
        <f>IFERROR(__xludf.DUMMYFUNCTION("""COMPUTED_VALUE"""),"36 x 3000 ")</f>
        <v>36 x 3000 </v>
      </c>
      <c r="AI882" s="97">
        <f>IFERROR(__xludf.DUMMYFUNCTION("""COMPUTED_VALUE"""),56.0)</f>
        <v>56</v>
      </c>
      <c r="AJ882" s="97" t="str">
        <f>IFERROR(__xludf.DUMMYFUNCTION("""COMPUTED_VALUE"""),"N/A")</f>
        <v>N/A</v>
      </c>
      <c r="AK882" s="97" t="str">
        <f>IFERROR(__xludf.DUMMYFUNCTION("""COMPUTED_VALUE"""),"Aluminio")</f>
        <v>Aluminio</v>
      </c>
      <c r="AL882" s="97" t="str">
        <f>IFERROR(__xludf.DUMMYFUNCTION("""COMPUTED_VALUE"""),"Blanco Mate")</f>
        <v>Blanco Mate</v>
      </c>
      <c r="AM882" s="97" t="str">
        <f>IFERROR(__xludf.DUMMYFUNCTION("""COMPUTED_VALUE"""),"-")</f>
        <v>-</v>
      </c>
      <c r="AN882" s="97" t="str">
        <f>IFERROR(__xludf.DUMMYFUNCTION("""COMPUTED_VALUE"""),"N/A")</f>
        <v>N/A</v>
      </c>
      <c r="AO882" s="97" t="str">
        <f>IFERROR(__xludf.DUMMYFUNCTION("""COMPUTED_VALUE"""),"3 Años")</f>
        <v>3 Años</v>
      </c>
      <c r="AP882" s="97" t="str">
        <f>IFERROR(__xludf.DUMMYFUNCTION("""COMPUTED_VALUE"""),"No Aplica")</f>
        <v>No Aplica</v>
      </c>
      <c r="AQ882" s="97" t="str">
        <f>IFERROR(__xludf.DUMMYFUNCTION("""COMPUTED_VALUE"""),"No Aplica")</f>
        <v>No Aplica</v>
      </c>
      <c r="AR882" s="97" t="str">
        <f>IFERROR(__xludf.DUMMYFUNCTION("""COMPUTED_VALUE"""),"No Aplica")</f>
        <v>No Aplica</v>
      </c>
      <c r="AS882" s="97"/>
      <c r="AT882" s="97"/>
      <c r="AU882" s="97" t="str">
        <f>IFERROR(__xludf.DUMMYFUNCTION("""COMPUTED_VALUE"""),"Falta")</f>
        <v>Falta</v>
      </c>
      <c r="AV882" s="97" t="str">
        <f>IFERROR(__xludf.DUMMYFUNCTION("""COMPUTED_VALUE"""),"Accesorio")</f>
        <v>Accesorio</v>
      </c>
      <c r="AW882" s="97" t="str">
        <f>IFERROR(__xludf.DUMMYFUNCTION("""COMPUTED_VALUE"""),"Rieles")</f>
        <v>Rieles</v>
      </c>
      <c r="AX882" s="97" t="str">
        <f>IFERROR(__xludf.DUMMYFUNCTION("""COMPUTED_VALUE"""),"Interior")</f>
        <v>Interior</v>
      </c>
      <c r="AY882" s="97" t="str">
        <f>IFERROR(__xludf.DUMMYFUNCTION("""COMPUTED_VALUE"""),"-")</f>
        <v>-</v>
      </c>
      <c r="AZ882" s="97"/>
      <c r="BA882" s="97">
        <f>IFERROR(__xludf.DUMMYFUNCTION("""COMPUTED_VALUE"""),2.0)</f>
        <v>2</v>
      </c>
      <c r="BB882" s="97" t="str">
        <f>IFERROR(__xludf.DUMMYFUNCTION("""COMPUTED_VALUE"""),"-")</f>
        <v>-</v>
      </c>
      <c r="BC882" s="97" t="str">
        <f>IFERROR(__xludf.DUMMYFUNCTION("""COMPUTED_VALUE"""),"-")</f>
        <v>-</v>
      </c>
      <c r="BD882" s="97" t="str">
        <f>IFERROR(__xludf.DUMMYFUNCTION("""COMPUTED_VALUE"""),"RIELES 3EF")</f>
        <v>RIELES 3EF</v>
      </c>
      <c r="BE882" s="97" t="str">
        <f>IFERROR(__xludf.DUMMYFUNCTION("""COMPUTED_VALUE"""),"Finalizada")</f>
        <v>Finalizada</v>
      </c>
      <c r="BF882" s="97"/>
      <c r="BG882" s="97" t="str">
        <f>IFERROR(__xludf.DUMMYFUNCTION("""COMPUTED_VALUE"""),"Activo")</f>
        <v>Activo</v>
      </c>
    </row>
    <row r="883">
      <c r="A883" s="97">
        <f>IFERROR(__xludf.DUMMYFUNCTION("""COMPUTED_VALUE"""),6656.0)</f>
        <v>6656</v>
      </c>
      <c r="B883" s="97" t="str">
        <f>IFERROR(__xludf.DUMMYFUNCTION("""COMPUTED_VALUE"""),"DYNA 60 BL")</f>
        <v>DYNA 60 BL</v>
      </c>
      <c r="C883" s="97" t="str">
        <f>IFERROR(__xludf.DUMMYFUNCTION("""COMPUTED_VALUE"""),"LINEAL DYNA 60 BL 12,5W 2700/3300/4000K 1200LM CRI&gt;90 IP20 LEUK")</f>
        <v>LINEAL DYNA 60 BL 12,5W 2700/3300/4000K 1200LM CRI&gt;90 IP20 LEUK</v>
      </c>
      <c r="D883" s="97">
        <f>IFERROR(__xludf.DUMMYFUNCTION("""COMPUTED_VALUE"""),7.798413221541E12)</f>
        <v>7798413221541</v>
      </c>
      <c r="E883" s="97" t="str">
        <f>IFERROR(__xludf.DUMMYFUNCTION("""COMPUTED_VALUE"""),"i1")</f>
        <v>i1</v>
      </c>
      <c r="F883" s="97" t="str">
        <f>IFERROR(__xludf.DUMMYFUNCTION("""COMPUTED_VALUE"""),"LED integrado")</f>
        <v>LED integrado</v>
      </c>
      <c r="G883" s="97" t="str">
        <f>IFERROR(__xludf.DUMMYFUNCTION("""COMPUTED_VALUE"""),"CREE")</f>
        <v>CREE</v>
      </c>
      <c r="H883" s="97" t="str">
        <f>IFERROR(__xludf.DUMMYFUNCTION("""COMPUTED_VALUE"""),"Lifud")</f>
        <v>Lifud</v>
      </c>
      <c r="I883" s="97"/>
      <c r="J883" s="97" t="str">
        <f>IFERROR(__xludf.DUMMYFUNCTION("""COMPUTED_VALUE"""),"Modelo: LF-GMR020YS II 0300H
In: 220-240Vac 0.14A 50/60Hz
Out: 33-42Vdc 300mA - 12.6W
Pf 0.9 Tc 70°C Ta 50°C")</f>
        <v>Modelo: LF-GMR020YS II 0300H
In: 220-240Vac 0.14A 50/60Hz
Out: 33-42Vdc 300mA - 12.6W
Pf 0.9 Tc 70°C Ta 50°C</v>
      </c>
      <c r="K883" s="97" t="str">
        <f>IFERROR(__xludf.DUMMYFUNCTION("""COMPUTED_VALUE"""),"ON/OFF")</f>
        <v>ON/OFF</v>
      </c>
      <c r="L883" s="97" t="str">
        <f>IFERROR(__xludf.DUMMYFUNCTION("""COMPUTED_VALUE"""),"200-240")</f>
        <v>200-240</v>
      </c>
      <c r="M883" s="97" t="str">
        <f>IFERROR(__xludf.DUMMYFUNCTION("""COMPUTED_VALUE"""),"50/60")</f>
        <v>50/60</v>
      </c>
      <c r="N883" s="97"/>
      <c r="O883" s="97">
        <f>IFERROR(__xludf.DUMMYFUNCTION("""COMPUTED_VALUE"""),12.5)</f>
        <v>12.5</v>
      </c>
      <c r="P883" s="97"/>
      <c r="Q883" s="97">
        <f>IFERROR(__xludf.DUMMYFUNCTION("""COMPUTED_VALUE"""),0.9)</f>
        <v>0.9</v>
      </c>
      <c r="R883" s="97">
        <f>IFERROR(__xludf.DUMMYFUNCTION("""COMPUTED_VALUE"""),1875.0)</f>
        <v>1875</v>
      </c>
      <c r="S883" s="99">
        <f>IFERROR(__xludf.DUMMYFUNCTION("""COMPUTED_VALUE"""),135.0)</f>
        <v>135</v>
      </c>
      <c r="T883" s="99">
        <f>IFERROR(__xludf.DUMMYFUNCTION("""COMPUTED_VALUE"""),1200.0)</f>
        <v>1200</v>
      </c>
      <c r="U883" s="99">
        <f>IFERROR(__xludf.DUMMYFUNCTION("""COMPUTED_VALUE"""),96.0)</f>
        <v>96</v>
      </c>
      <c r="V883" s="97">
        <f>IFERROR(__xludf.DUMMYFUNCTION("""COMPUTED_VALUE"""),100.0)</f>
        <v>100</v>
      </c>
      <c r="W883" s="97" t="str">
        <f>IFERROR(__xludf.DUMMYFUNCTION("""COMPUTED_VALUE"""),"&lt; 20")</f>
        <v>&lt; 20</v>
      </c>
      <c r="X883" s="97" t="str">
        <f>IFERROR(__xludf.DUMMYFUNCTION("""COMPUTED_VALUE"""),"2700/3300/4000")</f>
        <v>2700/3300/4000</v>
      </c>
      <c r="Y883" s="97" t="str">
        <f>IFERROR(__xludf.DUMMYFUNCTION("""COMPUTED_VALUE"""),"&gt;90")</f>
        <v>&gt;90</v>
      </c>
      <c r="Z883" s="97"/>
      <c r="AA883" s="97"/>
      <c r="AB883" s="97" t="str">
        <f>IFERROR(__xludf.DUMMYFUNCTION("""COMPUTED_VALUE"""),"&lt; 2")</f>
        <v>&lt; 2</v>
      </c>
      <c r="AC883" s="97"/>
      <c r="AD883" s="97" t="str">
        <f>IFERROR(__xludf.DUMMYFUNCTION("""COMPUTED_VALUE"""),"IP20")</f>
        <v>IP20</v>
      </c>
      <c r="AE883" s="97" t="str">
        <f>IFERROR(__xludf.DUMMYFUNCTION("""COMPUTED_VALUE"""),"Clase l")</f>
        <v>Clase l</v>
      </c>
      <c r="AF883" s="97" t="str">
        <f>IFERROR(__xludf.DUMMYFUNCTION("""COMPUTED_VALUE"""),"Embutir, Aplicar, Suspender")</f>
        <v>Embutir, Aplicar, Suspender</v>
      </c>
      <c r="AG883" s="97" t="str">
        <f>IFERROR(__xludf.DUMMYFUNCTION("""COMPUTED_VALUE"""),"33 x 60 x 600 (Ancho x Alto x Largo)")</f>
        <v>33 x 60 x 600 (Ancho x Alto x Largo)</v>
      </c>
      <c r="AH883" s="97" t="str">
        <f>IFERROR(__xludf.DUMMYFUNCTION("""COMPUTED_VALUE"""),"-")</f>
        <v>-</v>
      </c>
      <c r="AI883" s="97" t="str">
        <f>IFERROR(__xludf.DUMMYFUNCTION("""COMPUTED_VALUE"""),"-")</f>
        <v>-</v>
      </c>
      <c r="AJ883" s="97" t="str">
        <f>IFERROR(__xludf.DUMMYFUNCTION("""COMPUTED_VALUE"""),"Policarbonato (PC)")</f>
        <v>Policarbonato (PC)</v>
      </c>
      <c r="AK883" s="97" t="str">
        <f>IFERROR(__xludf.DUMMYFUNCTION("""COMPUTED_VALUE"""),"Aluminio")</f>
        <v>Aluminio</v>
      </c>
      <c r="AL883" s="97" t="str">
        <f>IFERROR(__xludf.DUMMYFUNCTION("""COMPUTED_VALUE"""),"Blanco Mate")</f>
        <v>Blanco Mate</v>
      </c>
      <c r="AM883" s="97" t="str">
        <f>IFERROR(__xludf.DUMMYFUNCTION("""COMPUTED_VALUE"""),"-20℃ a 45℃")</f>
        <v>-20℃ a 45℃</v>
      </c>
      <c r="AN883" s="97" t="str">
        <f>IFERROR(__xludf.DUMMYFUNCTION("""COMPUTED_VALUE"""),"50.000hs (L80)")</f>
        <v>50.000hs (L80)</v>
      </c>
      <c r="AO883" s="97" t="str">
        <f>IFERROR(__xludf.DUMMYFUNCTION("""COMPUTED_VALUE"""),"3 Años")</f>
        <v>3 Años</v>
      </c>
      <c r="AP883" s="97" t="str">
        <f>IFERROR(__xludf.DUMMYFUNCTION("""COMPUTED_VALUE"""),"Disponible")</f>
        <v>Disponible</v>
      </c>
      <c r="AQ883" s="97" t="str">
        <f>IFERROR(__xludf.DUMMYFUNCTION("""COMPUTED_VALUE"""),"Disponible")</f>
        <v>Disponible</v>
      </c>
      <c r="AR883" s="97" t="str">
        <f>IFERROR(__xludf.DUMMYFUNCTION("""COMPUTED_VALUE"""),"Disponible")</f>
        <v>Disponible</v>
      </c>
      <c r="AS883" s="97"/>
      <c r="AT883" s="97"/>
      <c r="AU883" s="97" t="str">
        <f>IFERROR(__xludf.DUMMYFUNCTION("""COMPUTED_VALUE"""),"Falta")</f>
        <v>Falta</v>
      </c>
      <c r="AV883" s="97" t="str">
        <f>IFERROR(__xludf.DUMMYFUNCTION("""COMPUTED_VALUE"""),"Lineal")</f>
        <v>Lineal</v>
      </c>
      <c r="AW883" s="97" t="str">
        <f>IFERROR(__xludf.DUMMYFUNCTION("""COMPUTED_VALUE"""),"Lineales")</f>
        <v>Lineales</v>
      </c>
      <c r="AX883" s="97" t="str">
        <f>IFERROR(__xludf.DUMMYFUNCTION("""COMPUTED_VALUE"""),"Interior")</f>
        <v>Interior</v>
      </c>
      <c r="AY883" s="97" t="str">
        <f>IFERROR(__xludf.DUMMYFUNCTION("""COMPUTED_VALUE"""),"Dyna")</f>
        <v>Dyna</v>
      </c>
      <c r="AZ883" s="97" t="str">
        <f>IFERROR(__xludf.DUMMYFUNCTION("""COMPUTED_VALUE"""),"Corriente: 300mA. Incluye tapas extremas.")</f>
        <v>Corriente: 300mA. Incluye tapas extremas.</v>
      </c>
      <c r="BA883" s="97">
        <f>IFERROR(__xludf.DUMMYFUNCTION("""COMPUTED_VALUE"""),12.0)</f>
        <v>12</v>
      </c>
      <c r="BB883" s="97" t="str">
        <f>IFERROR(__xludf.DUMMYFUNCTION("""COMPUTED_VALUE"""),"-")</f>
        <v>-</v>
      </c>
      <c r="BC883" s="97" t="str">
        <f>IFERROR(__xludf.DUMMYFUNCTION("""COMPUTED_VALUE"""),"-")</f>
        <v>-</v>
      </c>
      <c r="BD883" s="97" t="str">
        <f>IFERROR(__xludf.DUMMYFUNCTION("""COMPUTED_VALUE"""),"DYNA")</f>
        <v>DYNA</v>
      </c>
      <c r="BE883" s="97" t="str">
        <f>IFERROR(__xludf.DUMMYFUNCTION("""COMPUTED_VALUE"""),"Finalizada")</f>
        <v>Finalizada</v>
      </c>
      <c r="BF883" s="97"/>
      <c r="BG883" s="97" t="str">
        <f>IFERROR(__xludf.DUMMYFUNCTION("""COMPUTED_VALUE"""),"Activo")</f>
        <v>Activo</v>
      </c>
    </row>
    <row r="884">
      <c r="A884" s="97">
        <f>IFERROR(__xludf.DUMMYFUNCTION("""COMPUTED_VALUE"""),6657.0)</f>
        <v>6657</v>
      </c>
      <c r="B884" s="97" t="str">
        <f>IFERROR(__xludf.DUMMYFUNCTION("""COMPUTED_VALUE"""),"DYNA 60 NG")</f>
        <v>DYNA 60 NG</v>
      </c>
      <c r="C884" s="97" t="str">
        <f>IFERROR(__xludf.DUMMYFUNCTION("""COMPUTED_VALUE"""),"LINEAL DYNA 60 NG 12,5W 2700/3300/4000K 1200LM CRI&gt;90 IP20 LEUK")</f>
        <v>LINEAL DYNA 60 NG 12,5W 2700/3300/4000K 1200LM CRI&gt;90 IP20 LEUK</v>
      </c>
      <c r="D884" s="97">
        <f>IFERROR(__xludf.DUMMYFUNCTION("""COMPUTED_VALUE"""),7.798413221558E12)</f>
        <v>7798413221558</v>
      </c>
      <c r="E884" s="97" t="str">
        <f>IFERROR(__xludf.DUMMYFUNCTION("""COMPUTED_VALUE"""),"i2")</f>
        <v>i2</v>
      </c>
      <c r="F884" s="97" t="str">
        <f>IFERROR(__xludf.DUMMYFUNCTION("""COMPUTED_VALUE"""),"LED integrado")</f>
        <v>LED integrado</v>
      </c>
      <c r="G884" s="97" t="str">
        <f>IFERROR(__xludf.DUMMYFUNCTION("""COMPUTED_VALUE"""),"CREE")</f>
        <v>CREE</v>
      </c>
      <c r="H884" s="97" t="str">
        <f>IFERROR(__xludf.DUMMYFUNCTION("""COMPUTED_VALUE"""),"Lifud")</f>
        <v>Lifud</v>
      </c>
      <c r="I884" s="97"/>
      <c r="J884" s="97" t="str">
        <f>IFERROR(__xludf.DUMMYFUNCTION("""COMPUTED_VALUE"""),"Modelo: LF-GMR020YS II 0300H
In: 220-240Vac 0.14A 50/60Hz
Out: 33-42Vdc 300mA - 12.6W
Pf 0.9 Tc 70°C Ta 50°C")</f>
        <v>Modelo: LF-GMR020YS II 0300H
In: 220-240Vac 0.14A 50/60Hz
Out: 33-42Vdc 300mA - 12.6W
Pf 0.9 Tc 70°C Ta 50°C</v>
      </c>
      <c r="K884" s="97" t="str">
        <f>IFERROR(__xludf.DUMMYFUNCTION("""COMPUTED_VALUE"""),"ON/OFF")</f>
        <v>ON/OFF</v>
      </c>
      <c r="L884" s="97" t="str">
        <f>IFERROR(__xludf.DUMMYFUNCTION("""COMPUTED_VALUE"""),"200-240")</f>
        <v>200-240</v>
      </c>
      <c r="M884" s="97" t="str">
        <f>IFERROR(__xludf.DUMMYFUNCTION("""COMPUTED_VALUE"""),"50/60")</f>
        <v>50/60</v>
      </c>
      <c r="N884" s="97"/>
      <c r="O884" s="97">
        <f>IFERROR(__xludf.DUMMYFUNCTION("""COMPUTED_VALUE"""),12.5)</f>
        <v>12.5</v>
      </c>
      <c r="P884" s="97"/>
      <c r="Q884" s="97">
        <f>IFERROR(__xludf.DUMMYFUNCTION("""COMPUTED_VALUE"""),0.9)</f>
        <v>0.9</v>
      </c>
      <c r="R884" s="97">
        <f>IFERROR(__xludf.DUMMYFUNCTION("""COMPUTED_VALUE"""),1875.0)</f>
        <v>1875</v>
      </c>
      <c r="S884" s="99">
        <f>IFERROR(__xludf.DUMMYFUNCTION("""COMPUTED_VALUE"""),135.0)</f>
        <v>135</v>
      </c>
      <c r="T884" s="99">
        <f>IFERROR(__xludf.DUMMYFUNCTION("""COMPUTED_VALUE"""),1200.0)</f>
        <v>1200</v>
      </c>
      <c r="U884" s="99">
        <f>IFERROR(__xludf.DUMMYFUNCTION("""COMPUTED_VALUE"""),96.0)</f>
        <v>96</v>
      </c>
      <c r="V884" s="97">
        <f>IFERROR(__xludf.DUMMYFUNCTION("""COMPUTED_VALUE"""),100.0)</f>
        <v>100</v>
      </c>
      <c r="W884" s="97" t="str">
        <f>IFERROR(__xludf.DUMMYFUNCTION("""COMPUTED_VALUE"""),"&lt; 20")</f>
        <v>&lt; 20</v>
      </c>
      <c r="X884" s="97" t="str">
        <f>IFERROR(__xludf.DUMMYFUNCTION("""COMPUTED_VALUE"""),"2700/3300/4000")</f>
        <v>2700/3300/4000</v>
      </c>
      <c r="Y884" s="97" t="str">
        <f>IFERROR(__xludf.DUMMYFUNCTION("""COMPUTED_VALUE"""),"&gt;90")</f>
        <v>&gt;90</v>
      </c>
      <c r="Z884" s="97"/>
      <c r="AA884" s="97"/>
      <c r="AB884" s="97" t="str">
        <f>IFERROR(__xludf.DUMMYFUNCTION("""COMPUTED_VALUE"""),"&lt; 2")</f>
        <v>&lt; 2</v>
      </c>
      <c r="AC884" s="97"/>
      <c r="AD884" s="97" t="str">
        <f>IFERROR(__xludf.DUMMYFUNCTION("""COMPUTED_VALUE"""),"IP20")</f>
        <v>IP20</v>
      </c>
      <c r="AE884" s="97" t="str">
        <f>IFERROR(__xludf.DUMMYFUNCTION("""COMPUTED_VALUE"""),"Clase l")</f>
        <v>Clase l</v>
      </c>
      <c r="AF884" s="97" t="str">
        <f>IFERROR(__xludf.DUMMYFUNCTION("""COMPUTED_VALUE"""),"Embutir, Aplicar, Suspender")</f>
        <v>Embutir, Aplicar, Suspender</v>
      </c>
      <c r="AG884" s="97" t="str">
        <f>IFERROR(__xludf.DUMMYFUNCTION("""COMPUTED_VALUE"""),"33 x 60 x 600 (Ancho x Alto x Largo)")</f>
        <v>33 x 60 x 600 (Ancho x Alto x Largo)</v>
      </c>
      <c r="AH884" s="97" t="str">
        <f>IFERROR(__xludf.DUMMYFUNCTION("""COMPUTED_VALUE"""),"-")</f>
        <v>-</v>
      </c>
      <c r="AI884" s="97" t="str">
        <f>IFERROR(__xludf.DUMMYFUNCTION("""COMPUTED_VALUE"""),"-")</f>
        <v>-</v>
      </c>
      <c r="AJ884" s="97" t="str">
        <f>IFERROR(__xludf.DUMMYFUNCTION("""COMPUTED_VALUE"""),"Policarbonato (PC)")</f>
        <v>Policarbonato (PC)</v>
      </c>
      <c r="AK884" s="97" t="str">
        <f>IFERROR(__xludf.DUMMYFUNCTION("""COMPUTED_VALUE"""),"Aluminio")</f>
        <v>Aluminio</v>
      </c>
      <c r="AL884" s="97" t="str">
        <f>IFERROR(__xludf.DUMMYFUNCTION("""COMPUTED_VALUE"""),"Negro Mate")</f>
        <v>Negro Mate</v>
      </c>
      <c r="AM884" s="97" t="str">
        <f>IFERROR(__xludf.DUMMYFUNCTION("""COMPUTED_VALUE"""),"-20℃ a 45℃")</f>
        <v>-20℃ a 45℃</v>
      </c>
      <c r="AN884" s="97" t="str">
        <f>IFERROR(__xludf.DUMMYFUNCTION("""COMPUTED_VALUE"""),"50.000hs (L80)")</f>
        <v>50.000hs (L80)</v>
      </c>
      <c r="AO884" s="97" t="str">
        <f>IFERROR(__xludf.DUMMYFUNCTION("""COMPUTED_VALUE"""),"3 Años")</f>
        <v>3 Años</v>
      </c>
      <c r="AP884" s="97" t="str">
        <f>IFERROR(__xludf.DUMMYFUNCTION("""COMPUTED_VALUE"""),"Disponible")</f>
        <v>Disponible</v>
      </c>
      <c r="AQ884" s="97" t="str">
        <f>IFERROR(__xludf.DUMMYFUNCTION("""COMPUTED_VALUE"""),"Disponible")</f>
        <v>Disponible</v>
      </c>
      <c r="AR884" s="97" t="str">
        <f>IFERROR(__xludf.DUMMYFUNCTION("""COMPUTED_VALUE"""),"Disponible")</f>
        <v>Disponible</v>
      </c>
      <c r="AS884" s="97"/>
      <c r="AT884" s="97"/>
      <c r="AU884" s="97" t="str">
        <f>IFERROR(__xludf.DUMMYFUNCTION("""COMPUTED_VALUE"""),"Falta")</f>
        <v>Falta</v>
      </c>
      <c r="AV884" s="97" t="str">
        <f>IFERROR(__xludf.DUMMYFUNCTION("""COMPUTED_VALUE"""),"Lineal")</f>
        <v>Lineal</v>
      </c>
      <c r="AW884" s="97" t="str">
        <f>IFERROR(__xludf.DUMMYFUNCTION("""COMPUTED_VALUE"""),"Lineales")</f>
        <v>Lineales</v>
      </c>
      <c r="AX884" s="97" t="str">
        <f>IFERROR(__xludf.DUMMYFUNCTION("""COMPUTED_VALUE"""),"Interior")</f>
        <v>Interior</v>
      </c>
      <c r="AY884" s="97" t="str">
        <f>IFERROR(__xludf.DUMMYFUNCTION("""COMPUTED_VALUE"""),"Dyna")</f>
        <v>Dyna</v>
      </c>
      <c r="AZ884" s="97" t="str">
        <f>IFERROR(__xludf.DUMMYFUNCTION("""COMPUTED_VALUE"""),"Corriente: 300mA. Incluye tapas extremas.")</f>
        <v>Corriente: 300mA. Incluye tapas extremas.</v>
      </c>
      <c r="BA884" s="97">
        <f>IFERROR(__xludf.DUMMYFUNCTION("""COMPUTED_VALUE"""),12.0)</f>
        <v>12</v>
      </c>
      <c r="BB884" s="97" t="str">
        <f>IFERROR(__xludf.DUMMYFUNCTION("""COMPUTED_VALUE"""),"-")</f>
        <v>-</v>
      </c>
      <c r="BC884" s="97" t="str">
        <f>IFERROR(__xludf.DUMMYFUNCTION("""COMPUTED_VALUE"""),"-")</f>
        <v>-</v>
      </c>
      <c r="BD884" s="97" t="str">
        <f>IFERROR(__xludf.DUMMYFUNCTION("""COMPUTED_VALUE"""),"DYNA")</f>
        <v>DYNA</v>
      </c>
      <c r="BE884" s="97" t="str">
        <f>IFERROR(__xludf.DUMMYFUNCTION("""COMPUTED_VALUE"""),"Finalizada")</f>
        <v>Finalizada</v>
      </c>
      <c r="BF884" s="97"/>
      <c r="BG884" s="97" t="str">
        <f>IFERROR(__xludf.DUMMYFUNCTION("""COMPUTED_VALUE"""),"Activo")</f>
        <v>Activo</v>
      </c>
    </row>
    <row r="885">
      <c r="A885" s="97">
        <f>IFERROR(__xludf.DUMMYFUNCTION("""COMPUTED_VALUE"""),6658.0)</f>
        <v>6658</v>
      </c>
      <c r="B885" s="97" t="str">
        <f>IFERROR(__xludf.DUMMYFUNCTION("""COMPUTED_VALUE"""),"DYNA 120 BL")</f>
        <v>DYNA 120 BL</v>
      </c>
      <c r="C885" s="97" t="str">
        <f>IFERROR(__xludf.DUMMYFUNCTION("""COMPUTED_VALUE"""),"LINEAL DYNA 120 BL 25W 2700/3300/4000K 2400LM CRI&gt;90 IP20 LEUK")</f>
        <v>LINEAL DYNA 120 BL 25W 2700/3300/4000K 2400LM CRI&gt;90 IP20 LEUK</v>
      </c>
      <c r="D885" s="97">
        <f>IFERROR(__xludf.DUMMYFUNCTION("""COMPUTED_VALUE"""),7.798413221565E12)</f>
        <v>7798413221565</v>
      </c>
      <c r="E885" s="97" t="str">
        <f>IFERROR(__xludf.DUMMYFUNCTION("""COMPUTED_VALUE"""),"i3")</f>
        <v>i3</v>
      </c>
      <c r="F885" s="97" t="str">
        <f>IFERROR(__xludf.DUMMYFUNCTION("""COMPUTED_VALUE"""),"LED integrado")</f>
        <v>LED integrado</v>
      </c>
      <c r="G885" s="97" t="str">
        <f>IFERROR(__xludf.DUMMYFUNCTION("""COMPUTED_VALUE"""),"CREE")</f>
        <v>CREE</v>
      </c>
      <c r="H885" s="97" t="str">
        <f>IFERROR(__xludf.DUMMYFUNCTION("""COMPUTED_VALUE"""),"Lifud")</f>
        <v>Lifud</v>
      </c>
      <c r="I885" s="97"/>
      <c r="J885" s="97" t="str">
        <f>IFERROR(__xludf.DUMMYFUNCTION("""COMPUTED_VALUE"""),"Modelo: LF-GMR030YS II 0600H
In: 220-240Vac 0.2A 50/60Hz
Out: 33-42Vdc 600mA - 25.2W
Pf 0.9")</f>
        <v>Modelo: LF-GMR030YS II 0600H
In: 220-240Vac 0.2A 50/60Hz
Out: 33-42Vdc 600mA - 25.2W
Pf 0.9</v>
      </c>
      <c r="K885" s="97" t="str">
        <f>IFERROR(__xludf.DUMMYFUNCTION("""COMPUTED_VALUE"""),"ON/OFF")</f>
        <v>ON/OFF</v>
      </c>
      <c r="L885" s="97" t="str">
        <f>IFERROR(__xludf.DUMMYFUNCTION("""COMPUTED_VALUE"""),"200-240")</f>
        <v>200-240</v>
      </c>
      <c r="M885" s="97" t="str">
        <f>IFERROR(__xludf.DUMMYFUNCTION("""COMPUTED_VALUE"""),"50/60")</f>
        <v>50/60</v>
      </c>
      <c r="N885" s="97"/>
      <c r="O885" s="97">
        <f>IFERROR(__xludf.DUMMYFUNCTION("""COMPUTED_VALUE"""),25.0)</f>
        <v>25</v>
      </c>
      <c r="P885" s="97"/>
      <c r="Q885" s="97">
        <f>IFERROR(__xludf.DUMMYFUNCTION("""COMPUTED_VALUE"""),0.9)</f>
        <v>0.9</v>
      </c>
      <c r="R885" s="97">
        <f>IFERROR(__xludf.DUMMYFUNCTION("""COMPUTED_VALUE"""),3750.0)</f>
        <v>3750</v>
      </c>
      <c r="S885" s="99">
        <f>IFERROR(__xludf.DUMMYFUNCTION("""COMPUTED_VALUE"""),135.0)</f>
        <v>135</v>
      </c>
      <c r="T885" s="99">
        <f>IFERROR(__xludf.DUMMYFUNCTION("""COMPUTED_VALUE"""),2400.0)</f>
        <v>2400</v>
      </c>
      <c r="U885" s="99">
        <f>IFERROR(__xludf.DUMMYFUNCTION("""COMPUTED_VALUE"""),96.0)</f>
        <v>96</v>
      </c>
      <c r="V885" s="97">
        <f>IFERROR(__xludf.DUMMYFUNCTION("""COMPUTED_VALUE"""),100.0)</f>
        <v>100</v>
      </c>
      <c r="W885" s="97" t="str">
        <f>IFERROR(__xludf.DUMMYFUNCTION("""COMPUTED_VALUE"""),"&lt; 20")</f>
        <v>&lt; 20</v>
      </c>
      <c r="X885" s="97" t="str">
        <f>IFERROR(__xludf.DUMMYFUNCTION("""COMPUTED_VALUE"""),"2700/3300/4000")</f>
        <v>2700/3300/4000</v>
      </c>
      <c r="Y885" s="97" t="str">
        <f>IFERROR(__xludf.DUMMYFUNCTION("""COMPUTED_VALUE"""),"&gt;90")</f>
        <v>&gt;90</v>
      </c>
      <c r="Z885" s="97"/>
      <c r="AA885" s="97"/>
      <c r="AB885" s="97" t="str">
        <f>IFERROR(__xludf.DUMMYFUNCTION("""COMPUTED_VALUE"""),"&lt; 2")</f>
        <v>&lt; 2</v>
      </c>
      <c r="AC885" s="97"/>
      <c r="AD885" s="97" t="str">
        <f>IFERROR(__xludf.DUMMYFUNCTION("""COMPUTED_VALUE"""),"IP20")</f>
        <v>IP20</v>
      </c>
      <c r="AE885" s="97" t="str">
        <f>IFERROR(__xludf.DUMMYFUNCTION("""COMPUTED_VALUE"""),"Clase l")</f>
        <v>Clase l</v>
      </c>
      <c r="AF885" s="97" t="str">
        <f>IFERROR(__xludf.DUMMYFUNCTION("""COMPUTED_VALUE"""),"Embutir, Aplicar, Suspender")</f>
        <v>Embutir, Aplicar, Suspender</v>
      </c>
      <c r="AG885" s="97" t="str">
        <f>IFERROR(__xludf.DUMMYFUNCTION("""COMPUTED_VALUE"""),"33 x 60 x 1200 (Ancho x Alto x Largo)")</f>
        <v>33 x 60 x 1200 (Ancho x Alto x Largo)</v>
      </c>
      <c r="AH885" s="97" t="str">
        <f>IFERROR(__xludf.DUMMYFUNCTION("""COMPUTED_VALUE"""),"-")</f>
        <v>-</v>
      </c>
      <c r="AI885" s="97" t="str">
        <f>IFERROR(__xludf.DUMMYFUNCTION("""COMPUTED_VALUE"""),"-")</f>
        <v>-</v>
      </c>
      <c r="AJ885" s="97" t="str">
        <f>IFERROR(__xludf.DUMMYFUNCTION("""COMPUTED_VALUE"""),"Policarbonato (PC)")</f>
        <v>Policarbonato (PC)</v>
      </c>
      <c r="AK885" s="97" t="str">
        <f>IFERROR(__xludf.DUMMYFUNCTION("""COMPUTED_VALUE"""),"Aluminio")</f>
        <v>Aluminio</v>
      </c>
      <c r="AL885" s="97" t="str">
        <f>IFERROR(__xludf.DUMMYFUNCTION("""COMPUTED_VALUE"""),"Blanco Mate")</f>
        <v>Blanco Mate</v>
      </c>
      <c r="AM885" s="97" t="str">
        <f>IFERROR(__xludf.DUMMYFUNCTION("""COMPUTED_VALUE"""),"-20℃ a 45℃")</f>
        <v>-20℃ a 45℃</v>
      </c>
      <c r="AN885" s="97" t="str">
        <f>IFERROR(__xludf.DUMMYFUNCTION("""COMPUTED_VALUE"""),"50.000hs (L80)")</f>
        <v>50.000hs (L80)</v>
      </c>
      <c r="AO885" s="97" t="str">
        <f>IFERROR(__xludf.DUMMYFUNCTION("""COMPUTED_VALUE"""),"3 Años")</f>
        <v>3 Años</v>
      </c>
      <c r="AP885" s="97" t="str">
        <f>IFERROR(__xludf.DUMMYFUNCTION("""COMPUTED_VALUE"""),"Disponible")</f>
        <v>Disponible</v>
      </c>
      <c r="AQ885" s="97" t="str">
        <f>IFERROR(__xludf.DUMMYFUNCTION("""COMPUTED_VALUE"""),"Disponible")</f>
        <v>Disponible</v>
      </c>
      <c r="AR885" s="97" t="str">
        <f>IFERROR(__xludf.DUMMYFUNCTION("""COMPUTED_VALUE"""),"Disponible")</f>
        <v>Disponible</v>
      </c>
      <c r="AS885" s="97"/>
      <c r="AT885" s="97"/>
      <c r="AU885" s="97" t="str">
        <f>IFERROR(__xludf.DUMMYFUNCTION("""COMPUTED_VALUE"""),"Falta")</f>
        <v>Falta</v>
      </c>
      <c r="AV885" s="97" t="str">
        <f>IFERROR(__xludf.DUMMYFUNCTION("""COMPUTED_VALUE"""),"Lineal")</f>
        <v>Lineal</v>
      </c>
      <c r="AW885" s="97" t="str">
        <f>IFERROR(__xludf.DUMMYFUNCTION("""COMPUTED_VALUE"""),"Lineales")</f>
        <v>Lineales</v>
      </c>
      <c r="AX885" s="97" t="str">
        <f>IFERROR(__xludf.DUMMYFUNCTION("""COMPUTED_VALUE"""),"Interior")</f>
        <v>Interior</v>
      </c>
      <c r="AY885" s="97" t="str">
        <f>IFERROR(__xludf.DUMMYFUNCTION("""COMPUTED_VALUE"""),"Dyna")</f>
        <v>Dyna</v>
      </c>
      <c r="AZ885" s="97" t="str">
        <f>IFERROR(__xludf.DUMMYFUNCTION("""COMPUTED_VALUE"""),"Corriente: 600mA. Incluye tapas extremas.")</f>
        <v>Corriente: 600mA. Incluye tapas extremas.</v>
      </c>
      <c r="BA885" s="97">
        <f>IFERROR(__xludf.DUMMYFUNCTION("""COMPUTED_VALUE"""),12.0)</f>
        <v>12</v>
      </c>
      <c r="BB885" s="97" t="str">
        <f>IFERROR(__xludf.DUMMYFUNCTION("""COMPUTED_VALUE"""),"-")</f>
        <v>-</v>
      </c>
      <c r="BC885" s="97" t="str">
        <f>IFERROR(__xludf.DUMMYFUNCTION("""COMPUTED_VALUE"""),"-")</f>
        <v>-</v>
      </c>
      <c r="BD885" s="97" t="str">
        <f>IFERROR(__xludf.DUMMYFUNCTION("""COMPUTED_VALUE"""),"DYNA")</f>
        <v>DYNA</v>
      </c>
      <c r="BE885" s="97" t="str">
        <f>IFERROR(__xludf.DUMMYFUNCTION("""COMPUTED_VALUE"""),"Finalizada")</f>
        <v>Finalizada</v>
      </c>
      <c r="BF885" s="97"/>
      <c r="BG885" s="97" t="str">
        <f>IFERROR(__xludf.DUMMYFUNCTION("""COMPUTED_VALUE"""),"Activo")</f>
        <v>Activo</v>
      </c>
    </row>
    <row r="886">
      <c r="A886" s="97">
        <f>IFERROR(__xludf.DUMMYFUNCTION("""COMPUTED_VALUE"""),6659.0)</f>
        <v>6659</v>
      </c>
      <c r="B886" s="97" t="str">
        <f>IFERROR(__xludf.DUMMYFUNCTION("""COMPUTED_VALUE"""),"DYNA 120 NG")</f>
        <v>DYNA 120 NG</v>
      </c>
      <c r="C886" s="97" t="str">
        <f>IFERROR(__xludf.DUMMYFUNCTION("""COMPUTED_VALUE"""),"LINEAL DYNA 120 NG 25W 2700/3300/4000K 2400LM CRI&gt;90 IP20 LEUK")</f>
        <v>LINEAL DYNA 120 NG 25W 2700/3300/4000K 2400LM CRI&gt;90 IP20 LEUK</v>
      </c>
      <c r="D886" s="97">
        <f>IFERROR(__xludf.DUMMYFUNCTION("""COMPUTED_VALUE"""),7.798413221572E12)</f>
        <v>7798413221572</v>
      </c>
      <c r="E886" s="97" t="str">
        <f>IFERROR(__xludf.DUMMYFUNCTION("""COMPUTED_VALUE"""),"i4")</f>
        <v>i4</v>
      </c>
      <c r="F886" s="97" t="str">
        <f>IFERROR(__xludf.DUMMYFUNCTION("""COMPUTED_VALUE"""),"LED integrado")</f>
        <v>LED integrado</v>
      </c>
      <c r="G886" s="97" t="str">
        <f>IFERROR(__xludf.DUMMYFUNCTION("""COMPUTED_VALUE"""),"CREE")</f>
        <v>CREE</v>
      </c>
      <c r="H886" s="97" t="str">
        <f>IFERROR(__xludf.DUMMYFUNCTION("""COMPUTED_VALUE"""),"Lifud")</f>
        <v>Lifud</v>
      </c>
      <c r="I886" s="97"/>
      <c r="J886" s="97" t="str">
        <f>IFERROR(__xludf.DUMMYFUNCTION("""COMPUTED_VALUE"""),"Modelo: LF-GMR030YS II 0600H
In: 220-240Vac 0.2A 50/60Hz
Out: 33-42Vdc 600mA - 25.2W
Pf 0.9")</f>
        <v>Modelo: LF-GMR030YS II 0600H
In: 220-240Vac 0.2A 50/60Hz
Out: 33-42Vdc 600mA - 25.2W
Pf 0.9</v>
      </c>
      <c r="K886" s="97" t="str">
        <f>IFERROR(__xludf.DUMMYFUNCTION("""COMPUTED_VALUE"""),"ON/OFF")</f>
        <v>ON/OFF</v>
      </c>
      <c r="L886" s="97" t="str">
        <f>IFERROR(__xludf.DUMMYFUNCTION("""COMPUTED_VALUE"""),"200-240")</f>
        <v>200-240</v>
      </c>
      <c r="M886" s="97" t="str">
        <f>IFERROR(__xludf.DUMMYFUNCTION("""COMPUTED_VALUE"""),"50/60")</f>
        <v>50/60</v>
      </c>
      <c r="N886" s="97"/>
      <c r="O886" s="97">
        <f>IFERROR(__xludf.DUMMYFUNCTION("""COMPUTED_VALUE"""),25.0)</f>
        <v>25</v>
      </c>
      <c r="P886" s="97"/>
      <c r="Q886" s="97">
        <f>IFERROR(__xludf.DUMMYFUNCTION("""COMPUTED_VALUE"""),0.9)</f>
        <v>0.9</v>
      </c>
      <c r="R886" s="97">
        <f>IFERROR(__xludf.DUMMYFUNCTION("""COMPUTED_VALUE"""),3750.0)</f>
        <v>3750</v>
      </c>
      <c r="S886" s="99">
        <f>IFERROR(__xludf.DUMMYFUNCTION("""COMPUTED_VALUE"""),135.0)</f>
        <v>135</v>
      </c>
      <c r="T886" s="99">
        <f>IFERROR(__xludf.DUMMYFUNCTION("""COMPUTED_VALUE"""),2400.0)</f>
        <v>2400</v>
      </c>
      <c r="U886" s="99">
        <f>IFERROR(__xludf.DUMMYFUNCTION("""COMPUTED_VALUE"""),96.0)</f>
        <v>96</v>
      </c>
      <c r="V886" s="97">
        <f>IFERROR(__xludf.DUMMYFUNCTION("""COMPUTED_VALUE"""),100.0)</f>
        <v>100</v>
      </c>
      <c r="W886" s="97" t="str">
        <f>IFERROR(__xludf.DUMMYFUNCTION("""COMPUTED_VALUE"""),"&lt; 20")</f>
        <v>&lt; 20</v>
      </c>
      <c r="X886" s="97" t="str">
        <f>IFERROR(__xludf.DUMMYFUNCTION("""COMPUTED_VALUE"""),"2700/3300/4000")</f>
        <v>2700/3300/4000</v>
      </c>
      <c r="Y886" s="97" t="str">
        <f>IFERROR(__xludf.DUMMYFUNCTION("""COMPUTED_VALUE"""),"&gt;90")</f>
        <v>&gt;90</v>
      </c>
      <c r="Z886" s="97"/>
      <c r="AA886" s="97"/>
      <c r="AB886" s="97" t="str">
        <f>IFERROR(__xludf.DUMMYFUNCTION("""COMPUTED_VALUE"""),"&lt; 2")</f>
        <v>&lt; 2</v>
      </c>
      <c r="AC886" s="97"/>
      <c r="AD886" s="97" t="str">
        <f>IFERROR(__xludf.DUMMYFUNCTION("""COMPUTED_VALUE"""),"IP20")</f>
        <v>IP20</v>
      </c>
      <c r="AE886" s="97" t="str">
        <f>IFERROR(__xludf.DUMMYFUNCTION("""COMPUTED_VALUE"""),"Clase l")</f>
        <v>Clase l</v>
      </c>
      <c r="AF886" s="97" t="str">
        <f>IFERROR(__xludf.DUMMYFUNCTION("""COMPUTED_VALUE"""),"Embutir, Aplicar, Suspender")</f>
        <v>Embutir, Aplicar, Suspender</v>
      </c>
      <c r="AG886" s="97" t="str">
        <f>IFERROR(__xludf.DUMMYFUNCTION("""COMPUTED_VALUE"""),"33 x 60 x 1200 (Ancho x Alto x Largo)")</f>
        <v>33 x 60 x 1200 (Ancho x Alto x Largo)</v>
      </c>
      <c r="AH886" s="97" t="str">
        <f>IFERROR(__xludf.DUMMYFUNCTION("""COMPUTED_VALUE"""),"-")</f>
        <v>-</v>
      </c>
      <c r="AI886" s="97" t="str">
        <f>IFERROR(__xludf.DUMMYFUNCTION("""COMPUTED_VALUE"""),"-")</f>
        <v>-</v>
      </c>
      <c r="AJ886" s="97" t="str">
        <f>IFERROR(__xludf.DUMMYFUNCTION("""COMPUTED_VALUE"""),"Policarbonato (PC)")</f>
        <v>Policarbonato (PC)</v>
      </c>
      <c r="AK886" s="97" t="str">
        <f>IFERROR(__xludf.DUMMYFUNCTION("""COMPUTED_VALUE"""),"Aluminio")</f>
        <v>Aluminio</v>
      </c>
      <c r="AL886" s="97" t="str">
        <f>IFERROR(__xludf.DUMMYFUNCTION("""COMPUTED_VALUE"""),"Negro Mate")</f>
        <v>Negro Mate</v>
      </c>
      <c r="AM886" s="97" t="str">
        <f>IFERROR(__xludf.DUMMYFUNCTION("""COMPUTED_VALUE"""),"-20℃ a 45℃")</f>
        <v>-20℃ a 45℃</v>
      </c>
      <c r="AN886" s="97" t="str">
        <f>IFERROR(__xludf.DUMMYFUNCTION("""COMPUTED_VALUE"""),"50.000hs (L80)")</f>
        <v>50.000hs (L80)</v>
      </c>
      <c r="AO886" s="97" t="str">
        <f>IFERROR(__xludf.DUMMYFUNCTION("""COMPUTED_VALUE"""),"3 Años")</f>
        <v>3 Años</v>
      </c>
      <c r="AP886" s="97" t="str">
        <f>IFERROR(__xludf.DUMMYFUNCTION("""COMPUTED_VALUE"""),"Disponible")</f>
        <v>Disponible</v>
      </c>
      <c r="AQ886" s="97" t="str">
        <f>IFERROR(__xludf.DUMMYFUNCTION("""COMPUTED_VALUE"""),"Disponible")</f>
        <v>Disponible</v>
      </c>
      <c r="AR886" s="97" t="str">
        <f>IFERROR(__xludf.DUMMYFUNCTION("""COMPUTED_VALUE"""),"Disponible")</f>
        <v>Disponible</v>
      </c>
      <c r="AS886" s="97"/>
      <c r="AT886" s="97"/>
      <c r="AU886" s="97" t="str">
        <f>IFERROR(__xludf.DUMMYFUNCTION("""COMPUTED_VALUE"""),"Falta")</f>
        <v>Falta</v>
      </c>
      <c r="AV886" s="97" t="str">
        <f>IFERROR(__xludf.DUMMYFUNCTION("""COMPUTED_VALUE"""),"Lineal")</f>
        <v>Lineal</v>
      </c>
      <c r="AW886" s="97" t="str">
        <f>IFERROR(__xludf.DUMMYFUNCTION("""COMPUTED_VALUE"""),"Lineales")</f>
        <v>Lineales</v>
      </c>
      <c r="AX886" s="97" t="str">
        <f>IFERROR(__xludf.DUMMYFUNCTION("""COMPUTED_VALUE"""),"Interior")</f>
        <v>Interior</v>
      </c>
      <c r="AY886" s="97" t="str">
        <f>IFERROR(__xludf.DUMMYFUNCTION("""COMPUTED_VALUE"""),"Dyna")</f>
        <v>Dyna</v>
      </c>
      <c r="AZ886" s="97" t="str">
        <f>IFERROR(__xludf.DUMMYFUNCTION("""COMPUTED_VALUE"""),"Corriente: 600mA. Incluye tapas extremas.")</f>
        <v>Corriente: 600mA. Incluye tapas extremas.</v>
      </c>
      <c r="BA886" s="97">
        <f>IFERROR(__xludf.DUMMYFUNCTION("""COMPUTED_VALUE"""),12.0)</f>
        <v>12</v>
      </c>
      <c r="BB886" s="97" t="str">
        <f>IFERROR(__xludf.DUMMYFUNCTION("""COMPUTED_VALUE"""),"-")</f>
        <v>-</v>
      </c>
      <c r="BC886" s="97" t="str">
        <f>IFERROR(__xludf.DUMMYFUNCTION("""COMPUTED_VALUE"""),"-")</f>
        <v>-</v>
      </c>
      <c r="BD886" s="97" t="str">
        <f>IFERROR(__xludf.DUMMYFUNCTION("""COMPUTED_VALUE"""),"DYNA")</f>
        <v>DYNA</v>
      </c>
      <c r="BE886" s="97" t="str">
        <f>IFERROR(__xludf.DUMMYFUNCTION("""COMPUTED_VALUE"""),"Finalizada")</f>
        <v>Finalizada</v>
      </c>
      <c r="BF886" s="97"/>
      <c r="BG886" s="97" t="str">
        <f>IFERROR(__xludf.DUMMYFUNCTION("""COMPUTED_VALUE"""),"Activo")</f>
        <v>Activo</v>
      </c>
    </row>
    <row r="887">
      <c r="A887" s="97">
        <f>IFERROR(__xludf.DUMMYFUNCTION("""COMPUTED_VALUE"""),6660.0)</f>
        <v>6660</v>
      </c>
      <c r="B887" s="97" t="str">
        <f>IFERROR(__xludf.DUMMYFUNCTION("""COMPUTED_VALUE"""),"DYNA 180 BL")</f>
        <v>DYNA 180 BL</v>
      </c>
      <c r="C887" s="97" t="str">
        <f>IFERROR(__xludf.DUMMYFUNCTION("""COMPUTED_VALUE"""),"LINEAL DYNA 180 BL 37,5W 2700/3300/4000K 3600LM CRI&gt;90 IP20 LEUK")</f>
        <v>LINEAL DYNA 180 BL 37,5W 2700/3300/4000K 3600LM CRI&gt;90 IP20 LEUK</v>
      </c>
      <c r="D887" s="97">
        <f>IFERROR(__xludf.DUMMYFUNCTION("""COMPUTED_VALUE"""),7.798413221589E12)</f>
        <v>7798413221589</v>
      </c>
      <c r="E887" s="97" t="str">
        <f>IFERROR(__xludf.DUMMYFUNCTION("""COMPUTED_VALUE"""),"i5")</f>
        <v>i5</v>
      </c>
      <c r="F887" s="97" t="str">
        <f>IFERROR(__xludf.DUMMYFUNCTION("""COMPUTED_VALUE"""),"LED integrado")</f>
        <v>LED integrado</v>
      </c>
      <c r="G887" s="97" t="str">
        <f>IFERROR(__xludf.DUMMYFUNCTION("""COMPUTED_VALUE"""),"CREE")</f>
        <v>CREE</v>
      </c>
      <c r="H887" s="97" t="str">
        <f>IFERROR(__xludf.DUMMYFUNCTION("""COMPUTED_VALUE"""),"Lifud")</f>
        <v>Lifud</v>
      </c>
      <c r="I887" s="97"/>
      <c r="J887" s="97" t="str">
        <f>IFERROR(__xludf.DUMMYFUNCTION("""COMPUTED_VALUE"""),"Modelo: LF-GMR040YS II 0900H
In: 220-240Vac 0.26A 50/60Hz
Out: 33-42Vdc 900mA - 37.8W
Pf 0.9")</f>
        <v>Modelo: LF-GMR040YS II 0900H
In: 220-240Vac 0.26A 50/60Hz
Out: 33-42Vdc 900mA - 37.8W
Pf 0.9</v>
      </c>
      <c r="K887" s="97" t="str">
        <f>IFERROR(__xludf.DUMMYFUNCTION("""COMPUTED_VALUE"""),"ON/OFF")</f>
        <v>ON/OFF</v>
      </c>
      <c r="L887" s="97" t="str">
        <f>IFERROR(__xludf.DUMMYFUNCTION("""COMPUTED_VALUE"""),"200-240")</f>
        <v>200-240</v>
      </c>
      <c r="M887" s="97" t="str">
        <f>IFERROR(__xludf.DUMMYFUNCTION("""COMPUTED_VALUE"""),"50/60")</f>
        <v>50/60</v>
      </c>
      <c r="N887" s="97"/>
      <c r="O887" s="97">
        <f>IFERROR(__xludf.DUMMYFUNCTION("""COMPUTED_VALUE"""),37.5)</f>
        <v>37.5</v>
      </c>
      <c r="P887" s="97"/>
      <c r="Q887" s="97">
        <f>IFERROR(__xludf.DUMMYFUNCTION("""COMPUTED_VALUE"""),0.9)</f>
        <v>0.9</v>
      </c>
      <c r="R887" s="97">
        <f>IFERROR(__xludf.DUMMYFUNCTION("""COMPUTED_VALUE"""),5625.0)</f>
        <v>5625</v>
      </c>
      <c r="S887" s="99">
        <f>IFERROR(__xludf.DUMMYFUNCTION("""COMPUTED_VALUE"""),135.0)</f>
        <v>135</v>
      </c>
      <c r="T887" s="99">
        <f>IFERROR(__xludf.DUMMYFUNCTION("""COMPUTED_VALUE"""),3600.0)</f>
        <v>3600</v>
      </c>
      <c r="U887" s="99">
        <f>IFERROR(__xludf.DUMMYFUNCTION("""COMPUTED_VALUE"""),96.0)</f>
        <v>96</v>
      </c>
      <c r="V887" s="97">
        <f>IFERROR(__xludf.DUMMYFUNCTION("""COMPUTED_VALUE"""),100.0)</f>
        <v>100</v>
      </c>
      <c r="W887" s="97" t="str">
        <f>IFERROR(__xludf.DUMMYFUNCTION("""COMPUTED_VALUE"""),"&lt; 20")</f>
        <v>&lt; 20</v>
      </c>
      <c r="X887" s="97" t="str">
        <f>IFERROR(__xludf.DUMMYFUNCTION("""COMPUTED_VALUE"""),"2700/3300/4000")</f>
        <v>2700/3300/4000</v>
      </c>
      <c r="Y887" s="97" t="str">
        <f>IFERROR(__xludf.DUMMYFUNCTION("""COMPUTED_VALUE"""),"&gt;90")</f>
        <v>&gt;90</v>
      </c>
      <c r="Z887" s="97"/>
      <c r="AA887" s="97"/>
      <c r="AB887" s="97" t="str">
        <f>IFERROR(__xludf.DUMMYFUNCTION("""COMPUTED_VALUE"""),"&lt; 2")</f>
        <v>&lt; 2</v>
      </c>
      <c r="AC887" s="97"/>
      <c r="AD887" s="97" t="str">
        <f>IFERROR(__xludf.DUMMYFUNCTION("""COMPUTED_VALUE"""),"IP20")</f>
        <v>IP20</v>
      </c>
      <c r="AE887" s="97" t="str">
        <f>IFERROR(__xludf.DUMMYFUNCTION("""COMPUTED_VALUE"""),"Clase l")</f>
        <v>Clase l</v>
      </c>
      <c r="AF887" s="97" t="str">
        <f>IFERROR(__xludf.DUMMYFUNCTION("""COMPUTED_VALUE"""),"Embutir, Aplicar, Suspender")</f>
        <v>Embutir, Aplicar, Suspender</v>
      </c>
      <c r="AG887" s="97" t="str">
        <f>IFERROR(__xludf.DUMMYFUNCTION("""COMPUTED_VALUE"""),"33 x 60 x 1800 (Ancho x Alto x Largo)")</f>
        <v>33 x 60 x 1800 (Ancho x Alto x Largo)</v>
      </c>
      <c r="AH887" s="97" t="str">
        <f>IFERROR(__xludf.DUMMYFUNCTION("""COMPUTED_VALUE"""),"-")</f>
        <v>-</v>
      </c>
      <c r="AI887" s="97" t="str">
        <f>IFERROR(__xludf.DUMMYFUNCTION("""COMPUTED_VALUE"""),"-")</f>
        <v>-</v>
      </c>
      <c r="AJ887" s="97" t="str">
        <f>IFERROR(__xludf.DUMMYFUNCTION("""COMPUTED_VALUE"""),"Policarbonato (PC)")</f>
        <v>Policarbonato (PC)</v>
      </c>
      <c r="AK887" s="97" t="str">
        <f>IFERROR(__xludf.DUMMYFUNCTION("""COMPUTED_VALUE"""),"Aluminio")</f>
        <v>Aluminio</v>
      </c>
      <c r="AL887" s="97" t="str">
        <f>IFERROR(__xludf.DUMMYFUNCTION("""COMPUTED_VALUE"""),"Blanco Mate")</f>
        <v>Blanco Mate</v>
      </c>
      <c r="AM887" s="97" t="str">
        <f>IFERROR(__xludf.DUMMYFUNCTION("""COMPUTED_VALUE"""),"-20℃ a 45℃")</f>
        <v>-20℃ a 45℃</v>
      </c>
      <c r="AN887" s="97" t="str">
        <f>IFERROR(__xludf.DUMMYFUNCTION("""COMPUTED_VALUE"""),"50.000hs (L80)")</f>
        <v>50.000hs (L80)</v>
      </c>
      <c r="AO887" s="97" t="str">
        <f>IFERROR(__xludf.DUMMYFUNCTION("""COMPUTED_VALUE"""),"3 Años")</f>
        <v>3 Años</v>
      </c>
      <c r="AP887" s="97" t="str">
        <f>IFERROR(__xludf.DUMMYFUNCTION("""COMPUTED_VALUE"""),"Disponible")</f>
        <v>Disponible</v>
      </c>
      <c r="AQ887" s="97" t="str">
        <f>IFERROR(__xludf.DUMMYFUNCTION("""COMPUTED_VALUE"""),"Disponible")</f>
        <v>Disponible</v>
      </c>
      <c r="AR887" s="97" t="str">
        <f>IFERROR(__xludf.DUMMYFUNCTION("""COMPUTED_VALUE"""),"Disponible")</f>
        <v>Disponible</v>
      </c>
      <c r="AS887" s="97"/>
      <c r="AT887" s="97"/>
      <c r="AU887" s="97" t="str">
        <f>IFERROR(__xludf.DUMMYFUNCTION("""COMPUTED_VALUE"""),"Falta")</f>
        <v>Falta</v>
      </c>
      <c r="AV887" s="97" t="str">
        <f>IFERROR(__xludf.DUMMYFUNCTION("""COMPUTED_VALUE"""),"Lineal")</f>
        <v>Lineal</v>
      </c>
      <c r="AW887" s="97" t="str">
        <f>IFERROR(__xludf.DUMMYFUNCTION("""COMPUTED_VALUE"""),"Lineales")</f>
        <v>Lineales</v>
      </c>
      <c r="AX887" s="97" t="str">
        <f>IFERROR(__xludf.DUMMYFUNCTION("""COMPUTED_VALUE"""),"Interior")</f>
        <v>Interior</v>
      </c>
      <c r="AY887" s="97" t="str">
        <f>IFERROR(__xludf.DUMMYFUNCTION("""COMPUTED_VALUE"""),"Dyna")</f>
        <v>Dyna</v>
      </c>
      <c r="AZ887" s="97" t="str">
        <f>IFERROR(__xludf.DUMMYFUNCTION("""COMPUTED_VALUE"""),"Corriente: 900mA. Incluye tapas extremas.")</f>
        <v>Corriente: 900mA. Incluye tapas extremas.</v>
      </c>
      <c r="BA887" s="97">
        <f>IFERROR(__xludf.DUMMYFUNCTION("""COMPUTED_VALUE"""),6.0)</f>
        <v>6</v>
      </c>
      <c r="BB887" s="97" t="str">
        <f>IFERROR(__xludf.DUMMYFUNCTION("""COMPUTED_VALUE"""),"-")</f>
        <v>-</v>
      </c>
      <c r="BC887" s="97" t="str">
        <f>IFERROR(__xludf.DUMMYFUNCTION("""COMPUTED_VALUE"""),"-")</f>
        <v>-</v>
      </c>
      <c r="BD887" s="97" t="str">
        <f>IFERROR(__xludf.DUMMYFUNCTION("""COMPUTED_VALUE"""),"DYNA")</f>
        <v>DYNA</v>
      </c>
      <c r="BE887" s="97" t="str">
        <f>IFERROR(__xludf.DUMMYFUNCTION("""COMPUTED_VALUE"""),"Finalizada")</f>
        <v>Finalizada</v>
      </c>
      <c r="BF887" s="97"/>
      <c r="BG887" s="97" t="str">
        <f>IFERROR(__xludf.DUMMYFUNCTION("""COMPUTED_VALUE"""),"Activo")</f>
        <v>Activo</v>
      </c>
    </row>
    <row r="888">
      <c r="A888" s="97">
        <f>IFERROR(__xludf.DUMMYFUNCTION("""COMPUTED_VALUE"""),6661.0)</f>
        <v>6661</v>
      </c>
      <c r="B888" s="97" t="str">
        <f>IFERROR(__xludf.DUMMYFUNCTION("""COMPUTED_VALUE"""),"DYNA 180 NG")</f>
        <v>DYNA 180 NG</v>
      </c>
      <c r="C888" s="97" t="str">
        <f>IFERROR(__xludf.DUMMYFUNCTION("""COMPUTED_VALUE"""),"LINEAL DYNA 180 NG 37,5W 2700/3300/4000K 3600LM CRI&gt;90 IP20 LEUK")</f>
        <v>LINEAL DYNA 180 NG 37,5W 2700/3300/4000K 3600LM CRI&gt;90 IP20 LEUK</v>
      </c>
      <c r="D888" s="97">
        <f>IFERROR(__xludf.DUMMYFUNCTION("""COMPUTED_VALUE"""),7.798413221596E12)</f>
        <v>7798413221596</v>
      </c>
      <c r="E888" s="97" t="str">
        <f>IFERROR(__xludf.DUMMYFUNCTION("""COMPUTED_VALUE"""),"i6")</f>
        <v>i6</v>
      </c>
      <c r="F888" s="97" t="str">
        <f>IFERROR(__xludf.DUMMYFUNCTION("""COMPUTED_VALUE"""),"LED integrado")</f>
        <v>LED integrado</v>
      </c>
      <c r="G888" s="97" t="str">
        <f>IFERROR(__xludf.DUMMYFUNCTION("""COMPUTED_VALUE"""),"CREE")</f>
        <v>CREE</v>
      </c>
      <c r="H888" s="97" t="str">
        <f>IFERROR(__xludf.DUMMYFUNCTION("""COMPUTED_VALUE"""),"Lifud")</f>
        <v>Lifud</v>
      </c>
      <c r="I888" s="97"/>
      <c r="J888" s="97" t="str">
        <f>IFERROR(__xludf.DUMMYFUNCTION("""COMPUTED_VALUE"""),"Modelo: LF-GMR040YS II 0900H
In: 220-240Vac 0.26A 50/60Hz
Out: 33-42Vdc 900mA - 37.8W
Pf 0.9")</f>
        <v>Modelo: LF-GMR040YS II 0900H
In: 220-240Vac 0.26A 50/60Hz
Out: 33-42Vdc 900mA - 37.8W
Pf 0.9</v>
      </c>
      <c r="K888" s="97" t="str">
        <f>IFERROR(__xludf.DUMMYFUNCTION("""COMPUTED_VALUE"""),"ON/OFF")</f>
        <v>ON/OFF</v>
      </c>
      <c r="L888" s="97" t="str">
        <f>IFERROR(__xludf.DUMMYFUNCTION("""COMPUTED_VALUE"""),"200-240")</f>
        <v>200-240</v>
      </c>
      <c r="M888" s="97" t="str">
        <f>IFERROR(__xludf.DUMMYFUNCTION("""COMPUTED_VALUE"""),"50/60")</f>
        <v>50/60</v>
      </c>
      <c r="N888" s="97"/>
      <c r="O888" s="97">
        <f>IFERROR(__xludf.DUMMYFUNCTION("""COMPUTED_VALUE"""),37.5)</f>
        <v>37.5</v>
      </c>
      <c r="P888" s="97"/>
      <c r="Q888" s="97">
        <f>IFERROR(__xludf.DUMMYFUNCTION("""COMPUTED_VALUE"""),0.9)</f>
        <v>0.9</v>
      </c>
      <c r="R888" s="97">
        <f>IFERROR(__xludf.DUMMYFUNCTION("""COMPUTED_VALUE"""),5625.0)</f>
        <v>5625</v>
      </c>
      <c r="S888" s="99">
        <f>IFERROR(__xludf.DUMMYFUNCTION("""COMPUTED_VALUE"""),135.0)</f>
        <v>135</v>
      </c>
      <c r="T888" s="99">
        <f>IFERROR(__xludf.DUMMYFUNCTION("""COMPUTED_VALUE"""),3600.0)</f>
        <v>3600</v>
      </c>
      <c r="U888" s="99">
        <f>IFERROR(__xludf.DUMMYFUNCTION("""COMPUTED_VALUE"""),96.0)</f>
        <v>96</v>
      </c>
      <c r="V888" s="97">
        <f>IFERROR(__xludf.DUMMYFUNCTION("""COMPUTED_VALUE"""),100.0)</f>
        <v>100</v>
      </c>
      <c r="W888" s="97" t="str">
        <f>IFERROR(__xludf.DUMMYFUNCTION("""COMPUTED_VALUE"""),"&lt; 20")</f>
        <v>&lt; 20</v>
      </c>
      <c r="X888" s="97" t="str">
        <f>IFERROR(__xludf.DUMMYFUNCTION("""COMPUTED_VALUE"""),"2700/3300/4000")</f>
        <v>2700/3300/4000</v>
      </c>
      <c r="Y888" s="97" t="str">
        <f>IFERROR(__xludf.DUMMYFUNCTION("""COMPUTED_VALUE"""),"&gt;90")</f>
        <v>&gt;90</v>
      </c>
      <c r="Z888" s="97"/>
      <c r="AA888" s="97"/>
      <c r="AB888" s="97" t="str">
        <f>IFERROR(__xludf.DUMMYFUNCTION("""COMPUTED_VALUE"""),"&lt; 2")</f>
        <v>&lt; 2</v>
      </c>
      <c r="AC888" s="97"/>
      <c r="AD888" s="97" t="str">
        <f>IFERROR(__xludf.DUMMYFUNCTION("""COMPUTED_VALUE"""),"IP20")</f>
        <v>IP20</v>
      </c>
      <c r="AE888" s="97" t="str">
        <f>IFERROR(__xludf.DUMMYFUNCTION("""COMPUTED_VALUE"""),"Clase l")</f>
        <v>Clase l</v>
      </c>
      <c r="AF888" s="97" t="str">
        <f>IFERROR(__xludf.DUMMYFUNCTION("""COMPUTED_VALUE"""),"Embutir, Aplicar, Suspender")</f>
        <v>Embutir, Aplicar, Suspender</v>
      </c>
      <c r="AG888" s="97" t="str">
        <f>IFERROR(__xludf.DUMMYFUNCTION("""COMPUTED_VALUE"""),"33 x 60 x 1800 (Ancho x Alto x Largo)")</f>
        <v>33 x 60 x 1800 (Ancho x Alto x Largo)</v>
      </c>
      <c r="AH888" s="97" t="str">
        <f>IFERROR(__xludf.DUMMYFUNCTION("""COMPUTED_VALUE"""),"-")</f>
        <v>-</v>
      </c>
      <c r="AI888" s="97" t="str">
        <f>IFERROR(__xludf.DUMMYFUNCTION("""COMPUTED_VALUE"""),"-")</f>
        <v>-</v>
      </c>
      <c r="AJ888" s="97" t="str">
        <f>IFERROR(__xludf.DUMMYFUNCTION("""COMPUTED_VALUE"""),"Policarbonato (PC)")</f>
        <v>Policarbonato (PC)</v>
      </c>
      <c r="AK888" s="97" t="str">
        <f>IFERROR(__xludf.DUMMYFUNCTION("""COMPUTED_VALUE"""),"Aluminio")</f>
        <v>Aluminio</v>
      </c>
      <c r="AL888" s="97" t="str">
        <f>IFERROR(__xludf.DUMMYFUNCTION("""COMPUTED_VALUE"""),"Negro Mate")</f>
        <v>Negro Mate</v>
      </c>
      <c r="AM888" s="97" t="str">
        <f>IFERROR(__xludf.DUMMYFUNCTION("""COMPUTED_VALUE"""),"-20℃ a 45℃")</f>
        <v>-20℃ a 45℃</v>
      </c>
      <c r="AN888" s="97" t="str">
        <f>IFERROR(__xludf.DUMMYFUNCTION("""COMPUTED_VALUE"""),"50.000hs (L80)")</f>
        <v>50.000hs (L80)</v>
      </c>
      <c r="AO888" s="97" t="str">
        <f>IFERROR(__xludf.DUMMYFUNCTION("""COMPUTED_VALUE"""),"3 Años")</f>
        <v>3 Años</v>
      </c>
      <c r="AP888" s="97" t="str">
        <f>IFERROR(__xludf.DUMMYFUNCTION("""COMPUTED_VALUE"""),"Disponible")</f>
        <v>Disponible</v>
      </c>
      <c r="AQ888" s="97" t="str">
        <f>IFERROR(__xludf.DUMMYFUNCTION("""COMPUTED_VALUE"""),"Disponible")</f>
        <v>Disponible</v>
      </c>
      <c r="AR888" s="97" t="str">
        <f>IFERROR(__xludf.DUMMYFUNCTION("""COMPUTED_VALUE"""),"Disponible")</f>
        <v>Disponible</v>
      </c>
      <c r="AS888" s="97"/>
      <c r="AT888" s="97"/>
      <c r="AU888" s="97" t="str">
        <f>IFERROR(__xludf.DUMMYFUNCTION("""COMPUTED_VALUE"""),"Falta")</f>
        <v>Falta</v>
      </c>
      <c r="AV888" s="97" t="str">
        <f>IFERROR(__xludf.DUMMYFUNCTION("""COMPUTED_VALUE"""),"Lineal")</f>
        <v>Lineal</v>
      </c>
      <c r="AW888" s="97" t="str">
        <f>IFERROR(__xludf.DUMMYFUNCTION("""COMPUTED_VALUE"""),"Lineales")</f>
        <v>Lineales</v>
      </c>
      <c r="AX888" s="97" t="str">
        <f>IFERROR(__xludf.DUMMYFUNCTION("""COMPUTED_VALUE"""),"Interior")</f>
        <v>Interior</v>
      </c>
      <c r="AY888" s="97" t="str">
        <f>IFERROR(__xludf.DUMMYFUNCTION("""COMPUTED_VALUE"""),"Dyna")</f>
        <v>Dyna</v>
      </c>
      <c r="AZ888" s="97" t="str">
        <f>IFERROR(__xludf.DUMMYFUNCTION("""COMPUTED_VALUE"""),"Corriente: 900mA. Incluye tapas extremas.")</f>
        <v>Corriente: 900mA. Incluye tapas extremas.</v>
      </c>
      <c r="BA888" s="97">
        <f>IFERROR(__xludf.DUMMYFUNCTION("""COMPUTED_VALUE"""),6.0)</f>
        <v>6</v>
      </c>
      <c r="BB888" s="97" t="str">
        <f>IFERROR(__xludf.DUMMYFUNCTION("""COMPUTED_VALUE"""),"-")</f>
        <v>-</v>
      </c>
      <c r="BC888" s="97" t="str">
        <f>IFERROR(__xludf.DUMMYFUNCTION("""COMPUTED_VALUE"""),"-")</f>
        <v>-</v>
      </c>
      <c r="BD888" s="97" t="str">
        <f>IFERROR(__xludf.DUMMYFUNCTION("""COMPUTED_VALUE"""),"DYNA")</f>
        <v>DYNA</v>
      </c>
      <c r="BE888" s="97" t="str">
        <f>IFERROR(__xludf.DUMMYFUNCTION("""COMPUTED_VALUE"""),"Finalizada")</f>
        <v>Finalizada</v>
      </c>
      <c r="BF888" s="97"/>
      <c r="BG888" s="97" t="str">
        <f>IFERROR(__xludf.DUMMYFUNCTION("""COMPUTED_VALUE"""),"Activo")</f>
        <v>Activo</v>
      </c>
    </row>
    <row r="889">
      <c r="A889" s="97">
        <f>IFERROR(__xludf.DUMMYFUNCTION("""COMPUTED_VALUE"""),6662.0)</f>
        <v>6662</v>
      </c>
      <c r="B889" s="97" t="str">
        <f>IFERROR(__xludf.DUMMYFUNCTION("""COMPUTED_VALUE"""),"DYNA 240 BL")</f>
        <v>DYNA 240 BL</v>
      </c>
      <c r="C889" s="97" t="str">
        <f>IFERROR(__xludf.DUMMYFUNCTION("""COMPUTED_VALUE"""),"LINEAL DYNA 240 BL 50W 2700/3300/4000K 4800LM CRI&gt;90 IP20 LEUK")</f>
        <v>LINEAL DYNA 240 BL 50W 2700/3300/4000K 4800LM CRI&gt;90 IP20 LEUK</v>
      </c>
      <c r="D889" s="97">
        <f>IFERROR(__xludf.DUMMYFUNCTION("""COMPUTED_VALUE"""),7.798413221602E12)</f>
        <v>7798413221602</v>
      </c>
      <c r="E889" s="97" t="str">
        <f>IFERROR(__xludf.DUMMYFUNCTION("""COMPUTED_VALUE"""),"i7")</f>
        <v>i7</v>
      </c>
      <c r="F889" s="97" t="str">
        <f>IFERROR(__xludf.DUMMYFUNCTION("""COMPUTED_VALUE"""),"LED integrado")</f>
        <v>LED integrado</v>
      </c>
      <c r="G889" s="97" t="str">
        <f>IFERROR(__xludf.DUMMYFUNCTION("""COMPUTED_VALUE"""),"CREE")</f>
        <v>CREE</v>
      </c>
      <c r="H889" s="97" t="str">
        <f>IFERROR(__xludf.DUMMYFUNCTION("""COMPUTED_VALUE"""),"Lifud")</f>
        <v>Lifud</v>
      </c>
      <c r="I889" s="97"/>
      <c r="J889" s="97" t="str">
        <f>IFERROR(__xludf.DUMMYFUNCTION("""COMPUTED_VALUE"""),"Modelo: LF-GMR060YS II 1200H
In: 220-240Vac 0.4A 50/60Hz
Out: 33-42Vdc 1200mA - 50.4W
Pf 0.9")</f>
        <v>Modelo: LF-GMR060YS II 1200H
In: 220-240Vac 0.4A 50/60Hz
Out: 33-42Vdc 1200mA - 50.4W
Pf 0.9</v>
      </c>
      <c r="K889" s="97" t="str">
        <f>IFERROR(__xludf.DUMMYFUNCTION("""COMPUTED_VALUE"""),"ON/OFF")</f>
        <v>ON/OFF</v>
      </c>
      <c r="L889" s="97" t="str">
        <f>IFERROR(__xludf.DUMMYFUNCTION("""COMPUTED_VALUE"""),"200-240")</f>
        <v>200-240</v>
      </c>
      <c r="M889" s="97" t="str">
        <f>IFERROR(__xludf.DUMMYFUNCTION("""COMPUTED_VALUE"""),"50/60")</f>
        <v>50/60</v>
      </c>
      <c r="N889" s="97"/>
      <c r="O889" s="97">
        <f>IFERROR(__xludf.DUMMYFUNCTION("""COMPUTED_VALUE"""),50.0)</f>
        <v>50</v>
      </c>
      <c r="P889" s="97"/>
      <c r="Q889" s="97">
        <f>IFERROR(__xludf.DUMMYFUNCTION("""COMPUTED_VALUE"""),0.9)</f>
        <v>0.9</v>
      </c>
      <c r="R889" s="97">
        <f>IFERROR(__xludf.DUMMYFUNCTION("""COMPUTED_VALUE"""),7500.0)</f>
        <v>7500</v>
      </c>
      <c r="S889" s="99">
        <f>IFERROR(__xludf.DUMMYFUNCTION("""COMPUTED_VALUE"""),135.0)</f>
        <v>135</v>
      </c>
      <c r="T889" s="99">
        <f>IFERROR(__xludf.DUMMYFUNCTION("""COMPUTED_VALUE"""),4800.0)</f>
        <v>4800</v>
      </c>
      <c r="U889" s="99">
        <f>IFERROR(__xludf.DUMMYFUNCTION("""COMPUTED_VALUE"""),96.0)</f>
        <v>96</v>
      </c>
      <c r="V889" s="97">
        <f>IFERROR(__xludf.DUMMYFUNCTION("""COMPUTED_VALUE"""),100.0)</f>
        <v>100</v>
      </c>
      <c r="W889" s="97" t="str">
        <f>IFERROR(__xludf.DUMMYFUNCTION("""COMPUTED_VALUE"""),"&lt; 20")</f>
        <v>&lt; 20</v>
      </c>
      <c r="X889" s="97" t="str">
        <f>IFERROR(__xludf.DUMMYFUNCTION("""COMPUTED_VALUE"""),"2700/3300/4000")</f>
        <v>2700/3300/4000</v>
      </c>
      <c r="Y889" s="97" t="str">
        <f>IFERROR(__xludf.DUMMYFUNCTION("""COMPUTED_VALUE"""),"&gt;90")</f>
        <v>&gt;90</v>
      </c>
      <c r="Z889" s="97"/>
      <c r="AA889" s="97"/>
      <c r="AB889" s="97" t="str">
        <f>IFERROR(__xludf.DUMMYFUNCTION("""COMPUTED_VALUE"""),"&lt; 2")</f>
        <v>&lt; 2</v>
      </c>
      <c r="AC889" s="97"/>
      <c r="AD889" s="97" t="str">
        <f>IFERROR(__xludf.DUMMYFUNCTION("""COMPUTED_VALUE"""),"IP20")</f>
        <v>IP20</v>
      </c>
      <c r="AE889" s="97" t="str">
        <f>IFERROR(__xludf.DUMMYFUNCTION("""COMPUTED_VALUE"""),"Clase l")</f>
        <v>Clase l</v>
      </c>
      <c r="AF889" s="97" t="str">
        <f>IFERROR(__xludf.DUMMYFUNCTION("""COMPUTED_VALUE"""),"Embutir, Aplicar, Suspender")</f>
        <v>Embutir, Aplicar, Suspender</v>
      </c>
      <c r="AG889" s="97" t="str">
        <f>IFERROR(__xludf.DUMMYFUNCTION("""COMPUTED_VALUE"""),"33 x 60 x 2400 (Ancho x Alto x Largo)")</f>
        <v>33 x 60 x 2400 (Ancho x Alto x Largo)</v>
      </c>
      <c r="AH889" s="97" t="str">
        <f>IFERROR(__xludf.DUMMYFUNCTION("""COMPUTED_VALUE"""),"-")</f>
        <v>-</v>
      </c>
      <c r="AI889" s="97" t="str">
        <f>IFERROR(__xludf.DUMMYFUNCTION("""COMPUTED_VALUE"""),"-")</f>
        <v>-</v>
      </c>
      <c r="AJ889" s="97" t="str">
        <f>IFERROR(__xludf.DUMMYFUNCTION("""COMPUTED_VALUE"""),"Policarbonato (PC)")</f>
        <v>Policarbonato (PC)</v>
      </c>
      <c r="AK889" s="97" t="str">
        <f>IFERROR(__xludf.DUMMYFUNCTION("""COMPUTED_VALUE"""),"Aluminio")</f>
        <v>Aluminio</v>
      </c>
      <c r="AL889" s="97" t="str">
        <f>IFERROR(__xludf.DUMMYFUNCTION("""COMPUTED_VALUE"""),"Blanco Mate")</f>
        <v>Blanco Mate</v>
      </c>
      <c r="AM889" s="97" t="str">
        <f>IFERROR(__xludf.DUMMYFUNCTION("""COMPUTED_VALUE"""),"-20℃ a 45℃")</f>
        <v>-20℃ a 45℃</v>
      </c>
      <c r="AN889" s="97" t="str">
        <f>IFERROR(__xludf.DUMMYFUNCTION("""COMPUTED_VALUE"""),"50.000hs (L80)")</f>
        <v>50.000hs (L80)</v>
      </c>
      <c r="AO889" s="97" t="str">
        <f>IFERROR(__xludf.DUMMYFUNCTION("""COMPUTED_VALUE"""),"3 Años")</f>
        <v>3 Años</v>
      </c>
      <c r="AP889" s="97" t="str">
        <f>IFERROR(__xludf.DUMMYFUNCTION("""COMPUTED_VALUE"""),"Disponible")</f>
        <v>Disponible</v>
      </c>
      <c r="AQ889" s="97" t="str">
        <f>IFERROR(__xludf.DUMMYFUNCTION("""COMPUTED_VALUE"""),"Disponible")</f>
        <v>Disponible</v>
      </c>
      <c r="AR889" s="97" t="str">
        <f>IFERROR(__xludf.DUMMYFUNCTION("""COMPUTED_VALUE"""),"Disponible")</f>
        <v>Disponible</v>
      </c>
      <c r="AS889" s="97"/>
      <c r="AT889" s="97"/>
      <c r="AU889" s="97" t="str">
        <f>IFERROR(__xludf.DUMMYFUNCTION("""COMPUTED_VALUE"""),"Falta")</f>
        <v>Falta</v>
      </c>
      <c r="AV889" s="97" t="str">
        <f>IFERROR(__xludf.DUMMYFUNCTION("""COMPUTED_VALUE"""),"Lineal")</f>
        <v>Lineal</v>
      </c>
      <c r="AW889" s="97" t="str">
        <f>IFERROR(__xludf.DUMMYFUNCTION("""COMPUTED_VALUE"""),"Lineales")</f>
        <v>Lineales</v>
      </c>
      <c r="AX889" s="97" t="str">
        <f>IFERROR(__xludf.DUMMYFUNCTION("""COMPUTED_VALUE"""),"Interior")</f>
        <v>Interior</v>
      </c>
      <c r="AY889" s="97" t="str">
        <f>IFERROR(__xludf.DUMMYFUNCTION("""COMPUTED_VALUE"""),"Dyna")</f>
        <v>Dyna</v>
      </c>
      <c r="AZ889" s="97" t="str">
        <f>IFERROR(__xludf.DUMMYFUNCTION("""COMPUTED_VALUE"""),"Corriente: 1200mA. Incluye tapas extremas.")</f>
        <v>Corriente: 1200mA. Incluye tapas extremas.</v>
      </c>
      <c r="BA889" s="97">
        <f>IFERROR(__xludf.DUMMYFUNCTION("""COMPUTED_VALUE"""),6.0)</f>
        <v>6</v>
      </c>
      <c r="BB889" s="97" t="str">
        <f>IFERROR(__xludf.DUMMYFUNCTION("""COMPUTED_VALUE"""),"-")</f>
        <v>-</v>
      </c>
      <c r="BC889" s="97" t="str">
        <f>IFERROR(__xludf.DUMMYFUNCTION("""COMPUTED_VALUE"""),"-")</f>
        <v>-</v>
      </c>
      <c r="BD889" s="97" t="str">
        <f>IFERROR(__xludf.DUMMYFUNCTION("""COMPUTED_VALUE"""),"DYNA")</f>
        <v>DYNA</v>
      </c>
      <c r="BE889" s="97" t="str">
        <f>IFERROR(__xludf.DUMMYFUNCTION("""COMPUTED_VALUE"""),"Finalizada")</f>
        <v>Finalizada</v>
      </c>
      <c r="BF889" s="97"/>
      <c r="BG889" s="97" t="str">
        <f>IFERROR(__xludf.DUMMYFUNCTION("""COMPUTED_VALUE"""),"Activo")</f>
        <v>Activo</v>
      </c>
    </row>
    <row r="890">
      <c r="A890" s="97">
        <f>IFERROR(__xludf.DUMMYFUNCTION("""COMPUTED_VALUE"""),6663.0)</f>
        <v>6663</v>
      </c>
      <c r="B890" s="97" t="str">
        <f>IFERROR(__xludf.DUMMYFUNCTION("""COMPUTED_VALUE"""),"DYNA 240 NG")</f>
        <v>DYNA 240 NG</v>
      </c>
      <c r="C890" s="97" t="str">
        <f>IFERROR(__xludf.DUMMYFUNCTION("""COMPUTED_VALUE"""),"LINEAL DYNA 240 NG 50W 2700/3300/4000K 4800LM CRI&gt;90 IP20 LEUK")</f>
        <v>LINEAL DYNA 240 NG 50W 2700/3300/4000K 4800LM CRI&gt;90 IP20 LEUK</v>
      </c>
      <c r="D890" s="97">
        <f>IFERROR(__xludf.DUMMYFUNCTION("""COMPUTED_VALUE"""),7.798413221619E12)</f>
        <v>7798413221619</v>
      </c>
      <c r="E890" s="97" t="str">
        <f>IFERROR(__xludf.DUMMYFUNCTION("""COMPUTED_VALUE"""),"i8")</f>
        <v>i8</v>
      </c>
      <c r="F890" s="97" t="str">
        <f>IFERROR(__xludf.DUMMYFUNCTION("""COMPUTED_VALUE"""),"LED integrado")</f>
        <v>LED integrado</v>
      </c>
      <c r="G890" s="97" t="str">
        <f>IFERROR(__xludf.DUMMYFUNCTION("""COMPUTED_VALUE"""),"CREE")</f>
        <v>CREE</v>
      </c>
      <c r="H890" s="97" t="str">
        <f>IFERROR(__xludf.DUMMYFUNCTION("""COMPUTED_VALUE"""),"Lifud")</f>
        <v>Lifud</v>
      </c>
      <c r="I890" s="97"/>
      <c r="J890" s="97" t="str">
        <f>IFERROR(__xludf.DUMMYFUNCTION("""COMPUTED_VALUE"""),"Modelo: LF-GMR060YS II 1200H
In: 220-240Vac 0.4A 50/60Hz
Out: 33-42Vdc 1200mA - 50.4W
Pf 0.9")</f>
        <v>Modelo: LF-GMR060YS II 1200H
In: 220-240Vac 0.4A 50/60Hz
Out: 33-42Vdc 1200mA - 50.4W
Pf 0.9</v>
      </c>
      <c r="K890" s="97" t="str">
        <f>IFERROR(__xludf.DUMMYFUNCTION("""COMPUTED_VALUE"""),"ON/OFF")</f>
        <v>ON/OFF</v>
      </c>
      <c r="L890" s="97" t="str">
        <f>IFERROR(__xludf.DUMMYFUNCTION("""COMPUTED_VALUE"""),"200-240")</f>
        <v>200-240</v>
      </c>
      <c r="M890" s="97" t="str">
        <f>IFERROR(__xludf.DUMMYFUNCTION("""COMPUTED_VALUE"""),"50/60")</f>
        <v>50/60</v>
      </c>
      <c r="N890" s="97"/>
      <c r="O890" s="97">
        <f>IFERROR(__xludf.DUMMYFUNCTION("""COMPUTED_VALUE"""),50.0)</f>
        <v>50</v>
      </c>
      <c r="P890" s="97"/>
      <c r="Q890" s="97">
        <f>IFERROR(__xludf.DUMMYFUNCTION("""COMPUTED_VALUE"""),0.9)</f>
        <v>0.9</v>
      </c>
      <c r="R890" s="97">
        <f>IFERROR(__xludf.DUMMYFUNCTION("""COMPUTED_VALUE"""),7500.0)</f>
        <v>7500</v>
      </c>
      <c r="S890" s="99">
        <f>IFERROR(__xludf.DUMMYFUNCTION("""COMPUTED_VALUE"""),135.0)</f>
        <v>135</v>
      </c>
      <c r="T890" s="99">
        <f>IFERROR(__xludf.DUMMYFUNCTION("""COMPUTED_VALUE"""),4800.0)</f>
        <v>4800</v>
      </c>
      <c r="U890" s="99">
        <f>IFERROR(__xludf.DUMMYFUNCTION("""COMPUTED_VALUE"""),96.0)</f>
        <v>96</v>
      </c>
      <c r="V890" s="97">
        <f>IFERROR(__xludf.DUMMYFUNCTION("""COMPUTED_VALUE"""),100.0)</f>
        <v>100</v>
      </c>
      <c r="W890" s="97" t="str">
        <f>IFERROR(__xludf.DUMMYFUNCTION("""COMPUTED_VALUE"""),"&lt; 20")</f>
        <v>&lt; 20</v>
      </c>
      <c r="X890" s="97" t="str">
        <f>IFERROR(__xludf.DUMMYFUNCTION("""COMPUTED_VALUE"""),"2700/3300/4000")</f>
        <v>2700/3300/4000</v>
      </c>
      <c r="Y890" s="97" t="str">
        <f>IFERROR(__xludf.DUMMYFUNCTION("""COMPUTED_VALUE"""),"&gt;90")</f>
        <v>&gt;90</v>
      </c>
      <c r="Z890" s="97"/>
      <c r="AA890" s="97"/>
      <c r="AB890" s="97" t="str">
        <f>IFERROR(__xludf.DUMMYFUNCTION("""COMPUTED_VALUE"""),"&lt; 2")</f>
        <v>&lt; 2</v>
      </c>
      <c r="AC890" s="97"/>
      <c r="AD890" s="97" t="str">
        <f>IFERROR(__xludf.DUMMYFUNCTION("""COMPUTED_VALUE"""),"IP20")</f>
        <v>IP20</v>
      </c>
      <c r="AE890" s="97" t="str">
        <f>IFERROR(__xludf.DUMMYFUNCTION("""COMPUTED_VALUE"""),"Clase l")</f>
        <v>Clase l</v>
      </c>
      <c r="AF890" s="97" t="str">
        <f>IFERROR(__xludf.DUMMYFUNCTION("""COMPUTED_VALUE"""),"Embutir, Aplicar, Suspender")</f>
        <v>Embutir, Aplicar, Suspender</v>
      </c>
      <c r="AG890" s="97" t="str">
        <f>IFERROR(__xludf.DUMMYFUNCTION("""COMPUTED_VALUE"""),"33 x 60 x 2400 (Ancho x Alto x Largo)")</f>
        <v>33 x 60 x 2400 (Ancho x Alto x Largo)</v>
      </c>
      <c r="AH890" s="97" t="str">
        <f>IFERROR(__xludf.DUMMYFUNCTION("""COMPUTED_VALUE"""),"-")</f>
        <v>-</v>
      </c>
      <c r="AI890" s="97" t="str">
        <f>IFERROR(__xludf.DUMMYFUNCTION("""COMPUTED_VALUE"""),"-")</f>
        <v>-</v>
      </c>
      <c r="AJ890" s="97" t="str">
        <f>IFERROR(__xludf.DUMMYFUNCTION("""COMPUTED_VALUE"""),"Policarbonato (PC)")</f>
        <v>Policarbonato (PC)</v>
      </c>
      <c r="AK890" s="97" t="str">
        <f>IFERROR(__xludf.DUMMYFUNCTION("""COMPUTED_VALUE"""),"Aluminio")</f>
        <v>Aluminio</v>
      </c>
      <c r="AL890" s="97" t="str">
        <f>IFERROR(__xludf.DUMMYFUNCTION("""COMPUTED_VALUE"""),"Negro Mate")</f>
        <v>Negro Mate</v>
      </c>
      <c r="AM890" s="97" t="str">
        <f>IFERROR(__xludf.DUMMYFUNCTION("""COMPUTED_VALUE"""),"-20℃ a 45℃")</f>
        <v>-20℃ a 45℃</v>
      </c>
      <c r="AN890" s="97" t="str">
        <f>IFERROR(__xludf.DUMMYFUNCTION("""COMPUTED_VALUE"""),"50.000hs (L80)")</f>
        <v>50.000hs (L80)</v>
      </c>
      <c r="AO890" s="97" t="str">
        <f>IFERROR(__xludf.DUMMYFUNCTION("""COMPUTED_VALUE"""),"3 Años")</f>
        <v>3 Años</v>
      </c>
      <c r="AP890" s="97" t="str">
        <f>IFERROR(__xludf.DUMMYFUNCTION("""COMPUTED_VALUE"""),"Disponible")</f>
        <v>Disponible</v>
      </c>
      <c r="AQ890" s="97" t="str">
        <f>IFERROR(__xludf.DUMMYFUNCTION("""COMPUTED_VALUE"""),"Disponible")</f>
        <v>Disponible</v>
      </c>
      <c r="AR890" s="97" t="str">
        <f>IFERROR(__xludf.DUMMYFUNCTION("""COMPUTED_VALUE"""),"Disponible")</f>
        <v>Disponible</v>
      </c>
      <c r="AS890" s="97"/>
      <c r="AT890" s="97"/>
      <c r="AU890" s="97" t="str">
        <f>IFERROR(__xludf.DUMMYFUNCTION("""COMPUTED_VALUE"""),"Falta")</f>
        <v>Falta</v>
      </c>
      <c r="AV890" s="97" t="str">
        <f>IFERROR(__xludf.DUMMYFUNCTION("""COMPUTED_VALUE"""),"Lineal")</f>
        <v>Lineal</v>
      </c>
      <c r="AW890" s="97" t="str">
        <f>IFERROR(__xludf.DUMMYFUNCTION("""COMPUTED_VALUE"""),"Lineales")</f>
        <v>Lineales</v>
      </c>
      <c r="AX890" s="97" t="str">
        <f>IFERROR(__xludf.DUMMYFUNCTION("""COMPUTED_VALUE"""),"Interior")</f>
        <v>Interior</v>
      </c>
      <c r="AY890" s="97" t="str">
        <f>IFERROR(__xludf.DUMMYFUNCTION("""COMPUTED_VALUE"""),"Dyna")</f>
        <v>Dyna</v>
      </c>
      <c r="AZ890" s="97" t="str">
        <f>IFERROR(__xludf.DUMMYFUNCTION("""COMPUTED_VALUE"""),"Corriente: 1200mA. Incluye tapas extremas.")</f>
        <v>Corriente: 1200mA. Incluye tapas extremas.</v>
      </c>
      <c r="BA890" s="97">
        <f>IFERROR(__xludf.DUMMYFUNCTION("""COMPUTED_VALUE"""),6.0)</f>
        <v>6</v>
      </c>
      <c r="BB890" s="97" t="str">
        <f>IFERROR(__xludf.DUMMYFUNCTION("""COMPUTED_VALUE"""),"-")</f>
        <v>-</v>
      </c>
      <c r="BC890" s="97" t="str">
        <f>IFERROR(__xludf.DUMMYFUNCTION("""COMPUTED_VALUE"""),"-")</f>
        <v>-</v>
      </c>
      <c r="BD890" s="97" t="str">
        <f>IFERROR(__xludf.DUMMYFUNCTION("""COMPUTED_VALUE"""),"DYNA")</f>
        <v>DYNA</v>
      </c>
      <c r="BE890" s="97" t="str">
        <f>IFERROR(__xludf.DUMMYFUNCTION("""COMPUTED_VALUE"""),"Finalizada")</f>
        <v>Finalizada</v>
      </c>
      <c r="BF890" s="97"/>
      <c r="BG890" s="97" t="str">
        <f>IFERROR(__xludf.DUMMYFUNCTION("""COMPUTED_VALUE"""),"Activo")</f>
        <v>Activo</v>
      </c>
    </row>
    <row r="891">
      <c r="A891" s="97">
        <f>IFERROR(__xludf.DUMMYFUNCTION("""COMPUTED_VALUE"""),6664.0)</f>
        <v>6664</v>
      </c>
      <c r="B891" s="97" t="str">
        <f>IFERROR(__xludf.DUMMYFUNCTION("""COMPUTED_VALUE"""),"DYNA PERFIL 1MT BL")</f>
        <v>DYNA PERFIL 1MT BL</v>
      </c>
      <c r="C891" s="97" t="str">
        <f>IFERROR(__xludf.DUMMYFUNCTION("""COMPUTED_VALUE"""),"PERFIL DYNA PERFIL 1MT BL LEUK")</f>
        <v>PERFIL DYNA PERFIL 1MT BL LEUK</v>
      </c>
      <c r="D891" s="97">
        <f>IFERROR(__xludf.DUMMYFUNCTION("""COMPUTED_VALUE"""),7.798413221626E12)</f>
        <v>7798413221626</v>
      </c>
      <c r="E891" s="97" t="str">
        <f>IFERROR(__xludf.DUMMYFUNCTION("""COMPUTED_VALUE"""),"N/A")</f>
        <v>N/A</v>
      </c>
      <c r="F891" s="97" t="str">
        <f>IFERROR(__xludf.DUMMYFUNCTION("""COMPUTED_VALUE"""),"N/A")</f>
        <v>N/A</v>
      </c>
      <c r="G891" s="97" t="str">
        <f>IFERROR(__xludf.DUMMYFUNCTION("""COMPUTED_VALUE"""),"N/A")</f>
        <v>N/A</v>
      </c>
      <c r="H891" s="97" t="str">
        <f>IFERROR(__xludf.DUMMYFUNCTION("""COMPUTED_VALUE"""),"N/A")</f>
        <v>N/A</v>
      </c>
      <c r="I891" s="97" t="str">
        <f>IFERROR(__xludf.DUMMYFUNCTION("""COMPUTED_VALUE"""),"N/A")</f>
        <v>N/A</v>
      </c>
      <c r="J891" s="97" t="str">
        <f>IFERROR(__xludf.DUMMYFUNCTION("""COMPUTED_VALUE"""),"N/A")</f>
        <v>N/A</v>
      </c>
      <c r="K891" s="97" t="str">
        <f>IFERROR(__xludf.DUMMYFUNCTION("""COMPUTED_VALUE"""),"N/A")</f>
        <v>N/A</v>
      </c>
      <c r="L891" s="97" t="str">
        <f>IFERROR(__xludf.DUMMYFUNCTION("""COMPUTED_VALUE"""),"N/A")</f>
        <v>N/A</v>
      </c>
      <c r="M891" s="97" t="str">
        <f>IFERROR(__xludf.DUMMYFUNCTION("""COMPUTED_VALUE"""),"N/A")</f>
        <v>N/A</v>
      </c>
      <c r="N891" s="97"/>
      <c r="O891" s="97" t="str">
        <f>IFERROR(__xludf.DUMMYFUNCTION("""COMPUTED_VALUE"""),"-")</f>
        <v>-</v>
      </c>
      <c r="P891" s="97"/>
      <c r="Q891" s="97" t="str">
        <f>IFERROR(__xludf.DUMMYFUNCTION("""COMPUTED_VALUE"""),"-")</f>
        <v>-</v>
      </c>
      <c r="R891" s="97" t="str">
        <f>IFERROR(__xludf.DUMMYFUNCTION("""COMPUTED_VALUE"""),"-")</f>
        <v>-</v>
      </c>
      <c r="S891" s="97" t="str">
        <f>IFERROR(__xludf.DUMMYFUNCTION("""COMPUTED_VALUE"""),"-")</f>
        <v>-</v>
      </c>
      <c r="T891" s="97" t="str">
        <f>IFERROR(__xludf.DUMMYFUNCTION("""COMPUTED_VALUE"""),"-")</f>
        <v>-</v>
      </c>
      <c r="U891" s="97" t="str">
        <f>IFERROR(__xludf.DUMMYFUNCTION("""COMPUTED_VALUE"""),"-")</f>
        <v>-</v>
      </c>
      <c r="V891" s="97" t="str">
        <f>IFERROR(__xludf.DUMMYFUNCTION("""COMPUTED_VALUE"""),"N/A")</f>
        <v>N/A</v>
      </c>
      <c r="W891" s="97" t="str">
        <f>IFERROR(__xludf.DUMMYFUNCTION("""COMPUTED_VALUE"""),"N/A")</f>
        <v>N/A</v>
      </c>
      <c r="X891" s="97" t="str">
        <f>IFERROR(__xludf.DUMMYFUNCTION("""COMPUTED_VALUE"""),"-")</f>
        <v>-</v>
      </c>
      <c r="Y891" s="97" t="str">
        <f>IFERROR(__xludf.DUMMYFUNCTION("""COMPUTED_VALUE"""),"N/A")</f>
        <v>N/A</v>
      </c>
      <c r="Z891" s="97" t="str">
        <f>IFERROR(__xludf.DUMMYFUNCTION("""COMPUTED_VALUE"""),"N/A")</f>
        <v>N/A</v>
      </c>
      <c r="AA891" s="97" t="str">
        <f>IFERROR(__xludf.DUMMYFUNCTION("""COMPUTED_VALUE"""),"N/A")</f>
        <v>N/A</v>
      </c>
      <c r="AB891" s="97" t="str">
        <f>IFERROR(__xludf.DUMMYFUNCTION("""COMPUTED_VALUE"""),"N/A")</f>
        <v>N/A</v>
      </c>
      <c r="AC891" s="97" t="str">
        <f>IFERROR(__xludf.DUMMYFUNCTION("""COMPUTED_VALUE"""),"N/A")</f>
        <v>N/A</v>
      </c>
      <c r="AD891" s="97" t="str">
        <f>IFERROR(__xludf.DUMMYFUNCTION("""COMPUTED_VALUE"""),"IP20")</f>
        <v>IP20</v>
      </c>
      <c r="AE891" s="97" t="str">
        <f>IFERROR(__xludf.DUMMYFUNCTION("""COMPUTED_VALUE"""),"N/A")</f>
        <v>N/A</v>
      </c>
      <c r="AF891" s="97" t="str">
        <f>IFERROR(__xludf.DUMMYFUNCTION("""COMPUTED_VALUE"""),"Embutir, Aplicar, Suspender")</f>
        <v>Embutir, Aplicar, Suspender</v>
      </c>
      <c r="AG891" s="97" t="str">
        <f>IFERROR(__xludf.DUMMYFUNCTION("""COMPUTED_VALUE"""),"33 x 60 x 1000 (Ancho x Alto x Largo)")</f>
        <v>33 x 60 x 1000 (Ancho x Alto x Largo)</v>
      </c>
      <c r="AH891" s="97" t="str">
        <f>IFERROR(__xludf.DUMMYFUNCTION("""COMPUTED_VALUE"""),"N/A")</f>
        <v>N/A</v>
      </c>
      <c r="AI891" s="97" t="str">
        <f>IFERROR(__xludf.DUMMYFUNCTION("""COMPUTED_VALUE"""),"N/A")</f>
        <v>N/A</v>
      </c>
      <c r="AJ891" s="97" t="str">
        <f>IFERROR(__xludf.DUMMYFUNCTION("""COMPUTED_VALUE"""),"N/A")</f>
        <v>N/A</v>
      </c>
      <c r="AK891" s="97" t="str">
        <f>IFERROR(__xludf.DUMMYFUNCTION("""COMPUTED_VALUE"""),"Aluminio")</f>
        <v>Aluminio</v>
      </c>
      <c r="AL891" s="97" t="str">
        <f>IFERROR(__xludf.DUMMYFUNCTION("""COMPUTED_VALUE"""),"Blanco Mate")</f>
        <v>Blanco Mate</v>
      </c>
      <c r="AM891" s="97" t="str">
        <f>IFERROR(__xludf.DUMMYFUNCTION("""COMPUTED_VALUE"""),"-")</f>
        <v>-</v>
      </c>
      <c r="AN891" s="97" t="str">
        <f>IFERROR(__xludf.DUMMYFUNCTION("""COMPUTED_VALUE"""),"N/A")</f>
        <v>N/A</v>
      </c>
      <c r="AO891" s="97" t="str">
        <f>IFERROR(__xludf.DUMMYFUNCTION("""COMPUTED_VALUE"""),"3 Años")</f>
        <v>3 Años</v>
      </c>
      <c r="AP891" s="97" t="str">
        <f>IFERROR(__xludf.DUMMYFUNCTION("""COMPUTED_VALUE"""),"No Aplica")</f>
        <v>No Aplica</v>
      </c>
      <c r="AQ891" s="97" t="str">
        <f>IFERROR(__xludf.DUMMYFUNCTION("""COMPUTED_VALUE"""),"No Aplica")</f>
        <v>No Aplica</v>
      </c>
      <c r="AR891" s="97" t="str">
        <f>IFERROR(__xludf.DUMMYFUNCTION("""COMPUTED_VALUE"""),"No Aplica")</f>
        <v>No Aplica</v>
      </c>
      <c r="AS891" s="97"/>
      <c r="AT891" s="97"/>
      <c r="AU891" s="97" t="str">
        <f>IFERROR(__xludf.DUMMYFUNCTION("""COMPUTED_VALUE"""),"Falta")</f>
        <v>Falta</v>
      </c>
      <c r="AV891" s="97" t="str">
        <f>IFERROR(__xludf.DUMMYFUNCTION("""COMPUTED_VALUE"""),"Perfil")</f>
        <v>Perfil</v>
      </c>
      <c r="AW891" s="97" t="str">
        <f>IFERROR(__xludf.DUMMYFUNCTION("""COMPUTED_VALUE"""),"Perfiles")</f>
        <v>Perfiles</v>
      </c>
      <c r="AX891" s="97" t="str">
        <f>IFERROR(__xludf.DUMMYFUNCTION("""COMPUTED_VALUE"""),"Interior")</f>
        <v>Interior</v>
      </c>
      <c r="AY891" s="97" t="str">
        <f>IFERROR(__xludf.DUMMYFUNCTION("""COMPUTED_VALUE"""),"Dyna")</f>
        <v>Dyna</v>
      </c>
      <c r="AZ891" s="97"/>
      <c r="BA891" s="97">
        <f>IFERROR(__xludf.DUMMYFUNCTION("""COMPUTED_VALUE"""),12.0)</f>
        <v>12</v>
      </c>
      <c r="BB891" s="97" t="str">
        <f>IFERROR(__xludf.DUMMYFUNCTION("""COMPUTED_VALUE"""),"-")</f>
        <v>-</v>
      </c>
      <c r="BC891" s="97" t="str">
        <f>IFERROR(__xludf.DUMMYFUNCTION("""COMPUTED_VALUE"""),"-")</f>
        <v>-</v>
      </c>
      <c r="BD891" s="97" t="str">
        <f>IFERROR(__xludf.DUMMYFUNCTION("""COMPUTED_VALUE"""),"DYNA VACIO")</f>
        <v>DYNA VACIO</v>
      </c>
      <c r="BE891" s="97" t="str">
        <f>IFERROR(__xludf.DUMMYFUNCTION("""COMPUTED_VALUE"""),"Actualizar")</f>
        <v>Actualizar</v>
      </c>
      <c r="BF891" s="97"/>
      <c r="BG891" s="97" t="str">
        <f>IFERROR(__xludf.DUMMYFUNCTION("""COMPUTED_VALUE"""),"En Salida")</f>
        <v>En Salida</v>
      </c>
    </row>
    <row r="892">
      <c r="A892" s="97">
        <f>IFERROR(__xludf.DUMMYFUNCTION("""COMPUTED_VALUE"""),6665.0)</f>
        <v>6665</v>
      </c>
      <c r="B892" s="97" t="str">
        <f>IFERROR(__xludf.DUMMYFUNCTION("""COMPUTED_VALUE"""),"DYNA PERFIL 1MT NG")</f>
        <v>DYNA PERFIL 1MT NG</v>
      </c>
      <c r="C892" s="97" t="str">
        <f>IFERROR(__xludf.DUMMYFUNCTION("""COMPUTED_VALUE"""),"PERFIL DYNA PERFIL 1MT NG LEUK")</f>
        <v>PERFIL DYNA PERFIL 1MT NG LEUK</v>
      </c>
      <c r="D892" s="97">
        <f>IFERROR(__xludf.DUMMYFUNCTION("""COMPUTED_VALUE"""),7.798413221633E12)</f>
        <v>7798413221633</v>
      </c>
      <c r="E892" s="97" t="str">
        <f>IFERROR(__xludf.DUMMYFUNCTION("""COMPUTED_VALUE"""),"N/A")</f>
        <v>N/A</v>
      </c>
      <c r="F892" s="97" t="str">
        <f>IFERROR(__xludf.DUMMYFUNCTION("""COMPUTED_VALUE"""),"N/A")</f>
        <v>N/A</v>
      </c>
      <c r="G892" s="97" t="str">
        <f>IFERROR(__xludf.DUMMYFUNCTION("""COMPUTED_VALUE"""),"N/A")</f>
        <v>N/A</v>
      </c>
      <c r="H892" s="97" t="str">
        <f>IFERROR(__xludf.DUMMYFUNCTION("""COMPUTED_VALUE"""),"N/A")</f>
        <v>N/A</v>
      </c>
      <c r="I892" s="97" t="str">
        <f>IFERROR(__xludf.DUMMYFUNCTION("""COMPUTED_VALUE"""),"N/A")</f>
        <v>N/A</v>
      </c>
      <c r="J892" s="97" t="str">
        <f>IFERROR(__xludf.DUMMYFUNCTION("""COMPUTED_VALUE"""),"N/A")</f>
        <v>N/A</v>
      </c>
      <c r="K892" s="97" t="str">
        <f>IFERROR(__xludf.DUMMYFUNCTION("""COMPUTED_VALUE"""),"N/A")</f>
        <v>N/A</v>
      </c>
      <c r="L892" s="97" t="str">
        <f>IFERROR(__xludf.DUMMYFUNCTION("""COMPUTED_VALUE"""),"N/A")</f>
        <v>N/A</v>
      </c>
      <c r="M892" s="97" t="str">
        <f>IFERROR(__xludf.DUMMYFUNCTION("""COMPUTED_VALUE"""),"N/A")</f>
        <v>N/A</v>
      </c>
      <c r="N892" s="97"/>
      <c r="O892" s="97" t="str">
        <f>IFERROR(__xludf.DUMMYFUNCTION("""COMPUTED_VALUE"""),"-")</f>
        <v>-</v>
      </c>
      <c r="P892" s="97"/>
      <c r="Q892" s="97" t="str">
        <f>IFERROR(__xludf.DUMMYFUNCTION("""COMPUTED_VALUE"""),"-")</f>
        <v>-</v>
      </c>
      <c r="R892" s="97" t="str">
        <f>IFERROR(__xludf.DUMMYFUNCTION("""COMPUTED_VALUE"""),"-")</f>
        <v>-</v>
      </c>
      <c r="S892" s="97" t="str">
        <f>IFERROR(__xludf.DUMMYFUNCTION("""COMPUTED_VALUE"""),"-")</f>
        <v>-</v>
      </c>
      <c r="T892" s="97" t="str">
        <f>IFERROR(__xludf.DUMMYFUNCTION("""COMPUTED_VALUE"""),"-")</f>
        <v>-</v>
      </c>
      <c r="U892" s="97" t="str">
        <f>IFERROR(__xludf.DUMMYFUNCTION("""COMPUTED_VALUE"""),"-")</f>
        <v>-</v>
      </c>
      <c r="V892" s="97" t="str">
        <f>IFERROR(__xludf.DUMMYFUNCTION("""COMPUTED_VALUE"""),"N/A")</f>
        <v>N/A</v>
      </c>
      <c r="W892" s="97" t="str">
        <f>IFERROR(__xludf.DUMMYFUNCTION("""COMPUTED_VALUE"""),"N/A")</f>
        <v>N/A</v>
      </c>
      <c r="X892" s="97" t="str">
        <f>IFERROR(__xludf.DUMMYFUNCTION("""COMPUTED_VALUE"""),"-")</f>
        <v>-</v>
      </c>
      <c r="Y892" s="97" t="str">
        <f>IFERROR(__xludf.DUMMYFUNCTION("""COMPUTED_VALUE"""),"N/A")</f>
        <v>N/A</v>
      </c>
      <c r="Z892" s="97" t="str">
        <f>IFERROR(__xludf.DUMMYFUNCTION("""COMPUTED_VALUE"""),"N/A")</f>
        <v>N/A</v>
      </c>
      <c r="AA892" s="97" t="str">
        <f>IFERROR(__xludf.DUMMYFUNCTION("""COMPUTED_VALUE"""),"N/A")</f>
        <v>N/A</v>
      </c>
      <c r="AB892" s="97" t="str">
        <f>IFERROR(__xludf.DUMMYFUNCTION("""COMPUTED_VALUE"""),"N/A")</f>
        <v>N/A</v>
      </c>
      <c r="AC892" s="97" t="str">
        <f>IFERROR(__xludf.DUMMYFUNCTION("""COMPUTED_VALUE"""),"N/A")</f>
        <v>N/A</v>
      </c>
      <c r="AD892" s="97" t="str">
        <f>IFERROR(__xludf.DUMMYFUNCTION("""COMPUTED_VALUE"""),"IP20")</f>
        <v>IP20</v>
      </c>
      <c r="AE892" s="97" t="str">
        <f>IFERROR(__xludf.DUMMYFUNCTION("""COMPUTED_VALUE"""),"N/A")</f>
        <v>N/A</v>
      </c>
      <c r="AF892" s="97" t="str">
        <f>IFERROR(__xludf.DUMMYFUNCTION("""COMPUTED_VALUE"""),"Embutir, Aplicar, Suspender")</f>
        <v>Embutir, Aplicar, Suspender</v>
      </c>
      <c r="AG892" s="97" t="str">
        <f>IFERROR(__xludf.DUMMYFUNCTION("""COMPUTED_VALUE"""),"33 x 60 x 1000 (Ancho x Alto x Largo)")</f>
        <v>33 x 60 x 1000 (Ancho x Alto x Largo)</v>
      </c>
      <c r="AH892" s="97" t="str">
        <f>IFERROR(__xludf.DUMMYFUNCTION("""COMPUTED_VALUE"""),"N/A")</f>
        <v>N/A</v>
      </c>
      <c r="AI892" s="97" t="str">
        <f>IFERROR(__xludf.DUMMYFUNCTION("""COMPUTED_VALUE"""),"N/A")</f>
        <v>N/A</v>
      </c>
      <c r="AJ892" s="97" t="str">
        <f>IFERROR(__xludf.DUMMYFUNCTION("""COMPUTED_VALUE"""),"N/A")</f>
        <v>N/A</v>
      </c>
      <c r="AK892" s="97" t="str">
        <f>IFERROR(__xludf.DUMMYFUNCTION("""COMPUTED_VALUE"""),"Aluminio")</f>
        <v>Aluminio</v>
      </c>
      <c r="AL892" s="97" t="str">
        <f>IFERROR(__xludf.DUMMYFUNCTION("""COMPUTED_VALUE"""),"Negro Mate")</f>
        <v>Negro Mate</v>
      </c>
      <c r="AM892" s="97" t="str">
        <f>IFERROR(__xludf.DUMMYFUNCTION("""COMPUTED_VALUE"""),"-")</f>
        <v>-</v>
      </c>
      <c r="AN892" s="97" t="str">
        <f>IFERROR(__xludf.DUMMYFUNCTION("""COMPUTED_VALUE"""),"N/A")</f>
        <v>N/A</v>
      </c>
      <c r="AO892" s="97" t="str">
        <f>IFERROR(__xludf.DUMMYFUNCTION("""COMPUTED_VALUE"""),"3 Años")</f>
        <v>3 Años</v>
      </c>
      <c r="AP892" s="97" t="str">
        <f>IFERROR(__xludf.DUMMYFUNCTION("""COMPUTED_VALUE"""),"No Aplica")</f>
        <v>No Aplica</v>
      </c>
      <c r="AQ892" s="97" t="str">
        <f>IFERROR(__xludf.DUMMYFUNCTION("""COMPUTED_VALUE"""),"No Aplica")</f>
        <v>No Aplica</v>
      </c>
      <c r="AR892" s="97" t="str">
        <f>IFERROR(__xludf.DUMMYFUNCTION("""COMPUTED_VALUE"""),"No Aplica")</f>
        <v>No Aplica</v>
      </c>
      <c r="AS892" s="97"/>
      <c r="AT892" s="97"/>
      <c r="AU892" s="97" t="str">
        <f>IFERROR(__xludf.DUMMYFUNCTION("""COMPUTED_VALUE"""),"Falta")</f>
        <v>Falta</v>
      </c>
      <c r="AV892" s="97" t="str">
        <f>IFERROR(__xludf.DUMMYFUNCTION("""COMPUTED_VALUE"""),"Perfil")</f>
        <v>Perfil</v>
      </c>
      <c r="AW892" s="97" t="str">
        <f>IFERROR(__xludf.DUMMYFUNCTION("""COMPUTED_VALUE"""),"Perfiles")</f>
        <v>Perfiles</v>
      </c>
      <c r="AX892" s="97" t="str">
        <f>IFERROR(__xludf.DUMMYFUNCTION("""COMPUTED_VALUE"""),"Interior")</f>
        <v>Interior</v>
      </c>
      <c r="AY892" s="97" t="str">
        <f>IFERROR(__xludf.DUMMYFUNCTION("""COMPUTED_VALUE"""),"Dyna")</f>
        <v>Dyna</v>
      </c>
      <c r="AZ892" s="97"/>
      <c r="BA892" s="97">
        <f>IFERROR(__xludf.DUMMYFUNCTION("""COMPUTED_VALUE"""),12.0)</f>
        <v>12</v>
      </c>
      <c r="BB892" s="97" t="str">
        <f>IFERROR(__xludf.DUMMYFUNCTION("""COMPUTED_VALUE"""),"-")</f>
        <v>-</v>
      </c>
      <c r="BC892" s="97" t="str">
        <f>IFERROR(__xludf.DUMMYFUNCTION("""COMPUTED_VALUE"""),"-")</f>
        <v>-</v>
      </c>
      <c r="BD892" s="97" t="str">
        <f>IFERROR(__xludf.DUMMYFUNCTION("""COMPUTED_VALUE"""),"DYNA VACIO")</f>
        <v>DYNA VACIO</v>
      </c>
      <c r="BE892" s="97" t="str">
        <f>IFERROR(__xludf.DUMMYFUNCTION("""COMPUTED_VALUE"""),"Actualizar")</f>
        <v>Actualizar</v>
      </c>
      <c r="BF892" s="97"/>
      <c r="BG892" s="97" t="str">
        <f>IFERROR(__xludf.DUMMYFUNCTION("""COMPUTED_VALUE"""),"En Salida")</f>
        <v>En Salida</v>
      </c>
    </row>
    <row r="893">
      <c r="A893" s="97">
        <f>IFERROR(__xludf.DUMMYFUNCTION("""COMPUTED_VALUE"""),6666.0)</f>
        <v>6666</v>
      </c>
      <c r="B893" s="97" t="str">
        <f>IFERROR(__xludf.DUMMYFUNCTION("""COMPUTED_VALUE"""),"DYNA DISIPADOR 1MT")</f>
        <v>DYNA DISIPADOR 1MT</v>
      </c>
      <c r="C893" s="97" t="str">
        <f>IFERROR(__xludf.DUMMYFUNCTION("""COMPUTED_VALUE"""),"ACCESORIO DYNA DISIPADOR 1MT LEUK")</f>
        <v>ACCESORIO DYNA DISIPADOR 1MT LEUK</v>
      </c>
      <c r="D893" s="97">
        <f>IFERROR(__xludf.DUMMYFUNCTION("""COMPUTED_VALUE"""),7.79841322164E12)</f>
        <v>7798413221640</v>
      </c>
      <c r="E893" s="97" t="str">
        <f>IFERROR(__xludf.DUMMYFUNCTION("""COMPUTED_VALUE"""),"N/A")</f>
        <v>N/A</v>
      </c>
      <c r="F893" s="97" t="str">
        <f>IFERROR(__xludf.DUMMYFUNCTION("""COMPUTED_VALUE"""),"N/A")</f>
        <v>N/A</v>
      </c>
      <c r="G893" s="97" t="str">
        <f>IFERROR(__xludf.DUMMYFUNCTION("""COMPUTED_VALUE"""),"N/A")</f>
        <v>N/A</v>
      </c>
      <c r="H893" s="97" t="str">
        <f>IFERROR(__xludf.DUMMYFUNCTION("""COMPUTED_VALUE"""),"N/A")</f>
        <v>N/A</v>
      </c>
      <c r="I893" s="97" t="str">
        <f>IFERROR(__xludf.DUMMYFUNCTION("""COMPUTED_VALUE"""),"N/A")</f>
        <v>N/A</v>
      </c>
      <c r="J893" s="97" t="str">
        <f>IFERROR(__xludf.DUMMYFUNCTION("""COMPUTED_VALUE"""),"N/A")</f>
        <v>N/A</v>
      </c>
      <c r="K893" s="97" t="str">
        <f>IFERROR(__xludf.DUMMYFUNCTION("""COMPUTED_VALUE"""),"N/A")</f>
        <v>N/A</v>
      </c>
      <c r="L893" s="97" t="str">
        <f>IFERROR(__xludf.DUMMYFUNCTION("""COMPUTED_VALUE"""),"N/A")</f>
        <v>N/A</v>
      </c>
      <c r="M893" s="97" t="str">
        <f>IFERROR(__xludf.DUMMYFUNCTION("""COMPUTED_VALUE"""),"N/A")</f>
        <v>N/A</v>
      </c>
      <c r="N893" s="97"/>
      <c r="O893" s="97" t="str">
        <f>IFERROR(__xludf.DUMMYFUNCTION("""COMPUTED_VALUE"""),"-")</f>
        <v>-</v>
      </c>
      <c r="P893" s="97"/>
      <c r="Q893" s="97" t="str">
        <f>IFERROR(__xludf.DUMMYFUNCTION("""COMPUTED_VALUE"""),"-")</f>
        <v>-</v>
      </c>
      <c r="R893" s="97" t="str">
        <f>IFERROR(__xludf.DUMMYFUNCTION("""COMPUTED_VALUE"""),"-")</f>
        <v>-</v>
      </c>
      <c r="S893" s="97" t="str">
        <f>IFERROR(__xludf.DUMMYFUNCTION("""COMPUTED_VALUE"""),"-")</f>
        <v>-</v>
      </c>
      <c r="T893" s="97" t="str">
        <f>IFERROR(__xludf.DUMMYFUNCTION("""COMPUTED_VALUE"""),"-")</f>
        <v>-</v>
      </c>
      <c r="U893" s="97" t="str">
        <f>IFERROR(__xludf.DUMMYFUNCTION("""COMPUTED_VALUE"""),"-")</f>
        <v>-</v>
      </c>
      <c r="V893" s="97" t="str">
        <f>IFERROR(__xludf.DUMMYFUNCTION("""COMPUTED_VALUE"""),"N/A")</f>
        <v>N/A</v>
      </c>
      <c r="W893" s="97" t="str">
        <f>IFERROR(__xludf.DUMMYFUNCTION("""COMPUTED_VALUE"""),"N/A")</f>
        <v>N/A</v>
      </c>
      <c r="X893" s="97" t="str">
        <f>IFERROR(__xludf.DUMMYFUNCTION("""COMPUTED_VALUE"""),"-")</f>
        <v>-</v>
      </c>
      <c r="Y893" s="97" t="str">
        <f>IFERROR(__xludf.DUMMYFUNCTION("""COMPUTED_VALUE"""),"N/A")</f>
        <v>N/A</v>
      </c>
      <c r="Z893" s="97" t="str">
        <f>IFERROR(__xludf.DUMMYFUNCTION("""COMPUTED_VALUE"""),"N/A")</f>
        <v>N/A</v>
      </c>
      <c r="AA893" s="97" t="str">
        <f>IFERROR(__xludf.DUMMYFUNCTION("""COMPUTED_VALUE"""),"N/A")</f>
        <v>N/A</v>
      </c>
      <c r="AB893" s="97" t="str">
        <f>IFERROR(__xludf.DUMMYFUNCTION("""COMPUTED_VALUE"""),"N/A")</f>
        <v>N/A</v>
      </c>
      <c r="AC893" s="97" t="str">
        <f>IFERROR(__xludf.DUMMYFUNCTION("""COMPUTED_VALUE"""),"N/A")</f>
        <v>N/A</v>
      </c>
      <c r="AD893" s="97" t="str">
        <f>IFERROR(__xludf.DUMMYFUNCTION("""COMPUTED_VALUE"""),"N/A")</f>
        <v>N/A</v>
      </c>
      <c r="AE893" s="97" t="str">
        <f>IFERROR(__xludf.DUMMYFUNCTION("""COMPUTED_VALUE"""),"N/A")</f>
        <v>N/A</v>
      </c>
      <c r="AF893" s="97" t="str">
        <f>IFERROR(__xludf.DUMMYFUNCTION("""COMPUTED_VALUE"""),"N/A")</f>
        <v>N/A</v>
      </c>
      <c r="AG893" s="97" t="str">
        <f>IFERROR(__xludf.DUMMYFUNCTION("""COMPUTED_VALUE"""),"33 x 60 x 1000 (Ancho x Alto x Largo)")</f>
        <v>33 x 60 x 1000 (Ancho x Alto x Largo)</v>
      </c>
      <c r="AH893" s="97" t="str">
        <f>IFERROR(__xludf.DUMMYFUNCTION("""COMPUTED_VALUE"""),"N/A")</f>
        <v>N/A</v>
      </c>
      <c r="AI893" s="97" t="str">
        <f>IFERROR(__xludf.DUMMYFUNCTION("""COMPUTED_VALUE"""),"N/A")</f>
        <v>N/A</v>
      </c>
      <c r="AJ893" s="97" t="str">
        <f>IFERROR(__xludf.DUMMYFUNCTION("""COMPUTED_VALUE"""),"N/A")</f>
        <v>N/A</v>
      </c>
      <c r="AK893" s="97" t="str">
        <f>IFERROR(__xludf.DUMMYFUNCTION("""COMPUTED_VALUE"""),"Aluminio")</f>
        <v>Aluminio</v>
      </c>
      <c r="AL893" s="97" t="str">
        <f>IFERROR(__xludf.DUMMYFUNCTION("""COMPUTED_VALUE"""),"Blanco Mate")</f>
        <v>Blanco Mate</v>
      </c>
      <c r="AM893" s="97" t="str">
        <f>IFERROR(__xludf.DUMMYFUNCTION("""COMPUTED_VALUE"""),"-")</f>
        <v>-</v>
      </c>
      <c r="AN893" s="97" t="str">
        <f>IFERROR(__xludf.DUMMYFUNCTION("""COMPUTED_VALUE"""),"N/A")</f>
        <v>N/A</v>
      </c>
      <c r="AO893" s="97" t="str">
        <f>IFERROR(__xludf.DUMMYFUNCTION("""COMPUTED_VALUE"""),"3 Años")</f>
        <v>3 Años</v>
      </c>
      <c r="AP893" s="97" t="str">
        <f>IFERROR(__xludf.DUMMYFUNCTION("""COMPUTED_VALUE"""),"No Aplica")</f>
        <v>No Aplica</v>
      </c>
      <c r="AQ893" s="97" t="str">
        <f>IFERROR(__xludf.DUMMYFUNCTION("""COMPUTED_VALUE"""),"No Aplica")</f>
        <v>No Aplica</v>
      </c>
      <c r="AR893" s="97" t="str">
        <f>IFERROR(__xludf.DUMMYFUNCTION("""COMPUTED_VALUE"""),"No Aplica")</f>
        <v>No Aplica</v>
      </c>
      <c r="AS893" s="97"/>
      <c r="AT893" s="97"/>
      <c r="AU893" s="97" t="str">
        <f>IFERROR(__xludf.DUMMYFUNCTION("""COMPUTED_VALUE"""),"Falta")</f>
        <v>Falta</v>
      </c>
      <c r="AV893" s="97" t="str">
        <f>IFERROR(__xludf.DUMMYFUNCTION("""COMPUTED_VALUE"""),"Accesorio")</f>
        <v>Accesorio</v>
      </c>
      <c r="AW893" s="97" t="str">
        <f>IFERROR(__xludf.DUMMYFUNCTION("""COMPUTED_VALUE"""),"Perfiles")</f>
        <v>Perfiles</v>
      </c>
      <c r="AX893" s="97" t="str">
        <f>IFERROR(__xludf.DUMMYFUNCTION("""COMPUTED_VALUE"""),"Interior")</f>
        <v>Interior</v>
      </c>
      <c r="AY893" s="97" t="str">
        <f>IFERROR(__xludf.DUMMYFUNCTION("""COMPUTED_VALUE"""),"Dyna")</f>
        <v>Dyna</v>
      </c>
      <c r="AZ893" s="97"/>
      <c r="BA893" s="97">
        <f>IFERROR(__xludf.DUMMYFUNCTION("""COMPUTED_VALUE"""),50.0)</f>
        <v>50</v>
      </c>
      <c r="BB893" s="97" t="str">
        <f>IFERROR(__xludf.DUMMYFUNCTION("""COMPUTED_VALUE"""),"-")</f>
        <v>-</v>
      </c>
      <c r="BC893" s="97" t="str">
        <f>IFERROR(__xludf.DUMMYFUNCTION("""COMPUTED_VALUE"""),"-")</f>
        <v>-</v>
      </c>
      <c r="BD893" s="97" t="str">
        <f>IFERROR(__xludf.DUMMYFUNCTION("""COMPUTED_VALUE"""),"DYNA VACIO")</f>
        <v>DYNA VACIO</v>
      </c>
      <c r="BE893" s="97" t="str">
        <f>IFERROR(__xludf.DUMMYFUNCTION("""COMPUTED_VALUE"""),"Finalizada")</f>
        <v>Finalizada</v>
      </c>
      <c r="BF893" s="97"/>
      <c r="BG893" s="97" t="str">
        <f>IFERROR(__xludf.DUMMYFUNCTION("""COMPUTED_VALUE"""),"En Salida")</f>
        <v>En Salida</v>
      </c>
    </row>
    <row r="894">
      <c r="A894" s="97">
        <f>IFERROR(__xludf.DUMMYFUNCTION("""COMPUTED_VALUE"""),6667.0)</f>
        <v>6667</v>
      </c>
      <c r="B894" s="97" t="str">
        <f>IFERROR(__xludf.DUMMYFUNCTION("""COMPUTED_VALUE"""),"DYNA DIFUSOR 1MT")</f>
        <v>DYNA DIFUSOR 1MT</v>
      </c>
      <c r="C894" s="97" t="str">
        <f>IFERROR(__xludf.DUMMYFUNCTION("""COMPUTED_VALUE"""),"ACCESORIO DYNA DIFUSOR 1MT LEUK")</f>
        <v>ACCESORIO DYNA DIFUSOR 1MT LEUK</v>
      </c>
      <c r="D894" s="97">
        <f>IFERROR(__xludf.DUMMYFUNCTION("""COMPUTED_VALUE"""),7.798413221657E12)</f>
        <v>7798413221657</v>
      </c>
      <c r="E894" s="97" t="str">
        <f>IFERROR(__xludf.DUMMYFUNCTION("""COMPUTED_VALUE"""),"N/A")</f>
        <v>N/A</v>
      </c>
      <c r="F894" s="97" t="str">
        <f>IFERROR(__xludf.DUMMYFUNCTION("""COMPUTED_VALUE"""),"N/A")</f>
        <v>N/A</v>
      </c>
      <c r="G894" s="97" t="str">
        <f>IFERROR(__xludf.DUMMYFUNCTION("""COMPUTED_VALUE"""),"N/A")</f>
        <v>N/A</v>
      </c>
      <c r="H894" s="97" t="str">
        <f>IFERROR(__xludf.DUMMYFUNCTION("""COMPUTED_VALUE"""),"N/A")</f>
        <v>N/A</v>
      </c>
      <c r="I894" s="97" t="str">
        <f>IFERROR(__xludf.DUMMYFUNCTION("""COMPUTED_VALUE"""),"N/A")</f>
        <v>N/A</v>
      </c>
      <c r="J894" s="97" t="str">
        <f>IFERROR(__xludf.DUMMYFUNCTION("""COMPUTED_VALUE"""),"N/A")</f>
        <v>N/A</v>
      </c>
      <c r="K894" s="97" t="str">
        <f>IFERROR(__xludf.DUMMYFUNCTION("""COMPUTED_VALUE"""),"N/A")</f>
        <v>N/A</v>
      </c>
      <c r="L894" s="97" t="str">
        <f>IFERROR(__xludf.DUMMYFUNCTION("""COMPUTED_VALUE"""),"N/A")</f>
        <v>N/A</v>
      </c>
      <c r="M894" s="97" t="str">
        <f>IFERROR(__xludf.DUMMYFUNCTION("""COMPUTED_VALUE"""),"N/A")</f>
        <v>N/A</v>
      </c>
      <c r="N894" s="97"/>
      <c r="O894" s="97" t="str">
        <f>IFERROR(__xludf.DUMMYFUNCTION("""COMPUTED_VALUE"""),"-")</f>
        <v>-</v>
      </c>
      <c r="P894" s="97"/>
      <c r="Q894" s="97" t="str">
        <f>IFERROR(__xludf.DUMMYFUNCTION("""COMPUTED_VALUE"""),"-")</f>
        <v>-</v>
      </c>
      <c r="R894" s="97" t="str">
        <f>IFERROR(__xludf.DUMMYFUNCTION("""COMPUTED_VALUE"""),"-")</f>
        <v>-</v>
      </c>
      <c r="S894" s="97" t="str">
        <f>IFERROR(__xludf.DUMMYFUNCTION("""COMPUTED_VALUE"""),"-")</f>
        <v>-</v>
      </c>
      <c r="T894" s="97" t="str">
        <f>IFERROR(__xludf.DUMMYFUNCTION("""COMPUTED_VALUE"""),"-")</f>
        <v>-</v>
      </c>
      <c r="U894" s="97" t="str">
        <f>IFERROR(__xludf.DUMMYFUNCTION("""COMPUTED_VALUE"""),"-")</f>
        <v>-</v>
      </c>
      <c r="V894" s="97" t="str">
        <f>IFERROR(__xludf.DUMMYFUNCTION("""COMPUTED_VALUE"""),"N/A")</f>
        <v>N/A</v>
      </c>
      <c r="W894" s="97" t="str">
        <f>IFERROR(__xludf.DUMMYFUNCTION("""COMPUTED_VALUE"""),"N/A")</f>
        <v>N/A</v>
      </c>
      <c r="X894" s="97" t="str">
        <f>IFERROR(__xludf.DUMMYFUNCTION("""COMPUTED_VALUE"""),"-")</f>
        <v>-</v>
      </c>
      <c r="Y894" s="97" t="str">
        <f>IFERROR(__xludf.DUMMYFUNCTION("""COMPUTED_VALUE"""),"N/A")</f>
        <v>N/A</v>
      </c>
      <c r="Z894" s="97" t="str">
        <f>IFERROR(__xludf.DUMMYFUNCTION("""COMPUTED_VALUE"""),"N/A")</f>
        <v>N/A</v>
      </c>
      <c r="AA894" s="97" t="str">
        <f>IFERROR(__xludf.DUMMYFUNCTION("""COMPUTED_VALUE"""),"N/A")</f>
        <v>N/A</v>
      </c>
      <c r="AB894" s="97" t="str">
        <f>IFERROR(__xludf.DUMMYFUNCTION("""COMPUTED_VALUE"""),"N/A")</f>
        <v>N/A</v>
      </c>
      <c r="AC894" s="97" t="str">
        <f>IFERROR(__xludf.DUMMYFUNCTION("""COMPUTED_VALUE"""),"N/A")</f>
        <v>N/A</v>
      </c>
      <c r="AD894" s="97" t="str">
        <f>IFERROR(__xludf.DUMMYFUNCTION("""COMPUTED_VALUE"""),"N/A")</f>
        <v>N/A</v>
      </c>
      <c r="AE894" s="97" t="str">
        <f>IFERROR(__xludf.DUMMYFUNCTION("""COMPUTED_VALUE"""),"N/A")</f>
        <v>N/A</v>
      </c>
      <c r="AF894" s="97" t="str">
        <f>IFERROR(__xludf.DUMMYFUNCTION("""COMPUTED_VALUE"""),"N/A")</f>
        <v>N/A</v>
      </c>
      <c r="AG894" s="97" t="str">
        <f>IFERROR(__xludf.DUMMYFUNCTION("""COMPUTED_VALUE"""),"31 x 6 x 1000 (Ancho x Alto x Largo)")</f>
        <v>31 x 6 x 1000 (Ancho x Alto x Largo)</v>
      </c>
      <c r="AH894" s="97" t="str">
        <f>IFERROR(__xludf.DUMMYFUNCTION("""COMPUTED_VALUE"""),"N/A")</f>
        <v>N/A</v>
      </c>
      <c r="AI894" s="97" t="str">
        <f>IFERROR(__xludf.DUMMYFUNCTION("""COMPUTED_VALUE"""),"N/A")</f>
        <v>N/A</v>
      </c>
      <c r="AJ894" s="97" t="str">
        <f>IFERROR(__xludf.DUMMYFUNCTION("""COMPUTED_VALUE"""),"N/A")</f>
        <v>N/A</v>
      </c>
      <c r="AK894" s="97" t="str">
        <f>IFERROR(__xludf.DUMMYFUNCTION("""COMPUTED_VALUE"""),"Policarbonato (PC)")</f>
        <v>Policarbonato (PC)</v>
      </c>
      <c r="AL894" s="97" t="str">
        <f>IFERROR(__xludf.DUMMYFUNCTION("""COMPUTED_VALUE"""),"Natural")</f>
        <v>Natural</v>
      </c>
      <c r="AM894" s="97" t="str">
        <f>IFERROR(__xludf.DUMMYFUNCTION("""COMPUTED_VALUE"""),"-")</f>
        <v>-</v>
      </c>
      <c r="AN894" s="97" t="str">
        <f>IFERROR(__xludf.DUMMYFUNCTION("""COMPUTED_VALUE"""),"N/A")</f>
        <v>N/A</v>
      </c>
      <c r="AO894" s="97" t="str">
        <f>IFERROR(__xludf.DUMMYFUNCTION("""COMPUTED_VALUE"""),"3 Años")</f>
        <v>3 Años</v>
      </c>
      <c r="AP894" s="97" t="str">
        <f>IFERROR(__xludf.DUMMYFUNCTION("""COMPUTED_VALUE"""),"No Aplica")</f>
        <v>No Aplica</v>
      </c>
      <c r="AQ894" s="97" t="str">
        <f>IFERROR(__xludf.DUMMYFUNCTION("""COMPUTED_VALUE"""),"No Aplica")</f>
        <v>No Aplica</v>
      </c>
      <c r="AR894" s="97" t="str">
        <f>IFERROR(__xludf.DUMMYFUNCTION("""COMPUTED_VALUE"""),"No Aplica")</f>
        <v>No Aplica</v>
      </c>
      <c r="AS894" s="97"/>
      <c r="AT894" s="97"/>
      <c r="AU894" s="97" t="str">
        <f>IFERROR(__xludf.DUMMYFUNCTION("""COMPUTED_VALUE"""),"Falta")</f>
        <v>Falta</v>
      </c>
      <c r="AV894" s="97" t="str">
        <f>IFERROR(__xludf.DUMMYFUNCTION("""COMPUTED_VALUE"""),"Accesorio")</f>
        <v>Accesorio</v>
      </c>
      <c r="AW894" s="97" t="str">
        <f>IFERROR(__xludf.DUMMYFUNCTION("""COMPUTED_VALUE"""),"Perfiles")</f>
        <v>Perfiles</v>
      </c>
      <c r="AX894" s="97" t="str">
        <f>IFERROR(__xludf.DUMMYFUNCTION("""COMPUTED_VALUE"""),"Interior")</f>
        <v>Interior</v>
      </c>
      <c r="AY894" s="97" t="str">
        <f>IFERROR(__xludf.DUMMYFUNCTION("""COMPUTED_VALUE"""),"Dyna")</f>
        <v>Dyna</v>
      </c>
      <c r="AZ894" s="97"/>
      <c r="BA894" s="97">
        <f>IFERROR(__xludf.DUMMYFUNCTION("""COMPUTED_VALUE"""),90.0)</f>
        <v>90</v>
      </c>
      <c r="BB894" s="97" t="str">
        <f>IFERROR(__xludf.DUMMYFUNCTION("""COMPUTED_VALUE"""),"-")</f>
        <v>-</v>
      </c>
      <c r="BC894" s="97" t="str">
        <f>IFERROR(__xludf.DUMMYFUNCTION("""COMPUTED_VALUE"""),"-")</f>
        <v>-</v>
      </c>
      <c r="BD894" s="97" t="str">
        <f>IFERROR(__xludf.DUMMYFUNCTION("""COMPUTED_VALUE"""),"DYNA VACIO")</f>
        <v>DYNA VACIO</v>
      </c>
      <c r="BE894" s="97" t="str">
        <f>IFERROR(__xludf.DUMMYFUNCTION("""COMPUTED_VALUE"""),"Finalizada")</f>
        <v>Finalizada</v>
      </c>
      <c r="BF894" s="97"/>
      <c r="BG894" s="97" t="str">
        <f>IFERROR(__xludf.DUMMYFUNCTION("""COMPUTED_VALUE"""),"En Salida")</f>
        <v>En Salida</v>
      </c>
    </row>
    <row r="895">
      <c r="A895" s="97">
        <f>IFERROR(__xludf.DUMMYFUNCTION("""COMPUTED_VALUE"""),6668.0)</f>
        <v>6668</v>
      </c>
      <c r="B895" s="97" t="str">
        <f>IFERROR(__xludf.DUMMYFUNCTION("""COMPUTED_VALUE"""),"KIT EMBUTIR DYNA")</f>
        <v>KIT EMBUTIR DYNA</v>
      </c>
      <c r="C895" s="97" t="str">
        <f>IFERROR(__xludf.DUMMYFUNCTION("""COMPUTED_VALUE"""),"ACCESORIO KIT EMBUTIR DYNA LEUK")</f>
        <v>ACCESORIO KIT EMBUTIR DYNA LEUK</v>
      </c>
      <c r="D895" s="97">
        <f>IFERROR(__xludf.DUMMYFUNCTION("""COMPUTED_VALUE"""),7.798413221688E12)</f>
        <v>7798413221688</v>
      </c>
      <c r="E895" s="97" t="str">
        <f>IFERROR(__xludf.DUMMYFUNCTION("""COMPUTED_VALUE"""),"N/A")</f>
        <v>N/A</v>
      </c>
      <c r="F895" s="97" t="str">
        <f>IFERROR(__xludf.DUMMYFUNCTION("""COMPUTED_VALUE"""),"N/A")</f>
        <v>N/A</v>
      </c>
      <c r="G895" s="97" t="str">
        <f>IFERROR(__xludf.DUMMYFUNCTION("""COMPUTED_VALUE"""),"N/A")</f>
        <v>N/A</v>
      </c>
      <c r="H895" s="97" t="str">
        <f>IFERROR(__xludf.DUMMYFUNCTION("""COMPUTED_VALUE"""),"N/A")</f>
        <v>N/A</v>
      </c>
      <c r="I895" s="97" t="str">
        <f>IFERROR(__xludf.DUMMYFUNCTION("""COMPUTED_VALUE"""),"N/A")</f>
        <v>N/A</v>
      </c>
      <c r="J895" s="97" t="str">
        <f>IFERROR(__xludf.DUMMYFUNCTION("""COMPUTED_VALUE"""),"N/A")</f>
        <v>N/A</v>
      </c>
      <c r="K895" s="97" t="str">
        <f>IFERROR(__xludf.DUMMYFUNCTION("""COMPUTED_VALUE"""),"N/A")</f>
        <v>N/A</v>
      </c>
      <c r="L895" s="97" t="str">
        <f>IFERROR(__xludf.DUMMYFUNCTION("""COMPUTED_VALUE"""),"N/A")</f>
        <v>N/A</v>
      </c>
      <c r="M895" s="97" t="str">
        <f>IFERROR(__xludf.DUMMYFUNCTION("""COMPUTED_VALUE"""),"N/A")</f>
        <v>N/A</v>
      </c>
      <c r="N895" s="97"/>
      <c r="O895" s="97" t="str">
        <f>IFERROR(__xludf.DUMMYFUNCTION("""COMPUTED_VALUE"""),"-")</f>
        <v>-</v>
      </c>
      <c r="P895" s="97"/>
      <c r="Q895" s="97" t="str">
        <f>IFERROR(__xludf.DUMMYFUNCTION("""COMPUTED_VALUE"""),"-")</f>
        <v>-</v>
      </c>
      <c r="R895" s="97" t="str">
        <f>IFERROR(__xludf.DUMMYFUNCTION("""COMPUTED_VALUE"""),"-")</f>
        <v>-</v>
      </c>
      <c r="S895" s="97" t="str">
        <f>IFERROR(__xludf.DUMMYFUNCTION("""COMPUTED_VALUE"""),"-")</f>
        <v>-</v>
      </c>
      <c r="T895" s="97" t="str">
        <f>IFERROR(__xludf.DUMMYFUNCTION("""COMPUTED_VALUE"""),"-")</f>
        <v>-</v>
      </c>
      <c r="U895" s="97" t="str">
        <f>IFERROR(__xludf.DUMMYFUNCTION("""COMPUTED_VALUE"""),"-")</f>
        <v>-</v>
      </c>
      <c r="V895" s="97" t="str">
        <f>IFERROR(__xludf.DUMMYFUNCTION("""COMPUTED_VALUE"""),"N/A")</f>
        <v>N/A</v>
      </c>
      <c r="W895" s="97" t="str">
        <f>IFERROR(__xludf.DUMMYFUNCTION("""COMPUTED_VALUE"""),"N/A")</f>
        <v>N/A</v>
      </c>
      <c r="X895" s="97" t="str">
        <f>IFERROR(__xludf.DUMMYFUNCTION("""COMPUTED_VALUE"""),"-")</f>
        <v>-</v>
      </c>
      <c r="Y895" s="97" t="str">
        <f>IFERROR(__xludf.DUMMYFUNCTION("""COMPUTED_VALUE"""),"N/A")</f>
        <v>N/A</v>
      </c>
      <c r="Z895" s="97" t="str">
        <f>IFERROR(__xludf.DUMMYFUNCTION("""COMPUTED_VALUE"""),"N/A")</f>
        <v>N/A</v>
      </c>
      <c r="AA895" s="97" t="str">
        <f>IFERROR(__xludf.DUMMYFUNCTION("""COMPUTED_VALUE"""),"N/A")</f>
        <v>N/A</v>
      </c>
      <c r="AB895" s="97" t="str">
        <f>IFERROR(__xludf.DUMMYFUNCTION("""COMPUTED_VALUE"""),"N/A")</f>
        <v>N/A</v>
      </c>
      <c r="AC895" s="97" t="str">
        <f>IFERROR(__xludf.DUMMYFUNCTION("""COMPUTED_VALUE"""),"N/A")</f>
        <v>N/A</v>
      </c>
      <c r="AD895" s="97" t="str">
        <f>IFERROR(__xludf.DUMMYFUNCTION("""COMPUTED_VALUE"""),"N/A")</f>
        <v>N/A</v>
      </c>
      <c r="AE895" s="97" t="str">
        <f>IFERROR(__xludf.DUMMYFUNCTION("""COMPUTED_VALUE"""),"N/A")</f>
        <v>N/A</v>
      </c>
      <c r="AF895" s="97" t="str">
        <f>IFERROR(__xludf.DUMMYFUNCTION("""COMPUTED_VALUE"""),"N/A")</f>
        <v>N/A</v>
      </c>
      <c r="AG895" s="97" t="str">
        <f>IFERROR(__xludf.DUMMYFUNCTION("""COMPUTED_VALUE"""),"N/A")</f>
        <v>N/A</v>
      </c>
      <c r="AH895" s="97" t="str">
        <f>IFERROR(__xludf.DUMMYFUNCTION("""COMPUTED_VALUE"""),"N/A")</f>
        <v>N/A</v>
      </c>
      <c r="AI895" s="97">
        <f>IFERROR(__xludf.DUMMYFUNCTION("""COMPUTED_VALUE"""),95.0)</f>
        <v>95</v>
      </c>
      <c r="AJ895" s="97" t="str">
        <f>IFERROR(__xludf.DUMMYFUNCTION("""COMPUTED_VALUE"""),"N/A")</f>
        <v>N/A</v>
      </c>
      <c r="AK895" s="97" t="str">
        <f>IFERROR(__xludf.DUMMYFUNCTION("""COMPUTED_VALUE"""),"Acero")</f>
        <v>Acero</v>
      </c>
      <c r="AL895" s="97" t="str">
        <f>IFERROR(__xludf.DUMMYFUNCTION("""COMPUTED_VALUE"""),"Natural")</f>
        <v>Natural</v>
      </c>
      <c r="AM895" s="97" t="str">
        <f>IFERROR(__xludf.DUMMYFUNCTION("""COMPUTED_VALUE"""),"-")</f>
        <v>-</v>
      </c>
      <c r="AN895" s="97" t="str">
        <f>IFERROR(__xludf.DUMMYFUNCTION("""COMPUTED_VALUE"""),"N/A")</f>
        <v>N/A</v>
      </c>
      <c r="AO895" s="97" t="str">
        <f>IFERROR(__xludf.DUMMYFUNCTION("""COMPUTED_VALUE"""),"3 Años")</f>
        <v>3 Años</v>
      </c>
      <c r="AP895" s="97" t="str">
        <f>IFERROR(__xludf.DUMMYFUNCTION("""COMPUTED_VALUE"""),"No Aplica")</f>
        <v>No Aplica</v>
      </c>
      <c r="AQ895" s="97" t="str">
        <f>IFERROR(__xludf.DUMMYFUNCTION("""COMPUTED_VALUE"""),"No Aplica")</f>
        <v>No Aplica</v>
      </c>
      <c r="AR895" s="97" t="str">
        <f>IFERROR(__xludf.DUMMYFUNCTION("""COMPUTED_VALUE"""),"No Aplica")</f>
        <v>No Aplica</v>
      </c>
      <c r="AS895" s="97"/>
      <c r="AT895" s="97"/>
      <c r="AU895" s="97" t="str">
        <f>IFERROR(__xludf.DUMMYFUNCTION("""COMPUTED_VALUE"""),"Falta")</f>
        <v>Falta</v>
      </c>
      <c r="AV895" s="97" t="str">
        <f>IFERROR(__xludf.DUMMYFUNCTION("""COMPUTED_VALUE"""),"Accesorio")</f>
        <v>Accesorio</v>
      </c>
      <c r="AW895" s="97" t="str">
        <f>IFERROR(__xludf.DUMMYFUNCTION("""COMPUTED_VALUE"""),"Lineales")</f>
        <v>Lineales</v>
      </c>
      <c r="AX895" s="97" t="str">
        <f>IFERROR(__xludf.DUMMYFUNCTION("""COMPUTED_VALUE"""),"Interior")</f>
        <v>Interior</v>
      </c>
      <c r="AY895" s="97" t="str">
        <f>IFERROR(__xludf.DUMMYFUNCTION("""COMPUTED_VALUE"""),"Dyna")</f>
        <v>Dyna</v>
      </c>
      <c r="AZ895" s="97"/>
      <c r="BA895" s="97">
        <f>IFERROR(__xludf.DUMMYFUNCTION("""COMPUTED_VALUE"""),300.0)</f>
        <v>300</v>
      </c>
      <c r="BB895" s="97" t="str">
        <f>IFERROR(__xludf.DUMMYFUNCTION("""COMPUTED_VALUE"""),"-")</f>
        <v>-</v>
      </c>
      <c r="BC895" s="97" t="str">
        <f>IFERROR(__xludf.DUMMYFUNCTION("""COMPUTED_VALUE"""),"-")</f>
        <v>-</v>
      </c>
      <c r="BD895" s="97" t="str">
        <f>IFERROR(__xludf.DUMMYFUNCTION("""COMPUTED_VALUE"""),"DYNA")</f>
        <v>DYNA</v>
      </c>
      <c r="BE895" s="97" t="str">
        <f>IFERROR(__xludf.DUMMYFUNCTION("""COMPUTED_VALUE"""),"Finalizada")</f>
        <v>Finalizada</v>
      </c>
      <c r="BF895" s="97"/>
      <c r="BG895" s="97" t="str">
        <f>IFERROR(__xludf.DUMMYFUNCTION("""COMPUTED_VALUE"""),"Activo")</f>
        <v>Activo</v>
      </c>
    </row>
    <row r="896">
      <c r="A896" s="97">
        <f>IFERROR(__xludf.DUMMYFUNCTION("""COMPUTED_VALUE"""),6669.0)</f>
        <v>6669</v>
      </c>
      <c r="B896" s="97" t="str">
        <f>IFERROR(__xludf.DUMMYFUNCTION("""COMPUTED_VALUE"""),"KIT APLIQUE DYNA")</f>
        <v>KIT APLIQUE DYNA</v>
      </c>
      <c r="C896" s="97" t="str">
        <f>IFERROR(__xludf.DUMMYFUNCTION("""COMPUTED_VALUE"""),"ACCESORIO KIT APLIQUE DYNA LEUK")</f>
        <v>ACCESORIO KIT APLIQUE DYNA LEUK</v>
      </c>
      <c r="D896" s="97">
        <f>IFERROR(__xludf.DUMMYFUNCTION("""COMPUTED_VALUE"""),7.798413221695E12)</f>
        <v>7798413221695</v>
      </c>
      <c r="E896" s="97" t="str">
        <f>IFERROR(__xludf.DUMMYFUNCTION("""COMPUTED_VALUE"""),"N/A")</f>
        <v>N/A</v>
      </c>
      <c r="F896" s="97" t="str">
        <f>IFERROR(__xludf.DUMMYFUNCTION("""COMPUTED_VALUE"""),"N/A")</f>
        <v>N/A</v>
      </c>
      <c r="G896" s="97" t="str">
        <f>IFERROR(__xludf.DUMMYFUNCTION("""COMPUTED_VALUE"""),"N/A")</f>
        <v>N/A</v>
      </c>
      <c r="H896" s="97" t="str">
        <f>IFERROR(__xludf.DUMMYFUNCTION("""COMPUTED_VALUE"""),"N/A")</f>
        <v>N/A</v>
      </c>
      <c r="I896" s="97" t="str">
        <f>IFERROR(__xludf.DUMMYFUNCTION("""COMPUTED_VALUE"""),"N/A")</f>
        <v>N/A</v>
      </c>
      <c r="J896" s="97" t="str">
        <f>IFERROR(__xludf.DUMMYFUNCTION("""COMPUTED_VALUE"""),"N/A")</f>
        <v>N/A</v>
      </c>
      <c r="K896" s="97" t="str">
        <f>IFERROR(__xludf.DUMMYFUNCTION("""COMPUTED_VALUE"""),"N/A")</f>
        <v>N/A</v>
      </c>
      <c r="L896" s="97" t="str">
        <f>IFERROR(__xludf.DUMMYFUNCTION("""COMPUTED_VALUE"""),"N/A")</f>
        <v>N/A</v>
      </c>
      <c r="M896" s="97" t="str">
        <f>IFERROR(__xludf.DUMMYFUNCTION("""COMPUTED_VALUE"""),"N/A")</f>
        <v>N/A</v>
      </c>
      <c r="N896" s="97"/>
      <c r="O896" s="97" t="str">
        <f>IFERROR(__xludf.DUMMYFUNCTION("""COMPUTED_VALUE"""),"-")</f>
        <v>-</v>
      </c>
      <c r="P896" s="97"/>
      <c r="Q896" s="97" t="str">
        <f>IFERROR(__xludf.DUMMYFUNCTION("""COMPUTED_VALUE"""),"-")</f>
        <v>-</v>
      </c>
      <c r="R896" s="97" t="str">
        <f>IFERROR(__xludf.DUMMYFUNCTION("""COMPUTED_VALUE"""),"-")</f>
        <v>-</v>
      </c>
      <c r="S896" s="97" t="str">
        <f>IFERROR(__xludf.DUMMYFUNCTION("""COMPUTED_VALUE"""),"-")</f>
        <v>-</v>
      </c>
      <c r="T896" s="97" t="str">
        <f>IFERROR(__xludf.DUMMYFUNCTION("""COMPUTED_VALUE"""),"-")</f>
        <v>-</v>
      </c>
      <c r="U896" s="97" t="str">
        <f>IFERROR(__xludf.DUMMYFUNCTION("""COMPUTED_VALUE"""),"-")</f>
        <v>-</v>
      </c>
      <c r="V896" s="97" t="str">
        <f>IFERROR(__xludf.DUMMYFUNCTION("""COMPUTED_VALUE"""),"N/A")</f>
        <v>N/A</v>
      </c>
      <c r="W896" s="97" t="str">
        <f>IFERROR(__xludf.DUMMYFUNCTION("""COMPUTED_VALUE"""),"N/A")</f>
        <v>N/A</v>
      </c>
      <c r="X896" s="97" t="str">
        <f>IFERROR(__xludf.DUMMYFUNCTION("""COMPUTED_VALUE"""),"-")</f>
        <v>-</v>
      </c>
      <c r="Y896" s="97" t="str">
        <f>IFERROR(__xludf.DUMMYFUNCTION("""COMPUTED_VALUE"""),"N/A")</f>
        <v>N/A</v>
      </c>
      <c r="Z896" s="97" t="str">
        <f>IFERROR(__xludf.DUMMYFUNCTION("""COMPUTED_VALUE"""),"N/A")</f>
        <v>N/A</v>
      </c>
      <c r="AA896" s="97" t="str">
        <f>IFERROR(__xludf.DUMMYFUNCTION("""COMPUTED_VALUE"""),"N/A")</f>
        <v>N/A</v>
      </c>
      <c r="AB896" s="97" t="str">
        <f>IFERROR(__xludf.DUMMYFUNCTION("""COMPUTED_VALUE"""),"N/A")</f>
        <v>N/A</v>
      </c>
      <c r="AC896" s="97" t="str">
        <f>IFERROR(__xludf.DUMMYFUNCTION("""COMPUTED_VALUE"""),"N/A")</f>
        <v>N/A</v>
      </c>
      <c r="AD896" s="97" t="str">
        <f>IFERROR(__xludf.DUMMYFUNCTION("""COMPUTED_VALUE"""),"N/A")</f>
        <v>N/A</v>
      </c>
      <c r="AE896" s="97" t="str">
        <f>IFERROR(__xludf.DUMMYFUNCTION("""COMPUTED_VALUE"""),"N/A")</f>
        <v>N/A</v>
      </c>
      <c r="AF896" s="97" t="str">
        <f>IFERROR(__xludf.DUMMYFUNCTION("""COMPUTED_VALUE"""),"N/A")</f>
        <v>N/A</v>
      </c>
      <c r="AG896" s="97" t="str">
        <f>IFERROR(__xludf.DUMMYFUNCTION("""COMPUTED_VALUE"""),"N/A")</f>
        <v>N/A</v>
      </c>
      <c r="AH896" s="97" t="str">
        <f>IFERROR(__xludf.DUMMYFUNCTION("""COMPUTED_VALUE"""),"N/A")</f>
        <v>N/A</v>
      </c>
      <c r="AI896" s="97" t="str">
        <f>IFERROR(__xludf.DUMMYFUNCTION("""COMPUTED_VALUE"""),"N/A")</f>
        <v>N/A</v>
      </c>
      <c r="AJ896" s="97" t="str">
        <f>IFERROR(__xludf.DUMMYFUNCTION("""COMPUTED_VALUE"""),"N/A")</f>
        <v>N/A</v>
      </c>
      <c r="AK896" s="97" t="str">
        <f>IFERROR(__xludf.DUMMYFUNCTION("""COMPUTED_VALUE"""),"Acero")</f>
        <v>Acero</v>
      </c>
      <c r="AL896" s="97" t="str">
        <f>IFERROR(__xludf.DUMMYFUNCTION("""COMPUTED_VALUE"""),"Natural")</f>
        <v>Natural</v>
      </c>
      <c r="AM896" s="97" t="str">
        <f>IFERROR(__xludf.DUMMYFUNCTION("""COMPUTED_VALUE"""),"-")</f>
        <v>-</v>
      </c>
      <c r="AN896" s="97" t="str">
        <f>IFERROR(__xludf.DUMMYFUNCTION("""COMPUTED_VALUE"""),"N/A")</f>
        <v>N/A</v>
      </c>
      <c r="AO896" s="97" t="str">
        <f>IFERROR(__xludf.DUMMYFUNCTION("""COMPUTED_VALUE"""),"3 Años")</f>
        <v>3 Años</v>
      </c>
      <c r="AP896" s="97" t="str">
        <f>IFERROR(__xludf.DUMMYFUNCTION("""COMPUTED_VALUE"""),"No Aplica")</f>
        <v>No Aplica</v>
      </c>
      <c r="AQ896" s="97" t="str">
        <f>IFERROR(__xludf.DUMMYFUNCTION("""COMPUTED_VALUE"""),"No Aplica")</f>
        <v>No Aplica</v>
      </c>
      <c r="AR896" s="97" t="str">
        <f>IFERROR(__xludf.DUMMYFUNCTION("""COMPUTED_VALUE"""),"No Aplica")</f>
        <v>No Aplica</v>
      </c>
      <c r="AS896" s="97"/>
      <c r="AT896" s="97"/>
      <c r="AU896" s="97" t="str">
        <f>IFERROR(__xludf.DUMMYFUNCTION("""COMPUTED_VALUE"""),"Falta")</f>
        <v>Falta</v>
      </c>
      <c r="AV896" s="97" t="str">
        <f>IFERROR(__xludf.DUMMYFUNCTION("""COMPUTED_VALUE"""),"Accesorio")</f>
        <v>Accesorio</v>
      </c>
      <c r="AW896" s="97" t="str">
        <f>IFERROR(__xludf.DUMMYFUNCTION("""COMPUTED_VALUE"""),"Lineales")</f>
        <v>Lineales</v>
      </c>
      <c r="AX896" s="97" t="str">
        <f>IFERROR(__xludf.DUMMYFUNCTION("""COMPUTED_VALUE"""),"Interior")</f>
        <v>Interior</v>
      </c>
      <c r="AY896" s="97" t="str">
        <f>IFERROR(__xludf.DUMMYFUNCTION("""COMPUTED_VALUE"""),"Dyna")</f>
        <v>Dyna</v>
      </c>
      <c r="AZ896" s="97"/>
      <c r="BA896" s="97">
        <f>IFERROR(__xludf.DUMMYFUNCTION("""COMPUTED_VALUE"""),1200.0)</f>
        <v>1200</v>
      </c>
      <c r="BB896" s="97" t="str">
        <f>IFERROR(__xludf.DUMMYFUNCTION("""COMPUTED_VALUE"""),"-")</f>
        <v>-</v>
      </c>
      <c r="BC896" s="97" t="str">
        <f>IFERROR(__xludf.DUMMYFUNCTION("""COMPUTED_VALUE"""),"-")</f>
        <v>-</v>
      </c>
      <c r="BD896" s="97" t="str">
        <f>IFERROR(__xludf.DUMMYFUNCTION("""COMPUTED_VALUE"""),"DYNA")</f>
        <v>DYNA</v>
      </c>
      <c r="BE896" s="97" t="str">
        <f>IFERROR(__xludf.DUMMYFUNCTION("""COMPUTED_VALUE"""),"Finalizada")</f>
        <v>Finalizada</v>
      </c>
      <c r="BF896" s="97"/>
      <c r="BG896" s="97" t="str">
        <f>IFERROR(__xludf.DUMMYFUNCTION("""COMPUTED_VALUE"""),"Activo")</f>
        <v>Activo</v>
      </c>
    </row>
    <row r="897">
      <c r="A897" s="97">
        <f>IFERROR(__xludf.DUMMYFUNCTION("""COMPUTED_VALUE"""),6670.0)</f>
        <v>6670</v>
      </c>
      <c r="B897" s="97" t="str">
        <f>IFERROR(__xludf.DUMMYFUNCTION("""COMPUTED_VALUE"""),"KIT UNION DYNA")</f>
        <v>KIT UNION DYNA</v>
      </c>
      <c r="C897" s="97" t="str">
        <f>IFERROR(__xludf.DUMMYFUNCTION("""COMPUTED_VALUE"""),"ACCESORIO KIT UNION DYNA LEUK")</f>
        <v>ACCESORIO KIT UNION DYNA LEUK</v>
      </c>
      <c r="D897" s="97">
        <f>IFERROR(__xludf.DUMMYFUNCTION("""COMPUTED_VALUE"""),7.798413221701E12)</f>
        <v>7798413221701</v>
      </c>
      <c r="E897" s="97" t="str">
        <f>IFERROR(__xludf.DUMMYFUNCTION("""COMPUTED_VALUE"""),"N/A")</f>
        <v>N/A</v>
      </c>
      <c r="F897" s="97" t="str">
        <f>IFERROR(__xludf.DUMMYFUNCTION("""COMPUTED_VALUE"""),"N/A")</f>
        <v>N/A</v>
      </c>
      <c r="G897" s="97" t="str">
        <f>IFERROR(__xludf.DUMMYFUNCTION("""COMPUTED_VALUE"""),"N/A")</f>
        <v>N/A</v>
      </c>
      <c r="H897" s="97" t="str">
        <f>IFERROR(__xludf.DUMMYFUNCTION("""COMPUTED_VALUE"""),"N/A")</f>
        <v>N/A</v>
      </c>
      <c r="I897" s="97" t="str">
        <f>IFERROR(__xludf.DUMMYFUNCTION("""COMPUTED_VALUE"""),"N/A")</f>
        <v>N/A</v>
      </c>
      <c r="J897" s="97" t="str">
        <f>IFERROR(__xludf.DUMMYFUNCTION("""COMPUTED_VALUE"""),"N/A")</f>
        <v>N/A</v>
      </c>
      <c r="K897" s="97" t="str">
        <f>IFERROR(__xludf.DUMMYFUNCTION("""COMPUTED_VALUE"""),"N/A")</f>
        <v>N/A</v>
      </c>
      <c r="L897" s="97" t="str">
        <f>IFERROR(__xludf.DUMMYFUNCTION("""COMPUTED_VALUE"""),"N/A")</f>
        <v>N/A</v>
      </c>
      <c r="M897" s="97" t="str">
        <f>IFERROR(__xludf.DUMMYFUNCTION("""COMPUTED_VALUE"""),"N/A")</f>
        <v>N/A</v>
      </c>
      <c r="N897" s="97"/>
      <c r="O897" s="97" t="str">
        <f>IFERROR(__xludf.DUMMYFUNCTION("""COMPUTED_VALUE"""),"-")</f>
        <v>-</v>
      </c>
      <c r="P897" s="97"/>
      <c r="Q897" s="97" t="str">
        <f>IFERROR(__xludf.DUMMYFUNCTION("""COMPUTED_VALUE"""),"-")</f>
        <v>-</v>
      </c>
      <c r="R897" s="97" t="str">
        <f>IFERROR(__xludf.DUMMYFUNCTION("""COMPUTED_VALUE"""),"-")</f>
        <v>-</v>
      </c>
      <c r="S897" s="97" t="str">
        <f>IFERROR(__xludf.DUMMYFUNCTION("""COMPUTED_VALUE"""),"-")</f>
        <v>-</v>
      </c>
      <c r="T897" s="97" t="str">
        <f>IFERROR(__xludf.DUMMYFUNCTION("""COMPUTED_VALUE"""),"-")</f>
        <v>-</v>
      </c>
      <c r="U897" s="97" t="str">
        <f>IFERROR(__xludf.DUMMYFUNCTION("""COMPUTED_VALUE"""),"-")</f>
        <v>-</v>
      </c>
      <c r="V897" s="97" t="str">
        <f>IFERROR(__xludf.DUMMYFUNCTION("""COMPUTED_VALUE"""),"N/A")</f>
        <v>N/A</v>
      </c>
      <c r="W897" s="97" t="str">
        <f>IFERROR(__xludf.DUMMYFUNCTION("""COMPUTED_VALUE"""),"N/A")</f>
        <v>N/A</v>
      </c>
      <c r="X897" s="97" t="str">
        <f>IFERROR(__xludf.DUMMYFUNCTION("""COMPUTED_VALUE"""),"-")</f>
        <v>-</v>
      </c>
      <c r="Y897" s="97" t="str">
        <f>IFERROR(__xludf.DUMMYFUNCTION("""COMPUTED_VALUE"""),"N/A")</f>
        <v>N/A</v>
      </c>
      <c r="Z897" s="97" t="str">
        <f>IFERROR(__xludf.DUMMYFUNCTION("""COMPUTED_VALUE"""),"N/A")</f>
        <v>N/A</v>
      </c>
      <c r="AA897" s="97" t="str">
        <f>IFERROR(__xludf.DUMMYFUNCTION("""COMPUTED_VALUE"""),"N/A")</f>
        <v>N/A</v>
      </c>
      <c r="AB897" s="97" t="str">
        <f>IFERROR(__xludf.DUMMYFUNCTION("""COMPUTED_VALUE"""),"N/A")</f>
        <v>N/A</v>
      </c>
      <c r="AC897" s="97" t="str">
        <f>IFERROR(__xludf.DUMMYFUNCTION("""COMPUTED_VALUE"""),"N/A")</f>
        <v>N/A</v>
      </c>
      <c r="AD897" s="97" t="str">
        <f>IFERROR(__xludf.DUMMYFUNCTION("""COMPUTED_VALUE"""),"N/A")</f>
        <v>N/A</v>
      </c>
      <c r="AE897" s="97" t="str">
        <f>IFERROR(__xludf.DUMMYFUNCTION("""COMPUTED_VALUE"""),"N/A")</f>
        <v>N/A</v>
      </c>
      <c r="AF897" s="97" t="str">
        <f>IFERROR(__xludf.DUMMYFUNCTION("""COMPUTED_VALUE"""),"N/A")</f>
        <v>N/A</v>
      </c>
      <c r="AG897" s="97" t="str">
        <f>IFERROR(__xludf.DUMMYFUNCTION("""COMPUTED_VALUE"""),"N/A")</f>
        <v>N/A</v>
      </c>
      <c r="AH897" s="97" t="str">
        <f>IFERROR(__xludf.DUMMYFUNCTION("""COMPUTED_VALUE"""),"N/A")</f>
        <v>N/A</v>
      </c>
      <c r="AI897" s="97" t="str">
        <f>IFERROR(__xludf.DUMMYFUNCTION("""COMPUTED_VALUE"""),"N/A")</f>
        <v>N/A</v>
      </c>
      <c r="AJ897" s="97" t="str">
        <f>IFERROR(__xludf.DUMMYFUNCTION("""COMPUTED_VALUE"""),"N/A")</f>
        <v>N/A</v>
      </c>
      <c r="AK897" s="97" t="str">
        <f>IFERROR(__xludf.DUMMYFUNCTION("""COMPUTED_VALUE"""),"Acero")</f>
        <v>Acero</v>
      </c>
      <c r="AL897" s="97" t="str">
        <f>IFERROR(__xludf.DUMMYFUNCTION("""COMPUTED_VALUE"""),"Natural")</f>
        <v>Natural</v>
      </c>
      <c r="AM897" s="97" t="str">
        <f>IFERROR(__xludf.DUMMYFUNCTION("""COMPUTED_VALUE"""),"-")</f>
        <v>-</v>
      </c>
      <c r="AN897" s="97" t="str">
        <f>IFERROR(__xludf.DUMMYFUNCTION("""COMPUTED_VALUE"""),"N/A")</f>
        <v>N/A</v>
      </c>
      <c r="AO897" s="97" t="str">
        <f>IFERROR(__xludf.DUMMYFUNCTION("""COMPUTED_VALUE"""),"3 Años")</f>
        <v>3 Años</v>
      </c>
      <c r="AP897" s="97" t="str">
        <f>IFERROR(__xludf.DUMMYFUNCTION("""COMPUTED_VALUE"""),"No Aplica")</f>
        <v>No Aplica</v>
      </c>
      <c r="AQ897" s="97" t="str">
        <f>IFERROR(__xludf.DUMMYFUNCTION("""COMPUTED_VALUE"""),"No Aplica")</f>
        <v>No Aplica</v>
      </c>
      <c r="AR897" s="97" t="str">
        <f>IFERROR(__xludf.DUMMYFUNCTION("""COMPUTED_VALUE"""),"No Aplica")</f>
        <v>No Aplica</v>
      </c>
      <c r="AS897" s="97"/>
      <c r="AT897" s="97"/>
      <c r="AU897" s="97" t="str">
        <f>IFERROR(__xludf.DUMMYFUNCTION("""COMPUTED_VALUE"""),"Falta")</f>
        <v>Falta</v>
      </c>
      <c r="AV897" s="97" t="str">
        <f>IFERROR(__xludf.DUMMYFUNCTION("""COMPUTED_VALUE"""),"Accesorio")</f>
        <v>Accesorio</v>
      </c>
      <c r="AW897" s="97" t="str">
        <f>IFERROR(__xludf.DUMMYFUNCTION("""COMPUTED_VALUE"""),"Lineales")</f>
        <v>Lineales</v>
      </c>
      <c r="AX897" s="97" t="str">
        <f>IFERROR(__xludf.DUMMYFUNCTION("""COMPUTED_VALUE"""),"Interior")</f>
        <v>Interior</v>
      </c>
      <c r="AY897" s="97" t="str">
        <f>IFERROR(__xludf.DUMMYFUNCTION("""COMPUTED_VALUE"""),"Dyna")</f>
        <v>Dyna</v>
      </c>
      <c r="AZ897" s="97"/>
      <c r="BA897" s="97">
        <f>IFERROR(__xludf.DUMMYFUNCTION("""COMPUTED_VALUE"""),1100.0)</f>
        <v>1100</v>
      </c>
      <c r="BB897" s="97" t="str">
        <f>IFERROR(__xludf.DUMMYFUNCTION("""COMPUTED_VALUE"""),"-")</f>
        <v>-</v>
      </c>
      <c r="BC897" s="97" t="str">
        <f>IFERROR(__xludf.DUMMYFUNCTION("""COMPUTED_VALUE"""),"-")</f>
        <v>-</v>
      </c>
      <c r="BD897" s="97" t="str">
        <f>IFERROR(__xludf.DUMMYFUNCTION("""COMPUTED_VALUE"""),"DYNA")</f>
        <v>DYNA</v>
      </c>
      <c r="BE897" s="97" t="str">
        <f>IFERROR(__xludf.DUMMYFUNCTION("""COMPUTED_VALUE"""),"Finalizada")</f>
        <v>Finalizada</v>
      </c>
      <c r="BF897" s="97"/>
      <c r="BG897" s="97" t="str">
        <f>IFERROR(__xludf.DUMMYFUNCTION("""COMPUTED_VALUE"""),"Activo")</f>
        <v>Activo</v>
      </c>
    </row>
    <row r="898">
      <c r="A898" s="97">
        <f>IFERROR(__xludf.DUMMYFUNCTION("""COMPUTED_VALUE"""),6671.0)</f>
        <v>6671</v>
      </c>
      <c r="B898" s="97" t="str">
        <f>IFERROR(__xludf.DUMMYFUNCTION("""COMPUTED_VALUE"""),"DYNA UNION T BL")</f>
        <v>DYNA UNION T BL</v>
      </c>
      <c r="C898" s="97" t="str">
        <f>IFERROR(__xludf.DUMMYFUNCTION("""COMPUTED_VALUE"""),"UNIÓN DYNA UNION T BL 19W 2700/3300/4000K 1600LM CRI&gt;90 IP20 LEUK")</f>
        <v>UNIÓN DYNA UNION T BL 19W 2700/3300/4000K 1600LM CRI&gt;90 IP20 LEUK</v>
      </c>
      <c r="D898" s="97">
        <f>IFERROR(__xludf.DUMMYFUNCTION("""COMPUTED_VALUE"""),7.798413221718E12)</f>
        <v>7798413221718</v>
      </c>
      <c r="E898" s="97" t="str">
        <f>IFERROR(__xludf.DUMMYFUNCTION("""COMPUTED_VALUE"""),"i9")</f>
        <v>i9</v>
      </c>
      <c r="F898" s="97" t="str">
        <f>IFERROR(__xludf.DUMMYFUNCTION("""COMPUTED_VALUE"""),"LED integrado")</f>
        <v>LED integrado</v>
      </c>
      <c r="G898" s="97" t="str">
        <f>IFERROR(__xludf.DUMMYFUNCTION("""COMPUTED_VALUE"""),"CREE")</f>
        <v>CREE</v>
      </c>
      <c r="H898" s="97" t="str">
        <f>IFERROR(__xludf.DUMMYFUNCTION("""COMPUTED_VALUE"""),"Lifud")</f>
        <v>Lifud</v>
      </c>
      <c r="I898" s="97"/>
      <c r="J898" s="97" t="str">
        <f>IFERROR(__xludf.DUMMYFUNCTION("""COMPUTED_VALUE"""),"Modelo: LF-GMR020YS II 0450H
In: 220-240Vac 0.14A 50/60Hz
Out: 33-42Vdc 450mA 18.9W
Pf 0.9")</f>
        <v>Modelo: LF-GMR020YS II 0450H
In: 220-240Vac 0.14A 50/60Hz
Out: 33-42Vdc 450mA 18.9W
Pf 0.9</v>
      </c>
      <c r="K898" s="97" t="str">
        <f>IFERROR(__xludf.DUMMYFUNCTION("""COMPUTED_VALUE"""),"ON/OFF")</f>
        <v>ON/OFF</v>
      </c>
      <c r="L898" s="97" t="str">
        <f>IFERROR(__xludf.DUMMYFUNCTION("""COMPUTED_VALUE"""),"200-240")</f>
        <v>200-240</v>
      </c>
      <c r="M898" s="97" t="str">
        <f>IFERROR(__xludf.DUMMYFUNCTION("""COMPUTED_VALUE"""),"50/60")</f>
        <v>50/60</v>
      </c>
      <c r="N898" s="97"/>
      <c r="O898" s="97">
        <f>IFERROR(__xludf.DUMMYFUNCTION("""COMPUTED_VALUE"""),19.0)</f>
        <v>19</v>
      </c>
      <c r="P898" s="97"/>
      <c r="Q898" s="97">
        <f>IFERROR(__xludf.DUMMYFUNCTION("""COMPUTED_VALUE"""),0.9)</f>
        <v>0.9</v>
      </c>
      <c r="R898" s="97">
        <f>IFERROR(__xludf.DUMMYFUNCTION("""COMPUTED_VALUE"""),2800.0)</f>
        <v>2800</v>
      </c>
      <c r="S898" s="99">
        <f>IFERROR(__xludf.DUMMYFUNCTION("""COMPUTED_VALUE"""),135.0)</f>
        <v>135</v>
      </c>
      <c r="T898" s="99">
        <f>IFERROR(__xludf.DUMMYFUNCTION("""COMPUTED_VALUE"""),1600.0)</f>
        <v>1600</v>
      </c>
      <c r="U898" s="99">
        <f>IFERROR(__xludf.DUMMYFUNCTION("""COMPUTED_VALUE"""),84.21052631578948)</f>
        <v>84.21052632</v>
      </c>
      <c r="V898" s="97">
        <f>IFERROR(__xludf.DUMMYFUNCTION("""COMPUTED_VALUE"""),100.0)</f>
        <v>100</v>
      </c>
      <c r="W898" s="97" t="str">
        <f>IFERROR(__xludf.DUMMYFUNCTION("""COMPUTED_VALUE"""),"&lt; 20")</f>
        <v>&lt; 20</v>
      </c>
      <c r="X898" s="97" t="str">
        <f>IFERROR(__xludf.DUMMYFUNCTION("""COMPUTED_VALUE"""),"2700/3300/4000")</f>
        <v>2700/3300/4000</v>
      </c>
      <c r="Y898" s="97" t="str">
        <f>IFERROR(__xludf.DUMMYFUNCTION("""COMPUTED_VALUE"""),"&gt;90")</f>
        <v>&gt;90</v>
      </c>
      <c r="Z898" s="97"/>
      <c r="AA898" s="97"/>
      <c r="AB898" s="97" t="str">
        <f>IFERROR(__xludf.DUMMYFUNCTION("""COMPUTED_VALUE"""),"&lt; 2")</f>
        <v>&lt; 2</v>
      </c>
      <c r="AC898" s="97"/>
      <c r="AD898" s="97" t="str">
        <f>IFERROR(__xludf.DUMMYFUNCTION("""COMPUTED_VALUE"""),"IP20")</f>
        <v>IP20</v>
      </c>
      <c r="AE898" s="97" t="str">
        <f>IFERROR(__xludf.DUMMYFUNCTION("""COMPUTED_VALUE"""),"Clase l")</f>
        <v>Clase l</v>
      </c>
      <c r="AF898" s="97" t="str">
        <f>IFERROR(__xludf.DUMMYFUNCTION("""COMPUTED_VALUE"""),"Embutir, Aplicar, Suspender")</f>
        <v>Embutir, Aplicar, Suspender</v>
      </c>
      <c r="AG898" s="97" t="str">
        <f>IFERROR(__xludf.DUMMYFUNCTION("""COMPUTED_VALUE"""),"567 x 300 x 60")</f>
        <v>567 x 300 x 60</v>
      </c>
      <c r="AH898" s="97" t="str">
        <f>IFERROR(__xludf.DUMMYFUNCTION("""COMPUTED_VALUE"""),"-")</f>
        <v>-</v>
      </c>
      <c r="AI898" s="97" t="str">
        <f>IFERROR(__xludf.DUMMYFUNCTION("""COMPUTED_VALUE"""),"-")</f>
        <v>-</v>
      </c>
      <c r="AJ898" s="97" t="str">
        <f>IFERROR(__xludf.DUMMYFUNCTION("""COMPUTED_VALUE"""),"Policarbonato (PC)")</f>
        <v>Policarbonato (PC)</v>
      </c>
      <c r="AK898" s="97" t="str">
        <f>IFERROR(__xludf.DUMMYFUNCTION("""COMPUTED_VALUE"""),"Aluminio")</f>
        <v>Aluminio</v>
      </c>
      <c r="AL898" s="97" t="str">
        <f>IFERROR(__xludf.DUMMYFUNCTION("""COMPUTED_VALUE"""),"Blanco Mate")</f>
        <v>Blanco Mate</v>
      </c>
      <c r="AM898" s="97" t="str">
        <f>IFERROR(__xludf.DUMMYFUNCTION("""COMPUTED_VALUE"""),"-20℃ a 45℃")</f>
        <v>-20℃ a 45℃</v>
      </c>
      <c r="AN898" s="97" t="str">
        <f>IFERROR(__xludf.DUMMYFUNCTION("""COMPUTED_VALUE"""),"50.000hs (L80)")</f>
        <v>50.000hs (L80)</v>
      </c>
      <c r="AO898" s="97" t="str">
        <f>IFERROR(__xludf.DUMMYFUNCTION("""COMPUTED_VALUE"""),"3 Años")</f>
        <v>3 Años</v>
      </c>
      <c r="AP898" s="97" t="str">
        <f>IFERROR(__xludf.DUMMYFUNCTION("""COMPUTED_VALUE"""),"Disponible")</f>
        <v>Disponible</v>
      </c>
      <c r="AQ898" s="97" t="str">
        <f>IFERROR(__xludf.DUMMYFUNCTION("""COMPUTED_VALUE"""),"Disponible")</f>
        <v>Disponible</v>
      </c>
      <c r="AR898" s="97" t="str">
        <f>IFERROR(__xludf.DUMMYFUNCTION("""COMPUTED_VALUE"""),"Disponible")</f>
        <v>Disponible</v>
      </c>
      <c r="AS898" s="97"/>
      <c r="AT898" s="97"/>
      <c r="AU898" s="97" t="str">
        <f>IFERROR(__xludf.DUMMYFUNCTION("""COMPUTED_VALUE"""),"Falta")</f>
        <v>Falta</v>
      </c>
      <c r="AV898" s="97" t="str">
        <f>IFERROR(__xludf.DUMMYFUNCTION("""COMPUTED_VALUE"""),"Unión")</f>
        <v>Unión</v>
      </c>
      <c r="AW898" s="97" t="str">
        <f>IFERROR(__xludf.DUMMYFUNCTION("""COMPUTED_VALUE"""),"Lineales")</f>
        <v>Lineales</v>
      </c>
      <c r="AX898" s="97" t="str">
        <f>IFERROR(__xludf.DUMMYFUNCTION("""COMPUTED_VALUE"""),"Interior")</f>
        <v>Interior</v>
      </c>
      <c r="AY898" s="97" t="str">
        <f>IFERROR(__xludf.DUMMYFUNCTION("""COMPUTED_VALUE"""),"Dyna")</f>
        <v>Dyna</v>
      </c>
      <c r="AZ898" s="97" t="str">
        <f>IFERROR(__xludf.DUMMYFUNCTION("""COMPUTED_VALUE"""),"Corriente: 450mA. No incluye tapas extremas.")</f>
        <v>Corriente: 450mA. No incluye tapas extremas.</v>
      </c>
      <c r="BA898" s="97">
        <f>IFERROR(__xludf.DUMMYFUNCTION("""COMPUTED_VALUE"""),1.0)</f>
        <v>1</v>
      </c>
      <c r="BB898" s="97">
        <f>IFERROR(__xludf.DUMMYFUNCTION("""COMPUTED_VALUE"""),1.0)</f>
        <v>1</v>
      </c>
      <c r="BC898" s="97" t="str">
        <f>IFERROR(__xludf.DUMMYFUNCTION("""COMPUTED_VALUE"""),"-")</f>
        <v>-</v>
      </c>
      <c r="BD898" s="97" t="str">
        <f>IFERROR(__xludf.DUMMYFUNCTION("""COMPUTED_VALUE"""),"DYNA")</f>
        <v>DYNA</v>
      </c>
      <c r="BE898" s="97" t="str">
        <f>IFERROR(__xludf.DUMMYFUNCTION("""COMPUTED_VALUE"""),"Finalizada")</f>
        <v>Finalizada</v>
      </c>
      <c r="BF898" s="97"/>
      <c r="BG898" s="97" t="str">
        <f>IFERROR(__xludf.DUMMYFUNCTION("""COMPUTED_VALUE"""),"Activo")</f>
        <v>Activo</v>
      </c>
    </row>
    <row r="899">
      <c r="A899" s="97">
        <f>IFERROR(__xludf.DUMMYFUNCTION("""COMPUTED_VALUE"""),6672.0)</f>
        <v>6672</v>
      </c>
      <c r="B899" s="97" t="str">
        <f>IFERROR(__xludf.DUMMYFUNCTION("""COMPUTED_VALUE"""),"DYNA UNION T NG")</f>
        <v>DYNA UNION T NG</v>
      </c>
      <c r="C899" s="97" t="str">
        <f>IFERROR(__xludf.DUMMYFUNCTION("""COMPUTED_VALUE"""),"UNIÓN DYNA UNION T NG 19W 2700/3300/4000K 1600LM CRI&gt;90 IP20 LEUK")</f>
        <v>UNIÓN DYNA UNION T NG 19W 2700/3300/4000K 1600LM CRI&gt;90 IP20 LEUK</v>
      </c>
      <c r="D899" s="97">
        <f>IFERROR(__xludf.DUMMYFUNCTION("""COMPUTED_VALUE"""),7.798413221725E12)</f>
        <v>7798413221725</v>
      </c>
      <c r="E899" s="97" t="str">
        <f>IFERROR(__xludf.DUMMYFUNCTION("""COMPUTED_VALUE"""),"i10")</f>
        <v>i10</v>
      </c>
      <c r="F899" s="97" t="str">
        <f>IFERROR(__xludf.DUMMYFUNCTION("""COMPUTED_VALUE"""),"LED integrado")</f>
        <v>LED integrado</v>
      </c>
      <c r="G899" s="97" t="str">
        <f>IFERROR(__xludf.DUMMYFUNCTION("""COMPUTED_VALUE"""),"CREE")</f>
        <v>CREE</v>
      </c>
      <c r="H899" s="97" t="str">
        <f>IFERROR(__xludf.DUMMYFUNCTION("""COMPUTED_VALUE"""),"Lifud")</f>
        <v>Lifud</v>
      </c>
      <c r="I899" s="97"/>
      <c r="J899" s="97" t="str">
        <f>IFERROR(__xludf.DUMMYFUNCTION("""COMPUTED_VALUE"""),"Modelo: LF-GMR020YS II 0450H
In: 220-240Vac 0.14A 50/60Hz
Out: 33-42Vdc 450mA 18.9W
Pf 0.9")</f>
        <v>Modelo: LF-GMR020YS II 0450H
In: 220-240Vac 0.14A 50/60Hz
Out: 33-42Vdc 450mA 18.9W
Pf 0.9</v>
      </c>
      <c r="K899" s="97" t="str">
        <f>IFERROR(__xludf.DUMMYFUNCTION("""COMPUTED_VALUE"""),"ON/OFF")</f>
        <v>ON/OFF</v>
      </c>
      <c r="L899" s="97" t="str">
        <f>IFERROR(__xludf.DUMMYFUNCTION("""COMPUTED_VALUE"""),"200-240")</f>
        <v>200-240</v>
      </c>
      <c r="M899" s="97" t="str">
        <f>IFERROR(__xludf.DUMMYFUNCTION("""COMPUTED_VALUE"""),"50/60")</f>
        <v>50/60</v>
      </c>
      <c r="N899" s="97"/>
      <c r="O899" s="97">
        <f>IFERROR(__xludf.DUMMYFUNCTION("""COMPUTED_VALUE"""),19.0)</f>
        <v>19</v>
      </c>
      <c r="P899" s="97"/>
      <c r="Q899" s="97">
        <f>IFERROR(__xludf.DUMMYFUNCTION("""COMPUTED_VALUE"""),0.9)</f>
        <v>0.9</v>
      </c>
      <c r="R899" s="97">
        <f>IFERROR(__xludf.DUMMYFUNCTION("""COMPUTED_VALUE"""),2800.0)</f>
        <v>2800</v>
      </c>
      <c r="S899" s="99">
        <f>IFERROR(__xludf.DUMMYFUNCTION("""COMPUTED_VALUE"""),135.0)</f>
        <v>135</v>
      </c>
      <c r="T899" s="99">
        <f>IFERROR(__xludf.DUMMYFUNCTION("""COMPUTED_VALUE"""),1600.0)</f>
        <v>1600</v>
      </c>
      <c r="U899" s="99">
        <f>IFERROR(__xludf.DUMMYFUNCTION("""COMPUTED_VALUE"""),84.21052631578948)</f>
        <v>84.21052632</v>
      </c>
      <c r="V899" s="97">
        <f>IFERROR(__xludf.DUMMYFUNCTION("""COMPUTED_VALUE"""),100.0)</f>
        <v>100</v>
      </c>
      <c r="W899" s="97" t="str">
        <f>IFERROR(__xludf.DUMMYFUNCTION("""COMPUTED_VALUE"""),"&lt; 20")</f>
        <v>&lt; 20</v>
      </c>
      <c r="X899" s="97" t="str">
        <f>IFERROR(__xludf.DUMMYFUNCTION("""COMPUTED_VALUE"""),"2700/3300/4000")</f>
        <v>2700/3300/4000</v>
      </c>
      <c r="Y899" s="97" t="str">
        <f>IFERROR(__xludf.DUMMYFUNCTION("""COMPUTED_VALUE"""),"&gt;90")</f>
        <v>&gt;90</v>
      </c>
      <c r="Z899" s="97"/>
      <c r="AA899" s="97"/>
      <c r="AB899" s="97" t="str">
        <f>IFERROR(__xludf.DUMMYFUNCTION("""COMPUTED_VALUE"""),"&lt; 2")</f>
        <v>&lt; 2</v>
      </c>
      <c r="AC899" s="97"/>
      <c r="AD899" s="97" t="str">
        <f>IFERROR(__xludf.DUMMYFUNCTION("""COMPUTED_VALUE"""),"IP20")</f>
        <v>IP20</v>
      </c>
      <c r="AE899" s="97" t="str">
        <f>IFERROR(__xludf.DUMMYFUNCTION("""COMPUTED_VALUE"""),"Clase l")</f>
        <v>Clase l</v>
      </c>
      <c r="AF899" s="97" t="str">
        <f>IFERROR(__xludf.DUMMYFUNCTION("""COMPUTED_VALUE"""),"Embutir, Aplicar, Suspender")</f>
        <v>Embutir, Aplicar, Suspender</v>
      </c>
      <c r="AG899" s="97" t="str">
        <f>IFERROR(__xludf.DUMMYFUNCTION("""COMPUTED_VALUE"""),"567 x 300 x 60")</f>
        <v>567 x 300 x 60</v>
      </c>
      <c r="AH899" s="97" t="str">
        <f>IFERROR(__xludf.DUMMYFUNCTION("""COMPUTED_VALUE"""),"-")</f>
        <v>-</v>
      </c>
      <c r="AI899" s="97" t="str">
        <f>IFERROR(__xludf.DUMMYFUNCTION("""COMPUTED_VALUE"""),"-")</f>
        <v>-</v>
      </c>
      <c r="AJ899" s="97" t="str">
        <f>IFERROR(__xludf.DUMMYFUNCTION("""COMPUTED_VALUE"""),"Policarbonato (PC)")</f>
        <v>Policarbonato (PC)</v>
      </c>
      <c r="AK899" s="97" t="str">
        <f>IFERROR(__xludf.DUMMYFUNCTION("""COMPUTED_VALUE"""),"Aluminio")</f>
        <v>Aluminio</v>
      </c>
      <c r="AL899" s="97" t="str">
        <f>IFERROR(__xludf.DUMMYFUNCTION("""COMPUTED_VALUE"""),"Negro Mate")</f>
        <v>Negro Mate</v>
      </c>
      <c r="AM899" s="97" t="str">
        <f>IFERROR(__xludf.DUMMYFUNCTION("""COMPUTED_VALUE"""),"-20℃ a 45℃")</f>
        <v>-20℃ a 45℃</v>
      </c>
      <c r="AN899" s="97" t="str">
        <f>IFERROR(__xludf.DUMMYFUNCTION("""COMPUTED_VALUE"""),"50.000hs (L80)")</f>
        <v>50.000hs (L80)</v>
      </c>
      <c r="AO899" s="97" t="str">
        <f>IFERROR(__xludf.DUMMYFUNCTION("""COMPUTED_VALUE"""),"3 Años")</f>
        <v>3 Años</v>
      </c>
      <c r="AP899" s="97" t="str">
        <f>IFERROR(__xludf.DUMMYFUNCTION("""COMPUTED_VALUE"""),"Disponible")</f>
        <v>Disponible</v>
      </c>
      <c r="AQ899" s="97" t="str">
        <f>IFERROR(__xludf.DUMMYFUNCTION("""COMPUTED_VALUE"""),"Disponible")</f>
        <v>Disponible</v>
      </c>
      <c r="AR899" s="97" t="str">
        <f>IFERROR(__xludf.DUMMYFUNCTION("""COMPUTED_VALUE"""),"Disponible")</f>
        <v>Disponible</v>
      </c>
      <c r="AS899" s="97"/>
      <c r="AT899" s="97"/>
      <c r="AU899" s="97" t="str">
        <f>IFERROR(__xludf.DUMMYFUNCTION("""COMPUTED_VALUE"""),"Falta")</f>
        <v>Falta</v>
      </c>
      <c r="AV899" s="97" t="str">
        <f>IFERROR(__xludf.DUMMYFUNCTION("""COMPUTED_VALUE"""),"Unión")</f>
        <v>Unión</v>
      </c>
      <c r="AW899" s="97" t="str">
        <f>IFERROR(__xludf.DUMMYFUNCTION("""COMPUTED_VALUE"""),"Lineales")</f>
        <v>Lineales</v>
      </c>
      <c r="AX899" s="97" t="str">
        <f>IFERROR(__xludf.DUMMYFUNCTION("""COMPUTED_VALUE"""),"Interior")</f>
        <v>Interior</v>
      </c>
      <c r="AY899" s="97" t="str">
        <f>IFERROR(__xludf.DUMMYFUNCTION("""COMPUTED_VALUE"""),"Dyna")</f>
        <v>Dyna</v>
      </c>
      <c r="AZ899" s="97" t="str">
        <f>IFERROR(__xludf.DUMMYFUNCTION("""COMPUTED_VALUE"""),"Corriente: 450mA. No incluye tapas extremas.")</f>
        <v>Corriente: 450mA. No incluye tapas extremas.</v>
      </c>
      <c r="BA899" s="97">
        <f>IFERROR(__xludf.DUMMYFUNCTION("""COMPUTED_VALUE"""),1.0)</f>
        <v>1</v>
      </c>
      <c r="BB899" s="97">
        <f>IFERROR(__xludf.DUMMYFUNCTION("""COMPUTED_VALUE"""),1.0)</f>
        <v>1</v>
      </c>
      <c r="BC899" s="97" t="str">
        <f>IFERROR(__xludf.DUMMYFUNCTION("""COMPUTED_VALUE"""),"-")</f>
        <v>-</v>
      </c>
      <c r="BD899" s="97" t="str">
        <f>IFERROR(__xludf.DUMMYFUNCTION("""COMPUTED_VALUE"""),"DYNA")</f>
        <v>DYNA</v>
      </c>
      <c r="BE899" s="97" t="str">
        <f>IFERROR(__xludf.DUMMYFUNCTION("""COMPUTED_VALUE"""),"Finalizada")</f>
        <v>Finalizada</v>
      </c>
      <c r="BF899" s="97"/>
      <c r="BG899" s="97" t="str">
        <f>IFERROR(__xludf.DUMMYFUNCTION("""COMPUTED_VALUE"""),"Activo")</f>
        <v>Activo</v>
      </c>
    </row>
    <row r="900">
      <c r="A900" s="97">
        <f>IFERROR(__xludf.DUMMYFUNCTION("""COMPUTED_VALUE"""),6673.0)</f>
        <v>6673</v>
      </c>
      <c r="B900" s="97" t="str">
        <f>IFERROR(__xludf.DUMMYFUNCTION("""COMPUTED_VALUE"""),"DYNA UNION X BL")</f>
        <v>DYNA UNION X BL</v>
      </c>
      <c r="C900" s="97" t="str">
        <f>IFERROR(__xludf.DUMMYFUNCTION("""COMPUTED_VALUE"""),"UNIÓN DYNA UNION X BL 25W 2700/3300/4000K 2120LM CRI&gt;90 IP20 LEUK")</f>
        <v>UNIÓN DYNA UNION X BL 25W 2700/3300/4000K 2120LM CRI&gt;90 IP20 LEUK</v>
      </c>
      <c r="D900" s="97">
        <f>IFERROR(__xludf.DUMMYFUNCTION("""COMPUTED_VALUE"""),7.798413221732E12)</f>
        <v>7798413221732</v>
      </c>
      <c r="E900" s="97" t="str">
        <f>IFERROR(__xludf.DUMMYFUNCTION("""COMPUTED_VALUE"""),"i11")</f>
        <v>i11</v>
      </c>
      <c r="F900" s="97" t="str">
        <f>IFERROR(__xludf.DUMMYFUNCTION("""COMPUTED_VALUE"""),"LED integrado")</f>
        <v>LED integrado</v>
      </c>
      <c r="G900" s="97" t="str">
        <f>IFERROR(__xludf.DUMMYFUNCTION("""COMPUTED_VALUE"""),"CREE")</f>
        <v>CREE</v>
      </c>
      <c r="H900" s="97" t="str">
        <f>IFERROR(__xludf.DUMMYFUNCTION("""COMPUTED_VALUE"""),"Lifud")</f>
        <v>Lifud</v>
      </c>
      <c r="I900" s="97"/>
      <c r="J900" s="97" t="str">
        <f>IFERROR(__xludf.DUMMYFUNCTION("""COMPUTED_VALUE"""),"Modelo: LF-GMR030YS II 0600H
In: 220-240Vac 0.2A 50/60Hz
Out: 33-42Vdc 600mA 25.2W
Pf 0.9")</f>
        <v>Modelo: LF-GMR030YS II 0600H
In: 220-240Vac 0.2A 50/60Hz
Out: 33-42Vdc 600mA 25.2W
Pf 0.9</v>
      </c>
      <c r="K900" s="97" t="str">
        <f>IFERROR(__xludf.DUMMYFUNCTION("""COMPUTED_VALUE"""),"ON/OFF")</f>
        <v>ON/OFF</v>
      </c>
      <c r="L900" s="97" t="str">
        <f>IFERROR(__xludf.DUMMYFUNCTION("""COMPUTED_VALUE"""),"200-240")</f>
        <v>200-240</v>
      </c>
      <c r="M900" s="97" t="str">
        <f>IFERROR(__xludf.DUMMYFUNCTION("""COMPUTED_VALUE"""),"50/60")</f>
        <v>50/60</v>
      </c>
      <c r="N900" s="97"/>
      <c r="O900" s="97">
        <f>IFERROR(__xludf.DUMMYFUNCTION("""COMPUTED_VALUE"""),25.0)</f>
        <v>25</v>
      </c>
      <c r="P900" s="97"/>
      <c r="Q900" s="97">
        <f>IFERROR(__xludf.DUMMYFUNCTION("""COMPUTED_VALUE"""),0.9)</f>
        <v>0.9</v>
      </c>
      <c r="R900" s="97">
        <f>IFERROR(__xludf.DUMMYFUNCTION("""COMPUTED_VALUE"""),3750.0)</f>
        <v>3750</v>
      </c>
      <c r="S900" s="99">
        <f>IFERROR(__xludf.DUMMYFUNCTION("""COMPUTED_VALUE"""),135.0)</f>
        <v>135</v>
      </c>
      <c r="T900" s="99">
        <f>IFERROR(__xludf.DUMMYFUNCTION("""COMPUTED_VALUE"""),2120.0)</f>
        <v>2120</v>
      </c>
      <c r="U900" s="99">
        <f>IFERROR(__xludf.DUMMYFUNCTION("""COMPUTED_VALUE"""),84.8)</f>
        <v>84.8</v>
      </c>
      <c r="V900" s="97">
        <f>IFERROR(__xludf.DUMMYFUNCTION("""COMPUTED_VALUE"""),100.0)</f>
        <v>100</v>
      </c>
      <c r="W900" s="97" t="str">
        <f>IFERROR(__xludf.DUMMYFUNCTION("""COMPUTED_VALUE"""),"&lt; 20")</f>
        <v>&lt; 20</v>
      </c>
      <c r="X900" s="97" t="str">
        <f>IFERROR(__xludf.DUMMYFUNCTION("""COMPUTED_VALUE"""),"2700/3300/4000")</f>
        <v>2700/3300/4000</v>
      </c>
      <c r="Y900" s="97" t="str">
        <f>IFERROR(__xludf.DUMMYFUNCTION("""COMPUTED_VALUE"""),"&gt;90")</f>
        <v>&gt;90</v>
      </c>
      <c r="Z900" s="97"/>
      <c r="AA900" s="97"/>
      <c r="AB900" s="97" t="str">
        <f>IFERROR(__xludf.DUMMYFUNCTION("""COMPUTED_VALUE"""),"&lt; 2")</f>
        <v>&lt; 2</v>
      </c>
      <c r="AC900" s="97"/>
      <c r="AD900" s="97" t="str">
        <f>IFERROR(__xludf.DUMMYFUNCTION("""COMPUTED_VALUE"""),"IP20")</f>
        <v>IP20</v>
      </c>
      <c r="AE900" s="97" t="str">
        <f>IFERROR(__xludf.DUMMYFUNCTION("""COMPUTED_VALUE"""),"Clase l")</f>
        <v>Clase l</v>
      </c>
      <c r="AF900" s="97" t="str">
        <f>IFERROR(__xludf.DUMMYFUNCTION("""COMPUTED_VALUE"""),"Embutir, Aplicar, Suspender")</f>
        <v>Embutir, Aplicar, Suspender</v>
      </c>
      <c r="AG900" s="97" t="str">
        <f>IFERROR(__xludf.DUMMYFUNCTION("""COMPUTED_VALUE"""),"567 x 567 x 60")</f>
        <v>567 x 567 x 60</v>
      </c>
      <c r="AH900" s="97" t="str">
        <f>IFERROR(__xludf.DUMMYFUNCTION("""COMPUTED_VALUE"""),"-")</f>
        <v>-</v>
      </c>
      <c r="AI900" s="97" t="str">
        <f>IFERROR(__xludf.DUMMYFUNCTION("""COMPUTED_VALUE"""),"-")</f>
        <v>-</v>
      </c>
      <c r="AJ900" s="97" t="str">
        <f>IFERROR(__xludf.DUMMYFUNCTION("""COMPUTED_VALUE"""),"Policarbonato (PC)")</f>
        <v>Policarbonato (PC)</v>
      </c>
      <c r="AK900" s="97" t="str">
        <f>IFERROR(__xludf.DUMMYFUNCTION("""COMPUTED_VALUE"""),"Aluminio")</f>
        <v>Aluminio</v>
      </c>
      <c r="AL900" s="97" t="str">
        <f>IFERROR(__xludf.DUMMYFUNCTION("""COMPUTED_VALUE"""),"Blanco Mate")</f>
        <v>Blanco Mate</v>
      </c>
      <c r="AM900" s="97" t="str">
        <f>IFERROR(__xludf.DUMMYFUNCTION("""COMPUTED_VALUE"""),"-20℃ a 45℃")</f>
        <v>-20℃ a 45℃</v>
      </c>
      <c r="AN900" s="97" t="str">
        <f>IFERROR(__xludf.DUMMYFUNCTION("""COMPUTED_VALUE"""),"50.000hs (L80)")</f>
        <v>50.000hs (L80)</v>
      </c>
      <c r="AO900" s="97" t="str">
        <f>IFERROR(__xludf.DUMMYFUNCTION("""COMPUTED_VALUE"""),"3 Años")</f>
        <v>3 Años</v>
      </c>
      <c r="AP900" s="97" t="str">
        <f>IFERROR(__xludf.DUMMYFUNCTION("""COMPUTED_VALUE"""),"Disponible")</f>
        <v>Disponible</v>
      </c>
      <c r="AQ900" s="97" t="str">
        <f>IFERROR(__xludf.DUMMYFUNCTION("""COMPUTED_VALUE"""),"Disponible")</f>
        <v>Disponible</v>
      </c>
      <c r="AR900" s="97" t="str">
        <f>IFERROR(__xludf.DUMMYFUNCTION("""COMPUTED_VALUE"""),"Disponible")</f>
        <v>Disponible</v>
      </c>
      <c r="AS900" s="97"/>
      <c r="AT900" s="97"/>
      <c r="AU900" s="97" t="str">
        <f>IFERROR(__xludf.DUMMYFUNCTION("""COMPUTED_VALUE"""),"Falta")</f>
        <v>Falta</v>
      </c>
      <c r="AV900" s="97" t="str">
        <f>IFERROR(__xludf.DUMMYFUNCTION("""COMPUTED_VALUE"""),"Unión")</f>
        <v>Unión</v>
      </c>
      <c r="AW900" s="97" t="str">
        <f>IFERROR(__xludf.DUMMYFUNCTION("""COMPUTED_VALUE"""),"Lineales")</f>
        <v>Lineales</v>
      </c>
      <c r="AX900" s="97" t="str">
        <f>IFERROR(__xludf.DUMMYFUNCTION("""COMPUTED_VALUE"""),"Interior")</f>
        <v>Interior</v>
      </c>
      <c r="AY900" s="97" t="str">
        <f>IFERROR(__xludf.DUMMYFUNCTION("""COMPUTED_VALUE"""),"Dyna")</f>
        <v>Dyna</v>
      </c>
      <c r="AZ900" s="97" t="str">
        <f>IFERROR(__xludf.DUMMYFUNCTION("""COMPUTED_VALUE"""),"Corriente: 600mA. No incluye tapas extremas.")</f>
        <v>Corriente: 600mA. No incluye tapas extremas.</v>
      </c>
      <c r="BA900" s="97">
        <f>IFERROR(__xludf.DUMMYFUNCTION("""COMPUTED_VALUE"""),1.0)</f>
        <v>1</v>
      </c>
      <c r="BB900" s="97">
        <f>IFERROR(__xludf.DUMMYFUNCTION("""COMPUTED_VALUE"""),1.0)</f>
        <v>1</v>
      </c>
      <c r="BC900" s="97" t="str">
        <f>IFERROR(__xludf.DUMMYFUNCTION("""COMPUTED_VALUE"""),"-")</f>
        <v>-</v>
      </c>
      <c r="BD900" s="97" t="str">
        <f>IFERROR(__xludf.DUMMYFUNCTION("""COMPUTED_VALUE"""),"DYNA")</f>
        <v>DYNA</v>
      </c>
      <c r="BE900" s="97" t="str">
        <f>IFERROR(__xludf.DUMMYFUNCTION("""COMPUTED_VALUE"""),"Finalizada")</f>
        <v>Finalizada</v>
      </c>
      <c r="BF900" s="97"/>
      <c r="BG900" s="97" t="str">
        <f>IFERROR(__xludf.DUMMYFUNCTION("""COMPUTED_VALUE"""),"Activo")</f>
        <v>Activo</v>
      </c>
    </row>
    <row r="901">
      <c r="A901" s="97">
        <f>IFERROR(__xludf.DUMMYFUNCTION("""COMPUTED_VALUE"""),6674.0)</f>
        <v>6674</v>
      </c>
      <c r="B901" s="97" t="str">
        <f>IFERROR(__xludf.DUMMYFUNCTION("""COMPUTED_VALUE"""),"DYNA UNION X NG")</f>
        <v>DYNA UNION X NG</v>
      </c>
      <c r="C901" s="97" t="str">
        <f>IFERROR(__xludf.DUMMYFUNCTION("""COMPUTED_VALUE"""),"UNIÓN DYNA UNION X NG 25W 2700/3300/4000K 2120LM CRI&gt;90 IP20 LEUK")</f>
        <v>UNIÓN DYNA UNION X NG 25W 2700/3300/4000K 2120LM CRI&gt;90 IP20 LEUK</v>
      </c>
      <c r="D901" s="97">
        <f>IFERROR(__xludf.DUMMYFUNCTION("""COMPUTED_VALUE"""),7.798413221749E12)</f>
        <v>7798413221749</v>
      </c>
      <c r="E901" s="97" t="str">
        <f>IFERROR(__xludf.DUMMYFUNCTION("""COMPUTED_VALUE"""),"i12")</f>
        <v>i12</v>
      </c>
      <c r="F901" s="97" t="str">
        <f>IFERROR(__xludf.DUMMYFUNCTION("""COMPUTED_VALUE"""),"LED integrado")</f>
        <v>LED integrado</v>
      </c>
      <c r="G901" s="97" t="str">
        <f>IFERROR(__xludf.DUMMYFUNCTION("""COMPUTED_VALUE"""),"CREE")</f>
        <v>CREE</v>
      </c>
      <c r="H901" s="97" t="str">
        <f>IFERROR(__xludf.DUMMYFUNCTION("""COMPUTED_VALUE"""),"Lifud")</f>
        <v>Lifud</v>
      </c>
      <c r="I901" s="97"/>
      <c r="J901" s="97" t="str">
        <f>IFERROR(__xludf.DUMMYFUNCTION("""COMPUTED_VALUE"""),"Modelo: LF-GMR030YS II 0600H
In: 220-240Vac 0.2A 50/60Hz
Out: 33-42Vdc 600mA 25.2W
Pf 0.9")</f>
        <v>Modelo: LF-GMR030YS II 0600H
In: 220-240Vac 0.2A 50/60Hz
Out: 33-42Vdc 600mA 25.2W
Pf 0.9</v>
      </c>
      <c r="K901" s="97" t="str">
        <f>IFERROR(__xludf.DUMMYFUNCTION("""COMPUTED_VALUE"""),"ON/OFF")</f>
        <v>ON/OFF</v>
      </c>
      <c r="L901" s="97" t="str">
        <f>IFERROR(__xludf.DUMMYFUNCTION("""COMPUTED_VALUE"""),"200-240")</f>
        <v>200-240</v>
      </c>
      <c r="M901" s="97" t="str">
        <f>IFERROR(__xludf.DUMMYFUNCTION("""COMPUTED_VALUE"""),"50/60")</f>
        <v>50/60</v>
      </c>
      <c r="N901" s="97"/>
      <c r="O901" s="97">
        <f>IFERROR(__xludf.DUMMYFUNCTION("""COMPUTED_VALUE"""),25.0)</f>
        <v>25</v>
      </c>
      <c r="P901" s="97"/>
      <c r="Q901" s="97">
        <f>IFERROR(__xludf.DUMMYFUNCTION("""COMPUTED_VALUE"""),0.9)</f>
        <v>0.9</v>
      </c>
      <c r="R901" s="97">
        <f>IFERROR(__xludf.DUMMYFUNCTION("""COMPUTED_VALUE"""),3750.0)</f>
        <v>3750</v>
      </c>
      <c r="S901" s="99">
        <f>IFERROR(__xludf.DUMMYFUNCTION("""COMPUTED_VALUE"""),135.0)</f>
        <v>135</v>
      </c>
      <c r="T901" s="99">
        <f>IFERROR(__xludf.DUMMYFUNCTION("""COMPUTED_VALUE"""),2120.0)</f>
        <v>2120</v>
      </c>
      <c r="U901" s="99">
        <f>IFERROR(__xludf.DUMMYFUNCTION("""COMPUTED_VALUE"""),84.8)</f>
        <v>84.8</v>
      </c>
      <c r="V901" s="97">
        <f>IFERROR(__xludf.DUMMYFUNCTION("""COMPUTED_VALUE"""),100.0)</f>
        <v>100</v>
      </c>
      <c r="W901" s="97" t="str">
        <f>IFERROR(__xludf.DUMMYFUNCTION("""COMPUTED_VALUE"""),"&lt; 20")</f>
        <v>&lt; 20</v>
      </c>
      <c r="X901" s="97" t="str">
        <f>IFERROR(__xludf.DUMMYFUNCTION("""COMPUTED_VALUE"""),"2700/3300/4000")</f>
        <v>2700/3300/4000</v>
      </c>
      <c r="Y901" s="97" t="str">
        <f>IFERROR(__xludf.DUMMYFUNCTION("""COMPUTED_VALUE"""),"&gt;90")</f>
        <v>&gt;90</v>
      </c>
      <c r="Z901" s="97"/>
      <c r="AA901" s="97"/>
      <c r="AB901" s="97" t="str">
        <f>IFERROR(__xludf.DUMMYFUNCTION("""COMPUTED_VALUE"""),"&lt; 2")</f>
        <v>&lt; 2</v>
      </c>
      <c r="AC901" s="97"/>
      <c r="AD901" s="97" t="str">
        <f>IFERROR(__xludf.DUMMYFUNCTION("""COMPUTED_VALUE"""),"IP20")</f>
        <v>IP20</v>
      </c>
      <c r="AE901" s="97" t="str">
        <f>IFERROR(__xludf.DUMMYFUNCTION("""COMPUTED_VALUE"""),"Clase l")</f>
        <v>Clase l</v>
      </c>
      <c r="AF901" s="97" t="str">
        <f>IFERROR(__xludf.DUMMYFUNCTION("""COMPUTED_VALUE"""),"Embutir, Aplicar, Suspender")</f>
        <v>Embutir, Aplicar, Suspender</v>
      </c>
      <c r="AG901" s="97" t="str">
        <f>IFERROR(__xludf.DUMMYFUNCTION("""COMPUTED_VALUE"""),"567 x 567 x 60")</f>
        <v>567 x 567 x 60</v>
      </c>
      <c r="AH901" s="97" t="str">
        <f>IFERROR(__xludf.DUMMYFUNCTION("""COMPUTED_VALUE"""),"-")</f>
        <v>-</v>
      </c>
      <c r="AI901" s="97" t="str">
        <f>IFERROR(__xludf.DUMMYFUNCTION("""COMPUTED_VALUE"""),"-")</f>
        <v>-</v>
      </c>
      <c r="AJ901" s="97" t="str">
        <f>IFERROR(__xludf.DUMMYFUNCTION("""COMPUTED_VALUE"""),"Policarbonato (PC)")</f>
        <v>Policarbonato (PC)</v>
      </c>
      <c r="AK901" s="97" t="str">
        <f>IFERROR(__xludf.DUMMYFUNCTION("""COMPUTED_VALUE"""),"Aluminio")</f>
        <v>Aluminio</v>
      </c>
      <c r="AL901" s="97" t="str">
        <f>IFERROR(__xludf.DUMMYFUNCTION("""COMPUTED_VALUE"""),"Negro Mate")</f>
        <v>Negro Mate</v>
      </c>
      <c r="AM901" s="97" t="str">
        <f>IFERROR(__xludf.DUMMYFUNCTION("""COMPUTED_VALUE"""),"-20℃ a 45℃")</f>
        <v>-20℃ a 45℃</v>
      </c>
      <c r="AN901" s="97" t="str">
        <f>IFERROR(__xludf.DUMMYFUNCTION("""COMPUTED_VALUE"""),"50.000hs (L80)")</f>
        <v>50.000hs (L80)</v>
      </c>
      <c r="AO901" s="97" t="str">
        <f>IFERROR(__xludf.DUMMYFUNCTION("""COMPUTED_VALUE"""),"3 Años")</f>
        <v>3 Años</v>
      </c>
      <c r="AP901" s="97" t="str">
        <f>IFERROR(__xludf.DUMMYFUNCTION("""COMPUTED_VALUE"""),"Disponible")</f>
        <v>Disponible</v>
      </c>
      <c r="AQ901" s="97" t="str">
        <f>IFERROR(__xludf.DUMMYFUNCTION("""COMPUTED_VALUE"""),"Disponible")</f>
        <v>Disponible</v>
      </c>
      <c r="AR901" s="97" t="str">
        <f>IFERROR(__xludf.DUMMYFUNCTION("""COMPUTED_VALUE"""),"Disponible")</f>
        <v>Disponible</v>
      </c>
      <c r="AS901" s="97"/>
      <c r="AT901" s="97"/>
      <c r="AU901" s="97" t="str">
        <f>IFERROR(__xludf.DUMMYFUNCTION("""COMPUTED_VALUE"""),"Falta")</f>
        <v>Falta</v>
      </c>
      <c r="AV901" s="97" t="str">
        <f>IFERROR(__xludf.DUMMYFUNCTION("""COMPUTED_VALUE"""),"Unión")</f>
        <v>Unión</v>
      </c>
      <c r="AW901" s="97" t="str">
        <f>IFERROR(__xludf.DUMMYFUNCTION("""COMPUTED_VALUE"""),"Lineales")</f>
        <v>Lineales</v>
      </c>
      <c r="AX901" s="97" t="str">
        <f>IFERROR(__xludf.DUMMYFUNCTION("""COMPUTED_VALUE"""),"Interior")</f>
        <v>Interior</v>
      </c>
      <c r="AY901" s="97" t="str">
        <f>IFERROR(__xludf.DUMMYFUNCTION("""COMPUTED_VALUE"""),"Dyna")</f>
        <v>Dyna</v>
      </c>
      <c r="AZ901" s="97" t="str">
        <f>IFERROR(__xludf.DUMMYFUNCTION("""COMPUTED_VALUE"""),"Corriente: 600mA. No incluye tapas extremas.")</f>
        <v>Corriente: 600mA. No incluye tapas extremas.</v>
      </c>
      <c r="BA901" s="97">
        <f>IFERROR(__xludf.DUMMYFUNCTION("""COMPUTED_VALUE"""),1.0)</f>
        <v>1</v>
      </c>
      <c r="BB901" s="97">
        <f>IFERROR(__xludf.DUMMYFUNCTION("""COMPUTED_VALUE"""),1.0)</f>
        <v>1</v>
      </c>
      <c r="BC901" s="97" t="str">
        <f>IFERROR(__xludf.DUMMYFUNCTION("""COMPUTED_VALUE"""),"-")</f>
        <v>-</v>
      </c>
      <c r="BD901" s="97" t="str">
        <f>IFERROR(__xludf.DUMMYFUNCTION("""COMPUTED_VALUE"""),"DYNA")</f>
        <v>DYNA</v>
      </c>
      <c r="BE901" s="97" t="str">
        <f>IFERROR(__xludf.DUMMYFUNCTION("""COMPUTED_VALUE"""),"Finalizada")</f>
        <v>Finalizada</v>
      </c>
      <c r="BF901" s="97"/>
      <c r="BG901" s="97" t="str">
        <f>IFERROR(__xludf.DUMMYFUNCTION("""COMPUTED_VALUE"""),"Activo")</f>
        <v>Activo</v>
      </c>
    </row>
    <row r="902">
      <c r="A902" s="97">
        <f>IFERROR(__xludf.DUMMYFUNCTION("""COMPUTED_VALUE"""),6675.0)</f>
        <v>6675</v>
      </c>
      <c r="B902" s="97" t="str">
        <f>IFERROR(__xludf.DUMMYFUNCTION("""COMPUTED_VALUE"""),"DYNA UNION L BL")</f>
        <v>DYNA UNION L BL</v>
      </c>
      <c r="C902" s="97" t="str">
        <f>IFERROR(__xludf.DUMMYFUNCTION("""COMPUTED_VALUE"""),"UNIÓN DYNA UNION L BL 12,5W 2700/3300/4000K 1150LM CRI&gt;90 IP20 LEUK")</f>
        <v>UNIÓN DYNA UNION L BL 12,5W 2700/3300/4000K 1150LM CRI&gt;90 IP20 LEUK</v>
      </c>
      <c r="D902" s="97">
        <f>IFERROR(__xludf.DUMMYFUNCTION("""COMPUTED_VALUE"""),7.798413221756E12)</f>
        <v>7798413221756</v>
      </c>
      <c r="E902" s="97" t="str">
        <f>IFERROR(__xludf.DUMMYFUNCTION("""COMPUTED_VALUE"""),"i13")</f>
        <v>i13</v>
      </c>
      <c r="F902" s="97" t="str">
        <f>IFERROR(__xludf.DUMMYFUNCTION("""COMPUTED_VALUE"""),"LED integrado")</f>
        <v>LED integrado</v>
      </c>
      <c r="G902" s="97" t="str">
        <f>IFERROR(__xludf.DUMMYFUNCTION("""COMPUTED_VALUE"""),"CREE")</f>
        <v>CREE</v>
      </c>
      <c r="H902" s="97" t="str">
        <f>IFERROR(__xludf.DUMMYFUNCTION("""COMPUTED_VALUE"""),"Lifud")</f>
        <v>Lifud</v>
      </c>
      <c r="I902" s="97"/>
      <c r="J902" s="97" t="str">
        <f>IFERROR(__xludf.DUMMYFUNCTION("""COMPUTED_VALUE"""),"Modelo: LF-GMR020YS II 0300H
In: 220-240Vac 0.14A 50/60Hz
Out: 33-42Vdc 300mA 12.6W
Pf 0.9 Tc 70°C Ta 50°C")</f>
        <v>Modelo: LF-GMR020YS II 0300H
In: 220-240Vac 0.14A 50/60Hz
Out: 33-42Vdc 300mA 12.6W
Pf 0.9 Tc 70°C Ta 50°C</v>
      </c>
      <c r="K902" s="97" t="str">
        <f>IFERROR(__xludf.DUMMYFUNCTION("""COMPUTED_VALUE"""),"ON/OFF")</f>
        <v>ON/OFF</v>
      </c>
      <c r="L902" s="97" t="str">
        <f>IFERROR(__xludf.DUMMYFUNCTION("""COMPUTED_VALUE"""),"200-240")</f>
        <v>200-240</v>
      </c>
      <c r="M902" s="97" t="str">
        <f>IFERROR(__xludf.DUMMYFUNCTION("""COMPUTED_VALUE"""),"50/60")</f>
        <v>50/60</v>
      </c>
      <c r="N902" s="97"/>
      <c r="O902" s="97">
        <f>IFERROR(__xludf.DUMMYFUNCTION("""COMPUTED_VALUE"""),12.5)</f>
        <v>12.5</v>
      </c>
      <c r="P902" s="97"/>
      <c r="Q902" s="97">
        <f>IFERROR(__xludf.DUMMYFUNCTION("""COMPUTED_VALUE"""),0.9)</f>
        <v>0.9</v>
      </c>
      <c r="R902" s="97">
        <f>IFERROR(__xludf.DUMMYFUNCTION("""COMPUTED_VALUE"""),1875.0)</f>
        <v>1875</v>
      </c>
      <c r="S902" s="99">
        <f>IFERROR(__xludf.DUMMYFUNCTION("""COMPUTED_VALUE"""),135.0)</f>
        <v>135</v>
      </c>
      <c r="T902" s="99">
        <f>IFERROR(__xludf.DUMMYFUNCTION("""COMPUTED_VALUE"""),1150.0)</f>
        <v>1150</v>
      </c>
      <c r="U902" s="99">
        <f>IFERROR(__xludf.DUMMYFUNCTION("""COMPUTED_VALUE"""),92.0)</f>
        <v>92</v>
      </c>
      <c r="V902" s="97">
        <f>IFERROR(__xludf.DUMMYFUNCTION("""COMPUTED_VALUE"""),100.0)</f>
        <v>100</v>
      </c>
      <c r="W902" s="97" t="str">
        <f>IFERROR(__xludf.DUMMYFUNCTION("""COMPUTED_VALUE"""),"&lt; 20")</f>
        <v>&lt; 20</v>
      </c>
      <c r="X902" s="97" t="str">
        <f>IFERROR(__xludf.DUMMYFUNCTION("""COMPUTED_VALUE"""),"2700/3300/4000")</f>
        <v>2700/3300/4000</v>
      </c>
      <c r="Y902" s="97" t="str">
        <f>IFERROR(__xludf.DUMMYFUNCTION("""COMPUTED_VALUE"""),"&gt;90")</f>
        <v>&gt;90</v>
      </c>
      <c r="Z902" s="97"/>
      <c r="AA902" s="97"/>
      <c r="AB902" s="97" t="str">
        <f>IFERROR(__xludf.DUMMYFUNCTION("""COMPUTED_VALUE"""),"&lt; 2")</f>
        <v>&lt; 2</v>
      </c>
      <c r="AC902" s="97"/>
      <c r="AD902" s="97" t="str">
        <f>IFERROR(__xludf.DUMMYFUNCTION("""COMPUTED_VALUE"""),"IP20")</f>
        <v>IP20</v>
      </c>
      <c r="AE902" s="97" t="str">
        <f>IFERROR(__xludf.DUMMYFUNCTION("""COMPUTED_VALUE"""),"Clase l")</f>
        <v>Clase l</v>
      </c>
      <c r="AF902" s="97" t="str">
        <f>IFERROR(__xludf.DUMMYFUNCTION("""COMPUTED_VALUE"""),"Embutir, Aplicar, Suspender")</f>
        <v>Embutir, Aplicar, Suspender</v>
      </c>
      <c r="AG902" s="97" t="str">
        <f>IFERROR(__xludf.DUMMYFUNCTION("""COMPUTED_VALUE"""),"300 x 300 x 60")</f>
        <v>300 x 300 x 60</v>
      </c>
      <c r="AH902" s="97" t="str">
        <f>IFERROR(__xludf.DUMMYFUNCTION("""COMPUTED_VALUE"""),"-")</f>
        <v>-</v>
      </c>
      <c r="AI902" s="97" t="str">
        <f>IFERROR(__xludf.DUMMYFUNCTION("""COMPUTED_VALUE"""),"-")</f>
        <v>-</v>
      </c>
      <c r="AJ902" s="97" t="str">
        <f>IFERROR(__xludf.DUMMYFUNCTION("""COMPUTED_VALUE"""),"Policarbonato (PC)")</f>
        <v>Policarbonato (PC)</v>
      </c>
      <c r="AK902" s="97" t="str">
        <f>IFERROR(__xludf.DUMMYFUNCTION("""COMPUTED_VALUE"""),"Aluminio")</f>
        <v>Aluminio</v>
      </c>
      <c r="AL902" s="97" t="str">
        <f>IFERROR(__xludf.DUMMYFUNCTION("""COMPUTED_VALUE"""),"Blanco Mate")</f>
        <v>Blanco Mate</v>
      </c>
      <c r="AM902" s="97" t="str">
        <f>IFERROR(__xludf.DUMMYFUNCTION("""COMPUTED_VALUE"""),"-20℃ a 45℃")</f>
        <v>-20℃ a 45℃</v>
      </c>
      <c r="AN902" s="97" t="str">
        <f>IFERROR(__xludf.DUMMYFUNCTION("""COMPUTED_VALUE"""),"50.000hs (L80)")</f>
        <v>50.000hs (L80)</v>
      </c>
      <c r="AO902" s="97" t="str">
        <f>IFERROR(__xludf.DUMMYFUNCTION("""COMPUTED_VALUE"""),"3 Años")</f>
        <v>3 Años</v>
      </c>
      <c r="AP902" s="97" t="str">
        <f>IFERROR(__xludf.DUMMYFUNCTION("""COMPUTED_VALUE"""),"Disponible")</f>
        <v>Disponible</v>
      </c>
      <c r="AQ902" s="97" t="str">
        <f>IFERROR(__xludf.DUMMYFUNCTION("""COMPUTED_VALUE"""),"Disponible")</f>
        <v>Disponible</v>
      </c>
      <c r="AR902" s="97" t="str">
        <f>IFERROR(__xludf.DUMMYFUNCTION("""COMPUTED_VALUE"""),"Disponible")</f>
        <v>Disponible</v>
      </c>
      <c r="AS902" s="97"/>
      <c r="AT902" s="97"/>
      <c r="AU902" s="97" t="str">
        <f>IFERROR(__xludf.DUMMYFUNCTION("""COMPUTED_VALUE"""),"Falta")</f>
        <v>Falta</v>
      </c>
      <c r="AV902" s="97" t="str">
        <f>IFERROR(__xludf.DUMMYFUNCTION("""COMPUTED_VALUE"""),"Unión")</f>
        <v>Unión</v>
      </c>
      <c r="AW902" s="97" t="str">
        <f>IFERROR(__xludf.DUMMYFUNCTION("""COMPUTED_VALUE"""),"Lineales")</f>
        <v>Lineales</v>
      </c>
      <c r="AX902" s="97" t="str">
        <f>IFERROR(__xludf.DUMMYFUNCTION("""COMPUTED_VALUE"""),"Interior")</f>
        <v>Interior</v>
      </c>
      <c r="AY902" s="97" t="str">
        <f>IFERROR(__xludf.DUMMYFUNCTION("""COMPUTED_VALUE"""),"Dyna")</f>
        <v>Dyna</v>
      </c>
      <c r="AZ902" s="97" t="str">
        <f>IFERROR(__xludf.DUMMYFUNCTION("""COMPUTED_VALUE"""),"Corriente: 300mA. No incluye tapas extremas.")</f>
        <v>Corriente: 300mA. No incluye tapas extremas.</v>
      </c>
      <c r="BA902" s="97">
        <f>IFERROR(__xludf.DUMMYFUNCTION("""COMPUTED_VALUE"""),1.0)</f>
        <v>1</v>
      </c>
      <c r="BB902" s="97">
        <f>IFERROR(__xludf.DUMMYFUNCTION("""COMPUTED_VALUE"""),1.0)</f>
        <v>1</v>
      </c>
      <c r="BC902" s="97" t="str">
        <f>IFERROR(__xludf.DUMMYFUNCTION("""COMPUTED_VALUE"""),"-")</f>
        <v>-</v>
      </c>
      <c r="BD902" s="97" t="str">
        <f>IFERROR(__xludf.DUMMYFUNCTION("""COMPUTED_VALUE"""),"DYNA")</f>
        <v>DYNA</v>
      </c>
      <c r="BE902" s="97" t="str">
        <f>IFERROR(__xludf.DUMMYFUNCTION("""COMPUTED_VALUE"""),"Finalizada")</f>
        <v>Finalizada</v>
      </c>
      <c r="BF902" s="97"/>
      <c r="BG902" s="97" t="str">
        <f>IFERROR(__xludf.DUMMYFUNCTION("""COMPUTED_VALUE"""),"Activo")</f>
        <v>Activo</v>
      </c>
    </row>
    <row r="903">
      <c r="A903" s="97">
        <f>IFERROR(__xludf.DUMMYFUNCTION("""COMPUTED_VALUE"""),6676.0)</f>
        <v>6676</v>
      </c>
      <c r="B903" s="97" t="str">
        <f>IFERROR(__xludf.DUMMYFUNCTION("""COMPUTED_VALUE"""),"DYNA UNION L NG")</f>
        <v>DYNA UNION L NG</v>
      </c>
      <c r="C903" s="97" t="str">
        <f>IFERROR(__xludf.DUMMYFUNCTION("""COMPUTED_VALUE"""),"UNIÓN DYNA UNION L NG 12,5W 2700/3300/4000K 1150LM CRI&gt;90 IP20 LEUK")</f>
        <v>UNIÓN DYNA UNION L NG 12,5W 2700/3300/4000K 1150LM CRI&gt;90 IP20 LEUK</v>
      </c>
      <c r="D903" s="97">
        <f>IFERROR(__xludf.DUMMYFUNCTION("""COMPUTED_VALUE"""),7.798413221763E12)</f>
        <v>7798413221763</v>
      </c>
      <c r="E903" s="97" t="str">
        <f>IFERROR(__xludf.DUMMYFUNCTION("""COMPUTED_VALUE"""),"i13")</f>
        <v>i13</v>
      </c>
      <c r="F903" s="97" t="str">
        <f>IFERROR(__xludf.DUMMYFUNCTION("""COMPUTED_VALUE"""),"LED integrado")</f>
        <v>LED integrado</v>
      </c>
      <c r="G903" s="97" t="str">
        <f>IFERROR(__xludf.DUMMYFUNCTION("""COMPUTED_VALUE"""),"CREE")</f>
        <v>CREE</v>
      </c>
      <c r="H903" s="97" t="str">
        <f>IFERROR(__xludf.DUMMYFUNCTION("""COMPUTED_VALUE"""),"Lifud")</f>
        <v>Lifud</v>
      </c>
      <c r="I903" s="97"/>
      <c r="J903" s="97" t="str">
        <f>IFERROR(__xludf.DUMMYFUNCTION("""COMPUTED_VALUE"""),"Modelo: LF-GMR020YS II 0300H
In: 220-240Vac 0.14A 50/60Hz
Out: 33-42Vdc 300mA 12.6W
Pf 0.9 Tc 70°C Ta 50°C")</f>
        <v>Modelo: LF-GMR020YS II 0300H
In: 220-240Vac 0.14A 50/60Hz
Out: 33-42Vdc 300mA 12.6W
Pf 0.9 Tc 70°C Ta 50°C</v>
      </c>
      <c r="K903" s="97" t="str">
        <f>IFERROR(__xludf.DUMMYFUNCTION("""COMPUTED_VALUE"""),"ON/OFF")</f>
        <v>ON/OFF</v>
      </c>
      <c r="L903" s="97" t="str">
        <f>IFERROR(__xludf.DUMMYFUNCTION("""COMPUTED_VALUE"""),"200-240")</f>
        <v>200-240</v>
      </c>
      <c r="M903" s="97" t="str">
        <f>IFERROR(__xludf.DUMMYFUNCTION("""COMPUTED_VALUE"""),"50/60")</f>
        <v>50/60</v>
      </c>
      <c r="N903" s="97"/>
      <c r="O903" s="97">
        <f>IFERROR(__xludf.DUMMYFUNCTION("""COMPUTED_VALUE"""),12.5)</f>
        <v>12.5</v>
      </c>
      <c r="P903" s="97"/>
      <c r="Q903" s="97">
        <f>IFERROR(__xludf.DUMMYFUNCTION("""COMPUTED_VALUE"""),0.9)</f>
        <v>0.9</v>
      </c>
      <c r="R903" s="97">
        <f>IFERROR(__xludf.DUMMYFUNCTION("""COMPUTED_VALUE"""),1875.0)</f>
        <v>1875</v>
      </c>
      <c r="S903" s="99">
        <f>IFERROR(__xludf.DUMMYFUNCTION("""COMPUTED_VALUE"""),135.0)</f>
        <v>135</v>
      </c>
      <c r="T903" s="99">
        <f>IFERROR(__xludf.DUMMYFUNCTION("""COMPUTED_VALUE"""),1150.0)</f>
        <v>1150</v>
      </c>
      <c r="U903" s="99">
        <f>IFERROR(__xludf.DUMMYFUNCTION("""COMPUTED_VALUE"""),92.0)</f>
        <v>92</v>
      </c>
      <c r="V903" s="97">
        <f>IFERROR(__xludf.DUMMYFUNCTION("""COMPUTED_VALUE"""),100.0)</f>
        <v>100</v>
      </c>
      <c r="W903" s="97" t="str">
        <f>IFERROR(__xludf.DUMMYFUNCTION("""COMPUTED_VALUE"""),"&lt; 20")</f>
        <v>&lt; 20</v>
      </c>
      <c r="X903" s="97" t="str">
        <f>IFERROR(__xludf.DUMMYFUNCTION("""COMPUTED_VALUE"""),"2700/3300/4000")</f>
        <v>2700/3300/4000</v>
      </c>
      <c r="Y903" s="97" t="str">
        <f>IFERROR(__xludf.DUMMYFUNCTION("""COMPUTED_VALUE"""),"&gt;90")</f>
        <v>&gt;90</v>
      </c>
      <c r="Z903" s="97"/>
      <c r="AA903" s="97"/>
      <c r="AB903" s="97" t="str">
        <f>IFERROR(__xludf.DUMMYFUNCTION("""COMPUTED_VALUE"""),"&lt; 2")</f>
        <v>&lt; 2</v>
      </c>
      <c r="AC903" s="97"/>
      <c r="AD903" s="97" t="str">
        <f>IFERROR(__xludf.DUMMYFUNCTION("""COMPUTED_VALUE"""),"IP20")</f>
        <v>IP20</v>
      </c>
      <c r="AE903" s="97" t="str">
        <f>IFERROR(__xludf.DUMMYFUNCTION("""COMPUTED_VALUE"""),"Clase l")</f>
        <v>Clase l</v>
      </c>
      <c r="AF903" s="97" t="str">
        <f>IFERROR(__xludf.DUMMYFUNCTION("""COMPUTED_VALUE"""),"Embutir, Aplicar, Suspender")</f>
        <v>Embutir, Aplicar, Suspender</v>
      </c>
      <c r="AG903" s="97" t="str">
        <f>IFERROR(__xludf.DUMMYFUNCTION("""COMPUTED_VALUE"""),"300 x 300 x 60")</f>
        <v>300 x 300 x 60</v>
      </c>
      <c r="AH903" s="97" t="str">
        <f>IFERROR(__xludf.DUMMYFUNCTION("""COMPUTED_VALUE"""),"-")</f>
        <v>-</v>
      </c>
      <c r="AI903" s="97" t="str">
        <f>IFERROR(__xludf.DUMMYFUNCTION("""COMPUTED_VALUE"""),"-")</f>
        <v>-</v>
      </c>
      <c r="AJ903" s="97" t="str">
        <f>IFERROR(__xludf.DUMMYFUNCTION("""COMPUTED_VALUE"""),"Policarbonato (PC)")</f>
        <v>Policarbonato (PC)</v>
      </c>
      <c r="AK903" s="97" t="str">
        <f>IFERROR(__xludf.DUMMYFUNCTION("""COMPUTED_VALUE"""),"Aluminio")</f>
        <v>Aluminio</v>
      </c>
      <c r="AL903" s="97" t="str">
        <f>IFERROR(__xludf.DUMMYFUNCTION("""COMPUTED_VALUE"""),"Negro Mate")</f>
        <v>Negro Mate</v>
      </c>
      <c r="AM903" s="97" t="str">
        <f>IFERROR(__xludf.DUMMYFUNCTION("""COMPUTED_VALUE"""),"-20℃ a 45℃")</f>
        <v>-20℃ a 45℃</v>
      </c>
      <c r="AN903" s="97" t="str">
        <f>IFERROR(__xludf.DUMMYFUNCTION("""COMPUTED_VALUE"""),"50.000hs (L80)")</f>
        <v>50.000hs (L80)</v>
      </c>
      <c r="AO903" s="97" t="str">
        <f>IFERROR(__xludf.DUMMYFUNCTION("""COMPUTED_VALUE"""),"3 Años")</f>
        <v>3 Años</v>
      </c>
      <c r="AP903" s="97" t="str">
        <f>IFERROR(__xludf.DUMMYFUNCTION("""COMPUTED_VALUE"""),"Disponible")</f>
        <v>Disponible</v>
      </c>
      <c r="AQ903" s="97" t="str">
        <f>IFERROR(__xludf.DUMMYFUNCTION("""COMPUTED_VALUE"""),"Disponible")</f>
        <v>Disponible</v>
      </c>
      <c r="AR903" s="97" t="str">
        <f>IFERROR(__xludf.DUMMYFUNCTION("""COMPUTED_VALUE"""),"Disponible")</f>
        <v>Disponible</v>
      </c>
      <c r="AS903" s="97"/>
      <c r="AT903" s="97"/>
      <c r="AU903" s="97" t="str">
        <f>IFERROR(__xludf.DUMMYFUNCTION("""COMPUTED_VALUE"""),"Falta")</f>
        <v>Falta</v>
      </c>
      <c r="AV903" s="97" t="str">
        <f>IFERROR(__xludf.DUMMYFUNCTION("""COMPUTED_VALUE"""),"Unión")</f>
        <v>Unión</v>
      </c>
      <c r="AW903" s="97" t="str">
        <f>IFERROR(__xludf.DUMMYFUNCTION("""COMPUTED_VALUE"""),"Lineales")</f>
        <v>Lineales</v>
      </c>
      <c r="AX903" s="97" t="str">
        <f>IFERROR(__xludf.DUMMYFUNCTION("""COMPUTED_VALUE"""),"Interior")</f>
        <v>Interior</v>
      </c>
      <c r="AY903" s="97" t="str">
        <f>IFERROR(__xludf.DUMMYFUNCTION("""COMPUTED_VALUE"""),"Dyna")</f>
        <v>Dyna</v>
      </c>
      <c r="AZ903" s="97" t="str">
        <f>IFERROR(__xludf.DUMMYFUNCTION("""COMPUTED_VALUE"""),"Corriente: 300mA. No incluye tapas extremas.")</f>
        <v>Corriente: 300mA. No incluye tapas extremas.</v>
      </c>
      <c r="BA903" s="97">
        <f>IFERROR(__xludf.DUMMYFUNCTION("""COMPUTED_VALUE"""),1.0)</f>
        <v>1</v>
      </c>
      <c r="BB903" s="97">
        <f>IFERROR(__xludf.DUMMYFUNCTION("""COMPUTED_VALUE"""),1.0)</f>
        <v>1</v>
      </c>
      <c r="BC903" s="97" t="str">
        <f>IFERROR(__xludf.DUMMYFUNCTION("""COMPUTED_VALUE"""),"-")</f>
        <v>-</v>
      </c>
      <c r="BD903" s="97" t="str">
        <f>IFERROR(__xludf.DUMMYFUNCTION("""COMPUTED_VALUE"""),"DYNA")</f>
        <v>DYNA</v>
      </c>
      <c r="BE903" s="97" t="str">
        <f>IFERROR(__xludf.DUMMYFUNCTION("""COMPUTED_VALUE"""),"Finalizada")</f>
        <v>Finalizada</v>
      </c>
      <c r="BF903" s="97"/>
      <c r="BG903" s="97" t="str">
        <f>IFERROR(__xludf.DUMMYFUNCTION("""COMPUTED_VALUE"""),"Activo")</f>
        <v>Activo</v>
      </c>
    </row>
    <row r="904">
      <c r="A904" s="97">
        <f>IFERROR(__xludf.DUMMYFUNCTION("""COMPUTED_VALUE"""),6677.0)</f>
        <v>6677</v>
      </c>
      <c r="B904" s="97" t="str">
        <f>IFERROR(__xludf.DUMMYFUNCTION("""COMPUTED_VALUE"""),"OPTIC BL 2700K")</f>
        <v>OPTIC BL 2700K</v>
      </c>
      <c r="C904" s="97" t="str">
        <f>IFERROR(__xludf.DUMMYFUNCTION("""COMPUTED_VALUE"""),"EMPOTRABLE OPTIC BL 2700K 3W 2700K 253LM CRI&gt;90 IP20 LEUK")</f>
        <v>EMPOTRABLE OPTIC BL 2700K 3W 2700K 253LM CRI&gt;90 IP20 LEUK</v>
      </c>
      <c r="D904" s="97">
        <f>IFERROR(__xludf.DUMMYFUNCTION("""COMPUTED_VALUE"""),7.798413221398E12)</f>
        <v>7798413221398</v>
      </c>
      <c r="E904" s="97"/>
      <c r="F904" s="97" t="str">
        <f>IFERROR(__xludf.DUMMYFUNCTION("""COMPUTED_VALUE"""),"LED COB")</f>
        <v>LED COB</v>
      </c>
      <c r="G904" s="97" t="str">
        <f>IFERROR(__xludf.DUMMYFUNCTION("""COMPUTED_VALUE"""),"Bridgelux")</f>
        <v>Bridgelux</v>
      </c>
      <c r="H904" s="97" t="str">
        <f>IFERROR(__xludf.DUMMYFUNCTION("""COMPUTED_VALUE"""),"-")</f>
        <v>-</v>
      </c>
      <c r="I904" s="97" t="str">
        <f>IFERROR(__xludf.DUMMYFUNCTION("""COMPUTED_VALUE"""),"Si")</f>
        <v>Si</v>
      </c>
      <c r="J904" s="97" t="str">
        <f>IFERROR(__xludf.DUMMYFUNCTION("""COMPUTED_VALUE"""),"Modelo: LED0203-300-B0
In: 85-265Vac 0.05A 50/60Hz
Out: 6-12Vdc 300mA 2-3W Pf: 0.5
Max Ta/Tc: 45°C / 85°C Flicker Free")</f>
        <v>Modelo: LED0203-300-B0
In: 85-265Vac 0.05A 50/60Hz
Out: 6-12Vdc 300mA 2-3W Pf: 0.5
Max Ta/Tc: 45°C / 85°C Flicker Free</v>
      </c>
      <c r="K904" s="97" t="str">
        <f>IFERROR(__xludf.DUMMYFUNCTION("""COMPUTED_VALUE"""),"ON/OFF")</f>
        <v>ON/OFF</v>
      </c>
      <c r="L904" s="97" t="str">
        <f>IFERROR(__xludf.DUMMYFUNCTION("""COMPUTED_VALUE"""),"200-240")</f>
        <v>200-240</v>
      </c>
      <c r="M904" s="97" t="str">
        <f>IFERROR(__xludf.DUMMYFUNCTION("""COMPUTED_VALUE"""),"50/60")</f>
        <v>50/60</v>
      </c>
      <c r="N904" s="97"/>
      <c r="O904" s="97">
        <f>IFERROR(__xludf.DUMMYFUNCTION("""COMPUTED_VALUE"""),3.0)</f>
        <v>3</v>
      </c>
      <c r="P904" s="97"/>
      <c r="Q904" s="97">
        <f>IFERROR(__xludf.DUMMYFUNCTION("""COMPUTED_VALUE"""),0.5)</f>
        <v>0.5</v>
      </c>
      <c r="R904" s="97" t="str">
        <f>IFERROR(__xludf.DUMMYFUNCTION("""COMPUTED_VALUE"""),"-")</f>
        <v>-</v>
      </c>
      <c r="S904" s="97" t="str">
        <f>IFERROR(__xludf.DUMMYFUNCTION("""COMPUTED_VALUE"""),"-")</f>
        <v>-</v>
      </c>
      <c r="T904" s="97">
        <f>IFERROR(__xludf.DUMMYFUNCTION("""COMPUTED_VALUE"""),253.0)</f>
        <v>253</v>
      </c>
      <c r="U904" s="99">
        <f>IFERROR(__xludf.DUMMYFUNCTION("""COMPUTED_VALUE"""),84.33333333333333)</f>
        <v>84.33333333</v>
      </c>
      <c r="V904" s="97">
        <f>IFERROR(__xludf.DUMMYFUNCTION("""COMPUTED_VALUE"""),64.0)</f>
        <v>64</v>
      </c>
      <c r="W904" s="97" t="str">
        <f>IFERROR(__xludf.DUMMYFUNCTION("""COMPUTED_VALUE"""),"&lt; 25")</f>
        <v>&lt; 25</v>
      </c>
      <c r="X904" s="97">
        <f>IFERROR(__xludf.DUMMYFUNCTION("""COMPUTED_VALUE"""),2700.0)</f>
        <v>2700</v>
      </c>
      <c r="Y904" s="97" t="str">
        <f>IFERROR(__xludf.DUMMYFUNCTION("""COMPUTED_VALUE"""),"&gt;90")</f>
        <v>&gt;90</v>
      </c>
      <c r="Z904" s="97"/>
      <c r="AA904" s="97"/>
      <c r="AB904" s="97" t="str">
        <f>IFERROR(__xludf.DUMMYFUNCTION("""COMPUTED_VALUE"""),"&lt; 3")</f>
        <v>&lt; 3</v>
      </c>
      <c r="AC904" s="97"/>
      <c r="AD904" s="97" t="str">
        <f>IFERROR(__xludf.DUMMYFUNCTION("""COMPUTED_VALUE"""),"IP20")</f>
        <v>IP20</v>
      </c>
      <c r="AE904" s="97" t="str">
        <f>IFERROR(__xludf.DUMMYFUNCTION("""COMPUTED_VALUE"""),"Clase l")</f>
        <v>Clase l</v>
      </c>
      <c r="AF904" s="97" t="str">
        <f>IFERROR(__xludf.DUMMYFUNCTION("""COMPUTED_VALUE"""),"Embutir")</f>
        <v>Embutir</v>
      </c>
      <c r="AG904" s="97" t="str">
        <f>IFERROR(__xludf.DUMMYFUNCTION("""COMPUTED_VALUE"""),"Ø52 x 35")</f>
        <v>Ø52 x 35</v>
      </c>
      <c r="AH904" s="97" t="str">
        <f>IFERROR(__xludf.DUMMYFUNCTION("""COMPUTED_VALUE"""),"Ø41")</f>
        <v>Ø41</v>
      </c>
      <c r="AI904" s="97">
        <f>IFERROR(__xludf.DUMMYFUNCTION("""COMPUTED_VALUE"""),44.0)</f>
        <v>44</v>
      </c>
      <c r="AJ904" s="97" t="str">
        <f>IFERROR(__xludf.DUMMYFUNCTION("""COMPUTED_VALUE"""),"Policarbonato (PC)")</f>
        <v>Policarbonato (PC)</v>
      </c>
      <c r="AK904" s="97" t="str">
        <f>IFERROR(__xludf.DUMMYFUNCTION("""COMPUTED_VALUE"""),"Aluminio")</f>
        <v>Aluminio</v>
      </c>
      <c r="AL904" s="97" t="str">
        <f>IFERROR(__xludf.DUMMYFUNCTION("""COMPUTED_VALUE"""),"Blanco Mate")</f>
        <v>Blanco Mate</v>
      </c>
      <c r="AM904" s="97" t="str">
        <f>IFERROR(__xludf.DUMMYFUNCTION("""COMPUTED_VALUE"""),"-")</f>
        <v>-</v>
      </c>
      <c r="AN904" s="97" t="str">
        <f>IFERROR(__xludf.DUMMYFUNCTION("""COMPUTED_VALUE"""),"25.000hs (L70)")</f>
        <v>25.000hs (L70)</v>
      </c>
      <c r="AO904" s="97" t="str">
        <f>IFERROR(__xludf.DUMMYFUNCTION("""COMPUTED_VALUE"""),"2 Años")</f>
        <v>2 Años</v>
      </c>
      <c r="AP904" s="97" t="str">
        <f>IFERROR(__xludf.DUMMYFUNCTION("""COMPUTED_VALUE"""),"Disponible")</f>
        <v>Disponible</v>
      </c>
      <c r="AQ904" s="97" t="str">
        <f>IFERROR(__xludf.DUMMYFUNCTION("""COMPUTED_VALUE"""),"Disponible")</f>
        <v>Disponible</v>
      </c>
      <c r="AR904" s="97" t="str">
        <f>IFERROR(__xludf.DUMMYFUNCTION("""COMPUTED_VALUE"""),"Disponible")</f>
        <v>Disponible</v>
      </c>
      <c r="AS904" s="97"/>
      <c r="AT904" s="97"/>
      <c r="AU904" s="97" t="str">
        <f>IFERROR(__xludf.DUMMYFUNCTION("""COMPUTED_VALUE"""),"Falta")</f>
        <v>Falta</v>
      </c>
      <c r="AV904" s="97" t="str">
        <f>IFERROR(__xludf.DUMMYFUNCTION("""COMPUTED_VALUE"""),"Empotrable")</f>
        <v>Empotrable</v>
      </c>
      <c r="AW904" s="97" t="str">
        <f>IFERROR(__xludf.DUMMYFUNCTION("""COMPUTED_VALUE"""),"De Techo")</f>
        <v>De Techo</v>
      </c>
      <c r="AX904" s="97" t="str">
        <f>IFERROR(__xludf.DUMMYFUNCTION("""COMPUTED_VALUE"""),"Interior")</f>
        <v>Interior</v>
      </c>
      <c r="AY904" s="97" t="str">
        <f>IFERROR(__xludf.DUMMYFUNCTION("""COMPUTED_VALUE"""),"-")</f>
        <v>-</v>
      </c>
      <c r="AZ904" s="97" t="str">
        <f>IFERROR(__xludf.DUMMYFUNCTION("""COMPUTED_VALUE"""),"Movimiento ±15°.")</f>
        <v>Movimiento ±15°.</v>
      </c>
      <c r="BA904" s="97">
        <f>IFERROR(__xludf.DUMMYFUNCTION("""COMPUTED_VALUE"""),100.0)</f>
        <v>100</v>
      </c>
      <c r="BB904" s="97" t="str">
        <f>IFERROR(__xludf.DUMMYFUNCTION("""COMPUTED_VALUE"""),"-")</f>
        <v>-</v>
      </c>
      <c r="BC904" s="97" t="str">
        <f>IFERROR(__xludf.DUMMYFUNCTION("""COMPUTED_VALUE"""),"-")</f>
        <v>-</v>
      </c>
      <c r="BD904" s="97" t="str">
        <f>IFERROR(__xludf.DUMMYFUNCTION("""COMPUTED_VALUE"""),"MINI SPOT OPTIC")</f>
        <v>MINI SPOT OPTIC</v>
      </c>
      <c r="BE904" s="97" t="str">
        <f>IFERROR(__xludf.DUMMYFUNCTION("""COMPUTED_VALUE"""),"Finalizada")</f>
        <v>Finalizada</v>
      </c>
      <c r="BF904" s="97"/>
      <c r="BG904" s="97" t="str">
        <f>IFERROR(__xludf.DUMMYFUNCTION("""COMPUTED_VALUE"""),"Activo")</f>
        <v>Activo</v>
      </c>
    </row>
    <row r="905">
      <c r="A905" s="97">
        <f>IFERROR(__xludf.DUMMYFUNCTION("""COMPUTED_VALUE"""),6678.0)</f>
        <v>6678</v>
      </c>
      <c r="B905" s="97" t="str">
        <f>IFERROR(__xludf.DUMMYFUNCTION("""COMPUTED_VALUE"""),"OPTIC NG 2700K")</f>
        <v>OPTIC NG 2700K</v>
      </c>
      <c r="C905" s="97" t="str">
        <f>IFERROR(__xludf.DUMMYFUNCTION("""COMPUTED_VALUE"""),"EMPOTRABLE OPTIC NG 2700K 3W 2700K 253LM CRI&gt;90 IP20 LEUK")</f>
        <v>EMPOTRABLE OPTIC NG 2700K 3W 2700K 253LM CRI&gt;90 IP20 LEUK</v>
      </c>
      <c r="D905" s="97">
        <f>IFERROR(__xludf.DUMMYFUNCTION("""COMPUTED_VALUE"""),7.798413221404E12)</f>
        <v>7798413221404</v>
      </c>
      <c r="E905" s="97"/>
      <c r="F905" s="97" t="str">
        <f>IFERROR(__xludf.DUMMYFUNCTION("""COMPUTED_VALUE"""),"LED COB")</f>
        <v>LED COB</v>
      </c>
      <c r="G905" s="97" t="str">
        <f>IFERROR(__xludf.DUMMYFUNCTION("""COMPUTED_VALUE"""),"Bridgelux")</f>
        <v>Bridgelux</v>
      </c>
      <c r="H905" s="97" t="str">
        <f>IFERROR(__xludf.DUMMYFUNCTION("""COMPUTED_VALUE"""),"-")</f>
        <v>-</v>
      </c>
      <c r="I905" s="97" t="str">
        <f>IFERROR(__xludf.DUMMYFUNCTION("""COMPUTED_VALUE"""),"Si")</f>
        <v>Si</v>
      </c>
      <c r="J905" s="97" t="str">
        <f>IFERROR(__xludf.DUMMYFUNCTION("""COMPUTED_VALUE"""),"Modelo: LED0203-300-B0
In: 85-265Vac 0.05A 50/60Hz
Out: 6-12Vdc 300mA 2-3W Pf: 0.5
Max Ta/Tc: 45°C / 85°C Flicker Free")</f>
        <v>Modelo: LED0203-300-B0
In: 85-265Vac 0.05A 50/60Hz
Out: 6-12Vdc 300mA 2-3W Pf: 0.5
Max Ta/Tc: 45°C / 85°C Flicker Free</v>
      </c>
      <c r="K905" s="97" t="str">
        <f>IFERROR(__xludf.DUMMYFUNCTION("""COMPUTED_VALUE"""),"ON/OFF")</f>
        <v>ON/OFF</v>
      </c>
      <c r="L905" s="97" t="str">
        <f>IFERROR(__xludf.DUMMYFUNCTION("""COMPUTED_VALUE"""),"200-240")</f>
        <v>200-240</v>
      </c>
      <c r="M905" s="97" t="str">
        <f>IFERROR(__xludf.DUMMYFUNCTION("""COMPUTED_VALUE"""),"50/60")</f>
        <v>50/60</v>
      </c>
      <c r="N905" s="97"/>
      <c r="O905" s="97">
        <f>IFERROR(__xludf.DUMMYFUNCTION("""COMPUTED_VALUE"""),3.0)</f>
        <v>3</v>
      </c>
      <c r="P905" s="97"/>
      <c r="Q905" s="97">
        <f>IFERROR(__xludf.DUMMYFUNCTION("""COMPUTED_VALUE"""),0.5)</f>
        <v>0.5</v>
      </c>
      <c r="R905" s="97" t="str">
        <f>IFERROR(__xludf.DUMMYFUNCTION("""COMPUTED_VALUE"""),"-")</f>
        <v>-</v>
      </c>
      <c r="S905" s="97" t="str">
        <f>IFERROR(__xludf.DUMMYFUNCTION("""COMPUTED_VALUE"""),"-")</f>
        <v>-</v>
      </c>
      <c r="T905" s="97">
        <f>IFERROR(__xludf.DUMMYFUNCTION("""COMPUTED_VALUE"""),253.0)</f>
        <v>253</v>
      </c>
      <c r="U905" s="99">
        <f>IFERROR(__xludf.DUMMYFUNCTION("""COMPUTED_VALUE"""),84.33333333333333)</f>
        <v>84.33333333</v>
      </c>
      <c r="V905" s="97">
        <f>IFERROR(__xludf.DUMMYFUNCTION("""COMPUTED_VALUE"""),64.0)</f>
        <v>64</v>
      </c>
      <c r="W905" s="97" t="str">
        <f>IFERROR(__xludf.DUMMYFUNCTION("""COMPUTED_VALUE"""),"&lt; 25")</f>
        <v>&lt; 25</v>
      </c>
      <c r="X905" s="97">
        <f>IFERROR(__xludf.DUMMYFUNCTION("""COMPUTED_VALUE"""),2700.0)</f>
        <v>2700</v>
      </c>
      <c r="Y905" s="97" t="str">
        <f>IFERROR(__xludf.DUMMYFUNCTION("""COMPUTED_VALUE"""),"&gt;90")</f>
        <v>&gt;90</v>
      </c>
      <c r="Z905" s="97"/>
      <c r="AA905" s="97"/>
      <c r="AB905" s="97" t="str">
        <f>IFERROR(__xludf.DUMMYFUNCTION("""COMPUTED_VALUE"""),"&lt; 3")</f>
        <v>&lt; 3</v>
      </c>
      <c r="AC905" s="97"/>
      <c r="AD905" s="97" t="str">
        <f>IFERROR(__xludf.DUMMYFUNCTION("""COMPUTED_VALUE"""),"IP20")</f>
        <v>IP20</v>
      </c>
      <c r="AE905" s="97" t="str">
        <f>IFERROR(__xludf.DUMMYFUNCTION("""COMPUTED_VALUE"""),"Clase l")</f>
        <v>Clase l</v>
      </c>
      <c r="AF905" s="97" t="str">
        <f>IFERROR(__xludf.DUMMYFUNCTION("""COMPUTED_VALUE"""),"Embutir")</f>
        <v>Embutir</v>
      </c>
      <c r="AG905" s="97" t="str">
        <f>IFERROR(__xludf.DUMMYFUNCTION("""COMPUTED_VALUE"""),"Ø52 x 35")</f>
        <v>Ø52 x 35</v>
      </c>
      <c r="AH905" s="97" t="str">
        <f>IFERROR(__xludf.DUMMYFUNCTION("""COMPUTED_VALUE"""),"Ø41")</f>
        <v>Ø41</v>
      </c>
      <c r="AI905" s="97">
        <f>IFERROR(__xludf.DUMMYFUNCTION("""COMPUTED_VALUE"""),44.0)</f>
        <v>44</v>
      </c>
      <c r="AJ905" s="97" t="str">
        <f>IFERROR(__xludf.DUMMYFUNCTION("""COMPUTED_VALUE"""),"Policarbonato (PC)")</f>
        <v>Policarbonato (PC)</v>
      </c>
      <c r="AK905" s="97" t="str">
        <f>IFERROR(__xludf.DUMMYFUNCTION("""COMPUTED_VALUE"""),"Aluminio")</f>
        <v>Aluminio</v>
      </c>
      <c r="AL905" s="97" t="str">
        <f>IFERROR(__xludf.DUMMYFUNCTION("""COMPUTED_VALUE"""),"Negro Mate")</f>
        <v>Negro Mate</v>
      </c>
      <c r="AM905" s="97" t="str">
        <f>IFERROR(__xludf.DUMMYFUNCTION("""COMPUTED_VALUE"""),"-")</f>
        <v>-</v>
      </c>
      <c r="AN905" s="97" t="str">
        <f>IFERROR(__xludf.DUMMYFUNCTION("""COMPUTED_VALUE"""),"25.000hs (L70)")</f>
        <v>25.000hs (L70)</v>
      </c>
      <c r="AO905" s="97" t="str">
        <f>IFERROR(__xludf.DUMMYFUNCTION("""COMPUTED_VALUE"""),"2 Años")</f>
        <v>2 Años</v>
      </c>
      <c r="AP905" s="97" t="str">
        <f>IFERROR(__xludf.DUMMYFUNCTION("""COMPUTED_VALUE"""),"Disponible")</f>
        <v>Disponible</v>
      </c>
      <c r="AQ905" s="97" t="str">
        <f>IFERROR(__xludf.DUMMYFUNCTION("""COMPUTED_VALUE"""),"Disponible")</f>
        <v>Disponible</v>
      </c>
      <c r="AR905" s="97" t="str">
        <f>IFERROR(__xludf.DUMMYFUNCTION("""COMPUTED_VALUE"""),"Disponible")</f>
        <v>Disponible</v>
      </c>
      <c r="AS905" s="97"/>
      <c r="AT905" s="97"/>
      <c r="AU905" s="97" t="str">
        <f>IFERROR(__xludf.DUMMYFUNCTION("""COMPUTED_VALUE"""),"Falta")</f>
        <v>Falta</v>
      </c>
      <c r="AV905" s="97" t="str">
        <f>IFERROR(__xludf.DUMMYFUNCTION("""COMPUTED_VALUE"""),"Empotrable")</f>
        <v>Empotrable</v>
      </c>
      <c r="AW905" s="97" t="str">
        <f>IFERROR(__xludf.DUMMYFUNCTION("""COMPUTED_VALUE"""),"De Techo")</f>
        <v>De Techo</v>
      </c>
      <c r="AX905" s="97" t="str">
        <f>IFERROR(__xludf.DUMMYFUNCTION("""COMPUTED_VALUE"""),"Interior")</f>
        <v>Interior</v>
      </c>
      <c r="AY905" s="97" t="str">
        <f>IFERROR(__xludf.DUMMYFUNCTION("""COMPUTED_VALUE"""),"-")</f>
        <v>-</v>
      </c>
      <c r="AZ905" s="97" t="str">
        <f>IFERROR(__xludf.DUMMYFUNCTION("""COMPUTED_VALUE"""),"Movimiento ±15°.")</f>
        <v>Movimiento ±15°.</v>
      </c>
      <c r="BA905" s="97">
        <f>IFERROR(__xludf.DUMMYFUNCTION("""COMPUTED_VALUE"""),100.0)</f>
        <v>100</v>
      </c>
      <c r="BB905" s="97" t="str">
        <f>IFERROR(__xludf.DUMMYFUNCTION("""COMPUTED_VALUE"""),"-")</f>
        <v>-</v>
      </c>
      <c r="BC905" s="97" t="str">
        <f>IFERROR(__xludf.DUMMYFUNCTION("""COMPUTED_VALUE"""),"-")</f>
        <v>-</v>
      </c>
      <c r="BD905" s="97" t="str">
        <f>IFERROR(__xludf.DUMMYFUNCTION("""COMPUTED_VALUE"""),"MINI SPOT OPTIC")</f>
        <v>MINI SPOT OPTIC</v>
      </c>
      <c r="BE905" s="97" t="str">
        <f>IFERROR(__xludf.DUMMYFUNCTION("""COMPUTED_VALUE"""),"Finalizada")</f>
        <v>Finalizada</v>
      </c>
      <c r="BF905" s="97"/>
      <c r="BG905" s="97" t="str">
        <f>IFERROR(__xludf.DUMMYFUNCTION("""COMPUTED_VALUE"""),"Activo")</f>
        <v>Activo</v>
      </c>
    </row>
    <row r="906">
      <c r="A906" s="97">
        <f>IFERROR(__xludf.DUMMYFUNCTION("""COMPUTED_VALUE"""),6679.0)</f>
        <v>6679</v>
      </c>
      <c r="B906" s="97" t="str">
        <f>IFERROR(__xludf.DUMMYFUNCTION("""COMPUTED_VALUE"""),"UKI I BL")</f>
        <v>UKI I BL</v>
      </c>
      <c r="C906" s="97" t="str">
        <f>IFERROR(__xludf.DUMMYFUNCTION("""COMPUTED_VALUE"""),"SPOT DE EMBUTIR UKI1 BLANCO LEUK")</f>
        <v>SPOT DE EMBUTIR UKI1 BLANCO LEUK</v>
      </c>
      <c r="D906" s="97">
        <f>IFERROR(__xludf.DUMMYFUNCTION("""COMPUTED_VALUE"""),7.798413221794E12)</f>
        <v>7798413221794</v>
      </c>
      <c r="E906" s="97"/>
      <c r="F906" s="97" t="str">
        <f>IFERROR(__xludf.DUMMYFUNCTION("""COMPUTED_VALUE"""),"1 x GU10")</f>
        <v>1 x GU10</v>
      </c>
      <c r="G906" s="97" t="str">
        <f>IFERROR(__xludf.DUMMYFUNCTION("""COMPUTED_VALUE"""),"N/A")</f>
        <v>N/A</v>
      </c>
      <c r="H906" s="97" t="str">
        <f>IFERROR(__xludf.DUMMYFUNCTION("""COMPUTED_VALUE"""),"N/A")</f>
        <v>N/A</v>
      </c>
      <c r="I906" s="97" t="str">
        <f>IFERROR(__xludf.DUMMYFUNCTION("""COMPUTED_VALUE"""),"N/A")</f>
        <v>N/A</v>
      </c>
      <c r="J906" s="97"/>
      <c r="K906" s="97" t="str">
        <f>IFERROR(__xludf.DUMMYFUNCTION("""COMPUTED_VALUE"""),"N/A")</f>
        <v>N/A</v>
      </c>
      <c r="L906" s="97">
        <f>IFERROR(__xludf.DUMMYFUNCTION("""COMPUTED_VALUE"""),220.0)</f>
        <v>220</v>
      </c>
      <c r="M906" s="97">
        <f>IFERROR(__xludf.DUMMYFUNCTION("""COMPUTED_VALUE"""),50.0)</f>
        <v>50</v>
      </c>
      <c r="N906" s="97"/>
      <c r="O906" s="97" t="str">
        <f>IFERROR(__xludf.DUMMYFUNCTION("""COMPUTED_VALUE"""),"1 x 50W Max")</f>
        <v>1 x 50W Max</v>
      </c>
      <c r="P906" s="97"/>
      <c r="Q906" s="97" t="str">
        <f>IFERROR(__xludf.DUMMYFUNCTION("""COMPUTED_VALUE"""),"-")</f>
        <v>-</v>
      </c>
      <c r="R906" s="97" t="str">
        <f>IFERROR(__xludf.DUMMYFUNCTION("""COMPUTED_VALUE"""),"-")</f>
        <v>-</v>
      </c>
      <c r="S906" s="97" t="str">
        <f>IFERROR(__xludf.DUMMYFUNCTION("""COMPUTED_VALUE"""),"-")</f>
        <v>-</v>
      </c>
      <c r="T906" s="97" t="str">
        <f>IFERROR(__xludf.DUMMYFUNCTION("""COMPUTED_VALUE"""),"-")</f>
        <v>-</v>
      </c>
      <c r="U906" s="97" t="str">
        <f>IFERROR(__xludf.DUMMYFUNCTION("""COMPUTED_VALUE"""),"-")</f>
        <v>-</v>
      </c>
      <c r="V906" s="97" t="str">
        <f>IFERROR(__xludf.DUMMYFUNCTION("""COMPUTED_VALUE"""),"N/A")</f>
        <v>N/A</v>
      </c>
      <c r="W906" s="97" t="str">
        <f>IFERROR(__xludf.DUMMYFUNCTION("""COMPUTED_VALUE"""),"N/A")</f>
        <v>N/A</v>
      </c>
      <c r="X906" s="97" t="str">
        <f>IFERROR(__xludf.DUMMYFUNCTION("""COMPUTED_VALUE"""),"-")</f>
        <v>-</v>
      </c>
      <c r="Y906" s="97" t="str">
        <f>IFERROR(__xludf.DUMMYFUNCTION("""COMPUTED_VALUE"""),"N/A")</f>
        <v>N/A</v>
      </c>
      <c r="Z906" s="97" t="str">
        <f>IFERROR(__xludf.DUMMYFUNCTION("""COMPUTED_VALUE"""),"N/A")</f>
        <v>N/A</v>
      </c>
      <c r="AA906" s="97" t="str">
        <f>IFERROR(__xludf.DUMMYFUNCTION("""COMPUTED_VALUE"""),"N/A")</f>
        <v>N/A</v>
      </c>
      <c r="AB906" s="97" t="str">
        <f>IFERROR(__xludf.DUMMYFUNCTION("""COMPUTED_VALUE"""),"N/A")</f>
        <v>N/A</v>
      </c>
      <c r="AC906" s="97" t="str">
        <f>IFERROR(__xludf.DUMMYFUNCTION("""COMPUTED_VALUE"""),"N/A")</f>
        <v>N/A</v>
      </c>
      <c r="AD906" s="97" t="str">
        <f>IFERROR(__xludf.DUMMYFUNCTION("""COMPUTED_VALUE"""),"IP20")</f>
        <v>IP20</v>
      </c>
      <c r="AE906" s="97" t="str">
        <f>IFERROR(__xludf.DUMMYFUNCTION("""COMPUTED_VALUE"""),"N/A")</f>
        <v>N/A</v>
      </c>
      <c r="AF906" s="97" t="str">
        <f>IFERROR(__xludf.DUMMYFUNCTION("""COMPUTED_VALUE"""),"Embutir")</f>
        <v>Embutir</v>
      </c>
      <c r="AG906" s="97" t="str">
        <f>IFERROR(__xludf.DUMMYFUNCTION("""COMPUTED_VALUE"""),"95 x 95 x 55")</f>
        <v>95 x 95 x 55</v>
      </c>
      <c r="AH906" s="97" t="str">
        <f>IFERROR(__xludf.DUMMYFUNCTION("""COMPUTED_VALUE"""),"86 x 86")</f>
        <v>86 x 86</v>
      </c>
      <c r="AI906" s="97" t="str">
        <f>IFERROR(__xludf.DUMMYFUNCTION("""COMPUTED_VALUE"""),"110 *")</f>
        <v>110 *</v>
      </c>
      <c r="AJ906" s="97" t="str">
        <f>IFERROR(__xludf.DUMMYFUNCTION("""COMPUTED_VALUE"""),"N/A")</f>
        <v>N/A</v>
      </c>
      <c r="AK906" s="97" t="str">
        <f>IFERROR(__xludf.DUMMYFUNCTION("""COMPUTED_VALUE"""),"Policarbonato (PC)")</f>
        <v>Policarbonato (PC)</v>
      </c>
      <c r="AL906" s="97" t="str">
        <f>IFERROR(__xludf.DUMMYFUNCTION("""COMPUTED_VALUE"""),"Blanco Mate")</f>
        <v>Blanco Mate</v>
      </c>
      <c r="AM906" s="97" t="str">
        <f>IFERROR(__xludf.DUMMYFUNCTION("""COMPUTED_VALUE"""),"-")</f>
        <v>-</v>
      </c>
      <c r="AN906" s="97" t="str">
        <f>IFERROR(__xludf.DUMMYFUNCTION("""COMPUTED_VALUE"""),"N/A")</f>
        <v>N/A</v>
      </c>
      <c r="AO906" s="97" t="str">
        <f>IFERROR(__xludf.DUMMYFUNCTION("""COMPUTED_VALUE"""),"8 Años")</f>
        <v>8 Años</v>
      </c>
      <c r="AP906" s="97" t="str">
        <f>IFERROR(__xludf.DUMMYFUNCTION("""COMPUTED_VALUE"""),"No Aplica")</f>
        <v>No Aplica</v>
      </c>
      <c r="AQ906" s="97" t="str">
        <f>IFERROR(__xludf.DUMMYFUNCTION("""COMPUTED_VALUE"""),"No Aplica")</f>
        <v>No Aplica</v>
      </c>
      <c r="AR906" s="97" t="str">
        <f>IFERROR(__xludf.DUMMYFUNCTION("""COMPUTED_VALUE"""),"No Aplica")</f>
        <v>No Aplica</v>
      </c>
      <c r="AS906" s="97"/>
      <c r="AT906" s="97"/>
      <c r="AU906" s="97"/>
      <c r="AV906" s="97" t="str">
        <f>IFERROR(__xludf.DUMMYFUNCTION("""COMPUTED_VALUE"""),"Empotrable")</f>
        <v>Empotrable</v>
      </c>
      <c r="AW906" s="97" t="str">
        <f>IFERROR(__xludf.DUMMYFUNCTION("""COMPUTED_VALUE"""),"De Techo")</f>
        <v>De Techo</v>
      </c>
      <c r="AX906" s="97" t="str">
        <f>IFERROR(__xludf.DUMMYFUNCTION("""COMPUTED_VALUE"""),"Interior")</f>
        <v>Interior</v>
      </c>
      <c r="AY906" s="97"/>
      <c r="AZ906"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906" s="97">
        <f>IFERROR(__xludf.DUMMYFUNCTION("""COMPUTED_VALUE"""),100.0)</f>
        <v>100</v>
      </c>
      <c r="BB906" s="97"/>
      <c r="BC906" s="97"/>
      <c r="BD906" s="97" t="str">
        <f>IFERROR(__xludf.DUMMYFUNCTION("""COMPUTED_VALUE"""),"UKI")</f>
        <v>UKI</v>
      </c>
      <c r="BE906" s="97" t="str">
        <f>IFERROR(__xludf.DUMMYFUNCTION("""COMPUTED_VALUE"""),"Finalizada")</f>
        <v>Finalizada</v>
      </c>
      <c r="BF906" s="97"/>
      <c r="BG906" s="97" t="str">
        <f>IFERROR(__xludf.DUMMYFUNCTION("""COMPUTED_VALUE"""),"Discontinuo")</f>
        <v>Discontinuo</v>
      </c>
    </row>
    <row r="907">
      <c r="A907" s="97">
        <f>IFERROR(__xludf.DUMMYFUNCTION("""COMPUTED_VALUE"""),6680.0)</f>
        <v>6680</v>
      </c>
      <c r="B907" s="97" t="str">
        <f>IFERROR(__xludf.DUMMYFUNCTION("""COMPUTED_VALUE"""),"UKI I NG")</f>
        <v>UKI I NG</v>
      </c>
      <c r="C907" s="97" t="str">
        <f>IFERROR(__xludf.DUMMYFUNCTION("""COMPUTED_VALUE"""),"SPOT DE EMBUTIR UKI1 NEGRO LEUK")</f>
        <v>SPOT DE EMBUTIR UKI1 NEGRO LEUK</v>
      </c>
      <c r="D907" s="97">
        <f>IFERROR(__xludf.DUMMYFUNCTION("""COMPUTED_VALUE"""),7.7984132218E12)</f>
        <v>7798413221800</v>
      </c>
      <c r="E907" s="97"/>
      <c r="F907" s="97" t="str">
        <f>IFERROR(__xludf.DUMMYFUNCTION("""COMPUTED_VALUE"""),"1 x GU10")</f>
        <v>1 x GU10</v>
      </c>
      <c r="G907" s="97" t="str">
        <f>IFERROR(__xludf.DUMMYFUNCTION("""COMPUTED_VALUE"""),"N/A")</f>
        <v>N/A</v>
      </c>
      <c r="H907" s="97" t="str">
        <f>IFERROR(__xludf.DUMMYFUNCTION("""COMPUTED_VALUE"""),"N/A")</f>
        <v>N/A</v>
      </c>
      <c r="I907" s="97" t="str">
        <f>IFERROR(__xludf.DUMMYFUNCTION("""COMPUTED_VALUE"""),"N/A")</f>
        <v>N/A</v>
      </c>
      <c r="J907" s="97"/>
      <c r="K907" s="97" t="str">
        <f>IFERROR(__xludf.DUMMYFUNCTION("""COMPUTED_VALUE"""),"N/A")</f>
        <v>N/A</v>
      </c>
      <c r="L907" s="97">
        <f>IFERROR(__xludf.DUMMYFUNCTION("""COMPUTED_VALUE"""),220.0)</f>
        <v>220</v>
      </c>
      <c r="M907" s="97">
        <f>IFERROR(__xludf.DUMMYFUNCTION("""COMPUTED_VALUE"""),50.0)</f>
        <v>50</v>
      </c>
      <c r="N907" s="97"/>
      <c r="O907" s="97" t="str">
        <f>IFERROR(__xludf.DUMMYFUNCTION("""COMPUTED_VALUE"""),"1 x 50W Max")</f>
        <v>1 x 50W Max</v>
      </c>
      <c r="P907" s="97"/>
      <c r="Q907" s="97" t="str">
        <f>IFERROR(__xludf.DUMMYFUNCTION("""COMPUTED_VALUE"""),"-")</f>
        <v>-</v>
      </c>
      <c r="R907" s="97" t="str">
        <f>IFERROR(__xludf.DUMMYFUNCTION("""COMPUTED_VALUE"""),"-")</f>
        <v>-</v>
      </c>
      <c r="S907" s="97" t="str">
        <f>IFERROR(__xludf.DUMMYFUNCTION("""COMPUTED_VALUE"""),"-")</f>
        <v>-</v>
      </c>
      <c r="T907" s="97" t="str">
        <f>IFERROR(__xludf.DUMMYFUNCTION("""COMPUTED_VALUE"""),"-")</f>
        <v>-</v>
      </c>
      <c r="U907" s="97" t="str">
        <f>IFERROR(__xludf.DUMMYFUNCTION("""COMPUTED_VALUE"""),"-")</f>
        <v>-</v>
      </c>
      <c r="V907" s="97" t="str">
        <f>IFERROR(__xludf.DUMMYFUNCTION("""COMPUTED_VALUE"""),"N/A")</f>
        <v>N/A</v>
      </c>
      <c r="W907" s="97" t="str">
        <f>IFERROR(__xludf.DUMMYFUNCTION("""COMPUTED_VALUE"""),"N/A")</f>
        <v>N/A</v>
      </c>
      <c r="X907" s="97" t="str">
        <f>IFERROR(__xludf.DUMMYFUNCTION("""COMPUTED_VALUE"""),"-")</f>
        <v>-</v>
      </c>
      <c r="Y907" s="97" t="str">
        <f>IFERROR(__xludf.DUMMYFUNCTION("""COMPUTED_VALUE"""),"N/A")</f>
        <v>N/A</v>
      </c>
      <c r="Z907" s="97" t="str">
        <f>IFERROR(__xludf.DUMMYFUNCTION("""COMPUTED_VALUE"""),"N/A")</f>
        <v>N/A</v>
      </c>
      <c r="AA907" s="97" t="str">
        <f>IFERROR(__xludf.DUMMYFUNCTION("""COMPUTED_VALUE"""),"N/A")</f>
        <v>N/A</v>
      </c>
      <c r="AB907" s="97" t="str">
        <f>IFERROR(__xludf.DUMMYFUNCTION("""COMPUTED_VALUE"""),"N/A")</f>
        <v>N/A</v>
      </c>
      <c r="AC907" s="97" t="str">
        <f>IFERROR(__xludf.DUMMYFUNCTION("""COMPUTED_VALUE"""),"N/A")</f>
        <v>N/A</v>
      </c>
      <c r="AD907" s="97" t="str">
        <f>IFERROR(__xludf.DUMMYFUNCTION("""COMPUTED_VALUE"""),"IP20")</f>
        <v>IP20</v>
      </c>
      <c r="AE907" s="97" t="str">
        <f>IFERROR(__xludf.DUMMYFUNCTION("""COMPUTED_VALUE"""),"N/A")</f>
        <v>N/A</v>
      </c>
      <c r="AF907" s="97" t="str">
        <f>IFERROR(__xludf.DUMMYFUNCTION("""COMPUTED_VALUE"""),"Embutir")</f>
        <v>Embutir</v>
      </c>
      <c r="AG907" s="97" t="str">
        <f>IFERROR(__xludf.DUMMYFUNCTION("""COMPUTED_VALUE"""),"95 x 95 x 55")</f>
        <v>95 x 95 x 55</v>
      </c>
      <c r="AH907" s="97" t="str">
        <f>IFERROR(__xludf.DUMMYFUNCTION("""COMPUTED_VALUE"""),"86 x 86")</f>
        <v>86 x 86</v>
      </c>
      <c r="AI907" s="97" t="str">
        <f>IFERROR(__xludf.DUMMYFUNCTION("""COMPUTED_VALUE"""),"110 *")</f>
        <v>110 *</v>
      </c>
      <c r="AJ907" s="97" t="str">
        <f>IFERROR(__xludf.DUMMYFUNCTION("""COMPUTED_VALUE"""),"N/A")</f>
        <v>N/A</v>
      </c>
      <c r="AK907" s="97" t="str">
        <f>IFERROR(__xludf.DUMMYFUNCTION("""COMPUTED_VALUE"""),"Policarbonato (PC)")</f>
        <v>Policarbonato (PC)</v>
      </c>
      <c r="AL907" s="97" t="str">
        <f>IFERROR(__xludf.DUMMYFUNCTION("""COMPUTED_VALUE"""),"Negro Mate")</f>
        <v>Negro Mate</v>
      </c>
      <c r="AM907" s="97" t="str">
        <f>IFERROR(__xludf.DUMMYFUNCTION("""COMPUTED_VALUE"""),"-")</f>
        <v>-</v>
      </c>
      <c r="AN907" s="97" t="str">
        <f>IFERROR(__xludf.DUMMYFUNCTION("""COMPUTED_VALUE"""),"N/A")</f>
        <v>N/A</v>
      </c>
      <c r="AO907" s="97" t="str">
        <f>IFERROR(__xludf.DUMMYFUNCTION("""COMPUTED_VALUE"""),"8 Años")</f>
        <v>8 Años</v>
      </c>
      <c r="AP907" s="97" t="str">
        <f>IFERROR(__xludf.DUMMYFUNCTION("""COMPUTED_VALUE"""),"No Aplica")</f>
        <v>No Aplica</v>
      </c>
      <c r="AQ907" s="97" t="str">
        <f>IFERROR(__xludf.DUMMYFUNCTION("""COMPUTED_VALUE"""),"No Aplica")</f>
        <v>No Aplica</v>
      </c>
      <c r="AR907" s="97" t="str">
        <f>IFERROR(__xludf.DUMMYFUNCTION("""COMPUTED_VALUE"""),"No Aplica")</f>
        <v>No Aplica</v>
      </c>
      <c r="AS907" s="97"/>
      <c r="AT907" s="97"/>
      <c r="AU907" s="97"/>
      <c r="AV907" s="97" t="str">
        <f>IFERROR(__xludf.DUMMYFUNCTION("""COMPUTED_VALUE"""),"Empotrable")</f>
        <v>Empotrable</v>
      </c>
      <c r="AW907" s="97" t="str">
        <f>IFERROR(__xludf.DUMMYFUNCTION("""COMPUTED_VALUE"""),"De Techo")</f>
        <v>De Techo</v>
      </c>
      <c r="AX907" s="97" t="str">
        <f>IFERROR(__xludf.DUMMYFUNCTION("""COMPUTED_VALUE"""),"Interior")</f>
        <v>Interior</v>
      </c>
      <c r="AY907" s="97"/>
      <c r="AZ907"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907" s="97">
        <f>IFERROR(__xludf.DUMMYFUNCTION("""COMPUTED_VALUE"""),100.0)</f>
        <v>100</v>
      </c>
      <c r="BB907" s="97"/>
      <c r="BC907" s="97"/>
      <c r="BD907" s="97" t="str">
        <f>IFERROR(__xludf.DUMMYFUNCTION("""COMPUTED_VALUE"""),"UKI")</f>
        <v>UKI</v>
      </c>
      <c r="BE907" s="97" t="str">
        <f>IFERROR(__xludf.DUMMYFUNCTION("""COMPUTED_VALUE"""),"Finalizada")</f>
        <v>Finalizada</v>
      </c>
      <c r="BF907" s="97"/>
      <c r="BG907" s="97" t="str">
        <f>IFERROR(__xludf.DUMMYFUNCTION("""COMPUTED_VALUE"""),"Discontinuo")</f>
        <v>Discontinuo</v>
      </c>
    </row>
    <row r="908">
      <c r="A908" s="97">
        <f>IFERROR(__xludf.DUMMYFUNCTION("""COMPUTED_VALUE"""),6681.0)</f>
        <v>6681</v>
      </c>
      <c r="B908" s="97" t="str">
        <f>IFERROR(__xludf.DUMMYFUNCTION("""COMPUTED_VALUE"""),"UKI I BLNG")</f>
        <v>UKI I BLNG</v>
      </c>
      <c r="C908" s="97" t="str">
        <f>IFERROR(__xludf.DUMMYFUNCTION("""COMPUTED_VALUE"""),"SPOT DE EMBUTIR UKI1 BLANCO Y NEGRO LEUK")</f>
        <v>SPOT DE EMBUTIR UKI1 BLANCO Y NEGRO LEUK</v>
      </c>
      <c r="D908" s="97">
        <f>IFERROR(__xludf.DUMMYFUNCTION("""COMPUTED_VALUE"""),7.798413221817E12)</f>
        <v>7798413221817</v>
      </c>
      <c r="E908" s="97"/>
      <c r="F908" s="97" t="str">
        <f>IFERROR(__xludf.DUMMYFUNCTION("""COMPUTED_VALUE"""),"1 x GU10")</f>
        <v>1 x GU10</v>
      </c>
      <c r="G908" s="97" t="str">
        <f>IFERROR(__xludf.DUMMYFUNCTION("""COMPUTED_VALUE"""),"N/A")</f>
        <v>N/A</v>
      </c>
      <c r="H908" s="97" t="str">
        <f>IFERROR(__xludf.DUMMYFUNCTION("""COMPUTED_VALUE"""),"N/A")</f>
        <v>N/A</v>
      </c>
      <c r="I908" s="97" t="str">
        <f>IFERROR(__xludf.DUMMYFUNCTION("""COMPUTED_VALUE"""),"N/A")</f>
        <v>N/A</v>
      </c>
      <c r="J908" s="97"/>
      <c r="K908" s="97" t="str">
        <f>IFERROR(__xludf.DUMMYFUNCTION("""COMPUTED_VALUE"""),"N/A")</f>
        <v>N/A</v>
      </c>
      <c r="L908" s="97">
        <f>IFERROR(__xludf.DUMMYFUNCTION("""COMPUTED_VALUE"""),220.0)</f>
        <v>220</v>
      </c>
      <c r="M908" s="97">
        <f>IFERROR(__xludf.DUMMYFUNCTION("""COMPUTED_VALUE"""),50.0)</f>
        <v>50</v>
      </c>
      <c r="N908" s="97"/>
      <c r="O908" s="97" t="str">
        <f>IFERROR(__xludf.DUMMYFUNCTION("""COMPUTED_VALUE"""),"1 x 50W Max")</f>
        <v>1 x 50W Max</v>
      </c>
      <c r="P908" s="97"/>
      <c r="Q908" s="97" t="str">
        <f>IFERROR(__xludf.DUMMYFUNCTION("""COMPUTED_VALUE"""),"-")</f>
        <v>-</v>
      </c>
      <c r="R908" s="97" t="str">
        <f>IFERROR(__xludf.DUMMYFUNCTION("""COMPUTED_VALUE"""),"-")</f>
        <v>-</v>
      </c>
      <c r="S908" s="97" t="str">
        <f>IFERROR(__xludf.DUMMYFUNCTION("""COMPUTED_VALUE"""),"-")</f>
        <v>-</v>
      </c>
      <c r="T908" s="97" t="str">
        <f>IFERROR(__xludf.DUMMYFUNCTION("""COMPUTED_VALUE"""),"-")</f>
        <v>-</v>
      </c>
      <c r="U908" s="97" t="str">
        <f>IFERROR(__xludf.DUMMYFUNCTION("""COMPUTED_VALUE"""),"-")</f>
        <v>-</v>
      </c>
      <c r="V908" s="97" t="str">
        <f>IFERROR(__xludf.DUMMYFUNCTION("""COMPUTED_VALUE"""),"N/A")</f>
        <v>N/A</v>
      </c>
      <c r="W908" s="97" t="str">
        <f>IFERROR(__xludf.DUMMYFUNCTION("""COMPUTED_VALUE"""),"N/A")</f>
        <v>N/A</v>
      </c>
      <c r="X908" s="97" t="str">
        <f>IFERROR(__xludf.DUMMYFUNCTION("""COMPUTED_VALUE"""),"-")</f>
        <v>-</v>
      </c>
      <c r="Y908" s="97" t="str">
        <f>IFERROR(__xludf.DUMMYFUNCTION("""COMPUTED_VALUE"""),"N/A")</f>
        <v>N/A</v>
      </c>
      <c r="Z908" s="97" t="str">
        <f>IFERROR(__xludf.DUMMYFUNCTION("""COMPUTED_VALUE"""),"N/A")</f>
        <v>N/A</v>
      </c>
      <c r="AA908" s="97" t="str">
        <f>IFERROR(__xludf.DUMMYFUNCTION("""COMPUTED_VALUE"""),"N/A")</f>
        <v>N/A</v>
      </c>
      <c r="AB908" s="97" t="str">
        <f>IFERROR(__xludf.DUMMYFUNCTION("""COMPUTED_VALUE"""),"N/A")</f>
        <v>N/A</v>
      </c>
      <c r="AC908" s="97" t="str">
        <f>IFERROR(__xludf.DUMMYFUNCTION("""COMPUTED_VALUE"""),"N/A")</f>
        <v>N/A</v>
      </c>
      <c r="AD908" s="97" t="str">
        <f>IFERROR(__xludf.DUMMYFUNCTION("""COMPUTED_VALUE"""),"IP20")</f>
        <v>IP20</v>
      </c>
      <c r="AE908" s="97" t="str">
        <f>IFERROR(__xludf.DUMMYFUNCTION("""COMPUTED_VALUE"""),"N/A")</f>
        <v>N/A</v>
      </c>
      <c r="AF908" s="97" t="str">
        <f>IFERROR(__xludf.DUMMYFUNCTION("""COMPUTED_VALUE"""),"Embutir")</f>
        <v>Embutir</v>
      </c>
      <c r="AG908" s="97" t="str">
        <f>IFERROR(__xludf.DUMMYFUNCTION("""COMPUTED_VALUE"""),"95 x 95 x 55")</f>
        <v>95 x 95 x 55</v>
      </c>
      <c r="AH908" s="97" t="str">
        <f>IFERROR(__xludf.DUMMYFUNCTION("""COMPUTED_VALUE"""),"86 x 86")</f>
        <v>86 x 86</v>
      </c>
      <c r="AI908" s="97" t="str">
        <f>IFERROR(__xludf.DUMMYFUNCTION("""COMPUTED_VALUE"""),"110 *")</f>
        <v>110 *</v>
      </c>
      <c r="AJ908" s="97" t="str">
        <f>IFERROR(__xludf.DUMMYFUNCTION("""COMPUTED_VALUE"""),"N/A")</f>
        <v>N/A</v>
      </c>
      <c r="AK908" s="97" t="str">
        <f>IFERROR(__xludf.DUMMYFUNCTION("""COMPUTED_VALUE"""),"Policarbonato (PC)")</f>
        <v>Policarbonato (PC)</v>
      </c>
      <c r="AL908" s="97" t="str">
        <f>IFERROR(__xludf.DUMMYFUNCTION("""COMPUTED_VALUE"""),"Blanco y Negro")</f>
        <v>Blanco y Negro</v>
      </c>
      <c r="AM908" s="97" t="str">
        <f>IFERROR(__xludf.DUMMYFUNCTION("""COMPUTED_VALUE"""),"-")</f>
        <v>-</v>
      </c>
      <c r="AN908" s="97" t="str">
        <f>IFERROR(__xludf.DUMMYFUNCTION("""COMPUTED_VALUE"""),"N/A")</f>
        <v>N/A</v>
      </c>
      <c r="AO908" s="97" t="str">
        <f>IFERROR(__xludf.DUMMYFUNCTION("""COMPUTED_VALUE"""),"8 Años")</f>
        <v>8 Años</v>
      </c>
      <c r="AP908" s="97" t="str">
        <f>IFERROR(__xludf.DUMMYFUNCTION("""COMPUTED_VALUE"""),"No Aplica")</f>
        <v>No Aplica</v>
      </c>
      <c r="AQ908" s="97" t="str">
        <f>IFERROR(__xludf.DUMMYFUNCTION("""COMPUTED_VALUE"""),"No Aplica")</f>
        <v>No Aplica</v>
      </c>
      <c r="AR908" s="97" t="str">
        <f>IFERROR(__xludf.DUMMYFUNCTION("""COMPUTED_VALUE"""),"No Aplica")</f>
        <v>No Aplica</v>
      </c>
      <c r="AS908" s="97"/>
      <c r="AT908" s="97"/>
      <c r="AU908" s="97"/>
      <c r="AV908" s="97" t="str">
        <f>IFERROR(__xludf.DUMMYFUNCTION("""COMPUTED_VALUE"""),"Empotrable")</f>
        <v>Empotrable</v>
      </c>
      <c r="AW908" s="97" t="str">
        <f>IFERROR(__xludf.DUMMYFUNCTION("""COMPUTED_VALUE"""),"De Techo")</f>
        <v>De Techo</v>
      </c>
      <c r="AX908" s="97" t="str">
        <f>IFERROR(__xludf.DUMMYFUNCTION("""COMPUTED_VALUE"""),"Interior")</f>
        <v>Interior</v>
      </c>
      <c r="AY908" s="97"/>
      <c r="AZ908"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908" s="97">
        <f>IFERROR(__xludf.DUMMYFUNCTION("""COMPUTED_VALUE"""),100.0)</f>
        <v>100</v>
      </c>
      <c r="BB908" s="97"/>
      <c r="BC908" s="97"/>
      <c r="BD908" s="97" t="str">
        <f>IFERROR(__xludf.DUMMYFUNCTION("""COMPUTED_VALUE"""),"UKI")</f>
        <v>UKI</v>
      </c>
      <c r="BE908" s="97" t="str">
        <f>IFERROR(__xludf.DUMMYFUNCTION("""COMPUTED_VALUE"""),"Finalizada")</f>
        <v>Finalizada</v>
      </c>
      <c r="BF908" s="97"/>
      <c r="BG908" s="97" t="str">
        <f>IFERROR(__xludf.DUMMYFUNCTION("""COMPUTED_VALUE"""),"Discontinuo")</f>
        <v>Discontinuo</v>
      </c>
    </row>
    <row r="909">
      <c r="A909" s="97">
        <f>IFERROR(__xludf.DUMMYFUNCTION("""COMPUTED_VALUE"""),6682.0)</f>
        <v>6682</v>
      </c>
      <c r="B909" s="97" t="str">
        <f>IFERROR(__xludf.DUMMYFUNCTION("""COMPUTED_VALUE"""),"ASA I BL")</f>
        <v>ASA I BL</v>
      </c>
      <c r="C909" s="97" t="str">
        <f>IFERROR(__xludf.DUMMYFUNCTION("""COMPUTED_VALUE"""),"SPOT DE EMBUTIR ASA1 BLANCO LEUK")</f>
        <v>SPOT DE EMBUTIR ASA1 BLANCO LEUK</v>
      </c>
      <c r="D909" s="97">
        <f>IFERROR(__xludf.DUMMYFUNCTION("""COMPUTED_VALUE"""),7.798413221824E12)</f>
        <v>7798413221824</v>
      </c>
      <c r="E909" s="97"/>
      <c r="F909" s="97" t="str">
        <f>IFERROR(__xludf.DUMMYFUNCTION("""COMPUTED_VALUE"""),"1 x GU10")</f>
        <v>1 x GU10</v>
      </c>
      <c r="G909" s="97" t="str">
        <f>IFERROR(__xludf.DUMMYFUNCTION("""COMPUTED_VALUE"""),"N/A")</f>
        <v>N/A</v>
      </c>
      <c r="H909" s="97" t="str">
        <f>IFERROR(__xludf.DUMMYFUNCTION("""COMPUTED_VALUE"""),"N/A")</f>
        <v>N/A</v>
      </c>
      <c r="I909" s="97" t="str">
        <f>IFERROR(__xludf.DUMMYFUNCTION("""COMPUTED_VALUE"""),"N/A")</f>
        <v>N/A</v>
      </c>
      <c r="J909" s="97"/>
      <c r="K909" s="97" t="str">
        <f>IFERROR(__xludf.DUMMYFUNCTION("""COMPUTED_VALUE"""),"N/A")</f>
        <v>N/A</v>
      </c>
      <c r="L909" s="97">
        <f>IFERROR(__xludf.DUMMYFUNCTION("""COMPUTED_VALUE"""),220.0)</f>
        <v>220</v>
      </c>
      <c r="M909" s="97">
        <f>IFERROR(__xludf.DUMMYFUNCTION("""COMPUTED_VALUE"""),50.0)</f>
        <v>50</v>
      </c>
      <c r="N909" s="97"/>
      <c r="O909" s="97" t="str">
        <f>IFERROR(__xludf.DUMMYFUNCTION("""COMPUTED_VALUE"""),"1 x 50W Max")</f>
        <v>1 x 50W Max</v>
      </c>
      <c r="P909" s="97"/>
      <c r="Q909" s="97" t="str">
        <f>IFERROR(__xludf.DUMMYFUNCTION("""COMPUTED_VALUE"""),"-")</f>
        <v>-</v>
      </c>
      <c r="R909" s="97" t="str">
        <f>IFERROR(__xludf.DUMMYFUNCTION("""COMPUTED_VALUE"""),"-")</f>
        <v>-</v>
      </c>
      <c r="S909" s="97" t="str">
        <f>IFERROR(__xludf.DUMMYFUNCTION("""COMPUTED_VALUE"""),"-")</f>
        <v>-</v>
      </c>
      <c r="T909" s="97" t="str">
        <f>IFERROR(__xludf.DUMMYFUNCTION("""COMPUTED_VALUE"""),"-")</f>
        <v>-</v>
      </c>
      <c r="U909" s="97" t="str">
        <f>IFERROR(__xludf.DUMMYFUNCTION("""COMPUTED_VALUE"""),"-")</f>
        <v>-</v>
      </c>
      <c r="V909" s="97" t="str">
        <f>IFERROR(__xludf.DUMMYFUNCTION("""COMPUTED_VALUE"""),"N/A")</f>
        <v>N/A</v>
      </c>
      <c r="W909" s="97" t="str">
        <f>IFERROR(__xludf.DUMMYFUNCTION("""COMPUTED_VALUE"""),"N/A")</f>
        <v>N/A</v>
      </c>
      <c r="X909" s="97" t="str">
        <f>IFERROR(__xludf.DUMMYFUNCTION("""COMPUTED_VALUE"""),"-")</f>
        <v>-</v>
      </c>
      <c r="Y909" s="97" t="str">
        <f>IFERROR(__xludf.DUMMYFUNCTION("""COMPUTED_VALUE"""),"N/A")</f>
        <v>N/A</v>
      </c>
      <c r="Z909" s="97" t="str">
        <f>IFERROR(__xludf.DUMMYFUNCTION("""COMPUTED_VALUE"""),"N/A")</f>
        <v>N/A</v>
      </c>
      <c r="AA909" s="97" t="str">
        <f>IFERROR(__xludf.DUMMYFUNCTION("""COMPUTED_VALUE"""),"N/A")</f>
        <v>N/A</v>
      </c>
      <c r="AB909" s="97" t="str">
        <f>IFERROR(__xludf.DUMMYFUNCTION("""COMPUTED_VALUE"""),"N/A")</f>
        <v>N/A</v>
      </c>
      <c r="AC909" s="97" t="str">
        <f>IFERROR(__xludf.DUMMYFUNCTION("""COMPUTED_VALUE"""),"N/A")</f>
        <v>N/A</v>
      </c>
      <c r="AD909" s="97" t="str">
        <f>IFERROR(__xludf.DUMMYFUNCTION("""COMPUTED_VALUE"""),"IP20")</f>
        <v>IP20</v>
      </c>
      <c r="AE909" s="97" t="str">
        <f>IFERROR(__xludf.DUMMYFUNCTION("""COMPUTED_VALUE"""),"N/A")</f>
        <v>N/A</v>
      </c>
      <c r="AF909" s="97" t="str">
        <f>IFERROR(__xludf.DUMMYFUNCTION("""COMPUTED_VALUE"""),"Embutir")</f>
        <v>Embutir</v>
      </c>
      <c r="AG909" s="97" t="str">
        <f>IFERROR(__xludf.DUMMYFUNCTION("""COMPUTED_VALUE"""),"Ø95 x 50")</f>
        <v>Ø95 x 50</v>
      </c>
      <c r="AH909" s="97" t="str">
        <f>IFERROR(__xludf.DUMMYFUNCTION("""COMPUTED_VALUE"""),"Ø86")</f>
        <v>Ø86</v>
      </c>
      <c r="AI909" s="97" t="str">
        <f>IFERROR(__xludf.DUMMYFUNCTION("""COMPUTED_VALUE"""),"110 *")</f>
        <v>110 *</v>
      </c>
      <c r="AJ909" s="97" t="str">
        <f>IFERROR(__xludf.DUMMYFUNCTION("""COMPUTED_VALUE"""),"N/A")</f>
        <v>N/A</v>
      </c>
      <c r="AK909" s="97" t="str">
        <f>IFERROR(__xludf.DUMMYFUNCTION("""COMPUTED_VALUE"""),"Policarbonato (PC)")</f>
        <v>Policarbonato (PC)</v>
      </c>
      <c r="AL909" s="97" t="str">
        <f>IFERROR(__xludf.DUMMYFUNCTION("""COMPUTED_VALUE"""),"Blanco Mate")</f>
        <v>Blanco Mate</v>
      </c>
      <c r="AM909" s="97" t="str">
        <f>IFERROR(__xludf.DUMMYFUNCTION("""COMPUTED_VALUE"""),"-")</f>
        <v>-</v>
      </c>
      <c r="AN909" s="97" t="str">
        <f>IFERROR(__xludf.DUMMYFUNCTION("""COMPUTED_VALUE"""),"N/A")</f>
        <v>N/A</v>
      </c>
      <c r="AO909" s="97" t="str">
        <f>IFERROR(__xludf.DUMMYFUNCTION("""COMPUTED_VALUE"""),"8 Años")</f>
        <v>8 Años</v>
      </c>
      <c r="AP909" s="97" t="str">
        <f>IFERROR(__xludf.DUMMYFUNCTION("""COMPUTED_VALUE"""),"No Aplica")</f>
        <v>No Aplica</v>
      </c>
      <c r="AQ909" s="97" t="str">
        <f>IFERROR(__xludf.DUMMYFUNCTION("""COMPUTED_VALUE"""),"No Aplica")</f>
        <v>No Aplica</v>
      </c>
      <c r="AR909" s="97" t="str">
        <f>IFERROR(__xludf.DUMMYFUNCTION("""COMPUTED_VALUE"""),"No Aplica")</f>
        <v>No Aplica</v>
      </c>
      <c r="AS909" s="97"/>
      <c r="AT909" s="97"/>
      <c r="AU909" s="97"/>
      <c r="AV909" s="97" t="str">
        <f>IFERROR(__xludf.DUMMYFUNCTION("""COMPUTED_VALUE"""),"Empotrable")</f>
        <v>Empotrable</v>
      </c>
      <c r="AW909" s="97" t="str">
        <f>IFERROR(__xludf.DUMMYFUNCTION("""COMPUTED_VALUE"""),"De Techo")</f>
        <v>De Techo</v>
      </c>
      <c r="AX909" s="97" t="str">
        <f>IFERROR(__xludf.DUMMYFUNCTION("""COMPUTED_VALUE"""),"Interior")</f>
        <v>Interior</v>
      </c>
      <c r="AY909" s="97"/>
      <c r="AZ909"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909" s="97">
        <f>IFERROR(__xludf.DUMMYFUNCTION("""COMPUTED_VALUE"""),100.0)</f>
        <v>100</v>
      </c>
      <c r="BB909" s="97"/>
      <c r="BC909" s="97"/>
      <c r="BD909" s="97" t="str">
        <f>IFERROR(__xludf.DUMMYFUNCTION("""COMPUTED_VALUE"""),"ASA")</f>
        <v>ASA</v>
      </c>
      <c r="BE909" s="97" t="str">
        <f>IFERROR(__xludf.DUMMYFUNCTION("""COMPUTED_VALUE"""),"Finalizada")</f>
        <v>Finalizada</v>
      </c>
      <c r="BF909" s="97"/>
      <c r="BG909" s="97" t="str">
        <f>IFERROR(__xludf.DUMMYFUNCTION("""COMPUTED_VALUE"""),"Discontinuo")</f>
        <v>Discontinuo</v>
      </c>
    </row>
    <row r="910">
      <c r="A910" s="97">
        <f>IFERROR(__xludf.DUMMYFUNCTION("""COMPUTED_VALUE"""),6683.0)</f>
        <v>6683</v>
      </c>
      <c r="B910" s="97" t="str">
        <f>IFERROR(__xludf.DUMMYFUNCTION("""COMPUTED_VALUE"""),"ASA I BLNG")</f>
        <v>ASA I BLNG</v>
      </c>
      <c r="C910" s="97" t="str">
        <f>IFERROR(__xludf.DUMMYFUNCTION("""COMPUTED_VALUE"""),"SPOT DE EMBUTIR ASA1 BLANCO Y NEGRO LEUK")</f>
        <v>SPOT DE EMBUTIR ASA1 BLANCO Y NEGRO LEUK</v>
      </c>
      <c r="D910" s="97">
        <f>IFERROR(__xludf.DUMMYFUNCTION("""COMPUTED_VALUE"""),7.798413221831E12)</f>
        <v>7798413221831</v>
      </c>
      <c r="E910" s="97"/>
      <c r="F910" s="97" t="str">
        <f>IFERROR(__xludf.DUMMYFUNCTION("""COMPUTED_VALUE"""),"1 x GU10")</f>
        <v>1 x GU10</v>
      </c>
      <c r="G910" s="97" t="str">
        <f>IFERROR(__xludf.DUMMYFUNCTION("""COMPUTED_VALUE"""),"N/A")</f>
        <v>N/A</v>
      </c>
      <c r="H910" s="97" t="str">
        <f>IFERROR(__xludf.DUMMYFUNCTION("""COMPUTED_VALUE"""),"N/A")</f>
        <v>N/A</v>
      </c>
      <c r="I910" s="97" t="str">
        <f>IFERROR(__xludf.DUMMYFUNCTION("""COMPUTED_VALUE"""),"N/A")</f>
        <v>N/A</v>
      </c>
      <c r="J910" s="97"/>
      <c r="K910" s="97" t="str">
        <f>IFERROR(__xludf.DUMMYFUNCTION("""COMPUTED_VALUE"""),"N/A")</f>
        <v>N/A</v>
      </c>
      <c r="L910" s="97">
        <f>IFERROR(__xludf.DUMMYFUNCTION("""COMPUTED_VALUE"""),220.0)</f>
        <v>220</v>
      </c>
      <c r="M910" s="97">
        <f>IFERROR(__xludf.DUMMYFUNCTION("""COMPUTED_VALUE"""),50.0)</f>
        <v>50</v>
      </c>
      <c r="N910" s="97"/>
      <c r="O910" s="97" t="str">
        <f>IFERROR(__xludf.DUMMYFUNCTION("""COMPUTED_VALUE"""),"1 x 50W Max")</f>
        <v>1 x 50W Max</v>
      </c>
      <c r="P910" s="97"/>
      <c r="Q910" s="97" t="str">
        <f>IFERROR(__xludf.DUMMYFUNCTION("""COMPUTED_VALUE"""),"-")</f>
        <v>-</v>
      </c>
      <c r="R910" s="97" t="str">
        <f>IFERROR(__xludf.DUMMYFUNCTION("""COMPUTED_VALUE"""),"-")</f>
        <v>-</v>
      </c>
      <c r="S910" s="97" t="str">
        <f>IFERROR(__xludf.DUMMYFUNCTION("""COMPUTED_VALUE"""),"-")</f>
        <v>-</v>
      </c>
      <c r="T910" s="97" t="str">
        <f>IFERROR(__xludf.DUMMYFUNCTION("""COMPUTED_VALUE"""),"-")</f>
        <v>-</v>
      </c>
      <c r="U910" s="97" t="str">
        <f>IFERROR(__xludf.DUMMYFUNCTION("""COMPUTED_VALUE"""),"-")</f>
        <v>-</v>
      </c>
      <c r="V910" s="97" t="str">
        <f>IFERROR(__xludf.DUMMYFUNCTION("""COMPUTED_VALUE"""),"N/A")</f>
        <v>N/A</v>
      </c>
      <c r="W910" s="97" t="str">
        <f>IFERROR(__xludf.DUMMYFUNCTION("""COMPUTED_VALUE"""),"N/A")</f>
        <v>N/A</v>
      </c>
      <c r="X910" s="97" t="str">
        <f>IFERROR(__xludf.DUMMYFUNCTION("""COMPUTED_VALUE"""),"-")</f>
        <v>-</v>
      </c>
      <c r="Y910" s="97" t="str">
        <f>IFERROR(__xludf.DUMMYFUNCTION("""COMPUTED_VALUE"""),"N/A")</f>
        <v>N/A</v>
      </c>
      <c r="Z910" s="97" t="str">
        <f>IFERROR(__xludf.DUMMYFUNCTION("""COMPUTED_VALUE"""),"N/A")</f>
        <v>N/A</v>
      </c>
      <c r="AA910" s="97" t="str">
        <f>IFERROR(__xludf.DUMMYFUNCTION("""COMPUTED_VALUE"""),"N/A")</f>
        <v>N/A</v>
      </c>
      <c r="AB910" s="97" t="str">
        <f>IFERROR(__xludf.DUMMYFUNCTION("""COMPUTED_VALUE"""),"N/A")</f>
        <v>N/A</v>
      </c>
      <c r="AC910" s="97" t="str">
        <f>IFERROR(__xludf.DUMMYFUNCTION("""COMPUTED_VALUE"""),"N/A")</f>
        <v>N/A</v>
      </c>
      <c r="AD910" s="97" t="str">
        <f>IFERROR(__xludf.DUMMYFUNCTION("""COMPUTED_VALUE"""),"IP20")</f>
        <v>IP20</v>
      </c>
      <c r="AE910" s="97" t="str">
        <f>IFERROR(__xludf.DUMMYFUNCTION("""COMPUTED_VALUE"""),"N/A")</f>
        <v>N/A</v>
      </c>
      <c r="AF910" s="97" t="str">
        <f>IFERROR(__xludf.DUMMYFUNCTION("""COMPUTED_VALUE"""),"Embutir")</f>
        <v>Embutir</v>
      </c>
      <c r="AG910" s="97" t="str">
        <f>IFERROR(__xludf.DUMMYFUNCTION("""COMPUTED_VALUE"""),"Ø95 x 50")</f>
        <v>Ø95 x 50</v>
      </c>
      <c r="AH910" s="97" t="str">
        <f>IFERROR(__xludf.DUMMYFUNCTION("""COMPUTED_VALUE"""),"Ø86")</f>
        <v>Ø86</v>
      </c>
      <c r="AI910" s="97" t="str">
        <f>IFERROR(__xludf.DUMMYFUNCTION("""COMPUTED_VALUE"""),"110 *")</f>
        <v>110 *</v>
      </c>
      <c r="AJ910" s="97" t="str">
        <f>IFERROR(__xludf.DUMMYFUNCTION("""COMPUTED_VALUE"""),"N/A")</f>
        <v>N/A</v>
      </c>
      <c r="AK910" s="97" t="str">
        <f>IFERROR(__xludf.DUMMYFUNCTION("""COMPUTED_VALUE"""),"Policarbonato (PC)")</f>
        <v>Policarbonato (PC)</v>
      </c>
      <c r="AL910" s="97" t="str">
        <f>IFERROR(__xludf.DUMMYFUNCTION("""COMPUTED_VALUE"""),"Blanco y Negro")</f>
        <v>Blanco y Negro</v>
      </c>
      <c r="AM910" s="97" t="str">
        <f>IFERROR(__xludf.DUMMYFUNCTION("""COMPUTED_VALUE"""),"-")</f>
        <v>-</v>
      </c>
      <c r="AN910" s="97" t="str">
        <f>IFERROR(__xludf.DUMMYFUNCTION("""COMPUTED_VALUE"""),"N/A")</f>
        <v>N/A</v>
      </c>
      <c r="AO910" s="97" t="str">
        <f>IFERROR(__xludf.DUMMYFUNCTION("""COMPUTED_VALUE"""),"8 Años")</f>
        <v>8 Años</v>
      </c>
      <c r="AP910" s="97" t="str">
        <f>IFERROR(__xludf.DUMMYFUNCTION("""COMPUTED_VALUE"""),"No Aplica")</f>
        <v>No Aplica</v>
      </c>
      <c r="AQ910" s="97" t="str">
        <f>IFERROR(__xludf.DUMMYFUNCTION("""COMPUTED_VALUE"""),"No Aplica")</f>
        <v>No Aplica</v>
      </c>
      <c r="AR910" s="97" t="str">
        <f>IFERROR(__xludf.DUMMYFUNCTION("""COMPUTED_VALUE"""),"No Aplica")</f>
        <v>No Aplica</v>
      </c>
      <c r="AS910" s="97"/>
      <c r="AT910" s="97"/>
      <c r="AU910" s="97"/>
      <c r="AV910" s="97" t="str">
        <f>IFERROR(__xludf.DUMMYFUNCTION("""COMPUTED_VALUE"""),"Empotrable")</f>
        <v>Empotrable</v>
      </c>
      <c r="AW910" s="97" t="str">
        <f>IFERROR(__xludf.DUMMYFUNCTION("""COMPUTED_VALUE"""),"De Techo")</f>
        <v>De Techo</v>
      </c>
      <c r="AX910" s="97" t="str">
        <f>IFERROR(__xludf.DUMMYFUNCTION("""COMPUTED_VALUE"""),"Interior")</f>
        <v>Interior</v>
      </c>
      <c r="AY910" s="97"/>
      <c r="AZ910"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910" s="97">
        <f>IFERROR(__xludf.DUMMYFUNCTION("""COMPUTED_VALUE"""),100.0)</f>
        <v>100</v>
      </c>
      <c r="BB910" s="97"/>
      <c r="BC910" s="97"/>
      <c r="BD910" s="97" t="str">
        <f>IFERROR(__xludf.DUMMYFUNCTION("""COMPUTED_VALUE"""),"ASA")</f>
        <v>ASA</v>
      </c>
      <c r="BE910" s="97" t="str">
        <f>IFERROR(__xludf.DUMMYFUNCTION("""COMPUTED_VALUE"""),"Finalizada")</f>
        <v>Finalizada</v>
      </c>
      <c r="BF910" s="97"/>
      <c r="BG910" s="97" t="str">
        <f>IFERROR(__xludf.DUMMYFUNCTION("""COMPUTED_VALUE"""),"Discontinuo")</f>
        <v>Discontinuo</v>
      </c>
    </row>
    <row r="911">
      <c r="A911" s="97">
        <f>IFERROR(__xludf.DUMMYFUNCTION("""COMPUTED_VALUE"""),6684.0)</f>
        <v>6684</v>
      </c>
      <c r="B911" s="97" t="str">
        <f>IFERROR(__xludf.DUMMYFUNCTION("""COMPUTED_VALUE"""),"ASA I NG")</f>
        <v>ASA I NG</v>
      </c>
      <c r="C911" s="97" t="str">
        <f>IFERROR(__xludf.DUMMYFUNCTION("""COMPUTED_VALUE"""),"SPOT DE EMBUTIR ASA1 NEGRO LEUK")</f>
        <v>SPOT DE EMBUTIR ASA1 NEGRO LEUK</v>
      </c>
      <c r="D911" s="97">
        <f>IFERROR(__xludf.DUMMYFUNCTION("""COMPUTED_VALUE"""),7.798413221848E12)</f>
        <v>7798413221848</v>
      </c>
      <c r="E911" s="97"/>
      <c r="F911" s="97" t="str">
        <f>IFERROR(__xludf.DUMMYFUNCTION("""COMPUTED_VALUE"""),"1 x GU10")</f>
        <v>1 x GU10</v>
      </c>
      <c r="G911" s="97" t="str">
        <f>IFERROR(__xludf.DUMMYFUNCTION("""COMPUTED_VALUE"""),"N/A")</f>
        <v>N/A</v>
      </c>
      <c r="H911" s="97" t="str">
        <f>IFERROR(__xludf.DUMMYFUNCTION("""COMPUTED_VALUE"""),"N/A")</f>
        <v>N/A</v>
      </c>
      <c r="I911" s="97" t="str">
        <f>IFERROR(__xludf.DUMMYFUNCTION("""COMPUTED_VALUE"""),"N/A")</f>
        <v>N/A</v>
      </c>
      <c r="J911" s="97"/>
      <c r="K911" s="97" t="str">
        <f>IFERROR(__xludf.DUMMYFUNCTION("""COMPUTED_VALUE"""),"N/A")</f>
        <v>N/A</v>
      </c>
      <c r="L911" s="97">
        <f>IFERROR(__xludf.DUMMYFUNCTION("""COMPUTED_VALUE"""),220.0)</f>
        <v>220</v>
      </c>
      <c r="M911" s="97">
        <f>IFERROR(__xludf.DUMMYFUNCTION("""COMPUTED_VALUE"""),50.0)</f>
        <v>50</v>
      </c>
      <c r="N911" s="97"/>
      <c r="O911" s="97" t="str">
        <f>IFERROR(__xludf.DUMMYFUNCTION("""COMPUTED_VALUE"""),"1 x 50W Max")</f>
        <v>1 x 50W Max</v>
      </c>
      <c r="P911" s="97"/>
      <c r="Q911" s="97" t="str">
        <f>IFERROR(__xludf.DUMMYFUNCTION("""COMPUTED_VALUE"""),"-")</f>
        <v>-</v>
      </c>
      <c r="R911" s="97" t="str">
        <f>IFERROR(__xludf.DUMMYFUNCTION("""COMPUTED_VALUE"""),"-")</f>
        <v>-</v>
      </c>
      <c r="S911" s="97" t="str">
        <f>IFERROR(__xludf.DUMMYFUNCTION("""COMPUTED_VALUE"""),"-")</f>
        <v>-</v>
      </c>
      <c r="T911" s="97" t="str">
        <f>IFERROR(__xludf.DUMMYFUNCTION("""COMPUTED_VALUE"""),"-")</f>
        <v>-</v>
      </c>
      <c r="U911" s="97" t="str">
        <f>IFERROR(__xludf.DUMMYFUNCTION("""COMPUTED_VALUE"""),"-")</f>
        <v>-</v>
      </c>
      <c r="V911" s="97" t="str">
        <f>IFERROR(__xludf.DUMMYFUNCTION("""COMPUTED_VALUE"""),"N/A")</f>
        <v>N/A</v>
      </c>
      <c r="W911" s="97" t="str">
        <f>IFERROR(__xludf.DUMMYFUNCTION("""COMPUTED_VALUE"""),"N/A")</f>
        <v>N/A</v>
      </c>
      <c r="X911" s="97" t="str">
        <f>IFERROR(__xludf.DUMMYFUNCTION("""COMPUTED_VALUE"""),"-")</f>
        <v>-</v>
      </c>
      <c r="Y911" s="97" t="str">
        <f>IFERROR(__xludf.DUMMYFUNCTION("""COMPUTED_VALUE"""),"N/A")</f>
        <v>N/A</v>
      </c>
      <c r="Z911" s="97" t="str">
        <f>IFERROR(__xludf.DUMMYFUNCTION("""COMPUTED_VALUE"""),"N/A")</f>
        <v>N/A</v>
      </c>
      <c r="AA911" s="97" t="str">
        <f>IFERROR(__xludf.DUMMYFUNCTION("""COMPUTED_VALUE"""),"N/A")</f>
        <v>N/A</v>
      </c>
      <c r="AB911" s="97" t="str">
        <f>IFERROR(__xludf.DUMMYFUNCTION("""COMPUTED_VALUE"""),"N/A")</f>
        <v>N/A</v>
      </c>
      <c r="AC911" s="97" t="str">
        <f>IFERROR(__xludf.DUMMYFUNCTION("""COMPUTED_VALUE"""),"N/A")</f>
        <v>N/A</v>
      </c>
      <c r="AD911" s="97" t="str">
        <f>IFERROR(__xludf.DUMMYFUNCTION("""COMPUTED_VALUE"""),"IP20")</f>
        <v>IP20</v>
      </c>
      <c r="AE911" s="97" t="str">
        <f>IFERROR(__xludf.DUMMYFUNCTION("""COMPUTED_VALUE"""),"N/A")</f>
        <v>N/A</v>
      </c>
      <c r="AF911" s="97" t="str">
        <f>IFERROR(__xludf.DUMMYFUNCTION("""COMPUTED_VALUE"""),"Embutir")</f>
        <v>Embutir</v>
      </c>
      <c r="AG911" s="97" t="str">
        <f>IFERROR(__xludf.DUMMYFUNCTION("""COMPUTED_VALUE"""),"Ø95 x 50")</f>
        <v>Ø95 x 50</v>
      </c>
      <c r="AH911" s="97" t="str">
        <f>IFERROR(__xludf.DUMMYFUNCTION("""COMPUTED_VALUE"""),"Ø86")</f>
        <v>Ø86</v>
      </c>
      <c r="AI911" s="97" t="str">
        <f>IFERROR(__xludf.DUMMYFUNCTION("""COMPUTED_VALUE"""),"110 *")</f>
        <v>110 *</v>
      </c>
      <c r="AJ911" s="97" t="str">
        <f>IFERROR(__xludf.DUMMYFUNCTION("""COMPUTED_VALUE"""),"N/A")</f>
        <v>N/A</v>
      </c>
      <c r="AK911" s="97" t="str">
        <f>IFERROR(__xludf.DUMMYFUNCTION("""COMPUTED_VALUE"""),"Policarbonato (PC)")</f>
        <v>Policarbonato (PC)</v>
      </c>
      <c r="AL911" s="97" t="str">
        <f>IFERROR(__xludf.DUMMYFUNCTION("""COMPUTED_VALUE"""),"Negro Mate")</f>
        <v>Negro Mate</v>
      </c>
      <c r="AM911" s="97" t="str">
        <f>IFERROR(__xludf.DUMMYFUNCTION("""COMPUTED_VALUE"""),"-")</f>
        <v>-</v>
      </c>
      <c r="AN911" s="97" t="str">
        <f>IFERROR(__xludf.DUMMYFUNCTION("""COMPUTED_VALUE"""),"N/A")</f>
        <v>N/A</v>
      </c>
      <c r="AO911" s="97" t="str">
        <f>IFERROR(__xludf.DUMMYFUNCTION("""COMPUTED_VALUE"""),"8 Años")</f>
        <v>8 Años</v>
      </c>
      <c r="AP911" s="97" t="str">
        <f>IFERROR(__xludf.DUMMYFUNCTION("""COMPUTED_VALUE"""),"No Aplica")</f>
        <v>No Aplica</v>
      </c>
      <c r="AQ911" s="97" t="str">
        <f>IFERROR(__xludf.DUMMYFUNCTION("""COMPUTED_VALUE"""),"No Aplica")</f>
        <v>No Aplica</v>
      </c>
      <c r="AR911" s="97" t="str">
        <f>IFERROR(__xludf.DUMMYFUNCTION("""COMPUTED_VALUE"""),"No Aplica")</f>
        <v>No Aplica</v>
      </c>
      <c r="AS911" s="97"/>
      <c r="AT911" s="97"/>
      <c r="AU911" s="97"/>
      <c r="AV911" s="97" t="str">
        <f>IFERROR(__xludf.DUMMYFUNCTION("""COMPUTED_VALUE"""),"Empotrable")</f>
        <v>Empotrable</v>
      </c>
      <c r="AW911" s="97" t="str">
        <f>IFERROR(__xludf.DUMMYFUNCTION("""COMPUTED_VALUE"""),"De Techo")</f>
        <v>De Techo</v>
      </c>
      <c r="AX911" s="97" t="str">
        <f>IFERROR(__xludf.DUMMYFUNCTION("""COMPUTED_VALUE"""),"Interior")</f>
        <v>Interior</v>
      </c>
      <c r="AY911" s="97"/>
      <c r="AZ911" s="97" t="str">
        <f>IFERROR(__xludf.DUMMYFUNCTION("""COMPUTED_VALUE"""),"Spot Fijo.
*Profundidad de calado total aproximada (considera dicroica y zócalo estándar)
**Garantía de 8 años de amarillamiento de PC.
***Retardador de incendios: clasificación BS2D0 con resistencia hasta 120°C.
****PC con protección contra rayos UV.")</f>
        <v>Spot Fijo.
*Profundidad de calado total aproximada (considera dicroica y zócalo estándar)
**Garantía de 8 años de amarillamiento de PC.
***Retardador de incendios: clasificación BS2D0 con resistencia hasta 120°C.
****PC con protección contra rayos UV.</v>
      </c>
      <c r="BA911" s="97">
        <f>IFERROR(__xludf.DUMMYFUNCTION("""COMPUTED_VALUE"""),100.0)</f>
        <v>100</v>
      </c>
      <c r="BB911" s="97"/>
      <c r="BC911" s="97"/>
      <c r="BD911" s="97" t="str">
        <f>IFERROR(__xludf.DUMMYFUNCTION("""COMPUTED_VALUE"""),"ASA")</f>
        <v>ASA</v>
      </c>
      <c r="BE911" s="97" t="str">
        <f>IFERROR(__xludf.DUMMYFUNCTION("""COMPUTED_VALUE"""),"Finalizada")</f>
        <v>Finalizada</v>
      </c>
      <c r="BF911" s="97"/>
      <c r="BG911" s="97" t="str">
        <f>IFERROR(__xludf.DUMMYFUNCTION("""COMPUTED_VALUE"""),"Discontinuo")</f>
        <v>Discontinuo</v>
      </c>
    </row>
    <row r="912">
      <c r="A912" s="97">
        <f>IFERROR(__xludf.DUMMYFUNCTION("""COMPUTED_VALUE"""),6685.0)</f>
        <v>6685</v>
      </c>
      <c r="B912" s="97" t="str">
        <f>IFERROR(__xludf.DUMMYFUNCTION("""COMPUTED_VALUE"""),"AKE I NG")</f>
        <v>AKE I NG</v>
      </c>
      <c r="C912" s="97" t="str">
        <f>IFERROR(__xludf.DUMMYFUNCTION("""COMPUTED_VALUE"""),"SPOT DE EMBUTIR AKE1 NEGRO LEUK")</f>
        <v>SPOT DE EMBUTIR AKE1 NEGRO LEUK</v>
      </c>
      <c r="D912" s="97">
        <f>IFERROR(__xludf.DUMMYFUNCTION("""COMPUTED_VALUE"""),7.798413221879E12)</f>
        <v>7798413221879</v>
      </c>
      <c r="E912" s="97"/>
      <c r="F912" s="97" t="str">
        <f>IFERROR(__xludf.DUMMYFUNCTION("""COMPUTED_VALUE"""),"1 x GU10")</f>
        <v>1 x GU10</v>
      </c>
      <c r="G912" s="97" t="str">
        <f>IFERROR(__xludf.DUMMYFUNCTION("""COMPUTED_VALUE"""),"N/A")</f>
        <v>N/A</v>
      </c>
      <c r="H912" s="97" t="str">
        <f>IFERROR(__xludf.DUMMYFUNCTION("""COMPUTED_VALUE"""),"N/A")</f>
        <v>N/A</v>
      </c>
      <c r="I912" s="97" t="str">
        <f>IFERROR(__xludf.DUMMYFUNCTION("""COMPUTED_VALUE"""),"N/A")</f>
        <v>N/A</v>
      </c>
      <c r="J912" s="97"/>
      <c r="K912" s="97" t="str">
        <f>IFERROR(__xludf.DUMMYFUNCTION("""COMPUTED_VALUE"""),"N/A")</f>
        <v>N/A</v>
      </c>
      <c r="L912" s="97">
        <f>IFERROR(__xludf.DUMMYFUNCTION("""COMPUTED_VALUE"""),220.0)</f>
        <v>220</v>
      </c>
      <c r="M912" s="97">
        <f>IFERROR(__xludf.DUMMYFUNCTION("""COMPUTED_VALUE"""),50.0)</f>
        <v>50</v>
      </c>
      <c r="N912" s="97"/>
      <c r="O912" s="97" t="str">
        <f>IFERROR(__xludf.DUMMYFUNCTION("""COMPUTED_VALUE"""),"1 x 50W Max")</f>
        <v>1 x 50W Max</v>
      </c>
      <c r="P912" s="97"/>
      <c r="Q912" s="97" t="str">
        <f>IFERROR(__xludf.DUMMYFUNCTION("""COMPUTED_VALUE"""),"-")</f>
        <v>-</v>
      </c>
      <c r="R912" s="97" t="str">
        <f>IFERROR(__xludf.DUMMYFUNCTION("""COMPUTED_VALUE"""),"-")</f>
        <v>-</v>
      </c>
      <c r="S912" s="97" t="str">
        <f>IFERROR(__xludf.DUMMYFUNCTION("""COMPUTED_VALUE"""),"-")</f>
        <v>-</v>
      </c>
      <c r="T912" s="97" t="str">
        <f>IFERROR(__xludf.DUMMYFUNCTION("""COMPUTED_VALUE"""),"-")</f>
        <v>-</v>
      </c>
      <c r="U912" s="97" t="str">
        <f>IFERROR(__xludf.DUMMYFUNCTION("""COMPUTED_VALUE"""),"-")</f>
        <v>-</v>
      </c>
      <c r="V912" s="97" t="str">
        <f>IFERROR(__xludf.DUMMYFUNCTION("""COMPUTED_VALUE"""),"N/A")</f>
        <v>N/A</v>
      </c>
      <c r="W912" s="97" t="str">
        <f>IFERROR(__xludf.DUMMYFUNCTION("""COMPUTED_VALUE"""),"N/A")</f>
        <v>N/A</v>
      </c>
      <c r="X912" s="97" t="str">
        <f>IFERROR(__xludf.DUMMYFUNCTION("""COMPUTED_VALUE"""),"-")</f>
        <v>-</v>
      </c>
      <c r="Y912" s="97" t="str">
        <f>IFERROR(__xludf.DUMMYFUNCTION("""COMPUTED_VALUE"""),"N/A")</f>
        <v>N/A</v>
      </c>
      <c r="Z912" s="97" t="str">
        <f>IFERROR(__xludf.DUMMYFUNCTION("""COMPUTED_VALUE"""),"N/A")</f>
        <v>N/A</v>
      </c>
      <c r="AA912" s="97" t="str">
        <f>IFERROR(__xludf.DUMMYFUNCTION("""COMPUTED_VALUE"""),"N/A")</f>
        <v>N/A</v>
      </c>
      <c r="AB912" s="97" t="str">
        <f>IFERROR(__xludf.DUMMYFUNCTION("""COMPUTED_VALUE"""),"N/A")</f>
        <v>N/A</v>
      </c>
      <c r="AC912" s="97" t="str">
        <f>IFERROR(__xludf.DUMMYFUNCTION("""COMPUTED_VALUE"""),"N/A")</f>
        <v>N/A</v>
      </c>
      <c r="AD912" s="97" t="str">
        <f>IFERROR(__xludf.DUMMYFUNCTION("""COMPUTED_VALUE"""),"IP20")</f>
        <v>IP20</v>
      </c>
      <c r="AE912" s="97" t="str">
        <f>IFERROR(__xludf.DUMMYFUNCTION("""COMPUTED_VALUE"""),"N/A")</f>
        <v>N/A</v>
      </c>
      <c r="AF912" s="97" t="str">
        <f>IFERROR(__xludf.DUMMYFUNCTION("""COMPUTED_VALUE"""),"Embutir")</f>
        <v>Embutir</v>
      </c>
      <c r="AG912" s="97" t="str">
        <f>IFERROR(__xludf.DUMMYFUNCTION("""COMPUTED_VALUE"""),"Ø88 x 28")</f>
        <v>Ø88 x 28</v>
      </c>
      <c r="AH912" s="97" t="str">
        <f>IFERROR(__xludf.DUMMYFUNCTION("""COMPUTED_VALUE"""),"Ø77")</f>
        <v>Ø77</v>
      </c>
      <c r="AI912" s="97" t="str">
        <f>IFERROR(__xludf.DUMMYFUNCTION("""COMPUTED_VALUE"""),"79 *")</f>
        <v>79 *</v>
      </c>
      <c r="AJ912" s="97" t="str">
        <f>IFERROR(__xludf.DUMMYFUNCTION("""COMPUTED_VALUE"""),"N/A")</f>
        <v>N/A</v>
      </c>
      <c r="AK912" s="97" t="str">
        <f>IFERROR(__xludf.DUMMYFUNCTION("""COMPUTED_VALUE"""),"Policarbonato (PC)")</f>
        <v>Policarbonato (PC)</v>
      </c>
      <c r="AL912" s="97" t="str">
        <f>IFERROR(__xludf.DUMMYFUNCTION("""COMPUTED_VALUE"""),"Negro Mate")</f>
        <v>Negro Mate</v>
      </c>
      <c r="AM912" s="97" t="str">
        <f>IFERROR(__xludf.DUMMYFUNCTION("""COMPUTED_VALUE"""),"-")</f>
        <v>-</v>
      </c>
      <c r="AN912" s="97" t="str">
        <f>IFERROR(__xludf.DUMMYFUNCTION("""COMPUTED_VALUE"""),"N/A")</f>
        <v>N/A</v>
      </c>
      <c r="AO912" s="97" t="str">
        <f>IFERROR(__xludf.DUMMYFUNCTION("""COMPUTED_VALUE"""),"8 Años")</f>
        <v>8 Años</v>
      </c>
      <c r="AP912" s="97" t="str">
        <f>IFERROR(__xludf.DUMMYFUNCTION("""COMPUTED_VALUE"""),"No Aplica")</f>
        <v>No Aplica</v>
      </c>
      <c r="AQ912" s="97" t="str">
        <f>IFERROR(__xludf.DUMMYFUNCTION("""COMPUTED_VALUE"""),"No Aplica")</f>
        <v>No Aplica</v>
      </c>
      <c r="AR912" s="97" t="str">
        <f>IFERROR(__xludf.DUMMYFUNCTION("""COMPUTED_VALUE"""),"No Aplica")</f>
        <v>No Aplica</v>
      </c>
      <c r="AS912" s="97"/>
      <c r="AT912" s="97"/>
      <c r="AU912" s="97"/>
      <c r="AV912" s="97" t="str">
        <f>IFERROR(__xludf.DUMMYFUNCTION("""COMPUTED_VALUE"""),"Empotrable")</f>
        <v>Empotrable</v>
      </c>
      <c r="AW912" s="97" t="str">
        <f>IFERROR(__xludf.DUMMYFUNCTION("""COMPUTED_VALUE"""),"De Techo")</f>
        <v>De Techo</v>
      </c>
      <c r="AX912" s="97" t="str">
        <f>IFERROR(__xludf.DUMMYFUNCTION("""COMPUTED_VALUE"""),"Interior")</f>
        <v>Interior</v>
      </c>
      <c r="AY912" s="97"/>
      <c r="AZ912" s="97" t="str">
        <f>IFERROR(__xludf.DUMMYFUNCTION("""COMPUTED_VALUE"""),"Spot con Movimiento interno,
*Profundidad de calado total aproximada (considera dicroica y zócalo estándar)
**Garantía de 8 años de amarillamiento de PC.
***Retardador de incendios: clasificación BS2D0 con resistencia hasta 120°C.
****PC con protección co"&amp;"ntra rayos UV.")</f>
        <v>Spot con Movimiento interno,
*Profundidad de calado total aproximada (considera dicroica y zócalo estándar)
**Garantía de 8 años de amarillamiento de PC.
***Retardador de incendios: clasificación BS2D0 con resistencia hasta 120°C.
****PC con protección contra rayos UV.</v>
      </c>
      <c r="BA912" s="97">
        <f>IFERROR(__xludf.DUMMYFUNCTION("""COMPUTED_VALUE"""),100.0)</f>
        <v>100</v>
      </c>
      <c r="BB912" s="97"/>
      <c r="BC912" s="97"/>
      <c r="BD912" s="97" t="str">
        <f>IFERROR(__xludf.DUMMYFUNCTION("""COMPUTED_VALUE"""),"AKE")</f>
        <v>AKE</v>
      </c>
      <c r="BE912" s="97" t="str">
        <f>IFERROR(__xludf.DUMMYFUNCTION("""COMPUTED_VALUE"""),"Finalizada")</f>
        <v>Finalizada</v>
      </c>
      <c r="BF912" s="97"/>
      <c r="BG912" s="97" t="str">
        <f>IFERROR(__xludf.DUMMYFUNCTION("""COMPUTED_VALUE"""),"Discontinuo")</f>
        <v>Discontinuo</v>
      </c>
    </row>
    <row r="913">
      <c r="A913" s="97">
        <f>IFERROR(__xludf.DUMMYFUNCTION("""COMPUTED_VALUE"""),6686.0)</f>
        <v>6686</v>
      </c>
      <c r="B913" s="97" t="str">
        <f>IFERROR(__xludf.DUMMYFUNCTION("""COMPUTED_VALUE"""),"TAPA DYNA BL")</f>
        <v>TAPA DYNA BL</v>
      </c>
      <c r="C913" s="97" t="str">
        <f>IFERROR(__xludf.DUMMYFUNCTION("""COMPUTED_VALUE"""),"ACCESORIO TAPA DYNA BL LEUK")</f>
        <v>ACCESORIO TAPA DYNA BL LEUK</v>
      </c>
      <c r="D913" s="97">
        <f>IFERROR(__xludf.DUMMYFUNCTION("""COMPUTED_VALUE"""),7.798413221664E12)</f>
        <v>7798413221664</v>
      </c>
      <c r="E913" s="97" t="str">
        <f>IFERROR(__xludf.DUMMYFUNCTION("""COMPUTED_VALUE"""),"N/A")</f>
        <v>N/A</v>
      </c>
      <c r="F913" s="97" t="str">
        <f>IFERROR(__xludf.DUMMYFUNCTION("""COMPUTED_VALUE"""),"N/A")</f>
        <v>N/A</v>
      </c>
      <c r="G913" s="97" t="str">
        <f>IFERROR(__xludf.DUMMYFUNCTION("""COMPUTED_VALUE"""),"N/A")</f>
        <v>N/A</v>
      </c>
      <c r="H913" s="97" t="str">
        <f>IFERROR(__xludf.DUMMYFUNCTION("""COMPUTED_VALUE"""),"N/A")</f>
        <v>N/A</v>
      </c>
      <c r="I913" s="97" t="str">
        <f>IFERROR(__xludf.DUMMYFUNCTION("""COMPUTED_VALUE"""),"N/A")</f>
        <v>N/A</v>
      </c>
      <c r="J913" s="97" t="str">
        <f>IFERROR(__xludf.DUMMYFUNCTION("""COMPUTED_VALUE"""),"N/A")</f>
        <v>N/A</v>
      </c>
      <c r="K913" s="97" t="str">
        <f>IFERROR(__xludf.DUMMYFUNCTION("""COMPUTED_VALUE"""),"N/A")</f>
        <v>N/A</v>
      </c>
      <c r="L913" s="97" t="str">
        <f>IFERROR(__xludf.DUMMYFUNCTION("""COMPUTED_VALUE"""),"N/A")</f>
        <v>N/A</v>
      </c>
      <c r="M913" s="97" t="str">
        <f>IFERROR(__xludf.DUMMYFUNCTION("""COMPUTED_VALUE"""),"N/A")</f>
        <v>N/A</v>
      </c>
      <c r="N913" s="97"/>
      <c r="O913" s="97" t="str">
        <f>IFERROR(__xludf.DUMMYFUNCTION("""COMPUTED_VALUE"""),"-")</f>
        <v>-</v>
      </c>
      <c r="P913" s="97"/>
      <c r="Q913" s="97" t="str">
        <f>IFERROR(__xludf.DUMMYFUNCTION("""COMPUTED_VALUE"""),"-")</f>
        <v>-</v>
      </c>
      <c r="R913" s="97" t="str">
        <f>IFERROR(__xludf.DUMMYFUNCTION("""COMPUTED_VALUE"""),"-")</f>
        <v>-</v>
      </c>
      <c r="S913" s="97" t="str">
        <f>IFERROR(__xludf.DUMMYFUNCTION("""COMPUTED_VALUE"""),"-")</f>
        <v>-</v>
      </c>
      <c r="T913" s="97" t="str">
        <f>IFERROR(__xludf.DUMMYFUNCTION("""COMPUTED_VALUE"""),"-")</f>
        <v>-</v>
      </c>
      <c r="U913" s="97" t="str">
        <f>IFERROR(__xludf.DUMMYFUNCTION("""COMPUTED_VALUE"""),"-")</f>
        <v>-</v>
      </c>
      <c r="V913" s="97" t="str">
        <f>IFERROR(__xludf.DUMMYFUNCTION("""COMPUTED_VALUE"""),"N/A")</f>
        <v>N/A</v>
      </c>
      <c r="W913" s="97" t="str">
        <f>IFERROR(__xludf.DUMMYFUNCTION("""COMPUTED_VALUE"""),"N/A")</f>
        <v>N/A</v>
      </c>
      <c r="X913" s="97" t="str">
        <f>IFERROR(__xludf.DUMMYFUNCTION("""COMPUTED_VALUE"""),"-")</f>
        <v>-</v>
      </c>
      <c r="Y913" s="97" t="str">
        <f>IFERROR(__xludf.DUMMYFUNCTION("""COMPUTED_VALUE"""),"N/A")</f>
        <v>N/A</v>
      </c>
      <c r="Z913" s="97" t="str">
        <f>IFERROR(__xludf.DUMMYFUNCTION("""COMPUTED_VALUE"""),"N/A")</f>
        <v>N/A</v>
      </c>
      <c r="AA913" s="97" t="str">
        <f>IFERROR(__xludf.DUMMYFUNCTION("""COMPUTED_VALUE"""),"N/A")</f>
        <v>N/A</v>
      </c>
      <c r="AB913" s="97" t="str">
        <f>IFERROR(__xludf.DUMMYFUNCTION("""COMPUTED_VALUE"""),"N/A")</f>
        <v>N/A</v>
      </c>
      <c r="AC913" s="97" t="str">
        <f>IFERROR(__xludf.DUMMYFUNCTION("""COMPUTED_VALUE"""),"N/A")</f>
        <v>N/A</v>
      </c>
      <c r="AD913" s="97" t="str">
        <f>IFERROR(__xludf.DUMMYFUNCTION("""COMPUTED_VALUE"""),"N/A")</f>
        <v>N/A</v>
      </c>
      <c r="AE913" s="97" t="str">
        <f>IFERROR(__xludf.DUMMYFUNCTION("""COMPUTED_VALUE"""),"N/A")</f>
        <v>N/A</v>
      </c>
      <c r="AF913" s="97" t="str">
        <f>IFERROR(__xludf.DUMMYFUNCTION("""COMPUTED_VALUE"""),"N/A")</f>
        <v>N/A</v>
      </c>
      <c r="AG913" s="97" t="str">
        <f>IFERROR(__xludf.DUMMYFUNCTION("""COMPUTED_VALUE"""),"33 x 60 x 3 (Ancho x Alto x Prof)")</f>
        <v>33 x 60 x 3 (Ancho x Alto x Prof)</v>
      </c>
      <c r="AH913" s="97" t="str">
        <f>IFERROR(__xludf.DUMMYFUNCTION("""COMPUTED_VALUE"""),"N/A")</f>
        <v>N/A</v>
      </c>
      <c r="AI913" s="97" t="str">
        <f>IFERROR(__xludf.DUMMYFUNCTION("""COMPUTED_VALUE"""),"N/A")</f>
        <v>N/A</v>
      </c>
      <c r="AJ913" s="97" t="str">
        <f>IFERROR(__xludf.DUMMYFUNCTION("""COMPUTED_VALUE"""),"N/A")</f>
        <v>N/A</v>
      </c>
      <c r="AK913" s="97" t="str">
        <f>IFERROR(__xludf.DUMMYFUNCTION("""COMPUTED_VALUE"""),"Policarbonato (PC)")</f>
        <v>Policarbonato (PC)</v>
      </c>
      <c r="AL913" s="97" t="str">
        <f>IFERROR(__xludf.DUMMYFUNCTION("""COMPUTED_VALUE"""),"Blanco Mate")</f>
        <v>Blanco Mate</v>
      </c>
      <c r="AM913" s="97" t="str">
        <f>IFERROR(__xludf.DUMMYFUNCTION("""COMPUTED_VALUE"""),"-")</f>
        <v>-</v>
      </c>
      <c r="AN913" s="97" t="str">
        <f>IFERROR(__xludf.DUMMYFUNCTION("""COMPUTED_VALUE"""),"N/A")</f>
        <v>N/A</v>
      </c>
      <c r="AO913" s="97" t="str">
        <f>IFERROR(__xludf.DUMMYFUNCTION("""COMPUTED_VALUE"""),"3 Años")</f>
        <v>3 Años</v>
      </c>
      <c r="AP913" s="97" t="str">
        <f>IFERROR(__xludf.DUMMYFUNCTION("""COMPUTED_VALUE"""),"No Aplica")</f>
        <v>No Aplica</v>
      </c>
      <c r="AQ913" s="97" t="str">
        <f>IFERROR(__xludf.DUMMYFUNCTION("""COMPUTED_VALUE"""),"No Aplica")</f>
        <v>No Aplica</v>
      </c>
      <c r="AR913" s="97" t="str">
        <f>IFERROR(__xludf.DUMMYFUNCTION("""COMPUTED_VALUE"""),"No Aplica")</f>
        <v>No Aplica</v>
      </c>
      <c r="AS913" s="97"/>
      <c r="AT913" s="97"/>
      <c r="AU913" s="97" t="str">
        <f>IFERROR(__xludf.DUMMYFUNCTION("""COMPUTED_VALUE"""),"Falta")</f>
        <v>Falta</v>
      </c>
      <c r="AV913" s="97" t="str">
        <f>IFERROR(__xludf.DUMMYFUNCTION("""COMPUTED_VALUE"""),"Accesorio")</f>
        <v>Accesorio</v>
      </c>
      <c r="AW913" s="97" t="str">
        <f>IFERROR(__xludf.DUMMYFUNCTION("""COMPUTED_VALUE"""),"Lineales")</f>
        <v>Lineales</v>
      </c>
      <c r="AX913" s="97" t="str">
        <f>IFERROR(__xludf.DUMMYFUNCTION("""COMPUTED_VALUE"""),"Interior")</f>
        <v>Interior</v>
      </c>
      <c r="AY913" s="97" t="str">
        <f>IFERROR(__xludf.DUMMYFUNCTION("""COMPUTED_VALUE"""),"Dyna")</f>
        <v>Dyna</v>
      </c>
      <c r="AZ913" s="97"/>
      <c r="BA913" s="97"/>
      <c r="BB913" s="97" t="str">
        <f>IFERROR(__xludf.DUMMYFUNCTION("""COMPUTED_VALUE"""),"-")</f>
        <v>-</v>
      </c>
      <c r="BC913" s="97" t="str">
        <f>IFERROR(__xludf.DUMMYFUNCTION("""COMPUTED_VALUE"""),"-")</f>
        <v>-</v>
      </c>
      <c r="BD913" s="97" t="str">
        <f>IFERROR(__xludf.DUMMYFUNCTION("""COMPUTED_VALUE"""),"DYNA")</f>
        <v>DYNA</v>
      </c>
      <c r="BE913" s="97" t="str">
        <f>IFERROR(__xludf.DUMMYFUNCTION("""COMPUTED_VALUE"""),"Finalizada")</f>
        <v>Finalizada</v>
      </c>
      <c r="BF913" s="97"/>
      <c r="BG913" s="97" t="str">
        <f>IFERROR(__xludf.DUMMYFUNCTION("""COMPUTED_VALUE"""),"Activo")</f>
        <v>Activo</v>
      </c>
    </row>
    <row r="914">
      <c r="A914" s="97">
        <f>IFERROR(__xludf.DUMMYFUNCTION("""COMPUTED_VALUE"""),6687.0)</f>
        <v>6687</v>
      </c>
      <c r="B914" s="97" t="str">
        <f>IFERROR(__xludf.DUMMYFUNCTION("""COMPUTED_VALUE"""),"TAPA DYNA NG")</f>
        <v>TAPA DYNA NG</v>
      </c>
      <c r="C914" s="97" t="str">
        <f>IFERROR(__xludf.DUMMYFUNCTION("""COMPUTED_VALUE"""),"ACCESORIO TAPA DYNA NG LEUK")</f>
        <v>ACCESORIO TAPA DYNA NG LEUK</v>
      </c>
      <c r="D914" s="97">
        <f>IFERROR(__xludf.DUMMYFUNCTION("""COMPUTED_VALUE"""),7.798413221855E12)</f>
        <v>7798413221855</v>
      </c>
      <c r="E914" s="97" t="str">
        <f>IFERROR(__xludf.DUMMYFUNCTION("""COMPUTED_VALUE"""),"N/A")</f>
        <v>N/A</v>
      </c>
      <c r="F914" s="97" t="str">
        <f>IFERROR(__xludf.DUMMYFUNCTION("""COMPUTED_VALUE"""),"N/A")</f>
        <v>N/A</v>
      </c>
      <c r="G914" s="97" t="str">
        <f>IFERROR(__xludf.DUMMYFUNCTION("""COMPUTED_VALUE"""),"N/A")</f>
        <v>N/A</v>
      </c>
      <c r="H914" s="97" t="str">
        <f>IFERROR(__xludf.DUMMYFUNCTION("""COMPUTED_VALUE"""),"N/A")</f>
        <v>N/A</v>
      </c>
      <c r="I914" s="97" t="str">
        <f>IFERROR(__xludf.DUMMYFUNCTION("""COMPUTED_VALUE"""),"N/A")</f>
        <v>N/A</v>
      </c>
      <c r="J914" s="97" t="str">
        <f>IFERROR(__xludf.DUMMYFUNCTION("""COMPUTED_VALUE"""),"N/A")</f>
        <v>N/A</v>
      </c>
      <c r="K914" s="97" t="str">
        <f>IFERROR(__xludf.DUMMYFUNCTION("""COMPUTED_VALUE"""),"N/A")</f>
        <v>N/A</v>
      </c>
      <c r="L914" s="97" t="str">
        <f>IFERROR(__xludf.DUMMYFUNCTION("""COMPUTED_VALUE"""),"N/A")</f>
        <v>N/A</v>
      </c>
      <c r="M914" s="97" t="str">
        <f>IFERROR(__xludf.DUMMYFUNCTION("""COMPUTED_VALUE"""),"N/A")</f>
        <v>N/A</v>
      </c>
      <c r="N914" s="97"/>
      <c r="O914" s="97" t="str">
        <f>IFERROR(__xludf.DUMMYFUNCTION("""COMPUTED_VALUE"""),"-")</f>
        <v>-</v>
      </c>
      <c r="P914" s="97"/>
      <c r="Q914" s="97" t="str">
        <f>IFERROR(__xludf.DUMMYFUNCTION("""COMPUTED_VALUE"""),"-")</f>
        <v>-</v>
      </c>
      <c r="R914" s="97" t="str">
        <f>IFERROR(__xludf.DUMMYFUNCTION("""COMPUTED_VALUE"""),"-")</f>
        <v>-</v>
      </c>
      <c r="S914" s="97" t="str">
        <f>IFERROR(__xludf.DUMMYFUNCTION("""COMPUTED_VALUE"""),"-")</f>
        <v>-</v>
      </c>
      <c r="T914" s="97" t="str">
        <f>IFERROR(__xludf.DUMMYFUNCTION("""COMPUTED_VALUE"""),"-")</f>
        <v>-</v>
      </c>
      <c r="U914" s="97" t="str">
        <f>IFERROR(__xludf.DUMMYFUNCTION("""COMPUTED_VALUE"""),"-")</f>
        <v>-</v>
      </c>
      <c r="V914" s="97" t="str">
        <f>IFERROR(__xludf.DUMMYFUNCTION("""COMPUTED_VALUE"""),"N/A")</f>
        <v>N/A</v>
      </c>
      <c r="W914" s="97" t="str">
        <f>IFERROR(__xludf.DUMMYFUNCTION("""COMPUTED_VALUE"""),"N/A")</f>
        <v>N/A</v>
      </c>
      <c r="X914" s="97" t="str">
        <f>IFERROR(__xludf.DUMMYFUNCTION("""COMPUTED_VALUE"""),"-")</f>
        <v>-</v>
      </c>
      <c r="Y914" s="97" t="str">
        <f>IFERROR(__xludf.DUMMYFUNCTION("""COMPUTED_VALUE"""),"N/A")</f>
        <v>N/A</v>
      </c>
      <c r="Z914" s="97" t="str">
        <f>IFERROR(__xludf.DUMMYFUNCTION("""COMPUTED_VALUE"""),"N/A")</f>
        <v>N/A</v>
      </c>
      <c r="AA914" s="97" t="str">
        <f>IFERROR(__xludf.DUMMYFUNCTION("""COMPUTED_VALUE"""),"N/A")</f>
        <v>N/A</v>
      </c>
      <c r="AB914" s="97" t="str">
        <f>IFERROR(__xludf.DUMMYFUNCTION("""COMPUTED_VALUE"""),"N/A")</f>
        <v>N/A</v>
      </c>
      <c r="AC914" s="97" t="str">
        <f>IFERROR(__xludf.DUMMYFUNCTION("""COMPUTED_VALUE"""),"N/A")</f>
        <v>N/A</v>
      </c>
      <c r="AD914" s="97" t="str">
        <f>IFERROR(__xludf.DUMMYFUNCTION("""COMPUTED_VALUE"""),"N/A")</f>
        <v>N/A</v>
      </c>
      <c r="AE914" s="97" t="str">
        <f>IFERROR(__xludf.DUMMYFUNCTION("""COMPUTED_VALUE"""),"N/A")</f>
        <v>N/A</v>
      </c>
      <c r="AF914" s="97" t="str">
        <f>IFERROR(__xludf.DUMMYFUNCTION("""COMPUTED_VALUE"""),"N/A")</f>
        <v>N/A</v>
      </c>
      <c r="AG914" s="97" t="str">
        <f>IFERROR(__xludf.DUMMYFUNCTION("""COMPUTED_VALUE"""),"33 x 60 x 3 (Ancho x Alto x Prof)")</f>
        <v>33 x 60 x 3 (Ancho x Alto x Prof)</v>
      </c>
      <c r="AH914" s="97" t="str">
        <f>IFERROR(__xludf.DUMMYFUNCTION("""COMPUTED_VALUE"""),"N/A")</f>
        <v>N/A</v>
      </c>
      <c r="AI914" s="97" t="str">
        <f>IFERROR(__xludf.DUMMYFUNCTION("""COMPUTED_VALUE"""),"N/A")</f>
        <v>N/A</v>
      </c>
      <c r="AJ914" s="97" t="str">
        <f>IFERROR(__xludf.DUMMYFUNCTION("""COMPUTED_VALUE"""),"N/A")</f>
        <v>N/A</v>
      </c>
      <c r="AK914" s="97" t="str">
        <f>IFERROR(__xludf.DUMMYFUNCTION("""COMPUTED_VALUE"""),"Policarbonato (PC)")</f>
        <v>Policarbonato (PC)</v>
      </c>
      <c r="AL914" s="97" t="str">
        <f>IFERROR(__xludf.DUMMYFUNCTION("""COMPUTED_VALUE"""),"Negro Mate")</f>
        <v>Negro Mate</v>
      </c>
      <c r="AM914" s="97" t="str">
        <f>IFERROR(__xludf.DUMMYFUNCTION("""COMPUTED_VALUE"""),"-")</f>
        <v>-</v>
      </c>
      <c r="AN914" s="97" t="str">
        <f>IFERROR(__xludf.DUMMYFUNCTION("""COMPUTED_VALUE"""),"N/A")</f>
        <v>N/A</v>
      </c>
      <c r="AO914" s="97" t="str">
        <f>IFERROR(__xludf.DUMMYFUNCTION("""COMPUTED_VALUE"""),"3 Años")</f>
        <v>3 Años</v>
      </c>
      <c r="AP914" s="97" t="str">
        <f>IFERROR(__xludf.DUMMYFUNCTION("""COMPUTED_VALUE"""),"No Aplica")</f>
        <v>No Aplica</v>
      </c>
      <c r="AQ914" s="97" t="str">
        <f>IFERROR(__xludf.DUMMYFUNCTION("""COMPUTED_VALUE"""),"No Aplica")</f>
        <v>No Aplica</v>
      </c>
      <c r="AR914" s="97" t="str">
        <f>IFERROR(__xludf.DUMMYFUNCTION("""COMPUTED_VALUE"""),"No Aplica")</f>
        <v>No Aplica</v>
      </c>
      <c r="AS914" s="97"/>
      <c r="AT914" s="97"/>
      <c r="AU914" s="97" t="str">
        <f>IFERROR(__xludf.DUMMYFUNCTION("""COMPUTED_VALUE"""),"Falta")</f>
        <v>Falta</v>
      </c>
      <c r="AV914" s="97" t="str">
        <f>IFERROR(__xludf.DUMMYFUNCTION("""COMPUTED_VALUE"""),"Accesorio")</f>
        <v>Accesorio</v>
      </c>
      <c r="AW914" s="97" t="str">
        <f>IFERROR(__xludf.DUMMYFUNCTION("""COMPUTED_VALUE"""),"Lineales")</f>
        <v>Lineales</v>
      </c>
      <c r="AX914" s="97" t="str">
        <f>IFERROR(__xludf.DUMMYFUNCTION("""COMPUTED_VALUE"""),"Interior")</f>
        <v>Interior</v>
      </c>
      <c r="AY914" s="97" t="str">
        <f>IFERROR(__xludf.DUMMYFUNCTION("""COMPUTED_VALUE"""),"Dyna")</f>
        <v>Dyna</v>
      </c>
      <c r="AZ914" s="97"/>
      <c r="BA914" s="97">
        <f>IFERROR(__xludf.DUMMYFUNCTION("""COMPUTED_VALUE"""),36.0)</f>
        <v>36</v>
      </c>
      <c r="BB914" s="97" t="str">
        <f>IFERROR(__xludf.DUMMYFUNCTION("""COMPUTED_VALUE"""),"-")</f>
        <v>-</v>
      </c>
      <c r="BC914" s="97" t="str">
        <f>IFERROR(__xludf.DUMMYFUNCTION("""COMPUTED_VALUE"""),"-")</f>
        <v>-</v>
      </c>
      <c r="BD914" s="97" t="str">
        <f>IFERROR(__xludf.DUMMYFUNCTION("""COMPUTED_VALUE"""),"DYNA")</f>
        <v>DYNA</v>
      </c>
      <c r="BE914" s="97" t="str">
        <f>IFERROR(__xludf.DUMMYFUNCTION("""COMPUTED_VALUE"""),"Finalizada")</f>
        <v>Finalizada</v>
      </c>
      <c r="BF914" s="97"/>
      <c r="BG914" s="97" t="str">
        <f>IFERROR(__xludf.DUMMYFUNCTION("""COMPUTED_VALUE"""),"Activo")</f>
        <v>Activo</v>
      </c>
    </row>
    <row r="915">
      <c r="A915" s="97">
        <f>IFERROR(__xludf.DUMMYFUNCTION("""COMPUTED_VALUE"""),6688.0)</f>
        <v>6688</v>
      </c>
      <c r="B915" s="97" t="str">
        <f>IFERROR(__xludf.DUMMYFUNCTION("""COMPUTED_VALUE"""),"ALIMENTACION CENTRAL 1EF BL")</f>
        <v>ALIMENTACION CENTRAL 1EF BL</v>
      </c>
      <c r="C915" s="97" t="str">
        <f>IFERROR(__xludf.DUMMYFUNCTION("""COMPUTED_VALUE"""),"ACCESORIO ALIMENTACION CENTRAL 1EF BL LEUK")</f>
        <v>ACCESORIO ALIMENTACION CENTRAL 1EF BL LEUK</v>
      </c>
      <c r="D915" s="97">
        <f>IFERROR(__xludf.DUMMYFUNCTION("""COMPUTED_VALUE"""),7.798413221961E12)</f>
        <v>7798413221961</v>
      </c>
      <c r="E915" s="97"/>
      <c r="F915" s="97" t="str">
        <f>IFERROR(__xludf.DUMMYFUNCTION("""COMPUTED_VALUE"""),"N/A")</f>
        <v>N/A</v>
      </c>
      <c r="G915" s="97" t="str">
        <f>IFERROR(__xludf.DUMMYFUNCTION("""COMPUTED_VALUE"""),"N/A")</f>
        <v>N/A</v>
      </c>
      <c r="H915" s="97" t="str">
        <f>IFERROR(__xludf.DUMMYFUNCTION("""COMPUTED_VALUE"""),"N/A")</f>
        <v>N/A</v>
      </c>
      <c r="I915" s="97" t="str">
        <f>IFERROR(__xludf.DUMMYFUNCTION("""COMPUTED_VALUE"""),"N/A")</f>
        <v>N/A</v>
      </c>
      <c r="J915" s="97" t="str">
        <f>IFERROR(__xludf.DUMMYFUNCTION("""COMPUTED_VALUE"""),"N/A")</f>
        <v>N/A</v>
      </c>
      <c r="K915" s="97" t="str">
        <f>IFERROR(__xludf.DUMMYFUNCTION("""COMPUTED_VALUE"""),"N/A")</f>
        <v>N/A</v>
      </c>
      <c r="L915" s="97">
        <f>IFERROR(__xludf.DUMMYFUNCTION("""COMPUTED_VALUE"""),220.0)</f>
        <v>220</v>
      </c>
      <c r="M915" s="97">
        <f>IFERROR(__xludf.DUMMYFUNCTION("""COMPUTED_VALUE"""),50.0)</f>
        <v>50</v>
      </c>
      <c r="N915" s="97" t="str">
        <f>IFERROR(__xludf.DUMMYFUNCTION("""COMPUTED_VALUE"""),"N/A")</f>
        <v>N/A</v>
      </c>
      <c r="O915" s="97" t="str">
        <f>IFERROR(__xludf.DUMMYFUNCTION("""COMPUTED_VALUE"""),"-")</f>
        <v>-</v>
      </c>
      <c r="P915" s="97"/>
      <c r="Q915" s="97" t="str">
        <f>IFERROR(__xludf.DUMMYFUNCTION("""COMPUTED_VALUE"""),"-")</f>
        <v>-</v>
      </c>
      <c r="R915" s="97" t="str">
        <f>IFERROR(__xludf.DUMMYFUNCTION("""COMPUTED_VALUE"""),"-")</f>
        <v>-</v>
      </c>
      <c r="S915" s="97" t="str">
        <f>IFERROR(__xludf.DUMMYFUNCTION("""COMPUTED_VALUE"""),"-")</f>
        <v>-</v>
      </c>
      <c r="T915" s="97" t="str">
        <f>IFERROR(__xludf.DUMMYFUNCTION("""COMPUTED_VALUE"""),"-")</f>
        <v>-</v>
      </c>
      <c r="U915" s="97" t="str">
        <f>IFERROR(__xludf.DUMMYFUNCTION("""COMPUTED_VALUE"""),"-")</f>
        <v>-</v>
      </c>
      <c r="V915" s="97" t="str">
        <f>IFERROR(__xludf.DUMMYFUNCTION("""COMPUTED_VALUE"""),"N/A")</f>
        <v>N/A</v>
      </c>
      <c r="W915" s="97" t="str">
        <f>IFERROR(__xludf.DUMMYFUNCTION("""COMPUTED_VALUE"""),"N/A")</f>
        <v>N/A</v>
      </c>
      <c r="X915" s="97" t="str">
        <f>IFERROR(__xludf.DUMMYFUNCTION("""COMPUTED_VALUE"""),"-")</f>
        <v>-</v>
      </c>
      <c r="Y915" s="97" t="str">
        <f>IFERROR(__xludf.DUMMYFUNCTION("""COMPUTED_VALUE"""),"N/A")</f>
        <v>N/A</v>
      </c>
      <c r="Z915" s="97" t="str">
        <f>IFERROR(__xludf.DUMMYFUNCTION("""COMPUTED_VALUE"""),"N/A")</f>
        <v>N/A</v>
      </c>
      <c r="AA915" s="97" t="str">
        <f>IFERROR(__xludf.DUMMYFUNCTION("""COMPUTED_VALUE"""),"N/A")</f>
        <v>N/A</v>
      </c>
      <c r="AB915" s="97" t="str">
        <f>IFERROR(__xludf.DUMMYFUNCTION("""COMPUTED_VALUE"""),"N/A")</f>
        <v>N/A</v>
      </c>
      <c r="AC915" s="97" t="str">
        <f>IFERROR(__xludf.DUMMYFUNCTION("""COMPUTED_VALUE"""),"N/A")</f>
        <v>N/A</v>
      </c>
      <c r="AD915" s="97" t="str">
        <f>IFERROR(__xludf.DUMMYFUNCTION("""COMPUTED_VALUE"""),"IP20")</f>
        <v>IP20</v>
      </c>
      <c r="AE915" s="97" t="str">
        <f>IFERROR(__xludf.DUMMYFUNCTION("""COMPUTED_VALUE"""),"Clase l")</f>
        <v>Clase l</v>
      </c>
      <c r="AF915" s="97" t="str">
        <f>IFERROR(__xludf.DUMMYFUNCTION("""COMPUTED_VALUE"""),"N/A")</f>
        <v>N/A</v>
      </c>
      <c r="AG915" s="97" t="str">
        <f>IFERROR(__xludf.DUMMYFUNCTION("""COMPUTED_VALUE"""),"80 x 35 x 22")</f>
        <v>80 x 35 x 22</v>
      </c>
      <c r="AH915" s="97" t="str">
        <f>IFERROR(__xludf.DUMMYFUNCTION("""COMPUTED_VALUE"""),"N/A")</f>
        <v>N/A</v>
      </c>
      <c r="AI915" s="97" t="str">
        <f>IFERROR(__xludf.DUMMYFUNCTION("""COMPUTED_VALUE"""),"N/A")</f>
        <v>N/A</v>
      </c>
      <c r="AJ915" s="97" t="str">
        <f>IFERROR(__xludf.DUMMYFUNCTION("""COMPUTED_VALUE"""),"N/A")</f>
        <v>N/A</v>
      </c>
      <c r="AK915" s="97" t="str">
        <f>IFERROR(__xludf.DUMMYFUNCTION("""COMPUTED_VALUE"""),"Policarbonato (PC)")</f>
        <v>Policarbonato (PC)</v>
      </c>
      <c r="AL915" s="97" t="str">
        <f>IFERROR(__xludf.DUMMYFUNCTION("""COMPUTED_VALUE"""),"Blanco Mate")</f>
        <v>Blanco Mate</v>
      </c>
      <c r="AM915" s="97" t="str">
        <f>IFERROR(__xludf.DUMMYFUNCTION("""COMPUTED_VALUE"""),"-")</f>
        <v>-</v>
      </c>
      <c r="AN915" s="97" t="str">
        <f>IFERROR(__xludf.DUMMYFUNCTION("""COMPUTED_VALUE"""),"N/A")</f>
        <v>N/A</v>
      </c>
      <c r="AO915" s="97" t="str">
        <f>IFERROR(__xludf.DUMMYFUNCTION("""COMPUTED_VALUE"""),"3 Años")</f>
        <v>3 Años</v>
      </c>
      <c r="AP915" s="97" t="str">
        <f>IFERROR(__xludf.DUMMYFUNCTION("""COMPUTED_VALUE"""),"No Aplica")</f>
        <v>No Aplica</v>
      </c>
      <c r="AQ915" s="97" t="str">
        <f>IFERROR(__xludf.DUMMYFUNCTION("""COMPUTED_VALUE"""),"No Aplica")</f>
        <v>No Aplica</v>
      </c>
      <c r="AR915" s="97" t="str">
        <f>IFERROR(__xludf.DUMMYFUNCTION("""COMPUTED_VALUE"""),"No Aplica")</f>
        <v>No Aplica</v>
      </c>
      <c r="AS915" s="97"/>
      <c r="AT915" s="97"/>
      <c r="AU915" s="97" t="str">
        <f>IFERROR(__xludf.DUMMYFUNCTION("""COMPUTED_VALUE"""),"Falta")</f>
        <v>Falta</v>
      </c>
      <c r="AV915" s="97" t="str">
        <f>IFERROR(__xludf.DUMMYFUNCTION("""COMPUTED_VALUE"""),"Accesorio")</f>
        <v>Accesorio</v>
      </c>
      <c r="AW915" s="97" t="str">
        <f>IFERROR(__xludf.DUMMYFUNCTION("""COMPUTED_VALUE"""),"Rieles")</f>
        <v>Rieles</v>
      </c>
      <c r="AX915" s="97" t="str">
        <f>IFERROR(__xludf.DUMMYFUNCTION("""COMPUTED_VALUE"""),"Interior")</f>
        <v>Interior</v>
      </c>
      <c r="AY915" s="97" t="str">
        <f>IFERROR(__xludf.DUMMYFUNCTION("""COMPUTED_VALUE"""),"-")</f>
        <v>-</v>
      </c>
      <c r="AZ915" s="97" t="str">
        <f>IFERROR(__xludf.DUMMYFUNCTION("""COMPUTED_VALUE"""),"Soporta 10A. Con entrada de alimentación 220 Vac.")</f>
        <v>Soporta 10A. Con entrada de alimentación 220 Vac.</v>
      </c>
      <c r="BA915" s="97">
        <f>IFERROR(__xludf.DUMMYFUNCTION("""COMPUTED_VALUE"""),150.0)</f>
        <v>150</v>
      </c>
      <c r="BB915" s="97" t="str">
        <f>IFERROR(__xludf.DUMMYFUNCTION("""COMPUTED_VALUE"""),"-")</f>
        <v>-</v>
      </c>
      <c r="BC915" s="97" t="str">
        <f>IFERROR(__xludf.DUMMYFUNCTION("""COMPUTED_VALUE"""),"-")</f>
        <v>-</v>
      </c>
      <c r="BD915" s="97" t="str">
        <f>IFERROR(__xludf.DUMMYFUNCTION("""COMPUTED_VALUE"""),"RIELES 1EF")</f>
        <v>RIELES 1EF</v>
      </c>
      <c r="BE915" s="97" t="str">
        <f>IFERROR(__xludf.DUMMYFUNCTION("""COMPUTED_VALUE"""),"Finalizada")</f>
        <v>Finalizada</v>
      </c>
      <c r="BF915" s="97">
        <f>IFERROR(__xludf.DUMMYFUNCTION("""COMPUTED_VALUE"""),7606.0)</f>
        <v>7606</v>
      </c>
      <c r="BG915" s="97" t="str">
        <f>IFERROR(__xludf.DUMMYFUNCTION("""COMPUTED_VALUE"""),"En Salida")</f>
        <v>En Salida</v>
      </c>
    </row>
    <row r="916">
      <c r="A916" s="97">
        <f>IFERROR(__xludf.DUMMYFUNCTION("""COMPUTED_VALUE"""),6689.0)</f>
        <v>6689</v>
      </c>
      <c r="B916" s="97" t="str">
        <f>IFERROR(__xludf.DUMMYFUNCTION("""COMPUTED_VALUE"""),"ALIMENTACION CENTRAL 1EF NG")</f>
        <v>ALIMENTACION CENTRAL 1EF NG</v>
      </c>
      <c r="C916" s="97" t="str">
        <f>IFERROR(__xludf.DUMMYFUNCTION("""COMPUTED_VALUE"""),"ACCESORIO ALIMENTACION CENTRAL 1EF NG LEUK")</f>
        <v>ACCESORIO ALIMENTACION CENTRAL 1EF NG LEUK</v>
      </c>
      <c r="D916" s="97">
        <f>IFERROR(__xludf.DUMMYFUNCTION("""COMPUTED_VALUE"""),7.798413221978E12)</f>
        <v>7798413221978</v>
      </c>
      <c r="E916" s="97"/>
      <c r="F916" s="97" t="str">
        <f>IFERROR(__xludf.DUMMYFUNCTION("""COMPUTED_VALUE"""),"N/A")</f>
        <v>N/A</v>
      </c>
      <c r="G916" s="97" t="str">
        <f>IFERROR(__xludf.DUMMYFUNCTION("""COMPUTED_VALUE"""),"N/A")</f>
        <v>N/A</v>
      </c>
      <c r="H916" s="97" t="str">
        <f>IFERROR(__xludf.DUMMYFUNCTION("""COMPUTED_VALUE"""),"N/A")</f>
        <v>N/A</v>
      </c>
      <c r="I916" s="97" t="str">
        <f>IFERROR(__xludf.DUMMYFUNCTION("""COMPUTED_VALUE"""),"N/A")</f>
        <v>N/A</v>
      </c>
      <c r="J916" s="97" t="str">
        <f>IFERROR(__xludf.DUMMYFUNCTION("""COMPUTED_VALUE"""),"N/A")</f>
        <v>N/A</v>
      </c>
      <c r="K916" s="97" t="str">
        <f>IFERROR(__xludf.DUMMYFUNCTION("""COMPUTED_VALUE"""),"N/A")</f>
        <v>N/A</v>
      </c>
      <c r="L916" s="97">
        <f>IFERROR(__xludf.DUMMYFUNCTION("""COMPUTED_VALUE"""),220.0)</f>
        <v>220</v>
      </c>
      <c r="M916" s="97">
        <f>IFERROR(__xludf.DUMMYFUNCTION("""COMPUTED_VALUE"""),50.0)</f>
        <v>50</v>
      </c>
      <c r="N916" s="97" t="str">
        <f>IFERROR(__xludf.DUMMYFUNCTION("""COMPUTED_VALUE"""),"N/A")</f>
        <v>N/A</v>
      </c>
      <c r="O916" s="97" t="str">
        <f>IFERROR(__xludf.DUMMYFUNCTION("""COMPUTED_VALUE"""),"-")</f>
        <v>-</v>
      </c>
      <c r="P916" s="97"/>
      <c r="Q916" s="97" t="str">
        <f>IFERROR(__xludf.DUMMYFUNCTION("""COMPUTED_VALUE"""),"-")</f>
        <v>-</v>
      </c>
      <c r="R916" s="97" t="str">
        <f>IFERROR(__xludf.DUMMYFUNCTION("""COMPUTED_VALUE"""),"-")</f>
        <v>-</v>
      </c>
      <c r="S916" s="97" t="str">
        <f>IFERROR(__xludf.DUMMYFUNCTION("""COMPUTED_VALUE"""),"-")</f>
        <v>-</v>
      </c>
      <c r="T916" s="97" t="str">
        <f>IFERROR(__xludf.DUMMYFUNCTION("""COMPUTED_VALUE"""),"-")</f>
        <v>-</v>
      </c>
      <c r="U916" s="97" t="str">
        <f>IFERROR(__xludf.DUMMYFUNCTION("""COMPUTED_VALUE"""),"-")</f>
        <v>-</v>
      </c>
      <c r="V916" s="97" t="str">
        <f>IFERROR(__xludf.DUMMYFUNCTION("""COMPUTED_VALUE"""),"N/A")</f>
        <v>N/A</v>
      </c>
      <c r="W916" s="97" t="str">
        <f>IFERROR(__xludf.DUMMYFUNCTION("""COMPUTED_VALUE"""),"N/A")</f>
        <v>N/A</v>
      </c>
      <c r="X916" s="97" t="str">
        <f>IFERROR(__xludf.DUMMYFUNCTION("""COMPUTED_VALUE"""),"-")</f>
        <v>-</v>
      </c>
      <c r="Y916" s="97" t="str">
        <f>IFERROR(__xludf.DUMMYFUNCTION("""COMPUTED_VALUE"""),"N/A")</f>
        <v>N/A</v>
      </c>
      <c r="Z916" s="97" t="str">
        <f>IFERROR(__xludf.DUMMYFUNCTION("""COMPUTED_VALUE"""),"N/A")</f>
        <v>N/A</v>
      </c>
      <c r="AA916" s="97" t="str">
        <f>IFERROR(__xludf.DUMMYFUNCTION("""COMPUTED_VALUE"""),"N/A")</f>
        <v>N/A</v>
      </c>
      <c r="AB916" s="97" t="str">
        <f>IFERROR(__xludf.DUMMYFUNCTION("""COMPUTED_VALUE"""),"N/A")</f>
        <v>N/A</v>
      </c>
      <c r="AC916" s="97" t="str">
        <f>IFERROR(__xludf.DUMMYFUNCTION("""COMPUTED_VALUE"""),"N/A")</f>
        <v>N/A</v>
      </c>
      <c r="AD916" s="97" t="str">
        <f>IFERROR(__xludf.DUMMYFUNCTION("""COMPUTED_VALUE"""),"IP20")</f>
        <v>IP20</v>
      </c>
      <c r="AE916" s="97" t="str">
        <f>IFERROR(__xludf.DUMMYFUNCTION("""COMPUTED_VALUE"""),"Clase l")</f>
        <v>Clase l</v>
      </c>
      <c r="AF916" s="97" t="str">
        <f>IFERROR(__xludf.DUMMYFUNCTION("""COMPUTED_VALUE"""),"N/A")</f>
        <v>N/A</v>
      </c>
      <c r="AG916" s="97" t="str">
        <f>IFERROR(__xludf.DUMMYFUNCTION("""COMPUTED_VALUE"""),"80 x 35 x 22")</f>
        <v>80 x 35 x 22</v>
      </c>
      <c r="AH916" s="97" t="str">
        <f>IFERROR(__xludf.DUMMYFUNCTION("""COMPUTED_VALUE"""),"N/A")</f>
        <v>N/A</v>
      </c>
      <c r="AI916" s="97" t="str">
        <f>IFERROR(__xludf.DUMMYFUNCTION("""COMPUTED_VALUE"""),"N/A")</f>
        <v>N/A</v>
      </c>
      <c r="AJ916" s="97" t="str">
        <f>IFERROR(__xludf.DUMMYFUNCTION("""COMPUTED_VALUE"""),"N/A")</f>
        <v>N/A</v>
      </c>
      <c r="AK916" s="97" t="str">
        <f>IFERROR(__xludf.DUMMYFUNCTION("""COMPUTED_VALUE"""),"Policarbonato (PC)")</f>
        <v>Policarbonato (PC)</v>
      </c>
      <c r="AL916" s="97" t="str">
        <f>IFERROR(__xludf.DUMMYFUNCTION("""COMPUTED_VALUE"""),"Negro Mate")</f>
        <v>Negro Mate</v>
      </c>
      <c r="AM916" s="97" t="str">
        <f>IFERROR(__xludf.DUMMYFUNCTION("""COMPUTED_VALUE"""),"-")</f>
        <v>-</v>
      </c>
      <c r="AN916" s="97" t="str">
        <f>IFERROR(__xludf.DUMMYFUNCTION("""COMPUTED_VALUE"""),"N/A")</f>
        <v>N/A</v>
      </c>
      <c r="AO916" s="97" t="str">
        <f>IFERROR(__xludf.DUMMYFUNCTION("""COMPUTED_VALUE"""),"3 Años")</f>
        <v>3 Años</v>
      </c>
      <c r="AP916" s="97" t="str">
        <f>IFERROR(__xludf.DUMMYFUNCTION("""COMPUTED_VALUE"""),"No Aplica")</f>
        <v>No Aplica</v>
      </c>
      <c r="AQ916" s="97" t="str">
        <f>IFERROR(__xludf.DUMMYFUNCTION("""COMPUTED_VALUE"""),"No Aplica")</f>
        <v>No Aplica</v>
      </c>
      <c r="AR916" s="97" t="str">
        <f>IFERROR(__xludf.DUMMYFUNCTION("""COMPUTED_VALUE"""),"No Aplica")</f>
        <v>No Aplica</v>
      </c>
      <c r="AS916" s="97"/>
      <c r="AT916" s="97"/>
      <c r="AU916" s="97" t="str">
        <f>IFERROR(__xludf.DUMMYFUNCTION("""COMPUTED_VALUE"""),"Falta")</f>
        <v>Falta</v>
      </c>
      <c r="AV916" s="97" t="str">
        <f>IFERROR(__xludf.DUMMYFUNCTION("""COMPUTED_VALUE"""),"Accesorio")</f>
        <v>Accesorio</v>
      </c>
      <c r="AW916" s="97" t="str">
        <f>IFERROR(__xludf.DUMMYFUNCTION("""COMPUTED_VALUE"""),"Rieles")</f>
        <v>Rieles</v>
      </c>
      <c r="AX916" s="97" t="str">
        <f>IFERROR(__xludf.DUMMYFUNCTION("""COMPUTED_VALUE"""),"Interior")</f>
        <v>Interior</v>
      </c>
      <c r="AY916" s="97" t="str">
        <f>IFERROR(__xludf.DUMMYFUNCTION("""COMPUTED_VALUE"""),"-")</f>
        <v>-</v>
      </c>
      <c r="AZ916" s="97" t="str">
        <f>IFERROR(__xludf.DUMMYFUNCTION("""COMPUTED_VALUE"""),"Soporta 10A. Con entrada de alimentación 220 Vac.")</f>
        <v>Soporta 10A. Con entrada de alimentación 220 Vac.</v>
      </c>
      <c r="BA916" s="97">
        <f>IFERROR(__xludf.DUMMYFUNCTION("""COMPUTED_VALUE"""),150.0)</f>
        <v>150</v>
      </c>
      <c r="BB916" s="97" t="str">
        <f>IFERROR(__xludf.DUMMYFUNCTION("""COMPUTED_VALUE"""),"-")</f>
        <v>-</v>
      </c>
      <c r="BC916" s="97" t="str">
        <f>IFERROR(__xludf.DUMMYFUNCTION("""COMPUTED_VALUE"""),"-")</f>
        <v>-</v>
      </c>
      <c r="BD916" s="97" t="str">
        <f>IFERROR(__xludf.DUMMYFUNCTION("""COMPUTED_VALUE"""),"RIELES 1EF")</f>
        <v>RIELES 1EF</v>
      </c>
      <c r="BE916" s="97" t="str">
        <f>IFERROR(__xludf.DUMMYFUNCTION("""COMPUTED_VALUE"""),"Finalizada")</f>
        <v>Finalizada</v>
      </c>
      <c r="BF916" s="97">
        <f>IFERROR(__xludf.DUMMYFUNCTION("""COMPUTED_VALUE"""),7607.0)</f>
        <v>7607</v>
      </c>
      <c r="BG916" s="97" t="str">
        <f>IFERROR(__xludf.DUMMYFUNCTION("""COMPUTED_VALUE"""),"En Salida")</f>
        <v>En Salida</v>
      </c>
    </row>
    <row r="917">
      <c r="A917" s="97">
        <f>IFERROR(__xludf.DUMMYFUNCTION("""COMPUTED_VALUE"""),6690.0)</f>
        <v>6690</v>
      </c>
      <c r="B917" s="97" t="str">
        <f>IFERROR(__xludf.DUMMYFUNCTION("""COMPUTED_VALUE"""),"GUM")</f>
        <v>GUM</v>
      </c>
      <c r="C917" s="97" t="str">
        <f>IFERROR(__xludf.DUMMYFUNCTION("""COMPUTED_VALUE"""),"PROYECTOR GUM 3W 3000K 150LM CRI&gt;80 IP65 LEUK")</f>
        <v>PROYECTOR GUM 3W 3000K 150LM CRI&gt;80 IP65 LEUK</v>
      </c>
      <c r="D917" s="97">
        <f>IFERROR(__xludf.DUMMYFUNCTION("""COMPUTED_VALUE"""),7.798413221985E12)</f>
        <v>7798413221985</v>
      </c>
      <c r="E917" s="97"/>
      <c r="F917" s="97" t="str">
        <f>IFERROR(__xludf.DUMMYFUNCTION("""COMPUTED_VALUE"""),"LED integrado")</f>
        <v>LED integrado</v>
      </c>
      <c r="G917" s="97" t="str">
        <f>IFERROR(__xludf.DUMMYFUNCTION("""COMPUTED_VALUE"""),"-")</f>
        <v>-</v>
      </c>
      <c r="H917" s="97" t="str">
        <f>IFERROR(__xludf.DUMMYFUNCTION("""COMPUTED_VALUE"""),"-")</f>
        <v>-</v>
      </c>
      <c r="I917" s="97"/>
      <c r="J917" s="97"/>
      <c r="K917" s="97" t="str">
        <f>IFERROR(__xludf.DUMMYFUNCTION("""COMPUTED_VALUE"""),"ON/OFF")</f>
        <v>ON/OFF</v>
      </c>
      <c r="L917" s="97" t="str">
        <f>IFERROR(__xludf.DUMMYFUNCTION("""COMPUTED_VALUE"""),"220-240")</f>
        <v>220-240</v>
      </c>
      <c r="M917" s="97" t="str">
        <f>IFERROR(__xludf.DUMMYFUNCTION("""COMPUTED_VALUE"""),"50/60")</f>
        <v>50/60</v>
      </c>
      <c r="N917" s="97" t="str">
        <f>IFERROR(__xludf.DUMMYFUNCTION("""COMPUTED_VALUE"""),"Directa-Direccional")</f>
        <v>Directa-Direccional</v>
      </c>
      <c r="O917" s="97">
        <f>IFERROR(__xludf.DUMMYFUNCTION("""COMPUTED_VALUE"""),3.0)</f>
        <v>3</v>
      </c>
      <c r="P917" s="97"/>
      <c r="Q917" s="97">
        <f>IFERROR(__xludf.DUMMYFUNCTION("""COMPUTED_VALUE"""),0.46)</f>
        <v>0.46</v>
      </c>
      <c r="R917" s="97" t="str">
        <f>IFERROR(__xludf.DUMMYFUNCTION("""COMPUTED_VALUE"""),"-")</f>
        <v>-</v>
      </c>
      <c r="S917" s="97" t="str">
        <f>IFERROR(__xludf.DUMMYFUNCTION("""COMPUTED_VALUE"""),"-")</f>
        <v>-</v>
      </c>
      <c r="T917" s="97">
        <f>IFERROR(__xludf.DUMMYFUNCTION("""COMPUTED_VALUE"""),150.0)</f>
        <v>150</v>
      </c>
      <c r="U917" s="99">
        <f>IFERROR(__xludf.DUMMYFUNCTION("""COMPUTED_VALUE"""),50.0)</f>
        <v>50</v>
      </c>
      <c r="V917" s="97">
        <f>IFERROR(__xludf.DUMMYFUNCTION("""COMPUTED_VALUE"""),24.0)</f>
        <v>24</v>
      </c>
      <c r="W917" s="97" t="str">
        <f>IFERROR(__xludf.DUMMYFUNCTION("""COMPUTED_VALUE"""),"&lt; 20")</f>
        <v>&lt; 20</v>
      </c>
      <c r="X917" s="97">
        <f>IFERROR(__xludf.DUMMYFUNCTION("""COMPUTED_VALUE"""),3000.0)</f>
        <v>3000</v>
      </c>
      <c r="Y917" s="97" t="str">
        <f>IFERROR(__xludf.DUMMYFUNCTION("""COMPUTED_VALUE"""),"&gt;80")</f>
        <v>&gt;80</v>
      </c>
      <c r="Z917" s="97"/>
      <c r="AA917" s="97"/>
      <c r="AB917" s="97" t="str">
        <f>IFERROR(__xludf.DUMMYFUNCTION("""COMPUTED_VALUE"""),"&lt; 5")</f>
        <v>&lt; 5</v>
      </c>
      <c r="AC917" s="97"/>
      <c r="AD917" s="97" t="str">
        <f>IFERROR(__xludf.DUMMYFUNCTION("""COMPUTED_VALUE"""),"IP65")</f>
        <v>IP65</v>
      </c>
      <c r="AE917" s="97" t="str">
        <f>IFERROR(__xludf.DUMMYFUNCTION("""COMPUTED_VALUE"""),"Clase l")</f>
        <v>Clase l</v>
      </c>
      <c r="AF917" s="97" t="str">
        <f>IFERROR(__xludf.DUMMYFUNCTION("""COMPUTED_VALUE"""),"Aplicar, Estaca")</f>
        <v>Aplicar, Estaca</v>
      </c>
      <c r="AG917" s="97" t="str">
        <f>IFERROR(__xludf.DUMMYFUNCTION("""COMPUTED_VALUE"""),"Ø42 x 90")</f>
        <v>Ø42 x 90</v>
      </c>
      <c r="AH917" s="97" t="str">
        <f>IFERROR(__xludf.DUMMYFUNCTION("""COMPUTED_VALUE"""),"N/A")</f>
        <v>N/A</v>
      </c>
      <c r="AI917" s="97" t="str">
        <f>IFERROR(__xludf.DUMMYFUNCTION("""COMPUTED_VALUE"""),"N/A")</f>
        <v>N/A</v>
      </c>
      <c r="AJ917" s="97" t="str">
        <f>IFERROR(__xludf.DUMMYFUNCTION("""COMPUTED_VALUE"""),"Policarbonato (PC)")</f>
        <v>Policarbonato (PC)</v>
      </c>
      <c r="AK917" s="97" t="str">
        <f>IFERROR(__xludf.DUMMYFUNCTION("""COMPUTED_VALUE"""),"Aluminio")</f>
        <v>Aluminio</v>
      </c>
      <c r="AL917" s="97" t="str">
        <f>IFERROR(__xludf.DUMMYFUNCTION("""COMPUTED_VALUE"""),"Negro Satinado")</f>
        <v>Negro Satinado</v>
      </c>
      <c r="AM917" s="97" t="str">
        <f>IFERROR(__xludf.DUMMYFUNCTION("""COMPUTED_VALUE"""),"-")</f>
        <v>-</v>
      </c>
      <c r="AN917" s="97" t="str">
        <f>IFERROR(__xludf.DUMMYFUNCTION("""COMPUTED_VALUE"""),"25.000hs (L70)")</f>
        <v>25.000hs (L70)</v>
      </c>
      <c r="AO917" s="97" t="str">
        <f>IFERROR(__xludf.DUMMYFUNCTION("""COMPUTED_VALUE"""),"2 Años")</f>
        <v>2 Años</v>
      </c>
      <c r="AP917" s="97" t="str">
        <f>IFERROR(__xludf.DUMMYFUNCTION("""COMPUTED_VALUE"""),"Disponible")</f>
        <v>Disponible</v>
      </c>
      <c r="AQ917" s="97" t="str">
        <f>IFERROR(__xludf.DUMMYFUNCTION("""COMPUTED_VALUE"""),"Disponible")</f>
        <v>Disponible</v>
      </c>
      <c r="AR917" s="97" t="str">
        <f>IFERROR(__xludf.DUMMYFUNCTION("""COMPUTED_VALUE"""),"Disponible")</f>
        <v>Disponible</v>
      </c>
      <c r="AS917" s="97" t="str">
        <f>IFERROR(__xludf.DUMMYFUNCTION("""COMPUTED_VALUE"""),"Falta")</f>
        <v>Falta</v>
      </c>
      <c r="AT917" s="97" t="str">
        <f>IFERROR(__xludf.DUMMYFUNCTION("""COMPUTED_VALUE"""),"Falta")</f>
        <v>Falta</v>
      </c>
      <c r="AU917" s="97" t="str">
        <f>IFERROR(__xludf.DUMMYFUNCTION("""COMPUTED_VALUE"""),"Falta")</f>
        <v>Falta</v>
      </c>
      <c r="AV917" s="97" t="str">
        <f>IFERROR(__xludf.DUMMYFUNCTION("""COMPUTED_VALUE"""),"Proyector")</f>
        <v>Proyector</v>
      </c>
      <c r="AW917" s="97" t="str">
        <f>IFERROR(__xludf.DUMMYFUNCTION("""COMPUTED_VALUE"""),"De Piso")</f>
        <v>De Piso</v>
      </c>
      <c r="AX917" s="97" t="str">
        <f>IFERROR(__xludf.DUMMYFUNCTION("""COMPUTED_VALUE"""),"Exterior")</f>
        <v>Exterior</v>
      </c>
      <c r="AY917" s="97" t="str">
        <f>IFERROR(__xludf.DUMMYFUNCTION("""COMPUTED_VALUE"""),"-")</f>
        <v>-</v>
      </c>
      <c r="AZ917" s="97"/>
      <c r="BA917" s="97">
        <f>IFERROR(__xludf.DUMMYFUNCTION("""COMPUTED_VALUE"""),100.0)</f>
        <v>100</v>
      </c>
      <c r="BB917" s="97" t="str">
        <f>IFERROR(__xludf.DUMMYFUNCTION("""COMPUTED_VALUE"""),"-")</f>
        <v>-</v>
      </c>
      <c r="BC917" s="97" t="str">
        <f>IFERROR(__xludf.DUMMYFUNCTION("""COMPUTED_VALUE"""),"-")</f>
        <v>-</v>
      </c>
      <c r="BD917" s="97" t="str">
        <f>IFERROR(__xludf.DUMMYFUNCTION("""COMPUTED_VALUE"""),"GUM ")</f>
        <v>GUM </v>
      </c>
      <c r="BE917" s="97" t="str">
        <f>IFERROR(__xludf.DUMMYFUNCTION("""COMPUTED_VALUE"""),"Finalizada")</f>
        <v>Finalizada</v>
      </c>
      <c r="BF917" s="97"/>
      <c r="BG917" s="97" t="str">
        <f>IFERROR(__xludf.DUMMYFUNCTION("""COMPUTED_VALUE"""),"Activo")</f>
        <v>Activo</v>
      </c>
    </row>
    <row r="918">
      <c r="A918" s="97">
        <f>IFERROR(__xludf.DUMMYFUNCTION("""COMPUTED_VALUE"""),6691.0)</f>
        <v>6691</v>
      </c>
      <c r="B918" s="97" t="str">
        <f>IFERROR(__xludf.DUMMYFUNCTION("""COMPUTED_VALUE"""),"DRIVER TRIAC 30W")</f>
        <v>DRIVER TRIAC 30W</v>
      </c>
      <c r="C918" s="97" t="str">
        <f>IFERROR(__xludf.DUMMYFUNCTION("""COMPUTED_VALUE"""),"ACCESORIO DRIVER TRIAC 30W LEUK")</f>
        <v>ACCESORIO DRIVER TRIAC 30W LEUK</v>
      </c>
      <c r="D918" s="97">
        <f>IFERROR(__xludf.DUMMYFUNCTION("""COMPUTED_VALUE"""),7.798413221992E12)</f>
        <v>7798413221992</v>
      </c>
      <c r="E918" s="97"/>
      <c r="F918" s="97" t="str">
        <f>IFERROR(__xludf.DUMMYFUNCTION("""COMPUTED_VALUE"""),"N/A")</f>
        <v>N/A</v>
      </c>
      <c r="G918" s="97" t="str">
        <f>IFERROR(__xludf.DUMMYFUNCTION("""COMPUTED_VALUE"""),"N/A")</f>
        <v>N/A</v>
      </c>
      <c r="H918" s="97" t="str">
        <f>IFERROR(__xludf.DUMMYFUNCTION("""COMPUTED_VALUE"""),"AiDimming")</f>
        <v>AiDimming</v>
      </c>
      <c r="I918" s="97" t="str">
        <f>IFERROR(__xludf.DUMMYFUNCTION("""COMPUTED_VALUE"""),"N/A")</f>
        <v>N/A</v>
      </c>
      <c r="J918" s="97" t="str">
        <f>IFERROR(__xludf.DUMMYFUNCTION("""COMPUTED_VALUE"""),"N/A")</f>
        <v>N/A</v>
      </c>
      <c r="K918" s="97" t="str">
        <f>IFERROR(__xludf.DUMMYFUNCTION("""COMPUTED_VALUE"""),"TRIAC")</f>
        <v>TRIAC</v>
      </c>
      <c r="L918" s="97" t="str">
        <f>IFERROR(__xludf.DUMMYFUNCTION("""COMPUTED_VALUE"""),"200-240")</f>
        <v>200-240</v>
      </c>
      <c r="M918" s="97" t="str">
        <f>IFERROR(__xludf.DUMMYFUNCTION("""COMPUTED_VALUE"""),"50/60")</f>
        <v>50/60</v>
      </c>
      <c r="N918" s="97" t="str">
        <f>IFERROR(__xludf.DUMMYFUNCTION("""COMPUTED_VALUE"""),"N/A")</f>
        <v>N/A</v>
      </c>
      <c r="O918" s="97">
        <f>IFERROR(__xludf.DUMMYFUNCTION("""COMPUTED_VALUE"""),30.0)</f>
        <v>30</v>
      </c>
      <c r="P918" s="97"/>
      <c r="Q918" s="97">
        <f>IFERROR(__xludf.DUMMYFUNCTION("""COMPUTED_VALUE"""),0.98)</f>
        <v>0.98</v>
      </c>
      <c r="R918" s="97" t="str">
        <f>IFERROR(__xludf.DUMMYFUNCTION("""COMPUTED_VALUE"""),"-")</f>
        <v>-</v>
      </c>
      <c r="S918" s="97" t="str">
        <f>IFERROR(__xludf.DUMMYFUNCTION("""COMPUTED_VALUE"""),"-")</f>
        <v>-</v>
      </c>
      <c r="T918" s="97" t="str">
        <f>IFERROR(__xludf.DUMMYFUNCTION("""COMPUTED_VALUE"""),"-")</f>
        <v>-</v>
      </c>
      <c r="U918" s="97" t="str">
        <f>IFERROR(__xludf.DUMMYFUNCTION("""COMPUTED_VALUE"""),"-")</f>
        <v>-</v>
      </c>
      <c r="V918" s="97" t="str">
        <f>IFERROR(__xludf.DUMMYFUNCTION("""COMPUTED_VALUE"""),"N/A")</f>
        <v>N/A</v>
      </c>
      <c r="W918" s="97" t="str">
        <f>IFERROR(__xludf.DUMMYFUNCTION("""COMPUTED_VALUE"""),"N/A")</f>
        <v>N/A</v>
      </c>
      <c r="X918" s="97" t="str">
        <f>IFERROR(__xludf.DUMMYFUNCTION("""COMPUTED_VALUE"""),"-")</f>
        <v>-</v>
      </c>
      <c r="Y918" s="97" t="str">
        <f>IFERROR(__xludf.DUMMYFUNCTION("""COMPUTED_VALUE"""),"N/A")</f>
        <v>N/A</v>
      </c>
      <c r="Z918" s="97" t="str">
        <f>IFERROR(__xludf.DUMMYFUNCTION("""COMPUTED_VALUE"""),"N/A")</f>
        <v>N/A</v>
      </c>
      <c r="AA918" s="97" t="str">
        <f>IFERROR(__xludf.DUMMYFUNCTION("""COMPUTED_VALUE"""),"N/A")</f>
        <v>N/A</v>
      </c>
      <c r="AB918" s="97" t="str">
        <f>IFERROR(__xludf.DUMMYFUNCTION("""COMPUTED_VALUE"""),"N/A")</f>
        <v>N/A</v>
      </c>
      <c r="AC918" s="97" t="str">
        <f>IFERROR(__xludf.DUMMYFUNCTION("""COMPUTED_VALUE"""),"N/A")</f>
        <v>N/A</v>
      </c>
      <c r="AD918" s="97" t="str">
        <f>IFERROR(__xludf.DUMMYFUNCTION("""COMPUTED_VALUE"""),"IP20")</f>
        <v>IP20</v>
      </c>
      <c r="AE918" s="97" t="str">
        <f>IFERROR(__xludf.DUMMYFUNCTION("""COMPUTED_VALUE"""),"Clase l")</f>
        <v>Clase l</v>
      </c>
      <c r="AF918" s="97" t="str">
        <f>IFERROR(__xludf.DUMMYFUNCTION("""COMPUTED_VALUE"""),"N/A")</f>
        <v>N/A</v>
      </c>
      <c r="AG918" s="97" t="str">
        <f>IFERROR(__xludf.DUMMYFUNCTION("""COMPUTED_VALUE"""),"242 x 30 x 21")</f>
        <v>242 x 30 x 21</v>
      </c>
      <c r="AH918" s="97" t="str">
        <f>IFERROR(__xludf.DUMMYFUNCTION("""COMPUTED_VALUE"""),"N/A")</f>
        <v>N/A</v>
      </c>
      <c r="AI918" s="97" t="str">
        <f>IFERROR(__xludf.DUMMYFUNCTION("""COMPUTED_VALUE"""),"N/A")</f>
        <v>N/A</v>
      </c>
      <c r="AJ918" s="97" t="str">
        <f>IFERROR(__xludf.DUMMYFUNCTION("""COMPUTED_VALUE"""),"N/A")</f>
        <v>N/A</v>
      </c>
      <c r="AK918" s="97" t="str">
        <f>IFERROR(__xludf.DUMMYFUNCTION("""COMPUTED_VALUE"""),"Acero")</f>
        <v>Acero</v>
      </c>
      <c r="AL918" s="97" t="str">
        <f>IFERROR(__xludf.DUMMYFUNCTION("""COMPUTED_VALUE"""),"Natural")</f>
        <v>Natural</v>
      </c>
      <c r="AM918" s="97" t="str">
        <f>IFERROR(__xludf.DUMMYFUNCTION("""COMPUTED_VALUE"""),"-20℃ a 50℃")</f>
        <v>-20℃ a 50℃</v>
      </c>
      <c r="AN918" s="97" t="str">
        <f>IFERROR(__xludf.DUMMYFUNCTION("""COMPUTED_VALUE"""),"N/A")</f>
        <v>N/A</v>
      </c>
      <c r="AO918" s="97" t="str">
        <f>IFERROR(__xludf.DUMMYFUNCTION("""COMPUTED_VALUE"""),"3 Años")</f>
        <v>3 Años</v>
      </c>
      <c r="AP918" s="97" t="str">
        <f>IFERROR(__xludf.DUMMYFUNCTION("""COMPUTED_VALUE"""),"No Aplica")</f>
        <v>No Aplica</v>
      </c>
      <c r="AQ918" s="97" t="str">
        <f>IFERROR(__xludf.DUMMYFUNCTION("""COMPUTED_VALUE"""),"No Aplica")</f>
        <v>No Aplica</v>
      </c>
      <c r="AR918" s="97" t="str">
        <f>IFERROR(__xludf.DUMMYFUNCTION("""COMPUTED_VALUE"""),"No Aplica")</f>
        <v>No Aplica</v>
      </c>
      <c r="AS918" s="97"/>
      <c r="AT918" s="97"/>
      <c r="AU918" s="97" t="str">
        <f>IFERROR(__xludf.DUMMYFUNCTION("""COMPUTED_VALUE"""),"Falta")</f>
        <v>Falta</v>
      </c>
      <c r="AV918" s="97" t="str">
        <f>IFERROR(__xludf.DUMMYFUNCTION("""COMPUTED_VALUE"""),"Accesorio")</f>
        <v>Accesorio</v>
      </c>
      <c r="AW918" s="97" t="str">
        <f>IFERROR(__xludf.DUMMYFUNCTION("""COMPUTED_VALUE"""),"Lineales")</f>
        <v>Lineales</v>
      </c>
      <c r="AX918" s="97" t="str">
        <f>IFERROR(__xludf.DUMMYFUNCTION("""COMPUTED_VALUE"""),"Interior")</f>
        <v>Interior</v>
      </c>
      <c r="AY918" s="97" t="str">
        <f>IFERROR(__xludf.DUMMYFUNCTION("""COMPUTED_VALUE"""),"Dyna")</f>
        <v>Dyna</v>
      </c>
      <c r="AZ918" s="97" t="str">
        <f>IFERROR(__xludf.DUMMYFUNCTION("""COMPUTED_VALUE"""),"Flicker-Free. Salida: 26-42Vdc / 550 a 700mA")</f>
        <v>Flicker-Free. Salida: 26-42Vdc / 550 a 700mA</v>
      </c>
      <c r="BA918" s="97">
        <f>IFERROR(__xludf.DUMMYFUNCTION("""COMPUTED_VALUE"""),100.0)</f>
        <v>100</v>
      </c>
      <c r="BB918" s="97" t="str">
        <f>IFERROR(__xludf.DUMMYFUNCTION("""COMPUTED_VALUE"""),"175g")</f>
        <v>175g</v>
      </c>
      <c r="BC918" s="97" t="str">
        <f>IFERROR(__xludf.DUMMYFUNCTION("""COMPUTED_VALUE"""),"-")</f>
        <v>-</v>
      </c>
      <c r="BD918" s="97" t="str">
        <f>IFERROR(__xludf.DUMMYFUNCTION("""COMPUTED_VALUE"""),"DYNA DRIVERS")</f>
        <v>DYNA DRIVERS</v>
      </c>
      <c r="BE918" s="97" t="str">
        <f>IFERROR(__xludf.DUMMYFUNCTION("""COMPUTED_VALUE"""),"Finalizada")</f>
        <v>Finalizada</v>
      </c>
      <c r="BF918" s="97"/>
      <c r="BG918" s="97" t="str">
        <f>IFERROR(__xludf.DUMMYFUNCTION("""COMPUTED_VALUE"""),"Activo")</f>
        <v>Activo</v>
      </c>
    </row>
    <row r="919">
      <c r="A919" s="97">
        <f>IFERROR(__xludf.DUMMYFUNCTION("""COMPUTED_VALUE"""),6692.0)</f>
        <v>6692</v>
      </c>
      <c r="B919" s="97" t="str">
        <f>IFERROR(__xludf.DUMMYFUNCTION("""COMPUTED_VALUE"""),"DRIVER DALI 30W")</f>
        <v>DRIVER DALI 30W</v>
      </c>
      <c r="C919" s="97" t="str">
        <f>IFERROR(__xludf.DUMMYFUNCTION("""COMPUTED_VALUE"""),"ACCESORIO DRIVER DALI 30W LEUK")</f>
        <v>ACCESORIO DRIVER DALI 30W LEUK</v>
      </c>
      <c r="D919" s="97">
        <f>IFERROR(__xludf.DUMMYFUNCTION("""COMPUTED_VALUE"""),7.798413222005E12)</f>
        <v>7798413222005</v>
      </c>
      <c r="E919" s="97"/>
      <c r="F919" s="97" t="str">
        <f>IFERROR(__xludf.DUMMYFUNCTION("""COMPUTED_VALUE"""),"N/A")</f>
        <v>N/A</v>
      </c>
      <c r="G919" s="97" t="str">
        <f>IFERROR(__xludf.DUMMYFUNCTION("""COMPUTED_VALUE"""),"N/A")</f>
        <v>N/A</v>
      </c>
      <c r="H919" s="97" t="str">
        <f>IFERROR(__xludf.DUMMYFUNCTION("""COMPUTED_VALUE"""),"AiDimming")</f>
        <v>AiDimming</v>
      </c>
      <c r="I919" s="97" t="str">
        <f>IFERROR(__xludf.DUMMYFUNCTION("""COMPUTED_VALUE"""),"N/A")</f>
        <v>N/A</v>
      </c>
      <c r="J919" s="97" t="str">
        <f>IFERROR(__xludf.DUMMYFUNCTION("""COMPUTED_VALUE"""),"N/A")</f>
        <v>N/A</v>
      </c>
      <c r="K919" s="97" t="str">
        <f>IFERROR(__xludf.DUMMYFUNCTION("""COMPUTED_VALUE"""),"DALI")</f>
        <v>DALI</v>
      </c>
      <c r="L919" s="97" t="str">
        <f>IFERROR(__xludf.DUMMYFUNCTION("""COMPUTED_VALUE"""),"200-240")</f>
        <v>200-240</v>
      </c>
      <c r="M919" s="97" t="str">
        <f>IFERROR(__xludf.DUMMYFUNCTION("""COMPUTED_VALUE"""),"50/60")</f>
        <v>50/60</v>
      </c>
      <c r="N919" s="97" t="str">
        <f>IFERROR(__xludf.DUMMYFUNCTION("""COMPUTED_VALUE"""),"N/A")</f>
        <v>N/A</v>
      </c>
      <c r="O919" s="97">
        <f>IFERROR(__xludf.DUMMYFUNCTION("""COMPUTED_VALUE"""),30.0)</f>
        <v>30</v>
      </c>
      <c r="P919" s="97"/>
      <c r="Q919" s="97">
        <f>IFERROR(__xludf.DUMMYFUNCTION("""COMPUTED_VALUE"""),0.95)</f>
        <v>0.95</v>
      </c>
      <c r="R919" s="97" t="str">
        <f>IFERROR(__xludf.DUMMYFUNCTION("""COMPUTED_VALUE"""),"-")</f>
        <v>-</v>
      </c>
      <c r="S919" s="97" t="str">
        <f>IFERROR(__xludf.DUMMYFUNCTION("""COMPUTED_VALUE"""),"-")</f>
        <v>-</v>
      </c>
      <c r="T919" s="97" t="str">
        <f>IFERROR(__xludf.DUMMYFUNCTION("""COMPUTED_VALUE"""),"-")</f>
        <v>-</v>
      </c>
      <c r="U919" s="97" t="str">
        <f>IFERROR(__xludf.DUMMYFUNCTION("""COMPUTED_VALUE"""),"-")</f>
        <v>-</v>
      </c>
      <c r="V919" s="97" t="str">
        <f>IFERROR(__xludf.DUMMYFUNCTION("""COMPUTED_VALUE"""),"N/A")</f>
        <v>N/A</v>
      </c>
      <c r="W919" s="97" t="str">
        <f>IFERROR(__xludf.DUMMYFUNCTION("""COMPUTED_VALUE"""),"N/A")</f>
        <v>N/A</v>
      </c>
      <c r="X919" s="97" t="str">
        <f>IFERROR(__xludf.DUMMYFUNCTION("""COMPUTED_VALUE"""),"-")</f>
        <v>-</v>
      </c>
      <c r="Y919" s="97" t="str">
        <f>IFERROR(__xludf.DUMMYFUNCTION("""COMPUTED_VALUE"""),"N/A")</f>
        <v>N/A</v>
      </c>
      <c r="Z919" s="97" t="str">
        <f>IFERROR(__xludf.DUMMYFUNCTION("""COMPUTED_VALUE"""),"N/A")</f>
        <v>N/A</v>
      </c>
      <c r="AA919" s="97" t="str">
        <f>IFERROR(__xludf.DUMMYFUNCTION("""COMPUTED_VALUE"""),"N/A")</f>
        <v>N/A</v>
      </c>
      <c r="AB919" s="97" t="str">
        <f>IFERROR(__xludf.DUMMYFUNCTION("""COMPUTED_VALUE"""),"N/A")</f>
        <v>N/A</v>
      </c>
      <c r="AC919" s="97" t="str">
        <f>IFERROR(__xludf.DUMMYFUNCTION("""COMPUTED_VALUE"""),"N/A")</f>
        <v>N/A</v>
      </c>
      <c r="AD919" s="97" t="str">
        <f>IFERROR(__xludf.DUMMYFUNCTION("""COMPUTED_VALUE"""),"IP20")</f>
        <v>IP20</v>
      </c>
      <c r="AE919" s="97" t="str">
        <f>IFERROR(__xludf.DUMMYFUNCTION("""COMPUTED_VALUE"""),"Clase l")</f>
        <v>Clase l</v>
      </c>
      <c r="AF919" s="97" t="str">
        <f>IFERROR(__xludf.DUMMYFUNCTION("""COMPUTED_VALUE"""),"N/A")</f>
        <v>N/A</v>
      </c>
      <c r="AG919" s="97" t="str">
        <f>IFERROR(__xludf.DUMMYFUNCTION("""COMPUTED_VALUE"""),"242 x 30 x 21")</f>
        <v>242 x 30 x 21</v>
      </c>
      <c r="AH919" s="97" t="str">
        <f>IFERROR(__xludf.DUMMYFUNCTION("""COMPUTED_VALUE"""),"N/A")</f>
        <v>N/A</v>
      </c>
      <c r="AI919" s="97" t="str">
        <f>IFERROR(__xludf.DUMMYFUNCTION("""COMPUTED_VALUE"""),"N/A")</f>
        <v>N/A</v>
      </c>
      <c r="AJ919" s="97" t="str">
        <f>IFERROR(__xludf.DUMMYFUNCTION("""COMPUTED_VALUE"""),"N/A")</f>
        <v>N/A</v>
      </c>
      <c r="AK919" s="97" t="str">
        <f>IFERROR(__xludf.DUMMYFUNCTION("""COMPUTED_VALUE"""),"Acero")</f>
        <v>Acero</v>
      </c>
      <c r="AL919" s="97" t="str">
        <f>IFERROR(__xludf.DUMMYFUNCTION("""COMPUTED_VALUE"""),"Natural")</f>
        <v>Natural</v>
      </c>
      <c r="AM919" s="97" t="str">
        <f>IFERROR(__xludf.DUMMYFUNCTION("""COMPUTED_VALUE"""),"-20℃ a 45℃")</f>
        <v>-20℃ a 45℃</v>
      </c>
      <c r="AN919" s="97" t="str">
        <f>IFERROR(__xludf.DUMMYFUNCTION("""COMPUTED_VALUE"""),"N/A")</f>
        <v>N/A</v>
      </c>
      <c r="AO919" s="97" t="str">
        <f>IFERROR(__xludf.DUMMYFUNCTION("""COMPUTED_VALUE"""),"3 Años")</f>
        <v>3 Años</v>
      </c>
      <c r="AP919" s="97" t="str">
        <f>IFERROR(__xludf.DUMMYFUNCTION("""COMPUTED_VALUE"""),"No Aplica")</f>
        <v>No Aplica</v>
      </c>
      <c r="AQ919" s="97" t="str">
        <f>IFERROR(__xludf.DUMMYFUNCTION("""COMPUTED_VALUE"""),"No Aplica")</f>
        <v>No Aplica</v>
      </c>
      <c r="AR919" s="97" t="str">
        <f>IFERROR(__xludf.DUMMYFUNCTION("""COMPUTED_VALUE"""),"No Aplica")</f>
        <v>No Aplica</v>
      </c>
      <c r="AS919" s="97"/>
      <c r="AT919" s="97"/>
      <c r="AU919" s="97" t="str">
        <f>IFERROR(__xludf.DUMMYFUNCTION("""COMPUTED_VALUE"""),"Falta")</f>
        <v>Falta</v>
      </c>
      <c r="AV919" s="97" t="str">
        <f>IFERROR(__xludf.DUMMYFUNCTION("""COMPUTED_VALUE"""),"Accesorio")</f>
        <v>Accesorio</v>
      </c>
      <c r="AW919" s="97" t="str">
        <f>IFERROR(__xludf.DUMMYFUNCTION("""COMPUTED_VALUE"""),"Lineales")</f>
        <v>Lineales</v>
      </c>
      <c r="AX919" s="97" t="str">
        <f>IFERROR(__xludf.DUMMYFUNCTION("""COMPUTED_VALUE"""),"Interior")</f>
        <v>Interior</v>
      </c>
      <c r="AY919" s="97" t="str">
        <f>IFERROR(__xludf.DUMMYFUNCTION("""COMPUTED_VALUE"""),"Dyna")</f>
        <v>Dyna</v>
      </c>
      <c r="AZ919" s="97" t="str">
        <f>IFERROR(__xludf.DUMMYFUNCTION("""COMPUTED_VALUE"""),"Protocolo Dali-2. Flicker-Free. Salida: 9-42Vdc / 300 a 750mA")</f>
        <v>Protocolo Dali-2. Flicker-Free. Salida: 9-42Vdc / 300 a 750mA</v>
      </c>
      <c r="BA919" s="97">
        <f>IFERROR(__xludf.DUMMYFUNCTION("""COMPUTED_VALUE"""),48.0)</f>
        <v>48</v>
      </c>
      <c r="BB919" s="97" t="str">
        <f>IFERROR(__xludf.DUMMYFUNCTION("""COMPUTED_VALUE"""),"175g")</f>
        <v>175g</v>
      </c>
      <c r="BC919" s="97" t="str">
        <f>IFERROR(__xludf.DUMMYFUNCTION("""COMPUTED_VALUE"""),"-")</f>
        <v>-</v>
      </c>
      <c r="BD919" s="97" t="str">
        <f>IFERROR(__xludf.DUMMYFUNCTION("""COMPUTED_VALUE"""),"DYNA DRIVERS")</f>
        <v>DYNA DRIVERS</v>
      </c>
      <c r="BE919" s="97" t="str">
        <f>IFERROR(__xludf.DUMMYFUNCTION("""COMPUTED_VALUE"""),"Finalizada")</f>
        <v>Finalizada</v>
      </c>
      <c r="BF919" s="97"/>
      <c r="BG919" s="97" t="str">
        <f>IFERROR(__xludf.DUMMYFUNCTION("""COMPUTED_VALUE"""),"Activo")</f>
        <v>Activo</v>
      </c>
    </row>
    <row r="920">
      <c r="A920" s="97">
        <f>IFERROR(__xludf.DUMMYFUNCTION("""COMPUTED_VALUE"""),6693.0)</f>
        <v>6693</v>
      </c>
      <c r="B920" s="97" t="str">
        <f>IFERROR(__xludf.DUMMYFUNCTION("""COMPUTED_VALUE"""),"KIT APLIQUE PARED DYNA")</f>
        <v>KIT APLIQUE PARED DYNA</v>
      </c>
      <c r="C920" s="97" t="str">
        <f>IFERROR(__xludf.DUMMYFUNCTION("""COMPUTED_VALUE"""),"ACCESORIO KIT APLIQUE PARED DYNA LEUK")</f>
        <v>ACCESORIO KIT APLIQUE PARED DYNA LEUK</v>
      </c>
      <c r="D920" s="97">
        <f>IFERROR(__xludf.DUMMYFUNCTION("""COMPUTED_VALUE"""),7.798413221954E12)</f>
        <v>7798413221954</v>
      </c>
      <c r="E920" s="97" t="str">
        <f>IFERROR(__xludf.DUMMYFUNCTION("""COMPUTED_VALUE"""),"N/A")</f>
        <v>N/A</v>
      </c>
      <c r="F920" s="97" t="str">
        <f>IFERROR(__xludf.DUMMYFUNCTION("""COMPUTED_VALUE"""),"N/A")</f>
        <v>N/A</v>
      </c>
      <c r="G920" s="97" t="str">
        <f>IFERROR(__xludf.DUMMYFUNCTION("""COMPUTED_VALUE"""),"N/A")</f>
        <v>N/A</v>
      </c>
      <c r="H920" s="97" t="str">
        <f>IFERROR(__xludf.DUMMYFUNCTION("""COMPUTED_VALUE"""),"N/A")</f>
        <v>N/A</v>
      </c>
      <c r="I920" s="97" t="str">
        <f>IFERROR(__xludf.DUMMYFUNCTION("""COMPUTED_VALUE"""),"N/A")</f>
        <v>N/A</v>
      </c>
      <c r="J920" s="97" t="str">
        <f>IFERROR(__xludf.DUMMYFUNCTION("""COMPUTED_VALUE"""),"N/A")</f>
        <v>N/A</v>
      </c>
      <c r="K920" s="97" t="str">
        <f>IFERROR(__xludf.DUMMYFUNCTION("""COMPUTED_VALUE"""),"N/A")</f>
        <v>N/A</v>
      </c>
      <c r="L920" s="97" t="str">
        <f>IFERROR(__xludf.DUMMYFUNCTION("""COMPUTED_VALUE"""),"N/A")</f>
        <v>N/A</v>
      </c>
      <c r="M920" s="97" t="str">
        <f>IFERROR(__xludf.DUMMYFUNCTION("""COMPUTED_VALUE"""),"N/A")</f>
        <v>N/A</v>
      </c>
      <c r="N920" s="97"/>
      <c r="O920" s="97" t="str">
        <f>IFERROR(__xludf.DUMMYFUNCTION("""COMPUTED_VALUE"""),"-")</f>
        <v>-</v>
      </c>
      <c r="P920" s="97"/>
      <c r="Q920" s="97" t="str">
        <f>IFERROR(__xludf.DUMMYFUNCTION("""COMPUTED_VALUE"""),"-")</f>
        <v>-</v>
      </c>
      <c r="R920" s="97" t="str">
        <f>IFERROR(__xludf.DUMMYFUNCTION("""COMPUTED_VALUE"""),"-")</f>
        <v>-</v>
      </c>
      <c r="S920" s="97" t="str">
        <f>IFERROR(__xludf.DUMMYFUNCTION("""COMPUTED_VALUE"""),"-")</f>
        <v>-</v>
      </c>
      <c r="T920" s="97" t="str">
        <f>IFERROR(__xludf.DUMMYFUNCTION("""COMPUTED_VALUE"""),"-")</f>
        <v>-</v>
      </c>
      <c r="U920" s="97" t="str">
        <f>IFERROR(__xludf.DUMMYFUNCTION("""COMPUTED_VALUE"""),"-")</f>
        <v>-</v>
      </c>
      <c r="V920" s="97" t="str">
        <f>IFERROR(__xludf.DUMMYFUNCTION("""COMPUTED_VALUE"""),"N/A")</f>
        <v>N/A</v>
      </c>
      <c r="W920" s="97" t="str">
        <f>IFERROR(__xludf.DUMMYFUNCTION("""COMPUTED_VALUE"""),"N/A")</f>
        <v>N/A</v>
      </c>
      <c r="X920" s="97" t="str">
        <f>IFERROR(__xludf.DUMMYFUNCTION("""COMPUTED_VALUE"""),"-")</f>
        <v>-</v>
      </c>
      <c r="Y920" s="97" t="str">
        <f>IFERROR(__xludf.DUMMYFUNCTION("""COMPUTED_VALUE"""),"N/A")</f>
        <v>N/A</v>
      </c>
      <c r="Z920" s="97" t="str">
        <f>IFERROR(__xludf.DUMMYFUNCTION("""COMPUTED_VALUE"""),"N/A")</f>
        <v>N/A</v>
      </c>
      <c r="AA920" s="97" t="str">
        <f>IFERROR(__xludf.DUMMYFUNCTION("""COMPUTED_VALUE"""),"N/A")</f>
        <v>N/A</v>
      </c>
      <c r="AB920" s="97" t="str">
        <f>IFERROR(__xludf.DUMMYFUNCTION("""COMPUTED_VALUE"""),"N/A")</f>
        <v>N/A</v>
      </c>
      <c r="AC920" s="97" t="str">
        <f>IFERROR(__xludf.DUMMYFUNCTION("""COMPUTED_VALUE"""),"N/A")</f>
        <v>N/A</v>
      </c>
      <c r="AD920" s="97" t="str">
        <f>IFERROR(__xludf.DUMMYFUNCTION("""COMPUTED_VALUE"""),"N/A")</f>
        <v>N/A</v>
      </c>
      <c r="AE920" s="97" t="str">
        <f>IFERROR(__xludf.DUMMYFUNCTION("""COMPUTED_VALUE"""),"N/A")</f>
        <v>N/A</v>
      </c>
      <c r="AF920" s="97" t="str">
        <f>IFERROR(__xludf.DUMMYFUNCTION("""COMPUTED_VALUE"""),"N/A")</f>
        <v>N/A</v>
      </c>
      <c r="AG920" s="97" t="str">
        <f>IFERROR(__xludf.DUMMYFUNCTION("""COMPUTED_VALUE"""),"N/A")</f>
        <v>N/A</v>
      </c>
      <c r="AH920" s="97" t="str">
        <f>IFERROR(__xludf.DUMMYFUNCTION("""COMPUTED_VALUE"""),"N/A")</f>
        <v>N/A</v>
      </c>
      <c r="AI920" s="97" t="str">
        <f>IFERROR(__xludf.DUMMYFUNCTION("""COMPUTED_VALUE"""),"N/A")</f>
        <v>N/A</v>
      </c>
      <c r="AJ920" s="97" t="str">
        <f>IFERROR(__xludf.DUMMYFUNCTION("""COMPUTED_VALUE"""),"N/A")</f>
        <v>N/A</v>
      </c>
      <c r="AK920" s="97" t="str">
        <f>IFERROR(__xludf.DUMMYFUNCTION("""COMPUTED_VALUE"""),"Acero")</f>
        <v>Acero</v>
      </c>
      <c r="AL920" s="97" t="str">
        <f>IFERROR(__xludf.DUMMYFUNCTION("""COMPUTED_VALUE"""),"Natural")</f>
        <v>Natural</v>
      </c>
      <c r="AM920" s="97" t="str">
        <f>IFERROR(__xludf.DUMMYFUNCTION("""COMPUTED_VALUE"""),"-")</f>
        <v>-</v>
      </c>
      <c r="AN920" s="97" t="str">
        <f>IFERROR(__xludf.DUMMYFUNCTION("""COMPUTED_VALUE"""),"N/A")</f>
        <v>N/A</v>
      </c>
      <c r="AO920" s="97" t="str">
        <f>IFERROR(__xludf.DUMMYFUNCTION("""COMPUTED_VALUE"""),"3 Años")</f>
        <v>3 Años</v>
      </c>
      <c r="AP920" s="97" t="str">
        <f>IFERROR(__xludf.DUMMYFUNCTION("""COMPUTED_VALUE"""),"No Aplica")</f>
        <v>No Aplica</v>
      </c>
      <c r="AQ920" s="97" t="str">
        <f>IFERROR(__xludf.DUMMYFUNCTION("""COMPUTED_VALUE"""),"No Aplica")</f>
        <v>No Aplica</v>
      </c>
      <c r="AR920" s="97" t="str">
        <f>IFERROR(__xludf.DUMMYFUNCTION("""COMPUTED_VALUE"""),"No Aplica")</f>
        <v>No Aplica</v>
      </c>
      <c r="AS920" s="97"/>
      <c r="AT920" s="97"/>
      <c r="AU920" s="97" t="str">
        <f>IFERROR(__xludf.DUMMYFUNCTION("""COMPUTED_VALUE"""),"Falta")</f>
        <v>Falta</v>
      </c>
      <c r="AV920" s="97" t="str">
        <f>IFERROR(__xludf.DUMMYFUNCTION("""COMPUTED_VALUE"""),"Accesorio")</f>
        <v>Accesorio</v>
      </c>
      <c r="AW920" s="97" t="str">
        <f>IFERROR(__xludf.DUMMYFUNCTION("""COMPUTED_VALUE"""),"Lineales")</f>
        <v>Lineales</v>
      </c>
      <c r="AX920" s="97" t="str">
        <f>IFERROR(__xludf.DUMMYFUNCTION("""COMPUTED_VALUE"""),"Interior")</f>
        <v>Interior</v>
      </c>
      <c r="AY920" s="97" t="str">
        <f>IFERROR(__xludf.DUMMYFUNCTION("""COMPUTED_VALUE"""),"Dyna")</f>
        <v>Dyna</v>
      </c>
      <c r="AZ920" s="97"/>
      <c r="BA920" s="97">
        <f>IFERROR(__xludf.DUMMYFUNCTION("""COMPUTED_VALUE"""),295.0)</f>
        <v>295</v>
      </c>
      <c r="BB920" s="97" t="str">
        <f>IFERROR(__xludf.DUMMYFUNCTION("""COMPUTED_VALUE"""),"-")</f>
        <v>-</v>
      </c>
      <c r="BC920" s="97" t="str">
        <f>IFERROR(__xludf.DUMMYFUNCTION("""COMPUTED_VALUE"""),"-")</f>
        <v>-</v>
      </c>
      <c r="BD920" s="97" t="str">
        <f>IFERROR(__xludf.DUMMYFUNCTION("""COMPUTED_VALUE"""),"DYNA")</f>
        <v>DYNA</v>
      </c>
      <c r="BE920" s="97" t="str">
        <f>IFERROR(__xludf.DUMMYFUNCTION("""COMPUTED_VALUE"""),"Finalizada")</f>
        <v>Finalizada</v>
      </c>
      <c r="BF920" s="97"/>
      <c r="BG920" s="97" t="str">
        <f>IFERROR(__xludf.DUMMYFUNCTION("""COMPUTED_VALUE"""),"Activo")</f>
        <v>Activo</v>
      </c>
    </row>
    <row r="921">
      <c r="A921" s="97">
        <f>IFERROR(__xludf.DUMMYFUNCTION("""COMPUTED_VALUE"""),6694.0)</f>
        <v>6694</v>
      </c>
      <c r="B921" s="97" t="str">
        <f>IFERROR(__xludf.DUMMYFUNCTION("""COMPUTED_VALUE"""),"RUFFO GU10")</f>
        <v>RUFFO GU10</v>
      </c>
      <c r="C921" s="97" t="str">
        <f>IFERROR(__xludf.DUMMYFUNCTION("""COMPUTED_VALUE"""),"BOLARDO RUFFO GU10 1XGU10 DICRO IP65 LEUK")</f>
        <v>BOLARDO RUFFO GU10 1XGU10 DICRO IP65 LEUK</v>
      </c>
      <c r="D921" s="97">
        <f>IFERROR(__xludf.DUMMYFUNCTION("""COMPUTED_VALUE"""),7.798413221947E12)</f>
        <v>7798413221947</v>
      </c>
      <c r="E921" s="97"/>
      <c r="F921" s="97" t="str">
        <f>IFERROR(__xludf.DUMMYFUNCTION("""COMPUTED_VALUE"""),"1xGU10 Dicro")</f>
        <v>1xGU10 Dicro</v>
      </c>
      <c r="G921" s="97" t="str">
        <f>IFERROR(__xludf.DUMMYFUNCTION("""COMPUTED_VALUE"""),"N/A")</f>
        <v>N/A</v>
      </c>
      <c r="H921" s="97" t="str">
        <f>IFERROR(__xludf.DUMMYFUNCTION("""COMPUTED_VALUE"""),"N/A")</f>
        <v>N/A</v>
      </c>
      <c r="I921" s="97" t="str">
        <f>IFERROR(__xludf.DUMMYFUNCTION("""COMPUTED_VALUE"""),"N/A")</f>
        <v>N/A</v>
      </c>
      <c r="J921" s="97" t="str">
        <f>IFERROR(__xludf.DUMMYFUNCTION("""COMPUTED_VALUE"""),"N/A")</f>
        <v>N/A</v>
      </c>
      <c r="K921" s="97" t="str">
        <f>IFERROR(__xludf.DUMMYFUNCTION("""COMPUTED_VALUE"""),"N/A")</f>
        <v>N/A</v>
      </c>
      <c r="L921" s="97" t="str">
        <f>IFERROR(__xludf.DUMMYFUNCTION("""COMPUTED_VALUE"""),"220-240")</f>
        <v>220-240</v>
      </c>
      <c r="M921" s="97" t="str">
        <f>IFERROR(__xludf.DUMMYFUNCTION("""COMPUTED_VALUE"""),"50/60")</f>
        <v>50/60</v>
      </c>
      <c r="N921" s="97"/>
      <c r="O921" s="97" t="str">
        <f>IFERROR(__xludf.DUMMYFUNCTION("""COMPUTED_VALUE"""),"1 x 35W Max")</f>
        <v>1 x 35W Max</v>
      </c>
      <c r="P921" s="97"/>
      <c r="Q921" s="97" t="str">
        <f>IFERROR(__xludf.DUMMYFUNCTION("""COMPUTED_VALUE"""),"-")</f>
        <v>-</v>
      </c>
      <c r="R921" s="97" t="str">
        <f>IFERROR(__xludf.DUMMYFUNCTION("""COMPUTED_VALUE"""),"-")</f>
        <v>-</v>
      </c>
      <c r="S921" s="97" t="str">
        <f>IFERROR(__xludf.DUMMYFUNCTION("""COMPUTED_VALUE"""),"-")</f>
        <v>-</v>
      </c>
      <c r="T921" s="97" t="str">
        <f>IFERROR(__xludf.DUMMYFUNCTION("""COMPUTED_VALUE"""),"-")</f>
        <v>-</v>
      </c>
      <c r="U921" s="97" t="str">
        <f>IFERROR(__xludf.DUMMYFUNCTION("""COMPUTED_VALUE"""),"-")</f>
        <v>-</v>
      </c>
      <c r="V921" s="97" t="str">
        <f>IFERROR(__xludf.DUMMYFUNCTION("""COMPUTED_VALUE"""),"N/A")</f>
        <v>N/A</v>
      </c>
      <c r="W921" s="97" t="str">
        <f>IFERROR(__xludf.DUMMYFUNCTION("""COMPUTED_VALUE"""),"N/A")</f>
        <v>N/A</v>
      </c>
      <c r="X921" s="97" t="str">
        <f>IFERROR(__xludf.DUMMYFUNCTION("""COMPUTED_VALUE"""),"-")</f>
        <v>-</v>
      </c>
      <c r="Y921" s="97" t="str">
        <f>IFERROR(__xludf.DUMMYFUNCTION("""COMPUTED_VALUE"""),"N/A")</f>
        <v>N/A</v>
      </c>
      <c r="Z921" s="97" t="str">
        <f>IFERROR(__xludf.DUMMYFUNCTION("""COMPUTED_VALUE"""),"N/A")</f>
        <v>N/A</v>
      </c>
      <c r="AA921" s="97" t="str">
        <f>IFERROR(__xludf.DUMMYFUNCTION("""COMPUTED_VALUE"""),"N/A")</f>
        <v>N/A</v>
      </c>
      <c r="AB921" s="97" t="str">
        <f>IFERROR(__xludf.DUMMYFUNCTION("""COMPUTED_VALUE"""),"N/A")</f>
        <v>N/A</v>
      </c>
      <c r="AC921" s="97" t="str">
        <f>IFERROR(__xludf.DUMMYFUNCTION("""COMPUTED_VALUE"""),"N/A")</f>
        <v>N/A</v>
      </c>
      <c r="AD921" s="97" t="str">
        <f>IFERROR(__xludf.DUMMYFUNCTION("""COMPUTED_VALUE"""),"IP65")</f>
        <v>IP65</v>
      </c>
      <c r="AE921" s="97" t="str">
        <f>IFERROR(__xludf.DUMMYFUNCTION("""COMPUTED_VALUE"""),"Clase l")</f>
        <v>Clase l</v>
      </c>
      <c r="AF921" s="97" t="str">
        <f>IFERROR(__xludf.DUMMYFUNCTION("""COMPUTED_VALUE"""),"Anclaje de piso")</f>
        <v>Anclaje de piso</v>
      </c>
      <c r="AG921" s="97" t="str">
        <f>IFERROR(__xludf.DUMMYFUNCTION("""COMPUTED_VALUE"""),"Ø110 x 590")</f>
        <v>Ø110 x 590</v>
      </c>
      <c r="AH921" s="97" t="str">
        <f>IFERROR(__xludf.DUMMYFUNCTION("""COMPUTED_VALUE"""),"N/A")</f>
        <v>N/A</v>
      </c>
      <c r="AI921" s="97" t="str">
        <f>IFERROR(__xludf.DUMMYFUNCTION("""COMPUTED_VALUE"""),"N/A")</f>
        <v>N/A</v>
      </c>
      <c r="AJ921" s="97" t="str">
        <f>IFERROR(__xludf.DUMMYFUNCTION("""COMPUTED_VALUE"""),"Vidrio")</f>
        <v>Vidrio</v>
      </c>
      <c r="AK921" s="97" t="str">
        <f>IFERROR(__xludf.DUMMYFUNCTION("""COMPUTED_VALUE"""),"Acero")</f>
        <v>Acero</v>
      </c>
      <c r="AL921" s="97" t="str">
        <f>IFERROR(__xludf.DUMMYFUNCTION("""COMPUTED_VALUE"""),"Negro Satinado")</f>
        <v>Negro Satinado</v>
      </c>
      <c r="AM921" s="97" t="str">
        <f>IFERROR(__xludf.DUMMYFUNCTION("""COMPUTED_VALUE"""),"-")</f>
        <v>-</v>
      </c>
      <c r="AN921" s="97" t="str">
        <f>IFERROR(__xludf.DUMMYFUNCTION("""COMPUTED_VALUE"""),"N/A")</f>
        <v>N/A</v>
      </c>
      <c r="AO921" s="97" t="str">
        <f>IFERROR(__xludf.DUMMYFUNCTION("""COMPUTED_VALUE"""),"2 Años")</f>
        <v>2 Años</v>
      </c>
      <c r="AP921" s="97" t="str">
        <f>IFERROR(__xludf.DUMMYFUNCTION("""COMPUTED_VALUE"""),"No Aplica")</f>
        <v>No Aplica</v>
      </c>
      <c r="AQ921" s="97" t="str">
        <f>IFERROR(__xludf.DUMMYFUNCTION("""COMPUTED_VALUE"""),"No Aplica")</f>
        <v>No Aplica</v>
      </c>
      <c r="AR921" s="97" t="str">
        <f>IFERROR(__xludf.DUMMYFUNCTION("""COMPUTED_VALUE"""),"No Aplica")</f>
        <v>No Aplica</v>
      </c>
      <c r="AS921" s="97" t="str">
        <f>IFERROR(__xludf.DUMMYFUNCTION("""COMPUTED_VALUE"""),"Falta")</f>
        <v>Falta</v>
      </c>
      <c r="AT921" s="97" t="str">
        <f>IFERROR(__xludf.DUMMYFUNCTION("""COMPUTED_VALUE"""),"Falta")</f>
        <v>Falta</v>
      </c>
      <c r="AU921" s="97" t="str">
        <f>IFERROR(__xludf.DUMMYFUNCTION("""COMPUTED_VALUE"""),"Falta")</f>
        <v>Falta</v>
      </c>
      <c r="AV921" s="97" t="str">
        <f>IFERROR(__xludf.DUMMYFUNCTION("""COMPUTED_VALUE"""),"Bolardo")</f>
        <v>Bolardo</v>
      </c>
      <c r="AW921" s="97" t="str">
        <f>IFERROR(__xludf.DUMMYFUNCTION("""COMPUTED_VALUE"""),"De Piso")</f>
        <v>De Piso</v>
      </c>
      <c r="AX921" s="97" t="str">
        <f>IFERROR(__xludf.DUMMYFUNCTION("""COMPUTED_VALUE"""),"Exterior")</f>
        <v>Exterior</v>
      </c>
      <c r="AY921" s="97" t="str">
        <f>IFERROR(__xludf.DUMMYFUNCTION("""COMPUTED_VALUE"""),"-")</f>
        <v>-</v>
      </c>
      <c r="AZ921" s="97" t="str">
        <f>IFERROR(__xludf.DUMMYFUNCTION("""COMPUTED_VALUE"""),"-")</f>
        <v>-</v>
      </c>
      <c r="BA921" s="97">
        <f>IFERROR(__xludf.DUMMYFUNCTION("""COMPUTED_VALUE"""),10.0)</f>
        <v>10</v>
      </c>
      <c r="BB921" s="97" t="str">
        <f>IFERROR(__xludf.DUMMYFUNCTION("""COMPUTED_VALUE"""),"-")</f>
        <v>-</v>
      </c>
      <c r="BC921" s="97" t="str">
        <f>IFERROR(__xludf.DUMMYFUNCTION("""COMPUTED_VALUE"""),"-")</f>
        <v>-</v>
      </c>
      <c r="BD921" s="97" t="str">
        <f>IFERROR(__xludf.DUMMYFUNCTION("""COMPUTED_VALUE"""),"RUFFO GU10")</f>
        <v>RUFFO GU10</v>
      </c>
      <c r="BE921" s="97" t="str">
        <f>IFERROR(__xludf.DUMMYFUNCTION("""COMPUTED_VALUE"""),"Finalizada")</f>
        <v>Finalizada</v>
      </c>
      <c r="BF921" s="97"/>
      <c r="BG921" s="97" t="str">
        <f>IFERROR(__xludf.DUMMYFUNCTION("""COMPUTED_VALUE"""),"Activo")</f>
        <v>Activo</v>
      </c>
    </row>
    <row r="922">
      <c r="A922" s="97">
        <f>IFERROR(__xludf.DUMMYFUNCTION("""COMPUTED_VALUE"""),6695.0)</f>
        <v>6695</v>
      </c>
      <c r="B922" s="97" t="str">
        <f>IFERROR(__xludf.DUMMYFUNCTION("""COMPUTED_VALUE"""),"YUKON BL")</f>
        <v>YUKON BL</v>
      </c>
      <c r="C922" s="97" t="str">
        <f>IFERROR(__xludf.DUMMYFUNCTION("""COMPUTED_VALUE"""),"EMPOTRABLE YUKON BL 2,2W 2700K 4LM CRI&gt;80 IP65 LEUK")</f>
        <v>EMPOTRABLE YUKON BL 2,2W 2700K 4LM CRI&gt;80 IP65 LEUK</v>
      </c>
      <c r="D922" s="97">
        <f>IFERROR(__xludf.DUMMYFUNCTION("""COMPUTED_VALUE"""),7.79841322193E12)</f>
        <v>7798413221930</v>
      </c>
      <c r="E922" s="97"/>
      <c r="F922" s="97" t="str">
        <f>IFERROR(__xludf.DUMMYFUNCTION("""COMPUTED_VALUE"""),"LED integrado")</f>
        <v>LED integrado</v>
      </c>
      <c r="G922" s="97" t="str">
        <f>IFERROR(__xludf.DUMMYFUNCTION("""COMPUTED_VALUE"""),"-")</f>
        <v>-</v>
      </c>
      <c r="H922" s="97" t="str">
        <f>IFERROR(__xludf.DUMMYFUNCTION("""COMPUTED_VALUE"""),"-")</f>
        <v>-</v>
      </c>
      <c r="I922" s="97"/>
      <c r="J922" s="97"/>
      <c r="K922" s="97" t="str">
        <f>IFERROR(__xludf.DUMMYFUNCTION("""COMPUTED_VALUE"""),"ON/OFF")</f>
        <v>ON/OFF</v>
      </c>
      <c r="L922" s="97" t="str">
        <f>IFERROR(__xludf.DUMMYFUNCTION("""COMPUTED_VALUE"""),"220-240")</f>
        <v>220-240</v>
      </c>
      <c r="M922" s="97" t="str">
        <f>IFERROR(__xludf.DUMMYFUNCTION("""COMPUTED_VALUE"""),"50/60")</f>
        <v>50/60</v>
      </c>
      <c r="N922" s="97" t="str">
        <f>IFERROR(__xludf.DUMMYFUNCTION("""COMPUTED_VALUE"""),"Directa-Asimétrica")</f>
        <v>Directa-Asimétrica</v>
      </c>
      <c r="O922" s="97">
        <f>IFERROR(__xludf.DUMMYFUNCTION("""COMPUTED_VALUE"""),2.2)</f>
        <v>2.2</v>
      </c>
      <c r="P922" s="97"/>
      <c r="Q922" s="97">
        <f>IFERROR(__xludf.DUMMYFUNCTION("""COMPUTED_VALUE"""),0.41)</f>
        <v>0.41</v>
      </c>
      <c r="R922" s="97" t="str">
        <f>IFERROR(__xludf.DUMMYFUNCTION("""COMPUTED_VALUE"""),"-")</f>
        <v>-</v>
      </c>
      <c r="S922" s="97" t="str">
        <f>IFERROR(__xludf.DUMMYFUNCTION("""COMPUTED_VALUE"""),"-")</f>
        <v>-</v>
      </c>
      <c r="T922" s="97">
        <f>IFERROR(__xludf.DUMMYFUNCTION("""COMPUTED_VALUE"""),4.0)</f>
        <v>4</v>
      </c>
      <c r="U922" s="99">
        <f>IFERROR(__xludf.DUMMYFUNCTION("""COMPUTED_VALUE"""),1.8181818181818181)</f>
        <v>1.818181818</v>
      </c>
      <c r="V922" s="97">
        <f>IFERROR(__xludf.DUMMYFUNCTION("""COMPUTED_VALUE"""),17.0)</f>
        <v>17</v>
      </c>
      <c r="W922" s="97" t="str">
        <f>IFERROR(__xludf.DUMMYFUNCTION("""COMPUTED_VALUE"""),"&lt; 20")</f>
        <v>&lt; 20</v>
      </c>
      <c r="X922" s="97">
        <f>IFERROR(__xludf.DUMMYFUNCTION("""COMPUTED_VALUE"""),2700.0)</f>
        <v>2700</v>
      </c>
      <c r="Y922" s="97" t="str">
        <f>IFERROR(__xludf.DUMMYFUNCTION("""COMPUTED_VALUE"""),"&gt;80")</f>
        <v>&gt;80</v>
      </c>
      <c r="Z922" s="97"/>
      <c r="AA922" s="97"/>
      <c r="AB922" s="97" t="str">
        <f>IFERROR(__xludf.DUMMYFUNCTION("""COMPUTED_VALUE"""),"&lt; 5")</f>
        <v>&lt; 5</v>
      </c>
      <c r="AC922" s="97"/>
      <c r="AD922" s="97" t="str">
        <f>IFERROR(__xludf.DUMMYFUNCTION("""COMPUTED_VALUE"""),"IP65")</f>
        <v>IP65</v>
      </c>
      <c r="AE922" s="97" t="str">
        <f>IFERROR(__xludf.DUMMYFUNCTION("""COMPUTED_VALUE"""),"Clase l")</f>
        <v>Clase l</v>
      </c>
      <c r="AF922" s="97" t="str">
        <f>IFERROR(__xludf.DUMMYFUNCTION("""COMPUTED_VALUE"""),"Embutir")</f>
        <v>Embutir</v>
      </c>
      <c r="AG922" s="97" t="str">
        <f>IFERROR(__xludf.DUMMYFUNCTION("""COMPUTED_VALUE"""),"40 x 43,5 x 65")</f>
        <v>40 x 43,5 x 65</v>
      </c>
      <c r="AH922" s="97" t="str">
        <f>IFERROR(__xludf.DUMMYFUNCTION("""COMPUTED_VALUE"""),"31 x 56 ")</f>
        <v>31 x 56 </v>
      </c>
      <c r="AI922" s="97">
        <f>IFERROR(__xludf.DUMMYFUNCTION("""COMPUTED_VALUE"""),41.0)</f>
        <v>41</v>
      </c>
      <c r="AJ922" s="97" t="str">
        <f>IFERROR(__xludf.DUMMYFUNCTION("""COMPUTED_VALUE"""),"Vidrio")</f>
        <v>Vidrio</v>
      </c>
      <c r="AK922" s="97" t="str">
        <f>IFERROR(__xludf.DUMMYFUNCTION("""COMPUTED_VALUE"""),"Aluminio")</f>
        <v>Aluminio</v>
      </c>
      <c r="AL922" s="97" t="str">
        <f>IFERROR(__xludf.DUMMYFUNCTION("""COMPUTED_VALUE"""),"Blanco Satinado")</f>
        <v>Blanco Satinado</v>
      </c>
      <c r="AM922" s="97" t="str">
        <f>IFERROR(__xludf.DUMMYFUNCTION("""COMPUTED_VALUE"""),"-")</f>
        <v>-</v>
      </c>
      <c r="AN922" s="97" t="str">
        <f>IFERROR(__xludf.DUMMYFUNCTION("""COMPUTED_VALUE"""),"25.000hs (L70)")</f>
        <v>25.000hs (L70)</v>
      </c>
      <c r="AO922" s="97" t="str">
        <f>IFERROR(__xludf.DUMMYFUNCTION("""COMPUTED_VALUE"""),"2 Años")</f>
        <v>2 Años</v>
      </c>
      <c r="AP922" s="97" t="str">
        <f>IFERROR(__xludf.DUMMYFUNCTION("""COMPUTED_VALUE"""),"Disponible")</f>
        <v>Disponible</v>
      </c>
      <c r="AQ922" s="97" t="str">
        <f>IFERROR(__xludf.DUMMYFUNCTION("""COMPUTED_VALUE"""),"Disponible")</f>
        <v>Disponible</v>
      </c>
      <c r="AR922" s="97" t="str">
        <f>IFERROR(__xludf.DUMMYFUNCTION("""COMPUTED_VALUE"""),"Disponible")</f>
        <v>Disponible</v>
      </c>
      <c r="AS922" s="97"/>
      <c r="AT922" s="97"/>
      <c r="AU922" s="97" t="str">
        <f>IFERROR(__xludf.DUMMYFUNCTION("""COMPUTED_VALUE"""),"Falta")</f>
        <v>Falta</v>
      </c>
      <c r="AV922" s="97" t="str">
        <f>IFERROR(__xludf.DUMMYFUNCTION("""COMPUTED_VALUE"""),"Empotrable")</f>
        <v>Empotrable</v>
      </c>
      <c r="AW922" s="97" t="str">
        <f>IFERROR(__xludf.DUMMYFUNCTION("""COMPUTED_VALUE"""),"De Pared")</f>
        <v>De Pared</v>
      </c>
      <c r="AX922" s="97" t="str">
        <f>IFERROR(__xludf.DUMMYFUNCTION("""COMPUTED_VALUE"""),"Exterior")</f>
        <v>Exterior</v>
      </c>
      <c r="AY922" s="97" t="str">
        <f>IFERROR(__xludf.DUMMYFUNCTION("""COMPUTED_VALUE"""),"-")</f>
        <v>-</v>
      </c>
      <c r="AZ922" s="97"/>
      <c r="BA922" s="97">
        <f>IFERROR(__xludf.DUMMYFUNCTION("""COMPUTED_VALUE"""),100.0)</f>
        <v>100</v>
      </c>
      <c r="BB922" s="97" t="str">
        <f>IFERROR(__xludf.DUMMYFUNCTION("""COMPUTED_VALUE"""),"-")</f>
        <v>-</v>
      </c>
      <c r="BC922" s="97" t="str">
        <f>IFERROR(__xludf.DUMMYFUNCTION("""COMPUTED_VALUE"""),"-")</f>
        <v>-</v>
      </c>
      <c r="BD922" s="97" t="str">
        <f>IFERROR(__xludf.DUMMYFUNCTION("""COMPUTED_VALUE"""),"YUKON")</f>
        <v>YUKON</v>
      </c>
      <c r="BE922" s="97" t="str">
        <f>IFERROR(__xludf.DUMMYFUNCTION("""COMPUTED_VALUE"""),"Finalizada")</f>
        <v>Finalizada</v>
      </c>
      <c r="BF922" s="97"/>
      <c r="BG922" s="97" t="str">
        <f>IFERROR(__xludf.DUMMYFUNCTION("""COMPUTED_VALUE"""),"Activo")</f>
        <v>Activo</v>
      </c>
    </row>
    <row r="923">
      <c r="A923" s="97">
        <f>IFERROR(__xludf.DUMMYFUNCTION("""COMPUTED_VALUE"""),6696.0)</f>
        <v>6696</v>
      </c>
      <c r="B923" s="97" t="str">
        <f>IFERROR(__xludf.DUMMYFUNCTION("""COMPUTED_VALUE"""),"YUKON NG")</f>
        <v>YUKON NG</v>
      </c>
      <c r="C923" s="97" t="str">
        <f>IFERROR(__xludf.DUMMYFUNCTION("""COMPUTED_VALUE"""),"EMPOTRABLE YUKON NG 2,2W 2700K 4LM CRI&gt;80 IP65 LEUK")</f>
        <v>EMPOTRABLE YUKON NG 2,2W 2700K 4LM CRI&gt;80 IP65 LEUK</v>
      </c>
      <c r="D923" s="97">
        <f>IFERROR(__xludf.DUMMYFUNCTION("""COMPUTED_VALUE"""),7.798413221923E12)</f>
        <v>7798413221923</v>
      </c>
      <c r="E923" s="97"/>
      <c r="F923" s="97" t="str">
        <f>IFERROR(__xludf.DUMMYFUNCTION("""COMPUTED_VALUE"""),"LED integrado")</f>
        <v>LED integrado</v>
      </c>
      <c r="G923" s="97" t="str">
        <f>IFERROR(__xludf.DUMMYFUNCTION("""COMPUTED_VALUE"""),"-")</f>
        <v>-</v>
      </c>
      <c r="H923" s="97" t="str">
        <f>IFERROR(__xludf.DUMMYFUNCTION("""COMPUTED_VALUE"""),"-")</f>
        <v>-</v>
      </c>
      <c r="I923" s="97"/>
      <c r="J923" s="97"/>
      <c r="K923" s="97" t="str">
        <f>IFERROR(__xludf.DUMMYFUNCTION("""COMPUTED_VALUE"""),"ON/OFF")</f>
        <v>ON/OFF</v>
      </c>
      <c r="L923" s="97" t="str">
        <f>IFERROR(__xludf.DUMMYFUNCTION("""COMPUTED_VALUE"""),"220-240")</f>
        <v>220-240</v>
      </c>
      <c r="M923" s="97" t="str">
        <f>IFERROR(__xludf.DUMMYFUNCTION("""COMPUTED_VALUE"""),"50/60")</f>
        <v>50/60</v>
      </c>
      <c r="N923" s="97" t="str">
        <f>IFERROR(__xludf.DUMMYFUNCTION("""COMPUTED_VALUE"""),"Directa-Asimétrica")</f>
        <v>Directa-Asimétrica</v>
      </c>
      <c r="O923" s="97">
        <f>IFERROR(__xludf.DUMMYFUNCTION("""COMPUTED_VALUE"""),2.2)</f>
        <v>2.2</v>
      </c>
      <c r="P923" s="97"/>
      <c r="Q923" s="97">
        <f>IFERROR(__xludf.DUMMYFUNCTION("""COMPUTED_VALUE"""),0.41)</f>
        <v>0.41</v>
      </c>
      <c r="R923" s="97" t="str">
        <f>IFERROR(__xludf.DUMMYFUNCTION("""COMPUTED_VALUE"""),"-")</f>
        <v>-</v>
      </c>
      <c r="S923" s="97" t="str">
        <f>IFERROR(__xludf.DUMMYFUNCTION("""COMPUTED_VALUE"""),"-")</f>
        <v>-</v>
      </c>
      <c r="T923" s="97">
        <f>IFERROR(__xludf.DUMMYFUNCTION("""COMPUTED_VALUE"""),4.0)</f>
        <v>4</v>
      </c>
      <c r="U923" s="99">
        <f>IFERROR(__xludf.DUMMYFUNCTION("""COMPUTED_VALUE"""),1.8181818181818181)</f>
        <v>1.818181818</v>
      </c>
      <c r="V923" s="97">
        <f>IFERROR(__xludf.DUMMYFUNCTION("""COMPUTED_VALUE"""),17.0)</f>
        <v>17</v>
      </c>
      <c r="W923" s="97" t="str">
        <f>IFERROR(__xludf.DUMMYFUNCTION("""COMPUTED_VALUE"""),"&lt; 20")</f>
        <v>&lt; 20</v>
      </c>
      <c r="X923" s="97">
        <f>IFERROR(__xludf.DUMMYFUNCTION("""COMPUTED_VALUE"""),2700.0)</f>
        <v>2700</v>
      </c>
      <c r="Y923" s="97" t="str">
        <f>IFERROR(__xludf.DUMMYFUNCTION("""COMPUTED_VALUE"""),"&gt;80")</f>
        <v>&gt;80</v>
      </c>
      <c r="Z923" s="97"/>
      <c r="AA923" s="97"/>
      <c r="AB923" s="97" t="str">
        <f>IFERROR(__xludf.DUMMYFUNCTION("""COMPUTED_VALUE"""),"&lt; 5")</f>
        <v>&lt; 5</v>
      </c>
      <c r="AC923" s="97"/>
      <c r="AD923" s="97" t="str">
        <f>IFERROR(__xludf.DUMMYFUNCTION("""COMPUTED_VALUE"""),"IP65")</f>
        <v>IP65</v>
      </c>
      <c r="AE923" s="97" t="str">
        <f>IFERROR(__xludf.DUMMYFUNCTION("""COMPUTED_VALUE"""),"Clase l")</f>
        <v>Clase l</v>
      </c>
      <c r="AF923" s="97" t="str">
        <f>IFERROR(__xludf.DUMMYFUNCTION("""COMPUTED_VALUE"""),"Embutir")</f>
        <v>Embutir</v>
      </c>
      <c r="AG923" s="97" t="str">
        <f>IFERROR(__xludf.DUMMYFUNCTION("""COMPUTED_VALUE"""),"40 x 43,5 x 65")</f>
        <v>40 x 43,5 x 65</v>
      </c>
      <c r="AH923" s="97" t="str">
        <f>IFERROR(__xludf.DUMMYFUNCTION("""COMPUTED_VALUE"""),"31 x 56 ")</f>
        <v>31 x 56 </v>
      </c>
      <c r="AI923" s="97">
        <f>IFERROR(__xludf.DUMMYFUNCTION("""COMPUTED_VALUE"""),41.0)</f>
        <v>41</v>
      </c>
      <c r="AJ923" s="97" t="str">
        <f>IFERROR(__xludf.DUMMYFUNCTION("""COMPUTED_VALUE"""),"Vidrio")</f>
        <v>Vidrio</v>
      </c>
      <c r="AK923" s="97" t="str">
        <f>IFERROR(__xludf.DUMMYFUNCTION("""COMPUTED_VALUE"""),"Aluminio")</f>
        <v>Aluminio</v>
      </c>
      <c r="AL923" s="97" t="str">
        <f>IFERROR(__xludf.DUMMYFUNCTION("""COMPUTED_VALUE"""),"Negro Satinado")</f>
        <v>Negro Satinado</v>
      </c>
      <c r="AM923" s="97" t="str">
        <f>IFERROR(__xludf.DUMMYFUNCTION("""COMPUTED_VALUE"""),"-")</f>
        <v>-</v>
      </c>
      <c r="AN923" s="97" t="str">
        <f>IFERROR(__xludf.DUMMYFUNCTION("""COMPUTED_VALUE"""),"25.000hs (L70)")</f>
        <v>25.000hs (L70)</v>
      </c>
      <c r="AO923" s="97" t="str">
        <f>IFERROR(__xludf.DUMMYFUNCTION("""COMPUTED_VALUE"""),"2 Años")</f>
        <v>2 Años</v>
      </c>
      <c r="AP923" s="97" t="str">
        <f>IFERROR(__xludf.DUMMYFUNCTION("""COMPUTED_VALUE"""),"Disponible")</f>
        <v>Disponible</v>
      </c>
      <c r="AQ923" s="97" t="str">
        <f>IFERROR(__xludf.DUMMYFUNCTION("""COMPUTED_VALUE"""),"Disponible")</f>
        <v>Disponible</v>
      </c>
      <c r="AR923" s="97" t="str">
        <f>IFERROR(__xludf.DUMMYFUNCTION("""COMPUTED_VALUE"""),"Disponible")</f>
        <v>Disponible</v>
      </c>
      <c r="AS923" s="97"/>
      <c r="AT923" s="97"/>
      <c r="AU923" s="97" t="str">
        <f>IFERROR(__xludf.DUMMYFUNCTION("""COMPUTED_VALUE"""),"Falta")</f>
        <v>Falta</v>
      </c>
      <c r="AV923" s="97" t="str">
        <f>IFERROR(__xludf.DUMMYFUNCTION("""COMPUTED_VALUE"""),"Empotrable")</f>
        <v>Empotrable</v>
      </c>
      <c r="AW923" s="97" t="str">
        <f>IFERROR(__xludf.DUMMYFUNCTION("""COMPUTED_VALUE"""),"De Pared")</f>
        <v>De Pared</v>
      </c>
      <c r="AX923" s="97" t="str">
        <f>IFERROR(__xludf.DUMMYFUNCTION("""COMPUTED_VALUE"""),"Exterior")</f>
        <v>Exterior</v>
      </c>
      <c r="AY923" s="97" t="str">
        <f>IFERROR(__xludf.DUMMYFUNCTION("""COMPUTED_VALUE"""),"-")</f>
        <v>-</v>
      </c>
      <c r="AZ923" s="97"/>
      <c r="BA923" s="97">
        <f>IFERROR(__xludf.DUMMYFUNCTION("""COMPUTED_VALUE"""),100.0)</f>
        <v>100</v>
      </c>
      <c r="BB923" s="97" t="str">
        <f>IFERROR(__xludf.DUMMYFUNCTION("""COMPUTED_VALUE"""),"-")</f>
        <v>-</v>
      </c>
      <c r="BC923" s="97" t="str">
        <f>IFERROR(__xludf.DUMMYFUNCTION("""COMPUTED_VALUE"""),"-")</f>
        <v>-</v>
      </c>
      <c r="BD923" s="97" t="str">
        <f>IFERROR(__xludf.DUMMYFUNCTION("""COMPUTED_VALUE"""),"YUKON")</f>
        <v>YUKON</v>
      </c>
      <c r="BE923" s="97" t="str">
        <f>IFERROR(__xludf.DUMMYFUNCTION("""COMPUTED_VALUE"""),"Finalizada")</f>
        <v>Finalizada</v>
      </c>
      <c r="BF923" s="97"/>
      <c r="BG923" s="97" t="str">
        <f>IFERROR(__xludf.DUMMYFUNCTION("""COMPUTED_VALUE"""),"Activo")</f>
        <v>Activo</v>
      </c>
    </row>
    <row r="924">
      <c r="A924" s="97">
        <f>IFERROR(__xludf.DUMMYFUNCTION("""COMPUTED_VALUE"""),6697.0)</f>
        <v>6697</v>
      </c>
      <c r="B924" s="97" t="str">
        <f>IFERROR(__xludf.DUMMYFUNCTION("""COMPUTED_VALUE"""),"FLORON LINEAL NG")</f>
        <v>FLORON LINEAL NG</v>
      </c>
      <c r="C924" s="97" t="str">
        <f>IFERROR(__xludf.DUMMYFUNCTION("""COMPUTED_VALUE"""),"ACCESORIO FLORON LINEAL NG LEUK")</f>
        <v>ACCESORIO FLORON LINEAL NG LEUK</v>
      </c>
      <c r="D924" s="97">
        <f>IFERROR(__xludf.DUMMYFUNCTION("""COMPUTED_VALUE"""),7.798413221916E12)</f>
        <v>7798413221916</v>
      </c>
      <c r="E924" s="97" t="str">
        <f>IFERROR(__xludf.DUMMYFUNCTION("""COMPUTED_VALUE"""),"N/A")</f>
        <v>N/A</v>
      </c>
      <c r="F924" s="97" t="str">
        <f>IFERROR(__xludf.DUMMYFUNCTION("""COMPUTED_VALUE"""),"N/A")</f>
        <v>N/A</v>
      </c>
      <c r="G924" s="97" t="str">
        <f>IFERROR(__xludf.DUMMYFUNCTION("""COMPUTED_VALUE"""),"N/A")</f>
        <v>N/A</v>
      </c>
      <c r="H924" s="97" t="str">
        <f>IFERROR(__xludf.DUMMYFUNCTION("""COMPUTED_VALUE"""),"N/A")</f>
        <v>N/A</v>
      </c>
      <c r="I924" s="97" t="str">
        <f>IFERROR(__xludf.DUMMYFUNCTION("""COMPUTED_VALUE"""),"N/A")</f>
        <v>N/A</v>
      </c>
      <c r="J924" s="97" t="str">
        <f>IFERROR(__xludf.DUMMYFUNCTION("""COMPUTED_VALUE"""),"N/A")</f>
        <v>N/A</v>
      </c>
      <c r="K924" s="97" t="str">
        <f>IFERROR(__xludf.DUMMYFUNCTION("""COMPUTED_VALUE"""),"N/A")</f>
        <v>N/A</v>
      </c>
      <c r="L924" s="97" t="str">
        <f>IFERROR(__xludf.DUMMYFUNCTION("""COMPUTED_VALUE"""),"N/A")</f>
        <v>N/A</v>
      </c>
      <c r="M924" s="97" t="str">
        <f>IFERROR(__xludf.DUMMYFUNCTION("""COMPUTED_VALUE"""),"N/A")</f>
        <v>N/A</v>
      </c>
      <c r="N924" s="97"/>
      <c r="O924" s="97" t="str">
        <f>IFERROR(__xludf.DUMMYFUNCTION("""COMPUTED_VALUE"""),"-")</f>
        <v>-</v>
      </c>
      <c r="P924" s="97"/>
      <c r="Q924" s="97" t="str">
        <f>IFERROR(__xludf.DUMMYFUNCTION("""COMPUTED_VALUE"""),"-")</f>
        <v>-</v>
      </c>
      <c r="R924" s="97" t="str">
        <f>IFERROR(__xludf.DUMMYFUNCTION("""COMPUTED_VALUE"""),"-")</f>
        <v>-</v>
      </c>
      <c r="S924" s="97" t="str">
        <f>IFERROR(__xludf.DUMMYFUNCTION("""COMPUTED_VALUE"""),"-")</f>
        <v>-</v>
      </c>
      <c r="T924" s="97" t="str">
        <f>IFERROR(__xludf.DUMMYFUNCTION("""COMPUTED_VALUE"""),"-")</f>
        <v>-</v>
      </c>
      <c r="U924" s="97" t="str">
        <f>IFERROR(__xludf.DUMMYFUNCTION("""COMPUTED_VALUE"""),"-")</f>
        <v>-</v>
      </c>
      <c r="V924" s="97" t="str">
        <f>IFERROR(__xludf.DUMMYFUNCTION("""COMPUTED_VALUE"""),"N/A")</f>
        <v>N/A</v>
      </c>
      <c r="W924" s="97" t="str">
        <f>IFERROR(__xludf.DUMMYFUNCTION("""COMPUTED_VALUE"""),"N/A")</f>
        <v>N/A</v>
      </c>
      <c r="X924" s="97" t="str">
        <f>IFERROR(__xludf.DUMMYFUNCTION("""COMPUTED_VALUE"""),"-")</f>
        <v>-</v>
      </c>
      <c r="Y924" s="97" t="str">
        <f>IFERROR(__xludf.DUMMYFUNCTION("""COMPUTED_VALUE"""),"N/A")</f>
        <v>N/A</v>
      </c>
      <c r="Z924" s="97" t="str">
        <f>IFERROR(__xludf.DUMMYFUNCTION("""COMPUTED_VALUE"""),"N/A")</f>
        <v>N/A</v>
      </c>
      <c r="AA924" s="97" t="str">
        <f>IFERROR(__xludf.DUMMYFUNCTION("""COMPUTED_VALUE"""),"N/A")</f>
        <v>N/A</v>
      </c>
      <c r="AB924" s="97" t="str">
        <f>IFERROR(__xludf.DUMMYFUNCTION("""COMPUTED_VALUE"""),"N/A")</f>
        <v>N/A</v>
      </c>
      <c r="AC924" s="97" t="str">
        <f>IFERROR(__xludf.DUMMYFUNCTION("""COMPUTED_VALUE"""),"N/A")</f>
        <v>N/A</v>
      </c>
      <c r="AD924" s="97" t="str">
        <f>IFERROR(__xludf.DUMMYFUNCTION("""COMPUTED_VALUE"""),"N/A")</f>
        <v>N/A</v>
      </c>
      <c r="AE924" s="97" t="str">
        <f>IFERROR(__xludf.DUMMYFUNCTION("""COMPUTED_VALUE"""),"N/A")</f>
        <v>N/A</v>
      </c>
      <c r="AF924" s="97" t="str">
        <f>IFERROR(__xludf.DUMMYFUNCTION("""COMPUTED_VALUE"""),"N/A")</f>
        <v>N/A</v>
      </c>
      <c r="AG924" s="97" t="str">
        <f>IFERROR(__xludf.DUMMYFUNCTION("""COMPUTED_VALUE"""),"Ø110 x 25")</f>
        <v>Ø110 x 25</v>
      </c>
      <c r="AH924" s="97" t="str">
        <f>IFERROR(__xludf.DUMMYFUNCTION("""COMPUTED_VALUE"""),"N/A")</f>
        <v>N/A</v>
      </c>
      <c r="AI924" s="97" t="str">
        <f>IFERROR(__xludf.DUMMYFUNCTION("""COMPUTED_VALUE"""),"N/A")</f>
        <v>N/A</v>
      </c>
      <c r="AJ924" s="97" t="str">
        <f>IFERROR(__xludf.DUMMYFUNCTION("""COMPUTED_VALUE"""),"N/A")</f>
        <v>N/A</v>
      </c>
      <c r="AK924" s="97" t="str">
        <f>IFERROR(__xludf.DUMMYFUNCTION("""COMPUTED_VALUE"""),"Acero")</f>
        <v>Acero</v>
      </c>
      <c r="AL924" s="97" t="str">
        <f>IFERROR(__xludf.DUMMYFUNCTION("""COMPUTED_VALUE"""),"Negro Mate")</f>
        <v>Negro Mate</v>
      </c>
      <c r="AM924" s="97" t="str">
        <f>IFERROR(__xludf.DUMMYFUNCTION("""COMPUTED_VALUE"""),"-")</f>
        <v>-</v>
      </c>
      <c r="AN924" s="97" t="str">
        <f>IFERROR(__xludf.DUMMYFUNCTION("""COMPUTED_VALUE"""),"N/A")</f>
        <v>N/A</v>
      </c>
      <c r="AO924" s="97" t="str">
        <f>IFERROR(__xludf.DUMMYFUNCTION("""COMPUTED_VALUE"""),"3 Años")</f>
        <v>3 Años</v>
      </c>
      <c r="AP924" s="97" t="str">
        <f>IFERROR(__xludf.DUMMYFUNCTION("""COMPUTED_VALUE"""),"No Aplica")</f>
        <v>No Aplica</v>
      </c>
      <c r="AQ924" s="97" t="str">
        <f>IFERROR(__xludf.DUMMYFUNCTION("""COMPUTED_VALUE"""),"No Aplica")</f>
        <v>No Aplica</v>
      </c>
      <c r="AR924" s="97" t="str">
        <f>IFERROR(__xludf.DUMMYFUNCTION("""COMPUTED_VALUE"""),"No Aplica")</f>
        <v>No Aplica</v>
      </c>
      <c r="AS924" s="97"/>
      <c r="AT924" s="97"/>
      <c r="AU924" s="97" t="str">
        <f>IFERROR(__xludf.DUMMYFUNCTION("""COMPUTED_VALUE"""),"Falta")</f>
        <v>Falta</v>
      </c>
      <c r="AV924" s="97" t="str">
        <f>IFERROR(__xludf.DUMMYFUNCTION("""COMPUTED_VALUE"""),"Accesorio")</f>
        <v>Accesorio</v>
      </c>
      <c r="AW924" s="97" t="str">
        <f>IFERROR(__xludf.DUMMYFUNCTION("""COMPUTED_VALUE"""),"Lineales")</f>
        <v>Lineales</v>
      </c>
      <c r="AX924" s="97" t="str">
        <f>IFERROR(__xludf.DUMMYFUNCTION("""COMPUTED_VALUE"""),"Interior")</f>
        <v>Interior</v>
      </c>
      <c r="AY924" s="97" t="str">
        <f>IFERROR(__xludf.DUMMYFUNCTION("""COMPUTED_VALUE"""),"Dyna")</f>
        <v>Dyna</v>
      </c>
      <c r="AZ924" s="97" t="str">
        <f>IFERROR(__xludf.DUMMYFUNCTION("""COMPUTED_VALUE"""),"Tmb va en FichaTec RIELES 1EF y RIELES 3 EF")</f>
        <v>Tmb va en FichaTec RIELES 1EF y RIELES 3 EF</v>
      </c>
      <c r="BA924" s="97">
        <f>IFERROR(__xludf.DUMMYFUNCTION("""COMPUTED_VALUE"""),80.0)</f>
        <v>80</v>
      </c>
      <c r="BB924" s="97" t="str">
        <f>IFERROR(__xludf.DUMMYFUNCTION("""COMPUTED_VALUE"""),"-")</f>
        <v>-</v>
      </c>
      <c r="BC924" s="97" t="str">
        <f>IFERROR(__xludf.DUMMYFUNCTION("""COMPUTED_VALUE"""),"-")</f>
        <v>-</v>
      </c>
      <c r="BD924" s="97" t="str">
        <f>IFERROR(__xludf.DUMMYFUNCTION("""COMPUTED_VALUE"""),"DYNA")</f>
        <v>DYNA</v>
      </c>
      <c r="BE924" s="97" t="str">
        <f>IFERROR(__xludf.DUMMYFUNCTION("""COMPUTED_VALUE"""),"Finalizada")</f>
        <v>Finalizada</v>
      </c>
      <c r="BF924" s="97"/>
      <c r="BG924" s="97" t="str">
        <f>IFERROR(__xludf.DUMMYFUNCTION("""COMPUTED_VALUE"""),"Activo")</f>
        <v>Activo</v>
      </c>
    </row>
    <row r="925">
      <c r="A925" s="97">
        <f>IFERROR(__xludf.DUMMYFUNCTION("""COMPUTED_VALUE"""),6698.0)</f>
        <v>6698</v>
      </c>
      <c r="B925" s="97" t="str">
        <f>IFERROR(__xludf.DUMMYFUNCTION("""COMPUTED_VALUE"""),"FLORON LINEAL BL")</f>
        <v>FLORON LINEAL BL</v>
      </c>
      <c r="C925" s="97" t="str">
        <f>IFERROR(__xludf.DUMMYFUNCTION("""COMPUTED_VALUE"""),"ACCESORIO FLORON LINEAL BL LEUK")</f>
        <v>ACCESORIO FLORON LINEAL BL LEUK</v>
      </c>
      <c r="D925" s="97">
        <f>IFERROR(__xludf.DUMMYFUNCTION("""COMPUTED_VALUE"""),7.798413221909E12)</f>
        <v>7798413221909</v>
      </c>
      <c r="E925" s="97" t="str">
        <f>IFERROR(__xludf.DUMMYFUNCTION("""COMPUTED_VALUE"""),"N/A")</f>
        <v>N/A</v>
      </c>
      <c r="F925" s="97" t="str">
        <f>IFERROR(__xludf.DUMMYFUNCTION("""COMPUTED_VALUE"""),"N/A")</f>
        <v>N/A</v>
      </c>
      <c r="G925" s="97" t="str">
        <f>IFERROR(__xludf.DUMMYFUNCTION("""COMPUTED_VALUE"""),"N/A")</f>
        <v>N/A</v>
      </c>
      <c r="H925" s="97" t="str">
        <f>IFERROR(__xludf.DUMMYFUNCTION("""COMPUTED_VALUE"""),"N/A")</f>
        <v>N/A</v>
      </c>
      <c r="I925" s="97" t="str">
        <f>IFERROR(__xludf.DUMMYFUNCTION("""COMPUTED_VALUE"""),"N/A")</f>
        <v>N/A</v>
      </c>
      <c r="J925" s="97" t="str">
        <f>IFERROR(__xludf.DUMMYFUNCTION("""COMPUTED_VALUE"""),"N/A")</f>
        <v>N/A</v>
      </c>
      <c r="K925" s="97" t="str">
        <f>IFERROR(__xludf.DUMMYFUNCTION("""COMPUTED_VALUE"""),"N/A")</f>
        <v>N/A</v>
      </c>
      <c r="L925" s="97" t="str">
        <f>IFERROR(__xludf.DUMMYFUNCTION("""COMPUTED_VALUE"""),"N/A")</f>
        <v>N/A</v>
      </c>
      <c r="M925" s="97" t="str">
        <f>IFERROR(__xludf.DUMMYFUNCTION("""COMPUTED_VALUE"""),"N/A")</f>
        <v>N/A</v>
      </c>
      <c r="N925" s="97"/>
      <c r="O925" s="97" t="str">
        <f>IFERROR(__xludf.DUMMYFUNCTION("""COMPUTED_VALUE"""),"-")</f>
        <v>-</v>
      </c>
      <c r="P925" s="97"/>
      <c r="Q925" s="97" t="str">
        <f>IFERROR(__xludf.DUMMYFUNCTION("""COMPUTED_VALUE"""),"-")</f>
        <v>-</v>
      </c>
      <c r="R925" s="97" t="str">
        <f>IFERROR(__xludf.DUMMYFUNCTION("""COMPUTED_VALUE"""),"-")</f>
        <v>-</v>
      </c>
      <c r="S925" s="97" t="str">
        <f>IFERROR(__xludf.DUMMYFUNCTION("""COMPUTED_VALUE"""),"-")</f>
        <v>-</v>
      </c>
      <c r="T925" s="97" t="str">
        <f>IFERROR(__xludf.DUMMYFUNCTION("""COMPUTED_VALUE"""),"-")</f>
        <v>-</v>
      </c>
      <c r="U925" s="97" t="str">
        <f>IFERROR(__xludf.DUMMYFUNCTION("""COMPUTED_VALUE"""),"-")</f>
        <v>-</v>
      </c>
      <c r="V925" s="97" t="str">
        <f>IFERROR(__xludf.DUMMYFUNCTION("""COMPUTED_VALUE"""),"N/A")</f>
        <v>N/A</v>
      </c>
      <c r="W925" s="97" t="str">
        <f>IFERROR(__xludf.DUMMYFUNCTION("""COMPUTED_VALUE"""),"N/A")</f>
        <v>N/A</v>
      </c>
      <c r="X925" s="97" t="str">
        <f>IFERROR(__xludf.DUMMYFUNCTION("""COMPUTED_VALUE"""),"-")</f>
        <v>-</v>
      </c>
      <c r="Y925" s="97" t="str">
        <f>IFERROR(__xludf.DUMMYFUNCTION("""COMPUTED_VALUE"""),"N/A")</f>
        <v>N/A</v>
      </c>
      <c r="Z925" s="97" t="str">
        <f>IFERROR(__xludf.DUMMYFUNCTION("""COMPUTED_VALUE"""),"N/A")</f>
        <v>N/A</v>
      </c>
      <c r="AA925" s="97" t="str">
        <f>IFERROR(__xludf.DUMMYFUNCTION("""COMPUTED_VALUE"""),"N/A")</f>
        <v>N/A</v>
      </c>
      <c r="AB925" s="97" t="str">
        <f>IFERROR(__xludf.DUMMYFUNCTION("""COMPUTED_VALUE"""),"N/A")</f>
        <v>N/A</v>
      </c>
      <c r="AC925" s="97" t="str">
        <f>IFERROR(__xludf.DUMMYFUNCTION("""COMPUTED_VALUE"""),"N/A")</f>
        <v>N/A</v>
      </c>
      <c r="AD925" s="97" t="str">
        <f>IFERROR(__xludf.DUMMYFUNCTION("""COMPUTED_VALUE"""),"N/A")</f>
        <v>N/A</v>
      </c>
      <c r="AE925" s="97" t="str">
        <f>IFERROR(__xludf.DUMMYFUNCTION("""COMPUTED_VALUE"""),"N/A")</f>
        <v>N/A</v>
      </c>
      <c r="AF925" s="97" t="str">
        <f>IFERROR(__xludf.DUMMYFUNCTION("""COMPUTED_VALUE"""),"N/A")</f>
        <v>N/A</v>
      </c>
      <c r="AG925" s="97" t="str">
        <f>IFERROR(__xludf.DUMMYFUNCTION("""COMPUTED_VALUE"""),"Ø110 x 25")</f>
        <v>Ø110 x 25</v>
      </c>
      <c r="AH925" s="97" t="str">
        <f>IFERROR(__xludf.DUMMYFUNCTION("""COMPUTED_VALUE"""),"N/A")</f>
        <v>N/A</v>
      </c>
      <c r="AI925" s="97" t="str">
        <f>IFERROR(__xludf.DUMMYFUNCTION("""COMPUTED_VALUE"""),"N/A")</f>
        <v>N/A</v>
      </c>
      <c r="AJ925" s="97" t="str">
        <f>IFERROR(__xludf.DUMMYFUNCTION("""COMPUTED_VALUE"""),"N/A")</f>
        <v>N/A</v>
      </c>
      <c r="AK925" s="97" t="str">
        <f>IFERROR(__xludf.DUMMYFUNCTION("""COMPUTED_VALUE"""),"Acero")</f>
        <v>Acero</v>
      </c>
      <c r="AL925" s="97" t="str">
        <f>IFERROR(__xludf.DUMMYFUNCTION("""COMPUTED_VALUE"""),"Blanco Mate")</f>
        <v>Blanco Mate</v>
      </c>
      <c r="AM925" s="97" t="str">
        <f>IFERROR(__xludf.DUMMYFUNCTION("""COMPUTED_VALUE"""),"-")</f>
        <v>-</v>
      </c>
      <c r="AN925" s="97" t="str">
        <f>IFERROR(__xludf.DUMMYFUNCTION("""COMPUTED_VALUE"""),"N/A")</f>
        <v>N/A</v>
      </c>
      <c r="AO925" s="97" t="str">
        <f>IFERROR(__xludf.DUMMYFUNCTION("""COMPUTED_VALUE"""),"3 Años")</f>
        <v>3 Años</v>
      </c>
      <c r="AP925" s="97" t="str">
        <f>IFERROR(__xludf.DUMMYFUNCTION("""COMPUTED_VALUE"""),"No Aplica")</f>
        <v>No Aplica</v>
      </c>
      <c r="AQ925" s="97" t="str">
        <f>IFERROR(__xludf.DUMMYFUNCTION("""COMPUTED_VALUE"""),"No Aplica")</f>
        <v>No Aplica</v>
      </c>
      <c r="AR925" s="97" t="str">
        <f>IFERROR(__xludf.DUMMYFUNCTION("""COMPUTED_VALUE"""),"No Aplica")</f>
        <v>No Aplica</v>
      </c>
      <c r="AS925" s="97"/>
      <c r="AT925" s="97"/>
      <c r="AU925" s="97" t="str">
        <f>IFERROR(__xludf.DUMMYFUNCTION("""COMPUTED_VALUE"""),"Falta")</f>
        <v>Falta</v>
      </c>
      <c r="AV925" s="97" t="str">
        <f>IFERROR(__xludf.DUMMYFUNCTION("""COMPUTED_VALUE"""),"Accesorio")</f>
        <v>Accesorio</v>
      </c>
      <c r="AW925" s="97" t="str">
        <f>IFERROR(__xludf.DUMMYFUNCTION("""COMPUTED_VALUE"""),"Lineales")</f>
        <v>Lineales</v>
      </c>
      <c r="AX925" s="97" t="str">
        <f>IFERROR(__xludf.DUMMYFUNCTION("""COMPUTED_VALUE"""),"Interior")</f>
        <v>Interior</v>
      </c>
      <c r="AY925" s="97" t="str">
        <f>IFERROR(__xludf.DUMMYFUNCTION("""COMPUTED_VALUE"""),"Dyna")</f>
        <v>Dyna</v>
      </c>
      <c r="AZ925" s="97" t="str">
        <f>IFERROR(__xludf.DUMMYFUNCTION("""COMPUTED_VALUE"""),"Tmb va en FichaTec RIELES 1EF y RIELES 3 EF")</f>
        <v>Tmb va en FichaTec RIELES 1EF y RIELES 3 EF</v>
      </c>
      <c r="BA925" s="97">
        <f>IFERROR(__xludf.DUMMYFUNCTION("""COMPUTED_VALUE"""),80.0)</f>
        <v>80</v>
      </c>
      <c r="BB925" s="97" t="str">
        <f>IFERROR(__xludf.DUMMYFUNCTION("""COMPUTED_VALUE"""),"-")</f>
        <v>-</v>
      </c>
      <c r="BC925" s="97" t="str">
        <f>IFERROR(__xludf.DUMMYFUNCTION("""COMPUTED_VALUE"""),"-")</f>
        <v>-</v>
      </c>
      <c r="BD925" s="97" t="str">
        <f>IFERROR(__xludf.DUMMYFUNCTION("""COMPUTED_VALUE"""),"DYNA")</f>
        <v>DYNA</v>
      </c>
      <c r="BE925" s="97" t="str">
        <f>IFERROR(__xludf.DUMMYFUNCTION("""COMPUTED_VALUE"""),"Finalizada")</f>
        <v>Finalizada</v>
      </c>
      <c r="BF925" s="97"/>
      <c r="BG925" s="97" t="str">
        <f>IFERROR(__xludf.DUMMYFUNCTION("""COMPUTED_VALUE"""),"Activo")</f>
        <v>Activo</v>
      </c>
    </row>
    <row r="926">
      <c r="A926" s="97">
        <f>IFERROR(__xludf.DUMMYFUNCTION("""COMPUTED_VALUE"""),6699.0)</f>
        <v>6699</v>
      </c>
      <c r="B926" s="97" t="str">
        <f>IFERROR(__xludf.DUMMYFUNCTION("""COMPUTED_VALUE"""),"DYNA UNION TECHO PARED NG")</f>
        <v>DYNA UNION TECHO PARED NG</v>
      </c>
      <c r="C926" s="97" t="str">
        <f>IFERROR(__xludf.DUMMYFUNCTION("""COMPUTED_VALUE"""),"UNIÓN DYNA UNION TECHO PARED NG 12,5W 2700/3300/4000K 975LM CRI&gt;90 IP20 LEUK")</f>
        <v>UNIÓN DYNA UNION TECHO PARED NG 12,5W 2700/3300/4000K 975LM CRI&gt;90 IP20 LEUK</v>
      </c>
      <c r="D926" s="97">
        <f>IFERROR(__xludf.DUMMYFUNCTION("""COMPUTED_VALUE"""),7.798413221893E12)</f>
        <v>7798413221893</v>
      </c>
      <c r="E926" s="97" t="str">
        <f>IFERROR(__xludf.DUMMYFUNCTION("""COMPUTED_VALUE"""),"i14")</f>
        <v>i14</v>
      </c>
      <c r="F926" s="97" t="str">
        <f>IFERROR(__xludf.DUMMYFUNCTION("""COMPUTED_VALUE"""),"LED integrado")</f>
        <v>LED integrado</v>
      </c>
      <c r="G926" s="97" t="str">
        <f>IFERROR(__xludf.DUMMYFUNCTION("""COMPUTED_VALUE"""),"CREE")</f>
        <v>CREE</v>
      </c>
      <c r="H926" s="97" t="str">
        <f>IFERROR(__xludf.DUMMYFUNCTION("""COMPUTED_VALUE"""),"Lifud")</f>
        <v>Lifud</v>
      </c>
      <c r="I926" s="97"/>
      <c r="J926" s="97" t="str">
        <f>IFERROR(__xludf.DUMMYFUNCTION("""COMPUTED_VALUE"""),"Modelo: LF-GMR020YS II 0300H
In: 220-240Vac 0.14A 50/60Hz
Out: 33-42Vdc 300mA 12.6W
Pf 0.9 Tc 70°C Ta 50°C")</f>
        <v>Modelo: LF-GMR020YS II 0300H
In: 220-240Vac 0.14A 50/60Hz
Out: 33-42Vdc 300mA 12.6W
Pf 0.9 Tc 70°C Ta 50°C</v>
      </c>
      <c r="K926" s="97" t="str">
        <f>IFERROR(__xludf.DUMMYFUNCTION("""COMPUTED_VALUE"""),"ON/OFF")</f>
        <v>ON/OFF</v>
      </c>
      <c r="L926" s="97" t="str">
        <f>IFERROR(__xludf.DUMMYFUNCTION("""COMPUTED_VALUE"""),"200-240")</f>
        <v>200-240</v>
      </c>
      <c r="M926" s="97" t="str">
        <f>IFERROR(__xludf.DUMMYFUNCTION("""COMPUTED_VALUE"""),"50/60")</f>
        <v>50/60</v>
      </c>
      <c r="N926" s="97"/>
      <c r="O926" s="97">
        <f>IFERROR(__xludf.DUMMYFUNCTION("""COMPUTED_VALUE"""),12.5)</f>
        <v>12.5</v>
      </c>
      <c r="P926" s="97"/>
      <c r="Q926" s="97">
        <f>IFERROR(__xludf.DUMMYFUNCTION("""COMPUTED_VALUE"""),0.9)</f>
        <v>0.9</v>
      </c>
      <c r="R926" s="97">
        <f>IFERROR(__xludf.DUMMYFUNCTION("""COMPUTED_VALUE"""),1875.0)</f>
        <v>1875</v>
      </c>
      <c r="S926" s="99">
        <f>IFERROR(__xludf.DUMMYFUNCTION("""COMPUTED_VALUE"""),135.0)</f>
        <v>135</v>
      </c>
      <c r="T926" s="99">
        <f>IFERROR(__xludf.DUMMYFUNCTION("""COMPUTED_VALUE"""),975.0)</f>
        <v>975</v>
      </c>
      <c r="U926" s="99">
        <f>IFERROR(__xludf.DUMMYFUNCTION("""COMPUTED_VALUE"""),78.0)</f>
        <v>78</v>
      </c>
      <c r="V926" s="97">
        <f>IFERROR(__xludf.DUMMYFUNCTION("""COMPUTED_VALUE"""),100.0)</f>
        <v>100</v>
      </c>
      <c r="W926" s="97" t="str">
        <f>IFERROR(__xludf.DUMMYFUNCTION("""COMPUTED_VALUE"""),"&lt; 20")</f>
        <v>&lt; 20</v>
      </c>
      <c r="X926" s="97" t="str">
        <f>IFERROR(__xludf.DUMMYFUNCTION("""COMPUTED_VALUE"""),"2700/3300/4000")</f>
        <v>2700/3300/4000</v>
      </c>
      <c r="Y926" s="97" t="str">
        <f>IFERROR(__xludf.DUMMYFUNCTION("""COMPUTED_VALUE"""),"&gt;90")</f>
        <v>&gt;90</v>
      </c>
      <c r="Z926" s="97"/>
      <c r="AA926" s="97"/>
      <c r="AB926" s="97" t="str">
        <f>IFERROR(__xludf.DUMMYFUNCTION("""COMPUTED_VALUE"""),"&lt; 2")</f>
        <v>&lt; 2</v>
      </c>
      <c r="AC926" s="97"/>
      <c r="AD926" s="97" t="str">
        <f>IFERROR(__xludf.DUMMYFUNCTION("""COMPUTED_VALUE"""),"IP20")</f>
        <v>IP20</v>
      </c>
      <c r="AE926" s="97" t="str">
        <f>IFERROR(__xludf.DUMMYFUNCTION("""COMPUTED_VALUE"""),"Clase l")</f>
        <v>Clase l</v>
      </c>
      <c r="AF926" s="97" t="str">
        <f>IFERROR(__xludf.DUMMYFUNCTION("""COMPUTED_VALUE"""),"Embutir, Aplicar")</f>
        <v>Embutir, Aplicar</v>
      </c>
      <c r="AG926" s="97" t="str">
        <f>IFERROR(__xludf.DUMMYFUNCTION("""COMPUTED_VALUE"""),"300 x 300 x 33")</f>
        <v>300 x 300 x 33</v>
      </c>
      <c r="AH926" s="97" t="str">
        <f>IFERROR(__xludf.DUMMYFUNCTION("""COMPUTED_VALUE"""),"-")</f>
        <v>-</v>
      </c>
      <c r="AI926" s="97" t="str">
        <f>IFERROR(__xludf.DUMMYFUNCTION("""COMPUTED_VALUE"""),"-")</f>
        <v>-</v>
      </c>
      <c r="AJ926" s="97" t="str">
        <f>IFERROR(__xludf.DUMMYFUNCTION("""COMPUTED_VALUE"""),"Policarbonato (PC)")</f>
        <v>Policarbonato (PC)</v>
      </c>
      <c r="AK926" s="97" t="str">
        <f>IFERROR(__xludf.DUMMYFUNCTION("""COMPUTED_VALUE"""),"Aluminio")</f>
        <v>Aluminio</v>
      </c>
      <c r="AL926" s="97" t="str">
        <f>IFERROR(__xludf.DUMMYFUNCTION("""COMPUTED_VALUE"""),"Negro Mate")</f>
        <v>Negro Mate</v>
      </c>
      <c r="AM926" s="97" t="str">
        <f>IFERROR(__xludf.DUMMYFUNCTION("""COMPUTED_VALUE"""),"-20℃ a 45℃")</f>
        <v>-20℃ a 45℃</v>
      </c>
      <c r="AN926" s="97" t="str">
        <f>IFERROR(__xludf.DUMMYFUNCTION("""COMPUTED_VALUE"""),"50.000hs (L80)")</f>
        <v>50.000hs (L80)</v>
      </c>
      <c r="AO926" s="97" t="str">
        <f>IFERROR(__xludf.DUMMYFUNCTION("""COMPUTED_VALUE"""),"3 Años")</f>
        <v>3 Años</v>
      </c>
      <c r="AP926" s="97" t="str">
        <f>IFERROR(__xludf.DUMMYFUNCTION("""COMPUTED_VALUE"""),"Disponible")</f>
        <v>Disponible</v>
      </c>
      <c r="AQ926" s="97" t="str">
        <f>IFERROR(__xludf.DUMMYFUNCTION("""COMPUTED_VALUE"""),"Disponible")</f>
        <v>Disponible</v>
      </c>
      <c r="AR926" s="97" t="str">
        <f>IFERROR(__xludf.DUMMYFUNCTION("""COMPUTED_VALUE"""),"Disponible")</f>
        <v>Disponible</v>
      </c>
      <c r="AS926" s="97"/>
      <c r="AT926" s="97"/>
      <c r="AU926" s="97" t="str">
        <f>IFERROR(__xludf.DUMMYFUNCTION("""COMPUTED_VALUE"""),"Falta")</f>
        <v>Falta</v>
      </c>
      <c r="AV926" s="97" t="str">
        <f>IFERROR(__xludf.DUMMYFUNCTION("""COMPUTED_VALUE"""),"Unión")</f>
        <v>Unión</v>
      </c>
      <c r="AW926" s="97" t="str">
        <f>IFERROR(__xludf.DUMMYFUNCTION("""COMPUTED_VALUE"""),"Lineales")</f>
        <v>Lineales</v>
      </c>
      <c r="AX926" s="97" t="str">
        <f>IFERROR(__xludf.DUMMYFUNCTION("""COMPUTED_VALUE"""),"Interior")</f>
        <v>Interior</v>
      </c>
      <c r="AY926" s="97" t="str">
        <f>IFERROR(__xludf.DUMMYFUNCTION("""COMPUTED_VALUE"""),"Dyna")</f>
        <v>Dyna</v>
      </c>
      <c r="AZ926" s="97" t="str">
        <f>IFERROR(__xludf.DUMMYFUNCTION("""COMPUTED_VALUE"""),"Corriente: 300mA. No incluye tapas extremas.")</f>
        <v>Corriente: 300mA. No incluye tapas extremas.</v>
      </c>
      <c r="BA926" s="97">
        <f>IFERROR(__xludf.DUMMYFUNCTION("""COMPUTED_VALUE"""),1.0)</f>
        <v>1</v>
      </c>
      <c r="BB926" s="97" t="str">
        <f>IFERROR(__xludf.DUMMYFUNCTION("""COMPUTED_VALUE"""),"-")</f>
        <v>-</v>
      </c>
      <c r="BC926" s="97">
        <f>IFERROR(__xludf.DUMMYFUNCTION("""COMPUTED_VALUE"""),1.0)</f>
        <v>1</v>
      </c>
      <c r="BD926" s="97" t="str">
        <f>IFERROR(__xludf.DUMMYFUNCTION("""COMPUTED_VALUE"""),"DYNA")</f>
        <v>DYNA</v>
      </c>
      <c r="BE926" s="97" t="str">
        <f>IFERROR(__xludf.DUMMYFUNCTION("""COMPUTED_VALUE"""),"Finalizada")</f>
        <v>Finalizada</v>
      </c>
      <c r="BF926" s="97"/>
      <c r="BG926" s="97" t="str">
        <f>IFERROR(__xludf.DUMMYFUNCTION("""COMPUTED_VALUE"""),"Activo")</f>
        <v>Activo</v>
      </c>
    </row>
    <row r="927">
      <c r="A927" s="97">
        <f>IFERROR(__xludf.DUMMYFUNCTION("""COMPUTED_VALUE"""),6700.0)</f>
        <v>6700</v>
      </c>
      <c r="B927" s="97" t="str">
        <f>IFERROR(__xludf.DUMMYFUNCTION("""COMPUTED_VALUE"""),"DYNA UNION TECHO PARED BL")</f>
        <v>DYNA UNION TECHO PARED BL</v>
      </c>
      <c r="C927" s="97" t="str">
        <f>IFERROR(__xludf.DUMMYFUNCTION("""COMPUTED_VALUE"""),"UNIÓN DYNA UNION TECHO PARED BL 12,5W 2700/3300/4000K 975LM CRI&gt;90 IP20 LEUK")</f>
        <v>UNIÓN DYNA UNION TECHO PARED BL 12,5W 2700/3300/4000K 975LM CRI&gt;90 IP20 LEUK</v>
      </c>
      <c r="D927" s="97">
        <f>IFERROR(__xludf.DUMMYFUNCTION("""COMPUTED_VALUE"""),7.798413221886E12)</f>
        <v>7798413221886</v>
      </c>
      <c r="E927" s="97" t="str">
        <f>IFERROR(__xludf.DUMMYFUNCTION("""COMPUTED_VALUE"""),"i14")</f>
        <v>i14</v>
      </c>
      <c r="F927" s="97" t="str">
        <f>IFERROR(__xludf.DUMMYFUNCTION("""COMPUTED_VALUE"""),"LED integrado")</f>
        <v>LED integrado</v>
      </c>
      <c r="G927" s="97" t="str">
        <f>IFERROR(__xludf.DUMMYFUNCTION("""COMPUTED_VALUE"""),"CREE")</f>
        <v>CREE</v>
      </c>
      <c r="H927" s="97" t="str">
        <f>IFERROR(__xludf.DUMMYFUNCTION("""COMPUTED_VALUE"""),"Lifud")</f>
        <v>Lifud</v>
      </c>
      <c r="I927" s="97"/>
      <c r="J927" s="97" t="str">
        <f>IFERROR(__xludf.DUMMYFUNCTION("""COMPUTED_VALUE"""),"Modelo: LF-GMR020YS II 0300H
In: 220-240Vac 0.14A 50/60Hz
Out: 33-42Vdc 300mA 12.6W
Pf 0.9 Tc 70°C Ta 50°C")</f>
        <v>Modelo: LF-GMR020YS II 0300H
In: 220-240Vac 0.14A 50/60Hz
Out: 33-42Vdc 300mA 12.6W
Pf 0.9 Tc 70°C Ta 50°C</v>
      </c>
      <c r="K927" s="97" t="str">
        <f>IFERROR(__xludf.DUMMYFUNCTION("""COMPUTED_VALUE"""),"ON/OFF")</f>
        <v>ON/OFF</v>
      </c>
      <c r="L927" s="97" t="str">
        <f>IFERROR(__xludf.DUMMYFUNCTION("""COMPUTED_VALUE"""),"200-240")</f>
        <v>200-240</v>
      </c>
      <c r="M927" s="97" t="str">
        <f>IFERROR(__xludf.DUMMYFUNCTION("""COMPUTED_VALUE"""),"50/60")</f>
        <v>50/60</v>
      </c>
      <c r="N927" s="97"/>
      <c r="O927" s="97">
        <f>IFERROR(__xludf.DUMMYFUNCTION("""COMPUTED_VALUE"""),12.5)</f>
        <v>12.5</v>
      </c>
      <c r="P927" s="97"/>
      <c r="Q927" s="97">
        <f>IFERROR(__xludf.DUMMYFUNCTION("""COMPUTED_VALUE"""),0.9)</f>
        <v>0.9</v>
      </c>
      <c r="R927" s="97">
        <f>IFERROR(__xludf.DUMMYFUNCTION("""COMPUTED_VALUE"""),1875.0)</f>
        <v>1875</v>
      </c>
      <c r="S927" s="99">
        <f>IFERROR(__xludf.DUMMYFUNCTION("""COMPUTED_VALUE"""),135.0)</f>
        <v>135</v>
      </c>
      <c r="T927" s="99">
        <f>IFERROR(__xludf.DUMMYFUNCTION("""COMPUTED_VALUE"""),975.0)</f>
        <v>975</v>
      </c>
      <c r="U927" s="99">
        <f>IFERROR(__xludf.DUMMYFUNCTION("""COMPUTED_VALUE"""),78.0)</f>
        <v>78</v>
      </c>
      <c r="V927" s="97">
        <f>IFERROR(__xludf.DUMMYFUNCTION("""COMPUTED_VALUE"""),100.0)</f>
        <v>100</v>
      </c>
      <c r="W927" s="97" t="str">
        <f>IFERROR(__xludf.DUMMYFUNCTION("""COMPUTED_VALUE"""),"&lt; 20")</f>
        <v>&lt; 20</v>
      </c>
      <c r="X927" s="97" t="str">
        <f>IFERROR(__xludf.DUMMYFUNCTION("""COMPUTED_VALUE"""),"2700/3300/4000")</f>
        <v>2700/3300/4000</v>
      </c>
      <c r="Y927" s="97" t="str">
        <f>IFERROR(__xludf.DUMMYFUNCTION("""COMPUTED_VALUE"""),"&gt;90")</f>
        <v>&gt;90</v>
      </c>
      <c r="Z927" s="97"/>
      <c r="AA927" s="97"/>
      <c r="AB927" s="97" t="str">
        <f>IFERROR(__xludf.DUMMYFUNCTION("""COMPUTED_VALUE"""),"&lt; 2")</f>
        <v>&lt; 2</v>
      </c>
      <c r="AC927" s="97"/>
      <c r="AD927" s="97" t="str">
        <f>IFERROR(__xludf.DUMMYFUNCTION("""COMPUTED_VALUE"""),"IP20")</f>
        <v>IP20</v>
      </c>
      <c r="AE927" s="97" t="str">
        <f>IFERROR(__xludf.DUMMYFUNCTION("""COMPUTED_VALUE"""),"Clase l")</f>
        <v>Clase l</v>
      </c>
      <c r="AF927" s="97" t="str">
        <f>IFERROR(__xludf.DUMMYFUNCTION("""COMPUTED_VALUE"""),"Embutir, Aplicar")</f>
        <v>Embutir, Aplicar</v>
      </c>
      <c r="AG927" s="97" t="str">
        <f>IFERROR(__xludf.DUMMYFUNCTION("""COMPUTED_VALUE"""),"300 x 300 x 33")</f>
        <v>300 x 300 x 33</v>
      </c>
      <c r="AH927" s="97" t="str">
        <f>IFERROR(__xludf.DUMMYFUNCTION("""COMPUTED_VALUE"""),"-")</f>
        <v>-</v>
      </c>
      <c r="AI927" s="97" t="str">
        <f>IFERROR(__xludf.DUMMYFUNCTION("""COMPUTED_VALUE"""),"-")</f>
        <v>-</v>
      </c>
      <c r="AJ927" s="97" t="str">
        <f>IFERROR(__xludf.DUMMYFUNCTION("""COMPUTED_VALUE"""),"Policarbonato (PC)")</f>
        <v>Policarbonato (PC)</v>
      </c>
      <c r="AK927" s="97" t="str">
        <f>IFERROR(__xludf.DUMMYFUNCTION("""COMPUTED_VALUE"""),"Aluminio")</f>
        <v>Aluminio</v>
      </c>
      <c r="AL927" s="97" t="str">
        <f>IFERROR(__xludf.DUMMYFUNCTION("""COMPUTED_VALUE"""),"Blanco Mate")</f>
        <v>Blanco Mate</v>
      </c>
      <c r="AM927" s="97" t="str">
        <f>IFERROR(__xludf.DUMMYFUNCTION("""COMPUTED_VALUE"""),"-20℃ a 45℃")</f>
        <v>-20℃ a 45℃</v>
      </c>
      <c r="AN927" s="97" t="str">
        <f>IFERROR(__xludf.DUMMYFUNCTION("""COMPUTED_VALUE"""),"50.000hs (L80)")</f>
        <v>50.000hs (L80)</v>
      </c>
      <c r="AO927" s="97" t="str">
        <f>IFERROR(__xludf.DUMMYFUNCTION("""COMPUTED_VALUE"""),"3 Años")</f>
        <v>3 Años</v>
      </c>
      <c r="AP927" s="97" t="str">
        <f>IFERROR(__xludf.DUMMYFUNCTION("""COMPUTED_VALUE"""),"Disponible")</f>
        <v>Disponible</v>
      </c>
      <c r="AQ927" s="97" t="str">
        <f>IFERROR(__xludf.DUMMYFUNCTION("""COMPUTED_VALUE"""),"Disponible")</f>
        <v>Disponible</v>
      </c>
      <c r="AR927" s="97" t="str">
        <f>IFERROR(__xludf.DUMMYFUNCTION("""COMPUTED_VALUE"""),"Disponible")</f>
        <v>Disponible</v>
      </c>
      <c r="AS927" s="97"/>
      <c r="AT927" s="97"/>
      <c r="AU927" s="97" t="str">
        <f>IFERROR(__xludf.DUMMYFUNCTION("""COMPUTED_VALUE"""),"Falta")</f>
        <v>Falta</v>
      </c>
      <c r="AV927" s="97" t="str">
        <f>IFERROR(__xludf.DUMMYFUNCTION("""COMPUTED_VALUE"""),"Unión")</f>
        <v>Unión</v>
      </c>
      <c r="AW927" s="97" t="str">
        <f>IFERROR(__xludf.DUMMYFUNCTION("""COMPUTED_VALUE"""),"Lineales")</f>
        <v>Lineales</v>
      </c>
      <c r="AX927" s="97" t="str">
        <f>IFERROR(__xludf.DUMMYFUNCTION("""COMPUTED_VALUE"""),"Interior")</f>
        <v>Interior</v>
      </c>
      <c r="AY927" s="97" t="str">
        <f>IFERROR(__xludf.DUMMYFUNCTION("""COMPUTED_VALUE"""),"Dyna")</f>
        <v>Dyna</v>
      </c>
      <c r="AZ927" s="97" t="str">
        <f>IFERROR(__xludf.DUMMYFUNCTION("""COMPUTED_VALUE"""),"Corriente: 300mA. No incluye tapas extremas.")</f>
        <v>Corriente: 300mA. No incluye tapas extremas.</v>
      </c>
      <c r="BA927" s="97">
        <f>IFERROR(__xludf.DUMMYFUNCTION("""COMPUTED_VALUE"""),1.0)</f>
        <v>1</v>
      </c>
      <c r="BB927" s="97" t="str">
        <f>IFERROR(__xludf.DUMMYFUNCTION("""COMPUTED_VALUE"""),"-")</f>
        <v>-</v>
      </c>
      <c r="BC927" s="97">
        <f>IFERROR(__xludf.DUMMYFUNCTION("""COMPUTED_VALUE"""),1.0)</f>
        <v>1</v>
      </c>
      <c r="BD927" s="97" t="str">
        <f>IFERROR(__xludf.DUMMYFUNCTION("""COMPUTED_VALUE"""),"DYNA")</f>
        <v>DYNA</v>
      </c>
      <c r="BE927" s="97" t="str">
        <f>IFERROR(__xludf.DUMMYFUNCTION("""COMPUTED_VALUE"""),"Finalizada")</f>
        <v>Finalizada</v>
      </c>
      <c r="BF927" s="97"/>
      <c r="BG927" s="97" t="str">
        <f>IFERROR(__xludf.DUMMYFUNCTION("""COMPUTED_VALUE"""),"Activo")</f>
        <v>Activo</v>
      </c>
    </row>
    <row r="928">
      <c r="A928" s="97">
        <f>IFERROR(__xludf.DUMMYFUNCTION("""COMPUTED_VALUE"""),6701.0)</f>
        <v>6701</v>
      </c>
      <c r="B928" s="97" t="str">
        <f>IFERROR(__xludf.DUMMYFUNCTION("""COMPUTED_VALUE"""),"FOCO AR111 BL")</f>
        <v>FOCO AR111 BL</v>
      </c>
      <c r="C928" s="97" t="str">
        <f>IFERROR(__xludf.DUMMYFUNCTION("""COMPUTED_VALUE"""),"CABEZAL FOCO AR111 BL 1XGU10 AR111 IP20 LEUK")</f>
        <v>CABEZAL FOCO AR111 BL 1XGU10 AR111 IP20 LEUK</v>
      </c>
      <c r="D928" s="97">
        <f>IFERROR(__xludf.DUMMYFUNCTION("""COMPUTED_VALUE"""),7.798413222012E12)</f>
        <v>7798413222012</v>
      </c>
      <c r="E928" s="97" t="str">
        <f>IFERROR(__xludf.DUMMYFUNCTION("""COMPUTED_VALUE"""),"N/A")</f>
        <v>N/A</v>
      </c>
      <c r="F928" s="97" t="str">
        <f>IFERROR(__xludf.DUMMYFUNCTION("""COMPUTED_VALUE"""),"1xGU10 AR111")</f>
        <v>1xGU10 AR111</v>
      </c>
      <c r="G928" s="97" t="str">
        <f>IFERROR(__xludf.DUMMYFUNCTION("""COMPUTED_VALUE"""),"N/A")</f>
        <v>N/A</v>
      </c>
      <c r="H928" s="97" t="str">
        <f>IFERROR(__xludf.DUMMYFUNCTION("""COMPUTED_VALUE"""),"N/A")</f>
        <v>N/A</v>
      </c>
      <c r="I928" s="97" t="str">
        <f>IFERROR(__xludf.DUMMYFUNCTION("""COMPUTED_VALUE"""),"N/A")</f>
        <v>N/A</v>
      </c>
      <c r="J928" s="97" t="str">
        <f>IFERROR(__xludf.DUMMYFUNCTION("""COMPUTED_VALUE"""),"N/A")</f>
        <v>N/A</v>
      </c>
      <c r="K928" s="97" t="str">
        <f>IFERROR(__xludf.DUMMYFUNCTION("""COMPUTED_VALUE"""),"N/A")</f>
        <v>N/A</v>
      </c>
      <c r="L928" s="97">
        <f>IFERROR(__xludf.DUMMYFUNCTION("""COMPUTED_VALUE"""),220.0)</f>
        <v>220</v>
      </c>
      <c r="M928" s="97">
        <f>IFERROR(__xludf.DUMMYFUNCTION("""COMPUTED_VALUE"""),50.0)</f>
        <v>50</v>
      </c>
      <c r="N928" s="97"/>
      <c r="O928" s="97" t="str">
        <f>IFERROR(__xludf.DUMMYFUNCTION("""COMPUTED_VALUE"""),"1 x 7W Max")</f>
        <v>1 x 7W Max</v>
      </c>
      <c r="P928" s="97"/>
      <c r="Q928" s="97" t="str">
        <f>IFERROR(__xludf.DUMMYFUNCTION("""COMPUTED_VALUE"""),"-")</f>
        <v>-</v>
      </c>
      <c r="R928" s="97" t="str">
        <f>IFERROR(__xludf.DUMMYFUNCTION("""COMPUTED_VALUE"""),"-")</f>
        <v>-</v>
      </c>
      <c r="S928" s="97" t="str">
        <f>IFERROR(__xludf.DUMMYFUNCTION("""COMPUTED_VALUE"""),"-")</f>
        <v>-</v>
      </c>
      <c r="T928" s="97" t="str">
        <f>IFERROR(__xludf.DUMMYFUNCTION("""COMPUTED_VALUE"""),"-")</f>
        <v>-</v>
      </c>
      <c r="U928" s="97" t="str">
        <f>IFERROR(__xludf.DUMMYFUNCTION("""COMPUTED_VALUE"""),"-")</f>
        <v>-</v>
      </c>
      <c r="V928" s="97" t="str">
        <f>IFERROR(__xludf.DUMMYFUNCTION("""COMPUTED_VALUE"""),"N/A")</f>
        <v>N/A</v>
      </c>
      <c r="W928" s="97" t="str">
        <f>IFERROR(__xludf.DUMMYFUNCTION("""COMPUTED_VALUE"""),"N/A")</f>
        <v>N/A</v>
      </c>
      <c r="X928" s="97" t="str">
        <f>IFERROR(__xludf.DUMMYFUNCTION("""COMPUTED_VALUE"""),"-")</f>
        <v>-</v>
      </c>
      <c r="Y928" s="97" t="str">
        <f>IFERROR(__xludf.DUMMYFUNCTION("""COMPUTED_VALUE"""),"N/A")</f>
        <v>N/A</v>
      </c>
      <c r="Z928" s="97" t="str">
        <f>IFERROR(__xludf.DUMMYFUNCTION("""COMPUTED_VALUE"""),"N/A")</f>
        <v>N/A</v>
      </c>
      <c r="AA928" s="97" t="str">
        <f>IFERROR(__xludf.DUMMYFUNCTION("""COMPUTED_VALUE"""),"N/A")</f>
        <v>N/A</v>
      </c>
      <c r="AB928" s="97" t="str">
        <f>IFERROR(__xludf.DUMMYFUNCTION("""COMPUTED_VALUE"""),"N/A")</f>
        <v>N/A</v>
      </c>
      <c r="AC928" s="97" t="str">
        <f>IFERROR(__xludf.DUMMYFUNCTION("""COMPUTED_VALUE"""),"N/A")</f>
        <v>N/A</v>
      </c>
      <c r="AD928" s="97" t="str">
        <f>IFERROR(__xludf.DUMMYFUNCTION("""COMPUTED_VALUE"""),"IP20")</f>
        <v>IP20</v>
      </c>
      <c r="AE928" s="97" t="str">
        <f>IFERROR(__xludf.DUMMYFUNCTION("""COMPUTED_VALUE"""),"Clase ll")</f>
        <v>Clase ll</v>
      </c>
      <c r="AF928" s="97" t="str">
        <f>IFERROR(__xludf.DUMMYFUNCTION("""COMPUTED_VALUE"""),"Cabezal")</f>
        <v>Cabezal</v>
      </c>
      <c r="AG928" s="97" t="str">
        <f>IFERROR(__xludf.DUMMYFUNCTION("""COMPUTED_VALUE"""),"Ø117 x 131")</f>
        <v>Ø117 x 131</v>
      </c>
      <c r="AH928" s="97" t="str">
        <f>IFERROR(__xludf.DUMMYFUNCTION("""COMPUTED_VALUE"""),"N/A")</f>
        <v>N/A</v>
      </c>
      <c r="AI928" s="97" t="str">
        <f>IFERROR(__xludf.DUMMYFUNCTION("""COMPUTED_VALUE"""),"N/A")</f>
        <v>N/A</v>
      </c>
      <c r="AJ928" s="97" t="str">
        <f>IFERROR(__xludf.DUMMYFUNCTION("""COMPUTED_VALUE"""),"N/A")</f>
        <v>N/A</v>
      </c>
      <c r="AK928" s="97" t="str">
        <f>IFERROR(__xludf.DUMMYFUNCTION("""COMPUTED_VALUE"""),"Acero")</f>
        <v>Acero</v>
      </c>
      <c r="AL928" s="97" t="str">
        <f>IFERROR(__xludf.DUMMYFUNCTION("""COMPUTED_VALUE"""),"Blanco Satinado")</f>
        <v>Blanco Satinado</v>
      </c>
      <c r="AM928" s="97" t="str">
        <f>IFERROR(__xludf.DUMMYFUNCTION("""COMPUTED_VALUE"""),"-")</f>
        <v>-</v>
      </c>
      <c r="AN928" s="97" t="str">
        <f>IFERROR(__xludf.DUMMYFUNCTION("""COMPUTED_VALUE"""),"N/A")</f>
        <v>N/A</v>
      </c>
      <c r="AO928" s="97" t="str">
        <f>IFERROR(__xludf.DUMMYFUNCTION("""COMPUTED_VALUE"""),"2 Años")</f>
        <v>2 Años</v>
      </c>
      <c r="AP928" s="97" t="str">
        <f>IFERROR(__xludf.DUMMYFUNCTION("""COMPUTED_VALUE"""),"No Aplica")</f>
        <v>No Aplica</v>
      </c>
      <c r="AQ928" s="97" t="str">
        <f>IFERROR(__xludf.DUMMYFUNCTION("""COMPUTED_VALUE"""),"No Aplica")</f>
        <v>No Aplica</v>
      </c>
      <c r="AR928" s="97" t="str">
        <f>IFERROR(__xludf.DUMMYFUNCTION("""COMPUTED_VALUE"""),"No Aplica")</f>
        <v>No Aplica</v>
      </c>
      <c r="AS928" s="97"/>
      <c r="AT928" s="97"/>
      <c r="AU928" s="97" t="str">
        <f>IFERROR(__xludf.DUMMYFUNCTION("""COMPUTED_VALUE"""),"Falta")</f>
        <v>Falta</v>
      </c>
      <c r="AV928" s="97" t="str">
        <f>IFERROR(__xludf.DUMMYFUNCTION("""COMPUTED_VALUE"""),"Cabezal")</f>
        <v>Cabezal</v>
      </c>
      <c r="AW928" s="97" t="str">
        <f>IFERROR(__xludf.DUMMYFUNCTION("""COMPUTED_VALUE"""),"De Techo")</f>
        <v>De Techo</v>
      </c>
      <c r="AX928" s="97" t="str">
        <f>IFERROR(__xludf.DUMMYFUNCTION("""COMPUTED_VALUE"""),"Interior")</f>
        <v>Interior</v>
      </c>
      <c r="AY928" s="97" t="str">
        <f>IFERROR(__xludf.DUMMYFUNCTION("""COMPUTED_VALUE"""),"-")</f>
        <v>-</v>
      </c>
      <c r="AZ928" s="97" t="str">
        <f>IFERROR(__xludf.DUMMYFUNCTION("""COMPUTED_VALUE"""),"Cabezal orientable. Universal.")</f>
        <v>Cabezal orientable. Universal.</v>
      </c>
      <c r="BA928" s="97">
        <f>IFERROR(__xludf.DUMMYFUNCTION("""COMPUTED_VALUE"""),10.0)</f>
        <v>10</v>
      </c>
      <c r="BB928" s="97" t="str">
        <f>IFERROR(__xludf.DUMMYFUNCTION("""COMPUTED_VALUE"""),"-")</f>
        <v>-</v>
      </c>
      <c r="BC928" s="97" t="str">
        <f>IFERROR(__xludf.DUMMYFUNCTION("""COMPUTED_VALUE"""),"-")</f>
        <v>-</v>
      </c>
      <c r="BD928" s="97" t="str">
        <f>IFERROR(__xludf.DUMMYFUNCTION("""COMPUTED_VALUE"""),"FOCO AR111")</f>
        <v>FOCO AR111</v>
      </c>
      <c r="BE928" s="97" t="str">
        <f>IFERROR(__xludf.DUMMYFUNCTION("""COMPUTED_VALUE"""),"Finalizada")</f>
        <v>Finalizada</v>
      </c>
      <c r="BF928" s="97"/>
      <c r="BG928" s="97" t="str">
        <f>IFERROR(__xludf.DUMMYFUNCTION("""COMPUTED_VALUE"""),"En Salida")</f>
        <v>En Salida</v>
      </c>
    </row>
    <row r="929">
      <c r="A929" s="97">
        <f>IFERROR(__xludf.DUMMYFUNCTION("""COMPUTED_VALUE"""),6702.0)</f>
        <v>6702</v>
      </c>
      <c r="B929" s="97" t="str">
        <f>IFERROR(__xludf.DUMMYFUNCTION("""COMPUTED_VALUE"""),"FOCO AR111 NG")</f>
        <v>FOCO AR111 NG</v>
      </c>
      <c r="C929" s="97" t="str">
        <f>IFERROR(__xludf.DUMMYFUNCTION("""COMPUTED_VALUE"""),"CABEZAL FOCO AR111 NG 1XGU10 AR111 IP20 LEUK")</f>
        <v>CABEZAL FOCO AR111 NG 1XGU10 AR111 IP20 LEUK</v>
      </c>
      <c r="D929" s="97">
        <f>IFERROR(__xludf.DUMMYFUNCTION("""COMPUTED_VALUE"""),7.798413222029E12)</f>
        <v>7798413222029</v>
      </c>
      <c r="E929" s="97" t="str">
        <f>IFERROR(__xludf.DUMMYFUNCTION("""COMPUTED_VALUE"""),"N/A")</f>
        <v>N/A</v>
      </c>
      <c r="F929" s="97" t="str">
        <f>IFERROR(__xludf.DUMMYFUNCTION("""COMPUTED_VALUE"""),"1xGU10 AR111")</f>
        <v>1xGU10 AR111</v>
      </c>
      <c r="G929" s="97" t="str">
        <f>IFERROR(__xludf.DUMMYFUNCTION("""COMPUTED_VALUE"""),"N/A")</f>
        <v>N/A</v>
      </c>
      <c r="H929" s="97" t="str">
        <f>IFERROR(__xludf.DUMMYFUNCTION("""COMPUTED_VALUE"""),"N/A")</f>
        <v>N/A</v>
      </c>
      <c r="I929" s="97" t="str">
        <f>IFERROR(__xludf.DUMMYFUNCTION("""COMPUTED_VALUE"""),"N/A")</f>
        <v>N/A</v>
      </c>
      <c r="J929" s="97" t="str">
        <f>IFERROR(__xludf.DUMMYFUNCTION("""COMPUTED_VALUE"""),"N/A")</f>
        <v>N/A</v>
      </c>
      <c r="K929" s="97" t="str">
        <f>IFERROR(__xludf.DUMMYFUNCTION("""COMPUTED_VALUE"""),"N/A")</f>
        <v>N/A</v>
      </c>
      <c r="L929" s="97">
        <f>IFERROR(__xludf.DUMMYFUNCTION("""COMPUTED_VALUE"""),220.0)</f>
        <v>220</v>
      </c>
      <c r="M929" s="97">
        <f>IFERROR(__xludf.DUMMYFUNCTION("""COMPUTED_VALUE"""),50.0)</f>
        <v>50</v>
      </c>
      <c r="N929" s="97"/>
      <c r="O929" s="97" t="str">
        <f>IFERROR(__xludf.DUMMYFUNCTION("""COMPUTED_VALUE"""),"1 x 7W Max")</f>
        <v>1 x 7W Max</v>
      </c>
      <c r="P929" s="97"/>
      <c r="Q929" s="97" t="str">
        <f>IFERROR(__xludf.DUMMYFUNCTION("""COMPUTED_VALUE"""),"-")</f>
        <v>-</v>
      </c>
      <c r="R929" s="97" t="str">
        <f>IFERROR(__xludf.DUMMYFUNCTION("""COMPUTED_VALUE"""),"-")</f>
        <v>-</v>
      </c>
      <c r="S929" s="97" t="str">
        <f>IFERROR(__xludf.DUMMYFUNCTION("""COMPUTED_VALUE"""),"-")</f>
        <v>-</v>
      </c>
      <c r="T929" s="97" t="str">
        <f>IFERROR(__xludf.DUMMYFUNCTION("""COMPUTED_VALUE"""),"-")</f>
        <v>-</v>
      </c>
      <c r="U929" s="97" t="str">
        <f>IFERROR(__xludf.DUMMYFUNCTION("""COMPUTED_VALUE"""),"-")</f>
        <v>-</v>
      </c>
      <c r="V929" s="97" t="str">
        <f>IFERROR(__xludf.DUMMYFUNCTION("""COMPUTED_VALUE"""),"N/A")</f>
        <v>N/A</v>
      </c>
      <c r="W929" s="97" t="str">
        <f>IFERROR(__xludf.DUMMYFUNCTION("""COMPUTED_VALUE"""),"N/A")</f>
        <v>N/A</v>
      </c>
      <c r="X929" s="97" t="str">
        <f>IFERROR(__xludf.DUMMYFUNCTION("""COMPUTED_VALUE"""),"-")</f>
        <v>-</v>
      </c>
      <c r="Y929" s="97" t="str">
        <f>IFERROR(__xludf.DUMMYFUNCTION("""COMPUTED_VALUE"""),"N/A")</f>
        <v>N/A</v>
      </c>
      <c r="Z929" s="97" t="str">
        <f>IFERROR(__xludf.DUMMYFUNCTION("""COMPUTED_VALUE"""),"N/A")</f>
        <v>N/A</v>
      </c>
      <c r="AA929" s="97" t="str">
        <f>IFERROR(__xludf.DUMMYFUNCTION("""COMPUTED_VALUE"""),"N/A")</f>
        <v>N/A</v>
      </c>
      <c r="AB929" s="97" t="str">
        <f>IFERROR(__xludf.DUMMYFUNCTION("""COMPUTED_VALUE"""),"N/A")</f>
        <v>N/A</v>
      </c>
      <c r="AC929" s="97" t="str">
        <f>IFERROR(__xludf.DUMMYFUNCTION("""COMPUTED_VALUE"""),"N/A")</f>
        <v>N/A</v>
      </c>
      <c r="AD929" s="97" t="str">
        <f>IFERROR(__xludf.DUMMYFUNCTION("""COMPUTED_VALUE"""),"IP20")</f>
        <v>IP20</v>
      </c>
      <c r="AE929" s="97" t="str">
        <f>IFERROR(__xludf.DUMMYFUNCTION("""COMPUTED_VALUE"""),"Clase ll")</f>
        <v>Clase ll</v>
      </c>
      <c r="AF929" s="97" t="str">
        <f>IFERROR(__xludf.DUMMYFUNCTION("""COMPUTED_VALUE"""),"Cabezal")</f>
        <v>Cabezal</v>
      </c>
      <c r="AG929" s="97" t="str">
        <f>IFERROR(__xludf.DUMMYFUNCTION("""COMPUTED_VALUE"""),"Ø117 x 131")</f>
        <v>Ø117 x 131</v>
      </c>
      <c r="AH929" s="97" t="str">
        <f>IFERROR(__xludf.DUMMYFUNCTION("""COMPUTED_VALUE"""),"N/A")</f>
        <v>N/A</v>
      </c>
      <c r="AI929" s="97" t="str">
        <f>IFERROR(__xludf.DUMMYFUNCTION("""COMPUTED_VALUE"""),"N/A")</f>
        <v>N/A</v>
      </c>
      <c r="AJ929" s="97" t="str">
        <f>IFERROR(__xludf.DUMMYFUNCTION("""COMPUTED_VALUE"""),"N/A")</f>
        <v>N/A</v>
      </c>
      <c r="AK929" s="97" t="str">
        <f>IFERROR(__xludf.DUMMYFUNCTION("""COMPUTED_VALUE"""),"Acero")</f>
        <v>Acero</v>
      </c>
      <c r="AL929" s="97" t="str">
        <f>IFERROR(__xludf.DUMMYFUNCTION("""COMPUTED_VALUE"""),"Negro Satinado")</f>
        <v>Negro Satinado</v>
      </c>
      <c r="AM929" s="97" t="str">
        <f>IFERROR(__xludf.DUMMYFUNCTION("""COMPUTED_VALUE"""),"-")</f>
        <v>-</v>
      </c>
      <c r="AN929" s="97" t="str">
        <f>IFERROR(__xludf.DUMMYFUNCTION("""COMPUTED_VALUE"""),"N/A")</f>
        <v>N/A</v>
      </c>
      <c r="AO929" s="97" t="str">
        <f>IFERROR(__xludf.DUMMYFUNCTION("""COMPUTED_VALUE"""),"2 Años")</f>
        <v>2 Años</v>
      </c>
      <c r="AP929" s="97" t="str">
        <f>IFERROR(__xludf.DUMMYFUNCTION("""COMPUTED_VALUE"""),"No Aplica")</f>
        <v>No Aplica</v>
      </c>
      <c r="AQ929" s="97" t="str">
        <f>IFERROR(__xludf.DUMMYFUNCTION("""COMPUTED_VALUE"""),"No Aplica")</f>
        <v>No Aplica</v>
      </c>
      <c r="AR929" s="97" t="str">
        <f>IFERROR(__xludf.DUMMYFUNCTION("""COMPUTED_VALUE"""),"No Aplica")</f>
        <v>No Aplica</v>
      </c>
      <c r="AS929" s="97"/>
      <c r="AT929" s="97"/>
      <c r="AU929" s="97" t="str">
        <f>IFERROR(__xludf.DUMMYFUNCTION("""COMPUTED_VALUE"""),"Falta")</f>
        <v>Falta</v>
      </c>
      <c r="AV929" s="97" t="str">
        <f>IFERROR(__xludf.DUMMYFUNCTION("""COMPUTED_VALUE"""),"Cabezal")</f>
        <v>Cabezal</v>
      </c>
      <c r="AW929" s="97" t="str">
        <f>IFERROR(__xludf.DUMMYFUNCTION("""COMPUTED_VALUE"""),"De Techo")</f>
        <v>De Techo</v>
      </c>
      <c r="AX929" s="97" t="str">
        <f>IFERROR(__xludf.DUMMYFUNCTION("""COMPUTED_VALUE"""),"Interior")</f>
        <v>Interior</v>
      </c>
      <c r="AY929" s="97" t="str">
        <f>IFERROR(__xludf.DUMMYFUNCTION("""COMPUTED_VALUE"""),"-")</f>
        <v>-</v>
      </c>
      <c r="AZ929" s="97" t="str">
        <f>IFERROR(__xludf.DUMMYFUNCTION("""COMPUTED_VALUE"""),"Cabezal orientable. Universal.")</f>
        <v>Cabezal orientable. Universal.</v>
      </c>
      <c r="BA929" s="97">
        <f>IFERROR(__xludf.DUMMYFUNCTION("""COMPUTED_VALUE"""),10.0)</f>
        <v>10</v>
      </c>
      <c r="BB929" s="97" t="str">
        <f>IFERROR(__xludf.DUMMYFUNCTION("""COMPUTED_VALUE"""),"-")</f>
        <v>-</v>
      </c>
      <c r="BC929" s="97" t="str">
        <f>IFERROR(__xludf.DUMMYFUNCTION("""COMPUTED_VALUE"""),"-")</f>
        <v>-</v>
      </c>
      <c r="BD929" s="97" t="str">
        <f>IFERROR(__xludf.DUMMYFUNCTION("""COMPUTED_VALUE"""),"FOCO AR111")</f>
        <v>FOCO AR111</v>
      </c>
      <c r="BE929" s="97" t="str">
        <f>IFERROR(__xludf.DUMMYFUNCTION("""COMPUTED_VALUE"""),"Finalizada")</f>
        <v>Finalizada</v>
      </c>
      <c r="BF929" s="97"/>
      <c r="BG929" s="97" t="str">
        <f>IFERROR(__xludf.DUMMYFUNCTION("""COMPUTED_VALUE"""),"En Salida")</f>
        <v>En Salida</v>
      </c>
    </row>
    <row r="930">
      <c r="A930" s="97">
        <f>IFERROR(__xludf.DUMMYFUNCTION("""COMPUTED_VALUE"""),6711.0)</f>
        <v>6711</v>
      </c>
      <c r="B930" s="97" t="str">
        <f>IFERROR(__xludf.DUMMYFUNCTION("""COMPUTED_VALUE"""),"YORK MD")</f>
        <v>YORK MD</v>
      </c>
      <c r="C930" s="97" t="str">
        <f>IFERROR(__xludf.DUMMYFUNCTION("""COMPUTED_VALUE"""),"APLIQUE YORK MD 45W 3000/4000/6500K 3360LM CRI&gt;90 IP20 LEUK")</f>
        <v>APLIQUE YORK MD 45W 3000/4000/6500K 3360LM CRI&gt;90 IP20 LEUK</v>
      </c>
      <c r="D930" s="97">
        <f>IFERROR(__xludf.DUMMYFUNCTION("""COMPUTED_VALUE"""),7.798413222135E12)</f>
        <v>7798413222135</v>
      </c>
      <c r="E930" s="97" t="str">
        <f>IFERROR(__xludf.DUMMYFUNCTION("""COMPUTED_VALUE"""),"F21")</f>
        <v>F21</v>
      </c>
      <c r="F930" s="97" t="str">
        <f>IFERROR(__xludf.DUMMYFUNCTION("""COMPUTED_VALUE"""),"LED integrado")</f>
        <v>LED integrado</v>
      </c>
      <c r="G930" s="97" t="str">
        <f>IFERROR(__xludf.DUMMYFUNCTION("""COMPUTED_VALUE"""),"-")</f>
        <v>-</v>
      </c>
      <c r="H930" s="97" t="str">
        <f>IFERROR(__xludf.DUMMYFUNCTION("""COMPUTED_VALUE"""),"-")</f>
        <v>-</v>
      </c>
      <c r="I930" s="97"/>
      <c r="J930" s="97" t="str">
        <f>IFERROR(__xludf.DUMMYFUNCTION("""COMPUTED_VALUE"""),"Modelo: CX-37-60Wx2
In: 200-240Vac 50/60Hz
Out: 110-190V 230mA")</f>
        <v>Modelo: CX-37-60Wx2
In: 200-240Vac 50/60Hz
Out: 110-190V 230mA</v>
      </c>
      <c r="K930" s="97" t="str">
        <f>IFERROR(__xludf.DUMMYFUNCTION("""COMPUTED_VALUE"""),"Remoto IR / RF")</f>
        <v>Remoto IR / RF</v>
      </c>
      <c r="L930" s="97" t="str">
        <f>IFERROR(__xludf.DUMMYFUNCTION("""COMPUTED_VALUE"""),"200-240")</f>
        <v>200-240</v>
      </c>
      <c r="M930" s="97" t="str">
        <f>IFERROR(__xludf.DUMMYFUNCTION("""COMPUTED_VALUE"""),"50/60")</f>
        <v>50/60</v>
      </c>
      <c r="N930" s="97" t="str">
        <f>IFERROR(__xludf.DUMMYFUNCTION("""COMPUTED_VALUE"""),"Directa-Simétrica")</f>
        <v>Directa-Simétrica</v>
      </c>
      <c r="O930" s="97">
        <f>IFERROR(__xludf.DUMMYFUNCTION("""COMPUTED_VALUE"""),45.0)</f>
        <v>45</v>
      </c>
      <c r="P930" s="97"/>
      <c r="Q930" s="97">
        <f>IFERROR(__xludf.DUMMYFUNCTION("""COMPUTED_VALUE"""),0.58)</f>
        <v>0.58</v>
      </c>
      <c r="R930" s="97" t="str">
        <f>IFERROR(__xludf.DUMMYFUNCTION("""COMPUTED_VALUE"""),"-")</f>
        <v>-</v>
      </c>
      <c r="S930" s="97" t="str">
        <f>IFERROR(__xludf.DUMMYFUNCTION("""COMPUTED_VALUE"""),"-")</f>
        <v>-</v>
      </c>
      <c r="T930" s="97">
        <f>IFERROR(__xludf.DUMMYFUNCTION("""COMPUTED_VALUE"""),3360.0)</f>
        <v>3360</v>
      </c>
      <c r="U930" s="99">
        <f>IFERROR(__xludf.DUMMYFUNCTION("""COMPUTED_VALUE"""),74.66666666666667)</f>
        <v>74.66666667</v>
      </c>
      <c r="V930" s="97">
        <f>IFERROR(__xludf.DUMMYFUNCTION("""COMPUTED_VALUE"""),112.0)</f>
        <v>112</v>
      </c>
      <c r="W930" s="97" t="str">
        <f>IFERROR(__xludf.DUMMYFUNCTION("""COMPUTED_VALUE"""),"&lt; 20")</f>
        <v>&lt; 20</v>
      </c>
      <c r="X930" s="97" t="str">
        <f>IFERROR(__xludf.DUMMYFUNCTION("""COMPUTED_VALUE"""),"3000/4000/6500")</f>
        <v>3000/4000/6500</v>
      </c>
      <c r="Y930" s="97" t="str">
        <f>IFERROR(__xludf.DUMMYFUNCTION("""COMPUTED_VALUE"""),"&gt;90")</f>
        <v>&gt;90</v>
      </c>
      <c r="Z930" s="97"/>
      <c r="AA930" s="97"/>
      <c r="AB930" s="97" t="str">
        <f>IFERROR(__xludf.DUMMYFUNCTION("""COMPUTED_VALUE"""),"-")</f>
        <v>-</v>
      </c>
      <c r="AC930" s="97"/>
      <c r="AD930" s="97" t="str">
        <f>IFERROR(__xludf.DUMMYFUNCTION("""COMPUTED_VALUE"""),"IP20")</f>
        <v>IP20</v>
      </c>
      <c r="AE930" s="97" t="str">
        <f>IFERROR(__xludf.DUMMYFUNCTION("""COMPUTED_VALUE"""),"Clase l")</f>
        <v>Clase l</v>
      </c>
      <c r="AF930" s="97" t="str">
        <f>IFERROR(__xludf.DUMMYFUNCTION("""COMPUTED_VALUE"""),"Aplicar, Suspender")</f>
        <v>Aplicar, Suspender</v>
      </c>
      <c r="AG930" s="97" t="str">
        <f>IFERROR(__xludf.DUMMYFUNCTION("""COMPUTED_VALUE"""),"Ø480 x 70")</f>
        <v>Ø480 x 70</v>
      </c>
      <c r="AH930" s="97" t="str">
        <f>IFERROR(__xludf.DUMMYFUNCTION("""COMPUTED_VALUE"""),"N/A")</f>
        <v>N/A</v>
      </c>
      <c r="AI930" s="97" t="str">
        <f>IFERROR(__xludf.DUMMYFUNCTION("""COMPUTED_VALUE"""),"N/A")</f>
        <v>N/A</v>
      </c>
      <c r="AJ930" s="97" t="str">
        <f>IFERROR(__xludf.DUMMYFUNCTION("""COMPUTED_VALUE"""),"PMMA")</f>
        <v>PMMA</v>
      </c>
      <c r="AK930" s="97" t="str">
        <f>IFERROR(__xludf.DUMMYFUNCTION("""COMPUTED_VALUE"""),"Acero")</f>
        <v>Acero</v>
      </c>
      <c r="AL930" s="97" t="str">
        <f>IFERROR(__xludf.DUMMYFUNCTION("""COMPUTED_VALUE"""),"Madera")</f>
        <v>Madera</v>
      </c>
      <c r="AM930" s="97" t="str">
        <f>IFERROR(__xludf.DUMMYFUNCTION("""COMPUTED_VALUE"""),"-")</f>
        <v>-</v>
      </c>
      <c r="AN930" s="97" t="str">
        <f>IFERROR(__xludf.DUMMYFUNCTION("""COMPUTED_VALUE"""),"25.000hs (L70)")</f>
        <v>25.000hs (L70)</v>
      </c>
      <c r="AO930" s="97" t="str">
        <f>IFERROR(__xludf.DUMMYFUNCTION("""COMPUTED_VALUE"""),"2 Años")</f>
        <v>2 Años</v>
      </c>
      <c r="AP930" s="97" t="str">
        <f>IFERROR(__xludf.DUMMYFUNCTION("""COMPUTED_VALUE"""),"Disponible")</f>
        <v>Disponible</v>
      </c>
      <c r="AQ930" s="97" t="str">
        <f>IFERROR(__xludf.DUMMYFUNCTION("""COMPUTED_VALUE"""),"Disponible")</f>
        <v>Disponible</v>
      </c>
      <c r="AR930" s="97" t="str">
        <f>IFERROR(__xludf.DUMMYFUNCTION("""COMPUTED_VALUE"""),"Disponible")</f>
        <v>Disponible</v>
      </c>
      <c r="AS930" s="97"/>
      <c r="AT930" s="97"/>
      <c r="AU930" s="97" t="str">
        <f>IFERROR(__xludf.DUMMYFUNCTION("""COMPUTED_VALUE"""),"Disponible")</f>
        <v>Disponible</v>
      </c>
      <c r="AV930" s="97" t="str">
        <f>IFERROR(__xludf.DUMMYFUNCTION("""COMPUTED_VALUE"""),"Aplique")</f>
        <v>Aplique</v>
      </c>
      <c r="AW930" s="97" t="str">
        <f>IFERROR(__xludf.DUMMYFUNCTION("""COMPUTED_VALUE"""),"De Techo")</f>
        <v>De Techo</v>
      </c>
      <c r="AX930" s="97" t="str">
        <f>IFERROR(__xludf.DUMMYFUNCTION("""COMPUTED_VALUE"""),"Interior")</f>
        <v>Interior</v>
      </c>
      <c r="AY930" s="97" t="str">
        <f>IFERROR(__xludf.DUMMYFUNCTION("""COMPUTED_VALUE"""),"-")</f>
        <v>-</v>
      </c>
      <c r="AZ930" s="97" t="str">
        <f>IFERROR(__xludf.DUMMYFUNCTION("""COMPUTED_VALUE"""),"Blanco dinamico. Dimeriza. Con control Remoto. Aplica KIT SUSPENSIÓN 4 TENSORES BL 6829 o NG 6830.")</f>
        <v>Blanco dinamico. Dimeriza. Con control Remoto. Aplica KIT SUSPENSIÓN 4 TENSORES BL 6829 o NG 6830.</v>
      </c>
      <c r="BA930" s="97">
        <f>IFERROR(__xludf.DUMMYFUNCTION("""COMPUTED_VALUE"""),10.0)</f>
        <v>10</v>
      </c>
      <c r="BB930" s="97" t="str">
        <f>IFERROR(__xludf.DUMMYFUNCTION("""COMPUTED_VALUE"""),"-")</f>
        <v>-</v>
      </c>
      <c r="BC930" s="97" t="str">
        <f>IFERROR(__xludf.DUMMYFUNCTION("""COMPUTED_VALUE"""),"-")</f>
        <v>-</v>
      </c>
      <c r="BD930" s="97" t="str">
        <f>IFERROR(__xludf.DUMMYFUNCTION("""COMPUTED_VALUE"""),"YORK")</f>
        <v>YORK</v>
      </c>
      <c r="BE930" s="97" t="str">
        <f>IFERROR(__xludf.DUMMYFUNCTION("""COMPUTED_VALUE"""),"Solicitada")</f>
        <v>Solicitada</v>
      </c>
      <c r="BF930" s="97"/>
      <c r="BG930" s="97" t="str">
        <f>IFERROR(__xludf.DUMMYFUNCTION("""COMPUTED_VALUE"""),"En Salida")</f>
        <v>En Salida</v>
      </c>
    </row>
    <row r="931">
      <c r="A931" s="97">
        <f>IFERROR(__xludf.DUMMYFUNCTION("""COMPUTED_VALUE"""),6712.0)</f>
        <v>6712</v>
      </c>
      <c r="B931" s="97" t="str">
        <f>IFERROR(__xludf.DUMMYFUNCTION("""COMPUTED_VALUE"""),"SINTRA BL 2700K")</f>
        <v>SINTRA BL 2700K</v>
      </c>
      <c r="C931" s="97" t="str">
        <f>IFERROR(__xludf.DUMMYFUNCTION("""COMPUTED_VALUE"""),"APLIQUE SINTRA BL 2700K 45W 2700K 3250LM CRI&gt;90 IP20 LEUK")</f>
        <v>APLIQUE SINTRA BL 2700K 45W 2700K 3250LM CRI&gt;90 IP20 LEUK</v>
      </c>
      <c r="D931" s="97">
        <f>IFERROR(__xludf.DUMMYFUNCTION("""COMPUTED_VALUE"""),7.798413222128E12)</f>
        <v>7798413222128</v>
      </c>
      <c r="E931" s="97" t="str">
        <f>IFERROR(__xludf.DUMMYFUNCTION("""COMPUTED_VALUE"""),"F26")</f>
        <v>F26</v>
      </c>
      <c r="F931" s="97" t="str">
        <f>IFERROR(__xludf.DUMMYFUNCTION("""COMPUTED_VALUE"""),"LED integrado")</f>
        <v>LED integrado</v>
      </c>
      <c r="G931" s="97" t="str">
        <f>IFERROR(__xludf.DUMMYFUNCTION("""COMPUTED_VALUE"""),"-")</f>
        <v>-</v>
      </c>
      <c r="H931" s="97" t="str">
        <f>IFERROR(__xludf.DUMMYFUNCTION("""COMPUTED_VALUE"""),"-")</f>
        <v>-</v>
      </c>
      <c r="I931" s="97"/>
      <c r="J931" s="97"/>
      <c r="K931" s="97" t="str">
        <f>IFERROR(__xludf.DUMMYFUNCTION("""COMPUTED_VALUE"""),"ON/OFF")</f>
        <v>ON/OFF</v>
      </c>
      <c r="L931" s="97" t="str">
        <f>IFERROR(__xludf.DUMMYFUNCTION("""COMPUTED_VALUE"""),"200-240")</f>
        <v>200-240</v>
      </c>
      <c r="M931" s="97" t="str">
        <f>IFERROR(__xludf.DUMMYFUNCTION("""COMPUTED_VALUE"""),"50/60")</f>
        <v>50/60</v>
      </c>
      <c r="N931" s="97" t="str">
        <f>IFERROR(__xludf.DUMMYFUNCTION("""COMPUTED_VALUE"""),"Directa-Simétrica")</f>
        <v>Directa-Simétrica</v>
      </c>
      <c r="O931" s="97">
        <f>IFERROR(__xludf.DUMMYFUNCTION("""COMPUTED_VALUE"""),45.0)</f>
        <v>45</v>
      </c>
      <c r="P931" s="97"/>
      <c r="Q931" s="97">
        <f>IFERROR(__xludf.DUMMYFUNCTION("""COMPUTED_VALUE"""),0.58)</f>
        <v>0.58</v>
      </c>
      <c r="R931" s="97" t="str">
        <f>IFERROR(__xludf.DUMMYFUNCTION("""COMPUTED_VALUE"""),"-")</f>
        <v>-</v>
      </c>
      <c r="S931" s="97" t="str">
        <f>IFERROR(__xludf.DUMMYFUNCTION("""COMPUTED_VALUE"""),"-")</f>
        <v>-</v>
      </c>
      <c r="T931" s="97">
        <f>IFERROR(__xludf.DUMMYFUNCTION("""COMPUTED_VALUE"""),3250.0)</f>
        <v>3250</v>
      </c>
      <c r="U931" s="99">
        <f>IFERROR(__xludf.DUMMYFUNCTION("""COMPUTED_VALUE"""),72.22222222222223)</f>
        <v>72.22222222</v>
      </c>
      <c r="V931" s="97">
        <f>IFERROR(__xludf.DUMMYFUNCTION("""COMPUTED_VALUE"""),120.0)</f>
        <v>120</v>
      </c>
      <c r="W931" s="97" t="str">
        <f>IFERROR(__xludf.DUMMYFUNCTION("""COMPUTED_VALUE"""),"&lt; 20")</f>
        <v>&lt; 20</v>
      </c>
      <c r="X931" s="97">
        <f>IFERROR(__xludf.DUMMYFUNCTION("""COMPUTED_VALUE"""),2700.0)</f>
        <v>2700</v>
      </c>
      <c r="Y931" s="97" t="str">
        <f>IFERROR(__xludf.DUMMYFUNCTION("""COMPUTED_VALUE"""),"&gt;90")</f>
        <v>&gt;90</v>
      </c>
      <c r="Z931" s="97"/>
      <c r="AA931" s="97"/>
      <c r="AB931" s="97" t="str">
        <f>IFERROR(__xludf.DUMMYFUNCTION("""COMPUTED_VALUE"""),"&lt; 2")</f>
        <v>&lt; 2</v>
      </c>
      <c r="AC931" s="97"/>
      <c r="AD931" s="97" t="str">
        <f>IFERROR(__xludf.DUMMYFUNCTION("""COMPUTED_VALUE"""),"IP20")</f>
        <v>IP20</v>
      </c>
      <c r="AE931" s="97" t="str">
        <f>IFERROR(__xludf.DUMMYFUNCTION("""COMPUTED_VALUE"""),"Clase l")</f>
        <v>Clase l</v>
      </c>
      <c r="AF931" s="97" t="str">
        <f>IFERROR(__xludf.DUMMYFUNCTION("""COMPUTED_VALUE"""),"Aplicar, Suspender")</f>
        <v>Aplicar, Suspender</v>
      </c>
      <c r="AG931" s="97" t="str">
        <f>IFERROR(__xludf.DUMMYFUNCTION("""COMPUTED_VALUE"""),"Ø480 x 70")</f>
        <v>Ø480 x 70</v>
      </c>
      <c r="AH931" s="97" t="str">
        <f>IFERROR(__xludf.DUMMYFUNCTION("""COMPUTED_VALUE"""),"N/A")</f>
        <v>N/A</v>
      </c>
      <c r="AI931" s="97" t="str">
        <f>IFERROR(__xludf.DUMMYFUNCTION("""COMPUTED_VALUE"""),"N/A")</f>
        <v>N/A</v>
      </c>
      <c r="AJ931" s="97" t="str">
        <f>IFERROR(__xludf.DUMMYFUNCTION("""COMPUTED_VALUE"""),"PMMA")</f>
        <v>PMMA</v>
      </c>
      <c r="AK931" s="97" t="str">
        <f>IFERROR(__xludf.DUMMYFUNCTION("""COMPUTED_VALUE"""),"Acero")</f>
        <v>Acero</v>
      </c>
      <c r="AL931" s="97" t="str">
        <f>IFERROR(__xludf.DUMMYFUNCTION("""COMPUTED_VALUE"""),"Blanco Brillante")</f>
        <v>Blanco Brillante</v>
      </c>
      <c r="AM931" s="97" t="str">
        <f>IFERROR(__xludf.DUMMYFUNCTION("""COMPUTED_VALUE"""),"-")</f>
        <v>-</v>
      </c>
      <c r="AN931" s="97" t="str">
        <f>IFERROR(__xludf.DUMMYFUNCTION("""COMPUTED_VALUE"""),"25.000hs (L70)")</f>
        <v>25.000hs (L70)</v>
      </c>
      <c r="AO931" s="97" t="str">
        <f>IFERROR(__xludf.DUMMYFUNCTION("""COMPUTED_VALUE"""),"2 Años")</f>
        <v>2 Años</v>
      </c>
      <c r="AP931" s="97" t="str">
        <f>IFERROR(__xludf.DUMMYFUNCTION("""COMPUTED_VALUE"""),"Disponible")</f>
        <v>Disponible</v>
      </c>
      <c r="AQ931" s="97" t="str">
        <f>IFERROR(__xludf.DUMMYFUNCTION("""COMPUTED_VALUE"""),"Disponible")</f>
        <v>Disponible</v>
      </c>
      <c r="AR931" s="97" t="str">
        <f>IFERROR(__xludf.DUMMYFUNCTION("""COMPUTED_VALUE"""),"Disponible")</f>
        <v>Disponible</v>
      </c>
      <c r="AS931" s="97"/>
      <c r="AT931" s="97"/>
      <c r="AU931" s="97" t="str">
        <f>IFERROR(__xludf.DUMMYFUNCTION("""COMPUTED_VALUE"""),"Disponible")</f>
        <v>Disponible</v>
      </c>
      <c r="AV931" s="97" t="str">
        <f>IFERROR(__xludf.DUMMYFUNCTION("""COMPUTED_VALUE"""),"Aplique")</f>
        <v>Aplique</v>
      </c>
      <c r="AW931" s="97" t="str">
        <f>IFERROR(__xludf.DUMMYFUNCTION("""COMPUTED_VALUE"""),"De Techo")</f>
        <v>De Techo</v>
      </c>
      <c r="AX931" s="97" t="str">
        <f>IFERROR(__xludf.DUMMYFUNCTION("""COMPUTED_VALUE"""),"Interior")</f>
        <v>Interior</v>
      </c>
      <c r="AY931" s="97" t="str">
        <f>IFERROR(__xludf.DUMMYFUNCTION("""COMPUTED_VALUE"""),"-")</f>
        <v>-</v>
      </c>
      <c r="AZ931" s="97" t="str">
        <f>IFERROR(__xludf.DUMMYFUNCTION("""COMPUTED_VALUE"""),"Aplica KIT SUSPENSIÓN 4 TENSORES BL 6829 o NG 6830.")</f>
        <v>Aplica KIT SUSPENSIÓN 4 TENSORES BL 6829 o NG 6830.</v>
      </c>
      <c r="BA931" s="97">
        <f>IFERROR(__xludf.DUMMYFUNCTION("""COMPUTED_VALUE"""),10.0)</f>
        <v>10</v>
      </c>
      <c r="BB931" s="97" t="str">
        <f>IFERROR(__xludf.DUMMYFUNCTION("""COMPUTED_VALUE"""),"-")</f>
        <v>-</v>
      </c>
      <c r="BC931" s="97" t="str">
        <f>IFERROR(__xludf.DUMMYFUNCTION("""COMPUTED_VALUE"""),"-")</f>
        <v>-</v>
      </c>
      <c r="BD931" s="97" t="str">
        <f>IFERROR(__xludf.DUMMYFUNCTION("""COMPUTED_VALUE"""),"SINTRA 2700")</f>
        <v>SINTRA 2700</v>
      </c>
      <c r="BE931" s="97" t="str">
        <f>IFERROR(__xludf.DUMMYFUNCTION("""COMPUTED_VALUE"""),"Finalizada")</f>
        <v>Finalizada</v>
      </c>
      <c r="BF931" s="97"/>
      <c r="BG931" s="97" t="str">
        <f>IFERROR(__xludf.DUMMYFUNCTION("""COMPUTED_VALUE"""),"En Salida")</f>
        <v>En Salida</v>
      </c>
    </row>
    <row r="932">
      <c r="A932" s="97">
        <f>IFERROR(__xludf.DUMMYFUNCTION("""COMPUTED_VALUE"""),6713.0)</f>
        <v>6713</v>
      </c>
      <c r="B932" s="97" t="str">
        <f>IFERROR(__xludf.DUMMYFUNCTION("""COMPUTED_VALUE"""),"SINTRA BL SQ 2700K")</f>
        <v>SINTRA BL SQ 2700K</v>
      </c>
      <c r="C932" s="97" t="str">
        <f>IFERROR(__xludf.DUMMYFUNCTION("""COMPUTED_VALUE"""),"APLIQUE SINTRA BL SQ 2700K 45W 2700K 3250LM CRI&gt;90 IP20 LEUK")</f>
        <v>APLIQUE SINTRA BL SQ 2700K 45W 2700K 3250LM CRI&gt;90 IP20 LEUK</v>
      </c>
      <c r="D932" s="97">
        <f>IFERROR(__xludf.DUMMYFUNCTION("""COMPUTED_VALUE"""),7.798413222111E12)</f>
        <v>7798413222111</v>
      </c>
      <c r="E932" s="97" t="str">
        <f>IFERROR(__xludf.DUMMYFUNCTION("""COMPUTED_VALUE"""),"F104")</f>
        <v>F104</v>
      </c>
      <c r="F932" s="97" t="str">
        <f>IFERROR(__xludf.DUMMYFUNCTION("""COMPUTED_VALUE"""),"LED integrado")</f>
        <v>LED integrado</v>
      </c>
      <c r="G932" s="97" t="str">
        <f>IFERROR(__xludf.DUMMYFUNCTION("""COMPUTED_VALUE"""),"-")</f>
        <v>-</v>
      </c>
      <c r="H932" s="97" t="str">
        <f>IFERROR(__xludf.DUMMYFUNCTION("""COMPUTED_VALUE"""),"-")</f>
        <v>-</v>
      </c>
      <c r="I932" s="97"/>
      <c r="J932" s="97"/>
      <c r="K932" s="97" t="str">
        <f>IFERROR(__xludf.DUMMYFUNCTION("""COMPUTED_VALUE"""),"ON/OFF")</f>
        <v>ON/OFF</v>
      </c>
      <c r="L932" s="97" t="str">
        <f>IFERROR(__xludf.DUMMYFUNCTION("""COMPUTED_VALUE"""),"200-240")</f>
        <v>200-240</v>
      </c>
      <c r="M932" s="97" t="str">
        <f>IFERROR(__xludf.DUMMYFUNCTION("""COMPUTED_VALUE"""),"50/60")</f>
        <v>50/60</v>
      </c>
      <c r="N932" s="97" t="str">
        <f>IFERROR(__xludf.DUMMYFUNCTION("""COMPUTED_VALUE"""),"Directa-Simétrica")</f>
        <v>Directa-Simétrica</v>
      </c>
      <c r="O932" s="97">
        <f>IFERROR(__xludf.DUMMYFUNCTION("""COMPUTED_VALUE"""),45.0)</f>
        <v>45</v>
      </c>
      <c r="P932" s="97"/>
      <c r="Q932" s="97">
        <f>IFERROR(__xludf.DUMMYFUNCTION("""COMPUTED_VALUE"""),0.58)</f>
        <v>0.58</v>
      </c>
      <c r="R932" s="97" t="str">
        <f>IFERROR(__xludf.DUMMYFUNCTION("""COMPUTED_VALUE"""),"-")</f>
        <v>-</v>
      </c>
      <c r="S932" s="97" t="str">
        <f>IFERROR(__xludf.DUMMYFUNCTION("""COMPUTED_VALUE"""),"-")</f>
        <v>-</v>
      </c>
      <c r="T932" s="97">
        <f>IFERROR(__xludf.DUMMYFUNCTION("""COMPUTED_VALUE"""),3250.0)</f>
        <v>3250</v>
      </c>
      <c r="U932" s="99">
        <f>IFERROR(__xludf.DUMMYFUNCTION("""COMPUTED_VALUE"""),72.22222222222223)</f>
        <v>72.22222222</v>
      </c>
      <c r="V932" s="97">
        <f>IFERROR(__xludf.DUMMYFUNCTION("""COMPUTED_VALUE"""),120.0)</f>
        <v>120</v>
      </c>
      <c r="W932" s="97" t="str">
        <f>IFERROR(__xludf.DUMMYFUNCTION("""COMPUTED_VALUE"""),"&lt; 20")</f>
        <v>&lt; 20</v>
      </c>
      <c r="X932" s="97">
        <f>IFERROR(__xludf.DUMMYFUNCTION("""COMPUTED_VALUE"""),2700.0)</f>
        <v>2700</v>
      </c>
      <c r="Y932" s="97" t="str">
        <f>IFERROR(__xludf.DUMMYFUNCTION("""COMPUTED_VALUE"""),"&gt;90")</f>
        <v>&gt;90</v>
      </c>
      <c r="Z932" s="97"/>
      <c r="AA932" s="97"/>
      <c r="AB932" s="97" t="str">
        <f>IFERROR(__xludf.DUMMYFUNCTION("""COMPUTED_VALUE"""),"&lt; 2")</f>
        <v>&lt; 2</v>
      </c>
      <c r="AC932" s="97"/>
      <c r="AD932" s="97" t="str">
        <f>IFERROR(__xludf.DUMMYFUNCTION("""COMPUTED_VALUE"""),"IP20")</f>
        <v>IP20</v>
      </c>
      <c r="AE932" s="97" t="str">
        <f>IFERROR(__xludf.DUMMYFUNCTION("""COMPUTED_VALUE"""),"Clase l")</f>
        <v>Clase l</v>
      </c>
      <c r="AF932" s="97" t="str">
        <f>IFERROR(__xludf.DUMMYFUNCTION("""COMPUTED_VALUE"""),"Aplicar")</f>
        <v>Aplicar</v>
      </c>
      <c r="AG932" s="97" t="str">
        <f>IFERROR(__xludf.DUMMYFUNCTION("""COMPUTED_VALUE"""),"480 x 480 x 70")</f>
        <v>480 x 480 x 70</v>
      </c>
      <c r="AH932" s="97" t="str">
        <f>IFERROR(__xludf.DUMMYFUNCTION("""COMPUTED_VALUE"""),"N/A")</f>
        <v>N/A</v>
      </c>
      <c r="AI932" s="97" t="str">
        <f>IFERROR(__xludf.DUMMYFUNCTION("""COMPUTED_VALUE"""),"N/A")</f>
        <v>N/A</v>
      </c>
      <c r="AJ932" s="97" t="str">
        <f>IFERROR(__xludf.DUMMYFUNCTION("""COMPUTED_VALUE"""),"PMMA")</f>
        <v>PMMA</v>
      </c>
      <c r="AK932" s="97" t="str">
        <f>IFERROR(__xludf.DUMMYFUNCTION("""COMPUTED_VALUE"""),"Acero")</f>
        <v>Acero</v>
      </c>
      <c r="AL932" s="97" t="str">
        <f>IFERROR(__xludf.DUMMYFUNCTION("""COMPUTED_VALUE"""),"Blanco Brillante")</f>
        <v>Blanco Brillante</v>
      </c>
      <c r="AM932" s="97" t="str">
        <f>IFERROR(__xludf.DUMMYFUNCTION("""COMPUTED_VALUE"""),"-")</f>
        <v>-</v>
      </c>
      <c r="AN932" s="97" t="str">
        <f>IFERROR(__xludf.DUMMYFUNCTION("""COMPUTED_VALUE"""),"25.000hs (L70)")</f>
        <v>25.000hs (L70)</v>
      </c>
      <c r="AO932" s="97" t="str">
        <f>IFERROR(__xludf.DUMMYFUNCTION("""COMPUTED_VALUE"""),"2 Años")</f>
        <v>2 Años</v>
      </c>
      <c r="AP932" s="97" t="str">
        <f>IFERROR(__xludf.DUMMYFUNCTION("""COMPUTED_VALUE"""),"Disponible")</f>
        <v>Disponible</v>
      </c>
      <c r="AQ932" s="97" t="str">
        <f>IFERROR(__xludf.DUMMYFUNCTION("""COMPUTED_VALUE"""),"Disponible")</f>
        <v>Disponible</v>
      </c>
      <c r="AR932" s="97" t="str">
        <f>IFERROR(__xludf.DUMMYFUNCTION("""COMPUTED_VALUE"""),"Disponible")</f>
        <v>Disponible</v>
      </c>
      <c r="AS932" s="97"/>
      <c r="AT932" s="97"/>
      <c r="AU932" s="97" t="str">
        <f>IFERROR(__xludf.DUMMYFUNCTION("""COMPUTED_VALUE"""),"Falta")</f>
        <v>Falta</v>
      </c>
      <c r="AV932" s="97" t="str">
        <f>IFERROR(__xludf.DUMMYFUNCTION("""COMPUTED_VALUE"""),"Aplique")</f>
        <v>Aplique</v>
      </c>
      <c r="AW932" s="97" t="str">
        <f>IFERROR(__xludf.DUMMYFUNCTION("""COMPUTED_VALUE"""),"De Techo")</f>
        <v>De Techo</v>
      </c>
      <c r="AX932" s="97" t="str">
        <f>IFERROR(__xludf.DUMMYFUNCTION("""COMPUTED_VALUE"""),"Interior")</f>
        <v>Interior</v>
      </c>
      <c r="AY932" s="97" t="str">
        <f>IFERROR(__xludf.DUMMYFUNCTION("""COMPUTED_VALUE"""),"-")</f>
        <v>-</v>
      </c>
      <c r="AZ932" s="97"/>
      <c r="BA932" s="97">
        <f>IFERROR(__xludf.DUMMYFUNCTION("""COMPUTED_VALUE"""),10.0)</f>
        <v>10</v>
      </c>
      <c r="BB932" s="97" t="str">
        <f>IFERROR(__xludf.DUMMYFUNCTION("""COMPUTED_VALUE"""),"-")</f>
        <v>-</v>
      </c>
      <c r="BC932" s="97" t="str">
        <f>IFERROR(__xludf.DUMMYFUNCTION("""COMPUTED_VALUE"""),"-")</f>
        <v>-</v>
      </c>
      <c r="BD932" s="97" t="str">
        <f>IFERROR(__xludf.DUMMYFUNCTION("""COMPUTED_VALUE"""),"SINTRA SQ 2700")</f>
        <v>SINTRA SQ 2700</v>
      </c>
      <c r="BE932" s="97" t="str">
        <f>IFERROR(__xludf.DUMMYFUNCTION("""COMPUTED_VALUE"""),"Finalizada")</f>
        <v>Finalizada</v>
      </c>
      <c r="BF932" s="97"/>
      <c r="BG932" s="97" t="str">
        <f>IFERROR(__xludf.DUMMYFUNCTION("""COMPUTED_VALUE"""),"En Salida")</f>
        <v>En Salida</v>
      </c>
    </row>
    <row r="933">
      <c r="A933" s="97">
        <f>IFERROR(__xludf.DUMMYFUNCTION("""COMPUTED_VALUE"""),6714.0)</f>
        <v>6714</v>
      </c>
      <c r="B933" s="97" t="str">
        <f>IFERROR(__xludf.DUMMYFUNCTION("""COMPUTED_VALUE"""),"YORK BL 2700K")</f>
        <v>YORK BL 2700K</v>
      </c>
      <c r="C933" s="97" t="str">
        <f>IFERROR(__xludf.DUMMYFUNCTION("""COMPUTED_VALUE"""),"APLIQUE YORK BL 2700K 45W 2700K 2700LM CRI&gt;90 IP20 LEUK")</f>
        <v>APLIQUE YORK BL 2700K 45W 2700K 2700LM CRI&gt;90 IP20 LEUK</v>
      </c>
      <c r="D933" s="97">
        <f>IFERROR(__xludf.DUMMYFUNCTION("""COMPUTED_VALUE"""),7.798413222104E12)</f>
        <v>7798413222104</v>
      </c>
      <c r="E933" s="97" t="str">
        <f>IFERROR(__xludf.DUMMYFUNCTION("""COMPUTED_VALUE"""),"F29")</f>
        <v>F29</v>
      </c>
      <c r="F933" s="97" t="str">
        <f>IFERROR(__xludf.DUMMYFUNCTION("""COMPUTED_VALUE"""),"LED integrado")</f>
        <v>LED integrado</v>
      </c>
      <c r="G933" s="97" t="str">
        <f>IFERROR(__xludf.DUMMYFUNCTION("""COMPUTED_VALUE"""),"-")</f>
        <v>-</v>
      </c>
      <c r="H933" s="97" t="str">
        <f>IFERROR(__xludf.DUMMYFUNCTION("""COMPUTED_VALUE"""),"-")</f>
        <v>-</v>
      </c>
      <c r="I933" s="97"/>
      <c r="J933" s="97"/>
      <c r="K933" s="97" t="str">
        <f>IFERROR(__xludf.DUMMYFUNCTION("""COMPUTED_VALUE"""),"ON/OFF")</f>
        <v>ON/OFF</v>
      </c>
      <c r="L933" s="97" t="str">
        <f>IFERROR(__xludf.DUMMYFUNCTION("""COMPUTED_VALUE"""),"200-240")</f>
        <v>200-240</v>
      </c>
      <c r="M933" s="97" t="str">
        <f>IFERROR(__xludf.DUMMYFUNCTION("""COMPUTED_VALUE"""),"50/60")</f>
        <v>50/60</v>
      </c>
      <c r="N933" s="97" t="str">
        <f>IFERROR(__xludf.DUMMYFUNCTION("""COMPUTED_VALUE"""),"Directa-Simétrica")</f>
        <v>Directa-Simétrica</v>
      </c>
      <c r="O933" s="97">
        <f>IFERROR(__xludf.DUMMYFUNCTION("""COMPUTED_VALUE"""),45.0)</f>
        <v>45</v>
      </c>
      <c r="P933" s="97"/>
      <c r="Q933" s="97">
        <f>IFERROR(__xludf.DUMMYFUNCTION("""COMPUTED_VALUE"""),0.58)</f>
        <v>0.58</v>
      </c>
      <c r="R933" s="97" t="str">
        <f>IFERROR(__xludf.DUMMYFUNCTION("""COMPUTED_VALUE"""),"-")</f>
        <v>-</v>
      </c>
      <c r="S933" s="97" t="str">
        <f>IFERROR(__xludf.DUMMYFUNCTION("""COMPUTED_VALUE"""),"-")</f>
        <v>-</v>
      </c>
      <c r="T933" s="97">
        <f>IFERROR(__xludf.DUMMYFUNCTION("""COMPUTED_VALUE"""),2700.0)</f>
        <v>2700</v>
      </c>
      <c r="U933" s="99">
        <f>IFERROR(__xludf.DUMMYFUNCTION("""COMPUTED_VALUE"""),60.0)</f>
        <v>60</v>
      </c>
      <c r="V933" s="97">
        <f>IFERROR(__xludf.DUMMYFUNCTION("""COMPUTED_VALUE"""),112.0)</f>
        <v>112</v>
      </c>
      <c r="W933" s="97" t="str">
        <f>IFERROR(__xludf.DUMMYFUNCTION("""COMPUTED_VALUE"""),"&lt; 20")</f>
        <v>&lt; 20</v>
      </c>
      <c r="X933" s="97">
        <f>IFERROR(__xludf.DUMMYFUNCTION("""COMPUTED_VALUE"""),2700.0)</f>
        <v>2700</v>
      </c>
      <c r="Y933" s="97" t="str">
        <f>IFERROR(__xludf.DUMMYFUNCTION("""COMPUTED_VALUE"""),"&gt;90")</f>
        <v>&gt;90</v>
      </c>
      <c r="Z933" s="97"/>
      <c r="AA933" s="97"/>
      <c r="AB933" s="97" t="str">
        <f>IFERROR(__xludf.DUMMYFUNCTION("""COMPUTED_VALUE"""),"&lt; 2")</f>
        <v>&lt; 2</v>
      </c>
      <c r="AC933" s="97"/>
      <c r="AD933" s="97" t="str">
        <f>IFERROR(__xludf.DUMMYFUNCTION("""COMPUTED_VALUE"""),"IP20")</f>
        <v>IP20</v>
      </c>
      <c r="AE933" s="97" t="str">
        <f>IFERROR(__xludf.DUMMYFUNCTION("""COMPUTED_VALUE"""),"Clase l")</f>
        <v>Clase l</v>
      </c>
      <c r="AF933" s="97" t="str">
        <f>IFERROR(__xludf.DUMMYFUNCTION("""COMPUTED_VALUE"""),"Aplicar, Suspender")</f>
        <v>Aplicar, Suspender</v>
      </c>
      <c r="AG933" s="97" t="str">
        <f>IFERROR(__xludf.DUMMYFUNCTION("""COMPUTED_VALUE"""),"Ø480 x 70")</f>
        <v>Ø480 x 70</v>
      </c>
      <c r="AH933" s="97" t="str">
        <f>IFERROR(__xludf.DUMMYFUNCTION("""COMPUTED_VALUE"""),"N/A")</f>
        <v>N/A</v>
      </c>
      <c r="AI933" s="97" t="str">
        <f>IFERROR(__xludf.DUMMYFUNCTION("""COMPUTED_VALUE"""),"N/A")</f>
        <v>N/A</v>
      </c>
      <c r="AJ933" s="97" t="str">
        <f>IFERROR(__xludf.DUMMYFUNCTION("""COMPUTED_VALUE"""),"PMMA")</f>
        <v>PMMA</v>
      </c>
      <c r="AK933" s="97" t="str">
        <f>IFERROR(__xludf.DUMMYFUNCTION("""COMPUTED_VALUE"""),"Acero")</f>
        <v>Acero</v>
      </c>
      <c r="AL933" s="97" t="str">
        <f>IFERROR(__xludf.DUMMYFUNCTION("""COMPUTED_VALUE"""),"Blanco Brillante")</f>
        <v>Blanco Brillante</v>
      </c>
      <c r="AM933" s="97" t="str">
        <f>IFERROR(__xludf.DUMMYFUNCTION("""COMPUTED_VALUE"""),"-")</f>
        <v>-</v>
      </c>
      <c r="AN933" s="97" t="str">
        <f>IFERROR(__xludf.DUMMYFUNCTION("""COMPUTED_VALUE"""),"25.000hs (L70)")</f>
        <v>25.000hs (L70)</v>
      </c>
      <c r="AO933" s="97" t="str">
        <f>IFERROR(__xludf.DUMMYFUNCTION("""COMPUTED_VALUE"""),"2 Años")</f>
        <v>2 Años</v>
      </c>
      <c r="AP933" s="97" t="str">
        <f>IFERROR(__xludf.DUMMYFUNCTION("""COMPUTED_VALUE"""),"Disponible")</f>
        <v>Disponible</v>
      </c>
      <c r="AQ933" s="97" t="str">
        <f>IFERROR(__xludf.DUMMYFUNCTION("""COMPUTED_VALUE"""),"Disponible")</f>
        <v>Disponible</v>
      </c>
      <c r="AR933" s="97" t="str">
        <f>IFERROR(__xludf.DUMMYFUNCTION("""COMPUTED_VALUE"""),"Disponible")</f>
        <v>Disponible</v>
      </c>
      <c r="AS933" s="97"/>
      <c r="AT933" s="97"/>
      <c r="AU933" s="97" t="str">
        <f>IFERROR(__xludf.DUMMYFUNCTION("""COMPUTED_VALUE"""),"Disponible")</f>
        <v>Disponible</v>
      </c>
      <c r="AV933" s="97" t="str">
        <f>IFERROR(__xludf.DUMMYFUNCTION("""COMPUTED_VALUE"""),"Aplique")</f>
        <v>Aplique</v>
      </c>
      <c r="AW933" s="97" t="str">
        <f>IFERROR(__xludf.DUMMYFUNCTION("""COMPUTED_VALUE"""),"De Techo")</f>
        <v>De Techo</v>
      </c>
      <c r="AX933" s="97" t="str">
        <f>IFERROR(__xludf.DUMMYFUNCTION("""COMPUTED_VALUE"""),"Interior")</f>
        <v>Interior</v>
      </c>
      <c r="AY933" s="97" t="str">
        <f>IFERROR(__xludf.DUMMYFUNCTION("""COMPUTED_VALUE"""),"-")</f>
        <v>-</v>
      </c>
      <c r="AZ933" s="97" t="str">
        <f>IFERROR(__xludf.DUMMYFUNCTION("""COMPUTED_VALUE"""),"Aplica KIT SUSPENSIÓN 4 TENSORES BL 6829 o NG 6830.")</f>
        <v>Aplica KIT SUSPENSIÓN 4 TENSORES BL 6829 o NG 6830.</v>
      </c>
      <c r="BA933" s="97">
        <f>IFERROR(__xludf.DUMMYFUNCTION("""COMPUTED_VALUE"""),10.0)</f>
        <v>10</v>
      </c>
      <c r="BB933" s="97" t="str">
        <f>IFERROR(__xludf.DUMMYFUNCTION("""COMPUTED_VALUE"""),"-")</f>
        <v>-</v>
      </c>
      <c r="BC933" s="97" t="str">
        <f>IFERROR(__xludf.DUMMYFUNCTION("""COMPUTED_VALUE"""),"-")</f>
        <v>-</v>
      </c>
      <c r="BD933" s="97" t="str">
        <f>IFERROR(__xludf.DUMMYFUNCTION("""COMPUTED_VALUE"""),"YORK 2700")</f>
        <v>YORK 2700</v>
      </c>
      <c r="BE933" s="97" t="str">
        <f>IFERROR(__xludf.DUMMYFUNCTION("""COMPUTED_VALUE"""),"Finalizada")</f>
        <v>Finalizada</v>
      </c>
      <c r="BF933" s="97"/>
      <c r="BG933" s="97" t="str">
        <f>IFERROR(__xludf.DUMMYFUNCTION("""COMPUTED_VALUE"""),"En Salida")</f>
        <v>En Salida</v>
      </c>
    </row>
    <row r="934">
      <c r="A934" s="97">
        <f>IFERROR(__xludf.DUMMYFUNCTION("""COMPUTED_VALUE"""),6715.0)</f>
        <v>6715</v>
      </c>
      <c r="B934" s="97" t="str">
        <f>IFERROR(__xludf.DUMMYFUNCTION("""COMPUTED_VALUE"""),"YORK NG 2700K")</f>
        <v>YORK NG 2700K</v>
      </c>
      <c r="C934" s="97" t="str">
        <f>IFERROR(__xludf.DUMMYFUNCTION("""COMPUTED_VALUE"""),"APLIQUE YORK NG 2700K 45W 2700K 2785LM CRI&gt;90 IP20 LEUK")</f>
        <v>APLIQUE YORK NG 2700K 45W 2700K 2785LM CRI&gt;90 IP20 LEUK</v>
      </c>
      <c r="D934" s="97">
        <f>IFERROR(__xludf.DUMMYFUNCTION("""COMPUTED_VALUE"""),7.798413222098E12)</f>
        <v>7798413222098</v>
      </c>
      <c r="E934" s="97" t="str">
        <f>IFERROR(__xludf.DUMMYFUNCTION("""COMPUTED_VALUE"""),"F25")</f>
        <v>F25</v>
      </c>
      <c r="F934" s="97" t="str">
        <f>IFERROR(__xludf.DUMMYFUNCTION("""COMPUTED_VALUE"""),"LED integrado")</f>
        <v>LED integrado</v>
      </c>
      <c r="G934" s="97" t="str">
        <f>IFERROR(__xludf.DUMMYFUNCTION("""COMPUTED_VALUE"""),"-")</f>
        <v>-</v>
      </c>
      <c r="H934" s="97" t="str">
        <f>IFERROR(__xludf.DUMMYFUNCTION("""COMPUTED_VALUE"""),"-")</f>
        <v>-</v>
      </c>
      <c r="I934" s="97"/>
      <c r="J934" s="97"/>
      <c r="K934" s="97" t="str">
        <f>IFERROR(__xludf.DUMMYFUNCTION("""COMPUTED_VALUE"""),"ON/OFF")</f>
        <v>ON/OFF</v>
      </c>
      <c r="L934" s="97" t="str">
        <f>IFERROR(__xludf.DUMMYFUNCTION("""COMPUTED_VALUE"""),"200-240")</f>
        <v>200-240</v>
      </c>
      <c r="M934" s="97" t="str">
        <f>IFERROR(__xludf.DUMMYFUNCTION("""COMPUTED_VALUE"""),"50/60")</f>
        <v>50/60</v>
      </c>
      <c r="N934" s="97" t="str">
        <f>IFERROR(__xludf.DUMMYFUNCTION("""COMPUTED_VALUE"""),"Directa-Simétrica")</f>
        <v>Directa-Simétrica</v>
      </c>
      <c r="O934" s="97">
        <f>IFERROR(__xludf.DUMMYFUNCTION("""COMPUTED_VALUE"""),45.0)</f>
        <v>45</v>
      </c>
      <c r="P934" s="97"/>
      <c r="Q934" s="97">
        <f>IFERROR(__xludf.DUMMYFUNCTION("""COMPUTED_VALUE"""),0.58)</f>
        <v>0.58</v>
      </c>
      <c r="R934" s="97" t="str">
        <f>IFERROR(__xludf.DUMMYFUNCTION("""COMPUTED_VALUE"""),"-")</f>
        <v>-</v>
      </c>
      <c r="S934" s="97" t="str">
        <f>IFERROR(__xludf.DUMMYFUNCTION("""COMPUTED_VALUE"""),"-")</f>
        <v>-</v>
      </c>
      <c r="T934" s="97">
        <f>IFERROR(__xludf.DUMMYFUNCTION("""COMPUTED_VALUE"""),2785.0)</f>
        <v>2785</v>
      </c>
      <c r="U934" s="99">
        <f>IFERROR(__xludf.DUMMYFUNCTION("""COMPUTED_VALUE"""),61.888888888888886)</f>
        <v>61.88888889</v>
      </c>
      <c r="V934" s="97">
        <f>IFERROR(__xludf.DUMMYFUNCTION("""COMPUTED_VALUE"""),112.0)</f>
        <v>112</v>
      </c>
      <c r="W934" s="97" t="str">
        <f>IFERROR(__xludf.DUMMYFUNCTION("""COMPUTED_VALUE"""),"&lt; 20")</f>
        <v>&lt; 20</v>
      </c>
      <c r="X934" s="97">
        <f>IFERROR(__xludf.DUMMYFUNCTION("""COMPUTED_VALUE"""),2700.0)</f>
        <v>2700</v>
      </c>
      <c r="Y934" s="97" t="str">
        <f>IFERROR(__xludf.DUMMYFUNCTION("""COMPUTED_VALUE"""),"&gt;90")</f>
        <v>&gt;90</v>
      </c>
      <c r="Z934" s="97"/>
      <c r="AA934" s="97"/>
      <c r="AB934" s="97" t="str">
        <f>IFERROR(__xludf.DUMMYFUNCTION("""COMPUTED_VALUE"""),"&lt; 2")</f>
        <v>&lt; 2</v>
      </c>
      <c r="AC934" s="97"/>
      <c r="AD934" s="97" t="str">
        <f>IFERROR(__xludf.DUMMYFUNCTION("""COMPUTED_VALUE"""),"IP20")</f>
        <v>IP20</v>
      </c>
      <c r="AE934" s="97" t="str">
        <f>IFERROR(__xludf.DUMMYFUNCTION("""COMPUTED_VALUE"""),"Clase l")</f>
        <v>Clase l</v>
      </c>
      <c r="AF934" s="97" t="str">
        <f>IFERROR(__xludf.DUMMYFUNCTION("""COMPUTED_VALUE"""),"Aplicar, Suspender")</f>
        <v>Aplicar, Suspender</v>
      </c>
      <c r="AG934" s="97" t="str">
        <f>IFERROR(__xludf.DUMMYFUNCTION("""COMPUTED_VALUE"""),"Ø480 x 70")</f>
        <v>Ø480 x 70</v>
      </c>
      <c r="AH934" s="97" t="str">
        <f>IFERROR(__xludf.DUMMYFUNCTION("""COMPUTED_VALUE"""),"N/A")</f>
        <v>N/A</v>
      </c>
      <c r="AI934" s="97" t="str">
        <f>IFERROR(__xludf.DUMMYFUNCTION("""COMPUTED_VALUE"""),"N/A")</f>
        <v>N/A</v>
      </c>
      <c r="AJ934" s="97" t="str">
        <f>IFERROR(__xludf.DUMMYFUNCTION("""COMPUTED_VALUE"""),"PMMA")</f>
        <v>PMMA</v>
      </c>
      <c r="AK934" s="97" t="str">
        <f>IFERROR(__xludf.DUMMYFUNCTION("""COMPUTED_VALUE"""),"Acero")</f>
        <v>Acero</v>
      </c>
      <c r="AL934" s="97" t="str">
        <f>IFERROR(__xludf.DUMMYFUNCTION("""COMPUTED_VALUE"""),"Negro Brillante")</f>
        <v>Negro Brillante</v>
      </c>
      <c r="AM934" s="97" t="str">
        <f>IFERROR(__xludf.DUMMYFUNCTION("""COMPUTED_VALUE"""),"-")</f>
        <v>-</v>
      </c>
      <c r="AN934" s="97" t="str">
        <f>IFERROR(__xludf.DUMMYFUNCTION("""COMPUTED_VALUE"""),"25.000hs (L70)")</f>
        <v>25.000hs (L70)</v>
      </c>
      <c r="AO934" s="97" t="str">
        <f>IFERROR(__xludf.DUMMYFUNCTION("""COMPUTED_VALUE"""),"2 Años")</f>
        <v>2 Años</v>
      </c>
      <c r="AP934" s="97" t="str">
        <f>IFERROR(__xludf.DUMMYFUNCTION("""COMPUTED_VALUE"""),"Disponible")</f>
        <v>Disponible</v>
      </c>
      <c r="AQ934" s="97" t="str">
        <f>IFERROR(__xludf.DUMMYFUNCTION("""COMPUTED_VALUE"""),"Disponible")</f>
        <v>Disponible</v>
      </c>
      <c r="AR934" s="97" t="str">
        <f>IFERROR(__xludf.DUMMYFUNCTION("""COMPUTED_VALUE"""),"Disponible")</f>
        <v>Disponible</v>
      </c>
      <c r="AS934" s="97"/>
      <c r="AT934" s="97"/>
      <c r="AU934" s="97" t="str">
        <f>IFERROR(__xludf.DUMMYFUNCTION("""COMPUTED_VALUE"""),"Disponible")</f>
        <v>Disponible</v>
      </c>
      <c r="AV934" s="97" t="str">
        <f>IFERROR(__xludf.DUMMYFUNCTION("""COMPUTED_VALUE"""),"Aplique")</f>
        <v>Aplique</v>
      </c>
      <c r="AW934" s="97" t="str">
        <f>IFERROR(__xludf.DUMMYFUNCTION("""COMPUTED_VALUE"""),"De Techo")</f>
        <v>De Techo</v>
      </c>
      <c r="AX934" s="97" t="str">
        <f>IFERROR(__xludf.DUMMYFUNCTION("""COMPUTED_VALUE"""),"Interior")</f>
        <v>Interior</v>
      </c>
      <c r="AY934" s="97" t="str">
        <f>IFERROR(__xludf.DUMMYFUNCTION("""COMPUTED_VALUE"""),"-")</f>
        <v>-</v>
      </c>
      <c r="AZ934" s="97" t="str">
        <f>IFERROR(__xludf.DUMMYFUNCTION("""COMPUTED_VALUE"""),"Aplica KIT SUSPENSIÓN 4 TENSORES BL 6829 o NG 6830.")</f>
        <v>Aplica KIT SUSPENSIÓN 4 TENSORES BL 6829 o NG 6830.</v>
      </c>
      <c r="BA934" s="97">
        <f>IFERROR(__xludf.DUMMYFUNCTION("""COMPUTED_VALUE"""),10.0)</f>
        <v>10</v>
      </c>
      <c r="BB934" s="97" t="str">
        <f>IFERROR(__xludf.DUMMYFUNCTION("""COMPUTED_VALUE"""),"-")</f>
        <v>-</v>
      </c>
      <c r="BC934" s="97" t="str">
        <f>IFERROR(__xludf.DUMMYFUNCTION("""COMPUTED_VALUE"""),"-")</f>
        <v>-</v>
      </c>
      <c r="BD934" s="97" t="str">
        <f>IFERROR(__xludf.DUMMYFUNCTION("""COMPUTED_VALUE"""),"YORK 2700")</f>
        <v>YORK 2700</v>
      </c>
      <c r="BE934" s="97" t="str">
        <f>IFERROR(__xludf.DUMMYFUNCTION("""COMPUTED_VALUE"""),"Finalizada")</f>
        <v>Finalizada</v>
      </c>
      <c r="BF934" s="97"/>
      <c r="BG934" s="97" t="str">
        <f>IFERROR(__xludf.DUMMYFUNCTION("""COMPUTED_VALUE"""),"En Salida")</f>
        <v>En Salida</v>
      </c>
    </row>
    <row r="935">
      <c r="A935" s="97">
        <f>IFERROR(__xludf.DUMMYFUNCTION("""COMPUTED_VALUE"""),6716.0)</f>
        <v>6716</v>
      </c>
      <c r="B935" s="97" t="str">
        <f>IFERROR(__xludf.DUMMYFUNCTION("""COMPUTED_VALUE"""),"KIT SUSPENSIÓN SINTRA/YORK BL")</f>
        <v>KIT SUSPENSIÓN SINTRA/YORK BL</v>
      </c>
      <c r="C935" s="97" t="str">
        <f>IFERROR(__xludf.DUMMYFUNCTION("""COMPUTED_VALUE"""),"KIT SUSPENSION SINTRA/YORK 45W R BLANCO LEUK")</f>
        <v>KIT SUSPENSION SINTRA/YORK 45W R BLANCO LEUK</v>
      </c>
      <c r="D935" s="97">
        <f>IFERROR(__xludf.DUMMYFUNCTION("""COMPUTED_VALUE"""),7.798413222081E12)</f>
        <v>7798413222081</v>
      </c>
      <c r="E935" s="97" t="str">
        <f>IFERROR(__xludf.DUMMYFUNCTION("""COMPUTED_VALUE"""),"KB1")</f>
        <v>KB1</v>
      </c>
      <c r="F935" s="97" t="str">
        <f>IFERROR(__xludf.DUMMYFUNCTION("""COMPUTED_VALUE"""),"N/A")</f>
        <v>N/A</v>
      </c>
      <c r="G935" s="97" t="str">
        <f>IFERROR(__xludf.DUMMYFUNCTION("""COMPUTED_VALUE"""),"N/A")</f>
        <v>N/A</v>
      </c>
      <c r="H935" s="97" t="str">
        <f>IFERROR(__xludf.DUMMYFUNCTION("""COMPUTED_VALUE"""),"N/A")</f>
        <v>N/A</v>
      </c>
      <c r="I935" s="97" t="str">
        <f>IFERROR(__xludf.DUMMYFUNCTION("""COMPUTED_VALUE"""),"N/A")</f>
        <v>N/A</v>
      </c>
      <c r="J935" s="97"/>
      <c r="K935" s="97" t="str">
        <f>IFERROR(__xludf.DUMMYFUNCTION("""COMPUTED_VALUE"""),"N/A")</f>
        <v>N/A</v>
      </c>
      <c r="L935" s="97" t="str">
        <f>IFERROR(__xludf.DUMMYFUNCTION("""COMPUTED_VALUE"""),"200-240")</f>
        <v>200-240</v>
      </c>
      <c r="M935" s="97" t="str">
        <f>IFERROR(__xludf.DUMMYFUNCTION("""COMPUTED_VALUE"""),"50/60")</f>
        <v>50/60</v>
      </c>
      <c r="N935" s="97"/>
      <c r="O935" s="97" t="str">
        <f>IFERROR(__xludf.DUMMYFUNCTION("""COMPUTED_VALUE"""),"-")</f>
        <v>-</v>
      </c>
      <c r="P935" s="97"/>
      <c r="Q935" s="97" t="str">
        <f>IFERROR(__xludf.DUMMYFUNCTION("""COMPUTED_VALUE"""),"-")</f>
        <v>-</v>
      </c>
      <c r="R935" s="97" t="str">
        <f>IFERROR(__xludf.DUMMYFUNCTION("""COMPUTED_VALUE"""),"-")</f>
        <v>-</v>
      </c>
      <c r="S935" s="97" t="str">
        <f>IFERROR(__xludf.DUMMYFUNCTION("""COMPUTED_VALUE"""),"-")</f>
        <v>-</v>
      </c>
      <c r="T935" s="97" t="str">
        <f>IFERROR(__xludf.DUMMYFUNCTION("""COMPUTED_VALUE"""),"-")</f>
        <v>-</v>
      </c>
      <c r="U935" s="97" t="str">
        <f>IFERROR(__xludf.DUMMYFUNCTION("""COMPUTED_VALUE"""),"-")</f>
        <v>-</v>
      </c>
      <c r="V935" s="97" t="str">
        <f>IFERROR(__xludf.DUMMYFUNCTION("""COMPUTED_VALUE"""),"N/A")</f>
        <v>N/A</v>
      </c>
      <c r="W935" s="97" t="str">
        <f>IFERROR(__xludf.DUMMYFUNCTION("""COMPUTED_VALUE"""),"N/A")</f>
        <v>N/A</v>
      </c>
      <c r="X935" s="97" t="str">
        <f>IFERROR(__xludf.DUMMYFUNCTION("""COMPUTED_VALUE"""),"-")</f>
        <v>-</v>
      </c>
      <c r="Y935" s="97" t="str">
        <f>IFERROR(__xludf.DUMMYFUNCTION("""COMPUTED_VALUE"""),"N/A")</f>
        <v>N/A</v>
      </c>
      <c r="Z935" s="97" t="str">
        <f>IFERROR(__xludf.DUMMYFUNCTION("""COMPUTED_VALUE"""),"N/A")</f>
        <v>N/A</v>
      </c>
      <c r="AA935" s="97" t="str">
        <f>IFERROR(__xludf.DUMMYFUNCTION("""COMPUTED_VALUE"""),"N/A")</f>
        <v>N/A</v>
      </c>
      <c r="AB935" s="97" t="str">
        <f>IFERROR(__xludf.DUMMYFUNCTION("""COMPUTED_VALUE"""),"N/A")</f>
        <v>N/A</v>
      </c>
      <c r="AC935" s="97" t="str">
        <f>IFERROR(__xludf.DUMMYFUNCTION("""COMPUTED_VALUE"""),"N/A")</f>
        <v>N/A</v>
      </c>
      <c r="AD935" s="97" t="str">
        <f>IFERROR(__xludf.DUMMYFUNCTION("""COMPUTED_VALUE"""),"IP20")</f>
        <v>IP20</v>
      </c>
      <c r="AE935" s="97" t="str">
        <f>IFERROR(__xludf.DUMMYFUNCTION("""COMPUTED_VALUE"""),"Clase l")</f>
        <v>Clase l</v>
      </c>
      <c r="AF935" s="97" t="str">
        <f>IFERROR(__xludf.DUMMYFUNCTION("""COMPUTED_VALUE"""),"N/A")</f>
        <v>N/A</v>
      </c>
      <c r="AG935" s="97" t="str">
        <f>IFERROR(__xludf.DUMMYFUNCTION("""COMPUTED_VALUE"""),"Cable y Tensor 1,5mts
Florón: Ø120 x 25")</f>
        <v>Cable y Tensor 1,5mts
Florón: Ø120 x 25</v>
      </c>
      <c r="AH935" s="97" t="str">
        <f>IFERROR(__xludf.DUMMYFUNCTION("""COMPUTED_VALUE"""),"N/A")</f>
        <v>N/A</v>
      </c>
      <c r="AI935" s="97" t="str">
        <f>IFERROR(__xludf.DUMMYFUNCTION("""COMPUTED_VALUE"""),"N/A")</f>
        <v>N/A</v>
      </c>
      <c r="AJ935" s="97" t="str">
        <f>IFERROR(__xludf.DUMMYFUNCTION("""COMPUTED_VALUE"""),"N/A")</f>
        <v>N/A</v>
      </c>
      <c r="AK935" s="97" t="str">
        <f>IFERROR(__xludf.DUMMYFUNCTION("""COMPUTED_VALUE"""),"Acero")</f>
        <v>Acero</v>
      </c>
      <c r="AL935" s="97" t="str">
        <f>IFERROR(__xludf.DUMMYFUNCTION("""COMPUTED_VALUE"""),"Blanco Brillante")</f>
        <v>Blanco Brillante</v>
      </c>
      <c r="AM935" s="97" t="str">
        <f>IFERROR(__xludf.DUMMYFUNCTION("""COMPUTED_VALUE"""),"-")</f>
        <v>-</v>
      </c>
      <c r="AN935" s="97" t="str">
        <f>IFERROR(__xludf.DUMMYFUNCTION("""COMPUTED_VALUE"""),"N/A")</f>
        <v>N/A</v>
      </c>
      <c r="AO935" s="97" t="str">
        <f>IFERROR(__xludf.DUMMYFUNCTION("""COMPUTED_VALUE"""),"2 Años")</f>
        <v>2 Años</v>
      </c>
      <c r="AP935" s="97" t="str">
        <f>IFERROR(__xludf.DUMMYFUNCTION("""COMPUTED_VALUE"""),"No Aplica")</f>
        <v>No Aplica</v>
      </c>
      <c r="AQ935" s="97" t="str">
        <f>IFERROR(__xludf.DUMMYFUNCTION("""COMPUTED_VALUE"""),"No Aplica")</f>
        <v>No Aplica</v>
      </c>
      <c r="AR935" s="97" t="str">
        <f>IFERROR(__xludf.DUMMYFUNCTION("""COMPUTED_VALUE"""),"No Aplica")</f>
        <v>No Aplica</v>
      </c>
      <c r="AS935" s="97"/>
      <c r="AT935" s="97"/>
      <c r="AU935" s="97" t="str">
        <f>IFERROR(__xludf.DUMMYFUNCTION("""COMPUTED_VALUE"""),"Falta")</f>
        <v>Falta</v>
      </c>
      <c r="AV935" s="97" t="str">
        <f>IFERROR(__xludf.DUMMYFUNCTION("""COMPUTED_VALUE"""),"Accesorio")</f>
        <v>Accesorio</v>
      </c>
      <c r="AW935" s="97" t="str">
        <f>IFERROR(__xludf.DUMMYFUNCTION("""COMPUTED_VALUE"""),"De Techo")</f>
        <v>De Techo</v>
      </c>
      <c r="AX935" s="97" t="str">
        <f>IFERROR(__xludf.DUMMYFUNCTION("""COMPUTED_VALUE"""),"Interior")</f>
        <v>Interior</v>
      </c>
      <c r="AY935" s="97"/>
      <c r="AZ935" s="97" t="str">
        <f>IFERROR(__xludf.DUMMYFUNCTION("""COMPUTED_VALUE"""),"tmb va en FichaTec SINTRA / SINTRA 2700 / YORK / YORK 2700")</f>
        <v>tmb va en FichaTec SINTRA / SINTRA 2700 / YORK / YORK 2700</v>
      </c>
      <c r="BA935" s="97">
        <f>IFERROR(__xludf.DUMMYFUNCTION("""COMPUTED_VALUE"""),100.0)</f>
        <v>100</v>
      </c>
      <c r="BB935" s="97"/>
      <c r="BC935" s="97"/>
      <c r="BD935" s="97" t="str">
        <f>IFERROR(__xludf.DUMMYFUNCTION("""COMPUTED_VALUE"""),"YORK")</f>
        <v>YORK</v>
      </c>
      <c r="BE935" s="97" t="str">
        <f>IFERROR(__xludf.DUMMYFUNCTION("""COMPUTED_VALUE"""),"Finalizada")</f>
        <v>Finalizada</v>
      </c>
      <c r="BF935" s="97">
        <f>IFERROR(__xludf.DUMMYFUNCTION("""COMPUTED_VALUE"""),6829.0)</f>
        <v>6829</v>
      </c>
      <c r="BG935" s="97" t="str">
        <f>IFERROR(__xludf.DUMMYFUNCTION("""COMPUTED_VALUE"""),"Discontinuo")</f>
        <v>Discontinuo</v>
      </c>
    </row>
    <row r="936">
      <c r="A936" s="97">
        <f>IFERROR(__xludf.DUMMYFUNCTION("""COMPUTED_VALUE"""),6717.0)</f>
        <v>6717</v>
      </c>
      <c r="B936" s="97" t="str">
        <f>IFERROR(__xludf.DUMMYFUNCTION("""COMPUTED_VALUE"""),"KIT SUSPENSIÓN SINTRA/YORK NG")</f>
        <v>KIT SUSPENSIÓN SINTRA/YORK NG</v>
      </c>
      <c r="C936" s="97" t="str">
        <f>IFERROR(__xludf.DUMMYFUNCTION("""COMPUTED_VALUE"""),"KIT SUSPENSION SINTRA/YORK 45W R NEGRO LEUK")</f>
        <v>KIT SUSPENSION SINTRA/YORK 45W R NEGRO LEUK</v>
      </c>
      <c r="D936" s="97">
        <f>IFERROR(__xludf.DUMMYFUNCTION("""COMPUTED_VALUE"""),7.798413222074E12)</f>
        <v>7798413222074</v>
      </c>
      <c r="E936" s="97" t="str">
        <f>IFERROR(__xludf.DUMMYFUNCTION("""COMPUTED_VALUE"""),"KN1")</f>
        <v>KN1</v>
      </c>
      <c r="F936" s="97" t="str">
        <f>IFERROR(__xludf.DUMMYFUNCTION("""COMPUTED_VALUE"""),"N/A")</f>
        <v>N/A</v>
      </c>
      <c r="G936" s="97" t="str">
        <f>IFERROR(__xludf.DUMMYFUNCTION("""COMPUTED_VALUE"""),"N/A")</f>
        <v>N/A</v>
      </c>
      <c r="H936" s="97" t="str">
        <f>IFERROR(__xludf.DUMMYFUNCTION("""COMPUTED_VALUE"""),"N/A")</f>
        <v>N/A</v>
      </c>
      <c r="I936" s="97" t="str">
        <f>IFERROR(__xludf.DUMMYFUNCTION("""COMPUTED_VALUE"""),"N/A")</f>
        <v>N/A</v>
      </c>
      <c r="J936" s="97"/>
      <c r="K936" s="97" t="str">
        <f>IFERROR(__xludf.DUMMYFUNCTION("""COMPUTED_VALUE"""),"N/A")</f>
        <v>N/A</v>
      </c>
      <c r="L936" s="97" t="str">
        <f>IFERROR(__xludf.DUMMYFUNCTION("""COMPUTED_VALUE"""),"200-240")</f>
        <v>200-240</v>
      </c>
      <c r="M936" s="97" t="str">
        <f>IFERROR(__xludf.DUMMYFUNCTION("""COMPUTED_VALUE"""),"50/60")</f>
        <v>50/60</v>
      </c>
      <c r="N936" s="97"/>
      <c r="O936" s="97" t="str">
        <f>IFERROR(__xludf.DUMMYFUNCTION("""COMPUTED_VALUE"""),"-")</f>
        <v>-</v>
      </c>
      <c r="P936" s="97"/>
      <c r="Q936" s="97" t="str">
        <f>IFERROR(__xludf.DUMMYFUNCTION("""COMPUTED_VALUE"""),"-")</f>
        <v>-</v>
      </c>
      <c r="R936" s="97" t="str">
        <f>IFERROR(__xludf.DUMMYFUNCTION("""COMPUTED_VALUE"""),"-")</f>
        <v>-</v>
      </c>
      <c r="S936" s="97" t="str">
        <f>IFERROR(__xludf.DUMMYFUNCTION("""COMPUTED_VALUE"""),"-")</f>
        <v>-</v>
      </c>
      <c r="T936" s="97" t="str">
        <f>IFERROR(__xludf.DUMMYFUNCTION("""COMPUTED_VALUE"""),"-")</f>
        <v>-</v>
      </c>
      <c r="U936" s="97" t="str">
        <f>IFERROR(__xludf.DUMMYFUNCTION("""COMPUTED_VALUE"""),"-")</f>
        <v>-</v>
      </c>
      <c r="V936" s="97" t="str">
        <f>IFERROR(__xludf.DUMMYFUNCTION("""COMPUTED_VALUE"""),"N/A")</f>
        <v>N/A</v>
      </c>
      <c r="W936" s="97" t="str">
        <f>IFERROR(__xludf.DUMMYFUNCTION("""COMPUTED_VALUE"""),"N/A")</f>
        <v>N/A</v>
      </c>
      <c r="X936" s="97" t="str">
        <f>IFERROR(__xludf.DUMMYFUNCTION("""COMPUTED_VALUE"""),"-")</f>
        <v>-</v>
      </c>
      <c r="Y936" s="97" t="str">
        <f>IFERROR(__xludf.DUMMYFUNCTION("""COMPUTED_VALUE"""),"N/A")</f>
        <v>N/A</v>
      </c>
      <c r="Z936" s="97" t="str">
        <f>IFERROR(__xludf.DUMMYFUNCTION("""COMPUTED_VALUE"""),"N/A")</f>
        <v>N/A</v>
      </c>
      <c r="AA936" s="97" t="str">
        <f>IFERROR(__xludf.DUMMYFUNCTION("""COMPUTED_VALUE"""),"N/A")</f>
        <v>N/A</v>
      </c>
      <c r="AB936" s="97" t="str">
        <f>IFERROR(__xludf.DUMMYFUNCTION("""COMPUTED_VALUE"""),"N/A")</f>
        <v>N/A</v>
      </c>
      <c r="AC936" s="97" t="str">
        <f>IFERROR(__xludf.DUMMYFUNCTION("""COMPUTED_VALUE"""),"N/A")</f>
        <v>N/A</v>
      </c>
      <c r="AD936" s="97" t="str">
        <f>IFERROR(__xludf.DUMMYFUNCTION("""COMPUTED_VALUE"""),"IP20")</f>
        <v>IP20</v>
      </c>
      <c r="AE936" s="97" t="str">
        <f>IFERROR(__xludf.DUMMYFUNCTION("""COMPUTED_VALUE"""),"Clase l")</f>
        <v>Clase l</v>
      </c>
      <c r="AF936" s="97" t="str">
        <f>IFERROR(__xludf.DUMMYFUNCTION("""COMPUTED_VALUE"""),"N/A")</f>
        <v>N/A</v>
      </c>
      <c r="AG936" s="97" t="str">
        <f>IFERROR(__xludf.DUMMYFUNCTION("""COMPUTED_VALUE"""),"Cable y Tensor 1,5mts
Florón: Ø120 x 25")</f>
        <v>Cable y Tensor 1,5mts
Florón: Ø120 x 25</v>
      </c>
      <c r="AH936" s="97" t="str">
        <f>IFERROR(__xludf.DUMMYFUNCTION("""COMPUTED_VALUE"""),"N/A")</f>
        <v>N/A</v>
      </c>
      <c r="AI936" s="97" t="str">
        <f>IFERROR(__xludf.DUMMYFUNCTION("""COMPUTED_VALUE"""),"N/A")</f>
        <v>N/A</v>
      </c>
      <c r="AJ936" s="97" t="str">
        <f>IFERROR(__xludf.DUMMYFUNCTION("""COMPUTED_VALUE"""),"N/A")</f>
        <v>N/A</v>
      </c>
      <c r="AK936" s="97" t="str">
        <f>IFERROR(__xludf.DUMMYFUNCTION("""COMPUTED_VALUE"""),"Acero")</f>
        <v>Acero</v>
      </c>
      <c r="AL936" s="97" t="str">
        <f>IFERROR(__xludf.DUMMYFUNCTION("""COMPUTED_VALUE"""),"Negro Brillante")</f>
        <v>Negro Brillante</v>
      </c>
      <c r="AM936" s="97" t="str">
        <f>IFERROR(__xludf.DUMMYFUNCTION("""COMPUTED_VALUE"""),"-")</f>
        <v>-</v>
      </c>
      <c r="AN936" s="97" t="str">
        <f>IFERROR(__xludf.DUMMYFUNCTION("""COMPUTED_VALUE"""),"N/A")</f>
        <v>N/A</v>
      </c>
      <c r="AO936" s="97" t="str">
        <f>IFERROR(__xludf.DUMMYFUNCTION("""COMPUTED_VALUE"""),"2 Años")</f>
        <v>2 Años</v>
      </c>
      <c r="AP936" s="97" t="str">
        <f>IFERROR(__xludf.DUMMYFUNCTION("""COMPUTED_VALUE"""),"No Aplica")</f>
        <v>No Aplica</v>
      </c>
      <c r="AQ936" s="97" t="str">
        <f>IFERROR(__xludf.DUMMYFUNCTION("""COMPUTED_VALUE"""),"No Aplica")</f>
        <v>No Aplica</v>
      </c>
      <c r="AR936" s="97" t="str">
        <f>IFERROR(__xludf.DUMMYFUNCTION("""COMPUTED_VALUE"""),"No Aplica")</f>
        <v>No Aplica</v>
      </c>
      <c r="AS936" s="97"/>
      <c r="AT936" s="97"/>
      <c r="AU936" s="97" t="str">
        <f>IFERROR(__xludf.DUMMYFUNCTION("""COMPUTED_VALUE"""),"Falta")</f>
        <v>Falta</v>
      </c>
      <c r="AV936" s="97" t="str">
        <f>IFERROR(__xludf.DUMMYFUNCTION("""COMPUTED_VALUE"""),"Accesorio")</f>
        <v>Accesorio</v>
      </c>
      <c r="AW936" s="97" t="str">
        <f>IFERROR(__xludf.DUMMYFUNCTION("""COMPUTED_VALUE"""),"De Techo")</f>
        <v>De Techo</v>
      </c>
      <c r="AX936" s="97" t="str">
        <f>IFERROR(__xludf.DUMMYFUNCTION("""COMPUTED_VALUE"""),"Interior")</f>
        <v>Interior</v>
      </c>
      <c r="AY936" s="97"/>
      <c r="AZ936" s="97" t="str">
        <f>IFERROR(__xludf.DUMMYFUNCTION("""COMPUTED_VALUE"""),"tmb va en FichaTec SINTRA / SINTRA 2700 / YORK / YORK 2700")</f>
        <v>tmb va en FichaTec SINTRA / SINTRA 2700 / YORK / YORK 2700</v>
      </c>
      <c r="BA936" s="97">
        <f>IFERROR(__xludf.DUMMYFUNCTION("""COMPUTED_VALUE"""),100.0)</f>
        <v>100</v>
      </c>
      <c r="BB936" s="97"/>
      <c r="BC936" s="97"/>
      <c r="BD936" s="97" t="str">
        <f>IFERROR(__xludf.DUMMYFUNCTION("""COMPUTED_VALUE"""),"YORK")</f>
        <v>YORK</v>
      </c>
      <c r="BE936" s="97" t="str">
        <f>IFERROR(__xludf.DUMMYFUNCTION("""COMPUTED_VALUE"""),"Finalizada")</f>
        <v>Finalizada</v>
      </c>
      <c r="BF936" s="97">
        <f>IFERROR(__xludf.DUMMYFUNCTION("""COMPUTED_VALUE"""),6830.0)</f>
        <v>6830</v>
      </c>
      <c r="BG936" s="97" t="str">
        <f>IFERROR(__xludf.DUMMYFUNCTION("""COMPUTED_VALUE"""),"Discontinuo")</f>
        <v>Discontinuo</v>
      </c>
    </row>
    <row r="937">
      <c r="A937" s="97">
        <f>IFERROR(__xludf.DUMMYFUNCTION("""COMPUTED_VALUE"""),6718.0)</f>
        <v>6718</v>
      </c>
      <c r="B937" s="97" t="str">
        <f>IFERROR(__xludf.DUMMYFUNCTION("""COMPUTED_VALUE"""),"MOMO III BL")</f>
        <v>MOMO III BL</v>
      </c>
      <c r="C937" s="97" t="str">
        <f>IFERROR(__xludf.DUMMYFUNCTION("""COMPUTED_VALUE"""),"APLIQUE MOMO III BL 49W 2700K 1185LM CRI&gt;85 IP65 LEUK")</f>
        <v>APLIQUE MOMO III BL 49W 2700K 1185LM CRI&gt;85 IP65 LEUK</v>
      </c>
      <c r="D937" s="97">
        <f>IFERROR(__xludf.DUMMYFUNCTION("""COMPUTED_VALUE"""),7.798413222067E12)</f>
        <v>7798413222067</v>
      </c>
      <c r="E937" s="97" t="str">
        <f>IFERROR(__xludf.DUMMYFUNCTION("""COMPUTED_VALUE"""),"C169")</f>
        <v>C169</v>
      </c>
      <c r="F937" s="97" t="str">
        <f>IFERROR(__xludf.DUMMYFUNCTION("""COMPUTED_VALUE"""),"LED integrado")</f>
        <v>LED integrado</v>
      </c>
      <c r="G937" s="97" t="str">
        <f>IFERROR(__xludf.DUMMYFUNCTION("""COMPUTED_VALUE"""),"-")</f>
        <v>-</v>
      </c>
      <c r="H937" s="97" t="str">
        <f>IFERROR(__xludf.DUMMYFUNCTION("""COMPUTED_VALUE"""),"-")</f>
        <v>-</v>
      </c>
      <c r="I937" s="97"/>
      <c r="J937" s="97" t="str">
        <f>IFERROR(__xludf.DUMMYFUNCTION("""COMPUTED_VALUE"""),"Modelo: GF-12V-48W
In: 85-265Vac 0.5A 50/60Hz
Out: 12Vdc 4A (1A @ 50°C) Pf: 0.6
Max Ta/Tc: -40–50°C / 75°C IP65")</f>
        <v>Modelo: GF-12V-48W
In: 85-265Vac 0.5A 50/60Hz
Out: 12Vdc 4A (1A @ 50°C) Pf: 0.6
Max Ta/Tc: -40–50°C / 75°C IP65</v>
      </c>
      <c r="K937" s="97" t="str">
        <f>IFERROR(__xludf.DUMMYFUNCTION("""COMPUTED_VALUE"""),"ON/OFF")</f>
        <v>ON/OFF</v>
      </c>
      <c r="L937" s="97" t="str">
        <f>IFERROR(__xludf.DUMMYFUNCTION("""COMPUTED_VALUE"""),"220-240")</f>
        <v>220-240</v>
      </c>
      <c r="M937" s="97" t="str">
        <f>IFERROR(__xludf.DUMMYFUNCTION("""COMPUTED_VALUE"""),"50/60")</f>
        <v>50/60</v>
      </c>
      <c r="N937" s="97"/>
      <c r="O937" s="97">
        <f>IFERROR(__xludf.DUMMYFUNCTION("""COMPUTED_VALUE"""),49.0)</f>
        <v>49</v>
      </c>
      <c r="P937" s="97"/>
      <c r="Q937" s="97">
        <f>IFERROR(__xludf.DUMMYFUNCTION("""COMPUTED_VALUE"""),0.6)</f>
        <v>0.6</v>
      </c>
      <c r="R937" s="97" t="str">
        <f>IFERROR(__xludf.DUMMYFUNCTION("""COMPUTED_VALUE"""),"-")</f>
        <v>-</v>
      </c>
      <c r="S937" s="97" t="str">
        <f>IFERROR(__xludf.DUMMYFUNCTION("""COMPUTED_VALUE"""),"-")</f>
        <v>-</v>
      </c>
      <c r="T937" s="97">
        <f>IFERROR(__xludf.DUMMYFUNCTION("""COMPUTED_VALUE"""),1185.0)</f>
        <v>1185</v>
      </c>
      <c r="U937" s="99">
        <f>IFERROR(__xludf.DUMMYFUNCTION("""COMPUTED_VALUE"""),24.183673469387756)</f>
        <v>24.18367347</v>
      </c>
      <c r="V937" s="97">
        <f>IFERROR(__xludf.DUMMYFUNCTION("""COMPUTED_VALUE"""),360.0)</f>
        <v>360</v>
      </c>
      <c r="W937" s="97" t="str">
        <f>IFERROR(__xludf.DUMMYFUNCTION("""COMPUTED_VALUE"""),"&lt; 20")</f>
        <v>&lt; 20</v>
      </c>
      <c r="X937" s="97">
        <f>IFERROR(__xludf.DUMMYFUNCTION("""COMPUTED_VALUE"""),2700.0)</f>
        <v>2700</v>
      </c>
      <c r="Y937" s="97" t="str">
        <f>IFERROR(__xludf.DUMMYFUNCTION("""COMPUTED_VALUE"""),"&gt;85")</f>
        <v>&gt;85</v>
      </c>
      <c r="Z937" s="97"/>
      <c r="AA937" s="97"/>
      <c r="AB937" s="97"/>
      <c r="AC937" s="97"/>
      <c r="AD937" s="97" t="str">
        <f>IFERROR(__xludf.DUMMYFUNCTION("""COMPUTED_VALUE"""),"IP65")</f>
        <v>IP65</v>
      </c>
      <c r="AE937" s="97" t="str">
        <f>IFERROR(__xludf.DUMMYFUNCTION("""COMPUTED_VALUE"""),"Clase l")</f>
        <v>Clase l</v>
      </c>
      <c r="AF937" s="97" t="str">
        <f>IFERROR(__xludf.DUMMYFUNCTION("""COMPUTED_VALUE"""),"Aplicar")</f>
        <v>Aplicar</v>
      </c>
      <c r="AG937" s="97" t="str">
        <f>IFERROR(__xludf.DUMMYFUNCTION("""COMPUTED_VALUE"""),"910 x 35 x 90")</f>
        <v>910 x 35 x 90</v>
      </c>
      <c r="AH937" s="97" t="str">
        <f>IFERROR(__xludf.DUMMYFUNCTION("""COMPUTED_VALUE"""),"N/A")</f>
        <v>N/A</v>
      </c>
      <c r="AI937" s="97" t="str">
        <f>IFERROR(__xludf.DUMMYFUNCTION("""COMPUTED_VALUE"""),"N/A")</f>
        <v>N/A</v>
      </c>
      <c r="AJ937" s="97" t="str">
        <f>IFERROR(__xludf.DUMMYFUNCTION("""COMPUTED_VALUE"""),"Policarbonato (PC)")</f>
        <v>Policarbonato (PC)</v>
      </c>
      <c r="AK937" s="97" t="str">
        <f>IFERROR(__xludf.DUMMYFUNCTION("""COMPUTED_VALUE"""),"Aluminio")</f>
        <v>Aluminio</v>
      </c>
      <c r="AL937" s="97" t="str">
        <f>IFERROR(__xludf.DUMMYFUNCTION("""COMPUTED_VALUE"""),"Blanco Satinado")</f>
        <v>Blanco Satinado</v>
      </c>
      <c r="AM937" s="97" t="str">
        <f>IFERROR(__xludf.DUMMYFUNCTION("""COMPUTED_VALUE"""),"-")</f>
        <v>-</v>
      </c>
      <c r="AN937" s="97" t="str">
        <f>IFERROR(__xludf.DUMMYFUNCTION("""COMPUTED_VALUE"""),"25.000hs (L70)")</f>
        <v>25.000hs (L70)</v>
      </c>
      <c r="AO937" s="97" t="str">
        <f>IFERROR(__xludf.DUMMYFUNCTION("""COMPUTED_VALUE"""),"2 Años")</f>
        <v>2 Años</v>
      </c>
      <c r="AP937" s="97" t="str">
        <f>IFERROR(__xludf.DUMMYFUNCTION("""COMPUTED_VALUE"""),"Disponible")</f>
        <v>Disponible</v>
      </c>
      <c r="AQ937" s="97" t="str">
        <f>IFERROR(__xludf.DUMMYFUNCTION("""COMPUTED_VALUE"""),"Disponible")</f>
        <v>Disponible</v>
      </c>
      <c r="AR937" s="97" t="str">
        <f>IFERROR(__xludf.DUMMYFUNCTION("""COMPUTED_VALUE"""),"Disponible")</f>
        <v>Disponible</v>
      </c>
      <c r="AS937" s="97"/>
      <c r="AT937" s="97"/>
      <c r="AU937" s="97" t="str">
        <f>IFERROR(__xludf.DUMMYFUNCTION("""COMPUTED_VALUE"""),"Falta")</f>
        <v>Falta</v>
      </c>
      <c r="AV937" s="97" t="str">
        <f>IFERROR(__xludf.DUMMYFUNCTION("""COMPUTED_VALUE"""),"Aplique")</f>
        <v>Aplique</v>
      </c>
      <c r="AW937" s="97" t="str">
        <f>IFERROR(__xludf.DUMMYFUNCTION("""COMPUTED_VALUE"""),"De Pared")</f>
        <v>De Pared</v>
      </c>
      <c r="AX937" s="97" t="str">
        <f>IFERROR(__xludf.DUMMYFUNCTION("""COMPUTED_VALUE"""),"Exterior")</f>
        <v>Exterior</v>
      </c>
      <c r="AY937" s="97" t="str">
        <f>IFERROR(__xludf.DUMMYFUNCTION("""COMPUTED_VALUE"""),"-")</f>
        <v>-</v>
      </c>
      <c r="AZ937" s="97"/>
      <c r="BA937" s="97">
        <f>IFERROR(__xludf.DUMMYFUNCTION("""COMPUTED_VALUE"""),10.0)</f>
        <v>10</v>
      </c>
      <c r="BB937" s="97">
        <f>IFERROR(__xludf.DUMMYFUNCTION("""COMPUTED_VALUE"""),10.0)</f>
        <v>10</v>
      </c>
      <c r="BC937" s="97" t="str">
        <f>IFERROR(__xludf.DUMMYFUNCTION("""COMPUTED_VALUE"""),"-")</f>
        <v>-</v>
      </c>
      <c r="BD937" s="97" t="str">
        <f>IFERROR(__xludf.DUMMYFUNCTION("""COMPUTED_VALUE"""),"MOMO EXT")</f>
        <v>MOMO EXT</v>
      </c>
      <c r="BE937" s="97" t="str">
        <f>IFERROR(__xludf.DUMMYFUNCTION("""COMPUTED_VALUE"""),"Finalizada")</f>
        <v>Finalizada</v>
      </c>
      <c r="BF937" s="97"/>
      <c r="BG937" s="97" t="str">
        <f>IFERROR(__xludf.DUMMYFUNCTION("""COMPUTED_VALUE"""),"Activo")</f>
        <v>Activo</v>
      </c>
    </row>
    <row r="938">
      <c r="A938" s="97">
        <f>IFERROR(__xludf.DUMMYFUNCTION("""COMPUTED_VALUE"""),6719.0)</f>
        <v>6719</v>
      </c>
      <c r="B938" s="97" t="str">
        <f>IFERROR(__xludf.DUMMYFUNCTION("""COMPUTED_VALUE"""),"MOMO III NG")</f>
        <v>MOMO III NG</v>
      </c>
      <c r="C938" s="97" t="str">
        <f>IFERROR(__xludf.DUMMYFUNCTION("""COMPUTED_VALUE"""),"APLIQUE MOMO III NG 49W 2700K 1185LM CRI&gt;85 IP65 LEUK")</f>
        <v>APLIQUE MOMO III NG 49W 2700K 1185LM CRI&gt;85 IP65 LEUK</v>
      </c>
      <c r="D938" s="97">
        <f>IFERROR(__xludf.DUMMYFUNCTION("""COMPUTED_VALUE"""),7.79841322205E12)</f>
        <v>7798413222050</v>
      </c>
      <c r="E938" s="97" t="str">
        <f>IFERROR(__xludf.DUMMYFUNCTION("""COMPUTED_VALUE"""),"C168")</f>
        <v>C168</v>
      </c>
      <c r="F938" s="97" t="str">
        <f>IFERROR(__xludf.DUMMYFUNCTION("""COMPUTED_VALUE"""),"LED integrado")</f>
        <v>LED integrado</v>
      </c>
      <c r="G938" s="97" t="str">
        <f>IFERROR(__xludf.DUMMYFUNCTION("""COMPUTED_VALUE"""),"-")</f>
        <v>-</v>
      </c>
      <c r="H938" s="97" t="str">
        <f>IFERROR(__xludf.DUMMYFUNCTION("""COMPUTED_VALUE"""),"-")</f>
        <v>-</v>
      </c>
      <c r="I938" s="97"/>
      <c r="J938" s="97" t="str">
        <f>IFERROR(__xludf.DUMMYFUNCTION("""COMPUTED_VALUE"""),"Modelo: GF-12V-48W
In: 85-265Vac 0.5A 50/60Hz
Out: 12Vdc 4A (1A @ 50°C) Pf: 0.6
Max Ta/Tc: -40–50°C / 75°C IP65")</f>
        <v>Modelo: GF-12V-48W
In: 85-265Vac 0.5A 50/60Hz
Out: 12Vdc 4A (1A @ 50°C) Pf: 0.6
Max Ta/Tc: -40–50°C / 75°C IP65</v>
      </c>
      <c r="K938" s="97" t="str">
        <f>IFERROR(__xludf.DUMMYFUNCTION("""COMPUTED_VALUE"""),"ON/OFF")</f>
        <v>ON/OFF</v>
      </c>
      <c r="L938" s="97" t="str">
        <f>IFERROR(__xludf.DUMMYFUNCTION("""COMPUTED_VALUE"""),"220-240")</f>
        <v>220-240</v>
      </c>
      <c r="M938" s="97" t="str">
        <f>IFERROR(__xludf.DUMMYFUNCTION("""COMPUTED_VALUE"""),"50/60")</f>
        <v>50/60</v>
      </c>
      <c r="N938" s="97"/>
      <c r="O938" s="97">
        <f>IFERROR(__xludf.DUMMYFUNCTION("""COMPUTED_VALUE"""),49.0)</f>
        <v>49</v>
      </c>
      <c r="P938" s="97"/>
      <c r="Q938" s="97">
        <f>IFERROR(__xludf.DUMMYFUNCTION("""COMPUTED_VALUE"""),0.6)</f>
        <v>0.6</v>
      </c>
      <c r="R938" s="97" t="str">
        <f>IFERROR(__xludf.DUMMYFUNCTION("""COMPUTED_VALUE"""),"-")</f>
        <v>-</v>
      </c>
      <c r="S938" s="97" t="str">
        <f>IFERROR(__xludf.DUMMYFUNCTION("""COMPUTED_VALUE"""),"-")</f>
        <v>-</v>
      </c>
      <c r="T938" s="97">
        <f>IFERROR(__xludf.DUMMYFUNCTION("""COMPUTED_VALUE"""),1185.0)</f>
        <v>1185</v>
      </c>
      <c r="U938" s="99">
        <f>IFERROR(__xludf.DUMMYFUNCTION("""COMPUTED_VALUE"""),24.183673469387756)</f>
        <v>24.18367347</v>
      </c>
      <c r="V938" s="97">
        <f>IFERROR(__xludf.DUMMYFUNCTION("""COMPUTED_VALUE"""),360.0)</f>
        <v>360</v>
      </c>
      <c r="W938" s="97" t="str">
        <f>IFERROR(__xludf.DUMMYFUNCTION("""COMPUTED_VALUE"""),"&lt; 20")</f>
        <v>&lt; 20</v>
      </c>
      <c r="X938" s="97">
        <f>IFERROR(__xludf.DUMMYFUNCTION("""COMPUTED_VALUE"""),2700.0)</f>
        <v>2700</v>
      </c>
      <c r="Y938" s="97" t="str">
        <f>IFERROR(__xludf.DUMMYFUNCTION("""COMPUTED_VALUE"""),"&gt;85")</f>
        <v>&gt;85</v>
      </c>
      <c r="Z938" s="97"/>
      <c r="AA938" s="97"/>
      <c r="AB938" s="97"/>
      <c r="AC938" s="97"/>
      <c r="AD938" s="97" t="str">
        <f>IFERROR(__xludf.DUMMYFUNCTION("""COMPUTED_VALUE"""),"IP65")</f>
        <v>IP65</v>
      </c>
      <c r="AE938" s="97" t="str">
        <f>IFERROR(__xludf.DUMMYFUNCTION("""COMPUTED_VALUE"""),"Clase l")</f>
        <v>Clase l</v>
      </c>
      <c r="AF938" s="97" t="str">
        <f>IFERROR(__xludf.DUMMYFUNCTION("""COMPUTED_VALUE"""),"Aplicar")</f>
        <v>Aplicar</v>
      </c>
      <c r="AG938" s="97" t="str">
        <f>IFERROR(__xludf.DUMMYFUNCTION("""COMPUTED_VALUE"""),"910 x 35 x 90")</f>
        <v>910 x 35 x 90</v>
      </c>
      <c r="AH938" s="97" t="str">
        <f>IFERROR(__xludf.DUMMYFUNCTION("""COMPUTED_VALUE"""),"N/A")</f>
        <v>N/A</v>
      </c>
      <c r="AI938" s="97" t="str">
        <f>IFERROR(__xludf.DUMMYFUNCTION("""COMPUTED_VALUE"""),"N/A")</f>
        <v>N/A</v>
      </c>
      <c r="AJ938" s="97" t="str">
        <f>IFERROR(__xludf.DUMMYFUNCTION("""COMPUTED_VALUE"""),"Policarbonato (PC)")</f>
        <v>Policarbonato (PC)</v>
      </c>
      <c r="AK938" s="97" t="str">
        <f>IFERROR(__xludf.DUMMYFUNCTION("""COMPUTED_VALUE"""),"Aluminio")</f>
        <v>Aluminio</v>
      </c>
      <c r="AL938" s="97" t="str">
        <f>IFERROR(__xludf.DUMMYFUNCTION("""COMPUTED_VALUE"""),"Negro Satinado")</f>
        <v>Negro Satinado</v>
      </c>
      <c r="AM938" s="97" t="str">
        <f>IFERROR(__xludf.DUMMYFUNCTION("""COMPUTED_VALUE"""),"-")</f>
        <v>-</v>
      </c>
      <c r="AN938" s="97" t="str">
        <f>IFERROR(__xludf.DUMMYFUNCTION("""COMPUTED_VALUE"""),"25.000hs (L70)")</f>
        <v>25.000hs (L70)</v>
      </c>
      <c r="AO938" s="97" t="str">
        <f>IFERROR(__xludf.DUMMYFUNCTION("""COMPUTED_VALUE"""),"2 Años")</f>
        <v>2 Años</v>
      </c>
      <c r="AP938" s="97" t="str">
        <f>IFERROR(__xludf.DUMMYFUNCTION("""COMPUTED_VALUE"""),"Disponible")</f>
        <v>Disponible</v>
      </c>
      <c r="AQ938" s="97" t="str">
        <f>IFERROR(__xludf.DUMMYFUNCTION("""COMPUTED_VALUE"""),"Disponible")</f>
        <v>Disponible</v>
      </c>
      <c r="AR938" s="97" t="str">
        <f>IFERROR(__xludf.DUMMYFUNCTION("""COMPUTED_VALUE"""),"Disponible")</f>
        <v>Disponible</v>
      </c>
      <c r="AS938" s="97"/>
      <c r="AT938" s="97"/>
      <c r="AU938" s="97" t="str">
        <f>IFERROR(__xludf.DUMMYFUNCTION("""COMPUTED_VALUE"""),"Falta")</f>
        <v>Falta</v>
      </c>
      <c r="AV938" s="97" t="str">
        <f>IFERROR(__xludf.DUMMYFUNCTION("""COMPUTED_VALUE"""),"Aplique")</f>
        <v>Aplique</v>
      </c>
      <c r="AW938" s="97" t="str">
        <f>IFERROR(__xludf.DUMMYFUNCTION("""COMPUTED_VALUE"""),"De Pared")</f>
        <v>De Pared</v>
      </c>
      <c r="AX938" s="97" t="str">
        <f>IFERROR(__xludf.DUMMYFUNCTION("""COMPUTED_VALUE"""),"Exterior")</f>
        <v>Exterior</v>
      </c>
      <c r="AY938" s="97" t="str">
        <f>IFERROR(__xludf.DUMMYFUNCTION("""COMPUTED_VALUE"""),"-")</f>
        <v>-</v>
      </c>
      <c r="AZ938" s="97"/>
      <c r="BA938" s="97">
        <f>IFERROR(__xludf.DUMMYFUNCTION("""COMPUTED_VALUE"""),10.0)</f>
        <v>10</v>
      </c>
      <c r="BB938" s="97">
        <f>IFERROR(__xludf.DUMMYFUNCTION("""COMPUTED_VALUE"""),10.0)</f>
        <v>10</v>
      </c>
      <c r="BC938" s="97" t="str">
        <f>IFERROR(__xludf.DUMMYFUNCTION("""COMPUTED_VALUE"""),"-")</f>
        <v>-</v>
      </c>
      <c r="BD938" s="97" t="str">
        <f>IFERROR(__xludf.DUMMYFUNCTION("""COMPUTED_VALUE"""),"MOMO EXT")</f>
        <v>MOMO EXT</v>
      </c>
      <c r="BE938" s="97" t="str">
        <f>IFERROR(__xludf.DUMMYFUNCTION("""COMPUTED_VALUE"""),"Finalizada")</f>
        <v>Finalizada</v>
      </c>
      <c r="BF938" s="97"/>
      <c r="BG938" s="97" t="str">
        <f>IFERROR(__xludf.DUMMYFUNCTION("""COMPUTED_VALUE"""),"Activo")</f>
        <v>Activo</v>
      </c>
    </row>
    <row r="939">
      <c r="A939" s="97">
        <f>IFERROR(__xludf.DUMMYFUNCTION("""COMPUTED_VALUE"""),6720.0)</f>
        <v>6720</v>
      </c>
      <c r="B939" s="97" t="str">
        <f>IFERROR(__xludf.DUMMYFUNCTION("""COMPUTED_VALUE"""),"MOMO II BL")</f>
        <v>MOMO II BL</v>
      </c>
      <c r="C939" s="97" t="str">
        <f>IFERROR(__xludf.DUMMYFUNCTION("""COMPUTED_VALUE"""),"APLIQUE MOMO II BL 36W 2700K 1100LM CRI&gt;85 IP65 LEUK")</f>
        <v>APLIQUE MOMO II BL 36W 2700K 1100LM CRI&gt;85 IP65 LEUK</v>
      </c>
      <c r="D939" s="97">
        <f>IFERROR(__xludf.DUMMYFUNCTION("""COMPUTED_VALUE"""),7.798413222043E12)</f>
        <v>7798413222043</v>
      </c>
      <c r="E939" s="97" t="str">
        <f>IFERROR(__xludf.DUMMYFUNCTION("""COMPUTED_VALUE"""),"C1677")</f>
        <v>C1677</v>
      </c>
      <c r="F939" s="97" t="str">
        <f>IFERROR(__xludf.DUMMYFUNCTION("""COMPUTED_VALUE"""),"LED integrado")</f>
        <v>LED integrado</v>
      </c>
      <c r="G939" s="97" t="str">
        <f>IFERROR(__xludf.DUMMYFUNCTION("""COMPUTED_VALUE"""),"-")</f>
        <v>-</v>
      </c>
      <c r="H939" s="97" t="str">
        <f>IFERROR(__xludf.DUMMYFUNCTION("""COMPUTED_VALUE"""),"-")</f>
        <v>-</v>
      </c>
      <c r="I939" s="97"/>
      <c r="J939" s="97" t="str">
        <f>IFERROR(__xludf.DUMMYFUNCTION("""COMPUTED_VALUE"""),"Modelo: GF-12V-36W
In: 85-265Vac 0.5A 50/60Hz
Out: 12Vdc 3A (1A@50°C) Pf: 0.6
Max Ta/Tc: -40–50°C / 75°C IP65")</f>
        <v>Modelo: GF-12V-36W
In: 85-265Vac 0.5A 50/60Hz
Out: 12Vdc 3A (1A@50°C) Pf: 0.6
Max Ta/Tc: -40–50°C / 75°C IP65</v>
      </c>
      <c r="K939" s="97" t="str">
        <f>IFERROR(__xludf.DUMMYFUNCTION("""COMPUTED_VALUE"""),"ON/OFF")</f>
        <v>ON/OFF</v>
      </c>
      <c r="L939" s="97" t="str">
        <f>IFERROR(__xludf.DUMMYFUNCTION("""COMPUTED_VALUE"""),"220-240")</f>
        <v>220-240</v>
      </c>
      <c r="M939" s="97" t="str">
        <f>IFERROR(__xludf.DUMMYFUNCTION("""COMPUTED_VALUE"""),"50/60")</f>
        <v>50/60</v>
      </c>
      <c r="N939" s="97"/>
      <c r="O939" s="97">
        <f>IFERROR(__xludf.DUMMYFUNCTION("""COMPUTED_VALUE"""),36.0)</f>
        <v>36</v>
      </c>
      <c r="P939" s="97"/>
      <c r="Q939" s="97">
        <f>IFERROR(__xludf.DUMMYFUNCTION("""COMPUTED_VALUE"""),0.6)</f>
        <v>0.6</v>
      </c>
      <c r="R939" s="97" t="str">
        <f>IFERROR(__xludf.DUMMYFUNCTION("""COMPUTED_VALUE"""),"-")</f>
        <v>-</v>
      </c>
      <c r="S939" s="97" t="str">
        <f>IFERROR(__xludf.DUMMYFUNCTION("""COMPUTED_VALUE"""),"-")</f>
        <v>-</v>
      </c>
      <c r="T939" s="97">
        <f>IFERROR(__xludf.DUMMYFUNCTION("""COMPUTED_VALUE"""),1100.0)</f>
        <v>1100</v>
      </c>
      <c r="U939" s="99">
        <f>IFERROR(__xludf.DUMMYFUNCTION("""COMPUTED_VALUE"""),30.555555555555557)</f>
        <v>30.55555556</v>
      </c>
      <c r="V939" s="97">
        <f>IFERROR(__xludf.DUMMYFUNCTION("""COMPUTED_VALUE"""),360.0)</f>
        <v>360</v>
      </c>
      <c r="W939" s="97" t="str">
        <f>IFERROR(__xludf.DUMMYFUNCTION("""COMPUTED_VALUE"""),"&lt; 20")</f>
        <v>&lt; 20</v>
      </c>
      <c r="X939" s="97">
        <f>IFERROR(__xludf.DUMMYFUNCTION("""COMPUTED_VALUE"""),2700.0)</f>
        <v>2700</v>
      </c>
      <c r="Y939" s="97" t="str">
        <f>IFERROR(__xludf.DUMMYFUNCTION("""COMPUTED_VALUE"""),"&gt;85")</f>
        <v>&gt;85</v>
      </c>
      <c r="Z939" s="97"/>
      <c r="AA939" s="97"/>
      <c r="AB939" s="97"/>
      <c r="AC939" s="97"/>
      <c r="AD939" s="97" t="str">
        <f>IFERROR(__xludf.DUMMYFUNCTION("""COMPUTED_VALUE"""),"IP65")</f>
        <v>IP65</v>
      </c>
      <c r="AE939" s="97" t="str">
        <f>IFERROR(__xludf.DUMMYFUNCTION("""COMPUTED_VALUE"""),"Clase l")</f>
        <v>Clase l</v>
      </c>
      <c r="AF939" s="97" t="str">
        <f>IFERROR(__xludf.DUMMYFUNCTION("""COMPUTED_VALUE"""),"Aplicar")</f>
        <v>Aplicar</v>
      </c>
      <c r="AG939" s="97" t="str">
        <f>IFERROR(__xludf.DUMMYFUNCTION("""COMPUTED_VALUE"""),"610 x 35 x 90")</f>
        <v>610 x 35 x 90</v>
      </c>
      <c r="AH939" s="97" t="str">
        <f>IFERROR(__xludf.DUMMYFUNCTION("""COMPUTED_VALUE"""),"N/A")</f>
        <v>N/A</v>
      </c>
      <c r="AI939" s="97" t="str">
        <f>IFERROR(__xludf.DUMMYFUNCTION("""COMPUTED_VALUE"""),"N/A")</f>
        <v>N/A</v>
      </c>
      <c r="AJ939" s="97" t="str">
        <f>IFERROR(__xludf.DUMMYFUNCTION("""COMPUTED_VALUE"""),"Policarbonato (PC)")</f>
        <v>Policarbonato (PC)</v>
      </c>
      <c r="AK939" s="97" t="str">
        <f>IFERROR(__xludf.DUMMYFUNCTION("""COMPUTED_VALUE"""),"Aluminio")</f>
        <v>Aluminio</v>
      </c>
      <c r="AL939" s="97" t="str">
        <f>IFERROR(__xludf.DUMMYFUNCTION("""COMPUTED_VALUE"""),"Blanco Satinado")</f>
        <v>Blanco Satinado</v>
      </c>
      <c r="AM939" s="97" t="str">
        <f>IFERROR(__xludf.DUMMYFUNCTION("""COMPUTED_VALUE"""),"-")</f>
        <v>-</v>
      </c>
      <c r="AN939" s="97" t="str">
        <f>IFERROR(__xludf.DUMMYFUNCTION("""COMPUTED_VALUE"""),"25.000hs (L70)")</f>
        <v>25.000hs (L70)</v>
      </c>
      <c r="AO939" s="97" t="str">
        <f>IFERROR(__xludf.DUMMYFUNCTION("""COMPUTED_VALUE"""),"2 Años")</f>
        <v>2 Años</v>
      </c>
      <c r="AP939" s="97" t="str">
        <f>IFERROR(__xludf.DUMMYFUNCTION("""COMPUTED_VALUE"""),"Disponible")</f>
        <v>Disponible</v>
      </c>
      <c r="AQ939" s="97" t="str">
        <f>IFERROR(__xludf.DUMMYFUNCTION("""COMPUTED_VALUE"""),"Disponible")</f>
        <v>Disponible</v>
      </c>
      <c r="AR939" s="97" t="str">
        <f>IFERROR(__xludf.DUMMYFUNCTION("""COMPUTED_VALUE"""),"Disponible")</f>
        <v>Disponible</v>
      </c>
      <c r="AS939" s="97"/>
      <c r="AT939" s="97"/>
      <c r="AU939" s="97" t="str">
        <f>IFERROR(__xludf.DUMMYFUNCTION("""COMPUTED_VALUE"""),"Falta")</f>
        <v>Falta</v>
      </c>
      <c r="AV939" s="97" t="str">
        <f>IFERROR(__xludf.DUMMYFUNCTION("""COMPUTED_VALUE"""),"Aplique")</f>
        <v>Aplique</v>
      </c>
      <c r="AW939" s="97" t="str">
        <f>IFERROR(__xludf.DUMMYFUNCTION("""COMPUTED_VALUE"""),"De Pared")</f>
        <v>De Pared</v>
      </c>
      <c r="AX939" s="97" t="str">
        <f>IFERROR(__xludf.DUMMYFUNCTION("""COMPUTED_VALUE"""),"Exterior")</f>
        <v>Exterior</v>
      </c>
      <c r="AY939" s="97" t="str">
        <f>IFERROR(__xludf.DUMMYFUNCTION("""COMPUTED_VALUE"""),"-")</f>
        <v>-</v>
      </c>
      <c r="AZ939" s="97"/>
      <c r="BA939" s="97">
        <f>IFERROR(__xludf.DUMMYFUNCTION("""COMPUTED_VALUE"""),18.0)</f>
        <v>18</v>
      </c>
      <c r="BB939" s="97" t="str">
        <f>IFERROR(__xludf.DUMMYFUNCTION("""COMPUTED_VALUE"""),"-")</f>
        <v>-</v>
      </c>
      <c r="BC939" s="97" t="str">
        <f>IFERROR(__xludf.DUMMYFUNCTION("""COMPUTED_VALUE"""),"-")</f>
        <v>-</v>
      </c>
      <c r="BD939" s="97" t="str">
        <f>IFERROR(__xludf.DUMMYFUNCTION("""COMPUTED_VALUE"""),"MOMO EXT")</f>
        <v>MOMO EXT</v>
      </c>
      <c r="BE939" s="97" t="str">
        <f>IFERROR(__xludf.DUMMYFUNCTION("""COMPUTED_VALUE"""),"Finalizada")</f>
        <v>Finalizada</v>
      </c>
      <c r="BF939" s="97"/>
      <c r="BG939" s="97" t="str">
        <f>IFERROR(__xludf.DUMMYFUNCTION("""COMPUTED_VALUE"""),"Activo")</f>
        <v>Activo</v>
      </c>
    </row>
    <row r="940">
      <c r="A940" s="97">
        <f>IFERROR(__xludf.DUMMYFUNCTION("""COMPUTED_VALUE"""),6721.0)</f>
        <v>6721</v>
      </c>
      <c r="B940" s="97" t="str">
        <f>IFERROR(__xludf.DUMMYFUNCTION("""COMPUTED_VALUE"""),"MOMO II NG")</f>
        <v>MOMO II NG</v>
      </c>
      <c r="C940" s="97" t="str">
        <f>IFERROR(__xludf.DUMMYFUNCTION("""COMPUTED_VALUE"""),"APLIQUE MOMO II NG 36W 2700K 1100LM CRI&gt;85 IP65 LEUK")</f>
        <v>APLIQUE MOMO II NG 36W 2700K 1100LM CRI&gt;85 IP65 LEUK</v>
      </c>
      <c r="D940" s="97">
        <f>IFERROR(__xludf.DUMMYFUNCTION("""COMPUTED_VALUE"""),7.798413222036E12)</f>
        <v>7798413222036</v>
      </c>
      <c r="E940" s="97" t="str">
        <f>IFERROR(__xludf.DUMMYFUNCTION("""COMPUTED_VALUE"""),"C166")</f>
        <v>C166</v>
      </c>
      <c r="F940" s="97" t="str">
        <f>IFERROR(__xludf.DUMMYFUNCTION("""COMPUTED_VALUE"""),"LED integrado")</f>
        <v>LED integrado</v>
      </c>
      <c r="G940" s="97" t="str">
        <f>IFERROR(__xludf.DUMMYFUNCTION("""COMPUTED_VALUE"""),"-")</f>
        <v>-</v>
      </c>
      <c r="H940" s="97" t="str">
        <f>IFERROR(__xludf.DUMMYFUNCTION("""COMPUTED_VALUE"""),"-")</f>
        <v>-</v>
      </c>
      <c r="I940" s="97"/>
      <c r="J940" s="97" t="str">
        <f>IFERROR(__xludf.DUMMYFUNCTION("""COMPUTED_VALUE"""),"Modelo: GF-12V-36W
In: 85-265Vac 0.5A 50/60Hz
Out: 12Vdc 3A (1A@50°C) Pf: 0.6
Max Ta/Tc: -40–50°C / 75°C IP65")</f>
        <v>Modelo: GF-12V-36W
In: 85-265Vac 0.5A 50/60Hz
Out: 12Vdc 3A (1A@50°C) Pf: 0.6
Max Ta/Tc: -40–50°C / 75°C IP65</v>
      </c>
      <c r="K940" s="97" t="str">
        <f>IFERROR(__xludf.DUMMYFUNCTION("""COMPUTED_VALUE"""),"ON/OFF")</f>
        <v>ON/OFF</v>
      </c>
      <c r="L940" s="97" t="str">
        <f>IFERROR(__xludf.DUMMYFUNCTION("""COMPUTED_VALUE"""),"220-240")</f>
        <v>220-240</v>
      </c>
      <c r="M940" s="97" t="str">
        <f>IFERROR(__xludf.DUMMYFUNCTION("""COMPUTED_VALUE"""),"50/60")</f>
        <v>50/60</v>
      </c>
      <c r="N940" s="97"/>
      <c r="O940" s="97">
        <f>IFERROR(__xludf.DUMMYFUNCTION("""COMPUTED_VALUE"""),36.0)</f>
        <v>36</v>
      </c>
      <c r="P940" s="97"/>
      <c r="Q940" s="97">
        <f>IFERROR(__xludf.DUMMYFUNCTION("""COMPUTED_VALUE"""),0.6)</f>
        <v>0.6</v>
      </c>
      <c r="R940" s="97" t="str">
        <f>IFERROR(__xludf.DUMMYFUNCTION("""COMPUTED_VALUE"""),"-")</f>
        <v>-</v>
      </c>
      <c r="S940" s="97" t="str">
        <f>IFERROR(__xludf.DUMMYFUNCTION("""COMPUTED_VALUE"""),"-")</f>
        <v>-</v>
      </c>
      <c r="T940" s="97">
        <f>IFERROR(__xludf.DUMMYFUNCTION("""COMPUTED_VALUE"""),1100.0)</f>
        <v>1100</v>
      </c>
      <c r="U940" s="99">
        <f>IFERROR(__xludf.DUMMYFUNCTION("""COMPUTED_VALUE"""),30.555555555555557)</f>
        <v>30.55555556</v>
      </c>
      <c r="V940" s="97">
        <f>IFERROR(__xludf.DUMMYFUNCTION("""COMPUTED_VALUE"""),360.0)</f>
        <v>360</v>
      </c>
      <c r="W940" s="97" t="str">
        <f>IFERROR(__xludf.DUMMYFUNCTION("""COMPUTED_VALUE"""),"&lt; 20")</f>
        <v>&lt; 20</v>
      </c>
      <c r="X940" s="97">
        <f>IFERROR(__xludf.DUMMYFUNCTION("""COMPUTED_VALUE"""),2700.0)</f>
        <v>2700</v>
      </c>
      <c r="Y940" s="97" t="str">
        <f>IFERROR(__xludf.DUMMYFUNCTION("""COMPUTED_VALUE"""),"&gt;85")</f>
        <v>&gt;85</v>
      </c>
      <c r="Z940" s="97"/>
      <c r="AA940" s="97"/>
      <c r="AB940" s="97"/>
      <c r="AC940" s="97"/>
      <c r="AD940" s="97" t="str">
        <f>IFERROR(__xludf.DUMMYFUNCTION("""COMPUTED_VALUE"""),"IP65")</f>
        <v>IP65</v>
      </c>
      <c r="AE940" s="97" t="str">
        <f>IFERROR(__xludf.DUMMYFUNCTION("""COMPUTED_VALUE"""),"Clase l")</f>
        <v>Clase l</v>
      </c>
      <c r="AF940" s="97" t="str">
        <f>IFERROR(__xludf.DUMMYFUNCTION("""COMPUTED_VALUE"""),"Aplicar")</f>
        <v>Aplicar</v>
      </c>
      <c r="AG940" s="97" t="str">
        <f>IFERROR(__xludf.DUMMYFUNCTION("""COMPUTED_VALUE"""),"610 x 35 x 90")</f>
        <v>610 x 35 x 90</v>
      </c>
      <c r="AH940" s="97" t="str">
        <f>IFERROR(__xludf.DUMMYFUNCTION("""COMPUTED_VALUE"""),"N/A")</f>
        <v>N/A</v>
      </c>
      <c r="AI940" s="97" t="str">
        <f>IFERROR(__xludf.DUMMYFUNCTION("""COMPUTED_VALUE"""),"N/A")</f>
        <v>N/A</v>
      </c>
      <c r="AJ940" s="97" t="str">
        <f>IFERROR(__xludf.DUMMYFUNCTION("""COMPUTED_VALUE"""),"Policarbonato (PC)")</f>
        <v>Policarbonato (PC)</v>
      </c>
      <c r="AK940" s="97" t="str">
        <f>IFERROR(__xludf.DUMMYFUNCTION("""COMPUTED_VALUE"""),"Aluminio")</f>
        <v>Aluminio</v>
      </c>
      <c r="AL940" s="97" t="str">
        <f>IFERROR(__xludf.DUMMYFUNCTION("""COMPUTED_VALUE"""),"Negro Satinado")</f>
        <v>Negro Satinado</v>
      </c>
      <c r="AM940" s="97" t="str">
        <f>IFERROR(__xludf.DUMMYFUNCTION("""COMPUTED_VALUE"""),"-")</f>
        <v>-</v>
      </c>
      <c r="AN940" s="97" t="str">
        <f>IFERROR(__xludf.DUMMYFUNCTION("""COMPUTED_VALUE"""),"25.000hs (L70)")</f>
        <v>25.000hs (L70)</v>
      </c>
      <c r="AO940" s="97" t="str">
        <f>IFERROR(__xludf.DUMMYFUNCTION("""COMPUTED_VALUE"""),"2 Años")</f>
        <v>2 Años</v>
      </c>
      <c r="AP940" s="97" t="str">
        <f>IFERROR(__xludf.DUMMYFUNCTION("""COMPUTED_VALUE"""),"Disponible")</f>
        <v>Disponible</v>
      </c>
      <c r="AQ940" s="97" t="str">
        <f>IFERROR(__xludf.DUMMYFUNCTION("""COMPUTED_VALUE"""),"Disponible")</f>
        <v>Disponible</v>
      </c>
      <c r="AR940" s="97" t="str">
        <f>IFERROR(__xludf.DUMMYFUNCTION("""COMPUTED_VALUE"""),"Disponible")</f>
        <v>Disponible</v>
      </c>
      <c r="AS940" s="97"/>
      <c r="AT940" s="97"/>
      <c r="AU940" s="97" t="str">
        <f>IFERROR(__xludf.DUMMYFUNCTION("""COMPUTED_VALUE"""),"Falta")</f>
        <v>Falta</v>
      </c>
      <c r="AV940" s="97" t="str">
        <f>IFERROR(__xludf.DUMMYFUNCTION("""COMPUTED_VALUE"""),"Aplique")</f>
        <v>Aplique</v>
      </c>
      <c r="AW940" s="97" t="str">
        <f>IFERROR(__xludf.DUMMYFUNCTION("""COMPUTED_VALUE"""),"De Pared")</f>
        <v>De Pared</v>
      </c>
      <c r="AX940" s="97" t="str">
        <f>IFERROR(__xludf.DUMMYFUNCTION("""COMPUTED_VALUE"""),"Exterior")</f>
        <v>Exterior</v>
      </c>
      <c r="AY940" s="97" t="str">
        <f>IFERROR(__xludf.DUMMYFUNCTION("""COMPUTED_VALUE"""),"-")</f>
        <v>-</v>
      </c>
      <c r="AZ940" s="97"/>
      <c r="BA940" s="97">
        <f>IFERROR(__xludf.DUMMYFUNCTION("""COMPUTED_VALUE"""),18.0)</f>
        <v>18</v>
      </c>
      <c r="BB940" s="97" t="str">
        <f>IFERROR(__xludf.DUMMYFUNCTION("""COMPUTED_VALUE"""),"-")</f>
        <v>-</v>
      </c>
      <c r="BC940" s="97" t="str">
        <f>IFERROR(__xludf.DUMMYFUNCTION("""COMPUTED_VALUE"""),"-")</f>
        <v>-</v>
      </c>
      <c r="BD940" s="97" t="str">
        <f>IFERROR(__xludf.DUMMYFUNCTION("""COMPUTED_VALUE"""),"MOMO EXT")</f>
        <v>MOMO EXT</v>
      </c>
      <c r="BE940" s="97" t="str">
        <f>IFERROR(__xludf.DUMMYFUNCTION("""COMPUTED_VALUE"""),"Finalizada")</f>
        <v>Finalizada</v>
      </c>
      <c r="BF940" s="97"/>
      <c r="BG940" s="97" t="str">
        <f>IFERROR(__xludf.DUMMYFUNCTION("""COMPUTED_VALUE"""),"Activo")</f>
        <v>Activo</v>
      </c>
    </row>
    <row r="941">
      <c r="A941" s="97">
        <f>IFERROR(__xludf.DUMMYFUNCTION("""COMPUTED_VALUE"""),6722.0)</f>
        <v>6722</v>
      </c>
      <c r="B941" s="97" t="str">
        <f>IFERROR(__xludf.DUMMYFUNCTION("""COMPUTED_VALUE"""),"ADAPTADOR HEMBRA 1EF NG")</f>
        <v>ADAPTADOR HEMBRA 1EF NG</v>
      </c>
      <c r="C941" s="97" t="str">
        <f>IFERROR(__xludf.DUMMYFUNCTION("""COMPUTED_VALUE"""),"ACCESORIO ADAPTADOR HEMBRA 1EF NG LEUK")</f>
        <v>ACCESORIO ADAPTADOR HEMBRA 1EF NG LEUK</v>
      </c>
      <c r="D941" s="97">
        <f>IFERROR(__xludf.DUMMYFUNCTION("""COMPUTED_VALUE"""),7.798413222234E12)</f>
        <v>7798413222234</v>
      </c>
      <c r="E941" s="97" t="str">
        <f>IFERROR(__xludf.DUMMYFUNCTION("""COMPUTED_VALUE"""),"-")</f>
        <v>-</v>
      </c>
      <c r="F941" s="97" t="str">
        <f>IFERROR(__xludf.DUMMYFUNCTION("""COMPUTED_VALUE"""),"N/A")</f>
        <v>N/A</v>
      </c>
      <c r="G941" s="97" t="str">
        <f>IFERROR(__xludf.DUMMYFUNCTION("""COMPUTED_VALUE"""),"N/A")</f>
        <v>N/A</v>
      </c>
      <c r="H941" s="97" t="str">
        <f>IFERROR(__xludf.DUMMYFUNCTION("""COMPUTED_VALUE"""),"N/A")</f>
        <v>N/A</v>
      </c>
      <c r="I941" s="97" t="str">
        <f>IFERROR(__xludf.DUMMYFUNCTION("""COMPUTED_VALUE"""),"N/A")</f>
        <v>N/A</v>
      </c>
      <c r="J941" s="97" t="str">
        <f>IFERROR(__xludf.DUMMYFUNCTION("""COMPUTED_VALUE"""),"N/A")</f>
        <v>N/A</v>
      </c>
      <c r="K941" s="97" t="str">
        <f>IFERROR(__xludf.DUMMYFUNCTION("""COMPUTED_VALUE"""),"N/A")</f>
        <v>N/A</v>
      </c>
      <c r="L941" s="97">
        <f>IFERROR(__xludf.DUMMYFUNCTION("""COMPUTED_VALUE"""),220.0)</f>
        <v>220</v>
      </c>
      <c r="M941" s="97">
        <f>IFERROR(__xludf.DUMMYFUNCTION("""COMPUTED_VALUE"""),50.0)</f>
        <v>50</v>
      </c>
      <c r="N941" s="97" t="str">
        <f>IFERROR(__xludf.DUMMYFUNCTION("""COMPUTED_VALUE"""),"N/A")</f>
        <v>N/A</v>
      </c>
      <c r="O941" s="97" t="str">
        <f>IFERROR(__xludf.DUMMYFUNCTION("""COMPUTED_VALUE"""),"-")</f>
        <v>-</v>
      </c>
      <c r="P941" s="97"/>
      <c r="Q941" s="97" t="str">
        <f>IFERROR(__xludf.DUMMYFUNCTION("""COMPUTED_VALUE"""),"-")</f>
        <v>-</v>
      </c>
      <c r="R941" s="97" t="str">
        <f>IFERROR(__xludf.DUMMYFUNCTION("""COMPUTED_VALUE"""),"-")</f>
        <v>-</v>
      </c>
      <c r="S941" s="97" t="str">
        <f>IFERROR(__xludf.DUMMYFUNCTION("""COMPUTED_VALUE"""),"-")</f>
        <v>-</v>
      </c>
      <c r="T941" s="97" t="str">
        <f>IFERROR(__xludf.DUMMYFUNCTION("""COMPUTED_VALUE"""),"-")</f>
        <v>-</v>
      </c>
      <c r="U941" s="97" t="str">
        <f>IFERROR(__xludf.DUMMYFUNCTION("""COMPUTED_VALUE"""),"-")</f>
        <v>-</v>
      </c>
      <c r="V941" s="97" t="str">
        <f>IFERROR(__xludf.DUMMYFUNCTION("""COMPUTED_VALUE"""),"N/A")</f>
        <v>N/A</v>
      </c>
      <c r="W941" s="97" t="str">
        <f>IFERROR(__xludf.DUMMYFUNCTION("""COMPUTED_VALUE"""),"N/A")</f>
        <v>N/A</v>
      </c>
      <c r="X941" s="97" t="str">
        <f>IFERROR(__xludf.DUMMYFUNCTION("""COMPUTED_VALUE"""),"-")</f>
        <v>-</v>
      </c>
      <c r="Y941" s="97" t="str">
        <f>IFERROR(__xludf.DUMMYFUNCTION("""COMPUTED_VALUE"""),"N/A")</f>
        <v>N/A</v>
      </c>
      <c r="Z941" s="97" t="str">
        <f>IFERROR(__xludf.DUMMYFUNCTION("""COMPUTED_VALUE"""),"N/A")</f>
        <v>N/A</v>
      </c>
      <c r="AA941" s="97" t="str">
        <f>IFERROR(__xludf.DUMMYFUNCTION("""COMPUTED_VALUE"""),"N/A")</f>
        <v>N/A</v>
      </c>
      <c r="AB941" s="97" t="str">
        <f>IFERROR(__xludf.DUMMYFUNCTION("""COMPUTED_VALUE"""),"N/A")</f>
        <v>N/A</v>
      </c>
      <c r="AC941" s="97" t="str">
        <f>IFERROR(__xludf.DUMMYFUNCTION("""COMPUTED_VALUE"""),"N/A")</f>
        <v>N/A</v>
      </c>
      <c r="AD941" s="97" t="str">
        <f>IFERROR(__xludf.DUMMYFUNCTION("""COMPUTED_VALUE"""),"IP20")</f>
        <v>IP20</v>
      </c>
      <c r="AE941" s="97" t="str">
        <f>IFERROR(__xludf.DUMMYFUNCTION("""COMPUTED_VALUE"""),"Clase l")</f>
        <v>Clase l</v>
      </c>
      <c r="AF941" s="97" t="str">
        <f>IFERROR(__xludf.DUMMYFUNCTION("""COMPUTED_VALUE"""),"N/A")</f>
        <v>N/A</v>
      </c>
      <c r="AG941" s="97" t="str">
        <f>IFERROR(__xludf.DUMMYFUNCTION("""COMPUTED_VALUE"""),"80 x 35 x 35")</f>
        <v>80 x 35 x 35</v>
      </c>
      <c r="AH941" s="97" t="str">
        <f>IFERROR(__xludf.DUMMYFUNCTION("""COMPUTED_VALUE"""),"N/A")</f>
        <v>N/A</v>
      </c>
      <c r="AI941" s="97" t="str">
        <f>IFERROR(__xludf.DUMMYFUNCTION("""COMPUTED_VALUE"""),"N/A")</f>
        <v>N/A</v>
      </c>
      <c r="AJ941" s="97" t="str">
        <f>IFERROR(__xludf.DUMMYFUNCTION("""COMPUTED_VALUE"""),"N/A")</f>
        <v>N/A</v>
      </c>
      <c r="AK941" s="97" t="str">
        <f>IFERROR(__xludf.DUMMYFUNCTION("""COMPUTED_VALUE"""),"Policarbonato (PC)")</f>
        <v>Policarbonato (PC)</v>
      </c>
      <c r="AL941" s="97" t="str">
        <f>IFERROR(__xludf.DUMMYFUNCTION("""COMPUTED_VALUE"""),"Negro Mate")</f>
        <v>Negro Mate</v>
      </c>
      <c r="AM941" s="97" t="str">
        <f>IFERROR(__xludf.DUMMYFUNCTION("""COMPUTED_VALUE"""),"-")</f>
        <v>-</v>
      </c>
      <c r="AN941" s="97" t="str">
        <f>IFERROR(__xludf.DUMMYFUNCTION("""COMPUTED_VALUE"""),"N/A")</f>
        <v>N/A</v>
      </c>
      <c r="AO941" s="97" t="str">
        <f>IFERROR(__xludf.DUMMYFUNCTION("""COMPUTED_VALUE"""),"3 Años")</f>
        <v>3 Años</v>
      </c>
      <c r="AP941" s="97" t="str">
        <f>IFERROR(__xludf.DUMMYFUNCTION("""COMPUTED_VALUE"""),"No Aplica")</f>
        <v>No Aplica</v>
      </c>
      <c r="AQ941" s="97" t="str">
        <f>IFERROR(__xludf.DUMMYFUNCTION("""COMPUTED_VALUE"""),"No Aplica")</f>
        <v>No Aplica</v>
      </c>
      <c r="AR941" s="97" t="str">
        <f>IFERROR(__xludf.DUMMYFUNCTION("""COMPUTED_VALUE"""),"No Aplica")</f>
        <v>No Aplica</v>
      </c>
      <c r="AS941" s="97"/>
      <c r="AT941" s="97"/>
      <c r="AU941" s="97" t="str">
        <f>IFERROR(__xludf.DUMMYFUNCTION("""COMPUTED_VALUE"""),"En revisión")</f>
        <v>En revisión</v>
      </c>
      <c r="AV941" s="97" t="str">
        <f>IFERROR(__xludf.DUMMYFUNCTION("""COMPUTED_VALUE"""),"Accesorio")</f>
        <v>Accesorio</v>
      </c>
      <c r="AW941" s="97" t="str">
        <f>IFERROR(__xludf.DUMMYFUNCTION("""COMPUTED_VALUE"""),"Rieles")</f>
        <v>Rieles</v>
      </c>
      <c r="AX941" s="97" t="str">
        <f>IFERROR(__xludf.DUMMYFUNCTION("""COMPUTED_VALUE"""),"Interior")</f>
        <v>Interior</v>
      </c>
      <c r="AY941" s="97" t="str">
        <f>IFERROR(__xludf.DUMMYFUNCTION("""COMPUTED_VALUE"""),"-")</f>
        <v>-</v>
      </c>
      <c r="AZ941" s="97" t="str">
        <f>IFERROR(__xludf.DUMMYFUNCTION("""COMPUTED_VALUE"""),"Soporta 10A")</f>
        <v>Soporta 10A</v>
      </c>
      <c r="BA941" s="97">
        <f>IFERROR(__xludf.DUMMYFUNCTION("""COMPUTED_VALUE"""),150.0)</f>
        <v>150</v>
      </c>
      <c r="BB941" s="97" t="str">
        <f>IFERROR(__xludf.DUMMYFUNCTION("""COMPUTED_VALUE"""),"-")</f>
        <v>-</v>
      </c>
      <c r="BC941" s="97" t="str">
        <f>IFERROR(__xludf.DUMMYFUNCTION("""COMPUTED_VALUE"""),"-")</f>
        <v>-</v>
      </c>
      <c r="BD941" s="97" t="str">
        <f>IFERROR(__xludf.DUMMYFUNCTION("""COMPUTED_VALUE"""),"RIELES 1EF")</f>
        <v>RIELES 1EF</v>
      </c>
      <c r="BE941" s="97" t="str">
        <f>IFERROR(__xludf.DUMMYFUNCTION("""COMPUTED_VALUE"""),"Finalizada")</f>
        <v>Finalizada</v>
      </c>
      <c r="BF941" s="97">
        <f>IFERROR(__xludf.DUMMYFUNCTION("""COMPUTED_VALUE"""),7171.0)</f>
        <v>7171</v>
      </c>
      <c r="BG941" s="97" t="str">
        <f>IFERROR(__xludf.DUMMYFUNCTION("""COMPUTED_VALUE"""),"Discontinuo")</f>
        <v>Discontinuo</v>
      </c>
    </row>
    <row r="942">
      <c r="A942" s="97">
        <f>IFERROR(__xludf.DUMMYFUNCTION("""COMPUTED_VALUE"""),6723.0)</f>
        <v>6723</v>
      </c>
      <c r="B942" s="97" t="str">
        <f>IFERROR(__xludf.DUMMYFUNCTION("""COMPUTED_VALUE"""),"ADAPTADOR HEMBRA 1EF BL")</f>
        <v>ADAPTADOR HEMBRA 1EF BL</v>
      </c>
      <c r="C942" s="97" t="str">
        <f>IFERROR(__xludf.DUMMYFUNCTION("""COMPUTED_VALUE"""),"ACCESORIO ADAPTADOR HEMBRA 1EF BL LEUK")</f>
        <v>ACCESORIO ADAPTADOR HEMBRA 1EF BL LEUK</v>
      </c>
      <c r="D942" s="97">
        <f>IFERROR(__xludf.DUMMYFUNCTION("""COMPUTED_VALUE"""),7.798413222227E12)</f>
        <v>7798413222227</v>
      </c>
      <c r="E942" s="97" t="str">
        <f>IFERROR(__xludf.DUMMYFUNCTION("""COMPUTED_VALUE"""),"-")</f>
        <v>-</v>
      </c>
      <c r="F942" s="97" t="str">
        <f>IFERROR(__xludf.DUMMYFUNCTION("""COMPUTED_VALUE"""),"N/A")</f>
        <v>N/A</v>
      </c>
      <c r="G942" s="97" t="str">
        <f>IFERROR(__xludf.DUMMYFUNCTION("""COMPUTED_VALUE"""),"N/A")</f>
        <v>N/A</v>
      </c>
      <c r="H942" s="97" t="str">
        <f>IFERROR(__xludf.DUMMYFUNCTION("""COMPUTED_VALUE"""),"N/A")</f>
        <v>N/A</v>
      </c>
      <c r="I942" s="97" t="str">
        <f>IFERROR(__xludf.DUMMYFUNCTION("""COMPUTED_VALUE"""),"N/A")</f>
        <v>N/A</v>
      </c>
      <c r="J942" s="97" t="str">
        <f>IFERROR(__xludf.DUMMYFUNCTION("""COMPUTED_VALUE"""),"N/A")</f>
        <v>N/A</v>
      </c>
      <c r="K942" s="97" t="str">
        <f>IFERROR(__xludf.DUMMYFUNCTION("""COMPUTED_VALUE"""),"N/A")</f>
        <v>N/A</v>
      </c>
      <c r="L942" s="97">
        <f>IFERROR(__xludf.DUMMYFUNCTION("""COMPUTED_VALUE"""),220.0)</f>
        <v>220</v>
      </c>
      <c r="M942" s="97">
        <f>IFERROR(__xludf.DUMMYFUNCTION("""COMPUTED_VALUE"""),50.0)</f>
        <v>50</v>
      </c>
      <c r="N942" s="97" t="str">
        <f>IFERROR(__xludf.DUMMYFUNCTION("""COMPUTED_VALUE"""),"N/A")</f>
        <v>N/A</v>
      </c>
      <c r="O942" s="97" t="str">
        <f>IFERROR(__xludf.DUMMYFUNCTION("""COMPUTED_VALUE"""),"-")</f>
        <v>-</v>
      </c>
      <c r="P942" s="97"/>
      <c r="Q942" s="97" t="str">
        <f>IFERROR(__xludf.DUMMYFUNCTION("""COMPUTED_VALUE"""),"-")</f>
        <v>-</v>
      </c>
      <c r="R942" s="97" t="str">
        <f>IFERROR(__xludf.DUMMYFUNCTION("""COMPUTED_VALUE"""),"-")</f>
        <v>-</v>
      </c>
      <c r="S942" s="97" t="str">
        <f>IFERROR(__xludf.DUMMYFUNCTION("""COMPUTED_VALUE"""),"-")</f>
        <v>-</v>
      </c>
      <c r="T942" s="97" t="str">
        <f>IFERROR(__xludf.DUMMYFUNCTION("""COMPUTED_VALUE"""),"-")</f>
        <v>-</v>
      </c>
      <c r="U942" s="97" t="str">
        <f>IFERROR(__xludf.DUMMYFUNCTION("""COMPUTED_VALUE"""),"-")</f>
        <v>-</v>
      </c>
      <c r="V942" s="97" t="str">
        <f>IFERROR(__xludf.DUMMYFUNCTION("""COMPUTED_VALUE"""),"N/A")</f>
        <v>N/A</v>
      </c>
      <c r="W942" s="97" t="str">
        <f>IFERROR(__xludf.DUMMYFUNCTION("""COMPUTED_VALUE"""),"N/A")</f>
        <v>N/A</v>
      </c>
      <c r="X942" s="97" t="str">
        <f>IFERROR(__xludf.DUMMYFUNCTION("""COMPUTED_VALUE"""),"-")</f>
        <v>-</v>
      </c>
      <c r="Y942" s="97" t="str">
        <f>IFERROR(__xludf.DUMMYFUNCTION("""COMPUTED_VALUE"""),"N/A")</f>
        <v>N/A</v>
      </c>
      <c r="Z942" s="97" t="str">
        <f>IFERROR(__xludf.DUMMYFUNCTION("""COMPUTED_VALUE"""),"N/A")</f>
        <v>N/A</v>
      </c>
      <c r="AA942" s="97" t="str">
        <f>IFERROR(__xludf.DUMMYFUNCTION("""COMPUTED_VALUE"""),"N/A")</f>
        <v>N/A</v>
      </c>
      <c r="AB942" s="97" t="str">
        <f>IFERROR(__xludf.DUMMYFUNCTION("""COMPUTED_VALUE"""),"N/A")</f>
        <v>N/A</v>
      </c>
      <c r="AC942" s="97" t="str">
        <f>IFERROR(__xludf.DUMMYFUNCTION("""COMPUTED_VALUE"""),"N/A")</f>
        <v>N/A</v>
      </c>
      <c r="AD942" s="97" t="str">
        <f>IFERROR(__xludf.DUMMYFUNCTION("""COMPUTED_VALUE"""),"IP20")</f>
        <v>IP20</v>
      </c>
      <c r="AE942" s="97" t="str">
        <f>IFERROR(__xludf.DUMMYFUNCTION("""COMPUTED_VALUE"""),"Clase l")</f>
        <v>Clase l</v>
      </c>
      <c r="AF942" s="97" t="str">
        <f>IFERROR(__xludf.DUMMYFUNCTION("""COMPUTED_VALUE"""),"N/A")</f>
        <v>N/A</v>
      </c>
      <c r="AG942" s="97" t="str">
        <f>IFERROR(__xludf.DUMMYFUNCTION("""COMPUTED_VALUE"""),"80 x 35 x 35")</f>
        <v>80 x 35 x 35</v>
      </c>
      <c r="AH942" s="97" t="str">
        <f>IFERROR(__xludf.DUMMYFUNCTION("""COMPUTED_VALUE"""),"N/A")</f>
        <v>N/A</v>
      </c>
      <c r="AI942" s="97" t="str">
        <f>IFERROR(__xludf.DUMMYFUNCTION("""COMPUTED_VALUE"""),"N/A")</f>
        <v>N/A</v>
      </c>
      <c r="AJ942" s="97" t="str">
        <f>IFERROR(__xludf.DUMMYFUNCTION("""COMPUTED_VALUE"""),"N/A")</f>
        <v>N/A</v>
      </c>
      <c r="AK942" s="97" t="str">
        <f>IFERROR(__xludf.DUMMYFUNCTION("""COMPUTED_VALUE"""),"Policarbonato (PC)")</f>
        <v>Policarbonato (PC)</v>
      </c>
      <c r="AL942" s="97" t="str">
        <f>IFERROR(__xludf.DUMMYFUNCTION("""COMPUTED_VALUE"""),"Blanco Mate")</f>
        <v>Blanco Mate</v>
      </c>
      <c r="AM942" s="97" t="str">
        <f>IFERROR(__xludf.DUMMYFUNCTION("""COMPUTED_VALUE"""),"-")</f>
        <v>-</v>
      </c>
      <c r="AN942" s="97" t="str">
        <f>IFERROR(__xludf.DUMMYFUNCTION("""COMPUTED_VALUE"""),"N/A")</f>
        <v>N/A</v>
      </c>
      <c r="AO942" s="97" t="str">
        <f>IFERROR(__xludf.DUMMYFUNCTION("""COMPUTED_VALUE"""),"3 Años")</f>
        <v>3 Años</v>
      </c>
      <c r="AP942" s="97" t="str">
        <f>IFERROR(__xludf.DUMMYFUNCTION("""COMPUTED_VALUE"""),"No Aplica")</f>
        <v>No Aplica</v>
      </c>
      <c r="AQ942" s="97" t="str">
        <f>IFERROR(__xludf.DUMMYFUNCTION("""COMPUTED_VALUE"""),"No Aplica")</f>
        <v>No Aplica</v>
      </c>
      <c r="AR942" s="97" t="str">
        <f>IFERROR(__xludf.DUMMYFUNCTION("""COMPUTED_VALUE"""),"No Aplica")</f>
        <v>No Aplica</v>
      </c>
      <c r="AS942" s="97"/>
      <c r="AT942" s="97"/>
      <c r="AU942" s="97" t="str">
        <f>IFERROR(__xludf.DUMMYFUNCTION("""COMPUTED_VALUE"""),"En revisión")</f>
        <v>En revisión</v>
      </c>
      <c r="AV942" s="97" t="str">
        <f>IFERROR(__xludf.DUMMYFUNCTION("""COMPUTED_VALUE"""),"Accesorio")</f>
        <v>Accesorio</v>
      </c>
      <c r="AW942" s="97" t="str">
        <f>IFERROR(__xludf.DUMMYFUNCTION("""COMPUTED_VALUE"""),"Rieles")</f>
        <v>Rieles</v>
      </c>
      <c r="AX942" s="97" t="str">
        <f>IFERROR(__xludf.DUMMYFUNCTION("""COMPUTED_VALUE"""),"Interior")</f>
        <v>Interior</v>
      </c>
      <c r="AY942" s="97" t="str">
        <f>IFERROR(__xludf.DUMMYFUNCTION("""COMPUTED_VALUE"""),"-")</f>
        <v>-</v>
      </c>
      <c r="AZ942" s="97" t="str">
        <f>IFERROR(__xludf.DUMMYFUNCTION("""COMPUTED_VALUE"""),"Soporta 10A")</f>
        <v>Soporta 10A</v>
      </c>
      <c r="BA942" s="97">
        <f>IFERROR(__xludf.DUMMYFUNCTION("""COMPUTED_VALUE"""),150.0)</f>
        <v>150</v>
      </c>
      <c r="BB942" s="97" t="str">
        <f>IFERROR(__xludf.DUMMYFUNCTION("""COMPUTED_VALUE"""),"-")</f>
        <v>-</v>
      </c>
      <c r="BC942" s="97" t="str">
        <f>IFERROR(__xludf.DUMMYFUNCTION("""COMPUTED_VALUE"""),"-")</f>
        <v>-</v>
      </c>
      <c r="BD942" s="97" t="str">
        <f>IFERROR(__xludf.DUMMYFUNCTION("""COMPUTED_VALUE"""),"RIELES 1EF")</f>
        <v>RIELES 1EF</v>
      </c>
      <c r="BE942" s="97" t="str">
        <f>IFERROR(__xludf.DUMMYFUNCTION("""COMPUTED_VALUE"""),"Finalizada")</f>
        <v>Finalizada</v>
      </c>
      <c r="BF942" s="97">
        <f>IFERROR(__xludf.DUMMYFUNCTION("""COMPUTED_VALUE"""),7172.0)</f>
        <v>7172</v>
      </c>
      <c r="BG942" s="97" t="str">
        <f>IFERROR(__xludf.DUMMYFUNCTION("""COMPUTED_VALUE"""),"Discontinuo")</f>
        <v>Discontinuo</v>
      </c>
    </row>
    <row r="943">
      <c r="A943" s="97">
        <f>IFERROR(__xludf.DUMMYFUNCTION("""COMPUTED_VALUE"""),6724.0)</f>
        <v>6724</v>
      </c>
      <c r="B943" s="97" t="str">
        <f>IFERROR(__xludf.DUMMYFUNCTION("""COMPUTED_VALUE"""),"MOMO I BL")</f>
        <v>MOMO I BL</v>
      </c>
      <c r="C943" s="97" t="str">
        <f>IFERROR(__xludf.DUMMYFUNCTION("""COMPUTED_VALUE"""),"APLIQUE MOMO I BL 24W 2700K 765LM CRI&gt;85 IP65 LEUK")</f>
        <v>APLIQUE MOMO I BL 24W 2700K 765LM CRI&gt;85 IP65 LEUK</v>
      </c>
      <c r="D943" s="97">
        <f>IFERROR(__xludf.DUMMYFUNCTION("""COMPUTED_VALUE"""),7.798413223156E12)</f>
        <v>7798413223156</v>
      </c>
      <c r="E943" s="97" t="str">
        <f>IFERROR(__xludf.DUMMYFUNCTION("""COMPUTED_VALUE"""),"C165")</f>
        <v>C165</v>
      </c>
      <c r="F943" s="97" t="str">
        <f>IFERROR(__xludf.DUMMYFUNCTION("""COMPUTED_VALUE"""),"LED integrado")</f>
        <v>LED integrado</v>
      </c>
      <c r="G943" s="97" t="str">
        <f>IFERROR(__xludf.DUMMYFUNCTION("""COMPUTED_VALUE"""),"-")</f>
        <v>-</v>
      </c>
      <c r="H943" s="97" t="str">
        <f>IFERROR(__xludf.DUMMYFUNCTION("""COMPUTED_VALUE"""),"-")</f>
        <v>-</v>
      </c>
      <c r="I943" s="97"/>
      <c r="J943" s="97" t="str">
        <f>IFERROR(__xludf.DUMMYFUNCTION("""COMPUTED_VALUE"""),"Modelo: GF-12V-24W
In: 85-265Vac 0.5A 50/60Hz
Out: 12Vdc 2A (1A@50°C) Pf: 0.6
Max Ta/Tc: -40–50°C / 75°C IP65")</f>
        <v>Modelo: GF-12V-24W
In: 85-265Vac 0.5A 50/60Hz
Out: 12Vdc 2A (1A@50°C) Pf: 0.6
Max Ta/Tc: -40–50°C / 75°C IP65</v>
      </c>
      <c r="K943" s="97" t="str">
        <f>IFERROR(__xludf.DUMMYFUNCTION("""COMPUTED_VALUE"""),"ON/OFF")</f>
        <v>ON/OFF</v>
      </c>
      <c r="L943" s="97" t="str">
        <f>IFERROR(__xludf.DUMMYFUNCTION("""COMPUTED_VALUE"""),"220-240")</f>
        <v>220-240</v>
      </c>
      <c r="M943" s="97" t="str">
        <f>IFERROR(__xludf.DUMMYFUNCTION("""COMPUTED_VALUE"""),"50/60")</f>
        <v>50/60</v>
      </c>
      <c r="N943" s="97"/>
      <c r="O943" s="97">
        <f>IFERROR(__xludf.DUMMYFUNCTION("""COMPUTED_VALUE"""),24.0)</f>
        <v>24</v>
      </c>
      <c r="P943" s="97"/>
      <c r="Q943" s="97">
        <f>IFERROR(__xludf.DUMMYFUNCTION("""COMPUTED_VALUE"""),0.6)</f>
        <v>0.6</v>
      </c>
      <c r="R943" s="97" t="str">
        <f>IFERROR(__xludf.DUMMYFUNCTION("""COMPUTED_VALUE"""),"-")</f>
        <v>-</v>
      </c>
      <c r="S943" s="97" t="str">
        <f>IFERROR(__xludf.DUMMYFUNCTION("""COMPUTED_VALUE"""),"-")</f>
        <v>-</v>
      </c>
      <c r="T943" s="97">
        <f>IFERROR(__xludf.DUMMYFUNCTION("""COMPUTED_VALUE"""),765.0)</f>
        <v>765</v>
      </c>
      <c r="U943" s="99">
        <f>IFERROR(__xludf.DUMMYFUNCTION("""COMPUTED_VALUE"""),31.875)</f>
        <v>31.875</v>
      </c>
      <c r="V943" s="97">
        <f>IFERROR(__xludf.DUMMYFUNCTION("""COMPUTED_VALUE"""),360.0)</f>
        <v>360</v>
      </c>
      <c r="W943" s="97" t="str">
        <f>IFERROR(__xludf.DUMMYFUNCTION("""COMPUTED_VALUE"""),"&lt; 20")</f>
        <v>&lt; 20</v>
      </c>
      <c r="X943" s="97">
        <f>IFERROR(__xludf.DUMMYFUNCTION("""COMPUTED_VALUE"""),2700.0)</f>
        <v>2700</v>
      </c>
      <c r="Y943" s="97" t="str">
        <f>IFERROR(__xludf.DUMMYFUNCTION("""COMPUTED_VALUE"""),"&gt;85")</f>
        <v>&gt;85</v>
      </c>
      <c r="Z943" s="97"/>
      <c r="AA943" s="97"/>
      <c r="AB943" s="97"/>
      <c r="AC943" s="97"/>
      <c r="AD943" s="97" t="str">
        <f>IFERROR(__xludf.DUMMYFUNCTION("""COMPUTED_VALUE"""),"IP65")</f>
        <v>IP65</v>
      </c>
      <c r="AE943" s="97" t="str">
        <f>IFERROR(__xludf.DUMMYFUNCTION("""COMPUTED_VALUE"""),"Clase l")</f>
        <v>Clase l</v>
      </c>
      <c r="AF943" s="97" t="str">
        <f>IFERROR(__xludf.DUMMYFUNCTION("""COMPUTED_VALUE"""),"Aplicar")</f>
        <v>Aplicar</v>
      </c>
      <c r="AG943" s="97" t="str">
        <f>IFERROR(__xludf.DUMMYFUNCTION("""COMPUTED_VALUE"""),"460 x 35 x 90")</f>
        <v>460 x 35 x 90</v>
      </c>
      <c r="AH943" s="97" t="str">
        <f>IFERROR(__xludf.DUMMYFUNCTION("""COMPUTED_VALUE"""),"N/A")</f>
        <v>N/A</v>
      </c>
      <c r="AI943" s="97" t="str">
        <f>IFERROR(__xludf.DUMMYFUNCTION("""COMPUTED_VALUE"""),"N/A")</f>
        <v>N/A</v>
      </c>
      <c r="AJ943" s="97" t="str">
        <f>IFERROR(__xludf.DUMMYFUNCTION("""COMPUTED_VALUE"""),"Policarbonato (PC)")</f>
        <v>Policarbonato (PC)</v>
      </c>
      <c r="AK943" s="97" t="str">
        <f>IFERROR(__xludf.DUMMYFUNCTION("""COMPUTED_VALUE"""),"Aluminio")</f>
        <v>Aluminio</v>
      </c>
      <c r="AL943" s="97" t="str">
        <f>IFERROR(__xludf.DUMMYFUNCTION("""COMPUTED_VALUE"""),"Blanco Satinado")</f>
        <v>Blanco Satinado</v>
      </c>
      <c r="AM943" s="97" t="str">
        <f>IFERROR(__xludf.DUMMYFUNCTION("""COMPUTED_VALUE"""),"-")</f>
        <v>-</v>
      </c>
      <c r="AN943" s="97" t="str">
        <f>IFERROR(__xludf.DUMMYFUNCTION("""COMPUTED_VALUE"""),"25.000hs (L70)")</f>
        <v>25.000hs (L70)</v>
      </c>
      <c r="AO943" s="97" t="str">
        <f>IFERROR(__xludf.DUMMYFUNCTION("""COMPUTED_VALUE"""),"2 Años")</f>
        <v>2 Años</v>
      </c>
      <c r="AP943" s="97" t="str">
        <f>IFERROR(__xludf.DUMMYFUNCTION("""COMPUTED_VALUE"""),"Disponible")</f>
        <v>Disponible</v>
      </c>
      <c r="AQ943" s="97" t="str">
        <f>IFERROR(__xludf.DUMMYFUNCTION("""COMPUTED_VALUE"""),"Disponible")</f>
        <v>Disponible</v>
      </c>
      <c r="AR943" s="97" t="str">
        <f>IFERROR(__xludf.DUMMYFUNCTION("""COMPUTED_VALUE"""),"Disponible")</f>
        <v>Disponible</v>
      </c>
      <c r="AS943" s="97"/>
      <c r="AT943" s="97"/>
      <c r="AU943" s="97" t="str">
        <f>IFERROR(__xludf.DUMMYFUNCTION("""COMPUTED_VALUE"""),"Falta")</f>
        <v>Falta</v>
      </c>
      <c r="AV943" s="97" t="str">
        <f>IFERROR(__xludf.DUMMYFUNCTION("""COMPUTED_VALUE"""),"Aplique")</f>
        <v>Aplique</v>
      </c>
      <c r="AW943" s="97" t="str">
        <f>IFERROR(__xludf.DUMMYFUNCTION("""COMPUTED_VALUE"""),"De Pared")</f>
        <v>De Pared</v>
      </c>
      <c r="AX943" s="97" t="str">
        <f>IFERROR(__xludf.DUMMYFUNCTION("""COMPUTED_VALUE"""),"Exterior")</f>
        <v>Exterior</v>
      </c>
      <c r="AY943" s="97" t="str">
        <f>IFERROR(__xludf.DUMMYFUNCTION("""COMPUTED_VALUE"""),"-")</f>
        <v>-</v>
      </c>
      <c r="AZ943" s="97"/>
      <c r="BA943" s="97">
        <f>IFERROR(__xludf.DUMMYFUNCTION("""COMPUTED_VALUE"""),20.0)</f>
        <v>20</v>
      </c>
      <c r="BB943" s="97" t="str">
        <f>IFERROR(__xludf.DUMMYFUNCTION("""COMPUTED_VALUE"""),"-")</f>
        <v>-</v>
      </c>
      <c r="BC943" s="97" t="str">
        <f>IFERROR(__xludf.DUMMYFUNCTION("""COMPUTED_VALUE"""),"-")</f>
        <v>-</v>
      </c>
      <c r="BD943" s="97" t="str">
        <f>IFERROR(__xludf.DUMMYFUNCTION("""COMPUTED_VALUE"""),"MOMO EXT")</f>
        <v>MOMO EXT</v>
      </c>
      <c r="BE943" s="97" t="str">
        <f>IFERROR(__xludf.DUMMYFUNCTION("""COMPUTED_VALUE"""),"Finalizada")</f>
        <v>Finalizada</v>
      </c>
      <c r="BF943" s="97"/>
      <c r="BG943" s="97" t="str">
        <f>IFERROR(__xludf.DUMMYFUNCTION("""COMPUTED_VALUE"""),"Activo")</f>
        <v>Activo</v>
      </c>
    </row>
    <row r="944">
      <c r="A944" s="97">
        <f>IFERROR(__xludf.DUMMYFUNCTION("""COMPUTED_VALUE"""),6725.0)</f>
        <v>6725</v>
      </c>
      <c r="B944" s="97" t="str">
        <f>IFERROR(__xludf.DUMMYFUNCTION("""COMPUTED_VALUE"""),"MOMO I NG")</f>
        <v>MOMO I NG</v>
      </c>
      <c r="C944" s="97" t="str">
        <f>IFERROR(__xludf.DUMMYFUNCTION("""COMPUTED_VALUE"""),"APLIQUE MOMO I NG 24W 2700K 765LM CRI&gt;85 IP65 LEUK")</f>
        <v>APLIQUE MOMO I NG 24W 2700K 765LM CRI&gt;85 IP65 LEUK</v>
      </c>
      <c r="D944" s="97">
        <f>IFERROR(__xludf.DUMMYFUNCTION("""COMPUTED_VALUE"""),7.798413223149E12)</f>
        <v>7798413223149</v>
      </c>
      <c r="E944" s="97" t="str">
        <f>IFERROR(__xludf.DUMMYFUNCTION("""COMPUTED_VALUE"""),"C164")</f>
        <v>C164</v>
      </c>
      <c r="F944" s="97" t="str">
        <f>IFERROR(__xludf.DUMMYFUNCTION("""COMPUTED_VALUE"""),"LED integrado")</f>
        <v>LED integrado</v>
      </c>
      <c r="G944" s="97" t="str">
        <f>IFERROR(__xludf.DUMMYFUNCTION("""COMPUTED_VALUE"""),"-")</f>
        <v>-</v>
      </c>
      <c r="H944" s="97" t="str">
        <f>IFERROR(__xludf.DUMMYFUNCTION("""COMPUTED_VALUE"""),"-")</f>
        <v>-</v>
      </c>
      <c r="I944" s="97"/>
      <c r="J944" s="97" t="str">
        <f>IFERROR(__xludf.DUMMYFUNCTION("""COMPUTED_VALUE"""),"Modelo: GF-12V-24W
In: 85-265Vac 0.5A 50/60Hz
Out: 12Vdc 2A (1A@50°C) Pf: 0.6
Max Ta/Tc: -40–50°C / 75°C IP65")</f>
        <v>Modelo: GF-12V-24W
In: 85-265Vac 0.5A 50/60Hz
Out: 12Vdc 2A (1A@50°C) Pf: 0.6
Max Ta/Tc: -40–50°C / 75°C IP65</v>
      </c>
      <c r="K944" s="97" t="str">
        <f>IFERROR(__xludf.DUMMYFUNCTION("""COMPUTED_VALUE"""),"ON/OFF")</f>
        <v>ON/OFF</v>
      </c>
      <c r="L944" s="97" t="str">
        <f>IFERROR(__xludf.DUMMYFUNCTION("""COMPUTED_VALUE"""),"220-240")</f>
        <v>220-240</v>
      </c>
      <c r="M944" s="97" t="str">
        <f>IFERROR(__xludf.DUMMYFUNCTION("""COMPUTED_VALUE"""),"50/60")</f>
        <v>50/60</v>
      </c>
      <c r="N944" s="97"/>
      <c r="O944" s="97">
        <f>IFERROR(__xludf.DUMMYFUNCTION("""COMPUTED_VALUE"""),24.0)</f>
        <v>24</v>
      </c>
      <c r="P944" s="97"/>
      <c r="Q944" s="97">
        <f>IFERROR(__xludf.DUMMYFUNCTION("""COMPUTED_VALUE"""),0.6)</f>
        <v>0.6</v>
      </c>
      <c r="R944" s="97" t="str">
        <f>IFERROR(__xludf.DUMMYFUNCTION("""COMPUTED_VALUE"""),"-")</f>
        <v>-</v>
      </c>
      <c r="S944" s="97" t="str">
        <f>IFERROR(__xludf.DUMMYFUNCTION("""COMPUTED_VALUE"""),"-")</f>
        <v>-</v>
      </c>
      <c r="T944" s="97">
        <f>IFERROR(__xludf.DUMMYFUNCTION("""COMPUTED_VALUE"""),765.0)</f>
        <v>765</v>
      </c>
      <c r="U944" s="99">
        <f>IFERROR(__xludf.DUMMYFUNCTION("""COMPUTED_VALUE"""),31.875)</f>
        <v>31.875</v>
      </c>
      <c r="V944" s="97">
        <f>IFERROR(__xludf.DUMMYFUNCTION("""COMPUTED_VALUE"""),360.0)</f>
        <v>360</v>
      </c>
      <c r="W944" s="97" t="str">
        <f>IFERROR(__xludf.DUMMYFUNCTION("""COMPUTED_VALUE"""),"&lt; 20")</f>
        <v>&lt; 20</v>
      </c>
      <c r="X944" s="97">
        <f>IFERROR(__xludf.DUMMYFUNCTION("""COMPUTED_VALUE"""),2700.0)</f>
        <v>2700</v>
      </c>
      <c r="Y944" s="97" t="str">
        <f>IFERROR(__xludf.DUMMYFUNCTION("""COMPUTED_VALUE"""),"&gt;85")</f>
        <v>&gt;85</v>
      </c>
      <c r="Z944" s="97"/>
      <c r="AA944" s="97"/>
      <c r="AB944" s="97"/>
      <c r="AC944" s="97"/>
      <c r="AD944" s="97" t="str">
        <f>IFERROR(__xludf.DUMMYFUNCTION("""COMPUTED_VALUE"""),"IP65")</f>
        <v>IP65</v>
      </c>
      <c r="AE944" s="97" t="str">
        <f>IFERROR(__xludf.DUMMYFUNCTION("""COMPUTED_VALUE"""),"Clase l")</f>
        <v>Clase l</v>
      </c>
      <c r="AF944" s="97" t="str">
        <f>IFERROR(__xludf.DUMMYFUNCTION("""COMPUTED_VALUE"""),"Aplicar")</f>
        <v>Aplicar</v>
      </c>
      <c r="AG944" s="97" t="str">
        <f>IFERROR(__xludf.DUMMYFUNCTION("""COMPUTED_VALUE"""),"460 x 35 x 90")</f>
        <v>460 x 35 x 90</v>
      </c>
      <c r="AH944" s="97" t="str">
        <f>IFERROR(__xludf.DUMMYFUNCTION("""COMPUTED_VALUE"""),"N/A")</f>
        <v>N/A</v>
      </c>
      <c r="AI944" s="97" t="str">
        <f>IFERROR(__xludf.DUMMYFUNCTION("""COMPUTED_VALUE"""),"N/A")</f>
        <v>N/A</v>
      </c>
      <c r="AJ944" s="97" t="str">
        <f>IFERROR(__xludf.DUMMYFUNCTION("""COMPUTED_VALUE"""),"Policarbonato (PC)")</f>
        <v>Policarbonato (PC)</v>
      </c>
      <c r="AK944" s="97" t="str">
        <f>IFERROR(__xludf.DUMMYFUNCTION("""COMPUTED_VALUE"""),"Aluminio")</f>
        <v>Aluminio</v>
      </c>
      <c r="AL944" s="97" t="str">
        <f>IFERROR(__xludf.DUMMYFUNCTION("""COMPUTED_VALUE"""),"Negro Satinado")</f>
        <v>Negro Satinado</v>
      </c>
      <c r="AM944" s="97" t="str">
        <f>IFERROR(__xludf.DUMMYFUNCTION("""COMPUTED_VALUE"""),"-")</f>
        <v>-</v>
      </c>
      <c r="AN944" s="97" t="str">
        <f>IFERROR(__xludf.DUMMYFUNCTION("""COMPUTED_VALUE"""),"25.000hs (L70)")</f>
        <v>25.000hs (L70)</v>
      </c>
      <c r="AO944" s="97" t="str">
        <f>IFERROR(__xludf.DUMMYFUNCTION("""COMPUTED_VALUE"""),"2 Años")</f>
        <v>2 Años</v>
      </c>
      <c r="AP944" s="97" t="str">
        <f>IFERROR(__xludf.DUMMYFUNCTION("""COMPUTED_VALUE"""),"Disponible")</f>
        <v>Disponible</v>
      </c>
      <c r="AQ944" s="97" t="str">
        <f>IFERROR(__xludf.DUMMYFUNCTION("""COMPUTED_VALUE"""),"Disponible")</f>
        <v>Disponible</v>
      </c>
      <c r="AR944" s="97" t="str">
        <f>IFERROR(__xludf.DUMMYFUNCTION("""COMPUTED_VALUE"""),"Disponible")</f>
        <v>Disponible</v>
      </c>
      <c r="AS944" s="97"/>
      <c r="AT944" s="97"/>
      <c r="AU944" s="97" t="str">
        <f>IFERROR(__xludf.DUMMYFUNCTION("""COMPUTED_VALUE"""),"Falta")</f>
        <v>Falta</v>
      </c>
      <c r="AV944" s="97" t="str">
        <f>IFERROR(__xludf.DUMMYFUNCTION("""COMPUTED_VALUE"""),"Aplique")</f>
        <v>Aplique</v>
      </c>
      <c r="AW944" s="97" t="str">
        <f>IFERROR(__xludf.DUMMYFUNCTION("""COMPUTED_VALUE"""),"De Pared")</f>
        <v>De Pared</v>
      </c>
      <c r="AX944" s="97" t="str">
        <f>IFERROR(__xludf.DUMMYFUNCTION("""COMPUTED_VALUE"""),"Exterior")</f>
        <v>Exterior</v>
      </c>
      <c r="AY944" s="97" t="str">
        <f>IFERROR(__xludf.DUMMYFUNCTION("""COMPUTED_VALUE"""),"-")</f>
        <v>-</v>
      </c>
      <c r="AZ944" s="97"/>
      <c r="BA944" s="97">
        <f>IFERROR(__xludf.DUMMYFUNCTION("""COMPUTED_VALUE"""),20.0)</f>
        <v>20</v>
      </c>
      <c r="BB944" s="97" t="str">
        <f>IFERROR(__xludf.DUMMYFUNCTION("""COMPUTED_VALUE"""),"-")</f>
        <v>-</v>
      </c>
      <c r="BC944" s="97" t="str">
        <f>IFERROR(__xludf.DUMMYFUNCTION("""COMPUTED_VALUE"""),"-")</f>
        <v>-</v>
      </c>
      <c r="BD944" s="97" t="str">
        <f>IFERROR(__xludf.DUMMYFUNCTION("""COMPUTED_VALUE"""),"MOMO EXT")</f>
        <v>MOMO EXT</v>
      </c>
      <c r="BE944" s="97" t="str">
        <f>IFERROR(__xludf.DUMMYFUNCTION("""COMPUTED_VALUE"""),"Finalizada")</f>
        <v>Finalizada</v>
      </c>
      <c r="BF944" s="97"/>
      <c r="BG944" s="97" t="str">
        <f>IFERROR(__xludf.DUMMYFUNCTION("""COMPUTED_VALUE"""),"Activo")</f>
        <v>Activo</v>
      </c>
    </row>
    <row r="945">
      <c r="A945" s="97">
        <f>IFERROR(__xludf.DUMMYFUNCTION("""COMPUTED_VALUE"""),6726.0)</f>
        <v>6726</v>
      </c>
      <c r="B945" s="97" t="str">
        <f>IFERROR(__xludf.DUMMYFUNCTION("""COMPUTED_VALUE"""),"ADAPTADOR 2EF 2N BL")</f>
        <v>ADAPTADOR 2EF 2N BL</v>
      </c>
      <c r="C945" s="97" t="str">
        <f>IFERROR(__xludf.DUMMYFUNCTION("""COMPUTED_VALUE"""),"ACCESORIO ADAPTADOR 2EF 2N BL LEUK")</f>
        <v>ACCESORIO ADAPTADOR 2EF 2N BL LEUK</v>
      </c>
      <c r="D945" s="97">
        <f>IFERROR(__xludf.DUMMYFUNCTION("""COMPUTED_VALUE"""),7.798413222265E12)</f>
        <v>7798413222265</v>
      </c>
      <c r="E945" s="97" t="str">
        <f>IFERROR(__xludf.DUMMYFUNCTION("""COMPUTED_VALUE"""),"H70")</f>
        <v>H70</v>
      </c>
      <c r="F945" s="97" t="str">
        <f>IFERROR(__xludf.DUMMYFUNCTION("""COMPUTED_VALUE"""),"N/A")</f>
        <v>N/A</v>
      </c>
      <c r="G945" s="97" t="str">
        <f>IFERROR(__xludf.DUMMYFUNCTION("""COMPUTED_VALUE"""),"N/A")</f>
        <v>N/A</v>
      </c>
      <c r="H945" s="97" t="str">
        <f>IFERROR(__xludf.DUMMYFUNCTION("""COMPUTED_VALUE"""),"N/A")</f>
        <v>N/A</v>
      </c>
      <c r="I945" s="97" t="str">
        <f>IFERROR(__xludf.DUMMYFUNCTION("""COMPUTED_VALUE"""),"N/A")</f>
        <v>N/A</v>
      </c>
      <c r="J945" s="97" t="str">
        <f>IFERROR(__xludf.DUMMYFUNCTION("""COMPUTED_VALUE"""),"N/A")</f>
        <v>N/A</v>
      </c>
      <c r="K945" s="97" t="str">
        <f>IFERROR(__xludf.DUMMYFUNCTION("""COMPUTED_VALUE"""),"N/A")</f>
        <v>N/A</v>
      </c>
      <c r="L945" s="97">
        <f>IFERROR(__xludf.DUMMYFUNCTION("""COMPUTED_VALUE"""),220.0)</f>
        <v>220</v>
      </c>
      <c r="M945" s="97">
        <f>IFERROR(__xludf.DUMMYFUNCTION("""COMPUTED_VALUE"""),50.0)</f>
        <v>50</v>
      </c>
      <c r="N945" s="97" t="str">
        <f>IFERROR(__xludf.DUMMYFUNCTION("""COMPUTED_VALUE"""),"N/A")</f>
        <v>N/A</v>
      </c>
      <c r="O945" s="97" t="str">
        <f>IFERROR(__xludf.DUMMYFUNCTION("""COMPUTED_VALUE"""),"-")</f>
        <v>-</v>
      </c>
      <c r="P945" s="97"/>
      <c r="Q945" s="97" t="str">
        <f>IFERROR(__xludf.DUMMYFUNCTION("""COMPUTED_VALUE"""),"-")</f>
        <v>-</v>
      </c>
      <c r="R945" s="97" t="str">
        <f>IFERROR(__xludf.DUMMYFUNCTION("""COMPUTED_VALUE"""),"-")</f>
        <v>-</v>
      </c>
      <c r="S945" s="97" t="str">
        <f>IFERROR(__xludf.DUMMYFUNCTION("""COMPUTED_VALUE"""),"-")</f>
        <v>-</v>
      </c>
      <c r="T945" s="97" t="str">
        <f>IFERROR(__xludf.DUMMYFUNCTION("""COMPUTED_VALUE"""),"-")</f>
        <v>-</v>
      </c>
      <c r="U945" s="97" t="str">
        <f>IFERROR(__xludf.DUMMYFUNCTION("""COMPUTED_VALUE"""),"-")</f>
        <v>-</v>
      </c>
      <c r="V945" s="97" t="str">
        <f>IFERROR(__xludf.DUMMYFUNCTION("""COMPUTED_VALUE"""),"N/A")</f>
        <v>N/A</v>
      </c>
      <c r="W945" s="97" t="str">
        <f>IFERROR(__xludf.DUMMYFUNCTION("""COMPUTED_VALUE"""),"N/A")</f>
        <v>N/A</v>
      </c>
      <c r="X945" s="97" t="str">
        <f>IFERROR(__xludf.DUMMYFUNCTION("""COMPUTED_VALUE"""),"-")</f>
        <v>-</v>
      </c>
      <c r="Y945" s="97" t="str">
        <f>IFERROR(__xludf.DUMMYFUNCTION("""COMPUTED_VALUE"""),"N/A")</f>
        <v>N/A</v>
      </c>
      <c r="Z945" s="97" t="str">
        <f>IFERROR(__xludf.DUMMYFUNCTION("""COMPUTED_VALUE"""),"N/A")</f>
        <v>N/A</v>
      </c>
      <c r="AA945" s="97" t="str">
        <f>IFERROR(__xludf.DUMMYFUNCTION("""COMPUTED_VALUE"""),"N/A")</f>
        <v>N/A</v>
      </c>
      <c r="AB945" s="97" t="str">
        <f>IFERROR(__xludf.DUMMYFUNCTION("""COMPUTED_VALUE"""),"N/A")</f>
        <v>N/A</v>
      </c>
      <c r="AC945" s="97" t="str">
        <f>IFERROR(__xludf.DUMMYFUNCTION("""COMPUTED_VALUE"""),"N/A")</f>
        <v>N/A</v>
      </c>
      <c r="AD945" s="97" t="str">
        <f>IFERROR(__xludf.DUMMYFUNCTION("""COMPUTED_VALUE"""),"IP20")</f>
        <v>IP20</v>
      </c>
      <c r="AE945" s="97" t="str">
        <f>IFERROR(__xludf.DUMMYFUNCTION("""COMPUTED_VALUE"""),"Clase l")</f>
        <v>Clase l</v>
      </c>
      <c r="AF945" s="97" t="str">
        <f>IFERROR(__xludf.DUMMYFUNCTION("""COMPUTED_VALUE"""),"N/A")</f>
        <v>N/A</v>
      </c>
      <c r="AG945" s="97" t="str">
        <f>IFERROR(__xludf.DUMMYFUNCTION("""COMPUTED_VALUE"""),"72 x 32 x 55")</f>
        <v>72 x 32 x 55</v>
      </c>
      <c r="AH945" s="97" t="str">
        <f>IFERROR(__xludf.DUMMYFUNCTION("""COMPUTED_VALUE"""),"N/A")</f>
        <v>N/A</v>
      </c>
      <c r="AI945" s="97" t="str">
        <f>IFERROR(__xludf.DUMMYFUNCTION("""COMPUTED_VALUE"""),"N/A")</f>
        <v>N/A</v>
      </c>
      <c r="AJ945" s="97" t="str">
        <f>IFERROR(__xludf.DUMMYFUNCTION("""COMPUTED_VALUE"""),"N/A")</f>
        <v>N/A</v>
      </c>
      <c r="AK945" s="97" t="str">
        <f>IFERROR(__xludf.DUMMYFUNCTION("""COMPUTED_VALUE"""),"Policarbonato (PC)")</f>
        <v>Policarbonato (PC)</v>
      </c>
      <c r="AL945" s="97" t="str">
        <f>IFERROR(__xludf.DUMMYFUNCTION("""COMPUTED_VALUE"""),"Blanco Mate")</f>
        <v>Blanco Mate</v>
      </c>
      <c r="AM945" s="97" t="str">
        <f>IFERROR(__xludf.DUMMYFUNCTION("""COMPUTED_VALUE"""),"-")</f>
        <v>-</v>
      </c>
      <c r="AN945" s="97" t="str">
        <f>IFERROR(__xludf.DUMMYFUNCTION("""COMPUTED_VALUE"""),"N/A")</f>
        <v>N/A</v>
      </c>
      <c r="AO945" s="97" t="str">
        <f>IFERROR(__xludf.DUMMYFUNCTION("""COMPUTED_VALUE"""),"3 Años")</f>
        <v>3 Años</v>
      </c>
      <c r="AP945" s="97" t="str">
        <f>IFERROR(__xludf.DUMMYFUNCTION("""COMPUTED_VALUE"""),"No Aplica")</f>
        <v>No Aplica</v>
      </c>
      <c r="AQ945" s="97" t="str">
        <f>IFERROR(__xludf.DUMMYFUNCTION("""COMPUTED_VALUE"""),"No Aplica")</f>
        <v>No Aplica</v>
      </c>
      <c r="AR945" s="97" t="str">
        <f>IFERROR(__xludf.DUMMYFUNCTION("""COMPUTED_VALUE"""),"No Aplica")</f>
        <v>No Aplica</v>
      </c>
      <c r="AS945" s="97"/>
      <c r="AT945" s="97"/>
      <c r="AU945" s="97" t="str">
        <f>IFERROR(__xludf.DUMMYFUNCTION("""COMPUTED_VALUE"""),"Falta")</f>
        <v>Falta</v>
      </c>
      <c r="AV945" s="97" t="str">
        <f>IFERROR(__xludf.DUMMYFUNCTION("""COMPUTED_VALUE"""),"Accesorio")</f>
        <v>Accesorio</v>
      </c>
      <c r="AW945" s="97" t="str">
        <f>IFERROR(__xludf.DUMMYFUNCTION("""COMPUTED_VALUE"""),"Rieles")</f>
        <v>Rieles</v>
      </c>
      <c r="AX945" s="97" t="str">
        <f>IFERROR(__xludf.DUMMYFUNCTION("""COMPUTED_VALUE"""),"Interior")</f>
        <v>Interior</v>
      </c>
      <c r="AY945" s="97" t="str">
        <f>IFERROR(__xludf.DUMMYFUNCTION("""COMPUTED_VALUE"""),"-")</f>
        <v>-</v>
      </c>
      <c r="AZ945" s="97" t="str">
        <f>IFERROR(__xludf.DUMMYFUNCTION("""COMPUTED_VALUE"""),"Soporta 10A")</f>
        <v>Soporta 10A</v>
      </c>
      <c r="BA945" s="97">
        <f>IFERROR(__xludf.DUMMYFUNCTION("""COMPUTED_VALUE"""),200.0)</f>
        <v>200</v>
      </c>
      <c r="BB945" s="97" t="str">
        <f>IFERROR(__xludf.DUMMYFUNCTION("""COMPUTED_VALUE"""),"-")</f>
        <v>-</v>
      </c>
      <c r="BC945" s="97" t="str">
        <f>IFERROR(__xludf.DUMMYFUNCTION("""COMPUTED_VALUE"""),"-")</f>
        <v>-</v>
      </c>
      <c r="BD945" s="97" t="str">
        <f>IFERROR(__xludf.DUMMYFUNCTION("""COMPUTED_VALUE"""),"RIELES 2EF 2NEUTROS")</f>
        <v>RIELES 2EF 2NEUTROS</v>
      </c>
      <c r="BE945" s="97" t="str">
        <f>IFERROR(__xludf.DUMMYFUNCTION("""COMPUTED_VALUE"""),"Finalizada")</f>
        <v>Finalizada</v>
      </c>
      <c r="BF945" s="97"/>
      <c r="BG945" s="97" t="str">
        <f>IFERROR(__xludf.DUMMYFUNCTION("""COMPUTED_VALUE"""),"Activo")</f>
        <v>Activo</v>
      </c>
    </row>
    <row r="946">
      <c r="A946" s="97">
        <f>IFERROR(__xludf.DUMMYFUNCTION("""COMPUTED_VALUE"""),6727.0)</f>
        <v>6727</v>
      </c>
      <c r="B946" s="97" t="str">
        <f>IFERROR(__xludf.DUMMYFUNCTION("""COMPUTED_VALUE"""),"ADAPTADOR 2EF 2N NG")</f>
        <v>ADAPTADOR 2EF 2N NG</v>
      </c>
      <c r="C946" s="97" t="str">
        <f>IFERROR(__xludf.DUMMYFUNCTION("""COMPUTED_VALUE"""),"ACCESORIO ADAPTADOR 2EF 2N NG LEUK")</f>
        <v>ACCESORIO ADAPTADOR 2EF 2N NG LEUK</v>
      </c>
      <c r="D946" s="97">
        <f>IFERROR(__xludf.DUMMYFUNCTION("""COMPUTED_VALUE"""),7.798413222272E12)</f>
        <v>7798413222272</v>
      </c>
      <c r="E946" s="97" t="str">
        <f>IFERROR(__xludf.DUMMYFUNCTION("""COMPUTED_VALUE"""),"H69")</f>
        <v>H69</v>
      </c>
      <c r="F946" s="97" t="str">
        <f>IFERROR(__xludf.DUMMYFUNCTION("""COMPUTED_VALUE"""),"N/A")</f>
        <v>N/A</v>
      </c>
      <c r="G946" s="97" t="str">
        <f>IFERROR(__xludf.DUMMYFUNCTION("""COMPUTED_VALUE"""),"N/A")</f>
        <v>N/A</v>
      </c>
      <c r="H946" s="97" t="str">
        <f>IFERROR(__xludf.DUMMYFUNCTION("""COMPUTED_VALUE"""),"N/A")</f>
        <v>N/A</v>
      </c>
      <c r="I946" s="97" t="str">
        <f>IFERROR(__xludf.DUMMYFUNCTION("""COMPUTED_VALUE"""),"N/A")</f>
        <v>N/A</v>
      </c>
      <c r="J946" s="97" t="str">
        <f>IFERROR(__xludf.DUMMYFUNCTION("""COMPUTED_VALUE"""),"N/A")</f>
        <v>N/A</v>
      </c>
      <c r="K946" s="97" t="str">
        <f>IFERROR(__xludf.DUMMYFUNCTION("""COMPUTED_VALUE"""),"N/A")</f>
        <v>N/A</v>
      </c>
      <c r="L946" s="97">
        <f>IFERROR(__xludf.DUMMYFUNCTION("""COMPUTED_VALUE"""),220.0)</f>
        <v>220</v>
      </c>
      <c r="M946" s="97">
        <f>IFERROR(__xludf.DUMMYFUNCTION("""COMPUTED_VALUE"""),50.0)</f>
        <v>50</v>
      </c>
      <c r="N946" s="97" t="str">
        <f>IFERROR(__xludf.DUMMYFUNCTION("""COMPUTED_VALUE"""),"N/A")</f>
        <v>N/A</v>
      </c>
      <c r="O946" s="97" t="str">
        <f>IFERROR(__xludf.DUMMYFUNCTION("""COMPUTED_VALUE"""),"-")</f>
        <v>-</v>
      </c>
      <c r="P946" s="97"/>
      <c r="Q946" s="97" t="str">
        <f>IFERROR(__xludf.DUMMYFUNCTION("""COMPUTED_VALUE"""),"-")</f>
        <v>-</v>
      </c>
      <c r="R946" s="97" t="str">
        <f>IFERROR(__xludf.DUMMYFUNCTION("""COMPUTED_VALUE"""),"-")</f>
        <v>-</v>
      </c>
      <c r="S946" s="97" t="str">
        <f>IFERROR(__xludf.DUMMYFUNCTION("""COMPUTED_VALUE"""),"-")</f>
        <v>-</v>
      </c>
      <c r="T946" s="97" t="str">
        <f>IFERROR(__xludf.DUMMYFUNCTION("""COMPUTED_VALUE"""),"-")</f>
        <v>-</v>
      </c>
      <c r="U946" s="97" t="str">
        <f>IFERROR(__xludf.DUMMYFUNCTION("""COMPUTED_VALUE"""),"-")</f>
        <v>-</v>
      </c>
      <c r="V946" s="97" t="str">
        <f>IFERROR(__xludf.DUMMYFUNCTION("""COMPUTED_VALUE"""),"N/A")</f>
        <v>N/A</v>
      </c>
      <c r="W946" s="97" t="str">
        <f>IFERROR(__xludf.DUMMYFUNCTION("""COMPUTED_VALUE"""),"N/A")</f>
        <v>N/A</v>
      </c>
      <c r="X946" s="97" t="str">
        <f>IFERROR(__xludf.DUMMYFUNCTION("""COMPUTED_VALUE"""),"-")</f>
        <v>-</v>
      </c>
      <c r="Y946" s="97" t="str">
        <f>IFERROR(__xludf.DUMMYFUNCTION("""COMPUTED_VALUE"""),"N/A")</f>
        <v>N/A</v>
      </c>
      <c r="Z946" s="97" t="str">
        <f>IFERROR(__xludf.DUMMYFUNCTION("""COMPUTED_VALUE"""),"N/A")</f>
        <v>N/A</v>
      </c>
      <c r="AA946" s="97" t="str">
        <f>IFERROR(__xludf.DUMMYFUNCTION("""COMPUTED_VALUE"""),"N/A")</f>
        <v>N/A</v>
      </c>
      <c r="AB946" s="97" t="str">
        <f>IFERROR(__xludf.DUMMYFUNCTION("""COMPUTED_VALUE"""),"N/A")</f>
        <v>N/A</v>
      </c>
      <c r="AC946" s="97" t="str">
        <f>IFERROR(__xludf.DUMMYFUNCTION("""COMPUTED_VALUE"""),"N/A")</f>
        <v>N/A</v>
      </c>
      <c r="AD946" s="97" t="str">
        <f>IFERROR(__xludf.DUMMYFUNCTION("""COMPUTED_VALUE"""),"IP20")</f>
        <v>IP20</v>
      </c>
      <c r="AE946" s="97" t="str">
        <f>IFERROR(__xludf.DUMMYFUNCTION("""COMPUTED_VALUE"""),"Clase l")</f>
        <v>Clase l</v>
      </c>
      <c r="AF946" s="97" t="str">
        <f>IFERROR(__xludf.DUMMYFUNCTION("""COMPUTED_VALUE"""),"N/A")</f>
        <v>N/A</v>
      </c>
      <c r="AG946" s="97" t="str">
        <f>IFERROR(__xludf.DUMMYFUNCTION("""COMPUTED_VALUE"""),"72 x 32 x 55")</f>
        <v>72 x 32 x 55</v>
      </c>
      <c r="AH946" s="97" t="str">
        <f>IFERROR(__xludf.DUMMYFUNCTION("""COMPUTED_VALUE"""),"N/A")</f>
        <v>N/A</v>
      </c>
      <c r="AI946" s="97" t="str">
        <f>IFERROR(__xludf.DUMMYFUNCTION("""COMPUTED_VALUE"""),"N/A")</f>
        <v>N/A</v>
      </c>
      <c r="AJ946" s="97" t="str">
        <f>IFERROR(__xludf.DUMMYFUNCTION("""COMPUTED_VALUE"""),"N/A")</f>
        <v>N/A</v>
      </c>
      <c r="AK946" s="97" t="str">
        <f>IFERROR(__xludf.DUMMYFUNCTION("""COMPUTED_VALUE"""),"Policarbonato (PC)")</f>
        <v>Policarbonato (PC)</v>
      </c>
      <c r="AL946" s="97" t="str">
        <f>IFERROR(__xludf.DUMMYFUNCTION("""COMPUTED_VALUE"""),"Negro Mate")</f>
        <v>Negro Mate</v>
      </c>
      <c r="AM946" s="97" t="str">
        <f>IFERROR(__xludf.DUMMYFUNCTION("""COMPUTED_VALUE"""),"-")</f>
        <v>-</v>
      </c>
      <c r="AN946" s="97" t="str">
        <f>IFERROR(__xludf.DUMMYFUNCTION("""COMPUTED_VALUE"""),"N/A")</f>
        <v>N/A</v>
      </c>
      <c r="AO946" s="97" t="str">
        <f>IFERROR(__xludf.DUMMYFUNCTION("""COMPUTED_VALUE"""),"3 Años")</f>
        <v>3 Años</v>
      </c>
      <c r="AP946" s="97" t="str">
        <f>IFERROR(__xludf.DUMMYFUNCTION("""COMPUTED_VALUE"""),"No Aplica")</f>
        <v>No Aplica</v>
      </c>
      <c r="AQ946" s="97" t="str">
        <f>IFERROR(__xludf.DUMMYFUNCTION("""COMPUTED_VALUE"""),"No Aplica")</f>
        <v>No Aplica</v>
      </c>
      <c r="AR946" s="97" t="str">
        <f>IFERROR(__xludf.DUMMYFUNCTION("""COMPUTED_VALUE"""),"No Aplica")</f>
        <v>No Aplica</v>
      </c>
      <c r="AS946" s="97"/>
      <c r="AT946" s="97"/>
      <c r="AU946" s="97" t="str">
        <f>IFERROR(__xludf.DUMMYFUNCTION("""COMPUTED_VALUE"""),"Falta")</f>
        <v>Falta</v>
      </c>
      <c r="AV946" s="97" t="str">
        <f>IFERROR(__xludf.DUMMYFUNCTION("""COMPUTED_VALUE"""),"Accesorio")</f>
        <v>Accesorio</v>
      </c>
      <c r="AW946" s="97" t="str">
        <f>IFERROR(__xludf.DUMMYFUNCTION("""COMPUTED_VALUE"""),"Rieles")</f>
        <v>Rieles</v>
      </c>
      <c r="AX946" s="97" t="str">
        <f>IFERROR(__xludf.DUMMYFUNCTION("""COMPUTED_VALUE"""),"Interior")</f>
        <v>Interior</v>
      </c>
      <c r="AY946" s="97" t="str">
        <f>IFERROR(__xludf.DUMMYFUNCTION("""COMPUTED_VALUE"""),"-")</f>
        <v>-</v>
      </c>
      <c r="AZ946" s="97" t="str">
        <f>IFERROR(__xludf.DUMMYFUNCTION("""COMPUTED_VALUE"""),"Soporta 10A")</f>
        <v>Soporta 10A</v>
      </c>
      <c r="BA946" s="97">
        <f>IFERROR(__xludf.DUMMYFUNCTION("""COMPUTED_VALUE"""),200.0)</f>
        <v>200</v>
      </c>
      <c r="BB946" s="97" t="str">
        <f>IFERROR(__xludf.DUMMYFUNCTION("""COMPUTED_VALUE"""),"-")</f>
        <v>-</v>
      </c>
      <c r="BC946" s="97" t="str">
        <f>IFERROR(__xludf.DUMMYFUNCTION("""COMPUTED_VALUE"""),"-")</f>
        <v>-</v>
      </c>
      <c r="BD946" s="97" t="str">
        <f>IFERROR(__xludf.DUMMYFUNCTION("""COMPUTED_VALUE"""),"RIELES 2EF 2NEUTROS")</f>
        <v>RIELES 2EF 2NEUTROS</v>
      </c>
      <c r="BE946" s="97" t="str">
        <f>IFERROR(__xludf.DUMMYFUNCTION("""COMPUTED_VALUE"""),"Finalizada")</f>
        <v>Finalizada</v>
      </c>
      <c r="BF946" s="97"/>
      <c r="BG946" s="97" t="str">
        <f>IFERROR(__xludf.DUMMYFUNCTION("""COMPUTED_VALUE"""),"Activo")</f>
        <v>Activo</v>
      </c>
    </row>
    <row r="947">
      <c r="A947" s="97">
        <f>IFERROR(__xludf.DUMMYFUNCTION("""COMPUTED_VALUE"""),6728.0)</f>
        <v>6728</v>
      </c>
      <c r="B947" s="97" t="str">
        <f>IFERROR(__xludf.DUMMYFUNCTION("""COMPUTED_VALUE"""),"KIT SUSPENSIÓN SINTRA/YORK MD")</f>
        <v>KIT SUSPENSIÓN SINTRA/YORK MD</v>
      </c>
      <c r="C947" s="97" t="str">
        <f>IFERROR(__xludf.DUMMYFUNCTION("""COMPUTED_VALUE"""),"KIT SUSPENSION SINTRA/YORK 45W R MADERA LEUK")</f>
        <v>KIT SUSPENSION SINTRA/YORK 45W R MADERA LEUK</v>
      </c>
      <c r="D947" s="97">
        <f>IFERROR(__xludf.DUMMYFUNCTION("""COMPUTED_VALUE"""),7.798413222296E12)</f>
        <v>7798413222296</v>
      </c>
      <c r="E947" s="97" t="str">
        <f>IFERROR(__xludf.DUMMYFUNCTION("""COMPUTED_VALUE"""),"KM1")</f>
        <v>KM1</v>
      </c>
      <c r="F947" s="97" t="str">
        <f>IFERROR(__xludf.DUMMYFUNCTION("""COMPUTED_VALUE"""),"N/A")</f>
        <v>N/A</v>
      </c>
      <c r="G947" s="97" t="str">
        <f>IFERROR(__xludf.DUMMYFUNCTION("""COMPUTED_VALUE"""),"N/A")</f>
        <v>N/A</v>
      </c>
      <c r="H947" s="97" t="str">
        <f>IFERROR(__xludf.DUMMYFUNCTION("""COMPUTED_VALUE"""),"N/A")</f>
        <v>N/A</v>
      </c>
      <c r="I947" s="97" t="str">
        <f>IFERROR(__xludf.DUMMYFUNCTION("""COMPUTED_VALUE"""),"N/A")</f>
        <v>N/A</v>
      </c>
      <c r="J947" s="97"/>
      <c r="K947" s="97" t="str">
        <f>IFERROR(__xludf.DUMMYFUNCTION("""COMPUTED_VALUE"""),"N/A")</f>
        <v>N/A</v>
      </c>
      <c r="L947" s="97" t="str">
        <f>IFERROR(__xludf.DUMMYFUNCTION("""COMPUTED_VALUE"""),"200-240")</f>
        <v>200-240</v>
      </c>
      <c r="M947" s="97" t="str">
        <f>IFERROR(__xludf.DUMMYFUNCTION("""COMPUTED_VALUE"""),"50/60")</f>
        <v>50/60</v>
      </c>
      <c r="N947" s="97"/>
      <c r="O947" s="97" t="str">
        <f>IFERROR(__xludf.DUMMYFUNCTION("""COMPUTED_VALUE"""),"-")</f>
        <v>-</v>
      </c>
      <c r="P947" s="97"/>
      <c r="Q947" s="97" t="str">
        <f>IFERROR(__xludf.DUMMYFUNCTION("""COMPUTED_VALUE"""),"-")</f>
        <v>-</v>
      </c>
      <c r="R947" s="97" t="str">
        <f>IFERROR(__xludf.DUMMYFUNCTION("""COMPUTED_VALUE"""),"-")</f>
        <v>-</v>
      </c>
      <c r="S947" s="97" t="str">
        <f>IFERROR(__xludf.DUMMYFUNCTION("""COMPUTED_VALUE"""),"-")</f>
        <v>-</v>
      </c>
      <c r="T947" s="97" t="str">
        <f>IFERROR(__xludf.DUMMYFUNCTION("""COMPUTED_VALUE"""),"-")</f>
        <v>-</v>
      </c>
      <c r="U947" s="97" t="str">
        <f>IFERROR(__xludf.DUMMYFUNCTION("""COMPUTED_VALUE"""),"-")</f>
        <v>-</v>
      </c>
      <c r="V947" s="97" t="str">
        <f>IFERROR(__xludf.DUMMYFUNCTION("""COMPUTED_VALUE"""),"N/A")</f>
        <v>N/A</v>
      </c>
      <c r="W947" s="97" t="str">
        <f>IFERROR(__xludf.DUMMYFUNCTION("""COMPUTED_VALUE"""),"N/A")</f>
        <v>N/A</v>
      </c>
      <c r="X947" s="97" t="str">
        <f>IFERROR(__xludf.DUMMYFUNCTION("""COMPUTED_VALUE"""),"-")</f>
        <v>-</v>
      </c>
      <c r="Y947" s="97" t="str">
        <f>IFERROR(__xludf.DUMMYFUNCTION("""COMPUTED_VALUE"""),"N/A")</f>
        <v>N/A</v>
      </c>
      <c r="Z947" s="97" t="str">
        <f>IFERROR(__xludf.DUMMYFUNCTION("""COMPUTED_VALUE"""),"N/A")</f>
        <v>N/A</v>
      </c>
      <c r="AA947" s="97" t="str">
        <f>IFERROR(__xludf.DUMMYFUNCTION("""COMPUTED_VALUE"""),"N/A")</f>
        <v>N/A</v>
      </c>
      <c r="AB947" s="97" t="str">
        <f>IFERROR(__xludf.DUMMYFUNCTION("""COMPUTED_VALUE"""),"N/A")</f>
        <v>N/A</v>
      </c>
      <c r="AC947" s="97" t="str">
        <f>IFERROR(__xludf.DUMMYFUNCTION("""COMPUTED_VALUE"""),"N/A")</f>
        <v>N/A</v>
      </c>
      <c r="AD947" s="97" t="str">
        <f>IFERROR(__xludf.DUMMYFUNCTION("""COMPUTED_VALUE"""),"IP20")</f>
        <v>IP20</v>
      </c>
      <c r="AE947" s="97" t="str">
        <f>IFERROR(__xludf.DUMMYFUNCTION("""COMPUTED_VALUE"""),"Clase l")</f>
        <v>Clase l</v>
      </c>
      <c r="AF947" s="97" t="str">
        <f>IFERROR(__xludf.DUMMYFUNCTION("""COMPUTED_VALUE"""),"N/A")</f>
        <v>N/A</v>
      </c>
      <c r="AG947" s="97" t="str">
        <f>IFERROR(__xludf.DUMMYFUNCTION("""COMPUTED_VALUE"""),"Cable y Tensor 1,5mts
Florón: Ø120 x 25")</f>
        <v>Cable y Tensor 1,5mts
Florón: Ø120 x 25</v>
      </c>
      <c r="AH947" s="97" t="str">
        <f>IFERROR(__xludf.DUMMYFUNCTION("""COMPUTED_VALUE"""),"N/A")</f>
        <v>N/A</v>
      </c>
      <c r="AI947" s="97" t="str">
        <f>IFERROR(__xludf.DUMMYFUNCTION("""COMPUTED_VALUE"""),"N/A")</f>
        <v>N/A</v>
      </c>
      <c r="AJ947" s="97" t="str">
        <f>IFERROR(__xludf.DUMMYFUNCTION("""COMPUTED_VALUE"""),"N/A")</f>
        <v>N/A</v>
      </c>
      <c r="AK947" s="97" t="str">
        <f>IFERROR(__xludf.DUMMYFUNCTION("""COMPUTED_VALUE"""),"Acero")</f>
        <v>Acero</v>
      </c>
      <c r="AL947" s="97" t="str">
        <f>IFERROR(__xludf.DUMMYFUNCTION("""COMPUTED_VALUE"""),"Madera")</f>
        <v>Madera</v>
      </c>
      <c r="AM947" s="97" t="str">
        <f>IFERROR(__xludf.DUMMYFUNCTION("""COMPUTED_VALUE"""),"-")</f>
        <v>-</v>
      </c>
      <c r="AN947" s="97" t="str">
        <f>IFERROR(__xludf.DUMMYFUNCTION("""COMPUTED_VALUE"""),"N/A")</f>
        <v>N/A</v>
      </c>
      <c r="AO947" s="97" t="str">
        <f>IFERROR(__xludf.DUMMYFUNCTION("""COMPUTED_VALUE"""),"2 Años")</f>
        <v>2 Años</v>
      </c>
      <c r="AP947" s="97" t="str">
        <f>IFERROR(__xludf.DUMMYFUNCTION("""COMPUTED_VALUE"""),"No Aplica")</f>
        <v>No Aplica</v>
      </c>
      <c r="AQ947" s="97" t="str">
        <f>IFERROR(__xludf.DUMMYFUNCTION("""COMPUTED_VALUE"""),"No Aplica")</f>
        <v>No Aplica</v>
      </c>
      <c r="AR947" s="97" t="str">
        <f>IFERROR(__xludf.DUMMYFUNCTION("""COMPUTED_VALUE"""),"No Aplica")</f>
        <v>No Aplica</v>
      </c>
      <c r="AS947" s="97"/>
      <c r="AT947" s="97"/>
      <c r="AU947" s="97" t="str">
        <f>IFERROR(__xludf.DUMMYFUNCTION("""COMPUTED_VALUE"""),"Falta")</f>
        <v>Falta</v>
      </c>
      <c r="AV947" s="97" t="str">
        <f>IFERROR(__xludf.DUMMYFUNCTION("""COMPUTED_VALUE"""),"Accesorio")</f>
        <v>Accesorio</v>
      </c>
      <c r="AW947" s="97" t="str">
        <f>IFERROR(__xludf.DUMMYFUNCTION("""COMPUTED_VALUE"""),"De Techo")</f>
        <v>De Techo</v>
      </c>
      <c r="AX947" s="97" t="str">
        <f>IFERROR(__xludf.DUMMYFUNCTION("""COMPUTED_VALUE"""),"Interior")</f>
        <v>Interior</v>
      </c>
      <c r="AY947" s="97"/>
      <c r="AZ947" s="97" t="str">
        <f>IFERROR(__xludf.DUMMYFUNCTION("""COMPUTED_VALUE"""),"tmb va en FichaTec SINTRA / SINTRA 2700 / YORK / YORK 2700")</f>
        <v>tmb va en FichaTec SINTRA / SINTRA 2700 / YORK / YORK 2700</v>
      </c>
      <c r="BA947" s="97">
        <f>IFERROR(__xludf.DUMMYFUNCTION("""COMPUTED_VALUE"""),100.0)</f>
        <v>100</v>
      </c>
      <c r="BB947" s="97"/>
      <c r="BC947" s="97"/>
      <c r="BD947" s="97" t="str">
        <f>IFERROR(__xludf.DUMMYFUNCTION("""COMPUTED_VALUE"""),"YORK")</f>
        <v>YORK</v>
      </c>
      <c r="BE947" s="97" t="str">
        <f>IFERROR(__xludf.DUMMYFUNCTION("""COMPUTED_VALUE"""),"Finalizada")</f>
        <v>Finalizada</v>
      </c>
      <c r="BF947" s="97"/>
      <c r="BG947" s="97" t="str">
        <f>IFERROR(__xludf.DUMMYFUNCTION("""COMPUTED_VALUE"""),"Discontinuo")</f>
        <v>Discontinuo</v>
      </c>
    </row>
    <row r="948">
      <c r="A948" s="97">
        <f>IFERROR(__xludf.DUMMYFUNCTION("""COMPUTED_VALUE"""),6734.0)</f>
        <v>6734</v>
      </c>
      <c r="B948" s="97" t="str">
        <f>IFERROR(__xludf.DUMMYFUNCTION("""COMPUTED_VALUE"""),"DYNA UNION CABEZAL BL")</f>
        <v>DYNA UNION CABEZAL BL</v>
      </c>
      <c r="C948" s="97" t="str">
        <f>IFERROR(__xludf.DUMMYFUNCTION("""COMPUTED_VALUE"""),"UNIÓN DYNA UNION CABEZAL BL LEUK")</f>
        <v>UNIÓN DYNA UNION CABEZAL BL LEUK</v>
      </c>
      <c r="D948" s="97">
        <f>IFERROR(__xludf.DUMMYFUNCTION("""COMPUTED_VALUE"""),7.798413223057E12)</f>
        <v>7798413223057</v>
      </c>
      <c r="E948" s="97" t="str">
        <f>IFERROR(__xludf.DUMMYFUNCTION("""COMPUTED_VALUE"""),"i21")</f>
        <v>i21</v>
      </c>
      <c r="F948" s="97" t="str">
        <f>IFERROR(__xludf.DUMMYFUNCTION("""COMPUTED_VALUE"""),"N/A")</f>
        <v>N/A</v>
      </c>
      <c r="G948" s="97" t="str">
        <f>IFERROR(__xludf.DUMMYFUNCTION("""COMPUTED_VALUE"""),"N/A")</f>
        <v>N/A</v>
      </c>
      <c r="H948" s="97" t="str">
        <f>IFERROR(__xludf.DUMMYFUNCTION("""COMPUTED_VALUE"""),"N/A")</f>
        <v>N/A</v>
      </c>
      <c r="I948" s="97" t="str">
        <f>IFERROR(__xludf.DUMMYFUNCTION("""COMPUTED_VALUE"""),"N/A")</f>
        <v>N/A</v>
      </c>
      <c r="J948" s="97" t="str">
        <f>IFERROR(__xludf.DUMMYFUNCTION("""COMPUTED_VALUE"""),"N/A")</f>
        <v>N/A</v>
      </c>
      <c r="K948" s="97" t="str">
        <f>IFERROR(__xludf.DUMMYFUNCTION("""COMPUTED_VALUE"""),"N/A")</f>
        <v>N/A</v>
      </c>
      <c r="L948" s="97" t="str">
        <f>IFERROR(__xludf.DUMMYFUNCTION("""COMPUTED_VALUE"""),"200-240")</f>
        <v>200-240</v>
      </c>
      <c r="M948" s="97" t="str">
        <f>IFERROR(__xludf.DUMMYFUNCTION("""COMPUTED_VALUE"""),"50/60")</f>
        <v>50/60</v>
      </c>
      <c r="N948" s="97"/>
      <c r="O948" s="97" t="str">
        <f>IFERROR(__xludf.DUMMYFUNCTION("""COMPUTED_VALUE"""),"-")</f>
        <v>-</v>
      </c>
      <c r="P948" s="97"/>
      <c r="Q948" s="97" t="str">
        <f>IFERROR(__xludf.DUMMYFUNCTION("""COMPUTED_VALUE"""),"-")</f>
        <v>-</v>
      </c>
      <c r="R948" s="97" t="str">
        <f>IFERROR(__xludf.DUMMYFUNCTION("""COMPUTED_VALUE"""),"-")</f>
        <v>-</v>
      </c>
      <c r="S948" s="97" t="str">
        <f>IFERROR(__xludf.DUMMYFUNCTION("""COMPUTED_VALUE"""),"-")</f>
        <v>-</v>
      </c>
      <c r="T948" s="97" t="str">
        <f>IFERROR(__xludf.DUMMYFUNCTION("""COMPUTED_VALUE"""),"-")</f>
        <v>-</v>
      </c>
      <c r="U948" s="97" t="str">
        <f>IFERROR(__xludf.DUMMYFUNCTION("""COMPUTED_VALUE"""),"-")</f>
        <v>-</v>
      </c>
      <c r="V948" s="97" t="str">
        <f>IFERROR(__xludf.DUMMYFUNCTION("""COMPUTED_VALUE"""),"N/A")</f>
        <v>N/A</v>
      </c>
      <c r="W948" s="97" t="str">
        <f>IFERROR(__xludf.DUMMYFUNCTION("""COMPUTED_VALUE"""),"N/A")</f>
        <v>N/A</v>
      </c>
      <c r="X948" s="97" t="str">
        <f>IFERROR(__xludf.DUMMYFUNCTION("""COMPUTED_VALUE"""),"-")</f>
        <v>-</v>
      </c>
      <c r="Y948" s="97" t="str">
        <f>IFERROR(__xludf.DUMMYFUNCTION("""COMPUTED_VALUE"""),"N/A")</f>
        <v>N/A</v>
      </c>
      <c r="Z948" s="97" t="str">
        <f>IFERROR(__xludf.DUMMYFUNCTION("""COMPUTED_VALUE"""),"N/A")</f>
        <v>N/A</v>
      </c>
      <c r="AA948" s="97" t="str">
        <f>IFERROR(__xludf.DUMMYFUNCTION("""COMPUTED_VALUE"""),"N/A")</f>
        <v>N/A</v>
      </c>
      <c r="AB948" s="97" t="str">
        <f>IFERROR(__xludf.DUMMYFUNCTION("""COMPUTED_VALUE"""),"N/A")</f>
        <v>N/A</v>
      </c>
      <c r="AC948" s="97" t="str">
        <f>IFERROR(__xludf.DUMMYFUNCTION("""COMPUTED_VALUE"""),"N/A")</f>
        <v>N/A</v>
      </c>
      <c r="AD948" s="97" t="str">
        <f>IFERROR(__xludf.DUMMYFUNCTION("""COMPUTED_VALUE"""),"IP20")</f>
        <v>IP20</v>
      </c>
      <c r="AE948" s="97" t="str">
        <f>IFERROR(__xludf.DUMMYFUNCTION("""COMPUTED_VALUE"""),"Clase l")</f>
        <v>Clase l</v>
      </c>
      <c r="AF948" s="97" t="str">
        <f>IFERROR(__xludf.DUMMYFUNCTION("""COMPUTED_VALUE"""),"Embutir, Aplicar, Suspender")</f>
        <v>Embutir, Aplicar, Suspender</v>
      </c>
      <c r="AG948" s="97" t="str">
        <f>IFERROR(__xludf.DUMMYFUNCTION("""COMPUTED_VALUE"""),"33 x 60 x 120 (Ancho x Alto x Largo)")</f>
        <v>33 x 60 x 120 (Ancho x Alto x Largo)</v>
      </c>
      <c r="AH948" s="97" t="str">
        <f>IFERROR(__xludf.DUMMYFUNCTION("""COMPUTED_VALUE"""),"-")</f>
        <v>-</v>
      </c>
      <c r="AI948" s="97" t="str">
        <f>IFERROR(__xludf.DUMMYFUNCTION("""COMPUTED_VALUE"""),"-")</f>
        <v>-</v>
      </c>
      <c r="AJ948" s="97" t="str">
        <f>IFERROR(__xludf.DUMMYFUNCTION("""COMPUTED_VALUE"""),"N/A")</f>
        <v>N/A</v>
      </c>
      <c r="AK948" s="97" t="str">
        <f>IFERROR(__xludf.DUMMYFUNCTION("""COMPUTED_VALUE"""),"Aluminio")</f>
        <v>Aluminio</v>
      </c>
      <c r="AL948" s="97" t="str">
        <f>IFERROR(__xludf.DUMMYFUNCTION("""COMPUTED_VALUE"""),"Blanco Mate")</f>
        <v>Blanco Mate</v>
      </c>
      <c r="AM948" s="97" t="str">
        <f>IFERROR(__xludf.DUMMYFUNCTION("""COMPUTED_VALUE"""),"-")</f>
        <v>-</v>
      </c>
      <c r="AN948" s="97" t="str">
        <f>IFERROR(__xludf.DUMMYFUNCTION("""COMPUTED_VALUE"""),"N/A")</f>
        <v>N/A</v>
      </c>
      <c r="AO948" s="97" t="str">
        <f>IFERROR(__xludf.DUMMYFUNCTION("""COMPUTED_VALUE"""),"3 Años")</f>
        <v>3 Años</v>
      </c>
      <c r="AP948" s="97" t="str">
        <f>IFERROR(__xludf.DUMMYFUNCTION("""COMPUTED_VALUE"""),"No Aplica")</f>
        <v>No Aplica</v>
      </c>
      <c r="AQ948" s="97" t="str">
        <f>IFERROR(__xludf.DUMMYFUNCTION("""COMPUTED_VALUE"""),"No Aplica")</f>
        <v>No Aplica</v>
      </c>
      <c r="AR948" s="97" t="str">
        <f>IFERROR(__xludf.DUMMYFUNCTION("""COMPUTED_VALUE"""),"No Aplica")</f>
        <v>No Aplica</v>
      </c>
      <c r="AS948" s="97"/>
      <c r="AT948" s="97"/>
      <c r="AU948" s="97" t="str">
        <f>IFERROR(__xludf.DUMMYFUNCTION("""COMPUTED_VALUE"""),"Falta")</f>
        <v>Falta</v>
      </c>
      <c r="AV948" s="97" t="str">
        <f>IFERROR(__xludf.DUMMYFUNCTION("""COMPUTED_VALUE"""),"Unión")</f>
        <v>Unión</v>
      </c>
      <c r="AW948" s="97" t="str">
        <f>IFERROR(__xludf.DUMMYFUNCTION("""COMPUTED_VALUE"""),"Lineales")</f>
        <v>Lineales</v>
      </c>
      <c r="AX948" s="97" t="str">
        <f>IFERROR(__xludf.DUMMYFUNCTION("""COMPUTED_VALUE"""),"Interior")</f>
        <v>Interior</v>
      </c>
      <c r="AY948" s="97" t="str">
        <f>IFERROR(__xludf.DUMMYFUNCTION("""COMPUTED_VALUE"""),"Dyna")</f>
        <v>Dyna</v>
      </c>
      <c r="AZ948" s="97" t="str">
        <f>IFERROR(__xludf.DUMMYFUNCTION("""COMPUTED_VALUE"""),"No incluye tapas extremas.")</f>
        <v>No incluye tapas extremas.</v>
      </c>
      <c r="BA948" s="97">
        <f>IFERROR(__xludf.DUMMYFUNCTION("""COMPUTED_VALUE"""),100.0)</f>
        <v>100</v>
      </c>
      <c r="BB948" s="97" t="str">
        <f>IFERROR(__xludf.DUMMYFUNCTION("""COMPUTED_VALUE"""),"-")</f>
        <v>-</v>
      </c>
      <c r="BC948" s="97" t="str">
        <f>IFERROR(__xludf.DUMMYFUNCTION("""COMPUTED_VALUE"""),"-")</f>
        <v>-</v>
      </c>
      <c r="BD948" s="97" t="str">
        <f>IFERROR(__xludf.DUMMYFUNCTION("""COMPUTED_VALUE"""),"DYNA")</f>
        <v>DYNA</v>
      </c>
      <c r="BE948" s="97" t="str">
        <f>IFERROR(__xludf.DUMMYFUNCTION("""COMPUTED_VALUE"""),"Finalizada")</f>
        <v>Finalizada</v>
      </c>
      <c r="BF948" s="97"/>
      <c r="BG948" s="97" t="str">
        <f>IFERROR(__xludf.DUMMYFUNCTION("""COMPUTED_VALUE"""),"Activo")</f>
        <v>Activo</v>
      </c>
    </row>
    <row r="949">
      <c r="A949" s="97">
        <f>IFERROR(__xludf.DUMMYFUNCTION("""COMPUTED_VALUE"""),6735.0)</f>
        <v>6735</v>
      </c>
      <c r="B949" s="97" t="str">
        <f>IFERROR(__xludf.DUMMYFUNCTION("""COMPUTED_VALUE"""),"DYNA UNION CABEZAL NG")</f>
        <v>DYNA UNION CABEZAL NG</v>
      </c>
      <c r="C949" s="97" t="str">
        <f>IFERROR(__xludf.DUMMYFUNCTION("""COMPUTED_VALUE"""),"UNIÓN DYNA UNION CABEZAL NG LEUK")</f>
        <v>UNIÓN DYNA UNION CABEZAL NG LEUK</v>
      </c>
      <c r="D949" s="97">
        <f>IFERROR(__xludf.DUMMYFUNCTION("""COMPUTED_VALUE"""),7.798413223064E12)</f>
        <v>7798413223064</v>
      </c>
      <c r="E949" s="97" t="str">
        <f>IFERROR(__xludf.DUMMYFUNCTION("""COMPUTED_VALUE"""),"i21")</f>
        <v>i21</v>
      </c>
      <c r="F949" s="97" t="str">
        <f>IFERROR(__xludf.DUMMYFUNCTION("""COMPUTED_VALUE"""),"N/A")</f>
        <v>N/A</v>
      </c>
      <c r="G949" s="97" t="str">
        <f>IFERROR(__xludf.DUMMYFUNCTION("""COMPUTED_VALUE"""),"N/A")</f>
        <v>N/A</v>
      </c>
      <c r="H949" s="97" t="str">
        <f>IFERROR(__xludf.DUMMYFUNCTION("""COMPUTED_VALUE"""),"N/A")</f>
        <v>N/A</v>
      </c>
      <c r="I949" s="97" t="str">
        <f>IFERROR(__xludf.DUMMYFUNCTION("""COMPUTED_VALUE"""),"N/A")</f>
        <v>N/A</v>
      </c>
      <c r="J949" s="97" t="str">
        <f>IFERROR(__xludf.DUMMYFUNCTION("""COMPUTED_VALUE"""),"N/A")</f>
        <v>N/A</v>
      </c>
      <c r="K949" s="97" t="str">
        <f>IFERROR(__xludf.DUMMYFUNCTION("""COMPUTED_VALUE"""),"N/A")</f>
        <v>N/A</v>
      </c>
      <c r="L949" s="97" t="str">
        <f>IFERROR(__xludf.DUMMYFUNCTION("""COMPUTED_VALUE"""),"200-240")</f>
        <v>200-240</v>
      </c>
      <c r="M949" s="97" t="str">
        <f>IFERROR(__xludf.DUMMYFUNCTION("""COMPUTED_VALUE"""),"50/60")</f>
        <v>50/60</v>
      </c>
      <c r="N949" s="97"/>
      <c r="O949" s="97" t="str">
        <f>IFERROR(__xludf.DUMMYFUNCTION("""COMPUTED_VALUE"""),"-")</f>
        <v>-</v>
      </c>
      <c r="P949" s="97"/>
      <c r="Q949" s="97" t="str">
        <f>IFERROR(__xludf.DUMMYFUNCTION("""COMPUTED_VALUE"""),"-")</f>
        <v>-</v>
      </c>
      <c r="R949" s="97" t="str">
        <f>IFERROR(__xludf.DUMMYFUNCTION("""COMPUTED_VALUE"""),"-")</f>
        <v>-</v>
      </c>
      <c r="S949" s="97" t="str">
        <f>IFERROR(__xludf.DUMMYFUNCTION("""COMPUTED_VALUE"""),"-")</f>
        <v>-</v>
      </c>
      <c r="T949" s="97" t="str">
        <f>IFERROR(__xludf.DUMMYFUNCTION("""COMPUTED_VALUE"""),"-")</f>
        <v>-</v>
      </c>
      <c r="U949" s="97" t="str">
        <f>IFERROR(__xludf.DUMMYFUNCTION("""COMPUTED_VALUE"""),"-")</f>
        <v>-</v>
      </c>
      <c r="V949" s="97" t="str">
        <f>IFERROR(__xludf.DUMMYFUNCTION("""COMPUTED_VALUE"""),"N/A")</f>
        <v>N/A</v>
      </c>
      <c r="W949" s="97" t="str">
        <f>IFERROR(__xludf.DUMMYFUNCTION("""COMPUTED_VALUE"""),"N/A")</f>
        <v>N/A</v>
      </c>
      <c r="X949" s="97" t="str">
        <f>IFERROR(__xludf.DUMMYFUNCTION("""COMPUTED_VALUE"""),"-")</f>
        <v>-</v>
      </c>
      <c r="Y949" s="97" t="str">
        <f>IFERROR(__xludf.DUMMYFUNCTION("""COMPUTED_VALUE"""),"N/A")</f>
        <v>N/A</v>
      </c>
      <c r="Z949" s="97" t="str">
        <f>IFERROR(__xludf.DUMMYFUNCTION("""COMPUTED_VALUE"""),"N/A")</f>
        <v>N/A</v>
      </c>
      <c r="AA949" s="97" t="str">
        <f>IFERROR(__xludf.DUMMYFUNCTION("""COMPUTED_VALUE"""),"N/A")</f>
        <v>N/A</v>
      </c>
      <c r="AB949" s="97" t="str">
        <f>IFERROR(__xludf.DUMMYFUNCTION("""COMPUTED_VALUE"""),"N/A")</f>
        <v>N/A</v>
      </c>
      <c r="AC949" s="97" t="str">
        <f>IFERROR(__xludf.DUMMYFUNCTION("""COMPUTED_VALUE"""),"N/A")</f>
        <v>N/A</v>
      </c>
      <c r="AD949" s="97" t="str">
        <f>IFERROR(__xludf.DUMMYFUNCTION("""COMPUTED_VALUE"""),"IP20")</f>
        <v>IP20</v>
      </c>
      <c r="AE949" s="97" t="str">
        <f>IFERROR(__xludf.DUMMYFUNCTION("""COMPUTED_VALUE"""),"Clase l")</f>
        <v>Clase l</v>
      </c>
      <c r="AF949" s="97" t="str">
        <f>IFERROR(__xludf.DUMMYFUNCTION("""COMPUTED_VALUE"""),"Embutir, Aplicar, Suspender")</f>
        <v>Embutir, Aplicar, Suspender</v>
      </c>
      <c r="AG949" s="97" t="str">
        <f>IFERROR(__xludf.DUMMYFUNCTION("""COMPUTED_VALUE"""),"33 x 60 x 120 (Ancho x Alto x Largo)")</f>
        <v>33 x 60 x 120 (Ancho x Alto x Largo)</v>
      </c>
      <c r="AH949" s="97" t="str">
        <f>IFERROR(__xludf.DUMMYFUNCTION("""COMPUTED_VALUE"""),"-")</f>
        <v>-</v>
      </c>
      <c r="AI949" s="97" t="str">
        <f>IFERROR(__xludf.DUMMYFUNCTION("""COMPUTED_VALUE"""),"-")</f>
        <v>-</v>
      </c>
      <c r="AJ949" s="97" t="str">
        <f>IFERROR(__xludf.DUMMYFUNCTION("""COMPUTED_VALUE"""),"N/A")</f>
        <v>N/A</v>
      </c>
      <c r="AK949" s="97" t="str">
        <f>IFERROR(__xludf.DUMMYFUNCTION("""COMPUTED_VALUE"""),"Aluminio")</f>
        <v>Aluminio</v>
      </c>
      <c r="AL949" s="97" t="str">
        <f>IFERROR(__xludf.DUMMYFUNCTION("""COMPUTED_VALUE"""),"Negro Mate")</f>
        <v>Negro Mate</v>
      </c>
      <c r="AM949" s="97" t="str">
        <f>IFERROR(__xludf.DUMMYFUNCTION("""COMPUTED_VALUE"""),"-")</f>
        <v>-</v>
      </c>
      <c r="AN949" s="97" t="str">
        <f>IFERROR(__xludf.DUMMYFUNCTION("""COMPUTED_VALUE"""),"N/A")</f>
        <v>N/A</v>
      </c>
      <c r="AO949" s="97" t="str">
        <f>IFERROR(__xludf.DUMMYFUNCTION("""COMPUTED_VALUE"""),"3 Años")</f>
        <v>3 Años</v>
      </c>
      <c r="AP949" s="97" t="str">
        <f>IFERROR(__xludf.DUMMYFUNCTION("""COMPUTED_VALUE"""),"No Aplica")</f>
        <v>No Aplica</v>
      </c>
      <c r="AQ949" s="97" t="str">
        <f>IFERROR(__xludf.DUMMYFUNCTION("""COMPUTED_VALUE"""),"No Aplica")</f>
        <v>No Aplica</v>
      </c>
      <c r="AR949" s="97" t="str">
        <f>IFERROR(__xludf.DUMMYFUNCTION("""COMPUTED_VALUE"""),"No Aplica")</f>
        <v>No Aplica</v>
      </c>
      <c r="AS949" s="97"/>
      <c r="AT949" s="97"/>
      <c r="AU949" s="97" t="str">
        <f>IFERROR(__xludf.DUMMYFUNCTION("""COMPUTED_VALUE"""),"Falta")</f>
        <v>Falta</v>
      </c>
      <c r="AV949" s="97" t="str">
        <f>IFERROR(__xludf.DUMMYFUNCTION("""COMPUTED_VALUE"""),"Unión")</f>
        <v>Unión</v>
      </c>
      <c r="AW949" s="97" t="str">
        <f>IFERROR(__xludf.DUMMYFUNCTION("""COMPUTED_VALUE"""),"Lineales")</f>
        <v>Lineales</v>
      </c>
      <c r="AX949" s="97" t="str">
        <f>IFERROR(__xludf.DUMMYFUNCTION("""COMPUTED_VALUE"""),"Interior")</f>
        <v>Interior</v>
      </c>
      <c r="AY949" s="97" t="str">
        <f>IFERROR(__xludf.DUMMYFUNCTION("""COMPUTED_VALUE"""),"Dyna")</f>
        <v>Dyna</v>
      </c>
      <c r="AZ949" s="97" t="str">
        <f>IFERROR(__xludf.DUMMYFUNCTION("""COMPUTED_VALUE"""),"No incluye tapas extremas.")</f>
        <v>No incluye tapas extremas.</v>
      </c>
      <c r="BA949" s="97">
        <f>IFERROR(__xludf.DUMMYFUNCTION("""COMPUTED_VALUE"""),100.0)</f>
        <v>100</v>
      </c>
      <c r="BB949" s="97" t="str">
        <f>IFERROR(__xludf.DUMMYFUNCTION("""COMPUTED_VALUE"""),"-")</f>
        <v>-</v>
      </c>
      <c r="BC949" s="97" t="str">
        <f>IFERROR(__xludf.DUMMYFUNCTION("""COMPUTED_VALUE"""),"-")</f>
        <v>-</v>
      </c>
      <c r="BD949" s="97" t="str">
        <f>IFERROR(__xludf.DUMMYFUNCTION("""COMPUTED_VALUE"""),"DYNA")</f>
        <v>DYNA</v>
      </c>
      <c r="BE949" s="97" t="str">
        <f>IFERROR(__xludf.DUMMYFUNCTION("""COMPUTED_VALUE"""),"Finalizada")</f>
        <v>Finalizada</v>
      </c>
      <c r="BF949" s="97"/>
      <c r="BG949" s="97" t="str">
        <f>IFERROR(__xludf.DUMMYFUNCTION("""COMPUTED_VALUE"""),"Activo")</f>
        <v>Activo</v>
      </c>
    </row>
    <row r="950">
      <c r="A950" s="97">
        <f>IFERROR(__xludf.DUMMYFUNCTION("""COMPUTED_VALUE"""),6736.0)</f>
        <v>6736</v>
      </c>
      <c r="B950" s="97" t="str">
        <f>IFERROR(__xludf.DUMMYFUNCTION("""COMPUTED_VALUE"""),"PRISMA NG")</f>
        <v>PRISMA NG</v>
      </c>
      <c r="C950" s="97" t="str">
        <f>IFERROR(__xludf.DUMMYFUNCTION("""COMPUTED_VALUE"""),"APLIQUE PRISMA NG 12W 3000/4000/6000K 910LM CRI&gt;90 IP20 LEUK")</f>
        <v>APLIQUE PRISMA NG 12W 3000/4000/6000K 910LM CRI&gt;90 IP20 LEUK</v>
      </c>
      <c r="D950" s="97">
        <f>IFERROR(__xludf.DUMMYFUNCTION("""COMPUTED_VALUE"""),7.798413222357E12)</f>
        <v>7798413222357</v>
      </c>
      <c r="E950" s="97" t="str">
        <f>IFERROR(__xludf.DUMMYFUNCTION("""COMPUTED_VALUE"""),"F56")</f>
        <v>F56</v>
      </c>
      <c r="F950" s="97" t="str">
        <f>IFERROR(__xludf.DUMMYFUNCTION("""COMPUTED_VALUE"""),"LED integrado")</f>
        <v>LED integrado</v>
      </c>
      <c r="G950" s="97" t="str">
        <f>IFERROR(__xludf.DUMMYFUNCTION("""COMPUTED_VALUE"""),"OSRAM")</f>
        <v>OSRAM</v>
      </c>
      <c r="H950" s="97" t="str">
        <f>IFERROR(__xludf.DUMMYFUNCTION("""COMPUTED_VALUE"""),"-")</f>
        <v>-</v>
      </c>
      <c r="I950" s="97" t="str">
        <f>IFERROR(__xludf.DUMMYFUNCTION("""COMPUTED_VALUE"""),"Si")</f>
        <v>Si</v>
      </c>
      <c r="J950" s="97" t="str">
        <f>IFERROR(__xludf.DUMMYFUNCTION("""COMPUTED_VALUE"""),"Modelo: LED0812-300-B0
In: 85-265Vac 0.2A 50/60Hz
Out: 24-42Vdc 300mA - 8-12W
Pf 0.5 FlickerFree")</f>
        <v>Modelo: LED0812-300-B0
In: 85-265Vac 0.2A 50/60Hz
Out: 24-42Vdc 300mA - 8-12W
Pf 0.5 FlickerFree</v>
      </c>
      <c r="K950" s="97" t="str">
        <f>IFERROR(__xludf.DUMMYFUNCTION("""COMPUTED_VALUE"""),"ON/OFF")</f>
        <v>ON/OFF</v>
      </c>
      <c r="L950" s="97" t="str">
        <f>IFERROR(__xludf.DUMMYFUNCTION("""COMPUTED_VALUE"""),"200-240")</f>
        <v>200-240</v>
      </c>
      <c r="M950" s="97" t="str">
        <f>IFERROR(__xludf.DUMMYFUNCTION("""COMPUTED_VALUE"""),"50/60")</f>
        <v>50/60</v>
      </c>
      <c r="N950" s="97" t="str">
        <f>IFERROR(__xludf.DUMMYFUNCTION("""COMPUTED_VALUE"""),"Directa")</f>
        <v>Directa</v>
      </c>
      <c r="O950" s="97">
        <f>IFERROR(__xludf.DUMMYFUNCTION("""COMPUTED_VALUE"""),12.0)</f>
        <v>12</v>
      </c>
      <c r="P950" s="97"/>
      <c r="Q950" s="97">
        <f>IFERROR(__xludf.DUMMYFUNCTION("""COMPUTED_VALUE"""),0.5)</f>
        <v>0.5</v>
      </c>
      <c r="R950" s="97" t="str">
        <f>IFERROR(__xludf.DUMMYFUNCTION("""COMPUTED_VALUE"""),"-")</f>
        <v>-</v>
      </c>
      <c r="S950" s="97" t="str">
        <f>IFERROR(__xludf.DUMMYFUNCTION("""COMPUTED_VALUE"""),"-")</f>
        <v>-</v>
      </c>
      <c r="T950" s="97">
        <f>IFERROR(__xludf.DUMMYFUNCTION("""COMPUTED_VALUE"""),910.0)</f>
        <v>910</v>
      </c>
      <c r="U950" s="99">
        <f>IFERROR(__xludf.DUMMYFUNCTION("""COMPUTED_VALUE"""),75.83333333333333)</f>
        <v>75.83333333</v>
      </c>
      <c r="V950" s="97">
        <f>IFERROR(__xludf.DUMMYFUNCTION("""COMPUTED_VALUE"""),110.0)</f>
        <v>110</v>
      </c>
      <c r="W950" s="97" t="str">
        <f>IFERROR(__xludf.DUMMYFUNCTION("""COMPUTED_VALUE"""),"&lt; 25")</f>
        <v>&lt; 25</v>
      </c>
      <c r="X950" s="97" t="str">
        <f>IFERROR(__xludf.DUMMYFUNCTION("""COMPUTED_VALUE"""),"3000/4000/6000")</f>
        <v>3000/4000/6000</v>
      </c>
      <c r="Y950" s="97" t="str">
        <f>IFERROR(__xludf.DUMMYFUNCTION("""COMPUTED_VALUE"""),"&gt;90")</f>
        <v>&gt;90</v>
      </c>
      <c r="Z950" s="97"/>
      <c r="AA950" s="97"/>
      <c r="AB950" s="97" t="str">
        <f>IFERROR(__xludf.DUMMYFUNCTION("""COMPUTED_VALUE"""),"-")</f>
        <v>-</v>
      </c>
      <c r="AC950" s="97"/>
      <c r="AD950" s="97" t="str">
        <f>IFERROR(__xludf.DUMMYFUNCTION("""COMPUTED_VALUE"""),"IP20")</f>
        <v>IP20</v>
      </c>
      <c r="AE950" s="97" t="str">
        <f>IFERROR(__xludf.DUMMYFUNCTION("""COMPUTED_VALUE"""),"Clase l")</f>
        <v>Clase l</v>
      </c>
      <c r="AF950" s="97" t="str">
        <f>IFERROR(__xludf.DUMMYFUNCTION("""COMPUTED_VALUE"""),"Aplicar")</f>
        <v>Aplicar</v>
      </c>
      <c r="AG950" s="97" t="str">
        <f>IFERROR(__xludf.DUMMYFUNCTION("""COMPUTED_VALUE"""),"Ø100 x 65")</f>
        <v>Ø100 x 65</v>
      </c>
      <c r="AH950" s="97" t="str">
        <f>IFERROR(__xludf.DUMMYFUNCTION("""COMPUTED_VALUE"""),"N/A")</f>
        <v>N/A</v>
      </c>
      <c r="AI950" s="97" t="str">
        <f>IFERROR(__xludf.DUMMYFUNCTION("""COMPUTED_VALUE"""),"N/A")</f>
        <v>N/A</v>
      </c>
      <c r="AJ950" s="97" t="str">
        <f>IFERROR(__xludf.DUMMYFUNCTION("""COMPUTED_VALUE"""),"Policarbonato (PC)")</f>
        <v>Policarbonato (PC)</v>
      </c>
      <c r="AK950" s="97" t="str">
        <f>IFERROR(__xludf.DUMMYFUNCTION("""COMPUTED_VALUE"""),"Aluminio")</f>
        <v>Aluminio</v>
      </c>
      <c r="AL950" s="97" t="str">
        <f>IFERROR(__xludf.DUMMYFUNCTION("""COMPUTED_VALUE"""),"Negro Satinado")</f>
        <v>Negro Satinado</v>
      </c>
      <c r="AM950" s="97" t="str">
        <f>IFERROR(__xludf.DUMMYFUNCTION("""COMPUTED_VALUE"""),"-")</f>
        <v>-</v>
      </c>
      <c r="AN950" s="97" t="str">
        <f>IFERROR(__xludf.DUMMYFUNCTION("""COMPUTED_VALUE"""),"25.000hs (L70)")</f>
        <v>25.000hs (L70)</v>
      </c>
      <c r="AO950" s="97" t="str">
        <f>IFERROR(__xludf.DUMMYFUNCTION("""COMPUTED_VALUE"""),"2 Años")</f>
        <v>2 Años</v>
      </c>
      <c r="AP950" s="97" t="str">
        <f>IFERROR(__xludf.DUMMYFUNCTION("""COMPUTED_VALUE"""),"Disponible")</f>
        <v>Disponible</v>
      </c>
      <c r="AQ950" s="97" t="str">
        <f>IFERROR(__xludf.DUMMYFUNCTION("""COMPUTED_VALUE"""),"Disponible")</f>
        <v>Disponible</v>
      </c>
      <c r="AR950" s="97" t="str">
        <f>IFERROR(__xludf.DUMMYFUNCTION("""COMPUTED_VALUE"""),"Disponible")</f>
        <v>Disponible</v>
      </c>
      <c r="AS950" s="97"/>
      <c r="AT950" s="97"/>
      <c r="AU950" s="97" t="str">
        <f>IFERROR(__xludf.DUMMYFUNCTION("""COMPUTED_VALUE"""),"Falta")</f>
        <v>Falta</v>
      </c>
      <c r="AV950" s="97" t="str">
        <f>IFERROR(__xludf.DUMMYFUNCTION("""COMPUTED_VALUE"""),"Aplique")</f>
        <v>Aplique</v>
      </c>
      <c r="AW950" s="97" t="str">
        <f>IFERROR(__xludf.DUMMYFUNCTION("""COMPUTED_VALUE"""),"De Techo")</f>
        <v>De Techo</v>
      </c>
      <c r="AX950" s="97" t="str">
        <f>IFERROR(__xludf.DUMMYFUNCTION("""COMPUTED_VALUE"""),"Interior")</f>
        <v>Interior</v>
      </c>
      <c r="AY950" s="97" t="str">
        <f>IFERROR(__xludf.DUMMYFUNCTION("""COMPUTED_VALUE"""),"-")</f>
        <v>-</v>
      </c>
      <c r="AZ950" s="97" t="str">
        <f>IFERROR(__xludf.DUMMYFUNCTION("""COMPUTED_VALUE"""),"Switch p/cambio de color.")</f>
        <v>Switch p/cambio de color.</v>
      </c>
      <c r="BA950" s="97">
        <f>IFERROR(__xludf.DUMMYFUNCTION("""COMPUTED_VALUE"""),60.0)</f>
        <v>60</v>
      </c>
      <c r="BB950" s="97" t="str">
        <f>IFERROR(__xludf.DUMMYFUNCTION("""COMPUTED_VALUE"""),"-")</f>
        <v>-</v>
      </c>
      <c r="BC950" s="97" t="str">
        <f>IFERROR(__xludf.DUMMYFUNCTION("""COMPUTED_VALUE"""),"-")</f>
        <v>-</v>
      </c>
      <c r="BD950" s="97" t="str">
        <f>IFERROR(__xludf.DUMMYFUNCTION("""COMPUTED_VALUE"""),"PRISMA")</f>
        <v>PRISMA</v>
      </c>
      <c r="BE950" s="97" t="str">
        <f>IFERROR(__xludf.DUMMYFUNCTION("""COMPUTED_VALUE"""),"Finalizada")</f>
        <v>Finalizada</v>
      </c>
      <c r="BF950" s="97"/>
      <c r="BG950" s="97" t="str">
        <f>IFERROR(__xludf.DUMMYFUNCTION("""COMPUTED_VALUE"""),"Activo")</f>
        <v>Activo</v>
      </c>
    </row>
    <row r="951">
      <c r="A951" s="97">
        <f>IFERROR(__xludf.DUMMYFUNCTION("""COMPUTED_VALUE"""),6737.0)</f>
        <v>6737</v>
      </c>
      <c r="B951" s="97" t="str">
        <f>IFERROR(__xludf.DUMMYFUNCTION("""COMPUTED_VALUE"""),"PRISMA BL")</f>
        <v>PRISMA BL</v>
      </c>
      <c r="C951" s="97" t="str">
        <f>IFERROR(__xludf.DUMMYFUNCTION("""COMPUTED_VALUE"""),"APLIQUE PRISMA BL 12W 3000/4000/6000K 910LM CRI&gt;90 IP20 LEUK")</f>
        <v>APLIQUE PRISMA BL 12W 3000/4000/6000K 910LM CRI&gt;90 IP20 LEUK</v>
      </c>
      <c r="D951" s="97">
        <f>IFERROR(__xludf.DUMMYFUNCTION("""COMPUTED_VALUE"""),7.79841322234E12)</f>
        <v>7798413222340</v>
      </c>
      <c r="E951" s="97" t="str">
        <f>IFERROR(__xludf.DUMMYFUNCTION("""COMPUTED_VALUE"""),"F57")</f>
        <v>F57</v>
      </c>
      <c r="F951" s="97" t="str">
        <f>IFERROR(__xludf.DUMMYFUNCTION("""COMPUTED_VALUE"""),"LED integrado")</f>
        <v>LED integrado</v>
      </c>
      <c r="G951" s="97" t="str">
        <f>IFERROR(__xludf.DUMMYFUNCTION("""COMPUTED_VALUE"""),"OSRAM")</f>
        <v>OSRAM</v>
      </c>
      <c r="H951" s="97" t="str">
        <f>IFERROR(__xludf.DUMMYFUNCTION("""COMPUTED_VALUE"""),"-")</f>
        <v>-</v>
      </c>
      <c r="I951" s="97" t="str">
        <f>IFERROR(__xludf.DUMMYFUNCTION("""COMPUTED_VALUE"""),"Si")</f>
        <v>Si</v>
      </c>
      <c r="J951" s="97" t="str">
        <f>IFERROR(__xludf.DUMMYFUNCTION("""COMPUTED_VALUE"""),"Modelo: LED0812-300-B0
In: 85-265Vac 0.2A 50/60Hz
Out: 24-42Vdc 300mA - 8-12W
Pf 0.5 FlickerFree")</f>
        <v>Modelo: LED0812-300-B0
In: 85-265Vac 0.2A 50/60Hz
Out: 24-42Vdc 300mA - 8-12W
Pf 0.5 FlickerFree</v>
      </c>
      <c r="K951" s="97" t="str">
        <f>IFERROR(__xludf.DUMMYFUNCTION("""COMPUTED_VALUE"""),"ON/OFF")</f>
        <v>ON/OFF</v>
      </c>
      <c r="L951" s="97" t="str">
        <f>IFERROR(__xludf.DUMMYFUNCTION("""COMPUTED_VALUE"""),"200-240")</f>
        <v>200-240</v>
      </c>
      <c r="M951" s="97" t="str">
        <f>IFERROR(__xludf.DUMMYFUNCTION("""COMPUTED_VALUE"""),"50/60")</f>
        <v>50/60</v>
      </c>
      <c r="N951" s="97" t="str">
        <f>IFERROR(__xludf.DUMMYFUNCTION("""COMPUTED_VALUE"""),"Directa")</f>
        <v>Directa</v>
      </c>
      <c r="O951" s="97">
        <f>IFERROR(__xludf.DUMMYFUNCTION("""COMPUTED_VALUE"""),12.0)</f>
        <v>12</v>
      </c>
      <c r="P951" s="97"/>
      <c r="Q951" s="97">
        <f>IFERROR(__xludf.DUMMYFUNCTION("""COMPUTED_VALUE"""),0.5)</f>
        <v>0.5</v>
      </c>
      <c r="R951" s="97" t="str">
        <f>IFERROR(__xludf.DUMMYFUNCTION("""COMPUTED_VALUE"""),"-")</f>
        <v>-</v>
      </c>
      <c r="S951" s="97" t="str">
        <f>IFERROR(__xludf.DUMMYFUNCTION("""COMPUTED_VALUE"""),"-")</f>
        <v>-</v>
      </c>
      <c r="T951" s="97">
        <f>IFERROR(__xludf.DUMMYFUNCTION("""COMPUTED_VALUE"""),910.0)</f>
        <v>910</v>
      </c>
      <c r="U951" s="99">
        <f>IFERROR(__xludf.DUMMYFUNCTION("""COMPUTED_VALUE"""),75.83333333333333)</f>
        <v>75.83333333</v>
      </c>
      <c r="V951" s="97">
        <f>IFERROR(__xludf.DUMMYFUNCTION("""COMPUTED_VALUE"""),110.0)</f>
        <v>110</v>
      </c>
      <c r="W951" s="97" t="str">
        <f>IFERROR(__xludf.DUMMYFUNCTION("""COMPUTED_VALUE"""),"&lt; 25")</f>
        <v>&lt; 25</v>
      </c>
      <c r="X951" s="97" t="str">
        <f>IFERROR(__xludf.DUMMYFUNCTION("""COMPUTED_VALUE"""),"3000/4000/6000")</f>
        <v>3000/4000/6000</v>
      </c>
      <c r="Y951" s="97" t="str">
        <f>IFERROR(__xludf.DUMMYFUNCTION("""COMPUTED_VALUE"""),"&gt;90")</f>
        <v>&gt;90</v>
      </c>
      <c r="Z951" s="97"/>
      <c r="AA951" s="97"/>
      <c r="AB951" s="97" t="str">
        <f>IFERROR(__xludf.DUMMYFUNCTION("""COMPUTED_VALUE"""),"-")</f>
        <v>-</v>
      </c>
      <c r="AC951" s="97"/>
      <c r="AD951" s="97" t="str">
        <f>IFERROR(__xludf.DUMMYFUNCTION("""COMPUTED_VALUE"""),"IP20")</f>
        <v>IP20</v>
      </c>
      <c r="AE951" s="97" t="str">
        <f>IFERROR(__xludf.DUMMYFUNCTION("""COMPUTED_VALUE"""),"Clase l")</f>
        <v>Clase l</v>
      </c>
      <c r="AF951" s="97" t="str">
        <f>IFERROR(__xludf.DUMMYFUNCTION("""COMPUTED_VALUE"""),"Aplicar")</f>
        <v>Aplicar</v>
      </c>
      <c r="AG951" s="97" t="str">
        <f>IFERROR(__xludf.DUMMYFUNCTION("""COMPUTED_VALUE"""),"Ø100 x 65")</f>
        <v>Ø100 x 65</v>
      </c>
      <c r="AH951" s="97" t="str">
        <f>IFERROR(__xludf.DUMMYFUNCTION("""COMPUTED_VALUE"""),"N/A")</f>
        <v>N/A</v>
      </c>
      <c r="AI951" s="97" t="str">
        <f>IFERROR(__xludf.DUMMYFUNCTION("""COMPUTED_VALUE"""),"N/A")</f>
        <v>N/A</v>
      </c>
      <c r="AJ951" s="97" t="str">
        <f>IFERROR(__xludf.DUMMYFUNCTION("""COMPUTED_VALUE"""),"Policarbonato (PC)")</f>
        <v>Policarbonato (PC)</v>
      </c>
      <c r="AK951" s="97" t="str">
        <f>IFERROR(__xludf.DUMMYFUNCTION("""COMPUTED_VALUE"""),"Aluminio")</f>
        <v>Aluminio</v>
      </c>
      <c r="AL951" s="97" t="str">
        <f>IFERROR(__xludf.DUMMYFUNCTION("""COMPUTED_VALUE"""),"Blanco Satinado")</f>
        <v>Blanco Satinado</v>
      </c>
      <c r="AM951" s="97" t="str">
        <f>IFERROR(__xludf.DUMMYFUNCTION("""COMPUTED_VALUE"""),"-")</f>
        <v>-</v>
      </c>
      <c r="AN951" s="97" t="str">
        <f>IFERROR(__xludf.DUMMYFUNCTION("""COMPUTED_VALUE"""),"25.000hs (L70)")</f>
        <v>25.000hs (L70)</v>
      </c>
      <c r="AO951" s="97" t="str">
        <f>IFERROR(__xludf.DUMMYFUNCTION("""COMPUTED_VALUE"""),"2 Años")</f>
        <v>2 Años</v>
      </c>
      <c r="AP951" s="97" t="str">
        <f>IFERROR(__xludf.DUMMYFUNCTION("""COMPUTED_VALUE"""),"Disponible")</f>
        <v>Disponible</v>
      </c>
      <c r="AQ951" s="97" t="str">
        <f>IFERROR(__xludf.DUMMYFUNCTION("""COMPUTED_VALUE"""),"Disponible")</f>
        <v>Disponible</v>
      </c>
      <c r="AR951" s="97" t="str">
        <f>IFERROR(__xludf.DUMMYFUNCTION("""COMPUTED_VALUE"""),"Disponible")</f>
        <v>Disponible</v>
      </c>
      <c r="AS951" s="97"/>
      <c r="AT951" s="97"/>
      <c r="AU951" s="97" t="str">
        <f>IFERROR(__xludf.DUMMYFUNCTION("""COMPUTED_VALUE"""),"Falta")</f>
        <v>Falta</v>
      </c>
      <c r="AV951" s="97" t="str">
        <f>IFERROR(__xludf.DUMMYFUNCTION("""COMPUTED_VALUE"""),"Aplique")</f>
        <v>Aplique</v>
      </c>
      <c r="AW951" s="97" t="str">
        <f>IFERROR(__xludf.DUMMYFUNCTION("""COMPUTED_VALUE"""),"De Techo")</f>
        <v>De Techo</v>
      </c>
      <c r="AX951" s="97" t="str">
        <f>IFERROR(__xludf.DUMMYFUNCTION("""COMPUTED_VALUE"""),"Interior")</f>
        <v>Interior</v>
      </c>
      <c r="AY951" s="97" t="str">
        <f>IFERROR(__xludf.DUMMYFUNCTION("""COMPUTED_VALUE"""),"-")</f>
        <v>-</v>
      </c>
      <c r="AZ951" s="97" t="str">
        <f>IFERROR(__xludf.DUMMYFUNCTION("""COMPUTED_VALUE"""),"Switch p/cambio de color.")</f>
        <v>Switch p/cambio de color.</v>
      </c>
      <c r="BA951" s="97">
        <f>IFERROR(__xludf.DUMMYFUNCTION("""COMPUTED_VALUE"""),60.0)</f>
        <v>60</v>
      </c>
      <c r="BB951" s="97" t="str">
        <f>IFERROR(__xludf.DUMMYFUNCTION("""COMPUTED_VALUE"""),"-")</f>
        <v>-</v>
      </c>
      <c r="BC951" s="97" t="str">
        <f>IFERROR(__xludf.DUMMYFUNCTION("""COMPUTED_VALUE"""),"-")</f>
        <v>-</v>
      </c>
      <c r="BD951" s="97" t="str">
        <f>IFERROR(__xludf.DUMMYFUNCTION("""COMPUTED_VALUE"""),"PRISMA")</f>
        <v>PRISMA</v>
      </c>
      <c r="BE951" s="97" t="str">
        <f>IFERROR(__xludf.DUMMYFUNCTION("""COMPUTED_VALUE"""),"Finalizada")</f>
        <v>Finalizada</v>
      </c>
      <c r="BF951" s="97"/>
      <c r="BG951" s="97" t="str">
        <f>IFERROR(__xludf.DUMMYFUNCTION("""COMPUTED_VALUE"""),"Activo")</f>
        <v>Activo</v>
      </c>
    </row>
    <row r="952">
      <c r="A952" s="97">
        <f>IFERROR(__xludf.DUMMYFUNCTION("""COMPUTED_VALUE"""),6738.0)</f>
        <v>6738</v>
      </c>
      <c r="B952" s="97" t="str">
        <f>IFERROR(__xludf.DUMMYFUNCTION("""COMPUTED_VALUE"""),"SHIR I NG")</f>
        <v>SHIR I NG</v>
      </c>
      <c r="C952" s="97" t="str">
        <f>IFERROR(__xludf.DUMMYFUNCTION("""COMPUTED_VALUE"""),"APLIQUE SHIR I NG 5W 2700K 270LM CRI&gt;95 IP20 LEUK")</f>
        <v>APLIQUE SHIR I NG 5W 2700K 270LM CRI&gt;95 IP20 LEUK</v>
      </c>
      <c r="D952" s="97">
        <f>IFERROR(__xludf.DUMMYFUNCTION("""COMPUTED_VALUE"""),7.798413222364E12)</f>
        <v>7798413222364</v>
      </c>
      <c r="E952" s="97" t="str">
        <f>IFERROR(__xludf.DUMMYFUNCTION("""COMPUTED_VALUE"""),"F77")</f>
        <v>F77</v>
      </c>
      <c r="F952" s="97" t="str">
        <f>IFERROR(__xludf.DUMMYFUNCTION("""COMPUTED_VALUE"""),"LED integrado")</f>
        <v>LED integrado</v>
      </c>
      <c r="G952" s="97" t="str">
        <f>IFERROR(__xludf.DUMMYFUNCTION("""COMPUTED_VALUE"""),"Bridgelux")</f>
        <v>Bridgelux</v>
      </c>
      <c r="H952" s="97" t="str">
        <f>IFERROR(__xludf.DUMMYFUNCTION("""COMPUTED_VALUE"""),"-")</f>
        <v>-</v>
      </c>
      <c r="I952" s="97"/>
      <c r="J952" s="97" t="str">
        <f>IFERROR(__xludf.DUMMYFUNCTION("""COMPUTED_VALUE"""),"Modelo: 4-5w
In: 85-265Vac 50/60Hz
Out: 12-18Vdc 280mA")</f>
        <v>Modelo: 4-5w
In: 85-265Vac 50/60Hz
Out: 12-18Vdc 280mA</v>
      </c>
      <c r="K952" s="97" t="str">
        <f>IFERROR(__xludf.DUMMYFUNCTION("""COMPUTED_VALUE"""),"ON/OFF")</f>
        <v>ON/OFF</v>
      </c>
      <c r="L952" s="97" t="str">
        <f>IFERROR(__xludf.DUMMYFUNCTION("""COMPUTED_VALUE"""),"200-240")</f>
        <v>200-240</v>
      </c>
      <c r="M952" s="97" t="str">
        <f>IFERROR(__xludf.DUMMYFUNCTION("""COMPUTED_VALUE"""),"50/60")</f>
        <v>50/60</v>
      </c>
      <c r="N952" s="97"/>
      <c r="O952" s="97">
        <f>IFERROR(__xludf.DUMMYFUNCTION("""COMPUTED_VALUE"""),5.0)</f>
        <v>5</v>
      </c>
      <c r="P952" s="97"/>
      <c r="Q952" s="97">
        <f>IFERROR(__xludf.DUMMYFUNCTION("""COMPUTED_VALUE"""),0.46)</f>
        <v>0.46</v>
      </c>
      <c r="R952" s="97" t="str">
        <f>IFERROR(__xludf.DUMMYFUNCTION("""COMPUTED_VALUE"""),"-")</f>
        <v>-</v>
      </c>
      <c r="S952" s="97" t="str">
        <f>IFERROR(__xludf.DUMMYFUNCTION("""COMPUTED_VALUE"""),"-")</f>
        <v>-</v>
      </c>
      <c r="T952" s="97">
        <f>IFERROR(__xludf.DUMMYFUNCTION("""COMPUTED_VALUE"""),270.0)</f>
        <v>270</v>
      </c>
      <c r="U952" s="99">
        <f>IFERROR(__xludf.DUMMYFUNCTION("""COMPUTED_VALUE"""),54.0)</f>
        <v>54</v>
      </c>
      <c r="V952" s="97" t="str">
        <f>IFERROR(__xludf.DUMMYFUNCTION("""COMPUTED_VALUE"""),"12-50")</f>
        <v>12-50</v>
      </c>
      <c r="W952" s="97" t="str">
        <f>IFERROR(__xludf.DUMMYFUNCTION("""COMPUTED_VALUE"""),"&lt; 20")</f>
        <v>&lt; 20</v>
      </c>
      <c r="X952" s="97">
        <f>IFERROR(__xludf.DUMMYFUNCTION("""COMPUTED_VALUE"""),2700.0)</f>
        <v>2700</v>
      </c>
      <c r="Y952" s="97" t="str">
        <f>IFERROR(__xludf.DUMMYFUNCTION("""COMPUTED_VALUE"""),"&gt;95")</f>
        <v>&gt;95</v>
      </c>
      <c r="Z952" s="97"/>
      <c r="AA952" s="97"/>
      <c r="AB952" s="97" t="str">
        <f>IFERROR(__xludf.DUMMYFUNCTION("""COMPUTED_VALUE"""),"&lt; 2")</f>
        <v>&lt; 2</v>
      </c>
      <c r="AC952" s="97"/>
      <c r="AD952" s="97" t="str">
        <f>IFERROR(__xludf.DUMMYFUNCTION("""COMPUTED_VALUE"""),"IP20")</f>
        <v>IP20</v>
      </c>
      <c r="AE952" s="97" t="str">
        <f>IFERROR(__xludf.DUMMYFUNCTION("""COMPUTED_VALUE"""),"Clase l")</f>
        <v>Clase l</v>
      </c>
      <c r="AF952" s="97" t="str">
        <f>IFERROR(__xludf.DUMMYFUNCTION("""COMPUTED_VALUE"""),"Aplicar")</f>
        <v>Aplicar</v>
      </c>
      <c r="AG952" s="97" t="str">
        <f>IFERROR(__xludf.DUMMYFUNCTION("""COMPUTED_VALUE"""),"Ø30 x 200")</f>
        <v>Ø30 x 200</v>
      </c>
      <c r="AH952" s="97" t="str">
        <f>IFERROR(__xludf.DUMMYFUNCTION("""COMPUTED_VALUE"""),"N/A")</f>
        <v>N/A</v>
      </c>
      <c r="AI952" s="97" t="str">
        <f>IFERROR(__xludf.DUMMYFUNCTION("""COMPUTED_VALUE"""),"N/A")</f>
        <v>N/A</v>
      </c>
      <c r="AJ952" s="97" t="str">
        <f>IFERROR(__xludf.DUMMYFUNCTION("""COMPUTED_VALUE"""),"PMMA")</f>
        <v>PMMA</v>
      </c>
      <c r="AK952" s="97" t="str">
        <f>IFERROR(__xludf.DUMMYFUNCTION("""COMPUTED_VALUE"""),"Aluminio")</f>
        <v>Aluminio</v>
      </c>
      <c r="AL952" s="97" t="str">
        <f>IFERROR(__xludf.DUMMYFUNCTION("""COMPUTED_VALUE"""),"Negro Satinado")</f>
        <v>Negro Satinado</v>
      </c>
      <c r="AM952" s="97" t="str">
        <f>IFERROR(__xludf.DUMMYFUNCTION("""COMPUTED_VALUE"""),"-")</f>
        <v>-</v>
      </c>
      <c r="AN952" s="97" t="str">
        <f>IFERROR(__xludf.DUMMYFUNCTION("""COMPUTED_VALUE"""),"25.000hs (L70)")</f>
        <v>25.000hs (L70)</v>
      </c>
      <c r="AO952" s="97" t="str">
        <f>IFERROR(__xludf.DUMMYFUNCTION("""COMPUTED_VALUE"""),"2 Años")</f>
        <v>2 Años</v>
      </c>
      <c r="AP952" s="97" t="str">
        <f>IFERROR(__xludf.DUMMYFUNCTION("""COMPUTED_VALUE"""),"Disponible")</f>
        <v>Disponible</v>
      </c>
      <c r="AQ952" s="97" t="str">
        <f>IFERROR(__xludf.DUMMYFUNCTION("""COMPUTED_VALUE"""),"Disponible")</f>
        <v>Disponible</v>
      </c>
      <c r="AR952" s="97" t="str">
        <f>IFERROR(__xludf.DUMMYFUNCTION("""COMPUTED_VALUE"""),"Disponible")</f>
        <v>Disponible</v>
      </c>
      <c r="AS952" s="97"/>
      <c r="AT952" s="97"/>
      <c r="AU952" s="97" t="str">
        <f>IFERROR(__xludf.DUMMYFUNCTION("""COMPUTED_VALUE"""),"Falta")</f>
        <v>Falta</v>
      </c>
      <c r="AV952" s="97" t="str">
        <f>IFERROR(__xludf.DUMMYFUNCTION("""COMPUTED_VALUE"""),"Aplique")</f>
        <v>Aplique</v>
      </c>
      <c r="AW952" s="97" t="str">
        <f>IFERROR(__xludf.DUMMYFUNCTION("""COMPUTED_VALUE"""),"De Techo")</f>
        <v>De Techo</v>
      </c>
      <c r="AX952" s="97" t="str">
        <f>IFERROR(__xludf.DUMMYFUNCTION("""COMPUTED_VALUE"""),"Interior")</f>
        <v>Interior</v>
      </c>
      <c r="AY952" s="97" t="str">
        <f>IFERROR(__xludf.DUMMYFUNCTION("""COMPUTED_VALUE"""),"-")</f>
        <v>-</v>
      </c>
      <c r="AZ952" s="97"/>
      <c r="BA952" s="97">
        <f>IFERROR(__xludf.DUMMYFUNCTION("""COMPUTED_VALUE"""),80.0)</f>
        <v>80</v>
      </c>
      <c r="BB952" s="97" t="str">
        <f>IFERROR(__xludf.DUMMYFUNCTION("""COMPUTED_VALUE"""),"-")</f>
        <v>-</v>
      </c>
      <c r="BC952" s="97" t="str">
        <f>IFERROR(__xludf.DUMMYFUNCTION("""COMPUTED_VALUE"""),"-")</f>
        <v>-</v>
      </c>
      <c r="BD952" s="97" t="str">
        <f>IFERROR(__xludf.DUMMYFUNCTION("""COMPUTED_VALUE"""),"SHIR")</f>
        <v>SHIR</v>
      </c>
      <c r="BE952" s="97" t="str">
        <f>IFERROR(__xludf.DUMMYFUNCTION("""COMPUTED_VALUE"""),"Finalizada")</f>
        <v>Finalizada</v>
      </c>
      <c r="BF952" s="97"/>
      <c r="BG952" s="97" t="str">
        <f>IFERROR(__xludf.DUMMYFUNCTION("""COMPUTED_VALUE"""),"Activo")</f>
        <v>Activo</v>
      </c>
    </row>
    <row r="953">
      <c r="A953" s="97">
        <f>IFERROR(__xludf.DUMMYFUNCTION("""COMPUTED_VALUE"""),6739.0)</f>
        <v>6739</v>
      </c>
      <c r="B953" s="97" t="str">
        <f>IFERROR(__xludf.DUMMYFUNCTION("""COMPUTED_VALUE"""),"SHIR I BL")</f>
        <v>SHIR I BL</v>
      </c>
      <c r="C953" s="97" t="str">
        <f>IFERROR(__xludf.DUMMYFUNCTION("""COMPUTED_VALUE"""),"APLIQUE SHIR I BL 5W 2700K 270LM CRI&gt;95 IP20 LEUK")</f>
        <v>APLIQUE SHIR I BL 5W 2700K 270LM CRI&gt;95 IP20 LEUK</v>
      </c>
      <c r="D953" s="97">
        <f>IFERROR(__xludf.DUMMYFUNCTION("""COMPUTED_VALUE"""),7.798413222371E12)</f>
        <v>7798413222371</v>
      </c>
      <c r="E953" s="97" t="str">
        <f>IFERROR(__xludf.DUMMYFUNCTION("""COMPUTED_VALUE"""),"F76")</f>
        <v>F76</v>
      </c>
      <c r="F953" s="97" t="str">
        <f>IFERROR(__xludf.DUMMYFUNCTION("""COMPUTED_VALUE"""),"LED integrado")</f>
        <v>LED integrado</v>
      </c>
      <c r="G953" s="97" t="str">
        <f>IFERROR(__xludf.DUMMYFUNCTION("""COMPUTED_VALUE"""),"Bridgelux")</f>
        <v>Bridgelux</v>
      </c>
      <c r="H953" s="97" t="str">
        <f>IFERROR(__xludf.DUMMYFUNCTION("""COMPUTED_VALUE"""),"-")</f>
        <v>-</v>
      </c>
      <c r="I953" s="97"/>
      <c r="J953" s="97" t="str">
        <f>IFERROR(__xludf.DUMMYFUNCTION("""COMPUTED_VALUE"""),"Modelo: 4-5w
In: 85-265Vac 50/60Hz
Out: 12-18Vdc 280mA")</f>
        <v>Modelo: 4-5w
In: 85-265Vac 50/60Hz
Out: 12-18Vdc 280mA</v>
      </c>
      <c r="K953" s="97" t="str">
        <f>IFERROR(__xludf.DUMMYFUNCTION("""COMPUTED_VALUE"""),"ON/OFF")</f>
        <v>ON/OFF</v>
      </c>
      <c r="L953" s="97" t="str">
        <f>IFERROR(__xludf.DUMMYFUNCTION("""COMPUTED_VALUE"""),"200-240")</f>
        <v>200-240</v>
      </c>
      <c r="M953" s="97" t="str">
        <f>IFERROR(__xludf.DUMMYFUNCTION("""COMPUTED_VALUE"""),"50/60")</f>
        <v>50/60</v>
      </c>
      <c r="N953" s="97"/>
      <c r="O953" s="97">
        <f>IFERROR(__xludf.DUMMYFUNCTION("""COMPUTED_VALUE"""),5.0)</f>
        <v>5</v>
      </c>
      <c r="P953" s="97"/>
      <c r="Q953" s="97">
        <f>IFERROR(__xludf.DUMMYFUNCTION("""COMPUTED_VALUE"""),0.46)</f>
        <v>0.46</v>
      </c>
      <c r="R953" s="97" t="str">
        <f>IFERROR(__xludf.DUMMYFUNCTION("""COMPUTED_VALUE"""),"-")</f>
        <v>-</v>
      </c>
      <c r="S953" s="97" t="str">
        <f>IFERROR(__xludf.DUMMYFUNCTION("""COMPUTED_VALUE"""),"-")</f>
        <v>-</v>
      </c>
      <c r="T953" s="97">
        <f>IFERROR(__xludf.DUMMYFUNCTION("""COMPUTED_VALUE"""),270.0)</f>
        <v>270</v>
      </c>
      <c r="U953" s="99">
        <f>IFERROR(__xludf.DUMMYFUNCTION("""COMPUTED_VALUE"""),54.0)</f>
        <v>54</v>
      </c>
      <c r="V953" s="97" t="str">
        <f>IFERROR(__xludf.DUMMYFUNCTION("""COMPUTED_VALUE"""),"12-50")</f>
        <v>12-50</v>
      </c>
      <c r="W953" s="97" t="str">
        <f>IFERROR(__xludf.DUMMYFUNCTION("""COMPUTED_VALUE"""),"&lt; 20")</f>
        <v>&lt; 20</v>
      </c>
      <c r="X953" s="97">
        <f>IFERROR(__xludf.DUMMYFUNCTION("""COMPUTED_VALUE"""),2700.0)</f>
        <v>2700</v>
      </c>
      <c r="Y953" s="97" t="str">
        <f>IFERROR(__xludf.DUMMYFUNCTION("""COMPUTED_VALUE"""),"&gt;95")</f>
        <v>&gt;95</v>
      </c>
      <c r="Z953" s="97"/>
      <c r="AA953" s="97"/>
      <c r="AB953" s="97" t="str">
        <f>IFERROR(__xludf.DUMMYFUNCTION("""COMPUTED_VALUE"""),"&lt; 2")</f>
        <v>&lt; 2</v>
      </c>
      <c r="AC953" s="97"/>
      <c r="AD953" s="97" t="str">
        <f>IFERROR(__xludf.DUMMYFUNCTION("""COMPUTED_VALUE"""),"IP20")</f>
        <v>IP20</v>
      </c>
      <c r="AE953" s="97" t="str">
        <f>IFERROR(__xludf.DUMMYFUNCTION("""COMPUTED_VALUE"""),"Clase l")</f>
        <v>Clase l</v>
      </c>
      <c r="AF953" s="97" t="str">
        <f>IFERROR(__xludf.DUMMYFUNCTION("""COMPUTED_VALUE"""),"Aplicar")</f>
        <v>Aplicar</v>
      </c>
      <c r="AG953" s="97" t="str">
        <f>IFERROR(__xludf.DUMMYFUNCTION("""COMPUTED_VALUE"""),"Ø30 x 200")</f>
        <v>Ø30 x 200</v>
      </c>
      <c r="AH953" s="97" t="str">
        <f>IFERROR(__xludf.DUMMYFUNCTION("""COMPUTED_VALUE"""),"N/A")</f>
        <v>N/A</v>
      </c>
      <c r="AI953" s="97" t="str">
        <f>IFERROR(__xludf.DUMMYFUNCTION("""COMPUTED_VALUE"""),"N/A")</f>
        <v>N/A</v>
      </c>
      <c r="AJ953" s="97" t="str">
        <f>IFERROR(__xludf.DUMMYFUNCTION("""COMPUTED_VALUE"""),"PMMA")</f>
        <v>PMMA</v>
      </c>
      <c r="AK953" s="97" t="str">
        <f>IFERROR(__xludf.DUMMYFUNCTION("""COMPUTED_VALUE"""),"Aluminio")</f>
        <v>Aluminio</v>
      </c>
      <c r="AL953" s="97" t="str">
        <f>IFERROR(__xludf.DUMMYFUNCTION("""COMPUTED_VALUE"""),"Blanco Satinado")</f>
        <v>Blanco Satinado</v>
      </c>
      <c r="AM953" s="97" t="str">
        <f>IFERROR(__xludf.DUMMYFUNCTION("""COMPUTED_VALUE"""),"-")</f>
        <v>-</v>
      </c>
      <c r="AN953" s="97" t="str">
        <f>IFERROR(__xludf.DUMMYFUNCTION("""COMPUTED_VALUE"""),"25.000hs (L70)")</f>
        <v>25.000hs (L70)</v>
      </c>
      <c r="AO953" s="97" t="str">
        <f>IFERROR(__xludf.DUMMYFUNCTION("""COMPUTED_VALUE"""),"2 Años")</f>
        <v>2 Años</v>
      </c>
      <c r="AP953" s="97" t="str">
        <f>IFERROR(__xludf.DUMMYFUNCTION("""COMPUTED_VALUE"""),"Disponible")</f>
        <v>Disponible</v>
      </c>
      <c r="AQ953" s="97" t="str">
        <f>IFERROR(__xludf.DUMMYFUNCTION("""COMPUTED_VALUE"""),"Disponible")</f>
        <v>Disponible</v>
      </c>
      <c r="AR953" s="97" t="str">
        <f>IFERROR(__xludf.DUMMYFUNCTION("""COMPUTED_VALUE"""),"Disponible")</f>
        <v>Disponible</v>
      </c>
      <c r="AS953" s="97"/>
      <c r="AT953" s="97"/>
      <c r="AU953" s="97" t="str">
        <f>IFERROR(__xludf.DUMMYFUNCTION("""COMPUTED_VALUE"""),"Falta")</f>
        <v>Falta</v>
      </c>
      <c r="AV953" s="97" t="str">
        <f>IFERROR(__xludf.DUMMYFUNCTION("""COMPUTED_VALUE"""),"Aplique")</f>
        <v>Aplique</v>
      </c>
      <c r="AW953" s="97" t="str">
        <f>IFERROR(__xludf.DUMMYFUNCTION("""COMPUTED_VALUE"""),"De Techo")</f>
        <v>De Techo</v>
      </c>
      <c r="AX953" s="97" t="str">
        <f>IFERROR(__xludf.DUMMYFUNCTION("""COMPUTED_VALUE"""),"Interior")</f>
        <v>Interior</v>
      </c>
      <c r="AY953" s="97" t="str">
        <f>IFERROR(__xludf.DUMMYFUNCTION("""COMPUTED_VALUE"""),"-")</f>
        <v>-</v>
      </c>
      <c r="AZ953" s="97"/>
      <c r="BA953" s="97">
        <f>IFERROR(__xludf.DUMMYFUNCTION("""COMPUTED_VALUE"""),80.0)</f>
        <v>80</v>
      </c>
      <c r="BB953" s="97" t="str">
        <f>IFERROR(__xludf.DUMMYFUNCTION("""COMPUTED_VALUE"""),"-")</f>
        <v>-</v>
      </c>
      <c r="BC953" s="97" t="str">
        <f>IFERROR(__xludf.DUMMYFUNCTION("""COMPUTED_VALUE"""),"-")</f>
        <v>-</v>
      </c>
      <c r="BD953" s="97" t="str">
        <f>IFERROR(__xludf.DUMMYFUNCTION("""COMPUTED_VALUE"""),"SHIR")</f>
        <v>SHIR</v>
      </c>
      <c r="BE953" s="97" t="str">
        <f>IFERROR(__xludf.DUMMYFUNCTION("""COMPUTED_VALUE"""),"Finalizada")</f>
        <v>Finalizada</v>
      </c>
      <c r="BF953" s="97"/>
      <c r="BG953" s="97" t="str">
        <f>IFERROR(__xludf.DUMMYFUNCTION("""COMPUTED_VALUE"""),"Activo")</f>
        <v>Activo</v>
      </c>
    </row>
    <row r="954">
      <c r="A954" s="97">
        <f>IFERROR(__xludf.DUMMYFUNCTION("""COMPUTED_VALUE"""),6740.0)</f>
        <v>6740</v>
      </c>
      <c r="B954" s="97" t="str">
        <f>IFERROR(__xludf.DUMMYFUNCTION("""COMPUTED_VALUE"""),"SHIR II NG")</f>
        <v>SHIR II NG</v>
      </c>
      <c r="C954" s="97" t="str">
        <f>IFERROR(__xludf.DUMMYFUNCTION("""COMPUTED_VALUE"""),"APLIQUE SHIR II NG 5W 2700K 270LM CRI&gt;95 IP20 LEUK")</f>
        <v>APLIQUE SHIR II NG 5W 2700K 270LM CRI&gt;95 IP20 LEUK</v>
      </c>
      <c r="D954" s="97">
        <f>IFERROR(__xludf.DUMMYFUNCTION("""COMPUTED_VALUE"""),7.798413222388E12)</f>
        <v>7798413222388</v>
      </c>
      <c r="E954" s="97" t="str">
        <f>IFERROR(__xludf.DUMMYFUNCTION("""COMPUTED_VALUE"""),"F78")</f>
        <v>F78</v>
      </c>
      <c r="F954" s="97" t="str">
        <f>IFERROR(__xludf.DUMMYFUNCTION("""COMPUTED_VALUE"""),"LED integrado")</f>
        <v>LED integrado</v>
      </c>
      <c r="G954" s="97" t="str">
        <f>IFERROR(__xludf.DUMMYFUNCTION("""COMPUTED_VALUE"""),"Bridgelux")</f>
        <v>Bridgelux</v>
      </c>
      <c r="H954" s="97" t="str">
        <f>IFERROR(__xludf.DUMMYFUNCTION("""COMPUTED_VALUE"""),"-")</f>
        <v>-</v>
      </c>
      <c r="I954" s="97"/>
      <c r="J954" s="97" t="str">
        <f>IFERROR(__xludf.DUMMYFUNCTION("""COMPUTED_VALUE"""),"Modelo: 4-5w
In: 85-265Vac 50/60Hz
Out: 12-18Vdc 280mA")</f>
        <v>Modelo: 4-5w
In: 85-265Vac 50/60Hz
Out: 12-18Vdc 280mA</v>
      </c>
      <c r="K954" s="97" t="str">
        <f>IFERROR(__xludf.DUMMYFUNCTION("""COMPUTED_VALUE"""),"ON/OFF")</f>
        <v>ON/OFF</v>
      </c>
      <c r="L954" s="97" t="str">
        <f>IFERROR(__xludf.DUMMYFUNCTION("""COMPUTED_VALUE"""),"200-240")</f>
        <v>200-240</v>
      </c>
      <c r="M954" s="97" t="str">
        <f>IFERROR(__xludf.DUMMYFUNCTION("""COMPUTED_VALUE"""),"50/60")</f>
        <v>50/60</v>
      </c>
      <c r="N954" s="97"/>
      <c r="O954" s="97">
        <f>IFERROR(__xludf.DUMMYFUNCTION("""COMPUTED_VALUE"""),5.0)</f>
        <v>5</v>
      </c>
      <c r="P954" s="97"/>
      <c r="Q954" s="97">
        <f>IFERROR(__xludf.DUMMYFUNCTION("""COMPUTED_VALUE"""),0.46)</f>
        <v>0.46</v>
      </c>
      <c r="R954" s="97" t="str">
        <f>IFERROR(__xludf.DUMMYFUNCTION("""COMPUTED_VALUE"""),"-")</f>
        <v>-</v>
      </c>
      <c r="S954" s="97" t="str">
        <f>IFERROR(__xludf.DUMMYFUNCTION("""COMPUTED_VALUE"""),"-")</f>
        <v>-</v>
      </c>
      <c r="T954" s="97">
        <f>IFERROR(__xludf.DUMMYFUNCTION("""COMPUTED_VALUE"""),270.0)</f>
        <v>270</v>
      </c>
      <c r="U954" s="99">
        <f>IFERROR(__xludf.DUMMYFUNCTION("""COMPUTED_VALUE"""),54.0)</f>
        <v>54</v>
      </c>
      <c r="V954" s="97" t="str">
        <f>IFERROR(__xludf.DUMMYFUNCTION("""COMPUTED_VALUE"""),"12-50")</f>
        <v>12-50</v>
      </c>
      <c r="W954" s="97" t="str">
        <f>IFERROR(__xludf.DUMMYFUNCTION("""COMPUTED_VALUE"""),"&lt; 20")</f>
        <v>&lt; 20</v>
      </c>
      <c r="X954" s="97">
        <f>IFERROR(__xludf.DUMMYFUNCTION("""COMPUTED_VALUE"""),2700.0)</f>
        <v>2700</v>
      </c>
      <c r="Y954" s="97" t="str">
        <f>IFERROR(__xludf.DUMMYFUNCTION("""COMPUTED_VALUE"""),"&gt;95")</f>
        <v>&gt;95</v>
      </c>
      <c r="Z954" s="97"/>
      <c r="AA954" s="97"/>
      <c r="AB954" s="97" t="str">
        <f>IFERROR(__xludf.DUMMYFUNCTION("""COMPUTED_VALUE"""),"&lt; 2")</f>
        <v>&lt; 2</v>
      </c>
      <c r="AC954" s="97"/>
      <c r="AD954" s="97" t="str">
        <f>IFERROR(__xludf.DUMMYFUNCTION("""COMPUTED_VALUE"""),"IP20")</f>
        <v>IP20</v>
      </c>
      <c r="AE954" s="97" t="str">
        <f>IFERROR(__xludf.DUMMYFUNCTION("""COMPUTED_VALUE"""),"Clase l")</f>
        <v>Clase l</v>
      </c>
      <c r="AF954" s="97" t="str">
        <f>IFERROR(__xludf.DUMMYFUNCTION("""COMPUTED_VALUE"""),"Aplicar")</f>
        <v>Aplicar</v>
      </c>
      <c r="AG954" s="97" t="str">
        <f>IFERROR(__xludf.DUMMYFUNCTION("""COMPUTED_VALUE"""),"Ø30 x 500")</f>
        <v>Ø30 x 500</v>
      </c>
      <c r="AH954" s="97" t="str">
        <f>IFERROR(__xludf.DUMMYFUNCTION("""COMPUTED_VALUE"""),"N/A")</f>
        <v>N/A</v>
      </c>
      <c r="AI954" s="97" t="str">
        <f>IFERROR(__xludf.DUMMYFUNCTION("""COMPUTED_VALUE"""),"N/A")</f>
        <v>N/A</v>
      </c>
      <c r="AJ954" s="97" t="str">
        <f>IFERROR(__xludf.DUMMYFUNCTION("""COMPUTED_VALUE"""),"PMMA")</f>
        <v>PMMA</v>
      </c>
      <c r="AK954" s="97" t="str">
        <f>IFERROR(__xludf.DUMMYFUNCTION("""COMPUTED_VALUE"""),"Aluminio")</f>
        <v>Aluminio</v>
      </c>
      <c r="AL954" s="97" t="str">
        <f>IFERROR(__xludf.DUMMYFUNCTION("""COMPUTED_VALUE"""),"Negro Satinado")</f>
        <v>Negro Satinado</v>
      </c>
      <c r="AM954" s="97" t="str">
        <f>IFERROR(__xludf.DUMMYFUNCTION("""COMPUTED_VALUE"""),"-")</f>
        <v>-</v>
      </c>
      <c r="AN954" s="97" t="str">
        <f>IFERROR(__xludf.DUMMYFUNCTION("""COMPUTED_VALUE"""),"25.000hs (L70)")</f>
        <v>25.000hs (L70)</v>
      </c>
      <c r="AO954" s="97" t="str">
        <f>IFERROR(__xludf.DUMMYFUNCTION("""COMPUTED_VALUE"""),"2 Años")</f>
        <v>2 Años</v>
      </c>
      <c r="AP954" s="97" t="str">
        <f>IFERROR(__xludf.DUMMYFUNCTION("""COMPUTED_VALUE"""),"Disponible")</f>
        <v>Disponible</v>
      </c>
      <c r="AQ954" s="97" t="str">
        <f>IFERROR(__xludf.DUMMYFUNCTION("""COMPUTED_VALUE"""),"Disponible")</f>
        <v>Disponible</v>
      </c>
      <c r="AR954" s="97" t="str">
        <f>IFERROR(__xludf.DUMMYFUNCTION("""COMPUTED_VALUE"""),"Disponible")</f>
        <v>Disponible</v>
      </c>
      <c r="AS954" s="97"/>
      <c r="AT954" s="97"/>
      <c r="AU954" s="97" t="str">
        <f>IFERROR(__xludf.DUMMYFUNCTION("""COMPUTED_VALUE"""),"Falta")</f>
        <v>Falta</v>
      </c>
      <c r="AV954" s="97" t="str">
        <f>IFERROR(__xludf.DUMMYFUNCTION("""COMPUTED_VALUE"""),"Aplique")</f>
        <v>Aplique</v>
      </c>
      <c r="AW954" s="97" t="str">
        <f>IFERROR(__xludf.DUMMYFUNCTION("""COMPUTED_VALUE"""),"De Techo")</f>
        <v>De Techo</v>
      </c>
      <c r="AX954" s="97" t="str">
        <f>IFERROR(__xludf.DUMMYFUNCTION("""COMPUTED_VALUE"""),"Interior")</f>
        <v>Interior</v>
      </c>
      <c r="AY954" s="97" t="str">
        <f>IFERROR(__xludf.DUMMYFUNCTION("""COMPUTED_VALUE"""),"-")</f>
        <v>-</v>
      </c>
      <c r="AZ954" s="97"/>
      <c r="BA954" s="97">
        <f>IFERROR(__xludf.DUMMYFUNCTION("""COMPUTED_VALUE"""),80.0)</f>
        <v>80</v>
      </c>
      <c r="BB954" s="97" t="str">
        <f>IFERROR(__xludf.DUMMYFUNCTION("""COMPUTED_VALUE"""),"-")</f>
        <v>-</v>
      </c>
      <c r="BC954" s="97" t="str">
        <f>IFERROR(__xludf.DUMMYFUNCTION("""COMPUTED_VALUE"""),"-")</f>
        <v>-</v>
      </c>
      <c r="BD954" s="97" t="str">
        <f>IFERROR(__xludf.DUMMYFUNCTION("""COMPUTED_VALUE"""),"SHIR")</f>
        <v>SHIR</v>
      </c>
      <c r="BE954" s="97" t="str">
        <f>IFERROR(__xludf.DUMMYFUNCTION("""COMPUTED_VALUE"""),"Finalizada")</f>
        <v>Finalizada</v>
      </c>
      <c r="BF954" s="97"/>
      <c r="BG954" s="97" t="str">
        <f>IFERROR(__xludf.DUMMYFUNCTION("""COMPUTED_VALUE"""),"Activo")</f>
        <v>Activo</v>
      </c>
    </row>
    <row r="955">
      <c r="A955" s="97">
        <f>IFERROR(__xludf.DUMMYFUNCTION("""COMPUTED_VALUE"""),6741.0)</f>
        <v>6741</v>
      </c>
      <c r="B955" s="97" t="str">
        <f>IFERROR(__xludf.DUMMYFUNCTION("""COMPUTED_VALUE"""),"SHIR II BL")</f>
        <v>SHIR II BL</v>
      </c>
      <c r="C955" s="97" t="str">
        <f>IFERROR(__xludf.DUMMYFUNCTION("""COMPUTED_VALUE"""),"APLIQUE SHIR II BL 5W 2700K 270LM CRI&gt;95 IP20 LEUK")</f>
        <v>APLIQUE SHIR II BL 5W 2700K 270LM CRI&gt;95 IP20 LEUK</v>
      </c>
      <c r="D955" s="97">
        <f>IFERROR(__xludf.DUMMYFUNCTION("""COMPUTED_VALUE"""),7.798413222395E12)</f>
        <v>7798413222395</v>
      </c>
      <c r="E955" s="97" t="str">
        <f>IFERROR(__xludf.DUMMYFUNCTION("""COMPUTED_VALUE"""),"F79")</f>
        <v>F79</v>
      </c>
      <c r="F955" s="97" t="str">
        <f>IFERROR(__xludf.DUMMYFUNCTION("""COMPUTED_VALUE"""),"LED integrado")</f>
        <v>LED integrado</v>
      </c>
      <c r="G955" s="97" t="str">
        <f>IFERROR(__xludf.DUMMYFUNCTION("""COMPUTED_VALUE"""),"Bridgelux")</f>
        <v>Bridgelux</v>
      </c>
      <c r="H955" s="97" t="str">
        <f>IFERROR(__xludf.DUMMYFUNCTION("""COMPUTED_VALUE"""),"-")</f>
        <v>-</v>
      </c>
      <c r="I955" s="97"/>
      <c r="J955" s="97" t="str">
        <f>IFERROR(__xludf.DUMMYFUNCTION("""COMPUTED_VALUE"""),"Modelo: 4-5w
In: 85-265Vac 50/60Hz
Out: 12-18Vdc 280mA")</f>
        <v>Modelo: 4-5w
In: 85-265Vac 50/60Hz
Out: 12-18Vdc 280mA</v>
      </c>
      <c r="K955" s="97" t="str">
        <f>IFERROR(__xludf.DUMMYFUNCTION("""COMPUTED_VALUE"""),"ON/OFF")</f>
        <v>ON/OFF</v>
      </c>
      <c r="L955" s="97" t="str">
        <f>IFERROR(__xludf.DUMMYFUNCTION("""COMPUTED_VALUE"""),"200-240")</f>
        <v>200-240</v>
      </c>
      <c r="M955" s="97" t="str">
        <f>IFERROR(__xludf.DUMMYFUNCTION("""COMPUTED_VALUE"""),"50/60")</f>
        <v>50/60</v>
      </c>
      <c r="N955" s="97"/>
      <c r="O955" s="97">
        <f>IFERROR(__xludf.DUMMYFUNCTION("""COMPUTED_VALUE"""),5.0)</f>
        <v>5</v>
      </c>
      <c r="P955" s="97"/>
      <c r="Q955" s="97">
        <f>IFERROR(__xludf.DUMMYFUNCTION("""COMPUTED_VALUE"""),0.46)</f>
        <v>0.46</v>
      </c>
      <c r="R955" s="97" t="str">
        <f>IFERROR(__xludf.DUMMYFUNCTION("""COMPUTED_VALUE"""),"-")</f>
        <v>-</v>
      </c>
      <c r="S955" s="97" t="str">
        <f>IFERROR(__xludf.DUMMYFUNCTION("""COMPUTED_VALUE"""),"-")</f>
        <v>-</v>
      </c>
      <c r="T955" s="97">
        <f>IFERROR(__xludf.DUMMYFUNCTION("""COMPUTED_VALUE"""),270.0)</f>
        <v>270</v>
      </c>
      <c r="U955" s="99">
        <f>IFERROR(__xludf.DUMMYFUNCTION("""COMPUTED_VALUE"""),54.0)</f>
        <v>54</v>
      </c>
      <c r="V955" s="97" t="str">
        <f>IFERROR(__xludf.DUMMYFUNCTION("""COMPUTED_VALUE"""),"12-50")</f>
        <v>12-50</v>
      </c>
      <c r="W955" s="97" t="str">
        <f>IFERROR(__xludf.DUMMYFUNCTION("""COMPUTED_VALUE"""),"&lt; 20")</f>
        <v>&lt; 20</v>
      </c>
      <c r="X955" s="97">
        <f>IFERROR(__xludf.DUMMYFUNCTION("""COMPUTED_VALUE"""),2700.0)</f>
        <v>2700</v>
      </c>
      <c r="Y955" s="97" t="str">
        <f>IFERROR(__xludf.DUMMYFUNCTION("""COMPUTED_VALUE"""),"&gt;95")</f>
        <v>&gt;95</v>
      </c>
      <c r="Z955" s="97"/>
      <c r="AA955" s="97"/>
      <c r="AB955" s="97" t="str">
        <f>IFERROR(__xludf.DUMMYFUNCTION("""COMPUTED_VALUE"""),"&lt; 2")</f>
        <v>&lt; 2</v>
      </c>
      <c r="AC955" s="97"/>
      <c r="AD955" s="97" t="str">
        <f>IFERROR(__xludf.DUMMYFUNCTION("""COMPUTED_VALUE"""),"IP20")</f>
        <v>IP20</v>
      </c>
      <c r="AE955" s="97" t="str">
        <f>IFERROR(__xludf.DUMMYFUNCTION("""COMPUTED_VALUE"""),"Clase l")</f>
        <v>Clase l</v>
      </c>
      <c r="AF955" s="97" t="str">
        <f>IFERROR(__xludf.DUMMYFUNCTION("""COMPUTED_VALUE"""),"Aplicar")</f>
        <v>Aplicar</v>
      </c>
      <c r="AG955" s="97" t="str">
        <f>IFERROR(__xludf.DUMMYFUNCTION("""COMPUTED_VALUE"""),"Ø30 x 500")</f>
        <v>Ø30 x 500</v>
      </c>
      <c r="AH955" s="97" t="str">
        <f>IFERROR(__xludf.DUMMYFUNCTION("""COMPUTED_VALUE"""),"N/A")</f>
        <v>N/A</v>
      </c>
      <c r="AI955" s="97" t="str">
        <f>IFERROR(__xludf.DUMMYFUNCTION("""COMPUTED_VALUE"""),"N/A")</f>
        <v>N/A</v>
      </c>
      <c r="AJ955" s="97" t="str">
        <f>IFERROR(__xludf.DUMMYFUNCTION("""COMPUTED_VALUE"""),"PMMA")</f>
        <v>PMMA</v>
      </c>
      <c r="AK955" s="97" t="str">
        <f>IFERROR(__xludf.DUMMYFUNCTION("""COMPUTED_VALUE"""),"Aluminio")</f>
        <v>Aluminio</v>
      </c>
      <c r="AL955" s="97" t="str">
        <f>IFERROR(__xludf.DUMMYFUNCTION("""COMPUTED_VALUE"""),"Blanco Satinado")</f>
        <v>Blanco Satinado</v>
      </c>
      <c r="AM955" s="97" t="str">
        <f>IFERROR(__xludf.DUMMYFUNCTION("""COMPUTED_VALUE"""),"-")</f>
        <v>-</v>
      </c>
      <c r="AN955" s="97" t="str">
        <f>IFERROR(__xludf.DUMMYFUNCTION("""COMPUTED_VALUE"""),"25.000hs (L70)")</f>
        <v>25.000hs (L70)</v>
      </c>
      <c r="AO955" s="97" t="str">
        <f>IFERROR(__xludf.DUMMYFUNCTION("""COMPUTED_VALUE"""),"2 Años")</f>
        <v>2 Años</v>
      </c>
      <c r="AP955" s="97" t="str">
        <f>IFERROR(__xludf.DUMMYFUNCTION("""COMPUTED_VALUE"""),"Disponible")</f>
        <v>Disponible</v>
      </c>
      <c r="AQ955" s="97" t="str">
        <f>IFERROR(__xludf.DUMMYFUNCTION("""COMPUTED_VALUE"""),"Disponible")</f>
        <v>Disponible</v>
      </c>
      <c r="AR955" s="97" t="str">
        <f>IFERROR(__xludf.DUMMYFUNCTION("""COMPUTED_VALUE"""),"Disponible")</f>
        <v>Disponible</v>
      </c>
      <c r="AS955" s="97"/>
      <c r="AT955" s="97"/>
      <c r="AU955" s="97" t="str">
        <f>IFERROR(__xludf.DUMMYFUNCTION("""COMPUTED_VALUE"""),"Falta")</f>
        <v>Falta</v>
      </c>
      <c r="AV955" s="97" t="str">
        <f>IFERROR(__xludf.DUMMYFUNCTION("""COMPUTED_VALUE"""),"Aplique")</f>
        <v>Aplique</v>
      </c>
      <c r="AW955" s="97" t="str">
        <f>IFERROR(__xludf.DUMMYFUNCTION("""COMPUTED_VALUE"""),"De Techo")</f>
        <v>De Techo</v>
      </c>
      <c r="AX955" s="97" t="str">
        <f>IFERROR(__xludf.DUMMYFUNCTION("""COMPUTED_VALUE"""),"Interior")</f>
        <v>Interior</v>
      </c>
      <c r="AY955" s="97" t="str">
        <f>IFERROR(__xludf.DUMMYFUNCTION("""COMPUTED_VALUE"""),"-")</f>
        <v>-</v>
      </c>
      <c r="AZ955" s="97"/>
      <c r="BA955" s="97">
        <f>IFERROR(__xludf.DUMMYFUNCTION("""COMPUTED_VALUE"""),80.0)</f>
        <v>80</v>
      </c>
      <c r="BB955" s="97" t="str">
        <f>IFERROR(__xludf.DUMMYFUNCTION("""COMPUTED_VALUE"""),"-")</f>
        <v>-</v>
      </c>
      <c r="BC955" s="97" t="str">
        <f>IFERROR(__xludf.DUMMYFUNCTION("""COMPUTED_VALUE"""),"-")</f>
        <v>-</v>
      </c>
      <c r="BD955" s="97" t="str">
        <f>IFERROR(__xludf.DUMMYFUNCTION("""COMPUTED_VALUE"""),"SHIR")</f>
        <v>SHIR</v>
      </c>
      <c r="BE955" s="97" t="str">
        <f>IFERROR(__xludf.DUMMYFUNCTION("""COMPUTED_VALUE"""),"Finalizada")</f>
        <v>Finalizada</v>
      </c>
      <c r="BF955" s="97"/>
      <c r="BG955" s="97" t="str">
        <f>IFERROR(__xludf.DUMMYFUNCTION("""COMPUTED_VALUE"""),"Activo")</f>
        <v>Activo</v>
      </c>
    </row>
    <row r="956">
      <c r="A956" s="97">
        <f>IFERROR(__xludf.DUMMYFUNCTION("""COMPUTED_VALUE"""),6742.0)</f>
        <v>6742</v>
      </c>
      <c r="B956" s="97" t="str">
        <f>IFERROR(__xludf.DUMMYFUNCTION("""COMPUTED_VALUE"""),"CHILL 5W 220V 2700K")</f>
        <v>CHILL 5W 220V 2700K</v>
      </c>
      <c r="C956" s="97" t="str">
        <f>IFERROR(__xludf.DUMMYFUNCTION("""COMPUTED_VALUE"""),"PROYECTOR CHILL 5W 220V 2700K 5W 2700K 280LM CRI&gt;90 IP65 LEUK")</f>
        <v>PROYECTOR CHILL 5W 220V 2700K 5W 2700K 280LM CRI&gt;90 IP65 LEUK</v>
      </c>
      <c r="D956" s="97">
        <f>IFERROR(__xludf.DUMMYFUNCTION("""COMPUTED_VALUE"""),7.798413223408E12)</f>
        <v>7798413223408</v>
      </c>
      <c r="E956" s="97" t="str">
        <f>IFERROR(__xludf.DUMMYFUNCTION("""COMPUTED_VALUE"""),"C115")</f>
        <v>C115</v>
      </c>
      <c r="F956" s="97" t="str">
        <f>IFERROR(__xludf.DUMMYFUNCTION("""COMPUTED_VALUE"""),"LED integrado")</f>
        <v>LED integrado</v>
      </c>
      <c r="G956" s="97" t="str">
        <f>IFERROR(__xludf.DUMMYFUNCTION("""COMPUTED_VALUE"""),"Bridgelux")</f>
        <v>Bridgelux</v>
      </c>
      <c r="H956" s="97" t="str">
        <f>IFERROR(__xludf.DUMMYFUNCTION("""COMPUTED_VALUE"""),"-")</f>
        <v>-</v>
      </c>
      <c r="I956" s="97"/>
      <c r="J956" s="97" t="str">
        <f>IFERROR(__xludf.DUMMYFUNCTION("""COMPUTED_VALUE"""),"Driver encapsulado")</f>
        <v>Driver encapsulado</v>
      </c>
      <c r="K956" s="97" t="str">
        <f>IFERROR(__xludf.DUMMYFUNCTION("""COMPUTED_VALUE"""),"ON/OFF")</f>
        <v>ON/OFF</v>
      </c>
      <c r="L956" s="97" t="str">
        <f>IFERROR(__xludf.DUMMYFUNCTION("""COMPUTED_VALUE"""),"220-240")</f>
        <v>220-240</v>
      </c>
      <c r="M956" s="97" t="str">
        <f>IFERROR(__xludf.DUMMYFUNCTION("""COMPUTED_VALUE"""),"50/60")</f>
        <v>50/60</v>
      </c>
      <c r="N956" s="97" t="str">
        <f>IFERROR(__xludf.DUMMYFUNCTION("""COMPUTED_VALUE"""),"Directa")</f>
        <v>Directa</v>
      </c>
      <c r="O956" s="97">
        <f>IFERROR(__xludf.DUMMYFUNCTION("""COMPUTED_VALUE"""),5.0)</f>
        <v>5</v>
      </c>
      <c r="P956" s="97"/>
      <c r="Q956" s="97">
        <f>IFERROR(__xludf.DUMMYFUNCTION("""COMPUTED_VALUE"""),0.5)</f>
        <v>0.5</v>
      </c>
      <c r="R956" s="97" t="str">
        <f>IFERROR(__xludf.DUMMYFUNCTION("""COMPUTED_VALUE"""),"-")</f>
        <v>-</v>
      </c>
      <c r="S956" s="97" t="str">
        <f>IFERROR(__xludf.DUMMYFUNCTION("""COMPUTED_VALUE"""),"-")</f>
        <v>-</v>
      </c>
      <c r="T956" s="97">
        <f>IFERROR(__xludf.DUMMYFUNCTION("""COMPUTED_VALUE"""),280.0)</f>
        <v>280</v>
      </c>
      <c r="U956" s="99">
        <f>IFERROR(__xludf.DUMMYFUNCTION("""COMPUTED_VALUE"""),56.0)</f>
        <v>56</v>
      </c>
      <c r="V956" s="97" t="str">
        <f>IFERROR(__xludf.DUMMYFUNCTION("""COMPUTED_VALUE"""),"15 / 24 / 36")</f>
        <v>15 / 24 / 36</v>
      </c>
      <c r="W956" s="97" t="str">
        <f>IFERROR(__xludf.DUMMYFUNCTION("""COMPUTED_VALUE"""),"&lt; 14")</f>
        <v>&lt; 14</v>
      </c>
      <c r="X956" s="97">
        <f>IFERROR(__xludf.DUMMYFUNCTION("""COMPUTED_VALUE"""),2700.0)</f>
        <v>2700</v>
      </c>
      <c r="Y956" s="97" t="str">
        <f>IFERROR(__xludf.DUMMYFUNCTION("""COMPUTED_VALUE"""),"&gt;90")</f>
        <v>&gt;90</v>
      </c>
      <c r="Z956" s="97"/>
      <c r="AA956" s="97"/>
      <c r="AB956" s="97" t="str">
        <f>IFERROR(__xludf.DUMMYFUNCTION("""COMPUTED_VALUE"""),"-")</f>
        <v>-</v>
      </c>
      <c r="AC956" s="97"/>
      <c r="AD956" s="97" t="str">
        <f>IFERROR(__xludf.DUMMYFUNCTION("""COMPUTED_VALUE"""),"IP65")</f>
        <v>IP65</v>
      </c>
      <c r="AE956" s="97" t="str">
        <f>IFERROR(__xludf.DUMMYFUNCTION("""COMPUTED_VALUE"""),"Clase l")</f>
        <v>Clase l</v>
      </c>
      <c r="AF956" s="97" t="str">
        <f>IFERROR(__xludf.DUMMYFUNCTION("""COMPUTED_VALUE"""),"Aplicar, Estaca")</f>
        <v>Aplicar, Estaca</v>
      </c>
      <c r="AG956" s="97" t="str">
        <f>IFERROR(__xludf.DUMMYFUNCTION("""COMPUTED_VALUE"""),"Ø40 x 100")</f>
        <v>Ø40 x 100</v>
      </c>
      <c r="AH956" s="97" t="str">
        <f>IFERROR(__xludf.DUMMYFUNCTION("""COMPUTED_VALUE"""),"N/A")</f>
        <v>N/A</v>
      </c>
      <c r="AI956" s="97" t="str">
        <f>IFERROR(__xludf.DUMMYFUNCTION("""COMPUTED_VALUE"""),"N/A")</f>
        <v>N/A</v>
      </c>
      <c r="AJ956" s="97" t="str">
        <f>IFERROR(__xludf.DUMMYFUNCTION("""COMPUTED_VALUE"""),"Vidrio y Acrílico")</f>
        <v>Vidrio y Acrílico</v>
      </c>
      <c r="AK956" s="97" t="str">
        <f>IFERROR(__xludf.DUMMYFUNCTION("""COMPUTED_VALUE"""),"Aluminio")</f>
        <v>Aluminio</v>
      </c>
      <c r="AL956" s="97" t="str">
        <f>IFERROR(__xludf.DUMMYFUNCTION("""COMPUTED_VALUE"""),"Negro Satinado")</f>
        <v>Negro Satinado</v>
      </c>
      <c r="AM956" s="97" t="str">
        <f>IFERROR(__xludf.DUMMYFUNCTION("""COMPUTED_VALUE"""),"-")</f>
        <v>-</v>
      </c>
      <c r="AN956" s="97" t="str">
        <f>IFERROR(__xludf.DUMMYFUNCTION("""COMPUTED_VALUE"""),"25.000hs (L70)")</f>
        <v>25.000hs (L70)</v>
      </c>
      <c r="AO956" s="97" t="str">
        <f>IFERROR(__xludf.DUMMYFUNCTION("""COMPUTED_VALUE"""),"2 Años")</f>
        <v>2 Años</v>
      </c>
      <c r="AP956" s="97" t="str">
        <f>IFERROR(__xludf.DUMMYFUNCTION("""COMPUTED_VALUE"""),"Disponible")</f>
        <v>Disponible</v>
      </c>
      <c r="AQ956" s="97" t="str">
        <f>IFERROR(__xludf.DUMMYFUNCTION("""COMPUTED_VALUE"""),"Disponible")</f>
        <v>Disponible</v>
      </c>
      <c r="AR956" s="97" t="str">
        <f>IFERROR(__xludf.DUMMYFUNCTION("""COMPUTED_VALUE"""),"Disponible")</f>
        <v>Disponible</v>
      </c>
      <c r="AS956" s="97" t="str">
        <f>IFERROR(__xludf.DUMMYFUNCTION("""COMPUTED_VALUE"""),"Disponible")</f>
        <v>Disponible</v>
      </c>
      <c r="AT956" s="97" t="str">
        <f>IFERROR(__xludf.DUMMYFUNCTION("""COMPUTED_VALUE"""),"Disponible")</f>
        <v>Disponible</v>
      </c>
      <c r="AU956" s="97" t="str">
        <f>IFERROR(__xludf.DUMMYFUNCTION("""COMPUTED_VALUE"""),"Falta")</f>
        <v>Falta</v>
      </c>
      <c r="AV956" s="97" t="str">
        <f>IFERROR(__xludf.DUMMYFUNCTION("""COMPUTED_VALUE"""),"Proyector")</f>
        <v>Proyector</v>
      </c>
      <c r="AW956" s="97" t="str">
        <f>IFERROR(__xludf.DUMMYFUNCTION("""COMPUTED_VALUE"""),"De Piso")</f>
        <v>De Piso</v>
      </c>
      <c r="AX956" s="97" t="str">
        <f>IFERROR(__xludf.DUMMYFUNCTION("""COMPUTED_VALUE"""),"Exterior")</f>
        <v>Exterior</v>
      </c>
      <c r="AY956" s="97" t="str">
        <f>IFERROR(__xludf.DUMMYFUNCTION("""COMPUTED_VALUE"""),"Chill")</f>
        <v>Chill</v>
      </c>
      <c r="AZ956" s="97" t="str">
        <f>IFERROR(__xludf.DUMMYFUNCTION("""COMPUTED_VALUE"""),"Incluye estaca y lente 36° + 2 lentes intercambiables: 15° y 24°")</f>
        <v>Incluye estaca y lente 36° + 2 lentes intercambiables: 15° y 24°</v>
      </c>
      <c r="BA956" s="97"/>
      <c r="BB956" s="97" t="str">
        <f>IFERROR(__xludf.DUMMYFUNCTION("""COMPUTED_VALUE"""),"-")</f>
        <v>-</v>
      </c>
      <c r="BC956" s="97" t="str">
        <f>IFERROR(__xludf.DUMMYFUNCTION("""COMPUTED_VALUE"""),"-")</f>
        <v>-</v>
      </c>
      <c r="BD956" s="97" t="str">
        <f>IFERROR(__xludf.DUMMYFUNCTION("""COMPUTED_VALUE"""),"CHILL")</f>
        <v>CHILL</v>
      </c>
      <c r="BE956" s="97" t="str">
        <f>IFERROR(__xludf.DUMMYFUNCTION("""COMPUTED_VALUE"""),"Finalizada")</f>
        <v>Finalizada</v>
      </c>
      <c r="BF956" s="97"/>
      <c r="BG956" s="97" t="str">
        <f>IFERROR(__xludf.DUMMYFUNCTION("""COMPUTED_VALUE"""),"Activo")</f>
        <v>Activo</v>
      </c>
    </row>
    <row r="957">
      <c r="A957" s="97">
        <f>IFERROR(__xludf.DUMMYFUNCTION("""COMPUTED_VALUE"""),6743.0)</f>
        <v>6743</v>
      </c>
      <c r="B957" s="97" t="str">
        <f>IFERROR(__xludf.DUMMYFUNCTION("""COMPUTED_VALUE"""),"CHILL 5W 220V 3000K")</f>
        <v>CHILL 5W 220V 3000K</v>
      </c>
      <c r="C957" s="97" t="str">
        <f>IFERROR(__xludf.DUMMYFUNCTION("""COMPUTED_VALUE"""),"PROYECTOR CHILL 5W 220V 3000K 5W 3000K 280LM CRI&gt;90 IP65 LEUK")</f>
        <v>PROYECTOR CHILL 5W 220V 3000K 5W 3000K 280LM CRI&gt;90 IP65 LEUK</v>
      </c>
      <c r="D957" s="97">
        <f>IFERROR(__xludf.DUMMYFUNCTION("""COMPUTED_VALUE"""),7.798413223293E12)</f>
        <v>7798413223293</v>
      </c>
      <c r="E957" s="97" t="str">
        <f>IFERROR(__xludf.DUMMYFUNCTION("""COMPUTED_VALUE"""),"C117")</f>
        <v>C117</v>
      </c>
      <c r="F957" s="97" t="str">
        <f>IFERROR(__xludf.DUMMYFUNCTION("""COMPUTED_VALUE"""),"LED integrado")</f>
        <v>LED integrado</v>
      </c>
      <c r="G957" s="97" t="str">
        <f>IFERROR(__xludf.DUMMYFUNCTION("""COMPUTED_VALUE"""),"Bridgelux")</f>
        <v>Bridgelux</v>
      </c>
      <c r="H957" s="97" t="str">
        <f>IFERROR(__xludf.DUMMYFUNCTION("""COMPUTED_VALUE"""),"-")</f>
        <v>-</v>
      </c>
      <c r="I957" s="97"/>
      <c r="J957" s="97" t="str">
        <f>IFERROR(__xludf.DUMMYFUNCTION("""COMPUTED_VALUE"""),"Driver encapsulado")</f>
        <v>Driver encapsulado</v>
      </c>
      <c r="K957" s="97" t="str">
        <f>IFERROR(__xludf.DUMMYFUNCTION("""COMPUTED_VALUE"""),"ON/OFF")</f>
        <v>ON/OFF</v>
      </c>
      <c r="L957" s="97" t="str">
        <f>IFERROR(__xludf.DUMMYFUNCTION("""COMPUTED_VALUE"""),"220-240")</f>
        <v>220-240</v>
      </c>
      <c r="M957" s="97" t="str">
        <f>IFERROR(__xludf.DUMMYFUNCTION("""COMPUTED_VALUE"""),"50/60")</f>
        <v>50/60</v>
      </c>
      <c r="N957" s="97" t="str">
        <f>IFERROR(__xludf.DUMMYFUNCTION("""COMPUTED_VALUE"""),"Directa")</f>
        <v>Directa</v>
      </c>
      <c r="O957" s="97">
        <f>IFERROR(__xludf.DUMMYFUNCTION("""COMPUTED_VALUE"""),5.0)</f>
        <v>5</v>
      </c>
      <c r="P957" s="97"/>
      <c r="Q957" s="97">
        <f>IFERROR(__xludf.DUMMYFUNCTION("""COMPUTED_VALUE"""),0.5)</f>
        <v>0.5</v>
      </c>
      <c r="R957" s="97" t="str">
        <f>IFERROR(__xludf.DUMMYFUNCTION("""COMPUTED_VALUE"""),"-")</f>
        <v>-</v>
      </c>
      <c r="S957" s="97" t="str">
        <f>IFERROR(__xludf.DUMMYFUNCTION("""COMPUTED_VALUE"""),"-")</f>
        <v>-</v>
      </c>
      <c r="T957" s="97">
        <f>IFERROR(__xludf.DUMMYFUNCTION("""COMPUTED_VALUE"""),280.0)</f>
        <v>280</v>
      </c>
      <c r="U957" s="99">
        <f>IFERROR(__xludf.DUMMYFUNCTION("""COMPUTED_VALUE"""),56.0)</f>
        <v>56</v>
      </c>
      <c r="V957" s="97" t="str">
        <f>IFERROR(__xludf.DUMMYFUNCTION("""COMPUTED_VALUE"""),"15 / 24 / 36")</f>
        <v>15 / 24 / 36</v>
      </c>
      <c r="W957" s="97" t="str">
        <f>IFERROR(__xludf.DUMMYFUNCTION("""COMPUTED_VALUE"""),"&lt; 14")</f>
        <v>&lt; 14</v>
      </c>
      <c r="X957" s="97">
        <f>IFERROR(__xludf.DUMMYFUNCTION("""COMPUTED_VALUE"""),3000.0)</f>
        <v>3000</v>
      </c>
      <c r="Y957" s="97" t="str">
        <f>IFERROR(__xludf.DUMMYFUNCTION("""COMPUTED_VALUE"""),"&gt;90")</f>
        <v>&gt;90</v>
      </c>
      <c r="Z957" s="97"/>
      <c r="AA957" s="97"/>
      <c r="AB957" s="97" t="str">
        <f>IFERROR(__xludf.DUMMYFUNCTION("""COMPUTED_VALUE"""),"&lt; 3")</f>
        <v>&lt; 3</v>
      </c>
      <c r="AC957" s="97"/>
      <c r="AD957" s="97" t="str">
        <f>IFERROR(__xludf.DUMMYFUNCTION("""COMPUTED_VALUE"""),"IP65")</f>
        <v>IP65</v>
      </c>
      <c r="AE957" s="97" t="str">
        <f>IFERROR(__xludf.DUMMYFUNCTION("""COMPUTED_VALUE"""),"Clase l")</f>
        <v>Clase l</v>
      </c>
      <c r="AF957" s="97" t="str">
        <f>IFERROR(__xludf.DUMMYFUNCTION("""COMPUTED_VALUE"""),"Aplicar, Estaca")</f>
        <v>Aplicar, Estaca</v>
      </c>
      <c r="AG957" s="97" t="str">
        <f>IFERROR(__xludf.DUMMYFUNCTION("""COMPUTED_VALUE"""),"Ø40 x 100")</f>
        <v>Ø40 x 100</v>
      </c>
      <c r="AH957" s="97" t="str">
        <f>IFERROR(__xludf.DUMMYFUNCTION("""COMPUTED_VALUE"""),"N/A")</f>
        <v>N/A</v>
      </c>
      <c r="AI957" s="97" t="str">
        <f>IFERROR(__xludf.DUMMYFUNCTION("""COMPUTED_VALUE"""),"N/A")</f>
        <v>N/A</v>
      </c>
      <c r="AJ957" s="97" t="str">
        <f>IFERROR(__xludf.DUMMYFUNCTION("""COMPUTED_VALUE"""),"Vidrio y Acrílico")</f>
        <v>Vidrio y Acrílico</v>
      </c>
      <c r="AK957" s="97" t="str">
        <f>IFERROR(__xludf.DUMMYFUNCTION("""COMPUTED_VALUE"""),"Aluminio")</f>
        <v>Aluminio</v>
      </c>
      <c r="AL957" s="97" t="str">
        <f>IFERROR(__xludf.DUMMYFUNCTION("""COMPUTED_VALUE"""),"Negro Satinado")</f>
        <v>Negro Satinado</v>
      </c>
      <c r="AM957" s="97" t="str">
        <f>IFERROR(__xludf.DUMMYFUNCTION("""COMPUTED_VALUE"""),"-")</f>
        <v>-</v>
      </c>
      <c r="AN957" s="97" t="str">
        <f>IFERROR(__xludf.DUMMYFUNCTION("""COMPUTED_VALUE"""),"25.000hs (L70)")</f>
        <v>25.000hs (L70)</v>
      </c>
      <c r="AO957" s="97" t="str">
        <f>IFERROR(__xludf.DUMMYFUNCTION("""COMPUTED_VALUE"""),"2 Años")</f>
        <v>2 Años</v>
      </c>
      <c r="AP957" s="97" t="str">
        <f>IFERROR(__xludf.DUMMYFUNCTION("""COMPUTED_VALUE"""),"Falta")</f>
        <v>Falta</v>
      </c>
      <c r="AQ957" s="97" t="str">
        <f>IFERROR(__xludf.DUMMYFUNCTION("""COMPUTED_VALUE"""),"Falta")</f>
        <v>Falta</v>
      </c>
      <c r="AR957" s="97" t="str">
        <f>IFERROR(__xludf.DUMMYFUNCTION("""COMPUTED_VALUE"""),"Falta")</f>
        <v>Falta</v>
      </c>
      <c r="AS957" s="97" t="str">
        <f>IFERROR(__xludf.DUMMYFUNCTION("""COMPUTED_VALUE"""),"Disponible")</f>
        <v>Disponible</v>
      </c>
      <c r="AT957" s="97" t="str">
        <f>IFERROR(__xludf.DUMMYFUNCTION("""COMPUTED_VALUE"""),"Disponible")</f>
        <v>Disponible</v>
      </c>
      <c r="AU957" s="97" t="str">
        <f>IFERROR(__xludf.DUMMYFUNCTION("""COMPUTED_VALUE"""),"Falta")</f>
        <v>Falta</v>
      </c>
      <c r="AV957" s="97" t="str">
        <f>IFERROR(__xludf.DUMMYFUNCTION("""COMPUTED_VALUE"""),"Proyector")</f>
        <v>Proyector</v>
      </c>
      <c r="AW957" s="97" t="str">
        <f>IFERROR(__xludf.DUMMYFUNCTION("""COMPUTED_VALUE"""),"De Piso")</f>
        <v>De Piso</v>
      </c>
      <c r="AX957" s="97" t="str">
        <f>IFERROR(__xludf.DUMMYFUNCTION("""COMPUTED_VALUE"""),"Exterior")</f>
        <v>Exterior</v>
      </c>
      <c r="AY957" s="97" t="str">
        <f>IFERROR(__xludf.DUMMYFUNCTION("""COMPUTED_VALUE"""),"Chill")</f>
        <v>Chill</v>
      </c>
      <c r="AZ957" s="97" t="str">
        <f>IFERROR(__xludf.DUMMYFUNCTION("""COMPUTED_VALUE"""),"Incluye estaca y lente 36° + 2 lentes intercambiables: 15° y 24°")</f>
        <v>Incluye estaca y lente 36° + 2 lentes intercambiables: 15° y 24°</v>
      </c>
      <c r="BA957" s="97"/>
      <c r="BB957" s="97" t="str">
        <f>IFERROR(__xludf.DUMMYFUNCTION("""COMPUTED_VALUE"""),"-")</f>
        <v>-</v>
      </c>
      <c r="BC957" s="97" t="str">
        <f>IFERROR(__xludf.DUMMYFUNCTION("""COMPUTED_VALUE"""),"-")</f>
        <v>-</v>
      </c>
      <c r="BD957" s="97" t="str">
        <f>IFERROR(__xludf.DUMMYFUNCTION("""COMPUTED_VALUE"""),"CHILL")</f>
        <v>CHILL</v>
      </c>
      <c r="BE957" s="97" t="str">
        <f>IFERROR(__xludf.DUMMYFUNCTION("""COMPUTED_VALUE"""),"Finalizada")</f>
        <v>Finalizada</v>
      </c>
      <c r="BF957" s="97"/>
      <c r="BG957" s="97" t="str">
        <f>IFERROR(__xludf.DUMMYFUNCTION("""COMPUTED_VALUE"""),"Activo")</f>
        <v>Activo</v>
      </c>
    </row>
    <row r="958">
      <c r="A958" s="97">
        <f>IFERROR(__xludf.DUMMYFUNCTION("""COMPUTED_VALUE"""),6744.0)</f>
        <v>6744</v>
      </c>
      <c r="B958" s="97" t="str">
        <f>IFERROR(__xludf.DUMMYFUNCTION("""COMPUTED_VALUE"""),"CHILL 5W 24V 2700K")</f>
        <v>CHILL 5W 24V 2700K</v>
      </c>
      <c r="C958" s="97" t="str">
        <f>IFERROR(__xludf.DUMMYFUNCTION("""COMPUTED_VALUE"""),"PROYECTOR CHILL 5W 24V 2700K 5W 2700K 280LM CRI&gt;90 IP65 LEUK")</f>
        <v>PROYECTOR CHILL 5W 24V 2700K 5W 2700K 280LM CRI&gt;90 IP65 LEUK</v>
      </c>
      <c r="D958" s="97">
        <f>IFERROR(__xludf.DUMMYFUNCTION("""COMPUTED_VALUE"""),7.798413223309E12)</f>
        <v>7798413223309</v>
      </c>
      <c r="E958" s="97" t="str">
        <f>IFERROR(__xludf.DUMMYFUNCTION("""COMPUTED_VALUE"""),"N/A")</f>
        <v>N/A</v>
      </c>
      <c r="F958" s="97" t="str">
        <f>IFERROR(__xludf.DUMMYFUNCTION("""COMPUTED_VALUE"""),"LED integrado")</f>
        <v>LED integrado</v>
      </c>
      <c r="G958" s="97" t="str">
        <f>IFERROR(__xludf.DUMMYFUNCTION("""COMPUTED_VALUE"""),"Bridgelux")</f>
        <v>Bridgelux</v>
      </c>
      <c r="H958" s="97" t="str">
        <f>IFERROR(__xludf.DUMMYFUNCTION("""COMPUTED_VALUE"""),"-")</f>
        <v>-</v>
      </c>
      <c r="I958" s="97" t="str">
        <f>IFERROR(__xludf.DUMMYFUNCTION("""COMPUTED_VALUE"""),"N/A")</f>
        <v>N/A</v>
      </c>
      <c r="J958" s="97" t="str">
        <f>IFERROR(__xludf.DUMMYFUNCTION("""COMPUTED_VALUE"""),"N/A")</f>
        <v>N/A</v>
      </c>
      <c r="K958" s="97" t="str">
        <f>IFERROR(__xludf.DUMMYFUNCTION("""COMPUTED_VALUE"""),"ON/OFF")</f>
        <v>ON/OFF</v>
      </c>
      <c r="L958" s="97" t="str">
        <f>IFERROR(__xludf.DUMMYFUNCTION("""COMPUTED_VALUE"""),"24Vdc")</f>
        <v>24Vdc</v>
      </c>
      <c r="M958" s="97" t="str">
        <f>IFERROR(__xludf.DUMMYFUNCTION("""COMPUTED_VALUE"""),"N/A")</f>
        <v>N/A</v>
      </c>
      <c r="N958" s="97" t="str">
        <f>IFERROR(__xludf.DUMMYFUNCTION("""COMPUTED_VALUE"""),"Directa")</f>
        <v>Directa</v>
      </c>
      <c r="O958" s="97">
        <f>IFERROR(__xludf.DUMMYFUNCTION("""COMPUTED_VALUE"""),5.0)</f>
        <v>5</v>
      </c>
      <c r="P958" s="97"/>
      <c r="Q958" s="97" t="str">
        <f>IFERROR(__xludf.DUMMYFUNCTION("""COMPUTED_VALUE"""),"N/A")</f>
        <v>N/A</v>
      </c>
      <c r="R958" s="97" t="str">
        <f>IFERROR(__xludf.DUMMYFUNCTION("""COMPUTED_VALUE"""),"-")</f>
        <v>-</v>
      </c>
      <c r="S958" s="97" t="str">
        <f>IFERROR(__xludf.DUMMYFUNCTION("""COMPUTED_VALUE"""),"-")</f>
        <v>-</v>
      </c>
      <c r="T958" s="97">
        <f>IFERROR(__xludf.DUMMYFUNCTION("""COMPUTED_VALUE"""),280.0)</f>
        <v>280</v>
      </c>
      <c r="U958" s="99">
        <f>IFERROR(__xludf.DUMMYFUNCTION("""COMPUTED_VALUE"""),56.0)</f>
        <v>56</v>
      </c>
      <c r="V958" s="97" t="str">
        <f>IFERROR(__xludf.DUMMYFUNCTION("""COMPUTED_VALUE"""),"15 / 24 / 36")</f>
        <v>15 / 24 / 36</v>
      </c>
      <c r="W958" s="97" t="str">
        <f>IFERROR(__xludf.DUMMYFUNCTION("""COMPUTED_VALUE"""),"&lt; 14")</f>
        <v>&lt; 14</v>
      </c>
      <c r="X958" s="97">
        <f>IFERROR(__xludf.DUMMYFUNCTION("""COMPUTED_VALUE"""),2700.0)</f>
        <v>2700</v>
      </c>
      <c r="Y958" s="97" t="str">
        <f>IFERROR(__xludf.DUMMYFUNCTION("""COMPUTED_VALUE"""),"&gt;90")</f>
        <v>&gt;90</v>
      </c>
      <c r="Z958" s="97"/>
      <c r="AA958" s="97"/>
      <c r="AB958" s="97" t="str">
        <f>IFERROR(__xludf.DUMMYFUNCTION("""COMPUTED_VALUE"""),"-")</f>
        <v>-</v>
      </c>
      <c r="AC958" s="97"/>
      <c r="AD958" s="97" t="str">
        <f>IFERROR(__xludf.DUMMYFUNCTION("""COMPUTED_VALUE"""),"IP65")</f>
        <v>IP65</v>
      </c>
      <c r="AE958" s="97" t="str">
        <f>IFERROR(__xludf.DUMMYFUNCTION("""COMPUTED_VALUE"""),"Clase lll")</f>
        <v>Clase lll</v>
      </c>
      <c r="AF958" s="97" t="str">
        <f>IFERROR(__xludf.DUMMYFUNCTION("""COMPUTED_VALUE"""),"Aplicar, Estaca")</f>
        <v>Aplicar, Estaca</v>
      </c>
      <c r="AG958" s="97" t="str">
        <f>IFERROR(__xludf.DUMMYFUNCTION("""COMPUTED_VALUE"""),"Ø40 x 100")</f>
        <v>Ø40 x 100</v>
      </c>
      <c r="AH958" s="97" t="str">
        <f>IFERROR(__xludf.DUMMYFUNCTION("""COMPUTED_VALUE"""),"N/A")</f>
        <v>N/A</v>
      </c>
      <c r="AI958" s="97" t="str">
        <f>IFERROR(__xludf.DUMMYFUNCTION("""COMPUTED_VALUE"""),"N/A")</f>
        <v>N/A</v>
      </c>
      <c r="AJ958" s="97" t="str">
        <f>IFERROR(__xludf.DUMMYFUNCTION("""COMPUTED_VALUE"""),"Vidrio y Acrílico")</f>
        <v>Vidrio y Acrílico</v>
      </c>
      <c r="AK958" s="97" t="str">
        <f>IFERROR(__xludf.DUMMYFUNCTION("""COMPUTED_VALUE"""),"Aluminio")</f>
        <v>Aluminio</v>
      </c>
      <c r="AL958" s="97" t="str">
        <f>IFERROR(__xludf.DUMMYFUNCTION("""COMPUTED_VALUE"""),"Negro Satinado")</f>
        <v>Negro Satinado</v>
      </c>
      <c r="AM958" s="97" t="str">
        <f>IFERROR(__xludf.DUMMYFUNCTION("""COMPUTED_VALUE"""),"-")</f>
        <v>-</v>
      </c>
      <c r="AN958" s="97" t="str">
        <f>IFERROR(__xludf.DUMMYFUNCTION("""COMPUTED_VALUE"""),"25.000hs (L70)")</f>
        <v>25.000hs (L70)</v>
      </c>
      <c r="AO958" s="97" t="str">
        <f>IFERROR(__xludf.DUMMYFUNCTION("""COMPUTED_VALUE"""),"2 Años")</f>
        <v>2 Años</v>
      </c>
      <c r="AP958" s="97" t="str">
        <f>IFERROR(__xludf.DUMMYFUNCTION("""COMPUTED_VALUE"""),"Disponible")</f>
        <v>Disponible</v>
      </c>
      <c r="AQ958" s="97" t="str">
        <f>IFERROR(__xludf.DUMMYFUNCTION("""COMPUTED_VALUE"""),"Disponible")</f>
        <v>Disponible</v>
      </c>
      <c r="AR958" s="97" t="str">
        <f>IFERROR(__xludf.DUMMYFUNCTION("""COMPUTED_VALUE"""),"Disponible")</f>
        <v>Disponible</v>
      </c>
      <c r="AS958" s="97" t="str">
        <f>IFERROR(__xludf.DUMMYFUNCTION("""COMPUTED_VALUE"""),"Disponible")</f>
        <v>Disponible</v>
      </c>
      <c r="AT958" s="97" t="str">
        <f>IFERROR(__xludf.DUMMYFUNCTION("""COMPUTED_VALUE"""),"Disponible")</f>
        <v>Disponible</v>
      </c>
      <c r="AU958" s="97" t="str">
        <f>IFERROR(__xludf.DUMMYFUNCTION("""COMPUTED_VALUE"""),"Falta")</f>
        <v>Falta</v>
      </c>
      <c r="AV958" s="97" t="str">
        <f>IFERROR(__xludf.DUMMYFUNCTION("""COMPUTED_VALUE"""),"Proyector")</f>
        <v>Proyector</v>
      </c>
      <c r="AW958" s="97" t="str">
        <f>IFERROR(__xludf.DUMMYFUNCTION("""COMPUTED_VALUE"""),"De Piso")</f>
        <v>De Piso</v>
      </c>
      <c r="AX958" s="97" t="str">
        <f>IFERROR(__xludf.DUMMYFUNCTION("""COMPUTED_VALUE"""),"Exterior")</f>
        <v>Exterior</v>
      </c>
      <c r="AY958" s="97" t="str">
        <f>IFERROR(__xludf.DUMMYFUNCTION("""COMPUTED_VALUE"""),"Chill")</f>
        <v>Chill</v>
      </c>
      <c r="AZ958" s="97" t="str">
        <f>IFERROR(__xludf.DUMMYFUNCTION("""COMPUTED_VALUE"""),"Incluye estaca y lente 36° + 2 lentes intercambiables: 15° y 24°")</f>
        <v>Incluye estaca y lente 36° + 2 lentes intercambiables: 15° y 24°</v>
      </c>
      <c r="BA958" s="97"/>
      <c r="BB958" s="97" t="str">
        <f>IFERROR(__xludf.DUMMYFUNCTION("""COMPUTED_VALUE"""),"-")</f>
        <v>-</v>
      </c>
      <c r="BC958" s="97" t="str">
        <f>IFERROR(__xludf.DUMMYFUNCTION("""COMPUTED_VALUE"""),"-")</f>
        <v>-</v>
      </c>
      <c r="BD958" s="97" t="str">
        <f>IFERROR(__xludf.DUMMYFUNCTION("""COMPUTED_VALUE"""),"CHILL")</f>
        <v>CHILL</v>
      </c>
      <c r="BE958" s="97" t="str">
        <f>IFERROR(__xludf.DUMMYFUNCTION("""COMPUTED_VALUE"""),"Finalizada")</f>
        <v>Finalizada</v>
      </c>
      <c r="BF958" s="97"/>
      <c r="BG958" s="97" t="str">
        <f>IFERROR(__xludf.DUMMYFUNCTION("""COMPUTED_VALUE"""),"Activo")</f>
        <v>Activo</v>
      </c>
    </row>
    <row r="959">
      <c r="A959" s="97">
        <f>IFERROR(__xludf.DUMMYFUNCTION("""COMPUTED_VALUE"""),6745.0)</f>
        <v>6745</v>
      </c>
      <c r="B959" s="97" t="str">
        <f>IFERROR(__xludf.DUMMYFUNCTION("""COMPUTED_VALUE"""),"CHILL 5W 24V 3000K")</f>
        <v>CHILL 5W 24V 3000K</v>
      </c>
      <c r="C959" s="97" t="str">
        <f>IFERROR(__xludf.DUMMYFUNCTION("""COMPUTED_VALUE"""),"PROYECTOR CHILL 5W 24V 3000K 5W 3000K 280LM CRI&gt;90 IP65 LEUK")</f>
        <v>PROYECTOR CHILL 5W 24V 3000K 5W 3000K 280LM CRI&gt;90 IP65 LEUK</v>
      </c>
      <c r="D959" s="97">
        <f>IFERROR(__xludf.DUMMYFUNCTION("""COMPUTED_VALUE"""),7.798413223316E12)</f>
        <v>7798413223316</v>
      </c>
      <c r="E959" s="97" t="str">
        <f>IFERROR(__xludf.DUMMYFUNCTION("""COMPUTED_VALUE"""),"N/A")</f>
        <v>N/A</v>
      </c>
      <c r="F959" s="97" t="str">
        <f>IFERROR(__xludf.DUMMYFUNCTION("""COMPUTED_VALUE"""),"LED integrado")</f>
        <v>LED integrado</v>
      </c>
      <c r="G959" s="97" t="str">
        <f>IFERROR(__xludf.DUMMYFUNCTION("""COMPUTED_VALUE"""),"Bridgelux")</f>
        <v>Bridgelux</v>
      </c>
      <c r="H959" s="97" t="str">
        <f>IFERROR(__xludf.DUMMYFUNCTION("""COMPUTED_VALUE"""),"-")</f>
        <v>-</v>
      </c>
      <c r="I959" s="97" t="str">
        <f>IFERROR(__xludf.DUMMYFUNCTION("""COMPUTED_VALUE"""),"N/A")</f>
        <v>N/A</v>
      </c>
      <c r="J959" s="97" t="str">
        <f>IFERROR(__xludf.DUMMYFUNCTION("""COMPUTED_VALUE"""),"N/A")</f>
        <v>N/A</v>
      </c>
      <c r="K959" s="97" t="str">
        <f>IFERROR(__xludf.DUMMYFUNCTION("""COMPUTED_VALUE"""),"ON/OFF")</f>
        <v>ON/OFF</v>
      </c>
      <c r="L959" s="97" t="str">
        <f>IFERROR(__xludf.DUMMYFUNCTION("""COMPUTED_VALUE"""),"24Vdc")</f>
        <v>24Vdc</v>
      </c>
      <c r="M959" s="97" t="str">
        <f>IFERROR(__xludf.DUMMYFUNCTION("""COMPUTED_VALUE"""),"N/A")</f>
        <v>N/A</v>
      </c>
      <c r="N959" s="97" t="str">
        <f>IFERROR(__xludf.DUMMYFUNCTION("""COMPUTED_VALUE"""),"Directa")</f>
        <v>Directa</v>
      </c>
      <c r="O959" s="97">
        <f>IFERROR(__xludf.DUMMYFUNCTION("""COMPUTED_VALUE"""),5.0)</f>
        <v>5</v>
      </c>
      <c r="P959" s="97"/>
      <c r="Q959" s="97" t="str">
        <f>IFERROR(__xludf.DUMMYFUNCTION("""COMPUTED_VALUE"""),"N/A")</f>
        <v>N/A</v>
      </c>
      <c r="R959" s="97" t="str">
        <f>IFERROR(__xludf.DUMMYFUNCTION("""COMPUTED_VALUE"""),"-")</f>
        <v>-</v>
      </c>
      <c r="S959" s="97" t="str">
        <f>IFERROR(__xludf.DUMMYFUNCTION("""COMPUTED_VALUE"""),"-")</f>
        <v>-</v>
      </c>
      <c r="T959" s="97">
        <f>IFERROR(__xludf.DUMMYFUNCTION("""COMPUTED_VALUE"""),280.0)</f>
        <v>280</v>
      </c>
      <c r="U959" s="99">
        <f>IFERROR(__xludf.DUMMYFUNCTION("""COMPUTED_VALUE"""),56.0)</f>
        <v>56</v>
      </c>
      <c r="V959" s="97" t="str">
        <f>IFERROR(__xludf.DUMMYFUNCTION("""COMPUTED_VALUE"""),"15 / 24 / 36")</f>
        <v>15 / 24 / 36</v>
      </c>
      <c r="W959" s="97" t="str">
        <f>IFERROR(__xludf.DUMMYFUNCTION("""COMPUTED_VALUE"""),"&lt; 14")</f>
        <v>&lt; 14</v>
      </c>
      <c r="X959" s="97">
        <f>IFERROR(__xludf.DUMMYFUNCTION("""COMPUTED_VALUE"""),3000.0)</f>
        <v>3000</v>
      </c>
      <c r="Y959" s="97" t="str">
        <f>IFERROR(__xludf.DUMMYFUNCTION("""COMPUTED_VALUE"""),"&gt;90")</f>
        <v>&gt;90</v>
      </c>
      <c r="Z959" s="97"/>
      <c r="AA959" s="97"/>
      <c r="AB959" s="97" t="str">
        <f>IFERROR(__xludf.DUMMYFUNCTION("""COMPUTED_VALUE"""),"-")</f>
        <v>-</v>
      </c>
      <c r="AC959" s="97"/>
      <c r="AD959" s="97" t="str">
        <f>IFERROR(__xludf.DUMMYFUNCTION("""COMPUTED_VALUE"""),"IP65")</f>
        <v>IP65</v>
      </c>
      <c r="AE959" s="97" t="str">
        <f>IFERROR(__xludf.DUMMYFUNCTION("""COMPUTED_VALUE"""),"Clase lll")</f>
        <v>Clase lll</v>
      </c>
      <c r="AF959" s="97" t="str">
        <f>IFERROR(__xludf.DUMMYFUNCTION("""COMPUTED_VALUE"""),"Aplicar, Estaca")</f>
        <v>Aplicar, Estaca</v>
      </c>
      <c r="AG959" s="97" t="str">
        <f>IFERROR(__xludf.DUMMYFUNCTION("""COMPUTED_VALUE"""),"Ø40 x 100")</f>
        <v>Ø40 x 100</v>
      </c>
      <c r="AH959" s="97" t="str">
        <f>IFERROR(__xludf.DUMMYFUNCTION("""COMPUTED_VALUE"""),"N/A")</f>
        <v>N/A</v>
      </c>
      <c r="AI959" s="97" t="str">
        <f>IFERROR(__xludf.DUMMYFUNCTION("""COMPUTED_VALUE"""),"N/A")</f>
        <v>N/A</v>
      </c>
      <c r="AJ959" s="97" t="str">
        <f>IFERROR(__xludf.DUMMYFUNCTION("""COMPUTED_VALUE"""),"Vidrio y Acrílico")</f>
        <v>Vidrio y Acrílico</v>
      </c>
      <c r="AK959" s="97" t="str">
        <f>IFERROR(__xludf.DUMMYFUNCTION("""COMPUTED_VALUE"""),"Aluminio")</f>
        <v>Aluminio</v>
      </c>
      <c r="AL959" s="97" t="str">
        <f>IFERROR(__xludf.DUMMYFUNCTION("""COMPUTED_VALUE"""),"Negro Satinado")</f>
        <v>Negro Satinado</v>
      </c>
      <c r="AM959" s="97" t="str">
        <f>IFERROR(__xludf.DUMMYFUNCTION("""COMPUTED_VALUE"""),"-")</f>
        <v>-</v>
      </c>
      <c r="AN959" s="97" t="str">
        <f>IFERROR(__xludf.DUMMYFUNCTION("""COMPUTED_VALUE"""),"25.000hs (L70)")</f>
        <v>25.000hs (L70)</v>
      </c>
      <c r="AO959" s="97" t="str">
        <f>IFERROR(__xludf.DUMMYFUNCTION("""COMPUTED_VALUE"""),"2 Años")</f>
        <v>2 Años</v>
      </c>
      <c r="AP959" s="97" t="str">
        <f>IFERROR(__xludf.DUMMYFUNCTION("""COMPUTED_VALUE"""),"Falta")</f>
        <v>Falta</v>
      </c>
      <c r="AQ959" s="97" t="str">
        <f>IFERROR(__xludf.DUMMYFUNCTION("""COMPUTED_VALUE"""),"Falta")</f>
        <v>Falta</v>
      </c>
      <c r="AR959" s="97" t="str">
        <f>IFERROR(__xludf.DUMMYFUNCTION("""COMPUTED_VALUE"""),"Falta")</f>
        <v>Falta</v>
      </c>
      <c r="AS959" s="97" t="str">
        <f>IFERROR(__xludf.DUMMYFUNCTION("""COMPUTED_VALUE"""),"Disponible")</f>
        <v>Disponible</v>
      </c>
      <c r="AT959" s="97" t="str">
        <f>IFERROR(__xludf.DUMMYFUNCTION("""COMPUTED_VALUE"""),"Disponible")</f>
        <v>Disponible</v>
      </c>
      <c r="AU959" s="97" t="str">
        <f>IFERROR(__xludf.DUMMYFUNCTION("""COMPUTED_VALUE"""),"Falta")</f>
        <v>Falta</v>
      </c>
      <c r="AV959" s="97" t="str">
        <f>IFERROR(__xludf.DUMMYFUNCTION("""COMPUTED_VALUE"""),"Proyector")</f>
        <v>Proyector</v>
      </c>
      <c r="AW959" s="97" t="str">
        <f>IFERROR(__xludf.DUMMYFUNCTION("""COMPUTED_VALUE"""),"De Piso")</f>
        <v>De Piso</v>
      </c>
      <c r="AX959" s="97" t="str">
        <f>IFERROR(__xludf.DUMMYFUNCTION("""COMPUTED_VALUE"""),"Exterior")</f>
        <v>Exterior</v>
      </c>
      <c r="AY959" s="97" t="str">
        <f>IFERROR(__xludf.DUMMYFUNCTION("""COMPUTED_VALUE"""),"Chill")</f>
        <v>Chill</v>
      </c>
      <c r="AZ959" s="97" t="str">
        <f>IFERROR(__xludf.DUMMYFUNCTION("""COMPUTED_VALUE"""),"Incluye estaca y lente 36° + 2 lentes intercambiables: 15° y 24°")</f>
        <v>Incluye estaca y lente 36° + 2 lentes intercambiables: 15° y 24°</v>
      </c>
      <c r="BA959" s="97"/>
      <c r="BB959" s="97" t="str">
        <f>IFERROR(__xludf.DUMMYFUNCTION("""COMPUTED_VALUE"""),"-")</f>
        <v>-</v>
      </c>
      <c r="BC959" s="97" t="str">
        <f>IFERROR(__xludf.DUMMYFUNCTION("""COMPUTED_VALUE"""),"-")</f>
        <v>-</v>
      </c>
      <c r="BD959" s="97" t="str">
        <f>IFERROR(__xludf.DUMMYFUNCTION("""COMPUTED_VALUE"""),"CHILL")</f>
        <v>CHILL</v>
      </c>
      <c r="BE959" s="97" t="str">
        <f>IFERROR(__xludf.DUMMYFUNCTION("""COMPUTED_VALUE"""),"Finalizada")</f>
        <v>Finalizada</v>
      </c>
      <c r="BF959" s="97"/>
      <c r="BG959" s="97" t="str">
        <f>IFERROR(__xludf.DUMMYFUNCTION("""COMPUTED_VALUE"""),"Activo")</f>
        <v>Activo</v>
      </c>
    </row>
    <row r="960">
      <c r="A960" s="97">
        <f>IFERROR(__xludf.DUMMYFUNCTION("""COMPUTED_VALUE"""),6746.0)</f>
        <v>6746</v>
      </c>
      <c r="B960" s="97" t="str">
        <f>IFERROR(__xludf.DUMMYFUNCTION("""COMPUTED_VALUE"""),"CHILL 10W 220V 2700K")</f>
        <v>CHILL 10W 220V 2700K</v>
      </c>
      <c r="C960" s="97" t="str">
        <f>IFERROR(__xludf.DUMMYFUNCTION("""COMPUTED_VALUE"""),"PROYECTOR CHILL 10W 220V 2700K 10W 2700K 675LM CRI&gt;90 IP65 LEUK")</f>
        <v>PROYECTOR CHILL 10W 220V 2700K 10W 2700K 675LM CRI&gt;90 IP65 LEUK</v>
      </c>
      <c r="D960" s="97">
        <f>IFERROR(__xludf.DUMMYFUNCTION("""COMPUTED_VALUE"""),7.798413223323E12)</f>
        <v>7798413223323</v>
      </c>
      <c r="E960" s="97" t="str">
        <f>IFERROR(__xludf.DUMMYFUNCTION("""COMPUTED_VALUE"""),"C44")</f>
        <v>C44</v>
      </c>
      <c r="F960" s="97" t="str">
        <f>IFERROR(__xludf.DUMMYFUNCTION("""COMPUTED_VALUE"""),"LED integrado")</f>
        <v>LED integrado</v>
      </c>
      <c r="G960" s="97" t="str">
        <f>IFERROR(__xludf.DUMMYFUNCTION("""COMPUTED_VALUE"""),"Bridgelux")</f>
        <v>Bridgelux</v>
      </c>
      <c r="H960" s="97" t="str">
        <f>IFERROR(__xludf.DUMMYFUNCTION("""COMPUTED_VALUE"""),"-")</f>
        <v>-</v>
      </c>
      <c r="I960" s="97"/>
      <c r="J960" s="97" t="str">
        <f>IFERROR(__xludf.DUMMYFUNCTION("""COMPUTED_VALUE"""),"Driver encapsulado")</f>
        <v>Driver encapsulado</v>
      </c>
      <c r="K960" s="97" t="str">
        <f>IFERROR(__xludf.DUMMYFUNCTION("""COMPUTED_VALUE"""),"ON/OFF")</f>
        <v>ON/OFF</v>
      </c>
      <c r="L960" s="97" t="str">
        <f>IFERROR(__xludf.DUMMYFUNCTION("""COMPUTED_VALUE"""),"220-240")</f>
        <v>220-240</v>
      </c>
      <c r="M960" s="97" t="str">
        <f>IFERROR(__xludf.DUMMYFUNCTION("""COMPUTED_VALUE"""),"50/60")</f>
        <v>50/60</v>
      </c>
      <c r="N960" s="97" t="str">
        <f>IFERROR(__xludf.DUMMYFUNCTION("""COMPUTED_VALUE"""),"Directa")</f>
        <v>Directa</v>
      </c>
      <c r="O960" s="97">
        <f>IFERROR(__xludf.DUMMYFUNCTION("""COMPUTED_VALUE"""),10.0)</f>
        <v>10</v>
      </c>
      <c r="P960" s="97"/>
      <c r="Q960" s="97">
        <f>IFERROR(__xludf.DUMMYFUNCTION("""COMPUTED_VALUE"""),0.5)</f>
        <v>0.5</v>
      </c>
      <c r="R960" s="97" t="str">
        <f>IFERROR(__xludf.DUMMYFUNCTION("""COMPUTED_VALUE"""),"-")</f>
        <v>-</v>
      </c>
      <c r="S960" s="97" t="str">
        <f>IFERROR(__xludf.DUMMYFUNCTION("""COMPUTED_VALUE"""),"-")</f>
        <v>-</v>
      </c>
      <c r="T960" s="97">
        <f>IFERROR(__xludf.DUMMYFUNCTION("""COMPUTED_VALUE"""),675.0)</f>
        <v>675</v>
      </c>
      <c r="U960" s="99">
        <f>IFERROR(__xludf.DUMMYFUNCTION("""COMPUTED_VALUE"""),67.5)</f>
        <v>67.5</v>
      </c>
      <c r="V960" s="97" t="str">
        <f>IFERROR(__xludf.DUMMYFUNCTION("""COMPUTED_VALUE"""),"15 / 24 / 36")</f>
        <v>15 / 24 / 36</v>
      </c>
      <c r="W960" s="97" t="str">
        <f>IFERROR(__xludf.DUMMYFUNCTION("""COMPUTED_VALUE"""),"&lt; 16")</f>
        <v>&lt; 16</v>
      </c>
      <c r="X960" s="97">
        <f>IFERROR(__xludf.DUMMYFUNCTION("""COMPUTED_VALUE"""),2700.0)</f>
        <v>2700</v>
      </c>
      <c r="Y960" s="97" t="str">
        <f>IFERROR(__xludf.DUMMYFUNCTION("""COMPUTED_VALUE"""),"&gt;90")</f>
        <v>&gt;90</v>
      </c>
      <c r="Z960" s="97"/>
      <c r="AA960" s="97"/>
      <c r="AB960" s="97" t="str">
        <f>IFERROR(__xludf.DUMMYFUNCTION("""COMPUTED_VALUE"""),"-")</f>
        <v>-</v>
      </c>
      <c r="AC960" s="97"/>
      <c r="AD960" s="97" t="str">
        <f>IFERROR(__xludf.DUMMYFUNCTION("""COMPUTED_VALUE"""),"IP65")</f>
        <v>IP65</v>
      </c>
      <c r="AE960" s="97" t="str">
        <f>IFERROR(__xludf.DUMMYFUNCTION("""COMPUTED_VALUE"""),"Clase l")</f>
        <v>Clase l</v>
      </c>
      <c r="AF960" s="97" t="str">
        <f>IFERROR(__xludf.DUMMYFUNCTION("""COMPUTED_VALUE"""),"Aplicar, Estaca")</f>
        <v>Aplicar, Estaca</v>
      </c>
      <c r="AG960" s="97" t="str">
        <f>IFERROR(__xludf.DUMMYFUNCTION("""COMPUTED_VALUE"""),"Ø60 x 135")</f>
        <v>Ø60 x 135</v>
      </c>
      <c r="AH960" s="97" t="str">
        <f>IFERROR(__xludf.DUMMYFUNCTION("""COMPUTED_VALUE"""),"N/A")</f>
        <v>N/A</v>
      </c>
      <c r="AI960" s="97" t="str">
        <f>IFERROR(__xludf.DUMMYFUNCTION("""COMPUTED_VALUE"""),"N/A")</f>
        <v>N/A</v>
      </c>
      <c r="AJ960" s="97" t="str">
        <f>IFERROR(__xludf.DUMMYFUNCTION("""COMPUTED_VALUE"""),"Vidrio y Acrílico")</f>
        <v>Vidrio y Acrílico</v>
      </c>
      <c r="AK960" s="97" t="str">
        <f>IFERROR(__xludf.DUMMYFUNCTION("""COMPUTED_VALUE"""),"Aluminio")</f>
        <v>Aluminio</v>
      </c>
      <c r="AL960" s="97" t="str">
        <f>IFERROR(__xludf.DUMMYFUNCTION("""COMPUTED_VALUE"""),"Negro Satinado")</f>
        <v>Negro Satinado</v>
      </c>
      <c r="AM960" s="97" t="str">
        <f>IFERROR(__xludf.DUMMYFUNCTION("""COMPUTED_VALUE"""),"-")</f>
        <v>-</v>
      </c>
      <c r="AN960" s="97" t="str">
        <f>IFERROR(__xludf.DUMMYFUNCTION("""COMPUTED_VALUE"""),"25.000hs (L70)")</f>
        <v>25.000hs (L70)</v>
      </c>
      <c r="AO960" s="97" t="str">
        <f>IFERROR(__xludf.DUMMYFUNCTION("""COMPUTED_VALUE"""),"2 Años")</f>
        <v>2 Años</v>
      </c>
      <c r="AP960" s="97" t="str">
        <f>IFERROR(__xludf.DUMMYFUNCTION("""COMPUTED_VALUE"""),"Disponible")</f>
        <v>Disponible</v>
      </c>
      <c r="AQ960" s="97" t="str">
        <f>IFERROR(__xludf.DUMMYFUNCTION("""COMPUTED_VALUE"""),"Disponible")</f>
        <v>Disponible</v>
      </c>
      <c r="AR960" s="97" t="str">
        <f>IFERROR(__xludf.DUMMYFUNCTION("""COMPUTED_VALUE"""),"Disponible")</f>
        <v>Disponible</v>
      </c>
      <c r="AS960" s="97" t="str">
        <f>IFERROR(__xludf.DUMMYFUNCTION("""COMPUTED_VALUE"""),"Disponible")</f>
        <v>Disponible</v>
      </c>
      <c r="AT960" s="97" t="str">
        <f>IFERROR(__xludf.DUMMYFUNCTION("""COMPUTED_VALUE"""),"Disponible")</f>
        <v>Disponible</v>
      </c>
      <c r="AU960" s="97" t="str">
        <f>IFERROR(__xludf.DUMMYFUNCTION("""COMPUTED_VALUE"""),"Falta")</f>
        <v>Falta</v>
      </c>
      <c r="AV960" s="97" t="str">
        <f>IFERROR(__xludf.DUMMYFUNCTION("""COMPUTED_VALUE"""),"Proyector")</f>
        <v>Proyector</v>
      </c>
      <c r="AW960" s="97" t="str">
        <f>IFERROR(__xludf.DUMMYFUNCTION("""COMPUTED_VALUE"""),"De Piso")</f>
        <v>De Piso</v>
      </c>
      <c r="AX960" s="97" t="str">
        <f>IFERROR(__xludf.DUMMYFUNCTION("""COMPUTED_VALUE"""),"Exterior")</f>
        <v>Exterior</v>
      </c>
      <c r="AY960" s="97" t="str">
        <f>IFERROR(__xludf.DUMMYFUNCTION("""COMPUTED_VALUE"""),"Chill")</f>
        <v>Chill</v>
      </c>
      <c r="AZ960" s="97" t="str">
        <f>IFERROR(__xludf.DUMMYFUNCTION("""COMPUTED_VALUE"""),"Incluye estaca y lente 36° + 2 lentes intercambiables: 15° y 24°")</f>
        <v>Incluye estaca y lente 36° + 2 lentes intercambiables: 15° y 24°</v>
      </c>
      <c r="BA960" s="97"/>
      <c r="BB960" s="97" t="str">
        <f>IFERROR(__xludf.DUMMYFUNCTION("""COMPUTED_VALUE"""),"-")</f>
        <v>-</v>
      </c>
      <c r="BC960" s="97" t="str">
        <f>IFERROR(__xludf.DUMMYFUNCTION("""COMPUTED_VALUE"""),"-")</f>
        <v>-</v>
      </c>
      <c r="BD960" s="97" t="str">
        <f>IFERROR(__xludf.DUMMYFUNCTION("""COMPUTED_VALUE"""),"CHILL")</f>
        <v>CHILL</v>
      </c>
      <c r="BE960" s="97" t="str">
        <f>IFERROR(__xludf.DUMMYFUNCTION("""COMPUTED_VALUE"""),"Finalizada")</f>
        <v>Finalizada</v>
      </c>
      <c r="BF960" s="97"/>
      <c r="BG960" s="97" t="str">
        <f>IFERROR(__xludf.DUMMYFUNCTION("""COMPUTED_VALUE"""),"Activo")</f>
        <v>Activo</v>
      </c>
    </row>
    <row r="961">
      <c r="A961" s="97">
        <f>IFERROR(__xludf.DUMMYFUNCTION("""COMPUTED_VALUE"""),6747.0)</f>
        <v>6747</v>
      </c>
      <c r="B961" s="97" t="str">
        <f>IFERROR(__xludf.DUMMYFUNCTION("""COMPUTED_VALUE"""),"CHILL 10W 220V 3000K")</f>
        <v>CHILL 10W 220V 3000K</v>
      </c>
      <c r="C961" s="97" t="str">
        <f>IFERROR(__xludf.DUMMYFUNCTION("""COMPUTED_VALUE"""),"PROYECTOR CHILL 10W 220V 3000K 10W 3000K 675LM CRI&gt;90 IP65 LEUK")</f>
        <v>PROYECTOR CHILL 10W 220V 3000K 10W 3000K 675LM CRI&gt;90 IP65 LEUK</v>
      </c>
      <c r="D961" s="97">
        <f>IFERROR(__xludf.DUMMYFUNCTION("""COMPUTED_VALUE"""),7.79841322333E12)</f>
        <v>7798413223330</v>
      </c>
      <c r="E961" s="97" t="str">
        <f>IFERROR(__xludf.DUMMYFUNCTION("""COMPUTED_VALUE"""),"C45")</f>
        <v>C45</v>
      </c>
      <c r="F961" s="97" t="str">
        <f>IFERROR(__xludf.DUMMYFUNCTION("""COMPUTED_VALUE"""),"LED integrado")</f>
        <v>LED integrado</v>
      </c>
      <c r="G961" s="97" t="str">
        <f>IFERROR(__xludf.DUMMYFUNCTION("""COMPUTED_VALUE"""),"Bridgelux")</f>
        <v>Bridgelux</v>
      </c>
      <c r="H961" s="97" t="str">
        <f>IFERROR(__xludf.DUMMYFUNCTION("""COMPUTED_VALUE"""),"-")</f>
        <v>-</v>
      </c>
      <c r="I961" s="97"/>
      <c r="J961" s="97" t="str">
        <f>IFERROR(__xludf.DUMMYFUNCTION("""COMPUTED_VALUE"""),"Driver encapsulado")</f>
        <v>Driver encapsulado</v>
      </c>
      <c r="K961" s="97" t="str">
        <f>IFERROR(__xludf.DUMMYFUNCTION("""COMPUTED_VALUE"""),"ON/OFF")</f>
        <v>ON/OFF</v>
      </c>
      <c r="L961" s="97" t="str">
        <f>IFERROR(__xludf.DUMMYFUNCTION("""COMPUTED_VALUE"""),"220-240")</f>
        <v>220-240</v>
      </c>
      <c r="M961" s="97" t="str">
        <f>IFERROR(__xludf.DUMMYFUNCTION("""COMPUTED_VALUE"""),"50/60")</f>
        <v>50/60</v>
      </c>
      <c r="N961" s="97" t="str">
        <f>IFERROR(__xludf.DUMMYFUNCTION("""COMPUTED_VALUE"""),"Directa")</f>
        <v>Directa</v>
      </c>
      <c r="O961" s="97">
        <f>IFERROR(__xludf.DUMMYFUNCTION("""COMPUTED_VALUE"""),10.0)</f>
        <v>10</v>
      </c>
      <c r="P961" s="97"/>
      <c r="Q961" s="97">
        <f>IFERROR(__xludf.DUMMYFUNCTION("""COMPUTED_VALUE"""),0.5)</f>
        <v>0.5</v>
      </c>
      <c r="R961" s="97" t="str">
        <f>IFERROR(__xludf.DUMMYFUNCTION("""COMPUTED_VALUE"""),"-")</f>
        <v>-</v>
      </c>
      <c r="S961" s="97" t="str">
        <f>IFERROR(__xludf.DUMMYFUNCTION("""COMPUTED_VALUE"""),"-")</f>
        <v>-</v>
      </c>
      <c r="T961" s="97">
        <f>IFERROR(__xludf.DUMMYFUNCTION("""COMPUTED_VALUE"""),675.0)</f>
        <v>675</v>
      </c>
      <c r="U961" s="99">
        <f>IFERROR(__xludf.DUMMYFUNCTION("""COMPUTED_VALUE"""),67.5)</f>
        <v>67.5</v>
      </c>
      <c r="V961" s="97" t="str">
        <f>IFERROR(__xludf.DUMMYFUNCTION("""COMPUTED_VALUE"""),"15 / 24 / 36")</f>
        <v>15 / 24 / 36</v>
      </c>
      <c r="W961" s="97" t="str">
        <f>IFERROR(__xludf.DUMMYFUNCTION("""COMPUTED_VALUE"""),"&lt; 16")</f>
        <v>&lt; 16</v>
      </c>
      <c r="X961" s="97">
        <f>IFERROR(__xludf.DUMMYFUNCTION("""COMPUTED_VALUE"""),3000.0)</f>
        <v>3000</v>
      </c>
      <c r="Y961" s="97" t="str">
        <f>IFERROR(__xludf.DUMMYFUNCTION("""COMPUTED_VALUE"""),"&gt;90")</f>
        <v>&gt;90</v>
      </c>
      <c r="Z961" s="97"/>
      <c r="AA961" s="97"/>
      <c r="AB961" s="97" t="str">
        <f>IFERROR(__xludf.DUMMYFUNCTION("""COMPUTED_VALUE"""),"&lt; 3")</f>
        <v>&lt; 3</v>
      </c>
      <c r="AC961" s="97"/>
      <c r="AD961" s="97" t="str">
        <f>IFERROR(__xludf.DUMMYFUNCTION("""COMPUTED_VALUE"""),"IP65")</f>
        <v>IP65</v>
      </c>
      <c r="AE961" s="97" t="str">
        <f>IFERROR(__xludf.DUMMYFUNCTION("""COMPUTED_VALUE"""),"Clase l")</f>
        <v>Clase l</v>
      </c>
      <c r="AF961" s="97" t="str">
        <f>IFERROR(__xludf.DUMMYFUNCTION("""COMPUTED_VALUE"""),"Aplicar, Estaca")</f>
        <v>Aplicar, Estaca</v>
      </c>
      <c r="AG961" s="97" t="str">
        <f>IFERROR(__xludf.DUMMYFUNCTION("""COMPUTED_VALUE"""),"Ø60 x 135")</f>
        <v>Ø60 x 135</v>
      </c>
      <c r="AH961" s="97" t="str">
        <f>IFERROR(__xludf.DUMMYFUNCTION("""COMPUTED_VALUE"""),"N/A")</f>
        <v>N/A</v>
      </c>
      <c r="AI961" s="97" t="str">
        <f>IFERROR(__xludf.DUMMYFUNCTION("""COMPUTED_VALUE"""),"N/A")</f>
        <v>N/A</v>
      </c>
      <c r="AJ961" s="97" t="str">
        <f>IFERROR(__xludf.DUMMYFUNCTION("""COMPUTED_VALUE"""),"Vidrio y Acrílico")</f>
        <v>Vidrio y Acrílico</v>
      </c>
      <c r="AK961" s="97" t="str">
        <f>IFERROR(__xludf.DUMMYFUNCTION("""COMPUTED_VALUE"""),"Aluminio")</f>
        <v>Aluminio</v>
      </c>
      <c r="AL961" s="97" t="str">
        <f>IFERROR(__xludf.DUMMYFUNCTION("""COMPUTED_VALUE"""),"Negro Satinado")</f>
        <v>Negro Satinado</v>
      </c>
      <c r="AM961" s="97" t="str">
        <f>IFERROR(__xludf.DUMMYFUNCTION("""COMPUTED_VALUE"""),"-")</f>
        <v>-</v>
      </c>
      <c r="AN961" s="97" t="str">
        <f>IFERROR(__xludf.DUMMYFUNCTION("""COMPUTED_VALUE"""),"25.000hs (L70)")</f>
        <v>25.000hs (L70)</v>
      </c>
      <c r="AO961" s="97" t="str">
        <f>IFERROR(__xludf.DUMMYFUNCTION("""COMPUTED_VALUE"""),"2 Años")</f>
        <v>2 Años</v>
      </c>
      <c r="AP961" s="97" t="str">
        <f>IFERROR(__xludf.DUMMYFUNCTION("""COMPUTED_VALUE"""),"Falta")</f>
        <v>Falta</v>
      </c>
      <c r="AQ961" s="97" t="str">
        <f>IFERROR(__xludf.DUMMYFUNCTION("""COMPUTED_VALUE"""),"Falta")</f>
        <v>Falta</v>
      </c>
      <c r="AR961" s="97" t="str">
        <f>IFERROR(__xludf.DUMMYFUNCTION("""COMPUTED_VALUE"""),"Falta")</f>
        <v>Falta</v>
      </c>
      <c r="AS961" s="97" t="str">
        <f>IFERROR(__xludf.DUMMYFUNCTION("""COMPUTED_VALUE"""),"Disponible")</f>
        <v>Disponible</v>
      </c>
      <c r="AT961" s="97" t="str">
        <f>IFERROR(__xludf.DUMMYFUNCTION("""COMPUTED_VALUE"""),"Disponible")</f>
        <v>Disponible</v>
      </c>
      <c r="AU961" s="97" t="str">
        <f>IFERROR(__xludf.DUMMYFUNCTION("""COMPUTED_VALUE"""),"Falta")</f>
        <v>Falta</v>
      </c>
      <c r="AV961" s="97" t="str">
        <f>IFERROR(__xludf.DUMMYFUNCTION("""COMPUTED_VALUE"""),"Proyector")</f>
        <v>Proyector</v>
      </c>
      <c r="AW961" s="97" t="str">
        <f>IFERROR(__xludf.DUMMYFUNCTION("""COMPUTED_VALUE"""),"De Piso")</f>
        <v>De Piso</v>
      </c>
      <c r="AX961" s="97" t="str">
        <f>IFERROR(__xludf.DUMMYFUNCTION("""COMPUTED_VALUE"""),"Exterior")</f>
        <v>Exterior</v>
      </c>
      <c r="AY961" s="97" t="str">
        <f>IFERROR(__xludf.DUMMYFUNCTION("""COMPUTED_VALUE"""),"Chill")</f>
        <v>Chill</v>
      </c>
      <c r="AZ961" s="97" t="str">
        <f>IFERROR(__xludf.DUMMYFUNCTION("""COMPUTED_VALUE"""),"Incluye estaca y lente 36° + 2 lentes intercambiables: 15° y 24°")</f>
        <v>Incluye estaca y lente 36° + 2 lentes intercambiables: 15° y 24°</v>
      </c>
      <c r="BA961" s="97"/>
      <c r="BB961" s="97" t="str">
        <f>IFERROR(__xludf.DUMMYFUNCTION("""COMPUTED_VALUE"""),"-")</f>
        <v>-</v>
      </c>
      <c r="BC961" s="97" t="str">
        <f>IFERROR(__xludf.DUMMYFUNCTION("""COMPUTED_VALUE"""),"-")</f>
        <v>-</v>
      </c>
      <c r="BD961" s="97" t="str">
        <f>IFERROR(__xludf.DUMMYFUNCTION("""COMPUTED_VALUE"""),"CHILL")</f>
        <v>CHILL</v>
      </c>
      <c r="BE961" s="97" t="str">
        <f>IFERROR(__xludf.DUMMYFUNCTION("""COMPUTED_VALUE"""),"Finalizada")</f>
        <v>Finalizada</v>
      </c>
      <c r="BF961" s="97"/>
      <c r="BG961" s="97" t="str">
        <f>IFERROR(__xludf.DUMMYFUNCTION("""COMPUTED_VALUE"""),"Activo")</f>
        <v>Activo</v>
      </c>
    </row>
    <row r="962">
      <c r="A962" s="97">
        <f>IFERROR(__xludf.DUMMYFUNCTION("""COMPUTED_VALUE"""),6748.0)</f>
        <v>6748</v>
      </c>
      <c r="B962" s="97" t="str">
        <f>IFERROR(__xludf.DUMMYFUNCTION("""COMPUTED_VALUE"""),"CHILL 10W 24V 2700K")</f>
        <v>CHILL 10W 24V 2700K</v>
      </c>
      <c r="C962" s="97" t="str">
        <f>IFERROR(__xludf.DUMMYFUNCTION("""COMPUTED_VALUE"""),"PROYECTOR CHILL 10W 24V 2700K 10W 2700K 675LM CRI&gt;90 IP65 LEUK")</f>
        <v>PROYECTOR CHILL 10W 24V 2700K 10W 2700K 675LM CRI&gt;90 IP65 LEUK</v>
      </c>
      <c r="D962" s="97">
        <f>IFERROR(__xludf.DUMMYFUNCTION("""COMPUTED_VALUE"""),7.798413223347E12)</f>
        <v>7798413223347</v>
      </c>
      <c r="E962" s="97" t="str">
        <f>IFERROR(__xludf.DUMMYFUNCTION("""COMPUTED_VALUE"""),"N/A")</f>
        <v>N/A</v>
      </c>
      <c r="F962" s="97" t="str">
        <f>IFERROR(__xludf.DUMMYFUNCTION("""COMPUTED_VALUE"""),"LED integrado")</f>
        <v>LED integrado</v>
      </c>
      <c r="G962" s="97" t="str">
        <f>IFERROR(__xludf.DUMMYFUNCTION("""COMPUTED_VALUE"""),"Bridgelux")</f>
        <v>Bridgelux</v>
      </c>
      <c r="H962" s="97" t="str">
        <f>IFERROR(__xludf.DUMMYFUNCTION("""COMPUTED_VALUE"""),"-")</f>
        <v>-</v>
      </c>
      <c r="I962" s="97" t="str">
        <f>IFERROR(__xludf.DUMMYFUNCTION("""COMPUTED_VALUE"""),"N/A")</f>
        <v>N/A</v>
      </c>
      <c r="J962" s="97" t="str">
        <f>IFERROR(__xludf.DUMMYFUNCTION("""COMPUTED_VALUE"""),"N/A")</f>
        <v>N/A</v>
      </c>
      <c r="K962" s="97" t="str">
        <f>IFERROR(__xludf.DUMMYFUNCTION("""COMPUTED_VALUE"""),"ON/OFF")</f>
        <v>ON/OFF</v>
      </c>
      <c r="L962" s="97" t="str">
        <f>IFERROR(__xludf.DUMMYFUNCTION("""COMPUTED_VALUE"""),"24Vdc")</f>
        <v>24Vdc</v>
      </c>
      <c r="M962" s="97" t="str">
        <f>IFERROR(__xludf.DUMMYFUNCTION("""COMPUTED_VALUE"""),"N/A")</f>
        <v>N/A</v>
      </c>
      <c r="N962" s="97" t="str">
        <f>IFERROR(__xludf.DUMMYFUNCTION("""COMPUTED_VALUE"""),"Directa")</f>
        <v>Directa</v>
      </c>
      <c r="O962" s="97">
        <f>IFERROR(__xludf.DUMMYFUNCTION("""COMPUTED_VALUE"""),10.0)</f>
        <v>10</v>
      </c>
      <c r="P962" s="97"/>
      <c r="Q962" s="97" t="str">
        <f>IFERROR(__xludf.DUMMYFUNCTION("""COMPUTED_VALUE"""),"N/A")</f>
        <v>N/A</v>
      </c>
      <c r="R962" s="97" t="str">
        <f>IFERROR(__xludf.DUMMYFUNCTION("""COMPUTED_VALUE"""),"-")</f>
        <v>-</v>
      </c>
      <c r="S962" s="97" t="str">
        <f>IFERROR(__xludf.DUMMYFUNCTION("""COMPUTED_VALUE"""),"-")</f>
        <v>-</v>
      </c>
      <c r="T962" s="97">
        <f>IFERROR(__xludf.DUMMYFUNCTION("""COMPUTED_VALUE"""),675.0)</f>
        <v>675</v>
      </c>
      <c r="U962" s="99">
        <f>IFERROR(__xludf.DUMMYFUNCTION("""COMPUTED_VALUE"""),67.5)</f>
        <v>67.5</v>
      </c>
      <c r="V962" s="97" t="str">
        <f>IFERROR(__xludf.DUMMYFUNCTION("""COMPUTED_VALUE"""),"15 / 24 / 36")</f>
        <v>15 / 24 / 36</v>
      </c>
      <c r="W962" s="97" t="str">
        <f>IFERROR(__xludf.DUMMYFUNCTION("""COMPUTED_VALUE"""),"&lt; 16")</f>
        <v>&lt; 16</v>
      </c>
      <c r="X962" s="97">
        <f>IFERROR(__xludf.DUMMYFUNCTION("""COMPUTED_VALUE"""),2700.0)</f>
        <v>2700</v>
      </c>
      <c r="Y962" s="97" t="str">
        <f>IFERROR(__xludf.DUMMYFUNCTION("""COMPUTED_VALUE"""),"&gt;90")</f>
        <v>&gt;90</v>
      </c>
      <c r="Z962" s="97"/>
      <c r="AA962" s="97"/>
      <c r="AB962" s="97" t="str">
        <f>IFERROR(__xludf.DUMMYFUNCTION("""COMPUTED_VALUE"""),"-")</f>
        <v>-</v>
      </c>
      <c r="AC962" s="97"/>
      <c r="AD962" s="97" t="str">
        <f>IFERROR(__xludf.DUMMYFUNCTION("""COMPUTED_VALUE"""),"IP65")</f>
        <v>IP65</v>
      </c>
      <c r="AE962" s="97" t="str">
        <f>IFERROR(__xludf.DUMMYFUNCTION("""COMPUTED_VALUE"""),"Clase lll")</f>
        <v>Clase lll</v>
      </c>
      <c r="AF962" s="97" t="str">
        <f>IFERROR(__xludf.DUMMYFUNCTION("""COMPUTED_VALUE"""),"Aplicar, Estaca")</f>
        <v>Aplicar, Estaca</v>
      </c>
      <c r="AG962" s="97" t="str">
        <f>IFERROR(__xludf.DUMMYFUNCTION("""COMPUTED_VALUE"""),"Ø60 x 135")</f>
        <v>Ø60 x 135</v>
      </c>
      <c r="AH962" s="97" t="str">
        <f>IFERROR(__xludf.DUMMYFUNCTION("""COMPUTED_VALUE"""),"N/A")</f>
        <v>N/A</v>
      </c>
      <c r="AI962" s="97" t="str">
        <f>IFERROR(__xludf.DUMMYFUNCTION("""COMPUTED_VALUE"""),"N/A")</f>
        <v>N/A</v>
      </c>
      <c r="AJ962" s="97" t="str">
        <f>IFERROR(__xludf.DUMMYFUNCTION("""COMPUTED_VALUE"""),"Vidrio y Acrílico")</f>
        <v>Vidrio y Acrílico</v>
      </c>
      <c r="AK962" s="97" t="str">
        <f>IFERROR(__xludf.DUMMYFUNCTION("""COMPUTED_VALUE"""),"Aluminio")</f>
        <v>Aluminio</v>
      </c>
      <c r="AL962" s="97" t="str">
        <f>IFERROR(__xludf.DUMMYFUNCTION("""COMPUTED_VALUE"""),"Negro Satinado")</f>
        <v>Negro Satinado</v>
      </c>
      <c r="AM962" s="97" t="str">
        <f>IFERROR(__xludf.DUMMYFUNCTION("""COMPUTED_VALUE"""),"-")</f>
        <v>-</v>
      </c>
      <c r="AN962" s="97" t="str">
        <f>IFERROR(__xludf.DUMMYFUNCTION("""COMPUTED_VALUE"""),"25.000hs (L70)")</f>
        <v>25.000hs (L70)</v>
      </c>
      <c r="AO962" s="97" t="str">
        <f>IFERROR(__xludf.DUMMYFUNCTION("""COMPUTED_VALUE"""),"2 Años")</f>
        <v>2 Años</v>
      </c>
      <c r="AP962" s="97" t="str">
        <f>IFERROR(__xludf.DUMMYFUNCTION("""COMPUTED_VALUE"""),"Disponible")</f>
        <v>Disponible</v>
      </c>
      <c r="AQ962" s="97" t="str">
        <f>IFERROR(__xludf.DUMMYFUNCTION("""COMPUTED_VALUE"""),"Disponible")</f>
        <v>Disponible</v>
      </c>
      <c r="AR962" s="97" t="str">
        <f>IFERROR(__xludf.DUMMYFUNCTION("""COMPUTED_VALUE"""),"Disponible")</f>
        <v>Disponible</v>
      </c>
      <c r="AS962" s="97" t="str">
        <f>IFERROR(__xludf.DUMMYFUNCTION("""COMPUTED_VALUE"""),"Disponible")</f>
        <v>Disponible</v>
      </c>
      <c r="AT962" s="97" t="str">
        <f>IFERROR(__xludf.DUMMYFUNCTION("""COMPUTED_VALUE"""),"Disponible")</f>
        <v>Disponible</v>
      </c>
      <c r="AU962" s="97" t="str">
        <f>IFERROR(__xludf.DUMMYFUNCTION("""COMPUTED_VALUE"""),"Falta")</f>
        <v>Falta</v>
      </c>
      <c r="AV962" s="97" t="str">
        <f>IFERROR(__xludf.DUMMYFUNCTION("""COMPUTED_VALUE"""),"Proyector")</f>
        <v>Proyector</v>
      </c>
      <c r="AW962" s="97" t="str">
        <f>IFERROR(__xludf.DUMMYFUNCTION("""COMPUTED_VALUE"""),"De Piso")</f>
        <v>De Piso</v>
      </c>
      <c r="AX962" s="97" t="str">
        <f>IFERROR(__xludf.DUMMYFUNCTION("""COMPUTED_VALUE"""),"Exterior")</f>
        <v>Exterior</v>
      </c>
      <c r="AY962" s="97" t="str">
        <f>IFERROR(__xludf.DUMMYFUNCTION("""COMPUTED_VALUE"""),"Chill")</f>
        <v>Chill</v>
      </c>
      <c r="AZ962" s="97" t="str">
        <f>IFERROR(__xludf.DUMMYFUNCTION("""COMPUTED_VALUE"""),"Incluye estaca y lente 36° + 2 lentes intercambiables: 15° y 24°")</f>
        <v>Incluye estaca y lente 36° + 2 lentes intercambiables: 15° y 24°</v>
      </c>
      <c r="BA962" s="97"/>
      <c r="BB962" s="97" t="str">
        <f>IFERROR(__xludf.DUMMYFUNCTION("""COMPUTED_VALUE"""),"-")</f>
        <v>-</v>
      </c>
      <c r="BC962" s="97" t="str">
        <f>IFERROR(__xludf.DUMMYFUNCTION("""COMPUTED_VALUE"""),"-")</f>
        <v>-</v>
      </c>
      <c r="BD962" s="97" t="str">
        <f>IFERROR(__xludf.DUMMYFUNCTION("""COMPUTED_VALUE"""),"CHILL")</f>
        <v>CHILL</v>
      </c>
      <c r="BE962" s="97" t="str">
        <f>IFERROR(__xludf.DUMMYFUNCTION("""COMPUTED_VALUE"""),"Finalizada")</f>
        <v>Finalizada</v>
      </c>
      <c r="BF962" s="97"/>
      <c r="BG962" s="97" t="str">
        <f>IFERROR(__xludf.DUMMYFUNCTION("""COMPUTED_VALUE"""),"Activo")</f>
        <v>Activo</v>
      </c>
    </row>
    <row r="963">
      <c r="A963" s="97">
        <f>IFERROR(__xludf.DUMMYFUNCTION("""COMPUTED_VALUE"""),6749.0)</f>
        <v>6749</v>
      </c>
      <c r="B963" s="97" t="str">
        <f>IFERROR(__xludf.DUMMYFUNCTION("""COMPUTED_VALUE"""),"CHILL 10W 24V 3000K")</f>
        <v>CHILL 10W 24V 3000K</v>
      </c>
      <c r="C963" s="97" t="str">
        <f>IFERROR(__xludf.DUMMYFUNCTION("""COMPUTED_VALUE"""),"PROYECTOR CHILL 10W 24V 3000K 10W 3000K 675LM CRI&gt;90 IP65 LEUK")</f>
        <v>PROYECTOR CHILL 10W 24V 3000K 10W 3000K 675LM CRI&gt;90 IP65 LEUK</v>
      </c>
      <c r="D963" s="97">
        <f>IFERROR(__xludf.DUMMYFUNCTION("""COMPUTED_VALUE"""),7.798413223354E12)</f>
        <v>7798413223354</v>
      </c>
      <c r="E963" s="97" t="str">
        <f>IFERROR(__xludf.DUMMYFUNCTION("""COMPUTED_VALUE"""),"N/A")</f>
        <v>N/A</v>
      </c>
      <c r="F963" s="97" t="str">
        <f>IFERROR(__xludf.DUMMYFUNCTION("""COMPUTED_VALUE"""),"LED integrado")</f>
        <v>LED integrado</v>
      </c>
      <c r="G963" s="97" t="str">
        <f>IFERROR(__xludf.DUMMYFUNCTION("""COMPUTED_VALUE"""),"Bridgelux")</f>
        <v>Bridgelux</v>
      </c>
      <c r="H963" s="97" t="str">
        <f>IFERROR(__xludf.DUMMYFUNCTION("""COMPUTED_VALUE"""),"-")</f>
        <v>-</v>
      </c>
      <c r="I963" s="97" t="str">
        <f>IFERROR(__xludf.DUMMYFUNCTION("""COMPUTED_VALUE"""),"N/A")</f>
        <v>N/A</v>
      </c>
      <c r="J963" s="97" t="str">
        <f>IFERROR(__xludf.DUMMYFUNCTION("""COMPUTED_VALUE"""),"N/A")</f>
        <v>N/A</v>
      </c>
      <c r="K963" s="97" t="str">
        <f>IFERROR(__xludf.DUMMYFUNCTION("""COMPUTED_VALUE"""),"ON/OFF")</f>
        <v>ON/OFF</v>
      </c>
      <c r="L963" s="97" t="str">
        <f>IFERROR(__xludf.DUMMYFUNCTION("""COMPUTED_VALUE"""),"24Vdc")</f>
        <v>24Vdc</v>
      </c>
      <c r="M963" s="97" t="str">
        <f>IFERROR(__xludf.DUMMYFUNCTION("""COMPUTED_VALUE"""),"N/A")</f>
        <v>N/A</v>
      </c>
      <c r="N963" s="97" t="str">
        <f>IFERROR(__xludf.DUMMYFUNCTION("""COMPUTED_VALUE"""),"Directa")</f>
        <v>Directa</v>
      </c>
      <c r="O963" s="97">
        <f>IFERROR(__xludf.DUMMYFUNCTION("""COMPUTED_VALUE"""),10.0)</f>
        <v>10</v>
      </c>
      <c r="P963" s="97"/>
      <c r="Q963" s="97" t="str">
        <f>IFERROR(__xludf.DUMMYFUNCTION("""COMPUTED_VALUE"""),"N/A")</f>
        <v>N/A</v>
      </c>
      <c r="R963" s="97" t="str">
        <f>IFERROR(__xludf.DUMMYFUNCTION("""COMPUTED_VALUE"""),"-")</f>
        <v>-</v>
      </c>
      <c r="S963" s="97" t="str">
        <f>IFERROR(__xludf.DUMMYFUNCTION("""COMPUTED_VALUE"""),"-")</f>
        <v>-</v>
      </c>
      <c r="T963" s="97">
        <f>IFERROR(__xludf.DUMMYFUNCTION("""COMPUTED_VALUE"""),675.0)</f>
        <v>675</v>
      </c>
      <c r="U963" s="99">
        <f>IFERROR(__xludf.DUMMYFUNCTION("""COMPUTED_VALUE"""),67.5)</f>
        <v>67.5</v>
      </c>
      <c r="V963" s="97" t="str">
        <f>IFERROR(__xludf.DUMMYFUNCTION("""COMPUTED_VALUE"""),"15 / 24 / 36")</f>
        <v>15 / 24 / 36</v>
      </c>
      <c r="W963" s="97" t="str">
        <f>IFERROR(__xludf.DUMMYFUNCTION("""COMPUTED_VALUE"""),"&lt; 16")</f>
        <v>&lt; 16</v>
      </c>
      <c r="X963" s="97">
        <f>IFERROR(__xludf.DUMMYFUNCTION("""COMPUTED_VALUE"""),3000.0)</f>
        <v>3000</v>
      </c>
      <c r="Y963" s="97" t="str">
        <f>IFERROR(__xludf.DUMMYFUNCTION("""COMPUTED_VALUE"""),"&gt;90")</f>
        <v>&gt;90</v>
      </c>
      <c r="Z963" s="97"/>
      <c r="AA963" s="97"/>
      <c r="AB963" s="97" t="str">
        <f>IFERROR(__xludf.DUMMYFUNCTION("""COMPUTED_VALUE"""),"-")</f>
        <v>-</v>
      </c>
      <c r="AC963" s="97"/>
      <c r="AD963" s="97" t="str">
        <f>IFERROR(__xludf.DUMMYFUNCTION("""COMPUTED_VALUE"""),"IP65")</f>
        <v>IP65</v>
      </c>
      <c r="AE963" s="97" t="str">
        <f>IFERROR(__xludf.DUMMYFUNCTION("""COMPUTED_VALUE"""),"Clase lll")</f>
        <v>Clase lll</v>
      </c>
      <c r="AF963" s="97" t="str">
        <f>IFERROR(__xludf.DUMMYFUNCTION("""COMPUTED_VALUE"""),"Aplicar, Estaca")</f>
        <v>Aplicar, Estaca</v>
      </c>
      <c r="AG963" s="97" t="str">
        <f>IFERROR(__xludf.DUMMYFUNCTION("""COMPUTED_VALUE"""),"Ø60 x 135")</f>
        <v>Ø60 x 135</v>
      </c>
      <c r="AH963" s="97" t="str">
        <f>IFERROR(__xludf.DUMMYFUNCTION("""COMPUTED_VALUE"""),"N/A")</f>
        <v>N/A</v>
      </c>
      <c r="AI963" s="97" t="str">
        <f>IFERROR(__xludf.DUMMYFUNCTION("""COMPUTED_VALUE"""),"N/A")</f>
        <v>N/A</v>
      </c>
      <c r="AJ963" s="97" t="str">
        <f>IFERROR(__xludf.DUMMYFUNCTION("""COMPUTED_VALUE"""),"Vidrio y Acrílico")</f>
        <v>Vidrio y Acrílico</v>
      </c>
      <c r="AK963" s="97" t="str">
        <f>IFERROR(__xludf.DUMMYFUNCTION("""COMPUTED_VALUE"""),"Aluminio")</f>
        <v>Aluminio</v>
      </c>
      <c r="AL963" s="97" t="str">
        <f>IFERROR(__xludf.DUMMYFUNCTION("""COMPUTED_VALUE"""),"Negro Satinado")</f>
        <v>Negro Satinado</v>
      </c>
      <c r="AM963" s="97" t="str">
        <f>IFERROR(__xludf.DUMMYFUNCTION("""COMPUTED_VALUE"""),"-")</f>
        <v>-</v>
      </c>
      <c r="AN963" s="97" t="str">
        <f>IFERROR(__xludf.DUMMYFUNCTION("""COMPUTED_VALUE"""),"25.000hs (L70)")</f>
        <v>25.000hs (L70)</v>
      </c>
      <c r="AO963" s="97" t="str">
        <f>IFERROR(__xludf.DUMMYFUNCTION("""COMPUTED_VALUE"""),"2 Años")</f>
        <v>2 Años</v>
      </c>
      <c r="AP963" s="97" t="str">
        <f>IFERROR(__xludf.DUMMYFUNCTION("""COMPUTED_VALUE"""),"Falta")</f>
        <v>Falta</v>
      </c>
      <c r="AQ963" s="97" t="str">
        <f>IFERROR(__xludf.DUMMYFUNCTION("""COMPUTED_VALUE"""),"Falta")</f>
        <v>Falta</v>
      </c>
      <c r="AR963" s="97" t="str">
        <f>IFERROR(__xludf.DUMMYFUNCTION("""COMPUTED_VALUE"""),"Falta")</f>
        <v>Falta</v>
      </c>
      <c r="AS963" s="97" t="str">
        <f>IFERROR(__xludf.DUMMYFUNCTION("""COMPUTED_VALUE"""),"Disponible")</f>
        <v>Disponible</v>
      </c>
      <c r="AT963" s="97" t="str">
        <f>IFERROR(__xludf.DUMMYFUNCTION("""COMPUTED_VALUE"""),"Disponible")</f>
        <v>Disponible</v>
      </c>
      <c r="AU963" s="97" t="str">
        <f>IFERROR(__xludf.DUMMYFUNCTION("""COMPUTED_VALUE"""),"Falta")</f>
        <v>Falta</v>
      </c>
      <c r="AV963" s="97" t="str">
        <f>IFERROR(__xludf.DUMMYFUNCTION("""COMPUTED_VALUE"""),"Proyector")</f>
        <v>Proyector</v>
      </c>
      <c r="AW963" s="97" t="str">
        <f>IFERROR(__xludf.DUMMYFUNCTION("""COMPUTED_VALUE"""),"De Piso")</f>
        <v>De Piso</v>
      </c>
      <c r="AX963" s="97" t="str">
        <f>IFERROR(__xludf.DUMMYFUNCTION("""COMPUTED_VALUE"""),"Exterior")</f>
        <v>Exterior</v>
      </c>
      <c r="AY963" s="97" t="str">
        <f>IFERROR(__xludf.DUMMYFUNCTION("""COMPUTED_VALUE"""),"Chill")</f>
        <v>Chill</v>
      </c>
      <c r="AZ963" s="97" t="str">
        <f>IFERROR(__xludf.DUMMYFUNCTION("""COMPUTED_VALUE"""),"Incluye estaca y lente 36° + 2 lentes intercambiables: 15° y 24°")</f>
        <v>Incluye estaca y lente 36° + 2 lentes intercambiables: 15° y 24°</v>
      </c>
      <c r="BA963" s="97"/>
      <c r="BB963" s="97" t="str">
        <f>IFERROR(__xludf.DUMMYFUNCTION("""COMPUTED_VALUE"""),"-")</f>
        <v>-</v>
      </c>
      <c r="BC963" s="97" t="str">
        <f>IFERROR(__xludf.DUMMYFUNCTION("""COMPUTED_VALUE"""),"-")</f>
        <v>-</v>
      </c>
      <c r="BD963" s="97" t="str">
        <f>IFERROR(__xludf.DUMMYFUNCTION("""COMPUTED_VALUE"""),"CHILL")</f>
        <v>CHILL</v>
      </c>
      <c r="BE963" s="97" t="str">
        <f>IFERROR(__xludf.DUMMYFUNCTION("""COMPUTED_VALUE"""),"Finalizada")</f>
        <v>Finalizada</v>
      </c>
      <c r="BF963" s="97"/>
      <c r="BG963" s="97" t="str">
        <f>IFERROR(__xludf.DUMMYFUNCTION("""COMPUTED_VALUE"""),"Activo")</f>
        <v>Activo</v>
      </c>
    </row>
    <row r="964">
      <c r="A964" s="97">
        <f>IFERROR(__xludf.DUMMYFUNCTION("""COMPUTED_VALUE"""),6750.0)</f>
        <v>6750</v>
      </c>
      <c r="B964" s="97" t="str">
        <f>IFERROR(__xludf.DUMMYFUNCTION("""COMPUTED_VALUE"""),"CHILL 20W 220V 2700K")</f>
        <v>CHILL 20W 220V 2700K</v>
      </c>
      <c r="C964" s="97" t="str">
        <f>IFERROR(__xludf.DUMMYFUNCTION("""COMPUTED_VALUE"""),"PROYECTOR CHILL 20W 220V 2700K 20W 2700K 1075LM CRI&gt;90 IP65 LEUK")</f>
        <v>PROYECTOR CHILL 20W 220V 2700K 20W 2700K 1075LM CRI&gt;90 IP65 LEUK</v>
      </c>
      <c r="D964" s="97">
        <f>IFERROR(__xludf.DUMMYFUNCTION("""COMPUTED_VALUE"""),7.798413223361E12)</f>
        <v>7798413223361</v>
      </c>
      <c r="E964" s="97" t="str">
        <f>IFERROR(__xludf.DUMMYFUNCTION("""COMPUTED_VALUE"""),"C44")</f>
        <v>C44</v>
      </c>
      <c r="F964" s="97" t="str">
        <f>IFERROR(__xludf.DUMMYFUNCTION("""COMPUTED_VALUE"""),"LED integrado")</f>
        <v>LED integrado</v>
      </c>
      <c r="G964" s="97" t="str">
        <f>IFERROR(__xludf.DUMMYFUNCTION("""COMPUTED_VALUE"""),"Bridgelux")</f>
        <v>Bridgelux</v>
      </c>
      <c r="H964" s="97" t="str">
        <f>IFERROR(__xludf.DUMMYFUNCTION("""COMPUTED_VALUE"""),"-")</f>
        <v>-</v>
      </c>
      <c r="I964" s="97"/>
      <c r="J964" s="97" t="str">
        <f>IFERROR(__xludf.DUMMYFUNCTION("""COMPUTED_VALUE"""),"Driver encapsulado")</f>
        <v>Driver encapsulado</v>
      </c>
      <c r="K964" s="97" t="str">
        <f>IFERROR(__xludf.DUMMYFUNCTION("""COMPUTED_VALUE"""),"ON/OFF")</f>
        <v>ON/OFF</v>
      </c>
      <c r="L964" s="97" t="str">
        <f>IFERROR(__xludf.DUMMYFUNCTION("""COMPUTED_VALUE"""),"220-240")</f>
        <v>220-240</v>
      </c>
      <c r="M964" s="97" t="str">
        <f>IFERROR(__xludf.DUMMYFUNCTION("""COMPUTED_VALUE"""),"50/60")</f>
        <v>50/60</v>
      </c>
      <c r="N964" s="97" t="str">
        <f>IFERROR(__xludf.DUMMYFUNCTION("""COMPUTED_VALUE"""),"Directa")</f>
        <v>Directa</v>
      </c>
      <c r="O964" s="97">
        <f>IFERROR(__xludf.DUMMYFUNCTION("""COMPUTED_VALUE"""),20.0)</f>
        <v>20</v>
      </c>
      <c r="P964" s="97"/>
      <c r="Q964" s="97">
        <f>IFERROR(__xludf.DUMMYFUNCTION("""COMPUTED_VALUE"""),0.5)</f>
        <v>0.5</v>
      </c>
      <c r="R964" s="97" t="str">
        <f>IFERROR(__xludf.DUMMYFUNCTION("""COMPUTED_VALUE"""),"-")</f>
        <v>-</v>
      </c>
      <c r="S964" s="97" t="str">
        <f>IFERROR(__xludf.DUMMYFUNCTION("""COMPUTED_VALUE"""),"-")</f>
        <v>-</v>
      </c>
      <c r="T964" s="97">
        <f>IFERROR(__xludf.DUMMYFUNCTION("""COMPUTED_VALUE"""),1075.0)</f>
        <v>1075</v>
      </c>
      <c r="U964" s="99">
        <f>IFERROR(__xludf.DUMMYFUNCTION("""COMPUTED_VALUE"""),53.75)</f>
        <v>53.75</v>
      </c>
      <c r="V964" s="97" t="str">
        <f>IFERROR(__xludf.DUMMYFUNCTION("""COMPUTED_VALUE"""),"15 / 24 / 36")</f>
        <v>15 / 24 / 36</v>
      </c>
      <c r="W964" s="97" t="str">
        <f>IFERROR(__xludf.DUMMYFUNCTION("""COMPUTED_VALUE"""),"&lt; 16")</f>
        <v>&lt; 16</v>
      </c>
      <c r="X964" s="97">
        <f>IFERROR(__xludf.DUMMYFUNCTION("""COMPUTED_VALUE"""),2700.0)</f>
        <v>2700</v>
      </c>
      <c r="Y964" s="97" t="str">
        <f>IFERROR(__xludf.DUMMYFUNCTION("""COMPUTED_VALUE"""),"&gt;90")</f>
        <v>&gt;90</v>
      </c>
      <c r="Z964" s="97"/>
      <c r="AA964" s="97"/>
      <c r="AB964" s="97" t="str">
        <f>IFERROR(__xludf.DUMMYFUNCTION("""COMPUTED_VALUE"""),"-")</f>
        <v>-</v>
      </c>
      <c r="AC964" s="97"/>
      <c r="AD964" s="97" t="str">
        <f>IFERROR(__xludf.DUMMYFUNCTION("""COMPUTED_VALUE"""),"IP65")</f>
        <v>IP65</v>
      </c>
      <c r="AE964" s="97" t="str">
        <f>IFERROR(__xludf.DUMMYFUNCTION("""COMPUTED_VALUE"""),"Clase l")</f>
        <v>Clase l</v>
      </c>
      <c r="AF964" s="97" t="str">
        <f>IFERROR(__xludf.DUMMYFUNCTION("""COMPUTED_VALUE"""),"Aplicar, Estaca")</f>
        <v>Aplicar, Estaca</v>
      </c>
      <c r="AG964" s="97" t="str">
        <f>IFERROR(__xludf.DUMMYFUNCTION("""COMPUTED_VALUE"""),"Ø75 x 165")</f>
        <v>Ø75 x 165</v>
      </c>
      <c r="AH964" s="97" t="str">
        <f>IFERROR(__xludf.DUMMYFUNCTION("""COMPUTED_VALUE"""),"N/A")</f>
        <v>N/A</v>
      </c>
      <c r="AI964" s="97" t="str">
        <f>IFERROR(__xludf.DUMMYFUNCTION("""COMPUTED_VALUE"""),"N/A")</f>
        <v>N/A</v>
      </c>
      <c r="AJ964" s="97" t="str">
        <f>IFERROR(__xludf.DUMMYFUNCTION("""COMPUTED_VALUE"""),"Vidrio y Acrílico")</f>
        <v>Vidrio y Acrílico</v>
      </c>
      <c r="AK964" s="97" t="str">
        <f>IFERROR(__xludf.DUMMYFUNCTION("""COMPUTED_VALUE"""),"Aluminio")</f>
        <v>Aluminio</v>
      </c>
      <c r="AL964" s="97" t="str">
        <f>IFERROR(__xludf.DUMMYFUNCTION("""COMPUTED_VALUE"""),"Negro Satinado")</f>
        <v>Negro Satinado</v>
      </c>
      <c r="AM964" s="97" t="str">
        <f>IFERROR(__xludf.DUMMYFUNCTION("""COMPUTED_VALUE"""),"-")</f>
        <v>-</v>
      </c>
      <c r="AN964" s="97" t="str">
        <f>IFERROR(__xludf.DUMMYFUNCTION("""COMPUTED_VALUE"""),"25.000hs (L70)")</f>
        <v>25.000hs (L70)</v>
      </c>
      <c r="AO964" s="97" t="str">
        <f>IFERROR(__xludf.DUMMYFUNCTION("""COMPUTED_VALUE"""),"2 Años")</f>
        <v>2 Años</v>
      </c>
      <c r="AP964" s="97" t="str">
        <f>IFERROR(__xludf.DUMMYFUNCTION("""COMPUTED_VALUE"""),"Disponible")</f>
        <v>Disponible</v>
      </c>
      <c r="AQ964" s="97" t="str">
        <f>IFERROR(__xludf.DUMMYFUNCTION("""COMPUTED_VALUE"""),"Disponible")</f>
        <v>Disponible</v>
      </c>
      <c r="AR964" s="97" t="str">
        <f>IFERROR(__xludf.DUMMYFUNCTION("""COMPUTED_VALUE"""),"Disponible")</f>
        <v>Disponible</v>
      </c>
      <c r="AS964" s="97" t="str">
        <f>IFERROR(__xludf.DUMMYFUNCTION("""COMPUTED_VALUE"""),"Disponible")</f>
        <v>Disponible</v>
      </c>
      <c r="AT964" s="97" t="str">
        <f>IFERROR(__xludf.DUMMYFUNCTION("""COMPUTED_VALUE"""),"Disponible")</f>
        <v>Disponible</v>
      </c>
      <c r="AU964" s="97" t="str">
        <f>IFERROR(__xludf.DUMMYFUNCTION("""COMPUTED_VALUE"""),"Falta")</f>
        <v>Falta</v>
      </c>
      <c r="AV964" s="97" t="str">
        <f>IFERROR(__xludf.DUMMYFUNCTION("""COMPUTED_VALUE"""),"Proyector")</f>
        <v>Proyector</v>
      </c>
      <c r="AW964" s="97" t="str">
        <f>IFERROR(__xludf.DUMMYFUNCTION("""COMPUTED_VALUE"""),"De Piso")</f>
        <v>De Piso</v>
      </c>
      <c r="AX964" s="97" t="str">
        <f>IFERROR(__xludf.DUMMYFUNCTION("""COMPUTED_VALUE"""),"Exterior")</f>
        <v>Exterior</v>
      </c>
      <c r="AY964" s="97" t="str">
        <f>IFERROR(__xludf.DUMMYFUNCTION("""COMPUTED_VALUE"""),"Chill")</f>
        <v>Chill</v>
      </c>
      <c r="AZ964" s="97" t="str">
        <f>IFERROR(__xludf.DUMMYFUNCTION("""COMPUTED_VALUE"""),"Incluye estaca y lente 36° + 2 lentes intercambiables: 15° y 24°")</f>
        <v>Incluye estaca y lente 36° + 2 lentes intercambiables: 15° y 24°</v>
      </c>
      <c r="BA964" s="97"/>
      <c r="BB964" s="97" t="str">
        <f>IFERROR(__xludf.DUMMYFUNCTION("""COMPUTED_VALUE"""),"-")</f>
        <v>-</v>
      </c>
      <c r="BC964" s="97" t="str">
        <f>IFERROR(__xludf.DUMMYFUNCTION("""COMPUTED_VALUE"""),"-")</f>
        <v>-</v>
      </c>
      <c r="BD964" s="97" t="str">
        <f>IFERROR(__xludf.DUMMYFUNCTION("""COMPUTED_VALUE"""),"CHILL")</f>
        <v>CHILL</v>
      </c>
      <c r="BE964" s="97" t="str">
        <f>IFERROR(__xludf.DUMMYFUNCTION("""COMPUTED_VALUE"""),"Finalizada")</f>
        <v>Finalizada</v>
      </c>
      <c r="BF964" s="97"/>
      <c r="BG964" s="97" t="str">
        <f>IFERROR(__xludf.DUMMYFUNCTION("""COMPUTED_VALUE"""),"Activo")</f>
        <v>Activo</v>
      </c>
    </row>
    <row r="965">
      <c r="A965" s="97">
        <f>IFERROR(__xludf.DUMMYFUNCTION("""COMPUTED_VALUE"""),6751.0)</f>
        <v>6751</v>
      </c>
      <c r="B965" s="97" t="str">
        <f>IFERROR(__xludf.DUMMYFUNCTION("""COMPUTED_VALUE"""),"LEIA")</f>
        <v>LEIA</v>
      </c>
      <c r="C965" s="97" t="str">
        <f>IFERROR(__xludf.DUMMYFUNCTION("""COMPUTED_VALUE"""),"BOLARDO LEIA 12W 3000K 1015LM CRI&gt;90 IP65 LEUK")</f>
        <v>BOLARDO LEIA 12W 3000K 1015LM CRI&gt;90 IP65 LEUK</v>
      </c>
      <c r="D965" s="97">
        <f>IFERROR(__xludf.DUMMYFUNCTION("""COMPUTED_VALUE"""),7.798413222494E12)</f>
        <v>7798413222494</v>
      </c>
      <c r="E965" s="97" t="str">
        <f>IFERROR(__xludf.DUMMYFUNCTION("""COMPUTED_VALUE"""),"C30")</f>
        <v>C30</v>
      </c>
      <c r="F965" s="97" t="str">
        <f>IFERROR(__xludf.DUMMYFUNCTION("""COMPUTED_VALUE"""),"LED integrado")</f>
        <v>LED integrado</v>
      </c>
      <c r="G965" s="97" t="str">
        <f>IFERROR(__xludf.DUMMYFUNCTION("""COMPUTED_VALUE"""),"Bridgelux")</f>
        <v>Bridgelux</v>
      </c>
      <c r="H965" s="97" t="str">
        <f>IFERROR(__xludf.DUMMYFUNCTION("""COMPUTED_VALUE"""),"-")</f>
        <v>-</v>
      </c>
      <c r="I965" s="97"/>
      <c r="J965" s="97"/>
      <c r="K965" s="97" t="str">
        <f>IFERROR(__xludf.DUMMYFUNCTION("""COMPUTED_VALUE"""),"ON/OFF")</f>
        <v>ON/OFF</v>
      </c>
      <c r="L965" s="97" t="str">
        <f>IFERROR(__xludf.DUMMYFUNCTION("""COMPUTED_VALUE"""),"220-240")</f>
        <v>220-240</v>
      </c>
      <c r="M965" s="97" t="str">
        <f>IFERROR(__xludf.DUMMYFUNCTION("""COMPUTED_VALUE"""),"50/60")</f>
        <v>50/60</v>
      </c>
      <c r="N965" s="97"/>
      <c r="O965" s="97">
        <f>IFERROR(__xludf.DUMMYFUNCTION("""COMPUTED_VALUE"""),12.0)</f>
        <v>12</v>
      </c>
      <c r="P965" s="97"/>
      <c r="Q965" s="97">
        <f>IFERROR(__xludf.DUMMYFUNCTION("""COMPUTED_VALUE"""),0.48)</f>
        <v>0.48</v>
      </c>
      <c r="R965" s="97" t="str">
        <f>IFERROR(__xludf.DUMMYFUNCTION("""COMPUTED_VALUE"""),"-")</f>
        <v>-</v>
      </c>
      <c r="S965" s="97" t="str">
        <f>IFERROR(__xludf.DUMMYFUNCTION("""COMPUTED_VALUE"""),"-")</f>
        <v>-</v>
      </c>
      <c r="T965" s="97">
        <f>IFERROR(__xludf.DUMMYFUNCTION("""COMPUTED_VALUE"""),1015.0)</f>
        <v>1015</v>
      </c>
      <c r="U965" s="99">
        <f>IFERROR(__xludf.DUMMYFUNCTION("""COMPUTED_VALUE"""),84.58333333333333)</f>
        <v>84.58333333</v>
      </c>
      <c r="V965" s="97">
        <f>IFERROR(__xludf.DUMMYFUNCTION("""COMPUTED_VALUE"""),97.0)</f>
        <v>97</v>
      </c>
      <c r="W965" s="97" t="str">
        <f>IFERROR(__xludf.DUMMYFUNCTION("""COMPUTED_VALUE"""),"&lt; 16")</f>
        <v>&lt; 16</v>
      </c>
      <c r="X965" s="97">
        <f>IFERROR(__xludf.DUMMYFUNCTION("""COMPUTED_VALUE"""),3000.0)</f>
        <v>3000</v>
      </c>
      <c r="Y965" s="97" t="str">
        <f>IFERROR(__xludf.DUMMYFUNCTION("""COMPUTED_VALUE"""),"&gt;90")</f>
        <v>&gt;90</v>
      </c>
      <c r="Z965" s="97"/>
      <c r="AA965" s="97"/>
      <c r="AB965" s="97" t="str">
        <f>IFERROR(__xludf.DUMMYFUNCTION("""COMPUTED_VALUE"""),"&lt; 4")</f>
        <v>&lt; 4</v>
      </c>
      <c r="AC965" s="97"/>
      <c r="AD965" s="97" t="str">
        <f>IFERROR(__xludf.DUMMYFUNCTION("""COMPUTED_VALUE"""),"IP65")</f>
        <v>IP65</v>
      </c>
      <c r="AE965" s="97" t="str">
        <f>IFERROR(__xludf.DUMMYFUNCTION("""COMPUTED_VALUE"""),"Clase l")</f>
        <v>Clase l</v>
      </c>
      <c r="AF965" s="97" t="str">
        <f>IFERROR(__xludf.DUMMYFUNCTION("""COMPUTED_VALUE"""),"Anclaje de piso")</f>
        <v>Anclaje de piso</v>
      </c>
      <c r="AG965" s="97" t="str">
        <f>IFERROR(__xludf.DUMMYFUNCTION("""COMPUTED_VALUE"""),"Ø130 x 600")</f>
        <v>Ø130 x 600</v>
      </c>
      <c r="AH965" s="97" t="str">
        <f>IFERROR(__xludf.DUMMYFUNCTION("""COMPUTED_VALUE"""),"N/A")</f>
        <v>N/A</v>
      </c>
      <c r="AI965" s="97" t="str">
        <f>IFERROR(__xludf.DUMMYFUNCTION("""COMPUTED_VALUE"""),"N/A")</f>
        <v>N/A</v>
      </c>
      <c r="AJ965" s="97" t="str">
        <f>IFERROR(__xludf.DUMMYFUNCTION("""COMPUTED_VALUE"""),"Vidrio")</f>
        <v>Vidrio</v>
      </c>
      <c r="AK965" s="97" t="str">
        <f>IFERROR(__xludf.DUMMYFUNCTION("""COMPUTED_VALUE"""),"Aluminio")</f>
        <v>Aluminio</v>
      </c>
      <c r="AL965" s="97" t="str">
        <f>IFERROR(__xludf.DUMMYFUNCTION("""COMPUTED_VALUE"""),"Negro Satinado")</f>
        <v>Negro Satinado</v>
      </c>
      <c r="AM965" s="97" t="str">
        <f>IFERROR(__xludf.DUMMYFUNCTION("""COMPUTED_VALUE"""),"-")</f>
        <v>-</v>
      </c>
      <c r="AN965" s="97" t="str">
        <f>IFERROR(__xludf.DUMMYFUNCTION("""COMPUTED_VALUE"""),"25.000hs (L70)")</f>
        <v>25.000hs (L70)</v>
      </c>
      <c r="AO965" s="97" t="str">
        <f>IFERROR(__xludf.DUMMYFUNCTION("""COMPUTED_VALUE"""),"2 Años")</f>
        <v>2 Años</v>
      </c>
      <c r="AP965" s="97" t="str">
        <f>IFERROR(__xludf.DUMMYFUNCTION("""COMPUTED_VALUE"""),"Disponible")</f>
        <v>Disponible</v>
      </c>
      <c r="AQ965" s="97" t="str">
        <f>IFERROR(__xludf.DUMMYFUNCTION("""COMPUTED_VALUE"""),"Disponible")</f>
        <v>Disponible</v>
      </c>
      <c r="AR965" s="97" t="str">
        <f>IFERROR(__xludf.DUMMYFUNCTION("""COMPUTED_VALUE"""),"Disponible")</f>
        <v>Disponible</v>
      </c>
      <c r="AS965" s="97" t="str">
        <f>IFERROR(__xludf.DUMMYFUNCTION("""COMPUTED_VALUE"""),"Falta")</f>
        <v>Falta</v>
      </c>
      <c r="AT965" s="97" t="str">
        <f>IFERROR(__xludf.DUMMYFUNCTION("""COMPUTED_VALUE"""),"Falta")</f>
        <v>Falta</v>
      </c>
      <c r="AU965" s="97" t="str">
        <f>IFERROR(__xludf.DUMMYFUNCTION("""COMPUTED_VALUE"""),"Falta")</f>
        <v>Falta</v>
      </c>
      <c r="AV965" s="97" t="str">
        <f>IFERROR(__xludf.DUMMYFUNCTION("""COMPUTED_VALUE"""),"Bolardo")</f>
        <v>Bolardo</v>
      </c>
      <c r="AW965" s="97" t="str">
        <f>IFERROR(__xludf.DUMMYFUNCTION("""COMPUTED_VALUE"""),"De Piso")</f>
        <v>De Piso</v>
      </c>
      <c r="AX965" s="97" t="str">
        <f>IFERROR(__xludf.DUMMYFUNCTION("""COMPUTED_VALUE"""),"Exterior")</f>
        <v>Exterior</v>
      </c>
      <c r="AY965" s="97" t="str">
        <f>IFERROR(__xludf.DUMMYFUNCTION("""COMPUTED_VALUE"""),"-")</f>
        <v>-</v>
      </c>
      <c r="AZ965" s="97"/>
      <c r="BA965" s="97">
        <f>IFERROR(__xludf.DUMMYFUNCTION("""COMPUTED_VALUE"""),10.0)</f>
        <v>10</v>
      </c>
      <c r="BB965" s="97" t="str">
        <f>IFERROR(__xludf.DUMMYFUNCTION("""COMPUTED_VALUE"""),"-")</f>
        <v>-</v>
      </c>
      <c r="BC965" s="97" t="str">
        <f>IFERROR(__xludf.DUMMYFUNCTION("""COMPUTED_VALUE"""),"-")</f>
        <v>-</v>
      </c>
      <c r="BD965" s="97" t="str">
        <f>IFERROR(__xludf.DUMMYFUNCTION("""COMPUTED_VALUE"""),"LEIA")</f>
        <v>LEIA</v>
      </c>
      <c r="BE965" s="97" t="str">
        <f>IFERROR(__xludf.DUMMYFUNCTION("""COMPUTED_VALUE"""),"Actualizar")</f>
        <v>Actualizar</v>
      </c>
      <c r="BF965" s="97"/>
      <c r="BG965" s="97" t="str">
        <f>IFERROR(__xludf.DUMMYFUNCTION("""COMPUTED_VALUE"""),"Activo")</f>
        <v>Activo</v>
      </c>
    </row>
    <row r="966">
      <c r="A966" s="97">
        <f>IFERROR(__xludf.DUMMYFUNCTION("""COMPUTED_VALUE"""),6752.0)</f>
        <v>6752</v>
      </c>
      <c r="B966" s="97" t="str">
        <f>IFERROR(__xludf.DUMMYFUNCTION("""COMPUTED_VALUE"""),"MUSK")</f>
        <v>MUSK</v>
      </c>
      <c r="C966" s="97" t="str">
        <f>IFERROR(__xludf.DUMMYFUNCTION("""COMPUTED_VALUE"""),"ESTACA MUSK 7W 3000K 410LM CRI&gt;90 IP65 LEUK")</f>
        <v>ESTACA MUSK 7W 3000K 410LM CRI&gt;90 IP65 LEUK</v>
      </c>
      <c r="D966" s="97">
        <f>IFERROR(__xludf.DUMMYFUNCTION("""COMPUTED_VALUE"""),7.7984132225E12)</f>
        <v>7798413222500</v>
      </c>
      <c r="E966" s="97" t="str">
        <f>IFERROR(__xludf.DUMMYFUNCTION("""COMPUTED_VALUE"""),"C68")</f>
        <v>C68</v>
      </c>
      <c r="F966" s="97" t="str">
        <f>IFERROR(__xludf.DUMMYFUNCTION("""COMPUTED_VALUE"""),"LED integrado")</f>
        <v>LED integrado</v>
      </c>
      <c r="G966" s="97" t="str">
        <f>IFERROR(__xludf.DUMMYFUNCTION("""COMPUTED_VALUE"""),"Bridgelux")</f>
        <v>Bridgelux</v>
      </c>
      <c r="H966" s="97" t="str">
        <f>IFERROR(__xludf.DUMMYFUNCTION("""COMPUTED_VALUE"""),"-")</f>
        <v>-</v>
      </c>
      <c r="I966" s="97"/>
      <c r="J966" s="97" t="str">
        <f>IFERROR(__xludf.DUMMYFUNCTION("""COMPUTED_VALUE"""),"Modelo: (4-7)X1W
In: 100-265Vac 50/60Hz
Out: 12-25Vdc 300mA
Tc 85°C Ta 50°C IP65")</f>
        <v>Modelo: (4-7)X1W
In: 100-265Vac 50/60Hz
Out: 12-25Vdc 300mA
Tc 85°C Ta 50°C IP65</v>
      </c>
      <c r="K966" s="97" t="str">
        <f>IFERROR(__xludf.DUMMYFUNCTION("""COMPUTED_VALUE"""),"ON/OFF")</f>
        <v>ON/OFF</v>
      </c>
      <c r="L966" s="97" t="str">
        <f>IFERROR(__xludf.DUMMYFUNCTION("""COMPUTED_VALUE"""),"220-240")</f>
        <v>220-240</v>
      </c>
      <c r="M966" s="97" t="str">
        <f>IFERROR(__xludf.DUMMYFUNCTION("""COMPUTED_VALUE"""),"50/60")</f>
        <v>50/60</v>
      </c>
      <c r="N966" s="97"/>
      <c r="O966" s="97">
        <f>IFERROR(__xludf.DUMMYFUNCTION("""COMPUTED_VALUE"""),7.0)</f>
        <v>7</v>
      </c>
      <c r="P966" s="97"/>
      <c r="Q966" s="97">
        <f>IFERROR(__xludf.DUMMYFUNCTION("""COMPUTED_VALUE"""),0.5)</f>
        <v>0.5</v>
      </c>
      <c r="R966" s="97" t="str">
        <f>IFERROR(__xludf.DUMMYFUNCTION("""COMPUTED_VALUE"""),"-")</f>
        <v>-</v>
      </c>
      <c r="S966" s="97" t="str">
        <f>IFERROR(__xludf.DUMMYFUNCTION("""COMPUTED_VALUE"""),"-")</f>
        <v>-</v>
      </c>
      <c r="T966" s="97">
        <f>IFERROR(__xludf.DUMMYFUNCTION("""COMPUTED_VALUE"""),410.0)</f>
        <v>410</v>
      </c>
      <c r="U966" s="99">
        <f>IFERROR(__xludf.DUMMYFUNCTION("""COMPUTED_VALUE"""),58.57142857142857)</f>
        <v>58.57142857</v>
      </c>
      <c r="V966" s="97">
        <f>IFERROR(__xludf.DUMMYFUNCTION("""COMPUTED_VALUE"""),192.0)</f>
        <v>192</v>
      </c>
      <c r="W966" s="97" t="str">
        <f>IFERROR(__xludf.DUMMYFUNCTION("""COMPUTED_VALUE"""),"&lt; 16")</f>
        <v>&lt; 16</v>
      </c>
      <c r="X966" s="97">
        <f>IFERROR(__xludf.DUMMYFUNCTION("""COMPUTED_VALUE"""),3000.0)</f>
        <v>3000</v>
      </c>
      <c r="Y966" s="97" t="str">
        <f>IFERROR(__xludf.DUMMYFUNCTION("""COMPUTED_VALUE"""),"&gt;90")</f>
        <v>&gt;90</v>
      </c>
      <c r="Z966" s="97"/>
      <c r="AA966" s="97"/>
      <c r="AB966" s="97" t="str">
        <f>IFERROR(__xludf.DUMMYFUNCTION("""COMPUTED_VALUE"""),"&lt; 4")</f>
        <v>&lt; 4</v>
      </c>
      <c r="AC966" s="97"/>
      <c r="AD966" s="97" t="str">
        <f>IFERROR(__xludf.DUMMYFUNCTION("""COMPUTED_VALUE"""),"IP65")</f>
        <v>IP65</v>
      </c>
      <c r="AE966" s="97" t="str">
        <f>IFERROR(__xludf.DUMMYFUNCTION("""COMPUTED_VALUE"""),"Clase l")</f>
        <v>Clase l</v>
      </c>
      <c r="AF966" s="97" t="str">
        <f>IFERROR(__xludf.DUMMYFUNCTION("""COMPUTED_VALUE"""),"Estaca")</f>
        <v>Estaca</v>
      </c>
      <c r="AG966" s="97" t="str">
        <f>IFERROR(__xludf.DUMMYFUNCTION("""COMPUTED_VALUE"""),"Ø40 x 510")</f>
        <v>Ø40 x 510</v>
      </c>
      <c r="AH966" s="97" t="str">
        <f>IFERROR(__xludf.DUMMYFUNCTION("""COMPUTED_VALUE"""),"N/A")</f>
        <v>N/A</v>
      </c>
      <c r="AI966" s="97">
        <f>IFERROR(__xludf.DUMMYFUNCTION("""COMPUTED_VALUE"""),250.0)</f>
        <v>250</v>
      </c>
      <c r="AJ966" s="97" t="str">
        <f>IFERROR(__xludf.DUMMYFUNCTION("""COMPUTED_VALUE"""),"PMMA")</f>
        <v>PMMA</v>
      </c>
      <c r="AK966" s="97" t="str">
        <f>IFERROR(__xludf.DUMMYFUNCTION("""COMPUTED_VALUE"""),"Aluminio")</f>
        <v>Aluminio</v>
      </c>
      <c r="AL966" s="97" t="str">
        <f>IFERROR(__xludf.DUMMYFUNCTION("""COMPUTED_VALUE"""),"Negro Satinado")</f>
        <v>Negro Satinado</v>
      </c>
      <c r="AM966" s="97" t="str">
        <f>IFERROR(__xludf.DUMMYFUNCTION("""COMPUTED_VALUE"""),"-")</f>
        <v>-</v>
      </c>
      <c r="AN966" s="97" t="str">
        <f>IFERROR(__xludf.DUMMYFUNCTION("""COMPUTED_VALUE"""),"25.000hs (L70)")</f>
        <v>25.000hs (L70)</v>
      </c>
      <c r="AO966" s="97" t="str">
        <f>IFERROR(__xludf.DUMMYFUNCTION("""COMPUTED_VALUE"""),"2 Años")</f>
        <v>2 Años</v>
      </c>
      <c r="AP966" s="97" t="str">
        <f>IFERROR(__xludf.DUMMYFUNCTION("""COMPUTED_VALUE"""),"Disponible")</f>
        <v>Disponible</v>
      </c>
      <c r="AQ966" s="97" t="str">
        <f>IFERROR(__xludf.DUMMYFUNCTION("""COMPUTED_VALUE"""),"Disponible")</f>
        <v>Disponible</v>
      </c>
      <c r="AR966" s="97" t="str">
        <f>IFERROR(__xludf.DUMMYFUNCTION("""COMPUTED_VALUE"""),"Disponible")</f>
        <v>Disponible</v>
      </c>
      <c r="AS966" s="97" t="str">
        <f>IFERROR(__xludf.DUMMYFUNCTION("""COMPUTED_VALUE"""),"Falta")</f>
        <v>Falta</v>
      </c>
      <c r="AT966" s="97" t="str">
        <f>IFERROR(__xludf.DUMMYFUNCTION("""COMPUTED_VALUE"""),"Falta")</f>
        <v>Falta</v>
      </c>
      <c r="AU966" s="97" t="str">
        <f>IFERROR(__xludf.DUMMYFUNCTION("""COMPUTED_VALUE"""),"Falta")</f>
        <v>Falta</v>
      </c>
      <c r="AV966" s="97" t="str">
        <f>IFERROR(__xludf.DUMMYFUNCTION("""COMPUTED_VALUE"""),"Estaca")</f>
        <v>Estaca</v>
      </c>
      <c r="AW966" s="97" t="str">
        <f>IFERROR(__xludf.DUMMYFUNCTION("""COMPUTED_VALUE"""),"De Piso")</f>
        <v>De Piso</v>
      </c>
      <c r="AX966" s="97" t="str">
        <f>IFERROR(__xludf.DUMMYFUNCTION("""COMPUTED_VALUE"""),"Exterior")</f>
        <v>Exterior</v>
      </c>
      <c r="AY966" s="97" t="str">
        <f>IFERROR(__xludf.DUMMYFUNCTION("""COMPUTED_VALUE"""),"-")</f>
        <v>-</v>
      </c>
      <c r="AZ966" s="97"/>
      <c r="BA966" s="97">
        <f>IFERROR(__xludf.DUMMYFUNCTION("""COMPUTED_VALUE"""),30.0)</f>
        <v>30</v>
      </c>
      <c r="BB966" s="97" t="str">
        <f>IFERROR(__xludf.DUMMYFUNCTION("""COMPUTED_VALUE"""),"-")</f>
        <v>-</v>
      </c>
      <c r="BC966" s="97" t="str">
        <f>IFERROR(__xludf.DUMMYFUNCTION("""COMPUTED_VALUE"""),"-")</f>
        <v>-</v>
      </c>
      <c r="BD966" s="97" t="str">
        <f>IFERROR(__xludf.DUMMYFUNCTION("""COMPUTED_VALUE"""),"MUSK")</f>
        <v>MUSK</v>
      </c>
      <c r="BE966" s="97" t="str">
        <f>IFERROR(__xludf.DUMMYFUNCTION("""COMPUTED_VALUE"""),"Actualizar")</f>
        <v>Actualizar</v>
      </c>
      <c r="BF966" s="97"/>
      <c r="BG966" s="97" t="str">
        <f>IFERROR(__xludf.DUMMYFUNCTION("""COMPUTED_VALUE"""),"Activo")</f>
        <v>Activo</v>
      </c>
    </row>
    <row r="967">
      <c r="A967" s="97">
        <f>IFERROR(__xludf.DUMMYFUNCTION("""COMPUTED_VALUE"""),6753.0)</f>
        <v>6753</v>
      </c>
      <c r="B967" s="97" t="str">
        <f>IFERROR(__xludf.DUMMYFUNCTION("""COMPUTED_VALUE"""),"FRANKY 60")</f>
        <v>FRANKY 60</v>
      </c>
      <c r="C967" s="97" t="str">
        <f>IFERROR(__xludf.DUMMYFUNCTION("""COMPUTED_VALUE"""),"LUMINARIA DE EXTERIOR FRANKY 60 LEUK")</f>
        <v>LUMINARIA DE EXTERIOR FRANKY 60 LEUK</v>
      </c>
      <c r="D967" s="97">
        <f>IFERROR(__xludf.DUMMYFUNCTION("""COMPUTED_VALUE"""),7.798413222517E12)</f>
        <v>7798413222517</v>
      </c>
      <c r="E967" s="97" t="str">
        <f>IFERROR(__xludf.DUMMYFUNCTION("""COMPUTED_VALUE"""),"C31")</f>
        <v>C31</v>
      </c>
      <c r="F967" s="97" t="str">
        <f>IFERROR(__xludf.DUMMYFUNCTION("""COMPUTED_VALUE"""),"LED integrado")</f>
        <v>LED integrado</v>
      </c>
      <c r="G967" s="97" t="str">
        <f>IFERROR(__xludf.DUMMYFUNCTION("""COMPUTED_VALUE"""),"Bridgelux")</f>
        <v>Bridgelux</v>
      </c>
      <c r="H967" s="97" t="str">
        <f>IFERROR(__xludf.DUMMYFUNCTION("""COMPUTED_VALUE"""),"-")</f>
        <v>-</v>
      </c>
      <c r="I967" s="97"/>
      <c r="J967" s="97" t="str">
        <f>IFERROR(__xludf.DUMMYFUNCTION("""COMPUTED_VALUE"""),"Modelo: 6-10W
In: 85-265Vac 50/60Hz
Out: 18-42Vdc 270mA
Tc 75°C Ta 50°C")</f>
        <v>Modelo: 6-10W
In: 85-265Vac 50/60Hz
Out: 18-42Vdc 270mA
Tc 75°C Ta 50°C</v>
      </c>
      <c r="K967" s="97" t="str">
        <f>IFERROR(__xludf.DUMMYFUNCTION("""COMPUTED_VALUE"""),"ON/OFF")</f>
        <v>ON/OFF</v>
      </c>
      <c r="L967" s="97" t="str">
        <f>IFERROR(__xludf.DUMMYFUNCTION("""COMPUTED_VALUE"""),"220-240")</f>
        <v>220-240</v>
      </c>
      <c r="M967" s="97" t="str">
        <f>IFERROR(__xludf.DUMMYFUNCTION("""COMPUTED_VALUE"""),"50/60")</f>
        <v>50/60</v>
      </c>
      <c r="N967" s="97"/>
      <c r="O967" s="97" t="str">
        <f>IFERROR(__xludf.DUMMYFUNCTION("""COMPUTED_VALUE"""),"2 x 5W")</f>
        <v>2 x 5W</v>
      </c>
      <c r="P967" s="97"/>
      <c r="Q967" s="97">
        <f>IFERROR(__xludf.DUMMYFUNCTION("""COMPUTED_VALUE"""),0.48)</f>
        <v>0.48</v>
      </c>
      <c r="R967" s="97" t="str">
        <f>IFERROR(__xludf.DUMMYFUNCTION("""COMPUTED_VALUE"""),"-")</f>
        <v>-</v>
      </c>
      <c r="S967" s="97" t="str">
        <f>IFERROR(__xludf.DUMMYFUNCTION("""COMPUTED_VALUE"""),"-")</f>
        <v>-</v>
      </c>
      <c r="T967" s="97">
        <f>IFERROR(__xludf.DUMMYFUNCTION("""COMPUTED_VALUE"""),695.0)</f>
        <v>695</v>
      </c>
      <c r="U967" s="99">
        <f>IFERROR(__xludf.DUMMYFUNCTION("""COMPUTED_VALUE"""),69.5)</f>
        <v>69.5</v>
      </c>
      <c r="V967" s="97">
        <f>IFERROR(__xludf.DUMMYFUNCTION("""COMPUTED_VALUE"""),185.0)</f>
        <v>185</v>
      </c>
      <c r="W967" s="97" t="str">
        <f>IFERROR(__xludf.DUMMYFUNCTION("""COMPUTED_VALUE"""),"&lt; 18")</f>
        <v>&lt; 18</v>
      </c>
      <c r="X967" s="97">
        <f>IFERROR(__xludf.DUMMYFUNCTION("""COMPUTED_VALUE"""),3000.0)</f>
        <v>3000</v>
      </c>
      <c r="Y967" s="97" t="str">
        <f>IFERROR(__xludf.DUMMYFUNCTION("""COMPUTED_VALUE"""),"&gt;80")</f>
        <v>&gt;80</v>
      </c>
      <c r="Z967" s="97" t="str">
        <f>IFERROR(__xludf.DUMMYFUNCTION("""COMPUTED_VALUE"""),"-")</f>
        <v>-</v>
      </c>
      <c r="AA967" s="97" t="str">
        <f>IFERROR(__xludf.DUMMYFUNCTION("""COMPUTED_VALUE"""),"-")</f>
        <v>-</v>
      </c>
      <c r="AB967" s="97"/>
      <c r="AC967" s="97"/>
      <c r="AD967" s="97" t="str">
        <f>IFERROR(__xludf.DUMMYFUNCTION("""COMPUTED_VALUE"""),"IP65")</f>
        <v>IP65</v>
      </c>
      <c r="AE967" s="97" t="str">
        <f>IFERROR(__xludf.DUMMYFUNCTION("""COMPUTED_VALUE"""),"Clase l")</f>
        <v>Clase l</v>
      </c>
      <c r="AF967" s="97" t="str">
        <f>IFERROR(__xludf.DUMMYFUNCTION("""COMPUTED_VALUE"""),"Anclaje de piso")</f>
        <v>Anclaje de piso</v>
      </c>
      <c r="AG967" s="97" t="str">
        <f>IFERROR(__xludf.DUMMYFUNCTION("""COMPUTED_VALUE"""),"Ø42 x 600 (Base Ø90)")</f>
        <v>Ø42 x 600 (Base Ø90)</v>
      </c>
      <c r="AH967" s="97" t="str">
        <f>IFERROR(__xludf.DUMMYFUNCTION("""COMPUTED_VALUE"""),"N/A")</f>
        <v>N/A</v>
      </c>
      <c r="AI967" s="97" t="str">
        <f>IFERROR(__xludf.DUMMYFUNCTION("""COMPUTED_VALUE"""),"N/A")</f>
        <v>N/A</v>
      </c>
      <c r="AJ967" s="97" t="str">
        <f>IFERROR(__xludf.DUMMYFUNCTION("""COMPUTED_VALUE"""),"Vidrio")</f>
        <v>Vidrio</v>
      </c>
      <c r="AK967" s="97" t="str">
        <f>IFERROR(__xludf.DUMMYFUNCTION("""COMPUTED_VALUE"""),"Aluminio")</f>
        <v>Aluminio</v>
      </c>
      <c r="AL967" s="97" t="str">
        <f>IFERROR(__xludf.DUMMYFUNCTION("""COMPUTED_VALUE"""),"Negro Satinado")</f>
        <v>Negro Satinado</v>
      </c>
      <c r="AM967" s="97"/>
      <c r="AN967" s="97" t="str">
        <f>IFERROR(__xludf.DUMMYFUNCTION("""COMPUTED_VALUE"""),"25.000hs (L70)")</f>
        <v>25.000hs (L70)</v>
      </c>
      <c r="AO967" s="97" t="str">
        <f>IFERROR(__xludf.DUMMYFUNCTION("""COMPUTED_VALUE"""),"2 Años")</f>
        <v>2 Años</v>
      </c>
      <c r="AP967" s="97" t="str">
        <f>IFERROR(__xludf.DUMMYFUNCTION("""COMPUTED_VALUE"""),"Falta")</f>
        <v>Falta</v>
      </c>
      <c r="AQ967" s="97" t="str">
        <f>IFERROR(__xludf.DUMMYFUNCTION("""COMPUTED_VALUE"""),"Falta")</f>
        <v>Falta</v>
      </c>
      <c r="AR967" s="97" t="str">
        <f>IFERROR(__xludf.DUMMYFUNCTION("""COMPUTED_VALUE"""),"Falta")</f>
        <v>Falta</v>
      </c>
      <c r="AS967" s="97" t="str">
        <f>IFERROR(__xludf.DUMMYFUNCTION("""COMPUTED_VALUE"""),"Falta")</f>
        <v>Falta</v>
      </c>
      <c r="AT967" s="97" t="str">
        <f>IFERROR(__xludf.DUMMYFUNCTION("""COMPUTED_VALUE"""),"Falta")</f>
        <v>Falta</v>
      </c>
      <c r="AU967" s="97" t="str">
        <f>IFERROR(__xludf.DUMMYFUNCTION("""COMPUTED_VALUE"""),"Falta")</f>
        <v>Falta</v>
      </c>
      <c r="AV967" s="97" t="str">
        <f>IFERROR(__xludf.DUMMYFUNCTION("""COMPUTED_VALUE"""),"Bolardo")</f>
        <v>Bolardo</v>
      </c>
      <c r="AW967" s="97" t="str">
        <f>IFERROR(__xludf.DUMMYFUNCTION("""COMPUTED_VALUE"""),"De Piso")</f>
        <v>De Piso</v>
      </c>
      <c r="AX967" s="97" t="str">
        <f>IFERROR(__xludf.DUMMYFUNCTION("""COMPUTED_VALUE"""),"Exterior")</f>
        <v>Exterior</v>
      </c>
      <c r="AY967" s="97"/>
      <c r="AZ967" s="97" t="str">
        <f>IFERROR(__xludf.DUMMYFUNCTION("""COMPUTED_VALUE"""),"Cuenta con módulos giratorios con sistema de fijación, que permiten orientar los haces de luz según necesidad.")</f>
        <v>Cuenta con módulos giratorios con sistema de fijación, que permiten orientar los haces de luz según necesidad.</v>
      </c>
      <c r="BA967" s="97">
        <f>IFERROR(__xludf.DUMMYFUNCTION("""COMPUTED_VALUE"""),10.0)</f>
        <v>10</v>
      </c>
      <c r="BB967" s="97"/>
      <c r="BC967" s="97"/>
      <c r="BD967" s="97" t="str">
        <f>IFERROR(__xludf.DUMMYFUNCTION("""COMPUTED_VALUE"""),"FRANKY")</f>
        <v>FRANKY</v>
      </c>
      <c r="BE967" s="97" t="str">
        <f>IFERROR(__xludf.DUMMYFUNCTION("""COMPUTED_VALUE"""),"Finalizada")</f>
        <v>Finalizada</v>
      </c>
      <c r="BF967" s="97">
        <f>IFERROR(__xludf.DUMMYFUNCTION("""COMPUTED_VALUE"""),7105.0)</f>
        <v>7105</v>
      </c>
      <c r="BG967" s="97" t="str">
        <f>IFERROR(__xludf.DUMMYFUNCTION("""COMPUTED_VALUE"""),"Discontinuo")</f>
        <v>Discontinuo</v>
      </c>
    </row>
    <row r="968">
      <c r="A968" s="97">
        <f>IFERROR(__xludf.DUMMYFUNCTION("""COMPUTED_VALUE"""),6754.0)</f>
        <v>6754</v>
      </c>
      <c r="B968" s="97" t="str">
        <f>IFERROR(__xludf.DUMMYFUNCTION("""COMPUTED_VALUE"""),"FRANKY 90")</f>
        <v>FRANKY 90</v>
      </c>
      <c r="C968" s="97" t="str">
        <f>IFERROR(__xludf.DUMMYFUNCTION("""COMPUTED_VALUE"""),"LUMINARIA DE EXTERIOR FRANKY 90 LEUK")</f>
        <v>LUMINARIA DE EXTERIOR FRANKY 90 LEUK</v>
      </c>
      <c r="D968" s="97">
        <f>IFERROR(__xludf.DUMMYFUNCTION("""COMPUTED_VALUE"""),7.798413222524E12)</f>
        <v>7798413222524</v>
      </c>
      <c r="E968" s="97" t="str">
        <f>IFERROR(__xludf.DUMMYFUNCTION("""COMPUTED_VALUE"""),"C17")</f>
        <v>C17</v>
      </c>
      <c r="F968" s="97" t="str">
        <f>IFERROR(__xludf.DUMMYFUNCTION("""COMPUTED_VALUE"""),"LED integrado")</f>
        <v>LED integrado</v>
      </c>
      <c r="G968" s="97" t="str">
        <f>IFERROR(__xludf.DUMMYFUNCTION("""COMPUTED_VALUE"""),"Bridgelux")</f>
        <v>Bridgelux</v>
      </c>
      <c r="H968" s="97" t="str">
        <f>IFERROR(__xludf.DUMMYFUNCTION("""COMPUTED_VALUE"""),"-")</f>
        <v>-</v>
      </c>
      <c r="I968" s="97"/>
      <c r="J968" s="97"/>
      <c r="K968" s="97" t="str">
        <f>IFERROR(__xludf.DUMMYFUNCTION("""COMPUTED_VALUE"""),"ON/OFF")</f>
        <v>ON/OFF</v>
      </c>
      <c r="L968" s="97" t="str">
        <f>IFERROR(__xludf.DUMMYFUNCTION("""COMPUTED_VALUE"""),"220-240")</f>
        <v>220-240</v>
      </c>
      <c r="M968" s="97" t="str">
        <f>IFERROR(__xludf.DUMMYFUNCTION("""COMPUTED_VALUE"""),"50/60")</f>
        <v>50/60</v>
      </c>
      <c r="N968" s="97"/>
      <c r="O968" s="97" t="str">
        <f>IFERROR(__xludf.DUMMYFUNCTION("""COMPUTED_VALUE"""),"3 x 5W")</f>
        <v>3 x 5W</v>
      </c>
      <c r="P968" s="97"/>
      <c r="Q968" s="97">
        <f>IFERROR(__xludf.DUMMYFUNCTION("""COMPUTED_VALUE"""),0.48)</f>
        <v>0.48</v>
      </c>
      <c r="R968" s="97" t="str">
        <f>IFERROR(__xludf.DUMMYFUNCTION("""COMPUTED_VALUE"""),"-")</f>
        <v>-</v>
      </c>
      <c r="S968" s="97" t="str">
        <f>IFERROR(__xludf.DUMMYFUNCTION("""COMPUTED_VALUE"""),"-")</f>
        <v>-</v>
      </c>
      <c r="T968" s="97">
        <f>IFERROR(__xludf.DUMMYFUNCTION("""COMPUTED_VALUE"""),920.0)</f>
        <v>920</v>
      </c>
      <c r="U968" s="99">
        <f>IFERROR(__xludf.DUMMYFUNCTION("""COMPUTED_VALUE"""),61.333333333333336)</f>
        <v>61.33333333</v>
      </c>
      <c r="V968" s="97">
        <f>IFERROR(__xludf.DUMMYFUNCTION("""COMPUTED_VALUE"""),200.0)</f>
        <v>200</v>
      </c>
      <c r="W968" s="97" t="str">
        <f>IFERROR(__xludf.DUMMYFUNCTION("""COMPUTED_VALUE"""),"&lt; 18")</f>
        <v>&lt; 18</v>
      </c>
      <c r="X968" s="97">
        <f>IFERROR(__xludf.DUMMYFUNCTION("""COMPUTED_VALUE"""),3000.0)</f>
        <v>3000</v>
      </c>
      <c r="Y968" s="97" t="str">
        <f>IFERROR(__xludf.DUMMYFUNCTION("""COMPUTED_VALUE"""),"&gt;80")</f>
        <v>&gt;80</v>
      </c>
      <c r="Z968" s="97" t="str">
        <f>IFERROR(__xludf.DUMMYFUNCTION("""COMPUTED_VALUE"""),"-")</f>
        <v>-</v>
      </c>
      <c r="AA968" s="97" t="str">
        <f>IFERROR(__xludf.DUMMYFUNCTION("""COMPUTED_VALUE"""),"-")</f>
        <v>-</v>
      </c>
      <c r="AB968" s="97"/>
      <c r="AC968" s="97"/>
      <c r="AD968" s="97" t="str">
        <f>IFERROR(__xludf.DUMMYFUNCTION("""COMPUTED_VALUE"""),"IP65")</f>
        <v>IP65</v>
      </c>
      <c r="AE968" s="97" t="str">
        <f>IFERROR(__xludf.DUMMYFUNCTION("""COMPUTED_VALUE"""),"Clase l")</f>
        <v>Clase l</v>
      </c>
      <c r="AF968" s="97" t="str">
        <f>IFERROR(__xludf.DUMMYFUNCTION("""COMPUTED_VALUE"""),"Anclaje de piso")</f>
        <v>Anclaje de piso</v>
      </c>
      <c r="AG968" s="97" t="str">
        <f>IFERROR(__xludf.DUMMYFUNCTION("""COMPUTED_VALUE"""),"Ø42 x 900 (Base Ø90)")</f>
        <v>Ø42 x 900 (Base Ø90)</v>
      </c>
      <c r="AH968" s="97" t="str">
        <f>IFERROR(__xludf.DUMMYFUNCTION("""COMPUTED_VALUE"""),"N/A")</f>
        <v>N/A</v>
      </c>
      <c r="AI968" s="97" t="str">
        <f>IFERROR(__xludf.DUMMYFUNCTION("""COMPUTED_VALUE"""),"N/A")</f>
        <v>N/A</v>
      </c>
      <c r="AJ968" s="97" t="str">
        <f>IFERROR(__xludf.DUMMYFUNCTION("""COMPUTED_VALUE"""),"Vidrio")</f>
        <v>Vidrio</v>
      </c>
      <c r="AK968" s="97" t="str">
        <f>IFERROR(__xludf.DUMMYFUNCTION("""COMPUTED_VALUE"""),"Aluminio")</f>
        <v>Aluminio</v>
      </c>
      <c r="AL968" s="97" t="str">
        <f>IFERROR(__xludf.DUMMYFUNCTION("""COMPUTED_VALUE"""),"Negro Satinado")</f>
        <v>Negro Satinado</v>
      </c>
      <c r="AM968" s="97"/>
      <c r="AN968" s="97" t="str">
        <f>IFERROR(__xludf.DUMMYFUNCTION("""COMPUTED_VALUE"""),"25.000hs (L70)")</f>
        <v>25.000hs (L70)</v>
      </c>
      <c r="AO968" s="97" t="str">
        <f>IFERROR(__xludf.DUMMYFUNCTION("""COMPUTED_VALUE"""),"2 Años")</f>
        <v>2 Años</v>
      </c>
      <c r="AP968" s="97" t="str">
        <f>IFERROR(__xludf.DUMMYFUNCTION("""COMPUTED_VALUE"""),"Falta")</f>
        <v>Falta</v>
      </c>
      <c r="AQ968" s="97" t="str">
        <f>IFERROR(__xludf.DUMMYFUNCTION("""COMPUTED_VALUE"""),"Falta")</f>
        <v>Falta</v>
      </c>
      <c r="AR968" s="97" t="str">
        <f>IFERROR(__xludf.DUMMYFUNCTION("""COMPUTED_VALUE"""),"Falta")</f>
        <v>Falta</v>
      </c>
      <c r="AS968" s="97" t="str">
        <f>IFERROR(__xludf.DUMMYFUNCTION("""COMPUTED_VALUE"""),"Falta")</f>
        <v>Falta</v>
      </c>
      <c r="AT968" s="97" t="str">
        <f>IFERROR(__xludf.DUMMYFUNCTION("""COMPUTED_VALUE"""),"Falta")</f>
        <v>Falta</v>
      </c>
      <c r="AU968" s="97" t="str">
        <f>IFERROR(__xludf.DUMMYFUNCTION("""COMPUTED_VALUE"""),"Falta")</f>
        <v>Falta</v>
      </c>
      <c r="AV968" s="97" t="str">
        <f>IFERROR(__xludf.DUMMYFUNCTION("""COMPUTED_VALUE"""),"Bolardo")</f>
        <v>Bolardo</v>
      </c>
      <c r="AW968" s="97" t="str">
        <f>IFERROR(__xludf.DUMMYFUNCTION("""COMPUTED_VALUE"""),"De Piso")</f>
        <v>De Piso</v>
      </c>
      <c r="AX968" s="97" t="str">
        <f>IFERROR(__xludf.DUMMYFUNCTION("""COMPUTED_VALUE"""),"Exterior")</f>
        <v>Exterior</v>
      </c>
      <c r="AY968" s="97"/>
      <c r="AZ968" s="97" t="str">
        <f>IFERROR(__xludf.DUMMYFUNCTION("""COMPUTED_VALUE"""),"Cuenta con módulos giratorios con sistema de fijación, que permiten orientar los haces de luz según necesidad.")</f>
        <v>Cuenta con módulos giratorios con sistema de fijación, que permiten orientar los haces de luz según necesidad.</v>
      </c>
      <c r="BA968" s="97">
        <f>IFERROR(__xludf.DUMMYFUNCTION("""COMPUTED_VALUE"""),10.0)</f>
        <v>10</v>
      </c>
      <c r="BB968" s="97"/>
      <c r="BC968" s="97"/>
      <c r="BD968" s="97" t="str">
        <f>IFERROR(__xludf.DUMMYFUNCTION("""COMPUTED_VALUE"""),"FRANKY")</f>
        <v>FRANKY</v>
      </c>
      <c r="BE968" s="97" t="str">
        <f>IFERROR(__xludf.DUMMYFUNCTION("""COMPUTED_VALUE"""),"Finalizada")</f>
        <v>Finalizada</v>
      </c>
      <c r="BF968" s="97">
        <f>IFERROR(__xludf.DUMMYFUNCTION("""COMPUTED_VALUE"""),7106.0)</f>
        <v>7106</v>
      </c>
      <c r="BG968" s="97" t="str">
        <f>IFERROR(__xludf.DUMMYFUNCTION("""COMPUTED_VALUE"""),"Discontinuo")</f>
        <v>Discontinuo</v>
      </c>
    </row>
    <row r="969">
      <c r="A969" s="97">
        <f>IFERROR(__xludf.DUMMYFUNCTION("""COMPUTED_VALUE"""),6755.0)</f>
        <v>6755</v>
      </c>
      <c r="B969" s="97" t="str">
        <f>IFERROR(__xludf.DUMMYFUNCTION("""COMPUTED_VALUE"""),"PIER F")</f>
        <v>PIER F</v>
      </c>
      <c r="C969" s="97" t="str">
        <f>IFERROR(__xludf.DUMMYFUNCTION("""COMPUTED_VALUE"""),"BOLARDO PIER F 10W 3000K 465LM CRI&gt;90 IP65 LEUK")</f>
        <v>BOLARDO PIER F 10W 3000K 465LM CRI&gt;90 IP65 LEUK</v>
      </c>
      <c r="D969" s="97">
        <f>IFERROR(__xludf.DUMMYFUNCTION("""COMPUTED_VALUE"""),7.798413222531E12)</f>
        <v>7798413222531</v>
      </c>
      <c r="E969" s="97" t="str">
        <f>IFERROR(__xludf.DUMMYFUNCTION("""COMPUTED_VALUE"""),"C41")</f>
        <v>C41</v>
      </c>
      <c r="F969" s="97" t="str">
        <f>IFERROR(__xludf.DUMMYFUNCTION("""COMPUTED_VALUE"""),"LED integrado")</f>
        <v>LED integrado</v>
      </c>
      <c r="G969" s="97" t="str">
        <f>IFERROR(__xludf.DUMMYFUNCTION("""COMPUTED_VALUE"""),"Bridgelux")</f>
        <v>Bridgelux</v>
      </c>
      <c r="H969" s="97" t="str">
        <f>IFERROR(__xludf.DUMMYFUNCTION("""COMPUTED_VALUE"""),"-")</f>
        <v>-</v>
      </c>
      <c r="I969" s="97"/>
      <c r="J969" s="97"/>
      <c r="K969" s="97" t="str">
        <f>IFERROR(__xludf.DUMMYFUNCTION("""COMPUTED_VALUE"""),"ON/OFF")</f>
        <v>ON/OFF</v>
      </c>
      <c r="L969" s="97" t="str">
        <f>IFERROR(__xludf.DUMMYFUNCTION("""COMPUTED_VALUE"""),"220-240")</f>
        <v>220-240</v>
      </c>
      <c r="M969" s="97" t="str">
        <f>IFERROR(__xludf.DUMMYFUNCTION("""COMPUTED_VALUE"""),"50/60")</f>
        <v>50/60</v>
      </c>
      <c r="N969" s="97"/>
      <c r="O969" s="97">
        <f>IFERROR(__xludf.DUMMYFUNCTION("""COMPUTED_VALUE"""),10.0)</f>
        <v>10</v>
      </c>
      <c r="P969" s="97"/>
      <c r="Q969" s="97">
        <f>IFERROR(__xludf.DUMMYFUNCTION("""COMPUTED_VALUE"""),0.47)</f>
        <v>0.47</v>
      </c>
      <c r="R969" s="97" t="str">
        <f>IFERROR(__xludf.DUMMYFUNCTION("""COMPUTED_VALUE"""),"-")</f>
        <v>-</v>
      </c>
      <c r="S969" s="97" t="str">
        <f>IFERROR(__xludf.DUMMYFUNCTION("""COMPUTED_VALUE"""),"-")</f>
        <v>-</v>
      </c>
      <c r="T969" s="97">
        <f>IFERROR(__xludf.DUMMYFUNCTION("""COMPUTED_VALUE"""),465.0)</f>
        <v>465</v>
      </c>
      <c r="U969" s="99">
        <f>IFERROR(__xludf.DUMMYFUNCTION("""COMPUTED_VALUE"""),46.5)</f>
        <v>46.5</v>
      </c>
      <c r="V969" s="97">
        <f>IFERROR(__xludf.DUMMYFUNCTION("""COMPUTED_VALUE"""),110.0)</f>
        <v>110</v>
      </c>
      <c r="W969" s="97" t="str">
        <f>IFERROR(__xludf.DUMMYFUNCTION("""COMPUTED_VALUE"""),"&lt; 20")</f>
        <v>&lt; 20</v>
      </c>
      <c r="X969" s="97">
        <f>IFERROR(__xludf.DUMMYFUNCTION("""COMPUTED_VALUE"""),3000.0)</f>
        <v>3000</v>
      </c>
      <c r="Y969" s="97" t="str">
        <f>IFERROR(__xludf.DUMMYFUNCTION("""COMPUTED_VALUE"""),"&gt;90")</f>
        <v>&gt;90</v>
      </c>
      <c r="Z969" s="97"/>
      <c r="AA969" s="97"/>
      <c r="AB969" s="97" t="str">
        <f>IFERROR(__xludf.DUMMYFUNCTION("""COMPUTED_VALUE"""),"&lt; 5")</f>
        <v>&lt; 5</v>
      </c>
      <c r="AC969" s="97"/>
      <c r="AD969" s="97" t="str">
        <f>IFERROR(__xludf.DUMMYFUNCTION("""COMPUTED_VALUE"""),"IP65")</f>
        <v>IP65</v>
      </c>
      <c r="AE969" s="97" t="str">
        <f>IFERROR(__xludf.DUMMYFUNCTION("""COMPUTED_VALUE"""),"Clase l")</f>
        <v>Clase l</v>
      </c>
      <c r="AF969" s="97" t="str">
        <f>IFERROR(__xludf.DUMMYFUNCTION("""COMPUTED_VALUE"""),"Anclaje de piso")</f>
        <v>Anclaje de piso</v>
      </c>
      <c r="AG969" s="97" t="str">
        <f>IFERROR(__xludf.DUMMYFUNCTION("""COMPUTED_VALUE"""),"50 x 50 x 600 (Base ⃞ 100)")</f>
        <v>50 x 50 x 600 (Base ⃞ 100)</v>
      </c>
      <c r="AH969" s="97" t="str">
        <f>IFERROR(__xludf.DUMMYFUNCTION("""COMPUTED_VALUE"""),"N/A")</f>
        <v>N/A</v>
      </c>
      <c r="AI969" s="97" t="str">
        <f>IFERROR(__xludf.DUMMYFUNCTION("""COMPUTED_VALUE"""),"N/A")</f>
        <v>N/A</v>
      </c>
      <c r="AJ969" s="97" t="str">
        <f>IFERROR(__xludf.DUMMYFUNCTION("""COMPUTED_VALUE"""),"PMMA")</f>
        <v>PMMA</v>
      </c>
      <c r="AK969" s="97" t="str">
        <f>IFERROR(__xludf.DUMMYFUNCTION("""COMPUTED_VALUE"""),"Aluminio")</f>
        <v>Aluminio</v>
      </c>
      <c r="AL969" s="97" t="str">
        <f>IFERROR(__xludf.DUMMYFUNCTION("""COMPUTED_VALUE"""),"Negro Satinado")</f>
        <v>Negro Satinado</v>
      </c>
      <c r="AM969" s="97" t="str">
        <f>IFERROR(__xludf.DUMMYFUNCTION("""COMPUTED_VALUE"""),"-")</f>
        <v>-</v>
      </c>
      <c r="AN969" s="97" t="str">
        <f>IFERROR(__xludf.DUMMYFUNCTION("""COMPUTED_VALUE"""),"25.000hs (L70)")</f>
        <v>25.000hs (L70)</v>
      </c>
      <c r="AO969" s="97" t="str">
        <f>IFERROR(__xludf.DUMMYFUNCTION("""COMPUTED_VALUE"""),"2 Años")</f>
        <v>2 Años</v>
      </c>
      <c r="AP969" s="97" t="str">
        <f>IFERROR(__xludf.DUMMYFUNCTION("""COMPUTED_VALUE"""),"Disponible")</f>
        <v>Disponible</v>
      </c>
      <c r="AQ969" s="97" t="str">
        <f>IFERROR(__xludf.DUMMYFUNCTION("""COMPUTED_VALUE"""),"Disponible")</f>
        <v>Disponible</v>
      </c>
      <c r="AR969" s="97" t="str">
        <f>IFERROR(__xludf.DUMMYFUNCTION("""COMPUTED_VALUE"""),"Disponible")</f>
        <v>Disponible</v>
      </c>
      <c r="AS969" s="97" t="str">
        <f>IFERROR(__xludf.DUMMYFUNCTION("""COMPUTED_VALUE"""),"Falta")</f>
        <v>Falta</v>
      </c>
      <c r="AT969" s="97" t="str">
        <f>IFERROR(__xludf.DUMMYFUNCTION("""COMPUTED_VALUE"""),"Falta")</f>
        <v>Falta</v>
      </c>
      <c r="AU969" s="97" t="str">
        <f>IFERROR(__xludf.DUMMYFUNCTION("""COMPUTED_VALUE"""),"Falta")</f>
        <v>Falta</v>
      </c>
      <c r="AV969" s="97" t="str">
        <f>IFERROR(__xludf.DUMMYFUNCTION("""COMPUTED_VALUE"""),"Bolardo")</f>
        <v>Bolardo</v>
      </c>
      <c r="AW969" s="97" t="str">
        <f>IFERROR(__xludf.DUMMYFUNCTION("""COMPUTED_VALUE"""),"De Piso")</f>
        <v>De Piso</v>
      </c>
      <c r="AX969" s="97" t="str">
        <f>IFERROR(__xludf.DUMMYFUNCTION("""COMPUTED_VALUE"""),"Exterior")</f>
        <v>Exterior</v>
      </c>
      <c r="AY969" s="97" t="str">
        <f>IFERROR(__xludf.DUMMYFUNCTION("""COMPUTED_VALUE"""),"-")</f>
        <v>-</v>
      </c>
      <c r="AZ969" s="97"/>
      <c r="BA969" s="97">
        <f>IFERROR(__xludf.DUMMYFUNCTION("""COMPUTED_VALUE"""),10.0)</f>
        <v>10</v>
      </c>
      <c r="BB969" s="97" t="str">
        <f>IFERROR(__xludf.DUMMYFUNCTION("""COMPUTED_VALUE"""),"-")</f>
        <v>-</v>
      </c>
      <c r="BC969" s="97" t="str">
        <f>IFERROR(__xludf.DUMMYFUNCTION("""COMPUTED_VALUE"""),"-")</f>
        <v>-</v>
      </c>
      <c r="BD969" s="97" t="str">
        <f>IFERROR(__xludf.DUMMYFUNCTION("""COMPUTED_VALUE"""),"PIER F")</f>
        <v>PIER F</v>
      </c>
      <c r="BE969" s="97" t="str">
        <f>IFERROR(__xludf.DUMMYFUNCTION("""COMPUTED_VALUE"""),"Actualizar")</f>
        <v>Actualizar</v>
      </c>
      <c r="BF969" s="97"/>
      <c r="BG969" s="97" t="str">
        <f>IFERROR(__xludf.DUMMYFUNCTION("""COMPUTED_VALUE"""),"Activo")</f>
        <v>Activo</v>
      </c>
    </row>
    <row r="970">
      <c r="A970" s="97">
        <f>IFERROR(__xludf.DUMMYFUNCTION("""COMPUTED_VALUE"""),6756.0)</f>
        <v>6756</v>
      </c>
      <c r="B970" s="97" t="str">
        <f>IFERROR(__xludf.DUMMYFUNCTION("""COMPUTED_VALUE"""),"MORGAN")</f>
        <v>MORGAN</v>
      </c>
      <c r="C970" s="97" t="str">
        <f>IFERROR(__xludf.DUMMYFUNCTION("""COMPUTED_VALUE"""),"BOLARDO MORGAN 12W 3000K 567LM CRI&gt;90 IP65 LEUK")</f>
        <v>BOLARDO MORGAN 12W 3000K 567LM CRI&gt;90 IP65 LEUK</v>
      </c>
      <c r="D970" s="97">
        <f>IFERROR(__xludf.DUMMYFUNCTION("""COMPUTED_VALUE"""),7.798413222548E12)</f>
        <v>7798413222548</v>
      </c>
      <c r="E970" s="97" t="str">
        <f>IFERROR(__xludf.DUMMYFUNCTION("""COMPUTED_VALUE"""),"C29")</f>
        <v>C29</v>
      </c>
      <c r="F970" s="97" t="str">
        <f>IFERROR(__xludf.DUMMYFUNCTION("""COMPUTED_VALUE"""),"LED integrado")</f>
        <v>LED integrado</v>
      </c>
      <c r="G970" s="97" t="str">
        <f>IFERROR(__xludf.DUMMYFUNCTION("""COMPUTED_VALUE"""),"Bridgelux")</f>
        <v>Bridgelux</v>
      </c>
      <c r="H970" s="97" t="str">
        <f>IFERROR(__xludf.DUMMYFUNCTION("""COMPUTED_VALUE"""),"-")</f>
        <v>-</v>
      </c>
      <c r="I970" s="97"/>
      <c r="J970" s="97"/>
      <c r="K970" s="97" t="str">
        <f>IFERROR(__xludf.DUMMYFUNCTION("""COMPUTED_VALUE"""),"ON/OFF")</f>
        <v>ON/OFF</v>
      </c>
      <c r="L970" s="97" t="str">
        <f>IFERROR(__xludf.DUMMYFUNCTION("""COMPUTED_VALUE"""),"220-240")</f>
        <v>220-240</v>
      </c>
      <c r="M970" s="97" t="str">
        <f>IFERROR(__xludf.DUMMYFUNCTION("""COMPUTED_VALUE"""),"50/60")</f>
        <v>50/60</v>
      </c>
      <c r="N970" s="97"/>
      <c r="O970" s="97">
        <f>IFERROR(__xludf.DUMMYFUNCTION("""COMPUTED_VALUE"""),12.0)</f>
        <v>12</v>
      </c>
      <c r="P970" s="97"/>
      <c r="Q970" s="97">
        <f>IFERROR(__xludf.DUMMYFUNCTION("""COMPUTED_VALUE"""),0.48)</f>
        <v>0.48</v>
      </c>
      <c r="R970" s="97" t="str">
        <f>IFERROR(__xludf.DUMMYFUNCTION("""COMPUTED_VALUE"""),"-")</f>
        <v>-</v>
      </c>
      <c r="S970" s="97" t="str">
        <f>IFERROR(__xludf.DUMMYFUNCTION("""COMPUTED_VALUE"""),"-")</f>
        <v>-</v>
      </c>
      <c r="T970" s="97">
        <f>IFERROR(__xludf.DUMMYFUNCTION("""COMPUTED_VALUE"""),567.0)</f>
        <v>567</v>
      </c>
      <c r="U970" s="99">
        <f>IFERROR(__xludf.DUMMYFUNCTION("""COMPUTED_VALUE"""),47.25)</f>
        <v>47.25</v>
      </c>
      <c r="V970" s="97">
        <f>IFERROR(__xludf.DUMMYFUNCTION("""COMPUTED_VALUE"""),133.0)</f>
        <v>133</v>
      </c>
      <c r="W970" s="97" t="str">
        <f>IFERROR(__xludf.DUMMYFUNCTION("""COMPUTED_VALUE"""),"&lt; 16")</f>
        <v>&lt; 16</v>
      </c>
      <c r="X970" s="97">
        <f>IFERROR(__xludf.DUMMYFUNCTION("""COMPUTED_VALUE"""),3000.0)</f>
        <v>3000</v>
      </c>
      <c r="Y970" s="97" t="str">
        <f>IFERROR(__xludf.DUMMYFUNCTION("""COMPUTED_VALUE"""),"&gt;90")</f>
        <v>&gt;90</v>
      </c>
      <c r="Z970" s="97"/>
      <c r="AA970" s="97"/>
      <c r="AB970" s="97" t="str">
        <f>IFERROR(__xludf.DUMMYFUNCTION("""COMPUTED_VALUE"""),"&lt; 4")</f>
        <v>&lt; 4</v>
      </c>
      <c r="AC970" s="97"/>
      <c r="AD970" s="97" t="str">
        <f>IFERROR(__xludf.DUMMYFUNCTION("""COMPUTED_VALUE"""),"IP65")</f>
        <v>IP65</v>
      </c>
      <c r="AE970" s="97" t="str">
        <f>IFERROR(__xludf.DUMMYFUNCTION("""COMPUTED_VALUE"""),"Clase l")</f>
        <v>Clase l</v>
      </c>
      <c r="AF970" s="97" t="str">
        <f>IFERROR(__xludf.DUMMYFUNCTION("""COMPUTED_VALUE"""),"Anclaje de piso")</f>
        <v>Anclaje de piso</v>
      </c>
      <c r="AG970" s="97" t="str">
        <f>IFERROR(__xludf.DUMMYFUNCTION("""COMPUTED_VALUE"""),"Ø150 x 600")</f>
        <v>Ø150 x 600</v>
      </c>
      <c r="AH970" s="97" t="str">
        <f>IFERROR(__xludf.DUMMYFUNCTION("""COMPUTED_VALUE"""),"N/A")</f>
        <v>N/A</v>
      </c>
      <c r="AI970" s="97" t="str">
        <f>IFERROR(__xludf.DUMMYFUNCTION("""COMPUTED_VALUE"""),"N/A")</f>
        <v>N/A</v>
      </c>
      <c r="AJ970" s="97" t="str">
        <f>IFERROR(__xludf.DUMMYFUNCTION("""COMPUTED_VALUE"""),"PMMA")</f>
        <v>PMMA</v>
      </c>
      <c r="AK970" s="97" t="str">
        <f>IFERROR(__xludf.DUMMYFUNCTION("""COMPUTED_VALUE"""),"Aluminio")</f>
        <v>Aluminio</v>
      </c>
      <c r="AL970" s="97" t="str">
        <f>IFERROR(__xludf.DUMMYFUNCTION("""COMPUTED_VALUE"""),"Negro Satinado")</f>
        <v>Negro Satinado</v>
      </c>
      <c r="AM970" s="97" t="str">
        <f>IFERROR(__xludf.DUMMYFUNCTION("""COMPUTED_VALUE"""),"-")</f>
        <v>-</v>
      </c>
      <c r="AN970" s="97" t="str">
        <f>IFERROR(__xludf.DUMMYFUNCTION("""COMPUTED_VALUE"""),"25.000hs (L70)")</f>
        <v>25.000hs (L70)</v>
      </c>
      <c r="AO970" s="97" t="str">
        <f>IFERROR(__xludf.DUMMYFUNCTION("""COMPUTED_VALUE"""),"2 Años")</f>
        <v>2 Años</v>
      </c>
      <c r="AP970" s="97" t="str">
        <f>IFERROR(__xludf.DUMMYFUNCTION("""COMPUTED_VALUE"""),"Disponible")</f>
        <v>Disponible</v>
      </c>
      <c r="AQ970" s="97" t="str">
        <f>IFERROR(__xludf.DUMMYFUNCTION("""COMPUTED_VALUE"""),"Disponible")</f>
        <v>Disponible</v>
      </c>
      <c r="AR970" s="97" t="str">
        <f>IFERROR(__xludf.DUMMYFUNCTION("""COMPUTED_VALUE"""),"Disponible")</f>
        <v>Disponible</v>
      </c>
      <c r="AS970" s="97" t="str">
        <f>IFERROR(__xludf.DUMMYFUNCTION("""COMPUTED_VALUE"""),"Falta")</f>
        <v>Falta</v>
      </c>
      <c r="AT970" s="97" t="str">
        <f>IFERROR(__xludf.DUMMYFUNCTION("""COMPUTED_VALUE"""),"Falta")</f>
        <v>Falta</v>
      </c>
      <c r="AU970" s="97" t="str">
        <f>IFERROR(__xludf.DUMMYFUNCTION("""COMPUTED_VALUE"""),"Falta")</f>
        <v>Falta</v>
      </c>
      <c r="AV970" s="97" t="str">
        <f>IFERROR(__xludf.DUMMYFUNCTION("""COMPUTED_VALUE"""),"Bolardo")</f>
        <v>Bolardo</v>
      </c>
      <c r="AW970" s="97" t="str">
        <f>IFERROR(__xludf.DUMMYFUNCTION("""COMPUTED_VALUE"""),"De Piso")</f>
        <v>De Piso</v>
      </c>
      <c r="AX970" s="97" t="str">
        <f>IFERROR(__xludf.DUMMYFUNCTION("""COMPUTED_VALUE"""),"Exterior")</f>
        <v>Exterior</v>
      </c>
      <c r="AY970" s="97" t="str">
        <f>IFERROR(__xludf.DUMMYFUNCTION("""COMPUTED_VALUE"""),"-")</f>
        <v>-</v>
      </c>
      <c r="AZ970" s="97"/>
      <c r="BA970" s="97">
        <f>IFERROR(__xludf.DUMMYFUNCTION("""COMPUTED_VALUE"""),10.0)</f>
        <v>10</v>
      </c>
      <c r="BB970" s="97" t="str">
        <f>IFERROR(__xludf.DUMMYFUNCTION("""COMPUTED_VALUE"""),"-")</f>
        <v>-</v>
      </c>
      <c r="BC970" s="97" t="str">
        <f>IFERROR(__xludf.DUMMYFUNCTION("""COMPUTED_VALUE"""),"-")</f>
        <v>-</v>
      </c>
      <c r="BD970" s="97" t="str">
        <f>IFERROR(__xludf.DUMMYFUNCTION("""COMPUTED_VALUE"""),"MORGAN")</f>
        <v>MORGAN</v>
      </c>
      <c r="BE970" s="97" t="str">
        <f>IFERROR(__xludf.DUMMYFUNCTION("""COMPUTED_VALUE"""),"Actualizar")</f>
        <v>Actualizar</v>
      </c>
      <c r="BF970" s="97"/>
      <c r="BG970" s="97" t="str">
        <f>IFERROR(__xludf.DUMMYFUNCTION("""COMPUTED_VALUE"""),"Activo")</f>
        <v>Activo</v>
      </c>
    </row>
    <row r="971">
      <c r="A971" s="97">
        <f>IFERROR(__xludf.DUMMYFUNCTION("""COMPUTED_VALUE"""),6757.0)</f>
        <v>6757</v>
      </c>
      <c r="B971" s="97" t="str">
        <f>IFERROR(__xludf.DUMMYFUNCTION("""COMPUTED_VALUE"""),"LEX")</f>
        <v>LEX</v>
      </c>
      <c r="C971" s="97" t="str">
        <f>IFERROR(__xludf.DUMMYFUNCTION("""COMPUTED_VALUE"""),"APLIQUE LEX 3W 3000K 185LM CRI&gt;90 IP65 LEUK")</f>
        <v>APLIQUE LEX 3W 3000K 185LM CRI&gt;90 IP65 LEUK</v>
      </c>
      <c r="D971" s="97">
        <f>IFERROR(__xludf.DUMMYFUNCTION("""COMPUTED_VALUE"""),7.798413222555E12)</f>
        <v>7798413222555</v>
      </c>
      <c r="E971" s="97" t="str">
        <f>IFERROR(__xludf.DUMMYFUNCTION("""COMPUTED_VALUE"""),"C144")</f>
        <v>C144</v>
      </c>
      <c r="F971" s="97" t="str">
        <f>IFERROR(__xludf.DUMMYFUNCTION("""COMPUTED_VALUE"""),"LED integrado")</f>
        <v>LED integrado</v>
      </c>
      <c r="G971" s="97" t="str">
        <f>IFERROR(__xludf.DUMMYFUNCTION("""COMPUTED_VALUE"""),"Bridgelux")</f>
        <v>Bridgelux</v>
      </c>
      <c r="H971" s="97" t="str">
        <f>IFERROR(__xludf.DUMMYFUNCTION("""COMPUTED_VALUE"""),"-")</f>
        <v>-</v>
      </c>
      <c r="I971" s="97"/>
      <c r="J971" s="97" t="str">
        <f>IFERROR(__xludf.DUMMYFUNCTION("""COMPUTED_VALUE"""),"Modelo: ZX(1-3)X1W
In: 85-265Vac 50/60Hz
Out: 3-10Vdc 250mA")</f>
        <v>Modelo: ZX(1-3)X1W
In: 85-265Vac 50/60Hz
Out: 3-10Vdc 250mA</v>
      </c>
      <c r="K971" s="97" t="str">
        <f>IFERROR(__xludf.DUMMYFUNCTION("""COMPUTED_VALUE"""),"ON/OFF")</f>
        <v>ON/OFF</v>
      </c>
      <c r="L971" s="97" t="str">
        <f>IFERROR(__xludf.DUMMYFUNCTION("""COMPUTED_VALUE"""),"220-240")</f>
        <v>220-240</v>
      </c>
      <c r="M971" s="97" t="str">
        <f>IFERROR(__xludf.DUMMYFUNCTION("""COMPUTED_VALUE"""),"50/60")</f>
        <v>50/60</v>
      </c>
      <c r="N971" s="97" t="str">
        <f>IFERROR(__xludf.DUMMYFUNCTION("""COMPUTED_VALUE"""),"Directa-Asimétrica")</f>
        <v>Directa-Asimétrica</v>
      </c>
      <c r="O971" s="97">
        <f>IFERROR(__xludf.DUMMYFUNCTION("""COMPUTED_VALUE"""),3.0)</f>
        <v>3</v>
      </c>
      <c r="P971" s="97"/>
      <c r="Q971" s="97">
        <f>IFERROR(__xludf.DUMMYFUNCTION("""COMPUTED_VALUE"""),0.5)</f>
        <v>0.5</v>
      </c>
      <c r="R971" s="97" t="str">
        <f>IFERROR(__xludf.DUMMYFUNCTION("""COMPUTED_VALUE"""),"-")</f>
        <v>-</v>
      </c>
      <c r="S971" s="97" t="str">
        <f>IFERROR(__xludf.DUMMYFUNCTION("""COMPUTED_VALUE"""),"-")</f>
        <v>-</v>
      </c>
      <c r="T971" s="97">
        <f>IFERROR(__xludf.DUMMYFUNCTION("""COMPUTED_VALUE"""),185.0)</f>
        <v>185</v>
      </c>
      <c r="U971" s="99">
        <f>IFERROR(__xludf.DUMMYFUNCTION("""COMPUTED_VALUE"""),61.666666666666664)</f>
        <v>61.66666667</v>
      </c>
      <c r="V971" s="97">
        <f>IFERROR(__xludf.DUMMYFUNCTION("""COMPUTED_VALUE"""),28.0)</f>
        <v>28</v>
      </c>
      <c r="W971" s="97" t="str">
        <f>IFERROR(__xludf.DUMMYFUNCTION("""COMPUTED_VALUE"""),"&lt; 16")</f>
        <v>&lt; 16</v>
      </c>
      <c r="X971" s="97">
        <f>IFERROR(__xludf.DUMMYFUNCTION("""COMPUTED_VALUE"""),3000.0)</f>
        <v>3000</v>
      </c>
      <c r="Y971" s="97" t="str">
        <f>IFERROR(__xludf.DUMMYFUNCTION("""COMPUTED_VALUE"""),"&gt;90")</f>
        <v>&gt;90</v>
      </c>
      <c r="Z971" s="97" t="str">
        <f>IFERROR(__xludf.DUMMYFUNCTION("""COMPUTED_VALUE"""),"-")</f>
        <v>-</v>
      </c>
      <c r="AA971" s="97" t="str">
        <f>IFERROR(__xludf.DUMMYFUNCTION("""COMPUTED_VALUE"""),"-")</f>
        <v>-</v>
      </c>
      <c r="AB971" s="97" t="str">
        <f>IFERROR(__xludf.DUMMYFUNCTION("""COMPUTED_VALUE"""),"&lt; 2")</f>
        <v>&lt; 2</v>
      </c>
      <c r="AC971" s="97">
        <f>IFERROR(__xludf.DUMMYFUNCTION("""COMPUTED_VALUE"""),-3.65E-4)</f>
        <v>-0.000365</v>
      </c>
      <c r="AD971" s="97" t="str">
        <f>IFERROR(__xludf.DUMMYFUNCTION("""COMPUTED_VALUE"""),"IP65")</f>
        <v>IP65</v>
      </c>
      <c r="AE971" s="97" t="str">
        <f>IFERROR(__xludf.DUMMYFUNCTION("""COMPUTED_VALUE"""),"Clase l")</f>
        <v>Clase l</v>
      </c>
      <c r="AF971" s="97" t="str">
        <f>IFERROR(__xludf.DUMMYFUNCTION("""COMPUTED_VALUE"""),"Anclaje de piso")</f>
        <v>Anclaje de piso</v>
      </c>
      <c r="AG971" s="97" t="str">
        <f>IFERROR(__xludf.DUMMYFUNCTION("""COMPUTED_VALUE"""),"Ø120 x 35")</f>
        <v>Ø120 x 35</v>
      </c>
      <c r="AH971" s="97" t="str">
        <f>IFERROR(__xludf.DUMMYFUNCTION("""COMPUTED_VALUE"""),"N/A")</f>
        <v>N/A</v>
      </c>
      <c r="AI971" s="97" t="str">
        <f>IFERROR(__xludf.DUMMYFUNCTION("""COMPUTED_VALUE"""),"N/A")</f>
        <v>N/A</v>
      </c>
      <c r="AJ971" s="97" t="str">
        <f>IFERROR(__xludf.DUMMYFUNCTION("""COMPUTED_VALUE"""),"Vidrio")</f>
        <v>Vidrio</v>
      </c>
      <c r="AK971" s="97" t="str">
        <f>IFERROR(__xludf.DUMMYFUNCTION("""COMPUTED_VALUE"""),"Aluminio")</f>
        <v>Aluminio</v>
      </c>
      <c r="AL971" s="97" t="str">
        <f>IFERROR(__xludf.DUMMYFUNCTION("""COMPUTED_VALUE"""),"Negro Satinado")</f>
        <v>Negro Satinado</v>
      </c>
      <c r="AM971" s="97" t="str">
        <f>IFERROR(__xludf.DUMMYFUNCTION("""COMPUTED_VALUE"""),"-")</f>
        <v>-</v>
      </c>
      <c r="AN971" s="97" t="str">
        <f>IFERROR(__xludf.DUMMYFUNCTION("""COMPUTED_VALUE"""),"25.000hs (L70)")</f>
        <v>25.000hs (L70)</v>
      </c>
      <c r="AO971" s="97" t="str">
        <f>IFERROR(__xludf.DUMMYFUNCTION("""COMPUTED_VALUE"""),"2 Años")</f>
        <v>2 Años</v>
      </c>
      <c r="AP971" s="97" t="str">
        <f>IFERROR(__xludf.DUMMYFUNCTION("""COMPUTED_VALUE"""),"Disponible")</f>
        <v>Disponible</v>
      </c>
      <c r="AQ971" s="97" t="str">
        <f>IFERROR(__xludf.DUMMYFUNCTION("""COMPUTED_VALUE"""),"Disponible")</f>
        <v>Disponible</v>
      </c>
      <c r="AR971" s="97" t="str">
        <f>IFERROR(__xludf.DUMMYFUNCTION("""COMPUTED_VALUE"""),"Disponible")</f>
        <v>Disponible</v>
      </c>
      <c r="AS971" s="97" t="str">
        <f>IFERROR(__xludf.DUMMYFUNCTION("""COMPUTED_VALUE"""),"Falta")</f>
        <v>Falta</v>
      </c>
      <c r="AT971" s="97" t="str">
        <f>IFERROR(__xludf.DUMMYFUNCTION("""COMPUTED_VALUE"""),"Falta")</f>
        <v>Falta</v>
      </c>
      <c r="AU971" s="97" t="str">
        <f>IFERROR(__xludf.DUMMYFUNCTION("""COMPUTED_VALUE"""),"Falta")</f>
        <v>Falta</v>
      </c>
      <c r="AV971" s="97" t="str">
        <f>IFERROR(__xludf.DUMMYFUNCTION("""COMPUTED_VALUE"""),"Aplique")</f>
        <v>Aplique</v>
      </c>
      <c r="AW971" s="97" t="str">
        <f>IFERROR(__xludf.DUMMYFUNCTION("""COMPUTED_VALUE"""),"De Piso")</f>
        <v>De Piso</v>
      </c>
      <c r="AX971" s="97" t="str">
        <f>IFERROR(__xludf.DUMMYFUNCTION("""COMPUTED_VALUE"""),"Exterior")</f>
        <v>Exterior</v>
      </c>
      <c r="AY971" s="97" t="str">
        <f>IFERROR(__xludf.DUMMYFUNCTION("""COMPUTED_VALUE"""),"-")</f>
        <v>-</v>
      </c>
      <c r="AZ971" s="97"/>
      <c r="BA971" s="97">
        <f>IFERROR(__xludf.DUMMYFUNCTION("""COMPUTED_VALUE"""),20.0)</f>
        <v>20</v>
      </c>
      <c r="BB971" s="97" t="str">
        <f>IFERROR(__xludf.DUMMYFUNCTION("""COMPUTED_VALUE"""),"-")</f>
        <v>-</v>
      </c>
      <c r="BC971" s="97" t="str">
        <f>IFERROR(__xludf.DUMMYFUNCTION("""COMPUTED_VALUE"""),"-")</f>
        <v>-</v>
      </c>
      <c r="BD971" s="97" t="str">
        <f>IFERROR(__xludf.DUMMYFUNCTION("""COMPUTED_VALUE"""),"LEX")</f>
        <v>LEX</v>
      </c>
      <c r="BE971" s="97" t="str">
        <f>IFERROR(__xludf.DUMMYFUNCTION("""COMPUTED_VALUE"""),"Actualizar")</f>
        <v>Actualizar</v>
      </c>
      <c r="BF971" s="97"/>
      <c r="BG971" s="97" t="str">
        <f>IFERROR(__xludf.DUMMYFUNCTION("""COMPUTED_VALUE"""),"Activo")</f>
        <v>Activo</v>
      </c>
    </row>
    <row r="972">
      <c r="A972" s="97">
        <f>IFERROR(__xludf.DUMMYFUNCTION("""COMPUTED_VALUE"""),6758.0)</f>
        <v>6758</v>
      </c>
      <c r="B972" s="97" t="str">
        <f>IFERROR(__xludf.DUMMYFUNCTION("""COMPUTED_VALUE"""),"ELON")</f>
        <v>ELON</v>
      </c>
      <c r="C972" s="97" t="str">
        <f>IFERROR(__xludf.DUMMYFUNCTION("""COMPUTED_VALUE"""),"EMPOTRABLE ELON 3W 3000K 7LM CRI&gt;90 IP65 LEUK")</f>
        <v>EMPOTRABLE ELON 3W 3000K 7LM CRI&gt;90 IP65 LEUK</v>
      </c>
      <c r="D972" s="97">
        <f>IFERROR(__xludf.DUMMYFUNCTION("""COMPUTED_VALUE"""),7.798413222562E12)</f>
        <v>7798413222562</v>
      </c>
      <c r="E972" s="97" t="str">
        <f>IFERROR(__xludf.DUMMYFUNCTION("""COMPUTED_VALUE"""),"C143")</f>
        <v>C143</v>
      </c>
      <c r="F972" s="97" t="str">
        <f>IFERROR(__xludf.DUMMYFUNCTION("""COMPUTED_VALUE"""),"LED integrado")</f>
        <v>LED integrado</v>
      </c>
      <c r="G972" s="97" t="str">
        <f>IFERROR(__xludf.DUMMYFUNCTION("""COMPUTED_VALUE"""),"Bridgelux")</f>
        <v>Bridgelux</v>
      </c>
      <c r="H972" s="97" t="str">
        <f>IFERROR(__xludf.DUMMYFUNCTION("""COMPUTED_VALUE"""),"-")</f>
        <v>-</v>
      </c>
      <c r="I972" s="97"/>
      <c r="J972" s="97" t="str">
        <f>IFERROR(__xludf.DUMMYFUNCTION("""COMPUTED_VALUE"""),"Driver integrado")</f>
        <v>Driver integrado</v>
      </c>
      <c r="K972" s="97" t="str">
        <f>IFERROR(__xludf.DUMMYFUNCTION("""COMPUTED_VALUE"""),"ON/OFF")</f>
        <v>ON/OFF</v>
      </c>
      <c r="L972" s="97" t="str">
        <f>IFERROR(__xludf.DUMMYFUNCTION("""COMPUTED_VALUE"""),"220-240")</f>
        <v>220-240</v>
      </c>
      <c r="M972" s="97" t="str">
        <f>IFERROR(__xludf.DUMMYFUNCTION("""COMPUTED_VALUE"""),"50/60")</f>
        <v>50/60</v>
      </c>
      <c r="N972" s="97"/>
      <c r="O972" s="97">
        <f>IFERROR(__xludf.DUMMYFUNCTION("""COMPUTED_VALUE"""),3.0)</f>
        <v>3</v>
      </c>
      <c r="P972" s="97"/>
      <c r="Q972" s="97" t="str">
        <f>IFERROR(__xludf.DUMMYFUNCTION("""COMPUTED_VALUE"""),"0.9")</f>
        <v>0.9</v>
      </c>
      <c r="R972" s="97" t="str">
        <f>IFERROR(__xludf.DUMMYFUNCTION("""COMPUTED_VALUE"""),"-")</f>
        <v>-</v>
      </c>
      <c r="S972" s="97" t="str">
        <f>IFERROR(__xludf.DUMMYFUNCTION("""COMPUTED_VALUE"""),"-")</f>
        <v>-</v>
      </c>
      <c r="T972" s="97">
        <f>IFERROR(__xludf.DUMMYFUNCTION("""COMPUTED_VALUE"""),7.0)</f>
        <v>7</v>
      </c>
      <c r="U972" s="99">
        <f>IFERROR(__xludf.DUMMYFUNCTION("""COMPUTED_VALUE"""),2.3333333333333335)</f>
        <v>2.333333333</v>
      </c>
      <c r="V972" s="97">
        <f>IFERROR(__xludf.DUMMYFUNCTION("""COMPUTED_VALUE"""),187.0)</f>
        <v>187</v>
      </c>
      <c r="W972" s="97" t="str">
        <f>IFERROR(__xludf.DUMMYFUNCTION("""COMPUTED_VALUE"""),"&lt; 14")</f>
        <v>&lt; 14</v>
      </c>
      <c r="X972" s="97">
        <f>IFERROR(__xludf.DUMMYFUNCTION("""COMPUTED_VALUE"""),3000.0)</f>
        <v>3000</v>
      </c>
      <c r="Y972" s="97" t="str">
        <f>IFERROR(__xludf.DUMMYFUNCTION("""COMPUTED_VALUE"""),"&gt;90")</f>
        <v>&gt;90</v>
      </c>
      <c r="Z972" s="97"/>
      <c r="AA972" s="97"/>
      <c r="AB972" s="97" t="str">
        <f>IFERROR(__xludf.DUMMYFUNCTION("""COMPUTED_VALUE"""),"&lt; 4")</f>
        <v>&lt; 4</v>
      </c>
      <c r="AC972" s="97"/>
      <c r="AD972" s="97" t="str">
        <f>IFERROR(__xludf.DUMMYFUNCTION("""COMPUTED_VALUE"""),"IP65")</f>
        <v>IP65</v>
      </c>
      <c r="AE972" s="97" t="str">
        <f>IFERROR(__xludf.DUMMYFUNCTION("""COMPUTED_VALUE"""),"Clase l")</f>
        <v>Clase l</v>
      </c>
      <c r="AF972" s="97" t="str">
        <f>IFERROR(__xludf.DUMMYFUNCTION("""COMPUTED_VALUE"""),"Embutir")</f>
        <v>Embutir</v>
      </c>
      <c r="AG972" s="97" t="str">
        <f>IFERROR(__xludf.DUMMYFUNCTION("""COMPUTED_VALUE"""),"Ø64 x 80")</f>
        <v>Ø64 x 80</v>
      </c>
      <c r="AH972" s="97" t="str">
        <f>IFERROR(__xludf.DUMMYFUNCTION("""COMPUTED_VALUE"""),"Ø52")</f>
        <v>Ø52</v>
      </c>
      <c r="AI972" s="97">
        <f>IFERROR(__xludf.DUMMYFUNCTION("""COMPUTED_VALUE"""),82.0)</f>
        <v>82</v>
      </c>
      <c r="AJ972" s="97" t="str">
        <f>IFERROR(__xludf.DUMMYFUNCTION("""COMPUTED_VALUE"""),"PMMA")</f>
        <v>PMMA</v>
      </c>
      <c r="AK972" s="97" t="str">
        <f>IFERROR(__xludf.DUMMYFUNCTION("""COMPUTED_VALUE"""),"Aluminio")</f>
        <v>Aluminio</v>
      </c>
      <c r="AL972" s="97" t="str">
        <f>IFERROR(__xludf.DUMMYFUNCTION("""COMPUTED_VALUE"""),"Negro Satinado")</f>
        <v>Negro Satinado</v>
      </c>
      <c r="AM972" s="97" t="str">
        <f>IFERROR(__xludf.DUMMYFUNCTION("""COMPUTED_VALUE"""),"-")</f>
        <v>-</v>
      </c>
      <c r="AN972" s="97" t="str">
        <f>IFERROR(__xludf.DUMMYFUNCTION("""COMPUTED_VALUE"""),"25.000hs (L70)")</f>
        <v>25.000hs (L70)</v>
      </c>
      <c r="AO972" s="97" t="str">
        <f>IFERROR(__xludf.DUMMYFUNCTION("""COMPUTED_VALUE"""),"2 Años")</f>
        <v>2 Años</v>
      </c>
      <c r="AP972" s="97" t="str">
        <f>IFERROR(__xludf.DUMMYFUNCTION("""COMPUTED_VALUE"""),"Disponible")</f>
        <v>Disponible</v>
      </c>
      <c r="AQ972" s="97" t="str">
        <f>IFERROR(__xludf.DUMMYFUNCTION("""COMPUTED_VALUE"""),"Disponible")</f>
        <v>Disponible</v>
      </c>
      <c r="AR972" s="97" t="str">
        <f>IFERROR(__xludf.DUMMYFUNCTION("""COMPUTED_VALUE"""),"Disponible")</f>
        <v>Disponible</v>
      </c>
      <c r="AS972" s="97" t="str">
        <f>IFERROR(__xludf.DUMMYFUNCTION("""COMPUTED_VALUE"""),"Falta")</f>
        <v>Falta</v>
      </c>
      <c r="AT972" s="97" t="str">
        <f>IFERROR(__xludf.DUMMYFUNCTION("""COMPUTED_VALUE"""),"Falta")</f>
        <v>Falta</v>
      </c>
      <c r="AU972" s="97" t="str">
        <f>IFERROR(__xludf.DUMMYFUNCTION("""COMPUTED_VALUE"""),"Falta")</f>
        <v>Falta</v>
      </c>
      <c r="AV972" s="97" t="str">
        <f>IFERROR(__xludf.DUMMYFUNCTION("""COMPUTED_VALUE"""),"Empotrable")</f>
        <v>Empotrable</v>
      </c>
      <c r="AW972" s="97" t="str">
        <f>IFERROR(__xludf.DUMMYFUNCTION("""COMPUTED_VALUE"""),"De Piso")</f>
        <v>De Piso</v>
      </c>
      <c r="AX972" s="97" t="str">
        <f>IFERROR(__xludf.DUMMYFUNCTION("""COMPUTED_VALUE"""),"Exterior")</f>
        <v>Exterior</v>
      </c>
      <c r="AY972" s="97" t="str">
        <f>IFERROR(__xludf.DUMMYFUNCTION("""COMPUTED_VALUE"""),"-")</f>
        <v>-</v>
      </c>
      <c r="AZ972" s="97"/>
      <c r="BA972" s="97">
        <f>IFERROR(__xludf.DUMMYFUNCTION("""COMPUTED_VALUE"""),20.0)</f>
        <v>20</v>
      </c>
      <c r="BB972" s="97" t="str">
        <f>IFERROR(__xludf.DUMMYFUNCTION("""COMPUTED_VALUE"""),"-")</f>
        <v>-</v>
      </c>
      <c r="BC972" s="97" t="str">
        <f>IFERROR(__xludf.DUMMYFUNCTION("""COMPUTED_VALUE"""),"-")</f>
        <v>-</v>
      </c>
      <c r="BD972" s="97" t="str">
        <f>IFERROR(__xludf.DUMMYFUNCTION("""COMPUTED_VALUE"""),"ELON")</f>
        <v>ELON</v>
      </c>
      <c r="BE972" s="97" t="str">
        <f>IFERROR(__xludf.DUMMYFUNCTION("""COMPUTED_VALUE"""),"Actualizar")</f>
        <v>Actualizar</v>
      </c>
      <c r="BF972" s="97"/>
      <c r="BG972" s="97" t="str">
        <f>IFERROR(__xludf.DUMMYFUNCTION("""COMPUTED_VALUE"""),"Activo")</f>
        <v>Activo</v>
      </c>
    </row>
    <row r="973">
      <c r="A973" s="97">
        <f>IFERROR(__xludf.DUMMYFUNCTION("""COMPUTED_VALUE"""),6759.0)</f>
        <v>6759</v>
      </c>
      <c r="B973" s="97" t="str">
        <f>IFERROR(__xludf.DUMMYFUNCTION("""COMPUTED_VALUE"""),"KIM I")</f>
        <v>KIM I</v>
      </c>
      <c r="C973" s="97" t="str">
        <f>IFERROR(__xludf.DUMMYFUNCTION("""COMPUTED_VALUE"""),"EMPOTRABLE KIM I 3W 3000K 13LM CRI&gt;90 IP65 LEUK")</f>
        <v>EMPOTRABLE KIM I 3W 3000K 13LM CRI&gt;90 IP65 LEUK</v>
      </c>
      <c r="D973" s="97">
        <f>IFERROR(__xludf.DUMMYFUNCTION("""COMPUTED_VALUE"""),7.798413222579E12)</f>
        <v>7798413222579</v>
      </c>
      <c r="E973" s="97" t="str">
        <f>IFERROR(__xludf.DUMMYFUNCTION("""COMPUTED_VALUE"""),"C142")</f>
        <v>C142</v>
      </c>
      <c r="F973" s="97" t="str">
        <f>IFERROR(__xludf.DUMMYFUNCTION("""COMPUTED_VALUE"""),"LED integrado")</f>
        <v>LED integrado</v>
      </c>
      <c r="G973" s="97" t="str">
        <f>IFERROR(__xludf.DUMMYFUNCTION("""COMPUTED_VALUE"""),"Bridgelux")</f>
        <v>Bridgelux</v>
      </c>
      <c r="H973" s="97" t="str">
        <f>IFERROR(__xludf.DUMMYFUNCTION("""COMPUTED_VALUE"""),"-")</f>
        <v>-</v>
      </c>
      <c r="I973" s="97"/>
      <c r="J973" s="97"/>
      <c r="K973" s="97" t="str">
        <f>IFERROR(__xludf.DUMMYFUNCTION("""COMPUTED_VALUE"""),"ON/OFF")</f>
        <v>ON/OFF</v>
      </c>
      <c r="L973" s="97" t="str">
        <f>IFERROR(__xludf.DUMMYFUNCTION("""COMPUTED_VALUE"""),"220-240")</f>
        <v>220-240</v>
      </c>
      <c r="M973" s="97" t="str">
        <f>IFERROR(__xludf.DUMMYFUNCTION("""COMPUTED_VALUE"""),"50/60")</f>
        <v>50/60</v>
      </c>
      <c r="N973" s="97"/>
      <c r="O973" s="97">
        <f>IFERROR(__xludf.DUMMYFUNCTION("""COMPUTED_VALUE"""),3.0)</f>
        <v>3</v>
      </c>
      <c r="P973" s="97"/>
      <c r="Q973" s="97">
        <f>IFERROR(__xludf.DUMMYFUNCTION("""COMPUTED_VALUE"""),0.9)</f>
        <v>0.9</v>
      </c>
      <c r="R973" s="97" t="str">
        <f>IFERROR(__xludf.DUMMYFUNCTION("""COMPUTED_VALUE"""),"-")</f>
        <v>-</v>
      </c>
      <c r="S973" s="97" t="str">
        <f>IFERROR(__xludf.DUMMYFUNCTION("""COMPUTED_VALUE"""),"-")</f>
        <v>-</v>
      </c>
      <c r="T973" s="97">
        <f>IFERROR(__xludf.DUMMYFUNCTION("""COMPUTED_VALUE"""),13.0)</f>
        <v>13</v>
      </c>
      <c r="U973" s="99">
        <f>IFERROR(__xludf.DUMMYFUNCTION("""COMPUTED_VALUE"""),4.333333333333333)</f>
        <v>4.333333333</v>
      </c>
      <c r="V973" s="97">
        <f>IFERROR(__xludf.DUMMYFUNCTION("""COMPUTED_VALUE"""),35.0)</f>
        <v>35</v>
      </c>
      <c r="W973" s="97" t="str">
        <f>IFERROR(__xludf.DUMMYFUNCTION("""COMPUTED_VALUE"""),"&lt; 14")</f>
        <v>&lt; 14</v>
      </c>
      <c r="X973" s="97">
        <f>IFERROR(__xludf.DUMMYFUNCTION("""COMPUTED_VALUE"""),3000.0)</f>
        <v>3000</v>
      </c>
      <c r="Y973" s="97" t="str">
        <f>IFERROR(__xludf.DUMMYFUNCTION("""COMPUTED_VALUE"""),"&gt;90")</f>
        <v>&gt;90</v>
      </c>
      <c r="Z973" s="97"/>
      <c r="AA973" s="97"/>
      <c r="AB973" s="97" t="str">
        <f>IFERROR(__xludf.DUMMYFUNCTION("""COMPUTED_VALUE"""),"&lt; 3")</f>
        <v>&lt; 3</v>
      </c>
      <c r="AC973" s="97"/>
      <c r="AD973" s="97" t="str">
        <f>IFERROR(__xludf.DUMMYFUNCTION("""COMPUTED_VALUE"""),"IP65")</f>
        <v>IP65</v>
      </c>
      <c r="AE973" s="97" t="str">
        <f>IFERROR(__xludf.DUMMYFUNCTION("""COMPUTED_VALUE"""),"Clase l")</f>
        <v>Clase l</v>
      </c>
      <c r="AF973" s="97" t="str">
        <f>IFERROR(__xludf.DUMMYFUNCTION("""COMPUTED_VALUE"""),"Embutir")</f>
        <v>Embutir</v>
      </c>
      <c r="AG973" s="97" t="str">
        <f>IFERROR(__xludf.DUMMYFUNCTION("""COMPUTED_VALUE"""),"Ø50 x 76")</f>
        <v>Ø50 x 76</v>
      </c>
      <c r="AH973" s="97" t="str">
        <f>IFERROR(__xludf.DUMMYFUNCTION("""COMPUTED_VALUE"""),"Ø40")</f>
        <v>Ø40</v>
      </c>
      <c r="AI973" s="97">
        <f>IFERROR(__xludf.DUMMYFUNCTION("""COMPUTED_VALUE"""),75.0)</f>
        <v>75</v>
      </c>
      <c r="AJ973" s="97" t="str">
        <f>IFERROR(__xludf.DUMMYFUNCTION("""COMPUTED_VALUE"""),"Vidrio")</f>
        <v>Vidrio</v>
      </c>
      <c r="AK973" s="97" t="str">
        <f>IFERROR(__xludf.DUMMYFUNCTION("""COMPUTED_VALUE"""),"Aluminio")</f>
        <v>Aluminio</v>
      </c>
      <c r="AL973" s="97" t="str">
        <f>IFERROR(__xludf.DUMMYFUNCTION("""COMPUTED_VALUE"""),"Negro Satinado")</f>
        <v>Negro Satinado</v>
      </c>
      <c r="AM973" s="97" t="str">
        <f>IFERROR(__xludf.DUMMYFUNCTION("""COMPUTED_VALUE"""),"-")</f>
        <v>-</v>
      </c>
      <c r="AN973" s="97" t="str">
        <f>IFERROR(__xludf.DUMMYFUNCTION("""COMPUTED_VALUE"""),"25.000hs (L70)")</f>
        <v>25.000hs (L70)</v>
      </c>
      <c r="AO973" s="97" t="str">
        <f>IFERROR(__xludf.DUMMYFUNCTION("""COMPUTED_VALUE"""),"2 Años")</f>
        <v>2 Años</v>
      </c>
      <c r="AP973" s="97" t="str">
        <f>IFERROR(__xludf.DUMMYFUNCTION("""COMPUTED_VALUE"""),"Disponible")</f>
        <v>Disponible</v>
      </c>
      <c r="AQ973" s="97" t="str">
        <f>IFERROR(__xludf.DUMMYFUNCTION("""COMPUTED_VALUE"""),"Disponible")</f>
        <v>Disponible</v>
      </c>
      <c r="AR973" s="97" t="str">
        <f>IFERROR(__xludf.DUMMYFUNCTION("""COMPUTED_VALUE"""),"Disponible")</f>
        <v>Disponible</v>
      </c>
      <c r="AS973" s="97" t="str">
        <f>IFERROR(__xludf.DUMMYFUNCTION("""COMPUTED_VALUE"""),"Falta")</f>
        <v>Falta</v>
      </c>
      <c r="AT973" s="97" t="str">
        <f>IFERROR(__xludf.DUMMYFUNCTION("""COMPUTED_VALUE"""),"Falta")</f>
        <v>Falta</v>
      </c>
      <c r="AU973" s="97" t="str">
        <f>IFERROR(__xludf.DUMMYFUNCTION("""COMPUTED_VALUE"""),"Falta")</f>
        <v>Falta</v>
      </c>
      <c r="AV973" s="97" t="str">
        <f>IFERROR(__xludf.DUMMYFUNCTION("""COMPUTED_VALUE"""),"Empotrable")</f>
        <v>Empotrable</v>
      </c>
      <c r="AW973" s="97" t="str">
        <f>IFERROR(__xludf.DUMMYFUNCTION("""COMPUTED_VALUE"""),"De Piso")</f>
        <v>De Piso</v>
      </c>
      <c r="AX973" s="97" t="str">
        <f>IFERROR(__xludf.DUMMYFUNCTION("""COMPUTED_VALUE"""),"Exterior")</f>
        <v>Exterior</v>
      </c>
      <c r="AY973" s="97" t="str">
        <f>IFERROR(__xludf.DUMMYFUNCTION("""COMPUTED_VALUE"""),"-")</f>
        <v>-</v>
      </c>
      <c r="AZ973" s="97"/>
      <c r="BA973" s="97">
        <f>IFERROR(__xludf.DUMMYFUNCTION("""COMPUTED_VALUE"""),30.0)</f>
        <v>30</v>
      </c>
      <c r="BB973" s="97" t="str">
        <f>IFERROR(__xludf.DUMMYFUNCTION("""COMPUTED_VALUE"""),"-")</f>
        <v>-</v>
      </c>
      <c r="BC973" s="97" t="str">
        <f>IFERROR(__xludf.DUMMYFUNCTION("""COMPUTED_VALUE"""),"-")</f>
        <v>-</v>
      </c>
      <c r="BD973" s="97" t="str">
        <f>IFERROR(__xludf.DUMMYFUNCTION("""COMPUTED_VALUE"""),"KIM")</f>
        <v>KIM</v>
      </c>
      <c r="BE973" s="97" t="str">
        <f>IFERROR(__xludf.DUMMYFUNCTION("""COMPUTED_VALUE"""),"Actualizar")</f>
        <v>Actualizar</v>
      </c>
      <c r="BF973" s="97"/>
      <c r="BG973" s="97" t="str">
        <f>IFERROR(__xludf.DUMMYFUNCTION("""COMPUTED_VALUE"""),"Activo")</f>
        <v>Activo</v>
      </c>
    </row>
    <row r="974">
      <c r="A974" s="97">
        <f>IFERROR(__xludf.DUMMYFUNCTION("""COMPUTED_VALUE"""),6760.0)</f>
        <v>6760</v>
      </c>
      <c r="B974" s="97" t="str">
        <f>IFERROR(__xludf.DUMMYFUNCTION("""COMPUTED_VALUE"""),"KIM II")</f>
        <v>KIM II</v>
      </c>
      <c r="C974" s="97" t="str">
        <f>IFERROR(__xludf.DUMMYFUNCTION("""COMPUTED_VALUE"""),"EMPOTRABLE KIM II 3W 3000K 24LM CRI&gt;90 IP65 LEUK")</f>
        <v>EMPOTRABLE KIM II 3W 3000K 24LM CRI&gt;90 IP65 LEUK</v>
      </c>
      <c r="D974" s="97">
        <f>IFERROR(__xludf.DUMMYFUNCTION("""COMPUTED_VALUE"""),7.798413222586E12)</f>
        <v>7798413222586</v>
      </c>
      <c r="E974" s="97" t="str">
        <f>IFERROR(__xludf.DUMMYFUNCTION("""COMPUTED_VALUE"""),"C141")</f>
        <v>C141</v>
      </c>
      <c r="F974" s="97" t="str">
        <f>IFERROR(__xludf.DUMMYFUNCTION("""COMPUTED_VALUE"""),"LED integrado")</f>
        <v>LED integrado</v>
      </c>
      <c r="G974" s="97" t="str">
        <f>IFERROR(__xludf.DUMMYFUNCTION("""COMPUTED_VALUE"""),"Bridgelux")</f>
        <v>Bridgelux</v>
      </c>
      <c r="H974" s="97" t="str">
        <f>IFERROR(__xludf.DUMMYFUNCTION("""COMPUTED_VALUE"""),"-")</f>
        <v>-</v>
      </c>
      <c r="I974" s="97"/>
      <c r="J974" s="97"/>
      <c r="K974" s="97" t="str">
        <f>IFERROR(__xludf.DUMMYFUNCTION("""COMPUTED_VALUE"""),"ON/OFF")</f>
        <v>ON/OFF</v>
      </c>
      <c r="L974" s="97" t="str">
        <f>IFERROR(__xludf.DUMMYFUNCTION("""COMPUTED_VALUE"""),"220-240")</f>
        <v>220-240</v>
      </c>
      <c r="M974" s="97" t="str">
        <f>IFERROR(__xludf.DUMMYFUNCTION("""COMPUTED_VALUE"""),"50/60")</f>
        <v>50/60</v>
      </c>
      <c r="N974" s="97"/>
      <c r="O974" s="97">
        <f>IFERROR(__xludf.DUMMYFUNCTION("""COMPUTED_VALUE"""),3.0)</f>
        <v>3</v>
      </c>
      <c r="P974" s="97"/>
      <c r="Q974" s="97">
        <f>IFERROR(__xludf.DUMMYFUNCTION("""COMPUTED_VALUE"""),0.9)</f>
        <v>0.9</v>
      </c>
      <c r="R974" s="97" t="str">
        <f>IFERROR(__xludf.DUMMYFUNCTION("""COMPUTED_VALUE"""),"-")</f>
        <v>-</v>
      </c>
      <c r="S974" s="97" t="str">
        <f>IFERROR(__xludf.DUMMYFUNCTION("""COMPUTED_VALUE"""),"-")</f>
        <v>-</v>
      </c>
      <c r="T974" s="97">
        <f>IFERROR(__xludf.DUMMYFUNCTION("""COMPUTED_VALUE"""),24.0)</f>
        <v>24</v>
      </c>
      <c r="U974" s="99">
        <f>IFERROR(__xludf.DUMMYFUNCTION("""COMPUTED_VALUE"""),8.0)</f>
        <v>8</v>
      </c>
      <c r="V974" s="97">
        <f>IFERROR(__xludf.DUMMYFUNCTION("""COMPUTED_VALUE"""),225.0)</f>
        <v>225</v>
      </c>
      <c r="W974" s="97" t="str">
        <f>IFERROR(__xludf.DUMMYFUNCTION("""COMPUTED_VALUE"""),"&lt; 14")</f>
        <v>&lt; 14</v>
      </c>
      <c r="X974" s="97">
        <f>IFERROR(__xludf.DUMMYFUNCTION("""COMPUTED_VALUE"""),3000.0)</f>
        <v>3000</v>
      </c>
      <c r="Y974" s="97" t="str">
        <f>IFERROR(__xludf.DUMMYFUNCTION("""COMPUTED_VALUE"""),"&gt;90")</f>
        <v>&gt;90</v>
      </c>
      <c r="Z974" s="97"/>
      <c r="AA974" s="97"/>
      <c r="AB974" s="97" t="str">
        <f>IFERROR(__xludf.DUMMYFUNCTION("""COMPUTED_VALUE"""),"&lt; 3")</f>
        <v>&lt; 3</v>
      </c>
      <c r="AC974" s="97"/>
      <c r="AD974" s="97" t="str">
        <f>IFERROR(__xludf.DUMMYFUNCTION("""COMPUTED_VALUE"""),"IP65")</f>
        <v>IP65</v>
      </c>
      <c r="AE974" s="97" t="str">
        <f>IFERROR(__xludf.DUMMYFUNCTION("""COMPUTED_VALUE"""),"Clase l")</f>
        <v>Clase l</v>
      </c>
      <c r="AF974" s="97" t="str">
        <f>IFERROR(__xludf.DUMMYFUNCTION("""COMPUTED_VALUE"""),"Embutir")</f>
        <v>Embutir</v>
      </c>
      <c r="AG974" s="97" t="str">
        <f>IFERROR(__xludf.DUMMYFUNCTION("""COMPUTED_VALUE"""),"Ø50 x 76")</f>
        <v>Ø50 x 76</v>
      </c>
      <c r="AH974" s="97" t="str">
        <f>IFERROR(__xludf.DUMMYFUNCTION("""COMPUTED_VALUE"""),"Ø40")</f>
        <v>Ø40</v>
      </c>
      <c r="AI974" s="97">
        <f>IFERROR(__xludf.DUMMYFUNCTION("""COMPUTED_VALUE"""),75.0)</f>
        <v>75</v>
      </c>
      <c r="AJ974" s="97" t="str">
        <f>IFERROR(__xludf.DUMMYFUNCTION("""COMPUTED_VALUE"""),"Vidrio")</f>
        <v>Vidrio</v>
      </c>
      <c r="AK974" s="97" t="str">
        <f>IFERROR(__xludf.DUMMYFUNCTION("""COMPUTED_VALUE"""),"Aluminio")</f>
        <v>Aluminio</v>
      </c>
      <c r="AL974" s="97" t="str">
        <f>IFERROR(__xludf.DUMMYFUNCTION("""COMPUTED_VALUE"""),"Negro Satinado")</f>
        <v>Negro Satinado</v>
      </c>
      <c r="AM974" s="97" t="str">
        <f>IFERROR(__xludf.DUMMYFUNCTION("""COMPUTED_VALUE"""),"-")</f>
        <v>-</v>
      </c>
      <c r="AN974" s="97" t="str">
        <f>IFERROR(__xludf.DUMMYFUNCTION("""COMPUTED_VALUE"""),"25.000hs (L70)")</f>
        <v>25.000hs (L70)</v>
      </c>
      <c r="AO974" s="97" t="str">
        <f>IFERROR(__xludf.DUMMYFUNCTION("""COMPUTED_VALUE"""),"2 Años")</f>
        <v>2 Años</v>
      </c>
      <c r="AP974" s="97" t="str">
        <f>IFERROR(__xludf.DUMMYFUNCTION("""COMPUTED_VALUE"""),"Disponible")</f>
        <v>Disponible</v>
      </c>
      <c r="AQ974" s="97" t="str">
        <f>IFERROR(__xludf.DUMMYFUNCTION("""COMPUTED_VALUE"""),"Disponible")</f>
        <v>Disponible</v>
      </c>
      <c r="AR974" s="97" t="str">
        <f>IFERROR(__xludf.DUMMYFUNCTION("""COMPUTED_VALUE"""),"Disponible")</f>
        <v>Disponible</v>
      </c>
      <c r="AS974" s="97" t="str">
        <f>IFERROR(__xludf.DUMMYFUNCTION("""COMPUTED_VALUE"""),"Falta")</f>
        <v>Falta</v>
      </c>
      <c r="AT974" s="97" t="str">
        <f>IFERROR(__xludf.DUMMYFUNCTION("""COMPUTED_VALUE"""),"Falta")</f>
        <v>Falta</v>
      </c>
      <c r="AU974" s="97" t="str">
        <f>IFERROR(__xludf.DUMMYFUNCTION("""COMPUTED_VALUE"""),"Falta")</f>
        <v>Falta</v>
      </c>
      <c r="AV974" s="97" t="str">
        <f>IFERROR(__xludf.DUMMYFUNCTION("""COMPUTED_VALUE"""),"Empotrable")</f>
        <v>Empotrable</v>
      </c>
      <c r="AW974" s="97" t="str">
        <f>IFERROR(__xludf.DUMMYFUNCTION("""COMPUTED_VALUE"""),"De Piso")</f>
        <v>De Piso</v>
      </c>
      <c r="AX974" s="97" t="str">
        <f>IFERROR(__xludf.DUMMYFUNCTION("""COMPUTED_VALUE"""),"Exterior")</f>
        <v>Exterior</v>
      </c>
      <c r="AY974" s="97" t="str">
        <f>IFERROR(__xludf.DUMMYFUNCTION("""COMPUTED_VALUE"""),"-")</f>
        <v>-</v>
      </c>
      <c r="AZ974" s="97"/>
      <c r="BA974" s="97">
        <f>IFERROR(__xludf.DUMMYFUNCTION("""COMPUTED_VALUE"""),30.0)</f>
        <v>30</v>
      </c>
      <c r="BB974" s="97" t="str">
        <f>IFERROR(__xludf.DUMMYFUNCTION("""COMPUTED_VALUE"""),"-")</f>
        <v>-</v>
      </c>
      <c r="BC974" s="97" t="str">
        <f>IFERROR(__xludf.DUMMYFUNCTION("""COMPUTED_VALUE"""),"-")</f>
        <v>-</v>
      </c>
      <c r="BD974" s="97" t="str">
        <f>IFERROR(__xludf.DUMMYFUNCTION("""COMPUTED_VALUE"""),"KIM")</f>
        <v>KIM</v>
      </c>
      <c r="BE974" s="97" t="str">
        <f>IFERROR(__xludf.DUMMYFUNCTION("""COMPUTED_VALUE"""),"Actualizar")</f>
        <v>Actualizar</v>
      </c>
      <c r="BF974" s="97"/>
      <c r="BG974" s="97" t="str">
        <f>IFERROR(__xludf.DUMMYFUNCTION("""COMPUTED_VALUE"""),"Activo")</f>
        <v>Activo</v>
      </c>
    </row>
    <row r="975">
      <c r="A975" s="97">
        <f>IFERROR(__xludf.DUMMYFUNCTION("""COMPUTED_VALUE"""),6761.0)</f>
        <v>6761</v>
      </c>
      <c r="B975" s="97" t="str">
        <f>IFERROR(__xludf.DUMMYFUNCTION("""COMPUTED_VALUE"""),"LOUTA 35")</f>
        <v>LOUTA 35</v>
      </c>
      <c r="C975" s="97" t="str">
        <f>IFERROR(__xludf.DUMMYFUNCTION("""COMPUTED_VALUE"""),"BOLARDO LOUTA 35 12W 3000K 530LM CRI&gt;90 IP65 LEUK")</f>
        <v>BOLARDO LOUTA 35 12W 3000K 530LM CRI&gt;90 IP65 LEUK</v>
      </c>
      <c r="D975" s="97">
        <f>IFERROR(__xludf.DUMMYFUNCTION("""COMPUTED_VALUE"""),7.798413222593E12)</f>
        <v>7798413222593</v>
      </c>
      <c r="E975" s="97" t="str">
        <f>IFERROR(__xludf.DUMMYFUNCTION("""COMPUTED_VALUE"""),"C22")</f>
        <v>C22</v>
      </c>
      <c r="F975" s="97" t="str">
        <f>IFERROR(__xludf.DUMMYFUNCTION("""COMPUTED_VALUE"""),"LED integrado")</f>
        <v>LED integrado</v>
      </c>
      <c r="G975" s="97" t="str">
        <f>IFERROR(__xludf.DUMMYFUNCTION("""COMPUTED_VALUE"""),"OSRAM")</f>
        <v>OSRAM</v>
      </c>
      <c r="H975" s="97" t="str">
        <f>IFERROR(__xludf.DUMMYFUNCTION("""COMPUTED_VALUE"""),"-")</f>
        <v>-</v>
      </c>
      <c r="I975" s="97"/>
      <c r="J975" s="97"/>
      <c r="K975" s="97" t="str">
        <f>IFERROR(__xludf.DUMMYFUNCTION("""COMPUTED_VALUE"""),"ON/OFF")</f>
        <v>ON/OFF</v>
      </c>
      <c r="L975" s="97" t="str">
        <f>IFERROR(__xludf.DUMMYFUNCTION("""COMPUTED_VALUE"""),"220-240")</f>
        <v>220-240</v>
      </c>
      <c r="M975" s="97" t="str">
        <f>IFERROR(__xludf.DUMMYFUNCTION("""COMPUTED_VALUE"""),"50/60")</f>
        <v>50/60</v>
      </c>
      <c r="N975" s="97"/>
      <c r="O975" s="97">
        <f>IFERROR(__xludf.DUMMYFUNCTION("""COMPUTED_VALUE"""),12.0)</f>
        <v>12</v>
      </c>
      <c r="P975" s="97"/>
      <c r="Q975" s="97" t="str">
        <f>IFERROR(__xludf.DUMMYFUNCTION("""COMPUTED_VALUE"""),"0.47")</f>
        <v>0.47</v>
      </c>
      <c r="R975" s="97" t="str">
        <f>IFERROR(__xludf.DUMMYFUNCTION("""COMPUTED_VALUE"""),"-")</f>
        <v>-</v>
      </c>
      <c r="S975" s="97" t="str">
        <f>IFERROR(__xludf.DUMMYFUNCTION("""COMPUTED_VALUE"""),"-")</f>
        <v>-</v>
      </c>
      <c r="T975" s="97">
        <f>IFERROR(__xludf.DUMMYFUNCTION("""COMPUTED_VALUE"""),530.0)</f>
        <v>530</v>
      </c>
      <c r="U975" s="99">
        <f>IFERROR(__xludf.DUMMYFUNCTION("""COMPUTED_VALUE"""),44.166666666666664)</f>
        <v>44.16666667</v>
      </c>
      <c r="V975" s="97">
        <f>IFERROR(__xludf.DUMMYFUNCTION("""COMPUTED_VALUE"""),77.0)</f>
        <v>77</v>
      </c>
      <c r="W975" s="97" t="str">
        <f>IFERROR(__xludf.DUMMYFUNCTION("""COMPUTED_VALUE"""),"&lt; 14")</f>
        <v>&lt; 14</v>
      </c>
      <c r="X975" s="97">
        <f>IFERROR(__xludf.DUMMYFUNCTION("""COMPUTED_VALUE"""),3000.0)</f>
        <v>3000</v>
      </c>
      <c r="Y975" s="97" t="str">
        <f>IFERROR(__xludf.DUMMYFUNCTION("""COMPUTED_VALUE"""),"&gt;90")</f>
        <v>&gt;90</v>
      </c>
      <c r="Z975" s="97"/>
      <c r="AA975" s="97"/>
      <c r="AB975" s="97" t="str">
        <f>IFERROR(__xludf.DUMMYFUNCTION("""COMPUTED_VALUE"""),"&lt; 2")</f>
        <v>&lt; 2</v>
      </c>
      <c r="AC975" s="97"/>
      <c r="AD975" s="97" t="str">
        <f>IFERROR(__xludf.DUMMYFUNCTION("""COMPUTED_VALUE"""),"IP65")</f>
        <v>IP65</v>
      </c>
      <c r="AE975" s="97" t="str">
        <f>IFERROR(__xludf.DUMMYFUNCTION("""COMPUTED_VALUE"""),"Clase l")</f>
        <v>Clase l</v>
      </c>
      <c r="AF975" s="97" t="str">
        <f>IFERROR(__xludf.DUMMYFUNCTION("""COMPUTED_VALUE"""),"Anclaje de piso")</f>
        <v>Anclaje de piso</v>
      </c>
      <c r="AG975" s="97" t="str">
        <f>IFERROR(__xludf.DUMMYFUNCTION("""COMPUTED_VALUE"""),"Ø90 x 350")</f>
        <v>Ø90 x 350</v>
      </c>
      <c r="AH975" s="97" t="str">
        <f>IFERROR(__xludf.DUMMYFUNCTION("""COMPUTED_VALUE"""),"N/A")</f>
        <v>N/A</v>
      </c>
      <c r="AI975" s="97" t="str">
        <f>IFERROR(__xludf.DUMMYFUNCTION("""COMPUTED_VALUE"""),"N/A")</f>
        <v>N/A</v>
      </c>
      <c r="AJ975" s="97" t="str">
        <f>IFERROR(__xludf.DUMMYFUNCTION("""COMPUTED_VALUE"""),"Policarbonato (PC)")</f>
        <v>Policarbonato (PC)</v>
      </c>
      <c r="AK975" s="97" t="str">
        <f>IFERROR(__xludf.DUMMYFUNCTION("""COMPUTED_VALUE"""),"Aluminio")</f>
        <v>Aluminio</v>
      </c>
      <c r="AL975" s="97" t="str">
        <f>IFERROR(__xludf.DUMMYFUNCTION("""COMPUTED_VALUE"""),"Negro Satinado")</f>
        <v>Negro Satinado</v>
      </c>
      <c r="AM975" s="97" t="str">
        <f>IFERROR(__xludf.DUMMYFUNCTION("""COMPUTED_VALUE"""),"-")</f>
        <v>-</v>
      </c>
      <c r="AN975" s="97" t="str">
        <f>IFERROR(__xludf.DUMMYFUNCTION("""COMPUTED_VALUE"""),"25.000hs (L70)")</f>
        <v>25.000hs (L70)</v>
      </c>
      <c r="AO975" s="97" t="str">
        <f>IFERROR(__xludf.DUMMYFUNCTION("""COMPUTED_VALUE"""),"2 Años")</f>
        <v>2 Años</v>
      </c>
      <c r="AP975" s="97" t="str">
        <f>IFERROR(__xludf.DUMMYFUNCTION("""COMPUTED_VALUE"""),"Disponible")</f>
        <v>Disponible</v>
      </c>
      <c r="AQ975" s="97" t="str">
        <f>IFERROR(__xludf.DUMMYFUNCTION("""COMPUTED_VALUE"""),"Disponible")</f>
        <v>Disponible</v>
      </c>
      <c r="AR975" s="97" t="str">
        <f>IFERROR(__xludf.DUMMYFUNCTION("""COMPUTED_VALUE"""),"Disponible")</f>
        <v>Disponible</v>
      </c>
      <c r="AS975" s="97" t="str">
        <f>IFERROR(__xludf.DUMMYFUNCTION("""COMPUTED_VALUE"""),"Falta")</f>
        <v>Falta</v>
      </c>
      <c r="AT975" s="97" t="str">
        <f>IFERROR(__xludf.DUMMYFUNCTION("""COMPUTED_VALUE"""),"Falta")</f>
        <v>Falta</v>
      </c>
      <c r="AU975" s="97" t="str">
        <f>IFERROR(__xludf.DUMMYFUNCTION("""COMPUTED_VALUE"""),"Falta")</f>
        <v>Falta</v>
      </c>
      <c r="AV975" s="97" t="str">
        <f>IFERROR(__xludf.DUMMYFUNCTION("""COMPUTED_VALUE"""),"Bolardo")</f>
        <v>Bolardo</v>
      </c>
      <c r="AW975" s="97" t="str">
        <f>IFERROR(__xludf.DUMMYFUNCTION("""COMPUTED_VALUE"""),"De Piso")</f>
        <v>De Piso</v>
      </c>
      <c r="AX975" s="97" t="str">
        <f>IFERROR(__xludf.DUMMYFUNCTION("""COMPUTED_VALUE"""),"Exterior")</f>
        <v>Exterior</v>
      </c>
      <c r="AY975" s="97" t="str">
        <f>IFERROR(__xludf.DUMMYFUNCTION("""COMPUTED_VALUE"""),"-")</f>
        <v>-</v>
      </c>
      <c r="AZ975" s="97" t="str">
        <f>IFERROR(__xludf.DUMMYFUNCTION("""COMPUTED_VALUE"""),"Base Ø125. Con pieza giratoria de 270° horizontalmente para distinta configuración de luz.")</f>
        <v>Base Ø125. Con pieza giratoria de 270° horizontalmente para distinta configuración de luz.</v>
      </c>
      <c r="BA975" s="97"/>
      <c r="BB975" s="97" t="str">
        <f>IFERROR(__xludf.DUMMYFUNCTION("""COMPUTED_VALUE"""),"-")</f>
        <v>-</v>
      </c>
      <c r="BC975" s="97" t="str">
        <f>IFERROR(__xludf.DUMMYFUNCTION("""COMPUTED_VALUE"""),"-")</f>
        <v>-</v>
      </c>
      <c r="BD975" s="97" t="str">
        <f>IFERROR(__xludf.DUMMYFUNCTION("""COMPUTED_VALUE"""),"LOUTA")</f>
        <v>LOUTA</v>
      </c>
      <c r="BE975" s="97" t="str">
        <f>IFERROR(__xludf.DUMMYFUNCTION("""COMPUTED_VALUE"""),"Finalizada")</f>
        <v>Finalizada</v>
      </c>
      <c r="BF975" s="97"/>
      <c r="BG975" s="97" t="str">
        <f>IFERROR(__xludf.DUMMYFUNCTION("""COMPUTED_VALUE"""),"Activo")</f>
        <v>Activo</v>
      </c>
    </row>
    <row r="976">
      <c r="A976" s="97">
        <f>IFERROR(__xludf.DUMMYFUNCTION("""COMPUTED_VALUE"""),6762.0)</f>
        <v>6762</v>
      </c>
      <c r="B976" s="97" t="str">
        <f>IFERROR(__xludf.DUMMYFUNCTION("""COMPUTED_VALUE"""),"LOUTA 60")</f>
        <v>LOUTA 60</v>
      </c>
      <c r="C976" s="97" t="str">
        <f>IFERROR(__xludf.DUMMYFUNCTION("""COMPUTED_VALUE"""),"BOLARDO LOUTA 60 12W 3000K 530LM CRI&gt;90 IP65 LEUK")</f>
        <v>BOLARDO LOUTA 60 12W 3000K 530LM CRI&gt;90 IP65 LEUK</v>
      </c>
      <c r="D976" s="97">
        <f>IFERROR(__xludf.DUMMYFUNCTION("""COMPUTED_VALUE"""),7.798413222609E12)</f>
        <v>7798413222609</v>
      </c>
      <c r="E976" s="97" t="str">
        <f>IFERROR(__xludf.DUMMYFUNCTION("""COMPUTED_VALUE"""),"C23")</f>
        <v>C23</v>
      </c>
      <c r="F976" s="97" t="str">
        <f>IFERROR(__xludf.DUMMYFUNCTION("""COMPUTED_VALUE"""),"LED integrado")</f>
        <v>LED integrado</v>
      </c>
      <c r="G976" s="97" t="str">
        <f>IFERROR(__xludf.DUMMYFUNCTION("""COMPUTED_VALUE"""),"OSRAM")</f>
        <v>OSRAM</v>
      </c>
      <c r="H976" s="97" t="str">
        <f>IFERROR(__xludf.DUMMYFUNCTION("""COMPUTED_VALUE"""),"-")</f>
        <v>-</v>
      </c>
      <c r="I976" s="97"/>
      <c r="J976" s="97"/>
      <c r="K976" s="97" t="str">
        <f>IFERROR(__xludf.DUMMYFUNCTION("""COMPUTED_VALUE"""),"ON/OFF")</f>
        <v>ON/OFF</v>
      </c>
      <c r="L976" s="97" t="str">
        <f>IFERROR(__xludf.DUMMYFUNCTION("""COMPUTED_VALUE"""),"220-240")</f>
        <v>220-240</v>
      </c>
      <c r="M976" s="97" t="str">
        <f>IFERROR(__xludf.DUMMYFUNCTION("""COMPUTED_VALUE"""),"50/60")</f>
        <v>50/60</v>
      </c>
      <c r="N976" s="97"/>
      <c r="O976" s="97">
        <f>IFERROR(__xludf.DUMMYFUNCTION("""COMPUTED_VALUE"""),12.0)</f>
        <v>12</v>
      </c>
      <c r="P976" s="97"/>
      <c r="Q976" s="97" t="str">
        <f>IFERROR(__xludf.DUMMYFUNCTION("""COMPUTED_VALUE"""),"0.47")</f>
        <v>0.47</v>
      </c>
      <c r="R976" s="97" t="str">
        <f>IFERROR(__xludf.DUMMYFUNCTION("""COMPUTED_VALUE"""),"-")</f>
        <v>-</v>
      </c>
      <c r="S976" s="97" t="str">
        <f>IFERROR(__xludf.DUMMYFUNCTION("""COMPUTED_VALUE"""),"-")</f>
        <v>-</v>
      </c>
      <c r="T976" s="97">
        <f>IFERROR(__xludf.DUMMYFUNCTION("""COMPUTED_VALUE"""),530.0)</f>
        <v>530</v>
      </c>
      <c r="U976" s="99">
        <f>IFERROR(__xludf.DUMMYFUNCTION("""COMPUTED_VALUE"""),44.166666666666664)</f>
        <v>44.16666667</v>
      </c>
      <c r="V976" s="97">
        <f>IFERROR(__xludf.DUMMYFUNCTION("""COMPUTED_VALUE"""),77.0)</f>
        <v>77</v>
      </c>
      <c r="W976" s="97" t="str">
        <f>IFERROR(__xludf.DUMMYFUNCTION("""COMPUTED_VALUE"""),"&lt; 14")</f>
        <v>&lt; 14</v>
      </c>
      <c r="X976" s="97">
        <f>IFERROR(__xludf.DUMMYFUNCTION("""COMPUTED_VALUE"""),3000.0)</f>
        <v>3000</v>
      </c>
      <c r="Y976" s="97" t="str">
        <f>IFERROR(__xludf.DUMMYFUNCTION("""COMPUTED_VALUE"""),"&gt;90")</f>
        <v>&gt;90</v>
      </c>
      <c r="Z976" s="97"/>
      <c r="AA976" s="97"/>
      <c r="AB976" s="97" t="str">
        <f>IFERROR(__xludf.DUMMYFUNCTION("""COMPUTED_VALUE"""),"&lt; 2")</f>
        <v>&lt; 2</v>
      </c>
      <c r="AC976" s="97"/>
      <c r="AD976" s="97" t="str">
        <f>IFERROR(__xludf.DUMMYFUNCTION("""COMPUTED_VALUE"""),"IP65")</f>
        <v>IP65</v>
      </c>
      <c r="AE976" s="97" t="str">
        <f>IFERROR(__xludf.DUMMYFUNCTION("""COMPUTED_VALUE"""),"Clase l")</f>
        <v>Clase l</v>
      </c>
      <c r="AF976" s="97" t="str">
        <f>IFERROR(__xludf.DUMMYFUNCTION("""COMPUTED_VALUE"""),"Anclaje de piso")</f>
        <v>Anclaje de piso</v>
      </c>
      <c r="AG976" s="97" t="str">
        <f>IFERROR(__xludf.DUMMYFUNCTION("""COMPUTED_VALUE"""),"Ø90 x 600")</f>
        <v>Ø90 x 600</v>
      </c>
      <c r="AH976" s="97" t="str">
        <f>IFERROR(__xludf.DUMMYFUNCTION("""COMPUTED_VALUE"""),"N/A")</f>
        <v>N/A</v>
      </c>
      <c r="AI976" s="97" t="str">
        <f>IFERROR(__xludf.DUMMYFUNCTION("""COMPUTED_VALUE"""),"N/A")</f>
        <v>N/A</v>
      </c>
      <c r="AJ976" s="97" t="str">
        <f>IFERROR(__xludf.DUMMYFUNCTION("""COMPUTED_VALUE"""),"Policarbonato (PC)")</f>
        <v>Policarbonato (PC)</v>
      </c>
      <c r="AK976" s="97" t="str">
        <f>IFERROR(__xludf.DUMMYFUNCTION("""COMPUTED_VALUE"""),"Aluminio")</f>
        <v>Aluminio</v>
      </c>
      <c r="AL976" s="97" t="str">
        <f>IFERROR(__xludf.DUMMYFUNCTION("""COMPUTED_VALUE"""),"Negro Satinado")</f>
        <v>Negro Satinado</v>
      </c>
      <c r="AM976" s="97" t="str">
        <f>IFERROR(__xludf.DUMMYFUNCTION("""COMPUTED_VALUE"""),"-")</f>
        <v>-</v>
      </c>
      <c r="AN976" s="97" t="str">
        <f>IFERROR(__xludf.DUMMYFUNCTION("""COMPUTED_VALUE"""),"25.000hs (L70)")</f>
        <v>25.000hs (L70)</v>
      </c>
      <c r="AO976" s="97" t="str">
        <f>IFERROR(__xludf.DUMMYFUNCTION("""COMPUTED_VALUE"""),"2 Años")</f>
        <v>2 Años</v>
      </c>
      <c r="AP976" s="97" t="str">
        <f>IFERROR(__xludf.DUMMYFUNCTION("""COMPUTED_VALUE"""),"Disponible")</f>
        <v>Disponible</v>
      </c>
      <c r="AQ976" s="97" t="str">
        <f>IFERROR(__xludf.DUMMYFUNCTION("""COMPUTED_VALUE"""),"Disponible")</f>
        <v>Disponible</v>
      </c>
      <c r="AR976" s="97" t="str">
        <f>IFERROR(__xludf.DUMMYFUNCTION("""COMPUTED_VALUE"""),"Disponible")</f>
        <v>Disponible</v>
      </c>
      <c r="AS976" s="97" t="str">
        <f>IFERROR(__xludf.DUMMYFUNCTION("""COMPUTED_VALUE"""),"Falta")</f>
        <v>Falta</v>
      </c>
      <c r="AT976" s="97" t="str">
        <f>IFERROR(__xludf.DUMMYFUNCTION("""COMPUTED_VALUE"""),"Falta")</f>
        <v>Falta</v>
      </c>
      <c r="AU976" s="97" t="str">
        <f>IFERROR(__xludf.DUMMYFUNCTION("""COMPUTED_VALUE"""),"Falta")</f>
        <v>Falta</v>
      </c>
      <c r="AV976" s="97" t="str">
        <f>IFERROR(__xludf.DUMMYFUNCTION("""COMPUTED_VALUE"""),"Bolardo")</f>
        <v>Bolardo</v>
      </c>
      <c r="AW976" s="97" t="str">
        <f>IFERROR(__xludf.DUMMYFUNCTION("""COMPUTED_VALUE"""),"De Piso")</f>
        <v>De Piso</v>
      </c>
      <c r="AX976" s="97" t="str">
        <f>IFERROR(__xludf.DUMMYFUNCTION("""COMPUTED_VALUE"""),"Exterior")</f>
        <v>Exterior</v>
      </c>
      <c r="AY976" s="97" t="str">
        <f>IFERROR(__xludf.DUMMYFUNCTION("""COMPUTED_VALUE"""),"-")</f>
        <v>-</v>
      </c>
      <c r="AZ976" s="97" t="str">
        <f>IFERROR(__xludf.DUMMYFUNCTION("""COMPUTED_VALUE"""),"Base Ø125. Con pieza giratoria de 270° horizontalmente para distinta configuración de luz.")</f>
        <v>Base Ø125. Con pieza giratoria de 270° horizontalmente para distinta configuración de luz.</v>
      </c>
      <c r="BA976" s="97"/>
      <c r="BB976" s="97" t="str">
        <f>IFERROR(__xludf.DUMMYFUNCTION("""COMPUTED_VALUE"""),"-")</f>
        <v>-</v>
      </c>
      <c r="BC976" s="97" t="str">
        <f>IFERROR(__xludf.DUMMYFUNCTION("""COMPUTED_VALUE"""),"-")</f>
        <v>-</v>
      </c>
      <c r="BD976" s="97" t="str">
        <f>IFERROR(__xludf.DUMMYFUNCTION("""COMPUTED_VALUE"""),"LOUTA")</f>
        <v>LOUTA</v>
      </c>
      <c r="BE976" s="97" t="str">
        <f>IFERROR(__xludf.DUMMYFUNCTION("""COMPUTED_VALUE"""),"Finalizada")</f>
        <v>Finalizada</v>
      </c>
      <c r="BF976" s="97"/>
      <c r="BG976" s="97" t="str">
        <f>IFERROR(__xludf.DUMMYFUNCTION("""COMPUTED_VALUE"""),"Activo")</f>
        <v>Activo</v>
      </c>
    </row>
    <row r="977">
      <c r="A977" s="97">
        <f>IFERROR(__xludf.DUMMYFUNCTION("""COMPUTED_VALUE"""),6763.0)</f>
        <v>6763</v>
      </c>
      <c r="B977" s="97" t="str">
        <f>IFERROR(__xludf.DUMMYFUNCTION("""COMPUTED_VALUE"""),"KIT CHILL 40")</f>
        <v>KIT CHILL 40</v>
      </c>
      <c r="C977" s="97" t="str">
        <f>IFERROR(__xludf.DUMMYFUNCTION("""COMPUTED_VALUE"""),"ACCESORIO KIT CHILL 40 LEUK")</f>
        <v>ACCESORIO KIT CHILL 40 LEUK</v>
      </c>
      <c r="D977" s="97">
        <f>IFERROR(__xludf.DUMMYFUNCTION("""COMPUTED_VALUE"""),7.798413222616E12)</f>
        <v>7798413222616</v>
      </c>
      <c r="E977" s="97" t="str">
        <f>IFERROR(__xludf.DUMMYFUNCTION("""COMPUTED_VALUE"""),"N/A")</f>
        <v>N/A</v>
      </c>
      <c r="F977" s="97" t="str">
        <f>IFERROR(__xludf.DUMMYFUNCTION("""COMPUTED_VALUE"""),"N/A")</f>
        <v>N/A</v>
      </c>
      <c r="G977" s="97" t="str">
        <f>IFERROR(__xludf.DUMMYFUNCTION("""COMPUTED_VALUE"""),"N/A")</f>
        <v>N/A</v>
      </c>
      <c r="H977" s="97" t="str">
        <f>IFERROR(__xludf.DUMMYFUNCTION("""COMPUTED_VALUE"""),"N/A")</f>
        <v>N/A</v>
      </c>
      <c r="I977" s="97" t="str">
        <f>IFERROR(__xludf.DUMMYFUNCTION("""COMPUTED_VALUE"""),"N/A")</f>
        <v>N/A</v>
      </c>
      <c r="J977" s="97" t="str">
        <f>IFERROR(__xludf.DUMMYFUNCTION("""COMPUTED_VALUE"""),"N/A")</f>
        <v>N/A</v>
      </c>
      <c r="K977" s="97" t="str">
        <f>IFERROR(__xludf.DUMMYFUNCTION("""COMPUTED_VALUE"""),"N/A")</f>
        <v>N/A</v>
      </c>
      <c r="L977" s="97" t="str">
        <f>IFERROR(__xludf.DUMMYFUNCTION("""COMPUTED_VALUE"""),"N/A")</f>
        <v>N/A</v>
      </c>
      <c r="M977" s="97" t="str">
        <f>IFERROR(__xludf.DUMMYFUNCTION("""COMPUTED_VALUE"""),"N/A")</f>
        <v>N/A</v>
      </c>
      <c r="N977" s="97" t="str">
        <f>IFERROR(__xludf.DUMMYFUNCTION("""COMPUTED_VALUE"""),"N/A")</f>
        <v>N/A</v>
      </c>
      <c r="O977" s="97" t="str">
        <f>IFERROR(__xludf.DUMMYFUNCTION("""COMPUTED_VALUE"""),"N/A")</f>
        <v>N/A</v>
      </c>
      <c r="P977" s="97" t="str">
        <f>IFERROR(__xludf.DUMMYFUNCTION("""COMPUTED_VALUE"""),"N/A")</f>
        <v>N/A</v>
      </c>
      <c r="Q977" s="97" t="str">
        <f>IFERROR(__xludf.DUMMYFUNCTION("""COMPUTED_VALUE"""),"N/A")</f>
        <v>N/A</v>
      </c>
      <c r="R977" s="97" t="str">
        <f>IFERROR(__xludf.DUMMYFUNCTION("""COMPUTED_VALUE"""),"N/A")</f>
        <v>N/A</v>
      </c>
      <c r="S977" s="97" t="str">
        <f>IFERROR(__xludf.DUMMYFUNCTION("""COMPUTED_VALUE"""),"N/A")</f>
        <v>N/A</v>
      </c>
      <c r="T977" s="97" t="str">
        <f>IFERROR(__xludf.DUMMYFUNCTION("""COMPUTED_VALUE"""),"N/A")</f>
        <v>N/A</v>
      </c>
      <c r="U977" s="97" t="str">
        <f>IFERROR(__xludf.DUMMYFUNCTION("""COMPUTED_VALUE"""),"N/A")</f>
        <v>N/A</v>
      </c>
      <c r="V977" s="97" t="str">
        <f>IFERROR(__xludf.DUMMYFUNCTION("""COMPUTED_VALUE"""),"N/A")</f>
        <v>N/A</v>
      </c>
      <c r="W977" s="97" t="str">
        <f>IFERROR(__xludf.DUMMYFUNCTION("""COMPUTED_VALUE"""),"N/A")</f>
        <v>N/A</v>
      </c>
      <c r="X977" s="97" t="str">
        <f>IFERROR(__xludf.DUMMYFUNCTION("""COMPUTED_VALUE"""),"-")</f>
        <v>-</v>
      </c>
      <c r="Y977" s="97" t="str">
        <f>IFERROR(__xludf.DUMMYFUNCTION("""COMPUTED_VALUE"""),"N/A")</f>
        <v>N/A</v>
      </c>
      <c r="Z977" s="97" t="str">
        <f>IFERROR(__xludf.DUMMYFUNCTION("""COMPUTED_VALUE"""),"N/A")</f>
        <v>N/A</v>
      </c>
      <c r="AA977" s="97" t="str">
        <f>IFERROR(__xludf.DUMMYFUNCTION("""COMPUTED_VALUE"""),"N/A")</f>
        <v>N/A</v>
      </c>
      <c r="AB977" s="97" t="str">
        <f>IFERROR(__xludf.DUMMYFUNCTION("""COMPUTED_VALUE"""),"N/A")</f>
        <v>N/A</v>
      </c>
      <c r="AC977" s="97" t="str">
        <f>IFERROR(__xludf.DUMMYFUNCTION("""COMPUTED_VALUE"""),"N/A")</f>
        <v>N/A</v>
      </c>
      <c r="AD977" s="97" t="str">
        <f>IFERROR(__xludf.DUMMYFUNCTION("""COMPUTED_VALUE"""),"N/A")</f>
        <v>N/A</v>
      </c>
      <c r="AE977" s="97" t="str">
        <f>IFERROR(__xludf.DUMMYFUNCTION("""COMPUTED_VALUE"""),"N/A")</f>
        <v>N/A</v>
      </c>
      <c r="AF977" s="97" t="str">
        <f>IFERROR(__xludf.DUMMYFUNCTION("""COMPUTED_VALUE"""),"N/A")</f>
        <v>N/A</v>
      </c>
      <c r="AG977" s="97" t="str">
        <f>IFERROR(__xludf.DUMMYFUNCTION("""COMPUTED_VALUE"""),"Ø15 x 400")</f>
        <v>Ø15 x 400</v>
      </c>
      <c r="AH977" s="97" t="str">
        <f>IFERROR(__xludf.DUMMYFUNCTION("""COMPUTED_VALUE"""),"N/A")</f>
        <v>N/A</v>
      </c>
      <c r="AI977" s="97" t="str">
        <f>IFERROR(__xludf.DUMMYFUNCTION("""COMPUTED_VALUE"""),"N/A")</f>
        <v>N/A</v>
      </c>
      <c r="AJ977" s="97" t="str">
        <f>IFERROR(__xludf.DUMMYFUNCTION("""COMPUTED_VALUE"""),"N/A")</f>
        <v>N/A</v>
      </c>
      <c r="AK977" s="97" t="str">
        <f>IFERROR(__xludf.DUMMYFUNCTION("""COMPUTED_VALUE"""),"Aluminio")</f>
        <v>Aluminio</v>
      </c>
      <c r="AL977" s="97" t="str">
        <f>IFERROR(__xludf.DUMMYFUNCTION("""COMPUTED_VALUE"""),"Negro Satinado")</f>
        <v>Negro Satinado</v>
      </c>
      <c r="AM977" s="97" t="str">
        <f>IFERROR(__xludf.DUMMYFUNCTION("""COMPUTED_VALUE"""),"-")</f>
        <v>-</v>
      </c>
      <c r="AN977" s="97" t="str">
        <f>IFERROR(__xludf.DUMMYFUNCTION("""COMPUTED_VALUE"""),"N/A")</f>
        <v>N/A</v>
      </c>
      <c r="AO977" s="97" t="str">
        <f>IFERROR(__xludf.DUMMYFUNCTION("""COMPUTED_VALUE"""),"2 Años")</f>
        <v>2 Años</v>
      </c>
      <c r="AP977" s="97" t="str">
        <f>IFERROR(__xludf.DUMMYFUNCTION("""COMPUTED_VALUE"""),"No Aplica")</f>
        <v>No Aplica</v>
      </c>
      <c r="AQ977" s="97" t="str">
        <f>IFERROR(__xludf.DUMMYFUNCTION("""COMPUTED_VALUE"""),"No Aplica")</f>
        <v>No Aplica</v>
      </c>
      <c r="AR977" s="97" t="str">
        <f>IFERROR(__xludf.DUMMYFUNCTION("""COMPUTED_VALUE"""),"No Aplica")</f>
        <v>No Aplica</v>
      </c>
      <c r="AS977" s="97" t="str">
        <f>IFERROR(__xludf.DUMMYFUNCTION("""COMPUTED_VALUE"""),"Falta")</f>
        <v>Falta</v>
      </c>
      <c r="AT977" s="97" t="str">
        <f>IFERROR(__xludf.DUMMYFUNCTION("""COMPUTED_VALUE"""),"Falta")</f>
        <v>Falta</v>
      </c>
      <c r="AU977" s="97" t="str">
        <f>IFERROR(__xludf.DUMMYFUNCTION("""COMPUTED_VALUE"""),"Falta")</f>
        <v>Falta</v>
      </c>
      <c r="AV977" s="97" t="str">
        <f>IFERROR(__xludf.DUMMYFUNCTION("""COMPUTED_VALUE"""),"Accesorio")</f>
        <v>Accesorio</v>
      </c>
      <c r="AW977" s="97" t="str">
        <f>IFERROR(__xludf.DUMMYFUNCTION("""COMPUTED_VALUE"""),"De Piso")</f>
        <v>De Piso</v>
      </c>
      <c r="AX977" s="97" t="str">
        <f>IFERROR(__xludf.DUMMYFUNCTION("""COMPUTED_VALUE"""),"Exterior")</f>
        <v>Exterior</v>
      </c>
      <c r="AY977" s="97" t="str">
        <f>IFERROR(__xludf.DUMMYFUNCTION("""COMPUTED_VALUE"""),"Chill")</f>
        <v>Chill</v>
      </c>
      <c r="AZ977" s="97" t="str">
        <f>IFERROR(__xludf.DUMMYFUNCTION("""COMPUTED_VALUE"""),"Estaca Ø40 x 210")</f>
        <v>Estaca Ø40 x 210</v>
      </c>
      <c r="BA977" s="97"/>
      <c r="BB977" s="97" t="str">
        <f>IFERROR(__xludf.DUMMYFUNCTION("""COMPUTED_VALUE"""),"-")</f>
        <v>-</v>
      </c>
      <c r="BC977" s="97" t="str">
        <f>IFERROR(__xludf.DUMMYFUNCTION("""COMPUTED_VALUE"""),"-")</f>
        <v>-</v>
      </c>
      <c r="BD977" s="97" t="str">
        <f>IFERROR(__xludf.DUMMYFUNCTION("""COMPUTED_VALUE"""),"CHILL")</f>
        <v>CHILL</v>
      </c>
      <c r="BE977" s="97" t="str">
        <f>IFERROR(__xludf.DUMMYFUNCTION("""COMPUTED_VALUE"""),"Finalizada")</f>
        <v>Finalizada</v>
      </c>
      <c r="BF977" s="97"/>
      <c r="BG977" s="97" t="str">
        <f>IFERROR(__xludf.DUMMYFUNCTION("""COMPUTED_VALUE"""),"Activo")</f>
        <v>Activo</v>
      </c>
    </row>
    <row r="978">
      <c r="A978" s="97">
        <f>IFERROR(__xludf.DUMMYFUNCTION("""COMPUTED_VALUE"""),6764.0)</f>
        <v>6764</v>
      </c>
      <c r="B978" s="97" t="str">
        <f>IFERROR(__xludf.DUMMYFUNCTION("""COMPUTED_VALUE"""),"KIT CHILL 80")</f>
        <v>KIT CHILL 80</v>
      </c>
      <c r="C978" s="97" t="str">
        <f>IFERROR(__xludf.DUMMYFUNCTION("""COMPUTED_VALUE"""),"ACCESORIO KIT CHILL 80 LEUK")</f>
        <v>ACCESORIO KIT CHILL 80 LEUK</v>
      </c>
      <c r="D978" s="97">
        <f>IFERROR(__xludf.DUMMYFUNCTION("""COMPUTED_VALUE"""),7.798413222623E12)</f>
        <v>7798413222623</v>
      </c>
      <c r="E978" s="97" t="str">
        <f>IFERROR(__xludf.DUMMYFUNCTION("""COMPUTED_VALUE"""),"N/A")</f>
        <v>N/A</v>
      </c>
      <c r="F978" s="97" t="str">
        <f>IFERROR(__xludf.DUMMYFUNCTION("""COMPUTED_VALUE"""),"N/A")</f>
        <v>N/A</v>
      </c>
      <c r="G978" s="97" t="str">
        <f>IFERROR(__xludf.DUMMYFUNCTION("""COMPUTED_VALUE"""),"N/A")</f>
        <v>N/A</v>
      </c>
      <c r="H978" s="97" t="str">
        <f>IFERROR(__xludf.DUMMYFUNCTION("""COMPUTED_VALUE"""),"N/A")</f>
        <v>N/A</v>
      </c>
      <c r="I978" s="97" t="str">
        <f>IFERROR(__xludf.DUMMYFUNCTION("""COMPUTED_VALUE"""),"N/A")</f>
        <v>N/A</v>
      </c>
      <c r="J978" s="97" t="str">
        <f>IFERROR(__xludf.DUMMYFUNCTION("""COMPUTED_VALUE"""),"N/A")</f>
        <v>N/A</v>
      </c>
      <c r="K978" s="97" t="str">
        <f>IFERROR(__xludf.DUMMYFUNCTION("""COMPUTED_VALUE"""),"N/A")</f>
        <v>N/A</v>
      </c>
      <c r="L978" s="97" t="str">
        <f>IFERROR(__xludf.DUMMYFUNCTION("""COMPUTED_VALUE"""),"N/A")</f>
        <v>N/A</v>
      </c>
      <c r="M978" s="97" t="str">
        <f>IFERROR(__xludf.DUMMYFUNCTION("""COMPUTED_VALUE"""),"N/A")</f>
        <v>N/A</v>
      </c>
      <c r="N978" s="97" t="str">
        <f>IFERROR(__xludf.DUMMYFUNCTION("""COMPUTED_VALUE"""),"N/A")</f>
        <v>N/A</v>
      </c>
      <c r="O978" s="97" t="str">
        <f>IFERROR(__xludf.DUMMYFUNCTION("""COMPUTED_VALUE"""),"N/A")</f>
        <v>N/A</v>
      </c>
      <c r="P978" s="97" t="str">
        <f>IFERROR(__xludf.DUMMYFUNCTION("""COMPUTED_VALUE"""),"N/A")</f>
        <v>N/A</v>
      </c>
      <c r="Q978" s="97" t="str">
        <f>IFERROR(__xludf.DUMMYFUNCTION("""COMPUTED_VALUE"""),"N/A")</f>
        <v>N/A</v>
      </c>
      <c r="R978" s="97" t="str">
        <f>IFERROR(__xludf.DUMMYFUNCTION("""COMPUTED_VALUE"""),"N/A")</f>
        <v>N/A</v>
      </c>
      <c r="S978" s="97" t="str">
        <f>IFERROR(__xludf.DUMMYFUNCTION("""COMPUTED_VALUE"""),"N/A")</f>
        <v>N/A</v>
      </c>
      <c r="T978" s="97" t="str">
        <f>IFERROR(__xludf.DUMMYFUNCTION("""COMPUTED_VALUE"""),"N/A")</f>
        <v>N/A</v>
      </c>
      <c r="U978" s="97" t="str">
        <f>IFERROR(__xludf.DUMMYFUNCTION("""COMPUTED_VALUE"""),"N/A")</f>
        <v>N/A</v>
      </c>
      <c r="V978" s="97" t="str">
        <f>IFERROR(__xludf.DUMMYFUNCTION("""COMPUTED_VALUE"""),"N/A")</f>
        <v>N/A</v>
      </c>
      <c r="W978" s="97" t="str">
        <f>IFERROR(__xludf.DUMMYFUNCTION("""COMPUTED_VALUE"""),"N/A")</f>
        <v>N/A</v>
      </c>
      <c r="X978" s="97" t="str">
        <f>IFERROR(__xludf.DUMMYFUNCTION("""COMPUTED_VALUE"""),"-")</f>
        <v>-</v>
      </c>
      <c r="Y978" s="97" t="str">
        <f>IFERROR(__xludf.DUMMYFUNCTION("""COMPUTED_VALUE"""),"N/A")</f>
        <v>N/A</v>
      </c>
      <c r="Z978" s="97" t="str">
        <f>IFERROR(__xludf.DUMMYFUNCTION("""COMPUTED_VALUE"""),"N/A")</f>
        <v>N/A</v>
      </c>
      <c r="AA978" s="97" t="str">
        <f>IFERROR(__xludf.DUMMYFUNCTION("""COMPUTED_VALUE"""),"N/A")</f>
        <v>N/A</v>
      </c>
      <c r="AB978" s="97" t="str">
        <f>IFERROR(__xludf.DUMMYFUNCTION("""COMPUTED_VALUE"""),"N/A")</f>
        <v>N/A</v>
      </c>
      <c r="AC978" s="97" t="str">
        <f>IFERROR(__xludf.DUMMYFUNCTION("""COMPUTED_VALUE"""),"N/A")</f>
        <v>N/A</v>
      </c>
      <c r="AD978" s="97" t="str">
        <f>IFERROR(__xludf.DUMMYFUNCTION("""COMPUTED_VALUE"""),"N/A")</f>
        <v>N/A</v>
      </c>
      <c r="AE978" s="97" t="str">
        <f>IFERROR(__xludf.DUMMYFUNCTION("""COMPUTED_VALUE"""),"N/A")</f>
        <v>N/A</v>
      </c>
      <c r="AF978" s="97" t="str">
        <f>IFERROR(__xludf.DUMMYFUNCTION("""COMPUTED_VALUE"""),"N/A")</f>
        <v>N/A</v>
      </c>
      <c r="AG978" s="97" t="str">
        <f>IFERROR(__xludf.DUMMYFUNCTION("""COMPUTED_VALUE"""),"Ø15 x 800")</f>
        <v>Ø15 x 800</v>
      </c>
      <c r="AH978" s="97" t="str">
        <f>IFERROR(__xludf.DUMMYFUNCTION("""COMPUTED_VALUE"""),"N/A")</f>
        <v>N/A</v>
      </c>
      <c r="AI978" s="97" t="str">
        <f>IFERROR(__xludf.DUMMYFUNCTION("""COMPUTED_VALUE"""),"N/A")</f>
        <v>N/A</v>
      </c>
      <c r="AJ978" s="97" t="str">
        <f>IFERROR(__xludf.DUMMYFUNCTION("""COMPUTED_VALUE"""),"N/A")</f>
        <v>N/A</v>
      </c>
      <c r="AK978" s="97" t="str">
        <f>IFERROR(__xludf.DUMMYFUNCTION("""COMPUTED_VALUE"""),"Aluminio")</f>
        <v>Aluminio</v>
      </c>
      <c r="AL978" s="97" t="str">
        <f>IFERROR(__xludf.DUMMYFUNCTION("""COMPUTED_VALUE"""),"Negro Satinado")</f>
        <v>Negro Satinado</v>
      </c>
      <c r="AM978" s="97" t="str">
        <f>IFERROR(__xludf.DUMMYFUNCTION("""COMPUTED_VALUE"""),"-")</f>
        <v>-</v>
      </c>
      <c r="AN978" s="97" t="str">
        <f>IFERROR(__xludf.DUMMYFUNCTION("""COMPUTED_VALUE"""),"N/A")</f>
        <v>N/A</v>
      </c>
      <c r="AO978" s="97" t="str">
        <f>IFERROR(__xludf.DUMMYFUNCTION("""COMPUTED_VALUE"""),"2 Años")</f>
        <v>2 Años</v>
      </c>
      <c r="AP978" s="97" t="str">
        <f>IFERROR(__xludf.DUMMYFUNCTION("""COMPUTED_VALUE"""),"No Aplica")</f>
        <v>No Aplica</v>
      </c>
      <c r="AQ978" s="97" t="str">
        <f>IFERROR(__xludf.DUMMYFUNCTION("""COMPUTED_VALUE"""),"No Aplica")</f>
        <v>No Aplica</v>
      </c>
      <c r="AR978" s="97" t="str">
        <f>IFERROR(__xludf.DUMMYFUNCTION("""COMPUTED_VALUE"""),"No Aplica")</f>
        <v>No Aplica</v>
      </c>
      <c r="AS978" s="97" t="str">
        <f>IFERROR(__xludf.DUMMYFUNCTION("""COMPUTED_VALUE"""),"Falta")</f>
        <v>Falta</v>
      </c>
      <c r="AT978" s="97" t="str">
        <f>IFERROR(__xludf.DUMMYFUNCTION("""COMPUTED_VALUE"""),"Falta")</f>
        <v>Falta</v>
      </c>
      <c r="AU978" s="97" t="str">
        <f>IFERROR(__xludf.DUMMYFUNCTION("""COMPUTED_VALUE"""),"Falta")</f>
        <v>Falta</v>
      </c>
      <c r="AV978" s="97" t="str">
        <f>IFERROR(__xludf.DUMMYFUNCTION("""COMPUTED_VALUE"""),"Accesorio")</f>
        <v>Accesorio</v>
      </c>
      <c r="AW978" s="97" t="str">
        <f>IFERROR(__xludf.DUMMYFUNCTION("""COMPUTED_VALUE"""),"De Piso")</f>
        <v>De Piso</v>
      </c>
      <c r="AX978" s="97" t="str">
        <f>IFERROR(__xludf.DUMMYFUNCTION("""COMPUTED_VALUE"""),"Exterior")</f>
        <v>Exterior</v>
      </c>
      <c r="AY978" s="97" t="str">
        <f>IFERROR(__xludf.DUMMYFUNCTION("""COMPUTED_VALUE"""),"Chill")</f>
        <v>Chill</v>
      </c>
      <c r="AZ978" s="97" t="str">
        <f>IFERROR(__xludf.DUMMYFUNCTION("""COMPUTED_VALUE"""),"Estaca Ø40 x 210")</f>
        <v>Estaca Ø40 x 210</v>
      </c>
      <c r="BA978" s="97"/>
      <c r="BB978" s="97" t="str">
        <f>IFERROR(__xludf.DUMMYFUNCTION("""COMPUTED_VALUE"""),"-")</f>
        <v>-</v>
      </c>
      <c r="BC978" s="97" t="str">
        <f>IFERROR(__xludf.DUMMYFUNCTION("""COMPUTED_VALUE"""),"-")</f>
        <v>-</v>
      </c>
      <c r="BD978" s="97" t="str">
        <f>IFERROR(__xludf.DUMMYFUNCTION("""COMPUTED_VALUE"""),"CHILL")</f>
        <v>CHILL</v>
      </c>
      <c r="BE978" s="97" t="str">
        <f>IFERROR(__xludf.DUMMYFUNCTION("""COMPUTED_VALUE"""),"Finalizada")</f>
        <v>Finalizada</v>
      </c>
      <c r="BF978" s="97"/>
      <c r="BG978" s="97" t="str">
        <f>IFERROR(__xludf.DUMMYFUNCTION("""COMPUTED_VALUE"""),"Activo")</f>
        <v>Activo</v>
      </c>
    </row>
    <row r="979">
      <c r="A979" s="97">
        <f>IFERROR(__xludf.DUMMYFUNCTION("""COMPUTED_VALUE"""),6765.0)</f>
        <v>6765</v>
      </c>
      <c r="B979" s="97" t="str">
        <f>IFERROR(__xludf.DUMMYFUNCTION("""COMPUTED_VALUE"""),"MIRACLE S NG")</f>
        <v>MIRACLE S NG</v>
      </c>
      <c r="C979" s="97" t="str">
        <f>IFERROR(__xludf.DUMMYFUNCTION("""COMPUTED_VALUE"""),"COLGANTE MIRACLE S NG 40W 2700/3300/4000K 2640LM CRI&gt;90 IP20 LEUK")</f>
        <v>COLGANTE MIRACLE S NG 40W 2700/3300/4000K 2640LM CRI&gt;90 IP20 LEUK</v>
      </c>
      <c r="D979" s="97">
        <f>IFERROR(__xludf.DUMMYFUNCTION("""COMPUTED_VALUE"""),7.798413222661E12)</f>
        <v>7798413222661</v>
      </c>
      <c r="E979" s="97" t="str">
        <f>IFERROR(__xludf.DUMMYFUNCTION("""COMPUTED_VALUE"""),"i25")</f>
        <v>i25</v>
      </c>
      <c r="F979" s="97" t="str">
        <f>IFERROR(__xludf.DUMMYFUNCTION("""COMPUTED_VALUE"""),"LED SMD3030")</f>
        <v>LED SMD3030</v>
      </c>
      <c r="G979" s="97" t="str">
        <f>IFERROR(__xludf.DUMMYFUNCTION("""COMPUTED_VALUE"""),"Bridgelux")</f>
        <v>Bridgelux</v>
      </c>
      <c r="H979" s="97" t="str">
        <f>IFERROR(__xludf.DUMMYFUNCTION("""COMPUTED_VALUE"""),"Lifud")</f>
        <v>Lifud</v>
      </c>
      <c r="I979" s="97"/>
      <c r="J979" s="97" t="str">
        <f>IFERROR(__xludf.DUMMYFUNCTION("""COMPUTED_VALUE"""),"Modelo: LF-GMR040YS III 1000H
In: 220-240Vac 0.24A 50/60Hz
Out: 20-40Vdc 1000mA - 40W
Pf 0.95 Tc 85°C Ta 60°C")</f>
        <v>Modelo: LF-GMR040YS III 1000H
In: 220-240Vac 0.24A 50/60Hz
Out: 20-40Vdc 1000mA - 40W
Pf 0.95 Tc 85°C Ta 60°C</v>
      </c>
      <c r="K979" s="97" t="str">
        <f>IFERROR(__xludf.DUMMYFUNCTION("""COMPUTED_VALUE"""),"ON/OFF")</f>
        <v>ON/OFF</v>
      </c>
      <c r="L979" s="97" t="str">
        <f>IFERROR(__xludf.DUMMYFUNCTION("""COMPUTED_VALUE"""),"220-240")</f>
        <v>220-240</v>
      </c>
      <c r="M979" s="97" t="str">
        <f>IFERROR(__xludf.DUMMYFUNCTION("""COMPUTED_VALUE"""),"50/60")</f>
        <v>50/60</v>
      </c>
      <c r="N979" s="97"/>
      <c r="O979" s="97">
        <f>IFERROR(__xludf.DUMMYFUNCTION("""COMPUTED_VALUE"""),40.0)</f>
        <v>40</v>
      </c>
      <c r="P979" s="97"/>
      <c r="Q979" s="97">
        <f>IFERROR(__xludf.DUMMYFUNCTION("""COMPUTED_VALUE"""),0.95)</f>
        <v>0.95</v>
      </c>
      <c r="R979" s="97" t="str">
        <f>IFERROR(__xludf.DUMMYFUNCTION("""COMPUTED_VALUE"""),"-")</f>
        <v>-</v>
      </c>
      <c r="S979" s="97" t="str">
        <f>IFERROR(__xludf.DUMMYFUNCTION("""COMPUTED_VALUE"""),"-")</f>
        <v>-</v>
      </c>
      <c r="T979" s="97">
        <f>IFERROR(__xludf.DUMMYFUNCTION("""COMPUTED_VALUE"""),2640.0)</f>
        <v>2640</v>
      </c>
      <c r="U979" s="99">
        <f>IFERROR(__xludf.DUMMYFUNCTION("""COMPUTED_VALUE"""),66.0)</f>
        <v>66</v>
      </c>
      <c r="V979" s="97">
        <f>IFERROR(__xludf.DUMMYFUNCTION("""COMPUTED_VALUE"""),36.0)</f>
        <v>36</v>
      </c>
      <c r="W979" s="97" t="str">
        <f>IFERROR(__xludf.DUMMYFUNCTION("""COMPUTED_VALUE"""),"&lt; 14")</f>
        <v>&lt; 14</v>
      </c>
      <c r="X979" s="97" t="str">
        <f>IFERROR(__xludf.DUMMYFUNCTION("""COMPUTED_VALUE"""),"2700/3300/4000")</f>
        <v>2700/3300/4000</v>
      </c>
      <c r="Y979" s="97" t="str">
        <f>IFERROR(__xludf.DUMMYFUNCTION("""COMPUTED_VALUE"""),"&gt;90")</f>
        <v>&gt;90</v>
      </c>
      <c r="Z979" s="97"/>
      <c r="AA979" s="97"/>
      <c r="AB979" s="97" t="str">
        <f>IFERROR(__xludf.DUMMYFUNCTION("""COMPUTED_VALUE"""),"-")</f>
        <v>-</v>
      </c>
      <c r="AC979" s="97"/>
      <c r="AD979" s="97" t="str">
        <f>IFERROR(__xludf.DUMMYFUNCTION("""COMPUTED_VALUE"""),"IP20")</f>
        <v>IP20</v>
      </c>
      <c r="AE979" s="97" t="str">
        <f>IFERROR(__xludf.DUMMYFUNCTION("""COMPUTED_VALUE"""),"Clase l")</f>
        <v>Clase l</v>
      </c>
      <c r="AF979" s="97" t="str">
        <f>IFERROR(__xludf.DUMMYFUNCTION("""COMPUTED_VALUE"""),"Suspender")</f>
        <v>Suspender</v>
      </c>
      <c r="AG979" s="97" t="str">
        <f>IFERROR(__xludf.DUMMYFUNCTION("""COMPUTED_VALUE"""),"1200 x 70 x 16")</f>
        <v>1200 x 70 x 16</v>
      </c>
      <c r="AH979" s="97" t="str">
        <f>IFERROR(__xludf.DUMMYFUNCTION("""COMPUTED_VALUE"""),"N/A")</f>
        <v>N/A</v>
      </c>
      <c r="AI979" s="97" t="str">
        <f>IFERROR(__xludf.DUMMYFUNCTION("""COMPUTED_VALUE"""),"N/A")</f>
        <v>N/A</v>
      </c>
      <c r="AJ979" s="97" t="str">
        <f>IFERROR(__xludf.DUMMYFUNCTION("""COMPUTED_VALUE"""),"PMMA")</f>
        <v>PMMA</v>
      </c>
      <c r="AK979" s="97" t="str">
        <f>IFERROR(__xludf.DUMMYFUNCTION("""COMPUTED_VALUE"""),"Aluminio")</f>
        <v>Aluminio</v>
      </c>
      <c r="AL979" s="97" t="str">
        <f>IFERROR(__xludf.DUMMYFUNCTION("""COMPUTED_VALUE"""),"Negro Mate")</f>
        <v>Negro Mate</v>
      </c>
      <c r="AM979" s="97" t="str">
        <f>IFERROR(__xludf.DUMMYFUNCTION("""COMPUTED_VALUE"""),"-")</f>
        <v>-</v>
      </c>
      <c r="AN979" s="97" t="str">
        <f>IFERROR(__xludf.DUMMYFUNCTION("""COMPUTED_VALUE"""),"50.000hs (L80)")</f>
        <v>50.000hs (L80)</v>
      </c>
      <c r="AO979" s="97" t="str">
        <f>IFERROR(__xludf.DUMMYFUNCTION("""COMPUTED_VALUE"""),"5 Años")</f>
        <v>5 Años</v>
      </c>
      <c r="AP979" s="97" t="str">
        <f>IFERROR(__xludf.DUMMYFUNCTION("""COMPUTED_VALUE"""),"Disponible")</f>
        <v>Disponible</v>
      </c>
      <c r="AQ979" s="97" t="str">
        <f>IFERROR(__xludf.DUMMYFUNCTION("""COMPUTED_VALUE"""),"Disponible")</f>
        <v>Disponible</v>
      </c>
      <c r="AR979" s="97" t="str">
        <f>IFERROR(__xludf.DUMMYFUNCTION("""COMPUTED_VALUE"""),"Disponible")</f>
        <v>Disponible</v>
      </c>
      <c r="AS979" s="97"/>
      <c r="AT979" s="97"/>
      <c r="AU979" s="97" t="str">
        <f>IFERROR(__xludf.DUMMYFUNCTION("""COMPUTED_VALUE"""),"Falta")</f>
        <v>Falta</v>
      </c>
      <c r="AV979" s="97" t="str">
        <f>IFERROR(__xludf.DUMMYFUNCTION("""COMPUTED_VALUE"""),"Colgante")</f>
        <v>Colgante</v>
      </c>
      <c r="AW979" s="97" t="str">
        <f>IFERROR(__xludf.DUMMYFUNCTION("""COMPUTED_VALUE"""),"De Techo")</f>
        <v>De Techo</v>
      </c>
      <c r="AX979" s="97" t="str">
        <f>IFERROR(__xludf.DUMMYFUNCTION("""COMPUTED_VALUE"""),"Interior")</f>
        <v>Interior</v>
      </c>
      <c r="AY979" s="97" t="str">
        <f>IFERROR(__xludf.DUMMYFUNCTION("""COMPUTED_VALUE"""),"Confort Visual")</f>
        <v>Confort Visual</v>
      </c>
      <c r="AZ979" s="97" t="str">
        <f>IFERROR(__xludf.DUMMYFUNCTION("""COMPUTED_VALUE"""),"Florón 325x37x28(h)mm. Largo tensor 2000mm. Switch p/cambio de color.")</f>
        <v>Florón 325x37x28(h)mm. Largo tensor 2000mm. Switch p/cambio de color.</v>
      </c>
      <c r="BA979" s="97"/>
      <c r="BB979" s="97" t="str">
        <f>IFERROR(__xludf.DUMMYFUNCTION("""COMPUTED_VALUE"""),"-")</f>
        <v>-</v>
      </c>
      <c r="BC979" s="97" t="str">
        <f>IFERROR(__xludf.DUMMYFUNCTION("""COMPUTED_VALUE"""),"-")</f>
        <v>-</v>
      </c>
      <c r="BD979" s="97" t="str">
        <f>IFERROR(__xludf.DUMMYFUNCTION("""COMPUTED_VALUE"""),"MIRACLE")</f>
        <v>MIRACLE</v>
      </c>
      <c r="BE979" s="97" t="str">
        <f>IFERROR(__xludf.DUMMYFUNCTION("""COMPUTED_VALUE"""),"Finalizada")</f>
        <v>Finalizada</v>
      </c>
      <c r="BF979" s="97"/>
      <c r="BG979" s="97" t="str">
        <f>IFERROR(__xludf.DUMMYFUNCTION("""COMPUTED_VALUE"""),"Activo")</f>
        <v>Activo</v>
      </c>
    </row>
    <row r="980">
      <c r="A980" s="97">
        <f>IFERROR(__xludf.DUMMYFUNCTION("""COMPUTED_VALUE"""),6766.0)</f>
        <v>6766</v>
      </c>
      <c r="B980" s="97" t="str">
        <f>IFERROR(__xludf.DUMMYFUNCTION("""COMPUTED_VALUE"""),"MIRACLE S BL")</f>
        <v>MIRACLE S BL</v>
      </c>
      <c r="C980" s="97" t="str">
        <f>IFERROR(__xludf.DUMMYFUNCTION("""COMPUTED_VALUE"""),"COLGANTE MIRACLE S BL 40W 2700/3300/4000K 2640LM CRI&gt;90 IP20 LEUK")</f>
        <v>COLGANTE MIRACLE S BL 40W 2700/3300/4000K 2640LM CRI&gt;90 IP20 LEUK</v>
      </c>
      <c r="D980" s="97">
        <f>IFERROR(__xludf.DUMMYFUNCTION("""COMPUTED_VALUE"""),7.798413222678E12)</f>
        <v>7798413222678</v>
      </c>
      <c r="E980" s="97" t="str">
        <f>IFERROR(__xludf.DUMMYFUNCTION("""COMPUTED_VALUE"""),"i26")</f>
        <v>i26</v>
      </c>
      <c r="F980" s="97" t="str">
        <f>IFERROR(__xludf.DUMMYFUNCTION("""COMPUTED_VALUE"""),"LED SMD3030")</f>
        <v>LED SMD3030</v>
      </c>
      <c r="G980" s="97" t="str">
        <f>IFERROR(__xludf.DUMMYFUNCTION("""COMPUTED_VALUE"""),"Bridgelux")</f>
        <v>Bridgelux</v>
      </c>
      <c r="H980" s="97" t="str">
        <f>IFERROR(__xludf.DUMMYFUNCTION("""COMPUTED_VALUE"""),"Lifud")</f>
        <v>Lifud</v>
      </c>
      <c r="I980" s="97"/>
      <c r="J980" s="97" t="str">
        <f>IFERROR(__xludf.DUMMYFUNCTION("""COMPUTED_VALUE"""),"Modelo: LF-GMR040YS III 1000H
In: 220-240Vac 0.24A 50/60Hz
Out: 20-40Vdc 1000mA - 40W
Pf 0.95 Tc 85°C Ta 60°C")</f>
        <v>Modelo: LF-GMR040YS III 1000H
In: 220-240Vac 0.24A 50/60Hz
Out: 20-40Vdc 1000mA - 40W
Pf 0.95 Tc 85°C Ta 60°C</v>
      </c>
      <c r="K980" s="97" t="str">
        <f>IFERROR(__xludf.DUMMYFUNCTION("""COMPUTED_VALUE"""),"ON/OFF")</f>
        <v>ON/OFF</v>
      </c>
      <c r="L980" s="97" t="str">
        <f>IFERROR(__xludf.DUMMYFUNCTION("""COMPUTED_VALUE"""),"220-240")</f>
        <v>220-240</v>
      </c>
      <c r="M980" s="97" t="str">
        <f>IFERROR(__xludf.DUMMYFUNCTION("""COMPUTED_VALUE"""),"50/60")</f>
        <v>50/60</v>
      </c>
      <c r="N980" s="97"/>
      <c r="O980" s="97">
        <f>IFERROR(__xludf.DUMMYFUNCTION("""COMPUTED_VALUE"""),40.0)</f>
        <v>40</v>
      </c>
      <c r="P980" s="97"/>
      <c r="Q980" s="97">
        <f>IFERROR(__xludf.DUMMYFUNCTION("""COMPUTED_VALUE"""),0.95)</f>
        <v>0.95</v>
      </c>
      <c r="R980" s="97" t="str">
        <f>IFERROR(__xludf.DUMMYFUNCTION("""COMPUTED_VALUE"""),"-")</f>
        <v>-</v>
      </c>
      <c r="S980" s="97" t="str">
        <f>IFERROR(__xludf.DUMMYFUNCTION("""COMPUTED_VALUE"""),"-")</f>
        <v>-</v>
      </c>
      <c r="T980" s="97">
        <f>IFERROR(__xludf.DUMMYFUNCTION("""COMPUTED_VALUE"""),2640.0)</f>
        <v>2640</v>
      </c>
      <c r="U980" s="99">
        <f>IFERROR(__xludf.DUMMYFUNCTION("""COMPUTED_VALUE"""),66.0)</f>
        <v>66</v>
      </c>
      <c r="V980" s="97">
        <f>IFERROR(__xludf.DUMMYFUNCTION("""COMPUTED_VALUE"""),36.0)</f>
        <v>36</v>
      </c>
      <c r="W980" s="97" t="str">
        <f>IFERROR(__xludf.DUMMYFUNCTION("""COMPUTED_VALUE"""),"&lt; 14")</f>
        <v>&lt; 14</v>
      </c>
      <c r="X980" s="97" t="str">
        <f>IFERROR(__xludf.DUMMYFUNCTION("""COMPUTED_VALUE"""),"2700/3300/4000")</f>
        <v>2700/3300/4000</v>
      </c>
      <c r="Y980" s="97" t="str">
        <f>IFERROR(__xludf.DUMMYFUNCTION("""COMPUTED_VALUE"""),"&gt;90")</f>
        <v>&gt;90</v>
      </c>
      <c r="Z980" s="97"/>
      <c r="AA980" s="97"/>
      <c r="AB980" s="97" t="str">
        <f>IFERROR(__xludf.DUMMYFUNCTION("""COMPUTED_VALUE"""),"-")</f>
        <v>-</v>
      </c>
      <c r="AC980" s="97"/>
      <c r="AD980" s="97" t="str">
        <f>IFERROR(__xludf.DUMMYFUNCTION("""COMPUTED_VALUE"""),"IP20")</f>
        <v>IP20</v>
      </c>
      <c r="AE980" s="97" t="str">
        <f>IFERROR(__xludf.DUMMYFUNCTION("""COMPUTED_VALUE"""),"Clase l")</f>
        <v>Clase l</v>
      </c>
      <c r="AF980" s="97" t="str">
        <f>IFERROR(__xludf.DUMMYFUNCTION("""COMPUTED_VALUE"""),"Suspender")</f>
        <v>Suspender</v>
      </c>
      <c r="AG980" s="97" t="str">
        <f>IFERROR(__xludf.DUMMYFUNCTION("""COMPUTED_VALUE"""),"1200 x 70 x 16")</f>
        <v>1200 x 70 x 16</v>
      </c>
      <c r="AH980" s="97" t="str">
        <f>IFERROR(__xludf.DUMMYFUNCTION("""COMPUTED_VALUE"""),"N/A")</f>
        <v>N/A</v>
      </c>
      <c r="AI980" s="97" t="str">
        <f>IFERROR(__xludf.DUMMYFUNCTION("""COMPUTED_VALUE"""),"N/A")</f>
        <v>N/A</v>
      </c>
      <c r="AJ980" s="97" t="str">
        <f>IFERROR(__xludf.DUMMYFUNCTION("""COMPUTED_VALUE"""),"PMMA")</f>
        <v>PMMA</v>
      </c>
      <c r="AK980" s="97" t="str">
        <f>IFERROR(__xludf.DUMMYFUNCTION("""COMPUTED_VALUE"""),"Aluminio")</f>
        <v>Aluminio</v>
      </c>
      <c r="AL980" s="97" t="str">
        <f>IFERROR(__xludf.DUMMYFUNCTION("""COMPUTED_VALUE"""),"Blanco Mate")</f>
        <v>Blanco Mate</v>
      </c>
      <c r="AM980" s="97" t="str">
        <f>IFERROR(__xludf.DUMMYFUNCTION("""COMPUTED_VALUE"""),"-")</f>
        <v>-</v>
      </c>
      <c r="AN980" s="97" t="str">
        <f>IFERROR(__xludf.DUMMYFUNCTION("""COMPUTED_VALUE"""),"50.000hs (L80)")</f>
        <v>50.000hs (L80)</v>
      </c>
      <c r="AO980" s="97" t="str">
        <f>IFERROR(__xludf.DUMMYFUNCTION("""COMPUTED_VALUE"""),"5 Años")</f>
        <v>5 Años</v>
      </c>
      <c r="AP980" s="97" t="str">
        <f>IFERROR(__xludf.DUMMYFUNCTION("""COMPUTED_VALUE"""),"Disponible")</f>
        <v>Disponible</v>
      </c>
      <c r="AQ980" s="97" t="str">
        <f>IFERROR(__xludf.DUMMYFUNCTION("""COMPUTED_VALUE"""),"Disponible")</f>
        <v>Disponible</v>
      </c>
      <c r="AR980" s="97" t="str">
        <f>IFERROR(__xludf.DUMMYFUNCTION("""COMPUTED_VALUE"""),"Disponible")</f>
        <v>Disponible</v>
      </c>
      <c r="AS980" s="97"/>
      <c r="AT980" s="97"/>
      <c r="AU980" s="97" t="str">
        <f>IFERROR(__xludf.DUMMYFUNCTION("""COMPUTED_VALUE"""),"Falta")</f>
        <v>Falta</v>
      </c>
      <c r="AV980" s="97" t="str">
        <f>IFERROR(__xludf.DUMMYFUNCTION("""COMPUTED_VALUE"""),"Colgante")</f>
        <v>Colgante</v>
      </c>
      <c r="AW980" s="97" t="str">
        <f>IFERROR(__xludf.DUMMYFUNCTION("""COMPUTED_VALUE"""),"De Techo")</f>
        <v>De Techo</v>
      </c>
      <c r="AX980" s="97" t="str">
        <f>IFERROR(__xludf.DUMMYFUNCTION("""COMPUTED_VALUE"""),"Interior")</f>
        <v>Interior</v>
      </c>
      <c r="AY980" s="97" t="str">
        <f>IFERROR(__xludf.DUMMYFUNCTION("""COMPUTED_VALUE"""),"Confort Visual")</f>
        <v>Confort Visual</v>
      </c>
      <c r="AZ980" s="97" t="str">
        <f>IFERROR(__xludf.DUMMYFUNCTION("""COMPUTED_VALUE"""),"Florón 325x48x28(h)mm. Largo tensor 2000mm. Switch p/cambio de color.")</f>
        <v>Florón 325x48x28(h)mm. Largo tensor 2000mm. Switch p/cambio de color.</v>
      </c>
      <c r="BA980" s="97"/>
      <c r="BB980" s="97" t="str">
        <f>IFERROR(__xludf.DUMMYFUNCTION("""COMPUTED_VALUE"""),"-")</f>
        <v>-</v>
      </c>
      <c r="BC980" s="97" t="str">
        <f>IFERROR(__xludf.DUMMYFUNCTION("""COMPUTED_VALUE"""),"-")</f>
        <v>-</v>
      </c>
      <c r="BD980" s="97" t="str">
        <f>IFERROR(__xludf.DUMMYFUNCTION("""COMPUTED_VALUE"""),"MIRACLE")</f>
        <v>MIRACLE</v>
      </c>
      <c r="BE980" s="97" t="str">
        <f>IFERROR(__xludf.DUMMYFUNCTION("""COMPUTED_VALUE"""),"Finalizada")</f>
        <v>Finalizada</v>
      </c>
      <c r="BF980" s="97"/>
      <c r="BG980" s="97" t="str">
        <f>IFERROR(__xludf.DUMMYFUNCTION("""COMPUTED_VALUE"""),"Activo")</f>
        <v>Activo</v>
      </c>
    </row>
    <row r="981">
      <c r="A981" s="97">
        <f>IFERROR(__xludf.DUMMYFUNCTION("""COMPUTED_VALUE"""),6767.0)</f>
        <v>6767</v>
      </c>
      <c r="B981" s="97" t="str">
        <f>IFERROR(__xludf.DUMMYFUNCTION("""COMPUTED_VALUE"""),"BONY BL")</f>
        <v>BONY BL</v>
      </c>
      <c r="C981" s="97" t="str">
        <f>IFERROR(__xludf.DUMMYFUNCTION("""COMPUTED_VALUE"""),"APLIQUE BONY BL 45W 3000/4000/6000K 3030LM CRI&gt;90 IP20 LEUK")</f>
        <v>APLIQUE BONY BL 45W 3000/4000/6000K 3030LM CRI&gt;90 IP20 LEUK</v>
      </c>
      <c r="D981" s="97">
        <f>IFERROR(__xludf.DUMMYFUNCTION("""COMPUTED_VALUE"""),7.798413222685E12)</f>
        <v>7798413222685</v>
      </c>
      <c r="E981" s="97" t="str">
        <f>IFERROR(__xludf.DUMMYFUNCTION("""COMPUTED_VALUE"""),"F32")</f>
        <v>F32</v>
      </c>
      <c r="F981" s="97" t="str">
        <f>IFERROR(__xludf.DUMMYFUNCTION("""COMPUTED_VALUE"""),"LED integrado")</f>
        <v>LED integrado</v>
      </c>
      <c r="G981" s="97" t="str">
        <f>IFERROR(__xludf.DUMMYFUNCTION("""COMPUTED_VALUE"""),"-")</f>
        <v>-</v>
      </c>
      <c r="H981" s="97" t="str">
        <f>IFERROR(__xludf.DUMMYFUNCTION("""COMPUTED_VALUE"""),"-")</f>
        <v>-</v>
      </c>
      <c r="I981" s="97"/>
      <c r="J981" s="97"/>
      <c r="K981" s="97" t="str">
        <f>IFERROR(__xludf.DUMMYFUNCTION("""COMPUTED_VALUE"""),"ON/OFF")</f>
        <v>ON/OFF</v>
      </c>
      <c r="L981" s="97" t="str">
        <f>IFERROR(__xludf.DUMMYFUNCTION("""COMPUTED_VALUE"""),"200-240")</f>
        <v>200-240</v>
      </c>
      <c r="M981" s="97" t="str">
        <f>IFERROR(__xludf.DUMMYFUNCTION("""COMPUTED_VALUE"""),"50/60")</f>
        <v>50/60</v>
      </c>
      <c r="N981" s="97" t="str">
        <f>IFERROR(__xludf.DUMMYFUNCTION("""COMPUTED_VALUE"""),"Directa-Simétrica")</f>
        <v>Directa-Simétrica</v>
      </c>
      <c r="O981" s="97">
        <f>IFERROR(__xludf.DUMMYFUNCTION("""COMPUTED_VALUE"""),45.0)</f>
        <v>45</v>
      </c>
      <c r="P981" s="97"/>
      <c r="Q981" s="97">
        <f>IFERROR(__xludf.DUMMYFUNCTION("""COMPUTED_VALUE"""),0.58)</f>
        <v>0.58</v>
      </c>
      <c r="R981" s="97" t="str">
        <f>IFERROR(__xludf.DUMMYFUNCTION("""COMPUTED_VALUE"""),"-")</f>
        <v>-</v>
      </c>
      <c r="S981" s="97" t="str">
        <f>IFERROR(__xludf.DUMMYFUNCTION("""COMPUTED_VALUE"""),"-")</f>
        <v>-</v>
      </c>
      <c r="T981" s="97">
        <f>IFERROR(__xludf.DUMMYFUNCTION("""COMPUTED_VALUE"""),3030.0)</f>
        <v>3030</v>
      </c>
      <c r="U981" s="99">
        <f>IFERROR(__xludf.DUMMYFUNCTION("""COMPUTED_VALUE"""),67.33333333333333)</f>
        <v>67.33333333</v>
      </c>
      <c r="V981" s="97">
        <f>IFERROR(__xludf.DUMMYFUNCTION("""COMPUTED_VALUE"""),110.0)</f>
        <v>110</v>
      </c>
      <c r="W981" s="97" t="str">
        <f>IFERROR(__xludf.DUMMYFUNCTION("""COMPUTED_VALUE"""),"&lt; 20")</f>
        <v>&lt; 20</v>
      </c>
      <c r="X981" s="97" t="str">
        <f>IFERROR(__xludf.DUMMYFUNCTION("""COMPUTED_VALUE"""),"3000/4000/6000")</f>
        <v>3000/4000/6000</v>
      </c>
      <c r="Y981" s="97" t="str">
        <f>IFERROR(__xludf.DUMMYFUNCTION("""COMPUTED_VALUE"""),"&gt;90")</f>
        <v>&gt;90</v>
      </c>
      <c r="Z981" s="97"/>
      <c r="AA981" s="97"/>
      <c r="AB981" s="97"/>
      <c r="AC981" s="97"/>
      <c r="AD981" s="97" t="str">
        <f>IFERROR(__xludf.DUMMYFUNCTION("""COMPUTED_VALUE"""),"IP20")</f>
        <v>IP20</v>
      </c>
      <c r="AE981" s="97" t="str">
        <f>IFERROR(__xludf.DUMMYFUNCTION("""COMPUTED_VALUE"""),"Clase l")</f>
        <v>Clase l</v>
      </c>
      <c r="AF981" s="97" t="str">
        <f>IFERROR(__xludf.DUMMYFUNCTION("""COMPUTED_VALUE"""),"Aplicar, Suspender")</f>
        <v>Aplicar, Suspender</v>
      </c>
      <c r="AG981" s="97" t="str">
        <f>IFERROR(__xludf.DUMMYFUNCTION("""COMPUTED_VALUE"""),"Ø480 x 95")</f>
        <v>Ø480 x 95</v>
      </c>
      <c r="AH981" s="97" t="str">
        <f>IFERROR(__xludf.DUMMYFUNCTION("""COMPUTED_VALUE"""),"N/A")</f>
        <v>N/A</v>
      </c>
      <c r="AI981" s="97" t="str">
        <f>IFERROR(__xludf.DUMMYFUNCTION("""COMPUTED_VALUE"""),"N/A")</f>
        <v>N/A</v>
      </c>
      <c r="AJ981" s="97" t="str">
        <f>IFERROR(__xludf.DUMMYFUNCTION("""COMPUTED_VALUE"""),"PMMA")</f>
        <v>PMMA</v>
      </c>
      <c r="AK981" s="97" t="str">
        <f>IFERROR(__xludf.DUMMYFUNCTION("""COMPUTED_VALUE"""),"Acero")</f>
        <v>Acero</v>
      </c>
      <c r="AL981" s="97" t="str">
        <f>IFERROR(__xludf.DUMMYFUNCTION("""COMPUTED_VALUE"""),"Blanco Satinado")</f>
        <v>Blanco Satinado</v>
      </c>
      <c r="AM981" s="97" t="str">
        <f>IFERROR(__xludf.DUMMYFUNCTION("""COMPUTED_VALUE"""),"-")</f>
        <v>-</v>
      </c>
      <c r="AN981" s="97" t="str">
        <f>IFERROR(__xludf.DUMMYFUNCTION("""COMPUTED_VALUE"""),"25.000hs (L70)")</f>
        <v>25.000hs (L70)</v>
      </c>
      <c r="AO981" s="97" t="str">
        <f>IFERROR(__xludf.DUMMYFUNCTION("""COMPUTED_VALUE"""),"2 Años")</f>
        <v>2 Años</v>
      </c>
      <c r="AP981" s="97" t="str">
        <f>IFERROR(__xludf.DUMMYFUNCTION("""COMPUTED_VALUE"""),"Disponible")</f>
        <v>Disponible</v>
      </c>
      <c r="AQ981" s="97" t="str">
        <f>IFERROR(__xludf.DUMMYFUNCTION("""COMPUTED_VALUE"""),"Disponible")</f>
        <v>Disponible</v>
      </c>
      <c r="AR981" s="97" t="str">
        <f>IFERROR(__xludf.DUMMYFUNCTION("""COMPUTED_VALUE"""),"Disponible")</f>
        <v>Disponible</v>
      </c>
      <c r="AS981" s="97"/>
      <c r="AT981" s="97"/>
      <c r="AU981" s="97" t="str">
        <f>IFERROR(__xludf.DUMMYFUNCTION("""COMPUTED_VALUE"""),"Falta")</f>
        <v>Falta</v>
      </c>
      <c r="AV981" s="97" t="str">
        <f>IFERROR(__xludf.DUMMYFUNCTION("""COMPUTED_VALUE"""),"Aplique")</f>
        <v>Aplique</v>
      </c>
      <c r="AW981" s="97" t="str">
        <f>IFERROR(__xludf.DUMMYFUNCTION("""COMPUTED_VALUE"""),"De Techo")</f>
        <v>De Techo</v>
      </c>
      <c r="AX981" s="97" t="str">
        <f>IFERROR(__xludf.DUMMYFUNCTION("""COMPUTED_VALUE"""),"Interior")</f>
        <v>Interior</v>
      </c>
      <c r="AY981" s="97" t="str">
        <f>IFERROR(__xludf.DUMMYFUNCTION("""COMPUTED_VALUE"""),"-")</f>
        <v>-</v>
      </c>
      <c r="AZ981" s="97" t="str">
        <f>IFERROR(__xludf.DUMMYFUNCTION("""COMPUTED_VALUE"""),"Switch p/cambio de color. Aplica KIT SUSPENSIÓN 4 TENSORES BL 6829 o NG 6830.")</f>
        <v>Switch p/cambio de color. Aplica KIT SUSPENSIÓN 4 TENSORES BL 6829 o NG 6830.</v>
      </c>
      <c r="BA981" s="97">
        <f>IFERROR(__xludf.DUMMYFUNCTION("""COMPUTED_VALUE"""),5.0)</f>
        <v>5</v>
      </c>
      <c r="BB981" s="97" t="str">
        <f>IFERROR(__xludf.DUMMYFUNCTION("""COMPUTED_VALUE"""),"-")</f>
        <v>-</v>
      </c>
      <c r="BC981" s="97" t="str">
        <f>IFERROR(__xludf.DUMMYFUNCTION("""COMPUTED_VALUE"""),"-")</f>
        <v>-</v>
      </c>
      <c r="BD981" s="97" t="str">
        <f>IFERROR(__xludf.DUMMYFUNCTION("""COMPUTED_VALUE"""),"BONY")</f>
        <v>BONY</v>
      </c>
      <c r="BE981" s="97" t="str">
        <f>IFERROR(__xludf.DUMMYFUNCTION("""COMPUTED_VALUE"""),"Finalizada")</f>
        <v>Finalizada</v>
      </c>
      <c r="BF981" s="97"/>
      <c r="BG981" s="97" t="str">
        <f>IFERROR(__xludf.DUMMYFUNCTION("""COMPUTED_VALUE"""),"Activo")</f>
        <v>Activo</v>
      </c>
    </row>
    <row r="982">
      <c r="A982" s="97">
        <f>IFERROR(__xludf.DUMMYFUNCTION("""COMPUTED_VALUE"""),6768.0)</f>
        <v>6768</v>
      </c>
      <c r="B982" s="97" t="str">
        <f>IFERROR(__xludf.DUMMYFUNCTION("""COMPUTED_VALUE"""),"CARAMEL BLMD")</f>
        <v>CARAMEL BLMD</v>
      </c>
      <c r="C982" s="97" t="str">
        <f>IFERROR(__xludf.DUMMYFUNCTION("""COMPUTED_VALUE"""),"APLIQUE CARAMEL BLMD 45W 3000/4000/6000K 2250LM CRI&gt;90 IP20 LEUK")</f>
        <v>APLIQUE CARAMEL BLMD 45W 3000/4000/6000K 2250LM CRI&gt;90 IP20 LEUK</v>
      </c>
      <c r="D982" s="97">
        <f>IFERROR(__xludf.DUMMYFUNCTION("""COMPUTED_VALUE"""),7.798413222692E12)</f>
        <v>7798413222692</v>
      </c>
      <c r="E982" s="97" t="str">
        <f>IFERROR(__xludf.DUMMYFUNCTION("""COMPUTED_VALUE"""),"F107")</f>
        <v>F107</v>
      </c>
      <c r="F982" s="97" t="str">
        <f>IFERROR(__xludf.DUMMYFUNCTION("""COMPUTED_VALUE"""),"LED integrado")</f>
        <v>LED integrado</v>
      </c>
      <c r="G982" s="97" t="str">
        <f>IFERROR(__xludf.DUMMYFUNCTION("""COMPUTED_VALUE"""),"-")</f>
        <v>-</v>
      </c>
      <c r="H982" s="97" t="str">
        <f>IFERROR(__xludf.DUMMYFUNCTION("""COMPUTED_VALUE"""),"-")</f>
        <v>-</v>
      </c>
      <c r="I982" s="97"/>
      <c r="J982" s="97" t="str">
        <f>IFERROR(__xludf.DUMMYFUNCTION("""COMPUTED_VALUE"""),"Modelo: CX-37-60Wx1
In: 175-265Vac 50/60Hz
Out: 110-210V 230mA")</f>
        <v>Modelo: CX-37-60Wx1
In: 175-265Vac 50/60Hz
Out: 110-210V 230mA</v>
      </c>
      <c r="K982" s="97" t="str">
        <f>IFERROR(__xludf.DUMMYFUNCTION("""COMPUTED_VALUE"""),"ON/OFF")</f>
        <v>ON/OFF</v>
      </c>
      <c r="L982" s="97" t="str">
        <f>IFERROR(__xludf.DUMMYFUNCTION("""COMPUTED_VALUE"""),"200-240")</f>
        <v>200-240</v>
      </c>
      <c r="M982" s="97" t="str">
        <f>IFERROR(__xludf.DUMMYFUNCTION("""COMPUTED_VALUE"""),"50/60")</f>
        <v>50/60</v>
      </c>
      <c r="N982" s="97" t="str">
        <f>IFERROR(__xludf.DUMMYFUNCTION("""COMPUTED_VALUE"""),"Directa-Simétrica")</f>
        <v>Directa-Simétrica</v>
      </c>
      <c r="O982" s="97">
        <f>IFERROR(__xludf.DUMMYFUNCTION("""COMPUTED_VALUE"""),45.0)</f>
        <v>45</v>
      </c>
      <c r="P982" s="97"/>
      <c r="Q982" s="97">
        <f>IFERROR(__xludf.DUMMYFUNCTION("""COMPUTED_VALUE"""),0.62)</f>
        <v>0.62</v>
      </c>
      <c r="R982" s="97" t="str">
        <f>IFERROR(__xludf.DUMMYFUNCTION("""COMPUTED_VALUE"""),"-")</f>
        <v>-</v>
      </c>
      <c r="S982" s="97" t="str">
        <f>IFERROR(__xludf.DUMMYFUNCTION("""COMPUTED_VALUE"""),"-")</f>
        <v>-</v>
      </c>
      <c r="T982" s="97">
        <f>IFERROR(__xludf.DUMMYFUNCTION("""COMPUTED_VALUE"""),2250.0)</f>
        <v>2250</v>
      </c>
      <c r="U982" s="99">
        <f>IFERROR(__xludf.DUMMYFUNCTION("""COMPUTED_VALUE"""),50.0)</f>
        <v>50</v>
      </c>
      <c r="V982" s="97">
        <f>IFERROR(__xludf.DUMMYFUNCTION("""COMPUTED_VALUE"""),110.0)</f>
        <v>110</v>
      </c>
      <c r="W982" s="97" t="str">
        <f>IFERROR(__xludf.DUMMYFUNCTION("""COMPUTED_VALUE"""),"&lt; 20")</f>
        <v>&lt; 20</v>
      </c>
      <c r="X982" s="97" t="str">
        <f>IFERROR(__xludf.DUMMYFUNCTION("""COMPUTED_VALUE"""),"3000/4000/6000")</f>
        <v>3000/4000/6000</v>
      </c>
      <c r="Y982" s="97" t="str">
        <f>IFERROR(__xludf.DUMMYFUNCTION("""COMPUTED_VALUE"""),"&gt;90")</f>
        <v>&gt;90</v>
      </c>
      <c r="Z982" s="97"/>
      <c r="AA982" s="97"/>
      <c r="AB982" s="97"/>
      <c r="AC982" s="97"/>
      <c r="AD982" s="97" t="str">
        <f>IFERROR(__xludf.DUMMYFUNCTION("""COMPUTED_VALUE"""),"IP20")</f>
        <v>IP20</v>
      </c>
      <c r="AE982" s="97" t="str">
        <f>IFERROR(__xludf.DUMMYFUNCTION("""COMPUTED_VALUE"""),"Clase l")</f>
        <v>Clase l</v>
      </c>
      <c r="AF982" s="97" t="str">
        <f>IFERROR(__xludf.DUMMYFUNCTION("""COMPUTED_VALUE"""),"Aplicar, Suspender")</f>
        <v>Aplicar, Suspender</v>
      </c>
      <c r="AG982" s="97" t="str">
        <f>IFERROR(__xludf.DUMMYFUNCTION("""COMPUTED_VALUE"""),"Ø490 x 70")</f>
        <v>Ø490 x 70</v>
      </c>
      <c r="AH982" s="97" t="str">
        <f>IFERROR(__xludf.DUMMYFUNCTION("""COMPUTED_VALUE"""),"N/A")</f>
        <v>N/A</v>
      </c>
      <c r="AI982" s="97" t="str">
        <f>IFERROR(__xludf.DUMMYFUNCTION("""COMPUTED_VALUE"""),"N/A")</f>
        <v>N/A</v>
      </c>
      <c r="AJ982" s="97" t="str">
        <f>IFERROR(__xludf.DUMMYFUNCTION("""COMPUTED_VALUE"""),"PMMA")</f>
        <v>PMMA</v>
      </c>
      <c r="AK982" s="97" t="str">
        <f>IFERROR(__xludf.DUMMYFUNCTION("""COMPUTED_VALUE"""),"ABS")</f>
        <v>ABS</v>
      </c>
      <c r="AL982" s="97" t="str">
        <f>IFERROR(__xludf.DUMMYFUNCTION("""COMPUTED_VALUE"""),"Blanco y Madera")</f>
        <v>Blanco y Madera</v>
      </c>
      <c r="AM982" s="97" t="str">
        <f>IFERROR(__xludf.DUMMYFUNCTION("""COMPUTED_VALUE"""),"-")</f>
        <v>-</v>
      </c>
      <c r="AN982" s="97" t="str">
        <f>IFERROR(__xludf.DUMMYFUNCTION("""COMPUTED_VALUE"""),"25.000hs (L70)")</f>
        <v>25.000hs (L70)</v>
      </c>
      <c r="AO982" s="97" t="str">
        <f>IFERROR(__xludf.DUMMYFUNCTION("""COMPUTED_VALUE"""),"2 Años")</f>
        <v>2 Años</v>
      </c>
      <c r="AP982" s="97" t="str">
        <f>IFERROR(__xludf.DUMMYFUNCTION("""COMPUTED_VALUE"""),"Disponible")</f>
        <v>Disponible</v>
      </c>
      <c r="AQ982" s="97" t="str">
        <f>IFERROR(__xludf.DUMMYFUNCTION("""COMPUTED_VALUE"""),"Disponible")</f>
        <v>Disponible</v>
      </c>
      <c r="AR982" s="97" t="str">
        <f>IFERROR(__xludf.DUMMYFUNCTION("""COMPUTED_VALUE"""),"Disponible")</f>
        <v>Disponible</v>
      </c>
      <c r="AS982" s="97"/>
      <c r="AT982" s="97"/>
      <c r="AU982" s="97" t="str">
        <f>IFERROR(__xludf.DUMMYFUNCTION("""COMPUTED_VALUE"""),"Falta")</f>
        <v>Falta</v>
      </c>
      <c r="AV982" s="97" t="str">
        <f>IFERROR(__xludf.DUMMYFUNCTION("""COMPUTED_VALUE"""),"Aplique")</f>
        <v>Aplique</v>
      </c>
      <c r="AW982" s="97" t="str">
        <f>IFERROR(__xludf.DUMMYFUNCTION("""COMPUTED_VALUE"""),"De Techo")</f>
        <v>De Techo</v>
      </c>
      <c r="AX982" s="97" t="str">
        <f>IFERROR(__xludf.DUMMYFUNCTION("""COMPUTED_VALUE"""),"Interior")</f>
        <v>Interior</v>
      </c>
      <c r="AY982" s="97" t="str">
        <f>IFERROR(__xludf.DUMMYFUNCTION("""COMPUTED_VALUE"""),"-")</f>
        <v>-</v>
      </c>
      <c r="AZ982" s="97" t="str">
        <f>IFERROR(__xludf.DUMMYFUNCTION("""COMPUTED_VALUE"""),"Switch p/cambio de color. Aplica KIT SUSPENSIÓN 4 TENSORES BL 6829 o NG 6830.")</f>
        <v>Switch p/cambio de color. Aplica KIT SUSPENSIÓN 4 TENSORES BL 6829 o NG 6830.</v>
      </c>
      <c r="BA982" s="97">
        <f>IFERROR(__xludf.DUMMYFUNCTION("""COMPUTED_VALUE"""),5.0)</f>
        <v>5</v>
      </c>
      <c r="BB982" s="97" t="str">
        <f>IFERROR(__xludf.DUMMYFUNCTION("""COMPUTED_VALUE"""),"-")</f>
        <v>-</v>
      </c>
      <c r="BC982" s="97" t="str">
        <f>IFERROR(__xludf.DUMMYFUNCTION("""COMPUTED_VALUE"""),"-")</f>
        <v>-</v>
      </c>
      <c r="BD982" s="97" t="str">
        <f>IFERROR(__xludf.DUMMYFUNCTION("""COMPUTED_VALUE"""),"CARAMEL")</f>
        <v>CARAMEL</v>
      </c>
      <c r="BE982" s="97" t="str">
        <f>IFERROR(__xludf.DUMMYFUNCTION("""COMPUTED_VALUE"""),"Finalizada")</f>
        <v>Finalizada</v>
      </c>
      <c r="BF982" s="97"/>
      <c r="BG982" s="97" t="str">
        <f>IFERROR(__xludf.DUMMYFUNCTION("""COMPUTED_VALUE"""),"Activo")</f>
        <v>Activo</v>
      </c>
    </row>
    <row r="983">
      <c r="A983" s="97">
        <f>IFERROR(__xludf.DUMMYFUNCTION("""COMPUTED_VALUE"""),6769.0)</f>
        <v>6769</v>
      </c>
      <c r="B983" s="97" t="str">
        <f>IFERROR(__xludf.DUMMYFUNCTION("""COMPUTED_VALUE"""),"CHESTER BLMD")</f>
        <v>CHESTER BLMD</v>
      </c>
      <c r="C983" s="97" t="str">
        <f>IFERROR(__xludf.DUMMYFUNCTION("""COMPUTED_VALUE"""),"APLIQUE CHESTER BLMD 45W 3000/4000/6000K 2250LM CRI&gt;90 IP20 LEUK")</f>
        <v>APLIQUE CHESTER BLMD 45W 3000/4000/6000K 2250LM CRI&gt;90 IP20 LEUK</v>
      </c>
      <c r="D983" s="97">
        <f>IFERROR(__xludf.DUMMYFUNCTION("""COMPUTED_VALUE"""),7.798413222708E12)</f>
        <v>7798413222708</v>
      </c>
      <c r="E983" s="97" t="str">
        <f>IFERROR(__xludf.DUMMYFUNCTION("""COMPUTED_VALUE"""),"F104")</f>
        <v>F104</v>
      </c>
      <c r="F983" s="97" t="str">
        <f>IFERROR(__xludf.DUMMYFUNCTION("""COMPUTED_VALUE"""),"LED integrado")</f>
        <v>LED integrado</v>
      </c>
      <c r="G983" s="97" t="str">
        <f>IFERROR(__xludf.DUMMYFUNCTION("""COMPUTED_VALUE"""),"-")</f>
        <v>-</v>
      </c>
      <c r="H983" s="97" t="str">
        <f>IFERROR(__xludf.DUMMYFUNCTION("""COMPUTED_VALUE"""),"-")</f>
        <v>-</v>
      </c>
      <c r="I983" s="97"/>
      <c r="J983" s="97" t="str">
        <f>IFERROR(__xludf.DUMMYFUNCTION("""COMPUTED_VALUE"""),"Modelo: CX-37-60Wx1
In: 175-265Vac 50/60Hz
Out: 110-210V 230mA")</f>
        <v>Modelo: CX-37-60Wx1
In: 175-265Vac 50/60Hz
Out: 110-210V 230mA</v>
      </c>
      <c r="K983" s="97" t="str">
        <f>IFERROR(__xludf.DUMMYFUNCTION("""COMPUTED_VALUE"""),"ON/OFF")</f>
        <v>ON/OFF</v>
      </c>
      <c r="L983" s="97" t="str">
        <f>IFERROR(__xludf.DUMMYFUNCTION("""COMPUTED_VALUE"""),"200-240")</f>
        <v>200-240</v>
      </c>
      <c r="M983" s="97" t="str">
        <f>IFERROR(__xludf.DUMMYFUNCTION("""COMPUTED_VALUE"""),"50/60")</f>
        <v>50/60</v>
      </c>
      <c r="N983" s="97" t="str">
        <f>IFERROR(__xludf.DUMMYFUNCTION("""COMPUTED_VALUE"""),"Directa-Simétrica")</f>
        <v>Directa-Simétrica</v>
      </c>
      <c r="O983" s="97">
        <f>IFERROR(__xludf.DUMMYFUNCTION("""COMPUTED_VALUE"""),45.0)</f>
        <v>45</v>
      </c>
      <c r="P983" s="97"/>
      <c r="Q983" s="97">
        <f>IFERROR(__xludf.DUMMYFUNCTION("""COMPUTED_VALUE"""),0.58)</f>
        <v>0.58</v>
      </c>
      <c r="R983" s="97" t="str">
        <f>IFERROR(__xludf.DUMMYFUNCTION("""COMPUTED_VALUE"""),"-")</f>
        <v>-</v>
      </c>
      <c r="S983" s="97" t="str">
        <f>IFERROR(__xludf.DUMMYFUNCTION("""COMPUTED_VALUE"""),"-")</f>
        <v>-</v>
      </c>
      <c r="T983" s="97">
        <f>IFERROR(__xludf.DUMMYFUNCTION("""COMPUTED_VALUE"""),2250.0)</f>
        <v>2250</v>
      </c>
      <c r="U983" s="99">
        <f>IFERROR(__xludf.DUMMYFUNCTION("""COMPUTED_VALUE"""),50.0)</f>
        <v>50</v>
      </c>
      <c r="V983" s="97">
        <f>IFERROR(__xludf.DUMMYFUNCTION("""COMPUTED_VALUE"""),110.0)</f>
        <v>110</v>
      </c>
      <c r="W983" s="97" t="str">
        <f>IFERROR(__xludf.DUMMYFUNCTION("""COMPUTED_VALUE"""),"&lt; 20")</f>
        <v>&lt; 20</v>
      </c>
      <c r="X983" s="97" t="str">
        <f>IFERROR(__xludf.DUMMYFUNCTION("""COMPUTED_VALUE"""),"3000/4000/6000")</f>
        <v>3000/4000/6000</v>
      </c>
      <c r="Y983" s="97" t="str">
        <f>IFERROR(__xludf.DUMMYFUNCTION("""COMPUTED_VALUE"""),"&gt;90")</f>
        <v>&gt;90</v>
      </c>
      <c r="Z983" s="97"/>
      <c r="AA983" s="97"/>
      <c r="AB983" s="97"/>
      <c r="AC983" s="97"/>
      <c r="AD983" s="97" t="str">
        <f>IFERROR(__xludf.DUMMYFUNCTION("""COMPUTED_VALUE"""),"IP20")</f>
        <v>IP20</v>
      </c>
      <c r="AE983" s="97" t="str">
        <f>IFERROR(__xludf.DUMMYFUNCTION("""COMPUTED_VALUE"""),"Clase l")</f>
        <v>Clase l</v>
      </c>
      <c r="AF983" s="97" t="str">
        <f>IFERROR(__xludf.DUMMYFUNCTION("""COMPUTED_VALUE"""),"Aplicar, Suspender")</f>
        <v>Aplicar, Suspender</v>
      </c>
      <c r="AG983" s="97" t="str">
        <f>IFERROR(__xludf.DUMMYFUNCTION("""COMPUTED_VALUE"""),"Ø510 x 70")</f>
        <v>Ø510 x 70</v>
      </c>
      <c r="AH983" s="97" t="str">
        <f>IFERROR(__xludf.DUMMYFUNCTION("""COMPUTED_VALUE"""),"N/A")</f>
        <v>N/A</v>
      </c>
      <c r="AI983" s="97" t="str">
        <f>IFERROR(__xludf.DUMMYFUNCTION("""COMPUTED_VALUE"""),"N/A")</f>
        <v>N/A</v>
      </c>
      <c r="AJ983" s="97" t="str">
        <f>IFERROR(__xludf.DUMMYFUNCTION("""COMPUTED_VALUE"""),"PMMA")</f>
        <v>PMMA</v>
      </c>
      <c r="AK983" s="97" t="str">
        <f>IFERROR(__xludf.DUMMYFUNCTION("""COMPUTED_VALUE"""),"ABS")</f>
        <v>ABS</v>
      </c>
      <c r="AL983" s="97" t="str">
        <f>IFERROR(__xludf.DUMMYFUNCTION("""COMPUTED_VALUE"""),"Blanco y Madera")</f>
        <v>Blanco y Madera</v>
      </c>
      <c r="AM983" s="97" t="str">
        <f>IFERROR(__xludf.DUMMYFUNCTION("""COMPUTED_VALUE"""),"-")</f>
        <v>-</v>
      </c>
      <c r="AN983" s="97" t="str">
        <f>IFERROR(__xludf.DUMMYFUNCTION("""COMPUTED_VALUE"""),"25.000hs (L70)")</f>
        <v>25.000hs (L70)</v>
      </c>
      <c r="AO983" s="97" t="str">
        <f>IFERROR(__xludf.DUMMYFUNCTION("""COMPUTED_VALUE"""),"2 Años")</f>
        <v>2 Años</v>
      </c>
      <c r="AP983" s="97" t="str">
        <f>IFERROR(__xludf.DUMMYFUNCTION("""COMPUTED_VALUE"""),"Disponible")</f>
        <v>Disponible</v>
      </c>
      <c r="AQ983" s="97" t="str">
        <f>IFERROR(__xludf.DUMMYFUNCTION("""COMPUTED_VALUE"""),"Disponible")</f>
        <v>Disponible</v>
      </c>
      <c r="AR983" s="97" t="str">
        <f>IFERROR(__xludf.DUMMYFUNCTION("""COMPUTED_VALUE"""),"Disponible")</f>
        <v>Disponible</v>
      </c>
      <c r="AS983" s="97"/>
      <c r="AT983" s="97"/>
      <c r="AU983" s="97" t="str">
        <f>IFERROR(__xludf.DUMMYFUNCTION("""COMPUTED_VALUE"""),"Disponible")</f>
        <v>Disponible</v>
      </c>
      <c r="AV983" s="97" t="str">
        <f>IFERROR(__xludf.DUMMYFUNCTION("""COMPUTED_VALUE"""),"Aplique")</f>
        <v>Aplique</v>
      </c>
      <c r="AW983" s="97" t="str">
        <f>IFERROR(__xludf.DUMMYFUNCTION("""COMPUTED_VALUE"""),"De Techo")</f>
        <v>De Techo</v>
      </c>
      <c r="AX983" s="97" t="str">
        <f>IFERROR(__xludf.DUMMYFUNCTION("""COMPUTED_VALUE"""),"Interior")</f>
        <v>Interior</v>
      </c>
      <c r="AY983" s="97" t="str">
        <f>IFERROR(__xludf.DUMMYFUNCTION("""COMPUTED_VALUE"""),"-")</f>
        <v>-</v>
      </c>
      <c r="AZ983" s="97" t="str">
        <f>IFERROR(__xludf.DUMMYFUNCTION("""COMPUTED_VALUE"""),"Switch p/cambio de color. Aplica KIT SUSPENSIÓN 4 TENSORES BL 6829 o NG 6830.")</f>
        <v>Switch p/cambio de color. Aplica KIT SUSPENSIÓN 4 TENSORES BL 6829 o NG 6830.</v>
      </c>
      <c r="BA983" s="97">
        <f>IFERROR(__xludf.DUMMYFUNCTION("""COMPUTED_VALUE"""),5.0)</f>
        <v>5</v>
      </c>
      <c r="BB983" s="97" t="str">
        <f>IFERROR(__xludf.DUMMYFUNCTION("""COMPUTED_VALUE"""),"-")</f>
        <v>-</v>
      </c>
      <c r="BC983" s="97" t="str">
        <f>IFERROR(__xludf.DUMMYFUNCTION("""COMPUTED_VALUE"""),"-")</f>
        <v>-</v>
      </c>
      <c r="BD983" s="97" t="str">
        <f>IFERROR(__xludf.DUMMYFUNCTION("""COMPUTED_VALUE"""),"CHESTER")</f>
        <v>CHESTER</v>
      </c>
      <c r="BE983" s="97" t="str">
        <f>IFERROR(__xludf.DUMMYFUNCTION("""COMPUTED_VALUE"""),"Finalizada")</f>
        <v>Finalizada</v>
      </c>
      <c r="BF983" s="97"/>
      <c r="BG983" s="97" t="str">
        <f>IFERROR(__xludf.DUMMYFUNCTION("""COMPUTED_VALUE"""),"En Salida")</f>
        <v>En Salida</v>
      </c>
    </row>
    <row r="984">
      <c r="A984" s="97">
        <f>IFERROR(__xludf.DUMMYFUNCTION("""COMPUTED_VALUE"""),6770.0)</f>
        <v>6770</v>
      </c>
      <c r="B984" s="97" t="str">
        <f>IFERROR(__xludf.DUMMYFUNCTION("""COMPUTED_VALUE"""),"CHESTER NGMD")</f>
        <v>CHESTER NGMD</v>
      </c>
      <c r="C984" s="97" t="str">
        <f>IFERROR(__xludf.DUMMYFUNCTION("""COMPUTED_VALUE"""),"APLIQUE CHESTER NGMD 45W 3000/4000/6000K 2250LM CRI&gt;90 IP20 LEUK")</f>
        <v>APLIQUE CHESTER NGMD 45W 3000/4000/6000K 2250LM CRI&gt;90 IP20 LEUK</v>
      </c>
      <c r="D984" s="97">
        <f>IFERROR(__xludf.DUMMYFUNCTION("""COMPUTED_VALUE"""),7.798413222715E12)</f>
        <v>7798413222715</v>
      </c>
      <c r="E984" s="97" t="str">
        <f>IFERROR(__xludf.DUMMYFUNCTION("""COMPUTED_VALUE"""),"F103")</f>
        <v>F103</v>
      </c>
      <c r="F984" s="97" t="str">
        <f>IFERROR(__xludf.DUMMYFUNCTION("""COMPUTED_VALUE"""),"LED integrado")</f>
        <v>LED integrado</v>
      </c>
      <c r="G984" s="97" t="str">
        <f>IFERROR(__xludf.DUMMYFUNCTION("""COMPUTED_VALUE"""),"-")</f>
        <v>-</v>
      </c>
      <c r="H984" s="97" t="str">
        <f>IFERROR(__xludf.DUMMYFUNCTION("""COMPUTED_VALUE"""),"-")</f>
        <v>-</v>
      </c>
      <c r="I984" s="97"/>
      <c r="J984" s="97" t="str">
        <f>IFERROR(__xludf.DUMMYFUNCTION("""COMPUTED_VALUE"""),"Modelo: CX-37-60Wx1
In: 175-265Vac 50/60Hz
Out: 110-210V 230mA")</f>
        <v>Modelo: CX-37-60Wx1
In: 175-265Vac 50/60Hz
Out: 110-210V 230mA</v>
      </c>
      <c r="K984" s="97" t="str">
        <f>IFERROR(__xludf.DUMMYFUNCTION("""COMPUTED_VALUE"""),"ON/OFF")</f>
        <v>ON/OFF</v>
      </c>
      <c r="L984" s="97" t="str">
        <f>IFERROR(__xludf.DUMMYFUNCTION("""COMPUTED_VALUE"""),"200-240")</f>
        <v>200-240</v>
      </c>
      <c r="M984" s="97" t="str">
        <f>IFERROR(__xludf.DUMMYFUNCTION("""COMPUTED_VALUE"""),"50/60")</f>
        <v>50/60</v>
      </c>
      <c r="N984" s="97" t="str">
        <f>IFERROR(__xludf.DUMMYFUNCTION("""COMPUTED_VALUE"""),"Directa-Simétrica")</f>
        <v>Directa-Simétrica</v>
      </c>
      <c r="O984" s="97">
        <f>IFERROR(__xludf.DUMMYFUNCTION("""COMPUTED_VALUE"""),45.0)</f>
        <v>45</v>
      </c>
      <c r="P984" s="97"/>
      <c r="Q984" s="97">
        <f>IFERROR(__xludf.DUMMYFUNCTION("""COMPUTED_VALUE"""),0.58)</f>
        <v>0.58</v>
      </c>
      <c r="R984" s="97" t="str">
        <f>IFERROR(__xludf.DUMMYFUNCTION("""COMPUTED_VALUE"""),"-")</f>
        <v>-</v>
      </c>
      <c r="S984" s="97" t="str">
        <f>IFERROR(__xludf.DUMMYFUNCTION("""COMPUTED_VALUE"""),"-")</f>
        <v>-</v>
      </c>
      <c r="T984" s="97">
        <f>IFERROR(__xludf.DUMMYFUNCTION("""COMPUTED_VALUE"""),2250.0)</f>
        <v>2250</v>
      </c>
      <c r="U984" s="99">
        <f>IFERROR(__xludf.DUMMYFUNCTION("""COMPUTED_VALUE"""),50.0)</f>
        <v>50</v>
      </c>
      <c r="V984" s="97">
        <f>IFERROR(__xludf.DUMMYFUNCTION("""COMPUTED_VALUE"""),110.0)</f>
        <v>110</v>
      </c>
      <c r="W984" s="97" t="str">
        <f>IFERROR(__xludf.DUMMYFUNCTION("""COMPUTED_VALUE"""),"&lt; 20")</f>
        <v>&lt; 20</v>
      </c>
      <c r="X984" s="97" t="str">
        <f>IFERROR(__xludf.DUMMYFUNCTION("""COMPUTED_VALUE"""),"3000/4000/6000")</f>
        <v>3000/4000/6000</v>
      </c>
      <c r="Y984" s="97" t="str">
        <f>IFERROR(__xludf.DUMMYFUNCTION("""COMPUTED_VALUE"""),"&gt;90")</f>
        <v>&gt;90</v>
      </c>
      <c r="Z984" s="97"/>
      <c r="AA984" s="97"/>
      <c r="AB984" s="97"/>
      <c r="AC984" s="97"/>
      <c r="AD984" s="97" t="str">
        <f>IFERROR(__xludf.DUMMYFUNCTION("""COMPUTED_VALUE"""),"IP20")</f>
        <v>IP20</v>
      </c>
      <c r="AE984" s="97" t="str">
        <f>IFERROR(__xludf.DUMMYFUNCTION("""COMPUTED_VALUE"""),"Clase l")</f>
        <v>Clase l</v>
      </c>
      <c r="AF984" s="97" t="str">
        <f>IFERROR(__xludf.DUMMYFUNCTION("""COMPUTED_VALUE"""),"Aplicar, Suspender")</f>
        <v>Aplicar, Suspender</v>
      </c>
      <c r="AG984" s="97" t="str">
        <f>IFERROR(__xludf.DUMMYFUNCTION("""COMPUTED_VALUE"""),"Ø510 x 70")</f>
        <v>Ø510 x 70</v>
      </c>
      <c r="AH984" s="97" t="str">
        <f>IFERROR(__xludf.DUMMYFUNCTION("""COMPUTED_VALUE"""),"N/A")</f>
        <v>N/A</v>
      </c>
      <c r="AI984" s="97" t="str">
        <f>IFERROR(__xludf.DUMMYFUNCTION("""COMPUTED_VALUE"""),"N/A")</f>
        <v>N/A</v>
      </c>
      <c r="AJ984" s="97" t="str">
        <f>IFERROR(__xludf.DUMMYFUNCTION("""COMPUTED_VALUE"""),"PMMA")</f>
        <v>PMMA</v>
      </c>
      <c r="AK984" s="97" t="str">
        <f>IFERROR(__xludf.DUMMYFUNCTION("""COMPUTED_VALUE"""),"ABS")</f>
        <v>ABS</v>
      </c>
      <c r="AL984" s="97" t="str">
        <f>IFERROR(__xludf.DUMMYFUNCTION("""COMPUTED_VALUE"""),"Negro y Madera")</f>
        <v>Negro y Madera</v>
      </c>
      <c r="AM984" s="97" t="str">
        <f>IFERROR(__xludf.DUMMYFUNCTION("""COMPUTED_VALUE"""),"-")</f>
        <v>-</v>
      </c>
      <c r="AN984" s="97" t="str">
        <f>IFERROR(__xludf.DUMMYFUNCTION("""COMPUTED_VALUE"""),"25.000hs (L70)")</f>
        <v>25.000hs (L70)</v>
      </c>
      <c r="AO984" s="97" t="str">
        <f>IFERROR(__xludf.DUMMYFUNCTION("""COMPUTED_VALUE"""),"2 Años")</f>
        <v>2 Años</v>
      </c>
      <c r="AP984" s="97" t="str">
        <f>IFERROR(__xludf.DUMMYFUNCTION("""COMPUTED_VALUE"""),"Disponible")</f>
        <v>Disponible</v>
      </c>
      <c r="AQ984" s="97" t="str">
        <f>IFERROR(__xludf.DUMMYFUNCTION("""COMPUTED_VALUE"""),"Disponible")</f>
        <v>Disponible</v>
      </c>
      <c r="AR984" s="97" t="str">
        <f>IFERROR(__xludf.DUMMYFUNCTION("""COMPUTED_VALUE"""),"Disponible")</f>
        <v>Disponible</v>
      </c>
      <c r="AS984" s="97"/>
      <c r="AT984" s="97"/>
      <c r="AU984" s="97" t="str">
        <f>IFERROR(__xludf.DUMMYFUNCTION("""COMPUTED_VALUE"""),"Disponible")</f>
        <v>Disponible</v>
      </c>
      <c r="AV984" s="97" t="str">
        <f>IFERROR(__xludf.DUMMYFUNCTION("""COMPUTED_VALUE"""),"Aplique")</f>
        <v>Aplique</v>
      </c>
      <c r="AW984" s="97" t="str">
        <f>IFERROR(__xludf.DUMMYFUNCTION("""COMPUTED_VALUE"""),"De Techo")</f>
        <v>De Techo</v>
      </c>
      <c r="AX984" s="97" t="str">
        <f>IFERROR(__xludf.DUMMYFUNCTION("""COMPUTED_VALUE"""),"Interior")</f>
        <v>Interior</v>
      </c>
      <c r="AY984" s="97" t="str">
        <f>IFERROR(__xludf.DUMMYFUNCTION("""COMPUTED_VALUE"""),"-")</f>
        <v>-</v>
      </c>
      <c r="AZ984" s="97" t="str">
        <f>IFERROR(__xludf.DUMMYFUNCTION("""COMPUTED_VALUE"""),"Switch p/cambio de color. Aplica KIT SUSPENSIÓN 4 TENSORES BL 6829 o NG 6830.")</f>
        <v>Switch p/cambio de color. Aplica KIT SUSPENSIÓN 4 TENSORES BL 6829 o NG 6830.</v>
      </c>
      <c r="BA984" s="97">
        <f>IFERROR(__xludf.DUMMYFUNCTION("""COMPUTED_VALUE"""),5.0)</f>
        <v>5</v>
      </c>
      <c r="BB984" s="97" t="str">
        <f>IFERROR(__xludf.DUMMYFUNCTION("""COMPUTED_VALUE"""),"-")</f>
        <v>-</v>
      </c>
      <c r="BC984" s="97" t="str">
        <f>IFERROR(__xludf.DUMMYFUNCTION("""COMPUTED_VALUE"""),"-")</f>
        <v>-</v>
      </c>
      <c r="BD984" s="97" t="str">
        <f>IFERROR(__xludf.DUMMYFUNCTION("""COMPUTED_VALUE"""),"CHESTER")</f>
        <v>CHESTER</v>
      </c>
      <c r="BE984" s="97" t="str">
        <f>IFERROR(__xludf.DUMMYFUNCTION("""COMPUTED_VALUE"""),"Finalizada")</f>
        <v>Finalizada</v>
      </c>
      <c r="BF984" s="97"/>
      <c r="BG984" s="97" t="str">
        <f>IFERROR(__xludf.DUMMYFUNCTION("""COMPUTED_VALUE"""),"En Salida")</f>
        <v>En Salida</v>
      </c>
    </row>
    <row r="985">
      <c r="A985" s="97">
        <f>IFERROR(__xludf.DUMMYFUNCTION("""COMPUTED_VALUE"""),6771.0)</f>
        <v>6771</v>
      </c>
      <c r="B985" s="97" t="str">
        <f>IFERROR(__xludf.DUMMYFUNCTION("""COMPUTED_VALUE"""),"SMOKY")</f>
        <v>SMOKY</v>
      </c>
      <c r="C985" s="97" t="str">
        <f>IFERROR(__xludf.DUMMYFUNCTION("""COMPUTED_VALUE"""),"APLIQUE SMOKY 45W 3000/4000/6000K 2550LM CRI&gt;95 IP20 LEUK")</f>
        <v>APLIQUE SMOKY 45W 3000/4000/6000K 2550LM CRI&gt;95 IP20 LEUK</v>
      </c>
      <c r="D985" s="97">
        <f>IFERROR(__xludf.DUMMYFUNCTION("""COMPUTED_VALUE"""),7.798413222722E12)</f>
        <v>7798413222722</v>
      </c>
      <c r="E985" s="97" t="str">
        <f>IFERROR(__xludf.DUMMYFUNCTION("""COMPUTED_VALUE"""),"F110")</f>
        <v>F110</v>
      </c>
      <c r="F985" s="97" t="str">
        <f>IFERROR(__xludf.DUMMYFUNCTION("""COMPUTED_VALUE"""),"LED integrado")</f>
        <v>LED integrado</v>
      </c>
      <c r="G985" s="97" t="str">
        <f>IFERROR(__xludf.DUMMYFUNCTION("""COMPUTED_VALUE"""),"-")</f>
        <v>-</v>
      </c>
      <c r="H985" s="97" t="str">
        <f>IFERROR(__xludf.DUMMYFUNCTION("""COMPUTED_VALUE"""),"-")</f>
        <v>-</v>
      </c>
      <c r="I985" s="97"/>
      <c r="J985" s="97"/>
      <c r="K985" s="97" t="str">
        <f>IFERROR(__xludf.DUMMYFUNCTION("""COMPUTED_VALUE"""),"ON/OFF")</f>
        <v>ON/OFF</v>
      </c>
      <c r="L985" s="97" t="str">
        <f>IFERROR(__xludf.DUMMYFUNCTION("""COMPUTED_VALUE"""),"200-240")</f>
        <v>200-240</v>
      </c>
      <c r="M985" s="97" t="str">
        <f>IFERROR(__xludf.DUMMYFUNCTION("""COMPUTED_VALUE"""),"50/60")</f>
        <v>50/60</v>
      </c>
      <c r="N985" s="97" t="str">
        <f>IFERROR(__xludf.DUMMYFUNCTION("""COMPUTED_VALUE"""),"Directa-Simétrica")</f>
        <v>Directa-Simétrica</v>
      </c>
      <c r="O985" s="97">
        <f>IFERROR(__xludf.DUMMYFUNCTION("""COMPUTED_VALUE"""),45.0)</f>
        <v>45</v>
      </c>
      <c r="P985" s="97"/>
      <c r="Q985" s="97">
        <f>IFERROR(__xludf.DUMMYFUNCTION("""COMPUTED_VALUE"""),0.63)</f>
        <v>0.63</v>
      </c>
      <c r="R985" s="97" t="str">
        <f>IFERROR(__xludf.DUMMYFUNCTION("""COMPUTED_VALUE"""),"-")</f>
        <v>-</v>
      </c>
      <c r="S985" s="97" t="str">
        <f>IFERROR(__xludf.DUMMYFUNCTION("""COMPUTED_VALUE"""),"-")</f>
        <v>-</v>
      </c>
      <c r="T985" s="97">
        <f>IFERROR(__xludf.DUMMYFUNCTION("""COMPUTED_VALUE"""),2550.0)</f>
        <v>2550</v>
      </c>
      <c r="U985" s="99">
        <f>IFERROR(__xludf.DUMMYFUNCTION("""COMPUTED_VALUE"""),56.666666666666664)</f>
        <v>56.66666667</v>
      </c>
      <c r="V985" s="97">
        <f>IFERROR(__xludf.DUMMYFUNCTION("""COMPUTED_VALUE"""),115.0)</f>
        <v>115</v>
      </c>
      <c r="W985" s="97" t="str">
        <f>IFERROR(__xludf.DUMMYFUNCTION("""COMPUTED_VALUE"""),"&lt; 22")</f>
        <v>&lt; 22</v>
      </c>
      <c r="X985" s="97" t="str">
        <f>IFERROR(__xludf.DUMMYFUNCTION("""COMPUTED_VALUE"""),"3000/4000/6000")</f>
        <v>3000/4000/6000</v>
      </c>
      <c r="Y985" s="97" t="str">
        <f>IFERROR(__xludf.DUMMYFUNCTION("""COMPUTED_VALUE"""),"&gt;95")</f>
        <v>&gt;95</v>
      </c>
      <c r="Z985" s="97"/>
      <c r="AA985" s="97"/>
      <c r="AB985" s="97"/>
      <c r="AC985" s="97"/>
      <c r="AD985" s="97" t="str">
        <f>IFERROR(__xludf.DUMMYFUNCTION("""COMPUTED_VALUE"""),"IP20")</f>
        <v>IP20</v>
      </c>
      <c r="AE985" s="97" t="str">
        <f>IFERROR(__xludf.DUMMYFUNCTION("""COMPUTED_VALUE"""),"Clase l")</f>
        <v>Clase l</v>
      </c>
      <c r="AF985" s="97" t="str">
        <f>IFERROR(__xludf.DUMMYFUNCTION("""COMPUTED_VALUE"""),"Aplicar, Suspender")</f>
        <v>Aplicar, Suspender</v>
      </c>
      <c r="AG985" s="97" t="str">
        <f>IFERROR(__xludf.DUMMYFUNCTION("""COMPUTED_VALUE"""),"Ø500 x 95")</f>
        <v>Ø500 x 95</v>
      </c>
      <c r="AH985" s="97" t="str">
        <f>IFERROR(__xludf.DUMMYFUNCTION("""COMPUTED_VALUE"""),"N/A")</f>
        <v>N/A</v>
      </c>
      <c r="AI985" s="97" t="str">
        <f>IFERROR(__xludf.DUMMYFUNCTION("""COMPUTED_VALUE"""),"N/A")</f>
        <v>N/A</v>
      </c>
      <c r="AJ985" s="97" t="str">
        <f>IFERROR(__xludf.DUMMYFUNCTION("""COMPUTED_VALUE"""),"PMMA")</f>
        <v>PMMA</v>
      </c>
      <c r="AK985" s="97" t="str">
        <f>IFERROR(__xludf.DUMMYFUNCTION("""COMPUTED_VALUE"""),"Acero")</f>
        <v>Acero</v>
      </c>
      <c r="AL985" s="97" t="str">
        <f>IFERROR(__xludf.DUMMYFUNCTION("""COMPUTED_VALUE"""),"Gris")</f>
        <v>Gris</v>
      </c>
      <c r="AM985" s="97" t="str">
        <f>IFERROR(__xludf.DUMMYFUNCTION("""COMPUTED_VALUE"""),"-")</f>
        <v>-</v>
      </c>
      <c r="AN985" s="97" t="str">
        <f>IFERROR(__xludf.DUMMYFUNCTION("""COMPUTED_VALUE"""),"25.000hs (L70)")</f>
        <v>25.000hs (L70)</v>
      </c>
      <c r="AO985" s="97" t="str">
        <f>IFERROR(__xludf.DUMMYFUNCTION("""COMPUTED_VALUE"""),"2 Años")</f>
        <v>2 Años</v>
      </c>
      <c r="AP985" s="97" t="str">
        <f>IFERROR(__xludf.DUMMYFUNCTION("""COMPUTED_VALUE"""),"Disponible")</f>
        <v>Disponible</v>
      </c>
      <c r="AQ985" s="97" t="str">
        <f>IFERROR(__xludf.DUMMYFUNCTION("""COMPUTED_VALUE"""),"Disponible")</f>
        <v>Disponible</v>
      </c>
      <c r="AR985" s="97" t="str">
        <f>IFERROR(__xludf.DUMMYFUNCTION("""COMPUTED_VALUE"""),"Disponible")</f>
        <v>Disponible</v>
      </c>
      <c r="AS985" s="97"/>
      <c r="AT985" s="97"/>
      <c r="AU985" s="97" t="str">
        <f>IFERROR(__xludf.DUMMYFUNCTION("""COMPUTED_VALUE"""),"Falta")</f>
        <v>Falta</v>
      </c>
      <c r="AV985" s="97" t="str">
        <f>IFERROR(__xludf.DUMMYFUNCTION("""COMPUTED_VALUE"""),"Aplique")</f>
        <v>Aplique</v>
      </c>
      <c r="AW985" s="97" t="str">
        <f>IFERROR(__xludf.DUMMYFUNCTION("""COMPUTED_VALUE"""),"De Techo")</f>
        <v>De Techo</v>
      </c>
      <c r="AX985" s="97" t="str">
        <f>IFERROR(__xludf.DUMMYFUNCTION("""COMPUTED_VALUE"""),"Interior")</f>
        <v>Interior</v>
      </c>
      <c r="AY985" s="97" t="str">
        <f>IFERROR(__xludf.DUMMYFUNCTION("""COMPUTED_VALUE"""),"-")</f>
        <v>-</v>
      </c>
      <c r="AZ985" s="97" t="str">
        <f>IFERROR(__xludf.DUMMYFUNCTION("""COMPUTED_VALUE"""),"Switch p/cambio de color. Aplica KIT SUSPENSIÓN 4 TENSORES BL 6829 o NG 6830.")</f>
        <v>Switch p/cambio de color. Aplica KIT SUSPENSIÓN 4 TENSORES BL 6829 o NG 6830.</v>
      </c>
      <c r="BA985" s="97">
        <f>IFERROR(__xludf.DUMMYFUNCTION("""COMPUTED_VALUE"""),5.0)</f>
        <v>5</v>
      </c>
      <c r="BB985" s="97" t="str">
        <f>IFERROR(__xludf.DUMMYFUNCTION("""COMPUTED_VALUE"""),"-")</f>
        <v>-</v>
      </c>
      <c r="BC985" s="97" t="str">
        <f>IFERROR(__xludf.DUMMYFUNCTION("""COMPUTED_VALUE"""),"-")</f>
        <v>-</v>
      </c>
      <c r="BD985" s="97" t="str">
        <f>IFERROR(__xludf.DUMMYFUNCTION("""COMPUTED_VALUE"""),"SMOKY")</f>
        <v>SMOKY</v>
      </c>
      <c r="BE985" s="97" t="str">
        <f>IFERROR(__xludf.DUMMYFUNCTION("""COMPUTED_VALUE"""),"Finalizada")</f>
        <v>Finalizada</v>
      </c>
      <c r="BF985" s="97"/>
      <c r="BG985" s="97" t="str">
        <f>IFERROR(__xludf.DUMMYFUNCTION("""COMPUTED_VALUE"""),"Activo")</f>
        <v>Activo</v>
      </c>
    </row>
    <row r="986">
      <c r="A986" s="97">
        <f>IFERROR(__xludf.DUMMYFUNCTION("""COMPUTED_VALUE"""),6772.0)</f>
        <v>6772</v>
      </c>
      <c r="B986" s="97" t="str">
        <f>IFERROR(__xludf.DUMMYFUNCTION("""COMPUTED_VALUE"""),"LUKA BLMD")</f>
        <v>LUKA BLMD</v>
      </c>
      <c r="C986" s="97" t="str">
        <f>IFERROR(__xludf.DUMMYFUNCTION("""COMPUTED_VALUE"""),"APLIQUE LUKA BLMD 45W 3000/4000/6000K 1650LM CRI&gt;90 IP20 LEUK")</f>
        <v>APLIQUE LUKA BLMD 45W 3000/4000/6000K 1650LM CRI&gt;90 IP20 LEUK</v>
      </c>
      <c r="D986" s="97">
        <f>IFERROR(__xludf.DUMMYFUNCTION("""COMPUTED_VALUE"""),7.798413222739E12)</f>
        <v>7798413222739</v>
      </c>
      <c r="E986" s="97" t="str">
        <f>IFERROR(__xludf.DUMMYFUNCTION("""COMPUTED_VALUE"""),"F113")</f>
        <v>F113</v>
      </c>
      <c r="F986" s="97" t="str">
        <f>IFERROR(__xludf.DUMMYFUNCTION("""COMPUTED_VALUE"""),"LED integrado")</f>
        <v>LED integrado</v>
      </c>
      <c r="G986" s="97" t="str">
        <f>IFERROR(__xludf.DUMMYFUNCTION("""COMPUTED_VALUE"""),"-")</f>
        <v>-</v>
      </c>
      <c r="H986" s="97" t="str">
        <f>IFERROR(__xludf.DUMMYFUNCTION("""COMPUTED_VALUE"""),"-")</f>
        <v>-</v>
      </c>
      <c r="I986" s="97"/>
      <c r="J986" s="97" t="str">
        <f>IFERROR(__xludf.DUMMYFUNCTION("""COMPUTED_VALUE"""),"Modelo: CX-37-60Wx1
In: 175-265Vac 50/60Hz
Out: 110-210V 230mA")</f>
        <v>Modelo: CX-37-60Wx1
In: 175-265Vac 50/60Hz
Out: 110-210V 230mA</v>
      </c>
      <c r="K986" s="97" t="str">
        <f>IFERROR(__xludf.DUMMYFUNCTION("""COMPUTED_VALUE"""),"ON/OFF")</f>
        <v>ON/OFF</v>
      </c>
      <c r="L986" s="97" t="str">
        <f>IFERROR(__xludf.DUMMYFUNCTION("""COMPUTED_VALUE"""),"200-240")</f>
        <v>200-240</v>
      </c>
      <c r="M986" s="97" t="str">
        <f>IFERROR(__xludf.DUMMYFUNCTION("""COMPUTED_VALUE"""),"50/60")</f>
        <v>50/60</v>
      </c>
      <c r="N986" s="97" t="str">
        <f>IFERROR(__xludf.DUMMYFUNCTION("""COMPUTED_VALUE"""),"Directa-Simétrica")</f>
        <v>Directa-Simétrica</v>
      </c>
      <c r="O986" s="97">
        <f>IFERROR(__xludf.DUMMYFUNCTION("""COMPUTED_VALUE"""),45.0)</f>
        <v>45</v>
      </c>
      <c r="P986" s="97"/>
      <c r="Q986" s="97">
        <f>IFERROR(__xludf.DUMMYFUNCTION("""COMPUTED_VALUE"""),0.63)</f>
        <v>0.63</v>
      </c>
      <c r="R986" s="97" t="str">
        <f>IFERROR(__xludf.DUMMYFUNCTION("""COMPUTED_VALUE"""),"-")</f>
        <v>-</v>
      </c>
      <c r="S986" s="97" t="str">
        <f>IFERROR(__xludf.DUMMYFUNCTION("""COMPUTED_VALUE"""),"-")</f>
        <v>-</v>
      </c>
      <c r="T986" s="97">
        <f>IFERROR(__xludf.DUMMYFUNCTION("""COMPUTED_VALUE"""),1650.0)</f>
        <v>1650</v>
      </c>
      <c r="U986" s="99">
        <f>IFERROR(__xludf.DUMMYFUNCTION("""COMPUTED_VALUE"""),36.666666666666664)</f>
        <v>36.66666667</v>
      </c>
      <c r="V986" s="97">
        <f>IFERROR(__xludf.DUMMYFUNCTION("""COMPUTED_VALUE"""),110.0)</f>
        <v>110</v>
      </c>
      <c r="W986" s="97" t="str">
        <f>IFERROR(__xludf.DUMMYFUNCTION("""COMPUTED_VALUE"""),"&lt; 20")</f>
        <v>&lt; 20</v>
      </c>
      <c r="X986" s="97" t="str">
        <f>IFERROR(__xludf.DUMMYFUNCTION("""COMPUTED_VALUE"""),"3000/4000/6000")</f>
        <v>3000/4000/6000</v>
      </c>
      <c r="Y986" s="97" t="str">
        <f>IFERROR(__xludf.DUMMYFUNCTION("""COMPUTED_VALUE"""),"&gt;90")</f>
        <v>&gt;90</v>
      </c>
      <c r="Z986" s="97"/>
      <c r="AA986" s="97"/>
      <c r="AB986" s="97"/>
      <c r="AC986" s="97"/>
      <c r="AD986" s="97" t="str">
        <f>IFERROR(__xludf.DUMMYFUNCTION("""COMPUTED_VALUE"""),"IP20")</f>
        <v>IP20</v>
      </c>
      <c r="AE986" s="97" t="str">
        <f>IFERROR(__xludf.DUMMYFUNCTION("""COMPUTED_VALUE"""),"Clase l")</f>
        <v>Clase l</v>
      </c>
      <c r="AF986" s="97" t="str">
        <f>IFERROR(__xludf.DUMMYFUNCTION("""COMPUTED_VALUE"""),"Aplicar, Suspender")</f>
        <v>Aplicar, Suspender</v>
      </c>
      <c r="AG986" s="97" t="str">
        <f>IFERROR(__xludf.DUMMYFUNCTION("""COMPUTED_VALUE"""),"Ø510 x 85")</f>
        <v>Ø510 x 85</v>
      </c>
      <c r="AH986" s="97" t="str">
        <f>IFERROR(__xludf.DUMMYFUNCTION("""COMPUTED_VALUE"""),"N/A")</f>
        <v>N/A</v>
      </c>
      <c r="AI986" s="97" t="str">
        <f>IFERROR(__xludf.DUMMYFUNCTION("""COMPUTED_VALUE"""),"N/A")</f>
        <v>N/A</v>
      </c>
      <c r="AJ986" s="97" t="str">
        <f>IFERROR(__xludf.DUMMYFUNCTION("""COMPUTED_VALUE"""),"PMMA")</f>
        <v>PMMA</v>
      </c>
      <c r="AK986" s="97" t="str">
        <f>IFERROR(__xludf.DUMMYFUNCTION("""COMPUTED_VALUE"""),"ABS")</f>
        <v>ABS</v>
      </c>
      <c r="AL986" s="97" t="str">
        <f>IFERROR(__xludf.DUMMYFUNCTION("""COMPUTED_VALUE"""),"Blanco y Madera")</f>
        <v>Blanco y Madera</v>
      </c>
      <c r="AM986" s="97" t="str">
        <f>IFERROR(__xludf.DUMMYFUNCTION("""COMPUTED_VALUE"""),"-")</f>
        <v>-</v>
      </c>
      <c r="AN986" s="97" t="str">
        <f>IFERROR(__xludf.DUMMYFUNCTION("""COMPUTED_VALUE"""),"25.000hs (L70)")</f>
        <v>25.000hs (L70)</v>
      </c>
      <c r="AO986" s="97" t="str">
        <f>IFERROR(__xludf.DUMMYFUNCTION("""COMPUTED_VALUE"""),"2 Años")</f>
        <v>2 Años</v>
      </c>
      <c r="AP986" s="97" t="str">
        <f>IFERROR(__xludf.DUMMYFUNCTION("""COMPUTED_VALUE"""),"Disponible")</f>
        <v>Disponible</v>
      </c>
      <c r="AQ986" s="97" t="str">
        <f>IFERROR(__xludf.DUMMYFUNCTION("""COMPUTED_VALUE"""),"Disponible")</f>
        <v>Disponible</v>
      </c>
      <c r="AR986" s="97" t="str">
        <f>IFERROR(__xludf.DUMMYFUNCTION("""COMPUTED_VALUE"""),"Disponible")</f>
        <v>Disponible</v>
      </c>
      <c r="AS986" s="97"/>
      <c r="AT986" s="97"/>
      <c r="AU986" s="97" t="str">
        <f>IFERROR(__xludf.DUMMYFUNCTION("""COMPUTED_VALUE"""),"Falta")</f>
        <v>Falta</v>
      </c>
      <c r="AV986" s="97" t="str">
        <f>IFERROR(__xludf.DUMMYFUNCTION("""COMPUTED_VALUE"""),"Aplique")</f>
        <v>Aplique</v>
      </c>
      <c r="AW986" s="97" t="str">
        <f>IFERROR(__xludf.DUMMYFUNCTION("""COMPUTED_VALUE"""),"De Techo")</f>
        <v>De Techo</v>
      </c>
      <c r="AX986" s="97" t="str">
        <f>IFERROR(__xludf.DUMMYFUNCTION("""COMPUTED_VALUE"""),"Interior")</f>
        <v>Interior</v>
      </c>
      <c r="AY986" s="97" t="str">
        <f>IFERROR(__xludf.DUMMYFUNCTION("""COMPUTED_VALUE"""),"-")</f>
        <v>-</v>
      </c>
      <c r="AZ986" s="97" t="str">
        <f>IFERROR(__xludf.DUMMYFUNCTION("""COMPUTED_VALUE"""),"Switch p/cambio de color. Aplica KIT SUSPENSIÓN 4 TENSORES BL 6829 o NG 6830.")</f>
        <v>Switch p/cambio de color. Aplica KIT SUSPENSIÓN 4 TENSORES BL 6829 o NG 6830.</v>
      </c>
      <c r="BA986" s="97">
        <f>IFERROR(__xludf.DUMMYFUNCTION("""COMPUTED_VALUE"""),5.0)</f>
        <v>5</v>
      </c>
      <c r="BB986" s="97" t="str">
        <f>IFERROR(__xludf.DUMMYFUNCTION("""COMPUTED_VALUE"""),"-")</f>
        <v>-</v>
      </c>
      <c r="BC986" s="97" t="str">
        <f>IFERROR(__xludf.DUMMYFUNCTION("""COMPUTED_VALUE"""),"-")</f>
        <v>-</v>
      </c>
      <c r="BD986" s="97" t="str">
        <f>IFERROR(__xludf.DUMMYFUNCTION("""COMPUTED_VALUE"""),"LUKA")</f>
        <v>LUKA</v>
      </c>
      <c r="BE986" s="97" t="str">
        <f>IFERROR(__xludf.DUMMYFUNCTION("""COMPUTED_VALUE"""),"Finalizada")</f>
        <v>Finalizada</v>
      </c>
      <c r="BF986" s="97"/>
      <c r="BG986" s="97" t="str">
        <f>IFERROR(__xludf.DUMMYFUNCTION("""COMPUTED_VALUE"""),"Activo")</f>
        <v>Activo</v>
      </c>
    </row>
    <row r="987">
      <c r="A987" s="97">
        <f>IFERROR(__xludf.DUMMYFUNCTION("""COMPUTED_VALUE"""),6773.0)</f>
        <v>6773</v>
      </c>
      <c r="B987" s="97" t="str">
        <f>IFERROR(__xludf.DUMMYFUNCTION("""COMPUTED_VALUE"""),"CITY BL 15W")</f>
        <v>CITY BL 15W</v>
      </c>
      <c r="C987" s="97" t="str">
        <f>IFERROR(__xludf.DUMMYFUNCTION("""COMPUTED_VALUE"""),"APLIQUE CITY BL 15W 15W 3000/4000/6000K 550LM CRI&gt;95 IP20 LEUK")</f>
        <v>APLIQUE CITY BL 15W 15W 3000/4000/6000K 550LM CRI&gt;95 IP20 LEUK</v>
      </c>
      <c r="D987" s="97">
        <f>IFERROR(__xludf.DUMMYFUNCTION("""COMPUTED_VALUE"""),7.798413222746E12)</f>
        <v>7798413222746</v>
      </c>
      <c r="E987" s="97" t="str">
        <f>IFERROR(__xludf.DUMMYFUNCTION("""COMPUTED_VALUE"""),"F51")</f>
        <v>F51</v>
      </c>
      <c r="F987" s="97" t="str">
        <f>IFERROR(__xludf.DUMMYFUNCTION("""COMPUTED_VALUE"""),"LED integrado")</f>
        <v>LED integrado</v>
      </c>
      <c r="G987" s="97" t="str">
        <f>IFERROR(__xludf.DUMMYFUNCTION("""COMPUTED_VALUE"""),"-")</f>
        <v>-</v>
      </c>
      <c r="H987" s="97" t="str">
        <f>IFERROR(__xludf.DUMMYFUNCTION("""COMPUTED_VALUE"""),"-")</f>
        <v>-</v>
      </c>
      <c r="I987" s="97"/>
      <c r="J987" s="97" t="str">
        <f>IFERROR(__xludf.DUMMYFUNCTION("""COMPUTED_VALUE"""),"Modelo: CX-8-24Wx1
In: 200-240Vac 50/60Hz
Out: 25-75Vdc 230mA")</f>
        <v>Modelo: CX-8-24Wx1
In: 200-240Vac 50/60Hz
Out: 25-75Vdc 230mA</v>
      </c>
      <c r="K987" s="97" t="str">
        <f>IFERROR(__xludf.DUMMYFUNCTION("""COMPUTED_VALUE"""),"ON/OFF")</f>
        <v>ON/OFF</v>
      </c>
      <c r="L987" s="97" t="str">
        <f>IFERROR(__xludf.DUMMYFUNCTION("""COMPUTED_VALUE"""),"200-240")</f>
        <v>200-240</v>
      </c>
      <c r="M987" s="97" t="str">
        <f>IFERROR(__xludf.DUMMYFUNCTION("""COMPUTED_VALUE"""),"50/60")</f>
        <v>50/60</v>
      </c>
      <c r="N987" s="97" t="str">
        <f>IFERROR(__xludf.DUMMYFUNCTION("""COMPUTED_VALUE"""),"Directa-Simétrica")</f>
        <v>Directa-Simétrica</v>
      </c>
      <c r="O987" s="97">
        <f>IFERROR(__xludf.DUMMYFUNCTION("""COMPUTED_VALUE"""),15.0)</f>
        <v>15</v>
      </c>
      <c r="P987" s="97"/>
      <c r="Q987" s="97">
        <f>IFERROR(__xludf.DUMMYFUNCTION("""COMPUTED_VALUE"""),0.6)</f>
        <v>0.6</v>
      </c>
      <c r="R987" s="97" t="str">
        <f>IFERROR(__xludf.DUMMYFUNCTION("""COMPUTED_VALUE"""),"-")</f>
        <v>-</v>
      </c>
      <c r="S987" s="97" t="str">
        <f>IFERROR(__xludf.DUMMYFUNCTION("""COMPUTED_VALUE"""),"-")</f>
        <v>-</v>
      </c>
      <c r="T987" s="97">
        <f>IFERROR(__xludf.DUMMYFUNCTION("""COMPUTED_VALUE"""),550.0)</f>
        <v>550</v>
      </c>
      <c r="U987" s="99">
        <f>IFERROR(__xludf.DUMMYFUNCTION("""COMPUTED_VALUE"""),36.666666666666664)</f>
        <v>36.66666667</v>
      </c>
      <c r="V987" s="97">
        <f>IFERROR(__xludf.DUMMYFUNCTION("""COMPUTED_VALUE"""),115.0)</f>
        <v>115</v>
      </c>
      <c r="W987" s="97" t="str">
        <f>IFERROR(__xludf.DUMMYFUNCTION("""COMPUTED_VALUE"""),"&lt; 20")</f>
        <v>&lt; 20</v>
      </c>
      <c r="X987" s="97" t="str">
        <f>IFERROR(__xludf.DUMMYFUNCTION("""COMPUTED_VALUE"""),"3000/4000/6000")</f>
        <v>3000/4000/6000</v>
      </c>
      <c r="Y987" s="97" t="str">
        <f>IFERROR(__xludf.DUMMYFUNCTION("""COMPUTED_VALUE"""),"&gt;95")</f>
        <v>&gt;95</v>
      </c>
      <c r="Z987" s="97"/>
      <c r="AA987" s="97"/>
      <c r="AB987" s="97"/>
      <c r="AC987" s="97"/>
      <c r="AD987" s="97" t="str">
        <f>IFERROR(__xludf.DUMMYFUNCTION("""COMPUTED_VALUE"""),"IP20")</f>
        <v>IP20</v>
      </c>
      <c r="AE987" s="97" t="str">
        <f>IFERROR(__xludf.DUMMYFUNCTION("""COMPUTED_VALUE"""),"Clase l")</f>
        <v>Clase l</v>
      </c>
      <c r="AF987" s="97" t="str">
        <f>IFERROR(__xludf.DUMMYFUNCTION("""COMPUTED_VALUE"""),"Aplicar, Suspender")</f>
        <v>Aplicar, Suspender</v>
      </c>
      <c r="AG987" s="97" t="str">
        <f>IFERROR(__xludf.DUMMYFUNCTION("""COMPUTED_VALUE"""),"Ø300 x 70")</f>
        <v>Ø300 x 70</v>
      </c>
      <c r="AH987" s="97" t="str">
        <f>IFERROR(__xludf.DUMMYFUNCTION("""COMPUTED_VALUE"""),"N/A")</f>
        <v>N/A</v>
      </c>
      <c r="AI987" s="97" t="str">
        <f>IFERROR(__xludf.DUMMYFUNCTION("""COMPUTED_VALUE"""),"N/A")</f>
        <v>N/A</v>
      </c>
      <c r="AJ987" s="97" t="str">
        <f>IFERROR(__xludf.DUMMYFUNCTION("""COMPUTED_VALUE"""),"PMMA")</f>
        <v>PMMA</v>
      </c>
      <c r="AK987" s="97" t="str">
        <f>IFERROR(__xludf.DUMMYFUNCTION("""COMPUTED_VALUE"""),"ABS")</f>
        <v>ABS</v>
      </c>
      <c r="AL987" s="97" t="str">
        <f>IFERROR(__xludf.DUMMYFUNCTION("""COMPUTED_VALUE"""),"Blanco Mate")</f>
        <v>Blanco Mate</v>
      </c>
      <c r="AM987" s="97" t="str">
        <f>IFERROR(__xludf.DUMMYFUNCTION("""COMPUTED_VALUE"""),"-")</f>
        <v>-</v>
      </c>
      <c r="AN987" s="97" t="str">
        <f>IFERROR(__xludf.DUMMYFUNCTION("""COMPUTED_VALUE"""),"25.000hs (L70)")</f>
        <v>25.000hs (L70)</v>
      </c>
      <c r="AO987" s="97" t="str">
        <f>IFERROR(__xludf.DUMMYFUNCTION("""COMPUTED_VALUE"""),"2 Años")</f>
        <v>2 Años</v>
      </c>
      <c r="AP987" s="97" t="str">
        <f>IFERROR(__xludf.DUMMYFUNCTION("""COMPUTED_VALUE"""),"Disponible")</f>
        <v>Disponible</v>
      </c>
      <c r="AQ987" s="97" t="str">
        <f>IFERROR(__xludf.DUMMYFUNCTION("""COMPUTED_VALUE"""),"Disponible")</f>
        <v>Disponible</v>
      </c>
      <c r="AR987" s="97" t="str">
        <f>IFERROR(__xludf.DUMMYFUNCTION("""COMPUTED_VALUE"""),"Disponible")</f>
        <v>Disponible</v>
      </c>
      <c r="AS987" s="97"/>
      <c r="AT987" s="97"/>
      <c r="AU987" s="97" t="str">
        <f>IFERROR(__xludf.DUMMYFUNCTION("""COMPUTED_VALUE"""),"Falta")</f>
        <v>Falta</v>
      </c>
      <c r="AV987" s="97" t="str">
        <f>IFERROR(__xludf.DUMMYFUNCTION("""COMPUTED_VALUE"""),"Aplique")</f>
        <v>Aplique</v>
      </c>
      <c r="AW987" s="97" t="str">
        <f>IFERROR(__xludf.DUMMYFUNCTION("""COMPUTED_VALUE"""),"De Techo")</f>
        <v>De Techo</v>
      </c>
      <c r="AX987" s="97" t="str">
        <f>IFERROR(__xludf.DUMMYFUNCTION("""COMPUTED_VALUE"""),"Interior")</f>
        <v>Interior</v>
      </c>
      <c r="AY987" s="97" t="str">
        <f>IFERROR(__xludf.DUMMYFUNCTION("""COMPUTED_VALUE"""),"-")</f>
        <v>-</v>
      </c>
      <c r="AZ987" s="97" t="str">
        <f>IFERROR(__xludf.DUMMYFUNCTION("""COMPUTED_VALUE"""),"Switch p/cambio de color. Aplica KIT SUSPENSIÓN 4 TENSORES BL 6829 o NG 6830.")</f>
        <v>Switch p/cambio de color. Aplica KIT SUSPENSIÓN 4 TENSORES BL 6829 o NG 6830.</v>
      </c>
      <c r="BA987" s="97">
        <f>IFERROR(__xludf.DUMMYFUNCTION("""COMPUTED_VALUE"""),20.0)</f>
        <v>20</v>
      </c>
      <c r="BB987" s="97" t="str">
        <f>IFERROR(__xludf.DUMMYFUNCTION("""COMPUTED_VALUE"""),"-")</f>
        <v>-</v>
      </c>
      <c r="BC987" s="97" t="str">
        <f>IFERROR(__xludf.DUMMYFUNCTION("""COMPUTED_VALUE"""),"-")</f>
        <v>-</v>
      </c>
      <c r="BD987" s="97" t="str">
        <f>IFERROR(__xludf.DUMMYFUNCTION("""COMPUTED_VALUE"""),"CITY")</f>
        <v>CITY</v>
      </c>
      <c r="BE987" s="97" t="str">
        <f>IFERROR(__xludf.DUMMYFUNCTION("""COMPUTED_VALUE"""),"Finalizada")</f>
        <v>Finalizada</v>
      </c>
      <c r="BF987" s="97"/>
      <c r="BG987" s="97" t="str">
        <f>IFERROR(__xludf.DUMMYFUNCTION("""COMPUTED_VALUE"""),"Activo")</f>
        <v>Activo</v>
      </c>
    </row>
    <row r="988">
      <c r="A988" s="97">
        <f>IFERROR(__xludf.DUMMYFUNCTION("""COMPUTED_VALUE"""),6774.0)</f>
        <v>6774</v>
      </c>
      <c r="B988" s="97" t="str">
        <f>IFERROR(__xludf.DUMMYFUNCTION("""COMPUTED_VALUE"""),"CITY NG 15W")</f>
        <v>CITY NG 15W</v>
      </c>
      <c r="C988" s="97" t="str">
        <f>IFERROR(__xludf.DUMMYFUNCTION("""COMPUTED_VALUE"""),"APLIQUE CITY NG 15W 15W 3000/4000/6000K 550LM CRI&gt;95 IP20 LEUK")</f>
        <v>APLIQUE CITY NG 15W 15W 3000/4000/6000K 550LM CRI&gt;95 IP20 LEUK</v>
      </c>
      <c r="D988" s="97">
        <f>IFERROR(__xludf.DUMMYFUNCTION("""COMPUTED_VALUE"""),7.798413222753E12)</f>
        <v>7798413222753</v>
      </c>
      <c r="E988" s="97" t="str">
        <f>IFERROR(__xludf.DUMMYFUNCTION("""COMPUTED_VALUE"""),"F52")</f>
        <v>F52</v>
      </c>
      <c r="F988" s="97" t="str">
        <f>IFERROR(__xludf.DUMMYFUNCTION("""COMPUTED_VALUE"""),"LED integrado")</f>
        <v>LED integrado</v>
      </c>
      <c r="G988" s="97" t="str">
        <f>IFERROR(__xludf.DUMMYFUNCTION("""COMPUTED_VALUE"""),"-")</f>
        <v>-</v>
      </c>
      <c r="H988" s="97" t="str">
        <f>IFERROR(__xludf.DUMMYFUNCTION("""COMPUTED_VALUE"""),"-")</f>
        <v>-</v>
      </c>
      <c r="I988" s="97"/>
      <c r="J988" s="97" t="str">
        <f>IFERROR(__xludf.DUMMYFUNCTION("""COMPUTED_VALUE"""),"Modelo: CX-8-24Wx1
In: 200-240Vac 50/60Hz
Out: 25-75Vdc 230mA")</f>
        <v>Modelo: CX-8-24Wx1
In: 200-240Vac 50/60Hz
Out: 25-75Vdc 230mA</v>
      </c>
      <c r="K988" s="97" t="str">
        <f>IFERROR(__xludf.DUMMYFUNCTION("""COMPUTED_VALUE"""),"ON/OFF")</f>
        <v>ON/OFF</v>
      </c>
      <c r="L988" s="97" t="str">
        <f>IFERROR(__xludf.DUMMYFUNCTION("""COMPUTED_VALUE"""),"200-240")</f>
        <v>200-240</v>
      </c>
      <c r="M988" s="97" t="str">
        <f>IFERROR(__xludf.DUMMYFUNCTION("""COMPUTED_VALUE"""),"50/60")</f>
        <v>50/60</v>
      </c>
      <c r="N988" s="97" t="str">
        <f>IFERROR(__xludf.DUMMYFUNCTION("""COMPUTED_VALUE"""),"Directa-Simétrica")</f>
        <v>Directa-Simétrica</v>
      </c>
      <c r="O988" s="97">
        <f>IFERROR(__xludf.DUMMYFUNCTION("""COMPUTED_VALUE"""),15.0)</f>
        <v>15</v>
      </c>
      <c r="P988" s="97"/>
      <c r="Q988" s="97">
        <f>IFERROR(__xludf.DUMMYFUNCTION("""COMPUTED_VALUE"""),0.6)</f>
        <v>0.6</v>
      </c>
      <c r="R988" s="97" t="str">
        <f>IFERROR(__xludf.DUMMYFUNCTION("""COMPUTED_VALUE"""),"-")</f>
        <v>-</v>
      </c>
      <c r="S988" s="97" t="str">
        <f>IFERROR(__xludf.DUMMYFUNCTION("""COMPUTED_VALUE"""),"-")</f>
        <v>-</v>
      </c>
      <c r="T988" s="97">
        <f>IFERROR(__xludf.DUMMYFUNCTION("""COMPUTED_VALUE"""),550.0)</f>
        <v>550</v>
      </c>
      <c r="U988" s="99">
        <f>IFERROR(__xludf.DUMMYFUNCTION("""COMPUTED_VALUE"""),36.666666666666664)</f>
        <v>36.66666667</v>
      </c>
      <c r="V988" s="97">
        <f>IFERROR(__xludf.DUMMYFUNCTION("""COMPUTED_VALUE"""),115.0)</f>
        <v>115</v>
      </c>
      <c r="W988" s="97" t="str">
        <f>IFERROR(__xludf.DUMMYFUNCTION("""COMPUTED_VALUE"""),"&lt; 20")</f>
        <v>&lt; 20</v>
      </c>
      <c r="X988" s="97" t="str">
        <f>IFERROR(__xludf.DUMMYFUNCTION("""COMPUTED_VALUE"""),"3000/4000/6000")</f>
        <v>3000/4000/6000</v>
      </c>
      <c r="Y988" s="97" t="str">
        <f>IFERROR(__xludf.DUMMYFUNCTION("""COMPUTED_VALUE"""),"&gt;95")</f>
        <v>&gt;95</v>
      </c>
      <c r="Z988" s="97"/>
      <c r="AA988" s="97"/>
      <c r="AB988" s="97"/>
      <c r="AC988" s="97"/>
      <c r="AD988" s="97" t="str">
        <f>IFERROR(__xludf.DUMMYFUNCTION("""COMPUTED_VALUE"""),"IP20")</f>
        <v>IP20</v>
      </c>
      <c r="AE988" s="97" t="str">
        <f>IFERROR(__xludf.DUMMYFUNCTION("""COMPUTED_VALUE"""),"Clase l")</f>
        <v>Clase l</v>
      </c>
      <c r="AF988" s="97" t="str">
        <f>IFERROR(__xludf.DUMMYFUNCTION("""COMPUTED_VALUE"""),"Aplicar, Suspender")</f>
        <v>Aplicar, Suspender</v>
      </c>
      <c r="AG988" s="97" t="str">
        <f>IFERROR(__xludf.DUMMYFUNCTION("""COMPUTED_VALUE"""),"Ø300 x 70")</f>
        <v>Ø300 x 70</v>
      </c>
      <c r="AH988" s="97" t="str">
        <f>IFERROR(__xludf.DUMMYFUNCTION("""COMPUTED_VALUE"""),"N/A")</f>
        <v>N/A</v>
      </c>
      <c r="AI988" s="97" t="str">
        <f>IFERROR(__xludf.DUMMYFUNCTION("""COMPUTED_VALUE"""),"N/A")</f>
        <v>N/A</v>
      </c>
      <c r="AJ988" s="97" t="str">
        <f>IFERROR(__xludf.DUMMYFUNCTION("""COMPUTED_VALUE"""),"PMMA")</f>
        <v>PMMA</v>
      </c>
      <c r="AK988" s="97" t="str">
        <f>IFERROR(__xludf.DUMMYFUNCTION("""COMPUTED_VALUE"""),"ABS")</f>
        <v>ABS</v>
      </c>
      <c r="AL988" s="97" t="str">
        <f>IFERROR(__xludf.DUMMYFUNCTION("""COMPUTED_VALUE"""),"Negro Mate")</f>
        <v>Negro Mate</v>
      </c>
      <c r="AM988" s="97" t="str">
        <f>IFERROR(__xludf.DUMMYFUNCTION("""COMPUTED_VALUE"""),"-")</f>
        <v>-</v>
      </c>
      <c r="AN988" s="97" t="str">
        <f>IFERROR(__xludf.DUMMYFUNCTION("""COMPUTED_VALUE"""),"25.000hs (L70)")</f>
        <v>25.000hs (L70)</v>
      </c>
      <c r="AO988" s="97" t="str">
        <f>IFERROR(__xludf.DUMMYFUNCTION("""COMPUTED_VALUE"""),"2 Años")</f>
        <v>2 Años</v>
      </c>
      <c r="AP988" s="97" t="str">
        <f>IFERROR(__xludf.DUMMYFUNCTION("""COMPUTED_VALUE"""),"Disponible")</f>
        <v>Disponible</v>
      </c>
      <c r="AQ988" s="97" t="str">
        <f>IFERROR(__xludf.DUMMYFUNCTION("""COMPUTED_VALUE"""),"Disponible")</f>
        <v>Disponible</v>
      </c>
      <c r="AR988" s="97" t="str">
        <f>IFERROR(__xludf.DUMMYFUNCTION("""COMPUTED_VALUE"""),"Disponible")</f>
        <v>Disponible</v>
      </c>
      <c r="AS988" s="97"/>
      <c r="AT988" s="97"/>
      <c r="AU988" s="97" t="str">
        <f>IFERROR(__xludf.DUMMYFUNCTION("""COMPUTED_VALUE"""),"Falta")</f>
        <v>Falta</v>
      </c>
      <c r="AV988" s="97" t="str">
        <f>IFERROR(__xludf.DUMMYFUNCTION("""COMPUTED_VALUE"""),"Aplique")</f>
        <v>Aplique</v>
      </c>
      <c r="AW988" s="97" t="str">
        <f>IFERROR(__xludf.DUMMYFUNCTION("""COMPUTED_VALUE"""),"De Techo")</f>
        <v>De Techo</v>
      </c>
      <c r="AX988" s="97" t="str">
        <f>IFERROR(__xludf.DUMMYFUNCTION("""COMPUTED_VALUE"""),"Interior")</f>
        <v>Interior</v>
      </c>
      <c r="AY988" s="97" t="str">
        <f>IFERROR(__xludf.DUMMYFUNCTION("""COMPUTED_VALUE"""),"-")</f>
        <v>-</v>
      </c>
      <c r="AZ988" s="97" t="str">
        <f>IFERROR(__xludf.DUMMYFUNCTION("""COMPUTED_VALUE"""),"Switch p/cambio de color. Aplica KIT SUSPENSIÓN 4 TENSORES BL 6829 o NG 6830.")</f>
        <v>Switch p/cambio de color. Aplica KIT SUSPENSIÓN 4 TENSORES BL 6829 o NG 6830.</v>
      </c>
      <c r="BA988" s="97">
        <f>IFERROR(__xludf.DUMMYFUNCTION("""COMPUTED_VALUE"""),20.0)</f>
        <v>20</v>
      </c>
      <c r="BB988" s="97" t="str">
        <f>IFERROR(__xludf.DUMMYFUNCTION("""COMPUTED_VALUE"""),"-")</f>
        <v>-</v>
      </c>
      <c r="BC988" s="97" t="str">
        <f>IFERROR(__xludf.DUMMYFUNCTION("""COMPUTED_VALUE"""),"-")</f>
        <v>-</v>
      </c>
      <c r="BD988" s="97" t="str">
        <f>IFERROR(__xludf.DUMMYFUNCTION("""COMPUTED_VALUE"""),"CITY")</f>
        <v>CITY</v>
      </c>
      <c r="BE988" s="97" t="str">
        <f>IFERROR(__xludf.DUMMYFUNCTION("""COMPUTED_VALUE"""),"Finalizada")</f>
        <v>Finalizada</v>
      </c>
      <c r="BF988" s="97"/>
      <c r="BG988" s="97" t="str">
        <f>IFERROR(__xludf.DUMMYFUNCTION("""COMPUTED_VALUE"""),"Activo")</f>
        <v>Activo</v>
      </c>
    </row>
    <row r="989">
      <c r="A989" s="97">
        <f>IFERROR(__xludf.DUMMYFUNCTION("""COMPUTED_VALUE"""),6775.0)</f>
        <v>6775</v>
      </c>
      <c r="B989" s="97" t="str">
        <f>IFERROR(__xludf.DUMMYFUNCTION("""COMPUTED_VALUE"""),"CITY BL 45W")</f>
        <v>CITY BL 45W</v>
      </c>
      <c r="C989" s="97" t="str">
        <f>IFERROR(__xludf.DUMMYFUNCTION("""COMPUTED_VALUE"""),"APLIQUE CITY BL 45W 45W 3000/4000/6000K 2400LM CRI&gt;95 IP20 LEUK")</f>
        <v>APLIQUE CITY BL 45W 45W 3000/4000/6000K 2400LM CRI&gt;95 IP20 LEUK</v>
      </c>
      <c r="D989" s="97">
        <f>IFERROR(__xludf.DUMMYFUNCTION("""COMPUTED_VALUE"""),7.79841322276E12)</f>
        <v>7798413222760</v>
      </c>
      <c r="E989" s="97" t="str">
        <f>IFERROR(__xludf.DUMMYFUNCTION("""COMPUTED_VALUE"""),"F116")</f>
        <v>F116</v>
      </c>
      <c r="F989" s="97" t="str">
        <f>IFERROR(__xludf.DUMMYFUNCTION("""COMPUTED_VALUE"""),"LED integrado")</f>
        <v>LED integrado</v>
      </c>
      <c r="G989" s="97" t="str">
        <f>IFERROR(__xludf.DUMMYFUNCTION("""COMPUTED_VALUE"""),"-")</f>
        <v>-</v>
      </c>
      <c r="H989" s="97" t="str">
        <f>IFERROR(__xludf.DUMMYFUNCTION("""COMPUTED_VALUE"""),"-")</f>
        <v>-</v>
      </c>
      <c r="I989" s="97"/>
      <c r="J989" s="97" t="str">
        <f>IFERROR(__xludf.DUMMYFUNCTION("""COMPUTED_VALUE"""),"Modelo: CX-37-60Wx1
In: 175-265Vac 50/60Hz
Out: 110-210V 230mA")</f>
        <v>Modelo: CX-37-60Wx1
In: 175-265Vac 50/60Hz
Out: 110-210V 230mA</v>
      </c>
      <c r="K989" s="97" t="str">
        <f>IFERROR(__xludf.DUMMYFUNCTION("""COMPUTED_VALUE"""),"ON/OFF")</f>
        <v>ON/OFF</v>
      </c>
      <c r="L989" s="97" t="str">
        <f>IFERROR(__xludf.DUMMYFUNCTION("""COMPUTED_VALUE"""),"200-240")</f>
        <v>200-240</v>
      </c>
      <c r="M989" s="97" t="str">
        <f>IFERROR(__xludf.DUMMYFUNCTION("""COMPUTED_VALUE"""),"50/60")</f>
        <v>50/60</v>
      </c>
      <c r="N989" s="97" t="str">
        <f>IFERROR(__xludf.DUMMYFUNCTION("""COMPUTED_VALUE"""),"Directa-Simétrica")</f>
        <v>Directa-Simétrica</v>
      </c>
      <c r="O989" s="97">
        <f>IFERROR(__xludf.DUMMYFUNCTION("""COMPUTED_VALUE"""),45.0)</f>
        <v>45</v>
      </c>
      <c r="P989" s="97"/>
      <c r="Q989" s="97">
        <f>IFERROR(__xludf.DUMMYFUNCTION("""COMPUTED_VALUE"""),0.6)</f>
        <v>0.6</v>
      </c>
      <c r="R989" s="97" t="str">
        <f>IFERROR(__xludf.DUMMYFUNCTION("""COMPUTED_VALUE"""),"-")</f>
        <v>-</v>
      </c>
      <c r="S989" s="97" t="str">
        <f>IFERROR(__xludf.DUMMYFUNCTION("""COMPUTED_VALUE"""),"-")</f>
        <v>-</v>
      </c>
      <c r="T989" s="97">
        <f>IFERROR(__xludf.DUMMYFUNCTION("""COMPUTED_VALUE"""),2400.0)</f>
        <v>2400</v>
      </c>
      <c r="U989" s="99">
        <f>IFERROR(__xludf.DUMMYFUNCTION("""COMPUTED_VALUE"""),53.333333333333336)</f>
        <v>53.33333333</v>
      </c>
      <c r="V989" s="97">
        <f>IFERROR(__xludf.DUMMYFUNCTION("""COMPUTED_VALUE"""),115.0)</f>
        <v>115</v>
      </c>
      <c r="W989" s="97" t="str">
        <f>IFERROR(__xludf.DUMMYFUNCTION("""COMPUTED_VALUE"""),"&lt; 20")</f>
        <v>&lt; 20</v>
      </c>
      <c r="X989" s="97" t="str">
        <f>IFERROR(__xludf.DUMMYFUNCTION("""COMPUTED_VALUE"""),"3000/4000/6000")</f>
        <v>3000/4000/6000</v>
      </c>
      <c r="Y989" s="97" t="str">
        <f>IFERROR(__xludf.DUMMYFUNCTION("""COMPUTED_VALUE"""),"&gt;95")</f>
        <v>&gt;95</v>
      </c>
      <c r="Z989" s="97"/>
      <c r="AA989" s="97"/>
      <c r="AB989" s="97"/>
      <c r="AC989" s="97"/>
      <c r="AD989" s="97" t="str">
        <f>IFERROR(__xludf.DUMMYFUNCTION("""COMPUTED_VALUE"""),"IP20")</f>
        <v>IP20</v>
      </c>
      <c r="AE989" s="97" t="str">
        <f>IFERROR(__xludf.DUMMYFUNCTION("""COMPUTED_VALUE"""),"Clase l")</f>
        <v>Clase l</v>
      </c>
      <c r="AF989" s="97" t="str">
        <f>IFERROR(__xludf.DUMMYFUNCTION("""COMPUTED_VALUE"""),"Aplicar, Suspender")</f>
        <v>Aplicar, Suspender</v>
      </c>
      <c r="AG989" s="97" t="str">
        <f>IFERROR(__xludf.DUMMYFUNCTION("""COMPUTED_VALUE"""),"Ø500 x 70")</f>
        <v>Ø500 x 70</v>
      </c>
      <c r="AH989" s="97" t="str">
        <f>IFERROR(__xludf.DUMMYFUNCTION("""COMPUTED_VALUE"""),"N/A")</f>
        <v>N/A</v>
      </c>
      <c r="AI989" s="97" t="str">
        <f>IFERROR(__xludf.DUMMYFUNCTION("""COMPUTED_VALUE"""),"N/A")</f>
        <v>N/A</v>
      </c>
      <c r="AJ989" s="97" t="str">
        <f>IFERROR(__xludf.DUMMYFUNCTION("""COMPUTED_VALUE"""),"PMMA")</f>
        <v>PMMA</v>
      </c>
      <c r="AK989" s="97" t="str">
        <f>IFERROR(__xludf.DUMMYFUNCTION("""COMPUTED_VALUE"""),"ABS")</f>
        <v>ABS</v>
      </c>
      <c r="AL989" s="97" t="str">
        <f>IFERROR(__xludf.DUMMYFUNCTION("""COMPUTED_VALUE"""),"Blanco Mate")</f>
        <v>Blanco Mate</v>
      </c>
      <c r="AM989" s="97" t="str">
        <f>IFERROR(__xludf.DUMMYFUNCTION("""COMPUTED_VALUE"""),"-")</f>
        <v>-</v>
      </c>
      <c r="AN989" s="97" t="str">
        <f>IFERROR(__xludf.DUMMYFUNCTION("""COMPUTED_VALUE"""),"25.000hs (L70)")</f>
        <v>25.000hs (L70)</v>
      </c>
      <c r="AO989" s="97" t="str">
        <f>IFERROR(__xludf.DUMMYFUNCTION("""COMPUTED_VALUE"""),"2 Años")</f>
        <v>2 Años</v>
      </c>
      <c r="AP989" s="97" t="str">
        <f>IFERROR(__xludf.DUMMYFUNCTION("""COMPUTED_VALUE"""),"Disponible")</f>
        <v>Disponible</v>
      </c>
      <c r="AQ989" s="97" t="str">
        <f>IFERROR(__xludf.DUMMYFUNCTION("""COMPUTED_VALUE"""),"Disponible")</f>
        <v>Disponible</v>
      </c>
      <c r="AR989" s="97" t="str">
        <f>IFERROR(__xludf.DUMMYFUNCTION("""COMPUTED_VALUE"""),"Disponible")</f>
        <v>Disponible</v>
      </c>
      <c r="AS989" s="97"/>
      <c r="AT989" s="97"/>
      <c r="AU989" s="97" t="str">
        <f>IFERROR(__xludf.DUMMYFUNCTION("""COMPUTED_VALUE"""),"Falta")</f>
        <v>Falta</v>
      </c>
      <c r="AV989" s="97" t="str">
        <f>IFERROR(__xludf.DUMMYFUNCTION("""COMPUTED_VALUE"""),"Aplique")</f>
        <v>Aplique</v>
      </c>
      <c r="AW989" s="97" t="str">
        <f>IFERROR(__xludf.DUMMYFUNCTION("""COMPUTED_VALUE"""),"De Techo")</f>
        <v>De Techo</v>
      </c>
      <c r="AX989" s="97" t="str">
        <f>IFERROR(__xludf.DUMMYFUNCTION("""COMPUTED_VALUE"""),"Interior")</f>
        <v>Interior</v>
      </c>
      <c r="AY989" s="97" t="str">
        <f>IFERROR(__xludf.DUMMYFUNCTION("""COMPUTED_VALUE"""),"-")</f>
        <v>-</v>
      </c>
      <c r="AZ989" s="97" t="str">
        <f>IFERROR(__xludf.DUMMYFUNCTION("""COMPUTED_VALUE"""),"Switch p/cambio de color. Aplica KIT SUSPENSIÓN 4 TENSORES BL 6829 o NG 6830.")</f>
        <v>Switch p/cambio de color. Aplica KIT SUSPENSIÓN 4 TENSORES BL 6829 o NG 6830.</v>
      </c>
      <c r="BA989" s="97">
        <f>IFERROR(__xludf.DUMMYFUNCTION("""COMPUTED_VALUE"""),5.0)</f>
        <v>5</v>
      </c>
      <c r="BB989" s="97" t="str">
        <f>IFERROR(__xludf.DUMMYFUNCTION("""COMPUTED_VALUE"""),"-")</f>
        <v>-</v>
      </c>
      <c r="BC989" s="97" t="str">
        <f>IFERROR(__xludf.DUMMYFUNCTION("""COMPUTED_VALUE"""),"-")</f>
        <v>-</v>
      </c>
      <c r="BD989" s="97" t="str">
        <f>IFERROR(__xludf.DUMMYFUNCTION("""COMPUTED_VALUE"""),"CITY")</f>
        <v>CITY</v>
      </c>
      <c r="BE989" s="97" t="str">
        <f>IFERROR(__xludf.DUMMYFUNCTION("""COMPUTED_VALUE"""),"Finalizada")</f>
        <v>Finalizada</v>
      </c>
      <c r="BF989" s="97"/>
      <c r="BG989" s="97" t="str">
        <f>IFERROR(__xludf.DUMMYFUNCTION("""COMPUTED_VALUE"""),"Activo")</f>
        <v>Activo</v>
      </c>
    </row>
    <row r="990">
      <c r="A990" s="97">
        <f>IFERROR(__xludf.DUMMYFUNCTION("""COMPUTED_VALUE"""),6776.0)</f>
        <v>6776</v>
      </c>
      <c r="B990" s="97" t="str">
        <f>IFERROR(__xludf.DUMMYFUNCTION("""COMPUTED_VALUE"""),"CITY NG 45W")</f>
        <v>CITY NG 45W</v>
      </c>
      <c r="C990" s="97" t="str">
        <f>IFERROR(__xludf.DUMMYFUNCTION("""COMPUTED_VALUE"""),"APLIQUE CITY NG 45W 45W 3000/4000/6000K 2400LM CRI&gt;95 IP20 LEUK")</f>
        <v>APLIQUE CITY NG 45W 45W 3000/4000/6000K 2400LM CRI&gt;95 IP20 LEUK</v>
      </c>
      <c r="D990" s="97">
        <f>IFERROR(__xludf.DUMMYFUNCTION("""COMPUTED_VALUE"""),7.798413222777E12)</f>
        <v>7798413222777</v>
      </c>
      <c r="E990" s="97" t="str">
        <f>IFERROR(__xludf.DUMMYFUNCTION("""COMPUTED_VALUE"""),"F115")</f>
        <v>F115</v>
      </c>
      <c r="F990" s="97" t="str">
        <f>IFERROR(__xludf.DUMMYFUNCTION("""COMPUTED_VALUE"""),"LED integrado")</f>
        <v>LED integrado</v>
      </c>
      <c r="G990" s="97" t="str">
        <f>IFERROR(__xludf.DUMMYFUNCTION("""COMPUTED_VALUE"""),"-")</f>
        <v>-</v>
      </c>
      <c r="H990" s="97" t="str">
        <f>IFERROR(__xludf.DUMMYFUNCTION("""COMPUTED_VALUE"""),"-")</f>
        <v>-</v>
      </c>
      <c r="I990" s="97"/>
      <c r="J990" s="97" t="str">
        <f>IFERROR(__xludf.DUMMYFUNCTION("""COMPUTED_VALUE"""),"Modelo: CX-37-60Wx1
In: 175-265Vac 50/60Hz
Out: 110-210V 230mA")</f>
        <v>Modelo: CX-37-60Wx1
In: 175-265Vac 50/60Hz
Out: 110-210V 230mA</v>
      </c>
      <c r="K990" s="97" t="str">
        <f>IFERROR(__xludf.DUMMYFUNCTION("""COMPUTED_VALUE"""),"ON/OFF")</f>
        <v>ON/OFF</v>
      </c>
      <c r="L990" s="97" t="str">
        <f>IFERROR(__xludf.DUMMYFUNCTION("""COMPUTED_VALUE"""),"200-240")</f>
        <v>200-240</v>
      </c>
      <c r="M990" s="97" t="str">
        <f>IFERROR(__xludf.DUMMYFUNCTION("""COMPUTED_VALUE"""),"50/60")</f>
        <v>50/60</v>
      </c>
      <c r="N990" s="97" t="str">
        <f>IFERROR(__xludf.DUMMYFUNCTION("""COMPUTED_VALUE"""),"Directa-Simétrica")</f>
        <v>Directa-Simétrica</v>
      </c>
      <c r="O990" s="97">
        <f>IFERROR(__xludf.DUMMYFUNCTION("""COMPUTED_VALUE"""),45.0)</f>
        <v>45</v>
      </c>
      <c r="P990" s="97"/>
      <c r="Q990" s="97">
        <f>IFERROR(__xludf.DUMMYFUNCTION("""COMPUTED_VALUE"""),0.6)</f>
        <v>0.6</v>
      </c>
      <c r="R990" s="97" t="str">
        <f>IFERROR(__xludf.DUMMYFUNCTION("""COMPUTED_VALUE"""),"-")</f>
        <v>-</v>
      </c>
      <c r="S990" s="97" t="str">
        <f>IFERROR(__xludf.DUMMYFUNCTION("""COMPUTED_VALUE"""),"-")</f>
        <v>-</v>
      </c>
      <c r="T990" s="97">
        <f>IFERROR(__xludf.DUMMYFUNCTION("""COMPUTED_VALUE"""),2400.0)</f>
        <v>2400</v>
      </c>
      <c r="U990" s="99">
        <f>IFERROR(__xludf.DUMMYFUNCTION("""COMPUTED_VALUE"""),53.333333333333336)</f>
        <v>53.33333333</v>
      </c>
      <c r="V990" s="97">
        <f>IFERROR(__xludf.DUMMYFUNCTION("""COMPUTED_VALUE"""),115.0)</f>
        <v>115</v>
      </c>
      <c r="W990" s="97" t="str">
        <f>IFERROR(__xludf.DUMMYFUNCTION("""COMPUTED_VALUE"""),"&lt; 20")</f>
        <v>&lt; 20</v>
      </c>
      <c r="X990" s="97" t="str">
        <f>IFERROR(__xludf.DUMMYFUNCTION("""COMPUTED_VALUE"""),"3000/4000/6000")</f>
        <v>3000/4000/6000</v>
      </c>
      <c r="Y990" s="97" t="str">
        <f>IFERROR(__xludf.DUMMYFUNCTION("""COMPUTED_VALUE"""),"&gt;95")</f>
        <v>&gt;95</v>
      </c>
      <c r="Z990" s="97"/>
      <c r="AA990" s="97"/>
      <c r="AB990" s="97"/>
      <c r="AC990" s="97"/>
      <c r="AD990" s="97" t="str">
        <f>IFERROR(__xludf.DUMMYFUNCTION("""COMPUTED_VALUE"""),"IP20")</f>
        <v>IP20</v>
      </c>
      <c r="AE990" s="97" t="str">
        <f>IFERROR(__xludf.DUMMYFUNCTION("""COMPUTED_VALUE"""),"Clase l")</f>
        <v>Clase l</v>
      </c>
      <c r="AF990" s="97" t="str">
        <f>IFERROR(__xludf.DUMMYFUNCTION("""COMPUTED_VALUE"""),"Aplicar, Suspender")</f>
        <v>Aplicar, Suspender</v>
      </c>
      <c r="AG990" s="97" t="str">
        <f>IFERROR(__xludf.DUMMYFUNCTION("""COMPUTED_VALUE"""),"Ø500 x 70")</f>
        <v>Ø500 x 70</v>
      </c>
      <c r="AH990" s="97" t="str">
        <f>IFERROR(__xludf.DUMMYFUNCTION("""COMPUTED_VALUE"""),"N/A")</f>
        <v>N/A</v>
      </c>
      <c r="AI990" s="97" t="str">
        <f>IFERROR(__xludf.DUMMYFUNCTION("""COMPUTED_VALUE"""),"N/A")</f>
        <v>N/A</v>
      </c>
      <c r="AJ990" s="97" t="str">
        <f>IFERROR(__xludf.DUMMYFUNCTION("""COMPUTED_VALUE"""),"PMMA")</f>
        <v>PMMA</v>
      </c>
      <c r="AK990" s="97" t="str">
        <f>IFERROR(__xludf.DUMMYFUNCTION("""COMPUTED_VALUE"""),"ABS")</f>
        <v>ABS</v>
      </c>
      <c r="AL990" s="97" t="str">
        <f>IFERROR(__xludf.DUMMYFUNCTION("""COMPUTED_VALUE"""),"Negro Mate")</f>
        <v>Negro Mate</v>
      </c>
      <c r="AM990" s="97" t="str">
        <f>IFERROR(__xludf.DUMMYFUNCTION("""COMPUTED_VALUE"""),"-")</f>
        <v>-</v>
      </c>
      <c r="AN990" s="97" t="str">
        <f>IFERROR(__xludf.DUMMYFUNCTION("""COMPUTED_VALUE"""),"25.000hs (L70)")</f>
        <v>25.000hs (L70)</v>
      </c>
      <c r="AO990" s="97" t="str">
        <f>IFERROR(__xludf.DUMMYFUNCTION("""COMPUTED_VALUE"""),"2 Años")</f>
        <v>2 Años</v>
      </c>
      <c r="AP990" s="97" t="str">
        <f>IFERROR(__xludf.DUMMYFUNCTION("""COMPUTED_VALUE"""),"Disponible")</f>
        <v>Disponible</v>
      </c>
      <c r="AQ990" s="97" t="str">
        <f>IFERROR(__xludf.DUMMYFUNCTION("""COMPUTED_VALUE"""),"Disponible")</f>
        <v>Disponible</v>
      </c>
      <c r="AR990" s="97" t="str">
        <f>IFERROR(__xludf.DUMMYFUNCTION("""COMPUTED_VALUE"""),"Disponible")</f>
        <v>Disponible</v>
      </c>
      <c r="AS990" s="97"/>
      <c r="AT990" s="97"/>
      <c r="AU990" s="97" t="str">
        <f>IFERROR(__xludf.DUMMYFUNCTION("""COMPUTED_VALUE"""),"Falta")</f>
        <v>Falta</v>
      </c>
      <c r="AV990" s="97" t="str">
        <f>IFERROR(__xludf.DUMMYFUNCTION("""COMPUTED_VALUE"""),"Aplique")</f>
        <v>Aplique</v>
      </c>
      <c r="AW990" s="97" t="str">
        <f>IFERROR(__xludf.DUMMYFUNCTION("""COMPUTED_VALUE"""),"De Techo")</f>
        <v>De Techo</v>
      </c>
      <c r="AX990" s="97" t="str">
        <f>IFERROR(__xludf.DUMMYFUNCTION("""COMPUTED_VALUE"""),"Interior")</f>
        <v>Interior</v>
      </c>
      <c r="AY990" s="97" t="str">
        <f>IFERROR(__xludf.DUMMYFUNCTION("""COMPUTED_VALUE"""),"-")</f>
        <v>-</v>
      </c>
      <c r="AZ990" s="97" t="str">
        <f>IFERROR(__xludf.DUMMYFUNCTION("""COMPUTED_VALUE"""),"Switch p/cambio de color. Aplica KIT SUSPENSIÓN 4 TENSORES BL 6829 o NG 6830.")</f>
        <v>Switch p/cambio de color. Aplica KIT SUSPENSIÓN 4 TENSORES BL 6829 o NG 6830.</v>
      </c>
      <c r="BA990" s="97">
        <f>IFERROR(__xludf.DUMMYFUNCTION("""COMPUTED_VALUE"""),5.0)</f>
        <v>5</v>
      </c>
      <c r="BB990" s="97" t="str">
        <f>IFERROR(__xludf.DUMMYFUNCTION("""COMPUTED_VALUE"""),"-")</f>
        <v>-</v>
      </c>
      <c r="BC990" s="97" t="str">
        <f>IFERROR(__xludf.DUMMYFUNCTION("""COMPUTED_VALUE"""),"-")</f>
        <v>-</v>
      </c>
      <c r="BD990" s="97" t="str">
        <f>IFERROR(__xludf.DUMMYFUNCTION("""COMPUTED_VALUE"""),"CITY")</f>
        <v>CITY</v>
      </c>
      <c r="BE990" s="97" t="str">
        <f>IFERROR(__xludf.DUMMYFUNCTION("""COMPUTED_VALUE"""),"Finalizada")</f>
        <v>Finalizada</v>
      </c>
      <c r="BF990" s="97"/>
      <c r="BG990" s="97" t="str">
        <f>IFERROR(__xludf.DUMMYFUNCTION("""COMPUTED_VALUE"""),"Activo")</f>
        <v>Activo</v>
      </c>
    </row>
    <row r="991">
      <c r="A991" s="97">
        <f>IFERROR(__xludf.DUMMYFUNCTION("""COMPUTED_VALUE"""),6777.0)</f>
        <v>6777</v>
      </c>
      <c r="B991" s="97" t="str">
        <f>IFERROR(__xludf.DUMMYFUNCTION("""COMPUTED_VALUE"""),"CITY BL 55W")</f>
        <v>CITY BL 55W</v>
      </c>
      <c r="C991" s="97" t="str">
        <f>IFERROR(__xludf.DUMMYFUNCTION("""COMPUTED_VALUE"""),"APLIQUE CITY BL 55W 55W 3000/4000/6000K 3150LM CRI&gt;95 IP20 LEUK")</f>
        <v>APLIQUE CITY BL 55W 55W 3000/4000/6000K 3150LM CRI&gt;95 IP20 LEUK</v>
      </c>
      <c r="D991" s="97">
        <f>IFERROR(__xludf.DUMMYFUNCTION("""COMPUTED_VALUE"""),7.798413222784E12)</f>
        <v>7798413222784</v>
      </c>
      <c r="E991" s="97" t="str">
        <f>IFERROR(__xludf.DUMMYFUNCTION("""COMPUTED_VALUE"""),"F16")</f>
        <v>F16</v>
      </c>
      <c r="F991" s="97" t="str">
        <f>IFERROR(__xludf.DUMMYFUNCTION("""COMPUTED_VALUE"""),"LED integrado")</f>
        <v>LED integrado</v>
      </c>
      <c r="G991" s="97" t="str">
        <f>IFERROR(__xludf.DUMMYFUNCTION("""COMPUTED_VALUE"""),"-")</f>
        <v>-</v>
      </c>
      <c r="H991" s="97" t="str">
        <f>IFERROR(__xludf.DUMMYFUNCTION("""COMPUTED_VALUE"""),"-")</f>
        <v>-</v>
      </c>
      <c r="I991" s="97"/>
      <c r="J991" s="97"/>
      <c r="K991" s="97" t="str">
        <f>IFERROR(__xludf.DUMMYFUNCTION("""COMPUTED_VALUE"""),"ON/OFF")</f>
        <v>ON/OFF</v>
      </c>
      <c r="L991" s="97" t="str">
        <f>IFERROR(__xludf.DUMMYFUNCTION("""COMPUTED_VALUE"""),"200-240")</f>
        <v>200-240</v>
      </c>
      <c r="M991" s="97" t="str">
        <f>IFERROR(__xludf.DUMMYFUNCTION("""COMPUTED_VALUE"""),"50/60")</f>
        <v>50/60</v>
      </c>
      <c r="N991" s="97" t="str">
        <f>IFERROR(__xludf.DUMMYFUNCTION("""COMPUTED_VALUE"""),"Directa-Simétrica")</f>
        <v>Directa-Simétrica</v>
      </c>
      <c r="O991" s="97">
        <f>IFERROR(__xludf.DUMMYFUNCTION("""COMPUTED_VALUE"""),55.0)</f>
        <v>55</v>
      </c>
      <c r="P991" s="97"/>
      <c r="Q991" s="97">
        <f>IFERROR(__xludf.DUMMYFUNCTION("""COMPUTED_VALUE"""),0.62)</f>
        <v>0.62</v>
      </c>
      <c r="R991" s="97" t="str">
        <f>IFERROR(__xludf.DUMMYFUNCTION("""COMPUTED_VALUE"""),"-")</f>
        <v>-</v>
      </c>
      <c r="S991" s="97" t="str">
        <f>IFERROR(__xludf.DUMMYFUNCTION("""COMPUTED_VALUE"""),"-")</f>
        <v>-</v>
      </c>
      <c r="T991" s="97">
        <f>IFERROR(__xludf.DUMMYFUNCTION("""COMPUTED_VALUE"""),3150.0)</f>
        <v>3150</v>
      </c>
      <c r="U991" s="99">
        <f>IFERROR(__xludf.DUMMYFUNCTION("""COMPUTED_VALUE"""),57.27272727272727)</f>
        <v>57.27272727</v>
      </c>
      <c r="V991" s="97">
        <f>IFERROR(__xludf.DUMMYFUNCTION("""COMPUTED_VALUE"""),115.0)</f>
        <v>115</v>
      </c>
      <c r="W991" s="97" t="str">
        <f>IFERROR(__xludf.DUMMYFUNCTION("""COMPUTED_VALUE"""),"&lt; 20")</f>
        <v>&lt; 20</v>
      </c>
      <c r="X991" s="97" t="str">
        <f>IFERROR(__xludf.DUMMYFUNCTION("""COMPUTED_VALUE"""),"3000/4000/6000")</f>
        <v>3000/4000/6000</v>
      </c>
      <c r="Y991" s="97" t="str">
        <f>IFERROR(__xludf.DUMMYFUNCTION("""COMPUTED_VALUE"""),"&gt;95")</f>
        <v>&gt;95</v>
      </c>
      <c r="Z991" s="97"/>
      <c r="AA991" s="97"/>
      <c r="AB991" s="97"/>
      <c r="AC991" s="97"/>
      <c r="AD991" s="97" t="str">
        <f>IFERROR(__xludf.DUMMYFUNCTION("""COMPUTED_VALUE"""),"IP20")</f>
        <v>IP20</v>
      </c>
      <c r="AE991" s="97" t="str">
        <f>IFERROR(__xludf.DUMMYFUNCTION("""COMPUTED_VALUE"""),"Clase l")</f>
        <v>Clase l</v>
      </c>
      <c r="AF991" s="97" t="str">
        <f>IFERROR(__xludf.DUMMYFUNCTION("""COMPUTED_VALUE"""),"Aplicar, Suspender")</f>
        <v>Aplicar, Suspender</v>
      </c>
      <c r="AG991" s="97" t="str">
        <f>IFERROR(__xludf.DUMMYFUNCTION("""COMPUTED_VALUE"""),"Ø670 x 70")</f>
        <v>Ø670 x 70</v>
      </c>
      <c r="AH991" s="97" t="str">
        <f>IFERROR(__xludf.DUMMYFUNCTION("""COMPUTED_VALUE"""),"N/A")</f>
        <v>N/A</v>
      </c>
      <c r="AI991" s="97" t="str">
        <f>IFERROR(__xludf.DUMMYFUNCTION("""COMPUTED_VALUE"""),"N/A")</f>
        <v>N/A</v>
      </c>
      <c r="AJ991" s="97" t="str">
        <f>IFERROR(__xludf.DUMMYFUNCTION("""COMPUTED_VALUE"""),"PMMA")</f>
        <v>PMMA</v>
      </c>
      <c r="AK991" s="97" t="str">
        <f>IFERROR(__xludf.DUMMYFUNCTION("""COMPUTED_VALUE"""),"ABS")</f>
        <v>ABS</v>
      </c>
      <c r="AL991" s="97" t="str">
        <f>IFERROR(__xludf.DUMMYFUNCTION("""COMPUTED_VALUE"""),"Blanco Mate")</f>
        <v>Blanco Mate</v>
      </c>
      <c r="AM991" s="97" t="str">
        <f>IFERROR(__xludf.DUMMYFUNCTION("""COMPUTED_VALUE"""),"-")</f>
        <v>-</v>
      </c>
      <c r="AN991" s="97" t="str">
        <f>IFERROR(__xludf.DUMMYFUNCTION("""COMPUTED_VALUE"""),"25.000hs (L70)")</f>
        <v>25.000hs (L70)</v>
      </c>
      <c r="AO991" s="97" t="str">
        <f>IFERROR(__xludf.DUMMYFUNCTION("""COMPUTED_VALUE"""),"2 Años")</f>
        <v>2 Años</v>
      </c>
      <c r="AP991" s="97" t="str">
        <f>IFERROR(__xludf.DUMMYFUNCTION("""COMPUTED_VALUE"""),"Disponible")</f>
        <v>Disponible</v>
      </c>
      <c r="AQ991" s="97" t="str">
        <f>IFERROR(__xludf.DUMMYFUNCTION("""COMPUTED_VALUE"""),"Disponible")</f>
        <v>Disponible</v>
      </c>
      <c r="AR991" s="97" t="str">
        <f>IFERROR(__xludf.DUMMYFUNCTION("""COMPUTED_VALUE"""),"Disponible")</f>
        <v>Disponible</v>
      </c>
      <c r="AS991" s="97"/>
      <c r="AT991" s="97"/>
      <c r="AU991" s="97" t="str">
        <f>IFERROR(__xludf.DUMMYFUNCTION("""COMPUTED_VALUE"""),"Falta")</f>
        <v>Falta</v>
      </c>
      <c r="AV991" s="97" t="str">
        <f>IFERROR(__xludf.DUMMYFUNCTION("""COMPUTED_VALUE"""),"Aplique")</f>
        <v>Aplique</v>
      </c>
      <c r="AW991" s="97" t="str">
        <f>IFERROR(__xludf.DUMMYFUNCTION("""COMPUTED_VALUE"""),"De Techo")</f>
        <v>De Techo</v>
      </c>
      <c r="AX991" s="97" t="str">
        <f>IFERROR(__xludf.DUMMYFUNCTION("""COMPUTED_VALUE"""),"Interior")</f>
        <v>Interior</v>
      </c>
      <c r="AY991" s="97" t="str">
        <f>IFERROR(__xludf.DUMMYFUNCTION("""COMPUTED_VALUE"""),"-")</f>
        <v>-</v>
      </c>
      <c r="AZ991" s="97" t="str">
        <f>IFERROR(__xludf.DUMMYFUNCTION("""COMPUTED_VALUE"""),"Switch p/cambio de color. Aplica KIT SUSPENSIÓN 4 TENSORES BL 6829 o NG 6830.")</f>
        <v>Switch p/cambio de color. Aplica KIT SUSPENSIÓN 4 TENSORES BL 6829 o NG 6830.</v>
      </c>
      <c r="BA991" s="97">
        <f>IFERROR(__xludf.DUMMYFUNCTION("""COMPUTED_VALUE"""),1.0)</f>
        <v>1</v>
      </c>
      <c r="BB991" s="97" t="str">
        <f>IFERROR(__xludf.DUMMYFUNCTION("""COMPUTED_VALUE"""),"-")</f>
        <v>-</v>
      </c>
      <c r="BC991" s="97" t="str">
        <f>IFERROR(__xludf.DUMMYFUNCTION("""COMPUTED_VALUE"""),"-")</f>
        <v>-</v>
      </c>
      <c r="BD991" s="97" t="str">
        <f>IFERROR(__xludf.DUMMYFUNCTION("""COMPUTED_VALUE"""),"CITY")</f>
        <v>CITY</v>
      </c>
      <c r="BE991" s="97" t="str">
        <f>IFERROR(__xludf.DUMMYFUNCTION("""COMPUTED_VALUE"""),"Finalizada")</f>
        <v>Finalizada</v>
      </c>
      <c r="BF991" s="97"/>
      <c r="BG991" s="97" t="str">
        <f>IFERROR(__xludf.DUMMYFUNCTION("""COMPUTED_VALUE"""),"Activo")</f>
        <v>Activo</v>
      </c>
    </row>
    <row r="992">
      <c r="A992" s="97">
        <f>IFERROR(__xludf.DUMMYFUNCTION("""COMPUTED_VALUE"""),6778.0)</f>
        <v>6778</v>
      </c>
      <c r="B992" s="97" t="str">
        <f>IFERROR(__xludf.DUMMYFUNCTION("""COMPUTED_VALUE"""),"CITY NG 55W")</f>
        <v>CITY NG 55W</v>
      </c>
      <c r="C992" s="97" t="str">
        <f>IFERROR(__xludf.DUMMYFUNCTION("""COMPUTED_VALUE"""),"APLIQUE CITY NG 55W 55W 3000/4000/6000K 3150LM CRI&gt;95 IP20 LEUK")</f>
        <v>APLIQUE CITY NG 55W 55W 3000/4000/6000K 3150LM CRI&gt;95 IP20 LEUK</v>
      </c>
      <c r="D992" s="97">
        <f>IFERROR(__xludf.DUMMYFUNCTION("""COMPUTED_VALUE"""),7.798413222791E12)</f>
        <v>7798413222791</v>
      </c>
      <c r="E992" s="97" t="str">
        <f>IFERROR(__xludf.DUMMYFUNCTION("""COMPUTED_VALUE"""),"F15")</f>
        <v>F15</v>
      </c>
      <c r="F992" s="97" t="str">
        <f>IFERROR(__xludf.DUMMYFUNCTION("""COMPUTED_VALUE"""),"LED integrado")</f>
        <v>LED integrado</v>
      </c>
      <c r="G992" s="97" t="str">
        <f>IFERROR(__xludf.DUMMYFUNCTION("""COMPUTED_VALUE"""),"-")</f>
        <v>-</v>
      </c>
      <c r="H992" s="97" t="str">
        <f>IFERROR(__xludf.DUMMYFUNCTION("""COMPUTED_VALUE"""),"-")</f>
        <v>-</v>
      </c>
      <c r="I992" s="97"/>
      <c r="J992" s="97"/>
      <c r="K992" s="97" t="str">
        <f>IFERROR(__xludf.DUMMYFUNCTION("""COMPUTED_VALUE"""),"ON/OFF")</f>
        <v>ON/OFF</v>
      </c>
      <c r="L992" s="97" t="str">
        <f>IFERROR(__xludf.DUMMYFUNCTION("""COMPUTED_VALUE"""),"200-240")</f>
        <v>200-240</v>
      </c>
      <c r="M992" s="97" t="str">
        <f>IFERROR(__xludf.DUMMYFUNCTION("""COMPUTED_VALUE"""),"50/60")</f>
        <v>50/60</v>
      </c>
      <c r="N992" s="97" t="str">
        <f>IFERROR(__xludf.DUMMYFUNCTION("""COMPUTED_VALUE"""),"Directa-Simétrica")</f>
        <v>Directa-Simétrica</v>
      </c>
      <c r="O992" s="97">
        <f>IFERROR(__xludf.DUMMYFUNCTION("""COMPUTED_VALUE"""),55.0)</f>
        <v>55</v>
      </c>
      <c r="P992" s="97"/>
      <c r="Q992" s="97">
        <f>IFERROR(__xludf.DUMMYFUNCTION("""COMPUTED_VALUE"""),0.62)</f>
        <v>0.62</v>
      </c>
      <c r="R992" s="97" t="str">
        <f>IFERROR(__xludf.DUMMYFUNCTION("""COMPUTED_VALUE"""),"-")</f>
        <v>-</v>
      </c>
      <c r="S992" s="97" t="str">
        <f>IFERROR(__xludf.DUMMYFUNCTION("""COMPUTED_VALUE"""),"-")</f>
        <v>-</v>
      </c>
      <c r="T992" s="97">
        <f>IFERROR(__xludf.DUMMYFUNCTION("""COMPUTED_VALUE"""),3150.0)</f>
        <v>3150</v>
      </c>
      <c r="U992" s="99">
        <f>IFERROR(__xludf.DUMMYFUNCTION("""COMPUTED_VALUE"""),57.27272727272727)</f>
        <v>57.27272727</v>
      </c>
      <c r="V992" s="97">
        <f>IFERROR(__xludf.DUMMYFUNCTION("""COMPUTED_VALUE"""),115.0)</f>
        <v>115</v>
      </c>
      <c r="W992" s="97" t="str">
        <f>IFERROR(__xludf.DUMMYFUNCTION("""COMPUTED_VALUE"""),"&lt; 20")</f>
        <v>&lt; 20</v>
      </c>
      <c r="X992" s="97" t="str">
        <f>IFERROR(__xludf.DUMMYFUNCTION("""COMPUTED_VALUE"""),"3000/4000/6000")</f>
        <v>3000/4000/6000</v>
      </c>
      <c r="Y992" s="97" t="str">
        <f>IFERROR(__xludf.DUMMYFUNCTION("""COMPUTED_VALUE"""),"&gt;95")</f>
        <v>&gt;95</v>
      </c>
      <c r="Z992" s="97"/>
      <c r="AA992" s="97"/>
      <c r="AB992" s="97"/>
      <c r="AC992" s="97"/>
      <c r="AD992" s="97" t="str">
        <f>IFERROR(__xludf.DUMMYFUNCTION("""COMPUTED_VALUE"""),"IP20")</f>
        <v>IP20</v>
      </c>
      <c r="AE992" s="97" t="str">
        <f>IFERROR(__xludf.DUMMYFUNCTION("""COMPUTED_VALUE"""),"Clase l")</f>
        <v>Clase l</v>
      </c>
      <c r="AF992" s="97" t="str">
        <f>IFERROR(__xludf.DUMMYFUNCTION("""COMPUTED_VALUE"""),"Aplicar, Suspender")</f>
        <v>Aplicar, Suspender</v>
      </c>
      <c r="AG992" s="97" t="str">
        <f>IFERROR(__xludf.DUMMYFUNCTION("""COMPUTED_VALUE"""),"Ø670 x 70")</f>
        <v>Ø670 x 70</v>
      </c>
      <c r="AH992" s="97" t="str">
        <f>IFERROR(__xludf.DUMMYFUNCTION("""COMPUTED_VALUE"""),"N/A")</f>
        <v>N/A</v>
      </c>
      <c r="AI992" s="97" t="str">
        <f>IFERROR(__xludf.DUMMYFUNCTION("""COMPUTED_VALUE"""),"N/A")</f>
        <v>N/A</v>
      </c>
      <c r="AJ992" s="97" t="str">
        <f>IFERROR(__xludf.DUMMYFUNCTION("""COMPUTED_VALUE"""),"PMMA")</f>
        <v>PMMA</v>
      </c>
      <c r="AK992" s="97" t="str">
        <f>IFERROR(__xludf.DUMMYFUNCTION("""COMPUTED_VALUE"""),"ABS")</f>
        <v>ABS</v>
      </c>
      <c r="AL992" s="97" t="str">
        <f>IFERROR(__xludf.DUMMYFUNCTION("""COMPUTED_VALUE"""),"Negro Mate")</f>
        <v>Negro Mate</v>
      </c>
      <c r="AM992" s="97" t="str">
        <f>IFERROR(__xludf.DUMMYFUNCTION("""COMPUTED_VALUE"""),"-")</f>
        <v>-</v>
      </c>
      <c r="AN992" s="97" t="str">
        <f>IFERROR(__xludf.DUMMYFUNCTION("""COMPUTED_VALUE"""),"25.000hs (L70)")</f>
        <v>25.000hs (L70)</v>
      </c>
      <c r="AO992" s="97" t="str">
        <f>IFERROR(__xludf.DUMMYFUNCTION("""COMPUTED_VALUE"""),"2 Años")</f>
        <v>2 Años</v>
      </c>
      <c r="AP992" s="97" t="str">
        <f>IFERROR(__xludf.DUMMYFUNCTION("""COMPUTED_VALUE"""),"Disponible")</f>
        <v>Disponible</v>
      </c>
      <c r="AQ992" s="97" t="str">
        <f>IFERROR(__xludf.DUMMYFUNCTION("""COMPUTED_VALUE"""),"Disponible")</f>
        <v>Disponible</v>
      </c>
      <c r="AR992" s="97" t="str">
        <f>IFERROR(__xludf.DUMMYFUNCTION("""COMPUTED_VALUE"""),"Disponible")</f>
        <v>Disponible</v>
      </c>
      <c r="AS992" s="97"/>
      <c r="AT992" s="97"/>
      <c r="AU992" s="97" t="str">
        <f>IFERROR(__xludf.DUMMYFUNCTION("""COMPUTED_VALUE"""),"Falta")</f>
        <v>Falta</v>
      </c>
      <c r="AV992" s="97" t="str">
        <f>IFERROR(__xludf.DUMMYFUNCTION("""COMPUTED_VALUE"""),"Aplique")</f>
        <v>Aplique</v>
      </c>
      <c r="AW992" s="97" t="str">
        <f>IFERROR(__xludf.DUMMYFUNCTION("""COMPUTED_VALUE"""),"De Techo")</f>
        <v>De Techo</v>
      </c>
      <c r="AX992" s="97" t="str">
        <f>IFERROR(__xludf.DUMMYFUNCTION("""COMPUTED_VALUE"""),"Interior")</f>
        <v>Interior</v>
      </c>
      <c r="AY992" s="97" t="str">
        <f>IFERROR(__xludf.DUMMYFUNCTION("""COMPUTED_VALUE"""),"-")</f>
        <v>-</v>
      </c>
      <c r="AZ992" s="97" t="str">
        <f>IFERROR(__xludf.DUMMYFUNCTION("""COMPUTED_VALUE"""),"Switch p/cambio de color. Aplica KIT SUSPENSIÓN 4 TENSORES BL 6829 o NG 6830.")</f>
        <v>Switch p/cambio de color. Aplica KIT SUSPENSIÓN 4 TENSORES BL 6829 o NG 6830.</v>
      </c>
      <c r="BA992" s="97">
        <f>IFERROR(__xludf.DUMMYFUNCTION("""COMPUTED_VALUE"""),1.0)</f>
        <v>1</v>
      </c>
      <c r="BB992" s="97" t="str">
        <f>IFERROR(__xludf.DUMMYFUNCTION("""COMPUTED_VALUE"""),"-")</f>
        <v>-</v>
      </c>
      <c r="BC992" s="97" t="str">
        <f>IFERROR(__xludf.DUMMYFUNCTION("""COMPUTED_VALUE"""),"-")</f>
        <v>-</v>
      </c>
      <c r="BD992" s="97" t="str">
        <f>IFERROR(__xludf.DUMMYFUNCTION("""COMPUTED_VALUE"""),"CITY")</f>
        <v>CITY</v>
      </c>
      <c r="BE992" s="97" t="str">
        <f>IFERROR(__xludf.DUMMYFUNCTION("""COMPUTED_VALUE"""),"Finalizada")</f>
        <v>Finalizada</v>
      </c>
      <c r="BF992" s="97"/>
      <c r="BG992" s="97" t="str">
        <f>IFERROR(__xludf.DUMMYFUNCTION("""COMPUTED_VALUE"""),"Activo")</f>
        <v>Activo</v>
      </c>
    </row>
    <row r="993">
      <c r="A993" s="97">
        <f>IFERROR(__xludf.DUMMYFUNCTION("""COMPUTED_VALUE"""),6779.0)</f>
        <v>6779</v>
      </c>
      <c r="B993" s="97" t="str">
        <f>IFERROR(__xludf.DUMMYFUNCTION("""COMPUTED_VALUE"""),"LINUX MD")</f>
        <v>LINUX MD</v>
      </c>
      <c r="C993" s="97" t="str">
        <f>IFERROR(__xludf.DUMMYFUNCTION("""COMPUTED_VALUE"""),"PLAFON LINUX MADERA 45W 3CCT LEUK")</f>
        <v>PLAFON LINUX MADERA 45W 3CCT LEUK</v>
      </c>
      <c r="D993" s="97">
        <f>IFERROR(__xludf.DUMMYFUNCTION("""COMPUTED_VALUE"""),7.798413222807E12)</f>
        <v>7798413222807</v>
      </c>
      <c r="E993" s="97" t="str">
        <f>IFERROR(__xludf.DUMMYFUNCTION("""COMPUTED_VALUE"""),"F119")</f>
        <v>F119</v>
      </c>
      <c r="F993" s="97" t="str">
        <f>IFERROR(__xludf.DUMMYFUNCTION("""COMPUTED_VALUE"""),"LED integrado")</f>
        <v>LED integrado</v>
      </c>
      <c r="G993" s="97" t="str">
        <f>IFERROR(__xludf.DUMMYFUNCTION("""COMPUTED_VALUE"""),"-")</f>
        <v>-</v>
      </c>
      <c r="H993" s="97" t="str">
        <f>IFERROR(__xludf.DUMMYFUNCTION("""COMPUTED_VALUE"""),"-")</f>
        <v>-</v>
      </c>
      <c r="I993" s="97"/>
      <c r="J993" s="97"/>
      <c r="K993" s="97" t="str">
        <f>IFERROR(__xludf.DUMMYFUNCTION("""COMPUTED_VALUE"""),"Remoto IR / RF")</f>
        <v>Remoto IR / RF</v>
      </c>
      <c r="L993" s="97" t="str">
        <f>IFERROR(__xludf.DUMMYFUNCTION("""COMPUTED_VALUE"""),"200-240")</f>
        <v>200-240</v>
      </c>
      <c r="M993" s="97" t="str">
        <f>IFERROR(__xludf.DUMMYFUNCTION("""COMPUTED_VALUE"""),"50/60")</f>
        <v>50/60</v>
      </c>
      <c r="N993" s="97"/>
      <c r="O993" s="97">
        <f>IFERROR(__xludf.DUMMYFUNCTION("""COMPUTED_VALUE"""),45.0)</f>
        <v>45</v>
      </c>
      <c r="P993" s="97"/>
      <c r="Q993" s="97">
        <f>IFERROR(__xludf.DUMMYFUNCTION("""COMPUTED_VALUE"""),0.6)</f>
        <v>0.6</v>
      </c>
      <c r="R993" s="97" t="str">
        <f>IFERROR(__xludf.DUMMYFUNCTION("""COMPUTED_VALUE"""),"-")</f>
        <v>-</v>
      </c>
      <c r="S993" s="97" t="str">
        <f>IFERROR(__xludf.DUMMYFUNCTION("""COMPUTED_VALUE"""),"-")</f>
        <v>-</v>
      </c>
      <c r="T993" s="97">
        <f>IFERROR(__xludf.DUMMYFUNCTION("""COMPUTED_VALUE"""),2400.0)</f>
        <v>2400</v>
      </c>
      <c r="U993" s="99">
        <f>IFERROR(__xludf.DUMMYFUNCTION("""COMPUTED_VALUE"""),53.333333333333336)</f>
        <v>53.33333333</v>
      </c>
      <c r="V993" s="97">
        <f>IFERROR(__xludf.DUMMYFUNCTION("""COMPUTED_VALUE"""),115.0)</f>
        <v>115</v>
      </c>
      <c r="W993" s="97" t="str">
        <f>IFERROR(__xludf.DUMMYFUNCTION("""COMPUTED_VALUE"""),"&lt; 20")</f>
        <v>&lt; 20</v>
      </c>
      <c r="X993" s="97" t="str">
        <f>IFERROR(__xludf.DUMMYFUNCTION("""COMPUTED_VALUE"""),"3000/4000/6000")</f>
        <v>3000/4000/6000</v>
      </c>
      <c r="Y993" s="97" t="str">
        <f>IFERROR(__xludf.DUMMYFUNCTION("""COMPUTED_VALUE"""),"&gt;95")</f>
        <v>&gt;95</v>
      </c>
      <c r="Z993" s="97" t="str">
        <f>IFERROR(__xludf.DUMMYFUNCTION("""COMPUTED_VALUE"""),"-")</f>
        <v>-</v>
      </c>
      <c r="AA993" s="97" t="str">
        <f>IFERROR(__xludf.DUMMYFUNCTION("""COMPUTED_VALUE"""),"-")</f>
        <v>-</v>
      </c>
      <c r="AB993" s="97"/>
      <c r="AC993" s="97"/>
      <c r="AD993" s="97" t="str">
        <f>IFERROR(__xludf.DUMMYFUNCTION("""COMPUTED_VALUE"""),"IP20")</f>
        <v>IP20</v>
      </c>
      <c r="AE993" s="97" t="str">
        <f>IFERROR(__xludf.DUMMYFUNCTION("""COMPUTED_VALUE"""),"Clase l")</f>
        <v>Clase l</v>
      </c>
      <c r="AF993" s="97" t="str">
        <f>IFERROR(__xludf.DUMMYFUNCTION("""COMPUTED_VALUE"""),"Aplicar, Suspender")</f>
        <v>Aplicar, Suspender</v>
      </c>
      <c r="AG993" s="97" t="str">
        <f>IFERROR(__xludf.DUMMYFUNCTION("""COMPUTED_VALUE"""),"Ø500 x 70")</f>
        <v>Ø500 x 70</v>
      </c>
      <c r="AH993" s="97" t="str">
        <f>IFERROR(__xludf.DUMMYFUNCTION("""COMPUTED_VALUE"""),"N/A")</f>
        <v>N/A</v>
      </c>
      <c r="AI993" s="97" t="str">
        <f>IFERROR(__xludf.DUMMYFUNCTION("""COMPUTED_VALUE"""),"N/A")</f>
        <v>N/A</v>
      </c>
      <c r="AJ993" s="97" t="str">
        <f>IFERROR(__xludf.DUMMYFUNCTION("""COMPUTED_VALUE"""),"PMMA")</f>
        <v>PMMA</v>
      </c>
      <c r="AK993" s="97" t="str">
        <f>IFERROR(__xludf.DUMMYFUNCTION("""COMPUTED_VALUE"""),"ABS")</f>
        <v>ABS</v>
      </c>
      <c r="AL993" s="97" t="str">
        <f>IFERROR(__xludf.DUMMYFUNCTION("""COMPUTED_VALUE"""),"Madera")</f>
        <v>Madera</v>
      </c>
      <c r="AM993" s="97" t="str">
        <f>IFERROR(__xludf.DUMMYFUNCTION("""COMPUTED_VALUE"""),"-")</f>
        <v>-</v>
      </c>
      <c r="AN993" s="97" t="str">
        <f>IFERROR(__xludf.DUMMYFUNCTION("""COMPUTED_VALUE"""),"-")</f>
        <v>-</v>
      </c>
      <c r="AO993" s="97" t="str">
        <f>IFERROR(__xludf.DUMMYFUNCTION("""COMPUTED_VALUE"""),"1 Año")</f>
        <v>1 Año</v>
      </c>
      <c r="AP993" s="97"/>
      <c r="AQ993" s="97"/>
      <c r="AR993" s="97"/>
      <c r="AS993" s="97"/>
      <c r="AT993" s="97"/>
      <c r="AU993" s="97"/>
      <c r="AV993" s="97" t="str">
        <f>IFERROR(__xludf.DUMMYFUNCTION("""COMPUTED_VALUE"""),"Aplique")</f>
        <v>Aplique</v>
      </c>
      <c r="AW993" s="97" t="str">
        <f>IFERROR(__xludf.DUMMYFUNCTION("""COMPUTED_VALUE"""),"De Techo")</f>
        <v>De Techo</v>
      </c>
      <c r="AX993" s="97" t="str">
        <f>IFERROR(__xludf.DUMMYFUNCTION("""COMPUTED_VALUE"""),"Interior")</f>
        <v>Interior</v>
      </c>
      <c r="AY993" s="97"/>
      <c r="AZ993" s="97" t="str">
        <f>IFERROR(__xludf.DUMMYFUNCTION("""COMPUTED_VALUE"""),"Switch p/cambio de color. Aplica KIT SUSPENSIÓN 4 TENSORES BL 6829 o NG 6830.")</f>
        <v>Switch p/cambio de color. Aplica KIT SUSPENSIÓN 4 TENSORES BL 6829 o NG 6830.</v>
      </c>
      <c r="BA993" s="97">
        <f>IFERROR(__xludf.DUMMYFUNCTION("""COMPUTED_VALUE"""),5.0)</f>
        <v>5</v>
      </c>
      <c r="BB993" s="97"/>
      <c r="BC993" s="97"/>
      <c r="BD993" s="97" t="str">
        <f>IFERROR(__xludf.DUMMYFUNCTION("""COMPUTED_VALUE"""),"LINUX")</f>
        <v>LINUX</v>
      </c>
      <c r="BE993" s="97" t="str">
        <f>IFERROR(__xludf.DUMMYFUNCTION("""COMPUTED_VALUE"""),"Finalizada")</f>
        <v>Finalizada</v>
      </c>
      <c r="BF993" s="97">
        <f>IFERROR(__xludf.DUMMYFUNCTION("""COMPUTED_VALUE"""),6849.0)</f>
        <v>6849</v>
      </c>
      <c r="BG993" s="97" t="str">
        <f>IFERROR(__xludf.DUMMYFUNCTION("""COMPUTED_VALUE"""),"Discontinuo")</f>
        <v>Discontinuo</v>
      </c>
    </row>
    <row r="994">
      <c r="A994" s="97">
        <f>IFERROR(__xludf.DUMMYFUNCTION("""COMPUTED_VALUE"""),6780.0)</f>
        <v>6780</v>
      </c>
      <c r="B994" s="97" t="str">
        <f>IFERROR(__xludf.DUMMYFUNCTION("""COMPUTED_VALUE"""),"GALACTIC BL 45W")</f>
        <v>GALACTIC BL 45W</v>
      </c>
      <c r="C994" s="97" t="str">
        <f>IFERROR(__xludf.DUMMYFUNCTION("""COMPUTED_VALUE"""),"APLIQUE GALACTIC BL 45W 45W 3000/4000/6000K 2050LM CRI&gt;90 IP20 LEUK")</f>
        <v>APLIQUE GALACTIC BL 45W 45W 3000/4000/6000K 2050LM CRI&gt;90 IP20 LEUK</v>
      </c>
      <c r="D994" s="97">
        <f>IFERROR(__xludf.DUMMYFUNCTION("""COMPUTED_VALUE"""),7.798413222814E12)</f>
        <v>7798413222814</v>
      </c>
      <c r="E994" s="97" t="str">
        <f>IFERROR(__xludf.DUMMYFUNCTION("""COMPUTED_VALUE"""),"F125")</f>
        <v>F125</v>
      </c>
      <c r="F994" s="97" t="str">
        <f>IFERROR(__xludf.DUMMYFUNCTION("""COMPUTED_VALUE"""),"LED integrado")</f>
        <v>LED integrado</v>
      </c>
      <c r="G994" s="97" t="str">
        <f>IFERROR(__xludf.DUMMYFUNCTION("""COMPUTED_VALUE"""),"-")</f>
        <v>-</v>
      </c>
      <c r="H994" s="97" t="str">
        <f>IFERROR(__xludf.DUMMYFUNCTION("""COMPUTED_VALUE"""),"-")</f>
        <v>-</v>
      </c>
      <c r="I994" s="97"/>
      <c r="J994" s="97" t="str">
        <f>IFERROR(__xludf.DUMMYFUNCTION("""COMPUTED_VALUE"""),"Modelo: CX-37-60Wx1
In: 175-265Vac 50/60Hz
Out: 110-210V 230mA")</f>
        <v>Modelo: CX-37-60Wx1
In: 175-265Vac 50/60Hz
Out: 110-210V 230mA</v>
      </c>
      <c r="K994" s="97" t="str">
        <f>IFERROR(__xludf.DUMMYFUNCTION("""COMPUTED_VALUE"""),"ON/OFF")</f>
        <v>ON/OFF</v>
      </c>
      <c r="L994" s="97" t="str">
        <f>IFERROR(__xludf.DUMMYFUNCTION("""COMPUTED_VALUE"""),"200-240")</f>
        <v>200-240</v>
      </c>
      <c r="M994" s="97" t="str">
        <f>IFERROR(__xludf.DUMMYFUNCTION("""COMPUTED_VALUE"""),"50/60")</f>
        <v>50/60</v>
      </c>
      <c r="N994" s="97" t="str">
        <f>IFERROR(__xludf.DUMMYFUNCTION("""COMPUTED_VALUE"""),"Directa-Simétrica")</f>
        <v>Directa-Simétrica</v>
      </c>
      <c r="O994" s="97">
        <f>IFERROR(__xludf.DUMMYFUNCTION("""COMPUTED_VALUE"""),45.0)</f>
        <v>45</v>
      </c>
      <c r="P994" s="97"/>
      <c r="Q994" s="97">
        <f>IFERROR(__xludf.DUMMYFUNCTION("""COMPUTED_VALUE"""),0.62)</f>
        <v>0.62</v>
      </c>
      <c r="R994" s="97" t="str">
        <f>IFERROR(__xludf.DUMMYFUNCTION("""COMPUTED_VALUE"""),"-")</f>
        <v>-</v>
      </c>
      <c r="S994" s="97" t="str">
        <f>IFERROR(__xludf.DUMMYFUNCTION("""COMPUTED_VALUE"""),"-")</f>
        <v>-</v>
      </c>
      <c r="T994" s="97">
        <f>IFERROR(__xludf.DUMMYFUNCTION("""COMPUTED_VALUE"""),2050.0)</f>
        <v>2050</v>
      </c>
      <c r="U994" s="99">
        <f>IFERROR(__xludf.DUMMYFUNCTION("""COMPUTED_VALUE"""),45.55555555555556)</f>
        <v>45.55555556</v>
      </c>
      <c r="V994" s="97">
        <f>IFERROR(__xludf.DUMMYFUNCTION("""COMPUTED_VALUE"""),115.0)</f>
        <v>115</v>
      </c>
      <c r="W994" s="97" t="str">
        <f>IFERROR(__xludf.DUMMYFUNCTION("""COMPUTED_VALUE"""),"&lt; 20")</f>
        <v>&lt; 20</v>
      </c>
      <c r="X994" s="97" t="str">
        <f>IFERROR(__xludf.DUMMYFUNCTION("""COMPUTED_VALUE"""),"3000/4000/6000")</f>
        <v>3000/4000/6000</v>
      </c>
      <c r="Y994" s="97" t="str">
        <f>IFERROR(__xludf.DUMMYFUNCTION("""COMPUTED_VALUE"""),"&gt;90")</f>
        <v>&gt;90</v>
      </c>
      <c r="Z994" s="97"/>
      <c r="AA994" s="97"/>
      <c r="AB994" s="97"/>
      <c r="AC994" s="97"/>
      <c r="AD994" s="97" t="str">
        <f>IFERROR(__xludf.DUMMYFUNCTION("""COMPUTED_VALUE"""),"IP20")</f>
        <v>IP20</v>
      </c>
      <c r="AE994" s="97" t="str">
        <f>IFERROR(__xludf.DUMMYFUNCTION("""COMPUTED_VALUE"""),"Clase l")</f>
        <v>Clase l</v>
      </c>
      <c r="AF994" s="97" t="str">
        <f>IFERROR(__xludf.DUMMYFUNCTION("""COMPUTED_VALUE"""),"Aplicar, Suspender")</f>
        <v>Aplicar, Suspender</v>
      </c>
      <c r="AG994" s="97" t="str">
        <f>IFERROR(__xludf.DUMMYFUNCTION("""COMPUTED_VALUE"""),"500 x 500 x 70")</f>
        <v>500 x 500 x 70</v>
      </c>
      <c r="AH994" s="97" t="str">
        <f>IFERROR(__xludf.DUMMYFUNCTION("""COMPUTED_VALUE"""),"N/A")</f>
        <v>N/A</v>
      </c>
      <c r="AI994" s="97" t="str">
        <f>IFERROR(__xludf.DUMMYFUNCTION("""COMPUTED_VALUE"""),"N/A")</f>
        <v>N/A</v>
      </c>
      <c r="AJ994" s="97" t="str">
        <f>IFERROR(__xludf.DUMMYFUNCTION("""COMPUTED_VALUE"""),"PMMA")</f>
        <v>PMMA</v>
      </c>
      <c r="AK994" s="97" t="str">
        <f>IFERROR(__xludf.DUMMYFUNCTION("""COMPUTED_VALUE"""),"ABS")</f>
        <v>ABS</v>
      </c>
      <c r="AL994" s="97" t="str">
        <f>IFERROR(__xludf.DUMMYFUNCTION("""COMPUTED_VALUE"""),"Blanco Satinado")</f>
        <v>Blanco Satinado</v>
      </c>
      <c r="AM994" s="97" t="str">
        <f>IFERROR(__xludf.DUMMYFUNCTION("""COMPUTED_VALUE"""),"-")</f>
        <v>-</v>
      </c>
      <c r="AN994" s="97" t="str">
        <f>IFERROR(__xludf.DUMMYFUNCTION("""COMPUTED_VALUE"""),"25.000hs (L70)")</f>
        <v>25.000hs (L70)</v>
      </c>
      <c r="AO994" s="97" t="str">
        <f>IFERROR(__xludf.DUMMYFUNCTION("""COMPUTED_VALUE"""),"2 Años")</f>
        <v>2 Años</v>
      </c>
      <c r="AP994" s="97" t="str">
        <f>IFERROR(__xludf.DUMMYFUNCTION("""COMPUTED_VALUE"""),"Disponible")</f>
        <v>Disponible</v>
      </c>
      <c r="AQ994" s="97" t="str">
        <f>IFERROR(__xludf.DUMMYFUNCTION("""COMPUTED_VALUE"""),"Disponible")</f>
        <v>Disponible</v>
      </c>
      <c r="AR994" s="97" t="str">
        <f>IFERROR(__xludf.DUMMYFUNCTION("""COMPUTED_VALUE"""),"Disponible")</f>
        <v>Disponible</v>
      </c>
      <c r="AS994" s="97"/>
      <c r="AT994" s="97"/>
      <c r="AU994" s="97" t="str">
        <f>IFERROR(__xludf.DUMMYFUNCTION("""COMPUTED_VALUE"""),"Falta")</f>
        <v>Falta</v>
      </c>
      <c r="AV994" s="97" t="str">
        <f>IFERROR(__xludf.DUMMYFUNCTION("""COMPUTED_VALUE"""),"Aplique")</f>
        <v>Aplique</v>
      </c>
      <c r="AW994" s="97" t="str">
        <f>IFERROR(__xludf.DUMMYFUNCTION("""COMPUTED_VALUE"""),"De Techo")</f>
        <v>De Techo</v>
      </c>
      <c r="AX994" s="97" t="str">
        <f>IFERROR(__xludf.DUMMYFUNCTION("""COMPUTED_VALUE"""),"Interior")</f>
        <v>Interior</v>
      </c>
      <c r="AY994" s="97" t="str">
        <f>IFERROR(__xludf.DUMMYFUNCTION("""COMPUTED_VALUE"""),"-")</f>
        <v>-</v>
      </c>
      <c r="AZ994" s="97" t="str">
        <f>IFERROR(__xludf.DUMMYFUNCTION("""COMPUTED_VALUE"""),"Switch p/cambio de color. Aplica KIT SUSPENSIÓN 4 TENSORES BL 6829 o NG 6830.")</f>
        <v>Switch p/cambio de color. Aplica KIT SUSPENSIÓN 4 TENSORES BL 6829 o NG 6830.</v>
      </c>
      <c r="BA994" s="97">
        <f>IFERROR(__xludf.DUMMYFUNCTION("""COMPUTED_VALUE"""),5.0)</f>
        <v>5</v>
      </c>
      <c r="BB994" s="97" t="str">
        <f>IFERROR(__xludf.DUMMYFUNCTION("""COMPUTED_VALUE"""),"-")</f>
        <v>-</v>
      </c>
      <c r="BC994" s="97" t="str">
        <f>IFERROR(__xludf.DUMMYFUNCTION("""COMPUTED_VALUE"""),"-")</f>
        <v>-</v>
      </c>
      <c r="BD994" s="97" t="str">
        <f>IFERROR(__xludf.DUMMYFUNCTION("""COMPUTED_VALUE"""),"GALACTIC")</f>
        <v>GALACTIC</v>
      </c>
      <c r="BE994" s="97" t="str">
        <f>IFERROR(__xludf.DUMMYFUNCTION("""COMPUTED_VALUE"""),"Finalizada")</f>
        <v>Finalizada</v>
      </c>
      <c r="BF994" s="97"/>
      <c r="BG994" s="97" t="str">
        <f>IFERROR(__xludf.DUMMYFUNCTION("""COMPUTED_VALUE"""),"Activo")</f>
        <v>Activo</v>
      </c>
    </row>
    <row r="995">
      <c r="A995" s="97">
        <f>IFERROR(__xludf.DUMMYFUNCTION("""COMPUTED_VALUE"""),6781.0)</f>
        <v>6781</v>
      </c>
      <c r="B995" s="97" t="str">
        <f>IFERROR(__xludf.DUMMYFUNCTION("""COMPUTED_VALUE"""),"GALACTIC NG 45W")</f>
        <v>GALACTIC NG 45W</v>
      </c>
      <c r="C995" s="97" t="str">
        <f>IFERROR(__xludf.DUMMYFUNCTION("""COMPUTED_VALUE"""),"APLIQUE GALACTIC NG 45W 45W 3000/4000/6000K 2050LM CRI&gt;90 IP20 LEUK")</f>
        <v>APLIQUE GALACTIC NG 45W 45W 3000/4000/6000K 2050LM CRI&gt;90 IP20 LEUK</v>
      </c>
      <c r="D995" s="97">
        <f>IFERROR(__xludf.DUMMYFUNCTION("""COMPUTED_VALUE"""),7.798413222821E12)</f>
        <v>7798413222821</v>
      </c>
      <c r="E995" s="97" t="str">
        <f>IFERROR(__xludf.DUMMYFUNCTION("""COMPUTED_VALUE"""),"F124")</f>
        <v>F124</v>
      </c>
      <c r="F995" s="97" t="str">
        <f>IFERROR(__xludf.DUMMYFUNCTION("""COMPUTED_VALUE"""),"LED integrado")</f>
        <v>LED integrado</v>
      </c>
      <c r="G995" s="97" t="str">
        <f>IFERROR(__xludf.DUMMYFUNCTION("""COMPUTED_VALUE"""),"-")</f>
        <v>-</v>
      </c>
      <c r="H995" s="97" t="str">
        <f>IFERROR(__xludf.DUMMYFUNCTION("""COMPUTED_VALUE"""),"-")</f>
        <v>-</v>
      </c>
      <c r="I995" s="97"/>
      <c r="J995" s="97" t="str">
        <f>IFERROR(__xludf.DUMMYFUNCTION("""COMPUTED_VALUE"""),"Modelo: CX-37-60Wx1
In: 175-265Vac 50/60Hz
Out: 110-210V 230mA")</f>
        <v>Modelo: CX-37-60Wx1
In: 175-265Vac 50/60Hz
Out: 110-210V 230mA</v>
      </c>
      <c r="K995" s="97" t="str">
        <f>IFERROR(__xludf.DUMMYFUNCTION("""COMPUTED_VALUE"""),"ON/OFF")</f>
        <v>ON/OFF</v>
      </c>
      <c r="L995" s="97" t="str">
        <f>IFERROR(__xludf.DUMMYFUNCTION("""COMPUTED_VALUE"""),"200-240")</f>
        <v>200-240</v>
      </c>
      <c r="M995" s="97" t="str">
        <f>IFERROR(__xludf.DUMMYFUNCTION("""COMPUTED_VALUE"""),"50/60")</f>
        <v>50/60</v>
      </c>
      <c r="N995" s="97" t="str">
        <f>IFERROR(__xludf.DUMMYFUNCTION("""COMPUTED_VALUE"""),"Directa-Simétrica")</f>
        <v>Directa-Simétrica</v>
      </c>
      <c r="O995" s="97">
        <f>IFERROR(__xludf.DUMMYFUNCTION("""COMPUTED_VALUE"""),45.0)</f>
        <v>45</v>
      </c>
      <c r="P995" s="97"/>
      <c r="Q995" s="97">
        <f>IFERROR(__xludf.DUMMYFUNCTION("""COMPUTED_VALUE"""),0.62)</f>
        <v>0.62</v>
      </c>
      <c r="R995" s="97" t="str">
        <f>IFERROR(__xludf.DUMMYFUNCTION("""COMPUTED_VALUE"""),"-")</f>
        <v>-</v>
      </c>
      <c r="S995" s="97" t="str">
        <f>IFERROR(__xludf.DUMMYFUNCTION("""COMPUTED_VALUE"""),"-")</f>
        <v>-</v>
      </c>
      <c r="T995" s="97">
        <f>IFERROR(__xludf.DUMMYFUNCTION("""COMPUTED_VALUE"""),2050.0)</f>
        <v>2050</v>
      </c>
      <c r="U995" s="99">
        <f>IFERROR(__xludf.DUMMYFUNCTION("""COMPUTED_VALUE"""),45.55555555555556)</f>
        <v>45.55555556</v>
      </c>
      <c r="V995" s="97">
        <f>IFERROR(__xludf.DUMMYFUNCTION("""COMPUTED_VALUE"""),115.0)</f>
        <v>115</v>
      </c>
      <c r="W995" s="97" t="str">
        <f>IFERROR(__xludf.DUMMYFUNCTION("""COMPUTED_VALUE"""),"&lt; 20")</f>
        <v>&lt; 20</v>
      </c>
      <c r="X995" s="97" t="str">
        <f>IFERROR(__xludf.DUMMYFUNCTION("""COMPUTED_VALUE"""),"3000/4000/6000")</f>
        <v>3000/4000/6000</v>
      </c>
      <c r="Y995" s="97" t="str">
        <f>IFERROR(__xludf.DUMMYFUNCTION("""COMPUTED_VALUE"""),"&gt;90")</f>
        <v>&gt;90</v>
      </c>
      <c r="Z995" s="97"/>
      <c r="AA995" s="97"/>
      <c r="AB995" s="97"/>
      <c r="AC995" s="97"/>
      <c r="AD995" s="97" t="str">
        <f>IFERROR(__xludf.DUMMYFUNCTION("""COMPUTED_VALUE"""),"IP20")</f>
        <v>IP20</v>
      </c>
      <c r="AE995" s="97" t="str">
        <f>IFERROR(__xludf.DUMMYFUNCTION("""COMPUTED_VALUE"""),"Clase l")</f>
        <v>Clase l</v>
      </c>
      <c r="AF995" s="97" t="str">
        <f>IFERROR(__xludf.DUMMYFUNCTION("""COMPUTED_VALUE"""),"Aplicar, Suspender")</f>
        <v>Aplicar, Suspender</v>
      </c>
      <c r="AG995" s="97" t="str">
        <f>IFERROR(__xludf.DUMMYFUNCTION("""COMPUTED_VALUE"""),"500 x 500 x 70")</f>
        <v>500 x 500 x 70</v>
      </c>
      <c r="AH995" s="97" t="str">
        <f>IFERROR(__xludf.DUMMYFUNCTION("""COMPUTED_VALUE"""),"N/A")</f>
        <v>N/A</v>
      </c>
      <c r="AI995" s="97" t="str">
        <f>IFERROR(__xludf.DUMMYFUNCTION("""COMPUTED_VALUE"""),"N/A")</f>
        <v>N/A</v>
      </c>
      <c r="AJ995" s="97" t="str">
        <f>IFERROR(__xludf.DUMMYFUNCTION("""COMPUTED_VALUE"""),"PMMA")</f>
        <v>PMMA</v>
      </c>
      <c r="AK995" s="97" t="str">
        <f>IFERROR(__xludf.DUMMYFUNCTION("""COMPUTED_VALUE"""),"ABS")</f>
        <v>ABS</v>
      </c>
      <c r="AL995" s="97" t="str">
        <f>IFERROR(__xludf.DUMMYFUNCTION("""COMPUTED_VALUE"""),"Negro Satinado")</f>
        <v>Negro Satinado</v>
      </c>
      <c r="AM995" s="97" t="str">
        <f>IFERROR(__xludf.DUMMYFUNCTION("""COMPUTED_VALUE"""),"-")</f>
        <v>-</v>
      </c>
      <c r="AN995" s="97" t="str">
        <f>IFERROR(__xludf.DUMMYFUNCTION("""COMPUTED_VALUE"""),"25.000hs (L70)")</f>
        <v>25.000hs (L70)</v>
      </c>
      <c r="AO995" s="97" t="str">
        <f>IFERROR(__xludf.DUMMYFUNCTION("""COMPUTED_VALUE"""),"2 Años")</f>
        <v>2 Años</v>
      </c>
      <c r="AP995" s="97" t="str">
        <f>IFERROR(__xludf.DUMMYFUNCTION("""COMPUTED_VALUE"""),"Disponible")</f>
        <v>Disponible</v>
      </c>
      <c r="AQ995" s="97" t="str">
        <f>IFERROR(__xludf.DUMMYFUNCTION("""COMPUTED_VALUE"""),"Disponible")</f>
        <v>Disponible</v>
      </c>
      <c r="AR995" s="97" t="str">
        <f>IFERROR(__xludf.DUMMYFUNCTION("""COMPUTED_VALUE"""),"Disponible")</f>
        <v>Disponible</v>
      </c>
      <c r="AS995" s="97"/>
      <c r="AT995" s="97"/>
      <c r="AU995" s="97" t="str">
        <f>IFERROR(__xludf.DUMMYFUNCTION("""COMPUTED_VALUE"""),"Falta")</f>
        <v>Falta</v>
      </c>
      <c r="AV995" s="97" t="str">
        <f>IFERROR(__xludf.DUMMYFUNCTION("""COMPUTED_VALUE"""),"Aplique")</f>
        <v>Aplique</v>
      </c>
      <c r="AW995" s="97" t="str">
        <f>IFERROR(__xludf.DUMMYFUNCTION("""COMPUTED_VALUE"""),"De Techo")</f>
        <v>De Techo</v>
      </c>
      <c r="AX995" s="97" t="str">
        <f>IFERROR(__xludf.DUMMYFUNCTION("""COMPUTED_VALUE"""),"Interior")</f>
        <v>Interior</v>
      </c>
      <c r="AY995" s="97" t="str">
        <f>IFERROR(__xludf.DUMMYFUNCTION("""COMPUTED_VALUE"""),"-")</f>
        <v>-</v>
      </c>
      <c r="AZ995" s="97" t="str">
        <f>IFERROR(__xludf.DUMMYFUNCTION("""COMPUTED_VALUE"""),"Switch p/cambio de color. Aplica KIT SUSPENSIÓN 4 TENSORES BL 6829 o NG 6830.")</f>
        <v>Switch p/cambio de color. Aplica KIT SUSPENSIÓN 4 TENSORES BL 6829 o NG 6830.</v>
      </c>
      <c r="BA995" s="97">
        <f>IFERROR(__xludf.DUMMYFUNCTION("""COMPUTED_VALUE"""),5.0)</f>
        <v>5</v>
      </c>
      <c r="BB995" s="97" t="str">
        <f>IFERROR(__xludf.DUMMYFUNCTION("""COMPUTED_VALUE"""),"-")</f>
        <v>-</v>
      </c>
      <c r="BC995" s="97" t="str">
        <f>IFERROR(__xludf.DUMMYFUNCTION("""COMPUTED_VALUE"""),"-")</f>
        <v>-</v>
      </c>
      <c r="BD995" s="97" t="str">
        <f>IFERROR(__xludf.DUMMYFUNCTION("""COMPUTED_VALUE"""),"GALACTIC")</f>
        <v>GALACTIC</v>
      </c>
      <c r="BE995" s="97" t="str">
        <f>IFERROR(__xludf.DUMMYFUNCTION("""COMPUTED_VALUE"""),"Finalizada")</f>
        <v>Finalizada</v>
      </c>
      <c r="BF995" s="97"/>
      <c r="BG995" s="97" t="str">
        <f>IFERROR(__xludf.DUMMYFUNCTION("""COMPUTED_VALUE"""),"Activo")</f>
        <v>Activo</v>
      </c>
    </row>
    <row r="996">
      <c r="A996" s="97">
        <f>IFERROR(__xludf.DUMMYFUNCTION("""COMPUTED_VALUE"""),6782.0)</f>
        <v>6782</v>
      </c>
      <c r="B996" s="97" t="str">
        <f>IFERROR(__xludf.DUMMYFUNCTION("""COMPUTED_VALUE"""),"GALACTIC BLMD 45W")</f>
        <v>GALACTIC BLMD 45W</v>
      </c>
      <c r="C996" s="97" t="str">
        <f>IFERROR(__xludf.DUMMYFUNCTION("""COMPUTED_VALUE"""),"APLIQUE GALACTIC BLMD 45W 45W 3000/4000/6000K 2050LM CRI&gt;90 IP20 LEUK")</f>
        <v>APLIQUE GALACTIC BLMD 45W 45W 3000/4000/6000K 2050LM CRI&gt;90 IP20 LEUK</v>
      </c>
      <c r="D996" s="97">
        <f>IFERROR(__xludf.DUMMYFUNCTION("""COMPUTED_VALUE"""),7.798413222838E12)</f>
        <v>7798413222838</v>
      </c>
      <c r="E996" s="97" t="str">
        <f>IFERROR(__xludf.DUMMYFUNCTION("""COMPUTED_VALUE"""),"F123")</f>
        <v>F123</v>
      </c>
      <c r="F996" s="97" t="str">
        <f>IFERROR(__xludf.DUMMYFUNCTION("""COMPUTED_VALUE"""),"LED integrado")</f>
        <v>LED integrado</v>
      </c>
      <c r="G996" s="97" t="str">
        <f>IFERROR(__xludf.DUMMYFUNCTION("""COMPUTED_VALUE"""),"-")</f>
        <v>-</v>
      </c>
      <c r="H996" s="97" t="str">
        <f>IFERROR(__xludf.DUMMYFUNCTION("""COMPUTED_VALUE"""),"-")</f>
        <v>-</v>
      </c>
      <c r="I996" s="97"/>
      <c r="J996" s="97" t="str">
        <f>IFERROR(__xludf.DUMMYFUNCTION("""COMPUTED_VALUE"""),"Modelo: CX-37-60Wx1
In: 175-265Vac 50/60Hz
Out: 110-210V 230mA")</f>
        <v>Modelo: CX-37-60Wx1
In: 175-265Vac 50/60Hz
Out: 110-210V 230mA</v>
      </c>
      <c r="K996" s="97" t="str">
        <f>IFERROR(__xludf.DUMMYFUNCTION("""COMPUTED_VALUE"""),"ON/OFF")</f>
        <v>ON/OFF</v>
      </c>
      <c r="L996" s="97" t="str">
        <f>IFERROR(__xludf.DUMMYFUNCTION("""COMPUTED_VALUE"""),"200-240")</f>
        <v>200-240</v>
      </c>
      <c r="M996" s="97" t="str">
        <f>IFERROR(__xludf.DUMMYFUNCTION("""COMPUTED_VALUE"""),"50/60")</f>
        <v>50/60</v>
      </c>
      <c r="N996" s="97" t="str">
        <f>IFERROR(__xludf.DUMMYFUNCTION("""COMPUTED_VALUE"""),"Directa-Simétrica")</f>
        <v>Directa-Simétrica</v>
      </c>
      <c r="O996" s="97">
        <f>IFERROR(__xludf.DUMMYFUNCTION("""COMPUTED_VALUE"""),45.0)</f>
        <v>45</v>
      </c>
      <c r="P996" s="97"/>
      <c r="Q996" s="97">
        <f>IFERROR(__xludf.DUMMYFUNCTION("""COMPUTED_VALUE"""),0.62)</f>
        <v>0.62</v>
      </c>
      <c r="R996" s="97" t="str">
        <f>IFERROR(__xludf.DUMMYFUNCTION("""COMPUTED_VALUE"""),"-")</f>
        <v>-</v>
      </c>
      <c r="S996" s="97" t="str">
        <f>IFERROR(__xludf.DUMMYFUNCTION("""COMPUTED_VALUE"""),"-")</f>
        <v>-</v>
      </c>
      <c r="T996" s="97">
        <f>IFERROR(__xludf.DUMMYFUNCTION("""COMPUTED_VALUE"""),2050.0)</f>
        <v>2050</v>
      </c>
      <c r="U996" s="99">
        <f>IFERROR(__xludf.DUMMYFUNCTION("""COMPUTED_VALUE"""),45.55555555555556)</f>
        <v>45.55555556</v>
      </c>
      <c r="V996" s="97">
        <f>IFERROR(__xludf.DUMMYFUNCTION("""COMPUTED_VALUE"""),115.0)</f>
        <v>115</v>
      </c>
      <c r="W996" s="97" t="str">
        <f>IFERROR(__xludf.DUMMYFUNCTION("""COMPUTED_VALUE"""),"&lt; 20")</f>
        <v>&lt; 20</v>
      </c>
      <c r="X996" s="97" t="str">
        <f>IFERROR(__xludf.DUMMYFUNCTION("""COMPUTED_VALUE"""),"3000/4000/6000")</f>
        <v>3000/4000/6000</v>
      </c>
      <c r="Y996" s="97" t="str">
        <f>IFERROR(__xludf.DUMMYFUNCTION("""COMPUTED_VALUE"""),"&gt;90")</f>
        <v>&gt;90</v>
      </c>
      <c r="Z996" s="97"/>
      <c r="AA996" s="97"/>
      <c r="AB996" s="97"/>
      <c r="AC996" s="97"/>
      <c r="AD996" s="97" t="str">
        <f>IFERROR(__xludf.DUMMYFUNCTION("""COMPUTED_VALUE"""),"IP20")</f>
        <v>IP20</v>
      </c>
      <c r="AE996" s="97" t="str">
        <f>IFERROR(__xludf.DUMMYFUNCTION("""COMPUTED_VALUE"""),"Clase l")</f>
        <v>Clase l</v>
      </c>
      <c r="AF996" s="97" t="str">
        <f>IFERROR(__xludf.DUMMYFUNCTION("""COMPUTED_VALUE"""),"Aplicar, Suspender")</f>
        <v>Aplicar, Suspender</v>
      </c>
      <c r="AG996" s="97" t="str">
        <f>IFERROR(__xludf.DUMMYFUNCTION("""COMPUTED_VALUE"""),"500 x 500 x 70")</f>
        <v>500 x 500 x 70</v>
      </c>
      <c r="AH996" s="97" t="str">
        <f>IFERROR(__xludf.DUMMYFUNCTION("""COMPUTED_VALUE"""),"N/A")</f>
        <v>N/A</v>
      </c>
      <c r="AI996" s="97" t="str">
        <f>IFERROR(__xludf.DUMMYFUNCTION("""COMPUTED_VALUE"""),"N/A")</f>
        <v>N/A</v>
      </c>
      <c r="AJ996" s="97" t="str">
        <f>IFERROR(__xludf.DUMMYFUNCTION("""COMPUTED_VALUE"""),"PMMA")</f>
        <v>PMMA</v>
      </c>
      <c r="AK996" s="97" t="str">
        <f>IFERROR(__xludf.DUMMYFUNCTION("""COMPUTED_VALUE"""),"ABS")</f>
        <v>ABS</v>
      </c>
      <c r="AL996" s="97" t="str">
        <f>IFERROR(__xludf.DUMMYFUNCTION("""COMPUTED_VALUE"""),"Blanco y Madera")</f>
        <v>Blanco y Madera</v>
      </c>
      <c r="AM996" s="97" t="str">
        <f>IFERROR(__xludf.DUMMYFUNCTION("""COMPUTED_VALUE"""),"-")</f>
        <v>-</v>
      </c>
      <c r="AN996" s="97" t="str">
        <f>IFERROR(__xludf.DUMMYFUNCTION("""COMPUTED_VALUE"""),"25.000hs (L70)")</f>
        <v>25.000hs (L70)</v>
      </c>
      <c r="AO996" s="97" t="str">
        <f>IFERROR(__xludf.DUMMYFUNCTION("""COMPUTED_VALUE"""),"2 Años")</f>
        <v>2 Años</v>
      </c>
      <c r="AP996" s="97" t="str">
        <f>IFERROR(__xludf.DUMMYFUNCTION("""COMPUTED_VALUE"""),"Disponible")</f>
        <v>Disponible</v>
      </c>
      <c r="AQ996" s="97" t="str">
        <f>IFERROR(__xludf.DUMMYFUNCTION("""COMPUTED_VALUE"""),"Disponible")</f>
        <v>Disponible</v>
      </c>
      <c r="AR996" s="97" t="str">
        <f>IFERROR(__xludf.DUMMYFUNCTION("""COMPUTED_VALUE"""),"Disponible")</f>
        <v>Disponible</v>
      </c>
      <c r="AS996" s="97"/>
      <c r="AT996" s="97"/>
      <c r="AU996" s="97" t="str">
        <f>IFERROR(__xludf.DUMMYFUNCTION("""COMPUTED_VALUE"""),"Falta")</f>
        <v>Falta</v>
      </c>
      <c r="AV996" s="97" t="str">
        <f>IFERROR(__xludf.DUMMYFUNCTION("""COMPUTED_VALUE"""),"Aplique")</f>
        <v>Aplique</v>
      </c>
      <c r="AW996" s="97" t="str">
        <f>IFERROR(__xludf.DUMMYFUNCTION("""COMPUTED_VALUE"""),"De Techo")</f>
        <v>De Techo</v>
      </c>
      <c r="AX996" s="97" t="str">
        <f>IFERROR(__xludf.DUMMYFUNCTION("""COMPUTED_VALUE"""),"Interior")</f>
        <v>Interior</v>
      </c>
      <c r="AY996" s="97" t="str">
        <f>IFERROR(__xludf.DUMMYFUNCTION("""COMPUTED_VALUE"""),"-")</f>
        <v>-</v>
      </c>
      <c r="AZ996" s="97" t="str">
        <f>IFERROR(__xludf.DUMMYFUNCTION("""COMPUTED_VALUE"""),"Switch p/cambio de color. Aplica KIT SUSPENSIÓN 4 TENSORES BL 6829 o NG 6830.")</f>
        <v>Switch p/cambio de color. Aplica KIT SUSPENSIÓN 4 TENSORES BL 6829 o NG 6830.</v>
      </c>
      <c r="BA996" s="97">
        <f>IFERROR(__xludf.DUMMYFUNCTION("""COMPUTED_VALUE"""),5.0)</f>
        <v>5</v>
      </c>
      <c r="BB996" s="97" t="str">
        <f>IFERROR(__xludf.DUMMYFUNCTION("""COMPUTED_VALUE"""),"-")</f>
        <v>-</v>
      </c>
      <c r="BC996" s="97" t="str">
        <f>IFERROR(__xludf.DUMMYFUNCTION("""COMPUTED_VALUE"""),"-")</f>
        <v>-</v>
      </c>
      <c r="BD996" s="97" t="str">
        <f>IFERROR(__xludf.DUMMYFUNCTION("""COMPUTED_VALUE"""),"GALACTIC")</f>
        <v>GALACTIC</v>
      </c>
      <c r="BE996" s="97" t="str">
        <f>IFERROR(__xludf.DUMMYFUNCTION("""COMPUTED_VALUE"""),"Finalizada")</f>
        <v>Finalizada</v>
      </c>
      <c r="BF996" s="97"/>
      <c r="BG996" s="97" t="str">
        <f>IFERROR(__xludf.DUMMYFUNCTION("""COMPUTED_VALUE"""),"Activo")</f>
        <v>Activo</v>
      </c>
    </row>
    <row r="997">
      <c r="A997" s="97">
        <f>IFERROR(__xludf.DUMMYFUNCTION("""COMPUTED_VALUE"""),6783.0)</f>
        <v>6783</v>
      </c>
      <c r="B997" s="97" t="str">
        <f>IFERROR(__xludf.DUMMYFUNCTION("""COMPUTED_VALUE"""),"GALACTIC NGMD 45W")</f>
        <v>GALACTIC NGMD 45W</v>
      </c>
      <c r="C997" s="97" t="str">
        <f>IFERROR(__xludf.DUMMYFUNCTION("""COMPUTED_VALUE"""),"APLIQUE GALACTIC NGMD 45W 45W 3000/4000/6000K 2050LM CRI&gt;90 IP20 LEUK")</f>
        <v>APLIQUE GALACTIC NGMD 45W 45W 3000/4000/6000K 2050LM CRI&gt;90 IP20 LEUK</v>
      </c>
      <c r="D997" s="97">
        <f>IFERROR(__xludf.DUMMYFUNCTION("""COMPUTED_VALUE"""),7.798413222845E12)</f>
        <v>7798413222845</v>
      </c>
      <c r="E997" s="97" t="str">
        <f>IFERROR(__xludf.DUMMYFUNCTION("""COMPUTED_VALUE"""),"F120")</f>
        <v>F120</v>
      </c>
      <c r="F997" s="97" t="str">
        <f>IFERROR(__xludf.DUMMYFUNCTION("""COMPUTED_VALUE"""),"LED integrado")</f>
        <v>LED integrado</v>
      </c>
      <c r="G997" s="97" t="str">
        <f>IFERROR(__xludf.DUMMYFUNCTION("""COMPUTED_VALUE"""),"-")</f>
        <v>-</v>
      </c>
      <c r="H997" s="97" t="str">
        <f>IFERROR(__xludf.DUMMYFUNCTION("""COMPUTED_VALUE"""),"-")</f>
        <v>-</v>
      </c>
      <c r="I997" s="97"/>
      <c r="J997" s="97" t="str">
        <f>IFERROR(__xludf.DUMMYFUNCTION("""COMPUTED_VALUE"""),"Modelo: CX-37-60Wx1
In: 175-265Vac 50/60Hz
Out: 110-210V 230mA")</f>
        <v>Modelo: CX-37-60Wx1
In: 175-265Vac 50/60Hz
Out: 110-210V 230mA</v>
      </c>
      <c r="K997" s="97" t="str">
        <f>IFERROR(__xludf.DUMMYFUNCTION("""COMPUTED_VALUE"""),"ON/OFF")</f>
        <v>ON/OFF</v>
      </c>
      <c r="L997" s="97" t="str">
        <f>IFERROR(__xludf.DUMMYFUNCTION("""COMPUTED_VALUE"""),"200-240")</f>
        <v>200-240</v>
      </c>
      <c r="M997" s="97" t="str">
        <f>IFERROR(__xludf.DUMMYFUNCTION("""COMPUTED_VALUE"""),"50/60")</f>
        <v>50/60</v>
      </c>
      <c r="N997" s="97" t="str">
        <f>IFERROR(__xludf.DUMMYFUNCTION("""COMPUTED_VALUE"""),"Directa-Simétrica")</f>
        <v>Directa-Simétrica</v>
      </c>
      <c r="O997" s="97">
        <f>IFERROR(__xludf.DUMMYFUNCTION("""COMPUTED_VALUE"""),45.0)</f>
        <v>45</v>
      </c>
      <c r="P997" s="97"/>
      <c r="Q997" s="97">
        <f>IFERROR(__xludf.DUMMYFUNCTION("""COMPUTED_VALUE"""),0.62)</f>
        <v>0.62</v>
      </c>
      <c r="R997" s="97" t="str">
        <f>IFERROR(__xludf.DUMMYFUNCTION("""COMPUTED_VALUE"""),"-")</f>
        <v>-</v>
      </c>
      <c r="S997" s="97" t="str">
        <f>IFERROR(__xludf.DUMMYFUNCTION("""COMPUTED_VALUE"""),"-")</f>
        <v>-</v>
      </c>
      <c r="T997" s="97">
        <f>IFERROR(__xludf.DUMMYFUNCTION("""COMPUTED_VALUE"""),2050.0)</f>
        <v>2050</v>
      </c>
      <c r="U997" s="99">
        <f>IFERROR(__xludf.DUMMYFUNCTION("""COMPUTED_VALUE"""),45.55555555555556)</f>
        <v>45.55555556</v>
      </c>
      <c r="V997" s="97">
        <f>IFERROR(__xludf.DUMMYFUNCTION("""COMPUTED_VALUE"""),115.0)</f>
        <v>115</v>
      </c>
      <c r="W997" s="97" t="str">
        <f>IFERROR(__xludf.DUMMYFUNCTION("""COMPUTED_VALUE"""),"&lt; 20")</f>
        <v>&lt; 20</v>
      </c>
      <c r="X997" s="97" t="str">
        <f>IFERROR(__xludf.DUMMYFUNCTION("""COMPUTED_VALUE"""),"3000/4000/6000")</f>
        <v>3000/4000/6000</v>
      </c>
      <c r="Y997" s="97" t="str">
        <f>IFERROR(__xludf.DUMMYFUNCTION("""COMPUTED_VALUE"""),"&gt;90")</f>
        <v>&gt;90</v>
      </c>
      <c r="Z997" s="97"/>
      <c r="AA997" s="97"/>
      <c r="AB997" s="97"/>
      <c r="AC997" s="97"/>
      <c r="AD997" s="97" t="str">
        <f>IFERROR(__xludf.DUMMYFUNCTION("""COMPUTED_VALUE"""),"IP20")</f>
        <v>IP20</v>
      </c>
      <c r="AE997" s="97" t="str">
        <f>IFERROR(__xludf.DUMMYFUNCTION("""COMPUTED_VALUE"""),"Clase l")</f>
        <v>Clase l</v>
      </c>
      <c r="AF997" s="97" t="str">
        <f>IFERROR(__xludf.DUMMYFUNCTION("""COMPUTED_VALUE"""),"Aplicar, Suspender")</f>
        <v>Aplicar, Suspender</v>
      </c>
      <c r="AG997" s="97" t="str">
        <f>IFERROR(__xludf.DUMMYFUNCTION("""COMPUTED_VALUE"""),"500 x 500 x 70")</f>
        <v>500 x 500 x 70</v>
      </c>
      <c r="AH997" s="97" t="str">
        <f>IFERROR(__xludf.DUMMYFUNCTION("""COMPUTED_VALUE"""),"N/A")</f>
        <v>N/A</v>
      </c>
      <c r="AI997" s="97" t="str">
        <f>IFERROR(__xludf.DUMMYFUNCTION("""COMPUTED_VALUE"""),"N/A")</f>
        <v>N/A</v>
      </c>
      <c r="AJ997" s="97" t="str">
        <f>IFERROR(__xludf.DUMMYFUNCTION("""COMPUTED_VALUE"""),"PMMA")</f>
        <v>PMMA</v>
      </c>
      <c r="AK997" s="97" t="str">
        <f>IFERROR(__xludf.DUMMYFUNCTION("""COMPUTED_VALUE"""),"ABS")</f>
        <v>ABS</v>
      </c>
      <c r="AL997" s="97" t="str">
        <f>IFERROR(__xludf.DUMMYFUNCTION("""COMPUTED_VALUE"""),"Negro y Madera")</f>
        <v>Negro y Madera</v>
      </c>
      <c r="AM997" s="97" t="str">
        <f>IFERROR(__xludf.DUMMYFUNCTION("""COMPUTED_VALUE"""),"-")</f>
        <v>-</v>
      </c>
      <c r="AN997" s="97" t="str">
        <f>IFERROR(__xludf.DUMMYFUNCTION("""COMPUTED_VALUE"""),"25.000hs (L70)")</f>
        <v>25.000hs (L70)</v>
      </c>
      <c r="AO997" s="97" t="str">
        <f>IFERROR(__xludf.DUMMYFUNCTION("""COMPUTED_VALUE"""),"2 Años")</f>
        <v>2 Años</v>
      </c>
      <c r="AP997" s="97" t="str">
        <f>IFERROR(__xludf.DUMMYFUNCTION("""COMPUTED_VALUE"""),"Disponible")</f>
        <v>Disponible</v>
      </c>
      <c r="AQ997" s="97" t="str">
        <f>IFERROR(__xludf.DUMMYFUNCTION("""COMPUTED_VALUE"""),"Disponible")</f>
        <v>Disponible</v>
      </c>
      <c r="AR997" s="97" t="str">
        <f>IFERROR(__xludf.DUMMYFUNCTION("""COMPUTED_VALUE"""),"Disponible")</f>
        <v>Disponible</v>
      </c>
      <c r="AS997" s="97"/>
      <c r="AT997" s="97"/>
      <c r="AU997" s="97" t="str">
        <f>IFERROR(__xludf.DUMMYFUNCTION("""COMPUTED_VALUE"""),"Falta")</f>
        <v>Falta</v>
      </c>
      <c r="AV997" s="97" t="str">
        <f>IFERROR(__xludf.DUMMYFUNCTION("""COMPUTED_VALUE"""),"Aplique")</f>
        <v>Aplique</v>
      </c>
      <c r="AW997" s="97" t="str">
        <f>IFERROR(__xludf.DUMMYFUNCTION("""COMPUTED_VALUE"""),"De Techo")</f>
        <v>De Techo</v>
      </c>
      <c r="AX997" s="97" t="str">
        <f>IFERROR(__xludf.DUMMYFUNCTION("""COMPUTED_VALUE"""),"Interior")</f>
        <v>Interior</v>
      </c>
      <c r="AY997" s="97" t="str">
        <f>IFERROR(__xludf.DUMMYFUNCTION("""COMPUTED_VALUE"""),"-")</f>
        <v>-</v>
      </c>
      <c r="AZ997" s="97" t="str">
        <f>IFERROR(__xludf.DUMMYFUNCTION("""COMPUTED_VALUE"""),"Switch p/cambio de color. Aplica KIT SUSPENSIÓN 4 TENSORES BL 6829 o NG 6830.")</f>
        <v>Switch p/cambio de color. Aplica KIT SUSPENSIÓN 4 TENSORES BL 6829 o NG 6830.</v>
      </c>
      <c r="BA997" s="97">
        <f>IFERROR(__xludf.DUMMYFUNCTION("""COMPUTED_VALUE"""),5.0)</f>
        <v>5</v>
      </c>
      <c r="BB997" s="97" t="str">
        <f>IFERROR(__xludf.DUMMYFUNCTION("""COMPUTED_VALUE"""),"-")</f>
        <v>-</v>
      </c>
      <c r="BC997" s="97" t="str">
        <f>IFERROR(__xludf.DUMMYFUNCTION("""COMPUTED_VALUE"""),"-")</f>
        <v>-</v>
      </c>
      <c r="BD997" s="97" t="str">
        <f>IFERROR(__xludf.DUMMYFUNCTION("""COMPUTED_VALUE"""),"GALACTIC")</f>
        <v>GALACTIC</v>
      </c>
      <c r="BE997" s="97" t="str">
        <f>IFERROR(__xludf.DUMMYFUNCTION("""COMPUTED_VALUE"""),"Finalizada")</f>
        <v>Finalizada</v>
      </c>
      <c r="BF997" s="97"/>
      <c r="BG997" s="97" t="str">
        <f>IFERROR(__xludf.DUMMYFUNCTION("""COMPUTED_VALUE"""),"Activo")</f>
        <v>Activo</v>
      </c>
    </row>
    <row r="998">
      <c r="A998" s="97">
        <f>IFERROR(__xludf.DUMMYFUNCTION("""COMPUTED_VALUE"""),6784.0)</f>
        <v>6784</v>
      </c>
      <c r="B998" s="97" t="str">
        <f>IFERROR(__xludf.DUMMYFUNCTION("""COMPUTED_VALUE"""),"SWEET BL")</f>
        <v>SWEET BL</v>
      </c>
      <c r="C998" s="97" t="str">
        <f>IFERROR(__xludf.DUMMYFUNCTION("""COMPUTED_VALUE"""),"APLIQUE SWEET BL 36W 3000/4000/6000K 2400LM CRI&gt;95 IP20 LEUK")</f>
        <v>APLIQUE SWEET BL 36W 3000/4000/6000K 2400LM CRI&gt;95 IP20 LEUK</v>
      </c>
      <c r="D998" s="97">
        <f>IFERROR(__xludf.DUMMYFUNCTION("""COMPUTED_VALUE"""),7.798413222852E12)</f>
        <v>7798413222852</v>
      </c>
      <c r="E998" s="97" t="str">
        <f>IFERROR(__xludf.DUMMYFUNCTION("""COMPUTED_VALUE"""),"F128")</f>
        <v>F128</v>
      </c>
      <c r="F998" s="97" t="str">
        <f>IFERROR(__xludf.DUMMYFUNCTION("""COMPUTED_VALUE"""),"LED integrado")</f>
        <v>LED integrado</v>
      </c>
      <c r="G998" s="97" t="str">
        <f>IFERROR(__xludf.DUMMYFUNCTION("""COMPUTED_VALUE"""),"-")</f>
        <v>-</v>
      </c>
      <c r="H998" s="97" t="str">
        <f>IFERROR(__xludf.DUMMYFUNCTION("""COMPUTED_VALUE"""),"-")</f>
        <v>-</v>
      </c>
      <c r="I998" s="97"/>
      <c r="J998" s="97" t="str">
        <f>IFERROR(__xludf.DUMMYFUNCTION("""COMPUTED_VALUE"""),"Modelo: CX-37-60Wx1
In: 220-240Vac 50/60Hz
Out: 110-190V 200mA")</f>
        <v>Modelo: CX-37-60Wx1
In: 220-240Vac 50/60Hz
Out: 110-190V 200mA</v>
      </c>
      <c r="K998" s="97" t="str">
        <f>IFERROR(__xludf.DUMMYFUNCTION("""COMPUTED_VALUE"""),"ON/OFF")</f>
        <v>ON/OFF</v>
      </c>
      <c r="L998" s="97" t="str">
        <f>IFERROR(__xludf.DUMMYFUNCTION("""COMPUTED_VALUE"""),"200-240")</f>
        <v>200-240</v>
      </c>
      <c r="M998" s="97" t="str">
        <f>IFERROR(__xludf.DUMMYFUNCTION("""COMPUTED_VALUE"""),"50/60")</f>
        <v>50/60</v>
      </c>
      <c r="N998" s="97" t="str">
        <f>IFERROR(__xludf.DUMMYFUNCTION("""COMPUTED_VALUE"""),"Directa-Simétrica")</f>
        <v>Directa-Simétrica</v>
      </c>
      <c r="O998" s="97">
        <f>IFERROR(__xludf.DUMMYFUNCTION("""COMPUTED_VALUE"""),36.0)</f>
        <v>36</v>
      </c>
      <c r="P998" s="97"/>
      <c r="Q998" s="97">
        <f>IFERROR(__xludf.DUMMYFUNCTION("""COMPUTED_VALUE"""),0.58)</f>
        <v>0.58</v>
      </c>
      <c r="R998" s="97" t="str">
        <f>IFERROR(__xludf.DUMMYFUNCTION("""COMPUTED_VALUE"""),"-")</f>
        <v>-</v>
      </c>
      <c r="S998" s="97" t="str">
        <f>IFERROR(__xludf.DUMMYFUNCTION("""COMPUTED_VALUE"""),"-")</f>
        <v>-</v>
      </c>
      <c r="T998" s="97">
        <f>IFERROR(__xludf.DUMMYFUNCTION("""COMPUTED_VALUE"""),2400.0)</f>
        <v>2400</v>
      </c>
      <c r="U998" s="99">
        <f>IFERROR(__xludf.DUMMYFUNCTION("""COMPUTED_VALUE"""),66.66666666666667)</f>
        <v>66.66666667</v>
      </c>
      <c r="V998" s="97">
        <f>IFERROR(__xludf.DUMMYFUNCTION("""COMPUTED_VALUE"""),135.0)</f>
        <v>135</v>
      </c>
      <c r="W998" s="97" t="str">
        <f>IFERROR(__xludf.DUMMYFUNCTION("""COMPUTED_VALUE"""),"&lt; 22")</f>
        <v>&lt; 22</v>
      </c>
      <c r="X998" s="97" t="str">
        <f>IFERROR(__xludf.DUMMYFUNCTION("""COMPUTED_VALUE"""),"3000/4000/6000")</f>
        <v>3000/4000/6000</v>
      </c>
      <c r="Y998" s="97" t="str">
        <f>IFERROR(__xludf.DUMMYFUNCTION("""COMPUTED_VALUE"""),"&gt;95")</f>
        <v>&gt;95</v>
      </c>
      <c r="Z998" s="97"/>
      <c r="AA998" s="97"/>
      <c r="AB998" s="97"/>
      <c r="AC998" s="97"/>
      <c r="AD998" s="97" t="str">
        <f>IFERROR(__xludf.DUMMYFUNCTION("""COMPUTED_VALUE"""),"IP20")</f>
        <v>IP20</v>
      </c>
      <c r="AE998" s="97" t="str">
        <f>IFERROR(__xludf.DUMMYFUNCTION("""COMPUTED_VALUE"""),"Clase l")</f>
        <v>Clase l</v>
      </c>
      <c r="AF998" s="97" t="str">
        <f>IFERROR(__xludf.DUMMYFUNCTION("""COMPUTED_VALUE"""),"Aplicar, Suspender")</f>
        <v>Aplicar, Suspender</v>
      </c>
      <c r="AG998" s="97" t="str">
        <f>IFERROR(__xludf.DUMMYFUNCTION("""COMPUTED_VALUE"""),"Ø520 x 100")</f>
        <v>Ø520 x 100</v>
      </c>
      <c r="AH998" s="97" t="str">
        <f>IFERROR(__xludf.DUMMYFUNCTION("""COMPUTED_VALUE"""),"N/A")</f>
        <v>N/A</v>
      </c>
      <c r="AI998" s="97" t="str">
        <f>IFERROR(__xludf.DUMMYFUNCTION("""COMPUTED_VALUE"""),"N/A")</f>
        <v>N/A</v>
      </c>
      <c r="AJ998" s="97" t="str">
        <f>IFERROR(__xludf.DUMMYFUNCTION("""COMPUTED_VALUE"""),"PVC")</f>
        <v>PVC</v>
      </c>
      <c r="AK998" s="97" t="str">
        <f>IFERROR(__xludf.DUMMYFUNCTION("""COMPUTED_VALUE"""),"Acero")</f>
        <v>Acero</v>
      </c>
      <c r="AL998" s="97" t="str">
        <f>IFERROR(__xludf.DUMMYFUNCTION("""COMPUTED_VALUE"""),"Blanco Mate")</f>
        <v>Blanco Mate</v>
      </c>
      <c r="AM998" s="97" t="str">
        <f>IFERROR(__xludf.DUMMYFUNCTION("""COMPUTED_VALUE"""),"-")</f>
        <v>-</v>
      </c>
      <c r="AN998" s="97" t="str">
        <f>IFERROR(__xludf.DUMMYFUNCTION("""COMPUTED_VALUE"""),"25.000hs (L70)")</f>
        <v>25.000hs (L70)</v>
      </c>
      <c r="AO998" s="97" t="str">
        <f>IFERROR(__xludf.DUMMYFUNCTION("""COMPUTED_VALUE"""),"2 Años")</f>
        <v>2 Años</v>
      </c>
      <c r="AP998" s="97" t="str">
        <f>IFERROR(__xludf.DUMMYFUNCTION("""COMPUTED_VALUE"""),"Disponible")</f>
        <v>Disponible</v>
      </c>
      <c r="AQ998" s="97" t="str">
        <f>IFERROR(__xludf.DUMMYFUNCTION("""COMPUTED_VALUE"""),"Disponible")</f>
        <v>Disponible</v>
      </c>
      <c r="AR998" s="97" t="str">
        <f>IFERROR(__xludf.DUMMYFUNCTION("""COMPUTED_VALUE"""),"Disponible")</f>
        <v>Disponible</v>
      </c>
      <c r="AS998" s="97"/>
      <c r="AT998" s="97"/>
      <c r="AU998" s="97" t="str">
        <f>IFERROR(__xludf.DUMMYFUNCTION("""COMPUTED_VALUE"""),"Disponible")</f>
        <v>Disponible</v>
      </c>
      <c r="AV998" s="97" t="str">
        <f>IFERROR(__xludf.DUMMYFUNCTION("""COMPUTED_VALUE"""),"Aplique")</f>
        <v>Aplique</v>
      </c>
      <c r="AW998" s="97" t="str">
        <f>IFERROR(__xludf.DUMMYFUNCTION("""COMPUTED_VALUE"""),"De Techo")</f>
        <v>De Techo</v>
      </c>
      <c r="AX998" s="97" t="str">
        <f>IFERROR(__xludf.DUMMYFUNCTION("""COMPUTED_VALUE"""),"Interior")</f>
        <v>Interior</v>
      </c>
      <c r="AY998" s="97" t="str">
        <f>IFERROR(__xludf.DUMMYFUNCTION("""COMPUTED_VALUE"""),"-")</f>
        <v>-</v>
      </c>
      <c r="AZ998" s="97" t="str">
        <f>IFERROR(__xludf.DUMMYFUNCTION("""COMPUTED_VALUE"""),"Switch p/cambio de color. Aplica KIT SUSPENSIÓN 4 TENSORES BL 6829 o NG 6830.")</f>
        <v>Switch p/cambio de color. Aplica KIT SUSPENSIÓN 4 TENSORES BL 6829 o NG 6830.</v>
      </c>
      <c r="BA998" s="97">
        <f>IFERROR(__xludf.DUMMYFUNCTION("""COMPUTED_VALUE"""),1.0)</f>
        <v>1</v>
      </c>
      <c r="BB998" s="97" t="str">
        <f>IFERROR(__xludf.DUMMYFUNCTION("""COMPUTED_VALUE"""),"-")</f>
        <v>-</v>
      </c>
      <c r="BC998" s="97" t="str">
        <f>IFERROR(__xludf.DUMMYFUNCTION("""COMPUTED_VALUE"""),"-")</f>
        <v>-</v>
      </c>
      <c r="BD998" s="97" t="str">
        <f>IFERROR(__xludf.DUMMYFUNCTION("""COMPUTED_VALUE"""),"SWEET")</f>
        <v>SWEET</v>
      </c>
      <c r="BE998" s="97" t="str">
        <f>IFERROR(__xludf.DUMMYFUNCTION("""COMPUTED_VALUE"""),"Finalizada")</f>
        <v>Finalizada</v>
      </c>
      <c r="BF998" s="97"/>
      <c r="BG998" s="97" t="str">
        <f>IFERROR(__xludf.DUMMYFUNCTION("""COMPUTED_VALUE"""),"Activo")</f>
        <v>Activo</v>
      </c>
    </row>
    <row r="999">
      <c r="A999" s="97">
        <f>IFERROR(__xludf.DUMMYFUNCTION("""COMPUTED_VALUE"""),6785.0)</f>
        <v>6785</v>
      </c>
      <c r="B999" s="97" t="str">
        <f>IFERROR(__xludf.DUMMYFUNCTION("""COMPUTED_VALUE"""),"SWEET NG")</f>
        <v>SWEET NG</v>
      </c>
      <c r="C999" s="97" t="str">
        <f>IFERROR(__xludf.DUMMYFUNCTION("""COMPUTED_VALUE"""),"APLIQUE SWEET NG 36W 3000/4000/6000K 2400LM CRI&gt;95 IP20 LEUK")</f>
        <v>APLIQUE SWEET NG 36W 3000/4000/6000K 2400LM CRI&gt;95 IP20 LEUK</v>
      </c>
      <c r="D999" s="97">
        <f>IFERROR(__xludf.DUMMYFUNCTION("""COMPUTED_VALUE"""),7.798413222869E12)</f>
        <v>7798413222869</v>
      </c>
      <c r="E999" s="97" t="str">
        <f>IFERROR(__xludf.DUMMYFUNCTION("""COMPUTED_VALUE"""),"F126")</f>
        <v>F126</v>
      </c>
      <c r="F999" s="97" t="str">
        <f>IFERROR(__xludf.DUMMYFUNCTION("""COMPUTED_VALUE"""),"LED integrado")</f>
        <v>LED integrado</v>
      </c>
      <c r="G999" s="97" t="str">
        <f>IFERROR(__xludf.DUMMYFUNCTION("""COMPUTED_VALUE"""),"-")</f>
        <v>-</v>
      </c>
      <c r="H999" s="97" t="str">
        <f>IFERROR(__xludf.DUMMYFUNCTION("""COMPUTED_VALUE"""),"-")</f>
        <v>-</v>
      </c>
      <c r="I999" s="97"/>
      <c r="J999" s="97" t="str">
        <f>IFERROR(__xludf.DUMMYFUNCTION("""COMPUTED_VALUE"""),"Modelo: CX-37-60Wx1
In: 220-240Vac 50/60Hz
Out: 110-190V 200mA")</f>
        <v>Modelo: CX-37-60Wx1
In: 220-240Vac 50/60Hz
Out: 110-190V 200mA</v>
      </c>
      <c r="K999" s="97" t="str">
        <f>IFERROR(__xludf.DUMMYFUNCTION("""COMPUTED_VALUE"""),"ON/OFF")</f>
        <v>ON/OFF</v>
      </c>
      <c r="L999" s="97" t="str">
        <f>IFERROR(__xludf.DUMMYFUNCTION("""COMPUTED_VALUE"""),"200-240")</f>
        <v>200-240</v>
      </c>
      <c r="M999" s="97" t="str">
        <f>IFERROR(__xludf.DUMMYFUNCTION("""COMPUTED_VALUE"""),"50/60")</f>
        <v>50/60</v>
      </c>
      <c r="N999" s="97" t="str">
        <f>IFERROR(__xludf.DUMMYFUNCTION("""COMPUTED_VALUE"""),"Directa-Simétrica")</f>
        <v>Directa-Simétrica</v>
      </c>
      <c r="O999" s="97">
        <f>IFERROR(__xludf.DUMMYFUNCTION("""COMPUTED_VALUE"""),36.0)</f>
        <v>36</v>
      </c>
      <c r="P999" s="97"/>
      <c r="Q999" s="97">
        <f>IFERROR(__xludf.DUMMYFUNCTION("""COMPUTED_VALUE"""),0.58)</f>
        <v>0.58</v>
      </c>
      <c r="R999" s="97" t="str">
        <f>IFERROR(__xludf.DUMMYFUNCTION("""COMPUTED_VALUE"""),"-")</f>
        <v>-</v>
      </c>
      <c r="S999" s="97" t="str">
        <f>IFERROR(__xludf.DUMMYFUNCTION("""COMPUTED_VALUE"""),"-")</f>
        <v>-</v>
      </c>
      <c r="T999" s="97">
        <f>IFERROR(__xludf.DUMMYFUNCTION("""COMPUTED_VALUE"""),2400.0)</f>
        <v>2400</v>
      </c>
      <c r="U999" s="99">
        <f>IFERROR(__xludf.DUMMYFUNCTION("""COMPUTED_VALUE"""),66.66666666666667)</f>
        <v>66.66666667</v>
      </c>
      <c r="V999" s="97">
        <f>IFERROR(__xludf.DUMMYFUNCTION("""COMPUTED_VALUE"""),135.0)</f>
        <v>135</v>
      </c>
      <c r="W999" s="97" t="str">
        <f>IFERROR(__xludf.DUMMYFUNCTION("""COMPUTED_VALUE"""),"&lt; 22")</f>
        <v>&lt; 22</v>
      </c>
      <c r="X999" s="97" t="str">
        <f>IFERROR(__xludf.DUMMYFUNCTION("""COMPUTED_VALUE"""),"3000/4000/6000")</f>
        <v>3000/4000/6000</v>
      </c>
      <c r="Y999" s="97" t="str">
        <f>IFERROR(__xludf.DUMMYFUNCTION("""COMPUTED_VALUE"""),"&gt;95")</f>
        <v>&gt;95</v>
      </c>
      <c r="Z999" s="97"/>
      <c r="AA999" s="97"/>
      <c r="AB999" s="97"/>
      <c r="AC999" s="97"/>
      <c r="AD999" s="97" t="str">
        <f>IFERROR(__xludf.DUMMYFUNCTION("""COMPUTED_VALUE"""),"IP20")</f>
        <v>IP20</v>
      </c>
      <c r="AE999" s="97" t="str">
        <f>IFERROR(__xludf.DUMMYFUNCTION("""COMPUTED_VALUE"""),"Clase l")</f>
        <v>Clase l</v>
      </c>
      <c r="AF999" s="97" t="str">
        <f>IFERROR(__xludf.DUMMYFUNCTION("""COMPUTED_VALUE"""),"Aplicar, Suspender")</f>
        <v>Aplicar, Suspender</v>
      </c>
      <c r="AG999" s="97" t="str">
        <f>IFERROR(__xludf.DUMMYFUNCTION("""COMPUTED_VALUE"""),"Ø520 x 100")</f>
        <v>Ø520 x 100</v>
      </c>
      <c r="AH999" s="97" t="str">
        <f>IFERROR(__xludf.DUMMYFUNCTION("""COMPUTED_VALUE"""),"N/A")</f>
        <v>N/A</v>
      </c>
      <c r="AI999" s="97" t="str">
        <f>IFERROR(__xludf.DUMMYFUNCTION("""COMPUTED_VALUE"""),"N/A")</f>
        <v>N/A</v>
      </c>
      <c r="AJ999" s="97" t="str">
        <f>IFERROR(__xludf.DUMMYFUNCTION("""COMPUTED_VALUE"""),"PVC")</f>
        <v>PVC</v>
      </c>
      <c r="AK999" s="97" t="str">
        <f>IFERROR(__xludf.DUMMYFUNCTION("""COMPUTED_VALUE"""),"Acero")</f>
        <v>Acero</v>
      </c>
      <c r="AL999" s="97" t="str">
        <f>IFERROR(__xludf.DUMMYFUNCTION("""COMPUTED_VALUE"""),"Negro Mate")</f>
        <v>Negro Mate</v>
      </c>
      <c r="AM999" s="97" t="str">
        <f>IFERROR(__xludf.DUMMYFUNCTION("""COMPUTED_VALUE"""),"-")</f>
        <v>-</v>
      </c>
      <c r="AN999" s="97" t="str">
        <f>IFERROR(__xludf.DUMMYFUNCTION("""COMPUTED_VALUE"""),"25.000hs (L70)")</f>
        <v>25.000hs (L70)</v>
      </c>
      <c r="AO999" s="97" t="str">
        <f>IFERROR(__xludf.DUMMYFUNCTION("""COMPUTED_VALUE"""),"2 Años")</f>
        <v>2 Años</v>
      </c>
      <c r="AP999" s="97" t="str">
        <f>IFERROR(__xludf.DUMMYFUNCTION("""COMPUTED_VALUE"""),"Disponible")</f>
        <v>Disponible</v>
      </c>
      <c r="AQ999" s="97" t="str">
        <f>IFERROR(__xludf.DUMMYFUNCTION("""COMPUTED_VALUE"""),"Disponible")</f>
        <v>Disponible</v>
      </c>
      <c r="AR999" s="97" t="str">
        <f>IFERROR(__xludf.DUMMYFUNCTION("""COMPUTED_VALUE"""),"Disponible")</f>
        <v>Disponible</v>
      </c>
      <c r="AS999" s="97"/>
      <c r="AT999" s="97"/>
      <c r="AU999" s="97" t="str">
        <f>IFERROR(__xludf.DUMMYFUNCTION("""COMPUTED_VALUE"""),"Disponible")</f>
        <v>Disponible</v>
      </c>
      <c r="AV999" s="97" t="str">
        <f>IFERROR(__xludf.DUMMYFUNCTION("""COMPUTED_VALUE"""),"Aplique")</f>
        <v>Aplique</v>
      </c>
      <c r="AW999" s="97" t="str">
        <f>IFERROR(__xludf.DUMMYFUNCTION("""COMPUTED_VALUE"""),"De Techo")</f>
        <v>De Techo</v>
      </c>
      <c r="AX999" s="97" t="str">
        <f>IFERROR(__xludf.DUMMYFUNCTION("""COMPUTED_VALUE"""),"Interior")</f>
        <v>Interior</v>
      </c>
      <c r="AY999" s="97" t="str">
        <f>IFERROR(__xludf.DUMMYFUNCTION("""COMPUTED_VALUE"""),"-")</f>
        <v>-</v>
      </c>
      <c r="AZ999" s="97" t="str">
        <f>IFERROR(__xludf.DUMMYFUNCTION("""COMPUTED_VALUE"""),"Switch p/cambio de color. Aplica KIT SUSPENSIÓN 4 TENSORES BL 6829 o NG 6830.")</f>
        <v>Switch p/cambio de color. Aplica KIT SUSPENSIÓN 4 TENSORES BL 6829 o NG 6830.</v>
      </c>
      <c r="BA999" s="97">
        <f>IFERROR(__xludf.DUMMYFUNCTION("""COMPUTED_VALUE"""),1.0)</f>
        <v>1</v>
      </c>
      <c r="BB999" s="97" t="str">
        <f>IFERROR(__xludf.DUMMYFUNCTION("""COMPUTED_VALUE"""),"-")</f>
        <v>-</v>
      </c>
      <c r="BC999" s="97" t="str">
        <f>IFERROR(__xludf.DUMMYFUNCTION("""COMPUTED_VALUE"""),"-")</f>
        <v>-</v>
      </c>
      <c r="BD999" s="97" t="str">
        <f>IFERROR(__xludf.DUMMYFUNCTION("""COMPUTED_VALUE"""),"SWEET")</f>
        <v>SWEET</v>
      </c>
      <c r="BE999" s="97" t="str">
        <f>IFERROR(__xludf.DUMMYFUNCTION("""COMPUTED_VALUE"""),"Finalizada")</f>
        <v>Finalizada</v>
      </c>
      <c r="BF999" s="97"/>
      <c r="BG999" s="97" t="str">
        <f>IFERROR(__xludf.DUMMYFUNCTION("""COMPUTED_VALUE"""),"Activo")</f>
        <v>Activo</v>
      </c>
    </row>
    <row r="1000">
      <c r="A1000" s="97">
        <f>IFERROR(__xludf.DUMMYFUNCTION("""COMPUTED_VALUE"""),6786.0)</f>
        <v>6786</v>
      </c>
      <c r="B1000" s="97" t="str">
        <f>IFERROR(__xludf.DUMMYFUNCTION("""COMPUTED_VALUE"""),"BELA BLOR")</f>
        <v>BELA BLOR</v>
      </c>
      <c r="C1000" s="97" t="str">
        <f>IFERROR(__xludf.DUMMYFUNCTION("""COMPUTED_VALUE"""),"APLIQUE BELA BLOR 28W 3000/4000/6000K 1990LM CRI&gt;95 IP20 LEUK")</f>
        <v>APLIQUE BELA BLOR 28W 3000/4000/6000K 1990LM CRI&gt;95 IP20 LEUK</v>
      </c>
      <c r="D1000" s="97">
        <f>IFERROR(__xludf.DUMMYFUNCTION("""COMPUTED_VALUE"""),7.798413222876E12)</f>
        <v>7798413222876</v>
      </c>
      <c r="E1000" s="97" t="str">
        <f>IFERROR(__xludf.DUMMYFUNCTION("""COMPUTED_VALUE"""),"F131")</f>
        <v>F131</v>
      </c>
      <c r="F1000" s="97" t="str">
        <f>IFERROR(__xludf.DUMMYFUNCTION("""COMPUTED_VALUE"""),"LED integrado")</f>
        <v>LED integrado</v>
      </c>
      <c r="G1000" s="97" t="str">
        <f>IFERROR(__xludf.DUMMYFUNCTION("""COMPUTED_VALUE"""),"-")</f>
        <v>-</v>
      </c>
      <c r="H1000" s="97" t="str">
        <f>IFERROR(__xludf.DUMMYFUNCTION("""COMPUTED_VALUE"""),"-")</f>
        <v>-</v>
      </c>
      <c r="I1000" s="97"/>
      <c r="J1000" s="97"/>
      <c r="K1000" s="97" t="str">
        <f>IFERROR(__xludf.DUMMYFUNCTION("""COMPUTED_VALUE"""),"ON/OFF")</f>
        <v>ON/OFF</v>
      </c>
      <c r="L1000" s="97" t="str">
        <f>IFERROR(__xludf.DUMMYFUNCTION("""COMPUTED_VALUE"""),"200-240")</f>
        <v>200-240</v>
      </c>
      <c r="M1000" s="97" t="str">
        <f>IFERROR(__xludf.DUMMYFUNCTION("""COMPUTED_VALUE"""),"50/60")</f>
        <v>50/60</v>
      </c>
      <c r="N1000" s="97" t="str">
        <f>IFERROR(__xludf.DUMMYFUNCTION("""COMPUTED_VALUE"""),"Directa-Simétrica")</f>
        <v>Directa-Simétrica</v>
      </c>
      <c r="O1000" s="97">
        <f>IFERROR(__xludf.DUMMYFUNCTION("""COMPUTED_VALUE"""),28.0)</f>
        <v>28</v>
      </c>
      <c r="P1000" s="97"/>
      <c r="Q1000" s="97">
        <f>IFERROR(__xludf.DUMMYFUNCTION("""COMPUTED_VALUE"""),0.62)</f>
        <v>0.62</v>
      </c>
      <c r="R1000" s="97" t="str">
        <f>IFERROR(__xludf.DUMMYFUNCTION("""COMPUTED_VALUE"""),"-")</f>
        <v>-</v>
      </c>
      <c r="S1000" s="97" t="str">
        <f>IFERROR(__xludf.DUMMYFUNCTION("""COMPUTED_VALUE"""),"-")</f>
        <v>-</v>
      </c>
      <c r="T1000" s="97">
        <f>IFERROR(__xludf.DUMMYFUNCTION("""COMPUTED_VALUE"""),1990.0)</f>
        <v>1990</v>
      </c>
      <c r="U1000" s="99">
        <f>IFERROR(__xludf.DUMMYFUNCTION("""COMPUTED_VALUE"""),71.07142857142857)</f>
        <v>71.07142857</v>
      </c>
      <c r="V1000" s="97">
        <f>IFERROR(__xludf.DUMMYFUNCTION("""COMPUTED_VALUE"""),130.0)</f>
        <v>130</v>
      </c>
      <c r="W1000" s="97" t="str">
        <f>IFERROR(__xludf.DUMMYFUNCTION("""COMPUTED_VALUE"""),"&lt; 20")</f>
        <v>&lt; 20</v>
      </c>
      <c r="X1000" s="97" t="str">
        <f>IFERROR(__xludf.DUMMYFUNCTION("""COMPUTED_VALUE"""),"3000/4000/6000")</f>
        <v>3000/4000/6000</v>
      </c>
      <c r="Y1000" s="97" t="str">
        <f>IFERROR(__xludf.DUMMYFUNCTION("""COMPUTED_VALUE"""),"&gt;95")</f>
        <v>&gt;95</v>
      </c>
      <c r="Z1000" s="97"/>
      <c r="AA1000" s="97"/>
      <c r="AB1000" s="97"/>
      <c r="AC1000" s="97"/>
      <c r="AD1000" s="97" t="str">
        <f>IFERROR(__xludf.DUMMYFUNCTION("""COMPUTED_VALUE"""),"IP20")</f>
        <v>IP20</v>
      </c>
      <c r="AE1000" s="97" t="str">
        <f>IFERROR(__xludf.DUMMYFUNCTION("""COMPUTED_VALUE"""),"Clase l")</f>
        <v>Clase l</v>
      </c>
      <c r="AF1000" s="97" t="str">
        <f>IFERROR(__xludf.DUMMYFUNCTION("""COMPUTED_VALUE"""),"Aplicar, Suspender")</f>
        <v>Aplicar, Suspender</v>
      </c>
      <c r="AG1000" s="97" t="str">
        <f>IFERROR(__xludf.DUMMYFUNCTION("""COMPUTED_VALUE"""),"Ø520 x 120")</f>
        <v>Ø520 x 120</v>
      </c>
      <c r="AH1000" s="97" t="str">
        <f>IFERROR(__xludf.DUMMYFUNCTION("""COMPUTED_VALUE"""),"N/A")</f>
        <v>N/A</v>
      </c>
      <c r="AI1000" s="97" t="str">
        <f>IFERROR(__xludf.DUMMYFUNCTION("""COMPUTED_VALUE"""),"N/A")</f>
        <v>N/A</v>
      </c>
      <c r="AJ1000" s="97" t="str">
        <f>IFERROR(__xludf.DUMMYFUNCTION("""COMPUTED_VALUE"""),"PMMA")</f>
        <v>PMMA</v>
      </c>
      <c r="AK1000" s="97" t="str">
        <f>IFERROR(__xludf.DUMMYFUNCTION("""COMPUTED_VALUE"""),"Acero")</f>
        <v>Acero</v>
      </c>
      <c r="AL1000" s="97" t="str">
        <f>IFERROR(__xludf.DUMMYFUNCTION("""COMPUTED_VALUE"""),"Blanco y Dorado")</f>
        <v>Blanco y Dorado</v>
      </c>
      <c r="AM1000" s="97" t="str">
        <f>IFERROR(__xludf.DUMMYFUNCTION("""COMPUTED_VALUE"""),"-")</f>
        <v>-</v>
      </c>
      <c r="AN1000" s="97" t="str">
        <f>IFERROR(__xludf.DUMMYFUNCTION("""COMPUTED_VALUE"""),"25.000hs (L70)")</f>
        <v>25.000hs (L70)</v>
      </c>
      <c r="AO1000" s="97" t="str">
        <f>IFERROR(__xludf.DUMMYFUNCTION("""COMPUTED_VALUE"""),"2 Años")</f>
        <v>2 Años</v>
      </c>
      <c r="AP1000" s="97" t="str">
        <f>IFERROR(__xludf.DUMMYFUNCTION("""COMPUTED_VALUE"""),"Disponible")</f>
        <v>Disponible</v>
      </c>
      <c r="AQ1000" s="97" t="str">
        <f>IFERROR(__xludf.DUMMYFUNCTION("""COMPUTED_VALUE"""),"Disponible")</f>
        <v>Disponible</v>
      </c>
      <c r="AR1000" s="97" t="str">
        <f>IFERROR(__xludf.DUMMYFUNCTION("""COMPUTED_VALUE"""),"Disponible")</f>
        <v>Disponible</v>
      </c>
      <c r="AS1000" s="97"/>
      <c r="AT1000" s="97"/>
      <c r="AU1000" s="97" t="str">
        <f>IFERROR(__xludf.DUMMYFUNCTION("""COMPUTED_VALUE"""),"Falta")</f>
        <v>Falta</v>
      </c>
      <c r="AV1000" s="97" t="str">
        <f>IFERROR(__xludf.DUMMYFUNCTION("""COMPUTED_VALUE"""),"Aplique")</f>
        <v>Aplique</v>
      </c>
      <c r="AW1000" s="97" t="str">
        <f>IFERROR(__xludf.DUMMYFUNCTION("""COMPUTED_VALUE"""),"De Techo")</f>
        <v>De Techo</v>
      </c>
      <c r="AX1000" s="97" t="str">
        <f>IFERROR(__xludf.DUMMYFUNCTION("""COMPUTED_VALUE"""),"Interior")</f>
        <v>Interior</v>
      </c>
      <c r="AY1000" s="97" t="str">
        <f>IFERROR(__xludf.DUMMYFUNCTION("""COMPUTED_VALUE"""),"-")</f>
        <v>-</v>
      </c>
      <c r="AZ1000" s="97" t="str">
        <f>IFERROR(__xludf.DUMMYFUNCTION("""COMPUTED_VALUE"""),"Switch p/cambio de color. Aplica KIT SUSPENSIÓN 4 TENSORES BL 6829 o NG 6830.")</f>
        <v>Switch p/cambio de color. Aplica KIT SUSPENSIÓN 4 TENSORES BL 6829 o NG 6830.</v>
      </c>
      <c r="BA1000" s="97">
        <f>IFERROR(__xludf.DUMMYFUNCTION("""COMPUTED_VALUE"""),1.0)</f>
        <v>1</v>
      </c>
      <c r="BB1000" s="97" t="str">
        <f>IFERROR(__xludf.DUMMYFUNCTION("""COMPUTED_VALUE"""),"-")</f>
        <v>-</v>
      </c>
      <c r="BC1000" s="97" t="str">
        <f>IFERROR(__xludf.DUMMYFUNCTION("""COMPUTED_VALUE"""),"-")</f>
        <v>-</v>
      </c>
      <c r="BD1000" s="97" t="str">
        <f>IFERROR(__xludf.DUMMYFUNCTION("""COMPUTED_VALUE"""),"BELA")</f>
        <v>BELA</v>
      </c>
      <c r="BE1000" s="97" t="str">
        <f>IFERROR(__xludf.DUMMYFUNCTION("""COMPUTED_VALUE"""),"Finalizada")</f>
        <v>Finalizada</v>
      </c>
      <c r="BF1000" s="97"/>
      <c r="BG1000" s="97" t="str">
        <f>IFERROR(__xludf.DUMMYFUNCTION("""COMPUTED_VALUE"""),"Activo")</f>
        <v>Activo</v>
      </c>
    </row>
    <row r="1001">
      <c r="A1001" s="97">
        <f>IFERROR(__xludf.DUMMYFUNCTION("""COMPUTED_VALUE"""),6787.0)</f>
        <v>6787</v>
      </c>
      <c r="B1001" s="97" t="str">
        <f>IFERROR(__xludf.DUMMYFUNCTION("""COMPUTED_VALUE"""),"BELA NGOR")</f>
        <v>BELA NGOR</v>
      </c>
      <c r="C1001" s="97" t="str">
        <f>IFERROR(__xludf.DUMMYFUNCTION("""COMPUTED_VALUE"""),"APLIQUE BELA NGOR 28W 3000/4000/6000K 1990LM CRI&gt;95 IP20 LEUK")</f>
        <v>APLIQUE BELA NGOR 28W 3000/4000/6000K 1990LM CRI&gt;95 IP20 LEUK</v>
      </c>
      <c r="D1001" s="97">
        <f>IFERROR(__xludf.DUMMYFUNCTION("""COMPUTED_VALUE"""),7.798413222883E12)</f>
        <v>7798413222883</v>
      </c>
      <c r="E1001" s="97" t="str">
        <f>IFERROR(__xludf.DUMMYFUNCTION("""COMPUTED_VALUE"""),"F130")</f>
        <v>F130</v>
      </c>
      <c r="F1001" s="97" t="str">
        <f>IFERROR(__xludf.DUMMYFUNCTION("""COMPUTED_VALUE"""),"LED integrado")</f>
        <v>LED integrado</v>
      </c>
      <c r="G1001" s="97" t="str">
        <f>IFERROR(__xludf.DUMMYFUNCTION("""COMPUTED_VALUE"""),"-")</f>
        <v>-</v>
      </c>
      <c r="H1001" s="97" t="str">
        <f>IFERROR(__xludf.DUMMYFUNCTION("""COMPUTED_VALUE"""),"-")</f>
        <v>-</v>
      </c>
      <c r="I1001" s="97"/>
      <c r="J1001" s="97"/>
      <c r="K1001" s="97" t="str">
        <f>IFERROR(__xludf.DUMMYFUNCTION("""COMPUTED_VALUE"""),"ON/OFF")</f>
        <v>ON/OFF</v>
      </c>
      <c r="L1001" s="97" t="str">
        <f>IFERROR(__xludf.DUMMYFUNCTION("""COMPUTED_VALUE"""),"200-240")</f>
        <v>200-240</v>
      </c>
      <c r="M1001" s="97" t="str">
        <f>IFERROR(__xludf.DUMMYFUNCTION("""COMPUTED_VALUE"""),"50/60")</f>
        <v>50/60</v>
      </c>
      <c r="N1001" s="97" t="str">
        <f>IFERROR(__xludf.DUMMYFUNCTION("""COMPUTED_VALUE"""),"Directa-Simétrica")</f>
        <v>Directa-Simétrica</v>
      </c>
      <c r="O1001" s="97">
        <f>IFERROR(__xludf.DUMMYFUNCTION("""COMPUTED_VALUE"""),28.0)</f>
        <v>28</v>
      </c>
      <c r="P1001" s="97"/>
      <c r="Q1001" s="97">
        <f>IFERROR(__xludf.DUMMYFUNCTION("""COMPUTED_VALUE"""),0.62)</f>
        <v>0.62</v>
      </c>
      <c r="R1001" s="97" t="str">
        <f>IFERROR(__xludf.DUMMYFUNCTION("""COMPUTED_VALUE"""),"-")</f>
        <v>-</v>
      </c>
      <c r="S1001" s="97" t="str">
        <f>IFERROR(__xludf.DUMMYFUNCTION("""COMPUTED_VALUE"""),"-")</f>
        <v>-</v>
      </c>
      <c r="T1001" s="97">
        <f>IFERROR(__xludf.DUMMYFUNCTION("""COMPUTED_VALUE"""),1990.0)</f>
        <v>1990</v>
      </c>
      <c r="U1001" s="99">
        <f>IFERROR(__xludf.DUMMYFUNCTION("""COMPUTED_VALUE"""),71.07142857142857)</f>
        <v>71.07142857</v>
      </c>
      <c r="V1001" s="97">
        <f>IFERROR(__xludf.DUMMYFUNCTION("""COMPUTED_VALUE"""),130.0)</f>
        <v>130</v>
      </c>
      <c r="W1001" s="97" t="str">
        <f>IFERROR(__xludf.DUMMYFUNCTION("""COMPUTED_VALUE"""),"&lt; 20")</f>
        <v>&lt; 20</v>
      </c>
      <c r="X1001" s="97" t="str">
        <f>IFERROR(__xludf.DUMMYFUNCTION("""COMPUTED_VALUE"""),"3000/4000/6000")</f>
        <v>3000/4000/6000</v>
      </c>
      <c r="Y1001" s="97" t="str">
        <f>IFERROR(__xludf.DUMMYFUNCTION("""COMPUTED_VALUE"""),"&gt;95")</f>
        <v>&gt;95</v>
      </c>
      <c r="Z1001" s="97"/>
      <c r="AA1001" s="97"/>
      <c r="AB1001" s="97"/>
      <c r="AC1001" s="97"/>
      <c r="AD1001" s="97" t="str">
        <f>IFERROR(__xludf.DUMMYFUNCTION("""COMPUTED_VALUE"""),"IP20")</f>
        <v>IP20</v>
      </c>
      <c r="AE1001" s="97" t="str">
        <f>IFERROR(__xludf.DUMMYFUNCTION("""COMPUTED_VALUE"""),"Clase l")</f>
        <v>Clase l</v>
      </c>
      <c r="AF1001" s="97" t="str">
        <f>IFERROR(__xludf.DUMMYFUNCTION("""COMPUTED_VALUE"""),"Aplicar, Suspender")</f>
        <v>Aplicar, Suspender</v>
      </c>
      <c r="AG1001" s="97" t="str">
        <f>IFERROR(__xludf.DUMMYFUNCTION("""COMPUTED_VALUE"""),"Ø520 x 120")</f>
        <v>Ø520 x 120</v>
      </c>
      <c r="AH1001" s="97" t="str">
        <f>IFERROR(__xludf.DUMMYFUNCTION("""COMPUTED_VALUE"""),"N/A")</f>
        <v>N/A</v>
      </c>
      <c r="AI1001" s="97" t="str">
        <f>IFERROR(__xludf.DUMMYFUNCTION("""COMPUTED_VALUE"""),"N/A")</f>
        <v>N/A</v>
      </c>
      <c r="AJ1001" s="97" t="str">
        <f>IFERROR(__xludf.DUMMYFUNCTION("""COMPUTED_VALUE"""),"PMMA")</f>
        <v>PMMA</v>
      </c>
      <c r="AK1001" s="97" t="str">
        <f>IFERROR(__xludf.DUMMYFUNCTION("""COMPUTED_VALUE"""),"Acero")</f>
        <v>Acero</v>
      </c>
      <c r="AL1001" s="97" t="str">
        <f>IFERROR(__xludf.DUMMYFUNCTION("""COMPUTED_VALUE"""),"Negro y Dorado")</f>
        <v>Negro y Dorado</v>
      </c>
      <c r="AM1001" s="97" t="str">
        <f>IFERROR(__xludf.DUMMYFUNCTION("""COMPUTED_VALUE"""),"-")</f>
        <v>-</v>
      </c>
      <c r="AN1001" s="97" t="str">
        <f>IFERROR(__xludf.DUMMYFUNCTION("""COMPUTED_VALUE"""),"25.000hs (L70)")</f>
        <v>25.000hs (L70)</v>
      </c>
      <c r="AO1001" s="97" t="str">
        <f>IFERROR(__xludf.DUMMYFUNCTION("""COMPUTED_VALUE"""),"2 Años")</f>
        <v>2 Años</v>
      </c>
      <c r="AP1001" s="97" t="str">
        <f>IFERROR(__xludf.DUMMYFUNCTION("""COMPUTED_VALUE"""),"Disponible")</f>
        <v>Disponible</v>
      </c>
      <c r="AQ1001" s="97" t="str">
        <f>IFERROR(__xludf.DUMMYFUNCTION("""COMPUTED_VALUE"""),"Disponible")</f>
        <v>Disponible</v>
      </c>
      <c r="AR1001" s="97" t="str">
        <f>IFERROR(__xludf.DUMMYFUNCTION("""COMPUTED_VALUE"""),"Disponible")</f>
        <v>Disponible</v>
      </c>
      <c r="AS1001" s="97"/>
      <c r="AT1001" s="97"/>
      <c r="AU1001" s="97" t="str">
        <f>IFERROR(__xludf.DUMMYFUNCTION("""COMPUTED_VALUE"""),"Falta")</f>
        <v>Falta</v>
      </c>
      <c r="AV1001" s="97" t="str">
        <f>IFERROR(__xludf.DUMMYFUNCTION("""COMPUTED_VALUE"""),"Aplique")</f>
        <v>Aplique</v>
      </c>
      <c r="AW1001" s="97" t="str">
        <f>IFERROR(__xludf.DUMMYFUNCTION("""COMPUTED_VALUE"""),"De Techo")</f>
        <v>De Techo</v>
      </c>
      <c r="AX1001" s="97" t="str">
        <f>IFERROR(__xludf.DUMMYFUNCTION("""COMPUTED_VALUE"""),"Interior")</f>
        <v>Interior</v>
      </c>
      <c r="AY1001" s="97" t="str">
        <f>IFERROR(__xludf.DUMMYFUNCTION("""COMPUTED_VALUE"""),"-")</f>
        <v>-</v>
      </c>
      <c r="AZ1001" s="97" t="str">
        <f>IFERROR(__xludf.DUMMYFUNCTION("""COMPUTED_VALUE"""),"Switch p/cambio de color. Aplica KIT SUSPENSIÓN 4 TENSORES BL 6829 o NG 6830.")</f>
        <v>Switch p/cambio de color. Aplica KIT SUSPENSIÓN 4 TENSORES BL 6829 o NG 6830.</v>
      </c>
      <c r="BA1001" s="97">
        <f>IFERROR(__xludf.DUMMYFUNCTION("""COMPUTED_VALUE"""),1.0)</f>
        <v>1</v>
      </c>
      <c r="BB1001" s="97" t="str">
        <f>IFERROR(__xludf.DUMMYFUNCTION("""COMPUTED_VALUE"""),"-")</f>
        <v>-</v>
      </c>
      <c r="BC1001" s="97" t="str">
        <f>IFERROR(__xludf.DUMMYFUNCTION("""COMPUTED_VALUE"""),"-")</f>
        <v>-</v>
      </c>
      <c r="BD1001" s="97" t="str">
        <f>IFERROR(__xludf.DUMMYFUNCTION("""COMPUTED_VALUE"""),"BELA")</f>
        <v>BELA</v>
      </c>
      <c r="BE1001" s="97" t="str">
        <f>IFERROR(__xludf.DUMMYFUNCTION("""COMPUTED_VALUE"""),"Finalizada")</f>
        <v>Finalizada</v>
      </c>
      <c r="BF1001" s="97"/>
      <c r="BG1001" s="97" t="str">
        <f>IFERROR(__xludf.DUMMYFUNCTION("""COMPUTED_VALUE"""),"Activo")</f>
        <v>Activo</v>
      </c>
    </row>
    <row r="1002">
      <c r="A1002" s="97">
        <f>IFERROR(__xludf.DUMMYFUNCTION("""COMPUTED_VALUE"""),6788.0)</f>
        <v>6788</v>
      </c>
      <c r="B1002" s="97" t="str">
        <f>IFERROR(__xludf.DUMMYFUNCTION("""COMPUTED_VALUE"""),"MARLEY BL")</f>
        <v>MARLEY BL</v>
      </c>
      <c r="C1002" s="97" t="str">
        <f>IFERROR(__xludf.DUMMYFUNCTION("""COMPUTED_VALUE"""),"APLIQUE MARLEY BL 28W 3000/4000/6000K 1165LM CRI&gt;95 IP20 LEUK")</f>
        <v>APLIQUE MARLEY BL 28W 3000/4000/6000K 1165LM CRI&gt;95 IP20 LEUK</v>
      </c>
      <c r="D1002" s="97">
        <f>IFERROR(__xludf.DUMMYFUNCTION("""COMPUTED_VALUE"""),7.79841322289E12)</f>
        <v>7798413222890</v>
      </c>
      <c r="E1002" s="97" t="str">
        <f>IFERROR(__xludf.DUMMYFUNCTION("""COMPUTED_VALUE"""),"F134")</f>
        <v>F134</v>
      </c>
      <c r="F1002" s="97" t="str">
        <f>IFERROR(__xludf.DUMMYFUNCTION("""COMPUTED_VALUE"""),"LED integrado")</f>
        <v>LED integrado</v>
      </c>
      <c r="G1002" s="97" t="str">
        <f>IFERROR(__xludf.DUMMYFUNCTION("""COMPUTED_VALUE"""),"-")</f>
        <v>-</v>
      </c>
      <c r="H1002" s="97" t="str">
        <f>IFERROR(__xludf.DUMMYFUNCTION("""COMPUTED_VALUE"""),"-")</f>
        <v>-</v>
      </c>
      <c r="I1002" s="97"/>
      <c r="J1002" s="97" t="str">
        <f>IFERROR(__xludf.DUMMYFUNCTION("""COMPUTED_VALUE"""),"Modelo: CX-25-40Wx1
In: 175-265Vac 50/60Hz
Out: 75-140V 200mA")</f>
        <v>Modelo: CX-25-40Wx1
In: 175-265Vac 50/60Hz
Out: 75-140V 200mA</v>
      </c>
      <c r="K1002" s="97" t="str">
        <f>IFERROR(__xludf.DUMMYFUNCTION("""COMPUTED_VALUE"""),"ON/OFF")</f>
        <v>ON/OFF</v>
      </c>
      <c r="L1002" s="97" t="str">
        <f>IFERROR(__xludf.DUMMYFUNCTION("""COMPUTED_VALUE"""),"200-240")</f>
        <v>200-240</v>
      </c>
      <c r="M1002" s="97" t="str">
        <f>IFERROR(__xludf.DUMMYFUNCTION("""COMPUTED_VALUE"""),"50/60")</f>
        <v>50/60</v>
      </c>
      <c r="N1002" s="97" t="str">
        <f>IFERROR(__xludf.DUMMYFUNCTION("""COMPUTED_VALUE"""),"Directa-Simétrica")</f>
        <v>Directa-Simétrica</v>
      </c>
      <c r="O1002" s="97">
        <f>IFERROR(__xludf.DUMMYFUNCTION("""COMPUTED_VALUE"""),28.0)</f>
        <v>28</v>
      </c>
      <c r="P1002" s="97"/>
      <c r="Q1002" s="97">
        <f>IFERROR(__xludf.DUMMYFUNCTION("""COMPUTED_VALUE"""),0.56)</f>
        <v>0.56</v>
      </c>
      <c r="R1002" s="97" t="str">
        <f>IFERROR(__xludf.DUMMYFUNCTION("""COMPUTED_VALUE"""),"-")</f>
        <v>-</v>
      </c>
      <c r="S1002" s="97" t="str">
        <f>IFERROR(__xludf.DUMMYFUNCTION("""COMPUTED_VALUE"""),"-")</f>
        <v>-</v>
      </c>
      <c r="T1002" s="97">
        <f>IFERROR(__xludf.DUMMYFUNCTION("""COMPUTED_VALUE"""),1165.0)</f>
        <v>1165</v>
      </c>
      <c r="U1002" s="99">
        <f>IFERROR(__xludf.DUMMYFUNCTION("""COMPUTED_VALUE"""),41.607142857142854)</f>
        <v>41.60714286</v>
      </c>
      <c r="V1002" s="97">
        <f>IFERROR(__xludf.DUMMYFUNCTION("""COMPUTED_VALUE"""),125.0)</f>
        <v>125</v>
      </c>
      <c r="W1002" s="97" t="str">
        <f>IFERROR(__xludf.DUMMYFUNCTION("""COMPUTED_VALUE"""),"&lt; 20")</f>
        <v>&lt; 20</v>
      </c>
      <c r="X1002" s="97" t="str">
        <f>IFERROR(__xludf.DUMMYFUNCTION("""COMPUTED_VALUE"""),"3000/4000/6000")</f>
        <v>3000/4000/6000</v>
      </c>
      <c r="Y1002" s="97" t="str">
        <f>IFERROR(__xludf.DUMMYFUNCTION("""COMPUTED_VALUE"""),"&gt;95")</f>
        <v>&gt;95</v>
      </c>
      <c r="Z1002" s="97"/>
      <c r="AA1002" s="97"/>
      <c r="AB1002" s="97"/>
      <c r="AC1002" s="97"/>
      <c r="AD1002" s="97" t="str">
        <f>IFERROR(__xludf.DUMMYFUNCTION("""COMPUTED_VALUE"""),"IP20")</f>
        <v>IP20</v>
      </c>
      <c r="AE1002" s="97" t="str">
        <f>IFERROR(__xludf.DUMMYFUNCTION("""COMPUTED_VALUE"""),"Clase l")</f>
        <v>Clase l</v>
      </c>
      <c r="AF1002" s="97" t="str">
        <f>IFERROR(__xludf.DUMMYFUNCTION("""COMPUTED_VALUE"""),"Aplicar, Suspender")</f>
        <v>Aplicar, Suspender</v>
      </c>
      <c r="AG1002" s="97" t="str">
        <f>IFERROR(__xludf.DUMMYFUNCTION("""COMPUTED_VALUE"""),"Ø450 x 200")</f>
        <v>Ø450 x 200</v>
      </c>
      <c r="AH1002" s="97" t="str">
        <f>IFERROR(__xludf.DUMMYFUNCTION("""COMPUTED_VALUE"""),"N/A")</f>
        <v>N/A</v>
      </c>
      <c r="AI1002" s="97" t="str">
        <f>IFERROR(__xludf.DUMMYFUNCTION("""COMPUTED_VALUE"""),"N/A")</f>
        <v>N/A</v>
      </c>
      <c r="AJ1002" s="97" t="str">
        <f>IFERROR(__xludf.DUMMYFUNCTION("""COMPUTED_VALUE"""),"PVC")</f>
        <v>PVC</v>
      </c>
      <c r="AK1002" s="97" t="str">
        <f>IFERROR(__xludf.DUMMYFUNCTION("""COMPUTED_VALUE"""),"Acero")</f>
        <v>Acero</v>
      </c>
      <c r="AL1002" s="97" t="str">
        <f>IFERROR(__xludf.DUMMYFUNCTION("""COMPUTED_VALUE"""),"Blanco Satinado")</f>
        <v>Blanco Satinado</v>
      </c>
      <c r="AM1002" s="97" t="str">
        <f>IFERROR(__xludf.DUMMYFUNCTION("""COMPUTED_VALUE"""),"-")</f>
        <v>-</v>
      </c>
      <c r="AN1002" s="97" t="str">
        <f>IFERROR(__xludf.DUMMYFUNCTION("""COMPUTED_VALUE"""),"25.000hs (L70)")</f>
        <v>25.000hs (L70)</v>
      </c>
      <c r="AO1002" s="97" t="str">
        <f>IFERROR(__xludf.DUMMYFUNCTION("""COMPUTED_VALUE"""),"2 Años")</f>
        <v>2 Años</v>
      </c>
      <c r="AP1002" s="97" t="str">
        <f>IFERROR(__xludf.DUMMYFUNCTION("""COMPUTED_VALUE"""),"Disponible")</f>
        <v>Disponible</v>
      </c>
      <c r="AQ1002" s="97" t="str">
        <f>IFERROR(__xludf.DUMMYFUNCTION("""COMPUTED_VALUE"""),"Disponible")</f>
        <v>Disponible</v>
      </c>
      <c r="AR1002" s="97" t="str">
        <f>IFERROR(__xludf.DUMMYFUNCTION("""COMPUTED_VALUE"""),"Disponible")</f>
        <v>Disponible</v>
      </c>
      <c r="AS1002" s="97"/>
      <c r="AT1002" s="97"/>
      <c r="AU1002" s="97" t="str">
        <f>IFERROR(__xludf.DUMMYFUNCTION("""COMPUTED_VALUE"""),"Disponible")</f>
        <v>Disponible</v>
      </c>
      <c r="AV1002" s="97" t="str">
        <f>IFERROR(__xludf.DUMMYFUNCTION("""COMPUTED_VALUE"""),"Aplique")</f>
        <v>Aplique</v>
      </c>
      <c r="AW1002" s="97" t="str">
        <f>IFERROR(__xludf.DUMMYFUNCTION("""COMPUTED_VALUE"""),"De Techo")</f>
        <v>De Techo</v>
      </c>
      <c r="AX1002" s="97" t="str">
        <f>IFERROR(__xludf.DUMMYFUNCTION("""COMPUTED_VALUE"""),"Interior")</f>
        <v>Interior</v>
      </c>
      <c r="AY1002" s="97" t="str">
        <f>IFERROR(__xludf.DUMMYFUNCTION("""COMPUTED_VALUE"""),"-")</f>
        <v>-</v>
      </c>
      <c r="AZ1002" s="97" t="str">
        <f>IFERROR(__xludf.DUMMYFUNCTION("""COMPUTED_VALUE"""),"Switch p/cambio de color. Aplica KIT SUSPENSIÓN 4 TENSORES BL 6829 o NG 6830.")</f>
        <v>Switch p/cambio de color. Aplica KIT SUSPENSIÓN 4 TENSORES BL 6829 o NG 6830.</v>
      </c>
      <c r="BA1002" s="97">
        <f>IFERROR(__xludf.DUMMYFUNCTION("""COMPUTED_VALUE"""),1.0)</f>
        <v>1</v>
      </c>
      <c r="BB1002" s="97" t="str">
        <f>IFERROR(__xludf.DUMMYFUNCTION("""COMPUTED_VALUE"""),"-")</f>
        <v>-</v>
      </c>
      <c r="BC1002" s="97" t="str">
        <f>IFERROR(__xludf.DUMMYFUNCTION("""COMPUTED_VALUE"""),"-")</f>
        <v>-</v>
      </c>
      <c r="BD1002" s="97" t="str">
        <f>IFERROR(__xludf.DUMMYFUNCTION("""COMPUTED_VALUE"""),"MARLEY")</f>
        <v>MARLEY</v>
      </c>
      <c r="BE1002" s="97" t="str">
        <f>IFERROR(__xludf.DUMMYFUNCTION("""COMPUTED_VALUE"""),"Finalizada")</f>
        <v>Finalizada</v>
      </c>
      <c r="BF1002" s="97"/>
      <c r="BG1002" s="97" t="str">
        <f>IFERROR(__xludf.DUMMYFUNCTION("""COMPUTED_VALUE"""),"Activo")</f>
        <v>Activo</v>
      </c>
    </row>
    <row r="1003">
      <c r="A1003" s="97">
        <f>IFERROR(__xludf.DUMMYFUNCTION("""COMPUTED_VALUE"""),6789.0)</f>
        <v>6789</v>
      </c>
      <c r="B1003" s="97" t="str">
        <f>IFERROR(__xludf.DUMMYFUNCTION("""COMPUTED_VALUE"""),"MARLEY NG")</f>
        <v>MARLEY NG</v>
      </c>
      <c r="C1003" s="97" t="str">
        <f>IFERROR(__xludf.DUMMYFUNCTION("""COMPUTED_VALUE"""),"APLIQUE MARLEY NG 28W 3000/4000/6000K 1165LM CRI&gt;95 IP20 LEUK")</f>
        <v>APLIQUE MARLEY NG 28W 3000/4000/6000K 1165LM CRI&gt;95 IP20 LEUK</v>
      </c>
      <c r="D1003" s="97">
        <f>IFERROR(__xludf.DUMMYFUNCTION("""COMPUTED_VALUE"""),7.798413222906E12)</f>
        <v>7798413222906</v>
      </c>
      <c r="E1003" s="97" t="str">
        <f>IFERROR(__xludf.DUMMYFUNCTION("""COMPUTED_VALUE"""),"F133")</f>
        <v>F133</v>
      </c>
      <c r="F1003" s="97" t="str">
        <f>IFERROR(__xludf.DUMMYFUNCTION("""COMPUTED_VALUE"""),"LED integrado")</f>
        <v>LED integrado</v>
      </c>
      <c r="G1003" s="97" t="str">
        <f>IFERROR(__xludf.DUMMYFUNCTION("""COMPUTED_VALUE"""),"-")</f>
        <v>-</v>
      </c>
      <c r="H1003" s="97" t="str">
        <f>IFERROR(__xludf.DUMMYFUNCTION("""COMPUTED_VALUE"""),"-")</f>
        <v>-</v>
      </c>
      <c r="I1003" s="97"/>
      <c r="J1003" s="97" t="str">
        <f>IFERROR(__xludf.DUMMYFUNCTION("""COMPUTED_VALUE"""),"Modelo: CX-25-40Wx1
In: 175-265Vac 50/60Hz
Out: 75-140V 200mA")</f>
        <v>Modelo: CX-25-40Wx1
In: 175-265Vac 50/60Hz
Out: 75-140V 200mA</v>
      </c>
      <c r="K1003" s="97" t="str">
        <f>IFERROR(__xludf.DUMMYFUNCTION("""COMPUTED_VALUE"""),"ON/OFF")</f>
        <v>ON/OFF</v>
      </c>
      <c r="L1003" s="97" t="str">
        <f>IFERROR(__xludf.DUMMYFUNCTION("""COMPUTED_VALUE"""),"200-240")</f>
        <v>200-240</v>
      </c>
      <c r="M1003" s="97" t="str">
        <f>IFERROR(__xludf.DUMMYFUNCTION("""COMPUTED_VALUE"""),"50/60")</f>
        <v>50/60</v>
      </c>
      <c r="N1003" s="97" t="str">
        <f>IFERROR(__xludf.DUMMYFUNCTION("""COMPUTED_VALUE"""),"Directa-Simétrica")</f>
        <v>Directa-Simétrica</v>
      </c>
      <c r="O1003" s="97">
        <f>IFERROR(__xludf.DUMMYFUNCTION("""COMPUTED_VALUE"""),28.0)</f>
        <v>28</v>
      </c>
      <c r="P1003" s="97"/>
      <c r="Q1003" s="97">
        <f>IFERROR(__xludf.DUMMYFUNCTION("""COMPUTED_VALUE"""),0.56)</f>
        <v>0.56</v>
      </c>
      <c r="R1003" s="97" t="str">
        <f>IFERROR(__xludf.DUMMYFUNCTION("""COMPUTED_VALUE"""),"-")</f>
        <v>-</v>
      </c>
      <c r="S1003" s="97" t="str">
        <f>IFERROR(__xludf.DUMMYFUNCTION("""COMPUTED_VALUE"""),"-")</f>
        <v>-</v>
      </c>
      <c r="T1003" s="97">
        <f>IFERROR(__xludf.DUMMYFUNCTION("""COMPUTED_VALUE"""),1165.0)</f>
        <v>1165</v>
      </c>
      <c r="U1003" s="99">
        <f>IFERROR(__xludf.DUMMYFUNCTION("""COMPUTED_VALUE"""),41.607142857142854)</f>
        <v>41.60714286</v>
      </c>
      <c r="V1003" s="97">
        <f>IFERROR(__xludf.DUMMYFUNCTION("""COMPUTED_VALUE"""),125.0)</f>
        <v>125</v>
      </c>
      <c r="W1003" s="97" t="str">
        <f>IFERROR(__xludf.DUMMYFUNCTION("""COMPUTED_VALUE"""),"&lt; 20")</f>
        <v>&lt; 20</v>
      </c>
      <c r="X1003" s="97" t="str">
        <f>IFERROR(__xludf.DUMMYFUNCTION("""COMPUTED_VALUE"""),"3000/4000/6000")</f>
        <v>3000/4000/6000</v>
      </c>
      <c r="Y1003" s="97" t="str">
        <f>IFERROR(__xludf.DUMMYFUNCTION("""COMPUTED_VALUE"""),"&gt;95")</f>
        <v>&gt;95</v>
      </c>
      <c r="Z1003" s="97"/>
      <c r="AA1003" s="97"/>
      <c r="AB1003" s="97"/>
      <c r="AC1003" s="97"/>
      <c r="AD1003" s="97" t="str">
        <f>IFERROR(__xludf.DUMMYFUNCTION("""COMPUTED_VALUE"""),"IP20")</f>
        <v>IP20</v>
      </c>
      <c r="AE1003" s="97" t="str">
        <f>IFERROR(__xludf.DUMMYFUNCTION("""COMPUTED_VALUE"""),"Clase l")</f>
        <v>Clase l</v>
      </c>
      <c r="AF1003" s="97" t="str">
        <f>IFERROR(__xludf.DUMMYFUNCTION("""COMPUTED_VALUE"""),"Aplicar, Suspender")</f>
        <v>Aplicar, Suspender</v>
      </c>
      <c r="AG1003" s="97" t="str">
        <f>IFERROR(__xludf.DUMMYFUNCTION("""COMPUTED_VALUE"""),"Ø450 x 200")</f>
        <v>Ø450 x 200</v>
      </c>
      <c r="AH1003" s="97" t="str">
        <f>IFERROR(__xludf.DUMMYFUNCTION("""COMPUTED_VALUE"""),"N/A")</f>
        <v>N/A</v>
      </c>
      <c r="AI1003" s="97" t="str">
        <f>IFERROR(__xludf.DUMMYFUNCTION("""COMPUTED_VALUE"""),"N/A")</f>
        <v>N/A</v>
      </c>
      <c r="AJ1003" s="97" t="str">
        <f>IFERROR(__xludf.DUMMYFUNCTION("""COMPUTED_VALUE"""),"PVC")</f>
        <v>PVC</v>
      </c>
      <c r="AK1003" s="97" t="str">
        <f>IFERROR(__xludf.DUMMYFUNCTION("""COMPUTED_VALUE"""),"Acero")</f>
        <v>Acero</v>
      </c>
      <c r="AL1003" s="97" t="str">
        <f>IFERROR(__xludf.DUMMYFUNCTION("""COMPUTED_VALUE"""),"Negro Satinado")</f>
        <v>Negro Satinado</v>
      </c>
      <c r="AM1003" s="97" t="str">
        <f>IFERROR(__xludf.DUMMYFUNCTION("""COMPUTED_VALUE"""),"-")</f>
        <v>-</v>
      </c>
      <c r="AN1003" s="97" t="str">
        <f>IFERROR(__xludf.DUMMYFUNCTION("""COMPUTED_VALUE"""),"25.000hs (L70)")</f>
        <v>25.000hs (L70)</v>
      </c>
      <c r="AO1003" s="97" t="str">
        <f>IFERROR(__xludf.DUMMYFUNCTION("""COMPUTED_VALUE"""),"2 Años")</f>
        <v>2 Años</v>
      </c>
      <c r="AP1003" s="97" t="str">
        <f>IFERROR(__xludf.DUMMYFUNCTION("""COMPUTED_VALUE"""),"Disponible")</f>
        <v>Disponible</v>
      </c>
      <c r="AQ1003" s="97" t="str">
        <f>IFERROR(__xludf.DUMMYFUNCTION("""COMPUTED_VALUE"""),"Disponible")</f>
        <v>Disponible</v>
      </c>
      <c r="AR1003" s="97" t="str">
        <f>IFERROR(__xludf.DUMMYFUNCTION("""COMPUTED_VALUE"""),"Disponible")</f>
        <v>Disponible</v>
      </c>
      <c r="AS1003" s="97"/>
      <c r="AT1003" s="97"/>
      <c r="AU1003" s="97" t="str">
        <f>IFERROR(__xludf.DUMMYFUNCTION("""COMPUTED_VALUE"""),"Disponible")</f>
        <v>Disponible</v>
      </c>
      <c r="AV1003" s="97" t="str">
        <f>IFERROR(__xludf.DUMMYFUNCTION("""COMPUTED_VALUE"""),"Aplique")</f>
        <v>Aplique</v>
      </c>
      <c r="AW1003" s="97" t="str">
        <f>IFERROR(__xludf.DUMMYFUNCTION("""COMPUTED_VALUE"""),"De Techo")</f>
        <v>De Techo</v>
      </c>
      <c r="AX1003" s="97" t="str">
        <f>IFERROR(__xludf.DUMMYFUNCTION("""COMPUTED_VALUE"""),"Interior")</f>
        <v>Interior</v>
      </c>
      <c r="AY1003" s="97" t="str">
        <f>IFERROR(__xludf.DUMMYFUNCTION("""COMPUTED_VALUE"""),"-")</f>
        <v>-</v>
      </c>
      <c r="AZ1003" s="97" t="str">
        <f>IFERROR(__xludf.DUMMYFUNCTION("""COMPUTED_VALUE"""),"Switch p/cambio de color. Aplica KIT SUSPENSIÓN 4 TENSORES BL 6829 o NG 6830.")</f>
        <v>Switch p/cambio de color. Aplica KIT SUSPENSIÓN 4 TENSORES BL 6829 o NG 6830.</v>
      </c>
      <c r="BA1003" s="97">
        <f>IFERROR(__xludf.DUMMYFUNCTION("""COMPUTED_VALUE"""),1.0)</f>
        <v>1</v>
      </c>
      <c r="BB1003" s="97" t="str">
        <f>IFERROR(__xludf.DUMMYFUNCTION("""COMPUTED_VALUE"""),"-")</f>
        <v>-</v>
      </c>
      <c r="BC1003" s="97" t="str">
        <f>IFERROR(__xludf.DUMMYFUNCTION("""COMPUTED_VALUE"""),"-")</f>
        <v>-</v>
      </c>
      <c r="BD1003" s="97" t="str">
        <f>IFERROR(__xludf.DUMMYFUNCTION("""COMPUTED_VALUE"""),"MARLEY")</f>
        <v>MARLEY</v>
      </c>
      <c r="BE1003" s="97" t="str">
        <f>IFERROR(__xludf.DUMMYFUNCTION("""COMPUTED_VALUE"""),"Finalizada")</f>
        <v>Finalizada</v>
      </c>
      <c r="BF1003" s="97"/>
      <c r="BG1003" s="97" t="str">
        <f>IFERROR(__xludf.DUMMYFUNCTION("""COMPUTED_VALUE"""),"Activo")</f>
        <v>Activo</v>
      </c>
    </row>
    <row r="1004">
      <c r="A1004" s="97">
        <f>IFERROR(__xludf.DUMMYFUNCTION("""COMPUTED_VALUE"""),6790.0)</f>
        <v>6790</v>
      </c>
      <c r="B1004" s="97" t="str">
        <f>IFERROR(__xludf.DUMMYFUNCTION("""COMPUTED_VALUE"""),"NICHI BL")</f>
        <v>NICHI BL</v>
      </c>
      <c r="C1004" s="97" t="str">
        <f>IFERROR(__xludf.DUMMYFUNCTION("""COMPUTED_VALUE"""),"APLIQUE NICHI BL 28W 3000/4000/6000K 1600LM CRI&gt;95 IP20 LEUK")</f>
        <v>APLIQUE NICHI BL 28W 3000/4000/6000K 1600LM CRI&gt;95 IP20 LEUK</v>
      </c>
      <c r="D1004" s="97">
        <f>IFERROR(__xludf.DUMMYFUNCTION("""COMPUTED_VALUE"""),7.798413222913E12)</f>
        <v>7798413222913</v>
      </c>
      <c r="E1004" s="97" t="str">
        <f>IFERROR(__xludf.DUMMYFUNCTION("""COMPUTED_VALUE"""),"F132")</f>
        <v>F132</v>
      </c>
      <c r="F1004" s="97" t="str">
        <f>IFERROR(__xludf.DUMMYFUNCTION("""COMPUTED_VALUE"""),"LED integrado")</f>
        <v>LED integrado</v>
      </c>
      <c r="G1004" s="97" t="str">
        <f>IFERROR(__xludf.DUMMYFUNCTION("""COMPUTED_VALUE"""),"-")</f>
        <v>-</v>
      </c>
      <c r="H1004" s="97" t="str">
        <f>IFERROR(__xludf.DUMMYFUNCTION("""COMPUTED_VALUE"""),"-")</f>
        <v>-</v>
      </c>
      <c r="I1004" s="97"/>
      <c r="J1004" s="97"/>
      <c r="K1004" s="97" t="str">
        <f>IFERROR(__xludf.DUMMYFUNCTION("""COMPUTED_VALUE"""),"ON/OFF")</f>
        <v>ON/OFF</v>
      </c>
      <c r="L1004" s="97" t="str">
        <f>IFERROR(__xludf.DUMMYFUNCTION("""COMPUTED_VALUE"""),"200-240")</f>
        <v>200-240</v>
      </c>
      <c r="M1004" s="97" t="str">
        <f>IFERROR(__xludf.DUMMYFUNCTION("""COMPUTED_VALUE"""),"50/60")</f>
        <v>50/60</v>
      </c>
      <c r="N1004" s="97" t="str">
        <f>IFERROR(__xludf.DUMMYFUNCTION("""COMPUTED_VALUE"""),"Directa-Simétrica")</f>
        <v>Directa-Simétrica</v>
      </c>
      <c r="O1004" s="97">
        <f>IFERROR(__xludf.DUMMYFUNCTION("""COMPUTED_VALUE"""),28.0)</f>
        <v>28</v>
      </c>
      <c r="P1004" s="97"/>
      <c r="Q1004" s="97">
        <f>IFERROR(__xludf.DUMMYFUNCTION("""COMPUTED_VALUE"""),0.64)</f>
        <v>0.64</v>
      </c>
      <c r="R1004" s="97" t="str">
        <f>IFERROR(__xludf.DUMMYFUNCTION("""COMPUTED_VALUE"""),"-")</f>
        <v>-</v>
      </c>
      <c r="S1004" s="97" t="str">
        <f>IFERROR(__xludf.DUMMYFUNCTION("""COMPUTED_VALUE"""),"-")</f>
        <v>-</v>
      </c>
      <c r="T1004" s="97">
        <f>IFERROR(__xludf.DUMMYFUNCTION("""COMPUTED_VALUE"""),1600.0)</f>
        <v>1600</v>
      </c>
      <c r="U1004" s="99">
        <f>IFERROR(__xludf.DUMMYFUNCTION("""COMPUTED_VALUE"""),57.142857142857146)</f>
        <v>57.14285714</v>
      </c>
      <c r="V1004" s="97">
        <f>IFERROR(__xludf.DUMMYFUNCTION("""COMPUTED_VALUE"""),100.0)</f>
        <v>100</v>
      </c>
      <c r="W1004" s="97" t="str">
        <f>IFERROR(__xludf.DUMMYFUNCTION("""COMPUTED_VALUE"""),"&lt; 20")</f>
        <v>&lt; 20</v>
      </c>
      <c r="X1004" s="97" t="str">
        <f>IFERROR(__xludf.DUMMYFUNCTION("""COMPUTED_VALUE"""),"3000/4000/6000")</f>
        <v>3000/4000/6000</v>
      </c>
      <c r="Y1004" s="97" t="str">
        <f>IFERROR(__xludf.DUMMYFUNCTION("""COMPUTED_VALUE"""),"&gt;95")</f>
        <v>&gt;95</v>
      </c>
      <c r="Z1004" s="97"/>
      <c r="AA1004" s="97"/>
      <c r="AB1004" s="97"/>
      <c r="AC1004" s="97"/>
      <c r="AD1004" s="97" t="str">
        <f>IFERROR(__xludf.DUMMYFUNCTION("""COMPUTED_VALUE"""),"IP20")</f>
        <v>IP20</v>
      </c>
      <c r="AE1004" s="97" t="str">
        <f>IFERROR(__xludf.DUMMYFUNCTION("""COMPUTED_VALUE"""),"Clase l")</f>
        <v>Clase l</v>
      </c>
      <c r="AF1004" s="97" t="str">
        <f>IFERROR(__xludf.DUMMYFUNCTION("""COMPUTED_VALUE"""),"Aplicar, Suspender")</f>
        <v>Aplicar, Suspender</v>
      </c>
      <c r="AG1004" s="97" t="str">
        <f>IFERROR(__xludf.DUMMYFUNCTION("""COMPUTED_VALUE"""),"Ø450 x 160")</f>
        <v>Ø450 x 160</v>
      </c>
      <c r="AH1004" s="97" t="str">
        <f>IFERROR(__xludf.DUMMYFUNCTION("""COMPUTED_VALUE"""),"N/A")</f>
        <v>N/A</v>
      </c>
      <c r="AI1004" s="97" t="str">
        <f>IFERROR(__xludf.DUMMYFUNCTION("""COMPUTED_VALUE"""),"N/A")</f>
        <v>N/A</v>
      </c>
      <c r="AJ1004" s="97" t="str">
        <f>IFERROR(__xludf.DUMMYFUNCTION("""COMPUTED_VALUE"""),"PMMA")</f>
        <v>PMMA</v>
      </c>
      <c r="AK1004" s="97" t="str">
        <f>IFERROR(__xludf.DUMMYFUNCTION("""COMPUTED_VALUE"""),"Acero")</f>
        <v>Acero</v>
      </c>
      <c r="AL1004" s="97" t="str">
        <f>IFERROR(__xludf.DUMMYFUNCTION("""COMPUTED_VALUE"""),"Blanco Satinado")</f>
        <v>Blanco Satinado</v>
      </c>
      <c r="AM1004" s="97" t="str">
        <f>IFERROR(__xludf.DUMMYFUNCTION("""COMPUTED_VALUE"""),"-")</f>
        <v>-</v>
      </c>
      <c r="AN1004" s="97" t="str">
        <f>IFERROR(__xludf.DUMMYFUNCTION("""COMPUTED_VALUE"""),"25.000hs (L70)")</f>
        <v>25.000hs (L70)</v>
      </c>
      <c r="AO1004" s="97" t="str">
        <f>IFERROR(__xludf.DUMMYFUNCTION("""COMPUTED_VALUE"""),"2 Años")</f>
        <v>2 Años</v>
      </c>
      <c r="AP1004" s="97" t="str">
        <f>IFERROR(__xludf.DUMMYFUNCTION("""COMPUTED_VALUE"""),"Disponible")</f>
        <v>Disponible</v>
      </c>
      <c r="AQ1004" s="97" t="str">
        <f>IFERROR(__xludf.DUMMYFUNCTION("""COMPUTED_VALUE"""),"Disponible")</f>
        <v>Disponible</v>
      </c>
      <c r="AR1004" s="97" t="str">
        <f>IFERROR(__xludf.DUMMYFUNCTION("""COMPUTED_VALUE"""),"Disponible")</f>
        <v>Disponible</v>
      </c>
      <c r="AS1004" s="97"/>
      <c r="AT1004" s="97"/>
      <c r="AU1004" s="97" t="str">
        <f>IFERROR(__xludf.DUMMYFUNCTION("""COMPUTED_VALUE"""),"Falta")</f>
        <v>Falta</v>
      </c>
      <c r="AV1004" s="97" t="str">
        <f>IFERROR(__xludf.DUMMYFUNCTION("""COMPUTED_VALUE"""),"Aplique")</f>
        <v>Aplique</v>
      </c>
      <c r="AW1004" s="97" t="str">
        <f>IFERROR(__xludf.DUMMYFUNCTION("""COMPUTED_VALUE"""),"De Techo")</f>
        <v>De Techo</v>
      </c>
      <c r="AX1004" s="97" t="str">
        <f>IFERROR(__xludf.DUMMYFUNCTION("""COMPUTED_VALUE"""),"Interior")</f>
        <v>Interior</v>
      </c>
      <c r="AY1004" s="97" t="str">
        <f>IFERROR(__xludf.DUMMYFUNCTION("""COMPUTED_VALUE"""),"-")</f>
        <v>-</v>
      </c>
      <c r="AZ1004" s="97" t="str">
        <f>IFERROR(__xludf.DUMMYFUNCTION("""COMPUTED_VALUE"""),"Switch p/cambio de color. Aplica KIT SUSPENSIÓN 4 TENSORES BL 6829 o NG 6830.")</f>
        <v>Switch p/cambio de color. Aplica KIT SUSPENSIÓN 4 TENSORES BL 6829 o NG 6830.</v>
      </c>
      <c r="BA1004" s="97">
        <f>IFERROR(__xludf.DUMMYFUNCTION("""COMPUTED_VALUE"""),1.0)</f>
        <v>1</v>
      </c>
      <c r="BB1004" s="97" t="str">
        <f>IFERROR(__xludf.DUMMYFUNCTION("""COMPUTED_VALUE"""),"-")</f>
        <v>-</v>
      </c>
      <c r="BC1004" s="97" t="str">
        <f>IFERROR(__xludf.DUMMYFUNCTION("""COMPUTED_VALUE"""),"-")</f>
        <v>-</v>
      </c>
      <c r="BD1004" s="97" t="str">
        <f>IFERROR(__xludf.DUMMYFUNCTION("""COMPUTED_VALUE"""),"NICHI")</f>
        <v>NICHI</v>
      </c>
      <c r="BE1004" s="97" t="str">
        <f>IFERROR(__xludf.DUMMYFUNCTION("""COMPUTED_VALUE"""),"Finalizada")</f>
        <v>Finalizada</v>
      </c>
      <c r="BF1004" s="97"/>
      <c r="BG1004" s="97" t="str">
        <f>IFERROR(__xludf.DUMMYFUNCTION("""COMPUTED_VALUE"""),"Activo")</f>
        <v>Activo</v>
      </c>
    </row>
    <row r="1005">
      <c r="A1005" s="97">
        <f>IFERROR(__xludf.DUMMYFUNCTION("""COMPUTED_VALUE"""),6791.0)</f>
        <v>6791</v>
      </c>
      <c r="B1005" s="97" t="str">
        <f>IFERROR(__xludf.DUMMYFUNCTION("""COMPUTED_VALUE"""),"NICHI NG")</f>
        <v>NICHI NG</v>
      </c>
      <c r="C1005" s="97" t="str">
        <f>IFERROR(__xludf.DUMMYFUNCTION("""COMPUTED_VALUE"""),"APLIQUE NICHI NG 28W 3000/4000/6000K 1600LM CRI&gt;95 IP20 LEUK")</f>
        <v>APLIQUE NICHI NG 28W 3000/4000/6000K 1600LM CRI&gt;95 IP20 LEUK</v>
      </c>
      <c r="D1005" s="97">
        <f>IFERROR(__xludf.DUMMYFUNCTION("""COMPUTED_VALUE"""),7.79841322292E12)</f>
        <v>7798413222920</v>
      </c>
      <c r="E1005" s="97" t="str">
        <f>IFERROR(__xludf.DUMMYFUNCTION("""COMPUTED_VALUE"""),"F129")</f>
        <v>F129</v>
      </c>
      <c r="F1005" s="97" t="str">
        <f>IFERROR(__xludf.DUMMYFUNCTION("""COMPUTED_VALUE"""),"LED integrado")</f>
        <v>LED integrado</v>
      </c>
      <c r="G1005" s="97" t="str">
        <f>IFERROR(__xludf.DUMMYFUNCTION("""COMPUTED_VALUE"""),"-")</f>
        <v>-</v>
      </c>
      <c r="H1005" s="97" t="str">
        <f>IFERROR(__xludf.DUMMYFUNCTION("""COMPUTED_VALUE"""),"-")</f>
        <v>-</v>
      </c>
      <c r="I1005" s="97"/>
      <c r="J1005" s="97"/>
      <c r="K1005" s="97" t="str">
        <f>IFERROR(__xludf.DUMMYFUNCTION("""COMPUTED_VALUE"""),"ON/OFF")</f>
        <v>ON/OFF</v>
      </c>
      <c r="L1005" s="97" t="str">
        <f>IFERROR(__xludf.DUMMYFUNCTION("""COMPUTED_VALUE"""),"200-240")</f>
        <v>200-240</v>
      </c>
      <c r="M1005" s="97" t="str">
        <f>IFERROR(__xludf.DUMMYFUNCTION("""COMPUTED_VALUE"""),"50/60")</f>
        <v>50/60</v>
      </c>
      <c r="N1005" s="97" t="str">
        <f>IFERROR(__xludf.DUMMYFUNCTION("""COMPUTED_VALUE"""),"Directa-Simétrica")</f>
        <v>Directa-Simétrica</v>
      </c>
      <c r="O1005" s="97">
        <f>IFERROR(__xludf.DUMMYFUNCTION("""COMPUTED_VALUE"""),28.0)</f>
        <v>28</v>
      </c>
      <c r="P1005" s="97"/>
      <c r="Q1005" s="97">
        <f>IFERROR(__xludf.DUMMYFUNCTION("""COMPUTED_VALUE"""),0.64)</f>
        <v>0.64</v>
      </c>
      <c r="R1005" s="97" t="str">
        <f>IFERROR(__xludf.DUMMYFUNCTION("""COMPUTED_VALUE"""),"-")</f>
        <v>-</v>
      </c>
      <c r="S1005" s="97" t="str">
        <f>IFERROR(__xludf.DUMMYFUNCTION("""COMPUTED_VALUE"""),"-")</f>
        <v>-</v>
      </c>
      <c r="T1005" s="97">
        <f>IFERROR(__xludf.DUMMYFUNCTION("""COMPUTED_VALUE"""),1600.0)</f>
        <v>1600</v>
      </c>
      <c r="U1005" s="99">
        <f>IFERROR(__xludf.DUMMYFUNCTION("""COMPUTED_VALUE"""),57.142857142857146)</f>
        <v>57.14285714</v>
      </c>
      <c r="V1005" s="97">
        <f>IFERROR(__xludf.DUMMYFUNCTION("""COMPUTED_VALUE"""),100.0)</f>
        <v>100</v>
      </c>
      <c r="W1005" s="97" t="str">
        <f>IFERROR(__xludf.DUMMYFUNCTION("""COMPUTED_VALUE"""),"&lt; 20")</f>
        <v>&lt; 20</v>
      </c>
      <c r="X1005" s="97" t="str">
        <f>IFERROR(__xludf.DUMMYFUNCTION("""COMPUTED_VALUE"""),"3000/4000/6000")</f>
        <v>3000/4000/6000</v>
      </c>
      <c r="Y1005" s="97" t="str">
        <f>IFERROR(__xludf.DUMMYFUNCTION("""COMPUTED_VALUE"""),"&gt;95")</f>
        <v>&gt;95</v>
      </c>
      <c r="Z1005" s="97"/>
      <c r="AA1005" s="97"/>
      <c r="AB1005" s="97"/>
      <c r="AC1005" s="97"/>
      <c r="AD1005" s="97" t="str">
        <f>IFERROR(__xludf.DUMMYFUNCTION("""COMPUTED_VALUE"""),"IP20")</f>
        <v>IP20</v>
      </c>
      <c r="AE1005" s="97" t="str">
        <f>IFERROR(__xludf.DUMMYFUNCTION("""COMPUTED_VALUE"""),"Clase l")</f>
        <v>Clase l</v>
      </c>
      <c r="AF1005" s="97" t="str">
        <f>IFERROR(__xludf.DUMMYFUNCTION("""COMPUTED_VALUE"""),"Aplicar, Suspender")</f>
        <v>Aplicar, Suspender</v>
      </c>
      <c r="AG1005" s="97" t="str">
        <f>IFERROR(__xludf.DUMMYFUNCTION("""COMPUTED_VALUE"""),"Ø450 x 160")</f>
        <v>Ø450 x 160</v>
      </c>
      <c r="AH1005" s="97" t="str">
        <f>IFERROR(__xludf.DUMMYFUNCTION("""COMPUTED_VALUE"""),"N/A")</f>
        <v>N/A</v>
      </c>
      <c r="AI1005" s="97" t="str">
        <f>IFERROR(__xludf.DUMMYFUNCTION("""COMPUTED_VALUE"""),"N/A")</f>
        <v>N/A</v>
      </c>
      <c r="AJ1005" s="97" t="str">
        <f>IFERROR(__xludf.DUMMYFUNCTION("""COMPUTED_VALUE"""),"PMMA")</f>
        <v>PMMA</v>
      </c>
      <c r="AK1005" s="97" t="str">
        <f>IFERROR(__xludf.DUMMYFUNCTION("""COMPUTED_VALUE"""),"Acero")</f>
        <v>Acero</v>
      </c>
      <c r="AL1005" s="97" t="str">
        <f>IFERROR(__xludf.DUMMYFUNCTION("""COMPUTED_VALUE"""),"Negro Satinado")</f>
        <v>Negro Satinado</v>
      </c>
      <c r="AM1005" s="97" t="str">
        <f>IFERROR(__xludf.DUMMYFUNCTION("""COMPUTED_VALUE"""),"-")</f>
        <v>-</v>
      </c>
      <c r="AN1005" s="97" t="str">
        <f>IFERROR(__xludf.DUMMYFUNCTION("""COMPUTED_VALUE"""),"25.000hs (L70)")</f>
        <v>25.000hs (L70)</v>
      </c>
      <c r="AO1005" s="97" t="str">
        <f>IFERROR(__xludf.DUMMYFUNCTION("""COMPUTED_VALUE"""),"2 Años")</f>
        <v>2 Años</v>
      </c>
      <c r="AP1005" s="97" t="str">
        <f>IFERROR(__xludf.DUMMYFUNCTION("""COMPUTED_VALUE"""),"Disponible")</f>
        <v>Disponible</v>
      </c>
      <c r="AQ1005" s="97" t="str">
        <f>IFERROR(__xludf.DUMMYFUNCTION("""COMPUTED_VALUE"""),"Disponible")</f>
        <v>Disponible</v>
      </c>
      <c r="AR1005" s="97" t="str">
        <f>IFERROR(__xludf.DUMMYFUNCTION("""COMPUTED_VALUE"""),"Disponible")</f>
        <v>Disponible</v>
      </c>
      <c r="AS1005" s="97"/>
      <c r="AT1005" s="97"/>
      <c r="AU1005" s="97" t="str">
        <f>IFERROR(__xludf.DUMMYFUNCTION("""COMPUTED_VALUE"""),"Falta")</f>
        <v>Falta</v>
      </c>
      <c r="AV1005" s="97" t="str">
        <f>IFERROR(__xludf.DUMMYFUNCTION("""COMPUTED_VALUE"""),"Aplique")</f>
        <v>Aplique</v>
      </c>
      <c r="AW1005" s="97" t="str">
        <f>IFERROR(__xludf.DUMMYFUNCTION("""COMPUTED_VALUE"""),"De Techo")</f>
        <v>De Techo</v>
      </c>
      <c r="AX1005" s="97" t="str">
        <f>IFERROR(__xludf.DUMMYFUNCTION("""COMPUTED_VALUE"""),"Interior")</f>
        <v>Interior</v>
      </c>
      <c r="AY1005" s="97" t="str">
        <f>IFERROR(__xludf.DUMMYFUNCTION("""COMPUTED_VALUE"""),"-")</f>
        <v>-</v>
      </c>
      <c r="AZ1005" s="97" t="str">
        <f>IFERROR(__xludf.DUMMYFUNCTION("""COMPUTED_VALUE"""),"Switch p/cambio de color. Aplica KIT SUSPENSIÓN 4 TENSORES BL 6829 o NG 6830.")</f>
        <v>Switch p/cambio de color. Aplica KIT SUSPENSIÓN 4 TENSORES BL 6829 o NG 6830.</v>
      </c>
      <c r="BA1005" s="97">
        <f>IFERROR(__xludf.DUMMYFUNCTION("""COMPUTED_VALUE"""),1.0)</f>
        <v>1</v>
      </c>
      <c r="BB1005" s="97" t="str">
        <f>IFERROR(__xludf.DUMMYFUNCTION("""COMPUTED_VALUE"""),"-")</f>
        <v>-</v>
      </c>
      <c r="BC1005" s="97" t="str">
        <f>IFERROR(__xludf.DUMMYFUNCTION("""COMPUTED_VALUE"""),"-")</f>
        <v>-</v>
      </c>
      <c r="BD1005" s="97" t="str">
        <f>IFERROR(__xludf.DUMMYFUNCTION("""COMPUTED_VALUE"""),"NICHI")</f>
        <v>NICHI</v>
      </c>
      <c r="BE1005" s="97" t="str">
        <f>IFERROR(__xludf.DUMMYFUNCTION("""COMPUTED_VALUE"""),"Finalizada")</f>
        <v>Finalizada</v>
      </c>
      <c r="BF1005" s="97"/>
      <c r="BG1005" s="97" t="str">
        <f>IFERROR(__xludf.DUMMYFUNCTION("""COMPUTED_VALUE"""),"Activo")</f>
        <v>Activo</v>
      </c>
    </row>
    <row r="1006">
      <c r="A1006" s="97">
        <f>IFERROR(__xludf.DUMMYFUNCTION("""COMPUTED_VALUE"""),6792.0)</f>
        <v>6792</v>
      </c>
      <c r="B1006" s="97" t="str">
        <f>IFERROR(__xludf.DUMMYFUNCTION("""COMPUTED_VALUE"""),"PIETRO S BL")</f>
        <v>PIETRO S BL</v>
      </c>
      <c r="C1006" s="97" t="str">
        <f>IFERROR(__xludf.DUMMYFUNCTION("""COMPUTED_VALUE"""),"COLGANTE PIETRO S BL 22W 3000/4000/6000K 1550LM CRI&gt;95 IP20 LEUK")</f>
        <v>COLGANTE PIETRO S BL 22W 3000/4000/6000K 1550LM CRI&gt;95 IP20 LEUK</v>
      </c>
      <c r="D1006" s="97">
        <f>IFERROR(__xludf.DUMMYFUNCTION("""COMPUTED_VALUE"""),7.798413222937E12)</f>
        <v>7798413222937</v>
      </c>
      <c r="E1006" s="97" t="str">
        <f>IFERROR(__xludf.DUMMYFUNCTION("""COMPUTED_VALUE"""),"A129")</f>
        <v>A129</v>
      </c>
      <c r="F1006" s="97" t="str">
        <f>IFERROR(__xludf.DUMMYFUNCTION("""COMPUTED_VALUE"""),"LED integrado")</f>
        <v>LED integrado</v>
      </c>
      <c r="G1006" s="97" t="str">
        <f>IFERROR(__xludf.DUMMYFUNCTION("""COMPUTED_VALUE"""),"-")</f>
        <v>-</v>
      </c>
      <c r="H1006" s="97" t="str">
        <f>IFERROR(__xludf.DUMMYFUNCTION("""COMPUTED_VALUE"""),"-")</f>
        <v>-</v>
      </c>
      <c r="I1006" s="97"/>
      <c r="J1006" s="97" t="str">
        <f>IFERROR(__xludf.DUMMYFUNCTION("""COMPUTED_VALUE"""),"Modelo: CX-25-40Wx1
In: 175-265Vac 50/60Hz
Out: 75-140V 200mA")</f>
        <v>Modelo: CX-25-40Wx1
In: 175-265Vac 50/60Hz
Out: 75-140V 200mA</v>
      </c>
      <c r="K1006" s="97" t="str">
        <f>IFERROR(__xludf.DUMMYFUNCTION("""COMPUTED_VALUE"""),"ON/OFF")</f>
        <v>ON/OFF</v>
      </c>
      <c r="L1006" s="97" t="str">
        <f>IFERROR(__xludf.DUMMYFUNCTION("""COMPUTED_VALUE"""),"220-240")</f>
        <v>220-240</v>
      </c>
      <c r="M1006" s="97" t="str">
        <f>IFERROR(__xludf.DUMMYFUNCTION("""COMPUTED_VALUE"""),"50/60")</f>
        <v>50/60</v>
      </c>
      <c r="N1006" s="97" t="str">
        <f>IFERROR(__xludf.DUMMYFUNCTION("""COMPUTED_VALUE"""),"Directa-Simétrica")</f>
        <v>Directa-Simétrica</v>
      </c>
      <c r="O1006" s="97">
        <f>IFERROR(__xludf.DUMMYFUNCTION("""COMPUTED_VALUE"""),22.0)</f>
        <v>22</v>
      </c>
      <c r="P1006" s="97"/>
      <c r="Q1006" s="97">
        <f>IFERROR(__xludf.DUMMYFUNCTION("""COMPUTED_VALUE"""),0.52)</f>
        <v>0.52</v>
      </c>
      <c r="R1006" s="97" t="str">
        <f>IFERROR(__xludf.DUMMYFUNCTION("""COMPUTED_VALUE"""),"-")</f>
        <v>-</v>
      </c>
      <c r="S1006" s="97" t="str">
        <f>IFERROR(__xludf.DUMMYFUNCTION("""COMPUTED_VALUE"""),"-")</f>
        <v>-</v>
      </c>
      <c r="T1006" s="97">
        <f>IFERROR(__xludf.DUMMYFUNCTION("""COMPUTED_VALUE"""),1550.0)</f>
        <v>1550</v>
      </c>
      <c r="U1006" s="99">
        <f>IFERROR(__xludf.DUMMYFUNCTION("""COMPUTED_VALUE"""),70.45454545454545)</f>
        <v>70.45454545</v>
      </c>
      <c r="V1006" s="97">
        <f>IFERROR(__xludf.DUMMYFUNCTION("""COMPUTED_VALUE"""),120.0)</f>
        <v>120</v>
      </c>
      <c r="W1006" s="97" t="str">
        <f>IFERROR(__xludf.DUMMYFUNCTION("""COMPUTED_VALUE"""),"&lt; 20")</f>
        <v>&lt; 20</v>
      </c>
      <c r="X1006" s="97" t="str">
        <f>IFERROR(__xludf.DUMMYFUNCTION("""COMPUTED_VALUE"""),"3000/4000/6000")</f>
        <v>3000/4000/6000</v>
      </c>
      <c r="Y1006" s="97" t="str">
        <f>IFERROR(__xludf.DUMMYFUNCTION("""COMPUTED_VALUE"""),"&gt;95")</f>
        <v>&gt;95</v>
      </c>
      <c r="Z1006" s="97"/>
      <c r="AA1006" s="97"/>
      <c r="AB1006" s="97"/>
      <c r="AC1006" s="97"/>
      <c r="AD1006" s="97" t="str">
        <f>IFERROR(__xludf.DUMMYFUNCTION("""COMPUTED_VALUE"""),"IP20")</f>
        <v>IP20</v>
      </c>
      <c r="AE1006" s="97" t="str">
        <f>IFERROR(__xludf.DUMMYFUNCTION("""COMPUTED_VALUE"""),"Clase l")</f>
        <v>Clase l</v>
      </c>
      <c r="AF1006" s="97" t="str">
        <f>IFERROR(__xludf.DUMMYFUNCTION("""COMPUTED_VALUE"""),"Suspender")</f>
        <v>Suspender</v>
      </c>
      <c r="AG1006" s="97" t="str">
        <f>IFERROR(__xludf.DUMMYFUNCTION("""COMPUTED_VALUE"""),"Ø500 x 90")</f>
        <v>Ø500 x 90</v>
      </c>
      <c r="AH1006" s="97" t="str">
        <f>IFERROR(__xludf.DUMMYFUNCTION("""COMPUTED_VALUE"""),"N/A")</f>
        <v>N/A</v>
      </c>
      <c r="AI1006" s="97" t="str">
        <f>IFERROR(__xludf.DUMMYFUNCTION("""COMPUTED_VALUE"""),"N/A")</f>
        <v>N/A</v>
      </c>
      <c r="AJ1006" s="97" t="str">
        <f>IFERROR(__xludf.DUMMYFUNCTION("""COMPUTED_VALUE"""),"PVC")</f>
        <v>PVC</v>
      </c>
      <c r="AK1006" s="97" t="str">
        <f>IFERROR(__xludf.DUMMYFUNCTION("""COMPUTED_VALUE"""),"Acero")</f>
        <v>Acero</v>
      </c>
      <c r="AL1006" s="97" t="str">
        <f>IFERROR(__xludf.DUMMYFUNCTION("""COMPUTED_VALUE"""),"Blanco Satinado")</f>
        <v>Blanco Satinado</v>
      </c>
      <c r="AM1006" s="97" t="str">
        <f>IFERROR(__xludf.DUMMYFUNCTION("""COMPUTED_VALUE"""),"-")</f>
        <v>-</v>
      </c>
      <c r="AN1006" s="97" t="str">
        <f>IFERROR(__xludf.DUMMYFUNCTION("""COMPUTED_VALUE"""),"25.000hs (L70)")</f>
        <v>25.000hs (L70)</v>
      </c>
      <c r="AO1006" s="97" t="str">
        <f>IFERROR(__xludf.DUMMYFUNCTION("""COMPUTED_VALUE"""),"2 Años")</f>
        <v>2 Años</v>
      </c>
      <c r="AP1006" s="97" t="str">
        <f>IFERROR(__xludf.DUMMYFUNCTION("""COMPUTED_VALUE"""),"Disponible")</f>
        <v>Disponible</v>
      </c>
      <c r="AQ1006" s="97" t="str">
        <f>IFERROR(__xludf.DUMMYFUNCTION("""COMPUTED_VALUE"""),"Disponible")</f>
        <v>Disponible</v>
      </c>
      <c r="AR1006" s="97" t="str">
        <f>IFERROR(__xludf.DUMMYFUNCTION("""COMPUTED_VALUE"""),"Disponible")</f>
        <v>Disponible</v>
      </c>
      <c r="AS1006" s="97"/>
      <c r="AT1006" s="97"/>
      <c r="AU1006" s="97" t="str">
        <f>IFERROR(__xludf.DUMMYFUNCTION("""COMPUTED_VALUE"""),"Falta")</f>
        <v>Falta</v>
      </c>
      <c r="AV1006" s="97" t="str">
        <f>IFERROR(__xludf.DUMMYFUNCTION("""COMPUTED_VALUE"""),"Colgante")</f>
        <v>Colgante</v>
      </c>
      <c r="AW1006" s="97" t="str">
        <f>IFERROR(__xludf.DUMMYFUNCTION("""COMPUTED_VALUE"""),"De Techo")</f>
        <v>De Techo</v>
      </c>
      <c r="AX1006" s="97" t="str">
        <f>IFERROR(__xludf.DUMMYFUNCTION("""COMPUTED_VALUE"""),"Interior")</f>
        <v>Interior</v>
      </c>
      <c r="AY1006" s="97" t="str">
        <f>IFERROR(__xludf.DUMMYFUNCTION("""COMPUTED_VALUE"""),"-")</f>
        <v>-</v>
      </c>
      <c r="AZ1006" s="97" t="str">
        <f>IFERROR(__xludf.DUMMYFUNCTION("""COMPUTED_VALUE"""),"Florón Ø130 x 40mm. Altura colgado 95cm máx. Switch p/cambio de color.")</f>
        <v>Florón Ø130 x 40mm. Altura colgado 95cm máx. Switch p/cambio de color.</v>
      </c>
      <c r="BA1006" s="97">
        <f>IFERROR(__xludf.DUMMYFUNCTION("""COMPUTED_VALUE"""),1.0)</f>
        <v>1</v>
      </c>
      <c r="BB1006" s="97" t="str">
        <f>IFERROR(__xludf.DUMMYFUNCTION("""COMPUTED_VALUE"""),"-")</f>
        <v>-</v>
      </c>
      <c r="BC1006" s="97" t="str">
        <f>IFERROR(__xludf.DUMMYFUNCTION("""COMPUTED_VALUE"""),"-")</f>
        <v>-</v>
      </c>
      <c r="BD1006" s="97" t="str">
        <f>IFERROR(__xludf.DUMMYFUNCTION("""COMPUTED_VALUE"""),"PIETRO")</f>
        <v>PIETRO</v>
      </c>
      <c r="BE1006" s="97" t="str">
        <f>IFERROR(__xludf.DUMMYFUNCTION("""COMPUTED_VALUE"""),"Finalizada")</f>
        <v>Finalizada</v>
      </c>
      <c r="BF1006" s="97"/>
      <c r="BG1006" s="97" t="str">
        <f>IFERROR(__xludf.DUMMYFUNCTION("""COMPUTED_VALUE"""),"Activo")</f>
        <v>Activo</v>
      </c>
    </row>
    <row r="1007">
      <c r="A1007" s="97">
        <f>IFERROR(__xludf.DUMMYFUNCTION("""COMPUTED_VALUE"""),6793.0)</f>
        <v>6793</v>
      </c>
      <c r="B1007" s="97" t="str">
        <f>IFERROR(__xludf.DUMMYFUNCTION("""COMPUTED_VALUE"""),"PIETRO S NG")</f>
        <v>PIETRO S NG</v>
      </c>
      <c r="C1007" s="97" t="str">
        <f>IFERROR(__xludf.DUMMYFUNCTION("""COMPUTED_VALUE"""),"COLGANTE PIETRO S NG 22W 3000/4000/6000K 1550LM CRI&gt;95 IP20 LEUK")</f>
        <v>COLGANTE PIETRO S NG 22W 3000/4000/6000K 1550LM CRI&gt;95 IP20 LEUK</v>
      </c>
      <c r="D1007" s="97">
        <f>IFERROR(__xludf.DUMMYFUNCTION("""COMPUTED_VALUE"""),7.798413222944E12)</f>
        <v>7798413222944</v>
      </c>
      <c r="E1007" s="97" t="str">
        <f>IFERROR(__xludf.DUMMYFUNCTION("""COMPUTED_VALUE"""),"A129")</f>
        <v>A129</v>
      </c>
      <c r="F1007" s="97" t="str">
        <f>IFERROR(__xludf.DUMMYFUNCTION("""COMPUTED_VALUE"""),"LED integrado")</f>
        <v>LED integrado</v>
      </c>
      <c r="G1007" s="97" t="str">
        <f>IFERROR(__xludf.DUMMYFUNCTION("""COMPUTED_VALUE"""),"-")</f>
        <v>-</v>
      </c>
      <c r="H1007" s="97" t="str">
        <f>IFERROR(__xludf.DUMMYFUNCTION("""COMPUTED_VALUE"""),"-")</f>
        <v>-</v>
      </c>
      <c r="I1007" s="97"/>
      <c r="J1007" s="97" t="str">
        <f>IFERROR(__xludf.DUMMYFUNCTION("""COMPUTED_VALUE"""),"Modelo: CX-25-40Wx1
In: 175-265Vac 50/60Hz
Out: 75-140V 200mA")</f>
        <v>Modelo: CX-25-40Wx1
In: 175-265Vac 50/60Hz
Out: 75-140V 200mA</v>
      </c>
      <c r="K1007" s="97" t="str">
        <f>IFERROR(__xludf.DUMMYFUNCTION("""COMPUTED_VALUE"""),"ON/OFF")</f>
        <v>ON/OFF</v>
      </c>
      <c r="L1007" s="97" t="str">
        <f>IFERROR(__xludf.DUMMYFUNCTION("""COMPUTED_VALUE"""),"220-240")</f>
        <v>220-240</v>
      </c>
      <c r="M1007" s="97" t="str">
        <f>IFERROR(__xludf.DUMMYFUNCTION("""COMPUTED_VALUE"""),"50/60")</f>
        <v>50/60</v>
      </c>
      <c r="N1007" s="97" t="str">
        <f>IFERROR(__xludf.DUMMYFUNCTION("""COMPUTED_VALUE"""),"Directa-Simétrica")</f>
        <v>Directa-Simétrica</v>
      </c>
      <c r="O1007" s="97">
        <f>IFERROR(__xludf.DUMMYFUNCTION("""COMPUTED_VALUE"""),22.0)</f>
        <v>22</v>
      </c>
      <c r="P1007" s="97"/>
      <c r="Q1007" s="97">
        <f>IFERROR(__xludf.DUMMYFUNCTION("""COMPUTED_VALUE"""),0.52)</f>
        <v>0.52</v>
      </c>
      <c r="R1007" s="97" t="str">
        <f>IFERROR(__xludf.DUMMYFUNCTION("""COMPUTED_VALUE"""),"-")</f>
        <v>-</v>
      </c>
      <c r="S1007" s="97" t="str">
        <f>IFERROR(__xludf.DUMMYFUNCTION("""COMPUTED_VALUE"""),"-")</f>
        <v>-</v>
      </c>
      <c r="T1007" s="97">
        <f>IFERROR(__xludf.DUMMYFUNCTION("""COMPUTED_VALUE"""),1550.0)</f>
        <v>1550</v>
      </c>
      <c r="U1007" s="99">
        <f>IFERROR(__xludf.DUMMYFUNCTION("""COMPUTED_VALUE"""),70.45454545454545)</f>
        <v>70.45454545</v>
      </c>
      <c r="V1007" s="97">
        <f>IFERROR(__xludf.DUMMYFUNCTION("""COMPUTED_VALUE"""),120.0)</f>
        <v>120</v>
      </c>
      <c r="W1007" s="97" t="str">
        <f>IFERROR(__xludf.DUMMYFUNCTION("""COMPUTED_VALUE"""),"&lt; 20")</f>
        <v>&lt; 20</v>
      </c>
      <c r="X1007" s="97" t="str">
        <f>IFERROR(__xludf.DUMMYFUNCTION("""COMPUTED_VALUE"""),"3000/4000/6000")</f>
        <v>3000/4000/6000</v>
      </c>
      <c r="Y1007" s="97" t="str">
        <f>IFERROR(__xludf.DUMMYFUNCTION("""COMPUTED_VALUE"""),"&gt;95")</f>
        <v>&gt;95</v>
      </c>
      <c r="Z1007" s="97"/>
      <c r="AA1007" s="97"/>
      <c r="AB1007" s="97"/>
      <c r="AC1007" s="97"/>
      <c r="AD1007" s="97" t="str">
        <f>IFERROR(__xludf.DUMMYFUNCTION("""COMPUTED_VALUE"""),"IP20")</f>
        <v>IP20</v>
      </c>
      <c r="AE1007" s="97" t="str">
        <f>IFERROR(__xludf.DUMMYFUNCTION("""COMPUTED_VALUE"""),"Clase l")</f>
        <v>Clase l</v>
      </c>
      <c r="AF1007" s="97" t="str">
        <f>IFERROR(__xludf.DUMMYFUNCTION("""COMPUTED_VALUE"""),"Suspender")</f>
        <v>Suspender</v>
      </c>
      <c r="AG1007" s="97" t="str">
        <f>IFERROR(__xludf.DUMMYFUNCTION("""COMPUTED_VALUE"""),"Ø500 x 90")</f>
        <v>Ø500 x 90</v>
      </c>
      <c r="AH1007" s="97" t="str">
        <f>IFERROR(__xludf.DUMMYFUNCTION("""COMPUTED_VALUE"""),"N/A")</f>
        <v>N/A</v>
      </c>
      <c r="AI1007" s="97" t="str">
        <f>IFERROR(__xludf.DUMMYFUNCTION("""COMPUTED_VALUE"""),"N/A")</f>
        <v>N/A</v>
      </c>
      <c r="AJ1007" s="97" t="str">
        <f>IFERROR(__xludf.DUMMYFUNCTION("""COMPUTED_VALUE"""),"PVC")</f>
        <v>PVC</v>
      </c>
      <c r="AK1007" s="97" t="str">
        <f>IFERROR(__xludf.DUMMYFUNCTION("""COMPUTED_VALUE"""),"Acero")</f>
        <v>Acero</v>
      </c>
      <c r="AL1007" s="97" t="str">
        <f>IFERROR(__xludf.DUMMYFUNCTION("""COMPUTED_VALUE"""),"Negro Satinado")</f>
        <v>Negro Satinado</v>
      </c>
      <c r="AM1007" s="97" t="str">
        <f>IFERROR(__xludf.DUMMYFUNCTION("""COMPUTED_VALUE"""),"-")</f>
        <v>-</v>
      </c>
      <c r="AN1007" s="97" t="str">
        <f>IFERROR(__xludf.DUMMYFUNCTION("""COMPUTED_VALUE"""),"25.000hs (L70)")</f>
        <v>25.000hs (L70)</v>
      </c>
      <c r="AO1007" s="97" t="str">
        <f>IFERROR(__xludf.DUMMYFUNCTION("""COMPUTED_VALUE"""),"2 Años")</f>
        <v>2 Años</v>
      </c>
      <c r="AP1007" s="97" t="str">
        <f>IFERROR(__xludf.DUMMYFUNCTION("""COMPUTED_VALUE"""),"Disponible")</f>
        <v>Disponible</v>
      </c>
      <c r="AQ1007" s="97" t="str">
        <f>IFERROR(__xludf.DUMMYFUNCTION("""COMPUTED_VALUE"""),"Disponible")</f>
        <v>Disponible</v>
      </c>
      <c r="AR1007" s="97" t="str">
        <f>IFERROR(__xludf.DUMMYFUNCTION("""COMPUTED_VALUE"""),"Disponible")</f>
        <v>Disponible</v>
      </c>
      <c r="AS1007" s="97"/>
      <c r="AT1007" s="97"/>
      <c r="AU1007" s="97" t="str">
        <f>IFERROR(__xludf.DUMMYFUNCTION("""COMPUTED_VALUE"""),"Falta")</f>
        <v>Falta</v>
      </c>
      <c r="AV1007" s="97" t="str">
        <f>IFERROR(__xludf.DUMMYFUNCTION("""COMPUTED_VALUE"""),"Colgante")</f>
        <v>Colgante</v>
      </c>
      <c r="AW1007" s="97" t="str">
        <f>IFERROR(__xludf.DUMMYFUNCTION("""COMPUTED_VALUE"""),"De Techo")</f>
        <v>De Techo</v>
      </c>
      <c r="AX1007" s="97" t="str">
        <f>IFERROR(__xludf.DUMMYFUNCTION("""COMPUTED_VALUE"""),"Interior")</f>
        <v>Interior</v>
      </c>
      <c r="AY1007" s="97" t="str">
        <f>IFERROR(__xludf.DUMMYFUNCTION("""COMPUTED_VALUE"""),"-")</f>
        <v>-</v>
      </c>
      <c r="AZ1007" s="97" t="str">
        <f>IFERROR(__xludf.DUMMYFUNCTION("""COMPUTED_VALUE"""),"Florón Ø130 x 40mm. Altura colgado 95cm máx. Switch p/cambio de color.")</f>
        <v>Florón Ø130 x 40mm. Altura colgado 95cm máx. Switch p/cambio de color.</v>
      </c>
      <c r="BA1007" s="97">
        <f>IFERROR(__xludf.DUMMYFUNCTION("""COMPUTED_VALUE"""),1.0)</f>
        <v>1</v>
      </c>
      <c r="BB1007" s="97" t="str">
        <f>IFERROR(__xludf.DUMMYFUNCTION("""COMPUTED_VALUE"""),"-")</f>
        <v>-</v>
      </c>
      <c r="BC1007" s="97" t="str">
        <f>IFERROR(__xludf.DUMMYFUNCTION("""COMPUTED_VALUE"""),"-")</f>
        <v>-</v>
      </c>
      <c r="BD1007" s="97" t="str">
        <f>IFERROR(__xludf.DUMMYFUNCTION("""COMPUTED_VALUE"""),"PIETRO")</f>
        <v>PIETRO</v>
      </c>
      <c r="BE1007" s="97" t="str">
        <f>IFERROR(__xludf.DUMMYFUNCTION("""COMPUTED_VALUE"""),"Finalizada")</f>
        <v>Finalizada</v>
      </c>
      <c r="BF1007" s="97"/>
      <c r="BG1007" s="97" t="str">
        <f>IFERROR(__xludf.DUMMYFUNCTION("""COMPUTED_VALUE"""),"Activo")</f>
        <v>Activo</v>
      </c>
    </row>
    <row r="1008">
      <c r="A1008" s="97">
        <f>IFERROR(__xludf.DUMMYFUNCTION("""COMPUTED_VALUE"""),6794.0)</f>
        <v>6794</v>
      </c>
      <c r="B1008" s="97" t="str">
        <f>IFERROR(__xludf.DUMMYFUNCTION("""COMPUTED_VALUE"""),"CAMBOYA S BL 28W")</f>
        <v>CAMBOYA S BL 28W</v>
      </c>
      <c r="C1008" s="97" t="str">
        <f>IFERROR(__xludf.DUMMYFUNCTION("""COMPUTED_VALUE"""),"COLGANTE CAMBOYA S BL 28W 28W 3000/4000/6000K 980LM CRI&gt;95 IP20 LEUK")</f>
        <v>COLGANTE CAMBOYA S BL 28W 28W 3000/4000/6000K 980LM CRI&gt;95 IP20 LEUK</v>
      </c>
      <c r="D1008" s="97">
        <f>IFERROR(__xludf.DUMMYFUNCTION("""COMPUTED_VALUE"""),7.798413222951E12)</f>
        <v>7798413222951</v>
      </c>
      <c r="E1008" s="97" t="str">
        <f>IFERROR(__xludf.DUMMYFUNCTION("""COMPUTED_VALUE"""),"A123")</f>
        <v>A123</v>
      </c>
      <c r="F1008" s="97" t="str">
        <f>IFERROR(__xludf.DUMMYFUNCTION("""COMPUTED_VALUE"""),"LED integrado")</f>
        <v>LED integrado</v>
      </c>
      <c r="G1008" s="97" t="str">
        <f>IFERROR(__xludf.DUMMYFUNCTION("""COMPUTED_VALUE"""),"-")</f>
        <v>-</v>
      </c>
      <c r="H1008" s="97" t="str">
        <f>IFERROR(__xludf.DUMMYFUNCTION("""COMPUTED_VALUE"""),"-")</f>
        <v>-</v>
      </c>
      <c r="I1008" s="97"/>
      <c r="J1008" s="97"/>
      <c r="K1008" s="97" t="str">
        <f>IFERROR(__xludf.DUMMYFUNCTION("""COMPUTED_VALUE"""),"ON/OFF")</f>
        <v>ON/OFF</v>
      </c>
      <c r="L1008" s="97" t="str">
        <f>IFERROR(__xludf.DUMMYFUNCTION("""COMPUTED_VALUE"""),"220-240")</f>
        <v>220-240</v>
      </c>
      <c r="M1008" s="97" t="str">
        <f>IFERROR(__xludf.DUMMYFUNCTION("""COMPUTED_VALUE"""),"50/60")</f>
        <v>50/60</v>
      </c>
      <c r="N1008" s="97" t="str">
        <f>IFERROR(__xludf.DUMMYFUNCTION("""COMPUTED_VALUE"""),"Directa-Simétrica")</f>
        <v>Directa-Simétrica</v>
      </c>
      <c r="O1008" s="97">
        <f>IFERROR(__xludf.DUMMYFUNCTION("""COMPUTED_VALUE"""),28.0)</f>
        <v>28</v>
      </c>
      <c r="P1008" s="97"/>
      <c r="Q1008" s="97">
        <f>IFERROR(__xludf.DUMMYFUNCTION("""COMPUTED_VALUE"""),0.55)</f>
        <v>0.55</v>
      </c>
      <c r="R1008" s="97" t="str">
        <f>IFERROR(__xludf.DUMMYFUNCTION("""COMPUTED_VALUE"""),"-")</f>
        <v>-</v>
      </c>
      <c r="S1008" s="97" t="str">
        <f>IFERROR(__xludf.DUMMYFUNCTION("""COMPUTED_VALUE"""),"-")</f>
        <v>-</v>
      </c>
      <c r="T1008" s="97">
        <f>IFERROR(__xludf.DUMMYFUNCTION("""COMPUTED_VALUE"""),980.0)</f>
        <v>980</v>
      </c>
      <c r="U1008" s="99">
        <f>IFERROR(__xludf.DUMMYFUNCTION("""COMPUTED_VALUE"""),35.0)</f>
        <v>35</v>
      </c>
      <c r="V1008" s="97">
        <f>IFERROR(__xludf.DUMMYFUNCTION("""COMPUTED_VALUE"""),135.0)</f>
        <v>135</v>
      </c>
      <c r="W1008" s="97" t="str">
        <f>IFERROR(__xludf.DUMMYFUNCTION("""COMPUTED_VALUE"""),"&lt; 20")</f>
        <v>&lt; 20</v>
      </c>
      <c r="X1008" s="97" t="str">
        <f>IFERROR(__xludf.DUMMYFUNCTION("""COMPUTED_VALUE"""),"3000/4000/6000")</f>
        <v>3000/4000/6000</v>
      </c>
      <c r="Y1008" s="97" t="str">
        <f>IFERROR(__xludf.DUMMYFUNCTION("""COMPUTED_VALUE"""),"&gt;95")</f>
        <v>&gt;95</v>
      </c>
      <c r="Z1008" s="97"/>
      <c r="AA1008" s="97"/>
      <c r="AB1008" s="97"/>
      <c r="AC1008" s="97"/>
      <c r="AD1008" s="97" t="str">
        <f>IFERROR(__xludf.DUMMYFUNCTION("""COMPUTED_VALUE"""),"IP20")</f>
        <v>IP20</v>
      </c>
      <c r="AE1008" s="97" t="str">
        <f>IFERROR(__xludf.DUMMYFUNCTION("""COMPUTED_VALUE"""),"Clase l")</f>
        <v>Clase l</v>
      </c>
      <c r="AF1008" s="97" t="str">
        <f>IFERROR(__xludf.DUMMYFUNCTION("""COMPUTED_VALUE"""),"Suspender")</f>
        <v>Suspender</v>
      </c>
      <c r="AG1008" s="97" t="str">
        <f>IFERROR(__xludf.DUMMYFUNCTION("""COMPUTED_VALUE"""),"Ø460 x 110")</f>
        <v>Ø460 x 110</v>
      </c>
      <c r="AH1008" s="97" t="str">
        <f>IFERROR(__xludf.DUMMYFUNCTION("""COMPUTED_VALUE"""),"N/A")</f>
        <v>N/A</v>
      </c>
      <c r="AI1008" s="97" t="str">
        <f>IFERROR(__xludf.DUMMYFUNCTION("""COMPUTED_VALUE"""),"N/A")</f>
        <v>N/A</v>
      </c>
      <c r="AJ1008" s="97" t="str">
        <f>IFERROR(__xludf.DUMMYFUNCTION("""COMPUTED_VALUE"""),"PVC")</f>
        <v>PVC</v>
      </c>
      <c r="AK1008" s="97" t="str">
        <f>IFERROR(__xludf.DUMMYFUNCTION("""COMPUTED_VALUE"""),"Acero")</f>
        <v>Acero</v>
      </c>
      <c r="AL1008" s="97" t="str">
        <f>IFERROR(__xludf.DUMMYFUNCTION("""COMPUTED_VALUE"""),"Blanco Satinado")</f>
        <v>Blanco Satinado</v>
      </c>
      <c r="AM1008" s="97" t="str">
        <f>IFERROR(__xludf.DUMMYFUNCTION("""COMPUTED_VALUE"""),"-")</f>
        <v>-</v>
      </c>
      <c r="AN1008" s="97" t="str">
        <f>IFERROR(__xludf.DUMMYFUNCTION("""COMPUTED_VALUE"""),"25.000hs (L70)")</f>
        <v>25.000hs (L70)</v>
      </c>
      <c r="AO1008" s="97" t="str">
        <f>IFERROR(__xludf.DUMMYFUNCTION("""COMPUTED_VALUE"""),"2 Años")</f>
        <v>2 Años</v>
      </c>
      <c r="AP1008" s="97" t="str">
        <f>IFERROR(__xludf.DUMMYFUNCTION("""COMPUTED_VALUE"""),"Disponible")</f>
        <v>Disponible</v>
      </c>
      <c r="AQ1008" s="97" t="str">
        <f>IFERROR(__xludf.DUMMYFUNCTION("""COMPUTED_VALUE"""),"Disponible")</f>
        <v>Disponible</v>
      </c>
      <c r="AR1008" s="97" t="str">
        <f>IFERROR(__xludf.DUMMYFUNCTION("""COMPUTED_VALUE"""),"Disponible")</f>
        <v>Disponible</v>
      </c>
      <c r="AS1008" s="97"/>
      <c r="AT1008" s="97"/>
      <c r="AU1008" s="97" t="str">
        <f>IFERROR(__xludf.DUMMYFUNCTION("""COMPUTED_VALUE"""),"Falta")</f>
        <v>Falta</v>
      </c>
      <c r="AV1008" s="97" t="str">
        <f>IFERROR(__xludf.DUMMYFUNCTION("""COMPUTED_VALUE"""),"Colgante")</f>
        <v>Colgante</v>
      </c>
      <c r="AW1008" s="97" t="str">
        <f>IFERROR(__xludf.DUMMYFUNCTION("""COMPUTED_VALUE"""),"De Techo")</f>
        <v>De Techo</v>
      </c>
      <c r="AX1008" s="97" t="str">
        <f>IFERROR(__xludf.DUMMYFUNCTION("""COMPUTED_VALUE"""),"Interior")</f>
        <v>Interior</v>
      </c>
      <c r="AY1008" s="97" t="str">
        <f>IFERROR(__xludf.DUMMYFUNCTION("""COMPUTED_VALUE"""),"-")</f>
        <v>-</v>
      </c>
      <c r="AZ1008" s="97" t="str">
        <f>IFERROR(__xludf.DUMMYFUNCTION("""COMPUTED_VALUE"""),"Florón Ø130 x 40mm. Altura colgado 95cm máx. Switch p/cambio de color.")</f>
        <v>Florón Ø130 x 40mm. Altura colgado 95cm máx. Switch p/cambio de color.</v>
      </c>
      <c r="BA1008" s="97">
        <f>IFERROR(__xludf.DUMMYFUNCTION("""COMPUTED_VALUE"""),1.0)</f>
        <v>1</v>
      </c>
      <c r="BB1008" s="97" t="str">
        <f>IFERROR(__xludf.DUMMYFUNCTION("""COMPUTED_VALUE"""),"-")</f>
        <v>-</v>
      </c>
      <c r="BC1008" s="97" t="str">
        <f>IFERROR(__xludf.DUMMYFUNCTION("""COMPUTED_VALUE"""),"-")</f>
        <v>-</v>
      </c>
      <c r="BD1008" s="97" t="str">
        <f>IFERROR(__xludf.DUMMYFUNCTION("""COMPUTED_VALUE"""),"CAMBOYA")</f>
        <v>CAMBOYA</v>
      </c>
      <c r="BE1008" s="97" t="str">
        <f>IFERROR(__xludf.DUMMYFUNCTION("""COMPUTED_VALUE"""),"Finalizada")</f>
        <v>Finalizada</v>
      </c>
      <c r="BF1008" s="97"/>
      <c r="BG1008" s="97" t="str">
        <f>IFERROR(__xludf.DUMMYFUNCTION("""COMPUTED_VALUE"""),"Activo")</f>
        <v>Activo</v>
      </c>
    </row>
    <row r="1009">
      <c r="A1009" s="97">
        <f>IFERROR(__xludf.DUMMYFUNCTION("""COMPUTED_VALUE"""),6795.0)</f>
        <v>6795</v>
      </c>
      <c r="B1009" s="97" t="str">
        <f>IFERROR(__xludf.DUMMYFUNCTION("""COMPUTED_VALUE"""),"CAMBOYA S NG 28W")</f>
        <v>CAMBOYA S NG 28W</v>
      </c>
      <c r="C1009" s="97" t="str">
        <f>IFERROR(__xludf.DUMMYFUNCTION("""COMPUTED_VALUE"""),"COLGANTE CAMBOYA S NG 28W 28W 3000/4000/6000K 980LM CRI&gt;95 IP20 LEUK")</f>
        <v>COLGANTE CAMBOYA S NG 28W 28W 3000/4000/6000K 980LM CRI&gt;95 IP20 LEUK</v>
      </c>
      <c r="D1009" s="97">
        <f>IFERROR(__xludf.DUMMYFUNCTION("""COMPUTED_VALUE"""),7.798413222968E12)</f>
        <v>7798413222968</v>
      </c>
      <c r="E1009" s="97" t="str">
        <f>IFERROR(__xludf.DUMMYFUNCTION("""COMPUTED_VALUE"""),"A123")</f>
        <v>A123</v>
      </c>
      <c r="F1009" s="97" t="str">
        <f>IFERROR(__xludf.DUMMYFUNCTION("""COMPUTED_VALUE"""),"LED integrado")</f>
        <v>LED integrado</v>
      </c>
      <c r="G1009" s="97" t="str">
        <f>IFERROR(__xludf.DUMMYFUNCTION("""COMPUTED_VALUE"""),"-")</f>
        <v>-</v>
      </c>
      <c r="H1009" s="97" t="str">
        <f>IFERROR(__xludf.DUMMYFUNCTION("""COMPUTED_VALUE"""),"-")</f>
        <v>-</v>
      </c>
      <c r="I1009" s="97"/>
      <c r="J1009" s="97"/>
      <c r="K1009" s="97" t="str">
        <f>IFERROR(__xludf.DUMMYFUNCTION("""COMPUTED_VALUE"""),"ON/OFF")</f>
        <v>ON/OFF</v>
      </c>
      <c r="L1009" s="97" t="str">
        <f>IFERROR(__xludf.DUMMYFUNCTION("""COMPUTED_VALUE"""),"220-240")</f>
        <v>220-240</v>
      </c>
      <c r="M1009" s="97" t="str">
        <f>IFERROR(__xludf.DUMMYFUNCTION("""COMPUTED_VALUE"""),"50/60")</f>
        <v>50/60</v>
      </c>
      <c r="N1009" s="97" t="str">
        <f>IFERROR(__xludf.DUMMYFUNCTION("""COMPUTED_VALUE"""),"Directa-Simétrica")</f>
        <v>Directa-Simétrica</v>
      </c>
      <c r="O1009" s="97">
        <f>IFERROR(__xludf.DUMMYFUNCTION("""COMPUTED_VALUE"""),28.0)</f>
        <v>28</v>
      </c>
      <c r="P1009" s="97"/>
      <c r="Q1009" s="97">
        <f>IFERROR(__xludf.DUMMYFUNCTION("""COMPUTED_VALUE"""),0.55)</f>
        <v>0.55</v>
      </c>
      <c r="R1009" s="97" t="str">
        <f>IFERROR(__xludf.DUMMYFUNCTION("""COMPUTED_VALUE"""),"-")</f>
        <v>-</v>
      </c>
      <c r="S1009" s="97" t="str">
        <f>IFERROR(__xludf.DUMMYFUNCTION("""COMPUTED_VALUE"""),"-")</f>
        <v>-</v>
      </c>
      <c r="T1009" s="97">
        <f>IFERROR(__xludf.DUMMYFUNCTION("""COMPUTED_VALUE"""),980.0)</f>
        <v>980</v>
      </c>
      <c r="U1009" s="99">
        <f>IFERROR(__xludf.DUMMYFUNCTION("""COMPUTED_VALUE"""),35.0)</f>
        <v>35</v>
      </c>
      <c r="V1009" s="97">
        <f>IFERROR(__xludf.DUMMYFUNCTION("""COMPUTED_VALUE"""),135.0)</f>
        <v>135</v>
      </c>
      <c r="W1009" s="97" t="str">
        <f>IFERROR(__xludf.DUMMYFUNCTION("""COMPUTED_VALUE"""),"&lt; 20")</f>
        <v>&lt; 20</v>
      </c>
      <c r="X1009" s="97" t="str">
        <f>IFERROR(__xludf.DUMMYFUNCTION("""COMPUTED_VALUE"""),"3000/4000/6000")</f>
        <v>3000/4000/6000</v>
      </c>
      <c r="Y1009" s="97" t="str">
        <f>IFERROR(__xludf.DUMMYFUNCTION("""COMPUTED_VALUE"""),"&gt;95")</f>
        <v>&gt;95</v>
      </c>
      <c r="Z1009" s="97"/>
      <c r="AA1009" s="97"/>
      <c r="AB1009" s="97"/>
      <c r="AC1009" s="97"/>
      <c r="AD1009" s="97" t="str">
        <f>IFERROR(__xludf.DUMMYFUNCTION("""COMPUTED_VALUE"""),"IP20")</f>
        <v>IP20</v>
      </c>
      <c r="AE1009" s="97" t="str">
        <f>IFERROR(__xludf.DUMMYFUNCTION("""COMPUTED_VALUE"""),"Clase l")</f>
        <v>Clase l</v>
      </c>
      <c r="AF1009" s="97" t="str">
        <f>IFERROR(__xludf.DUMMYFUNCTION("""COMPUTED_VALUE"""),"Suspender")</f>
        <v>Suspender</v>
      </c>
      <c r="AG1009" s="97" t="str">
        <f>IFERROR(__xludf.DUMMYFUNCTION("""COMPUTED_VALUE"""),"Ø460 x 110")</f>
        <v>Ø460 x 110</v>
      </c>
      <c r="AH1009" s="97" t="str">
        <f>IFERROR(__xludf.DUMMYFUNCTION("""COMPUTED_VALUE"""),"N/A")</f>
        <v>N/A</v>
      </c>
      <c r="AI1009" s="97" t="str">
        <f>IFERROR(__xludf.DUMMYFUNCTION("""COMPUTED_VALUE"""),"N/A")</f>
        <v>N/A</v>
      </c>
      <c r="AJ1009" s="97" t="str">
        <f>IFERROR(__xludf.DUMMYFUNCTION("""COMPUTED_VALUE"""),"PVC")</f>
        <v>PVC</v>
      </c>
      <c r="AK1009" s="97" t="str">
        <f>IFERROR(__xludf.DUMMYFUNCTION("""COMPUTED_VALUE"""),"Acero")</f>
        <v>Acero</v>
      </c>
      <c r="AL1009" s="97" t="str">
        <f>IFERROR(__xludf.DUMMYFUNCTION("""COMPUTED_VALUE"""),"Negro Satinado")</f>
        <v>Negro Satinado</v>
      </c>
      <c r="AM1009" s="97" t="str">
        <f>IFERROR(__xludf.DUMMYFUNCTION("""COMPUTED_VALUE"""),"-")</f>
        <v>-</v>
      </c>
      <c r="AN1009" s="97" t="str">
        <f>IFERROR(__xludf.DUMMYFUNCTION("""COMPUTED_VALUE"""),"25.000hs (L70)")</f>
        <v>25.000hs (L70)</v>
      </c>
      <c r="AO1009" s="97" t="str">
        <f>IFERROR(__xludf.DUMMYFUNCTION("""COMPUTED_VALUE"""),"2 Años")</f>
        <v>2 Años</v>
      </c>
      <c r="AP1009" s="97" t="str">
        <f>IFERROR(__xludf.DUMMYFUNCTION("""COMPUTED_VALUE"""),"Disponible")</f>
        <v>Disponible</v>
      </c>
      <c r="AQ1009" s="97" t="str">
        <f>IFERROR(__xludf.DUMMYFUNCTION("""COMPUTED_VALUE"""),"Disponible")</f>
        <v>Disponible</v>
      </c>
      <c r="AR1009" s="97" t="str">
        <f>IFERROR(__xludf.DUMMYFUNCTION("""COMPUTED_VALUE"""),"Disponible")</f>
        <v>Disponible</v>
      </c>
      <c r="AS1009" s="97"/>
      <c r="AT1009" s="97"/>
      <c r="AU1009" s="97" t="str">
        <f>IFERROR(__xludf.DUMMYFUNCTION("""COMPUTED_VALUE"""),"Falta")</f>
        <v>Falta</v>
      </c>
      <c r="AV1009" s="97" t="str">
        <f>IFERROR(__xludf.DUMMYFUNCTION("""COMPUTED_VALUE"""),"Colgante")</f>
        <v>Colgante</v>
      </c>
      <c r="AW1009" s="97" t="str">
        <f>IFERROR(__xludf.DUMMYFUNCTION("""COMPUTED_VALUE"""),"De Techo")</f>
        <v>De Techo</v>
      </c>
      <c r="AX1009" s="97" t="str">
        <f>IFERROR(__xludf.DUMMYFUNCTION("""COMPUTED_VALUE"""),"Interior")</f>
        <v>Interior</v>
      </c>
      <c r="AY1009" s="97" t="str">
        <f>IFERROR(__xludf.DUMMYFUNCTION("""COMPUTED_VALUE"""),"-")</f>
        <v>-</v>
      </c>
      <c r="AZ1009" s="97" t="str">
        <f>IFERROR(__xludf.DUMMYFUNCTION("""COMPUTED_VALUE"""),"Florón Ø130 x 40mm. Altura colgado 95cm máx. Switch p/cambio de color.")</f>
        <v>Florón Ø130 x 40mm. Altura colgado 95cm máx. Switch p/cambio de color.</v>
      </c>
      <c r="BA1009" s="97">
        <f>IFERROR(__xludf.DUMMYFUNCTION("""COMPUTED_VALUE"""),1.0)</f>
        <v>1</v>
      </c>
      <c r="BB1009" s="97" t="str">
        <f>IFERROR(__xludf.DUMMYFUNCTION("""COMPUTED_VALUE"""),"-")</f>
        <v>-</v>
      </c>
      <c r="BC1009" s="97" t="str">
        <f>IFERROR(__xludf.DUMMYFUNCTION("""COMPUTED_VALUE"""),"-")</f>
        <v>-</v>
      </c>
      <c r="BD1009" s="97" t="str">
        <f>IFERROR(__xludf.DUMMYFUNCTION("""COMPUTED_VALUE"""),"CAMBOYA")</f>
        <v>CAMBOYA</v>
      </c>
      <c r="BE1009" s="97" t="str">
        <f>IFERROR(__xludf.DUMMYFUNCTION("""COMPUTED_VALUE"""),"Finalizada")</f>
        <v>Finalizada</v>
      </c>
      <c r="BF1009" s="97"/>
      <c r="BG1009" s="97" t="str">
        <f>IFERROR(__xludf.DUMMYFUNCTION("""COMPUTED_VALUE"""),"Activo")</f>
        <v>Activo</v>
      </c>
    </row>
    <row r="1010">
      <c r="A1010" s="97">
        <f>IFERROR(__xludf.DUMMYFUNCTION("""COMPUTED_VALUE"""),6796.0)</f>
        <v>6796</v>
      </c>
      <c r="B1010" s="97" t="str">
        <f>IFERROR(__xludf.DUMMYFUNCTION("""COMPUTED_VALUE"""),"CAMBOYA S BL 36W")</f>
        <v>CAMBOYA S BL 36W</v>
      </c>
      <c r="C1010" s="97" t="str">
        <f>IFERROR(__xludf.DUMMYFUNCTION("""COMPUTED_VALUE"""),"COLGANTE CAMBOYA S BL 36W 36W 3000/4000/6000K 1950LM CRI&gt;95 IP20 LEUK")</f>
        <v>COLGANTE CAMBOYA S BL 36W 36W 3000/4000/6000K 1950LM CRI&gt;95 IP20 LEUK</v>
      </c>
      <c r="D1010" s="97">
        <f>IFERROR(__xludf.DUMMYFUNCTION("""COMPUTED_VALUE"""),7.798413222975E12)</f>
        <v>7798413222975</v>
      </c>
      <c r="E1010" s="97" t="str">
        <f>IFERROR(__xludf.DUMMYFUNCTION("""COMPUTED_VALUE"""),"A115")</f>
        <v>A115</v>
      </c>
      <c r="F1010" s="97" t="str">
        <f>IFERROR(__xludf.DUMMYFUNCTION("""COMPUTED_VALUE"""),"LED integrado")</f>
        <v>LED integrado</v>
      </c>
      <c r="G1010" s="97" t="str">
        <f>IFERROR(__xludf.DUMMYFUNCTION("""COMPUTED_VALUE"""),"-")</f>
        <v>-</v>
      </c>
      <c r="H1010" s="97" t="str">
        <f>IFERROR(__xludf.DUMMYFUNCTION("""COMPUTED_VALUE"""),"-")</f>
        <v>-</v>
      </c>
      <c r="I1010" s="97"/>
      <c r="J1010" s="97" t="str">
        <f>IFERROR(__xludf.DUMMYFUNCTION("""COMPUTED_VALUE"""),"Modelo: CX-37-60Wx1
In: 220-240V 50/60Hz
Out: 110-190V 200mA")</f>
        <v>Modelo: CX-37-60Wx1
In: 220-240V 50/60Hz
Out: 110-190V 200mA</v>
      </c>
      <c r="K1010" s="97" t="str">
        <f>IFERROR(__xludf.DUMMYFUNCTION("""COMPUTED_VALUE"""),"ON/OFF")</f>
        <v>ON/OFF</v>
      </c>
      <c r="L1010" s="97" t="str">
        <f>IFERROR(__xludf.DUMMYFUNCTION("""COMPUTED_VALUE"""),"220-240")</f>
        <v>220-240</v>
      </c>
      <c r="M1010" s="97" t="str">
        <f>IFERROR(__xludf.DUMMYFUNCTION("""COMPUTED_VALUE"""),"50/60")</f>
        <v>50/60</v>
      </c>
      <c r="N1010" s="97" t="str">
        <f>IFERROR(__xludf.DUMMYFUNCTION("""COMPUTED_VALUE"""),"Directa-Simétrica")</f>
        <v>Directa-Simétrica</v>
      </c>
      <c r="O1010" s="97">
        <f>IFERROR(__xludf.DUMMYFUNCTION("""COMPUTED_VALUE"""),36.0)</f>
        <v>36</v>
      </c>
      <c r="P1010" s="97"/>
      <c r="Q1010" s="97">
        <f>IFERROR(__xludf.DUMMYFUNCTION("""COMPUTED_VALUE"""),0.57)</f>
        <v>0.57</v>
      </c>
      <c r="R1010" s="97" t="str">
        <f>IFERROR(__xludf.DUMMYFUNCTION("""COMPUTED_VALUE"""),"-")</f>
        <v>-</v>
      </c>
      <c r="S1010" s="97" t="str">
        <f>IFERROR(__xludf.DUMMYFUNCTION("""COMPUTED_VALUE"""),"-")</f>
        <v>-</v>
      </c>
      <c r="T1010" s="97">
        <f>IFERROR(__xludf.DUMMYFUNCTION("""COMPUTED_VALUE"""),1950.0)</f>
        <v>1950</v>
      </c>
      <c r="U1010" s="99">
        <f>IFERROR(__xludf.DUMMYFUNCTION("""COMPUTED_VALUE"""),54.166666666666664)</f>
        <v>54.16666667</v>
      </c>
      <c r="V1010" s="97">
        <f>IFERROR(__xludf.DUMMYFUNCTION("""COMPUTED_VALUE"""),150.0)</f>
        <v>150</v>
      </c>
      <c r="W1010" s="97" t="str">
        <f>IFERROR(__xludf.DUMMYFUNCTION("""COMPUTED_VALUE"""),"&lt; 20")</f>
        <v>&lt; 20</v>
      </c>
      <c r="X1010" s="97" t="str">
        <f>IFERROR(__xludf.DUMMYFUNCTION("""COMPUTED_VALUE"""),"3000/4000/6000")</f>
        <v>3000/4000/6000</v>
      </c>
      <c r="Y1010" s="97" t="str">
        <f>IFERROR(__xludf.DUMMYFUNCTION("""COMPUTED_VALUE"""),"&gt;95")</f>
        <v>&gt;95</v>
      </c>
      <c r="Z1010" s="97"/>
      <c r="AA1010" s="97"/>
      <c r="AB1010" s="97"/>
      <c r="AC1010" s="97"/>
      <c r="AD1010" s="97" t="str">
        <f>IFERROR(__xludf.DUMMYFUNCTION("""COMPUTED_VALUE"""),"IP20")</f>
        <v>IP20</v>
      </c>
      <c r="AE1010" s="97" t="str">
        <f>IFERROR(__xludf.DUMMYFUNCTION("""COMPUTED_VALUE"""),"Clase l")</f>
        <v>Clase l</v>
      </c>
      <c r="AF1010" s="97" t="str">
        <f>IFERROR(__xludf.DUMMYFUNCTION("""COMPUTED_VALUE"""),"Suspender")</f>
        <v>Suspender</v>
      </c>
      <c r="AG1010" s="97" t="str">
        <f>IFERROR(__xludf.DUMMYFUNCTION("""COMPUTED_VALUE"""),"Ø620 x 110")</f>
        <v>Ø620 x 110</v>
      </c>
      <c r="AH1010" s="97" t="str">
        <f>IFERROR(__xludf.DUMMYFUNCTION("""COMPUTED_VALUE"""),"N/A")</f>
        <v>N/A</v>
      </c>
      <c r="AI1010" s="97" t="str">
        <f>IFERROR(__xludf.DUMMYFUNCTION("""COMPUTED_VALUE"""),"N/A")</f>
        <v>N/A</v>
      </c>
      <c r="AJ1010" s="97" t="str">
        <f>IFERROR(__xludf.DUMMYFUNCTION("""COMPUTED_VALUE"""),"PVC")</f>
        <v>PVC</v>
      </c>
      <c r="AK1010" s="97" t="str">
        <f>IFERROR(__xludf.DUMMYFUNCTION("""COMPUTED_VALUE"""),"Acero")</f>
        <v>Acero</v>
      </c>
      <c r="AL1010" s="97" t="str">
        <f>IFERROR(__xludf.DUMMYFUNCTION("""COMPUTED_VALUE"""),"Blanco Satinado")</f>
        <v>Blanco Satinado</v>
      </c>
      <c r="AM1010" s="97" t="str">
        <f>IFERROR(__xludf.DUMMYFUNCTION("""COMPUTED_VALUE"""),"-")</f>
        <v>-</v>
      </c>
      <c r="AN1010" s="97" t="str">
        <f>IFERROR(__xludf.DUMMYFUNCTION("""COMPUTED_VALUE"""),"25.000hs (L70)")</f>
        <v>25.000hs (L70)</v>
      </c>
      <c r="AO1010" s="97" t="str">
        <f>IFERROR(__xludf.DUMMYFUNCTION("""COMPUTED_VALUE"""),"2 Años")</f>
        <v>2 Años</v>
      </c>
      <c r="AP1010" s="97" t="str">
        <f>IFERROR(__xludf.DUMMYFUNCTION("""COMPUTED_VALUE"""),"Disponible")</f>
        <v>Disponible</v>
      </c>
      <c r="AQ1010" s="97" t="str">
        <f>IFERROR(__xludf.DUMMYFUNCTION("""COMPUTED_VALUE"""),"Disponible")</f>
        <v>Disponible</v>
      </c>
      <c r="AR1010" s="97" t="str">
        <f>IFERROR(__xludf.DUMMYFUNCTION("""COMPUTED_VALUE"""),"Disponible")</f>
        <v>Disponible</v>
      </c>
      <c r="AS1010" s="97"/>
      <c r="AT1010" s="97"/>
      <c r="AU1010" s="97" t="str">
        <f>IFERROR(__xludf.DUMMYFUNCTION("""COMPUTED_VALUE"""),"Falta")</f>
        <v>Falta</v>
      </c>
      <c r="AV1010" s="97" t="str">
        <f>IFERROR(__xludf.DUMMYFUNCTION("""COMPUTED_VALUE"""),"Colgante")</f>
        <v>Colgante</v>
      </c>
      <c r="AW1010" s="97" t="str">
        <f>IFERROR(__xludf.DUMMYFUNCTION("""COMPUTED_VALUE"""),"De Techo")</f>
        <v>De Techo</v>
      </c>
      <c r="AX1010" s="97" t="str">
        <f>IFERROR(__xludf.DUMMYFUNCTION("""COMPUTED_VALUE"""),"Interior")</f>
        <v>Interior</v>
      </c>
      <c r="AY1010" s="97" t="str">
        <f>IFERROR(__xludf.DUMMYFUNCTION("""COMPUTED_VALUE"""),"-")</f>
        <v>-</v>
      </c>
      <c r="AZ1010" s="97" t="str">
        <f>IFERROR(__xludf.DUMMYFUNCTION("""COMPUTED_VALUE"""),"Florón Ø130 x 40mm. Altura colgado 95cm máx. Switch p/cambio de color.")</f>
        <v>Florón Ø130 x 40mm. Altura colgado 95cm máx. Switch p/cambio de color.</v>
      </c>
      <c r="BA1010" s="97">
        <f>IFERROR(__xludf.DUMMYFUNCTION("""COMPUTED_VALUE"""),1.0)</f>
        <v>1</v>
      </c>
      <c r="BB1010" s="97" t="str">
        <f>IFERROR(__xludf.DUMMYFUNCTION("""COMPUTED_VALUE"""),"-")</f>
        <v>-</v>
      </c>
      <c r="BC1010" s="97" t="str">
        <f>IFERROR(__xludf.DUMMYFUNCTION("""COMPUTED_VALUE"""),"-")</f>
        <v>-</v>
      </c>
      <c r="BD1010" s="97" t="str">
        <f>IFERROR(__xludf.DUMMYFUNCTION("""COMPUTED_VALUE"""),"CAMBOYA")</f>
        <v>CAMBOYA</v>
      </c>
      <c r="BE1010" s="97" t="str">
        <f>IFERROR(__xludf.DUMMYFUNCTION("""COMPUTED_VALUE"""),"Finalizada")</f>
        <v>Finalizada</v>
      </c>
      <c r="BF1010" s="97"/>
      <c r="BG1010" s="97" t="str">
        <f>IFERROR(__xludf.DUMMYFUNCTION("""COMPUTED_VALUE"""),"Activo")</f>
        <v>Activo</v>
      </c>
    </row>
    <row r="1011">
      <c r="A1011" s="97">
        <f>IFERROR(__xludf.DUMMYFUNCTION("""COMPUTED_VALUE"""),6797.0)</f>
        <v>6797</v>
      </c>
      <c r="B1011" s="97" t="str">
        <f>IFERROR(__xludf.DUMMYFUNCTION("""COMPUTED_VALUE"""),"CAMBOYA S NG 36W")</f>
        <v>CAMBOYA S NG 36W</v>
      </c>
      <c r="C1011" s="97" t="str">
        <f>IFERROR(__xludf.DUMMYFUNCTION("""COMPUTED_VALUE"""),"COLGANTE CAMBOYA S NG 36W 36W 3000/4000/6000K 1950LM CRI&gt;95 IP20 LEUK")</f>
        <v>COLGANTE CAMBOYA S NG 36W 36W 3000/4000/6000K 1950LM CRI&gt;95 IP20 LEUK</v>
      </c>
      <c r="D1011" s="97">
        <f>IFERROR(__xludf.DUMMYFUNCTION("""COMPUTED_VALUE"""),7.798413222982E12)</f>
        <v>7798413222982</v>
      </c>
      <c r="E1011" s="97" t="str">
        <f>IFERROR(__xludf.DUMMYFUNCTION("""COMPUTED_VALUE"""),"A115")</f>
        <v>A115</v>
      </c>
      <c r="F1011" s="97" t="str">
        <f>IFERROR(__xludf.DUMMYFUNCTION("""COMPUTED_VALUE"""),"LED integrado")</f>
        <v>LED integrado</v>
      </c>
      <c r="G1011" s="97" t="str">
        <f>IFERROR(__xludf.DUMMYFUNCTION("""COMPUTED_VALUE"""),"-")</f>
        <v>-</v>
      </c>
      <c r="H1011" s="97" t="str">
        <f>IFERROR(__xludf.DUMMYFUNCTION("""COMPUTED_VALUE"""),"-")</f>
        <v>-</v>
      </c>
      <c r="I1011" s="97"/>
      <c r="J1011" s="97" t="str">
        <f>IFERROR(__xludf.DUMMYFUNCTION("""COMPUTED_VALUE"""),"Modelo: CX-37-60Wx1
In: 220-240V 50/60Hz
Out: 110-190V 200mA")</f>
        <v>Modelo: CX-37-60Wx1
In: 220-240V 50/60Hz
Out: 110-190V 200mA</v>
      </c>
      <c r="K1011" s="97" t="str">
        <f>IFERROR(__xludf.DUMMYFUNCTION("""COMPUTED_VALUE"""),"ON/OFF")</f>
        <v>ON/OFF</v>
      </c>
      <c r="L1011" s="97" t="str">
        <f>IFERROR(__xludf.DUMMYFUNCTION("""COMPUTED_VALUE"""),"220-240")</f>
        <v>220-240</v>
      </c>
      <c r="M1011" s="97" t="str">
        <f>IFERROR(__xludf.DUMMYFUNCTION("""COMPUTED_VALUE"""),"50/60")</f>
        <v>50/60</v>
      </c>
      <c r="N1011" s="97" t="str">
        <f>IFERROR(__xludf.DUMMYFUNCTION("""COMPUTED_VALUE"""),"Directa-Simétrica")</f>
        <v>Directa-Simétrica</v>
      </c>
      <c r="O1011" s="97">
        <f>IFERROR(__xludf.DUMMYFUNCTION("""COMPUTED_VALUE"""),36.0)</f>
        <v>36</v>
      </c>
      <c r="P1011" s="97"/>
      <c r="Q1011" s="97">
        <f>IFERROR(__xludf.DUMMYFUNCTION("""COMPUTED_VALUE"""),0.6)</f>
        <v>0.6</v>
      </c>
      <c r="R1011" s="97" t="str">
        <f>IFERROR(__xludf.DUMMYFUNCTION("""COMPUTED_VALUE"""),"-")</f>
        <v>-</v>
      </c>
      <c r="S1011" s="97" t="str">
        <f>IFERROR(__xludf.DUMMYFUNCTION("""COMPUTED_VALUE"""),"-")</f>
        <v>-</v>
      </c>
      <c r="T1011" s="97">
        <f>IFERROR(__xludf.DUMMYFUNCTION("""COMPUTED_VALUE"""),1950.0)</f>
        <v>1950</v>
      </c>
      <c r="U1011" s="99">
        <f>IFERROR(__xludf.DUMMYFUNCTION("""COMPUTED_VALUE"""),54.166666666666664)</f>
        <v>54.16666667</v>
      </c>
      <c r="V1011" s="97">
        <f>IFERROR(__xludf.DUMMYFUNCTION("""COMPUTED_VALUE"""),150.0)</f>
        <v>150</v>
      </c>
      <c r="W1011" s="97" t="str">
        <f>IFERROR(__xludf.DUMMYFUNCTION("""COMPUTED_VALUE"""),"&lt; 20")</f>
        <v>&lt; 20</v>
      </c>
      <c r="X1011" s="97" t="str">
        <f>IFERROR(__xludf.DUMMYFUNCTION("""COMPUTED_VALUE"""),"3000/4000/6000")</f>
        <v>3000/4000/6000</v>
      </c>
      <c r="Y1011" s="97" t="str">
        <f>IFERROR(__xludf.DUMMYFUNCTION("""COMPUTED_VALUE"""),"&gt;95")</f>
        <v>&gt;95</v>
      </c>
      <c r="Z1011" s="97"/>
      <c r="AA1011" s="97"/>
      <c r="AB1011" s="97"/>
      <c r="AC1011" s="97"/>
      <c r="AD1011" s="97" t="str">
        <f>IFERROR(__xludf.DUMMYFUNCTION("""COMPUTED_VALUE"""),"IP20")</f>
        <v>IP20</v>
      </c>
      <c r="AE1011" s="97" t="str">
        <f>IFERROR(__xludf.DUMMYFUNCTION("""COMPUTED_VALUE"""),"Clase l")</f>
        <v>Clase l</v>
      </c>
      <c r="AF1011" s="97" t="str">
        <f>IFERROR(__xludf.DUMMYFUNCTION("""COMPUTED_VALUE"""),"Suspender")</f>
        <v>Suspender</v>
      </c>
      <c r="AG1011" s="97" t="str">
        <f>IFERROR(__xludf.DUMMYFUNCTION("""COMPUTED_VALUE"""),"Ø620 x 110")</f>
        <v>Ø620 x 110</v>
      </c>
      <c r="AH1011" s="97" t="str">
        <f>IFERROR(__xludf.DUMMYFUNCTION("""COMPUTED_VALUE"""),"N/A")</f>
        <v>N/A</v>
      </c>
      <c r="AI1011" s="97" t="str">
        <f>IFERROR(__xludf.DUMMYFUNCTION("""COMPUTED_VALUE"""),"N/A")</f>
        <v>N/A</v>
      </c>
      <c r="AJ1011" s="97" t="str">
        <f>IFERROR(__xludf.DUMMYFUNCTION("""COMPUTED_VALUE"""),"PVC")</f>
        <v>PVC</v>
      </c>
      <c r="AK1011" s="97" t="str">
        <f>IFERROR(__xludf.DUMMYFUNCTION("""COMPUTED_VALUE"""),"Acero")</f>
        <v>Acero</v>
      </c>
      <c r="AL1011" s="97" t="str">
        <f>IFERROR(__xludf.DUMMYFUNCTION("""COMPUTED_VALUE"""),"Negro Satinado")</f>
        <v>Negro Satinado</v>
      </c>
      <c r="AM1011" s="97" t="str">
        <f>IFERROR(__xludf.DUMMYFUNCTION("""COMPUTED_VALUE"""),"-")</f>
        <v>-</v>
      </c>
      <c r="AN1011" s="97" t="str">
        <f>IFERROR(__xludf.DUMMYFUNCTION("""COMPUTED_VALUE"""),"25.000hs (L70)")</f>
        <v>25.000hs (L70)</v>
      </c>
      <c r="AO1011" s="97" t="str">
        <f>IFERROR(__xludf.DUMMYFUNCTION("""COMPUTED_VALUE"""),"2 Años")</f>
        <v>2 Años</v>
      </c>
      <c r="AP1011" s="97" t="str">
        <f>IFERROR(__xludf.DUMMYFUNCTION("""COMPUTED_VALUE"""),"Disponible")</f>
        <v>Disponible</v>
      </c>
      <c r="AQ1011" s="97" t="str">
        <f>IFERROR(__xludf.DUMMYFUNCTION("""COMPUTED_VALUE"""),"Disponible")</f>
        <v>Disponible</v>
      </c>
      <c r="AR1011" s="97" t="str">
        <f>IFERROR(__xludf.DUMMYFUNCTION("""COMPUTED_VALUE"""),"Disponible")</f>
        <v>Disponible</v>
      </c>
      <c r="AS1011" s="97"/>
      <c r="AT1011" s="97"/>
      <c r="AU1011" s="97" t="str">
        <f>IFERROR(__xludf.DUMMYFUNCTION("""COMPUTED_VALUE"""),"Falta")</f>
        <v>Falta</v>
      </c>
      <c r="AV1011" s="97" t="str">
        <f>IFERROR(__xludf.DUMMYFUNCTION("""COMPUTED_VALUE"""),"Colgante")</f>
        <v>Colgante</v>
      </c>
      <c r="AW1011" s="97" t="str">
        <f>IFERROR(__xludf.DUMMYFUNCTION("""COMPUTED_VALUE"""),"De Techo")</f>
        <v>De Techo</v>
      </c>
      <c r="AX1011" s="97" t="str">
        <f>IFERROR(__xludf.DUMMYFUNCTION("""COMPUTED_VALUE"""),"Interior")</f>
        <v>Interior</v>
      </c>
      <c r="AY1011" s="97" t="str">
        <f>IFERROR(__xludf.DUMMYFUNCTION("""COMPUTED_VALUE"""),"-")</f>
        <v>-</v>
      </c>
      <c r="AZ1011" s="97" t="str">
        <f>IFERROR(__xludf.DUMMYFUNCTION("""COMPUTED_VALUE"""),"Florón Ø130 x 40mm. Altura colgado 95cm máx. Switch p/cambio de color.")</f>
        <v>Florón Ø130 x 40mm. Altura colgado 95cm máx. Switch p/cambio de color.</v>
      </c>
      <c r="BA1011" s="97">
        <f>IFERROR(__xludf.DUMMYFUNCTION("""COMPUTED_VALUE"""),1.0)</f>
        <v>1</v>
      </c>
      <c r="BB1011" s="97" t="str">
        <f>IFERROR(__xludf.DUMMYFUNCTION("""COMPUTED_VALUE"""),"-")</f>
        <v>-</v>
      </c>
      <c r="BC1011" s="97" t="str">
        <f>IFERROR(__xludf.DUMMYFUNCTION("""COMPUTED_VALUE"""),"-")</f>
        <v>-</v>
      </c>
      <c r="BD1011" s="97" t="str">
        <f>IFERROR(__xludf.DUMMYFUNCTION("""COMPUTED_VALUE"""),"CAMBOYA")</f>
        <v>CAMBOYA</v>
      </c>
      <c r="BE1011" s="97" t="str">
        <f>IFERROR(__xludf.DUMMYFUNCTION("""COMPUTED_VALUE"""),"Finalizada")</f>
        <v>Finalizada</v>
      </c>
      <c r="BF1011" s="97"/>
      <c r="BG1011" s="97" t="str">
        <f>IFERROR(__xludf.DUMMYFUNCTION("""COMPUTED_VALUE"""),"Activo")</f>
        <v>Activo</v>
      </c>
    </row>
    <row r="1012">
      <c r="A1012" s="97">
        <f>IFERROR(__xludf.DUMMYFUNCTION("""COMPUTED_VALUE"""),6798.0)</f>
        <v>6798</v>
      </c>
      <c r="B1012" s="97" t="str">
        <f>IFERROR(__xludf.DUMMYFUNCTION("""COMPUTED_VALUE"""),"DAKOTA BLMD")</f>
        <v>DAKOTA BLMD</v>
      </c>
      <c r="C1012" s="97" t="str">
        <f>IFERROR(__xludf.DUMMYFUNCTION("""COMPUTED_VALUE"""),"APLIQUE DAKOTA BLMD 25W 3000/4000/6000K 705LM CRI&gt;95 IP20 LEUK")</f>
        <v>APLIQUE DAKOTA BLMD 25W 3000/4000/6000K 705LM CRI&gt;95 IP20 LEUK</v>
      </c>
      <c r="D1012" s="97">
        <f>IFERROR(__xludf.DUMMYFUNCTION("""COMPUTED_VALUE"""),7.798413222999E12)</f>
        <v>7798413222999</v>
      </c>
      <c r="E1012" s="97" t="str">
        <f>IFERROR(__xludf.DUMMYFUNCTION("""COMPUTED_VALUE"""),"F42")</f>
        <v>F42</v>
      </c>
      <c r="F1012" s="97" t="str">
        <f>IFERROR(__xludf.DUMMYFUNCTION("""COMPUTED_VALUE"""),"LED integrado")</f>
        <v>LED integrado</v>
      </c>
      <c r="G1012" s="97" t="str">
        <f>IFERROR(__xludf.DUMMYFUNCTION("""COMPUTED_VALUE"""),"-")</f>
        <v>-</v>
      </c>
      <c r="H1012" s="97" t="str">
        <f>IFERROR(__xludf.DUMMYFUNCTION("""COMPUTED_VALUE"""),"-")</f>
        <v>-</v>
      </c>
      <c r="I1012" s="97"/>
      <c r="J1012" s="97" t="str">
        <f>IFERROR(__xludf.DUMMYFUNCTION("""COMPUTED_VALUE"""),"Modelo: CX-25-40Wx1
In: 200-240Vac 50/60Hz
Out: 75-140V 230mA")</f>
        <v>Modelo: CX-25-40Wx1
In: 200-240Vac 50/60Hz
Out: 75-140V 230mA</v>
      </c>
      <c r="K1012" s="97" t="str">
        <f>IFERROR(__xludf.DUMMYFUNCTION("""COMPUTED_VALUE"""),"ON/OFF")</f>
        <v>ON/OFF</v>
      </c>
      <c r="L1012" s="97" t="str">
        <f>IFERROR(__xludf.DUMMYFUNCTION("""COMPUTED_VALUE"""),"200-240")</f>
        <v>200-240</v>
      </c>
      <c r="M1012" s="97" t="str">
        <f>IFERROR(__xludf.DUMMYFUNCTION("""COMPUTED_VALUE"""),"50/60")</f>
        <v>50/60</v>
      </c>
      <c r="N1012" s="97" t="str">
        <f>IFERROR(__xludf.DUMMYFUNCTION("""COMPUTED_VALUE"""),"Directa-Simétrica")</f>
        <v>Directa-Simétrica</v>
      </c>
      <c r="O1012" s="97">
        <f>IFERROR(__xludf.DUMMYFUNCTION("""COMPUTED_VALUE"""),25.0)</f>
        <v>25</v>
      </c>
      <c r="P1012" s="97"/>
      <c r="Q1012" s="97">
        <f>IFERROR(__xludf.DUMMYFUNCTION("""COMPUTED_VALUE"""),0.62)</f>
        <v>0.62</v>
      </c>
      <c r="R1012" s="97" t="str">
        <f>IFERROR(__xludf.DUMMYFUNCTION("""COMPUTED_VALUE"""),"-")</f>
        <v>-</v>
      </c>
      <c r="S1012" s="97" t="str">
        <f>IFERROR(__xludf.DUMMYFUNCTION("""COMPUTED_VALUE"""),"-")</f>
        <v>-</v>
      </c>
      <c r="T1012" s="97">
        <f>IFERROR(__xludf.DUMMYFUNCTION("""COMPUTED_VALUE"""),705.0)</f>
        <v>705</v>
      </c>
      <c r="U1012" s="99">
        <f>IFERROR(__xludf.DUMMYFUNCTION("""COMPUTED_VALUE"""),28.2)</f>
        <v>28.2</v>
      </c>
      <c r="V1012" s="97">
        <f>IFERROR(__xludf.DUMMYFUNCTION("""COMPUTED_VALUE"""),110.0)</f>
        <v>110</v>
      </c>
      <c r="W1012" s="97" t="str">
        <f>IFERROR(__xludf.DUMMYFUNCTION("""COMPUTED_VALUE"""),"&lt; 20")</f>
        <v>&lt; 20</v>
      </c>
      <c r="X1012" s="97" t="str">
        <f>IFERROR(__xludf.DUMMYFUNCTION("""COMPUTED_VALUE"""),"3000/4000/6000")</f>
        <v>3000/4000/6000</v>
      </c>
      <c r="Y1012" s="97" t="str">
        <f>IFERROR(__xludf.DUMMYFUNCTION("""COMPUTED_VALUE"""),"&gt;95")</f>
        <v>&gt;95</v>
      </c>
      <c r="Z1012" s="97"/>
      <c r="AA1012" s="97"/>
      <c r="AB1012" s="97"/>
      <c r="AC1012" s="97"/>
      <c r="AD1012" s="97" t="str">
        <f>IFERROR(__xludf.DUMMYFUNCTION("""COMPUTED_VALUE"""),"IP20")</f>
        <v>IP20</v>
      </c>
      <c r="AE1012" s="97" t="str">
        <f>IFERROR(__xludf.DUMMYFUNCTION("""COMPUTED_VALUE"""),"Clase l")</f>
        <v>Clase l</v>
      </c>
      <c r="AF1012" s="97" t="str">
        <f>IFERROR(__xludf.DUMMYFUNCTION("""COMPUTED_VALUE"""),"Aplicar, Suspender")</f>
        <v>Aplicar, Suspender</v>
      </c>
      <c r="AG1012" s="97" t="str">
        <f>IFERROR(__xludf.DUMMYFUNCTION("""COMPUTED_VALUE"""),"Ø500 x 120")</f>
        <v>Ø500 x 120</v>
      </c>
      <c r="AH1012" s="97" t="str">
        <f>IFERROR(__xludf.DUMMYFUNCTION("""COMPUTED_VALUE"""),"N/A")</f>
        <v>N/A</v>
      </c>
      <c r="AI1012" s="97" t="str">
        <f>IFERROR(__xludf.DUMMYFUNCTION("""COMPUTED_VALUE"""),"N/A")</f>
        <v>N/A</v>
      </c>
      <c r="AJ1012" s="97" t="str">
        <f>IFERROR(__xludf.DUMMYFUNCTION("""COMPUTED_VALUE"""),"PVC")</f>
        <v>PVC</v>
      </c>
      <c r="AK1012" s="97" t="str">
        <f>IFERROR(__xludf.DUMMYFUNCTION("""COMPUTED_VALUE"""),"Acero")</f>
        <v>Acero</v>
      </c>
      <c r="AL1012" s="97" t="str">
        <f>IFERROR(__xludf.DUMMYFUNCTION("""COMPUTED_VALUE"""),"Blanco y Madera")</f>
        <v>Blanco y Madera</v>
      </c>
      <c r="AM1012" s="97" t="str">
        <f>IFERROR(__xludf.DUMMYFUNCTION("""COMPUTED_VALUE"""),"-")</f>
        <v>-</v>
      </c>
      <c r="AN1012" s="97" t="str">
        <f>IFERROR(__xludf.DUMMYFUNCTION("""COMPUTED_VALUE"""),"25.000hs (L70)")</f>
        <v>25.000hs (L70)</v>
      </c>
      <c r="AO1012" s="97" t="str">
        <f>IFERROR(__xludf.DUMMYFUNCTION("""COMPUTED_VALUE"""),"2 Años")</f>
        <v>2 Años</v>
      </c>
      <c r="AP1012" s="97" t="str">
        <f>IFERROR(__xludf.DUMMYFUNCTION("""COMPUTED_VALUE"""),"Disponible")</f>
        <v>Disponible</v>
      </c>
      <c r="AQ1012" s="97" t="str">
        <f>IFERROR(__xludf.DUMMYFUNCTION("""COMPUTED_VALUE"""),"Disponible")</f>
        <v>Disponible</v>
      </c>
      <c r="AR1012" s="97" t="str">
        <f>IFERROR(__xludf.DUMMYFUNCTION("""COMPUTED_VALUE"""),"Disponible")</f>
        <v>Disponible</v>
      </c>
      <c r="AS1012" s="97"/>
      <c r="AT1012" s="97"/>
      <c r="AU1012" s="97" t="str">
        <f>IFERROR(__xludf.DUMMYFUNCTION("""COMPUTED_VALUE"""),"Falta")</f>
        <v>Falta</v>
      </c>
      <c r="AV1012" s="97" t="str">
        <f>IFERROR(__xludf.DUMMYFUNCTION("""COMPUTED_VALUE"""),"Aplique")</f>
        <v>Aplique</v>
      </c>
      <c r="AW1012" s="97" t="str">
        <f>IFERROR(__xludf.DUMMYFUNCTION("""COMPUTED_VALUE"""),"De Techo")</f>
        <v>De Techo</v>
      </c>
      <c r="AX1012" s="97" t="str">
        <f>IFERROR(__xludf.DUMMYFUNCTION("""COMPUTED_VALUE"""),"Interior")</f>
        <v>Interior</v>
      </c>
      <c r="AY1012" s="97" t="str">
        <f>IFERROR(__xludf.DUMMYFUNCTION("""COMPUTED_VALUE"""),"-")</f>
        <v>-</v>
      </c>
      <c r="AZ1012" s="97" t="str">
        <f>IFERROR(__xludf.DUMMYFUNCTION("""COMPUTED_VALUE"""),"Switch p/cambio de color. Aplica KIT SUSPENSIÓN 4 TENSORES BL 6829 o NG 6830.")</f>
        <v>Switch p/cambio de color. Aplica KIT SUSPENSIÓN 4 TENSORES BL 6829 o NG 6830.</v>
      </c>
      <c r="BA1012" s="97">
        <f>IFERROR(__xludf.DUMMYFUNCTION("""COMPUTED_VALUE"""),1.0)</f>
        <v>1</v>
      </c>
      <c r="BB1012" s="97" t="str">
        <f>IFERROR(__xludf.DUMMYFUNCTION("""COMPUTED_VALUE"""),"-")</f>
        <v>-</v>
      </c>
      <c r="BC1012" s="97" t="str">
        <f>IFERROR(__xludf.DUMMYFUNCTION("""COMPUTED_VALUE"""),"-")</f>
        <v>-</v>
      </c>
      <c r="BD1012" s="97" t="str">
        <f>IFERROR(__xludf.DUMMYFUNCTION("""COMPUTED_VALUE"""),"DAKOTA")</f>
        <v>DAKOTA</v>
      </c>
      <c r="BE1012" s="97" t="str">
        <f>IFERROR(__xludf.DUMMYFUNCTION("""COMPUTED_VALUE"""),"Finalizada")</f>
        <v>Finalizada</v>
      </c>
      <c r="BF1012" s="97"/>
      <c r="BG1012" s="97" t="str">
        <f>IFERROR(__xludf.DUMMYFUNCTION("""COMPUTED_VALUE"""),"Activo")</f>
        <v>Activo</v>
      </c>
    </row>
    <row r="1013">
      <c r="A1013" s="97">
        <f>IFERROR(__xludf.DUMMYFUNCTION("""COMPUTED_VALUE"""),6799.0)</f>
        <v>6799</v>
      </c>
      <c r="B1013" s="97" t="str">
        <f>IFERROR(__xludf.DUMMYFUNCTION("""COMPUTED_VALUE"""),"DAKOTA NGMD")</f>
        <v>DAKOTA NGMD</v>
      </c>
      <c r="C1013" s="97" t="str">
        <f>IFERROR(__xludf.DUMMYFUNCTION("""COMPUTED_VALUE"""),"APLIQUE DAKOTA NGMD 25W 3000/4000/6000K 705LM CRI&gt;95 IP20 LEUK")</f>
        <v>APLIQUE DAKOTA NGMD 25W 3000/4000/6000K 705LM CRI&gt;95 IP20 LEUK</v>
      </c>
      <c r="D1013" s="97">
        <f>IFERROR(__xludf.DUMMYFUNCTION("""COMPUTED_VALUE"""),7.798413223002E12)</f>
        <v>7798413223002</v>
      </c>
      <c r="E1013" s="97" t="str">
        <f>IFERROR(__xludf.DUMMYFUNCTION("""COMPUTED_VALUE"""),"F41")</f>
        <v>F41</v>
      </c>
      <c r="F1013" s="97" t="str">
        <f>IFERROR(__xludf.DUMMYFUNCTION("""COMPUTED_VALUE"""),"LED integrado")</f>
        <v>LED integrado</v>
      </c>
      <c r="G1013" s="97" t="str">
        <f>IFERROR(__xludf.DUMMYFUNCTION("""COMPUTED_VALUE"""),"-")</f>
        <v>-</v>
      </c>
      <c r="H1013" s="97" t="str">
        <f>IFERROR(__xludf.DUMMYFUNCTION("""COMPUTED_VALUE"""),"-")</f>
        <v>-</v>
      </c>
      <c r="I1013" s="97"/>
      <c r="J1013" s="97" t="str">
        <f>IFERROR(__xludf.DUMMYFUNCTION("""COMPUTED_VALUE"""),"Modelo: CX-25-40Wx1
In: 200-240Vac 50/60Hz
Out: 75-140V 230mA")</f>
        <v>Modelo: CX-25-40Wx1
In: 200-240Vac 50/60Hz
Out: 75-140V 230mA</v>
      </c>
      <c r="K1013" s="97" t="str">
        <f>IFERROR(__xludf.DUMMYFUNCTION("""COMPUTED_VALUE"""),"ON/OFF")</f>
        <v>ON/OFF</v>
      </c>
      <c r="L1013" s="97" t="str">
        <f>IFERROR(__xludf.DUMMYFUNCTION("""COMPUTED_VALUE"""),"200-240")</f>
        <v>200-240</v>
      </c>
      <c r="M1013" s="97" t="str">
        <f>IFERROR(__xludf.DUMMYFUNCTION("""COMPUTED_VALUE"""),"50/60")</f>
        <v>50/60</v>
      </c>
      <c r="N1013" s="97" t="str">
        <f>IFERROR(__xludf.DUMMYFUNCTION("""COMPUTED_VALUE"""),"Directa-Simétrica")</f>
        <v>Directa-Simétrica</v>
      </c>
      <c r="O1013" s="97">
        <f>IFERROR(__xludf.DUMMYFUNCTION("""COMPUTED_VALUE"""),25.0)</f>
        <v>25</v>
      </c>
      <c r="P1013" s="97"/>
      <c r="Q1013" s="97">
        <f>IFERROR(__xludf.DUMMYFUNCTION("""COMPUTED_VALUE"""),0.62)</f>
        <v>0.62</v>
      </c>
      <c r="R1013" s="97" t="str">
        <f>IFERROR(__xludf.DUMMYFUNCTION("""COMPUTED_VALUE"""),"-")</f>
        <v>-</v>
      </c>
      <c r="S1013" s="97" t="str">
        <f>IFERROR(__xludf.DUMMYFUNCTION("""COMPUTED_VALUE"""),"-")</f>
        <v>-</v>
      </c>
      <c r="T1013" s="97">
        <f>IFERROR(__xludf.DUMMYFUNCTION("""COMPUTED_VALUE"""),705.0)</f>
        <v>705</v>
      </c>
      <c r="U1013" s="99">
        <f>IFERROR(__xludf.DUMMYFUNCTION("""COMPUTED_VALUE"""),28.2)</f>
        <v>28.2</v>
      </c>
      <c r="V1013" s="97">
        <f>IFERROR(__xludf.DUMMYFUNCTION("""COMPUTED_VALUE"""),110.0)</f>
        <v>110</v>
      </c>
      <c r="W1013" s="97" t="str">
        <f>IFERROR(__xludf.DUMMYFUNCTION("""COMPUTED_VALUE"""),"&lt; 20")</f>
        <v>&lt; 20</v>
      </c>
      <c r="X1013" s="97" t="str">
        <f>IFERROR(__xludf.DUMMYFUNCTION("""COMPUTED_VALUE"""),"3000/4000/6000")</f>
        <v>3000/4000/6000</v>
      </c>
      <c r="Y1013" s="97" t="str">
        <f>IFERROR(__xludf.DUMMYFUNCTION("""COMPUTED_VALUE"""),"&gt;95")</f>
        <v>&gt;95</v>
      </c>
      <c r="Z1013" s="97"/>
      <c r="AA1013" s="97"/>
      <c r="AB1013" s="97"/>
      <c r="AC1013" s="97"/>
      <c r="AD1013" s="97" t="str">
        <f>IFERROR(__xludf.DUMMYFUNCTION("""COMPUTED_VALUE"""),"IP20")</f>
        <v>IP20</v>
      </c>
      <c r="AE1013" s="97" t="str">
        <f>IFERROR(__xludf.DUMMYFUNCTION("""COMPUTED_VALUE"""),"Clase l")</f>
        <v>Clase l</v>
      </c>
      <c r="AF1013" s="97" t="str">
        <f>IFERROR(__xludf.DUMMYFUNCTION("""COMPUTED_VALUE"""),"Aplicar, Suspender")</f>
        <v>Aplicar, Suspender</v>
      </c>
      <c r="AG1013" s="97" t="str">
        <f>IFERROR(__xludf.DUMMYFUNCTION("""COMPUTED_VALUE"""),"Ø500 x 120")</f>
        <v>Ø500 x 120</v>
      </c>
      <c r="AH1013" s="97" t="str">
        <f>IFERROR(__xludf.DUMMYFUNCTION("""COMPUTED_VALUE"""),"N/A")</f>
        <v>N/A</v>
      </c>
      <c r="AI1013" s="97" t="str">
        <f>IFERROR(__xludf.DUMMYFUNCTION("""COMPUTED_VALUE"""),"N/A")</f>
        <v>N/A</v>
      </c>
      <c r="AJ1013" s="97" t="str">
        <f>IFERROR(__xludf.DUMMYFUNCTION("""COMPUTED_VALUE"""),"PVC")</f>
        <v>PVC</v>
      </c>
      <c r="AK1013" s="97" t="str">
        <f>IFERROR(__xludf.DUMMYFUNCTION("""COMPUTED_VALUE"""),"Acero")</f>
        <v>Acero</v>
      </c>
      <c r="AL1013" s="97" t="str">
        <f>IFERROR(__xludf.DUMMYFUNCTION("""COMPUTED_VALUE"""),"Negro y Madera")</f>
        <v>Negro y Madera</v>
      </c>
      <c r="AM1013" s="97" t="str">
        <f>IFERROR(__xludf.DUMMYFUNCTION("""COMPUTED_VALUE"""),"-")</f>
        <v>-</v>
      </c>
      <c r="AN1013" s="97" t="str">
        <f>IFERROR(__xludf.DUMMYFUNCTION("""COMPUTED_VALUE"""),"25.000hs (L70)")</f>
        <v>25.000hs (L70)</v>
      </c>
      <c r="AO1013" s="97" t="str">
        <f>IFERROR(__xludf.DUMMYFUNCTION("""COMPUTED_VALUE"""),"2 Años")</f>
        <v>2 Años</v>
      </c>
      <c r="AP1013" s="97" t="str">
        <f>IFERROR(__xludf.DUMMYFUNCTION("""COMPUTED_VALUE"""),"Disponible")</f>
        <v>Disponible</v>
      </c>
      <c r="AQ1013" s="97" t="str">
        <f>IFERROR(__xludf.DUMMYFUNCTION("""COMPUTED_VALUE"""),"Disponible")</f>
        <v>Disponible</v>
      </c>
      <c r="AR1013" s="97" t="str">
        <f>IFERROR(__xludf.DUMMYFUNCTION("""COMPUTED_VALUE"""),"Disponible")</f>
        <v>Disponible</v>
      </c>
      <c r="AS1013" s="97"/>
      <c r="AT1013" s="97"/>
      <c r="AU1013" s="97" t="str">
        <f>IFERROR(__xludf.DUMMYFUNCTION("""COMPUTED_VALUE"""),"Falta")</f>
        <v>Falta</v>
      </c>
      <c r="AV1013" s="97" t="str">
        <f>IFERROR(__xludf.DUMMYFUNCTION("""COMPUTED_VALUE"""),"Aplique")</f>
        <v>Aplique</v>
      </c>
      <c r="AW1013" s="97" t="str">
        <f>IFERROR(__xludf.DUMMYFUNCTION("""COMPUTED_VALUE"""),"De Techo")</f>
        <v>De Techo</v>
      </c>
      <c r="AX1013" s="97" t="str">
        <f>IFERROR(__xludf.DUMMYFUNCTION("""COMPUTED_VALUE"""),"Interior")</f>
        <v>Interior</v>
      </c>
      <c r="AY1013" s="97" t="str">
        <f>IFERROR(__xludf.DUMMYFUNCTION("""COMPUTED_VALUE"""),"-")</f>
        <v>-</v>
      </c>
      <c r="AZ1013" s="97" t="str">
        <f>IFERROR(__xludf.DUMMYFUNCTION("""COMPUTED_VALUE"""),"Switch p/cambio de color. Aplica KIT SUSPENSIÓN 4 TENSORES BL 6829 o NG 6830.")</f>
        <v>Switch p/cambio de color. Aplica KIT SUSPENSIÓN 4 TENSORES BL 6829 o NG 6830.</v>
      </c>
      <c r="BA1013" s="97">
        <f>IFERROR(__xludf.DUMMYFUNCTION("""COMPUTED_VALUE"""),1.0)</f>
        <v>1</v>
      </c>
      <c r="BB1013" s="97" t="str">
        <f>IFERROR(__xludf.DUMMYFUNCTION("""COMPUTED_VALUE"""),"-")</f>
        <v>-</v>
      </c>
      <c r="BC1013" s="97" t="str">
        <f>IFERROR(__xludf.DUMMYFUNCTION("""COMPUTED_VALUE"""),"-")</f>
        <v>-</v>
      </c>
      <c r="BD1013" s="97" t="str">
        <f>IFERROR(__xludf.DUMMYFUNCTION("""COMPUTED_VALUE"""),"DAKOTA")</f>
        <v>DAKOTA</v>
      </c>
      <c r="BE1013" s="97" t="str">
        <f>IFERROR(__xludf.DUMMYFUNCTION("""COMPUTED_VALUE"""),"Finalizada")</f>
        <v>Finalizada</v>
      </c>
      <c r="BF1013" s="97"/>
      <c r="BG1013" s="97" t="str">
        <f>IFERROR(__xludf.DUMMYFUNCTION("""COMPUTED_VALUE"""),"Activo")</f>
        <v>Activo</v>
      </c>
    </row>
    <row r="1014">
      <c r="A1014" s="97">
        <f>IFERROR(__xludf.DUMMYFUNCTION("""COMPUTED_VALUE"""),6800.0)</f>
        <v>6800</v>
      </c>
      <c r="B1014" s="97" t="str">
        <f>IFERROR(__xludf.DUMMYFUNCTION("""COMPUTED_VALUE"""),"COSMO BL")</f>
        <v>COSMO BL</v>
      </c>
      <c r="C1014" s="97" t="str">
        <f>IFERROR(__xludf.DUMMYFUNCTION("""COMPUTED_VALUE"""),"COLGANTE COSMO BL 38W 3000/4000/6000K 2250LM CRI&gt;95 IP20 LEUK")</f>
        <v>COLGANTE COSMO BL 38W 3000/4000/6000K 2250LM CRI&gt;95 IP20 LEUK</v>
      </c>
      <c r="D1014" s="97">
        <f>IFERROR(__xludf.DUMMYFUNCTION("""COMPUTED_VALUE"""),7.798413223019E12)</f>
        <v>7798413223019</v>
      </c>
      <c r="E1014" s="97" t="str">
        <f>IFERROR(__xludf.DUMMYFUNCTION("""COMPUTED_VALUE"""),"A113")</f>
        <v>A113</v>
      </c>
      <c r="F1014" s="97" t="str">
        <f>IFERROR(__xludf.DUMMYFUNCTION("""COMPUTED_VALUE"""),"LED integrado")</f>
        <v>LED integrado</v>
      </c>
      <c r="G1014" s="97" t="str">
        <f>IFERROR(__xludf.DUMMYFUNCTION("""COMPUTED_VALUE"""),"-")</f>
        <v>-</v>
      </c>
      <c r="H1014" s="97" t="str">
        <f>IFERROR(__xludf.DUMMYFUNCTION("""COMPUTED_VALUE"""),"-")</f>
        <v>-</v>
      </c>
      <c r="I1014" s="97"/>
      <c r="J1014" s="97" t="str">
        <f>IFERROR(__xludf.DUMMYFUNCTION("""COMPUTED_VALUE"""),"Modelo: CX-37-50Wx1
In: 175-265Vac 50/60Hz
Out: 110-175V 220mA")</f>
        <v>Modelo: CX-37-50Wx1
In: 175-265Vac 50/60Hz
Out: 110-175V 220mA</v>
      </c>
      <c r="K1014" s="97" t="str">
        <f>IFERROR(__xludf.DUMMYFUNCTION("""COMPUTED_VALUE"""),"ON/OFF")</f>
        <v>ON/OFF</v>
      </c>
      <c r="L1014" s="97" t="str">
        <f>IFERROR(__xludf.DUMMYFUNCTION("""COMPUTED_VALUE"""),"220-240")</f>
        <v>220-240</v>
      </c>
      <c r="M1014" s="97" t="str">
        <f>IFERROR(__xludf.DUMMYFUNCTION("""COMPUTED_VALUE"""),"50/60")</f>
        <v>50/60</v>
      </c>
      <c r="N1014" s="97" t="str">
        <f>IFERROR(__xludf.DUMMYFUNCTION("""COMPUTED_VALUE"""),"Directa-Simétrica")</f>
        <v>Directa-Simétrica</v>
      </c>
      <c r="O1014" s="97">
        <f>IFERROR(__xludf.DUMMYFUNCTION("""COMPUTED_VALUE"""),38.0)</f>
        <v>38</v>
      </c>
      <c r="P1014" s="97"/>
      <c r="Q1014" s="97">
        <f>IFERROR(__xludf.DUMMYFUNCTION("""COMPUTED_VALUE"""),0.62)</f>
        <v>0.62</v>
      </c>
      <c r="R1014" s="97" t="str">
        <f>IFERROR(__xludf.DUMMYFUNCTION("""COMPUTED_VALUE"""),"-")</f>
        <v>-</v>
      </c>
      <c r="S1014" s="97" t="str">
        <f>IFERROR(__xludf.DUMMYFUNCTION("""COMPUTED_VALUE"""),"-")</f>
        <v>-</v>
      </c>
      <c r="T1014" s="97">
        <f>IFERROR(__xludf.DUMMYFUNCTION("""COMPUTED_VALUE"""),2250.0)</f>
        <v>2250</v>
      </c>
      <c r="U1014" s="99">
        <f>IFERROR(__xludf.DUMMYFUNCTION("""COMPUTED_VALUE"""),59.21052631578947)</f>
        <v>59.21052632</v>
      </c>
      <c r="V1014" s="97">
        <f>IFERROR(__xludf.DUMMYFUNCTION("""COMPUTED_VALUE"""),135.0)</f>
        <v>135</v>
      </c>
      <c r="W1014" s="97" t="str">
        <f>IFERROR(__xludf.DUMMYFUNCTION("""COMPUTED_VALUE"""),"&lt; 20")</f>
        <v>&lt; 20</v>
      </c>
      <c r="X1014" s="97" t="str">
        <f>IFERROR(__xludf.DUMMYFUNCTION("""COMPUTED_VALUE"""),"3000/4000/6000")</f>
        <v>3000/4000/6000</v>
      </c>
      <c r="Y1014" s="97" t="str">
        <f>IFERROR(__xludf.DUMMYFUNCTION("""COMPUTED_VALUE"""),"&gt;95")</f>
        <v>&gt;95</v>
      </c>
      <c r="Z1014" s="97"/>
      <c r="AA1014" s="97"/>
      <c r="AB1014" s="97"/>
      <c r="AC1014" s="97"/>
      <c r="AD1014" s="97" t="str">
        <f>IFERROR(__xludf.DUMMYFUNCTION("""COMPUTED_VALUE"""),"IP20")</f>
        <v>IP20</v>
      </c>
      <c r="AE1014" s="97" t="str">
        <f>IFERROR(__xludf.DUMMYFUNCTION("""COMPUTED_VALUE"""),"Clase l")</f>
        <v>Clase l</v>
      </c>
      <c r="AF1014" s="97" t="str">
        <f>IFERROR(__xludf.DUMMYFUNCTION("""COMPUTED_VALUE"""),"Suspender")</f>
        <v>Suspender</v>
      </c>
      <c r="AG1014" s="97" t="str">
        <f>IFERROR(__xludf.DUMMYFUNCTION("""COMPUTED_VALUE"""),"Ø520 x 75")</f>
        <v>Ø520 x 75</v>
      </c>
      <c r="AH1014" s="97" t="str">
        <f>IFERROR(__xludf.DUMMYFUNCTION("""COMPUTED_VALUE"""),"N/A")</f>
        <v>N/A</v>
      </c>
      <c r="AI1014" s="97" t="str">
        <f>IFERROR(__xludf.DUMMYFUNCTION("""COMPUTED_VALUE"""),"N/A")</f>
        <v>N/A</v>
      </c>
      <c r="AJ1014" s="97" t="str">
        <f>IFERROR(__xludf.DUMMYFUNCTION("""COMPUTED_VALUE"""),"PVC")</f>
        <v>PVC</v>
      </c>
      <c r="AK1014" s="97" t="str">
        <f>IFERROR(__xludf.DUMMYFUNCTION("""COMPUTED_VALUE"""),"Acero")</f>
        <v>Acero</v>
      </c>
      <c r="AL1014" s="97" t="str">
        <f>IFERROR(__xludf.DUMMYFUNCTION("""COMPUTED_VALUE"""),"Blanco Satinado")</f>
        <v>Blanco Satinado</v>
      </c>
      <c r="AM1014" s="97" t="str">
        <f>IFERROR(__xludf.DUMMYFUNCTION("""COMPUTED_VALUE"""),"-")</f>
        <v>-</v>
      </c>
      <c r="AN1014" s="97" t="str">
        <f>IFERROR(__xludf.DUMMYFUNCTION("""COMPUTED_VALUE"""),"25.000hs (L70)")</f>
        <v>25.000hs (L70)</v>
      </c>
      <c r="AO1014" s="97" t="str">
        <f>IFERROR(__xludf.DUMMYFUNCTION("""COMPUTED_VALUE"""),"2 Años")</f>
        <v>2 Años</v>
      </c>
      <c r="AP1014" s="97" t="str">
        <f>IFERROR(__xludf.DUMMYFUNCTION("""COMPUTED_VALUE"""),"Disponible")</f>
        <v>Disponible</v>
      </c>
      <c r="AQ1014" s="97" t="str">
        <f>IFERROR(__xludf.DUMMYFUNCTION("""COMPUTED_VALUE"""),"Disponible")</f>
        <v>Disponible</v>
      </c>
      <c r="AR1014" s="97" t="str">
        <f>IFERROR(__xludf.DUMMYFUNCTION("""COMPUTED_VALUE"""),"Disponible")</f>
        <v>Disponible</v>
      </c>
      <c r="AS1014" s="97"/>
      <c r="AT1014" s="97"/>
      <c r="AU1014" s="97" t="str">
        <f>IFERROR(__xludf.DUMMYFUNCTION("""COMPUTED_VALUE"""),"Falta")</f>
        <v>Falta</v>
      </c>
      <c r="AV1014" s="97" t="str">
        <f>IFERROR(__xludf.DUMMYFUNCTION("""COMPUTED_VALUE"""),"Colgante")</f>
        <v>Colgante</v>
      </c>
      <c r="AW1014" s="97" t="str">
        <f>IFERROR(__xludf.DUMMYFUNCTION("""COMPUTED_VALUE"""),"De Techo")</f>
        <v>De Techo</v>
      </c>
      <c r="AX1014" s="97" t="str">
        <f>IFERROR(__xludf.DUMMYFUNCTION("""COMPUTED_VALUE"""),"Interior")</f>
        <v>Interior</v>
      </c>
      <c r="AY1014" s="97" t="str">
        <f>IFERROR(__xludf.DUMMYFUNCTION("""COMPUTED_VALUE"""),"-")</f>
        <v>-</v>
      </c>
      <c r="AZ1014" s="97" t="str">
        <f>IFERROR(__xludf.DUMMYFUNCTION("""COMPUTED_VALUE"""),"Florón Ø130 x 40mm. Altura colgado 95cm máx. Switch p/cambio de color.")</f>
        <v>Florón Ø130 x 40mm. Altura colgado 95cm máx. Switch p/cambio de color.</v>
      </c>
      <c r="BA1014" s="97">
        <f>IFERROR(__xludf.DUMMYFUNCTION("""COMPUTED_VALUE"""),1.0)</f>
        <v>1</v>
      </c>
      <c r="BB1014" s="97" t="str">
        <f>IFERROR(__xludf.DUMMYFUNCTION("""COMPUTED_VALUE"""),"-")</f>
        <v>-</v>
      </c>
      <c r="BC1014" s="97" t="str">
        <f>IFERROR(__xludf.DUMMYFUNCTION("""COMPUTED_VALUE"""),"-")</f>
        <v>-</v>
      </c>
      <c r="BD1014" s="97" t="str">
        <f>IFERROR(__xludf.DUMMYFUNCTION("""COMPUTED_VALUE"""),"COSMO")</f>
        <v>COSMO</v>
      </c>
      <c r="BE1014" s="97" t="str">
        <f>IFERROR(__xludf.DUMMYFUNCTION("""COMPUTED_VALUE"""),"Finalizada")</f>
        <v>Finalizada</v>
      </c>
      <c r="BF1014" s="97"/>
      <c r="BG1014" s="97" t="str">
        <f>IFERROR(__xludf.DUMMYFUNCTION("""COMPUTED_VALUE"""),"Activo")</f>
        <v>Activo</v>
      </c>
    </row>
    <row r="1015">
      <c r="A1015" s="97">
        <f>IFERROR(__xludf.DUMMYFUNCTION("""COMPUTED_VALUE"""),6801.0)</f>
        <v>6801</v>
      </c>
      <c r="B1015" s="97" t="str">
        <f>IFERROR(__xludf.DUMMYFUNCTION("""COMPUTED_VALUE"""),"COSMO NG")</f>
        <v>COSMO NG</v>
      </c>
      <c r="C1015" s="97" t="str">
        <f>IFERROR(__xludf.DUMMYFUNCTION("""COMPUTED_VALUE"""),"COLGANTE COSMO NG 38W 3000/4000/6000K 2250LM CRI&gt;95 IP20 LEUK")</f>
        <v>COLGANTE COSMO NG 38W 3000/4000/6000K 2250LM CRI&gt;95 IP20 LEUK</v>
      </c>
      <c r="D1015" s="97">
        <f>IFERROR(__xludf.DUMMYFUNCTION("""COMPUTED_VALUE"""),7.798413223026E12)</f>
        <v>7798413223026</v>
      </c>
      <c r="E1015" s="97" t="str">
        <f>IFERROR(__xludf.DUMMYFUNCTION("""COMPUTED_VALUE"""),"A113")</f>
        <v>A113</v>
      </c>
      <c r="F1015" s="97" t="str">
        <f>IFERROR(__xludf.DUMMYFUNCTION("""COMPUTED_VALUE"""),"LED integrado")</f>
        <v>LED integrado</v>
      </c>
      <c r="G1015" s="97" t="str">
        <f>IFERROR(__xludf.DUMMYFUNCTION("""COMPUTED_VALUE"""),"-")</f>
        <v>-</v>
      </c>
      <c r="H1015" s="97" t="str">
        <f>IFERROR(__xludf.DUMMYFUNCTION("""COMPUTED_VALUE"""),"-")</f>
        <v>-</v>
      </c>
      <c r="I1015" s="97"/>
      <c r="J1015" s="97" t="str">
        <f>IFERROR(__xludf.DUMMYFUNCTION("""COMPUTED_VALUE"""),"Modelo: CX-37-50Wx1
In: 175-265Vac 50/60Hz
Out: 110-175V 220mA")</f>
        <v>Modelo: CX-37-50Wx1
In: 175-265Vac 50/60Hz
Out: 110-175V 220mA</v>
      </c>
      <c r="K1015" s="97" t="str">
        <f>IFERROR(__xludf.DUMMYFUNCTION("""COMPUTED_VALUE"""),"ON/OFF")</f>
        <v>ON/OFF</v>
      </c>
      <c r="L1015" s="97" t="str">
        <f>IFERROR(__xludf.DUMMYFUNCTION("""COMPUTED_VALUE"""),"220-240")</f>
        <v>220-240</v>
      </c>
      <c r="M1015" s="97" t="str">
        <f>IFERROR(__xludf.DUMMYFUNCTION("""COMPUTED_VALUE"""),"50/60")</f>
        <v>50/60</v>
      </c>
      <c r="N1015" s="97" t="str">
        <f>IFERROR(__xludf.DUMMYFUNCTION("""COMPUTED_VALUE"""),"Directa-Simétrica")</f>
        <v>Directa-Simétrica</v>
      </c>
      <c r="O1015" s="97">
        <f>IFERROR(__xludf.DUMMYFUNCTION("""COMPUTED_VALUE"""),38.0)</f>
        <v>38</v>
      </c>
      <c r="P1015" s="97"/>
      <c r="Q1015" s="97">
        <f>IFERROR(__xludf.DUMMYFUNCTION("""COMPUTED_VALUE"""),0.62)</f>
        <v>0.62</v>
      </c>
      <c r="R1015" s="97" t="str">
        <f>IFERROR(__xludf.DUMMYFUNCTION("""COMPUTED_VALUE"""),"-")</f>
        <v>-</v>
      </c>
      <c r="S1015" s="97" t="str">
        <f>IFERROR(__xludf.DUMMYFUNCTION("""COMPUTED_VALUE"""),"-")</f>
        <v>-</v>
      </c>
      <c r="T1015" s="97">
        <f>IFERROR(__xludf.DUMMYFUNCTION("""COMPUTED_VALUE"""),2250.0)</f>
        <v>2250</v>
      </c>
      <c r="U1015" s="99">
        <f>IFERROR(__xludf.DUMMYFUNCTION("""COMPUTED_VALUE"""),59.21052631578947)</f>
        <v>59.21052632</v>
      </c>
      <c r="V1015" s="97">
        <f>IFERROR(__xludf.DUMMYFUNCTION("""COMPUTED_VALUE"""),135.0)</f>
        <v>135</v>
      </c>
      <c r="W1015" s="97" t="str">
        <f>IFERROR(__xludf.DUMMYFUNCTION("""COMPUTED_VALUE"""),"&lt; 20")</f>
        <v>&lt; 20</v>
      </c>
      <c r="X1015" s="97" t="str">
        <f>IFERROR(__xludf.DUMMYFUNCTION("""COMPUTED_VALUE"""),"3000/4000/6000")</f>
        <v>3000/4000/6000</v>
      </c>
      <c r="Y1015" s="97" t="str">
        <f>IFERROR(__xludf.DUMMYFUNCTION("""COMPUTED_VALUE"""),"&gt;95")</f>
        <v>&gt;95</v>
      </c>
      <c r="Z1015" s="97"/>
      <c r="AA1015" s="97"/>
      <c r="AB1015" s="97"/>
      <c r="AC1015" s="97"/>
      <c r="AD1015" s="97" t="str">
        <f>IFERROR(__xludf.DUMMYFUNCTION("""COMPUTED_VALUE"""),"IP20")</f>
        <v>IP20</v>
      </c>
      <c r="AE1015" s="97" t="str">
        <f>IFERROR(__xludf.DUMMYFUNCTION("""COMPUTED_VALUE"""),"Clase l")</f>
        <v>Clase l</v>
      </c>
      <c r="AF1015" s="97" t="str">
        <f>IFERROR(__xludf.DUMMYFUNCTION("""COMPUTED_VALUE"""),"Suspender")</f>
        <v>Suspender</v>
      </c>
      <c r="AG1015" s="97" t="str">
        <f>IFERROR(__xludf.DUMMYFUNCTION("""COMPUTED_VALUE"""),"Ø520 x 75")</f>
        <v>Ø520 x 75</v>
      </c>
      <c r="AH1015" s="97" t="str">
        <f>IFERROR(__xludf.DUMMYFUNCTION("""COMPUTED_VALUE"""),"N/A")</f>
        <v>N/A</v>
      </c>
      <c r="AI1015" s="97" t="str">
        <f>IFERROR(__xludf.DUMMYFUNCTION("""COMPUTED_VALUE"""),"N/A")</f>
        <v>N/A</v>
      </c>
      <c r="AJ1015" s="97" t="str">
        <f>IFERROR(__xludf.DUMMYFUNCTION("""COMPUTED_VALUE"""),"PVC")</f>
        <v>PVC</v>
      </c>
      <c r="AK1015" s="97" t="str">
        <f>IFERROR(__xludf.DUMMYFUNCTION("""COMPUTED_VALUE"""),"Acero")</f>
        <v>Acero</v>
      </c>
      <c r="AL1015" s="97" t="str">
        <f>IFERROR(__xludf.DUMMYFUNCTION("""COMPUTED_VALUE"""),"Negro Satinado")</f>
        <v>Negro Satinado</v>
      </c>
      <c r="AM1015" s="97" t="str">
        <f>IFERROR(__xludf.DUMMYFUNCTION("""COMPUTED_VALUE"""),"-")</f>
        <v>-</v>
      </c>
      <c r="AN1015" s="97" t="str">
        <f>IFERROR(__xludf.DUMMYFUNCTION("""COMPUTED_VALUE"""),"25.000hs (L70)")</f>
        <v>25.000hs (L70)</v>
      </c>
      <c r="AO1015" s="97" t="str">
        <f>IFERROR(__xludf.DUMMYFUNCTION("""COMPUTED_VALUE"""),"2 Años")</f>
        <v>2 Años</v>
      </c>
      <c r="AP1015" s="97" t="str">
        <f>IFERROR(__xludf.DUMMYFUNCTION("""COMPUTED_VALUE"""),"Disponible")</f>
        <v>Disponible</v>
      </c>
      <c r="AQ1015" s="97" t="str">
        <f>IFERROR(__xludf.DUMMYFUNCTION("""COMPUTED_VALUE"""),"Disponible")</f>
        <v>Disponible</v>
      </c>
      <c r="AR1015" s="97" t="str">
        <f>IFERROR(__xludf.DUMMYFUNCTION("""COMPUTED_VALUE"""),"Disponible")</f>
        <v>Disponible</v>
      </c>
      <c r="AS1015" s="97"/>
      <c r="AT1015" s="97"/>
      <c r="AU1015" s="97" t="str">
        <f>IFERROR(__xludf.DUMMYFUNCTION("""COMPUTED_VALUE"""),"Falta")</f>
        <v>Falta</v>
      </c>
      <c r="AV1015" s="97" t="str">
        <f>IFERROR(__xludf.DUMMYFUNCTION("""COMPUTED_VALUE"""),"Colgante")</f>
        <v>Colgante</v>
      </c>
      <c r="AW1015" s="97" t="str">
        <f>IFERROR(__xludf.DUMMYFUNCTION("""COMPUTED_VALUE"""),"De Techo")</f>
        <v>De Techo</v>
      </c>
      <c r="AX1015" s="97" t="str">
        <f>IFERROR(__xludf.DUMMYFUNCTION("""COMPUTED_VALUE"""),"Interior")</f>
        <v>Interior</v>
      </c>
      <c r="AY1015" s="97" t="str">
        <f>IFERROR(__xludf.DUMMYFUNCTION("""COMPUTED_VALUE"""),"-")</f>
        <v>-</v>
      </c>
      <c r="AZ1015" s="97" t="str">
        <f>IFERROR(__xludf.DUMMYFUNCTION("""COMPUTED_VALUE"""),"Florón Ø130 x 40mm. Altura colgado 95cm máx. Switch p/cambio de color.")</f>
        <v>Florón Ø130 x 40mm. Altura colgado 95cm máx. Switch p/cambio de color.</v>
      </c>
      <c r="BA1015" s="97">
        <f>IFERROR(__xludf.DUMMYFUNCTION("""COMPUTED_VALUE"""),1.0)</f>
        <v>1</v>
      </c>
      <c r="BB1015" s="97" t="str">
        <f>IFERROR(__xludf.DUMMYFUNCTION("""COMPUTED_VALUE"""),"-")</f>
        <v>-</v>
      </c>
      <c r="BC1015" s="97" t="str">
        <f>IFERROR(__xludf.DUMMYFUNCTION("""COMPUTED_VALUE"""),"-")</f>
        <v>-</v>
      </c>
      <c r="BD1015" s="97" t="str">
        <f>IFERROR(__xludf.DUMMYFUNCTION("""COMPUTED_VALUE"""),"COSMO")</f>
        <v>COSMO</v>
      </c>
      <c r="BE1015" s="97" t="str">
        <f>IFERROR(__xludf.DUMMYFUNCTION("""COMPUTED_VALUE"""),"Finalizada")</f>
        <v>Finalizada</v>
      </c>
      <c r="BF1015" s="97"/>
      <c r="BG1015" s="97" t="str">
        <f>IFERROR(__xludf.DUMMYFUNCTION("""COMPUTED_VALUE"""),"Activo")</f>
        <v>Activo</v>
      </c>
    </row>
    <row r="1016">
      <c r="A1016" s="97">
        <f>IFERROR(__xludf.DUMMYFUNCTION("""COMPUTED_VALUE"""),6802.0)</f>
        <v>6802</v>
      </c>
      <c r="B1016" s="97" t="str">
        <f>IFERROR(__xludf.DUMMYFUNCTION("""COMPUTED_VALUE"""),"ARKANSAS-3 S BL")</f>
        <v>ARKANSAS-3 S BL</v>
      </c>
      <c r="C1016" s="97" t="str">
        <f>IFERROR(__xludf.DUMMYFUNCTION("""COMPUTED_VALUE"""),"COLGANTE ARKANSAS-3 S BL 76W 3000/4000/6000K 7600LM CRI&gt;90 IP20 LEUK")</f>
        <v>COLGANTE ARKANSAS-3 S BL 76W 3000/4000/6000K 7600LM CRI&gt;90 IP20 LEUK</v>
      </c>
      <c r="D1016" s="97">
        <f>IFERROR(__xludf.DUMMYFUNCTION("""COMPUTED_VALUE"""),7.798413223033E12)</f>
        <v>7798413223033</v>
      </c>
      <c r="E1016" s="97" t="str">
        <f>IFERROR(__xludf.DUMMYFUNCTION("""COMPUTED_VALUE"""),"A75")</f>
        <v>A75</v>
      </c>
      <c r="F1016" s="97" t="str">
        <f>IFERROR(__xludf.DUMMYFUNCTION("""COMPUTED_VALUE"""),"LED integrado")</f>
        <v>LED integrado</v>
      </c>
      <c r="G1016" s="97" t="str">
        <f>IFERROR(__xludf.DUMMYFUNCTION("""COMPUTED_VALUE"""),"-")</f>
        <v>-</v>
      </c>
      <c r="H1016" s="97" t="str">
        <f>IFERROR(__xludf.DUMMYFUNCTION("""COMPUTED_VALUE"""),"-")</f>
        <v>-</v>
      </c>
      <c r="I1016" s="97"/>
      <c r="J1016" s="97"/>
      <c r="K1016" s="97" t="str">
        <f>IFERROR(__xludf.DUMMYFUNCTION("""COMPUTED_VALUE"""),"ON/OFF")</f>
        <v>ON/OFF</v>
      </c>
      <c r="L1016" s="97" t="str">
        <f>IFERROR(__xludf.DUMMYFUNCTION("""COMPUTED_VALUE"""),"220-240")</f>
        <v>220-240</v>
      </c>
      <c r="M1016" s="97" t="str">
        <f>IFERROR(__xludf.DUMMYFUNCTION("""COMPUTED_VALUE"""),"50/60")</f>
        <v>50/60</v>
      </c>
      <c r="N1016" s="97" t="str">
        <f>IFERROR(__xludf.DUMMYFUNCTION("""COMPUTED_VALUE"""),"Directa-Simétrica")</f>
        <v>Directa-Simétrica</v>
      </c>
      <c r="O1016" s="97">
        <f>IFERROR(__xludf.DUMMYFUNCTION("""COMPUTED_VALUE"""),76.0)</f>
        <v>76</v>
      </c>
      <c r="P1016" s="97"/>
      <c r="Q1016" s="97">
        <f>IFERROR(__xludf.DUMMYFUNCTION("""COMPUTED_VALUE"""),0.58)</f>
        <v>0.58</v>
      </c>
      <c r="R1016" s="97" t="str">
        <f>IFERROR(__xludf.DUMMYFUNCTION("""COMPUTED_VALUE"""),"-")</f>
        <v>-</v>
      </c>
      <c r="S1016" s="97" t="str">
        <f>IFERROR(__xludf.DUMMYFUNCTION("""COMPUTED_VALUE"""),"-")</f>
        <v>-</v>
      </c>
      <c r="T1016" s="97">
        <f>IFERROR(__xludf.DUMMYFUNCTION("""COMPUTED_VALUE"""),7600.0)</f>
        <v>7600</v>
      </c>
      <c r="U1016" s="99">
        <f>IFERROR(__xludf.DUMMYFUNCTION("""COMPUTED_VALUE"""),100.0)</f>
        <v>100</v>
      </c>
      <c r="V1016" s="97" t="str">
        <f>IFERROR(__xludf.DUMMYFUNCTION("""COMPUTED_VALUE"""),"-")</f>
        <v>-</v>
      </c>
      <c r="W1016" s="97" t="str">
        <f>IFERROR(__xludf.DUMMYFUNCTION("""COMPUTED_VALUE"""),"&lt; 20")</f>
        <v>&lt; 20</v>
      </c>
      <c r="X1016" s="97" t="str">
        <f>IFERROR(__xludf.DUMMYFUNCTION("""COMPUTED_VALUE"""),"3000/4000/6000")</f>
        <v>3000/4000/6000</v>
      </c>
      <c r="Y1016" s="97" t="str">
        <f>IFERROR(__xludf.DUMMYFUNCTION("""COMPUTED_VALUE"""),"&gt;90")</f>
        <v>&gt;90</v>
      </c>
      <c r="Z1016" s="97"/>
      <c r="AA1016" s="97"/>
      <c r="AB1016" s="97"/>
      <c r="AC1016" s="97"/>
      <c r="AD1016" s="97" t="str">
        <f>IFERROR(__xludf.DUMMYFUNCTION("""COMPUTED_VALUE"""),"IP20")</f>
        <v>IP20</v>
      </c>
      <c r="AE1016" s="97" t="str">
        <f>IFERROR(__xludf.DUMMYFUNCTION("""COMPUTED_VALUE"""),"Clase l")</f>
        <v>Clase l</v>
      </c>
      <c r="AF1016" s="97" t="str">
        <f>IFERROR(__xludf.DUMMYFUNCTION("""COMPUTED_VALUE"""),"Suspender")</f>
        <v>Suspender</v>
      </c>
      <c r="AG1016" s="97" t="str">
        <f>IFERROR(__xludf.DUMMYFUNCTION("""COMPUTED_VALUE"""),"(Ø400/Ø600/Ø800) x 70")</f>
        <v>(Ø400/Ø600/Ø800) x 70</v>
      </c>
      <c r="AH1016" s="97" t="str">
        <f>IFERROR(__xludf.DUMMYFUNCTION("""COMPUTED_VALUE"""),"N/A")</f>
        <v>N/A</v>
      </c>
      <c r="AI1016" s="97" t="str">
        <f>IFERROR(__xludf.DUMMYFUNCTION("""COMPUTED_VALUE"""),"N/A")</f>
        <v>N/A</v>
      </c>
      <c r="AJ1016" s="97" t="str">
        <f>IFERROR(__xludf.DUMMYFUNCTION("""COMPUTED_VALUE"""),"PVC")</f>
        <v>PVC</v>
      </c>
      <c r="AK1016" s="97" t="str">
        <f>IFERROR(__xludf.DUMMYFUNCTION("""COMPUTED_VALUE"""),"Acero")</f>
        <v>Acero</v>
      </c>
      <c r="AL1016" s="97" t="str">
        <f>IFERROR(__xludf.DUMMYFUNCTION("""COMPUTED_VALUE"""),"Blanco Satinado")</f>
        <v>Blanco Satinado</v>
      </c>
      <c r="AM1016" s="97" t="str">
        <f>IFERROR(__xludf.DUMMYFUNCTION("""COMPUTED_VALUE"""),"-")</f>
        <v>-</v>
      </c>
      <c r="AN1016" s="97" t="str">
        <f>IFERROR(__xludf.DUMMYFUNCTION("""COMPUTED_VALUE"""),"25.000hs (L70)")</f>
        <v>25.000hs (L70)</v>
      </c>
      <c r="AO1016" s="97" t="str">
        <f>IFERROR(__xludf.DUMMYFUNCTION("""COMPUTED_VALUE"""),"2 Años")</f>
        <v>2 Años</v>
      </c>
      <c r="AP1016" s="97" t="str">
        <f>IFERROR(__xludf.DUMMYFUNCTION("""COMPUTED_VALUE"""),"Falta")</f>
        <v>Falta</v>
      </c>
      <c r="AQ1016" s="97" t="str">
        <f>IFERROR(__xludf.DUMMYFUNCTION("""COMPUTED_VALUE"""),"Falta")</f>
        <v>Falta</v>
      </c>
      <c r="AR1016" s="97" t="str">
        <f>IFERROR(__xludf.DUMMYFUNCTION("""COMPUTED_VALUE"""),"Falta")</f>
        <v>Falta</v>
      </c>
      <c r="AS1016" s="97"/>
      <c r="AT1016" s="97"/>
      <c r="AU1016" s="97" t="str">
        <f>IFERROR(__xludf.DUMMYFUNCTION("""COMPUTED_VALUE"""),"Falta")</f>
        <v>Falta</v>
      </c>
      <c r="AV1016" s="97" t="str">
        <f>IFERROR(__xludf.DUMMYFUNCTION("""COMPUTED_VALUE"""),"Colgante")</f>
        <v>Colgante</v>
      </c>
      <c r="AW1016" s="97" t="str">
        <f>IFERROR(__xludf.DUMMYFUNCTION("""COMPUTED_VALUE"""),"De Techo")</f>
        <v>De Techo</v>
      </c>
      <c r="AX1016" s="97" t="str">
        <f>IFERROR(__xludf.DUMMYFUNCTION("""COMPUTED_VALUE"""),"Interior")</f>
        <v>Interior</v>
      </c>
      <c r="AY1016" s="97" t="str">
        <f>IFERROR(__xludf.DUMMYFUNCTION("""COMPUTED_VALUE"""),"-")</f>
        <v>-</v>
      </c>
      <c r="AZ1016" s="97" t="str">
        <f>IFERROR(__xludf.DUMMYFUNCTION("""COMPUTED_VALUE"""),"Florón Ø190 x 40. Altura colgado 190cm máx. 2 Switch p/cambio de color. Switch p/Aro Gr y otro p/Med y Ch")</f>
        <v>Florón Ø190 x 40. Altura colgado 190cm máx. 2 Switch p/cambio de color. Switch p/Aro Gr y otro p/Med y Ch</v>
      </c>
      <c r="BA1016" s="97">
        <f>IFERROR(__xludf.DUMMYFUNCTION("""COMPUTED_VALUE"""),1.0)</f>
        <v>1</v>
      </c>
      <c r="BB1016" s="97" t="str">
        <f>IFERROR(__xludf.DUMMYFUNCTION("""COMPUTED_VALUE"""),"-")</f>
        <v>-</v>
      </c>
      <c r="BC1016" s="97" t="str">
        <f>IFERROR(__xludf.DUMMYFUNCTION("""COMPUTED_VALUE"""),"-")</f>
        <v>-</v>
      </c>
      <c r="BD1016" s="97" t="str">
        <f>IFERROR(__xludf.DUMMYFUNCTION("""COMPUTED_VALUE"""),"ARKANSAS")</f>
        <v>ARKANSAS</v>
      </c>
      <c r="BE1016" s="97" t="str">
        <f>IFERROR(__xludf.DUMMYFUNCTION("""COMPUTED_VALUE"""),"Finalizada")</f>
        <v>Finalizada</v>
      </c>
      <c r="BF1016" s="97"/>
      <c r="BG1016" s="97" t="str">
        <f>IFERROR(__xludf.DUMMYFUNCTION("""COMPUTED_VALUE"""),"Activo")</f>
        <v>Activo</v>
      </c>
    </row>
    <row r="1017">
      <c r="A1017" s="97">
        <f>IFERROR(__xludf.DUMMYFUNCTION("""COMPUTED_VALUE"""),6803.0)</f>
        <v>6803</v>
      </c>
      <c r="B1017" s="97" t="str">
        <f>IFERROR(__xludf.DUMMYFUNCTION("""COMPUTED_VALUE"""),"ARKANSAS-3 S NG")</f>
        <v>ARKANSAS-3 S NG</v>
      </c>
      <c r="C1017" s="97" t="str">
        <f>IFERROR(__xludf.DUMMYFUNCTION("""COMPUTED_VALUE"""),"COLGANTE ARKANSAS-3 S NG 76W 3000/4000/6000K 7600LM CRI&gt;90 IP20 LEUK")</f>
        <v>COLGANTE ARKANSAS-3 S NG 76W 3000/4000/6000K 7600LM CRI&gt;90 IP20 LEUK</v>
      </c>
      <c r="D1017" s="97">
        <f>IFERROR(__xludf.DUMMYFUNCTION("""COMPUTED_VALUE"""),7.79841322304E12)</f>
        <v>7798413223040</v>
      </c>
      <c r="E1017" s="97" t="str">
        <f>IFERROR(__xludf.DUMMYFUNCTION("""COMPUTED_VALUE"""),"A75")</f>
        <v>A75</v>
      </c>
      <c r="F1017" s="97" t="str">
        <f>IFERROR(__xludf.DUMMYFUNCTION("""COMPUTED_VALUE"""),"LED integrado")</f>
        <v>LED integrado</v>
      </c>
      <c r="G1017" s="97" t="str">
        <f>IFERROR(__xludf.DUMMYFUNCTION("""COMPUTED_VALUE"""),"-")</f>
        <v>-</v>
      </c>
      <c r="H1017" s="97" t="str">
        <f>IFERROR(__xludf.DUMMYFUNCTION("""COMPUTED_VALUE"""),"-")</f>
        <v>-</v>
      </c>
      <c r="I1017" s="97"/>
      <c r="J1017" s="97"/>
      <c r="K1017" s="97" t="str">
        <f>IFERROR(__xludf.DUMMYFUNCTION("""COMPUTED_VALUE"""),"ON/OFF")</f>
        <v>ON/OFF</v>
      </c>
      <c r="L1017" s="97" t="str">
        <f>IFERROR(__xludf.DUMMYFUNCTION("""COMPUTED_VALUE"""),"220-240")</f>
        <v>220-240</v>
      </c>
      <c r="M1017" s="97" t="str">
        <f>IFERROR(__xludf.DUMMYFUNCTION("""COMPUTED_VALUE"""),"50/60")</f>
        <v>50/60</v>
      </c>
      <c r="N1017" s="97" t="str">
        <f>IFERROR(__xludf.DUMMYFUNCTION("""COMPUTED_VALUE"""),"Directa-Simétrica")</f>
        <v>Directa-Simétrica</v>
      </c>
      <c r="O1017" s="97">
        <f>IFERROR(__xludf.DUMMYFUNCTION("""COMPUTED_VALUE"""),76.0)</f>
        <v>76</v>
      </c>
      <c r="P1017" s="97"/>
      <c r="Q1017" s="97">
        <f>IFERROR(__xludf.DUMMYFUNCTION("""COMPUTED_VALUE"""),0.58)</f>
        <v>0.58</v>
      </c>
      <c r="R1017" s="97" t="str">
        <f>IFERROR(__xludf.DUMMYFUNCTION("""COMPUTED_VALUE"""),"-")</f>
        <v>-</v>
      </c>
      <c r="S1017" s="97" t="str">
        <f>IFERROR(__xludf.DUMMYFUNCTION("""COMPUTED_VALUE"""),"-")</f>
        <v>-</v>
      </c>
      <c r="T1017" s="97">
        <f>IFERROR(__xludf.DUMMYFUNCTION("""COMPUTED_VALUE"""),7600.0)</f>
        <v>7600</v>
      </c>
      <c r="U1017" s="99">
        <f>IFERROR(__xludf.DUMMYFUNCTION("""COMPUTED_VALUE"""),100.0)</f>
        <v>100</v>
      </c>
      <c r="V1017" s="97" t="str">
        <f>IFERROR(__xludf.DUMMYFUNCTION("""COMPUTED_VALUE"""),"-")</f>
        <v>-</v>
      </c>
      <c r="W1017" s="97" t="str">
        <f>IFERROR(__xludf.DUMMYFUNCTION("""COMPUTED_VALUE"""),"&lt; 20")</f>
        <v>&lt; 20</v>
      </c>
      <c r="X1017" s="97" t="str">
        <f>IFERROR(__xludf.DUMMYFUNCTION("""COMPUTED_VALUE"""),"3000/4000/6000")</f>
        <v>3000/4000/6000</v>
      </c>
      <c r="Y1017" s="97" t="str">
        <f>IFERROR(__xludf.DUMMYFUNCTION("""COMPUTED_VALUE"""),"&gt;90")</f>
        <v>&gt;90</v>
      </c>
      <c r="Z1017" s="97"/>
      <c r="AA1017" s="97"/>
      <c r="AB1017" s="97"/>
      <c r="AC1017" s="97"/>
      <c r="AD1017" s="97" t="str">
        <f>IFERROR(__xludf.DUMMYFUNCTION("""COMPUTED_VALUE"""),"IP20")</f>
        <v>IP20</v>
      </c>
      <c r="AE1017" s="97" t="str">
        <f>IFERROR(__xludf.DUMMYFUNCTION("""COMPUTED_VALUE"""),"Clase l")</f>
        <v>Clase l</v>
      </c>
      <c r="AF1017" s="97" t="str">
        <f>IFERROR(__xludf.DUMMYFUNCTION("""COMPUTED_VALUE"""),"Suspender")</f>
        <v>Suspender</v>
      </c>
      <c r="AG1017" s="97" t="str">
        <f>IFERROR(__xludf.DUMMYFUNCTION("""COMPUTED_VALUE"""),"(Ø400/Ø600/Ø800) x 70")</f>
        <v>(Ø400/Ø600/Ø800) x 70</v>
      </c>
      <c r="AH1017" s="97" t="str">
        <f>IFERROR(__xludf.DUMMYFUNCTION("""COMPUTED_VALUE"""),"N/A")</f>
        <v>N/A</v>
      </c>
      <c r="AI1017" s="97" t="str">
        <f>IFERROR(__xludf.DUMMYFUNCTION("""COMPUTED_VALUE"""),"N/A")</f>
        <v>N/A</v>
      </c>
      <c r="AJ1017" s="97" t="str">
        <f>IFERROR(__xludf.DUMMYFUNCTION("""COMPUTED_VALUE"""),"PVC")</f>
        <v>PVC</v>
      </c>
      <c r="AK1017" s="97" t="str">
        <f>IFERROR(__xludf.DUMMYFUNCTION("""COMPUTED_VALUE"""),"Acero")</f>
        <v>Acero</v>
      </c>
      <c r="AL1017" s="97" t="str">
        <f>IFERROR(__xludf.DUMMYFUNCTION("""COMPUTED_VALUE"""),"Negro Satinado")</f>
        <v>Negro Satinado</v>
      </c>
      <c r="AM1017" s="97" t="str">
        <f>IFERROR(__xludf.DUMMYFUNCTION("""COMPUTED_VALUE"""),"-")</f>
        <v>-</v>
      </c>
      <c r="AN1017" s="97" t="str">
        <f>IFERROR(__xludf.DUMMYFUNCTION("""COMPUTED_VALUE"""),"25.000hs (L70)")</f>
        <v>25.000hs (L70)</v>
      </c>
      <c r="AO1017" s="97" t="str">
        <f>IFERROR(__xludf.DUMMYFUNCTION("""COMPUTED_VALUE"""),"2 Años")</f>
        <v>2 Años</v>
      </c>
      <c r="AP1017" s="97" t="str">
        <f>IFERROR(__xludf.DUMMYFUNCTION("""COMPUTED_VALUE"""),"Falta")</f>
        <v>Falta</v>
      </c>
      <c r="AQ1017" s="97" t="str">
        <f>IFERROR(__xludf.DUMMYFUNCTION("""COMPUTED_VALUE"""),"Falta")</f>
        <v>Falta</v>
      </c>
      <c r="AR1017" s="97" t="str">
        <f>IFERROR(__xludf.DUMMYFUNCTION("""COMPUTED_VALUE"""),"Falta")</f>
        <v>Falta</v>
      </c>
      <c r="AS1017" s="97"/>
      <c r="AT1017" s="97"/>
      <c r="AU1017" s="97" t="str">
        <f>IFERROR(__xludf.DUMMYFUNCTION("""COMPUTED_VALUE"""),"Falta")</f>
        <v>Falta</v>
      </c>
      <c r="AV1017" s="97" t="str">
        <f>IFERROR(__xludf.DUMMYFUNCTION("""COMPUTED_VALUE"""),"Colgante")</f>
        <v>Colgante</v>
      </c>
      <c r="AW1017" s="97" t="str">
        <f>IFERROR(__xludf.DUMMYFUNCTION("""COMPUTED_VALUE"""),"De Techo")</f>
        <v>De Techo</v>
      </c>
      <c r="AX1017" s="97" t="str">
        <f>IFERROR(__xludf.DUMMYFUNCTION("""COMPUTED_VALUE"""),"Interior")</f>
        <v>Interior</v>
      </c>
      <c r="AY1017" s="97" t="str">
        <f>IFERROR(__xludf.DUMMYFUNCTION("""COMPUTED_VALUE"""),"-")</f>
        <v>-</v>
      </c>
      <c r="AZ1017" s="97" t="str">
        <f>IFERROR(__xludf.DUMMYFUNCTION("""COMPUTED_VALUE"""),"Florón Ø190 x 40. Altura colgado 190cm máx. 2 Switch p/cambio de color. Switch p/Aro Gr y otro p/Med y Ch")</f>
        <v>Florón Ø190 x 40. Altura colgado 190cm máx. 2 Switch p/cambio de color. Switch p/Aro Gr y otro p/Med y Ch</v>
      </c>
      <c r="BA1017" s="97">
        <f>IFERROR(__xludf.DUMMYFUNCTION("""COMPUTED_VALUE"""),1.0)</f>
        <v>1</v>
      </c>
      <c r="BB1017" s="97" t="str">
        <f>IFERROR(__xludf.DUMMYFUNCTION("""COMPUTED_VALUE"""),"-")</f>
        <v>-</v>
      </c>
      <c r="BC1017" s="97" t="str">
        <f>IFERROR(__xludf.DUMMYFUNCTION("""COMPUTED_VALUE"""),"-")</f>
        <v>-</v>
      </c>
      <c r="BD1017" s="97" t="str">
        <f>IFERROR(__xludf.DUMMYFUNCTION("""COMPUTED_VALUE"""),"ARKANSAS")</f>
        <v>ARKANSAS</v>
      </c>
      <c r="BE1017" s="97" t="str">
        <f>IFERROR(__xludf.DUMMYFUNCTION("""COMPUTED_VALUE"""),"Finalizada")</f>
        <v>Finalizada</v>
      </c>
      <c r="BF1017" s="97"/>
      <c r="BG1017" s="97" t="str">
        <f>IFERROR(__xludf.DUMMYFUNCTION("""COMPUTED_VALUE"""),"Activo")</f>
        <v>Activo</v>
      </c>
    </row>
    <row r="1018">
      <c r="A1018" s="97">
        <f>IFERROR(__xludf.DUMMYFUNCTION("""COMPUTED_VALUE"""),6804.0)</f>
        <v>6804</v>
      </c>
      <c r="B1018" s="97" t="str">
        <f>IFERROR(__xludf.DUMMYFUNCTION("""COMPUTED_VALUE"""),"ORI I BL")</f>
        <v>ORI I BL</v>
      </c>
      <c r="C1018" s="97" t="str">
        <f>IFERROR(__xludf.DUMMYFUNCTION("""COMPUTED_VALUE"""),"EMPOTRABLE ORI I BL 1XGU10 DICRO IP20 LEUK")</f>
        <v>EMPOTRABLE ORI I BL 1XGU10 DICRO IP20 LEUK</v>
      </c>
      <c r="D1018" s="97">
        <f>IFERROR(__xludf.DUMMYFUNCTION("""COMPUTED_VALUE"""),7.798413223088E12)</f>
        <v>7798413223088</v>
      </c>
      <c r="E1018" s="97" t="str">
        <f>IFERROR(__xludf.DUMMYFUNCTION("""COMPUTED_VALUE"""),"-")</f>
        <v>-</v>
      </c>
      <c r="F1018" s="97" t="str">
        <f>IFERROR(__xludf.DUMMYFUNCTION("""COMPUTED_VALUE"""),"1xGU10 Dicro")</f>
        <v>1xGU10 Dicro</v>
      </c>
      <c r="G1018" s="97" t="str">
        <f>IFERROR(__xludf.DUMMYFUNCTION("""COMPUTED_VALUE"""),"N/A")</f>
        <v>N/A</v>
      </c>
      <c r="H1018" s="97" t="str">
        <f>IFERROR(__xludf.DUMMYFUNCTION("""COMPUTED_VALUE"""),"N/A")</f>
        <v>N/A</v>
      </c>
      <c r="I1018" s="97" t="str">
        <f>IFERROR(__xludf.DUMMYFUNCTION("""COMPUTED_VALUE"""),"N/A")</f>
        <v>N/A</v>
      </c>
      <c r="J1018" s="97" t="str">
        <f>IFERROR(__xludf.DUMMYFUNCTION("""COMPUTED_VALUE"""),"N/A")</f>
        <v>N/A</v>
      </c>
      <c r="K1018" s="97" t="str">
        <f>IFERROR(__xludf.DUMMYFUNCTION("""COMPUTED_VALUE"""),"N/A")</f>
        <v>N/A</v>
      </c>
      <c r="L1018" s="97">
        <f>IFERROR(__xludf.DUMMYFUNCTION("""COMPUTED_VALUE"""),220.0)</f>
        <v>220</v>
      </c>
      <c r="M1018" s="97">
        <f>IFERROR(__xludf.DUMMYFUNCTION("""COMPUTED_VALUE"""),50.0)</f>
        <v>50</v>
      </c>
      <c r="N1018" s="97"/>
      <c r="O1018" s="97" t="str">
        <f>IFERROR(__xludf.DUMMYFUNCTION("""COMPUTED_VALUE"""),"1 x 50W Max")</f>
        <v>1 x 50W Max</v>
      </c>
      <c r="P1018" s="97"/>
      <c r="Q1018" s="97" t="str">
        <f>IFERROR(__xludf.DUMMYFUNCTION("""COMPUTED_VALUE"""),"-")</f>
        <v>-</v>
      </c>
      <c r="R1018" s="97" t="str">
        <f>IFERROR(__xludf.DUMMYFUNCTION("""COMPUTED_VALUE"""),"-")</f>
        <v>-</v>
      </c>
      <c r="S1018" s="97" t="str">
        <f>IFERROR(__xludf.DUMMYFUNCTION("""COMPUTED_VALUE"""),"-")</f>
        <v>-</v>
      </c>
      <c r="T1018" s="97" t="str">
        <f>IFERROR(__xludf.DUMMYFUNCTION("""COMPUTED_VALUE"""),"-")</f>
        <v>-</v>
      </c>
      <c r="U1018" s="97" t="str">
        <f>IFERROR(__xludf.DUMMYFUNCTION("""COMPUTED_VALUE"""),"-")</f>
        <v>-</v>
      </c>
      <c r="V1018" s="97" t="str">
        <f>IFERROR(__xludf.DUMMYFUNCTION("""COMPUTED_VALUE"""),"N/A")</f>
        <v>N/A</v>
      </c>
      <c r="W1018" s="97" t="str">
        <f>IFERROR(__xludf.DUMMYFUNCTION("""COMPUTED_VALUE"""),"N/A")</f>
        <v>N/A</v>
      </c>
      <c r="X1018" s="97" t="str">
        <f>IFERROR(__xludf.DUMMYFUNCTION("""COMPUTED_VALUE"""),"-")</f>
        <v>-</v>
      </c>
      <c r="Y1018" s="97" t="str">
        <f>IFERROR(__xludf.DUMMYFUNCTION("""COMPUTED_VALUE"""),"N/A")</f>
        <v>N/A</v>
      </c>
      <c r="Z1018" s="97" t="str">
        <f>IFERROR(__xludf.DUMMYFUNCTION("""COMPUTED_VALUE"""),"N/A")</f>
        <v>N/A</v>
      </c>
      <c r="AA1018" s="97" t="str">
        <f>IFERROR(__xludf.DUMMYFUNCTION("""COMPUTED_VALUE"""),"N/A")</f>
        <v>N/A</v>
      </c>
      <c r="AB1018" s="97" t="str">
        <f>IFERROR(__xludf.DUMMYFUNCTION("""COMPUTED_VALUE"""),"N/A")</f>
        <v>N/A</v>
      </c>
      <c r="AC1018" s="97" t="str">
        <f>IFERROR(__xludf.DUMMYFUNCTION("""COMPUTED_VALUE"""),"N/A")</f>
        <v>N/A</v>
      </c>
      <c r="AD1018" s="97" t="str">
        <f>IFERROR(__xludf.DUMMYFUNCTION("""COMPUTED_VALUE"""),"IP20")</f>
        <v>IP20</v>
      </c>
      <c r="AE1018" s="97" t="str">
        <f>IFERROR(__xludf.DUMMYFUNCTION("""COMPUTED_VALUE"""),"N/A")</f>
        <v>N/A</v>
      </c>
      <c r="AF1018" s="97" t="str">
        <f>IFERROR(__xludf.DUMMYFUNCTION("""COMPUTED_VALUE"""),"Embutir")</f>
        <v>Embutir</v>
      </c>
      <c r="AG1018" s="97" t="str">
        <f>IFERROR(__xludf.DUMMYFUNCTION("""COMPUTED_VALUE"""),"Ø93 x 51")</f>
        <v>Ø93 x 51</v>
      </c>
      <c r="AH1018" s="97" t="str">
        <f>IFERROR(__xludf.DUMMYFUNCTION("""COMPUTED_VALUE"""),"Ø85")</f>
        <v>Ø85</v>
      </c>
      <c r="AI1018" s="97" t="str">
        <f>IFERROR(__xludf.DUMMYFUNCTION("""COMPUTED_VALUE"""),"110 *")</f>
        <v>110 *</v>
      </c>
      <c r="AJ1018" s="97" t="str">
        <f>IFERROR(__xludf.DUMMYFUNCTION("""COMPUTED_VALUE"""),"N/A")</f>
        <v>N/A</v>
      </c>
      <c r="AK1018" s="97" t="str">
        <f>IFERROR(__xludf.DUMMYFUNCTION("""COMPUTED_VALUE"""),"Policarbonato (PC)")</f>
        <v>Policarbonato (PC)</v>
      </c>
      <c r="AL1018" s="97" t="str">
        <f>IFERROR(__xludf.DUMMYFUNCTION("""COMPUTED_VALUE"""),"Blanco Mate")</f>
        <v>Blanco Mate</v>
      </c>
      <c r="AM1018" s="97" t="str">
        <f>IFERROR(__xludf.DUMMYFUNCTION("""COMPUTED_VALUE"""),"-")</f>
        <v>-</v>
      </c>
      <c r="AN1018" s="97" t="str">
        <f>IFERROR(__xludf.DUMMYFUNCTION("""COMPUTED_VALUE"""),"N/A")</f>
        <v>N/A</v>
      </c>
      <c r="AO1018" s="97" t="str">
        <f>IFERROR(__xludf.DUMMYFUNCTION("""COMPUTED_VALUE"""),"8 Años")</f>
        <v>8 Años</v>
      </c>
      <c r="AP1018" s="97" t="str">
        <f>IFERROR(__xludf.DUMMYFUNCTION("""COMPUTED_VALUE"""),"No Aplica")</f>
        <v>No Aplica</v>
      </c>
      <c r="AQ1018" s="97" t="str">
        <f>IFERROR(__xludf.DUMMYFUNCTION("""COMPUTED_VALUE"""),"No Aplica")</f>
        <v>No Aplica</v>
      </c>
      <c r="AR1018" s="97" t="str">
        <f>IFERROR(__xludf.DUMMYFUNCTION("""COMPUTED_VALUE"""),"No Aplica")</f>
        <v>No Aplica</v>
      </c>
      <c r="AS1018" s="97"/>
      <c r="AT1018" s="97"/>
      <c r="AU1018" s="97" t="str">
        <f>IFERROR(__xludf.DUMMYFUNCTION("""COMPUTED_VALUE"""),"Falta")</f>
        <v>Falta</v>
      </c>
      <c r="AV1018" s="97" t="str">
        <f>IFERROR(__xludf.DUMMYFUNCTION("""COMPUTED_VALUE"""),"Empotrable")</f>
        <v>Empotrable</v>
      </c>
      <c r="AW1018" s="97" t="str">
        <f>IFERROR(__xludf.DUMMYFUNCTION("""COMPUTED_VALUE"""),"De Techo")</f>
        <v>De Techo</v>
      </c>
      <c r="AX1018" s="97" t="str">
        <f>IFERROR(__xludf.DUMMYFUNCTION("""COMPUTED_VALUE"""),"Interior")</f>
        <v>Interior</v>
      </c>
      <c r="AY1018" s="97" t="str">
        <f>IFERROR(__xludf.DUMMYFUNCTION("""COMPUTED_VALUE"""),"-")</f>
        <v>-</v>
      </c>
      <c r="AZ1018"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1018" s="97">
        <f>IFERROR(__xludf.DUMMYFUNCTION("""COMPUTED_VALUE"""),100.0)</f>
        <v>100</v>
      </c>
      <c r="BB1018" s="97" t="str">
        <f>IFERROR(__xludf.DUMMYFUNCTION("""COMPUTED_VALUE"""),"-")</f>
        <v>-</v>
      </c>
      <c r="BC1018" s="97" t="str">
        <f>IFERROR(__xludf.DUMMYFUNCTION("""COMPUTED_VALUE"""),"-")</f>
        <v>-</v>
      </c>
      <c r="BD1018" s="97" t="str">
        <f>IFERROR(__xludf.DUMMYFUNCTION("""COMPUTED_VALUE"""),"ORI")</f>
        <v>ORI</v>
      </c>
      <c r="BE1018" s="97" t="str">
        <f>IFERROR(__xludf.DUMMYFUNCTION("""COMPUTED_VALUE"""),"Finalizada")</f>
        <v>Finalizada</v>
      </c>
      <c r="BF1018" s="97"/>
      <c r="BG1018" s="97" t="str">
        <f>IFERROR(__xludf.DUMMYFUNCTION("""COMPUTED_VALUE"""),"Discontinuo")</f>
        <v>Discontinuo</v>
      </c>
    </row>
    <row r="1019">
      <c r="A1019" s="97">
        <f>IFERROR(__xludf.DUMMYFUNCTION("""COMPUTED_VALUE"""),6805.0)</f>
        <v>6805</v>
      </c>
      <c r="B1019" s="97" t="str">
        <f>IFERROR(__xludf.DUMMYFUNCTION("""COMPUTED_VALUE"""),"ORI I NG")</f>
        <v>ORI I NG</v>
      </c>
      <c r="C1019" s="97" t="str">
        <f>IFERROR(__xludf.DUMMYFUNCTION("""COMPUTED_VALUE"""),"EMPOTRABLE ORI I NG 1XGU10 DICRO IP20 LEUK")</f>
        <v>EMPOTRABLE ORI I NG 1XGU10 DICRO IP20 LEUK</v>
      </c>
      <c r="D1019" s="97">
        <f>IFERROR(__xludf.DUMMYFUNCTION("""COMPUTED_VALUE"""),7.798413223095E12)</f>
        <v>7798413223095</v>
      </c>
      <c r="E1019" s="97" t="str">
        <f>IFERROR(__xludf.DUMMYFUNCTION("""COMPUTED_VALUE"""),"-")</f>
        <v>-</v>
      </c>
      <c r="F1019" s="97" t="str">
        <f>IFERROR(__xludf.DUMMYFUNCTION("""COMPUTED_VALUE"""),"1xGU10 Dicro")</f>
        <v>1xGU10 Dicro</v>
      </c>
      <c r="G1019" s="97" t="str">
        <f>IFERROR(__xludf.DUMMYFUNCTION("""COMPUTED_VALUE"""),"N/A")</f>
        <v>N/A</v>
      </c>
      <c r="H1019" s="97" t="str">
        <f>IFERROR(__xludf.DUMMYFUNCTION("""COMPUTED_VALUE"""),"N/A")</f>
        <v>N/A</v>
      </c>
      <c r="I1019" s="97" t="str">
        <f>IFERROR(__xludf.DUMMYFUNCTION("""COMPUTED_VALUE"""),"N/A")</f>
        <v>N/A</v>
      </c>
      <c r="J1019" s="97" t="str">
        <f>IFERROR(__xludf.DUMMYFUNCTION("""COMPUTED_VALUE"""),"N/A")</f>
        <v>N/A</v>
      </c>
      <c r="K1019" s="97" t="str">
        <f>IFERROR(__xludf.DUMMYFUNCTION("""COMPUTED_VALUE"""),"N/A")</f>
        <v>N/A</v>
      </c>
      <c r="L1019" s="97">
        <f>IFERROR(__xludf.DUMMYFUNCTION("""COMPUTED_VALUE"""),220.0)</f>
        <v>220</v>
      </c>
      <c r="M1019" s="97">
        <f>IFERROR(__xludf.DUMMYFUNCTION("""COMPUTED_VALUE"""),50.0)</f>
        <v>50</v>
      </c>
      <c r="N1019" s="97"/>
      <c r="O1019" s="97" t="str">
        <f>IFERROR(__xludf.DUMMYFUNCTION("""COMPUTED_VALUE"""),"1 x 50W Max")</f>
        <v>1 x 50W Max</v>
      </c>
      <c r="P1019" s="97"/>
      <c r="Q1019" s="97" t="str">
        <f>IFERROR(__xludf.DUMMYFUNCTION("""COMPUTED_VALUE"""),"-")</f>
        <v>-</v>
      </c>
      <c r="R1019" s="97" t="str">
        <f>IFERROR(__xludf.DUMMYFUNCTION("""COMPUTED_VALUE"""),"-")</f>
        <v>-</v>
      </c>
      <c r="S1019" s="97" t="str">
        <f>IFERROR(__xludf.DUMMYFUNCTION("""COMPUTED_VALUE"""),"-")</f>
        <v>-</v>
      </c>
      <c r="T1019" s="97" t="str">
        <f>IFERROR(__xludf.DUMMYFUNCTION("""COMPUTED_VALUE"""),"-")</f>
        <v>-</v>
      </c>
      <c r="U1019" s="97" t="str">
        <f>IFERROR(__xludf.DUMMYFUNCTION("""COMPUTED_VALUE"""),"-")</f>
        <v>-</v>
      </c>
      <c r="V1019" s="97" t="str">
        <f>IFERROR(__xludf.DUMMYFUNCTION("""COMPUTED_VALUE"""),"N/A")</f>
        <v>N/A</v>
      </c>
      <c r="W1019" s="97" t="str">
        <f>IFERROR(__xludf.DUMMYFUNCTION("""COMPUTED_VALUE"""),"N/A")</f>
        <v>N/A</v>
      </c>
      <c r="X1019" s="97" t="str">
        <f>IFERROR(__xludf.DUMMYFUNCTION("""COMPUTED_VALUE"""),"-")</f>
        <v>-</v>
      </c>
      <c r="Y1019" s="97" t="str">
        <f>IFERROR(__xludf.DUMMYFUNCTION("""COMPUTED_VALUE"""),"N/A")</f>
        <v>N/A</v>
      </c>
      <c r="Z1019" s="97" t="str">
        <f>IFERROR(__xludf.DUMMYFUNCTION("""COMPUTED_VALUE"""),"N/A")</f>
        <v>N/A</v>
      </c>
      <c r="AA1019" s="97" t="str">
        <f>IFERROR(__xludf.DUMMYFUNCTION("""COMPUTED_VALUE"""),"N/A")</f>
        <v>N/A</v>
      </c>
      <c r="AB1019" s="97" t="str">
        <f>IFERROR(__xludf.DUMMYFUNCTION("""COMPUTED_VALUE"""),"N/A")</f>
        <v>N/A</v>
      </c>
      <c r="AC1019" s="97" t="str">
        <f>IFERROR(__xludf.DUMMYFUNCTION("""COMPUTED_VALUE"""),"N/A")</f>
        <v>N/A</v>
      </c>
      <c r="AD1019" s="97" t="str">
        <f>IFERROR(__xludf.DUMMYFUNCTION("""COMPUTED_VALUE"""),"IP20")</f>
        <v>IP20</v>
      </c>
      <c r="AE1019" s="97" t="str">
        <f>IFERROR(__xludf.DUMMYFUNCTION("""COMPUTED_VALUE"""),"N/A")</f>
        <v>N/A</v>
      </c>
      <c r="AF1019" s="97" t="str">
        <f>IFERROR(__xludf.DUMMYFUNCTION("""COMPUTED_VALUE"""),"Embutir")</f>
        <v>Embutir</v>
      </c>
      <c r="AG1019" s="97" t="str">
        <f>IFERROR(__xludf.DUMMYFUNCTION("""COMPUTED_VALUE"""),"Ø93 x 51")</f>
        <v>Ø93 x 51</v>
      </c>
      <c r="AH1019" s="97" t="str">
        <f>IFERROR(__xludf.DUMMYFUNCTION("""COMPUTED_VALUE"""),"Ø85")</f>
        <v>Ø85</v>
      </c>
      <c r="AI1019" s="97" t="str">
        <f>IFERROR(__xludf.DUMMYFUNCTION("""COMPUTED_VALUE"""),"110 *")</f>
        <v>110 *</v>
      </c>
      <c r="AJ1019" s="97" t="str">
        <f>IFERROR(__xludf.DUMMYFUNCTION("""COMPUTED_VALUE"""),"N/A")</f>
        <v>N/A</v>
      </c>
      <c r="AK1019" s="97" t="str">
        <f>IFERROR(__xludf.DUMMYFUNCTION("""COMPUTED_VALUE"""),"Policarbonato (PC)")</f>
        <v>Policarbonato (PC)</v>
      </c>
      <c r="AL1019" s="97" t="str">
        <f>IFERROR(__xludf.DUMMYFUNCTION("""COMPUTED_VALUE"""),"Negro Mate")</f>
        <v>Negro Mate</v>
      </c>
      <c r="AM1019" s="97" t="str">
        <f>IFERROR(__xludf.DUMMYFUNCTION("""COMPUTED_VALUE"""),"-")</f>
        <v>-</v>
      </c>
      <c r="AN1019" s="97" t="str">
        <f>IFERROR(__xludf.DUMMYFUNCTION("""COMPUTED_VALUE"""),"N/A")</f>
        <v>N/A</v>
      </c>
      <c r="AO1019" s="97" t="str">
        <f>IFERROR(__xludf.DUMMYFUNCTION("""COMPUTED_VALUE"""),"8 Años")</f>
        <v>8 Años</v>
      </c>
      <c r="AP1019" s="97" t="str">
        <f>IFERROR(__xludf.DUMMYFUNCTION("""COMPUTED_VALUE"""),"No Aplica")</f>
        <v>No Aplica</v>
      </c>
      <c r="AQ1019" s="97" t="str">
        <f>IFERROR(__xludf.DUMMYFUNCTION("""COMPUTED_VALUE"""),"No Aplica")</f>
        <v>No Aplica</v>
      </c>
      <c r="AR1019" s="97" t="str">
        <f>IFERROR(__xludf.DUMMYFUNCTION("""COMPUTED_VALUE"""),"No Aplica")</f>
        <v>No Aplica</v>
      </c>
      <c r="AS1019" s="97"/>
      <c r="AT1019" s="97"/>
      <c r="AU1019" s="97" t="str">
        <f>IFERROR(__xludf.DUMMYFUNCTION("""COMPUTED_VALUE"""),"Falta")</f>
        <v>Falta</v>
      </c>
      <c r="AV1019" s="97" t="str">
        <f>IFERROR(__xludf.DUMMYFUNCTION("""COMPUTED_VALUE"""),"Empotrable")</f>
        <v>Empotrable</v>
      </c>
      <c r="AW1019" s="97" t="str">
        <f>IFERROR(__xludf.DUMMYFUNCTION("""COMPUTED_VALUE"""),"De Techo")</f>
        <v>De Techo</v>
      </c>
      <c r="AX1019" s="97" t="str">
        <f>IFERROR(__xludf.DUMMYFUNCTION("""COMPUTED_VALUE"""),"Interior")</f>
        <v>Interior</v>
      </c>
      <c r="AY1019" s="97" t="str">
        <f>IFERROR(__xludf.DUMMYFUNCTION("""COMPUTED_VALUE"""),"-")</f>
        <v>-</v>
      </c>
      <c r="AZ1019"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1019" s="97">
        <f>IFERROR(__xludf.DUMMYFUNCTION("""COMPUTED_VALUE"""),100.0)</f>
        <v>100</v>
      </c>
      <c r="BB1019" s="97" t="str">
        <f>IFERROR(__xludf.DUMMYFUNCTION("""COMPUTED_VALUE"""),"-")</f>
        <v>-</v>
      </c>
      <c r="BC1019" s="97" t="str">
        <f>IFERROR(__xludf.DUMMYFUNCTION("""COMPUTED_VALUE"""),"-")</f>
        <v>-</v>
      </c>
      <c r="BD1019" s="97" t="str">
        <f>IFERROR(__xludf.DUMMYFUNCTION("""COMPUTED_VALUE"""),"ORI")</f>
        <v>ORI</v>
      </c>
      <c r="BE1019" s="97" t="str">
        <f>IFERROR(__xludf.DUMMYFUNCTION("""COMPUTED_VALUE"""),"Finalizada")</f>
        <v>Finalizada</v>
      </c>
      <c r="BF1019" s="97"/>
      <c r="BG1019" s="97" t="str">
        <f>IFERROR(__xludf.DUMMYFUNCTION("""COMPUTED_VALUE"""),"Discontinuo")</f>
        <v>Discontinuo</v>
      </c>
    </row>
    <row r="1020">
      <c r="A1020" s="97">
        <f>IFERROR(__xludf.DUMMYFUNCTION("""COMPUTED_VALUE"""),6806.0)</f>
        <v>6806</v>
      </c>
      <c r="B1020" s="97" t="str">
        <f>IFERROR(__xludf.DUMMYFUNCTION("""COMPUTED_VALUE"""),"OLU I BL")</f>
        <v>OLU I BL</v>
      </c>
      <c r="C1020" s="97" t="str">
        <f>IFERROR(__xludf.DUMMYFUNCTION("""COMPUTED_VALUE"""),"EMPOTRABLE OLU I BL 1XGU10 DICRO IP20 LEUK")</f>
        <v>EMPOTRABLE OLU I BL 1XGU10 DICRO IP20 LEUK</v>
      </c>
      <c r="D1020" s="97">
        <f>IFERROR(__xludf.DUMMYFUNCTION("""COMPUTED_VALUE"""),7.798413223101E12)</f>
        <v>7798413223101</v>
      </c>
      <c r="E1020" s="97" t="str">
        <f>IFERROR(__xludf.DUMMYFUNCTION("""COMPUTED_VALUE"""),"-")</f>
        <v>-</v>
      </c>
      <c r="F1020" s="97" t="str">
        <f>IFERROR(__xludf.DUMMYFUNCTION("""COMPUTED_VALUE"""),"1xGU10 Dicro")</f>
        <v>1xGU10 Dicro</v>
      </c>
      <c r="G1020" s="97" t="str">
        <f>IFERROR(__xludf.DUMMYFUNCTION("""COMPUTED_VALUE"""),"N/A")</f>
        <v>N/A</v>
      </c>
      <c r="H1020" s="97" t="str">
        <f>IFERROR(__xludf.DUMMYFUNCTION("""COMPUTED_VALUE"""),"N/A")</f>
        <v>N/A</v>
      </c>
      <c r="I1020" s="97" t="str">
        <f>IFERROR(__xludf.DUMMYFUNCTION("""COMPUTED_VALUE"""),"N/A")</f>
        <v>N/A</v>
      </c>
      <c r="J1020" s="97" t="str">
        <f>IFERROR(__xludf.DUMMYFUNCTION("""COMPUTED_VALUE"""),"N/A")</f>
        <v>N/A</v>
      </c>
      <c r="K1020" s="97" t="str">
        <f>IFERROR(__xludf.DUMMYFUNCTION("""COMPUTED_VALUE"""),"N/A")</f>
        <v>N/A</v>
      </c>
      <c r="L1020" s="97">
        <f>IFERROR(__xludf.DUMMYFUNCTION("""COMPUTED_VALUE"""),220.0)</f>
        <v>220</v>
      </c>
      <c r="M1020" s="97">
        <f>IFERROR(__xludf.DUMMYFUNCTION("""COMPUTED_VALUE"""),50.0)</f>
        <v>50</v>
      </c>
      <c r="N1020" s="97"/>
      <c r="O1020" s="97" t="str">
        <f>IFERROR(__xludf.DUMMYFUNCTION("""COMPUTED_VALUE"""),"1 x 50W Max")</f>
        <v>1 x 50W Max</v>
      </c>
      <c r="P1020" s="97"/>
      <c r="Q1020" s="97" t="str">
        <f>IFERROR(__xludf.DUMMYFUNCTION("""COMPUTED_VALUE"""),"-")</f>
        <v>-</v>
      </c>
      <c r="R1020" s="97" t="str">
        <f>IFERROR(__xludf.DUMMYFUNCTION("""COMPUTED_VALUE"""),"-")</f>
        <v>-</v>
      </c>
      <c r="S1020" s="97" t="str">
        <f>IFERROR(__xludf.DUMMYFUNCTION("""COMPUTED_VALUE"""),"-")</f>
        <v>-</v>
      </c>
      <c r="T1020" s="97" t="str">
        <f>IFERROR(__xludf.DUMMYFUNCTION("""COMPUTED_VALUE"""),"-")</f>
        <v>-</v>
      </c>
      <c r="U1020" s="97" t="str">
        <f>IFERROR(__xludf.DUMMYFUNCTION("""COMPUTED_VALUE"""),"-")</f>
        <v>-</v>
      </c>
      <c r="V1020" s="97" t="str">
        <f>IFERROR(__xludf.DUMMYFUNCTION("""COMPUTED_VALUE"""),"N/A")</f>
        <v>N/A</v>
      </c>
      <c r="W1020" s="97" t="str">
        <f>IFERROR(__xludf.DUMMYFUNCTION("""COMPUTED_VALUE"""),"N/A")</f>
        <v>N/A</v>
      </c>
      <c r="X1020" s="97" t="str">
        <f>IFERROR(__xludf.DUMMYFUNCTION("""COMPUTED_VALUE"""),"-")</f>
        <v>-</v>
      </c>
      <c r="Y1020" s="97" t="str">
        <f>IFERROR(__xludf.DUMMYFUNCTION("""COMPUTED_VALUE"""),"N/A")</f>
        <v>N/A</v>
      </c>
      <c r="Z1020" s="97" t="str">
        <f>IFERROR(__xludf.DUMMYFUNCTION("""COMPUTED_VALUE"""),"N/A")</f>
        <v>N/A</v>
      </c>
      <c r="AA1020" s="97" t="str">
        <f>IFERROR(__xludf.DUMMYFUNCTION("""COMPUTED_VALUE"""),"N/A")</f>
        <v>N/A</v>
      </c>
      <c r="AB1020" s="97" t="str">
        <f>IFERROR(__xludf.DUMMYFUNCTION("""COMPUTED_VALUE"""),"N/A")</f>
        <v>N/A</v>
      </c>
      <c r="AC1020" s="97" t="str">
        <f>IFERROR(__xludf.DUMMYFUNCTION("""COMPUTED_VALUE"""),"N/A")</f>
        <v>N/A</v>
      </c>
      <c r="AD1020" s="97" t="str">
        <f>IFERROR(__xludf.DUMMYFUNCTION("""COMPUTED_VALUE"""),"IP20")</f>
        <v>IP20</v>
      </c>
      <c r="AE1020" s="97" t="str">
        <f>IFERROR(__xludf.DUMMYFUNCTION("""COMPUTED_VALUE"""),"N/A")</f>
        <v>N/A</v>
      </c>
      <c r="AF1020" s="97" t="str">
        <f>IFERROR(__xludf.DUMMYFUNCTION("""COMPUTED_VALUE"""),"Embutir")</f>
        <v>Embutir</v>
      </c>
      <c r="AG1020" s="97" t="str">
        <f>IFERROR(__xludf.DUMMYFUNCTION("""COMPUTED_VALUE"""),"93 x 93 x 50")</f>
        <v>93 x 93 x 50</v>
      </c>
      <c r="AH1020" s="97" t="str">
        <f>IFERROR(__xludf.DUMMYFUNCTION("""COMPUTED_VALUE"""),"Ø85")</f>
        <v>Ø85</v>
      </c>
      <c r="AI1020" s="97" t="str">
        <f>IFERROR(__xludf.DUMMYFUNCTION("""COMPUTED_VALUE"""),"110 *")</f>
        <v>110 *</v>
      </c>
      <c r="AJ1020" s="97" t="str">
        <f>IFERROR(__xludf.DUMMYFUNCTION("""COMPUTED_VALUE"""),"N/A")</f>
        <v>N/A</v>
      </c>
      <c r="AK1020" s="97" t="str">
        <f>IFERROR(__xludf.DUMMYFUNCTION("""COMPUTED_VALUE"""),"Policarbonato (PC)")</f>
        <v>Policarbonato (PC)</v>
      </c>
      <c r="AL1020" s="97" t="str">
        <f>IFERROR(__xludf.DUMMYFUNCTION("""COMPUTED_VALUE"""),"Blanco Mate")</f>
        <v>Blanco Mate</v>
      </c>
      <c r="AM1020" s="97" t="str">
        <f>IFERROR(__xludf.DUMMYFUNCTION("""COMPUTED_VALUE"""),"-")</f>
        <v>-</v>
      </c>
      <c r="AN1020" s="97" t="str">
        <f>IFERROR(__xludf.DUMMYFUNCTION("""COMPUTED_VALUE"""),"N/A")</f>
        <v>N/A</v>
      </c>
      <c r="AO1020" s="97" t="str">
        <f>IFERROR(__xludf.DUMMYFUNCTION("""COMPUTED_VALUE"""),"8 Años")</f>
        <v>8 Años</v>
      </c>
      <c r="AP1020" s="97" t="str">
        <f>IFERROR(__xludf.DUMMYFUNCTION("""COMPUTED_VALUE"""),"No Aplica")</f>
        <v>No Aplica</v>
      </c>
      <c r="AQ1020" s="97" t="str">
        <f>IFERROR(__xludf.DUMMYFUNCTION("""COMPUTED_VALUE"""),"No Aplica")</f>
        <v>No Aplica</v>
      </c>
      <c r="AR1020" s="97" t="str">
        <f>IFERROR(__xludf.DUMMYFUNCTION("""COMPUTED_VALUE"""),"No Aplica")</f>
        <v>No Aplica</v>
      </c>
      <c r="AS1020" s="97"/>
      <c r="AT1020" s="97"/>
      <c r="AU1020" s="97" t="str">
        <f>IFERROR(__xludf.DUMMYFUNCTION("""COMPUTED_VALUE"""),"Falta")</f>
        <v>Falta</v>
      </c>
      <c r="AV1020" s="97" t="str">
        <f>IFERROR(__xludf.DUMMYFUNCTION("""COMPUTED_VALUE"""),"Empotrable")</f>
        <v>Empotrable</v>
      </c>
      <c r="AW1020" s="97" t="str">
        <f>IFERROR(__xludf.DUMMYFUNCTION("""COMPUTED_VALUE"""),"De Techo")</f>
        <v>De Techo</v>
      </c>
      <c r="AX1020" s="97" t="str">
        <f>IFERROR(__xludf.DUMMYFUNCTION("""COMPUTED_VALUE"""),"Interior")</f>
        <v>Interior</v>
      </c>
      <c r="AY1020" s="97" t="str">
        <f>IFERROR(__xludf.DUMMYFUNCTION("""COMPUTED_VALUE"""),"-")</f>
        <v>-</v>
      </c>
      <c r="AZ1020"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1020" s="97">
        <f>IFERROR(__xludf.DUMMYFUNCTION("""COMPUTED_VALUE"""),100.0)</f>
        <v>100</v>
      </c>
      <c r="BB1020" s="97" t="str">
        <f>IFERROR(__xludf.DUMMYFUNCTION("""COMPUTED_VALUE"""),"-")</f>
        <v>-</v>
      </c>
      <c r="BC1020" s="97" t="str">
        <f>IFERROR(__xludf.DUMMYFUNCTION("""COMPUTED_VALUE"""),"-")</f>
        <v>-</v>
      </c>
      <c r="BD1020" s="97" t="str">
        <f>IFERROR(__xludf.DUMMYFUNCTION("""COMPUTED_VALUE"""),"OLU")</f>
        <v>OLU</v>
      </c>
      <c r="BE1020" s="97" t="str">
        <f>IFERROR(__xludf.DUMMYFUNCTION("""COMPUTED_VALUE"""),"Finalizada")</f>
        <v>Finalizada</v>
      </c>
      <c r="BF1020" s="97"/>
      <c r="BG1020" s="97" t="str">
        <f>IFERROR(__xludf.DUMMYFUNCTION("""COMPUTED_VALUE"""),"Discontinuo")</f>
        <v>Discontinuo</v>
      </c>
    </row>
    <row r="1021">
      <c r="A1021" s="97">
        <f>IFERROR(__xludf.DUMMYFUNCTION("""COMPUTED_VALUE"""),6807.0)</f>
        <v>6807</v>
      </c>
      <c r="B1021" s="97" t="str">
        <f>IFERROR(__xludf.DUMMYFUNCTION("""COMPUTED_VALUE"""),"OLU I NG")</f>
        <v>OLU I NG</v>
      </c>
      <c r="C1021" s="97" t="str">
        <f>IFERROR(__xludf.DUMMYFUNCTION("""COMPUTED_VALUE"""),"EMPOTRABLE OLU I NG 1XGU10 DICRO IP20 LEUK")</f>
        <v>EMPOTRABLE OLU I NG 1XGU10 DICRO IP20 LEUK</v>
      </c>
      <c r="D1021" s="97">
        <f>IFERROR(__xludf.DUMMYFUNCTION("""COMPUTED_VALUE"""),7.798413223118E12)</f>
        <v>7798413223118</v>
      </c>
      <c r="E1021" s="97" t="str">
        <f>IFERROR(__xludf.DUMMYFUNCTION("""COMPUTED_VALUE"""),"-")</f>
        <v>-</v>
      </c>
      <c r="F1021" s="97" t="str">
        <f>IFERROR(__xludf.DUMMYFUNCTION("""COMPUTED_VALUE"""),"1xGU10 Dicro")</f>
        <v>1xGU10 Dicro</v>
      </c>
      <c r="G1021" s="97" t="str">
        <f>IFERROR(__xludf.DUMMYFUNCTION("""COMPUTED_VALUE"""),"N/A")</f>
        <v>N/A</v>
      </c>
      <c r="H1021" s="97" t="str">
        <f>IFERROR(__xludf.DUMMYFUNCTION("""COMPUTED_VALUE"""),"N/A")</f>
        <v>N/A</v>
      </c>
      <c r="I1021" s="97" t="str">
        <f>IFERROR(__xludf.DUMMYFUNCTION("""COMPUTED_VALUE"""),"N/A")</f>
        <v>N/A</v>
      </c>
      <c r="J1021" s="97" t="str">
        <f>IFERROR(__xludf.DUMMYFUNCTION("""COMPUTED_VALUE"""),"N/A")</f>
        <v>N/A</v>
      </c>
      <c r="K1021" s="97" t="str">
        <f>IFERROR(__xludf.DUMMYFUNCTION("""COMPUTED_VALUE"""),"N/A")</f>
        <v>N/A</v>
      </c>
      <c r="L1021" s="97">
        <f>IFERROR(__xludf.DUMMYFUNCTION("""COMPUTED_VALUE"""),220.0)</f>
        <v>220</v>
      </c>
      <c r="M1021" s="97">
        <f>IFERROR(__xludf.DUMMYFUNCTION("""COMPUTED_VALUE"""),50.0)</f>
        <v>50</v>
      </c>
      <c r="N1021" s="97"/>
      <c r="O1021" s="97" t="str">
        <f>IFERROR(__xludf.DUMMYFUNCTION("""COMPUTED_VALUE"""),"1 x 50W Max")</f>
        <v>1 x 50W Max</v>
      </c>
      <c r="P1021" s="97"/>
      <c r="Q1021" s="97" t="str">
        <f>IFERROR(__xludf.DUMMYFUNCTION("""COMPUTED_VALUE"""),"-")</f>
        <v>-</v>
      </c>
      <c r="R1021" s="97" t="str">
        <f>IFERROR(__xludf.DUMMYFUNCTION("""COMPUTED_VALUE"""),"-")</f>
        <v>-</v>
      </c>
      <c r="S1021" s="97" t="str">
        <f>IFERROR(__xludf.DUMMYFUNCTION("""COMPUTED_VALUE"""),"-")</f>
        <v>-</v>
      </c>
      <c r="T1021" s="97" t="str">
        <f>IFERROR(__xludf.DUMMYFUNCTION("""COMPUTED_VALUE"""),"-")</f>
        <v>-</v>
      </c>
      <c r="U1021" s="97" t="str">
        <f>IFERROR(__xludf.DUMMYFUNCTION("""COMPUTED_VALUE"""),"-")</f>
        <v>-</v>
      </c>
      <c r="V1021" s="97" t="str">
        <f>IFERROR(__xludf.DUMMYFUNCTION("""COMPUTED_VALUE"""),"N/A")</f>
        <v>N/A</v>
      </c>
      <c r="W1021" s="97" t="str">
        <f>IFERROR(__xludf.DUMMYFUNCTION("""COMPUTED_VALUE"""),"N/A")</f>
        <v>N/A</v>
      </c>
      <c r="X1021" s="97" t="str">
        <f>IFERROR(__xludf.DUMMYFUNCTION("""COMPUTED_VALUE"""),"-")</f>
        <v>-</v>
      </c>
      <c r="Y1021" s="97" t="str">
        <f>IFERROR(__xludf.DUMMYFUNCTION("""COMPUTED_VALUE"""),"N/A")</f>
        <v>N/A</v>
      </c>
      <c r="Z1021" s="97" t="str">
        <f>IFERROR(__xludf.DUMMYFUNCTION("""COMPUTED_VALUE"""),"N/A")</f>
        <v>N/A</v>
      </c>
      <c r="AA1021" s="97" t="str">
        <f>IFERROR(__xludf.DUMMYFUNCTION("""COMPUTED_VALUE"""),"N/A")</f>
        <v>N/A</v>
      </c>
      <c r="AB1021" s="97" t="str">
        <f>IFERROR(__xludf.DUMMYFUNCTION("""COMPUTED_VALUE"""),"N/A")</f>
        <v>N/A</v>
      </c>
      <c r="AC1021" s="97" t="str">
        <f>IFERROR(__xludf.DUMMYFUNCTION("""COMPUTED_VALUE"""),"N/A")</f>
        <v>N/A</v>
      </c>
      <c r="AD1021" s="97" t="str">
        <f>IFERROR(__xludf.DUMMYFUNCTION("""COMPUTED_VALUE"""),"IP20")</f>
        <v>IP20</v>
      </c>
      <c r="AE1021" s="97" t="str">
        <f>IFERROR(__xludf.DUMMYFUNCTION("""COMPUTED_VALUE"""),"N/A")</f>
        <v>N/A</v>
      </c>
      <c r="AF1021" s="97" t="str">
        <f>IFERROR(__xludf.DUMMYFUNCTION("""COMPUTED_VALUE"""),"Embutir")</f>
        <v>Embutir</v>
      </c>
      <c r="AG1021" s="97" t="str">
        <f>IFERROR(__xludf.DUMMYFUNCTION("""COMPUTED_VALUE"""),"93 x 93 x 50")</f>
        <v>93 x 93 x 50</v>
      </c>
      <c r="AH1021" s="97" t="str">
        <f>IFERROR(__xludf.DUMMYFUNCTION("""COMPUTED_VALUE"""),"Ø85")</f>
        <v>Ø85</v>
      </c>
      <c r="AI1021" s="97" t="str">
        <f>IFERROR(__xludf.DUMMYFUNCTION("""COMPUTED_VALUE"""),"110 *")</f>
        <v>110 *</v>
      </c>
      <c r="AJ1021" s="97" t="str">
        <f>IFERROR(__xludf.DUMMYFUNCTION("""COMPUTED_VALUE"""),"N/A")</f>
        <v>N/A</v>
      </c>
      <c r="AK1021" s="97" t="str">
        <f>IFERROR(__xludf.DUMMYFUNCTION("""COMPUTED_VALUE"""),"Policarbonato (PC)")</f>
        <v>Policarbonato (PC)</v>
      </c>
      <c r="AL1021" s="97" t="str">
        <f>IFERROR(__xludf.DUMMYFUNCTION("""COMPUTED_VALUE"""),"Negro Mate")</f>
        <v>Negro Mate</v>
      </c>
      <c r="AM1021" s="97" t="str">
        <f>IFERROR(__xludf.DUMMYFUNCTION("""COMPUTED_VALUE"""),"-")</f>
        <v>-</v>
      </c>
      <c r="AN1021" s="97" t="str">
        <f>IFERROR(__xludf.DUMMYFUNCTION("""COMPUTED_VALUE"""),"N/A")</f>
        <v>N/A</v>
      </c>
      <c r="AO1021" s="97" t="str">
        <f>IFERROR(__xludf.DUMMYFUNCTION("""COMPUTED_VALUE"""),"8 Años")</f>
        <v>8 Años</v>
      </c>
      <c r="AP1021" s="97" t="str">
        <f>IFERROR(__xludf.DUMMYFUNCTION("""COMPUTED_VALUE"""),"No Aplica")</f>
        <v>No Aplica</v>
      </c>
      <c r="AQ1021" s="97" t="str">
        <f>IFERROR(__xludf.DUMMYFUNCTION("""COMPUTED_VALUE"""),"No Aplica")</f>
        <v>No Aplica</v>
      </c>
      <c r="AR1021" s="97" t="str">
        <f>IFERROR(__xludf.DUMMYFUNCTION("""COMPUTED_VALUE"""),"No Aplica")</f>
        <v>No Aplica</v>
      </c>
      <c r="AS1021" s="97"/>
      <c r="AT1021" s="97"/>
      <c r="AU1021" s="97" t="str">
        <f>IFERROR(__xludf.DUMMYFUNCTION("""COMPUTED_VALUE"""),"Falta")</f>
        <v>Falta</v>
      </c>
      <c r="AV1021" s="97" t="str">
        <f>IFERROR(__xludf.DUMMYFUNCTION("""COMPUTED_VALUE"""),"Empotrable")</f>
        <v>Empotrable</v>
      </c>
      <c r="AW1021" s="97" t="str">
        <f>IFERROR(__xludf.DUMMYFUNCTION("""COMPUTED_VALUE"""),"De Techo")</f>
        <v>De Techo</v>
      </c>
      <c r="AX1021" s="97" t="str">
        <f>IFERROR(__xludf.DUMMYFUNCTION("""COMPUTED_VALUE"""),"Interior")</f>
        <v>Interior</v>
      </c>
      <c r="AY1021" s="97" t="str">
        <f>IFERROR(__xludf.DUMMYFUNCTION("""COMPUTED_VALUE"""),"-")</f>
        <v>-</v>
      </c>
      <c r="AZ1021" s="97" t="str">
        <f>IFERROR(__xludf.DUMMYFUNCTION("""COMPUTED_VALUE"""),"Spot con Movimiento. Incluye zócalo GU10 c/cable 20cm.
*Profundidad de calado total aproximada (considera dicroica estándar)
**Garantía de 8 años de amarillamiento de PC.
***PC con protección contra rayos UV y retardador de incendios: clasificación BS2D0 "&amp;"con resistencia hasta 120°C.")</f>
        <v>Spot con Movimiento. Incluye zócalo GU10 c/cable 20cm.
*Profundidad de calado total aproximada (considera dicroica estándar)
**Garantía de 8 años de amarillamiento de PC.
***PC con protección contra rayos UV y retardador de incendios: clasificación BS2D0 con resistencia hasta 120°C.</v>
      </c>
      <c r="BA1021" s="97">
        <f>IFERROR(__xludf.DUMMYFUNCTION("""COMPUTED_VALUE"""),100.0)</f>
        <v>100</v>
      </c>
      <c r="BB1021" s="97" t="str">
        <f>IFERROR(__xludf.DUMMYFUNCTION("""COMPUTED_VALUE"""),"-")</f>
        <v>-</v>
      </c>
      <c r="BC1021" s="97" t="str">
        <f>IFERROR(__xludf.DUMMYFUNCTION("""COMPUTED_VALUE"""),"-")</f>
        <v>-</v>
      </c>
      <c r="BD1021" s="97" t="str">
        <f>IFERROR(__xludf.DUMMYFUNCTION("""COMPUTED_VALUE"""),"OLU")</f>
        <v>OLU</v>
      </c>
      <c r="BE1021" s="97" t="str">
        <f>IFERROR(__xludf.DUMMYFUNCTION("""COMPUTED_VALUE"""),"Finalizada")</f>
        <v>Finalizada</v>
      </c>
      <c r="BF1021" s="97"/>
      <c r="BG1021" s="97" t="str">
        <f>IFERROR(__xludf.DUMMYFUNCTION("""COMPUTED_VALUE"""),"Discontinuo")</f>
        <v>Discontinuo</v>
      </c>
    </row>
    <row r="1022">
      <c r="A1022" s="97">
        <f>IFERROR(__xludf.DUMMYFUNCTION("""COMPUTED_VALUE"""),6808.0)</f>
        <v>6808</v>
      </c>
      <c r="B1022" s="97" t="str">
        <f>IFERROR(__xludf.DUMMYFUNCTION("""COMPUTED_VALUE"""),"GAL I BL")</f>
        <v>GAL I BL</v>
      </c>
      <c r="C1022" s="97" t="str">
        <f>IFERROR(__xludf.DUMMYFUNCTION("""COMPUTED_VALUE"""),"EMPOTRABLE GAL I BL 1XGU10 AR111 IP20 LEUK")</f>
        <v>EMPOTRABLE GAL I BL 1XGU10 AR111 IP20 LEUK</v>
      </c>
      <c r="D1022" s="97">
        <f>IFERROR(__xludf.DUMMYFUNCTION("""COMPUTED_VALUE"""),7.798413223125E12)</f>
        <v>7798413223125</v>
      </c>
      <c r="E1022" s="97" t="str">
        <f>IFERROR(__xludf.DUMMYFUNCTION("""COMPUTED_VALUE"""),"-")</f>
        <v>-</v>
      </c>
      <c r="F1022" s="97" t="str">
        <f>IFERROR(__xludf.DUMMYFUNCTION("""COMPUTED_VALUE"""),"1xGU10 AR111")</f>
        <v>1xGU10 AR111</v>
      </c>
      <c r="G1022" s="97" t="str">
        <f>IFERROR(__xludf.DUMMYFUNCTION("""COMPUTED_VALUE"""),"N/A")</f>
        <v>N/A</v>
      </c>
      <c r="H1022" s="97" t="str">
        <f>IFERROR(__xludf.DUMMYFUNCTION("""COMPUTED_VALUE"""),"N/A")</f>
        <v>N/A</v>
      </c>
      <c r="I1022" s="97" t="str">
        <f>IFERROR(__xludf.DUMMYFUNCTION("""COMPUTED_VALUE"""),"N/A")</f>
        <v>N/A</v>
      </c>
      <c r="J1022" s="97" t="str">
        <f>IFERROR(__xludf.DUMMYFUNCTION("""COMPUTED_VALUE"""),"N/A")</f>
        <v>N/A</v>
      </c>
      <c r="K1022" s="97" t="str">
        <f>IFERROR(__xludf.DUMMYFUNCTION("""COMPUTED_VALUE"""),"N/A")</f>
        <v>N/A</v>
      </c>
      <c r="L1022" s="97">
        <f>IFERROR(__xludf.DUMMYFUNCTION("""COMPUTED_VALUE"""),220.0)</f>
        <v>220</v>
      </c>
      <c r="M1022" s="97">
        <f>IFERROR(__xludf.DUMMYFUNCTION("""COMPUTED_VALUE"""),50.0)</f>
        <v>50</v>
      </c>
      <c r="N1022" s="97"/>
      <c r="O1022" s="97" t="str">
        <f>IFERROR(__xludf.DUMMYFUNCTION("""COMPUTED_VALUE"""),"1 x 50W Max")</f>
        <v>1 x 50W Max</v>
      </c>
      <c r="P1022" s="97"/>
      <c r="Q1022" s="97" t="str">
        <f>IFERROR(__xludf.DUMMYFUNCTION("""COMPUTED_VALUE"""),"-")</f>
        <v>-</v>
      </c>
      <c r="R1022" s="97" t="str">
        <f>IFERROR(__xludf.DUMMYFUNCTION("""COMPUTED_VALUE"""),"-")</f>
        <v>-</v>
      </c>
      <c r="S1022" s="97" t="str">
        <f>IFERROR(__xludf.DUMMYFUNCTION("""COMPUTED_VALUE"""),"-")</f>
        <v>-</v>
      </c>
      <c r="T1022" s="97" t="str">
        <f>IFERROR(__xludf.DUMMYFUNCTION("""COMPUTED_VALUE"""),"-")</f>
        <v>-</v>
      </c>
      <c r="U1022" s="97" t="str">
        <f>IFERROR(__xludf.DUMMYFUNCTION("""COMPUTED_VALUE"""),"-")</f>
        <v>-</v>
      </c>
      <c r="V1022" s="97" t="str">
        <f>IFERROR(__xludf.DUMMYFUNCTION("""COMPUTED_VALUE"""),"N/A")</f>
        <v>N/A</v>
      </c>
      <c r="W1022" s="97" t="str">
        <f>IFERROR(__xludf.DUMMYFUNCTION("""COMPUTED_VALUE"""),"N/A")</f>
        <v>N/A</v>
      </c>
      <c r="X1022" s="97" t="str">
        <f>IFERROR(__xludf.DUMMYFUNCTION("""COMPUTED_VALUE"""),"-")</f>
        <v>-</v>
      </c>
      <c r="Y1022" s="97" t="str">
        <f>IFERROR(__xludf.DUMMYFUNCTION("""COMPUTED_VALUE"""),"N/A")</f>
        <v>N/A</v>
      </c>
      <c r="Z1022" s="97" t="str">
        <f>IFERROR(__xludf.DUMMYFUNCTION("""COMPUTED_VALUE"""),"N/A")</f>
        <v>N/A</v>
      </c>
      <c r="AA1022" s="97" t="str">
        <f>IFERROR(__xludf.DUMMYFUNCTION("""COMPUTED_VALUE"""),"N/A")</f>
        <v>N/A</v>
      </c>
      <c r="AB1022" s="97" t="str">
        <f>IFERROR(__xludf.DUMMYFUNCTION("""COMPUTED_VALUE"""),"N/A")</f>
        <v>N/A</v>
      </c>
      <c r="AC1022" s="97" t="str">
        <f>IFERROR(__xludf.DUMMYFUNCTION("""COMPUTED_VALUE"""),"N/A")</f>
        <v>N/A</v>
      </c>
      <c r="AD1022" s="97" t="str">
        <f>IFERROR(__xludf.DUMMYFUNCTION("""COMPUTED_VALUE"""),"IP20")</f>
        <v>IP20</v>
      </c>
      <c r="AE1022" s="97" t="str">
        <f>IFERROR(__xludf.DUMMYFUNCTION("""COMPUTED_VALUE"""),"N/A")</f>
        <v>N/A</v>
      </c>
      <c r="AF1022" s="97" t="str">
        <f>IFERROR(__xludf.DUMMYFUNCTION("""COMPUTED_VALUE"""),"Embutir")</f>
        <v>Embutir</v>
      </c>
      <c r="AG1022" s="97" t="str">
        <f>IFERROR(__xludf.DUMMYFUNCTION("""COMPUTED_VALUE"""),"165 x 165 x 42")</f>
        <v>165 x 165 x 42</v>
      </c>
      <c r="AH1022" s="97" t="str">
        <f>IFERROR(__xludf.DUMMYFUNCTION("""COMPUTED_VALUE"""),"Ø135-155")</f>
        <v>Ø135-155</v>
      </c>
      <c r="AI1022" s="97" t="str">
        <f>IFERROR(__xludf.DUMMYFUNCTION("""COMPUTED_VALUE"""),"115 *")</f>
        <v>115 *</v>
      </c>
      <c r="AJ1022" s="97" t="str">
        <f>IFERROR(__xludf.DUMMYFUNCTION("""COMPUTED_VALUE"""),"N/A")</f>
        <v>N/A</v>
      </c>
      <c r="AK1022" s="97" t="str">
        <f>IFERROR(__xludf.DUMMYFUNCTION("""COMPUTED_VALUE"""),"Policarbonato (PC)")</f>
        <v>Policarbonato (PC)</v>
      </c>
      <c r="AL1022" s="97" t="str">
        <f>IFERROR(__xludf.DUMMYFUNCTION("""COMPUTED_VALUE"""),"Blanco Mate")</f>
        <v>Blanco Mate</v>
      </c>
      <c r="AM1022" s="97" t="str">
        <f>IFERROR(__xludf.DUMMYFUNCTION("""COMPUTED_VALUE"""),"-")</f>
        <v>-</v>
      </c>
      <c r="AN1022" s="97" t="str">
        <f>IFERROR(__xludf.DUMMYFUNCTION("""COMPUTED_VALUE"""),"N/A")</f>
        <v>N/A</v>
      </c>
      <c r="AO1022" s="97" t="str">
        <f>IFERROR(__xludf.DUMMYFUNCTION("""COMPUTED_VALUE"""),"8 Años")</f>
        <v>8 Años</v>
      </c>
      <c r="AP1022" s="97" t="str">
        <f>IFERROR(__xludf.DUMMYFUNCTION("""COMPUTED_VALUE"""),"No Aplica")</f>
        <v>No Aplica</v>
      </c>
      <c r="AQ1022" s="97" t="str">
        <f>IFERROR(__xludf.DUMMYFUNCTION("""COMPUTED_VALUE"""),"No Aplica")</f>
        <v>No Aplica</v>
      </c>
      <c r="AR1022" s="97" t="str">
        <f>IFERROR(__xludf.DUMMYFUNCTION("""COMPUTED_VALUE"""),"No Aplica")</f>
        <v>No Aplica</v>
      </c>
      <c r="AS1022" s="97"/>
      <c r="AT1022" s="97"/>
      <c r="AU1022" s="97" t="str">
        <f>IFERROR(__xludf.DUMMYFUNCTION("""COMPUTED_VALUE"""),"Falta")</f>
        <v>Falta</v>
      </c>
      <c r="AV1022" s="97" t="str">
        <f>IFERROR(__xludf.DUMMYFUNCTION("""COMPUTED_VALUE"""),"Empotrable")</f>
        <v>Empotrable</v>
      </c>
      <c r="AW1022" s="97" t="str">
        <f>IFERROR(__xludf.DUMMYFUNCTION("""COMPUTED_VALUE"""),"De Techo")</f>
        <v>De Techo</v>
      </c>
      <c r="AX1022" s="97" t="str">
        <f>IFERROR(__xludf.DUMMYFUNCTION("""COMPUTED_VALUE"""),"Interior")</f>
        <v>Interior</v>
      </c>
      <c r="AY1022" s="97" t="str">
        <f>IFERROR(__xludf.DUMMYFUNCTION("""COMPUTED_VALUE"""),"-")</f>
        <v>-</v>
      </c>
      <c r="AZ1022" s="97" t="str">
        <f>IFERROR(__xludf.DUMMYFUNCTION("""COMPUTED_VALUE"""),"Spot con Movimiento. Incluye zócalo GU10 c/cable 20cm.
*Profundidad de calado total aproximada (considera AR111 estándar)
**Garantía de 8 años de amarillamiento de PC.
***PC con protección contra rayos UV y retardador de incendios: clasificación BS2D0 con"&amp;" resistencia hasta 120°C.")</f>
        <v>Spot con Movimiento. Incluye zócalo GU10 c/cable 20cm.
*Profundidad de calado total aproximada (considera AR111 estándar)
**Garantía de 8 años de amarillamiento de PC.
***PC con protección contra rayos UV y retardador de incendios: clasificación BS2D0 con resistencia hasta 120°C.</v>
      </c>
      <c r="BA1022" s="97">
        <f>IFERROR(__xludf.DUMMYFUNCTION("""COMPUTED_VALUE"""),40.0)</f>
        <v>40</v>
      </c>
      <c r="BB1022" s="97" t="str">
        <f>IFERROR(__xludf.DUMMYFUNCTION("""COMPUTED_VALUE"""),"-")</f>
        <v>-</v>
      </c>
      <c r="BC1022" s="97" t="str">
        <f>IFERROR(__xludf.DUMMYFUNCTION("""COMPUTED_VALUE"""),"-")</f>
        <v>-</v>
      </c>
      <c r="BD1022" s="97" t="str">
        <f>IFERROR(__xludf.DUMMYFUNCTION("""COMPUTED_VALUE"""),"GAL")</f>
        <v>GAL</v>
      </c>
      <c r="BE1022" s="97" t="str">
        <f>IFERROR(__xludf.DUMMYFUNCTION("""COMPUTED_VALUE"""),"Finalizada")</f>
        <v>Finalizada</v>
      </c>
      <c r="BF1022" s="97"/>
      <c r="BG1022" s="97" t="str">
        <f>IFERROR(__xludf.DUMMYFUNCTION("""COMPUTED_VALUE"""),"Discontinuo")</f>
        <v>Discontinuo</v>
      </c>
    </row>
    <row r="1023">
      <c r="A1023" s="97">
        <f>IFERROR(__xludf.DUMMYFUNCTION("""COMPUTED_VALUE"""),6809.0)</f>
        <v>6809</v>
      </c>
      <c r="B1023" s="97" t="str">
        <f>IFERROR(__xludf.DUMMYFUNCTION("""COMPUTED_VALUE"""),"GAL I NG")</f>
        <v>GAL I NG</v>
      </c>
      <c r="C1023" s="97" t="str">
        <f>IFERROR(__xludf.DUMMYFUNCTION("""COMPUTED_VALUE"""),"EMPOTRABLE GAL I NG 1XGU10 AR111 IP20 LEUK")</f>
        <v>EMPOTRABLE GAL I NG 1XGU10 AR111 IP20 LEUK</v>
      </c>
      <c r="D1023" s="97">
        <f>IFERROR(__xludf.DUMMYFUNCTION("""COMPUTED_VALUE"""),7.798413223132E12)</f>
        <v>7798413223132</v>
      </c>
      <c r="E1023" s="97" t="str">
        <f>IFERROR(__xludf.DUMMYFUNCTION("""COMPUTED_VALUE"""),"-")</f>
        <v>-</v>
      </c>
      <c r="F1023" s="97" t="str">
        <f>IFERROR(__xludf.DUMMYFUNCTION("""COMPUTED_VALUE"""),"1xGU10 AR111")</f>
        <v>1xGU10 AR111</v>
      </c>
      <c r="G1023" s="97" t="str">
        <f>IFERROR(__xludf.DUMMYFUNCTION("""COMPUTED_VALUE"""),"N/A")</f>
        <v>N/A</v>
      </c>
      <c r="H1023" s="97" t="str">
        <f>IFERROR(__xludf.DUMMYFUNCTION("""COMPUTED_VALUE"""),"N/A")</f>
        <v>N/A</v>
      </c>
      <c r="I1023" s="97" t="str">
        <f>IFERROR(__xludf.DUMMYFUNCTION("""COMPUTED_VALUE"""),"N/A")</f>
        <v>N/A</v>
      </c>
      <c r="J1023" s="97" t="str">
        <f>IFERROR(__xludf.DUMMYFUNCTION("""COMPUTED_VALUE"""),"N/A")</f>
        <v>N/A</v>
      </c>
      <c r="K1023" s="97" t="str">
        <f>IFERROR(__xludf.DUMMYFUNCTION("""COMPUTED_VALUE"""),"N/A")</f>
        <v>N/A</v>
      </c>
      <c r="L1023" s="97">
        <f>IFERROR(__xludf.DUMMYFUNCTION("""COMPUTED_VALUE"""),220.0)</f>
        <v>220</v>
      </c>
      <c r="M1023" s="97">
        <f>IFERROR(__xludf.DUMMYFUNCTION("""COMPUTED_VALUE"""),50.0)</f>
        <v>50</v>
      </c>
      <c r="N1023" s="97"/>
      <c r="O1023" s="97" t="str">
        <f>IFERROR(__xludf.DUMMYFUNCTION("""COMPUTED_VALUE"""),"1 x 50W Max")</f>
        <v>1 x 50W Max</v>
      </c>
      <c r="P1023" s="97"/>
      <c r="Q1023" s="97" t="str">
        <f>IFERROR(__xludf.DUMMYFUNCTION("""COMPUTED_VALUE"""),"-")</f>
        <v>-</v>
      </c>
      <c r="R1023" s="97" t="str">
        <f>IFERROR(__xludf.DUMMYFUNCTION("""COMPUTED_VALUE"""),"-")</f>
        <v>-</v>
      </c>
      <c r="S1023" s="97" t="str">
        <f>IFERROR(__xludf.DUMMYFUNCTION("""COMPUTED_VALUE"""),"-")</f>
        <v>-</v>
      </c>
      <c r="T1023" s="97" t="str">
        <f>IFERROR(__xludf.DUMMYFUNCTION("""COMPUTED_VALUE"""),"-")</f>
        <v>-</v>
      </c>
      <c r="U1023" s="97" t="str">
        <f>IFERROR(__xludf.DUMMYFUNCTION("""COMPUTED_VALUE"""),"-")</f>
        <v>-</v>
      </c>
      <c r="V1023" s="97" t="str">
        <f>IFERROR(__xludf.DUMMYFUNCTION("""COMPUTED_VALUE"""),"N/A")</f>
        <v>N/A</v>
      </c>
      <c r="W1023" s="97" t="str">
        <f>IFERROR(__xludf.DUMMYFUNCTION("""COMPUTED_VALUE"""),"N/A")</f>
        <v>N/A</v>
      </c>
      <c r="X1023" s="97" t="str">
        <f>IFERROR(__xludf.DUMMYFUNCTION("""COMPUTED_VALUE"""),"-")</f>
        <v>-</v>
      </c>
      <c r="Y1023" s="97" t="str">
        <f>IFERROR(__xludf.DUMMYFUNCTION("""COMPUTED_VALUE"""),"N/A")</f>
        <v>N/A</v>
      </c>
      <c r="Z1023" s="97" t="str">
        <f>IFERROR(__xludf.DUMMYFUNCTION("""COMPUTED_VALUE"""),"N/A")</f>
        <v>N/A</v>
      </c>
      <c r="AA1023" s="97" t="str">
        <f>IFERROR(__xludf.DUMMYFUNCTION("""COMPUTED_VALUE"""),"N/A")</f>
        <v>N/A</v>
      </c>
      <c r="AB1023" s="97" t="str">
        <f>IFERROR(__xludf.DUMMYFUNCTION("""COMPUTED_VALUE"""),"N/A")</f>
        <v>N/A</v>
      </c>
      <c r="AC1023" s="97" t="str">
        <f>IFERROR(__xludf.DUMMYFUNCTION("""COMPUTED_VALUE"""),"N/A")</f>
        <v>N/A</v>
      </c>
      <c r="AD1023" s="97" t="str">
        <f>IFERROR(__xludf.DUMMYFUNCTION("""COMPUTED_VALUE"""),"IP20")</f>
        <v>IP20</v>
      </c>
      <c r="AE1023" s="97" t="str">
        <f>IFERROR(__xludf.DUMMYFUNCTION("""COMPUTED_VALUE"""),"N/A")</f>
        <v>N/A</v>
      </c>
      <c r="AF1023" s="97" t="str">
        <f>IFERROR(__xludf.DUMMYFUNCTION("""COMPUTED_VALUE"""),"Embutir")</f>
        <v>Embutir</v>
      </c>
      <c r="AG1023" s="97" t="str">
        <f>IFERROR(__xludf.DUMMYFUNCTION("""COMPUTED_VALUE"""),"165 x 165 x 42")</f>
        <v>165 x 165 x 42</v>
      </c>
      <c r="AH1023" s="97" t="str">
        <f>IFERROR(__xludf.DUMMYFUNCTION("""COMPUTED_VALUE"""),"Ø135-155")</f>
        <v>Ø135-155</v>
      </c>
      <c r="AI1023" s="97" t="str">
        <f>IFERROR(__xludf.DUMMYFUNCTION("""COMPUTED_VALUE"""),"115 *")</f>
        <v>115 *</v>
      </c>
      <c r="AJ1023" s="97" t="str">
        <f>IFERROR(__xludf.DUMMYFUNCTION("""COMPUTED_VALUE"""),"N/A")</f>
        <v>N/A</v>
      </c>
      <c r="AK1023" s="97" t="str">
        <f>IFERROR(__xludf.DUMMYFUNCTION("""COMPUTED_VALUE"""),"Policarbonato (PC)")</f>
        <v>Policarbonato (PC)</v>
      </c>
      <c r="AL1023" s="97" t="str">
        <f>IFERROR(__xludf.DUMMYFUNCTION("""COMPUTED_VALUE"""),"Negro Mate")</f>
        <v>Negro Mate</v>
      </c>
      <c r="AM1023" s="97" t="str">
        <f>IFERROR(__xludf.DUMMYFUNCTION("""COMPUTED_VALUE"""),"-")</f>
        <v>-</v>
      </c>
      <c r="AN1023" s="97" t="str">
        <f>IFERROR(__xludf.DUMMYFUNCTION("""COMPUTED_VALUE"""),"N/A")</f>
        <v>N/A</v>
      </c>
      <c r="AO1023" s="97" t="str">
        <f>IFERROR(__xludf.DUMMYFUNCTION("""COMPUTED_VALUE"""),"8 Años")</f>
        <v>8 Años</v>
      </c>
      <c r="AP1023" s="97" t="str">
        <f>IFERROR(__xludf.DUMMYFUNCTION("""COMPUTED_VALUE"""),"No Aplica")</f>
        <v>No Aplica</v>
      </c>
      <c r="AQ1023" s="97" t="str">
        <f>IFERROR(__xludf.DUMMYFUNCTION("""COMPUTED_VALUE"""),"No Aplica")</f>
        <v>No Aplica</v>
      </c>
      <c r="AR1023" s="97" t="str">
        <f>IFERROR(__xludf.DUMMYFUNCTION("""COMPUTED_VALUE"""),"No Aplica")</f>
        <v>No Aplica</v>
      </c>
      <c r="AS1023" s="97"/>
      <c r="AT1023" s="97"/>
      <c r="AU1023" s="97" t="str">
        <f>IFERROR(__xludf.DUMMYFUNCTION("""COMPUTED_VALUE"""),"Falta")</f>
        <v>Falta</v>
      </c>
      <c r="AV1023" s="97" t="str">
        <f>IFERROR(__xludf.DUMMYFUNCTION("""COMPUTED_VALUE"""),"Empotrable")</f>
        <v>Empotrable</v>
      </c>
      <c r="AW1023" s="97" t="str">
        <f>IFERROR(__xludf.DUMMYFUNCTION("""COMPUTED_VALUE"""),"De Techo")</f>
        <v>De Techo</v>
      </c>
      <c r="AX1023" s="97" t="str">
        <f>IFERROR(__xludf.DUMMYFUNCTION("""COMPUTED_VALUE"""),"Interior")</f>
        <v>Interior</v>
      </c>
      <c r="AY1023" s="97" t="str">
        <f>IFERROR(__xludf.DUMMYFUNCTION("""COMPUTED_VALUE"""),"-")</f>
        <v>-</v>
      </c>
      <c r="AZ1023" s="97" t="str">
        <f>IFERROR(__xludf.DUMMYFUNCTION("""COMPUTED_VALUE"""),"Spot con Movimiento. Incluye zócalo GU10 c/cable 20cm.
*Profundidad de calado total aproximada (considera AR111 estándar)
**Garantía de 8 años de amarillamiento de PC.
***PC con protección contra rayos UV y retardador de incendios: clasificación BS2D0 con"&amp;" resistencia hasta 120°C.")</f>
        <v>Spot con Movimiento. Incluye zócalo GU10 c/cable 20cm.
*Profundidad de calado total aproximada (considera AR111 estándar)
**Garantía de 8 años de amarillamiento de PC.
***PC con protección contra rayos UV y retardador de incendios: clasificación BS2D0 con resistencia hasta 120°C.</v>
      </c>
      <c r="BA1023" s="97">
        <f>IFERROR(__xludf.DUMMYFUNCTION("""COMPUTED_VALUE"""),40.0)</f>
        <v>40</v>
      </c>
      <c r="BB1023" s="97" t="str">
        <f>IFERROR(__xludf.DUMMYFUNCTION("""COMPUTED_VALUE"""),"-")</f>
        <v>-</v>
      </c>
      <c r="BC1023" s="97" t="str">
        <f>IFERROR(__xludf.DUMMYFUNCTION("""COMPUTED_VALUE"""),"-")</f>
        <v>-</v>
      </c>
      <c r="BD1023" s="97" t="str">
        <f>IFERROR(__xludf.DUMMYFUNCTION("""COMPUTED_VALUE"""),"GAL")</f>
        <v>GAL</v>
      </c>
      <c r="BE1023" s="97" t="str">
        <f>IFERROR(__xludf.DUMMYFUNCTION("""COMPUTED_VALUE"""),"Finalizada")</f>
        <v>Finalizada</v>
      </c>
      <c r="BF1023" s="97"/>
      <c r="BG1023" s="97" t="str">
        <f>IFERROR(__xludf.DUMMYFUNCTION("""COMPUTED_VALUE"""),"Discontinuo")</f>
        <v>Discontinuo</v>
      </c>
    </row>
    <row r="1024">
      <c r="A1024" s="97">
        <f>IFERROR(__xludf.DUMMYFUNCTION("""COMPUTED_VALUE"""),6810.0)</f>
        <v>6810</v>
      </c>
      <c r="B1024" s="97" t="str">
        <f>IFERROR(__xludf.DUMMYFUNCTION("""COMPUTED_VALUE"""),"COBERTOR RIEL 1MT BL")</f>
        <v>COBERTOR RIEL 1MT BL</v>
      </c>
      <c r="C1024" s="97" t="str">
        <f>IFERROR(__xludf.DUMMYFUNCTION("""COMPUTED_VALUE"""),"ACCESORIO COBERTOR RIEL 1MT BL LEUK")</f>
        <v>ACCESORIO COBERTOR RIEL 1MT BL LEUK</v>
      </c>
      <c r="D1024" s="97">
        <f>IFERROR(__xludf.DUMMYFUNCTION("""COMPUTED_VALUE"""),7.798413223187E12)</f>
        <v>7798413223187</v>
      </c>
      <c r="E1024" s="97" t="str">
        <f>IFERROR(__xludf.DUMMYFUNCTION("""COMPUTED_VALUE"""),"N/A")</f>
        <v>N/A</v>
      </c>
      <c r="F1024" s="97" t="str">
        <f>IFERROR(__xludf.DUMMYFUNCTION("""COMPUTED_VALUE"""),"N/A")</f>
        <v>N/A</v>
      </c>
      <c r="G1024" s="97" t="str">
        <f>IFERROR(__xludf.DUMMYFUNCTION("""COMPUTED_VALUE"""),"N/A")</f>
        <v>N/A</v>
      </c>
      <c r="H1024" s="97" t="str">
        <f>IFERROR(__xludf.DUMMYFUNCTION("""COMPUTED_VALUE"""),"N/A")</f>
        <v>N/A</v>
      </c>
      <c r="I1024" s="97" t="str">
        <f>IFERROR(__xludf.DUMMYFUNCTION("""COMPUTED_VALUE"""),"N/A")</f>
        <v>N/A</v>
      </c>
      <c r="J1024" s="97" t="str">
        <f>IFERROR(__xludf.DUMMYFUNCTION("""COMPUTED_VALUE"""),"N/A")</f>
        <v>N/A</v>
      </c>
      <c r="K1024" s="97" t="str">
        <f>IFERROR(__xludf.DUMMYFUNCTION("""COMPUTED_VALUE"""),"N/A")</f>
        <v>N/A</v>
      </c>
      <c r="L1024" s="97" t="str">
        <f>IFERROR(__xludf.DUMMYFUNCTION("""COMPUTED_VALUE"""),"N/A")</f>
        <v>N/A</v>
      </c>
      <c r="M1024" s="97" t="str">
        <f>IFERROR(__xludf.DUMMYFUNCTION("""COMPUTED_VALUE"""),"N/A")</f>
        <v>N/A</v>
      </c>
      <c r="N1024" s="97" t="str">
        <f>IFERROR(__xludf.DUMMYFUNCTION("""COMPUTED_VALUE"""),"N/A")</f>
        <v>N/A</v>
      </c>
      <c r="O1024" s="97" t="str">
        <f>IFERROR(__xludf.DUMMYFUNCTION("""COMPUTED_VALUE"""),"-")</f>
        <v>-</v>
      </c>
      <c r="P1024" s="97"/>
      <c r="Q1024" s="97" t="str">
        <f>IFERROR(__xludf.DUMMYFUNCTION("""COMPUTED_VALUE"""),"-")</f>
        <v>-</v>
      </c>
      <c r="R1024" s="97" t="str">
        <f>IFERROR(__xludf.DUMMYFUNCTION("""COMPUTED_VALUE"""),"-")</f>
        <v>-</v>
      </c>
      <c r="S1024" s="97" t="str">
        <f>IFERROR(__xludf.DUMMYFUNCTION("""COMPUTED_VALUE"""),"-")</f>
        <v>-</v>
      </c>
      <c r="T1024" s="97" t="str">
        <f>IFERROR(__xludf.DUMMYFUNCTION("""COMPUTED_VALUE"""),"-")</f>
        <v>-</v>
      </c>
      <c r="U1024" s="97" t="str">
        <f>IFERROR(__xludf.DUMMYFUNCTION("""COMPUTED_VALUE"""),"-")</f>
        <v>-</v>
      </c>
      <c r="V1024" s="97" t="str">
        <f>IFERROR(__xludf.DUMMYFUNCTION("""COMPUTED_VALUE"""),"N/A")</f>
        <v>N/A</v>
      </c>
      <c r="W1024" s="97" t="str">
        <f>IFERROR(__xludf.DUMMYFUNCTION("""COMPUTED_VALUE"""),"N/A")</f>
        <v>N/A</v>
      </c>
      <c r="X1024" s="97" t="str">
        <f>IFERROR(__xludf.DUMMYFUNCTION("""COMPUTED_VALUE"""),"-")</f>
        <v>-</v>
      </c>
      <c r="Y1024" s="97" t="str">
        <f>IFERROR(__xludf.DUMMYFUNCTION("""COMPUTED_VALUE"""),"N/A")</f>
        <v>N/A</v>
      </c>
      <c r="Z1024" s="97" t="str">
        <f>IFERROR(__xludf.DUMMYFUNCTION("""COMPUTED_VALUE"""),"N/A")</f>
        <v>N/A</v>
      </c>
      <c r="AA1024" s="97" t="str">
        <f>IFERROR(__xludf.DUMMYFUNCTION("""COMPUTED_VALUE"""),"N/A")</f>
        <v>N/A</v>
      </c>
      <c r="AB1024" s="97" t="str">
        <f>IFERROR(__xludf.DUMMYFUNCTION("""COMPUTED_VALUE"""),"N/A")</f>
        <v>N/A</v>
      </c>
      <c r="AC1024" s="97" t="str">
        <f>IFERROR(__xludf.DUMMYFUNCTION("""COMPUTED_VALUE"""),"N/A")</f>
        <v>N/A</v>
      </c>
      <c r="AD1024" s="97" t="str">
        <f>IFERROR(__xludf.DUMMYFUNCTION("""COMPUTED_VALUE"""),"N/A")</f>
        <v>N/A</v>
      </c>
      <c r="AE1024" s="97" t="str">
        <f>IFERROR(__xludf.DUMMYFUNCTION("""COMPUTED_VALUE"""),"N/A")</f>
        <v>N/A</v>
      </c>
      <c r="AF1024" s="97" t="str">
        <f>IFERROR(__xludf.DUMMYFUNCTION("""COMPUTED_VALUE"""),"N/A")</f>
        <v>N/A</v>
      </c>
      <c r="AG1024" s="97" t="str">
        <f>IFERROR(__xludf.DUMMYFUNCTION("""COMPUTED_VALUE"""),"18 x 7 x 1000 (Ancho x Alto x Largo)")</f>
        <v>18 x 7 x 1000 (Ancho x Alto x Largo)</v>
      </c>
      <c r="AH1024" s="97" t="str">
        <f>IFERROR(__xludf.DUMMYFUNCTION("""COMPUTED_VALUE"""),"N/A")</f>
        <v>N/A</v>
      </c>
      <c r="AI1024" s="97" t="str">
        <f>IFERROR(__xludf.DUMMYFUNCTION("""COMPUTED_VALUE"""),"N/A")</f>
        <v>N/A</v>
      </c>
      <c r="AJ1024" s="97" t="str">
        <f>IFERROR(__xludf.DUMMYFUNCTION("""COMPUTED_VALUE"""),"N/A")</f>
        <v>N/A</v>
      </c>
      <c r="AK1024" s="97" t="str">
        <f>IFERROR(__xludf.DUMMYFUNCTION("""COMPUTED_VALUE"""),"PVC")</f>
        <v>PVC</v>
      </c>
      <c r="AL1024" s="97" t="str">
        <f>IFERROR(__xludf.DUMMYFUNCTION("""COMPUTED_VALUE"""),"Blanco Brillante")</f>
        <v>Blanco Brillante</v>
      </c>
      <c r="AM1024" s="97" t="str">
        <f>IFERROR(__xludf.DUMMYFUNCTION("""COMPUTED_VALUE"""),"-")</f>
        <v>-</v>
      </c>
      <c r="AN1024" s="97" t="str">
        <f>IFERROR(__xludf.DUMMYFUNCTION("""COMPUTED_VALUE"""),"N/A")</f>
        <v>N/A</v>
      </c>
      <c r="AO1024" s="97" t="str">
        <f>IFERROR(__xludf.DUMMYFUNCTION("""COMPUTED_VALUE"""),"3 Años")</f>
        <v>3 Años</v>
      </c>
      <c r="AP1024" s="97" t="str">
        <f>IFERROR(__xludf.DUMMYFUNCTION("""COMPUTED_VALUE"""),"No Aplica")</f>
        <v>No Aplica</v>
      </c>
      <c r="AQ1024" s="97" t="str">
        <f>IFERROR(__xludf.DUMMYFUNCTION("""COMPUTED_VALUE"""),"No Aplica")</f>
        <v>No Aplica</v>
      </c>
      <c r="AR1024" s="97" t="str">
        <f>IFERROR(__xludf.DUMMYFUNCTION("""COMPUTED_VALUE"""),"No Aplica")</f>
        <v>No Aplica</v>
      </c>
      <c r="AS1024" s="97"/>
      <c r="AT1024" s="97"/>
      <c r="AU1024" s="97" t="str">
        <f>IFERROR(__xludf.DUMMYFUNCTION("""COMPUTED_VALUE"""),"Falta")</f>
        <v>Falta</v>
      </c>
      <c r="AV1024" s="97" t="str">
        <f>IFERROR(__xludf.DUMMYFUNCTION("""COMPUTED_VALUE"""),"Accesorio")</f>
        <v>Accesorio</v>
      </c>
      <c r="AW1024" s="97" t="str">
        <f>IFERROR(__xludf.DUMMYFUNCTION("""COMPUTED_VALUE"""),"Rieles")</f>
        <v>Rieles</v>
      </c>
      <c r="AX1024" s="97" t="str">
        <f>IFERROR(__xludf.DUMMYFUNCTION("""COMPUTED_VALUE"""),"Interior")</f>
        <v>Interior</v>
      </c>
      <c r="AY1024" s="97" t="str">
        <f>IFERROR(__xludf.DUMMYFUNCTION("""COMPUTED_VALUE"""),"-")</f>
        <v>-</v>
      </c>
      <c r="AZ1024" s="97" t="str">
        <f>IFERROR(__xludf.DUMMYFUNCTION("""COMPUTED_VALUE"""),"Tmb va en FichaTec RIELES 3 EF")</f>
        <v>Tmb va en FichaTec RIELES 3 EF</v>
      </c>
      <c r="BA1024" s="97">
        <f>IFERROR(__xludf.DUMMYFUNCTION("""COMPUTED_VALUE"""),14.0)</f>
        <v>14</v>
      </c>
      <c r="BB1024" s="97" t="str">
        <f>IFERROR(__xludf.DUMMYFUNCTION("""COMPUTED_VALUE"""),"-")</f>
        <v>-</v>
      </c>
      <c r="BC1024" s="97" t="str">
        <f>IFERROR(__xludf.DUMMYFUNCTION("""COMPUTED_VALUE"""),"-")</f>
        <v>-</v>
      </c>
      <c r="BD1024" s="97" t="str">
        <f>IFERROR(__xludf.DUMMYFUNCTION("""COMPUTED_VALUE"""),"RIELES 1EF")</f>
        <v>RIELES 1EF</v>
      </c>
      <c r="BE1024" s="97" t="str">
        <f>IFERROR(__xludf.DUMMYFUNCTION("""COMPUTED_VALUE"""),"Finalizada")</f>
        <v>Finalizada</v>
      </c>
      <c r="BF1024" s="97"/>
      <c r="BG1024" s="97" t="str">
        <f>IFERROR(__xludf.DUMMYFUNCTION("""COMPUTED_VALUE"""),"Activo")</f>
        <v>Activo</v>
      </c>
    </row>
    <row r="1025">
      <c r="A1025" s="97">
        <f>IFERROR(__xludf.DUMMYFUNCTION("""COMPUTED_VALUE"""),6811.0)</f>
        <v>6811</v>
      </c>
      <c r="B1025" s="97" t="str">
        <f>IFERROR(__xludf.DUMMYFUNCTION("""COMPUTED_VALUE"""),"COBERTOR RIEL 1MT NG")</f>
        <v>COBERTOR RIEL 1MT NG</v>
      </c>
      <c r="C1025" s="97" t="str">
        <f>IFERROR(__xludf.DUMMYFUNCTION("""COMPUTED_VALUE"""),"ACCESORIO COBERTOR RIEL 1MT NG LEUK")</f>
        <v>ACCESORIO COBERTOR RIEL 1MT NG LEUK</v>
      </c>
      <c r="D1025" s="97">
        <f>IFERROR(__xludf.DUMMYFUNCTION("""COMPUTED_VALUE"""),7.798413223194E12)</f>
        <v>7798413223194</v>
      </c>
      <c r="E1025" s="97" t="str">
        <f>IFERROR(__xludf.DUMMYFUNCTION("""COMPUTED_VALUE"""),"N/A")</f>
        <v>N/A</v>
      </c>
      <c r="F1025" s="97" t="str">
        <f>IFERROR(__xludf.DUMMYFUNCTION("""COMPUTED_VALUE"""),"N/A")</f>
        <v>N/A</v>
      </c>
      <c r="G1025" s="97" t="str">
        <f>IFERROR(__xludf.DUMMYFUNCTION("""COMPUTED_VALUE"""),"N/A")</f>
        <v>N/A</v>
      </c>
      <c r="H1025" s="97" t="str">
        <f>IFERROR(__xludf.DUMMYFUNCTION("""COMPUTED_VALUE"""),"N/A")</f>
        <v>N/A</v>
      </c>
      <c r="I1025" s="97" t="str">
        <f>IFERROR(__xludf.DUMMYFUNCTION("""COMPUTED_VALUE"""),"N/A")</f>
        <v>N/A</v>
      </c>
      <c r="J1025" s="97" t="str">
        <f>IFERROR(__xludf.DUMMYFUNCTION("""COMPUTED_VALUE"""),"N/A")</f>
        <v>N/A</v>
      </c>
      <c r="K1025" s="97" t="str">
        <f>IFERROR(__xludf.DUMMYFUNCTION("""COMPUTED_VALUE"""),"N/A")</f>
        <v>N/A</v>
      </c>
      <c r="L1025" s="97" t="str">
        <f>IFERROR(__xludf.DUMMYFUNCTION("""COMPUTED_VALUE"""),"N/A")</f>
        <v>N/A</v>
      </c>
      <c r="M1025" s="97" t="str">
        <f>IFERROR(__xludf.DUMMYFUNCTION("""COMPUTED_VALUE"""),"N/A")</f>
        <v>N/A</v>
      </c>
      <c r="N1025" s="97" t="str">
        <f>IFERROR(__xludf.DUMMYFUNCTION("""COMPUTED_VALUE"""),"N/A")</f>
        <v>N/A</v>
      </c>
      <c r="O1025" s="97" t="str">
        <f>IFERROR(__xludf.DUMMYFUNCTION("""COMPUTED_VALUE"""),"-")</f>
        <v>-</v>
      </c>
      <c r="P1025" s="97"/>
      <c r="Q1025" s="97" t="str">
        <f>IFERROR(__xludf.DUMMYFUNCTION("""COMPUTED_VALUE"""),"-")</f>
        <v>-</v>
      </c>
      <c r="R1025" s="97" t="str">
        <f>IFERROR(__xludf.DUMMYFUNCTION("""COMPUTED_VALUE"""),"-")</f>
        <v>-</v>
      </c>
      <c r="S1025" s="97" t="str">
        <f>IFERROR(__xludf.DUMMYFUNCTION("""COMPUTED_VALUE"""),"-")</f>
        <v>-</v>
      </c>
      <c r="T1025" s="97" t="str">
        <f>IFERROR(__xludf.DUMMYFUNCTION("""COMPUTED_VALUE"""),"-")</f>
        <v>-</v>
      </c>
      <c r="U1025" s="97" t="str">
        <f>IFERROR(__xludf.DUMMYFUNCTION("""COMPUTED_VALUE"""),"-")</f>
        <v>-</v>
      </c>
      <c r="V1025" s="97" t="str">
        <f>IFERROR(__xludf.DUMMYFUNCTION("""COMPUTED_VALUE"""),"N/A")</f>
        <v>N/A</v>
      </c>
      <c r="W1025" s="97" t="str">
        <f>IFERROR(__xludf.DUMMYFUNCTION("""COMPUTED_VALUE"""),"N/A")</f>
        <v>N/A</v>
      </c>
      <c r="X1025" s="97" t="str">
        <f>IFERROR(__xludf.DUMMYFUNCTION("""COMPUTED_VALUE"""),"-")</f>
        <v>-</v>
      </c>
      <c r="Y1025" s="97" t="str">
        <f>IFERROR(__xludf.DUMMYFUNCTION("""COMPUTED_VALUE"""),"N/A")</f>
        <v>N/A</v>
      </c>
      <c r="Z1025" s="97" t="str">
        <f>IFERROR(__xludf.DUMMYFUNCTION("""COMPUTED_VALUE"""),"N/A")</f>
        <v>N/A</v>
      </c>
      <c r="AA1025" s="97" t="str">
        <f>IFERROR(__xludf.DUMMYFUNCTION("""COMPUTED_VALUE"""),"N/A")</f>
        <v>N/A</v>
      </c>
      <c r="AB1025" s="97" t="str">
        <f>IFERROR(__xludf.DUMMYFUNCTION("""COMPUTED_VALUE"""),"N/A")</f>
        <v>N/A</v>
      </c>
      <c r="AC1025" s="97" t="str">
        <f>IFERROR(__xludf.DUMMYFUNCTION("""COMPUTED_VALUE"""),"N/A")</f>
        <v>N/A</v>
      </c>
      <c r="AD1025" s="97" t="str">
        <f>IFERROR(__xludf.DUMMYFUNCTION("""COMPUTED_VALUE"""),"N/A")</f>
        <v>N/A</v>
      </c>
      <c r="AE1025" s="97" t="str">
        <f>IFERROR(__xludf.DUMMYFUNCTION("""COMPUTED_VALUE"""),"N/A")</f>
        <v>N/A</v>
      </c>
      <c r="AF1025" s="97" t="str">
        <f>IFERROR(__xludf.DUMMYFUNCTION("""COMPUTED_VALUE"""),"N/A")</f>
        <v>N/A</v>
      </c>
      <c r="AG1025" s="97" t="str">
        <f>IFERROR(__xludf.DUMMYFUNCTION("""COMPUTED_VALUE"""),"18 x 7 x 1000 (Ancho x Alto x Largo)")</f>
        <v>18 x 7 x 1000 (Ancho x Alto x Largo)</v>
      </c>
      <c r="AH1025" s="97" t="str">
        <f>IFERROR(__xludf.DUMMYFUNCTION("""COMPUTED_VALUE"""),"N/A")</f>
        <v>N/A</v>
      </c>
      <c r="AI1025" s="97" t="str">
        <f>IFERROR(__xludf.DUMMYFUNCTION("""COMPUTED_VALUE"""),"N/A")</f>
        <v>N/A</v>
      </c>
      <c r="AJ1025" s="97" t="str">
        <f>IFERROR(__xludf.DUMMYFUNCTION("""COMPUTED_VALUE"""),"N/A")</f>
        <v>N/A</v>
      </c>
      <c r="AK1025" s="97" t="str">
        <f>IFERROR(__xludf.DUMMYFUNCTION("""COMPUTED_VALUE"""),"PVC")</f>
        <v>PVC</v>
      </c>
      <c r="AL1025" s="97" t="str">
        <f>IFERROR(__xludf.DUMMYFUNCTION("""COMPUTED_VALUE"""),"Negro Brillante")</f>
        <v>Negro Brillante</v>
      </c>
      <c r="AM1025" s="97" t="str">
        <f>IFERROR(__xludf.DUMMYFUNCTION("""COMPUTED_VALUE"""),"-")</f>
        <v>-</v>
      </c>
      <c r="AN1025" s="97" t="str">
        <f>IFERROR(__xludf.DUMMYFUNCTION("""COMPUTED_VALUE"""),"N/A")</f>
        <v>N/A</v>
      </c>
      <c r="AO1025" s="97" t="str">
        <f>IFERROR(__xludf.DUMMYFUNCTION("""COMPUTED_VALUE"""),"3 Años")</f>
        <v>3 Años</v>
      </c>
      <c r="AP1025" s="97" t="str">
        <f>IFERROR(__xludf.DUMMYFUNCTION("""COMPUTED_VALUE"""),"No Aplica")</f>
        <v>No Aplica</v>
      </c>
      <c r="AQ1025" s="97" t="str">
        <f>IFERROR(__xludf.DUMMYFUNCTION("""COMPUTED_VALUE"""),"No Aplica")</f>
        <v>No Aplica</v>
      </c>
      <c r="AR1025" s="97" t="str">
        <f>IFERROR(__xludf.DUMMYFUNCTION("""COMPUTED_VALUE"""),"No Aplica")</f>
        <v>No Aplica</v>
      </c>
      <c r="AS1025" s="97"/>
      <c r="AT1025" s="97"/>
      <c r="AU1025" s="97" t="str">
        <f>IFERROR(__xludf.DUMMYFUNCTION("""COMPUTED_VALUE"""),"Falta")</f>
        <v>Falta</v>
      </c>
      <c r="AV1025" s="97" t="str">
        <f>IFERROR(__xludf.DUMMYFUNCTION("""COMPUTED_VALUE"""),"Accesorio")</f>
        <v>Accesorio</v>
      </c>
      <c r="AW1025" s="97" t="str">
        <f>IFERROR(__xludf.DUMMYFUNCTION("""COMPUTED_VALUE"""),"Rieles")</f>
        <v>Rieles</v>
      </c>
      <c r="AX1025" s="97" t="str">
        <f>IFERROR(__xludf.DUMMYFUNCTION("""COMPUTED_VALUE"""),"Interior")</f>
        <v>Interior</v>
      </c>
      <c r="AY1025" s="97" t="str">
        <f>IFERROR(__xludf.DUMMYFUNCTION("""COMPUTED_VALUE"""),"-")</f>
        <v>-</v>
      </c>
      <c r="AZ1025" s="97" t="str">
        <f>IFERROR(__xludf.DUMMYFUNCTION("""COMPUTED_VALUE"""),"Tmb va en FichaTec RIELES 3 EF")</f>
        <v>Tmb va en FichaTec RIELES 3 EF</v>
      </c>
      <c r="BA1025" s="97">
        <f>IFERROR(__xludf.DUMMYFUNCTION("""COMPUTED_VALUE"""),14.0)</f>
        <v>14</v>
      </c>
      <c r="BB1025" s="97" t="str">
        <f>IFERROR(__xludf.DUMMYFUNCTION("""COMPUTED_VALUE"""),"-")</f>
        <v>-</v>
      </c>
      <c r="BC1025" s="97" t="str">
        <f>IFERROR(__xludf.DUMMYFUNCTION("""COMPUTED_VALUE"""),"-")</f>
        <v>-</v>
      </c>
      <c r="BD1025" s="97" t="str">
        <f>IFERROR(__xludf.DUMMYFUNCTION("""COMPUTED_VALUE"""),"RIELES 1EF")</f>
        <v>RIELES 1EF</v>
      </c>
      <c r="BE1025" s="97" t="str">
        <f>IFERROR(__xludf.DUMMYFUNCTION("""COMPUTED_VALUE"""),"Finalizada")</f>
        <v>Finalizada</v>
      </c>
      <c r="BF1025" s="97"/>
      <c r="BG1025" s="97" t="str">
        <f>IFERROR(__xludf.DUMMYFUNCTION("""COMPUTED_VALUE"""),"Activo")</f>
        <v>Activo</v>
      </c>
    </row>
    <row r="1026">
      <c r="A1026" s="97">
        <f>IFERROR(__xludf.DUMMYFUNCTION("""COMPUTED_VALUE"""),6812.0)</f>
        <v>6812</v>
      </c>
      <c r="B1026" s="97" t="str">
        <f>IFERROR(__xludf.DUMMYFUNCTION("""COMPUTED_VALUE"""),"NEMA")</f>
        <v>NEMA</v>
      </c>
      <c r="C1026" s="97" t="str">
        <f>IFERROR(__xludf.DUMMYFUNCTION("""COMPUTED_VALUE"""),"PERFIL NEMA LEUK")</f>
        <v>PERFIL NEMA LEUK</v>
      </c>
      <c r="D1026" s="97">
        <f>IFERROR(__xludf.DUMMYFUNCTION("""COMPUTED_VALUE"""),7.798413223163E12)</f>
        <v>7798413223163</v>
      </c>
      <c r="E1026" s="97" t="str">
        <f>IFERROR(__xludf.DUMMYFUNCTION("""COMPUTED_VALUE"""),"N/A")</f>
        <v>N/A</v>
      </c>
      <c r="F1026" s="97" t="str">
        <f>IFERROR(__xludf.DUMMYFUNCTION("""COMPUTED_VALUE"""),"N/A")</f>
        <v>N/A</v>
      </c>
      <c r="G1026" s="97" t="str">
        <f>IFERROR(__xludf.DUMMYFUNCTION("""COMPUTED_VALUE"""),"N/A")</f>
        <v>N/A</v>
      </c>
      <c r="H1026" s="97" t="str">
        <f>IFERROR(__xludf.DUMMYFUNCTION("""COMPUTED_VALUE"""),"N/A")</f>
        <v>N/A</v>
      </c>
      <c r="I1026" s="97" t="str">
        <f>IFERROR(__xludf.DUMMYFUNCTION("""COMPUTED_VALUE"""),"N/A")</f>
        <v>N/A</v>
      </c>
      <c r="J1026" s="97" t="str">
        <f>IFERROR(__xludf.DUMMYFUNCTION("""COMPUTED_VALUE"""),"N/A")</f>
        <v>N/A</v>
      </c>
      <c r="K1026" s="97" t="str">
        <f>IFERROR(__xludf.DUMMYFUNCTION("""COMPUTED_VALUE"""),"N/A")</f>
        <v>N/A</v>
      </c>
      <c r="L1026" s="97" t="str">
        <f>IFERROR(__xludf.DUMMYFUNCTION("""COMPUTED_VALUE"""),"N/A")</f>
        <v>N/A</v>
      </c>
      <c r="M1026" s="97" t="str">
        <f>IFERROR(__xludf.DUMMYFUNCTION("""COMPUTED_VALUE"""),"N/A")</f>
        <v>N/A</v>
      </c>
      <c r="N1026" s="97" t="str">
        <f>IFERROR(__xludf.DUMMYFUNCTION("""COMPUTED_VALUE"""),"N/A")</f>
        <v>N/A</v>
      </c>
      <c r="O1026" s="97" t="str">
        <f>IFERROR(__xludf.DUMMYFUNCTION("""COMPUTED_VALUE"""),"-")</f>
        <v>-</v>
      </c>
      <c r="P1026" s="97"/>
      <c r="Q1026" s="97" t="str">
        <f>IFERROR(__xludf.DUMMYFUNCTION("""COMPUTED_VALUE"""),"-")</f>
        <v>-</v>
      </c>
      <c r="R1026" s="97" t="str">
        <f>IFERROR(__xludf.DUMMYFUNCTION("""COMPUTED_VALUE"""),"-")</f>
        <v>-</v>
      </c>
      <c r="S1026" s="97" t="str">
        <f>IFERROR(__xludf.DUMMYFUNCTION("""COMPUTED_VALUE"""),"-")</f>
        <v>-</v>
      </c>
      <c r="T1026" s="97" t="str">
        <f>IFERROR(__xludf.DUMMYFUNCTION("""COMPUTED_VALUE"""),"-")</f>
        <v>-</v>
      </c>
      <c r="U1026" s="97" t="str">
        <f>IFERROR(__xludf.DUMMYFUNCTION("""COMPUTED_VALUE"""),"-")</f>
        <v>-</v>
      </c>
      <c r="V1026" s="97" t="str">
        <f>IFERROR(__xludf.DUMMYFUNCTION("""COMPUTED_VALUE"""),"N/A")</f>
        <v>N/A</v>
      </c>
      <c r="W1026" s="97" t="str">
        <f>IFERROR(__xludf.DUMMYFUNCTION("""COMPUTED_VALUE"""),"N/A")</f>
        <v>N/A</v>
      </c>
      <c r="X1026" s="97" t="str">
        <f>IFERROR(__xludf.DUMMYFUNCTION("""COMPUTED_VALUE"""),"-")</f>
        <v>-</v>
      </c>
      <c r="Y1026" s="97" t="str">
        <f>IFERROR(__xludf.DUMMYFUNCTION("""COMPUTED_VALUE"""),"N/A")</f>
        <v>N/A</v>
      </c>
      <c r="Z1026" s="97" t="str">
        <f>IFERROR(__xludf.DUMMYFUNCTION("""COMPUTED_VALUE"""),"N/A")</f>
        <v>N/A</v>
      </c>
      <c r="AA1026" s="97" t="str">
        <f>IFERROR(__xludf.DUMMYFUNCTION("""COMPUTED_VALUE"""),"N/A")</f>
        <v>N/A</v>
      </c>
      <c r="AB1026" s="97" t="str">
        <f>IFERROR(__xludf.DUMMYFUNCTION("""COMPUTED_VALUE"""),"N/A")</f>
        <v>N/A</v>
      </c>
      <c r="AC1026" s="97" t="str">
        <f>IFERROR(__xludf.DUMMYFUNCTION("""COMPUTED_VALUE"""),"N/A")</f>
        <v>N/A</v>
      </c>
      <c r="AD1026" s="97" t="str">
        <f>IFERROR(__xludf.DUMMYFUNCTION("""COMPUTED_VALUE"""),"N/A")</f>
        <v>N/A</v>
      </c>
      <c r="AE1026" s="97" t="str">
        <f>IFERROR(__xludf.DUMMYFUNCTION("""COMPUTED_VALUE"""),"N/A")</f>
        <v>N/A</v>
      </c>
      <c r="AF1026" s="97" t="str">
        <f>IFERROR(__xludf.DUMMYFUNCTION("""COMPUTED_VALUE"""),"Aplicar")</f>
        <v>Aplicar</v>
      </c>
      <c r="AG1026" s="97" t="str">
        <f>IFERROR(__xludf.DUMMYFUNCTION("""COMPUTED_VALUE"""),"15 x 30 x 2000 (Ancho x Alto x Largo)")</f>
        <v>15 x 30 x 2000 (Ancho x Alto x Largo)</v>
      </c>
      <c r="AH1026" s="97" t="str">
        <f>IFERROR(__xludf.DUMMYFUNCTION("""COMPUTED_VALUE"""),"N/A")</f>
        <v>N/A</v>
      </c>
      <c r="AI1026" s="97" t="str">
        <f>IFERROR(__xludf.DUMMYFUNCTION("""COMPUTED_VALUE"""),"N/A")</f>
        <v>N/A</v>
      </c>
      <c r="AJ1026" s="97" t="str">
        <f>IFERROR(__xludf.DUMMYFUNCTION("""COMPUTED_VALUE"""),"Policarbonato (PC)")</f>
        <v>Policarbonato (PC)</v>
      </c>
      <c r="AK1026" s="97" t="str">
        <f>IFERROR(__xludf.DUMMYFUNCTION("""COMPUTED_VALUE"""),"Aluminio")</f>
        <v>Aluminio</v>
      </c>
      <c r="AL1026" s="97" t="str">
        <f>IFERROR(__xludf.DUMMYFUNCTION("""COMPUTED_VALUE"""),"Natural")</f>
        <v>Natural</v>
      </c>
      <c r="AM1026" s="97" t="str">
        <f>IFERROR(__xludf.DUMMYFUNCTION("""COMPUTED_VALUE"""),"-")</f>
        <v>-</v>
      </c>
      <c r="AN1026" s="97" t="str">
        <f>IFERROR(__xludf.DUMMYFUNCTION("""COMPUTED_VALUE"""),"N/A")</f>
        <v>N/A</v>
      </c>
      <c r="AO1026" s="97" t="str">
        <f>IFERROR(__xludf.DUMMYFUNCTION("""COMPUTED_VALUE"""),"3 Años")</f>
        <v>3 Años</v>
      </c>
      <c r="AP1026" s="97" t="str">
        <f>IFERROR(__xludf.DUMMYFUNCTION("""COMPUTED_VALUE"""),"No Aplica")</f>
        <v>No Aplica</v>
      </c>
      <c r="AQ1026" s="97" t="str">
        <f>IFERROR(__xludf.DUMMYFUNCTION("""COMPUTED_VALUE"""),"No Aplica")</f>
        <v>No Aplica</v>
      </c>
      <c r="AR1026" s="97" t="str">
        <f>IFERROR(__xludf.DUMMYFUNCTION("""COMPUTED_VALUE"""),"No Aplica")</f>
        <v>No Aplica</v>
      </c>
      <c r="AS1026" s="97"/>
      <c r="AT1026" s="97"/>
      <c r="AU1026" s="97"/>
      <c r="AV1026" s="97" t="str">
        <f>IFERROR(__xludf.DUMMYFUNCTION("""COMPUTED_VALUE"""),"Perfil")</f>
        <v>Perfil</v>
      </c>
      <c r="AW1026" s="97" t="str">
        <f>IFERROR(__xludf.DUMMYFUNCTION("""COMPUTED_VALUE"""),"Perfiles")</f>
        <v>Perfiles</v>
      </c>
      <c r="AX1026" s="97" t="str">
        <f>IFERROR(__xludf.DUMMYFUNCTION("""COMPUTED_VALUE"""),"Interior")</f>
        <v>Interior</v>
      </c>
      <c r="AY1026" s="97"/>
      <c r="AZ1026" s="97" t="str">
        <f>IFERROR(__xludf.DUMMYFUNCTION("""COMPUTED_VALUE"""),"Medida interna para colocación de TiraLED 12 x 8mm (Ancho*Alto).
Viene con dos kits para aplicar (4 tapas y 4 soportes).
Medida soporte: 19x45x12mm (Ancho*Alto*Prof). ")</f>
        <v>Medida interna para colocación de TiraLED 12 x 8mm (Ancho*Alto).
Viene con dos kits para aplicar (4 tapas y 4 soportes).
Medida soporte: 19x45x12mm (Ancho*Alto*Prof). </v>
      </c>
      <c r="BA1026" s="97">
        <f>IFERROR(__xludf.DUMMYFUNCTION("""COMPUTED_VALUE"""),20.0)</f>
        <v>20</v>
      </c>
      <c r="BB1026" s="97"/>
      <c r="BC1026" s="97"/>
      <c r="BD1026" s="97" t="str">
        <f>IFERROR(__xludf.DUMMYFUNCTION("""COMPUTED_VALUE"""),"NEMA")</f>
        <v>NEMA</v>
      </c>
      <c r="BE1026" s="97" t="str">
        <f>IFERROR(__xludf.DUMMYFUNCTION("""COMPUTED_VALUE"""),"Finalizada")</f>
        <v>Finalizada</v>
      </c>
      <c r="BF1026" s="97"/>
      <c r="BG1026" s="97" t="str">
        <f>IFERROR(__xludf.DUMMYFUNCTION("""COMPUTED_VALUE"""),"Discontinuo")</f>
        <v>Discontinuo</v>
      </c>
    </row>
    <row r="1027">
      <c r="A1027" s="97">
        <f>IFERROR(__xludf.DUMMYFUNCTION("""COMPUTED_VALUE"""),6813.0)</f>
        <v>6813</v>
      </c>
      <c r="B1027" s="97" t="str">
        <f>IFERROR(__xludf.DUMMYFUNCTION("""COMPUTED_VALUE"""),"CHILL 20W 220V 3000K")</f>
        <v>CHILL 20W 220V 3000K</v>
      </c>
      <c r="C1027" s="97" t="str">
        <f>IFERROR(__xludf.DUMMYFUNCTION("""COMPUTED_VALUE"""),"PROYECTOR CHILL 20W 220V 3000K 20W 3000K 1075LM CRI&gt;90 IP65 LEUK")</f>
        <v>PROYECTOR CHILL 20W 220V 3000K 20W 3000K 1075LM CRI&gt;90 IP65 LEUK</v>
      </c>
      <c r="D1027" s="97">
        <f>IFERROR(__xludf.DUMMYFUNCTION("""COMPUTED_VALUE"""),7.798413223378E12)</f>
        <v>7798413223378</v>
      </c>
      <c r="E1027" s="97" t="str">
        <f>IFERROR(__xludf.DUMMYFUNCTION("""COMPUTED_VALUE"""),"C2")</f>
        <v>C2</v>
      </c>
      <c r="F1027" s="97" t="str">
        <f>IFERROR(__xludf.DUMMYFUNCTION("""COMPUTED_VALUE"""),"LED integrado")</f>
        <v>LED integrado</v>
      </c>
      <c r="G1027" s="97" t="str">
        <f>IFERROR(__xludf.DUMMYFUNCTION("""COMPUTED_VALUE"""),"Bridgelux")</f>
        <v>Bridgelux</v>
      </c>
      <c r="H1027" s="97" t="str">
        <f>IFERROR(__xludf.DUMMYFUNCTION("""COMPUTED_VALUE"""),"-")</f>
        <v>-</v>
      </c>
      <c r="I1027" s="97"/>
      <c r="J1027" s="97" t="str">
        <f>IFERROR(__xludf.DUMMYFUNCTION("""COMPUTED_VALUE"""),"Driver encapsulado")</f>
        <v>Driver encapsulado</v>
      </c>
      <c r="K1027" s="97" t="str">
        <f>IFERROR(__xludf.DUMMYFUNCTION("""COMPUTED_VALUE"""),"ON/OFF")</f>
        <v>ON/OFF</v>
      </c>
      <c r="L1027" s="97" t="str">
        <f>IFERROR(__xludf.DUMMYFUNCTION("""COMPUTED_VALUE"""),"220-240")</f>
        <v>220-240</v>
      </c>
      <c r="M1027" s="97" t="str">
        <f>IFERROR(__xludf.DUMMYFUNCTION("""COMPUTED_VALUE"""),"50/60")</f>
        <v>50/60</v>
      </c>
      <c r="N1027" s="97" t="str">
        <f>IFERROR(__xludf.DUMMYFUNCTION("""COMPUTED_VALUE"""),"Directa")</f>
        <v>Directa</v>
      </c>
      <c r="O1027" s="97">
        <f>IFERROR(__xludf.DUMMYFUNCTION("""COMPUTED_VALUE"""),20.0)</f>
        <v>20</v>
      </c>
      <c r="P1027" s="97"/>
      <c r="Q1027" s="97">
        <f>IFERROR(__xludf.DUMMYFUNCTION("""COMPUTED_VALUE"""),0.5)</f>
        <v>0.5</v>
      </c>
      <c r="R1027" s="97" t="str">
        <f>IFERROR(__xludf.DUMMYFUNCTION("""COMPUTED_VALUE"""),"-")</f>
        <v>-</v>
      </c>
      <c r="S1027" s="97" t="str">
        <f>IFERROR(__xludf.DUMMYFUNCTION("""COMPUTED_VALUE"""),"-")</f>
        <v>-</v>
      </c>
      <c r="T1027" s="97">
        <f>IFERROR(__xludf.DUMMYFUNCTION("""COMPUTED_VALUE"""),1075.0)</f>
        <v>1075</v>
      </c>
      <c r="U1027" s="99">
        <f>IFERROR(__xludf.DUMMYFUNCTION("""COMPUTED_VALUE"""),53.75)</f>
        <v>53.75</v>
      </c>
      <c r="V1027" s="97" t="str">
        <f>IFERROR(__xludf.DUMMYFUNCTION("""COMPUTED_VALUE"""),"15 / 24 / 36")</f>
        <v>15 / 24 / 36</v>
      </c>
      <c r="W1027" s="97" t="str">
        <f>IFERROR(__xludf.DUMMYFUNCTION("""COMPUTED_VALUE"""),"&lt; 16")</f>
        <v>&lt; 16</v>
      </c>
      <c r="X1027" s="97">
        <f>IFERROR(__xludf.DUMMYFUNCTION("""COMPUTED_VALUE"""),3000.0)</f>
        <v>3000</v>
      </c>
      <c r="Y1027" s="97" t="str">
        <f>IFERROR(__xludf.DUMMYFUNCTION("""COMPUTED_VALUE"""),"&gt;90")</f>
        <v>&gt;90</v>
      </c>
      <c r="Z1027" s="97"/>
      <c r="AA1027" s="97"/>
      <c r="AB1027" s="97" t="str">
        <f>IFERROR(__xludf.DUMMYFUNCTION("""COMPUTED_VALUE"""),"&lt; 3")</f>
        <v>&lt; 3</v>
      </c>
      <c r="AC1027" s="97"/>
      <c r="AD1027" s="97" t="str">
        <f>IFERROR(__xludf.DUMMYFUNCTION("""COMPUTED_VALUE"""),"IP65")</f>
        <v>IP65</v>
      </c>
      <c r="AE1027" s="97" t="str">
        <f>IFERROR(__xludf.DUMMYFUNCTION("""COMPUTED_VALUE"""),"Clase l")</f>
        <v>Clase l</v>
      </c>
      <c r="AF1027" s="97" t="str">
        <f>IFERROR(__xludf.DUMMYFUNCTION("""COMPUTED_VALUE"""),"Aplicar, Estaca")</f>
        <v>Aplicar, Estaca</v>
      </c>
      <c r="AG1027" s="97" t="str">
        <f>IFERROR(__xludf.DUMMYFUNCTION("""COMPUTED_VALUE"""),"Ø75 x 165")</f>
        <v>Ø75 x 165</v>
      </c>
      <c r="AH1027" s="97" t="str">
        <f>IFERROR(__xludf.DUMMYFUNCTION("""COMPUTED_VALUE"""),"N/A")</f>
        <v>N/A</v>
      </c>
      <c r="AI1027" s="97" t="str">
        <f>IFERROR(__xludf.DUMMYFUNCTION("""COMPUTED_VALUE"""),"N/A")</f>
        <v>N/A</v>
      </c>
      <c r="AJ1027" s="97" t="str">
        <f>IFERROR(__xludf.DUMMYFUNCTION("""COMPUTED_VALUE"""),"Vidrio y Acrílico")</f>
        <v>Vidrio y Acrílico</v>
      </c>
      <c r="AK1027" s="97" t="str">
        <f>IFERROR(__xludf.DUMMYFUNCTION("""COMPUTED_VALUE"""),"Aluminio")</f>
        <v>Aluminio</v>
      </c>
      <c r="AL1027" s="97" t="str">
        <f>IFERROR(__xludf.DUMMYFUNCTION("""COMPUTED_VALUE"""),"Negro Satinado")</f>
        <v>Negro Satinado</v>
      </c>
      <c r="AM1027" s="97" t="str">
        <f>IFERROR(__xludf.DUMMYFUNCTION("""COMPUTED_VALUE"""),"-")</f>
        <v>-</v>
      </c>
      <c r="AN1027" s="97" t="str">
        <f>IFERROR(__xludf.DUMMYFUNCTION("""COMPUTED_VALUE"""),"25.000hs (L70)")</f>
        <v>25.000hs (L70)</v>
      </c>
      <c r="AO1027" s="97" t="str">
        <f>IFERROR(__xludf.DUMMYFUNCTION("""COMPUTED_VALUE"""),"2 Años")</f>
        <v>2 Años</v>
      </c>
      <c r="AP1027" s="97" t="str">
        <f>IFERROR(__xludf.DUMMYFUNCTION("""COMPUTED_VALUE"""),"Falta")</f>
        <v>Falta</v>
      </c>
      <c r="AQ1027" s="97" t="str">
        <f>IFERROR(__xludf.DUMMYFUNCTION("""COMPUTED_VALUE"""),"Falta")</f>
        <v>Falta</v>
      </c>
      <c r="AR1027" s="97" t="str">
        <f>IFERROR(__xludf.DUMMYFUNCTION("""COMPUTED_VALUE"""),"Falta")</f>
        <v>Falta</v>
      </c>
      <c r="AS1027" s="97" t="str">
        <f>IFERROR(__xludf.DUMMYFUNCTION("""COMPUTED_VALUE"""),"Disponible")</f>
        <v>Disponible</v>
      </c>
      <c r="AT1027" s="97" t="str">
        <f>IFERROR(__xludf.DUMMYFUNCTION("""COMPUTED_VALUE"""),"Disponible")</f>
        <v>Disponible</v>
      </c>
      <c r="AU1027" s="97" t="str">
        <f>IFERROR(__xludf.DUMMYFUNCTION("""COMPUTED_VALUE"""),"Falta")</f>
        <v>Falta</v>
      </c>
      <c r="AV1027" s="97" t="str">
        <f>IFERROR(__xludf.DUMMYFUNCTION("""COMPUTED_VALUE"""),"Proyector")</f>
        <v>Proyector</v>
      </c>
      <c r="AW1027" s="97" t="str">
        <f>IFERROR(__xludf.DUMMYFUNCTION("""COMPUTED_VALUE"""),"De Piso")</f>
        <v>De Piso</v>
      </c>
      <c r="AX1027" s="97" t="str">
        <f>IFERROR(__xludf.DUMMYFUNCTION("""COMPUTED_VALUE"""),"Exterior")</f>
        <v>Exterior</v>
      </c>
      <c r="AY1027" s="97" t="str">
        <f>IFERROR(__xludf.DUMMYFUNCTION("""COMPUTED_VALUE"""),"Chill")</f>
        <v>Chill</v>
      </c>
      <c r="AZ1027" s="97" t="str">
        <f>IFERROR(__xludf.DUMMYFUNCTION("""COMPUTED_VALUE"""),"Incluye estaca y lente 36° + 2 lentes intercambiables: 15° y 24°")</f>
        <v>Incluye estaca y lente 36° + 2 lentes intercambiables: 15° y 24°</v>
      </c>
      <c r="BA1027" s="97"/>
      <c r="BB1027" s="97" t="str">
        <f>IFERROR(__xludf.DUMMYFUNCTION("""COMPUTED_VALUE"""),"-")</f>
        <v>-</v>
      </c>
      <c r="BC1027" s="97" t="str">
        <f>IFERROR(__xludf.DUMMYFUNCTION("""COMPUTED_VALUE"""),"-")</f>
        <v>-</v>
      </c>
      <c r="BD1027" s="97" t="str">
        <f>IFERROR(__xludf.DUMMYFUNCTION("""COMPUTED_VALUE"""),"CHILL")</f>
        <v>CHILL</v>
      </c>
      <c r="BE1027" s="97" t="str">
        <f>IFERROR(__xludf.DUMMYFUNCTION("""COMPUTED_VALUE"""),"Finalizada")</f>
        <v>Finalizada</v>
      </c>
      <c r="BF1027" s="97"/>
      <c r="BG1027" s="97" t="str">
        <f>IFERROR(__xludf.DUMMYFUNCTION("""COMPUTED_VALUE"""),"Activo")</f>
        <v>Activo</v>
      </c>
    </row>
    <row r="1028">
      <c r="A1028" s="97">
        <f>IFERROR(__xludf.DUMMYFUNCTION("""COMPUTED_VALUE"""),6814.0)</f>
        <v>6814</v>
      </c>
      <c r="B1028" s="97" t="str">
        <f>IFERROR(__xludf.DUMMYFUNCTION("""COMPUTED_VALUE"""),"CHILL 20W 24V 2700K")</f>
        <v>CHILL 20W 24V 2700K</v>
      </c>
      <c r="C1028" s="97" t="str">
        <f>IFERROR(__xludf.DUMMYFUNCTION("""COMPUTED_VALUE"""),"PROYECTOR CHILL 20W 24V 2700K 20W 2700K 1075LM CRI&gt;90 IP65 LEUK")</f>
        <v>PROYECTOR CHILL 20W 24V 2700K 20W 2700K 1075LM CRI&gt;90 IP65 LEUK</v>
      </c>
      <c r="D1028" s="97">
        <f>IFERROR(__xludf.DUMMYFUNCTION("""COMPUTED_VALUE"""),7.798413223385E12)</f>
        <v>7798413223385</v>
      </c>
      <c r="E1028" s="97" t="str">
        <f>IFERROR(__xludf.DUMMYFUNCTION("""COMPUTED_VALUE"""),"N/A")</f>
        <v>N/A</v>
      </c>
      <c r="F1028" s="97" t="str">
        <f>IFERROR(__xludf.DUMMYFUNCTION("""COMPUTED_VALUE"""),"LED integrado")</f>
        <v>LED integrado</v>
      </c>
      <c r="G1028" s="97" t="str">
        <f>IFERROR(__xludf.DUMMYFUNCTION("""COMPUTED_VALUE"""),"Bridgelux")</f>
        <v>Bridgelux</v>
      </c>
      <c r="H1028" s="97" t="str">
        <f>IFERROR(__xludf.DUMMYFUNCTION("""COMPUTED_VALUE"""),"-")</f>
        <v>-</v>
      </c>
      <c r="I1028" s="97" t="str">
        <f>IFERROR(__xludf.DUMMYFUNCTION("""COMPUTED_VALUE"""),"N/A")</f>
        <v>N/A</v>
      </c>
      <c r="J1028" s="97" t="str">
        <f>IFERROR(__xludf.DUMMYFUNCTION("""COMPUTED_VALUE"""),"N/A")</f>
        <v>N/A</v>
      </c>
      <c r="K1028" s="97" t="str">
        <f>IFERROR(__xludf.DUMMYFUNCTION("""COMPUTED_VALUE"""),"ON/OFF")</f>
        <v>ON/OFF</v>
      </c>
      <c r="L1028" s="97" t="str">
        <f>IFERROR(__xludf.DUMMYFUNCTION("""COMPUTED_VALUE"""),"24Vdc")</f>
        <v>24Vdc</v>
      </c>
      <c r="M1028" s="97" t="str">
        <f>IFERROR(__xludf.DUMMYFUNCTION("""COMPUTED_VALUE"""),"N/A")</f>
        <v>N/A</v>
      </c>
      <c r="N1028" s="97" t="str">
        <f>IFERROR(__xludf.DUMMYFUNCTION("""COMPUTED_VALUE"""),"Directa")</f>
        <v>Directa</v>
      </c>
      <c r="O1028" s="97">
        <f>IFERROR(__xludf.DUMMYFUNCTION("""COMPUTED_VALUE"""),20.0)</f>
        <v>20</v>
      </c>
      <c r="P1028" s="97"/>
      <c r="Q1028" s="97" t="str">
        <f>IFERROR(__xludf.DUMMYFUNCTION("""COMPUTED_VALUE"""),"N/A")</f>
        <v>N/A</v>
      </c>
      <c r="R1028" s="97" t="str">
        <f>IFERROR(__xludf.DUMMYFUNCTION("""COMPUTED_VALUE"""),"-")</f>
        <v>-</v>
      </c>
      <c r="S1028" s="97" t="str">
        <f>IFERROR(__xludf.DUMMYFUNCTION("""COMPUTED_VALUE"""),"-")</f>
        <v>-</v>
      </c>
      <c r="T1028" s="97">
        <f>IFERROR(__xludf.DUMMYFUNCTION("""COMPUTED_VALUE"""),1075.0)</f>
        <v>1075</v>
      </c>
      <c r="U1028" s="99">
        <f>IFERROR(__xludf.DUMMYFUNCTION("""COMPUTED_VALUE"""),53.75)</f>
        <v>53.75</v>
      </c>
      <c r="V1028" s="97" t="str">
        <f>IFERROR(__xludf.DUMMYFUNCTION("""COMPUTED_VALUE"""),"15 / 24 / 36")</f>
        <v>15 / 24 / 36</v>
      </c>
      <c r="W1028" s="97" t="str">
        <f>IFERROR(__xludf.DUMMYFUNCTION("""COMPUTED_VALUE"""),"&lt; 16")</f>
        <v>&lt; 16</v>
      </c>
      <c r="X1028" s="97">
        <f>IFERROR(__xludf.DUMMYFUNCTION("""COMPUTED_VALUE"""),2700.0)</f>
        <v>2700</v>
      </c>
      <c r="Y1028" s="97" t="str">
        <f>IFERROR(__xludf.DUMMYFUNCTION("""COMPUTED_VALUE"""),"&gt;90")</f>
        <v>&gt;90</v>
      </c>
      <c r="Z1028" s="97"/>
      <c r="AA1028" s="97"/>
      <c r="AB1028" s="97" t="str">
        <f>IFERROR(__xludf.DUMMYFUNCTION("""COMPUTED_VALUE"""),"-")</f>
        <v>-</v>
      </c>
      <c r="AC1028" s="97"/>
      <c r="AD1028" s="97" t="str">
        <f>IFERROR(__xludf.DUMMYFUNCTION("""COMPUTED_VALUE"""),"IP65")</f>
        <v>IP65</v>
      </c>
      <c r="AE1028" s="97" t="str">
        <f>IFERROR(__xludf.DUMMYFUNCTION("""COMPUTED_VALUE"""),"Clase lll")</f>
        <v>Clase lll</v>
      </c>
      <c r="AF1028" s="97" t="str">
        <f>IFERROR(__xludf.DUMMYFUNCTION("""COMPUTED_VALUE"""),"Aplicar, Estaca")</f>
        <v>Aplicar, Estaca</v>
      </c>
      <c r="AG1028" s="97" t="str">
        <f>IFERROR(__xludf.DUMMYFUNCTION("""COMPUTED_VALUE"""),"Ø75 x 165")</f>
        <v>Ø75 x 165</v>
      </c>
      <c r="AH1028" s="97" t="str">
        <f>IFERROR(__xludf.DUMMYFUNCTION("""COMPUTED_VALUE"""),"N/A")</f>
        <v>N/A</v>
      </c>
      <c r="AI1028" s="97" t="str">
        <f>IFERROR(__xludf.DUMMYFUNCTION("""COMPUTED_VALUE"""),"N/A")</f>
        <v>N/A</v>
      </c>
      <c r="AJ1028" s="97" t="str">
        <f>IFERROR(__xludf.DUMMYFUNCTION("""COMPUTED_VALUE"""),"Vidrio y Acrílico")</f>
        <v>Vidrio y Acrílico</v>
      </c>
      <c r="AK1028" s="97" t="str">
        <f>IFERROR(__xludf.DUMMYFUNCTION("""COMPUTED_VALUE"""),"Aluminio")</f>
        <v>Aluminio</v>
      </c>
      <c r="AL1028" s="97" t="str">
        <f>IFERROR(__xludf.DUMMYFUNCTION("""COMPUTED_VALUE"""),"Negro Satinado")</f>
        <v>Negro Satinado</v>
      </c>
      <c r="AM1028" s="97" t="str">
        <f>IFERROR(__xludf.DUMMYFUNCTION("""COMPUTED_VALUE"""),"-")</f>
        <v>-</v>
      </c>
      <c r="AN1028" s="97" t="str">
        <f>IFERROR(__xludf.DUMMYFUNCTION("""COMPUTED_VALUE"""),"25.000hs (L70)")</f>
        <v>25.000hs (L70)</v>
      </c>
      <c r="AO1028" s="97" t="str">
        <f>IFERROR(__xludf.DUMMYFUNCTION("""COMPUTED_VALUE"""),"2 Años")</f>
        <v>2 Años</v>
      </c>
      <c r="AP1028" s="97" t="str">
        <f>IFERROR(__xludf.DUMMYFUNCTION("""COMPUTED_VALUE"""),"Disponible")</f>
        <v>Disponible</v>
      </c>
      <c r="AQ1028" s="97" t="str">
        <f>IFERROR(__xludf.DUMMYFUNCTION("""COMPUTED_VALUE"""),"Disponible")</f>
        <v>Disponible</v>
      </c>
      <c r="AR1028" s="97" t="str">
        <f>IFERROR(__xludf.DUMMYFUNCTION("""COMPUTED_VALUE"""),"Disponible")</f>
        <v>Disponible</v>
      </c>
      <c r="AS1028" s="97" t="str">
        <f>IFERROR(__xludf.DUMMYFUNCTION("""COMPUTED_VALUE"""),"Disponible")</f>
        <v>Disponible</v>
      </c>
      <c r="AT1028" s="97" t="str">
        <f>IFERROR(__xludf.DUMMYFUNCTION("""COMPUTED_VALUE"""),"Disponible")</f>
        <v>Disponible</v>
      </c>
      <c r="AU1028" s="97" t="str">
        <f>IFERROR(__xludf.DUMMYFUNCTION("""COMPUTED_VALUE"""),"Falta")</f>
        <v>Falta</v>
      </c>
      <c r="AV1028" s="97" t="str">
        <f>IFERROR(__xludf.DUMMYFUNCTION("""COMPUTED_VALUE"""),"Proyector")</f>
        <v>Proyector</v>
      </c>
      <c r="AW1028" s="97" t="str">
        <f>IFERROR(__xludf.DUMMYFUNCTION("""COMPUTED_VALUE"""),"De Piso")</f>
        <v>De Piso</v>
      </c>
      <c r="AX1028" s="97" t="str">
        <f>IFERROR(__xludf.DUMMYFUNCTION("""COMPUTED_VALUE"""),"Exterior")</f>
        <v>Exterior</v>
      </c>
      <c r="AY1028" s="97" t="str">
        <f>IFERROR(__xludf.DUMMYFUNCTION("""COMPUTED_VALUE"""),"Chill")</f>
        <v>Chill</v>
      </c>
      <c r="AZ1028" s="97" t="str">
        <f>IFERROR(__xludf.DUMMYFUNCTION("""COMPUTED_VALUE"""),"Incluye estaca y lente 36° + 2 lentes intercambiables: 15° y 24°")</f>
        <v>Incluye estaca y lente 36° + 2 lentes intercambiables: 15° y 24°</v>
      </c>
      <c r="BA1028" s="97"/>
      <c r="BB1028" s="97" t="str">
        <f>IFERROR(__xludf.DUMMYFUNCTION("""COMPUTED_VALUE"""),"-")</f>
        <v>-</v>
      </c>
      <c r="BC1028" s="97" t="str">
        <f>IFERROR(__xludf.DUMMYFUNCTION("""COMPUTED_VALUE"""),"-")</f>
        <v>-</v>
      </c>
      <c r="BD1028" s="97" t="str">
        <f>IFERROR(__xludf.DUMMYFUNCTION("""COMPUTED_VALUE"""),"CHILL")</f>
        <v>CHILL</v>
      </c>
      <c r="BE1028" s="97" t="str">
        <f>IFERROR(__xludf.DUMMYFUNCTION("""COMPUTED_VALUE"""),"Finalizada")</f>
        <v>Finalizada</v>
      </c>
      <c r="BF1028" s="97"/>
      <c r="BG1028" s="97" t="str">
        <f>IFERROR(__xludf.DUMMYFUNCTION("""COMPUTED_VALUE"""),"Activo")</f>
        <v>Activo</v>
      </c>
    </row>
    <row r="1029">
      <c r="A1029" s="97">
        <f>IFERROR(__xludf.DUMMYFUNCTION("""COMPUTED_VALUE"""),6815.0)</f>
        <v>6815</v>
      </c>
      <c r="B1029" s="97" t="str">
        <f>IFERROR(__xludf.DUMMYFUNCTION("""COMPUTED_VALUE"""),"CHILL 20W 24V 3000K")</f>
        <v>CHILL 20W 24V 3000K</v>
      </c>
      <c r="C1029" s="97" t="str">
        <f>IFERROR(__xludf.DUMMYFUNCTION("""COMPUTED_VALUE"""),"PROYECTOR CHILL 20W 24V 3000K 20W 3000K 1075LM CRI&gt;90 IP65 LEUK")</f>
        <v>PROYECTOR CHILL 20W 24V 3000K 20W 3000K 1075LM CRI&gt;90 IP65 LEUK</v>
      </c>
      <c r="D1029" s="97">
        <f>IFERROR(__xludf.DUMMYFUNCTION("""COMPUTED_VALUE"""),7.798413223392E12)</f>
        <v>7798413223392</v>
      </c>
      <c r="E1029" s="97" t="str">
        <f>IFERROR(__xludf.DUMMYFUNCTION("""COMPUTED_VALUE"""),"N/A")</f>
        <v>N/A</v>
      </c>
      <c r="F1029" s="97" t="str">
        <f>IFERROR(__xludf.DUMMYFUNCTION("""COMPUTED_VALUE"""),"LED integrado")</f>
        <v>LED integrado</v>
      </c>
      <c r="G1029" s="97" t="str">
        <f>IFERROR(__xludf.DUMMYFUNCTION("""COMPUTED_VALUE"""),"Bridgelux")</f>
        <v>Bridgelux</v>
      </c>
      <c r="H1029" s="97" t="str">
        <f>IFERROR(__xludf.DUMMYFUNCTION("""COMPUTED_VALUE"""),"-")</f>
        <v>-</v>
      </c>
      <c r="I1029" s="97" t="str">
        <f>IFERROR(__xludf.DUMMYFUNCTION("""COMPUTED_VALUE"""),"N/A")</f>
        <v>N/A</v>
      </c>
      <c r="J1029" s="97" t="str">
        <f>IFERROR(__xludf.DUMMYFUNCTION("""COMPUTED_VALUE"""),"N/A")</f>
        <v>N/A</v>
      </c>
      <c r="K1029" s="97" t="str">
        <f>IFERROR(__xludf.DUMMYFUNCTION("""COMPUTED_VALUE"""),"ON/OFF")</f>
        <v>ON/OFF</v>
      </c>
      <c r="L1029" s="97" t="str">
        <f>IFERROR(__xludf.DUMMYFUNCTION("""COMPUTED_VALUE"""),"24Vdc")</f>
        <v>24Vdc</v>
      </c>
      <c r="M1029" s="97" t="str">
        <f>IFERROR(__xludf.DUMMYFUNCTION("""COMPUTED_VALUE"""),"N/A")</f>
        <v>N/A</v>
      </c>
      <c r="N1029" s="97" t="str">
        <f>IFERROR(__xludf.DUMMYFUNCTION("""COMPUTED_VALUE"""),"Directa")</f>
        <v>Directa</v>
      </c>
      <c r="O1029" s="97">
        <f>IFERROR(__xludf.DUMMYFUNCTION("""COMPUTED_VALUE"""),20.0)</f>
        <v>20</v>
      </c>
      <c r="P1029" s="97"/>
      <c r="Q1029" s="97" t="str">
        <f>IFERROR(__xludf.DUMMYFUNCTION("""COMPUTED_VALUE"""),"N/A")</f>
        <v>N/A</v>
      </c>
      <c r="R1029" s="97" t="str">
        <f>IFERROR(__xludf.DUMMYFUNCTION("""COMPUTED_VALUE"""),"-")</f>
        <v>-</v>
      </c>
      <c r="S1029" s="97" t="str">
        <f>IFERROR(__xludf.DUMMYFUNCTION("""COMPUTED_VALUE"""),"-")</f>
        <v>-</v>
      </c>
      <c r="T1029" s="97">
        <f>IFERROR(__xludf.DUMMYFUNCTION("""COMPUTED_VALUE"""),1075.0)</f>
        <v>1075</v>
      </c>
      <c r="U1029" s="99">
        <f>IFERROR(__xludf.DUMMYFUNCTION("""COMPUTED_VALUE"""),53.75)</f>
        <v>53.75</v>
      </c>
      <c r="V1029" s="97" t="str">
        <f>IFERROR(__xludf.DUMMYFUNCTION("""COMPUTED_VALUE"""),"15 / 24 / 36")</f>
        <v>15 / 24 / 36</v>
      </c>
      <c r="W1029" s="97" t="str">
        <f>IFERROR(__xludf.DUMMYFUNCTION("""COMPUTED_VALUE"""),"&lt; 16")</f>
        <v>&lt; 16</v>
      </c>
      <c r="X1029" s="97">
        <f>IFERROR(__xludf.DUMMYFUNCTION("""COMPUTED_VALUE"""),3000.0)</f>
        <v>3000</v>
      </c>
      <c r="Y1029" s="97" t="str">
        <f>IFERROR(__xludf.DUMMYFUNCTION("""COMPUTED_VALUE"""),"&gt;90")</f>
        <v>&gt;90</v>
      </c>
      <c r="Z1029" s="97"/>
      <c r="AA1029" s="97"/>
      <c r="AB1029" s="97" t="str">
        <f>IFERROR(__xludf.DUMMYFUNCTION("""COMPUTED_VALUE"""),"-")</f>
        <v>-</v>
      </c>
      <c r="AC1029" s="97"/>
      <c r="AD1029" s="97" t="str">
        <f>IFERROR(__xludf.DUMMYFUNCTION("""COMPUTED_VALUE"""),"IP65")</f>
        <v>IP65</v>
      </c>
      <c r="AE1029" s="97" t="str">
        <f>IFERROR(__xludf.DUMMYFUNCTION("""COMPUTED_VALUE"""),"Clase lll")</f>
        <v>Clase lll</v>
      </c>
      <c r="AF1029" s="97" t="str">
        <f>IFERROR(__xludf.DUMMYFUNCTION("""COMPUTED_VALUE"""),"Aplicar, Estaca")</f>
        <v>Aplicar, Estaca</v>
      </c>
      <c r="AG1029" s="97" t="str">
        <f>IFERROR(__xludf.DUMMYFUNCTION("""COMPUTED_VALUE"""),"Ø75 x 165")</f>
        <v>Ø75 x 165</v>
      </c>
      <c r="AH1029" s="97" t="str">
        <f>IFERROR(__xludf.DUMMYFUNCTION("""COMPUTED_VALUE"""),"N/A")</f>
        <v>N/A</v>
      </c>
      <c r="AI1029" s="97" t="str">
        <f>IFERROR(__xludf.DUMMYFUNCTION("""COMPUTED_VALUE"""),"N/A")</f>
        <v>N/A</v>
      </c>
      <c r="AJ1029" s="97" t="str">
        <f>IFERROR(__xludf.DUMMYFUNCTION("""COMPUTED_VALUE"""),"Vidrio y Acrílico")</f>
        <v>Vidrio y Acrílico</v>
      </c>
      <c r="AK1029" s="97" t="str">
        <f>IFERROR(__xludf.DUMMYFUNCTION("""COMPUTED_VALUE"""),"Aluminio")</f>
        <v>Aluminio</v>
      </c>
      <c r="AL1029" s="97" t="str">
        <f>IFERROR(__xludf.DUMMYFUNCTION("""COMPUTED_VALUE"""),"Negro Satinado")</f>
        <v>Negro Satinado</v>
      </c>
      <c r="AM1029" s="97" t="str">
        <f>IFERROR(__xludf.DUMMYFUNCTION("""COMPUTED_VALUE"""),"-")</f>
        <v>-</v>
      </c>
      <c r="AN1029" s="97" t="str">
        <f>IFERROR(__xludf.DUMMYFUNCTION("""COMPUTED_VALUE"""),"25.000hs (L70)")</f>
        <v>25.000hs (L70)</v>
      </c>
      <c r="AO1029" s="97" t="str">
        <f>IFERROR(__xludf.DUMMYFUNCTION("""COMPUTED_VALUE"""),"2 Años")</f>
        <v>2 Años</v>
      </c>
      <c r="AP1029" s="97" t="str">
        <f>IFERROR(__xludf.DUMMYFUNCTION("""COMPUTED_VALUE"""),"Falta")</f>
        <v>Falta</v>
      </c>
      <c r="AQ1029" s="97" t="str">
        <f>IFERROR(__xludf.DUMMYFUNCTION("""COMPUTED_VALUE"""),"Falta")</f>
        <v>Falta</v>
      </c>
      <c r="AR1029" s="97" t="str">
        <f>IFERROR(__xludf.DUMMYFUNCTION("""COMPUTED_VALUE"""),"Falta")</f>
        <v>Falta</v>
      </c>
      <c r="AS1029" s="97" t="str">
        <f>IFERROR(__xludf.DUMMYFUNCTION("""COMPUTED_VALUE"""),"Disponible")</f>
        <v>Disponible</v>
      </c>
      <c r="AT1029" s="97" t="str">
        <f>IFERROR(__xludf.DUMMYFUNCTION("""COMPUTED_VALUE"""),"Disponible")</f>
        <v>Disponible</v>
      </c>
      <c r="AU1029" s="97" t="str">
        <f>IFERROR(__xludf.DUMMYFUNCTION("""COMPUTED_VALUE"""),"Falta")</f>
        <v>Falta</v>
      </c>
      <c r="AV1029" s="97" t="str">
        <f>IFERROR(__xludf.DUMMYFUNCTION("""COMPUTED_VALUE"""),"Proyector")</f>
        <v>Proyector</v>
      </c>
      <c r="AW1029" s="97" t="str">
        <f>IFERROR(__xludf.DUMMYFUNCTION("""COMPUTED_VALUE"""),"De Piso")</f>
        <v>De Piso</v>
      </c>
      <c r="AX1029" s="97" t="str">
        <f>IFERROR(__xludf.DUMMYFUNCTION("""COMPUTED_VALUE"""),"Exterior")</f>
        <v>Exterior</v>
      </c>
      <c r="AY1029" s="97" t="str">
        <f>IFERROR(__xludf.DUMMYFUNCTION("""COMPUTED_VALUE"""),"Chill")</f>
        <v>Chill</v>
      </c>
      <c r="AZ1029" s="97" t="str">
        <f>IFERROR(__xludf.DUMMYFUNCTION("""COMPUTED_VALUE"""),"Incluye estaca y lente 36° + 2 lentes intercambiables: 15° y 24°")</f>
        <v>Incluye estaca y lente 36° + 2 lentes intercambiables: 15° y 24°</v>
      </c>
      <c r="BA1029" s="97"/>
      <c r="BB1029" s="97" t="str">
        <f>IFERROR(__xludf.DUMMYFUNCTION("""COMPUTED_VALUE"""),"-")</f>
        <v>-</v>
      </c>
      <c r="BC1029" s="97" t="str">
        <f>IFERROR(__xludf.DUMMYFUNCTION("""COMPUTED_VALUE"""),"-")</f>
        <v>-</v>
      </c>
      <c r="BD1029" s="97" t="str">
        <f>IFERROR(__xludf.DUMMYFUNCTION("""COMPUTED_VALUE"""),"CHILL")</f>
        <v>CHILL</v>
      </c>
      <c r="BE1029" s="97" t="str">
        <f>IFERROR(__xludf.DUMMYFUNCTION("""COMPUTED_VALUE"""),"Finalizada")</f>
        <v>Finalizada</v>
      </c>
      <c r="BF1029" s="97"/>
      <c r="BG1029" s="97" t="str">
        <f>IFERROR(__xludf.DUMMYFUNCTION("""COMPUTED_VALUE"""),"Activo")</f>
        <v>Activo</v>
      </c>
    </row>
    <row r="1030">
      <c r="A1030" s="97">
        <f>IFERROR(__xludf.DUMMYFUNCTION("""COMPUTED_VALUE"""),6816.0)</f>
        <v>6816</v>
      </c>
      <c r="B1030" s="97" t="str">
        <f>IFERROR(__xludf.DUMMYFUNCTION("""COMPUTED_VALUE"""),"PIER W")</f>
        <v>PIER W</v>
      </c>
      <c r="C1030" s="97" t="str">
        <f>IFERROR(__xludf.DUMMYFUNCTION("""COMPUTED_VALUE"""),"APLIQUE PIER W 7W 3000K 312LM CRI&gt;90 IP65 LEUK")</f>
        <v>APLIQUE PIER W 7W 3000K 312LM CRI&gt;90 IP65 LEUK</v>
      </c>
      <c r="D1030" s="97">
        <f>IFERROR(__xludf.DUMMYFUNCTION("""COMPUTED_VALUE"""),7.7984132232E12)</f>
        <v>7798413223200</v>
      </c>
      <c r="E1030" s="97" t="str">
        <f>IFERROR(__xludf.DUMMYFUNCTION("""COMPUTED_VALUE"""),"C68")</f>
        <v>C68</v>
      </c>
      <c r="F1030" s="97" t="str">
        <f>IFERROR(__xludf.DUMMYFUNCTION("""COMPUTED_VALUE"""),"LED integrado")</f>
        <v>LED integrado</v>
      </c>
      <c r="G1030" s="97" t="str">
        <f>IFERROR(__xludf.DUMMYFUNCTION("""COMPUTED_VALUE"""),"Bridgelux")</f>
        <v>Bridgelux</v>
      </c>
      <c r="H1030" s="97" t="str">
        <f>IFERROR(__xludf.DUMMYFUNCTION("""COMPUTED_VALUE"""),"-")</f>
        <v>-</v>
      </c>
      <c r="I1030" s="97"/>
      <c r="J1030" s="97"/>
      <c r="K1030" s="97" t="str">
        <f>IFERROR(__xludf.DUMMYFUNCTION("""COMPUTED_VALUE"""),"ON/OFF")</f>
        <v>ON/OFF</v>
      </c>
      <c r="L1030" s="97" t="str">
        <f>IFERROR(__xludf.DUMMYFUNCTION("""COMPUTED_VALUE"""),"220-240")</f>
        <v>220-240</v>
      </c>
      <c r="M1030" s="97" t="str">
        <f>IFERROR(__xludf.DUMMYFUNCTION("""COMPUTED_VALUE"""),"50/60")</f>
        <v>50/60</v>
      </c>
      <c r="N1030" s="97"/>
      <c r="O1030" s="97">
        <f>IFERROR(__xludf.DUMMYFUNCTION("""COMPUTED_VALUE"""),7.0)</f>
        <v>7</v>
      </c>
      <c r="P1030" s="97"/>
      <c r="Q1030" s="97">
        <f>IFERROR(__xludf.DUMMYFUNCTION("""COMPUTED_VALUE"""),0.45)</f>
        <v>0.45</v>
      </c>
      <c r="R1030" s="97" t="str">
        <f>IFERROR(__xludf.DUMMYFUNCTION("""COMPUTED_VALUE"""),"-")</f>
        <v>-</v>
      </c>
      <c r="S1030" s="97" t="str">
        <f>IFERROR(__xludf.DUMMYFUNCTION("""COMPUTED_VALUE"""),"-")</f>
        <v>-</v>
      </c>
      <c r="T1030" s="97">
        <f>IFERROR(__xludf.DUMMYFUNCTION("""COMPUTED_VALUE"""),312.0)</f>
        <v>312</v>
      </c>
      <c r="U1030" s="99">
        <f>IFERROR(__xludf.DUMMYFUNCTION("""COMPUTED_VALUE"""),44.57142857142857)</f>
        <v>44.57142857</v>
      </c>
      <c r="V1030" s="97">
        <f>IFERROR(__xludf.DUMMYFUNCTION("""COMPUTED_VALUE"""),115.0)</f>
        <v>115</v>
      </c>
      <c r="W1030" s="97" t="str">
        <f>IFERROR(__xludf.DUMMYFUNCTION("""COMPUTED_VALUE"""),"&lt; 16")</f>
        <v>&lt; 16</v>
      </c>
      <c r="X1030" s="97">
        <f>IFERROR(__xludf.DUMMYFUNCTION("""COMPUTED_VALUE"""),3000.0)</f>
        <v>3000</v>
      </c>
      <c r="Y1030" s="97" t="str">
        <f>IFERROR(__xludf.DUMMYFUNCTION("""COMPUTED_VALUE"""),"&gt;90")</f>
        <v>&gt;90</v>
      </c>
      <c r="Z1030" s="97"/>
      <c r="AA1030" s="97"/>
      <c r="AB1030" s="97" t="str">
        <f>IFERROR(__xludf.DUMMYFUNCTION("""COMPUTED_VALUE"""),"&lt; 5")</f>
        <v>&lt; 5</v>
      </c>
      <c r="AC1030" s="97"/>
      <c r="AD1030" s="97" t="str">
        <f>IFERROR(__xludf.DUMMYFUNCTION("""COMPUTED_VALUE"""),"IP65")</f>
        <v>IP65</v>
      </c>
      <c r="AE1030" s="97" t="str">
        <f>IFERROR(__xludf.DUMMYFUNCTION("""COMPUTED_VALUE"""),"Clase l")</f>
        <v>Clase l</v>
      </c>
      <c r="AF1030" s="97" t="str">
        <f>IFERROR(__xludf.DUMMYFUNCTION("""COMPUTED_VALUE"""),"Aplicar")</f>
        <v>Aplicar</v>
      </c>
      <c r="AG1030" s="97" t="str">
        <f>IFERROR(__xludf.DUMMYFUNCTION("""COMPUTED_VALUE"""),"50 x 100 x 270")</f>
        <v>50 x 100 x 270</v>
      </c>
      <c r="AH1030" s="97" t="str">
        <f>IFERROR(__xludf.DUMMYFUNCTION("""COMPUTED_VALUE"""),"N/A")</f>
        <v>N/A</v>
      </c>
      <c r="AI1030" s="97" t="str">
        <f>IFERROR(__xludf.DUMMYFUNCTION("""COMPUTED_VALUE"""),"N/A")</f>
        <v>N/A</v>
      </c>
      <c r="AJ1030" s="97" t="str">
        <f>IFERROR(__xludf.DUMMYFUNCTION("""COMPUTED_VALUE"""),"PMMA")</f>
        <v>PMMA</v>
      </c>
      <c r="AK1030" s="97" t="str">
        <f>IFERROR(__xludf.DUMMYFUNCTION("""COMPUTED_VALUE"""),"Aluminio")</f>
        <v>Aluminio</v>
      </c>
      <c r="AL1030" s="97" t="str">
        <f>IFERROR(__xludf.DUMMYFUNCTION("""COMPUTED_VALUE"""),"Negro Satinado")</f>
        <v>Negro Satinado</v>
      </c>
      <c r="AM1030" s="97" t="str">
        <f>IFERROR(__xludf.DUMMYFUNCTION("""COMPUTED_VALUE"""),"-")</f>
        <v>-</v>
      </c>
      <c r="AN1030" s="97" t="str">
        <f>IFERROR(__xludf.DUMMYFUNCTION("""COMPUTED_VALUE"""),"25.000hs (L70)")</f>
        <v>25.000hs (L70)</v>
      </c>
      <c r="AO1030" s="97" t="str">
        <f>IFERROR(__xludf.DUMMYFUNCTION("""COMPUTED_VALUE"""),"2 Años")</f>
        <v>2 Años</v>
      </c>
      <c r="AP1030" s="97" t="str">
        <f>IFERROR(__xludf.DUMMYFUNCTION("""COMPUTED_VALUE"""),"Disponible")</f>
        <v>Disponible</v>
      </c>
      <c r="AQ1030" s="97" t="str">
        <f>IFERROR(__xludf.DUMMYFUNCTION("""COMPUTED_VALUE"""),"Disponible")</f>
        <v>Disponible</v>
      </c>
      <c r="AR1030" s="97" t="str">
        <f>IFERROR(__xludf.DUMMYFUNCTION("""COMPUTED_VALUE"""),"Disponible")</f>
        <v>Disponible</v>
      </c>
      <c r="AS1030" s="97"/>
      <c r="AT1030" s="97"/>
      <c r="AU1030" s="97" t="str">
        <f>IFERROR(__xludf.DUMMYFUNCTION("""COMPUTED_VALUE"""),"Falta")</f>
        <v>Falta</v>
      </c>
      <c r="AV1030" s="97" t="str">
        <f>IFERROR(__xludf.DUMMYFUNCTION("""COMPUTED_VALUE"""),"Aplique")</f>
        <v>Aplique</v>
      </c>
      <c r="AW1030" s="97" t="str">
        <f>IFERROR(__xludf.DUMMYFUNCTION("""COMPUTED_VALUE"""),"De Pared")</f>
        <v>De Pared</v>
      </c>
      <c r="AX1030" s="97" t="str">
        <f>IFERROR(__xludf.DUMMYFUNCTION("""COMPUTED_VALUE"""),"Exterior")</f>
        <v>Exterior</v>
      </c>
      <c r="AY1030" s="97" t="str">
        <f>IFERROR(__xludf.DUMMYFUNCTION("""COMPUTED_VALUE"""),"-")</f>
        <v>-</v>
      </c>
      <c r="AZ1030" s="97"/>
      <c r="BA1030" s="97">
        <f>IFERROR(__xludf.DUMMYFUNCTION("""COMPUTED_VALUE"""),20.0)</f>
        <v>20</v>
      </c>
      <c r="BB1030" s="97" t="str">
        <f>IFERROR(__xludf.DUMMYFUNCTION("""COMPUTED_VALUE"""),"-")</f>
        <v>-</v>
      </c>
      <c r="BC1030" s="97">
        <f>IFERROR(__xludf.DUMMYFUNCTION("""COMPUTED_VALUE"""),50.0)</f>
        <v>50</v>
      </c>
      <c r="BD1030" s="97" t="str">
        <f>IFERROR(__xludf.DUMMYFUNCTION("""COMPUTED_VALUE"""),"PIER W")</f>
        <v>PIER W</v>
      </c>
      <c r="BE1030" s="97" t="str">
        <f>IFERROR(__xludf.DUMMYFUNCTION("""COMPUTED_VALUE"""),"Actualizar")</f>
        <v>Actualizar</v>
      </c>
      <c r="BF1030" s="97"/>
      <c r="BG1030" s="97" t="str">
        <f>IFERROR(__xludf.DUMMYFUNCTION("""COMPUTED_VALUE"""),"Activo")</f>
        <v>Activo</v>
      </c>
    </row>
    <row r="1031">
      <c r="A1031" s="97">
        <f>IFERROR(__xludf.DUMMYFUNCTION("""COMPUTED_VALUE"""),6817.0)</f>
        <v>6817</v>
      </c>
      <c r="B1031" s="97" t="str">
        <f>IFERROR(__xludf.DUMMYFUNCTION("""COMPUTED_VALUE"""),"LEX 24V")</f>
        <v>LEX 24V</v>
      </c>
      <c r="C1031" s="97" t="str">
        <f>IFERROR(__xludf.DUMMYFUNCTION("""COMPUTED_VALUE"""),"APLIQUE LEX 24V 3W 3000K 185LM CRI&gt;90 IP65 LEUK")</f>
        <v>APLIQUE LEX 24V 3W 3000K 185LM CRI&gt;90 IP65 LEUK</v>
      </c>
      <c r="D1031" s="97">
        <f>IFERROR(__xludf.DUMMYFUNCTION("""COMPUTED_VALUE"""),7.798413223217E12)</f>
        <v>7798413223217</v>
      </c>
      <c r="E1031" s="97" t="str">
        <f>IFERROR(__xludf.DUMMYFUNCTION("""COMPUTED_VALUE"""),"N/A")</f>
        <v>N/A</v>
      </c>
      <c r="F1031" s="97" t="str">
        <f>IFERROR(__xludf.DUMMYFUNCTION("""COMPUTED_VALUE"""),"LED integrado")</f>
        <v>LED integrado</v>
      </c>
      <c r="G1031" s="97" t="str">
        <f>IFERROR(__xludf.DUMMYFUNCTION("""COMPUTED_VALUE"""),"Bridgelux")</f>
        <v>Bridgelux</v>
      </c>
      <c r="H1031" s="97" t="str">
        <f>IFERROR(__xludf.DUMMYFUNCTION("""COMPUTED_VALUE"""),"-")</f>
        <v>-</v>
      </c>
      <c r="I1031" s="97" t="str">
        <f>IFERROR(__xludf.DUMMYFUNCTION("""COMPUTED_VALUE"""),"N/A")</f>
        <v>N/A</v>
      </c>
      <c r="J1031" s="97" t="str">
        <f>IFERROR(__xludf.DUMMYFUNCTION("""COMPUTED_VALUE"""),"N/A")</f>
        <v>N/A</v>
      </c>
      <c r="K1031" s="97" t="str">
        <f>IFERROR(__xludf.DUMMYFUNCTION("""COMPUTED_VALUE"""),"ON/OFF")</f>
        <v>ON/OFF</v>
      </c>
      <c r="L1031" s="97" t="str">
        <f>IFERROR(__xludf.DUMMYFUNCTION("""COMPUTED_VALUE"""),"24Vdc")</f>
        <v>24Vdc</v>
      </c>
      <c r="M1031" s="97" t="str">
        <f>IFERROR(__xludf.DUMMYFUNCTION("""COMPUTED_VALUE"""),"N/A")</f>
        <v>N/A</v>
      </c>
      <c r="N1031" s="97" t="str">
        <f>IFERROR(__xludf.DUMMYFUNCTION("""COMPUTED_VALUE"""),"Directa")</f>
        <v>Directa</v>
      </c>
      <c r="O1031" s="97">
        <f>IFERROR(__xludf.DUMMYFUNCTION("""COMPUTED_VALUE"""),3.0)</f>
        <v>3</v>
      </c>
      <c r="P1031" s="97"/>
      <c r="Q1031" s="97" t="str">
        <f>IFERROR(__xludf.DUMMYFUNCTION("""COMPUTED_VALUE"""),"-")</f>
        <v>-</v>
      </c>
      <c r="R1031" s="97" t="str">
        <f>IFERROR(__xludf.DUMMYFUNCTION("""COMPUTED_VALUE"""),"-")</f>
        <v>-</v>
      </c>
      <c r="S1031" s="97" t="str">
        <f>IFERROR(__xludf.DUMMYFUNCTION("""COMPUTED_VALUE"""),"-")</f>
        <v>-</v>
      </c>
      <c r="T1031" s="97">
        <f>IFERROR(__xludf.DUMMYFUNCTION("""COMPUTED_VALUE"""),185.0)</f>
        <v>185</v>
      </c>
      <c r="U1031" s="99">
        <f>IFERROR(__xludf.DUMMYFUNCTION("""COMPUTED_VALUE"""),61.666666666666664)</f>
        <v>61.66666667</v>
      </c>
      <c r="V1031" s="97">
        <f>IFERROR(__xludf.DUMMYFUNCTION("""COMPUTED_VALUE"""),28.0)</f>
        <v>28</v>
      </c>
      <c r="W1031" s="97" t="str">
        <f>IFERROR(__xludf.DUMMYFUNCTION("""COMPUTED_VALUE"""),"&lt; 16")</f>
        <v>&lt; 16</v>
      </c>
      <c r="X1031" s="97">
        <f>IFERROR(__xludf.DUMMYFUNCTION("""COMPUTED_VALUE"""),3000.0)</f>
        <v>3000</v>
      </c>
      <c r="Y1031" s="97" t="str">
        <f>IFERROR(__xludf.DUMMYFUNCTION("""COMPUTED_VALUE"""),"&gt;90")</f>
        <v>&gt;90</v>
      </c>
      <c r="Z1031" s="97" t="str">
        <f>IFERROR(__xludf.DUMMYFUNCTION("""COMPUTED_VALUE"""),"-")</f>
        <v>-</v>
      </c>
      <c r="AA1031" s="97" t="str">
        <f>IFERROR(__xludf.DUMMYFUNCTION("""COMPUTED_VALUE"""),"-")</f>
        <v>-</v>
      </c>
      <c r="AB1031" s="97" t="str">
        <f>IFERROR(__xludf.DUMMYFUNCTION("""COMPUTED_VALUE"""),"&lt; 2")</f>
        <v>&lt; 2</v>
      </c>
      <c r="AC1031" s="97">
        <f>IFERROR(__xludf.DUMMYFUNCTION("""COMPUTED_VALUE"""),-3.65E-4)</f>
        <v>-0.000365</v>
      </c>
      <c r="AD1031" s="97" t="str">
        <f>IFERROR(__xludf.DUMMYFUNCTION("""COMPUTED_VALUE"""),"IP65")</f>
        <v>IP65</v>
      </c>
      <c r="AE1031" s="97" t="str">
        <f>IFERROR(__xludf.DUMMYFUNCTION("""COMPUTED_VALUE"""),"Clase lll")</f>
        <v>Clase lll</v>
      </c>
      <c r="AF1031" s="97" t="str">
        <f>IFERROR(__xludf.DUMMYFUNCTION("""COMPUTED_VALUE"""),"Anclaje de piso")</f>
        <v>Anclaje de piso</v>
      </c>
      <c r="AG1031" s="97" t="str">
        <f>IFERROR(__xludf.DUMMYFUNCTION("""COMPUTED_VALUE"""),"Ø120 x 35")</f>
        <v>Ø120 x 35</v>
      </c>
      <c r="AH1031" s="97" t="str">
        <f>IFERROR(__xludf.DUMMYFUNCTION("""COMPUTED_VALUE"""),"N/A")</f>
        <v>N/A</v>
      </c>
      <c r="AI1031" s="97" t="str">
        <f>IFERROR(__xludf.DUMMYFUNCTION("""COMPUTED_VALUE"""),"N/A")</f>
        <v>N/A</v>
      </c>
      <c r="AJ1031" s="97" t="str">
        <f>IFERROR(__xludf.DUMMYFUNCTION("""COMPUTED_VALUE"""),"Vidrio")</f>
        <v>Vidrio</v>
      </c>
      <c r="AK1031" s="97" t="str">
        <f>IFERROR(__xludf.DUMMYFUNCTION("""COMPUTED_VALUE"""),"Aluminio")</f>
        <v>Aluminio</v>
      </c>
      <c r="AL1031" s="97" t="str">
        <f>IFERROR(__xludf.DUMMYFUNCTION("""COMPUTED_VALUE"""),"Negro Satinado")</f>
        <v>Negro Satinado</v>
      </c>
      <c r="AM1031" s="97" t="str">
        <f>IFERROR(__xludf.DUMMYFUNCTION("""COMPUTED_VALUE"""),"-")</f>
        <v>-</v>
      </c>
      <c r="AN1031" s="97" t="str">
        <f>IFERROR(__xludf.DUMMYFUNCTION("""COMPUTED_VALUE"""),"25.000hs (L70)")</f>
        <v>25.000hs (L70)</v>
      </c>
      <c r="AO1031" s="97" t="str">
        <f>IFERROR(__xludf.DUMMYFUNCTION("""COMPUTED_VALUE"""),"2 Años")</f>
        <v>2 Años</v>
      </c>
      <c r="AP1031" s="97" t="str">
        <f>IFERROR(__xludf.DUMMYFUNCTION("""COMPUTED_VALUE"""),"Disponible")</f>
        <v>Disponible</v>
      </c>
      <c r="AQ1031" s="97" t="str">
        <f>IFERROR(__xludf.DUMMYFUNCTION("""COMPUTED_VALUE"""),"Disponible")</f>
        <v>Disponible</v>
      </c>
      <c r="AR1031" s="97" t="str">
        <f>IFERROR(__xludf.DUMMYFUNCTION("""COMPUTED_VALUE"""),"Disponible")</f>
        <v>Disponible</v>
      </c>
      <c r="AS1031" s="97" t="str">
        <f>IFERROR(__xludf.DUMMYFUNCTION("""COMPUTED_VALUE"""),"Falta")</f>
        <v>Falta</v>
      </c>
      <c r="AT1031" s="97" t="str">
        <f>IFERROR(__xludf.DUMMYFUNCTION("""COMPUTED_VALUE"""),"Falta")</f>
        <v>Falta</v>
      </c>
      <c r="AU1031" s="97" t="str">
        <f>IFERROR(__xludf.DUMMYFUNCTION("""COMPUTED_VALUE"""),"Falta")</f>
        <v>Falta</v>
      </c>
      <c r="AV1031" s="97" t="str">
        <f>IFERROR(__xludf.DUMMYFUNCTION("""COMPUTED_VALUE"""),"Aplique")</f>
        <v>Aplique</v>
      </c>
      <c r="AW1031" s="97" t="str">
        <f>IFERROR(__xludf.DUMMYFUNCTION("""COMPUTED_VALUE"""),"De Piso")</f>
        <v>De Piso</v>
      </c>
      <c r="AX1031" s="97" t="str">
        <f>IFERROR(__xludf.DUMMYFUNCTION("""COMPUTED_VALUE"""),"Exterior")</f>
        <v>Exterior</v>
      </c>
      <c r="AY1031" s="97" t="str">
        <f>IFERROR(__xludf.DUMMYFUNCTION("""COMPUTED_VALUE"""),"-")</f>
        <v>-</v>
      </c>
      <c r="AZ1031" s="97" t="str">
        <f>IFERROR(__xludf.DUMMYFUNCTION("""COMPUTED_VALUE"""),"Corriente: 125mA.")</f>
        <v>Corriente: 125mA.</v>
      </c>
      <c r="BA1031" s="97">
        <f>IFERROR(__xludf.DUMMYFUNCTION("""COMPUTED_VALUE"""),20.0)</f>
        <v>20</v>
      </c>
      <c r="BB1031" s="97" t="str">
        <f>IFERROR(__xludf.DUMMYFUNCTION("""COMPUTED_VALUE"""),"-")</f>
        <v>-</v>
      </c>
      <c r="BC1031" s="97">
        <f>IFERROR(__xludf.DUMMYFUNCTION("""COMPUTED_VALUE"""),100.0)</f>
        <v>100</v>
      </c>
      <c r="BD1031" s="97" t="str">
        <f>IFERROR(__xludf.DUMMYFUNCTION("""COMPUTED_VALUE"""),"LEX ")</f>
        <v>LEX </v>
      </c>
      <c r="BE1031" s="97" t="str">
        <f>IFERROR(__xludf.DUMMYFUNCTION("""COMPUTED_VALUE"""),"Finalizada")</f>
        <v>Finalizada</v>
      </c>
      <c r="BF1031" s="97"/>
      <c r="BG1031" s="97" t="str">
        <f>IFERROR(__xludf.DUMMYFUNCTION("""COMPUTED_VALUE"""),"Activo")</f>
        <v>Activo</v>
      </c>
    </row>
    <row r="1032">
      <c r="A1032" s="97">
        <f>IFERROR(__xludf.DUMMYFUNCTION("""COMPUTED_VALUE"""),6818.0)</f>
        <v>6818</v>
      </c>
      <c r="B1032" s="97" t="str">
        <f>IFERROR(__xludf.DUMMYFUNCTION("""COMPUTED_VALUE"""),"ELON 24V")</f>
        <v>ELON 24V</v>
      </c>
      <c r="C1032" s="97" t="str">
        <f>IFERROR(__xludf.DUMMYFUNCTION("""COMPUTED_VALUE"""),"EMPOTRABLE ELON 24V 3W 3000K 7LM CRI&gt;90 IP65 LEUK")</f>
        <v>EMPOTRABLE ELON 24V 3W 3000K 7LM CRI&gt;90 IP65 LEUK</v>
      </c>
      <c r="D1032" s="97">
        <f>IFERROR(__xludf.DUMMYFUNCTION("""COMPUTED_VALUE"""),7.798413223224E12)</f>
        <v>7798413223224</v>
      </c>
      <c r="E1032" s="97" t="str">
        <f>IFERROR(__xludf.DUMMYFUNCTION("""COMPUTED_VALUE"""),"N/A")</f>
        <v>N/A</v>
      </c>
      <c r="F1032" s="97" t="str">
        <f>IFERROR(__xludf.DUMMYFUNCTION("""COMPUTED_VALUE"""),"LED integrado")</f>
        <v>LED integrado</v>
      </c>
      <c r="G1032" s="97" t="str">
        <f>IFERROR(__xludf.DUMMYFUNCTION("""COMPUTED_VALUE"""),"Bridgelux")</f>
        <v>Bridgelux</v>
      </c>
      <c r="H1032" s="97" t="str">
        <f>IFERROR(__xludf.DUMMYFUNCTION("""COMPUTED_VALUE"""),"-")</f>
        <v>-</v>
      </c>
      <c r="I1032" s="97" t="str">
        <f>IFERROR(__xludf.DUMMYFUNCTION("""COMPUTED_VALUE"""),"N/A")</f>
        <v>N/A</v>
      </c>
      <c r="J1032" s="97" t="str">
        <f>IFERROR(__xludf.DUMMYFUNCTION("""COMPUTED_VALUE"""),"N/A")</f>
        <v>N/A</v>
      </c>
      <c r="K1032" s="97" t="str">
        <f>IFERROR(__xludf.DUMMYFUNCTION("""COMPUTED_VALUE"""),"ON/OFF")</f>
        <v>ON/OFF</v>
      </c>
      <c r="L1032" s="97" t="str">
        <f>IFERROR(__xludf.DUMMYFUNCTION("""COMPUTED_VALUE"""),"24Vdc")</f>
        <v>24Vdc</v>
      </c>
      <c r="M1032" s="97" t="str">
        <f>IFERROR(__xludf.DUMMYFUNCTION("""COMPUTED_VALUE"""),"N/A")</f>
        <v>N/A</v>
      </c>
      <c r="N1032" s="97"/>
      <c r="O1032" s="97">
        <f>IFERROR(__xludf.DUMMYFUNCTION("""COMPUTED_VALUE"""),3.0)</f>
        <v>3</v>
      </c>
      <c r="P1032" s="97"/>
      <c r="Q1032" s="97" t="str">
        <f>IFERROR(__xludf.DUMMYFUNCTION("""COMPUTED_VALUE"""),"-")</f>
        <v>-</v>
      </c>
      <c r="R1032" s="97" t="str">
        <f>IFERROR(__xludf.DUMMYFUNCTION("""COMPUTED_VALUE"""),"-")</f>
        <v>-</v>
      </c>
      <c r="S1032" s="97" t="str">
        <f>IFERROR(__xludf.DUMMYFUNCTION("""COMPUTED_VALUE"""),"-")</f>
        <v>-</v>
      </c>
      <c r="T1032" s="97">
        <f>IFERROR(__xludf.DUMMYFUNCTION("""COMPUTED_VALUE"""),7.0)</f>
        <v>7</v>
      </c>
      <c r="U1032" s="99">
        <f>IFERROR(__xludf.DUMMYFUNCTION("""COMPUTED_VALUE"""),2.3333333333333335)</f>
        <v>2.333333333</v>
      </c>
      <c r="V1032" s="97">
        <f>IFERROR(__xludf.DUMMYFUNCTION("""COMPUTED_VALUE"""),187.0)</f>
        <v>187</v>
      </c>
      <c r="W1032" s="97" t="str">
        <f>IFERROR(__xludf.DUMMYFUNCTION("""COMPUTED_VALUE"""),"&lt; 14")</f>
        <v>&lt; 14</v>
      </c>
      <c r="X1032" s="97">
        <f>IFERROR(__xludf.DUMMYFUNCTION("""COMPUTED_VALUE"""),3000.0)</f>
        <v>3000</v>
      </c>
      <c r="Y1032" s="97" t="str">
        <f>IFERROR(__xludf.DUMMYFUNCTION("""COMPUTED_VALUE"""),"&gt;90")</f>
        <v>&gt;90</v>
      </c>
      <c r="Z1032" s="97"/>
      <c r="AA1032" s="97"/>
      <c r="AB1032" s="97" t="str">
        <f>IFERROR(__xludf.DUMMYFUNCTION("""COMPUTED_VALUE"""),"&lt; 5")</f>
        <v>&lt; 5</v>
      </c>
      <c r="AC1032" s="97"/>
      <c r="AD1032" s="97" t="str">
        <f>IFERROR(__xludf.DUMMYFUNCTION("""COMPUTED_VALUE"""),"IP65")</f>
        <v>IP65</v>
      </c>
      <c r="AE1032" s="97" t="str">
        <f>IFERROR(__xludf.DUMMYFUNCTION("""COMPUTED_VALUE"""),"Clase lll")</f>
        <v>Clase lll</v>
      </c>
      <c r="AF1032" s="97" t="str">
        <f>IFERROR(__xludf.DUMMYFUNCTION("""COMPUTED_VALUE"""),"Embutir")</f>
        <v>Embutir</v>
      </c>
      <c r="AG1032" s="97" t="str">
        <f>IFERROR(__xludf.DUMMYFUNCTION("""COMPUTED_VALUE"""),"Ø64 x 80")</f>
        <v>Ø64 x 80</v>
      </c>
      <c r="AH1032" s="97" t="str">
        <f>IFERROR(__xludf.DUMMYFUNCTION("""COMPUTED_VALUE"""),"Ø52")</f>
        <v>Ø52</v>
      </c>
      <c r="AI1032" s="97">
        <f>IFERROR(__xludf.DUMMYFUNCTION("""COMPUTED_VALUE"""),82.0)</f>
        <v>82</v>
      </c>
      <c r="AJ1032" s="97" t="str">
        <f>IFERROR(__xludf.DUMMYFUNCTION("""COMPUTED_VALUE"""),"PMMA")</f>
        <v>PMMA</v>
      </c>
      <c r="AK1032" s="97" t="str">
        <f>IFERROR(__xludf.DUMMYFUNCTION("""COMPUTED_VALUE"""),"Aluminio")</f>
        <v>Aluminio</v>
      </c>
      <c r="AL1032" s="97" t="str">
        <f>IFERROR(__xludf.DUMMYFUNCTION("""COMPUTED_VALUE"""),"Negro Satinado")</f>
        <v>Negro Satinado</v>
      </c>
      <c r="AM1032" s="97" t="str">
        <f>IFERROR(__xludf.DUMMYFUNCTION("""COMPUTED_VALUE"""),"-")</f>
        <v>-</v>
      </c>
      <c r="AN1032" s="97" t="str">
        <f>IFERROR(__xludf.DUMMYFUNCTION("""COMPUTED_VALUE"""),"25.000hs (L70)")</f>
        <v>25.000hs (L70)</v>
      </c>
      <c r="AO1032" s="97" t="str">
        <f>IFERROR(__xludf.DUMMYFUNCTION("""COMPUTED_VALUE"""),"2 Años")</f>
        <v>2 Años</v>
      </c>
      <c r="AP1032" s="97" t="str">
        <f>IFERROR(__xludf.DUMMYFUNCTION("""COMPUTED_VALUE"""),"Disponible")</f>
        <v>Disponible</v>
      </c>
      <c r="AQ1032" s="97" t="str">
        <f>IFERROR(__xludf.DUMMYFUNCTION("""COMPUTED_VALUE"""),"Disponible")</f>
        <v>Disponible</v>
      </c>
      <c r="AR1032" s="97" t="str">
        <f>IFERROR(__xludf.DUMMYFUNCTION("""COMPUTED_VALUE"""),"Disponible")</f>
        <v>Disponible</v>
      </c>
      <c r="AS1032" s="97" t="str">
        <f>IFERROR(__xludf.DUMMYFUNCTION("""COMPUTED_VALUE"""),"Falta")</f>
        <v>Falta</v>
      </c>
      <c r="AT1032" s="97" t="str">
        <f>IFERROR(__xludf.DUMMYFUNCTION("""COMPUTED_VALUE"""),"Falta")</f>
        <v>Falta</v>
      </c>
      <c r="AU1032" s="97" t="str">
        <f>IFERROR(__xludf.DUMMYFUNCTION("""COMPUTED_VALUE"""),"Falta")</f>
        <v>Falta</v>
      </c>
      <c r="AV1032" s="97" t="str">
        <f>IFERROR(__xludf.DUMMYFUNCTION("""COMPUTED_VALUE"""),"Empotrable")</f>
        <v>Empotrable</v>
      </c>
      <c r="AW1032" s="97" t="str">
        <f>IFERROR(__xludf.DUMMYFUNCTION("""COMPUTED_VALUE"""),"De Piso")</f>
        <v>De Piso</v>
      </c>
      <c r="AX1032" s="97" t="str">
        <f>IFERROR(__xludf.DUMMYFUNCTION("""COMPUTED_VALUE"""),"Exterior")</f>
        <v>Exterior</v>
      </c>
      <c r="AY1032" s="97" t="str">
        <f>IFERROR(__xludf.DUMMYFUNCTION("""COMPUTED_VALUE"""),"-")</f>
        <v>-</v>
      </c>
      <c r="AZ1032" s="97" t="str">
        <f>IFERROR(__xludf.DUMMYFUNCTION("""COMPUTED_VALUE"""),"Corriente: 125mA.")</f>
        <v>Corriente: 125mA.</v>
      </c>
      <c r="BA1032" s="97">
        <f>IFERROR(__xludf.DUMMYFUNCTION("""COMPUTED_VALUE"""),100.0)</f>
        <v>100</v>
      </c>
      <c r="BB1032" s="97" t="str">
        <f>IFERROR(__xludf.DUMMYFUNCTION("""COMPUTED_VALUE"""),"-")</f>
        <v>-</v>
      </c>
      <c r="BC1032" s="97">
        <f>IFERROR(__xludf.DUMMYFUNCTION("""COMPUTED_VALUE"""),100.0)</f>
        <v>100</v>
      </c>
      <c r="BD1032" s="97" t="str">
        <f>IFERROR(__xludf.DUMMYFUNCTION("""COMPUTED_VALUE"""),"ELON")</f>
        <v>ELON</v>
      </c>
      <c r="BE1032" s="97" t="str">
        <f>IFERROR(__xludf.DUMMYFUNCTION("""COMPUTED_VALUE"""),"Actualizar")</f>
        <v>Actualizar</v>
      </c>
      <c r="BF1032" s="97"/>
      <c r="BG1032" s="97" t="str">
        <f>IFERROR(__xludf.DUMMYFUNCTION("""COMPUTED_VALUE"""),"Activo")</f>
        <v>Activo</v>
      </c>
    </row>
    <row r="1033">
      <c r="A1033" s="97">
        <f>IFERROR(__xludf.DUMMYFUNCTION("""COMPUTED_VALUE"""),6819.0)</f>
        <v>6819</v>
      </c>
      <c r="B1033" s="97" t="str">
        <f>IFERROR(__xludf.DUMMYFUNCTION("""COMPUTED_VALUE"""),"KIM I 24V")</f>
        <v>KIM I 24V</v>
      </c>
      <c r="C1033" s="97" t="str">
        <f>IFERROR(__xludf.DUMMYFUNCTION("""COMPUTED_VALUE"""),"EMPOTRABLE KIM I 24V 3W 3000K 13LM CRI&gt;90 IP65 LEUK")</f>
        <v>EMPOTRABLE KIM I 24V 3W 3000K 13LM CRI&gt;90 IP65 LEUK</v>
      </c>
      <c r="D1033" s="97">
        <f>IFERROR(__xludf.DUMMYFUNCTION("""COMPUTED_VALUE"""),7.798413223231E12)</f>
        <v>7798413223231</v>
      </c>
      <c r="E1033" s="97" t="str">
        <f>IFERROR(__xludf.DUMMYFUNCTION("""COMPUTED_VALUE"""),"N/A")</f>
        <v>N/A</v>
      </c>
      <c r="F1033" s="97" t="str">
        <f>IFERROR(__xludf.DUMMYFUNCTION("""COMPUTED_VALUE"""),"LED integrado")</f>
        <v>LED integrado</v>
      </c>
      <c r="G1033" s="97" t="str">
        <f>IFERROR(__xludf.DUMMYFUNCTION("""COMPUTED_VALUE"""),"Bridgelux")</f>
        <v>Bridgelux</v>
      </c>
      <c r="H1033" s="97" t="str">
        <f>IFERROR(__xludf.DUMMYFUNCTION("""COMPUTED_VALUE"""),"-")</f>
        <v>-</v>
      </c>
      <c r="I1033" s="97" t="str">
        <f>IFERROR(__xludf.DUMMYFUNCTION("""COMPUTED_VALUE"""),"N/A")</f>
        <v>N/A</v>
      </c>
      <c r="J1033" s="97" t="str">
        <f>IFERROR(__xludf.DUMMYFUNCTION("""COMPUTED_VALUE"""),"N/A")</f>
        <v>N/A</v>
      </c>
      <c r="K1033" s="97" t="str">
        <f>IFERROR(__xludf.DUMMYFUNCTION("""COMPUTED_VALUE"""),"ON/OFF")</f>
        <v>ON/OFF</v>
      </c>
      <c r="L1033" s="97" t="str">
        <f>IFERROR(__xludf.DUMMYFUNCTION("""COMPUTED_VALUE"""),"24Vdc")</f>
        <v>24Vdc</v>
      </c>
      <c r="M1033" s="97" t="str">
        <f>IFERROR(__xludf.DUMMYFUNCTION("""COMPUTED_VALUE"""),"N/A")</f>
        <v>N/A</v>
      </c>
      <c r="N1033" s="97"/>
      <c r="O1033" s="97">
        <f>IFERROR(__xludf.DUMMYFUNCTION("""COMPUTED_VALUE"""),3.0)</f>
        <v>3</v>
      </c>
      <c r="P1033" s="97"/>
      <c r="Q1033" s="97" t="str">
        <f>IFERROR(__xludf.DUMMYFUNCTION("""COMPUTED_VALUE"""),"-")</f>
        <v>-</v>
      </c>
      <c r="R1033" s="97" t="str">
        <f>IFERROR(__xludf.DUMMYFUNCTION("""COMPUTED_VALUE"""),"-")</f>
        <v>-</v>
      </c>
      <c r="S1033" s="97" t="str">
        <f>IFERROR(__xludf.DUMMYFUNCTION("""COMPUTED_VALUE"""),"-")</f>
        <v>-</v>
      </c>
      <c r="T1033" s="97">
        <f>IFERROR(__xludf.DUMMYFUNCTION("""COMPUTED_VALUE"""),13.0)</f>
        <v>13</v>
      </c>
      <c r="U1033" s="99">
        <f>IFERROR(__xludf.DUMMYFUNCTION("""COMPUTED_VALUE"""),4.333333333333333)</f>
        <v>4.333333333</v>
      </c>
      <c r="V1033" s="97">
        <f>IFERROR(__xludf.DUMMYFUNCTION("""COMPUTED_VALUE"""),35.0)</f>
        <v>35</v>
      </c>
      <c r="W1033" s="97" t="str">
        <f>IFERROR(__xludf.DUMMYFUNCTION("""COMPUTED_VALUE"""),"&lt; 14")</f>
        <v>&lt; 14</v>
      </c>
      <c r="X1033" s="97">
        <f>IFERROR(__xludf.DUMMYFUNCTION("""COMPUTED_VALUE"""),3000.0)</f>
        <v>3000</v>
      </c>
      <c r="Y1033" s="97" t="str">
        <f>IFERROR(__xludf.DUMMYFUNCTION("""COMPUTED_VALUE"""),"&gt;90")</f>
        <v>&gt;90</v>
      </c>
      <c r="Z1033" s="97"/>
      <c r="AA1033" s="97"/>
      <c r="AB1033" s="97" t="str">
        <f>IFERROR(__xludf.DUMMYFUNCTION("""COMPUTED_VALUE"""),"&lt; 3")</f>
        <v>&lt; 3</v>
      </c>
      <c r="AC1033" s="97"/>
      <c r="AD1033" s="97" t="str">
        <f>IFERROR(__xludf.DUMMYFUNCTION("""COMPUTED_VALUE"""),"IP65")</f>
        <v>IP65</v>
      </c>
      <c r="AE1033" s="97" t="str">
        <f>IFERROR(__xludf.DUMMYFUNCTION("""COMPUTED_VALUE"""),"Clase lll")</f>
        <v>Clase lll</v>
      </c>
      <c r="AF1033" s="97" t="str">
        <f>IFERROR(__xludf.DUMMYFUNCTION("""COMPUTED_VALUE"""),"Embutir")</f>
        <v>Embutir</v>
      </c>
      <c r="AG1033" s="97" t="str">
        <f>IFERROR(__xludf.DUMMYFUNCTION("""COMPUTED_VALUE"""),"Ø50 x 76")</f>
        <v>Ø50 x 76</v>
      </c>
      <c r="AH1033" s="97" t="str">
        <f>IFERROR(__xludf.DUMMYFUNCTION("""COMPUTED_VALUE"""),"Ø40")</f>
        <v>Ø40</v>
      </c>
      <c r="AI1033" s="97">
        <f>IFERROR(__xludf.DUMMYFUNCTION("""COMPUTED_VALUE"""),75.0)</f>
        <v>75</v>
      </c>
      <c r="AJ1033" s="97" t="str">
        <f>IFERROR(__xludf.DUMMYFUNCTION("""COMPUTED_VALUE"""),"Vidrio")</f>
        <v>Vidrio</v>
      </c>
      <c r="AK1033" s="97" t="str">
        <f>IFERROR(__xludf.DUMMYFUNCTION("""COMPUTED_VALUE"""),"Aluminio")</f>
        <v>Aluminio</v>
      </c>
      <c r="AL1033" s="97" t="str">
        <f>IFERROR(__xludf.DUMMYFUNCTION("""COMPUTED_VALUE"""),"Negro Satinado")</f>
        <v>Negro Satinado</v>
      </c>
      <c r="AM1033" s="97" t="str">
        <f>IFERROR(__xludf.DUMMYFUNCTION("""COMPUTED_VALUE"""),"-")</f>
        <v>-</v>
      </c>
      <c r="AN1033" s="97" t="str">
        <f>IFERROR(__xludf.DUMMYFUNCTION("""COMPUTED_VALUE"""),"25.000hs (L70)")</f>
        <v>25.000hs (L70)</v>
      </c>
      <c r="AO1033" s="97" t="str">
        <f>IFERROR(__xludf.DUMMYFUNCTION("""COMPUTED_VALUE"""),"2 Años")</f>
        <v>2 Años</v>
      </c>
      <c r="AP1033" s="97" t="str">
        <f>IFERROR(__xludf.DUMMYFUNCTION("""COMPUTED_VALUE"""),"Disponible")</f>
        <v>Disponible</v>
      </c>
      <c r="AQ1033" s="97" t="str">
        <f>IFERROR(__xludf.DUMMYFUNCTION("""COMPUTED_VALUE"""),"Disponible")</f>
        <v>Disponible</v>
      </c>
      <c r="AR1033" s="97" t="str">
        <f>IFERROR(__xludf.DUMMYFUNCTION("""COMPUTED_VALUE"""),"Disponible")</f>
        <v>Disponible</v>
      </c>
      <c r="AS1033" s="97" t="str">
        <f>IFERROR(__xludf.DUMMYFUNCTION("""COMPUTED_VALUE"""),"Falta")</f>
        <v>Falta</v>
      </c>
      <c r="AT1033" s="97" t="str">
        <f>IFERROR(__xludf.DUMMYFUNCTION("""COMPUTED_VALUE"""),"Falta")</f>
        <v>Falta</v>
      </c>
      <c r="AU1033" s="97" t="str">
        <f>IFERROR(__xludf.DUMMYFUNCTION("""COMPUTED_VALUE"""),"Falta")</f>
        <v>Falta</v>
      </c>
      <c r="AV1033" s="97" t="str">
        <f>IFERROR(__xludf.DUMMYFUNCTION("""COMPUTED_VALUE"""),"Empotrable")</f>
        <v>Empotrable</v>
      </c>
      <c r="AW1033" s="97" t="str">
        <f>IFERROR(__xludf.DUMMYFUNCTION("""COMPUTED_VALUE"""),"De Piso")</f>
        <v>De Piso</v>
      </c>
      <c r="AX1033" s="97" t="str">
        <f>IFERROR(__xludf.DUMMYFUNCTION("""COMPUTED_VALUE"""),"Exterior")</f>
        <v>Exterior</v>
      </c>
      <c r="AY1033" s="97" t="str">
        <f>IFERROR(__xludf.DUMMYFUNCTION("""COMPUTED_VALUE"""),"-")</f>
        <v>-</v>
      </c>
      <c r="AZ1033" s="97" t="str">
        <f>IFERROR(__xludf.DUMMYFUNCTION("""COMPUTED_VALUE"""),"Corriente: 125mA.")</f>
        <v>Corriente: 125mA.</v>
      </c>
      <c r="BA1033" s="97">
        <f>IFERROR(__xludf.DUMMYFUNCTION("""COMPUTED_VALUE"""),100.0)</f>
        <v>100</v>
      </c>
      <c r="BB1033" s="97" t="str">
        <f>IFERROR(__xludf.DUMMYFUNCTION("""COMPUTED_VALUE"""),"-")</f>
        <v>-</v>
      </c>
      <c r="BC1033" s="97">
        <f>IFERROR(__xludf.DUMMYFUNCTION("""COMPUTED_VALUE"""),100.0)</f>
        <v>100</v>
      </c>
      <c r="BD1033" s="97" t="str">
        <f>IFERROR(__xludf.DUMMYFUNCTION("""COMPUTED_VALUE"""),"KIM")</f>
        <v>KIM</v>
      </c>
      <c r="BE1033" s="97" t="str">
        <f>IFERROR(__xludf.DUMMYFUNCTION("""COMPUTED_VALUE"""),"Actualizar")</f>
        <v>Actualizar</v>
      </c>
      <c r="BF1033" s="97"/>
      <c r="BG1033" s="97" t="str">
        <f>IFERROR(__xludf.DUMMYFUNCTION("""COMPUTED_VALUE"""),"Activo")</f>
        <v>Activo</v>
      </c>
    </row>
    <row r="1034">
      <c r="A1034" s="97">
        <f>IFERROR(__xludf.DUMMYFUNCTION("""COMPUTED_VALUE"""),6820.0)</f>
        <v>6820</v>
      </c>
      <c r="B1034" s="97" t="str">
        <f>IFERROR(__xludf.DUMMYFUNCTION("""COMPUTED_VALUE"""),"KIM II 24V")</f>
        <v>KIM II 24V</v>
      </c>
      <c r="C1034" s="97" t="str">
        <f>IFERROR(__xludf.DUMMYFUNCTION("""COMPUTED_VALUE"""),"EMPOTRABLE KIM II 24V 3W 3000K 24LM CRI&gt;90 IP65 LEUK")</f>
        <v>EMPOTRABLE KIM II 24V 3W 3000K 24LM CRI&gt;90 IP65 LEUK</v>
      </c>
      <c r="D1034" s="97">
        <f>IFERROR(__xludf.DUMMYFUNCTION("""COMPUTED_VALUE"""),7.798413223248E12)</f>
        <v>7798413223248</v>
      </c>
      <c r="E1034" s="97" t="str">
        <f>IFERROR(__xludf.DUMMYFUNCTION("""COMPUTED_VALUE"""),"N/A")</f>
        <v>N/A</v>
      </c>
      <c r="F1034" s="97" t="str">
        <f>IFERROR(__xludf.DUMMYFUNCTION("""COMPUTED_VALUE"""),"LED integrado")</f>
        <v>LED integrado</v>
      </c>
      <c r="G1034" s="97" t="str">
        <f>IFERROR(__xludf.DUMMYFUNCTION("""COMPUTED_VALUE"""),"Bridgelux")</f>
        <v>Bridgelux</v>
      </c>
      <c r="H1034" s="97" t="str">
        <f>IFERROR(__xludf.DUMMYFUNCTION("""COMPUTED_VALUE"""),"-")</f>
        <v>-</v>
      </c>
      <c r="I1034" s="97" t="str">
        <f>IFERROR(__xludf.DUMMYFUNCTION("""COMPUTED_VALUE"""),"N/A")</f>
        <v>N/A</v>
      </c>
      <c r="J1034" s="97" t="str">
        <f>IFERROR(__xludf.DUMMYFUNCTION("""COMPUTED_VALUE"""),"N/A")</f>
        <v>N/A</v>
      </c>
      <c r="K1034" s="97" t="str">
        <f>IFERROR(__xludf.DUMMYFUNCTION("""COMPUTED_VALUE"""),"ON/OFF")</f>
        <v>ON/OFF</v>
      </c>
      <c r="L1034" s="97" t="str">
        <f>IFERROR(__xludf.DUMMYFUNCTION("""COMPUTED_VALUE"""),"24Vdc")</f>
        <v>24Vdc</v>
      </c>
      <c r="M1034" s="97" t="str">
        <f>IFERROR(__xludf.DUMMYFUNCTION("""COMPUTED_VALUE"""),"N/A")</f>
        <v>N/A</v>
      </c>
      <c r="N1034" s="97"/>
      <c r="O1034" s="97">
        <f>IFERROR(__xludf.DUMMYFUNCTION("""COMPUTED_VALUE"""),3.0)</f>
        <v>3</v>
      </c>
      <c r="P1034" s="97"/>
      <c r="Q1034" s="97" t="str">
        <f>IFERROR(__xludf.DUMMYFUNCTION("""COMPUTED_VALUE"""),"-")</f>
        <v>-</v>
      </c>
      <c r="R1034" s="97" t="str">
        <f>IFERROR(__xludf.DUMMYFUNCTION("""COMPUTED_VALUE"""),"-")</f>
        <v>-</v>
      </c>
      <c r="S1034" s="97" t="str">
        <f>IFERROR(__xludf.DUMMYFUNCTION("""COMPUTED_VALUE"""),"-")</f>
        <v>-</v>
      </c>
      <c r="T1034" s="97">
        <f>IFERROR(__xludf.DUMMYFUNCTION("""COMPUTED_VALUE"""),24.0)</f>
        <v>24</v>
      </c>
      <c r="U1034" s="99">
        <f>IFERROR(__xludf.DUMMYFUNCTION("""COMPUTED_VALUE"""),8.0)</f>
        <v>8</v>
      </c>
      <c r="V1034" s="97">
        <f>IFERROR(__xludf.DUMMYFUNCTION("""COMPUTED_VALUE"""),225.0)</f>
        <v>225</v>
      </c>
      <c r="W1034" s="97" t="str">
        <f>IFERROR(__xludf.DUMMYFUNCTION("""COMPUTED_VALUE"""),"&lt; 14")</f>
        <v>&lt; 14</v>
      </c>
      <c r="X1034" s="97">
        <f>IFERROR(__xludf.DUMMYFUNCTION("""COMPUTED_VALUE"""),3000.0)</f>
        <v>3000</v>
      </c>
      <c r="Y1034" s="97" t="str">
        <f>IFERROR(__xludf.DUMMYFUNCTION("""COMPUTED_VALUE"""),"&gt;90")</f>
        <v>&gt;90</v>
      </c>
      <c r="Z1034" s="97"/>
      <c r="AA1034" s="97"/>
      <c r="AB1034" s="97" t="str">
        <f>IFERROR(__xludf.DUMMYFUNCTION("""COMPUTED_VALUE"""),"&lt; 3")</f>
        <v>&lt; 3</v>
      </c>
      <c r="AC1034" s="97"/>
      <c r="AD1034" s="97" t="str">
        <f>IFERROR(__xludf.DUMMYFUNCTION("""COMPUTED_VALUE"""),"IP65")</f>
        <v>IP65</v>
      </c>
      <c r="AE1034" s="97" t="str">
        <f>IFERROR(__xludf.DUMMYFUNCTION("""COMPUTED_VALUE"""),"Clase lll")</f>
        <v>Clase lll</v>
      </c>
      <c r="AF1034" s="97" t="str">
        <f>IFERROR(__xludf.DUMMYFUNCTION("""COMPUTED_VALUE"""),"Embutir")</f>
        <v>Embutir</v>
      </c>
      <c r="AG1034" s="97" t="str">
        <f>IFERROR(__xludf.DUMMYFUNCTION("""COMPUTED_VALUE"""),"Ø50 x 76")</f>
        <v>Ø50 x 76</v>
      </c>
      <c r="AH1034" s="97" t="str">
        <f>IFERROR(__xludf.DUMMYFUNCTION("""COMPUTED_VALUE"""),"Ø40")</f>
        <v>Ø40</v>
      </c>
      <c r="AI1034" s="97">
        <f>IFERROR(__xludf.DUMMYFUNCTION("""COMPUTED_VALUE"""),75.0)</f>
        <v>75</v>
      </c>
      <c r="AJ1034" s="97" t="str">
        <f>IFERROR(__xludf.DUMMYFUNCTION("""COMPUTED_VALUE"""),"Vidrio")</f>
        <v>Vidrio</v>
      </c>
      <c r="AK1034" s="97" t="str">
        <f>IFERROR(__xludf.DUMMYFUNCTION("""COMPUTED_VALUE"""),"Aluminio")</f>
        <v>Aluminio</v>
      </c>
      <c r="AL1034" s="97" t="str">
        <f>IFERROR(__xludf.DUMMYFUNCTION("""COMPUTED_VALUE"""),"Negro Satinado")</f>
        <v>Negro Satinado</v>
      </c>
      <c r="AM1034" s="97" t="str">
        <f>IFERROR(__xludf.DUMMYFUNCTION("""COMPUTED_VALUE"""),"-")</f>
        <v>-</v>
      </c>
      <c r="AN1034" s="97" t="str">
        <f>IFERROR(__xludf.DUMMYFUNCTION("""COMPUTED_VALUE"""),"25.000hs (L70)")</f>
        <v>25.000hs (L70)</v>
      </c>
      <c r="AO1034" s="97" t="str">
        <f>IFERROR(__xludf.DUMMYFUNCTION("""COMPUTED_VALUE"""),"2 Años")</f>
        <v>2 Años</v>
      </c>
      <c r="AP1034" s="97" t="str">
        <f>IFERROR(__xludf.DUMMYFUNCTION("""COMPUTED_VALUE"""),"Disponible")</f>
        <v>Disponible</v>
      </c>
      <c r="AQ1034" s="97" t="str">
        <f>IFERROR(__xludf.DUMMYFUNCTION("""COMPUTED_VALUE"""),"Disponible")</f>
        <v>Disponible</v>
      </c>
      <c r="AR1034" s="97" t="str">
        <f>IFERROR(__xludf.DUMMYFUNCTION("""COMPUTED_VALUE"""),"Disponible")</f>
        <v>Disponible</v>
      </c>
      <c r="AS1034" s="97" t="str">
        <f>IFERROR(__xludf.DUMMYFUNCTION("""COMPUTED_VALUE"""),"Falta")</f>
        <v>Falta</v>
      </c>
      <c r="AT1034" s="97" t="str">
        <f>IFERROR(__xludf.DUMMYFUNCTION("""COMPUTED_VALUE"""),"Falta")</f>
        <v>Falta</v>
      </c>
      <c r="AU1034" s="97" t="str">
        <f>IFERROR(__xludf.DUMMYFUNCTION("""COMPUTED_VALUE"""),"Falta")</f>
        <v>Falta</v>
      </c>
      <c r="AV1034" s="97" t="str">
        <f>IFERROR(__xludf.DUMMYFUNCTION("""COMPUTED_VALUE"""),"Empotrable")</f>
        <v>Empotrable</v>
      </c>
      <c r="AW1034" s="97" t="str">
        <f>IFERROR(__xludf.DUMMYFUNCTION("""COMPUTED_VALUE"""),"De Piso")</f>
        <v>De Piso</v>
      </c>
      <c r="AX1034" s="97" t="str">
        <f>IFERROR(__xludf.DUMMYFUNCTION("""COMPUTED_VALUE"""),"Exterior")</f>
        <v>Exterior</v>
      </c>
      <c r="AY1034" s="97" t="str">
        <f>IFERROR(__xludf.DUMMYFUNCTION("""COMPUTED_VALUE"""),"-")</f>
        <v>-</v>
      </c>
      <c r="AZ1034" s="97" t="str">
        <f>IFERROR(__xludf.DUMMYFUNCTION("""COMPUTED_VALUE"""),"Corriente: 125mA.")</f>
        <v>Corriente: 125mA.</v>
      </c>
      <c r="BA1034" s="97">
        <f>IFERROR(__xludf.DUMMYFUNCTION("""COMPUTED_VALUE"""),100.0)</f>
        <v>100</v>
      </c>
      <c r="BB1034" s="97" t="str">
        <f>IFERROR(__xludf.DUMMYFUNCTION("""COMPUTED_VALUE"""),"-")</f>
        <v>-</v>
      </c>
      <c r="BC1034" s="97">
        <f>IFERROR(__xludf.DUMMYFUNCTION("""COMPUTED_VALUE"""),100.0)</f>
        <v>100</v>
      </c>
      <c r="BD1034" s="97" t="str">
        <f>IFERROR(__xludf.DUMMYFUNCTION("""COMPUTED_VALUE"""),"KIM")</f>
        <v>KIM</v>
      </c>
      <c r="BE1034" s="97" t="str">
        <f>IFERROR(__xludf.DUMMYFUNCTION("""COMPUTED_VALUE"""),"Actualizar")</f>
        <v>Actualizar</v>
      </c>
      <c r="BF1034" s="97"/>
      <c r="BG1034" s="97" t="str">
        <f>IFERROR(__xludf.DUMMYFUNCTION("""COMPUTED_VALUE"""),"Activo")</f>
        <v>Activo</v>
      </c>
    </row>
    <row r="1035">
      <c r="A1035" s="97">
        <f>IFERROR(__xludf.DUMMYFUNCTION("""COMPUTED_VALUE"""),6821.0)</f>
        <v>6821</v>
      </c>
      <c r="B1035" s="97" t="str">
        <f>IFERROR(__xludf.DUMMYFUNCTION("""COMPUTED_VALUE"""),"CORREA CHILL 3MTS")</f>
        <v>CORREA CHILL 3MTS</v>
      </c>
      <c r="C1035" s="97" t="str">
        <f>IFERROR(__xludf.DUMMYFUNCTION("""COMPUTED_VALUE"""),"ACCESORIO CORREA CHILL 3MTS LEUK")</f>
        <v>ACCESORIO CORREA CHILL 3MTS LEUK</v>
      </c>
      <c r="D1035" s="97">
        <f>IFERROR(__xludf.DUMMYFUNCTION("""COMPUTED_VALUE"""),7.798413223255E12)</f>
        <v>7798413223255</v>
      </c>
      <c r="E1035" s="97" t="str">
        <f>IFERROR(__xludf.DUMMYFUNCTION("""COMPUTED_VALUE"""),"N/A")</f>
        <v>N/A</v>
      </c>
      <c r="F1035" s="97" t="str">
        <f>IFERROR(__xludf.DUMMYFUNCTION("""COMPUTED_VALUE"""),"N/A")</f>
        <v>N/A</v>
      </c>
      <c r="G1035" s="97" t="str">
        <f>IFERROR(__xludf.DUMMYFUNCTION("""COMPUTED_VALUE"""),"N/A")</f>
        <v>N/A</v>
      </c>
      <c r="H1035" s="97" t="str">
        <f>IFERROR(__xludf.DUMMYFUNCTION("""COMPUTED_VALUE"""),"N/A")</f>
        <v>N/A</v>
      </c>
      <c r="I1035" s="97" t="str">
        <f>IFERROR(__xludf.DUMMYFUNCTION("""COMPUTED_VALUE"""),"N/A")</f>
        <v>N/A</v>
      </c>
      <c r="J1035" s="97" t="str">
        <f>IFERROR(__xludf.DUMMYFUNCTION("""COMPUTED_VALUE"""),"N/A")</f>
        <v>N/A</v>
      </c>
      <c r="K1035" s="97" t="str">
        <f>IFERROR(__xludf.DUMMYFUNCTION("""COMPUTED_VALUE"""),"N/A")</f>
        <v>N/A</v>
      </c>
      <c r="L1035" s="97" t="str">
        <f>IFERROR(__xludf.DUMMYFUNCTION("""COMPUTED_VALUE"""),"N/A")</f>
        <v>N/A</v>
      </c>
      <c r="M1035" s="97" t="str">
        <f>IFERROR(__xludf.DUMMYFUNCTION("""COMPUTED_VALUE"""),"N/A")</f>
        <v>N/A</v>
      </c>
      <c r="N1035" s="97" t="str">
        <f>IFERROR(__xludf.DUMMYFUNCTION("""COMPUTED_VALUE"""),"N/A")</f>
        <v>N/A</v>
      </c>
      <c r="O1035" s="97" t="str">
        <f>IFERROR(__xludf.DUMMYFUNCTION("""COMPUTED_VALUE"""),"N/A")</f>
        <v>N/A</v>
      </c>
      <c r="P1035" s="97" t="str">
        <f>IFERROR(__xludf.DUMMYFUNCTION("""COMPUTED_VALUE"""),"N/A")</f>
        <v>N/A</v>
      </c>
      <c r="Q1035" s="97" t="str">
        <f>IFERROR(__xludf.DUMMYFUNCTION("""COMPUTED_VALUE"""),"N/A")</f>
        <v>N/A</v>
      </c>
      <c r="R1035" s="97" t="str">
        <f>IFERROR(__xludf.DUMMYFUNCTION("""COMPUTED_VALUE"""),"N/A")</f>
        <v>N/A</v>
      </c>
      <c r="S1035" s="97" t="str">
        <f>IFERROR(__xludf.DUMMYFUNCTION("""COMPUTED_VALUE"""),"N/A")</f>
        <v>N/A</v>
      </c>
      <c r="T1035" s="97" t="str">
        <f>IFERROR(__xludf.DUMMYFUNCTION("""COMPUTED_VALUE"""),"N/A")</f>
        <v>N/A</v>
      </c>
      <c r="U1035" s="97" t="str">
        <f>IFERROR(__xludf.DUMMYFUNCTION("""COMPUTED_VALUE"""),"N/A")</f>
        <v>N/A</v>
      </c>
      <c r="V1035" s="97" t="str">
        <f>IFERROR(__xludf.DUMMYFUNCTION("""COMPUTED_VALUE"""),"N/A")</f>
        <v>N/A</v>
      </c>
      <c r="W1035" s="97" t="str">
        <f>IFERROR(__xludf.DUMMYFUNCTION("""COMPUTED_VALUE"""),"N/A")</f>
        <v>N/A</v>
      </c>
      <c r="X1035" s="97" t="str">
        <f>IFERROR(__xludf.DUMMYFUNCTION("""COMPUTED_VALUE"""),"-")</f>
        <v>-</v>
      </c>
      <c r="Y1035" s="97" t="str">
        <f>IFERROR(__xludf.DUMMYFUNCTION("""COMPUTED_VALUE"""),"N/A")</f>
        <v>N/A</v>
      </c>
      <c r="Z1035" s="97" t="str">
        <f>IFERROR(__xludf.DUMMYFUNCTION("""COMPUTED_VALUE"""),"N/A")</f>
        <v>N/A</v>
      </c>
      <c r="AA1035" s="97" t="str">
        <f>IFERROR(__xludf.DUMMYFUNCTION("""COMPUTED_VALUE"""),"N/A")</f>
        <v>N/A</v>
      </c>
      <c r="AB1035" s="97" t="str">
        <f>IFERROR(__xludf.DUMMYFUNCTION("""COMPUTED_VALUE"""),"N/A")</f>
        <v>N/A</v>
      </c>
      <c r="AC1035" s="97" t="str">
        <f>IFERROR(__xludf.DUMMYFUNCTION("""COMPUTED_VALUE"""),"N/A")</f>
        <v>N/A</v>
      </c>
      <c r="AD1035" s="97" t="str">
        <f>IFERROR(__xludf.DUMMYFUNCTION("""COMPUTED_VALUE"""),"N/A")</f>
        <v>N/A</v>
      </c>
      <c r="AE1035" s="97" t="str">
        <f>IFERROR(__xludf.DUMMYFUNCTION("""COMPUTED_VALUE"""),"N/A")</f>
        <v>N/A</v>
      </c>
      <c r="AF1035" s="97" t="str">
        <f>IFERROR(__xludf.DUMMYFUNCTION("""COMPUTED_VALUE"""),"N/A")</f>
        <v>N/A</v>
      </c>
      <c r="AG1035" s="97" t="str">
        <f>IFERROR(__xludf.DUMMYFUNCTION("""COMPUTED_VALUE"""),"4 cm x 3 mts")</f>
        <v>4 cm x 3 mts</v>
      </c>
      <c r="AH1035" s="97" t="str">
        <f>IFERROR(__xludf.DUMMYFUNCTION("""COMPUTED_VALUE"""),"N/A")</f>
        <v>N/A</v>
      </c>
      <c r="AI1035" s="97" t="str">
        <f>IFERROR(__xludf.DUMMYFUNCTION("""COMPUTED_VALUE"""),"N/A")</f>
        <v>N/A</v>
      </c>
      <c r="AJ1035" s="97" t="str">
        <f>IFERROR(__xludf.DUMMYFUNCTION("""COMPUTED_VALUE"""),"N/A")</f>
        <v>N/A</v>
      </c>
      <c r="AK1035" s="97" t="str">
        <f>IFERROR(__xludf.DUMMYFUNCTION("""COMPUTED_VALUE"""),"Poliéster")</f>
        <v>Poliéster</v>
      </c>
      <c r="AL1035" s="97" t="str">
        <f>IFERROR(__xludf.DUMMYFUNCTION("""COMPUTED_VALUE"""),"Negro Mate")</f>
        <v>Negro Mate</v>
      </c>
      <c r="AM1035" s="97" t="str">
        <f>IFERROR(__xludf.DUMMYFUNCTION("""COMPUTED_VALUE"""),"-")</f>
        <v>-</v>
      </c>
      <c r="AN1035" s="97" t="str">
        <f>IFERROR(__xludf.DUMMYFUNCTION("""COMPUTED_VALUE"""),"N/A")</f>
        <v>N/A</v>
      </c>
      <c r="AO1035" s="97" t="str">
        <f>IFERROR(__xludf.DUMMYFUNCTION("""COMPUTED_VALUE"""),"2 Años")</f>
        <v>2 Años</v>
      </c>
      <c r="AP1035" s="97" t="str">
        <f>IFERROR(__xludf.DUMMYFUNCTION("""COMPUTED_VALUE"""),"No Aplica")</f>
        <v>No Aplica</v>
      </c>
      <c r="AQ1035" s="97" t="str">
        <f>IFERROR(__xludf.DUMMYFUNCTION("""COMPUTED_VALUE"""),"No Aplica")</f>
        <v>No Aplica</v>
      </c>
      <c r="AR1035" s="97" t="str">
        <f>IFERROR(__xludf.DUMMYFUNCTION("""COMPUTED_VALUE"""),"No Aplica")</f>
        <v>No Aplica</v>
      </c>
      <c r="AS1035" s="97" t="str">
        <f>IFERROR(__xludf.DUMMYFUNCTION("""COMPUTED_VALUE"""),"No Aplica")</f>
        <v>No Aplica</v>
      </c>
      <c r="AT1035" s="97" t="str">
        <f>IFERROR(__xludf.DUMMYFUNCTION("""COMPUTED_VALUE"""),"No Aplica")</f>
        <v>No Aplica</v>
      </c>
      <c r="AU1035" s="97" t="str">
        <f>IFERROR(__xludf.DUMMYFUNCTION("""COMPUTED_VALUE"""),"Falta")</f>
        <v>Falta</v>
      </c>
      <c r="AV1035" s="97" t="str">
        <f>IFERROR(__xludf.DUMMYFUNCTION("""COMPUTED_VALUE"""),"Accesorio")</f>
        <v>Accesorio</v>
      </c>
      <c r="AW1035" s="97" t="str">
        <f>IFERROR(__xludf.DUMMYFUNCTION("""COMPUTED_VALUE"""),"De Piso")</f>
        <v>De Piso</v>
      </c>
      <c r="AX1035" s="97" t="str">
        <f>IFERROR(__xludf.DUMMYFUNCTION("""COMPUTED_VALUE"""),"Exterior")</f>
        <v>Exterior</v>
      </c>
      <c r="AY1035" s="97" t="str">
        <f>IFERROR(__xludf.DUMMYFUNCTION("""COMPUTED_VALUE"""),"Chill")</f>
        <v>Chill</v>
      </c>
      <c r="AZ1035" s="97" t="str">
        <f>IFERROR(__xludf.DUMMYFUNCTION("""COMPUTED_VALUE"""),"Hebilla de aluminio")</f>
        <v>Hebilla de aluminio</v>
      </c>
      <c r="BA1035" s="97"/>
      <c r="BB1035" s="97" t="str">
        <f>IFERROR(__xludf.DUMMYFUNCTION("""COMPUTED_VALUE"""),"-")</f>
        <v>-</v>
      </c>
      <c r="BC1035" s="97" t="str">
        <f>IFERROR(__xludf.DUMMYFUNCTION("""COMPUTED_VALUE"""),"-")</f>
        <v>-</v>
      </c>
      <c r="BD1035" s="97" t="str">
        <f>IFERROR(__xludf.DUMMYFUNCTION("""COMPUTED_VALUE"""),"CHILL")</f>
        <v>CHILL</v>
      </c>
      <c r="BE1035" s="97" t="str">
        <f>IFERROR(__xludf.DUMMYFUNCTION("""COMPUTED_VALUE"""),"Finalizada")</f>
        <v>Finalizada</v>
      </c>
      <c r="BF1035" s="97"/>
      <c r="BG1035" s="97" t="str">
        <f>IFERROR(__xludf.DUMMYFUNCTION("""COMPUTED_VALUE"""),"Activo")</f>
        <v>Activo</v>
      </c>
    </row>
    <row r="1036">
      <c r="A1036" s="97">
        <f>IFERROR(__xludf.DUMMYFUNCTION("""COMPUTED_VALUE"""),6822.0)</f>
        <v>6822</v>
      </c>
      <c r="B1036" s="97" t="str">
        <f>IFERROR(__xludf.DUMMYFUNCTION("""COMPUTED_VALUE"""),"BASE CORREA CHILL")</f>
        <v>BASE CORREA CHILL</v>
      </c>
      <c r="C1036" s="97" t="str">
        <f>IFERROR(__xludf.DUMMYFUNCTION("""COMPUTED_VALUE"""),"ACCESORIO BASE CORREA CHILL LEUK")</f>
        <v>ACCESORIO BASE CORREA CHILL LEUK</v>
      </c>
      <c r="D1036" s="97">
        <f>IFERROR(__xludf.DUMMYFUNCTION("""COMPUTED_VALUE"""),7.798413223262E12)</f>
        <v>7798413223262</v>
      </c>
      <c r="E1036" s="97" t="str">
        <f>IFERROR(__xludf.DUMMYFUNCTION("""COMPUTED_VALUE"""),"N/A")</f>
        <v>N/A</v>
      </c>
      <c r="F1036" s="97" t="str">
        <f>IFERROR(__xludf.DUMMYFUNCTION("""COMPUTED_VALUE"""),"N/A")</f>
        <v>N/A</v>
      </c>
      <c r="G1036" s="97" t="str">
        <f>IFERROR(__xludf.DUMMYFUNCTION("""COMPUTED_VALUE"""),"N/A")</f>
        <v>N/A</v>
      </c>
      <c r="H1036" s="97" t="str">
        <f>IFERROR(__xludf.DUMMYFUNCTION("""COMPUTED_VALUE"""),"N/A")</f>
        <v>N/A</v>
      </c>
      <c r="I1036" s="97" t="str">
        <f>IFERROR(__xludf.DUMMYFUNCTION("""COMPUTED_VALUE"""),"N/A")</f>
        <v>N/A</v>
      </c>
      <c r="J1036" s="97" t="str">
        <f>IFERROR(__xludf.DUMMYFUNCTION("""COMPUTED_VALUE"""),"N/A")</f>
        <v>N/A</v>
      </c>
      <c r="K1036" s="97" t="str">
        <f>IFERROR(__xludf.DUMMYFUNCTION("""COMPUTED_VALUE"""),"N/A")</f>
        <v>N/A</v>
      </c>
      <c r="L1036" s="97" t="str">
        <f>IFERROR(__xludf.DUMMYFUNCTION("""COMPUTED_VALUE"""),"N/A")</f>
        <v>N/A</v>
      </c>
      <c r="M1036" s="97" t="str">
        <f>IFERROR(__xludf.DUMMYFUNCTION("""COMPUTED_VALUE"""),"N/A")</f>
        <v>N/A</v>
      </c>
      <c r="N1036" s="97" t="str">
        <f>IFERROR(__xludf.DUMMYFUNCTION("""COMPUTED_VALUE"""),"N/A")</f>
        <v>N/A</v>
      </c>
      <c r="O1036" s="97" t="str">
        <f>IFERROR(__xludf.DUMMYFUNCTION("""COMPUTED_VALUE"""),"N/A")</f>
        <v>N/A</v>
      </c>
      <c r="P1036" s="97" t="str">
        <f>IFERROR(__xludf.DUMMYFUNCTION("""COMPUTED_VALUE"""),"N/A")</f>
        <v>N/A</v>
      </c>
      <c r="Q1036" s="97" t="str">
        <f>IFERROR(__xludf.DUMMYFUNCTION("""COMPUTED_VALUE"""),"N/A")</f>
        <v>N/A</v>
      </c>
      <c r="R1036" s="97" t="str">
        <f>IFERROR(__xludf.DUMMYFUNCTION("""COMPUTED_VALUE"""),"N/A")</f>
        <v>N/A</v>
      </c>
      <c r="S1036" s="97" t="str">
        <f>IFERROR(__xludf.DUMMYFUNCTION("""COMPUTED_VALUE"""),"N/A")</f>
        <v>N/A</v>
      </c>
      <c r="T1036" s="97" t="str">
        <f>IFERROR(__xludf.DUMMYFUNCTION("""COMPUTED_VALUE"""),"N/A")</f>
        <v>N/A</v>
      </c>
      <c r="U1036" s="97" t="str">
        <f>IFERROR(__xludf.DUMMYFUNCTION("""COMPUTED_VALUE"""),"N/A")</f>
        <v>N/A</v>
      </c>
      <c r="V1036" s="97" t="str">
        <f>IFERROR(__xludf.DUMMYFUNCTION("""COMPUTED_VALUE"""),"N/A")</f>
        <v>N/A</v>
      </c>
      <c r="W1036" s="97" t="str">
        <f>IFERROR(__xludf.DUMMYFUNCTION("""COMPUTED_VALUE"""),"N/A")</f>
        <v>N/A</v>
      </c>
      <c r="X1036" s="97" t="str">
        <f>IFERROR(__xludf.DUMMYFUNCTION("""COMPUTED_VALUE"""),"-")</f>
        <v>-</v>
      </c>
      <c r="Y1036" s="97" t="str">
        <f>IFERROR(__xludf.DUMMYFUNCTION("""COMPUTED_VALUE"""),"N/A")</f>
        <v>N/A</v>
      </c>
      <c r="Z1036" s="97" t="str">
        <f>IFERROR(__xludf.DUMMYFUNCTION("""COMPUTED_VALUE"""),"N/A")</f>
        <v>N/A</v>
      </c>
      <c r="AA1036" s="97" t="str">
        <f>IFERROR(__xludf.DUMMYFUNCTION("""COMPUTED_VALUE"""),"N/A")</f>
        <v>N/A</v>
      </c>
      <c r="AB1036" s="97" t="str">
        <f>IFERROR(__xludf.DUMMYFUNCTION("""COMPUTED_VALUE"""),"N/A")</f>
        <v>N/A</v>
      </c>
      <c r="AC1036" s="97" t="str">
        <f>IFERROR(__xludf.DUMMYFUNCTION("""COMPUTED_VALUE"""),"N/A")</f>
        <v>N/A</v>
      </c>
      <c r="AD1036" s="97" t="str">
        <f>IFERROR(__xludf.DUMMYFUNCTION("""COMPUTED_VALUE"""),"N/A")</f>
        <v>N/A</v>
      </c>
      <c r="AE1036" s="97" t="str">
        <f>IFERROR(__xludf.DUMMYFUNCTION("""COMPUTED_VALUE"""),"N/A")</f>
        <v>N/A</v>
      </c>
      <c r="AF1036" s="97" t="str">
        <f>IFERROR(__xludf.DUMMYFUNCTION("""COMPUTED_VALUE"""),"N/A")</f>
        <v>N/A</v>
      </c>
      <c r="AG1036" s="97" t="str">
        <f>IFERROR(__xludf.DUMMYFUNCTION("""COMPUTED_VALUE"""),"70 x 45 x 3")</f>
        <v>70 x 45 x 3</v>
      </c>
      <c r="AH1036" s="97" t="str">
        <f>IFERROR(__xludf.DUMMYFUNCTION("""COMPUTED_VALUE"""),"N/A")</f>
        <v>N/A</v>
      </c>
      <c r="AI1036" s="97" t="str">
        <f>IFERROR(__xludf.DUMMYFUNCTION("""COMPUTED_VALUE"""),"N/A")</f>
        <v>N/A</v>
      </c>
      <c r="AJ1036" s="97" t="str">
        <f>IFERROR(__xludf.DUMMYFUNCTION("""COMPUTED_VALUE"""),"N/A")</f>
        <v>N/A</v>
      </c>
      <c r="AK1036" s="97" t="str">
        <f>IFERROR(__xludf.DUMMYFUNCTION("""COMPUTED_VALUE"""),"Aluminio")</f>
        <v>Aluminio</v>
      </c>
      <c r="AL1036" s="97" t="str">
        <f>IFERROR(__xludf.DUMMYFUNCTION("""COMPUTED_VALUE"""),"Negro Satinado")</f>
        <v>Negro Satinado</v>
      </c>
      <c r="AM1036" s="97" t="str">
        <f>IFERROR(__xludf.DUMMYFUNCTION("""COMPUTED_VALUE"""),"-")</f>
        <v>-</v>
      </c>
      <c r="AN1036" s="97" t="str">
        <f>IFERROR(__xludf.DUMMYFUNCTION("""COMPUTED_VALUE"""),"N/A")</f>
        <v>N/A</v>
      </c>
      <c r="AO1036" s="97" t="str">
        <f>IFERROR(__xludf.DUMMYFUNCTION("""COMPUTED_VALUE"""),"2 Años")</f>
        <v>2 Años</v>
      </c>
      <c r="AP1036" s="97" t="str">
        <f>IFERROR(__xludf.DUMMYFUNCTION("""COMPUTED_VALUE"""),"No Aplica")</f>
        <v>No Aplica</v>
      </c>
      <c r="AQ1036" s="97" t="str">
        <f>IFERROR(__xludf.DUMMYFUNCTION("""COMPUTED_VALUE"""),"No Aplica")</f>
        <v>No Aplica</v>
      </c>
      <c r="AR1036" s="97" t="str">
        <f>IFERROR(__xludf.DUMMYFUNCTION("""COMPUTED_VALUE"""),"No Aplica")</f>
        <v>No Aplica</v>
      </c>
      <c r="AS1036" s="97" t="str">
        <f>IFERROR(__xludf.DUMMYFUNCTION("""COMPUTED_VALUE"""),"Falta")</f>
        <v>Falta</v>
      </c>
      <c r="AT1036" s="97" t="str">
        <f>IFERROR(__xludf.DUMMYFUNCTION("""COMPUTED_VALUE"""),"Falta")</f>
        <v>Falta</v>
      </c>
      <c r="AU1036" s="97" t="str">
        <f>IFERROR(__xludf.DUMMYFUNCTION("""COMPUTED_VALUE"""),"Falta")</f>
        <v>Falta</v>
      </c>
      <c r="AV1036" s="97" t="str">
        <f>IFERROR(__xludf.DUMMYFUNCTION("""COMPUTED_VALUE"""),"Accesorio")</f>
        <v>Accesorio</v>
      </c>
      <c r="AW1036" s="97" t="str">
        <f>IFERROR(__xludf.DUMMYFUNCTION("""COMPUTED_VALUE"""),"De Piso")</f>
        <v>De Piso</v>
      </c>
      <c r="AX1036" s="97" t="str">
        <f>IFERROR(__xludf.DUMMYFUNCTION("""COMPUTED_VALUE"""),"Exterior")</f>
        <v>Exterior</v>
      </c>
      <c r="AY1036" s="97" t="str">
        <f>IFERROR(__xludf.DUMMYFUNCTION("""COMPUTED_VALUE"""),"Chill")</f>
        <v>Chill</v>
      </c>
      <c r="AZ1036" s="97"/>
      <c r="BA1036" s="97"/>
      <c r="BB1036" s="97" t="str">
        <f>IFERROR(__xludf.DUMMYFUNCTION("""COMPUTED_VALUE"""),"-")</f>
        <v>-</v>
      </c>
      <c r="BC1036" s="97" t="str">
        <f>IFERROR(__xludf.DUMMYFUNCTION("""COMPUTED_VALUE"""),"-")</f>
        <v>-</v>
      </c>
      <c r="BD1036" s="97" t="str">
        <f>IFERROR(__xludf.DUMMYFUNCTION("""COMPUTED_VALUE"""),"CHILL")</f>
        <v>CHILL</v>
      </c>
      <c r="BE1036" s="97" t="str">
        <f>IFERROR(__xludf.DUMMYFUNCTION("""COMPUTED_VALUE"""),"Finalizada")</f>
        <v>Finalizada</v>
      </c>
      <c r="BF1036" s="97"/>
      <c r="BG1036" s="97" t="str">
        <f>IFERROR(__xludf.DUMMYFUNCTION("""COMPUTED_VALUE"""),"Activo")</f>
        <v>Activo</v>
      </c>
    </row>
    <row r="1037">
      <c r="A1037" s="97">
        <f>IFERROR(__xludf.DUMMYFUNCTION("""COMPUTED_VALUE"""),6823.0)</f>
        <v>6823</v>
      </c>
      <c r="B1037" s="97" t="str">
        <f>IFERROR(__xludf.DUMMYFUNCTION("""COMPUTED_VALUE"""),"CONECTOR 3 POLOS")</f>
        <v>CONECTOR 3 POLOS</v>
      </c>
      <c r="C1037" s="97" t="str">
        <f>IFERROR(__xludf.DUMMYFUNCTION("""COMPUTED_VALUE"""),"ACCESORIO CONECTOR 3 POLOS LEUK")</f>
        <v>ACCESORIO CONECTOR 3 POLOS LEUK</v>
      </c>
      <c r="D1037" s="97">
        <f>IFERROR(__xludf.DUMMYFUNCTION("""COMPUTED_VALUE"""),7.798413223279E12)</f>
        <v>7798413223279</v>
      </c>
      <c r="E1037" s="97" t="str">
        <f>IFERROR(__xludf.DUMMYFUNCTION("""COMPUTED_VALUE"""),"N/A")</f>
        <v>N/A</v>
      </c>
      <c r="F1037" s="97" t="str">
        <f>IFERROR(__xludf.DUMMYFUNCTION("""COMPUTED_VALUE"""),"N/A")</f>
        <v>N/A</v>
      </c>
      <c r="G1037" s="97" t="str">
        <f>IFERROR(__xludf.DUMMYFUNCTION("""COMPUTED_VALUE"""),"N/A")</f>
        <v>N/A</v>
      </c>
      <c r="H1037" s="97" t="str">
        <f>IFERROR(__xludf.DUMMYFUNCTION("""COMPUTED_VALUE"""),"N/A")</f>
        <v>N/A</v>
      </c>
      <c r="I1037" s="97" t="str">
        <f>IFERROR(__xludf.DUMMYFUNCTION("""COMPUTED_VALUE"""),"N/A")</f>
        <v>N/A</v>
      </c>
      <c r="J1037" s="97" t="str">
        <f>IFERROR(__xludf.DUMMYFUNCTION("""COMPUTED_VALUE"""),"N/A")</f>
        <v>N/A</v>
      </c>
      <c r="K1037" s="97" t="str">
        <f>IFERROR(__xludf.DUMMYFUNCTION("""COMPUTED_VALUE"""),"N/A")</f>
        <v>N/A</v>
      </c>
      <c r="L1037" s="97" t="str">
        <f>IFERROR(__xludf.DUMMYFUNCTION("""COMPUTED_VALUE"""),"N/A")</f>
        <v>N/A</v>
      </c>
      <c r="M1037" s="97" t="str">
        <f>IFERROR(__xludf.DUMMYFUNCTION("""COMPUTED_VALUE"""),"N/A")</f>
        <v>N/A</v>
      </c>
      <c r="N1037" s="97"/>
      <c r="O1037" s="97" t="str">
        <f>IFERROR(__xludf.DUMMYFUNCTION("""COMPUTED_VALUE"""),"-")</f>
        <v>-</v>
      </c>
      <c r="P1037" s="97"/>
      <c r="Q1037" s="97" t="str">
        <f>IFERROR(__xludf.DUMMYFUNCTION("""COMPUTED_VALUE"""),"-")</f>
        <v>-</v>
      </c>
      <c r="R1037" s="97" t="str">
        <f>IFERROR(__xludf.DUMMYFUNCTION("""COMPUTED_VALUE"""),"-")</f>
        <v>-</v>
      </c>
      <c r="S1037" s="97" t="str">
        <f>IFERROR(__xludf.DUMMYFUNCTION("""COMPUTED_VALUE"""),"-")</f>
        <v>-</v>
      </c>
      <c r="T1037" s="97" t="str">
        <f>IFERROR(__xludf.DUMMYFUNCTION("""COMPUTED_VALUE"""),"-")</f>
        <v>-</v>
      </c>
      <c r="U1037" s="97" t="str">
        <f>IFERROR(__xludf.DUMMYFUNCTION("""COMPUTED_VALUE"""),"-")</f>
        <v>-</v>
      </c>
      <c r="V1037" s="97" t="str">
        <f>IFERROR(__xludf.DUMMYFUNCTION("""COMPUTED_VALUE"""),"N/A")</f>
        <v>N/A</v>
      </c>
      <c r="W1037" s="97" t="str">
        <f>IFERROR(__xludf.DUMMYFUNCTION("""COMPUTED_VALUE"""),"N/A")</f>
        <v>N/A</v>
      </c>
      <c r="X1037" s="97" t="str">
        <f>IFERROR(__xludf.DUMMYFUNCTION("""COMPUTED_VALUE"""),"-")</f>
        <v>-</v>
      </c>
      <c r="Y1037" s="97" t="str">
        <f>IFERROR(__xludf.DUMMYFUNCTION("""COMPUTED_VALUE"""),"N/A")</f>
        <v>N/A</v>
      </c>
      <c r="Z1037" s="97" t="str">
        <f>IFERROR(__xludf.DUMMYFUNCTION("""COMPUTED_VALUE"""),"N/A")</f>
        <v>N/A</v>
      </c>
      <c r="AA1037" s="97" t="str">
        <f>IFERROR(__xludf.DUMMYFUNCTION("""COMPUTED_VALUE"""),"N/A")</f>
        <v>N/A</v>
      </c>
      <c r="AB1037" s="97" t="str">
        <f>IFERROR(__xludf.DUMMYFUNCTION("""COMPUTED_VALUE"""),"N/A")</f>
        <v>N/A</v>
      </c>
      <c r="AC1037" s="97" t="str">
        <f>IFERROR(__xludf.DUMMYFUNCTION("""COMPUTED_VALUE"""),"N/A")</f>
        <v>N/A</v>
      </c>
      <c r="AD1037" s="97" t="str">
        <f>IFERROR(__xludf.DUMMYFUNCTION("""COMPUTED_VALUE"""),"IP68")</f>
        <v>IP68</v>
      </c>
      <c r="AE1037" s="97" t="str">
        <f>IFERROR(__xludf.DUMMYFUNCTION("""COMPUTED_VALUE"""),"Clase l")</f>
        <v>Clase l</v>
      </c>
      <c r="AF1037" s="97" t="str">
        <f>IFERROR(__xludf.DUMMYFUNCTION("""COMPUTED_VALUE"""),"N/A")</f>
        <v>N/A</v>
      </c>
      <c r="AG1037" s="97" t="str">
        <f>IFERROR(__xludf.DUMMYFUNCTION("""COMPUTED_VALUE"""),"Ø25 x 82")</f>
        <v>Ø25 x 82</v>
      </c>
      <c r="AH1037" s="97" t="str">
        <f>IFERROR(__xludf.DUMMYFUNCTION("""COMPUTED_VALUE"""),"N/A")</f>
        <v>N/A</v>
      </c>
      <c r="AI1037" s="97" t="str">
        <f>IFERROR(__xludf.DUMMYFUNCTION("""COMPUTED_VALUE"""),"N/A")</f>
        <v>N/A</v>
      </c>
      <c r="AJ1037" s="97" t="str">
        <f>IFERROR(__xludf.DUMMYFUNCTION("""COMPUTED_VALUE"""),"N/A")</f>
        <v>N/A</v>
      </c>
      <c r="AK1037" s="97" t="str">
        <f>IFERROR(__xludf.DUMMYFUNCTION("""COMPUTED_VALUE"""),"Nylon")</f>
        <v>Nylon</v>
      </c>
      <c r="AL1037" s="97" t="str">
        <f>IFERROR(__xludf.DUMMYFUNCTION("""COMPUTED_VALUE"""),"Negro Mate")</f>
        <v>Negro Mate</v>
      </c>
      <c r="AM1037" s="97" t="str">
        <f>IFERROR(__xludf.DUMMYFUNCTION("""COMPUTED_VALUE"""),"-")</f>
        <v>-</v>
      </c>
      <c r="AN1037" s="97" t="str">
        <f>IFERROR(__xludf.DUMMYFUNCTION("""COMPUTED_VALUE"""),"N/A")</f>
        <v>N/A</v>
      </c>
      <c r="AO1037" s="97" t="str">
        <f>IFERROR(__xludf.DUMMYFUNCTION("""COMPUTED_VALUE"""),"2 Años")</f>
        <v>2 Años</v>
      </c>
      <c r="AP1037" s="97" t="str">
        <f>IFERROR(__xludf.DUMMYFUNCTION("""COMPUTED_VALUE"""),"No Aplica")</f>
        <v>No Aplica</v>
      </c>
      <c r="AQ1037" s="97" t="str">
        <f>IFERROR(__xludf.DUMMYFUNCTION("""COMPUTED_VALUE"""),"No Aplica")</f>
        <v>No Aplica</v>
      </c>
      <c r="AR1037" s="97" t="str">
        <f>IFERROR(__xludf.DUMMYFUNCTION("""COMPUTED_VALUE"""),"No Aplica")</f>
        <v>No Aplica</v>
      </c>
      <c r="AS1037" s="97" t="str">
        <f>IFERROR(__xludf.DUMMYFUNCTION("""COMPUTED_VALUE"""),"Falta")</f>
        <v>Falta</v>
      </c>
      <c r="AT1037" s="97" t="str">
        <f>IFERROR(__xludf.DUMMYFUNCTION("""COMPUTED_VALUE"""),"Falta")</f>
        <v>Falta</v>
      </c>
      <c r="AU1037" s="97" t="str">
        <f>IFERROR(__xludf.DUMMYFUNCTION("""COMPUTED_VALUE"""),"Falta")</f>
        <v>Falta</v>
      </c>
      <c r="AV1037" s="97" t="str">
        <f>IFERROR(__xludf.DUMMYFUNCTION("""COMPUTED_VALUE"""),"Accesorio")</f>
        <v>Accesorio</v>
      </c>
      <c r="AW1037" s="97" t="str">
        <f>IFERROR(__xludf.DUMMYFUNCTION("""COMPUTED_VALUE"""),"De Piso")</f>
        <v>De Piso</v>
      </c>
      <c r="AX1037" s="97" t="str">
        <f>IFERROR(__xludf.DUMMYFUNCTION("""COMPUTED_VALUE"""),"Exterior")</f>
        <v>Exterior</v>
      </c>
      <c r="AY1037" s="97" t="str">
        <f>IFERROR(__xludf.DUMMYFUNCTION("""COMPUTED_VALUE"""),"-")</f>
        <v>-</v>
      </c>
      <c r="AZ1037" s="97"/>
      <c r="BA1037" s="97">
        <f>IFERROR(__xludf.DUMMYFUNCTION("""COMPUTED_VALUE"""),400.0)</f>
        <v>400</v>
      </c>
      <c r="BB1037" s="97" t="str">
        <f>IFERROR(__xludf.DUMMYFUNCTION("""COMPUTED_VALUE"""),"-")</f>
        <v>-</v>
      </c>
      <c r="BC1037" s="97" t="str">
        <f>IFERROR(__xludf.DUMMYFUNCTION("""COMPUTED_VALUE"""),"-")</f>
        <v>-</v>
      </c>
      <c r="BD1037" s="97" t="str">
        <f>IFERROR(__xludf.DUMMYFUNCTION("""COMPUTED_VALUE"""),"CONECTOR")</f>
        <v>CONECTOR</v>
      </c>
      <c r="BE1037" s="97" t="str">
        <f>IFERROR(__xludf.DUMMYFUNCTION("""COMPUTED_VALUE"""),"Finalizada")</f>
        <v>Finalizada</v>
      </c>
      <c r="BF1037" s="97"/>
      <c r="BG1037" s="97" t="str">
        <f>IFERROR(__xludf.DUMMYFUNCTION("""COMPUTED_VALUE"""),"Activo")</f>
        <v>Activo</v>
      </c>
    </row>
    <row r="1038">
      <c r="A1038" s="97">
        <f>IFERROR(__xludf.DUMMYFUNCTION("""COMPUTED_VALUE"""),6824.0)</f>
        <v>6824</v>
      </c>
      <c r="B1038" s="97" t="str">
        <f>IFERROR(__xludf.DUMMYFUNCTION("""COMPUTED_VALUE"""),"CONECTOR T 3 POLOS")</f>
        <v>CONECTOR T 3 POLOS</v>
      </c>
      <c r="C1038" s="97" t="str">
        <f>IFERROR(__xludf.DUMMYFUNCTION("""COMPUTED_VALUE"""),"ACCESORIO CONECTOR T 3 POLOS LEUK")</f>
        <v>ACCESORIO CONECTOR T 3 POLOS LEUK</v>
      </c>
      <c r="D1038" s="97">
        <f>IFERROR(__xludf.DUMMYFUNCTION("""COMPUTED_VALUE"""),7.798413223286E12)</f>
        <v>7798413223286</v>
      </c>
      <c r="E1038" s="97" t="str">
        <f>IFERROR(__xludf.DUMMYFUNCTION("""COMPUTED_VALUE"""),"N/A")</f>
        <v>N/A</v>
      </c>
      <c r="F1038" s="97" t="str">
        <f>IFERROR(__xludf.DUMMYFUNCTION("""COMPUTED_VALUE"""),"N/A")</f>
        <v>N/A</v>
      </c>
      <c r="G1038" s="97" t="str">
        <f>IFERROR(__xludf.DUMMYFUNCTION("""COMPUTED_VALUE"""),"N/A")</f>
        <v>N/A</v>
      </c>
      <c r="H1038" s="97" t="str">
        <f>IFERROR(__xludf.DUMMYFUNCTION("""COMPUTED_VALUE"""),"N/A")</f>
        <v>N/A</v>
      </c>
      <c r="I1038" s="97" t="str">
        <f>IFERROR(__xludf.DUMMYFUNCTION("""COMPUTED_VALUE"""),"N/A")</f>
        <v>N/A</v>
      </c>
      <c r="J1038" s="97" t="str">
        <f>IFERROR(__xludf.DUMMYFUNCTION("""COMPUTED_VALUE"""),"N/A")</f>
        <v>N/A</v>
      </c>
      <c r="K1038" s="97" t="str">
        <f>IFERROR(__xludf.DUMMYFUNCTION("""COMPUTED_VALUE"""),"N/A")</f>
        <v>N/A</v>
      </c>
      <c r="L1038" s="97" t="str">
        <f>IFERROR(__xludf.DUMMYFUNCTION("""COMPUTED_VALUE"""),"N/A")</f>
        <v>N/A</v>
      </c>
      <c r="M1038" s="97" t="str">
        <f>IFERROR(__xludf.DUMMYFUNCTION("""COMPUTED_VALUE"""),"N/A")</f>
        <v>N/A</v>
      </c>
      <c r="N1038" s="97"/>
      <c r="O1038" s="97" t="str">
        <f>IFERROR(__xludf.DUMMYFUNCTION("""COMPUTED_VALUE"""),"-")</f>
        <v>-</v>
      </c>
      <c r="P1038" s="97"/>
      <c r="Q1038" s="97" t="str">
        <f>IFERROR(__xludf.DUMMYFUNCTION("""COMPUTED_VALUE"""),"-")</f>
        <v>-</v>
      </c>
      <c r="R1038" s="97" t="str">
        <f>IFERROR(__xludf.DUMMYFUNCTION("""COMPUTED_VALUE"""),"-")</f>
        <v>-</v>
      </c>
      <c r="S1038" s="97" t="str">
        <f>IFERROR(__xludf.DUMMYFUNCTION("""COMPUTED_VALUE"""),"-")</f>
        <v>-</v>
      </c>
      <c r="T1038" s="97" t="str">
        <f>IFERROR(__xludf.DUMMYFUNCTION("""COMPUTED_VALUE"""),"-")</f>
        <v>-</v>
      </c>
      <c r="U1038" s="97" t="str">
        <f>IFERROR(__xludf.DUMMYFUNCTION("""COMPUTED_VALUE"""),"-")</f>
        <v>-</v>
      </c>
      <c r="V1038" s="97" t="str">
        <f>IFERROR(__xludf.DUMMYFUNCTION("""COMPUTED_VALUE"""),"N/A")</f>
        <v>N/A</v>
      </c>
      <c r="W1038" s="97" t="str">
        <f>IFERROR(__xludf.DUMMYFUNCTION("""COMPUTED_VALUE"""),"N/A")</f>
        <v>N/A</v>
      </c>
      <c r="X1038" s="97" t="str">
        <f>IFERROR(__xludf.DUMMYFUNCTION("""COMPUTED_VALUE"""),"-")</f>
        <v>-</v>
      </c>
      <c r="Y1038" s="97" t="str">
        <f>IFERROR(__xludf.DUMMYFUNCTION("""COMPUTED_VALUE"""),"N/A")</f>
        <v>N/A</v>
      </c>
      <c r="Z1038" s="97" t="str">
        <f>IFERROR(__xludf.DUMMYFUNCTION("""COMPUTED_VALUE"""),"N/A")</f>
        <v>N/A</v>
      </c>
      <c r="AA1038" s="97" t="str">
        <f>IFERROR(__xludf.DUMMYFUNCTION("""COMPUTED_VALUE"""),"N/A")</f>
        <v>N/A</v>
      </c>
      <c r="AB1038" s="97" t="str">
        <f>IFERROR(__xludf.DUMMYFUNCTION("""COMPUTED_VALUE"""),"N/A")</f>
        <v>N/A</v>
      </c>
      <c r="AC1038" s="97" t="str">
        <f>IFERROR(__xludf.DUMMYFUNCTION("""COMPUTED_VALUE"""),"N/A")</f>
        <v>N/A</v>
      </c>
      <c r="AD1038" s="97" t="str">
        <f>IFERROR(__xludf.DUMMYFUNCTION("""COMPUTED_VALUE"""),"IP68")</f>
        <v>IP68</v>
      </c>
      <c r="AE1038" s="97" t="str">
        <f>IFERROR(__xludf.DUMMYFUNCTION("""COMPUTED_VALUE"""),"Clase l")</f>
        <v>Clase l</v>
      </c>
      <c r="AF1038" s="97" t="str">
        <f>IFERROR(__xludf.DUMMYFUNCTION("""COMPUTED_VALUE"""),"N/A")</f>
        <v>N/A</v>
      </c>
      <c r="AG1038" s="97" t="str">
        <f>IFERROR(__xludf.DUMMYFUNCTION("""COMPUTED_VALUE"""),"105 x 70 x 25")</f>
        <v>105 x 70 x 25</v>
      </c>
      <c r="AH1038" s="97" t="str">
        <f>IFERROR(__xludf.DUMMYFUNCTION("""COMPUTED_VALUE"""),"N/A")</f>
        <v>N/A</v>
      </c>
      <c r="AI1038" s="97" t="str">
        <f>IFERROR(__xludf.DUMMYFUNCTION("""COMPUTED_VALUE"""),"N/A")</f>
        <v>N/A</v>
      </c>
      <c r="AJ1038" s="97" t="str">
        <f>IFERROR(__xludf.DUMMYFUNCTION("""COMPUTED_VALUE"""),"N/A")</f>
        <v>N/A</v>
      </c>
      <c r="AK1038" s="97" t="str">
        <f>IFERROR(__xludf.DUMMYFUNCTION("""COMPUTED_VALUE"""),"Nylon")</f>
        <v>Nylon</v>
      </c>
      <c r="AL1038" s="97" t="str">
        <f>IFERROR(__xludf.DUMMYFUNCTION("""COMPUTED_VALUE"""),"Negro Mate")</f>
        <v>Negro Mate</v>
      </c>
      <c r="AM1038" s="97" t="str">
        <f>IFERROR(__xludf.DUMMYFUNCTION("""COMPUTED_VALUE"""),"-")</f>
        <v>-</v>
      </c>
      <c r="AN1038" s="97" t="str">
        <f>IFERROR(__xludf.DUMMYFUNCTION("""COMPUTED_VALUE"""),"N/A")</f>
        <v>N/A</v>
      </c>
      <c r="AO1038" s="97" t="str">
        <f>IFERROR(__xludf.DUMMYFUNCTION("""COMPUTED_VALUE"""),"2 Años")</f>
        <v>2 Años</v>
      </c>
      <c r="AP1038" s="97" t="str">
        <f>IFERROR(__xludf.DUMMYFUNCTION("""COMPUTED_VALUE"""),"No Aplica")</f>
        <v>No Aplica</v>
      </c>
      <c r="AQ1038" s="97" t="str">
        <f>IFERROR(__xludf.DUMMYFUNCTION("""COMPUTED_VALUE"""),"No Aplica")</f>
        <v>No Aplica</v>
      </c>
      <c r="AR1038" s="97" t="str">
        <f>IFERROR(__xludf.DUMMYFUNCTION("""COMPUTED_VALUE"""),"No Aplica")</f>
        <v>No Aplica</v>
      </c>
      <c r="AS1038" s="97" t="str">
        <f>IFERROR(__xludf.DUMMYFUNCTION("""COMPUTED_VALUE"""),"Falta")</f>
        <v>Falta</v>
      </c>
      <c r="AT1038" s="97" t="str">
        <f>IFERROR(__xludf.DUMMYFUNCTION("""COMPUTED_VALUE"""),"Falta")</f>
        <v>Falta</v>
      </c>
      <c r="AU1038" s="97" t="str">
        <f>IFERROR(__xludf.DUMMYFUNCTION("""COMPUTED_VALUE"""),"Falta")</f>
        <v>Falta</v>
      </c>
      <c r="AV1038" s="97" t="str">
        <f>IFERROR(__xludf.DUMMYFUNCTION("""COMPUTED_VALUE"""),"Accesorio")</f>
        <v>Accesorio</v>
      </c>
      <c r="AW1038" s="97" t="str">
        <f>IFERROR(__xludf.DUMMYFUNCTION("""COMPUTED_VALUE"""),"De Piso")</f>
        <v>De Piso</v>
      </c>
      <c r="AX1038" s="97" t="str">
        <f>IFERROR(__xludf.DUMMYFUNCTION("""COMPUTED_VALUE"""),"Exterior")</f>
        <v>Exterior</v>
      </c>
      <c r="AY1038" s="97" t="str">
        <f>IFERROR(__xludf.DUMMYFUNCTION("""COMPUTED_VALUE"""),"-")</f>
        <v>-</v>
      </c>
      <c r="AZ1038" s="97"/>
      <c r="BA1038" s="97">
        <f>IFERROR(__xludf.DUMMYFUNCTION("""COMPUTED_VALUE"""),200.0)</f>
        <v>200</v>
      </c>
      <c r="BB1038" s="97" t="str">
        <f>IFERROR(__xludf.DUMMYFUNCTION("""COMPUTED_VALUE"""),"-")</f>
        <v>-</v>
      </c>
      <c r="BC1038" s="97" t="str">
        <f>IFERROR(__xludf.DUMMYFUNCTION("""COMPUTED_VALUE"""),"-")</f>
        <v>-</v>
      </c>
      <c r="BD1038" s="97" t="str">
        <f>IFERROR(__xludf.DUMMYFUNCTION("""COMPUTED_VALUE"""),"CONECTOR")</f>
        <v>CONECTOR</v>
      </c>
      <c r="BE1038" s="97" t="str">
        <f>IFERROR(__xludf.DUMMYFUNCTION("""COMPUTED_VALUE"""),"Finalizada")</f>
        <v>Finalizada</v>
      </c>
      <c r="BF1038" s="97"/>
      <c r="BG1038" s="97" t="str">
        <f>IFERROR(__xludf.DUMMYFUNCTION("""COMPUTED_VALUE"""),"Activo")</f>
        <v>Activo</v>
      </c>
    </row>
    <row r="1039">
      <c r="A1039" s="97">
        <f>IFERROR(__xludf.DUMMYFUNCTION("""COMPUTED_VALUE"""),6825.0)</f>
        <v>6825</v>
      </c>
      <c r="B1039" s="97" t="str">
        <f>IFERROR(__xludf.DUMMYFUNCTION("""COMPUTED_VALUE"""),"SOPORTE KIT CHILL")</f>
        <v>SOPORTE KIT CHILL</v>
      </c>
      <c r="C1039" s="97" t="str">
        <f>IFERROR(__xludf.DUMMYFUNCTION("""COMPUTED_VALUE"""),"ACCESORIO SOPORTE KIT CHILL LEUK")</f>
        <v>ACCESORIO SOPORTE KIT CHILL LEUK</v>
      </c>
      <c r="D1039" s="97">
        <f>IFERROR(__xludf.DUMMYFUNCTION("""COMPUTED_VALUE"""),7.79841322317E12)</f>
        <v>7798413223170</v>
      </c>
      <c r="E1039" s="97" t="str">
        <f>IFERROR(__xludf.DUMMYFUNCTION("""COMPUTED_VALUE"""),"N/A")</f>
        <v>N/A</v>
      </c>
      <c r="F1039" s="97" t="str">
        <f>IFERROR(__xludf.DUMMYFUNCTION("""COMPUTED_VALUE"""),"N/A")</f>
        <v>N/A</v>
      </c>
      <c r="G1039" s="97" t="str">
        <f>IFERROR(__xludf.DUMMYFUNCTION("""COMPUTED_VALUE"""),"N/A")</f>
        <v>N/A</v>
      </c>
      <c r="H1039" s="97" t="str">
        <f>IFERROR(__xludf.DUMMYFUNCTION("""COMPUTED_VALUE"""),"N/A")</f>
        <v>N/A</v>
      </c>
      <c r="I1039" s="97" t="str">
        <f>IFERROR(__xludf.DUMMYFUNCTION("""COMPUTED_VALUE"""),"N/A")</f>
        <v>N/A</v>
      </c>
      <c r="J1039" s="97" t="str">
        <f>IFERROR(__xludf.DUMMYFUNCTION("""COMPUTED_VALUE"""),"N/A")</f>
        <v>N/A</v>
      </c>
      <c r="K1039" s="97" t="str">
        <f>IFERROR(__xludf.DUMMYFUNCTION("""COMPUTED_VALUE"""),"N/A")</f>
        <v>N/A</v>
      </c>
      <c r="L1039" s="97" t="str">
        <f>IFERROR(__xludf.DUMMYFUNCTION("""COMPUTED_VALUE"""),"N/A")</f>
        <v>N/A</v>
      </c>
      <c r="M1039" s="97" t="str">
        <f>IFERROR(__xludf.DUMMYFUNCTION("""COMPUTED_VALUE"""),"N/A")</f>
        <v>N/A</v>
      </c>
      <c r="N1039" s="97" t="str">
        <f>IFERROR(__xludf.DUMMYFUNCTION("""COMPUTED_VALUE"""),"N/A")</f>
        <v>N/A</v>
      </c>
      <c r="O1039" s="97" t="str">
        <f>IFERROR(__xludf.DUMMYFUNCTION("""COMPUTED_VALUE"""),"N/A")</f>
        <v>N/A</v>
      </c>
      <c r="P1039" s="97" t="str">
        <f>IFERROR(__xludf.DUMMYFUNCTION("""COMPUTED_VALUE"""),"N/A")</f>
        <v>N/A</v>
      </c>
      <c r="Q1039" s="97" t="str">
        <f>IFERROR(__xludf.DUMMYFUNCTION("""COMPUTED_VALUE"""),"N/A")</f>
        <v>N/A</v>
      </c>
      <c r="R1039" s="97" t="str">
        <f>IFERROR(__xludf.DUMMYFUNCTION("""COMPUTED_VALUE"""),"N/A")</f>
        <v>N/A</v>
      </c>
      <c r="S1039" s="97" t="str">
        <f>IFERROR(__xludf.DUMMYFUNCTION("""COMPUTED_VALUE"""),"N/A")</f>
        <v>N/A</v>
      </c>
      <c r="T1039" s="97" t="str">
        <f>IFERROR(__xludf.DUMMYFUNCTION("""COMPUTED_VALUE"""),"N/A")</f>
        <v>N/A</v>
      </c>
      <c r="U1039" s="97" t="str">
        <f>IFERROR(__xludf.DUMMYFUNCTION("""COMPUTED_VALUE"""),"N/A")</f>
        <v>N/A</v>
      </c>
      <c r="V1039" s="97" t="str">
        <f>IFERROR(__xludf.DUMMYFUNCTION("""COMPUTED_VALUE"""),"N/A")</f>
        <v>N/A</v>
      </c>
      <c r="W1039" s="97" t="str">
        <f>IFERROR(__xludf.DUMMYFUNCTION("""COMPUTED_VALUE"""),"N/A")</f>
        <v>N/A</v>
      </c>
      <c r="X1039" s="97" t="str">
        <f>IFERROR(__xludf.DUMMYFUNCTION("""COMPUTED_VALUE"""),"-")</f>
        <v>-</v>
      </c>
      <c r="Y1039" s="97" t="str">
        <f>IFERROR(__xludf.DUMMYFUNCTION("""COMPUTED_VALUE"""),"N/A")</f>
        <v>N/A</v>
      </c>
      <c r="Z1039" s="97" t="str">
        <f>IFERROR(__xludf.DUMMYFUNCTION("""COMPUTED_VALUE"""),"N/A")</f>
        <v>N/A</v>
      </c>
      <c r="AA1039" s="97" t="str">
        <f>IFERROR(__xludf.DUMMYFUNCTION("""COMPUTED_VALUE"""),"N/A")</f>
        <v>N/A</v>
      </c>
      <c r="AB1039" s="97" t="str">
        <f>IFERROR(__xludf.DUMMYFUNCTION("""COMPUTED_VALUE"""),"N/A")</f>
        <v>N/A</v>
      </c>
      <c r="AC1039" s="97" t="str">
        <f>IFERROR(__xludf.DUMMYFUNCTION("""COMPUTED_VALUE"""),"N/A")</f>
        <v>N/A</v>
      </c>
      <c r="AD1039" s="97" t="str">
        <f>IFERROR(__xludf.DUMMYFUNCTION("""COMPUTED_VALUE"""),"N/A")</f>
        <v>N/A</v>
      </c>
      <c r="AE1039" s="97" t="str">
        <f>IFERROR(__xludf.DUMMYFUNCTION("""COMPUTED_VALUE"""),"N/A")</f>
        <v>N/A</v>
      </c>
      <c r="AF1039" s="97" t="str">
        <f>IFERROR(__xludf.DUMMYFUNCTION("""COMPUTED_VALUE"""),"N/A")</f>
        <v>N/A</v>
      </c>
      <c r="AG1039" s="97" t="str">
        <f>IFERROR(__xludf.DUMMYFUNCTION("""COMPUTED_VALUE"""),"25 x 40 x 25")</f>
        <v>25 x 40 x 25</v>
      </c>
      <c r="AH1039" s="97" t="str">
        <f>IFERROR(__xludf.DUMMYFUNCTION("""COMPUTED_VALUE"""),"N/A")</f>
        <v>N/A</v>
      </c>
      <c r="AI1039" s="97" t="str">
        <f>IFERROR(__xludf.DUMMYFUNCTION("""COMPUTED_VALUE"""),"N/A")</f>
        <v>N/A</v>
      </c>
      <c r="AJ1039" s="97" t="str">
        <f>IFERROR(__xludf.DUMMYFUNCTION("""COMPUTED_VALUE"""),"N/A")</f>
        <v>N/A</v>
      </c>
      <c r="AK1039" s="97" t="str">
        <f>IFERROR(__xludf.DUMMYFUNCTION("""COMPUTED_VALUE"""),"Aluminio")</f>
        <v>Aluminio</v>
      </c>
      <c r="AL1039" s="97" t="str">
        <f>IFERROR(__xludf.DUMMYFUNCTION("""COMPUTED_VALUE"""),"Negro Satinado")</f>
        <v>Negro Satinado</v>
      </c>
      <c r="AM1039" s="97" t="str">
        <f>IFERROR(__xludf.DUMMYFUNCTION("""COMPUTED_VALUE"""),"-")</f>
        <v>-</v>
      </c>
      <c r="AN1039" s="97" t="str">
        <f>IFERROR(__xludf.DUMMYFUNCTION("""COMPUTED_VALUE"""),"N/A")</f>
        <v>N/A</v>
      </c>
      <c r="AO1039" s="97" t="str">
        <f>IFERROR(__xludf.DUMMYFUNCTION("""COMPUTED_VALUE"""),"2 Años")</f>
        <v>2 Años</v>
      </c>
      <c r="AP1039" s="97" t="str">
        <f>IFERROR(__xludf.DUMMYFUNCTION("""COMPUTED_VALUE"""),"No Aplica")</f>
        <v>No Aplica</v>
      </c>
      <c r="AQ1039" s="97" t="str">
        <f>IFERROR(__xludf.DUMMYFUNCTION("""COMPUTED_VALUE"""),"No Aplica")</f>
        <v>No Aplica</v>
      </c>
      <c r="AR1039" s="97" t="str">
        <f>IFERROR(__xludf.DUMMYFUNCTION("""COMPUTED_VALUE"""),"No Aplica")</f>
        <v>No Aplica</v>
      </c>
      <c r="AS1039" s="97" t="str">
        <f>IFERROR(__xludf.DUMMYFUNCTION("""COMPUTED_VALUE"""),"Falta")</f>
        <v>Falta</v>
      </c>
      <c r="AT1039" s="97" t="str">
        <f>IFERROR(__xludf.DUMMYFUNCTION("""COMPUTED_VALUE"""),"Falta")</f>
        <v>Falta</v>
      </c>
      <c r="AU1039" s="97" t="str">
        <f>IFERROR(__xludf.DUMMYFUNCTION("""COMPUTED_VALUE"""),"Falta")</f>
        <v>Falta</v>
      </c>
      <c r="AV1039" s="97" t="str">
        <f>IFERROR(__xludf.DUMMYFUNCTION("""COMPUTED_VALUE"""),"Accesorio")</f>
        <v>Accesorio</v>
      </c>
      <c r="AW1039" s="97" t="str">
        <f>IFERROR(__xludf.DUMMYFUNCTION("""COMPUTED_VALUE"""),"De Piso")</f>
        <v>De Piso</v>
      </c>
      <c r="AX1039" s="97" t="str">
        <f>IFERROR(__xludf.DUMMYFUNCTION("""COMPUTED_VALUE"""),"Exterior")</f>
        <v>Exterior</v>
      </c>
      <c r="AY1039" s="97" t="str">
        <f>IFERROR(__xludf.DUMMYFUNCTION("""COMPUTED_VALUE"""),"Chill")</f>
        <v>Chill</v>
      </c>
      <c r="AZ1039" s="97"/>
      <c r="BA1039" s="97"/>
      <c r="BB1039" s="97" t="str">
        <f>IFERROR(__xludf.DUMMYFUNCTION("""COMPUTED_VALUE"""),"-")</f>
        <v>-</v>
      </c>
      <c r="BC1039" s="97" t="str">
        <f>IFERROR(__xludf.DUMMYFUNCTION("""COMPUTED_VALUE"""),"-")</f>
        <v>-</v>
      </c>
      <c r="BD1039" s="97" t="str">
        <f>IFERROR(__xludf.DUMMYFUNCTION("""COMPUTED_VALUE"""),"CHILL")</f>
        <v>CHILL</v>
      </c>
      <c r="BE1039" s="97" t="str">
        <f>IFERROR(__xludf.DUMMYFUNCTION("""COMPUTED_VALUE"""),"Finalizada")</f>
        <v>Finalizada</v>
      </c>
      <c r="BF1039" s="97"/>
      <c r="BG1039" s="97" t="str">
        <f>IFERROR(__xludf.DUMMYFUNCTION("""COMPUTED_VALUE"""),"Activo")</f>
        <v>Activo</v>
      </c>
    </row>
    <row r="1040">
      <c r="A1040" s="97">
        <f>IFERROR(__xludf.DUMMYFUNCTION("""COMPUTED_VALUE"""),6826.0)</f>
        <v>6826</v>
      </c>
      <c r="B1040" s="97" t="str">
        <f>IFERROR(__xludf.DUMMYFUNCTION("""COMPUTED_VALUE"""),"MEX NG 10W 3000K")</f>
        <v>MEX NG 10W 3000K</v>
      </c>
      <c r="C1040" s="97" t="str">
        <f>IFERROR(__xludf.DUMMYFUNCTION("""COMPUTED_VALUE"""),"CABEZAL MEX NG 10W 3000K 10W 3000K 662LM CRI&gt;90 IP20 LEUK")</f>
        <v>CABEZAL MEX NG 10W 3000K 10W 3000K 662LM CRI&gt;90 IP20 LEUK</v>
      </c>
      <c r="D1040" s="97">
        <f>IFERROR(__xludf.DUMMYFUNCTION("""COMPUTED_VALUE"""),7.79841322263E12)</f>
        <v>7798413222630</v>
      </c>
      <c r="E1040" s="97" t="str">
        <f>IFERROR(__xludf.DUMMYFUNCTION("""COMPUTED_VALUE"""),"F69")</f>
        <v>F69</v>
      </c>
      <c r="F1040" s="97" t="str">
        <f>IFERROR(__xludf.DUMMYFUNCTION("""COMPUTED_VALUE"""),"LED COB")</f>
        <v>LED COB</v>
      </c>
      <c r="G1040" s="97" t="str">
        <f>IFERROR(__xludf.DUMMYFUNCTION("""COMPUTED_VALUE"""),"-")</f>
        <v>-</v>
      </c>
      <c r="H1040" s="97" t="str">
        <f>IFERROR(__xludf.DUMMYFUNCTION("""COMPUTED_VALUE"""),"-")</f>
        <v>-</v>
      </c>
      <c r="I1040" s="97"/>
      <c r="J1040" s="97"/>
      <c r="K1040" s="97" t="str">
        <f>IFERROR(__xludf.DUMMYFUNCTION("""COMPUTED_VALUE"""),"ON/OFF")</f>
        <v>ON/OFF</v>
      </c>
      <c r="L1040" s="97" t="str">
        <f>IFERROR(__xludf.DUMMYFUNCTION("""COMPUTED_VALUE"""),"200-240")</f>
        <v>200-240</v>
      </c>
      <c r="M1040" s="97" t="str">
        <f>IFERROR(__xludf.DUMMYFUNCTION("""COMPUTED_VALUE"""),"50/60")</f>
        <v>50/60</v>
      </c>
      <c r="N1040" s="97" t="str">
        <f>IFERROR(__xludf.DUMMYFUNCTION("""COMPUTED_VALUE"""),"Directa-Direccional")</f>
        <v>Directa-Direccional</v>
      </c>
      <c r="O1040" s="97">
        <f>IFERROR(__xludf.DUMMYFUNCTION("""COMPUTED_VALUE"""),10.0)</f>
        <v>10</v>
      </c>
      <c r="P1040" s="97"/>
      <c r="Q1040" s="97">
        <f>IFERROR(__xludf.DUMMYFUNCTION("""COMPUTED_VALUE"""),0.52)</f>
        <v>0.52</v>
      </c>
      <c r="R1040" s="97" t="str">
        <f>IFERROR(__xludf.DUMMYFUNCTION("""COMPUTED_VALUE"""),"-")</f>
        <v>-</v>
      </c>
      <c r="S1040" s="97" t="str">
        <f>IFERROR(__xludf.DUMMYFUNCTION("""COMPUTED_VALUE"""),"-")</f>
        <v>-</v>
      </c>
      <c r="T1040" s="97">
        <f>IFERROR(__xludf.DUMMYFUNCTION("""COMPUTED_VALUE"""),662.0)</f>
        <v>662</v>
      </c>
      <c r="U1040" s="99">
        <f>IFERROR(__xludf.DUMMYFUNCTION("""COMPUTED_VALUE"""),66.2)</f>
        <v>66.2</v>
      </c>
      <c r="V1040" s="97" t="str">
        <f>IFERROR(__xludf.DUMMYFUNCTION("""COMPUTED_VALUE"""),"15 / 24 / 36")</f>
        <v>15 / 24 / 36</v>
      </c>
      <c r="W1040" s="97" t="str">
        <f>IFERROR(__xludf.DUMMYFUNCTION("""COMPUTED_VALUE"""),"&lt; 18")</f>
        <v>&lt; 18</v>
      </c>
      <c r="X1040" s="97">
        <f>IFERROR(__xludf.DUMMYFUNCTION("""COMPUTED_VALUE"""),3000.0)</f>
        <v>3000</v>
      </c>
      <c r="Y1040" s="97" t="str">
        <f>IFERROR(__xludf.DUMMYFUNCTION("""COMPUTED_VALUE"""),"&gt;90")</f>
        <v>&gt;90</v>
      </c>
      <c r="Z1040" s="97"/>
      <c r="AA1040" s="97"/>
      <c r="AB1040" s="97" t="str">
        <f>IFERROR(__xludf.DUMMYFUNCTION("""COMPUTED_VALUE"""),"&lt; 3")</f>
        <v>&lt; 3</v>
      </c>
      <c r="AC1040" s="97"/>
      <c r="AD1040" s="97" t="str">
        <f>IFERROR(__xludf.DUMMYFUNCTION("""COMPUTED_VALUE"""),"IP20")</f>
        <v>IP20</v>
      </c>
      <c r="AE1040" s="97" t="str">
        <f>IFERROR(__xludf.DUMMYFUNCTION("""COMPUTED_VALUE"""),"Clase l")</f>
        <v>Clase l</v>
      </c>
      <c r="AF1040" s="97" t="str">
        <f>IFERROR(__xludf.DUMMYFUNCTION("""COMPUTED_VALUE"""),"Cabezal")</f>
        <v>Cabezal</v>
      </c>
      <c r="AG1040" s="97" t="str">
        <f>IFERROR(__xludf.DUMMYFUNCTION("""COMPUTED_VALUE"""),"Ø55 x 150")</f>
        <v>Ø55 x 150</v>
      </c>
      <c r="AH1040" s="97" t="str">
        <f>IFERROR(__xludf.DUMMYFUNCTION("""COMPUTED_VALUE"""),"N/A")</f>
        <v>N/A</v>
      </c>
      <c r="AI1040" s="97" t="str">
        <f>IFERROR(__xludf.DUMMYFUNCTION("""COMPUTED_VALUE"""),"N/A")</f>
        <v>N/A</v>
      </c>
      <c r="AJ1040" s="97" t="str">
        <f>IFERROR(__xludf.DUMMYFUNCTION("""COMPUTED_VALUE"""),"PMMA")</f>
        <v>PMMA</v>
      </c>
      <c r="AK1040" s="97" t="str">
        <f>IFERROR(__xludf.DUMMYFUNCTION("""COMPUTED_VALUE"""),"Aluminio")</f>
        <v>Aluminio</v>
      </c>
      <c r="AL1040" s="97" t="str">
        <f>IFERROR(__xludf.DUMMYFUNCTION("""COMPUTED_VALUE"""),"Negro Satinado")</f>
        <v>Negro Satinado</v>
      </c>
      <c r="AM1040" s="97" t="str">
        <f>IFERROR(__xludf.DUMMYFUNCTION("""COMPUTED_VALUE"""),"-")</f>
        <v>-</v>
      </c>
      <c r="AN1040" s="97" t="str">
        <f>IFERROR(__xludf.DUMMYFUNCTION("""COMPUTED_VALUE"""),"25.000hs (L70)")</f>
        <v>25.000hs (L70)</v>
      </c>
      <c r="AO1040" s="97" t="str">
        <f>IFERROR(__xludf.DUMMYFUNCTION("""COMPUTED_VALUE"""),"2 Años")</f>
        <v>2 Años</v>
      </c>
      <c r="AP1040" s="97" t="str">
        <f>IFERROR(__xludf.DUMMYFUNCTION("""COMPUTED_VALUE"""),"Disponible")</f>
        <v>Disponible</v>
      </c>
      <c r="AQ1040" s="97" t="str">
        <f>IFERROR(__xludf.DUMMYFUNCTION("""COMPUTED_VALUE"""),"Disponible")</f>
        <v>Disponible</v>
      </c>
      <c r="AR1040" s="97" t="str">
        <f>IFERROR(__xludf.DUMMYFUNCTION("""COMPUTED_VALUE"""),"Disponible")</f>
        <v>Disponible</v>
      </c>
      <c r="AS1040" s="97"/>
      <c r="AT1040" s="97"/>
      <c r="AU1040" s="97" t="str">
        <f>IFERROR(__xludf.DUMMYFUNCTION("""COMPUTED_VALUE"""),"Falta")</f>
        <v>Falta</v>
      </c>
      <c r="AV1040" s="97" t="str">
        <f>IFERROR(__xludf.DUMMYFUNCTION("""COMPUTED_VALUE"""),"Cabezal")</f>
        <v>Cabezal</v>
      </c>
      <c r="AW1040" s="97" t="str">
        <f>IFERROR(__xludf.DUMMYFUNCTION("""COMPUTED_VALUE"""),"De Techo")</f>
        <v>De Techo</v>
      </c>
      <c r="AX1040" s="97" t="str">
        <f>IFERROR(__xludf.DUMMYFUNCTION("""COMPUTED_VALUE"""),"Interior")</f>
        <v>Interior</v>
      </c>
      <c r="AY1040" s="97" t="str">
        <f>IFERROR(__xludf.DUMMYFUNCTION("""COMPUTED_VALUE"""),"-")</f>
        <v>-</v>
      </c>
      <c r="AZ1040"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040" s="97"/>
      <c r="BB1040" s="97" t="str">
        <f>IFERROR(__xludf.DUMMYFUNCTION("""COMPUTED_VALUE"""),"-")</f>
        <v>-</v>
      </c>
      <c r="BC1040" s="97" t="str">
        <f>IFERROR(__xludf.DUMMYFUNCTION("""COMPUTED_VALUE"""),"-")</f>
        <v>-</v>
      </c>
      <c r="BD1040" s="97" t="str">
        <f>IFERROR(__xludf.DUMMYFUNCTION("""COMPUTED_VALUE"""),"MEX")</f>
        <v>MEX</v>
      </c>
      <c r="BE1040" s="97" t="str">
        <f>IFERROR(__xludf.DUMMYFUNCTION("""COMPUTED_VALUE"""),"Finalizada")</f>
        <v>Finalizada</v>
      </c>
      <c r="BF1040" s="97"/>
      <c r="BG1040" s="97" t="str">
        <f>IFERROR(__xludf.DUMMYFUNCTION("""COMPUTED_VALUE"""),"Activo")</f>
        <v>Activo</v>
      </c>
    </row>
    <row r="1041">
      <c r="A1041" s="97">
        <f>IFERROR(__xludf.DUMMYFUNCTION("""COMPUTED_VALUE"""),6827.0)</f>
        <v>6827</v>
      </c>
      <c r="B1041" s="97" t="str">
        <f>IFERROR(__xludf.DUMMYFUNCTION("""COMPUTED_VALUE"""),"MEX NG 18W 3000K")</f>
        <v>MEX NG 18W 3000K</v>
      </c>
      <c r="C1041" s="97" t="str">
        <f>IFERROR(__xludf.DUMMYFUNCTION("""COMPUTED_VALUE"""),"CABEZAL MEX NG 18W 3000K 18W 3000K 1335LM CRI&gt;90 IP20 LEUK")</f>
        <v>CABEZAL MEX NG 18W 3000K 18W 3000K 1335LM CRI&gt;90 IP20 LEUK</v>
      </c>
      <c r="D1041" s="97">
        <f>IFERROR(__xludf.DUMMYFUNCTION("""COMPUTED_VALUE"""),7.798413222647E12)</f>
        <v>7798413222647</v>
      </c>
      <c r="E1041" s="97" t="str">
        <f>IFERROR(__xludf.DUMMYFUNCTION("""COMPUTED_VALUE"""),"F150")</f>
        <v>F150</v>
      </c>
      <c r="F1041" s="97" t="str">
        <f>IFERROR(__xludf.DUMMYFUNCTION("""COMPUTED_VALUE"""),"LED COB")</f>
        <v>LED COB</v>
      </c>
      <c r="G1041" s="97" t="str">
        <f>IFERROR(__xludf.DUMMYFUNCTION("""COMPUTED_VALUE"""),"-")</f>
        <v>-</v>
      </c>
      <c r="H1041" s="97" t="str">
        <f>IFERROR(__xludf.DUMMYFUNCTION("""COMPUTED_VALUE"""),"-")</f>
        <v>-</v>
      </c>
      <c r="I1041" s="97"/>
      <c r="J1041" s="97"/>
      <c r="K1041" s="97" t="str">
        <f>IFERROR(__xludf.DUMMYFUNCTION("""COMPUTED_VALUE"""),"ON/OFF")</f>
        <v>ON/OFF</v>
      </c>
      <c r="L1041" s="97" t="str">
        <f>IFERROR(__xludf.DUMMYFUNCTION("""COMPUTED_VALUE"""),"200-240")</f>
        <v>200-240</v>
      </c>
      <c r="M1041" s="97" t="str">
        <f>IFERROR(__xludf.DUMMYFUNCTION("""COMPUTED_VALUE"""),"50/60")</f>
        <v>50/60</v>
      </c>
      <c r="N1041" s="97" t="str">
        <f>IFERROR(__xludf.DUMMYFUNCTION("""COMPUTED_VALUE"""),"Directa-Direccional")</f>
        <v>Directa-Direccional</v>
      </c>
      <c r="O1041" s="97">
        <f>IFERROR(__xludf.DUMMYFUNCTION("""COMPUTED_VALUE"""),18.0)</f>
        <v>18</v>
      </c>
      <c r="P1041" s="97"/>
      <c r="Q1041" s="97">
        <f>IFERROR(__xludf.DUMMYFUNCTION("""COMPUTED_VALUE"""),0.52)</f>
        <v>0.52</v>
      </c>
      <c r="R1041" s="97" t="str">
        <f>IFERROR(__xludf.DUMMYFUNCTION("""COMPUTED_VALUE"""),"-")</f>
        <v>-</v>
      </c>
      <c r="S1041" s="97" t="str">
        <f>IFERROR(__xludf.DUMMYFUNCTION("""COMPUTED_VALUE"""),"-")</f>
        <v>-</v>
      </c>
      <c r="T1041" s="97">
        <f>IFERROR(__xludf.DUMMYFUNCTION("""COMPUTED_VALUE"""),1335.0)</f>
        <v>1335</v>
      </c>
      <c r="U1041" s="99">
        <f>IFERROR(__xludf.DUMMYFUNCTION("""COMPUTED_VALUE"""),74.16666666666667)</f>
        <v>74.16666667</v>
      </c>
      <c r="V1041" s="97" t="str">
        <f>IFERROR(__xludf.DUMMYFUNCTION("""COMPUTED_VALUE"""),"15 / 24 / 36")</f>
        <v>15 / 24 / 36</v>
      </c>
      <c r="W1041" s="97" t="str">
        <f>IFERROR(__xludf.DUMMYFUNCTION("""COMPUTED_VALUE"""),"&lt; 18")</f>
        <v>&lt; 18</v>
      </c>
      <c r="X1041" s="97">
        <f>IFERROR(__xludf.DUMMYFUNCTION("""COMPUTED_VALUE"""),3000.0)</f>
        <v>3000</v>
      </c>
      <c r="Y1041" s="97" t="str">
        <f>IFERROR(__xludf.DUMMYFUNCTION("""COMPUTED_VALUE"""),"&gt;90")</f>
        <v>&gt;90</v>
      </c>
      <c r="Z1041" s="97"/>
      <c r="AA1041" s="97"/>
      <c r="AB1041" s="97" t="str">
        <f>IFERROR(__xludf.DUMMYFUNCTION("""COMPUTED_VALUE"""),"&lt; 3")</f>
        <v>&lt; 3</v>
      </c>
      <c r="AC1041" s="97"/>
      <c r="AD1041" s="97" t="str">
        <f>IFERROR(__xludf.DUMMYFUNCTION("""COMPUTED_VALUE"""),"IP20")</f>
        <v>IP20</v>
      </c>
      <c r="AE1041" s="97" t="str">
        <f>IFERROR(__xludf.DUMMYFUNCTION("""COMPUTED_VALUE"""),"Clase l")</f>
        <v>Clase l</v>
      </c>
      <c r="AF1041" s="97" t="str">
        <f>IFERROR(__xludf.DUMMYFUNCTION("""COMPUTED_VALUE"""),"Cabezal")</f>
        <v>Cabezal</v>
      </c>
      <c r="AG1041" s="97" t="str">
        <f>IFERROR(__xludf.DUMMYFUNCTION("""COMPUTED_VALUE"""),"Ø60 x 165")</f>
        <v>Ø60 x 165</v>
      </c>
      <c r="AH1041" s="97" t="str">
        <f>IFERROR(__xludf.DUMMYFUNCTION("""COMPUTED_VALUE"""),"N/A")</f>
        <v>N/A</v>
      </c>
      <c r="AI1041" s="97" t="str">
        <f>IFERROR(__xludf.DUMMYFUNCTION("""COMPUTED_VALUE"""),"N/A")</f>
        <v>N/A</v>
      </c>
      <c r="AJ1041" s="97" t="str">
        <f>IFERROR(__xludf.DUMMYFUNCTION("""COMPUTED_VALUE"""),"PMMA")</f>
        <v>PMMA</v>
      </c>
      <c r="AK1041" s="97" t="str">
        <f>IFERROR(__xludf.DUMMYFUNCTION("""COMPUTED_VALUE"""),"Aluminio")</f>
        <v>Aluminio</v>
      </c>
      <c r="AL1041" s="97" t="str">
        <f>IFERROR(__xludf.DUMMYFUNCTION("""COMPUTED_VALUE"""),"Negro Satinado")</f>
        <v>Negro Satinado</v>
      </c>
      <c r="AM1041" s="97" t="str">
        <f>IFERROR(__xludf.DUMMYFUNCTION("""COMPUTED_VALUE"""),"-")</f>
        <v>-</v>
      </c>
      <c r="AN1041" s="97" t="str">
        <f>IFERROR(__xludf.DUMMYFUNCTION("""COMPUTED_VALUE"""),"25.000hs (L70)")</f>
        <v>25.000hs (L70)</v>
      </c>
      <c r="AO1041" s="97" t="str">
        <f>IFERROR(__xludf.DUMMYFUNCTION("""COMPUTED_VALUE"""),"2 Años")</f>
        <v>2 Años</v>
      </c>
      <c r="AP1041" s="97" t="str">
        <f>IFERROR(__xludf.DUMMYFUNCTION("""COMPUTED_VALUE"""),"Disponible")</f>
        <v>Disponible</v>
      </c>
      <c r="AQ1041" s="97" t="str">
        <f>IFERROR(__xludf.DUMMYFUNCTION("""COMPUTED_VALUE"""),"Disponible")</f>
        <v>Disponible</v>
      </c>
      <c r="AR1041" s="97" t="str">
        <f>IFERROR(__xludf.DUMMYFUNCTION("""COMPUTED_VALUE"""),"Disponible")</f>
        <v>Disponible</v>
      </c>
      <c r="AS1041" s="97"/>
      <c r="AT1041" s="97"/>
      <c r="AU1041" s="97" t="str">
        <f>IFERROR(__xludf.DUMMYFUNCTION("""COMPUTED_VALUE"""),"Falta")</f>
        <v>Falta</v>
      </c>
      <c r="AV1041" s="97" t="str">
        <f>IFERROR(__xludf.DUMMYFUNCTION("""COMPUTED_VALUE"""),"Cabezal")</f>
        <v>Cabezal</v>
      </c>
      <c r="AW1041" s="97" t="str">
        <f>IFERROR(__xludf.DUMMYFUNCTION("""COMPUTED_VALUE"""),"De Techo")</f>
        <v>De Techo</v>
      </c>
      <c r="AX1041" s="97" t="str">
        <f>IFERROR(__xludf.DUMMYFUNCTION("""COMPUTED_VALUE"""),"Interior")</f>
        <v>Interior</v>
      </c>
      <c r="AY1041" s="97" t="str">
        <f>IFERROR(__xludf.DUMMYFUNCTION("""COMPUTED_VALUE"""),"-")</f>
        <v>-</v>
      </c>
      <c r="AZ1041"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041" s="97"/>
      <c r="BB1041" s="97" t="str">
        <f>IFERROR(__xludf.DUMMYFUNCTION("""COMPUTED_VALUE"""),"-")</f>
        <v>-</v>
      </c>
      <c r="BC1041" s="97" t="str">
        <f>IFERROR(__xludf.DUMMYFUNCTION("""COMPUTED_VALUE"""),"-")</f>
        <v>-</v>
      </c>
      <c r="BD1041" s="97" t="str">
        <f>IFERROR(__xludf.DUMMYFUNCTION("""COMPUTED_VALUE"""),"MEX")</f>
        <v>MEX</v>
      </c>
      <c r="BE1041" s="97" t="str">
        <f>IFERROR(__xludf.DUMMYFUNCTION("""COMPUTED_VALUE"""),"Finalizada")</f>
        <v>Finalizada</v>
      </c>
      <c r="BF1041" s="97"/>
      <c r="BG1041" s="97" t="str">
        <f>IFERROR(__xludf.DUMMYFUNCTION("""COMPUTED_VALUE"""),"Activo")</f>
        <v>Activo</v>
      </c>
    </row>
    <row r="1042">
      <c r="A1042" s="97">
        <f>IFERROR(__xludf.DUMMYFUNCTION("""COMPUTED_VALUE"""),6828.0)</f>
        <v>6828</v>
      </c>
      <c r="B1042" s="97" t="str">
        <f>IFERROR(__xludf.DUMMYFUNCTION("""COMPUTED_VALUE"""),"MEX NG 25W 3000K")</f>
        <v>MEX NG 25W 3000K</v>
      </c>
      <c r="C1042" s="97" t="str">
        <f>IFERROR(__xludf.DUMMYFUNCTION("""COMPUTED_VALUE"""),"CABEZAL MEX NG 25W 3000K 25W 3000K 1770LM CRI&gt;90 IP20 LEUK")</f>
        <v>CABEZAL MEX NG 25W 3000K 25W 3000K 1770LM CRI&gt;90 IP20 LEUK</v>
      </c>
      <c r="D1042" s="97">
        <f>IFERROR(__xludf.DUMMYFUNCTION("""COMPUTED_VALUE"""),7.798413222654E12)</f>
        <v>7798413222654</v>
      </c>
      <c r="E1042" s="97" t="str">
        <f>IFERROR(__xludf.DUMMYFUNCTION("""COMPUTED_VALUE"""),"F40")</f>
        <v>F40</v>
      </c>
      <c r="F1042" s="97" t="str">
        <f>IFERROR(__xludf.DUMMYFUNCTION("""COMPUTED_VALUE"""),"LED COB")</f>
        <v>LED COB</v>
      </c>
      <c r="G1042" s="97" t="str">
        <f>IFERROR(__xludf.DUMMYFUNCTION("""COMPUTED_VALUE"""),"-")</f>
        <v>-</v>
      </c>
      <c r="H1042" s="97" t="str">
        <f>IFERROR(__xludf.DUMMYFUNCTION("""COMPUTED_VALUE"""),"-")</f>
        <v>-</v>
      </c>
      <c r="I1042" s="97"/>
      <c r="J1042" s="97"/>
      <c r="K1042" s="97" t="str">
        <f>IFERROR(__xludf.DUMMYFUNCTION("""COMPUTED_VALUE"""),"ON/OFF")</f>
        <v>ON/OFF</v>
      </c>
      <c r="L1042" s="97" t="str">
        <f>IFERROR(__xludf.DUMMYFUNCTION("""COMPUTED_VALUE"""),"200-240")</f>
        <v>200-240</v>
      </c>
      <c r="M1042" s="97" t="str">
        <f>IFERROR(__xludf.DUMMYFUNCTION("""COMPUTED_VALUE"""),"50/60")</f>
        <v>50/60</v>
      </c>
      <c r="N1042" s="97" t="str">
        <f>IFERROR(__xludf.DUMMYFUNCTION("""COMPUTED_VALUE"""),"Directa-Direccional")</f>
        <v>Directa-Direccional</v>
      </c>
      <c r="O1042" s="97">
        <f>IFERROR(__xludf.DUMMYFUNCTION("""COMPUTED_VALUE"""),25.0)</f>
        <v>25</v>
      </c>
      <c r="P1042" s="97"/>
      <c r="Q1042" s="97">
        <f>IFERROR(__xludf.DUMMYFUNCTION("""COMPUTED_VALUE"""),0.52)</f>
        <v>0.52</v>
      </c>
      <c r="R1042" s="97" t="str">
        <f>IFERROR(__xludf.DUMMYFUNCTION("""COMPUTED_VALUE"""),"-")</f>
        <v>-</v>
      </c>
      <c r="S1042" s="97" t="str">
        <f>IFERROR(__xludf.DUMMYFUNCTION("""COMPUTED_VALUE"""),"-")</f>
        <v>-</v>
      </c>
      <c r="T1042" s="97">
        <f>IFERROR(__xludf.DUMMYFUNCTION("""COMPUTED_VALUE"""),1770.0)</f>
        <v>1770</v>
      </c>
      <c r="U1042" s="99">
        <f>IFERROR(__xludf.DUMMYFUNCTION("""COMPUTED_VALUE"""),70.8)</f>
        <v>70.8</v>
      </c>
      <c r="V1042" s="97" t="str">
        <f>IFERROR(__xludf.DUMMYFUNCTION("""COMPUTED_VALUE"""),"15 / 24 / 36")</f>
        <v>15 / 24 / 36</v>
      </c>
      <c r="W1042" s="97" t="str">
        <f>IFERROR(__xludf.DUMMYFUNCTION("""COMPUTED_VALUE"""),"&lt; 18")</f>
        <v>&lt; 18</v>
      </c>
      <c r="X1042" s="97">
        <f>IFERROR(__xludf.DUMMYFUNCTION("""COMPUTED_VALUE"""),3000.0)</f>
        <v>3000</v>
      </c>
      <c r="Y1042" s="97" t="str">
        <f>IFERROR(__xludf.DUMMYFUNCTION("""COMPUTED_VALUE"""),"&gt;90")</f>
        <v>&gt;90</v>
      </c>
      <c r="Z1042" s="97"/>
      <c r="AA1042" s="97"/>
      <c r="AB1042" s="97" t="str">
        <f>IFERROR(__xludf.DUMMYFUNCTION("""COMPUTED_VALUE"""),"&lt; 3")</f>
        <v>&lt; 3</v>
      </c>
      <c r="AC1042" s="97"/>
      <c r="AD1042" s="97" t="str">
        <f>IFERROR(__xludf.DUMMYFUNCTION("""COMPUTED_VALUE"""),"IP20")</f>
        <v>IP20</v>
      </c>
      <c r="AE1042" s="97" t="str">
        <f>IFERROR(__xludf.DUMMYFUNCTION("""COMPUTED_VALUE"""),"Clase l")</f>
        <v>Clase l</v>
      </c>
      <c r="AF1042" s="97" t="str">
        <f>IFERROR(__xludf.DUMMYFUNCTION("""COMPUTED_VALUE"""),"Cabezal")</f>
        <v>Cabezal</v>
      </c>
      <c r="AG1042" s="97" t="str">
        <f>IFERROR(__xludf.DUMMYFUNCTION("""COMPUTED_VALUE"""),"Ø74 x 175")</f>
        <v>Ø74 x 175</v>
      </c>
      <c r="AH1042" s="97" t="str">
        <f>IFERROR(__xludf.DUMMYFUNCTION("""COMPUTED_VALUE"""),"N/A")</f>
        <v>N/A</v>
      </c>
      <c r="AI1042" s="97" t="str">
        <f>IFERROR(__xludf.DUMMYFUNCTION("""COMPUTED_VALUE"""),"N/A")</f>
        <v>N/A</v>
      </c>
      <c r="AJ1042" s="97" t="str">
        <f>IFERROR(__xludf.DUMMYFUNCTION("""COMPUTED_VALUE"""),"PMMA")</f>
        <v>PMMA</v>
      </c>
      <c r="AK1042" s="97" t="str">
        <f>IFERROR(__xludf.DUMMYFUNCTION("""COMPUTED_VALUE"""),"Aluminio")</f>
        <v>Aluminio</v>
      </c>
      <c r="AL1042" s="97" t="str">
        <f>IFERROR(__xludf.DUMMYFUNCTION("""COMPUTED_VALUE"""),"Negro Satinado")</f>
        <v>Negro Satinado</v>
      </c>
      <c r="AM1042" s="97" t="str">
        <f>IFERROR(__xludf.DUMMYFUNCTION("""COMPUTED_VALUE"""),"-")</f>
        <v>-</v>
      </c>
      <c r="AN1042" s="97" t="str">
        <f>IFERROR(__xludf.DUMMYFUNCTION("""COMPUTED_VALUE"""),"25.000hs (L70)")</f>
        <v>25.000hs (L70)</v>
      </c>
      <c r="AO1042" s="97" t="str">
        <f>IFERROR(__xludf.DUMMYFUNCTION("""COMPUTED_VALUE"""),"2 Años")</f>
        <v>2 Años</v>
      </c>
      <c r="AP1042" s="97" t="str">
        <f>IFERROR(__xludf.DUMMYFUNCTION("""COMPUTED_VALUE"""),"Disponible")</f>
        <v>Disponible</v>
      </c>
      <c r="AQ1042" s="97" t="str">
        <f>IFERROR(__xludf.DUMMYFUNCTION("""COMPUTED_VALUE"""),"Disponible")</f>
        <v>Disponible</v>
      </c>
      <c r="AR1042" s="97" t="str">
        <f>IFERROR(__xludf.DUMMYFUNCTION("""COMPUTED_VALUE"""),"Disponible")</f>
        <v>Disponible</v>
      </c>
      <c r="AS1042" s="97"/>
      <c r="AT1042" s="97"/>
      <c r="AU1042" s="97" t="str">
        <f>IFERROR(__xludf.DUMMYFUNCTION("""COMPUTED_VALUE"""),"Falta")</f>
        <v>Falta</v>
      </c>
      <c r="AV1042" s="97" t="str">
        <f>IFERROR(__xludf.DUMMYFUNCTION("""COMPUTED_VALUE"""),"Cabezal")</f>
        <v>Cabezal</v>
      </c>
      <c r="AW1042" s="97" t="str">
        <f>IFERROR(__xludf.DUMMYFUNCTION("""COMPUTED_VALUE"""),"De Techo")</f>
        <v>De Techo</v>
      </c>
      <c r="AX1042" s="97" t="str">
        <f>IFERROR(__xludf.DUMMYFUNCTION("""COMPUTED_VALUE"""),"Interior")</f>
        <v>Interior</v>
      </c>
      <c r="AY1042" s="97" t="str">
        <f>IFERROR(__xludf.DUMMYFUNCTION("""COMPUTED_VALUE"""),"-")</f>
        <v>-</v>
      </c>
      <c r="AZ1042"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042" s="97"/>
      <c r="BB1042" s="97" t="str">
        <f>IFERROR(__xludf.DUMMYFUNCTION("""COMPUTED_VALUE"""),"-")</f>
        <v>-</v>
      </c>
      <c r="BC1042" s="97" t="str">
        <f>IFERROR(__xludf.DUMMYFUNCTION("""COMPUTED_VALUE"""),"-")</f>
        <v>-</v>
      </c>
      <c r="BD1042" s="97" t="str">
        <f>IFERROR(__xludf.DUMMYFUNCTION("""COMPUTED_VALUE"""),"MEX")</f>
        <v>MEX</v>
      </c>
      <c r="BE1042" s="97" t="str">
        <f>IFERROR(__xludf.DUMMYFUNCTION("""COMPUTED_VALUE"""),"Finalizada")</f>
        <v>Finalizada</v>
      </c>
      <c r="BF1042" s="97"/>
      <c r="BG1042" s="97" t="str">
        <f>IFERROR(__xludf.DUMMYFUNCTION("""COMPUTED_VALUE"""),"Activo")</f>
        <v>Activo</v>
      </c>
    </row>
    <row r="1043">
      <c r="A1043" s="97">
        <f>IFERROR(__xludf.DUMMYFUNCTION("""COMPUTED_VALUE"""),6829.0)</f>
        <v>6829</v>
      </c>
      <c r="B1043" s="97" t="str">
        <f>IFERROR(__xludf.DUMMYFUNCTION("""COMPUTED_VALUE"""),"KIT SUSPENSION 3 TENSORES + ALIMENTACIÓN BL")</f>
        <v>KIT SUSPENSION 3 TENSORES + ALIMENTACIÓN BL</v>
      </c>
      <c r="C1043" s="97" t="str">
        <f>IFERROR(__xludf.DUMMYFUNCTION("""COMPUTED_VALUE"""),"ACCESORIO KIT SUSPENSION 3 TENSORES + ALIMENTACIÓN BL LEUK")</f>
        <v>ACCESORIO KIT SUSPENSION 3 TENSORES + ALIMENTACIÓN BL LEUK</v>
      </c>
      <c r="D1043" s="97">
        <f>IFERROR(__xludf.DUMMYFUNCTION("""COMPUTED_VALUE"""),7.798413223415E12)</f>
        <v>7798413223415</v>
      </c>
      <c r="E1043" s="97" t="str">
        <f>IFERROR(__xludf.DUMMYFUNCTION("""COMPUTED_VALUE"""),"KB1")</f>
        <v>KB1</v>
      </c>
      <c r="F1043" s="97" t="str">
        <f>IFERROR(__xludf.DUMMYFUNCTION("""COMPUTED_VALUE"""),"N/A")</f>
        <v>N/A</v>
      </c>
      <c r="G1043" s="97" t="str">
        <f>IFERROR(__xludf.DUMMYFUNCTION("""COMPUTED_VALUE"""),"N/A")</f>
        <v>N/A</v>
      </c>
      <c r="H1043" s="97" t="str">
        <f>IFERROR(__xludf.DUMMYFUNCTION("""COMPUTED_VALUE"""),"N/A")</f>
        <v>N/A</v>
      </c>
      <c r="I1043" s="97" t="str">
        <f>IFERROR(__xludf.DUMMYFUNCTION("""COMPUTED_VALUE"""),"N/A")</f>
        <v>N/A</v>
      </c>
      <c r="J1043" s="97" t="str">
        <f>IFERROR(__xludf.DUMMYFUNCTION("""COMPUTED_VALUE"""),"N/A")</f>
        <v>N/A</v>
      </c>
      <c r="K1043" s="97" t="str">
        <f>IFERROR(__xludf.DUMMYFUNCTION("""COMPUTED_VALUE"""),"N/A")</f>
        <v>N/A</v>
      </c>
      <c r="L1043" s="97" t="str">
        <f>IFERROR(__xludf.DUMMYFUNCTION("""COMPUTED_VALUE"""),"N/A")</f>
        <v>N/A</v>
      </c>
      <c r="M1043" s="97" t="str">
        <f>IFERROR(__xludf.DUMMYFUNCTION("""COMPUTED_VALUE"""),"N/A")</f>
        <v>N/A</v>
      </c>
      <c r="N1043" s="97" t="str">
        <f>IFERROR(__xludf.DUMMYFUNCTION("""COMPUTED_VALUE"""),"N/A")</f>
        <v>N/A</v>
      </c>
      <c r="O1043" s="97" t="str">
        <f>IFERROR(__xludf.DUMMYFUNCTION("""COMPUTED_VALUE"""),"-")</f>
        <v>-</v>
      </c>
      <c r="P1043" s="97"/>
      <c r="Q1043" s="97" t="str">
        <f>IFERROR(__xludf.DUMMYFUNCTION("""COMPUTED_VALUE"""),"-")</f>
        <v>-</v>
      </c>
      <c r="R1043" s="97" t="str">
        <f>IFERROR(__xludf.DUMMYFUNCTION("""COMPUTED_VALUE"""),"-")</f>
        <v>-</v>
      </c>
      <c r="S1043" s="97" t="str">
        <f>IFERROR(__xludf.DUMMYFUNCTION("""COMPUTED_VALUE"""),"-")</f>
        <v>-</v>
      </c>
      <c r="T1043" s="97" t="str">
        <f>IFERROR(__xludf.DUMMYFUNCTION("""COMPUTED_VALUE"""),"-")</f>
        <v>-</v>
      </c>
      <c r="U1043" s="97" t="str">
        <f>IFERROR(__xludf.DUMMYFUNCTION("""COMPUTED_VALUE"""),"-")</f>
        <v>-</v>
      </c>
      <c r="V1043" s="97" t="str">
        <f>IFERROR(__xludf.DUMMYFUNCTION("""COMPUTED_VALUE"""),"N/A")</f>
        <v>N/A</v>
      </c>
      <c r="W1043" s="97" t="str">
        <f>IFERROR(__xludf.DUMMYFUNCTION("""COMPUTED_VALUE"""),"N/A")</f>
        <v>N/A</v>
      </c>
      <c r="X1043" s="97" t="str">
        <f>IFERROR(__xludf.DUMMYFUNCTION("""COMPUTED_VALUE"""),"-")</f>
        <v>-</v>
      </c>
      <c r="Y1043" s="97" t="str">
        <f>IFERROR(__xludf.DUMMYFUNCTION("""COMPUTED_VALUE"""),"N/A")</f>
        <v>N/A</v>
      </c>
      <c r="Z1043" s="97" t="str">
        <f>IFERROR(__xludf.DUMMYFUNCTION("""COMPUTED_VALUE"""),"N/A")</f>
        <v>N/A</v>
      </c>
      <c r="AA1043" s="97" t="str">
        <f>IFERROR(__xludf.DUMMYFUNCTION("""COMPUTED_VALUE"""),"N/A")</f>
        <v>N/A</v>
      </c>
      <c r="AB1043" s="97" t="str">
        <f>IFERROR(__xludf.DUMMYFUNCTION("""COMPUTED_VALUE"""),"N/A")</f>
        <v>N/A</v>
      </c>
      <c r="AC1043" s="97" t="str">
        <f>IFERROR(__xludf.DUMMYFUNCTION("""COMPUTED_VALUE"""),"N/A")</f>
        <v>N/A</v>
      </c>
      <c r="AD1043" s="97" t="str">
        <f>IFERROR(__xludf.DUMMYFUNCTION("""COMPUTED_VALUE"""),"IP20")</f>
        <v>IP20</v>
      </c>
      <c r="AE1043" s="97" t="str">
        <f>IFERROR(__xludf.DUMMYFUNCTION("""COMPUTED_VALUE"""),"Clase l")</f>
        <v>Clase l</v>
      </c>
      <c r="AF1043" s="97" t="str">
        <f>IFERROR(__xludf.DUMMYFUNCTION("""COMPUTED_VALUE"""),"N/A")</f>
        <v>N/A</v>
      </c>
      <c r="AG1043" s="97" t="str">
        <f>IFERROR(__xludf.DUMMYFUNCTION("""COMPUTED_VALUE"""),"Cable y Tensor 2mts
Florón: Ø110 x 25")</f>
        <v>Cable y Tensor 2mts
Florón: Ø110 x 25</v>
      </c>
      <c r="AH1043" s="97" t="str">
        <f>IFERROR(__xludf.DUMMYFUNCTION("""COMPUTED_VALUE"""),"N/A")</f>
        <v>N/A</v>
      </c>
      <c r="AI1043" s="97" t="str">
        <f>IFERROR(__xludf.DUMMYFUNCTION("""COMPUTED_VALUE"""),"N/A")</f>
        <v>N/A</v>
      </c>
      <c r="AJ1043" s="97" t="str">
        <f>IFERROR(__xludf.DUMMYFUNCTION("""COMPUTED_VALUE"""),"N/A")</f>
        <v>N/A</v>
      </c>
      <c r="AK1043" s="97" t="str">
        <f>IFERROR(__xludf.DUMMYFUNCTION("""COMPUTED_VALUE"""),"Acero")</f>
        <v>Acero</v>
      </c>
      <c r="AL1043" s="97" t="str">
        <f>IFERROR(__xludf.DUMMYFUNCTION("""COMPUTED_VALUE"""),"Blanco Satinado")</f>
        <v>Blanco Satinado</v>
      </c>
      <c r="AM1043" s="97" t="str">
        <f>IFERROR(__xludf.DUMMYFUNCTION("""COMPUTED_VALUE"""),"-")</f>
        <v>-</v>
      </c>
      <c r="AN1043" s="97" t="str">
        <f>IFERROR(__xludf.DUMMYFUNCTION("""COMPUTED_VALUE"""),"N/A")</f>
        <v>N/A</v>
      </c>
      <c r="AO1043" s="97" t="str">
        <f>IFERROR(__xludf.DUMMYFUNCTION("""COMPUTED_VALUE"""),"2 Años")</f>
        <v>2 Años</v>
      </c>
      <c r="AP1043" s="97" t="str">
        <f>IFERROR(__xludf.DUMMYFUNCTION("""COMPUTED_VALUE"""),"No Aplica")</f>
        <v>No Aplica</v>
      </c>
      <c r="AQ1043" s="97" t="str">
        <f>IFERROR(__xludf.DUMMYFUNCTION("""COMPUTED_VALUE"""),"No Aplica")</f>
        <v>No Aplica</v>
      </c>
      <c r="AR1043" s="97" t="str">
        <f>IFERROR(__xludf.DUMMYFUNCTION("""COMPUTED_VALUE"""),"No Aplica")</f>
        <v>No Aplica</v>
      </c>
      <c r="AS1043" s="97"/>
      <c r="AT1043" s="97"/>
      <c r="AU1043" s="97" t="str">
        <f>IFERROR(__xludf.DUMMYFUNCTION("""COMPUTED_VALUE"""),"Falta")</f>
        <v>Falta</v>
      </c>
      <c r="AV1043" s="97" t="str">
        <f>IFERROR(__xludf.DUMMYFUNCTION("""COMPUTED_VALUE"""),"Accesorio")</f>
        <v>Accesorio</v>
      </c>
      <c r="AW1043" s="97" t="str">
        <f>IFERROR(__xludf.DUMMYFUNCTION("""COMPUTED_VALUE"""),"De Techo")</f>
        <v>De Techo</v>
      </c>
      <c r="AX1043" s="97" t="str">
        <f>IFERROR(__xludf.DUMMYFUNCTION("""COMPUTED_VALUE"""),"Interior")</f>
        <v>Interior</v>
      </c>
      <c r="AY1043" s="97" t="str">
        <f>IFERROR(__xludf.DUMMYFUNCTION("""COMPUTED_VALUE"""),"-")</f>
        <v>-</v>
      </c>
      <c r="AZ1043" s="97" t="str">
        <f>IFERROR(__xludf.DUMMYFUNCTION("""COMPUTED_VALUE"""),"Incluye: Cable, Tensores, Florón y Tornillos.")</f>
        <v>Incluye: Cable, Tensores, Florón y Tornillos.</v>
      </c>
      <c r="BA1043" s="97">
        <f>IFERROR(__xludf.DUMMYFUNCTION("""COMPUTED_VALUE"""),100.0)</f>
        <v>100</v>
      </c>
      <c r="BB1043" s="97" t="str">
        <f>IFERROR(__xludf.DUMMYFUNCTION("""COMPUTED_VALUE"""),"-")</f>
        <v>-</v>
      </c>
      <c r="BC1043" s="97" t="str">
        <f>IFERROR(__xludf.DUMMYFUNCTION("""COMPUTED_VALUE"""),"-")</f>
        <v>-</v>
      </c>
      <c r="BD1043" s="97" t="str">
        <f>IFERROR(__xludf.DUMMYFUNCTION("""COMPUTED_VALUE"""),"CITY")</f>
        <v>CITY</v>
      </c>
      <c r="BE1043" s="97" t="str">
        <f>IFERROR(__xludf.DUMMYFUNCTION("""COMPUTED_VALUE"""),"Finalizada")</f>
        <v>Finalizada</v>
      </c>
      <c r="BF1043" s="97"/>
      <c r="BG1043" s="97" t="str">
        <f>IFERROR(__xludf.DUMMYFUNCTION("""COMPUTED_VALUE"""),"Activo")</f>
        <v>Activo</v>
      </c>
    </row>
    <row r="1044">
      <c r="A1044" s="97">
        <f>IFERROR(__xludf.DUMMYFUNCTION("""COMPUTED_VALUE"""),6830.0)</f>
        <v>6830</v>
      </c>
      <c r="B1044" s="97" t="str">
        <f>IFERROR(__xludf.DUMMYFUNCTION("""COMPUTED_VALUE"""),"KIT SUSPENSION 3 TENSORES + ALIMENTACIÓN NG")</f>
        <v>KIT SUSPENSION 3 TENSORES + ALIMENTACIÓN NG</v>
      </c>
      <c r="C1044" s="97" t="str">
        <f>IFERROR(__xludf.DUMMYFUNCTION("""COMPUTED_VALUE"""),"ACCESORIO KIT SUSPENSION 3 TENSORES + ALIMENTACIÓN NG LEUK")</f>
        <v>ACCESORIO KIT SUSPENSION 3 TENSORES + ALIMENTACIÓN NG LEUK</v>
      </c>
      <c r="D1044" s="97">
        <f>IFERROR(__xludf.DUMMYFUNCTION("""COMPUTED_VALUE"""),7.798413223422E12)</f>
        <v>7798413223422</v>
      </c>
      <c r="E1044" s="97" t="str">
        <f>IFERROR(__xludf.DUMMYFUNCTION("""COMPUTED_VALUE"""),"KN1")</f>
        <v>KN1</v>
      </c>
      <c r="F1044" s="97" t="str">
        <f>IFERROR(__xludf.DUMMYFUNCTION("""COMPUTED_VALUE"""),"N/A")</f>
        <v>N/A</v>
      </c>
      <c r="G1044" s="97" t="str">
        <f>IFERROR(__xludf.DUMMYFUNCTION("""COMPUTED_VALUE"""),"N/A")</f>
        <v>N/A</v>
      </c>
      <c r="H1044" s="97" t="str">
        <f>IFERROR(__xludf.DUMMYFUNCTION("""COMPUTED_VALUE"""),"N/A")</f>
        <v>N/A</v>
      </c>
      <c r="I1044" s="97" t="str">
        <f>IFERROR(__xludf.DUMMYFUNCTION("""COMPUTED_VALUE"""),"N/A")</f>
        <v>N/A</v>
      </c>
      <c r="J1044" s="97" t="str">
        <f>IFERROR(__xludf.DUMMYFUNCTION("""COMPUTED_VALUE"""),"N/A")</f>
        <v>N/A</v>
      </c>
      <c r="K1044" s="97" t="str">
        <f>IFERROR(__xludf.DUMMYFUNCTION("""COMPUTED_VALUE"""),"N/A")</f>
        <v>N/A</v>
      </c>
      <c r="L1044" s="97" t="str">
        <f>IFERROR(__xludf.DUMMYFUNCTION("""COMPUTED_VALUE"""),"N/A")</f>
        <v>N/A</v>
      </c>
      <c r="M1044" s="97" t="str">
        <f>IFERROR(__xludf.DUMMYFUNCTION("""COMPUTED_VALUE"""),"N/A")</f>
        <v>N/A</v>
      </c>
      <c r="N1044" s="97" t="str">
        <f>IFERROR(__xludf.DUMMYFUNCTION("""COMPUTED_VALUE"""),"N/A")</f>
        <v>N/A</v>
      </c>
      <c r="O1044" s="97" t="str">
        <f>IFERROR(__xludf.DUMMYFUNCTION("""COMPUTED_VALUE"""),"-")</f>
        <v>-</v>
      </c>
      <c r="P1044" s="97"/>
      <c r="Q1044" s="97" t="str">
        <f>IFERROR(__xludf.DUMMYFUNCTION("""COMPUTED_VALUE"""),"-")</f>
        <v>-</v>
      </c>
      <c r="R1044" s="97" t="str">
        <f>IFERROR(__xludf.DUMMYFUNCTION("""COMPUTED_VALUE"""),"-")</f>
        <v>-</v>
      </c>
      <c r="S1044" s="97" t="str">
        <f>IFERROR(__xludf.DUMMYFUNCTION("""COMPUTED_VALUE"""),"-")</f>
        <v>-</v>
      </c>
      <c r="T1044" s="97" t="str">
        <f>IFERROR(__xludf.DUMMYFUNCTION("""COMPUTED_VALUE"""),"-")</f>
        <v>-</v>
      </c>
      <c r="U1044" s="97" t="str">
        <f>IFERROR(__xludf.DUMMYFUNCTION("""COMPUTED_VALUE"""),"-")</f>
        <v>-</v>
      </c>
      <c r="V1044" s="97" t="str">
        <f>IFERROR(__xludf.DUMMYFUNCTION("""COMPUTED_VALUE"""),"N/A")</f>
        <v>N/A</v>
      </c>
      <c r="W1044" s="97" t="str">
        <f>IFERROR(__xludf.DUMMYFUNCTION("""COMPUTED_VALUE"""),"N/A")</f>
        <v>N/A</v>
      </c>
      <c r="X1044" s="97" t="str">
        <f>IFERROR(__xludf.DUMMYFUNCTION("""COMPUTED_VALUE"""),"-")</f>
        <v>-</v>
      </c>
      <c r="Y1044" s="97" t="str">
        <f>IFERROR(__xludf.DUMMYFUNCTION("""COMPUTED_VALUE"""),"N/A")</f>
        <v>N/A</v>
      </c>
      <c r="Z1044" s="97" t="str">
        <f>IFERROR(__xludf.DUMMYFUNCTION("""COMPUTED_VALUE"""),"N/A")</f>
        <v>N/A</v>
      </c>
      <c r="AA1044" s="97" t="str">
        <f>IFERROR(__xludf.DUMMYFUNCTION("""COMPUTED_VALUE"""),"N/A")</f>
        <v>N/A</v>
      </c>
      <c r="AB1044" s="97" t="str">
        <f>IFERROR(__xludf.DUMMYFUNCTION("""COMPUTED_VALUE"""),"N/A")</f>
        <v>N/A</v>
      </c>
      <c r="AC1044" s="97" t="str">
        <f>IFERROR(__xludf.DUMMYFUNCTION("""COMPUTED_VALUE"""),"N/A")</f>
        <v>N/A</v>
      </c>
      <c r="AD1044" s="97" t="str">
        <f>IFERROR(__xludf.DUMMYFUNCTION("""COMPUTED_VALUE"""),"IP20")</f>
        <v>IP20</v>
      </c>
      <c r="AE1044" s="97" t="str">
        <f>IFERROR(__xludf.DUMMYFUNCTION("""COMPUTED_VALUE"""),"Clase l")</f>
        <v>Clase l</v>
      </c>
      <c r="AF1044" s="97" t="str">
        <f>IFERROR(__xludf.DUMMYFUNCTION("""COMPUTED_VALUE"""),"N/A")</f>
        <v>N/A</v>
      </c>
      <c r="AG1044" s="97" t="str">
        <f>IFERROR(__xludf.DUMMYFUNCTION("""COMPUTED_VALUE"""),"Cable y Tensor 2mts
Florón: Ø110 x 25")</f>
        <v>Cable y Tensor 2mts
Florón: Ø110 x 25</v>
      </c>
      <c r="AH1044" s="97" t="str">
        <f>IFERROR(__xludf.DUMMYFUNCTION("""COMPUTED_VALUE"""),"N/A")</f>
        <v>N/A</v>
      </c>
      <c r="AI1044" s="97" t="str">
        <f>IFERROR(__xludf.DUMMYFUNCTION("""COMPUTED_VALUE"""),"N/A")</f>
        <v>N/A</v>
      </c>
      <c r="AJ1044" s="97" t="str">
        <f>IFERROR(__xludf.DUMMYFUNCTION("""COMPUTED_VALUE"""),"N/A")</f>
        <v>N/A</v>
      </c>
      <c r="AK1044" s="97" t="str">
        <f>IFERROR(__xludf.DUMMYFUNCTION("""COMPUTED_VALUE"""),"Acero")</f>
        <v>Acero</v>
      </c>
      <c r="AL1044" s="97" t="str">
        <f>IFERROR(__xludf.DUMMYFUNCTION("""COMPUTED_VALUE"""),"Negro Satinado")</f>
        <v>Negro Satinado</v>
      </c>
      <c r="AM1044" s="97" t="str">
        <f>IFERROR(__xludf.DUMMYFUNCTION("""COMPUTED_VALUE"""),"-")</f>
        <v>-</v>
      </c>
      <c r="AN1044" s="97" t="str">
        <f>IFERROR(__xludf.DUMMYFUNCTION("""COMPUTED_VALUE"""),"N/A")</f>
        <v>N/A</v>
      </c>
      <c r="AO1044" s="97" t="str">
        <f>IFERROR(__xludf.DUMMYFUNCTION("""COMPUTED_VALUE"""),"2 Años")</f>
        <v>2 Años</v>
      </c>
      <c r="AP1044" s="97" t="str">
        <f>IFERROR(__xludf.DUMMYFUNCTION("""COMPUTED_VALUE"""),"No Aplica")</f>
        <v>No Aplica</v>
      </c>
      <c r="AQ1044" s="97" t="str">
        <f>IFERROR(__xludf.DUMMYFUNCTION("""COMPUTED_VALUE"""),"No Aplica")</f>
        <v>No Aplica</v>
      </c>
      <c r="AR1044" s="97" t="str">
        <f>IFERROR(__xludf.DUMMYFUNCTION("""COMPUTED_VALUE"""),"No Aplica")</f>
        <v>No Aplica</v>
      </c>
      <c r="AS1044" s="97"/>
      <c r="AT1044" s="97"/>
      <c r="AU1044" s="97" t="str">
        <f>IFERROR(__xludf.DUMMYFUNCTION("""COMPUTED_VALUE"""),"Falta")</f>
        <v>Falta</v>
      </c>
      <c r="AV1044" s="97" t="str">
        <f>IFERROR(__xludf.DUMMYFUNCTION("""COMPUTED_VALUE"""),"Accesorio")</f>
        <v>Accesorio</v>
      </c>
      <c r="AW1044" s="97" t="str">
        <f>IFERROR(__xludf.DUMMYFUNCTION("""COMPUTED_VALUE"""),"De Techo")</f>
        <v>De Techo</v>
      </c>
      <c r="AX1044" s="97" t="str">
        <f>IFERROR(__xludf.DUMMYFUNCTION("""COMPUTED_VALUE"""),"Interior")</f>
        <v>Interior</v>
      </c>
      <c r="AY1044" s="97" t="str">
        <f>IFERROR(__xludf.DUMMYFUNCTION("""COMPUTED_VALUE"""),"-")</f>
        <v>-</v>
      </c>
      <c r="AZ1044" s="97" t="str">
        <f>IFERROR(__xludf.DUMMYFUNCTION("""COMPUTED_VALUE"""),"Incluye: Cable, Tensores, Florón y Tornillos.")</f>
        <v>Incluye: Cable, Tensores, Florón y Tornillos.</v>
      </c>
      <c r="BA1044" s="97">
        <f>IFERROR(__xludf.DUMMYFUNCTION("""COMPUTED_VALUE"""),100.0)</f>
        <v>100</v>
      </c>
      <c r="BB1044" s="97" t="str">
        <f>IFERROR(__xludf.DUMMYFUNCTION("""COMPUTED_VALUE"""),"-")</f>
        <v>-</v>
      </c>
      <c r="BC1044" s="97" t="str">
        <f>IFERROR(__xludf.DUMMYFUNCTION("""COMPUTED_VALUE"""),"-")</f>
        <v>-</v>
      </c>
      <c r="BD1044" s="97" t="str">
        <f>IFERROR(__xludf.DUMMYFUNCTION("""COMPUTED_VALUE"""),"CITY")</f>
        <v>CITY</v>
      </c>
      <c r="BE1044" s="97" t="str">
        <f>IFERROR(__xludf.DUMMYFUNCTION("""COMPUTED_VALUE"""),"Finalizada")</f>
        <v>Finalizada</v>
      </c>
      <c r="BF1044" s="97"/>
      <c r="BG1044" s="97" t="str">
        <f>IFERROR(__xludf.DUMMYFUNCTION("""COMPUTED_VALUE"""),"Activo")</f>
        <v>Activo</v>
      </c>
    </row>
    <row r="1045">
      <c r="A1045" s="97">
        <f>IFERROR(__xludf.DUMMYFUNCTION("""COMPUTED_VALUE"""),6831.0)</f>
        <v>6831</v>
      </c>
      <c r="B1045" s="97" t="str">
        <f>IFERROR(__xludf.DUMMYFUNCTION("""COMPUTED_VALUE"""),"REN 30x60")</f>
        <v>REN 30x60</v>
      </c>
      <c r="C1045" s="97" t="str">
        <f>IFERROR(__xludf.DUMMYFUNCTION("""COMPUTED_VALUE"""),"EMPOTRABLE REN 30X60 50W 2700~6500K 2460LM CRI&gt;90 IP20/IK04 LEUK")</f>
        <v>EMPOTRABLE REN 30X60 50W 2700~6500K 2460LM CRI&gt;90 IP20/IK04 LEUK</v>
      </c>
      <c r="D1045" s="97">
        <f>IFERROR(__xludf.DUMMYFUNCTION("""COMPUTED_VALUE"""),7.798413225105E12)</f>
        <v>7798413225105</v>
      </c>
      <c r="E1045" s="97" t="str">
        <f>IFERROR(__xludf.DUMMYFUNCTION("""COMPUTED_VALUE"""),"F13")</f>
        <v>F13</v>
      </c>
      <c r="F1045" s="97" t="str">
        <f>IFERROR(__xludf.DUMMYFUNCTION("""COMPUTED_VALUE"""),"LED integrado")</f>
        <v>LED integrado</v>
      </c>
      <c r="G1045" s="97" t="str">
        <f>IFERROR(__xludf.DUMMYFUNCTION("""COMPUTED_VALUE"""),"-")</f>
        <v>-</v>
      </c>
      <c r="H1045" s="97" t="str">
        <f>IFERROR(__xludf.DUMMYFUNCTION("""COMPUTED_VALUE"""),"-")</f>
        <v>-</v>
      </c>
      <c r="I1045" s="97" t="str">
        <f>IFERROR(__xludf.DUMMYFUNCTION("""COMPUTED_VALUE"""),"Si")</f>
        <v>Si</v>
      </c>
      <c r="J1045" s="97" t="str">
        <f>IFERROR(__xludf.DUMMYFUNCTION("""COMPUTED_VALUE"""),"Modelo: SF-FHP-3050CE-CBUIS
In: 200-265Vac 50/60Hz
Out: 106-165Vdc 350mA Ta 45°C Tc 85°C
SmartHome Wifi, Tuya, BlueTooth")</f>
        <v>Modelo: SF-FHP-3050CE-CBUIS
In: 200-265Vac 50/60Hz
Out: 106-165Vdc 350mA Ta 45°C Tc 85°C
SmartHome Wifi, Tuya, BlueTooth</v>
      </c>
      <c r="K1045" s="97" t="str">
        <f>IFERROR(__xludf.DUMMYFUNCTION("""COMPUTED_VALUE"""),"Smart / App")</f>
        <v>Smart / App</v>
      </c>
      <c r="L1045" s="97" t="str">
        <f>IFERROR(__xludf.DUMMYFUNCTION("""COMPUTED_VALUE"""),"200-240")</f>
        <v>200-240</v>
      </c>
      <c r="M1045" s="97" t="str">
        <f>IFERROR(__xludf.DUMMYFUNCTION("""COMPUTED_VALUE"""),"50/60")</f>
        <v>50/60</v>
      </c>
      <c r="N1045" s="97" t="str">
        <f>IFERROR(__xludf.DUMMYFUNCTION("""COMPUTED_VALUE"""),"Directa-Asimétrica")</f>
        <v>Directa-Asimétrica</v>
      </c>
      <c r="O1045" s="97">
        <f>IFERROR(__xludf.DUMMYFUNCTION("""COMPUTED_VALUE"""),50.0)</f>
        <v>50</v>
      </c>
      <c r="P1045" s="97"/>
      <c r="Q1045" s="97">
        <f>IFERROR(__xludf.DUMMYFUNCTION("""COMPUTED_VALUE"""),0.95)</f>
        <v>0.95</v>
      </c>
      <c r="R1045" s="97" t="str">
        <f>IFERROR(__xludf.DUMMYFUNCTION("""COMPUTED_VALUE"""),"-")</f>
        <v>-</v>
      </c>
      <c r="S1045" s="97" t="str">
        <f>IFERROR(__xludf.DUMMYFUNCTION("""COMPUTED_VALUE"""),"-")</f>
        <v>-</v>
      </c>
      <c r="T1045" s="97">
        <f>IFERROR(__xludf.DUMMYFUNCTION("""COMPUTED_VALUE"""),2460.0)</f>
        <v>2460</v>
      </c>
      <c r="U1045" s="99">
        <f>IFERROR(__xludf.DUMMYFUNCTION("""COMPUTED_VALUE"""),49.2)</f>
        <v>49.2</v>
      </c>
      <c r="V1045" s="97">
        <f>IFERROR(__xludf.DUMMYFUNCTION("""COMPUTED_VALUE"""),190.0)</f>
        <v>190</v>
      </c>
      <c r="W1045" s="97" t="str">
        <f>IFERROR(__xludf.DUMMYFUNCTION("""COMPUTED_VALUE"""),"&lt; 16")</f>
        <v>&lt; 16</v>
      </c>
      <c r="X1045" s="97" t="str">
        <f>IFERROR(__xludf.DUMMYFUNCTION("""COMPUTED_VALUE"""),"2700~6500")</f>
        <v>2700~6500</v>
      </c>
      <c r="Y1045" s="97" t="str">
        <f>IFERROR(__xludf.DUMMYFUNCTION("""COMPUTED_VALUE"""),"&gt;90")</f>
        <v>&gt;90</v>
      </c>
      <c r="Z1045" s="97"/>
      <c r="AA1045" s="97"/>
      <c r="AB1045" s="97" t="str">
        <f>IFERROR(__xludf.DUMMYFUNCTION("""COMPUTED_VALUE"""),"&lt; 4")</f>
        <v>&lt; 4</v>
      </c>
      <c r="AC1045" s="97"/>
      <c r="AD1045" s="97" t="str">
        <f>IFERROR(__xludf.DUMMYFUNCTION("""COMPUTED_VALUE"""),"IP20/IK04")</f>
        <v>IP20/IK04</v>
      </c>
      <c r="AE1045" s="97" t="str">
        <f>IFERROR(__xludf.DUMMYFUNCTION("""COMPUTED_VALUE"""),"Clase l")</f>
        <v>Clase l</v>
      </c>
      <c r="AF1045" s="97" t="str">
        <f>IFERROR(__xludf.DUMMYFUNCTION("""COMPUTED_VALUE"""),"Embutir")</f>
        <v>Embutir</v>
      </c>
      <c r="AG1045" s="97" t="str">
        <f>IFERROR(__xludf.DUMMYFUNCTION("""COMPUTED_VALUE"""),"596 x 361 (frente 295) x 190")</f>
        <v>596 x 361 (frente 295) x 190</v>
      </c>
      <c r="AH1045" s="97" t="str">
        <f>IFERROR(__xludf.DUMMYFUNCTION("""COMPUTED_VALUE"""),"280 x 580")</f>
        <v>280 x 580</v>
      </c>
      <c r="AI1045" s="97">
        <f>IFERROR(__xludf.DUMMYFUNCTION("""COMPUTED_VALUE"""),220.0)</f>
        <v>220</v>
      </c>
      <c r="AJ1045" s="97" t="str">
        <f>IFERROR(__xludf.DUMMYFUNCTION("""COMPUTED_VALUE"""),"PMMA")</f>
        <v>PMMA</v>
      </c>
      <c r="AK1045" s="97" t="str">
        <f>IFERROR(__xludf.DUMMYFUNCTION("""COMPUTED_VALUE"""),"Aluminio y Acero")</f>
        <v>Aluminio y Acero</v>
      </c>
      <c r="AL1045" s="97" t="str">
        <f>IFERROR(__xludf.DUMMYFUNCTION("""COMPUTED_VALUE"""),"Blanco Satinado")</f>
        <v>Blanco Satinado</v>
      </c>
      <c r="AM1045" s="97" t="str">
        <f>IFERROR(__xludf.DUMMYFUNCTION("""COMPUTED_VALUE"""),"-10℃ a 40℃")</f>
        <v>-10℃ a 40℃</v>
      </c>
      <c r="AN1045" s="97" t="str">
        <f>IFERROR(__xludf.DUMMYFUNCTION("""COMPUTED_VALUE"""),"50.000hs (L90)")</f>
        <v>50.000hs (L90)</v>
      </c>
      <c r="AO1045" s="97" t="str">
        <f>IFERROR(__xludf.DUMMYFUNCTION("""COMPUTED_VALUE"""),"4 Años")</f>
        <v>4 Años</v>
      </c>
      <c r="AP1045" s="97" t="str">
        <f>IFERROR(__xludf.DUMMYFUNCTION("""COMPUTED_VALUE"""),"Disponible")</f>
        <v>Disponible</v>
      </c>
      <c r="AQ1045" s="97" t="str">
        <f>IFERROR(__xludf.DUMMYFUNCTION("""COMPUTED_VALUE"""),"Disponible")</f>
        <v>Disponible</v>
      </c>
      <c r="AR1045" s="97" t="str">
        <f>IFERROR(__xludf.DUMMYFUNCTION("""COMPUTED_VALUE"""),"Disponible")</f>
        <v>Disponible</v>
      </c>
      <c r="AS1045" s="97"/>
      <c r="AT1045" s="97"/>
      <c r="AU1045" s="97" t="str">
        <f>IFERROR(__xludf.DUMMYFUNCTION("""COMPUTED_VALUE"""),"Falta")</f>
        <v>Falta</v>
      </c>
      <c r="AV1045" s="97" t="str">
        <f>IFERROR(__xludf.DUMMYFUNCTION("""COMPUTED_VALUE"""),"Empotrable")</f>
        <v>Empotrable</v>
      </c>
      <c r="AW1045" s="97" t="str">
        <f>IFERROR(__xludf.DUMMYFUNCTION("""COMPUTED_VALUE"""),"De Techo")</f>
        <v>De Techo</v>
      </c>
      <c r="AX1045" s="97" t="str">
        <f>IFERROR(__xludf.DUMMYFUNCTION("""COMPUTED_VALUE"""),"Interior")</f>
        <v>Interior</v>
      </c>
      <c r="AY1045" s="97" t="str">
        <f>IFERROR(__xludf.DUMMYFUNCTION("""COMPUTED_VALUE"""),"Cielo")</f>
        <v>Cielo</v>
      </c>
      <c r="AZ1045" s="97" t="str">
        <f>IFERROR(__xludf.DUMMYFUNCTION("""COMPUTED_VALUE"""),"Efecto cielo. Dimeriza. Wifi c/app Tuya blanco dinamico con ciclo circadiano.
*Bañador de pared: Haz primario de 30° con inclinación a 38°, generando una distribución amplia sobre el plano vertical.")</f>
        <v>Efecto cielo. Dimeriza. Wifi c/app Tuya blanco dinamico con ciclo circadiano.
*Bañador de pared: Haz primario de 30° con inclinación a 38°, generando una distribución amplia sobre el plano vertical.</v>
      </c>
      <c r="BA1045" s="97">
        <f>IFERROR(__xludf.DUMMYFUNCTION("""COMPUTED_VALUE"""),1.0)</f>
        <v>1</v>
      </c>
      <c r="BB1045" s="97">
        <f>IFERROR(__xludf.DUMMYFUNCTION("""COMPUTED_VALUE"""),3.0)</f>
        <v>3</v>
      </c>
      <c r="BC1045" s="97">
        <f>IFERROR(__xludf.DUMMYFUNCTION("""COMPUTED_VALUE"""),4.0)</f>
        <v>4</v>
      </c>
      <c r="BD1045" s="97" t="str">
        <f>IFERROR(__xludf.DUMMYFUNCTION("""COMPUTED_VALUE"""),"REN")</f>
        <v>REN</v>
      </c>
      <c r="BE1045" s="97" t="str">
        <f>IFERROR(__xludf.DUMMYFUNCTION("""COMPUTED_VALUE"""),"Finalizada")</f>
        <v>Finalizada</v>
      </c>
      <c r="BF1045" s="97"/>
      <c r="BG1045" s="97" t="str">
        <f>IFERROR(__xludf.DUMMYFUNCTION("""COMPUTED_VALUE"""),"Activo")</f>
        <v>Activo</v>
      </c>
    </row>
    <row r="1046">
      <c r="A1046" s="97">
        <f>IFERROR(__xludf.DUMMYFUNCTION("""COMPUTED_VALUE"""),6832.0)</f>
        <v>6832</v>
      </c>
      <c r="B1046" s="97" t="str">
        <f>IFERROR(__xludf.DUMMYFUNCTION("""COMPUTED_VALUE"""),"REN 30x120")</f>
        <v>REN 30x120</v>
      </c>
      <c r="C1046" s="97" t="str">
        <f>IFERROR(__xludf.DUMMYFUNCTION("""COMPUTED_VALUE"""),"EMPOTRABLE REN 30X120 100W 2700~6500K 4630LM CRI&gt;90 IP20/IK04 LEUK")</f>
        <v>EMPOTRABLE REN 30X120 100W 2700~6500K 4630LM CRI&gt;90 IP20/IK04 LEUK</v>
      </c>
      <c r="D1046" s="97">
        <f>IFERROR(__xludf.DUMMYFUNCTION("""COMPUTED_VALUE"""),7.798413225112E12)</f>
        <v>7798413225112</v>
      </c>
      <c r="E1046" s="97" t="str">
        <f>IFERROR(__xludf.DUMMYFUNCTION("""COMPUTED_VALUE"""),"F02")</f>
        <v>F02</v>
      </c>
      <c r="F1046" s="97" t="str">
        <f>IFERROR(__xludf.DUMMYFUNCTION("""COMPUTED_VALUE"""),"LED integrado")</f>
        <v>LED integrado</v>
      </c>
      <c r="G1046" s="97" t="str">
        <f>IFERROR(__xludf.DUMMYFUNCTION("""COMPUTED_VALUE"""),"-")</f>
        <v>-</v>
      </c>
      <c r="H1046" s="97" t="str">
        <f>IFERROR(__xludf.DUMMYFUNCTION("""COMPUTED_VALUE"""),"-")</f>
        <v>-</v>
      </c>
      <c r="I1046" s="97" t="str">
        <f>IFERROR(__xludf.DUMMYFUNCTION("""COMPUTED_VALUE"""),"Si")</f>
        <v>Si</v>
      </c>
      <c r="J1046" s="97"/>
      <c r="K1046" s="97" t="str">
        <f>IFERROR(__xludf.DUMMYFUNCTION("""COMPUTED_VALUE"""),"Smart / App")</f>
        <v>Smart / App</v>
      </c>
      <c r="L1046" s="97" t="str">
        <f>IFERROR(__xludf.DUMMYFUNCTION("""COMPUTED_VALUE"""),"200-240")</f>
        <v>200-240</v>
      </c>
      <c r="M1046" s="97" t="str">
        <f>IFERROR(__xludf.DUMMYFUNCTION("""COMPUTED_VALUE"""),"50/60")</f>
        <v>50/60</v>
      </c>
      <c r="N1046" s="97" t="str">
        <f>IFERROR(__xludf.DUMMYFUNCTION("""COMPUTED_VALUE"""),"Directa-Asimétrica")</f>
        <v>Directa-Asimétrica</v>
      </c>
      <c r="O1046" s="97">
        <f>IFERROR(__xludf.DUMMYFUNCTION("""COMPUTED_VALUE"""),100.0)</f>
        <v>100</v>
      </c>
      <c r="P1046" s="97"/>
      <c r="Q1046" s="97">
        <f>IFERROR(__xludf.DUMMYFUNCTION("""COMPUTED_VALUE"""),0.95)</f>
        <v>0.95</v>
      </c>
      <c r="R1046" s="97" t="str">
        <f>IFERROR(__xludf.DUMMYFUNCTION("""COMPUTED_VALUE"""),"-")</f>
        <v>-</v>
      </c>
      <c r="S1046" s="97" t="str">
        <f>IFERROR(__xludf.DUMMYFUNCTION("""COMPUTED_VALUE"""),"-")</f>
        <v>-</v>
      </c>
      <c r="T1046" s="97">
        <f>IFERROR(__xludf.DUMMYFUNCTION("""COMPUTED_VALUE"""),4630.0)</f>
        <v>4630</v>
      </c>
      <c r="U1046" s="99">
        <f>IFERROR(__xludf.DUMMYFUNCTION("""COMPUTED_VALUE"""),46.3)</f>
        <v>46.3</v>
      </c>
      <c r="V1046" s="97">
        <f>IFERROR(__xludf.DUMMYFUNCTION("""COMPUTED_VALUE"""),190.0)</f>
        <v>190</v>
      </c>
      <c r="W1046" s="97" t="str">
        <f>IFERROR(__xludf.DUMMYFUNCTION("""COMPUTED_VALUE"""),"&lt; 16")</f>
        <v>&lt; 16</v>
      </c>
      <c r="X1046" s="97" t="str">
        <f>IFERROR(__xludf.DUMMYFUNCTION("""COMPUTED_VALUE"""),"2700~6500")</f>
        <v>2700~6500</v>
      </c>
      <c r="Y1046" s="97" t="str">
        <f>IFERROR(__xludf.DUMMYFUNCTION("""COMPUTED_VALUE"""),"&gt;90")</f>
        <v>&gt;90</v>
      </c>
      <c r="Z1046" s="97"/>
      <c r="AA1046" s="97"/>
      <c r="AB1046" s="97" t="str">
        <f>IFERROR(__xludf.DUMMYFUNCTION("""COMPUTED_VALUE"""),"&lt; 4")</f>
        <v>&lt; 4</v>
      </c>
      <c r="AC1046" s="97"/>
      <c r="AD1046" s="97" t="str">
        <f>IFERROR(__xludf.DUMMYFUNCTION("""COMPUTED_VALUE"""),"IP20/IK04")</f>
        <v>IP20/IK04</v>
      </c>
      <c r="AE1046" s="97" t="str">
        <f>IFERROR(__xludf.DUMMYFUNCTION("""COMPUTED_VALUE"""),"Clase l")</f>
        <v>Clase l</v>
      </c>
      <c r="AF1046" s="97" t="str">
        <f>IFERROR(__xludf.DUMMYFUNCTION("""COMPUTED_VALUE"""),"Embutir")</f>
        <v>Embutir</v>
      </c>
      <c r="AG1046" s="97" t="str">
        <f>IFERROR(__xludf.DUMMYFUNCTION("""COMPUTED_VALUE"""),"1196 x 361 (frente 295) x 190")</f>
        <v>1196 x 361 (frente 295) x 190</v>
      </c>
      <c r="AH1046" s="97" t="str">
        <f>IFERROR(__xludf.DUMMYFUNCTION("""COMPUTED_VALUE"""),"280 x 1180")</f>
        <v>280 x 1180</v>
      </c>
      <c r="AI1046" s="97">
        <f>IFERROR(__xludf.DUMMYFUNCTION("""COMPUTED_VALUE"""),220.0)</f>
        <v>220</v>
      </c>
      <c r="AJ1046" s="97" t="str">
        <f>IFERROR(__xludf.DUMMYFUNCTION("""COMPUTED_VALUE"""),"PMMA")</f>
        <v>PMMA</v>
      </c>
      <c r="AK1046" s="97" t="str">
        <f>IFERROR(__xludf.DUMMYFUNCTION("""COMPUTED_VALUE"""),"Aluminio y Acero")</f>
        <v>Aluminio y Acero</v>
      </c>
      <c r="AL1046" s="97" t="str">
        <f>IFERROR(__xludf.DUMMYFUNCTION("""COMPUTED_VALUE"""),"Blanco Satinado")</f>
        <v>Blanco Satinado</v>
      </c>
      <c r="AM1046" s="97" t="str">
        <f>IFERROR(__xludf.DUMMYFUNCTION("""COMPUTED_VALUE"""),"-10℃ a 40℃")</f>
        <v>-10℃ a 40℃</v>
      </c>
      <c r="AN1046" s="97" t="str">
        <f>IFERROR(__xludf.DUMMYFUNCTION("""COMPUTED_VALUE"""),"50.000hs (L90)")</f>
        <v>50.000hs (L90)</v>
      </c>
      <c r="AO1046" s="97" t="str">
        <f>IFERROR(__xludf.DUMMYFUNCTION("""COMPUTED_VALUE"""),"4 Años")</f>
        <v>4 Años</v>
      </c>
      <c r="AP1046" s="97" t="str">
        <f>IFERROR(__xludf.DUMMYFUNCTION("""COMPUTED_VALUE"""),"Disponible")</f>
        <v>Disponible</v>
      </c>
      <c r="AQ1046" s="97" t="str">
        <f>IFERROR(__xludf.DUMMYFUNCTION("""COMPUTED_VALUE"""),"Disponible")</f>
        <v>Disponible</v>
      </c>
      <c r="AR1046" s="97" t="str">
        <f>IFERROR(__xludf.DUMMYFUNCTION("""COMPUTED_VALUE"""),"Disponible")</f>
        <v>Disponible</v>
      </c>
      <c r="AS1046" s="97"/>
      <c r="AT1046" s="97"/>
      <c r="AU1046" s="97" t="str">
        <f>IFERROR(__xludf.DUMMYFUNCTION("""COMPUTED_VALUE"""),"Falta")</f>
        <v>Falta</v>
      </c>
      <c r="AV1046" s="97" t="str">
        <f>IFERROR(__xludf.DUMMYFUNCTION("""COMPUTED_VALUE"""),"Empotrable")</f>
        <v>Empotrable</v>
      </c>
      <c r="AW1046" s="97" t="str">
        <f>IFERROR(__xludf.DUMMYFUNCTION("""COMPUTED_VALUE"""),"De Techo")</f>
        <v>De Techo</v>
      </c>
      <c r="AX1046" s="97" t="str">
        <f>IFERROR(__xludf.DUMMYFUNCTION("""COMPUTED_VALUE"""),"Interior")</f>
        <v>Interior</v>
      </c>
      <c r="AY1046" s="97" t="str">
        <f>IFERROR(__xludf.DUMMYFUNCTION("""COMPUTED_VALUE"""),"Cielo")</f>
        <v>Cielo</v>
      </c>
      <c r="AZ1046" s="97" t="str">
        <f>IFERROR(__xludf.DUMMYFUNCTION("""COMPUTED_VALUE"""),"Efecto cielo. Dimeriza. Wifi c/app Tuya blanco dinamico con ciclo circadiano.
*Bañador de pared: Haz primario de 30° con inclinación a 38°, generando una distribución amplia sobre el plano vertical.")</f>
        <v>Efecto cielo. Dimeriza. Wifi c/app Tuya blanco dinamico con ciclo circadiano.
*Bañador de pared: Haz primario de 30° con inclinación a 38°, generando una distribución amplia sobre el plano vertical.</v>
      </c>
      <c r="BA1046" s="97">
        <f>IFERROR(__xludf.DUMMYFUNCTION("""COMPUTED_VALUE"""),1.0)</f>
        <v>1</v>
      </c>
      <c r="BB1046" s="97">
        <f>IFERROR(__xludf.DUMMYFUNCTION("""COMPUTED_VALUE"""),5.8)</f>
        <v>5.8</v>
      </c>
      <c r="BC1046" s="97">
        <f>IFERROR(__xludf.DUMMYFUNCTION("""COMPUTED_VALUE"""),7.6)</f>
        <v>7.6</v>
      </c>
      <c r="BD1046" s="97" t="str">
        <f>IFERROR(__xludf.DUMMYFUNCTION("""COMPUTED_VALUE"""),"REN")</f>
        <v>REN</v>
      </c>
      <c r="BE1046" s="97" t="str">
        <f>IFERROR(__xludf.DUMMYFUNCTION("""COMPUTED_VALUE"""),"Finalizada")</f>
        <v>Finalizada</v>
      </c>
      <c r="BF1046" s="97"/>
      <c r="BG1046" s="97" t="str">
        <f>IFERROR(__xludf.DUMMYFUNCTION("""COMPUTED_VALUE"""),"Activo")</f>
        <v>Activo</v>
      </c>
    </row>
    <row r="1047">
      <c r="A1047" s="97">
        <f>IFERROR(__xludf.DUMMYFUNCTION("""COMPUTED_VALUE"""),6833.0)</f>
        <v>6833</v>
      </c>
      <c r="B1047" s="97" t="str">
        <f>IFERROR(__xludf.DUMMYFUNCTION("""COMPUTED_VALUE"""),"URBAN")</f>
        <v>URBAN</v>
      </c>
      <c r="C1047" s="97" t="str">
        <f>IFERROR(__xludf.DUMMYFUNCTION("""COMPUTED_VALUE"""),"PANEL URBAN 3CCT LEUK")</f>
        <v>PANEL URBAN 3CCT LEUK</v>
      </c>
      <c r="D1047" s="97">
        <f>IFERROR(__xludf.DUMMYFUNCTION("""COMPUTED_VALUE"""),7.798413225129E12)</f>
        <v>7798413225129</v>
      </c>
      <c r="E1047" s="97" t="str">
        <f>IFERROR(__xludf.DUMMYFUNCTION("""COMPUTED_VALUE"""),"i8")</f>
        <v>i8</v>
      </c>
      <c r="F1047" s="97" t="str">
        <f>IFERROR(__xludf.DUMMYFUNCTION("""COMPUTED_VALUE"""),"LED integrado")</f>
        <v>LED integrado</v>
      </c>
      <c r="G1047" s="97" t="str">
        <f>IFERROR(__xludf.DUMMYFUNCTION("""COMPUTED_VALUE"""),"-")</f>
        <v>-</v>
      </c>
      <c r="H1047" s="97" t="str">
        <f>IFERROR(__xludf.DUMMYFUNCTION("""COMPUTED_VALUE"""),"-")</f>
        <v>-</v>
      </c>
      <c r="I1047" s="97"/>
      <c r="J1047" s="97"/>
      <c r="K1047" s="97" t="str">
        <f>IFERROR(__xludf.DUMMYFUNCTION("""COMPUTED_VALUE"""),"Smart / App")</f>
        <v>Smart / App</v>
      </c>
      <c r="L1047" s="97" t="str">
        <f>IFERROR(__xludf.DUMMYFUNCTION("""COMPUTED_VALUE"""),"200-240")</f>
        <v>200-240</v>
      </c>
      <c r="M1047" s="97" t="str">
        <f>IFERROR(__xludf.DUMMYFUNCTION("""COMPUTED_VALUE"""),"50/60")</f>
        <v>50/60</v>
      </c>
      <c r="N1047" s="97"/>
      <c r="O1047" s="97">
        <f>IFERROR(__xludf.DUMMYFUNCTION("""COMPUTED_VALUE"""),48.0)</f>
        <v>48</v>
      </c>
      <c r="P1047" s="97"/>
      <c r="Q1047" s="97">
        <f>IFERROR(__xludf.DUMMYFUNCTION("""COMPUTED_VALUE"""),0.95)</f>
        <v>0.95</v>
      </c>
      <c r="R1047" s="97" t="str">
        <f>IFERROR(__xludf.DUMMYFUNCTION("""COMPUTED_VALUE"""),"-")</f>
        <v>-</v>
      </c>
      <c r="S1047" s="97" t="str">
        <f>IFERROR(__xludf.DUMMYFUNCTION("""COMPUTED_VALUE"""),"-")</f>
        <v>-</v>
      </c>
      <c r="T1047" s="97">
        <f>IFERROR(__xludf.DUMMYFUNCTION("""COMPUTED_VALUE"""),3410.0)</f>
        <v>3410</v>
      </c>
      <c r="U1047" s="99">
        <f>IFERROR(__xludf.DUMMYFUNCTION("""COMPUTED_VALUE"""),71.04166666666667)</f>
        <v>71.04166667</v>
      </c>
      <c r="V1047" s="97">
        <f>IFERROR(__xludf.DUMMYFUNCTION("""COMPUTED_VALUE"""),55.0)</f>
        <v>55</v>
      </c>
      <c r="W1047" s="97" t="str">
        <f>IFERROR(__xludf.DUMMYFUNCTION("""COMPUTED_VALUE"""),"&lt; 16")</f>
        <v>&lt; 16</v>
      </c>
      <c r="X1047" s="97" t="str">
        <f>IFERROR(__xludf.DUMMYFUNCTION("""COMPUTED_VALUE"""),"2700~6500")</f>
        <v>2700~6500</v>
      </c>
      <c r="Y1047" s="97" t="str">
        <f>IFERROR(__xludf.DUMMYFUNCTION("""COMPUTED_VALUE"""),"&gt;90")</f>
        <v>&gt;90</v>
      </c>
      <c r="Z1047" s="97" t="str">
        <f>IFERROR(__xludf.DUMMYFUNCTION("""COMPUTED_VALUE"""),"-")</f>
        <v>-</v>
      </c>
      <c r="AA1047" s="97" t="str">
        <f>IFERROR(__xludf.DUMMYFUNCTION("""COMPUTED_VALUE"""),"-")</f>
        <v>-</v>
      </c>
      <c r="AB1047" s="97" t="str">
        <f>IFERROR(__xludf.DUMMYFUNCTION("""COMPUTED_VALUE"""),"-")</f>
        <v>-</v>
      </c>
      <c r="AC1047" s="97"/>
      <c r="AD1047" s="97" t="str">
        <f>IFERROR(__xludf.DUMMYFUNCTION("""COMPUTED_VALUE"""),"IP20/IK04")</f>
        <v>IP20/IK04</v>
      </c>
      <c r="AE1047" s="97" t="str">
        <f>IFERROR(__xludf.DUMMYFUNCTION("""COMPUTED_VALUE"""),"Clase l")</f>
        <v>Clase l</v>
      </c>
      <c r="AF1047" s="97" t="str">
        <f>IFERROR(__xludf.DUMMYFUNCTION("""COMPUTED_VALUE"""),"Suspender")</f>
        <v>Suspender</v>
      </c>
      <c r="AG1047" s="97" t="str">
        <f>IFERROR(__xludf.DUMMYFUNCTION("""COMPUTED_VALUE"""),"75 x 95 x 1200 (Ancho x Alto x Largo)")</f>
        <v>75 x 95 x 1200 (Ancho x Alto x Largo)</v>
      </c>
      <c r="AH1047" s="97" t="str">
        <f>IFERROR(__xludf.DUMMYFUNCTION("""COMPUTED_VALUE"""),"N/A")</f>
        <v>N/A</v>
      </c>
      <c r="AI1047" s="97" t="str">
        <f>IFERROR(__xludf.DUMMYFUNCTION("""COMPUTED_VALUE"""),"N/A")</f>
        <v>N/A</v>
      </c>
      <c r="AJ1047" s="97" t="str">
        <f>IFERROR(__xludf.DUMMYFUNCTION("""COMPUTED_VALUE"""),"PMMA")</f>
        <v>PMMA</v>
      </c>
      <c r="AK1047" s="97" t="str">
        <f>IFERROR(__xludf.DUMMYFUNCTION("""COMPUTED_VALUE"""),"Aluminio y Acero")</f>
        <v>Aluminio y Acero</v>
      </c>
      <c r="AL1047" s="97" t="str">
        <f>IFERROR(__xludf.DUMMYFUNCTION("""COMPUTED_VALUE"""),"Blanco Satinado")</f>
        <v>Blanco Satinado</v>
      </c>
      <c r="AM1047" s="97" t="str">
        <f>IFERROR(__xludf.DUMMYFUNCTION("""COMPUTED_VALUE"""),"-10℃ a 40℃")</f>
        <v>-10℃ a 40℃</v>
      </c>
      <c r="AN1047" s="97" t="str">
        <f>IFERROR(__xludf.DUMMYFUNCTION("""COMPUTED_VALUE"""),"50.000hs (L90)")</f>
        <v>50.000hs (L90)</v>
      </c>
      <c r="AO1047" s="97" t="str">
        <f>IFERROR(__xludf.DUMMYFUNCTION("""COMPUTED_VALUE"""),"4 Años")</f>
        <v>4 Años</v>
      </c>
      <c r="AP1047" s="97" t="str">
        <f>IFERROR(__xludf.DUMMYFUNCTION("""COMPUTED_VALUE"""),"Disponible")</f>
        <v>Disponible</v>
      </c>
      <c r="AQ1047" s="97" t="str">
        <f>IFERROR(__xludf.DUMMYFUNCTION("""COMPUTED_VALUE"""),"Disponible")</f>
        <v>Disponible</v>
      </c>
      <c r="AR1047" s="97" t="str">
        <f>IFERROR(__xludf.DUMMYFUNCTION("""COMPUTED_VALUE"""),"Disponible")</f>
        <v>Disponible</v>
      </c>
      <c r="AS1047" s="97"/>
      <c r="AT1047" s="97"/>
      <c r="AU1047" s="97" t="str">
        <f>IFERROR(__xludf.DUMMYFUNCTION("""COMPUTED_VALUE"""),"En revisión")</f>
        <v>En revisión</v>
      </c>
      <c r="AV1047" s="97" t="str">
        <f>IFERROR(__xludf.DUMMYFUNCTION("""COMPUTED_VALUE"""),"Colgante")</f>
        <v>Colgante</v>
      </c>
      <c r="AW1047" s="97" t="str">
        <f>IFERROR(__xludf.DUMMYFUNCTION("""COMPUTED_VALUE"""),"De Techo")</f>
        <v>De Techo</v>
      </c>
      <c r="AX1047" s="97" t="str">
        <f>IFERROR(__xludf.DUMMYFUNCTION("""COMPUTED_VALUE"""),"Interior")</f>
        <v>Interior</v>
      </c>
      <c r="AY1047" s="97"/>
      <c r="AZ1047" s="97" t="str">
        <f>IFERROR(__xludf.DUMMYFUNCTION("""COMPUTED_VALUE"""),"Efecto cielo. Wifi c/app Tuya blanco dinamico con ciclo circadiano. Dimeriza. Incluye Florón de Ø120x25mm y sus tensores de 2mts.")</f>
        <v>Efecto cielo. Wifi c/app Tuya blanco dinamico con ciclo circadiano. Dimeriza. Incluye Florón de Ø120x25mm y sus tensores de 2mts.</v>
      </c>
      <c r="BA1047" s="97">
        <f>IFERROR(__xludf.DUMMYFUNCTION("""COMPUTED_VALUE"""),4.0)</f>
        <v>4</v>
      </c>
      <c r="BB1047" s="97">
        <f>IFERROR(__xludf.DUMMYFUNCTION("""COMPUTED_VALUE"""),4.875)</f>
        <v>4.875</v>
      </c>
      <c r="BC1047" s="97">
        <f>IFERROR(__xludf.DUMMYFUNCTION("""COMPUTED_VALUE"""),21.0)</f>
        <v>21</v>
      </c>
      <c r="BD1047" s="97" t="str">
        <f>IFERROR(__xludf.DUMMYFUNCTION("""COMPUTED_VALUE"""),"URBAN")</f>
        <v>URBAN</v>
      </c>
      <c r="BE1047" s="97" t="str">
        <f>IFERROR(__xludf.DUMMYFUNCTION("""COMPUTED_VALUE"""),"Sin Ficha")</f>
        <v>Sin Ficha</v>
      </c>
      <c r="BF1047" s="97"/>
      <c r="BG1047" s="97" t="str">
        <f>IFERROR(__xludf.DUMMYFUNCTION("""COMPUTED_VALUE"""),"Discontinuo")</f>
        <v>Discontinuo</v>
      </c>
    </row>
    <row r="1048">
      <c r="A1048" s="97">
        <f>IFERROR(__xludf.DUMMYFUNCTION("""COMPUTED_VALUE"""),6834.0)</f>
        <v>6834</v>
      </c>
      <c r="B1048" s="97" t="str">
        <f>IFERROR(__xludf.DUMMYFUNCTION("""COMPUTED_VALUE"""),"SUN 60x60")</f>
        <v>SUN 60x60</v>
      </c>
      <c r="C1048" s="97" t="str">
        <f>IFERROR(__xludf.DUMMYFUNCTION("""COMPUTED_VALUE"""),"EMPOTRABLE SUN 60X60 90W 6000K 5430LM CRI&gt;80 IP20/IK02 LEUK")</f>
        <v>EMPOTRABLE SUN 60X60 90W 6000K 5430LM CRI&gt;80 IP20/IK02 LEUK</v>
      </c>
      <c r="D1048" s="97">
        <f>IFERROR(__xludf.DUMMYFUNCTION("""COMPUTED_VALUE"""),7.798413225136E12)</f>
        <v>7798413225136</v>
      </c>
      <c r="E1048" s="97" t="str">
        <f>IFERROR(__xludf.DUMMYFUNCTION("""COMPUTED_VALUE"""),"F03")</f>
        <v>F03</v>
      </c>
      <c r="F1048" s="97" t="str">
        <f>IFERROR(__xludf.DUMMYFUNCTION("""COMPUTED_VALUE"""),"LED COB")</f>
        <v>LED COB</v>
      </c>
      <c r="G1048" s="97" t="str">
        <f>IFERROR(__xludf.DUMMYFUNCTION("""COMPUTED_VALUE"""),"-")</f>
        <v>-</v>
      </c>
      <c r="H1048" s="97" t="str">
        <f>IFERROR(__xludf.DUMMYFUNCTION("""COMPUTED_VALUE"""),"-")</f>
        <v>-</v>
      </c>
      <c r="I1048" s="97" t="str">
        <f>IFERROR(__xludf.DUMMYFUNCTION("""COMPUTED_VALUE"""),"Si")</f>
        <v>Si</v>
      </c>
      <c r="J1048" s="97"/>
      <c r="K1048" s="97" t="str">
        <f>IFERROR(__xludf.DUMMYFUNCTION("""COMPUTED_VALUE"""),"ON/OFF")</f>
        <v>ON/OFF</v>
      </c>
      <c r="L1048" s="97" t="str">
        <f>IFERROR(__xludf.DUMMYFUNCTION("""COMPUTED_VALUE"""),"200-240")</f>
        <v>200-240</v>
      </c>
      <c r="M1048" s="97" t="str">
        <f>IFERROR(__xludf.DUMMYFUNCTION("""COMPUTED_VALUE"""),"50/60")</f>
        <v>50/60</v>
      </c>
      <c r="N1048" s="97" t="str">
        <f>IFERROR(__xludf.DUMMYFUNCTION("""COMPUTED_VALUE"""),"Directa-Asimétrica")</f>
        <v>Directa-Asimétrica</v>
      </c>
      <c r="O1048" s="97">
        <f>IFERROR(__xludf.DUMMYFUNCTION("""COMPUTED_VALUE"""),90.0)</f>
        <v>90</v>
      </c>
      <c r="P1048" s="97"/>
      <c r="Q1048" s="97">
        <f>IFERROR(__xludf.DUMMYFUNCTION("""COMPUTED_VALUE"""),0.95)</f>
        <v>0.95</v>
      </c>
      <c r="R1048" s="97" t="str">
        <f>IFERROR(__xludf.DUMMYFUNCTION("""COMPUTED_VALUE"""),"-")</f>
        <v>-</v>
      </c>
      <c r="S1048" s="97" t="str">
        <f>IFERROR(__xludf.DUMMYFUNCTION("""COMPUTED_VALUE"""),"-")</f>
        <v>-</v>
      </c>
      <c r="T1048" s="97">
        <f>IFERROR(__xludf.DUMMYFUNCTION("""COMPUTED_VALUE"""),5430.0)</f>
        <v>5430</v>
      </c>
      <c r="U1048" s="99">
        <f>IFERROR(__xludf.DUMMYFUNCTION("""COMPUTED_VALUE"""),60.333333333333336)</f>
        <v>60.33333333</v>
      </c>
      <c r="V1048" s="97">
        <f>IFERROR(__xludf.DUMMYFUNCTION("""COMPUTED_VALUE"""),74.0)</f>
        <v>74</v>
      </c>
      <c r="W1048" s="97" t="str">
        <f>IFERROR(__xludf.DUMMYFUNCTION("""COMPUTED_VALUE"""),"&lt; 20")</f>
        <v>&lt; 20</v>
      </c>
      <c r="X1048" s="97">
        <f>IFERROR(__xludf.DUMMYFUNCTION("""COMPUTED_VALUE"""),6000.0)</f>
        <v>6000</v>
      </c>
      <c r="Y1048" s="97" t="str">
        <f>IFERROR(__xludf.DUMMYFUNCTION("""COMPUTED_VALUE"""),"&gt;80")</f>
        <v>&gt;80</v>
      </c>
      <c r="Z1048" s="97"/>
      <c r="AA1048" s="97"/>
      <c r="AB1048" s="97" t="str">
        <f>IFERROR(__xludf.DUMMYFUNCTION("""COMPUTED_VALUE"""),"-")</f>
        <v>-</v>
      </c>
      <c r="AC1048" s="97"/>
      <c r="AD1048" s="97" t="str">
        <f>IFERROR(__xludf.DUMMYFUNCTION("""COMPUTED_VALUE"""),"IP20/IK02")</f>
        <v>IP20/IK02</v>
      </c>
      <c r="AE1048" s="97" t="str">
        <f>IFERROR(__xludf.DUMMYFUNCTION("""COMPUTED_VALUE"""),"Clase l")</f>
        <v>Clase l</v>
      </c>
      <c r="AF1048" s="97" t="str">
        <f>IFERROR(__xludf.DUMMYFUNCTION("""COMPUTED_VALUE"""),"Embutir")</f>
        <v>Embutir</v>
      </c>
      <c r="AG1048" s="97" t="str">
        <f>IFERROR(__xludf.DUMMYFUNCTION("""COMPUTED_VALUE"""),"596 x 756 x 515")</f>
        <v>596 x 756 x 515</v>
      </c>
      <c r="AH1048" s="97" t="str">
        <f>IFERROR(__xludf.DUMMYFUNCTION("""COMPUTED_VALUE"""),"584 x 584")</f>
        <v>584 x 584</v>
      </c>
      <c r="AI1048" s="97">
        <f>IFERROR(__xludf.DUMMYFUNCTION("""COMPUTED_VALUE"""),550.0)</f>
        <v>550</v>
      </c>
      <c r="AJ1048" s="97" t="str">
        <f>IFERROR(__xludf.DUMMYFUNCTION("""COMPUTED_VALUE"""),"PMMA")</f>
        <v>PMMA</v>
      </c>
      <c r="AK1048" s="97" t="str">
        <f>IFERROR(__xludf.DUMMYFUNCTION("""COMPUTED_VALUE"""),"Aluminio y Acero")</f>
        <v>Aluminio y Acero</v>
      </c>
      <c r="AL1048" s="97" t="str">
        <f>IFERROR(__xludf.DUMMYFUNCTION("""COMPUTED_VALUE"""),"Blanco Satinado")</f>
        <v>Blanco Satinado</v>
      </c>
      <c r="AM1048" s="97" t="str">
        <f>IFERROR(__xludf.DUMMYFUNCTION("""COMPUTED_VALUE"""),"-10℃ a 40℃")</f>
        <v>-10℃ a 40℃</v>
      </c>
      <c r="AN1048" s="97" t="str">
        <f>IFERROR(__xludf.DUMMYFUNCTION("""COMPUTED_VALUE"""),"50.000hs (L80)")</f>
        <v>50.000hs (L80)</v>
      </c>
      <c r="AO1048" s="97" t="str">
        <f>IFERROR(__xludf.DUMMYFUNCTION("""COMPUTED_VALUE"""),"4 Años")</f>
        <v>4 Años</v>
      </c>
      <c r="AP1048" s="97" t="str">
        <f>IFERROR(__xludf.DUMMYFUNCTION("""COMPUTED_VALUE"""),"Disponible")</f>
        <v>Disponible</v>
      </c>
      <c r="AQ1048" s="97" t="str">
        <f>IFERROR(__xludf.DUMMYFUNCTION("""COMPUTED_VALUE"""),"Disponible")</f>
        <v>Disponible</v>
      </c>
      <c r="AR1048" s="97" t="str">
        <f>IFERROR(__xludf.DUMMYFUNCTION("""COMPUTED_VALUE"""),"Disponible")</f>
        <v>Disponible</v>
      </c>
      <c r="AS1048" s="97"/>
      <c r="AT1048" s="97"/>
      <c r="AU1048" s="97" t="str">
        <f>IFERROR(__xludf.DUMMYFUNCTION("""COMPUTED_VALUE"""),"Falta")</f>
        <v>Falta</v>
      </c>
      <c r="AV1048" s="97" t="str">
        <f>IFERROR(__xludf.DUMMYFUNCTION("""COMPUTED_VALUE"""),"Empotrable")</f>
        <v>Empotrable</v>
      </c>
      <c r="AW1048" s="97" t="str">
        <f>IFERROR(__xludf.DUMMYFUNCTION("""COMPUTED_VALUE"""),"De Techo")</f>
        <v>De Techo</v>
      </c>
      <c r="AX1048" s="97" t="str">
        <f>IFERROR(__xludf.DUMMYFUNCTION("""COMPUTED_VALUE"""),"Interior")</f>
        <v>Interior</v>
      </c>
      <c r="AY1048" s="97" t="str">
        <f>IFERROR(__xludf.DUMMYFUNCTION("""COMPUTED_VALUE"""),"Cielo")</f>
        <v>Cielo</v>
      </c>
      <c r="AZ1048" s="97" t="str">
        <f>IFERROR(__xludf.DUMMYFUNCTION("""COMPUTED_VALUE"""),"Efecto cielo con Sol.
*Bañador de pared: Haz primario de 45° con inclinación a 30°, generando una distribución amplia sobre el plano vertical.")</f>
        <v>Efecto cielo con Sol.
*Bañador de pared: Haz primario de 45° con inclinación a 30°, generando una distribución amplia sobre el plano vertical.</v>
      </c>
      <c r="BA1048" s="97">
        <f>IFERROR(__xludf.DUMMYFUNCTION("""COMPUTED_VALUE"""),1.0)</f>
        <v>1</v>
      </c>
      <c r="BB1048" s="97">
        <f>IFERROR(__xludf.DUMMYFUNCTION("""COMPUTED_VALUE"""),19.0)</f>
        <v>19</v>
      </c>
      <c r="BC1048" s="97">
        <f>IFERROR(__xludf.DUMMYFUNCTION("""COMPUTED_VALUE"""),28.0)</f>
        <v>28</v>
      </c>
      <c r="BD1048" s="97" t="str">
        <f>IFERROR(__xludf.DUMMYFUNCTION("""COMPUTED_VALUE"""),"SUN")</f>
        <v>SUN</v>
      </c>
      <c r="BE1048" s="97" t="str">
        <f>IFERROR(__xludf.DUMMYFUNCTION("""COMPUTED_VALUE"""),"Finalizada")</f>
        <v>Finalizada</v>
      </c>
      <c r="BF1048" s="97"/>
      <c r="BG1048" s="97" t="str">
        <f>IFERROR(__xludf.DUMMYFUNCTION("""COMPUTED_VALUE"""),"Activo")</f>
        <v>Activo</v>
      </c>
    </row>
    <row r="1049">
      <c r="A1049" s="97">
        <f>IFERROR(__xludf.DUMMYFUNCTION("""COMPUTED_VALUE"""),6835.0)</f>
        <v>6835</v>
      </c>
      <c r="B1049" s="97" t="str">
        <f>IFERROR(__xludf.DUMMYFUNCTION("""COMPUTED_VALUE"""),"SUN 120x120")</f>
        <v>SUN 120x120</v>
      </c>
      <c r="C1049" s="97" t="str">
        <f>IFERROR(__xludf.DUMMYFUNCTION("""COMPUTED_VALUE"""),"EMPOTRABLE SUN 120X120 210W 6000K 15850LM CRI&gt;80 IP20/IK02 LEUK")</f>
        <v>EMPOTRABLE SUN 120X120 210W 6000K 15850LM CRI&gt;80 IP20/IK02 LEUK</v>
      </c>
      <c r="D1049" s="97">
        <f>IFERROR(__xludf.DUMMYFUNCTION("""COMPUTED_VALUE"""),7.798413225143E12)</f>
        <v>7798413225143</v>
      </c>
      <c r="E1049" s="97" t="str">
        <f>IFERROR(__xludf.DUMMYFUNCTION("""COMPUTED_VALUE"""),"F01")</f>
        <v>F01</v>
      </c>
      <c r="F1049" s="97" t="str">
        <f>IFERROR(__xludf.DUMMYFUNCTION("""COMPUTED_VALUE"""),"LED COB")</f>
        <v>LED COB</v>
      </c>
      <c r="G1049" s="97" t="str">
        <f>IFERROR(__xludf.DUMMYFUNCTION("""COMPUTED_VALUE"""),"-")</f>
        <v>-</v>
      </c>
      <c r="H1049" s="97" t="str">
        <f>IFERROR(__xludf.DUMMYFUNCTION("""COMPUTED_VALUE"""),"-")</f>
        <v>-</v>
      </c>
      <c r="I1049" s="97" t="str">
        <f>IFERROR(__xludf.DUMMYFUNCTION("""COMPUTED_VALUE"""),"Si")</f>
        <v>Si</v>
      </c>
      <c r="J1049" s="97" t="str">
        <f>IFERROR(__xludf.DUMMYFUNCTION("""COMPUTED_VALUE"""),"Modelo: LF-FHB200YCIV 5B (encapsulado)
In: 100-277Vac 50/60Hz Max.2.6A
Out: 180-260Vdc 500-900mA Ta 60°C Tc 90°C
 200w, U 310Vdc Pf 0.95
Dimming 0-10V, SPD, Resistance, PWM, IP65")</f>
        <v>Modelo: LF-FHB200YCIV 5B (encapsulado)
In: 100-277Vac 50/60Hz Max.2.6A
Out: 180-260Vdc 500-900mA Ta 60°C Tc 90°C
 200w, U 310Vdc Pf 0.95
Dimming 0-10V, SPD, Resistance, PWM, IP65</v>
      </c>
      <c r="K1049" s="97" t="str">
        <f>IFERROR(__xludf.DUMMYFUNCTION("""COMPUTED_VALUE"""),"0-10V")</f>
        <v>0-10V</v>
      </c>
      <c r="L1049" s="97" t="str">
        <f>IFERROR(__xludf.DUMMYFUNCTION("""COMPUTED_VALUE"""),"200-240")</f>
        <v>200-240</v>
      </c>
      <c r="M1049" s="97" t="str">
        <f>IFERROR(__xludf.DUMMYFUNCTION("""COMPUTED_VALUE"""),"50/60")</f>
        <v>50/60</v>
      </c>
      <c r="N1049" s="97" t="str">
        <f>IFERROR(__xludf.DUMMYFUNCTION("""COMPUTED_VALUE"""),"Directa-Asimétrica")</f>
        <v>Directa-Asimétrica</v>
      </c>
      <c r="O1049" s="97">
        <f>IFERROR(__xludf.DUMMYFUNCTION("""COMPUTED_VALUE"""),210.0)</f>
        <v>210</v>
      </c>
      <c r="P1049" s="97"/>
      <c r="Q1049" s="97">
        <f>IFERROR(__xludf.DUMMYFUNCTION("""COMPUTED_VALUE"""),0.95)</f>
        <v>0.95</v>
      </c>
      <c r="R1049" s="97" t="str">
        <f>IFERROR(__xludf.DUMMYFUNCTION("""COMPUTED_VALUE"""),"-")</f>
        <v>-</v>
      </c>
      <c r="S1049" s="97" t="str">
        <f>IFERROR(__xludf.DUMMYFUNCTION("""COMPUTED_VALUE"""),"-")</f>
        <v>-</v>
      </c>
      <c r="T1049" s="97">
        <f>IFERROR(__xludf.DUMMYFUNCTION("""COMPUTED_VALUE"""),15850.0)</f>
        <v>15850</v>
      </c>
      <c r="U1049" s="99">
        <f>IFERROR(__xludf.DUMMYFUNCTION("""COMPUTED_VALUE"""),75.47619047619048)</f>
        <v>75.47619048</v>
      </c>
      <c r="V1049" s="97">
        <f>IFERROR(__xludf.DUMMYFUNCTION("""COMPUTED_VALUE"""),74.0)</f>
        <v>74</v>
      </c>
      <c r="W1049" s="97" t="str">
        <f>IFERROR(__xludf.DUMMYFUNCTION("""COMPUTED_VALUE"""),"&lt; 20")</f>
        <v>&lt; 20</v>
      </c>
      <c r="X1049" s="97">
        <f>IFERROR(__xludf.DUMMYFUNCTION("""COMPUTED_VALUE"""),6000.0)</f>
        <v>6000</v>
      </c>
      <c r="Y1049" s="97" t="str">
        <f>IFERROR(__xludf.DUMMYFUNCTION("""COMPUTED_VALUE"""),"&gt;80")</f>
        <v>&gt;80</v>
      </c>
      <c r="Z1049" s="97"/>
      <c r="AA1049" s="97"/>
      <c r="AB1049" s="97" t="str">
        <f>IFERROR(__xludf.DUMMYFUNCTION("""COMPUTED_VALUE"""),"-")</f>
        <v>-</v>
      </c>
      <c r="AC1049" s="97"/>
      <c r="AD1049" s="97" t="str">
        <f>IFERROR(__xludf.DUMMYFUNCTION("""COMPUTED_VALUE"""),"IP20/IK02")</f>
        <v>IP20/IK02</v>
      </c>
      <c r="AE1049" s="97" t="str">
        <f>IFERROR(__xludf.DUMMYFUNCTION("""COMPUTED_VALUE"""),"Clase l")</f>
        <v>Clase l</v>
      </c>
      <c r="AF1049" s="97" t="str">
        <f>IFERROR(__xludf.DUMMYFUNCTION("""COMPUTED_VALUE"""),"Embutir")</f>
        <v>Embutir</v>
      </c>
      <c r="AG1049" s="97" t="str">
        <f>IFERROR(__xludf.DUMMYFUNCTION("""COMPUTED_VALUE"""),"1196 x 1196 x 850")</f>
        <v>1196 x 1196 x 850</v>
      </c>
      <c r="AH1049" s="97" t="str">
        <f>IFERROR(__xludf.DUMMYFUNCTION("""COMPUTED_VALUE"""),"1181 x 1181")</f>
        <v>1181 x 1181</v>
      </c>
      <c r="AI1049" s="97">
        <f>IFERROR(__xludf.DUMMYFUNCTION("""COMPUTED_VALUE"""),950.0)</f>
        <v>950</v>
      </c>
      <c r="AJ1049" s="97" t="str">
        <f>IFERROR(__xludf.DUMMYFUNCTION("""COMPUTED_VALUE"""),"PMMA")</f>
        <v>PMMA</v>
      </c>
      <c r="AK1049" s="97" t="str">
        <f>IFERROR(__xludf.DUMMYFUNCTION("""COMPUTED_VALUE"""),"Aluminio y Acero")</f>
        <v>Aluminio y Acero</v>
      </c>
      <c r="AL1049" s="97" t="str">
        <f>IFERROR(__xludf.DUMMYFUNCTION("""COMPUTED_VALUE"""),"Blanco Satinado")</f>
        <v>Blanco Satinado</v>
      </c>
      <c r="AM1049" s="97" t="str">
        <f>IFERROR(__xludf.DUMMYFUNCTION("""COMPUTED_VALUE"""),"-10℃ a 40℃")</f>
        <v>-10℃ a 40℃</v>
      </c>
      <c r="AN1049" s="97" t="str">
        <f>IFERROR(__xludf.DUMMYFUNCTION("""COMPUTED_VALUE"""),"50.000hs (L80)")</f>
        <v>50.000hs (L80)</v>
      </c>
      <c r="AO1049" s="97" t="str">
        <f>IFERROR(__xludf.DUMMYFUNCTION("""COMPUTED_VALUE"""),"4 Años")</f>
        <v>4 Años</v>
      </c>
      <c r="AP1049" s="97" t="str">
        <f>IFERROR(__xludf.DUMMYFUNCTION("""COMPUTED_VALUE"""),"Disponible")</f>
        <v>Disponible</v>
      </c>
      <c r="AQ1049" s="97" t="str">
        <f>IFERROR(__xludf.DUMMYFUNCTION("""COMPUTED_VALUE"""),"Disponible")</f>
        <v>Disponible</v>
      </c>
      <c r="AR1049" s="97" t="str">
        <f>IFERROR(__xludf.DUMMYFUNCTION("""COMPUTED_VALUE"""),"Disponible")</f>
        <v>Disponible</v>
      </c>
      <c r="AS1049" s="97"/>
      <c r="AT1049" s="97"/>
      <c r="AU1049" s="97" t="str">
        <f>IFERROR(__xludf.DUMMYFUNCTION("""COMPUTED_VALUE"""),"Falta")</f>
        <v>Falta</v>
      </c>
      <c r="AV1049" s="97" t="str">
        <f>IFERROR(__xludf.DUMMYFUNCTION("""COMPUTED_VALUE"""),"Empotrable")</f>
        <v>Empotrable</v>
      </c>
      <c r="AW1049" s="97" t="str">
        <f>IFERROR(__xludf.DUMMYFUNCTION("""COMPUTED_VALUE"""),"De Techo")</f>
        <v>De Techo</v>
      </c>
      <c r="AX1049" s="97" t="str">
        <f>IFERROR(__xludf.DUMMYFUNCTION("""COMPUTED_VALUE"""),"Interior")</f>
        <v>Interior</v>
      </c>
      <c r="AY1049" s="97" t="str">
        <f>IFERROR(__xludf.DUMMYFUNCTION("""COMPUTED_VALUE"""),"Cielo")</f>
        <v>Cielo</v>
      </c>
      <c r="AZ1049" s="97" t="str">
        <f>IFERROR(__xludf.DUMMYFUNCTION("""COMPUTED_VALUE"""),"Efecto cielo con Sol.
*Bañador de pared: Haz primario de 45° con inclinación a 30°, generando una distribución amplia sobre el plano vertical.")</f>
        <v>Efecto cielo con Sol.
*Bañador de pared: Haz primario de 45° con inclinación a 30°, generando una distribución amplia sobre el plano vertical.</v>
      </c>
      <c r="BA1049" s="97">
        <f>IFERROR(__xludf.DUMMYFUNCTION("""COMPUTED_VALUE"""),1.0)</f>
        <v>1</v>
      </c>
      <c r="BB1049" s="97">
        <f>IFERROR(__xludf.DUMMYFUNCTION("""COMPUTED_VALUE"""),65.0)</f>
        <v>65</v>
      </c>
      <c r="BC1049" s="97">
        <f>IFERROR(__xludf.DUMMYFUNCTION("""COMPUTED_VALUE"""),91.0)</f>
        <v>91</v>
      </c>
      <c r="BD1049" s="97" t="str">
        <f>IFERROR(__xludf.DUMMYFUNCTION("""COMPUTED_VALUE"""),"SUN")</f>
        <v>SUN</v>
      </c>
      <c r="BE1049" s="97" t="str">
        <f>IFERROR(__xludf.DUMMYFUNCTION("""COMPUTED_VALUE"""),"Finalizada")</f>
        <v>Finalizada</v>
      </c>
      <c r="BF1049" s="97"/>
      <c r="BG1049" s="97" t="str">
        <f>IFERROR(__xludf.DUMMYFUNCTION("""COMPUTED_VALUE"""),"Activo")</f>
        <v>Activo</v>
      </c>
    </row>
    <row r="1050">
      <c r="A1050" s="97">
        <f>IFERROR(__xludf.DUMMYFUNCTION("""COMPUTED_VALUE"""),6836.0)</f>
        <v>6836</v>
      </c>
      <c r="B1050" s="97" t="str">
        <f>IFERROR(__xludf.DUMMYFUNCTION("""COMPUTED_VALUE"""),"FLIX")</f>
        <v>FLIX</v>
      </c>
      <c r="C1050" s="97" t="str">
        <f>IFERROR(__xludf.DUMMYFUNCTION("""COMPUTED_VALUE"""),"PANEL FLIX 155W LEUK")</f>
        <v>PANEL FLIX 155W LEUK</v>
      </c>
      <c r="D1050" s="97">
        <f>IFERROR(__xludf.DUMMYFUNCTION("""COMPUTED_VALUE"""),7.79841322515E12)</f>
        <v>7798413225150</v>
      </c>
      <c r="E1050" s="97" t="str">
        <f>IFERROR(__xludf.DUMMYFUNCTION("""COMPUTED_VALUE"""),"F04")</f>
        <v>F04</v>
      </c>
      <c r="F1050" s="97" t="str">
        <f>IFERROR(__xludf.DUMMYFUNCTION("""COMPUTED_VALUE"""),"LED integrado")</f>
        <v>LED integrado</v>
      </c>
      <c r="G1050" s="97" t="str">
        <f>IFERROR(__xludf.DUMMYFUNCTION("""COMPUTED_VALUE"""),"-")</f>
        <v>-</v>
      </c>
      <c r="H1050" s="97" t="str">
        <f>IFERROR(__xludf.DUMMYFUNCTION("""COMPUTED_VALUE"""),"Lifud")</f>
        <v>Lifud</v>
      </c>
      <c r="I1050" s="97"/>
      <c r="J1050" s="97"/>
      <c r="K1050" s="97" t="str">
        <f>IFERROR(__xludf.DUMMYFUNCTION("""COMPUTED_VALUE"""),"ON/OFF")</f>
        <v>ON/OFF</v>
      </c>
      <c r="L1050" s="97" t="str">
        <f>IFERROR(__xludf.DUMMYFUNCTION("""COMPUTED_VALUE"""),"200-240")</f>
        <v>200-240</v>
      </c>
      <c r="M1050" s="97" t="str">
        <f>IFERROR(__xludf.DUMMYFUNCTION("""COMPUTED_VALUE"""),"50/60")</f>
        <v>50/60</v>
      </c>
      <c r="N1050" s="97"/>
      <c r="O1050" s="97">
        <f>IFERROR(__xludf.DUMMYFUNCTION("""COMPUTED_VALUE"""),155.0)</f>
        <v>155</v>
      </c>
      <c r="P1050" s="97"/>
      <c r="Q1050" s="97">
        <f>IFERROR(__xludf.DUMMYFUNCTION("""COMPUTED_VALUE"""),0.95)</f>
        <v>0.95</v>
      </c>
      <c r="R1050" s="97" t="str">
        <f>IFERROR(__xludf.DUMMYFUNCTION("""COMPUTED_VALUE"""),"-")</f>
        <v>-</v>
      </c>
      <c r="S1050" s="97" t="str">
        <f>IFERROR(__xludf.DUMMYFUNCTION("""COMPUTED_VALUE"""),"-")</f>
        <v>-</v>
      </c>
      <c r="T1050" s="97">
        <f>IFERROR(__xludf.DUMMYFUNCTION("""COMPUTED_VALUE"""),5240.0)</f>
        <v>5240</v>
      </c>
      <c r="U1050" s="99">
        <f>IFERROR(__xludf.DUMMYFUNCTION("""COMPUTED_VALUE"""),33.806451612903224)</f>
        <v>33.80645161</v>
      </c>
      <c r="V1050" s="97">
        <f>IFERROR(__xludf.DUMMYFUNCTION("""COMPUTED_VALUE"""),120.0)</f>
        <v>120</v>
      </c>
      <c r="W1050" s="97" t="str">
        <f>IFERROR(__xludf.DUMMYFUNCTION("""COMPUTED_VALUE"""),"&lt; 14")</f>
        <v>&lt; 14</v>
      </c>
      <c r="X1050" s="97">
        <f>IFERROR(__xludf.DUMMYFUNCTION("""COMPUTED_VALUE"""),6000.0)</f>
        <v>6000</v>
      </c>
      <c r="Y1050" s="97" t="str">
        <f>IFERROR(__xludf.DUMMYFUNCTION("""COMPUTED_VALUE"""),"&gt;90")</f>
        <v>&gt;90</v>
      </c>
      <c r="Z1050" s="97" t="str">
        <f>IFERROR(__xludf.DUMMYFUNCTION("""COMPUTED_VALUE"""),"-")</f>
        <v>-</v>
      </c>
      <c r="AA1050" s="97" t="str">
        <f>IFERROR(__xludf.DUMMYFUNCTION("""COMPUTED_VALUE"""),"-")</f>
        <v>-</v>
      </c>
      <c r="AB1050" s="97" t="str">
        <f>IFERROR(__xludf.DUMMYFUNCTION("""COMPUTED_VALUE"""),"&lt; 5")</f>
        <v>&lt; 5</v>
      </c>
      <c r="AC1050" s="97"/>
      <c r="AD1050" s="97" t="str">
        <f>IFERROR(__xludf.DUMMYFUNCTION("""COMPUTED_VALUE"""),"IP20/IK04")</f>
        <v>IP20/IK04</v>
      </c>
      <c r="AE1050" s="97" t="str">
        <f>IFERROR(__xludf.DUMMYFUNCTION("""COMPUTED_VALUE"""),"Clase l")</f>
        <v>Clase l</v>
      </c>
      <c r="AF1050" s="97" t="str">
        <f>IFERROR(__xludf.DUMMYFUNCTION("""COMPUTED_VALUE"""),"Aplicar")</f>
        <v>Aplicar</v>
      </c>
      <c r="AG1050" s="97" t="str">
        <f>IFERROR(__xludf.DUMMYFUNCTION("""COMPUTED_VALUE"""),"600 x 600 x 100")</f>
        <v>600 x 600 x 100</v>
      </c>
      <c r="AH1050" s="97" t="str">
        <f>IFERROR(__xludf.DUMMYFUNCTION("""COMPUTED_VALUE"""),"N/A")</f>
        <v>N/A</v>
      </c>
      <c r="AI1050" s="97" t="str">
        <f>IFERROR(__xludf.DUMMYFUNCTION("""COMPUTED_VALUE"""),"N/A")</f>
        <v>N/A</v>
      </c>
      <c r="AJ1050" s="97" t="str">
        <f>IFERROR(__xludf.DUMMYFUNCTION("""COMPUTED_VALUE"""),"PMMA")</f>
        <v>PMMA</v>
      </c>
      <c r="AK1050" s="97" t="str">
        <f>IFERROR(__xludf.DUMMYFUNCTION("""COMPUTED_VALUE"""),"Aluminio y Acero")</f>
        <v>Aluminio y Acero</v>
      </c>
      <c r="AL1050" s="97" t="str">
        <f>IFERROR(__xludf.DUMMYFUNCTION("""COMPUTED_VALUE"""),"Blanco Satinado")</f>
        <v>Blanco Satinado</v>
      </c>
      <c r="AM1050" s="97" t="str">
        <f>IFERROR(__xludf.DUMMYFUNCTION("""COMPUTED_VALUE"""),"-10℃ a 40℃")</f>
        <v>-10℃ a 40℃</v>
      </c>
      <c r="AN1050" s="97" t="str">
        <f>IFERROR(__xludf.DUMMYFUNCTION("""COMPUTED_VALUE"""),"50.000hs (L90)")</f>
        <v>50.000hs (L90)</v>
      </c>
      <c r="AO1050" s="97" t="str">
        <f>IFERROR(__xludf.DUMMYFUNCTION("""COMPUTED_VALUE"""),"4 Años")</f>
        <v>4 Años</v>
      </c>
      <c r="AP1050" s="97" t="str">
        <f>IFERROR(__xludf.DUMMYFUNCTION("""COMPUTED_VALUE"""),"Falta")</f>
        <v>Falta</v>
      </c>
      <c r="AQ1050" s="97" t="str">
        <f>IFERROR(__xludf.DUMMYFUNCTION("""COMPUTED_VALUE"""),"Falta")</f>
        <v>Falta</v>
      </c>
      <c r="AR1050" s="97" t="str">
        <f>IFERROR(__xludf.DUMMYFUNCTION("""COMPUTED_VALUE"""),"Falta")</f>
        <v>Falta</v>
      </c>
      <c r="AS1050" s="97"/>
      <c r="AT1050" s="97"/>
      <c r="AU1050" s="97" t="str">
        <f>IFERROR(__xludf.DUMMYFUNCTION("""COMPUTED_VALUE"""),"En revisión")</f>
        <v>En revisión</v>
      </c>
      <c r="AV1050" s="97" t="str">
        <f>IFERROR(__xludf.DUMMYFUNCTION("""COMPUTED_VALUE"""),"Aplique")</f>
        <v>Aplique</v>
      </c>
      <c r="AW1050" s="97" t="str">
        <f>IFERROR(__xludf.DUMMYFUNCTION("""COMPUTED_VALUE"""),"De Techo")</f>
        <v>De Techo</v>
      </c>
      <c r="AX1050" s="97" t="str">
        <f>IFERROR(__xludf.DUMMYFUNCTION("""COMPUTED_VALUE"""),"Interior")</f>
        <v>Interior</v>
      </c>
      <c r="AY1050" s="97"/>
      <c r="AZ1050" s="97" t="str">
        <f>IFERROR(__xludf.DUMMYFUNCTION("""COMPUTED_VALUE"""),"Efecto cielo. Luz directa. Driver externo.")</f>
        <v>Efecto cielo. Luz directa. Driver externo.</v>
      </c>
      <c r="BA1050" s="97">
        <f>IFERROR(__xludf.DUMMYFUNCTION("""COMPUTED_VALUE"""),2.0)</f>
        <v>2</v>
      </c>
      <c r="BB1050" s="97">
        <f>IFERROR(__xludf.DUMMYFUNCTION("""COMPUTED_VALUE"""),9.75)</f>
        <v>9.75</v>
      </c>
      <c r="BC1050" s="97">
        <f>IFERROR(__xludf.DUMMYFUNCTION("""COMPUTED_VALUE"""),21.0)</f>
        <v>21</v>
      </c>
      <c r="BD1050" s="97" t="str">
        <f>IFERROR(__xludf.DUMMYFUNCTION("""COMPUTED_VALUE"""),"FLUX")</f>
        <v>FLUX</v>
      </c>
      <c r="BE1050" s="97" t="str">
        <f>IFERROR(__xludf.DUMMYFUNCTION("""COMPUTED_VALUE"""),"Sin Ficha")</f>
        <v>Sin Ficha</v>
      </c>
      <c r="BF1050" s="97"/>
      <c r="BG1050" s="97" t="str">
        <f>IFERROR(__xludf.DUMMYFUNCTION("""COMPUTED_VALUE"""),"Discontinuo")</f>
        <v>Discontinuo</v>
      </c>
    </row>
    <row r="1051">
      <c r="A1051" s="97">
        <f>IFERROR(__xludf.DUMMYFUNCTION("""COMPUTED_VALUE"""),6837.0)</f>
        <v>6837</v>
      </c>
      <c r="B1051" s="97" t="str">
        <f>IFERROR(__xludf.DUMMYFUNCTION("""COMPUTED_VALUE"""),"ZAR")</f>
        <v>ZAR</v>
      </c>
      <c r="C1051" s="97" t="str">
        <f>IFERROR(__xludf.DUMMYFUNCTION("""COMPUTED_VALUE"""),"EMPOTRABLE ZAR 32W 6500K 1785LM CRI&gt;90 IP20/IK04 LEUK")</f>
        <v>EMPOTRABLE ZAR 32W 6500K 1785LM CRI&gt;90 IP20/IK04 LEUK</v>
      </c>
      <c r="D1051" s="97">
        <f>IFERROR(__xludf.DUMMYFUNCTION("""COMPUTED_VALUE"""),7.798413225167E12)</f>
        <v>7798413225167</v>
      </c>
      <c r="E1051" s="97" t="str">
        <f>IFERROR(__xludf.DUMMYFUNCTION("""COMPUTED_VALUE"""),"F20")</f>
        <v>F20</v>
      </c>
      <c r="F1051" s="97" t="str">
        <f>IFERROR(__xludf.DUMMYFUNCTION("""COMPUTED_VALUE"""),"LED integrado")</f>
        <v>LED integrado</v>
      </c>
      <c r="G1051" s="97" t="str">
        <f>IFERROR(__xludf.DUMMYFUNCTION("""COMPUTED_VALUE"""),"-")</f>
        <v>-</v>
      </c>
      <c r="H1051" s="97" t="str">
        <f>IFERROR(__xludf.DUMMYFUNCTION("""COMPUTED_VALUE"""),"-")</f>
        <v>-</v>
      </c>
      <c r="I1051" s="97" t="str">
        <f>IFERROR(__xludf.DUMMYFUNCTION("""COMPUTED_VALUE"""),"Si")</f>
        <v>Si</v>
      </c>
      <c r="J1051" s="97"/>
      <c r="K1051" s="97" t="str">
        <f>IFERROR(__xludf.DUMMYFUNCTION("""COMPUTED_VALUE"""),"ON/OFF")</f>
        <v>ON/OFF</v>
      </c>
      <c r="L1051" s="97" t="str">
        <f>IFERROR(__xludf.DUMMYFUNCTION("""COMPUTED_VALUE"""),"200-240")</f>
        <v>200-240</v>
      </c>
      <c r="M1051" s="97" t="str">
        <f>IFERROR(__xludf.DUMMYFUNCTION("""COMPUTED_VALUE"""),"50/60")</f>
        <v>50/60</v>
      </c>
      <c r="N1051" s="97" t="str">
        <f>IFERROR(__xludf.DUMMYFUNCTION("""COMPUTED_VALUE"""),"Directa-Asimétrica")</f>
        <v>Directa-Asimétrica</v>
      </c>
      <c r="O1051" s="97">
        <f>IFERROR(__xludf.DUMMYFUNCTION("""COMPUTED_VALUE"""),32.0)</f>
        <v>32</v>
      </c>
      <c r="P1051" s="97"/>
      <c r="Q1051" s="97">
        <f>IFERROR(__xludf.DUMMYFUNCTION("""COMPUTED_VALUE"""),0.95)</f>
        <v>0.95</v>
      </c>
      <c r="R1051" s="97" t="str">
        <f>IFERROR(__xludf.DUMMYFUNCTION("""COMPUTED_VALUE"""),"-")</f>
        <v>-</v>
      </c>
      <c r="S1051" s="97" t="str">
        <f>IFERROR(__xludf.DUMMYFUNCTION("""COMPUTED_VALUE"""),"-")</f>
        <v>-</v>
      </c>
      <c r="T1051" s="97">
        <f>IFERROR(__xludf.DUMMYFUNCTION("""COMPUTED_VALUE"""),1785.0)</f>
        <v>1785</v>
      </c>
      <c r="U1051" s="99">
        <f>IFERROR(__xludf.DUMMYFUNCTION("""COMPUTED_VALUE"""),55.78125)</f>
        <v>55.78125</v>
      </c>
      <c r="V1051" s="97">
        <f>IFERROR(__xludf.DUMMYFUNCTION("""COMPUTED_VALUE"""),190.0)</f>
        <v>190</v>
      </c>
      <c r="W1051" s="97" t="str">
        <f>IFERROR(__xludf.DUMMYFUNCTION("""COMPUTED_VALUE"""),"&lt; 16")</f>
        <v>&lt; 16</v>
      </c>
      <c r="X1051" s="97">
        <f>IFERROR(__xludf.DUMMYFUNCTION("""COMPUTED_VALUE"""),6500.0)</f>
        <v>6500</v>
      </c>
      <c r="Y1051" s="97" t="str">
        <f>IFERROR(__xludf.DUMMYFUNCTION("""COMPUTED_VALUE"""),"&gt;90")</f>
        <v>&gt;90</v>
      </c>
      <c r="Z1051" s="97"/>
      <c r="AA1051" s="97"/>
      <c r="AB1051" s="97" t="str">
        <f>IFERROR(__xludf.DUMMYFUNCTION("""COMPUTED_VALUE"""),"&lt; 4")</f>
        <v>&lt; 4</v>
      </c>
      <c r="AC1051" s="97"/>
      <c r="AD1051" s="97" t="str">
        <f>IFERROR(__xludf.DUMMYFUNCTION("""COMPUTED_VALUE"""),"IP20/IK04")</f>
        <v>IP20/IK04</v>
      </c>
      <c r="AE1051" s="97" t="str">
        <f>IFERROR(__xludf.DUMMYFUNCTION("""COMPUTED_VALUE"""),"Clase l")</f>
        <v>Clase l</v>
      </c>
      <c r="AF1051" s="97" t="str">
        <f>IFERROR(__xludf.DUMMYFUNCTION("""COMPUTED_VALUE"""),"Embutir")</f>
        <v>Embutir</v>
      </c>
      <c r="AG1051" s="97" t="str">
        <f>IFERROR(__xludf.DUMMYFUNCTION("""COMPUTED_VALUE"""),"296 x 180 x 93")</f>
        <v>296 x 180 x 93</v>
      </c>
      <c r="AH1051" s="97" t="str">
        <f>IFERROR(__xludf.DUMMYFUNCTION("""COMPUTED_VALUE"""),"286 x 138")</f>
        <v>286 x 138</v>
      </c>
      <c r="AI1051" s="97">
        <f>IFERROR(__xludf.DUMMYFUNCTION("""COMPUTED_VALUE"""),150.0)</f>
        <v>150</v>
      </c>
      <c r="AJ1051" s="97" t="str">
        <f>IFERROR(__xludf.DUMMYFUNCTION("""COMPUTED_VALUE"""),"PMMA")</f>
        <v>PMMA</v>
      </c>
      <c r="AK1051" s="97" t="str">
        <f>IFERROR(__xludf.DUMMYFUNCTION("""COMPUTED_VALUE"""),"Aluminio y Acero")</f>
        <v>Aluminio y Acero</v>
      </c>
      <c r="AL1051" s="97" t="str">
        <f>IFERROR(__xludf.DUMMYFUNCTION("""COMPUTED_VALUE"""),"Blanco Satinado")</f>
        <v>Blanco Satinado</v>
      </c>
      <c r="AM1051" s="97" t="str">
        <f>IFERROR(__xludf.DUMMYFUNCTION("""COMPUTED_VALUE"""),"-10℃ a 40℃")</f>
        <v>-10℃ a 40℃</v>
      </c>
      <c r="AN1051" s="97" t="str">
        <f>IFERROR(__xludf.DUMMYFUNCTION("""COMPUTED_VALUE"""),"50.000hs (L80)")</f>
        <v>50.000hs (L80)</v>
      </c>
      <c r="AO1051" s="97" t="str">
        <f>IFERROR(__xludf.DUMMYFUNCTION("""COMPUTED_VALUE"""),"4 Años")</f>
        <v>4 Años</v>
      </c>
      <c r="AP1051" s="97" t="str">
        <f>IFERROR(__xludf.DUMMYFUNCTION("""COMPUTED_VALUE"""),"Disponible")</f>
        <v>Disponible</v>
      </c>
      <c r="AQ1051" s="97" t="str">
        <f>IFERROR(__xludf.DUMMYFUNCTION("""COMPUTED_VALUE"""),"Disponible")</f>
        <v>Disponible</v>
      </c>
      <c r="AR1051" s="97" t="str">
        <f>IFERROR(__xludf.DUMMYFUNCTION("""COMPUTED_VALUE"""),"Disponible")</f>
        <v>Disponible</v>
      </c>
      <c r="AS1051" s="97"/>
      <c r="AT1051" s="97"/>
      <c r="AU1051" s="97" t="str">
        <f>IFERROR(__xludf.DUMMYFUNCTION("""COMPUTED_VALUE"""),"Falta")</f>
        <v>Falta</v>
      </c>
      <c r="AV1051" s="97" t="str">
        <f>IFERROR(__xludf.DUMMYFUNCTION("""COMPUTED_VALUE"""),"Empotrable")</f>
        <v>Empotrable</v>
      </c>
      <c r="AW1051" s="97" t="str">
        <f>IFERROR(__xludf.DUMMYFUNCTION("""COMPUTED_VALUE"""),"De Techo")</f>
        <v>De Techo</v>
      </c>
      <c r="AX1051" s="97" t="str">
        <f>IFERROR(__xludf.DUMMYFUNCTION("""COMPUTED_VALUE"""),"Interior")</f>
        <v>Interior</v>
      </c>
      <c r="AY1051" s="97" t="str">
        <f>IFERROR(__xludf.DUMMYFUNCTION("""COMPUTED_VALUE"""),"Cielo")</f>
        <v>Cielo</v>
      </c>
      <c r="AZ1051" s="97" t="str">
        <f>IFERROR(__xludf.DUMMYFUNCTION("""COMPUTED_VALUE"""),"Efecto cielo.
*Bañador de pared: Haz primario de 30° con inclinación a 38°, generando una distribución amplia sobre el plano vertical.")</f>
        <v>Efecto cielo.
*Bañador de pared: Haz primario de 30° con inclinación a 38°, generando una distribución amplia sobre el plano vertical.</v>
      </c>
      <c r="BA1051" s="97">
        <f>IFERROR(__xludf.DUMMYFUNCTION("""COMPUTED_VALUE"""),8.0)</f>
        <v>8</v>
      </c>
      <c r="BB1051" s="97">
        <f>IFERROR(__xludf.DUMMYFUNCTION("""COMPUTED_VALUE"""),1.0)</f>
        <v>1</v>
      </c>
      <c r="BC1051" s="97">
        <f>IFERROR(__xludf.DUMMYFUNCTION("""COMPUTED_VALUE"""),9.25)</f>
        <v>9.25</v>
      </c>
      <c r="BD1051" s="97" t="str">
        <f>IFERROR(__xludf.DUMMYFUNCTION("""COMPUTED_VALUE"""),"ZAR")</f>
        <v>ZAR</v>
      </c>
      <c r="BE1051" s="97" t="str">
        <f>IFERROR(__xludf.DUMMYFUNCTION("""COMPUTED_VALUE"""),"Finalizada")</f>
        <v>Finalizada</v>
      </c>
      <c r="BF1051" s="97"/>
      <c r="BG1051" s="97" t="str">
        <f>IFERROR(__xludf.DUMMYFUNCTION("""COMPUTED_VALUE"""),"Activo")</f>
        <v>Activo</v>
      </c>
    </row>
    <row r="1052">
      <c r="A1052" s="97">
        <f>IFERROR(__xludf.DUMMYFUNCTION("""COMPUTED_VALUE"""),6838.0)</f>
        <v>6838</v>
      </c>
      <c r="B1052" s="97" t="str">
        <f>IFERROR(__xludf.DUMMYFUNCTION("""COMPUTED_VALUE"""),"SIRENA BL 10W")</f>
        <v>SIRENA BL 10W</v>
      </c>
      <c r="C1052" s="97" t="str">
        <f>IFERROR(__xludf.DUMMYFUNCTION("""COMPUTED_VALUE"""),"APLIQUE SIRENA BL 10W 10W 2700K 460LM CRI&gt;90 IP20 LEUK")</f>
        <v>APLIQUE SIRENA BL 10W 10W 2700K 460LM CRI&gt;90 IP20 LEUK</v>
      </c>
      <c r="D1052" s="97">
        <f>IFERROR(__xludf.DUMMYFUNCTION("""COMPUTED_VALUE"""),7.79841322487E12)</f>
        <v>7798413224870</v>
      </c>
      <c r="E1052" s="97" t="str">
        <f>IFERROR(__xludf.DUMMYFUNCTION("""COMPUTED_VALUE"""),"F62")</f>
        <v>F62</v>
      </c>
      <c r="F1052" s="97" t="str">
        <f>IFERROR(__xludf.DUMMYFUNCTION("""COMPUTED_VALUE"""),"LED integrado")</f>
        <v>LED integrado</v>
      </c>
      <c r="G1052" s="97" t="str">
        <f>IFERROR(__xludf.DUMMYFUNCTION("""COMPUTED_VALUE"""),"Bridgelux")</f>
        <v>Bridgelux</v>
      </c>
      <c r="H1052" s="97" t="str">
        <f>IFERROR(__xludf.DUMMYFUNCTION("""COMPUTED_VALUE"""),"Eaglerise")</f>
        <v>Eaglerise</v>
      </c>
      <c r="I1052" s="97"/>
      <c r="J1052" s="97" t="str">
        <f>IFERROR(__xludf.DUMMYFUNCTION("""COMPUTED_VALUE"""),"Modelo: CS-12-250 SB1
In: 220-240Vac 0.15A 50/60Hz
Out: 28-42Vdc 250mA - 10.5W
Pf 0.55 Ta 60°C Tc 85°C")</f>
        <v>Modelo: CS-12-250 SB1
In: 220-240Vac 0.15A 50/60Hz
Out: 28-42Vdc 250mA - 10.5W
Pf 0.55 Ta 60°C Tc 85°C</v>
      </c>
      <c r="K1052" s="97" t="str">
        <f>IFERROR(__xludf.DUMMYFUNCTION("""COMPUTED_VALUE"""),"ON/OFF")</f>
        <v>ON/OFF</v>
      </c>
      <c r="L1052" s="97" t="str">
        <f>IFERROR(__xludf.DUMMYFUNCTION("""COMPUTED_VALUE"""),"200-240")</f>
        <v>200-240</v>
      </c>
      <c r="M1052" s="97" t="str">
        <f>IFERROR(__xludf.DUMMYFUNCTION("""COMPUTED_VALUE"""),"50/60")</f>
        <v>50/60</v>
      </c>
      <c r="N1052" s="97" t="str">
        <f>IFERROR(__xludf.DUMMYFUNCTION("""COMPUTED_VALUE"""),"Directa-Simétrica")</f>
        <v>Directa-Simétrica</v>
      </c>
      <c r="O1052" s="97">
        <f>IFERROR(__xludf.DUMMYFUNCTION("""COMPUTED_VALUE"""),10.0)</f>
        <v>10</v>
      </c>
      <c r="P1052" s="97"/>
      <c r="Q1052" s="97">
        <f>IFERROR(__xludf.DUMMYFUNCTION("""COMPUTED_VALUE"""),0.55)</f>
        <v>0.55</v>
      </c>
      <c r="R1052" s="97" t="str">
        <f>IFERROR(__xludf.DUMMYFUNCTION("""COMPUTED_VALUE"""),"-")</f>
        <v>-</v>
      </c>
      <c r="S1052" s="97" t="str">
        <f>IFERROR(__xludf.DUMMYFUNCTION("""COMPUTED_VALUE"""),"-")</f>
        <v>-</v>
      </c>
      <c r="T1052" s="97">
        <f>IFERROR(__xludf.DUMMYFUNCTION("""COMPUTED_VALUE"""),460.0)</f>
        <v>460</v>
      </c>
      <c r="U1052" s="99">
        <f>IFERROR(__xludf.DUMMYFUNCTION("""COMPUTED_VALUE"""),46.0)</f>
        <v>46</v>
      </c>
      <c r="V1052" s="97">
        <f>IFERROR(__xludf.DUMMYFUNCTION("""COMPUTED_VALUE"""),36.0)</f>
        <v>36</v>
      </c>
      <c r="W1052" s="97" t="str">
        <f>IFERROR(__xludf.DUMMYFUNCTION("""COMPUTED_VALUE"""),"&lt; 14")</f>
        <v>&lt; 14</v>
      </c>
      <c r="X1052" s="97">
        <f>IFERROR(__xludf.DUMMYFUNCTION("""COMPUTED_VALUE"""),2700.0)</f>
        <v>2700</v>
      </c>
      <c r="Y1052" s="97" t="str">
        <f>IFERROR(__xludf.DUMMYFUNCTION("""COMPUTED_VALUE"""),"&gt;90")</f>
        <v>&gt;90</v>
      </c>
      <c r="Z1052" s="97"/>
      <c r="AA1052" s="97"/>
      <c r="AB1052" s="97" t="str">
        <f>IFERROR(__xludf.DUMMYFUNCTION("""COMPUTED_VALUE"""),"&lt; 2")</f>
        <v>&lt; 2</v>
      </c>
      <c r="AC1052" s="97"/>
      <c r="AD1052" s="97" t="str">
        <f>IFERROR(__xludf.DUMMYFUNCTION("""COMPUTED_VALUE"""),"IP20")</f>
        <v>IP20</v>
      </c>
      <c r="AE1052" s="97" t="str">
        <f>IFERROR(__xludf.DUMMYFUNCTION("""COMPUTED_VALUE"""),"Clase l")</f>
        <v>Clase l</v>
      </c>
      <c r="AF1052" s="97" t="str">
        <f>IFERROR(__xludf.DUMMYFUNCTION("""COMPUTED_VALUE"""),"Aplicar")</f>
        <v>Aplicar</v>
      </c>
      <c r="AG1052" s="97" t="str">
        <f>IFERROR(__xludf.DUMMYFUNCTION("""COMPUTED_VALUE"""),"Ø62 x 88")</f>
        <v>Ø62 x 88</v>
      </c>
      <c r="AH1052" s="97" t="str">
        <f>IFERROR(__xludf.DUMMYFUNCTION("""COMPUTED_VALUE"""),"N/A")</f>
        <v>N/A</v>
      </c>
      <c r="AI1052" s="97" t="str">
        <f>IFERROR(__xludf.DUMMYFUNCTION("""COMPUTED_VALUE"""),"N/A")</f>
        <v>N/A</v>
      </c>
      <c r="AJ1052" s="97" t="str">
        <f>IFERROR(__xludf.DUMMYFUNCTION("""COMPUTED_VALUE"""),"PMMA")</f>
        <v>PMMA</v>
      </c>
      <c r="AK1052" s="97" t="str">
        <f>IFERROR(__xludf.DUMMYFUNCTION("""COMPUTED_VALUE"""),"Aluminio")</f>
        <v>Aluminio</v>
      </c>
      <c r="AL1052" s="97" t="str">
        <f>IFERROR(__xludf.DUMMYFUNCTION("""COMPUTED_VALUE"""),"Blanco Mate")</f>
        <v>Blanco Mate</v>
      </c>
      <c r="AM1052" s="97" t="str">
        <f>IFERROR(__xludf.DUMMYFUNCTION("""COMPUTED_VALUE"""),"-")</f>
        <v>-</v>
      </c>
      <c r="AN1052" s="97" t="str">
        <f>IFERROR(__xludf.DUMMYFUNCTION("""COMPUTED_VALUE"""),"50.000hs (L80)")</f>
        <v>50.000hs (L80)</v>
      </c>
      <c r="AO1052" s="97" t="str">
        <f>IFERROR(__xludf.DUMMYFUNCTION("""COMPUTED_VALUE"""),"3 Años")</f>
        <v>3 Años</v>
      </c>
      <c r="AP1052" s="97" t="str">
        <f>IFERROR(__xludf.DUMMYFUNCTION("""COMPUTED_VALUE"""),"Disponible")</f>
        <v>Disponible</v>
      </c>
      <c r="AQ1052" s="97" t="str">
        <f>IFERROR(__xludf.DUMMYFUNCTION("""COMPUTED_VALUE"""),"Disponible")</f>
        <v>Disponible</v>
      </c>
      <c r="AR1052" s="97" t="str">
        <f>IFERROR(__xludf.DUMMYFUNCTION("""COMPUTED_VALUE"""),"Disponible")</f>
        <v>Disponible</v>
      </c>
      <c r="AS1052" s="97"/>
      <c r="AT1052" s="97"/>
      <c r="AU1052" s="97" t="str">
        <f>IFERROR(__xludf.DUMMYFUNCTION("""COMPUTED_VALUE"""),"Falta")</f>
        <v>Falta</v>
      </c>
      <c r="AV1052" s="97" t="str">
        <f>IFERROR(__xludf.DUMMYFUNCTION("""COMPUTED_VALUE"""),"Aplique")</f>
        <v>Aplique</v>
      </c>
      <c r="AW1052" s="97" t="str">
        <f>IFERROR(__xludf.DUMMYFUNCTION("""COMPUTED_VALUE"""),"De Techo")</f>
        <v>De Techo</v>
      </c>
      <c r="AX1052" s="97" t="str">
        <f>IFERROR(__xludf.DUMMYFUNCTION("""COMPUTED_VALUE"""),"Interior")</f>
        <v>Interior</v>
      </c>
      <c r="AY1052" s="97" t="str">
        <f>IFERROR(__xludf.DUMMYFUNCTION("""COMPUTED_VALUE"""),"-")</f>
        <v>-</v>
      </c>
      <c r="AZ1052" s="97"/>
      <c r="BA1052" s="97">
        <f>IFERROR(__xludf.DUMMYFUNCTION("""COMPUTED_VALUE"""),40.0)</f>
        <v>40</v>
      </c>
      <c r="BB1052" s="97" t="str">
        <f>IFERROR(__xludf.DUMMYFUNCTION("""COMPUTED_VALUE"""),"-")</f>
        <v>-</v>
      </c>
      <c r="BC1052" s="97" t="str">
        <f>IFERROR(__xludf.DUMMYFUNCTION("""COMPUTED_VALUE"""),"-")</f>
        <v>-</v>
      </c>
      <c r="BD1052" s="97" t="str">
        <f>IFERROR(__xludf.DUMMYFUNCTION("""COMPUTED_VALUE"""),"SIRENA")</f>
        <v>SIRENA</v>
      </c>
      <c r="BE1052" s="97" t="str">
        <f>IFERROR(__xludf.DUMMYFUNCTION("""COMPUTED_VALUE"""),"Finalizada")</f>
        <v>Finalizada</v>
      </c>
      <c r="BF1052" s="97"/>
      <c r="BG1052" s="97" t="str">
        <f>IFERROR(__xludf.DUMMYFUNCTION("""COMPUTED_VALUE"""),"Activo")</f>
        <v>Activo</v>
      </c>
    </row>
    <row r="1053">
      <c r="A1053" s="97">
        <f>IFERROR(__xludf.DUMMYFUNCTION("""COMPUTED_VALUE"""),6839.0)</f>
        <v>6839</v>
      </c>
      <c r="B1053" s="97" t="str">
        <f>IFERROR(__xludf.DUMMYFUNCTION("""COMPUTED_VALUE"""),"SIRENA NG 10W")</f>
        <v>SIRENA NG 10W</v>
      </c>
      <c r="C1053" s="97" t="str">
        <f>IFERROR(__xludf.DUMMYFUNCTION("""COMPUTED_VALUE"""),"APLIQUE SIRENA NG 10W 10W 2700K 460LM CRI&gt;90 IP20 LEUK")</f>
        <v>APLIQUE SIRENA NG 10W 10W 2700K 460LM CRI&gt;90 IP20 LEUK</v>
      </c>
      <c r="D1053" s="97">
        <f>IFERROR(__xludf.DUMMYFUNCTION("""COMPUTED_VALUE"""),7.798413224863E12)</f>
        <v>7798413224863</v>
      </c>
      <c r="E1053" s="97" t="str">
        <f>IFERROR(__xludf.DUMMYFUNCTION("""COMPUTED_VALUE"""),"F62")</f>
        <v>F62</v>
      </c>
      <c r="F1053" s="97" t="str">
        <f>IFERROR(__xludf.DUMMYFUNCTION("""COMPUTED_VALUE"""),"LED integrado")</f>
        <v>LED integrado</v>
      </c>
      <c r="G1053" s="97" t="str">
        <f>IFERROR(__xludf.DUMMYFUNCTION("""COMPUTED_VALUE"""),"Bridgelux")</f>
        <v>Bridgelux</v>
      </c>
      <c r="H1053" s="97" t="str">
        <f>IFERROR(__xludf.DUMMYFUNCTION("""COMPUTED_VALUE"""),"Eaglerise")</f>
        <v>Eaglerise</v>
      </c>
      <c r="I1053" s="97"/>
      <c r="J1053" s="97" t="str">
        <f>IFERROR(__xludf.DUMMYFUNCTION("""COMPUTED_VALUE"""),"Modelo: CS-12-250 SB1
In: 220-240Vac 0.15A 50/60Hz
Out: 28-42Vdc 250mA - 10.5W
Pf 0.55 Ta 60°C Tc 85°C")</f>
        <v>Modelo: CS-12-250 SB1
In: 220-240Vac 0.15A 50/60Hz
Out: 28-42Vdc 250mA - 10.5W
Pf 0.55 Ta 60°C Tc 85°C</v>
      </c>
      <c r="K1053" s="97" t="str">
        <f>IFERROR(__xludf.DUMMYFUNCTION("""COMPUTED_VALUE"""),"ON/OFF")</f>
        <v>ON/OFF</v>
      </c>
      <c r="L1053" s="97" t="str">
        <f>IFERROR(__xludf.DUMMYFUNCTION("""COMPUTED_VALUE"""),"200-240")</f>
        <v>200-240</v>
      </c>
      <c r="M1053" s="97" t="str">
        <f>IFERROR(__xludf.DUMMYFUNCTION("""COMPUTED_VALUE"""),"50/60")</f>
        <v>50/60</v>
      </c>
      <c r="N1053" s="97" t="str">
        <f>IFERROR(__xludf.DUMMYFUNCTION("""COMPUTED_VALUE"""),"Directa-Simétrica")</f>
        <v>Directa-Simétrica</v>
      </c>
      <c r="O1053" s="97">
        <f>IFERROR(__xludf.DUMMYFUNCTION("""COMPUTED_VALUE"""),10.0)</f>
        <v>10</v>
      </c>
      <c r="P1053" s="97"/>
      <c r="Q1053" s="97">
        <f>IFERROR(__xludf.DUMMYFUNCTION("""COMPUTED_VALUE"""),0.55)</f>
        <v>0.55</v>
      </c>
      <c r="R1053" s="97" t="str">
        <f>IFERROR(__xludf.DUMMYFUNCTION("""COMPUTED_VALUE"""),"-")</f>
        <v>-</v>
      </c>
      <c r="S1053" s="97" t="str">
        <f>IFERROR(__xludf.DUMMYFUNCTION("""COMPUTED_VALUE"""),"-")</f>
        <v>-</v>
      </c>
      <c r="T1053" s="97">
        <f>IFERROR(__xludf.DUMMYFUNCTION("""COMPUTED_VALUE"""),460.0)</f>
        <v>460</v>
      </c>
      <c r="U1053" s="99">
        <f>IFERROR(__xludf.DUMMYFUNCTION("""COMPUTED_VALUE"""),46.0)</f>
        <v>46</v>
      </c>
      <c r="V1053" s="97">
        <f>IFERROR(__xludf.DUMMYFUNCTION("""COMPUTED_VALUE"""),36.0)</f>
        <v>36</v>
      </c>
      <c r="W1053" s="97" t="str">
        <f>IFERROR(__xludf.DUMMYFUNCTION("""COMPUTED_VALUE"""),"&lt; 14")</f>
        <v>&lt; 14</v>
      </c>
      <c r="X1053" s="97">
        <f>IFERROR(__xludf.DUMMYFUNCTION("""COMPUTED_VALUE"""),2700.0)</f>
        <v>2700</v>
      </c>
      <c r="Y1053" s="97" t="str">
        <f>IFERROR(__xludf.DUMMYFUNCTION("""COMPUTED_VALUE"""),"&gt;90")</f>
        <v>&gt;90</v>
      </c>
      <c r="Z1053" s="97"/>
      <c r="AA1053" s="97"/>
      <c r="AB1053" s="97" t="str">
        <f>IFERROR(__xludf.DUMMYFUNCTION("""COMPUTED_VALUE"""),"&lt; 2")</f>
        <v>&lt; 2</v>
      </c>
      <c r="AC1053" s="97"/>
      <c r="AD1053" s="97" t="str">
        <f>IFERROR(__xludf.DUMMYFUNCTION("""COMPUTED_VALUE"""),"IP20")</f>
        <v>IP20</v>
      </c>
      <c r="AE1053" s="97" t="str">
        <f>IFERROR(__xludf.DUMMYFUNCTION("""COMPUTED_VALUE"""),"Clase l")</f>
        <v>Clase l</v>
      </c>
      <c r="AF1053" s="97" t="str">
        <f>IFERROR(__xludf.DUMMYFUNCTION("""COMPUTED_VALUE"""),"Aplicar")</f>
        <v>Aplicar</v>
      </c>
      <c r="AG1053" s="97" t="str">
        <f>IFERROR(__xludf.DUMMYFUNCTION("""COMPUTED_VALUE"""),"Ø62 x 88")</f>
        <v>Ø62 x 88</v>
      </c>
      <c r="AH1053" s="97" t="str">
        <f>IFERROR(__xludf.DUMMYFUNCTION("""COMPUTED_VALUE"""),"N/A")</f>
        <v>N/A</v>
      </c>
      <c r="AI1053" s="97" t="str">
        <f>IFERROR(__xludf.DUMMYFUNCTION("""COMPUTED_VALUE"""),"N/A")</f>
        <v>N/A</v>
      </c>
      <c r="AJ1053" s="97" t="str">
        <f>IFERROR(__xludf.DUMMYFUNCTION("""COMPUTED_VALUE"""),"PMMA")</f>
        <v>PMMA</v>
      </c>
      <c r="AK1053" s="97" t="str">
        <f>IFERROR(__xludf.DUMMYFUNCTION("""COMPUTED_VALUE"""),"Aluminio")</f>
        <v>Aluminio</v>
      </c>
      <c r="AL1053" s="97" t="str">
        <f>IFERROR(__xludf.DUMMYFUNCTION("""COMPUTED_VALUE"""),"Negro Mate")</f>
        <v>Negro Mate</v>
      </c>
      <c r="AM1053" s="97" t="str">
        <f>IFERROR(__xludf.DUMMYFUNCTION("""COMPUTED_VALUE"""),"-")</f>
        <v>-</v>
      </c>
      <c r="AN1053" s="97" t="str">
        <f>IFERROR(__xludf.DUMMYFUNCTION("""COMPUTED_VALUE"""),"50.000hs (L80)")</f>
        <v>50.000hs (L80)</v>
      </c>
      <c r="AO1053" s="97" t="str">
        <f>IFERROR(__xludf.DUMMYFUNCTION("""COMPUTED_VALUE"""),"3 Años")</f>
        <v>3 Años</v>
      </c>
      <c r="AP1053" s="97" t="str">
        <f>IFERROR(__xludf.DUMMYFUNCTION("""COMPUTED_VALUE"""),"Disponible")</f>
        <v>Disponible</v>
      </c>
      <c r="AQ1053" s="97" t="str">
        <f>IFERROR(__xludf.DUMMYFUNCTION("""COMPUTED_VALUE"""),"Disponible")</f>
        <v>Disponible</v>
      </c>
      <c r="AR1053" s="97" t="str">
        <f>IFERROR(__xludf.DUMMYFUNCTION("""COMPUTED_VALUE"""),"Disponible")</f>
        <v>Disponible</v>
      </c>
      <c r="AS1053" s="97"/>
      <c r="AT1053" s="97"/>
      <c r="AU1053" s="97" t="str">
        <f>IFERROR(__xludf.DUMMYFUNCTION("""COMPUTED_VALUE"""),"Falta")</f>
        <v>Falta</v>
      </c>
      <c r="AV1053" s="97" t="str">
        <f>IFERROR(__xludf.DUMMYFUNCTION("""COMPUTED_VALUE"""),"Aplique")</f>
        <v>Aplique</v>
      </c>
      <c r="AW1053" s="97" t="str">
        <f>IFERROR(__xludf.DUMMYFUNCTION("""COMPUTED_VALUE"""),"De Techo")</f>
        <v>De Techo</v>
      </c>
      <c r="AX1053" s="97" t="str">
        <f>IFERROR(__xludf.DUMMYFUNCTION("""COMPUTED_VALUE"""),"Interior")</f>
        <v>Interior</v>
      </c>
      <c r="AY1053" s="97" t="str">
        <f>IFERROR(__xludf.DUMMYFUNCTION("""COMPUTED_VALUE"""),"-")</f>
        <v>-</v>
      </c>
      <c r="AZ1053" s="97"/>
      <c r="BA1053" s="97">
        <f>IFERROR(__xludf.DUMMYFUNCTION("""COMPUTED_VALUE"""),40.0)</f>
        <v>40</v>
      </c>
      <c r="BB1053" s="97" t="str">
        <f>IFERROR(__xludf.DUMMYFUNCTION("""COMPUTED_VALUE"""),"-")</f>
        <v>-</v>
      </c>
      <c r="BC1053" s="97" t="str">
        <f>IFERROR(__xludf.DUMMYFUNCTION("""COMPUTED_VALUE"""),"-")</f>
        <v>-</v>
      </c>
      <c r="BD1053" s="97" t="str">
        <f>IFERROR(__xludf.DUMMYFUNCTION("""COMPUTED_VALUE"""),"SIRENA")</f>
        <v>SIRENA</v>
      </c>
      <c r="BE1053" s="97" t="str">
        <f>IFERROR(__xludf.DUMMYFUNCTION("""COMPUTED_VALUE"""),"Finalizada")</f>
        <v>Finalizada</v>
      </c>
      <c r="BF1053" s="97"/>
      <c r="BG1053" s="97" t="str">
        <f>IFERROR(__xludf.DUMMYFUNCTION("""COMPUTED_VALUE"""),"Activo")</f>
        <v>Activo</v>
      </c>
    </row>
    <row r="1054">
      <c r="A1054" s="97">
        <f>IFERROR(__xludf.DUMMYFUNCTION("""COMPUTED_VALUE"""),6840.0)</f>
        <v>6840</v>
      </c>
      <c r="B1054" s="97" t="str">
        <f>IFERROR(__xludf.DUMMYFUNCTION("""COMPUTED_VALUE"""),"WILLY BL 10W")</f>
        <v>WILLY BL 10W</v>
      </c>
      <c r="C1054" s="97" t="str">
        <f>IFERROR(__xludf.DUMMYFUNCTION("""COMPUTED_VALUE"""),"APLIQUE WILLY BL 10W 10W 2700K 750LM CRI&gt;90 IP20 LEUK")</f>
        <v>APLIQUE WILLY BL 10W 10W 2700K 750LM CRI&gt;90 IP20 LEUK</v>
      </c>
      <c r="D1054" s="97">
        <f>IFERROR(__xludf.DUMMYFUNCTION("""COMPUTED_VALUE"""),7.798413224894E12)</f>
        <v>7798413224894</v>
      </c>
      <c r="E1054" s="97" t="str">
        <f>IFERROR(__xludf.DUMMYFUNCTION("""COMPUTED_VALUE"""),"F63")</f>
        <v>F63</v>
      </c>
      <c r="F1054" s="97" t="str">
        <f>IFERROR(__xludf.DUMMYFUNCTION("""COMPUTED_VALUE"""),"LED integrado")</f>
        <v>LED integrado</v>
      </c>
      <c r="G1054" s="97" t="str">
        <f>IFERROR(__xludf.DUMMYFUNCTION("""COMPUTED_VALUE"""),"Bridgelux")</f>
        <v>Bridgelux</v>
      </c>
      <c r="H1054" s="97" t="str">
        <f>IFERROR(__xludf.DUMMYFUNCTION("""COMPUTED_VALUE"""),"Eaglerise")</f>
        <v>Eaglerise</v>
      </c>
      <c r="I1054" s="97"/>
      <c r="J1054" s="97" t="str">
        <f>IFERROR(__xludf.DUMMYFUNCTION("""COMPUTED_VALUE"""),"Modelo: CS-12-250 SB1
In: 220-240Vac 0.15A 50/60Hz
Out: 28-42Vdc 250mA - 10.5W
Pf 0.55 Ta 60°C Tc 85°C")</f>
        <v>Modelo: CS-12-250 SB1
In: 220-240Vac 0.15A 50/60Hz
Out: 28-42Vdc 250mA - 10.5W
Pf 0.55 Ta 60°C Tc 85°C</v>
      </c>
      <c r="K1054" s="97" t="str">
        <f>IFERROR(__xludf.DUMMYFUNCTION("""COMPUTED_VALUE"""),"ON/OFF")</f>
        <v>ON/OFF</v>
      </c>
      <c r="L1054" s="97" t="str">
        <f>IFERROR(__xludf.DUMMYFUNCTION("""COMPUTED_VALUE"""),"200-240")</f>
        <v>200-240</v>
      </c>
      <c r="M1054" s="97" t="str">
        <f>IFERROR(__xludf.DUMMYFUNCTION("""COMPUTED_VALUE"""),"50/60")</f>
        <v>50/60</v>
      </c>
      <c r="N1054" s="97" t="str">
        <f>IFERROR(__xludf.DUMMYFUNCTION("""COMPUTED_VALUE"""),"Directa-Simétrica")</f>
        <v>Directa-Simétrica</v>
      </c>
      <c r="O1054" s="97">
        <f>IFERROR(__xludf.DUMMYFUNCTION("""COMPUTED_VALUE"""),10.0)</f>
        <v>10</v>
      </c>
      <c r="P1054" s="97"/>
      <c r="Q1054" s="97">
        <f>IFERROR(__xludf.DUMMYFUNCTION("""COMPUTED_VALUE"""),0.55)</f>
        <v>0.55</v>
      </c>
      <c r="R1054" s="97" t="str">
        <f>IFERROR(__xludf.DUMMYFUNCTION("""COMPUTED_VALUE"""),"-")</f>
        <v>-</v>
      </c>
      <c r="S1054" s="97" t="str">
        <f>IFERROR(__xludf.DUMMYFUNCTION("""COMPUTED_VALUE"""),"-")</f>
        <v>-</v>
      </c>
      <c r="T1054" s="97">
        <f>IFERROR(__xludf.DUMMYFUNCTION("""COMPUTED_VALUE"""),750.0)</f>
        <v>750</v>
      </c>
      <c r="U1054" s="99">
        <f>IFERROR(__xludf.DUMMYFUNCTION("""COMPUTED_VALUE"""),75.0)</f>
        <v>75</v>
      </c>
      <c r="V1054" s="97">
        <f>IFERROR(__xludf.DUMMYFUNCTION("""COMPUTED_VALUE"""),36.0)</f>
        <v>36</v>
      </c>
      <c r="W1054" s="97" t="str">
        <f>IFERROR(__xludf.DUMMYFUNCTION("""COMPUTED_VALUE"""),"&lt; 14")</f>
        <v>&lt; 14</v>
      </c>
      <c r="X1054" s="97">
        <f>IFERROR(__xludf.DUMMYFUNCTION("""COMPUTED_VALUE"""),2700.0)</f>
        <v>2700</v>
      </c>
      <c r="Y1054" s="97" t="str">
        <f>IFERROR(__xludf.DUMMYFUNCTION("""COMPUTED_VALUE"""),"&gt;90")</f>
        <v>&gt;90</v>
      </c>
      <c r="Z1054" s="97"/>
      <c r="AA1054" s="97"/>
      <c r="AB1054" s="97" t="str">
        <f>IFERROR(__xludf.DUMMYFUNCTION("""COMPUTED_VALUE"""),"&lt; 2")</f>
        <v>&lt; 2</v>
      </c>
      <c r="AC1054" s="97"/>
      <c r="AD1054" s="97" t="str">
        <f>IFERROR(__xludf.DUMMYFUNCTION("""COMPUTED_VALUE"""),"IP20")</f>
        <v>IP20</v>
      </c>
      <c r="AE1054" s="97" t="str">
        <f>IFERROR(__xludf.DUMMYFUNCTION("""COMPUTED_VALUE"""),"Clase l")</f>
        <v>Clase l</v>
      </c>
      <c r="AF1054" s="97" t="str">
        <f>IFERROR(__xludf.DUMMYFUNCTION("""COMPUTED_VALUE"""),"Aplicar")</f>
        <v>Aplicar</v>
      </c>
      <c r="AG1054" s="97" t="str">
        <f>IFERROR(__xludf.DUMMYFUNCTION("""COMPUTED_VALUE"""),"Ø80 x 55")</f>
        <v>Ø80 x 55</v>
      </c>
      <c r="AH1054" s="97" t="str">
        <f>IFERROR(__xludf.DUMMYFUNCTION("""COMPUTED_VALUE"""),"N/A")</f>
        <v>N/A</v>
      </c>
      <c r="AI1054" s="97" t="str">
        <f>IFERROR(__xludf.DUMMYFUNCTION("""COMPUTED_VALUE"""),"N/A")</f>
        <v>N/A</v>
      </c>
      <c r="AJ1054" s="97" t="str">
        <f>IFERROR(__xludf.DUMMYFUNCTION("""COMPUTED_VALUE"""),"PMMA")</f>
        <v>PMMA</v>
      </c>
      <c r="AK1054" s="97" t="str">
        <f>IFERROR(__xludf.DUMMYFUNCTION("""COMPUTED_VALUE"""),"Aluminio")</f>
        <v>Aluminio</v>
      </c>
      <c r="AL1054" s="97" t="str">
        <f>IFERROR(__xludf.DUMMYFUNCTION("""COMPUTED_VALUE"""),"Blanco Mate")</f>
        <v>Blanco Mate</v>
      </c>
      <c r="AM1054" s="97" t="str">
        <f>IFERROR(__xludf.DUMMYFUNCTION("""COMPUTED_VALUE"""),"-")</f>
        <v>-</v>
      </c>
      <c r="AN1054" s="97" t="str">
        <f>IFERROR(__xludf.DUMMYFUNCTION("""COMPUTED_VALUE"""),"50.000hs (L80)")</f>
        <v>50.000hs (L80)</v>
      </c>
      <c r="AO1054" s="97" t="str">
        <f>IFERROR(__xludf.DUMMYFUNCTION("""COMPUTED_VALUE"""),"3 Años")</f>
        <v>3 Años</v>
      </c>
      <c r="AP1054" s="97" t="str">
        <f>IFERROR(__xludf.DUMMYFUNCTION("""COMPUTED_VALUE"""),"Disponible")</f>
        <v>Disponible</v>
      </c>
      <c r="AQ1054" s="97" t="str">
        <f>IFERROR(__xludf.DUMMYFUNCTION("""COMPUTED_VALUE"""),"Disponible")</f>
        <v>Disponible</v>
      </c>
      <c r="AR1054" s="97" t="str">
        <f>IFERROR(__xludf.DUMMYFUNCTION("""COMPUTED_VALUE"""),"Disponible")</f>
        <v>Disponible</v>
      </c>
      <c r="AS1054" s="97"/>
      <c r="AT1054" s="97"/>
      <c r="AU1054" s="97" t="str">
        <f>IFERROR(__xludf.DUMMYFUNCTION("""COMPUTED_VALUE"""),"Falta")</f>
        <v>Falta</v>
      </c>
      <c r="AV1054" s="97" t="str">
        <f>IFERROR(__xludf.DUMMYFUNCTION("""COMPUTED_VALUE"""),"Aplique")</f>
        <v>Aplique</v>
      </c>
      <c r="AW1054" s="97" t="str">
        <f>IFERROR(__xludf.DUMMYFUNCTION("""COMPUTED_VALUE"""),"De Techo")</f>
        <v>De Techo</v>
      </c>
      <c r="AX1054" s="97" t="str">
        <f>IFERROR(__xludf.DUMMYFUNCTION("""COMPUTED_VALUE"""),"Interior")</f>
        <v>Interior</v>
      </c>
      <c r="AY1054" s="97" t="str">
        <f>IFERROR(__xludf.DUMMYFUNCTION("""COMPUTED_VALUE"""),"-")</f>
        <v>-</v>
      </c>
      <c r="AZ1054" s="97"/>
      <c r="BA1054" s="97">
        <f>IFERROR(__xludf.DUMMYFUNCTION("""COMPUTED_VALUE"""),60.0)</f>
        <v>60</v>
      </c>
      <c r="BB1054" s="97" t="str">
        <f>IFERROR(__xludf.DUMMYFUNCTION("""COMPUTED_VALUE"""),"-")</f>
        <v>-</v>
      </c>
      <c r="BC1054" s="97" t="str">
        <f>IFERROR(__xludf.DUMMYFUNCTION("""COMPUTED_VALUE"""),"-")</f>
        <v>-</v>
      </c>
      <c r="BD1054" s="97" t="str">
        <f>IFERROR(__xludf.DUMMYFUNCTION("""COMPUTED_VALUE"""),"WILLY")</f>
        <v>WILLY</v>
      </c>
      <c r="BE1054" s="97" t="str">
        <f>IFERROR(__xludf.DUMMYFUNCTION("""COMPUTED_VALUE"""),"Finalizada")</f>
        <v>Finalizada</v>
      </c>
      <c r="BF1054" s="97"/>
      <c r="BG1054" s="97" t="str">
        <f>IFERROR(__xludf.DUMMYFUNCTION("""COMPUTED_VALUE"""),"Activo")</f>
        <v>Activo</v>
      </c>
    </row>
    <row r="1055">
      <c r="A1055" s="97">
        <f>IFERROR(__xludf.DUMMYFUNCTION("""COMPUTED_VALUE"""),6841.0)</f>
        <v>6841</v>
      </c>
      <c r="B1055" s="97" t="str">
        <f>IFERROR(__xludf.DUMMYFUNCTION("""COMPUTED_VALUE"""),"WILLY NG 10W")</f>
        <v>WILLY NG 10W</v>
      </c>
      <c r="C1055" s="97" t="str">
        <f>IFERROR(__xludf.DUMMYFUNCTION("""COMPUTED_VALUE"""),"APLIQUE WILLY NG 10W 10W 2700K 750LM CRI&gt;90 IP20 LEUK")</f>
        <v>APLIQUE WILLY NG 10W 10W 2700K 750LM CRI&gt;90 IP20 LEUK</v>
      </c>
      <c r="D1055" s="97">
        <f>IFERROR(__xludf.DUMMYFUNCTION("""COMPUTED_VALUE"""),7.798413224887E12)</f>
        <v>7798413224887</v>
      </c>
      <c r="E1055" s="97" t="str">
        <f>IFERROR(__xludf.DUMMYFUNCTION("""COMPUTED_VALUE"""),"F63")</f>
        <v>F63</v>
      </c>
      <c r="F1055" s="97" t="str">
        <f>IFERROR(__xludf.DUMMYFUNCTION("""COMPUTED_VALUE"""),"LED integrado")</f>
        <v>LED integrado</v>
      </c>
      <c r="G1055" s="97" t="str">
        <f>IFERROR(__xludf.DUMMYFUNCTION("""COMPUTED_VALUE"""),"Bridgelux")</f>
        <v>Bridgelux</v>
      </c>
      <c r="H1055" s="97" t="str">
        <f>IFERROR(__xludf.DUMMYFUNCTION("""COMPUTED_VALUE"""),"Eaglerise")</f>
        <v>Eaglerise</v>
      </c>
      <c r="I1055" s="97"/>
      <c r="J1055" s="97" t="str">
        <f>IFERROR(__xludf.DUMMYFUNCTION("""COMPUTED_VALUE"""),"Modelo: CS-12-250 SB1
In: 220-240Vac 0.15A 50/60Hz
Out: 28-42Vdc 250mA - 10.5W
Pf 0.55 Ta 60°C Tc 85°C")</f>
        <v>Modelo: CS-12-250 SB1
In: 220-240Vac 0.15A 50/60Hz
Out: 28-42Vdc 250mA - 10.5W
Pf 0.55 Ta 60°C Tc 85°C</v>
      </c>
      <c r="K1055" s="97" t="str">
        <f>IFERROR(__xludf.DUMMYFUNCTION("""COMPUTED_VALUE"""),"ON/OFF")</f>
        <v>ON/OFF</v>
      </c>
      <c r="L1055" s="97" t="str">
        <f>IFERROR(__xludf.DUMMYFUNCTION("""COMPUTED_VALUE"""),"200-240")</f>
        <v>200-240</v>
      </c>
      <c r="M1055" s="97" t="str">
        <f>IFERROR(__xludf.DUMMYFUNCTION("""COMPUTED_VALUE"""),"50/60")</f>
        <v>50/60</v>
      </c>
      <c r="N1055" s="97" t="str">
        <f>IFERROR(__xludf.DUMMYFUNCTION("""COMPUTED_VALUE"""),"Directa-Simétrica")</f>
        <v>Directa-Simétrica</v>
      </c>
      <c r="O1055" s="97">
        <f>IFERROR(__xludf.DUMMYFUNCTION("""COMPUTED_VALUE"""),10.0)</f>
        <v>10</v>
      </c>
      <c r="P1055" s="97"/>
      <c r="Q1055" s="97">
        <f>IFERROR(__xludf.DUMMYFUNCTION("""COMPUTED_VALUE"""),0.55)</f>
        <v>0.55</v>
      </c>
      <c r="R1055" s="97" t="str">
        <f>IFERROR(__xludf.DUMMYFUNCTION("""COMPUTED_VALUE"""),"-")</f>
        <v>-</v>
      </c>
      <c r="S1055" s="97" t="str">
        <f>IFERROR(__xludf.DUMMYFUNCTION("""COMPUTED_VALUE"""),"-")</f>
        <v>-</v>
      </c>
      <c r="T1055" s="97">
        <f>IFERROR(__xludf.DUMMYFUNCTION("""COMPUTED_VALUE"""),750.0)</f>
        <v>750</v>
      </c>
      <c r="U1055" s="99">
        <f>IFERROR(__xludf.DUMMYFUNCTION("""COMPUTED_VALUE"""),75.0)</f>
        <v>75</v>
      </c>
      <c r="V1055" s="97">
        <f>IFERROR(__xludf.DUMMYFUNCTION("""COMPUTED_VALUE"""),36.0)</f>
        <v>36</v>
      </c>
      <c r="W1055" s="97" t="str">
        <f>IFERROR(__xludf.DUMMYFUNCTION("""COMPUTED_VALUE"""),"&lt; 14")</f>
        <v>&lt; 14</v>
      </c>
      <c r="X1055" s="97">
        <f>IFERROR(__xludf.DUMMYFUNCTION("""COMPUTED_VALUE"""),2700.0)</f>
        <v>2700</v>
      </c>
      <c r="Y1055" s="97" t="str">
        <f>IFERROR(__xludf.DUMMYFUNCTION("""COMPUTED_VALUE"""),"&gt;90")</f>
        <v>&gt;90</v>
      </c>
      <c r="Z1055" s="97"/>
      <c r="AA1055" s="97"/>
      <c r="AB1055" s="97" t="str">
        <f>IFERROR(__xludf.DUMMYFUNCTION("""COMPUTED_VALUE"""),"&lt; 2")</f>
        <v>&lt; 2</v>
      </c>
      <c r="AC1055" s="97"/>
      <c r="AD1055" s="97" t="str">
        <f>IFERROR(__xludf.DUMMYFUNCTION("""COMPUTED_VALUE"""),"IP20")</f>
        <v>IP20</v>
      </c>
      <c r="AE1055" s="97" t="str">
        <f>IFERROR(__xludf.DUMMYFUNCTION("""COMPUTED_VALUE"""),"Clase l")</f>
        <v>Clase l</v>
      </c>
      <c r="AF1055" s="97" t="str">
        <f>IFERROR(__xludf.DUMMYFUNCTION("""COMPUTED_VALUE"""),"Aplicar")</f>
        <v>Aplicar</v>
      </c>
      <c r="AG1055" s="97" t="str">
        <f>IFERROR(__xludf.DUMMYFUNCTION("""COMPUTED_VALUE"""),"Ø80 x 55")</f>
        <v>Ø80 x 55</v>
      </c>
      <c r="AH1055" s="97" t="str">
        <f>IFERROR(__xludf.DUMMYFUNCTION("""COMPUTED_VALUE"""),"N/A")</f>
        <v>N/A</v>
      </c>
      <c r="AI1055" s="97" t="str">
        <f>IFERROR(__xludf.DUMMYFUNCTION("""COMPUTED_VALUE"""),"N/A")</f>
        <v>N/A</v>
      </c>
      <c r="AJ1055" s="97" t="str">
        <f>IFERROR(__xludf.DUMMYFUNCTION("""COMPUTED_VALUE"""),"PMMA")</f>
        <v>PMMA</v>
      </c>
      <c r="AK1055" s="97" t="str">
        <f>IFERROR(__xludf.DUMMYFUNCTION("""COMPUTED_VALUE"""),"Aluminio")</f>
        <v>Aluminio</v>
      </c>
      <c r="AL1055" s="97" t="str">
        <f>IFERROR(__xludf.DUMMYFUNCTION("""COMPUTED_VALUE"""),"Negro Mate")</f>
        <v>Negro Mate</v>
      </c>
      <c r="AM1055" s="97" t="str">
        <f>IFERROR(__xludf.DUMMYFUNCTION("""COMPUTED_VALUE"""),"-")</f>
        <v>-</v>
      </c>
      <c r="AN1055" s="97" t="str">
        <f>IFERROR(__xludf.DUMMYFUNCTION("""COMPUTED_VALUE"""),"50.000hs (L80)")</f>
        <v>50.000hs (L80)</v>
      </c>
      <c r="AO1055" s="97" t="str">
        <f>IFERROR(__xludf.DUMMYFUNCTION("""COMPUTED_VALUE"""),"3 Años")</f>
        <v>3 Años</v>
      </c>
      <c r="AP1055" s="97" t="str">
        <f>IFERROR(__xludf.DUMMYFUNCTION("""COMPUTED_VALUE"""),"Disponible")</f>
        <v>Disponible</v>
      </c>
      <c r="AQ1055" s="97" t="str">
        <f>IFERROR(__xludf.DUMMYFUNCTION("""COMPUTED_VALUE"""),"Disponible")</f>
        <v>Disponible</v>
      </c>
      <c r="AR1055" s="97" t="str">
        <f>IFERROR(__xludf.DUMMYFUNCTION("""COMPUTED_VALUE"""),"Disponible")</f>
        <v>Disponible</v>
      </c>
      <c r="AS1055" s="97"/>
      <c r="AT1055" s="97"/>
      <c r="AU1055" s="97" t="str">
        <f>IFERROR(__xludf.DUMMYFUNCTION("""COMPUTED_VALUE"""),"Falta")</f>
        <v>Falta</v>
      </c>
      <c r="AV1055" s="97" t="str">
        <f>IFERROR(__xludf.DUMMYFUNCTION("""COMPUTED_VALUE"""),"Aplique")</f>
        <v>Aplique</v>
      </c>
      <c r="AW1055" s="97" t="str">
        <f>IFERROR(__xludf.DUMMYFUNCTION("""COMPUTED_VALUE"""),"De Techo")</f>
        <v>De Techo</v>
      </c>
      <c r="AX1055" s="97" t="str">
        <f>IFERROR(__xludf.DUMMYFUNCTION("""COMPUTED_VALUE"""),"Interior")</f>
        <v>Interior</v>
      </c>
      <c r="AY1055" s="97" t="str">
        <f>IFERROR(__xludf.DUMMYFUNCTION("""COMPUTED_VALUE"""),"-")</f>
        <v>-</v>
      </c>
      <c r="AZ1055" s="97"/>
      <c r="BA1055" s="97">
        <f>IFERROR(__xludf.DUMMYFUNCTION("""COMPUTED_VALUE"""),60.0)</f>
        <v>60</v>
      </c>
      <c r="BB1055" s="97" t="str">
        <f>IFERROR(__xludf.DUMMYFUNCTION("""COMPUTED_VALUE"""),"-")</f>
        <v>-</v>
      </c>
      <c r="BC1055" s="97" t="str">
        <f>IFERROR(__xludf.DUMMYFUNCTION("""COMPUTED_VALUE"""),"-")</f>
        <v>-</v>
      </c>
      <c r="BD1055" s="97" t="str">
        <f>IFERROR(__xludf.DUMMYFUNCTION("""COMPUTED_VALUE"""),"WILLY")</f>
        <v>WILLY</v>
      </c>
      <c r="BE1055" s="97" t="str">
        <f>IFERROR(__xludf.DUMMYFUNCTION("""COMPUTED_VALUE"""),"Finalizada")</f>
        <v>Finalizada</v>
      </c>
      <c r="BF1055" s="97"/>
      <c r="BG1055" s="97" t="str">
        <f>IFERROR(__xludf.DUMMYFUNCTION("""COMPUTED_VALUE"""),"Activo")</f>
        <v>Activo</v>
      </c>
    </row>
    <row r="1056">
      <c r="A1056" s="97">
        <f>IFERROR(__xludf.DUMMYFUNCTION("""COMPUTED_VALUE"""),6842.0)</f>
        <v>6842</v>
      </c>
      <c r="B1056" s="97" t="str">
        <f>IFERROR(__xludf.DUMMYFUNCTION("""COMPUTED_VALUE"""),"CAPI DR")</f>
        <v>CAPI DR</v>
      </c>
      <c r="C1056" s="97" t="str">
        <f>IFERROR(__xludf.DUMMYFUNCTION("""COMPUTED_VALUE"""),"APLIQUE CAPI DR 5W 3000K 45LM CRI&gt;90 IP20 LEUK")</f>
        <v>APLIQUE CAPI DR 5W 3000K 45LM CRI&gt;90 IP20 LEUK</v>
      </c>
      <c r="D1056" s="97">
        <f>IFERROR(__xludf.DUMMYFUNCTION("""COMPUTED_VALUE"""),7.798413225082E12)</f>
        <v>7798413225082</v>
      </c>
      <c r="E1056" s="97" t="str">
        <f>IFERROR(__xludf.DUMMYFUNCTION("""COMPUTED_VALUE"""),"F88")</f>
        <v>F88</v>
      </c>
      <c r="F1056" s="97" t="str">
        <f>IFERROR(__xludf.DUMMYFUNCTION("""COMPUTED_VALUE"""),"LED SMD2835")</f>
        <v>LED SMD2835</v>
      </c>
      <c r="G1056" s="97" t="str">
        <f>IFERROR(__xludf.DUMMYFUNCTION("""COMPUTED_VALUE"""),"Bridgelux")</f>
        <v>Bridgelux</v>
      </c>
      <c r="H1056" s="97" t="str">
        <f>IFERROR(__xludf.DUMMYFUNCTION("""COMPUTED_VALUE"""),"-")</f>
        <v>-</v>
      </c>
      <c r="I1056" s="97"/>
      <c r="J1056" s="97" t="str">
        <f>IFERROR(__xludf.DUMMYFUNCTION("""COMPUTED_VALUE"""),"Modelo: KEDH003S0200NR01A7
In: 220-240Vac 0.09A 50/60Hz
Out: 11-19Vdc 200mA - 3.8W
Ta 50°C Tc 85°C")</f>
        <v>Modelo: KEDH003S0200NR01A7
In: 220-240Vac 0.09A 50/60Hz
Out: 11-19Vdc 200mA - 3.8W
Ta 50°C Tc 85°C</v>
      </c>
      <c r="K1056" s="97" t="str">
        <f>IFERROR(__xludf.DUMMYFUNCTION("""COMPUTED_VALUE"""),"ON/OFF")</f>
        <v>ON/OFF</v>
      </c>
      <c r="L1056" s="97" t="str">
        <f>IFERROR(__xludf.DUMMYFUNCTION("""COMPUTED_VALUE"""),"200-240")</f>
        <v>200-240</v>
      </c>
      <c r="M1056" s="97" t="str">
        <f>IFERROR(__xludf.DUMMYFUNCTION("""COMPUTED_VALUE"""),"50/60")</f>
        <v>50/60</v>
      </c>
      <c r="N1056" s="97" t="str">
        <f>IFERROR(__xludf.DUMMYFUNCTION("""COMPUTED_VALUE"""),"Indirecta")</f>
        <v>Indirecta</v>
      </c>
      <c r="O1056" s="97">
        <f>IFERROR(__xludf.DUMMYFUNCTION("""COMPUTED_VALUE"""),5.0)</f>
        <v>5</v>
      </c>
      <c r="P1056" s="97"/>
      <c r="Q1056" s="97">
        <f>IFERROR(__xludf.DUMMYFUNCTION("""COMPUTED_VALUE"""),0.5)</f>
        <v>0.5</v>
      </c>
      <c r="R1056" s="97" t="str">
        <f>IFERROR(__xludf.DUMMYFUNCTION("""COMPUTED_VALUE"""),"-")</f>
        <v>-</v>
      </c>
      <c r="S1056" s="97" t="str">
        <f>IFERROR(__xludf.DUMMYFUNCTION("""COMPUTED_VALUE"""),"-")</f>
        <v>-</v>
      </c>
      <c r="T1056" s="97">
        <f>IFERROR(__xludf.DUMMYFUNCTION("""COMPUTED_VALUE"""),45.0)</f>
        <v>45</v>
      </c>
      <c r="U1056" s="99">
        <f>IFERROR(__xludf.DUMMYFUNCTION("""COMPUTED_VALUE"""),9.0)</f>
        <v>9</v>
      </c>
      <c r="V1056" s="97">
        <f>IFERROR(__xludf.DUMMYFUNCTION("""COMPUTED_VALUE"""),260.0)</f>
        <v>260</v>
      </c>
      <c r="W1056" s="97" t="str">
        <f>IFERROR(__xludf.DUMMYFUNCTION("""COMPUTED_VALUE"""),"&lt; 12")</f>
        <v>&lt; 12</v>
      </c>
      <c r="X1056" s="97">
        <f>IFERROR(__xludf.DUMMYFUNCTION("""COMPUTED_VALUE"""),3000.0)</f>
        <v>3000</v>
      </c>
      <c r="Y1056" s="97" t="str">
        <f>IFERROR(__xludf.DUMMYFUNCTION("""COMPUTED_VALUE"""),"&gt;90")</f>
        <v>&gt;90</v>
      </c>
      <c r="Z1056" s="97" t="str">
        <f>IFERROR(__xludf.DUMMYFUNCTION("""COMPUTED_VALUE"""),"&gt;90")</f>
        <v>&gt;90</v>
      </c>
      <c r="AA1056" s="97" t="str">
        <f>IFERROR(__xludf.DUMMYFUNCTION("""COMPUTED_VALUE"""),"90-99 (Leve desaturación)")</f>
        <v>90-99 (Leve desaturación)</v>
      </c>
      <c r="AB1056" s="97" t="str">
        <f>IFERROR(__xludf.DUMMYFUNCTION("""COMPUTED_VALUE"""),"&lt; 2")</f>
        <v>&lt; 2</v>
      </c>
      <c r="AC1056" s="100" t="str">
        <f>IFERROR(__xludf.DUMMYFUNCTION("""COMPUTED_VALUE"""),"0.0001")</f>
        <v>0.0001</v>
      </c>
      <c r="AD1056" s="97" t="str">
        <f>IFERROR(__xludf.DUMMYFUNCTION("""COMPUTED_VALUE"""),"IP20")</f>
        <v>IP20</v>
      </c>
      <c r="AE1056" s="97" t="str">
        <f>IFERROR(__xludf.DUMMYFUNCTION("""COMPUTED_VALUE"""),"Clase l")</f>
        <v>Clase l</v>
      </c>
      <c r="AF1056" s="97" t="str">
        <f>IFERROR(__xludf.DUMMYFUNCTION("""COMPUTED_VALUE"""),"Aplicar")</f>
        <v>Aplicar</v>
      </c>
      <c r="AG1056" s="97" t="str">
        <f>IFERROR(__xludf.DUMMYFUNCTION("""COMPUTED_VALUE"""),"Ø110 x 75")</f>
        <v>Ø110 x 75</v>
      </c>
      <c r="AH1056" s="97" t="str">
        <f>IFERROR(__xludf.DUMMYFUNCTION("""COMPUTED_VALUE"""),"N/A")</f>
        <v>N/A</v>
      </c>
      <c r="AI1056" s="97" t="str">
        <f>IFERROR(__xludf.DUMMYFUNCTION("""COMPUTED_VALUE"""),"N/A")</f>
        <v>N/A</v>
      </c>
      <c r="AJ1056" s="97" t="str">
        <f>IFERROR(__xludf.DUMMYFUNCTION("""COMPUTED_VALUE"""),"Policarbonato (PC)")</f>
        <v>Policarbonato (PC)</v>
      </c>
      <c r="AK1056" s="97" t="str">
        <f>IFERROR(__xludf.DUMMYFUNCTION("""COMPUTED_VALUE"""),"ABS")</f>
        <v>ABS</v>
      </c>
      <c r="AL1056" s="97" t="str">
        <f>IFERROR(__xludf.DUMMYFUNCTION("""COMPUTED_VALUE"""),"Dorado")</f>
        <v>Dorado</v>
      </c>
      <c r="AM1056" s="97" t="str">
        <f>IFERROR(__xludf.DUMMYFUNCTION("""COMPUTED_VALUE"""),"-")</f>
        <v>-</v>
      </c>
      <c r="AN1056" s="97" t="str">
        <f>IFERROR(__xludf.DUMMYFUNCTION("""COMPUTED_VALUE"""),"25.000hs (L70)")</f>
        <v>25.000hs (L70)</v>
      </c>
      <c r="AO1056" s="97" t="str">
        <f>IFERROR(__xludf.DUMMYFUNCTION("""COMPUTED_VALUE"""),"2 Años")</f>
        <v>2 Años</v>
      </c>
      <c r="AP1056" s="97" t="str">
        <f>IFERROR(__xludf.DUMMYFUNCTION("""COMPUTED_VALUE"""),"Disponible")</f>
        <v>Disponible</v>
      </c>
      <c r="AQ1056" s="97" t="str">
        <f>IFERROR(__xludf.DUMMYFUNCTION("""COMPUTED_VALUE"""),"Disponible")</f>
        <v>Disponible</v>
      </c>
      <c r="AR1056" s="97" t="str">
        <f>IFERROR(__xludf.DUMMYFUNCTION("""COMPUTED_VALUE"""),"Disponible")</f>
        <v>Disponible</v>
      </c>
      <c r="AS1056" s="97"/>
      <c r="AT1056" s="97"/>
      <c r="AU1056" s="97" t="str">
        <f>IFERROR(__xludf.DUMMYFUNCTION("""COMPUTED_VALUE"""),"Falta")</f>
        <v>Falta</v>
      </c>
      <c r="AV1056" s="97" t="str">
        <f>IFERROR(__xludf.DUMMYFUNCTION("""COMPUTED_VALUE"""),"Aplique")</f>
        <v>Aplique</v>
      </c>
      <c r="AW1056" s="97" t="str">
        <f>IFERROR(__xludf.DUMMYFUNCTION("""COMPUTED_VALUE"""),"De Pared")</f>
        <v>De Pared</v>
      </c>
      <c r="AX1056" s="97" t="str">
        <f>IFERROR(__xludf.DUMMYFUNCTION("""COMPUTED_VALUE"""),"Interior")</f>
        <v>Interior</v>
      </c>
      <c r="AY1056" s="97" t="str">
        <f>IFERROR(__xludf.DUMMYFUNCTION("""COMPUTED_VALUE"""),"-")</f>
        <v>-</v>
      </c>
      <c r="AZ1056" s="97"/>
      <c r="BA1056" s="97"/>
      <c r="BB1056" s="97" t="str">
        <f>IFERROR(__xludf.DUMMYFUNCTION("""COMPUTED_VALUE"""),"-")</f>
        <v>-</v>
      </c>
      <c r="BC1056" s="97" t="str">
        <f>IFERROR(__xludf.DUMMYFUNCTION("""COMPUTED_VALUE"""),"-")</f>
        <v>-</v>
      </c>
      <c r="BD1056" s="97" t="str">
        <f>IFERROR(__xludf.DUMMYFUNCTION("""COMPUTED_VALUE"""),"CAPI")</f>
        <v>CAPI</v>
      </c>
      <c r="BE1056" s="97" t="str">
        <f>IFERROR(__xludf.DUMMYFUNCTION("""COMPUTED_VALUE"""),"Finalizada")</f>
        <v>Finalizada</v>
      </c>
      <c r="BF1056" s="97"/>
      <c r="BG1056" s="97" t="str">
        <f>IFERROR(__xludf.DUMMYFUNCTION("""COMPUTED_VALUE"""),"Activo")</f>
        <v>Activo</v>
      </c>
    </row>
    <row r="1057">
      <c r="A1057" s="97">
        <f>IFERROR(__xludf.DUMMYFUNCTION("""COMPUTED_VALUE"""),6843.0)</f>
        <v>6843</v>
      </c>
      <c r="B1057" s="97" t="str">
        <f>IFERROR(__xludf.DUMMYFUNCTION("""COMPUTED_VALUE"""),"MIJA R BL 12W")</f>
        <v>MIJA R BL 12W</v>
      </c>
      <c r="C1057" s="97" t="str">
        <f>IFERROR(__xludf.DUMMYFUNCTION("""COMPUTED_VALUE"""),"APLIQUE MIJA R BL 12W 12W 3000K 1265LM CRI&gt;80 IP65 LEUK")</f>
        <v>APLIQUE MIJA R BL 12W 12W 3000K 1265LM CRI&gt;80 IP65 LEUK</v>
      </c>
      <c r="D1057" s="97">
        <f>IFERROR(__xludf.DUMMYFUNCTION("""COMPUTED_VALUE"""),7.79841322346E12)</f>
        <v>7798413223460</v>
      </c>
      <c r="E1057" s="97" t="str">
        <f>IFERROR(__xludf.DUMMYFUNCTION("""COMPUTED_VALUE"""),"C23")</f>
        <v>C23</v>
      </c>
      <c r="F1057" s="97" t="str">
        <f>IFERROR(__xludf.DUMMYFUNCTION("""COMPUTED_VALUE"""),"LED integrado")</f>
        <v>LED integrado</v>
      </c>
      <c r="G1057" s="97" t="str">
        <f>IFERROR(__xludf.DUMMYFUNCTION("""COMPUTED_VALUE"""),"-")</f>
        <v>-</v>
      </c>
      <c r="H1057" s="97" t="str">
        <f>IFERROR(__xludf.DUMMYFUNCTION("""COMPUTED_VALUE"""),"-")</f>
        <v>-</v>
      </c>
      <c r="I1057" s="97"/>
      <c r="J1057" s="97" t="str">
        <f>IFERROR(__xludf.DUMMYFUNCTION("""COMPUTED_VALUE"""),"Driver integrado")</f>
        <v>Driver integrado</v>
      </c>
      <c r="K1057" s="97" t="str">
        <f>IFERROR(__xludf.DUMMYFUNCTION("""COMPUTED_VALUE"""),"ON/OFF")</f>
        <v>ON/OFF</v>
      </c>
      <c r="L1057" s="97" t="str">
        <f>IFERROR(__xludf.DUMMYFUNCTION("""COMPUTED_VALUE"""),"220-240")</f>
        <v>220-240</v>
      </c>
      <c r="M1057" s="97" t="str">
        <f>IFERROR(__xludf.DUMMYFUNCTION("""COMPUTED_VALUE"""),"50/60")</f>
        <v>50/60</v>
      </c>
      <c r="N1057" s="97" t="str">
        <f>IFERROR(__xludf.DUMMYFUNCTION("""COMPUTED_VALUE"""),"Indirecta")</f>
        <v>Indirecta</v>
      </c>
      <c r="O1057" s="97">
        <f>IFERROR(__xludf.DUMMYFUNCTION("""COMPUTED_VALUE"""),12.0)</f>
        <v>12</v>
      </c>
      <c r="P1057" s="97">
        <f>IFERROR(__xludf.DUMMYFUNCTION("""COMPUTED_VALUE"""),11.77)</f>
        <v>11.77</v>
      </c>
      <c r="Q1057" s="97">
        <f>IFERROR(__xludf.DUMMYFUNCTION("""COMPUTED_VALUE"""),0.5)</f>
        <v>0.5</v>
      </c>
      <c r="R1057" s="97" t="str">
        <f>IFERROR(__xludf.DUMMYFUNCTION("""COMPUTED_VALUE"""),"-")</f>
        <v>-</v>
      </c>
      <c r="S1057" s="97" t="str">
        <f>IFERROR(__xludf.DUMMYFUNCTION("""COMPUTED_VALUE"""),"-")</f>
        <v>-</v>
      </c>
      <c r="T1057" s="97">
        <f>IFERROR(__xludf.DUMMYFUNCTION("""COMPUTED_VALUE"""),1265.0)</f>
        <v>1265</v>
      </c>
      <c r="U1057" s="99">
        <f>IFERROR(__xludf.DUMMYFUNCTION("""COMPUTED_VALUE"""),105.41666666666667)</f>
        <v>105.4166667</v>
      </c>
      <c r="V1057" s="97">
        <f>IFERROR(__xludf.DUMMYFUNCTION("""COMPUTED_VALUE"""),107.0)</f>
        <v>107</v>
      </c>
      <c r="W1057" s="97" t="str">
        <f>IFERROR(__xludf.DUMMYFUNCTION("""COMPUTED_VALUE"""),"N/A")</f>
        <v>N/A</v>
      </c>
      <c r="X1057" s="97">
        <f>IFERROR(__xludf.DUMMYFUNCTION("""COMPUTED_VALUE"""),3000.0)</f>
        <v>3000</v>
      </c>
      <c r="Y1057" s="97" t="str">
        <f>IFERROR(__xludf.DUMMYFUNCTION("""COMPUTED_VALUE"""),"&gt;80")</f>
        <v>&gt;80</v>
      </c>
      <c r="Z1057" s="97"/>
      <c r="AA1057" s="97"/>
      <c r="AB1057" s="97" t="str">
        <f>IFERROR(__xludf.DUMMYFUNCTION("""COMPUTED_VALUE"""),"-")</f>
        <v>-</v>
      </c>
      <c r="AC1057" s="97"/>
      <c r="AD1057" s="97" t="str">
        <f>IFERROR(__xludf.DUMMYFUNCTION("""COMPUTED_VALUE"""),"IP65")</f>
        <v>IP65</v>
      </c>
      <c r="AE1057" s="97" t="str">
        <f>IFERROR(__xludf.DUMMYFUNCTION("""COMPUTED_VALUE"""),"Clase l")</f>
        <v>Clase l</v>
      </c>
      <c r="AF1057" s="97" t="str">
        <f>IFERROR(__xludf.DUMMYFUNCTION("""COMPUTED_VALUE"""),"Aplicar")</f>
        <v>Aplicar</v>
      </c>
      <c r="AG1057" s="97" t="str">
        <f>IFERROR(__xludf.DUMMYFUNCTION("""COMPUTED_VALUE"""),"Ø160 x 60")</f>
        <v>Ø160 x 60</v>
      </c>
      <c r="AH1057" s="97" t="str">
        <f>IFERROR(__xludf.DUMMYFUNCTION("""COMPUTED_VALUE"""),"N/A")</f>
        <v>N/A</v>
      </c>
      <c r="AI1057" s="97" t="str">
        <f>IFERROR(__xludf.DUMMYFUNCTION("""COMPUTED_VALUE"""),"N/A")</f>
        <v>N/A</v>
      </c>
      <c r="AJ1057" s="97" t="str">
        <f>IFERROR(__xludf.DUMMYFUNCTION("""COMPUTED_VALUE"""),"Policarbonato (PC)")</f>
        <v>Policarbonato (PC)</v>
      </c>
      <c r="AK1057" s="97" t="str">
        <f>IFERROR(__xludf.DUMMYFUNCTION("""COMPUTED_VALUE"""),"Policarbonato (PC)")</f>
        <v>Policarbonato (PC)</v>
      </c>
      <c r="AL1057" s="97" t="str">
        <f>IFERROR(__xludf.DUMMYFUNCTION("""COMPUTED_VALUE"""),"Blanco Satinado")</f>
        <v>Blanco Satinado</v>
      </c>
      <c r="AM1057" s="97" t="str">
        <f>IFERROR(__xludf.DUMMYFUNCTION("""COMPUTED_VALUE"""),"-")</f>
        <v>-</v>
      </c>
      <c r="AN1057" s="97" t="str">
        <f>IFERROR(__xludf.DUMMYFUNCTION("""COMPUTED_VALUE"""),"25.000hs (L70)")</f>
        <v>25.000hs (L70)</v>
      </c>
      <c r="AO1057" s="97" t="str">
        <f>IFERROR(__xludf.DUMMYFUNCTION("""COMPUTED_VALUE"""),"2 Años")</f>
        <v>2 Años</v>
      </c>
      <c r="AP1057" s="97" t="str">
        <f>IFERROR(__xludf.DUMMYFUNCTION("""COMPUTED_VALUE"""),"Disponible")</f>
        <v>Disponible</v>
      </c>
      <c r="AQ1057" s="97" t="str">
        <f>IFERROR(__xludf.DUMMYFUNCTION("""COMPUTED_VALUE"""),"Disponible")</f>
        <v>Disponible</v>
      </c>
      <c r="AR1057" s="97" t="str">
        <f>IFERROR(__xludf.DUMMYFUNCTION("""COMPUTED_VALUE"""),"Disponible")</f>
        <v>Disponible</v>
      </c>
      <c r="AS1057" s="97"/>
      <c r="AT1057" s="97"/>
      <c r="AU1057" s="97" t="str">
        <f>IFERROR(__xludf.DUMMYFUNCTION("""COMPUTED_VALUE"""),"Disponible")</f>
        <v>Disponible</v>
      </c>
      <c r="AV1057" s="97" t="str">
        <f>IFERROR(__xludf.DUMMYFUNCTION("""COMPUTED_VALUE"""),"Aplique")</f>
        <v>Aplique</v>
      </c>
      <c r="AW1057" s="97" t="str">
        <f>IFERROR(__xludf.DUMMYFUNCTION("""COMPUTED_VALUE"""),"De Pared")</f>
        <v>De Pared</v>
      </c>
      <c r="AX1057" s="97" t="str">
        <f>IFERROR(__xludf.DUMMYFUNCTION("""COMPUTED_VALUE"""),"Exterior")</f>
        <v>Exterior</v>
      </c>
      <c r="AY1057" s="97" t="str">
        <f>IFERROR(__xludf.DUMMYFUNCTION("""COMPUTED_VALUE"""),"-")</f>
        <v>-</v>
      </c>
      <c r="AZ1057" s="97" t="str">
        <f>IFERROR(__xludf.DUMMYFUNCTION("""COMPUTED_VALUE"""),"*PC resistente a rayos UV para uso exterior.")</f>
        <v>*PC resistente a rayos UV para uso exterior.</v>
      </c>
      <c r="BA1057" s="97">
        <f>IFERROR(__xludf.DUMMYFUNCTION("""COMPUTED_VALUE"""),50.0)</f>
        <v>50</v>
      </c>
      <c r="BB1057" s="97" t="str">
        <f>IFERROR(__xludf.DUMMYFUNCTION("""COMPUTED_VALUE"""),"245gr")</f>
        <v>245gr</v>
      </c>
      <c r="BC1057" s="97" t="str">
        <f>IFERROR(__xludf.DUMMYFUNCTION("""COMPUTED_VALUE"""),"-")</f>
        <v>-</v>
      </c>
      <c r="BD1057" s="97" t="str">
        <f>IFERROR(__xludf.DUMMYFUNCTION("""COMPUTED_VALUE"""),"MIJA")</f>
        <v>MIJA</v>
      </c>
      <c r="BE1057" s="97" t="str">
        <f>IFERROR(__xludf.DUMMYFUNCTION("""COMPUTED_VALUE"""),"Finalizada")</f>
        <v>Finalizada</v>
      </c>
      <c r="BF1057" s="97"/>
      <c r="BG1057" s="97" t="str">
        <f>IFERROR(__xludf.DUMMYFUNCTION("""COMPUTED_VALUE"""),"Activo")</f>
        <v>Activo</v>
      </c>
    </row>
    <row r="1058">
      <c r="A1058" s="97">
        <f>IFERROR(__xludf.DUMMYFUNCTION("""COMPUTED_VALUE"""),6844.0)</f>
        <v>6844</v>
      </c>
      <c r="B1058" s="97" t="str">
        <f>IFERROR(__xludf.DUMMYFUNCTION("""COMPUTED_VALUE"""),"MIJA R NG 12W")</f>
        <v>MIJA R NG 12W</v>
      </c>
      <c r="C1058" s="97" t="str">
        <f>IFERROR(__xludf.DUMMYFUNCTION("""COMPUTED_VALUE"""),"APLIQUE MIJA R NG 12W 12W 3000K 1265LM CRI&gt;80 IP65 LEUK")</f>
        <v>APLIQUE MIJA R NG 12W 12W 3000K 1265LM CRI&gt;80 IP65 LEUK</v>
      </c>
      <c r="D1058" s="97">
        <f>IFERROR(__xludf.DUMMYFUNCTION("""COMPUTED_VALUE"""),7.798413223453E12)</f>
        <v>7798413223453</v>
      </c>
      <c r="E1058" s="97" t="str">
        <f>IFERROR(__xludf.DUMMYFUNCTION("""COMPUTED_VALUE"""),"C22")</f>
        <v>C22</v>
      </c>
      <c r="F1058" s="97" t="str">
        <f>IFERROR(__xludf.DUMMYFUNCTION("""COMPUTED_VALUE"""),"LED integrado")</f>
        <v>LED integrado</v>
      </c>
      <c r="G1058" s="97" t="str">
        <f>IFERROR(__xludf.DUMMYFUNCTION("""COMPUTED_VALUE"""),"-")</f>
        <v>-</v>
      </c>
      <c r="H1058" s="97" t="str">
        <f>IFERROR(__xludf.DUMMYFUNCTION("""COMPUTED_VALUE"""),"-")</f>
        <v>-</v>
      </c>
      <c r="I1058" s="97"/>
      <c r="J1058" s="97" t="str">
        <f>IFERROR(__xludf.DUMMYFUNCTION("""COMPUTED_VALUE"""),"Driver integrado")</f>
        <v>Driver integrado</v>
      </c>
      <c r="K1058" s="97" t="str">
        <f>IFERROR(__xludf.DUMMYFUNCTION("""COMPUTED_VALUE"""),"ON/OFF")</f>
        <v>ON/OFF</v>
      </c>
      <c r="L1058" s="97" t="str">
        <f>IFERROR(__xludf.DUMMYFUNCTION("""COMPUTED_VALUE"""),"220-240")</f>
        <v>220-240</v>
      </c>
      <c r="M1058" s="97" t="str">
        <f>IFERROR(__xludf.DUMMYFUNCTION("""COMPUTED_VALUE"""),"50/60")</f>
        <v>50/60</v>
      </c>
      <c r="N1058" s="97" t="str">
        <f>IFERROR(__xludf.DUMMYFUNCTION("""COMPUTED_VALUE"""),"Indirecta")</f>
        <v>Indirecta</v>
      </c>
      <c r="O1058" s="97">
        <f>IFERROR(__xludf.DUMMYFUNCTION("""COMPUTED_VALUE"""),12.0)</f>
        <v>12</v>
      </c>
      <c r="P1058" s="97">
        <f>IFERROR(__xludf.DUMMYFUNCTION("""COMPUTED_VALUE"""),11.77)</f>
        <v>11.77</v>
      </c>
      <c r="Q1058" s="97">
        <f>IFERROR(__xludf.DUMMYFUNCTION("""COMPUTED_VALUE"""),0.5)</f>
        <v>0.5</v>
      </c>
      <c r="R1058" s="97" t="str">
        <f>IFERROR(__xludf.DUMMYFUNCTION("""COMPUTED_VALUE"""),"-")</f>
        <v>-</v>
      </c>
      <c r="S1058" s="97" t="str">
        <f>IFERROR(__xludf.DUMMYFUNCTION("""COMPUTED_VALUE"""),"-")</f>
        <v>-</v>
      </c>
      <c r="T1058" s="97">
        <f>IFERROR(__xludf.DUMMYFUNCTION("""COMPUTED_VALUE"""),1265.0)</f>
        <v>1265</v>
      </c>
      <c r="U1058" s="99">
        <f>IFERROR(__xludf.DUMMYFUNCTION("""COMPUTED_VALUE"""),105.41666666666667)</f>
        <v>105.4166667</v>
      </c>
      <c r="V1058" s="97">
        <f>IFERROR(__xludf.DUMMYFUNCTION("""COMPUTED_VALUE"""),107.0)</f>
        <v>107</v>
      </c>
      <c r="W1058" s="97" t="str">
        <f>IFERROR(__xludf.DUMMYFUNCTION("""COMPUTED_VALUE"""),"N/A")</f>
        <v>N/A</v>
      </c>
      <c r="X1058" s="97">
        <f>IFERROR(__xludf.DUMMYFUNCTION("""COMPUTED_VALUE"""),3000.0)</f>
        <v>3000</v>
      </c>
      <c r="Y1058" s="97" t="str">
        <f>IFERROR(__xludf.DUMMYFUNCTION("""COMPUTED_VALUE"""),"&gt;80")</f>
        <v>&gt;80</v>
      </c>
      <c r="Z1058" s="97"/>
      <c r="AA1058" s="97"/>
      <c r="AB1058" s="97" t="str">
        <f>IFERROR(__xludf.DUMMYFUNCTION("""COMPUTED_VALUE"""),"-")</f>
        <v>-</v>
      </c>
      <c r="AC1058" s="97"/>
      <c r="AD1058" s="97" t="str">
        <f>IFERROR(__xludf.DUMMYFUNCTION("""COMPUTED_VALUE"""),"IP65")</f>
        <v>IP65</v>
      </c>
      <c r="AE1058" s="97" t="str">
        <f>IFERROR(__xludf.DUMMYFUNCTION("""COMPUTED_VALUE"""),"Clase l")</f>
        <v>Clase l</v>
      </c>
      <c r="AF1058" s="97" t="str">
        <f>IFERROR(__xludf.DUMMYFUNCTION("""COMPUTED_VALUE"""),"Aplicar")</f>
        <v>Aplicar</v>
      </c>
      <c r="AG1058" s="97" t="str">
        <f>IFERROR(__xludf.DUMMYFUNCTION("""COMPUTED_VALUE"""),"Ø160 x 60")</f>
        <v>Ø160 x 60</v>
      </c>
      <c r="AH1058" s="97" t="str">
        <f>IFERROR(__xludf.DUMMYFUNCTION("""COMPUTED_VALUE"""),"N/A")</f>
        <v>N/A</v>
      </c>
      <c r="AI1058" s="97" t="str">
        <f>IFERROR(__xludf.DUMMYFUNCTION("""COMPUTED_VALUE"""),"N/A")</f>
        <v>N/A</v>
      </c>
      <c r="AJ1058" s="97" t="str">
        <f>IFERROR(__xludf.DUMMYFUNCTION("""COMPUTED_VALUE"""),"Policarbonato (PC)")</f>
        <v>Policarbonato (PC)</v>
      </c>
      <c r="AK1058" s="97" t="str">
        <f>IFERROR(__xludf.DUMMYFUNCTION("""COMPUTED_VALUE"""),"Policarbonato (PC)")</f>
        <v>Policarbonato (PC)</v>
      </c>
      <c r="AL1058" s="97" t="str">
        <f>IFERROR(__xludf.DUMMYFUNCTION("""COMPUTED_VALUE"""),"Negro Satinado")</f>
        <v>Negro Satinado</v>
      </c>
      <c r="AM1058" s="97" t="str">
        <f>IFERROR(__xludf.DUMMYFUNCTION("""COMPUTED_VALUE"""),"-")</f>
        <v>-</v>
      </c>
      <c r="AN1058" s="97" t="str">
        <f>IFERROR(__xludf.DUMMYFUNCTION("""COMPUTED_VALUE"""),"25.000hs (L70)")</f>
        <v>25.000hs (L70)</v>
      </c>
      <c r="AO1058" s="97" t="str">
        <f>IFERROR(__xludf.DUMMYFUNCTION("""COMPUTED_VALUE"""),"2 Años")</f>
        <v>2 Años</v>
      </c>
      <c r="AP1058" s="97" t="str">
        <f>IFERROR(__xludf.DUMMYFUNCTION("""COMPUTED_VALUE"""),"Disponible")</f>
        <v>Disponible</v>
      </c>
      <c r="AQ1058" s="97" t="str">
        <f>IFERROR(__xludf.DUMMYFUNCTION("""COMPUTED_VALUE"""),"Disponible")</f>
        <v>Disponible</v>
      </c>
      <c r="AR1058" s="97" t="str">
        <f>IFERROR(__xludf.DUMMYFUNCTION("""COMPUTED_VALUE"""),"Disponible")</f>
        <v>Disponible</v>
      </c>
      <c r="AS1058" s="97"/>
      <c r="AT1058" s="97"/>
      <c r="AU1058" s="97" t="str">
        <f>IFERROR(__xludf.DUMMYFUNCTION("""COMPUTED_VALUE"""),"Disponible")</f>
        <v>Disponible</v>
      </c>
      <c r="AV1058" s="97" t="str">
        <f>IFERROR(__xludf.DUMMYFUNCTION("""COMPUTED_VALUE"""),"Aplique")</f>
        <v>Aplique</v>
      </c>
      <c r="AW1058" s="97" t="str">
        <f>IFERROR(__xludf.DUMMYFUNCTION("""COMPUTED_VALUE"""),"De Pared")</f>
        <v>De Pared</v>
      </c>
      <c r="AX1058" s="97" t="str">
        <f>IFERROR(__xludf.DUMMYFUNCTION("""COMPUTED_VALUE"""),"Exterior")</f>
        <v>Exterior</v>
      </c>
      <c r="AY1058" s="97" t="str">
        <f>IFERROR(__xludf.DUMMYFUNCTION("""COMPUTED_VALUE"""),"-")</f>
        <v>-</v>
      </c>
      <c r="AZ1058" s="97" t="str">
        <f>IFERROR(__xludf.DUMMYFUNCTION("""COMPUTED_VALUE"""),"*PC resistente a rayos UV para uso exterior.")</f>
        <v>*PC resistente a rayos UV para uso exterior.</v>
      </c>
      <c r="BA1058" s="97">
        <f>IFERROR(__xludf.DUMMYFUNCTION("""COMPUTED_VALUE"""),50.0)</f>
        <v>50</v>
      </c>
      <c r="BB1058" s="97" t="str">
        <f>IFERROR(__xludf.DUMMYFUNCTION("""COMPUTED_VALUE"""),"245gr")</f>
        <v>245gr</v>
      </c>
      <c r="BC1058" s="97" t="str">
        <f>IFERROR(__xludf.DUMMYFUNCTION("""COMPUTED_VALUE"""),"-")</f>
        <v>-</v>
      </c>
      <c r="BD1058" s="97" t="str">
        <f>IFERROR(__xludf.DUMMYFUNCTION("""COMPUTED_VALUE"""),"MIJA")</f>
        <v>MIJA</v>
      </c>
      <c r="BE1058" s="97" t="str">
        <f>IFERROR(__xludf.DUMMYFUNCTION("""COMPUTED_VALUE"""),"Finalizada")</f>
        <v>Finalizada</v>
      </c>
      <c r="BF1058" s="97"/>
      <c r="BG1058" s="97" t="str">
        <f>IFERROR(__xludf.DUMMYFUNCTION("""COMPUTED_VALUE"""),"Activo")</f>
        <v>Activo</v>
      </c>
    </row>
    <row r="1059">
      <c r="A1059" s="97">
        <f>IFERROR(__xludf.DUMMYFUNCTION("""COMPUTED_VALUE"""),6845.0)</f>
        <v>6845</v>
      </c>
      <c r="B1059" s="97" t="str">
        <f>IFERROR(__xludf.DUMMYFUNCTION("""COMPUTED_VALUE"""),"MIJA C BL 12W")</f>
        <v>MIJA C BL 12W</v>
      </c>
      <c r="C1059" s="97" t="str">
        <f>IFERROR(__xludf.DUMMYFUNCTION("""COMPUTED_VALUE"""),"APLIQUE MIJA C BL 12W 12W 3000K 1265LM CRI&gt;80 IP65 LEUK")</f>
        <v>APLIQUE MIJA C BL 12W 12W 3000K 1265LM CRI&gt;80 IP65 LEUK</v>
      </c>
      <c r="D1059" s="97">
        <f>IFERROR(__xludf.DUMMYFUNCTION("""COMPUTED_VALUE"""),7.798413223507E12)</f>
        <v>7798413223507</v>
      </c>
      <c r="E1059" s="97" t="str">
        <f>IFERROR(__xludf.DUMMYFUNCTION("""COMPUTED_VALUE"""),"C25")</f>
        <v>C25</v>
      </c>
      <c r="F1059" s="97" t="str">
        <f>IFERROR(__xludf.DUMMYFUNCTION("""COMPUTED_VALUE"""),"LED integrado")</f>
        <v>LED integrado</v>
      </c>
      <c r="G1059" s="97" t="str">
        <f>IFERROR(__xludf.DUMMYFUNCTION("""COMPUTED_VALUE"""),"-")</f>
        <v>-</v>
      </c>
      <c r="H1059" s="97" t="str">
        <f>IFERROR(__xludf.DUMMYFUNCTION("""COMPUTED_VALUE"""),"-")</f>
        <v>-</v>
      </c>
      <c r="I1059" s="97"/>
      <c r="J1059" s="97" t="str">
        <f>IFERROR(__xludf.DUMMYFUNCTION("""COMPUTED_VALUE"""),"Driver integrado")</f>
        <v>Driver integrado</v>
      </c>
      <c r="K1059" s="97" t="str">
        <f>IFERROR(__xludf.DUMMYFUNCTION("""COMPUTED_VALUE"""),"ON/OFF")</f>
        <v>ON/OFF</v>
      </c>
      <c r="L1059" s="97" t="str">
        <f>IFERROR(__xludf.DUMMYFUNCTION("""COMPUTED_VALUE"""),"220-240")</f>
        <v>220-240</v>
      </c>
      <c r="M1059" s="97" t="str">
        <f>IFERROR(__xludf.DUMMYFUNCTION("""COMPUTED_VALUE"""),"50/60")</f>
        <v>50/60</v>
      </c>
      <c r="N1059" s="97" t="str">
        <f>IFERROR(__xludf.DUMMYFUNCTION("""COMPUTED_VALUE"""),"Indirecta")</f>
        <v>Indirecta</v>
      </c>
      <c r="O1059" s="97">
        <f>IFERROR(__xludf.DUMMYFUNCTION("""COMPUTED_VALUE"""),12.0)</f>
        <v>12</v>
      </c>
      <c r="P1059" s="97">
        <f>IFERROR(__xludf.DUMMYFUNCTION("""COMPUTED_VALUE"""),11.77)</f>
        <v>11.77</v>
      </c>
      <c r="Q1059" s="97">
        <f>IFERROR(__xludf.DUMMYFUNCTION("""COMPUTED_VALUE"""),0.5)</f>
        <v>0.5</v>
      </c>
      <c r="R1059" s="97" t="str">
        <f>IFERROR(__xludf.DUMMYFUNCTION("""COMPUTED_VALUE"""),"-")</f>
        <v>-</v>
      </c>
      <c r="S1059" s="97" t="str">
        <f>IFERROR(__xludf.DUMMYFUNCTION("""COMPUTED_VALUE"""),"-")</f>
        <v>-</v>
      </c>
      <c r="T1059" s="97">
        <f>IFERROR(__xludf.DUMMYFUNCTION("""COMPUTED_VALUE"""),1265.0)</f>
        <v>1265</v>
      </c>
      <c r="U1059" s="99">
        <f>IFERROR(__xludf.DUMMYFUNCTION("""COMPUTED_VALUE"""),105.41666666666667)</f>
        <v>105.4166667</v>
      </c>
      <c r="V1059" s="97">
        <f>IFERROR(__xludf.DUMMYFUNCTION("""COMPUTED_VALUE"""),107.0)</f>
        <v>107</v>
      </c>
      <c r="W1059" s="97" t="str">
        <f>IFERROR(__xludf.DUMMYFUNCTION("""COMPUTED_VALUE"""),"N/A")</f>
        <v>N/A</v>
      </c>
      <c r="X1059" s="97">
        <f>IFERROR(__xludf.DUMMYFUNCTION("""COMPUTED_VALUE"""),3000.0)</f>
        <v>3000</v>
      </c>
      <c r="Y1059" s="97" t="str">
        <f>IFERROR(__xludf.DUMMYFUNCTION("""COMPUTED_VALUE"""),"&gt;80")</f>
        <v>&gt;80</v>
      </c>
      <c r="Z1059" s="97"/>
      <c r="AA1059" s="97"/>
      <c r="AB1059" s="97" t="str">
        <f>IFERROR(__xludf.DUMMYFUNCTION("""COMPUTED_VALUE"""),"-")</f>
        <v>-</v>
      </c>
      <c r="AC1059" s="97"/>
      <c r="AD1059" s="97" t="str">
        <f>IFERROR(__xludf.DUMMYFUNCTION("""COMPUTED_VALUE"""),"IP65")</f>
        <v>IP65</v>
      </c>
      <c r="AE1059" s="97" t="str">
        <f>IFERROR(__xludf.DUMMYFUNCTION("""COMPUTED_VALUE"""),"Clase l")</f>
        <v>Clase l</v>
      </c>
      <c r="AF1059" s="97" t="str">
        <f>IFERROR(__xludf.DUMMYFUNCTION("""COMPUTED_VALUE"""),"Aplicar")</f>
        <v>Aplicar</v>
      </c>
      <c r="AG1059" s="97" t="str">
        <f>IFERROR(__xludf.DUMMYFUNCTION("""COMPUTED_VALUE"""),"165 x 165 x 65")</f>
        <v>165 x 165 x 65</v>
      </c>
      <c r="AH1059" s="97" t="str">
        <f>IFERROR(__xludf.DUMMYFUNCTION("""COMPUTED_VALUE"""),"N/A")</f>
        <v>N/A</v>
      </c>
      <c r="AI1059" s="97" t="str">
        <f>IFERROR(__xludf.DUMMYFUNCTION("""COMPUTED_VALUE"""),"N/A")</f>
        <v>N/A</v>
      </c>
      <c r="AJ1059" s="97" t="str">
        <f>IFERROR(__xludf.DUMMYFUNCTION("""COMPUTED_VALUE"""),"Policarbonato (PC)")</f>
        <v>Policarbonato (PC)</v>
      </c>
      <c r="AK1059" s="97" t="str">
        <f>IFERROR(__xludf.DUMMYFUNCTION("""COMPUTED_VALUE"""),"Policarbonato (PC)")</f>
        <v>Policarbonato (PC)</v>
      </c>
      <c r="AL1059" s="97" t="str">
        <f>IFERROR(__xludf.DUMMYFUNCTION("""COMPUTED_VALUE"""),"Blanco Satinado")</f>
        <v>Blanco Satinado</v>
      </c>
      <c r="AM1059" s="97" t="str">
        <f>IFERROR(__xludf.DUMMYFUNCTION("""COMPUTED_VALUE"""),"-")</f>
        <v>-</v>
      </c>
      <c r="AN1059" s="97" t="str">
        <f>IFERROR(__xludf.DUMMYFUNCTION("""COMPUTED_VALUE"""),"25.000hs (L70)")</f>
        <v>25.000hs (L70)</v>
      </c>
      <c r="AO1059" s="97" t="str">
        <f>IFERROR(__xludf.DUMMYFUNCTION("""COMPUTED_VALUE"""),"2 Años")</f>
        <v>2 Años</v>
      </c>
      <c r="AP1059" s="97" t="str">
        <f>IFERROR(__xludf.DUMMYFUNCTION("""COMPUTED_VALUE"""),"Disponible")</f>
        <v>Disponible</v>
      </c>
      <c r="AQ1059" s="97" t="str">
        <f>IFERROR(__xludf.DUMMYFUNCTION("""COMPUTED_VALUE"""),"Disponible")</f>
        <v>Disponible</v>
      </c>
      <c r="AR1059" s="97" t="str">
        <f>IFERROR(__xludf.DUMMYFUNCTION("""COMPUTED_VALUE"""),"Disponible")</f>
        <v>Disponible</v>
      </c>
      <c r="AS1059" s="97"/>
      <c r="AT1059" s="97"/>
      <c r="AU1059" s="97" t="str">
        <f>IFERROR(__xludf.DUMMYFUNCTION("""COMPUTED_VALUE"""),"Disponible")</f>
        <v>Disponible</v>
      </c>
      <c r="AV1059" s="97" t="str">
        <f>IFERROR(__xludf.DUMMYFUNCTION("""COMPUTED_VALUE"""),"Aplique")</f>
        <v>Aplique</v>
      </c>
      <c r="AW1059" s="97" t="str">
        <f>IFERROR(__xludf.DUMMYFUNCTION("""COMPUTED_VALUE"""),"De Pared")</f>
        <v>De Pared</v>
      </c>
      <c r="AX1059" s="97" t="str">
        <f>IFERROR(__xludf.DUMMYFUNCTION("""COMPUTED_VALUE"""),"Exterior")</f>
        <v>Exterior</v>
      </c>
      <c r="AY1059" s="97" t="str">
        <f>IFERROR(__xludf.DUMMYFUNCTION("""COMPUTED_VALUE"""),"-")</f>
        <v>-</v>
      </c>
      <c r="AZ1059" s="97" t="str">
        <f>IFERROR(__xludf.DUMMYFUNCTION("""COMPUTED_VALUE"""),"*PC resistente a rayos UV para uso exterior.")</f>
        <v>*PC resistente a rayos UV para uso exterior.</v>
      </c>
      <c r="BA1059" s="97">
        <f>IFERROR(__xludf.DUMMYFUNCTION("""COMPUTED_VALUE"""),50.0)</f>
        <v>50</v>
      </c>
      <c r="BB1059" s="97" t="str">
        <f>IFERROR(__xludf.DUMMYFUNCTION("""COMPUTED_VALUE"""),"290gr")</f>
        <v>290gr</v>
      </c>
      <c r="BC1059" s="97" t="str">
        <f>IFERROR(__xludf.DUMMYFUNCTION("""COMPUTED_VALUE"""),"-")</f>
        <v>-</v>
      </c>
      <c r="BD1059" s="97" t="str">
        <f>IFERROR(__xludf.DUMMYFUNCTION("""COMPUTED_VALUE"""),"MIJA")</f>
        <v>MIJA</v>
      </c>
      <c r="BE1059" s="97" t="str">
        <f>IFERROR(__xludf.DUMMYFUNCTION("""COMPUTED_VALUE"""),"Finalizada")</f>
        <v>Finalizada</v>
      </c>
      <c r="BF1059" s="97"/>
      <c r="BG1059" s="97" t="str">
        <f>IFERROR(__xludf.DUMMYFUNCTION("""COMPUTED_VALUE"""),"Activo")</f>
        <v>Activo</v>
      </c>
    </row>
    <row r="1060">
      <c r="A1060" s="97">
        <f>IFERROR(__xludf.DUMMYFUNCTION("""COMPUTED_VALUE"""),6846.0)</f>
        <v>6846</v>
      </c>
      <c r="B1060" s="97" t="str">
        <f>IFERROR(__xludf.DUMMYFUNCTION("""COMPUTED_VALUE"""),"MIJA C NG 12W")</f>
        <v>MIJA C NG 12W</v>
      </c>
      <c r="C1060" s="97" t="str">
        <f>IFERROR(__xludf.DUMMYFUNCTION("""COMPUTED_VALUE"""),"APLIQUE MIJA C NG 12W 12W 3000K 1265LM CRI&gt;80 IP65 LEUK")</f>
        <v>APLIQUE MIJA C NG 12W 12W 3000K 1265LM CRI&gt;80 IP65 LEUK</v>
      </c>
      <c r="D1060" s="97">
        <f>IFERROR(__xludf.DUMMYFUNCTION("""COMPUTED_VALUE"""),7.798413223491E12)</f>
        <v>7798413223491</v>
      </c>
      <c r="E1060" s="97" t="str">
        <f>IFERROR(__xludf.DUMMYFUNCTION("""COMPUTED_VALUE"""),"C24")</f>
        <v>C24</v>
      </c>
      <c r="F1060" s="97" t="str">
        <f>IFERROR(__xludf.DUMMYFUNCTION("""COMPUTED_VALUE"""),"LED integrado")</f>
        <v>LED integrado</v>
      </c>
      <c r="G1060" s="97" t="str">
        <f>IFERROR(__xludf.DUMMYFUNCTION("""COMPUTED_VALUE"""),"-")</f>
        <v>-</v>
      </c>
      <c r="H1060" s="97" t="str">
        <f>IFERROR(__xludf.DUMMYFUNCTION("""COMPUTED_VALUE"""),"-")</f>
        <v>-</v>
      </c>
      <c r="I1060" s="97"/>
      <c r="J1060" s="97" t="str">
        <f>IFERROR(__xludf.DUMMYFUNCTION("""COMPUTED_VALUE"""),"Driver integrado")</f>
        <v>Driver integrado</v>
      </c>
      <c r="K1060" s="97" t="str">
        <f>IFERROR(__xludf.DUMMYFUNCTION("""COMPUTED_VALUE"""),"ON/OFF")</f>
        <v>ON/OFF</v>
      </c>
      <c r="L1060" s="97" t="str">
        <f>IFERROR(__xludf.DUMMYFUNCTION("""COMPUTED_VALUE"""),"220-240")</f>
        <v>220-240</v>
      </c>
      <c r="M1060" s="97" t="str">
        <f>IFERROR(__xludf.DUMMYFUNCTION("""COMPUTED_VALUE"""),"50/60")</f>
        <v>50/60</v>
      </c>
      <c r="N1060" s="97" t="str">
        <f>IFERROR(__xludf.DUMMYFUNCTION("""COMPUTED_VALUE"""),"Indirecta")</f>
        <v>Indirecta</v>
      </c>
      <c r="O1060" s="97">
        <f>IFERROR(__xludf.DUMMYFUNCTION("""COMPUTED_VALUE"""),12.0)</f>
        <v>12</v>
      </c>
      <c r="P1060" s="97">
        <f>IFERROR(__xludf.DUMMYFUNCTION("""COMPUTED_VALUE"""),11.77)</f>
        <v>11.77</v>
      </c>
      <c r="Q1060" s="97">
        <f>IFERROR(__xludf.DUMMYFUNCTION("""COMPUTED_VALUE"""),0.5)</f>
        <v>0.5</v>
      </c>
      <c r="R1060" s="97" t="str">
        <f>IFERROR(__xludf.DUMMYFUNCTION("""COMPUTED_VALUE"""),"-")</f>
        <v>-</v>
      </c>
      <c r="S1060" s="97" t="str">
        <f>IFERROR(__xludf.DUMMYFUNCTION("""COMPUTED_VALUE"""),"-")</f>
        <v>-</v>
      </c>
      <c r="T1060" s="97">
        <f>IFERROR(__xludf.DUMMYFUNCTION("""COMPUTED_VALUE"""),1265.0)</f>
        <v>1265</v>
      </c>
      <c r="U1060" s="99">
        <f>IFERROR(__xludf.DUMMYFUNCTION("""COMPUTED_VALUE"""),105.41666666666667)</f>
        <v>105.4166667</v>
      </c>
      <c r="V1060" s="97">
        <f>IFERROR(__xludf.DUMMYFUNCTION("""COMPUTED_VALUE"""),107.0)</f>
        <v>107</v>
      </c>
      <c r="W1060" s="97" t="str">
        <f>IFERROR(__xludf.DUMMYFUNCTION("""COMPUTED_VALUE"""),"N/A")</f>
        <v>N/A</v>
      </c>
      <c r="X1060" s="97">
        <f>IFERROR(__xludf.DUMMYFUNCTION("""COMPUTED_VALUE"""),3000.0)</f>
        <v>3000</v>
      </c>
      <c r="Y1060" s="97" t="str">
        <f>IFERROR(__xludf.DUMMYFUNCTION("""COMPUTED_VALUE"""),"&gt;80")</f>
        <v>&gt;80</v>
      </c>
      <c r="Z1060" s="97"/>
      <c r="AA1060" s="97"/>
      <c r="AB1060" s="97" t="str">
        <f>IFERROR(__xludf.DUMMYFUNCTION("""COMPUTED_VALUE"""),"-")</f>
        <v>-</v>
      </c>
      <c r="AC1060" s="97"/>
      <c r="AD1060" s="97" t="str">
        <f>IFERROR(__xludf.DUMMYFUNCTION("""COMPUTED_VALUE"""),"IP65")</f>
        <v>IP65</v>
      </c>
      <c r="AE1060" s="97" t="str">
        <f>IFERROR(__xludf.DUMMYFUNCTION("""COMPUTED_VALUE"""),"Clase l")</f>
        <v>Clase l</v>
      </c>
      <c r="AF1060" s="97" t="str">
        <f>IFERROR(__xludf.DUMMYFUNCTION("""COMPUTED_VALUE"""),"Aplicar")</f>
        <v>Aplicar</v>
      </c>
      <c r="AG1060" s="97" t="str">
        <f>IFERROR(__xludf.DUMMYFUNCTION("""COMPUTED_VALUE"""),"165 x 165 x 65")</f>
        <v>165 x 165 x 65</v>
      </c>
      <c r="AH1060" s="97" t="str">
        <f>IFERROR(__xludf.DUMMYFUNCTION("""COMPUTED_VALUE"""),"N/A")</f>
        <v>N/A</v>
      </c>
      <c r="AI1060" s="97" t="str">
        <f>IFERROR(__xludf.DUMMYFUNCTION("""COMPUTED_VALUE"""),"N/A")</f>
        <v>N/A</v>
      </c>
      <c r="AJ1060" s="97" t="str">
        <f>IFERROR(__xludf.DUMMYFUNCTION("""COMPUTED_VALUE"""),"Policarbonato (PC)")</f>
        <v>Policarbonato (PC)</v>
      </c>
      <c r="AK1060" s="97" t="str">
        <f>IFERROR(__xludf.DUMMYFUNCTION("""COMPUTED_VALUE"""),"Policarbonato (PC)")</f>
        <v>Policarbonato (PC)</v>
      </c>
      <c r="AL1060" s="97" t="str">
        <f>IFERROR(__xludf.DUMMYFUNCTION("""COMPUTED_VALUE"""),"Negro Satinado")</f>
        <v>Negro Satinado</v>
      </c>
      <c r="AM1060" s="97" t="str">
        <f>IFERROR(__xludf.DUMMYFUNCTION("""COMPUTED_VALUE"""),"-")</f>
        <v>-</v>
      </c>
      <c r="AN1060" s="97" t="str">
        <f>IFERROR(__xludf.DUMMYFUNCTION("""COMPUTED_VALUE"""),"25.000hs (L70)")</f>
        <v>25.000hs (L70)</v>
      </c>
      <c r="AO1060" s="97" t="str">
        <f>IFERROR(__xludf.DUMMYFUNCTION("""COMPUTED_VALUE"""),"2 Años")</f>
        <v>2 Años</v>
      </c>
      <c r="AP1060" s="97" t="str">
        <f>IFERROR(__xludf.DUMMYFUNCTION("""COMPUTED_VALUE"""),"Disponible")</f>
        <v>Disponible</v>
      </c>
      <c r="AQ1060" s="97" t="str">
        <f>IFERROR(__xludf.DUMMYFUNCTION("""COMPUTED_VALUE"""),"Disponible")</f>
        <v>Disponible</v>
      </c>
      <c r="AR1060" s="97" t="str">
        <f>IFERROR(__xludf.DUMMYFUNCTION("""COMPUTED_VALUE"""),"Disponible")</f>
        <v>Disponible</v>
      </c>
      <c r="AS1060" s="97"/>
      <c r="AT1060" s="97"/>
      <c r="AU1060" s="97" t="str">
        <f>IFERROR(__xludf.DUMMYFUNCTION("""COMPUTED_VALUE"""),"Disponible")</f>
        <v>Disponible</v>
      </c>
      <c r="AV1060" s="97" t="str">
        <f>IFERROR(__xludf.DUMMYFUNCTION("""COMPUTED_VALUE"""),"Aplique")</f>
        <v>Aplique</v>
      </c>
      <c r="AW1060" s="97" t="str">
        <f>IFERROR(__xludf.DUMMYFUNCTION("""COMPUTED_VALUE"""),"De Pared")</f>
        <v>De Pared</v>
      </c>
      <c r="AX1060" s="97" t="str">
        <f>IFERROR(__xludf.DUMMYFUNCTION("""COMPUTED_VALUE"""),"Exterior")</f>
        <v>Exterior</v>
      </c>
      <c r="AY1060" s="97" t="str">
        <f>IFERROR(__xludf.DUMMYFUNCTION("""COMPUTED_VALUE"""),"-")</f>
        <v>-</v>
      </c>
      <c r="AZ1060" s="97" t="str">
        <f>IFERROR(__xludf.DUMMYFUNCTION("""COMPUTED_VALUE"""),"*PC resistente a rayos UV para uso exterior.")</f>
        <v>*PC resistente a rayos UV para uso exterior.</v>
      </c>
      <c r="BA1060" s="97">
        <f>IFERROR(__xludf.DUMMYFUNCTION("""COMPUTED_VALUE"""),50.0)</f>
        <v>50</v>
      </c>
      <c r="BB1060" s="97" t="str">
        <f>IFERROR(__xludf.DUMMYFUNCTION("""COMPUTED_VALUE"""),"290gr")</f>
        <v>290gr</v>
      </c>
      <c r="BC1060" s="97" t="str">
        <f>IFERROR(__xludf.DUMMYFUNCTION("""COMPUTED_VALUE"""),"-")</f>
        <v>-</v>
      </c>
      <c r="BD1060" s="97" t="str">
        <f>IFERROR(__xludf.DUMMYFUNCTION("""COMPUTED_VALUE"""),"MIJA")</f>
        <v>MIJA</v>
      </c>
      <c r="BE1060" s="97" t="str">
        <f>IFERROR(__xludf.DUMMYFUNCTION("""COMPUTED_VALUE"""),"Finalizada")</f>
        <v>Finalizada</v>
      </c>
      <c r="BF1060" s="97"/>
      <c r="BG1060" s="97" t="str">
        <f>IFERROR(__xludf.DUMMYFUNCTION("""COMPUTED_VALUE"""),"Activo")</f>
        <v>Activo</v>
      </c>
    </row>
    <row r="1061">
      <c r="A1061" s="97">
        <f>IFERROR(__xludf.DUMMYFUNCTION("""COMPUTED_VALUE"""),6847.0)</f>
        <v>6847</v>
      </c>
      <c r="B1061" s="97" t="str">
        <f>IFERROR(__xludf.DUMMYFUNCTION("""COMPUTED_VALUE"""),"PRISMA BL 20W")</f>
        <v>PRISMA BL 20W</v>
      </c>
      <c r="C1061" s="97" t="str">
        <f>IFERROR(__xludf.DUMMYFUNCTION("""COMPUTED_VALUE"""),"APLIQUE PRISMA BL 20W 20W 3000/4000/6000K 1335LM CRI&gt;90 IP20 LEUK")</f>
        <v>APLIQUE PRISMA BL 20W 20W 3000/4000/6000K 1335LM CRI&gt;90 IP20 LEUK</v>
      </c>
      <c r="D1061" s="97">
        <f>IFERROR(__xludf.DUMMYFUNCTION("""COMPUTED_VALUE"""),7.798413224788E12)</f>
        <v>7798413224788</v>
      </c>
      <c r="E1061" s="97" t="str">
        <f>IFERROR(__xludf.DUMMYFUNCTION("""COMPUTED_VALUE"""),"F45")</f>
        <v>F45</v>
      </c>
      <c r="F1061" s="97" t="str">
        <f>IFERROR(__xludf.DUMMYFUNCTION("""COMPUTED_VALUE"""),"LED integrado")</f>
        <v>LED integrado</v>
      </c>
      <c r="G1061" s="97" t="str">
        <f>IFERROR(__xludf.DUMMYFUNCTION("""COMPUTED_VALUE"""),"OSRAM")</f>
        <v>OSRAM</v>
      </c>
      <c r="H1061" s="97" t="str">
        <f>IFERROR(__xludf.DUMMYFUNCTION("""COMPUTED_VALUE"""),"-")</f>
        <v>-</v>
      </c>
      <c r="I1061" s="97"/>
      <c r="J1061" s="97" t="str">
        <f>IFERROR(__xludf.DUMMYFUNCTION("""COMPUTED_VALUE"""),"Modelo: LED2024-500-B0
In: 85-265Vac 0.4A 50/60Hz
Out: 24-42Vdc 500mA
Pf 0.5 Tc 85ºC Ta 45ºC")</f>
        <v>Modelo: LED2024-500-B0
In: 85-265Vac 0.4A 50/60Hz
Out: 24-42Vdc 500mA
Pf 0.5 Tc 85ºC Ta 45ºC</v>
      </c>
      <c r="K1061" s="97" t="str">
        <f>IFERROR(__xludf.DUMMYFUNCTION("""COMPUTED_VALUE"""),"ON/OFF")</f>
        <v>ON/OFF</v>
      </c>
      <c r="L1061" s="97" t="str">
        <f>IFERROR(__xludf.DUMMYFUNCTION("""COMPUTED_VALUE"""),"200-240")</f>
        <v>200-240</v>
      </c>
      <c r="M1061" s="97" t="str">
        <f>IFERROR(__xludf.DUMMYFUNCTION("""COMPUTED_VALUE"""),"50/60")</f>
        <v>50/60</v>
      </c>
      <c r="N1061" s="97" t="str">
        <f>IFERROR(__xludf.DUMMYFUNCTION("""COMPUTED_VALUE"""),"Directa")</f>
        <v>Directa</v>
      </c>
      <c r="O1061" s="97">
        <f>IFERROR(__xludf.DUMMYFUNCTION("""COMPUTED_VALUE"""),20.0)</f>
        <v>20</v>
      </c>
      <c r="P1061" s="97"/>
      <c r="Q1061" s="97">
        <f>IFERROR(__xludf.DUMMYFUNCTION("""COMPUTED_VALUE"""),0.5)</f>
        <v>0.5</v>
      </c>
      <c r="R1061" s="97" t="str">
        <f>IFERROR(__xludf.DUMMYFUNCTION("""COMPUTED_VALUE"""),"-")</f>
        <v>-</v>
      </c>
      <c r="S1061" s="97" t="str">
        <f>IFERROR(__xludf.DUMMYFUNCTION("""COMPUTED_VALUE"""),"-")</f>
        <v>-</v>
      </c>
      <c r="T1061" s="97">
        <f>IFERROR(__xludf.DUMMYFUNCTION("""COMPUTED_VALUE"""),1335.0)</f>
        <v>1335</v>
      </c>
      <c r="U1061" s="99">
        <f>IFERROR(__xludf.DUMMYFUNCTION("""COMPUTED_VALUE"""),66.75)</f>
        <v>66.75</v>
      </c>
      <c r="V1061" s="97">
        <f>IFERROR(__xludf.DUMMYFUNCTION("""COMPUTED_VALUE"""),110.0)</f>
        <v>110</v>
      </c>
      <c r="W1061" s="97" t="str">
        <f>IFERROR(__xludf.DUMMYFUNCTION("""COMPUTED_VALUE"""),"&lt; 25")</f>
        <v>&lt; 25</v>
      </c>
      <c r="X1061" s="97" t="str">
        <f>IFERROR(__xludf.DUMMYFUNCTION("""COMPUTED_VALUE"""),"3000/4000/6000")</f>
        <v>3000/4000/6000</v>
      </c>
      <c r="Y1061" s="97" t="str">
        <f>IFERROR(__xludf.DUMMYFUNCTION("""COMPUTED_VALUE"""),"&gt;90")</f>
        <v>&gt;90</v>
      </c>
      <c r="Z1061" s="97"/>
      <c r="AA1061" s="97"/>
      <c r="AB1061" s="97" t="str">
        <f>IFERROR(__xludf.DUMMYFUNCTION("""COMPUTED_VALUE"""),"&lt; 4")</f>
        <v>&lt; 4</v>
      </c>
      <c r="AC1061" s="97"/>
      <c r="AD1061" s="97" t="str">
        <f>IFERROR(__xludf.DUMMYFUNCTION("""COMPUTED_VALUE"""),"IP20")</f>
        <v>IP20</v>
      </c>
      <c r="AE1061" s="97" t="str">
        <f>IFERROR(__xludf.DUMMYFUNCTION("""COMPUTED_VALUE"""),"Clase l")</f>
        <v>Clase l</v>
      </c>
      <c r="AF1061" s="97" t="str">
        <f>IFERROR(__xludf.DUMMYFUNCTION("""COMPUTED_VALUE"""),"Aplicar")</f>
        <v>Aplicar</v>
      </c>
      <c r="AG1061" s="97" t="str">
        <f>IFERROR(__xludf.DUMMYFUNCTION("""COMPUTED_VALUE"""),"Ø120 x 70")</f>
        <v>Ø120 x 70</v>
      </c>
      <c r="AH1061" s="97" t="str">
        <f>IFERROR(__xludf.DUMMYFUNCTION("""COMPUTED_VALUE"""),"N/A")</f>
        <v>N/A</v>
      </c>
      <c r="AI1061" s="97" t="str">
        <f>IFERROR(__xludf.DUMMYFUNCTION("""COMPUTED_VALUE"""),"N/A")</f>
        <v>N/A</v>
      </c>
      <c r="AJ1061" s="97" t="str">
        <f>IFERROR(__xludf.DUMMYFUNCTION("""COMPUTED_VALUE"""),"Policarbonato (PC)")</f>
        <v>Policarbonato (PC)</v>
      </c>
      <c r="AK1061" s="97" t="str">
        <f>IFERROR(__xludf.DUMMYFUNCTION("""COMPUTED_VALUE"""),"Aluminio")</f>
        <v>Aluminio</v>
      </c>
      <c r="AL1061" s="97" t="str">
        <f>IFERROR(__xludf.DUMMYFUNCTION("""COMPUTED_VALUE"""),"Blanco Satinado")</f>
        <v>Blanco Satinado</v>
      </c>
      <c r="AM1061" s="97" t="str">
        <f>IFERROR(__xludf.DUMMYFUNCTION("""COMPUTED_VALUE"""),"-")</f>
        <v>-</v>
      </c>
      <c r="AN1061" s="97" t="str">
        <f>IFERROR(__xludf.DUMMYFUNCTION("""COMPUTED_VALUE"""),"25.000hs (L70)")</f>
        <v>25.000hs (L70)</v>
      </c>
      <c r="AO1061" s="97" t="str">
        <f>IFERROR(__xludf.DUMMYFUNCTION("""COMPUTED_VALUE"""),"2 Años")</f>
        <v>2 Años</v>
      </c>
      <c r="AP1061" s="97" t="str">
        <f>IFERROR(__xludf.DUMMYFUNCTION("""COMPUTED_VALUE"""),"Disponible")</f>
        <v>Disponible</v>
      </c>
      <c r="AQ1061" s="97" t="str">
        <f>IFERROR(__xludf.DUMMYFUNCTION("""COMPUTED_VALUE"""),"Disponible")</f>
        <v>Disponible</v>
      </c>
      <c r="AR1061" s="97" t="str">
        <f>IFERROR(__xludf.DUMMYFUNCTION("""COMPUTED_VALUE"""),"Disponible")</f>
        <v>Disponible</v>
      </c>
      <c r="AS1061" s="97"/>
      <c r="AT1061" s="97"/>
      <c r="AU1061" s="97" t="str">
        <f>IFERROR(__xludf.DUMMYFUNCTION("""COMPUTED_VALUE"""),"Falta")</f>
        <v>Falta</v>
      </c>
      <c r="AV1061" s="97" t="str">
        <f>IFERROR(__xludf.DUMMYFUNCTION("""COMPUTED_VALUE"""),"Aplique")</f>
        <v>Aplique</v>
      </c>
      <c r="AW1061" s="97" t="str">
        <f>IFERROR(__xludf.DUMMYFUNCTION("""COMPUTED_VALUE"""),"De Techo")</f>
        <v>De Techo</v>
      </c>
      <c r="AX1061" s="97" t="str">
        <f>IFERROR(__xludf.DUMMYFUNCTION("""COMPUTED_VALUE"""),"Interior")</f>
        <v>Interior</v>
      </c>
      <c r="AY1061" s="97" t="str">
        <f>IFERROR(__xludf.DUMMYFUNCTION("""COMPUTED_VALUE"""),"-")</f>
        <v>-</v>
      </c>
      <c r="AZ1061" s="97" t="str">
        <f>IFERROR(__xludf.DUMMYFUNCTION("""COMPUTED_VALUE"""),"Switch p/cambio de color.")</f>
        <v>Switch p/cambio de color.</v>
      </c>
      <c r="BA1061" s="97"/>
      <c r="BB1061" s="97" t="str">
        <f>IFERROR(__xludf.DUMMYFUNCTION("""COMPUTED_VALUE"""),"-")</f>
        <v>-</v>
      </c>
      <c r="BC1061" s="97" t="str">
        <f>IFERROR(__xludf.DUMMYFUNCTION("""COMPUTED_VALUE"""),"-")</f>
        <v>-</v>
      </c>
      <c r="BD1061" s="97" t="str">
        <f>IFERROR(__xludf.DUMMYFUNCTION("""COMPUTED_VALUE"""),"PRISMA")</f>
        <v>PRISMA</v>
      </c>
      <c r="BE1061" s="97" t="str">
        <f>IFERROR(__xludf.DUMMYFUNCTION("""COMPUTED_VALUE"""),"Finalizada")</f>
        <v>Finalizada</v>
      </c>
      <c r="BF1061" s="97"/>
      <c r="BG1061" s="97" t="str">
        <f>IFERROR(__xludf.DUMMYFUNCTION("""COMPUTED_VALUE"""),"Activo")</f>
        <v>Activo</v>
      </c>
    </row>
    <row r="1062">
      <c r="A1062" s="97">
        <f>IFERROR(__xludf.DUMMYFUNCTION("""COMPUTED_VALUE"""),6848.0)</f>
        <v>6848</v>
      </c>
      <c r="B1062" s="97" t="str">
        <f>IFERROR(__xludf.DUMMYFUNCTION("""COMPUTED_VALUE"""),"PRISMA NG 20W")</f>
        <v>PRISMA NG 20W</v>
      </c>
      <c r="C1062" s="97" t="str">
        <f>IFERROR(__xludf.DUMMYFUNCTION("""COMPUTED_VALUE"""),"APLIQUE PRISMA NG 20W 20W 3000/4000/6000K 1335LM CRI&gt;90 IP20 LEUK")</f>
        <v>APLIQUE PRISMA NG 20W 20W 3000/4000/6000K 1335LM CRI&gt;90 IP20 LEUK</v>
      </c>
      <c r="D1062" s="97">
        <f>IFERROR(__xludf.DUMMYFUNCTION("""COMPUTED_VALUE"""),7.798413224771E12)</f>
        <v>7798413224771</v>
      </c>
      <c r="E1062" s="97" t="str">
        <f>IFERROR(__xludf.DUMMYFUNCTION("""COMPUTED_VALUE"""),"F45")</f>
        <v>F45</v>
      </c>
      <c r="F1062" s="97" t="str">
        <f>IFERROR(__xludf.DUMMYFUNCTION("""COMPUTED_VALUE"""),"LED integrado")</f>
        <v>LED integrado</v>
      </c>
      <c r="G1062" s="97" t="str">
        <f>IFERROR(__xludf.DUMMYFUNCTION("""COMPUTED_VALUE"""),"OSRAM")</f>
        <v>OSRAM</v>
      </c>
      <c r="H1062" s="97" t="str">
        <f>IFERROR(__xludf.DUMMYFUNCTION("""COMPUTED_VALUE"""),"-")</f>
        <v>-</v>
      </c>
      <c r="I1062" s="97"/>
      <c r="J1062" s="97" t="str">
        <f>IFERROR(__xludf.DUMMYFUNCTION("""COMPUTED_VALUE"""),"Modelo: LED2024-500-B0
In: 85-265Vac 0.4A 50/60Hz
Out: 24-42Vdc 500mA
Pf 0.5 Tc 85ºC Ta 45ºC")</f>
        <v>Modelo: LED2024-500-B0
In: 85-265Vac 0.4A 50/60Hz
Out: 24-42Vdc 500mA
Pf 0.5 Tc 85ºC Ta 45ºC</v>
      </c>
      <c r="K1062" s="97" t="str">
        <f>IFERROR(__xludf.DUMMYFUNCTION("""COMPUTED_VALUE"""),"ON/OFF")</f>
        <v>ON/OFF</v>
      </c>
      <c r="L1062" s="97" t="str">
        <f>IFERROR(__xludf.DUMMYFUNCTION("""COMPUTED_VALUE"""),"200-240")</f>
        <v>200-240</v>
      </c>
      <c r="M1062" s="97" t="str">
        <f>IFERROR(__xludf.DUMMYFUNCTION("""COMPUTED_VALUE"""),"50/60")</f>
        <v>50/60</v>
      </c>
      <c r="N1062" s="97" t="str">
        <f>IFERROR(__xludf.DUMMYFUNCTION("""COMPUTED_VALUE"""),"Directa")</f>
        <v>Directa</v>
      </c>
      <c r="O1062" s="97">
        <f>IFERROR(__xludf.DUMMYFUNCTION("""COMPUTED_VALUE"""),20.0)</f>
        <v>20</v>
      </c>
      <c r="P1062" s="97"/>
      <c r="Q1062" s="97">
        <f>IFERROR(__xludf.DUMMYFUNCTION("""COMPUTED_VALUE"""),0.5)</f>
        <v>0.5</v>
      </c>
      <c r="R1062" s="97" t="str">
        <f>IFERROR(__xludf.DUMMYFUNCTION("""COMPUTED_VALUE"""),"-")</f>
        <v>-</v>
      </c>
      <c r="S1062" s="97" t="str">
        <f>IFERROR(__xludf.DUMMYFUNCTION("""COMPUTED_VALUE"""),"-")</f>
        <v>-</v>
      </c>
      <c r="T1062" s="97">
        <f>IFERROR(__xludf.DUMMYFUNCTION("""COMPUTED_VALUE"""),1335.0)</f>
        <v>1335</v>
      </c>
      <c r="U1062" s="99">
        <f>IFERROR(__xludf.DUMMYFUNCTION("""COMPUTED_VALUE"""),66.75)</f>
        <v>66.75</v>
      </c>
      <c r="V1062" s="97">
        <f>IFERROR(__xludf.DUMMYFUNCTION("""COMPUTED_VALUE"""),110.0)</f>
        <v>110</v>
      </c>
      <c r="W1062" s="97" t="str">
        <f>IFERROR(__xludf.DUMMYFUNCTION("""COMPUTED_VALUE"""),"&lt; 25")</f>
        <v>&lt; 25</v>
      </c>
      <c r="X1062" s="97" t="str">
        <f>IFERROR(__xludf.DUMMYFUNCTION("""COMPUTED_VALUE"""),"3000/4000/6000")</f>
        <v>3000/4000/6000</v>
      </c>
      <c r="Y1062" s="97" t="str">
        <f>IFERROR(__xludf.DUMMYFUNCTION("""COMPUTED_VALUE"""),"&gt;90")</f>
        <v>&gt;90</v>
      </c>
      <c r="Z1062" s="97"/>
      <c r="AA1062" s="97"/>
      <c r="AB1062" s="97" t="str">
        <f>IFERROR(__xludf.DUMMYFUNCTION("""COMPUTED_VALUE"""),"&lt; 4")</f>
        <v>&lt; 4</v>
      </c>
      <c r="AC1062" s="97"/>
      <c r="AD1062" s="97" t="str">
        <f>IFERROR(__xludf.DUMMYFUNCTION("""COMPUTED_VALUE"""),"IP20")</f>
        <v>IP20</v>
      </c>
      <c r="AE1062" s="97" t="str">
        <f>IFERROR(__xludf.DUMMYFUNCTION("""COMPUTED_VALUE"""),"Clase l")</f>
        <v>Clase l</v>
      </c>
      <c r="AF1062" s="97" t="str">
        <f>IFERROR(__xludf.DUMMYFUNCTION("""COMPUTED_VALUE"""),"Aplicar")</f>
        <v>Aplicar</v>
      </c>
      <c r="AG1062" s="97" t="str">
        <f>IFERROR(__xludf.DUMMYFUNCTION("""COMPUTED_VALUE"""),"Ø120 x 70")</f>
        <v>Ø120 x 70</v>
      </c>
      <c r="AH1062" s="97" t="str">
        <f>IFERROR(__xludf.DUMMYFUNCTION("""COMPUTED_VALUE"""),"N/A")</f>
        <v>N/A</v>
      </c>
      <c r="AI1062" s="97" t="str">
        <f>IFERROR(__xludf.DUMMYFUNCTION("""COMPUTED_VALUE"""),"N/A")</f>
        <v>N/A</v>
      </c>
      <c r="AJ1062" s="97" t="str">
        <f>IFERROR(__xludf.DUMMYFUNCTION("""COMPUTED_VALUE"""),"Policarbonato (PC)")</f>
        <v>Policarbonato (PC)</v>
      </c>
      <c r="AK1062" s="97" t="str">
        <f>IFERROR(__xludf.DUMMYFUNCTION("""COMPUTED_VALUE"""),"Aluminio")</f>
        <v>Aluminio</v>
      </c>
      <c r="AL1062" s="97" t="str">
        <f>IFERROR(__xludf.DUMMYFUNCTION("""COMPUTED_VALUE"""),"Negro Satinado")</f>
        <v>Negro Satinado</v>
      </c>
      <c r="AM1062" s="97" t="str">
        <f>IFERROR(__xludf.DUMMYFUNCTION("""COMPUTED_VALUE"""),"-")</f>
        <v>-</v>
      </c>
      <c r="AN1062" s="97" t="str">
        <f>IFERROR(__xludf.DUMMYFUNCTION("""COMPUTED_VALUE"""),"25.000hs (L70)")</f>
        <v>25.000hs (L70)</v>
      </c>
      <c r="AO1062" s="97" t="str">
        <f>IFERROR(__xludf.DUMMYFUNCTION("""COMPUTED_VALUE"""),"2 Años")</f>
        <v>2 Años</v>
      </c>
      <c r="AP1062" s="97" t="str">
        <f>IFERROR(__xludf.DUMMYFUNCTION("""COMPUTED_VALUE"""),"Disponible")</f>
        <v>Disponible</v>
      </c>
      <c r="AQ1062" s="97" t="str">
        <f>IFERROR(__xludf.DUMMYFUNCTION("""COMPUTED_VALUE"""),"Disponible")</f>
        <v>Disponible</v>
      </c>
      <c r="AR1062" s="97" t="str">
        <f>IFERROR(__xludf.DUMMYFUNCTION("""COMPUTED_VALUE"""),"Disponible")</f>
        <v>Disponible</v>
      </c>
      <c r="AS1062" s="97"/>
      <c r="AT1062" s="97"/>
      <c r="AU1062" s="97" t="str">
        <f>IFERROR(__xludf.DUMMYFUNCTION("""COMPUTED_VALUE"""),"Falta")</f>
        <v>Falta</v>
      </c>
      <c r="AV1062" s="97" t="str">
        <f>IFERROR(__xludf.DUMMYFUNCTION("""COMPUTED_VALUE"""),"Aplique")</f>
        <v>Aplique</v>
      </c>
      <c r="AW1062" s="97" t="str">
        <f>IFERROR(__xludf.DUMMYFUNCTION("""COMPUTED_VALUE"""),"De Techo")</f>
        <v>De Techo</v>
      </c>
      <c r="AX1062" s="97" t="str">
        <f>IFERROR(__xludf.DUMMYFUNCTION("""COMPUTED_VALUE"""),"Interior")</f>
        <v>Interior</v>
      </c>
      <c r="AY1062" s="97" t="str">
        <f>IFERROR(__xludf.DUMMYFUNCTION("""COMPUTED_VALUE"""),"-")</f>
        <v>-</v>
      </c>
      <c r="AZ1062" s="97" t="str">
        <f>IFERROR(__xludf.DUMMYFUNCTION("""COMPUTED_VALUE"""),"Switch p/cambio de color.")</f>
        <v>Switch p/cambio de color.</v>
      </c>
      <c r="BA1062" s="97"/>
      <c r="BB1062" s="97" t="str">
        <f>IFERROR(__xludf.DUMMYFUNCTION("""COMPUTED_VALUE"""),"-")</f>
        <v>-</v>
      </c>
      <c r="BC1062" s="97" t="str">
        <f>IFERROR(__xludf.DUMMYFUNCTION("""COMPUTED_VALUE"""),"-")</f>
        <v>-</v>
      </c>
      <c r="BD1062" s="97" t="str">
        <f>IFERROR(__xludf.DUMMYFUNCTION("""COMPUTED_VALUE"""),"PRISMA")</f>
        <v>PRISMA</v>
      </c>
      <c r="BE1062" s="97" t="str">
        <f>IFERROR(__xludf.DUMMYFUNCTION("""COMPUTED_VALUE"""),"Finalizada")</f>
        <v>Finalizada</v>
      </c>
      <c r="BF1062" s="97"/>
      <c r="BG1062" s="97" t="str">
        <f>IFERROR(__xludf.DUMMYFUNCTION("""COMPUTED_VALUE"""),"Activo")</f>
        <v>Activo</v>
      </c>
    </row>
    <row r="1063">
      <c r="A1063" s="97">
        <f>IFERROR(__xludf.DUMMYFUNCTION("""COMPUTED_VALUE"""),6849.0)</f>
        <v>6849</v>
      </c>
      <c r="B1063" s="97" t="str">
        <f>IFERROR(__xludf.DUMMYFUNCTION("""COMPUTED_VALUE"""),"CITY BLMD 45W")</f>
        <v>CITY BLMD 45W</v>
      </c>
      <c r="C1063" s="97" t="str">
        <f>IFERROR(__xludf.DUMMYFUNCTION("""COMPUTED_VALUE"""),"APLIQUE CITY BLMD 45W 45W 3000/4000/6000K 2400LM CRI&gt;95 IP20 LEUK")</f>
        <v>APLIQUE CITY BLMD 45W 45W 3000/4000/6000K 2400LM CRI&gt;95 IP20 LEUK</v>
      </c>
      <c r="D1063" s="97">
        <f>IFERROR(__xludf.DUMMYFUNCTION("""COMPUTED_VALUE"""),7.798413225099E12)</f>
        <v>7798413225099</v>
      </c>
      <c r="E1063" s="97" t="str">
        <f>IFERROR(__xludf.DUMMYFUNCTION("""COMPUTED_VALUE"""),"F119")</f>
        <v>F119</v>
      </c>
      <c r="F1063" s="97" t="str">
        <f>IFERROR(__xludf.DUMMYFUNCTION("""COMPUTED_VALUE"""),"LED integrado")</f>
        <v>LED integrado</v>
      </c>
      <c r="G1063" s="97" t="str">
        <f>IFERROR(__xludf.DUMMYFUNCTION("""COMPUTED_VALUE"""),"-")</f>
        <v>-</v>
      </c>
      <c r="H1063" s="97" t="str">
        <f>IFERROR(__xludf.DUMMYFUNCTION("""COMPUTED_VALUE"""),"-")</f>
        <v>-</v>
      </c>
      <c r="I1063" s="97"/>
      <c r="J1063" s="97" t="str">
        <f>IFERROR(__xludf.DUMMYFUNCTION("""COMPUTED_VALUE"""),"Modelo: CX-37-60Wx1
In: 175-265Vac 50/60Hz
Out: 110-210V 230mA")</f>
        <v>Modelo: CX-37-60Wx1
In: 175-265Vac 50/60Hz
Out: 110-210V 230mA</v>
      </c>
      <c r="K1063" s="97" t="str">
        <f>IFERROR(__xludf.DUMMYFUNCTION("""COMPUTED_VALUE"""),"ON/OFF")</f>
        <v>ON/OFF</v>
      </c>
      <c r="L1063" s="97" t="str">
        <f>IFERROR(__xludf.DUMMYFUNCTION("""COMPUTED_VALUE"""),"200-240")</f>
        <v>200-240</v>
      </c>
      <c r="M1063" s="97" t="str">
        <f>IFERROR(__xludf.DUMMYFUNCTION("""COMPUTED_VALUE"""),"50/60")</f>
        <v>50/60</v>
      </c>
      <c r="N1063" s="97" t="str">
        <f>IFERROR(__xludf.DUMMYFUNCTION("""COMPUTED_VALUE"""),"Directa-Simétrica")</f>
        <v>Directa-Simétrica</v>
      </c>
      <c r="O1063" s="97">
        <f>IFERROR(__xludf.DUMMYFUNCTION("""COMPUTED_VALUE"""),45.0)</f>
        <v>45</v>
      </c>
      <c r="P1063" s="97"/>
      <c r="Q1063" s="97">
        <f>IFERROR(__xludf.DUMMYFUNCTION("""COMPUTED_VALUE"""),0.6)</f>
        <v>0.6</v>
      </c>
      <c r="R1063" s="97" t="str">
        <f>IFERROR(__xludf.DUMMYFUNCTION("""COMPUTED_VALUE"""),"-")</f>
        <v>-</v>
      </c>
      <c r="S1063" s="97" t="str">
        <f>IFERROR(__xludf.DUMMYFUNCTION("""COMPUTED_VALUE"""),"-")</f>
        <v>-</v>
      </c>
      <c r="T1063" s="97">
        <f>IFERROR(__xludf.DUMMYFUNCTION("""COMPUTED_VALUE"""),2400.0)</f>
        <v>2400</v>
      </c>
      <c r="U1063" s="99">
        <f>IFERROR(__xludf.DUMMYFUNCTION("""COMPUTED_VALUE"""),53.333333333333336)</f>
        <v>53.33333333</v>
      </c>
      <c r="V1063" s="97">
        <f>IFERROR(__xludf.DUMMYFUNCTION("""COMPUTED_VALUE"""),115.0)</f>
        <v>115</v>
      </c>
      <c r="W1063" s="97" t="str">
        <f>IFERROR(__xludf.DUMMYFUNCTION("""COMPUTED_VALUE"""),"&lt; 20")</f>
        <v>&lt; 20</v>
      </c>
      <c r="X1063" s="97" t="str">
        <f>IFERROR(__xludf.DUMMYFUNCTION("""COMPUTED_VALUE"""),"3000/4000/6000")</f>
        <v>3000/4000/6000</v>
      </c>
      <c r="Y1063" s="97" t="str">
        <f>IFERROR(__xludf.DUMMYFUNCTION("""COMPUTED_VALUE"""),"&gt;95")</f>
        <v>&gt;95</v>
      </c>
      <c r="Z1063" s="97"/>
      <c r="AA1063" s="97"/>
      <c r="AB1063" s="97"/>
      <c r="AC1063" s="97"/>
      <c r="AD1063" s="97" t="str">
        <f>IFERROR(__xludf.DUMMYFUNCTION("""COMPUTED_VALUE"""),"IP20")</f>
        <v>IP20</v>
      </c>
      <c r="AE1063" s="97" t="str">
        <f>IFERROR(__xludf.DUMMYFUNCTION("""COMPUTED_VALUE"""),"Clase l")</f>
        <v>Clase l</v>
      </c>
      <c r="AF1063" s="97" t="str">
        <f>IFERROR(__xludf.DUMMYFUNCTION("""COMPUTED_VALUE"""),"Aplicar, Suspender")</f>
        <v>Aplicar, Suspender</v>
      </c>
      <c r="AG1063" s="97" t="str">
        <f>IFERROR(__xludf.DUMMYFUNCTION("""COMPUTED_VALUE"""),"Ø500 x 70")</f>
        <v>Ø500 x 70</v>
      </c>
      <c r="AH1063" s="97" t="str">
        <f>IFERROR(__xludf.DUMMYFUNCTION("""COMPUTED_VALUE"""),"N/A")</f>
        <v>N/A</v>
      </c>
      <c r="AI1063" s="97" t="str">
        <f>IFERROR(__xludf.DUMMYFUNCTION("""COMPUTED_VALUE"""),"N/A")</f>
        <v>N/A</v>
      </c>
      <c r="AJ1063" s="97" t="str">
        <f>IFERROR(__xludf.DUMMYFUNCTION("""COMPUTED_VALUE"""),"PMMA")</f>
        <v>PMMA</v>
      </c>
      <c r="AK1063" s="97" t="str">
        <f>IFERROR(__xludf.DUMMYFUNCTION("""COMPUTED_VALUE"""),"ABS")</f>
        <v>ABS</v>
      </c>
      <c r="AL1063" s="97" t="str">
        <f>IFERROR(__xludf.DUMMYFUNCTION("""COMPUTED_VALUE"""),"Blanco y Madera")</f>
        <v>Blanco y Madera</v>
      </c>
      <c r="AM1063" s="97" t="str">
        <f>IFERROR(__xludf.DUMMYFUNCTION("""COMPUTED_VALUE"""),"-")</f>
        <v>-</v>
      </c>
      <c r="AN1063" s="97" t="str">
        <f>IFERROR(__xludf.DUMMYFUNCTION("""COMPUTED_VALUE"""),"25.000hs (L70)")</f>
        <v>25.000hs (L70)</v>
      </c>
      <c r="AO1063" s="97" t="str">
        <f>IFERROR(__xludf.DUMMYFUNCTION("""COMPUTED_VALUE"""),"2 Años")</f>
        <v>2 Años</v>
      </c>
      <c r="AP1063" s="97" t="str">
        <f>IFERROR(__xludf.DUMMYFUNCTION("""COMPUTED_VALUE"""),"Disponible")</f>
        <v>Disponible</v>
      </c>
      <c r="AQ1063" s="97" t="str">
        <f>IFERROR(__xludf.DUMMYFUNCTION("""COMPUTED_VALUE"""),"Disponible")</f>
        <v>Disponible</v>
      </c>
      <c r="AR1063" s="97" t="str">
        <f>IFERROR(__xludf.DUMMYFUNCTION("""COMPUTED_VALUE"""),"Disponible")</f>
        <v>Disponible</v>
      </c>
      <c r="AS1063" s="97"/>
      <c r="AT1063" s="97"/>
      <c r="AU1063" s="97" t="str">
        <f>IFERROR(__xludf.DUMMYFUNCTION("""COMPUTED_VALUE"""),"Falta")</f>
        <v>Falta</v>
      </c>
      <c r="AV1063" s="97" t="str">
        <f>IFERROR(__xludf.DUMMYFUNCTION("""COMPUTED_VALUE"""),"Aplique")</f>
        <v>Aplique</v>
      </c>
      <c r="AW1063" s="97" t="str">
        <f>IFERROR(__xludf.DUMMYFUNCTION("""COMPUTED_VALUE"""),"De Techo")</f>
        <v>De Techo</v>
      </c>
      <c r="AX1063" s="97" t="str">
        <f>IFERROR(__xludf.DUMMYFUNCTION("""COMPUTED_VALUE"""),"Interior")</f>
        <v>Interior</v>
      </c>
      <c r="AY1063" s="97" t="str">
        <f>IFERROR(__xludf.DUMMYFUNCTION("""COMPUTED_VALUE"""),"-")</f>
        <v>-</v>
      </c>
      <c r="AZ1063" s="97" t="str">
        <f>IFERROR(__xludf.DUMMYFUNCTION("""COMPUTED_VALUE"""),"Switch p/cambio de color. Aplica KIT SUSPENSIÓN 4 TENSORES BL 6829 o NG 6830.")</f>
        <v>Switch p/cambio de color. Aplica KIT SUSPENSIÓN 4 TENSORES BL 6829 o NG 6830.</v>
      </c>
      <c r="BA1063" s="97">
        <f>IFERROR(__xludf.DUMMYFUNCTION("""COMPUTED_VALUE"""),5.0)</f>
        <v>5</v>
      </c>
      <c r="BB1063" s="97" t="str">
        <f>IFERROR(__xludf.DUMMYFUNCTION("""COMPUTED_VALUE"""),"-")</f>
        <v>-</v>
      </c>
      <c r="BC1063" s="97" t="str">
        <f>IFERROR(__xludf.DUMMYFUNCTION("""COMPUTED_VALUE"""),"-")</f>
        <v>-</v>
      </c>
      <c r="BD1063" s="97" t="str">
        <f>IFERROR(__xludf.DUMMYFUNCTION("""COMPUTED_VALUE"""),"CITY")</f>
        <v>CITY</v>
      </c>
      <c r="BE1063" s="97" t="str">
        <f>IFERROR(__xludf.DUMMYFUNCTION("""COMPUTED_VALUE"""),"Finalizada")</f>
        <v>Finalizada</v>
      </c>
      <c r="BF1063" s="97"/>
      <c r="BG1063" s="97" t="str">
        <f>IFERROR(__xludf.DUMMYFUNCTION("""COMPUTED_VALUE"""),"Activo")</f>
        <v>Activo</v>
      </c>
    </row>
    <row r="1064">
      <c r="A1064" s="97">
        <f>IFERROR(__xludf.DUMMYFUNCTION("""COMPUTED_VALUE"""),6850.0)</f>
        <v>6850</v>
      </c>
      <c r="B1064" s="97" t="str">
        <f>IFERROR(__xludf.DUMMYFUNCTION("""COMPUTED_VALUE"""),"MEX BL 10W 3000K")</f>
        <v>MEX BL 10W 3000K</v>
      </c>
      <c r="C1064" s="97" t="str">
        <f>IFERROR(__xludf.DUMMYFUNCTION("""COMPUTED_VALUE"""),"CABEZAL MEX BL 10W 3000K 10W 3000K 662LM CRI&gt;90 IP20 LEUK")</f>
        <v>CABEZAL MEX BL 10W 3000K 10W 3000K 662LM CRI&gt;90 IP20 LEUK</v>
      </c>
      <c r="D1064" s="97">
        <f>IFERROR(__xludf.DUMMYFUNCTION("""COMPUTED_VALUE"""),7.798413224795E12)</f>
        <v>7798413224795</v>
      </c>
      <c r="E1064" s="97" t="str">
        <f>IFERROR(__xludf.DUMMYFUNCTION("""COMPUTED_VALUE"""),"F69")</f>
        <v>F69</v>
      </c>
      <c r="F1064" s="97" t="str">
        <f>IFERROR(__xludf.DUMMYFUNCTION("""COMPUTED_VALUE"""),"LED COB")</f>
        <v>LED COB</v>
      </c>
      <c r="G1064" s="97" t="str">
        <f>IFERROR(__xludf.DUMMYFUNCTION("""COMPUTED_VALUE"""),"-")</f>
        <v>-</v>
      </c>
      <c r="H1064" s="97" t="str">
        <f>IFERROR(__xludf.DUMMYFUNCTION("""COMPUTED_VALUE"""),"-")</f>
        <v>-</v>
      </c>
      <c r="I1064" s="97"/>
      <c r="J1064" s="97"/>
      <c r="K1064" s="97" t="str">
        <f>IFERROR(__xludf.DUMMYFUNCTION("""COMPUTED_VALUE"""),"ON/OFF")</f>
        <v>ON/OFF</v>
      </c>
      <c r="L1064" s="97" t="str">
        <f>IFERROR(__xludf.DUMMYFUNCTION("""COMPUTED_VALUE"""),"200-240")</f>
        <v>200-240</v>
      </c>
      <c r="M1064" s="97" t="str">
        <f>IFERROR(__xludf.DUMMYFUNCTION("""COMPUTED_VALUE"""),"50/60")</f>
        <v>50/60</v>
      </c>
      <c r="N1064" s="97" t="str">
        <f>IFERROR(__xludf.DUMMYFUNCTION("""COMPUTED_VALUE"""),"Directa-Direccional")</f>
        <v>Directa-Direccional</v>
      </c>
      <c r="O1064" s="97">
        <f>IFERROR(__xludf.DUMMYFUNCTION("""COMPUTED_VALUE"""),10.0)</f>
        <v>10</v>
      </c>
      <c r="P1064" s="97"/>
      <c r="Q1064" s="97">
        <f>IFERROR(__xludf.DUMMYFUNCTION("""COMPUTED_VALUE"""),0.52)</f>
        <v>0.52</v>
      </c>
      <c r="R1064" s="97" t="str">
        <f>IFERROR(__xludf.DUMMYFUNCTION("""COMPUTED_VALUE"""),"-")</f>
        <v>-</v>
      </c>
      <c r="S1064" s="97" t="str">
        <f>IFERROR(__xludf.DUMMYFUNCTION("""COMPUTED_VALUE"""),"-")</f>
        <v>-</v>
      </c>
      <c r="T1064" s="97">
        <f>IFERROR(__xludf.DUMMYFUNCTION("""COMPUTED_VALUE"""),662.0)</f>
        <v>662</v>
      </c>
      <c r="U1064" s="99">
        <f>IFERROR(__xludf.DUMMYFUNCTION("""COMPUTED_VALUE"""),66.2)</f>
        <v>66.2</v>
      </c>
      <c r="V1064" s="97" t="str">
        <f>IFERROR(__xludf.DUMMYFUNCTION("""COMPUTED_VALUE"""),"15 / 24 / 36")</f>
        <v>15 / 24 / 36</v>
      </c>
      <c r="W1064" s="97" t="str">
        <f>IFERROR(__xludf.DUMMYFUNCTION("""COMPUTED_VALUE"""),"&lt; 18")</f>
        <v>&lt; 18</v>
      </c>
      <c r="X1064" s="97">
        <f>IFERROR(__xludf.DUMMYFUNCTION("""COMPUTED_VALUE"""),3000.0)</f>
        <v>3000</v>
      </c>
      <c r="Y1064" s="97" t="str">
        <f>IFERROR(__xludf.DUMMYFUNCTION("""COMPUTED_VALUE"""),"&gt;90")</f>
        <v>&gt;90</v>
      </c>
      <c r="Z1064" s="97"/>
      <c r="AA1064" s="97"/>
      <c r="AB1064" s="97" t="str">
        <f>IFERROR(__xludf.DUMMYFUNCTION("""COMPUTED_VALUE"""),"&lt; 3")</f>
        <v>&lt; 3</v>
      </c>
      <c r="AC1064" s="97"/>
      <c r="AD1064" s="97" t="str">
        <f>IFERROR(__xludf.DUMMYFUNCTION("""COMPUTED_VALUE"""),"IP20")</f>
        <v>IP20</v>
      </c>
      <c r="AE1064" s="97" t="str">
        <f>IFERROR(__xludf.DUMMYFUNCTION("""COMPUTED_VALUE"""),"Clase l")</f>
        <v>Clase l</v>
      </c>
      <c r="AF1064" s="97" t="str">
        <f>IFERROR(__xludf.DUMMYFUNCTION("""COMPUTED_VALUE"""),"Cabezal")</f>
        <v>Cabezal</v>
      </c>
      <c r="AG1064" s="97" t="str">
        <f>IFERROR(__xludf.DUMMYFUNCTION("""COMPUTED_VALUE"""),"Ø55 x 150")</f>
        <v>Ø55 x 150</v>
      </c>
      <c r="AH1064" s="97" t="str">
        <f>IFERROR(__xludf.DUMMYFUNCTION("""COMPUTED_VALUE"""),"N/A")</f>
        <v>N/A</v>
      </c>
      <c r="AI1064" s="97" t="str">
        <f>IFERROR(__xludf.DUMMYFUNCTION("""COMPUTED_VALUE"""),"N/A")</f>
        <v>N/A</v>
      </c>
      <c r="AJ1064" s="97" t="str">
        <f>IFERROR(__xludf.DUMMYFUNCTION("""COMPUTED_VALUE"""),"PMMA")</f>
        <v>PMMA</v>
      </c>
      <c r="AK1064" s="97" t="str">
        <f>IFERROR(__xludf.DUMMYFUNCTION("""COMPUTED_VALUE"""),"Aluminio")</f>
        <v>Aluminio</v>
      </c>
      <c r="AL1064" s="97" t="str">
        <f>IFERROR(__xludf.DUMMYFUNCTION("""COMPUTED_VALUE"""),"Blanco Satinado")</f>
        <v>Blanco Satinado</v>
      </c>
      <c r="AM1064" s="97" t="str">
        <f>IFERROR(__xludf.DUMMYFUNCTION("""COMPUTED_VALUE"""),"-")</f>
        <v>-</v>
      </c>
      <c r="AN1064" s="97" t="str">
        <f>IFERROR(__xludf.DUMMYFUNCTION("""COMPUTED_VALUE"""),"25.000hs (L70)")</f>
        <v>25.000hs (L70)</v>
      </c>
      <c r="AO1064" s="97" t="str">
        <f>IFERROR(__xludf.DUMMYFUNCTION("""COMPUTED_VALUE"""),"2 Años")</f>
        <v>2 Años</v>
      </c>
      <c r="AP1064" s="97" t="str">
        <f>IFERROR(__xludf.DUMMYFUNCTION("""COMPUTED_VALUE"""),"Disponible")</f>
        <v>Disponible</v>
      </c>
      <c r="AQ1064" s="97" t="str">
        <f>IFERROR(__xludf.DUMMYFUNCTION("""COMPUTED_VALUE"""),"Disponible")</f>
        <v>Disponible</v>
      </c>
      <c r="AR1064" s="97" t="str">
        <f>IFERROR(__xludf.DUMMYFUNCTION("""COMPUTED_VALUE"""),"Disponible")</f>
        <v>Disponible</v>
      </c>
      <c r="AS1064" s="97"/>
      <c r="AT1064" s="97"/>
      <c r="AU1064" s="97" t="str">
        <f>IFERROR(__xludf.DUMMYFUNCTION("""COMPUTED_VALUE"""),"Falta")</f>
        <v>Falta</v>
      </c>
      <c r="AV1064" s="97" t="str">
        <f>IFERROR(__xludf.DUMMYFUNCTION("""COMPUTED_VALUE"""),"Cabezal")</f>
        <v>Cabezal</v>
      </c>
      <c r="AW1064" s="97" t="str">
        <f>IFERROR(__xludf.DUMMYFUNCTION("""COMPUTED_VALUE"""),"De Techo")</f>
        <v>De Techo</v>
      </c>
      <c r="AX1064" s="97" t="str">
        <f>IFERROR(__xludf.DUMMYFUNCTION("""COMPUTED_VALUE"""),"Interior")</f>
        <v>Interior</v>
      </c>
      <c r="AY1064" s="97" t="str">
        <f>IFERROR(__xludf.DUMMYFUNCTION("""COMPUTED_VALUE"""),"-")</f>
        <v>-</v>
      </c>
      <c r="AZ1064"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064" s="97"/>
      <c r="BB1064" s="97" t="str">
        <f>IFERROR(__xludf.DUMMYFUNCTION("""COMPUTED_VALUE"""),"-")</f>
        <v>-</v>
      </c>
      <c r="BC1064" s="97" t="str">
        <f>IFERROR(__xludf.DUMMYFUNCTION("""COMPUTED_VALUE"""),"-")</f>
        <v>-</v>
      </c>
      <c r="BD1064" s="97" t="str">
        <f>IFERROR(__xludf.DUMMYFUNCTION("""COMPUTED_VALUE"""),"MEX")</f>
        <v>MEX</v>
      </c>
      <c r="BE1064" s="97" t="str">
        <f>IFERROR(__xludf.DUMMYFUNCTION("""COMPUTED_VALUE"""),"Finalizada")</f>
        <v>Finalizada</v>
      </c>
      <c r="BF1064" s="97"/>
      <c r="BG1064" s="97" t="str">
        <f>IFERROR(__xludf.DUMMYFUNCTION("""COMPUTED_VALUE"""),"Activo")</f>
        <v>Activo</v>
      </c>
    </row>
    <row r="1065">
      <c r="A1065" s="97">
        <f>IFERROR(__xludf.DUMMYFUNCTION("""COMPUTED_VALUE"""),6851.0)</f>
        <v>6851</v>
      </c>
      <c r="B1065" s="97" t="str">
        <f>IFERROR(__xludf.DUMMYFUNCTION("""COMPUTED_VALUE"""),"MEX BL 18W 3000K")</f>
        <v>MEX BL 18W 3000K</v>
      </c>
      <c r="C1065" s="97" t="str">
        <f>IFERROR(__xludf.DUMMYFUNCTION("""COMPUTED_VALUE"""),"CABEZAL MEX BL 18W 3000K 18W 3000K 1335LM CRI&gt;90 IP20 LEUK")</f>
        <v>CABEZAL MEX BL 18W 3000K 18W 3000K 1335LM CRI&gt;90 IP20 LEUK</v>
      </c>
      <c r="D1065" s="97">
        <f>IFERROR(__xludf.DUMMYFUNCTION("""COMPUTED_VALUE"""),7.798413224801E12)</f>
        <v>7798413224801</v>
      </c>
      <c r="E1065" s="97" t="str">
        <f>IFERROR(__xludf.DUMMYFUNCTION("""COMPUTED_VALUE"""),"F150")</f>
        <v>F150</v>
      </c>
      <c r="F1065" s="97" t="str">
        <f>IFERROR(__xludf.DUMMYFUNCTION("""COMPUTED_VALUE"""),"LED COB")</f>
        <v>LED COB</v>
      </c>
      <c r="G1065" s="97" t="str">
        <f>IFERROR(__xludf.DUMMYFUNCTION("""COMPUTED_VALUE"""),"-")</f>
        <v>-</v>
      </c>
      <c r="H1065" s="97" t="str">
        <f>IFERROR(__xludf.DUMMYFUNCTION("""COMPUTED_VALUE"""),"-")</f>
        <v>-</v>
      </c>
      <c r="I1065" s="97"/>
      <c r="J1065" s="97"/>
      <c r="K1065" s="97" t="str">
        <f>IFERROR(__xludf.DUMMYFUNCTION("""COMPUTED_VALUE"""),"ON/OFF")</f>
        <v>ON/OFF</v>
      </c>
      <c r="L1065" s="97" t="str">
        <f>IFERROR(__xludf.DUMMYFUNCTION("""COMPUTED_VALUE"""),"200-240")</f>
        <v>200-240</v>
      </c>
      <c r="M1065" s="97" t="str">
        <f>IFERROR(__xludf.DUMMYFUNCTION("""COMPUTED_VALUE"""),"50/60")</f>
        <v>50/60</v>
      </c>
      <c r="N1065" s="97" t="str">
        <f>IFERROR(__xludf.DUMMYFUNCTION("""COMPUTED_VALUE"""),"Directa-Direccional")</f>
        <v>Directa-Direccional</v>
      </c>
      <c r="O1065" s="97">
        <f>IFERROR(__xludf.DUMMYFUNCTION("""COMPUTED_VALUE"""),18.0)</f>
        <v>18</v>
      </c>
      <c r="P1065" s="97"/>
      <c r="Q1065" s="97">
        <f>IFERROR(__xludf.DUMMYFUNCTION("""COMPUTED_VALUE"""),0.52)</f>
        <v>0.52</v>
      </c>
      <c r="R1065" s="97" t="str">
        <f>IFERROR(__xludf.DUMMYFUNCTION("""COMPUTED_VALUE"""),"-")</f>
        <v>-</v>
      </c>
      <c r="S1065" s="97" t="str">
        <f>IFERROR(__xludf.DUMMYFUNCTION("""COMPUTED_VALUE"""),"-")</f>
        <v>-</v>
      </c>
      <c r="T1065" s="97">
        <f>IFERROR(__xludf.DUMMYFUNCTION("""COMPUTED_VALUE"""),1335.0)</f>
        <v>1335</v>
      </c>
      <c r="U1065" s="99">
        <f>IFERROR(__xludf.DUMMYFUNCTION("""COMPUTED_VALUE"""),74.16666666666667)</f>
        <v>74.16666667</v>
      </c>
      <c r="V1065" s="97" t="str">
        <f>IFERROR(__xludf.DUMMYFUNCTION("""COMPUTED_VALUE"""),"15 / 24 / 36")</f>
        <v>15 / 24 / 36</v>
      </c>
      <c r="W1065" s="97" t="str">
        <f>IFERROR(__xludf.DUMMYFUNCTION("""COMPUTED_VALUE"""),"&lt; 18")</f>
        <v>&lt; 18</v>
      </c>
      <c r="X1065" s="97">
        <f>IFERROR(__xludf.DUMMYFUNCTION("""COMPUTED_VALUE"""),3000.0)</f>
        <v>3000</v>
      </c>
      <c r="Y1065" s="97" t="str">
        <f>IFERROR(__xludf.DUMMYFUNCTION("""COMPUTED_VALUE"""),"&gt;90")</f>
        <v>&gt;90</v>
      </c>
      <c r="Z1065" s="97"/>
      <c r="AA1065" s="97"/>
      <c r="AB1065" s="97" t="str">
        <f>IFERROR(__xludf.DUMMYFUNCTION("""COMPUTED_VALUE"""),"&lt; 3")</f>
        <v>&lt; 3</v>
      </c>
      <c r="AC1065" s="97"/>
      <c r="AD1065" s="97" t="str">
        <f>IFERROR(__xludf.DUMMYFUNCTION("""COMPUTED_VALUE"""),"IP20")</f>
        <v>IP20</v>
      </c>
      <c r="AE1065" s="97" t="str">
        <f>IFERROR(__xludf.DUMMYFUNCTION("""COMPUTED_VALUE"""),"Clase l")</f>
        <v>Clase l</v>
      </c>
      <c r="AF1065" s="97" t="str">
        <f>IFERROR(__xludf.DUMMYFUNCTION("""COMPUTED_VALUE"""),"Cabezal")</f>
        <v>Cabezal</v>
      </c>
      <c r="AG1065" s="97" t="str">
        <f>IFERROR(__xludf.DUMMYFUNCTION("""COMPUTED_VALUE"""),"Ø60 x 165")</f>
        <v>Ø60 x 165</v>
      </c>
      <c r="AH1065" s="97" t="str">
        <f>IFERROR(__xludf.DUMMYFUNCTION("""COMPUTED_VALUE"""),"N/A")</f>
        <v>N/A</v>
      </c>
      <c r="AI1065" s="97" t="str">
        <f>IFERROR(__xludf.DUMMYFUNCTION("""COMPUTED_VALUE"""),"N/A")</f>
        <v>N/A</v>
      </c>
      <c r="AJ1065" s="97" t="str">
        <f>IFERROR(__xludf.DUMMYFUNCTION("""COMPUTED_VALUE"""),"PMMA")</f>
        <v>PMMA</v>
      </c>
      <c r="AK1065" s="97" t="str">
        <f>IFERROR(__xludf.DUMMYFUNCTION("""COMPUTED_VALUE"""),"Aluminio")</f>
        <v>Aluminio</v>
      </c>
      <c r="AL1065" s="97" t="str">
        <f>IFERROR(__xludf.DUMMYFUNCTION("""COMPUTED_VALUE"""),"Blanco Satinado")</f>
        <v>Blanco Satinado</v>
      </c>
      <c r="AM1065" s="97" t="str">
        <f>IFERROR(__xludf.DUMMYFUNCTION("""COMPUTED_VALUE"""),"-")</f>
        <v>-</v>
      </c>
      <c r="AN1065" s="97" t="str">
        <f>IFERROR(__xludf.DUMMYFUNCTION("""COMPUTED_VALUE"""),"25.000hs (L70)")</f>
        <v>25.000hs (L70)</v>
      </c>
      <c r="AO1065" s="97" t="str">
        <f>IFERROR(__xludf.DUMMYFUNCTION("""COMPUTED_VALUE"""),"2 Años")</f>
        <v>2 Años</v>
      </c>
      <c r="AP1065" s="97" t="str">
        <f>IFERROR(__xludf.DUMMYFUNCTION("""COMPUTED_VALUE"""),"Disponible")</f>
        <v>Disponible</v>
      </c>
      <c r="AQ1065" s="97" t="str">
        <f>IFERROR(__xludf.DUMMYFUNCTION("""COMPUTED_VALUE"""),"Disponible")</f>
        <v>Disponible</v>
      </c>
      <c r="AR1065" s="97" t="str">
        <f>IFERROR(__xludf.DUMMYFUNCTION("""COMPUTED_VALUE"""),"Disponible")</f>
        <v>Disponible</v>
      </c>
      <c r="AS1065" s="97"/>
      <c r="AT1065" s="97"/>
      <c r="AU1065" s="97" t="str">
        <f>IFERROR(__xludf.DUMMYFUNCTION("""COMPUTED_VALUE"""),"Falta")</f>
        <v>Falta</v>
      </c>
      <c r="AV1065" s="97" t="str">
        <f>IFERROR(__xludf.DUMMYFUNCTION("""COMPUTED_VALUE"""),"Cabezal")</f>
        <v>Cabezal</v>
      </c>
      <c r="AW1065" s="97" t="str">
        <f>IFERROR(__xludf.DUMMYFUNCTION("""COMPUTED_VALUE"""),"De Techo")</f>
        <v>De Techo</v>
      </c>
      <c r="AX1065" s="97" t="str">
        <f>IFERROR(__xludf.DUMMYFUNCTION("""COMPUTED_VALUE"""),"Interior")</f>
        <v>Interior</v>
      </c>
      <c r="AY1065" s="97" t="str">
        <f>IFERROR(__xludf.DUMMYFUNCTION("""COMPUTED_VALUE"""),"-")</f>
        <v>-</v>
      </c>
      <c r="AZ1065"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065" s="97"/>
      <c r="BB1065" s="97" t="str">
        <f>IFERROR(__xludf.DUMMYFUNCTION("""COMPUTED_VALUE"""),"-")</f>
        <v>-</v>
      </c>
      <c r="BC1065" s="97" t="str">
        <f>IFERROR(__xludf.DUMMYFUNCTION("""COMPUTED_VALUE"""),"-")</f>
        <v>-</v>
      </c>
      <c r="BD1065" s="97" t="str">
        <f>IFERROR(__xludf.DUMMYFUNCTION("""COMPUTED_VALUE"""),"MEX")</f>
        <v>MEX</v>
      </c>
      <c r="BE1065" s="97" t="str">
        <f>IFERROR(__xludf.DUMMYFUNCTION("""COMPUTED_VALUE"""),"Finalizada")</f>
        <v>Finalizada</v>
      </c>
      <c r="BF1065" s="97"/>
      <c r="BG1065" s="97" t="str">
        <f>IFERROR(__xludf.DUMMYFUNCTION("""COMPUTED_VALUE"""),"Activo")</f>
        <v>Activo</v>
      </c>
    </row>
    <row r="1066">
      <c r="A1066" s="97">
        <f>IFERROR(__xludf.DUMMYFUNCTION("""COMPUTED_VALUE"""),6852.0)</f>
        <v>6852</v>
      </c>
      <c r="B1066" s="97" t="str">
        <f>IFERROR(__xludf.DUMMYFUNCTION("""COMPUTED_VALUE"""),"MEX BL 25W 3000K")</f>
        <v>MEX BL 25W 3000K</v>
      </c>
      <c r="C1066" s="97" t="str">
        <f>IFERROR(__xludf.DUMMYFUNCTION("""COMPUTED_VALUE"""),"CABEZAL MEX BL 25W 3000K 25W 3000K 1770LM CRI&gt;90 IP20 LEUK")</f>
        <v>CABEZAL MEX BL 25W 3000K 25W 3000K 1770LM CRI&gt;90 IP20 LEUK</v>
      </c>
      <c r="D1066" s="97">
        <f>IFERROR(__xludf.DUMMYFUNCTION("""COMPUTED_VALUE"""),7.798413224818E12)</f>
        <v>7798413224818</v>
      </c>
      <c r="E1066" s="97" t="str">
        <f>IFERROR(__xludf.DUMMYFUNCTION("""COMPUTED_VALUE"""),"F40")</f>
        <v>F40</v>
      </c>
      <c r="F1066" s="97" t="str">
        <f>IFERROR(__xludf.DUMMYFUNCTION("""COMPUTED_VALUE"""),"LED COB")</f>
        <v>LED COB</v>
      </c>
      <c r="G1066" s="97" t="str">
        <f>IFERROR(__xludf.DUMMYFUNCTION("""COMPUTED_VALUE"""),"-")</f>
        <v>-</v>
      </c>
      <c r="H1066" s="97" t="str">
        <f>IFERROR(__xludf.DUMMYFUNCTION("""COMPUTED_VALUE"""),"-")</f>
        <v>-</v>
      </c>
      <c r="I1066" s="97"/>
      <c r="J1066" s="97"/>
      <c r="K1066" s="97" t="str">
        <f>IFERROR(__xludf.DUMMYFUNCTION("""COMPUTED_VALUE"""),"ON/OFF")</f>
        <v>ON/OFF</v>
      </c>
      <c r="L1066" s="97" t="str">
        <f>IFERROR(__xludf.DUMMYFUNCTION("""COMPUTED_VALUE"""),"200-240")</f>
        <v>200-240</v>
      </c>
      <c r="M1066" s="97" t="str">
        <f>IFERROR(__xludf.DUMMYFUNCTION("""COMPUTED_VALUE"""),"50/60")</f>
        <v>50/60</v>
      </c>
      <c r="N1066" s="97" t="str">
        <f>IFERROR(__xludf.DUMMYFUNCTION("""COMPUTED_VALUE"""),"Directa-Direccional")</f>
        <v>Directa-Direccional</v>
      </c>
      <c r="O1066" s="97">
        <f>IFERROR(__xludf.DUMMYFUNCTION("""COMPUTED_VALUE"""),25.0)</f>
        <v>25</v>
      </c>
      <c r="P1066" s="97"/>
      <c r="Q1066" s="97">
        <f>IFERROR(__xludf.DUMMYFUNCTION("""COMPUTED_VALUE"""),0.52)</f>
        <v>0.52</v>
      </c>
      <c r="R1066" s="97" t="str">
        <f>IFERROR(__xludf.DUMMYFUNCTION("""COMPUTED_VALUE"""),"-")</f>
        <v>-</v>
      </c>
      <c r="S1066" s="97" t="str">
        <f>IFERROR(__xludf.DUMMYFUNCTION("""COMPUTED_VALUE"""),"-")</f>
        <v>-</v>
      </c>
      <c r="T1066" s="97">
        <f>IFERROR(__xludf.DUMMYFUNCTION("""COMPUTED_VALUE"""),1770.0)</f>
        <v>1770</v>
      </c>
      <c r="U1066" s="99">
        <f>IFERROR(__xludf.DUMMYFUNCTION("""COMPUTED_VALUE"""),70.8)</f>
        <v>70.8</v>
      </c>
      <c r="V1066" s="97" t="str">
        <f>IFERROR(__xludf.DUMMYFUNCTION("""COMPUTED_VALUE"""),"15 / 24 / 36")</f>
        <v>15 / 24 / 36</v>
      </c>
      <c r="W1066" s="97" t="str">
        <f>IFERROR(__xludf.DUMMYFUNCTION("""COMPUTED_VALUE"""),"&lt; 18")</f>
        <v>&lt; 18</v>
      </c>
      <c r="X1066" s="97">
        <f>IFERROR(__xludf.DUMMYFUNCTION("""COMPUTED_VALUE"""),3000.0)</f>
        <v>3000</v>
      </c>
      <c r="Y1066" s="97" t="str">
        <f>IFERROR(__xludf.DUMMYFUNCTION("""COMPUTED_VALUE"""),"&gt;90")</f>
        <v>&gt;90</v>
      </c>
      <c r="Z1066" s="97"/>
      <c r="AA1066" s="97"/>
      <c r="AB1066" s="97" t="str">
        <f>IFERROR(__xludf.DUMMYFUNCTION("""COMPUTED_VALUE"""),"&lt; 3")</f>
        <v>&lt; 3</v>
      </c>
      <c r="AC1066" s="97"/>
      <c r="AD1066" s="97" t="str">
        <f>IFERROR(__xludf.DUMMYFUNCTION("""COMPUTED_VALUE"""),"IP20")</f>
        <v>IP20</v>
      </c>
      <c r="AE1066" s="97" t="str">
        <f>IFERROR(__xludf.DUMMYFUNCTION("""COMPUTED_VALUE"""),"Clase l")</f>
        <v>Clase l</v>
      </c>
      <c r="AF1066" s="97" t="str">
        <f>IFERROR(__xludf.DUMMYFUNCTION("""COMPUTED_VALUE"""),"Cabezal")</f>
        <v>Cabezal</v>
      </c>
      <c r="AG1066" s="97" t="str">
        <f>IFERROR(__xludf.DUMMYFUNCTION("""COMPUTED_VALUE"""),"Ø74 x 175")</f>
        <v>Ø74 x 175</v>
      </c>
      <c r="AH1066" s="97" t="str">
        <f>IFERROR(__xludf.DUMMYFUNCTION("""COMPUTED_VALUE"""),"N/A")</f>
        <v>N/A</v>
      </c>
      <c r="AI1066" s="97" t="str">
        <f>IFERROR(__xludf.DUMMYFUNCTION("""COMPUTED_VALUE"""),"N/A")</f>
        <v>N/A</v>
      </c>
      <c r="AJ1066" s="97" t="str">
        <f>IFERROR(__xludf.DUMMYFUNCTION("""COMPUTED_VALUE"""),"PMMA")</f>
        <v>PMMA</v>
      </c>
      <c r="AK1066" s="97" t="str">
        <f>IFERROR(__xludf.DUMMYFUNCTION("""COMPUTED_VALUE"""),"Aluminio")</f>
        <v>Aluminio</v>
      </c>
      <c r="AL1066" s="97" t="str">
        <f>IFERROR(__xludf.DUMMYFUNCTION("""COMPUTED_VALUE"""),"Blanco Satinado")</f>
        <v>Blanco Satinado</v>
      </c>
      <c r="AM1066" s="97" t="str">
        <f>IFERROR(__xludf.DUMMYFUNCTION("""COMPUTED_VALUE"""),"-")</f>
        <v>-</v>
      </c>
      <c r="AN1066" s="97" t="str">
        <f>IFERROR(__xludf.DUMMYFUNCTION("""COMPUTED_VALUE"""),"25.000hs (L70)")</f>
        <v>25.000hs (L70)</v>
      </c>
      <c r="AO1066" s="97" t="str">
        <f>IFERROR(__xludf.DUMMYFUNCTION("""COMPUTED_VALUE"""),"2 Años")</f>
        <v>2 Años</v>
      </c>
      <c r="AP1066" s="97" t="str">
        <f>IFERROR(__xludf.DUMMYFUNCTION("""COMPUTED_VALUE"""),"Disponible")</f>
        <v>Disponible</v>
      </c>
      <c r="AQ1066" s="97" t="str">
        <f>IFERROR(__xludf.DUMMYFUNCTION("""COMPUTED_VALUE"""),"Disponible")</f>
        <v>Disponible</v>
      </c>
      <c r="AR1066" s="97" t="str">
        <f>IFERROR(__xludf.DUMMYFUNCTION("""COMPUTED_VALUE"""),"Disponible")</f>
        <v>Disponible</v>
      </c>
      <c r="AS1066" s="97"/>
      <c r="AT1066" s="97"/>
      <c r="AU1066" s="97" t="str">
        <f>IFERROR(__xludf.DUMMYFUNCTION("""COMPUTED_VALUE"""),"Falta")</f>
        <v>Falta</v>
      </c>
      <c r="AV1066" s="97" t="str">
        <f>IFERROR(__xludf.DUMMYFUNCTION("""COMPUTED_VALUE"""),"Cabezal")</f>
        <v>Cabezal</v>
      </c>
      <c r="AW1066" s="97" t="str">
        <f>IFERROR(__xludf.DUMMYFUNCTION("""COMPUTED_VALUE"""),"De Techo")</f>
        <v>De Techo</v>
      </c>
      <c r="AX1066" s="97" t="str">
        <f>IFERROR(__xludf.DUMMYFUNCTION("""COMPUTED_VALUE"""),"Interior")</f>
        <v>Interior</v>
      </c>
      <c r="AY1066" s="97" t="str">
        <f>IFERROR(__xludf.DUMMYFUNCTION("""COMPUTED_VALUE"""),"-")</f>
        <v>-</v>
      </c>
      <c r="AZ1066"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066" s="97"/>
      <c r="BB1066" s="97" t="str">
        <f>IFERROR(__xludf.DUMMYFUNCTION("""COMPUTED_VALUE"""),"-")</f>
        <v>-</v>
      </c>
      <c r="BC1066" s="97" t="str">
        <f>IFERROR(__xludf.DUMMYFUNCTION("""COMPUTED_VALUE"""),"-")</f>
        <v>-</v>
      </c>
      <c r="BD1066" s="97" t="str">
        <f>IFERROR(__xludf.DUMMYFUNCTION("""COMPUTED_VALUE"""),"MEX")</f>
        <v>MEX</v>
      </c>
      <c r="BE1066" s="97" t="str">
        <f>IFERROR(__xludf.DUMMYFUNCTION("""COMPUTED_VALUE"""),"Finalizada")</f>
        <v>Finalizada</v>
      </c>
      <c r="BF1066" s="97"/>
      <c r="BG1066" s="97" t="str">
        <f>IFERROR(__xludf.DUMMYFUNCTION("""COMPUTED_VALUE"""),"Activo")</f>
        <v>Activo</v>
      </c>
    </row>
    <row r="1067">
      <c r="A1067" s="97">
        <f>IFERROR(__xludf.DUMMYFUNCTION("""COMPUTED_VALUE"""),6853.0)</f>
        <v>6853</v>
      </c>
      <c r="B1067" s="97" t="str">
        <f>IFERROR(__xludf.DUMMYFUNCTION("""COMPUTED_VALUE"""),"DYNA UNION 30 BL")</f>
        <v>DYNA UNION 30 BL</v>
      </c>
      <c r="C1067" s="97" t="str">
        <f>IFERROR(__xludf.DUMMYFUNCTION("""COMPUTED_VALUE"""),"UNIÓN DYNA UNION 30 BL 6W 2700/3300/4000K 750LM CRI&gt;90 IP20 LEUK")</f>
        <v>UNIÓN DYNA UNION 30 BL 6W 2700/3300/4000K 750LM CRI&gt;90 IP20 LEUK</v>
      </c>
      <c r="D1067" s="97">
        <f>IFERROR(__xludf.DUMMYFUNCTION("""COMPUTED_VALUE"""),7.798413224757E12)</f>
        <v>7798413224757</v>
      </c>
      <c r="E1067" s="97" t="str">
        <f>IFERROR(__xludf.DUMMYFUNCTION("""COMPUTED_VALUE"""),"i21")</f>
        <v>i21</v>
      </c>
      <c r="F1067" s="97" t="str">
        <f>IFERROR(__xludf.DUMMYFUNCTION("""COMPUTED_VALUE"""),"LED integrado")</f>
        <v>LED integrado</v>
      </c>
      <c r="G1067" s="97" t="str">
        <f>IFERROR(__xludf.DUMMYFUNCTION("""COMPUTED_VALUE"""),"CREE")</f>
        <v>CREE</v>
      </c>
      <c r="H1067" s="97" t="str">
        <f>IFERROR(__xludf.DUMMYFUNCTION("""COMPUTED_VALUE"""),"Lifud")</f>
        <v>Lifud</v>
      </c>
      <c r="I1067" s="97"/>
      <c r="J1067" s="97" t="str">
        <f>IFERROR(__xludf.DUMMYFUNCTION("""COMPUTED_VALUE"""),"Modelo: LF-GMR020YS0350H(S)
In: 220-240Vac 0.15A 50/60Hz
Out: 20-56Vdc 200a350(200mA) 19.6W
Pf 0.9 Tc 80°C Ta 60°C")</f>
        <v>Modelo: LF-GMR020YS0350H(S)
In: 220-240Vac 0.15A 50/60Hz
Out: 20-56Vdc 200a350(200mA) 19.6W
Pf 0.9 Tc 80°C Ta 60°C</v>
      </c>
      <c r="K1067" s="97" t="str">
        <f>IFERROR(__xludf.DUMMYFUNCTION("""COMPUTED_VALUE"""),"ON/OFF")</f>
        <v>ON/OFF</v>
      </c>
      <c r="L1067" s="97" t="str">
        <f>IFERROR(__xludf.DUMMYFUNCTION("""COMPUTED_VALUE"""),"200-240")</f>
        <v>200-240</v>
      </c>
      <c r="M1067" s="97" t="str">
        <f>IFERROR(__xludf.DUMMYFUNCTION("""COMPUTED_VALUE"""),"50/60")</f>
        <v>50/60</v>
      </c>
      <c r="N1067" s="97"/>
      <c r="O1067" s="97">
        <f>IFERROR(__xludf.DUMMYFUNCTION("""COMPUTED_VALUE"""),6.0)</f>
        <v>6</v>
      </c>
      <c r="P1067" s="97"/>
      <c r="Q1067" s="97">
        <f>IFERROR(__xludf.DUMMYFUNCTION("""COMPUTED_VALUE"""),0.9)</f>
        <v>0.9</v>
      </c>
      <c r="R1067" s="97">
        <f>IFERROR(__xludf.DUMMYFUNCTION("""COMPUTED_VALUE"""),950.0)</f>
        <v>950</v>
      </c>
      <c r="S1067" s="99">
        <f>IFERROR(__xludf.DUMMYFUNCTION("""COMPUTED_VALUE"""),135.0)</f>
        <v>135</v>
      </c>
      <c r="T1067" s="99">
        <f>IFERROR(__xludf.DUMMYFUNCTION("""COMPUTED_VALUE"""),750.0)</f>
        <v>750</v>
      </c>
      <c r="U1067" s="99">
        <f>IFERROR(__xludf.DUMMYFUNCTION("""COMPUTED_VALUE"""),125.0)</f>
        <v>125</v>
      </c>
      <c r="V1067" s="97">
        <f>IFERROR(__xludf.DUMMYFUNCTION("""COMPUTED_VALUE"""),100.0)</f>
        <v>100</v>
      </c>
      <c r="W1067" s="97" t="str">
        <f>IFERROR(__xludf.DUMMYFUNCTION("""COMPUTED_VALUE"""),"&lt; 20")</f>
        <v>&lt; 20</v>
      </c>
      <c r="X1067" s="97" t="str">
        <f>IFERROR(__xludf.DUMMYFUNCTION("""COMPUTED_VALUE"""),"2700/3300/4000")</f>
        <v>2700/3300/4000</v>
      </c>
      <c r="Y1067" s="97" t="str">
        <f>IFERROR(__xludf.DUMMYFUNCTION("""COMPUTED_VALUE"""),"&gt;90")</f>
        <v>&gt;90</v>
      </c>
      <c r="Z1067" s="97"/>
      <c r="AA1067" s="97"/>
      <c r="AB1067" s="97" t="str">
        <f>IFERROR(__xludf.DUMMYFUNCTION("""COMPUTED_VALUE"""),"&lt; 2")</f>
        <v>&lt; 2</v>
      </c>
      <c r="AC1067" s="97"/>
      <c r="AD1067" s="97" t="str">
        <f>IFERROR(__xludf.DUMMYFUNCTION("""COMPUTED_VALUE"""),"IP20")</f>
        <v>IP20</v>
      </c>
      <c r="AE1067" s="97" t="str">
        <f>IFERROR(__xludf.DUMMYFUNCTION("""COMPUTED_VALUE"""),"Clase l")</f>
        <v>Clase l</v>
      </c>
      <c r="AF1067" s="97" t="str">
        <f>IFERROR(__xludf.DUMMYFUNCTION("""COMPUTED_VALUE"""),"Embutir, Aplicar, Suspender")</f>
        <v>Embutir, Aplicar, Suspender</v>
      </c>
      <c r="AG1067" s="97" t="str">
        <f>IFERROR(__xludf.DUMMYFUNCTION("""COMPUTED_VALUE"""),"33 x 60 x 300 (Ancho x Alto x Largo)")</f>
        <v>33 x 60 x 300 (Ancho x Alto x Largo)</v>
      </c>
      <c r="AH1067" s="97" t="str">
        <f>IFERROR(__xludf.DUMMYFUNCTION("""COMPUTED_VALUE"""),"-")</f>
        <v>-</v>
      </c>
      <c r="AI1067" s="97" t="str">
        <f>IFERROR(__xludf.DUMMYFUNCTION("""COMPUTED_VALUE"""),"-")</f>
        <v>-</v>
      </c>
      <c r="AJ1067" s="97" t="str">
        <f>IFERROR(__xludf.DUMMYFUNCTION("""COMPUTED_VALUE"""),"Policarbonato (PC)")</f>
        <v>Policarbonato (PC)</v>
      </c>
      <c r="AK1067" s="97" t="str">
        <f>IFERROR(__xludf.DUMMYFUNCTION("""COMPUTED_VALUE"""),"Aluminio")</f>
        <v>Aluminio</v>
      </c>
      <c r="AL1067" s="97" t="str">
        <f>IFERROR(__xludf.DUMMYFUNCTION("""COMPUTED_VALUE"""),"Blanco Mate")</f>
        <v>Blanco Mate</v>
      </c>
      <c r="AM1067" s="97" t="str">
        <f>IFERROR(__xludf.DUMMYFUNCTION("""COMPUTED_VALUE"""),"-20℃ a 45℃")</f>
        <v>-20℃ a 45℃</v>
      </c>
      <c r="AN1067" s="97" t="str">
        <f>IFERROR(__xludf.DUMMYFUNCTION("""COMPUTED_VALUE"""),"50.000hs (L80)")</f>
        <v>50.000hs (L80)</v>
      </c>
      <c r="AO1067" s="97" t="str">
        <f>IFERROR(__xludf.DUMMYFUNCTION("""COMPUTED_VALUE"""),"3 Años")</f>
        <v>3 Años</v>
      </c>
      <c r="AP1067" s="97" t="str">
        <f>IFERROR(__xludf.DUMMYFUNCTION("""COMPUTED_VALUE"""),"Disponible")</f>
        <v>Disponible</v>
      </c>
      <c r="AQ1067" s="97" t="str">
        <f>IFERROR(__xludf.DUMMYFUNCTION("""COMPUTED_VALUE"""),"Disponible")</f>
        <v>Disponible</v>
      </c>
      <c r="AR1067" s="97" t="str">
        <f>IFERROR(__xludf.DUMMYFUNCTION("""COMPUTED_VALUE"""),"Disponible")</f>
        <v>Disponible</v>
      </c>
      <c r="AS1067" s="97"/>
      <c r="AT1067" s="97"/>
      <c r="AU1067" s="97" t="str">
        <f>IFERROR(__xludf.DUMMYFUNCTION("""COMPUTED_VALUE"""),"Falta")</f>
        <v>Falta</v>
      </c>
      <c r="AV1067" s="97" t="str">
        <f>IFERROR(__xludf.DUMMYFUNCTION("""COMPUTED_VALUE"""),"Unión")</f>
        <v>Unión</v>
      </c>
      <c r="AW1067" s="97" t="str">
        <f>IFERROR(__xludf.DUMMYFUNCTION("""COMPUTED_VALUE"""),"Lineales")</f>
        <v>Lineales</v>
      </c>
      <c r="AX1067" s="97" t="str">
        <f>IFERROR(__xludf.DUMMYFUNCTION("""COMPUTED_VALUE"""),"Interior")</f>
        <v>Interior</v>
      </c>
      <c r="AY1067" s="97" t="str">
        <f>IFERROR(__xludf.DUMMYFUNCTION("""COMPUTED_VALUE"""),"Dyna")</f>
        <v>Dyna</v>
      </c>
      <c r="AZ1067" s="97" t="str">
        <f>IFERROR(__xludf.DUMMYFUNCTION("""COMPUTED_VALUE"""),"Corriente: 150mA. Incluye tapas extremas.")</f>
        <v>Corriente: 150mA. Incluye tapas extremas.</v>
      </c>
      <c r="BA1067" s="97"/>
      <c r="BB1067" s="97" t="str">
        <f>IFERROR(__xludf.DUMMYFUNCTION("""COMPUTED_VALUE"""),"-")</f>
        <v>-</v>
      </c>
      <c r="BC1067" s="97" t="str">
        <f>IFERROR(__xludf.DUMMYFUNCTION("""COMPUTED_VALUE"""),"-")</f>
        <v>-</v>
      </c>
      <c r="BD1067" s="97" t="str">
        <f>IFERROR(__xludf.DUMMYFUNCTION("""COMPUTED_VALUE"""),"DYNA")</f>
        <v>DYNA</v>
      </c>
      <c r="BE1067" s="97" t="str">
        <f>IFERROR(__xludf.DUMMYFUNCTION("""COMPUTED_VALUE"""),"Finalizada")</f>
        <v>Finalizada</v>
      </c>
      <c r="BF1067" s="97"/>
      <c r="BG1067" s="97" t="str">
        <f>IFERROR(__xludf.DUMMYFUNCTION("""COMPUTED_VALUE"""),"Activo")</f>
        <v>Activo</v>
      </c>
    </row>
    <row r="1068">
      <c r="A1068" s="97">
        <f>IFERROR(__xludf.DUMMYFUNCTION("""COMPUTED_VALUE"""),6854.0)</f>
        <v>6854</v>
      </c>
      <c r="B1068" s="97" t="str">
        <f>IFERROR(__xludf.DUMMYFUNCTION("""COMPUTED_VALUE"""),"DYNA UNION 30 NG")</f>
        <v>DYNA UNION 30 NG</v>
      </c>
      <c r="C1068" s="97" t="str">
        <f>IFERROR(__xludf.DUMMYFUNCTION("""COMPUTED_VALUE"""),"UNIÓN DYNA UNION 30 NG 6W 2700/3300/4000K 750LM CRI&gt;90 IP20 LEUK")</f>
        <v>UNIÓN DYNA UNION 30 NG 6W 2700/3300/4000K 750LM CRI&gt;90 IP20 LEUK</v>
      </c>
      <c r="D1068" s="97">
        <f>IFERROR(__xludf.DUMMYFUNCTION("""COMPUTED_VALUE"""),7.798413224764E12)</f>
        <v>7798413224764</v>
      </c>
      <c r="E1068" s="97" t="str">
        <f>IFERROR(__xludf.DUMMYFUNCTION("""COMPUTED_VALUE"""),"i21")</f>
        <v>i21</v>
      </c>
      <c r="F1068" s="97" t="str">
        <f>IFERROR(__xludf.DUMMYFUNCTION("""COMPUTED_VALUE"""),"LED integrado")</f>
        <v>LED integrado</v>
      </c>
      <c r="G1068" s="97" t="str">
        <f>IFERROR(__xludf.DUMMYFUNCTION("""COMPUTED_VALUE"""),"CREE")</f>
        <v>CREE</v>
      </c>
      <c r="H1068" s="97" t="str">
        <f>IFERROR(__xludf.DUMMYFUNCTION("""COMPUTED_VALUE"""),"Lifud")</f>
        <v>Lifud</v>
      </c>
      <c r="I1068" s="97"/>
      <c r="J1068" s="97" t="str">
        <f>IFERROR(__xludf.DUMMYFUNCTION("""COMPUTED_VALUE"""),"Modelo: LF-GMR020YS0350H(S)
In: 220-240Vac 0.15A 50/60Hz
Out: 20-56Vdc 200a350(200mA) 19.6W
Pf 0.9 Tc 80°C Ta 60°C")</f>
        <v>Modelo: LF-GMR020YS0350H(S)
In: 220-240Vac 0.15A 50/60Hz
Out: 20-56Vdc 200a350(200mA) 19.6W
Pf 0.9 Tc 80°C Ta 60°C</v>
      </c>
      <c r="K1068" s="97" t="str">
        <f>IFERROR(__xludf.DUMMYFUNCTION("""COMPUTED_VALUE"""),"ON/OFF")</f>
        <v>ON/OFF</v>
      </c>
      <c r="L1068" s="97" t="str">
        <f>IFERROR(__xludf.DUMMYFUNCTION("""COMPUTED_VALUE"""),"200-240")</f>
        <v>200-240</v>
      </c>
      <c r="M1068" s="97" t="str">
        <f>IFERROR(__xludf.DUMMYFUNCTION("""COMPUTED_VALUE"""),"50/60")</f>
        <v>50/60</v>
      </c>
      <c r="N1068" s="97"/>
      <c r="O1068" s="97">
        <f>IFERROR(__xludf.DUMMYFUNCTION("""COMPUTED_VALUE"""),6.0)</f>
        <v>6</v>
      </c>
      <c r="P1068" s="97"/>
      <c r="Q1068" s="97">
        <f>IFERROR(__xludf.DUMMYFUNCTION("""COMPUTED_VALUE"""),0.9)</f>
        <v>0.9</v>
      </c>
      <c r="R1068" s="97">
        <f>IFERROR(__xludf.DUMMYFUNCTION("""COMPUTED_VALUE"""),950.0)</f>
        <v>950</v>
      </c>
      <c r="S1068" s="99">
        <f>IFERROR(__xludf.DUMMYFUNCTION("""COMPUTED_VALUE"""),135.0)</f>
        <v>135</v>
      </c>
      <c r="T1068" s="99">
        <f>IFERROR(__xludf.DUMMYFUNCTION("""COMPUTED_VALUE"""),750.0)</f>
        <v>750</v>
      </c>
      <c r="U1068" s="99">
        <f>IFERROR(__xludf.DUMMYFUNCTION("""COMPUTED_VALUE"""),125.0)</f>
        <v>125</v>
      </c>
      <c r="V1068" s="97">
        <f>IFERROR(__xludf.DUMMYFUNCTION("""COMPUTED_VALUE"""),100.0)</f>
        <v>100</v>
      </c>
      <c r="W1068" s="97" t="str">
        <f>IFERROR(__xludf.DUMMYFUNCTION("""COMPUTED_VALUE"""),"&lt; 20")</f>
        <v>&lt; 20</v>
      </c>
      <c r="X1068" s="97" t="str">
        <f>IFERROR(__xludf.DUMMYFUNCTION("""COMPUTED_VALUE"""),"2700/3300/4000")</f>
        <v>2700/3300/4000</v>
      </c>
      <c r="Y1068" s="97" t="str">
        <f>IFERROR(__xludf.DUMMYFUNCTION("""COMPUTED_VALUE"""),"&gt;90")</f>
        <v>&gt;90</v>
      </c>
      <c r="Z1068" s="97"/>
      <c r="AA1068" s="97"/>
      <c r="AB1068" s="97" t="str">
        <f>IFERROR(__xludf.DUMMYFUNCTION("""COMPUTED_VALUE"""),"&lt; 2")</f>
        <v>&lt; 2</v>
      </c>
      <c r="AC1068" s="97"/>
      <c r="AD1068" s="97" t="str">
        <f>IFERROR(__xludf.DUMMYFUNCTION("""COMPUTED_VALUE"""),"IP20")</f>
        <v>IP20</v>
      </c>
      <c r="AE1068" s="97" t="str">
        <f>IFERROR(__xludf.DUMMYFUNCTION("""COMPUTED_VALUE"""),"Clase l")</f>
        <v>Clase l</v>
      </c>
      <c r="AF1068" s="97" t="str">
        <f>IFERROR(__xludf.DUMMYFUNCTION("""COMPUTED_VALUE"""),"Embutir, Aplicar, Suspender")</f>
        <v>Embutir, Aplicar, Suspender</v>
      </c>
      <c r="AG1068" s="97" t="str">
        <f>IFERROR(__xludf.DUMMYFUNCTION("""COMPUTED_VALUE"""),"33 x 60 x 300 (Ancho x Alto x Largo)")</f>
        <v>33 x 60 x 300 (Ancho x Alto x Largo)</v>
      </c>
      <c r="AH1068" s="97" t="str">
        <f>IFERROR(__xludf.DUMMYFUNCTION("""COMPUTED_VALUE"""),"-")</f>
        <v>-</v>
      </c>
      <c r="AI1068" s="97" t="str">
        <f>IFERROR(__xludf.DUMMYFUNCTION("""COMPUTED_VALUE"""),"-")</f>
        <v>-</v>
      </c>
      <c r="AJ1068" s="97" t="str">
        <f>IFERROR(__xludf.DUMMYFUNCTION("""COMPUTED_VALUE"""),"Policarbonato (PC)")</f>
        <v>Policarbonato (PC)</v>
      </c>
      <c r="AK1068" s="97" t="str">
        <f>IFERROR(__xludf.DUMMYFUNCTION("""COMPUTED_VALUE"""),"Aluminio")</f>
        <v>Aluminio</v>
      </c>
      <c r="AL1068" s="97" t="str">
        <f>IFERROR(__xludf.DUMMYFUNCTION("""COMPUTED_VALUE"""),"Negro Mate")</f>
        <v>Negro Mate</v>
      </c>
      <c r="AM1068" s="97" t="str">
        <f>IFERROR(__xludf.DUMMYFUNCTION("""COMPUTED_VALUE"""),"-20℃ a 45℃")</f>
        <v>-20℃ a 45℃</v>
      </c>
      <c r="AN1068" s="97" t="str">
        <f>IFERROR(__xludf.DUMMYFUNCTION("""COMPUTED_VALUE"""),"50.000hs (L80)")</f>
        <v>50.000hs (L80)</v>
      </c>
      <c r="AO1068" s="97" t="str">
        <f>IFERROR(__xludf.DUMMYFUNCTION("""COMPUTED_VALUE"""),"3 Años")</f>
        <v>3 Años</v>
      </c>
      <c r="AP1068" s="97" t="str">
        <f>IFERROR(__xludf.DUMMYFUNCTION("""COMPUTED_VALUE"""),"Disponible")</f>
        <v>Disponible</v>
      </c>
      <c r="AQ1068" s="97" t="str">
        <f>IFERROR(__xludf.DUMMYFUNCTION("""COMPUTED_VALUE"""),"Disponible")</f>
        <v>Disponible</v>
      </c>
      <c r="AR1068" s="97" t="str">
        <f>IFERROR(__xludf.DUMMYFUNCTION("""COMPUTED_VALUE"""),"Disponible")</f>
        <v>Disponible</v>
      </c>
      <c r="AS1068" s="97"/>
      <c r="AT1068" s="97"/>
      <c r="AU1068" s="97" t="str">
        <f>IFERROR(__xludf.DUMMYFUNCTION("""COMPUTED_VALUE"""),"Falta")</f>
        <v>Falta</v>
      </c>
      <c r="AV1068" s="97" t="str">
        <f>IFERROR(__xludf.DUMMYFUNCTION("""COMPUTED_VALUE"""),"Unión")</f>
        <v>Unión</v>
      </c>
      <c r="AW1068" s="97" t="str">
        <f>IFERROR(__xludf.DUMMYFUNCTION("""COMPUTED_VALUE"""),"Lineales")</f>
        <v>Lineales</v>
      </c>
      <c r="AX1068" s="97" t="str">
        <f>IFERROR(__xludf.DUMMYFUNCTION("""COMPUTED_VALUE"""),"Interior")</f>
        <v>Interior</v>
      </c>
      <c r="AY1068" s="97" t="str">
        <f>IFERROR(__xludf.DUMMYFUNCTION("""COMPUTED_VALUE"""),"Dyna")</f>
        <v>Dyna</v>
      </c>
      <c r="AZ1068" s="97" t="str">
        <f>IFERROR(__xludf.DUMMYFUNCTION("""COMPUTED_VALUE"""),"Corriente: 150mA. Incluye tapas extremas.")</f>
        <v>Corriente: 150mA. Incluye tapas extremas.</v>
      </c>
      <c r="BA1068" s="97"/>
      <c r="BB1068" s="97" t="str">
        <f>IFERROR(__xludf.DUMMYFUNCTION("""COMPUTED_VALUE"""),"-")</f>
        <v>-</v>
      </c>
      <c r="BC1068" s="97" t="str">
        <f>IFERROR(__xludf.DUMMYFUNCTION("""COMPUTED_VALUE"""),"-")</f>
        <v>-</v>
      </c>
      <c r="BD1068" s="97" t="str">
        <f>IFERROR(__xludf.DUMMYFUNCTION("""COMPUTED_VALUE"""),"DYNA")</f>
        <v>DYNA</v>
      </c>
      <c r="BE1068" s="97" t="str">
        <f>IFERROR(__xludf.DUMMYFUNCTION("""COMPUTED_VALUE"""),"Finalizada")</f>
        <v>Finalizada</v>
      </c>
      <c r="BF1068" s="97"/>
      <c r="BG1068" s="97" t="str">
        <f>IFERROR(__xludf.DUMMYFUNCTION("""COMPUTED_VALUE"""),"Activo")</f>
        <v>Activo</v>
      </c>
    </row>
    <row r="1069">
      <c r="A1069" s="97">
        <f>IFERROR(__xludf.DUMMYFUNCTION("""COMPUTED_VALUE"""),6855.0)</f>
        <v>6855</v>
      </c>
      <c r="B1069" s="97" t="str">
        <f>IFERROR(__xludf.DUMMYFUNCTION("""COMPUTED_VALUE"""),"CAPI NG")</f>
        <v>CAPI NG</v>
      </c>
      <c r="C1069" s="97" t="str">
        <f>IFERROR(__xludf.DUMMYFUNCTION("""COMPUTED_VALUE"""),"APLIQUE CAPI NG 5W 3000K 45LM CRI&gt;90 IP20 LEUK")</f>
        <v>APLIQUE CAPI NG 5W 3000K 45LM CRI&gt;90 IP20 LEUK</v>
      </c>
      <c r="D1069" s="97">
        <f>IFERROR(__xludf.DUMMYFUNCTION("""COMPUTED_VALUE"""),7.798413225068E12)</f>
        <v>7798413225068</v>
      </c>
      <c r="E1069" s="97" t="str">
        <f>IFERROR(__xludf.DUMMYFUNCTION("""COMPUTED_VALUE"""),"F88")</f>
        <v>F88</v>
      </c>
      <c r="F1069" s="97" t="str">
        <f>IFERROR(__xludf.DUMMYFUNCTION("""COMPUTED_VALUE"""),"LED SMD2835")</f>
        <v>LED SMD2835</v>
      </c>
      <c r="G1069" s="97" t="str">
        <f>IFERROR(__xludf.DUMMYFUNCTION("""COMPUTED_VALUE"""),"Bridgelux")</f>
        <v>Bridgelux</v>
      </c>
      <c r="H1069" s="97" t="str">
        <f>IFERROR(__xludf.DUMMYFUNCTION("""COMPUTED_VALUE"""),"-")</f>
        <v>-</v>
      </c>
      <c r="I1069" s="97"/>
      <c r="J1069" s="97" t="str">
        <f>IFERROR(__xludf.DUMMYFUNCTION("""COMPUTED_VALUE"""),"Modelo: KEDH003S0200NR01A7
In: 220-240Vac 0.09A 50/60Hz
Out: 11-19Vdc 200mA - 3.8W
Ta 50°C Tc 85°C")</f>
        <v>Modelo: KEDH003S0200NR01A7
In: 220-240Vac 0.09A 50/60Hz
Out: 11-19Vdc 200mA - 3.8W
Ta 50°C Tc 85°C</v>
      </c>
      <c r="K1069" s="97" t="str">
        <f>IFERROR(__xludf.DUMMYFUNCTION("""COMPUTED_VALUE"""),"ON/OFF")</f>
        <v>ON/OFF</v>
      </c>
      <c r="L1069" s="97" t="str">
        <f>IFERROR(__xludf.DUMMYFUNCTION("""COMPUTED_VALUE"""),"200-240")</f>
        <v>200-240</v>
      </c>
      <c r="M1069" s="97" t="str">
        <f>IFERROR(__xludf.DUMMYFUNCTION("""COMPUTED_VALUE"""),"50/60")</f>
        <v>50/60</v>
      </c>
      <c r="N1069" s="97" t="str">
        <f>IFERROR(__xludf.DUMMYFUNCTION("""COMPUTED_VALUE"""),"Indirecta")</f>
        <v>Indirecta</v>
      </c>
      <c r="O1069" s="97">
        <f>IFERROR(__xludf.DUMMYFUNCTION("""COMPUTED_VALUE"""),5.0)</f>
        <v>5</v>
      </c>
      <c r="P1069" s="97"/>
      <c r="Q1069" s="97">
        <f>IFERROR(__xludf.DUMMYFUNCTION("""COMPUTED_VALUE"""),0.5)</f>
        <v>0.5</v>
      </c>
      <c r="R1069" s="97" t="str">
        <f>IFERROR(__xludf.DUMMYFUNCTION("""COMPUTED_VALUE"""),"-")</f>
        <v>-</v>
      </c>
      <c r="S1069" s="97" t="str">
        <f>IFERROR(__xludf.DUMMYFUNCTION("""COMPUTED_VALUE"""),"-")</f>
        <v>-</v>
      </c>
      <c r="T1069" s="97">
        <f>IFERROR(__xludf.DUMMYFUNCTION("""COMPUTED_VALUE"""),45.0)</f>
        <v>45</v>
      </c>
      <c r="U1069" s="99">
        <f>IFERROR(__xludf.DUMMYFUNCTION("""COMPUTED_VALUE"""),9.0)</f>
        <v>9</v>
      </c>
      <c r="V1069" s="97">
        <f>IFERROR(__xludf.DUMMYFUNCTION("""COMPUTED_VALUE"""),260.0)</f>
        <v>260</v>
      </c>
      <c r="W1069" s="97" t="str">
        <f>IFERROR(__xludf.DUMMYFUNCTION("""COMPUTED_VALUE"""),"&lt; 12")</f>
        <v>&lt; 12</v>
      </c>
      <c r="X1069" s="97">
        <f>IFERROR(__xludf.DUMMYFUNCTION("""COMPUTED_VALUE"""),3000.0)</f>
        <v>3000</v>
      </c>
      <c r="Y1069" s="97" t="str">
        <f>IFERROR(__xludf.DUMMYFUNCTION("""COMPUTED_VALUE"""),"&gt;90")</f>
        <v>&gt;90</v>
      </c>
      <c r="Z1069" s="97" t="str">
        <f>IFERROR(__xludf.DUMMYFUNCTION("""COMPUTED_VALUE"""),"&gt;90")</f>
        <v>&gt;90</v>
      </c>
      <c r="AA1069" s="97" t="str">
        <f>IFERROR(__xludf.DUMMYFUNCTION("""COMPUTED_VALUE"""),"90-99 (Leve desaturación)")</f>
        <v>90-99 (Leve desaturación)</v>
      </c>
      <c r="AB1069" s="97" t="str">
        <f>IFERROR(__xludf.DUMMYFUNCTION("""COMPUTED_VALUE"""),"&lt; 2")</f>
        <v>&lt; 2</v>
      </c>
      <c r="AC1069" s="100" t="str">
        <f>IFERROR(__xludf.DUMMYFUNCTION("""COMPUTED_VALUE"""),"0.0001")</f>
        <v>0.0001</v>
      </c>
      <c r="AD1069" s="97" t="str">
        <f>IFERROR(__xludf.DUMMYFUNCTION("""COMPUTED_VALUE"""),"IP20")</f>
        <v>IP20</v>
      </c>
      <c r="AE1069" s="97" t="str">
        <f>IFERROR(__xludf.DUMMYFUNCTION("""COMPUTED_VALUE"""),"Clase l")</f>
        <v>Clase l</v>
      </c>
      <c r="AF1069" s="97" t="str">
        <f>IFERROR(__xludf.DUMMYFUNCTION("""COMPUTED_VALUE"""),"Aplicar")</f>
        <v>Aplicar</v>
      </c>
      <c r="AG1069" s="97" t="str">
        <f>IFERROR(__xludf.DUMMYFUNCTION("""COMPUTED_VALUE"""),"Ø110 x 75")</f>
        <v>Ø110 x 75</v>
      </c>
      <c r="AH1069" s="97" t="str">
        <f>IFERROR(__xludf.DUMMYFUNCTION("""COMPUTED_VALUE"""),"N/A")</f>
        <v>N/A</v>
      </c>
      <c r="AI1069" s="97" t="str">
        <f>IFERROR(__xludf.DUMMYFUNCTION("""COMPUTED_VALUE"""),"N/A")</f>
        <v>N/A</v>
      </c>
      <c r="AJ1069" s="97" t="str">
        <f>IFERROR(__xludf.DUMMYFUNCTION("""COMPUTED_VALUE"""),"Policarbonato (PC)")</f>
        <v>Policarbonato (PC)</v>
      </c>
      <c r="AK1069" s="97" t="str">
        <f>IFERROR(__xludf.DUMMYFUNCTION("""COMPUTED_VALUE"""),"ABS")</f>
        <v>ABS</v>
      </c>
      <c r="AL1069" s="97" t="str">
        <f>IFERROR(__xludf.DUMMYFUNCTION("""COMPUTED_VALUE"""),"Negro Satinado")</f>
        <v>Negro Satinado</v>
      </c>
      <c r="AM1069" s="97" t="str">
        <f>IFERROR(__xludf.DUMMYFUNCTION("""COMPUTED_VALUE"""),"-")</f>
        <v>-</v>
      </c>
      <c r="AN1069" s="97" t="str">
        <f>IFERROR(__xludf.DUMMYFUNCTION("""COMPUTED_VALUE"""),"25.000hs (L70)")</f>
        <v>25.000hs (L70)</v>
      </c>
      <c r="AO1069" s="97" t="str">
        <f>IFERROR(__xludf.DUMMYFUNCTION("""COMPUTED_VALUE"""),"2 Años")</f>
        <v>2 Años</v>
      </c>
      <c r="AP1069" s="97" t="str">
        <f>IFERROR(__xludf.DUMMYFUNCTION("""COMPUTED_VALUE"""),"Disponible")</f>
        <v>Disponible</v>
      </c>
      <c r="AQ1069" s="97" t="str">
        <f>IFERROR(__xludf.DUMMYFUNCTION("""COMPUTED_VALUE"""),"Disponible")</f>
        <v>Disponible</v>
      </c>
      <c r="AR1069" s="97" t="str">
        <f>IFERROR(__xludf.DUMMYFUNCTION("""COMPUTED_VALUE"""),"Disponible")</f>
        <v>Disponible</v>
      </c>
      <c r="AS1069" s="97"/>
      <c r="AT1069" s="97"/>
      <c r="AU1069" s="97" t="str">
        <f>IFERROR(__xludf.DUMMYFUNCTION("""COMPUTED_VALUE"""),"Falta")</f>
        <v>Falta</v>
      </c>
      <c r="AV1069" s="97" t="str">
        <f>IFERROR(__xludf.DUMMYFUNCTION("""COMPUTED_VALUE"""),"Aplique")</f>
        <v>Aplique</v>
      </c>
      <c r="AW1069" s="97" t="str">
        <f>IFERROR(__xludf.DUMMYFUNCTION("""COMPUTED_VALUE"""),"De Pared")</f>
        <v>De Pared</v>
      </c>
      <c r="AX1069" s="97" t="str">
        <f>IFERROR(__xludf.DUMMYFUNCTION("""COMPUTED_VALUE"""),"Interior")</f>
        <v>Interior</v>
      </c>
      <c r="AY1069" s="97" t="str">
        <f>IFERROR(__xludf.DUMMYFUNCTION("""COMPUTED_VALUE"""),"-")</f>
        <v>-</v>
      </c>
      <c r="AZ1069" s="97"/>
      <c r="BA1069" s="97"/>
      <c r="BB1069" s="97" t="str">
        <f>IFERROR(__xludf.DUMMYFUNCTION("""COMPUTED_VALUE"""),"-")</f>
        <v>-</v>
      </c>
      <c r="BC1069" s="97" t="str">
        <f>IFERROR(__xludf.DUMMYFUNCTION("""COMPUTED_VALUE"""),"-")</f>
        <v>-</v>
      </c>
      <c r="BD1069" s="97" t="str">
        <f>IFERROR(__xludf.DUMMYFUNCTION("""COMPUTED_VALUE"""),"CAPI")</f>
        <v>CAPI</v>
      </c>
      <c r="BE1069" s="97" t="str">
        <f>IFERROR(__xludf.DUMMYFUNCTION("""COMPUTED_VALUE"""),"Finalizada")</f>
        <v>Finalizada</v>
      </c>
      <c r="BF1069" s="97"/>
      <c r="BG1069" s="97" t="str">
        <f>IFERROR(__xludf.DUMMYFUNCTION("""COMPUTED_VALUE"""),"Activo")</f>
        <v>Activo</v>
      </c>
    </row>
    <row r="1070">
      <c r="A1070" s="97">
        <f>IFERROR(__xludf.DUMMYFUNCTION("""COMPUTED_VALUE"""),6856.0)</f>
        <v>6856</v>
      </c>
      <c r="B1070" s="97" t="str">
        <f>IFERROR(__xludf.DUMMYFUNCTION("""COMPUTED_VALUE"""),"CAPI BL")</f>
        <v>CAPI BL</v>
      </c>
      <c r="C1070" s="97" t="str">
        <f>IFERROR(__xludf.DUMMYFUNCTION("""COMPUTED_VALUE"""),"APLIQUE CAPI BL 5W 3000K 45LM CRI&gt;90 IP20 LEUK")</f>
        <v>APLIQUE CAPI BL 5W 3000K 45LM CRI&gt;90 IP20 LEUK</v>
      </c>
      <c r="D1070" s="97">
        <f>IFERROR(__xludf.DUMMYFUNCTION("""COMPUTED_VALUE"""),7.798413225075E12)</f>
        <v>7798413225075</v>
      </c>
      <c r="E1070" s="97" t="str">
        <f>IFERROR(__xludf.DUMMYFUNCTION("""COMPUTED_VALUE"""),"F88")</f>
        <v>F88</v>
      </c>
      <c r="F1070" s="97" t="str">
        <f>IFERROR(__xludf.DUMMYFUNCTION("""COMPUTED_VALUE"""),"LED SMD2835")</f>
        <v>LED SMD2835</v>
      </c>
      <c r="G1070" s="97" t="str">
        <f>IFERROR(__xludf.DUMMYFUNCTION("""COMPUTED_VALUE"""),"Bridgelux")</f>
        <v>Bridgelux</v>
      </c>
      <c r="H1070" s="97" t="str">
        <f>IFERROR(__xludf.DUMMYFUNCTION("""COMPUTED_VALUE"""),"-")</f>
        <v>-</v>
      </c>
      <c r="I1070" s="97"/>
      <c r="J1070" s="97" t="str">
        <f>IFERROR(__xludf.DUMMYFUNCTION("""COMPUTED_VALUE"""),"Modelo: KEDH003S0200NR01A7
In: 220-240Vac 0.09A 50/60Hz
Out: 11-19Vdc 200mA - 3.8W
Ta 50°C Tc 85°C")</f>
        <v>Modelo: KEDH003S0200NR01A7
In: 220-240Vac 0.09A 50/60Hz
Out: 11-19Vdc 200mA - 3.8W
Ta 50°C Tc 85°C</v>
      </c>
      <c r="K1070" s="97" t="str">
        <f>IFERROR(__xludf.DUMMYFUNCTION("""COMPUTED_VALUE"""),"ON/OFF")</f>
        <v>ON/OFF</v>
      </c>
      <c r="L1070" s="97" t="str">
        <f>IFERROR(__xludf.DUMMYFUNCTION("""COMPUTED_VALUE"""),"200-240")</f>
        <v>200-240</v>
      </c>
      <c r="M1070" s="97" t="str">
        <f>IFERROR(__xludf.DUMMYFUNCTION("""COMPUTED_VALUE"""),"50/60")</f>
        <v>50/60</v>
      </c>
      <c r="N1070" s="97" t="str">
        <f>IFERROR(__xludf.DUMMYFUNCTION("""COMPUTED_VALUE"""),"Indirecta")</f>
        <v>Indirecta</v>
      </c>
      <c r="O1070" s="97">
        <f>IFERROR(__xludf.DUMMYFUNCTION("""COMPUTED_VALUE"""),5.0)</f>
        <v>5</v>
      </c>
      <c r="P1070" s="97"/>
      <c r="Q1070" s="97">
        <f>IFERROR(__xludf.DUMMYFUNCTION("""COMPUTED_VALUE"""),0.5)</f>
        <v>0.5</v>
      </c>
      <c r="R1070" s="97" t="str">
        <f>IFERROR(__xludf.DUMMYFUNCTION("""COMPUTED_VALUE"""),"-")</f>
        <v>-</v>
      </c>
      <c r="S1070" s="97" t="str">
        <f>IFERROR(__xludf.DUMMYFUNCTION("""COMPUTED_VALUE"""),"-")</f>
        <v>-</v>
      </c>
      <c r="T1070" s="97">
        <f>IFERROR(__xludf.DUMMYFUNCTION("""COMPUTED_VALUE"""),45.0)</f>
        <v>45</v>
      </c>
      <c r="U1070" s="99">
        <f>IFERROR(__xludf.DUMMYFUNCTION("""COMPUTED_VALUE"""),9.0)</f>
        <v>9</v>
      </c>
      <c r="V1070" s="97">
        <f>IFERROR(__xludf.DUMMYFUNCTION("""COMPUTED_VALUE"""),260.0)</f>
        <v>260</v>
      </c>
      <c r="W1070" s="97" t="str">
        <f>IFERROR(__xludf.DUMMYFUNCTION("""COMPUTED_VALUE"""),"&lt; 12")</f>
        <v>&lt; 12</v>
      </c>
      <c r="X1070" s="97">
        <f>IFERROR(__xludf.DUMMYFUNCTION("""COMPUTED_VALUE"""),3000.0)</f>
        <v>3000</v>
      </c>
      <c r="Y1070" s="97" t="str">
        <f>IFERROR(__xludf.DUMMYFUNCTION("""COMPUTED_VALUE"""),"&gt;90")</f>
        <v>&gt;90</v>
      </c>
      <c r="Z1070" s="97" t="str">
        <f>IFERROR(__xludf.DUMMYFUNCTION("""COMPUTED_VALUE"""),"&gt;90")</f>
        <v>&gt;90</v>
      </c>
      <c r="AA1070" s="97" t="str">
        <f>IFERROR(__xludf.DUMMYFUNCTION("""COMPUTED_VALUE"""),"90-99 (Leve desaturación)")</f>
        <v>90-99 (Leve desaturación)</v>
      </c>
      <c r="AB1070" s="97" t="str">
        <f>IFERROR(__xludf.DUMMYFUNCTION("""COMPUTED_VALUE"""),"&lt; 2")</f>
        <v>&lt; 2</v>
      </c>
      <c r="AC1070" s="100" t="str">
        <f>IFERROR(__xludf.DUMMYFUNCTION("""COMPUTED_VALUE"""),"0.0001")</f>
        <v>0.0001</v>
      </c>
      <c r="AD1070" s="97" t="str">
        <f>IFERROR(__xludf.DUMMYFUNCTION("""COMPUTED_VALUE"""),"IP20")</f>
        <v>IP20</v>
      </c>
      <c r="AE1070" s="97" t="str">
        <f>IFERROR(__xludf.DUMMYFUNCTION("""COMPUTED_VALUE"""),"Clase l")</f>
        <v>Clase l</v>
      </c>
      <c r="AF1070" s="97" t="str">
        <f>IFERROR(__xludf.DUMMYFUNCTION("""COMPUTED_VALUE"""),"Aplicar")</f>
        <v>Aplicar</v>
      </c>
      <c r="AG1070" s="97" t="str">
        <f>IFERROR(__xludf.DUMMYFUNCTION("""COMPUTED_VALUE"""),"Ø110 x 75")</f>
        <v>Ø110 x 75</v>
      </c>
      <c r="AH1070" s="97" t="str">
        <f>IFERROR(__xludf.DUMMYFUNCTION("""COMPUTED_VALUE"""),"N/A")</f>
        <v>N/A</v>
      </c>
      <c r="AI1070" s="97" t="str">
        <f>IFERROR(__xludf.DUMMYFUNCTION("""COMPUTED_VALUE"""),"N/A")</f>
        <v>N/A</v>
      </c>
      <c r="AJ1070" s="97" t="str">
        <f>IFERROR(__xludf.DUMMYFUNCTION("""COMPUTED_VALUE"""),"Policarbonato (PC)")</f>
        <v>Policarbonato (PC)</v>
      </c>
      <c r="AK1070" s="97" t="str">
        <f>IFERROR(__xludf.DUMMYFUNCTION("""COMPUTED_VALUE"""),"ABS")</f>
        <v>ABS</v>
      </c>
      <c r="AL1070" s="97" t="str">
        <f>IFERROR(__xludf.DUMMYFUNCTION("""COMPUTED_VALUE"""),"Blanco Satinado")</f>
        <v>Blanco Satinado</v>
      </c>
      <c r="AM1070" s="97" t="str">
        <f>IFERROR(__xludf.DUMMYFUNCTION("""COMPUTED_VALUE"""),"-")</f>
        <v>-</v>
      </c>
      <c r="AN1070" s="97" t="str">
        <f>IFERROR(__xludf.DUMMYFUNCTION("""COMPUTED_VALUE"""),"25.000hs (L70)")</f>
        <v>25.000hs (L70)</v>
      </c>
      <c r="AO1070" s="97" t="str">
        <f>IFERROR(__xludf.DUMMYFUNCTION("""COMPUTED_VALUE"""),"2 Años")</f>
        <v>2 Años</v>
      </c>
      <c r="AP1070" s="97" t="str">
        <f>IFERROR(__xludf.DUMMYFUNCTION("""COMPUTED_VALUE"""),"Disponible")</f>
        <v>Disponible</v>
      </c>
      <c r="AQ1070" s="97" t="str">
        <f>IFERROR(__xludf.DUMMYFUNCTION("""COMPUTED_VALUE"""),"Disponible")</f>
        <v>Disponible</v>
      </c>
      <c r="AR1070" s="97" t="str">
        <f>IFERROR(__xludf.DUMMYFUNCTION("""COMPUTED_VALUE"""),"Disponible")</f>
        <v>Disponible</v>
      </c>
      <c r="AS1070" s="97"/>
      <c r="AT1070" s="97"/>
      <c r="AU1070" s="97" t="str">
        <f>IFERROR(__xludf.DUMMYFUNCTION("""COMPUTED_VALUE"""),"Falta")</f>
        <v>Falta</v>
      </c>
      <c r="AV1070" s="97" t="str">
        <f>IFERROR(__xludf.DUMMYFUNCTION("""COMPUTED_VALUE"""),"Aplique")</f>
        <v>Aplique</v>
      </c>
      <c r="AW1070" s="97" t="str">
        <f>IFERROR(__xludf.DUMMYFUNCTION("""COMPUTED_VALUE"""),"De Pared")</f>
        <v>De Pared</v>
      </c>
      <c r="AX1070" s="97" t="str">
        <f>IFERROR(__xludf.DUMMYFUNCTION("""COMPUTED_VALUE"""),"Interior")</f>
        <v>Interior</v>
      </c>
      <c r="AY1070" s="97" t="str">
        <f>IFERROR(__xludf.DUMMYFUNCTION("""COMPUTED_VALUE"""),"-")</f>
        <v>-</v>
      </c>
      <c r="AZ1070" s="97"/>
      <c r="BA1070" s="97"/>
      <c r="BB1070" s="97" t="str">
        <f>IFERROR(__xludf.DUMMYFUNCTION("""COMPUTED_VALUE"""),"-")</f>
        <v>-</v>
      </c>
      <c r="BC1070" s="97" t="str">
        <f>IFERROR(__xludf.DUMMYFUNCTION("""COMPUTED_VALUE"""),"-")</f>
        <v>-</v>
      </c>
      <c r="BD1070" s="97" t="str">
        <f>IFERROR(__xludf.DUMMYFUNCTION("""COMPUTED_VALUE"""),"CAPI")</f>
        <v>CAPI</v>
      </c>
      <c r="BE1070" s="97" t="str">
        <f>IFERROR(__xludf.DUMMYFUNCTION("""COMPUTED_VALUE"""),"Finalizada")</f>
        <v>Finalizada</v>
      </c>
      <c r="BF1070" s="97"/>
      <c r="BG1070" s="97" t="str">
        <f>IFERROR(__xludf.DUMMYFUNCTION("""COMPUTED_VALUE"""),"Activo")</f>
        <v>Activo</v>
      </c>
    </row>
    <row r="1071">
      <c r="A1071" s="97">
        <f>IFERROR(__xludf.DUMMYFUNCTION("""COMPUTED_VALUE"""),6857.0)</f>
        <v>6857</v>
      </c>
      <c r="B1071" s="97" t="str">
        <f>IFERROR(__xludf.DUMMYFUNCTION("""COMPUTED_VALUE"""),"HOKA 60 BL 3 EF")</f>
        <v>HOKA 60 BL 3 EF</v>
      </c>
      <c r="C1071" s="97" t="str">
        <f>IFERROR(__xludf.DUMMYFUNCTION("""COMPUTED_VALUE"""),"BARRAL LED HOKA 60 BL 3 EF 32W 3000/4000/5000K 3850LM CRI&gt;90 IP20 LEUK")</f>
        <v>BARRAL LED HOKA 60 BL 3 EF 32W 3000/4000/5000K 3850LM CRI&gt;90 IP20 LEUK</v>
      </c>
      <c r="D1071" s="97">
        <f>IFERROR(__xludf.DUMMYFUNCTION("""COMPUTED_VALUE"""),7.798413224825E12)</f>
        <v>7798413224825</v>
      </c>
      <c r="E1071" s="97" t="str">
        <f>IFERROR(__xludf.DUMMYFUNCTION("""COMPUTED_VALUE"""),"F34")</f>
        <v>F34</v>
      </c>
      <c r="F1071" s="97" t="str">
        <f>IFERROR(__xludf.DUMMYFUNCTION("""COMPUTED_VALUE"""),"LED SMD2835")</f>
        <v>LED SMD2835</v>
      </c>
      <c r="G1071" s="97" t="str">
        <f>IFERROR(__xludf.DUMMYFUNCTION("""COMPUTED_VALUE"""),"-")</f>
        <v>-</v>
      </c>
      <c r="H1071" s="97" t="str">
        <f>IFERROR(__xludf.DUMMYFUNCTION("""COMPUTED_VALUE"""),"KGP")</f>
        <v>KGP</v>
      </c>
      <c r="I1071" s="97"/>
      <c r="J1071" s="97"/>
      <c r="K1071" s="97" t="str">
        <f>IFERROR(__xludf.DUMMYFUNCTION("""COMPUTED_VALUE"""),"ON/OFF")</f>
        <v>ON/OFF</v>
      </c>
      <c r="L1071" s="97" t="str">
        <f>IFERROR(__xludf.DUMMYFUNCTION("""COMPUTED_VALUE"""),"200-240")</f>
        <v>200-240</v>
      </c>
      <c r="M1071" s="97" t="str">
        <f>IFERROR(__xludf.DUMMYFUNCTION("""COMPUTED_VALUE"""),"50/60")</f>
        <v>50/60</v>
      </c>
      <c r="N1071" s="97"/>
      <c r="O1071" s="97">
        <f>IFERROR(__xludf.DUMMYFUNCTION("""COMPUTED_VALUE"""),32.0)</f>
        <v>32</v>
      </c>
      <c r="P1071" s="97"/>
      <c r="Q1071" s="97">
        <f>IFERROR(__xludf.DUMMYFUNCTION("""COMPUTED_VALUE"""),0.97)</f>
        <v>0.97</v>
      </c>
      <c r="R1071" s="97" t="str">
        <f>IFERROR(__xludf.DUMMYFUNCTION("""COMPUTED_VALUE"""),"-")</f>
        <v>-</v>
      </c>
      <c r="S1071" s="97" t="str">
        <f>IFERROR(__xludf.DUMMYFUNCTION("""COMPUTED_VALUE"""),"-")</f>
        <v>-</v>
      </c>
      <c r="T1071" s="97">
        <f>IFERROR(__xludf.DUMMYFUNCTION("""COMPUTED_VALUE"""),3850.0)</f>
        <v>3850</v>
      </c>
      <c r="U1071" s="99">
        <f>IFERROR(__xludf.DUMMYFUNCTION("""COMPUTED_VALUE"""),120.3125)</f>
        <v>120.3125</v>
      </c>
      <c r="V1071" s="97">
        <f>IFERROR(__xludf.DUMMYFUNCTION("""COMPUTED_VALUE"""),97.0)</f>
        <v>97</v>
      </c>
      <c r="W1071" s="97" t="str">
        <f>IFERROR(__xludf.DUMMYFUNCTION("""COMPUTED_VALUE"""),"&lt; 25")</f>
        <v>&lt; 25</v>
      </c>
      <c r="X1071" s="97" t="str">
        <f>IFERROR(__xludf.DUMMYFUNCTION("""COMPUTED_VALUE"""),"3000/4000/5000")</f>
        <v>3000/4000/5000</v>
      </c>
      <c r="Y1071" s="97" t="str">
        <f>IFERROR(__xludf.DUMMYFUNCTION("""COMPUTED_VALUE"""),"&gt;90")</f>
        <v>&gt;90</v>
      </c>
      <c r="Z1071" s="97"/>
      <c r="AA1071" s="97"/>
      <c r="AB1071" s="97" t="str">
        <f>IFERROR(__xludf.DUMMYFUNCTION("""COMPUTED_VALUE"""),"&lt; 2")</f>
        <v>&lt; 2</v>
      </c>
      <c r="AC1071" s="97"/>
      <c r="AD1071" s="97" t="str">
        <f>IFERROR(__xludf.DUMMYFUNCTION("""COMPUTED_VALUE"""),"IP20")</f>
        <v>IP20</v>
      </c>
      <c r="AE1071" s="97" t="str">
        <f>IFERROR(__xludf.DUMMYFUNCTION("""COMPUTED_VALUE"""),"Clase l")</f>
        <v>Clase l</v>
      </c>
      <c r="AF1071" s="97" t="str">
        <f>IFERROR(__xludf.DUMMYFUNCTION("""COMPUTED_VALUE"""),"Riel")</f>
        <v>Riel</v>
      </c>
      <c r="AG1071" s="97" t="str">
        <f>IFERROR(__xludf.DUMMYFUNCTION("""COMPUTED_VALUE"""),"60 x 70 x 600")</f>
        <v>60 x 70 x 600</v>
      </c>
      <c r="AH1071" s="97" t="str">
        <f>IFERROR(__xludf.DUMMYFUNCTION("""COMPUTED_VALUE"""),"N/A")</f>
        <v>N/A</v>
      </c>
      <c r="AI1071" s="97" t="str">
        <f>IFERROR(__xludf.DUMMYFUNCTION("""COMPUTED_VALUE"""),"N/A")</f>
        <v>N/A</v>
      </c>
      <c r="AJ1071" s="97" t="str">
        <f>IFERROR(__xludf.DUMMYFUNCTION("""COMPUTED_VALUE"""),"PMMA")</f>
        <v>PMMA</v>
      </c>
      <c r="AK1071" s="97" t="str">
        <f>IFERROR(__xludf.DUMMYFUNCTION("""COMPUTED_VALUE"""),"Aluminio")</f>
        <v>Aluminio</v>
      </c>
      <c r="AL1071" s="97" t="str">
        <f>IFERROR(__xludf.DUMMYFUNCTION("""COMPUTED_VALUE"""),"Blanco Satinado")</f>
        <v>Blanco Satinado</v>
      </c>
      <c r="AM1071" s="97" t="str">
        <f>IFERROR(__xludf.DUMMYFUNCTION("""COMPUTED_VALUE"""),"-")</f>
        <v>-</v>
      </c>
      <c r="AN1071" s="97" t="str">
        <f>IFERROR(__xludf.DUMMYFUNCTION("""COMPUTED_VALUE"""),"40.000hs (L70)")</f>
        <v>40.000hs (L70)</v>
      </c>
      <c r="AO1071" s="97" t="str">
        <f>IFERROR(__xludf.DUMMYFUNCTION("""COMPUTED_VALUE"""),"4 Años")</f>
        <v>4 Años</v>
      </c>
      <c r="AP1071" s="97" t="str">
        <f>IFERROR(__xludf.DUMMYFUNCTION("""COMPUTED_VALUE"""),"Disponible")</f>
        <v>Disponible</v>
      </c>
      <c r="AQ1071" s="97" t="str">
        <f>IFERROR(__xludf.DUMMYFUNCTION("""COMPUTED_VALUE"""),"Disponible")</f>
        <v>Disponible</v>
      </c>
      <c r="AR1071" s="97" t="str">
        <f>IFERROR(__xludf.DUMMYFUNCTION("""COMPUTED_VALUE"""),"Disponible")</f>
        <v>Disponible</v>
      </c>
      <c r="AS1071" s="97"/>
      <c r="AT1071" s="97"/>
      <c r="AU1071" s="97" t="str">
        <f>IFERROR(__xludf.DUMMYFUNCTION("""COMPUTED_VALUE"""),"Falta")</f>
        <v>Falta</v>
      </c>
      <c r="AV1071" s="97" t="str">
        <f>IFERROR(__xludf.DUMMYFUNCTION("""COMPUTED_VALUE"""),"Barral LED")</f>
        <v>Barral LED</v>
      </c>
      <c r="AW1071" s="97" t="str">
        <f>IFERROR(__xludf.DUMMYFUNCTION("""COMPUTED_VALUE"""),"Rieles")</f>
        <v>Rieles</v>
      </c>
      <c r="AX1071" s="97" t="str">
        <f>IFERROR(__xludf.DUMMYFUNCTION("""COMPUTED_VALUE"""),"Interior")</f>
        <v>Interior</v>
      </c>
      <c r="AY1071" s="97" t="str">
        <f>IFERROR(__xludf.DUMMYFUNCTION("""COMPUTED_VALUE"""),"-")</f>
        <v>-</v>
      </c>
      <c r="AZ1071" s="97"/>
      <c r="BA1071" s="97"/>
      <c r="BB1071" s="97" t="str">
        <f>IFERROR(__xludf.DUMMYFUNCTION("""COMPUTED_VALUE"""),"-")</f>
        <v>-</v>
      </c>
      <c r="BC1071" s="97" t="str">
        <f>IFERROR(__xludf.DUMMYFUNCTION("""COMPUTED_VALUE"""),"-")</f>
        <v>-</v>
      </c>
      <c r="BD1071" s="97" t="str">
        <f>IFERROR(__xludf.DUMMYFUNCTION("""COMPUTED_VALUE"""),"HOKA 3EF")</f>
        <v>HOKA 3EF</v>
      </c>
      <c r="BE1071" s="97" t="str">
        <f>IFERROR(__xludf.DUMMYFUNCTION("""COMPUTED_VALUE"""),"Finalizada")</f>
        <v>Finalizada</v>
      </c>
      <c r="BF1071" s="97"/>
      <c r="BG1071" s="97" t="str">
        <f>IFERROR(__xludf.DUMMYFUNCTION("""COMPUTED_VALUE"""),"Activo")</f>
        <v>Activo</v>
      </c>
    </row>
    <row r="1072">
      <c r="A1072" s="97">
        <f>IFERROR(__xludf.DUMMYFUNCTION("""COMPUTED_VALUE"""),6858.0)</f>
        <v>6858</v>
      </c>
      <c r="B1072" s="97" t="str">
        <f>IFERROR(__xludf.DUMMYFUNCTION("""COMPUTED_VALUE"""),"HOKA 60 NG 3 EF")</f>
        <v>HOKA 60 NG 3 EF</v>
      </c>
      <c r="C1072" s="97" t="str">
        <f>IFERROR(__xludf.DUMMYFUNCTION("""COMPUTED_VALUE"""),"BARRAL LED HOKA 60 NG 3 EF 32W 3000/4000/5000K 3850LM CRI&gt;90 IP20 LEUK")</f>
        <v>BARRAL LED HOKA 60 NG 3 EF 32W 3000/4000/5000K 3850LM CRI&gt;90 IP20 LEUK</v>
      </c>
      <c r="D1072" s="97">
        <f>IFERROR(__xludf.DUMMYFUNCTION("""COMPUTED_VALUE"""),7.798413224832E12)</f>
        <v>7798413224832</v>
      </c>
      <c r="E1072" s="97" t="str">
        <f>IFERROR(__xludf.DUMMYFUNCTION("""COMPUTED_VALUE"""),"F34")</f>
        <v>F34</v>
      </c>
      <c r="F1072" s="97" t="str">
        <f>IFERROR(__xludf.DUMMYFUNCTION("""COMPUTED_VALUE"""),"LED SMD2835")</f>
        <v>LED SMD2835</v>
      </c>
      <c r="G1072" s="97" t="str">
        <f>IFERROR(__xludf.DUMMYFUNCTION("""COMPUTED_VALUE"""),"-")</f>
        <v>-</v>
      </c>
      <c r="H1072" s="97" t="str">
        <f>IFERROR(__xludf.DUMMYFUNCTION("""COMPUTED_VALUE"""),"KGP")</f>
        <v>KGP</v>
      </c>
      <c r="I1072" s="97"/>
      <c r="J1072" s="97"/>
      <c r="K1072" s="97" t="str">
        <f>IFERROR(__xludf.DUMMYFUNCTION("""COMPUTED_VALUE"""),"ON/OFF")</f>
        <v>ON/OFF</v>
      </c>
      <c r="L1072" s="97" t="str">
        <f>IFERROR(__xludf.DUMMYFUNCTION("""COMPUTED_VALUE"""),"200-240")</f>
        <v>200-240</v>
      </c>
      <c r="M1072" s="97" t="str">
        <f>IFERROR(__xludf.DUMMYFUNCTION("""COMPUTED_VALUE"""),"50/60")</f>
        <v>50/60</v>
      </c>
      <c r="N1072" s="97"/>
      <c r="O1072" s="97">
        <f>IFERROR(__xludf.DUMMYFUNCTION("""COMPUTED_VALUE"""),32.0)</f>
        <v>32</v>
      </c>
      <c r="P1072" s="97"/>
      <c r="Q1072" s="97">
        <f>IFERROR(__xludf.DUMMYFUNCTION("""COMPUTED_VALUE"""),0.97)</f>
        <v>0.97</v>
      </c>
      <c r="R1072" s="97" t="str">
        <f>IFERROR(__xludf.DUMMYFUNCTION("""COMPUTED_VALUE"""),"-")</f>
        <v>-</v>
      </c>
      <c r="S1072" s="97" t="str">
        <f>IFERROR(__xludf.DUMMYFUNCTION("""COMPUTED_VALUE"""),"-")</f>
        <v>-</v>
      </c>
      <c r="T1072" s="97">
        <f>IFERROR(__xludf.DUMMYFUNCTION("""COMPUTED_VALUE"""),3850.0)</f>
        <v>3850</v>
      </c>
      <c r="U1072" s="99">
        <f>IFERROR(__xludf.DUMMYFUNCTION("""COMPUTED_VALUE"""),120.3125)</f>
        <v>120.3125</v>
      </c>
      <c r="V1072" s="97">
        <f>IFERROR(__xludf.DUMMYFUNCTION("""COMPUTED_VALUE"""),97.0)</f>
        <v>97</v>
      </c>
      <c r="W1072" s="97" t="str">
        <f>IFERROR(__xludf.DUMMYFUNCTION("""COMPUTED_VALUE"""),"&lt; 25")</f>
        <v>&lt; 25</v>
      </c>
      <c r="X1072" s="97" t="str">
        <f>IFERROR(__xludf.DUMMYFUNCTION("""COMPUTED_VALUE"""),"3000/4000/5000")</f>
        <v>3000/4000/5000</v>
      </c>
      <c r="Y1072" s="97" t="str">
        <f>IFERROR(__xludf.DUMMYFUNCTION("""COMPUTED_VALUE"""),"&gt;90")</f>
        <v>&gt;90</v>
      </c>
      <c r="Z1072" s="97"/>
      <c r="AA1072" s="97"/>
      <c r="AB1072" s="97" t="str">
        <f>IFERROR(__xludf.DUMMYFUNCTION("""COMPUTED_VALUE"""),"&lt; 2")</f>
        <v>&lt; 2</v>
      </c>
      <c r="AC1072" s="97"/>
      <c r="AD1072" s="97" t="str">
        <f>IFERROR(__xludf.DUMMYFUNCTION("""COMPUTED_VALUE"""),"IP20")</f>
        <v>IP20</v>
      </c>
      <c r="AE1072" s="97" t="str">
        <f>IFERROR(__xludf.DUMMYFUNCTION("""COMPUTED_VALUE"""),"Clase l")</f>
        <v>Clase l</v>
      </c>
      <c r="AF1072" s="97" t="str">
        <f>IFERROR(__xludf.DUMMYFUNCTION("""COMPUTED_VALUE"""),"Riel")</f>
        <v>Riel</v>
      </c>
      <c r="AG1072" s="97" t="str">
        <f>IFERROR(__xludf.DUMMYFUNCTION("""COMPUTED_VALUE"""),"60 x 70 x 600")</f>
        <v>60 x 70 x 600</v>
      </c>
      <c r="AH1072" s="97" t="str">
        <f>IFERROR(__xludf.DUMMYFUNCTION("""COMPUTED_VALUE"""),"N/A")</f>
        <v>N/A</v>
      </c>
      <c r="AI1072" s="97" t="str">
        <f>IFERROR(__xludf.DUMMYFUNCTION("""COMPUTED_VALUE"""),"N/A")</f>
        <v>N/A</v>
      </c>
      <c r="AJ1072" s="97" t="str">
        <f>IFERROR(__xludf.DUMMYFUNCTION("""COMPUTED_VALUE"""),"PMMA")</f>
        <v>PMMA</v>
      </c>
      <c r="AK1072" s="97" t="str">
        <f>IFERROR(__xludf.DUMMYFUNCTION("""COMPUTED_VALUE"""),"Aluminio")</f>
        <v>Aluminio</v>
      </c>
      <c r="AL1072" s="97" t="str">
        <f>IFERROR(__xludf.DUMMYFUNCTION("""COMPUTED_VALUE"""),"Negro Satinado")</f>
        <v>Negro Satinado</v>
      </c>
      <c r="AM1072" s="97" t="str">
        <f>IFERROR(__xludf.DUMMYFUNCTION("""COMPUTED_VALUE"""),"-")</f>
        <v>-</v>
      </c>
      <c r="AN1072" s="97" t="str">
        <f>IFERROR(__xludf.DUMMYFUNCTION("""COMPUTED_VALUE"""),"40.000hs (L70)")</f>
        <v>40.000hs (L70)</v>
      </c>
      <c r="AO1072" s="97" t="str">
        <f>IFERROR(__xludf.DUMMYFUNCTION("""COMPUTED_VALUE"""),"4 Años")</f>
        <v>4 Años</v>
      </c>
      <c r="AP1072" s="97" t="str">
        <f>IFERROR(__xludf.DUMMYFUNCTION("""COMPUTED_VALUE"""),"Disponible")</f>
        <v>Disponible</v>
      </c>
      <c r="AQ1072" s="97" t="str">
        <f>IFERROR(__xludf.DUMMYFUNCTION("""COMPUTED_VALUE"""),"Disponible")</f>
        <v>Disponible</v>
      </c>
      <c r="AR1072" s="97" t="str">
        <f>IFERROR(__xludf.DUMMYFUNCTION("""COMPUTED_VALUE"""),"Disponible")</f>
        <v>Disponible</v>
      </c>
      <c r="AS1072" s="97"/>
      <c r="AT1072" s="97"/>
      <c r="AU1072" s="97" t="str">
        <f>IFERROR(__xludf.DUMMYFUNCTION("""COMPUTED_VALUE"""),"Falta")</f>
        <v>Falta</v>
      </c>
      <c r="AV1072" s="97" t="str">
        <f>IFERROR(__xludf.DUMMYFUNCTION("""COMPUTED_VALUE"""),"Barral LED")</f>
        <v>Barral LED</v>
      </c>
      <c r="AW1072" s="97" t="str">
        <f>IFERROR(__xludf.DUMMYFUNCTION("""COMPUTED_VALUE"""),"Rieles")</f>
        <v>Rieles</v>
      </c>
      <c r="AX1072" s="97" t="str">
        <f>IFERROR(__xludf.DUMMYFUNCTION("""COMPUTED_VALUE"""),"Interior")</f>
        <v>Interior</v>
      </c>
      <c r="AY1072" s="97" t="str">
        <f>IFERROR(__xludf.DUMMYFUNCTION("""COMPUTED_VALUE"""),"-")</f>
        <v>-</v>
      </c>
      <c r="AZ1072" s="97"/>
      <c r="BA1072" s="97"/>
      <c r="BB1072" s="97" t="str">
        <f>IFERROR(__xludf.DUMMYFUNCTION("""COMPUTED_VALUE"""),"-")</f>
        <v>-</v>
      </c>
      <c r="BC1072" s="97" t="str">
        <f>IFERROR(__xludf.DUMMYFUNCTION("""COMPUTED_VALUE"""),"-")</f>
        <v>-</v>
      </c>
      <c r="BD1072" s="97" t="str">
        <f>IFERROR(__xludf.DUMMYFUNCTION("""COMPUTED_VALUE"""),"HOKA 3EF")</f>
        <v>HOKA 3EF</v>
      </c>
      <c r="BE1072" s="97" t="str">
        <f>IFERROR(__xludf.DUMMYFUNCTION("""COMPUTED_VALUE"""),"Finalizada")</f>
        <v>Finalizada</v>
      </c>
      <c r="BF1072" s="97"/>
      <c r="BG1072" s="97" t="str">
        <f>IFERROR(__xludf.DUMMYFUNCTION("""COMPUTED_VALUE"""),"Activo")</f>
        <v>Activo</v>
      </c>
    </row>
    <row r="1073">
      <c r="A1073" s="97">
        <f>IFERROR(__xludf.DUMMYFUNCTION("""COMPUTED_VALUE"""),6859.0)</f>
        <v>6859</v>
      </c>
      <c r="B1073" s="97" t="str">
        <f>IFERROR(__xludf.DUMMYFUNCTION("""COMPUTED_VALUE"""),"HOKA 120 BL 3 EF")</f>
        <v>HOKA 120 BL 3 EF</v>
      </c>
      <c r="C1073" s="97" t="str">
        <f>IFERROR(__xludf.DUMMYFUNCTION("""COMPUTED_VALUE"""),"BARRAL LED HOKA 120 BL 3 EF 36W 3000/4000/5000K 4900LM CRI&gt;90 IP20 LEUK")</f>
        <v>BARRAL LED HOKA 120 BL 3 EF 36W 3000/4000/5000K 4900LM CRI&gt;90 IP20 LEUK</v>
      </c>
      <c r="D1073" s="97">
        <f>IFERROR(__xludf.DUMMYFUNCTION("""COMPUTED_VALUE"""),7.798413224849E12)</f>
        <v>7798413224849</v>
      </c>
      <c r="E1073" s="97" t="str">
        <f>IFERROR(__xludf.DUMMYFUNCTION("""COMPUTED_VALUE"""),"F126")</f>
        <v>F126</v>
      </c>
      <c r="F1073" s="97" t="str">
        <f>IFERROR(__xludf.DUMMYFUNCTION("""COMPUTED_VALUE"""),"LED SMD2835")</f>
        <v>LED SMD2835</v>
      </c>
      <c r="G1073" s="97" t="str">
        <f>IFERROR(__xludf.DUMMYFUNCTION("""COMPUTED_VALUE"""),"-")</f>
        <v>-</v>
      </c>
      <c r="H1073" s="97" t="str">
        <f>IFERROR(__xludf.DUMMYFUNCTION("""COMPUTED_VALUE"""),"KGP")</f>
        <v>KGP</v>
      </c>
      <c r="I1073" s="97"/>
      <c r="J1073" s="97"/>
      <c r="K1073" s="97" t="str">
        <f>IFERROR(__xludf.DUMMYFUNCTION("""COMPUTED_VALUE"""),"ON/OFF")</f>
        <v>ON/OFF</v>
      </c>
      <c r="L1073" s="97" t="str">
        <f>IFERROR(__xludf.DUMMYFUNCTION("""COMPUTED_VALUE"""),"200-240")</f>
        <v>200-240</v>
      </c>
      <c r="M1073" s="97" t="str">
        <f>IFERROR(__xludf.DUMMYFUNCTION("""COMPUTED_VALUE"""),"50/60")</f>
        <v>50/60</v>
      </c>
      <c r="N1073" s="97"/>
      <c r="O1073" s="97">
        <f>IFERROR(__xludf.DUMMYFUNCTION("""COMPUTED_VALUE"""),36.0)</f>
        <v>36</v>
      </c>
      <c r="P1073" s="97"/>
      <c r="Q1073" s="97">
        <f>IFERROR(__xludf.DUMMYFUNCTION("""COMPUTED_VALUE"""),0.97)</f>
        <v>0.97</v>
      </c>
      <c r="R1073" s="97" t="str">
        <f>IFERROR(__xludf.DUMMYFUNCTION("""COMPUTED_VALUE"""),"-")</f>
        <v>-</v>
      </c>
      <c r="S1073" s="97" t="str">
        <f>IFERROR(__xludf.DUMMYFUNCTION("""COMPUTED_VALUE"""),"-")</f>
        <v>-</v>
      </c>
      <c r="T1073" s="97">
        <f>IFERROR(__xludf.DUMMYFUNCTION("""COMPUTED_VALUE"""),4900.0)</f>
        <v>4900</v>
      </c>
      <c r="U1073" s="99">
        <f>IFERROR(__xludf.DUMMYFUNCTION("""COMPUTED_VALUE"""),136.11111111111111)</f>
        <v>136.1111111</v>
      </c>
      <c r="V1073" s="97">
        <f>IFERROR(__xludf.DUMMYFUNCTION("""COMPUTED_VALUE"""),97.0)</f>
        <v>97</v>
      </c>
      <c r="W1073" s="97" t="str">
        <f>IFERROR(__xludf.DUMMYFUNCTION("""COMPUTED_VALUE"""),"&lt; 20")</f>
        <v>&lt; 20</v>
      </c>
      <c r="X1073" s="97" t="str">
        <f>IFERROR(__xludf.DUMMYFUNCTION("""COMPUTED_VALUE"""),"3000/4000/5000")</f>
        <v>3000/4000/5000</v>
      </c>
      <c r="Y1073" s="97" t="str">
        <f>IFERROR(__xludf.DUMMYFUNCTION("""COMPUTED_VALUE"""),"&gt;90")</f>
        <v>&gt;90</v>
      </c>
      <c r="Z1073" s="97"/>
      <c r="AA1073" s="97"/>
      <c r="AB1073" s="97" t="str">
        <f>IFERROR(__xludf.DUMMYFUNCTION("""COMPUTED_VALUE"""),"&lt; 2")</f>
        <v>&lt; 2</v>
      </c>
      <c r="AC1073" s="97"/>
      <c r="AD1073" s="97" t="str">
        <f>IFERROR(__xludf.DUMMYFUNCTION("""COMPUTED_VALUE"""),"IP20")</f>
        <v>IP20</v>
      </c>
      <c r="AE1073" s="97" t="str">
        <f>IFERROR(__xludf.DUMMYFUNCTION("""COMPUTED_VALUE"""),"Clase l")</f>
        <v>Clase l</v>
      </c>
      <c r="AF1073" s="97" t="str">
        <f>IFERROR(__xludf.DUMMYFUNCTION("""COMPUTED_VALUE"""),"Riel")</f>
        <v>Riel</v>
      </c>
      <c r="AG1073" s="97" t="str">
        <f>IFERROR(__xludf.DUMMYFUNCTION("""COMPUTED_VALUE"""),"60 x 70 x 1196")</f>
        <v>60 x 70 x 1196</v>
      </c>
      <c r="AH1073" s="97" t="str">
        <f>IFERROR(__xludf.DUMMYFUNCTION("""COMPUTED_VALUE"""),"N/A")</f>
        <v>N/A</v>
      </c>
      <c r="AI1073" s="97" t="str">
        <f>IFERROR(__xludf.DUMMYFUNCTION("""COMPUTED_VALUE"""),"N/A")</f>
        <v>N/A</v>
      </c>
      <c r="AJ1073" s="97" t="str">
        <f>IFERROR(__xludf.DUMMYFUNCTION("""COMPUTED_VALUE"""),"PMMA")</f>
        <v>PMMA</v>
      </c>
      <c r="AK1073" s="97" t="str">
        <f>IFERROR(__xludf.DUMMYFUNCTION("""COMPUTED_VALUE"""),"Aluminio")</f>
        <v>Aluminio</v>
      </c>
      <c r="AL1073" s="97" t="str">
        <f>IFERROR(__xludf.DUMMYFUNCTION("""COMPUTED_VALUE"""),"Blanco Satinado")</f>
        <v>Blanco Satinado</v>
      </c>
      <c r="AM1073" s="97" t="str">
        <f>IFERROR(__xludf.DUMMYFUNCTION("""COMPUTED_VALUE"""),"-")</f>
        <v>-</v>
      </c>
      <c r="AN1073" s="97" t="str">
        <f>IFERROR(__xludf.DUMMYFUNCTION("""COMPUTED_VALUE"""),"40.000hs (L70)")</f>
        <v>40.000hs (L70)</v>
      </c>
      <c r="AO1073" s="97" t="str">
        <f>IFERROR(__xludf.DUMMYFUNCTION("""COMPUTED_VALUE"""),"4 Años")</f>
        <v>4 Años</v>
      </c>
      <c r="AP1073" s="97" t="str">
        <f>IFERROR(__xludf.DUMMYFUNCTION("""COMPUTED_VALUE"""),"Disponible")</f>
        <v>Disponible</v>
      </c>
      <c r="AQ1073" s="97" t="str">
        <f>IFERROR(__xludf.DUMMYFUNCTION("""COMPUTED_VALUE"""),"Disponible")</f>
        <v>Disponible</v>
      </c>
      <c r="AR1073" s="97" t="str">
        <f>IFERROR(__xludf.DUMMYFUNCTION("""COMPUTED_VALUE"""),"Disponible")</f>
        <v>Disponible</v>
      </c>
      <c r="AS1073" s="97"/>
      <c r="AT1073" s="97"/>
      <c r="AU1073" s="97" t="str">
        <f>IFERROR(__xludf.DUMMYFUNCTION("""COMPUTED_VALUE"""),"Falta")</f>
        <v>Falta</v>
      </c>
      <c r="AV1073" s="97" t="str">
        <f>IFERROR(__xludf.DUMMYFUNCTION("""COMPUTED_VALUE"""),"Barral LED")</f>
        <v>Barral LED</v>
      </c>
      <c r="AW1073" s="97" t="str">
        <f>IFERROR(__xludf.DUMMYFUNCTION("""COMPUTED_VALUE"""),"Rieles")</f>
        <v>Rieles</v>
      </c>
      <c r="AX1073" s="97" t="str">
        <f>IFERROR(__xludf.DUMMYFUNCTION("""COMPUTED_VALUE"""),"Interior")</f>
        <v>Interior</v>
      </c>
      <c r="AY1073" s="97" t="str">
        <f>IFERROR(__xludf.DUMMYFUNCTION("""COMPUTED_VALUE"""),"-")</f>
        <v>-</v>
      </c>
      <c r="AZ1073" s="97"/>
      <c r="BA1073" s="97"/>
      <c r="BB1073" s="97" t="str">
        <f>IFERROR(__xludf.DUMMYFUNCTION("""COMPUTED_VALUE"""),"-")</f>
        <v>-</v>
      </c>
      <c r="BC1073" s="97" t="str">
        <f>IFERROR(__xludf.DUMMYFUNCTION("""COMPUTED_VALUE"""),"-")</f>
        <v>-</v>
      </c>
      <c r="BD1073" s="97" t="str">
        <f>IFERROR(__xludf.DUMMYFUNCTION("""COMPUTED_VALUE"""),"HOKA 3EF")</f>
        <v>HOKA 3EF</v>
      </c>
      <c r="BE1073" s="97" t="str">
        <f>IFERROR(__xludf.DUMMYFUNCTION("""COMPUTED_VALUE"""),"Finalizada")</f>
        <v>Finalizada</v>
      </c>
      <c r="BF1073" s="97"/>
      <c r="BG1073" s="97" t="str">
        <f>IFERROR(__xludf.DUMMYFUNCTION("""COMPUTED_VALUE"""),"Activo")</f>
        <v>Activo</v>
      </c>
    </row>
    <row r="1074">
      <c r="A1074" s="97">
        <f>IFERROR(__xludf.DUMMYFUNCTION("""COMPUTED_VALUE"""),6860.0)</f>
        <v>6860</v>
      </c>
      <c r="B1074" s="97" t="str">
        <f>IFERROR(__xludf.DUMMYFUNCTION("""COMPUTED_VALUE"""),"HOKA 120 NG 3 EF")</f>
        <v>HOKA 120 NG 3 EF</v>
      </c>
      <c r="C1074" s="97" t="str">
        <f>IFERROR(__xludf.DUMMYFUNCTION("""COMPUTED_VALUE"""),"BARRAL LED HOKA 120 NG 3 EF 36W 3000/4000/5000K 4900LM CRI&gt;90 IP20 LEUK")</f>
        <v>BARRAL LED HOKA 120 NG 3 EF 36W 3000/4000/5000K 4900LM CRI&gt;90 IP20 LEUK</v>
      </c>
      <c r="D1074" s="97">
        <f>IFERROR(__xludf.DUMMYFUNCTION("""COMPUTED_VALUE"""),7.798413224856E12)</f>
        <v>7798413224856</v>
      </c>
      <c r="E1074" s="97" t="str">
        <f>IFERROR(__xludf.DUMMYFUNCTION("""COMPUTED_VALUE"""),"F126")</f>
        <v>F126</v>
      </c>
      <c r="F1074" s="97" t="str">
        <f>IFERROR(__xludf.DUMMYFUNCTION("""COMPUTED_VALUE"""),"LED SMD2835")</f>
        <v>LED SMD2835</v>
      </c>
      <c r="G1074" s="97" t="str">
        <f>IFERROR(__xludf.DUMMYFUNCTION("""COMPUTED_VALUE"""),"-")</f>
        <v>-</v>
      </c>
      <c r="H1074" s="97" t="str">
        <f>IFERROR(__xludf.DUMMYFUNCTION("""COMPUTED_VALUE"""),"KGP")</f>
        <v>KGP</v>
      </c>
      <c r="I1074" s="97"/>
      <c r="J1074" s="97"/>
      <c r="K1074" s="97" t="str">
        <f>IFERROR(__xludf.DUMMYFUNCTION("""COMPUTED_VALUE"""),"ON/OFF")</f>
        <v>ON/OFF</v>
      </c>
      <c r="L1074" s="97" t="str">
        <f>IFERROR(__xludf.DUMMYFUNCTION("""COMPUTED_VALUE"""),"200-240")</f>
        <v>200-240</v>
      </c>
      <c r="M1074" s="97" t="str">
        <f>IFERROR(__xludf.DUMMYFUNCTION("""COMPUTED_VALUE"""),"50/60")</f>
        <v>50/60</v>
      </c>
      <c r="N1074" s="97"/>
      <c r="O1074" s="97">
        <f>IFERROR(__xludf.DUMMYFUNCTION("""COMPUTED_VALUE"""),36.0)</f>
        <v>36</v>
      </c>
      <c r="P1074" s="97"/>
      <c r="Q1074" s="97">
        <f>IFERROR(__xludf.DUMMYFUNCTION("""COMPUTED_VALUE"""),0.97)</f>
        <v>0.97</v>
      </c>
      <c r="R1074" s="97" t="str">
        <f>IFERROR(__xludf.DUMMYFUNCTION("""COMPUTED_VALUE"""),"-")</f>
        <v>-</v>
      </c>
      <c r="S1074" s="97" t="str">
        <f>IFERROR(__xludf.DUMMYFUNCTION("""COMPUTED_VALUE"""),"-")</f>
        <v>-</v>
      </c>
      <c r="T1074" s="97">
        <f>IFERROR(__xludf.DUMMYFUNCTION("""COMPUTED_VALUE"""),4900.0)</f>
        <v>4900</v>
      </c>
      <c r="U1074" s="99">
        <f>IFERROR(__xludf.DUMMYFUNCTION("""COMPUTED_VALUE"""),136.11111111111111)</f>
        <v>136.1111111</v>
      </c>
      <c r="V1074" s="97">
        <f>IFERROR(__xludf.DUMMYFUNCTION("""COMPUTED_VALUE"""),97.0)</f>
        <v>97</v>
      </c>
      <c r="W1074" s="97" t="str">
        <f>IFERROR(__xludf.DUMMYFUNCTION("""COMPUTED_VALUE"""),"&lt; 20")</f>
        <v>&lt; 20</v>
      </c>
      <c r="X1074" s="97" t="str">
        <f>IFERROR(__xludf.DUMMYFUNCTION("""COMPUTED_VALUE"""),"3000/4000/5000")</f>
        <v>3000/4000/5000</v>
      </c>
      <c r="Y1074" s="97" t="str">
        <f>IFERROR(__xludf.DUMMYFUNCTION("""COMPUTED_VALUE"""),"&gt;90")</f>
        <v>&gt;90</v>
      </c>
      <c r="Z1074" s="97"/>
      <c r="AA1074" s="97"/>
      <c r="AB1074" s="97" t="str">
        <f>IFERROR(__xludf.DUMMYFUNCTION("""COMPUTED_VALUE"""),"&lt; 2")</f>
        <v>&lt; 2</v>
      </c>
      <c r="AC1074" s="97"/>
      <c r="AD1074" s="97" t="str">
        <f>IFERROR(__xludf.DUMMYFUNCTION("""COMPUTED_VALUE"""),"IP20")</f>
        <v>IP20</v>
      </c>
      <c r="AE1074" s="97" t="str">
        <f>IFERROR(__xludf.DUMMYFUNCTION("""COMPUTED_VALUE"""),"Clase l")</f>
        <v>Clase l</v>
      </c>
      <c r="AF1074" s="97" t="str">
        <f>IFERROR(__xludf.DUMMYFUNCTION("""COMPUTED_VALUE"""),"Riel")</f>
        <v>Riel</v>
      </c>
      <c r="AG1074" s="97" t="str">
        <f>IFERROR(__xludf.DUMMYFUNCTION("""COMPUTED_VALUE"""),"60 x 70 x 1196")</f>
        <v>60 x 70 x 1196</v>
      </c>
      <c r="AH1074" s="97" t="str">
        <f>IFERROR(__xludf.DUMMYFUNCTION("""COMPUTED_VALUE"""),"N/A")</f>
        <v>N/A</v>
      </c>
      <c r="AI1074" s="97" t="str">
        <f>IFERROR(__xludf.DUMMYFUNCTION("""COMPUTED_VALUE"""),"N/A")</f>
        <v>N/A</v>
      </c>
      <c r="AJ1074" s="97" t="str">
        <f>IFERROR(__xludf.DUMMYFUNCTION("""COMPUTED_VALUE"""),"PMMA")</f>
        <v>PMMA</v>
      </c>
      <c r="AK1074" s="97" t="str">
        <f>IFERROR(__xludf.DUMMYFUNCTION("""COMPUTED_VALUE"""),"Aluminio")</f>
        <v>Aluminio</v>
      </c>
      <c r="AL1074" s="97" t="str">
        <f>IFERROR(__xludf.DUMMYFUNCTION("""COMPUTED_VALUE"""),"Negro Satinado")</f>
        <v>Negro Satinado</v>
      </c>
      <c r="AM1074" s="97" t="str">
        <f>IFERROR(__xludf.DUMMYFUNCTION("""COMPUTED_VALUE"""),"-")</f>
        <v>-</v>
      </c>
      <c r="AN1074" s="97" t="str">
        <f>IFERROR(__xludf.DUMMYFUNCTION("""COMPUTED_VALUE"""),"40.000hs (L70)")</f>
        <v>40.000hs (L70)</v>
      </c>
      <c r="AO1074" s="97" t="str">
        <f>IFERROR(__xludf.DUMMYFUNCTION("""COMPUTED_VALUE"""),"4 Años")</f>
        <v>4 Años</v>
      </c>
      <c r="AP1074" s="97" t="str">
        <f>IFERROR(__xludf.DUMMYFUNCTION("""COMPUTED_VALUE"""),"Disponible")</f>
        <v>Disponible</v>
      </c>
      <c r="AQ1074" s="97" t="str">
        <f>IFERROR(__xludf.DUMMYFUNCTION("""COMPUTED_VALUE"""),"Disponible")</f>
        <v>Disponible</v>
      </c>
      <c r="AR1074" s="97" t="str">
        <f>IFERROR(__xludf.DUMMYFUNCTION("""COMPUTED_VALUE"""),"Disponible")</f>
        <v>Disponible</v>
      </c>
      <c r="AS1074" s="97"/>
      <c r="AT1074" s="97"/>
      <c r="AU1074" s="97" t="str">
        <f>IFERROR(__xludf.DUMMYFUNCTION("""COMPUTED_VALUE"""),"Falta")</f>
        <v>Falta</v>
      </c>
      <c r="AV1074" s="97" t="str">
        <f>IFERROR(__xludf.DUMMYFUNCTION("""COMPUTED_VALUE"""),"Barral LED")</f>
        <v>Barral LED</v>
      </c>
      <c r="AW1074" s="97" t="str">
        <f>IFERROR(__xludf.DUMMYFUNCTION("""COMPUTED_VALUE"""),"Rieles")</f>
        <v>Rieles</v>
      </c>
      <c r="AX1074" s="97" t="str">
        <f>IFERROR(__xludf.DUMMYFUNCTION("""COMPUTED_VALUE"""),"Interior")</f>
        <v>Interior</v>
      </c>
      <c r="AY1074" s="97" t="str">
        <f>IFERROR(__xludf.DUMMYFUNCTION("""COMPUTED_VALUE"""),"-")</f>
        <v>-</v>
      </c>
      <c r="AZ1074" s="97"/>
      <c r="BA1074" s="97"/>
      <c r="BB1074" s="97" t="str">
        <f>IFERROR(__xludf.DUMMYFUNCTION("""COMPUTED_VALUE"""),"-")</f>
        <v>-</v>
      </c>
      <c r="BC1074" s="97" t="str">
        <f>IFERROR(__xludf.DUMMYFUNCTION("""COMPUTED_VALUE"""),"-")</f>
        <v>-</v>
      </c>
      <c r="BD1074" s="97" t="str">
        <f>IFERROR(__xludf.DUMMYFUNCTION("""COMPUTED_VALUE"""),"HOKA 3EF")</f>
        <v>HOKA 3EF</v>
      </c>
      <c r="BE1074" s="97" t="str">
        <f>IFERROR(__xludf.DUMMYFUNCTION("""COMPUTED_VALUE"""),"Finalizada")</f>
        <v>Finalizada</v>
      </c>
      <c r="BF1074" s="97"/>
      <c r="BG1074" s="97" t="str">
        <f>IFERROR(__xludf.DUMMYFUNCTION("""COMPUTED_VALUE"""),"Activo")</f>
        <v>Activo</v>
      </c>
    </row>
    <row r="1075">
      <c r="A1075" s="97">
        <f>IFERROR(__xludf.DUMMYFUNCTION("""COMPUTED_VALUE"""),6861.0)</f>
        <v>6861</v>
      </c>
      <c r="B1075" s="97" t="str">
        <f>IFERROR(__xludf.DUMMYFUNCTION("""COMPUTED_VALUE"""),"GLENDA BL 10W")</f>
        <v>GLENDA BL 10W</v>
      </c>
      <c r="C1075" s="97" t="str">
        <f>IFERROR(__xludf.DUMMYFUNCTION("""COMPUTED_VALUE"""),"APLIQUE DE PARED GLENDA BLANCO 10W LEUK")</f>
        <v>APLIQUE DE PARED GLENDA BLANCO 10W LEUK</v>
      </c>
      <c r="D1075" s="97">
        <f>IFERROR(__xludf.DUMMYFUNCTION("""COMPUTED_VALUE"""),7.79841322502E12)</f>
        <v>7798413225020</v>
      </c>
      <c r="E1075" s="97" t="str">
        <f>IFERROR(__xludf.DUMMYFUNCTION("""COMPUTED_VALUE"""),"F64")</f>
        <v>F64</v>
      </c>
      <c r="F1075" s="97" t="str">
        <f>IFERROR(__xludf.DUMMYFUNCTION("""COMPUTED_VALUE"""),"LED integrado")</f>
        <v>LED integrado</v>
      </c>
      <c r="G1075" s="97" t="str">
        <f>IFERROR(__xludf.DUMMYFUNCTION("""COMPUTED_VALUE"""),"-")</f>
        <v>-</v>
      </c>
      <c r="H1075" s="97" t="str">
        <f>IFERROR(__xludf.DUMMYFUNCTION("""COMPUTED_VALUE"""),"-")</f>
        <v>-</v>
      </c>
      <c r="I1075" s="97" t="str">
        <f>IFERROR(__xludf.DUMMYFUNCTION("""COMPUTED_VALUE"""),"-")</f>
        <v>-</v>
      </c>
      <c r="J1075" s="97"/>
      <c r="K1075" s="97"/>
      <c r="L1075" s="97" t="str">
        <f>IFERROR(__xludf.DUMMYFUNCTION("""COMPUTED_VALUE"""),"200-240")</f>
        <v>200-240</v>
      </c>
      <c r="M1075" s="97" t="str">
        <f>IFERROR(__xludf.DUMMYFUNCTION("""COMPUTED_VALUE"""),"50/60")</f>
        <v>50/60</v>
      </c>
      <c r="N1075" s="97"/>
      <c r="O1075" s="97">
        <f>IFERROR(__xludf.DUMMYFUNCTION("""COMPUTED_VALUE"""),10.0)</f>
        <v>10</v>
      </c>
      <c r="P1075" s="97"/>
      <c r="Q1075" s="97"/>
      <c r="R1075" s="97" t="str">
        <f>IFERROR(__xludf.DUMMYFUNCTION("""COMPUTED_VALUE"""),"-")</f>
        <v>-</v>
      </c>
      <c r="S1075" s="97" t="str">
        <f>IFERROR(__xludf.DUMMYFUNCTION("""COMPUTED_VALUE"""),"-")</f>
        <v>-</v>
      </c>
      <c r="T1075" s="97" t="str">
        <f>IFERROR(__xludf.DUMMYFUNCTION("""COMPUTED_VALUE"""),"-")</f>
        <v>-</v>
      </c>
      <c r="U1075" s="97" t="str">
        <f>IFERROR(__xludf.DUMMYFUNCTION("""COMPUTED_VALUE"""),"-")</f>
        <v>-</v>
      </c>
      <c r="V1075" s="97" t="str">
        <f>IFERROR(__xludf.DUMMYFUNCTION("""COMPUTED_VALUE"""),"-")</f>
        <v>-</v>
      </c>
      <c r="W1075" s="97" t="str">
        <f>IFERROR(__xludf.DUMMYFUNCTION("""COMPUTED_VALUE"""),"-")</f>
        <v>-</v>
      </c>
      <c r="X1075" s="97" t="str">
        <f>IFERROR(__xludf.DUMMYFUNCTION("""COMPUTED_VALUE"""),"-")</f>
        <v>-</v>
      </c>
      <c r="Y1075" s="97" t="str">
        <f>IFERROR(__xludf.DUMMYFUNCTION("""COMPUTED_VALUE"""),"-")</f>
        <v>-</v>
      </c>
      <c r="Z1075" s="97" t="str">
        <f>IFERROR(__xludf.DUMMYFUNCTION("""COMPUTED_VALUE"""),"-")</f>
        <v>-</v>
      </c>
      <c r="AA1075" s="97" t="str">
        <f>IFERROR(__xludf.DUMMYFUNCTION("""COMPUTED_VALUE"""),"-")</f>
        <v>-</v>
      </c>
      <c r="AB1075" s="97" t="str">
        <f>IFERROR(__xludf.DUMMYFUNCTION("""COMPUTED_VALUE"""),"-")</f>
        <v>-</v>
      </c>
      <c r="AC1075" s="97"/>
      <c r="AD1075" s="97" t="str">
        <f>IFERROR(__xludf.DUMMYFUNCTION("""COMPUTED_VALUE"""),"IP20")</f>
        <v>IP20</v>
      </c>
      <c r="AE1075" s="97" t="str">
        <f>IFERROR(__xludf.DUMMYFUNCTION("""COMPUTED_VALUE"""),"Clase l")</f>
        <v>Clase l</v>
      </c>
      <c r="AF1075" s="97" t="str">
        <f>IFERROR(__xludf.DUMMYFUNCTION("""COMPUTED_VALUE"""),"Aplicar")</f>
        <v>Aplicar</v>
      </c>
      <c r="AG1075" s="97" t="str">
        <f>IFERROR(__xludf.DUMMYFUNCTION("""COMPUTED_VALUE"""),"Ø60 x 610")</f>
        <v>Ø60 x 610</v>
      </c>
      <c r="AH1075" s="97" t="str">
        <f>IFERROR(__xludf.DUMMYFUNCTION("""COMPUTED_VALUE"""),"N/A")</f>
        <v>N/A</v>
      </c>
      <c r="AI1075" s="97" t="str">
        <f>IFERROR(__xludf.DUMMYFUNCTION("""COMPUTED_VALUE"""),"N/A")</f>
        <v>N/A</v>
      </c>
      <c r="AJ1075" s="97" t="str">
        <f>IFERROR(__xludf.DUMMYFUNCTION("""COMPUTED_VALUE"""),"PVC")</f>
        <v>PVC</v>
      </c>
      <c r="AK1075" s="97"/>
      <c r="AL1075" s="97" t="str">
        <f>IFERROR(__xludf.DUMMYFUNCTION("""COMPUTED_VALUE"""),"Blanco Mate")</f>
        <v>Blanco Mate</v>
      </c>
      <c r="AM1075" s="97" t="str">
        <f>IFERROR(__xludf.DUMMYFUNCTION("""COMPUTED_VALUE"""),"-")</f>
        <v>-</v>
      </c>
      <c r="AN1075" s="97" t="str">
        <f>IFERROR(__xludf.DUMMYFUNCTION("""COMPUTED_VALUE"""),"-")</f>
        <v>-</v>
      </c>
      <c r="AO1075" s="97" t="str">
        <f>IFERROR(__xludf.DUMMYFUNCTION("""COMPUTED_VALUE"""),"1 Año")</f>
        <v>1 Año</v>
      </c>
      <c r="AP1075" s="97" t="str">
        <f>IFERROR(__xludf.DUMMYFUNCTION("""COMPUTED_VALUE"""),"No Aplica")</f>
        <v>No Aplica</v>
      </c>
      <c r="AQ1075" s="97" t="str">
        <f>IFERROR(__xludf.DUMMYFUNCTION("""COMPUTED_VALUE"""),"No Aplica")</f>
        <v>No Aplica</v>
      </c>
      <c r="AR1075" s="97" t="str">
        <f>IFERROR(__xludf.DUMMYFUNCTION("""COMPUTED_VALUE"""),"No Aplica")</f>
        <v>No Aplica</v>
      </c>
      <c r="AS1075" s="97"/>
      <c r="AT1075" s="97"/>
      <c r="AU1075" s="97" t="str">
        <f>IFERROR(__xludf.DUMMYFUNCTION("""COMPUTED_VALUE"""),"No Aplica")</f>
        <v>No Aplica</v>
      </c>
      <c r="AV1075" s="97" t="str">
        <f>IFERROR(__xludf.DUMMYFUNCTION("""COMPUTED_VALUE"""),"MDD")</f>
        <v>MDD</v>
      </c>
      <c r="AW1075" s="97" t="str">
        <f>IFERROR(__xludf.DUMMYFUNCTION("""COMPUTED_VALUE"""),"MDD")</f>
        <v>MDD</v>
      </c>
      <c r="AX1075" s="97" t="str">
        <f>IFERROR(__xludf.DUMMYFUNCTION("""COMPUTED_VALUE"""),"MDD")</f>
        <v>MDD</v>
      </c>
      <c r="AY1075" s="97"/>
      <c r="AZ1075" s="97"/>
      <c r="BA1075" s="97" t="str">
        <f>IFERROR(__xludf.DUMMYFUNCTION("""COMPUTED_VALUE"""),"-")</f>
        <v>-</v>
      </c>
      <c r="BB1075" s="97" t="str">
        <f>IFERROR(__xludf.DUMMYFUNCTION("""COMPUTED_VALUE"""),"-")</f>
        <v>-</v>
      </c>
      <c r="BC1075" s="97" t="str">
        <f>IFERROR(__xludf.DUMMYFUNCTION("""COMPUTED_VALUE"""),"-")</f>
        <v>-</v>
      </c>
      <c r="BD1075" s="97" t="str">
        <f>IFERROR(__xludf.DUMMYFUNCTION("""COMPUTED_VALUE"""),"GLENDA")</f>
        <v>GLENDA</v>
      </c>
      <c r="BE1075" s="97" t="str">
        <f>IFERROR(__xludf.DUMMYFUNCTION("""COMPUTED_VALUE"""),"Sin Ficha")</f>
        <v>Sin Ficha</v>
      </c>
      <c r="BF1075" s="97"/>
      <c r="BG1075" s="97" t="str">
        <f>IFERROR(__xludf.DUMMYFUNCTION("""COMPUTED_VALUE"""),"Discontinuo")</f>
        <v>Discontinuo</v>
      </c>
    </row>
    <row r="1076">
      <c r="A1076" s="97">
        <f>IFERROR(__xludf.DUMMYFUNCTION("""COMPUTED_VALUE"""),6862.0)</f>
        <v>6862</v>
      </c>
      <c r="B1076" s="97" t="str">
        <f>IFERROR(__xludf.DUMMYFUNCTION("""COMPUTED_VALUE"""),"GLENDA NG 10W")</f>
        <v>GLENDA NG 10W</v>
      </c>
      <c r="C1076" s="97" t="str">
        <f>IFERROR(__xludf.DUMMYFUNCTION("""COMPUTED_VALUE"""),"APLIQUE DE PARED GLENDA NEGRO 10W LEUK")</f>
        <v>APLIQUE DE PARED GLENDA NEGRO 10W LEUK</v>
      </c>
      <c r="D1076" s="97">
        <f>IFERROR(__xludf.DUMMYFUNCTION("""COMPUTED_VALUE"""),7.798413225013E12)</f>
        <v>7798413225013</v>
      </c>
      <c r="E1076" s="97" t="str">
        <f>IFERROR(__xludf.DUMMYFUNCTION("""COMPUTED_VALUE"""),"F64")</f>
        <v>F64</v>
      </c>
      <c r="F1076" s="97" t="str">
        <f>IFERROR(__xludf.DUMMYFUNCTION("""COMPUTED_VALUE"""),"LED integrado")</f>
        <v>LED integrado</v>
      </c>
      <c r="G1076" s="97" t="str">
        <f>IFERROR(__xludf.DUMMYFUNCTION("""COMPUTED_VALUE"""),"-")</f>
        <v>-</v>
      </c>
      <c r="H1076" s="97" t="str">
        <f>IFERROR(__xludf.DUMMYFUNCTION("""COMPUTED_VALUE"""),"-")</f>
        <v>-</v>
      </c>
      <c r="I1076" s="97" t="str">
        <f>IFERROR(__xludf.DUMMYFUNCTION("""COMPUTED_VALUE"""),"-")</f>
        <v>-</v>
      </c>
      <c r="J1076" s="97"/>
      <c r="K1076" s="97"/>
      <c r="L1076" s="97" t="str">
        <f>IFERROR(__xludf.DUMMYFUNCTION("""COMPUTED_VALUE"""),"200-240")</f>
        <v>200-240</v>
      </c>
      <c r="M1076" s="97" t="str">
        <f>IFERROR(__xludf.DUMMYFUNCTION("""COMPUTED_VALUE"""),"50/60")</f>
        <v>50/60</v>
      </c>
      <c r="N1076" s="97"/>
      <c r="O1076" s="97">
        <f>IFERROR(__xludf.DUMMYFUNCTION("""COMPUTED_VALUE"""),10.0)</f>
        <v>10</v>
      </c>
      <c r="P1076" s="97"/>
      <c r="Q1076" s="97"/>
      <c r="R1076" s="97" t="str">
        <f>IFERROR(__xludf.DUMMYFUNCTION("""COMPUTED_VALUE"""),"-")</f>
        <v>-</v>
      </c>
      <c r="S1076" s="97" t="str">
        <f>IFERROR(__xludf.DUMMYFUNCTION("""COMPUTED_VALUE"""),"-")</f>
        <v>-</v>
      </c>
      <c r="T1076" s="97" t="str">
        <f>IFERROR(__xludf.DUMMYFUNCTION("""COMPUTED_VALUE"""),"-")</f>
        <v>-</v>
      </c>
      <c r="U1076" s="97" t="str">
        <f>IFERROR(__xludf.DUMMYFUNCTION("""COMPUTED_VALUE"""),"-")</f>
        <v>-</v>
      </c>
      <c r="V1076" s="97" t="str">
        <f>IFERROR(__xludf.DUMMYFUNCTION("""COMPUTED_VALUE"""),"-")</f>
        <v>-</v>
      </c>
      <c r="W1076" s="97" t="str">
        <f>IFERROR(__xludf.DUMMYFUNCTION("""COMPUTED_VALUE"""),"-")</f>
        <v>-</v>
      </c>
      <c r="X1076" s="97" t="str">
        <f>IFERROR(__xludf.DUMMYFUNCTION("""COMPUTED_VALUE"""),"-")</f>
        <v>-</v>
      </c>
      <c r="Y1076" s="97" t="str">
        <f>IFERROR(__xludf.DUMMYFUNCTION("""COMPUTED_VALUE"""),"-")</f>
        <v>-</v>
      </c>
      <c r="Z1076" s="97" t="str">
        <f>IFERROR(__xludf.DUMMYFUNCTION("""COMPUTED_VALUE"""),"-")</f>
        <v>-</v>
      </c>
      <c r="AA1076" s="97" t="str">
        <f>IFERROR(__xludf.DUMMYFUNCTION("""COMPUTED_VALUE"""),"-")</f>
        <v>-</v>
      </c>
      <c r="AB1076" s="97" t="str">
        <f>IFERROR(__xludf.DUMMYFUNCTION("""COMPUTED_VALUE"""),"-")</f>
        <v>-</v>
      </c>
      <c r="AC1076" s="97"/>
      <c r="AD1076" s="97" t="str">
        <f>IFERROR(__xludf.DUMMYFUNCTION("""COMPUTED_VALUE"""),"IP20")</f>
        <v>IP20</v>
      </c>
      <c r="AE1076" s="97" t="str">
        <f>IFERROR(__xludf.DUMMYFUNCTION("""COMPUTED_VALUE"""),"Clase l")</f>
        <v>Clase l</v>
      </c>
      <c r="AF1076" s="97" t="str">
        <f>IFERROR(__xludf.DUMMYFUNCTION("""COMPUTED_VALUE"""),"Aplicar")</f>
        <v>Aplicar</v>
      </c>
      <c r="AG1076" s="97" t="str">
        <f>IFERROR(__xludf.DUMMYFUNCTION("""COMPUTED_VALUE"""),"Ø60 x 610")</f>
        <v>Ø60 x 610</v>
      </c>
      <c r="AH1076" s="97" t="str">
        <f>IFERROR(__xludf.DUMMYFUNCTION("""COMPUTED_VALUE"""),"N/A")</f>
        <v>N/A</v>
      </c>
      <c r="AI1076" s="97" t="str">
        <f>IFERROR(__xludf.DUMMYFUNCTION("""COMPUTED_VALUE"""),"N/A")</f>
        <v>N/A</v>
      </c>
      <c r="AJ1076" s="97" t="str">
        <f>IFERROR(__xludf.DUMMYFUNCTION("""COMPUTED_VALUE"""),"PVC")</f>
        <v>PVC</v>
      </c>
      <c r="AK1076" s="97"/>
      <c r="AL1076" s="97" t="str">
        <f>IFERROR(__xludf.DUMMYFUNCTION("""COMPUTED_VALUE"""),"Negro Mate")</f>
        <v>Negro Mate</v>
      </c>
      <c r="AM1076" s="97" t="str">
        <f>IFERROR(__xludf.DUMMYFUNCTION("""COMPUTED_VALUE"""),"-")</f>
        <v>-</v>
      </c>
      <c r="AN1076" s="97" t="str">
        <f>IFERROR(__xludf.DUMMYFUNCTION("""COMPUTED_VALUE"""),"-")</f>
        <v>-</v>
      </c>
      <c r="AO1076" s="97" t="str">
        <f>IFERROR(__xludf.DUMMYFUNCTION("""COMPUTED_VALUE"""),"1 Año")</f>
        <v>1 Año</v>
      </c>
      <c r="AP1076" s="97" t="str">
        <f>IFERROR(__xludf.DUMMYFUNCTION("""COMPUTED_VALUE"""),"No Aplica")</f>
        <v>No Aplica</v>
      </c>
      <c r="AQ1076" s="97" t="str">
        <f>IFERROR(__xludf.DUMMYFUNCTION("""COMPUTED_VALUE"""),"No Aplica")</f>
        <v>No Aplica</v>
      </c>
      <c r="AR1076" s="97" t="str">
        <f>IFERROR(__xludf.DUMMYFUNCTION("""COMPUTED_VALUE"""),"No Aplica")</f>
        <v>No Aplica</v>
      </c>
      <c r="AS1076" s="97"/>
      <c r="AT1076" s="97"/>
      <c r="AU1076" s="97" t="str">
        <f>IFERROR(__xludf.DUMMYFUNCTION("""COMPUTED_VALUE"""),"No Aplica")</f>
        <v>No Aplica</v>
      </c>
      <c r="AV1076" s="97" t="str">
        <f>IFERROR(__xludf.DUMMYFUNCTION("""COMPUTED_VALUE"""),"MDD")</f>
        <v>MDD</v>
      </c>
      <c r="AW1076" s="97" t="str">
        <f>IFERROR(__xludf.DUMMYFUNCTION("""COMPUTED_VALUE"""),"MDD")</f>
        <v>MDD</v>
      </c>
      <c r="AX1076" s="97" t="str">
        <f>IFERROR(__xludf.DUMMYFUNCTION("""COMPUTED_VALUE"""),"MDD")</f>
        <v>MDD</v>
      </c>
      <c r="AY1076" s="97"/>
      <c r="AZ1076" s="97"/>
      <c r="BA1076" s="97" t="str">
        <f>IFERROR(__xludf.DUMMYFUNCTION("""COMPUTED_VALUE"""),"-")</f>
        <v>-</v>
      </c>
      <c r="BB1076" s="97" t="str">
        <f>IFERROR(__xludf.DUMMYFUNCTION("""COMPUTED_VALUE"""),"-")</f>
        <v>-</v>
      </c>
      <c r="BC1076" s="97" t="str">
        <f>IFERROR(__xludf.DUMMYFUNCTION("""COMPUTED_VALUE"""),"-")</f>
        <v>-</v>
      </c>
      <c r="BD1076" s="97" t="str">
        <f>IFERROR(__xludf.DUMMYFUNCTION("""COMPUTED_VALUE"""),"GLENDA")</f>
        <v>GLENDA</v>
      </c>
      <c r="BE1076" s="97" t="str">
        <f>IFERROR(__xludf.DUMMYFUNCTION("""COMPUTED_VALUE"""),"Sin Ficha")</f>
        <v>Sin Ficha</v>
      </c>
      <c r="BF1076" s="97"/>
      <c r="BG1076" s="97" t="str">
        <f>IFERROR(__xludf.DUMMYFUNCTION("""COMPUTED_VALUE"""),"Discontinuo")</f>
        <v>Discontinuo</v>
      </c>
    </row>
    <row r="1077">
      <c r="A1077" s="97">
        <f>IFERROR(__xludf.DUMMYFUNCTION("""COMPUTED_VALUE"""),6863.0)</f>
        <v>6863</v>
      </c>
      <c r="B1077" s="97" t="str">
        <f>IFERROR(__xludf.DUMMYFUNCTION("""COMPUTED_VALUE"""),"AINARA 36W")</f>
        <v>AINARA 36W</v>
      </c>
      <c r="C1077" s="97" t="str">
        <f>IFERROR(__xludf.DUMMYFUNCTION("""COMPUTED_VALUE"""),"COLGANTE AINARA 36W LEUK")</f>
        <v>COLGANTE AINARA 36W LEUK</v>
      </c>
      <c r="D1077" s="97">
        <f>IFERROR(__xludf.DUMMYFUNCTION("""COMPUTED_VALUE"""),7.798413225037E12)</f>
        <v>7798413225037</v>
      </c>
      <c r="E1077" s="97" t="str">
        <f>IFERROR(__xludf.DUMMYFUNCTION("""COMPUTED_VALUE"""),"A115")</f>
        <v>A115</v>
      </c>
      <c r="F1077" s="97" t="str">
        <f>IFERROR(__xludf.DUMMYFUNCTION("""COMPUTED_VALUE"""),"LED integrado")</f>
        <v>LED integrado</v>
      </c>
      <c r="G1077" s="97" t="str">
        <f>IFERROR(__xludf.DUMMYFUNCTION("""COMPUTED_VALUE"""),"-")</f>
        <v>-</v>
      </c>
      <c r="H1077" s="97" t="str">
        <f>IFERROR(__xludf.DUMMYFUNCTION("""COMPUTED_VALUE"""),"-")</f>
        <v>-</v>
      </c>
      <c r="I1077" s="97" t="str">
        <f>IFERROR(__xludf.DUMMYFUNCTION("""COMPUTED_VALUE"""),"-")</f>
        <v>-</v>
      </c>
      <c r="J1077" s="97"/>
      <c r="K1077" s="97"/>
      <c r="L1077" s="97" t="str">
        <f>IFERROR(__xludf.DUMMYFUNCTION("""COMPUTED_VALUE"""),"200-240")</f>
        <v>200-240</v>
      </c>
      <c r="M1077" s="97" t="str">
        <f>IFERROR(__xludf.DUMMYFUNCTION("""COMPUTED_VALUE"""),"50/60")</f>
        <v>50/60</v>
      </c>
      <c r="N1077" s="97"/>
      <c r="O1077" s="97">
        <f>IFERROR(__xludf.DUMMYFUNCTION("""COMPUTED_VALUE"""),36.0)</f>
        <v>36</v>
      </c>
      <c r="P1077" s="97"/>
      <c r="Q1077" s="97"/>
      <c r="R1077" s="97" t="str">
        <f>IFERROR(__xludf.DUMMYFUNCTION("""COMPUTED_VALUE"""),"-")</f>
        <v>-</v>
      </c>
      <c r="S1077" s="97" t="str">
        <f>IFERROR(__xludf.DUMMYFUNCTION("""COMPUTED_VALUE"""),"-")</f>
        <v>-</v>
      </c>
      <c r="T1077" s="97" t="str">
        <f>IFERROR(__xludf.DUMMYFUNCTION("""COMPUTED_VALUE"""),"-")</f>
        <v>-</v>
      </c>
      <c r="U1077" s="97" t="str">
        <f>IFERROR(__xludf.DUMMYFUNCTION("""COMPUTED_VALUE"""),"-")</f>
        <v>-</v>
      </c>
      <c r="V1077" s="97" t="str">
        <f>IFERROR(__xludf.DUMMYFUNCTION("""COMPUTED_VALUE"""),"-")</f>
        <v>-</v>
      </c>
      <c r="W1077" s="97" t="str">
        <f>IFERROR(__xludf.DUMMYFUNCTION("""COMPUTED_VALUE"""),"-")</f>
        <v>-</v>
      </c>
      <c r="X1077" s="97" t="str">
        <f>IFERROR(__xludf.DUMMYFUNCTION("""COMPUTED_VALUE"""),"-")</f>
        <v>-</v>
      </c>
      <c r="Y1077" s="97" t="str">
        <f>IFERROR(__xludf.DUMMYFUNCTION("""COMPUTED_VALUE"""),"-")</f>
        <v>-</v>
      </c>
      <c r="Z1077" s="97" t="str">
        <f>IFERROR(__xludf.DUMMYFUNCTION("""COMPUTED_VALUE"""),"-")</f>
        <v>-</v>
      </c>
      <c r="AA1077" s="97" t="str">
        <f>IFERROR(__xludf.DUMMYFUNCTION("""COMPUTED_VALUE"""),"-")</f>
        <v>-</v>
      </c>
      <c r="AB1077" s="97" t="str">
        <f>IFERROR(__xludf.DUMMYFUNCTION("""COMPUTED_VALUE"""),"-")</f>
        <v>-</v>
      </c>
      <c r="AC1077" s="97"/>
      <c r="AD1077" s="97" t="str">
        <f>IFERROR(__xludf.DUMMYFUNCTION("""COMPUTED_VALUE"""),"IP20")</f>
        <v>IP20</v>
      </c>
      <c r="AE1077" s="97" t="str">
        <f>IFERROR(__xludf.DUMMYFUNCTION("""COMPUTED_VALUE"""),"Clase l")</f>
        <v>Clase l</v>
      </c>
      <c r="AF1077" s="97" t="str">
        <f>IFERROR(__xludf.DUMMYFUNCTION("""COMPUTED_VALUE"""),"Suspender")</f>
        <v>Suspender</v>
      </c>
      <c r="AG1077" s="97" t="str">
        <f>IFERROR(__xludf.DUMMYFUNCTION("""COMPUTED_VALUE"""),"1110 x 310 x 1500")</f>
        <v>1110 x 310 x 1500</v>
      </c>
      <c r="AH1077" s="97" t="str">
        <f>IFERROR(__xludf.DUMMYFUNCTION("""COMPUTED_VALUE"""),"N/A")</f>
        <v>N/A</v>
      </c>
      <c r="AI1077" s="97" t="str">
        <f>IFERROR(__xludf.DUMMYFUNCTION("""COMPUTED_VALUE"""),"N/A")</f>
        <v>N/A</v>
      </c>
      <c r="AJ1077" s="97" t="str">
        <f>IFERROR(__xludf.DUMMYFUNCTION("""COMPUTED_VALUE"""),"PVC")</f>
        <v>PVC</v>
      </c>
      <c r="AK1077" s="97"/>
      <c r="AL1077" s="97" t="str">
        <f>IFERROR(__xludf.DUMMYFUNCTION("""COMPUTED_VALUE"""),"Negro Satinado")</f>
        <v>Negro Satinado</v>
      </c>
      <c r="AM1077" s="97" t="str">
        <f>IFERROR(__xludf.DUMMYFUNCTION("""COMPUTED_VALUE"""),"-")</f>
        <v>-</v>
      </c>
      <c r="AN1077" s="97" t="str">
        <f>IFERROR(__xludf.DUMMYFUNCTION("""COMPUTED_VALUE"""),"-")</f>
        <v>-</v>
      </c>
      <c r="AO1077" s="97" t="str">
        <f>IFERROR(__xludf.DUMMYFUNCTION("""COMPUTED_VALUE"""),"1 Año")</f>
        <v>1 Año</v>
      </c>
      <c r="AP1077" s="97" t="str">
        <f>IFERROR(__xludf.DUMMYFUNCTION("""COMPUTED_VALUE"""),"No Aplica")</f>
        <v>No Aplica</v>
      </c>
      <c r="AQ1077" s="97" t="str">
        <f>IFERROR(__xludf.DUMMYFUNCTION("""COMPUTED_VALUE"""),"No Aplica")</f>
        <v>No Aplica</v>
      </c>
      <c r="AR1077" s="97" t="str">
        <f>IFERROR(__xludf.DUMMYFUNCTION("""COMPUTED_VALUE"""),"No Aplica")</f>
        <v>No Aplica</v>
      </c>
      <c r="AS1077" s="97"/>
      <c r="AT1077" s="97"/>
      <c r="AU1077" s="97" t="str">
        <f>IFERROR(__xludf.DUMMYFUNCTION("""COMPUTED_VALUE"""),"No Aplica")</f>
        <v>No Aplica</v>
      </c>
      <c r="AV1077" s="97" t="str">
        <f>IFERROR(__xludf.DUMMYFUNCTION("""COMPUTED_VALUE"""),"MDD")</f>
        <v>MDD</v>
      </c>
      <c r="AW1077" s="97" t="str">
        <f>IFERROR(__xludf.DUMMYFUNCTION("""COMPUTED_VALUE"""),"MDD")</f>
        <v>MDD</v>
      </c>
      <c r="AX1077" s="97" t="str">
        <f>IFERROR(__xludf.DUMMYFUNCTION("""COMPUTED_VALUE"""),"MDD")</f>
        <v>MDD</v>
      </c>
      <c r="AY1077" s="97"/>
      <c r="AZ1077" s="97"/>
      <c r="BA1077" s="97" t="str">
        <f>IFERROR(__xludf.DUMMYFUNCTION("""COMPUTED_VALUE"""),"-")</f>
        <v>-</v>
      </c>
      <c r="BB1077" s="97" t="str">
        <f>IFERROR(__xludf.DUMMYFUNCTION("""COMPUTED_VALUE"""),"-")</f>
        <v>-</v>
      </c>
      <c r="BC1077" s="97" t="str">
        <f>IFERROR(__xludf.DUMMYFUNCTION("""COMPUTED_VALUE"""),"-")</f>
        <v>-</v>
      </c>
      <c r="BD1077" s="97" t="str">
        <f>IFERROR(__xludf.DUMMYFUNCTION("""COMPUTED_VALUE"""),"AINARA")</f>
        <v>AINARA</v>
      </c>
      <c r="BE1077" s="97" t="str">
        <f>IFERROR(__xludf.DUMMYFUNCTION("""COMPUTED_VALUE"""),"Sin Ficha")</f>
        <v>Sin Ficha</v>
      </c>
      <c r="BF1077" s="97"/>
      <c r="BG1077" s="97" t="str">
        <f>IFERROR(__xludf.DUMMYFUNCTION("""COMPUTED_VALUE"""),"Discontinuo")</f>
        <v>Discontinuo</v>
      </c>
    </row>
    <row r="1078">
      <c r="A1078" s="97">
        <f>IFERROR(__xludf.DUMMYFUNCTION("""COMPUTED_VALUE"""),6864.0)</f>
        <v>6864</v>
      </c>
      <c r="B1078" s="97" t="str">
        <f>IFERROR(__xludf.DUMMYFUNCTION("""COMPUTED_VALUE"""),"ZAMORA R 55W")</f>
        <v>ZAMORA R 55W</v>
      </c>
      <c r="C1078" s="97" t="str">
        <f>IFERROR(__xludf.DUMMYFUNCTION("""COMPUTED_VALUE"""),"ZAMORA REDONDO 55W LEUK")</f>
        <v>ZAMORA REDONDO 55W LEUK</v>
      </c>
      <c r="D1078" s="97">
        <f>IFERROR(__xludf.DUMMYFUNCTION("""COMPUTED_VALUE"""),7.798413224719E12)</f>
        <v>7798413224719</v>
      </c>
      <c r="E1078" s="97" t="str">
        <f>IFERROR(__xludf.DUMMYFUNCTION("""COMPUTED_VALUE"""),"F14")</f>
        <v>F14</v>
      </c>
      <c r="F1078" s="97" t="str">
        <f>IFERROR(__xludf.DUMMYFUNCTION("""COMPUTED_VALUE"""),"LED integrado")</f>
        <v>LED integrado</v>
      </c>
      <c r="G1078" s="97" t="str">
        <f>IFERROR(__xludf.DUMMYFUNCTION("""COMPUTED_VALUE"""),"-")</f>
        <v>-</v>
      </c>
      <c r="H1078" s="97" t="str">
        <f>IFERROR(__xludf.DUMMYFUNCTION("""COMPUTED_VALUE"""),"-")</f>
        <v>-</v>
      </c>
      <c r="I1078" s="97" t="str">
        <f>IFERROR(__xludf.DUMMYFUNCTION("""COMPUTED_VALUE"""),"-")</f>
        <v>-</v>
      </c>
      <c r="J1078" s="97"/>
      <c r="K1078" s="97"/>
      <c r="L1078" s="97" t="str">
        <f>IFERROR(__xludf.DUMMYFUNCTION("""COMPUTED_VALUE"""),"200-240")</f>
        <v>200-240</v>
      </c>
      <c r="M1078" s="97" t="str">
        <f>IFERROR(__xludf.DUMMYFUNCTION("""COMPUTED_VALUE"""),"50/60")</f>
        <v>50/60</v>
      </c>
      <c r="N1078" s="97"/>
      <c r="O1078" s="97">
        <f>IFERROR(__xludf.DUMMYFUNCTION("""COMPUTED_VALUE"""),55.0)</f>
        <v>55</v>
      </c>
      <c r="P1078" s="97"/>
      <c r="Q1078" s="97"/>
      <c r="R1078" s="97" t="str">
        <f>IFERROR(__xludf.DUMMYFUNCTION("""COMPUTED_VALUE"""),"-")</f>
        <v>-</v>
      </c>
      <c r="S1078" s="97" t="str">
        <f>IFERROR(__xludf.DUMMYFUNCTION("""COMPUTED_VALUE"""),"-")</f>
        <v>-</v>
      </c>
      <c r="T1078" s="97" t="str">
        <f>IFERROR(__xludf.DUMMYFUNCTION("""COMPUTED_VALUE"""),"-")</f>
        <v>-</v>
      </c>
      <c r="U1078" s="97" t="str">
        <f>IFERROR(__xludf.DUMMYFUNCTION("""COMPUTED_VALUE"""),"-")</f>
        <v>-</v>
      </c>
      <c r="V1078" s="97" t="str">
        <f>IFERROR(__xludf.DUMMYFUNCTION("""COMPUTED_VALUE"""),"-")</f>
        <v>-</v>
      </c>
      <c r="W1078" s="97" t="str">
        <f>IFERROR(__xludf.DUMMYFUNCTION("""COMPUTED_VALUE"""),"-")</f>
        <v>-</v>
      </c>
      <c r="X1078" s="97" t="str">
        <f>IFERROR(__xludf.DUMMYFUNCTION("""COMPUTED_VALUE"""),"-")</f>
        <v>-</v>
      </c>
      <c r="Y1078" s="97" t="str">
        <f>IFERROR(__xludf.DUMMYFUNCTION("""COMPUTED_VALUE"""),"-")</f>
        <v>-</v>
      </c>
      <c r="Z1078" s="97" t="str">
        <f>IFERROR(__xludf.DUMMYFUNCTION("""COMPUTED_VALUE"""),"-")</f>
        <v>-</v>
      </c>
      <c r="AA1078" s="97" t="str">
        <f>IFERROR(__xludf.DUMMYFUNCTION("""COMPUTED_VALUE"""),"-")</f>
        <v>-</v>
      </c>
      <c r="AB1078" s="97" t="str">
        <f>IFERROR(__xludf.DUMMYFUNCTION("""COMPUTED_VALUE"""),"-")</f>
        <v>-</v>
      </c>
      <c r="AC1078" s="97"/>
      <c r="AD1078" s="97" t="str">
        <f>IFERROR(__xludf.DUMMYFUNCTION("""COMPUTED_VALUE"""),"IP20")</f>
        <v>IP20</v>
      </c>
      <c r="AE1078" s="97" t="str">
        <f>IFERROR(__xludf.DUMMYFUNCTION("""COMPUTED_VALUE"""),"Clase l")</f>
        <v>Clase l</v>
      </c>
      <c r="AF1078" s="97" t="str">
        <f>IFERROR(__xludf.DUMMYFUNCTION("""COMPUTED_VALUE"""),"Aplicar")</f>
        <v>Aplicar</v>
      </c>
      <c r="AG1078" s="97" t="str">
        <f>IFERROR(__xludf.DUMMYFUNCTION("""COMPUTED_VALUE"""),"Ø500 x 65")</f>
        <v>Ø500 x 65</v>
      </c>
      <c r="AH1078" s="97" t="str">
        <f>IFERROR(__xludf.DUMMYFUNCTION("""COMPUTED_VALUE"""),"N/A")</f>
        <v>N/A</v>
      </c>
      <c r="AI1078" s="97" t="str">
        <f>IFERROR(__xludf.DUMMYFUNCTION("""COMPUTED_VALUE"""),"N/A")</f>
        <v>N/A</v>
      </c>
      <c r="AJ1078" s="97" t="str">
        <f>IFERROR(__xludf.DUMMYFUNCTION("""COMPUTED_VALUE"""),"PMMA")</f>
        <v>PMMA</v>
      </c>
      <c r="AK1078" s="97"/>
      <c r="AL1078" s="97" t="str">
        <f>IFERROR(__xludf.DUMMYFUNCTION("""COMPUTED_VALUE"""),"Blanco y Negro")</f>
        <v>Blanco y Negro</v>
      </c>
      <c r="AM1078" s="97" t="str">
        <f>IFERROR(__xludf.DUMMYFUNCTION("""COMPUTED_VALUE"""),"-")</f>
        <v>-</v>
      </c>
      <c r="AN1078" s="97" t="str">
        <f>IFERROR(__xludf.DUMMYFUNCTION("""COMPUTED_VALUE"""),"-")</f>
        <v>-</v>
      </c>
      <c r="AO1078" s="97" t="str">
        <f>IFERROR(__xludf.DUMMYFUNCTION("""COMPUTED_VALUE"""),"1 Año")</f>
        <v>1 Año</v>
      </c>
      <c r="AP1078" s="97" t="str">
        <f>IFERROR(__xludf.DUMMYFUNCTION("""COMPUTED_VALUE"""),"No Aplica")</f>
        <v>No Aplica</v>
      </c>
      <c r="AQ1078" s="97" t="str">
        <f>IFERROR(__xludf.DUMMYFUNCTION("""COMPUTED_VALUE"""),"No Aplica")</f>
        <v>No Aplica</v>
      </c>
      <c r="AR1078" s="97" t="str">
        <f>IFERROR(__xludf.DUMMYFUNCTION("""COMPUTED_VALUE"""),"No Aplica")</f>
        <v>No Aplica</v>
      </c>
      <c r="AS1078" s="97"/>
      <c r="AT1078" s="97"/>
      <c r="AU1078" s="97" t="str">
        <f>IFERROR(__xludf.DUMMYFUNCTION("""COMPUTED_VALUE"""),"No Aplica")</f>
        <v>No Aplica</v>
      </c>
      <c r="AV1078" s="97" t="str">
        <f>IFERROR(__xludf.DUMMYFUNCTION("""COMPUTED_VALUE"""),"MDD")</f>
        <v>MDD</v>
      </c>
      <c r="AW1078" s="97" t="str">
        <f>IFERROR(__xludf.DUMMYFUNCTION("""COMPUTED_VALUE"""),"MDD")</f>
        <v>MDD</v>
      </c>
      <c r="AX1078" s="97" t="str">
        <f>IFERROR(__xludf.DUMMYFUNCTION("""COMPUTED_VALUE"""),"MDD")</f>
        <v>MDD</v>
      </c>
      <c r="AY1078" s="97"/>
      <c r="AZ1078" s="97"/>
      <c r="BA1078" s="97" t="str">
        <f>IFERROR(__xludf.DUMMYFUNCTION("""COMPUTED_VALUE"""),"-")</f>
        <v>-</v>
      </c>
      <c r="BB1078" s="97" t="str">
        <f>IFERROR(__xludf.DUMMYFUNCTION("""COMPUTED_VALUE"""),"-")</f>
        <v>-</v>
      </c>
      <c r="BC1078" s="97" t="str">
        <f>IFERROR(__xludf.DUMMYFUNCTION("""COMPUTED_VALUE"""),"-")</f>
        <v>-</v>
      </c>
      <c r="BD1078" s="97" t="str">
        <f>IFERROR(__xludf.DUMMYFUNCTION("""COMPUTED_VALUE"""),"ZAMORA")</f>
        <v>ZAMORA</v>
      </c>
      <c r="BE1078" s="97" t="str">
        <f>IFERROR(__xludf.DUMMYFUNCTION("""COMPUTED_VALUE"""),"Sin Ficha")</f>
        <v>Sin Ficha</v>
      </c>
      <c r="BF1078" s="97"/>
      <c r="BG1078" s="97" t="str">
        <f>IFERROR(__xludf.DUMMYFUNCTION("""COMPUTED_VALUE"""),"Discontinuo")</f>
        <v>Discontinuo</v>
      </c>
    </row>
    <row r="1079">
      <c r="A1079" s="97">
        <f>IFERROR(__xludf.DUMMYFUNCTION("""COMPUTED_VALUE"""),6865.0)</f>
        <v>6865</v>
      </c>
      <c r="B1079" s="97" t="str">
        <f>IFERROR(__xludf.DUMMYFUNCTION("""COMPUTED_VALUE"""),"ZAMORA C 65W")</f>
        <v>ZAMORA C 65W</v>
      </c>
      <c r="C1079" s="97" t="str">
        <f>IFERROR(__xludf.DUMMYFUNCTION("""COMPUTED_VALUE"""),"ZAMORA CUADRADO 65W LEUK")</f>
        <v>ZAMORA CUADRADO 65W LEUK</v>
      </c>
      <c r="D1079" s="97">
        <f>IFERROR(__xludf.DUMMYFUNCTION("""COMPUTED_VALUE"""),7.798413224726E12)</f>
        <v>7798413224726</v>
      </c>
      <c r="E1079" s="97" t="str">
        <f>IFERROR(__xludf.DUMMYFUNCTION("""COMPUTED_VALUE"""),"F03")</f>
        <v>F03</v>
      </c>
      <c r="F1079" s="97" t="str">
        <f>IFERROR(__xludf.DUMMYFUNCTION("""COMPUTED_VALUE"""),"LED integrado")</f>
        <v>LED integrado</v>
      </c>
      <c r="G1079" s="97" t="str">
        <f>IFERROR(__xludf.DUMMYFUNCTION("""COMPUTED_VALUE"""),"-")</f>
        <v>-</v>
      </c>
      <c r="H1079" s="97" t="str">
        <f>IFERROR(__xludf.DUMMYFUNCTION("""COMPUTED_VALUE"""),"-")</f>
        <v>-</v>
      </c>
      <c r="I1079" s="97" t="str">
        <f>IFERROR(__xludf.DUMMYFUNCTION("""COMPUTED_VALUE"""),"-")</f>
        <v>-</v>
      </c>
      <c r="J1079" s="97"/>
      <c r="K1079" s="97"/>
      <c r="L1079" s="97" t="str">
        <f>IFERROR(__xludf.DUMMYFUNCTION("""COMPUTED_VALUE"""),"200-240")</f>
        <v>200-240</v>
      </c>
      <c r="M1079" s="97" t="str">
        <f>IFERROR(__xludf.DUMMYFUNCTION("""COMPUTED_VALUE"""),"50/60")</f>
        <v>50/60</v>
      </c>
      <c r="N1079" s="97"/>
      <c r="O1079" s="97">
        <f>IFERROR(__xludf.DUMMYFUNCTION("""COMPUTED_VALUE"""),65.0)</f>
        <v>65</v>
      </c>
      <c r="P1079" s="97"/>
      <c r="Q1079" s="97"/>
      <c r="R1079" s="97" t="str">
        <f>IFERROR(__xludf.DUMMYFUNCTION("""COMPUTED_VALUE"""),"-")</f>
        <v>-</v>
      </c>
      <c r="S1079" s="97" t="str">
        <f>IFERROR(__xludf.DUMMYFUNCTION("""COMPUTED_VALUE"""),"-")</f>
        <v>-</v>
      </c>
      <c r="T1079" s="97" t="str">
        <f>IFERROR(__xludf.DUMMYFUNCTION("""COMPUTED_VALUE"""),"-")</f>
        <v>-</v>
      </c>
      <c r="U1079" s="97" t="str">
        <f>IFERROR(__xludf.DUMMYFUNCTION("""COMPUTED_VALUE"""),"-")</f>
        <v>-</v>
      </c>
      <c r="V1079" s="97" t="str">
        <f>IFERROR(__xludf.DUMMYFUNCTION("""COMPUTED_VALUE"""),"-")</f>
        <v>-</v>
      </c>
      <c r="W1079" s="97" t="str">
        <f>IFERROR(__xludf.DUMMYFUNCTION("""COMPUTED_VALUE"""),"-")</f>
        <v>-</v>
      </c>
      <c r="X1079" s="97" t="str">
        <f>IFERROR(__xludf.DUMMYFUNCTION("""COMPUTED_VALUE"""),"-")</f>
        <v>-</v>
      </c>
      <c r="Y1079" s="97" t="str">
        <f>IFERROR(__xludf.DUMMYFUNCTION("""COMPUTED_VALUE"""),"-")</f>
        <v>-</v>
      </c>
      <c r="Z1079" s="97" t="str">
        <f>IFERROR(__xludf.DUMMYFUNCTION("""COMPUTED_VALUE"""),"-")</f>
        <v>-</v>
      </c>
      <c r="AA1079" s="97" t="str">
        <f>IFERROR(__xludf.DUMMYFUNCTION("""COMPUTED_VALUE"""),"-")</f>
        <v>-</v>
      </c>
      <c r="AB1079" s="97" t="str">
        <f>IFERROR(__xludf.DUMMYFUNCTION("""COMPUTED_VALUE"""),"-")</f>
        <v>-</v>
      </c>
      <c r="AC1079" s="97"/>
      <c r="AD1079" s="97" t="str">
        <f>IFERROR(__xludf.DUMMYFUNCTION("""COMPUTED_VALUE"""),"IP20")</f>
        <v>IP20</v>
      </c>
      <c r="AE1079" s="97" t="str">
        <f>IFERROR(__xludf.DUMMYFUNCTION("""COMPUTED_VALUE"""),"Clase l")</f>
        <v>Clase l</v>
      </c>
      <c r="AF1079" s="97" t="str">
        <f>IFERROR(__xludf.DUMMYFUNCTION("""COMPUTED_VALUE"""),"Aplicar")</f>
        <v>Aplicar</v>
      </c>
      <c r="AG1079" s="97" t="str">
        <f>IFERROR(__xludf.DUMMYFUNCTION("""COMPUTED_VALUE"""),"500 x 500 x 65")</f>
        <v>500 x 500 x 65</v>
      </c>
      <c r="AH1079" s="97" t="str">
        <f>IFERROR(__xludf.DUMMYFUNCTION("""COMPUTED_VALUE"""),"N/A")</f>
        <v>N/A</v>
      </c>
      <c r="AI1079" s="97" t="str">
        <f>IFERROR(__xludf.DUMMYFUNCTION("""COMPUTED_VALUE"""),"N/A")</f>
        <v>N/A</v>
      </c>
      <c r="AJ1079" s="97" t="str">
        <f>IFERROR(__xludf.DUMMYFUNCTION("""COMPUTED_VALUE"""),"PMMA")</f>
        <v>PMMA</v>
      </c>
      <c r="AK1079" s="97"/>
      <c r="AL1079" s="97" t="str">
        <f>IFERROR(__xludf.DUMMYFUNCTION("""COMPUTED_VALUE"""),"Blanco y Negro")</f>
        <v>Blanco y Negro</v>
      </c>
      <c r="AM1079" s="97" t="str">
        <f>IFERROR(__xludf.DUMMYFUNCTION("""COMPUTED_VALUE"""),"-")</f>
        <v>-</v>
      </c>
      <c r="AN1079" s="97" t="str">
        <f>IFERROR(__xludf.DUMMYFUNCTION("""COMPUTED_VALUE"""),"-")</f>
        <v>-</v>
      </c>
      <c r="AO1079" s="97" t="str">
        <f>IFERROR(__xludf.DUMMYFUNCTION("""COMPUTED_VALUE"""),"1 Año")</f>
        <v>1 Año</v>
      </c>
      <c r="AP1079" s="97" t="str">
        <f>IFERROR(__xludf.DUMMYFUNCTION("""COMPUTED_VALUE"""),"No Aplica")</f>
        <v>No Aplica</v>
      </c>
      <c r="AQ1079" s="97" t="str">
        <f>IFERROR(__xludf.DUMMYFUNCTION("""COMPUTED_VALUE"""),"No Aplica")</f>
        <v>No Aplica</v>
      </c>
      <c r="AR1079" s="97" t="str">
        <f>IFERROR(__xludf.DUMMYFUNCTION("""COMPUTED_VALUE"""),"No Aplica")</f>
        <v>No Aplica</v>
      </c>
      <c r="AS1079" s="97"/>
      <c r="AT1079" s="97"/>
      <c r="AU1079" s="97" t="str">
        <f>IFERROR(__xludf.DUMMYFUNCTION("""COMPUTED_VALUE"""),"No Aplica")</f>
        <v>No Aplica</v>
      </c>
      <c r="AV1079" s="97" t="str">
        <f>IFERROR(__xludf.DUMMYFUNCTION("""COMPUTED_VALUE"""),"MDD")</f>
        <v>MDD</v>
      </c>
      <c r="AW1079" s="97" t="str">
        <f>IFERROR(__xludf.DUMMYFUNCTION("""COMPUTED_VALUE"""),"MDD")</f>
        <v>MDD</v>
      </c>
      <c r="AX1079" s="97" t="str">
        <f>IFERROR(__xludf.DUMMYFUNCTION("""COMPUTED_VALUE"""),"MDD")</f>
        <v>MDD</v>
      </c>
      <c r="AY1079" s="97"/>
      <c r="AZ1079" s="97"/>
      <c r="BA1079" s="97" t="str">
        <f>IFERROR(__xludf.DUMMYFUNCTION("""COMPUTED_VALUE"""),"-")</f>
        <v>-</v>
      </c>
      <c r="BB1079" s="97" t="str">
        <f>IFERROR(__xludf.DUMMYFUNCTION("""COMPUTED_VALUE"""),"-")</f>
        <v>-</v>
      </c>
      <c r="BC1079" s="97" t="str">
        <f>IFERROR(__xludf.DUMMYFUNCTION("""COMPUTED_VALUE"""),"-")</f>
        <v>-</v>
      </c>
      <c r="BD1079" s="97" t="str">
        <f>IFERROR(__xludf.DUMMYFUNCTION("""COMPUTED_VALUE"""),"ZAMORA")</f>
        <v>ZAMORA</v>
      </c>
      <c r="BE1079" s="97" t="str">
        <f>IFERROR(__xludf.DUMMYFUNCTION("""COMPUTED_VALUE"""),"Sin Ficha")</f>
        <v>Sin Ficha</v>
      </c>
      <c r="BF1079" s="97"/>
      <c r="BG1079" s="97" t="str">
        <f>IFERROR(__xludf.DUMMYFUNCTION("""COMPUTED_VALUE"""),"Discontinuo")</f>
        <v>Discontinuo</v>
      </c>
    </row>
    <row r="1080">
      <c r="A1080" s="97">
        <f>IFERROR(__xludf.DUMMYFUNCTION("""COMPUTED_VALUE"""),6866.0)</f>
        <v>6866</v>
      </c>
      <c r="B1080" s="97" t="str">
        <f>IFERROR(__xludf.DUMMYFUNCTION("""COMPUTED_VALUE"""),"TRUX AP 50W")</f>
        <v>TRUX AP 50W</v>
      </c>
      <c r="C1080" s="97" t="str">
        <f>IFERROR(__xludf.DUMMYFUNCTION("""COMPUTED_VALUE"""),"APLIQUE TRUX 50W LEUK")</f>
        <v>APLIQUE TRUX 50W LEUK</v>
      </c>
      <c r="D1080" s="97">
        <f>IFERROR(__xludf.DUMMYFUNCTION("""COMPUTED_VALUE"""),7.798413224733E12)</f>
        <v>7798413224733</v>
      </c>
      <c r="E1080" s="97" t="str">
        <f>IFERROR(__xludf.DUMMYFUNCTION("""COMPUTED_VALUE"""),"F17")</f>
        <v>F17</v>
      </c>
      <c r="F1080" s="97" t="str">
        <f>IFERROR(__xludf.DUMMYFUNCTION("""COMPUTED_VALUE"""),"LED integrado")</f>
        <v>LED integrado</v>
      </c>
      <c r="G1080" s="97" t="str">
        <f>IFERROR(__xludf.DUMMYFUNCTION("""COMPUTED_VALUE"""),"-")</f>
        <v>-</v>
      </c>
      <c r="H1080" s="97" t="str">
        <f>IFERROR(__xludf.DUMMYFUNCTION("""COMPUTED_VALUE"""),"-")</f>
        <v>-</v>
      </c>
      <c r="I1080" s="97" t="str">
        <f>IFERROR(__xludf.DUMMYFUNCTION("""COMPUTED_VALUE"""),"-")</f>
        <v>-</v>
      </c>
      <c r="J1080" s="97"/>
      <c r="K1080" s="97"/>
      <c r="L1080" s="97" t="str">
        <f>IFERROR(__xludf.DUMMYFUNCTION("""COMPUTED_VALUE"""),"200-240")</f>
        <v>200-240</v>
      </c>
      <c r="M1080" s="97" t="str">
        <f>IFERROR(__xludf.DUMMYFUNCTION("""COMPUTED_VALUE"""),"50/60")</f>
        <v>50/60</v>
      </c>
      <c r="N1080" s="97"/>
      <c r="O1080" s="97">
        <f>IFERROR(__xludf.DUMMYFUNCTION("""COMPUTED_VALUE"""),50.0)</f>
        <v>50</v>
      </c>
      <c r="P1080" s="97"/>
      <c r="Q1080" s="97"/>
      <c r="R1080" s="97" t="str">
        <f>IFERROR(__xludf.DUMMYFUNCTION("""COMPUTED_VALUE"""),"-")</f>
        <v>-</v>
      </c>
      <c r="S1080" s="97" t="str">
        <f>IFERROR(__xludf.DUMMYFUNCTION("""COMPUTED_VALUE"""),"-")</f>
        <v>-</v>
      </c>
      <c r="T1080" s="97" t="str">
        <f>IFERROR(__xludf.DUMMYFUNCTION("""COMPUTED_VALUE"""),"-")</f>
        <v>-</v>
      </c>
      <c r="U1080" s="97" t="str">
        <f>IFERROR(__xludf.DUMMYFUNCTION("""COMPUTED_VALUE"""),"-")</f>
        <v>-</v>
      </c>
      <c r="V1080" s="97" t="str">
        <f>IFERROR(__xludf.DUMMYFUNCTION("""COMPUTED_VALUE"""),"-")</f>
        <v>-</v>
      </c>
      <c r="W1080" s="97" t="str">
        <f>IFERROR(__xludf.DUMMYFUNCTION("""COMPUTED_VALUE"""),"-")</f>
        <v>-</v>
      </c>
      <c r="X1080" s="97" t="str">
        <f>IFERROR(__xludf.DUMMYFUNCTION("""COMPUTED_VALUE"""),"-")</f>
        <v>-</v>
      </c>
      <c r="Y1080" s="97" t="str">
        <f>IFERROR(__xludf.DUMMYFUNCTION("""COMPUTED_VALUE"""),"-")</f>
        <v>-</v>
      </c>
      <c r="Z1080" s="97" t="str">
        <f>IFERROR(__xludf.DUMMYFUNCTION("""COMPUTED_VALUE"""),"-")</f>
        <v>-</v>
      </c>
      <c r="AA1080" s="97" t="str">
        <f>IFERROR(__xludf.DUMMYFUNCTION("""COMPUTED_VALUE"""),"-")</f>
        <v>-</v>
      </c>
      <c r="AB1080" s="97" t="str">
        <f>IFERROR(__xludf.DUMMYFUNCTION("""COMPUTED_VALUE"""),"-")</f>
        <v>-</v>
      </c>
      <c r="AC1080" s="97"/>
      <c r="AD1080" s="97" t="str">
        <f>IFERROR(__xludf.DUMMYFUNCTION("""COMPUTED_VALUE"""),"IP20")</f>
        <v>IP20</v>
      </c>
      <c r="AE1080" s="97" t="str">
        <f>IFERROR(__xludf.DUMMYFUNCTION("""COMPUTED_VALUE"""),"Clase l")</f>
        <v>Clase l</v>
      </c>
      <c r="AF1080" s="97" t="str">
        <f>IFERROR(__xludf.DUMMYFUNCTION("""COMPUTED_VALUE"""),"Aplicar")</f>
        <v>Aplicar</v>
      </c>
      <c r="AG1080" s="97" t="str">
        <f>IFERROR(__xludf.DUMMYFUNCTION("""COMPUTED_VALUE"""),"600 x 200 x 65")</f>
        <v>600 x 200 x 65</v>
      </c>
      <c r="AH1080" s="97" t="str">
        <f>IFERROR(__xludf.DUMMYFUNCTION("""COMPUTED_VALUE"""),"N/A")</f>
        <v>N/A</v>
      </c>
      <c r="AI1080" s="97" t="str">
        <f>IFERROR(__xludf.DUMMYFUNCTION("""COMPUTED_VALUE"""),"N/A")</f>
        <v>N/A</v>
      </c>
      <c r="AJ1080" s="97" t="str">
        <f>IFERROR(__xludf.DUMMYFUNCTION("""COMPUTED_VALUE"""),"PMMA")</f>
        <v>PMMA</v>
      </c>
      <c r="AK1080" s="97"/>
      <c r="AL1080" s="97" t="str">
        <f>IFERROR(__xludf.DUMMYFUNCTION("""COMPUTED_VALUE"""),"Blanco y Negro")</f>
        <v>Blanco y Negro</v>
      </c>
      <c r="AM1080" s="97" t="str">
        <f>IFERROR(__xludf.DUMMYFUNCTION("""COMPUTED_VALUE"""),"-")</f>
        <v>-</v>
      </c>
      <c r="AN1080" s="97" t="str">
        <f>IFERROR(__xludf.DUMMYFUNCTION("""COMPUTED_VALUE"""),"-")</f>
        <v>-</v>
      </c>
      <c r="AO1080" s="97" t="str">
        <f>IFERROR(__xludf.DUMMYFUNCTION("""COMPUTED_VALUE"""),"1 Año")</f>
        <v>1 Año</v>
      </c>
      <c r="AP1080" s="97" t="str">
        <f>IFERROR(__xludf.DUMMYFUNCTION("""COMPUTED_VALUE"""),"No Aplica")</f>
        <v>No Aplica</v>
      </c>
      <c r="AQ1080" s="97" t="str">
        <f>IFERROR(__xludf.DUMMYFUNCTION("""COMPUTED_VALUE"""),"No Aplica")</f>
        <v>No Aplica</v>
      </c>
      <c r="AR1080" s="97" t="str">
        <f>IFERROR(__xludf.DUMMYFUNCTION("""COMPUTED_VALUE"""),"No Aplica")</f>
        <v>No Aplica</v>
      </c>
      <c r="AS1080" s="97"/>
      <c r="AT1080" s="97"/>
      <c r="AU1080" s="97" t="str">
        <f>IFERROR(__xludf.DUMMYFUNCTION("""COMPUTED_VALUE"""),"No Aplica")</f>
        <v>No Aplica</v>
      </c>
      <c r="AV1080" s="97" t="str">
        <f>IFERROR(__xludf.DUMMYFUNCTION("""COMPUTED_VALUE"""),"MDD")</f>
        <v>MDD</v>
      </c>
      <c r="AW1080" s="97" t="str">
        <f>IFERROR(__xludf.DUMMYFUNCTION("""COMPUTED_VALUE"""),"MDD")</f>
        <v>MDD</v>
      </c>
      <c r="AX1080" s="97" t="str">
        <f>IFERROR(__xludf.DUMMYFUNCTION("""COMPUTED_VALUE"""),"MDD")</f>
        <v>MDD</v>
      </c>
      <c r="AY1080" s="97"/>
      <c r="AZ1080" s="97"/>
      <c r="BA1080" s="97" t="str">
        <f>IFERROR(__xludf.DUMMYFUNCTION("""COMPUTED_VALUE"""),"-")</f>
        <v>-</v>
      </c>
      <c r="BB1080" s="97" t="str">
        <f>IFERROR(__xludf.DUMMYFUNCTION("""COMPUTED_VALUE"""),"-")</f>
        <v>-</v>
      </c>
      <c r="BC1080" s="97" t="str">
        <f>IFERROR(__xludf.DUMMYFUNCTION("""COMPUTED_VALUE"""),"-")</f>
        <v>-</v>
      </c>
      <c r="BD1080" s="97" t="str">
        <f>IFERROR(__xludf.DUMMYFUNCTION("""COMPUTED_VALUE"""),"TRUX")</f>
        <v>TRUX</v>
      </c>
      <c r="BE1080" s="97" t="str">
        <f>IFERROR(__xludf.DUMMYFUNCTION("""COMPUTED_VALUE"""),"Sin Ficha")</f>
        <v>Sin Ficha</v>
      </c>
      <c r="BF1080" s="97"/>
      <c r="BG1080" s="97" t="str">
        <f>IFERROR(__xludf.DUMMYFUNCTION("""COMPUTED_VALUE"""),"Discontinuo")</f>
        <v>Discontinuo</v>
      </c>
    </row>
    <row r="1081">
      <c r="A1081" s="97">
        <f>IFERROR(__xludf.DUMMYFUNCTION("""COMPUTED_VALUE"""),6867.0)</f>
        <v>6867</v>
      </c>
      <c r="B1081" s="97" t="str">
        <f>IFERROR(__xludf.DUMMYFUNCTION("""COMPUTED_VALUE"""),"TRUX SU 50W")</f>
        <v>TRUX SU 50W</v>
      </c>
      <c r="C1081" s="97" t="str">
        <f>IFERROR(__xludf.DUMMYFUNCTION("""COMPUTED_VALUE"""),"COLGANTE TRUX 50W LEUK")</f>
        <v>COLGANTE TRUX 50W LEUK</v>
      </c>
      <c r="D1081" s="97">
        <f>IFERROR(__xludf.DUMMYFUNCTION("""COMPUTED_VALUE"""),7.79841322474E12)</f>
        <v>7798413224740</v>
      </c>
      <c r="E1081" s="97" t="str">
        <f>IFERROR(__xludf.DUMMYFUNCTION("""COMPUTED_VALUE"""),"F17")</f>
        <v>F17</v>
      </c>
      <c r="F1081" s="97" t="str">
        <f>IFERROR(__xludf.DUMMYFUNCTION("""COMPUTED_VALUE"""),"LED integrado")</f>
        <v>LED integrado</v>
      </c>
      <c r="G1081" s="97" t="str">
        <f>IFERROR(__xludf.DUMMYFUNCTION("""COMPUTED_VALUE"""),"-")</f>
        <v>-</v>
      </c>
      <c r="H1081" s="97" t="str">
        <f>IFERROR(__xludf.DUMMYFUNCTION("""COMPUTED_VALUE"""),"-")</f>
        <v>-</v>
      </c>
      <c r="I1081" s="97" t="str">
        <f>IFERROR(__xludf.DUMMYFUNCTION("""COMPUTED_VALUE"""),"-")</f>
        <v>-</v>
      </c>
      <c r="J1081" s="97"/>
      <c r="K1081" s="97"/>
      <c r="L1081" s="97" t="str">
        <f>IFERROR(__xludf.DUMMYFUNCTION("""COMPUTED_VALUE"""),"200-240")</f>
        <v>200-240</v>
      </c>
      <c r="M1081" s="97" t="str">
        <f>IFERROR(__xludf.DUMMYFUNCTION("""COMPUTED_VALUE"""),"50/60")</f>
        <v>50/60</v>
      </c>
      <c r="N1081" s="97"/>
      <c r="O1081" s="97">
        <f>IFERROR(__xludf.DUMMYFUNCTION("""COMPUTED_VALUE"""),50.0)</f>
        <v>50</v>
      </c>
      <c r="P1081" s="97"/>
      <c r="Q1081" s="97"/>
      <c r="R1081" s="97" t="str">
        <f>IFERROR(__xludf.DUMMYFUNCTION("""COMPUTED_VALUE"""),"-")</f>
        <v>-</v>
      </c>
      <c r="S1081" s="97" t="str">
        <f>IFERROR(__xludf.DUMMYFUNCTION("""COMPUTED_VALUE"""),"-")</f>
        <v>-</v>
      </c>
      <c r="T1081" s="97" t="str">
        <f>IFERROR(__xludf.DUMMYFUNCTION("""COMPUTED_VALUE"""),"-")</f>
        <v>-</v>
      </c>
      <c r="U1081" s="97" t="str">
        <f>IFERROR(__xludf.DUMMYFUNCTION("""COMPUTED_VALUE"""),"-")</f>
        <v>-</v>
      </c>
      <c r="V1081" s="97" t="str">
        <f>IFERROR(__xludf.DUMMYFUNCTION("""COMPUTED_VALUE"""),"-")</f>
        <v>-</v>
      </c>
      <c r="W1081" s="97" t="str">
        <f>IFERROR(__xludf.DUMMYFUNCTION("""COMPUTED_VALUE"""),"-")</f>
        <v>-</v>
      </c>
      <c r="X1081" s="97" t="str">
        <f>IFERROR(__xludf.DUMMYFUNCTION("""COMPUTED_VALUE"""),"-")</f>
        <v>-</v>
      </c>
      <c r="Y1081" s="97" t="str">
        <f>IFERROR(__xludf.DUMMYFUNCTION("""COMPUTED_VALUE"""),"-")</f>
        <v>-</v>
      </c>
      <c r="Z1081" s="97" t="str">
        <f>IFERROR(__xludf.DUMMYFUNCTION("""COMPUTED_VALUE"""),"-")</f>
        <v>-</v>
      </c>
      <c r="AA1081" s="97" t="str">
        <f>IFERROR(__xludf.DUMMYFUNCTION("""COMPUTED_VALUE"""),"-")</f>
        <v>-</v>
      </c>
      <c r="AB1081" s="97" t="str">
        <f>IFERROR(__xludf.DUMMYFUNCTION("""COMPUTED_VALUE"""),"-")</f>
        <v>-</v>
      </c>
      <c r="AC1081" s="97"/>
      <c r="AD1081" s="97" t="str">
        <f>IFERROR(__xludf.DUMMYFUNCTION("""COMPUTED_VALUE"""),"IP20")</f>
        <v>IP20</v>
      </c>
      <c r="AE1081" s="97" t="str">
        <f>IFERROR(__xludf.DUMMYFUNCTION("""COMPUTED_VALUE"""),"Clase l")</f>
        <v>Clase l</v>
      </c>
      <c r="AF1081" s="97" t="str">
        <f>IFERROR(__xludf.DUMMYFUNCTION("""COMPUTED_VALUE"""),"Suspender")</f>
        <v>Suspender</v>
      </c>
      <c r="AG1081" s="97" t="str">
        <f>IFERROR(__xludf.DUMMYFUNCTION("""COMPUTED_VALUE"""),"600 x 200 x 65")</f>
        <v>600 x 200 x 65</v>
      </c>
      <c r="AH1081" s="97" t="str">
        <f>IFERROR(__xludf.DUMMYFUNCTION("""COMPUTED_VALUE"""),"N/A")</f>
        <v>N/A</v>
      </c>
      <c r="AI1081" s="97" t="str">
        <f>IFERROR(__xludf.DUMMYFUNCTION("""COMPUTED_VALUE"""),"N/A")</f>
        <v>N/A</v>
      </c>
      <c r="AJ1081" s="97" t="str">
        <f>IFERROR(__xludf.DUMMYFUNCTION("""COMPUTED_VALUE"""),"PMMA")</f>
        <v>PMMA</v>
      </c>
      <c r="AK1081" s="97"/>
      <c r="AL1081" s="97" t="str">
        <f>IFERROR(__xludf.DUMMYFUNCTION("""COMPUTED_VALUE"""),"Blanco y Negro")</f>
        <v>Blanco y Negro</v>
      </c>
      <c r="AM1081" s="97" t="str">
        <f>IFERROR(__xludf.DUMMYFUNCTION("""COMPUTED_VALUE"""),"-")</f>
        <v>-</v>
      </c>
      <c r="AN1081" s="97" t="str">
        <f>IFERROR(__xludf.DUMMYFUNCTION("""COMPUTED_VALUE"""),"-")</f>
        <v>-</v>
      </c>
      <c r="AO1081" s="97" t="str">
        <f>IFERROR(__xludf.DUMMYFUNCTION("""COMPUTED_VALUE"""),"1 Año")</f>
        <v>1 Año</v>
      </c>
      <c r="AP1081" s="97" t="str">
        <f>IFERROR(__xludf.DUMMYFUNCTION("""COMPUTED_VALUE"""),"No Aplica")</f>
        <v>No Aplica</v>
      </c>
      <c r="AQ1081" s="97" t="str">
        <f>IFERROR(__xludf.DUMMYFUNCTION("""COMPUTED_VALUE"""),"No Aplica")</f>
        <v>No Aplica</v>
      </c>
      <c r="AR1081" s="97" t="str">
        <f>IFERROR(__xludf.DUMMYFUNCTION("""COMPUTED_VALUE"""),"No Aplica")</f>
        <v>No Aplica</v>
      </c>
      <c r="AS1081" s="97"/>
      <c r="AT1081" s="97"/>
      <c r="AU1081" s="97" t="str">
        <f>IFERROR(__xludf.DUMMYFUNCTION("""COMPUTED_VALUE"""),"No Aplica")</f>
        <v>No Aplica</v>
      </c>
      <c r="AV1081" s="97" t="str">
        <f>IFERROR(__xludf.DUMMYFUNCTION("""COMPUTED_VALUE"""),"MDD")</f>
        <v>MDD</v>
      </c>
      <c r="AW1081" s="97" t="str">
        <f>IFERROR(__xludf.DUMMYFUNCTION("""COMPUTED_VALUE"""),"MDD")</f>
        <v>MDD</v>
      </c>
      <c r="AX1081" s="97" t="str">
        <f>IFERROR(__xludf.DUMMYFUNCTION("""COMPUTED_VALUE"""),"MDD")</f>
        <v>MDD</v>
      </c>
      <c r="AY1081" s="97"/>
      <c r="AZ1081" s="97"/>
      <c r="BA1081" s="97" t="str">
        <f>IFERROR(__xludf.DUMMYFUNCTION("""COMPUTED_VALUE"""),"-")</f>
        <v>-</v>
      </c>
      <c r="BB1081" s="97" t="str">
        <f>IFERROR(__xludf.DUMMYFUNCTION("""COMPUTED_VALUE"""),"-")</f>
        <v>-</v>
      </c>
      <c r="BC1081" s="97" t="str">
        <f>IFERROR(__xludf.DUMMYFUNCTION("""COMPUTED_VALUE"""),"-")</f>
        <v>-</v>
      </c>
      <c r="BD1081" s="97" t="str">
        <f>IFERROR(__xludf.DUMMYFUNCTION("""COMPUTED_VALUE"""),"TRUX")</f>
        <v>TRUX</v>
      </c>
      <c r="BE1081" s="97" t="str">
        <f>IFERROR(__xludf.DUMMYFUNCTION("""COMPUTED_VALUE"""),"Sin Ficha")</f>
        <v>Sin Ficha</v>
      </c>
      <c r="BF1081" s="97"/>
      <c r="BG1081" s="97" t="str">
        <f>IFERROR(__xludf.DUMMYFUNCTION("""COMPUTED_VALUE"""),"Discontinuo")</f>
        <v>Discontinuo</v>
      </c>
    </row>
    <row r="1082">
      <c r="A1082" s="97">
        <f>IFERROR(__xludf.DUMMYFUNCTION("""COMPUTED_VALUE"""),6868.0)</f>
        <v>6868</v>
      </c>
      <c r="B1082" s="97" t="str">
        <f>IFERROR(__xludf.DUMMYFUNCTION("""COMPUTED_VALUE"""),"MIJA R NG 6W")</f>
        <v>MIJA R NG 6W</v>
      </c>
      <c r="C1082" s="97" t="str">
        <f>IFERROR(__xludf.DUMMYFUNCTION("""COMPUTED_VALUE"""),"APLIQUE MIJA R NG 6W 6W 3000K 660LM CRI&gt;80 IP65 LEUK")</f>
        <v>APLIQUE MIJA R NG 6W 6W 3000K 660LM CRI&gt;80 IP65 LEUK</v>
      </c>
      <c r="D1082" s="97">
        <f>IFERROR(__xludf.DUMMYFUNCTION("""COMPUTED_VALUE"""),7.798413223439E12)</f>
        <v>7798413223439</v>
      </c>
      <c r="E1082" s="97" t="str">
        <f>IFERROR(__xludf.DUMMYFUNCTION("""COMPUTED_VALUE"""),"C69")</f>
        <v>C69</v>
      </c>
      <c r="F1082" s="97" t="str">
        <f>IFERROR(__xludf.DUMMYFUNCTION("""COMPUTED_VALUE"""),"LED integrado")</f>
        <v>LED integrado</v>
      </c>
      <c r="G1082" s="97" t="str">
        <f>IFERROR(__xludf.DUMMYFUNCTION("""COMPUTED_VALUE"""),"-")</f>
        <v>-</v>
      </c>
      <c r="H1082" s="97" t="str">
        <f>IFERROR(__xludf.DUMMYFUNCTION("""COMPUTED_VALUE"""),"-")</f>
        <v>-</v>
      </c>
      <c r="I1082" s="97"/>
      <c r="J1082" s="97" t="str">
        <f>IFERROR(__xludf.DUMMYFUNCTION("""COMPUTED_VALUE"""),"Driver integrado")</f>
        <v>Driver integrado</v>
      </c>
      <c r="K1082" s="97" t="str">
        <f>IFERROR(__xludf.DUMMYFUNCTION("""COMPUTED_VALUE"""),"ON/OFF")</f>
        <v>ON/OFF</v>
      </c>
      <c r="L1082" s="97" t="str">
        <f>IFERROR(__xludf.DUMMYFUNCTION("""COMPUTED_VALUE"""),"220-240")</f>
        <v>220-240</v>
      </c>
      <c r="M1082" s="97" t="str">
        <f>IFERROR(__xludf.DUMMYFUNCTION("""COMPUTED_VALUE"""),"50/60")</f>
        <v>50/60</v>
      </c>
      <c r="N1082" s="97" t="str">
        <f>IFERROR(__xludf.DUMMYFUNCTION("""COMPUTED_VALUE"""),"Indirecta")</f>
        <v>Indirecta</v>
      </c>
      <c r="O1082" s="97">
        <f>IFERROR(__xludf.DUMMYFUNCTION("""COMPUTED_VALUE"""),6.0)</f>
        <v>6</v>
      </c>
      <c r="P1082" s="97">
        <f>IFERROR(__xludf.DUMMYFUNCTION("""COMPUTED_VALUE"""),6.46)</f>
        <v>6.46</v>
      </c>
      <c r="Q1082" s="97">
        <f>IFERROR(__xludf.DUMMYFUNCTION("""COMPUTED_VALUE"""),0.5)</f>
        <v>0.5</v>
      </c>
      <c r="R1082" s="97" t="str">
        <f>IFERROR(__xludf.DUMMYFUNCTION("""COMPUTED_VALUE"""),"-")</f>
        <v>-</v>
      </c>
      <c r="S1082" s="97" t="str">
        <f>IFERROR(__xludf.DUMMYFUNCTION("""COMPUTED_VALUE"""),"-")</f>
        <v>-</v>
      </c>
      <c r="T1082" s="97">
        <f>IFERROR(__xludf.DUMMYFUNCTION("""COMPUTED_VALUE"""),660.0)</f>
        <v>660</v>
      </c>
      <c r="U1082" s="99">
        <f>IFERROR(__xludf.DUMMYFUNCTION("""COMPUTED_VALUE"""),110.0)</f>
        <v>110</v>
      </c>
      <c r="V1082" s="97">
        <f>IFERROR(__xludf.DUMMYFUNCTION("""COMPUTED_VALUE"""),105.0)</f>
        <v>105</v>
      </c>
      <c r="W1082" s="97" t="str">
        <f>IFERROR(__xludf.DUMMYFUNCTION("""COMPUTED_VALUE"""),"N/A")</f>
        <v>N/A</v>
      </c>
      <c r="X1082" s="97">
        <f>IFERROR(__xludf.DUMMYFUNCTION("""COMPUTED_VALUE"""),3000.0)</f>
        <v>3000</v>
      </c>
      <c r="Y1082" s="97" t="str">
        <f>IFERROR(__xludf.DUMMYFUNCTION("""COMPUTED_VALUE"""),"&gt;80")</f>
        <v>&gt;80</v>
      </c>
      <c r="Z1082" s="97"/>
      <c r="AA1082" s="97"/>
      <c r="AB1082" s="97" t="str">
        <f>IFERROR(__xludf.DUMMYFUNCTION("""COMPUTED_VALUE"""),"-")</f>
        <v>-</v>
      </c>
      <c r="AC1082" s="97"/>
      <c r="AD1082" s="97" t="str">
        <f>IFERROR(__xludf.DUMMYFUNCTION("""COMPUTED_VALUE"""),"IP65")</f>
        <v>IP65</v>
      </c>
      <c r="AE1082" s="97" t="str">
        <f>IFERROR(__xludf.DUMMYFUNCTION("""COMPUTED_VALUE"""),"Clase l")</f>
        <v>Clase l</v>
      </c>
      <c r="AF1082" s="97" t="str">
        <f>IFERROR(__xludf.DUMMYFUNCTION("""COMPUTED_VALUE"""),"Aplicar")</f>
        <v>Aplicar</v>
      </c>
      <c r="AG1082" s="97" t="str">
        <f>IFERROR(__xludf.DUMMYFUNCTION("""COMPUTED_VALUE"""),"Ø130 x 42")</f>
        <v>Ø130 x 42</v>
      </c>
      <c r="AH1082" s="97" t="str">
        <f>IFERROR(__xludf.DUMMYFUNCTION("""COMPUTED_VALUE"""),"N/A")</f>
        <v>N/A</v>
      </c>
      <c r="AI1082" s="97" t="str">
        <f>IFERROR(__xludf.DUMMYFUNCTION("""COMPUTED_VALUE"""),"N/A")</f>
        <v>N/A</v>
      </c>
      <c r="AJ1082" s="97" t="str">
        <f>IFERROR(__xludf.DUMMYFUNCTION("""COMPUTED_VALUE"""),"Policarbonato (PC)")</f>
        <v>Policarbonato (PC)</v>
      </c>
      <c r="AK1082" s="97" t="str">
        <f>IFERROR(__xludf.DUMMYFUNCTION("""COMPUTED_VALUE"""),"Policarbonato (PC)")</f>
        <v>Policarbonato (PC)</v>
      </c>
      <c r="AL1082" s="97" t="str">
        <f>IFERROR(__xludf.DUMMYFUNCTION("""COMPUTED_VALUE"""),"Negro Satinado")</f>
        <v>Negro Satinado</v>
      </c>
      <c r="AM1082" s="97" t="str">
        <f>IFERROR(__xludf.DUMMYFUNCTION("""COMPUTED_VALUE"""),"-")</f>
        <v>-</v>
      </c>
      <c r="AN1082" s="97" t="str">
        <f>IFERROR(__xludf.DUMMYFUNCTION("""COMPUTED_VALUE"""),"25.000hs (L70)")</f>
        <v>25.000hs (L70)</v>
      </c>
      <c r="AO1082" s="97" t="str">
        <f>IFERROR(__xludf.DUMMYFUNCTION("""COMPUTED_VALUE"""),"2 Años")</f>
        <v>2 Años</v>
      </c>
      <c r="AP1082" s="97" t="str">
        <f>IFERROR(__xludf.DUMMYFUNCTION("""COMPUTED_VALUE"""),"Disponible")</f>
        <v>Disponible</v>
      </c>
      <c r="AQ1082" s="97" t="str">
        <f>IFERROR(__xludf.DUMMYFUNCTION("""COMPUTED_VALUE"""),"Disponible")</f>
        <v>Disponible</v>
      </c>
      <c r="AR1082" s="97" t="str">
        <f>IFERROR(__xludf.DUMMYFUNCTION("""COMPUTED_VALUE"""),"Disponible")</f>
        <v>Disponible</v>
      </c>
      <c r="AS1082" s="97"/>
      <c r="AT1082" s="97"/>
      <c r="AU1082" s="97" t="str">
        <f>IFERROR(__xludf.DUMMYFUNCTION("""COMPUTED_VALUE"""),"Disponible")</f>
        <v>Disponible</v>
      </c>
      <c r="AV1082" s="97" t="str">
        <f>IFERROR(__xludf.DUMMYFUNCTION("""COMPUTED_VALUE"""),"Aplique")</f>
        <v>Aplique</v>
      </c>
      <c r="AW1082" s="97" t="str">
        <f>IFERROR(__xludf.DUMMYFUNCTION("""COMPUTED_VALUE"""),"De Pared")</f>
        <v>De Pared</v>
      </c>
      <c r="AX1082" s="97" t="str">
        <f>IFERROR(__xludf.DUMMYFUNCTION("""COMPUTED_VALUE"""),"Exterior")</f>
        <v>Exterior</v>
      </c>
      <c r="AY1082" s="97" t="str">
        <f>IFERROR(__xludf.DUMMYFUNCTION("""COMPUTED_VALUE"""),"-")</f>
        <v>-</v>
      </c>
      <c r="AZ1082" s="97" t="str">
        <f>IFERROR(__xludf.DUMMYFUNCTION("""COMPUTED_VALUE"""),"*PC resistente a rayos UV para uso exterior.")</f>
        <v>*PC resistente a rayos UV para uso exterior.</v>
      </c>
      <c r="BA1082" s="97">
        <f>IFERROR(__xludf.DUMMYFUNCTION("""COMPUTED_VALUE"""),50.0)</f>
        <v>50</v>
      </c>
      <c r="BB1082" s="97" t="str">
        <f>IFERROR(__xludf.DUMMYFUNCTION("""COMPUTED_VALUE"""),"160gr")</f>
        <v>160gr</v>
      </c>
      <c r="BC1082" s="97" t="str">
        <f>IFERROR(__xludf.DUMMYFUNCTION("""COMPUTED_VALUE"""),"-")</f>
        <v>-</v>
      </c>
      <c r="BD1082" s="97" t="str">
        <f>IFERROR(__xludf.DUMMYFUNCTION("""COMPUTED_VALUE"""),"MIJA")</f>
        <v>MIJA</v>
      </c>
      <c r="BE1082" s="97" t="str">
        <f>IFERROR(__xludf.DUMMYFUNCTION("""COMPUTED_VALUE"""),"Finalizada")</f>
        <v>Finalizada</v>
      </c>
      <c r="BF1082" s="97"/>
      <c r="BG1082" s="97" t="str">
        <f>IFERROR(__xludf.DUMMYFUNCTION("""COMPUTED_VALUE"""),"Activo")</f>
        <v>Activo</v>
      </c>
    </row>
    <row r="1083">
      <c r="A1083" s="97">
        <f>IFERROR(__xludf.DUMMYFUNCTION("""COMPUTED_VALUE"""),6869.0)</f>
        <v>6869</v>
      </c>
      <c r="B1083" s="97" t="str">
        <f>IFERROR(__xludf.DUMMYFUNCTION("""COMPUTED_VALUE"""),"MIJA R BL 6W")</f>
        <v>MIJA R BL 6W</v>
      </c>
      <c r="C1083" s="97" t="str">
        <f>IFERROR(__xludf.DUMMYFUNCTION("""COMPUTED_VALUE"""),"APLIQUE MIJA R BL 6W 6W 3000K 660LM CRI&gt;80 IP65 LEUK")</f>
        <v>APLIQUE MIJA R BL 6W 6W 3000K 660LM CRI&gt;80 IP65 LEUK</v>
      </c>
      <c r="D1083" s="97">
        <f>IFERROR(__xludf.DUMMYFUNCTION("""COMPUTED_VALUE"""),7.798413223446E12)</f>
        <v>7798413223446</v>
      </c>
      <c r="E1083" s="97" t="str">
        <f>IFERROR(__xludf.DUMMYFUNCTION("""COMPUTED_VALUE"""),"C70")</f>
        <v>C70</v>
      </c>
      <c r="F1083" s="97" t="str">
        <f>IFERROR(__xludf.DUMMYFUNCTION("""COMPUTED_VALUE"""),"LED integrado")</f>
        <v>LED integrado</v>
      </c>
      <c r="G1083" s="97" t="str">
        <f>IFERROR(__xludf.DUMMYFUNCTION("""COMPUTED_VALUE"""),"-")</f>
        <v>-</v>
      </c>
      <c r="H1083" s="97" t="str">
        <f>IFERROR(__xludf.DUMMYFUNCTION("""COMPUTED_VALUE"""),"-")</f>
        <v>-</v>
      </c>
      <c r="I1083" s="97"/>
      <c r="J1083" s="97" t="str">
        <f>IFERROR(__xludf.DUMMYFUNCTION("""COMPUTED_VALUE"""),"Driver integrado")</f>
        <v>Driver integrado</v>
      </c>
      <c r="K1083" s="97" t="str">
        <f>IFERROR(__xludf.DUMMYFUNCTION("""COMPUTED_VALUE"""),"ON/OFF")</f>
        <v>ON/OFF</v>
      </c>
      <c r="L1083" s="97" t="str">
        <f>IFERROR(__xludf.DUMMYFUNCTION("""COMPUTED_VALUE"""),"220-240")</f>
        <v>220-240</v>
      </c>
      <c r="M1083" s="97" t="str">
        <f>IFERROR(__xludf.DUMMYFUNCTION("""COMPUTED_VALUE"""),"50/60")</f>
        <v>50/60</v>
      </c>
      <c r="N1083" s="97" t="str">
        <f>IFERROR(__xludf.DUMMYFUNCTION("""COMPUTED_VALUE"""),"Indirecta")</f>
        <v>Indirecta</v>
      </c>
      <c r="O1083" s="97">
        <f>IFERROR(__xludf.DUMMYFUNCTION("""COMPUTED_VALUE"""),6.0)</f>
        <v>6</v>
      </c>
      <c r="P1083" s="97">
        <f>IFERROR(__xludf.DUMMYFUNCTION("""COMPUTED_VALUE"""),6.46)</f>
        <v>6.46</v>
      </c>
      <c r="Q1083" s="97">
        <f>IFERROR(__xludf.DUMMYFUNCTION("""COMPUTED_VALUE"""),0.5)</f>
        <v>0.5</v>
      </c>
      <c r="R1083" s="97" t="str">
        <f>IFERROR(__xludf.DUMMYFUNCTION("""COMPUTED_VALUE"""),"-")</f>
        <v>-</v>
      </c>
      <c r="S1083" s="97" t="str">
        <f>IFERROR(__xludf.DUMMYFUNCTION("""COMPUTED_VALUE"""),"-")</f>
        <v>-</v>
      </c>
      <c r="T1083" s="97">
        <f>IFERROR(__xludf.DUMMYFUNCTION("""COMPUTED_VALUE"""),660.0)</f>
        <v>660</v>
      </c>
      <c r="U1083" s="99">
        <f>IFERROR(__xludf.DUMMYFUNCTION("""COMPUTED_VALUE"""),110.0)</f>
        <v>110</v>
      </c>
      <c r="V1083" s="97">
        <f>IFERROR(__xludf.DUMMYFUNCTION("""COMPUTED_VALUE"""),105.0)</f>
        <v>105</v>
      </c>
      <c r="W1083" s="97" t="str">
        <f>IFERROR(__xludf.DUMMYFUNCTION("""COMPUTED_VALUE"""),"N/A")</f>
        <v>N/A</v>
      </c>
      <c r="X1083" s="97">
        <f>IFERROR(__xludf.DUMMYFUNCTION("""COMPUTED_VALUE"""),3000.0)</f>
        <v>3000</v>
      </c>
      <c r="Y1083" s="97" t="str">
        <f>IFERROR(__xludf.DUMMYFUNCTION("""COMPUTED_VALUE"""),"&gt;80")</f>
        <v>&gt;80</v>
      </c>
      <c r="Z1083" s="97"/>
      <c r="AA1083" s="97"/>
      <c r="AB1083" s="97" t="str">
        <f>IFERROR(__xludf.DUMMYFUNCTION("""COMPUTED_VALUE"""),"-")</f>
        <v>-</v>
      </c>
      <c r="AC1083" s="97"/>
      <c r="AD1083" s="97" t="str">
        <f>IFERROR(__xludf.DUMMYFUNCTION("""COMPUTED_VALUE"""),"IP65")</f>
        <v>IP65</v>
      </c>
      <c r="AE1083" s="97" t="str">
        <f>IFERROR(__xludf.DUMMYFUNCTION("""COMPUTED_VALUE"""),"Clase l")</f>
        <v>Clase l</v>
      </c>
      <c r="AF1083" s="97" t="str">
        <f>IFERROR(__xludf.DUMMYFUNCTION("""COMPUTED_VALUE"""),"Aplicar")</f>
        <v>Aplicar</v>
      </c>
      <c r="AG1083" s="97" t="str">
        <f>IFERROR(__xludf.DUMMYFUNCTION("""COMPUTED_VALUE"""),"Ø130 x 42")</f>
        <v>Ø130 x 42</v>
      </c>
      <c r="AH1083" s="97" t="str">
        <f>IFERROR(__xludf.DUMMYFUNCTION("""COMPUTED_VALUE"""),"N/A")</f>
        <v>N/A</v>
      </c>
      <c r="AI1083" s="97" t="str">
        <f>IFERROR(__xludf.DUMMYFUNCTION("""COMPUTED_VALUE"""),"N/A")</f>
        <v>N/A</v>
      </c>
      <c r="AJ1083" s="97" t="str">
        <f>IFERROR(__xludf.DUMMYFUNCTION("""COMPUTED_VALUE"""),"Policarbonato (PC)")</f>
        <v>Policarbonato (PC)</v>
      </c>
      <c r="AK1083" s="97" t="str">
        <f>IFERROR(__xludf.DUMMYFUNCTION("""COMPUTED_VALUE"""),"Policarbonato (PC)")</f>
        <v>Policarbonato (PC)</v>
      </c>
      <c r="AL1083" s="97" t="str">
        <f>IFERROR(__xludf.DUMMYFUNCTION("""COMPUTED_VALUE"""),"Blanco Satinado")</f>
        <v>Blanco Satinado</v>
      </c>
      <c r="AM1083" s="97" t="str">
        <f>IFERROR(__xludf.DUMMYFUNCTION("""COMPUTED_VALUE"""),"-")</f>
        <v>-</v>
      </c>
      <c r="AN1083" s="97" t="str">
        <f>IFERROR(__xludf.DUMMYFUNCTION("""COMPUTED_VALUE"""),"25.000hs (L70)")</f>
        <v>25.000hs (L70)</v>
      </c>
      <c r="AO1083" s="97" t="str">
        <f>IFERROR(__xludf.DUMMYFUNCTION("""COMPUTED_VALUE"""),"2 Años")</f>
        <v>2 Años</v>
      </c>
      <c r="AP1083" s="97" t="str">
        <f>IFERROR(__xludf.DUMMYFUNCTION("""COMPUTED_VALUE"""),"Disponible")</f>
        <v>Disponible</v>
      </c>
      <c r="AQ1083" s="97" t="str">
        <f>IFERROR(__xludf.DUMMYFUNCTION("""COMPUTED_VALUE"""),"Disponible")</f>
        <v>Disponible</v>
      </c>
      <c r="AR1083" s="97" t="str">
        <f>IFERROR(__xludf.DUMMYFUNCTION("""COMPUTED_VALUE"""),"Disponible")</f>
        <v>Disponible</v>
      </c>
      <c r="AS1083" s="97"/>
      <c r="AT1083" s="97"/>
      <c r="AU1083" s="97" t="str">
        <f>IFERROR(__xludf.DUMMYFUNCTION("""COMPUTED_VALUE"""),"Disponible")</f>
        <v>Disponible</v>
      </c>
      <c r="AV1083" s="97" t="str">
        <f>IFERROR(__xludf.DUMMYFUNCTION("""COMPUTED_VALUE"""),"Aplique")</f>
        <v>Aplique</v>
      </c>
      <c r="AW1083" s="97" t="str">
        <f>IFERROR(__xludf.DUMMYFUNCTION("""COMPUTED_VALUE"""),"De Pared")</f>
        <v>De Pared</v>
      </c>
      <c r="AX1083" s="97" t="str">
        <f>IFERROR(__xludf.DUMMYFUNCTION("""COMPUTED_VALUE"""),"Exterior")</f>
        <v>Exterior</v>
      </c>
      <c r="AY1083" s="97" t="str">
        <f>IFERROR(__xludf.DUMMYFUNCTION("""COMPUTED_VALUE"""),"-")</f>
        <v>-</v>
      </c>
      <c r="AZ1083" s="97" t="str">
        <f>IFERROR(__xludf.DUMMYFUNCTION("""COMPUTED_VALUE"""),"*PC resistente a rayos UV para uso exterior.")</f>
        <v>*PC resistente a rayos UV para uso exterior.</v>
      </c>
      <c r="BA1083" s="97">
        <f>IFERROR(__xludf.DUMMYFUNCTION("""COMPUTED_VALUE"""),50.0)</f>
        <v>50</v>
      </c>
      <c r="BB1083" s="97" t="str">
        <f>IFERROR(__xludf.DUMMYFUNCTION("""COMPUTED_VALUE"""),"160gr")</f>
        <v>160gr</v>
      </c>
      <c r="BC1083" s="97" t="str">
        <f>IFERROR(__xludf.DUMMYFUNCTION("""COMPUTED_VALUE"""),"-")</f>
        <v>-</v>
      </c>
      <c r="BD1083" s="97" t="str">
        <f>IFERROR(__xludf.DUMMYFUNCTION("""COMPUTED_VALUE"""),"MIJA")</f>
        <v>MIJA</v>
      </c>
      <c r="BE1083" s="97" t="str">
        <f>IFERROR(__xludf.DUMMYFUNCTION("""COMPUTED_VALUE"""),"Finalizada")</f>
        <v>Finalizada</v>
      </c>
      <c r="BF1083" s="97"/>
      <c r="BG1083" s="97" t="str">
        <f>IFERROR(__xludf.DUMMYFUNCTION("""COMPUTED_VALUE"""),"Activo")</f>
        <v>Activo</v>
      </c>
    </row>
    <row r="1084">
      <c r="A1084" s="97">
        <f>IFERROR(__xludf.DUMMYFUNCTION("""COMPUTED_VALUE"""),6870.0)</f>
        <v>6870</v>
      </c>
      <c r="B1084" s="97" t="str">
        <f>IFERROR(__xludf.DUMMYFUNCTION("""COMPUTED_VALUE"""),"MIJA C NG 6W")</f>
        <v>MIJA C NG 6W</v>
      </c>
      <c r="C1084" s="97" t="str">
        <f>IFERROR(__xludf.DUMMYFUNCTION("""COMPUTED_VALUE"""),"APLIQUE MIJA C NG 6W 6W 3000K 660LM CRI&gt;80 IP65 LEUK")</f>
        <v>APLIQUE MIJA C NG 6W 6W 3000K 660LM CRI&gt;80 IP65 LEUK</v>
      </c>
      <c r="D1084" s="97">
        <f>IFERROR(__xludf.DUMMYFUNCTION("""COMPUTED_VALUE"""),7.798413223477E12)</f>
        <v>7798413223477</v>
      </c>
      <c r="E1084" s="97" t="str">
        <f>IFERROR(__xludf.DUMMYFUNCTION("""COMPUTED_VALUE"""),"C71")</f>
        <v>C71</v>
      </c>
      <c r="F1084" s="97" t="str">
        <f>IFERROR(__xludf.DUMMYFUNCTION("""COMPUTED_VALUE"""),"LED integrado")</f>
        <v>LED integrado</v>
      </c>
      <c r="G1084" s="97" t="str">
        <f>IFERROR(__xludf.DUMMYFUNCTION("""COMPUTED_VALUE"""),"-")</f>
        <v>-</v>
      </c>
      <c r="H1084" s="97" t="str">
        <f>IFERROR(__xludf.DUMMYFUNCTION("""COMPUTED_VALUE"""),"-")</f>
        <v>-</v>
      </c>
      <c r="I1084" s="97"/>
      <c r="J1084" s="97" t="str">
        <f>IFERROR(__xludf.DUMMYFUNCTION("""COMPUTED_VALUE"""),"Driver integrado")</f>
        <v>Driver integrado</v>
      </c>
      <c r="K1084" s="97" t="str">
        <f>IFERROR(__xludf.DUMMYFUNCTION("""COMPUTED_VALUE"""),"ON/OFF")</f>
        <v>ON/OFF</v>
      </c>
      <c r="L1084" s="97" t="str">
        <f>IFERROR(__xludf.DUMMYFUNCTION("""COMPUTED_VALUE"""),"220-240")</f>
        <v>220-240</v>
      </c>
      <c r="M1084" s="97" t="str">
        <f>IFERROR(__xludf.DUMMYFUNCTION("""COMPUTED_VALUE"""),"50/60")</f>
        <v>50/60</v>
      </c>
      <c r="N1084" s="97" t="str">
        <f>IFERROR(__xludf.DUMMYFUNCTION("""COMPUTED_VALUE"""),"Indirecta")</f>
        <v>Indirecta</v>
      </c>
      <c r="O1084" s="97">
        <f>IFERROR(__xludf.DUMMYFUNCTION("""COMPUTED_VALUE"""),6.0)</f>
        <v>6</v>
      </c>
      <c r="P1084" s="97">
        <f>IFERROR(__xludf.DUMMYFUNCTION("""COMPUTED_VALUE"""),6.46)</f>
        <v>6.46</v>
      </c>
      <c r="Q1084" s="97">
        <f>IFERROR(__xludf.DUMMYFUNCTION("""COMPUTED_VALUE"""),0.5)</f>
        <v>0.5</v>
      </c>
      <c r="R1084" s="97" t="str">
        <f>IFERROR(__xludf.DUMMYFUNCTION("""COMPUTED_VALUE"""),"-")</f>
        <v>-</v>
      </c>
      <c r="S1084" s="97" t="str">
        <f>IFERROR(__xludf.DUMMYFUNCTION("""COMPUTED_VALUE"""),"-")</f>
        <v>-</v>
      </c>
      <c r="T1084" s="97">
        <f>IFERROR(__xludf.DUMMYFUNCTION("""COMPUTED_VALUE"""),660.0)</f>
        <v>660</v>
      </c>
      <c r="U1084" s="99">
        <f>IFERROR(__xludf.DUMMYFUNCTION("""COMPUTED_VALUE"""),110.0)</f>
        <v>110</v>
      </c>
      <c r="V1084" s="97">
        <f>IFERROR(__xludf.DUMMYFUNCTION("""COMPUTED_VALUE"""),105.0)</f>
        <v>105</v>
      </c>
      <c r="W1084" s="97" t="str">
        <f>IFERROR(__xludf.DUMMYFUNCTION("""COMPUTED_VALUE"""),"N/A")</f>
        <v>N/A</v>
      </c>
      <c r="X1084" s="97">
        <f>IFERROR(__xludf.DUMMYFUNCTION("""COMPUTED_VALUE"""),3000.0)</f>
        <v>3000</v>
      </c>
      <c r="Y1084" s="97" t="str">
        <f>IFERROR(__xludf.DUMMYFUNCTION("""COMPUTED_VALUE"""),"&gt;80")</f>
        <v>&gt;80</v>
      </c>
      <c r="Z1084" s="97"/>
      <c r="AA1084" s="97"/>
      <c r="AB1084" s="97" t="str">
        <f>IFERROR(__xludf.DUMMYFUNCTION("""COMPUTED_VALUE"""),"-")</f>
        <v>-</v>
      </c>
      <c r="AC1084" s="97"/>
      <c r="AD1084" s="97" t="str">
        <f>IFERROR(__xludf.DUMMYFUNCTION("""COMPUTED_VALUE"""),"IP65")</f>
        <v>IP65</v>
      </c>
      <c r="AE1084" s="97" t="str">
        <f>IFERROR(__xludf.DUMMYFUNCTION("""COMPUTED_VALUE"""),"Clase l")</f>
        <v>Clase l</v>
      </c>
      <c r="AF1084" s="97" t="str">
        <f>IFERROR(__xludf.DUMMYFUNCTION("""COMPUTED_VALUE"""),"Aplicar")</f>
        <v>Aplicar</v>
      </c>
      <c r="AG1084" s="97" t="str">
        <f>IFERROR(__xludf.DUMMYFUNCTION("""COMPUTED_VALUE"""),"135 x 135 x 42")</f>
        <v>135 x 135 x 42</v>
      </c>
      <c r="AH1084" s="97" t="str">
        <f>IFERROR(__xludf.DUMMYFUNCTION("""COMPUTED_VALUE"""),"N/A")</f>
        <v>N/A</v>
      </c>
      <c r="AI1084" s="97" t="str">
        <f>IFERROR(__xludf.DUMMYFUNCTION("""COMPUTED_VALUE"""),"N/A")</f>
        <v>N/A</v>
      </c>
      <c r="AJ1084" s="97" t="str">
        <f>IFERROR(__xludf.DUMMYFUNCTION("""COMPUTED_VALUE"""),"Policarbonato (PC)")</f>
        <v>Policarbonato (PC)</v>
      </c>
      <c r="AK1084" s="97" t="str">
        <f>IFERROR(__xludf.DUMMYFUNCTION("""COMPUTED_VALUE"""),"Policarbonato (PC)")</f>
        <v>Policarbonato (PC)</v>
      </c>
      <c r="AL1084" s="97" t="str">
        <f>IFERROR(__xludf.DUMMYFUNCTION("""COMPUTED_VALUE"""),"Negro Satinado")</f>
        <v>Negro Satinado</v>
      </c>
      <c r="AM1084" s="97" t="str">
        <f>IFERROR(__xludf.DUMMYFUNCTION("""COMPUTED_VALUE"""),"-")</f>
        <v>-</v>
      </c>
      <c r="AN1084" s="97" t="str">
        <f>IFERROR(__xludf.DUMMYFUNCTION("""COMPUTED_VALUE"""),"25.000hs (L70)")</f>
        <v>25.000hs (L70)</v>
      </c>
      <c r="AO1084" s="97" t="str">
        <f>IFERROR(__xludf.DUMMYFUNCTION("""COMPUTED_VALUE"""),"2 Años")</f>
        <v>2 Años</v>
      </c>
      <c r="AP1084" s="97" t="str">
        <f>IFERROR(__xludf.DUMMYFUNCTION("""COMPUTED_VALUE"""),"Disponible")</f>
        <v>Disponible</v>
      </c>
      <c r="AQ1084" s="97" t="str">
        <f>IFERROR(__xludf.DUMMYFUNCTION("""COMPUTED_VALUE"""),"Disponible")</f>
        <v>Disponible</v>
      </c>
      <c r="AR1084" s="97" t="str">
        <f>IFERROR(__xludf.DUMMYFUNCTION("""COMPUTED_VALUE"""),"Disponible")</f>
        <v>Disponible</v>
      </c>
      <c r="AS1084" s="97"/>
      <c r="AT1084" s="97"/>
      <c r="AU1084" s="97" t="str">
        <f>IFERROR(__xludf.DUMMYFUNCTION("""COMPUTED_VALUE"""),"Disponible")</f>
        <v>Disponible</v>
      </c>
      <c r="AV1084" s="97" t="str">
        <f>IFERROR(__xludf.DUMMYFUNCTION("""COMPUTED_VALUE"""),"Aplique")</f>
        <v>Aplique</v>
      </c>
      <c r="AW1084" s="97" t="str">
        <f>IFERROR(__xludf.DUMMYFUNCTION("""COMPUTED_VALUE"""),"De Pared")</f>
        <v>De Pared</v>
      </c>
      <c r="AX1084" s="97" t="str">
        <f>IFERROR(__xludf.DUMMYFUNCTION("""COMPUTED_VALUE"""),"Exterior")</f>
        <v>Exterior</v>
      </c>
      <c r="AY1084" s="97" t="str">
        <f>IFERROR(__xludf.DUMMYFUNCTION("""COMPUTED_VALUE"""),"-")</f>
        <v>-</v>
      </c>
      <c r="AZ1084" s="97" t="str">
        <f>IFERROR(__xludf.DUMMYFUNCTION("""COMPUTED_VALUE"""),"*PC resistente a rayos UV para uso exterior.")</f>
        <v>*PC resistente a rayos UV para uso exterior.</v>
      </c>
      <c r="BA1084" s="97">
        <f>IFERROR(__xludf.DUMMYFUNCTION("""COMPUTED_VALUE"""),50.0)</f>
        <v>50</v>
      </c>
      <c r="BB1084" s="97" t="str">
        <f>IFERROR(__xludf.DUMMYFUNCTION("""COMPUTED_VALUE"""),"190gr")</f>
        <v>190gr</v>
      </c>
      <c r="BC1084" s="97" t="str">
        <f>IFERROR(__xludf.DUMMYFUNCTION("""COMPUTED_VALUE"""),"-")</f>
        <v>-</v>
      </c>
      <c r="BD1084" s="97" t="str">
        <f>IFERROR(__xludf.DUMMYFUNCTION("""COMPUTED_VALUE"""),"MIJA")</f>
        <v>MIJA</v>
      </c>
      <c r="BE1084" s="97" t="str">
        <f>IFERROR(__xludf.DUMMYFUNCTION("""COMPUTED_VALUE"""),"Finalizada")</f>
        <v>Finalizada</v>
      </c>
      <c r="BF1084" s="97"/>
      <c r="BG1084" s="97" t="str">
        <f>IFERROR(__xludf.DUMMYFUNCTION("""COMPUTED_VALUE"""),"Activo")</f>
        <v>Activo</v>
      </c>
    </row>
    <row r="1085">
      <c r="A1085" s="97">
        <f>IFERROR(__xludf.DUMMYFUNCTION("""COMPUTED_VALUE"""),6871.0)</f>
        <v>6871</v>
      </c>
      <c r="B1085" s="97" t="str">
        <f>IFERROR(__xludf.DUMMYFUNCTION("""COMPUTED_VALUE"""),"MIJA C BL 6W")</f>
        <v>MIJA C BL 6W</v>
      </c>
      <c r="C1085" s="97" t="str">
        <f>IFERROR(__xludf.DUMMYFUNCTION("""COMPUTED_VALUE"""),"APLIQUE MIJA C BL 6W 6W 3000K 660LM CRI&gt;80 IP65 LEUK")</f>
        <v>APLIQUE MIJA C BL 6W 6W 3000K 660LM CRI&gt;80 IP65 LEUK</v>
      </c>
      <c r="D1085" s="97">
        <f>IFERROR(__xludf.DUMMYFUNCTION("""COMPUTED_VALUE"""),7.798413223484E12)</f>
        <v>7798413223484</v>
      </c>
      <c r="E1085" s="97" t="str">
        <f>IFERROR(__xludf.DUMMYFUNCTION("""COMPUTED_VALUE"""),"C72")</f>
        <v>C72</v>
      </c>
      <c r="F1085" s="97" t="str">
        <f>IFERROR(__xludf.DUMMYFUNCTION("""COMPUTED_VALUE"""),"LED integrado")</f>
        <v>LED integrado</v>
      </c>
      <c r="G1085" s="97" t="str">
        <f>IFERROR(__xludf.DUMMYFUNCTION("""COMPUTED_VALUE"""),"-")</f>
        <v>-</v>
      </c>
      <c r="H1085" s="97" t="str">
        <f>IFERROR(__xludf.DUMMYFUNCTION("""COMPUTED_VALUE"""),"-")</f>
        <v>-</v>
      </c>
      <c r="I1085" s="97"/>
      <c r="J1085" s="97" t="str">
        <f>IFERROR(__xludf.DUMMYFUNCTION("""COMPUTED_VALUE"""),"Driver integrado")</f>
        <v>Driver integrado</v>
      </c>
      <c r="K1085" s="97" t="str">
        <f>IFERROR(__xludf.DUMMYFUNCTION("""COMPUTED_VALUE"""),"ON/OFF")</f>
        <v>ON/OFF</v>
      </c>
      <c r="L1085" s="97" t="str">
        <f>IFERROR(__xludf.DUMMYFUNCTION("""COMPUTED_VALUE"""),"220-240")</f>
        <v>220-240</v>
      </c>
      <c r="M1085" s="97" t="str">
        <f>IFERROR(__xludf.DUMMYFUNCTION("""COMPUTED_VALUE"""),"50/60")</f>
        <v>50/60</v>
      </c>
      <c r="N1085" s="97" t="str">
        <f>IFERROR(__xludf.DUMMYFUNCTION("""COMPUTED_VALUE"""),"Indirecta")</f>
        <v>Indirecta</v>
      </c>
      <c r="O1085" s="97">
        <f>IFERROR(__xludf.DUMMYFUNCTION("""COMPUTED_VALUE"""),6.0)</f>
        <v>6</v>
      </c>
      <c r="P1085" s="97">
        <f>IFERROR(__xludf.DUMMYFUNCTION("""COMPUTED_VALUE"""),6.46)</f>
        <v>6.46</v>
      </c>
      <c r="Q1085" s="97">
        <f>IFERROR(__xludf.DUMMYFUNCTION("""COMPUTED_VALUE"""),0.5)</f>
        <v>0.5</v>
      </c>
      <c r="R1085" s="97" t="str">
        <f>IFERROR(__xludf.DUMMYFUNCTION("""COMPUTED_VALUE"""),"-")</f>
        <v>-</v>
      </c>
      <c r="S1085" s="97" t="str">
        <f>IFERROR(__xludf.DUMMYFUNCTION("""COMPUTED_VALUE"""),"-")</f>
        <v>-</v>
      </c>
      <c r="T1085" s="97">
        <f>IFERROR(__xludf.DUMMYFUNCTION("""COMPUTED_VALUE"""),660.0)</f>
        <v>660</v>
      </c>
      <c r="U1085" s="99">
        <f>IFERROR(__xludf.DUMMYFUNCTION("""COMPUTED_VALUE"""),110.0)</f>
        <v>110</v>
      </c>
      <c r="V1085" s="97">
        <f>IFERROR(__xludf.DUMMYFUNCTION("""COMPUTED_VALUE"""),105.0)</f>
        <v>105</v>
      </c>
      <c r="W1085" s="97" t="str">
        <f>IFERROR(__xludf.DUMMYFUNCTION("""COMPUTED_VALUE"""),"N/A")</f>
        <v>N/A</v>
      </c>
      <c r="X1085" s="97">
        <f>IFERROR(__xludf.DUMMYFUNCTION("""COMPUTED_VALUE"""),3000.0)</f>
        <v>3000</v>
      </c>
      <c r="Y1085" s="97" t="str">
        <f>IFERROR(__xludf.DUMMYFUNCTION("""COMPUTED_VALUE"""),"&gt;80")</f>
        <v>&gt;80</v>
      </c>
      <c r="Z1085" s="97"/>
      <c r="AA1085" s="97"/>
      <c r="AB1085" s="97" t="str">
        <f>IFERROR(__xludf.DUMMYFUNCTION("""COMPUTED_VALUE"""),"-")</f>
        <v>-</v>
      </c>
      <c r="AC1085" s="97"/>
      <c r="AD1085" s="97" t="str">
        <f>IFERROR(__xludf.DUMMYFUNCTION("""COMPUTED_VALUE"""),"IP65")</f>
        <v>IP65</v>
      </c>
      <c r="AE1085" s="97" t="str">
        <f>IFERROR(__xludf.DUMMYFUNCTION("""COMPUTED_VALUE"""),"Clase l")</f>
        <v>Clase l</v>
      </c>
      <c r="AF1085" s="97" t="str">
        <f>IFERROR(__xludf.DUMMYFUNCTION("""COMPUTED_VALUE"""),"Aplicar")</f>
        <v>Aplicar</v>
      </c>
      <c r="AG1085" s="97" t="str">
        <f>IFERROR(__xludf.DUMMYFUNCTION("""COMPUTED_VALUE"""),"135 x 135 x 42")</f>
        <v>135 x 135 x 42</v>
      </c>
      <c r="AH1085" s="97" t="str">
        <f>IFERROR(__xludf.DUMMYFUNCTION("""COMPUTED_VALUE"""),"N/A")</f>
        <v>N/A</v>
      </c>
      <c r="AI1085" s="97" t="str">
        <f>IFERROR(__xludf.DUMMYFUNCTION("""COMPUTED_VALUE"""),"N/A")</f>
        <v>N/A</v>
      </c>
      <c r="AJ1085" s="97" t="str">
        <f>IFERROR(__xludf.DUMMYFUNCTION("""COMPUTED_VALUE"""),"Policarbonato (PC)")</f>
        <v>Policarbonato (PC)</v>
      </c>
      <c r="AK1085" s="97" t="str">
        <f>IFERROR(__xludf.DUMMYFUNCTION("""COMPUTED_VALUE"""),"Policarbonato (PC)")</f>
        <v>Policarbonato (PC)</v>
      </c>
      <c r="AL1085" s="97" t="str">
        <f>IFERROR(__xludf.DUMMYFUNCTION("""COMPUTED_VALUE"""),"Blanco Satinado")</f>
        <v>Blanco Satinado</v>
      </c>
      <c r="AM1085" s="97" t="str">
        <f>IFERROR(__xludf.DUMMYFUNCTION("""COMPUTED_VALUE"""),"-")</f>
        <v>-</v>
      </c>
      <c r="AN1085" s="97" t="str">
        <f>IFERROR(__xludf.DUMMYFUNCTION("""COMPUTED_VALUE"""),"25.000hs (L70)")</f>
        <v>25.000hs (L70)</v>
      </c>
      <c r="AO1085" s="97" t="str">
        <f>IFERROR(__xludf.DUMMYFUNCTION("""COMPUTED_VALUE"""),"2 Años")</f>
        <v>2 Años</v>
      </c>
      <c r="AP1085" s="97" t="str">
        <f>IFERROR(__xludf.DUMMYFUNCTION("""COMPUTED_VALUE"""),"Disponible")</f>
        <v>Disponible</v>
      </c>
      <c r="AQ1085" s="97" t="str">
        <f>IFERROR(__xludf.DUMMYFUNCTION("""COMPUTED_VALUE"""),"Disponible")</f>
        <v>Disponible</v>
      </c>
      <c r="AR1085" s="97" t="str">
        <f>IFERROR(__xludf.DUMMYFUNCTION("""COMPUTED_VALUE"""),"Disponible")</f>
        <v>Disponible</v>
      </c>
      <c r="AS1085" s="97"/>
      <c r="AT1085" s="97"/>
      <c r="AU1085" s="97" t="str">
        <f>IFERROR(__xludf.DUMMYFUNCTION("""COMPUTED_VALUE"""),"Disponible")</f>
        <v>Disponible</v>
      </c>
      <c r="AV1085" s="97" t="str">
        <f>IFERROR(__xludf.DUMMYFUNCTION("""COMPUTED_VALUE"""),"Aplique")</f>
        <v>Aplique</v>
      </c>
      <c r="AW1085" s="97" t="str">
        <f>IFERROR(__xludf.DUMMYFUNCTION("""COMPUTED_VALUE"""),"De Pared")</f>
        <v>De Pared</v>
      </c>
      <c r="AX1085" s="97" t="str">
        <f>IFERROR(__xludf.DUMMYFUNCTION("""COMPUTED_VALUE"""),"Exterior")</f>
        <v>Exterior</v>
      </c>
      <c r="AY1085" s="97" t="str">
        <f>IFERROR(__xludf.DUMMYFUNCTION("""COMPUTED_VALUE"""),"-")</f>
        <v>-</v>
      </c>
      <c r="AZ1085" s="97" t="str">
        <f>IFERROR(__xludf.DUMMYFUNCTION("""COMPUTED_VALUE"""),"*PC resistente a rayos UV para uso exterior.")</f>
        <v>*PC resistente a rayos UV para uso exterior.</v>
      </c>
      <c r="BA1085" s="97">
        <f>IFERROR(__xludf.DUMMYFUNCTION("""COMPUTED_VALUE"""),50.0)</f>
        <v>50</v>
      </c>
      <c r="BB1085" s="97" t="str">
        <f>IFERROR(__xludf.DUMMYFUNCTION("""COMPUTED_VALUE"""),"190gr")</f>
        <v>190gr</v>
      </c>
      <c r="BC1085" s="97" t="str">
        <f>IFERROR(__xludf.DUMMYFUNCTION("""COMPUTED_VALUE"""),"-")</f>
        <v>-</v>
      </c>
      <c r="BD1085" s="97" t="str">
        <f>IFERROR(__xludf.DUMMYFUNCTION("""COMPUTED_VALUE"""),"MIJA")</f>
        <v>MIJA</v>
      </c>
      <c r="BE1085" s="97" t="str">
        <f>IFERROR(__xludf.DUMMYFUNCTION("""COMPUTED_VALUE"""),"Finalizada")</f>
        <v>Finalizada</v>
      </c>
      <c r="BF1085" s="97"/>
      <c r="BG1085" s="97" t="str">
        <f>IFERROR(__xludf.DUMMYFUNCTION("""COMPUTED_VALUE"""),"Activo")</f>
        <v>Activo</v>
      </c>
    </row>
    <row r="1086">
      <c r="A1086" s="97">
        <f>IFERROR(__xludf.DUMMYFUNCTION("""COMPUTED_VALUE"""),6872.0)</f>
        <v>6872</v>
      </c>
      <c r="B1086" s="97" t="str">
        <f>IFERROR(__xludf.DUMMYFUNCTION("""COMPUTED_VALUE"""),"LUMM R NG")</f>
        <v>LUMM R NG</v>
      </c>
      <c r="C1086" s="97" t="str">
        <f>IFERROR(__xludf.DUMMYFUNCTION("""COMPUTED_VALUE"""),"APLIQUE DE PARED LUMM REDONDO NEGRO LEUK")</f>
        <v>APLIQUE DE PARED LUMM REDONDO NEGRO LEUK</v>
      </c>
      <c r="D1086" s="97">
        <f>IFERROR(__xludf.DUMMYFUNCTION("""COMPUTED_VALUE"""),7.798413223514E12)</f>
        <v>7798413223514</v>
      </c>
      <c r="E1086" s="97" t="str">
        <f>IFERROR(__xludf.DUMMYFUNCTION("""COMPUTED_VALUE"""),"F70")</f>
        <v>F70</v>
      </c>
      <c r="F1086" s="97" t="str">
        <f>IFERROR(__xludf.DUMMYFUNCTION("""COMPUTED_VALUE"""),"LED integrado")</f>
        <v>LED integrado</v>
      </c>
      <c r="G1086" s="97" t="str">
        <f>IFERROR(__xludf.DUMMYFUNCTION("""COMPUTED_VALUE"""),"-")</f>
        <v>-</v>
      </c>
      <c r="H1086" s="97" t="str">
        <f>IFERROR(__xludf.DUMMYFUNCTION("""COMPUTED_VALUE"""),"-")</f>
        <v>-</v>
      </c>
      <c r="I1086" s="97" t="str">
        <f>IFERROR(__xludf.DUMMYFUNCTION("""COMPUTED_VALUE"""),"-")</f>
        <v>-</v>
      </c>
      <c r="J1086" s="97"/>
      <c r="K1086" s="97"/>
      <c r="L1086" s="97" t="str">
        <f>IFERROR(__xludf.DUMMYFUNCTION("""COMPUTED_VALUE"""),"200-240")</f>
        <v>200-240</v>
      </c>
      <c r="M1086" s="97" t="str">
        <f>IFERROR(__xludf.DUMMYFUNCTION("""COMPUTED_VALUE"""),"50/60")</f>
        <v>50/60</v>
      </c>
      <c r="N1086" s="97"/>
      <c r="O1086" s="97">
        <f>IFERROR(__xludf.DUMMYFUNCTION("""COMPUTED_VALUE"""),7.0)</f>
        <v>7</v>
      </c>
      <c r="P1086" s="97"/>
      <c r="Q1086" s="97">
        <f>IFERROR(__xludf.DUMMYFUNCTION("""COMPUTED_VALUE"""),0.54)</f>
        <v>0.54</v>
      </c>
      <c r="R1086" s="97" t="str">
        <f>IFERROR(__xludf.DUMMYFUNCTION("""COMPUTED_VALUE"""),"-")</f>
        <v>-</v>
      </c>
      <c r="S1086" s="97" t="str">
        <f>IFERROR(__xludf.DUMMYFUNCTION("""COMPUTED_VALUE"""),"-")</f>
        <v>-</v>
      </c>
      <c r="T1086" s="97">
        <f>IFERROR(__xludf.DUMMYFUNCTION("""COMPUTED_VALUE"""),462.0)</f>
        <v>462</v>
      </c>
      <c r="U1086" s="99">
        <f>IFERROR(__xludf.DUMMYFUNCTION("""COMPUTED_VALUE"""),66.0)</f>
        <v>66</v>
      </c>
      <c r="V1086" s="97">
        <f>IFERROR(__xludf.DUMMYFUNCTION("""COMPUTED_VALUE"""),325.0)</f>
        <v>325</v>
      </c>
      <c r="W1086" s="97" t="str">
        <f>IFERROR(__xludf.DUMMYFUNCTION("""COMPUTED_VALUE"""),"&lt; 20")</f>
        <v>&lt; 20</v>
      </c>
      <c r="X1086" s="97">
        <f>IFERROR(__xludf.DUMMYFUNCTION("""COMPUTED_VALUE"""),3000.0)</f>
        <v>3000</v>
      </c>
      <c r="Y1086" s="97" t="str">
        <f>IFERROR(__xludf.DUMMYFUNCTION("""COMPUTED_VALUE"""),"&gt;80")</f>
        <v>&gt;80</v>
      </c>
      <c r="Z1086" s="97" t="str">
        <f>IFERROR(__xludf.DUMMYFUNCTION("""COMPUTED_VALUE"""),"-")</f>
        <v>-</v>
      </c>
      <c r="AA1086" s="97" t="str">
        <f>IFERROR(__xludf.DUMMYFUNCTION("""COMPUTED_VALUE"""),"-")</f>
        <v>-</v>
      </c>
      <c r="AB1086" s="97" t="str">
        <f>IFERROR(__xludf.DUMMYFUNCTION("""COMPUTED_VALUE"""),"-")</f>
        <v>-</v>
      </c>
      <c r="AC1086" s="97"/>
      <c r="AD1086" s="97" t="str">
        <f>IFERROR(__xludf.DUMMYFUNCTION("""COMPUTED_VALUE"""),"IP20")</f>
        <v>IP20</v>
      </c>
      <c r="AE1086" s="97" t="str">
        <f>IFERROR(__xludf.DUMMYFUNCTION("""COMPUTED_VALUE"""),"Clase l")</f>
        <v>Clase l</v>
      </c>
      <c r="AF1086" s="97" t="str">
        <f>IFERROR(__xludf.DUMMYFUNCTION("""COMPUTED_VALUE"""),"Aplicar")</f>
        <v>Aplicar</v>
      </c>
      <c r="AG1086" s="97" t="str">
        <f>IFERROR(__xludf.DUMMYFUNCTION("""COMPUTED_VALUE"""),"Ø145 x 70")</f>
        <v>Ø145 x 70</v>
      </c>
      <c r="AH1086" s="97" t="str">
        <f>IFERROR(__xludf.DUMMYFUNCTION("""COMPUTED_VALUE"""),"N/A")</f>
        <v>N/A</v>
      </c>
      <c r="AI1086" s="97" t="str">
        <f>IFERROR(__xludf.DUMMYFUNCTION("""COMPUTED_VALUE"""),"N/A")</f>
        <v>N/A</v>
      </c>
      <c r="AJ1086" s="97" t="str">
        <f>IFERROR(__xludf.DUMMYFUNCTION("""COMPUTED_VALUE"""),"Policarbonato (PC)")</f>
        <v>Policarbonato (PC)</v>
      </c>
      <c r="AK1086" s="97" t="str">
        <f>IFERROR(__xludf.DUMMYFUNCTION("""COMPUTED_VALUE"""),"Aluminio y Policarbonato (PC)")</f>
        <v>Aluminio y Policarbonato (PC)</v>
      </c>
      <c r="AL1086" s="97" t="str">
        <f>IFERROR(__xludf.DUMMYFUNCTION("""COMPUTED_VALUE"""),"Negro Satinado")</f>
        <v>Negro Satinado</v>
      </c>
      <c r="AM1086" s="97" t="str">
        <f>IFERROR(__xludf.DUMMYFUNCTION("""COMPUTED_VALUE"""),"-")</f>
        <v>-</v>
      </c>
      <c r="AN1086" s="97" t="str">
        <f>IFERROR(__xludf.DUMMYFUNCTION("""COMPUTED_VALUE"""),"-")</f>
        <v>-</v>
      </c>
      <c r="AO1086" s="97" t="str">
        <f>IFERROR(__xludf.DUMMYFUNCTION("""COMPUTED_VALUE"""),"1 Año")</f>
        <v>1 Año</v>
      </c>
      <c r="AP1086" s="97" t="str">
        <f>IFERROR(__xludf.DUMMYFUNCTION("""COMPUTED_VALUE"""),"No Aplica")</f>
        <v>No Aplica</v>
      </c>
      <c r="AQ1086" s="97" t="str">
        <f>IFERROR(__xludf.DUMMYFUNCTION("""COMPUTED_VALUE"""),"No Aplica")</f>
        <v>No Aplica</v>
      </c>
      <c r="AR1086" s="97" t="str">
        <f>IFERROR(__xludf.DUMMYFUNCTION("""COMPUTED_VALUE"""),"No Aplica")</f>
        <v>No Aplica</v>
      </c>
      <c r="AS1086" s="97"/>
      <c r="AT1086" s="97"/>
      <c r="AU1086" s="97" t="str">
        <f>IFERROR(__xludf.DUMMYFUNCTION("""COMPUTED_VALUE"""),"No Aplica")</f>
        <v>No Aplica</v>
      </c>
      <c r="AV1086" s="97" t="str">
        <f>IFERROR(__xludf.DUMMYFUNCTION("""COMPUTED_VALUE"""),"MDD")</f>
        <v>MDD</v>
      </c>
      <c r="AW1086" s="97" t="str">
        <f>IFERROR(__xludf.DUMMYFUNCTION("""COMPUTED_VALUE"""),"MDD")</f>
        <v>MDD</v>
      </c>
      <c r="AX1086" s="97" t="str">
        <f>IFERROR(__xludf.DUMMYFUNCTION("""COMPUTED_VALUE"""),"MDD")</f>
        <v>MDD</v>
      </c>
      <c r="AY1086" s="97"/>
      <c r="AZ1086" s="97"/>
      <c r="BA1086" s="97" t="str">
        <f>IFERROR(__xludf.DUMMYFUNCTION("""COMPUTED_VALUE"""),"-")</f>
        <v>-</v>
      </c>
      <c r="BB1086" s="97" t="str">
        <f>IFERROR(__xludf.DUMMYFUNCTION("""COMPUTED_VALUE"""),"-")</f>
        <v>-</v>
      </c>
      <c r="BC1086" s="97" t="str">
        <f>IFERROR(__xludf.DUMMYFUNCTION("""COMPUTED_VALUE"""),"-")</f>
        <v>-</v>
      </c>
      <c r="BD1086" s="97" t="str">
        <f>IFERROR(__xludf.DUMMYFUNCTION("""COMPUTED_VALUE"""),"LUMM")</f>
        <v>LUMM</v>
      </c>
      <c r="BE1086" s="97" t="str">
        <f>IFERROR(__xludf.DUMMYFUNCTION("""COMPUTED_VALUE"""),"Sin Ficha")</f>
        <v>Sin Ficha</v>
      </c>
      <c r="BF1086" s="97"/>
      <c r="BG1086" s="97" t="str">
        <f>IFERROR(__xludf.DUMMYFUNCTION("""COMPUTED_VALUE"""),"Discontinuo")</f>
        <v>Discontinuo</v>
      </c>
    </row>
    <row r="1087">
      <c r="A1087" s="97">
        <f>IFERROR(__xludf.DUMMYFUNCTION("""COMPUTED_VALUE"""),6873.0)</f>
        <v>6873</v>
      </c>
      <c r="B1087" s="97" t="str">
        <f>IFERROR(__xludf.DUMMYFUNCTION("""COMPUTED_VALUE"""),"LUMM R BL")</f>
        <v>LUMM R BL</v>
      </c>
      <c r="C1087" s="97" t="str">
        <f>IFERROR(__xludf.DUMMYFUNCTION("""COMPUTED_VALUE"""),"APLIQUE DE PARED LUMM REDONDO BLANCO LEUK")</f>
        <v>APLIQUE DE PARED LUMM REDONDO BLANCO LEUK</v>
      </c>
      <c r="D1087" s="97">
        <f>IFERROR(__xludf.DUMMYFUNCTION("""COMPUTED_VALUE"""),7.798413223521E12)</f>
        <v>7798413223521</v>
      </c>
      <c r="E1087" s="97" t="str">
        <f>IFERROR(__xludf.DUMMYFUNCTION("""COMPUTED_VALUE"""),"F71")</f>
        <v>F71</v>
      </c>
      <c r="F1087" s="97" t="str">
        <f>IFERROR(__xludf.DUMMYFUNCTION("""COMPUTED_VALUE"""),"LED integrado")</f>
        <v>LED integrado</v>
      </c>
      <c r="G1087" s="97" t="str">
        <f>IFERROR(__xludf.DUMMYFUNCTION("""COMPUTED_VALUE"""),"-")</f>
        <v>-</v>
      </c>
      <c r="H1087" s="97" t="str">
        <f>IFERROR(__xludf.DUMMYFUNCTION("""COMPUTED_VALUE"""),"-")</f>
        <v>-</v>
      </c>
      <c r="I1087" s="97" t="str">
        <f>IFERROR(__xludf.DUMMYFUNCTION("""COMPUTED_VALUE"""),"-")</f>
        <v>-</v>
      </c>
      <c r="J1087" s="97"/>
      <c r="K1087" s="97"/>
      <c r="L1087" s="97" t="str">
        <f>IFERROR(__xludf.DUMMYFUNCTION("""COMPUTED_VALUE"""),"200-240")</f>
        <v>200-240</v>
      </c>
      <c r="M1087" s="97" t="str">
        <f>IFERROR(__xludf.DUMMYFUNCTION("""COMPUTED_VALUE"""),"50/60")</f>
        <v>50/60</v>
      </c>
      <c r="N1087" s="97"/>
      <c r="O1087" s="97">
        <f>IFERROR(__xludf.DUMMYFUNCTION("""COMPUTED_VALUE"""),7.0)</f>
        <v>7</v>
      </c>
      <c r="P1087" s="97"/>
      <c r="Q1087" s="97">
        <f>IFERROR(__xludf.DUMMYFUNCTION("""COMPUTED_VALUE"""),0.54)</f>
        <v>0.54</v>
      </c>
      <c r="R1087" s="97" t="str">
        <f>IFERROR(__xludf.DUMMYFUNCTION("""COMPUTED_VALUE"""),"-")</f>
        <v>-</v>
      </c>
      <c r="S1087" s="97" t="str">
        <f>IFERROR(__xludf.DUMMYFUNCTION("""COMPUTED_VALUE"""),"-")</f>
        <v>-</v>
      </c>
      <c r="T1087" s="97">
        <f>IFERROR(__xludf.DUMMYFUNCTION("""COMPUTED_VALUE"""),462.0)</f>
        <v>462</v>
      </c>
      <c r="U1087" s="99">
        <f>IFERROR(__xludf.DUMMYFUNCTION("""COMPUTED_VALUE"""),66.0)</f>
        <v>66</v>
      </c>
      <c r="V1087" s="97">
        <f>IFERROR(__xludf.DUMMYFUNCTION("""COMPUTED_VALUE"""),325.0)</f>
        <v>325</v>
      </c>
      <c r="W1087" s="97" t="str">
        <f>IFERROR(__xludf.DUMMYFUNCTION("""COMPUTED_VALUE"""),"&lt; 20")</f>
        <v>&lt; 20</v>
      </c>
      <c r="X1087" s="97">
        <f>IFERROR(__xludf.DUMMYFUNCTION("""COMPUTED_VALUE"""),3000.0)</f>
        <v>3000</v>
      </c>
      <c r="Y1087" s="97" t="str">
        <f>IFERROR(__xludf.DUMMYFUNCTION("""COMPUTED_VALUE"""),"&gt;80")</f>
        <v>&gt;80</v>
      </c>
      <c r="Z1087" s="97" t="str">
        <f>IFERROR(__xludf.DUMMYFUNCTION("""COMPUTED_VALUE"""),"-")</f>
        <v>-</v>
      </c>
      <c r="AA1087" s="97" t="str">
        <f>IFERROR(__xludf.DUMMYFUNCTION("""COMPUTED_VALUE"""),"-")</f>
        <v>-</v>
      </c>
      <c r="AB1087" s="97" t="str">
        <f>IFERROR(__xludf.DUMMYFUNCTION("""COMPUTED_VALUE"""),"-")</f>
        <v>-</v>
      </c>
      <c r="AC1087" s="97"/>
      <c r="AD1087" s="97" t="str">
        <f>IFERROR(__xludf.DUMMYFUNCTION("""COMPUTED_VALUE"""),"IP20")</f>
        <v>IP20</v>
      </c>
      <c r="AE1087" s="97" t="str">
        <f>IFERROR(__xludf.DUMMYFUNCTION("""COMPUTED_VALUE"""),"Clase l")</f>
        <v>Clase l</v>
      </c>
      <c r="AF1087" s="97" t="str">
        <f>IFERROR(__xludf.DUMMYFUNCTION("""COMPUTED_VALUE"""),"Aplicar")</f>
        <v>Aplicar</v>
      </c>
      <c r="AG1087" s="97" t="str">
        <f>IFERROR(__xludf.DUMMYFUNCTION("""COMPUTED_VALUE"""),"Ø145 x 70")</f>
        <v>Ø145 x 70</v>
      </c>
      <c r="AH1087" s="97" t="str">
        <f>IFERROR(__xludf.DUMMYFUNCTION("""COMPUTED_VALUE"""),"N/A")</f>
        <v>N/A</v>
      </c>
      <c r="AI1087" s="97" t="str">
        <f>IFERROR(__xludf.DUMMYFUNCTION("""COMPUTED_VALUE"""),"N/A")</f>
        <v>N/A</v>
      </c>
      <c r="AJ1087" s="97" t="str">
        <f>IFERROR(__xludf.DUMMYFUNCTION("""COMPUTED_VALUE"""),"Policarbonato (PC)")</f>
        <v>Policarbonato (PC)</v>
      </c>
      <c r="AK1087" s="97" t="str">
        <f>IFERROR(__xludf.DUMMYFUNCTION("""COMPUTED_VALUE"""),"Aluminio y Policarbonato (PC)")</f>
        <v>Aluminio y Policarbonato (PC)</v>
      </c>
      <c r="AL1087" s="97" t="str">
        <f>IFERROR(__xludf.DUMMYFUNCTION("""COMPUTED_VALUE"""),"Blanco Satinado")</f>
        <v>Blanco Satinado</v>
      </c>
      <c r="AM1087" s="97" t="str">
        <f>IFERROR(__xludf.DUMMYFUNCTION("""COMPUTED_VALUE"""),"-")</f>
        <v>-</v>
      </c>
      <c r="AN1087" s="97" t="str">
        <f>IFERROR(__xludf.DUMMYFUNCTION("""COMPUTED_VALUE"""),"-")</f>
        <v>-</v>
      </c>
      <c r="AO1087" s="97" t="str">
        <f>IFERROR(__xludf.DUMMYFUNCTION("""COMPUTED_VALUE"""),"1 Año")</f>
        <v>1 Año</v>
      </c>
      <c r="AP1087" s="97" t="str">
        <f>IFERROR(__xludf.DUMMYFUNCTION("""COMPUTED_VALUE"""),"No Aplica")</f>
        <v>No Aplica</v>
      </c>
      <c r="AQ1087" s="97" t="str">
        <f>IFERROR(__xludf.DUMMYFUNCTION("""COMPUTED_VALUE"""),"No Aplica")</f>
        <v>No Aplica</v>
      </c>
      <c r="AR1087" s="97" t="str">
        <f>IFERROR(__xludf.DUMMYFUNCTION("""COMPUTED_VALUE"""),"No Aplica")</f>
        <v>No Aplica</v>
      </c>
      <c r="AS1087" s="97"/>
      <c r="AT1087" s="97"/>
      <c r="AU1087" s="97" t="str">
        <f>IFERROR(__xludf.DUMMYFUNCTION("""COMPUTED_VALUE"""),"No Aplica")</f>
        <v>No Aplica</v>
      </c>
      <c r="AV1087" s="97" t="str">
        <f>IFERROR(__xludf.DUMMYFUNCTION("""COMPUTED_VALUE"""),"MDD")</f>
        <v>MDD</v>
      </c>
      <c r="AW1087" s="97" t="str">
        <f>IFERROR(__xludf.DUMMYFUNCTION("""COMPUTED_VALUE"""),"MDD")</f>
        <v>MDD</v>
      </c>
      <c r="AX1087" s="97" t="str">
        <f>IFERROR(__xludf.DUMMYFUNCTION("""COMPUTED_VALUE"""),"MDD")</f>
        <v>MDD</v>
      </c>
      <c r="AY1087" s="97"/>
      <c r="AZ1087" s="97"/>
      <c r="BA1087" s="97" t="str">
        <f>IFERROR(__xludf.DUMMYFUNCTION("""COMPUTED_VALUE"""),"-")</f>
        <v>-</v>
      </c>
      <c r="BB1087" s="97" t="str">
        <f>IFERROR(__xludf.DUMMYFUNCTION("""COMPUTED_VALUE"""),"-")</f>
        <v>-</v>
      </c>
      <c r="BC1087" s="97" t="str">
        <f>IFERROR(__xludf.DUMMYFUNCTION("""COMPUTED_VALUE"""),"-")</f>
        <v>-</v>
      </c>
      <c r="BD1087" s="97" t="str">
        <f>IFERROR(__xludf.DUMMYFUNCTION("""COMPUTED_VALUE"""),"LUMM")</f>
        <v>LUMM</v>
      </c>
      <c r="BE1087" s="97" t="str">
        <f>IFERROR(__xludf.DUMMYFUNCTION("""COMPUTED_VALUE"""),"Sin Ficha")</f>
        <v>Sin Ficha</v>
      </c>
      <c r="BF1087" s="97"/>
      <c r="BG1087" s="97" t="str">
        <f>IFERROR(__xludf.DUMMYFUNCTION("""COMPUTED_VALUE"""),"Discontinuo")</f>
        <v>Discontinuo</v>
      </c>
    </row>
    <row r="1088">
      <c r="A1088" s="97">
        <f>IFERROR(__xludf.DUMMYFUNCTION("""COMPUTED_VALUE"""),6874.0)</f>
        <v>6874</v>
      </c>
      <c r="B1088" s="97" t="str">
        <f>IFERROR(__xludf.DUMMYFUNCTION("""COMPUTED_VALUE"""),"LUMM C NG")</f>
        <v>LUMM C NG</v>
      </c>
      <c r="C1088" s="97" t="str">
        <f>IFERROR(__xludf.DUMMYFUNCTION("""COMPUTED_VALUE"""),"APLIQUE DE PARED LUMM CUADRADO NEGRO LEUK")</f>
        <v>APLIQUE DE PARED LUMM CUADRADO NEGRO LEUK</v>
      </c>
      <c r="D1088" s="97">
        <f>IFERROR(__xludf.DUMMYFUNCTION("""COMPUTED_VALUE"""),7.798413223538E12)</f>
        <v>7798413223538</v>
      </c>
      <c r="E1088" s="97" t="str">
        <f>IFERROR(__xludf.DUMMYFUNCTION("""COMPUTED_VALUE"""),"F72")</f>
        <v>F72</v>
      </c>
      <c r="F1088" s="97" t="str">
        <f>IFERROR(__xludf.DUMMYFUNCTION("""COMPUTED_VALUE"""),"LED integrado")</f>
        <v>LED integrado</v>
      </c>
      <c r="G1088" s="97" t="str">
        <f>IFERROR(__xludf.DUMMYFUNCTION("""COMPUTED_VALUE"""),"-")</f>
        <v>-</v>
      </c>
      <c r="H1088" s="97" t="str">
        <f>IFERROR(__xludf.DUMMYFUNCTION("""COMPUTED_VALUE"""),"-")</f>
        <v>-</v>
      </c>
      <c r="I1088" s="97" t="str">
        <f>IFERROR(__xludf.DUMMYFUNCTION("""COMPUTED_VALUE"""),"-")</f>
        <v>-</v>
      </c>
      <c r="J1088" s="97"/>
      <c r="K1088" s="97"/>
      <c r="L1088" s="97" t="str">
        <f>IFERROR(__xludf.DUMMYFUNCTION("""COMPUTED_VALUE"""),"200-240")</f>
        <v>200-240</v>
      </c>
      <c r="M1088" s="97" t="str">
        <f>IFERROR(__xludf.DUMMYFUNCTION("""COMPUTED_VALUE"""),"50/60")</f>
        <v>50/60</v>
      </c>
      <c r="N1088" s="97"/>
      <c r="O1088" s="97">
        <f>IFERROR(__xludf.DUMMYFUNCTION("""COMPUTED_VALUE"""),7.0)</f>
        <v>7</v>
      </c>
      <c r="P1088" s="97"/>
      <c r="Q1088" s="97"/>
      <c r="R1088" s="97" t="str">
        <f>IFERROR(__xludf.DUMMYFUNCTION("""COMPUTED_VALUE"""),"-")</f>
        <v>-</v>
      </c>
      <c r="S1088" s="97" t="str">
        <f>IFERROR(__xludf.DUMMYFUNCTION("""COMPUTED_VALUE"""),"-")</f>
        <v>-</v>
      </c>
      <c r="T1088" s="97">
        <f>IFERROR(__xludf.DUMMYFUNCTION("""COMPUTED_VALUE"""),340.0)</f>
        <v>340</v>
      </c>
      <c r="U1088" s="99">
        <f>IFERROR(__xludf.DUMMYFUNCTION("""COMPUTED_VALUE"""),48.57142857142857)</f>
        <v>48.57142857</v>
      </c>
      <c r="V1088" s="97" t="str">
        <f>IFERROR(__xludf.DUMMYFUNCTION("""COMPUTED_VALUE"""),"-")</f>
        <v>-</v>
      </c>
      <c r="W1088" s="97" t="str">
        <f>IFERROR(__xludf.DUMMYFUNCTION("""COMPUTED_VALUE"""),"-")</f>
        <v>-</v>
      </c>
      <c r="X1088" s="97">
        <f>IFERROR(__xludf.DUMMYFUNCTION("""COMPUTED_VALUE"""),3000.0)</f>
        <v>3000</v>
      </c>
      <c r="Y1088" s="97" t="str">
        <f>IFERROR(__xludf.DUMMYFUNCTION("""COMPUTED_VALUE"""),"&gt;80")</f>
        <v>&gt;80</v>
      </c>
      <c r="Z1088" s="97" t="str">
        <f>IFERROR(__xludf.DUMMYFUNCTION("""COMPUTED_VALUE"""),"-")</f>
        <v>-</v>
      </c>
      <c r="AA1088" s="97" t="str">
        <f>IFERROR(__xludf.DUMMYFUNCTION("""COMPUTED_VALUE"""),"-")</f>
        <v>-</v>
      </c>
      <c r="AB1088" s="97" t="str">
        <f>IFERROR(__xludf.DUMMYFUNCTION("""COMPUTED_VALUE"""),"-")</f>
        <v>-</v>
      </c>
      <c r="AC1088" s="97"/>
      <c r="AD1088" s="97" t="str">
        <f>IFERROR(__xludf.DUMMYFUNCTION("""COMPUTED_VALUE"""),"IP20")</f>
        <v>IP20</v>
      </c>
      <c r="AE1088" s="97" t="str">
        <f>IFERROR(__xludf.DUMMYFUNCTION("""COMPUTED_VALUE"""),"Clase l")</f>
        <v>Clase l</v>
      </c>
      <c r="AF1088" s="97" t="str">
        <f>IFERROR(__xludf.DUMMYFUNCTION("""COMPUTED_VALUE"""),"Aplicar")</f>
        <v>Aplicar</v>
      </c>
      <c r="AG1088" s="97" t="str">
        <f>IFERROR(__xludf.DUMMYFUNCTION("""COMPUTED_VALUE"""),"132 x 132 x 70")</f>
        <v>132 x 132 x 70</v>
      </c>
      <c r="AH1088" s="97" t="str">
        <f>IFERROR(__xludf.DUMMYFUNCTION("""COMPUTED_VALUE"""),"N/A")</f>
        <v>N/A</v>
      </c>
      <c r="AI1088" s="97" t="str">
        <f>IFERROR(__xludf.DUMMYFUNCTION("""COMPUTED_VALUE"""),"N/A")</f>
        <v>N/A</v>
      </c>
      <c r="AJ1088" s="97" t="str">
        <f>IFERROR(__xludf.DUMMYFUNCTION("""COMPUTED_VALUE"""),"Policarbonato (PC)")</f>
        <v>Policarbonato (PC)</v>
      </c>
      <c r="AK1088" s="97" t="str">
        <f>IFERROR(__xludf.DUMMYFUNCTION("""COMPUTED_VALUE"""),"Aluminio y Policarbonato (PC)")</f>
        <v>Aluminio y Policarbonato (PC)</v>
      </c>
      <c r="AL1088" s="97" t="str">
        <f>IFERROR(__xludf.DUMMYFUNCTION("""COMPUTED_VALUE"""),"Negro Satinado")</f>
        <v>Negro Satinado</v>
      </c>
      <c r="AM1088" s="97" t="str">
        <f>IFERROR(__xludf.DUMMYFUNCTION("""COMPUTED_VALUE"""),"-")</f>
        <v>-</v>
      </c>
      <c r="AN1088" s="97" t="str">
        <f>IFERROR(__xludf.DUMMYFUNCTION("""COMPUTED_VALUE"""),"-")</f>
        <v>-</v>
      </c>
      <c r="AO1088" s="97" t="str">
        <f>IFERROR(__xludf.DUMMYFUNCTION("""COMPUTED_VALUE"""),"1 Año")</f>
        <v>1 Año</v>
      </c>
      <c r="AP1088" s="97" t="str">
        <f>IFERROR(__xludf.DUMMYFUNCTION("""COMPUTED_VALUE"""),"No Aplica")</f>
        <v>No Aplica</v>
      </c>
      <c r="AQ1088" s="97" t="str">
        <f>IFERROR(__xludf.DUMMYFUNCTION("""COMPUTED_VALUE"""),"No Aplica")</f>
        <v>No Aplica</v>
      </c>
      <c r="AR1088" s="97" t="str">
        <f>IFERROR(__xludf.DUMMYFUNCTION("""COMPUTED_VALUE"""),"No Aplica")</f>
        <v>No Aplica</v>
      </c>
      <c r="AS1088" s="97"/>
      <c r="AT1088" s="97"/>
      <c r="AU1088" s="97" t="str">
        <f>IFERROR(__xludf.DUMMYFUNCTION("""COMPUTED_VALUE"""),"No Aplica")</f>
        <v>No Aplica</v>
      </c>
      <c r="AV1088" s="97" t="str">
        <f>IFERROR(__xludf.DUMMYFUNCTION("""COMPUTED_VALUE"""),"MDD")</f>
        <v>MDD</v>
      </c>
      <c r="AW1088" s="97" t="str">
        <f>IFERROR(__xludf.DUMMYFUNCTION("""COMPUTED_VALUE"""),"MDD")</f>
        <v>MDD</v>
      </c>
      <c r="AX1088" s="97" t="str">
        <f>IFERROR(__xludf.DUMMYFUNCTION("""COMPUTED_VALUE"""),"MDD")</f>
        <v>MDD</v>
      </c>
      <c r="AY1088" s="97"/>
      <c r="AZ1088" s="97"/>
      <c r="BA1088" s="97" t="str">
        <f>IFERROR(__xludf.DUMMYFUNCTION("""COMPUTED_VALUE"""),"-")</f>
        <v>-</v>
      </c>
      <c r="BB1088" s="97" t="str">
        <f>IFERROR(__xludf.DUMMYFUNCTION("""COMPUTED_VALUE"""),"-")</f>
        <v>-</v>
      </c>
      <c r="BC1088" s="97" t="str">
        <f>IFERROR(__xludf.DUMMYFUNCTION("""COMPUTED_VALUE"""),"-")</f>
        <v>-</v>
      </c>
      <c r="BD1088" s="97" t="str">
        <f>IFERROR(__xludf.DUMMYFUNCTION("""COMPUTED_VALUE"""),"LUMM")</f>
        <v>LUMM</v>
      </c>
      <c r="BE1088" s="97" t="str">
        <f>IFERROR(__xludf.DUMMYFUNCTION("""COMPUTED_VALUE"""),"Sin Ficha")</f>
        <v>Sin Ficha</v>
      </c>
      <c r="BF1088" s="97"/>
      <c r="BG1088" s="97" t="str">
        <f>IFERROR(__xludf.DUMMYFUNCTION("""COMPUTED_VALUE"""),"Discontinuo")</f>
        <v>Discontinuo</v>
      </c>
    </row>
    <row r="1089">
      <c r="A1089" s="97">
        <f>IFERROR(__xludf.DUMMYFUNCTION("""COMPUTED_VALUE"""),6875.0)</f>
        <v>6875</v>
      </c>
      <c r="B1089" s="97" t="str">
        <f>IFERROR(__xludf.DUMMYFUNCTION("""COMPUTED_VALUE"""),"LUMM C BL")</f>
        <v>LUMM C BL</v>
      </c>
      <c r="C1089" s="97" t="str">
        <f>IFERROR(__xludf.DUMMYFUNCTION("""COMPUTED_VALUE"""),"APLIQUE DE PARED LUMM CUADRADO BLANCO LEUK")</f>
        <v>APLIQUE DE PARED LUMM CUADRADO BLANCO LEUK</v>
      </c>
      <c r="D1089" s="97">
        <f>IFERROR(__xludf.DUMMYFUNCTION("""COMPUTED_VALUE"""),7.798413223545E12)</f>
        <v>7798413223545</v>
      </c>
      <c r="E1089" s="97" t="str">
        <f>IFERROR(__xludf.DUMMYFUNCTION("""COMPUTED_VALUE"""),"F73")</f>
        <v>F73</v>
      </c>
      <c r="F1089" s="97" t="str">
        <f>IFERROR(__xludf.DUMMYFUNCTION("""COMPUTED_VALUE"""),"LED integrado")</f>
        <v>LED integrado</v>
      </c>
      <c r="G1089" s="97" t="str">
        <f>IFERROR(__xludf.DUMMYFUNCTION("""COMPUTED_VALUE"""),"-")</f>
        <v>-</v>
      </c>
      <c r="H1089" s="97" t="str">
        <f>IFERROR(__xludf.DUMMYFUNCTION("""COMPUTED_VALUE"""),"-")</f>
        <v>-</v>
      </c>
      <c r="I1089" s="97" t="str">
        <f>IFERROR(__xludf.DUMMYFUNCTION("""COMPUTED_VALUE"""),"-")</f>
        <v>-</v>
      </c>
      <c r="J1089" s="97"/>
      <c r="K1089" s="97"/>
      <c r="L1089" s="97" t="str">
        <f>IFERROR(__xludf.DUMMYFUNCTION("""COMPUTED_VALUE"""),"200-240")</f>
        <v>200-240</v>
      </c>
      <c r="M1089" s="97" t="str">
        <f>IFERROR(__xludf.DUMMYFUNCTION("""COMPUTED_VALUE"""),"50/60")</f>
        <v>50/60</v>
      </c>
      <c r="N1089" s="97"/>
      <c r="O1089" s="97">
        <f>IFERROR(__xludf.DUMMYFUNCTION("""COMPUTED_VALUE"""),7.0)</f>
        <v>7</v>
      </c>
      <c r="P1089" s="97"/>
      <c r="Q1089" s="97"/>
      <c r="R1089" s="97" t="str">
        <f>IFERROR(__xludf.DUMMYFUNCTION("""COMPUTED_VALUE"""),"-")</f>
        <v>-</v>
      </c>
      <c r="S1089" s="97" t="str">
        <f>IFERROR(__xludf.DUMMYFUNCTION("""COMPUTED_VALUE"""),"-")</f>
        <v>-</v>
      </c>
      <c r="T1089" s="97">
        <f>IFERROR(__xludf.DUMMYFUNCTION("""COMPUTED_VALUE"""),340.0)</f>
        <v>340</v>
      </c>
      <c r="U1089" s="99">
        <f>IFERROR(__xludf.DUMMYFUNCTION("""COMPUTED_VALUE"""),48.57142857142857)</f>
        <v>48.57142857</v>
      </c>
      <c r="V1089" s="97" t="str">
        <f>IFERROR(__xludf.DUMMYFUNCTION("""COMPUTED_VALUE"""),"-")</f>
        <v>-</v>
      </c>
      <c r="W1089" s="97" t="str">
        <f>IFERROR(__xludf.DUMMYFUNCTION("""COMPUTED_VALUE"""),"-")</f>
        <v>-</v>
      </c>
      <c r="X1089" s="97">
        <f>IFERROR(__xludf.DUMMYFUNCTION("""COMPUTED_VALUE"""),3000.0)</f>
        <v>3000</v>
      </c>
      <c r="Y1089" s="97" t="str">
        <f>IFERROR(__xludf.DUMMYFUNCTION("""COMPUTED_VALUE"""),"&gt;80")</f>
        <v>&gt;80</v>
      </c>
      <c r="Z1089" s="97" t="str">
        <f>IFERROR(__xludf.DUMMYFUNCTION("""COMPUTED_VALUE"""),"-")</f>
        <v>-</v>
      </c>
      <c r="AA1089" s="97" t="str">
        <f>IFERROR(__xludf.DUMMYFUNCTION("""COMPUTED_VALUE"""),"-")</f>
        <v>-</v>
      </c>
      <c r="AB1089" s="97" t="str">
        <f>IFERROR(__xludf.DUMMYFUNCTION("""COMPUTED_VALUE"""),"-")</f>
        <v>-</v>
      </c>
      <c r="AC1089" s="97"/>
      <c r="AD1089" s="97" t="str">
        <f>IFERROR(__xludf.DUMMYFUNCTION("""COMPUTED_VALUE"""),"IP20")</f>
        <v>IP20</v>
      </c>
      <c r="AE1089" s="97" t="str">
        <f>IFERROR(__xludf.DUMMYFUNCTION("""COMPUTED_VALUE"""),"Clase l")</f>
        <v>Clase l</v>
      </c>
      <c r="AF1089" s="97" t="str">
        <f>IFERROR(__xludf.DUMMYFUNCTION("""COMPUTED_VALUE"""),"Aplicar")</f>
        <v>Aplicar</v>
      </c>
      <c r="AG1089" s="97" t="str">
        <f>IFERROR(__xludf.DUMMYFUNCTION("""COMPUTED_VALUE"""),"132 x 132 x 70")</f>
        <v>132 x 132 x 70</v>
      </c>
      <c r="AH1089" s="97" t="str">
        <f>IFERROR(__xludf.DUMMYFUNCTION("""COMPUTED_VALUE"""),"N/A")</f>
        <v>N/A</v>
      </c>
      <c r="AI1089" s="97" t="str">
        <f>IFERROR(__xludf.DUMMYFUNCTION("""COMPUTED_VALUE"""),"N/A")</f>
        <v>N/A</v>
      </c>
      <c r="AJ1089" s="97" t="str">
        <f>IFERROR(__xludf.DUMMYFUNCTION("""COMPUTED_VALUE"""),"Policarbonato (PC)")</f>
        <v>Policarbonato (PC)</v>
      </c>
      <c r="AK1089" s="97" t="str">
        <f>IFERROR(__xludf.DUMMYFUNCTION("""COMPUTED_VALUE"""),"Aluminio y Policarbonato (PC)")</f>
        <v>Aluminio y Policarbonato (PC)</v>
      </c>
      <c r="AL1089" s="97" t="str">
        <f>IFERROR(__xludf.DUMMYFUNCTION("""COMPUTED_VALUE"""),"Blanco Satinado")</f>
        <v>Blanco Satinado</v>
      </c>
      <c r="AM1089" s="97" t="str">
        <f>IFERROR(__xludf.DUMMYFUNCTION("""COMPUTED_VALUE"""),"-")</f>
        <v>-</v>
      </c>
      <c r="AN1089" s="97" t="str">
        <f>IFERROR(__xludf.DUMMYFUNCTION("""COMPUTED_VALUE"""),"-")</f>
        <v>-</v>
      </c>
      <c r="AO1089" s="97" t="str">
        <f>IFERROR(__xludf.DUMMYFUNCTION("""COMPUTED_VALUE"""),"1 Año")</f>
        <v>1 Año</v>
      </c>
      <c r="AP1089" s="97" t="str">
        <f>IFERROR(__xludf.DUMMYFUNCTION("""COMPUTED_VALUE"""),"No Aplica")</f>
        <v>No Aplica</v>
      </c>
      <c r="AQ1089" s="97" t="str">
        <f>IFERROR(__xludf.DUMMYFUNCTION("""COMPUTED_VALUE"""),"No Aplica")</f>
        <v>No Aplica</v>
      </c>
      <c r="AR1089" s="97" t="str">
        <f>IFERROR(__xludf.DUMMYFUNCTION("""COMPUTED_VALUE"""),"No Aplica")</f>
        <v>No Aplica</v>
      </c>
      <c r="AS1089" s="97"/>
      <c r="AT1089" s="97"/>
      <c r="AU1089" s="97" t="str">
        <f>IFERROR(__xludf.DUMMYFUNCTION("""COMPUTED_VALUE"""),"No Aplica")</f>
        <v>No Aplica</v>
      </c>
      <c r="AV1089" s="97" t="str">
        <f>IFERROR(__xludf.DUMMYFUNCTION("""COMPUTED_VALUE"""),"MDD")</f>
        <v>MDD</v>
      </c>
      <c r="AW1089" s="97" t="str">
        <f>IFERROR(__xludf.DUMMYFUNCTION("""COMPUTED_VALUE"""),"MDD")</f>
        <v>MDD</v>
      </c>
      <c r="AX1089" s="97" t="str">
        <f>IFERROR(__xludf.DUMMYFUNCTION("""COMPUTED_VALUE"""),"MDD")</f>
        <v>MDD</v>
      </c>
      <c r="AY1089" s="97"/>
      <c r="AZ1089" s="97"/>
      <c r="BA1089" s="97" t="str">
        <f>IFERROR(__xludf.DUMMYFUNCTION("""COMPUTED_VALUE"""),"-")</f>
        <v>-</v>
      </c>
      <c r="BB1089" s="97" t="str">
        <f>IFERROR(__xludf.DUMMYFUNCTION("""COMPUTED_VALUE"""),"-")</f>
        <v>-</v>
      </c>
      <c r="BC1089" s="97" t="str">
        <f>IFERROR(__xludf.DUMMYFUNCTION("""COMPUTED_VALUE"""),"-")</f>
        <v>-</v>
      </c>
      <c r="BD1089" s="97" t="str">
        <f>IFERROR(__xludf.DUMMYFUNCTION("""COMPUTED_VALUE"""),"LUMM")</f>
        <v>LUMM</v>
      </c>
      <c r="BE1089" s="97" t="str">
        <f>IFERROR(__xludf.DUMMYFUNCTION("""COMPUTED_VALUE"""),"Sin Ficha")</f>
        <v>Sin Ficha</v>
      </c>
      <c r="BF1089" s="97"/>
      <c r="BG1089" s="97" t="str">
        <f>IFERROR(__xludf.DUMMYFUNCTION("""COMPUTED_VALUE"""),"Discontinuo")</f>
        <v>Discontinuo</v>
      </c>
    </row>
    <row r="1090">
      <c r="A1090" s="97">
        <f>IFERROR(__xludf.DUMMYFUNCTION("""COMPUTED_VALUE"""),7008.0)</f>
        <v>7008</v>
      </c>
      <c r="B1090" s="97" t="str">
        <f>IFERROR(__xludf.DUMMYFUNCTION("""COMPUTED_VALUE"""),"ADAPTADOR HEMBRA 3EF BL")</f>
        <v>ADAPTADOR HEMBRA 3EF BL</v>
      </c>
      <c r="C1090" s="97" t="str">
        <f>IFERROR(__xludf.DUMMYFUNCTION("""COMPUTED_VALUE"""),"ACCESORIO ADAPTADOR HEMBRA 3EF BL LEUK")</f>
        <v>ACCESORIO ADAPTADOR HEMBRA 3EF BL LEUK</v>
      </c>
      <c r="D1090" s="97">
        <f>IFERROR(__xludf.DUMMYFUNCTION("""COMPUTED_VALUE"""),7.798413226447E12)</f>
        <v>7798413226447</v>
      </c>
      <c r="E1090" s="97"/>
      <c r="F1090" s="97" t="str">
        <f>IFERROR(__xludf.DUMMYFUNCTION("""COMPUTED_VALUE"""),"N/A")</f>
        <v>N/A</v>
      </c>
      <c r="G1090" s="97" t="str">
        <f>IFERROR(__xludf.DUMMYFUNCTION("""COMPUTED_VALUE"""),"N/A")</f>
        <v>N/A</v>
      </c>
      <c r="H1090" s="97" t="str">
        <f>IFERROR(__xludf.DUMMYFUNCTION("""COMPUTED_VALUE"""),"N/A")</f>
        <v>N/A</v>
      </c>
      <c r="I1090" s="97" t="str">
        <f>IFERROR(__xludf.DUMMYFUNCTION("""COMPUTED_VALUE"""),"N/A")</f>
        <v>N/A</v>
      </c>
      <c r="J1090" s="97" t="str">
        <f>IFERROR(__xludf.DUMMYFUNCTION("""COMPUTED_VALUE"""),"N/A")</f>
        <v>N/A</v>
      </c>
      <c r="K1090" s="97" t="str">
        <f>IFERROR(__xludf.DUMMYFUNCTION("""COMPUTED_VALUE"""),"N/A")</f>
        <v>N/A</v>
      </c>
      <c r="L1090" s="97">
        <f>IFERROR(__xludf.DUMMYFUNCTION("""COMPUTED_VALUE"""),220.0)</f>
        <v>220</v>
      </c>
      <c r="M1090" s="97">
        <f>IFERROR(__xludf.DUMMYFUNCTION("""COMPUTED_VALUE"""),50.0)</f>
        <v>50</v>
      </c>
      <c r="N1090" s="97" t="str">
        <f>IFERROR(__xludf.DUMMYFUNCTION("""COMPUTED_VALUE"""),"N/A")</f>
        <v>N/A</v>
      </c>
      <c r="O1090" s="97" t="str">
        <f>IFERROR(__xludf.DUMMYFUNCTION("""COMPUTED_VALUE"""),"-")</f>
        <v>-</v>
      </c>
      <c r="P1090" s="97"/>
      <c r="Q1090" s="97" t="str">
        <f>IFERROR(__xludf.DUMMYFUNCTION("""COMPUTED_VALUE"""),"-")</f>
        <v>-</v>
      </c>
      <c r="R1090" s="97" t="str">
        <f>IFERROR(__xludf.DUMMYFUNCTION("""COMPUTED_VALUE"""),"-")</f>
        <v>-</v>
      </c>
      <c r="S1090" s="97" t="str">
        <f>IFERROR(__xludf.DUMMYFUNCTION("""COMPUTED_VALUE"""),"-")</f>
        <v>-</v>
      </c>
      <c r="T1090" s="97" t="str">
        <f>IFERROR(__xludf.DUMMYFUNCTION("""COMPUTED_VALUE"""),"-")</f>
        <v>-</v>
      </c>
      <c r="U1090" s="97" t="str">
        <f>IFERROR(__xludf.DUMMYFUNCTION("""COMPUTED_VALUE"""),"-")</f>
        <v>-</v>
      </c>
      <c r="V1090" s="97" t="str">
        <f>IFERROR(__xludf.DUMMYFUNCTION("""COMPUTED_VALUE"""),"N/A")</f>
        <v>N/A</v>
      </c>
      <c r="W1090" s="97" t="str">
        <f>IFERROR(__xludf.DUMMYFUNCTION("""COMPUTED_VALUE"""),"N/A")</f>
        <v>N/A</v>
      </c>
      <c r="X1090" s="97" t="str">
        <f>IFERROR(__xludf.DUMMYFUNCTION("""COMPUTED_VALUE"""),"-")</f>
        <v>-</v>
      </c>
      <c r="Y1090" s="97" t="str">
        <f>IFERROR(__xludf.DUMMYFUNCTION("""COMPUTED_VALUE"""),"N/A")</f>
        <v>N/A</v>
      </c>
      <c r="Z1090" s="97" t="str">
        <f>IFERROR(__xludf.DUMMYFUNCTION("""COMPUTED_VALUE"""),"N/A")</f>
        <v>N/A</v>
      </c>
      <c r="AA1090" s="97" t="str">
        <f>IFERROR(__xludf.DUMMYFUNCTION("""COMPUTED_VALUE"""),"N/A")</f>
        <v>N/A</v>
      </c>
      <c r="AB1090" s="97" t="str">
        <f>IFERROR(__xludf.DUMMYFUNCTION("""COMPUTED_VALUE"""),"N/A")</f>
        <v>N/A</v>
      </c>
      <c r="AC1090" s="97" t="str">
        <f>IFERROR(__xludf.DUMMYFUNCTION("""COMPUTED_VALUE"""),"N/A")</f>
        <v>N/A</v>
      </c>
      <c r="AD1090" s="97" t="str">
        <f>IFERROR(__xludf.DUMMYFUNCTION("""COMPUTED_VALUE"""),"IP20")</f>
        <v>IP20</v>
      </c>
      <c r="AE1090" s="97" t="str">
        <f>IFERROR(__xludf.DUMMYFUNCTION("""COMPUTED_VALUE"""),"Clase l")</f>
        <v>Clase l</v>
      </c>
      <c r="AF1090" s="97" t="str">
        <f>IFERROR(__xludf.DUMMYFUNCTION("""COMPUTED_VALUE"""),"N/A")</f>
        <v>N/A</v>
      </c>
      <c r="AG1090" s="97" t="str">
        <f>IFERROR(__xludf.DUMMYFUNCTION("""COMPUTED_VALUE"""),"84 x 32 x 57")</f>
        <v>84 x 32 x 57</v>
      </c>
      <c r="AH1090" s="97" t="str">
        <f>IFERROR(__xludf.DUMMYFUNCTION("""COMPUTED_VALUE"""),"N/A")</f>
        <v>N/A</v>
      </c>
      <c r="AI1090" s="97" t="str">
        <f>IFERROR(__xludf.DUMMYFUNCTION("""COMPUTED_VALUE"""),"N/A")</f>
        <v>N/A</v>
      </c>
      <c r="AJ1090" s="97" t="str">
        <f>IFERROR(__xludf.DUMMYFUNCTION("""COMPUTED_VALUE"""),"N/A")</f>
        <v>N/A</v>
      </c>
      <c r="AK1090" s="97" t="str">
        <f>IFERROR(__xludf.DUMMYFUNCTION("""COMPUTED_VALUE"""),"Policarbonato (PC)")</f>
        <v>Policarbonato (PC)</v>
      </c>
      <c r="AL1090" s="97" t="str">
        <f>IFERROR(__xludf.DUMMYFUNCTION("""COMPUTED_VALUE"""),"Blanco Mate")</f>
        <v>Blanco Mate</v>
      </c>
      <c r="AM1090" s="97" t="str">
        <f>IFERROR(__xludf.DUMMYFUNCTION("""COMPUTED_VALUE"""),"-")</f>
        <v>-</v>
      </c>
      <c r="AN1090" s="97" t="str">
        <f>IFERROR(__xludf.DUMMYFUNCTION("""COMPUTED_VALUE"""),"N/A")</f>
        <v>N/A</v>
      </c>
      <c r="AO1090" s="97" t="str">
        <f>IFERROR(__xludf.DUMMYFUNCTION("""COMPUTED_VALUE"""),"3 Años")</f>
        <v>3 Años</v>
      </c>
      <c r="AP1090" s="97" t="str">
        <f>IFERROR(__xludf.DUMMYFUNCTION("""COMPUTED_VALUE"""),"No Aplica")</f>
        <v>No Aplica</v>
      </c>
      <c r="AQ1090" s="97" t="str">
        <f>IFERROR(__xludf.DUMMYFUNCTION("""COMPUTED_VALUE"""),"No Aplica")</f>
        <v>No Aplica</v>
      </c>
      <c r="AR1090" s="97" t="str">
        <f>IFERROR(__xludf.DUMMYFUNCTION("""COMPUTED_VALUE"""),"No Aplica")</f>
        <v>No Aplica</v>
      </c>
      <c r="AS1090" s="97"/>
      <c r="AT1090" s="97"/>
      <c r="AU1090" s="97" t="str">
        <f>IFERROR(__xludf.DUMMYFUNCTION("""COMPUTED_VALUE"""),"Falta")</f>
        <v>Falta</v>
      </c>
      <c r="AV1090" s="97" t="str">
        <f>IFERROR(__xludf.DUMMYFUNCTION("""COMPUTED_VALUE"""),"Accesorio")</f>
        <v>Accesorio</v>
      </c>
      <c r="AW1090" s="97" t="str">
        <f>IFERROR(__xludf.DUMMYFUNCTION("""COMPUTED_VALUE"""),"Rieles")</f>
        <v>Rieles</v>
      </c>
      <c r="AX1090" s="97" t="str">
        <f>IFERROR(__xludf.DUMMYFUNCTION("""COMPUTED_VALUE"""),"Interior")</f>
        <v>Interior</v>
      </c>
      <c r="AY1090" s="97" t="str">
        <f>IFERROR(__xludf.DUMMYFUNCTION("""COMPUTED_VALUE"""),"-")</f>
        <v>-</v>
      </c>
      <c r="AZ1090" s="97" t="str">
        <f>IFERROR(__xludf.DUMMYFUNCTION("""COMPUTED_VALUE"""),"Soporta 10A")</f>
        <v>Soporta 10A</v>
      </c>
      <c r="BA1090" s="97">
        <f>IFERROR(__xludf.DUMMYFUNCTION("""COMPUTED_VALUE"""),100.0)</f>
        <v>100</v>
      </c>
      <c r="BB1090" s="97" t="str">
        <f>IFERROR(__xludf.DUMMYFUNCTION("""COMPUTED_VALUE"""),"-")</f>
        <v>-</v>
      </c>
      <c r="BC1090" s="97" t="str">
        <f>IFERROR(__xludf.DUMMYFUNCTION("""COMPUTED_VALUE"""),"-")</f>
        <v>-</v>
      </c>
      <c r="BD1090" s="97" t="str">
        <f>IFERROR(__xludf.DUMMYFUNCTION("""COMPUTED_VALUE"""),"RIELES 3EF")</f>
        <v>RIELES 3EF</v>
      </c>
      <c r="BE1090" s="97" t="str">
        <f>IFERROR(__xludf.DUMMYFUNCTION("""COMPUTED_VALUE"""),"Falta TR")</f>
        <v>Falta TR</v>
      </c>
      <c r="BF1090" s="97"/>
      <c r="BG1090" s="97" t="str">
        <f>IFERROR(__xludf.DUMMYFUNCTION("""COMPUTED_VALUE"""),"A Confirmar")</f>
        <v>A Confirmar</v>
      </c>
    </row>
    <row r="1091">
      <c r="A1091" s="97">
        <f>IFERROR(__xludf.DUMMYFUNCTION("""COMPUTED_VALUE"""),7009.0)</f>
        <v>7009</v>
      </c>
      <c r="B1091" s="97" t="str">
        <f>IFERROR(__xludf.DUMMYFUNCTION("""COMPUTED_VALUE"""),"ADAPTADOR HEMBRA 3EF NG")</f>
        <v>ADAPTADOR HEMBRA 3EF NG</v>
      </c>
      <c r="C1091" s="97" t="str">
        <f>IFERROR(__xludf.DUMMYFUNCTION("""COMPUTED_VALUE"""),"ACCESORIO ADAPTADOR HEMBRA 3EF NG LEUK")</f>
        <v>ACCESORIO ADAPTADOR HEMBRA 3EF NG LEUK</v>
      </c>
      <c r="D1091" s="97">
        <f>IFERROR(__xludf.DUMMYFUNCTION("""COMPUTED_VALUE"""),7.798413226454E12)</f>
        <v>7798413226454</v>
      </c>
      <c r="E1091" s="97"/>
      <c r="F1091" s="97" t="str">
        <f>IFERROR(__xludf.DUMMYFUNCTION("""COMPUTED_VALUE"""),"N/A")</f>
        <v>N/A</v>
      </c>
      <c r="G1091" s="97" t="str">
        <f>IFERROR(__xludf.DUMMYFUNCTION("""COMPUTED_VALUE"""),"N/A")</f>
        <v>N/A</v>
      </c>
      <c r="H1091" s="97" t="str">
        <f>IFERROR(__xludf.DUMMYFUNCTION("""COMPUTED_VALUE"""),"N/A")</f>
        <v>N/A</v>
      </c>
      <c r="I1091" s="97" t="str">
        <f>IFERROR(__xludf.DUMMYFUNCTION("""COMPUTED_VALUE"""),"N/A")</f>
        <v>N/A</v>
      </c>
      <c r="J1091" s="97" t="str">
        <f>IFERROR(__xludf.DUMMYFUNCTION("""COMPUTED_VALUE"""),"N/A")</f>
        <v>N/A</v>
      </c>
      <c r="K1091" s="97" t="str">
        <f>IFERROR(__xludf.DUMMYFUNCTION("""COMPUTED_VALUE"""),"N/A")</f>
        <v>N/A</v>
      </c>
      <c r="L1091" s="97">
        <f>IFERROR(__xludf.DUMMYFUNCTION("""COMPUTED_VALUE"""),220.0)</f>
        <v>220</v>
      </c>
      <c r="M1091" s="97">
        <f>IFERROR(__xludf.DUMMYFUNCTION("""COMPUTED_VALUE"""),50.0)</f>
        <v>50</v>
      </c>
      <c r="N1091" s="97" t="str">
        <f>IFERROR(__xludf.DUMMYFUNCTION("""COMPUTED_VALUE"""),"N/A")</f>
        <v>N/A</v>
      </c>
      <c r="O1091" s="97" t="str">
        <f>IFERROR(__xludf.DUMMYFUNCTION("""COMPUTED_VALUE"""),"-")</f>
        <v>-</v>
      </c>
      <c r="P1091" s="97"/>
      <c r="Q1091" s="97" t="str">
        <f>IFERROR(__xludf.DUMMYFUNCTION("""COMPUTED_VALUE"""),"-")</f>
        <v>-</v>
      </c>
      <c r="R1091" s="97" t="str">
        <f>IFERROR(__xludf.DUMMYFUNCTION("""COMPUTED_VALUE"""),"-")</f>
        <v>-</v>
      </c>
      <c r="S1091" s="97" t="str">
        <f>IFERROR(__xludf.DUMMYFUNCTION("""COMPUTED_VALUE"""),"-")</f>
        <v>-</v>
      </c>
      <c r="T1091" s="97" t="str">
        <f>IFERROR(__xludf.DUMMYFUNCTION("""COMPUTED_VALUE"""),"-")</f>
        <v>-</v>
      </c>
      <c r="U1091" s="97" t="str">
        <f>IFERROR(__xludf.DUMMYFUNCTION("""COMPUTED_VALUE"""),"-")</f>
        <v>-</v>
      </c>
      <c r="V1091" s="97" t="str">
        <f>IFERROR(__xludf.DUMMYFUNCTION("""COMPUTED_VALUE"""),"N/A")</f>
        <v>N/A</v>
      </c>
      <c r="W1091" s="97" t="str">
        <f>IFERROR(__xludf.DUMMYFUNCTION("""COMPUTED_VALUE"""),"N/A")</f>
        <v>N/A</v>
      </c>
      <c r="X1091" s="97" t="str">
        <f>IFERROR(__xludf.DUMMYFUNCTION("""COMPUTED_VALUE"""),"-")</f>
        <v>-</v>
      </c>
      <c r="Y1091" s="97" t="str">
        <f>IFERROR(__xludf.DUMMYFUNCTION("""COMPUTED_VALUE"""),"N/A")</f>
        <v>N/A</v>
      </c>
      <c r="Z1091" s="97" t="str">
        <f>IFERROR(__xludf.DUMMYFUNCTION("""COMPUTED_VALUE"""),"N/A")</f>
        <v>N/A</v>
      </c>
      <c r="AA1091" s="97" t="str">
        <f>IFERROR(__xludf.DUMMYFUNCTION("""COMPUTED_VALUE"""),"N/A")</f>
        <v>N/A</v>
      </c>
      <c r="AB1091" s="97" t="str">
        <f>IFERROR(__xludf.DUMMYFUNCTION("""COMPUTED_VALUE"""),"N/A")</f>
        <v>N/A</v>
      </c>
      <c r="AC1091" s="97" t="str">
        <f>IFERROR(__xludf.DUMMYFUNCTION("""COMPUTED_VALUE"""),"N/A")</f>
        <v>N/A</v>
      </c>
      <c r="AD1091" s="97" t="str">
        <f>IFERROR(__xludf.DUMMYFUNCTION("""COMPUTED_VALUE"""),"IP20")</f>
        <v>IP20</v>
      </c>
      <c r="AE1091" s="97" t="str">
        <f>IFERROR(__xludf.DUMMYFUNCTION("""COMPUTED_VALUE"""),"Clase l")</f>
        <v>Clase l</v>
      </c>
      <c r="AF1091" s="97" t="str">
        <f>IFERROR(__xludf.DUMMYFUNCTION("""COMPUTED_VALUE"""),"N/A")</f>
        <v>N/A</v>
      </c>
      <c r="AG1091" s="97" t="str">
        <f>IFERROR(__xludf.DUMMYFUNCTION("""COMPUTED_VALUE"""),"84 x 32 x 57")</f>
        <v>84 x 32 x 57</v>
      </c>
      <c r="AH1091" s="97" t="str">
        <f>IFERROR(__xludf.DUMMYFUNCTION("""COMPUTED_VALUE"""),"N/A")</f>
        <v>N/A</v>
      </c>
      <c r="AI1091" s="97" t="str">
        <f>IFERROR(__xludf.DUMMYFUNCTION("""COMPUTED_VALUE"""),"N/A")</f>
        <v>N/A</v>
      </c>
      <c r="AJ1091" s="97" t="str">
        <f>IFERROR(__xludf.DUMMYFUNCTION("""COMPUTED_VALUE"""),"N/A")</f>
        <v>N/A</v>
      </c>
      <c r="AK1091" s="97" t="str">
        <f>IFERROR(__xludf.DUMMYFUNCTION("""COMPUTED_VALUE"""),"Policarbonato (PC)")</f>
        <v>Policarbonato (PC)</v>
      </c>
      <c r="AL1091" s="97" t="str">
        <f>IFERROR(__xludf.DUMMYFUNCTION("""COMPUTED_VALUE"""),"Negro Mate")</f>
        <v>Negro Mate</v>
      </c>
      <c r="AM1091" s="97" t="str">
        <f>IFERROR(__xludf.DUMMYFUNCTION("""COMPUTED_VALUE"""),"-")</f>
        <v>-</v>
      </c>
      <c r="AN1091" s="97" t="str">
        <f>IFERROR(__xludf.DUMMYFUNCTION("""COMPUTED_VALUE"""),"N/A")</f>
        <v>N/A</v>
      </c>
      <c r="AO1091" s="97" t="str">
        <f>IFERROR(__xludf.DUMMYFUNCTION("""COMPUTED_VALUE"""),"3 Años")</f>
        <v>3 Años</v>
      </c>
      <c r="AP1091" s="97" t="str">
        <f>IFERROR(__xludf.DUMMYFUNCTION("""COMPUTED_VALUE"""),"No Aplica")</f>
        <v>No Aplica</v>
      </c>
      <c r="AQ1091" s="97" t="str">
        <f>IFERROR(__xludf.DUMMYFUNCTION("""COMPUTED_VALUE"""),"No Aplica")</f>
        <v>No Aplica</v>
      </c>
      <c r="AR1091" s="97" t="str">
        <f>IFERROR(__xludf.DUMMYFUNCTION("""COMPUTED_VALUE"""),"No Aplica")</f>
        <v>No Aplica</v>
      </c>
      <c r="AS1091" s="97"/>
      <c r="AT1091" s="97"/>
      <c r="AU1091" s="97" t="str">
        <f>IFERROR(__xludf.DUMMYFUNCTION("""COMPUTED_VALUE"""),"Falta")</f>
        <v>Falta</v>
      </c>
      <c r="AV1091" s="97" t="str">
        <f>IFERROR(__xludf.DUMMYFUNCTION("""COMPUTED_VALUE"""),"Accesorio")</f>
        <v>Accesorio</v>
      </c>
      <c r="AW1091" s="97" t="str">
        <f>IFERROR(__xludf.DUMMYFUNCTION("""COMPUTED_VALUE"""),"Rieles")</f>
        <v>Rieles</v>
      </c>
      <c r="AX1091" s="97" t="str">
        <f>IFERROR(__xludf.DUMMYFUNCTION("""COMPUTED_VALUE"""),"Interior")</f>
        <v>Interior</v>
      </c>
      <c r="AY1091" s="97" t="str">
        <f>IFERROR(__xludf.DUMMYFUNCTION("""COMPUTED_VALUE"""),"-")</f>
        <v>-</v>
      </c>
      <c r="AZ1091" s="97" t="str">
        <f>IFERROR(__xludf.DUMMYFUNCTION("""COMPUTED_VALUE"""),"Soporta 10A")</f>
        <v>Soporta 10A</v>
      </c>
      <c r="BA1091" s="97">
        <f>IFERROR(__xludf.DUMMYFUNCTION("""COMPUTED_VALUE"""),100.0)</f>
        <v>100</v>
      </c>
      <c r="BB1091" s="97" t="str">
        <f>IFERROR(__xludf.DUMMYFUNCTION("""COMPUTED_VALUE"""),"-")</f>
        <v>-</v>
      </c>
      <c r="BC1091" s="97" t="str">
        <f>IFERROR(__xludf.DUMMYFUNCTION("""COMPUTED_VALUE"""),"-")</f>
        <v>-</v>
      </c>
      <c r="BD1091" s="97" t="str">
        <f>IFERROR(__xludf.DUMMYFUNCTION("""COMPUTED_VALUE"""),"RIELES 3EF")</f>
        <v>RIELES 3EF</v>
      </c>
      <c r="BE1091" s="97" t="str">
        <f>IFERROR(__xludf.DUMMYFUNCTION("""COMPUTED_VALUE"""),"Falta TR")</f>
        <v>Falta TR</v>
      </c>
      <c r="BF1091" s="97"/>
      <c r="BG1091" s="97" t="str">
        <f>IFERROR(__xludf.DUMMYFUNCTION("""COMPUTED_VALUE"""),"A Confirmar")</f>
        <v>A Confirmar</v>
      </c>
    </row>
    <row r="1092">
      <c r="A1092" s="97">
        <f>IFERROR(__xludf.DUMMYFUNCTION("""COMPUTED_VALUE"""),7010.0)</f>
        <v>7010</v>
      </c>
      <c r="B1092" s="97" t="str">
        <f>IFERROR(__xludf.DUMMYFUNCTION("""COMPUTED_VALUE"""),"DYNA EM 60 BL")</f>
        <v>DYNA EM 60 BL</v>
      </c>
      <c r="C1092" s="97" t="str">
        <f>IFERROR(__xludf.DUMMYFUNCTION("""COMPUTED_VALUE"""),"LINEAL DYNA EM 60 BL 12,5W 2700/3300/4000K 1200LM CRI&gt;90 IP20 LEUK")</f>
        <v>LINEAL DYNA EM 60 BL 12,5W 2700/3300/4000K 1200LM CRI&gt;90 IP20 LEUK</v>
      </c>
      <c r="D1092" s="97">
        <f>IFERROR(__xludf.DUMMYFUNCTION("""COMPUTED_VALUE"""),7.798413225303E12)</f>
        <v>7798413225303</v>
      </c>
      <c r="E1092" s="97" t="str">
        <f>IFERROR(__xludf.DUMMYFUNCTION("""COMPUTED_VALUE"""),"i1")</f>
        <v>i1</v>
      </c>
      <c r="F1092" s="97" t="str">
        <f>IFERROR(__xludf.DUMMYFUNCTION("""COMPUTED_VALUE"""),"LED integrado")</f>
        <v>LED integrado</v>
      </c>
      <c r="G1092" s="97" t="str">
        <f>IFERROR(__xludf.DUMMYFUNCTION("""COMPUTED_VALUE"""),"CREE")</f>
        <v>CREE</v>
      </c>
      <c r="H1092" s="97" t="str">
        <f>IFERROR(__xludf.DUMMYFUNCTION("""COMPUTED_VALUE"""),"Lifud")</f>
        <v>Lifud</v>
      </c>
      <c r="I1092" s="97"/>
      <c r="J1092" s="97" t="str">
        <f>IFERROR(__xludf.DUMMYFUNCTION("""COMPUTED_VALUE"""),"Modelo: LF-GMR020YS II 0300H
In: 220-240Vac 0.14A 50/60Hz
Out: 33-42Vdc 300mA 12.6W
Pf 0.9 Tc 70°C Ta 50°C")</f>
        <v>Modelo: LF-GMR020YS II 0300H
In: 220-240Vac 0.14A 50/60Hz
Out: 33-42Vdc 300mA 12.6W
Pf 0.9 Tc 70°C Ta 50°C</v>
      </c>
      <c r="K1092" s="97" t="str">
        <f>IFERROR(__xludf.DUMMYFUNCTION("""COMPUTED_VALUE"""),"ON/OFF")</f>
        <v>ON/OFF</v>
      </c>
      <c r="L1092" s="97" t="str">
        <f>IFERROR(__xludf.DUMMYFUNCTION("""COMPUTED_VALUE"""),"200-240")</f>
        <v>200-240</v>
      </c>
      <c r="M1092" s="97" t="str">
        <f>IFERROR(__xludf.DUMMYFUNCTION("""COMPUTED_VALUE"""),"50/60")</f>
        <v>50/60</v>
      </c>
      <c r="N1092" s="97"/>
      <c r="O1092" s="97">
        <f>IFERROR(__xludf.DUMMYFUNCTION("""COMPUTED_VALUE"""),12.5)</f>
        <v>12.5</v>
      </c>
      <c r="P1092" s="97"/>
      <c r="Q1092" s="97">
        <f>IFERROR(__xludf.DUMMYFUNCTION("""COMPUTED_VALUE"""),0.9)</f>
        <v>0.9</v>
      </c>
      <c r="R1092" s="97">
        <f>IFERROR(__xludf.DUMMYFUNCTION("""COMPUTED_VALUE"""),1875.0)</f>
        <v>1875</v>
      </c>
      <c r="S1092" s="97">
        <f>IFERROR(__xludf.DUMMYFUNCTION("""COMPUTED_VALUE"""),135.0)</f>
        <v>135</v>
      </c>
      <c r="T1092" s="99">
        <f>IFERROR(__xludf.DUMMYFUNCTION("""COMPUTED_VALUE"""),1200.0)</f>
        <v>1200</v>
      </c>
      <c r="U1092" s="99">
        <f>IFERROR(__xludf.DUMMYFUNCTION("""COMPUTED_VALUE"""),96.0)</f>
        <v>96</v>
      </c>
      <c r="V1092" s="97">
        <f>IFERROR(__xludf.DUMMYFUNCTION("""COMPUTED_VALUE"""),100.0)</f>
        <v>100</v>
      </c>
      <c r="W1092" s="97" t="str">
        <f>IFERROR(__xludf.DUMMYFUNCTION("""COMPUTED_VALUE"""),"&lt; 20")</f>
        <v>&lt; 20</v>
      </c>
      <c r="X1092" s="97" t="str">
        <f>IFERROR(__xludf.DUMMYFUNCTION("""COMPUTED_VALUE"""),"2700/3300/4000")</f>
        <v>2700/3300/4000</v>
      </c>
      <c r="Y1092" s="97" t="str">
        <f>IFERROR(__xludf.DUMMYFUNCTION("""COMPUTED_VALUE"""),"&gt;90")</f>
        <v>&gt;90</v>
      </c>
      <c r="Z1092" s="97"/>
      <c r="AA1092" s="97"/>
      <c r="AB1092" s="97" t="str">
        <f>IFERROR(__xludf.DUMMYFUNCTION("""COMPUTED_VALUE"""),"&lt; 2")</f>
        <v>&lt; 2</v>
      </c>
      <c r="AC1092" s="97"/>
      <c r="AD1092" s="97" t="str">
        <f>IFERROR(__xludf.DUMMYFUNCTION("""COMPUTED_VALUE"""),"IP20")</f>
        <v>IP20</v>
      </c>
      <c r="AE1092" s="97" t="str">
        <f>IFERROR(__xludf.DUMMYFUNCTION("""COMPUTED_VALUE"""),"Clase l")</f>
        <v>Clase l</v>
      </c>
      <c r="AF1092" s="97" t="str">
        <f>IFERROR(__xludf.DUMMYFUNCTION("""COMPUTED_VALUE"""),"Embutir")</f>
        <v>Embutir</v>
      </c>
      <c r="AG1092" s="97" t="str">
        <f>IFERROR(__xludf.DUMMYFUNCTION("""COMPUTED_VALUE"""),"600 x 50 x 60")</f>
        <v>600 x 50 x 60</v>
      </c>
      <c r="AH1092" s="97" t="str">
        <f>IFERROR(__xludf.DUMMYFUNCTION("""COMPUTED_VALUE"""),"40 x 610")</f>
        <v>40 x 610</v>
      </c>
      <c r="AI1092" s="97">
        <f>IFERROR(__xludf.DUMMYFUNCTION("""COMPUTED_VALUE"""),100.0)</f>
        <v>100</v>
      </c>
      <c r="AJ1092" s="97" t="str">
        <f>IFERROR(__xludf.DUMMYFUNCTION("""COMPUTED_VALUE"""),"Policarbonato (PC)")</f>
        <v>Policarbonato (PC)</v>
      </c>
      <c r="AK1092" s="97" t="str">
        <f>IFERROR(__xludf.DUMMYFUNCTION("""COMPUTED_VALUE"""),"Aluminio")</f>
        <v>Aluminio</v>
      </c>
      <c r="AL1092" s="97" t="str">
        <f>IFERROR(__xludf.DUMMYFUNCTION("""COMPUTED_VALUE"""),"Blanco Mate")</f>
        <v>Blanco Mate</v>
      </c>
      <c r="AM1092" s="97" t="str">
        <f>IFERROR(__xludf.DUMMYFUNCTION("""COMPUTED_VALUE"""),"-20℃ a 45℃")</f>
        <v>-20℃ a 45℃</v>
      </c>
      <c r="AN1092" s="97" t="str">
        <f>IFERROR(__xludf.DUMMYFUNCTION("""COMPUTED_VALUE"""),"50.000hs (L80)")</f>
        <v>50.000hs (L80)</v>
      </c>
      <c r="AO1092" s="97" t="str">
        <f>IFERROR(__xludf.DUMMYFUNCTION("""COMPUTED_VALUE"""),"3 Años")</f>
        <v>3 Años</v>
      </c>
      <c r="AP1092" s="97" t="str">
        <f>IFERROR(__xludf.DUMMYFUNCTION("""COMPUTED_VALUE"""),"Disponible")</f>
        <v>Disponible</v>
      </c>
      <c r="AQ1092" s="97" t="str">
        <f>IFERROR(__xludf.DUMMYFUNCTION("""COMPUTED_VALUE"""),"Disponible")</f>
        <v>Disponible</v>
      </c>
      <c r="AR1092" s="97" t="str">
        <f>IFERROR(__xludf.DUMMYFUNCTION("""COMPUTED_VALUE"""),"Disponible")</f>
        <v>Disponible</v>
      </c>
      <c r="AS1092" s="97"/>
      <c r="AT1092" s="97"/>
      <c r="AU1092" s="97" t="str">
        <f>IFERROR(__xludf.DUMMYFUNCTION("""COMPUTED_VALUE"""),"Falta")</f>
        <v>Falta</v>
      </c>
      <c r="AV1092" s="97" t="str">
        <f>IFERROR(__xludf.DUMMYFUNCTION("""COMPUTED_VALUE"""),"Lineal")</f>
        <v>Lineal</v>
      </c>
      <c r="AW1092" s="97" t="str">
        <f>IFERROR(__xludf.DUMMYFUNCTION("""COMPUTED_VALUE"""),"Lineales")</f>
        <v>Lineales</v>
      </c>
      <c r="AX1092" s="97" t="str">
        <f>IFERROR(__xludf.DUMMYFUNCTION("""COMPUTED_VALUE"""),"Interior")</f>
        <v>Interior</v>
      </c>
      <c r="AY1092" s="97" t="str">
        <f>IFERROR(__xludf.DUMMYFUNCTION("""COMPUTED_VALUE"""),"Dyna")</f>
        <v>Dyna</v>
      </c>
      <c r="AZ1092" s="97" t="str">
        <f>IFERROR(__xludf.DUMMYFUNCTION("""COMPUTED_VALUE"""),"Corriente: 300mA. Incluye tapas extremas y 2 clips de embutir.")</f>
        <v>Corriente: 300mA. Incluye tapas extremas y 2 clips de embutir.</v>
      </c>
      <c r="BA1092" s="97">
        <f>IFERROR(__xludf.DUMMYFUNCTION("""COMPUTED_VALUE"""),12.0)</f>
        <v>12</v>
      </c>
      <c r="BB1092" s="97" t="str">
        <f>IFERROR(__xludf.DUMMYFUNCTION("""COMPUTED_VALUE"""),"-")</f>
        <v>-</v>
      </c>
      <c r="BC1092" s="97" t="str">
        <f>IFERROR(__xludf.DUMMYFUNCTION("""COMPUTED_VALUE"""),"-")</f>
        <v>-</v>
      </c>
      <c r="BD1092" s="97" t="str">
        <f>IFERROR(__xludf.DUMMYFUNCTION("""COMPUTED_VALUE"""),"DYNA EM")</f>
        <v>DYNA EM</v>
      </c>
      <c r="BE1092" s="97" t="str">
        <f>IFERROR(__xludf.DUMMYFUNCTION("""COMPUTED_VALUE"""),"Finalizada")</f>
        <v>Finalizada</v>
      </c>
      <c r="BF1092" s="97"/>
      <c r="BG1092" s="97" t="str">
        <f>IFERROR(__xludf.DUMMYFUNCTION("""COMPUTED_VALUE"""),"Activo")</f>
        <v>Activo</v>
      </c>
    </row>
    <row r="1093">
      <c r="A1093" s="97">
        <f>IFERROR(__xludf.DUMMYFUNCTION("""COMPUTED_VALUE"""),7011.0)</f>
        <v>7011</v>
      </c>
      <c r="B1093" s="97" t="str">
        <f>IFERROR(__xludf.DUMMYFUNCTION("""COMPUTED_VALUE"""),"DYNA EM 60 NG")</f>
        <v>DYNA EM 60 NG</v>
      </c>
      <c r="C1093" s="97" t="str">
        <f>IFERROR(__xludf.DUMMYFUNCTION("""COMPUTED_VALUE"""),"LINEAL DYNA EM 60 NG 12,5W 2700/3300/4000K 1200LM CRI&gt;90 IP20 LEUK")</f>
        <v>LINEAL DYNA EM 60 NG 12,5W 2700/3300/4000K 1200LM CRI&gt;90 IP20 LEUK</v>
      </c>
      <c r="D1093" s="97">
        <f>IFERROR(__xludf.DUMMYFUNCTION("""COMPUTED_VALUE"""),7.79841322531E12)</f>
        <v>7798413225310</v>
      </c>
      <c r="E1093" s="97" t="str">
        <f>IFERROR(__xludf.DUMMYFUNCTION("""COMPUTED_VALUE"""),"i2")</f>
        <v>i2</v>
      </c>
      <c r="F1093" s="97" t="str">
        <f>IFERROR(__xludf.DUMMYFUNCTION("""COMPUTED_VALUE"""),"LED integrado")</f>
        <v>LED integrado</v>
      </c>
      <c r="G1093" s="97" t="str">
        <f>IFERROR(__xludf.DUMMYFUNCTION("""COMPUTED_VALUE"""),"CREE")</f>
        <v>CREE</v>
      </c>
      <c r="H1093" s="97" t="str">
        <f>IFERROR(__xludf.DUMMYFUNCTION("""COMPUTED_VALUE"""),"Lifud")</f>
        <v>Lifud</v>
      </c>
      <c r="I1093" s="97"/>
      <c r="J1093" s="97" t="str">
        <f>IFERROR(__xludf.DUMMYFUNCTION("""COMPUTED_VALUE"""),"Modelo: LF-GMR020YS II 0300H
In: 220-240Vac 0.14A 50/60Hz
Out: 33-42Vdc 300mA 12.6W
Pf 0.9 Tc 70°C Ta 50°C")</f>
        <v>Modelo: LF-GMR020YS II 0300H
In: 220-240Vac 0.14A 50/60Hz
Out: 33-42Vdc 300mA 12.6W
Pf 0.9 Tc 70°C Ta 50°C</v>
      </c>
      <c r="K1093" s="97" t="str">
        <f>IFERROR(__xludf.DUMMYFUNCTION("""COMPUTED_VALUE"""),"ON/OFF")</f>
        <v>ON/OFF</v>
      </c>
      <c r="L1093" s="97" t="str">
        <f>IFERROR(__xludf.DUMMYFUNCTION("""COMPUTED_VALUE"""),"200-240")</f>
        <v>200-240</v>
      </c>
      <c r="M1093" s="97" t="str">
        <f>IFERROR(__xludf.DUMMYFUNCTION("""COMPUTED_VALUE"""),"50/60")</f>
        <v>50/60</v>
      </c>
      <c r="N1093" s="97"/>
      <c r="O1093" s="97">
        <f>IFERROR(__xludf.DUMMYFUNCTION("""COMPUTED_VALUE"""),12.5)</f>
        <v>12.5</v>
      </c>
      <c r="P1093" s="97"/>
      <c r="Q1093" s="97">
        <f>IFERROR(__xludf.DUMMYFUNCTION("""COMPUTED_VALUE"""),0.9)</f>
        <v>0.9</v>
      </c>
      <c r="R1093" s="97">
        <f>IFERROR(__xludf.DUMMYFUNCTION("""COMPUTED_VALUE"""),1875.0)</f>
        <v>1875</v>
      </c>
      <c r="S1093" s="97">
        <f>IFERROR(__xludf.DUMMYFUNCTION("""COMPUTED_VALUE"""),135.0)</f>
        <v>135</v>
      </c>
      <c r="T1093" s="99">
        <f>IFERROR(__xludf.DUMMYFUNCTION("""COMPUTED_VALUE"""),1200.0)</f>
        <v>1200</v>
      </c>
      <c r="U1093" s="99">
        <f>IFERROR(__xludf.DUMMYFUNCTION("""COMPUTED_VALUE"""),96.0)</f>
        <v>96</v>
      </c>
      <c r="V1093" s="97">
        <f>IFERROR(__xludf.DUMMYFUNCTION("""COMPUTED_VALUE"""),100.0)</f>
        <v>100</v>
      </c>
      <c r="W1093" s="97" t="str">
        <f>IFERROR(__xludf.DUMMYFUNCTION("""COMPUTED_VALUE"""),"&lt; 20")</f>
        <v>&lt; 20</v>
      </c>
      <c r="X1093" s="97" t="str">
        <f>IFERROR(__xludf.DUMMYFUNCTION("""COMPUTED_VALUE"""),"2700/3300/4000")</f>
        <v>2700/3300/4000</v>
      </c>
      <c r="Y1093" s="97" t="str">
        <f>IFERROR(__xludf.DUMMYFUNCTION("""COMPUTED_VALUE"""),"&gt;90")</f>
        <v>&gt;90</v>
      </c>
      <c r="Z1093" s="97"/>
      <c r="AA1093" s="97"/>
      <c r="AB1093" s="97" t="str">
        <f>IFERROR(__xludf.DUMMYFUNCTION("""COMPUTED_VALUE"""),"&lt; 2")</f>
        <v>&lt; 2</v>
      </c>
      <c r="AC1093" s="97"/>
      <c r="AD1093" s="97" t="str">
        <f>IFERROR(__xludf.DUMMYFUNCTION("""COMPUTED_VALUE"""),"IP20")</f>
        <v>IP20</v>
      </c>
      <c r="AE1093" s="97" t="str">
        <f>IFERROR(__xludf.DUMMYFUNCTION("""COMPUTED_VALUE"""),"Clase l")</f>
        <v>Clase l</v>
      </c>
      <c r="AF1093" s="97" t="str">
        <f>IFERROR(__xludf.DUMMYFUNCTION("""COMPUTED_VALUE"""),"Embutir")</f>
        <v>Embutir</v>
      </c>
      <c r="AG1093" s="97" t="str">
        <f>IFERROR(__xludf.DUMMYFUNCTION("""COMPUTED_VALUE"""),"600 x 50 x 60")</f>
        <v>600 x 50 x 60</v>
      </c>
      <c r="AH1093" s="97" t="str">
        <f>IFERROR(__xludf.DUMMYFUNCTION("""COMPUTED_VALUE"""),"40 x 610")</f>
        <v>40 x 610</v>
      </c>
      <c r="AI1093" s="97">
        <f>IFERROR(__xludf.DUMMYFUNCTION("""COMPUTED_VALUE"""),100.0)</f>
        <v>100</v>
      </c>
      <c r="AJ1093" s="97" t="str">
        <f>IFERROR(__xludf.DUMMYFUNCTION("""COMPUTED_VALUE"""),"Policarbonato (PC)")</f>
        <v>Policarbonato (PC)</v>
      </c>
      <c r="AK1093" s="97" t="str">
        <f>IFERROR(__xludf.DUMMYFUNCTION("""COMPUTED_VALUE"""),"Aluminio")</f>
        <v>Aluminio</v>
      </c>
      <c r="AL1093" s="97" t="str">
        <f>IFERROR(__xludf.DUMMYFUNCTION("""COMPUTED_VALUE"""),"Negro Mate")</f>
        <v>Negro Mate</v>
      </c>
      <c r="AM1093" s="97" t="str">
        <f>IFERROR(__xludf.DUMMYFUNCTION("""COMPUTED_VALUE"""),"-20℃ a 45℃")</f>
        <v>-20℃ a 45℃</v>
      </c>
      <c r="AN1093" s="97" t="str">
        <f>IFERROR(__xludf.DUMMYFUNCTION("""COMPUTED_VALUE"""),"50.000hs (L80)")</f>
        <v>50.000hs (L80)</v>
      </c>
      <c r="AO1093" s="97" t="str">
        <f>IFERROR(__xludf.DUMMYFUNCTION("""COMPUTED_VALUE"""),"3 Años")</f>
        <v>3 Años</v>
      </c>
      <c r="AP1093" s="97" t="str">
        <f>IFERROR(__xludf.DUMMYFUNCTION("""COMPUTED_VALUE"""),"Disponible")</f>
        <v>Disponible</v>
      </c>
      <c r="AQ1093" s="97" t="str">
        <f>IFERROR(__xludf.DUMMYFUNCTION("""COMPUTED_VALUE"""),"Disponible")</f>
        <v>Disponible</v>
      </c>
      <c r="AR1093" s="97" t="str">
        <f>IFERROR(__xludf.DUMMYFUNCTION("""COMPUTED_VALUE"""),"Disponible")</f>
        <v>Disponible</v>
      </c>
      <c r="AS1093" s="97"/>
      <c r="AT1093" s="97"/>
      <c r="AU1093" s="97" t="str">
        <f>IFERROR(__xludf.DUMMYFUNCTION("""COMPUTED_VALUE"""),"Falta")</f>
        <v>Falta</v>
      </c>
      <c r="AV1093" s="97" t="str">
        <f>IFERROR(__xludf.DUMMYFUNCTION("""COMPUTED_VALUE"""),"Lineal")</f>
        <v>Lineal</v>
      </c>
      <c r="AW1093" s="97" t="str">
        <f>IFERROR(__xludf.DUMMYFUNCTION("""COMPUTED_VALUE"""),"Lineales")</f>
        <v>Lineales</v>
      </c>
      <c r="AX1093" s="97" t="str">
        <f>IFERROR(__xludf.DUMMYFUNCTION("""COMPUTED_VALUE"""),"Interior")</f>
        <v>Interior</v>
      </c>
      <c r="AY1093" s="97" t="str">
        <f>IFERROR(__xludf.DUMMYFUNCTION("""COMPUTED_VALUE"""),"Dyna")</f>
        <v>Dyna</v>
      </c>
      <c r="AZ1093" s="97" t="str">
        <f>IFERROR(__xludf.DUMMYFUNCTION("""COMPUTED_VALUE"""),"Corriente: 300mA. Incluye tapas extremas y 2 clips de embutir.")</f>
        <v>Corriente: 300mA. Incluye tapas extremas y 2 clips de embutir.</v>
      </c>
      <c r="BA1093" s="97">
        <f>IFERROR(__xludf.DUMMYFUNCTION("""COMPUTED_VALUE"""),12.0)</f>
        <v>12</v>
      </c>
      <c r="BB1093" s="97" t="str">
        <f>IFERROR(__xludf.DUMMYFUNCTION("""COMPUTED_VALUE"""),"-")</f>
        <v>-</v>
      </c>
      <c r="BC1093" s="97" t="str">
        <f>IFERROR(__xludf.DUMMYFUNCTION("""COMPUTED_VALUE"""),"-")</f>
        <v>-</v>
      </c>
      <c r="BD1093" s="97" t="str">
        <f>IFERROR(__xludf.DUMMYFUNCTION("""COMPUTED_VALUE"""),"DYNA EM")</f>
        <v>DYNA EM</v>
      </c>
      <c r="BE1093" s="97" t="str">
        <f>IFERROR(__xludf.DUMMYFUNCTION("""COMPUTED_VALUE"""),"Finalizada")</f>
        <v>Finalizada</v>
      </c>
      <c r="BF1093" s="97"/>
      <c r="BG1093" s="97" t="str">
        <f>IFERROR(__xludf.DUMMYFUNCTION("""COMPUTED_VALUE"""),"Activo")</f>
        <v>Activo</v>
      </c>
    </row>
    <row r="1094">
      <c r="A1094" s="97">
        <f>IFERROR(__xludf.DUMMYFUNCTION("""COMPUTED_VALUE"""),7012.0)</f>
        <v>7012</v>
      </c>
      <c r="B1094" s="97" t="str">
        <f>IFERROR(__xludf.DUMMYFUNCTION("""COMPUTED_VALUE"""),"DYNA EM 120 BL")</f>
        <v>DYNA EM 120 BL</v>
      </c>
      <c r="C1094" s="97" t="str">
        <f>IFERROR(__xludf.DUMMYFUNCTION("""COMPUTED_VALUE"""),"LINEAL DYNA EM 120 BL 25W 2700/3300/4000K 2400LM CRI&gt;90 IP20 LEUK")</f>
        <v>LINEAL DYNA EM 120 BL 25W 2700/3300/4000K 2400LM CRI&gt;90 IP20 LEUK</v>
      </c>
      <c r="D1094" s="97">
        <f>IFERROR(__xludf.DUMMYFUNCTION("""COMPUTED_VALUE"""),7.798413225327E12)</f>
        <v>7798413225327</v>
      </c>
      <c r="E1094" s="97" t="str">
        <f>IFERROR(__xludf.DUMMYFUNCTION("""COMPUTED_VALUE"""),"i3")</f>
        <v>i3</v>
      </c>
      <c r="F1094" s="97" t="str">
        <f>IFERROR(__xludf.DUMMYFUNCTION("""COMPUTED_VALUE"""),"LED integrado")</f>
        <v>LED integrado</v>
      </c>
      <c r="G1094" s="97" t="str">
        <f>IFERROR(__xludf.DUMMYFUNCTION("""COMPUTED_VALUE"""),"CREE")</f>
        <v>CREE</v>
      </c>
      <c r="H1094" s="97" t="str">
        <f>IFERROR(__xludf.DUMMYFUNCTION("""COMPUTED_VALUE"""),"Lifud")</f>
        <v>Lifud</v>
      </c>
      <c r="I1094" s="97"/>
      <c r="J1094" s="97" t="str">
        <f>IFERROR(__xludf.DUMMYFUNCTION("""COMPUTED_VALUE"""),"Modelo: LF-GMR030YS II 0600H
In: 220-240Vac 0.2A 50/60Hz
Out: 33-42Vdc 600mA 25.2W
Pf 0.9")</f>
        <v>Modelo: LF-GMR030YS II 0600H
In: 220-240Vac 0.2A 50/60Hz
Out: 33-42Vdc 600mA 25.2W
Pf 0.9</v>
      </c>
      <c r="K1094" s="97" t="str">
        <f>IFERROR(__xludf.DUMMYFUNCTION("""COMPUTED_VALUE"""),"ON/OFF")</f>
        <v>ON/OFF</v>
      </c>
      <c r="L1094" s="97" t="str">
        <f>IFERROR(__xludf.DUMMYFUNCTION("""COMPUTED_VALUE"""),"200-240")</f>
        <v>200-240</v>
      </c>
      <c r="M1094" s="97" t="str">
        <f>IFERROR(__xludf.DUMMYFUNCTION("""COMPUTED_VALUE"""),"50/60")</f>
        <v>50/60</v>
      </c>
      <c r="N1094" s="97"/>
      <c r="O1094" s="97">
        <f>IFERROR(__xludf.DUMMYFUNCTION("""COMPUTED_VALUE"""),25.0)</f>
        <v>25</v>
      </c>
      <c r="P1094" s="97"/>
      <c r="Q1094" s="97">
        <f>IFERROR(__xludf.DUMMYFUNCTION("""COMPUTED_VALUE"""),0.9)</f>
        <v>0.9</v>
      </c>
      <c r="R1094" s="97">
        <f>IFERROR(__xludf.DUMMYFUNCTION("""COMPUTED_VALUE"""),3750.0)</f>
        <v>3750</v>
      </c>
      <c r="S1094" s="97">
        <f>IFERROR(__xludf.DUMMYFUNCTION("""COMPUTED_VALUE"""),135.0)</f>
        <v>135</v>
      </c>
      <c r="T1094" s="99">
        <f>IFERROR(__xludf.DUMMYFUNCTION("""COMPUTED_VALUE"""),2400.0)</f>
        <v>2400</v>
      </c>
      <c r="U1094" s="99">
        <f>IFERROR(__xludf.DUMMYFUNCTION("""COMPUTED_VALUE"""),96.0)</f>
        <v>96</v>
      </c>
      <c r="V1094" s="97">
        <f>IFERROR(__xludf.DUMMYFUNCTION("""COMPUTED_VALUE"""),100.0)</f>
        <v>100</v>
      </c>
      <c r="W1094" s="97" t="str">
        <f>IFERROR(__xludf.DUMMYFUNCTION("""COMPUTED_VALUE"""),"&lt; 20")</f>
        <v>&lt; 20</v>
      </c>
      <c r="X1094" s="97" t="str">
        <f>IFERROR(__xludf.DUMMYFUNCTION("""COMPUTED_VALUE"""),"2700/3300/4000")</f>
        <v>2700/3300/4000</v>
      </c>
      <c r="Y1094" s="97" t="str">
        <f>IFERROR(__xludf.DUMMYFUNCTION("""COMPUTED_VALUE"""),"&gt;90")</f>
        <v>&gt;90</v>
      </c>
      <c r="Z1094" s="97"/>
      <c r="AA1094" s="97"/>
      <c r="AB1094" s="97" t="str">
        <f>IFERROR(__xludf.DUMMYFUNCTION("""COMPUTED_VALUE"""),"&lt; 2")</f>
        <v>&lt; 2</v>
      </c>
      <c r="AC1094" s="97"/>
      <c r="AD1094" s="97" t="str">
        <f>IFERROR(__xludf.DUMMYFUNCTION("""COMPUTED_VALUE"""),"IP20")</f>
        <v>IP20</v>
      </c>
      <c r="AE1094" s="97" t="str">
        <f>IFERROR(__xludf.DUMMYFUNCTION("""COMPUTED_VALUE"""),"Clase l")</f>
        <v>Clase l</v>
      </c>
      <c r="AF1094" s="97" t="str">
        <f>IFERROR(__xludf.DUMMYFUNCTION("""COMPUTED_VALUE"""),"Embutir")</f>
        <v>Embutir</v>
      </c>
      <c r="AG1094" s="97" t="str">
        <f>IFERROR(__xludf.DUMMYFUNCTION("""COMPUTED_VALUE"""),"1200 x 50 x 60")</f>
        <v>1200 x 50 x 60</v>
      </c>
      <c r="AH1094" s="97" t="str">
        <f>IFERROR(__xludf.DUMMYFUNCTION("""COMPUTED_VALUE"""),"40 x 1210")</f>
        <v>40 x 1210</v>
      </c>
      <c r="AI1094" s="97">
        <f>IFERROR(__xludf.DUMMYFUNCTION("""COMPUTED_VALUE"""),100.0)</f>
        <v>100</v>
      </c>
      <c r="AJ1094" s="97" t="str">
        <f>IFERROR(__xludf.DUMMYFUNCTION("""COMPUTED_VALUE"""),"Policarbonato (PC)")</f>
        <v>Policarbonato (PC)</v>
      </c>
      <c r="AK1094" s="97" t="str">
        <f>IFERROR(__xludf.DUMMYFUNCTION("""COMPUTED_VALUE"""),"Aluminio")</f>
        <v>Aluminio</v>
      </c>
      <c r="AL1094" s="97" t="str">
        <f>IFERROR(__xludf.DUMMYFUNCTION("""COMPUTED_VALUE"""),"Blanco Mate")</f>
        <v>Blanco Mate</v>
      </c>
      <c r="AM1094" s="97" t="str">
        <f>IFERROR(__xludf.DUMMYFUNCTION("""COMPUTED_VALUE"""),"-20℃ a 45℃")</f>
        <v>-20℃ a 45℃</v>
      </c>
      <c r="AN1094" s="97" t="str">
        <f>IFERROR(__xludf.DUMMYFUNCTION("""COMPUTED_VALUE"""),"50.000hs (L80)")</f>
        <v>50.000hs (L80)</v>
      </c>
      <c r="AO1094" s="97" t="str">
        <f>IFERROR(__xludf.DUMMYFUNCTION("""COMPUTED_VALUE"""),"3 Años")</f>
        <v>3 Años</v>
      </c>
      <c r="AP1094" s="97" t="str">
        <f>IFERROR(__xludf.DUMMYFUNCTION("""COMPUTED_VALUE"""),"Disponible")</f>
        <v>Disponible</v>
      </c>
      <c r="AQ1094" s="97" t="str">
        <f>IFERROR(__xludf.DUMMYFUNCTION("""COMPUTED_VALUE"""),"Disponible")</f>
        <v>Disponible</v>
      </c>
      <c r="AR1094" s="97" t="str">
        <f>IFERROR(__xludf.DUMMYFUNCTION("""COMPUTED_VALUE"""),"Disponible")</f>
        <v>Disponible</v>
      </c>
      <c r="AS1094" s="97"/>
      <c r="AT1094" s="97"/>
      <c r="AU1094" s="97" t="str">
        <f>IFERROR(__xludf.DUMMYFUNCTION("""COMPUTED_VALUE"""),"Falta")</f>
        <v>Falta</v>
      </c>
      <c r="AV1094" s="97" t="str">
        <f>IFERROR(__xludf.DUMMYFUNCTION("""COMPUTED_VALUE"""),"Lineal")</f>
        <v>Lineal</v>
      </c>
      <c r="AW1094" s="97" t="str">
        <f>IFERROR(__xludf.DUMMYFUNCTION("""COMPUTED_VALUE"""),"Lineales")</f>
        <v>Lineales</v>
      </c>
      <c r="AX1094" s="97" t="str">
        <f>IFERROR(__xludf.DUMMYFUNCTION("""COMPUTED_VALUE"""),"Interior")</f>
        <v>Interior</v>
      </c>
      <c r="AY1094" s="97" t="str">
        <f>IFERROR(__xludf.DUMMYFUNCTION("""COMPUTED_VALUE"""),"Dyna")</f>
        <v>Dyna</v>
      </c>
      <c r="AZ1094" s="97" t="str">
        <f>IFERROR(__xludf.DUMMYFUNCTION("""COMPUTED_VALUE"""),"Corriente: 600mA. Incluye tapas extremas y 2 clips de embutir.")</f>
        <v>Corriente: 600mA. Incluye tapas extremas y 2 clips de embutir.</v>
      </c>
      <c r="BA1094" s="97">
        <f>IFERROR(__xludf.DUMMYFUNCTION("""COMPUTED_VALUE"""),12.0)</f>
        <v>12</v>
      </c>
      <c r="BB1094" s="97" t="str">
        <f>IFERROR(__xludf.DUMMYFUNCTION("""COMPUTED_VALUE"""),"-")</f>
        <v>-</v>
      </c>
      <c r="BC1094" s="97" t="str">
        <f>IFERROR(__xludf.DUMMYFUNCTION("""COMPUTED_VALUE"""),"-")</f>
        <v>-</v>
      </c>
      <c r="BD1094" s="97" t="str">
        <f>IFERROR(__xludf.DUMMYFUNCTION("""COMPUTED_VALUE"""),"DYNA EM")</f>
        <v>DYNA EM</v>
      </c>
      <c r="BE1094" s="97" t="str">
        <f>IFERROR(__xludf.DUMMYFUNCTION("""COMPUTED_VALUE"""),"Finalizada")</f>
        <v>Finalizada</v>
      </c>
      <c r="BF1094" s="97"/>
      <c r="BG1094" s="97" t="str">
        <f>IFERROR(__xludf.DUMMYFUNCTION("""COMPUTED_VALUE"""),"Activo")</f>
        <v>Activo</v>
      </c>
    </row>
    <row r="1095">
      <c r="A1095" s="97">
        <f>IFERROR(__xludf.DUMMYFUNCTION("""COMPUTED_VALUE"""),7013.0)</f>
        <v>7013</v>
      </c>
      <c r="B1095" s="97" t="str">
        <f>IFERROR(__xludf.DUMMYFUNCTION("""COMPUTED_VALUE"""),"DYNA EM 120 NG")</f>
        <v>DYNA EM 120 NG</v>
      </c>
      <c r="C1095" s="97" t="str">
        <f>IFERROR(__xludf.DUMMYFUNCTION("""COMPUTED_VALUE"""),"LINEAL DYNA EM 120 NG 25W 2700/3300/4000K 2400LM CRI&gt;90 IP20 LEUK")</f>
        <v>LINEAL DYNA EM 120 NG 25W 2700/3300/4000K 2400LM CRI&gt;90 IP20 LEUK</v>
      </c>
      <c r="D1095" s="97">
        <f>IFERROR(__xludf.DUMMYFUNCTION("""COMPUTED_VALUE"""),7.798413225334E12)</f>
        <v>7798413225334</v>
      </c>
      <c r="E1095" s="97" t="str">
        <f>IFERROR(__xludf.DUMMYFUNCTION("""COMPUTED_VALUE"""),"i4")</f>
        <v>i4</v>
      </c>
      <c r="F1095" s="97" t="str">
        <f>IFERROR(__xludf.DUMMYFUNCTION("""COMPUTED_VALUE"""),"LED integrado")</f>
        <v>LED integrado</v>
      </c>
      <c r="G1095" s="97" t="str">
        <f>IFERROR(__xludf.DUMMYFUNCTION("""COMPUTED_VALUE"""),"CREE")</f>
        <v>CREE</v>
      </c>
      <c r="H1095" s="97" t="str">
        <f>IFERROR(__xludf.DUMMYFUNCTION("""COMPUTED_VALUE"""),"Lifud")</f>
        <v>Lifud</v>
      </c>
      <c r="I1095" s="97"/>
      <c r="J1095" s="97" t="str">
        <f>IFERROR(__xludf.DUMMYFUNCTION("""COMPUTED_VALUE"""),"Modelo: LF-GMR030YS II 0600H
In: 220-240Vac 0.2A 50/60Hz
Out: 33-42Vdc 600mA 25.2W
Pf 0.9")</f>
        <v>Modelo: LF-GMR030YS II 0600H
In: 220-240Vac 0.2A 50/60Hz
Out: 33-42Vdc 600mA 25.2W
Pf 0.9</v>
      </c>
      <c r="K1095" s="97" t="str">
        <f>IFERROR(__xludf.DUMMYFUNCTION("""COMPUTED_VALUE"""),"ON/OFF")</f>
        <v>ON/OFF</v>
      </c>
      <c r="L1095" s="97" t="str">
        <f>IFERROR(__xludf.DUMMYFUNCTION("""COMPUTED_VALUE"""),"200-240")</f>
        <v>200-240</v>
      </c>
      <c r="M1095" s="97" t="str">
        <f>IFERROR(__xludf.DUMMYFUNCTION("""COMPUTED_VALUE"""),"50/60")</f>
        <v>50/60</v>
      </c>
      <c r="N1095" s="97"/>
      <c r="O1095" s="97">
        <f>IFERROR(__xludf.DUMMYFUNCTION("""COMPUTED_VALUE"""),25.0)</f>
        <v>25</v>
      </c>
      <c r="P1095" s="97"/>
      <c r="Q1095" s="97">
        <f>IFERROR(__xludf.DUMMYFUNCTION("""COMPUTED_VALUE"""),0.9)</f>
        <v>0.9</v>
      </c>
      <c r="R1095" s="97">
        <f>IFERROR(__xludf.DUMMYFUNCTION("""COMPUTED_VALUE"""),3750.0)</f>
        <v>3750</v>
      </c>
      <c r="S1095" s="97">
        <f>IFERROR(__xludf.DUMMYFUNCTION("""COMPUTED_VALUE"""),135.0)</f>
        <v>135</v>
      </c>
      <c r="T1095" s="99">
        <f>IFERROR(__xludf.DUMMYFUNCTION("""COMPUTED_VALUE"""),2400.0)</f>
        <v>2400</v>
      </c>
      <c r="U1095" s="99">
        <f>IFERROR(__xludf.DUMMYFUNCTION("""COMPUTED_VALUE"""),96.0)</f>
        <v>96</v>
      </c>
      <c r="V1095" s="97">
        <f>IFERROR(__xludf.DUMMYFUNCTION("""COMPUTED_VALUE"""),100.0)</f>
        <v>100</v>
      </c>
      <c r="W1095" s="97" t="str">
        <f>IFERROR(__xludf.DUMMYFUNCTION("""COMPUTED_VALUE"""),"&lt; 20")</f>
        <v>&lt; 20</v>
      </c>
      <c r="X1095" s="97" t="str">
        <f>IFERROR(__xludf.DUMMYFUNCTION("""COMPUTED_VALUE"""),"2700/3300/4000")</f>
        <v>2700/3300/4000</v>
      </c>
      <c r="Y1095" s="97" t="str">
        <f>IFERROR(__xludf.DUMMYFUNCTION("""COMPUTED_VALUE"""),"&gt;90")</f>
        <v>&gt;90</v>
      </c>
      <c r="Z1095" s="97"/>
      <c r="AA1095" s="97"/>
      <c r="AB1095" s="97" t="str">
        <f>IFERROR(__xludf.DUMMYFUNCTION("""COMPUTED_VALUE"""),"&lt; 2")</f>
        <v>&lt; 2</v>
      </c>
      <c r="AC1095" s="97"/>
      <c r="AD1095" s="97" t="str">
        <f>IFERROR(__xludf.DUMMYFUNCTION("""COMPUTED_VALUE"""),"IP20")</f>
        <v>IP20</v>
      </c>
      <c r="AE1095" s="97" t="str">
        <f>IFERROR(__xludf.DUMMYFUNCTION("""COMPUTED_VALUE"""),"Clase l")</f>
        <v>Clase l</v>
      </c>
      <c r="AF1095" s="97" t="str">
        <f>IFERROR(__xludf.DUMMYFUNCTION("""COMPUTED_VALUE"""),"Embutir")</f>
        <v>Embutir</v>
      </c>
      <c r="AG1095" s="97" t="str">
        <f>IFERROR(__xludf.DUMMYFUNCTION("""COMPUTED_VALUE"""),"1200 x 50 x 60")</f>
        <v>1200 x 50 x 60</v>
      </c>
      <c r="AH1095" s="97" t="str">
        <f>IFERROR(__xludf.DUMMYFUNCTION("""COMPUTED_VALUE"""),"40 x 1210")</f>
        <v>40 x 1210</v>
      </c>
      <c r="AI1095" s="97">
        <f>IFERROR(__xludf.DUMMYFUNCTION("""COMPUTED_VALUE"""),100.0)</f>
        <v>100</v>
      </c>
      <c r="AJ1095" s="97" t="str">
        <f>IFERROR(__xludf.DUMMYFUNCTION("""COMPUTED_VALUE"""),"Policarbonato (PC)")</f>
        <v>Policarbonato (PC)</v>
      </c>
      <c r="AK1095" s="97" t="str">
        <f>IFERROR(__xludf.DUMMYFUNCTION("""COMPUTED_VALUE"""),"Aluminio")</f>
        <v>Aluminio</v>
      </c>
      <c r="AL1095" s="97" t="str">
        <f>IFERROR(__xludf.DUMMYFUNCTION("""COMPUTED_VALUE"""),"Negro Mate")</f>
        <v>Negro Mate</v>
      </c>
      <c r="AM1095" s="97" t="str">
        <f>IFERROR(__xludf.DUMMYFUNCTION("""COMPUTED_VALUE"""),"-20℃ a 45℃")</f>
        <v>-20℃ a 45℃</v>
      </c>
      <c r="AN1095" s="97" t="str">
        <f>IFERROR(__xludf.DUMMYFUNCTION("""COMPUTED_VALUE"""),"50.000hs (L80)")</f>
        <v>50.000hs (L80)</v>
      </c>
      <c r="AO1095" s="97" t="str">
        <f>IFERROR(__xludf.DUMMYFUNCTION("""COMPUTED_VALUE"""),"3 Años")</f>
        <v>3 Años</v>
      </c>
      <c r="AP1095" s="97" t="str">
        <f>IFERROR(__xludf.DUMMYFUNCTION("""COMPUTED_VALUE"""),"Disponible")</f>
        <v>Disponible</v>
      </c>
      <c r="AQ1095" s="97" t="str">
        <f>IFERROR(__xludf.DUMMYFUNCTION("""COMPUTED_VALUE"""),"Disponible")</f>
        <v>Disponible</v>
      </c>
      <c r="AR1095" s="97" t="str">
        <f>IFERROR(__xludf.DUMMYFUNCTION("""COMPUTED_VALUE"""),"Disponible")</f>
        <v>Disponible</v>
      </c>
      <c r="AS1095" s="97"/>
      <c r="AT1095" s="97"/>
      <c r="AU1095" s="97" t="str">
        <f>IFERROR(__xludf.DUMMYFUNCTION("""COMPUTED_VALUE"""),"Falta")</f>
        <v>Falta</v>
      </c>
      <c r="AV1095" s="97" t="str">
        <f>IFERROR(__xludf.DUMMYFUNCTION("""COMPUTED_VALUE"""),"Lineal")</f>
        <v>Lineal</v>
      </c>
      <c r="AW1095" s="97" t="str">
        <f>IFERROR(__xludf.DUMMYFUNCTION("""COMPUTED_VALUE"""),"Lineales")</f>
        <v>Lineales</v>
      </c>
      <c r="AX1095" s="97" t="str">
        <f>IFERROR(__xludf.DUMMYFUNCTION("""COMPUTED_VALUE"""),"Interior")</f>
        <v>Interior</v>
      </c>
      <c r="AY1095" s="97" t="str">
        <f>IFERROR(__xludf.DUMMYFUNCTION("""COMPUTED_VALUE"""),"Dyna")</f>
        <v>Dyna</v>
      </c>
      <c r="AZ1095" s="97" t="str">
        <f>IFERROR(__xludf.DUMMYFUNCTION("""COMPUTED_VALUE"""),"Corriente: 600mA. Incluye tapas extremas y 2 clips de embutir.")</f>
        <v>Corriente: 600mA. Incluye tapas extremas y 2 clips de embutir.</v>
      </c>
      <c r="BA1095" s="97">
        <f>IFERROR(__xludf.DUMMYFUNCTION("""COMPUTED_VALUE"""),12.0)</f>
        <v>12</v>
      </c>
      <c r="BB1095" s="97" t="str">
        <f>IFERROR(__xludf.DUMMYFUNCTION("""COMPUTED_VALUE"""),"-")</f>
        <v>-</v>
      </c>
      <c r="BC1095" s="97" t="str">
        <f>IFERROR(__xludf.DUMMYFUNCTION("""COMPUTED_VALUE"""),"-")</f>
        <v>-</v>
      </c>
      <c r="BD1095" s="97" t="str">
        <f>IFERROR(__xludf.DUMMYFUNCTION("""COMPUTED_VALUE"""),"DYNA EM")</f>
        <v>DYNA EM</v>
      </c>
      <c r="BE1095" s="97" t="str">
        <f>IFERROR(__xludf.DUMMYFUNCTION("""COMPUTED_VALUE"""),"Finalizada")</f>
        <v>Finalizada</v>
      </c>
      <c r="BF1095" s="97"/>
      <c r="BG1095" s="97" t="str">
        <f>IFERROR(__xludf.DUMMYFUNCTION("""COMPUTED_VALUE"""),"Activo")</f>
        <v>Activo</v>
      </c>
    </row>
    <row r="1096">
      <c r="A1096" s="97">
        <f>IFERROR(__xludf.DUMMYFUNCTION("""COMPUTED_VALUE"""),7014.0)</f>
        <v>7014</v>
      </c>
      <c r="B1096" s="97" t="str">
        <f>IFERROR(__xludf.DUMMYFUNCTION("""COMPUTED_VALUE"""),"DYNA EM 180 BL")</f>
        <v>DYNA EM 180 BL</v>
      </c>
      <c r="C1096" s="97" t="str">
        <f>IFERROR(__xludf.DUMMYFUNCTION("""COMPUTED_VALUE"""),"LINEAL DYNA EM 180 BL 37,5W 2700/3300/4000K 3600LM CRI&gt;90 IP20 LEUK")</f>
        <v>LINEAL DYNA EM 180 BL 37,5W 2700/3300/4000K 3600LM CRI&gt;90 IP20 LEUK</v>
      </c>
      <c r="D1096" s="97">
        <f>IFERROR(__xludf.DUMMYFUNCTION("""COMPUTED_VALUE"""),7.798413225341E12)</f>
        <v>7798413225341</v>
      </c>
      <c r="E1096" s="97" t="str">
        <f>IFERROR(__xludf.DUMMYFUNCTION("""COMPUTED_VALUE"""),"i5")</f>
        <v>i5</v>
      </c>
      <c r="F1096" s="97" t="str">
        <f>IFERROR(__xludf.DUMMYFUNCTION("""COMPUTED_VALUE"""),"LED integrado")</f>
        <v>LED integrado</v>
      </c>
      <c r="G1096" s="97" t="str">
        <f>IFERROR(__xludf.DUMMYFUNCTION("""COMPUTED_VALUE"""),"CREE")</f>
        <v>CREE</v>
      </c>
      <c r="H1096" s="97" t="str">
        <f>IFERROR(__xludf.DUMMYFUNCTION("""COMPUTED_VALUE"""),"Lifud")</f>
        <v>Lifud</v>
      </c>
      <c r="I1096" s="97"/>
      <c r="J1096" s="97" t="str">
        <f>IFERROR(__xludf.DUMMYFUNCTION("""COMPUTED_VALUE"""),"Modelo: LF-GMR040YS II 0900H
In: 220-240Vac 0.26A 50/60Hz
Out: 33-42Vdc 900mA 37.8W
Pf 0.9")</f>
        <v>Modelo: LF-GMR040YS II 0900H
In: 220-240Vac 0.26A 50/60Hz
Out: 33-42Vdc 900mA 37.8W
Pf 0.9</v>
      </c>
      <c r="K1096" s="97" t="str">
        <f>IFERROR(__xludf.DUMMYFUNCTION("""COMPUTED_VALUE"""),"ON/OFF")</f>
        <v>ON/OFF</v>
      </c>
      <c r="L1096" s="97" t="str">
        <f>IFERROR(__xludf.DUMMYFUNCTION("""COMPUTED_VALUE"""),"200-240")</f>
        <v>200-240</v>
      </c>
      <c r="M1096" s="97" t="str">
        <f>IFERROR(__xludf.DUMMYFUNCTION("""COMPUTED_VALUE"""),"50/60")</f>
        <v>50/60</v>
      </c>
      <c r="N1096" s="97"/>
      <c r="O1096" s="97">
        <f>IFERROR(__xludf.DUMMYFUNCTION("""COMPUTED_VALUE"""),37.5)</f>
        <v>37.5</v>
      </c>
      <c r="P1096" s="97"/>
      <c r="Q1096" s="97">
        <f>IFERROR(__xludf.DUMMYFUNCTION("""COMPUTED_VALUE"""),0.9)</f>
        <v>0.9</v>
      </c>
      <c r="R1096" s="97">
        <f>IFERROR(__xludf.DUMMYFUNCTION("""COMPUTED_VALUE"""),5625.0)</f>
        <v>5625</v>
      </c>
      <c r="S1096" s="97">
        <f>IFERROR(__xludf.DUMMYFUNCTION("""COMPUTED_VALUE"""),135.0)</f>
        <v>135</v>
      </c>
      <c r="T1096" s="99">
        <f>IFERROR(__xludf.DUMMYFUNCTION("""COMPUTED_VALUE"""),3600.0)</f>
        <v>3600</v>
      </c>
      <c r="U1096" s="99">
        <f>IFERROR(__xludf.DUMMYFUNCTION("""COMPUTED_VALUE"""),96.0)</f>
        <v>96</v>
      </c>
      <c r="V1096" s="97">
        <f>IFERROR(__xludf.DUMMYFUNCTION("""COMPUTED_VALUE"""),100.0)</f>
        <v>100</v>
      </c>
      <c r="W1096" s="97" t="str">
        <f>IFERROR(__xludf.DUMMYFUNCTION("""COMPUTED_VALUE"""),"&lt; 20")</f>
        <v>&lt; 20</v>
      </c>
      <c r="X1096" s="97" t="str">
        <f>IFERROR(__xludf.DUMMYFUNCTION("""COMPUTED_VALUE"""),"2700/3300/4000")</f>
        <v>2700/3300/4000</v>
      </c>
      <c r="Y1096" s="97" t="str">
        <f>IFERROR(__xludf.DUMMYFUNCTION("""COMPUTED_VALUE"""),"&gt;90")</f>
        <v>&gt;90</v>
      </c>
      <c r="Z1096" s="97"/>
      <c r="AA1096" s="97"/>
      <c r="AB1096" s="97" t="str">
        <f>IFERROR(__xludf.DUMMYFUNCTION("""COMPUTED_VALUE"""),"&lt; 2")</f>
        <v>&lt; 2</v>
      </c>
      <c r="AC1096" s="97"/>
      <c r="AD1096" s="97" t="str">
        <f>IFERROR(__xludf.DUMMYFUNCTION("""COMPUTED_VALUE"""),"IP20")</f>
        <v>IP20</v>
      </c>
      <c r="AE1096" s="97" t="str">
        <f>IFERROR(__xludf.DUMMYFUNCTION("""COMPUTED_VALUE"""),"Clase l")</f>
        <v>Clase l</v>
      </c>
      <c r="AF1096" s="97" t="str">
        <f>IFERROR(__xludf.DUMMYFUNCTION("""COMPUTED_VALUE"""),"Embutir")</f>
        <v>Embutir</v>
      </c>
      <c r="AG1096" s="97" t="str">
        <f>IFERROR(__xludf.DUMMYFUNCTION("""COMPUTED_VALUE"""),"1800 x 50 x 60")</f>
        <v>1800 x 50 x 60</v>
      </c>
      <c r="AH1096" s="97" t="str">
        <f>IFERROR(__xludf.DUMMYFUNCTION("""COMPUTED_VALUE"""),"40 x 1810")</f>
        <v>40 x 1810</v>
      </c>
      <c r="AI1096" s="97">
        <f>IFERROR(__xludf.DUMMYFUNCTION("""COMPUTED_VALUE"""),100.0)</f>
        <v>100</v>
      </c>
      <c r="AJ1096" s="97" t="str">
        <f>IFERROR(__xludf.DUMMYFUNCTION("""COMPUTED_VALUE"""),"Policarbonato (PC)")</f>
        <v>Policarbonato (PC)</v>
      </c>
      <c r="AK1096" s="97" t="str">
        <f>IFERROR(__xludf.DUMMYFUNCTION("""COMPUTED_VALUE"""),"Aluminio")</f>
        <v>Aluminio</v>
      </c>
      <c r="AL1096" s="97" t="str">
        <f>IFERROR(__xludf.DUMMYFUNCTION("""COMPUTED_VALUE"""),"Blanco Mate")</f>
        <v>Blanco Mate</v>
      </c>
      <c r="AM1096" s="97" t="str">
        <f>IFERROR(__xludf.DUMMYFUNCTION("""COMPUTED_VALUE"""),"-20℃ a 45℃")</f>
        <v>-20℃ a 45℃</v>
      </c>
      <c r="AN1096" s="97" t="str">
        <f>IFERROR(__xludf.DUMMYFUNCTION("""COMPUTED_VALUE"""),"50.000hs (L80)")</f>
        <v>50.000hs (L80)</v>
      </c>
      <c r="AO1096" s="97" t="str">
        <f>IFERROR(__xludf.DUMMYFUNCTION("""COMPUTED_VALUE"""),"3 Años")</f>
        <v>3 Años</v>
      </c>
      <c r="AP1096" s="97" t="str">
        <f>IFERROR(__xludf.DUMMYFUNCTION("""COMPUTED_VALUE"""),"Disponible")</f>
        <v>Disponible</v>
      </c>
      <c r="AQ1096" s="97" t="str">
        <f>IFERROR(__xludf.DUMMYFUNCTION("""COMPUTED_VALUE"""),"Disponible")</f>
        <v>Disponible</v>
      </c>
      <c r="AR1096" s="97" t="str">
        <f>IFERROR(__xludf.DUMMYFUNCTION("""COMPUTED_VALUE"""),"Disponible")</f>
        <v>Disponible</v>
      </c>
      <c r="AS1096" s="97"/>
      <c r="AT1096" s="97"/>
      <c r="AU1096" s="97" t="str">
        <f>IFERROR(__xludf.DUMMYFUNCTION("""COMPUTED_VALUE"""),"Falta")</f>
        <v>Falta</v>
      </c>
      <c r="AV1096" s="97" t="str">
        <f>IFERROR(__xludf.DUMMYFUNCTION("""COMPUTED_VALUE"""),"Lineal")</f>
        <v>Lineal</v>
      </c>
      <c r="AW1096" s="97" t="str">
        <f>IFERROR(__xludf.DUMMYFUNCTION("""COMPUTED_VALUE"""),"Lineales")</f>
        <v>Lineales</v>
      </c>
      <c r="AX1096" s="97" t="str">
        <f>IFERROR(__xludf.DUMMYFUNCTION("""COMPUTED_VALUE"""),"Interior")</f>
        <v>Interior</v>
      </c>
      <c r="AY1096" s="97" t="str">
        <f>IFERROR(__xludf.DUMMYFUNCTION("""COMPUTED_VALUE"""),"Dyna")</f>
        <v>Dyna</v>
      </c>
      <c r="AZ1096" s="97" t="str">
        <f>IFERROR(__xludf.DUMMYFUNCTION("""COMPUTED_VALUE"""),"Corriente: 900mA. Incluye tapas extremas y X clips de embutir.")</f>
        <v>Corriente: 900mA. Incluye tapas extremas y X clips de embutir.</v>
      </c>
      <c r="BA1096" s="97">
        <f>IFERROR(__xludf.DUMMYFUNCTION("""COMPUTED_VALUE"""),6.0)</f>
        <v>6</v>
      </c>
      <c r="BB1096" s="97" t="str">
        <f>IFERROR(__xludf.DUMMYFUNCTION("""COMPUTED_VALUE"""),"-")</f>
        <v>-</v>
      </c>
      <c r="BC1096" s="97" t="str">
        <f>IFERROR(__xludf.DUMMYFUNCTION("""COMPUTED_VALUE"""),"-")</f>
        <v>-</v>
      </c>
      <c r="BD1096" s="97" t="str">
        <f>IFERROR(__xludf.DUMMYFUNCTION("""COMPUTED_VALUE"""),"DYNA EM")</f>
        <v>DYNA EM</v>
      </c>
      <c r="BE1096" s="97" t="str">
        <f>IFERROR(__xludf.DUMMYFUNCTION("""COMPUTED_VALUE"""),"Finalizada")</f>
        <v>Finalizada</v>
      </c>
      <c r="BF1096" s="97"/>
      <c r="BG1096" s="97" t="str">
        <f>IFERROR(__xludf.DUMMYFUNCTION("""COMPUTED_VALUE"""),"Activo")</f>
        <v>Activo</v>
      </c>
    </row>
    <row r="1097">
      <c r="A1097" s="97">
        <f>IFERROR(__xludf.DUMMYFUNCTION("""COMPUTED_VALUE"""),7015.0)</f>
        <v>7015</v>
      </c>
      <c r="B1097" s="97" t="str">
        <f>IFERROR(__xludf.DUMMYFUNCTION("""COMPUTED_VALUE"""),"DYNA EM 180 NG")</f>
        <v>DYNA EM 180 NG</v>
      </c>
      <c r="C1097" s="97" t="str">
        <f>IFERROR(__xludf.DUMMYFUNCTION("""COMPUTED_VALUE"""),"LINEAL DYNA EM 180 NG 37,5W 2700/3300/4000K 3600LM CRI&gt;90 IP20 LEUK")</f>
        <v>LINEAL DYNA EM 180 NG 37,5W 2700/3300/4000K 3600LM CRI&gt;90 IP20 LEUK</v>
      </c>
      <c r="D1097" s="97">
        <f>IFERROR(__xludf.DUMMYFUNCTION("""COMPUTED_VALUE"""),7.798413225358E12)</f>
        <v>7798413225358</v>
      </c>
      <c r="E1097" s="97" t="str">
        <f>IFERROR(__xludf.DUMMYFUNCTION("""COMPUTED_VALUE"""),"i6")</f>
        <v>i6</v>
      </c>
      <c r="F1097" s="97" t="str">
        <f>IFERROR(__xludf.DUMMYFUNCTION("""COMPUTED_VALUE"""),"LED integrado")</f>
        <v>LED integrado</v>
      </c>
      <c r="G1097" s="97" t="str">
        <f>IFERROR(__xludf.DUMMYFUNCTION("""COMPUTED_VALUE"""),"CREE")</f>
        <v>CREE</v>
      </c>
      <c r="H1097" s="97" t="str">
        <f>IFERROR(__xludf.DUMMYFUNCTION("""COMPUTED_VALUE"""),"Lifud")</f>
        <v>Lifud</v>
      </c>
      <c r="I1097" s="97"/>
      <c r="J1097" s="97" t="str">
        <f>IFERROR(__xludf.DUMMYFUNCTION("""COMPUTED_VALUE"""),"Modelo: LF-GMR040YS II 0900H
In: 220-240Vac 0.26A 50/60Hz
Out: 33-42Vdc 900mA 37.8W
Pf 0.9")</f>
        <v>Modelo: LF-GMR040YS II 0900H
In: 220-240Vac 0.26A 50/60Hz
Out: 33-42Vdc 900mA 37.8W
Pf 0.9</v>
      </c>
      <c r="K1097" s="97" t="str">
        <f>IFERROR(__xludf.DUMMYFUNCTION("""COMPUTED_VALUE"""),"ON/OFF")</f>
        <v>ON/OFF</v>
      </c>
      <c r="L1097" s="97" t="str">
        <f>IFERROR(__xludf.DUMMYFUNCTION("""COMPUTED_VALUE"""),"200-240")</f>
        <v>200-240</v>
      </c>
      <c r="M1097" s="97" t="str">
        <f>IFERROR(__xludf.DUMMYFUNCTION("""COMPUTED_VALUE"""),"50/60")</f>
        <v>50/60</v>
      </c>
      <c r="N1097" s="97"/>
      <c r="O1097" s="97">
        <f>IFERROR(__xludf.DUMMYFUNCTION("""COMPUTED_VALUE"""),37.5)</f>
        <v>37.5</v>
      </c>
      <c r="P1097" s="97"/>
      <c r="Q1097" s="97">
        <f>IFERROR(__xludf.DUMMYFUNCTION("""COMPUTED_VALUE"""),0.9)</f>
        <v>0.9</v>
      </c>
      <c r="R1097" s="97">
        <f>IFERROR(__xludf.DUMMYFUNCTION("""COMPUTED_VALUE"""),5625.0)</f>
        <v>5625</v>
      </c>
      <c r="S1097" s="97">
        <f>IFERROR(__xludf.DUMMYFUNCTION("""COMPUTED_VALUE"""),135.0)</f>
        <v>135</v>
      </c>
      <c r="T1097" s="99">
        <f>IFERROR(__xludf.DUMMYFUNCTION("""COMPUTED_VALUE"""),3600.0)</f>
        <v>3600</v>
      </c>
      <c r="U1097" s="99">
        <f>IFERROR(__xludf.DUMMYFUNCTION("""COMPUTED_VALUE"""),96.0)</f>
        <v>96</v>
      </c>
      <c r="V1097" s="97">
        <f>IFERROR(__xludf.DUMMYFUNCTION("""COMPUTED_VALUE"""),100.0)</f>
        <v>100</v>
      </c>
      <c r="W1097" s="97" t="str">
        <f>IFERROR(__xludf.DUMMYFUNCTION("""COMPUTED_VALUE"""),"&lt; 20")</f>
        <v>&lt; 20</v>
      </c>
      <c r="X1097" s="97" t="str">
        <f>IFERROR(__xludf.DUMMYFUNCTION("""COMPUTED_VALUE"""),"2700/3300/4000")</f>
        <v>2700/3300/4000</v>
      </c>
      <c r="Y1097" s="97" t="str">
        <f>IFERROR(__xludf.DUMMYFUNCTION("""COMPUTED_VALUE"""),"&gt;90")</f>
        <v>&gt;90</v>
      </c>
      <c r="Z1097" s="97"/>
      <c r="AA1097" s="97"/>
      <c r="AB1097" s="97" t="str">
        <f>IFERROR(__xludf.DUMMYFUNCTION("""COMPUTED_VALUE"""),"&lt; 2")</f>
        <v>&lt; 2</v>
      </c>
      <c r="AC1097" s="97"/>
      <c r="AD1097" s="97" t="str">
        <f>IFERROR(__xludf.DUMMYFUNCTION("""COMPUTED_VALUE"""),"IP20")</f>
        <v>IP20</v>
      </c>
      <c r="AE1097" s="97" t="str">
        <f>IFERROR(__xludf.DUMMYFUNCTION("""COMPUTED_VALUE"""),"Clase l")</f>
        <v>Clase l</v>
      </c>
      <c r="AF1097" s="97" t="str">
        <f>IFERROR(__xludf.DUMMYFUNCTION("""COMPUTED_VALUE"""),"Embutir")</f>
        <v>Embutir</v>
      </c>
      <c r="AG1097" s="97" t="str">
        <f>IFERROR(__xludf.DUMMYFUNCTION("""COMPUTED_VALUE"""),"1800 x 50 x 60")</f>
        <v>1800 x 50 x 60</v>
      </c>
      <c r="AH1097" s="97" t="str">
        <f>IFERROR(__xludf.DUMMYFUNCTION("""COMPUTED_VALUE"""),"40 x 1810")</f>
        <v>40 x 1810</v>
      </c>
      <c r="AI1097" s="97">
        <f>IFERROR(__xludf.DUMMYFUNCTION("""COMPUTED_VALUE"""),100.0)</f>
        <v>100</v>
      </c>
      <c r="AJ1097" s="97" t="str">
        <f>IFERROR(__xludf.DUMMYFUNCTION("""COMPUTED_VALUE"""),"Policarbonato (PC)")</f>
        <v>Policarbonato (PC)</v>
      </c>
      <c r="AK1097" s="97" t="str">
        <f>IFERROR(__xludf.DUMMYFUNCTION("""COMPUTED_VALUE"""),"Aluminio")</f>
        <v>Aluminio</v>
      </c>
      <c r="AL1097" s="97" t="str">
        <f>IFERROR(__xludf.DUMMYFUNCTION("""COMPUTED_VALUE"""),"Negro Mate")</f>
        <v>Negro Mate</v>
      </c>
      <c r="AM1097" s="97" t="str">
        <f>IFERROR(__xludf.DUMMYFUNCTION("""COMPUTED_VALUE"""),"-20℃ a 45℃")</f>
        <v>-20℃ a 45℃</v>
      </c>
      <c r="AN1097" s="97" t="str">
        <f>IFERROR(__xludf.DUMMYFUNCTION("""COMPUTED_VALUE"""),"50.000hs (L80)")</f>
        <v>50.000hs (L80)</v>
      </c>
      <c r="AO1097" s="97" t="str">
        <f>IFERROR(__xludf.DUMMYFUNCTION("""COMPUTED_VALUE"""),"3 Años")</f>
        <v>3 Años</v>
      </c>
      <c r="AP1097" s="97" t="str">
        <f>IFERROR(__xludf.DUMMYFUNCTION("""COMPUTED_VALUE"""),"Disponible")</f>
        <v>Disponible</v>
      </c>
      <c r="AQ1097" s="97" t="str">
        <f>IFERROR(__xludf.DUMMYFUNCTION("""COMPUTED_VALUE"""),"Disponible")</f>
        <v>Disponible</v>
      </c>
      <c r="AR1097" s="97" t="str">
        <f>IFERROR(__xludf.DUMMYFUNCTION("""COMPUTED_VALUE"""),"Disponible")</f>
        <v>Disponible</v>
      </c>
      <c r="AS1097" s="97"/>
      <c r="AT1097" s="97"/>
      <c r="AU1097" s="97" t="str">
        <f>IFERROR(__xludf.DUMMYFUNCTION("""COMPUTED_VALUE"""),"Falta")</f>
        <v>Falta</v>
      </c>
      <c r="AV1097" s="97" t="str">
        <f>IFERROR(__xludf.DUMMYFUNCTION("""COMPUTED_VALUE"""),"Lineal")</f>
        <v>Lineal</v>
      </c>
      <c r="AW1097" s="97" t="str">
        <f>IFERROR(__xludf.DUMMYFUNCTION("""COMPUTED_VALUE"""),"Lineales")</f>
        <v>Lineales</v>
      </c>
      <c r="AX1097" s="97" t="str">
        <f>IFERROR(__xludf.DUMMYFUNCTION("""COMPUTED_VALUE"""),"Interior")</f>
        <v>Interior</v>
      </c>
      <c r="AY1097" s="97" t="str">
        <f>IFERROR(__xludf.DUMMYFUNCTION("""COMPUTED_VALUE"""),"Dyna")</f>
        <v>Dyna</v>
      </c>
      <c r="AZ1097" s="97" t="str">
        <f>IFERROR(__xludf.DUMMYFUNCTION("""COMPUTED_VALUE"""),"Corriente: 900mA. Incluye tapas extremas y X clips de embutir.")</f>
        <v>Corriente: 900mA. Incluye tapas extremas y X clips de embutir.</v>
      </c>
      <c r="BA1097" s="97">
        <f>IFERROR(__xludf.DUMMYFUNCTION("""COMPUTED_VALUE"""),6.0)</f>
        <v>6</v>
      </c>
      <c r="BB1097" s="97" t="str">
        <f>IFERROR(__xludf.DUMMYFUNCTION("""COMPUTED_VALUE"""),"-")</f>
        <v>-</v>
      </c>
      <c r="BC1097" s="97" t="str">
        <f>IFERROR(__xludf.DUMMYFUNCTION("""COMPUTED_VALUE"""),"-")</f>
        <v>-</v>
      </c>
      <c r="BD1097" s="97" t="str">
        <f>IFERROR(__xludf.DUMMYFUNCTION("""COMPUTED_VALUE"""),"DYNA EM")</f>
        <v>DYNA EM</v>
      </c>
      <c r="BE1097" s="97" t="str">
        <f>IFERROR(__xludf.DUMMYFUNCTION("""COMPUTED_VALUE"""),"Finalizada")</f>
        <v>Finalizada</v>
      </c>
      <c r="BF1097" s="97"/>
      <c r="BG1097" s="97" t="str">
        <f>IFERROR(__xludf.DUMMYFUNCTION("""COMPUTED_VALUE"""),"Activo")</f>
        <v>Activo</v>
      </c>
    </row>
    <row r="1098">
      <c r="A1098" s="97">
        <f>IFERROR(__xludf.DUMMYFUNCTION("""COMPUTED_VALUE"""),7016.0)</f>
        <v>7016</v>
      </c>
      <c r="B1098" s="97" t="str">
        <f>IFERROR(__xludf.DUMMYFUNCTION("""COMPUTED_VALUE"""),"DYNA EM 240 BL")</f>
        <v>DYNA EM 240 BL</v>
      </c>
      <c r="C1098" s="97" t="str">
        <f>IFERROR(__xludf.DUMMYFUNCTION("""COMPUTED_VALUE"""),"LINEAL DYNA EM 240 BL 50W 2700/3300/4000K 4800LM CRI&gt;90 IP20 LEUK")</f>
        <v>LINEAL DYNA EM 240 BL 50W 2700/3300/4000K 4800LM CRI&gt;90 IP20 LEUK</v>
      </c>
      <c r="D1098" s="97">
        <f>IFERROR(__xludf.DUMMYFUNCTION("""COMPUTED_VALUE"""),7.798413225365E12)</f>
        <v>7798413225365</v>
      </c>
      <c r="E1098" s="97" t="str">
        <f>IFERROR(__xludf.DUMMYFUNCTION("""COMPUTED_VALUE"""),"i7")</f>
        <v>i7</v>
      </c>
      <c r="F1098" s="97" t="str">
        <f>IFERROR(__xludf.DUMMYFUNCTION("""COMPUTED_VALUE"""),"LED integrado")</f>
        <v>LED integrado</v>
      </c>
      <c r="G1098" s="97" t="str">
        <f>IFERROR(__xludf.DUMMYFUNCTION("""COMPUTED_VALUE"""),"CREE")</f>
        <v>CREE</v>
      </c>
      <c r="H1098" s="97" t="str">
        <f>IFERROR(__xludf.DUMMYFUNCTION("""COMPUTED_VALUE"""),"Lifud")</f>
        <v>Lifud</v>
      </c>
      <c r="I1098" s="97"/>
      <c r="J1098" s="97" t="str">
        <f>IFERROR(__xludf.DUMMYFUNCTION("""COMPUTED_VALUE"""),"Modelo: LF-GMR060YS II 1200H
In: 220-240Vac 0.4A 50/60Hz
Out: 33-42Vdc 1200mA 50.4W
Pf 0.9")</f>
        <v>Modelo: LF-GMR060YS II 1200H
In: 220-240Vac 0.4A 50/60Hz
Out: 33-42Vdc 1200mA 50.4W
Pf 0.9</v>
      </c>
      <c r="K1098" s="97" t="str">
        <f>IFERROR(__xludf.DUMMYFUNCTION("""COMPUTED_VALUE"""),"ON/OFF")</f>
        <v>ON/OFF</v>
      </c>
      <c r="L1098" s="97" t="str">
        <f>IFERROR(__xludf.DUMMYFUNCTION("""COMPUTED_VALUE"""),"200-240")</f>
        <v>200-240</v>
      </c>
      <c r="M1098" s="97" t="str">
        <f>IFERROR(__xludf.DUMMYFUNCTION("""COMPUTED_VALUE"""),"50/60")</f>
        <v>50/60</v>
      </c>
      <c r="N1098" s="97"/>
      <c r="O1098" s="97">
        <f>IFERROR(__xludf.DUMMYFUNCTION("""COMPUTED_VALUE"""),50.0)</f>
        <v>50</v>
      </c>
      <c r="P1098" s="97"/>
      <c r="Q1098" s="97">
        <f>IFERROR(__xludf.DUMMYFUNCTION("""COMPUTED_VALUE"""),0.9)</f>
        <v>0.9</v>
      </c>
      <c r="R1098" s="97">
        <f>IFERROR(__xludf.DUMMYFUNCTION("""COMPUTED_VALUE"""),7500.0)</f>
        <v>7500</v>
      </c>
      <c r="S1098" s="97">
        <f>IFERROR(__xludf.DUMMYFUNCTION("""COMPUTED_VALUE"""),135.0)</f>
        <v>135</v>
      </c>
      <c r="T1098" s="99">
        <f>IFERROR(__xludf.DUMMYFUNCTION("""COMPUTED_VALUE"""),4800.0)</f>
        <v>4800</v>
      </c>
      <c r="U1098" s="99">
        <f>IFERROR(__xludf.DUMMYFUNCTION("""COMPUTED_VALUE"""),96.0)</f>
        <v>96</v>
      </c>
      <c r="V1098" s="97">
        <f>IFERROR(__xludf.DUMMYFUNCTION("""COMPUTED_VALUE"""),100.0)</f>
        <v>100</v>
      </c>
      <c r="W1098" s="97" t="str">
        <f>IFERROR(__xludf.DUMMYFUNCTION("""COMPUTED_VALUE"""),"&lt; 20")</f>
        <v>&lt; 20</v>
      </c>
      <c r="X1098" s="97" t="str">
        <f>IFERROR(__xludf.DUMMYFUNCTION("""COMPUTED_VALUE"""),"2700/3300/4000")</f>
        <v>2700/3300/4000</v>
      </c>
      <c r="Y1098" s="97" t="str">
        <f>IFERROR(__xludf.DUMMYFUNCTION("""COMPUTED_VALUE"""),"&gt;90")</f>
        <v>&gt;90</v>
      </c>
      <c r="Z1098" s="97"/>
      <c r="AA1098" s="97"/>
      <c r="AB1098" s="97" t="str">
        <f>IFERROR(__xludf.DUMMYFUNCTION("""COMPUTED_VALUE"""),"&lt; 2")</f>
        <v>&lt; 2</v>
      </c>
      <c r="AC1098" s="97"/>
      <c r="AD1098" s="97" t="str">
        <f>IFERROR(__xludf.DUMMYFUNCTION("""COMPUTED_VALUE"""),"IP20")</f>
        <v>IP20</v>
      </c>
      <c r="AE1098" s="97" t="str">
        <f>IFERROR(__xludf.DUMMYFUNCTION("""COMPUTED_VALUE"""),"Clase l")</f>
        <v>Clase l</v>
      </c>
      <c r="AF1098" s="97" t="str">
        <f>IFERROR(__xludf.DUMMYFUNCTION("""COMPUTED_VALUE"""),"Embutir")</f>
        <v>Embutir</v>
      </c>
      <c r="AG1098" s="97" t="str">
        <f>IFERROR(__xludf.DUMMYFUNCTION("""COMPUTED_VALUE"""),"2400 x 50 x 60")</f>
        <v>2400 x 50 x 60</v>
      </c>
      <c r="AH1098" s="97" t="str">
        <f>IFERROR(__xludf.DUMMYFUNCTION("""COMPUTED_VALUE"""),"40 x 2410")</f>
        <v>40 x 2410</v>
      </c>
      <c r="AI1098" s="97">
        <f>IFERROR(__xludf.DUMMYFUNCTION("""COMPUTED_VALUE"""),100.0)</f>
        <v>100</v>
      </c>
      <c r="AJ1098" s="97" t="str">
        <f>IFERROR(__xludf.DUMMYFUNCTION("""COMPUTED_VALUE"""),"Policarbonato (PC)")</f>
        <v>Policarbonato (PC)</v>
      </c>
      <c r="AK1098" s="97" t="str">
        <f>IFERROR(__xludf.DUMMYFUNCTION("""COMPUTED_VALUE"""),"Aluminio")</f>
        <v>Aluminio</v>
      </c>
      <c r="AL1098" s="97" t="str">
        <f>IFERROR(__xludf.DUMMYFUNCTION("""COMPUTED_VALUE"""),"Blanco Mate")</f>
        <v>Blanco Mate</v>
      </c>
      <c r="AM1098" s="97" t="str">
        <f>IFERROR(__xludf.DUMMYFUNCTION("""COMPUTED_VALUE"""),"-20℃ a 45℃")</f>
        <v>-20℃ a 45℃</v>
      </c>
      <c r="AN1098" s="97" t="str">
        <f>IFERROR(__xludf.DUMMYFUNCTION("""COMPUTED_VALUE"""),"50.000hs (L80)")</f>
        <v>50.000hs (L80)</v>
      </c>
      <c r="AO1098" s="97" t="str">
        <f>IFERROR(__xludf.DUMMYFUNCTION("""COMPUTED_VALUE"""),"3 Años")</f>
        <v>3 Años</v>
      </c>
      <c r="AP1098" s="97" t="str">
        <f>IFERROR(__xludf.DUMMYFUNCTION("""COMPUTED_VALUE"""),"Disponible")</f>
        <v>Disponible</v>
      </c>
      <c r="AQ1098" s="97" t="str">
        <f>IFERROR(__xludf.DUMMYFUNCTION("""COMPUTED_VALUE"""),"Disponible")</f>
        <v>Disponible</v>
      </c>
      <c r="AR1098" s="97" t="str">
        <f>IFERROR(__xludf.DUMMYFUNCTION("""COMPUTED_VALUE"""),"Disponible")</f>
        <v>Disponible</v>
      </c>
      <c r="AS1098" s="97"/>
      <c r="AT1098" s="97"/>
      <c r="AU1098" s="97" t="str">
        <f>IFERROR(__xludf.DUMMYFUNCTION("""COMPUTED_VALUE"""),"Falta")</f>
        <v>Falta</v>
      </c>
      <c r="AV1098" s="97" t="str">
        <f>IFERROR(__xludf.DUMMYFUNCTION("""COMPUTED_VALUE"""),"Lineal")</f>
        <v>Lineal</v>
      </c>
      <c r="AW1098" s="97" t="str">
        <f>IFERROR(__xludf.DUMMYFUNCTION("""COMPUTED_VALUE"""),"Lineales")</f>
        <v>Lineales</v>
      </c>
      <c r="AX1098" s="97" t="str">
        <f>IFERROR(__xludf.DUMMYFUNCTION("""COMPUTED_VALUE"""),"Interior")</f>
        <v>Interior</v>
      </c>
      <c r="AY1098" s="97" t="str">
        <f>IFERROR(__xludf.DUMMYFUNCTION("""COMPUTED_VALUE"""),"Dyna")</f>
        <v>Dyna</v>
      </c>
      <c r="AZ1098" s="97" t="str">
        <f>IFERROR(__xludf.DUMMYFUNCTION("""COMPUTED_VALUE"""),"Corriente: 1200mA. Incluye tapas extremas y X clips de embutir.")</f>
        <v>Corriente: 1200mA. Incluye tapas extremas y X clips de embutir.</v>
      </c>
      <c r="BA1098" s="97">
        <f>IFERROR(__xludf.DUMMYFUNCTION("""COMPUTED_VALUE"""),6.0)</f>
        <v>6</v>
      </c>
      <c r="BB1098" s="97" t="str">
        <f>IFERROR(__xludf.DUMMYFUNCTION("""COMPUTED_VALUE"""),"-")</f>
        <v>-</v>
      </c>
      <c r="BC1098" s="97" t="str">
        <f>IFERROR(__xludf.DUMMYFUNCTION("""COMPUTED_VALUE"""),"-")</f>
        <v>-</v>
      </c>
      <c r="BD1098" s="97" t="str">
        <f>IFERROR(__xludf.DUMMYFUNCTION("""COMPUTED_VALUE"""),"DYNA EM")</f>
        <v>DYNA EM</v>
      </c>
      <c r="BE1098" s="97" t="str">
        <f>IFERROR(__xludf.DUMMYFUNCTION("""COMPUTED_VALUE"""),"Finalizada")</f>
        <v>Finalizada</v>
      </c>
      <c r="BF1098" s="97"/>
      <c r="BG1098" s="97" t="str">
        <f>IFERROR(__xludf.DUMMYFUNCTION("""COMPUTED_VALUE"""),"Activo")</f>
        <v>Activo</v>
      </c>
    </row>
    <row r="1099">
      <c r="A1099" s="97">
        <f>IFERROR(__xludf.DUMMYFUNCTION("""COMPUTED_VALUE"""),7017.0)</f>
        <v>7017</v>
      </c>
      <c r="B1099" s="97" t="str">
        <f>IFERROR(__xludf.DUMMYFUNCTION("""COMPUTED_VALUE"""),"DYNA EM 240 NG")</f>
        <v>DYNA EM 240 NG</v>
      </c>
      <c r="C1099" s="97" t="str">
        <f>IFERROR(__xludf.DUMMYFUNCTION("""COMPUTED_VALUE"""),"LINEAL DYNA EM 240 NG 50W 2700/3300/4000K 4800LM CRI&gt;90 IP20 LEUK")</f>
        <v>LINEAL DYNA EM 240 NG 50W 2700/3300/4000K 4800LM CRI&gt;90 IP20 LEUK</v>
      </c>
      <c r="D1099" s="97">
        <f>IFERROR(__xludf.DUMMYFUNCTION("""COMPUTED_VALUE"""),7.798413225372E12)</f>
        <v>7798413225372</v>
      </c>
      <c r="E1099" s="97" t="str">
        <f>IFERROR(__xludf.DUMMYFUNCTION("""COMPUTED_VALUE"""),"i8")</f>
        <v>i8</v>
      </c>
      <c r="F1099" s="97" t="str">
        <f>IFERROR(__xludf.DUMMYFUNCTION("""COMPUTED_VALUE"""),"LED integrado")</f>
        <v>LED integrado</v>
      </c>
      <c r="G1099" s="97" t="str">
        <f>IFERROR(__xludf.DUMMYFUNCTION("""COMPUTED_VALUE"""),"CREE")</f>
        <v>CREE</v>
      </c>
      <c r="H1099" s="97" t="str">
        <f>IFERROR(__xludf.DUMMYFUNCTION("""COMPUTED_VALUE"""),"Lifud")</f>
        <v>Lifud</v>
      </c>
      <c r="I1099" s="97"/>
      <c r="J1099" s="97" t="str">
        <f>IFERROR(__xludf.DUMMYFUNCTION("""COMPUTED_VALUE"""),"Modelo: LF-GMR060YS II 1200H
In: 220-240Vac 0.4A 50/60Hz
Out: 33-42Vdc 1200mA 50.4W
Pf 0.9")</f>
        <v>Modelo: LF-GMR060YS II 1200H
In: 220-240Vac 0.4A 50/60Hz
Out: 33-42Vdc 1200mA 50.4W
Pf 0.9</v>
      </c>
      <c r="K1099" s="97" t="str">
        <f>IFERROR(__xludf.DUMMYFUNCTION("""COMPUTED_VALUE"""),"ON/OFF")</f>
        <v>ON/OFF</v>
      </c>
      <c r="L1099" s="97" t="str">
        <f>IFERROR(__xludf.DUMMYFUNCTION("""COMPUTED_VALUE"""),"200-240")</f>
        <v>200-240</v>
      </c>
      <c r="M1099" s="97" t="str">
        <f>IFERROR(__xludf.DUMMYFUNCTION("""COMPUTED_VALUE"""),"50/60")</f>
        <v>50/60</v>
      </c>
      <c r="N1099" s="97"/>
      <c r="O1099" s="97">
        <f>IFERROR(__xludf.DUMMYFUNCTION("""COMPUTED_VALUE"""),50.0)</f>
        <v>50</v>
      </c>
      <c r="P1099" s="97"/>
      <c r="Q1099" s="97">
        <f>IFERROR(__xludf.DUMMYFUNCTION("""COMPUTED_VALUE"""),0.9)</f>
        <v>0.9</v>
      </c>
      <c r="R1099" s="97">
        <f>IFERROR(__xludf.DUMMYFUNCTION("""COMPUTED_VALUE"""),7500.0)</f>
        <v>7500</v>
      </c>
      <c r="S1099" s="97">
        <f>IFERROR(__xludf.DUMMYFUNCTION("""COMPUTED_VALUE"""),135.0)</f>
        <v>135</v>
      </c>
      <c r="T1099" s="99">
        <f>IFERROR(__xludf.DUMMYFUNCTION("""COMPUTED_VALUE"""),4800.0)</f>
        <v>4800</v>
      </c>
      <c r="U1099" s="99">
        <f>IFERROR(__xludf.DUMMYFUNCTION("""COMPUTED_VALUE"""),96.0)</f>
        <v>96</v>
      </c>
      <c r="V1099" s="97">
        <f>IFERROR(__xludf.DUMMYFUNCTION("""COMPUTED_VALUE"""),100.0)</f>
        <v>100</v>
      </c>
      <c r="W1099" s="97" t="str">
        <f>IFERROR(__xludf.DUMMYFUNCTION("""COMPUTED_VALUE"""),"&lt; 20")</f>
        <v>&lt; 20</v>
      </c>
      <c r="X1099" s="97" t="str">
        <f>IFERROR(__xludf.DUMMYFUNCTION("""COMPUTED_VALUE"""),"2700/3300/4000")</f>
        <v>2700/3300/4000</v>
      </c>
      <c r="Y1099" s="97" t="str">
        <f>IFERROR(__xludf.DUMMYFUNCTION("""COMPUTED_VALUE"""),"&gt;90")</f>
        <v>&gt;90</v>
      </c>
      <c r="Z1099" s="97"/>
      <c r="AA1099" s="97"/>
      <c r="AB1099" s="97" t="str">
        <f>IFERROR(__xludf.DUMMYFUNCTION("""COMPUTED_VALUE"""),"&lt; 2")</f>
        <v>&lt; 2</v>
      </c>
      <c r="AC1099" s="97"/>
      <c r="AD1099" s="97" t="str">
        <f>IFERROR(__xludf.DUMMYFUNCTION("""COMPUTED_VALUE"""),"IP20")</f>
        <v>IP20</v>
      </c>
      <c r="AE1099" s="97" t="str">
        <f>IFERROR(__xludf.DUMMYFUNCTION("""COMPUTED_VALUE"""),"Clase l")</f>
        <v>Clase l</v>
      </c>
      <c r="AF1099" s="97" t="str">
        <f>IFERROR(__xludf.DUMMYFUNCTION("""COMPUTED_VALUE"""),"Embutir")</f>
        <v>Embutir</v>
      </c>
      <c r="AG1099" s="97" t="str">
        <f>IFERROR(__xludf.DUMMYFUNCTION("""COMPUTED_VALUE"""),"2400 x 50 x 60")</f>
        <v>2400 x 50 x 60</v>
      </c>
      <c r="AH1099" s="97" t="str">
        <f>IFERROR(__xludf.DUMMYFUNCTION("""COMPUTED_VALUE"""),"40 x 2410")</f>
        <v>40 x 2410</v>
      </c>
      <c r="AI1099" s="97">
        <f>IFERROR(__xludf.DUMMYFUNCTION("""COMPUTED_VALUE"""),100.0)</f>
        <v>100</v>
      </c>
      <c r="AJ1099" s="97" t="str">
        <f>IFERROR(__xludf.DUMMYFUNCTION("""COMPUTED_VALUE"""),"Policarbonato (PC)")</f>
        <v>Policarbonato (PC)</v>
      </c>
      <c r="AK1099" s="97" t="str">
        <f>IFERROR(__xludf.DUMMYFUNCTION("""COMPUTED_VALUE"""),"Aluminio")</f>
        <v>Aluminio</v>
      </c>
      <c r="AL1099" s="97" t="str">
        <f>IFERROR(__xludf.DUMMYFUNCTION("""COMPUTED_VALUE"""),"Negro Mate")</f>
        <v>Negro Mate</v>
      </c>
      <c r="AM1099" s="97" t="str">
        <f>IFERROR(__xludf.DUMMYFUNCTION("""COMPUTED_VALUE"""),"-20℃ a 45℃")</f>
        <v>-20℃ a 45℃</v>
      </c>
      <c r="AN1099" s="97" t="str">
        <f>IFERROR(__xludf.DUMMYFUNCTION("""COMPUTED_VALUE"""),"50.000hs (L80)")</f>
        <v>50.000hs (L80)</v>
      </c>
      <c r="AO1099" s="97" t="str">
        <f>IFERROR(__xludf.DUMMYFUNCTION("""COMPUTED_VALUE"""),"3 Años")</f>
        <v>3 Años</v>
      </c>
      <c r="AP1099" s="97" t="str">
        <f>IFERROR(__xludf.DUMMYFUNCTION("""COMPUTED_VALUE"""),"Disponible")</f>
        <v>Disponible</v>
      </c>
      <c r="AQ1099" s="97" t="str">
        <f>IFERROR(__xludf.DUMMYFUNCTION("""COMPUTED_VALUE"""),"Disponible")</f>
        <v>Disponible</v>
      </c>
      <c r="AR1099" s="97" t="str">
        <f>IFERROR(__xludf.DUMMYFUNCTION("""COMPUTED_VALUE"""),"Disponible")</f>
        <v>Disponible</v>
      </c>
      <c r="AS1099" s="97"/>
      <c r="AT1099" s="97"/>
      <c r="AU1099" s="97" t="str">
        <f>IFERROR(__xludf.DUMMYFUNCTION("""COMPUTED_VALUE"""),"Falta")</f>
        <v>Falta</v>
      </c>
      <c r="AV1099" s="97" t="str">
        <f>IFERROR(__xludf.DUMMYFUNCTION("""COMPUTED_VALUE"""),"Lineal")</f>
        <v>Lineal</v>
      </c>
      <c r="AW1099" s="97" t="str">
        <f>IFERROR(__xludf.DUMMYFUNCTION("""COMPUTED_VALUE"""),"Lineales")</f>
        <v>Lineales</v>
      </c>
      <c r="AX1099" s="97" t="str">
        <f>IFERROR(__xludf.DUMMYFUNCTION("""COMPUTED_VALUE"""),"Interior")</f>
        <v>Interior</v>
      </c>
      <c r="AY1099" s="97" t="str">
        <f>IFERROR(__xludf.DUMMYFUNCTION("""COMPUTED_VALUE"""),"Dyna")</f>
        <v>Dyna</v>
      </c>
      <c r="AZ1099" s="97" t="str">
        <f>IFERROR(__xludf.DUMMYFUNCTION("""COMPUTED_VALUE"""),"Corriente: 1200mA. Incluye tapas extremas y X clips de embutir.")</f>
        <v>Corriente: 1200mA. Incluye tapas extremas y X clips de embutir.</v>
      </c>
      <c r="BA1099" s="97">
        <f>IFERROR(__xludf.DUMMYFUNCTION("""COMPUTED_VALUE"""),6.0)</f>
        <v>6</v>
      </c>
      <c r="BB1099" s="97" t="str">
        <f>IFERROR(__xludf.DUMMYFUNCTION("""COMPUTED_VALUE"""),"-")</f>
        <v>-</v>
      </c>
      <c r="BC1099" s="97" t="str">
        <f>IFERROR(__xludf.DUMMYFUNCTION("""COMPUTED_VALUE"""),"-")</f>
        <v>-</v>
      </c>
      <c r="BD1099" s="97" t="str">
        <f>IFERROR(__xludf.DUMMYFUNCTION("""COMPUTED_VALUE"""),"DYNA EM")</f>
        <v>DYNA EM</v>
      </c>
      <c r="BE1099" s="97" t="str">
        <f>IFERROR(__xludf.DUMMYFUNCTION("""COMPUTED_VALUE"""),"Finalizada")</f>
        <v>Finalizada</v>
      </c>
      <c r="BF1099" s="97"/>
      <c r="BG1099" s="97" t="str">
        <f>IFERROR(__xludf.DUMMYFUNCTION("""COMPUTED_VALUE"""),"Activo")</f>
        <v>Activo</v>
      </c>
    </row>
    <row r="1100">
      <c r="A1100" s="97">
        <f>IFERROR(__xludf.DUMMYFUNCTION("""COMPUTED_VALUE"""),7018.0)</f>
        <v>7018</v>
      </c>
      <c r="B1100" s="97" t="str">
        <f>IFERROR(__xludf.DUMMYFUNCTION("""COMPUTED_VALUE"""),"DYNA EM UNION L BL")</f>
        <v>DYNA EM UNION L BL</v>
      </c>
      <c r="C1100" s="97" t="str">
        <f>IFERROR(__xludf.DUMMYFUNCTION("""COMPUTED_VALUE"""),"UNIÓN DYNA EM UNION L BL 12,5W 2700/3300/4000K 1150LM CRI&gt;90 IP20 LEUK")</f>
        <v>UNIÓN DYNA EM UNION L BL 12,5W 2700/3300/4000K 1150LM CRI&gt;90 IP20 LEUK</v>
      </c>
      <c r="D1100" s="97">
        <f>IFERROR(__xludf.DUMMYFUNCTION("""COMPUTED_VALUE"""),7.798413225389E12)</f>
        <v>7798413225389</v>
      </c>
      <c r="E1100" s="97" t="str">
        <f>IFERROR(__xludf.DUMMYFUNCTION("""COMPUTED_VALUE"""),"i13")</f>
        <v>i13</v>
      </c>
      <c r="F1100" s="97" t="str">
        <f>IFERROR(__xludf.DUMMYFUNCTION("""COMPUTED_VALUE"""),"LED integrado")</f>
        <v>LED integrado</v>
      </c>
      <c r="G1100" s="97" t="str">
        <f>IFERROR(__xludf.DUMMYFUNCTION("""COMPUTED_VALUE"""),"CREE")</f>
        <v>CREE</v>
      </c>
      <c r="H1100" s="97" t="str">
        <f>IFERROR(__xludf.DUMMYFUNCTION("""COMPUTED_VALUE"""),"Lifud")</f>
        <v>Lifud</v>
      </c>
      <c r="I1100" s="97"/>
      <c r="J1100" s="97" t="str">
        <f>IFERROR(__xludf.DUMMYFUNCTION("""COMPUTED_VALUE"""),"Modelo: LF-GMR020YS II 0300H
In: 220-240Vac 0.14A 50/60Hz
Out: 33-42Vdc 300mA 12.6W
Pf 0.9 Tc 70°C Ta 50°C")</f>
        <v>Modelo: LF-GMR020YS II 0300H
In: 220-240Vac 0.14A 50/60Hz
Out: 33-42Vdc 300mA 12.6W
Pf 0.9 Tc 70°C Ta 50°C</v>
      </c>
      <c r="K1100" s="97" t="str">
        <f>IFERROR(__xludf.DUMMYFUNCTION("""COMPUTED_VALUE"""),"ON/OFF")</f>
        <v>ON/OFF</v>
      </c>
      <c r="L1100" s="97" t="str">
        <f>IFERROR(__xludf.DUMMYFUNCTION("""COMPUTED_VALUE"""),"200-240")</f>
        <v>200-240</v>
      </c>
      <c r="M1100" s="97" t="str">
        <f>IFERROR(__xludf.DUMMYFUNCTION("""COMPUTED_VALUE"""),"50/60")</f>
        <v>50/60</v>
      </c>
      <c r="N1100" s="97"/>
      <c r="O1100" s="97">
        <f>IFERROR(__xludf.DUMMYFUNCTION("""COMPUTED_VALUE"""),12.5)</f>
        <v>12.5</v>
      </c>
      <c r="P1100" s="97"/>
      <c r="Q1100" s="97">
        <f>IFERROR(__xludf.DUMMYFUNCTION("""COMPUTED_VALUE"""),0.9)</f>
        <v>0.9</v>
      </c>
      <c r="R1100" s="97">
        <f>IFERROR(__xludf.DUMMYFUNCTION("""COMPUTED_VALUE"""),1875.0)</f>
        <v>1875</v>
      </c>
      <c r="S1100" s="97">
        <f>IFERROR(__xludf.DUMMYFUNCTION("""COMPUTED_VALUE"""),135.0)</f>
        <v>135</v>
      </c>
      <c r="T1100" s="99">
        <f>IFERROR(__xludf.DUMMYFUNCTION("""COMPUTED_VALUE"""),1150.0)</f>
        <v>1150</v>
      </c>
      <c r="U1100" s="99">
        <f>IFERROR(__xludf.DUMMYFUNCTION("""COMPUTED_VALUE"""),92.0)</f>
        <v>92</v>
      </c>
      <c r="V1100" s="97">
        <f>IFERROR(__xludf.DUMMYFUNCTION("""COMPUTED_VALUE"""),100.0)</f>
        <v>100</v>
      </c>
      <c r="W1100" s="97" t="str">
        <f>IFERROR(__xludf.DUMMYFUNCTION("""COMPUTED_VALUE"""),"&lt; 20")</f>
        <v>&lt; 20</v>
      </c>
      <c r="X1100" s="97" t="str">
        <f>IFERROR(__xludf.DUMMYFUNCTION("""COMPUTED_VALUE"""),"2700/3300/4000")</f>
        <v>2700/3300/4000</v>
      </c>
      <c r="Y1100" s="97" t="str">
        <f>IFERROR(__xludf.DUMMYFUNCTION("""COMPUTED_VALUE"""),"&gt;90")</f>
        <v>&gt;90</v>
      </c>
      <c r="Z1100" s="97"/>
      <c r="AA1100" s="97"/>
      <c r="AB1100" s="97" t="str">
        <f>IFERROR(__xludf.DUMMYFUNCTION("""COMPUTED_VALUE"""),"&lt; 2")</f>
        <v>&lt; 2</v>
      </c>
      <c r="AC1100" s="97"/>
      <c r="AD1100" s="97" t="str">
        <f>IFERROR(__xludf.DUMMYFUNCTION("""COMPUTED_VALUE"""),"IP20")</f>
        <v>IP20</v>
      </c>
      <c r="AE1100" s="97" t="str">
        <f>IFERROR(__xludf.DUMMYFUNCTION("""COMPUTED_VALUE"""),"Clase l")</f>
        <v>Clase l</v>
      </c>
      <c r="AF1100" s="97" t="str">
        <f>IFERROR(__xludf.DUMMYFUNCTION("""COMPUTED_VALUE"""),"Embutir")</f>
        <v>Embutir</v>
      </c>
      <c r="AG1100" s="97" t="str">
        <f>IFERROR(__xludf.DUMMYFUNCTION("""COMPUTED_VALUE"""),"310 x 310 x 60")</f>
        <v>310 x 310 x 60</v>
      </c>
      <c r="AH1100" s="97" t="str">
        <f>IFERROR(__xludf.DUMMYFUNCTION("""COMPUTED_VALUE"""),"L de 40 x 310")</f>
        <v>L de 40 x 310</v>
      </c>
      <c r="AI1100" s="97">
        <f>IFERROR(__xludf.DUMMYFUNCTION("""COMPUTED_VALUE"""),100.0)</f>
        <v>100</v>
      </c>
      <c r="AJ1100" s="97" t="str">
        <f>IFERROR(__xludf.DUMMYFUNCTION("""COMPUTED_VALUE"""),"Policarbonato (PC)")</f>
        <v>Policarbonato (PC)</v>
      </c>
      <c r="AK1100" s="97" t="str">
        <f>IFERROR(__xludf.DUMMYFUNCTION("""COMPUTED_VALUE"""),"Aluminio")</f>
        <v>Aluminio</v>
      </c>
      <c r="AL1100" s="97" t="str">
        <f>IFERROR(__xludf.DUMMYFUNCTION("""COMPUTED_VALUE"""),"Blanco Mate")</f>
        <v>Blanco Mate</v>
      </c>
      <c r="AM1100" s="97" t="str">
        <f>IFERROR(__xludf.DUMMYFUNCTION("""COMPUTED_VALUE"""),"-20℃ a 45℃")</f>
        <v>-20℃ a 45℃</v>
      </c>
      <c r="AN1100" s="97" t="str">
        <f>IFERROR(__xludf.DUMMYFUNCTION("""COMPUTED_VALUE"""),"50.000hs (L80)")</f>
        <v>50.000hs (L80)</v>
      </c>
      <c r="AO1100" s="97" t="str">
        <f>IFERROR(__xludf.DUMMYFUNCTION("""COMPUTED_VALUE"""),"3 Años")</f>
        <v>3 Años</v>
      </c>
      <c r="AP1100" s="97" t="str">
        <f>IFERROR(__xludf.DUMMYFUNCTION("""COMPUTED_VALUE"""),"Disponible")</f>
        <v>Disponible</v>
      </c>
      <c r="AQ1100" s="97" t="str">
        <f>IFERROR(__xludf.DUMMYFUNCTION("""COMPUTED_VALUE"""),"Disponible")</f>
        <v>Disponible</v>
      </c>
      <c r="AR1100" s="97" t="str">
        <f>IFERROR(__xludf.DUMMYFUNCTION("""COMPUTED_VALUE"""),"Disponible")</f>
        <v>Disponible</v>
      </c>
      <c r="AS1100" s="97"/>
      <c r="AT1100" s="97"/>
      <c r="AU1100" s="97" t="str">
        <f>IFERROR(__xludf.DUMMYFUNCTION("""COMPUTED_VALUE"""),"Falta")</f>
        <v>Falta</v>
      </c>
      <c r="AV1100" s="97" t="str">
        <f>IFERROR(__xludf.DUMMYFUNCTION("""COMPUTED_VALUE"""),"Unión")</f>
        <v>Unión</v>
      </c>
      <c r="AW1100" s="97" t="str">
        <f>IFERROR(__xludf.DUMMYFUNCTION("""COMPUTED_VALUE"""),"Lineales")</f>
        <v>Lineales</v>
      </c>
      <c r="AX1100" s="97" t="str">
        <f>IFERROR(__xludf.DUMMYFUNCTION("""COMPUTED_VALUE"""),"Interior")</f>
        <v>Interior</v>
      </c>
      <c r="AY1100" s="97" t="str">
        <f>IFERROR(__xludf.DUMMYFUNCTION("""COMPUTED_VALUE"""),"Dyna")</f>
        <v>Dyna</v>
      </c>
      <c r="AZ1100" s="97" t="str">
        <f>IFERROR(__xludf.DUMMYFUNCTION("""COMPUTED_VALUE"""),"Corriente: 300mA. Incluye tapas extremas y 2 clips de embutir.")</f>
        <v>Corriente: 300mA. Incluye tapas extremas y 2 clips de embutir.</v>
      </c>
      <c r="BA1100" s="97"/>
      <c r="BB1100" s="97" t="str">
        <f>IFERROR(__xludf.DUMMYFUNCTION("""COMPUTED_VALUE"""),"-")</f>
        <v>-</v>
      </c>
      <c r="BC1100" s="97" t="str">
        <f>IFERROR(__xludf.DUMMYFUNCTION("""COMPUTED_VALUE"""),"-")</f>
        <v>-</v>
      </c>
      <c r="BD1100" s="97" t="str">
        <f>IFERROR(__xludf.DUMMYFUNCTION("""COMPUTED_VALUE"""),"DYNA EM")</f>
        <v>DYNA EM</v>
      </c>
      <c r="BE1100" s="97" t="str">
        <f>IFERROR(__xludf.DUMMYFUNCTION("""COMPUTED_VALUE"""),"Finalizada")</f>
        <v>Finalizada</v>
      </c>
      <c r="BF1100" s="97"/>
      <c r="BG1100" s="97" t="str">
        <f>IFERROR(__xludf.DUMMYFUNCTION("""COMPUTED_VALUE"""),"Activo")</f>
        <v>Activo</v>
      </c>
    </row>
    <row r="1101">
      <c r="A1101" s="97">
        <f>IFERROR(__xludf.DUMMYFUNCTION("""COMPUTED_VALUE"""),7019.0)</f>
        <v>7019</v>
      </c>
      <c r="B1101" s="97" t="str">
        <f>IFERROR(__xludf.DUMMYFUNCTION("""COMPUTED_VALUE"""),"DYNA EM UNION L NG")</f>
        <v>DYNA EM UNION L NG</v>
      </c>
      <c r="C1101" s="97" t="str">
        <f>IFERROR(__xludf.DUMMYFUNCTION("""COMPUTED_VALUE"""),"UNIÓN DYNA EM UNION L NG 12,5W 2700/3300/4000K 1150LM CRI&gt;90 IP20 LEUK")</f>
        <v>UNIÓN DYNA EM UNION L NG 12,5W 2700/3300/4000K 1150LM CRI&gt;90 IP20 LEUK</v>
      </c>
      <c r="D1101" s="97">
        <f>IFERROR(__xludf.DUMMYFUNCTION("""COMPUTED_VALUE"""),7.798413225396E12)</f>
        <v>7798413225396</v>
      </c>
      <c r="E1101" s="97" t="str">
        <f>IFERROR(__xludf.DUMMYFUNCTION("""COMPUTED_VALUE"""),"i13")</f>
        <v>i13</v>
      </c>
      <c r="F1101" s="97" t="str">
        <f>IFERROR(__xludf.DUMMYFUNCTION("""COMPUTED_VALUE"""),"LED integrado")</f>
        <v>LED integrado</v>
      </c>
      <c r="G1101" s="97" t="str">
        <f>IFERROR(__xludf.DUMMYFUNCTION("""COMPUTED_VALUE"""),"CREE")</f>
        <v>CREE</v>
      </c>
      <c r="H1101" s="97" t="str">
        <f>IFERROR(__xludf.DUMMYFUNCTION("""COMPUTED_VALUE"""),"Lifud")</f>
        <v>Lifud</v>
      </c>
      <c r="I1101" s="97"/>
      <c r="J1101" s="97" t="str">
        <f>IFERROR(__xludf.DUMMYFUNCTION("""COMPUTED_VALUE"""),"Modelo: LF-GMR020YS II 0300H
In: 220-240Vac 0.14A 50/60Hz
Out: 33-42Vdc 300mA 12.6W
Pf 0.9 Tc 70°C Ta 50°C")</f>
        <v>Modelo: LF-GMR020YS II 0300H
In: 220-240Vac 0.14A 50/60Hz
Out: 33-42Vdc 300mA 12.6W
Pf 0.9 Tc 70°C Ta 50°C</v>
      </c>
      <c r="K1101" s="97" t="str">
        <f>IFERROR(__xludf.DUMMYFUNCTION("""COMPUTED_VALUE"""),"ON/OFF")</f>
        <v>ON/OFF</v>
      </c>
      <c r="L1101" s="97" t="str">
        <f>IFERROR(__xludf.DUMMYFUNCTION("""COMPUTED_VALUE"""),"200-240")</f>
        <v>200-240</v>
      </c>
      <c r="M1101" s="97" t="str">
        <f>IFERROR(__xludf.DUMMYFUNCTION("""COMPUTED_VALUE"""),"50/60")</f>
        <v>50/60</v>
      </c>
      <c r="N1101" s="97"/>
      <c r="O1101" s="97">
        <f>IFERROR(__xludf.DUMMYFUNCTION("""COMPUTED_VALUE"""),12.5)</f>
        <v>12.5</v>
      </c>
      <c r="P1101" s="97"/>
      <c r="Q1101" s="97">
        <f>IFERROR(__xludf.DUMMYFUNCTION("""COMPUTED_VALUE"""),0.9)</f>
        <v>0.9</v>
      </c>
      <c r="R1101" s="97">
        <f>IFERROR(__xludf.DUMMYFUNCTION("""COMPUTED_VALUE"""),1875.0)</f>
        <v>1875</v>
      </c>
      <c r="S1101" s="97">
        <f>IFERROR(__xludf.DUMMYFUNCTION("""COMPUTED_VALUE"""),135.0)</f>
        <v>135</v>
      </c>
      <c r="T1101" s="99">
        <f>IFERROR(__xludf.DUMMYFUNCTION("""COMPUTED_VALUE"""),1150.0)</f>
        <v>1150</v>
      </c>
      <c r="U1101" s="99">
        <f>IFERROR(__xludf.DUMMYFUNCTION("""COMPUTED_VALUE"""),92.0)</f>
        <v>92</v>
      </c>
      <c r="V1101" s="97">
        <f>IFERROR(__xludf.DUMMYFUNCTION("""COMPUTED_VALUE"""),100.0)</f>
        <v>100</v>
      </c>
      <c r="W1101" s="97" t="str">
        <f>IFERROR(__xludf.DUMMYFUNCTION("""COMPUTED_VALUE"""),"&lt; 20")</f>
        <v>&lt; 20</v>
      </c>
      <c r="X1101" s="97" t="str">
        <f>IFERROR(__xludf.DUMMYFUNCTION("""COMPUTED_VALUE"""),"2700/3300/4000")</f>
        <v>2700/3300/4000</v>
      </c>
      <c r="Y1101" s="97" t="str">
        <f>IFERROR(__xludf.DUMMYFUNCTION("""COMPUTED_VALUE"""),"&gt;90")</f>
        <v>&gt;90</v>
      </c>
      <c r="Z1101" s="97"/>
      <c r="AA1101" s="97"/>
      <c r="AB1101" s="97" t="str">
        <f>IFERROR(__xludf.DUMMYFUNCTION("""COMPUTED_VALUE"""),"&lt; 2")</f>
        <v>&lt; 2</v>
      </c>
      <c r="AC1101" s="97"/>
      <c r="AD1101" s="97" t="str">
        <f>IFERROR(__xludf.DUMMYFUNCTION("""COMPUTED_VALUE"""),"IP20")</f>
        <v>IP20</v>
      </c>
      <c r="AE1101" s="97" t="str">
        <f>IFERROR(__xludf.DUMMYFUNCTION("""COMPUTED_VALUE"""),"Clase l")</f>
        <v>Clase l</v>
      </c>
      <c r="AF1101" s="97" t="str">
        <f>IFERROR(__xludf.DUMMYFUNCTION("""COMPUTED_VALUE"""),"Embutir")</f>
        <v>Embutir</v>
      </c>
      <c r="AG1101" s="97" t="str">
        <f>IFERROR(__xludf.DUMMYFUNCTION("""COMPUTED_VALUE"""),"310 x 310 x 60")</f>
        <v>310 x 310 x 60</v>
      </c>
      <c r="AH1101" s="97" t="str">
        <f>IFERROR(__xludf.DUMMYFUNCTION("""COMPUTED_VALUE"""),"L de 40 x 310")</f>
        <v>L de 40 x 310</v>
      </c>
      <c r="AI1101" s="97">
        <f>IFERROR(__xludf.DUMMYFUNCTION("""COMPUTED_VALUE"""),100.0)</f>
        <v>100</v>
      </c>
      <c r="AJ1101" s="97" t="str">
        <f>IFERROR(__xludf.DUMMYFUNCTION("""COMPUTED_VALUE"""),"Policarbonato (PC)")</f>
        <v>Policarbonato (PC)</v>
      </c>
      <c r="AK1101" s="97" t="str">
        <f>IFERROR(__xludf.DUMMYFUNCTION("""COMPUTED_VALUE"""),"Aluminio")</f>
        <v>Aluminio</v>
      </c>
      <c r="AL1101" s="97" t="str">
        <f>IFERROR(__xludf.DUMMYFUNCTION("""COMPUTED_VALUE"""),"Negro Mate")</f>
        <v>Negro Mate</v>
      </c>
      <c r="AM1101" s="97" t="str">
        <f>IFERROR(__xludf.DUMMYFUNCTION("""COMPUTED_VALUE"""),"-20℃ a 45℃")</f>
        <v>-20℃ a 45℃</v>
      </c>
      <c r="AN1101" s="97" t="str">
        <f>IFERROR(__xludf.DUMMYFUNCTION("""COMPUTED_VALUE"""),"50.000hs (L80)")</f>
        <v>50.000hs (L80)</v>
      </c>
      <c r="AO1101" s="97" t="str">
        <f>IFERROR(__xludf.DUMMYFUNCTION("""COMPUTED_VALUE"""),"3 Años")</f>
        <v>3 Años</v>
      </c>
      <c r="AP1101" s="97" t="str">
        <f>IFERROR(__xludf.DUMMYFUNCTION("""COMPUTED_VALUE"""),"Disponible")</f>
        <v>Disponible</v>
      </c>
      <c r="AQ1101" s="97" t="str">
        <f>IFERROR(__xludf.DUMMYFUNCTION("""COMPUTED_VALUE"""),"Disponible")</f>
        <v>Disponible</v>
      </c>
      <c r="AR1101" s="97" t="str">
        <f>IFERROR(__xludf.DUMMYFUNCTION("""COMPUTED_VALUE"""),"Disponible")</f>
        <v>Disponible</v>
      </c>
      <c r="AS1101" s="97"/>
      <c r="AT1101" s="97"/>
      <c r="AU1101" s="97" t="str">
        <f>IFERROR(__xludf.DUMMYFUNCTION("""COMPUTED_VALUE"""),"Falta")</f>
        <v>Falta</v>
      </c>
      <c r="AV1101" s="97" t="str">
        <f>IFERROR(__xludf.DUMMYFUNCTION("""COMPUTED_VALUE"""),"Unión")</f>
        <v>Unión</v>
      </c>
      <c r="AW1101" s="97" t="str">
        <f>IFERROR(__xludf.DUMMYFUNCTION("""COMPUTED_VALUE"""),"Lineales")</f>
        <v>Lineales</v>
      </c>
      <c r="AX1101" s="97" t="str">
        <f>IFERROR(__xludf.DUMMYFUNCTION("""COMPUTED_VALUE"""),"Interior")</f>
        <v>Interior</v>
      </c>
      <c r="AY1101" s="97" t="str">
        <f>IFERROR(__xludf.DUMMYFUNCTION("""COMPUTED_VALUE"""),"Dyna")</f>
        <v>Dyna</v>
      </c>
      <c r="AZ1101" s="97" t="str">
        <f>IFERROR(__xludf.DUMMYFUNCTION("""COMPUTED_VALUE"""),"Corriente: 300mA. Incluye tapas extremas y 2 clips de embutir.")</f>
        <v>Corriente: 300mA. Incluye tapas extremas y 2 clips de embutir.</v>
      </c>
      <c r="BA1101" s="97"/>
      <c r="BB1101" s="97" t="str">
        <f>IFERROR(__xludf.DUMMYFUNCTION("""COMPUTED_VALUE"""),"-")</f>
        <v>-</v>
      </c>
      <c r="BC1101" s="97" t="str">
        <f>IFERROR(__xludf.DUMMYFUNCTION("""COMPUTED_VALUE"""),"-")</f>
        <v>-</v>
      </c>
      <c r="BD1101" s="97" t="str">
        <f>IFERROR(__xludf.DUMMYFUNCTION("""COMPUTED_VALUE"""),"DYNA EM")</f>
        <v>DYNA EM</v>
      </c>
      <c r="BE1101" s="97" t="str">
        <f>IFERROR(__xludf.DUMMYFUNCTION("""COMPUTED_VALUE"""),"Finalizada")</f>
        <v>Finalizada</v>
      </c>
      <c r="BF1101" s="97"/>
      <c r="BG1101" s="97" t="str">
        <f>IFERROR(__xludf.DUMMYFUNCTION("""COMPUTED_VALUE"""),"Activo")</f>
        <v>Activo</v>
      </c>
    </row>
    <row r="1102">
      <c r="A1102" s="97">
        <f>IFERROR(__xludf.DUMMYFUNCTION("""COMPUTED_VALUE"""),7020.0)</f>
        <v>7020</v>
      </c>
      <c r="B1102" s="97" t="str">
        <f>IFERROR(__xludf.DUMMYFUNCTION("""COMPUTED_VALUE"""),"DYNA UNION ANG120 BL")</f>
        <v>DYNA UNION ANG120 BL</v>
      </c>
      <c r="C1102" s="97" t="str">
        <f>IFERROR(__xludf.DUMMYFUNCTION("""COMPUTED_VALUE"""),"UNIÓN DYNA UNION ANG120 BL 12,5W 2700/3300/4000K 1150LM CRI&gt;90 IP20 LEUK")</f>
        <v>UNIÓN DYNA UNION ANG120 BL 12,5W 2700/3300/4000K 1150LM CRI&gt;90 IP20 LEUK</v>
      </c>
      <c r="D1102" s="97">
        <f>IFERROR(__xludf.DUMMYFUNCTION("""COMPUTED_VALUE"""),7.798413225402E12)</f>
        <v>7798413225402</v>
      </c>
      <c r="E1102" s="97" t="str">
        <f>IFERROR(__xludf.DUMMYFUNCTION("""COMPUTED_VALUE"""),"i14")</f>
        <v>i14</v>
      </c>
      <c r="F1102" s="97" t="str">
        <f>IFERROR(__xludf.DUMMYFUNCTION("""COMPUTED_VALUE"""),"LED integrado")</f>
        <v>LED integrado</v>
      </c>
      <c r="G1102" s="97" t="str">
        <f>IFERROR(__xludf.DUMMYFUNCTION("""COMPUTED_VALUE"""),"CREE")</f>
        <v>CREE</v>
      </c>
      <c r="H1102" s="97" t="str">
        <f>IFERROR(__xludf.DUMMYFUNCTION("""COMPUTED_VALUE"""),"Lifud")</f>
        <v>Lifud</v>
      </c>
      <c r="I1102" s="97"/>
      <c r="J1102" s="97" t="str">
        <f>IFERROR(__xludf.DUMMYFUNCTION("""COMPUTED_VALUE"""),"Modelo: LF-GMR020YS0350H(S)
In: 220-240Vac 0.15A 50/60Hz
Out: 20-56Vdc 200a350(300mA) 19.6W
Pf 0.9 Tc 80°C Ta 60°C")</f>
        <v>Modelo: LF-GMR020YS0350H(S)
In: 220-240Vac 0.15A 50/60Hz
Out: 20-56Vdc 200a350(300mA) 19.6W
Pf 0.9 Tc 80°C Ta 60°C</v>
      </c>
      <c r="K1102" s="97" t="str">
        <f>IFERROR(__xludf.DUMMYFUNCTION("""COMPUTED_VALUE"""),"ON/OFF")</f>
        <v>ON/OFF</v>
      </c>
      <c r="L1102" s="97" t="str">
        <f>IFERROR(__xludf.DUMMYFUNCTION("""COMPUTED_VALUE"""),"200-240")</f>
        <v>200-240</v>
      </c>
      <c r="M1102" s="97" t="str">
        <f>IFERROR(__xludf.DUMMYFUNCTION("""COMPUTED_VALUE"""),"50/60")</f>
        <v>50/60</v>
      </c>
      <c r="N1102" s="97"/>
      <c r="O1102" s="97">
        <f>IFERROR(__xludf.DUMMYFUNCTION("""COMPUTED_VALUE"""),12.5)</f>
        <v>12.5</v>
      </c>
      <c r="P1102" s="97"/>
      <c r="Q1102" s="97">
        <f>IFERROR(__xludf.DUMMYFUNCTION("""COMPUTED_VALUE"""),0.9)</f>
        <v>0.9</v>
      </c>
      <c r="R1102" s="97">
        <f>IFERROR(__xludf.DUMMYFUNCTION("""COMPUTED_VALUE"""),1875.0)</f>
        <v>1875</v>
      </c>
      <c r="S1102" s="97">
        <f>IFERROR(__xludf.DUMMYFUNCTION("""COMPUTED_VALUE"""),135.0)</f>
        <v>135</v>
      </c>
      <c r="T1102" s="99">
        <f>IFERROR(__xludf.DUMMYFUNCTION("""COMPUTED_VALUE"""),1150.0)</f>
        <v>1150</v>
      </c>
      <c r="U1102" s="99">
        <f>IFERROR(__xludf.DUMMYFUNCTION("""COMPUTED_VALUE"""),92.0)</f>
        <v>92</v>
      </c>
      <c r="V1102" s="97">
        <f>IFERROR(__xludf.DUMMYFUNCTION("""COMPUTED_VALUE"""),100.0)</f>
        <v>100</v>
      </c>
      <c r="W1102" s="97" t="str">
        <f>IFERROR(__xludf.DUMMYFUNCTION("""COMPUTED_VALUE"""),"&lt; 20")</f>
        <v>&lt; 20</v>
      </c>
      <c r="X1102" s="97" t="str">
        <f>IFERROR(__xludf.DUMMYFUNCTION("""COMPUTED_VALUE"""),"2700/3300/4000")</f>
        <v>2700/3300/4000</v>
      </c>
      <c r="Y1102" s="97" t="str">
        <f>IFERROR(__xludf.DUMMYFUNCTION("""COMPUTED_VALUE"""),"&gt;90")</f>
        <v>&gt;90</v>
      </c>
      <c r="Z1102" s="97"/>
      <c r="AA1102" s="97"/>
      <c r="AB1102" s="97" t="str">
        <f>IFERROR(__xludf.DUMMYFUNCTION("""COMPUTED_VALUE"""),"&lt; 2")</f>
        <v>&lt; 2</v>
      </c>
      <c r="AC1102" s="97"/>
      <c r="AD1102" s="97" t="str">
        <f>IFERROR(__xludf.DUMMYFUNCTION("""COMPUTED_VALUE"""),"IP20")</f>
        <v>IP20</v>
      </c>
      <c r="AE1102" s="97" t="str">
        <f>IFERROR(__xludf.DUMMYFUNCTION("""COMPUTED_VALUE"""),"Clase l")</f>
        <v>Clase l</v>
      </c>
      <c r="AF1102" s="97" t="str">
        <f>IFERROR(__xludf.DUMMYFUNCTION("""COMPUTED_VALUE"""),"Embutir, Aplicar, Suspender")</f>
        <v>Embutir, Aplicar, Suspender</v>
      </c>
      <c r="AG1102" s="97" t="str">
        <f>IFERROR(__xludf.DUMMYFUNCTION("""COMPUTED_VALUE"""),"270 x 440 60")</f>
        <v>270 x 440 60</v>
      </c>
      <c r="AH1102" s="97" t="str">
        <f>IFERROR(__xludf.DUMMYFUNCTION("""COMPUTED_VALUE"""),"-")</f>
        <v>-</v>
      </c>
      <c r="AI1102" s="97" t="str">
        <f>IFERROR(__xludf.DUMMYFUNCTION("""COMPUTED_VALUE"""),"-")</f>
        <v>-</v>
      </c>
      <c r="AJ1102" s="97" t="str">
        <f>IFERROR(__xludf.DUMMYFUNCTION("""COMPUTED_VALUE"""),"Policarbonato (PC)")</f>
        <v>Policarbonato (PC)</v>
      </c>
      <c r="AK1102" s="97" t="str">
        <f>IFERROR(__xludf.DUMMYFUNCTION("""COMPUTED_VALUE"""),"Aluminio")</f>
        <v>Aluminio</v>
      </c>
      <c r="AL1102" s="97" t="str">
        <f>IFERROR(__xludf.DUMMYFUNCTION("""COMPUTED_VALUE"""),"Blanco Mate")</f>
        <v>Blanco Mate</v>
      </c>
      <c r="AM1102" s="97" t="str">
        <f>IFERROR(__xludf.DUMMYFUNCTION("""COMPUTED_VALUE"""),"-20℃ a 45℃")</f>
        <v>-20℃ a 45℃</v>
      </c>
      <c r="AN1102" s="97" t="str">
        <f>IFERROR(__xludf.DUMMYFUNCTION("""COMPUTED_VALUE"""),"50.000hs (L80)")</f>
        <v>50.000hs (L80)</v>
      </c>
      <c r="AO1102" s="97" t="str">
        <f>IFERROR(__xludf.DUMMYFUNCTION("""COMPUTED_VALUE"""),"3 Años")</f>
        <v>3 Años</v>
      </c>
      <c r="AP1102" s="97" t="str">
        <f>IFERROR(__xludf.DUMMYFUNCTION("""COMPUTED_VALUE"""),"Disponible")</f>
        <v>Disponible</v>
      </c>
      <c r="AQ1102" s="97" t="str">
        <f>IFERROR(__xludf.DUMMYFUNCTION("""COMPUTED_VALUE"""),"Disponible")</f>
        <v>Disponible</v>
      </c>
      <c r="AR1102" s="97" t="str">
        <f>IFERROR(__xludf.DUMMYFUNCTION("""COMPUTED_VALUE"""),"Disponible")</f>
        <v>Disponible</v>
      </c>
      <c r="AS1102" s="97"/>
      <c r="AT1102" s="97"/>
      <c r="AU1102" s="97" t="str">
        <f>IFERROR(__xludf.DUMMYFUNCTION("""COMPUTED_VALUE"""),"Falta")</f>
        <v>Falta</v>
      </c>
      <c r="AV1102" s="97" t="str">
        <f>IFERROR(__xludf.DUMMYFUNCTION("""COMPUTED_VALUE"""),"Unión")</f>
        <v>Unión</v>
      </c>
      <c r="AW1102" s="97" t="str">
        <f>IFERROR(__xludf.DUMMYFUNCTION("""COMPUTED_VALUE"""),"Lineales")</f>
        <v>Lineales</v>
      </c>
      <c r="AX1102" s="97" t="str">
        <f>IFERROR(__xludf.DUMMYFUNCTION("""COMPUTED_VALUE"""),"Interior")</f>
        <v>Interior</v>
      </c>
      <c r="AY1102" s="97" t="str">
        <f>IFERROR(__xludf.DUMMYFUNCTION("""COMPUTED_VALUE"""),"Dyna")</f>
        <v>Dyna</v>
      </c>
      <c r="AZ1102" s="97" t="str">
        <f>IFERROR(__xludf.DUMMYFUNCTION("""COMPUTED_VALUE"""),"Corriente: 300mA. No incluye tapas extremas.")</f>
        <v>Corriente: 300mA. No incluye tapas extremas.</v>
      </c>
      <c r="BA1102" s="97"/>
      <c r="BB1102" s="97" t="str">
        <f>IFERROR(__xludf.DUMMYFUNCTION("""COMPUTED_VALUE"""),"-")</f>
        <v>-</v>
      </c>
      <c r="BC1102" s="97" t="str">
        <f>IFERROR(__xludf.DUMMYFUNCTION("""COMPUTED_VALUE"""),"-")</f>
        <v>-</v>
      </c>
      <c r="BD1102" s="97" t="str">
        <f>IFERROR(__xludf.DUMMYFUNCTION("""COMPUTED_VALUE"""),"DYNA")</f>
        <v>DYNA</v>
      </c>
      <c r="BE1102" s="97" t="str">
        <f>IFERROR(__xludf.DUMMYFUNCTION("""COMPUTED_VALUE"""),"Finalizada")</f>
        <v>Finalizada</v>
      </c>
      <c r="BF1102" s="97"/>
      <c r="BG1102" s="97" t="str">
        <f>IFERROR(__xludf.DUMMYFUNCTION("""COMPUTED_VALUE"""),"Activo")</f>
        <v>Activo</v>
      </c>
    </row>
    <row r="1103">
      <c r="A1103" s="97">
        <f>IFERROR(__xludf.DUMMYFUNCTION("""COMPUTED_VALUE"""),7021.0)</f>
        <v>7021</v>
      </c>
      <c r="B1103" s="97" t="str">
        <f>IFERROR(__xludf.DUMMYFUNCTION("""COMPUTED_VALUE"""),"DYNA UNION ANG120 NG")</f>
        <v>DYNA UNION ANG120 NG</v>
      </c>
      <c r="C1103" s="97" t="str">
        <f>IFERROR(__xludf.DUMMYFUNCTION("""COMPUTED_VALUE"""),"UNIÓN DYNA UNION ANG120 NG 12,5W 2700/3300/4000K 1150LM CRI&gt;90 IP20 LEUK")</f>
        <v>UNIÓN DYNA UNION ANG120 NG 12,5W 2700/3300/4000K 1150LM CRI&gt;90 IP20 LEUK</v>
      </c>
      <c r="D1103" s="97">
        <f>IFERROR(__xludf.DUMMYFUNCTION("""COMPUTED_VALUE"""),7.798413225419E12)</f>
        <v>7798413225419</v>
      </c>
      <c r="E1103" s="97" t="str">
        <f>IFERROR(__xludf.DUMMYFUNCTION("""COMPUTED_VALUE"""),"i14")</f>
        <v>i14</v>
      </c>
      <c r="F1103" s="97" t="str">
        <f>IFERROR(__xludf.DUMMYFUNCTION("""COMPUTED_VALUE"""),"LED integrado")</f>
        <v>LED integrado</v>
      </c>
      <c r="G1103" s="97" t="str">
        <f>IFERROR(__xludf.DUMMYFUNCTION("""COMPUTED_VALUE"""),"CREE")</f>
        <v>CREE</v>
      </c>
      <c r="H1103" s="97" t="str">
        <f>IFERROR(__xludf.DUMMYFUNCTION("""COMPUTED_VALUE"""),"Lifud")</f>
        <v>Lifud</v>
      </c>
      <c r="I1103" s="97"/>
      <c r="J1103" s="97" t="str">
        <f>IFERROR(__xludf.DUMMYFUNCTION("""COMPUTED_VALUE"""),"Modelo: LF-GMR020YS0350H(S)
In: 220-240Vac 0.15A 50/60Hz
Out: 20-56Vdc 200a350(300mA) 19.6W
Pf 0.9 Tc 80°C Ta 60°C")</f>
        <v>Modelo: LF-GMR020YS0350H(S)
In: 220-240Vac 0.15A 50/60Hz
Out: 20-56Vdc 200a350(300mA) 19.6W
Pf 0.9 Tc 80°C Ta 60°C</v>
      </c>
      <c r="K1103" s="97" t="str">
        <f>IFERROR(__xludf.DUMMYFUNCTION("""COMPUTED_VALUE"""),"ON/OFF")</f>
        <v>ON/OFF</v>
      </c>
      <c r="L1103" s="97" t="str">
        <f>IFERROR(__xludf.DUMMYFUNCTION("""COMPUTED_VALUE"""),"200-240")</f>
        <v>200-240</v>
      </c>
      <c r="M1103" s="97" t="str">
        <f>IFERROR(__xludf.DUMMYFUNCTION("""COMPUTED_VALUE"""),"50/60")</f>
        <v>50/60</v>
      </c>
      <c r="N1103" s="97"/>
      <c r="O1103" s="97">
        <f>IFERROR(__xludf.DUMMYFUNCTION("""COMPUTED_VALUE"""),12.5)</f>
        <v>12.5</v>
      </c>
      <c r="P1103" s="97"/>
      <c r="Q1103" s="97">
        <f>IFERROR(__xludf.DUMMYFUNCTION("""COMPUTED_VALUE"""),0.9)</f>
        <v>0.9</v>
      </c>
      <c r="R1103" s="97">
        <f>IFERROR(__xludf.DUMMYFUNCTION("""COMPUTED_VALUE"""),1875.0)</f>
        <v>1875</v>
      </c>
      <c r="S1103" s="97">
        <f>IFERROR(__xludf.DUMMYFUNCTION("""COMPUTED_VALUE"""),135.0)</f>
        <v>135</v>
      </c>
      <c r="T1103" s="99">
        <f>IFERROR(__xludf.DUMMYFUNCTION("""COMPUTED_VALUE"""),1150.0)</f>
        <v>1150</v>
      </c>
      <c r="U1103" s="99">
        <f>IFERROR(__xludf.DUMMYFUNCTION("""COMPUTED_VALUE"""),92.0)</f>
        <v>92</v>
      </c>
      <c r="V1103" s="97">
        <f>IFERROR(__xludf.DUMMYFUNCTION("""COMPUTED_VALUE"""),100.0)</f>
        <v>100</v>
      </c>
      <c r="W1103" s="97" t="str">
        <f>IFERROR(__xludf.DUMMYFUNCTION("""COMPUTED_VALUE"""),"&lt; 20")</f>
        <v>&lt; 20</v>
      </c>
      <c r="X1103" s="97" t="str">
        <f>IFERROR(__xludf.DUMMYFUNCTION("""COMPUTED_VALUE"""),"2700/3300/4000")</f>
        <v>2700/3300/4000</v>
      </c>
      <c r="Y1103" s="97" t="str">
        <f>IFERROR(__xludf.DUMMYFUNCTION("""COMPUTED_VALUE"""),"&gt;90")</f>
        <v>&gt;90</v>
      </c>
      <c r="Z1103" s="97"/>
      <c r="AA1103" s="97"/>
      <c r="AB1103" s="97" t="str">
        <f>IFERROR(__xludf.DUMMYFUNCTION("""COMPUTED_VALUE"""),"&lt; 2")</f>
        <v>&lt; 2</v>
      </c>
      <c r="AC1103" s="97"/>
      <c r="AD1103" s="97" t="str">
        <f>IFERROR(__xludf.DUMMYFUNCTION("""COMPUTED_VALUE"""),"IP20")</f>
        <v>IP20</v>
      </c>
      <c r="AE1103" s="97" t="str">
        <f>IFERROR(__xludf.DUMMYFUNCTION("""COMPUTED_VALUE"""),"Clase l")</f>
        <v>Clase l</v>
      </c>
      <c r="AF1103" s="97" t="str">
        <f>IFERROR(__xludf.DUMMYFUNCTION("""COMPUTED_VALUE"""),"Embutir, Aplicar, Suspender")</f>
        <v>Embutir, Aplicar, Suspender</v>
      </c>
      <c r="AG1103" s="97" t="str">
        <f>IFERROR(__xludf.DUMMYFUNCTION("""COMPUTED_VALUE"""),"270 x 440 60")</f>
        <v>270 x 440 60</v>
      </c>
      <c r="AH1103" s="97" t="str">
        <f>IFERROR(__xludf.DUMMYFUNCTION("""COMPUTED_VALUE"""),"-")</f>
        <v>-</v>
      </c>
      <c r="AI1103" s="97" t="str">
        <f>IFERROR(__xludf.DUMMYFUNCTION("""COMPUTED_VALUE"""),"-")</f>
        <v>-</v>
      </c>
      <c r="AJ1103" s="97" t="str">
        <f>IFERROR(__xludf.DUMMYFUNCTION("""COMPUTED_VALUE"""),"Policarbonato (PC)")</f>
        <v>Policarbonato (PC)</v>
      </c>
      <c r="AK1103" s="97" t="str">
        <f>IFERROR(__xludf.DUMMYFUNCTION("""COMPUTED_VALUE"""),"Aluminio")</f>
        <v>Aluminio</v>
      </c>
      <c r="AL1103" s="97" t="str">
        <f>IFERROR(__xludf.DUMMYFUNCTION("""COMPUTED_VALUE"""),"Negro Mate")</f>
        <v>Negro Mate</v>
      </c>
      <c r="AM1103" s="97" t="str">
        <f>IFERROR(__xludf.DUMMYFUNCTION("""COMPUTED_VALUE"""),"-20℃ a 45℃")</f>
        <v>-20℃ a 45℃</v>
      </c>
      <c r="AN1103" s="97" t="str">
        <f>IFERROR(__xludf.DUMMYFUNCTION("""COMPUTED_VALUE"""),"50.000hs (L80)")</f>
        <v>50.000hs (L80)</v>
      </c>
      <c r="AO1103" s="97" t="str">
        <f>IFERROR(__xludf.DUMMYFUNCTION("""COMPUTED_VALUE"""),"3 Años")</f>
        <v>3 Años</v>
      </c>
      <c r="AP1103" s="97" t="str">
        <f>IFERROR(__xludf.DUMMYFUNCTION("""COMPUTED_VALUE"""),"Disponible")</f>
        <v>Disponible</v>
      </c>
      <c r="AQ1103" s="97" t="str">
        <f>IFERROR(__xludf.DUMMYFUNCTION("""COMPUTED_VALUE"""),"Disponible")</f>
        <v>Disponible</v>
      </c>
      <c r="AR1103" s="97" t="str">
        <f>IFERROR(__xludf.DUMMYFUNCTION("""COMPUTED_VALUE"""),"Disponible")</f>
        <v>Disponible</v>
      </c>
      <c r="AS1103" s="97"/>
      <c r="AT1103" s="97"/>
      <c r="AU1103" s="97" t="str">
        <f>IFERROR(__xludf.DUMMYFUNCTION("""COMPUTED_VALUE"""),"Falta")</f>
        <v>Falta</v>
      </c>
      <c r="AV1103" s="97" t="str">
        <f>IFERROR(__xludf.DUMMYFUNCTION("""COMPUTED_VALUE"""),"Unión")</f>
        <v>Unión</v>
      </c>
      <c r="AW1103" s="97" t="str">
        <f>IFERROR(__xludf.DUMMYFUNCTION("""COMPUTED_VALUE"""),"Lineales")</f>
        <v>Lineales</v>
      </c>
      <c r="AX1103" s="97" t="str">
        <f>IFERROR(__xludf.DUMMYFUNCTION("""COMPUTED_VALUE"""),"Interior")</f>
        <v>Interior</v>
      </c>
      <c r="AY1103" s="97" t="str">
        <f>IFERROR(__xludf.DUMMYFUNCTION("""COMPUTED_VALUE"""),"Dyna")</f>
        <v>Dyna</v>
      </c>
      <c r="AZ1103" s="97" t="str">
        <f>IFERROR(__xludf.DUMMYFUNCTION("""COMPUTED_VALUE"""),"Corriente: 300mA. No incluye tapas extremas.")</f>
        <v>Corriente: 300mA. No incluye tapas extremas.</v>
      </c>
      <c r="BA1103" s="97"/>
      <c r="BB1103" s="97" t="str">
        <f>IFERROR(__xludf.DUMMYFUNCTION("""COMPUTED_VALUE"""),"-")</f>
        <v>-</v>
      </c>
      <c r="BC1103" s="97" t="str">
        <f>IFERROR(__xludf.DUMMYFUNCTION("""COMPUTED_VALUE"""),"-")</f>
        <v>-</v>
      </c>
      <c r="BD1103" s="97" t="str">
        <f>IFERROR(__xludf.DUMMYFUNCTION("""COMPUTED_VALUE"""),"DYNA")</f>
        <v>DYNA</v>
      </c>
      <c r="BE1103" s="97" t="str">
        <f>IFERROR(__xludf.DUMMYFUNCTION("""COMPUTED_VALUE"""),"Finalizada")</f>
        <v>Finalizada</v>
      </c>
      <c r="BF1103" s="97"/>
      <c r="BG1103" s="97" t="str">
        <f>IFERROR(__xludf.DUMMYFUNCTION("""COMPUTED_VALUE"""),"Activo")</f>
        <v>Activo</v>
      </c>
    </row>
    <row r="1104">
      <c r="A1104" s="97">
        <f>IFERROR(__xludf.DUMMYFUNCTION("""COMPUTED_VALUE"""),7022.0)</f>
        <v>7022</v>
      </c>
      <c r="B1104" s="97" t="str">
        <f>IFERROR(__xludf.DUMMYFUNCTION("""COMPUTED_VALUE"""),"DYNA UNION Y BL")</f>
        <v>DYNA UNION Y BL</v>
      </c>
      <c r="C1104" s="97" t="str">
        <f>IFERROR(__xludf.DUMMYFUNCTION("""COMPUTED_VALUE"""),"UNIÓN DYNA UNION Y BL 18W 2700/3300/4000K 1600LM CRI&gt;90 IP20 LEUK")</f>
        <v>UNIÓN DYNA UNION Y BL 18W 2700/3300/4000K 1600LM CRI&gt;90 IP20 LEUK</v>
      </c>
      <c r="D1104" s="97">
        <f>IFERROR(__xludf.DUMMYFUNCTION("""COMPUTED_VALUE"""),7.798413225426E12)</f>
        <v>7798413225426</v>
      </c>
      <c r="E1104" s="97" t="str">
        <f>IFERROR(__xludf.DUMMYFUNCTION("""COMPUTED_VALUE"""),"i9")</f>
        <v>i9</v>
      </c>
      <c r="F1104" s="97" t="str">
        <f>IFERROR(__xludf.DUMMYFUNCTION("""COMPUTED_VALUE"""),"LED integrado")</f>
        <v>LED integrado</v>
      </c>
      <c r="G1104" s="97" t="str">
        <f>IFERROR(__xludf.DUMMYFUNCTION("""COMPUTED_VALUE"""),"CREE")</f>
        <v>CREE</v>
      </c>
      <c r="H1104" s="97" t="str">
        <f>IFERROR(__xludf.DUMMYFUNCTION("""COMPUTED_VALUE"""),"Lifud")</f>
        <v>Lifud</v>
      </c>
      <c r="I1104" s="97"/>
      <c r="J1104" s="97" t="str">
        <f>IFERROR(__xludf.DUMMYFUNCTION("""COMPUTED_VALUE"""),"Modelo: LF-GMR040YS0700H(S)
In: 220-240Vac 0.24A 50/60Hz
Out: 20-56Vdc 350a700(400mA) 39.2W
Pf 0.95 Tc 80°C Ta 60°C")</f>
        <v>Modelo: LF-GMR040YS0700H(S)
In: 220-240Vac 0.24A 50/60Hz
Out: 20-56Vdc 350a700(400mA) 39.2W
Pf 0.95 Tc 80°C Ta 60°C</v>
      </c>
      <c r="K1104" s="97" t="str">
        <f>IFERROR(__xludf.DUMMYFUNCTION("""COMPUTED_VALUE"""),"ON/OFF")</f>
        <v>ON/OFF</v>
      </c>
      <c r="L1104" s="97" t="str">
        <f>IFERROR(__xludf.DUMMYFUNCTION("""COMPUTED_VALUE"""),"200-240")</f>
        <v>200-240</v>
      </c>
      <c r="M1104" s="97" t="str">
        <f>IFERROR(__xludf.DUMMYFUNCTION("""COMPUTED_VALUE"""),"50/60")</f>
        <v>50/60</v>
      </c>
      <c r="N1104" s="97"/>
      <c r="O1104" s="97">
        <f>IFERROR(__xludf.DUMMYFUNCTION("""COMPUTED_VALUE"""),18.0)</f>
        <v>18</v>
      </c>
      <c r="P1104" s="97"/>
      <c r="Q1104" s="97">
        <f>IFERROR(__xludf.DUMMYFUNCTION("""COMPUTED_VALUE"""),0.95)</f>
        <v>0.95</v>
      </c>
      <c r="R1104" s="97">
        <f>IFERROR(__xludf.DUMMYFUNCTION("""COMPUTED_VALUE"""),2800.0)</f>
        <v>2800</v>
      </c>
      <c r="S1104" s="97">
        <f>IFERROR(__xludf.DUMMYFUNCTION("""COMPUTED_VALUE"""),135.0)</f>
        <v>135</v>
      </c>
      <c r="T1104" s="99">
        <f>IFERROR(__xludf.DUMMYFUNCTION("""COMPUTED_VALUE"""),1600.0)</f>
        <v>1600</v>
      </c>
      <c r="U1104" s="99">
        <f>IFERROR(__xludf.DUMMYFUNCTION("""COMPUTED_VALUE"""),88.88888888888889)</f>
        <v>88.88888889</v>
      </c>
      <c r="V1104" s="97">
        <f>IFERROR(__xludf.DUMMYFUNCTION("""COMPUTED_VALUE"""),100.0)</f>
        <v>100</v>
      </c>
      <c r="W1104" s="97" t="str">
        <f>IFERROR(__xludf.DUMMYFUNCTION("""COMPUTED_VALUE"""),"&lt; 20")</f>
        <v>&lt; 20</v>
      </c>
      <c r="X1104" s="97" t="str">
        <f>IFERROR(__xludf.DUMMYFUNCTION("""COMPUTED_VALUE"""),"2700/3300/4000")</f>
        <v>2700/3300/4000</v>
      </c>
      <c r="Y1104" s="97" t="str">
        <f>IFERROR(__xludf.DUMMYFUNCTION("""COMPUTED_VALUE"""),"&gt;90")</f>
        <v>&gt;90</v>
      </c>
      <c r="Z1104" s="97"/>
      <c r="AA1104" s="97"/>
      <c r="AB1104" s="97" t="str">
        <f>IFERROR(__xludf.DUMMYFUNCTION("""COMPUTED_VALUE"""),"&lt; 2")</f>
        <v>&lt; 2</v>
      </c>
      <c r="AC1104" s="97"/>
      <c r="AD1104" s="97" t="str">
        <f>IFERROR(__xludf.DUMMYFUNCTION("""COMPUTED_VALUE"""),"IP20")</f>
        <v>IP20</v>
      </c>
      <c r="AE1104" s="97" t="str">
        <f>IFERROR(__xludf.DUMMYFUNCTION("""COMPUTED_VALUE"""),"Clase l")</f>
        <v>Clase l</v>
      </c>
      <c r="AF1104" s="97" t="str">
        <f>IFERROR(__xludf.DUMMYFUNCTION("""COMPUTED_VALUE"""),"Embutir, Aplicar, Suspender")</f>
        <v>Embutir, Aplicar, Suspender</v>
      </c>
      <c r="AG1104" s="97" t="str">
        <f>IFERROR(__xludf.DUMMYFUNCTION("""COMPUTED_VALUE"""),"508 x 440 x 60")</f>
        <v>508 x 440 x 60</v>
      </c>
      <c r="AH1104" s="97" t="str">
        <f>IFERROR(__xludf.DUMMYFUNCTION("""COMPUTED_VALUE"""),"-")</f>
        <v>-</v>
      </c>
      <c r="AI1104" s="97" t="str">
        <f>IFERROR(__xludf.DUMMYFUNCTION("""COMPUTED_VALUE"""),"-")</f>
        <v>-</v>
      </c>
      <c r="AJ1104" s="97" t="str">
        <f>IFERROR(__xludf.DUMMYFUNCTION("""COMPUTED_VALUE"""),"Policarbonato (PC)")</f>
        <v>Policarbonato (PC)</v>
      </c>
      <c r="AK1104" s="97" t="str">
        <f>IFERROR(__xludf.DUMMYFUNCTION("""COMPUTED_VALUE"""),"Aluminio")</f>
        <v>Aluminio</v>
      </c>
      <c r="AL1104" s="97" t="str">
        <f>IFERROR(__xludf.DUMMYFUNCTION("""COMPUTED_VALUE"""),"Blanco Mate")</f>
        <v>Blanco Mate</v>
      </c>
      <c r="AM1104" s="97" t="str">
        <f>IFERROR(__xludf.DUMMYFUNCTION("""COMPUTED_VALUE"""),"-20℃ a 45℃")</f>
        <v>-20℃ a 45℃</v>
      </c>
      <c r="AN1104" s="97" t="str">
        <f>IFERROR(__xludf.DUMMYFUNCTION("""COMPUTED_VALUE"""),"50.000hs (L80)")</f>
        <v>50.000hs (L80)</v>
      </c>
      <c r="AO1104" s="97" t="str">
        <f>IFERROR(__xludf.DUMMYFUNCTION("""COMPUTED_VALUE"""),"3 Años")</f>
        <v>3 Años</v>
      </c>
      <c r="AP1104" s="97" t="str">
        <f>IFERROR(__xludf.DUMMYFUNCTION("""COMPUTED_VALUE"""),"Disponible")</f>
        <v>Disponible</v>
      </c>
      <c r="AQ1104" s="97" t="str">
        <f>IFERROR(__xludf.DUMMYFUNCTION("""COMPUTED_VALUE"""),"Disponible")</f>
        <v>Disponible</v>
      </c>
      <c r="AR1104" s="97" t="str">
        <f>IFERROR(__xludf.DUMMYFUNCTION("""COMPUTED_VALUE"""),"Disponible")</f>
        <v>Disponible</v>
      </c>
      <c r="AS1104" s="97"/>
      <c r="AT1104" s="97"/>
      <c r="AU1104" s="97" t="str">
        <f>IFERROR(__xludf.DUMMYFUNCTION("""COMPUTED_VALUE"""),"Falta")</f>
        <v>Falta</v>
      </c>
      <c r="AV1104" s="97" t="str">
        <f>IFERROR(__xludf.DUMMYFUNCTION("""COMPUTED_VALUE"""),"Unión")</f>
        <v>Unión</v>
      </c>
      <c r="AW1104" s="97" t="str">
        <f>IFERROR(__xludf.DUMMYFUNCTION("""COMPUTED_VALUE"""),"Lineales")</f>
        <v>Lineales</v>
      </c>
      <c r="AX1104" s="97" t="str">
        <f>IFERROR(__xludf.DUMMYFUNCTION("""COMPUTED_VALUE"""),"Interior")</f>
        <v>Interior</v>
      </c>
      <c r="AY1104" s="97" t="str">
        <f>IFERROR(__xludf.DUMMYFUNCTION("""COMPUTED_VALUE"""),"Dyna")</f>
        <v>Dyna</v>
      </c>
      <c r="AZ1104" s="97" t="str">
        <f>IFERROR(__xludf.DUMMYFUNCTION("""COMPUTED_VALUE"""),"Corriente: 450mA. No incluye tapas extremas.")</f>
        <v>Corriente: 450mA. No incluye tapas extremas.</v>
      </c>
      <c r="BA1104" s="97"/>
      <c r="BB1104" s="97" t="str">
        <f>IFERROR(__xludf.DUMMYFUNCTION("""COMPUTED_VALUE"""),"-")</f>
        <v>-</v>
      </c>
      <c r="BC1104" s="97" t="str">
        <f>IFERROR(__xludf.DUMMYFUNCTION("""COMPUTED_VALUE"""),"-")</f>
        <v>-</v>
      </c>
      <c r="BD1104" s="97" t="str">
        <f>IFERROR(__xludf.DUMMYFUNCTION("""COMPUTED_VALUE"""),"DYNA")</f>
        <v>DYNA</v>
      </c>
      <c r="BE1104" s="97" t="str">
        <f>IFERROR(__xludf.DUMMYFUNCTION("""COMPUTED_VALUE"""),"Finalizada")</f>
        <v>Finalizada</v>
      </c>
      <c r="BF1104" s="97"/>
      <c r="BG1104" s="97" t="str">
        <f>IFERROR(__xludf.DUMMYFUNCTION("""COMPUTED_VALUE"""),"Activo")</f>
        <v>Activo</v>
      </c>
    </row>
    <row r="1105">
      <c r="A1105" s="97">
        <f>IFERROR(__xludf.DUMMYFUNCTION("""COMPUTED_VALUE"""),7023.0)</f>
        <v>7023</v>
      </c>
      <c r="B1105" s="97" t="str">
        <f>IFERROR(__xludf.DUMMYFUNCTION("""COMPUTED_VALUE"""),"DYNA UNION Y NG")</f>
        <v>DYNA UNION Y NG</v>
      </c>
      <c r="C1105" s="97" t="str">
        <f>IFERROR(__xludf.DUMMYFUNCTION("""COMPUTED_VALUE"""),"UNIÓN DYNA UNION Y NG 18W 2700/3300/4000K 1600LM CRI&gt;90 IP20 LEUK")</f>
        <v>UNIÓN DYNA UNION Y NG 18W 2700/3300/4000K 1600LM CRI&gt;90 IP20 LEUK</v>
      </c>
      <c r="D1105" s="97">
        <f>IFERROR(__xludf.DUMMYFUNCTION("""COMPUTED_VALUE"""),7.798413225433E12)</f>
        <v>7798413225433</v>
      </c>
      <c r="E1105" s="97" t="str">
        <f>IFERROR(__xludf.DUMMYFUNCTION("""COMPUTED_VALUE"""),"i9")</f>
        <v>i9</v>
      </c>
      <c r="F1105" s="97" t="str">
        <f>IFERROR(__xludf.DUMMYFUNCTION("""COMPUTED_VALUE"""),"LED integrado")</f>
        <v>LED integrado</v>
      </c>
      <c r="G1105" s="97" t="str">
        <f>IFERROR(__xludf.DUMMYFUNCTION("""COMPUTED_VALUE"""),"CREE")</f>
        <v>CREE</v>
      </c>
      <c r="H1105" s="97" t="str">
        <f>IFERROR(__xludf.DUMMYFUNCTION("""COMPUTED_VALUE"""),"Lifud")</f>
        <v>Lifud</v>
      </c>
      <c r="I1105" s="97"/>
      <c r="J1105" s="97" t="str">
        <f>IFERROR(__xludf.DUMMYFUNCTION("""COMPUTED_VALUE"""),"Modelo: LF-GMR040YS0700H(S)
In: 220-240Vac 0.24A 50/60Hz
Out: 20-56Vdc 350a700(400mA) 39.2W
Pf 0.95 Tc 80°C Ta 60°C")</f>
        <v>Modelo: LF-GMR040YS0700H(S)
In: 220-240Vac 0.24A 50/60Hz
Out: 20-56Vdc 350a700(400mA) 39.2W
Pf 0.95 Tc 80°C Ta 60°C</v>
      </c>
      <c r="K1105" s="97" t="str">
        <f>IFERROR(__xludf.DUMMYFUNCTION("""COMPUTED_VALUE"""),"ON/OFF")</f>
        <v>ON/OFF</v>
      </c>
      <c r="L1105" s="97" t="str">
        <f>IFERROR(__xludf.DUMMYFUNCTION("""COMPUTED_VALUE"""),"200-240")</f>
        <v>200-240</v>
      </c>
      <c r="M1105" s="97" t="str">
        <f>IFERROR(__xludf.DUMMYFUNCTION("""COMPUTED_VALUE"""),"50/60")</f>
        <v>50/60</v>
      </c>
      <c r="N1105" s="97"/>
      <c r="O1105" s="97">
        <f>IFERROR(__xludf.DUMMYFUNCTION("""COMPUTED_VALUE"""),18.0)</f>
        <v>18</v>
      </c>
      <c r="P1105" s="97"/>
      <c r="Q1105" s="97">
        <f>IFERROR(__xludf.DUMMYFUNCTION("""COMPUTED_VALUE"""),0.95)</f>
        <v>0.95</v>
      </c>
      <c r="R1105" s="97">
        <f>IFERROR(__xludf.DUMMYFUNCTION("""COMPUTED_VALUE"""),2800.0)</f>
        <v>2800</v>
      </c>
      <c r="S1105" s="97">
        <f>IFERROR(__xludf.DUMMYFUNCTION("""COMPUTED_VALUE"""),135.0)</f>
        <v>135</v>
      </c>
      <c r="T1105" s="99">
        <f>IFERROR(__xludf.DUMMYFUNCTION("""COMPUTED_VALUE"""),1600.0)</f>
        <v>1600</v>
      </c>
      <c r="U1105" s="99">
        <f>IFERROR(__xludf.DUMMYFUNCTION("""COMPUTED_VALUE"""),88.88888888888889)</f>
        <v>88.88888889</v>
      </c>
      <c r="V1105" s="97">
        <f>IFERROR(__xludf.DUMMYFUNCTION("""COMPUTED_VALUE"""),100.0)</f>
        <v>100</v>
      </c>
      <c r="W1105" s="97" t="str">
        <f>IFERROR(__xludf.DUMMYFUNCTION("""COMPUTED_VALUE"""),"&lt; 20")</f>
        <v>&lt; 20</v>
      </c>
      <c r="X1105" s="97" t="str">
        <f>IFERROR(__xludf.DUMMYFUNCTION("""COMPUTED_VALUE"""),"2700/3300/4000")</f>
        <v>2700/3300/4000</v>
      </c>
      <c r="Y1105" s="97" t="str">
        <f>IFERROR(__xludf.DUMMYFUNCTION("""COMPUTED_VALUE"""),"&gt;90")</f>
        <v>&gt;90</v>
      </c>
      <c r="Z1105" s="97"/>
      <c r="AA1105" s="97"/>
      <c r="AB1105" s="97" t="str">
        <f>IFERROR(__xludf.DUMMYFUNCTION("""COMPUTED_VALUE"""),"&lt; 2")</f>
        <v>&lt; 2</v>
      </c>
      <c r="AC1105" s="97"/>
      <c r="AD1105" s="97" t="str">
        <f>IFERROR(__xludf.DUMMYFUNCTION("""COMPUTED_VALUE"""),"IP20")</f>
        <v>IP20</v>
      </c>
      <c r="AE1105" s="97" t="str">
        <f>IFERROR(__xludf.DUMMYFUNCTION("""COMPUTED_VALUE"""),"Clase l")</f>
        <v>Clase l</v>
      </c>
      <c r="AF1105" s="97" t="str">
        <f>IFERROR(__xludf.DUMMYFUNCTION("""COMPUTED_VALUE"""),"Embutir, Aplicar, Suspender")</f>
        <v>Embutir, Aplicar, Suspender</v>
      </c>
      <c r="AG1105" s="97" t="str">
        <f>IFERROR(__xludf.DUMMYFUNCTION("""COMPUTED_VALUE"""),"508 x 440 x 60")</f>
        <v>508 x 440 x 60</v>
      </c>
      <c r="AH1105" s="97" t="str">
        <f>IFERROR(__xludf.DUMMYFUNCTION("""COMPUTED_VALUE"""),"-")</f>
        <v>-</v>
      </c>
      <c r="AI1105" s="97" t="str">
        <f>IFERROR(__xludf.DUMMYFUNCTION("""COMPUTED_VALUE"""),"-")</f>
        <v>-</v>
      </c>
      <c r="AJ1105" s="97" t="str">
        <f>IFERROR(__xludf.DUMMYFUNCTION("""COMPUTED_VALUE"""),"Policarbonato (PC)")</f>
        <v>Policarbonato (PC)</v>
      </c>
      <c r="AK1105" s="97" t="str">
        <f>IFERROR(__xludf.DUMMYFUNCTION("""COMPUTED_VALUE"""),"Aluminio")</f>
        <v>Aluminio</v>
      </c>
      <c r="AL1105" s="97" t="str">
        <f>IFERROR(__xludf.DUMMYFUNCTION("""COMPUTED_VALUE"""),"Negro Mate")</f>
        <v>Negro Mate</v>
      </c>
      <c r="AM1105" s="97" t="str">
        <f>IFERROR(__xludf.DUMMYFUNCTION("""COMPUTED_VALUE"""),"-20℃ a 45℃")</f>
        <v>-20℃ a 45℃</v>
      </c>
      <c r="AN1105" s="97" t="str">
        <f>IFERROR(__xludf.DUMMYFUNCTION("""COMPUTED_VALUE"""),"50.000hs (L80)")</f>
        <v>50.000hs (L80)</v>
      </c>
      <c r="AO1105" s="97" t="str">
        <f>IFERROR(__xludf.DUMMYFUNCTION("""COMPUTED_VALUE"""),"3 Años")</f>
        <v>3 Años</v>
      </c>
      <c r="AP1105" s="97" t="str">
        <f>IFERROR(__xludf.DUMMYFUNCTION("""COMPUTED_VALUE"""),"Disponible")</f>
        <v>Disponible</v>
      </c>
      <c r="AQ1105" s="97" t="str">
        <f>IFERROR(__xludf.DUMMYFUNCTION("""COMPUTED_VALUE"""),"Disponible")</f>
        <v>Disponible</v>
      </c>
      <c r="AR1105" s="97" t="str">
        <f>IFERROR(__xludf.DUMMYFUNCTION("""COMPUTED_VALUE"""),"Disponible")</f>
        <v>Disponible</v>
      </c>
      <c r="AS1105" s="97"/>
      <c r="AT1105" s="97"/>
      <c r="AU1105" s="97" t="str">
        <f>IFERROR(__xludf.DUMMYFUNCTION("""COMPUTED_VALUE"""),"Falta")</f>
        <v>Falta</v>
      </c>
      <c r="AV1105" s="97" t="str">
        <f>IFERROR(__xludf.DUMMYFUNCTION("""COMPUTED_VALUE"""),"Unión")</f>
        <v>Unión</v>
      </c>
      <c r="AW1105" s="97" t="str">
        <f>IFERROR(__xludf.DUMMYFUNCTION("""COMPUTED_VALUE"""),"Lineales")</f>
        <v>Lineales</v>
      </c>
      <c r="AX1105" s="97" t="str">
        <f>IFERROR(__xludf.DUMMYFUNCTION("""COMPUTED_VALUE"""),"Interior")</f>
        <v>Interior</v>
      </c>
      <c r="AY1105" s="97" t="str">
        <f>IFERROR(__xludf.DUMMYFUNCTION("""COMPUTED_VALUE"""),"Dyna")</f>
        <v>Dyna</v>
      </c>
      <c r="AZ1105" s="97" t="str">
        <f>IFERROR(__xludf.DUMMYFUNCTION("""COMPUTED_VALUE"""),"Corriente: 450mA. No incluye tapas extremas.")</f>
        <v>Corriente: 450mA. No incluye tapas extremas.</v>
      </c>
      <c r="BA1105" s="97"/>
      <c r="BB1105" s="97" t="str">
        <f>IFERROR(__xludf.DUMMYFUNCTION("""COMPUTED_VALUE"""),"-")</f>
        <v>-</v>
      </c>
      <c r="BC1105" s="97" t="str">
        <f>IFERROR(__xludf.DUMMYFUNCTION("""COMPUTED_VALUE"""),"-")</f>
        <v>-</v>
      </c>
      <c r="BD1105" s="97" t="str">
        <f>IFERROR(__xludf.DUMMYFUNCTION("""COMPUTED_VALUE"""),"DYNA")</f>
        <v>DYNA</v>
      </c>
      <c r="BE1105" s="97" t="str">
        <f>IFERROR(__xludf.DUMMYFUNCTION("""COMPUTED_VALUE"""),"Finalizada")</f>
        <v>Finalizada</v>
      </c>
      <c r="BF1105" s="97"/>
      <c r="BG1105" s="97" t="str">
        <f>IFERROR(__xludf.DUMMYFUNCTION("""COMPUTED_VALUE"""),"Activo")</f>
        <v>Activo</v>
      </c>
    </row>
    <row r="1106">
      <c r="A1106" s="97">
        <f>IFERROR(__xludf.DUMMYFUNCTION("""COMPUTED_VALUE"""),7024.0)</f>
        <v>7024</v>
      </c>
      <c r="B1106" s="97" t="str">
        <f>IFERROR(__xludf.DUMMYFUNCTION("""COMPUTED_VALUE"""),"CAMBOYA AP BL 32W")</f>
        <v>CAMBOYA AP BL 32W</v>
      </c>
      <c r="C1106" s="97" t="str">
        <f>IFERROR(__xludf.DUMMYFUNCTION("""COMPUTED_VALUE"""),"APLIQUE CAMBOYA AP BL 32W 32W 3000/4000/6000K 1615LM CRI&gt;90 IP20 LEUK")</f>
        <v>APLIQUE CAMBOYA AP BL 32W 32W 3000/4000/6000K 1615LM CRI&gt;90 IP20 LEUK</v>
      </c>
      <c r="D1106" s="97">
        <f>IFERROR(__xludf.DUMMYFUNCTION("""COMPUTED_VALUE"""),7.798413226669E12)</f>
        <v>7798413226669</v>
      </c>
      <c r="E1106" s="97" t="str">
        <f>IFERROR(__xludf.DUMMYFUNCTION("""COMPUTED_VALUE"""),"F37")</f>
        <v>F37</v>
      </c>
      <c r="F1106" s="97" t="str">
        <f>IFERROR(__xludf.DUMMYFUNCTION("""COMPUTED_VALUE"""),"LED integrado")</f>
        <v>LED integrado</v>
      </c>
      <c r="G1106" s="97" t="str">
        <f>IFERROR(__xludf.DUMMYFUNCTION("""COMPUTED_VALUE"""),"-")</f>
        <v>-</v>
      </c>
      <c r="H1106" s="97" t="str">
        <f>IFERROR(__xludf.DUMMYFUNCTION("""COMPUTED_VALUE"""),"-")</f>
        <v>-</v>
      </c>
      <c r="I1106" s="97"/>
      <c r="J1106" s="97"/>
      <c r="K1106" s="97" t="str">
        <f>IFERROR(__xludf.DUMMYFUNCTION("""COMPUTED_VALUE"""),"ON/OFF")</f>
        <v>ON/OFF</v>
      </c>
      <c r="L1106" s="97" t="str">
        <f>IFERROR(__xludf.DUMMYFUNCTION("""COMPUTED_VALUE"""),"200-240")</f>
        <v>200-240</v>
      </c>
      <c r="M1106" s="97" t="str">
        <f>IFERROR(__xludf.DUMMYFUNCTION("""COMPUTED_VALUE"""),"50/60")</f>
        <v>50/60</v>
      </c>
      <c r="N1106" s="97" t="str">
        <f>IFERROR(__xludf.DUMMYFUNCTION("""COMPUTED_VALUE"""),"Directa-Simétrica")</f>
        <v>Directa-Simétrica</v>
      </c>
      <c r="O1106" s="97">
        <f>IFERROR(__xludf.DUMMYFUNCTION("""COMPUTED_VALUE"""),32.0)</f>
        <v>32</v>
      </c>
      <c r="P1106" s="97"/>
      <c r="Q1106" s="97">
        <f>IFERROR(__xludf.DUMMYFUNCTION("""COMPUTED_VALUE"""),0.55)</f>
        <v>0.55</v>
      </c>
      <c r="R1106" s="97" t="str">
        <f>IFERROR(__xludf.DUMMYFUNCTION("""COMPUTED_VALUE"""),"-")</f>
        <v>-</v>
      </c>
      <c r="S1106" s="97" t="str">
        <f>IFERROR(__xludf.DUMMYFUNCTION("""COMPUTED_VALUE"""),"-")</f>
        <v>-</v>
      </c>
      <c r="T1106" s="97">
        <f>IFERROR(__xludf.DUMMYFUNCTION("""COMPUTED_VALUE"""),1615.0)</f>
        <v>1615</v>
      </c>
      <c r="U1106" s="101">
        <f>IFERROR(__xludf.DUMMYFUNCTION("""COMPUTED_VALUE"""),50.46875)</f>
        <v>50.46875</v>
      </c>
      <c r="V1106" s="97">
        <f>IFERROR(__xludf.DUMMYFUNCTION("""COMPUTED_VALUE"""),132.0)</f>
        <v>132</v>
      </c>
      <c r="W1106" s="97" t="str">
        <f>IFERROR(__xludf.DUMMYFUNCTION("""COMPUTED_VALUE"""),"&lt; 20")</f>
        <v>&lt; 20</v>
      </c>
      <c r="X1106" s="97" t="str">
        <f>IFERROR(__xludf.DUMMYFUNCTION("""COMPUTED_VALUE"""),"3000/4000/6000")</f>
        <v>3000/4000/6000</v>
      </c>
      <c r="Y1106" s="97" t="str">
        <f>IFERROR(__xludf.DUMMYFUNCTION("""COMPUTED_VALUE"""),"&gt;90")</f>
        <v>&gt;90</v>
      </c>
      <c r="Z1106" s="97"/>
      <c r="AA1106" s="97"/>
      <c r="AB1106" s="97" t="str">
        <f>IFERROR(__xludf.DUMMYFUNCTION("""COMPUTED_VALUE"""),"-")</f>
        <v>-</v>
      </c>
      <c r="AC1106" s="97"/>
      <c r="AD1106" s="97" t="str">
        <f>IFERROR(__xludf.DUMMYFUNCTION("""COMPUTED_VALUE"""),"IP20")</f>
        <v>IP20</v>
      </c>
      <c r="AE1106" s="97" t="str">
        <f>IFERROR(__xludf.DUMMYFUNCTION("""COMPUTED_VALUE"""),"Clase l")</f>
        <v>Clase l</v>
      </c>
      <c r="AF1106" s="97" t="str">
        <f>IFERROR(__xludf.DUMMYFUNCTION("""COMPUTED_VALUE"""),"Aplicar")</f>
        <v>Aplicar</v>
      </c>
      <c r="AG1106" s="97" t="str">
        <f>IFERROR(__xludf.DUMMYFUNCTION("""COMPUTED_VALUE"""),"Ø460 x 115")</f>
        <v>Ø460 x 115</v>
      </c>
      <c r="AH1106" s="97" t="str">
        <f>IFERROR(__xludf.DUMMYFUNCTION("""COMPUTED_VALUE"""),"N/A")</f>
        <v>N/A</v>
      </c>
      <c r="AI1106" s="97" t="str">
        <f>IFERROR(__xludf.DUMMYFUNCTION("""COMPUTED_VALUE"""),"N/A")</f>
        <v>N/A</v>
      </c>
      <c r="AJ1106" s="97" t="str">
        <f>IFERROR(__xludf.DUMMYFUNCTION("""COMPUTED_VALUE"""),"PVC")</f>
        <v>PVC</v>
      </c>
      <c r="AK1106" s="97" t="str">
        <f>IFERROR(__xludf.DUMMYFUNCTION("""COMPUTED_VALUE"""),"Acero")</f>
        <v>Acero</v>
      </c>
      <c r="AL1106" s="97" t="str">
        <f>IFERROR(__xludf.DUMMYFUNCTION("""COMPUTED_VALUE"""),"Blanco Satinado")</f>
        <v>Blanco Satinado</v>
      </c>
      <c r="AM1106" s="97" t="str">
        <f>IFERROR(__xludf.DUMMYFUNCTION("""COMPUTED_VALUE"""),"-")</f>
        <v>-</v>
      </c>
      <c r="AN1106" s="97" t="str">
        <f>IFERROR(__xludf.DUMMYFUNCTION("""COMPUTED_VALUE"""),"25.000hs (L70)")</f>
        <v>25.000hs (L70)</v>
      </c>
      <c r="AO1106" s="97" t="str">
        <f>IFERROR(__xludf.DUMMYFUNCTION("""COMPUTED_VALUE"""),"2 Años")</f>
        <v>2 Años</v>
      </c>
      <c r="AP1106" s="97" t="str">
        <f>IFERROR(__xludf.DUMMYFUNCTION("""COMPUTED_VALUE"""),"Disponible")</f>
        <v>Disponible</v>
      </c>
      <c r="AQ1106" s="97" t="str">
        <f>IFERROR(__xludf.DUMMYFUNCTION("""COMPUTED_VALUE"""),"Disponible")</f>
        <v>Disponible</v>
      </c>
      <c r="AR1106" s="97" t="str">
        <f>IFERROR(__xludf.DUMMYFUNCTION("""COMPUTED_VALUE"""),"Disponible")</f>
        <v>Disponible</v>
      </c>
      <c r="AS1106" s="97"/>
      <c r="AT1106" s="97"/>
      <c r="AU1106" s="97" t="str">
        <f>IFERROR(__xludf.DUMMYFUNCTION("""COMPUTED_VALUE"""),"Falta")</f>
        <v>Falta</v>
      </c>
      <c r="AV1106" s="97" t="str">
        <f>IFERROR(__xludf.DUMMYFUNCTION("""COMPUTED_VALUE"""),"Aplique")</f>
        <v>Aplique</v>
      </c>
      <c r="AW1106" s="97" t="str">
        <f>IFERROR(__xludf.DUMMYFUNCTION("""COMPUTED_VALUE"""),"De Techo")</f>
        <v>De Techo</v>
      </c>
      <c r="AX1106" s="97" t="str">
        <f>IFERROR(__xludf.DUMMYFUNCTION("""COMPUTED_VALUE"""),"Interior")</f>
        <v>Interior</v>
      </c>
      <c r="AY1106" s="97" t="str">
        <f>IFERROR(__xludf.DUMMYFUNCTION("""COMPUTED_VALUE"""),"-")</f>
        <v>-</v>
      </c>
      <c r="AZ1106" s="97" t="str">
        <f>IFERROR(__xludf.DUMMYFUNCTION("""COMPUTED_VALUE"""),"Switch 3CCT.")</f>
        <v>Switch 3CCT.</v>
      </c>
      <c r="BA1106" s="97">
        <f>IFERROR(__xludf.DUMMYFUNCTION("""COMPUTED_VALUE"""),1.0)</f>
        <v>1</v>
      </c>
      <c r="BB1106" s="97" t="str">
        <f>IFERROR(__xludf.DUMMYFUNCTION("""COMPUTED_VALUE"""),"-")</f>
        <v>-</v>
      </c>
      <c r="BC1106" s="97" t="str">
        <f>IFERROR(__xludf.DUMMYFUNCTION("""COMPUTED_VALUE"""),"-")</f>
        <v>-</v>
      </c>
      <c r="BD1106" s="97" t="str">
        <f>IFERROR(__xludf.DUMMYFUNCTION("""COMPUTED_VALUE"""),"CAMBOYA AP")</f>
        <v>CAMBOYA AP</v>
      </c>
      <c r="BE1106" s="97" t="str">
        <f>IFERROR(__xludf.DUMMYFUNCTION("""COMPUTED_VALUE"""),"Finalizada")</f>
        <v>Finalizada</v>
      </c>
      <c r="BF1106" s="97"/>
      <c r="BG1106" s="97" t="str">
        <f>IFERROR(__xludf.DUMMYFUNCTION("""COMPUTED_VALUE"""),"Activo")</f>
        <v>Activo</v>
      </c>
    </row>
    <row r="1107">
      <c r="A1107" s="97">
        <f>IFERROR(__xludf.DUMMYFUNCTION("""COMPUTED_VALUE"""),7025.0)</f>
        <v>7025</v>
      </c>
      <c r="B1107" s="97" t="str">
        <f>IFERROR(__xludf.DUMMYFUNCTION("""COMPUTED_VALUE"""),"CAMBOYA AP NG 32W")</f>
        <v>CAMBOYA AP NG 32W</v>
      </c>
      <c r="C1107" s="97" t="str">
        <f>IFERROR(__xludf.DUMMYFUNCTION("""COMPUTED_VALUE"""),"APLIQUE CAMBOYA AP NG 32W 32W 3000/4000/6000K 1615LM CRI&gt;90 IP20 LEUK")</f>
        <v>APLIQUE CAMBOYA AP NG 32W 32W 3000/4000/6000K 1615LM CRI&gt;90 IP20 LEUK</v>
      </c>
      <c r="D1107" s="97">
        <f>IFERROR(__xludf.DUMMYFUNCTION("""COMPUTED_VALUE"""),7.798413226676E12)</f>
        <v>7798413226676</v>
      </c>
      <c r="E1107" s="97" t="str">
        <f>IFERROR(__xludf.DUMMYFUNCTION("""COMPUTED_VALUE"""),"F37")</f>
        <v>F37</v>
      </c>
      <c r="F1107" s="97" t="str">
        <f>IFERROR(__xludf.DUMMYFUNCTION("""COMPUTED_VALUE"""),"LED integrado")</f>
        <v>LED integrado</v>
      </c>
      <c r="G1107" s="97" t="str">
        <f>IFERROR(__xludf.DUMMYFUNCTION("""COMPUTED_VALUE"""),"-")</f>
        <v>-</v>
      </c>
      <c r="H1107" s="97" t="str">
        <f>IFERROR(__xludf.DUMMYFUNCTION("""COMPUTED_VALUE"""),"-")</f>
        <v>-</v>
      </c>
      <c r="I1107" s="97"/>
      <c r="J1107" s="97"/>
      <c r="K1107" s="97" t="str">
        <f>IFERROR(__xludf.DUMMYFUNCTION("""COMPUTED_VALUE"""),"ON/OFF")</f>
        <v>ON/OFF</v>
      </c>
      <c r="L1107" s="97" t="str">
        <f>IFERROR(__xludf.DUMMYFUNCTION("""COMPUTED_VALUE"""),"200-240")</f>
        <v>200-240</v>
      </c>
      <c r="M1107" s="97" t="str">
        <f>IFERROR(__xludf.DUMMYFUNCTION("""COMPUTED_VALUE"""),"50/60")</f>
        <v>50/60</v>
      </c>
      <c r="N1107" s="97" t="str">
        <f>IFERROR(__xludf.DUMMYFUNCTION("""COMPUTED_VALUE"""),"Directa-Simétrica")</f>
        <v>Directa-Simétrica</v>
      </c>
      <c r="O1107" s="97">
        <f>IFERROR(__xludf.DUMMYFUNCTION("""COMPUTED_VALUE"""),32.0)</f>
        <v>32</v>
      </c>
      <c r="P1107" s="97"/>
      <c r="Q1107" s="97">
        <f>IFERROR(__xludf.DUMMYFUNCTION("""COMPUTED_VALUE"""),0.55)</f>
        <v>0.55</v>
      </c>
      <c r="R1107" s="97" t="str">
        <f>IFERROR(__xludf.DUMMYFUNCTION("""COMPUTED_VALUE"""),"-")</f>
        <v>-</v>
      </c>
      <c r="S1107" s="97" t="str">
        <f>IFERROR(__xludf.DUMMYFUNCTION("""COMPUTED_VALUE"""),"-")</f>
        <v>-</v>
      </c>
      <c r="T1107" s="97">
        <f>IFERROR(__xludf.DUMMYFUNCTION("""COMPUTED_VALUE"""),1615.0)</f>
        <v>1615</v>
      </c>
      <c r="U1107" s="101">
        <f>IFERROR(__xludf.DUMMYFUNCTION("""COMPUTED_VALUE"""),50.46875)</f>
        <v>50.46875</v>
      </c>
      <c r="V1107" s="97">
        <f>IFERROR(__xludf.DUMMYFUNCTION("""COMPUTED_VALUE"""),132.0)</f>
        <v>132</v>
      </c>
      <c r="W1107" s="97" t="str">
        <f>IFERROR(__xludf.DUMMYFUNCTION("""COMPUTED_VALUE"""),"&lt; 20")</f>
        <v>&lt; 20</v>
      </c>
      <c r="X1107" s="97" t="str">
        <f>IFERROR(__xludf.DUMMYFUNCTION("""COMPUTED_VALUE"""),"3000/4000/6000")</f>
        <v>3000/4000/6000</v>
      </c>
      <c r="Y1107" s="97" t="str">
        <f>IFERROR(__xludf.DUMMYFUNCTION("""COMPUTED_VALUE"""),"&gt;90")</f>
        <v>&gt;90</v>
      </c>
      <c r="Z1107" s="97"/>
      <c r="AA1107" s="97"/>
      <c r="AB1107" s="97" t="str">
        <f>IFERROR(__xludf.DUMMYFUNCTION("""COMPUTED_VALUE"""),"-")</f>
        <v>-</v>
      </c>
      <c r="AC1107" s="97"/>
      <c r="AD1107" s="97" t="str">
        <f>IFERROR(__xludf.DUMMYFUNCTION("""COMPUTED_VALUE"""),"IP20")</f>
        <v>IP20</v>
      </c>
      <c r="AE1107" s="97" t="str">
        <f>IFERROR(__xludf.DUMMYFUNCTION("""COMPUTED_VALUE"""),"Clase l")</f>
        <v>Clase l</v>
      </c>
      <c r="AF1107" s="97" t="str">
        <f>IFERROR(__xludf.DUMMYFUNCTION("""COMPUTED_VALUE"""),"Aplicar")</f>
        <v>Aplicar</v>
      </c>
      <c r="AG1107" s="97" t="str">
        <f>IFERROR(__xludf.DUMMYFUNCTION("""COMPUTED_VALUE"""),"Ø460 x 115")</f>
        <v>Ø460 x 115</v>
      </c>
      <c r="AH1107" s="97" t="str">
        <f>IFERROR(__xludf.DUMMYFUNCTION("""COMPUTED_VALUE"""),"N/A")</f>
        <v>N/A</v>
      </c>
      <c r="AI1107" s="97" t="str">
        <f>IFERROR(__xludf.DUMMYFUNCTION("""COMPUTED_VALUE"""),"N/A")</f>
        <v>N/A</v>
      </c>
      <c r="AJ1107" s="97" t="str">
        <f>IFERROR(__xludf.DUMMYFUNCTION("""COMPUTED_VALUE"""),"PVC")</f>
        <v>PVC</v>
      </c>
      <c r="AK1107" s="97" t="str">
        <f>IFERROR(__xludf.DUMMYFUNCTION("""COMPUTED_VALUE"""),"Acero")</f>
        <v>Acero</v>
      </c>
      <c r="AL1107" s="97" t="str">
        <f>IFERROR(__xludf.DUMMYFUNCTION("""COMPUTED_VALUE"""),"Negro Satinado")</f>
        <v>Negro Satinado</v>
      </c>
      <c r="AM1107" s="97" t="str">
        <f>IFERROR(__xludf.DUMMYFUNCTION("""COMPUTED_VALUE"""),"-")</f>
        <v>-</v>
      </c>
      <c r="AN1107" s="97" t="str">
        <f>IFERROR(__xludf.DUMMYFUNCTION("""COMPUTED_VALUE"""),"25.000hs (L70)")</f>
        <v>25.000hs (L70)</v>
      </c>
      <c r="AO1107" s="97" t="str">
        <f>IFERROR(__xludf.DUMMYFUNCTION("""COMPUTED_VALUE"""),"2 Años")</f>
        <v>2 Años</v>
      </c>
      <c r="AP1107" s="97" t="str">
        <f>IFERROR(__xludf.DUMMYFUNCTION("""COMPUTED_VALUE"""),"Disponible")</f>
        <v>Disponible</v>
      </c>
      <c r="AQ1107" s="97" t="str">
        <f>IFERROR(__xludf.DUMMYFUNCTION("""COMPUTED_VALUE"""),"Disponible")</f>
        <v>Disponible</v>
      </c>
      <c r="AR1107" s="97" t="str">
        <f>IFERROR(__xludf.DUMMYFUNCTION("""COMPUTED_VALUE"""),"Disponible")</f>
        <v>Disponible</v>
      </c>
      <c r="AS1107" s="97"/>
      <c r="AT1107" s="97"/>
      <c r="AU1107" s="97" t="str">
        <f>IFERROR(__xludf.DUMMYFUNCTION("""COMPUTED_VALUE"""),"Falta")</f>
        <v>Falta</v>
      </c>
      <c r="AV1107" s="97" t="str">
        <f>IFERROR(__xludf.DUMMYFUNCTION("""COMPUTED_VALUE"""),"Aplique")</f>
        <v>Aplique</v>
      </c>
      <c r="AW1107" s="97" t="str">
        <f>IFERROR(__xludf.DUMMYFUNCTION("""COMPUTED_VALUE"""),"De Techo")</f>
        <v>De Techo</v>
      </c>
      <c r="AX1107" s="97" t="str">
        <f>IFERROR(__xludf.DUMMYFUNCTION("""COMPUTED_VALUE"""),"Interior")</f>
        <v>Interior</v>
      </c>
      <c r="AY1107" s="97" t="str">
        <f>IFERROR(__xludf.DUMMYFUNCTION("""COMPUTED_VALUE"""),"-")</f>
        <v>-</v>
      </c>
      <c r="AZ1107" s="97" t="str">
        <f>IFERROR(__xludf.DUMMYFUNCTION("""COMPUTED_VALUE"""),"Switch 3CCT.")</f>
        <v>Switch 3CCT.</v>
      </c>
      <c r="BA1107" s="97">
        <f>IFERROR(__xludf.DUMMYFUNCTION("""COMPUTED_VALUE"""),1.0)</f>
        <v>1</v>
      </c>
      <c r="BB1107" s="97" t="str">
        <f>IFERROR(__xludf.DUMMYFUNCTION("""COMPUTED_VALUE"""),"-")</f>
        <v>-</v>
      </c>
      <c r="BC1107" s="97" t="str">
        <f>IFERROR(__xludf.DUMMYFUNCTION("""COMPUTED_VALUE"""),"-")</f>
        <v>-</v>
      </c>
      <c r="BD1107" s="97" t="str">
        <f>IFERROR(__xludf.DUMMYFUNCTION("""COMPUTED_VALUE"""),"CAMBOYA AP")</f>
        <v>CAMBOYA AP</v>
      </c>
      <c r="BE1107" s="97" t="str">
        <f>IFERROR(__xludf.DUMMYFUNCTION("""COMPUTED_VALUE"""),"Finalizada")</f>
        <v>Finalizada</v>
      </c>
      <c r="BF1107" s="97"/>
      <c r="BG1107" s="97" t="str">
        <f>IFERROR(__xludf.DUMMYFUNCTION("""COMPUTED_VALUE"""),"Activo")</f>
        <v>Activo</v>
      </c>
    </row>
    <row r="1108">
      <c r="A1108" s="97">
        <f>IFERROR(__xludf.DUMMYFUNCTION("""COMPUTED_VALUE"""),7026.0)</f>
        <v>7026</v>
      </c>
      <c r="B1108" s="97" t="str">
        <f>IFERROR(__xludf.DUMMYFUNCTION("""COMPUTED_VALUE"""),"CAMBOYA AP BL 45W")</f>
        <v>CAMBOYA AP BL 45W</v>
      </c>
      <c r="C1108" s="97" t="str">
        <f>IFERROR(__xludf.DUMMYFUNCTION("""COMPUTED_VALUE"""),"APLIQUE CAMBOYA AP BL 45W 45W 3000/4000/6000K 2260LM CRI&gt;90 IP20 LEUK")</f>
        <v>APLIQUE CAMBOYA AP BL 45W 45W 3000/4000/6000K 2260LM CRI&gt;90 IP20 LEUK</v>
      </c>
      <c r="D1108" s="97">
        <f>IFERROR(__xludf.DUMMYFUNCTION("""COMPUTED_VALUE"""),7.798413226683E12)</f>
        <v>7798413226683</v>
      </c>
      <c r="E1108" s="97" t="str">
        <f>IFERROR(__xludf.DUMMYFUNCTION("""COMPUTED_VALUE"""),"F22")</f>
        <v>F22</v>
      </c>
      <c r="F1108" s="97" t="str">
        <f>IFERROR(__xludf.DUMMYFUNCTION("""COMPUTED_VALUE"""),"LED integrado")</f>
        <v>LED integrado</v>
      </c>
      <c r="G1108" s="97" t="str">
        <f>IFERROR(__xludf.DUMMYFUNCTION("""COMPUTED_VALUE"""),"-")</f>
        <v>-</v>
      </c>
      <c r="H1108" s="97" t="str">
        <f>IFERROR(__xludf.DUMMYFUNCTION("""COMPUTED_VALUE"""),"-")</f>
        <v>-</v>
      </c>
      <c r="I1108" s="97"/>
      <c r="J1108" s="97"/>
      <c r="K1108" s="97" t="str">
        <f>IFERROR(__xludf.DUMMYFUNCTION("""COMPUTED_VALUE"""),"ON/OFF")</f>
        <v>ON/OFF</v>
      </c>
      <c r="L1108" s="97" t="str">
        <f>IFERROR(__xludf.DUMMYFUNCTION("""COMPUTED_VALUE"""),"200-240")</f>
        <v>200-240</v>
      </c>
      <c r="M1108" s="97" t="str">
        <f>IFERROR(__xludf.DUMMYFUNCTION("""COMPUTED_VALUE"""),"50/60")</f>
        <v>50/60</v>
      </c>
      <c r="N1108" s="97" t="str">
        <f>IFERROR(__xludf.DUMMYFUNCTION("""COMPUTED_VALUE"""),"Directa-Simétrica")</f>
        <v>Directa-Simétrica</v>
      </c>
      <c r="O1108" s="97">
        <f>IFERROR(__xludf.DUMMYFUNCTION("""COMPUTED_VALUE"""),45.0)</f>
        <v>45</v>
      </c>
      <c r="P1108" s="97"/>
      <c r="Q1108" s="97">
        <f>IFERROR(__xludf.DUMMYFUNCTION("""COMPUTED_VALUE"""),0.57)</f>
        <v>0.57</v>
      </c>
      <c r="R1108" s="97" t="str">
        <f>IFERROR(__xludf.DUMMYFUNCTION("""COMPUTED_VALUE"""),"-")</f>
        <v>-</v>
      </c>
      <c r="S1108" s="97" t="str">
        <f>IFERROR(__xludf.DUMMYFUNCTION("""COMPUTED_VALUE"""),"-")</f>
        <v>-</v>
      </c>
      <c r="T1108" s="97">
        <f>IFERROR(__xludf.DUMMYFUNCTION("""COMPUTED_VALUE"""),2260.0)</f>
        <v>2260</v>
      </c>
      <c r="U1108" s="101">
        <f>IFERROR(__xludf.DUMMYFUNCTION("""COMPUTED_VALUE"""),50.22222222222222)</f>
        <v>50.22222222</v>
      </c>
      <c r="V1108" s="97">
        <f>IFERROR(__xludf.DUMMYFUNCTION("""COMPUTED_VALUE"""),142.0)</f>
        <v>142</v>
      </c>
      <c r="W1108" s="97" t="str">
        <f>IFERROR(__xludf.DUMMYFUNCTION("""COMPUTED_VALUE"""),"&lt; 20")</f>
        <v>&lt; 20</v>
      </c>
      <c r="X1108" s="97" t="str">
        <f>IFERROR(__xludf.DUMMYFUNCTION("""COMPUTED_VALUE"""),"3000/4000/6000")</f>
        <v>3000/4000/6000</v>
      </c>
      <c r="Y1108" s="97" t="str">
        <f>IFERROR(__xludf.DUMMYFUNCTION("""COMPUTED_VALUE"""),"&gt;90")</f>
        <v>&gt;90</v>
      </c>
      <c r="Z1108" s="97"/>
      <c r="AA1108" s="97"/>
      <c r="AB1108" s="97" t="str">
        <f>IFERROR(__xludf.DUMMYFUNCTION("""COMPUTED_VALUE"""),"-")</f>
        <v>-</v>
      </c>
      <c r="AC1108" s="97"/>
      <c r="AD1108" s="97" t="str">
        <f>IFERROR(__xludf.DUMMYFUNCTION("""COMPUTED_VALUE"""),"IP20")</f>
        <v>IP20</v>
      </c>
      <c r="AE1108" s="97" t="str">
        <f>IFERROR(__xludf.DUMMYFUNCTION("""COMPUTED_VALUE"""),"Clase l")</f>
        <v>Clase l</v>
      </c>
      <c r="AF1108" s="97" t="str">
        <f>IFERROR(__xludf.DUMMYFUNCTION("""COMPUTED_VALUE"""),"Aplicar")</f>
        <v>Aplicar</v>
      </c>
      <c r="AG1108" s="97" t="str">
        <f>IFERROR(__xludf.DUMMYFUNCTION("""COMPUTED_VALUE"""),"Ø620 x 115")</f>
        <v>Ø620 x 115</v>
      </c>
      <c r="AH1108" s="97" t="str">
        <f>IFERROR(__xludf.DUMMYFUNCTION("""COMPUTED_VALUE"""),"N/A")</f>
        <v>N/A</v>
      </c>
      <c r="AI1108" s="97" t="str">
        <f>IFERROR(__xludf.DUMMYFUNCTION("""COMPUTED_VALUE"""),"N/A")</f>
        <v>N/A</v>
      </c>
      <c r="AJ1108" s="97" t="str">
        <f>IFERROR(__xludf.DUMMYFUNCTION("""COMPUTED_VALUE"""),"PVC")</f>
        <v>PVC</v>
      </c>
      <c r="AK1108" s="97" t="str">
        <f>IFERROR(__xludf.DUMMYFUNCTION("""COMPUTED_VALUE"""),"Acero")</f>
        <v>Acero</v>
      </c>
      <c r="AL1108" s="97" t="str">
        <f>IFERROR(__xludf.DUMMYFUNCTION("""COMPUTED_VALUE"""),"Blanco Satinado")</f>
        <v>Blanco Satinado</v>
      </c>
      <c r="AM1108" s="97" t="str">
        <f>IFERROR(__xludf.DUMMYFUNCTION("""COMPUTED_VALUE"""),"-")</f>
        <v>-</v>
      </c>
      <c r="AN1108" s="97" t="str">
        <f>IFERROR(__xludf.DUMMYFUNCTION("""COMPUTED_VALUE"""),"25.000hs (L70)")</f>
        <v>25.000hs (L70)</v>
      </c>
      <c r="AO1108" s="97" t="str">
        <f>IFERROR(__xludf.DUMMYFUNCTION("""COMPUTED_VALUE"""),"2 Años")</f>
        <v>2 Años</v>
      </c>
      <c r="AP1108" s="97" t="str">
        <f>IFERROR(__xludf.DUMMYFUNCTION("""COMPUTED_VALUE"""),"Disponible")</f>
        <v>Disponible</v>
      </c>
      <c r="AQ1108" s="97" t="str">
        <f>IFERROR(__xludf.DUMMYFUNCTION("""COMPUTED_VALUE"""),"Disponible")</f>
        <v>Disponible</v>
      </c>
      <c r="AR1108" s="97" t="str">
        <f>IFERROR(__xludf.DUMMYFUNCTION("""COMPUTED_VALUE"""),"Disponible")</f>
        <v>Disponible</v>
      </c>
      <c r="AS1108" s="97"/>
      <c r="AT1108" s="97"/>
      <c r="AU1108" s="97" t="str">
        <f>IFERROR(__xludf.DUMMYFUNCTION("""COMPUTED_VALUE"""),"Falta")</f>
        <v>Falta</v>
      </c>
      <c r="AV1108" s="97" t="str">
        <f>IFERROR(__xludf.DUMMYFUNCTION("""COMPUTED_VALUE"""),"Aplique")</f>
        <v>Aplique</v>
      </c>
      <c r="AW1108" s="97" t="str">
        <f>IFERROR(__xludf.DUMMYFUNCTION("""COMPUTED_VALUE"""),"De Techo")</f>
        <v>De Techo</v>
      </c>
      <c r="AX1108" s="97" t="str">
        <f>IFERROR(__xludf.DUMMYFUNCTION("""COMPUTED_VALUE"""),"Interior")</f>
        <v>Interior</v>
      </c>
      <c r="AY1108" s="97" t="str">
        <f>IFERROR(__xludf.DUMMYFUNCTION("""COMPUTED_VALUE"""),"-")</f>
        <v>-</v>
      </c>
      <c r="AZ1108" s="97" t="str">
        <f>IFERROR(__xludf.DUMMYFUNCTION("""COMPUTED_VALUE"""),"Switch 3CCT.")</f>
        <v>Switch 3CCT.</v>
      </c>
      <c r="BA1108" s="97">
        <f>IFERROR(__xludf.DUMMYFUNCTION("""COMPUTED_VALUE"""),1.0)</f>
        <v>1</v>
      </c>
      <c r="BB1108" s="97" t="str">
        <f>IFERROR(__xludf.DUMMYFUNCTION("""COMPUTED_VALUE"""),"-")</f>
        <v>-</v>
      </c>
      <c r="BC1108" s="97" t="str">
        <f>IFERROR(__xludf.DUMMYFUNCTION("""COMPUTED_VALUE"""),"-")</f>
        <v>-</v>
      </c>
      <c r="BD1108" s="97" t="str">
        <f>IFERROR(__xludf.DUMMYFUNCTION("""COMPUTED_VALUE"""),"CAMBOYA AP")</f>
        <v>CAMBOYA AP</v>
      </c>
      <c r="BE1108" s="97" t="str">
        <f>IFERROR(__xludf.DUMMYFUNCTION("""COMPUTED_VALUE"""),"Finalizada")</f>
        <v>Finalizada</v>
      </c>
      <c r="BF1108" s="97"/>
      <c r="BG1108" s="97" t="str">
        <f>IFERROR(__xludf.DUMMYFUNCTION("""COMPUTED_VALUE"""),"Activo")</f>
        <v>Activo</v>
      </c>
    </row>
    <row r="1109">
      <c r="A1109" s="97">
        <f>IFERROR(__xludf.DUMMYFUNCTION("""COMPUTED_VALUE"""),7027.0)</f>
        <v>7027</v>
      </c>
      <c r="B1109" s="97" t="str">
        <f>IFERROR(__xludf.DUMMYFUNCTION("""COMPUTED_VALUE"""),"CAMBOYA AP NG 45W")</f>
        <v>CAMBOYA AP NG 45W</v>
      </c>
      <c r="C1109" s="97" t="str">
        <f>IFERROR(__xludf.DUMMYFUNCTION("""COMPUTED_VALUE"""),"APLIQUE CAMBOYA AP NG 45W 45W 3000/4000/6000K 2260LM CRI&gt;90 IP20 LEUK")</f>
        <v>APLIQUE CAMBOYA AP NG 45W 45W 3000/4000/6000K 2260LM CRI&gt;90 IP20 LEUK</v>
      </c>
      <c r="D1109" s="97">
        <f>IFERROR(__xludf.DUMMYFUNCTION("""COMPUTED_VALUE"""),7.79841322669E12)</f>
        <v>7798413226690</v>
      </c>
      <c r="E1109" s="97" t="str">
        <f>IFERROR(__xludf.DUMMYFUNCTION("""COMPUTED_VALUE"""),"F22")</f>
        <v>F22</v>
      </c>
      <c r="F1109" s="97" t="str">
        <f>IFERROR(__xludf.DUMMYFUNCTION("""COMPUTED_VALUE"""),"LED integrado")</f>
        <v>LED integrado</v>
      </c>
      <c r="G1109" s="97" t="str">
        <f>IFERROR(__xludf.DUMMYFUNCTION("""COMPUTED_VALUE"""),"-")</f>
        <v>-</v>
      </c>
      <c r="H1109" s="97" t="str">
        <f>IFERROR(__xludf.DUMMYFUNCTION("""COMPUTED_VALUE"""),"-")</f>
        <v>-</v>
      </c>
      <c r="I1109" s="97"/>
      <c r="J1109" s="97"/>
      <c r="K1109" s="97" t="str">
        <f>IFERROR(__xludf.DUMMYFUNCTION("""COMPUTED_VALUE"""),"ON/OFF")</f>
        <v>ON/OFF</v>
      </c>
      <c r="L1109" s="97" t="str">
        <f>IFERROR(__xludf.DUMMYFUNCTION("""COMPUTED_VALUE"""),"200-240")</f>
        <v>200-240</v>
      </c>
      <c r="M1109" s="97" t="str">
        <f>IFERROR(__xludf.DUMMYFUNCTION("""COMPUTED_VALUE"""),"50/60")</f>
        <v>50/60</v>
      </c>
      <c r="N1109" s="97" t="str">
        <f>IFERROR(__xludf.DUMMYFUNCTION("""COMPUTED_VALUE"""),"Directa-Simétrica")</f>
        <v>Directa-Simétrica</v>
      </c>
      <c r="O1109" s="97">
        <f>IFERROR(__xludf.DUMMYFUNCTION("""COMPUTED_VALUE"""),45.0)</f>
        <v>45</v>
      </c>
      <c r="P1109" s="97"/>
      <c r="Q1109" s="97">
        <f>IFERROR(__xludf.DUMMYFUNCTION("""COMPUTED_VALUE"""),0.57)</f>
        <v>0.57</v>
      </c>
      <c r="R1109" s="97" t="str">
        <f>IFERROR(__xludf.DUMMYFUNCTION("""COMPUTED_VALUE"""),"-")</f>
        <v>-</v>
      </c>
      <c r="S1109" s="97" t="str">
        <f>IFERROR(__xludf.DUMMYFUNCTION("""COMPUTED_VALUE"""),"-")</f>
        <v>-</v>
      </c>
      <c r="T1109" s="97">
        <f>IFERROR(__xludf.DUMMYFUNCTION("""COMPUTED_VALUE"""),2260.0)</f>
        <v>2260</v>
      </c>
      <c r="U1109" s="101">
        <f>IFERROR(__xludf.DUMMYFUNCTION("""COMPUTED_VALUE"""),50.22222222222222)</f>
        <v>50.22222222</v>
      </c>
      <c r="V1109" s="97">
        <f>IFERROR(__xludf.DUMMYFUNCTION("""COMPUTED_VALUE"""),142.0)</f>
        <v>142</v>
      </c>
      <c r="W1109" s="97" t="str">
        <f>IFERROR(__xludf.DUMMYFUNCTION("""COMPUTED_VALUE"""),"&lt; 20")</f>
        <v>&lt; 20</v>
      </c>
      <c r="X1109" s="97" t="str">
        <f>IFERROR(__xludf.DUMMYFUNCTION("""COMPUTED_VALUE"""),"3000/4000/6000")</f>
        <v>3000/4000/6000</v>
      </c>
      <c r="Y1109" s="97" t="str">
        <f>IFERROR(__xludf.DUMMYFUNCTION("""COMPUTED_VALUE"""),"&gt;90")</f>
        <v>&gt;90</v>
      </c>
      <c r="Z1109" s="97"/>
      <c r="AA1109" s="97"/>
      <c r="AB1109" s="97" t="str">
        <f>IFERROR(__xludf.DUMMYFUNCTION("""COMPUTED_VALUE"""),"-")</f>
        <v>-</v>
      </c>
      <c r="AC1109" s="97"/>
      <c r="AD1109" s="97" t="str">
        <f>IFERROR(__xludf.DUMMYFUNCTION("""COMPUTED_VALUE"""),"IP20")</f>
        <v>IP20</v>
      </c>
      <c r="AE1109" s="97" t="str">
        <f>IFERROR(__xludf.DUMMYFUNCTION("""COMPUTED_VALUE"""),"Clase l")</f>
        <v>Clase l</v>
      </c>
      <c r="AF1109" s="97" t="str">
        <f>IFERROR(__xludf.DUMMYFUNCTION("""COMPUTED_VALUE"""),"Aplicar")</f>
        <v>Aplicar</v>
      </c>
      <c r="AG1109" s="97" t="str">
        <f>IFERROR(__xludf.DUMMYFUNCTION("""COMPUTED_VALUE"""),"Ø620 x 115")</f>
        <v>Ø620 x 115</v>
      </c>
      <c r="AH1109" s="97" t="str">
        <f>IFERROR(__xludf.DUMMYFUNCTION("""COMPUTED_VALUE"""),"N/A")</f>
        <v>N/A</v>
      </c>
      <c r="AI1109" s="97" t="str">
        <f>IFERROR(__xludf.DUMMYFUNCTION("""COMPUTED_VALUE"""),"N/A")</f>
        <v>N/A</v>
      </c>
      <c r="AJ1109" s="97" t="str">
        <f>IFERROR(__xludf.DUMMYFUNCTION("""COMPUTED_VALUE"""),"PVC")</f>
        <v>PVC</v>
      </c>
      <c r="AK1109" s="97" t="str">
        <f>IFERROR(__xludf.DUMMYFUNCTION("""COMPUTED_VALUE"""),"Acero")</f>
        <v>Acero</v>
      </c>
      <c r="AL1109" s="97" t="str">
        <f>IFERROR(__xludf.DUMMYFUNCTION("""COMPUTED_VALUE"""),"Negro Satinado")</f>
        <v>Negro Satinado</v>
      </c>
      <c r="AM1109" s="97" t="str">
        <f>IFERROR(__xludf.DUMMYFUNCTION("""COMPUTED_VALUE"""),"-")</f>
        <v>-</v>
      </c>
      <c r="AN1109" s="97" t="str">
        <f>IFERROR(__xludf.DUMMYFUNCTION("""COMPUTED_VALUE"""),"25.000hs (L70)")</f>
        <v>25.000hs (L70)</v>
      </c>
      <c r="AO1109" s="97" t="str">
        <f>IFERROR(__xludf.DUMMYFUNCTION("""COMPUTED_VALUE"""),"2 Años")</f>
        <v>2 Años</v>
      </c>
      <c r="AP1109" s="97" t="str">
        <f>IFERROR(__xludf.DUMMYFUNCTION("""COMPUTED_VALUE"""),"Disponible")</f>
        <v>Disponible</v>
      </c>
      <c r="AQ1109" s="97" t="str">
        <f>IFERROR(__xludf.DUMMYFUNCTION("""COMPUTED_VALUE"""),"Disponible")</f>
        <v>Disponible</v>
      </c>
      <c r="AR1109" s="97" t="str">
        <f>IFERROR(__xludf.DUMMYFUNCTION("""COMPUTED_VALUE"""),"Disponible")</f>
        <v>Disponible</v>
      </c>
      <c r="AS1109" s="97"/>
      <c r="AT1109" s="97"/>
      <c r="AU1109" s="97" t="str">
        <f>IFERROR(__xludf.DUMMYFUNCTION("""COMPUTED_VALUE"""),"Falta")</f>
        <v>Falta</v>
      </c>
      <c r="AV1109" s="97" t="str">
        <f>IFERROR(__xludf.DUMMYFUNCTION("""COMPUTED_VALUE"""),"Aplique")</f>
        <v>Aplique</v>
      </c>
      <c r="AW1109" s="97" t="str">
        <f>IFERROR(__xludf.DUMMYFUNCTION("""COMPUTED_VALUE"""),"De Techo")</f>
        <v>De Techo</v>
      </c>
      <c r="AX1109" s="97" t="str">
        <f>IFERROR(__xludf.DUMMYFUNCTION("""COMPUTED_VALUE"""),"Interior")</f>
        <v>Interior</v>
      </c>
      <c r="AY1109" s="97" t="str">
        <f>IFERROR(__xludf.DUMMYFUNCTION("""COMPUTED_VALUE"""),"-")</f>
        <v>-</v>
      </c>
      <c r="AZ1109" s="97" t="str">
        <f>IFERROR(__xludf.DUMMYFUNCTION("""COMPUTED_VALUE"""),"Switch 3CCT.")</f>
        <v>Switch 3CCT.</v>
      </c>
      <c r="BA1109" s="97">
        <f>IFERROR(__xludf.DUMMYFUNCTION("""COMPUTED_VALUE"""),1.0)</f>
        <v>1</v>
      </c>
      <c r="BB1109" s="97" t="str">
        <f>IFERROR(__xludf.DUMMYFUNCTION("""COMPUTED_VALUE"""),"-")</f>
        <v>-</v>
      </c>
      <c r="BC1109" s="97" t="str">
        <f>IFERROR(__xludf.DUMMYFUNCTION("""COMPUTED_VALUE"""),"-")</f>
        <v>-</v>
      </c>
      <c r="BD1109" s="97" t="str">
        <f>IFERROR(__xludf.DUMMYFUNCTION("""COMPUTED_VALUE"""),"CAMBOYA AP")</f>
        <v>CAMBOYA AP</v>
      </c>
      <c r="BE1109" s="97" t="str">
        <f>IFERROR(__xludf.DUMMYFUNCTION("""COMPUTED_VALUE"""),"Finalizada")</f>
        <v>Finalizada</v>
      </c>
      <c r="BF1109" s="97"/>
      <c r="BG1109" s="97" t="str">
        <f>IFERROR(__xludf.DUMMYFUNCTION("""COMPUTED_VALUE"""),"Activo")</f>
        <v>Activo</v>
      </c>
    </row>
    <row r="1110">
      <c r="A1110" s="97">
        <f>IFERROR(__xludf.DUMMYFUNCTION("""COMPUTED_VALUE"""),7028.0)</f>
        <v>7028</v>
      </c>
      <c r="B1110" s="97" t="str">
        <f>IFERROR(__xludf.DUMMYFUNCTION("""COMPUTED_VALUE"""),"SINTRA BL 10W")</f>
        <v>SINTRA BL 10W</v>
      </c>
      <c r="C1110" s="97" t="str">
        <f>IFERROR(__xludf.DUMMYFUNCTION("""COMPUTED_VALUE"""),"APLIQUE SINTRA BL 10W 10W 3000/4000/5000K 596LM CRI&gt;90 IP20 LEUK")</f>
        <v>APLIQUE SINTRA BL 10W 10W 3000/4000/5000K 596LM CRI&gt;90 IP20 LEUK</v>
      </c>
      <c r="D1110" s="97">
        <f>IFERROR(__xludf.DUMMYFUNCTION("""COMPUTED_VALUE"""),7.798413225488E12)</f>
        <v>7798413225488</v>
      </c>
      <c r="E1110" s="97" t="str">
        <f>IFERROR(__xludf.DUMMYFUNCTION("""COMPUTED_VALUE"""),"F65")</f>
        <v>F65</v>
      </c>
      <c r="F1110" s="97" t="str">
        <f>IFERROR(__xludf.DUMMYFUNCTION("""COMPUTED_VALUE"""),"LED integrado")</f>
        <v>LED integrado</v>
      </c>
      <c r="G1110" s="97" t="str">
        <f>IFERROR(__xludf.DUMMYFUNCTION("""COMPUTED_VALUE"""),"-")</f>
        <v>-</v>
      </c>
      <c r="H1110" s="97" t="str">
        <f>IFERROR(__xludf.DUMMYFUNCTION("""COMPUTED_VALUE"""),"-")</f>
        <v>-</v>
      </c>
      <c r="I1110" s="97"/>
      <c r="J1110" s="97" t="str">
        <f>IFERROR(__xludf.DUMMYFUNCTION("""COMPUTED_VALUE"""),"Modelo: CX-8-24Wx1
In: 200-240Vac 50/60Hz
Out: 25-75Vdc 230mA")</f>
        <v>Modelo: CX-8-24Wx1
In: 200-240Vac 50/60Hz
Out: 25-75Vdc 230mA</v>
      </c>
      <c r="K1110" s="97" t="str">
        <f>IFERROR(__xludf.DUMMYFUNCTION("""COMPUTED_VALUE"""),"ON/OFF")</f>
        <v>ON/OFF</v>
      </c>
      <c r="L1110" s="97" t="str">
        <f>IFERROR(__xludf.DUMMYFUNCTION("""COMPUTED_VALUE"""),"200-240")</f>
        <v>200-240</v>
      </c>
      <c r="M1110" s="97" t="str">
        <f>IFERROR(__xludf.DUMMYFUNCTION("""COMPUTED_VALUE"""),"50/60")</f>
        <v>50/60</v>
      </c>
      <c r="N1110" s="97" t="str">
        <f>IFERROR(__xludf.DUMMYFUNCTION("""COMPUTED_VALUE"""),"Directa-Simétrica")</f>
        <v>Directa-Simétrica</v>
      </c>
      <c r="O1110" s="97">
        <f>IFERROR(__xludf.DUMMYFUNCTION("""COMPUTED_VALUE"""),10.0)</f>
        <v>10</v>
      </c>
      <c r="P1110" s="97"/>
      <c r="Q1110" s="97">
        <f>IFERROR(__xludf.DUMMYFUNCTION("""COMPUTED_VALUE"""),0.47)</f>
        <v>0.47</v>
      </c>
      <c r="R1110" s="97" t="str">
        <f>IFERROR(__xludf.DUMMYFUNCTION("""COMPUTED_VALUE"""),"-")</f>
        <v>-</v>
      </c>
      <c r="S1110" s="97" t="str">
        <f>IFERROR(__xludf.DUMMYFUNCTION("""COMPUTED_VALUE"""),"-")</f>
        <v>-</v>
      </c>
      <c r="T1110" s="97">
        <f>IFERROR(__xludf.DUMMYFUNCTION("""COMPUTED_VALUE"""),596.0)</f>
        <v>596</v>
      </c>
      <c r="U1110" s="101">
        <f>IFERROR(__xludf.DUMMYFUNCTION("""COMPUTED_VALUE"""),59.6)</f>
        <v>59.6</v>
      </c>
      <c r="V1110" s="97">
        <f>IFERROR(__xludf.DUMMYFUNCTION("""COMPUTED_VALUE"""),122.0)</f>
        <v>122</v>
      </c>
      <c r="W1110" s="97" t="str">
        <f>IFERROR(__xludf.DUMMYFUNCTION("""COMPUTED_VALUE"""),"&lt; 18")</f>
        <v>&lt; 18</v>
      </c>
      <c r="X1110" s="97" t="str">
        <f>IFERROR(__xludf.DUMMYFUNCTION("""COMPUTED_VALUE"""),"3000/4000/5000")</f>
        <v>3000/4000/5000</v>
      </c>
      <c r="Y1110" s="97" t="str">
        <f>IFERROR(__xludf.DUMMYFUNCTION("""COMPUTED_VALUE"""),"&gt;90")</f>
        <v>&gt;90</v>
      </c>
      <c r="Z1110" s="97"/>
      <c r="AA1110" s="97"/>
      <c r="AB1110" s="97" t="str">
        <f>IFERROR(__xludf.DUMMYFUNCTION("""COMPUTED_VALUE"""),"-")</f>
        <v>-</v>
      </c>
      <c r="AC1110" s="97"/>
      <c r="AD1110" s="97" t="str">
        <f>IFERROR(__xludf.DUMMYFUNCTION("""COMPUTED_VALUE"""),"IP20")</f>
        <v>IP20</v>
      </c>
      <c r="AE1110" s="97" t="str">
        <f>IFERROR(__xludf.DUMMYFUNCTION("""COMPUTED_VALUE"""),"Clase l")</f>
        <v>Clase l</v>
      </c>
      <c r="AF1110" s="97" t="str">
        <f>IFERROR(__xludf.DUMMYFUNCTION("""COMPUTED_VALUE"""),"Aplicar, Suspender")</f>
        <v>Aplicar, Suspender</v>
      </c>
      <c r="AG1110" s="97" t="str">
        <f>IFERROR(__xludf.DUMMYFUNCTION("""COMPUTED_VALUE"""),"Ø210 X 50")</f>
        <v>Ø210 X 50</v>
      </c>
      <c r="AH1110" s="97" t="str">
        <f>IFERROR(__xludf.DUMMYFUNCTION("""COMPUTED_VALUE"""),"N/A")</f>
        <v>N/A</v>
      </c>
      <c r="AI1110" s="97" t="str">
        <f>IFERROR(__xludf.DUMMYFUNCTION("""COMPUTED_VALUE"""),"N/A")</f>
        <v>N/A</v>
      </c>
      <c r="AJ1110" s="97" t="str">
        <f>IFERROR(__xludf.DUMMYFUNCTION("""COMPUTED_VALUE"""),"PMMA")</f>
        <v>PMMA</v>
      </c>
      <c r="AK1110" s="97" t="str">
        <f>IFERROR(__xludf.DUMMYFUNCTION("""COMPUTED_VALUE"""),"Acero")</f>
        <v>Acero</v>
      </c>
      <c r="AL1110" s="97" t="str">
        <f>IFERROR(__xludf.DUMMYFUNCTION("""COMPUTED_VALUE"""),"Blanco Brillante")</f>
        <v>Blanco Brillante</v>
      </c>
      <c r="AM1110" s="97" t="str">
        <f>IFERROR(__xludf.DUMMYFUNCTION("""COMPUTED_VALUE"""),"-")</f>
        <v>-</v>
      </c>
      <c r="AN1110" s="97" t="str">
        <f>IFERROR(__xludf.DUMMYFUNCTION("""COMPUTED_VALUE"""),"25.000hs (L70)")</f>
        <v>25.000hs (L70)</v>
      </c>
      <c r="AO1110" s="97" t="str">
        <f>IFERROR(__xludf.DUMMYFUNCTION("""COMPUTED_VALUE"""),"2 Años")</f>
        <v>2 Años</v>
      </c>
      <c r="AP1110" s="97" t="str">
        <f>IFERROR(__xludf.DUMMYFUNCTION("""COMPUTED_VALUE"""),"Disponible")</f>
        <v>Disponible</v>
      </c>
      <c r="AQ1110" s="97" t="str">
        <f>IFERROR(__xludf.DUMMYFUNCTION("""COMPUTED_VALUE"""),"Disponible")</f>
        <v>Disponible</v>
      </c>
      <c r="AR1110" s="97" t="str">
        <f>IFERROR(__xludf.DUMMYFUNCTION("""COMPUTED_VALUE"""),"Disponible")</f>
        <v>Disponible</v>
      </c>
      <c r="AS1110" s="97"/>
      <c r="AT1110" s="97"/>
      <c r="AU1110" s="97" t="str">
        <f>IFERROR(__xludf.DUMMYFUNCTION("""COMPUTED_VALUE"""),"Disponible")</f>
        <v>Disponible</v>
      </c>
      <c r="AV1110" s="97" t="str">
        <f>IFERROR(__xludf.DUMMYFUNCTION("""COMPUTED_VALUE"""),"Aplique")</f>
        <v>Aplique</v>
      </c>
      <c r="AW1110" s="97" t="str">
        <f>IFERROR(__xludf.DUMMYFUNCTION("""COMPUTED_VALUE"""),"De Techo")</f>
        <v>De Techo</v>
      </c>
      <c r="AX1110" s="97" t="str">
        <f>IFERROR(__xludf.DUMMYFUNCTION("""COMPUTED_VALUE"""),"Interior")</f>
        <v>Interior</v>
      </c>
      <c r="AY1110" s="97" t="str">
        <f>IFERROR(__xludf.DUMMYFUNCTION("""COMPUTED_VALUE"""),"-")</f>
        <v>-</v>
      </c>
      <c r="AZ1110" s="97" t="str">
        <f>IFERROR(__xludf.DUMMYFUNCTION("""COMPUTED_VALUE"""),"Switch 3CCT. Aplica KIT SUSPENSIÓN 4 TENSORES BL 6829 o NG 6830.")</f>
        <v>Switch 3CCT. Aplica KIT SUSPENSIÓN 4 TENSORES BL 6829 o NG 6830.</v>
      </c>
      <c r="BA1110" s="97">
        <f>IFERROR(__xludf.DUMMYFUNCTION("""COMPUTED_VALUE"""),20.0)</f>
        <v>20</v>
      </c>
      <c r="BB1110" s="97" t="str">
        <f>IFERROR(__xludf.DUMMYFUNCTION("""COMPUTED_VALUE"""),"-")</f>
        <v>-</v>
      </c>
      <c r="BC1110" s="97" t="str">
        <f>IFERROR(__xludf.DUMMYFUNCTION("""COMPUTED_VALUE"""),"-")</f>
        <v>-</v>
      </c>
      <c r="BD1110" s="97" t="str">
        <f>IFERROR(__xludf.DUMMYFUNCTION("""COMPUTED_VALUE"""),"SINTRA")</f>
        <v>SINTRA</v>
      </c>
      <c r="BE1110" s="97" t="str">
        <f>IFERROR(__xludf.DUMMYFUNCTION("""COMPUTED_VALUE"""),"Finalizada")</f>
        <v>Finalizada</v>
      </c>
      <c r="BF1110" s="97"/>
      <c r="BG1110" s="97" t="str">
        <f>IFERROR(__xludf.DUMMYFUNCTION("""COMPUTED_VALUE"""),"Activo")</f>
        <v>Activo</v>
      </c>
    </row>
    <row r="1111">
      <c r="A1111" s="97">
        <f>IFERROR(__xludf.DUMMYFUNCTION("""COMPUTED_VALUE"""),7029.0)</f>
        <v>7029</v>
      </c>
      <c r="B1111" s="97" t="str">
        <f>IFERROR(__xludf.DUMMYFUNCTION("""COMPUTED_VALUE"""),"SINTRA BL 18W")</f>
        <v>SINTRA BL 18W</v>
      </c>
      <c r="C1111" s="97" t="str">
        <f>IFERROR(__xludf.DUMMYFUNCTION("""COMPUTED_VALUE"""),"APLIQUE SINTRA BL 18W 18W 3000/4000/5000K 1312LM CRI&gt;90 IP20 LEUK")</f>
        <v>APLIQUE SINTRA BL 18W 18W 3000/4000/5000K 1312LM CRI&gt;90 IP20 LEUK</v>
      </c>
      <c r="D1111" s="97">
        <f>IFERROR(__xludf.DUMMYFUNCTION("""COMPUTED_VALUE"""),7.798413225495E12)</f>
        <v>7798413225495</v>
      </c>
      <c r="E1111" s="97" t="str">
        <f>IFERROR(__xludf.DUMMYFUNCTION("""COMPUTED_VALUE"""),"F152")</f>
        <v>F152</v>
      </c>
      <c r="F1111" s="97" t="str">
        <f>IFERROR(__xludf.DUMMYFUNCTION("""COMPUTED_VALUE"""),"LED integrado")</f>
        <v>LED integrado</v>
      </c>
      <c r="G1111" s="97" t="str">
        <f>IFERROR(__xludf.DUMMYFUNCTION("""COMPUTED_VALUE"""),"-")</f>
        <v>-</v>
      </c>
      <c r="H1111" s="97" t="str">
        <f>IFERROR(__xludf.DUMMYFUNCTION("""COMPUTED_VALUE"""),"-")</f>
        <v>-</v>
      </c>
      <c r="I1111" s="97"/>
      <c r="J1111" s="97" t="str">
        <f>IFERROR(__xludf.DUMMYFUNCTION("""COMPUTED_VALUE"""),"Modelo: CX-8-24Wx1
In: 200-240Vac 50/60Hz
Out: 25-75Vdc 230mA")</f>
        <v>Modelo: CX-8-24Wx1
In: 200-240Vac 50/60Hz
Out: 25-75Vdc 230mA</v>
      </c>
      <c r="K1111" s="97" t="str">
        <f>IFERROR(__xludf.DUMMYFUNCTION("""COMPUTED_VALUE"""),"ON/OFF")</f>
        <v>ON/OFF</v>
      </c>
      <c r="L1111" s="97" t="str">
        <f>IFERROR(__xludf.DUMMYFUNCTION("""COMPUTED_VALUE"""),"200-240")</f>
        <v>200-240</v>
      </c>
      <c r="M1111" s="97" t="str">
        <f>IFERROR(__xludf.DUMMYFUNCTION("""COMPUTED_VALUE"""),"50/60")</f>
        <v>50/60</v>
      </c>
      <c r="N1111" s="97" t="str">
        <f>IFERROR(__xludf.DUMMYFUNCTION("""COMPUTED_VALUE"""),"Directa-Simétrica")</f>
        <v>Directa-Simétrica</v>
      </c>
      <c r="O1111" s="97">
        <f>IFERROR(__xludf.DUMMYFUNCTION("""COMPUTED_VALUE"""),18.0)</f>
        <v>18</v>
      </c>
      <c r="P1111" s="97"/>
      <c r="Q1111" s="97">
        <f>IFERROR(__xludf.DUMMYFUNCTION("""COMPUTED_VALUE"""),0.55)</f>
        <v>0.55</v>
      </c>
      <c r="R1111" s="97" t="str">
        <f>IFERROR(__xludf.DUMMYFUNCTION("""COMPUTED_VALUE"""),"-")</f>
        <v>-</v>
      </c>
      <c r="S1111" s="97" t="str">
        <f>IFERROR(__xludf.DUMMYFUNCTION("""COMPUTED_VALUE"""),"-")</f>
        <v>-</v>
      </c>
      <c r="T1111" s="97">
        <f>IFERROR(__xludf.DUMMYFUNCTION("""COMPUTED_VALUE"""),1312.0)</f>
        <v>1312</v>
      </c>
      <c r="U1111" s="101">
        <f>IFERROR(__xludf.DUMMYFUNCTION("""COMPUTED_VALUE"""),72.88888888888889)</f>
        <v>72.88888889</v>
      </c>
      <c r="V1111" s="97">
        <f>IFERROR(__xludf.DUMMYFUNCTION("""COMPUTED_VALUE"""),122.0)</f>
        <v>122</v>
      </c>
      <c r="W1111" s="97" t="str">
        <f>IFERROR(__xludf.DUMMYFUNCTION("""COMPUTED_VALUE"""),"&lt; 18")</f>
        <v>&lt; 18</v>
      </c>
      <c r="X1111" s="97" t="str">
        <f>IFERROR(__xludf.DUMMYFUNCTION("""COMPUTED_VALUE"""),"3000/4000/5000")</f>
        <v>3000/4000/5000</v>
      </c>
      <c r="Y1111" s="97" t="str">
        <f>IFERROR(__xludf.DUMMYFUNCTION("""COMPUTED_VALUE"""),"&gt;90")</f>
        <v>&gt;90</v>
      </c>
      <c r="Z1111" s="97"/>
      <c r="AA1111" s="97"/>
      <c r="AB1111" s="97" t="str">
        <f>IFERROR(__xludf.DUMMYFUNCTION("""COMPUTED_VALUE"""),"-")</f>
        <v>-</v>
      </c>
      <c r="AC1111" s="97"/>
      <c r="AD1111" s="97" t="str">
        <f>IFERROR(__xludf.DUMMYFUNCTION("""COMPUTED_VALUE"""),"IP20")</f>
        <v>IP20</v>
      </c>
      <c r="AE1111" s="97" t="str">
        <f>IFERROR(__xludf.DUMMYFUNCTION("""COMPUTED_VALUE"""),"Clase l")</f>
        <v>Clase l</v>
      </c>
      <c r="AF1111" s="97" t="str">
        <f>IFERROR(__xludf.DUMMYFUNCTION("""COMPUTED_VALUE"""),"Aplicar, Suspender")</f>
        <v>Aplicar, Suspender</v>
      </c>
      <c r="AG1111" s="97" t="str">
        <f>IFERROR(__xludf.DUMMYFUNCTION("""COMPUTED_VALUE"""),"Ø330 X 55")</f>
        <v>Ø330 X 55</v>
      </c>
      <c r="AH1111" s="97" t="str">
        <f>IFERROR(__xludf.DUMMYFUNCTION("""COMPUTED_VALUE"""),"N/A")</f>
        <v>N/A</v>
      </c>
      <c r="AI1111" s="97" t="str">
        <f>IFERROR(__xludf.DUMMYFUNCTION("""COMPUTED_VALUE"""),"N/A")</f>
        <v>N/A</v>
      </c>
      <c r="AJ1111" s="97" t="str">
        <f>IFERROR(__xludf.DUMMYFUNCTION("""COMPUTED_VALUE"""),"PMMA")</f>
        <v>PMMA</v>
      </c>
      <c r="AK1111" s="97" t="str">
        <f>IFERROR(__xludf.DUMMYFUNCTION("""COMPUTED_VALUE"""),"Acero")</f>
        <v>Acero</v>
      </c>
      <c r="AL1111" s="97" t="str">
        <f>IFERROR(__xludf.DUMMYFUNCTION("""COMPUTED_VALUE"""),"Blanco Brillante")</f>
        <v>Blanco Brillante</v>
      </c>
      <c r="AM1111" s="97" t="str">
        <f>IFERROR(__xludf.DUMMYFUNCTION("""COMPUTED_VALUE"""),"-")</f>
        <v>-</v>
      </c>
      <c r="AN1111" s="97" t="str">
        <f>IFERROR(__xludf.DUMMYFUNCTION("""COMPUTED_VALUE"""),"25.000hs (L70)")</f>
        <v>25.000hs (L70)</v>
      </c>
      <c r="AO1111" s="97" t="str">
        <f>IFERROR(__xludf.DUMMYFUNCTION("""COMPUTED_VALUE"""),"2 Años")</f>
        <v>2 Años</v>
      </c>
      <c r="AP1111" s="97" t="str">
        <f>IFERROR(__xludf.DUMMYFUNCTION("""COMPUTED_VALUE"""),"Disponible")</f>
        <v>Disponible</v>
      </c>
      <c r="AQ1111" s="97" t="str">
        <f>IFERROR(__xludf.DUMMYFUNCTION("""COMPUTED_VALUE"""),"Disponible")</f>
        <v>Disponible</v>
      </c>
      <c r="AR1111" s="97" t="str">
        <f>IFERROR(__xludf.DUMMYFUNCTION("""COMPUTED_VALUE"""),"Disponible")</f>
        <v>Disponible</v>
      </c>
      <c r="AS1111" s="97"/>
      <c r="AT1111" s="97"/>
      <c r="AU1111" s="97" t="str">
        <f>IFERROR(__xludf.DUMMYFUNCTION("""COMPUTED_VALUE"""),"Disponible")</f>
        <v>Disponible</v>
      </c>
      <c r="AV1111" s="97" t="str">
        <f>IFERROR(__xludf.DUMMYFUNCTION("""COMPUTED_VALUE"""),"Aplique")</f>
        <v>Aplique</v>
      </c>
      <c r="AW1111" s="97" t="str">
        <f>IFERROR(__xludf.DUMMYFUNCTION("""COMPUTED_VALUE"""),"De Techo")</f>
        <v>De Techo</v>
      </c>
      <c r="AX1111" s="97" t="str">
        <f>IFERROR(__xludf.DUMMYFUNCTION("""COMPUTED_VALUE"""),"Interior")</f>
        <v>Interior</v>
      </c>
      <c r="AY1111" s="97" t="str">
        <f>IFERROR(__xludf.DUMMYFUNCTION("""COMPUTED_VALUE"""),"-")</f>
        <v>-</v>
      </c>
      <c r="AZ1111" s="97" t="str">
        <f>IFERROR(__xludf.DUMMYFUNCTION("""COMPUTED_VALUE"""),"Switch 3CCT. Aplica KIT SUSPENSIÓN 4 TENSORES BL 6829 o NG 6830.")</f>
        <v>Switch 3CCT. Aplica KIT SUSPENSIÓN 4 TENSORES BL 6829 o NG 6830.</v>
      </c>
      <c r="BA1111" s="97">
        <f>IFERROR(__xludf.DUMMYFUNCTION("""COMPUTED_VALUE"""),20.0)</f>
        <v>20</v>
      </c>
      <c r="BB1111" s="97" t="str">
        <f>IFERROR(__xludf.DUMMYFUNCTION("""COMPUTED_VALUE"""),"-")</f>
        <v>-</v>
      </c>
      <c r="BC1111" s="97" t="str">
        <f>IFERROR(__xludf.DUMMYFUNCTION("""COMPUTED_VALUE"""),"-")</f>
        <v>-</v>
      </c>
      <c r="BD1111" s="97" t="str">
        <f>IFERROR(__xludf.DUMMYFUNCTION("""COMPUTED_VALUE"""),"SINTRA")</f>
        <v>SINTRA</v>
      </c>
      <c r="BE1111" s="97" t="str">
        <f>IFERROR(__xludf.DUMMYFUNCTION("""COMPUTED_VALUE"""),"Finalizada")</f>
        <v>Finalizada</v>
      </c>
      <c r="BF1111" s="97"/>
      <c r="BG1111" s="97" t="str">
        <f>IFERROR(__xludf.DUMMYFUNCTION("""COMPUTED_VALUE"""),"Activo")</f>
        <v>Activo</v>
      </c>
    </row>
    <row r="1112">
      <c r="A1112" s="97">
        <f>IFERROR(__xludf.DUMMYFUNCTION("""COMPUTED_VALUE"""),7030.0)</f>
        <v>7030</v>
      </c>
      <c r="B1112" s="97" t="str">
        <f>IFERROR(__xludf.DUMMYFUNCTION("""COMPUTED_VALUE"""),"DUNA GR 15W")</f>
        <v>DUNA GR 15W</v>
      </c>
      <c r="C1112" s="97" t="str">
        <f>IFERROR(__xludf.DUMMYFUNCTION("""COMPUTED_VALUE"""),"APLIQUE DUNA GR 15W 15W 3000/4000/5000K 1095LM CRI&gt;90 IP20 LEUK")</f>
        <v>APLIQUE DUNA GR 15W 15W 3000/4000/5000K 1095LM CRI&gt;90 IP20 LEUK</v>
      </c>
      <c r="D1112" s="97">
        <f>IFERROR(__xludf.DUMMYFUNCTION("""COMPUTED_VALUE"""),7.798413225501E12)</f>
        <v>7798413225501</v>
      </c>
      <c r="E1112" s="97" t="str">
        <f>IFERROR(__xludf.DUMMYFUNCTION("""COMPUTED_VALUE"""),"F53")</f>
        <v>F53</v>
      </c>
      <c r="F1112" s="97" t="str">
        <f>IFERROR(__xludf.DUMMYFUNCTION("""COMPUTED_VALUE"""),"LED integrado")</f>
        <v>LED integrado</v>
      </c>
      <c r="G1112" s="97" t="str">
        <f>IFERROR(__xludf.DUMMYFUNCTION("""COMPUTED_VALUE"""),"-")</f>
        <v>-</v>
      </c>
      <c r="H1112" s="97" t="str">
        <f>IFERROR(__xludf.DUMMYFUNCTION("""COMPUTED_VALUE"""),"-")</f>
        <v>-</v>
      </c>
      <c r="I1112" s="97"/>
      <c r="J1112" s="97"/>
      <c r="K1112" s="97" t="str">
        <f>IFERROR(__xludf.DUMMYFUNCTION("""COMPUTED_VALUE"""),"ON/OFF")</f>
        <v>ON/OFF</v>
      </c>
      <c r="L1112" s="97" t="str">
        <f>IFERROR(__xludf.DUMMYFUNCTION("""COMPUTED_VALUE"""),"200-240")</f>
        <v>200-240</v>
      </c>
      <c r="M1112" s="97" t="str">
        <f>IFERROR(__xludf.DUMMYFUNCTION("""COMPUTED_VALUE"""),"50/60")</f>
        <v>50/60</v>
      </c>
      <c r="N1112" s="97" t="str">
        <f>IFERROR(__xludf.DUMMYFUNCTION("""COMPUTED_VALUE"""),"Directa-Simétrica")</f>
        <v>Directa-Simétrica</v>
      </c>
      <c r="O1112" s="97">
        <f>IFERROR(__xludf.DUMMYFUNCTION("""COMPUTED_VALUE"""),15.0)</f>
        <v>15</v>
      </c>
      <c r="P1112" s="97"/>
      <c r="Q1112" s="97">
        <f>IFERROR(__xludf.DUMMYFUNCTION("""COMPUTED_VALUE"""),0.53)</f>
        <v>0.53</v>
      </c>
      <c r="R1112" s="97" t="str">
        <f>IFERROR(__xludf.DUMMYFUNCTION("""COMPUTED_VALUE"""),"-")</f>
        <v>-</v>
      </c>
      <c r="S1112" s="97" t="str">
        <f>IFERROR(__xludf.DUMMYFUNCTION("""COMPUTED_VALUE"""),"-")</f>
        <v>-</v>
      </c>
      <c r="T1112" s="97">
        <f>IFERROR(__xludf.DUMMYFUNCTION("""COMPUTED_VALUE"""),1095.0)</f>
        <v>1095</v>
      </c>
      <c r="U1112" s="101">
        <f>IFERROR(__xludf.DUMMYFUNCTION("""COMPUTED_VALUE"""),73.0)</f>
        <v>73</v>
      </c>
      <c r="V1112" s="97">
        <f>IFERROR(__xludf.DUMMYFUNCTION("""COMPUTED_VALUE"""),132.0)</f>
        <v>132</v>
      </c>
      <c r="W1112" s="97" t="str">
        <f>IFERROR(__xludf.DUMMYFUNCTION("""COMPUTED_VALUE"""),"&lt; 20")</f>
        <v>&lt; 20</v>
      </c>
      <c r="X1112" s="97" t="str">
        <f>IFERROR(__xludf.DUMMYFUNCTION("""COMPUTED_VALUE"""),"3000/4000/5000")</f>
        <v>3000/4000/5000</v>
      </c>
      <c r="Y1112" s="97" t="str">
        <f>IFERROR(__xludf.DUMMYFUNCTION("""COMPUTED_VALUE"""),"&gt;90")</f>
        <v>&gt;90</v>
      </c>
      <c r="Z1112" s="97"/>
      <c r="AA1112" s="97"/>
      <c r="AB1112" s="97" t="str">
        <f>IFERROR(__xludf.DUMMYFUNCTION("""COMPUTED_VALUE"""),"-")</f>
        <v>-</v>
      </c>
      <c r="AC1112" s="97"/>
      <c r="AD1112" s="97" t="str">
        <f>IFERROR(__xludf.DUMMYFUNCTION("""COMPUTED_VALUE"""),"IP20")</f>
        <v>IP20</v>
      </c>
      <c r="AE1112" s="97" t="str">
        <f>IFERROR(__xludf.DUMMYFUNCTION("""COMPUTED_VALUE"""),"Clase l")</f>
        <v>Clase l</v>
      </c>
      <c r="AF1112" s="97" t="str">
        <f>IFERROR(__xludf.DUMMYFUNCTION("""COMPUTED_VALUE"""),"Aplicar, Suspender")</f>
        <v>Aplicar, Suspender</v>
      </c>
      <c r="AG1112" s="97" t="str">
        <f>IFERROR(__xludf.DUMMYFUNCTION("""COMPUTED_VALUE"""),"Ø415 x 115")</f>
        <v>Ø415 x 115</v>
      </c>
      <c r="AH1112" s="97" t="str">
        <f>IFERROR(__xludf.DUMMYFUNCTION("""COMPUTED_VALUE"""),"N/A")</f>
        <v>N/A</v>
      </c>
      <c r="AI1112" s="97" t="str">
        <f>IFERROR(__xludf.DUMMYFUNCTION("""COMPUTED_VALUE"""),"N/A")</f>
        <v>N/A</v>
      </c>
      <c r="AJ1112" s="97" t="str">
        <f>IFERROR(__xludf.DUMMYFUNCTION("""COMPUTED_VALUE"""),"PVC")</f>
        <v>PVC</v>
      </c>
      <c r="AK1112" s="97" t="str">
        <f>IFERROR(__xludf.DUMMYFUNCTION("""COMPUTED_VALUE"""),"Fieltro y Aluminio")</f>
        <v>Fieltro y Aluminio</v>
      </c>
      <c r="AL1112" s="97" t="str">
        <f>IFERROR(__xludf.DUMMYFUNCTION("""COMPUTED_VALUE"""),"Gris")</f>
        <v>Gris</v>
      </c>
      <c r="AM1112" s="97" t="str">
        <f>IFERROR(__xludf.DUMMYFUNCTION("""COMPUTED_VALUE"""),"-")</f>
        <v>-</v>
      </c>
      <c r="AN1112" s="97" t="str">
        <f>IFERROR(__xludf.DUMMYFUNCTION("""COMPUTED_VALUE"""),"25.000hs (L70)")</f>
        <v>25.000hs (L70)</v>
      </c>
      <c r="AO1112" s="97" t="str">
        <f>IFERROR(__xludf.DUMMYFUNCTION("""COMPUTED_VALUE"""),"2 Años")</f>
        <v>2 Años</v>
      </c>
      <c r="AP1112" s="97" t="str">
        <f>IFERROR(__xludf.DUMMYFUNCTION("""COMPUTED_VALUE"""),"Disponible")</f>
        <v>Disponible</v>
      </c>
      <c r="AQ1112" s="97" t="str">
        <f>IFERROR(__xludf.DUMMYFUNCTION("""COMPUTED_VALUE"""),"Disponible")</f>
        <v>Disponible</v>
      </c>
      <c r="AR1112" s="97" t="str">
        <f>IFERROR(__xludf.DUMMYFUNCTION("""COMPUTED_VALUE"""),"Disponible")</f>
        <v>Disponible</v>
      </c>
      <c r="AS1112" s="97"/>
      <c r="AT1112" s="97"/>
      <c r="AU1112" s="97" t="str">
        <f>IFERROR(__xludf.DUMMYFUNCTION("""COMPUTED_VALUE"""),"Falta")</f>
        <v>Falta</v>
      </c>
      <c r="AV1112" s="97" t="str">
        <f>IFERROR(__xludf.DUMMYFUNCTION("""COMPUTED_VALUE"""),"Aplique")</f>
        <v>Aplique</v>
      </c>
      <c r="AW1112" s="97" t="str">
        <f>IFERROR(__xludf.DUMMYFUNCTION("""COMPUTED_VALUE"""),"De Techo")</f>
        <v>De Techo</v>
      </c>
      <c r="AX1112" s="97" t="str">
        <f>IFERROR(__xludf.DUMMYFUNCTION("""COMPUTED_VALUE"""),"Interior")</f>
        <v>Interior</v>
      </c>
      <c r="AY1112" s="97" t="str">
        <f>IFERROR(__xludf.DUMMYFUNCTION("""COMPUTED_VALUE"""),"Fieltro")</f>
        <v>Fieltro</v>
      </c>
      <c r="AZ1112" s="97" t="str">
        <f>IFERROR(__xludf.DUMMYFUNCTION("""COMPUTED_VALUE"""),"Switch 3CCT. Aplica KIT SUSPENSIÓN 4 TENSORES BL 6829 o NG 6830.")</f>
        <v>Switch 3CCT. Aplica KIT SUSPENSIÓN 4 TENSORES BL 6829 o NG 6830.</v>
      </c>
      <c r="BA1112" s="97">
        <f>IFERROR(__xludf.DUMMYFUNCTION("""COMPUTED_VALUE"""),1.0)</f>
        <v>1</v>
      </c>
      <c r="BB1112" s="97" t="str">
        <f>IFERROR(__xludf.DUMMYFUNCTION("""COMPUTED_VALUE"""),"-")</f>
        <v>-</v>
      </c>
      <c r="BC1112" s="97" t="str">
        <f>IFERROR(__xludf.DUMMYFUNCTION("""COMPUTED_VALUE"""),"-")</f>
        <v>-</v>
      </c>
      <c r="BD1112" s="97" t="str">
        <f>IFERROR(__xludf.DUMMYFUNCTION("""COMPUTED_VALUE"""),"DUNA")</f>
        <v>DUNA</v>
      </c>
      <c r="BE1112" s="97" t="str">
        <f>IFERROR(__xludf.DUMMYFUNCTION("""COMPUTED_VALUE"""),"Finalizada")</f>
        <v>Finalizada</v>
      </c>
      <c r="BF1112" s="97"/>
      <c r="BG1112" s="97" t="str">
        <f>IFERROR(__xludf.DUMMYFUNCTION("""COMPUTED_VALUE"""),"Activo")</f>
        <v>Activo</v>
      </c>
    </row>
    <row r="1113">
      <c r="A1113" s="97">
        <f>IFERROR(__xludf.DUMMYFUNCTION("""COMPUTED_VALUE"""),7031.0)</f>
        <v>7031</v>
      </c>
      <c r="B1113" s="97" t="str">
        <f>IFERROR(__xludf.DUMMYFUNCTION("""COMPUTED_VALUE"""),"DUNA GR 18W")</f>
        <v>DUNA GR 18W</v>
      </c>
      <c r="C1113" s="97" t="str">
        <f>IFERROR(__xludf.DUMMYFUNCTION("""COMPUTED_VALUE"""),"APLIQUE DUNA GR 18W 18W 3000/4000/5000K 1533LM CRI&gt;90 IP20 LEUK")</f>
        <v>APLIQUE DUNA GR 18W 18W 3000/4000/5000K 1533LM CRI&gt;90 IP20 LEUK</v>
      </c>
      <c r="D1113" s="97">
        <f>IFERROR(__xludf.DUMMYFUNCTION("""COMPUTED_VALUE"""),7.798413225518E12)</f>
        <v>7798413225518</v>
      </c>
      <c r="E1113" s="97" t="str">
        <f>IFERROR(__xludf.DUMMYFUNCTION("""COMPUTED_VALUE"""),"F150")</f>
        <v>F150</v>
      </c>
      <c r="F1113" s="97" t="str">
        <f>IFERROR(__xludf.DUMMYFUNCTION("""COMPUTED_VALUE"""),"LED integrado")</f>
        <v>LED integrado</v>
      </c>
      <c r="G1113" s="97" t="str">
        <f>IFERROR(__xludf.DUMMYFUNCTION("""COMPUTED_VALUE"""),"-")</f>
        <v>-</v>
      </c>
      <c r="H1113" s="97" t="str">
        <f>IFERROR(__xludf.DUMMYFUNCTION("""COMPUTED_VALUE"""),"-")</f>
        <v>-</v>
      </c>
      <c r="I1113" s="97"/>
      <c r="J1113" s="97"/>
      <c r="K1113" s="97" t="str">
        <f>IFERROR(__xludf.DUMMYFUNCTION("""COMPUTED_VALUE"""),"ON/OFF")</f>
        <v>ON/OFF</v>
      </c>
      <c r="L1113" s="97" t="str">
        <f>IFERROR(__xludf.DUMMYFUNCTION("""COMPUTED_VALUE"""),"200-240")</f>
        <v>200-240</v>
      </c>
      <c r="M1113" s="97" t="str">
        <f>IFERROR(__xludf.DUMMYFUNCTION("""COMPUTED_VALUE"""),"50/60")</f>
        <v>50/60</v>
      </c>
      <c r="N1113" s="97" t="str">
        <f>IFERROR(__xludf.DUMMYFUNCTION("""COMPUTED_VALUE"""),"Directa-Simétrica")</f>
        <v>Directa-Simétrica</v>
      </c>
      <c r="O1113" s="97">
        <f>IFERROR(__xludf.DUMMYFUNCTION("""COMPUTED_VALUE"""),18.0)</f>
        <v>18</v>
      </c>
      <c r="P1113" s="97"/>
      <c r="Q1113" s="97">
        <f>IFERROR(__xludf.DUMMYFUNCTION("""COMPUTED_VALUE"""),0.56)</f>
        <v>0.56</v>
      </c>
      <c r="R1113" s="97" t="str">
        <f>IFERROR(__xludf.DUMMYFUNCTION("""COMPUTED_VALUE"""),"-")</f>
        <v>-</v>
      </c>
      <c r="S1113" s="97" t="str">
        <f>IFERROR(__xludf.DUMMYFUNCTION("""COMPUTED_VALUE"""),"-")</f>
        <v>-</v>
      </c>
      <c r="T1113" s="97">
        <f>IFERROR(__xludf.DUMMYFUNCTION("""COMPUTED_VALUE"""),1533.0)</f>
        <v>1533</v>
      </c>
      <c r="U1113" s="101">
        <f>IFERROR(__xludf.DUMMYFUNCTION("""COMPUTED_VALUE"""),85.16666666666667)</f>
        <v>85.16666667</v>
      </c>
      <c r="V1113" s="97">
        <f>IFERROR(__xludf.DUMMYFUNCTION("""COMPUTED_VALUE"""),132.0)</f>
        <v>132</v>
      </c>
      <c r="W1113" s="97" t="str">
        <f>IFERROR(__xludf.DUMMYFUNCTION("""COMPUTED_VALUE"""),"&lt; 20")</f>
        <v>&lt; 20</v>
      </c>
      <c r="X1113" s="97" t="str">
        <f>IFERROR(__xludf.DUMMYFUNCTION("""COMPUTED_VALUE"""),"3000/4000/5000")</f>
        <v>3000/4000/5000</v>
      </c>
      <c r="Y1113" s="97" t="str">
        <f>IFERROR(__xludf.DUMMYFUNCTION("""COMPUTED_VALUE"""),"&gt;90")</f>
        <v>&gt;90</v>
      </c>
      <c r="Z1113" s="97"/>
      <c r="AA1113" s="97"/>
      <c r="AB1113" s="97" t="str">
        <f>IFERROR(__xludf.DUMMYFUNCTION("""COMPUTED_VALUE"""),"-")</f>
        <v>-</v>
      </c>
      <c r="AC1113" s="97"/>
      <c r="AD1113" s="97" t="str">
        <f>IFERROR(__xludf.DUMMYFUNCTION("""COMPUTED_VALUE"""),"IP20")</f>
        <v>IP20</v>
      </c>
      <c r="AE1113" s="97" t="str">
        <f>IFERROR(__xludf.DUMMYFUNCTION("""COMPUTED_VALUE"""),"Clase l")</f>
        <v>Clase l</v>
      </c>
      <c r="AF1113" s="97" t="str">
        <f>IFERROR(__xludf.DUMMYFUNCTION("""COMPUTED_VALUE"""),"Aplicar, Suspender")</f>
        <v>Aplicar, Suspender</v>
      </c>
      <c r="AG1113" s="97" t="str">
        <f>IFERROR(__xludf.DUMMYFUNCTION("""COMPUTED_VALUE"""),"Ø600 x 160")</f>
        <v>Ø600 x 160</v>
      </c>
      <c r="AH1113" s="97" t="str">
        <f>IFERROR(__xludf.DUMMYFUNCTION("""COMPUTED_VALUE"""),"N/A")</f>
        <v>N/A</v>
      </c>
      <c r="AI1113" s="97" t="str">
        <f>IFERROR(__xludf.DUMMYFUNCTION("""COMPUTED_VALUE"""),"N/A")</f>
        <v>N/A</v>
      </c>
      <c r="AJ1113" s="97" t="str">
        <f>IFERROR(__xludf.DUMMYFUNCTION("""COMPUTED_VALUE"""),"PVC")</f>
        <v>PVC</v>
      </c>
      <c r="AK1113" s="97" t="str">
        <f>IFERROR(__xludf.DUMMYFUNCTION("""COMPUTED_VALUE"""),"Fieltro y Aluminio")</f>
        <v>Fieltro y Aluminio</v>
      </c>
      <c r="AL1113" s="97" t="str">
        <f>IFERROR(__xludf.DUMMYFUNCTION("""COMPUTED_VALUE"""),"Gris")</f>
        <v>Gris</v>
      </c>
      <c r="AM1113" s="97" t="str">
        <f>IFERROR(__xludf.DUMMYFUNCTION("""COMPUTED_VALUE"""),"-")</f>
        <v>-</v>
      </c>
      <c r="AN1113" s="97" t="str">
        <f>IFERROR(__xludf.DUMMYFUNCTION("""COMPUTED_VALUE"""),"25.000hs (L70)")</f>
        <v>25.000hs (L70)</v>
      </c>
      <c r="AO1113" s="97" t="str">
        <f>IFERROR(__xludf.DUMMYFUNCTION("""COMPUTED_VALUE"""),"2 Años")</f>
        <v>2 Años</v>
      </c>
      <c r="AP1113" s="97" t="str">
        <f>IFERROR(__xludf.DUMMYFUNCTION("""COMPUTED_VALUE"""),"Disponible")</f>
        <v>Disponible</v>
      </c>
      <c r="AQ1113" s="97" t="str">
        <f>IFERROR(__xludf.DUMMYFUNCTION("""COMPUTED_VALUE"""),"Disponible")</f>
        <v>Disponible</v>
      </c>
      <c r="AR1113" s="97" t="str">
        <f>IFERROR(__xludf.DUMMYFUNCTION("""COMPUTED_VALUE"""),"Disponible")</f>
        <v>Disponible</v>
      </c>
      <c r="AS1113" s="97"/>
      <c r="AT1113" s="97"/>
      <c r="AU1113" s="97" t="str">
        <f>IFERROR(__xludf.DUMMYFUNCTION("""COMPUTED_VALUE"""),"Falta")</f>
        <v>Falta</v>
      </c>
      <c r="AV1113" s="97" t="str">
        <f>IFERROR(__xludf.DUMMYFUNCTION("""COMPUTED_VALUE"""),"Aplique")</f>
        <v>Aplique</v>
      </c>
      <c r="AW1113" s="97" t="str">
        <f>IFERROR(__xludf.DUMMYFUNCTION("""COMPUTED_VALUE"""),"De Techo")</f>
        <v>De Techo</v>
      </c>
      <c r="AX1113" s="97" t="str">
        <f>IFERROR(__xludf.DUMMYFUNCTION("""COMPUTED_VALUE"""),"Interior")</f>
        <v>Interior</v>
      </c>
      <c r="AY1113" s="97" t="str">
        <f>IFERROR(__xludf.DUMMYFUNCTION("""COMPUTED_VALUE"""),"Fieltro")</f>
        <v>Fieltro</v>
      </c>
      <c r="AZ1113" s="97" t="str">
        <f>IFERROR(__xludf.DUMMYFUNCTION("""COMPUTED_VALUE"""),"Switch 3CCT. Aplica KIT SUSPENSIÓN 4 TENSORES BL 6829 o NG 6830.")</f>
        <v>Switch 3CCT. Aplica KIT SUSPENSIÓN 4 TENSORES BL 6829 o NG 6830.</v>
      </c>
      <c r="BA1113" s="97">
        <f>IFERROR(__xludf.DUMMYFUNCTION("""COMPUTED_VALUE"""),1.0)</f>
        <v>1</v>
      </c>
      <c r="BB1113" s="97" t="str">
        <f>IFERROR(__xludf.DUMMYFUNCTION("""COMPUTED_VALUE"""),"-")</f>
        <v>-</v>
      </c>
      <c r="BC1113" s="97" t="str">
        <f>IFERROR(__xludf.DUMMYFUNCTION("""COMPUTED_VALUE"""),"-")</f>
        <v>-</v>
      </c>
      <c r="BD1113" s="97" t="str">
        <f>IFERROR(__xludf.DUMMYFUNCTION("""COMPUTED_VALUE"""),"DUNA")</f>
        <v>DUNA</v>
      </c>
      <c r="BE1113" s="97" t="str">
        <f>IFERROR(__xludf.DUMMYFUNCTION("""COMPUTED_VALUE"""),"Finalizada")</f>
        <v>Finalizada</v>
      </c>
      <c r="BF1113" s="97"/>
      <c r="BG1113" s="97" t="str">
        <f>IFERROR(__xludf.DUMMYFUNCTION("""COMPUTED_VALUE"""),"Activo")</f>
        <v>Activo</v>
      </c>
    </row>
    <row r="1114">
      <c r="A1114" s="97">
        <f>IFERROR(__xludf.DUMMYFUNCTION("""COMPUTED_VALUE"""),7032.0)</f>
        <v>7032</v>
      </c>
      <c r="B1114" s="97" t="str">
        <f>IFERROR(__xludf.DUMMYFUNCTION("""COMPUTED_VALUE"""),"BARON GR 15W")</f>
        <v>BARON GR 15W</v>
      </c>
      <c r="C1114" s="97" t="str">
        <f>IFERROR(__xludf.DUMMYFUNCTION("""COMPUTED_VALUE"""),"APLIQUE BARON GR 15W 15W 3000/4000/5000K 1086LM CRI&gt;90 IP20 LEUK")</f>
        <v>APLIQUE BARON GR 15W 15W 3000/4000/5000K 1086LM CRI&gt;90 IP20 LEUK</v>
      </c>
      <c r="D1114" s="97">
        <f>IFERROR(__xludf.DUMMYFUNCTION("""COMPUTED_VALUE"""),7.798413225525E12)</f>
        <v>7798413225525</v>
      </c>
      <c r="E1114" s="97" t="str">
        <f>IFERROR(__xludf.DUMMYFUNCTION("""COMPUTED_VALUE"""),"F54")</f>
        <v>F54</v>
      </c>
      <c r="F1114" s="97" t="str">
        <f>IFERROR(__xludf.DUMMYFUNCTION("""COMPUTED_VALUE"""),"LED integrado")</f>
        <v>LED integrado</v>
      </c>
      <c r="G1114" s="97" t="str">
        <f>IFERROR(__xludf.DUMMYFUNCTION("""COMPUTED_VALUE"""),"-")</f>
        <v>-</v>
      </c>
      <c r="H1114" s="97" t="str">
        <f>IFERROR(__xludf.DUMMYFUNCTION("""COMPUTED_VALUE"""),"-")</f>
        <v>-</v>
      </c>
      <c r="I1114" s="97"/>
      <c r="J1114" s="97"/>
      <c r="K1114" s="97" t="str">
        <f>IFERROR(__xludf.DUMMYFUNCTION("""COMPUTED_VALUE"""),"ON/OFF")</f>
        <v>ON/OFF</v>
      </c>
      <c r="L1114" s="97" t="str">
        <f>IFERROR(__xludf.DUMMYFUNCTION("""COMPUTED_VALUE"""),"200-240")</f>
        <v>200-240</v>
      </c>
      <c r="M1114" s="97" t="str">
        <f>IFERROR(__xludf.DUMMYFUNCTION("""COMPUTED_VALUE"""),"50/60")</f>
        <v>50/60</v>
      </c>
      <c r="N1114" s="97" t="str">
        <f>IFERROR(__xludf.DUMMYFUNCTION("""COMPUTED_VALUE"""),"Directa-Simétrica")</f>
        <v>Directa-Simétrica</v>
      </c>
      <c r="O1114" s="97">
        <f>IFERROR(__xludf.DUMMYFUNCTION("""COMPUTED_VALUE"""),15.0)</f>
        <v>15</v>
      </c>
      <c r="P1114" s="97"/>
      <c r="Q1114" s="97">
        <f>IFERROR(__xludf.DUMMYFUNCTION("""COMPUTED_VALUE"""),0.53)</f>
        <v>0.53</v>
      </c>
      <c r="R1114" s="97" t="str">
        <f>IFERROR(__xludf.DUMMYFUNCTION("""COMPUTED_VALUE"""),"-")</f>
        <v>-</v>
      </c>
      <c r="S1114" s="97" t="str">
        <f>IFERROR(__xludf.DUMMYFUNCTION("""COMPUTED_VALUE"""),"-")</f>
        <v>-</v>
      </c>
      <c r="T1114" s="97">
        <f>IFERROR(__xludf.DUMMYFUNCTION("""COMPUTED_VALUE"""),1086.0)</f>
        <v>1086</v>
      </c>
      <c r="U1114" s="101">
        <f>IFERROR(__xludf.DUMMYFUNCTION("""COMPUTED_VALUE"""),72.4)</f>
        <v>72.4</v>
      </c>
      <c r="V1114" s="97">
        <f>IFERROR(__xludf.DUMMYFUNCTION("""COMPUTED_VALUE"""),132.0)</f>
        <v>132</v>
      </c>
      <c r="W1114" s="97" t="str">
        <f>IFERROR(__xludf.DUMMYFUNCTION("""COMPUTED_VALUE"""),"&lt; 20")</f>
        <v>&lt; 20</v>
      </c>
      <c r="X1114" s="97" t="str">
        <f>IFERROR(__xludf.DUMMYFUNCTION("""COMPUTED_VALUE"""),"3000/4000/5000")</f>
        <v>3000/4000/5000</v>
      </c>
      <c r="Y1114" s="97" t="str">
        <f>IFERROR(__xludf.DUMMYFUNCTION("""COMPUTED_VALUE"""),"&gt;90")</f>
        <v>&gt;90</v>
      </c>
      <c r="Z1114" s="97"/>
      <c r="AA1114" s="97"/>
      <c r="AB1114" s="97" t="str">
        <f>IFERROR(__xludf.DUMMYFUNCTION("""COMPUTED_VALUE"""),"-")</f>
        <v>-</v>
      </c>
      <c r="AC1114" s="97"/>
      <c r="AD1114" s="97" t="str">
        <f>IFERROR(__xludf.DUMMYFUNCTION("""COMPUTED_VALUE"""),"IP20")</f>
        <v>IP20</v>
      </c>
      <c r="AE1114" s="97" t="str">
        <f>IFERROR(__xludf.DUMMYFUNCTION("""COMPUTED_VALUE"""),"Clase l")</f>
        <v>Clase l</v>
      </c>
      <c r="AF1114" s="97" t="str">
        <f>IFERROR(__xludf.DUMMYFUNCTION("""COMPUTED_VALUE"""),"Aplicar, Suspender")</f>
        <v>Aplicar, Suspender</v>
      </c>
      <c r="AG1114" s="97" t="str">
        <f>IFERROR(__xludf.DUMMYFUNCTION("""COMPUTED_VALUE"""),"Ø355 x 110")</f>
        <v>Ø355 x 110</v>
      </c>
      <c r="AH1114" s="97" t="str">
        <f>IFERROR(__xludf.DUMMYFUNCTION("""COMPUTED_VALUE"""),"N/A")</f>
        <v>N/A</v>
      </c>
      <c r="AI1114" s="97" t="str">
        <f>IFERROR(__xludf.DUMMYFUNCTION("""COMPUTED_VALUE"""),"N/A")</f>
        <v>N/A</v>
      </c>
      <c r="AJ1114" s="97" t="str">
        <f>IFERROR(__xludf.DUMMYFUNCTION("""COMPUTED_VALUE"""),"PVC")</f>
        <v>PVC</v>
      </c>
      <c r="AK1114" s="97" t="str">
        <f>IFERROR(__xludf.DUMMYFUNCTION("""COMPUTED_VALUE"""),"Fieltro y Aluminio")</f>
        <v>Fieltro y Aluminio</v>
      </c>
      <c r="AL1114" s="97" t="str">
        <f>IFERROR(__xludf.DUMMYFUNCTION("""COMPUTED_VALUE"""),"Gris")</f>
        <v>Gris</v>
      </c>
      <c r="AM1114" s="97" t="str">
        <f>IFERROR(__xludf.DUMMYFUNCTION("""COMPUTED_VALUE"""),"-")</f>
        <v>-</v>
      </c>
      <c r="AN1114" s="97" t="str">
        <f>IFERROR(__xludf.DUMMYFUNCTION("""COMPUTED_VALUE"""),"25.000hs (L70)")</f>
        <v>25.000hs (L70)</v>
      </c>
      <c r="AO1114" s="97" t="str">
        <f>IFERROR(__xludf.DUMMYFUNCTION("""COMPUTED_VALUE"""),"2 Años")</f>
        <v>2 Años</v>
      </c>
      <c r="AP1114" s="97" t="str">
        <f>IFERROR(__xludf.DUMMYFUNCTION("""COMPUTED_VALUE"""),"Disponible")</f>
        <v>Disponible</v>
      </c>
      <c r="AQ1114" s="97" t="str">
        <f>IFERROR(__xludf.DUMMYFUNCTION("""COMPUTED_VALUE"""),"Disponible")</f>
        <v>Disponible</v>
      </c>
      <c r="AR1114" s="97" t="str">
        <f>IFERROR(__xludf.DUMMYFUNCTION("""COMPUTED_VALUE"""),"Disponible")</f>
        <v>Disponible</v>
      </c>
      <c r="AS1114" s="97"/>
      <c r="AT1114" s="97"/>
      <c r="AU1114" s="97" t="str">
        <f>IFERROR(__xludf.DUMMYFUNCTION("""COMPUTED_VALUE"""),"Falta")</f>
        <v>Falta</v>
      </c>
      <c r="AV1114" s="97" t="str">
        <f>IFERROR(__xludf.DUMMYFUNCTION("""COMPUTED_VALUE"""),"Aplique")</f>
        <v>Aplique</v>
      </c>
      <c r="AW1114" s="97" t="str">
        <f>IFERROR(__xludf.DUMMYFUNCTION("""COMPUTED_VALUE"""),"De Techo")</f>
        <v>De Techo</v>
      </c>
      <c r="AX1114" s="97" t="str">
        <f>IFERROR(__xludf.DUMMYFUNCTION("""COMPUTED_VALUE"""),"Interior")</f>
        <v>Interior</v>
      </c>
      <c r="AY1114" s="97" t="str">
        <f>IFERROR(__xludf.DUMMYFUNCTION("""COMPUTED_VALUE"""),"Fieltro")</f>
        <v>Fieltro</v>
      </c>
      <c r="AZ1114" s="97" t="str">
        <f>IFERROR(__xludf.DUMMYFUNCTION("""COMPUTED_VALUE"""),"Switch 3CCT. Aplica KIT SUSPENSIÓN 4 TENSORES BL 6829 o NG 6830.")</f>
        <v>Switch 3CCT. Aplica KIT SUSPENSIÓN 4 TENSORES BL 6829 o NG 6830.</v>
      </c>
      <c r="BA1114" s="97">
        <f>IFERROR(__xludf.DUMMYFUNCTION("""COMPUTED_VALUE"""),1.0)</f>
        <v>1</v>
      </c>
      <c r="BB1114" s="97" t="str">
        <f>IFERROR(__xludf.DUMMYFUNCTION("""COMPUTED_VALUE"""),"-")</f>
        <v>-</v>
      </c>
      <c r="BC1114" s="97" t="str">
        <f>IFERROR(__xludf.DUMMYFUNCTION("""COMPUTED_VALUE"""),"-")</f>
        <v>-</v>
      </c>
      <c r="BD1114" s="97" t="str">
        <f>IFERROR(__xludf.DUMMYFUNCTION("""COMPUTED_VALUE"""),"BARON")</f>
        <v>BARON</v>
      </c>
      <c r="BE1114" s="97" t="str">
        <f>IFERROR(__xludf.DUMMYFUNCTION("""COMPUTED_VALUE"""),"Finalizada")</f>
        <v>Finalizada</v>
      </c>
      <c r="BF1114" s="97"/>
      <c r="BG1114" s="97" t="str">
        <f>IFERROR(__xludf.DUMMYFUNCTION("""COMPUTED_VALUE"""),"Activo")</f>
        <v>Activo</v>
      </c>
    </row>
    <row r="1115">
      <c r="A1115" s="97">
        <f>IFERROR(__xludf.DUMMYFUNCTION("""COMPUTED_VALUE"""),7033.0)</f>
        <v>7033</v>
      </c>
      <c r="B1115" s="97" t="str">
        <f>IFERROR(__xludf.DUMMYFUNCTION("""COMPUTED_VALUE"""),"BARON GR 28W")</f>
        <v>BARON GR 28W</v>
      </c>
      <c r="C1115" s="97" t="str">
        <f>IFERROR(__xludf.DUMMYFUNCTION("""COMPUTED_VALUE"""),"APLIQUE BARON GR 28W 28W 3000/4000/5000K 1868LM CRI&gt;90 IP20 LEUK")</f>
        <v>APLIQUE BARON GR 28W 28W 3000/4000/5000K 1868LM CRI&gt;90 IP20 LEUK</v>
      </c>
      <c r="D1115" s="97">
        <f>IFERROR(__xludf.DUMMYFUNCTION("""COMPUTED_VALUE"""),7.798413225532E12)</f>
        <v>7798413225532</v>
      </c>
      <c r="E1115" s="97" t="str">
        <f>IFERROR(__xludf.DUMMYFUNCTION("""COMPUTED_VALUE"""),"F129")</f>
        <v>F129</v>
      </c>
      <c r="F1115" s="97" t="str">
        <f>IFERROR(__xludf.DUMMYFUNCTION("""COMPUTED_VALUE"""),"LED integrado")</f>
        <v>LED integrado</v>
      </c>
      <c r="G1115" s="97" t="str">
        <f>IFERROR(__xludf.DUMMYFUNCTION("""COMPUTED_VALUE"""),"-")</f>
        <v>-</v>
      </c>
      <c r="H1115" s="97" t="str">
        <f>IFERROR(__xludf.DUMMYFUNCTION("""COMPUTED_VALUE"""),"-")</f>
        <v>-</v>
      </c>
      <c r="I1115" s="97"/>
      <c r="J1115" s="97"/>
      <c r="K1115" s="97" t="str">
        <f>IFERROR(__xludf.DUMMYFUNCTION("""COMPUTED_VALUE"""),"ON/OFF")</f>
        <v>ON/OFF</v>
      </c>
      <c r="L1115" s="97" t="str">
        <f>IFERROR(__xludf.DUMMYFUNCTION("""COMPUTED_VALUE"""),"200-240")</f>
        <v>200-240</v>
      </c>
      <c r="M1115" s="97" t="str">
        <f>IFERROR(__xludf.DUMMYFUNCTION("""COMPUTED_VALUE"""),"50/60")</f>
        <v>50/60</v>
      </c>
      <c r="N1115" s="97" t="str">
        <f>IFERROR(__xludf.DUMMYFUNCTION("""COMPUTED_VALUE"""),"Directa-Simétrica")</f>
        <v>Directa-Simétrica</v>
      </c>
      <c r="O1115" s="97">
        <f>IFERROR(__xludf.DUMMYFUNCTION("""COMPUTED_VALUE"""),28.0)</f>
        <v>28</v>
      </c>
      <c r="P1115" s="97"/>
      <c r="Q1115" s="97">
        <f>IFERROR(__xludf.DUMMYFUNCTION("""COMPUTED_VALUE"""),0.57)</f>
        <v>0.57</v>
      </c>
      <c r="R1115" s="97" t="str">
        <f>IFERROR(__xludf.DUMMYFUNCTION("""COMPUTED_VALUE"""),"-")</f>
        <v>-</v>
      </c>
      <c r="S1115" s="97" t="str">
        <f>IFERROR(__xludf.DUMMYFUNCTION("""COMPUTED_VALUE"""),"-")</f>
        <v>-</v>
      </c>
      <c r="T1115" s="97">
        <f>IFERROR(__xludf.DUMMYFUNCTION("""COMPUTED_VALUE"""),1868.0)</f>
        <v>1868</v>
      </c>
      <c r="U1115" s="101">
        <f>IFERROR(__xludf.DUMMYFUNCTION("""COMPUTED_VALUE"""),66.71428571428571)</f>
        <v>66.71428571</v>
      </c>
      <c r="V1115" s="97">
        <f>IFERROR(__xludf.DUMMYFUNCTION("""COMPUTED_VALUE"""),132.0)</f>
        <v>132</v>
      </c>
      <c r="W1115" s="97" t="str">
        <f>IFERROR(__xludf.DUMMYFUNCTION("""COMPUTED_VALUE"""),"&lt; 20")</f>
        <v>&lt; 20</v>
      </c>
      <c r="X1115" s="97" t="str">
        <f>IFERROR(__xludf.DUMMYFUNCTION("""COMPUTED_VALUE"""),"3000/4000/5000")</f>
        <v>3000/4000/5000</v>
      </c>
      <c r="Y1115" s="97" t="str">
        <f>IFERROR(__xludf.DUMMYFUNCTION("""COMPUTED_VALUE"""),"&gt;90")</f>
        <v>&gt;90</v>
      </c>
      <c r="Z1115" s="97"/>
      <c r="AA1115" s="97"/>
      <c r="AB1115" s="97" t="str">
        <f>IFERROR(__xludf.DUMMYFUNCTION("""COMPUTED_VALUE"""),"-")</f>
        <v>-</v>
      </c>
      <c r="AC1115" s="97"/>
      <c r="AD1115" s="97" t="str">
        <f>IFERROR(__xludf.DUMMYFUNCTION("""COMPUTED_VALUE"""),"IP20")</f>
        <v>IP20</v>
      </c>
      <c r="AE1115" s="97" t="str">
        <f>IFERROR(__xludf.DUMMYFUNCTION("""COMPUTED_VALUE"""),"Clase l")</f>
        <v>Clase l</v>
      </c>
      <c r="AF1115" s="97" t="str">
        <f>IFERROR(__xludf.DUMMYFUNCTION("""COMPUTED_VALUE"""),"Aplicar, Suspender")</f>
        <v>Aplicar, Suspender</v>
      </c>
      <c r="AG1115" s="97" t="str">
        <f>IFERROR(__xludf.DUMMYFUNCTION("""COMPUTED_VALUE"""),"Ø560 x 150")</f>
        <v>Ø560 x 150</v>
      </c>
      <c r="AH1115" s="97" t="str">
        <f>IFERROR(__xludf.DUMMYFUNCTION("""COMPUTED_VALUE"""),"N/A")</f>
        <v>N/A</v>
      </c>
      <c r="AI1115" s="97" t="str">
        <f>IFERROR(__xludf.DUMMYFUNCTION("""COMPUTED_VALUE"""),"N/A")</f>
        <v>N/A</v>
      </c>
      <c r="AJ1115" s="97" t="str">
        <f>IFERROR(__xludf.DUMMYFUNCTION("""COMPUTED_VALUE"""),"PVC")</f>
        <v>PVC</v>
      </c>
      <c r="AK1115" s="97" t="str">
        <f>IFERROR(__xludf.DUMMYFUNCTION("""COMPUTED_VALUE"""),"Fieltro y Aluminio")</f>
        <v>Fieltro y Aluminio</v>
      </c>
      <c r="AL1115" s="97" t="str">
        <f>IFERROR(__xludf.DUMMYFUNCTION("""COMPUTED_VALUE"""),"Gris")</f>
        <v>Gris</v>
      </c>
      <c r="AM1115" s="97" t="str">
        <f>IFERROR(__xludf.DUMMYFUNCTION("""COMPUTED_VALUE"""),"-")</f>
        <v>-</v>
      </c>
      <c r="AN1115" s="97" t="str">
        <f>IFERROR(__xludf.DUMMYFUNCTION("""COMPUTED_VALUE"""),"25.000hs (L70)")</f>
        <v>25.000hs (L70)</v>
      </c>
      <c r="AO1115" s="97" t="str">
        <f>IFERROR(__xludf.DUMMYFUNCTION("""COMPUTED_VALUE"""),"2 Años")</f>
        <v>2 Años</v>
      </c>
      <c r="AP1115" s="97" t="str">
        <f>IFERROR(__xludf.DUMMYFUNCTION("""COMPUTED_VALUE"""),"Disponible")</f>
        <v>Disponible</v>
      </c>
      <c r="AQ1115" s="97" t="str">
        <f>IFERROR(__xludf.DUMMYFUNCTION("""COMPUTED_VALUE"""),"Disponible")</f>
        <v>Disponible</v>
      </c>
      <c r="AR1115" s="97" t="str">
        <f>IFERROR(__xludf.DUMMYFUNCTION("""COMPUTED_VALUE"""),"Disponible")</f>
        <v>Disponible</v>
      </c>
      <c r="AS1115" s="97"/>
      <c r="AT1115" s="97"/>
      <c r="AU1115" s="97" t="str">
        <f>IFERROR(__xludf.DUMMYFUNCTION("""COMPUTED_VALUE"""),"Falta")</f>
        <v>Falta</v>
      </c>
      <c r="AV1115" s="97" t="str">
        <f>IFERROR(__xludf.DUMMYFUNCTION("""COMPUTED_VALUE"""),"Aplique")</f>
        <v>Aplique</v>
      </c>
      <c r="AW1115" s="97" t="str">
        <f>IFERROR(__xludf.DUMMYFUNCTION("""COMPUTED_VALUE"""),"De Techo")</f>
        <v>De Techo</v>
      </c>
      <c r="AX1115" s="97" t="str">
        <f>IFERROR(__xludf.DUMMYFUNCTION("""COMPUTED_VALUE"""),"Interior")</f>
        <v>Interior</v>
      </c>
      <c r="AY1115" s="97" t="str">
        <f>IFERROR(__xludf.DUMMYFUNCTION("""COMPUTED_VALUE"""),"Fieltro")</f>
        <v>Fieltro</v>
      </c>
      <c r="AZ1115" s="97" t="str">
        <f>IFERROR(__xludf.DUMMYFUNCTION("""COMPUTED_VALUE"""),"Switch 3CCT. Aplica KIT SUSPENSIÓN 4 TENSORES BL 6829 o NG 6830.")</f>
        <v>Switch 3CCT. Aplica KIT SUSPENSIÓN 4 TENSORES BL 6829 o NG 6830.</v>
      </c>
      <c r="BA1115" s="97">
        <f>IFERROR(__xludf.DUMMYFUNCTION("""COMPUTED_VALUE"""),1.0)</f>
        <v>1</v>
      </c>
      <c r="BB1115" s="97" t="str">
        <f>IFERROR(__xludf.DUMMYFUNCTION("""COMPUTED_VALUE"""),"-")</f>
        <v>-</v>
      </c>
      <c r="BC1115" s="97" t="str">
        <f>IFERROR(__xludf.DUMMYFUNCTION("""COMPUTED_VALUE"""),"-")</f>
        <v>-</v>
      </c>
      <c r="BD1115" s="97" t="str">
        <f>IFERROR(__xludf.DUMMYFUNCTION("""COMPUTED_VALUE"""),"BARON")</f>
        <v>BARON</v>
      </c>
      <c r="BE1115" s="97" t="str">
        <f>IFERROR(__xludf.DUMMYFUNCTION("""COMPUTED_VALUE"""),"Finalizada")</f>
        <v>Finalizada</v>
      </c>
      <c r="BF1115" s="97"/>
      <c r="BG1115" s="97" t="str">
        <f>IFERROR(__xludf.DUMMYFUNCTION("""COMPUTED_VALUE"""),"Activo")</f>
        <v>Activo</v>
      </c>
    </row>
    <row r="1116">
      <c r="A1116" s="97">
        <f>IFERROR(__xludf.DUMMYFUNCTION("""COMPUTED_VALUE"""),7034.0)</f>
        <v>7034</v>
      </c>
      <c r="B1116" s="97" t="str">
        <f>IFERROR(__xludf.DUMMYFUNCTION("""COMPUTED_VALUE"""),"XAPO BL")</f>
        <v>XAPO BL</v>
      </c>
      <c r="C1116" s="97" t="str">
        <f>IFERROR(__xludf.DUMMYFUNCTION("""COMPUTED_VALUE"""),"APLIQUE XAPO BL 28W 2700/3500/5000K 1457LM CRI&gt;90 IP20 LEUK")</f>
        <v>APLIQUE XAPO BL 28W 2700/3500/5000K 1457LM CRI&gt;90 IP20 LEUK</v>
      </c>
      <c r="D1116" s="97">
        <f>IFERROR(__xludf.DUMMYFUNCTION("""COMPUTED_VALUE"""),7.798413225549E12)</f>
        <v>7798413225549</v>
      </c>
      <c r="E1116" s="97" t="str">
        <f>IFERROR(__xludf.DUMMYFUNCTION("""COMPUTED_VALUE"""),"F132")</f>
        <v>F132</v>
      </c>
      <c r="F1116" s="97" t="str">
        <f>IFERROR(__xludf.DUMMYFUNCTION("""COMPUTED_VALUE"""),"LED integrado")</f>
        <v>LED integrado</v>
      </c>
      <c r="G1116" s="97" t="str">
        <f>IFERROR(__xludf.DUMMYFUNCTION("""COMPUTED_VALUE"""),"-")</f>
        <v>-</v>
      </c>
      <c r="H1116" s="97" t="str">
        <f>IFERROR(__xludf.DUMMYFUNCTION("""COMPUTED_VALUE"""),"-")</f>
        <v>-</v>
      </c>
      <c r="I1116" s="97"/>
      <c r="J1116" s="97"/>
      <c r="K1116" s="97" t="str">
        <f>IFERROR(__xludf.DUMMYFUNCTION("""COMPUTED_VALUE"""),"ON/OFF")</f>
        <v>ON/OFF</v>
      </c>
      <c r="L1116" s="97" t="str">
        <f>IFERROR(__xludf.DUMMYFUNCTION("""COMPUTED_VALUE"""),"200-240")</f>
        <v>200-240</v>
      </c>
      <c r="M1116" s="97" t="str">
        <f>IFERROR(__xludf.DUMMYFUNCTION("""COMPUTED_VALUE"""),"50/60")</f>
        <v>50/60</v>
      </c>
      <c r="N1116" s="97" t="str">
        <f>IFERROR(__xludf.DUMMYFUNCTION("""COMPUTED_VALUE"""),"Directa-Simétrica")</f>
        <v>Directa-Simétrica</v>
      </c>
      <c r="O1116" s="97">
        <f>IFERROR(__xludf.DUMMYFUNCTION("""COMPUTED_VALUE"""),28.0)</f>
        <v>28</v>
      </c>
      <c r="P1116" s="97"/>
      <c r="Q1116" s="97">
        <f>IFERROR(__xludf.DUMMYFUNCTION("""COMPUTED_VALUE"""),0.57)</f>
        <v>0.57</v>
      </c>
      <c r="R1116" s="97" t="str">
        <f>IFERROR(__xludf.DUMMYFUNCTION("""COMPUTED_VALUE"""),"-")</f>
        <v>-</v>
      </c>
      <c r="S1116" s="97" t="str">
        <f>IFERROR(__xludf.DUMMYFUNCTION("""COMPUTED_VALUE"""),"-")</f>
        <v>-</v>
      </c>
      <c r="T1116" s="97">
        <f>IFERROR(__xludf.DUMMYFUNCTION("""COMPUTED_VALUE"""),1457.0)</f>
        <v>1457</v>
      </c>
      <c r="U1116" s="101">
        <f>IFERROR(__xludf.DUMMYFUNCTION("""COMPUTED_VALUE"""),52.035714285714285)</f>
        <v>52.03571429</v>
      </c>
      <c r="V1116" s="97">
        <f>IFERROR(__xludf.DUMMYFUNCTION("""COMPUTED_VALUE"""),112.0)</f>
        <v>112</v>
      </c>
      <c r="W1116" s="97" t="str">
        <f>IFERROR(__xludf.DUMMYFUNCTION("""COMPUTED_VALUE"""),"&lt; 20")</f>
        <v>&lt; 20</v>
      </c>
      <c r="X1116" s="97" t="str">
        <f>IFERROR(__xludf.DUMMYFUNCTION("""COMPUTED_VALUE"""),"2700/3500/5000")</f>
        <v>2700/3500/5000</v>
      </c>
      <c r="Y1116" s="97" t="str">
        <f>IFERROR(__xludf.DUMMYFUNCTION("""COMPUTED_VALUE"""),"&gt;90")</f>
        <v>&gt;90</v>
      </c>
      <c r="Z1116" s="97"/>
      <c r="AA1116" s="97"/>
      <c r="AB1116" s="97" t="str">
        <f>IFERROR(__xludf.DUMMYFUNCTION("""COMPUTED_VALUE"""),"-")</f>
        <v>-</v>
      </c>
      <c r="AC1116" s="97"/>
      <c r="AD1116" s="97" t="str">
        <f>IFERROR(__xludf.DUMMYFUNCTION("""COMPUTED_VALUE"""),"IP20")</f>
        <v>IP20</v>
      </c>
      <c r="AE1116" s="97" t="str">
        <f>IFERROR(__xludf.DUMMYFUNCTION("""COMPUTED_VALUE"""),"Clase l")</f>
        <v>Clase l</v>
      </c>
      <c r="AF1116" s="97" t="str">
        <f>IFERROR(__xludf.DUMMYFUNCTION("""COMPUTED_VALUE"""),"Aplicar, Suspender")</f>
        <v>Aplicar, Suspender</v>
      </c>
      <c r="AG1116" s="97" t="str">
        <f>IFERROR(__xludf.DUMMYFUNCTION("""COMPUTED_VALUE"""),"Ø400 x 115")</f>
        <v>Ø400 x 115</v>
      </c>
      <c r="AH1116" s="97" t="str">
        <f>IFERROR(__xludf.DUMMYFUNCTION("""COMPUTED_VALUE"""),"N/A")</f>
        <v>N/A</v>
      </c>
      <c r="AI1116" s="97" t="str">
        <f>IFERROR(__xludf.DUMMYFUNCTION("""COMPUTED_VALUE"""),"N/A")</f>
        <v>N/A</v>
      </c>
      <c r="AJ1116" s="97" t="str">
        <f>IFERROR(__xludf.DUMMYFUNCTION("""COMPUTED_VALUE"""),"PVC")</f>
        <v>PVC</v>
      </c>
      <c r="AK1116" s="97" t="str">
        <f>IFERROR(__xludf.DUMMYFUNCTION("""COMPUTED_VALUE"""),"Acero")</f>
        <v>Acero</v>
      </c>
      <c r="AL1116" s="97" t="str">
        <f>IFERROR(__xludf.DUMMYFUNCTION("""COMPUTED_VALUE"""),"Blanco Satinado")</f>
        <v>Blanco Satinado</v>
      </c>
      <c r="AM1116" s="97" t="str">
        <f>IFERROR(__xludf.DUMMYFUNCTION("""COMPUTED_VALUE"""),"-")</f>
        <v>-</v>
      </c>
      <c r="AN1116" s="97" t="str">
        <f>IFERROR(__xludf.DUMMYFUNCTION("""COMPUTED_VALUE"""),"25.000hs (L70)")</f>
        <v>25.000hs (L70)</v>
      </c>
      <c r="AO1116" s="97" t="str">
        <f>IFERROR(__xludf.DUMMYFUNCTION("""COMPUTED_VALUE"""),"2 Años")</f>
        <v>2 Años</v>
      </c>
      <c r="AP1116" s="97" t="str">
        <f>IFERROR(__xludf.DUMMYFUNCTION("""COMPUTED_VALUE"""),"Disponible")</f>
        <v>Disponible</v>
      </c>
      <c r="AQ1116" s="97" t="str">
        <f>IFERROR(__xludf.DUMMYFUNCTION("""COMPUTED_VALUE"""),"Disponible")</f>
        <v>Disponible</v>
      </c>
      <c r="AR1116" s="97" t="str">
        <f>IFERROR(__xludf.DUMMYFUNCTION("""COMPUTED_VALUE"""),"Disponible")</f>
        <v>Disponible</v>
      </c>
      <c r="AS1116" s="97"/>
      <c r="AT1116" s="97"/>
      <c r="AU1116" s="97" t="str">
        <f>IFERROR(__xludf.DUMMYFUNCTION("""COMPUTED_VALUE"""),"Falta")</f>
        <v>Falta</v>
      </c>
      <c r="AV1116" s="97" t="str">
        <f>IFERROR(__xludf.DUMMYFUNCTION("""COMPUTED_VALUE"""),"Aplique")</f>
        <v>Aplique</v>
      </c>
      <c r="AW1116" s="97" t="str">
        <f>IFERROR(__xludf.DUMMYFUNCTION("""COMPUTED_VALUE"""),"De Techo")</f>
        <v>De Techo</v>
      </c>
      <c r="AX1116" s="97" t="str">
        <f>IFERROR(__xludf.DUMMYFUNCTION("""COMPUTED_VALUE"""),"Interior")</f>
        <v>Interior</v>
      </c>
      <c r="AY1116" s="97" t="str">
        <f>IFERROR(__xludf.DUMMYFUNCTION("""COMPUTED_VALUE"""),"-")</f>
        <v>-</v>
      </c>
      <c r="AZ1116" s="97" t="str">
        <f>IFERROR(__xludf.DUMMYFUNCTION("""COMPUTED_VALUE"""),"Switch 3CCT. Aplica KIT SUSPENSIÓN 4 TENSORES BL 6829 o NG 6830.")</f>
        <v>Switch 3CCT. Aplica KIT SUSPENSIÓN 4 TENSORES BL 6829 o NG 6830.</v>
      </c>
      <c r="BA1116" s="97">
        <f>IFERROR(__xludf.DUMMYFUNCTION("""COMPUTED_VALUE"""),1.0)</f>
        <v>1</v>
      </c>
      <c r="BB1116" s="97" t="str">
        <f>IFERROR(__xludf.DUMMYFUNCTION("""COMPUTED_VALUE"""),"-")</f>
        <v>-</v>
      </c>
      <c r="BC1116" s="97" t="str">
        <f>IFERROR(__xludf.DUMMYFUNCTION("""COMPUTED_VALUE"""),"-")</f>
        <v>-</v>
      </c>
      <c r="BD1116" s="97" t="str">
        <f>IFERROR(__xludf.DUMMYFUNCTION("""COMPUTED_VALUE"""),"XAPO")</f>
        <v>XAPO</v>
      </c>
      <c r="BE1116" s="97" t="str">
        <f>IFERROR(__xludf.DUMMYFUNCTION("""COMPUTED_VALUE"""),"Finalizada")</f>
        <v>Finalizada</v>
      </c>
      <c r="BF1116" s="97"/>
      <c r="BG1116" s="97" t="str">
        <f>IFERROR(__xludf.DUMMYFUNCTION("""COMPUTED_VALUE"""),"Activo")</f>
        <v>Activo</v>
      </c>
    </row>
    <row r="1117">
      <c r="A1117" s="97">
        <f>IFERROR(__xludf.DUMMYFUNCTION("""COMPUTED_VALUE"""),7035.0)</f>
        <v>7035</v>
      </c>
      <c r="B1117" s="97" t="str">
        <f>IFERROR(__xludf.DUMMYFUNCTION("""COMPUTED_VALUE"""),"XAPO NG")</f>
        <v>XAPO NG</v>
      </c>
      <c r="C1117" s="97" t="str">
        <f>IFERROR(__xludf.DUMMYFUNCTION("""COMPUTED_VALUE"""),"APLIQUE XAPO NG 28W 2700/3500/5000K 1457LM CRI&gt;90 IP20 LEUK")</f>
        <v>APLIQUE XAPO NG 28W 2700/3500/5000K 1457LM CRI&gt;90 IP20 LEUK</v>
      </c>
      <c r="D1117" s="97">
        <f>IFERROR(__xludf.DUMMYFUNCTION("""COMPUTED_VALUE"""),7.798413225556E12)</f>
        <v>7798413225556</v>
      </c>
      <c r="E1117" s="97" t="str">
        <f>IFERROR(__xludf.DUMMYFUNCTION("""COMPUTED_VALUE"""),"F132")</f>
        <v>F132</v>
      </c>
      <c r="F1117" s="97" t="str">
        <f>IFERROR(__xludf.DUMMYFUNCTION("""COMPUTED_VALUE"""),"LED integrado")</f>
        <v>LED integrado</v>
      </c>
      <c r="G1117" s="97" t="str">
        <f>IFERROR(__xludf.DUMMYFUNCTION("""COMPUTED_VALUE"""),"-")</f>
        <v>-</v>
      </c>
      <c r="H1117" s="97" t="str">
        <f>IFERROR(__xludf.DUMMYFUNCTION("""COMPUTED_VALUE"""),"-")</f>
        <v>-</v>
      </c>
      <c r="I1117" s="97"/>
      <c r="J1117" s="97"/>
      <c r="K1117" s="97" t="str">
        <f>IFERROR(__xludf.DUMMYFUNCTION("""COMPUTED_VALUE"""),"ON/OFF")</f>
        <v>ON/OFF</v>
      </c>
      <c r="L1117" s="97" t="str">
        <f>IFERROR(__xludf.DUMMYFUNCTION("""COMPUTED_VALUE"""),"200-240")</f>
        <v>200-240</v>
      </c>
      <c r="M1117" s="97" t="str">
        <f>IFERROR(__xludf.DUMMYFUNCTION("""COMPUTED_VALUE"""),"50/60")</f>
        <v>50/60</v>
      </c>
      <c r="N1117" s="97" t="str">
        <f>IFERROR(__xludf.DUMMYFUNCTION("""COMPUTED_VALUE"""),"Directa-Simétrica")</f>
        <v>Directa-Simétrica</v>
      </c>
      <c r="O1117" s="97">
        <f>IFERROR(__xludf.DUMMYFUNCTION("""COMPUTED_VALUE"""),28.0)</f>
        <v>28</v>
      </c>
      <c r="P1117" s="97"/>
      <c r="Q1117" s="97">
        <f>IFERROR(__xludf.DUMMYFUNCTION("""COMPUTED_VALUE"""),0.57)</f>
        <v>0.57</v>
      </c>
      <c r="R1117" s="97" t="str">
        <f>IFERROR(__xludf.DUMMYFUNCTION("""COMPUTED_VALUE"""),"-")</f>
        <v>-</v>
      </c>
      <c r="S1117" s="97" t="str">
        <f>IFERROR(__xludf.DUMMYFUNCTION("""COMPUTED_VALUE"""),"-")</f>
        <v>-</v>
      </c>
      <c r="T1117" s="97">
        <f>IFERROR(__xludf.DUMMYFUNCTION("""COMPUTED_VALUE"""),1457.0)</f>
        <v>1457</v>
      </c>
      <c r="U1117" s="101">
        <f>IFERROR(__xludf.DUMMYFUNCTION("""COMPUTED_VALUE"""),52.035714285714285)</f>
        <v>52.03571429</v>
      </c>
      <c r="V1117" s="97">
        <f>IFERROR(__xludf.DUMMYFUNCTION("""COMPUTED_VALUE"""),112.0)</f>
        <v>112</v>
      </c>
      <c r="W1117" s="97" t="str">
        <f>IFERROR(__xludf.DUMMYFUNCTION("""COMPUTED_VALUE"""),"&lt; 20")</f>
        <v>&lt; 20</v>
      </c>
      <c r="X1117" s="97" t="str">
        <f>IFERROR(__xludf.DUMMYFUNCTION("""COMPUTED_VALUE"""),"2700/3500/5000")</f>
        <v>2700/3500/5000</v>
      </c>
      <c r="Y1117" s="97" t="str">
        <f>IFERROR(__xludf.DUMMYFUNCTION("""COMPUTED_VALUE"""),"&gt;90")</f>
        <v>&gt;90</v>
      </c>
      <c r="Z1117" s="97"/>
      <c r="AA1117" s="97"/>
      <c r="AB1117" s="97" t="str">
        <f>IFERROR(__xludf.DUMMYFUNCTION("""COMPUTED_VALUE"""),"-")</f>
        <v>-</v>
      </c>
      <c r="AC1117" s="97"/>
      <c r="AD1117" s="97" t="str">
        <f>IFERROR(__xludf.DUMMYFUNCTION("""COMPUTED_VALUE"""),"IP20")</f>
        <v>IP20</v>
      </c>
      <c r="AE1117" s="97" t="str">
        <f>IFERROR(__xludf.DUMMYFUNCTION("""COMPUTED_VALUE"""),"Clase l")</f>
        <v>Clase l</v>
      </c>
      <c r="AF1117" s="97" t="str">
        <f>IFERROR(__xludf.DUMMYFUNCTION("""COMPUTED_VALUE"""),"Aplicar, Suspender")</f>
        <v>Aplicar, Suspender</v>
      </c>
      <c r="AG1117" s="97" t="str">
        <f>IFERROR(__xludf.DUMMYFUNCTION("""COMPUTED_VALUE"""),"Ø400 x 115")</f>
        <v>Ø400 x 115</v>
      </c>
      <c r="AH1117" s="97" t="str">
        <f>IFERROR(__xludf.DUMMYFUNCTION("""COMPUTED_VALUE"""),"N/A")</f>
        <v>N/A</v>
      </c>
      <c r="AI1117" s="97" t="str">
        <f>IFERROR(__xludf.DUMMYFUNCTION("""COMPUTED_VALUE"""),"N/A")</f>
        <v>N/A</v>
      </c>
      <c r="AJ1117" s="97" t="str">
        <f>IFERROR(__xludf.DUMMYFUNCTION("""COMPUTED_VALUE"""),"PVC")</f>
        <v>PVC</v>
      </c>
      <c r="AK1117" s="97" t="str">
        <f>IFERROR(__xludf.DUMMYFUNCTION("""COMPUTED_VALUE"""),"Acero")</f>
        <v>Acero</v>
      </c>
      <c r="AL1117" s="97" t="str">
        <f>IFERROR(__xludf.DUMMYFUNCTION("""COMPUTED_VALUE"""),"Negro Satinado")</f>
        <v>Negro Satinado</v>
      </c>
      <c r="AM1117" s="97" t="str">
        <f>IFERROR(__xludf.DUMMYFUNCTION("""COMPUTED_VALUE"""),"-")</f>
        <v>-</v>
      </c>
      <c r="AN1117" s="97" t="str">
        <f>IFERROR(__xludf.DUMMYFUNCTION("""COMPUTED_VALUE"""),"25.000hs (L70)")</f>
        <v>25.000hs (L70)</v>
      </c>
      <c r="AO1117" s="97" t="str">
        <f>IFERROR(__xludf.DUMMYFUNCTION("""COMPUTED_VALUE"""),"2 Años")</f>
        <v>2 Años</v>
      </c>
      <c r="AP1117" s="97" t="str">
        <f>IFERROR(__xludf.DUMMYFUNCTION("""COMPUTED_VALUE"""),"Disponible")</f>
        <v>Disponible</v>
      </c>
      <c r="AQ1117" s="97" t="str">
        <f>IFERROR(__xludf.DUMMYFUNCTION("""COMPUTED_VALUE"""),"Disponible")</f>
        <v>Disponible</v>
      </c>
      <c r="AR1117" s="97" t="str">
        <f>IFERROR(__xludf.DUMMYFUNCTION("""COMPUTED_VALUE"""),"Disponible")</f>
        <v>Disponible</v>
      </c>
      <c r="AS1117" s="97"/>
      <c r="AT1117" s="97"/>
      <c r="AU1117" s="97" t="str">
        <f>IFERROR(__xludf.DUMMYFUNCTION("""COMPUTED_VALUE"""),"Falta")</f>
        <v>Falta</v>
      </c>
      <c r="AV1117" s="97" t="str">
        <f>IFERROR(__xludf.DUMMYFUNCTION("""COMPUTED_VALUE"""),"Aplique")</f>
        <v>Aplique</v>
      </c>
      <c r="AW1117" s="97" t="str">
        <f>IFERROR(__xludf.DUMMYFUNCTION("""COMPUTED_VALUE"""),"De Techo")</f>
        <v>De Techo</v>
      </c>
      <c r="AX1117" s="97" t="str">
        <f>IFERROR(__xludf.DUMMYFUNCTION("""COMPUTED_VALUE"""),"Interior")</f>
        <v>Interior</v>
      </c>
      <c r="AY1117" s="97" t="str">
        <f>IFERROR(__xludf.DUMMYFUNCTION("""COMPUTED_VALUE"""),"-")</f>
        <v>-</v>
      </c>
      <c r="AZ1117" s="97" t="str">
        <f>IFERROR(__xludf.DUMMYFUNCTION("""COMPUTED_VALUE"""),"Switch 3CCT. Aplica KIT SUSPENSIÓN 4 TENSORES BL 6829 o NG 6830.")</f>
        <v>Switch 3CCT. Aplica KIT SUSPENSIÓN 4 TENSORES BL 6829 o NG 6830.</v>
      </c>
      <c r="BA1117" s="97">
        <f>IFERROR(__xludf.DUMMYFUNCTION("""COMPUTED_VALUE"""),1.0)</f>
        <v>1</v>
      </c>
      <c r="BB1117" s="97" t="str">
        <f>IFERROR(__xludf.DUMMYFUNCTION("""COMPUTED_VALUE"""),"-")</f>
        <v>-</v>
      </c>
      <c r="BC1117" s="97" t="str">
        <f>IFERROR(__xludf.DUMMYFUNCTION("""COMPUTED_VALUE"""),"-")</f>
        <v>-</v>
      </c>
      <c r="BD1117" s="97" t="str">
        <f>IFERROR(__xludf.DUMMYFUNCTION("""COMPUTED_VALUE"""),"XAPO")</f>
        <v>XAPO</v>
      </c>
      <c r="BE1117" s="97" t="str">
        <f>IFERROR(__xludf.DUMMYFUNCTION("""COMPUTED_VALUE"""),"Finalizada")</f>
        <v>Finalizada</v>
      </c>
      <c r="BF1117" s="97"/>
      <c r="BG1117" s="97" t="str">
        <f>IFERROR(__xludf.DUMMYFUNCTION("""COMPUTED_VALUE"""),"Activo")</f>
        <v>Activo</v>
      </c>
    </row>
    <row r="1118">
      <c r="A1118" s="97">
        <f>IFERROR(__xludf.DUMMYFUNCTION("""COMPUTED_VALUE"""),7036.0)</f>
        <v>7036</v>
      </c>
      <c r="B1118" s="97" t="str">
        <f>IFERROR(__xludf.DUMMYFUNCTION("""COMPUTED_VALUE"""),"MEX BL 10W 3CCT")</f>
        <v>MEX BL 10W 3CCT</v>
      </c>
      <c r="C1118" s="97" t="str">
        <f>IFERROR(__xludf.DUMMYFUNCTION("""COMPUTED_VALUE"""),"CABEZAL MEX BL 10W 3CCT 10W 2700/4000/6000K 662LM CRI&gt;90 IP20 LEUK")</f>
        <v>CABEZAL MEX BL 10W 3CCT 10W 2700/4000/6000K 662LM CRI&gt;90 IP20 LEUK</v>
      </c>
      <c r="D1118" s="97">
        <f>IFERROR(__xludf.DUMMYFUNCTION("""COMPUTED_VALUE"""),7.798413225563E12)</f>
        <v>7798413225563</v>
      </c>
      <c r="E1118" s="97" t="str">
        <f>IFERROR(__xludf.DUMMYFUNCTION("""COMPUTED_VALUE"""),"F69")</f>
        <v>F69</v>
      </c>
      <c r="F1118" s="97" t="str">
        <f>IFERROR(__xludf.DUMMYFUNCTION("""COMPUTED_VALUE"""),"LED COB")</f>
        <v>LED COB</v>
      </c>
      <c r="G1118" s="97" t="str">
        <f>IFERROR(__xludf.DUMMYFUNCTION("""COMPUTED_VALUE"""),"-")</f>
        <v>-</v>
      </c>
      <c r="H1118" s="97" t="str">
        <f>IFERROR(__xludf.DUMMYFUNCTION("""COMPUTED_VALUE"""),"-")</f>
        <v>-</v>
      </c>
      <c r="I1118" s="97"/>
      <c r="J1118" s="97" t="str">
        <f>IFERROR(__xludf.DUMMYFUNCTION("""COMPUTED_VALUE"""),"Modelo: 10W
In: 180-240Vac 50/60Hz
Out: 30-80Vdc 140mA
Ta 45ºC Tc 80ºC")</f>
        <v>Modelo: 10W
In: 180-240Vac 50/60Hz
Out: 30-80Vdc 140mA
Ta 45ºC Tc 80ºC</v>
      </c>
      <c r="K1118" s="97" t="str">
        <f>IFERROR(__xludf.DUMMYFUNCTION("""COMPUTED_VALUE"""),"ON/OFF")</f>
        <v>ON/OFF</v>
      </c>
      <c r="L1118" s="97" t="str">
        <f>IFERROR(__xludf.DUMMYFUNCTION("""COMPUTED_VALUE"""),"200-240")</f>
        <v>200-240</v>
      </c>
      <c r="M1118" s="97" t="str">
        <f>IFERROR(__xludf.DUMMYFUNCTION("""COMPUTED_VALUE"""),"50/60")</f>
        <v>50/60</v>
      </c>
      <c r="N1118" s="97" t="str">
        <f>IFERROR(__xludf.DUMMYFUNCTION("""COMPUTED_VALUE"""),"Directa-Direccional")</f>
        <v>Directa-Direccional</v>
      </c>
      <c r="O1118" s="97">
        <f>IFERROR(__xludf.DUMMYFUNCTION("""COMPUTED_VALUE"""),10.0)</f>
        <v>10</v>
      </c>
      <c r="P1118" s="97"/>
      <c r="Q1118" s="97">
        <f>IFERROR(__xludf.DUMMYFUNCTION("""COMPUTED_VALUE"""),0.49)</f>
        <v>0.49</v>
      </c>
      <c r="R1118" s="97" t="str">
        <f>IFERROR(__xludf.DUMMYFUNCTION("""COMPUTED_VALUE"""),"-")</f>
        <v>-</v>
      </c>
      <c r="S1118" s="97" t="str">
        <f>IFERROR(__xludf.DUMMYFUNCTION("""COMPUTED_VALUE"""),"-")</f>
        <v>-</v>
      </c>
      <c r="T1118" s="97">
        <f>IFERROR(__xludf.DUMMYFUNCTION("""COMPUTED_VALUE"""),662.0)</f>
        <v>662</v>
      </c>
      <c r="U1118" s="99">
        <f>IFERROR(__xludf.DUMMYFUNCTION("""COMPUTED_VALUE"""),66.2)</f>
        <v>66.2</v>
      </c>
      <c r="V1118" s="97" t="str">
        <f>IFERROR(__xludf.DUMMYFUNCTION("""COMPUTED_VALUE"""),"15 / 24 / 36")</f>
        <v>15 / 24 / 36</v>
      </c>
      <c r="W1118" s="97" t="str">
        <f>IFERROR(__xludf.DUMMYFUNCTION("""COMPUTED_VALUE"""),"&lt; 18")</f>
        <v>&lt; 18</v>
      </c>
      <c r="X1118" s="97" t="str">
        <f>IFERROR(__xludf.DUMMYFUNCTION("""COMPUTED_VALUE"""),"2700/4000/6000")</f>
        <v>2700/4000/6000</v>
      </c>
      <c r="Y1118" s="97" t="str">
        <f>IFERROR(__xludf.DUMMYFUNCTION("""COMPUTED_VALUE"""),"&gt;90")</f>
        <v>&gt;90</v>
      </c>
      <c r="Z1118" s="97"/>
      <c r="AA1118" s="97"/>
      <c r="AB1118" s="97" t="str">
        <f>IFERROR(__xludf.DUMMYFUNCTION("""COMPUTED_VALUE"""),"-")</f>
        <v>-</v>
      </c>
      <c r="AC1118" s="97"/>
      <c r="AD1118" s="97" t="str">
        <f>IFERROR(__xludf.DUMMYFUNCTION("""COMPUTED_VALUE"""),"IP20")</f>
        <v>IP20</v>
      </c>
      <c r="AE1118" s="97" t="str">
        <f>IFERROR(__xludf.DUMMYFUNCTION("""COMPUTED_VALUE"""),"Clase l")</f>
        <v>Clase l</v>
      </c>
      <c r="AF1118" s="97" t="str">
        <f>IFERROR(__xludf.DUMMYFUNCTION("""COMPUTED_VALUE"""),"Cabezal")</f>
        <v>Cabezal</v>
      </c>
      <c r="AG1118" s="97" t="str">
        <f>IFERROR(__xludf.DUMMYFUNCTION("""COMPUTED_VALUE"""),"Ø55 x 150")</f>
        <v>Ø55 x 150</v>
      </c>
      <c r="AH1118" s="97" t="str">
        <f>IFERROR(__xludf.DUMMYFUNCTION("""COMPUTED_VALUE"""),"N/A")</f>
        <v>N/A</v>
      </c>
      <c r="AI1118" s="97" t="str">
        <f>IFERROR(__xludf.DUMMYFUNCTION("""COMPUTED_VALUE"""),"N/A")</f>
        <v>N/A</v>
      </c>
      <c r="AJ1118" s="97" t="str">
        <f>IFERROR(__xludf.DUMMYFUNCTION("""COMPUTED_VALUE"""),"PMMA")</f>
        <v>PMMA</v>
      </c>
      <c r="AK1118" s="97" t="str">
        <f>IFERROR(__xludf.DUMMYFUNCTION("""COMPUTED_VALUE"""),"Aluminio")</f>
        <v>Aluminio</v>
      </c>
      <c r="AL1118" s="97" t="str">
        <f>IFERROR(__xludf.DUMMYFUNCTION("""COMPUTED_VALUE"""),"Blanco Satinado")</f>
        <v>Blanco Satinado</v>
      </c>
      <c r="AM1118" s="97" t="str">
        <f>IFERROR(__xludf.DUMMYFUNCTION("""COMPUTED_VALUE"""),"-")</f>
        <v>-</v>
      </c>
      <c r="AN1118" s="97" t="str">
        <f>IFERROR(__xludf.DUMMYFUNCTION("""COMPUTED_VALUE"""),"25.000hs (L70)")</f>
        <v>25.000hs (L70)</v>
      </c>
      <c r="AO1118" s="97" t="str">
        <f>IFERROR(__xludf.DUMMYFUNCTION("""COMPUTED_VALUE"""),"2 Años")</f>
        <v>2 Años</v>
      </c>
      <c r="AP1118" s="97" t="str">
        <f>IFERROR(__xludf.DUMMYFUNCTION("""COMPUTED_VALUE"""),"Disponible")</f>
        <v>Disponible</v>
      </c>
      <c r="AQ1118" s="97" t="str">
        <f>IFERROR(__xludf.DUMMYFUNCTION("""COMPUTED_VALUE"""),"Disponible")</f>
        <v>Disponible</v>
      </c>
      <c r="AR1118" s="97" t="str">
        <f>IFERROR(__xludf.DUMMYFUNCTION("""COMPUTED_VALUE"""),"Disponible")</f>
        <v>Disponible</v>
      </c>
      <c r="AS1118" s="97"/>
      <c r="AT1118" s="97"/>
      <c r="AU1118" s="97" t="str">
        <f>IFERROR(__xludf.DUMMYFUNCTION("""COMPUTED_VALUE"""),"Falta")</f>
        <v>Falta</v>
      </c>
      <c r="AV1118" s="97" t="str">
        <f>IFERROR(__xludf.DUMMYFUNCTION("""COMPUTED_VALUE"""),"Cabezal")</f>
        <v>Cabezal</v>
      </c>
      <c r="AW1118" s="97" t="str">
        <f>IFERROR(__xludf.DUMMYFUNCTION("""COMPUTED_VALUE"""),"De Techo")</f>
        <v>De Techo</v>
      </c>
      <c r="AX1118" s="97" t="str">
        <f>IFERROR(__xludf.DUMMYFUNCTION("""COMPUTED_VALUE"""),"Interior")</f>
        <v>Interior</v>
      </c>
      <c r="AY1118" s="97" t="str">
        <f>IFERROR(__xludf.DUMMYFUNCTION("""COMPUTED_VALUE"""),"-")</f>
        <v>-</v>
      </c>
      <c r="AZ1118"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118" s="97">
        <f>IFERROR(__xludf.DUMMYFUNCTION("""COMPUTED_VALUE"""),25.0)</f>
        <v>25</v>
      </c>
      <c r="BB1118" s="97" t="str">
        <f>IFERROR(__xludf.DUMMYFUNCTION("""COMPUTED_VALUE"""),"-")</f>
        <v>-</v>
      </c>
      <c r="BC1118" s="97" t="str">
        <f>IFERROR(__xludf.DUMMYFUNCTION("""COMPUTED_VALUE"""),"-")</f>
        <v>-</v>
      </c>
      <c r="BD1118" s="97" t="str">
        <f>IFERROR(__xludf.DUMMYFUNCTION("""COMPUTED_VALUE"""),"MEX 3CCT")</f>
        <v>MEX 3CCT</v>
      </c>
      <c r="BE1118" s="97" t="str">
        <f>IFERROR(__xludf.DUMMYFUNCTION("""COMPUTED_VALUE"""),"Finalizada")</f>
        <v>Finalizada</v>
      </c>
      <c r="BF1118" s="97"/>
      <c r="BG1118" s="97" t="str">
        <f>IFERROR(__xludf.DUMMYFUNCTION("""COMPUTED_VALUE"""),"Activo")</f>
        <v>Activo</v>
      </c>
    </row>
    <row r="1119">
      <c r="A1119" s="97">
        <f>IFERROR(__xludf.DUMMYFUNCTION("""COMPUTED_VALUE"""),7037.0)</f>
        <v>7037</v>
      </c>
      <c r="B1119" s="97" t="str">
        <f>IFERROR(__xludf.DUMMYFUNCTION("""COMPUTED_VALUE"""),"MEX BL 18W 3CCT")</f>
        <v>MEX BL 18W 3CCT</v>
      </c>
      <c r="C1119" s="97" t="str">
        <f>IFERROR(__xludf.DUMMYFUNCTION("""COMPUTED_VALUE"""),"CABEZAL MEX BL 18W 3CCT 18W 2700/4000/6000K 1335LM CRI&gt;90 IP20 LEUK")</f>
        <v>CABEZAL MEX BL 18W 3CCT 18W 2700/4000/6000K 1335LM CRI&gt;90 IP20 LEUK</v>
      </c>
      <c r="D1119" s="97">
        <f>IFERROR(__xludf.DUMMYFUNCTION("""COMPUTED_VALUE"""),7.79841322557E12)</f>
        <v>7798413225570</v>
      </c>
      <c r="E1119" s="97" t="str">
        <f>IFERROR(__xludf.DUMMYFUNCTION("""COMPUTED_VALUE"""),"F150")</f>
        <v>F150</v>
      </c>
      <c r="F1119" s="97" t="str">
        <f>IFERROR(__xludf.DUMMYFUNCTION("""COMPUTED_VALUE"""),"LED COB")</f>
        <v>LED COB</v>
      </c>
      <c r="G1119" s="97" t="str">
        <f>IFERROR(__xludf.DUMMYFUNCTION("""COMPUTED_VALUE"""),"-")</f>
        <v>-</v>
      </c>
      <c r="H1119" s="97" t="str">
        <f>IFERROR(__xludf.DUMMYFUNCTION("""COMPUTED_VALUE"""),"-")</f>
        <v>-</v>
      </c>
      <c r="I1119" s="97"/>
      <c r="J1119" s="97"/>
      <c r="K1119" s="97" t="str">
        <f>IFERROR(__xludf.DUMMYFUNCTION("""COMPUTED_VALUE"""),"ON/OFF")</f>
        <v>ON/OFF</v>
      </c>
      <c r="L1119" s="97" t="str">
        <f>IFERROR(__xludf.DUMMYFUNCTION("""COMPUTED_VALUE"""),"200-240")</f>
        <v>200-240</v>
      </c>
      <c r="M1119" s="97" t="str">
        <f>IFERROR(__xludf.DUMMYFUNCTION("""COMPUTED_VALUE"""),"50/60")</f>
        <v>50/60</v>
      </c>
      <c r="N1119" s="97" t="str">
        <f>IFERROR(__xludf.DUMMYFUNCTION("""COMPUTED_VALUE"""),"Directa-Direccional")</f>
        <v>Directa-Direccional</v>
      </c>
      <c r="O1119" s="97">
        <f>IFERROR(__xludf.DUMMYFUNCTION("""COMPUTED_VALUE"""),18.0)</f>
        <v>18</v>
      </c>
      <c r="P1119" s="97"/>
      <c r="Q1119" s="97">
        <f>IFERROR(__xludf.DUMMYFUNCTION("""COMPUTED_VALUE"""),0.49)</f>
        <v>0.49</v>
      </c>
      <c r="R1119" s="97" t="str">
        <f>IFERROR(__xludf.DUMMYFUNCTION("""COMPUTED_VALUE"""),"-")</f>
        <v>-</v>
      </c>
      <c r="S1119" s="97" t="str">
        <f>IFERROR(__xludf.DUMMYFUNCTION("""COMPUTED_VALUE"""),"-")</f>
        <v>-</v>
      </c>
      <c r="T1119" s="97">
        <f>IFERROR(__xludf.DUMMYFUNCTION("""COMPUTED_VALUE"""),1335.0)</f>
        <v>1335</v>
      </c>
      <c r="U1119" s="99">
        <f>IFERROR(__xludf.DUMMYFUNCTION("""COMPUTED_VALUE"""),74.16666666666667)</f>
        <v>74.16666667</v>
      </c>
      <c r="V1119" s="97" t="str">
        <f>IFERROR(__xludf.DUMMYFUNCTION("""COMPUTED_VALUE"""),"15 / 24 / 36")</f>
        <v>15 / 24 / 36</v>
      </c>
      <c r="W1119" s="97" t="str">
        <f>IFERROR(__xludf.DUMMYFUNCTION("""COMPUTED_VALUE"""),"&lt; 18")</f>
        <v>&lt; 18</v>
      </c>
      <c r="X1119" s="97" t="str">
        <f>IFERROR(__xludf.DUMMYFUNCTION("""COMPUTED_VALUE"""),"2700/4000/6000")</f>
        <v>2700/4000/6000</v>
      </c>
      <c r="Y1119" s="97" t="str">
        <f>IFERROR(__xludf.DUMMYFUNCTION("""COMPUTED_VALUE"""),"&gt;90")</f>
        <v>&gt;90</v>
      </c>
      <c r="Z1119" s="97"/>
      <c r="AA1119" s="97"/>
      <c r="AB1119" s="97" t="str">
        <f>IFERROR(__xludf.DUMMYFUNCTION("""COMPUTED_VALUE"""),"-")</f>
        <v>-</v>
      </c>
      <c r="AC1119" s="97"/>
      <c r="AD1119" s="97" t="str">
        <f>IFERROR(__xludf.DUMMYFUNCTION("""COMPUTED_VALUE"""),"IP20")</f>
        <v>IP20</v>
      </c>
      <c r="AE1119" s="97" t="str">
        <f>IFERROR(__xludf.DUMMYFUNCTION("""COMPUTED_VALUE"""),"Clase l")</f>
        <v>Clase l</v>
      </c>
      <c r="AF1119" s="97" t="str">
        <f>IFERROR(__xludf.DUMMYFUNCTION("""COMPUTED_VALUE"""),"Cabezal")</f>
        <v>Cabezal</v>
      </c>
      <c r="AG1119" s="97" t="str">
        <f>IFERROR(__xludf.DUMMYFUNCTION("""COMPUTED_VALUE"""),"Ø60 x 165")</f>
        <v>Ø60 x 165</v>
      </c>
      <c r="AH1119" s="97" t="str">
        <f>IFERROR(__xludf.DUMMYFUNCTION("""COMPUTED_VALUE"""),"N/A")</f>
        <v>N/A</v>
      </c>
      <c r="AI1119" s="97" t="str">
        <f>IFERROR(__xludf.DUMMYFUNCTION("""COMPUTED_VALUE"""),"N/A")</f>
        <v>N/A</v>
      </c>
      <c r="AJ1119" s="97" t="str">
        <f>IFERROR(__xludf.DUMMYFUNCTION("""COMPUTED_VALUE"""),"PMMA")</f>
        <v>PMMA</v>
      </c>
      <c r="AK1119" s="97" t="str">
        <f>IFERROR(__xludf.DUMMYFUNCTION("""COMPUTED_VALUE"""),"Aluminio")</f>
        <v>Aluminio</v>
      </c>
      <c r="AL1119" s="97" t="str">
        <f>IFERROR(__xludf.DUMMYFUNCTION("""COMPUTED_VALUE"""),"Blanco Satinado")</f>
        <v>Blanco Satinado</v>
      </c>
      <c r="AM1119" s="97" t="str">
        <f>IFERROR(__xludf.DUMMYFUNCTION("""COMPUTED_VALUE"""),"-")</f>
        <v>-</v>
      </c>
      <c r="AN1119" s="97" t="str">
        <f>IFERROR(__xludf.DUMMYFUNCTION("""COMPUTED_VALUE"""),"25.000hs (L70)")</f>
        <v>25.000hs (L70)</v>
      </c>
      <c r="AO1119" s="97" t="str">
        <f>IFERROR(__xludf.DUMMYFUNCTION("""COMPUTED_VALUE"""),"2 Años")</f>
        <v>2 Años</v>
      </c>
      <c r="AP1119" s="97" t="str">
        <f>IFERROR(__xludf.DUMMYFUNCTION("""COMPUTED_VALUE"""),"Disponible")</f>
        <v>Disponible</v>
      </c>
      <c r="AQ1119" s="97" t="str">
        <f>IFERROR(__xludf.DUMMYFUNCTION("""COMPUTED_VALUE"""),"Disponible")</f>
        <v>Disponible</v>
      </c>
      <c r="AR1119" s="97" t="str">
        <f>IFERROR(__xludf.DUMMYFUNCTION("""COMPUTED_VALUE"""),"Disponible")</f>
        <v>Disponible</v>
      </c>
      <c r="AS1119" s="97"/>
      <c r="AT1119" s="97"/>
      <c r="AU1119" s="97" t="str">
        <f>IFERROR(__xludf.DUMMYFUNCTION("""COMPUTED_VALUE"""),"Falta")</f>
        <v>Falta</v>
      </c>
      <c r="AV1119" s="97" t="str">
        <f>IFERROR(__xludf.DUMMYFUNCTION("""COMPUTED_VALUE"""),"Cabezal")</f>
        <v>Cabezal</v>
      </c>
      <c r="AW1119" s="97" t="str">
        <f>IFERROR(__xludf.DUMMYFUNCTION("""COMPUTED_VALUE"""),"De Techo")</f>
        <v>De Techo</v>
      </c>
      <c r="AX1119" s="97" t="str">
        <f>IFERROR(__xludf.DUMMYFUNCTION("""COMPUTED_VALUE"""),"Interior")</f>
        <v>Interior</v>
      </c>
      <c r="AY1119" s="97" t="str">
        <f>IFERROR(__xludf.DUMMYFUNCTION("""COMPUTED_VALUE"""),"-")</f>
        <v>-</v>
      </c>
      <c r="AZ1119"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119" s="97">
        <f>IFERROR(__xludf.DUMMYFUNCTION("""COMPUTED_VALUE"""),25.0)</f>
        <v>25</v>
      </c>
      <c r="BB1119" s="97" t="str">
        <f>IFERROR(__xludf.DUMMYFUNCTION("""COMPUTED_VALUE"""),"-")</f>
        <v>-</v>
      </c>
      <c r="BC1119" s="97" t="str">
        <f>IFERROR(__xludf.DUMMYFUNCTION("""COMPUTED_VALUE"""),"-")</f>
        <v>-</v>
      </c>
      <c r="BD1119" s="97" t="str">
        <f>IFERROR(__xludf.DUMMYFUNCTION("""COMPUTED_VALUE"""),"MEX 3CCT")</f>
        <v>MEX 3CCT</v>
      </c>
      <c r="BE1119" s="97" t="str">
        <f>IFERROR(__xludf.DUMMYFUNCTION("""COMPUTED_VALUE"""),"Finalizada")</f>
        <v>Finalizada</v>
      </c>
      <c r="BF1119" s="97"/>
      <c r="BG1119" s="97" t="str">
        <f>IFERROR(__xludf.DUMMYFUNCTION("""COMPUTED_VALUE"""),"Activo")</f>
        <v>Activo</v>
      </c>
    </row>
    <row r="1120">
      <c r="A1120" s="97">
        <f>IFERROR(__xludf.DUMMYFUNCTION("""COMPUTED_VALUE"""),7038.0)</f>
        <v>7038</v>
      </c>
      <c r="B1120" s="97" t="str">
        <f>IFERROR(__xludf.DUMMYFUNCTION("""COMPUTED_VALUE"""),"MEX BL 25W 3CCT")</f>
        <v>MEX BL 25W 3CCT</v>
      </c>
      <c r="C1120" s="97" t="str">
        <f>IFERROR(__xludf.DUMMYFUNCTION("""COMPUTED_VALUE"""),"CABEZAL MEX BL 25W 3CCT 25W 2700/4000/6000K 1770LM CRI&gt;90 IP20 LEUK")</f>
        <v>CABEZAL MEX BL 25W 3CCT 25W 2700/4000/6000K 1770LM CRI&gt;90 IP20 LEUK</v>
      </c>
      <c r="D1120" s="97">
        <f>IFERROR(__xludf.DUMMYFUNCTION("""COMPUTED_VALUE"""),7.798413225587E12)</f>
        <v>7798413225587</v>
      </c>
      <c r="E1120" s="97" t="str">
        <f>IFERROR(__xludf.DUMMYFUNCTION("""COMPUTED_VALUE"""),"F40")</f>
        <v>F40</v>
      </c>
      <c r="F1120" s="97" t="str">
        <f>IFERROR(__xludf.DUMMYFUNCTION("""COMPUTED_VALUE"""),"LED COB")</f>
        <v>LED COB</v>
      </c>
      <c r="G1120" s="97" t="str">
        <f>IFERROR(__xludf.DUMMYFUNCTION("""COMPUTED_VALUE"""),"-")</f>
        <v>-</v>
      </c>
      <c r="H1120" s="97" t="str">
        <f>IFERROR(__xludf.DUMMYFUNCTION("""COMPUTED_VALUE"""),"-")</f>
        <v>-</v>
      </c>
      <c r="I1120" s="97"/>
      <c r="J1120" s="97" t="str">
        <f>IFERROR(__xludf.DUMMYFUNCTION("""COMPUTED_VALUE"""),"Modelo: 30W
In: 180-240Vac 50/60Hz
Out: 80-150Vdc 250mA
Ta 45ºC Tc 80ºC")</f>
        <v>Modelo: 30W
In: 180-240Vac 50/60Hz
Out: 80-150Vdc 250mA
Ta 45ºC Tc 80ºC</v>
      </c>
      <c r="K1120" s="97" t="str">
        <f>IFERROR(__xludf.DUMMYFUNCTION("""COMPUTED_VALUE"""),"ON/OFF")</f>
        <v>ON/OFF</v>
      </c>
      <c r="L1120" s="97" t="str">
        <f>IFERROR(__xludf.DUMMYFUNCTION("""COMPUTED_VALUE"""),"200-240")</f>
        <v>200-240</v>
      </c>
      <c r="M1120" s="97" t="str">
        <f>IFERROR(__xludf.DUMMYFUNCTION("""COMPUTED_VALUE"""),"50/60")</f>
        <v>50/60</v>
      </c>
      <c r="N1120" s="97" t="str">
        <f>IFERROR(__xludf.DUMMYFUNCTION("""COMPUTED_VALUE"""),"Directa-Direccional")</f>
        <v>Directa-Direccional</v>
      </c>
      <c r="O1120" s="97">
        <f>IFERROR(__xludf.DUMMYFUNCTION("""COMPUTED_VALUE"""),25.0)</f>
        <v>25</v>
      </c>
      <c r="P1120" s="97"/>
      <c r="Q1120" s="97">
        <f>IFERROR(__xludf.DUMMYFUNCTION("""COMPUTED_VALUE"""),0.49)</f>
        <v>0.49</v>
      </c>
      <c r="R1120" s="97" t="str">
        <f>IFERROR(__xludf.DUMMYFUNCTION("""COMPUTED_VALUE"""),"-")</f>
        <v>-</v>
      </c>
      <c r="S1120" s="97" t="str">
        <f>IFERROR(__xludf.DUMMYFUNCTION("""COMPUTED_VALUE"""),"-")</f>
        <v>-</v>
      </c>
      <c r="T1120" s="97">
        <f>IFERROR(__xludf.DUMMYFUNCTION("""COMPUTED_VALUE"""),1770.0)</f>
        <v>1770</v>
      </c>
      <c r="U1120" s="99">
        <f>IFERROR(__xludf.DUMMYFUNCTION("""COMPUTED_VALUE"""),70.8)</f>
        <v>70.8</v>
      </c>
      <c r="V1120" s="97" t="str">
        <f>IFERROR(__xludf.DUMMYFUNCTION("""COMPUTED_VALUE"""),"15 / 24 / 36")</f>
        <v>15 / 24 / 36</v>
      </c>
      <c r="W1120" s="97" t="str">
        <f>IFERROR(__xludf.DUMMYFUNCTION("""COMPUTED_VALUE"""),"&lt; 18")</f>
        <v>&lt; 18</v>
      </c>
      <c r="X1120" s="97" t="str">
        <f>IFERROR(__xludf.DUMMYFUNCTION("""COMPUTED_VALUE"""),"2700/4000/6000")</f>
        <v>2700/4000/6000</v>
      </c>
      <c r="Y1120" s="97" t="str">
        <f>IFERROR(__xludf.DUMMYFUNCTION("""COMPUTED_VALUE"""),"&gt;90")</f>
        <v>&gt;90</v>
      </c>
      <c r="Z1120" s="97"/>
      <c r="AA1120" s="97"/>
      <c r="AB1120" s="97" t="str">
        <f>IFERROR(__xludf.DUMMYFUNCTION("""COMPUTED_VALUE"""),"-")</f>
        <v>-</v>
      </c>
      <c r="AC1120" s="97"/>
      <c r="AD1120" s="97" t="str">
        <f>IFERROR(__xludf.DUMMYFUNCTION("""COMPUTED_VALUE"""),"IP20")</f>
        <v>IP20</v>
      </c>
      <c r="AE1120" s="97" t="str">
        <f>IFERROR(__xludf.DUMMYFUNCTION("""COMPUTED_VALUE"""),"Clase l")</f>
        <v>Clase l</v>
      </c>
      <c r="AF1120" s="97" t="str">
        <f>IFERROR(__xludf.DUMMYFUNCTION("""COMPUTED_VALUE"""),"Cabezal")</f>
        <v>Cabezal</v>
      </c>
      <c r="AG1120" s="97" t="str">
        <f>IFERROR(__xludf.DUMMYFUNCTION("""COMPUTED_VALUE"""),"Ø74 x 175")</f>
        <v>Ø74 x 175</v>
      </c>
      <c r="AH1120" s="97" t="str">
        <f>IFERROR(__xludf.DUMMYFUNCTION("""COMPUTED_VALUE"""),"N/A")</f>
        <v>N/A</v>
      </c>
      <c r="AI1120" s="97" t="str">
        <f>IFERROR(__xludf.DUMMYFUNCTION("""COMPUTED_VALUE"""),"N/A")</f>
        <v>N/A</v>
      </c>
      <c r="AJ1120" s="97" t="str">
        <f>IFERROR(__xludf.DUMMYFUNCTION("""COMPUTED_VALUE"""),"PMMA")</f>
        <v>PMMA</v>
      </c>
      <c r="AK1120" s="97" t="str">
        <f>IFERROR(__xludf.DUMMYFUNCTION("""COMPUTED_VALUE"""),"Aluminio")</f>
        <v>Aluminio</v>
      </c>
      <c r="AL1120" s="97" t="str">
        <f>IFERROR(__xludf.DUMMYFUNCTION("""COMPUTED_VALUE"""),"Blanco Satinado")</f>
        <v>Blanco Satinado</v>
      </c>
      <c r="AM1120" s="97" t="str">
        <f>IFERROR(__xludf.DUMMYFUNCTION("""COMPUTED_VALUE"""),"-")</f>
        <v>-</v>
      </c>
      <c r="AN1120" s="97" t="str">
        <f>IFERROR(__xludf.DUMMYFUNCTION("""COMPUTED_VALUE"""),"25.000hs (L70)")</f>
        <v>25.000hs (L70)</v>
      </c>
      <c r="AO1120" s="97" t="str">
        <f>IFERROR(__xludf.DUMMYFUNCTION("""COMPUTED_VALUE"""),"2 Años")</f>
        <v>2 Años</v>
      </c>
      <c r="AP1120" s="97" t="str">
        <f>IFERROR(__xludf.DUMMYFUNCTION("""COMPUTED_VALUE"""),"Disponible")</f>
        <v>Disponible</v>
      </c>
      <c r="AQ1120" s="97" t="str">
        <f>IFERROR(__xludf.DUMMYFUNCTION("""COMPUTED_VALUE"""),"Disponible")</f>
        <v>Disponible</v>
      </c>
      <c r="AR1120" s="97" t="str">
        <f>IFERROR(__xludf.DUMMYFUNCTION("""COMPUTED_VALUE"""),"Disponible")</f>
        <v>Disponible</v>
      </c>
      <c r="AS1120" s="97"/>
      <c r="AT1120" s="97"/>
      <c r="AU1120" s="97" t="str">
        <f>IFERROR(__xludf.DUMMYFUNCTION("""COMPUTED_VALUE"""),"Falta")</f>
        <v>Falta</v>
      </c>
      <c r="AV1120" s="97" t="str">
        <f>IFERROR(__xludf.DUMMYFUNCTION("""COMPUTED_VALUE"""),"Cabezal")</f>
        <v>Cabezal</v>
      </c>
      <c r="AW1120" s="97" t="str">
        <f>IFERROR(__xludf.DUMMYFUNCTION("""COMPUTED_VALUE"""),"De Techo")</f>
        <v>De Techo</v>
      </c>
      <c r="AX1120" s="97" t="str">
        <f>IFERROR(__xludf.DUMMYFUNCTION("""COMPUTED_VALUE"""),"Interior")</f>
        <v>Interior</v>
      </c>
      <c r="AY1120" s="97" t="str">
        <f>IFERROR(__xludf.DUMMYFUNCTION("""COMPUTED_VALUE"""),"-")</f>
        <v>-</v>
      </c>
      <c r="AZ1120"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120" s="97">
        <f>IFERROR(__xludf.DUMMYFUNCTION("""COMPUTED_VALUE"""),25.0)</f>
        <v>25</v>
      </c>
      <c r="BB1120" s="97" t="str">
        <f>IFERROR(__xludf.DUMMYFUNCTION("""COMPUTED_VALUE"""),"-")</f>
        <v>-</v>
      </c>
      <c r="BC1120" s="97" t="str">
        <f>IFERROR(__xludf.DUMMYFUNCTION("""COMPUTED_VALUE"""),"-")</f>
        <v>-</v>
      </c>
      <c r="BD1120" s="97" t="str">
        <f>IFERROR(__xludf.DUMMYFUNCTION("""COMPUTED_VALUE"""),"MEX 3CCT")</f>
        <v>MEX 3CCT</v>
      </c>
      <c r="BE1120" s="97" t="str">
        <f>IFERROR(__xludf.DUMMYFUNCTION("""COMPUTED_VALUE"""),"Finalizada")</f>
        <v>Finalizada</v>
      </c>
      <c r="BF1120" s="97"/>
      <c r="BG1120" s="97" t="str">
        <f>IFERROR(__xludf.DUMMYFUNCTION("""COMPUTED_VALUE"""),"Activo")</f>
        <v>Activo</v>
      </c>
    </row>
    <row r="1121">
      <c r="A1121" s="97">
        <f>IFERROR(__xludf.DUMMYFUNCTION("""COMPUTED_VALUE"""),7039.0)</f>
        <v>7039</v>
      </c>
      <c r="B1121" s="97" t="str">
        <f>IFERROR(__xludf.DUMMYFUNCTION("""COMPUTED_VALUE"""),"MEX NG 10W 3CCT")</f>
        <v>MEX NG 10W 3CCT</v>
      </c>
      <c r="C1121" s="97" t="str">
        <f>IFERROR(__xludf.DUMMYFUNCTION("""COMPUTED_VALUE"""),"CABEZAL MEX NG 10W 3CCT 10W 2700/4000/6000K 662LM CRI&gt;90 IP20 LEUK")</f>
        <v>CABEZAL MEX NG 10W 3CCT 10W 2700/4000/6000K 662LM CRI&gt;90 IP20 LEUK</v>
      </c>
      <c r="D1121" s="97">
        <f>IFERROR(__xludf.DUMMYFUNCTION("""COMPUTED_VALUE"""),7.798413225594E12)</f>
        <v>7798413225594</v>
      </c>
      <c r="E1121" s="97" t="str">
        <f>IFERROR(__xludf.DUMMYFUNCTION("""COMPUTED_VALUE"""),"F69")</f>
        <v>F69</v>
      </c>
      <c r="F1121" s="97" t="str">
        <f>IFERROR(__xludf.DUMMYFUNCTION("""COMPUTED_VALUE"""),"LED COB")</f>
        <v>LED COB</v>
      </c>
      <c r="G1121" s="97" t="str">
        <f>IFERROR(__xludf.DUMMYFUNCTION("""COMPUTED_VALUE"""),"-")</f>
        <v>-</v>
      </c>
      <c r="H1121" s="97" t="str">
        <f>IFERROR(__xludf.DUMMYFUNCTION("""COMPUTED_VALUE"""),"-")</f>
        <v>-</v>
      </c>
      <c r="I1121" s="97"/>
      <c r="J1121" s="97" t="str">
        <f>IFERROR(__xludf.DUMMYFUNCTION("""COMPUTED_VALUE"""),"Modelo: 10W
In: 180-240Vac 50/60Hz
Out: 30-80Vdc 140mA
Ta 45ºC Tc 80ºC")</f>
        <v>Modelo: 10W
In: 180-240Vac 50/60Hz
Out: 30-80Vdc 140mA
Ta 45ºC Tc 80ºC</v>
      </c>
      <c r="K1121" s="97" t="str">
        <f>IFERROR(__xludf.DUMMYFUNCTION("""COMPUTED_VALUE"""),"ON/OFF")</f>
        <v>ON/OFF</v>
      </c>
      <c r="L1121" s="97" t="str">
        <f>IFERROR(__xludf.DUMMYFUNCTION("""COMPUTED_VALUE"""),"200-240")</f>
        <v>200-240</v>
      </c>
      <c r="M1121" s="97" t="str">
        <f>IFERROR(__xludf.DUMMYFUNCTION("""COMPUTED_VALUE"""),"50/60")</f>
        <v>50/60</v>
      </c>
      <c r="N1121" s="97" t="str">
        <f>IFERROR(__xludf.DUMMYFUNCTION("""COMPUTED_VALUE"""),"Directa-Direccional")</f>
        <v>Directa-Direccional</v>
      </c>
      <c r="O1121" s="97">
        <f>IFERROR(__xludf.DUMMYFUNCTION("""COMPUTED_VALUE"""),10.0)</f>
        <v>10</v>
      </c>
      <c r="P1121" s="97"/>
      <c r="Q1121" s="97">
        <f>IFERROR(__xludf.DUMMYFUNCTION("""COMPUTED_VALUE"""),0.49)</f>
        <v>0.49</v>
      </c>
      <c r="R1121" s="97" t="str">
        <f>IFERROR(__xludf.DUMMYFUNCTION("""COMPUTED_VALUE"""),"-")</f>
        <v>-</v>
      </c>
      <c r="S1121" s="97" t="str">
        <f>IFERROR(__xludf.DUMMYFUNCTION("""COMPUTED_VALUE"""),"-")</f>
        <v>-</v>
      </c>
      <c r="T1121" s="97">
        <f>IFERROR(__xludf.DUMMYFUNCTION("""COMPUTED_VALUE"""),662.0)</f>
        <v>662</v>
      </c>
      <c r="U1121" s="99">
        <f>IFERROR(__xludf.DUMMYFUNCTION("""COMPUTED_VALUE"""),66.2)</f>
        <v>66.2</v>
      </c>
      <c r="V1121" s="97" t="str">
        <f>IFERROR(__xludf.DUMMYFUNCTION("""COMPUTED_VALUE"""),"15 / 24 / 36")</f>
        <v>15 / 24 / 36</v>
      </c>
      <c r="W1121" s="97" t="str">
        <f>IFERROR(__xludf.DUMMYFUNCTION("""COMPUTED_VALUE"""),"&lt; 18")</f>
        <v>&lt; 18</v>
      </c>
      <c r="X1121" s="97" t="str">
        <f>IFERROR(__xludf.DUMMYFUNCTION("""COMPUTED_VALUE"""),"2700/4000/6000")</f>
        <v>2700/4000/6000</v>
      </c>
      <c r="Y1121" s="97" t="str">
        <f>IFERROR(__xludf.DUMMYFUNCTION("""COMPUTED_VALUE"""),"&gt;90")</f>
        <v>&gt;90</v>
      </c>
      <c r="Z1121" s="97"/>
      <c r="AA1121" s="97"/>
      <c r="AB1121" s="97" t="str">
        <f>IFERROR(__xludf.DUMMYFUNCTION("""COMPUTED_VALUE"""),"-")</f>
        <v>-</v>
      </c>
      <c r="AC1121" s="97"/>
      <c r="AD1121" s="97" t="str">
        <f>IFERROR(__xludf.DUMMYFUNCTION("""COMPUTED_VALUE"""),"IP20")</f>
        <v>IP20</v>
      </c>
      <c r="AE1121" s="97" t="str">
        <f>IFERROR(__xludf.DUMMYFUNCTION("""COMPUTED_VALUE"""),"Clase l")</f>
        <v>Clase l</v>
      </c>
      <c r="AF1121" s="97" t="str">
        <f>IFERROR(__xludf.DUMMYFUNCTION("""COMPUTED_VALUE"""),"Cabezal")</f>
        <v>Cabezal</v>
      </c>
      <c r="AG1121" s="97" t="str">
        <f>IFERROR(__xludf.DUMMYFUNCTION("""COMPUTED_VALUE"""),"Ø55 x 150")</f>
        <v>Ø55 x 150</v>
      </c>
      <c r="AH1121" s="97" t="str">
        <f>IFERROR(__xludf.DUMMYFUNCTION("""COMPUTED_VALUE"""),"N/A")</f>
        <v>N/A</v>
      </c>
      <c r="AI1121" s="97" t="str">
        <f>IFERROR(__xludf.DUMMYFUNCTION("""COMPUTED_VALUE"""),"N/A")</f>
        <v>N/A</v>
      </c>
      <c r="AJ1121" s="97" t="str">
        <f>IFERROR(__xludf.DUMMYFUNCTION("""COMPUTED_VALUE"""),"PMMA")</f>
        <v>PMMA</v>
      </c>
      <c r="AK1121" s="97" t="str">
        <f>IFERROR(__xludf.DUMMYFUNCTION("""COMPUTED_VALUE"""),"Aluminio")</f>
        <v>Aluminio</v>
      </c>
      <c r="AL1121" s="97" t="str">
        <f>IFERROR(__xludf.DUMMYFUNCTION("""COMPUTED_VALUE"""),"Negro Satinado")</f>
        <v>Negro Satinado</v>
      </c>
      <c r="AM1121" s="97" t="str">
        <f>IFERROR(__xludf.DUMMYFUNCTION("""COMPUTED_VALUE"""),"-")</f>
        <v>-</v>
      </c>
      <c r="AN1121" s="97" t="str">
        <f>IFERROR(__xludf.DUMMYFUNCTION("""COMPUTED_VALUE"""),"25.000hs (L70)")</f>
        <v>25.000hs (L70)</v>
      </c>
      <c r="AO1121" s="97" t="str">
        <f>IFERROR(__xludf.DUMMYFUNCTION("""COMPUTED_VALUE"""),"2 Años")</f>
        <v>2 Años</v>
      </c>
      <c r="AP1121" s="97" t="str">
        <f>IFERROR(__xludf.DUMMYFUNCTION("""COMPUTED_VALUE"""),"Disponible")</f>
        <v>Disponible</v>
      </c>
      <c r="AQ1121" s="97" t="str">
        <f>IFERROR(__xludf.DUMMYFUNCTION("""COMPUTED_VALUE"""),"Disponible")</f>
        <v>Disponible</v>
      </c>
      <c r="AR1121" s="97" t="str">
        <f>IFERROR(__xludf.DUMMYFUNCTION("""COMPUTED_VALUE"""),"Disponible")</f>
        <v>Disponible</v>
      </c>
      <c r="AS1121" s="97"/>
      <c r="AT1121" s="97"/>
      <c r="AU1121" s="97" t="str">
        <f>IFERROR(__xludf.DUMMYFUNCTION("""COMPUTED_VALUE"""),"Falta")</f>
        <v>Falta</v>
      </c>
      <c r="AV1121" s="97" t="str">
        <f>IFERROR(__xludf.DUMMYFUNCTION("""COMPUTED_VALUE"""),"Cabezal")</f>
        <v>Cabezal</v>
      </c>
      <c r="AW1121" s="97" t="str">
        <f>IFERROR(__xludf.DUMMYFUNCTION("""COMPUTED_VALUE"""),"De Techo")</f>
        <v>De Techo</v>
      </c>
      <c r="AX1121" s="97" t="str">
        <f>IFERROR(__xludf.DUMMYFUNCTION("""COMPUTED_VALUE"""),"Interior")</f>
        <v>Interior</v>
      </c>
      <c r="AY1121" s="97" t="str">
        <f>IFERROR(__xludf.DUMMYFUNCTION("""COMPUTED_VALUE"""),"-")</f>
        <v>-</v>
      </c>
      <c r="AZ1121"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121" s="97">
        <f>IFERROR(__xludf.DUMMYFUNCTION("""COMPUTED_VALUE"""),25.0)</f>
        <v>25</v>
      </c>
      <c r="BB1121" s="97" t="str">
        <f>IFERROR(__xludf.DUMMYFUNCTION("""COMPUTED_VALUE"""),"-")</f>
        <v>-</v>
      </c>
      <c r="BC1121" s="97" t="str">
        <f>IFERROR(__xludf.DUMMYFUNCTION("""COMPUTED_VALUE"""),"-")</f>
        <v>-</v>
      </c>
      <c r="BD1121" s="97" t="str">
        <f>IFERROR(__xludf.DUMMYFUNCTION("""COMPUTED_VALUE"""),"MEX 3CCT")</f>
        <v>MEX 3CCT</v>
      </c>
      <c r="BE1121" s="97" t="str">
        <f>IFERROR(__xludf.DUMMYFUNCTION("""COMPUTED_VALUE"""),"Finalizada")</f>
        <v>Finalizada</v>
      </c>
      <c r="BF1121" s="97"/>
      <c r="BG1121" s="97" t="str">
        <f>IFERROR(__xludf.DUMMYFUNCTION("""COMPUTED_VALUE"""),"Activo")</f>
        <v>Activo</v>
      </c>
    </row>
    <row r="1122">
      <c r="A1122" s="97">
        <f>IFERROR(__xludf.DUMMYFUNCTION("""COMPUTED_VALUE"""),7040.0)</f>
        <v>7040</v>
      </c>
      <c r="B1122" s="97" t="str">
        <f>IFERROR(__xludf.DUMMYFUNCTION("""COMPUTED_VALUE"""),"MEX NG 18W 3CCT")</f>
        <v>MEX NG 18W 3CCT</v>
      </c>
      <c r="C1122" s="97" t="str">
        <f>IFERROR(__xludf.DUMMYFUNCTION("""COMPUTED_VALUE"""),"CABEZAL MEX NG 18W 3CCT 18W 2700/4000/6000K 1335LM CRI&gt;90 IP20 LEUK")</f>
        <v>CABEZAL MEX NG 18W 3CCT 18W 2700/4000/6000K 1335LM CRI&gt;90 IP20 LEUK</v>
      </c>
      <c r="D1122" s="97">
        <f>IFERROR(__xludf.DUMMYFUNCTION("""COMPUTED_VALUE"""),7.7984132256E12)</f>
        <v>7798413225600</v>
      </c>
      <c r="E1122" s="97" t="str">
        <f>IFERROR(__xludf.DUMMYFUNCTION("""COMPUTED_VALUE"""),"F150")</f>
        <v>F150</v>
      </c>
      <c r="F1122" s="97" t="str">
        <f>IFERROR(__xludf.DUMMYFUNCTION("""COMPUTED_VALUE"""),"LED COB")</f>
        <v>LED COB</v>
      </c>
      <c r="G1122" s="97" t="str">
        <f>IFERROR(__xludf.DUMMYFUNCTION("""COMPUTED_VALUE"""),"-")</f>
        <v>-</v>
      </c>
      <c r="H1122" s="97" t="str">
        <f>IFERROR(__xludf.DUMMYFUNCTION("""COMPUTED_VALUE"""),"-")</f>
        <v>-</v>
      </c>
      <c r="I1122" s="97"/>
      <c r="J1122" s="97"/>
      <c r="K1122" s="97" t="str">
        <f>IFERROR(__xludf.DUMMYFUNCTION("""COMPUTED_VALUE"""),"ON/OFF")</f>
        <v>ON/OFF</v>
      </c>
      <c r="L1122" s="97" t="str">
        <f>IFERROR(__xludf.DUMMYFUNCTION("""COMPUTED_VALUE"""),"200-240")</f>
        <v>200-240</v>
      </c>
      <c r="M1122" s="97" t="str">
        <f>IFERROR(__xludf.DUMMYFUNCTION("""COMPUTED_VALUE"""),"50/60")</f>
        <v>50/60</v>
      </c>
      <c r="N1122" s="97" t="str">
        <f>IFERROR(__xludf.DUMMYFUNCTION("""COMPUTED_VALUE"""),"Directa-Direccional")</f>
        <v>Directa-Direccional</v>
      </c>
      <c r="O1122" s="97">
        <f>IFERROR(__xludf.DUMMYFUNCTION("""COMPUTED_VALUE"""),18.0)</f>
        <v>18</v>
      </c>
      <c r="P1122" s="97"/>
      <c r="Q1122" s="97">
        <f>IFERROR(__xludf.DUMMYFUNCTION("""COMPUTED_VALUE"""),0.49)</f>
        <v>0.49</v>
      </c>
      <c r="R1122" s="97" t="str">
        <f>IFERROR(__xludf.DUMMYFUNCTION("""COMPUTED_VALUE"""),"-")</f>
        <v>-</v>
      </c>
      <c r="S1122" s="97" t="str">
        <f>IFERROR(__xludf.DUMMYFUNCTION("""COMPUTED_VALUE"""),"-")</f>
        <v>-</v>
      </c>
      <c r="T1122" s="97">
        <f>IFERROR(__xludf.DUMMYFUNCTION("""COMPUTED_VALUE"""),1335.0)</f>
        <v>1335</v>
      </c>
      <c r="U1122" s="99">
        <f>IFERROR(__xludf.DUMMYFUNCTION("""COMPUTED_VALUE"""),74.16666666666667)</f>
        <v>74.16666667</v>
      </c>
      <c r="V1122" s="97" t="str">
        <f>IFERROR(__xludf.DUMMYFUNCTION("""COMPUTED_VALUE"""),"15 / 24 / 36")</f>
        <v>15 / 24 / 36</v>
      </c>
      <c r="W1122" s="97" t="str">
        <f>IFERROR(__xludf.DUMMYFUNCTION("""COMPUTED_VALUE"""),"&lt; 18")</f>
        <v>&lt; 18</v>
      </c>
      <c r="X1122" s="97" t="str">
        <f>IFERROR(__xludf.DUMMYFUNCTION("""COMPUTED_VALUE"""),"2700/4000/6000")</f>
        <v>2700/4000/6000</v>
      </c>
      <c r="Y1122" s="97" t="str">
        <f>IFERROR(__xludf.DUMMYFUNCTION("""COMPUTED_VALUE"""),"&gt;90")</f>
        <v>&gt;90</v>
      </c>
      <c r="Z1122" s="97"/>
      <c r="AA1122" s="97"/>
      <c r="AB1122" s="97" t="str">
        <f>IFERROR(__xludf.DUMMYFUNCTION("""COMPUTED_VALUE"""),"-")</f>
        <v>-</v>
      </c>
      <c r="AC1122" s="97"/>
      <c r="AD1122" s="97" t="str">
        <f>IFERROR(__xludf.DUMMYFUNCTION("""COMPUTED_VALUE"""),"IP20")</f>
        <v>IP20</v>
      </c>
      <c r="AE1122" s="97" t="str">
        <f>IFERROR(__xludf.DUMMYFUNCTION("""COMPUTED_VALUE"""),"Clase l")</f>
        <v>Clase l</v>
      </c>
      <c r="AF1122" s="97" t="str">
        <f>IFERROR(__xludf.DUMMYFUNCTION("""COMPUTED_VALUE"""),"Cabezal")</f>
        <v>Cabezal</v>
      </c>
      <c r="AG1122" s="97" t="str">
        <f>IFERROR(__xludf.DUMMYFUNCTION("""COMPUTED_VALUE"""),"Ø60 x 165")</f>
        <v>Ø60 x 165</v>
      </c>
      <c r="AH1122" s="97" t="str">
        <f>IFERROR(__xludf.DUMMYFUNCTION("""COMPUTED_VALUE"""),"N/A")</f>
        <v>N/A</v>
      </c>
      <c r="AI1122" s="97" t="str">
        <f>IFERROR(__xludf.DUMMYFUNCTION("""COMPUTED_VALUE"""),"N/A")</f>
        <v>N/A</v>
      </c>
      <c r="AJ1122" s="97" t="str">
        <f>IFERROR(__xludf.DUMMYFUNCTION("""COMPUTED_VALUE"""),"PMMA")</f>
        <v>PMMA</v>
      </c>
      <c r="AK1122" s="97" t="str">
        <f>IFERROR(__xludf.DUMMYFUNCTION("""COMPUTED_VALUE"""),"Aluminio")</f>
        <v>Aluminio</v>
      </c>
      <c r="AL1122" s="97" t="str">
        <f>IFERROR(__xludf.DUMMYFUNCTION("""COMPUTED_VALUE"""),"Negro Satinado")</f>
        <v>Negro Satinado</v>
      </c>
      <c r="AM1122" s="97" t="str">
        <f>IFERROR(__xludf.DUMMYFUNCTION("""COMPUTED_VALUE"""),"-")</f>
        <v>-</v>
      </c>
      <c r="AN1122" s="97" t="str">
        <f>IFERROR(__xludf.DUMMYFUNCTION("""COMPUTED_VALUE"""),"25.000hs (L70)")</f>
        <v>25.000hs (L70)</v>
      </c>
      <c r="AO1122" s="97" t="str">
        <f>IFERROR(__xludf.DUMMYFUNCTION("""COMPUTED_VALUE"""),"2 Años")</f>
        <v>2 Años</v>
      </c>
      <c r="AP1122" s="97" t="str">
        <f>IFERROR(__xludf.DUMMYFUNCTION("""COMPUTED_VALUE"""),"Disponible")</f>
        <v>Disponible</v>
      </c>
      <c r="AQ1122" s="97" t="str">
        <f>IFERROR(__xludf.DUMMYFUNCTION("""COMPUTED_VALUE"""),"Disponible")</f>
        <v>Disponible</v>
      </c>
      <c r="AR1122" s="97" t="str">
        <f>IFERROR(__xludf.DUMMYFUNCTION("""COMPUTED_VALUE"""),"Disponible")</f>
        <v>Disponible</v>
      </c>
      <c r="AS1122" s="97"/>
      <c r="AT1122" s="97"/>
      <c r="AU1122" s="97" t="str">
        <f>IFERROR(__xludf.DUMMYFUNCTION("""COMPUTED_VALUE"""),"Falta")</f>
        <v>Falta</v>
      </c>
      <c r="AV1122" s="97" t="str">
        <f>IFERROR(__xludf.DUMMYFUNCTION("""COMPUTED_VALUE"""),"Cabezal")</f>
        <v>Cabezal</v>
      </c>
      <c r="AW1122" s="97" t="str">
        <f>IFERROR(__xludf.DUMMYFUNCTION("""COMPUTED_VALUE"""),"De Techo")</f>
        <v>De Techo</v>
      </c>
      <c r="AX1122" s="97" t="str">
        <f>IFERROR(__xludf.DUMMYFUNCTION("""COMPUTED_VALUE"""),"Interior")</f>
        <v>Interior</v>
      </c>
      <c r="AY1122" s="97" t="str">
        <f>IFERROR(__xludf.DUMMYFUNCTION("""COMPUTED_VALUE"""),"-")</f>
        <v>-</v>
      </c>
      <c r="AZ1122"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122" s="97">
        <f>IFERROR(__xludf.DUMMYFUNCTION("""COMPUTED_VALUE"""),25.0)</f>
        <v>25</v>
      </c>
      <c r="BB1122" s="97" t="str">
        <f>IFERROR(__xludf.DUMMYFUNCTION("""COMPUTED_VALUE"""),"-")</f>
        <v>-</v>
      </c>
      <c r="BC1122" s="97" t="str">
        <f>IFERROR(__xludf.DUMMYFUNCTION("""COMPUTED_VALUE"""),"-")</f>
        <v>-</v>
      </c>
      <c r="BD1122" s="97" t="str">
        <f>IFERROR(__xludf.DUMMYFUNCTION("""COMPUTED_VALUE"""),"MEX 3CCT")</f>
        <v>MEX 3CCT</v>
      </c>
      <c r="BE1122" s="97" t="str">
        <f>IFERROR(__xludf.DUMMYFUNCTION("""COMPUTED_VALUE"""),"Finalizada")</f>
        <v>Finalizada</v>
      </c>
      <c r="BF1122" s="97"/>
      <c r="BG1122" s="97" t="str">
        <f>IFERROR(__xludf.DUMMYFUNCTION("""COMPUTED_VALUE"""),"Activo")</f>
        <v>Activo</v>
      </c>
    </row>
    <row r="1123">
      <c r="A1123" s="97">
        <f>IFERROR(__xludf.DUMMYFUNCTION("""COMPUTED_VALUE"""),7041.0)</f>
        <v>7041</v>
      </c>
      <c r="B1123" s="97" t="str">
        <f>IFERROR(__xludf.DUMMYFUNCTION("""COMPUTED_VALUE"""),"MEX NG 25W 3CCT")</f>
        <v>MEX NG 25W 3CCT</v>
      </c>
      <c r="C1123" s="97" t="str">
        <f>IFERROR(__xludf.DUMMYFUNCTION("""COMPUTED_VALUE"""),"CABEZAL MEX NG 25W 3CCT 25W 2700/4000/6000K 1770LM CRI&gt;90 IP20 LEUK")</f>
        <v>CABEZAL MEX NG 25W 3CCT 25W 2700/4000/6000K 1770LM CRI&gt;90 IP20 LEUK</v>
      </c>
      <c r="D1123" s="97">
        <f>IFERROR(__xludf.DUMMYFUNCTION("""COMPUTED_VALUE"""),7.798413225617E12)</f>
        <v>7798413225617</v>
      </c>
      <c r="E1123" s="97" t="str">
        <f>IFERROR(__xludf.DUMMYFUNCTION("""COMPUTED_VALUE"""),"F40")</f>
        <v>F40</v>
      </c>
      <c r="F1123" s="97" t="str">
        <f>IFERROR(__xludf.DUMMYFUNCTION("""COMPUTED_VALUE"""),"LED COB")</f>
        <v>LED COB</v>
      </c>
      <c r="G1123" s="97" t="str">
        <f>IFERROR(__xludf.DUMMYFUNCTION("""COMPUTED_VALUE"""),"-")</f>
        <v>-</v>
      </c>
      <c r="H1123" s="97" t="str">
        <f>IFERROR(__xludf.DUMMYFUNCTION("""COMPUTED_VALUE"""),"-")</f>
        <v>-</v>
      </c>
      <c r="I1123" s="97"/>
      <c r="J1123" s="97" t="str">
        <f>IFERROR(__xludf.DUMMYFUNCTION("""COMPUTED_VALUE"""),"Modelo: 30W
In: 180-240Vac 50/60Hz
Out: 80-150Vdc 250mA
Ta 45ºC Tc 80ºC")</f>
        <v>Modelo: 30W
In: 180-240Vac 50/60Hz
Out: 80-150Vdc 250mA
Ta 45ºC Tc 80ºC</v>
      </c>
      <c r="K1123" s="97" t="str">
        <f>IFERROR(__xludf.DUMMYFUNCTION("""COMPUTED_VALUE"""),"ON/OFF")</f>
        <v>ON/OFF</v>
      </c>
      <c r="L1123" s="97" t="str">
        <f>IFERROR(__xludf.DUMMYFUNCTION("""COMPUTED_VALUE"""),"200-240")</f>
        <v>200-240</v>
      </c>
      <c r="M1123" s="97" t="str">
        <f>IFERROR(__xludf.DUMMYFUNCTION("""COMPUTED_VALUE"""),"50/60")</f>
        <v>50/60</v>
      </c>
      <c r="N1123" s="97" t="str">
        <f>IFERROR(__xludf.DUMMYFUNCTION("""COMPUTED_VALUE"""),"Directa-Direccional")</f>
        <v>Directa-Direccional</v>
      </c>
      <c r="O1123" s="97">
        <f>IFERROR(__xludf.DUMMYFUNCTION("""COMPUTED_VALUE"""),25.0)</f>
        <v>25</v>
      </c>
      <c r="P1123" s="97"/>
      <c r="Q1123" s="97">
        <f>IFERROR(__xludf.DUMMYFUNCTION("""COMPUTED_VALUE"""),0.49)</f>
        <v>0.49</v>
      </c>
      <c r="R1123" s="97" t="str">
        <f>IFERROR(__xludf.DUMMYFUNCTION("""COMPUTED_VALUE"""),"-")</f>
        <v>-</v>
      </c>
      <c r="S1123" s="97" t="str">
        <f>IFERROR(__xludf.DUMMYFUNCTION("""COMPUTED_VALUE"""),"-")</f>
        <v>-</v>
      </c>
      <c r="T1123" s="97">
        <f>IFERROR(__xludf.DUMMYFUNCTION("""COMPUTED_VALUE"""),1770.0)</f>
        <v>1770</v>
      </c>
      <c r="U1123" s="99">
        <f>IFERROR(__xludf.DUMMYFUNCTION("""COMPUTED_VALUE"""),70.8)</f>
        <v>70.8</v>
      </c>
      <c r="V1123" s="97" t="str">
        <f>IFERROR(__xludf.DUMMYFUNCTION("""COMPUTED_VALUE"""),"15 / 24 / 36")</f>
        <v>15 / 24 / 36</v>
      </c>
      <c r="W1123" s="97" t="str">
        <f>IFERROR(__xludf.DUMMYFUNCTION("""COMPUTED_VALUE"""),"&lt; 18")</f>
        <v>&lt; 18</v>
      </c>
      <c r="X1123" s="97" t="str">
        <f>IFERROR(__xludf.DUMMYFUNCTION("""COMPUTED_VALUE"""),"2700/4000/6000")</f>
        <v>2700/4000/6000</v>
      </c>
      <c r="Y1123" s="97" t="str">
        <f>IFERROR(__xludf.DUMMYFUNCTION("""COMPUTED_VALUE"""),"&gt;90")</f>
        <v>&gt;90</v>
      </c>
      <c r="Z1123" s="97"/>
      <c r="AA1123" s="97"/>
      <c r="AB1123" s="97" t="str">
        <f>IFERROR(__xludf.DUMMYFUNCTION("""COMPUTED_VALUE"""),"-")</f>
        <v>-</v>
      </c>
      <c r="AC1123" s="97"/>
      <c r="AD1123" s="97" t="str">
        <f>IFERROR(__xludf.DUMMYFUNCTION("""COMPUTED_VALUE"""),"IP20")</f>
        <v>IP20</v>
      </c>
      <c r="AE1123" s="97" t="str">
        <f>IFERROR(__xludf.DUMMYFUNCTION("""COMPUTED_VALUE"""),"Clase l")</f>
        <v>Clase l</v>
      </c>
      <c r="AF1123" s="97" t="str">
        <f>IFERROR(__xludf.DUMMYFUNCTION("""COMPUTED_VALUE"""),"Cabezal")</f>
        <v>Cabezal</v>
      </c>
      <c r="AG1123" s="97" t="str">
        <f>IFERROR(__xludf.DUMMYFUNCTION("""COMPUTED_VALUE"""),"Ø74 x 175")</f>
        <v>Ø74 x 175</v>
      </c>
      <c r="AH1123" s="97" t="str">
        <f>IFERROR(__xludf.DUMMYFUNCTION("""COMPUTED_VALUE"""),"N/A")</f>
        <v>N/A</v>
      </c>
      <c r="AI1123" s="97" t="str">
        <f>IFERROR(__xludf.DUMMYFUNCTION("""COMPUTED_VALUE"""),"N/A")</f>
        <v>N/A</v>
      </c>
      <c r="AJ1123" s="97" t="str">
        <f>IFERROR(__xludf.DUMMYFUNCTION("""COMPUTED_VALUE"""),"PMMA")</f>
        <v>PMMA</v>
      </c>
      <c r="AK1123" s="97" t="str">
        <f>IFERROR(__xludf.DUMMYFUNCTION("""COMPUTED_VALUE"""),"Aluminio")</f>
        <v>Aluminio</v>
      </c>
      <c r="AL1123" s="97" t="str">
        <f>IFERROR(__xludf.DUMMYFUNCTION("""COMPUTED_VALUE"""),"Negro Satinado")</f>
        <v>Negro Satinado</v>
      </c>
      <c r="AM1123" s="97" t="str">
        <f>IFERROR(__xludf.DUMMYFUNCTION("""COMPUTED_VALUE"""),"-")</f>
        <v>-</v>
      </c>
      <c r="AN1123" s="97" t="str">
        <f>IFERROR(__xludf.DUMMYFUNCTION("""COMPUTED_VALUE"""),"25.000hs (L70)")</f>
        <v>25.000hs (L70)</v>
      </c>
      <c r="AO1123" s="97" t="str">
        <f>IFERROR(__xludf.DUMMYFUNCTION("""COMPUTED_VALUE"""),"2 Años")</f>
        <v>2 Años</v>
      </c>
      <c r="AP1123" s="97" t="str">
        <f>IFERROR(__xludf.DUMMYFUNCTION("""COMPUTED_VALUE"""),"Disponible")</f>
        <v>Disponible</v>
      </c>
      <c r="AQ1123" s="97" t="str">
        <f>IFERROR(__xludf.DUMMYFUNCTION("""COMPUTED_VALUE"""),"Disponible")</f>
        <v>Disponible</v>
      </c>
      <c r="AR1123" s="97" t="str">
        <f>IFERROR(__xludf.DUMMYFUNCTION("""COMPUTED_VALUE"""),"Disponible")</f>
        <v>Disponible</v>
      </c>
      <c r="AS1123" s="97"/>
      <c r="AT1123" s="97"/>
      <c r="AU1123" s="97" t="str">
        <f>IFERROR(__xludf.DUMMYFUNCTION("""COMPUTED_VALUE"""),"Falta")</f>
        <v>Falta</v>
      </c>
      <c r="AV1123" s="97" t="str">
        <f>IFERROR(__xludf.DUMMYFUNCTION("""COMPUTED_VALUE"""),"Cabezal")</f>
        <v>Cabezal</v>
      </c>
      <c r="AW1123" s="97" t="str">
        <f>IFERROR(__xludf.DUMMYFUNCTION("""COMPUTED_VALUE"""),"De Techo")</f>
        <v>De Techo</v>
      </c>
      <c r="AX1123" s="97" t="str">
        <f>IFERROR(__xludf.DUMMYFUNCTION("""COMPUTED_VALUE"""),"Interior")</f>
        <v>Interior</v>
      </c>
      <c r="AY1123" s="97" t="str">
        <f>IFERROR(__xludf.DUMMYFUNCTION("""COMPUTED_VALUE"""),"-")</f>
        <v>-</v>
      </c>
      <c r="AZ1123" s="97" t="str">
        <f>IFERROR(__xludf.DUMMYFUNCTION("""COMPUTED_VALUE"""),"Movimiento 90°. Rotación 350°. Incluye lente 36° + 2 lentes intercambiables: 15° y 24°. Con Rosca hembra + entrerrosca para unión universal.")</f>
        <v>Movimiento 90°. Rotación 350°. Incluye lente 36° + 2 lentes intercambiables: 15° y 24°. Con Rosca hembra + entrerrosca para unión universal.</v>
      </c>
      <c r="BA1123" s="97">
        <f>IFERROR(__xludf.DUMMYFUNCTION("""COMPUTED_VALUE"""),25.0)</f>
        <v>25</v>
      </c>
      <c r="BB1123" s="97" t="str">
        <f>IFERROR(__xludf.DUMMYFUNCTION("""COMPUTED_VALUE"""),"-")</f>
        <v>-</v>
      </c>
      <c r="BC1123" s="97" t="str">
        <f>IFERROR(__xludf.DUMMYFUNCTION("""COMPUTED_VALUE"""),"-")</f>
        <v>-</v>
      </c>
      <c r="BD1123" s="97" t="str">
        <f>IFERROR(__xludf.DUMMYFUNCTION("""COMPUTED_VALUE"""),"MEX 3CCT")</f>
        <v>MEX 3CCT</v>
      </c>
      <c r="BE1123" s="97" t="str">
        <f>IFERROR(__xludf.DUMMYFUNCTION("""COMPUTED_VALUE"""),"Finalizada")</f>
        <v>Finalizada</v>
      </c>
      <c r="BF1123" s="97"/>
      <c r="BG1123" s="97" t="str">
        <f>IFERROR(__xludf.DUMMYFUNCTION("""COMPUTED_VALUE"""),"Activo")</f>
        <v>Activo</v>
      </c>
    </row>
    <row r="1124">
      <c r="A1124" s="97">
        <f>IFERROR(__xludf.DUMMYFUNCTION("""COMPUTED_VALUE"""),7042.0)</f>
        <v>7042</v>
      </c>
      <c r="B1124" s="97" t="str">
        <f>IFERROR(__xludf.DUMMYFUNCTION("""COMPUTED_VALUE"""),"MIRACLE II S NG")</f>
        <v>MIRACLE II S NG</v>
      </c>
      <c r="C1124" s="97" t="str">
        <f>IFERROR(__xludf.DUMMYFUNCTION("""COMPUTED_VALUE"""),"COLGANTE MIRACLE II S NG 40W 2700/3300/4000K 1900 + 875LM CRI&gt;90 IP20 LEUK")</f>
        <v>COLGANTE MIRACLE II S NG 40W 2700/3300/4000K 1900 + 875LM CRI&gt;90 IP20 LEUK</v>
      </c>
      <c r="D1124" s="97">
        <f>IFERROR(__xludf.DUMMYFUNCTION("""COMPUTED_VALUE"""),7.798413225624E12)</f>
        <v>7798413225624</v>
      </c>
      <c r="E1124" s="97" t="str">
        <f>IFERROR(__xludf.DUMMYFUNCTION("""COMPUTED_VALUE"""),"i25")</f>
        <v>i25</v>
      </c>
      <c r="F1124" s="97" t="str">
        <f>IFERROR(__xludf.DUMMYFUNCTION("""COMPUTED_VALUE"""),"LED SMD3030")</f>
        <v>LED SMD3030</v>
      </c>
      <c r="G1124" s="97" t="str">
        <f>IFERROR(__xludf.DUMMYFUNCTION("""COMPUTED_VALUE"""),"Bridgelux")</f>
        <v>Bridgelux</v>
      </c>
      <c r="H1124" s="97" t="str">
        <f>IFERROR(__xludf.DUMMYFUNCTION("""COMPUTED_VALUE"""),"Lifud")</f>
        <v>Lifud</v>
      </c>
      <c r="I1124" s="97"/>
      <c r="J1124" s="97" t="str">
        <f>IFERROR(__xludf.DUMMYFUNCTION("""COMPUTED_VALUE"""),"Modelo: LF-GMR040YS III 1000H
In: 220-240Vac 0.24A 50/60Hz
Out: 20-40Vdc 1000mA - 40W
Pf 0.95 Tc 85°C Ta 60°C")</f>
        <v>Modelo: LF-GMR040YS III 1000H
In: 220-240Vac 0.24A 50/60Hz
Out: 20-40Vdc 1000mA - 40W
Pf 0.95 Tc 85°C Ta 60°C</v>
      </c>
      <c r="K1124" s="97" t="str">
        <f>IFERROR(__xludf.DUMMYFUNCTION("""COMPUTED_VALUE"""),"ON/OFF")</f>
        <v>ON/OFF</v>
      </c>
      <c r="L1124" s="97" t="str">
        <f>IFERROR(__xludf.DUMMYFUNCTION("""COMPUTED_VALUE"""),"200-240")</f>
        <v>200-240</v>
      </c>
      <c r="M1124" s="97" t="str">
        <f>IFERROR(__xludf.DUMMYFUNCTION("""COMPUTED_VALUE"""),"50/60")</f>
        <v>50/60</v>
      </c>
      <c r="N1124" s="97" t="str">
        <f>IFERROR(__xludf.DUMMYFUNCTION("""COMPUTED_VALUE"""),"Directa-Indirecta")</f>
        <v>Directa-Indirecta</v>
      </c>
      <c r="O1124" s="97">
        <f>IFERROR(__xludf.DUMMYFUNCTION("""COMPUTED_VALUE"""),40.0)</f>
        <v>40</v>
      </c>
      <c r="P1124" s="97"/>
      <c r="Q1124" s="97">
        <f>IFERROR(__xludf.DUMMYFUNCTION("""COMPUTED_VALUE"""),0.95)</f>
        <v>0.95</v>
      </c>
      <c r="R1124" s="97" t="str">
        <f>IFERROR(__xludf.DUMMYFUNCTION("""COMPUTED_VALUE"""),"-")</f>
        <v>-</v>
      </c>
      <c r="S1124" s="97" t="str">
        <f>IFERROR(__xludf.DUMMYFUNCTION("""COMPUTED_VALUE"""),"-")</f>
        <v>-</v>
      </c>
      <c r="T1124" s="97" t="str">
        <f>IFERROR(__xludf.DUMMYFUNCTION("""COMPUTED_VALUE"""),"1900 + 875")</f>
        <v>1900 + 875</v>
      </c>
      <c r="U1124" s="99">
        <f>IFERROR(__xludf.DUMMYFUNCTION("""COMPUTED_VALUE"""),69.375)</f>
        <v>69.375</v>
      </c>
      <c r="V1124" s="97" t="str">
        <f>IFERROR(__xludf.DUMMYFUNCTION("""COMPUTED_VALUE"""),"36 + 114")</f>
        <v>36 + 114</v>
      </c>
      <c r="W1124" s="97" t="str">
        <f>IFERROR(__xludf.DUMMYFUNCTION("""COMPUTED_VALUE"""),"&lt; 14")</f>
        <v>&lt; 14</v>
      </c>
      <c r="X1124" s="97" t="str">
        <f>IFERROR(__xludf.DUMMYFUNCTION("""COMPUTED_VALUE"""),"2700/3300/4000")</f>
        <v>2700/3300/4000</v>
      </c>
      <c r="Y1124" s="97" t="str">
        <f>IFERROR(__xludf.DUMMYFUNCTION("""COMPUTED_VALUE"""),"&gt;90")</f>
        <v>&gt;90</v>
      </c>
      <c r="Z1124" s="97"/>
      <c r="AA1124" s="97"/>
      <c r="AB1124" s="97" t="str">
        <f>IFERROR(__xludf.DUMMYFUNCTION("""COMPUTED_VALUE"""),"-")</f>
        <v>-</v>
      </c>
      <c r="AC1124" s="97"/>
      <c r="AD1124" s="97" t="str">
        <f>IFERROR(__xludf.DUMMYFUNCTION("""COMPUTED_VALUE"""),"IP20")</f>
        <v>IP20</v>
      </c>
      <c r="AE1124" s="97" t="str">
        <f>IFERROR(__xludf.DUMMYFUNCTION("""COMPUTED_VALUE"""),"Clase l")</f>
        <v>Clase l</v>
      </c>
      <c r="AF1124" s="97" t="str">
        <f>IFERROR(__xludf.DUMMYFUNCTION("""COMPUTED_VALUE"""),"Suspender")</f>
        <v>Suspender</v>
      </c>
      <c r="AG1124" s="97" t="str">
        <f>IFERROR(__xludf.DUMMYFUNCTION("""COMPUTED_VALUE"""),"1200 x 70 x 16")</f>
        <v>1200 x 70 x 16</v>
      </c>
      <c r="AH1124" s="97" t="str">
        <f>IFERROR(__xludf.DUMMYFUNCTION("""COMPUTED_VALUE"""),"N/A")</f>
        <v>N/A</v>
      </c>
      <c r="AI1124" s="97" t="str">
        <f>IFERROR(__xludf.DUMMYFUNCTION("""COMPUTED_VALUE"""),"N/A")</f>
        <v>N/A</v>
      </c>
      <c r="AJ1124" s="97" t="str">
        <f>IFERROR(__xludf.DUMMYFUNCTION("""COMPUTED_VALUE"""),"PMMA")</f>
        <v>PMMA</v>
      </c>
      <c r="AK1124" s="97" t="str">
        <f>IFERROR(__xludf.DUMMYFUNCTION("""COMPUTED_VALUE"""),"Aluminio")</f>
        <v>Aluminio</v>
      </c>
      <c r="AL1124" s="97" t="str">
        <f>IFERROR(__xludf.DUMMYFUNCTION("""COMPUTED_VALUE"""),"Negro Mate")</f>
        <v>Negro Mate</v>
      </c>
      <c r="AM1124" s="97" t="str">
        <f>IFERROR(__xludf.DUMMYFUNCTION("""COMPUTED_VALUE"""),"-")</f>
        <v>-</v>
      </c>
      <c r="AN1124" s="97" t="str">
        <f>IFERROR(__xludf.DUMMYFUNCTION("""COMPUTED_VALUE"""),"50.000hs (L80)")</f>
        <v>50.000hs (L80)</v>
      </c>
      <c r="AO1124" s="97" t="str">
        <f>IFERROR(__xludf.DUMMYFUNCTION("""COMPUTED_VALUE"""),"5 Años")</f>
        <v>5 Años</v>
      </c>
      <c r="AP1124" s="97" t="str">
        <f>IFERROR(__xludf.DUMMYFUNCTION("""COMPUTED_VALUE"""),"Disponible")</f>
        <v>Disponible</v>
      </c>
      <c r="AQ1124" s="97" t="str">
        <f>IFERROR(__xludf.DUMMYFUNCTION("""COMPUTED_VALUE"""),"Disponible")</f>
        <v>Disponible</v>
      </c>
      <c r="AR1124" s="97" t="str">
        <f>IFERROR(__xludf.DUMMYFUNCTION("""COMPUTED_VALUE"""),"Disponible")</f>
        <v>Disponible</v>
      </c>
      <c r="AS1124" s="97"/>
      <c r="AT1124" s="97"/>
      <c r="AU1124" s="97" t="str">
        <f>IFERROR(__xludf.DUMMYFUNCTION("""COMPUTED_VALUE"""),"Falta")</f>
        <v>Falta</v>
      </c>
      <c r="AV1124" s="97" t="str">
        <f>IFERROR(__xludf.DUMMYFUNCTION("""COMPUTED_VALUE"""),"Colgante")</f>
        <v>Colgante</v>
      </c>
      <c r="AW1124" s="97" t="str">
        <f>IFERROR(__xludf.DUMMYFUNCTION("""COMPUTED_VALUE"""),"De Techo")</f>
        <v>De Techo</v>
      </c>
      <c r="AX1124" s="97" t="str">
        <f>IFERROR(__xludf.DUMMYFUNCTION("""COMPUTED_VALUE"""),"Interior")</f>
        <v>Interior</v>
      </c>
      <c r="AY1124" s="97" t="str">
        <f>IFERROR(__xludf.DUMMYFUNCTION("""COMPUTED_VALUE"""),"Confort Visual")</f>
        <v>Confort Visual</v>
      </c>
      <c r="AZ1124" s="97" t="str">
        <f>IFERROR(__xludf.DUMMYFUNCTION("""COMPUTED_VALUE"""),"Switch 3-CCT. 2mts cable. Florón 325x48x28(h)mm.")</f>
        <v>Switch 3-CCT. 2mts cable. Florón 325x48x28(h)mm.</v>
      </c>
      <c r="BA1124" s="97">
        <f>IFERROR(__xludf.DUMMYFUNCTION("""COMPUTED_VALUE"""),10.0)</f>
        <v>10</v>
      </c>
      <c r="BB1124" s="97" t="str">
        <f>IFERROR(__xludf.DUMMYFUNCTION("""COMPUTED_VALUE"""),"-")</f>
        <v>-</v>
      </c>
      <c r="BC1124" s="97" t="str">
        <f>IFERROR(__xludf.DUMMYFUNCTION("""COMPUTED_VALUE"""),"-")</f>
        <v>-</v>
      </c>
      <c r="BD1124" s="97" t="str">
        <f>IFERROR(__xludf.DUMMYFUNCTION("""COMPUTED_VALUE"""),"MIRACLE II")</f>
        <v>MIRACLE II</v>
      </c>
      <c r="BE1124" s="97" t="str">
        <f>IFERROR(__xludf.DUMMYFUNCTION("""COMPUTED_VALUE"""),"Finalizada")</f>
        <v>Finalizada</v>
      </c>
      <c r="BF1124" s="97"/>
      <c r="BG1124" s="97" t="str">
        <f>IFERROR(__xludf.DUMMYFUNCTION("""COMPUTED_VALUE"""),"Activo")</f>
        <v>Activo</v>
      </c>
    </row>
    <row r="1125">
      <c r="A1125" s="97">
        <f>IFERROR(__xludf.DUMMYFUNCTION("""COMPUTED_VALUE"""),7043.0)</f>
        <v>7043</v>
      </c>
      <c r="B1125" s="97" t="str">
        <f>IFERROR(__xludf.DUMMYFUNCTION("""COMPUTED_VALUE"""),"MIRACLE II S BL")</f>
        <v>MIRACLE II S BL</v>
      </c>
      <c r="C1125" s="97" t="str">
        <f>IFERROR(__xludf.DUMMYFUNCTION("""COMPUTED_VALUE"""),"COLGANTE MIRACLE II S BL 40W 2700/3300/4000K 1900 + 875LM CRI&gt;90 IP20 LEUK")</f>
        <v>COLGANTE MIRACLE II S BL 40W 2700/3300/4000K 1900 + 875LM CRI&gt;90 IP20 LEUK</v>
      </c>
      <c r="D1125" s="97">
        <f>IFERROR(__xludf.DUMMYFUNCTION("""COMPUTED_VALUE"""),7.798413225631E12)</f>
        <v>7798413225631</v>
      </c>
      <c r="E1125" s="97" t="str">
        <f>IFERROR(__xludf.DUMMYFUNCTION("""COMPUTED_VALUE"""),"i26")</f>
        <v>i26</v>
      </c>
      <c r="F1125" s="97" t="str">
        <f>IFERROR(__xludf.DUMMYFUNCTION("""COMPUTED_VALUE"""),"LED SMD3030")</f>
        <v>LED SMD3030</v>
      </c>
      <c r="G1125" s="97" t="str">
        <f>IFERROR(__xludf.DUMMYFUNCTION("""COMPUTED_VALUE"""),"Bridgelux")</f>
        <v>Bridgelux</v>
      </c>
      <c r="H1125" s="97" t="str">
        <f>IFERROR(__xludf.DUMMYFUNCTION("""COMPUTED_VALUE"""),"Lifud")</f>
        <v>Lifud</v>
      </c>
      <c r="I1125" s="97"/>
      <c r="J1125" s="97" t="str">
        <f>IFERROR(__xludf.DUMMYFUNCTION("""COMPUTED_VALUE"""),"Modelo: LF-GMR040YS III 1000H
In: 220-240Vac 0.24A 50/60Hz
Out: 20-40Vdc 1000mA - 40W
Pf 0.95 Tc 85°C Ta 60°C")</f>
        <v>Modelo: LF-GMR040YS III 1000H
In: 220-240Vac 0.24A 50/60Hz
Out: 20-40Vdc 1000mA - 40W
Pf 0.95 Tc 85°C Ta 60°C</v>
      </c>
      <c r="K1125" s="97" t="str">
        <f>IFERROR(__xludf.DUMMYFUNCTION("""COMPUTED_VALUE"""),"ON/OFF")</f>
        <v>ON/OFF</v>
      </c>
      <c r="L1125" s="97" t="str">
        <f>IFERROR(__xludf.DUMMYFUNCTION("""COMPUTED_VALUE"""),"200-240")</f>
        <v>200-240</v>
      </c>
      <c r="M1125" s="97" t="str">
        <f>IFERROR(__xludf.DUMMYFUNCTION("""COMPUTED_VALUE"""),"50/60")</f>
        <v>50/60</v>
      </c>
      <c r="N1125" s="97" t="str">
        <f>IFERROR(__xludf.DUMMYFUNCTION("""COMPUTED_VALUE"""),"Directa-Indirecta")</f>
        <v>Directa-Indirecta</v>
      </c>
      <c r="O1125" s="97">
        <f>IFERROR(__xludf.DUMMYFUNCTION("""COMPUTED_VALUE"""),40.0)</f>
        <v>40</v>
      </c>
      <c r="P1125" s="97"/>
      <c r="Q1125" s="97">
        <f>IFERROR(__xludf.DUMMYFUNCTION("""COMPUTED_VALUE"""),0.95)</f>
        <v>0.95</v>
      </c>
      <c r="R1125" s="97" t="str">
        <f>IFERROR(__xludf.DUMMYFUNCTION("""COMPUTED_VALUE"""),"-")</f>
        <v>-</v>
      </c>
      <c r="S1125" s="97" t="str">
        <f>IFERROR(__xludf.DUMMYFUNCTION("""COMPUTED_VALUE"""),"-")</f>
        <v>-</v>
      </c>
      <c r="T1125" s="97" t="str">
        <f>IFERROR(__xludf.DUMMYFUNCTION("""COMPUTED_VALUE"""),"1900 + 875")</f>
        <v>1900 + 875</v>
      </c>
      <c r="U1125" s="99">
        <f>IFERROR(__xludf.DUMMYFUNCTION("""COMPUTED_VALUE"""),69.375)</f>
        <v>69.375</v>
      </c>
      <c r="V1125" s="97" t="str">
        <f>IFERROR(__xludf.DUMMYFUNCTION("""COMPUTED_VALUE"""),"36 + 114")</f>
        <v>36 + 114</v>
      </c>
      <c r="W1125" s="97" t="str">
        <f>IFERROR(__xludf.DUMMYFUNCTION("""COMPUTED_VALUE"""),"&lt; 14")</f>
        <v>&lt; 14</v>
      </c>
      <c r="X1125" s="97" t="str">
        <f>IFERROR(__xludf.DUMMYFUNCTION("""COMPUTED_VALUE"""),"2700/3300/4000")</f>
        <v>2700/3300/4000</v>
      </c>
      <c r="Y1125" s="97" t="str">
        <f>IFERROR(__xludf.DUMMYFUNCTION("""COMPUTED_VALUE"""),"&gt;90")</f>
        <v>&gt;90</v>
      </c>
      <c r="Z1125" s="97"/>
      <c r="AA1125" s="97"/>
      <c r="AB1125" s="97" t="str">
        <f>IFERROR(__xludf.DUMMYFUNCTION("""COMPUTED_VALUE"""),"-")</f>
        <v>-</v>
      </c>
      <c r="AC1125" s="97"/>
      <c r="AD1125" s="97" t="str">
        <f>IFERROR(__xludf.DUMMYFUNCTION("""COMPUTED_VALUE"""),"IP20")</f>
        <v>IP20</v>
      </c>
      <c r="AE1125" s="97" t="str">
        <f>IFERROR(__xludf.DUMMYFUNCTION("""COMPUTED_VALUE"""),"Clase l")</f>
        <v>Clase l</v>
      </c>
      <c r="AF1125" s="97" t="str">
        <f>IFERROR(__xludf.DUMMYFUNCTION("""COMPUTED_VALUE"""),"Suspender")</f>
        <v>Suspender</v>
      </c>
      <c r="AG1125" s="97" t="str">
        <f>IFERROR(__xludf.DUMMYFUNCTION("""COMPUTED_VALUE"""),"1200 x 70 x 16")</f>
        <v>1200 x 70 x 16</v>
      </c>
      <c r="AH1125" s="97" t="str">
        <f>IFERROR(__xludf.DUMMYFUNCTION("""COMPUTED_VALUE"""),"N/A")</f>
        <v>N/A</v>
      </c>
      <c r="AI1125" s="97" t="str">
        <f>IFERROR(__xludf.DUMMYFUNCTION("""COMPUTED_VALUE"""),"N/A")</f>
        <v>N/A</v>
      </c>
      <c r="AJ1125" s="97" t="str">
        <f>IFERROR(__xludf.DUMMYFUNCTION("""COMPUTED_VALUE"""),"PMMA")</f>
        <v>PMMA</v>
      </c>
      <c r="AK1125" s="97" t="str">
        <f>IFERROR(__xludf.DUMMYFUNCTION("""COMPUTED_VALUE"""),"Aluminio")</f>
        <v>Aluminio</v>
      </c>
      <c r="AL1125" s="97" t="str">
        <f>IFERROR(__xludf.DUMMYFUNCTION("""COMPUTED_VALUE"""),"Blanco Mate")</f>
        <v>Blanco Mate</v>
      </c>
      <c r="AM1125" s="97" t="str">
        <f>IFERROR(__xludf.DUMMYFUNCTION("""COMPUTED_VALUE"""),"-")</f>
        <v>-</v>
      </c>
      <c r="AN1125" s="97" t="str">
        <f>IFERROR(__xludf.DUMMYFUNCTION("""COMPUTED_VALUE"""),"50.000hs (L80)")</f>
        <v>50.000hs (L80)</v>
      </c>
      <c r="AO1125" s="97" t="str">
        <f>IFERROR(__xludf.DUMMYFUNCTION("""COMPUTED_VALUE"""),"5 Años")</f>
        <v>5 Años</v>
      </c>
      <c r="AP1125" s="97" t="str">
        <f>IFERROR(__xludf.DUMMYFUNCTION("""COMPUTED_VALUE"""),"Disponible")</f>
        <v>Disponible</v>
      </c>
      <c r="AQ1125" s="97" t="str">
        <f>IFERROR(__xludf.DUMMYFUNCTION("""COMPUTED_VALUE"""),"Disponible")</f>
        <v>Disponible</v>
      </c>
      <c r="AR1125" s="97" t="str">
        <f>IFERROR(__xludf.DUMMYFUNCTION("""COMPUTED_VALUE"""),"Disponible")</f>
        <v>Disponible</v>
      </c>
      <c r="AS1125" s="97"/>
      <c r="AT1125" s="97"/>
      <c r="AU1125" s="97" t="str">
        <f>IFERROR(__xludf.DUMMYFUNCTION("""COMPUTED_VALUE"""),"Falta")</f>
        <v>Falta</v>
      </c>
      <c r="AV1125" s="97" t="str">
        <f>IFERROR(__xludf.DUMMYFUNCTION("""COMPUTED_VALUE"""),"Colgante")</f>
        <v>Colgante</v>
      </c>
      <c r="AW1125" s="97" t="str">
        <f>IFERROR(__xludf.DUMMYFUNCTION("""COMPUTED_VALUE"""),"De Techo")</f>
        <v>De Techo</v>
      </c>
      <c r="AX1125" s="97" t="str">
        <f>IFERROR(__xludf.DUMMYFUNCTION("""COMPUTED_VALUE"""),"Interior")</f>
        <v>Interior</v>
      </c>
      <c r="AY1125" s="97" t="str">
        <f>IFERROR(__xludf.DUMMYFUNCTION("""COMPUTED_VALUE"""),"Confort Visual")</f>
        <v>Confort Visual</v>
      </c>
      <c r="AZ1125" s="97" t="str">
        <f>IFERROR(__xludf.DUMMYFUNCTION("""COMPUTED_VALUE"""),"Switch 3-CCT. 2mts cable. Florón 325x48x28(h)mm.")</f>
        <v>Switch 3-CCT. 2mts cable. Florón 325x48x28(h)mm.</v>
      </c>
      <c r="BA1125" s="97">
        <f>IFERROR(__xludf.DUMMYFUNCTION("""COMPUTED_VALUE"""),10.0)</f>
        <v>10</v>
      </c>
      <c r="BB1125" s="97" t="str">
        <f>IFERROR(__xludf.DUMMYFUNCTION("""COMPUTED_VALUE"""),"-")</f>
        <v>-</v>
      </c>
      <c r="BC1125" s="97" t="str">
        <f>IFERROR(__xludf.DUMMYFUNCTION("""COMPUTED_VALUE"""),"-")</f>
        <v>-</v>
      </c>
      <c r="BD1125" s="97" t="str">
        <f>IFERROR(__xludf.DUMMYFUNCTION("""COMPUTED_VALUE"""),"MIRACLE II")</f>
        <v>MIRACLE II</v>
      </c>
      <c r="BE1125" s="97" t="str">
        <f>IFERROR(__xludf.DUMMYFUNCTION("""COMPUTED_VALUE"""),"Finalizada")</f>
        <v>Finalizada</v>
      </c>
      <c r="BF1125" s="97"/>
      <c r="BG1125" s="97" t="str">
        <f>IFERROR(__xludf.DUMMYFUNCTION("""COMPUTED_VALUE"""),"Activo")</f>
        <v>Activo</v>
      </c>
    </row>
    <row r="1126">
      <c r="A1126" s="97">
        <f>IFERROR(__xludf.DUMMYFUNCTION("""COMPUTED_VALUE"""),7044.0)</f>
        <v>7044</v>
      </c>
      <c r="B1126" s="97" t="str">
        <f>IFERROR(__xludf.DUMMYFUNCTION("""COMPUTED_VALUE"""),"MIRACLE 180 S NG")</f>
        <v>MIRACLE 180 S NG</v>
      </c>
      <c r="C1126" s="97" t="str">
        <f>IFERROR(__xludf.DUMMYFUNCTION("""COMPUTED_VALUE"""),"COLGANTE MIRACLE 180 S NG 60W 2700/3300/4000K 3976LM CRI&gt;90 IP20 LEUK")</f>
        <v>COLGANTE MIRACLE 180 S NG 60W 2700/3300/4000K 3976LM CRI&gt;90 IP20 LEUK</v>
      </c>
      <c r="D1126" s="97">
        <f>IFERROR(__xludf.DUMMYFUNCTION("""COMPUTED_VALUE"""),7.798413225648E12)</f>
        <v>7798413225648</v>
      </c>
      <c r="E1126" s="97" t="str">
        <f>IFERROR(__xludf.DUMMYFUNCTION("""COMPUTED_VALUE"""),"i15")</f>
        <v>i15</v>
      </c>
      <c r="F1126" s="97" t="str">
        <f>IFERROR(__xludf.DUMMYFUNCTION("""COMPUTED_VALUE"""),"LED SMD3030")</f>
        <v>LED SMD3030</v>
      </c>
      <c r="G1126" s="97" t="str">
        <f>IFERROR(__xludf.DUMMYFUNCTION("""COMPUTED_VALUE"""),"Bridgelux")</f>
        <v>Bridgelux</v>
      </c>
      <c r="H1126" s="97" t="str">
        <f>IFERROR(__xludf.DUMMYFUNCTION("""COMPUTED_VALUE"""),"Lifud")</f>
        <v>Lifud</v>
      </c>
      <c r="I1126" s="97"/>
      <c r="J1126" s="97" t="str">
        <f>IFERROR(__xludf.DUMMYFUNCTION("""COMPUTED_VALUE"""),"Modelo: LF-GMR060YS III 1550H
In: 220-240Vac 0.27/0.33A 50/60Hz
Out: 20-40Vdc 1550mA - 60.4W
Pf 0.95 Tc 90°C Ta 60°C")</f>
        <v>Modelo: LF-GMR060YS III 1550H
In: 220-240Vac 0.27/0.33A 50/60Hz
Out: 20-40Vdc 1550mA - 60.4W
Pf 0.95 Tc 90°C Ta 60°C</v>
      </c>
      <c r="K1126" s="97" t="str">
        <f>IFERROR(__xludf.DUMMYFUNCTION("""COMPUTED_VALUE"""),"ON/OFF")</f>
        <v>ON/OFF</v>
      </c>
      <c r="L1126" s="97" t="str">
        <f>IFERROR(__xludf.DUMMYFUNCTION("""COMPUTED_VALUE"""),"200-240")</f>
        <v>200-240</v>
      </c>
      <c r="M1126" s="97" t="str">
        <f>IFERROR(__xludf.DUMMYFUNCTION("""COMPUTED_VALUE"""),"50/60")</f>
        <v>50/60</v>
      </c>
      <c r="N1126" s="97"/>
      <c r="O1126" s="97">
        <f>IFERROR(__xludf.DUMMYFUNCTION("""COMPUTED_VALUE"""),60.0)</f>
        <v>60</v>
      </c>
      <c r="P1126" s="97"/>
      <c r="Q1126" s="97">
        <f>IFERROR(__xludf.DUMMYFUNCTION("""COMPUTED_VALUE"""),0.95)</f>
        <v>0.95</v>
      </c>
      <c r="R1126" s="97" t="str">
        <f>IFERROR(__xludf.DUMMYFUNCTION("""COMPUTED_VALUE"""),"-")</f>
        <v>-</v>
      </c>
      <c r="S1126" s="97" t="str">
        <f>IFERROR(__xludf.DUMMYFUNCTION("""COMPUTED_VALUE"""),"-")</f>
        <v>-</v>
      </c>
      <c r="T1126" s="97">
        <f>IFERROR(__xludf.DUMMYFUNCTION("""COMPUTED_VALUE"""),3976.0)</f>
        <v>3976</v>
      </c>
      <c r="U1126" s="99">
        <f>IFERROR(__xludf.DUMMYFUNCTION("""COMPUTED_VALUE"""),66.26666666666667)</f>
        <v>66.26666667</v>
      </c>
      <c r="V1126" s="97">
        <f>IFERROR(__xludf.DUMMYFUNCTION("""COMPUTED_VALUE"""),36.0)</f>
        <v>36</v>
      </c>
      <c r="W1126" s="97" t="str">
        <f>IFERROR(__xludf.DUMMYFUNCTION("""COMPUTED_VALUE"""),"&lt; 14")</f>
        <v>&lt; 14</v>
      </c>
      <c r="X1126" s="97" t="str">
        <f>IFERROR(__xludf.DUMMYFUNCTION("""COMPUTED_VALUE"""),"2700/3300/4000")</f>
        <v>2700/3300/4000</v>
      </c>
      <c r="Y1126" s="97" t="str">
        <f>IFERROR(__xludf.DUMMYFUNCTION("""COMPUTED_VALUE"""),"&gt;90")</f>
        <v>&gt;90</v>
      </c>
      <c r="Z1126" s="97"/>
      <c r="AA1126" s="97"/>
      <c r="AB1126" s="97" t="str">
        <f>IFERROR(__xludf.DUMMYFUNCTION("""COMPUTED_VALUE"""),"-")</f>
        <v>-</v>
      </c>
      <c r="AC1126" s="97"/>
      <c r="AD1126" s="97" t="str">
        <f>IFERROR(__xludf.DUMMYFUNCTION("""COMPUTED_VALUE"""),"IP20")</f>
        <v>IP20</v>
      </c>
      <c r="AE1126" s="97" t="str">
        <f>IFERROR(__xludf.DUMMYFUNCTION("""COMPUTED_VALUE"""),"Clase l")</f>
        <v>Clase l</v>
      </c>
      <c r="AF1126" s="97" t="str">
        <f>IFERROR(__xludf.DUMMYFUNCTION("""COMPUTED_VALUE"""),"Suspender")</f>
        <v>Suspender</v>
      </c>
      <c r="AG1126" s="97" t="str">
        <f>IFERROR(__xludf.DUMMYFUNCTION("""COMPUTED_VALUE"""),"1790 x 70 x 16")</f>
        <v>1790 x 70 x 16</v>
      </c>
      <c r="AH1126" s="97" t="str">
        <f>IFERROR(__xludf.DUMMYFUNCTION("""COMPUTED_VALUE"""),"N/A")</f>
        <v>N/A</v>
      </c>
      <c r="AI1126" s="97" t="str">
        <f>IFERROR(__xludf.DUMMYFUNCTION("""COMPUTED_VALUE"""),"N/A")</f>
        <v>N/A</v>
      </c>
      <c r="AJ1126" s="97" t="str">
        <f>IFERROR(__xludf.DUMMYFUNCTION("""COMPUTED_VALUE"""),"PMMA")</f>
        <v>PMMA</v>
      </c>
      <c r="AK1126" s="97" t="str">
        <f>IFERROR(__xludf.DUMMYFUNCTION("""COMPUTED_VALUE"""),"Aluminio")</f>
        <v>Aluminio</v>
      </c>
      <c r="AL1126" s="97" t="str">
        <f>IFERROR(__xludf.DUMMYFUNCTION("""COMPUTED_VALUE"""),"Negro Mate")</f>
        <v>Negro Mate</v>
      </c>
      <c r="AM1126" s="97" t="str">
        <f>IFERROR(__xludf.DUMMYFUNCTION("""COMPUTED_VALUE"""),"-")</f>
        <v>-</v>
      </c>
      <c r="AN1126" s="97" t="str">
        <f>IFERROR(__xludf.DUMMYFUNCTION("""COMPUTED_VALUE"""),"50.000hs (L80)")</f>
        <v>50.000hs (L80)</v>
      </c>
      <c r="AO1126" s="97" t="str">
        <f>IFERROR(__xludf.DUMMYFUNCTION("""COMPUTED_VALUE"""),"5 Años")</f>
        <v>5 Años</v>
      </c>
      <c r="AP1126" s="97" t="str">
        <f>IFERROR(__xludf.DUMMYFUNCTION("""COMPUTED_VALUE"""),"Disponible")</f>
        <v>Disponible</v>
      </c>
      <c r="AQ1126" s="97" t="str">
        <f>IFERROR(__xludf.DUMMYFUNCTION("""COMPUTED_VALUE"""),"Disponible")</f>
        <v>Disponible</v>
      </c>
      <c r="AR1126" s="97" t="str">
        <f>IFERROR(__xludf.DUMMYFUNCTION("""COMPUTED_VALUE"""),"Disponible")</f>
        <v>Disponible</v>
      </c>
      <c r="AS1126" s="97"/>
      <c r="AT1126" s="97"/>
      <c r="AU1126" s="97" t="str">
        <f>IFERROR(__xludf.DUMMYFUNCTION("""COMPUTED_VALUE"""),"Falta")</f>
        <v>Falta</v>
      </c>
      <c r="AV1126" s="97" t="str">
        <f>IFERROR(__xludf.DUMMYFUNCTION("""COMPUTED_VALUE"""),"Colgante")</f>
        <v>Colgante</v>
      </c>
      <c r="AW1126" s="97" t="str">
        <f>IFERROR(__xludf.DUMMYFUNCTION("""COMPUTED_VALUE"""),"De Techo")</f>
        <v>De Techo</v>
      </c>
      <c r="AX1126" s="97" t="str">
        <f>IFERROR(__xludf.DUMMYFUNCTION("""COMPUTED_VALUE"""),"Interior")</f>
        <v>Interior</v>
      </c>
      <c r="AY1126" s="97" t="str">
        <f>IFERROR(__xludf.DUMMYFUNCTION("""COMPUTED_VALUE"""),"Confort Visual")</f>
        <v>Confort Visual</v>
      </c>
      <c r="AZ1126" s="97" t="str">
        <f>IFERROR(__xludf.DUMMYFUNCTION("""COMPUTED_VALUE"""),"Switch 3-CCT. 2mts cable. Florón: 390x37x28")</f>
        <v>Switch 3-CCT. 2mts cable. Florón: 390x37x28</v>
      </c>
      <c r="BA1126" s="97">
        <f>IFERROR(__xludf.DUMMYFUNCTION("""COMPUTED_VALUE"""),10.0)</f>
        <v>10</v>
      </c>
      <c r="BB1126" s="97" t="str">
        <f>IFERROR(__xludf.DUMMYFUNCTION("""COMPUTED_VALUE"""),"-")</f>
        <v>-</v>
      </c>
      <c r="BC1126" s="97" t="str">
        <f>IFERROR(__xludf.DUMMYFUNCTION("""COMPUTED_VALUE"""),"-")</f>
        <v>-</v>
      </c>
      <c r="BD1126" s="97" t="str">
        <f>IFERROR(__xludf.DUMMYFUNCTION("""COMPUTED_VALUE"""),"MIRACLE")</f>
        <v>MIRACLE</v>
      </c>
      <c r="BE1126" s="97" t="str">
        <f>IFERROR(__xludf.DUMMYFUNCTION("""COMPUTED_VALUE"""),"Finalizada")</f>
        <v>Finalizada</v>
      </c>
      <c r="BF1126" s="97"/>
      <c r="BG1126" s="97" t="str">
        <f>IFERROR(__xludf.DUMMYFUNCTION("""COMPUTED_VALUE"""),"Activo")</f>
        <v>Activo</v>
      </c>
    </row>
    <row r="1127">
      <c r="A1127" s="97">
        <f>IFERROR(__xludf.DUMMYFUNCTION("""COMPUTED_VALUE"""),7045.0)</f>
        <v>7045</v>
      </c>
      <c r="B1127" s="97" t="str">
        <f>IFERROR(__xludf.DUMMYFUNCTION("""COMPUTED_VALUE"""),"MIRACLE II 180 S NG")</f>
        <v>MIRACLE II 180 S NG</v>
      </c>
      <c r="C1127" s="97" t="str">
        <f>IFERROR(__xludf.DUMMYFUNCTION("""COMPUTED_VALUE"""),"COLGANTE MIRACLE II 180 S NG 60W 2700/3300/4000K 2920 + 955LM CRI&gt;90 IP20 LEUK")</f>
        <v>COLGANTE MIRACLE II 180 S NG 60W 2700/3300/4000K 2920 + 955LM CRI&gt;90 IP20 LEUK</v>
      </c>
      <c r="D1127" s="97">
        <f>IFERROR(__xludf.DUMMYFUNCTION("""COMPUTED_VALUE"""),7.798413225655E12)</f>
        <v>7798413225655</v>
      </c>
      <c r="E1127" s="97" t="str">
        <f>IFERROR(__xludf.DUMMYFUNCTION("""COMPUTED_VALUE"""),"i15")</f>
        <v>i15</v>
      </c>
      <c r="F1127" s="97" t="str">
        <f>IFERROR(__xludf.DUMMYFUNCTION("""COMPUTED_VALUE"""),"LED SMD3030")</f>
        <v>LED SMD3030</v>
      </c>
      <c r="G1127" s="97" t="str">
        <f>IFERROR(__xludf.DUMMYFUNCTION("""COMPUTED_VALUE"""),"Bridgelux")</f>
        <v>Bridgelux</v>
      </c>
      <c r="H1127" s="97" t="str">
        <f>IFERROR(__xludf.DUMMYFUNCTION("""COMPUTED_VALUE"""),"Lifud")</f>
        <v>Lifud</v>
      </c>
      <c r="I1127" s="97"/>
      <c r="J1127" s="97" t="str">
        <f>IFERROR(__xludf.DUMMYFUNCTION("""COMPUTED_VALUE"""),"Modelo: LF-GMR060YS III 1550H
In: 220-240Vac 0.27/0.33A 50/60Hz
Out: 20-40Vdc 1550mA - 60.4W
Pf 0.95 Tc 90°C Ta 60°C")</f>
        <v>Modelo: LF-GMR060YS III 1550H
In: 220-240Vac 0.27/0.33A 50/60Hz
Out: 20-40Vdc 1550mA - 60.4W
Pf 0.95 Tc 90°C Ta 60°C</v>
      </c>
      <c r="K1127" s="97" t="str">
        <f>IFERROR(__xludf.DUMMYFUNCTION("""COMPUTED_VALUE"""),"ON/OFF")</f>
        <v>ON/OFF</v>
      </c>
      <c r="L1127" s="97" t="str">
        <f>IFERROR(__xludf.DUMMYFUNCTION("""COMPUTED_VALUE"""),"200-240")</f>
        <v>200-240</v>
      </c>
      <c r="M1127" s="97" t="str">
        <f>IFERROR(__xludf.DUMMYFUNCTION("""COMPUTED_VALUE"""),"50/60")</f>
        <v>50/60</v>
      </c>
      <c r="N1127" s="97" t="str">
        <f>IFERROR(__xludf.DUMMYFUNCTION("""COMPUTED_VALUE"""),"Directa-Indirecta")</f>
        <v>Directa-Indirecta</v>
      </c>
      <c r="O1127" s="97">
        <f>IFERROR(__xludf.DUMMYFUNCTION("""COMPUTED_VALUE"""),60.0)</f>
        <v>60</v>
      </c>
      <c r="P1127" s="97"/>
      <c r="Q1127" s="97">
        <f>IFERROR(__xludf.DUMMYFUNCTION("""COMPUTED_VALUE"""),0.95)</f>
        <v>0.95</v>
      </c>
      <c r="R1127" s="97" t="str">
        <f>IFERROR(__xludf.DUMMYFUNCTION("""COMPUTED_VALUE"""),"-")</f>
        <v>-</v>
      </c>
      <c r="S1127" s="97" t="str">
        <f>IFERROR(__xludf.DUMMYFUNCTION("""COMPUTED_VALUE"""),"-")</f>
        <v>-</v>
      </c>
      <c r="T1127" s="97" t="str">
        <f>IFERROR(__xludf.DUMMYFUNCTION("""COMPUTED_VALUE"""),"2920 + 955")</f>
        <v>2920 + 955</v>
      </c>
      <c r="U1127" s="99">
        <f>IFERROR(__xludf.DUMMYFUNCTION("""COMPUTED_VALUE"""),64.58333333333333)</f>
        <v>64.58333333</v>
      </c>
      <c r="V1127" s="97" t="str">
        <f>IFERROR(__xludf.DUMMYFUNCTION("""COMPUTED_VALUE"""),"36 + 114")</f>
        <v>36 + 114</v>
      </c>
      <c r="W1127" s="97" t="str">
        <f>IFERROR(__xludf.DUMMYFUNCTION("""COMPUTED_VALUE"""),"&lt; 14")</f>
        <v>&lt; 14</v>
      </c>
      <c r="X1127" s="97" t="str">
        <f>IFERROR(__xludf.DUMMYFUNCTION("""COMPUTED_VALUE"""),"2700/3300/4000")</f>
        <v>2700/3300/4000</v>
      </c>
      <c r="Y1127" s="97" t="str">
        <f>IFERROR(__xludf.DUMMYFUNCTION("""COMPUTED_VALUE"""),"&gt;90")</f>
        <v>&gt;90</v>
      </c>
      <c r="Z1127" s="97"/>
      <c r="AA1127" s="97"/>
      <c r="AB1127" s="97" t="str">
        <f>IFERROR(__xludf.DUMMYFUNCTION("""COMPUTED_VALUE"""),"-")</f>
        <v>-</v>
      </c>
      <c r="AC1127" s="97"/>
      <c r="AD1127" s="97" t="str">
        <f>IFERROR(__xludf.DUMMYFUNCTION("""COMPUTED_VALUE"""),"IP20")</f>
        <v>IP20</v>
      </c>
      <c r="AE1127" s="97" t="str">
        <f>IFERROR(__xludf.DUMMYFUNCTION("""COMPUTED_VALUE"""),"Clase l")</f>
        <v>Clase l</v>
      </c>
      <c r="AF1127" s="97" t="str">
        <f>IFERROR(__xludf.DUMMYFUNCTION("""COMPUTED_VALUE"""),"Suspender")</f>
        <v>Suspender</v>
      </c>
      <c r="AG1127" s="97" t="str">
        <f>IFERROR(__xludf.DUMMYFUNCTION("""COMPUTED_VALUE"""),"1790 x 70 x 16")</f>
        <v>1790 x 70 x 16</v>
      </c>
      <c r="AH1127" s="97" t="str">
        <f>IFERROR(__xludf.DUMMYFUNCTION("""COMPUTED_VALUE"""),"N/A")</f>
        <v>N/A</v>
      </c>
      <c r="AI1127" s="97" t="str">
        <f>IFERROR(__xludf.DUMMYFUNCTION("""COMPUTED_VALUE"""),"N/A")</f>
        <v>N/A</v>
      </c>
      <c r="AJ1127" s="97" t="str">
        <f>IFERROR(__xludf.DUMMYFUNCTION("""COMPUTED_VALUE"""),"PMMA")</f>
        <v>PMMA</v>
      </c>
      <c r="AK1127" s="97" t="str">
        <f>IFERROR(__xludf.DUMMYFUNCTION("""COMPUTED_VALUE"""),"Aluminio")</f>
        <v>Aluminio</v>
      </c>
      <c r="AL1127" s="97" t="str">
        <f>IFERROR(__xludf.DUMMYFUNCTION("""COMPUTED_VALUE"""),"Negro Mate")</f>
        <v>Negro Mate</v>
      </c>
      <c r="AM1127" s="97" t="str">
        <f>IFERROR(__xludf.DUMMYFUNCTION("""COMPUTED_VALUE"""),"-")</f>
        <v>-</v>
      </c>
      <c r="AN1127" s="97" t="str">
        <f>IFERROR(__xludf.DUMMYFUNCTION("""COMPUTED_VALUE"""),"50.000hs (L80)")</f>
        <v>50.000hs (L80)</v>
      </c>
      <c r="AO1127" s="97" t="str">
        <f>IFERROR(__xludf.DUMMYFUNCTION("""COMPUTED_VALUE"""),"5 Años")</f>
        <v>5 Años</v>
      </c>
      <c r="AP1127" s="97" t="str">
        <f>IFERROR(__xludf.DUMMYFUNCTION("""COMPUTED_VALUE"""),"Disponible")</f>
        <v>Disponible</v>
      </c>
      <c r="AQ1127" s="97" t="str">
        <f>IFERROR(__xludf.DUMMYFUNCTION("""COMPUTED_VALUE"""),"Disponible")</f>
        <v>Disponible</v>
      </c>
      <c r="AR1127" s="97" t="str">
        <f>IFERROR(__xludf.DUMMYFUNCTION("""COMPUTED_VALUE"""),"Disponible")</f>
        <v>Disponible</v>
      </c>
      <c r="AS1127" s="97"/>
      <c r="AT1127" s="97"/>
      <c r="AU1127" s="97" t="str">
        <f>IFERROR(__xludf.DUMMYFUNCTION("""COMPUTED_VALUE"""),"Falta")</f>
        <v>Falta</v>
      </c>
      <c r="AV1127" s="97" t="str">
        <f>IFERROR(__xludf.DUMMYFUNCTION("""COMPUTED_VALUE"""),"Colgante")</f>
        <v>Colgante</v>
      </c>
      <c r="AW1127" s="97" t="str">
        <f>IFERROR(__xludf.DUMMYFUNCTION("""COMPUTED_VALUE"""),"De Techo")</f>
        <v>De Techo</v>
      </c>
      <c r="AX1127" s="97" t="str">
        <f>IFERROR(__xludf.DUMMYFUNCTION("""COMPUTED_VALUE"""),"Interior")</f>
        <v>Interior</v>
      </c>
      <c r="AY1127" s="97" t="str">
        <f>IFERROR(__xludf.DUMMYFUNCTION("""COMPUTED_VALUE"""),"Confort Visual")</f>
        <v>Confort Visual</v>
      </c>
      <c r="AZ1127" s="97" t="str">
        <f>IFERROR(__xludf.DUMMYFUNCTION("""COMPUTED_VALUE"""),"Switch 3-CCT. 2mts cable. Florón: 390x37x28")</f>
        <v>Switch 3-CCT. 2mts cable. Florón: 390x37x28</v>
      </c>
      <c r="BA1127" s="97">
        <f>IFERROR(__xludf.DUMMYFUNCTION("""COMPUTED_VALUE"""),10.0)</f>
        <v>10</v>
      </c>
      <c r="BB1127" s="97" t="str">
        <f>IFERROR(__xludf.DUMMYFUNCTION("""COMPUTED_VALUE"""),"-")</f>
        <v>-</v>
      </c>
      <c r="BC1127" s="97" t="str">
        <f>IFERROR(__xludf.DUMMYFUNCTION("""COMPUTED_VALUE"""),"-")</f>
        <v>-</v>
      </c>
      <c r="BD1127" s="97" t="str">
        <f>IFERROR(__xludf.DUMMYFUNCTION("""COMPUTED_VALUE"""),"MIRACLE II")</f>
        <v>MIRACLE II</v>
      </c>
      <c r="BE1127" s="97" t="str">
        <f>IFERROR(__xludf.DUMMYFUNCTION("""COMPUTED_VALUE"""),"Finalizada")</f>
        <v>Finalizada</v>
      </c>
      <c r="BF1127" s="97"/>
      <c r="BG1127" s="97" t="str">
        <f>IFERROR(__xludf.DUMMYFUNCTION("""COMPUTED_VALUE"""),"Activo")</f>
        <v>Activo</v>
      </c>
    </row>
    <row r="1128">
      <c r="A1128" s="97">
        <f>IFERROR(__xludf.DUMMYFUNCTION("""COMPUTED_VALUE"""),7046.0)</f>
        <v>7046</v>
      </c>
      <c r="B1128" s="97" t="str">
        <f>IFERROR(__xludf.DUMMYFUNCTION("""COMPUTED_VALUE"""),"MIRACLE 180 S BL")</f>
        <v>MIRACLE 180 S BL</v>
      </c>
      <c r="C1128" s="97" t="str">
        <f>IFERROR(__xludf.DUMMYFUNCTION("""COMPUTED_VALUE"""),"COLGANTE MIRACLE 180 S BL 60W 2700/3300/4000K 3976LM CRI&gt;90 IP20 LEUK")</f>
        <v>COLGANTE MIRACLE 180 S BL 60W 2700/3300/4000K 3976LM CRI&gt;90 IP20 LEUK</v>
      </c>
      <c r="D1128" s="97">
        <f>IFERROR(__xludf.DUMMYFUNCTION("""COMPUTED_VALUE"""),7.798413225662E12)</f>
        <v>7798413225662</v>
      </c>
      <c r="E1128" s="97" t="str">
        <f>IFERROR(__xludf.DUMMYFUNCTION("""COMPUTED_VALUE"""),"i16")</f>
        <v>i16</v>
      </c>
      <c r="F1128" s="97" t="str">
        <f>IFERROR(__xludf.DUMMYFUNCTION("""COMPUTED_VALUE"""),"LED SMD3030")</f>
        <v>LED SMD3030</v>
      </c>
      <c r="G1128" s="97" t="str">
        <f>IFERROR(__xludf.DUMMYFUNCTION("""COMPUTED_VALUE"""),"Bridgelux")</f>
        <v>Bridgelux</v>
      </c>
      <c r="H1128" s="97" t="str">
        <f>IFERROR(__xludf.DUMMYFUNCTION("""COMPUTED_VALUE"""),"Lifud")</f>
        <v>Lifud</v>
      </c>
      <c r="I1128" s="97"/>
      <c r="J1128" s="97" t="str">
        <f>IFERROR(__xludf.DUMMYFUNCTION("""COMPUTED_VALUE"""),"Modelo: LF-GMR060YS III 1550H
In: 220-240Vac 0.27/0.33A 50/60Hz
Out: 20-40Vdc 1550mA - 60.4W
Pf 0.95 Tc 90°C Ta 60°C")</f>
        <v>Modelo: LF-GMR060YS III 1550H
In: 220-240Vac 0.27/0.33A 50/60Hz
Out: 20-40Vdc 1550mA - 60.4W
Pf 0.95 Tc 90°C Ta 60°C</v>
      </c>
      <c r="K1128" s="97" t="str">
        <f>IFERROR(__xludf.DUMMYFUNCTION("""COMPUTED_VALUE"""),"ON/OFF")</f>
        <v>ON/OFF</v>
      </c>
      <c r="L1128" s="97" t="str">
        <f>IFERROR(__xludf.DUMMYFUNCTION("""COMPUTED_VALUE"""),"200-240")</f>
        <v>200-240</v>
      </c>
      <c r="M1128" s="97" t="str">
        <f>IFERROR(__xludf.DUMMYFUNCTION("""COMPUTED_VALUE"""),"50/60")</f>
        <v>50/60</v>
      </c>
      <c r="N1128" s="97"/>
      <c r="O1128" s="97">
        <f>IFERROR(__xludf.DUMMYFUNCTION("""COMPUTED_VALUE"""),60.0)</f>
        <v>60</v>
      </c>
      <c r="P1128" s="97"/>
      <c r="Q1128" s="97">
        <f>IFERROR(__xludf.DUMMYFUNCTION("""COMPUTED_VALUE"""),0.95)</f>
        <v>0.95</v>
      </c>
      <c r="R1128" s="97" t="str">
        <f>IFERROR(__xludf.DUMMYFUNCTION("""COMPUTED_VALUE"""),"-")</f>
        <v>-</v>
      </c>
      <c r="S1128" s="97" t="str">
        <f>IFERROR(__xludf.DUMMYFUNCTION("""COMPUTED_VALUE"""),"-")</f>
        <v>-</v>
      </c>
      <c r="T1128" s="97">
        <f>IFERROR(__xludf.DUMMYFUNCTION("""COMPUTED_VALUE"""),3976.0)</f>
        <v>3976</v>
      </c>
      <c r="U1128" s="99">
        <f>IFERROR(__xludf.DUMMYFUNCTION("""COMPUTED_VALUE"""),66.26666666666667)</f>
        <v>66.26666667</v>
      </c>
      <c r="V1128" s="97">
        <f>IFERROR(__xludf.DUMMYFUNCTION("""COMPUTED_VALUE"""),36.0)</f>
        <v>36</v>
      </c>
      <c r="W1128" s="97" t="str">
        <f>IFERROR(__xludf.DUMMYFUNCTION("""COMPUTED_VALUE"""),"&lt; 14")</f>
        <v>&lt; 14</v>
      </c>
      <c r="X1128" s="97" t="str">
        <f>IFERROR(__xludf.DUMMYFUNCTION("""COMPUTED_VALUE"""),"2700/3300/4000")</f>
        <v>2700/3300/4000</v>
      </c>
      <c r="Y1128" s="97" t="str">
        <f>IFERROR(__xludf.DUMMYFUNCTION("""COMPUTED_VALUE"""),"&gt;90")</f>
        <v>&gt;90</v>
      </c>
      <c r="Z1128" s="97"/>
      <c r="AA1128" s="97"/>
      <c r="AB1128" s="97" t="str">
        <f>IFERROR(__xludf.DUMMYFUNCTION("""COMPUTED_VALUE"""),"-")</f>
        <v>-</v>
      </c>
      <c r="AC1128" s="97"/>
      <c r="AD1128" s="97" t="str">
        <f>IFERROR(__xludf.DUMMYFUNCTION("""COMPUTED_VALUE"""),"IP20")</f>
        <v>IP20</v>
      </c>
      <c r="AE1128" s="97" t="str">
        <f>IFERROR(__xludf.DUMMYFUNCTION("""COMPUTED_VALUE"""),"Clase l")</f>
        <v>Clase l</v>
      </c>
      <c r="AF1128" s="97" t="str">
        <f>IFERROR(__xludf.DUMMYFUNCTION("""COMPUTED_VALUE"""),"Suspender")</f>
        <v>Suspender</v>
      </c>
      <c r="AG1128" s="97" t="str">
        <f>IFERROR(__xludf.DUMMYFUNCTION("""COMPUTED_VALUE"""),"1790 x 70 x 16")</f>
        <v>1790 x 70 x 16</v>
      </c>
      <c r="AH1128" s="97" t="str">
        <f>IFERROR(__xludf.DUMMYFUNCTION("""COMPUTED_VALUE"""),"N/A")</f>
        <v>N/A</v>
      </c>
      <c r="AI1128" s="97" t="str">
        <f>IFERROR(__xludf.DUMMYFUNCTION("""COMPUTED_VALUE"""),"N/A")</f>
        <v>N/A</v>
      </c>
      <c r="AJ1128" s="97" t="str">
        <f>IFERROR(__xludf.DUMMYFUNCTION("""COMPUTED_VALUE"""),"PMMA")</f>
        <v>PMMA</v>
      </c>
      <c r="AK1128" s="97" t="str">
        <f>IFERROR(__xludf.DUMMYFUNCTION("""COMPUTED_VALUE"""),"Aluminio")</f>
        <v>Aluminio</v>
      </c>
      <c r="AL1128" s="97" t="str">
        <f>IFERROR(__xludf.DUMMYFUNCTION("""COMPUTED_VALUE"""),"Blanco Mate")</f>
        <v>Blanco Mate</v>
      </c>
      <c r="AM1128" s="97" t="str">
        <f>IFERROR(__xludf.DUMMYFUNCTION("""COMPUTED_VALUE"""),"-")</f>
        <v>-</v>
      </c>
      <c r="AN1128" s="97" t="str">
        <f>IFERROR(__xludf.DUMMYFUNCTION("""COMPUTED_VALUE"""),"50.000hs (L80)")</f>
        <v>50.000hs (L80)</v>
      </c>
      <c r="AO1128" s="97" t="str">
        <f>IFERROR(__xludf.DUMMYFUNCTION("""COMPUTED_VALUE"""),"5 Años")</f>
        <v>5 Años</v>
      </c>
      <c r="AP1128" s="97" t="str">
        <f>IFERROR(__xludf.DUMMYFUNCTION("""COMPUTED_VALUE"""),"Disponible")</f>
        <v>Disponible</v>
      </c>
      <c r="AQ1128" s="97" t="str">
        <f>IFERROR(__xludf.DUMMYFUNCTION("""COMPUTED_VALUE"""),"Disponible")</f>
        <v>Disponible</v>
      </c>
      <c r="AR1128" s="97" t="str">
        <f>IFERROR(__xludf.DUMMYFUNCTION("""COMPUTED_VALUE"""),"Disponible")</f>
        <v>Disponible</v>
      </c>
      <c r="AS1128" s="97"/>
      <c r="AT1128" s="97"/>
      <c r="AU1128" s="97" t="str">
        <f>IFERROR(__xludf.DUMMYFUNCTION("""COMPUTED_VALUE"""),"Falta")</f>
        <v>Falta</v>
      </c>
      <c r="AV1128" s="97" t="str">
        <f>IFERROR(__xludf.DUMMYFUNCTION("""COMPUTED_VALUE"""),"Colgante")</f>
        <v>Colgante</v>
      </c>
      <c r="AW1128" s="97" t="str">
        <f>IFERROR(__xludf.DUMMYFUNCTION("""COMPUTED_VALUE"""),"De Techo")</f>
        <v>De Techo</v>
      </c>
      <c r="AX1128" s="97" t="str">
        <f>IFERROR(__xludf.DUMMYFUNCTION("""COMPUTED_VALUE"""),"Interior")</f>
        <v>Interior</v>
      </c>
      <c r="AY1128" s="97" t="str">
        <f>IFERROR(__xludf.DUMMYFUNCTION("""COMPUTED_VALUE"""),"Confort Visual")</f>
        <v>Confort Visual</v>
      </c>
      <c r="AZ1128" s="97" t="str">
        <f>IFERROR(__xludf.DUMMYFUNCTION("""COMPUTED_VALUE"""),"Switch 3-CCT. 2mts cable. Florón: 390x37x28")</f>
        <v>Switch 3-CCT. 2mts cable. Florón: 390x37x28</v>
      </c>
      <c r="BA1128" s="97">
        <f>IFERROR(__xludf.DUMMYFUNCTION("""COMPUTED_VALUE"""),10.0)</f>
        <v>10</v>
      </c>
      <c r="BB1128" s="97" t="str">
        <f>IFERROR(__xludf.DUMMYFUNCTION("""COMPUTED_VALUE"""),"-")</f>
        <v>-</v>
      </c>
      <c r="BC1128" s="97" t="str">
        <f>IFERROR(__xludf.DUMMYFUNCTION("""COMPUTED_VALUE"""),"-")</f>
        <v>-</v>
      </c>
      <c r="BD1128" s="97" t="str">
        <f>IFERROR(__xludf.DUMMYFUNCTION("""COMPUTED_VALUE"""),"MIRACLE")</f>
        <v>MIRACLE</v>
      </c>
      <c r="BE1128" s="97" t="str">
        <f>IFERROR(__xludf.DUMMYFUNCTION("""COMPUTED_VALUE"""),"Finalizada")</f>
        <v>Finalizada</v>
      </c>
      <c r="BF1128" s="97"/>
      <c r="BG1128" s="97" t="str">
        <f>IFERROR(__xludf.DUMMYFUNCTION("""COMPUTED_VALUE"""),"Activo")</f>
        <v>Activo</v>
      </c>
    </row>
    <row r="1129">
      <c r="A1129" s="97">
        <f>IFERROR(__xludf.DUMMYFUNCTION("""COMPUTED_VALUE"""),7047.0)</f>
        <v>7047</v>
      </c>
      <c r="B1129" s="97" t="str">
        <f>IFERROR(__xludf.DUMMYFUNCTION("""COMPUTED_VALUE"""),"MIRACLE II 180 S BL")</f>
        <v>MIRACLE II 180 S BL</v>
      </c>
      <c r="C1129" s="97" t="str">
        <f>IFERROR(__xludf.DUMMYFUNCTION("""COMPUTED_VALUE"""),"COLGANTE MIRACLE II 180 S BL 60W 2700/3300/4000K 2920 + 955LM CRI&gt;90 IP20 LEUK")</f>
        <v>COLGANTE MIRACLE II 180 S BL 60W 2700/3300/4000K 2920 + 955LM CRI&gt;90 IP20 LEUK</v>
      </c>
      <c r="D1129" s="97">
        <f>IFERROR(__xludf.DUMMYFUNCTION("""COMPUTED_VALUE"""),7.798413225679E12)</f>
        <v>7798413225679</v>
      </c>
      <c r="E1129" s="97" t="str">
        <f>IFERROR(__xludf.DUMMYFUNCTION("""COMPUTED_VALUE"""),"i16")</f>
        <v>i16</v>
      </c>
      <c r="F1129" s="97" t="str">
        <f>IFERROR(__xludf.DUMMYFUNCTION("""COMPUTED_VALUE"""),"LED SMD3030")</f>
        <v>LED SMD3030</v>
      </c>
      <c r="G1129" s="97" t="str">
        <f>IFERROR(__xludf.DUMMYFUNCTION("""COMPUTED_VALUE"""),"Bridgelux")</f>
        <v>Bridgelux</v>
      </c>
      <c r="H1129" s="97" t="str">
        <f>IFERROR(__xludf.DUMMYFUNCTION("""COMPUTED_VALUE"""),"Lifud")</f>
        <v>Lifud</v>
      </c>
      <c r="I1129" s="97"/>
      <c r="J1129" s="97" t="str">
        <f>IFERROR(__xludf.DUMMYFUNCTION("""COMPUTED_VALUE"""),"Modelo: LF-GMR060YS III 1550H
In: 220-240Vac 0.27/0.33A 50/60Hz
Out: 20-40Vdc 1550mA - 60.4W
Pf 0.95 Tc 90°C Ta 60°C")</f>
        <v>Modelo: LF-GMR060YS III 1550H
In: 220-240Vac 0.27/0.33A 50/60Hz
Out: 20-40Vdc 1550mA - 60.4W
Pf 0.95 Tc 90°C Ta 60°C</v>
      </c>
      <c r="K1129" s="97" t="str">
        <f>IFERROR(__xludf.DUMMYFUNCTION("""COMPUTED_VALUE"""),"ON/OFF")</f>
        <v>ON/OFF</v>
      </c>
      <c r="L1129" s="97" t="str">
        <f>IFERROR(__xludf.DUMMYFUNCTION("""COMPUTED_VALUE"""),"200-240")</f>
        <v>200-240</v>
      </c>
      <c r="M1129" s="97" t="str">
        <f>IFERROR(__xludf.DUMMYFUNCTION("""COMPUTED_VALUE"""),"50/60")</f>
        <v>50/60</v>
      </c>
      <c r="N1129" s="97" t="str">
        <f>IFERROR(__xludf.DUMMYFUNCTION("""COMPUTED_VALUE"""),"Directa-Indirecta")</f>
        <v>Directa-Indirecta</v>
      </c>
      <c r="O1129" s="97">
        <f>IFERROR(__xludf.DUMMYFUNCTION("""COMPUTED_VALUE"""),60.0)</f>
        <v>60</v>
      </c>
      <c r="P1129" s="97"/>
      <c r="Q1129" s="97">
        <f>IFERROR(__xludf.DUMMYFUNCTION("""COMPUTED_VALUE"""),0.95)</f>
        <v>0.95</v>
      </c>
      <c r="R1129" s="97" t="str">
        <f>IFERROR(__xludf.DUMMYFUNCTION("""COMPUTED_VALUE"""),"-")</f>
        <v>-</v>
      </c>
      <c r="S1129" s="97" t="str">
        <f>IFERROR(__xludf.DUMMYFUNCTION("""COMPUTED_VALUE"""),"-")</f>
        <v>-</v>
      </c>
      <c r="T1129" s="97" t="str">
        <f>IFERROR(__xludf.DUMMYFUNCTION("""COMPUTED_VALUE"""),"2920 + 955")</f>
        <v>2920 + 955</v>
      </c>
      <c r="U1129" s="99">
        <f>IFERROR(__xludf.DUMMYFUNCTION("""COMPUTED_VALUE"""),64.58333333333333)</f>
        <v>64.58333333</v>
      </c>
      <c r="V1129" s="97" t="str">
        <f>IFERROR(__xludf.DUMMYFUNCTION("""COMPUTED_VALUE"""),"36 + 114")</f>
        <v>36 + 114</v>
      </c>
      <c r="W1129" s="97" t="str">
        <f>IFERROR(__xludf.DUMMYFUNCTION("""COMPUTED_VALUE"""),"&lt; 14")</f>
        <v>&lt; 14</v>
      </c>
      <c r="X1129" s="97" t="str">
        <f>IFERROR(__xludf.DUMMYFUNCTION("""COMPUTED_VALUE"""),"2700/3300/4000")</f>
        <v>2700/3300/4000</v>
      </c>
      <c r="Y1129" s="97" t="str">
        <f>IFERROR(__xludf.DUMMYFUNCTION("""COMPUTED_VALUE"""),"&gt;90")</f>
        <v>&gt;90</v>
      </c>
      <c r="Z1129" s="97"/>
      <c r="AA1129" s="97"/>
      <c r="AB1129" s="97" t="str">
        <f>IFERROR(__xludf.DUMMYFUNCTION("""COMPUTED_VALUE"""),"-")</f>
        <v>-</v>
      </c>
      <c r="AC1129" s="97"/>
      <c r="AD1129" s="97" t="str">
        <f>IFERROR(__xludf.DUMMYFUNCTION("""COMPUTED_VALUE"""),"IP20")</f>
        <v>IP20</v>
      </c>
      <c r="AE1129" s="97" t="str">
        <f>IFERROR(__xludf.DUMMYFUNCTION("""COMPUTED_VALUE"""),"Clase l")</f>
        <v>Clase l</v>
      </c>
      <c r="AF1129" s="97" t="str">
        <f>IFERROR(__xludf.DUMMYFUNCTION("""COMPUTED_VALUE"""),"Suspender")</f>
        <v>Suspender</v>
      </c>
      <c r="AG1129" s="97" t="str">
        <f>IFERROR(__xludf.DUMMYFUNCTION("""COMPUTED_VALUE"""),"1790 x 70 x 16")</f>
        <v>1790 x 70 x 16</v>
      </c>
      <c r="AH1129" s="97" t="str">
        <f>IFERROR(__xludf.DUMMYFUNCTION("""COMPUTED_VALUE"""),"N/A")</f>
        <v>N/A</v>
      </c>
      <c r="AI1129" s="97" t="str">
        <f>IFERROR(__xludf.DUMMYFUNCTION("""COMPUTED_VALUE"""),"N/A")</f>
        <v>N/A</v>
      </c>
      <c r="AJ1129" s="97" t="str">
        <f>IFERROR(__xludf.DUMMYFUNCTION("""COMPUTED_VALUE"""),"PMMA")</f>
        <v>PMMA</v>
      </c>
      <c r="AK1129" s="97" t="str">
        <f>IFERROR(__xludf.DUMMYFUNCTION("""COMPUTED_VALUE"""),"Aluminio")</f>
        <v>Aluminio</v>
      </c>
      <c r="AL1129" s="97" t="str">
        <f>IFERROR(__xludf.DUMMYFUNCTION("""COMPUTED_VALUE"""),"Blanco Mate")</f>
        <v>Blanco Mate</v>
      </c>
      <c r="AM1129" s="97" t="str">
        <f>IFERROR(__xludf.DUMMYFUNCTION("""COMPUTED_VALUE"""),"-")</f>
        <v>-</v>
      </c>
      <c r="AN1129" s="97" t="str">
        <f>IFERROR(__xludf.DUMMYFUNCTION("""COMPUTED_VALUE"""),"50.000hs (L80)")</f>
        <v>50.000hs (L80)</v>
      </c>
      <c r="AO1129" s="97" t="str">
        <f>IFERROR(__xludf.DUMMYFUNCTION("""COMPUTED_VALUE"""),"5 Años")</f>
        <v>5 Años</v>
      </c>
      <c r="AP1129" s="97" t="str">
        <f>IFERROR(__xludf.DUMMYFUNCTION("""COMPUTED_VALUE"""),"Disponible")</f>
        <v>Disponible</v>
      </c>
      <c r="AQ1129" s="97" t="str">
        <f>IFERROR(__xludf.DUMMYFUNCTION("""COMPUTED_VALUE"""),"Disponible")</f>
        <v>Disponible</v>
      </c>
      <c r="AR1129" s="97" t="str">
        <f>IFERROR(__xludf.DUMMYFUNCTION("""COMPUTED_VALUE"""),"Disponible")</f>
        <v>Disponible</v>
      </c>
      <c r="AS1129" s="97"/>
      <c r="AT1129" s="97"/>
      <c r="AU1129" s="97" t="str">
        <f>IFERROR(__xludf.DUMMYFUNCTION("""COMPUTED_VALUE"""),"Falta")</f>
        <v>Falta</v>
      </c>
      <c r="AV1129" s="97" t="str">
        <f>IFERROR(__xludf.DUMMYFUNCTION("""COMPUTED_VALUE"""),"Colgante")</f>
        <v>Colgante</v>
      </c>
      <c r="AW1129" s="97" t="str">
        <f>IFERROR(__xludf.DUMMYFUNCTION("""COMPUTED_VALUE"""),"De Techo")</f>
        <v>De Techo</v>
      </c>
      <c r="AX1129" s="97" t="str">
        <f>IFERROR(__xludf.DUMMYFUNCTION("""COMPUTED_VALUE"""),"Interior")</f>
        <v>Interior</v>
      </c>
      <c r="AY1129" s="97" t="str">
        <f>IFERROR(__xludf.DUMMYFUNCTION("""COMPUTED_VALUE"""),"Confort Visual")</f>
        <v>Confort Visual</v>
      </c>
      <c r="AZ1129" s="97" t="str">
        <f>IFERROR(__xludf.DUMMYFUNCTION("""COMPUTED_VALUE"""),"Switch 3-CCT. 2mts cable. Florón: 390x37x28")</f>
        <v>Switch 3-CCT. 2mts cable. Florón: 390x37x28</v>
      </c>
      <c r="BA1129" s="97">
        <f>IFERROR(__xludf.DUMMYFUNCTION("""COMPUTED_VALUE"""),10.0)</f>
        <v>10</v>
      </c>
      <c r="BB1129" s="97" t="str">
        <f>IFERROR(__xludf.DUMMYFUNCTION("""COMPUTED_VALUE"""),"-")</f>
        <v>-</v>
      </c>
      <c r="BC1129" s="97" t="str">
        <f>IFERROR(__xludf.DUMMYFUNCTION("""COMPUTED_VALUE"""),"-")</f>
        <v>-</v>
      </c>
      <c r="BD1129" s="97" t="str">
        <f>IFERROR(__xludf.DUMMYFUNCTION("""COMPUTED_VALUE"""),"MIRACLE II")</f>
        <v>MIRACLE II</v>
      </c>
      <c r="BE1129" s="97" t="str">
        <f>IFERROR(__xludf.DUMMYFUNCTION("""COMPUTED_VALUE"""),"Finalizada")</f>
        <v>Finalizada</v>
      </c>
      <c r="BF1129" s="97"/>
      <c r="BG1129" s="97" t="str">
        <f>IFERROR(__xludf.DUMMYFUNCTION("""COMPUTED_VALUE"""),"Activo")</f>
        <v>Activo</v>
      </c>
    </row>
    <row r="1130">
      <c r="A1130" s="97">
        <f>IFERROR(__xludf.DUMMYFUNCTION("""COMPUTED_VALUE"""),7048.0)</f>
        <v>7048</v>
      </c>
      <c r="B1130" s="97" t="str">
        <f>IFERROR(__xludf.DUMMYFUNCTION("""COMPUTED_VALUE"""),"WALLE NG")</f>
        <v>WALLE NG</v>
      </c>
      <c r="C1130" s="97" t="str">
        <f>IFERROR(__xludf.DUMMYFUNCTION("""COMPUTED_VALUE"""),"MESA WALLE NG 7W 2700K 464LM CRI&gt;95 IP20 LEUK")</f>
        <v>MESA WALLE NG 7W 2700K 464LM CRI&gt;95 IP20 LEUK</v>
      </c>
      <c r="D1130" s="97">
        <f>IFERROR(__xludf.DUMMYFUNCTION("""COMPUTED_VALUE"""),7.798413226492E12)</f>
        <v>7798413226492</v>
      </c>
      <c r="E1130" s="97"/>
      <c r="F1130" s="97" t="str">
        <f>IFERROR(__xludf.DUMMYFUNCTION("""COMPUTED_VALUE"""),"LED integrado")</f>
        <v>LED integrado</v>
      </c>
      <c r="G1130" s="97" t="str">
        <f>IFERROR(__xludf.DUMMYFUNCTION("""COMPUTED_VALUE"""),"Bridgelux")</f>
        <v>Bridgelux</v>
      </c>
      <c r="H1130" s="97" t="str">
        <f>IFERROR(__xludf.DUMMYFUNCTION("""COMPUTED_VALUE"""),"-")</f>
        <v>-</v>
      </c>
      <c r="I1130" s="97"/>
      <c r="J1130" s="97"/>
      <c r="K1130" s="97" t="str">
        <f>IFERROR(__xludf.DUMMYFUNCTION("""COMPUTED_VALUE"""),"TRIAC")</f>
        <v>TRIAC</v>
      </c>
      <c r="L1130" s="97" t="str">
        <f>IFERROR(__xludf.DUMMYFUNCTION("""COMPUTED_VALUE"""),"200-240")</f>
        <v>200-240</v>
      </c>
      <c r="M1130" s="97" t="str">
        <f>IFERROR(__xludf.DUMMYFUNCTION("""COMPUTED_VALUE"""),"50/60")</f>
        <v>50/60</v>
      </c>
      <c r="N1130" s="97" t="str">
        <f>IFERROR(__xludf.DUMMYFUNCTION("""COMPUTED_VALUE"""),"Directa-Direccional")</f>
        <v>Directa-Direccional</v>
      </c>
      <c r="O1130" s="97">
        <f>IFERROR(__xludf.DUMMYFUNCTION("""COMPUTED_VALUE"""),7.0)</f>
        <v>7</v>
      </c>
      <c r="P1130" s="97"/>
      <c r="Q1130" s="97">
        <f>IFERROR(__xludf.DUMMYFUNCTION("""COMPUTED_VALUE"""),0.4)</f>
        <v>0.4</v>
      </c>
      <c r="R1130" s="97" t="str">
        <f>IFERROR(__xludf.DUMMYFUNCTION("""COMPUTED_VALUE"""),"-")</f>
        <v>-</v>
      </c>
      <c r="S1130" s="97" t="str">
        <f>IFERROR(__xludf.DUMMYFUNCTION("""COMPUTED_VALUE"""),"-")</f>
        <v>-</v>
      </c>
      <c r="T1130" s="97">
        <f>IFERROR(__xludf.DUMMYFUNCTION("""COMPUTED_VALUE"""),464.0)</f>
        <v>464</v>
      </c>
      <c r="U1130" s="99">
        <f>IFERROR(__xludf.DUMMYFUNCTION("""COMPUTED_VALUE"""),66.28571428571429)</f>
        <v>66.28571429</v>
      </c>
      <c r="V1130" s="97">
        <f>IFERROR(__xludf.DUMMYFUNCTION("""COMPUTED_VALUE"""),38.0)</f>
        <v>38</v>
      </c>
      <c r="W1130" s="97" t="str">
        <f>IFERROR(__xludf.DUMMYFUNCTION("""COMPUTED_VALUE"""),"&lt; 14")</f>
        <v>&lt; 14</v>
      </c>
      <c r="X1130" s="97">
        <f>IFERROR(__xludf.DUMMYFUNCTION("""COMPUTED_VALUE"""),2700.0)</f>
        <v>2700</v>
      </c>
      <c r="Y1130" s="97" t="str">
        <f>IFERROR(__xludf.DUMMYFUNCTION("""COMPUTED_VALUE"""),"&gt;95")</f>
        <v>&gt;95</v>
      </c>
      <c r="Z1130" s="97"/>
      <c r="AA1130" s="97"/>
      <c r="AB1130" s="97" t="str">
        <f>IFERROR(__xludf.DUMMYFUNCTION("""COMPUTED_VALUE"""),"&lt; 5")</f>
        <v>&lt; 5</v>
      </c>
      <c r="AC1130" s="97"/>
      <c r="AD1130" s="97" t="str">
        <f>IFERROR(__xludf.DUMMYFUNCTION("""COMPUTED_VALUE"""),"IP20")</f>
        <v>IP20</v>
      </c>
      <c r="AE1130" s="97" t="str">
        <f>IFERROR(__xludf.DUMMYFUNCTION("""COMPUTED_VALUE"""),"Clase l")</f>
        <v>Clase l</v>
      </c>
      <c r="AF1130" s="97" t="str">
        <f>IFERROR(__xludf.DUMMYFUNCTION("""COMPUTED_VALUE"""),"Autoportante")</f>
        <v>Autoportante</v>
      </c>
      <c r="AG1130" s="97" t="str">
        <f>IFERROR(__xludf.DUMMYFUNCTION("""COMPUTED_VALUE"""),"60 x 120 x 190")</f>
        <v>60 x 120 x 190</v>
      </c>
      <c r="AH1130" s="97" t="str">
        <f>IFERROR(__xludf.DUMMYFUNCTION("""COMPUTED_VALUE"""),"N/A")</f>
        <v>N/A</v>
      </c>
      <c r="AI1130" s="97" t="str">
        <f>IFERROR(__xludf.DUMMYFUNCTION("""COMPUTED_VALUE"""),"N/A")</f>
        <v>N/A</v>
      </c>
      <c r="AJ1130" s="97" t="str">
        <f>IFERROR(__xludf.DUMMYFUNCTION("""COMPUTED_VALUE"""),"Policarbonato (PC)")</f>
        <v>Policarbonato (PC)</v>
      </c>
      <c r="AK1130" s="97" t="str">
        <f>IFERROR(__xludf.DUMMYFUNCTION("""COMPUTED_VALUE"""),"Aluminio")</f>
        <v>Aluminio</v>
      </c>
      <c r="AL1130" s="97" t="str">
        <f>IFERROR(__xludf.DUMMYFUNCTION("""COMPUTED_VALUE"""),"Negro Satinado")</f>
        <v>Negro Satinado</v>
      </c>
      <c r="AM1130" s="97" t="str">
        <f>IFERROR(__xludf.DUMMYFUNCTION("""COMPUTED_VALUE"""),"-")</f>
        <v>-</v>
      </c>
      <c r="AN1130" s="97" t="str">
        <f>IFERROR(__xludf.DUMMYFUNCTION("""COMPUTED_VALUE"""),"30.000hs (L70)")</f>
        <v>30.000hs (L70)</v>
      </c>
      <c r="AO1130" s="97" t="str">
        <f>IFERROR(__xludf.DUMMYFUNCTION("""COMPUTED_VALUE"""),"3 Años")</f>
        <v>3 Años</v>
      </c>
      <c r="AP1130" s="97" t="str">
        <f>IFERROR(__xludf.DUMMYFUNCTION("""COMPUTED_VALUE"""),"Disponible")</f>
        <v>Disponible</v>
      </c>
      <c r="AQ1130" s="97" t="str">
        <f>IFERROR(__xludf.DUMMYFUNCTION("""COMPUTED_VALUE"""),"Disponible")</f>
        <v>Disponible</v>
      </c>
      <c r="AR1130" s="97" t="str">
        <f>IFERROR(__xludf.DUMMYFUNCTION("""COMPUTED_VALUE"""),"Disponible")</f>
        <v>Disponible</v>
      </c>
      <c r="AS1130" s="97"/>
      <c r="AT1130" s="97"/>
      <c r="AU1130" s="97" t="str">
        <f>IFERROR(__xludf.DUMMYFUNCTION("""COMPUTED_VALUE"""),"Falta")</f>
        <v>Falta</v>
      </c>
      <c r="AV1130" s="97" t="str">
        <f>IFERROR(__xludf.DUMMYFUNCTION("""COMPUTED_VALUE"""),"Mesa")</f>
        <v>Mesa</v>
      </c>
      <c r="AW1130" s="97" t="str">
        <f>IFERROR(__xludf.DUMMYFUNCTION("""COMPUTED_VALUE"""),"De Apoyo")</f>
        <v>De Apoyo</v>
      </c>
      <c r="AX1130" s="97" t="str">
        <f>IFERROR(__xludf.DUMMYFUNCTION("""COMPUTED_VALUE"""),"Interior")</f>
        <v>Interior</v>
      </c>
      <c r="AY1130" s="97" t="str">
        <f>IFERROR(__xludf.DUMMYFUNCTION("""COMPUTED_VALUE"""),"-")</f>
        <v>-</v>
      </c>
      <c r="AZ1130" s="97" t="str">
        <f>IFERROR(__xludf.DUMMYFUNCTION("""COMPUTED_VALUE"""),"Cable largo total 2250mm. Luminaria a tecla 600mm.")</f>
        <v>Cable largo total 2250mm. Luminaria a tecla 600mm.</v>
      </c>
      <c r="BA1130" s="97">
        <f>IFERROR(__xludf.DUMMYFUNCTION("""COMPUTED_VALUE"""),12.0)</f>
        <v>12</v>
      </c>
      <c r="BB1130" s="97" t="str">
        <f>IFERROR(__xludf.DUMMYFUNCTION("""COMPUTED_VALUE"""),"-")</f>
        <v>-</v>
      </c>
      <c r="BC1130" s="97" t="str">
        <f>IFERROR(__xludf.DUMMYFUNCTION("""COMPUTED_VALUE"""),"-")</f>
        <v>-</v>
      </c>
      <c r="BD1130" s="97" t="str">
        <f>IFERROR(__xludf.DUMMYFUNCTION("""COMPUTED_VALUE"""),"WALLE")</f>
        <v>WALLE</v>
      </c>
      <c r="BE1130" s="97" t="str">
        <f>IFERROR(__xludf.DUMMYFUNCTION("""COMPUTED_VALUE"""),"Finalizada")</f>
        <v>Finalizada</v>
      </c>
      <c r="BF1130" s="97"/>
      <c r="BG1130" s="97" t="str">
        <f>IFERROR(__xludf.DUMMYFUNCTION("""COMPUTED_VALUE"""),"Activo")</f>
        <v>Activo</v>
      </c>
    </row>
    <row r="1131">
      <c r="A1131" s="97">
        <f>IFERROR(__xludf.DUMMYFUNCTION("""COMPUTED_VALUE"""),7049.0)</f>
        <v>7049</v>
      </c>
      <c r="B1131" s="97" t="str">
        <f>IFERROR(__xludf.DUMMYFUNCTION("""COMPUTED_VALUE"""),"VALK BL")</f>
        <v>VALK BL</v>
      </c>
      <c r="C1131" s="97" t="str">
        <f>IFERROR(__xludf.DUMMYFUNCTION("""COMPUTED_VALUE"""),"COLGANTE VALK BL 12W 3000K 1010LM CRI&gt;90 IP20 LEUK")</f>
        <v>COLGANTE VALK BL 12W 3000K 1010LM CRI&gt;90 IP20 LEUK</v>
      </c>
      <c r="D1131" s="97">
        <f>IFERROR(__xludf.DUMMYFUNCTION("""COMPUTED_VALUE"""),7.798413225686E12)</f>
        <v>7798413225686</v>
      </c>
      <c r="E1131" s="97" t="str">
        <f>IFERROR(__xludf.DUMMYFUNCTION("""COMPUTED_VALUE"""),"A163")</f>
        <v>A163</v>
      </c>
      <c r="F1131" s="97" t="str">
        <f>IFERROR(__xludf.DUMMYFUNCTION("""COMPUTED_VALUE"""),"LED COB")</f>
        <v>LED COB</v>
      </c>
      <c r="G1131" s="97" t="str">
        <f>IFERROR(__xludf.DUMMYFUNCTION("""COMPUTED_VALUE"""),"Bridgelux")</f>
        <v>Bridgelux</v>
      </c>
      <c r="H1131" s="97" t="str">
        <f>IFERROR(__xludf.DUMMYFUNCTION("""COMPUTED_VALUE"""),"-")</f>
        <v>-</v>
      </c>
      <c r="I1131" s="97" t="str">
        <f>IFERROR(__xludf.DUMMYFUNCTION("""COMPUTED_VALUE"""),"Si")</f>
        <v>Si</v>
      </c>
      <c r="J1131" s="97" t="str">
        <f>IFERROR(__xludf.DUMMYFUNCTION("""COMPUTED_VALUE"""),"Modelo: XFT012C0300SGAW-C18-02
In: 220-240Vac 0,08A 50/60hz
Out: 25-40Vdc 300mA - 12W
Pf 0,9 Tc 95ºC Flicker Free")</f>
        <v>Modelo: XFT012C0300SGAW-C18-02
In: 220-240Vac 0,08A 50/60hz
Out: 25-40Vdc 300mA - 12W
Pf 0,9 Tc 95ºC Flicker Free</v>
      </c>
      <c r="K1131" s="97" t="str">
        <f>IFERROR(__xludf.DUMMYFUNCTION("""COMPUTED_VALUE"""),"TRIAC")</f>
        <v>TRIAC</v>
      </c>
      <c r="L1131" s="97" t="str">
        <f>IFERROR(__xludf.DUMMYFUNCTION("""COMPUTED_VALUE"""),"220-240")</f>
        <v>220-240</v>
      </c>
      <c r="M1131" s="97" t="str">
        <f>IFERROR(__xludf.DUMMYFUNCTION("""COMPUTED_VALUE"""),"50/60")</f>
        <v>50/60</v>
      </c>
      <c r="N1131" s="97" t="str">
        <f>IFERROR(__xludf.DUMMYFUNCTION("""COMPUTED_VALUE"""),"Directa-Simétrica")</f>
        <v>Directa-Simétrica</v>
      </c>
      <c r="O1131" s="97">
        <f>IFERROR(__xludf.DUMMYFUNCTION("""COMPUTED_VALUE"""),12.0)</f>
        <v>12</v>
      </c>
      <c r="P1131" s="97">
        <f>IFERROR(__xludf.DUMMYFUNCTION("""COMPUTED_VALUE"""),11.96)</f>
        <v>11.96</v>
      </c>
      <c r="Q1131" s="97">
        <f>IFERROR(__xludf.DUMMYFUNCTION("""COMPUTED_VALUE"""),0.9)</f>
        <v>0.9</v>
      </c>
      <c r="R1131" s="97" t="str">
        <f>IFERROR(__xludf.DUMMYFUNCTION("""COMPUTED_VALUE"""),"-")</f>
        <v>-</v>
      </c>
      <c r="S1131" s="97" t="str">
        <f>IFERROR(__xludf.DUMMYFUNCTION("""COMPUTED_VALUE"""),"-")</f>
        <v>-</v>
      </c>
      <c r="T1131" s="97">
        <f>IFERROR(__xludf.DUMMYFUNCTION("""COMPUTED_VALUE"""),1010.0)</f>
        <v>1010</v>
      </c>
      <c r="U1131" s="99">
        <f>IFERROR(__xludf.DUMMYFUNCTION("""COMPUTED_VALUE"""),84.16666666666667)</f>
        <v>84.16666667</v>
      </c>
      <c r="V1131" s="97">
        <f>IFERROR(__xludf.DUMMYFUNCTION("""COMPUTED_VALUE"""),123.0)</f>
        <v>123</v>
      </c>
      <c r="W1131" s="97" t="str">
        <f>IFERROR(__xludf.DUMMYFUNCTION("""COMPUTED_VALUE"""),"&lt; 20")</f>
        <v>&lt; 20</v>
      </c>
      <c r="X1131" s="97">
        <f>IFERROR(__xludf.DUMMYFUNCTION("""COMPUTED_VALUE"""),3000.0)</f>
        <v>3000</v>
      </c>
      <c r="Y1131" s="97" t="str">
        <f>IFERROR(__xludf.DUMMYFUNCTION("""COMPUTED_VALUE"""),"&gt;90")</f>
        <v>&gt;90</v>
      </c>
      <c r="Z1131" s="97" t="str">
        <f>IFERROR(__xludf.DUMMYFUNCTION("""COMPUTED_VALUE"""),"&gt;90")</f>
        <v>&gt;90</v>
      </c>
      <c r="AA1131" s="97" t="str">
        <f>IFERROR(__xludf.DUMMYFUNCTION("""COMPUTED_VALUE"""),"100 (Fidelidad neutra)")</f>
        <v>100 (Fidelidad neutra)</v>
      </c>
      <c r="AB1131" s="97" t="str">
        <f>IFERROR(__xludf.DUMMYFUNCTION("""COMPUTED_VALUE"""),"&lt; 2")</f>
        <v>&lt; 2</v>
      </c>
      <c r="AC1131" s="97">
        <f>IFERROR(__xludf.DUMMYFUNCTION("""COMPUTED_VALUE"""),-4.1E-4)</f>
        <v>-0.00041</v>
      </c>
      <c r="AD1131" s="97" t="str">
        <f>IFERROR(__xludf.DUMMYFUNCTION("""COMPUTED_VALUE"""),"IP20")</f>
        <v>IP20</v>
      </c>
      <c r="AE1131" s="97" t="str">
        <f>IFERROR(__xludf.DUMMYFUNCTION("""COMPUTED_VALUE"""),"Clase l")</f>
        <v>Clase l</v>
      </c>
      <c r="AF1131" s="97" t="str">
        <f>IFERROR(__xludf.DUMMYFUNCTION("""COMPUTED_VALUE"""),"Suspender")</f>
        <v>Suspender</v>
      </c>
      <c r="AG1131" s="97" t="str">
        <f>IFERROR(__xludf.DUMMYFUNCTION("""COMPUTED_VALUE"""),"Ø550 x 115")</f>
        <v>Ø550 x 115</v>
      </c>
      <c r="AH1131" s="97" t="str">
        <f>IFERROR(__xludf.DUMMYFUNCTION("""COMPUTED_VALUE"""),"N/A")</f>
        <v>N/A</v>
      </c>
      <c r="AI1131" s="97" t="str">
        <f>IFERROR(__xludf.DUMMYFUNCTION("""COMPUTED_VALUE"""),"N/A")</f>
        <v>N/A</v>
      </c>
      <c r="AJ1131" s="97" t="str">
        <f>IFERROR(__xludf.DUMMYFUNCTION("""COMPUTED_VALUE"""),"PMMA")</f>
        <v>PMMA</v>
      </c>
      <c r="AK1131" s="97" t="str">
        <f>IFERROR(__xludf.DUMMYFUNCTION("""COMPUTED_VALUE"""),"Aluminio")</f>
        <v>Aluminio</v>
      </c>
      <c r="AL1131" s="97" t="str">
        <f>IFERROR(__xludf.DUMMYFUNCTION("""COMPUTED_VALUE"""),"Blanco Satinado")</f>
        <v>Blanco Satinado</v>
      </c>
      <c r="AM1131" s="97" t="str">
        <f>IFERROR(__xludf.DUMMYFUNCTION("""COMPUTED_VALUE"""),"-")</f>
        <v>-</v>
      </c>
      <c r="AN1131" s="97" t="str">
        <f>IFERROR(__xludf.DUMMYFUNCTION("""COMPUTED_VALUE"""),"30.000hs (L70)")</f>
        <v>30.000hs (L70)</v>
      </c>
      <c r="AO1131" s="97" t="str">
        <f>IFERROR(__xludf.DUMMYFUNCTION("""COMPUTED_VALUE"""),"3 Años")</f>
        <v>3 Años</v>
      </c>
      <c r="AP1131" s="97" t="str">
        <f>IFERROR(__xludf.DUMMYFUNCTION("""COMPUTED_VALUE"""),"Disponible")</f>
        <v>Disponible</v>
      </c>
      <c r="AQ1131" s="97" t="str">
        <f>IFERROR(__xludf.DUMMYFUNCTION("""COMPUTED_VALUE"""),"Disponible")</f>
        <v>Disponible</v>
      </c>
      <c r="AR1131" s="97" t="str">
        <f>IFERROR(__xludf.DUMMYFUNCTION("""COMPUTED_VALUE"""),"Disponible")</f>
        <v>Disponible</v>
      </c>
      <c r="AS1131" s="97"/>
      <c r="AT1131" s="97"/>
      <c r="AU1131" s="97" t="str">
        <f>IFERROR(__xludf.DUMMYFUNCTION("""COMPUTED_VALUE"""),"Falta")</f>
        <v>Falta</v>
      </c>
      <c r="AV1131" s="97" t="str">
        <f>IFERROR(__xludf.DUMMYFUNCTION("""COMPUTED_VALUE"""),"Colgante")</f>
        <v>Colgante</v>
      </c>
      <c r="AW1131" s="97" t="str">
        <f>IFERROR(__xludf.DUMMYFUNCTION("""COMPUTED_VALUE"""),"De Techo")</f>
        <v>De Techo</v>
      </c>
      <c r="AX1131" s="97" t="str">
        <f>IFERROR(__xludf.DUMMYFUNCTION("""COMPUTED_VALUE"""),"Interior")</f>
        <v>Interior</v>
      </c>
      <c r="AY1131" s="97" t="str">
        <f>IFERROR(__xludf.DUMMYFUNCTION("""COMPUTED_VALUE"""),"-")</f>
        <v>-</v>
      </c>
      <c r="AZ1131" s="97" t="str">
        <f>IFERROR(__xludf.DUMMYFUNCTION("""COMPUTED_VALUE"""),"Colgante de 1500mm. Florón: Ø60x72.")</f>
        <v>Colgante de 1500mm. Florón: Ø60x72.</v>
      </c>
      <c r="BA1131" s="97">
        <f>IFERROR(__xludf.DUMMYFUNCTION("""COMPUTED_VALUE"""),1.0)</f>
        <v>1</v>
      </c>
      <c r="BB1131" s="97" t="str">
        <f>IFERROR(__xludf.DUMMYFUNCTION("""COMPUTED_VALUE"""),"-")</f>
        <v>-</v>
      </c>
      <c r="BC1131" s="97" t="str">
        <f>IFERROR(__xludf.DUMMYFUNCTION("""COMPUTED_VALUE"""),"-")</f>
        <v>-</v>
      </c>
      <c r="BD1131" s="97" t="str">
        <f>IFERROR(__xludf.DUMMYFUNCTION("""COMPUTED_VALUE"""),"VALK")</f>
        <v>VALK</v>
      </c>
      <c r="BE1131" s="97" t="str">
        <f>IFERROR(__xludf.DUMMYFUNCTION("""COMPUTED_VALUE"""),"Finalizada")</f>
        <v>Finalizada</v>
      </c>
      <c r="BF1131" s="97"/>
      <c r="BG1131" s="97" t="str">
        <f>IFERROR(__xludf.DUMMYFUNCTION("""COMPUTED_VALUE"""),"Activo")</f>
        <v>Activo</v>
      </c>
    </row>
    <row r="1132">
      <c r="A1132" s="97">
        <f>IFERROR(__xludf.DUMMYFUNCTION("""COMPUTED_VALUE"""),7050.0)</f>
        <v>7050</v>
      </c>
      <c r="B1132" s="97" t="str">
        <f>IFERROR(__xludf.DUMMYFUNCTION("""COMPUTED_VALUE"""),"VALK NG")</f>
        <v>VALK NG</v>
      </c>
      <c r="C1132" s="97" t="str">
        <f>IFERROR(__xludf.DUMMYFUNCTION("""COMPUTED_VALUE"""),"COLGANTE VALK NG 12W 3000K 1010LM CRI&gt;90 IP20 LEUK")</f>
        <v>COLGANTE VALK NG 12W 3000K 1010LM CRI&gt;90 IP20 LEUK</v>
      </c>
      <c r="D1132" s="97">
        <f>IFERROR(__xludf.DUMMYFUNCTION("""COMPUTED_VALUE"""),7.798413225693E12)</f>
        <v>7798413225693</v>
      </c>
      <c r="E1132" s="97" t="str">
        <f>IFERROR(__xludf.DUMMYFUNCTION("""COMPUTED_VALUE"""),"A163")</f>
        <v>A163</v>
      </c>
      <c r="F1132" s="97" t="str">
        <f>IFERROR(__xludf.DUMMYFUNCTION("""COMPUTED_VALUE"""),"LED COB")</f>
        <v>LED COB</v>
      </c>
      <c r="G1132" s="97" t="str">
        <f>IFERROR(__xludf.DUMMYFUNCTION("""COMPUTED_VALUE"""),"Bridgelux")</f>
        <v>Bridgelux</v>
      </c>
      <c r="H1132" s="97" t="str">
        <f>IFERROR(__xludf.DUMMYFUNCTION("""COMPUTED_VALUE"""),"-")</f>
        <v>-</v>
      </c>
      <c r="I1132" s="97" t="str">
        <f>IFERROR(__xludf.DUMMYFUNCTION("""COMPUTED_VALUE"""),"Si")</f>
        <v>Si</v>
      </c>
      <c r="J1132" s="97" t="str">
        <f>IFERROR(__xludf.DUMMYFUNCTION("""COMPUTED_VALUE"""),"Modelo: XFT012C0300SGAW-C18-02
In: 220-240Vac 0,08A 50/60hz
Out: 25-40Vdc 300mA - 12W
Pf 0,9 Tc 95ºC Flicker Free")</f>
        <v>Modelo: XFT012C0300SGAW-C18-02
In: 220-240Vac 0,08A 50/60hz
Out: 25-40Vdc 300mA - 12W
Pf 0,9 Tc 95ºC Flicker Free</v>
      </c>
      <c r="K1132" s="97" t="str">
        <f>IFERROR(__xludf.DUMMYFUNCTION("""COMPUTED_VALUE"""),"TRIAC")</f>
        <v>TRIAC</v>
      </c>
      <c r="L1132" s="97" t="str">
        <f>IFERROR(__xludf.DUMMYFUNCTION("""COMPUTED_VALUE"""),"220-240")</f>
        <v>220-240</v>
      </c>
      <c r="M1132" s="97" t="str">
        <f>IFERROR(__xludf.DUMMYFUNCTION("""COMPUTED_VALUE"""),"50/60")</f>
        <v>50/60</v>
      </c>
      <c r="N1132" s="97" t="str">
        <f>IFERROR(__xludf.DUMMYFUNCTION("""COMPUTED_VALUE"""),"Directa-Simétrica")</f>
        <v>Directa-Simétrica</v>
      </c>
      <c r="O1132" s="97">
        <f>IFERROR(__xludf.DUMMYFUNCTION("""COMPUTED_VALUE"""),12.0)</f>
        <v>12</v>
      </c>
      <c r="P1132" s="97">
        <f>IFERROR(__xludf.DUMMYFUNCTION("""COMPUTED_VALUE"""),11.96)</f>
        <v>11.96</v>
      </c>
      <c r="Q1132" s="97">
        <f>IFERROR(__xludf.DUMMYFUNCTION("""COMPUTED_VALUE"""),0.9)</f>
        <v>0.9</v>
      </c>
      <c r="R1132" s="97" t="str">
        <f>IFERROR(__xludf.DUMMYFUNCTION("""COMPUTED_VALUE"""),"-")</f>
        <v>-</v>
      </c>
      <c r="S1132" s="97" t="str">
        <f>IFERROR(__xludf.DUMMYFUNCTION("""COMPUTED_VALUE"""),"-")</f>
        <v>-</v>
      </c>
      <c r="T1132" s="97">
        <f>IFERROR(__xludf.DUMMYFUNCTION("""COMPUTED_VALUE"""),1010.0)</f>
        <v>1010</v>
      </c>
      <c r="U1132" s="99">
        <f>IFERROR(__xludf.DUMMYFUNCTION("""COMPUTED_VALUE"""),84.16666666666667)</f>
        <v>84.16666667</v>
      </c>
      <c r="V1132" s="97">
        <f>IFERROR(__xludf.DUMMYFUNCTION("""COMPUTED_VALUE"""),123.0)</f>
        <v>123</v>
      </c>
      <c r="W1132" s="97" t="str">
        <f>IFERROR(__xludf.DUMMYFUNCTION("""COMPUTED_VALUE"""),"&lt; 20")</f>
        <v>&lt; 20</v>
      </c>
      <c r="X1132" s="97">
        <f>IFERROR(__xludf.DUMMYFUNCTION("""COMPUTED_VALUE"""),3000.0)</f>
        <v>3000</v>
      </c>
      <c r="Y1132" s="97" t="str">
        <f>IFERROR(__xludf.DUMMYFUNCTION("""COMPUTED_VALUE"""),"&gt;90")</f>
        <v>&gt;90</v>
      </c>
      <c r="Z1132" s="97" t="str">
        <f>IFERROR(__xludf.DUMMYFUNCTION("""COMPUTED_VALUE"""),"&gt;90")</f>
        <v>&gt;90</v>
      </c>
      <c r="AA1132" s="97" t="str">
        <f>IFERROR(__xludf.DUMMYFUNCTION("""COMPUTED_VALUE"""),"100 (Fidelidad neutra)")</f>
        <v>100 (Fidelidad neutra)</v>
      </c>
      <c r="AB1132" s="97" t="str">
        <f>IFERROR(__xludf.DUMMYFUNCTION("""COMPUTED_VALUE"""),"&lt; 2")</f>
        <v>&lt; 2</v>
      </c>
      <c r="AC1132" s="97">
        <f>IFERROR(__xludf.DUMMYFUNCTION("""COMPUTED_VALUE"""),-4.1E-4)</f>
        <v>-0.00041</v>
      </c>
      <c r="AD1132" s="97" t="str">
        <f>IFERROR(__xludf.DUMMYFUNCTION("""COMPUTED_VALUE"""),"IP20")</f>
        <v>IP20</v>
      </c>
      <c r="AE1132" s="97" t="str">
        <f>IFERROR(__xludf.DUMMYFUNCTION("""COMPUTED_VALUE"""),"Clase l")</f>
        <v>Clase l</v>
      </c>
      <c r="AF1132" s="97" t="str">
        <f>IFERROR(__xludf.DUMMYFUNCTION("""COMPUTED_VALUE"""),"Suspender")</f>
        <v>Suspender</v>
      </c>
      <c r="AG1132" s="97" t="str">
        <f>IFERROR(__xludf.DUMMYFUNCTION("""COMPUTED_VALUE"""),"Ø550 x 115")</f>
        <v>Ø550 x 115</v>
      </c>
      <c r="AH1132" s="97" t="str">
        <f>IFERROR(__xludf.DUMMYFUNCTION("""COMPUTED_VALUE"""),"N/A")</f>
        <v>N/A</v>
      </c>
      <c r="AI1132" s="97" t="str">
        <f>IFERROR(__xludf.DUMMYFUNCTION("""COMPUTED_VALUE"""),"N/A")</f>
        <v>N/A</v>
      </c>
      <c r="AJ1132" s="97" t="str">
        <f>IFERROR(__xludf.DUMMYFUNCTION("""COMPUTED_VALUE"""),"PMMA")</f>
        <v>PMMA</v>
      </c>
      <c r="AK1132" s="97" t="str">
        <f>IFERROR(__xludf.DUMMYFUNCTION("""COMPUTED_VALUE"""),"Aluminio")</f>
        <v>Aluminio</v>
      </c>
      <c r="AL1132" s="97" t="str">
        <f>IFERROR(__xludf.DUMMYFUNCTION("""COMPUTED_VALUE"""),"Negro Satinado")</f>
        <v>Negro Satinado</v>
      </c>
      <c r="AM1132" s="97" t="str">
        <f>IFERROR(__xludf.DUMMYFUNCTION("""COMPUTED_VALUE"""),"-")</f>
        <v>-</v>
      </c>
      <c r="AN1132" s="97" t="str">
        <f>IFERROR(__xludf.DUMMYFUNCTION("""COMPUTED_VALUE"""),"30.000hs (L70)")</f>
        <v>30.000hs (L70)</v>
      </c>
      <c r="AO1132" s="97" t="str">
        <f>IFERROR(__xludf.DUMMYFUNCTION("""COMPUTED_VALUE"""),"3 Años")</f>
        <v>3 Años</v>
      </c>
      <c r="AP1132" s="97" t="str">
        <f>IFERROR(__xludf.DUMMYFUNCTION("""COMPUTED_VALUE"""),"Disponible")</f>
        <v>Disponible</v>
      </c>
      <c r="AQ1132" s="97" t="str">
        <f>IFERROR(__xludf.DUMMYFUNCTION("""COMPUTED_VALUE"""),"Disponible")</f>
        <v>Disponible</v>
      </c>
      <c r="AR1132" s="97" t="str">
        <f>IFERROR(__xludf.DUMMYFUNCTION("""COMPUTED_VALUE"""),"Disponible")</f>
        <v>Disponible</v>
      </c>
      <c r="AS1132" s="97"/>
      <c r="AT1132" s="97"/>
      <c r="AU1132" s="97" t="str">
        <f>IFERROR(__xludf.DUMMYFUNCTION("""COMPUTED_VALUE"""),"Falta")</f>
        <v>Falta</v>
      </c>
      <c r="AV1132" s="97" t="str">
        <f>IFERROR(__xludf.DUMMYFUNCTION("""COMPUTED_VALUE"""),"Colgante")</f>
        <v>Colgante</v>
      </c>
      <c r="AW1132" s="97" t="str">
        <f>IFERROR(__xludf.DUMMYFUNCTION("""COMPUTED_VALUE"""),"De Techo")</f>
        <v>De Techo</v>
      </c>
      <c r="AX1132" s="97" t="str">
        <f>IFERROR(__xludf.DUMMYFUNCTION("""COMPUTED_VALUE"""),"Interior")</f>
        <v>Interior</v>
      </c>
      <c r="AY1132" s="97" t="str">
        <f>IFERROR(__xludf.DUMMYFUNCTION("""COMPUTED_VALUE"""),"-")</f>
        <v>-</v>
      </c>
      <c r="AZ1132" s="97" t="str">
        <f>IFERROR(__xludf.DUMMYFUNCTION("""COMPUTED_VALUE"""),"Colgante de 1500mm. Florón: Ø60x72.")</f>
        <v>Colgante de 1500mm. Florón: Ø60x72.</v>
      </c>
      <c r="BA1132" s="97">
        <f>IFERROR(__xludf.DUMMYFUNCTION("""COMPUTED_VALUE"""),1.0)</f>
        <v>1</v>
      </c>
      <c r="BB1132" s="97" t="str">
        <f>IFERROR(__xludf.DUMMYFUNCTION("""COMPUTED_VALUE"""),"-")</f>
        <v>-</v>
      </c>
      <c r="BC1132" s="97" t="str">
        <f>IFERROR(__xludf.DUMMYFUNCTION("""COMPUTED_VALUE"""),"-")</f>
        <v>-</v>
      </c>
      <c r="BD1132" s="97" t="str">
        <f>IFERROR(__xludf.DUMMYFUNCTION("""COMPUTED_VALUE"""),"VALK")</f>
        <v>VALK</v>
      </c>
      <c r="BE1132" s="97" t="str">
        <f>IFERROR(__xludf.DUMMYFUNCTION("""COMPUTED_VALUE"""),"Finalizada")</f>
        <v>Finalizada</v>
      </c>
      <c r="BF1132" s="97"/>
      <c r="BG1132" s="97" t="str">
        <f>IFERROR(__xludf.DUMMYFUNCTION("""COMPUTED_VALUE"""),"Activo")</f>
        <v>Activo</v>
      </c>
    </row>
    <row r="1133">
      <c r="A1133" s="97">
        <f>IFERROR(__xludf.DUMMYFUNCTION("""COMPUTED_VALUE"""),7051.0)</f>
        <v>7051</v>
      </c>
      <c r="B1133" s="97" t="str">
        <f>IFERROR(__xludf.DUMMYFUNCTION("""COMPUTED_VALUE"""),"FREYA BL")</f>
        <v>FREYA BL</v>
      </c>
      <c r="C1133" s="97" t="str">
        <f>IFERROR(__xludf.DUMMYFUNCTION("""COMPUTED_VALUE"""),"COLGANTE FREYA BL 15W 3000K 563LM CRI&gt;90 IP20 LEUK")</f>
        <v>COLGANTE FREYA BL 15W 3000K 563LM CRI&gt;90 IP20 LEUK</v>
      </c>
      <c r="D1133" s="97">
        <f>IFERROR(__xludf.DUMMYFUNCTION("""COMPUTED_VALUE"""),7.798413225709E12)</f>
        <v>7798413225709</v>
      </c>
      <c r="E1133" s="97" t="str">
        <f>IFERROR(__xludf.DUMMYFUNCTION("""COMPUTED_VALUE"""),"A136")</f>
        <v>A136</v>
      </c>
      <c r="F1133" s="97" t="str">
        <f>IFERROR(__xludf.DUMMYFUNCTION("""COMPUTED_VALUE"""),"LED SMD2835")</f>
        <v>LED SMD2835</v>
      </c>
      <c r="G1133" s="97" t="str">
        <f>IFERROR(__xludf.DUMMYFUNCTION("""COMPUTED_VALUE"""),"Bridgelux")</f>
        <v>Bridgelux</v>
      </c>
      <c r="H1133" s="97" t="str">
        <f>IFERROR(__xludf.DUMMYFUNCTION("""COMPUTED_VALUE"""),"-")</f>
        <v>-</v>
      </c>
      <c r="I1133" s="97" t="str">
        <f>IFERROR(__xludf.DUMMYFUNCTION("""COMPUTED_VALUE"""),"Si")</f>
        <v>Si</v>
      </c>
      <c r="J1133" s="97" t="str">
        <f>IFERROR(__xludf.DUMMYFUNCTION("""COMPUTED_VALUE"""),"Modelo: XFT007C0150SGAW-C18-02
In: 220-240Vac 0,04A 50/60hz
Out: 25-40Vdc 150mA - 6W
Pf 0,9 Tc 95ºC Flicker Free")</f>
        <v>Modelo: XFT007C0150SGAW-C18-02
In: 220-240Vac 0,04A 50/60hz
Out: 25-40Vdc 150mA - 6W
Pf 0,9 Tc 95ºC Flicker Free</v>
      </c>
      <c r="K1133" s="97" t="str">
        <f>IFERROR(__xludf.DUMMYFUNCTION("""COMPUTED_VALUE"""),"TRIAC")</f>
        <v>TRIAC</v>
      </c>
      <c r="L1133" s="97" t="str">
        <f>IFERROR(__xludf.DUMMYFUNCTION("""COMPUTED_VALUE"""),"220-240")</f>
        <v>220-240</v>
      </c>
      <c r="M1133" s="97" t="str">
        <f>IFERROR(__xludf.DUMMYFUNCTION("""COMPUTED_VALUE"""),"50/60")</f>
        <v>50/60</v>
      </c>
      <c r="N1133" s="97" t="str">
        <f>IFERROR(__xludf.DUMMYFUNCTION("""COMPUTED_VALUE"""),"Directa-Simétrica")</f>
        <v>Directa-Simétrica</v>
      </c>
      <c r="O1133" s="97">
        <f>IFERROR(__xludf.DUMMYFUNCTION("""COMPUTED_VALUE"""),15.0)</f>
        <v>15</v>
      </c>
      <c r="P1133" s="97">
        <f>IFERROR(__xludf.DUMMYFUNCTION("""COMPUTED_VALUE"""),14.61)</f>
        <v>14.61</v>
      </c>
      <c r="Q1133" s="97">
        <f>IFERROR(__xludf.DUMMYFUNCTION("""COMPUTED_VALUE"""),0.9)</f>
        <v>0.9</v>
      </c>
      <c r="R1133" s="97" t="str">
        <f>IFERROR(__xludf.DUMMYFUNCTION("""COMPUTED_VALUE"""),"-")</f>
        <v>-</v>
      </c>
      <c r="S1133" s="97" t="str">
        <f>IFERROR(__xludf.DUMMYFUNCTION("""COMPUTED_VALUE"""),"-")</f>
        <v>-</v>
      </c>
      <c r="T1133" s="97">
        <f>IFERROR(__xludf.DUMMYFUNCTION("""COMPUTED_VALUE"""),563.0)</f>
        <v>563</v>
      </c>
      <c r="U1133" s="99">
        <f>IFERROR(__xludf.DUMMYFUNCTION("""COMPUTED_VALUE"""),37.53333333333333)</f>
        <v>37.53333333</v>
      </c>
      <c r="V1133" s="97">
        <f>IFERROR(__xludf.DUMMYFUNCTION("""COMPUTED_VALUE"""),65.0)</f>
        <v>65</v>
      </c>
      <c r="W1133" s="97" t="str">
        <f>IFERROR(__xludf.DUMMYFUNCTION("""COMPUTED_VALUE"""),"&lt; 10")</f>
        <v>&lt; 10</v>
      </c>
      <c r="X1133" s="97">
        <f>IFERROR(__xludf.DUMMYFUNCTION("""COMPUTED_VALUE"""),3000.0)</f>
        <v>3000</v>
      </c>
      <c r="Y1133" s="97" t="str">
        <f>IFERROR(__xludf.DUMMYFUNCTION("""COMPUTED_VALUE"""),"&gt;90")</f>
        <v>&gt;90</v>
      </c>
      <c r="Z1133" s="97" t="str">
        <f>IFERROR(__xludf.DUMMYFUNCTION("""COMPUTED_VALUE"""),"&gt;90")</f>
        <v>&gt;90</v>
      </c>
      <c r="AA1133" s="97" t="str">
        <f>IFERROR(__xludf.DUMMYFUNCTION("""COMPUTED_VALUE"""),"90-99 (Leve desaturación)")</f>
        <v>90-99 (Leve desaturación)</v>
      </c>
      <c r="AB1133" s="97" t="str">
        <f>IFERROR(__xludf.DUMMYFUNCTION("""COMPUTED_VALUE"""),"&lt; 2")</f>
        <v>&lt; 2</v>
      </c>
      <c r="AC1133" s="97">
        <f>IFERROR(__xludf.DUMMYFUNCTION("""COMPUTED_VALUE"""),-8.8E-4)</f>
        <v>-0.00088</v>
      </c>
      <c r="AD1133" s="97" t="str">
        <f>IFERROR(__xludf.DUMMYFUNCTION("""COMPUTED_VALUE"""),"IP20")</f>
        <v>IP20</v>
      </c>
      <c r="AE1133" s="97" t="str">
        <f>IFERROR(__xludf.DUMMYFUNCTION("""COMPUTED_VALUE"""),"Clase l")</f>
        <v>Clase l</v>
      </c>
      <c r="AF1133" s="97" t="str">
        <f>IFERROR(__xludf.DUMMYFUNCTION("""COMPUTED_VALUE"""),"Suspender")</f>
        <v>Suspender</v>
      </c>
      <c r="AG1133" s="97" t="str">
        <f>IFERROR(__xludf.DUMMYFUNCTION("""COMPUTED_VALUE"""),"Ø550 x 142")</f>
        <v>Ø550 x 142</v>
      </c>
      <c r="AH1133" s="97" t="str">
        <f>IFERROR(__xludf.DUMMYFUNCTION("""COMPUTED_VALUE"""),"N/A")</f>
        <v>N/A</v>
      </c>
      <c r="AI1133" s="97" t="str">
        <f>IFERROR(__xludf.DUMMYFUNCTION("""COMPUTED_VALUE"""),"N/A")</f>
        <v>N/A</v>
      </c>
      <c r="AJ1133" s="97" t="str">
        <f>IFERROR(__xludf.DUMMYFUNCTION("""COMPUTED_VALUE"""),"Policarbonato (PC)")</f>
        <v>Policarbonato (PC)</v>
      </c>
      <c r="AK1133" s="97" t="str">
        <f>IFERROR(__xludf.DUMMYFUNCTION("""COMPUTED_VALUE"""),"Aluminio")</f>
        <v>Aluminio</v>
      </c>
      <c r="AL1133" s="97" t="str">
        <f>IFERROR(__xludf.DUMMYFUNCTION("""COMPUTED_VALUE"""),"Blanco Satinado")</f>
        <v>Blanco Satinado</v>
      </c>
      <c r="AM1133" s="97" t="str">
        <f>IFERROR(__xludf.DUMMYFUNCTION("""COMPUTED_VALUE"""),"-")</f>
        <v>-</v>
      </c>
      <c r="AN1133" s="97" t="str">
        <f>IFERROR(__xludf.DUMMYFUNCTION("""COMPUTED_VALUE"""),"30.000hs (L70)")</f>
        <v>30.000hs (L70)</v>
      </c>
      <c r="AO1133" s="97" t="str">
        <f>IFERROR(__xludf.DUMMYFUNCTION("""COMPUTED_VALUE"""),"3 Años")</f>
        <v>3 Años</v>
      </c>
      <c r="AP1133" s="97" t="str">
        <f>IFERROR(__xludf.DUMMYFUNCTION("""COMPUTED_VALUE"""),"Disponible")</f>
        <v>Disponible</v>
      </c>
      <c r="AQ1133" s="97" t="str">
        <f>IFERROR(__xludf.DUMMYFUNCTION("""COMPUTED_VALUE"""),"Disponible")</f>
        <v>Disponible</v>
      </c>
      <c r="AR1133" s="97" t="str">
        <f>IFERROR(__xludf.DUMMYFUNCTION("""COMPUTED_VALUE"""),"Disponible")</f>
        <v>Disponible</v>
      </c>
      <c r="AS1133" s="97"/>
      <c r="AT1133" s="97"/>
      <c r="AU1133" s="97" t="str">
        <f>IFERROR(__xludf.DUMMYFUNCTION("""COMPUTED_VALUE"""),"Falta")</f>
        <v>Falta</v>
      </c>
      <c r="AV1133" s="97" t="str">
        <f>IFERROR(__xludf.DUMMYFUNCTION("""COMPUTED_VALUE"""),"Colgante")</f>
        <v>Colgante</v>
      </c>
      <c r="AW1133" s="97" t="str">
        <f>IFERROR(__xludf.DUMMYFUNCTION("""COMPUTED_VALUE"""),"De Techo")</f>
        <v>De Techo</v>
      </c>
      <c r="AX1133" s="97" t="str">
        <f>IFERROR(__xludf.DUMMYFUNCTION("""COMPUTED_VALUE"""),"Interior")</f>
        <v>Interior</v>
      </c>
      <c r="AY1133" s="97" t="str">
        <f>IFERROR(__xludf.DUMMYFUNCTION("""COMPUTED_VALUE"""),"-")</f>
        <v>-</v>
      </c>
      <c r="AZ1133" s="97" t="str">
        <f>IFERROR(__xludf.DUMMYFUNCTION("""COMPUTED_VALUE"""),"Colgante de 1500mm. Florón: Ø60x72.")</f>
        <v>Colgante de 1500mm. Florón: Ø60x72.</v>
      </c>
      <c r="BA1133" s="97">
        <f>IFERROR(__xludf.DUMMYFUNCTION("""COMPUTED_VALUE"""),1.0)</f>
        <v>1</v>
      </c>
      <c r="BB1133" s="97" t="str">
        <f>IFERROR(__xludf.DUMMYFUNCTION("""COMPUTED_VALUE"""),"-")</f>
        <v>-</v>
      </c>
      <c r="BC1133" s="97" t="str">
        <f>IFERROR(__xludf.DUMMYFUNCTION("""COMPUTED_VALUE"""),"-")</f>
        <v>-</v>
      </c>
      <c r="BD1133" s="97" t="str">
        <f>IFERROR(__xludf.DUMMYFUNCTION("""COMPUTED_VALUE"""),"FREYA")</f>
        <v>FREYA</v>
      </c>
      <c r="BE1133" s="97" t="str">
        <f>IFERROR(__xludf.DUMMYFUNCTION("""COMPUTED_VALUE"""),"Finalizada")</f>
        <v>Finalizada</v>
      </c>
      <c r="BF1133" s="97"/>
      <c r="BG1133" s="97" t="str">
        <f>IFERROR(__xludf.DUMMYFUNCTION("""COMPUTED_VALUE"""),"Activo")</f>
        <v>Activo</v>
      </c>
    </row>
    <row r="1134">
      <c r="A1134" s="97">
        <f>IFERROR(__xludf.DUMMYFUNCTION("""COMPUTED_VALUE"""),7052.0)</f>
        <v>7052</v>
      </c>
      <c r="B1134" s="97" t="str">
        <f>IFERROR(__xludf.DUMMYFUNCTION("""COMPUTED_VALUE"""),"FREYA NG")</f>
        <v>FREYA NG</v>
      </c>
      <c r="C1134" s="97" t="str">
        <f>IFERROR(__xludf.DUMMYFUNCTION("""COMPUTED_VALUE"""),"COLGANTE FREYA NG 15W 3000K 563LM CRI&gt;90 IP20 LEUK")</f>
        <v>COLGANTE FREYA NG 15W 3000K 563LM CRI&gt;90 IP20 LEUK</v>
      </c>
      <c r="D1134" s="97">
        <f>IFERROR(__xludf.DUMMYFUNCTION("""COMPUTED_VALUE"""),7.798413225716E12)</f>
        <v>7798413225716</v>
      </c>
      <c r="E1134" s="97" t="str">
        <f>IFERROR(__xludf.DUMMYFUNCTION("""COMPUTED_VALUE"""),"A136")</f>
        <v>A136</v>
      </c>
      <c r="F1134" s="97" t="str">
        <f>IFERROR(__xludf.DUMMYFUNCTION("""COMPUTED_VALUE"""),"LED SMD2835")</f>
        <v>LED SMD2835</v>
      </c>
      <c r="G1134" s="97" t="str">
        <f>IFERROR(__xludf.DUMMYFUNCTION("""COMPUTED_VALUE"""),"Bridgelux")</f>
        <v>Bridgelux</v>
      </c>
      <c r="H1134" s="97" t="str">
        <f>IFERROR(__xludf.DUMMYFUNCTION("""COMPUTED_VALUE"""),"-")</f>
        <v>-</v>
      </c>
      <c r="I1134" s="97" t="str">
        <f>IFERROR(__xludf.DUMMYFUNCTION("""COMPUTED_VALUE"""),"Si")</f>
        <v>Si</v>
      </c>
      <c r="J1134" s="97" t="str">
        <f>IFERROR(__xludf.DUMMYFUNCTION("""COMPUTED_VALUE"""),"Modelo: XFT007C0150SGAW-C18-02
In: 220-240Vac 0,04A 50/60hz
Out: 25-40Vdc 150mA - 6W
Pf 0,9 Tc 95ºC Flicker Free")</f>
        <v>Modelo: XFT007C0150SGAW-C18-02
In: 220-240Vac 0,04A 50/60hz
Out: 25-40Vdc 150mA - 6W
Pf 0,9 Tc 95ºC Flicker Free</v>
      </c>
      <c r="K1134" s="97" t="str">
        <f>IFERROR(__xludf.DUMMYFUNCTION("""COMPUTED_VALUE"""),"TRIAC")</f>
        <v>TRIAC</v>
      </c>
      <c r="L1134" s="97" t="str">
        <f>IFERROR(__xludf.DUMMYFUNCTION("""COMPUTED_VALUE"""),"220-240")</f>
        <v>220-240</v>
      </c>
      <c r="M1134" s="97" t="str">
        <f>IFERROR(__xludf.DUMMYFUNCTION("""COMPUTED_VALUE"""),"50/60")</f>
        <v>50/60</v>
      </c>
      <c r="N1134" s="97" t="str">
        <f>IFERROR(__xludf.DUMMYFUNCTION("""COMPUTED_VALUE"""),"Directa-Simétrica")</f>
        <v>Directa-Simétrica</v>
      </c>
      <c r="O1134" s="97">
        <f>IFERROR(__xludf.DUMMYFUNCTION("""COMPUTED_VALUE"""),15.0)</f>
        <v>15</v>
      </c>
      <c r="P1134" s="97">
        <f>IFERROR(__xludf.DUMMYFUNCTION("""COMPUTED_VALUE"""),14.61)</f>
        <v>14.61</v>
      </c>
      <c r="Q1134" s="97">
        <f>IFERROR(__xludf.DUMMYFUNCTION("""COMPUTED_VALUE"""),0.9)</f>
        <v>0.9</v>
      </c>
      <c r="R1134" s="97" t="str">
        <f>IFERROR(__xludf.DUMMYFUNCTION("""COMPUTED_VALUE"""),"-")</f>
        <v>-</v>
      </c>
      <c r="S1134" s="97" t="str">
        <f>IFERROR(__xludf.DUMMYFUNCTION("""COMPUTED_VALUE"""),"-")</f>
        <v>-</v>
      </c>
      <c r="T1134" s="97">
        <f>IFERROR(__xludf.DUMMYFUNCTION("""COMPUTED_VALUE"""),563.0)</f>
        <v>563</v>
      </c>
      <c r="U1134" s="99">
        <f>IFERROR(__xludf.DUMMYFUNCTION("""COMPUTED_VALUE"""),37.53333333333333)</f>
        <v>37.53333333</v>
      </c>
      <c r="V1134" s="97">
        <f>IFERROR(__xludf.DUMMYFUNCTION("""COMPUTED_VALUE"""),65.0)</f>
        <v>65</v>
      </c>
      <c r="W1134" s="97" t="str">
        <f>IFERROR(__xludf.DUMMYFUNCTION("""COMPUTED_VALUE"""),"&lt; 10")</f>
        <v>&lt; 10</v>
      </c>
      <c r="X1134" s="97">
        <f>IFERROR(__xludf.DUMMYFUNCTION("""COMPUTED_VALUE"""),3000.0)</f>
        <v>3000</v>
      </c>
      <c r="Y1134" s="97" t="str">
        <f>IFERROR(__xludf.DUMMYFUNCTION("""COMPUTED_VALUE"""),"&gt;90")</f>
        <v>&gt;90</v>
      </c>
      <c r="Z1134" s="97" t="str">
        <f>IFERROR(__xludf.DUMMYFUNCTION("""COMPUTED_VALUE"""),"&gt;90")</f>
        <v>&gt;90</v>
      </c>
      <c r="AA1134" s="97" t="str">
        <f>IFERROR(__xludf.DUMMYFUNCTION("""COMPUTED_VALUE"""),"90-99 (Leve desaturación)")</f>
        <v>90-99 (Leve desaturación)</v>
      </c>
      <c r="AB1134" s="97" t="str">
        <f>IFERROR(__xludf.DUMMYFUNCTION("""COMPUTED_VALUE"""),"&lt; 2")</f>
        <v>&lt; 2</v>
      </c>
      <c r="AC1134" s="97">
        <f>IFERROR(__xludf.DUMMYFUNCTION("""COMPUTED_VALUE"""),-8.8E-4)</f>
        <v>-0.00088</v>
      </c>
      <c r="AD1134" s="97" t="str">
        <f>IFERROR(__xludf.DUMMYFUNCTION("""COMPUTED_VALUE"""),"IP20")</f>
        <v>IP20</v>
      </c>
      <c r="AE1134" s="97" t="str">
        <f>IFERROR(__xludf.DUMMYFUNCTION("""COMPUTED_VALUE"""),"Clase l")</f>
        <v>Clase l</v>
      </c>
      <c r="AF1134" s="97" t="str">
        <f>IFERROR(__xludf.DUMMYFUNCTION("""COMPUTED_VALUE"""),"Suspender")</f>
        <v>Suspender</v>
      </c>
      <c r="AG1134" s="97" t="str">
        <f>IFERROR(__xludf.DUMMYFUNCTION("""COMPUTED_VALUE"""),"Ø550 x 142")</f>
        <v>Ø550 x 142</v>
      </c>
      <c r="AH1134" s="97" t="str">
        <f>IFERROR(__xludf.DUMMYFUNCTION("""COMPUTED_VALUE"""),"N/A")</f>
        <v>N/A</v>
      </c>
      <c r="AI1134" s="97" t="str">
        <f>IFERROR(__xludf.DUMMYFUNCTION("""COMPUTED_VALUE"""),"N/A")</f>
        <v>N/A</v>
      </c>
      <c r="AJ1134" s="97" t="str">
        <f>IFERROR(__xludf.DUMMYFUNCTION("""COMPUTED_VALUE"""),"Policarbonato (PC)")</f>
        <v>Policarbonato (PC)</v>
      </c>
      <c r="AK1134" s="97" t="str">
        <f>IFERROR(__xludf.DUMMYFUNCTION("""COMPUTED_VALUE"""),"Aluminio")</f>
        <v>Aluminio</v>
      </c>
      <c r="AL1134" s="97" t="str">
        <f>IFERROR(__xludf.DUMMYFUNCTION("""COMPUTED_VALUE"""),"Negro Satinado")</f>
        <v>Negro Satinado</v>
      </c>
      <c r="AM1134" s="97" t="str">
        <f>IFERROR(__xludf.DUMMYFUNCTION("""COMPUTED_VALUE"""),"-")</f>
        <v>-</v>
      </c>
      <c r="AN1134" s="97" t="str">
        <f>IFERROR(__xludf.DUMMYFUNCTION("""COMPUTED_VALUE"""),"30.000hs (L70)")</f>
        <v>30.000hs (L70)</v>
      </c>
      <c r="AO1134" s="97" t="str">
        <f>IFERROR(__xludf.DUMMYFUNCTION("""COMPUTED_VALUE"""),"3 Años")</f>
        <v>3 Años</v>
      </c>
      <c r="AP1134" s="97" t="str">
        <f>IFERROR(__xludf.DUMMYFUNCTION("""COMPUTED_VALUE"""),"Disponible")</f>
        <v>Disponible</v>
      </c>
      <c r="AQ1134" s="97" t="str">
        <f>IFERROR(__xludf.DUMMYFUNCTION("""COMPUTED_VALUE"""),"Disponible")</f>
        <v>Disponible</v>
      </c>
      <c r="AR1134" s="97" t="str">
        <f>IFERROR(__xludf.DUMMYFUNCTION("""COMPUTED_VALUE"""),"Disponible")</f>
        <v>Disponible</v>
      </c>
      <c r="AS1134" s="97"/>
      <c r="AT1134" s="97"/>
      <c r="AU1134" s="97" t="str">
        <f>IFERROR(__xludf.DUMMYFUNCTION("""COMPUTED_VALUE"""),"Falta")</f>
        <v>Falta</v>
      </c>
      <c r="AV1134" s="97" t="str">
        <f>IFERROR(__xludf.DUMMYFUNCTION("""COMPUTED_VALUE"""),"Colgante")</f>
        <v>Colgante</v>
      </c>
      <c r="AW1134" s="97" t="str">
        <f>IFERROR(__xludf.DUMMYFUNCTION("""COMPUTED_VALUE"""),"De Techo")</f>
        <v>De Techo</v>
      </c>
      <c r="AX1134" s="97" t="str">
        <f>IFERROR(__xludf.DUMMYFUNCTION("""COMPUTED_VALUE"""),"Interior")</f>
        <v>Interior</v>
      </c>
      <c r="AY1134" s="97" t="str">
        <f>IFERROR(__xludf.DUMMYFUNCTION("""COMPUTED_VALUE"""),"-")</f>
        <v>-</v>
      </c>
      <c r="AZ1134" s="97" t="str">
        <f>IFERROR(__xludf.DUMMYFUNCTION("""COMPUTED_VALUE"""),"Colgante de 1500mm. Florón: Ø60x72.")</f>
        <v>Colgante de 1500mm. Florón: Ø60x72.</v>
      </c>
      <c r="BA1134" s="97">
        <f>IFERROR(__xludf.DUMMYFUNCTION("""COMPUTED_VALUE"""),1.0)</f>
        <v>1</v>
      </c>
      <c r="BB1134" s="97" t="str">
        <f>IFERROR(__xludf.DUMMYFUNCTION("""COMPUTED_VALUE"""),"-")</f>
        <v>-</v>
      </c>
      <c r="BC1134" s="97" t="str">
        <f>IFERROR(__xludf.DUMMYFUNCTION("""COMPUTED_VALUE"""),"-")</f>
        <v>-</v>
      </c>
      <c r="BD1134" s="97" t="str">
        <f>IFERROR(__xludf.DUMMYFUNCTION("""COMPUTED_VALUE"""),"FREYA")</f>
        <v>FREYA</v>
      </c>
      <c r="BE1134" s="97" t="str">
        <f>IFERROR(__xludf.DUMMYFUNCTION("""COMPUTED_VALUE"""),"Finalizada")</f>
        <v>Finalizada</v>
      </c>
      <c r="BF1134" s="97"/>
      <c r="BG1134" s="97" t="str">
        <f>IFERROR(__xludf.DUMMYFUNCTION("""COMPUTED_VALUE"""),"Activo")</f>
        <v>Activo</v>
      </c>
    </row>
    <row r="1135">
      <c r="A1135" s="97">
        <f>IFERROR(__xludf.DUMMYFUNCTION("""COMPUTED_VALUE"""),7053.0)</f>
        <v>7053</v>
      </c>
      <c r="B1135" s="97" t="str">
        <f>IFERROR(__xludf.DUMMYFUNCTION("""COMPUTED_VALUE"""),"LEIF BL")</f>
        <v>LEIF BL</v>
      </c>
      <c r="C1135" s="97" t="str">
        <f>IFERROR(__xludf.DUMMYFUNCTION("""COMPUTED_VALUE"""),"COLGANTE LEIF BL 21W 3000K 502LM CRI&gt;90 IP20 LEUK")</f>
        <v>COLGANTE LEIF BL 21W 3000K 502LM CRI&gt;90 IP20 LEUK</v>
      </c>
      <c r="D1135" s="97">
        <f>IFERROR(__xludf.DUMMYFUNCTION("""COMPUTED_VALUE"""),7.798413225723E12)</f>
        <v>7798413225723</v>
      </c>
      <c r="E1135" s="97" t="str">
        <f>IFERROR(__xludf.DUMMYFUNCTION("""COMPUTED_VALUE"""),"A130")</f>
        <v>A130</v>
      </c>
      <c r="F1135" s="97" t="str">
        <f>IFERROR(__xludf.DUMMYFUNCTION("""COMPUTED_VALUE"""),"LED integrado")</f>
        <v>LED integrado</v>
      </c>
      <c r="G1135" s="97" t="str">
        <f>IFERROR(__xludf.DUMMYFUNCTION("""COMPUTED_VALUE"""),"CREE")</f>
        <v>CREE</v>
      </c>
      <c r="H1135" s="97" t="str">
        <f>IFERROR(__xludf.DUMMYFUNCTION("""COMPUTED_VALUE"""),"AiDimming")</f>
        <v>AiDimming</v>
      </c>
      <c r="I1135" s="97"/>
      <c r="J1135" s="97" t="str">
        <f>IFERROR(__xludf.DUMMYFUNCTION("""COMPUTED_VALUE"""),"Modelo: LS-12-250 SI1 E
In: 220-240Vac 0.15A 50/60Hz
Out: 30-40Vdc 250mA - 10W
Pf 0.6 Ta 45°C Tc 80°C
Modelo: PE281B1570
In: 200-250Vac 0,08A 50/60Hz
Out: 6-15Vdc 700mA - 10,5W
Pf: 0,9 Tc 85ºC")</f>
        <v>Modelo: LS-12-250 SI1 E
In: 220-240Vac 0.15A 50/60Hz
Out: 30-40Vdc 250mA - 10W
Pf 0.6 Ta 45°C Tc 80°C
Modelo: PE281B1570
In: 200-250Vac 0,08A 50/60Hz
Out: 6-15Vdc 700mA - 10,5W
Pf: 0,9 Tc 85ºC</v>
      </c>
      <c r="K1135" s="97" t="str">
        <f>IFERROR(__xludf.DUMMYFUNCTION("""COMPUTED_VALUE"""),"TRIAC")</f>
        <v>TRIAC</v>
      </c>
      <c r="L1135" s="97" t="str">
        <f>IFERROR(__xludf.DUMMYFUNCTION("""COMPUTED_VALUE"""),"220-240")</f>
        <v>220-240</v>
      </c>
      <c r="M1135" s="97" t="str">
        <f>IFERROR(__xludf.DUMMYFUNCTION("""COMPUTED_VALUE"""),"50/60")</f>
        <v>50/60</v>
      </c>
      <c r="N1135" s="97" t="str">
        <f>IFERROR(__xludf.DUMMYFUNCTION("""COMPUTED_VALUE"""),"Directa-Indirecta")</f>
        <v>Directa-Indirecta</v>
      </c>
      <c r="O1135" s="97">
        <f>IFERROR(__xludf.DUMMYFUNCTION("""COMPUTED_VALUE"""),21.0)</f>
        <v>21</v>
      </c>
      <c r="P1135" s="97"/>
      <c r="Q1135" s="97">
        <f>IFERROR(__xludf.DUMMYFUNCTION("""COMPUTED_VALUE"""),0.9)</f>
        <v>0.9</v>
      </c>
      <c r="R1135" s="97" t="str">
        <f>IFERROR(__xludf.DUMMYFUNCTION("""COMPUTED_VALUE"""),"-")</f>
        <v>-</v>
      </c>
      <c r="S1135" s="97" t="str">
        <f>IFERROR(__xludf.DUMMYFUNCTION("""COMPUTED_VALUE"""),"-")</f>
        <v>-</v>
      </c>
      <c r="T1135" s="97">
        <f>IFERROR(__xludf.DUMMYFUNCTION("""COMPUTED_VALUE"""),502.0)</f>
        <v>502</v>
      </c>
      <c r="U1135" s="99">
        <f>IFERROR(__xludf.DUMMYFUNCTION("""COMPUTED_VALUE"""),23.904761904761905)</f>
        <v>23.9047619</v>
      </c>
      <c r="V1135" s="97">
        <f>IFERROR(__xludf.DUMMYFUNCTION("""COMPUTED_VALUE"""),20.0)</f>
        <v>20</v>
      </c>
      <c r="W1135" s="97" t="str">
        <f>IFERROR(__xludf.DUMMYFUNCTION("""COMPUTED_VALUE"""),"&lt; 16")</f>
        <v>&lt; 16</v>
      </c>
      <c r="X1135" s="97">
        <f>IFERROR(__xludf.DUMMYFUNCTION("""COMPUTED_VALUE"""),3000.0)</f>
        <v>3000</v>
      </c>
      <c r="Y1135" s="97" t="str">
        <f>IFERROR(__xludf.DUMMYFUNCTION("""COMPUTED_VALUE"""),"&gt;90")</f>
        <v>&gt;90</v>
      </c>
      <c r="Z1135" s="97"/>
      <c r="AA1135" s="97"/>
      <c r="AB1135" s="97" t="str">
        <f>IFERROR(__xludf.DUMMYFUNCTION("""COMPUTED_VALUE"""),"&lt; 3")</f>
        <v>&lt; 3</v>
      </c>
      <c r="AC1135" s="97"/>
      <c r="AD1135" s="97" t="str">
        <f>IFERROR(__xludf.DUMMYFUNCTION("""COMPUTED_VALUE"""),"IP20")</f>
        <v>IP20</v>
      </c>
      <c r="AE1135" s="97" t="str">
        <f>IFERROR(__xludf.DUMMYFUNCTION("""COMPUTED_VALUE"""),"Clase l")</f>
        <v>Clase l</v>
      </c>
      <c r="AF1135" s="97" t="str">
        <f>IFERROR(__xludf.DUMMYFUNCTION("""COMPUTED_VALUE"""),"Suspender")</f>
        <v>Suspender</v>
      </c>
      <c r="AG1135" s="97" t="str">
        <f>IFERROR(__xludf.DUMMYFUNCTION("""COMPUTED_VALUE"""),"Ø600 x 40")</f>
        <v>Ø600 x 40</v>
      </c>
      <c r="AH1135" s="97" t="str">
        <f>IFERROR(__xludf.DUMMYFUNCTION("""COMPUTED_VALUE"""),"N/A")</f>
        <v>N/A</v>
      </c>
      <c r="AI1135" s="97" t="str">
        <f>IFERROR(__xludf.DUMMYFUNCTION("""COMPUTED_VALUE"""),"N/A")</f>
        <v>N/A</v>
      </c>
      <c r="AJ1135" s="97" t="str">
        <f>IFERROR(__xludf.DUMMYFUNCTION("""COMPUTED_VALUE"""),"PMMA")</f>
        <v>PMMA</v>
      </c>
      <c r="AK1135" s="97" t="str">
        <f>IFERROR(__xludf.DUMMYFUNCTION("""COMPUTED_VALUE"""),"Aluminio")</f>
        <v>Aluminio</v>
      </c>
      <c r="AL1135" s="97" t="str">
        <f>IFERROR(__xludf.DUMMYFUNCTION("""COMPUTED_VALUE"""),"Blanco Satinado")</f>
        <v>Blanco Satinado</v>
      </c>
      <c r="AM1135" s="97" t="str">
        <f>IFERROR(__xludf.DUMMYFUNCTION("""COMPUTED_VALUE"""),"-")</f>
        <v>-</v>
      </c>
      <c r="AN1135" s="97" t="str">
        <f>IFERROR(__xludf.DUMMYFUNCTION("""COMPUTED_VALUE"""),"30.000hs (L70)")</f>
        <v>30.000hs (L70)</v>
      </c>
      <c r="AO1135" s="97" t="str">
        <f>IFERROR(__xludf.DUMMYFUNCTION("""COMPUTED_VALUE"""),"3 Años")</f>
        <v>3 Años</v>
      </c>
      <c r="AP1135" s="97" t="str">
        <f>IFERROR(__xludf.DUMMYFUNCTION("""COMPUTED_VALUE"""),"Disponible")</f>
        <v>Disponible</v>
      </c>
      <c r="AQ1135" s="97" t="str">
        <f>IFERROR(__xludf.DUMMYFUNCTION("""COMPUTED_VALUE"""),"Disponible")</f>
        <v>Disponible</v>
      </c>
      <c r="AR1135" s="97" t="str">
        <f>IFERROR(__xludf.DUMMYFUNCTION("""COMPUTED_VALUE"""),"Disponible")</f>
        <v>Disponible</v>
      </c>
      <c r="AS1135" s="97"/>
      <c r="AT1135" s="97"/>
      <c r="AU1135" s="97" t="str">
        <f>IFERROR(__xludf.DUMMYFUNCTION("""COMPUTED_VALUE"""),"Falta")</f>
        <v>Falta</v>
      </c>
      <c r="AV1135" s="97" t="str">
        <f>IFERROR(__xludf.DUMMYFUNCTION("""COMPUTED_VALUE"""),"Colgante")</f>
        <v>Colgante</v>
      </c>
      <c r="AW1135" s="97" t="str">
        <f>IFERROR(__xludf.DUMMYFUNCTION("""COMPUTED_VALUE"""),"De Techo")</f>
        <v>De Techo</v>
      </c>
      <c r="AX1135" s="97" t="str">
        <f>IFERROR(__xludf.DUMMYFUNCTION("""COMPUTED_VALUE"""),"Interior")</f>
        <v>Interior</v>
      </c>
      <c r="AY1135" s="97" t="str">
        <f>IFERROR(__xludf.DUMMYFUNCTION("""COMPUTED_VALUE"""),"-")</f>
        <v>-</v>
      </c>
      <c r="AZ1135" s="97" t="str">
        <f>IFERROR(__xludf.DUMMYFUNCTION("""COMPUTED_VALUE"""),"Marcar LED Directo: CREE Indirecto: EDISON.
Colgante de 1200mm. Florón de D100x35.")</f>
        <v>Marcar LED Directo: CREE Indirecto: EDISON.
Colgante de 1200mm. Florón de D100x35.</v>
      </c>
      <c r="BA1135" s="97">
        <f>IFERROR(__xludf.DUMMYFUNCTION("""COMPUTED_VALUE"""),1.0)</f>
        <v>1</v>
      </c>
      <c r="BB1135" s="97" t="str">
        <f>IFERROR(__xludf.DUMMYFUNCTION("""COMPUTED_VALUE"""),"-")</f>
        <v>-</v>
      </c>
      <c r="BC1135" s="97" t="str">
        <f>IFERROR(__xludf.DUMMYFUNCTION("""COMPUTED_VALUE"""),"-")</f>
        <v>-</v>
      </c>
      <c r="BD1135" s="97" t="str">
        <f>IFERROR(__xludf.DUMMYFUNCTION("""COMPUTED_VALUE"""),"LEIF")</f>
        <v>LEIF</v>
      </c>
      <c r="BE1135" s="97" t="str">
        <f>IFERROR(__xludf.DUMMYFUNCTION("""COMPUTED_VALUE"""),"Finalizada")</f>
        <v>Finalizada</v>
      </c>
      <c r="BF1135" s="97"/>
      <c r="BG1135" s="97" t="str">
        <f>IFERROR(__xludf.DUMMYFUNCTION("""COMPUTED_VALUE"""),"Activo")</f>
        <v>Activo</v>
      </c>
    </row>
    <row r="1136">
      <c r="A1136" s="97">
        <f>IFERROR(__xludf.DUMMYFUNCTION("""COMPUTED_VALUE"""),7054.0)</f>
        <v>7054</v>
      </c>
      <c r="B1136" s="97" t="str">
        <f>IFERROR(__xludf.DUMMYFUNCTION("""COMPUTED_VALUE"""),"LEIF NG")</f>
        <v>LEIF NG</v>
      </c>
      <c r="C1136" s="97" t="str">
        <f>IFERROR(__xludf.DUMMYFUNCTION("""COMPUTED_VALUE"""),"COLGANTE LEIF NG 21W 3000K 502LM CRI&gt;90 IP20 LEUK")</f>
        <v>COLGANTE LEIF NG 21W 3000K 502LM CRI&gt;90 IP20 LEUK</v>
      </c>
      <c r="D1136" s="97">
        <f>IFERROR(__xludf.DUMMYFUNCTION("""COMPUTED_VALUE"""),7.79841322573E12)</f>
        <v>7798413225730</v>
      </c>
      <c r="E1136" s="97" t="str">
        <f>IFERROR(__xludf.DUMMYFUNCTION("""COMPUTED_VALUE"""),"A130")</f>
        <v>A130</v>
      </c>
      <c r="F1136" s="97" t="str">
        <f>IFERROR(__xludf.DUMMYFUNCTION("""COMPUTED_VALUE"""),"LED integrado")</f>
        <v>LED integrado</v>
      </c>
      <c r="G1136" s="97" t="str">
        <f>IFERROR(__xludf.DUMMYFUNCTION("""COMPUTED_VALUE"""),"CREE")</f>
        <v>CREE</v>
      </c>
      <c r="H1136" s="97" t="str">
        <f>IFERROR(__xludf.DUMMYFUNCTION("""COMPUTED_VALUE"""),"AiDimming")</f>
        <v>AiDimming</v>
      </c>
      <c r="I1136" s="97"/>
      <c r="J1136" s="97" t="str">
        <f>IFERROR(__xludf.DUMMYFUNCTION("""COMPUTED_VALUE"""),"Modelo: LS-12-250 SI1 E
In: 220-240Vac 0.15A 50/60Hz
Out: 30-40Vdc 250mA - 10W
Pf 0.6 Ta 45°C Tc 80°C
Modelo: PE281B1570
In: 200-250Vac 0,08A 50/60Hz
Out: 6-15Vdc 700mA - 10,5W
Pf: 0,9 Tc 85ºC")</f>
        <v>Modelo: LS-12-250 SI1 E
In: 220-240Vac 0.15A 50/60Hz
Out: 30-40Vdc 250mA - 10W
Pf 0.6 Ta 45°C Tc 80°C
Modelo: PE281B1570
In: 200-250Vac 0,08A 50/60Hz
Out: 6-15Vdc 700mA - 10,5W
Pf: 0,9 Tc 85ºC</v>
      </c>
      <c r="K1136" s="97" t="str">
        <f>IFERROR(__xludf.DUMMYFUNCTION("""COMPUTED_VALUE"""),"TRIAC")</f>
        <v>TRIAC</v>
      </c>
      <c r="L1136" s="97" t="str">
        <f>IFERROR(__xludf.DUMMYFUNCTION("""COMPUTED_VALUE"""),"220-240")</f>
        <v>220-240</v>
      </c>
      <c r="M1136" s="97" t="str">
        <f>IFERROR(__xludf.DUMMYFUNCTION("""COMPUTED_VALUE"""),"50/60")</f>
        <v>50/60</v>
      </c>
      <c r="N1136" s="97" t="str">
        <f>IFERROR(__xludf.DUMMYFUNCTION("""COMPUTED_VALUE"""),"Directa-Indirecta")</f>
        <v>Directa-Indirecta</v>
      </c>
      <c r="O1136" s="97">
        <f>IFERROR(__xludf.DUMMYFUNCTION("""COMPUTED_VALUE"""),21.0)</f>
        <v>21</v>
      </c>
      <c r="P1136" s="97"/>
      <c r="Q1136" s="97">
        <f>IFERROR(__xludf.DUMMYFUNCTION("""COMPUTED_VALUE"""),0.9)</f>
        <v>0.9</v>
      </c>
      <c r="R1136" s="97" t="str">
        <f>IFERROR(__xludf.DUMMYFUNCTION("""COMPUTED_VALUE"""),"-")</f>
        <v>-</v>
      </c>
      <c r="S1136" s="97" t="str">
        <f>IFERROR(__xludf.DUMMYFUNCTION("""COMPUTED_VALUE"""),"-")</f>
        <v>-</v>
      </c>
      <c r="T1136" s="97">
        <f>IFERROR(__xludf.DUMMYFUNCTION("""COMPUTED_VALUE"""),502.0)</f>
        <v>502</v>
      </c>
      <c r="U1136" s="99">
        <f>IFERROR(__xludf.DUMMYFUNCTION("""COMPUTED_VALUE"""),23.904761904761905)</f>
        <v>23.9047619</v>
      </c>
      <c r="V1136" s="97">
        <f>IFERROR(__xludf.DUMMYFUNCTION("""COMPUTED_VALUE"""),20.0)</f>
        <v>20</v>
      </c>
      <c r="W1136" s="97" t="str">
        <f>IFERROR(__xludf.DUMMYFUNCTION("""COMPUTED_VALUE"""),"&lt; 16")</f>
        <v>&lt; 16</v>
      </c>
      <c r="X1136" s="97">
        <f>IFERROR(__xludf.DUMMYFUNCTION("""COMPUTED_VALUE"""),3000.0)</f>
        <v>3000</v>
      </c>
      <c r="Y1136" s="97" t="str">
        <f>IFERROR(__xludf.DUMMYFUNCTION("""COMPUTED_VALUE"""),"&gt;90")</f>
        <v>&gt;90</v>
      </c>
      <c r="Z1136" s="97"/>
      <c r="AA1136" s="97"/>
      <c r="AB1136" s="97" t="str">
        <f>IFERROR(__xludf.DUMMYFUNCTION("""COMPUTED_VALUE"""),"&lt; 3")</f>
        <v>&lt; 3</v>
      </c>
      <c r="AC1136" s="97"/>
      <c r="AD1136" s="97" t="str">
        <f>IFERROR(__xludf.DUMMYFUNCTION("""COMPUTED_VALUE"""),"IP20")</f>
        <v>IP20</v>
      </c>
      <c r="AE1136" s="97" t="str">
        <f>IFERROR(__xludf.DUMMYFUNCTION("""COMPUTED_VALUE"""),"Clase l")</f>
        <v>Clase l</v>
      </c>
      <c r="AF1136" s="97" t="str">
        <f>IFERROR(__xludf.DUMMYFUNCTION("""COMPUTED_VALUE"""),"Suspender")</f>
        <v>Suspender</v>
      </c>
      <c r="AG1136" s="97" t="str">
        <f>IFERROR(__xludf.DUMMYFUNCTION("""COMPUTED_VALUE"""),"Ø600 x 40")</f>
        <v>Ø600 x 40</v>
      </c>
      <c r="AH1136" s="97" t="str">
        <f>IFERROR(__xludf.DUMMYFUNCTION("""COMPUTED_VALUE"""),"N/A")</f>
        <v>N/A</v>
      </c>
      <c r="AI1136" s="97" t="str">
        <f>IFERROR(__xludf.DUMMYFUNCTION("""COMPUTED_VALUE"""),"N/A")</f>
        <v>N/A</v>
      </c>
      <c r="AJ1136" s="97" t="str">
        <f>IFERROR(__xludf.DUMMYFUNCTION("""COMPUTED_VALUE"""),"PMMA")</f>
        <v>PMMA</v>
      </c>
      <c r="AK1136" s="97" t="str">
        <f>IFERROR(__xludf.DUMMYFUNCTION("""COMPUTED_VALUE"""),"Aluminio")</f>
        <v>Aluminio</v>
      </c>
      <c r="AL1136" s="97" t="str">
        <f>IFERROR(__xludf.DUMMYFUNCTION("""COMPUTED_VALUE"""),"Negro Satinado")</f>
        <v>Negro Satinado</v>
      </c>
      <c r="AM1136" s="97" t="str">
        <f>IFERROR(__xludf.DUMMYFUNCTION("""COMPUTED_VALUE"""),"-")</f>
        <v>-</v>
      </c>
      <c r="AN1136" s="97" t="str">
        <f>IFERROR(__xludf.DUMMYFUNCTION("""COMPUTED_VALUE"""),"30.000hs (L70)")</f>
        <v>30.000hs (L70)</v>
      </c>
      <c r="AO1136" s="97" t="str">
        <f>IFERROR(__xludf.DUMMYFUNCTION("""COMPUTED_VALUE"""),"3 Años")</f>
        <v>3 Años</v>
      </c>
      <c r="AP1136" s="97" t="str">
        <f>IFERROR(__xludf.DUMMYFUNCTION("""COMPUTED_VALUE"""),"Disponible")</f>
        <v>Disponible</v>
      </c>
      <c r="AQ1136" s="97" t="str">
        <f>IFERROR(__xludf.DUMMYFUNCTION("""COMPUTED_VALUE"""),"Disponible")</f>
        <v>Disponible</v>
      </c>
      <c r="AR1136" s="97" t="str">
        <f>IFERROR(__xludf.DUMMYFUNCTION("""COMPUTED_VALUE"""),"Disponible")</f>
        <v>Disponible</v>
      </c>
      <c r="AS1136" s="97"/>
      <c r="AT1136" s="97"/>
      <c r="AU1136" s="97" t="str">
        <f>IFERROR(__xludf.DUMMYFUNCTION("""COMPUTED_VALUE"""),"Falta")</f>
        <v>Falta</v>
      </c>
      <c r="AV1136" s="97" t="str">
        <f>IFERROR(__xludf.DUMMYFUNCTION("""COMPUTED_VALUE"""),"Colgante")</f>
        <v>Colgante</v>
      </c>
      <c r="AW1136" s="97" t="str">
        <f>IFERROR(__xludf.DUMMYFUNCTION("""COMPUTED_VALUE"""),"De Techo")</f>
        <v>De Techo</v>
      </c>
      <c r="AX1136" s="97" t="str">
        <f>IFERROR(__xludf.DUMMYFUNCTION("""COMPUTED_VALUE"""),"Interior")</f>
        <v>Interior</v>
      </c>
      <c r="AY1136" s="97" t="str">
        <f>IFERROR(__xludf.DUMMYFUNCTION("""COMPUTED_VALUE"""),"-")</f>
        <v>-</v>
      </c>
      <c r="AZ1136" s="97" t="str">
        <f>IFERROR(__xludf.DUMMYFUNCTION("""COMPUTED_VALUE"""),"Marcar LED Directo: CREE Indirecto: EDISON.
Colgante de 1200mm. Florón de D100x35.")</f>
        <v>Marcar LED Directo: CREE Indirecto: EDISON.
Colgante de 1200mm. Florón de D100x35.</v>
      </c>
      <c r="BA1136" s="97">
        <f>IFERROR(__xludf.DUMMYFUNCTION("""COMPUTED_VALUE"""),1.0)</f>
        <v>1</v>
      </c>
      <c r="BB1136" s="97" t="str">
        <f>IFERROR(__xludf.DUMMYFUNCTION("""COMPUTED_VALUE"""),"-")</f>
        <v>-</v>
      </c>
      <c r="BC1136" s="97" t="str">
        <f>IFERROR(__xludf.DUMMYFUNCTION("""COMPUTED_VALUE"""),"-")</f>
        <v>-</v>
      </c>
      <c r="BD1136" s="97" t="str">
        <f>IFERROR(__xludf.DUMMYFUNCTION("""COMPUTED_VALUE"""),"LEIF")</f>
        <v>LEIF</v>
      </c>
      <c r="BE1136" s="97" t="str">
        <f>IFERROR(__xludf.DUMMYFUNCTION("""COMPUTED_VALUE"""),"Finalizada")</f>
        <v>Finalizada</v>
      </c>
      <c r="BF1136" s="97"/>
      <c r="BG1136" s="97" t="str">
        <f>IFERROR(__xludf.DUMMYFUNCTION("""COMPUTED_VALUE"""),"Activo")</f>
        <v>Activo</v>
      </c>
    </row>
    <row r="1137">
      <c r="A1137" s="97">
        <f>IFERROR(__xludf.DUMMYFUNCTION("""COMPUTED_VALUE"""),7055.0)</f>
        <v>7055</v>
      </c>
      <c r="B1137" s="97" t="str">
        <f>IFERROR(__xludf.DUMMYFUNCTION("""COMPUTED_VALUE"""),"NEULA BL")</f>
        <v>NEULA BL</v>
      </c>
      <c r="C1137" s="97" t="str">
        <f>IFERROR(__xludf.DUMMYFUNCTION("""COMPUTED_VALUE"""),"COLGANTE NEULA BL 7W 3000K 460LM CRI&gt;90 IP20 LEUK")</f>
        <v>COLGANTE NEULA BL 7W 3000K 460LM CRI&gt;90 IP20 LEUK</v>
      </c>
      <c r="D1137" s="97">
        <f>IFERROR(__xludf.DUMMYFUNCTION("""COMPUTED_VALUE"""),7.798413225747E12)</f>
        <v>7798413225747</v>
      </c>
      <c r="E1137" s="97" t="str">
        <f>IFERROR(__xludf.DUMMYFUNCTION("""COMPUTED_VALUE"""),"A198")</f>
        <v>A198</v>
      </c>
      <c r="F1137" s="97" t="str">
        <f>IFERROR(__xludf.DUMMYFUNCTION("""COMPUTED_VALUE"""),"LED SMD5050")</f>
        <v>LED SMD5050</v>
      </c>
      <c r="G1137" s="97" t="str">
        <f>IFERROR(__xludf.DUMMYFUNCTION("""COMPUTED_VALUE"""),"Bridgelux")</f>
        <v>Bridgelux</v>
      </c>
      <c r="H1137" s="97" t="str">
        <f>IFERROR(__xludf.DUMMYFUNCTION("""COMPUTED_VALUE"""),"-")</f>
        <v>-</v>
      </c>
      <c r="I1137" s="97" t="str">
        <f>IFERROR(__xludf.DUMMYFUNCTION("""COMPUTED_VALUE"""),"Si")</f>
        <v>Si</v>
      </c>
      <c r="J1137" s="97" t="str">
        <f>IFERROR(__xludf.DUMMYFUNCTION("""COMPUTED_VALUE"""),"XFT007C0150SGAW-C18-02
φ42*23mm")</f>
        <v>XFT007C0150SGAW-C18-02
φ42*23mm</v>
      </c>
      <c r="K1137" s="97" t="str">
        <f>IFERROR(__xludf.DUMMYFUNCTION("""COMPUTED_VALUE"""),"TRIAC")</f>
        <v>TRIAC</v>
      </c>
      <c r="L1137" s="97" t="str">
        <f>IFERROR(__xludf.DUMMYFUNCTION("""COMPUTED_VALUE"""),"220-240")</f>
        <v>220-240</v>
      </c>
      <c r="M1137" s="97" t="str">
        <f>IFERROR(__xludf.DUMMYFUNCTION("""COMPUTED_VALUE"""),"50/60")</f>
        <v>50/60</v>
      </c>
      <c r="N1137" s="97" t="str">
        <f>IFERROR(__xludf.DUMMYFUNCTION("""COMPUTED_VALUE"""),"Directa-Simétrica")</f>
        <v>Directa-Simétrica</v>
      </c>
      <c r="O1137" s="97">
        <f>IFERROR(__xludf.DUMMYFUNCTION("""COMPUTED_VALUE"""),7.0)</f>
        <v>7</v>
      </c>
      <c r="P1137" s="97">
        <f>IFERROR(__xludf.DUMMYFUNCTION("""COMPUTED_VALUE"""),6.9)</f>
        <v>6.9</v>
      </c>
      <c r="Q1137" s="97">
        <f>IFERROR(__xludf.DUMMYFUNCTION("""COMPUTED_VALUE"""),0.94)</f>
        <v>0.94</v>
      </c>
      <c r="R1137" s="97" t="str">
        <f>IFERROR(__xludf.DUMMYFUNCTION("""COMPUTED_VALUE"""),"-")</f>
        <v>-</v>
      </c>
      <c r="S1137" s="97" t="str">
        <f>IFERROR(__xludf.DUMMYFUNCTION("""COMPUTED_VALUE"""),"-")</f>
        <v>-</v>
      </c>
      <c r="T1137" s="97">
        <f>IFERROR(__xludf.DUMMYFUNCTION("""COMPUTED_VALUE"""),460.0)</f>
        <v>460</v>
      </c>
      <c r="U1137" s="99">
        <f>IFERROR(__xludf.DUMMYFUNCTION("""COMPUTED_VALUE"""),65.71428571428571)</f>
        <v>65.71428571</v>
      </c>
      <c r="V1137" s="97">
        <f>IFERROR(__xludf.DUMMYFUNCTION("""COMPUTED_VALUE"""),28.0)</f>
        <v>28</v>
      </c>
      <c r="W1137" s="97" t="str">
        <f>IFERROR(__xludf.DUMMYFUNCTION("""COMPUTED_VALUE"""),"&lt; 10")</f>
        <v>&lt; 10</v>
      </c>
      <c r="X1137" s="97">
        <f>IFERROR(__xludf.DUMMYFUNCTION("""COMPUTED_VALUE"""),3000.0)</f>
        <v>3000</v>
      </c>
      <c r="Y1137" s="97" t="str">
        <f>IFERROR(__xludf.DUMMYFUNCTION("""COMPUTED_VALUE"""),"&gt;90")</f>
        <v>&gt;90</v>
      </c>
      <c r="Z1137" s="97" t="str">
        <f>IFERROR(__xludf.DUMMYFUNCTION("""COMPUTED_VALUE"""),"&gt;90")</f>
        <v>&gt;90</v>
      </c>
      <c r="AA1137" s="97" t="str">
        <f>IFERROR(__xludf.DUMMYFUNCTION("""COMPUTED_VALUE"""),"90-99 (Leve desaturación)")</f>
        <v>90-99 (Leve desaturación)</v>
      </c>
      <c r="AB1137" s="97" t="str">
        <f>IFERROR(__xludf.DUMMYFUNCTION("""COMPUTED_VALUE"""),"&lt; 4")</f>
        <v>&lt; 4</v>
      </c>
      <c r="AC1137" s="97">
        <f>IFERROR(__xludf.DUMMYFUNCTION("""COMPUTED_VALUE"""),0.0027)</f>
        <v>0.0027</v>
      </c>
      <c r="AD1137" s="97" t="str">
        <f>IFERROR(__xludf.DUMMYFUNCTION("""COMPUTED_VALUE"""),"IP20")</f>
        <v>IP20</v>
      </c>
      <c r="AE1137" s="97" t="str">
        <f>IFERROR(__xludf.DUMMYFUNCTION("""COMPUTED_VALUE"""),"Clase l")</f>
        <v>Clase l</v>
      </c>
      <c r="AF1137" s="97" t="str">
        <f>IFERROR(__xludf.DUMMYFUNCTION("""COMPUTED_VALUE"""),"Suspender")</f>
        <v>Suspender</v>
      </c>
      <c r="AG1137" s="97" t="str">
        <f>IFERROR(__xludf.DUMMYFUNCTION("""COMPUTED_VALUE"""),"Ø33 x 450")</f>
        <v>Ø33 x 450</v>
      </c>
      <c r="AH1137" s="97" t="str">
        <f>IFERROR(__xludf.DUMMYFUNCTION("""COMPUTED_VALUE"""),"N/A")</f>
        <v>N/A</v>
      </c>
      <c r="AI1137" s="97" t="str">
        <f>IFERROR(__xludf.DUMMYFUNCTION("""COMPUTED_VALUE"""),"N/A")</f>
        <v>N/A</v>
      </c>
      <c r="AJ1137" s="97" t="str">
        <f>IFERROR(__xludf.DUMMYFUNCTION("""COMPUTED_VALUE"""),"Policarbonato (PC)")</f>
        <v>Policarbonato (PC)</v>
      </c>
      <c r="AK1137" s="97" t="str">
        <f>IFERROR(__xludf.DUMMYFUNCTION("""COMPUTED_VALUE"""),"Aluminio")</f>
        <v>Aluminio</v>
      </c>
      <c r="AL1137" s="97" t="str">
        <f>IFERROR(__xludf.DUMMYFUNCTION("""COMPUTED_VALUE"""),"Blanco Satinado")</f>
        <v>Blanco Satinado</v>
      </c>
      <c r="AM1137" s="97" t="str">
        <f>IFERROR(__xludf.DUMMYFUNCTION("""COMPUTED_VALUE"""),"-")</f>
        <v>-</v>
      </c>
      <c r="AN1137" s="97" t="str">
        <f>IFERROR(__xludf.DUMMYFUNCTION("""COMPUTED_VALUE"""),"30.000hs (L70)")</f>
        <v>30.000hs (L70)</v>
      </c>
      <c r="AO1137" s="97" t="str">
        <f>IFERROR(__xludf.DUMMYFUNCTION("""COMPUTED_VALUE"""),"3 Años")</f>
        <v>3 Años</v>
      </c>
      <c r="AP1137" s="97" t="str">
        <f>IFERROR(__xludf.DUMMYFUNCTION("""COMPUTED_VALUE"""),"Disponible")</f>
        <v>Disponible</v>
      </c>
      <c r="AQ1137" s="97" t="str">
        <f>IFERROR(__xludf.DUMMYFUNCTION("""COMPUTED_VALUE"""),"Disponible")</f>
        <v>Disponible</v>
      </c>
      <c r="AR1137" s="97" t="str">
        <f>IFERROR(__xludf.DUMMYFUNCTION("""COMPUTED_VALUE"""),"Disponible")</f>
        <v>Disponible</v>
      </c>
      <c r="AS1137" s="97"/>
      <c r="AT1137" s="97"/>
      <c r="AU1137" s="97" t="str">
        <f>IFERROR(__xludf.DUMMYFUNCTION("""COMPUTED_VALUE"""),"Falta")</f>
        <v>Falta</v>
      </c>
      <c r="AV1137" s="97" t="str">
        <f>IFERROR(__xludf.DUMMYFUNCTION("""COMPUTED_VALUE"""),"Colgante")</f>
        <v>Colgante</v>
      </c>
      <c r="AW1137" s="97" t="str">
        <f>IFERROR(__xludf.DUMMYFUNCTION("""COMPUTED_VALUE"""),"De Techo")</f>
        <v>De Techo</v>
      </c>
      <c r="AX1137" s="97" t="str">
        <f>IFERROR(__xludf.DUMMYFUNCTION("""COMPUTED_VALUE"""),"Interior")</f>
        <v>Interior</v>
      </c>
      <c r="AY1137" s="97" t="str">
        <f>IFERROR(__xludf.DUMMYFUNCTION("""COMPUTED_VALUE"""),"-")</f>
        <v>-</v>
      </c>
      <c r="AZ1137" s="97" t="str">
        <f>IFERROR(__xludf.DUMMYFUNCTION("""COMPUTED_VALUE"""),"Colgante de 1500mm. Florón: Ø60x72.")</f>
        <v>Colgante de 1500mm. Florón: Ø60x72.</v>
      </c>
      <c r="BA1137" s="97">
        <f>IFERROR(__xludf.DUMMYFUNCTION("""COMPUTED_VALUE"""),6.0)</f>
        <v>6</v>
      </c>
      <c r="BB1137" s="97" t="str">
        <f>IFERROR(__xludf.DUMMYFUNCTION("""COMPUTED_VALUE"""),"-")</f>
        <v>-</v>
      </c>
      <c r="BC1137" s="97" t="str">
        <f>IFERROR(__xludf.DUMMYFUNCTION("""COMPUTED_VALUE"""),"-")</f>
        <v>-</v>
      </c>
      <c r="BD1137" s="97" t="str">
        <f>IFERROR(__xludf.DUMMYFUNCTION("""COMPUTED_VALUE"""),"NEULA")</f>
        <v>NEULA</v>
      </c>
      <c r="BE1137" s="97" t="str">
        <f>IFERROR(__xludf.DUMMYFUNCTION("""COMPUTED_VALUE"""),"Finalizada")</f>
        <v>Finalizada</v>
      </c>
      <c r="BF1137" s="97"/>
      <c r="BG1137" s="97" t="str">
        <f>IFERROR(__xludf.DUMMYFUNCTION("""COMPUTED_VALUE"""),"Activo")</f>
        <v>Activo</v>
      </c>
    </row>
    <row r="1138">
      <c r="A1138" s="97">
        <f>IFERROR(__xludf.DUMMYFUNCTION("""COMPUTED_VALUE"""),7056.0)</f>
        <v>7056</v>
      </c>
      <c r="B1138" s="97" t="str">
        <f>IFERROR(__xludf.DUMMYFUNCTION("""COMPUTED_VALUE"""),"NEULA NG")</f>
        <v>NEULA NG</v>
      </c>
      <c r="C1138" s="97" t="str">
        <f>IFERROR(__xludf.DUMMYFUNCTION("""COMPUTED_VALUE"""),"COLGANTE NEULA NG 7W 3000K 460LM CRI&gt;90 IP20 LEUK")</f>
        <v>COLGANTE NEULA NG 7W 3000K 460LM CRI&gt;90 IP20 LEUK</v>
      </c>
      <c r="D1138" s="97">
        <f>IFERROR(__xludf.DUMMYFUNCTION("""COMPUTED_VALUE"""),7.798413225754E12)</f>
        <v>7798413225754</v>
      </c>
      <c r="E1138" s="97" t="str">
        <f>IFERROR(__xludf.DUMMYFUNCTION("""COMPUTED_VALUE"""),"A198")</f>
        <v>A198</v>
      </c>
      <c r="F1138" s="97" t="str">
        <f>IFERROR(__xludf.DUMMYFUNCTION("""COMPUTED_VALUE"""),"LED SMD5050")</f>
        <v>LED SMD5050</v>
      </c>
      <c r="G1138" s="97" t="str">
        <f>IFERROR(__xludf.DUMMYFUNCTION("""COMPUTED_VALUE"""),"Bridgelux")</f>
        <v>Bridgelux</v>
      </c>
      <c r="H1138" s="97" t="str">
        <f>IFERROR(__xludf.DUMMYFUNCTION("""COMPUTED_VALUE"""),"-")</f>
        <v>-</v>
      </c>
      <c r="I1138" s="97" t="str">
        <f>IFERROR(__xludf.DUMMYFUNCTION("""COMPUTED_VALUE"""),"Si")</f>
        <v>Si</v>
      </c>
      <c r="J1138" s="97" t="str">
        <f>IFERROR(__xludf.DUMMYFUNCTION("""COMPUTED_VALUE"""),"XFT007C0150SGAW-C18-02
φ42*23mm")</f>
        <v>XFT007C0150SGAW-C18-02
φ42*23mm</v>
      </c>
      <c r="K1138" s="97" t="str">
        <f>IFERROR(__xludf.DUMMYFUNCTION("""COMPUTED_VALUE"""),"TRIAC")</f>
        <v>TRIAC</v>
      </c>
      <c r="L1138" s="97" t="str">
        <f>IFERROR(__xludf.DUMMYFUNCTION("""COMPUTED_VALUE"""),"220-240")</f>
        <v>220-240</v>
      </c>
      <c r="M1138" s="97" t="str">
        <f>IFERROR(__xludf.DUMMYFUNCTION("""COMPUTED_VALUE"""),"50/60")</f>
        <v>50/60</v>
      </c>
      <c r="N1138" s="97" t="str">
        <f>IFERROR(__xludf.DUMMYFUNCTION("""COMPUTED_VALUE"""),"Directa-Simétrica")</f>
        <v>Directa-Simétrica</v>
      </c>
      <c r="O1138" s="97">
        <f>IFERROR(__xludf.DUMMYFUNCTION("""COMPUTED_VALUE"""),7.0)</f>
        <v>7</v>
      </c>
      <c r="P1138" s="97">
        <f>IFERROR(__xludf.DUMMYFUNCTION("""COMPUTED_VALUE"""),6.9)</f>
        <v>6.9</v>
      </c>
      <c r="Q1138" s="97">
        <f>IFERROR(__xludf.DUMMYFUNCTION("""COMPUTED_VALUE"""),0.94)</f>
        <v>0.94</v>
      </c>
      <c r="R1138" s="97" t="str">
        <f>IFERROR(__xludf.DUMMYFUNCTION("""COMPUTED_VALUE"""),"-")</f>
        <v>-</v>
      </c>
      <c r="S1138" s="97" t="str">
        <f>IFERROR(__xludf.DUMMYFUNCTION("""COMPUTED_VALUE"""),"-")</f>
        <v>-</v>
      </c>
      <c r="T1138" s="97">
        <f>IFERROR(__xludf.DUMMYFUNCTION("""COMPUTED_VALUE"""),460.0)</f>
        <v>460</v>
      </c>
      <c r="U1138" s="99">
        <f>IFERROR(__xludf.DUMMYFUNCTION("""COMPUTED_VALUE"""),65.71428571428571)</f>
        <v>65.71428571</v>
      </c>
      <c r="V1138" s="97">
        <f>IFERROR(__xludf.DUMMYFUNCTION("""COMPUTED_VALUE"""),28.0)</f>
        <v>28</v>
      </c>
      <c r="W1138" s="97" t="str">
        <f>IFERROR(__xludf.DUMMYFUNCTION("""COMPUTED_VALUE"""),"&lt; 10")</f>
        <v>&lt; 10</v>
      </c>
      <c r="X1138" s="97">
        <f>IFERROR(__xludf.DUMMYFUNCTION("""COMPUTED_VALUE"""),3000.0)</f>
        <v>3000</v>
      </c>
      <c r="Y1138" s="97" t="str">
        <f>IFERROR(__xludf.DUMMYFUNCTION("""COMPUTED_VALUE"""),"&gt;90")</f>
        <v>&gt;90</v>
      </c>
      <c r="Z1138" s="97" t="str">
        <f>IFERROR(__xludf.DUMMYFUNCTION("""COMPUTED_VALUE"""),"&gt;90")</f>
        <v>&gt;90</v>
      </c>
      <c r="AA1138" s="97" t="str">
        <f>IFERROR(__xludf.DUMMYFUNCTION("""COMPUTED_VALUE"""),"90-99 (Leve desaturación)")</f>
        <v>90-99 (Leve desaturación)</v>
      </c>
      <c r="AB1138" s="97" t="str">
        <f>IFERROR(__xludf.DUMMYFUNCTION("""COMPUTED_VALUE"""),"&lt; 4")</f>
        <v>&lt; 4</v>
      </c>
      <c r="AC1138" s="97">
        <f>IFERROR(__xludf.DUMMYFUNCTION("""COMPUTED_VALUE"""),0.0027)</f>
        <v>0.0027</v>
      </c>
      <c r="AD1138" s="97" t="str">
        <f>IFERROR(__xludf.DUMMYFUNCTION("""COMPUTED_VALUE"""),"IP20")</f>
        <v>IP20</v>
      </c>
      <c r="AE1138" s="97" t="str">
        <f>IFERROR(__xludf.DUMMYFUNCTION("""COMPUTED_VALUE"""),"Clase l")</f>
        <v>Clase l</v>
      </c>
      <c r="AF1138" s="97" t="str">
        <f>IFERROR(__xludf.DUMMYFUNCTION("""COMPUTED_VALUE"""),"Suspender")</f>
        <v>Suspender</v>
      </c>
      <c r="AG1138" s="97" t="str">
        <f>IFERROR(__xludf.DUMMYFUNCTION("""COMPUTED_VALUE"""),"Ø33 x 450")</f>
        <v>Ø33 x 450</v>
      </c>
      <c r="AH1138" s="97" t="str">
        <f>IFERROR(__xludf.DUMMYFUNCTION("""COMPUTED_VALUE"""),"N/A")</f>
        <v>N/A</v>
      </c>
      <c r="AI1138" s="97" t="str">
        <f>IFERROR(__xludf.DUMMYFUNCTION("""COMPUTED_VALUE"""),"N/A")</f>
        <v>N/A</v>
      </c>
      <c r="AJ1138" s="97" t="str">
        <f>IFERROR(__xludf.DUMMYFUNCTION("""COMPUTED_VALUE"""),"Policarbonato (PC)")</f>
        <v>Policarbonato (PC)</v>
      </c>
      <c r="AK1138" s="97" t="str">
        <f>IFERROR(__xludf.DUMMYFUNCTION("""COMPUTED_VALUE"""),"Aluminio")</f>
        <v>Aluminio</v>
      </c>
      <c r="AL1138" s="97" t="str">
        <f>IFERROR(__xludf.DUMMYFUNCTION("""COMPUTED_VALUE"""),"Negro Satinado")</f>
        <v>Negro Satinado</v>
      </c>
      <c r="AM1138" s="97" t="str">
        <f>IFERROR(__xludf.DUMMYFUNCTION("""COMPUTED_VALUE"""),"-")</f>
        <v>-</v>
      </c>
      <c r="AN1138" s="97" t="str">
        <f>IFERROR(__xludf.DUMMYFUNCTION("""COMPUTED_VALUE"""),"30.000hs (L70)")</f>
        <v>30.000hs (L70)</v>
      </c>
      <c r="AO1138" s="97" t="str">
        <f>IFERROR(__xludf.DUMMYFUNCTION("""COMPUTED_VALUE"""),"3 Años")</f>
        <v>3 Años</v>
      </c>
      <c r="AP1138" s="97" t="str">
        <f>IFERROR(__xludf.DUMMYFUNCTION("""COMPUTED_VALUE"""),"Disponible")</f>
        <v>Disponible</v>
      </c>
      <c r="AQ1138" s="97" t="str">
        <f>IFERROR(__xludf.DUMMYFUNCTION("""COMPUTED_VALUE"""),"Disponible")</f>
        <v>Disponible</v>
      </c>
      <c r="AR1138" s="97" t="str">
        <f>IFERROR(__xludf.DUMMYFUNCTION("""COMPUTED_VALUE"""),"Disponible")</f>
        <v>Disponible</v>
      </c>
      <c r="AS1138" s="97"/>
      <c r="AT1138" s="97"/>
      <c r="AU1138" s="97" t="str">
        <f>IFERROR(__xludf.DUMMYFUNCTION("""COMPUTED_VALUE"""),"Falta")</f>
        <v>Falta</v>
      </c>
      <c r="AV1138" s="97" t="str">
        <f>IFERROR(__xludf.DUMMYFUNCTION("""COMPUTED_VALUE"""),"Colgante")</f>
        <v>Colgante</v>
      </c>
      <c r="AW1138" s="97" t="str">
        <f>IFERROR(__xludf.DUMMYFUNCTION("""COMPUTED_VALUE"""),"De Techo")</f>
        <v>De Techo</v>
      </c>
      <c r="AX1138" s="97" t="str">
        <f>IFERROR(__xludf.DUMMYFUNCTION("""COMPUTED_VALUE"""),"Interior")</f>
        <v>Interior</v>
      </c>
      <c r="AY1138" s="97" t="str">
        <f>IFERROR(__xludf.DUMMYFUNCTION("""COMPUTED_VALUE"""),"-")</f>
        <v>-</v>
      </c>
      <c r="AZ1138" s="97" t="str">
        <f>IFERROR(__xludf.DUMMYFUNCTION("""COMPUTED_VALUE"""),"Colgante de 1500mm. Florón: Ø60x72.")</f>
        <v>Colgante de 1500mm. Florón: Ø60x72.</v>
      </c>
      <c r="BA1138" s="97">
        <f>IFERROR(__xludf.DUMMYFUNCTION("""COMPUTED_VALUE"""),6.0)</f>
        <v>6</v>
      </c>
      <c r="BB1138" s="97" t="str">
        <f>IFERROR(__xludf.DUMMYFUNCTION("""COMPUTED_VALUE"""),"-")</f>
        <v>-</v>
      </c>
      <c r="BC1138" s="97" t="str">
        <f>IFERROR(__xludf.DUMMYFUNCTION("""COMPUTED_VALUE"""),"-")</f>
        <v>-</v>
      </c>
      <c r="BD1138" s="97" t="str">
        <f>IFERROR(__xludf.DUMMYFUNCTION("""COMPUTED_VALUE"""),"NEULA")</f>
        <v>NEULA</v>
      </c>
      <c r="BE1138" s="97" t="str">
        <f>IFERROR(__xludf.DUMMYFUNCTION("""COMPUTED_VALUE"""),"Finalizada")</f>
        <v>Finalizada</v>
      </c>
      <c r="BF1138" s="97"/>
      <c r="BG1138" s="97" t="str">
        <f>IFERROR(__xludf.DUMMYFUNCTION("""COMPUTED_VALUE"""),"Activo")</f>
        <v>Activo</v>
      </c>
    </row>
    <row r="1139">
      <c r="A1139" s="97">
        <f>IFERROR(__xludf.DUMMYFUNCTION("""COMPUTED_VALUE"""),7057.0)</f>
        <v>7057</v>
      </c>
      <c r="B1139" s="97" t="str">
        <f>IFERROR(__xludf.DUMMYFUNCTION("""COMPUTED_VALUE"""),"TRAKKE BL")</f>
        <v>TRAKKE BL</v>
      </c>
      <c r="C1139" s="97" t="str">
        <f>IFERROR(__xludf.DUMMYFUNCTION("""COMPUTED_VALUE"""),"COLGANTE TRAKKE BL 16W 3000K 1453LM CRI&gt;90 IP20 LEUK")</f>
        <v>COLGANTE TRAKKE BL 16W 3000K 1453LM CRI&gt;90 IP20 LEUK</v>
      </c>
      <c r="D1139" s="97">
        <f>IFERROR(__xludf.DUMMYFUNCTION("""COMPUTED_VALUE"""),7.798413225761E12)</f>
        <v>7798413225761</v>
      </c>
      <c r="E1139" s="97" t="str">
        <f>IFERROR(__xludf.DUMMYFUNCTION("""COMPUTED_VALUE"""),"A135")</f>
        <v>A135</v>
      </c>
      <c r="F1139" s="97" t="str">
        <f>IFERROR(__xludf.DUMMYFUNCTION("""COMPUTED_VALUE"""),"LED SMD2835")</f>
        <v>LED SMD2835</v>
      </c>
      <c r="G1139" s="97" t="str">
        <f>IFERROR(__xludf.DUMMYFUNCTION("""COMPUTED_VALUE"""),"OSRAM")</f>
        <v>OSRAM</v>
      </c>
      <c r="H1139" s="97" t="str">
        <f>IFERROR(__xludf.DUMMYFUNCTION("""COMPUTED_VALUE"""),"-")</f>
        <v>-</v>
      </c>
      <c r="I1139" s="97" t="str">
        <f>IFERROR(__xludf.DUMMYFUNCTION("""COMPUTED_VALUE"""),"Si")</f>
        <v>Si</v>
      </c>
      <c r="J1139" s="97" t="str">
        <f>IFERROR(__xludf.DUMMYFUNCTION("""COMPUTED_VALUE"""),"XFT012C0350SGAW-C18-02
φ42*23mm")</f>
        <v>XFT012C0350SGAW-C18-02
φ42*23mm</v>
      </c>
      <c r="K1139" s="97" t="str">
        <f>IFERROR(__xludf.DUMMYFUNCTION("""COMPUTED_VALUE"""),"TRIAC")</f>
        <v>TRIAC</v>
      </c>
      <c r="L1139" s="97" t="str">
        <f>IFERROR(__xludf.DUMMYFUNCTION("""COMPUTED_VALUE"""),"220-240")</f>
        <v>220-240</v>
      </c>
      <c r="M1139" s="97" t="str">
        <f>IFERROR(__xludf.DUMMYFUNCTION("""COMPUTED_VALUE"""),"50/60")</f>
        <v>50/60</v>
      </c>
      <c r="N1139" s="97" t="str">
        <f>IFERROR(__xludf.DUMMYFUNCTION("""COMPUTED_VALUE"""),"Directa-Simétrica")</f>
        <v>Directa-Simétrica</v>
      </c>
      <c r="O1139" s="97">
        <f>IFERROR(__xludf.DUMMYFUNCTION("""COMPUTED_VALUE"""),16.0)</f>
        <v>16</v>
      </c>
      <c r="P1139" s="97">
        <f>IFERROR(__xludf.DUMMYFUNCTION("""COMPUTED_VALUE"""),14.27)</f>
        <v>14.27</v>
      </c>
      <c r="Q1139" s="97">
        <f>IFERROR(__xludf.DUMMYFUNCTION("""COMPUTED_VALUE"""),0.96)</f>
        <v>0.96</v>
      </c>
      <c r="R1139" s="97" t="str">
        <f>IFERROR(__xludf.DUMMYFUNCTION("""COMPUTED_VALUE"""),"-")</f>
        <v>-</v>
      </c>
      <c r="S1139" s="97" t="str">
        <f>IFERROR(__xludf.DUMMYFUNCTION("""COMPUTED_VALUE"""),"-")</f>
        <v>-</v>
      </c>
      <c r="T1139" s="97">
        <f>IFERROR(__xludf.DUMMYFUNCTION("""COMPUTED_VALUE"""),1453.0)</f>
        <v>1453</v>
      </c>
      <c r="U1139" s="99">
        <f>IFERROR(__xludf.DUMMYFUNCTION("""COMPUTED_VALUE"""),90.8125)</f>
        <v>90.8125</v>
      </c>
      <c r="V1139" s="97">
        <f>IFERROR(__xludf.DUMMYFUNCTION("""COMPUTED_VALUE"""),67.0)</f>
        <v>67</v>
      </c>
      <c r="W1139" s="97" t="str">
        <f>IFERROR(__xludf.DUMMYFUNCTION("""COMPUTED_VALUE"""),"&lt; 13")</f>
        <v>&lt; 13</v>
      </c>
      <c r="X1139" s="97">
        <f>IFERROR(__xludf.DUMMYFUNCTION("""COMPUTED_VALUE"""),3000.0)</f>
        <v>3000</v>
      </c>
      <c r="Y1139" s="97" t="str">
        <f>IFERROR(__xludf.DUMMYFUNCTION("""COMPUTED_VALUE"""),"&gt;90")</f>
        <v>&gt;90</v>
      </c>
      <c r="Z1139" s="97" t="str">
        <f>IFERROR(__xludf.DUMMYFUNCTION("""COMPUTED_VALUE"""),"&gt;90")</f>
        <v>&gt;90</v>
      </c>
      <c r="AA1139" s="97" t="str">
        <f>IFERROR(__xludf.DUMMYFUNCTION("""COMPUTED_VALUE"""),"90-99 (Leve desaturación)")</f>
        <v>90-99 (Leve desaturación)</v>
      </c>
      <c r="AB1139" s="97" t="str">
        <f>IFERROR(__xludf.DUMMYFUNCTION("""COMPUTED_VALUE"""),"&lt; 3")</f>
        <v>&lt; 3</v>
      </c>
      <c r="AC1139" s="97">
        <f>IFERROR(__xludf.DUMMYFUNCTION("""COMPUTED_VALUE"""),-3.4E-4)</f>
        <v>-0.00034</v>
      </c>
      <c r="AD1139" s="97" t="str">
        <f>IFERROR(__xludf.DUMMYFUNCTION("""COMPUTED_VALUE"""),"IP20")</f>
        <v>IP20</v>
      </c>
      <c r="AE1139" s="97" t="str">
        <f>IFERROR(__xludf.DUMMYFUNCTION("""COMPUTED_VALUE"""),"Clase l")</f>
        <v>Clase l</v>
      </c>
      <c r="AF1139" s="97" t="str">
        <f>IFERROR(__xludf.DUMMYFUNCTION("""COMPUTED_VALUE"""),"Suspender")</f>
        <v>Suspender</v>
      </c>
      <c r="AG1139" s="97" t="str">
        <f>IFERROR(__xludf.DUMMYFUNCTION("""COMPUTED_VALUE"""),"Ø155 x 135")</f>
        <v>Ø155 x 135</v>
      </c>
      <c r="AH1139" s="97" t="str">
        <f>IFERROR(__xludf.DUMMYFUNCTION("""COMPUTED_VALUE"""),"N/A")</f>
        <v>N/A</v>
      </c>
      <c r="AI1139" s="97" t="str">
        <f>IFERROR(__xludf.DUMMYFUNCTION("""COMPUTED_VALUE"""),"N/A")</f>
        <v>N/A</v>
      </c>
      <c r="AJ1139" s="97" t="str">
        <f>IFERROR(__xludf.DUMMYFUNCTION("""COMPUTED_VALUE"""),"Policarbonato (PC)")</f>
        <v>Policarbonato (PC)</v>
      </c>
      <c r="AK1139" s="97" t="str">
        <f>IFERROR(__xludf.DUMMYFUNCTION("""COMPUTED_VALUE"""),"Aluminio")</f>
        <v>Aluminio</v>
      </c>
      <c r="AL1139" s="97" t="str">
        <f>IFERROR(__xludf.DUMMYFUNCTION("""COMPUTED_VALUE"""),"Blanco Satinado")</f>
        <v>Blanco Satinado</v>
      </c>
      <c r="AM1139" s="97" t="str">
        <f>IFERROR(__xludf.DUMMYFUNCTION("""COMPUTED_VALUE"""),"-")</f>
        <v>-</v>
      </c>
      <c r="AN1139" s="97" t="str">
        <f>IFERROR(__xludf.DUMMYFUNCTION("""COMPUTED_VALUE"""),"30.000hs (L70)")</f>
        <v>30.000hs (L70)</v>
      </c>
      <c r="AO1139" s="97" t="str">
        <f>IFERROR(__xludf.DUMMYFUNCTION("""COMPUTED_VALUE"""),"3 Años")</f>
        <v>3 Años</v>
      </c>
      <c r="AP1139" s="97" t="str">
        <f>IFERROR(__xludf.DUMMYFUNCTION("""COMPUTED_VALUE"""),"Disponible")</f>
        <v>Disponible</v>
      </c>
      <c r="AQ1139" s="97" t="str">
        <f>IFERROR(__xludf.DUMMYFUNCTION("""COMPUTED_VALUE"""),"Disponible")</f>
        <v>Disponible</v>
      </c>
      <c r="AR1139" s="97" t="str">
        <f>IFERROR(__xludf.DUMMYFUNCTION("""COMPUTED_VALUE"""),"Disponible")</f>
        <v>Disponible</v>
      </c>
      <c r="AS1139" s="97"/>
      <c r="AT1139" s="97"/>
      <c r="AU1139" s="97" t="str">
        <f>IFERROR(__xludf.DUMMYFUNCTION("""COMPUTED_VALUE"""),"Falta")</f>
        <v>Falta</v>
      </c>
      <c r="AV1139" s="97" t="str">
        <f>IFERROR(__xludf.DUMMYFUNCTION("""COMPUTED_VALUE"""),"Colgante")</f>
        <v>Colgante</v>
      </c>
      <c r="AW1139" s="97" t="str">
        <f>IFERROR(__xludf.DUMMYFUNCTION("""COMPUTED_VALUE"""),"De Techo")</f>
        <v>De Techo</v>
      </c>
      <c r="AX1139" s="97" t="str">
        <f>IFERROR(__xludf.DUMMYFUNCTION("""COMPUTED_VALUE"""),"Interior")</f>
        <v>Interior</v>
      </c>
      <c r="AY1139" s="97" t="str">
        <f>IFERROR(__xludf.DUMMYFUNCTION("""COMPUTED_VALUE"""),"-")</f>
        <v>-</v>
      </c>
      <c r="AZ1139" s="97" t="str">
        <f>IFERROR(__xludf.DUMMYFUNCTION("""COMPUTED_VALUE"""),"Florón: Ø60x72.")</f>
        <v>Florón: Ø60x72.</v>
      </c>
      <c r="BA1139" s="97">
        <f>IFERROR(__xludf.DUMMYFUNCTION("""COMPUTED_VALUE"""),8.0)</f>
        <v>8</v>
      </c>
      <c r="BB1139" s="97" t="str">
        <f>IFERROR(__xludf.DUMMYFUNCTION("""COMPUTED_VALUE"""),"-")</f>
        <v>-</v>
      </c>
      <c r="BC1139" s="97" t="str">
        <f>IFERROR(__xludf.DUMMYFUNCTION("""COMPUTED_VALUE"""),"-")</f>
        <v>-</v>
      </c>
      <c r="BD1139" s="97" t="str">
        <f>IFERROR(__xludf.DUMMYFUNCTION("""COMPUTED_VALUE"""),"TRAKKE")</f>
        <v>TRAKKE</v>
      </c>
      <c r="BE1139" s="97" t="str">
        <f>IFERROR(__xludf.DUMMYFUNCTION("""COMPUTED_VALUE"""),"Finalizada")</f>
        <v>Finalizada</v>
      </c>
      <c r="BF1139" s="97"/>
      <c r="BG1139" s="97" t="str">
        <f>IFERROR(__xludf.DUMMYFUNCTION("""COMPUTED_VALUE"""),"Activo")</f>
        <v>Activo</v>
      </c>
    </row>
    <row r="1140">
      <c r="A1140" s="97">
        <f>IFERROR(__xludf.DUMMYFUNCTION("""COMPUTED_VALUE"""),7058.0)</f>
        <v>7058</v>
      </c>
      <c r="B1140" s="97" t="str">
        <f>IFERROR(__xludf.DUMMYFUNCTION("""COMPUTED_VALUE"""),"TRAKKE NG")</f>
        <v>TRAKKE NG</v>
      </c>
      <c r="C1140" s="97" t="str">
        <f>IFERROR(__xludf.DUMMYFUNCTION("""COMPUTED_VALUE"""),"COLGANTE TRAKKE NG 16W 3000K 1453LM CRI&gt;90 IP20 LEUK")</f>
        <v>COLGANTE TRAKKE NG 16W 3000K 1453LM CRI&gt;90 IP20 LEUK</v>
      </c>
      <c r="D1140" s="97">
        <f>IFERROR(__xludf.DUMMYFUNCTION("""COMPUTED_VALUE"""),7.798413225778E12)</f>
        <v>7798413225778</v>
      </c>
      <c r="E1140" s="97" t="str">
        <f>IFERROR(__xludf.DUMMYFUNCTION("""COMPUTED_VALUE"""),"A135")</f>
        <v>A135</v>
      </c>
      <c r="F1140" s="97" t="str">
        <f>IFERROR(__xludf.DUMMYFUNCTION("""COMPUTED_VALUE"""),"LED SMD2835")</f>
        <v>LED SMD2835</v>
      </c>
      <c r="G1140" s="97" t="str">
        <f>IFERROR(__xludf.DUMMYFUNCTION("""COMPUTED_VALUE"""),"OSRAM")</f>
        <v>OSRAM</v>
      </c>
      <c r="H1140" s="97" t="str">
        <f>IFERROR(__xludf.DUMMYFUNCTION("""COMPUTED_VALUE"""),"-")</f>
        <v>-</v>
      </c>
      <c r="I1140" s="97" t="str">
        <f>IFERROR(__xludf.DUMMYFUNCTION("""COMPUTED_VALUE"""),"Si")</f>
        <v>Si</v>
      </c>
      <c r="J1140" s="97" t="str">
        <f>IFERROR(__xludf.DUMMYFUNCTION("""COMPUTED_VALUE"""),"XFT012C0350SGAW-C18-02
φ42*23mm")</f>
        <v>XFT012C0350SGAW-C18-02
φ42*23mm</v>
      </c>
      <c r="K1140" s="97" t="str">
        <f>IFERROR(__xludf.DUMMYFUNCTION("""COMPUTED_VALUE"""),"TRIAC")</f>
        <v>TRIAC</v>
      </c>
      <c r="L1140" s="97" t="str">
        <f>IFERROR(__xludf.DUMMYFUNCTION("""COMPUTED_VALUE"""),"220-240")</f>
        <v>220-240</v>
      </c>
      <c r="M1140" s="97" t="str">
        <f>IFERROR(__xludf.DUMMYFUNCTION("""COMPUTED_VALUE"""),"50/60")</f>
        <v>50/60</v>
      </c>
      <c r="N1140" s="97" t="str">
        <f>IFERROR(__xludf.DUMMYFUNCTION("""COMPUTED_VALUE"""),"Directa-Simétrica")</f>
        <v>Directa-Simétrica</v>
      </c>
      <c r="O1140" s="97">
        <f>IFERROR(__xludf.DUMMYFUNCTION("""COMPUTED_VALUE"""),16.0)</f>
        <v>16</v>
      </c>
      <c r="P1140" s="97">
        <f>IFERROR(__xludf.DUMMYFUNCTION("""COMPUTED_VALUE"""),14.27)</f>
        <v>14.27</v>
      </c>
      <c r="Q1140" s="97">
        <f>IFERROR(__xludf.DUMMYFUNCTION("""COMPUTED_VALUE"""),0.96)</f>
        <v>0.96</v>
      </c>
      <c r="R1140" s="97" t="str">
        <f>IFERROR(__xludf.DUMMYFUNCTION("""COMPUTED_VALUE"""),"-")</f>
        <v>-</v>
      </c>
      <c r="S1140" s="97" t="str">
        <f>IFERROR(__xludf.DUMMYFUNCTION("""COMPUTED_VALUE"""),"-")</f>
        <v>-</v>
      </c>
      <c r="T1140" s="97">
        <f>IFERROR(__xludf.DUMMYFUNCTION("""COMPUTED_VALUE"""),1453.0)</f>
        <v>1453</v>
      </c>
      <c r="U1140" s="99">
        <f>IFERROR(__xludf.DUMMYFUNCTION("""COMPUTED_VALUE"""),90.8125)</f>
        <v>90.8125</v>
      </c>
      <c r="V1140" s="97">
        <f>IFERROR(__xludf.DUMMYFUNCTION("""COMPUTED_VALUE"""),67.0)</f>
        <v>67</v>
      </c>
      <c r="W1140" s="97" t="str">
        <f>IFERROR(__xludf.DUMMYFUNCTION("""COMPUTED_VALUE"""),"&lt; 13")</f>
        <v>&lt; 13</v>
      </c>
      <c r="X1140" s="97">
        <f>IFERROR(__xludf.DUMMYFUNCTION("""COMPUTED_VALUE"""),3000.0)</f>
        <v>3000</v>
      </c>
      <c r="Y1140" s="97" t="str">
        <f>IFERROR(__xludf.DUMMYFUNCTION("""COMPUTED_VALUE"""),"&gt;90")</f>
        <v>&gt;90</v>
      </c>
      <c r="Z1140" s="97" t="str">
        <f>IFERROR(__xludf.DUMMYFUNCTION("""COMPUTED_VALUE"""),"&gt;90")</f>
        <v>&gt;90</v>
      </c>
      <c r="AA1140" s="97" t="str">
        <f>IFERROR(__xludf.DUMMYFUNCTION("""COMPUTED_VALUE"""),"90-99 (Leve desaturación)")</f>
        <v>90-99 (Leve desaturación)</v>
      </c>
      <c r="AB1140" s="97" t="str">
        <f>IFERROR(__xludf.DUMMYFUNCTION("""COMPUTED_VALUE"""),"&lt; 3")</f>
        <v>&lt; 3</v>
      </c>
      <c r="AC1140" s="97">
        <f>IFERROR(__xludf.DUMMYFUNCTION("""COMPUTED_VALUE"""),-3.4E-4)</f>
        <v>-0.00034</v>
      </c>
      <c r="AD1140" s="97" t="str">
        <f>IFERROR(__xludf.DUMMYFUNCTION("""COMPUTED_VALUE"""),"IP20")</f>
        <v>IP20</v>
      </c>
      <c r="AE1140" s="97" t="str">
        <f>IFERROR(__xludf.DUMMYFUNCTION("""COMPUTED_VALUE"""),"Clase l")</f>
        <v>Clase l</v>
      </c>
      <c r="AF1140" s="97" t="str">
        <f>IFERROR(__xludf.DUMMYFUNCTION("""COMPUTED_VALUE"""),"Suspender")</f>
        <v>Suspender</v>
      </c>
      <c r="AG1140" s="97" t="str">
        <f>IFERROR(__xludf.DUMMYFUNCTION("""COMPUTED_VALUE"""),"Ø155 x 135")</f>
        <v>Ø155 x 135</v>
      </c>
      <c r="AH1140" s="97" t="str">
        <f>IFERROR(__xludf.DUMMYFUNCTION("""COMPUTED_VALUE"""),"N/A")</f>
        <v>N/A</v>
      </c>
      <c r="AI1140" s="97" t="str">
        <f>IFERROR(__xludf.DUMMYFUNCTION("""COMPUTED_VALUE"""),"N/A")</f>
        <v>N/A</v>
      </c>
      <c r="AJ1140" s="97" t="str">
        <f>IFERROR(__xludf.DUMMYFUNCTION("""COMPUTED_VALUE"""),"Policarbonato (PC)")</f>
        <v>Policarbonato (PC)</v>
      </c>
      <c r="AK1140" s="97" t="str">
        <f>IFERROR(__xludf.DUMMYFUNCTION("""COMPUTED_VALUE"""),"Aluminio")</f>
        <v>Aluminio</v>
      </c>
      <c r="AL1140" s="97" t="str">
        <f>IFERROR(__xludf.DUMMYFUNCTION("""COMPUTED_VALUE"""),"Negro Satinado")</f>
        <v>Negro Satinado</v>
      </c>
      <c r="AM1140" s="97" t="str">
        <f>IFERROR(__xludf.DUMMYFUNCTION("""COMPUTED_VALUE"""),"-")</f>
        <v>-</v>
      </c>
      <c r="AN1140" s="97" t="str">
        <f>IFERROR(__xludf.DUMMYFUNCTION("""COMPUTED_VALUE"""),"30.000hs (L70)")</f>
        <v>30.000hs (L70)</v>
      </c>
      <c r="AO1140" s="97" t="str">
        <f>IFERROR(__xludf.DUMMYFUNCTION("""COMPUTED_VALUE"""),"3 Años")</f>
        <v>3 Años</v>
      </c>
      <c r="AP1140" s="97" t="str">
        <f>IFERROR(__xludf.DUMMYFUNCTION("""COMPUTED_VALUE"""),"Disponible")</f>
        <v>Disponible</v>
      </c>
      <c r="AQ1140" s="97" t="str">
        <f>IFERROR(__xludf.DUMMYFUNCTION("""COMPUTED_VALUE"""),"Disponible")</f>
        <v>Disponible</v>
      </c>
      <c r="AR1140" s="97" t="str">
        <f>IFERROR(__xludf.DUMMYFUNCTION("""COMPUTED_VALUE"""),"Disponible")</f>
        <v>Disponible</v>
      </c>
      <c r="AS1140" s="97"/>
      <c r="AT1140" s="97"/>
      <c r="AU1140" s="97" t="str">
        <f>IFERROR(__xludf.DUMMYFUNCTION("""COMPUTED_VALUE"""),"Falta")</f>
        <v>Falta</v>
      </c>
      <c r="AV1140" s="97" t="str">
        <f>IFERROR(__xludf.DUMMYFUNCTION("""COMPUTED_VALUE"""),"Colgante")</f>
        <v>Colgante</v>
      </c>
      <c r="AW1140" s="97" t="str">
        <f>IFERROR(__xludf.DUMMYFUNCTION("""COMPUTED_VALUE"""),"De Techo")</f>
        <v>De Techo</v>
      </c>
      <c r="AX1140" s="97" t="str">
        <f>IFERROR(__xludf.DUMMYFUNCTION("""COMPUTED_VALUE"""),"Interior")</f>
        <v>Interior</v>
      </c>
      <c r="AY1140" s="97" t="str">
        <f>IFERROR(__xludf.DUMMYFUNCTION("""COMPUTED_VALUE"""),"-")</f>
        <v>-</v>
      </c>
      <c r="AZ1140" s="97" t="str">
        <f>IFERROR(__xludf.DUMMYFUNCTION("""COMPUTED_VALUE"""),"Florón: Ø60x72.")</f>
        <v>Florón: Ø60x72.</v>
      </c>
      <c r="BA1140" s="97">
        <f>IFERROR(__xludf.DUMMYFUNCTION("""COMPUTED_VALUE"""),8.0)</f>
        <v>8</v>
      </c>
      <c r="BB1140" s="97" t="str">
        <f>IFERROR(__xludf.DUMMYFUNCTION("""COMPUTED_VALUE"""),"-")</f>
        <v>-</v>
      </c>
      <c r="BC1140" s="97" t="str">
        <f>IFERROR(__xludf.DUMMYFUNCTION("""COMPUTED_VALUE"""),"-")</f>
        <v>-</v>
      </c>
      <c r="BD1140" s="97" t="str">
        <f>IFERROR(__xludf.DUMMYFUNCTION("""COMPUTED_VALUE"""),"TRAKKE")</f>
        <v>TRAKKE</v>
      </c>
      <c r="BE1140" s="97" t="str">
        <f>IFERROR(__xludf.DUMMYFUNCTION("""COMPUTED_VALUE"""),"Finalizada")</f>
        <v>Finalizada</v>
      </c>
      <c r="BF1140" s="97"/>
      <c r="BG1140" s="97" t="str">
        <f>IFERROR(__xludf.DUMMYFUNCTION("""COMPUTED_VALUE"""),"Activo")</f>
        <v>Activo</v>
      </c>
    </row>
    <row r="1141">
      <c r="A1141" s="97">
        <f>IFERROR(__xludf.DUMMYFUNCTION("""COMPUTED_VALUE"""),7059.0)</f>
        <v>7059</v>
      </c>
      <c r="B1141" s="97" t="str">
        <f>IFERROR(__xludf.DUMMYFUNCTION("""COMPUTED_VALUE"""),"KRONE BL")</f>
        <v>KRONE BL</v>
      </c>
      <c r="C1141" s="97" t="str">
        <f>IFERROR(__xludf.DUMMYFUNCTION("""COMPUTED_VALUE"""),"COLGANTE KRONE BL 48W 3000K 3326LM CRI&gt;90 IP20 LEUK")</f>
        <v>COLGANTE KRONE BL 48W 3000K 3326LM CRI&gt;90 IP20 LEUK</v>
      </c>
      <c r="D1141" s="97">
        <f>IFERROR(__xludf.DUMMYFUNCTION("""COMPUTED_VALUE"""),7.798413225785E12)</f>
        <v>7798413225785</v>
      </c>
      <c r="E1141" s="97" t="str">
        <f>IFERROR(__xludf.DUMMYFUNCTION("""COMPUTED_VALUE"""),"A103")</f>
        <v>A103</v>
      </c>
      <c r="F1141" s="97" t="str">
        <f>IFERROR(__xludf.DUMMYFUNCTION("""COMPUTED_VALUE"""),"LED SMD3030")</f>
        <v>LED SMD3030</v>
      </c>
      <c r="G1141" s="97" t="str">
        <f>IFERROR(__xludf.DUMMYFUNCTION("""COMPUTED_VALUE"""),"Bridgelux")</f>
        <v>Bridgelux</v>
      </c>
      <c r="H1141" s="97" t="str">
        <f>IFERROR(__xludf.DUMMYFUNCTION("""COMPUTED_VALUE"""),"Eaglerise")</f>
        <v>Eaglerise</v>
      </c>
      <c r="I1141" s="97" t="str">
        <f>IFERROR(__xludf.DUMMYFUNCTION("""COMPUTED_VALUE"""),"Si")</f>
        <v>Si</v>
      </c>
      <c r="J1141" s="97" t="str">
        <f>IFERROR(__xludf.DUMMYFUNCTION("""COMPUTED_VALUE"""),"Modelo: LS--40-1050 TRIAC LI1
In: 220-240Vac 0.25A max 50/60Hz
Out: 28-40VVdc 1050mA 40W
135*41*25mm")</f>
        <v>Modelo: LS--40-1050 TRIAC LI1
In: 220-240Vac 0.25A max 50/60Hz
Out: 28-40VVdc 1050mA 40W
135*41*25mm</v>
      </c>
      <c r="K1141" s="97" t="str">
        <f>IFERROR(__xludf.DUMMYFUNCTION("""COMPUTED_VALUE"""),"TRIAC")</f>
        <v>TRIAC</v>
      </c>
      <c r="L1141" s="97" t="str">
        <f>IFERROR(__xludf.DUMMYFUNCTION("""COMPUTED_VALUE"""),"220-240")</f>
        <v>220-240</v>
      </c>
      <c r="M1141" s="97" t="str">
        <f>IFERROR(__xludf.DUMMYFUNCTION("""COMPUTED_VALUE"""),"50/60")</f>
        <v>50/60</v>
      </c>
      <c r="N1141" s="97" t="str">
        <f>IFERROR(__xludf.DUMMYFUNCTION("""COMPUTED_VALUE"""),"Directa-Simétrica")</f>
        <v>Directa-Simétrica</v>
      </c>
      <c r="O1141" s="97">
        <f>IFERROR(__xludf.DUMMYFUNCTION("""COMPUTED_VALUE"""),48.0)</f>
        <v>48</v>
      </c>
      <c r="P1141" s="97">
        <f>IFERROR(__xludf.DUMMYFUNCTION("""COMPUTED_VALUE"""),45.39)</f>
        <v>45.39</v>
      </c>
      <c r="Q1141" s="97">
        <f>IFERROR(__xludf.DUMMYFUNCTION("""COMPUTED_VALUE"""),0.95)</f>
        <v>0.95</v>
      </c>
      <c r="R1141" s="97" t="str">
        <f>IFERROR(__xludf.DUMMYFUNCTION("""COMPUTED_VALUE"""),"-")</f>
        <v>-</v>
      </c>
      <c r="S1141" s="97" t="str">
        <f>IFERROR(__xludf.DUMMYFUNCTION("""COMPUTED_VALUE"""),"-")</f>
        <v>-</v>
      </c>
      <c r="T1141" s="97">
        <f>IFERROR(__xludf.DUMMYFUNCTION("""COMPUTED_VALUE"""),3326.0)</f>
        <v>3326</v>
      </c>
      <c r="U1141" s="99">
        <f>IFERROR(__xludf.DUMMYFUNCTION("""COMPUTED_VALUE"""),69.29166666666667)</f>
        <v>69.29166667</v>
      </c>
      <c r="V1141" s="97">
        <f>IFERROR(__xludf.DUMMYFUNCTION("""COMPUTED_VALUE"""),22.0)</f>
        <v>22</v>
      </c>
      <c r="W1141" s="97" t="str">
        <f>IFERROR(__xludf.DUMMYFUNCTION("""COMPUTED_VALUE"""),"&lt; 10")</f>
        <v>&lt; 10</v>
      </c>
      <c r="X1141" s="97">
        <f>IFERROR(__xludf.DUMMYFUNCTION("""COMPUTED_VALUE"""),3000.0)</f>
        <v>3000</v>
      </c>
      <c r="Y1141" s="97" t="str">
        <f>IFERROR(__xludf.DUMMYFUNCTION("""COMPUTED_VALUE"""),"&gt;90")</f>
        <v>&gt;90</v>
      </c>
      <c r="Z1141" s="97" t="str">
        <f>IFERROR(__xludf.DUMMYFUNCTION("""COMPUTED_VALUE"""),"&gt;90")</f>
        <v>&gt;90</v>
      </c>
      <c r="AA1141" s="97" t="str">
        <f>IFERROR(__xludf.DUMMYFUNCTION("""COMPUTED_VALUE"""),"90-99 (Leve desaturación)")</f>
        <v>90-99 (Leve desaturación)</v>
      </c>
      <c r="AB1141" s="97" t="str">
        <f>IFERROR(__xludf.DUMMYFUNCTION("""COMPUTED_VALUE"""),"&lt; 2")</f>
        <v>&lt; 2</v>
      </c>
      <c r="AC1141" s="97">
        <f>IFERROR(__xludf.DUMMYFUNCTION("""COMPUTED_VALUE"""),8.4E-4)</f>
        <v>0.00084</v>
      </c>
      <c r="AD1141" s="97" t="str">
        <f>IFERROR(__xludf.DUMMYFUNCTION("""COMPUTED_VALUE"""),"IP20")</f>
        <v>IP20</v>
      </c>
      <c r="AE1141" s="97" t="str">
        <f>IFERROR(__xludf.DUMMYFUNCTION("""COMPUTED_VALUE"""),"Clase l")</f>
        <v>Clase l</v>
      </c>
      <c r="AF1141" s="97" t="str">
        <f>IFERROR(__xludf.DUMMYFUNCTION("""COMPUTED_VALUE"""),"Suspender")</f>
        <v>Suspender</v>
      </c>
      <c r="AG1141" s="97" t="str">
        <f>IFERROR(__xludf.DUMMYFUNCTION("""COMPUTED_VALUE"""),"Ø600 x 35")</f>
        <v>Ø600 x 35</v>
      </c>
      <c r="AH1141" s="97" t="str">
        <f>IFERROR(__xludf.DUMMYFUNCTION("""COMPUTED_VALUE"""),"N/A")</f>
        <v>N/A</v>
      </c>
      <c r="AI1141" s="97" t="str">
        <f>IFERROR(__xludf.DUMMYFUNCTION("""COMPUTED_VALUE"""),"N/A")</f>
        <v>N/A</v>
      </c>
      <c r="AJ1141" s="97" t="str">
        <f>IFERROR(__xludf.DUMMYFUNCTION("""COMPUTED_VALUE"""),"Policarbonato (PC)")</f>
        <v>Policarbonato (PC)</v>
      </c>
      <c r="AK1141" s="97" t="str">
        <f>IFERROR(__xludf.DUMMYFUNCTION("""COMPUTED_VALUE"""),"Aluminio")</f>
        <v>Aluminio</v>
      </c>
      <c r="AL1141" s="97" t="str">
        <f>IFERROR(__xludf.DUMMYFUNCTION("""COMPUTED_VALUE"""),"Blanco Satinado")</f>
        <v>Blanco Satinado</v>
      </c>
      <c r="AM1141" s="97" t="str">
        <f>IFERROR(__xludf.DUMMYFUNCTION("""COMPUTED_VALUE"""),"-")</f>
        <v>-</v>
      </c>
      <c r="AN1141" s="97" t="str">
        <f>IFERROR(__xludf.DUMMYFUNCTION("""COMPUTED_VALUE"""),"30.000hs (L70)")</f>
        <v>30.000hs (L70)</v>
      </c>
      <c r="AO1141" s="97" t="str">
        <f>IFERROR(__xludf.DUMMYFUNCTION("""COMPUTED_VALUE"""),"3 Años")</f>
        <v>3 Años</v>
      </c>
      <c r="AP1141" s="97" t="str">
        <f>IFERROR(__xludf.DUMMYFUNCTION("""COMPUTED_VALUE"""),"Disponible")</f>
        <v>Disponible</v>
      </c>
      <c r="AQ1141" s="97" t="str">
        <f>IFERROR(__xludf.DUMMYFUNCTION("""COMPUTED_VALUE"""),"Disponible")</f>
        <v>Disponible</v>
      </c>
      <c r="AR1141" s="97" t="str">
        <f>IFERROR(__xludf.DUMMYFUNCTION("""COMPUTED_VALUE"""),"Disponible")</f>
        <v>Disponible</v>
      </c>
      <c r="AS1141" s="97"/>
      <c r="AT1141" s="97"/>
      <c r="AU1141" s="97" t="str">
        <f>IFERROR(__xludf.DUMMYFUNCTION("""COMPUTED_VALUE"""),"Falta")</f>
        <v>Falta</v>
      </c>
      <c r="AV1141" s="97" t="str">
        <f>IFERROR(__xludf.DUMMYFUNCTION("""COMPUTED_VALUE"""),"Colgante")</f>
        <v>Colgante</v>
      </c>
      <c r="AW1141" s="97" t="str">
        <f>IFERROR(__xludf.DUMMYFUNCTION("""COMPUTED_VALUE"""),"De Techo")</f>
        <v>De Techo</v>
      </c>
      <c r="AX1141" s="97" t="str">
        <f>IFERROR(__xludf.DUMMYFUNCTION("""COMPUTED_VALUE"""),"Interior")</f>
        <v>Interior</v>
      </c>
      <c r="AY1141" s="97" t="str">
        <f>IFERROR(__xludf.DUMMYFUNCTION("""COMPUTED_VALUE"""),"Confort Visual")</f>
        <v>Confort Visual</v>
      </c>
      <c r="AZ1141" s="97" t="str">
        <f>IFERROR(__xludf.DUMMYFUNCTION("""COMPUTED_VALUE"""),"Colgante de 1500mm. Florón: Ø65x200")</f>
        <v>Colgante de 1500mm. Florón: Ø65x200</v>
      </c>
      <c r="BA1141" s="97">
        <f>IFERROR(__xludf.DUMMYFUNCTION("""COMPUTED_VALUE"""),1.0)</f>
        <v>1</v>
      </c>
      <c r="BB1141" s="97" t="str">
        <f>IFERROR(__xludf.DUMMYFUNCTION("""COMPUTED_VALUE"""),"-")</f>
        <v>-</v>
      </c>
      <c r="BC1141" s="97" t="str">
        <f>IFERROR(__xludf.DUMMYFUNCTION("""COMPUTED_VALUE"""),"-")</f>
        <v>-</v>
      </c>
      <c r="BD1141" s="97" t="str">
        <f>IFERROR(__xludf.DUMMYFUNCTION("""COMPUTED_VALUE"""),"KRONE")</f>
        <v>KRONE</v>
      </c>
      <c r="BE1141" s="97" t="str">
        <f>IFERROR(__xludf.DUMMYFUNCTION("""COMPUTED_VALUE"""),"Finalizada")</f>
        <v>Finalizada</v>
      </c>
      <c r="BF1141" s="97"/>
      <c r="BG1141" s="97" t="str">
        <f>IFERROR(__xludf.DUMMYFUNCTION("""COMPUTED_VALUE"""),"Activo")</f>
        <v>Activo</v>
      </c>
    </row>
    <row r="1142">
      <c r="A1142" s="97">
        <f>IFERROR(__xludf.DUMMYFUNCTION("""COMPUTED_VALUE"""),7060.0)</f>
        <v>7060</v>
      </c>
      <c r="B1142" s="97" t="str">
        <f>IFERROR(__xludf.DUMMYFUNCTION("""COMPUTED_VALUE"""),"KRONE NG")</f>
        <v>KRONE NG</v>
      </c>
      <c r="C1142" s="97" t="str">
        <f>IFERROR(__xludf.DUMMYFUNCTION("""COMPUTED_VALUE"""),"COLGANTE KRONE NG 48W 3000K 3326LM CRI&gt;90 IP20 LEUK")</f>
        <v>COLGANTE KRONE NG 48W 3000K 3326LM CRI&gt;90 IP20 LEUK</v>
      </c>
      <c r="D1142" s="97">
        <f>IFERROR(__xludf.DUMMYFUNCTION("""COMPUTED_VALUE"""),7.798413225792E12)</f>
        <v>7798413225792</v>
      </c>
      <c r="E1142" s="97" t="str">
        <f>IFERROR(__xludf.DUMMYFUNCTION("""COMPUTED_VALUE"""),"A103")</f>
        <v>A103</v>
      </c>
      <c r="F1142" s="97" t="str">
        <f>IFERROR(__xludf.DUMMYFUNCTION("""COMPUTED_VALUE"""),"LED SMD3030")</f>
        <v>LED SMD3030</v>
      </c>
      <c r="G1142" s="97" t="str">
        <f>IFERROR(__xludf.DUMMYFUNCTION("""COMPUTED_VALUE"""),"Bridgelux")</f>
        <v>Bridgelux</v>
      </c>
      <c r="H1142" s="97" t="str">
        <f>IFERROR(__xludf.DUMMYFUNCTION("""COMPUTED_VALUE"""),"Eaglerise")</f>
        <v>Eaglerise</v>
      </c>
      <c r="I1142" s="97" t="str">
        <f>IFERROR(__xludf.DUMMYFUNCTION("""COMPUTED_VALUE"""),"Si")</f>
        <v>Si</v>
      </c>
      <c r="J1142" s="97" t="str">
        <f>IFERROR(__xludf.DUMMYFUNCTION("""COMPUTED_VALUE"""),"Modelo: LS--40-1050 TRIAC LI1
In: 220-240Vac 0.25A max 50/60Hz
Out: 28-40VVdc 1050mA 40W
135*41*25mm")</f>
        <v>Modelo: LS--40-1050 TRIAC LI1
In: 220-240Vac 0.25A max 50/60Hz
Out: 28-40VVdc 1050mA 40W
135*41*25mm</v>
      </c>
      <c r="K1142" s="97" t="str">
        <f>IFERROR(__xludf.DUMMYFUNCTION("""COMPUTED_VALUE"""),"TRIAC")</f>
        <v>TRIAC</v>
      </c>
      <c r="L1142" s="97" t="str">
        <f>IFERROR(__xludf.DUMMYFUNCTION("""COMPUTED_VALUE"""),"220-240")</f>
        <v>220-240</v>
      </c>
      <c r="M1142" s="97" t="str">
        <f>IFERROR(__xludf.DUMMYFUNCTION("""COMPUTED_VALUE"""),"50/60")</f>
        <v>50/60</v>
      </c>
      <c r="N1142" s="97" t="str">
        <f>IFERROR(__xludf.DUMMYFUNCTION("""COMPUTED_VALUE"""),"Directa-Simétrica")</f>
        <v>Directa-Simétrica</v>
      </c>
      <c r="O1142" s="97">
        <f>IFERROR(__xludf.DUMMYFUNCTION("""COMPUTED_VALUE"""),48.0)</f>
        <v>48</v>
      </c>
      <c r="P1142" s="97">
        <f>IFERROR(__xludf.DUMMYFUNCTION("""COMPUTED_VALUE"""),45.39)</f>
        <v>45.39</v>
      </c>
      <c r="Q1142" s="97">
        <f>IFERROR(__xludf.DUMMYFUNCTION("""COMPUTED_VALUE"""),0.95)</f>
        <v>0.95</v>
      </c>
      <c r="R1142" s="97" t="str">
        <f>IFERROR(__xludf.DUMMYFUNCTION("""COMPUTED_VALUE"""),"-")</f>
        <v>-</v>
      </c>
      <c r="S1142" s="97" t="str">
        <f>IFERROR(__xludf.DUMMYFUNCTION("""COMPUTED_VALUE"""),"-")</f>
        <v>-</v>
      </c>
      <c r="T1142" s="97">
        <f>IFERROR(__xludf.DUMMYFUNCTION("""COMPUTED_VALUE"""),3326.0)</f>
        <v>3326</v>
      </c>
      <c r="U1142" s="99">
        <f>IFERROR(__xludf.DUMMYFUNCTION("""COMPUTED_VALUE"""),69.29166666666667)</f>
        <v>69.29166667</v>
      </c>
      <c r="V1142" s="97">
        <f>IFERROR(__xludf.DUMMYFUNCTION("""COMPUTED_VALUE"""),22.0)</f>
        <v>22</v>
      </c>
      <c r="W1142" s="97" t="str">
        <f>IFERROR(__xludf.DUMMYFUNCTION("""COMPUTED_VALUE"""),"&lt; 10")</f>
        <v>&lt; 10</v>
      </c>
      <c r="X1142" s="97">
        <f>IFERROR(__xludf.DUMMYFUNCTION("""COMPUTED_VALUE"""),3000.0)</f>
        <v>3000</v>
      </c>
      <c r="Y1142" s="97" t="str">
        <f>IFERROR(__xludf.DUMMYFUNCTION("""COMPUTED_VALUE"""),"&gt;90")</f>
        <v>&gt;90</v>
      </c>
      <c r="Z1142" s="97" t="str">
        <f>IFERROR(__xludf.DUMMYFUNCTION("""COMPUTED_VALUE"""),"&gt;90")</f>
        <v>&gt;90</v>
      </c>
      <c r="AA1142" s="97" t="str">
        <f>IFERROR(__xludf.DUMMYFUNCTION("""COMPUTED_VALUE"""),"90-99 (Leve desaturación)")</f>
        <v>90-99 (Leve desaturación)</v>
      </c>
      <c r="AB1142" s="97" t="str">
        <f>IFERROR(__xludf.DUMMYFUNCTION("""COMPUTED_VALUE"""),"&lt; 2")</f>
        <v>&lt; 2</v>
      </c>
      <c r="AC1142" s="97">
        <f>IFERROR(__xludf.DUMMYFUNCTION("""COMPUTED_VALUE"""),8.4E-4)</f>
        <v>0.00084</v>
      </c>
      <c r="AD1142" s="97" t="str">
        <f>IFERROR(__xludf.DUMMYFUNCTION("""COMPUTED_VALUE"""),"IP20")</f>
        <v>IP20</v>
      </c>
      <c r="AE1142" s="97" t="str">
        <f>IFERROR(__xludf.DUMMYFUNCTION("""COMPUTED_VALUE"""),"Clase l")</f>
        <v>Clase l</v>
      </c>
      <c r="AF1142" s="97" t="str">
        <f>IFERROR(__xludf.DUMMYFUNCTION("""COMPUTED_VALUE"""),"Suspender")</f>
        <v>Suspender</v>
      </c>
      <c r="AG1142" s="97" t="str">
        <f>IFERROR(__xludf.DUMMYFUNCTION("""COMPUTED_VALUE"""),"Ø600 x 35")</f>
        <v>Ø600 x 35</v>
      </c>
      <c r="AH1142" s="97" t="str">
        <f>IFERROR(__xludf.DUMMYFUNCTION("""COMPUTED_VALUE"""),"N/A")</f>
        <v>N/A</v>
      </c>
      <c r="AI1142" s="97" t="str">
        <f>IFERROR(__xludf.DUMMYFUNCTION("""COMPUTED_VALUE"""),"N/A")</f>
        <v>N/A</v>
      </c>
      <c r="AJ1142" s="97" t="str">
        <f>IFERROR(__xludf.DUMMYFUNCTION("""COMPUTED_VALUE"""),"Policarbonato (PC)")</f>
        <v>Policarbonato (PC)</v>
      </c>
      <c r="AK1142" s="97" t="str">
        <f>IFERROR(__xludf.DUMMYFUNCTION("""COMPUTED_VALUE"""),"Aluminio")</f>
        <v>Aluminio</v>
      </c>
      <c r="AL1142" s="97" t="str">
        <f>IFERROR(__xludf.DUMMYFUNCTION("""COMPUTED_VALUE"""),"Negro Satinado")</f>
        <v>Negro Satinado</v>
      </c>
      <c r="AM1142" s="97" t="str">
        <f>IFERROR(__xludf.DUMMYFUNCTION("""COMPUTED_VALUE"""),"-")</f>
        <v>-</v>
      </c>
      <c r="AN1142" s="97" t="str">
        <f>IFERROR(__xludf.DUMMYFUNCTION("""COMPUTED_VALUE"""),"30.000hs (L70)")</f>
        <v>30.000hs (L70)</v>
      </c>
      <c r="AO1142" s="97" t="str">
        <f>IFERROR(__xludf.DUMMYFUNCTION("""COMPUTED_VALUE"""),"3 Años")</f>
        <v>3 Años</v>
      </c>
      <c r="AP1142" s="97" t="str">
        <f>IFERROR(__xludf.DUMMYFUNCTION("""COMPUTED_VALUE"""),"Disponible")</f>
        <v>Disponible</v>
      </c>
      <c r="AQ1142" s="97" t="str">
        <f>IFERROR(__xludf.DUMMYFUNCTION("""COMPUTED_VALUE"""),"Disponible")</f>
        <v>Disponible</v>
      </c>
      <c r="AR1142" s="97" t="str">
        <f>IFERROR(__xludf.DUMMYFUNCTION("""COMPUTED_VALUE"""),"Disponible")</f>
        <v>Disponible</v>
      </c>
      <c r="AS1142" s="97"/>
      <c r="AT1142" s="97"/>
      <c r="AU1142" s="97" t="str">
        <f>IFERROR(__xludf.DUMMYFUNCTION("""COMPUTED_VALUE"""),"Falta")</f>
        <v>Falta</v>
      </c>
      <c r="AV1142" s="97" t="str">
        <f>IFERROR(__xludf.DUMMYFUNCTION("""COMPUTED_VALUE"""),"Colgante")</f>
        <v>Colgante</v>
      </c>
      <c r="AW1142" s="97" t="str">
        <f>IFERROR(__xludf.DUMMYFUNCTION("""COMPUTED_VALUE"""),"De Techo")</f>
        <v>De Techo</v>
      </c>
      <c r="AX1142" s="97" t="str">
        <f>IFERROR(__xludf.DUMMYFUNCTION("""COMPUTED_VALUE"""),"Interior")</f>
        <v>Interior</v>
      </c>
      <c r="AY1142" s="97" t="str">
        <f>IFERROR(__xludf.DUMMYFUNCTION("""COMPUTED_VALUE"""),"Confort Visual")</f>
        <v>Confort Visual</v>
      </c>
      <c r="AZ1142" s="97" t="str">
        <f>IFERROR(__xludf.DUMMYFUNCTION("""COMPUTED_VALUE"""),"Colgante de 1500mm. Florón: Ø65x200")</f>
        <v>Colgante de 1500mm. Florón: Ø65x200</v>
      </c>
      <c r="BA1142" s="97">
        <f>IFERROR(__xludf.DUMMYFUNCTION("""COMPUTED_VALUE"""),1.0)</f>
        <v>1</v>
      </c>
      <c r="BB1142" s="97" t="str">
        <f>IFERROR(__xludf.DUMMYFUNCTION("""COMPUTED_VALUE"""),"-")</f>
        <v>-</v>
      </c>
      <c r="BC1142" s="97" t="str">
        <f>IFERROR(__xludf.DUMMYFUNCTION("""COMPUTED_VALUE"""),"-")</f>
        <v>-</v>
      </c>
      <c r="BD1142" s="97" t="str">
        <f>IFERROR(__xludf.DUMMYFUNCTION("""COMPUTED_VALUE"""),"KRONE")</f>
        <v>KRONE</v>
      </c>
      <c r="BE1142" s="97" t="str">
        <f>IFERROR(__xludf.DUMMYFUNCTION("""COMPUTED_VALUE"""),"Finalizada")</f>
        <v>Finalizada</v>
      </c>
      <c r="BF1142" s="97"/>
      <c r="BG1142" s="97" t="str">
        <f>IFERROR(__xludf.DUMMYFUNCTION("""COMPUTED_VALUE"""),"Activo")</f>
        <v>Activo</v>
      </c>
    </row>
    <row r="1143">
      <c r="A1143" s="97">
        <f>IFERROR(__xludf.DUMMYFUNCTION("""COMPUTED_VALUE"""),7061.0)</f>
        <v>7061</v>
      </c>
      <c r="B1143" s="97" t="str">
        <f>IFERROR(__xludf.DUMMYFUNCTION("""COMPUTED_VALUE"""),"DRABE BL")</f>
        <v>DRABE BL</v>
      </c>
      <c r="C1143" s="97" t="str">
        <f>IFERROR(__xludf.DUMMYFUNCTION("""COMPUTED_VALUE"""),"COLGANTE DRABE BL 7,6W 3000K 172LM CRI&gt;90 IP20 LEUK")</f>
        <v>COLGANTE DRABE BL 7,6W 3000K 172LM CRI&gt;90 IP20 LEUK</v>
      </c>
      <c r="D1143" s="97">
        <f>IFERROR(__xludf.DUMMYFUNCTION("""COMPUTED_VALUE"""),7.798413225808E12)</f>
        <v>7798413225808</v>
      </c>
      <c r="E1143" s="97" t="str">
        <f>IFERROR(__xludf.DUMMYFUNCTION("""COMPUTED_VALUE"""),"A187")</f>
        <v>A187</v>
      </c>
      <c r="F1143" s="97" t="str">
        <f>IFERROR(__xludf.DUMMYFUNCTION("""COMPUTED_VALUE"""),"LED SMD3030")</f>
        <v>LED SMD3030</v>
      </c>
      <c r="G1143" s="97" t="str">
        <f>IFERROR(__xludf.DUMMYFUNCTION("""COMPUTED_VALUE"""),"OSRAM")</f>
        <v>OSRAM</v>
      </c>
      <c r="H1143" s="97" t="str">
        <f>IFERROR(__xludf.DUMMYFUNCTION("""COMPUTED_VALUE"""),"-")</f>
        <v>-</v>
      </c>
      <c r="I1143" s="97" t="str">
        <f>IFERROR(__xludf.DUMMYFUNCTION("""COMPUTED_VALUE"""),"Si")</f>
        <v>Si</v>
      </c>
      <c r="J1143" s="97" t="str">
        <f>IFERROR(__xludf.DUMMYFUNCTION("""COMPUTED_VALUE"""),"XGT005C1500SLAW-K2A-02")</f>
        <v>XGT005C1500SLAW-K2A-02</v>
      </c>
      <c r="K1143" s="97" t="str">
        <f>IFERROR(__xludf.DUMMYFUNCTION("""COMPUTED_VALUE"""),"TRIAC")</f>
        <v>TRIAC</v>
      </c>
      <c r="L1143" s="97" t="str">
        <f>IFERROR(__xludf.DUMMYFUNCTION("""COMPUTED_VALUE"""),"220-240")</f>
        <v>220-240</v>
      </c>
      <c r="M1143" s="97" t="str">
        <f>IFERROR(__xludf.DUMMYFUNCTION("""COMPUTED_VALUE"""),"50/60")</f>
        <v>50/60</v>
      </c>
      <c r="N1143" s="97" t="str">
        <f>IFERROR(__xludf.DUMMYFUNCTION("""COMPUTED_VALUE"""),"Directa-Simétrica")</f>
        <v>Directa-Simétrica</v>
      </c>
      <c r="O1143" s="97">
        <f>IFERROR(__xludf.DUMMYFUNCTION("""COMPUTED_VALUE"""),7.6)</f>
        <v>7.6</v>
      </c>
      <c r="P1143" s="97">
        <f>IFERROR(__xludf.DUMMYFUNCTION("""COMPUTED_VALUE"""),7.93)</f>
        <v>7.93</v>
      </c>
      <c r="Q1143" s="97">
        <f>IFERROR(__xludf.DUMMYFUNCTION("""COMPUTED_VALUE"""),0.6)</f>
        <v>0.6</v>
      </c>
      <c r="R1143" s="97" t="str">
        <f>IFERROR(__xludf.DUMMYFUNCTION("""COMPUTED_VALUE"""),"-")</f>
        <v>-</v>
      </c>
      <c r="S1143" s="97" t="str">
        <f>IFERROR(__xludf.DUMMYFUNCTION("""COMPUTED_VALUE"""),"-")</f>
        <v>-</v>
      </c>
      <c r="T1143" s="97">
        <f>IFERROR(__xludf.DUMMYFUNCTION("""COMPUTED_VALUE"""),172.0)</f>
        <v>172</v>
      </c>
      <c r="U1143" s="99">
        <f>IFERROR(__xludf.DUMMYFUNCTION("""COMPUTED_VALUE"""),22.63157894736842)</f>
        <v>22.63157895</v>
      </c>
      <c r="V1143" s="97">
        <f>IFERROR(__xludf.DUMMYFUNCTION("""COMPUTED_VALUE"""),20.0)</f>
        <v>20</v>
      </c>
      <c r="W1143" s="97" t="str">
        <f>IFERROR(__xludf.DUMMYFUNCTION("""COMPUTED_VALUE"""),"&lt; 10")</f>
        <v>&lt; 10</v>
      </c>
      <c r="X1143" s="97">
        <f>IFERROR(__xludf.DUMMYFUNCTION("""COMPUTED_VALUE"""),3000.0)</f>
        <v>3000</v>
      </c>
      <c r="Y1143" s="97" t="str">
        <f>IFERROR(__xludf.DUMMYFUNCTION("""COMPUTED_VALUE"""),"&gt;90")</f>
        <v>&gt;90</v>
      </c>
      <c r="Z1143" s="97" t="str">
        <f>IFERROR(__xludf.DUMMYFUNCTION("""COMPUTED_VALUE"""),"&gt;90")</f>
        <v>&gt;90</v>
      </c>
      <c r="AA1143" s="97" t="str">
        <f>IFERROR(__xludf.DUMMYFUNCTION("""COMPUTED_VALUE"""),"90-99 (Leve desaturación)")</f>
        <v>90-99 (Leve desaturación)</v>
      </c>
      <c r="AB1143" s="97" t="str">
        <f>IFERROR(__xludf.DUMMYFUNCTION("""COMPUTED_VALUE"""),"&lt; 5")</f>
        <v>&lt; 5</v>
      </c>
      <c r="AC1143" s="97">
        <f>IFERROR(__xludf.DUMMYFUNCTION("""COMPUTED_VALUE"""),0.0035)</f>
        <v>0.0035</v>
      </c>
      <c r="AD1143" s="97" t="str">
        <f>IFERROR(__xludf.DUMMYFUNCTION("""COMPUTED_VALUE"""),"IP20")</f>
        <v>IP20</v>
      </c>
      <c r="AE1143" s="97" t="str">
        <f>IFERROR(__xludf.DUMMYFUNCTION("""COMPUTED_VALUE"""),"Clase l")</f>
        <v>Clase l</v>
      </c>
      <c r="AF1143" s="97" t="str">
        <f>IFERROR(__xludf.DUMMYFUNCTION("""COMPUTED_VALUE"""),"Suspender")</f>
        <v>Suspender</v>
      </c>
      <c r="AG1143" s="97" t="str">
        <f>IFERROR(__xludf.DUMMYFUNCTION("""COMPUTED_VALUE"""),"Ø50 x 72")</f>
        <v>Ø50 x 72</v>
      </c>
      <c r="AH1143" s="97" t="str">
        <f>IFERROR(__xludf.DUMMYFUNCTION("""COMPUTED_VALUE"""),"N/A")</f>
        <v>N/A</v>
      </c>
      <c r="AI1143" s="97" t="str">
        <f>IFERROR(__xludf.DUMMYFUNCTION("""COMPUTED_VALUE"""),"N/A")</f>
        <v>N/A</v>
      </c>
      <c r="AJ1143" s="97" t="str">
        <f>IFERROR(__xludf.DUMMYFUNCTION("""COMPUTED_VALUE"""),"PMMA")</f>
        <v>PMMA</v>
      </c>
      <c r="AK1143" s="97" t="str">
        <f>IFERROR(__xludf.DUMMYFUNCTION("""COMPUTED_VALUE"""),"Aluminio")</f>
        <v>Aluminio</v>
      </c>
      <c r="AL1143" s="97" t="str">
        <f>IFERROR(__xludf.DUMMYFUNCTION("""COMPUTED_VALUE"""),"Blanco Satinado")</f>
        <v>Blanco Satinado</v>
      </c>
      <c r="AM1143" s="97" t="str">
        <f>IFERROR(__xludf.DUMMYFUNCTION("""COMPUTED_VALUE"""),"-")</f>
        <v>-</v>
      </c>
      <c r="AN1143" s="97" t="str">
        <f>IFERROR(__xludf.DUMMYFUNCTION("""COMPUTED_VALUE"""),"30.000hs (L70)")</f>
        <v>30.000hs (L70)</v>
      </c>
      <c r="AO1143" s="97" t="str">
        <f>IFERROR(__xludf.DUMMYFUNCTION("""COMPUTED_VALUE"""),"3 Años")</f>
        <v>3 Años</v>
      </c>
      <c r="AP1143" s="97" t="str">
        <f>IFERROR(__xludf.DUMMYFUNCTION("""COMPUTED_VALUE"""),"Disponible")</f>
        <v>Disponible</v>
      </c>
      <c r="AQ1143" s="97" t="str">
        <f>IFERROR(__xludf.DUMMYFUNCTION("""COMPUTED_VALUE"""),"Disponible")</f>
        <v>Disponible</v>
      </c>
      <c r="AR1143" s="97" t="str">
        <f>IFERROR(__xludf.DUMMYFUNCTION("""COMPUTED_VALUE"""),"Disponible")</f>
        <v>Disponible</v>
      </c>
      <c r="AS1143" s="97"/>
      <c r="AT1143" s="97"/>
      <c r="AU1143" s="97" t="str">
        <f>IFERROR(__xludf.DUMMYFUNCTION("""COMPUTED_VALUE"""),"Falta")</f>
        <v>Falta</v>
      </c>
      <c r="AV1143" s="97" t="str">
        <f>IFERROR(__xludf.DUMMYFUNCTION("""COMPUTED_VALUE"""),"Colgante")</f>
        <v>Colgante</v>
      </c>
      <c r="AW1143" s="97" t="str">
        <f>IFERROR(__xludf.DUMMYFUNCTION("""COMPUTED_VALUE"""),"De Techo")</f>
        <v>De Techo</v>
      </c>
      <c r="AX1143" s="97" t="str">
        <f>IFERROR(__xludf.DUMMYFUNCTION("""COMPUTED_VALUE"""),"Interior")</f>
        <v>Interior</v>
      </c>
      <c r="AY1143" s="97" t="str">
        <f>IFERROR(__xludf.DUMMYFUNCTION("""COMPUTED_VALUE"""),"-")</f>
        <v>-</v>
      </c>
      <c r="AZ1143" s="97" t="str">
        <f>IFERROR(__xludf.DUMMYFUNCTION("""COMPUTED_VALUE"""),"Colgante de 1200mm. Florón: Ø50x130.")</f>
        <v>Colgante de 1200mm. Florón: Ø50x130.</v>
      </c>
      <c r="BA1143" s="97">
        <f>IFERROR(__xludf.DUMMYFUNCTION("""COMPUTED_VALUE"""),36.0)</f>
        <v>36</v>
      </c>
      <c r="BB1143" s="97" t="str">
        <f>IFERROR(__xludf.DUMMYFUNCTION("""COMPUTED_VALUE"""),"-")</f>
        <v>-</v>
      </c>
      <c r="BC1143" s="97" t="str">
        <f>IFERROR(__xludf.DUMMYFUNCTION("""COMPUTED_VALUE"""),"-")</f>
        <v>-</v>
      </c>
      <c r="BD1143" s="97" t="str">
        <f>IFERROR(__xludf.DUMMYFUNCTION("""COMPUTED_VALUE"""),"DRABE")</f>
        <v>DRABE</v>
      </c>
      <c r="BE1143" s="97" t="str">
        <f>IFERROR(__xludf.DUMMYFUNCTION("""COMPUTED_VALUE"""),"Finalizada")</f>
        <v>Finalizada</v>
      </c>
      <c r="BF1143" s="97"/>
      <c r="BG1143" s="97" t="str">
        <f>IFERROR(__xludf.DUMMYFUNCTION("""COMPUTED_VALUE"""),"Activo")</f>
        <v>Activo</v>
      </c>
    </row>
    <row r="1144">
      <c r="A1144" s="97">
        <f>IFERROR(__xludf.DUMMYFUNCTION("""COMPUTED_VALUE"""),7062.0)</f>
        <v>7062</v>
      </c>
      <c r="B1144" s="97" t="str">
        <f>IFERROR(__xludf.DUMMYFUNCTION("""COMPUTED_VALUE"""),"DRABE NG")</f>
        <v>DRABE NG</v>
      </c>
      <c r="C1144" s="97" t="str">
        <f>IFERROR(__xludf.DUMMYFUNCTION("""COMPUTED_VALUE"""),"COLGANTE DRABE NG 7,6W 3000K 172LM CRI&gt;90 IP20 LEUK")</f>
        <v>COLGANTE DRABE NG 7,6W 3000K 172LM CRI&gt;90 IP20 LEUK</v>
      </c>
      <c r="D1144" s="97">
        <f>IFERROR(__xludf.DUMMYFUNCTION("""COMPUTED_VALUE"""),7.798413225815E12)</f>
        <v>7798413225815</v>
      </c>
      <c r="E1144" s="97" t="str">
        <f>IFERROR(__xludf.DUMMYFUNCTION("""COMPUTED_VALUE"""),"A187")</f>
        <v>A187</v>
      </c>
      <c r="F1144" s="97" t="str">
        <f>IFERROR(__xludf.DUMMYFUNCTION("""COMPUTED_VALUE"""),"LED SMD3030")</f>
        <v>LED SMD3030</v>
      </c>
      <c r="G1144" s="97" t="str">
        <f>IFERROR(__xludf.DUMMYFUNCTION("""COMPUTED_VALUE"""),"OSRAM")</f>
        <v>OSRAM</v>
      </c>
      <c r="H1144" s="97" t="str">
        <f>IFERROR(__xludf.DUMMYFUNCTION("""COMPUTED_VALUE"""),"-")</f>
        <v>-</v>
      </c>
      <c r="I1144" s="97" t="str">
        <f>IFERROR(__xludf.DUMMYFUNCTION("""COMPUTED_VALUE"""),"Si")</f>
        <v>Si</v>
      </c>
      <c r="J1144" s="97" t="str">
        <f>IFERROR(__xludf.DUMMYFUNCTION("""COMPUTED_VALUE"""),"XGT005C1500SLAW-K2A-02")</f>
        <v>XGT005C1500SLAW-K2A-02</v>
      </c>
      <c r="K1144" s="97" t="str">
        <f>IFERROR(__xludf.DUMMYFUNCTION("""COMPUTED_VALUE"""),"TRIAC")</f>
        <v>TRIAC</v>
      </c>
      <c r="L1144" s="97" t="str">
        <f>IFERROR(__xludf.DUMMYFUNCTION("""COMPUTED_VALUE"""),"220-240")</f>
        <v>220-240</v>
      </c>
      <c r="M1144" s="97" t="str">
        <f>IFERROR(__xludf.DUMMYFUNCTION("""COMPUTED_VALUE"""),"50/60")</f>
        <v>50/60</v>
      </c>
      <c r="N1144" s="97" t="str">
        <f>IFERROR(__xludf.DUMMYFUNCTION("""COMPUTED_VALUE"""),"Directa-Simétrica")</f>
        <v>Directa-Simétrica</v>
      </c>
      <c r="O1144" s="97">
        <f>IFERROR(__xludf.DUMMYFUNCTION("""COMPUTED_VALUE"""),7.6)</f>
        <v>7.6</v>
      </c>
      <c r="P1144" s="97">
        <f>IFERROR(__xludf.DUMMYFUNCTION("""COMPUTED_VALUE"""),7.93)</f>
        <v>7.93</v>
      </c>
      <c r="Q1144" s="97">
        <f>IFERROR(__xludf.DUMMYFUNCTION("""COMPUTED_VALUE"""),0.6)</f>
        <v>0.6</v>
      </c>
      <c r="R1144" s="97" t="str">
        <f>IFERROR(__xludf.DUMMYFUNCTION("""COMPUTED_VALUE"""),"-")</f>
        <v>-</v>
      </c>
      <c r="S1144" s="97" t="str">
        <f>IFERROR(__xludf.DUMMYFUNCTION("""COMPUTED_VALUE"""),"-")</f>
        <v>-</v>
      </c>
      <c r="T1144" s="97">
        <f>IFERROR(__xludf.DUMMYFUNCTION("""COMPUTED_VALUE"""),172.0)</f>
        <v>172</v>
      </c>
      <c r="U1144" s="99">
        <f>IFERROR(__xludf.DUMMYFUNCTION("""COMPUTED_VALUE"""),22.63157894736842)</f>
        <v>22.63157895</v>
      </c>
      <c r="V1144" s="97">
        <f>IFERROR(__xludf.DUMMYFUNCTION("""COMPUTED_VALUE"""),20.0)</f>
        <v>20</v>
      </c>
      <c r="W1144" s="97" t="str">
        <f>IFERROR(__xludf.DUMMYFUNCTION("""COMPUTED_VALUE"""),"&lt; 10")</f>
        <v>&lt; 10</v>
      </c>
      <c r="X1144" s="97">
        <f>IFERROR(__xludf.DUMMYFUNCTION("""COMPUTED_VALUE"""),3000.0)</f>
        <v>3000</v>
      </c>
      <c r="Y1144" s="97" t="str">
        <f>IFERROR(__xludf.DUMMYFUNCTION("""COMPUTED_VALUE"""),"&gt;90")</f>
        <v>&gt;90</v>
      </c>
      <c r="Z1144" s="97" t="str">
        <f>IFERROR(__xludf.DUMMYFUNCTION("""COMPUTED_VALUE"""),"&gt;90")</f>
        <v>&gt;90</v>
      </c>
      <c r="AA1144" s="97" t="str">
        <f>IFERROR(__xludf.DUMMYFUNCTION("""COMPUTED_VALUE"""),"90-99 (Leve desaturación)")</f>
        <v>90-99 (Leve desaturación)</v>
      </c>
      <c r="AB1144" s="97" t="str">
        <f>IFERROR(__xludf.DUMMYFUNCTION("""COMPUTED_VALUE"""),"&lt; 5")</f>
        <v>&lt; 5</v>
      </c>
      <c r="AC1144" s="97">
        <f>IFERROR(__xludf.DUMMYFUNCTION("""COMPUTED_VALUE"""),0.0035)</f>
        <v>0.0035</v>
      </c>
      <c r="AD1144" s="97" t="str">
        <f>IFERROR(__xludf.DUMMYFUNCTION("""COMPUTED_VALUE"""),"IP20")</f>
        <v>IP20</v>
      </c>
      <c r="AE1144" s="97" t="str">
        <f>IFERROR(__xludf.DUMMYFUNCTION("""COMPUTED_VALUE"""),"Clase l")</f>
        <v>Clase l</v>
      </c>
      <c r="AF1144" s="97" t="str">
        <f>IFERROR(__xludf.DUMMYFUNCTION("""COMPUTED_VALUE"""),"Suspender")</f>
        <v>Suspender</v>
      </c>
      <c r="AG1144" s="97" t="str">
        <f>IFERROR(__xludf.DUMMYFUNCTION("""COMPUTED_VALUE"""),"Ø50 x 72")</f>
        <v>Ø50 x 72</v>
      </c>
      <c r="AH1144" s="97" t="str">
        <f>IFERROR(__xludf.DUMMYFUNCTION("""COMPUTED_VALUE"""),"N/A")</f>
        <v>N/A</v>
      </c>
      <c r="AI1144" s="97" t="str">
        <f>IFERROR(__xludf.DUMMYFUNCTION("""COMPUTED_VALUE"""),"N/A")</f>
        <v>N/A</v>
      </c>
      <c r="AJ1144" s="97" t="str">
        <f>IFERROR(__xludf.DUMMYFUNCTION("""COMPUTED_VALUE"""),"PMMA")</f>
        <v>PMMA</v>
      </c>
      <c r="AK1144" s="97" t="str">
        <f>IFERROR(__xludf.DUMMYFUNCTION("""COMPUTED_VALUE"""),"Aluminio")</f>
        <v>Aluminio</v>
      </c>
      <c r="AL1144" s="97" t="str">
        <f>IFERROR(__xludf.DUMMYFUNCTION("""COMPUTED_VALUE"""),"Negro Satinado")</f>
        <v>Negro Satinado</v>
      </c>
      <c r="AM1144" s="97" t="str">
        <f>IFERROR(__xludf.DUMMYFUNCTION("""COMPUTED_VALUE"""),"-")</f>
        <v>-</v>
      </c>
      <c r="AN1144" s="97" t="str">
        <f>IFERROR(__xludf.DUMMYFUNCTION("""COMPUTED_VALUE"""),"30.000hs (L70)")</f>
        <v>30.000hs (L70)</v>
      </c>
      <c r="AO1144" s="97" t="str">
        <f>IFERROR(__xludf.DUMMYFUNCTION("""COMPUTED_VALUE"""),"3 Años")</f>
        <v>3 Años</v>
      </c>
      <c r="AP1144" s="97" t="str">
        <f>IFERROR(__xludf.DUMMYFUNCTION("""COMPUTED_VALUE"""),"Disponible")</f>
        <v>Disponible</v>
      </c>
      <c r="AQ1144" s="97" t="str">
        <f>IFERROR(__xludf.DUMMYFUNCTION("""COMPUTED_VALUE"""),"Disponible")</f>
        <v>Disponible</v>
      </c>
      <c r="AR1144" s="97" t="str">
        <f>IFERROR(__xludf.DUMMYFUNCTION("""COMPUTED_VALUE"""),"Disponible")</f>
        <v>Disponible</v>
      </c>
      <c r="AS1144" s="97"/>
      <c r="AT1144" s="97"/>
      <c r="AU1144" s="97" t="str">
        <f>IFERROR(__xludf.DUMMYFUNCTION("""COMPUTED_VALUE"""),"Falta")</f>
        <v>Falta</v>
      </c>
      <c r="AV1144" s="97" t="str">
        <f>IFERROR(__xludf.DUMMYFUNCTION("""COMPUTED_VALUE"""),"Colgante")</f>
        <v>Colgante</v>
      </c>
      <c r="AW1144" s="97" t="str">
        <f>IFERROR(__xludf.DUMMYFUNCTION("""COMPUTED_VALUE"""),"De Techo")</f>
        <v>De Techo</v>
      </c>
      <c r="AX1144" s="97" t="str">
        <f>IFERROR(__xludf.DUMMYFUNCTION("""COMPUTED_VALUE"""),"Interior")</f>
        <v>Interior</v>
      </c>
      <c r="AY1144" s="97" t="str">
        <f>IFERROR(__xludf.DUMMYFUNCTION("""COMPUTED_VALUE"""),"-")</f>
        <v>-</v>
      </c>
      <c r="AZ1144" s="97" t="str">
        <f>IFERROR(__xludf.DUMMYFUNCTION("""COMPUTED_VALUE"""),"Colgante de 1200mm. Florón: Ø50x130.")</f>
        <v>Colgante de 1200mm. Florón: Ø50x130.</v>
      </c>
      <c r="BA1144" s="97">
        <f>IFERROR(__xludf.DUMMYFUNCTION("""COMPUTED_VALUE"""),36.0)</f>
        <v>36</v>
      </c>
      <c r="BB1144" s="97" t="str">
        <f>IFERROR(__xludf.DUMMYFUNCTION("""COMPUTED_VALUE"""),"-")</f>
        <v>-</v>
      </c>
      <c r="BC1144" s="97" t="str">
        <f>IFERROR(__xludf.DUMMYFUNCTION("""COMPUTED_VALUE"""),"-")</f>
        <v>-</v>
      </c>
      <c r="BD1144" s="97" t="str">
        <f>IFERROR(__xludf.DUMMYFUNCTION("""COMPUTED_VALUE"""),"DRABE")</f>
        <v>DRABE</v>
      </c>
      <c r="BE1144" s="97" t="str">
        <f>IFERROR(__xludf.DUMMYFUNCTION("""COMPUTED_VALUE"""),"Finalizada")</f>
        <v>Finalizada</v>
      </c>
      <c r="BF1144" s="97"/>
      <c r="BG1144" s="97" t="str">
        <f>IFERROR(__xludf.DUMMYFUNCTION("""COMPUTED_VALUE"""),"Activo")</f>
        <v>Activo</v>
      </c>
    </row>
    <row r="1145">
      <c r="A1145" s="97">
        <f>IFERROR(__xludf.DUMMYFUNCTION("""COMPUTED_VALUE"""),7063.0)</f>
        <v>7063</v>
      </c>
      <c r="B1145" s="97" t="str">
        <f>IFERROR(__xludf.DUMMYFUNCTION("""COMPUTED_VALUE"""),"KARTIO BL")</f>
        <v>KARTIO BL</v>
      </c>
      <c r="C1145" s="97" t="str">
        <f>IFERROR(__xludf.DUMMYFUNCTION("""COMPUTED_VALUE"""),"COLGANTE KARTIO BL 7,6W 3000K 139LM CRI&gt;90 IP20 LEUK")</f>
        <v>COLGANTE KARTIO BL 7,6W 3000K 139LM CRI&gt;90 IP20 LEUK</v>
      </c>
      <c r="D1145" s="97">
        <f>IFERROR(__xludf.DUMMYFUNCTION("""COMPUTED_VALUE"""),7.798413225822E12)</f>
        <v>7798413225822</v>
      </c>
      <c r="E1145" s="97" t="str">
        <f>IFERROR(__xludf.DUMMYFUNCTION("""COMPUTED_VALUE"""),"A186")</f>
        <v>A186</v>
      </c>
      <c r="F1145" s="97" t="str">
        <f>IFERROR(__xludf.DUMMYFUNCTION("""COMPUTED_VALUE"""),"LED SMD3030")</f>
        <v>LED SMD3030</v>
      </c>
      <c r="G1145" s="97" t="str">
        <f>IFERROR(__xludf.DUMMYFUNCTION("""COMPUTED_VALUE"""),"OSRAM")</f>
        <v>OSRAM</v>
      </c>
      <c r="H1145" s="97" t="str">
        <f>IFERROR(__xludf.DUMMYFUNCTION("""COMPUTED_VALUE"""),"-")</f>
        <v>-</v>
      </c>
      <c r="I1145" s="97"/>
      <c r="J1145" s="97"/>
      <c r="K1145" s="97" t="str">
        <f>IFERROR(__xludf.DUMMYFUNCTION("""COMPUTED_VALUE"""),"TRIAC")</f>
        <v>TRIAC</v>
      </c>
      <c r="L1145" s="97" t="str">
        <f>IFERROR(__xludf.DUMMYFUNCTION("""COMPUTED_VALUE"""),"220-240")</f>
        <v>220-240</v>
      </c>
      <c r="M1145" s="97" t="str">
        <f>IFERROR(__xludf.DUMMYFUNCTION("""COMPUTED_VALUE"""),"50/60")</f>
        <v>50/60</v>
      </c>
      <c r="N1145" s="97" t="str">
        <f>IFERROR(__xludf.DUMMYFUNCTION("""COMPUTED_VALUE"""),"Directa-Simétrica")</f>
        <v>Directa-Simétrica</v>
      </c>
      <c r="O1145" s="97">
        <f>IFERROR(__xludf.DUMMYFUNCTION("""COMPUTED_VALUE"""),7.6)</f>
        <v>7.6</v>
      </c>
      <c r="P1145" s="97"/>
      <c r="Q1145" s="97">
        <f>IFERROR(__xludf.DUMMYFUNCTION("""COMPUTED_VALUE"""),0.6)</f>
        <v>0.6</v>
      </c>
      <c r="R1145" s="97" t="str">
        <f>IFERROR(__xludf.DUMMYFUNCTION("""COMPUTED_VALUE"""),"-")</f>
        <v>-</v>
      </c>
      <c r="S1145" s="97" t="str">
        <f>IFERROR(__xludf.DUMMYFUNCTION("""COMPUTED_VALUE"""),"-")</f>
        <v>-</v>
      </c>
      <c r="T1145" s="97">
        <f>IFERROR(__xludf.DUMMYFUNCTION("""COMPUTED_VALUE"""),139.0)</f>
        <v>139</v>
      </c>
      <c r="U1145" s="99">
        <f>IFERROR(__xludf.DUMMYFUNCTION("""COMPUTED_VALUE"""),18.289473684210527)</f>
        <v>18.28947368</v>
      </c>
      <c r="V1145" s="97">
        <f>IFERROR(__xludf.DUMMYFUNCTION("""COMPUTED_VALUE"""),17.0)</f>
        <v>17</v>
      </c>
      <c r="W1145" s="97" t="str">
        <f>IFERROR(__xludf.DUMMYFUNCTION("""COMPUTED_VALUE"""),"&lt; 10")</f>
        <v>&lt; 10</v>
      </c>
      <c r="X1145" s="97">
        <f>IFERROR(__xludf.DUMMYFUNCTION("""COMPUTED_VALUE"""),3000.0)</f>
        <v>3000</v>
      </c>
      <c r="Y1145" s="97" t="str">
        <f>IFERROR(__xludf.DUMMYFUNCTION("""COMPUTED_VALUE"""),"&gt;90")</f>
        <v>&gt;90</v>
      </c>
      <c r="Z1145" s="97"/>
      <c r="AA1145" s="97"/>
      <c r="AB1145" s="97" t="str">
        <f>IFERROR(__xludf.DUMMYFUNCTION("""COMPUTED_VALUE"""),"-")</f>
        <v>-</v>
      </c>
      <c r="AC1145" s="97"/>
      <c r="AD1145" s="97" t="str">
        <f>IFERROR(__xludf.DUMMYFUNCTION("""COMPUTED_VALUE"""),"IP20")</f>
        <v>IP20</v>
      </c>
      <c r="AE1145" s="97" t="str">
        <f>IFERROR(__xludf.DUMMYFUNCTION("""COMPUTED_VALUE"""),"Clase l")</f>
        <v>Clase l</v>
      </c>
      <c r="AF1145" s="97" t="str">
        <f>IFERROR(__xludf.DUMMYFUNCTION("""COMPUTED_VALUE"""),"Suspender")</f>
        <v>Suspender</v>
      </c>
      <c r="AG1145" s="97" t="str">
        <f>IFERROR(__xludf.DUMMYFUNCTION("""COMPUTED_VALUE"""),"Ø84 x 90")</f>
        <v>Ø84 x 90</v>
      </c>
      <c r="AH1145" s="97" t="str">
        <f>IFERROR(__xludf.DUMMYFUNCTION("""COMPUTED_VALUE"""),"N/A")</f>
        <v>N/A</v>
      </c>
      <c r="AI1145" s="97" t="str">
        <f>IFERROR(__xludf.DUMMYFUNCTION("""COMPUTED_VALUE"""),"N/A")</f>
        <v>N/A</v>
      </c>
      <c r="AJ1145" s="97" t="str">
        <f>IFERROR(__xludf.DUMMYFUNCTION("""COMPUTED_VALUE"""),"PMMA")</f>
        <v>PMMA</v>
      </c>
      <c r="AK1145" s="97" t="str">
        <f>IFERROR(__xludf.DUMMYFUNCTION("""COMPUTED_VALUE"""),"Aluminio")</f>
        <v>Aluminio</v>
      </c>
      <c r="AL1145" s="97" t="str">
        <f>IFERROR(__xludf.DUMMYFUNCTION("""COMPUTED_VALUE"""),"Blanco Satinado")</f>
        <v>Blanco Satinado</v>
      </c>
      <c r="AM1145" s="97" t="str">
        <f>IFERROR(__xludf.DUMMYFUNCTION("""COMPUTED_VALUE"""),"-")</f>
        <v>-</v>
      </c>
      <c r="AN1145" s="97" t="str">
        <f>IFERROR(__xludf.DUMMYFUNCTION("""COMPUTED_VALUE"""),"30.000hs (L70)")</f>
        <v>30.000hs (L70)</v>
      </c>
      <c r="AO1145" s="97" t="str">
        <f>IFERROR(__xludf.DUMMYFUNCTION("""COMPUTED_VALUE"""),"3 Años")</f>
        <v>3 Años</v>
      </c>
      <c r="AP1145" s="97" t="str">
        <f>IFERROR(__xludf.DUMMYFUNCTION("""COMPUTED_VALUE"""),"Disponible")</f>
        <v>Disponible</v>
      </c>
      <c r="AQ1145" s="97" t="str">
        <f>IFERROR(__xludf.DUMMYFUNCTION("""COMPUTED_VALUE"""),"Disponible")</f>
        <v>Disponible</v>
      </c>
      <c r="AR1145" s="97" t="str">
        <f>IFERROR(__xludf.DUMMYFUNCTION("""COMPUTED_VALUE"""),"Disponible")</f>
        <v>Disponible</v>
      </c>
      <c r="AS1145" s="97"/>
      <c r="AT1145" s="97"/>
      <c r="AU1145" s="97" t="str">
        <f>IFERROR(__xludf.DUMMYFUNCTION("""COMPUTED_VALUE"""),"Falta")</f>
        <v>Falta</v>
      </c>
      <c r="AV1145" s="97" t="str">
        <f>IFERROR(__xludf.DUMMYFUNCTION("""COMPUTED_VALUE"""),"Colgante")</f>
        <v>Colgante</v>
      </c>
      <c r="AW1145" s="97" t="str">
        <f>IFERROR(__xludf.DUMMYFUNCTION("""COMPUTED_VALUE"""),"De Techo")</f>
        <v>De Techo</v>
      </c>
      <c r="AX1145" s="97" t="str">
        <f>IFERROR(__xludf.DUMMYFUNCTION("""COMPUTED_VALUE"""),"Interior")</f>
        <v>Interior</v>
      </c>
      <c r="AY1145" s="97" t="str">
        <f>IFERROR(__xludf.DUMMYFUNCTION("""COMPUTED_VALUE"""),"-")</f>
        <v>-</v>
      </c>
      <c r="AZ1145" s="97" t="str">
        <f>IFERROR(__xludf.DUMMYFUNCTION("""COMPUTED_VALUE"""),"Colgante de 1200mm. Florón: Ø50x130.")</f>
        <v>Colgante de 1200mm. Florón: Ø50x130.</v>
      </c>
      <c r="BA1145" s="97">
        <f>IFERROR(__xludf.DUMMYFUNCTION("""COMPUTED_VALUE"""),24.0)</f>
        <v>24</v>
      </c>
      <c r="BB1145" s="97" t="str">
        <f>IFERROR(__xludf.DUMMYFUNCTION("""COMPUTED_VALUE"""),"-")</f>
        <v>-</v>
      </c>
      <c r="BC1145" s="97" t="str">
        <f>IFERROR(__xludf.DUMMYFUNCTION("""COMPUTED_VALUE"""),"-")</f>
        <v>-</v>
      </c>
      <c r="BD1145" s="97" t="str">
        <f>IFERROR(__xludf.DUMMYFUNCTION("""COMPUTED_VALUE"""),"KARTIO")</f>
        <v>KARTIO</v>
      </c>
      <c r="BE1145" s="97" t="str">
        <f>IFERROR(__xludf.DUMMYFUNCTION("""COMPUTED_VALUE"""),"Finalizada")</f>
        <v>Finalizada</v>
      </c>
      <c r="BF1145" s="97"/>
      <c r="BG1145" s="97" t="str">
        <f>IFERROR(__xludf.DUMMYFUNCTION("""COMPUTED_VALUE"""),"Activo")</f>
        <v>Activo</v>
      </c>
    </row>
    <row r="1146">
      <c r="A1146" s="97">
        <f>IFERROR(__xludf.DUMMYFUNCTION("""COMPUTED_VALUE"""),7064.0)</f>
        <v>7064</v>
      </c>
      <c r="B1146" s="97" t="str">
        <f>IFERROR(__xludf.DUMMYFUNCTION("""COMPUTED_VALUE"""),"KARTIO NG")</f>
        <v>KARTIO NG</v>
      </c>
      <c r="C1146" s="97" t="str">
        <f>IFERROR(__xludf.DUMMYFUNCTION("""COMPUTED_VALUE"""),"COLGANTE KARTIO NG 7,6W 3000K 139LM CRI&gt;90 IP20 LEUK")</f>
        <v>COLGANTE KARTIO NG 7,6W 3000K 139LM CRI&gt;90 IP20 LEUK</v>
      </c>
      <c r="D1146" s="97">
        <f>IFERROR(__xludf.DUMMYFUNCTION("""COMPUTED_VALUE"""),7.798413225839E12)</f>
        <v>7798413225839</v>
      </c>
      <c r="E1146" s="97" t="str">
        <f>IFERROR(__xludf.DUMMYFUNCTION("""COMPUTED_VALUE"""),"A186")</f>
        <v>A186</v>
      </c>
      <c r="F1146" s="97" t="str">
        <f>IFERROR(__xludf.DUMMYFUNCTION("""COMPUTED_VALUE"""),"LED SMD3030")</f>
        <v>LED SMD3030</v>
      </c>
      <c r="G1146" s="97" t="str">
        <f>IFERROR(__xludf.DUMMYFUNCTION("""COMPUTED_VALUE"""),"OSRAM")</f>
        <v>OSRAM</v>
      </c>
      <c r="H1146" s="97" t="str">
        <f>IFERROR(__xludf.DUMMYFUNCTION("""COMPUTED_VALUE"""),"-")</f>
        <v>-</v>
      </c>
      <c r="I1146" s="97"/>
      <c r="J1146" s="97"/>
      <c r="K1146" s="97" t="str">
        <f>IFERROR(__xludf.DUMMYFUNCTION("""COMPUTED_VALUE"""),"TRIAC")</f>
        <v>TRIAC</v>
      </c>
      <c r="L1146" s="97" t="str">
        <f>IFERROR(__xludf.DUMMYFUNCTION("""COMPUTED_VALUE"""),"220-240")</f>
        <v>220-240</v>
      </c>
      <c r="M1146" s="97" t="str">
        <f>IFERROR(__xludf.DUMMYFUNCTION("""COMPUTED_VALUE"""),"50/60")</f>
        <v>50/60</v>
      </c>
      <c r="N1146" s="97" t="str">
        <f>IFERROR(__xludf.DUMMYFUNCTION("""COMPUTED_VALUE"""),"Directa")</f>
        <v>Directa</v>
      </c>
      <c r="O1146" s="97">
        <f>IFERROR(__xludf.DUMMYFUNCTION("""COMPUTED_VALUE"""),7.6)</f>
        <v>7.6</v>
      </c>
      <c r="P1146" s="97"/>
      <c r="Q1146" s="97">
        <f>IFERROR(__xludf.DUMMYFUNCTION("""COMPUTED_VALUE"""),0.6)</f>
        <v>0.6</v>
      </c>
      <c r="R1146" s="97" t="str">
        <f>IFERROR(__xludf.DUMMYFUNCTION("""COMPUTED_VALUE"""),"-")</f>
        <v>-</v>
      </c>
      <c r="S1146" s="97" t="str">
        <f>IFERROR(__xludf.DUMMYFUNCTION("""COMPUTED_VALUE"""),"-")</f>
        <v>-</v>
      </c>
      <c r="T1146" s="97">
        <f>IFERROR(__xludf.DUMMYFUNCTION("""COMPUTED_VALUE"""),139.0)</f>
        <v>139</v>
      </c>
      <c r="U1146" s="99">
        <f>IFERROR(__xludf.DUMMYFUNCTION("""COMPUTED_VALUE"""),18.289473684210527)</f>
        <v>18.28947368</v>
      </c>
      <c r="V1146" s="97">
        <f>IFERROR(__xludf.DUMMYFUNCTION("""COMPUTED_VALUE"""),17.0)</f>
        <v>17</v>
      </c>
      <c r="W1146" s="97" t="str">
        <f>IFERROR(__xludf.DUMMYFUNCTION("""COMPUTED_VALUE"""),"&lt; 10")</f>
        <v>&lt; 10</v>
      </c>
      <c r="X1146" s="97">
        <f>IFERROR(__xludf.DUMMYFUNCTION("""COMPUTED_VALUE"""),3000.0)</f>
        <v>3000</v>
      </c>
      <c r="Y1146" s="97" t="str">
        <f>IFERROR(__xludf.DUMMYFUNCTION("""COMPUTED_VALUE"""),"&gt;90")</f>
        <v>&gt;90</v>
      </c>
      <c r="Z1146" s="97"/>
      <c r="AA1146" s="97"/>
      <c r="AB1146" s="97" t="str">
        <f>IFERROR(__xludf.DUMMYFUNCTION("""COMPUTED_VALUE"""),"-")</f>
        <v>-</v>
      </c>
      <c r="AC1146" s="97"/>
      <c r="AD1146" s="97" t="str">
        <f>IFERROR(__xludf.DUMMYFUNCTION("""COMPUTED_VALUE"""),"IP20")</f>
        <v>IP20</v>
      </c>
      <c r="AE1146" s="97" t="str">
        <f>IFERROR(__xludf.DUMMYFUNCTION("""COMPUTED_VALUE"""),"Clase l")</f>
        <v>Clase l</v>
      </c>
      <c r="AF1146" s="97" t="str">
        <f>IFERROR(__xludf.DUMMYFUNCTION("""COMPUTED_VALUE"""),"Suspender")</f>
        <v>Suspender</v>
      </c>
      <c r="AG1146" s="97" t="str">
        <f>IFERROR(__xludf.DUMMYFUNCTION("""COMPUTED_VALUE"""),"Ø84 x 90")</f>
        <v>Ø84 x 90</v>
      </c>
      <c r="AH1146" s="97" t="str">
        <f>IFERROR(__xludf.DUMMYFUNCTION("""COMPUTED_VALUE"""),"N/A")</f>
        <v>N/A</v>
      </c>
      <c r="AI1146" s="97" t="str">
        <f>IFERROR(__xludf.DUMMYFUNCTION("""COMPUTED_VALUE"""),"N/A")</f>
        <v>N/A</v>
      </c>
      <c r="AJ1146" s="97" t="str">
        <f>IFERROR(__xludf.DUMMYFUNCTION("""COMPUTED_VALUE"""),"PMMA")</f>
        <v>PMMA</v>
      </c>
      <c r="AK1146" s="97" t="str">
        <f>IFERROR(__xludf.DUMMYFUNCTION("""COMPUTED_VALUE"""),"Aluminio")</f>
        <v>Aluminio</v>
      </c>
      <c r="AL1146" s="97" t="str">
        <f>IFERROR(__xludf.DUMMYFUNCTION("""COMPUTED_VALUE"""),"Negro Satinado")</f>
        <v>Negro Satinado</v>
      </c>
      <c r="AM1146" s="97" t="str">
        <f>IFERROR(__xludf.DUMMYFUNCTION("""COMPUTED_VALUE"""),"-")</f>
        <v>-</v>
      </c>
      <c r="AN1146" s="97" t="str">
        <f>IFERROR(__xludf.DUMMYFUNCTION("""COMPUTED_VALUE"""),"30.000hs (L70)")</f>
        <v>30.000hs (L70)</v>
      </c>
      <c r="AO1146" s="97" t="str">
        <f>IFERROR(__xludf.DUMMYFUNCTION("""COMPUTED_VALUE"""),"3 Años")</f>
        <v>3 Años</v>
      </c>
      <c r="AP1146" s="97" t="str">
        <f>IFERROR(__xludf.DUMMYFUNCTION("""COMPUTED_VALUE"""),"Disponible")</f>
        <v>Disponible</v>
      </c>
      <c r="AQ1146" s="97" t="str">
        <f>IFERROR(__xludf.DUMMYFUNCTION("""COMPUTED_VALUE"""),"Disponible")</f>
        <v>Disponible</v>
      </c>
      <c r="AR1146" s="97" t="str">
        <f>IFERROR(__xludf.DUMMYFUNCTION("""COMPUTED_VALUE"""),"Disponible")</f>
        <v>Disponible</v>
      </c>
      <c r="AS1146" s="97"/>
      <c r="AT1146" s="97"/>
      <c r="AU1146" s="97" t="str">
        <f>IFERROR(__xludf.DUMMYFUNCTION("""COMPUTED_VALUE"""),"Falta")</f>
        <v>Falta</v>
      </c>
      <c r="AV1146" s="97" t="str">
        <f>IFERROR(__xludf.DUMMYFUNCTION("""COMPUTED_VALUE"""),"Colgante")</f>
        <v>Colgante</v>
      </c>
      <c r="AW1146" s="97" t="str">
        <f>IFERROR(__xludf.DUMMYFUNCTION("""COMPUTED_VALUE"""),"De Techo")</f>
        <v>De Techo</v>
      </c>
      <c r="AX1146" s="97" t="str">
        <f>IFERROR(__xludf.DUMMYFUNCTION("""COMPUTED_VALUE"""),"Interior")</f>
        <v>Interior</v>
      </c>
      <c r="AY1146" s="97" t="str">
        <f>IFERROR(__xludf.DUMMYFUNCTION("""COMPUTED_VALUE"""),"-")</f>
        <v>-</v>
      </c>
      <c r="AZ1146" s="97" t="str">
        <f>IFERROR(__xludf.DUMMYFUNCTION("""COMPUTED_VALUE"""),"Colgante de 1200mm. Florón: Ø50x130.")</f>
        <v>Colgante de 1200mm. Florón: Ø50x130.</v>
      </c>
      <c r="BA1146" s="97">
        <f>IFERROR(__xludf.DUMMYFUNCTION("""COMPUTED_VALUE"""),24.0)</f>
        <v>24</v>
      </c>
      <c r="BB1146" s="97" t="str">
        <f>IFERROR(__xludf.DUMMYFUNCTION("""COMPUTED_VALUE"""),"-")</f>
        <v>-</v>
      </c>
      <c r="BC1146" s="97" t="str">
        <f>IFERROR(__xludf.DUMMYFUNCTION("""COMPUTED_VALUE"""),"-")</f>
        <v>-</v>
      </c>
      <c r="BD1146" s="97" t="str">
        <f>IFERROR(__xludf.DUMMYFUNCTION("""COMPUTED_VALUE"""),"KARTIO")</f>
        <v>KARTIO</v>
      </c>
      <c r="BE1146" s="97" t="str">
        <f>IFERROR(__xludf.DUMMYFUNCTION("""COMPUTED_VALUE"""),"Finalizada")</f>
        <v>Finalizada</v>
      </c>
      <c r="BF1146" s="97"/>
      <c r="BG1146" s="97" t="str">
        <f>IFERROR(__xludf.DUMMYFUNCTION("""COMPUTED_VALUE"""),"Activo")</f>
        <v>Activo</v>
      </c>
    </row>
    <row r="1147">
      <c r="A1147" s="97">
        <f>IFERROR(__xludf.DUMMYFUNCTION("""COMPUTED_VALUE"""),7065.0)</f>
        <v>7065</v>
      </c>
      <c r="B1147" s="97" t="str">
        <f>IFERROR(__xludf.DUMMYFUNCTION("""COMPUTED_VALUE"""),"LAIVA NG 3000K")</f>
        <v>LAIVA NG 3000K</v>
      </c>
      <c r="C1147" s="97" t="str">
        <f>IFERROR(__xludf.DUMMYFUNCTION("""COMPUTED_VALUE"""),"COLGANTE LAIVA NG 3000K 41W 3000K 3195LM CRI&gt;90 IP20 LEUK")</f>
        <v>COLGANTE LAIVA NG 3000K 41W 3000K 3195LM CRI&gt;90 IP20 LEUK</v>
      </c>
      <c r="D1147" s="97">
        <f>IFERROR(__xludf.DUMMYFUNCTION("""COMPUTED_VALUE"""),7.798413225846E12)</f>
        <v>7798413225846</v>
      </c>
      <c r="E1147" s="97" t="str">
        <f>IFERROR(__xludf.DUMMYFUNCTION("""COMPUTED_VALUE"""),"A110")</f>
        <v>A110</v>
      </c>
      <c r="F1147" s="97" t="str">
        <f>IFERROR(__xludf.DUMMYFUNCTION("""COMPUTED_VALUE"""),"LED SMD2835")</f>
        <v>LED SMD2835</v>
      </c>
      <c r="G1147" s="97" t="str">
        <f>IFERROR(__xludf.DUMMYFUNCTION("""COMPUTED_VALUE"""),"Edison")</f>
        <v>Edison</v>
      </c>
      <c r="H1147" s="97" t="str">
        <f>IFERROR(__xludf.DUMMYFUNCTION("""COMPUTED_VALUE"""),"Eaglerise")</f>
        <v>Eaglerise</v>
      </c>
      <c r="I1147" s="97"/>
      <c r="J1147" s="97" t="str">
        <f>IFERROR(__xludf.DUMMYFUNCTION("""COMPUTED_VALUE"""),"2 x Modelo: LS-40-700 LI EXC S
In: 220-240Vac 0.2A 50/60Hz
Out: 24-42Vdc 700mA - 29.4W
Pf 0.95")</f>
        <v>2 x Modelo: LS-40-700 LI EXC S
In: 220-240Vac 0.2A 50/60Hz
Out: 24-42Vdc 700mA - 29.4W
Pf 0.95</v>
      </c>
      <c r="K1147" s="97" t="str">
        <f>IFERROR(__xludf.DUMMYFUNCTION("""COMPUTED_VALUE"""),"ON/OFF")</f>
        <v>ON/OFF</v>
      </c>
      <c r="L1147" s="97" t="str">
        <f>IFERROR(__xludf.DUMMYFUNCTION("""COMPUTED_VALUE"""),"220-240")</f>
        <v>220-240</v>
      </c>
      <c r="M1147" s="97" t="str">
        <f>IFERROR(__xludf.DUMMYFUNCTION("""COMPUTED_VALUE"""),"50/60")</f>
        <v>50/60</v>
      </c>
      <c r="N1147" s="97" t="str">
        <f>IFERROR(__xludf.DUMMYFUNCTION("""COMPUTED_VALUE"""),"Directa")</f>
        <v>Directa</v>
      </c>
      <c r="O1147" s="97">
        <f>IFERROR(__xludf.DUMMYFUNCTION("""COMPUTED_VALUE"""),41.0)</f>
        <v>41</v>
      </c>
      <c r="P1147" s="97"/>
      <c r="Q1147" s="97">
        <f>IFERROR(__xludf.DUMMYFUNCTION("""COMPUTED_VALUE"""),0.95)</f>
        <v>0.95</v>
      </c>
      <c r="R1147" s="97" t="str">
        <f>IFERROR(__xludf.DUMMYFUNCTION("""COMPUTED_VALUE"""),"-")</f>
        <v>-</v>
      </c>
      <c r="S1147" s="97" t="str">
        <f>IFERROR(__xludf.DUMMYFUNCTION("""COMPUTED_VALUE"""),"-")</f>
        <v>-</v>
      </c>
      <c r="T1147" s="97">
        <f>IFERROR(__xludf.DUMMYFUNCTION("""COMPUTED_VALUE"""),3195.0)</f>
        <v>3195</v>
      </c>
      <c r="U1147" s="99">
        <f>IFERROR(__xludf.DUMMYFUNCTION("""COMPUTED_VALUE"""),77.92682926829268)</f>
        <v>77.92682927</v>
      </c>
      <c r="V1147" s="97">
        <f>IFERROR(__xludf.DUMMYFUNCTION("""COMPUTED_VALUE"""),26.0)</f>
        <v>26</v>
      </c>
      <c r="W1147" s="97" t="str">
        <f>IFERROR(__xludf.DUMMYFUNCTION("""COMPUTED_VALUE"""),"&lt; 14")</f>
        <v>&lt; 14</v>
      </c>
      <c r="X1147" s="97">
        <f>IFERROR(__xludf.DUMMYFUNCTION("""COMPUTED_VALUE"""),3000.0)</f>
        <v>3000</v>
      </c>
      <c r="Y1147" s="97" t="str">
        <f>IFERROR(__xludf.DUMMYFUNCTION("""COMPUTED_VALUE"""),"&gt;90")</f>
        <v>&gt;90</v>
      </c>
      <c r="Z1147" s="97" t="str">
        <f>IFERROR(__xludf.DUMMYFUNCTION("""COMPUTED_VALUE"""),"&gt;90")</f>
        <v>&gt;90</v>
      </c>
      <c r="AA1147" s="97" t="str">
        <f>IFERROR(__xludf.DUMMYFUNCTION("""COMPUTED_VALUE"""),"90-99 (Leve desaturación)")</f>
        <v>90-99 (Leve desaturación)</v>
      </c>
      <c r="AB1147" s="97" t="str">
        <f>IFERROR(__xludf.DUMMYFUNCTION("""COMPUTED_VALUE"""),"&lt; 2")</f>
        <v>&lt; 2</v>
      </c>
      <c r="AC1147" s="100" t="str">
        <f>IFERROR(__xludf.DUMMYFUNCTION("""COMPUTED_VALUE"""),"-0.00089")</f>
        <v>-0.00089</v>
      </c>
      <c r="AD1147" s="97" t="str">
        <f>IFERROR(__xludf.DUMMYFUNCTION("""COMPUTED_VALUE"""),"IP20")</f>
        <v>IP20</v>
      </c>
      <c r="AE1147" s="97" t="str">
        <f>IFERROR(__xludf.DUMMYFUNCTION("""COMPUTED_VALUE"""),"Clase l")</f>
        <v>Clase l</v>
      </c>
      <c r="AF1147" s="97" t="str">
        <f>IFERROR(__xludf.DUMMYFUNCTION("""COMPUTED_VALUE"""),"Suspender")</f>
        <v>Suspender</v>
      </c>
      <c r="AG1147" s="97" t="str">
        <f>IFERROR(__xludf.DUMMYFUNCTION("""COMPUTED_VALUE"""),"1600 x 105 x 58")</f>
        <v>1600 x 105 x 58</v>
      </c>
      <c r="AH1147" s="97" t="str">
        <f>IFERROR(__xludf.DUMMYFUNCTION("""COMPUTED_VALUE"""),"N/A")</f>
        <v>N/A</v>
      </c>
      <c r="AI1147" s="97" t="str">
        <f>IFERROR(__xludf.DUMMYFUNCTION("""COMPUTED_VALUE"""),"N/A")</f>
        <v>N/A</v>
      </c>
      <c r="AJ1147" s="97" t="str">
        <f>IFERROR(__xludf.DUMMYFUNCTION("""COMPUTED_VALUE"""),"PMMA")</f>
        <v>PMMA</v>
      </c>
      <c r="AK1147" s="97" t="str">
        <f>IFERROR(__xludf.DUMMYFUNCTION("""COMPUTED_VALUE"""),"Madera y Acero")</f>
        <v>Madera y Acero</v>
      </c>
      <c r="AL1147" s="97" t="str">
        <f>IFERROR(__xludf.DUMMYFUNCTION("""COMPUTED_VALUE"""),"Negro y Madera")</f>
        <v>Negro y Madera</v>
      </c>
      <c r="AM1147" s="97" t="str">
        <f>IFERROR(__xludf.DUMMYFUNCTION("""COMPUTED_VALUE"""),"-")</f>
        <v>-</v>
      </c>
      <c r="AN1147" s="97" t="str">
        <f>IFERROR(__xludf.DUMMYFUNCTION("""COMPUTED_VALUE"""),"50.000hs (L80)")</f>
        <v>50.000hs (L80)</v>
      </c>
      <c r="AO1147" s="97" t="str">
        <f>IFERROR(__xludf.DUMMYFUNCTION("""COMPUTED_VALUE"""),"3 Años")</f>
        <v>3 Años</v>
      </c>
      <c r="AP1147" s="97" t="str">
        <f>IFERROR(__xludf.DUMMYFUNCTION("""COMPUTED_VALUE"""),"Disponible")</f>
        <v>Disponible</v>
      </c>
      <c r="AQ1147" s="97" t="str">
        <f>IFERROR(__xludf.DUMMYFUNCTION("""COMPUTED_VALUE"""),"Disponible")</f>
        <v>Disponible</v>
      </c>
      <c r="AR1147" s="97" t="str">
        <f>IFERROR(__xludf.DUMMYFUNCTION("""COMPUTED_VALUE"""),"Disponible")</f>
        <v>Disponible</v>
      </c>
      <c r="AS1147" s="97" t="str">
        <f>IFERROR(__xludf.DUMMYFUNCTION("""COMPUTED_VALUE"""),"Disponible")</f>
        <v>Disponible</v>
      </c>
      <c r="AT1147" s="97" t="str">
        <f>IFERROR(__xludf.DUMMYFUNCTION("""COMPUTED_VALUE"""),"Disponible")</f>
        <v>Disponible</v>
      </c>
      <c r="AU1147" s="97" t="str">
        <f>IFERROR(__xludf.DUMMYFUNCTION("""COMPUTED_VALUE"""),"Disponible")</f>
        <v>Disponible</v>
      </c>
      <c r="AV1147" s="97" t="str">
        <f>IFERROR(__xludf.DUMMYFUNCTION("""COMPUTED_VALUE"""),"Colgante")</f>
        <v>Colgante</v>
      </c>
      <c r="AW1147" s="97" t="str">
        <f>IFERROR(__xludf.DUMMYFUNCTION("""COMPUTED_VALUE"""),"De Techo")</f>
        <v>De Techo</v>
      </c>
      <c r="AX1147" s="97" t="str">
        <f>IFERROR(__xludf.DUMMYFUNCTION("""COMPUTED_VALUE"""),"Interior")</f>
        <v>Interior</v>
      </c>
      <c r="AY1147" s="97" t="str">
        <f>IFERROR(__xludf.DUMMYFUNCTION("""COMPUTED_VALUE"""),"Confort Visual")</f>
        <v>Confort Visual</v>
      </c>
      <c r="AZ1147" s="97" t="str">
        <f>IFERROR(__xludf.DUMMYFUNCTION("""COMPUTED_VALUE"""),"Colgante de 2000mm. Florón: 650x50x20mm. Madera natural de fresno.")</f>
        <v>Colgante de 2000mm. Florón: 650x50x20mm. Madera natural de fresno.</v>
      </c>
      <c r="BA1147" s="97">
        <f>IFERROR(__xludf.DUMMYFUNCTION("""COMPUTED_VALUE"""),1.0)</f>
        <v>1</v>
      </c>
      <c r="BB1147" s="97" t="str">
        <f>IFERROR(__xludf.DUMMYFUNCTION("""COMPUTED_VALUE"""),"-")</f>
        <v>-</v>
      </c>
      <c r="BC1147" s="97" t="str">
        <f>IFERROR(__xludf.DUMMYFUNCTION("""COMPUTED_VALUE"""),"-")</f>
        <v>-</v>
      </c>
      <c r="BD1147" s="97" t="str">
        <f>IFERROR(__xludf.DUMMYFUNCTION("""COMPUTED_VALUE"""),"LAIVA")</f>
        <v>LAIVA</v>
      </c>
      <c r="BE1147" s="97" t="str">
        <f>IFERROR(__xludf.DUMMYFUNCTION("""COMPUTED_VALUE"""),"Finalizada")</f>
        <v>Finalizada</v>
      </c>
      <c r="BF1147" s="97">
        <f>IFERROR(__xludf.DUMMYFUNCTION("""COMPUTED_VALUE"""),7471.0)</f>
        <v>7471</v>
      </c>
      <c r="BG1147" s="97" t="str">
        <f>IFERROR(__xludf.DUMMYFUNCTION("""COMPUTED_VALUE"""),"En Salida")</f>
        <v>En Salida</v>
      </c>
    </row>
    <row r="1148">
      <c r="A1148" s="97">
        <f>IFERROR(__xludf.DUMMYFUNCTION("""COMPUTED_VALUE"""),7066.0)</f>
        <v>7066</v>
      </c>
      <c r="B1148" s="97" t="str">
        <f>IFERROR(__xludf.DUMMYFUNCTION("""COMPUTED_VALUE"""),"LAIVA NG 2700K")</f>
        <v>LAIVA NG 2700K</v>
      </c>
      <c r="C1148" s="97" t="str">
        <f>IFERROR(__xludf.DUMMYFUNCTION("""COMPUTED_VALUE"""),"COLGANTE LAIVA NG 2700K 41W 2700K 3195LM CRI&gt;90 IP20 LEUK")</f>
        <v>COLGANTE LAIVA NG 2700K 41W 2700K 3195LM CRI&gt;90 IP20 LEUK</v>
      </c>
      <c r="D1148" s="97">
        <f>IFERROR(__xludf.DUMMYFUNCTION("""COMPUTED_VALUE"""),7.798413225853E12)</f>
        <v>7798413225853</v>
      </c>
      <c r="E1148" s="97" t="str">
        <f>IFERROR(__xludf.DUMMYFUNCTION("""COMPUTED_VALUE"""),"A110")</f>
        <v>A110</v>
      </c>
      <c r="F1148" s="97" t="str">
        <f>IFERROR(__xludf.DUMMYFUNCTION("""COMPUTED_VALUE"""),"LED SMD2835")</f>
        <v>LED SMD2835</v>
      </c>
      <c r="G1148" s="97" t="str">
        <f>IFERROR(__xludf.DUMMYFUNCTION("""COMPUTED_VALUE"""),"Edison")</f>
        <v>Edison</v>
      </c>
      <c r="H1148" s="97" t="str">
        <f>IFERROR(__xludf.DUMMYFUNCTION("""COMPUTED_VALUE"""),"Eaglerise")</f>
        <v>Eaglerise</v>
      </c>
      <c r="I1148" s="97"/>
      <c r="J1148" s="97" t="str">
        <f>IFERROR(__xludf.DUMMYFUNCTION("""COMPUTED_VALUE"""),"2 x Modelo: LS-40-700 LI EXC S
In: 220-240Vac 0.2A 50/60Hz
Out: 24-42Vdc 700mA - 29.4W
Pf 0.95")</f>
        <v>2 x Modelo: LS-40-700 LI EXC S
In: 220-240Vac 0.2A 50/60Hz
Out: 24-42Vdc 700mA - 29.4W
Pf 0.95</v>
      </c>
      <c r="K1148" s="97" t="str">
        <f>IFERROR(__xludf.DUMMYFUNCTION("""COMPUTED_VALUE"""),"ON/OFF")</f>
        <v>ON/OFF</v>
      </c>
      <c r="L1148" s="97" t="str">
        <f>IFERROR(__xludf.DUMMYFUNCTION("""COMPUTED_VALUE"""),"220-240")</f>
        <v>220-240</v>
      </c>
      <c r="M1148" s="97" t="str">
        <f>IFERROR(__xludf.DUMMYFUNCTION("""COMPUTED_VALUE"""),"50/60")</f>
        <v>50/60</v>
      </c>
      <c r="N1148" s="97" t="str">
        <f>IFERROR(__xludf.DUMMYFUNCTION("""COMPUTED_VALUE"""),"Directa")</f>
        <v>Directa</v>
      </c>
      <c r="O1148" s="97">
        <f>IFERROR(__xludf.DUMMYFUNCTION("""COMPUTED_VALUE"""),41.0)</f>
        <v>41</v>
      </c>
      <c r="P1148" s="97"/>
      <c r="Q1148" s="97">
        <f>IFERROR(__xludf.DUMMYFUNCTION("""COMPUTED_VALUE"""),0.95)</f>
        <v>0.95</v>
      </c>
      <c r="R1148" s="97" t="str">
        <f>IFERROR(__xludf.DUMMYFUNCTION("""COMPUTED_VALUE"""),"-")</f>
        <v>-</v>
      </c>
      <c r="S1148" s="97" t="str">
        <f>IFERROR(__xludf.DUMMYFUNCTION("""COMPUTED_VALUE"""),"-")</f>
        <v>-</v>
      </c>
      <c r="T1148" s="97">
        <f>IFERROR(__xludf.DUMMYFUNCTION("""COMPUTED_VALUE"""),3195.0)</f>
        <v>3195</v>
      </c>
      <c r="U1148" s="99">
        <f>IFERROR(__xludf.DUMMYFUNCTION("""COMPUTED_VALUE"""),77.92682926829268)</f>
        <v>77.92682927</v>
      </c>
      <c r="V1148" s="97">
        <f>IFERROR(__xludf.DUMMYFUNCTION("""COMPUTED_VALUE"""),26.0)</f>
        <v>26</v>
      </c>
      <c r="W1148" s="97" t="str">
        <f>IFERROR(__xludf.DUMMYFUNCTION("""COMPUTED_VALUE"""),"&lt; 14")</f>
        <v>&lt; 14</v>
      </c>
      <c r="X1148" s="97">
        <f>IFERROR(__xludf.DUMMYFUNCTION("""COMPUTED_VALUE"""),2700.0)</f>
        <v>2700</v>
      </c>
      <c r="Y1148" s="97" t="str">
        <f>IFERROR(__xludf.DUMMYFUNCTION("""COMPUTED_VALUE"""),"&gt;90")</f>
        <v>&gt;90</v>
      </c>
      <c r="Z1148" s="97" t="str">
        <f>IFERROR(__xludf.DUMMYFUNCTION("""COMPUTED_VALUE"""),"&gt;90")</f>
        <v>&gt;90</v>
      </c>
      <c r="AA1148" s="97" t="str">
        <f>IFERROR(__xludf.DUMMYFUNCTION("""COMPUTED_VALUE"""),"90-99 (Leve desaturación)")</f>
        <v>90-99 (Leve desaturación)</v>
      </c>
      <c r="AB1148" s="97" t="str">
        <f>IFERROR(__xludf.DUMMYFUNCTION("""COMPUTED_VALUE"""),"&lt; 2")</f>
        <v>&lt; 2</v>
      </c>
      <c r="AC1148" s="100" t="str">
        <f>IFERROR(__xludf.DUMMYFUNCTION("""COMPUTED_VALUE"""),"-0.00089")</f>
        <v>-0.00089</v>
      </c>
      <c r="AD1148" s="97" t="str">
        <f>IFERROR(__xludf.DUMMYFUNCTION("""COMPUTED_VALUE"""),"IP20")</f>
        <v>IP20</v>
      </c>
      <c r="AE1148" s="97" t="str">
        <f>IFERROR(__xludf.DUMMYFUNCTION("""COMPUTED_VALUE"""),"Clase l")</f>
        <v>Clase l</v>
      </c>
      <c r="AF1148" s="97" t="str">
        <f>IFERROR(__xludf.DUMMYFUNCTION("""COMPUTED_VALUE"""),"Suspender")</f>
        <v>Suspender</v>
      </c>
      <c r="AG1148" s="97" t="str">
        <f>IFERROR(__xludf.DUMMYFUNCTION("""COMPUTED_VALUE"""),"1600 x 105 x 58")</f>
        <v>1600 x 105 x 58</v>
      </c>
      <c r="AH1148" s="97" t="str">
        <f>IFERROR(__xludf.DUMMYFUNCTION("""COMPUTED_VALUE"""),"N/A")</f>
        <v>N/A</v>
      </c>
      <c r="AI1148" s="97" t="str">
        <f>IFERROR(__xludf.DUMMYFUNCTION("""COMPUTED_VALUE"""),"N/A")</f>
        <v>N/A</v>
      </c>
      <c r="AJ1148" s="97" t="str">
        <f>IFERROR(__xludf.DUMMYFUNCTION("""COMPUTED_VALUE"""),"PMMA")</f>
        <v>PMMA</v>
      </c>
      <c r="AK1148" s="97" t="str">
        <f>IFERROR(__xludf.DUMMYFUNCTION("""COMPUTED_VALUE"""),"Madera y Acero")</f>
        <v>Madera y Acero</v>
      </c>
      <c r="AL1148" s="97" t="str">
        <f>IFERROR(__xludf.DUMMYFUNCTION("""COMPUTED_VALUE"""),"Negro y Madera")</f>
        <v>Negro y Madera</v>
      </c>
      <c r="AM1148" s="97" t="str">
        <f>IFERROR(__xludf.DUMMYFUNCTION("""COMPUTED_VALUE"""),"-")</f>
        <v>-</v>
      </c>
      <c r="AN1148" s="97" t="str">
        <f>IFERROR(__xludf.DUMMYFUNCTION("""COMPUTED_VALUE"""),"50.000hs (L80)")</f>
        <v>50.000hs (L80)</v>
      </c>
      <c r="AO1148" s="97" t="str">
        <f>IFERROR(__xludf.DUMMYFUNCTION("""COMPUTED_VALUE"""),"3 Años")</f>
        <v>3 Años</v>
      </c>
      <c r="AP1148" s="97" t="str">
        <f>IFERROR(__xludf.DUMMYFUNCTION("""COMPUTED_VALUE"""),"Disponible")</f>
        <v>Disponible</v>
      </c>
      <c r="AQ1148" s="97" t="str">
        <f>IFERROR(__xludf.DUMMYFUNCTION("""COMPUTED_VALUE"""),"Disponible")</f>
        <v>Disponible</v>
      </c>
      <c r="AR1148" s="97" t="str">
        <f>IFERROR(__xludf.DUMMYFUNCTION("""COMPUTED_VALUE"""),"Disponible")</f>
        <v>Disponible</v>
      </c>
      <c r="AS1148" s="97" t="str">
        <f>IFERROR(__xludf.DUMMYFUNCTION("""COMPUTED_VALUE"""),"Disponible")</f>
        <v>Disponible</v>
      </c>
      <c r="AT1148" s="97" t="str">
        <f>IFERROR(__xludf.DUMMYFUNCTION("""COMPUTED_VALUE"""),"Disponible")</f>
        <v>Disponible</v>
      </c>
      <c r="AU1148" s="97" t="str">
        <f>IFERROR(__xludf.DUMMYFUNCTION("""COMPUTED_VALUE"""),"Disponible")</f>
        <v>Disponible</v>
      </c>
      <c r="AV1148" s="97" t="str">
        <f>IFERROR(__xludf.DUMMYFUNCTION("""COMPUTED_VALUE"""),"Colgante")</f>
        <v>Colgante</v>
      </c>
      <c r="AW1148" s="97" t="str">
        <f>IFERROR(__xludf.DUMMYFUNCTION("""COMPUTED_VALUE"""),"De Techo")</f>
        <v>De Techo</v>
      </c>
      <c r="AX1148" s="97" t="str">
        <f>IFERROR(__xludf.DUMMYFUNCTION("""COMPUTED_VALUE"""),"Interior")</f>
        <v>Interior</v>
      </c>
      <c r="AY1148" s="97" t="str">
        <f>IFERROR(__xludf.DUMMYFUNCTION("""COMPUTED_VALUE"""),"Confort Visual")</f>
        <v>Confort Visual</v>
      </c>
      <c r="AZ1148" s="97" t="str">
        <f>IFERROR(__xludf.DUMMYFUNCTION("""COMPUTED_VALUE"""),"Colgante de 2000mm. Florón: 650x50x20mm. Madera natural de fresno.")</f>
        <v>Colgante de 2000mm. Florón: 650x50x20mm. Madera natural de fresno.</v>
      </c>
      <c r="BA1148" s="97">
        <f>IFERROR(__xludf.DUMMYFUNCTION("""COMPUTED_VALUE"""),1.0)</f>
        <v>1</v>
      </c>
      <c r="BB1148" s="97" t="str">
        <f>IFERROR(__xludf.DUMMYFUNCTION("""COMPUTED_VALUE"""),"-")</f>
        <v>-</v>
      </c>
      <c r="BC1148" s="97" t="str">
        <f>IFERROR(__xludf.DUMMYFUNCTION("""COMPUTED_VALUE"""),"-")</f>
        <v>-</v>
      </c>
      <c r="BD1148" s="97" t="str">
        <f>IFERROR(__xludf.DUMMYFUNCTION("""COMPUTED_VALUE"""),"LAIVA")</f>
        <v>LAIVA</v>
      </c>
      <c r="BE1148" s="97" t="str">
        <f>IFERROR(__xludf.DUMMYFUNCTION("""COMPUTED_VALUE"""),"Finalizada")</f>
        <v>Finalizada</v>
      </c>
      <c r="BF1148" s="97">
        <f>IFERROR(__xludf.DUMMYFUNCTION("""COMPUTED_VALUE"""),7472.0)</f>
        <v>7472</v>
      </c>
      <c r="BG1148" s="97" t="str">
        <f>IFERROR(__xludf.DUMMYFUNCTION("""COMPUTED_VALUE"""),"En Salida")</f>
        <v>En Salida</v>
      </c>
    </row>
    <row r="1149">
      <c r="A1149" s="97">
        <f>IFERROR(__xludf.DUMMYFUNCTION("""COMPUTED_VALUE"""),7067.0)</f>
        <v>7067</v>
      </c>
      <c r="B1149" s="97" t="str">
        <f>IFERROR(__xludf.DUMMYFUNCTION("""COMPUTED_VALUE"""),"ULÁN NG")</f>
        <v>ULÁN NG</v>
      </c>
      <c r="C1149" s="97" t="str">
        <f>IFERROR(__xludf.DUMMYFUNCTION("""COMPUTED_VALUE"""),"COLGANTE ULÁN NG 12W 3000K 278LM CRI&gt;90 IP20 LEUK")</f>
        <v>COLGANTE ULÁN NG 12W 3000K 278LM CRI&gt;90 IP20 LEUK</v>
      </c>
      <c r="D1149" s="97">
        <f>IFERROR(__xludf.DUMMYFUNCTION("""COMPUTED_VALUE"""),7.79841322586E12)</f>
        <v>7798413225860</v>
      </c>
      <c r="E1149" s="97" t="str">
        <f>IFERROR(__xludf.DUMMYFUNCTION("""COMPUTED_VALUE"""),"A164")</f>
        <v>A164</v>
      </c>
      <c r="F1149" s="97" t="str">
        <f>IFERROR(__xludf.DUMMYFUNCTION("""COMPUTED_VALUE"""),"LED SMD")</f>
        <v>LED SMD</v>
      </c>
      <c r="G1149" s="97" t="str">
        <f>IFERROR(__xludf.DUMMYFUNCTION("""COMPUTED_VALUE"""),"Lumileds")</f>
        <v>Lumileds</v>
      </c>
      <c r="H1149" s="97" t="str">
        <f>IFERROR(__xludf.DUMMYFUNCTION("""COMPUTED_VALUE"""),"AcTEC")</f>
        <v>AcTEC</v>
      </c>
      <c r="I1149" s="97"/>
      <c r="J1149" s="97" t="str">
        <f>IFERROR(__xludf.DUMMYFUNCTION("""COMPUTED_VALUE"""),"Modelo: RS-12-300T Dimm
In: 220-240Vac 0.08A 50/60Hz
Out: 20-40Vdc 300mA - 12W
Pf 0.95 tc 85°C Ta -20a60°C")</f>
        <v>Modelo: RS-12-300T Dimm
In: 220-240Vac 0.08A 50/60Hz
Out: 20-40Vdc 300mA - 12W
Pf 0.95 tc 85°C Ta -20a60°C</v>
      </c>
      <c r="K1149" s="97" t="str">
        <f>IFERROR(__xludf.DUMMYFUNCTION("""COMPUTED_VALUE"""),"TRIAC")</f>
        <v>TRIAC</v>
      </c>
      <c r="L1149" s="97" t="str">
        <f>IFERROR(__xludf.DUMMYFUNCTION("""COMPUTED_VALUE"""),"220-240")</f>
        <v>220-240</v>
      </c>
      <c r="M1149" s="97" t="str">
        <f>IFERROR(__xludf.DUMMYFUNCTION("""COMPUTED_VALUE"""),"50/60")</f>
        <v>50/60</v>
      </c>
      <c r="N1149" s="97" t="str">
        <f>IFERROR(__xludf.DUMMYFUNCTION("""COMPUTED_VALUE"""),"Directa-Simétrica")</f>
        <v>Directa-Simétrica</v>
      </c>
      <c r="O1149" s="97">
        <f>IFERROR(__xludf.DUMMYFUNCTION("""COMPUTED_VALUE"""),12.0)</f>
        <v>12</v>
      </c>
      <c r="P1149" s="97"/>
      <c r="Q1149" s="97">
        <f>IFERROR(__xludf.DUMMYFUNCTION("""COMPUTED_VALUE"""),0.95)</f>
        <v>0.95</v>
      </c>
      <c r="R1149" s="97" t="str">
        <f>IFERROR(__xludf.DUMMYFUNCTION("""COMPUTED_VALUE"""),"-")</f>
        <v>-</v>
      </c>
      <c r="S1149" s="97" t="str">
        <f>IFERROR(__xludf.DUMMYFUNCTION("""COMPUTED_VALUE"""),"-")</f>
        <v>-</v>
      </c>
      <c r="T1149" s="97">
        <f>IFERROR(__xludf.DUMMYFUNCTION("""COMPUTED_VALUE"""),278.0)</f>
        <v>278</v>
      </c>
      <c r="U1149" s="99">
        <f>IFERROR(__xludf.DUMMYFUNCTION("""COMPUTED_VALUE"""),23.166666666666668)</f>
        <v>23.16666667</v>
      </c>
      <c r="V1149" s="97">
        <f>IFERROR(__xludf.DUMMYFUNCTION("""COMPUTED_VALUE"""),67.0)</f>
        <v>67</v>
      </c>
      <c r="W1149" s="97" t="str">
        <f>IFERROR(__xludf.DUMMYFUNCTION("""COMPUTED_VALUE"""),"&lt; 10")</f>
        <v>&lt; 10</v>
      </c>
      <c r="X1149" s="97">
        <f>IFERROR(__xludf.DUMMYFUNCTION("""COMPUTED_VALUE"""),3000.0)</f>
        <v>3000</v>
      </c>
      <c r="Y1149" s="97" t="str">
        <f>IFERROR(__xludf.DUMMYFUNCTION("""COMPUTED_VALUE"""),"&gt;90")</f>
        <v>&gt;90</v>
      </c>
      <c r="Z1149" s="97"/>
      <c r="AA1149" s="97"/>
      <c r="AB1149" s="97" t="str">
        <f>IFERROR(__xludf.DUMMYFUNCTION("""COMPUTED_VALUE"""),"&lt; 2")</f>
        <v>&lt; 2</v>
      </c>
      <c r="AC1149" s="97"/>
      <c r="AD1149" s="97" t="str">
        <f>IFERROR(__xludf.DUMMYFUNCTION("""COMPUTED_VALUE"""),"IP20")</f>
        <v>IP20</v>
      </c>
      <c r="AE1149" s="97" t="str">
        <f>IFERROR(__xludf.DUMMYFUNCTION("""COMPUTED_VALUE"""),"Clase l")</f>
        <v>Clase l</v>
      </c>
      <c r="AF1149" s="97" t="str">
        <f>IFERROR(__xludf.DUMMYFUNCTION("""COMPUTED_VALUE"""),"Suspender")</f>
        <v>Suspender</v>
      </c>
      <c r="AG1149" s="97" t="str">
        <f>IFERROR(__xludf.DUMMYFUNCTION("""COMPUTED_VALUE"""),"Ø495 x 300")</f>
        <v>Ø495 x 300</v>
      </c>
      <c r="AH1149" s="97" t="str">
        <f>IFERROR(__xludf.DUMMYFUNCTION("""COMPUTED_VALUE"""),"N/A")</f>
        <v>N/A</v>
      </c>
      <c r="AI1149" s="97" t="str">
        <f>IFERROR(__xludf.DUMMYFUNCTION("""COMPUTED_VALUE"""),"N/A")</f>
        <v>N/A</v>
      </c>
      <c r="AJ1149" s="97" t="str">
        <f>IFERROR(__xludf.DUMMYFUNCTION("""COMPUTED_VALUE"""),"PMMA")</f>
        <v>PMMA</v>
      </c>
      <c r="AK1149" s="97" t="str">
        <f>IFERROR(__xludf.DUMMYFUNCTION("""COMPUTED_VALUE"""),"Fieltro y Aluminio")</f>
        <v>Fieltro y Aluminio</v>
      </c>
      <c r="AL1149" s="97" t="str">
        <f>IFERROR(__xludf.DUMMYFUNCTION("""COMPUTED_VALUE"""),"Negro Mate")</f>
        <v>Negro Mate</v>
      </c>
      <c r="AM1149" s="97" t="str">
        <f>IFERROR(__xludf.DUMMYFUNCTION("""COMPUTED_VALUE"""),"-")</f>
        <v>-</v>
      </c>
      <c r="AN1149" s="97" t="str">
        <f>IFERROR(__xludf.DUMMYFUNCTION("""COMPUTED_VALUE"""),"30.000hs (L70)")</f>
        <v>30.000hs (L70)</v>
      </c>
      <c r="AO1149" s="97" t="str">
        <f>IFERROR(__xludf.DUMMYFUNCTION("""COMPUTED_VALUE"""),"3 Años")</f>
        <v>3 Años</v>
      </c>
      <c r="AP1149" s="97" t="str">
        <f>IFERROR(__xludf.DUMMYFUNCTION("""COMPUTED_VALUE"""),"Disponible")</f>
        <v>Disponible</v>
      </c>
      <c r="AQ1149" s="97" t="str">
        <f>IFERROR(__xludf.DUMMYFUNCTION("""COMPUTED_VALUE"""),"Disponible")</f>
        <v>Disponible</v>
      </c>
      <c r="AR1149" s="97" t="str">
        <f>IFERROR(__xludf.DUMMYFUNCTION("""COMPUTED_VALUE"""),"Disponible")</f>
        <v>Disponible</v>
      </c>
      <c r="AS1149" s="97" t="str">
        <f>IFERROR(__xludf.DUMMYFUNCTION("""COMPUTED_VALUE"""),"Falta")</f>
        <v>Falta</v>
      </c>
      <c r="AT1149" s="97" t="str">
        <f>IFERROR(__xludf.DUMMYFUNCTION("""COMPUTED_VALUE"""),"Falta")</f>
        <v>Falta</v>
      </c>
      <c r="AU1149" s="97" t="str">
        <f>IFERROR(__xludf.DUMMYFUNCTION("""COMPUTED_VALUE"""),"Falta")</f>
        <v>Falta</v>
      </c>
      <c r="AV1149" s="97" t="str">
        <f>IFERROR(__xludf.DUMMYFUNCTION("""COMPUTED_VALUE"""),"Colgante")</f>
        <v>Colgante</v>
      </c>
      <c r="AW1149" s="97" t="str">
        <f>IFERROR(__xludf.DUMMYFUNCTION("""COMPUTED_VALUE"""),"De Techo")</f>
        <v>De Techo</v>
      </c>
      <c r="AX1149" s="97" t="str">
        <f>IFERROR(__xludf.DUMMYFUNCTION("""COMPUTED_VALUE"""),"Interior")</f>
        <v>Interior</v>
      </c>
      <c r="AY1149" s="97" t="str">
        <f>IFERROR(__xludf.DUMMYFUNCTION("""COMPUTED_VALUE"""),"Fieltro")</f>
        <v>Fieltro</v>
      </c>
      <c r="AZ1149" s="97" t="str">
        <f>IFERROR(__xludf.DUMMYFUNCTION("""COMPUTED_VALUE"""),"Largo total 2000mm. Florón: Ø120 x 70mm.")</f>
        <v>Largo total 2000mm. Florón: Ø120 x 70mm.</v>
      </c>
      <c r="BA1149" s="97">
        <f>IFERROR(__xludf.DUMMYFUNCTION("""COMPUTED_VALUE"""),1.0)</f>
        <v>1</v>
      </c>
      <c r="BB1149" s="97" t="str">
        <f>IFERROR(__xludf.DUMMYFUNCTION("""COMPUTED_VALUE"""),"-")</f>
        <v>-</v>
      </c>
      <c r="BC1149" s="97" t="str">
        <f>IFERROR(__xludf.DUMMYFUNCTION("""COMPUTED_VALUE"""),"-")</f>
        <v>-</v>
      </c>
      <c r="BD1149" s="97" t="str">
        <f>IFERROR(__xludf.DUMMYFUNCTION("""COMPUTED_VALUE"""),"ULÁN")</f>
        <v>ULÁN</v>
      </c>
      <c r="BE1149" s="97" t="str">
        <f>IFERROR(__xludf.DUMMYFUNCTION("""COMPUTED_VALUE"""),"Finalizada")</f>
        <v>Finalizada</v>
      </c>
      <c r="BF1149" s="97"/>
      <c r="BG1149" s="97" t="str">
        <f>IFERROR(__xludf.DUMMYFUNCTION("""COMPUTED_VALUE"""),"Activo")</f>
        <v>Activo</v>
      </c>
    </row>
    <row r="1150">
      <c r="A1150" s="97">
        <f>IFERROR(__xludf.DUMMYFUNCTION("""COMPUTED_VALUE"""),7068.0)</f>
        <v>7068</v>
      </c>
      <c r="B1150" s="97" t="str">
        <f>IFERROR(__xludf.DUMMYFUNCTION("""COMPUTED_VALUE"""),"BATOR NG")</f>
        <v>BATOR NG</v>
      </c>
      <c r="C1150" s="97" t="str">
        <f>IFERROR(__xludf.DUMMYFUNCTION("""COMPUTED_VALUE"""),"COLGANTE BATOR NG 12W 3000K 730LM CRI&gt;90 IP20 LEUK")</f>
        <v>COLGANTE BATOR NG 12W 3000K 730LM CRI&gt;90 IP20 LEUK</v>
      </c>
      <c r="D1150" s="97">
        <f>IFERROR(__xludf.DUMMYFUNCTION("""COMPUTED_VALUE"""),7.798413225877E12)</f>
        <v>7798413225877</v>
      </c>
      <c r="E1150" s="97" t="str">
        <f>IFERROR(__xludf.DUMMYFUNCTION("""COMPUTED_VALUE"""),"A165")</f>
        <v>A165</v>
      </c>
      <c r="F1150" s="97" t="str">
        <f>IFERROR(__xludf.DUMMYFUNCTION("""COMPUTED_VALUE"""),"LED SMD")</f>
        <v>LED SMD</v>
      </c>
      <c r="G1150" s="97" t="str">
        <f>IFERROR(__xludf.DUMMYFUNCTION("""COMPUTED_VALUE"""),"Lumileds")</f>
        <v>Lumileds</v>
      </c>
      <c r="H1150" s="97" t="str">
        <f>IFERROR(__xludf.DUMMYFUNCTION("""COMPUTED_VALUE"""),"AcTEC")</f>
        <v>AcTEC</v>
      </c>
      <c r="I1150" s="97"/>
      <c r="J1150" s="97" t="str">
        <f>IFERROR(__xludf.DUMMYFUNCTION("""COMPUTED_VALUE"""),"Modelo: RS-12-300T Dimm
In: 220-240Vac 0.08A 50/60Hz
Out: 20-40Vdc 300mA - 12W
Pf 0.95 Tc 85°C Ta -20 a 60°C")</f>
        <v>Modelo: RS-12-300T Dimm
In: 220-240Vac 0.08A 50/60Hz
Out: 20-40Vdc 300mA - 12W
Pf 0.95 Tc 85°C Ta -20 a 60°C</v>
      </c>
      <c r="K1150" s="97" t="str">
        <f>IFERROR(__xludf.DUMMYFUNCTION("""COMPUTED_VALUE"""),"TRIAC")</f>
        <v>TRIAC</v>
      </c>
      <c r="L1150" s="97" t="str">
        <f>IFERROR(__xludf.DUMMYFUNCTION("""COMPUTED_VALUE"""),"220-240")</f>
        <v>220-240</v>
      </c>
      <c r="M1150" s="97" t="str">
        <f>IFERROR(__xludf.DUMMYFUNCTION("""COMPUTED_VALUE"""),"50/60")</f>
        <v>50/60</v>
      </c>
      <c r="N1150" s="97" t="str">
        <f>IFERROR(__xludf.DUMMYFUNCTION("""COMPUTED_VALUE"""),"Directa-Simétrica")</f>
        <v>Directa-Simétrica</v>
      </c>
      <c r="O1150" s="97">
        <f>IFERROR(__xludf.DUMMYFUNCTION("""COMPUTED_VALUE"""),12.0)</f>
        <v>12</v>
      </c>
      <c r="P1150" s="97"/>
      <c r="Q1150" s="97">
        <f>IFERROR(__xludf.DUMMYFUNCTION("""COMPUTED_VALUE"""),0.95)</f>
        <v>0.95</v>
      </c>
      <c r="R1150" s="97" t="str">
        <f>IFERROR(__xludf.DUMMYFUNCTION("""COMPUTED_VALUE"""),"-")</f>
        <v>-</v>
      </c>
      <c r="S1150" s="97" t="str">
        <f>IFERROR(__xludf.DUMMYFUNCTION("""COMPUTED_VALUE"""),"-")</f>
        <v>-</v>
      </c>
      <c r="T1150" s="97">
        <f>IFERROR(__xludf.DUMMYFUNCTION("""COMPUTED_VALUE"""),730.0)</f>
        <v>730</v>
      </c>
      <c r="U1150" s="99">
        <f>IFERROR(__xludf.DUMMYFUNCTION("""COMPUTED_VALUE"""),60.833333333333336)</f>
        <v>60.83333333</v>
      </c>
      <c r="V1150" s="97">
        <f>IFERROR(__xludf.DUMMYFUNCTION("""COMPUTED_VALUE"""),98.0)</f>
        <v>98</v>
      </c>
      <c r="W1150" s="97" t="str">
        <f>IFERROR(__xludf.DUMMYFUNCTION("""COMPUTED_VALUE"""),"&lt; 16")</f>
        <v>&lt; 16</v>
      </c>
      <c r="X1150" s="97">
        <f>IFERROR(__xludf.DUMMYFUNCTION("""COMPUTED_VALUE"""),3000.0)</f>
        <v>3000</v>
      </c>
      <c r="Y1150" s="97" t="str">
        <f>IFERROR(__xludf.DUMMYFUNCTION("""COMPUTED_VALUE"""),"&gt;90")</f>
        <v>&gt;90</v>
      </c>
      <c r="Z1150" s="97"/>
      <c r="AA1150" s="97"/>
      <c r="AB1150" s="97" t="str">
        <f>IFERROR(__xludf.DUMMYFUNCTION("""COMPUTED_VALUE"""),"&lt; 2")</f>
        <v>&lt; 2</v>
      </c>
      <c r="AC1150" s="97"/>
      <c r="AD1150" s="97" t="str">
        <f>IFERROR(__xludf.DUMMYFUNCTION("""COMPUTED_VALUE"""),"IP20")</f>
        <v>IP20</v>
      </c>
      <c r="AE1150" s="97" t="str">
        <f>IFERROR(__xludf.DUMMYFUNCTION("""COMPUTED_VALUE"""),"Clase l")</f>
        <v>Clase l</v>
      </c>
      <c r="AF1150" s="97" t="str">
        <f>IFERROR(__xludf.DUMMYFUNCTION("""COMPUTED_VALUE"""),"Suspender")</f>
        <v>Suspender</v>
      </c>
      <c r="AG1150" s="97" t="str">
        <f>IFERROR(__xludf.DUMMYFUNCTION("""COMPUTED_VALUE"""),"Ø495 x 220")</f>
        <v>Ø495 x 220</v>
      </c>
      <c r="AH1150" s="97" t="str">
        <f>IFERROR(__xludf.DUMMYFUNCTION("""COMPUTED_VALUE"""),"N/A")</f>
        <v>N/A</v>
      </c>
      <c r="AI1150" s="97" t="str">
        <f>IFERROR(__xludf.DUMMYFUNCTION("""COMPUTED_VALUE"""),"N/A")</f>
        <v>N/A</v>
      </c>
      <c r="AJ1150" s="97" t="str">
        <f>IFERROR(__xludf.DUMMYFUNCTION("""COMPUTED_VALUE"""),"PMMA")</f>
        <v>PMMA</v>
      </c>
      <c r="AK1150" s="97" t="str">
        <f>IFERROR(__xludf.DUMMYFUNCTION("""COMPUTED_VALUE"""),"Fieltro y Aluminio")</f>
        <v>Fieltro y Aluminio</v>
      </c>
      <c r="AL1150" s="97" t="str">
        <f>IFERROR(__xludf.DUMMYFUNCTION("""COMPUTED_VALUE"""),"Negro Mate")</f>
        <v>Negro Mate</v>
      </c>
      <c r="AM1150" s="97" t="str">
        <f>IFERROR(__xludf.DUMMYFUNCTION("""COMPUTED_VALUE"""),"-")</f>
        <v>-</v>
      </c>
      <c r="AN1150" s="97" t="str">
        <f>IFERROR(__xludf.DUMMYFUNCTION("""COMPUTED_VALUE"""),"30.000hs (L70)")</f>
        <v>30.000hs (L70)</v>
      </c>
      <c r="AO1150" s="97" t="str">
        <f>IFERROR(__xludf.DUMMYFUNCTION("""COMPUTED_VALUE"""),"3 Años")</f>
        <v>3 Años</v>
      </c>
      <c r="AP1150" s="97" t="str">
        <f>IFERROR(__xludf.DUMMYFUNCTION("""COMPUTED_VALUE"""),"Disponible")</f>
        <v>Disponible</v>
      </c>
      <c r="AQ1150" s="97" t="str">
        <f>IFERROR(__xludf.DUMMYFUNCTION("""COMPUTED_VALUE"""),"Disponible")</f>
        <v>Disponible</v>
      </c>
      <c r="AR1150" s="97" t="str">
        <f>IFERROR(__xludf.DUMMYFUNCTION("""COMPUTED_VALUE"""),"Disponible")</f>
        <v>Disponible</v>
      </c>
      <c r="AS1150" s="97" t="str">
        <f>IFERROR(__xludf.DUMMYFUNCTION("""COMPUTED_VALUE"""),"Falta")</f>
        <v>Falta</v>
      </c>
      <c r="AT1150" s="97" t="str">
        <f>IFERROR(__xludf.DUMMYFUNCTION("""COMPUTED_VALUE"""),"Falta")</f>
        <v>Falta</v>
      </c>
      <c r="AU1150" s="97" t="str">
        <f>IFERROR(__xludf.DUMMYFUNCTION("""COMPUTED_VALUE"""),"Falta")</f>
        <v>Falta</v>
      </c>
      <c r="AV1150" s="97" t="str">
        <f>IFERROR(__xludf.DUMMYFUNCTION("""COMPUTED_VALUE"""),"Colgante")</f>
        <v>Colgante</v>
      </c>
      <c r="AW1150" s="97" t="str">
        <f>IFERROR(__xludf.DUMMYFUNCTION("""COMPUTED_VALUE"""),"De Techo")</f>
        <v>De Techo</v>
      </c>
      <c r="AX1150" s="97" t="str">
        <f>IFERROR(__xludf.DUMMYFUNCTION("""COMPUTED_VALUE"""),"Interior")</f>
        <v>Interior</v>
      </c>
      <c r="AY1150" s="97" t="str">
        <f>IFERROR(__xludf.DUMMYFUNCTION("""COMPUTED_VALUE"""),"Fieltro")</f>
        <v>Fieltro</v>
      </c>
      <c r="AZ1150" s="97" t="str">
        <f>IFERROR(__xludf.DUMMYFUNCTION("""COMPUTED_VALUE"""),"Largo total 2000mm. Florón: Ø120 x 70mm.")</f>
        <v>Largo total 2000mm. Florón: Ø120 x 70mm.</v>
      </c>
      <c r="BA1150" s="97">
        <f>IFERROR(__xludf.DUMMYFUNCTION("""COMPUTED_VALUE"""),1.0)</f>
        <v>1</v>
      </c>
      <c r="BB1150" s="97" t="str">
        <f>IFERROR(__xludf.DUMMYFUNCTION("""COMPUTED_VALUE"""),"-")</f>
        <v>-</v>
      </c>
      <c r="BC1150" s="97" t="str">
        <f>IFERROR(__xludf.DUMMYFUNCTION("""COMPUTED_VALUE"""),"-")</f>
        <v>-</v>
      </c>
      <c r="BD1150" s="97" t="str">
        <f>IFERROR(__xludf.DUMMYFUNCTION("""COMPUTED_VALUE"""),"BATOR")</f>
        <v>BATOR</v>
      </c>
      <c r="BE1150" s="97" t="str">
        <f>IFERROR(__xludf.DUMMYFUNCTION("""COMPUTED_VALUE"""),"Finalizada")</f>
        <v>Finalizada</v>
      </c>
      <c r="BF1150" s="97"/>
      <c r="BG1150" s="97" t="str">
        <f>IFERROR(__xludf.DUMMYFUNCTION("""COMPUTED_VALUE"""),"Activo")</f>
        <v>Activo</v>
      </c>
    </row>
    <row r="1151">
      <c r="A1151" s="97">
        <f>IFERROR(__xludf.DUMMYFUNCTION("""COMPUTED_VALUE"""),7069.0)</f>
        <v>7069</v>
      </c>
      <c r="B1151" s="97" t="str">
        <f>IFERROR(__xludf.DUMMYFUNCTION("""COMPUTED_VALUE"""),"ALTAI NG")</f>
        <v>ALTAI NG</v>
      </c>
      <c r="C1151" s="97" t="str">
        <f>IFERROR(__xludf.DUMMYFUNCTION("""COMPUTED_VALUE"""),"COLGANTE ALTAI NG 12W 3000K 577LM CRI&gt;90 IP20 LEUK")</f>
        <v>COLGANTE ALTAI NG 12W 3000K 577LM CRI&gt;90 IP20 LEUK</v>
      </c>
      <c r="D1151" s="97">
        <f>IFERROR(__xludf.DUMMYFUNCTION("""COMPUTED_VALUE"""),7.798413225884E12)</f>
        <v>7798413225884</v>
      </c>
      <c r="E1151" s="97" t="str">
        <f>IFERROR(__xludf.DUMMYFUNCTION("""COMPUTED_VALUE"""),"A166")</f>
        <v>A166</v>
      </c>
      <c r="F1151" s="97" t="str">
        <f>IFERROR(__xludf.DUMMYFUNCTION("""COMPUTED_VALUE"""),"LED COB")</f>
        <v>LED COB</v>
      </c>
      <c r="G1151" s="97" t="str">
        <f>IFERROR(__xludf.DUMMYFUNCTION("""COMPUTED_VALUE"""),"CREE")</f>
        <v>CREE</v>
      </c>
      <c r="H1151" s="97" t="str">
        <f>IFERROR(__xludf.DUMMYFUNCTION("""COMPUTED_VALUE"""),"AcTEC")</f>
        <v>AcTEC</v>
      </c>
      <c r="I1151" s="97"/>
      <c r="J1151" s="97" t="str">
        <f>IFERROR(__xludf.DUMMYFUNCTION("""COMPUTED_VALUE"""),"Modelo: RS-12-300T Dimm
In: 220-240Vac 0.08A 50/60Hz
Out: 20-40Vdc 300mA - 12W
Pf 0.95 Tc 85°C Ta -20 a 60°C")</f>
        <v>Modelo: RS-12-300T Dimm
In: 220-240Vac 0.08A 50/60Hz
Out: 20-40Vdc 300mA - 12W
Pf 0.95 Tc 85°C Ta -20 a 60°C</v>
      </c>
      <c r="K1151" s="97" t="str">
        <f>IFERROR(__xludf.DUMMYFUNCTION("""COMPUTED_VALUE"""),"TRIAC")</f>
        <v>TRIAC</v>
      </c>
      <c r="L1151" s="97" t="str">
        <f>IFERROR(__xludf.DUMMYFUNCTION("""COMPUTED_VALUE"""),"220-240")</f>
        <v>220-240</v>
      </c>
      <c r="M1151" s="97" t="str">
        <f>IFERROR(__xludf.DUMMYFUNCTION("""COMPUTED_VALUE"""),"50/60")</f>
        <v>50/60</v>
      </c>
      <c r="N1151" s="97"/>
      <c r="O1151" s="97">
        <f>IFERROR(__xludf.DUMMYFUNCTION("""COMPUTED_VALUE"""),12.0)</f>
        <v>12</v>
      </c>
      <c r="P1151" s="97"/>
      <c r="Q1151" s="97">
        <f>IFERROR(__xludf.DUMMYFUNCTION("""COMPUTED_VALUE"""),0.95)</f>
        <v>0.95</v>
      </c>
      <c r="R1151" s="97" t="str">
        <f>IFERROR(__xludf.DUMMYFUNCTION("""COMPUTED_VALUE"""),"-")</f>
        <v>-</v>
      </c>
      <c r="S1151" s="97" t="str">
        <f>IFERROR(__xludf.DUMMYFUNCTION("""COMPUTED_VALUE"""),"-")</f>
        <v>-</v>
      </c>
      <c r="T1151" s="97">
        <f>IFERROR(__xludf.DUMMYFUNCTION("""COMPUTED_VALUE"""),577.0)</f>
        <v>577</v>
      </c>
      <c r="U1151" s="99">
        <f>IFERROR(__xludf.DUMMYFUNCTION("""COMPUTED_VALUE"""),48.083333333333336)</f>
        <v>48.08333333</v>
      </c>
      <c r="V1151" s="97">
        <f>IFERROR(__xludf.DUMMYFUNCTION("""COMPUTED_VALUE"""),105.0)</f>
        <v>105</v>
      </c>
      <c r="W1151" s="97" t="str">
        <f>IFERROR(__xludf.DUMMYFUNCTION("""COMPUTED_VALUE"""),"&lt; 16")</f>
        <v>&lt; 16</v>
      </c>
      <c r="X1151" s="97">
        <f>IFERROR(__xludf.DUMMYFUNCTION("""COMPUTED_VALUE"""),3000.0)</f>
        <v>3000</v>
      </c>
      <c r="Y1151" s="97" t="str">
        <f>IFERROR(__xludf.DUMMYFUNCTION("""COMPUTED_VALUE"""),"&gt;90")</f>
        <v>&gt;90</v>
      </c>
      <c r="Z1151" s="97"/>
      <c r="AA1151" s="97"/>
      <c r="AB1151" s="97" t="str">
        <f>IFERROR(__xludf.DUMMYFUNCTION("""COMPUTED_VALUE"""),"&lt; 2")</f>
        <v>&lt; 2</v>
      </c>
      <c r="AC1151" s="97"/>
      <c r="AD1151" s="97" t="str">
        <f>IFERROR(__xludf.DUMMYFUNCTION("""COMPUTED_VALUE"""),"IP20")</f>
        <v>IP20</v>
      </c>
      <c r="AE1151" s="97" t="str">
        <f>IFERROR(__xludf.DUMMYFUNCTION("""COMPUTED_VALUE"""),"Clase l")</f>
        <v>Clase l</v>
      </c>
      <c r="AF1151" s="97" t="str">
        <f>IFERROR(__xludf.DUMMYFUNCTION("""COMPUTED_VALUE"""),"Suspender")</f>
        <v>Suspender</v>
      </c>
      <c r="AG1151" s="97" t="str">
        <f>IFERROR(__xludf.DUMMYFUNCTION("""COMPUTED_VALUE"""),"Ø330 x 220")</f>
        <v>Ø330 x 220</v>
      </c>
      <c r="AH1151" s="97" t="str">
        <f>IFERROR(__xludf.DUMMYFUNCTION("""COMPUTED_VALUE"""),"N/A")</f>
        <v>N/A</v>
      </c>
      <c r="AI1151" s="97" t="str">
        <f>IFERROR(__xludf.DUMMYFUNCTION("""COMPUTED_VALUE"""),"N/A")</f>
        <v>N/A</v>
      </c>
      <c r="AJ1151" s="97" t="str">
        <f>IFERROR(__xludf.DUMMYFUNCTION("""COMPUTED_VALUE"""),"PMMA")</f>
        <v>PMMA</v>
      </c>
      <c r="AK1151" s="97" t="str">
        <f>IFERROR(__xludf.DUMMYFUNCTION("""COMPUTED_VALUE"""),"Fieltro y Aluminio")</f>
        <v>Fieltro y Aluminio</v>
      </c>
      <c r="AL1151" s="97" t="str">
        <f>IFERROR(__xludf.DUMMYFUNCTION("""COMPUTED_VALUE"""),"Negro Mate")</f>
        <v>Negro Mate</v>
      </c>
      <c r="AM1151" s="97" t="str">
        <f>IFERROR(__xludf.DUMMYFUNCTION("""COMPUTED_VALUE"""),"-")</f>
        <v>-</v>
      </c>
      <c r="AN1151" s="97" t="str">
        <f>IFERROR(__xludf.DUMMYFUNCTION("""COMPUTED_VALUE"""),"30.000hs (L70)")</f>
        <v>30.000hs (L70)</v>
      </c>
      <c r="AO1151" s="97" t="str">
        <f>IFERROR(__xludf.DUMMYFUNCTION("""COMPUTED_VALUE"""),"3 Años")</f>
        <v>3 Años</v>
      </c>
      <c r="AP1151" s="97" t="str">
        <f>IFERROR(__xludf.DUMMYFUNCTION("""COMPUTED_VALUE"""),"Disponible")</f>
        <v>Disponible</v>
      </c>
      <c r="AQ1151" s="97" t="str">
        <f>IFERROR(__xludf.DUMMYFUNCTION("""COMPUTED_VALUE"""),"Disponible")</f>
        <v>Disponible</v>
      </c>
      <c r="AR1151" s="97" t="str">
        <f>IFERROR(__xludf.DUMMYFUNCTION("""COMPUTED_VALUE"""),"Disponible")</f>
        <v>Disponible</v>
      </c>
      <c r="AS1151" s="97" t="str">
        <f>IFERROR(__xludf.DUMMYFUNCTION("""COMPUTED_VALUE"""),"Falta")</f>
        <v>Falta</v>
      </c>
      <c r="AT1151" s="97" t="str">
        <f>IFERROR(__xludf.DUMMYFUNCTION("""COMPUTED_VALUE"""),"Falta")</f>
        <v>Falta</v>
      </c>
      <c r="AU1151" s="97" t="str">
        <f>IFERROR(__xludf.DUMMYFUNCTION("""COMPUTED_VALUE"""),"Falta")</f>
        <v>Falta</v>
      </c>
      <c r="AV1151" s="97" t="str">
        <f>IFERROR(__xludf.DUMMYFUNCTION("""COMPUTED_VALUE"""),"Colgante")</f>
        <v>Colgante</v>
      </c>
      <c r="AW1151" s="97" t="str">
        <f>IFERROR(__xludf.DUMMYFUNCTION("""COMPUTED_VALUE"""),"De Techo")</f>
        <v>De Techo</v>
      </c>
      <c r="AX1151" s="97" t="str">
        <f>IFERROR(__xludf.DUMMYFUNCTION("""COMPUTED_VALUE"""),"Interior")</f>
        <v>Interior</v>
      </c>
      <c r="AY1151" s="97" t="str">
        <f>IFERROR(__xludf.DUMMYFUNCTION("""COMPUTED_VALUE"""),"Fieltro")</f>
        <v>Fieltro</v>
      </c>
      <c r="AZ1151" s="97" t="str">
        <f>IFERROR(__xludf.DUMMYFUNCTION("""COMPUTED_VALUE"""),"Largo total 1850mm. Florón: Ø120 x 70mm.")</f>
        <v>Largo total 1850mm. Florón: Ø120 x 70mm.</v>
      </c>
      <c r="BA1151" s="97">
        <f>IFERROR(__xludf.DUMMYFUNCTION("""COMPUTED_VALUE"""),1.0)</f>
        <v>1</v>
      </c>
      <c r="BB1151" s="97" t="str">
        <f>IFERROR(__xludf.DUMMYFUNCTION("""COMPUTED_VALUE"""),"-")</f>
        <v>-</v>
      </c>
      <c r="BC1151" s="97" t="str">
        <f>IFERROR(__xludf.DUMMYFUNCTION("""COMPUTED_VALUE"""),"-")</f>
        <v>-</v>
      </c>
      <c r="BD1151" s="97" t="str">
        <f>IFERROR(__xludf.DUMMYFUNCTION("""COMPUTED_VALUE"""),"ALTAI")</f>
        <v>ALTAI</v>
      </c>
      <c r="BE1151" s="97" t="str">
        <f>IFERROR(__xludf.DUMMYFUNCTION("""COMPUTED_VALUE"""),"Finalizada")</f>
        <v>Finalizada</v>
      </c>
      <c r="BF1151" s="97"/>
      <c r="BG1151" s="97" t="str">
        <f>IFERROR(__xludf.DUMMYFUNCTION("""COMPUTED_VALUE"""),"Activo")</f>
        <v>Activo</v>
      </c>
    </row>
    <row r="1152">
      <c r="A1152" s="97">
        <f>IFERROR(__xludf.DUMMYFUNCTION("""COMPUTED_VALUE"""),7070.0)</f>
        <v>7070</v>
      </c>
      <c r="B1152" s="97" t="str">
        <f>IFERROR(__xludf.DUMMYFUNCTION("""COMPUTED_VALUE"""),"DARJAN NG")</f>
        <v>DARJAN NG</v>
      </c>
      <c r="C1152" s="97" t="str">
        <f>IFERROR(__xludf.DUMMYFUNCTION("""COMPUTED_VALUE"""),"COLGANTE DARJAN NG 12W 3000K 712LM CRI&gt;90 IP20 LEUK")</f>
        <v>COLGANTE DARJAN NG 12W 3000K 712LM CRI&gt;90 IP20 LEUK</v>
      </c>
      <c r="D1152" s="97">
        <f>IFERROR(__xludf.DUMMYFUNCTION("""COMPUTED_VALUE"""),7.798413225891E12)</f>
        <v>7798413225891</v>
      </c>
      <c r="E1152" s="97" t="str">
        <f>IFERROR(__xludf.DUMMYFUNCTION("""COMPUTED_VALUE"""),"A167")</f>
        <v>A167</v>
      </c>
      <c r="F1152" s="97" t="str">
        <f>IFERROR(__xludf.DUMMYFUNCTION("""COMPUTED_VALUE"""),"LED SMD")</f>
        <v>LED SMD</v>
      </c>
      <c r="G1152" s="97" t="str">
        <f>IFERROR(__xludf.DUMMYFUNCTION("""COMPUTED_VALUE"""),"Lumileds")</f>
        <v>Lumileds</v>
      </c>
      <c r="H1152" s="97" t="str">
        <f>IFERROR(__xludf.DUMMYFUNCTION("""COMPUTED_VALUE"""),"AcTEC")</f>
        <v>AcTEC</v>
      </c>
      <c r="I1152" s="97"/>
      <c r="J1152" s="97" t="str">
        <f>IFERROR(__xludf.DUMMYFUNCTION("""COMPUTED_VALUE"""),"Modelo: RS-12-300T Dimm
In: 220-240Vac 0.08A 50/60Hz
Out: 20-40Vdc 300mA - 12W
Pf 0.95 Tc 85°C Ta -20 a 60°C")</f>
        <v>Modelo: RS-12-300T Dimm
In: 220-240Vac 0.08A 50/60Hz
Out: 20-40Vdc 300mA - 12W
Pf 0.95 Tc 85°C Ta -20 a 60°C</v>
      </c>
      <c r="K1152" s="97" t="str">
        <f>IFERROR(__xludf.DUMMYFUNCTION("""COMPUTED_VALUE"""),"TRIAC")</f>
        <v>TRIAC</v>
      </c>
      <c r="L1152" s="97" t="str">
        <f>IFERROR(__xludf.DUMMYFUNCTION("""COMPUTED_VALUE"""),"220-240")</f>
        <v>220-240</v>
      </c>
      <c r="M1152" s="97" t="str">
        <f>IFERROR(__xludf.DUMMYFUNCTION("""COMPUTED_VALUE"""),"50/60")</f>
        <v>50/60</v>
      </c>
      <c r="N1152" s="97"/>
      <c r="O1152" s="97">
        <f>IFERROR(__xludf.DUMMYFUNCTION("""COMPUTED_VALUE"""),12.0)</f>
        <v>12</v>
      </c>
      <c r="P1152" s="97"/>
      <c r="Q1152" s="97">
        <f>IFERROR(__xludf.DUMMYFUNCTION("""COMPUTED_VALUE"""),0.95)</f>
        <v>0.95</v>
      </c>
      <c r="R1152" s="97" t="str">
        <f>IFERROR(__xludf.DUMMYFUNCTION("""COMPUTED_VALUE"""),"-")</f>
        <v>-</v>
      </c>
      <c r="S1152" s="97" t="str">
        <f>IFERROR(__xludf.DUMMYFUNCTION("""COMPUTED_VALUE"""),"-")</f>
        <v>-</v>
      </c>
      <c r="T1152" s="97">
        <f>IFERROR(__xludf.DUMMYFUNCTION("""COMPUTED_VALUE"""),712.0)</f>
        <v>712</v>
      </c>
      <c r="U1152" s="99">
        <f>IFERROR(__xludf.DUMMYFUNCTION("""COMPUTED_VALUE"""),59.333333333333336)</f>
        <v>59.33333333</v>
      </c>
      <c r="V1152" s="97">
        <f>IFERROR(__xludf.DUMMYFUNCTION("""COMPUTED_VALUE"""),100.0)</f>
        <v>100</v>
      </c>
      <c r="W1152" s="97" t="str">
        <f>IFERROR(__xludf.DUMMYFUNCTION("""COMPUTED_VALUE"""),"&lt; 16")</f>
        <v>&lt; 16</v>
      </c>
      <c r="X1152" s="97">
        <f>IFERROR(__xludf.DUMMYFUNCTION("""COMPUTED_VALUE"""),3000.0)</f>
        <v>3000</v>
      </c>
      <c r="Y1152" s="97" t="str">
        <f>IFERROR(__xludf.DUMMYFUNCTION("""COMPUTED_VALUE"""),"&gt;90")</f>
        <v>&gt;90</v>
      </c>
      <c r="Z1152" s="97"/>
      <c r="AA1152" s="97"/>
      <c r="AB1152" s="97" t="str">
        <f>IFERROR(__xludf.DUMMYFUNCTION("""COMPUTED_VALUE"""),"&lt; 2")</f>
        <v>&lt; 2</v>
      </c>
      <c r="AC1152" s="97"/>
      <c r="AD1152" s="97" t="str">
        <f>IFERROR(__xludf.DUMMYFUNCTION("""COMPUTED_VALUE"""),"IP20")</f>
        <v>IP20</v>
      </c>
      <c r="AE1152" s="97" t="str">
        <f>IFERROR(__xludf.DUMMYFUNCTION("""COMPUTED_VALUE"""),"Clase l")</f>
        <v>Clase l</v>
      </c>
      <c r="AF1152" s="97" t="str">
        <f>IFERROR(__xludf.DUMMYFUNCTION("""COMPUTED_VALUE"""),"Suspender")</f>
        <v>Suspender</v>
      </c>
      <c r="AG1152" s="97" t="str">
        <f>IFERROR(__xludf.DUMMYFUNCTION("""COMPUTED_VALUE"""),"Ø490 x 190")</f>
        <v>Ø490 x 190</v>
      </c>
      <c r="AH1152" s="97" t="str">
        <f>IFERROR(__xludf.DUMMYFUNCTION("""COMPUTED_VALUE"""),"N/A")</f>
        <v>N/A</v>
      </c>
      <c r="AI1152" s="97" t="str">
        <f>IFERROR(__xludf.DUMMYFUNCTION("""COMPUTED_VALUE"""),"N/A")</f>
        <v>N/A</v>
      </c>
      <c r="AJ1152" s="97" t="str">
        <f>IFERROR(__xludf.DUMMYFUNCTION("""COMPUTED_VALUE"""),"PMMA")</f>
        <v>PMMA</v>
      </c>
      <c r="AK1152" s="97" t="str">
        <f>IFERROR(__xludf.DUMMYFUNCTION("""COMPUTED_VALUE"""),"Fieltro y Aluminio")</f>
        <v>Fieltro y Aluminio</v>
      </c>
      <c r="AL1152" s="97" t="str">
        <f>IFERROR(__xludf.DUMMYFUNCTION("""COMPUTED_VALUE"""),"Negro Mate")</f>
        <v>Negro Mate</v>
      </c>
      <c r="AM1152" s="97" t="str">
        <f>IFERROR(__xludf.DUMMYFUNCTION("""COMPUTED_VALUE"""),"-")</f>
        <v>-</v>
      </c>
      <c r="AN1152" s="97" t="str">
        <f>IFERROR(__xludf.DUMMYFUNCTION("""COMPUTED_VALUE"""),"30.000hs (L70)")</f>
        <v>30.000hs (L70)</v>
      </c>
      <c r="AO1152" s="97" t="str">
        <f>IFERROR(__xludf.DUMMYFUNCTION("""COMPUTED_VALUE"""),"3 Años")</f>
        <v>3 Años</v>
      </c>
      <c r="AP1152" s="97" t="str">
        <f>IFERROR(__xludf.DUMMYFUNCTION("""COMPUTED_VALUE"""),"Disponible")</f>
        <v>Disponible</v>
      </c>
      <c r="AQ1152" s="97" t="str">
        <f>IFERROR(__xludf.DUMMYFUNCTION("""COMPUTED_VALUE"""),"Disponible")</f>
        <v>Disponible</v>
      </c>
      <c r="AR1152" s="97" t="str">
        <f>IFERROR(__xludf.DUMMYFUNCTION("""COMPUTED_VALUE"""),"Disponible")</f>
        <v>Disponible</v>
      </c>
      <c r="AS1152" s="97" t="str">
        <f>IFERROR(__xludf.DUMMYFUNCTION("""COMPUTED_VALUE"""),"Falta")</f>
        <v>Falta</v>
      </c>
      <c r="AT1152" s="97" t="str">
        <f>IFERROR(__xludf.DUMMYFUNCTION("""COMPUTED_VALUE"""),"Falta")</f>
        <v>Falta</v>
      </c>
      <c r="AU1152" s="97" t="str">
        <f>IFERROR(__xludf.DUMMYFUNCTION("""COMPUTED_VALUE"""),"Falta")</f>
        <v>Falta</v>
      </c>
      <c r="AV1152" s="97" t="str">
        <f>IFERROR(__xludf.DUMMYFUNCTION("""COMPUTED_VALUE"""),"Colgante")</f>
        <v>Colgante</v>
      </c>
      <c r="AW1152" s="97" t="str">
        <f>IFERROR(__xludf.DUMMYFUNCTION("""COMPUTED_VALUE"""),"De Techo")</f>
        <v>De Techo</v>
      </c>
      <c r="AX1152" s="97" t="str">
        <f>IFERROR(__xludf.DUMMYFUNCTION("""COMPUTED_VALUE"""),"Interior")</f>
        <v>Interior</v>
      </c>
      <c r="AY1152" s="97" t="str">
        <f>IFERROR(__xludf.DUMMYFUNCTION("""COMPUTED_VALUE"""),"Fieltro")</f>
        <v>Fieltro</v>
      </c>
      <c r="AZ1152" s="97" t="str">
        <f>IFERROR(__xludf.DUMMYFUNCTION("""COMPUTED_VALUE"""),"Largo total 1850mm. Florón: Ø120 x 70mm.")</f>
        <v>Largo total 1850mm. Florón: Ø120 x 70mm.</v>
      </c>
      <c r="BA1152" s="97">
        <f>IFERROR(__xludf.DUMMYFUNCTION("""COMPUTED_VALUE"""),1.0)</f>
        <v>1</v>
      </c>
      <c r="BB1152" s="97" t="str">
        <f>IFERROR(__xludf.DUMMYFUNCTION("""COMPUTED_VALUE"""),"-")</f>
        <v>-</v>
      </c>
      <c r="BC1152" s="97" t="str">
        <f>IFERROR(__xludf.DUMMYFUNCTION("""COMPUTED_VALUE"""),"-")</f>
        <v>-</v>
      </c>
      <c r="BD1152" s="97" t="str">
        <f>IFERROR(__xludf.DUMMYFUNCTION("""COMPUTED_VALUE"""),"DARJAN")</f>
        <v>DARJAN</v>
      </c>
      <c r="BE1152" s="97" t="str">
        <f>IFERROR(__xludf.DUMMYFUNCTION("""COMPUTED_VALUE"""),"Finalizada")</f>
        <v>Finalizada</v>
      </c>
      <c r="BF1152" s="97"/>
      <c r="BG1152" s="97" t="str">
        <f>IFERROR(__xludf.DUMMYFUNCTION("""COMPUTED_VALUE"""),"Activo")</f>
        <v>Activo</v>
      </c>
    </row>
    <row r="1153">
      <c r="A1153" s="97">
        <f>IFERROR(__xludf.DUMMYFUNCTION("""COMPUTED_VALUE"""),7071.0)</f>
        <v>7071</v>
      </c>
      <c r="B1153" s="97" t="str">
        <f>IFERROR(__xludf.DUMMYFUNCTION("""COMPUTED_VALUE"""),"BULGAN NG")</f>
        <v>BULGAN NG</v>
      </c>
      <c r="C1153" s="97" t="str">
        <f>IFERROR(__xludf.DUMMYFUNCTION("""COMPUTED_VALUE"""),"COLGANTE BULGAN NG 12W 3000K 645LM CRI&gt;90 IP20 LEUK")</f>
        <v>COLGANTE BULGAN NG 12W 3000K 645LM CRI&gt;90 IP20 LEUK</v>
      </c>
      <c r="D1153" s="97">
        <f>IFERROR(__xludf.DUMMYFUNCTION("""COMPUTED_VALUE"""),7.798413225907E12)</f>
        <v>7798413225907</v>
      </c>
      <c r="E1153" s="97" t="str">
        <f>IFERROR(__xludf.DUMMYFUNCTION("""COMPUTED_VALUE"""),"A168")</f>
        <v>A168</v>
      </c>
      <c r="F1153" s="97" t="str">
        <f>IFERROR(__xludf.DUMMYFUNCTION("""COMPUTED_VALUE"""),"LED SMD")</f>
        <v>LED SMD</v>
      </c>
      <c r="G1153" s="97" t="str">
        <f>IFERROR(__xludf.DUMMYFUNCTION("""COMPUTED_VALUE"""),"Lumileds")</f>
        <v>Lumileds</v>
      </c>
      <c r="H1153" s="97" t="str">
        <f>IFERROR(__xludf.DUMMYFUNCTION("""COMPUTED_VALUE"""),"AcTEC")</f>
        <v>AcTEC</v>
      </c>
      <c r="I1153" s="97"/>
      <c r="J1153" s="97" t="str">
        <f>IFERROR(__xludf.DUMMYFUNCTION("""COMPUTED_VALUE"""),"Modelo: RS-12-300T Dimm
In: 220-240Vac 0.08A 50/60Hz
Out: 20-40Vdc 300mA - 12W
Pf 0.95 Tc 85°C Ta -20 a 60°C")</f>
        <v>Modelo: RS-12-300T Dimm
In: 220-240Vac 0.08A 50/60Hz
Out: 20-40Vdc 300mA - 12W
Pf 0.95 Tc 85°C Ta -20 a 60°C</v>
      </c>
      <c r="K1153" s="97" t="str">
        <f>IFERROR(__xludf.DUMMYFUNCTION("""COMPUTED_VALUE"""),"TRIAC")</f>
        <v>TRIAC</v>
      </c>
      <c r="L1153" s="97" t="str">
        <f>IFERROR(__xludf.DUMMYFUNCTION("""COMPUTED_VALUE"""),"220-240")</f>
        <v>220-240</v>
      </c>
      <c r="M1153" s="97" t="str">
        <f>IFERROR(__xludf.DUMMYFUNCTION("""COMPUTED_VALUE"""),"50/60")</f>
        <v>50/60</v>
      </c>
      <c r="N1153" s="97"/>
      <c r="O1153" s="97">
        <f>IFERROR(__xludf.DUMMYFUNCTION("""COMPUTED_VALUE"""),12.0)</f>
        <v>12</v>
      </c>
      <c r="P1153" s="97"/>
      <c r="Q1153" s="97">
        <f>IFERROR(__xludf.DUMMYFUNCTION("""COMPUTED_VALUE"""),0.95)</f>
        <v>0.95</v>
      </c>
      <c r="R1153" s="97" t="str">
        <f>IFERROR(__xludf.DUMMYFUNCTION("""COMPUTED_VALUE"""),"-")</f>
        <v>-</v>
      </c>
      <c r="S1153" s="97" t="str">
        <f>IFERROR(__xludf.DUMMYFUNCTION("""COMPUTED_VALUE"""),"-")</f>
        <v>-</v>
      </c>
      <c r="T1153" s="97">
        <f>IFERROR(__xludf.DUMMYFUNCTION("""COMPUTED_VALUE"""),645.0)</f>
        <v>645</v>
      </c>
      <c r="U1153" s="99">
        <f>IFERROR(__xludf.DUMMYFUNCTION("""COMPUTED_VALUE"""),53.75)</f>
        <v>53.75</v>
      </c>
      <c r="V1153" s="97">
        <f>IFERROR(__xludf.DUMMYFUNCTION("""COMPUTED_VALUE"""),36.0)</f>
        <v>36</v>
      </c>
      <c r="W1153" s="97" t="str">
        <f>IFERROR(__xludf.DUMMYFUNCTION("""COMPUTED_VALUE"""),"&lt; 18")</f>
        <v>&lt; 18</v>
      </c>
      <c r="X1153" s="97">
        <f>IFERROR(__xludf.DUMMYFUNCTION("""COMPUTED_VALUE"""),3000.0)</f>
        <v>3000</v>
      </c>
      <c r="Y1153" s="97" t="str">
        <f>IFERROR(__xludf.DUMMYFUNCTION("""COMPUTED_VALUE"""),"&gt;90")</f>
        <v>&gt;90</v>
      </c>
      <c r="Z1153" s="97"/>
      <c r="AA1153" s="97"/>
      <c r="AB1153" s="97" t="str">
        <f>IFERROR(__xludf.DUMMYFUNCTION("""COMPUTED_VALUE"""),"&lt; 2")</f>
        <v>&lt; 2</v>
      </c>
      <c r="AC1153" s="97"/>
      <c r="AD1153" s="97" t="str">
        <f>IFERROR(__xludf.DUMMYFUNCTION("""COMPUTED_VALUE"""),"IP20")</f>
        <v>IP20</v>
      </c>
      <c r="AE1153" s="97" t="str">
        <f>IFERROR(__xludf.DUMMYFUNCTION("""COMPUTED_VALUE"""),"Clase l")</f>
        <v>Clase l</v>
      </c>
      <c r="AF1153" s="97" t="str">
        <f>IFERROR(__xludf.DUMMYFUNCTION("""COMPUTED_VALUE"""),"Suspender")</f>
        <v>Suspender</v>
      </c>
      <c r="AG1153" s="97" t="str">
        <f>IFERROR(__xludf.DUMMYFUNCTION("""COMPUTED_VALUE"""),"Ø450 x 140")</f>
        <v>Ø450 x 140</v>
      </c>
      <c r="AH1153" s="97" t="str">
        <f>IFERROR(__xludf.DUMMYFUNCTION("""COMPUTED_VALUE"""),"N/A")</f>
        <v>N/A</v>
      </c>
      <c r="AI1153" s="97" t="str">
        <f>IFERROR(__xludf.DUMMYFUNCTION("""COMPUTED_VALUE"""),"N/A")</f>
        <v>N/A</v>
      </c>
      <c r="AJ1153" s="97" t="str">
        <f>IFERROR(__xludf.DUMMYFUNCTION("""COMPUTED_VALUE"""),"PMMA")</f>
        <v>PMMA</v>
      </c>
      <c r="AK1153" s="97" t="str">
        <f>IFERROR(__xludf.DUMMYFUNCTION("""COMPUTED_VALUE"""),"Fieltro y Aluminio")</f>
        <v>Fieltro y Aluminio</v>
      </c>
      <c r="AL1153" s="97" t="str">
        <f>IFERROR(__xludf.DUMMYFUNCTION("""COMPUTED_VALUE"""),"Negro Mate")</f>
        <v>Negro Mate</v>
      </c>
      <c r="AM1153" s="97" t="str">
        <f>IFERROR(__xludf.DUMMYFUNCTION("""COMPUTED_VALUE"""),"-")</f>
        <v>-</v>
      </c>
      <c r="AN1153" s="97" t="str">
        <f>IFERROR(__xludf.DUMMYFUNCTION("""COMPUTED_VALUE"""),"30.000hs (L70)")</f>
        <v>30.000hs (L70)</v>
      </c>
      <c r="AO1153" s="97" t="str">
        <f>IFERROR(__xludf.DUMMYFUNCTION("""COMPUTED_VALUE"""),"3 Años")</f>
        <v>3 Años</v>
      </c>
      <c r="AP1153" s="97" t="str">
        <f>IFERROR(__xludf.DUMMYFUNCTION("""COMPUTED_VALUE"""),"Disponible")</f>
        <v>Disponible</v>
      </c>
      <c r="AQ1153" s="97" t="str">
        <f>IFERROR(__xludf.DUMMYFUNCTION("""COMPUTED_VALUE"""),"Disponible")</f>
        <v>Disponible</v>
      </c>
      <c r="AR1153" s="97" t="str">
        <f>IFERROR(__xludf.DUMMYFUNCTION("""COMPUTED_VALUE"""),"Disponible")</f>
        <v>Disponible</v>
      </c>
      <c r="AS1153" s="97" t="str">
        <f>IFERROR(__xludf.DUMMYFUNCTION("""COMPUTED_VALUE"""),"Falta")</f>
        <v>Falta</v>
      </c>
      <c r="AT1153" s="97" t="str">
        <f>IFERROR(__xludf.DUMMYFUNCTION("""COMPUTED_VALUE"""),"Falta")</f>
        <v>Falta</v>
      </c>
      <c r="AU1153" s="97" t="str">
        <f>IFERROR(__xludf.DUMMYFUNCTION("""COMPUTED_VALUE"""),"Falta")</f>
        <v>Falta</v>
      </c>
      <c r="AV1153" s="97" t="str">
        <f>IFERROR(__xludf.DUMMYFUNCTION("""COMPUTED_VALUE"""),"Colgante")</f>
        <v>Colgante</v>
      </c>
      <c r="AW1153" s="97" t="str">
        <f>IFERROR(__xludf.DUMMYFUNCTION("""COMPUTED_VALUE"""),"De Techo")</f>
        <v>De Techo</v>
      </c>
      <c r="AX1153" s="97" t="str">
        <f>IFERROR(__xludf.DUMMYFUNCTION("""COMPUTED_VALUE"""),"Interior")</f>
        <v>Interior</v>
      </c>
      <c r="AY1153" s="97" t="str">
        <f>IFERROR(__xludf.DUMMYFUNCTION("""COMPUTED_VALUE"""),"Fieltro")</f>
        <v>Fieltro</v>
      </c>
      <c r="AZ1153" s="97" t="str">
        <f>IFERROR(__xludf.DUMMYFUNCTION("""COMPUTED_VALUE"""),"Largo total 1850mm. Florón: Ø65 x 135mm.")</f>
        <v>Largo total 1850mm. Florón: Ø65 x 135mm.</v>
      </c>
      <c r="BA1153" s="97">
        <f>IFERROR(__xludf.DUMMYFUNCTION("""COMPUTED_VALUE"""),1.0)</f>
        <v>1</v>
      </c>
      <c r="BB1153" s="97" t="str">
        <f>IFERROR(__xludf.DUMMYFUNCTION("""COMPUTED_VALUE"""),"-")</f>
        <v>-</v>
      </c>
      <c r="BC1153" s="97" t="str">
        <f>IFERROR(__xludf.DUMMYFUNCTION("""COMPUTED_VALUE"""),"-")</f>
        <v>-</v>
      </c>
      <c r="BD1153" s="97" t="str">
        <f>IFERROR(__xludf.DUMMYFUNCTION("""COMPUTED_VALUE"""),"BULGAN")</f>
        <v>BULGAN</v>
      </c>
      <c r="BE1153" s="97" t="str">
        <f>IFERROR(__xludf.DUMMYFUNCTION("""COMPUTED_VALUE"""),"Finalizada")</f>
        <v>Finalizada</v>
      </c>
      <c r="BF1153" s="97"/>
      <c r="BG1153" s="97" t="str">
        <f>IFERROR(__xludf.DUMMYFUNCTION("""COMPUTED_VALUE"""),"Activo")</f>
        <v>Activo</v>
      </c>
    </row>
    <row r="1154">
      <c r="A1154" s="97">
        <f>IFERROR(__xludf.DUMMYFUNCTION("""COMPUTED_VALUE"""),7072.0)</f>
        <v>7072</v>
      </c>
      <c r="B1154" s="97" t="str">
        <f>IFERROR(__xludf.DUMMYFUNCTION("""COMPUTED_VALUE"""),"BOG NG")</f>
        <v>BOG NG</v>
      </c>
      <c r="C1154" s="97" t="str">
        <f>IFERROR(__xludf.DUMMYFUNCTION("""COMPUTED_VALUE"""),"APLIQUE BOG NG 5W 3000K 15LM CRI&gt;95 IP20 LEUK")</f>
        <v>APLIQUE BOG NG 5W 3000K 15LM CRI&gt;95 IP20 LEUK</v>
      </c>
      <c r="D1154" s="97">
        <f>IFERROR(__xludf.DUMMYFUNCTION("""COMPUTED_VALUE"""),7.798413225914E12)</f>
        <v>7798413225914</v>
      </c>
      <c r="E1154" s="97" t="str">
        <f>IFERROR(__xludf.DUMMYFUNCTION("""COMPUTED_VALUE"""),"F88")</f>
        <v>F88</v>
      </c>
      <c r="F1154" s="97" t="str">
        <f>IFERROR(__xludf.DUMMYFUNCTION("""COMPUTED_VALUE"""),"LED COB")</f>
        <v>LED COB</v>
      </c>
      <c r="G1154" s="97" t="str">
        <f>IFERROR(__xludf.DUMMYFUNCTION("""COMPUTED_VALUE"""),"CREE")</f>
        <v>CREE</v>
      </c>
      <c r="H1154" s="97" t="str">
        <f>IFERROR(__xludf.DUMMYFUNCTION("""COMPUTED_VALUE"""),"Eaglerise")</f>
        <v>Eaglerise</v>
      </c>
      <c r="I1154" s="97"/>
      <c r="J1154" s="97" t="str">
        <f>IFERROR(__xludf.DUMMYFUNCTION("""COMPUTED_VALUE"""),"Modelo: LS-6-500 SB
In: 220-240Vac 0.11A 50/60Hz
Out: 2.8-12Vdc 500mA - 6W
Pf 0.5 tc 80ºC Ta 50ºC")</f>
        <v>Modelo: LS-6-500 SB
In: 220-240Vac 0.11A 50/60Hz
Out: 2.8-12Vdc 500mA - 6W
Pf 0.5 tc 80ºC Ta 50ºC</v>
      </c>
      <c r="K1154" s="97" t="str">
        <f>IFERROR(__xludf.DUMMYFUNCTION("""COMPUTED_VALUE"""),"ON/OFF")</f>
        <v>ON/OFF</v>
      </c>
      <c r="L1154" s="97" t="str">
        <f>IFERROR(__xludf.DUMMYFUNCTION("""COMPUTED_VALUE"""),"200-240")</f>
        <v>200-240</v>
      </c>
      <c r="M1154" s="97" t="str">
        <f>IFERROR(__xludf.DUMMYFUNCTION("""COMPUTED_VALUE"""),"50/60")</f>
        <v>50/60</v>
      </c>
      <c r="N1154" s="97" t="str">
        <f>IFERROR(__xludf.DUMMYFUNCTION("""COMPUTED_VALUE"""),"Indirecta")</f>
        <v>Indirecta</v>
      </c>
      <c r="O1154" s="97">
        <f>IFERROR(__xludf.DUMMYFUNCTION("""COMPUTED_VALUE"""),5.0)</f>
        <v>5</v>
      </c>
      <c r="P1154" s="97"/>
      <c r="Q1154" s="97">
        <f>IFERROR(__xludf.DUMMYFUNCTION("""COMPUTED_VALUE"""),0.5)</f>
        <v>0.5</v>
      </c>
      <c r="R1154" s="97" t="str">
        <f>IFERROR(__xludf.DUMMYFUNCTION("""COMPUTED_VALUE"""),"-")</f>
        <v>-</v>
      </c>
      <c r="S1154" s="97" t="str">
        <f>IFERROR(__xludf.DUMMYFUNCTION("""COMPUTED_VALUE"""),"-")</f>
        <v>-</v>
      </c>
      <c r="T1154" s="97">
        <f>IFERROR(__xludf.DUMMYFUNCTION("""COMPUTED_VALUE"""),15.0)</f>
        <v>15</v>
      </c>
      <c r="U1154" s="99">
        <f>IFERROR(__xludf.DUMMYFUNCTION("""COMPUTED_VALUE"""),3.0)</f>
        <v>3</v>
      </c>
      <c r="V1154" s="97">
        <f>IFERROR(__xludf.DUMMYFUNCTION("""COMPUTED_VALUE"""),157.0)</f>
        <v>157</v>
      </c>
      <c r="W1154" s="97" t="str">
        <f>IFERROR(__xludf.DUMMYFUNCTION("""COMPUTED_VALUE"""),"&lt; 10")</f>
        <v>&lt; 10</v>
      </c>
      <c r="X1154" s="97">
        <f>IFERROR(__xludf.DUMMYFUNCTION("""COMPUTED_VALUE"""),3000.0)</f>
        <v>3000</v>
      </c>
      <c r="Y1154" s="97" t="str">
        <f>IFERROR(__xludf.DUMMYFUNCTION("""COMPUTED_VALUE"""),"&gt;95")</f>
        <v>&gt;95</v>
      </c>
      <c r="Z1154" s="97"/>
      <c r="AA1154" s="97"/>
      <c r="AB1154" s="97" t="str">
        <f>IFERROR(__xludf.DUMMYFUNCTION("""COMPUTED_VALUE"""),"&lt; 4")</f>
        <v>&lt; 4</v>
      </c>
      <c r="AC1154" s="97"/>
      <c r="AD1154" s="97" t="str">
        <f>IFERROR(__xludf.DUMMYFUNCTION("""COMPUTED_VALUE"""),"IP20")</f>
        <v>IP20</v>
      </c>
      <c r="AE1154" s="97" t="str">
        <f>IFERROR(__xludf.DUMMYFUNCTION("""COMPUTED_VALUE"""),"Clase l")</f>
        <v>Clase l</v>
      </c>
      <c r="AF1154" s="97" t="str">
        <f>IFERROR(__xludf.DUMMYFUNCTION("""COMPUTED_VALUE"""),"Aplicar")</f>
        <v>Aplicar</v>
      </c>
      <c r="AG1154" s="97" t="str">
        <f>IFERROR(__xludf.DUMMYFUNCTION("""COMPUTED_VALUE"""),"310 x 280 x 50")</f>
        <v>310 x 280 x 50</v>
      </c>
      <c r="AH1154" s="97" t="str">
        <f>IFERROR(__xludf.DUMMYFUNCTION("""COMPUTED_VALUE"""),"N/A")</f>
        <v>N/A</v>
      </c>
      <c r="AI1154" s="97" t="str">
        <f>IFERROR(__xludf.DUMMYFUNCTION("""COMPUTED_VALUE"""),"N/A")</f>
        <v>N/A</v>
      </c>
      <c r="AJ1154" s="97" t="str">
        <f>IFERROR(__xludf.DUMMYFUNCTION("""COMPUTED_VALUE"""),"PMMA")</f>
        <v>PMMA</v>
      </c>
      <c r="AK1154" s="97" t="str">
        <f>IFERROR(__xludf.DUMMYFUNCTION("""COMPUTED_VALUE"""),"Fieltro y Aluminio")</f>
        <v>Fieltro y Aluminio</v>
      </c>
      <c r="AL1154" s="97" t="str">
        <f>IFERROR(__xludf.DUMMYFUNCTION("""COMPUTED_VALUE"""),"Negro Mate")</f>
        <v>Negro Mate</v>
      </c>
      <c r="AM1154" s="97" t="str">
        <f>IFERROR(__xludf.DUMMYFUNCTION("""COMPUTED_VALUE"""),"-")</f>
        <v>-</v>
      </c>
      <c r="AN1154" s="97" t="str">
        <f>IFERROR(__xludf.DUMMYFUNCTION("""COMPUTED_VALUE"""),"30.000hs (L70)")</f>
        <v>30.000hs (L70)</v>
      </c>
      <c r="AO1154" s="97" t="str">
        <f>IFERROR(__xludf.DUMMYFUNCTION("""COMPUTED_VALUE"""),"3 Años")</f>
        <v>3 Años</v>
      </c>
      <c r="AP1154" s="97" t="str">
        <f>IFERROR(__xludf.DUMMYFUNCTION("""COMPUTED_VALUE"""),"Disponible")</f>
        <v>Disponible</v>
      </c>
      <c r="AQ1154" s="97" t="str">
        <f>IFERROR(__xludf.DUMMYFUNCTION("""COMPUTED_VALUE"""),"Disponible")</f>
        <v>Disponible</v>
      </c>
      <c r="AR1154" s="97" t="str">
        <f>IFERROR(__xludf.DUMMYFUNCTION("""COMPUTED_VALUE"""),"Disponible")</f>
        <v>Disponible</v>
      </c>
      <c r="AS1154" s="97" t="str">
        <f>IFERROR(__xludf.DUMMYFUNCTION("""COMPUTED_VALUE"""),"Falta")</f>
        <v>Falta</v>
      </c>
      <c r="AT1154" s="97" t="str">
        <f>IFERROR(__xludf.DUMMYFUNCTION("""COMPUTED_VALUE"""),"Falta")</f>
        <v>Falta</v>
      </c>
      <c r="AU1154" s="97" t="str">
        <f>IFERROR(__xludf.DUMMYFUNCTION("""COMPUTED_VALUE"""),"Falta")</f>
        <v>Falta</v>
      </c>
      <c r="AV1154" s="97" t="str">
        <f>IFERROR(__xludf.DUMMYFUNCTION("""COMPUTED_VALUE"""),"Aplique")</f>
        <v>Aplique</v>
      </c>
      <c r="AW1154" s="97" t="str">
        <f>IFERROR(__xludf.DUMMYFUNCTION("""COMPUTED_VALUE"""),"De Pared")</f>
        <v>De Pared</v>
      </c>
      <c r="AX1154" s="97" t="str">
        <f>IFERROR(__xludf.DUMMYFUNCTION("""COMPUTED_VALUE"""),"Interior")</f>
        <v>Interior</v>
      </c>
      <c r="AY1154" s="97" t="str">
        <f>IFERROR(__xludf.DUMMYFUNCTION("""COMPUTED_VALUE"""),"Fieltro")</f>
        <v>Fieltro</v>
      </c>
      <c r="AZ1154" s="97"/>
      <c r="BA1154" s="97">
        <f>IFERROR(__xludf.DUMMYFUNCTION("""COMPUTED_VALUE"""),1.0)</f>
        <v>1</v>
      </c>
      <c r="BB1154" s="97" t="str">
        <f>IFERROR(__xludf.DUMMYFUNCTION("""COMPUTED_VALUE"""),"-")</f>
        <v>-</v>
      </c>
      <c r="BC1154" s="97" t="str">
        <f>IFERROR(__xludf.DUMMYFUNCTION("""COMPUTED_VALUE"""),"-")</f>
        <v>-</v>
      </c>
      <c r="BD1154" s="97" t="str">
        <f>IFERROR(__xludf.DUMMYFUNCTION("""COMPUTED_VALUE"""),"BOG")</f>
        <v>BOG</v>
      </c>
      <c r="BE1154" s="97" t="str">
        <f>IFERROR(__xludf.DUMMYFUNCTION("""COMPUTED_VALUE"""),"Finalizada")</f>
        <v>Finalizada</v>
      </c>
      <c r="BF1154" s="97"/>
      <c r="BG1154" s="97" t="str">
        <f>IFERROR(__xludf.DUMMYFUNCTION("""COMPUTED_VALUE"""),"Activo")</f>
        <v>Activo</v>
      </c>
    </row>
    <row r="1155">
      <c r="A1155" s="97">
        <f>IFERROR(__xludf.DUMMYFUNCTION("""COMPUTED_VALUE"""),7073.0)</f>
        <v>7073</v>
      </c>
      <c r="B1155" s="97" t="str">
        <f>IFERROR(__xludf.DUMMYFUNCTION("""COMPUTED_VALUE"""),"SAGSAI NG")</f>
        <v>SAGSAI NG</v>
      </c>
      <c r="C1155" s="97" t="str">
        <f>IFERROR(__xludf.DUMMYFUNCTION("""COMPUTED_VALUE"""),"COLGANTE SAGSAI NG 12W 3000K 903LM CRI&gt;90 IP20 LEUK")</f>
        <v>COLGANTE SAGSAI NG 12W 3000K 903LM CRI&gt;90 IP20 LEUK</v>
      </c>
      <c r="D1155" s="97">
        <f>IFERROR(__xludf.DUMMYFUNCTION("""COMPUTED_VALUE"""),7.798413225921E12)</f>
        <v>7798413225921</v>
      </c>
      <c r="E1155" s="97" t="str">
        <f>IFERROR(__xludf.DUMMYFUNCTION("""COMPUTED_VALUE"""),"A169")</f>
        <v>A169</v>
      </c>
      <c r="F1155" s="97" t="str">
        <f>IFERROR(__xludf.DUMMYFUNCTION("""COMPUTED_VALUE"""),"LED SMD")</f>
        <v>LED SMD</v>
      </c>
      <c r="G1155" s="97" t="str">
        <f>IFERROR(__xludf.DUMMYFUNCTION("""COMPUTED_VALUE"""),"Lumileds")</f>
        <v>Lumileds</v>
      </c>
      <c r="H1155" s="97" t="str">
        <f>IFERROR(__xludf.DUMMYFUNCTION("""COMPUTED_VALUE"""),"AcTEC")</f>
        <v>AcTEC</v>
      </c>
      <c r="I1155" s="97"/>
      <c r="J1155" s="97"/>
      <c r="K1155" s="97" t="str">
        <f>IFERROR(__xludf.DUMMYFUNCTION("""COMPUTED_VALUE"""),"TRIAC")</f>
        <v>TRIAC</v>
      </c>
      <c r="L1155" s="97" t="str">
        <f>IFERROR(__xludf.DUMMYFUNCTION("""COMPUTED_VALUE"""),"220-240")</f>
        <v>220-240</v>
      </c>
      <c r="M1155" s="97" t="str">
        <f>IFERROR(__xludf.DUMMYFUNCTION("""COMPUTED_VALUE"""),"50/60")</f>
        <v>50/60</v>
      </c>
      <c r="N1155" s="97"/>
      <c r="O1155" s="97">
        <f>IFERROR(__xludf.DUMMYFUNCTION("""COMPUTED_VALUE"""),12.0)</f>
        <v>12</v>
      </c>
      <c r="P1155" s="97"/>
      <c r="Q1155" s="97">
        <f>IFERROR(__xludf.DUMMYFUNCTION("""COMPUTED_VALUE"""),0.97)</f>
        <v>0.97</v>
      </c>
      <c r="R1155" s="97" t="str">
        <f>IFERROR(__xludf.DUMMYFUNCTION("""COMPUTED_VALUE"""),"-")</f>
        <v>-</v>
      </c>
      <c r="S1155" s="97" t="str">
        <f>IFERROR(__xludf.DUMMYFUNCTION("""COMPUTED_VALUE"""),"-")</f>
        <v>-</v>
      </c>
      <c r="T1155" s="97">
        <f>IFERROR(__xludf.DUMMYFUNCTION("""COMPUTED_VALUE"""),903.0)</f>
        <v>903</v>
      </c>
      <c r="U1155" s="99">
        <f>IFERROR(__xludf.DUMMYFUNCTION("""COMPUTED_VALUE"""),75.25)</f>
        <v>75.25</v>
      </c>
      <c r="V1155" s="97">
        <f>IFERROR(__xludf.DUMMYFUNCTION("""COMPUTED_VALUE"""),100.0)</f>
        <v>100</v>
      </c>
      <c r="W1155" s="97" t="str">
        <f>IFERROR(__xludf.DUMMYFUNCTION("""COMPUTED_VALUE"""),"&lt; 20")</f>
        <v>&lt; 20</v>
      </c>
      <c r="X1155" s="97">
        <f>IFERROR(__xludf.DUMMYFUNCTION("""COMPUTED_VALUE"""),3000.0)</f>
        <v>3000</v>
      </c>
      <c r="Y1155" s="97" t="str">
        <f>IFERROR(__xludf.DUMMYFUNCTION("""COMPUTED_VALUE"""),"&gt;90")</f>
        <v>&gt;90</v>
      </c>
      <c r="Z1155" s="97"/>
      <c r="AA1155" s="97"/>
      <c r="AB1155" s="97" t="str">
        <f>IFERROR(__xludf.DUMMYFUNCTION("""COMPUTED_VALUE"""),"&lt; 2")</f>
        <v>&lt; 2</v>
      </c>
      <c r="AC1155" s="97"/>
      <c r="AD1155" s="97" t="str">
        <f>IFERROR(__xludf.DUMMYFUNCTION("""COMPUTED_VALUE"""),"IP20")</f>
        <v>IP20</v>
      </c>
      <c r="AE1155" s="97" t="str">
        <f>IFERROR(__xludf.DUMMYFUNCTION("""COMPUTED_VALUE"""),"Clase l")</f>
        <v>Clase l</v>
      </c>
      <c r="AF1155" s="97" t="str">
        <f>IFERROR(__xludf.DUMMYFUNCTION("""COMPUTED_VALUE"""),"Suspender")</f>
        <v>Suspender</v>
      </c>
      <c r="AG1155" s="97" t="str">
        <f>IFERROR(__xludf.DUMMYFUNCTION("""COMPUTED_VALUE"""),"Ø500 x 240")</f>
        <v>Ø500 x 240</v>
      </c>
      <c r="AH1155" s="97" t="str">
        <f>IFERROR(__xludf.DUMMYFUNCTION("""COMPUTED_VALUE"""),"N/A")</f>
        <v>N/A</v>
      </c>
      <c r="AI1155" s="97" t="str">
        <f>IFERROR(__xludf.DUMMYFUNCTION("""COMPUTED_VALUE"""),"N/A")</f>
        <v>N/A</v>
      </c>
      <c r="AJ1155" s="97" t="str">
        <f>IFERROR(__xludf.DUMMYFUNCTION("""COMPUTED_VALUE"""),"PMMA")</f>
        <v>PMMA</v>
      </c>
      <c r="AK1155" s="97" t="str">
        <f>IFERROR(__xludf.DUMMYFUNCTION("""COMPUTED_VALUE"""),"Aluminio")</f>
        <v>Aluminio</v>
      </c>
      <c r="AL1155" s="97" t="str">
        <f>IFERROR(__xludf.DUMMYFUNCTION("""COMPUTED_VALUE"""),"Negro Mate")</f>
        <v>Negro Mate</v>
      </c>
      <c r="AM1155" s="97" t="str">
        <f>IFERROR(__xludf.DUMMYFUNCTION("""COMPUTED_VALUE"""),"-")</f>
        <v>-</v>
      </c>
      <c r="AN1155" s="97" t="str">
        <f>IFERROR(__xludf.DUMMYFUNCTION("""COMPUTED_VALUE"""),"30.000hs (L70)")</f>
        <v>30.000hs (L70)</v>
      </c>
      <c r="AO1155" s="97" t="str">
        <f>IFERROR(__xludf.DUMMYFUNCTION("""COMPUTED_VALUE"""),"3 Años")</f>
        <v>3 Años</v>
      </c>
      <c r="AP1155" s="97" t="str">
        <f>IFERROR(__xludf.DUMMYFUNCTION("""COMPUTED_VALUE"""),"Disponible")</f>
        <v>Disponible</v>
      </c>
      <c r="AQ1155" s="97" t="str">
        <f>IFERROR(__xludf.DUMMYFUNCTION("""COMPUTED_VALUE"""),"Disponible")</f>
        <v>Disponible</v>
      </c>
      <c r="AR1155" s="97" t="str">
        <f>IFERROR(__xludf.DUMMYFUNCTION("""COMPUTED_VALUE"""),"Disponible")</f>
        <v>Disponible</v>
      </c>
      <c r="AS1155" s="97" t="str">
        <f>IFERROR(__xludf.DUMMYFUNCTION("""COMPUTED_VALUE"""),"Falta")</f>
        <v>Falta</v>
      </c>
      <c r="AT1155" s="97" t="str">
        <f>IFERROR(__xludf.DUMMYFUNCTION("""COMPUTED_VALUE"""),"Falta")</f>
        <v>Falta</v>
      </c>
      <c r="AU1155" s="97" t="str">
        <f>IFERROR(__xludf.DUMMYFUNCTION("""COMPUTED_VALUE"""),"Falta")</f>
        <v>Falta</v>
      </c>
      <c r="AV1155" s="97" t="str">
        <f>IFERROR(__xludf.DUMMYFUNCTION("""COMPUTED_VALUE"""),"Colgante")</f>
        <v>Colgante</v>
      </c>
      <c r="AW1155" s="97" t="str">
        <f>IFERROR(__xludf.DUMMYFUNCTION("""COMPUTED_VALUE"""),"De Techo")</f>
        <v>De Techo</v>
      </c>
      <c r="AX1155" s="97" t="str">
        <f>IFERROR(__xludf.DUMMYFUNCTION("""COMPUTED_VALUE"""),"Interior")</f>
        <v>Interior</v>
      </c>
      <c r="AY1155" s="97" t="str">
        <f>IFERROR(__xludf.DUMMYFUNCTION("""COMPUTED_VALUE"""),"-")</f>
        <v>-</v>
      </c>
      <c r="AZ1155" s="97" t="str">
        <f>IFERROR(__xludf.DUMMYFUNCTION("""COMPUTED_VALUE"""),"Largo total 1900mm. Florón: Ø 120 x 70mm.")</f>
        <v>Largo total 1900mm. Florón: Ø 120 x 70mm.</v>
      </c>
      <c r="BA1155" s="97">
        <f>IFERROR(__xludf.DUMMYFUNCTION("""COMPUTED_VALUE"""),1.0)</f>
        <v>1</v>
      </c>
      <c r="BB1155" s="97" t="str">
        <f>IFERROR(__xludf.DUMMYFUNCTION("""COMPUTED_VALUE"""),"-")</f>
        <v>-</v>
      </c>
      <c r="BC1155" s="97" t="str">
        <f>IFERROR(__xludf.DUMMYFUNCTION("""COMPUTED_VALUE"""),"-")</f>
        <v>-</v>
      </c>
      <c r="BD1155" s="97" t="str">
        <f>IFERROR(__xludf.DUMMYFUNCTION("""COMPUTED_VALUE"""),"SAGSAI")</f>
        <v>SAGSAI</v>
      </c>
      <c r="BE1155" s="97" t="str">
        <f>IFERROR(__xludf.DUMMYFUNCTION("""COMPUTED_VALUE"""),"Finalizada")</f>
        <v>Finalizada</v>
      </c>
      <c r="BF1155" s="97"/>
      <c r="BG1155" s="97" t="str">
        <f>IFERROR(__xludf.DUMMYFUNCTION("""COMPUTED_VALUE"""),"Activo")</f>
        <v>Activo</v>
      </c>
    </row>
    <row r="1156">
      <c r="A1156" s="97">
        <f>IFERROR(__xludf.DUMMYFUNCTION("""COMPUTED_VALUE"""),7074.0)</f>
        <v>7074</v>
      </c>
      <c r="B1156" s="97" t="str">
        <f>IFERROR(__xludf.DUMMYFUNCTION("""COMPUTED_VALUE"""),"MARDAI CB")</f>
        <v>MARDAI CB</v>
      </c>
      <c r="C1156" s="97" t="str">
        <f>IFERROR(__xludf.DUMMYFUNCTION("""COMPUTED_VALUE"""),"COLGANTE MARDAI CB 12W 3000K 313LM CRI&gt;90 IP20 LEUK")</f>
        <v>COLGANTE MARDAI CB 12W 3000K 313LM CRI&gt;90 IP20 LEUK</v>
      </c>
      <c r="D1156" s="97">
        <f>IFERROR(__xludf.DUMMYFUNCTION("""COMPUTED_VALUE"""),7.798413225938E12)</f>
        <v>7798413225938</v>
      </c>
      <c r="E1156" s="97" t="str">
        <f>IFERROR(__xludf.DUMMYFUNCTION("""COMPUTED_VALUE"""),"A170")</f>
        <v>A170</v>
      </c>
      <c r="F1156" s="97" t="str">
        <f>IFERROR(__xludf.DUMMYFUNCTION("""COMPUTED_VALUE"""),"LED SMD")</f>
        <v>LED SMD</v>
      </c>
      <c r="G1156" s="97" t="str">
        <f>IFERROR(__xludf.DUMMYFUNCTION("""COMPUTED_VALUE"""),"Lumileds")</f>
        <v>Lumileds</v>
      </c>
      <c r="H1156" s="97" t="str">
        <f>IFERROR(__xludf.DUMMYFUNCTION("""COMPUTED_VALUE"""),"AcTEC")</f>
        <v>AcTEC</v>
      </c>
      <c r="I1156" s="97"/>
      <c r="J1156" s="97" t="str">
        <f>IFERROR(__xludf.DUMMYFUNCTION("""COMPUTED_VALUE"""),"Modelo: RS-12-300T Dimm
In: 220-240Vac 0.08A 50/60Hz
Out: 20-40Vdc 300mA - 12W
Pf 0.95 tc 85°C Ta -20a60°C")</f>
        <v>Modelo: RS-12-300T Dimm
In: 220-240Vac 0.08A 50/60Hz
Out: 20-40Vdc 300mA - 12W
Pf 0.95 tc 85°C Ta -20a60°C</v>
      </c>
      <c r="K1156" s="97" t="str">
        <f>IFERROR(__xludf.DUMMYFUNCTION("""COMPUTED_VALUE"""),"TRIAC")</f>
        <v>TRIAC</v>
      </c>
      <c r="L1156" s="97" t="str">
        <f>IFERROR(__xludf.DUMMYFUNCTION("""COMPUTED_VALUE"""),"220-240")</f>
        <v>220-240</v>
      </c>
      <c r="M1156" s="97" t="str">
        <f>IFERROR(__xludf.DUMMYFUNCTION("""COMPUTED_VALUE"""),"50/60")</f>
        <v>50/60</v>
      </c>
      <c r="N1156" s="97"/>
      <c r="O1156" s="97">
        <f>IFERROR(__xludf.DUMMYFUNCTION("""COMPUTED_VALUE"""),12.0)</f>
        <v>12</v>
      </c>
      <c r="P1156" s="97">
        <f>IFERROR(__xludf.DUMMYFUNCTION("""COMPUTED_VALUE"""),12.44)</f>
        <v>12.44</v>
      </c>
      <c r="Q1156" s="97">
        <f>IFERROR(__xludf.DUMMYFUNCTION("""COMPUTED_VALUE"""),0.95)</f>
        <v>0.95</v>
      </c>
      <c r="R1156" s="97" t="str">
        <f>IFERROR(__xludf.DUMMYFUNCTION("""COMPUTED_VALUE"""),"-")</f>
        <v>-</v>
      </c>
      <c r="S1156" s="97" t="str">
        <f>IFERROR(__xludf.DUMMYFUNCTION("""COMPUTED_VALUE"""),"-")</f>
        <v>-</v>
      </c>
      <c r="T1156" s="97">
        <f>IFERROR(__xludf.DUMMYFUNCTION("""COMPUTED_VALUE"""),313.0)</f>
        <v>313</v>
      </c>
      <c r="U1156" s="99">
        <f>IFERROR(__xludf.DUMMYFUNCTION("""COMPUTED_VALUE"""),26.083333333333332)</f>
        <v>26.08333333</v>
      </c>
      <c r="V1156" s="97">
        <f>IFERROR(__xludf.DUMMYFUNCTION("""COMPUTED_VALUE"""),38.0)</f>
        <v>38</v>
      </c>
      <c r="W1156" s="97" t="str">
        <f>IFERROR(__xludf.DUMMYFUNCTION("""COMPUTED_VALUE"""),"&lt; 14")</f>
        <v>&lt; 14</v>
      </c>
      <c r="X1156" s="97">
        <f>IFERROR(__xludf.DUMMYFUNCTION("""COMPUTED_VALUE"""),3000.0)</f>
        <v>3000</v>
      </c>
      <c r="Y1156" s="97" t="str">
        <f>IFERROR(__xludf.DUMMYFUNCTION("""COMPUTED_VALUE"""),"&gt;90")</f>
        <v>&gt;90</v>
      </c>
      <c r="Z1156" s="97"/>
      <c r="AA1156" s="97"/>
      <c r="AB1156" s="97" t="str">
        <f>IFERROR(__xludf.DUMMYFUNCTION("""COMPUTED_VALUE"""),"&lt; 3")</f>
        <v>&lt; 3</v>
      </c>
      <c r="AC1156" s="97"/>
      <c r="AD1156" s="97" t="str">
        <f>IFERROR(__xludf.DUMMYFUNCTION("""COMPUTED_VALUE"""),"IP20")</f>
        <v>IP20</v>
      </c>
      <c r="AE1156" s="97" t="str">
        <f>IFERROR(__xludf.DUMMYFUNCTION("""COMPUTED_VALUE"""),"Clase l")</f>
        <v>Clase l</v>
      </c>
      <c r="AF1156" s="97" t="str">
        <f>IFERROR(__xludf.DUMMYFUNCTION("""COMPUTED_VALUE"""),"Suspender")</f>
        <v>Suspender</v>
      </c>
      <c r="AG1156" s="97" t="str">
        <f>IFERROR(__xludf.DUMMYFUNCTION("""COMPUTED_VALUE"""),"Ø400 x 400")</f>
        <v>Ø400 x 400</v>
      </c>
      <c r="AH1156" s="97" t="str">
        <f>IFERROR(__xludf.DUMMYFUNCTION("""COMPUTED_VALUE"""),"N/A")</f>
        <v>N/A</v>
      </c>
      <c r="AI1156" s="97" t="str">
        <f>IFERROR(__xludf.DUMMYFUNCTION("""COMPUTED_VALUE"""),"N/A")</f>
        <v>N/A</v>
      </c>
      <c r="AJ1156" s="97" t="str">
        <f>IFERROR(__xludf.DUMMYFUNCTION("""COMPUTED_VALUE"""),"PMMA")</f>
        <v>PMMA</v>
      </c>
      <c r="AK1156" s="97" t="str">
        <f>IFERROR(__xludf.DUMMYFUNCTION("""COMPUTED_VALUE"""),"Aluminio")</f>
        <v>Aluminio</v>
      </c>
      <c r="AL1156" s="97" t="str">
        <f>IFERROR(__xludf.DUMMYFUNCTION("""COMPUTED_VALUE"""),"Terracota")</f>
        <v>Terracota</v>
      </c>
      <c r="AM1156" s="97" t="str">
        <f>IFERROR(__xludf.DUMMYFUNCTION("""COMPUTED_VALUE"""),"-")</f>
        <v>-</v>
      </c>
      <c r="AN1156" s="97" t="str">
        <f>IFERROR(__xludf.DUMMYFUNCTION("""COMPUTED_VALUE"""),"30.000hs (L70)")</f>
        <v>30.000hs (L70)</v>
      </c>
      <c r="AO1156" s="97" t="str">
        <f>IFERROR(__xludf.DUMMYFUNCTION("""COMPUTED_VALUE"""),"3 Años")</f>
        <v>3 Años</v>
      </c>
      <c r="AP1156" s="97" t="str">
        <f>IFERROR(__xludf.DUMMYFUNCTION("""COMPUTED_VALUE"""),"Disponible")</f>
        <v>Disponible</v>
      </c>
      <c r="AQ1156" s="97" t="str">
        <f>IFERROR(__xludf.DUMMYFUNCTION("""COMPUTED_VALUE"""),"Disponible")</f>
        <v>Disponible</v>
      </c>
      <c r="AR1156" s="97" t="str">
        <f>IFERROR(__xludf.DUMMYFUNCTION("""COMPUTED_VALUE"""),"Disponible")</f>
        <v>Disponible</v>
      </c>
      <c r="AS1156" s="97" t="str">
        <f>IFERROR(__xludf.DUMMYFUNCTION("""COMPUTED_VALUE"""),"Falta")</f>
        <v>Falta</v>
      </c>
      <c r="AT1156" s="97" t="str">
        <f>IFERROR(__xludf.DUMMYFUNCTION("""COMPUTED_VALUE"""),"Falta")</f>
        <v>Falta</v>
      </c>
      <c r="AU1156" s="97" t="str">
        <f>IFERROR(__xludf.DUMMYFUNCTION("""COMPUTED_VALUE"""),"Falta")</f>
        <v>Falta</v>
      </c>
      <c r="AV1156" s="97" t="str">
        <f>IFERROR(__xludf.DUMMYFUNCTION("""COMPUTED_VALUE"""),"Colgante")</f>
        <v>Colgante</v>
      </c>
      <c r="AW1156" s="97" t="str">
        <f>IFERROR(__xludf.DUMMYFUNCTION("""COMPUTED_VALUE"""),"De Techo")</f>
        <v>De Techo</v>
      </c>
      <c r="AX1156" s="97" t="str">
        <f>IFERROR(__xludf.DUMMYFUNCTION("""COMPUTED_VALUE"""),"Interior")</f>
        <v>Interior</v>
      </c>
      <c r="AY1156" s="97" t="str">
        <f>IFERROR(__xludf.DUMMYFUNCTION("""COMPUTED_VALUE"""),"-")</f>
        <v>-</v>
      </c>
      <c r="AZ1156" s="97" t="str">
        <f>IFERROR(__xludf.DUMMYFUNCTION("""COMPUTED_VALUE"""),"Largo total 2000mm. Florón: Ø 120 x 70mm.")</f>
        <v>Largo total 2000mm. Florón: Ø 120 x 70mm.</v>
      </c>
      <c r="BA1156" s="97">
        <f>IFERROR(__xludf.DUMMYFUNCTION("""COMPUTED_VALUE"""),1.0)</f>
        <v>1</v>
      </c>
      <c r="BB1156" s="97" t="str">
        <f>IFERROR(__xludf.DUMMYFUNCTION("""COMPUTED_VALUE"""),"-")</f>
        <v>-</v>
      </c>
      <c r="BC1156" s="97" t="str">
        <f>IFERROR(__xludf.DUMMYFUNCTION("""COMPUTED_VALUE"""),"-")</f>
        <v>-</v>
      </c>
      <c r="BD1156" s="97" t="str">
        <f>IFERROR(__xludf.DUMMYFUNCTION("""COMPUTED_VALUE"""),"MARDAI")</f>
        <v>MARDAI</v>
      </c>
      <c r="BE1156" s="97" t="str">
        <f>IFERROR(__xludf.DUMMYFUNCTION("""COMPUTED_VALUE"""),"Finalizada")</f>
        <v>Finalizada</v>
      </c>
      <c r="BF1156" s="97"/>
      <c r="BG1156" s="97" t="str">
        <f>IFERROR(__xludf.DUMMYFUNCTION("""COMPUTED_VALUE"""),"Activo")</f>
        <v>Activo</v>
      </c>
    </row>
    <row r="1157">
      <c r="A1157" s="97">
        <f>IFERROR(__xludf.DUMMYFUNCTION("""COMPUTED_VALUE"""),7075.0)</f>
        <v>7075</v>
      </c>
      <c r="B1157" s="97" t="str">
        <f>IFERROR(__xludf.DUMMYFUNCTION("""COMPUTED_VALUE"""),"MARDAI NG")</f>
        <v>MARDAI NG</v>
      </c>
      <c r="C1157" s="97" t="str">
        <f>IFERROR(__xludf.DUMMYFUNCTION("""COMPUTED_VALUE"""),"COLGANTE MARDAI NG 12W 3000K 313LM CRI&gt;90 IP20 LEUK")</f>
        <v>COLGANTE MARDAI NG 12W 3000K 313LM CRI&gt;90 IP20 LEUK</v>
      </c>
      <c r="D1157" s="97">
        <f>IFERROR(__xludf.DUMMYFUNCTION("""COMPUTED_VALUE"""),7.798413225945E12)</f>
        <v>7798413225945</v>
      </c>
      <c r="E1157" s="97" t="str">
        <f>IFERROR(__xludf.DUMMYFUNCTION("""COMPUTED_VALUE"""),"A170")</f>
        <v>A170</v>
      </c>
      <c r="F1157" s="97" t="str">
        <f>IFERROR(__xludf.DUMMYFUNCTION("""COMPUTED_VALUE"""),"LED SMD")</f>
        <v>LED SMD</v>
      </c>
      <c r="G1157" s="97" t="str">
        <f>IFERROR(__xludf.DUMMYFUNCTION("""COMPUTED_VALUE"""),"Lumileds")</f>
        <v>Lumileds</v>
      </c>
      <c r="H1157" s="97" t="str">
        <f>IFERROR(__xludf.DUMMYFUNCTION("""COMPUTED_VALUE"""),"AcTEC")</f>
        <v>AcTEC</v>
      </c>
      <c r="I1157" s="97"/>
      <c r="J1157" s="97" t="str">
        <f>IFERROR(__xludf.DUMMYFUNCTION("""COMPUTED_VALUE"""),"Modelo: RS-12-300T Dimm
In: 220-240Vac 0.08A 50/60Hz
Out: 20-40Vdc 300mA - 12W
Pf 0.95 tc 85°C Ta -20a60°C")</f>
        <v>Modelo: RS-12-300T Dimm
In: 220-240Vac 0.08A 50/60Hz
Out: 20-40Vdc 300mA - 12W
Pf 0.95 tc 85°C Ta -20a60°C</v>
      </c>
      <c r="K1157" s="97" t="str">
        <f>IFERROR(__xludf.DUMMYFUNCTION("""COMPUTED_VALUE"""),"TRIAC")</f>
        <v>TRIAC</v>
      </c>
      <c r="L1157" s="97" t="str">
        <f>IFERROR(__xludf.DUMMYFUNCTION("""COMPUTED_VALUE"""),"220-240")</f>
        <v>220-240</v>
      </c>
      <c r="M1157" s="97" t="str">
        <f>IFERROR(__xludf.DUMMYFUNCTION("""COMPUTED_VALUE"""),"50/60")</f>
        <v>50/60</v>
      </c>
      <c r="N1157" s="97"/>
      <c r="O1157" s="97">
        <f>IFERROR(__xludf.DUMMYFUNCTION("""COMPUTED_VALUE"""),12.0)</f>
        <v>12</v>
      </c>
      <c r="P1157" s="97">
        <f>IFERROR(__xludf.DUMMYFUNCTION("""COMPUTED_VALUE"""),12.48)</f>
        <v>12.48</v>
      </c>
      <c r="Q1157" s="97">
        <f>IFERROR(__xludf.DUMMYFUNCTION("""COMPUTED_VALUE"""),0.95)</f>
        <v>0.95</v>
      </c>
      <c r="R1157" s="97" t="str">
        <f>IFERROR(__xludf.DUMMYFUNCTION("""COMPUTED_VALUE"""),"-")</f>
        <v>-</v>
      </c>
      <c r="S1157" s="97" t="str">
        <f>IFERROR(__xludf.DUMMYFUNCTION("""COMPUTED_VALUE"""),"-")</f>
        <v>-</v>
      </c>
      <c r="T1157" s="97">
        <f>IFERROR(__xludf.DUMMYFUNCTION("""COMPUTED_VALUE"""),313.0)</f>
        <v>313</v>
      </c>
      <c r="U1157" s="99">
        <f>IFERROR(__xludf.DUMMYFUNCTION("""COMPUTED_VALUE"""),26.083333333333332)</f>
        <v>26.08333333</v>
      </c>
      <c r="V1157" s="97">
        <f>IFERROR(__xludf.DUMMYFUNCTION("""COMPUTED_VALUE"""),38.0)</f>
        <v>38</v>
      </c>
      <c r="W1157" s="97" t="str">
        <f>IFERROR(__xludf.DUMMYFUNCTION("""COMPUTED_VALUE"""),"&lt; 14")</f>
        <v>&lt; 14</v>
      </c>
      <c r="X1157" s="97">
        <f>IFERROR(__xludf.DUMMYFUNCTION("""COMPUTED_VALUE"""),3000.0)</f>
        <v>3000</v>
      </c>
      <c r="Y1157" s="97" t="str">
        <f>IFERROR(__xludf.DUMMYFUNCTION("""COMPUTED_VALUE"""),"&gt;90")</f>
        <v>&gt;90</v>
      </c>
      <c r="Z1157" s="97"/>
      <c r="AA1157" s="97"/>
      <c r="AB1157" s="97" t="str">
        <f>IFERROR(__xludf.DUMMYFUNCTION("""COMPUTED_VALUE"""),"&lt; 3")</f>
        <v>&lt; 3</v>
      </c>
      <c r="AC1157" s="97"/>
      <c r="AD1157" s="97" t="str">
        <f>IFERROR(__xludf.DUMMYFUNCTION("""COMPUTED_VALUE"""),"IP20")</f>
        <v>IP20</v>
      </c>
      <c r="AE1157" s="97" t="str">
        <f>IFERROR(__xludf.DUMMYFUNCTION("""COMPUTED_VALUE"""),"Clase l")</f>
        <v>Clase l</v>
      </c>
      <c r="AF1157" s="97" t="str">
        <f>IFERROR(__xludf.DUMMYFUNCTION("""COMPUTED_VALUE"""),"Suspender")</f>
        <v>Suspender</v>
      </c>
      <c r="AG1157" s="97" t="str">
        <f>IFERROR(__xludf.DUMMYFUNCTION("""COMPUTED_VALUE"""),"Ø400 x 400")</f>
        <v>Ø400 x 400</v>
      </c>
      <c r="AH1157" s="97" t="str">
        <f>IFERROR(__xludf.DUMMYFUNCTION("""COMPUTED_VALUE"""),"N/A")</f>
        <v>N/A</v>
      </c>
      <c r="AI1157" s="97" t="str">
        <f>IFERROR(__xludf.DUMMYFUNCTION("""COMPUTED_VALUE"""),"N/A")</f>
        <v>N/A</v>
      </c>
      <c r="AJ1157" s="97" t="str">
        <f>IFERROR(__xludf.DUMMYFUNCTION("""COMPUTED_VALUE"""),"PMMA")</f>
        <v>PMMA</v>
      </c>
      <c r="AK1157" s="97" t="str">
        <f>IFERROR(__xludf.DUMMYFUNCTION("""COMPUTED_VALUE"""),"Aluminio")</f>
        <v>Aluminio</v>
      </c>
      <c r="AL1157" s="97" t="str">
        <f>IFERROR(__xludf.DUMMYFUNCTION("""COMPUTED_VALUE"""),"Negro Satinado")</f>
        <v>Negro Satinado</v>
      </c>
      <c r="AM1157" s="97" t="str">
        <f>IFERROR(__xludf.DUMMYFUNCTION("""COMPUTED_VALUE"""),"-")</f>
        <v>-</v>
      </c>
      <c r="AN1157" s="97" t="str">
        <f>IFERROR(__xludf.DUMMYFUNCTION("""COMPUTED_VALUE"""),"30.000hs (L70)")</f>
        <v>30.000hs (L70)</v>
      </c>
      <c r="AO1157" s="97" t="str">
        <f>IFERROR(__xludf.DUMMYFUNCTION("""COMPUTED_VALUE"""),"3 Años")</f>
        <v>3 Años</v>
      </c>
      <c r="AP1157" s="97" t="str">
        <f>IFERROR(__xludf.DUMMYFUNCTION("""COMPUTED_VALUE"""),"Disponible")</f>
        <v>Disponible</v>
      </c>
      <c r="AQ1157" s="97" t="str">
        <f>IFERROR(__xludf.DUMMYFUNCTION("""COMPUTED_VALUE"""),"Disponible")</f>
        <v>Disponible</v>
      </c>
      <c r="AR1157" s="97" t="str">
        <f>IFERROR(__xludf.DUMMYFUNCTION("""COMPUTED_VALUE"""),"Disponible")</f>
        <v>Disponible</v>
      </c>
      <c r="AS1157" s="97" t="str">
        <f>IFERROR(__xludf.DUMMYFUNCTION("""COMPUTED_VALUE"""),"Falta")</f>
        <v>Falta</v>
      </c>
      <c r="AT1157" s="97" t="str">
        <f>IFERROR(__xludf.DUMMYFUNCTION("""COMPUTED_VALUE"""),"Falta")</f>
        <v>Falta</v>
      </c>
      <c r="AU1157" s="97" t="str">
        <f>IFERROR(__xludf.DUMMYFUNCTION("""COMPUTED_VALUE"""),"Falta")</f>
        <v>Falta</v>
      </c>
      <c r="AV1157" s="97" t="str">
        <f>IFERROR(__xludf.DUMMYFUNCTION("""COMPUTED_VALUE"""),"Colgante")</f>
        <v>Colgante</v>
      </c>
      <c r="AW1157" s="97" t="str">
        <f>IFERROR(__xludf.DUMMYFUNCTION("""COMPUTED_VALUE"""),"De Techo")</f>
        <v>De Techo</v>
      </c>
      <c r="AX1157" s="97" t="str">
        <f>IFERROR(__xludf.DUMMYFUNCTION("""COMPUTED_VALUE"""),"Interior")</f>
        <v>Interior</v>
      </c>
      <c r="AY1157" s="97" t="str">
        <f>IFERROR(__xludf.DUMMYFUNCTION("""COMPUTED_VALUE"""),"-")</f>
        <v>-</v>
      </c>
      <c r="AZ1157" s="97" t="str">
        <f>IFERROR(__xludf.DUMMYFUNCTION("""COMPUTED_VALUE"""),"Largo total 2000mm. Florón: Ø 120 x 70mm.")</f>
        <v>Largo total 2000mm. Florón: Ø 120 x 70mm.</v>
      </c>
      <c r="BA1157" s="97">
        <f>IFERROR(__xludf.DUMMYFUNCTION("""COMPUTED_VALUE"""),1.0)</f>
        <v>1</v>
      </c>
      <c r="BB1157" s="97" t="str">
        <f>IFERROR(__xludf.DUMMYFUNCTION("""COMPUTED_VALUE"""),"-")</f>
        <v>-</v>
      </c>
      <c r="BC1157" s="97" t="str">
        <f>IFERROR(__xludf.DUMMYFUNCTION("""COMPUTED_VALUE"""),"-")</f>
        <v>-</v>
      </c>
      <c r="BD1157" s="97" t="str">
        <f>IFERROR(__xludf.DUMMYFUNCTION("""COMPUTED_VALUE"""),"MARDAI")</f>
        <v>MARDAI</v>
      </c>
      <c r="BE1157" s="97" t="str">
        <f>IFERROR(__xludf.DUMMYFUNCTION("""COMPUTED_VALUE"""),"Finalizada")</f>
        <v>Finalizada</v>
      </c>
      <c r="BF1157" s="97"/>
      <c r="BG1157" s="97" t="str">
        <f>IFERROR(__xludf.DUMMYFUNCTION("""COMPUTED_VALUE"""),"Activo")</f>
        <v>Activo</v>
      </c>
    </row>
    <row r="1158">
      <c r="A1158" s="97">
        <f>IFERROR(__xludf.DUMMYFUNCTION("""COMPUTED_VALUE"""),7076.0)</f>
        <v>7076</v>
      </c>
      <c r="B1158" s="97" t="str">
        <f>IFERROR(__xludf.DUMMYFUNCTION("""COMPUTED_VALUE"""),"MARDAI II NG")</f>
        <v>MARDAI II NG</v>
      </c>
      <c r="C1158" s="97" t="str">
        <f>IFERROR(__xludf.DUMMYFUNCTION("""COMPUTED_VALUE"""),"COLGANTE MARDAI II NG 12W 3000K 436LM CRI&gt;95 IP20 LEUK")</f>
        <v>COLGANTE MARDAI II NG 12W 3000K 436LM CRI&gt;95 IP20 LEUK</v>
      </c>
      <c r="D1158" s="97">
        <f>IFERROR(__xludf.DUMMYFUNCTION("""COMPUTED_VALUE"""),7.798413225952E12)</f>
        <v>7798413225952</v>
      </c>
      <c r="E1158" s="97" t="str">
        <f>IFERROR(__xludf.DUMMYFUNCTION("""COMPUTED_VALUE"""),"A170")</f>
        <v>A170</v>
      </c>
      <c r="F1158" s="97" t="str">
        <f>IFERROR(__xludf.DUMMYFUNCTION("""COMPUTED_VALUE"""),"LED SMD")</f>
        <v>LED SMD</v>
      </c>
      <c r="G1158" s="97" t="str">
        <f>IFERROR(__xludf.DUMMYFUNCTION("""COMPUTED_VALUE"""),"Lumileds")</f>
        <v>Lumileds</v>
      </c>
      <c r="H1158" s="97" t="str">
        <f>IFERROR(__xludf.DUMMYFUNCTION("""COMPUTED_VALUE"""),"AcTEC")</f>
        <v>AcTEC</v>
      </c>
      <c r="I1158" s="97"/>
      <c r="J1158" s="97" t="str">
        <f>IFERROR(__xludf.DUMMYFUNCTION("""COMPUTED_VALUE"""),"Modelo: RS-12-300T Dimm
In: 220-240Vac 0.08A 50/60Hz
Out: 20-40Vdc 300mA - 12W
Pf 0.95 tc 85°C Ta -20a60°C")</f>
        <v>Modelo: RS-12-300T Dimm
In: 220-240Vac 0.08A 50/60Hz
Out: 20-40Vdc 300mA - 12W
Pf 0.95 tc 85°C Ta -20a60°C</v>
      </c>
      <c r="K1158" s="97" t="str">
        <f>IFERROR(__xludf.DUMMYFUNCTION("""COMPUTED_VALUE"""),"TRIAC")</f>
        <v>TRIAC</v>
      </c>
      <c r="L1158" s="97" t="str">
        <f>IFERROR(__xludf.DUMMYFUNCTION("""COMPUTED_VALUE"""),"220-240")</f>
        <v>220-240</v>
      </c>
      <c r="M1158" s="97" t="str">
        <f>IFERROR(__xludf.DUMMYFUNCTION("""COMPUTED_VALUE"""),"50/60")</f>
        <v>50/60</v>
      </c>
      <c r="N1158" s="97"/>
      <c r="O1158" s="97">
        <f>IFERROR(__xludf.DUMMYFUNCTION("""COMPUTED_VALUE"""),12.0)</f>
        <v>12</v>
      </c>
      <c r="P1158" s="97"/>
      <c r="Q1158" s="97">
        <f>IFERROR(__xludf.DUMMYFUNCTION("""COMPUTED_VALUE"""),0.95)</f>
        <v>0.95</v>
      </c>
      <c r="R1158" s="97" t="str">
        <f>IFERROR(__xludf.DUMMYFUNCTION("""COMPUTED_VALUE"""),"-")</f>
        <v>-</v>
      </c>
      <c r="S1158" s="97" t="str">
        <f>IFERROR(__xludf.DUMMYFUNCTION("""COMPUTED_VALUE"""),"-")</f>
        <v>-</v>
      </c>
      <c r="T1158" s="97">
        <f>IFERROR(__xludf.DUMMYFUNCTION("""COMPUTED_VALUE"""),436.0)</f>
        <v>436</v>
      </c>
      <c r="U1158" s="99">
        <f>IFERROR(__xludf.DUMMYFUNCTION("""COMPUTED_VALUE"""),36.333333333333336)</f>
        <v>36.33333333</v>
      </c>
      <c r="V1158" s="97">
        <f>IFERROR(__xludf.DUMMYFUNCTION("""COMPUTED_VALUE"""),87.0)</f>
        <v>87</v>
      </c>
      <c r="W1158" s="97" t="str">
        <f>IFERROR(__xludf.DUMMYFUNCTION("""COMPUTED_VALUE"""),"&lt; 14")</f>
        <v>&lt; 14</v>
      </c>
      <c r="X1158" s="97">
        <f>IFERROR(__xludf.DUMMYFUNCTION("""COMPUTED_VALUE"""),3000.0)</f>
        <v>3000</v>
      </c>
      <c r="Y1158" s="97" t="str">
        <f>IFERROR(__xludf.DUMMYFUNCTION("""COMPUTED_VALUE"""),"&gt;95")</f>
        <v>&gt;95</v>
      </c>
      <c r="Z1158" s="97"/>
      <c r="AA1158" s="97"/>
      <c r="AB1158" s="97" t="str">
        <f>IFERROR(__xludf.DUMMYFUNCTION("""COMPUTED_VALUE"""),"&lt; 5")</f>
        <v>&lt; 5</v>
      </c>
      <c r="AC1158" s="97"/>
      <c r="AD1158" s="97" t="str">
        <f>IFERROR(__xludf.DUMMYFUNCTION("""COMPUTED_VALUE"""),"IP20")</f>
        <v>IP20</v>
      </c>
      <c r="AE1158" s="97" t="str">
        <f>IFERROR(__xludf.DUMMYFUNCTION("""COMPUTED_VALUE"""),"Clase l")</f>
        <v>Clase l</v>
      </c>
      <c r="AF1158" s="97" t="str">
        <f>IFERROR(__xludf.DUMMYFUNCTION("""COMPUTED_VALUE"""),"Suspender")</f>
        <v>Suspender</v>
      </c>
      <c r="AG1158" s="97" t="str">
        <f>IFERROR(__xludf.DUMMYFUNCTION("""COMPUTED_VALUE"""),"Ø730 x 400")</f>
        <v>Ø730 x 400</v>
      </c>
      <c r="AH1158" s="97" t="str">
        <f>IFERROR(__xludf.DUMMYFUNCTION("""COMPUTED_VALUE"""),"N/A")</f>
        <v>N/A</v>
      </c>
      <c r="AI1158" s="97" t="str">
        <f>IFERROR(__xludf.DUMMYFUNCTION("""COMPUTED_VALUE"""),"N/A")</f>
        <v>N/A</v>
      </c>
      <c r="AJ1158" s="97" t="str">
        <f>IFERROR(__xludf.DUMMYFUNCTION("""COMPUTED_VALUE"""),"PMMA")</f>
        <v>PMMA</v>
      </c>
      <c r="AK1158" s="97" t="str">
        <f>IFERROR(__xludf.DUMMYFUNCTION("""COMPUTED_VALUE"""),"Aluminio")</f>
        <v>Aluminio</v>
      </c>
      <c r="AL1158" s="97" t="str">
        <f>IFERROR(__xludf.DUMMYFUNCTION("""COMPUTED_VALUE"""),"Negro Satinado")</f>
        <v>Negro Satinado</v>
      </c>
      <c r="AM1158" s="97" t="str">
        <f>IFERROR(__xludf.DUMMYFUNCTION("""COMPUTED_VALUE"""),"-")</f>
        <v>-</v>
      </c>
      <c r="AN1158" s="97" t="str">
        <f>IFERROR(__xludf.DUMMYFUNCTION("""COMPUTED_VALUE"""),"30.000hs (L70)")</f>
        <v>30.000hs (L70)</v>
      </c>
      <c r="AO1158" s="97" t="str">
        <f>IFERROR(__xludf.DUMMYFUNCTION("""COMPUTED_VALUE"""),"3 Años")</f>
        <v>3 Años</v>
      </c>
      <c r="AP1158" s="97" t="str">
        <f>IFERROR(__xludf.DUMMYFUNCTION("""COMPUTED_VALUE"""),"Disponible")</f>
        <v>Disponible</v>
      </c>
      <c r="AQ1158" s="97" t="str">
        <f>IFERROR(__xludf.DUMMYFUNCTION("""COMPUTED_VALUE"""),"Disponible")</f>
        <v>Disponible</v>
      </c>
      <c r="AR1158" s="97" t="str">
        <f>IFERROR(__xludf.DUMMYFUNCTION("""COMPUTED_VALUE"""),"Disponible")</f>
        <v>Disponible</v>
      </c>
      <c r="AS1158" s="97" t="str">
        <f>IFERROR(__xludf.DUMMYFUNCTION("""COMPUTED_VALUE"""),"Falta")</f>
        <v>Falta</v>
      </c>
      <c r="AT1158" s="97" t="str">
        <f>IFERROR(__xludf.DUMMYFUNCTION("""COMPUTED_VALUE"""),"Falta")</f>
        <v>Falta</v>
      </c>
      <c r="AU1158" s="97" t="str">
        <f>IFERROR(__xludf.DUMMYFUNCTION("""COMPUTED_VALUE"""),"Falta")</f>
        <v>Falta</v>
      </c>
      <c r="AV1158" s="97" t="str">
        <f>IFERROR(__xludf.DUMMYFUNCTION("""COMPUTED_VALUE"""),"Colgante")</f>
        <v>Colgante</v>
      </c>
      <c r="AW1158" s="97" t="str">
        <f>IFERROR(__xludf.DUMMYFUNCTION("""COMPUTED_VALUE"""),"De Techo")</f>
        <v>De Techo</v>
      </c>
      <c r="AX1158" s="97" t="str">
        <f>IFERROR(__xludf.DUMMYFUNCTION("""COMPUTED_VALUE"""),"Interior")</f>
        <v>Interior</v>
      </c>
      <c r="AY1158" s="97" t="str">
        <f>IFERROR(__xludf.DUMMYFUNCTION("""COMPUTED_VALUE"""),"-")</f>
        <v>-</v>
      </c>
      <c r="AZ1158" s="97" t="str">
        <f>IFERROR(__xludf.DUMMYFUNCTION("""COMPUTED_VALUE"""),"Largo total 2000mm. Florón: Ø 120 x 70mm.")</f>
        <v>Largo total 2000mm. Florón: Ø 120 x 70mm.</v>
      </c>
      <c r="BA1158" s="97">
        <f>IFERROR(__xludf.DUMMYFUNCTION("""COMPUTED_VALUE"""),1.0)</f>
        <v>1</v>
      </c>
      <c r="BB1158" s="97" t="str">
        <f>IFERROR(__xludf.DUMMYFUNCTION("""COMPUTED_VALUE"""),"-")</f>
        <v>-</v>
      </c>
      <c r="BC1158" s="97" t="str">
        <f>IFERROR(__xludf.DUMMYFUNCTION("""COMPUTED_VALUE"""),"-")</f>
        <v>-</v>
      </c>
      <c r="BD1158" s="97" t="str">
        <f>IFERROR(__xludf.DUMMYFUNCTION("""COMPUTED_VALUE"""),"MARDAI")</f>
        <v>MARDAI</v>
      </c>
      <c r="BE1158" s="97" t="str">
        <f>IFERROR(__xludf.DUMMYFUNCTION("""COMPUTED_VALUE"""),"Finalizada")</f>
        <v>Finalizada</v>
      </c>
      <c r="BF1158" s="97"/>
      <c r="BG1158" s="97" t="str">
        <f>IFERROR(__xludf.DUMMYFUNCTION("""COMPUTED_VALUE"""),"Activo")</f>
        <v>Activo</v>
      </c>
    </row>
    <row r="1159">
      <c r="A1159" s="97">
        <f>IFERROR(__xludf.DUMMYFUNCTION("""COMPUTED_VALUE"""),7077.0)</f>
        <v>7077</v>
      </c>
      <c r="B1159" s="97" t="str">
        <f>IFERROR(__xludf.DUMMYFUNCTION("""COMPUTED_VALUE"""),"NIAO SU NG")</f>
        <v>NIAO SU NG</v>
      </c>
      <c r="C1159" s="97" t="str">
        <f>IFERROR(__xludf.DUMMYFUNCTION("""COMPUTED_VALUE"""),"COLGANTE NIAO SU NG 7W 3000K 476LM CRI&gt;90 IP20 LEUK")</f>
        <v>COLGANTE NIAO SU NG 7W 3000K 476LM CRI&gt;90 IP20 LEUK</v>
      </c>
      <c r="D1159" s="97">
        <f>IFERROR(__xludf.DUMMYFUNCTION("""COMPUTED_VALUE"""),7.798413225969E12)</f>
        <v>7798413225969</v>
      </c>
      <c r="E1159" s="97" t="str">
        <f>IFERROR(__xludf.DUMMYFUNCTION("""COMPUTED_VALUE"""),"A188")</f>
        <v>A188</v>
      </c>
      <c r="F1159" s="97" t="str">
        <f>IFERROR(__xludf.DUMMYFUNCTION("""COMPUTED_VALUE"""),"LED integrado")</f>
        <v>LED integrado</v>
      </c>
      <c r="G1159" s="97" t="str">
        <f>IFERROR(__xludf.DUMMYFUNCTION("""COMPUTED_VALUE"""),"OSRAM")</f>
        <v>OSRAM</v>
      </c>
      <c r="H1159" s="97" t="str">
        <f>IFERROR(__xludf.DUMMYFUNCTION("""COMPUTED_VALUE"""),"Eaglerise")</f>
        <v>Eaglerise</v>
      </c>
      <c r="I1159" s="97"/>
      <c r="J1159" s="97"/>
      <c r="K1159" s="97" t="str">
        <f>IFERROR(__xludf.DUMMYFUNCTION("""COMPUTED_VALUE"""),"ON/OFF")</f>
        <v>ON/OFF</v>
      </c>
      <c r="L1159" s="97" t="str">
        <f>IFERROR(__xludf.DUMMYFUNCTION("""COMPUTED_VALUE"""),"220-240")</f>
        <v>220-240</v>
      </c>
      <c r="M1159" s="97" t="str">
        <f>IFERROR(__xludf.DUMMYFUNCTION("""COMPUTED_VALUE"""),"50/60")</f>
        <v>50/60</v>
      </c>
      <c r="N1159" s="97" t="str">
        <f>IFERROR(__xludf.DUMMYFUNCTION("""COMPUTED_VALUE"""),"Directa-Simétrica")</f>
        <v>Directa-Simétrica</v>
      </c>
      <c r="O1159" s="97">
        <f>IFERROR(__xludf.DUMMYFUNCTION("""COMPUTED_VALUE"""),7.0)</f>
        <v>7</v>
      </c>
      <c r="P1159" s="97"/>
      <c r="Q1159" s="97">
        <f>IFERROR(__xludf.DUMMYFUNCTION("""COMPUTED_VALUE"""),0.6)</f>
        <v>0.6</v>
      </c>
      <c r="R1159" s="97" t="str">
        <f>IFERROR(__xludf.DUMMYFUNCTION("""COMPUTED_VALUE"""),"-")</f>
        <v>-</v>
      </c>
      <c r="S1159" s="97" t="str">
        <f>IFERROR(__xludf.DUMMYFUNCTION("""COMPUTED_VALUE"""),"-")</f>
        <v>-</v>
      </c>
      <c r="T1159" s="97">
        <f>IFERROR(__xludf.DUMMYFUNCTION("""COMPUTED_VALUE"""),476.0)</f>
        <v>476</v>
      </c>
      <c r="U1159" s="97">
        <f>IFERROR(__xludf.DUMMYFUNCTION("""COMPUTED_VALUE"""),68.0)</f>
        <v>68</v>
      </c>
      <c r="V1159" s="97">
        <f>IFERROR(__xludf.DUMMYFUNCTION("""COMPUTED_VALUE"""),62.0)</f>
        <v>62</v>
      </c>
      <c r="W1159" s="97" t="str">
        <f>IFERROR(__xludf.DUMMYFUNCTION("""COMPUTED_VALUE"""),"&lt; 18")</f>
        <v>&lt; 18</v>
      </c>
      <c r="X1159" s="97">
        <f>IFERROR(__xludf.DUMMYFUNCTION("""COMPUTED_VALUE"""),3000.0)</f>
        <v>3000</v>
      </c>
      <c r="Y1159" s="97" t="str">
        <f>IFERROR(__xludf.DUMMYFUNCTION("""COMPUTED_VALUE"""),"&gt;90")</f>
        <v>&gt;90</v>
      </c>
      <c r="Z1159" s="97"/>
      <c r="AA1159" s="97"/>
      <c r="AB1159" s="97" t="str">
        <f>IFERROR(__xludf.DUMMYFUNCTION("""COMPUTED_VALUE"""),"&lt; 2")</f>
        <v>&lt; 2</v>
      </c>
      <c r="AC1159" s="97"/>
      <c r="AD1159" s="97" t="str">
        <f>IFERROR(__xludf.DUMMYFUNCTION("""COMPUTED_VALUE"""),"IP20")</f>
        <v>IP20</v>
      </c>
      <c r="AE1159" s="97" t="str">
        <f>IFERROR(__xludf.DUMMYFUNCTION("""COMPUTED_VALUE"""),"Clase l")</f>
        <v>Clase l</v>
      </c>
      <c r="AF1159" s="97" t="str">
        <f>IFERROR(__xludf.DUMMYFUNCTION("""COMPUTED_VALUE"""),"Suspender")</f>
        <v>Suspender</v>
      </c>
      <c r="AG1159" s="97" t="str">
        <f>IFERROR(__xludf.DUMMYFUNCTION("""COMPUTED_VALUE"""),"Ø110 x 240")</f>
        <v>Ø110 x 240</v>
      </c>
      <c r="AH1159" s="97" t="str">
        <f>IFERROR(__xludf.DUMMYFUNCTION("""COMPUTED_VALUE"""),"N/A")</f>
        <v>N/A</v>
      </c>
      <c r="AI1159" s="97" t="str">
        <f>IFERROR(__xludf.DUMMYFUNCTION("""COMPUTED_VALUE"""),"N/A")</f>
        <v>N/A</v>
      </c>
      <c r="AJ1159" s="97" t="str">
        <f>IFERROR(__xludf.DUMMYFUNCTION("""COMPUTED_VALUE"""),"Vidrio")</f>
        <v>Vidrio</v>
      </c>
      <c r="AK1159" s="97" t="str">
        <f>IFERROR(__xludf.DUMMYFUNCTION("""COMPUTED_VALUE"""),"Aluminio")</f>
        <v>Aluminio</v>
      </c>
      <c r="AL1159" s="97" t="str">
        <f>IFERROR(__xludf.DUMMYFUNCTION("""COMPUTED_VALUE"""),"Negro Mate")</f>
        <v>Negro Mate</v>
      </c>
      <c r="AM1159" s="97" t="str">
        <f>IFERROR(__xludf.DUMMYFUNCTION("""COMPUTED_VALUE"""),"-")</f>
        <v>-</v>
      </c>
      <c r="AN1159" s="97" t="str">
        <f>IFERROR(__xludf.DUMMYFUNCTION("""COMPUTED_VALUE"""),"25.000hs (L70)")</f>
        <v>25.000hs (L70)</v>
      </c>
      <c r="AO1159" s="97" t="str">
        <f>IFERROR(__xludf.DUMMYFUNCTION("""COMPUTED_VALUE"""),"2 Años")</f>
        <v>2 Años</v>
      </c>
      <c r="AP1159" s="97" t="str">
        <f>IFERROR(__xludf.DUMMYFUNCTION("""COMPUTED_VALUE"""),"Disponible")</f>
        <v>Disponible</v>
      </c>
      <c r="AQ1159" s="97" t="str">
        <f>IFERROR(__xludf.DUMMYFUNCTION("""COMPUTED_VALUE"""),"Disponible")</f>
        <v>Disponible</v>
      </c>
      <c r="AR1159" s="97" t="str">
        <f>IFERROR(__xludf.DUMMYFUNCTION("""COMPUTED_VALUE"""),"Disponible")</f>
        <v>Disponible</v>
      </c>
      <c r="AS1159" s="97" t="str">
        <f>IFERROR(__xludf.DUMMYFUNCTION("""COMPUTED_VALUE"""),"Falta")</f>
        <v>Falta</v>
      </c>
      <c r="AT1159" s="97" t="str">
        <f>IFERROR(__xludf.DUMMYFUNCTION("""COMPUTED_VALUE"""),"Falta")</f>
        <v>Falta</v>
      </c>
      <c r="AU1159" s="97" t="str">
        <f>IFERROR(__xludf.DUMMYFUNCTION("""COMPUTED_VALUE"""),"Falta")</f>
        <v>Falta</v>
      </c>
      <c r="AV1159" s="97" t="str">
        <f>IFERROR(__xludf.DUMMYFUNCTION("""COMPUTED_VALUE"""),"Colgante")</f>
        <v>Colgante</v>
      </c>
      <c r="AW1159" s="97" t="str">
        <f>IFERROR(__xludf.DUMMYFUNCTION("""COMPUTED_VALUE"""),"De Techo")</f>
        <v>De Techo</v>
      </c>
      <c r="AX1159" s="97" t="str">
        <f>IFERROR(__xludf.DUMMYFUNCTION("""COMPUTED_VALUE"""),"Interior")</f>
        <v>Interior</v>
      </c>
      <c r="AY1159" s="97" t="str">
        <f>IFERROR(__xludf.DUMMYFUNCTION("""COMPUTED_VALUE"""),"Niao")</f>
        <v>Niao</v>
      </c>
      <c r="AZ1159" s="97" t="str">
        <f>IFERROR(__xludf.DUMMYFUNCTION("""COMPUTED_VALUE"""),"Largo total 2500mm. Florón: Ø60 x 130mm.")</f>
        <v>Largo total 2500mm. Florón: Ø60 x 130mm.</v>
      </c>
      <c r="BA1159" s="97">
        <f>IFERROR(__xludf.DUMMYFUNCTION("""COMPUTED_VALUE"""),20.0)</f>
        <v>20</v>
      </c>
      <c r="BB1159" s="97" t="str">
        <f>IFERROR(__xludf.DUMMYFUNCTION("""COMPUTED_VALUE"""),"-")</f>
        <v>-</v>
      </c>
      <c r="BC1159" s="97" t="str">
        <f>IFERROR(__xludf.DUMMYFUNCTION("""COMPUTED_VALUE"""),"-")</f>
        <v>-</v>
      </c>
      <c r="BD1159" s="97" t="str">
        <f>IFERROR(__xludf.DUMMYFUNCTION("""COMPUTED_VALUE"""),"NIAO")</f>
        <v>NIAO</v>
      </c>
      <c r="BE1159" s="97" t="str">
        <f>IFERROR(__xludf.DUMMYFUNCTION("""COMPUTED_VALUE"""),"Finalizada")</f>
        <v>Finalizada</v>
      </c>
      <c r="BF1159" s="97"/>
      <c r="BG1159" s="97" t="str">
        <f>IFERROR(__xludf.DUMMYFUNCTION("""COMPUTED_VALUE"""),"Activo")</f>
        <v>Activo</v>
      </c>
    </row>
    <row r="1160">
      <c r="A1160" s="97">
        <f>IFERROR(__xludf.DUMMYFUNCTION("""COMPUTED_VALUE"""),7078.0)</f>
        <v>7078</v>
      </c>
      <c r="B1160" s="97" t="str">
        <f>IFERROR(__xludf.DUMMYFUNCTION("""COMPUTED_VALUE"""),"NIAO SU BL")</f>
        <v>NIAO SU BL</v>
      </c>
      <c r="C1160" s="97" t="str">
        <f>IFERROR(__xludf.DUMMYFUNCTION("""COMPUTED_VALUE"""),"COLGANTE NIAO SU BL 7W 3000K 476LM CRI&gt;90 IP20 LEUK")</f>
        <v>COLGANTE NIAO SU BL 7W 3000K 476LM CRI&gt;90 IP20 LEUK</v>
      </c>
      <c r="D1160" s="97">
        <f>IFERROR(__xludf.DUMMYFUNCTION("""COMPUTED_VALUE"""),7.798413225976E12)</f>
        <v>7798413225976</v>
      </c>
      <c r="E1160" s="97" t="str">
        <f>IFERROR(__xludf.DUMMYFUNCTION("""COMPUTED_VALUE"""),"A188")</f>
        <v>A188</v>
      </c>
      <c r="F1160" s="97" t="str">
        <f>IFERROR(__xludf.DUMMYFUNCTION("""COMPUTED_VALUE"""),"LED integrado")</f>
        <v>LED integrado</v>
      </c>
      <c r="G1160" s="97" t="str">
        <f>IFERROR(__xludf.DUMMYFUNCTION("""COMPUTED_VALUE"""),"OSRAM")</f>
        <v>OSRAM</v>
      </c>
      <c r="H1160" s="97" t="str">
        <f>IFERROR(__xludf.DUMMYFUNCTION("""COMPUTED_VALUE"""),"Eaglerise")</f>
        <v>Eaglerise</v>
      </c>
      <c r="I1160" s="97"/>
      <c r="J1160" s="97"/>
      <c r="K1160" s="97" t="str">
        <f>IFERROR(__xludf.DUMMYFUNCTION("""COMPUTED_VALUE"""),"ON/OFF")</f>
        <v>ON/OFF</v>
      </c>
      <c r="L1160" s="97" t="str">
        <f>IFERROR(__xludf.DUMMYFUNCTION("""COMPUTED_VALUE"""),"220-240")</f>
        <v>220-240</v>
      </c>
      <c r="M1160" s="97" t="str">
        <f>IFERROR(__xludf.DUMMYFUNCTION("""COMPUTED_VALUE"""),"50/60")</f>
        <v>50/60</v>
      </c>
      <c r="N1160" s="97" t="str">
        <f>IFERROR(__xludf.DUMMYFUNCTION("""COMPUTED_VALUE"""),"Directa-Simétrica")</f>
        <v>Directa-Simétrica</v>
      </c>
      <c r="O1160" s="97">
        <f>IFERROR(__xludf.DUMMYFUNCTION("""COMPUTED_VALUE"""),7.0)</f>
        <v>7</v>
      </c>
      <c r="P1160" s="97"/>
      <c r="Q1160" s="97">
        <f>IFERROR(__xludf.DUMMYFUNCTION("""COMPUTED_VALUE"""),0.6)</f>
        <v>0.6</v>
      </c>
      <c r="R1160" s="97" t="str">
        <f>IFERROR(__xludf.DUMMYFUNCTION("""COMPUTED_VALUE"""),"-")</f>
        <v>-</v>
      </c>
      <c r="S1160" s="97" t="str">
        <f>IFERROR(__xludf.DUMMYFUNCTION("""COMPUTED_VALUE"""),"-")</f>
        <v>-</v>
      </c>
      <c r="T1160" s="97">
        <f>IFERROR(__xludf.DUMMYFUNCTION("""COMPUTED_VALUE"""),476.0)</f>
        <v>476</v>
      </c>
      <c r="U1160" s="97">
        <f>IFERROR(__xludf.DUMMYFUNCTION("""COMPUTED_VALUE"""),68.0)</f>
        <v>68</v>
      </c>
      <c r="V1160" s="97">
        <f>IFERROR(__xludf.DUMMYFUNCTION("""COMPUTED_VALUE"""),62.0)</f>
        <v>62</v>
      </c>
      <c r="W1160" s="97" t="str">
        <f>IFERROR(__xludf.DUMMYFUNCTION("""COMPUTED_VALUE"""),"&lt; 18")</f>
        <v>&lt; 18</v>
      </c>
      <c r="X1160" s="97">
        <f>IFERROR(__xludf.DUMMYFUNCTION("""COMPUTED_VALUE"""),3000.0)</f>
        <v>3000</v>
      </c>
      <c r="Y1160" s="97" t="str">
        <f>IFERROR(__xludf.DUMMYFUNCTION("""COMPUTED_VALUE"""),"&gt;90")</f>
        <v>&gt;90</v>
      </c>
      <c r="Z1160" s="97"/>
      <c r="AA1160" s="97"/>
      <c r="AB1160" s="97" t="str">
        <f>IFERROR(__xludf.DUMMYFUNCTION("""COMPUTED_VALUE"""),"&lt; 2")</f>
        <v>&lt; 2</v>
      </c>
      <c r="AC1160" s="97"/>
      <c r="AD1160" s="97" t="str">
        <f>IFERROR(__xludf.DUMMYFUNCTION("""COMPUTED_VALUE"""),"IP20")</f>
        <v>IP20</v>
      </c>
      <c r="AE1160" s="97" t="str">
        <f>IFERROR(__xludf.DUMMYFUNCTION("""COMPUTED_VALUE"""),"Clase l")</f>
        <v>Clase l</v>
      </c>
      <c r="AF1160" s="97" t="str">
        <f>IFERROR(__xludf.DUMMYFUNCTION("""COMPUTED_VALUE"""),"Suspender")</f>
        <v>Suspender</v>
      </c>
      <c r="AG1160" s="97" t="str">
        <f>IFERROR(__xludf.DUMMYFUNCTION("""COMPUTED_VALUE"""),"Ø110 x 240")</f>
        <v>Ø110 x 240</v>
      </c>
      <c r="AH1160" s="97" t="str">
        <f>IFERROR(__xludf.DUMMYFUNCTION("""COMPUTED_VALUE"""),"N/A")</f>
        <v>N/A</v>
      </c>
      <c r="AI1160" s="97" t="str">
        <f>IFERROR(__xludf.DUMMYFUNCTION("""COMPUTED_VALUE"""),"N/A")</f>
        <v>N/A</v>
      </c>
      <c r="AJ1160" s="97" t="str">
        <f>IFERROR(__xludf.DUMMYFUNCTION("""COMPUTED_VALUE"""),"Vidrio")</f>
        <v>Vidrio</v>
      </c>
      <c r="AK1160" s="97" t="str">
        <f>IFERROR(__xludf.DUMMYFUNCTION("""COMPUTED_VALUE"""),"Aluminio")</f>
        <v>Aluminio</v>
      </c>
      <c r="AL1160" s="97" t="str">
        <f>IFERROR(__xludf.DUMMYFUNCTION("""COMPUTED_VALUE"""),"Blanco Mate")</f>
        <v>Blanco Mate</v>
      </c>
      <c r="AM1160" s="97" t="str">
        <f>IFERROR(__xludf.DUMMYFUNCTION("""COMPUTED_VALUE"""),"-")</f>
        <v>-</v>
      </c>
      <c r="AN1160" s="97" t="str">
        <f>IFERROR(__xludf.DUMMYFUNCTION("""COMPUTED_VALUE"""),"25.000hs (L70)")</f>
        <v>25.000hs (L70)</v>
      </c>
      <c r="AO1160" s="97" t="str">
        <f>IFERROR(__xludf.DUMMYFUNCTION("""COMPUTED_VALUE"""),"2 Años")</f>
        <v>2 Años</v>
      </c>
      <c r="AP1160" s="97" t="str">
        <f>IFERROR(__xludf.DUMMYFUNCTION("""COMPUTED_VALUE"""),"Disponible")</f>
        <v>Disponible</v>
      </c>
      <c r="AQ1160" s="97" t="str">
        <f>IFERROR(__xludf.DUMMYFUNCTION("""COMPUTED_VALUE"""),"Disponible")</f>
        <v>Disponible</v>
      </c>
      <c r="AR1160" s="97" t="str">
        <f>IFERROR(__xludf.DUMMYFUNCTION("""COMPUTED_VALUE"""),"Disponible")</f>
        <v>Disponible</v>
      </c>
      <c r="AS1160" s="97" t="str">
        <f>IFERROR(__xludf.DUMMYFUNCTION("""COMPUTED_VALUE"""),"Falta")</f>
        <v>Falta</v>
      </c>
      <c r="AT1160" s="97" t="str">
        <f>IFERROR(__xludf.DUMMYFUNCTION("""COMPUTED_VALUE"""),"Falta")</f>
        <v>Falta</v>
      </c>
      <c r="AU1160" s="97" t="str">
        <f>IFERROR(__xludf.DUMMYFUNCTION("""COMPUTED_VALUE"""),"Falta")</f>
        <v>Falta</v>
      </c>
      <c r="AV1160" s="97" t="str">
        <f>IFERROR(__xludf.DUMMYFUNCTION("""COMPUTED_VALUE"""),"Colgante")</f>
        <v>Colgante</v>
      </c>
      <c r="AW1160" s="97" t="str">
        <f>IFERROR(__xludf.DUMMYFUNCTION("""COMPUTED_VALUE"""),"De Techo")</f>
        <v>De Techo</v>
      </c>
      <c r="AX1160" s="97" t="str">
        <f>IFERROR(__xludf.DUMMYFUNCTION("""COMPUTED_VALUE"""),"Interior")</f>
        <v>Interior</v>
      </c>
      <c r="AY1160" s="97" t="str">
        <f>IFERROR(__xludf.DUMMYFUNCTION("""COMPUTED_VALUE"""),"Niao")</f>
        <v>Niao</v>
      </c>
      <c r="AZ1160" s="97" t="str">
        <f>IFERROR(__xludf.DUMMYFUNCTION("""COMPUTED_VALUE"""),"Largo total 2500mm. Florón: Ø60 x 130mm.")</f>
        <v>Largo total 2500mm. Florón: Ø60 x 130mm.</v>
      </c>
      <c r="BA1160" s="97">
        <f>IFERROR(__xludf.DUMMYFUNCTION("""COMPUTED_VALUE"""),20.0)</f>
        <v>20</v>
      </c>
      <c r="BB1160" s="97" t="str">
        <f>IFERROR(__xludf.DUMMYFUNCTION("""COMPUTED_VALUE"""),"-")</f>
        <v>-</v>
      </c>
      <c r="BC1160" s="97" t="str">
        <f>IFERROR(__xludf.DUMMYFUNCTION("""COMPUTED_VALUE"""),"-")</f>
        <v>-</v>
      </c>
      <c r="BD1160" s="97" t="str">
        <f>IFERROR(__xludf.DUMMYFUNCTION("""COMPUTED_VALUE"""),"NIAO")</f>
        <v>NIAO</v>
      </c>
      <c r="BE1160" s="97" t="str">
        <f>IFERROR(__xludf.DUMMYFUNCTION("""COMPUTED_VALUE"""),"Finalizada")</f>
        <v>Finalizada</v>
      </c>
      <c r="BF1160" s="97"/>
      <c r="BG1160" s="97" t="str">
        <f>IFERROR(__xludf.DUMMYFUNCTION("""COMPUTED_VALUE"""),"Activo")</f>
        <v>Activo</v>
      </c>
    </row>
    <row r="1161">
      <c r="A1161" s="97">
        <f>IFERROR(__xludf.DUMMYFUNCTION("""COMPUTED_VALUE"""),7079.0)</f>
        <v>7079</v>
      </c>
      <c r="B1161" s="97" t="str">
        <f>IFERROR(__xludf.DUMMYFUNCTION("""COMPUTED_VALUE"""),"NIAO NG")</f>
        <v>NIAO NG</v>
      </c>
      <c r="C1161" s="97" t="str">
        <f>IFERROR(__xludf.DUMMYFUNCTION("""COMPUTED_VALUE"""),"COLGANTE NIAO NG 7W 3000K 476LM CRI&gt;90 IP20 LEUK")</f>
        <v>COLGANTE NIAO NG 7W 3000K 476LM CRI&gt;90 IP20 LEUK</v>
      </c>
      <c r="D1161" s="97">
        <f>IFERROR(__xludf.DUMMYFUNCTION("""COMPUTED_VALUE"""),7.798413225983E12)</f>
        <v>7798413225983</v>
      </c>
      <c r="E1161" s="97" t="str">
        <f>IFERROR(__xludf.DUMMYFUNCTION("""COMPUTED_VALUE"""),"A189")</f>
        <v>A189</v>
      </c>
      <c r="F1161" s="97" t="str">
        <f>IFERROR(__xludf.DUMMYFUNCTION("""COMPUTED_VALUE"""),"LED integrado")</f>
        <v>LED integrado</v>
      </c>
      <c r="G1161" s="97" t="str">
        <f>IFERROR(__xludf.DUMMYFUNCTION("""COMPUTED_VALUE"""),"OSRAM")</f>
        <v>OSRAM</v>
      </c>
      <c r="H1161" s="97" t="str">
        <f>IFERROR(__xludf.DUMMYFUNCTION("""COMPUTED_VALUE"""),"Eaglerise")</f>
        <v>Eaglerise</v>
      </c>
      <c r="I1161" s="97"/>
      <c r="J1161" s="97"/>
      <c r="K1161" s="97" t="str">
        <f>IFERROR(__xludf.DUMMYFUNCTION("""COMPUTED_VALUE"""),"ON/OFF")</f>
        <v>ON/OFF</v>
      </c>
      <c r="L1161" s="97" t="str">
        <f>IFERROR(__xludf.DUMMYFUNCTION("""COMPUTED_VALUE"""),"220-240")</f>
        <v>220-240</v>
      </c>
      <c r="M1161" s="97" t="str">
        <f>IFERROR(__xludf.DUMMYFUNCTION("""COMPUTED_VALUE"""),"50/60")</f>
        <v>50/60</v>
      </c>
      <c r="N1161" s="97" t="str">
        <f>IFERROR(__xludf.DUMMYFUNCTION("""COMPUTED_VALUE"""),"Directa-Simétrica")</f>
        <v>Directa-Simétrica</v>
      </c>
      <c r="O1161" s="97">
        <f>IFERROR(__xludf.DUMMYFUNCTION("""COMPUTED_VALUE"""),7.0)</f>
        <v>7</v>
      </c>
      <c r="P1161" s="97"/>
      <c r="Q1161" s="97">
        <f>IFERROR(__xludf.DUMMYFUNCTION("""COMPUTED_VALUE"""),0.6)</f>
        <v>0.6</v>
      </c>
      <c r="R1161" s="97" t="str">
        <f>IFERROR(__xludf.DUMMYFUNCTION("""COMPUTED_VALUE"""),"-")</f>
        <v>-</v>
      </c>
      <c r="S1161" s="97" t="str">
        <f>IFERROR(__xludf.DUMMYFUNCTION("""COMPUTED_VALUE"""),"-")</f>
        <v>-</v>
      </c>
      <c r="T1161" s="97">
        <f>IFERROR(__xludf.DUMMYFUNCTION("""COMPUTED_VALUE"""),476.0)</f>
        <v>476</v>
      </c>
      <c r="U1161" s="97">
        <f>IFERROR(__xludf.DUMMYFUNCTION("""COMPUTED_VALUE"""),68.0)</f>
        <v>68</v>
      </c>
      <c r="V1161" s="97">
        <f>IFERROR(__xludf.DUMMYFUNCTION("""COMPUTED_VALUE"""),62.0)</f>
        <v>62</v>
      </c>
      <c r="W1161" s="97" t="str">
        <f>IFERROR(__xludf.DUMMYFUNCTION("""COMPUTED_VALUE"""),"&lt; 18")</f>
        <v>&lt; 18</v>
      </c>
      <c r="X1161" s="97">
        <f>IFERROR(__xludf.DUMMYFUNCTION("""COMPUTED_VALUE"""),3000.0)</f>
        <v>3000</v>
      </c>
      <c r="Y1161" s="97" t="str">
        <f>IFERROR(__xludf.DUMMYFUNCTION("""COMPUTED_VALUE"""),"&gt;90")</f>
        <v>&gt;90</v>
      </c>
      <c r="Z1161" s="97"/>
      <c r="AA1161" s="97"/>
      <c r="AB1161" s="97" t="str">
        <f>IFERROR(__xludf.DUMMYFUNCTION("""COMPUTED_VALUE"""),"&lt; 2")</f>
        <v>&lt; 2</v>
      </c>
      <c r="AC1161" s="97"/>
      <c r="AD1161" s="97" t="str">
        <f>IFERROR(__xludf.DUMMYFUNCTION("""COMPUTED_VALUE"""),"IP20")</f>
        <v>IP20</v>
      </c>
      <c r="AE1161" s="97" t="str">
        <f>IFERROR(__xludf.DUMMYFUNCTION("""COMPUTED_VALUE"""),"Clase l")</f>
        <v>Clase l</v>
      </c>
      <c r="AF1161" s="97" t="str">
        <f>IFERROR(__xludf.DUMMYFUNCTION("""COMPUTED_VALUE"""),"Suspender")</f>
        <v>Suspender</v>
      </c>
      <c r="AG1161" s="97" t="str">
        <f>IFERROR(__xludf.DUMMYFUNCTION("""COMPUTED_VALUE"""),"Ø250 x 240")</f>
        <v>Ø250 x 240</v>
      </c>
      <c r="AH1161" s="97" t="str">
        <f>IFERROR(__xludf.DUMMYFUNCTION("""COMPUTED_VALUE"""),"N/A")</f>
        <v>N/A</v>
      </c>
      <c r="AI1161" s="97" t="str">
        <f>IFERROR(__xludf.DUMMYFUNCTION("""COMPUTED_VALUE"""),"N/A")</f>
        <v>N/A</v>
      </c>
      <c r="AJ1161" s="97" t="str">
        <f>IFERROR(__xludf.DUMMYFUNCTION("""COMPUTED_VALUE"""),"Vidrio")</f>
        <v>Vidrio</v>
      </c>
      <c r="AK1161" s="97" t="str">
        <f>IFERROR(__xludf.DUMMYFUNCTION("""COMPUTED_VALUE"""),"Aluminio")</f>
        <v>Aluminio</v>
      </c>
      <c r="AL1161" s="97" t="str">
        <f>IFERROR(__xludf.DUMMYFUNCTION("""COMPUTED_VALUE"""),"Negro Mate")</f>
        <v>Negro Mate</v>
      </c>
      <c r="AM1161" s="97" t="str">
        <f>IFERROR(__xludf.DUMMYFUNCTION("""COMPUTED_VALUE"""),"-")</f>
        <v>-</v>
      </c>
      <c r="AN1161" s="97" t="str">
        <f>IFERROR(__xludf.DUMMYFUNCTION("""COMPUTED_VALUE"""),"25.000hs (L70)")</f>
        <v>25.000hs (L70)</v>
      </c>
      <c r="AO1161" s="97" t="str">
        <f>IFERROR(__xludf.DUMMYFUNCTION("""COMPUTED_VALUE"""),"2 Años")</f>
        <v>2 Años</v>
      </c>
      <c r="AP1161" s="97" t="str">
        <f>IFERROR(__xludf.DUMMYFUNCTION("""COMPUTED_VALUE"""),"Disponible")</f>
        <v>Disponible</v>
      </c>
      <c r="AQ1161" s="97" t="str">
        <f>IFERROR(__xludf.DUMMYFUNCTION("""COMPUTED_VALUE"""),"Disponible")</f>
        <v>Disponible</v>
      </c>
      <c r="AR1161" s="97" t="str">
        <f>IFERROR(__xludf.DUMMYFUNCTION("""COMPUTED_VALUE"""),"Disponible")</f>
        <v>Disponible</v>
      </c>
      <c r="AS1161" s="97" t="str">
        <f>IFERROR(__xludf.DUMMYFUNCTION("""COMPUTED_VALUE"""),"Falta")</f>
        <v>Falta</v>
      </c>
      <c r="AT1161" s="97" t="str">
        <f>IFERROR(__xludf.DUMMYFUNCTION("""COMPUTED_VALUE"""),"Falta")</f>
        <v>Falta</v>
      </c>
      <c r="AU1161" s="97" t="str">
        <f>IFERROR(__xludf.DUMMYFUNCTION("""COMPUTED_VALUE"""),"Falta")</f>
        <v>Falta</v>
      </c>
      <c r="AV1161" s="97" t="str">
        <f>IFERROR(__xludf.DUMMYFUNCTION("""COMPUTED_VALUE"""),"Colgante")</f>
        <v>Colgante</v>
      </c>
      <c r="AW1161" s="97" t="str">
        <f>IFERROR(__xludf.DUMMYFUNCTION("""COMPUTED_VALUE"""),"De Techo")</f>
        <v>De Techo</v>
      </c>
      <c r="AX1161" s="97" t="str">
        <f>IFERROR(__xludf.DUMMYFUNCTION("""COMPUTED_VALUE"""),"Interior")</f>
        <v>Interior</v>
      </c>
      <c r="AY1161" s="97" t="str">
        <f>IFERROR(__xludf.DUMMYFUNCTION("""COMPUTED_VALUE"""),"Niao")</f>
        <v>Niao</v>
      </c>
      <c r="AZ1161" s="97" t="str">
        <f>IFERROR(__xludf.DUMMYFUNCTION("""COMPUTED_VALUE"""),"Pantalla reversible. Largo total 2500mm. Florón Ø60 x 130mm ")</f>
        <v>Pantalla reversible. Largo total 2500mm. Florón Ø60 x 130mm </v>
      </c>
      <c r="BA1161" s="97">
        <f>IFERROR(__xludf.DUMMYFUNCTION("""COMPUTED_VALUE"""),20.0)</f>
        <v>20</v>
      </c>
      <c r="BB1161" s="97" t="str">
        <f>IFERROR(__xludf.DUMMYFUNCTION("""COMPUTED_VALUE"""),"-")</f>
        <v>-</v>
      </c>
      <c r="BC1161" s="97" t="str">
        <f>IFERROR(__xludf.DUMMYFUNCTION("""COMPUTED_VALUE"""),"-")</f>
        <v>-</v>
      </c>
      <c r="BD1161" s="97" t="str">
        <f>IFERROR(__xludf.DUMMYFUNCTION("""COMPUTED_VALUE"""),"NIAO")</f>
        <v>NIAO</v>
      </c>
      <c r="BE1161" s="97" t="str">
        <f>IFERROR(__xludf.DUMMYFUNCTION("""COMPUTED_VALUE"""),"Finalizada")</f>
        <v>Finalizada</v>
      </c>
      <c r="BF1161" s="97"/>
      <c r="BG1161" s="97" t="str">
        <f>IFERROR(__xludf.DUMMYFUNCTION("""COMPUTED_VALUE"""),"Activo")</f>
        <v>Activo</v>
      </c>
    </row>
    <row r="1162">
      <c r="A1162" s="97">
        <f>IFERROR(__xludf.DUMMYFUNCTION("""COMPUTED_VALUE"""),7080.0)</f>
        <v>7080</v>
      </c>
      <c r="B1162" s="97" t="str">
        <f>IFERROR(__xludf.DUMMYFUNCTION("""COMPUTED_VALUE"""),"NIAO BL")</f>
        <v>NIAO BL</v>
      </c>
      <c r="C1162" s="97" t="str">
        <f>IFERROR(__xludf.DUMMYFUNCTION("""COMPUTED_VALUE"""),"COLGANTE NIAO BL 7W 3000K 476LM CRI&gt;90 IP20 LEUK")</f>
        <v>COLGANTE NIAO BL 7W 3000K 476LM CRI&gt;90 IP20 LEUK</v>
      </c>
      <c r="D1162" s="97">
        <f>IFERROR(__xludf.DUMMYFUNCTION("""COMPUTED_VALUE"""),7.79841322599E12)</f>
        <v>7798413225990</v>
      </c>
      <c r="E1162" s="97" t="str">
        <f>IFERROR(__xludf.DUMMYFUNCTION("""COMPUTED_VALUE"""),"A189")</f>
        <v>A189</v>
      </c>
      <c r="F1162" s="97" t="str">
        <f>IFERROR(__xludf.DUMMYFUNCTION("""COMPUTED_VALUE"""),"LED integrado")</f>
        <v>LED integrado</v>
      </c>
      <c r="G1162" s="97" t="str">
        <f>IFERROR(__xludf.DUMMYFUNCTION("""COMPUTED_VALUE"""),"OSRAM")</f>
        <v>OSRAM</v>
      </c>
      <c r="H1162" s="97" t="str">
        <f>IFERROR(__xludf.DUMMYFUNCTION("""COMPUTED_VALUE"""),"Eaglerise")</f>
        <v>Eaglerise</v>
      </c>
      <c r="I1162" s="97"/>
      <c r="J1162" s="97"/>
      <c r="K1162" s="97" t="str">
        <f>IFERROR(__xludf.DUMMYFUNCTION("""COMPUTED_VALUE"""),"ON/OFF")</f>
        <v>ON/OFF</v>
      </c>
      <c r="L1162" s="97" t="str">
        <f>IFERROR(__xludf.DUMMYFUNCTION("""COMPUTED_VALUE"""),"220-240")</f>
        <v>220-240</v>
      </c>
      <c r="M1162" s="97" t="str">
        <f>IFERROR(__xludf.DUMMYFUNCTION("""COMPUTED_VALUE"""),"50/60")</f>
        <v>50/60</v>
      </c>
      <c r="N1162" s="97" t="str">
        <f>IFERROR(__xludf.DUMMYFUNCTION("""COMPUTED_VALUE"""),"Directa-Simétrica")</f>
        <v>Directa-Simétrica</v>
      </c>
      <c r="O1162" s="97">
        <f>IFERROR(__xludf.DUMMYFUNCTION("""COMPUTED_VALUE"""),7.0)</f>
        <v>7</v>
      </c>
      <c r="P1162" s="97"/>
      <c r="Q1162" s="97">
        <f>IFERROR(__xludf.DUMMYFUNCTION("""COMPUTED_VALUE"""),0.6)</f>
        <v>0.6</v>
      </c>
      <c r="R1162" s="97" t="str">
        <f>IFERROR(__xludf.DUMMYFUNCTION("""COMPUTED_VALUE"""),"-")</f>
        <v>-</v>
      </c>
      <c r="S1162" s="97" t="str">
        <f>IFERROR(__xludf.DUMMYFUNCTION("""COMPUTED_VALUE"""),"-")</f>
        <v>-</v>
      </c>
      <c r="T1162" s="97">
        <f>IFERROR(__xludf.DUMMYFUNCTION("""COMPUTED_VALUE"""),476.0)</f>
        <v>476</v>
      </c>
      <c r="U1162" s="97">
        <f>IFERROR(__xludf.DUMMYFUNCTION("""COMPUTED_VALUE"""),68.0)</f>
        <v>68</v>
      </c>
      <c r="V1162" s="97">
        <f>IFERROR(__xludf.DUMMYFUNCTION("""COMPUTED_VALUE"""),62.0)</f>
        <v>62</v>
      </c>
      <c r="W1162" s="97" t="str">
        <f>IFERROR(__xludf.DUMMYFUNCTION("""COMPUTED_VALUE"""),"&lt; 18")</f>
        <v>&lt; 18</v>
      </c>
      <c r="X1162" s="97">
        <f>IFERROR(__xludf.DUMMYFUNCTION("""COMPUTED_VALUE"""),3000.0)</f>
        <v>3000</v>
      </c>
      <c r="Y1162" s="97" t="str">
        <f>IFERROR(__xludf.DUMMYFUNCTION("""COMPUTED_VALUE"""),"&gt;90")</f>
        <v>&gt;90</v>
      </c>
      <c r="Z1162" s="97"/>
      <c r="AA1162" s="97"/>
      <c r="AB1162" s="97" t="str">
        <f>IFERROR(__xludf.DUMMYFUNCTION("""COMPUTED_VALUE"""),"&lt; 2")</f>
        <v>&lt; 2</v>
      </c>
      <c r="AC1162" s="97"/>
      <c r="AD1162" s="97" t="str">
        <f>IFERROR(__xludf.DUMMYFUNCTION("""COMPUTED_VALUE"""),"IP20")</f>
        <v>IP20</v>
      </c>
      <c r="AE1162" s="97" t="str">
        <f>IFERROR(__xludf.DUMMYFUNCTION("""COMPUTED_VALUE"""),"Clase l")</f>
        <v>Clase l</v>
      </c>
      <c r="AF1162" s="97" t="str">
        <f>IFERROR(__xludf.DUMMYFUNCTION("""COMPUTED_VALUE"""),"Suspender")</f>
        <v>Suspender</v>
      </c>
      <c r="AG1162" s="97" t="str">
        <f>IFERROR(__xludf.DUMMYFUNCTION("""COMPUTED_VALUE"""),"Ø250 x 240")</f>
        <v>Ø250 x 240</v>
      </c>
      <c r="AH1162" s="97" t="str">
        <f>IFERROR(__xludf.DUMMYFUNCTION("""COMPUTED_VALUE"""),"N/A")</f>
        <v>N/A</v>
      </c>
      <c r="AI1162" s="97" t="str">
        <f>IFERROR(__xludf.DUMMYFUNCTION("""COMPUTED_VALUE"""),"N/A")</f>
        <v>N/A</v>
      </c>
      <c r="AJ1162" s="97" t="str">
        <f>IFERROR(__xludf.DUMMYFUNCTION("""COMPUTED_VALUE"""),"Vidrio")</f>
        <v>Vidrio</v>
      </c>
      <c r="AK1162" s="97" t="str">
        <f>IFERROR(__xludf.DUMMYFUNCTION("""COMPUTED_VALUE"""),"Aluminio")</f>
        <v>Aluminio</v>
      </c>
      <c r="AL1162" s="97" t="str">
        <f>IFERROR(__xludf.DUMMYFUNCTION("""COMPUTED_VALUE"""),"Blanco Mate")</f>
        <v>Blanco Mate</v>
      </c>
      <c r="AM1162" s="97" t="str">
        <f>IFERROR(__xludf.DUMMYFUNCTION("""COMPUTED_VALUE"""),"-")</f>
        <v>-</v>
      </c>
      <c r="AN1162" s="97" t="str">
        <f>IFERROR(__xludf.DUMMYFUNCTION("""COMPUTED_VALUE"""),"25.000hs (L70)")</f>
        <v>25.000hs (L70)</v>
      </c>
      <c r="AO1162" s="97" t="str">
        <f>IFERROR(__xludf.DUMMYFUNCTION("""COMPUTED_VALUE"""),"2 Años")</f>
        <v>2 Años</v>
      </c>
      <c r="AP1162" s="97" t="str">
        <f>IFERROR(__xludf.DUMMYFUNCTION("""COMPUTED_VALUE"""),"Disponible")</f>
        <v>Disponible</v>
      </c>
      <c r="AQ1162" s="97" t="str">
        <f>IFERROR(__xludf.DUMMYFUNCTION("""COMPUTED_VALUE"""),"Disponible")</f>
        <v>Disponible</v>
      </c>
      <c r="AR1162" s="97" t="str">
        <f>IFERROR(__xludf.DUMMYFUNCTION("""COMPUTED_VALUE"""),"Disponible")</f>
        <v>Disponible</v>
      </c>
      <c r="AS1162" s="97" t="str">
        <f>IFERROR(__xludf.DUMMYFUNCTION("""COMPUTED_VALUE"""),"Falta")</f>
        <v>Falta</v>
      </c>
      <c r="AT1162" s="97" t="str">
        <f>IFERROR(__xludf.DUMMYFUNCTION("""COMPUTED_VALUE"""),"Falta")</f>
        <v>Falta</v>
      </c>
      <c r="AU1162" s="97" t="str">
        <f>IFERROR(__xludf.DUMMYFUNCTION("""COMPUTED_VALUE"""),"Falta")</f>
        <v>Falta</v>
      </c>
      <c r="AV1162" s="97" t="str">
        <f>IFERROR(__xludf.DUMMYFUNCTION("""COMPUTED_VALUE"""),"Colgante")</f>
        <v>Colgante</v>
      </c>
      <c r="AW1162" s="97" t="str">
        <f>IFERROR(__xludf.DUMMYFUNCTION("""COMPUTED_VALUE"""),"De Techo")</f>
        <v>De Techo</v>
      </c>
      <c r="AX1162" s="97" t="str">
        <f>IFERROR(__xludf.DUMMYFUNCTION("""COMPUTED_VALUE"""),"Interior")</f>
        <v>Interior</v>
      </c>
      <c r="AY1162" s="97" t="str">
        <f>IFERROR(__xludf.DUMMYFUNCTION("""COMPUTED_VALUE"""),"Niao")</f>
        <v>Niao</v>
      </c>
      <c r="AZ1162" s="97" t="str">
        <f>IFERROR(__xludf.DUMMYFUNCTION("""COMPUTED_VALUE"""),"Pantalla reversible. Largo total 2500mm. Florón Ø60 x 130mm ")</f>
        <v>Pantalla reversible. Largo total 2500mm. Florón Ø60 x 130mm </v>
      </c>
      <c r="BA1162" s="97">
        <f>IFERROR(__xludf.DUMMYFUNCTION("""COMPUTED_VALUE"""),20.0)</f>
        <v>20</v>
      </c>
      <c r="BB1162" s="97" t="str">
        <f>IFERROR(__xludf.DUMMYFUNCTION("""COMPUTED_VALUE"""),"-")</f>
        <v>-</v>
      </c>
      <c r="BC1162" s="97" t="str">
        <f>IFERROR(__xludf.DUMMYFUNCTION("""COMPUTED_VALUE"""),"-")</f>
        <v>-</v>
      </c>
      <c r="BD1162" s="97" t="str">
        <f>IFERROR(__xludf.DUMMYFUNCTION("""COMPUTED_VALUE"""),"NIAO")</f>
        <v>NIAO</v>
      </c>
      <c r="BE1162" s="97" t="str">
        <f>IFERROR(__xludf.DUMMYFUNCTION("""COMPUTED_VALUE"""),"Finalizada")</f>
        <v>Finalizada</v>
      </c>
      <c r="BF1162" s="97"/>
      <c r="BG1162" s="97" t="str">
        <f>IFERROR(__xludf.DUMMYFUNCTION("""COMPUTED_VALUE"""),"Activo")</f>
        <v>Activo</v>
      </c>
    </row>
    <row r="1163">
      <c r="A1163" s="97">
        <f>IFERROR(__xludf.DUMMYFUNCTION("""COMPUTED_VALUE"""),7081.0)</f>
        <v>7081</v>
      </c>
      <c r="B1163" s="97" t="str">
        <f>IFERROR(__xludf.DUMMYFUNCTION("""COMPUTED_VALUE"""),"NIAO AZ")</f>
        <v>NIAO AZ</v>
      </c>
      <c r="C1163" s="97" t="str">
        <f>IFERROR(__xludf.DUMMYFUNCTION("""COMPUTED_VALUE"""),"COLGANTE NIAO AZ 7W 3000K 476LM CRI&gt;90 IP20 LEUK")</f>
        <v>COLGANTE NIAO AZ 7W 3000K 476LM CRI&gt;90 IP20 LEUK</v>
      </c>
      <c r="D1163" s="97">
        <f>IFERROR(__xludf.DUMMYFUNCTION("""COMPUTED_VALUE"""),7.798413226003E12)</f>
        <v>7798413226003</v>
      </c>
      <c r="E1163" s="97" t="str">
        <f>IFERROR(__xludf.DUMMYFUNCTION("""COMPUTED_VALUE"""),"A189")</f>
        <v>A189</v>
      </c>
      <c r="F1163" s="97" t="str">
        <f>IFERROR(__xludf.DUMMYFUNCTION("""COMPUTED_VALUE"""),"LED integrado")</f>
        <v>LED integrado</v>
      </c>
      <c r="G1163" s="97" t="str">
        <f>IFERROR(__xludf.DUMMYFUNCTION("""COMPUTED_VALUE"""),"OSRAM")</f>
        <v>OSRAM</v>
      </c>
      <c r="H1163" s="97" t="str">
        <f>IFERROR(__xludf.DUMMYFUNCTION("""COMPUTED_VALUE"""),"Eaglerise")</f>
        <v>Eaglerise</v>
      </c>
      <c r="I1163" s="97"/>
      <c r="J1163" s="97"/>
      <c r="K1163" s="97" t="str">
        <f>IFERROR(__xludf.DUMMYFUNCTION("""COMPUTED_VALUE"""),"ON/OFF")</f>
        <v>ON/OFF</v>
      </c>
      <c r="L1163" s="97" t="str">
        <f>IFERROR(__xludf.DUMMYFUNCTION("""COMPUTED_VALUE"""),"220-240")</f>
        <v>220-240</v>
      </c>
      <c r="M1163" s="97" t="str">
        <f>IFERROR(__xludf.DUMMYFUNCTION("""COMPUTED_VALUE"""),"50/60")</f>
        <v>50/60</v>
      </c>
      <c r="N1163" s="97" t="str">
        <f>IFERROR(__xludf.DUMMYFUNCTION("""COMPUTED_VALUE"""),"Directa-Simétrica")</f>
        <v>Directa-Simétrica</v>
      </c>
      <c r="O1163" s="97">
        <f>IFERROR(__xludf.DUMMYFUNCTION("""COMPUTED_VALUE"""),7.0)</f>
        <v>7</v>
      </c>
      <c r="P1163" s="97"/>
      <c r="Q1163" s="97">
        <f>IFERROR(__xludf.DUMMYFUNCTION("""COMPUTED_VALUE"""),0.6)</f>
        <v>0.6</v>
      </c>
      <c r="R1163" s="97" t="str">
        <f>IFERROR(__xludf.DUMMYFUNCTION("""COMPUTED_VALUE"""),"-")</f>
        <v>-</v>
      </c>
      <c r="S1163" s="97" t="str">
        <f>IFERROR(__xludf.DUMMYFUNCTION("""COMPUTED_VALUE"""),"-")</f>
        <v>-</v>
      </c>
      <c r="T1163" s="97">
        <f>IFERROR(__xludf.DUMMYFUNCTION("""COMPUTED_VALUE"""),476.0)</f>
        <v>476</v>
      </c>
      <c r="U1163" s="97">
        <f>IFERROR(__xludf.DUMMYFUNCTION("""COMPUTED_VALUE"""),68.0)</f>
        <v>68</v>
      </c>
      <c r="V1163" s="97">
        <f>IFERROR(__xludf.DUMMYFUNCTION("""COMPUTED_VALUE"""),62.0)</f>
        <v>62</v>
      </c>
      <c r="W1163" s="97" t="str">
        <f>IFERROR(__xludf.DUMMYFUNCTION("""COMPUTED_VALUE"""),"&lt; 18")</f>
        <v>&lt; 18</v>
      </c>
      <c r="X1163" s="97">
        <f>IFERROR(__xludf.DUMMYFUNCTION("""COMPUTED_VALUE"""),3000.0)</f>
        <v>3000</v>
      </c>
      <c r="Y1163" s="97" t="str">
        <f>IFERROR(__xludf.DUMMYFUNCTION("""COMPUTED_VALUE"""),"&gt;90")</f>
        <v>&gt;90</v>
      </c>
      <c r="Z1163" s="97"/>
      <c r="AA1163" s="97"/>
      <c r="AB1163" s="97" t="str">
        <f>IFERROR(__xludf.DUMMYFUNCTION("""COMPUTED_VALUE"""),"&lt; 2")</f>
        <v>&lt; 2</v>
      </c>
      <c r="AC1163" s="97"/>
      <c r="AD1163" s="97" t="str">
        <f>IFERROR(__xludf.DUMMYFUNCTION("""COMPUTED_VALUE"""),"IP20")</f>
        <v>IP20</v>
      </c>
      <c r="AE1163" s="97" t="str">
        <f>IFERROR(__xludf.DUMMYFUNCTION("""COMPUTED_VALUE"""),"Clase l")</f>
        <v>Clase l</v>
      </c>
      <c r="AF1163" s="97" t="str">
        <f>IFERROR(__xludf.DUMMYFUNCTION("""COMPUTED_VALUE"""),"Suspender")</f>
        <v>Suspender</v>
      </c>
      <c r="AG1163" s="97" t="str">
        <f>IFERROR(__xludf.DUMMYFUNCTION("""COMPUTED_VALUE"""),"Ø250 x 240")</f>
        <v>Ø250 x 240</v>
      </c>
      <c r="AH1163" s="97" t="str">
        <f>IFERROR(__xludf.DUMMYFUNCTION("""COMPUTED_VALUE"""),"N/A")</f>
        <v>N/A</v>
      </c>
      <c r="AI1163" s="97" t="str">
        <f>IFERROR(__xludf.DUMMYFUNCTION("""COMPUTED_VALUE"""),"N/A")</f>
        <v>N/A</v>
      </c>
      <c r="AJ1163" s="97" t="str">
        <f>IFERROR(__xludf.DUMMYFUNCTION("""COMPUTED_VALUE"""),"Vidrio")</f>
        <v>Vidrio</v>
      </c>
      <c r="AK1163" s="97" t="str">
        <f>IFERROR(__xludf.DUMMYFUNCTION("""COMPUTED_VALUE"""),"Aluminio")</f>
        <v>Aluminio</v>
      </c>
      <c r="AL1163" s="97" t="str">
        <f>IFERROR(__xludf.DUMMYFUNCTION("""COMPUTED_VALUE"""),"Azul")</f>
        <v>Azul</v>
      </c>
      <c r="AM1163" s="97" t="str">
        <f>IFERROR(__xludf.DUMMYFUNCTION("""COMPUTED_VALUE"""),"-")</f>
        <v>-</v>
      </c>
      <c r="AN1163" s="97" t="str">
        <f>IFERROR(__xludf.DUMMYFUNCTION("""COMPUTED_VALUE"""),"25.000hs (L70)")</f>
        <v>25.000hs (L70)</v>
      </c>
      <c r="AO1163" s="97" t="str">
        <f>IFERROR(__xludf.DUMMYFUNCTION("""COMPUTED_VALUE"""),"2 Años")</f>
        <v>2 Años</v>
      </c>
      <c r="AP1163" s="97" t="str">
        <f>IFERROR(__xludf.DUMMYFUNCTION("""COMPUTED_VALUE"""),"Disponible")</f>
        <v>Disponible</v>
      </c>
      <c r="AQ1163" s="97" t="str">
        <f>IFERROR(__xludf.DUMMYFUNCTION("""COMPUTED_VALUE"""),"Disponible")</f>
        <v>Disponible</v>
      </c>
      <c r="AR1163" s="97" t="str">
        <f>IFERROR(__xludf.DUMMYFUNCTION("""COMPUTED_VALUE"""),"Disponible")</f>
        <v>Disponible</v>
      </c>
      <c r="AS1163" s="97" t="str">
        <f>IFERROR(__xludf.DUMMYFUNCTION("""COMPUTED_VALUE"""),"Falta")</f>
        <v>Falta</v>
      </c>
      <c r="AT1163" s="97" t="str">
        <f>IFERROR(__xludf.DUMMYFUNCTION("""COMPUTED_VALUE"""),"Falta")</f>
        <v>Falta</v>
      </c>
      <c r="AU1163" s="97" t="str">
        <f>IFERROR(__xludf.DUMMYFUNCTION("""COMPUTED_VALUE"""),"Falta")</f>
        <v>Falta</v>
      </c>
      <c r="AV1163" s="97" t="str">
        <f>IFERROR(__xludf.DUMMYFUNCTION("""COMPUTED_VALUE"""),"Colgante")</f>
        <v>Colgante</v>
      </c>
      <c r="AW1163" s="97" t="str">
        <f>IFERROR(__xludf.DUMMYFUNCTION("""COMPUTED_VALUE"""),"De Techo")</f>
        <v>De Techo</v>
      </c>
      <c r="AX1163" s="97" t="str">
        <f>IFERROR(__xludf.DUMMYFUNCTION("""COMPUTED_VALUE"""),"Interior")</f>
        <v>Interior</v>
      </c>
      <c r="AY1163" s="97" t="str">
        <f>IFERROR(__xludf.DUMMYFUNCTION("""COMPUTED_VALUE"""),"Niao")</f>
        <v>Niao</v>
      </c>
      <c r="AZ1163" s="97" t="str">
        <f>IFERROR(__xludf.DUMMYFUNCTION("""COMPUTED_VALUE"""),"Pantalla reversible. Largo total 2500mm. Florón Ø60 x 130mm ")</f>
        <v>Pantalla reversible. Largo total 2500mm. Florón Ø60 x 130mm </v>
      </c>
      <c r="BA1163" s="97">
        <f>IFERROR(__xludf.DUMMYFUNCTION("""COMPUTED_VALUE"""),15.0)</f>
        <v>15</v>
      </c>
      <c r="BB1163" s="97" t="str">
        <f>IFERROR(__xludf.DUMMYFUNCTION("""COMPUTED_VALUE"""),"-")</f>
        <v>-</v>
      </c>
      <c r="BC1163" s="97" t="str">
        <f>IFERROR(__xludf.DUMMYFUNCTION("""COMPUTED_VALUE"""),"-")</f>
        <v>-</v>
      </c>
      <c r="BD1163" s="97" t="str">
        <f>IFERROR(__xludf.DUMMYFUNCTION("""COMPUTED_VALUE"""),"NIAO")</f>
        <v>NIAO</v>
      </c>
      <c r="BE1163" s="97" t="str">
        <f>IFERROR(__xludf.DUMMYFUNCTION("""COMPUTED_VALUE"""),"Finalizada")</f>
        <v>Finalizada</v>
      </c>
      <c r="BF1163" s="97"/>
      <c r="BG1163" s="97" t="str">
        <f>IFERROR(__xludf.DUMMYFUNCTION("""COMPUTED_VALUE"""),"Activo")</f>
        <v>Activo</v>
      </c>
    </row>
    <row r="1164">
      <c r="A1164" s="97">
        <f>IFERROR(__xludf.DUMMYFUNCTION("""COMPUTED_VALUE"""),7082.0)</f>
        <v>7082</v>
      </c>
      <c r="B1164" s="97" t="str">
        <f>IFERROR(__xludf.DUMMYFUNCTION("""COMPUTED_VALUE"""),"NIAO VR")</f>
        <v>NIAO VR</v>
      </c>
      <c r="C1164" s="97" t="str">
        <f>IFERROR(__xludf.DUMMYFUNCTION("""COMPUTED_VALUE"""),"COLGANTE NIAO VR 7W 3000K 476LM CRI&gt;90 IP20 LEUK")</f>
        <v>COLGANTE NIAO VR 7W 3000K 476LM CRI&gt;90 IP20 LEUK</v>
      </c>
      <c r="D1164" s="97">
        <f>IFERROR(__xludf.DUMMYFUNCTION("""COMPUTED_VALUE"""),7.79841322601E12)</f>
        <v>7798413226010</v>
      </c>
      <c r="E1164" s="97" t="str">
        <f>IFERROR(__xludf.DUMMYFUNCTION("""COMPUTED_VALUE"""),"A189")</f>
        <v>A189</v>
      </c>
      <c r="F1164" s="97" t="str">
        <f>IFERROR(__xludf.DUMMYFUNCTION("""COMPUTED_VALUE"""),"LED integrado")</f>
        <v>LED integrado</v>
      </c>
      <c r="G1164" s="97" t="str">
        <f>IFERROR(__xludf.DUMMYFUNCTION("""COMPUTED_VALUE"""),"OSRAM")</f>
        <v>OSRAM</v>
      </c>
      <c r="H1164" s="97" t="str">
        <f>IFERROR(__xludf.DUMMYFUNCTION("""COMPUTED_VALUE"""),"Eaglerise")</f>
        <v>Eaglerise</v>
      </c>
      <c r="I1164" s="97"/>
      <c r="J1164" s="97"/>
      <c r="K1164" s="97" t="str">
        <f>IFERROR(__xludf.DUMMYFUNCTION("""COMPUTED_VALUE"""),"ON/OFF")</f>
        <v>ON/OFF</v>
      </c>
      <c r="L1164" s="97" t="str">
        <f>IFERROR(__xludf.DUMMYFUNCTION("""COMPUTED_VALUE"""),"220-240")</f>
        <v>220-240</v>
      </c>
      <c r="M1164" s="97" t="str">
        <f>IFERROR(__xludf.DUMMYFUNCTION("""COMPUTED_VALUE"""),"50/60")</f>
        <v>50/60</v>
      </c>
      <c r="N1164" s="97" t="str">
        <f>IFERROR(__xludf.DUMMYFUNCTION("""COMPUTED_VALUE"""),"Directa-Simétrica")</f>
        <v>Directa-Simétrica</v>
      </c>
      <c r="O1164" s="97">
        <f>IFERROR(__xludf.DUMMYFUNCTION("""COMPUTED_VALUE"""),7.0)</f>
        <v>7</v>
      </c>
      <c r="P1164" s="97"/>
      <c r="Q1164" s="97">
        <f>IFERROR(__xludf.DUMMYFUNCTION("""COMPUTED_VALUE"""),0.6)</f>
        <v>0.6</v>
      </c>
      <c r="R1164" s="97" t="str">
        <f>IFERROR(__xludf.DUMMYFUNCTION("""COMPUTED_VALUE"""),"-")</f>
        <v>-</v>
      </c>
      <c r="S1164" s="97" t="str">
        <f>IFERROR(__xludf.DUMMYFUNCTION("""COMPUTED_VALUE"""),"-")</f>
        <v>-</v>
      </c>
      <c r="T1164" s="97">
        <f>IFERROR(__xludf.DUMMYFUNCTION("""COMPUTED_VALUE"""),476.0)</f>
        <v>476</v>
      </c>
      <c r="U1164" s="97">
        <f>IFERROR(__xludf.DUMMYFUNCTION("""COMPUTED_VALUE"""),68.0)</f>
        <v>68</v>
      </c>
      <c r="V1164" s="97">
        <f>IFERROR(__xludf.DUMMYFUNCTION("""COMPUTED_VALUE"""),62.0)</f>
        <v>62</v>
      </c>
      <c r="W1164" s="97" t="str">
        <f>IFERROR(__xludf.DUMMYFUNCTION("""COMPUTED_VALUE"""),"&lt; 18")</f>
        <v>&lt; 18</v>
      </c>
      <c r="X1164" s="97">
        <f>IFERROR(__xludf.DUMMYFUNCTION("""COMPUTED_VALUE"""),3000.0)</f>
        <v>3000</v>
      </c>
      <c r="Y1164" s="97" t="str">
        <f>IFERROR(__xludf.DUMMYFUNCTION("""COMPUTED_VALUE"""),"&gt;90")</f>
        <v>&gt;90</v>
      </c>
      <c r="Z1164" s="97"/>
      <c r="AA1164" s="97"/>
      <c r="AB1164" s="97" t="str">
        <f>IFERROR(__xludf.DUMMYFUNCTION("""COMPUTED_VALUE"""),"&lt; 2")</f>
        <v>&lt; 2</v>
      </c>
      <c r="AC1164" s="97"/>
      <c r="AD1164" s="97" t="str">
        <f>IFERROR(__xludf.DUMMYFUNCTION("""COMPUTED_VALUE"""),"IP20")</f>
        <v>IP20</v>
      </c>
      <c r="AE1164" s="97" t="str">
        <f>IFERROR(__xludf.DUMMYFUNCTION("""COMPUTED_VALUE"""),"Clase l")</f>
        <v>Clase l</v>
      </c>
      <c r="AF1164" s="97" t="str">
        <f>IFERROR(__xludf.DUMMYFUNCTION("""COMPUTED_VALUE"""),"Suspender")</f>
        <v>Suspender</v>
      </c>
      <c r="AG1164" s="97" t="str">
        <f>IFERROR(__xludf.DUMMYFUNCTION("""COMPUTED_VALUE"""),"Ø250 x 240")</f>
        <v>Ø250 x 240</v>
      </c>
      <c r="AH1164" s="97" t="str">
        <f>IFERROR(__xludf.DUMMYFUNCTION("""COMPUTED_VALUE"""),"N/A")</f>
        <v>N/A</v>
      </c>
      <c r="AI1164" s="97" t="str">
        <f>IFERROR(__xludf.DUMMYFUNCTION("""COMPUTED_VALUE"""),"N/A")</f>
        <v>N/A</v>
      </c>
      <c r="AJ1164" s="97" t="str">
        <f>IFERROR(__xludf.DUMMYFUNCTION("""COMPUTED_VALUE"""),"Vidrio")</f>
        <v>Vidrio</v>
      </c>
      <c r="AK1164" s="97" t="str">
        <f>IFERROR(__xludf.DUMMYFUNCTION("""COMPUTED_VALUE"""),"Aluminio")</f>
        <v>Aluminio</v>
      </c>
      <c r="AL1164" s="97" t="str">
        <f>IFERROR(__xludf.DUMMYFUNCTION("""COMPUTED_VALUE"""),"Verde")</f>
        <v>Verde</v>
      </c>
      <c r="AM1164" s="97" t="str">
        <f>IFERROR(__xludf.DUMMYFUNCTION("""COMPUTED_VALUE"""),"-")</f>
        <v>-</v>
      </c>
      <c r="AN1164" s="97" t="str">
        <f>IFERROR(__xludf.DUMMYFUNCTION("""COMPUTED_VALUE"""),"25.000hs (L70)")</f>
        <v>25.000hs (L70)</v>
      </c>
      <c r="AO1164" s="97" t="str">
        <f>IFERROR(__xludf.DUMMYFUNCTION("""COMPUTED_VALUE"""),"2 Años")</f>
        <v>2 Años</v>
      </c>
      <c r="AP1164" s="97" t="str">
        <f>IFERROR(__xludf.DUMMYFUNCTION("""COMPUTED_VALUE"""),"Disponible")</f>
        <v>Disponible</v>
      </c>
      <c r="AQ1164" s="97" t="str">
        <f>IFERROR(__xludf.DUMMYFUNCTION("""COMPUTED_VALUE"""),"Disponible")</f>
        <v>Disponible</v>
      </c>
      <c r="AR1164" s="97" t="str">
        <f>IFERROR(__xludf.DUMMYFUNCTION("""COMPUTED_VALUE"""),"Disponible")</f>
        <v>Disponible</v>
      </c>
      <c r="AS1164" s="97" t="str">
        <f>IFERROR(__xludf.DUMMYFUNCTION("""COMPUTED_VALUE"""),"Falta")</f>
        <v>Falta</v>
      </c>
      <c r="AT1164" s="97" t="str">
        <f>IFERROR(__xludf.DUMMYFUNCTION("""COMPUTED_VALUE"""),"Falta")</f>
        <v>Falta</v>
      </c>
      <c r="AU1164" s="97" t="str">
        <f>IFERROR(__xludf.DUMMYFUNCTION("""COMPUTED_VALUE"""),"Falta")</f>
        <v>Falta</v>
      </c>
      <c r="AV1164" s="97" t="str">
        <f>IFERROR(__xludf.DUMMYFUNCTION("""COMPUTED_VALUE"""),"Colgante")</f>
        <v>Colgante</v>
      </c>
      <c r="AW1164" s="97" t="str">
        <f>IFERROR(__xludf.DUMMYFUNCTION("""COMPUTED_VALUE"""),"De Techo")</f>
        <v>De Techo</v>
      </c>
      <c r="AX1164" s="97" t="str">
        <f>IFERROR(__xludf.DUMMYFUNCTION("""COMPUTED_VALUE"""),"Interior")</f>
        <v>Interior</v>
      </c>
      <c r="AY1164" s="97" t="str">
        <f>IFERROR(__xludf.DUMMYFUNCTION("""COMPUTED_VALUE"""),"Niao")</f>
        <v>Niao</v>
      </c>
      <c r="AZ1164" s="97" t="str">
        <f>IFERROR(__xludf.DUMMYFUNCTION("""COMPUTED_VALUE"""),"Pantalla reversible. Largo total 2500mm. Florón Ø60 x 130mm ")</f>
        <v>Pantalla reversible. Largo total 2500mm. Florón Ø60 x 130mm </v>
      </c>
      <c r="BA1164" s="97">
        <f>IFERROR(__xludf.DUMMYFUNCTION("""COMPUTED_VALUE"""),15.0)</f>
        <v>15</v>
      </c>
      <c r="BB1164" s="97" t="str">
        <f>IFERROR(__xludf.DUMMYFUNCTION("""COMPUTED_VALUE"""),"-")</f>
        <v>-</v>
      </c>
      <c r="BC1164" s="97" t="str">
        <f>IFERROR(__xludf.DUMMYFUNCTION("""COMPUTED_VALUE"""),"-")</f>
        <v>-</v>
      </c>
      <c r="BD1164" s="97" t="str">
        <f>IFERROR(__xludf.DUMMYFUNCTION("""COMPUTED_VALUE"""),"NIAO")</f>
        <v>NIAO</v>
      </c>
      <c r="BE1164" s="97" t="str">
        <f>IFERROR(__xludf.DUMMYFUNCTION("""COMPUTED_VALUE"""),"Finalizada")</f>
        <v>Finalizada</v>
      </c>
      <c r="BF1164" s="97"/>
      <c r="BG1164" s="97" t="str">
        <f>IFERROR(__xludf.DUMMYFUNCTION("""COMPUTED_VALUE"""),"Activo")</f>
        <v>Activo</v>
      </c>
    </row>
    <row r="1165">
      <c r="A1165" s="97">
        <f>IFERROR(__xludf.DUMMYFUNCTION("""COMPUTED_VALUE"""),7083.0)</f>
        <v>7083</v>
      </c>
      <c r="B1165" s="97" t="str">
        <f>IFERROR(__xludf.DUMMYFUNCTION("""COMPUTED_VALUE"""),"NIAO III NG")</f>
        <v>NIAO III NG</v>
      </c>
      <c r="C1165" s="97" t="str">
        <f>IFERROR(__xludf.DUMMYFUNCTION("""COMPUTED_VALUE"""),"COLGANTE NIAO III NG 7W 3000K 476LM CRI&gt;90 IP20 LEUK")</f>
        <v>COLGANTE NIAO III NG 7W 3000K 476LM CRI&gt;90 IP20 LEUK</v>
      </c>
      <c r="D1165" s="97">
        <f>IFERROR(__xludf.DUMMYFUNCTION("""COMPUTED_VALUE"""),7.798413226027E12)</f>
        <v>7798413226027</v>
      </c>
      <c r="E1165" s="97" t="str">
        <f>IFERROR(__xludf.DUMMYFUNCTION("""COMPUTED_VALUE"""),"A190")</f>
        <v>A190</v>
      </c>
      <c r="F1165" s="97" t="str">
        <f>IFERROR(__xludf.DUMMYFUNCTION("""COMPUTED_VALUE"""),"LED integrado")</f>
        <v>LED integrado</v>
      </c>
      <c r="G1165" s="97" t="str">
        <f>IFERROR(__xludf.DUMMYFUNCTION("""COMPUTED_VALUE"""),"OSRAM")</f>
        <v>OSRAM</v>
      </c>
      <c r="H1165" s="97" t="str">
        <f>IFERROR(__xludf.DUMMYFUNCTION("""COMPUTED_VALUE"""),"Eaglerise")</f>
        <v>Eaglerise</v>
      </c>
      <c r="I1165" s="97"/>
      <c r="J1165" s="97"/>
      <c r="K1165" s="97" t="str">
        <f>IFERROR(__xludf.DUMMYFUNCTION("""COMPUTED_VALUE"""),"ON/OFF")</f>
        <v>ON/OFF</v>
      </c>
      <c r="L1165" s="97" t="str">
        <f>IFERROR(__xludf.DUMMYFUNCTION("""COMPUTED_VALUE"""),"220-240")</f>
        <v>220-240</v>
      </c>
      <c r="M1165" s="97" t="str">
        <f>IFERROR(__xludf.DUMMYFUNCTION("""COMPUTED_VALUE"""),"50/60")</f>
        <v>50/60</v>
      </c>
      <c r="N1165" s="97" t="str">
        <f>IFERROR(__xludf.DUMMYFUNCTION("""COMPUTED_VALUE"""),"Directa-Simétrica")</f>
        <v>Directa-Simétrica</v>
      </c>
      <c r="O1165" s="97">
        <f>IFERROR(__xludf.DUMMYFUNCTION("""COMPUTED_VALUE"""),7.0)</f>
        <v>7</v>
      </c>
      <c r="P1165" s="97"/>
      <c r="Q1165" s="97">
        <f>IFERROR(__xludf.DUMMYFUNCTION("""COMPUTED_VALUE"""),0.6)</f>
        <v>0.6</v>
      </c>
      <c r="R1165" s="97" t="str">
        <f>IFERROR(__xludf.DUMMYFUNCTION("""COMPUTED_VALUE"""),"-")</f>
        <v>-</v>
      </c>
      <c r="S1165" s="97" t="str">
        <f>IFERROR(__xludf.DUMMYFUNCTION("""COMPUTED_VALUE"""),"-")</f>
        <v>-</v>
      </c>
      <c r="T1165" s="97">
        <f>IFERROR(__xludf.DUMMYFUNCTION("""COMPUTED_VALUE"""),476.0)</f>
        <v>476</v>
      </c>
      <c r="U1165" s="97">
        <f>IFERROR(__xludf.DUMMYFUNCTION("""COMPUTED_VALUE"""),68.0)</f>
        <v>68</v>
      </c>
      <c r="V1165" s="97">
        <f>IFERROR(__xludf.DUMMYFUNCTION("""COMPUTED_VALUE"""),62.0)</f>
        <v>62</v>
      </c>
      <c r="W1165" s="97" t="str">
        <f>IFERROR(__xludf.DUMMYFUNCTION("""COMPUTED_VALUE"""),"&lt; 18")</f>
        <v>&lt; 18</v>
      </c>
      <c r="X1165" s="97">
        <f>IFERROR(__xludf.DUMMYFUNCTION("""COMPUTED_VALUE"""),3000.0)</f>
        <v>3000</v>
      </c>
      <c r="Y1165" s="97" t="str">
        <f>IFERROR(__xludf.DUMMYFUNCTION("""COMPUTED_VALUE"""),"&gt;90")</f>
        <v>&gt;90</v>
      </c>
      <c r="Z1165" s="97"/>
      <c r="AA1165" s="97"/>
      <c r="AB1165" s="97" t="str">
        <f>IFERROR(__xludf.DUMMYFUNCTION("""COMPUTED_VALUE"""),"&lt; 2")</f>
        <v>&lt; 2</v>
      </c>
      <c r="AC1165" s="97"/>
      <c r="AD1165" s="97" t="str">
        <f>IFERROR(__xludf.DUMMYFUNCTION("""COMPUTED_VALUE"""),"IP20")</f>
        <v>IP20</v>
      </c>
      <c r="AE1165" s="97" t="str">
        <f>IFERROR(__xludf.DUMMYFUNCTION("""COMPUTED_VALUE"""),"Clase l")</f>
        <v>Clase l</v>
      </c>
      <c r="AF1165" s="97" t="str">
        <f>IFERROR(__xludf.DUMMYFUNCTION("""COMPUTED_VALUE"""),"Suspender")</f>
        <v>Suspender</v>
      </c>
      <c r="AG1165" s="97" t="str">
        <f>IFERROR(__xludf.DUMMYFUNCTION("""COMPUTED_VALUE"""),"Ø350 x 240")</f>
        <v>Ø350 x 240</v>
      </c>
      <c r="AH1165" s="97" t="str">
        <f>IFERROR(__xludf.DUMMYFUNCTION("""COMPUTED_VALUE"""),"N/A")</f>
        <v>N/A</v>
      </c>
      <c r="AI1165" s="97" t="str">
        <f>IFERROR(__xludf.DUMMYFUNCTION("""COMPUTED_VALUE"""),"N/A")</f>
        <v>N/A</v>
      </c>
      <c r="AJ1165" s="97" t="str">
        <f>IFERROR(__xludf.DUMMYFUNCTION("""COMPUTED_VALUE"""),"Vidrio")</f>
        <v>Vidrio</v>
      </c>
      <c r="AK1165" s="97" t="str">
        <f>IFERROR(__xludf.DUMMYFUNCTION("""COMPUTED_VALUE"""),"Aluminio")</f>
        <v>Aluminio</v>
      </c>
      <c r="AL1165" s="97" t="str">
        <f>IFERROR(__xludf.DUMMYFUNCTION("""COMPUTED_VALUE"""),"Negro Mate")</f>
        <v>Negro Mate</v>
      </c>
      <c r="AM1165" s="97" t="str">
        <f>IFERROR(__xludf.DUMMYFUNCTION("""COMPUTED_VALUE"""),"-")</f>
        <v>-</v>
      </c>
      <c r="AN1165" s="97" t="str">
        <f>IFERROR(__xludf.DUMMYFUNCTION("""COMPUTED_VALUE"""),"25.000hs (L70)")</f>
        <v>25.000hs (L70)</v>
      </c>
      <c r="AO1165" s="97" t="str">
        <f>IFERROR(__xludf.DUMMYFUNCTION("""COMPUTED_VALUE"""),"2 Años")</f>
        <v>2 Años</v>
      </c>
      <c r="AP1165" s="97" t="str">
        <f>IFERROR(__xludf.DUMMYFUNCTION("""COMPUTED_VALUE"""),"Disponible")</f>
        <v>Disponible</v>
      </c>
      <c r="AQ1165" s="97" t="str">
        <f>IFERROR(__xludf.DUMMYFUNCTION("""COMPUTED_VALUE"""),"Disponible")</f>
        <v>Disponible</v>
      </c>
      <c r="AR1165" s="97" t="str">
        <f>IFERROR(__xludf.DUMMYFUNCTION("""COMPUTED_VALUE"""),"Disponible")</f>
        <v>Disponible</v>
      </c>
      <c r="AS1165" s="97" t="str">
        <f>IFERROR(__xludf.DUMMYFUNCTION("""COMPUTED_VALUE"""),"Falta")</f>
        <v>Falta</v>
      </c>
      <c r="AT1165" s="97" t="str">
        <f>IFERROR(__xludf.DUMMYFUNCTION("""COMPUTED_VALUE"""),"Falta")</f>
        <v>Falta</v>
      </c>
      <c r="AU1165" s="97" t="str">
        <f>IFERROR(__xludf.DUMMYFUNCTION("""COMPUTED_VALUE"""),"Falta")</f>
        <v>Falta</v>
      </c>
      <c r="AV1165" s="97" t="str">
        <f>IFERROR(__xludf.DUMMYFUNCTION("""COMPUTED_VALUE"""),"Colgante")</f>
        <v>Colgante</v>
      </c>
      <c r="AW1165" s="97" t="str">
        <f>IFERROR(__xludf.DUMMYFUNCTION("""COMPUTED_VALUE"""),"De Techo")</f>
        <v>De Techo</v>
      </c>
      <c r="AX1165" s="97" t="str">
        <f>IFERROR(__xludf.DUMMYFUNCTION("""COMPUTED_VALUE"""),"Interior")</f>
        <v>Interior</v>
      </c>
      <c r="AY1165" s="97" t="str">
        <f>IFERROR(__xludf.DUMMYFUNCTION("""COMPUTED_VALUE"""),"Niao")</f>
        <v>Niao</v>
      </c>
      <c r="AZ1165" s="97" t="str">
        <f>IFERROR(__xludf.DUMMYFUNCTION("""COMPUTED_VALUE"""),"Pantalla reversible. Largo total 2500mm. Florón Ø60 x 130mm ")</f>
        <v>Pantalla reversible. Largo total 2500mm. Florón Ø60 x 130mm </v>
      </c>
      <c r="BA1165" s="97">
        <f>IFERROR(__xludf.DUMMYFUNCTION("""COMPUTED_VALUE"""),10.0)</f>
        <v>10</v>
      </c>
      <c r="BB1165" s="97" t="str">
        <f>IFERROR(__xludf.DUMMYFUNCTION("""COMPUTED_VALUE"""),"-")</f>
        <v>-</v>
      </c>
      <c r="BC1165" s="97" t="str">
        <f>IFERROR(__xludf.DUMMYFUNCTION("""COMPUTED_VALUE"""),"-")</f>
        <v>-</v>
      </c>
      <c r="BD1165" s="97" t="str">
        <f>IFERROR(__xludf.DUMMYFUNCTION("""COMPUTED_VALUE"""),"NIAO")</f>
        <v>NIAO</v>
      </c>
      <c r="BE1165" s="97" t="str">
        <f>IFERROR(__xludf.DUMMYFUNCTION("""COMPUTED_VALUE"""),"Finalizada")</f>
        <v>Finalizada</v>
      </c>
      <c r="BF1165" s="97"/>
      <c r="BG1165" s="97" t="str">
        <f>IFERROR(__xludf.DUMMYFUNCTION("""COMPUTED_VALUE"""),"Activo")</f>
        <v>Activo</v>
      </c>
    </row>
    <row r="1166">
      <c r="A1166" s="97">
        <f>IFERROR(__xludf.DUMMYFUNCTION("""COMPUTED_VALUE"""),7084.0)</f>
        <v>7084</v>
      </c>
      <c r="B1166" s="97" t="str">
        <f>IFERROR(__xludf.DUMMYFUNCTION("""COMPUTED_VALUE"""),"NIAO III BL")</f>
        <v>NIAO III BL</v>
      </c>
      <c r="C1166" s="97" t="str">
        <f>IFERROR(__xludf.DUMMYFUNCTION("""COMPUTED_VALUE"""),"COLGANTE NIAO III BL 7W 3000K 476LM CRI&gt;90 IP20 LEUK")</f>
        <v>COLGANTE NIAO III BL 7W 3000K 476LM CRI&gt;90 IP20 LEUK</v>
      </c>
      <c r="D1166" s="97">
        <f>IFERROR(__xludf.DUMMYFUNCTION("""COMPUTED_VALUE"""),7.798413226034E12)</f>
        <v>7798413226034</v>
      </c>
      <c r="E1166" s="97" t="str">
        <f>IFERROR(__xludf.DUMMYFUNCTION("""COMPUTED_VALUE"""),"A190")</f>
        <v>A190</v>
      </c>
      <c r="F1166" s="97" t="str">
        <f>IFERROR(__xludf.DUMMYFUNCTION("""COMPUTED_VALUE"""),"LED integrado")</f>
        <v>LED integrado</v>
      </c>
      <c r="G1166" s="97" t="str">
        <f>IFERROR(__xludf.DUMMYFUNCTION("""COMPUTED_VALUE"""),"OSRAM")</f>
        <v>OSRAM</v>
      </c>
      <c r="H1166" s="97" t="str">
        <f>IFERROR(__xludf.DUMMYFUNCTION("""COMPUTED_VALUE"""),"Eaglerise")</f>
        <v>Eaglerise</v>
      </c>
      <c r="I1166" s="97"/>
      <c r="J1166" s="97"/>
      <c r="K1166" s="97" t="str">
        <f>IFERROR(__xludf.DUMMYFUNCTION("""COMPUTED_VALUE"""),"ON/OFF")</f>
        <v>ON/OFF</v>
      </c>
      <c r="L1166" s="97" t="str">
        <f>IFERROR(__xludf.DUMMYFUNCTION("""COMPUTED_VALUE"""),"220-240")</f>
        <v>220-240</v>
      </c>
      <c r="M1166" s="97" t="str">
        <f>IFERROR(__xludf.DUMMYFUNCTION("""COMPUTED_VALUE"""),"50/60")</f>
        <v>50/60</v>
      </c>
      <c r="N1166" s="97" t="str">
        <f>IFERROR(__xludf.DUMMYFUNCTION("""COMPUTED_VALUE"""),"Directa-Simétrica")</f>
        <v>Directa-Simétrica</v>
      </c>
      <c r="O1166" s="97">
        <f>IFERROR(__xludf.DUMMYFUNCTION("""COMPUTED_VALUE"""),7.0)</f>
        <v>7</v>
      </c>
      <c r="P1166" s="97"/>
      <c r="Q1166" s="97">
        <f>IFERROR(__xludf.DUMMYFUNCTION("""COMPUTED_VALUE"""),0.6)</f>
        <v>0.6</v>
      </c>
      <c r="R1166" s="97" t="str">
        <f>IFERROR(__xludf.DUMMYFUNCTION("""COMPUTED_VALUE"""),"-")</f>
        <v>-</v>
      </c>
      <c r="S1166" s="97" t="str">
        <f>IFERROR(__xludf.DUMMYFUNCTION("""COMPUTED_VALUE"""),"-")</f>
        <v>-</v>
      </c>
      <c r="T1166" s="97">
        <f>IFERROR(__xludf.DUMMYFUNCTION("""COMPUTED_VALUE"""),476.0)</f>
        <v>476</v>
      </c>
      <c r="U1166" s="97">
        <f>IFERROR(__xludf.DUMMYFUNCTION("""COMPUTED_VALUE"""),68.0)</f>
        <v>68</v>
      </c>
      <c r="V1166" s="97">
        <f>IFERROR(__xludf.DUMMYFUNCTION("""COMPUTED_VALUE"""),62.0)</f>
        <v>62</v>
      </c>
      <c r="W1166" s="97" t="str">
        <f>IFERROR(__xludf.DUMMYFUNCTION("""COMPUTED_VALUE"""),"&lt; 18")</f>
        <v>&lt; 18</v>
      </c>
      <c r="X1166" s="97">
        <f>IFERROR(__xludf.DUMMYFUNCTION("""COMPUTED_VALUE"""),3000.0)</f>
        <v>3000</v>
      </c>
      <c r="Y1166" s="97" t="str">
        <f>IFERROR(__xludf.DUMMYFUNCTION("""COMPUTED_VALUE"""),"&gt;90")</f>
        <v>&gt;90</v>
      </c>
      <c r="Z1166" s="97"/>
      <c r="AA1166" s="97"/>
      <c r="AB1166" s="97" t="str">
        <f>IFERROR(__xludf.DUMMYFUNCTION("""COMPUTED_VALUE"""),"&lt; 2")</f>
        <v>&lt; 2</v>
      </c>
      <c r="AC1166" s="97"/>
      <c r="AD1166" s="97" t="str">
        <f>IFERROR(__xludf.DUMMYFUNCTION("""COMPUTED_VALUE"""),"IP20")</f>
        <v>IP20</v>
      </c>
      <c r="AE1166" s="97" t="str">
        <f>IFERROR(__xludf.DUMMYFUNCTION("""COMPUTED_VALUE"""),"Clase l")</f>
        <v>Clase l</v>
      </c>
      <c r="AF1166" s="97" t="str">
        <f>IFERROR(__xludf.DUMMYFUNCTION("""COMPUTED_VALUE"""),"Suspender")</f>
        <v>Suspender</v>
      </c>
      <c r="AG1166" s="97" t="str">
        <f>IFERROR(__xludf.DUMMYFUNCTION("""COMPUTED_VALUE"""),"Ø350 x 240")</f>
        <v>Ø350 x 240</v>
      </c>
      <c r="AH1166" s="97" t="str">
        <f>IFERROR(__xludf.DUMMYFUNCTION("""COMPUTED_VALUE"""),"N/A")</f>
        <v>N/A</v>
      </c>
      <c r="AI1166" s="97" t="str">
        <f>IFERROR(__xludf.DUMMYFUNCTION("""COMPUTED_VALUE"""),"N/A")</f>
        <v>N/A</v>
      </c>
      <c r="AJ1166" s="97" t="str">
        <f>IFERROR(__xludf.DUMMYFUNCTION("""COMPUTED_VALUE"""),"Vidrio")</f>
        <v>Vidrio</v>
      </c>
      <c r="AK1166" s="97" t="str">
        <f>IFERROR(__xludf.DUMMYFUNCTION("""COMPUTED_VALUE"""),"Aluminio")</f>
        <v>Aluminio</v>
      </c>
      <c r="AL1166" s="97" t="str">
        <f>IFERROR(__xludf.DUMMYFUNCTION("""COMPUTED_VALUE"""),"Blanco Mate")</f>
        <v>Blanco Mate</v>
      </c>
      <c r="AM1166" s="97" t="str">
        <f>IFERROR(__xludf.DUMMYFUNCTION("""COMPUTED_VALUE"""),"-")</f>
        <v>-</v>
      </c>
      <c r="AN1166" s="97" t="str">
        <f>IFERROR(__xludf.DUMMYFUNCTION("""COMPUTED_VALUE"""),"25.000hs (L70)")</f>
        <v>25.000hs (L70)</v>
      </c>
      <c r="AO1166" s="97" t="str">
        <f>IFERROR(__xludf.DUMMYFUNCTION("""COMPUTED_VALUE"""),"2 Años")</f>
        <v>2 Años</v>
      </c>
      <c r="AP1166" s="97" t="str">
        <f>IFERROR(__xludf.DUMMYFUNCTION("""COMPUTED_VALUE"""),"Disponible")</f>
        <v>Disponible</v>
      </c>
      <c r="AQ1166" s="97" t="str">
        <f>IFERROR(__xludf.DUMMYFUNCTION("""COMPUTED_VALUE"""),"Disponible")</f>
        <v>Disponible</v>
      </c>
      <c r="AR1166" s="97" t="str">
        <f>IFERROR(__xludf.DUMMYFUNCTION("""COMPUTED_VALUE"""),"Disponible")</f>
        <v>Disponible</v>
      </c>
      <c r="AS1166" s="97" t="str">
        <f>IFERROR(__xludf.DUMMYFUNCTION("""COMPUTED_VALUE"""),"Falta")</f>
        <v>Falta</v>
      </c>
      <c r="AT1166" s="97" t="str">
        <f>IFERROR(__xludf.DUMMYFUNCTION("""COMPUTED_VALUE"""),"Falta")</f>
        <v>Falta</v>
      </c>
      <c r="AU1166" s="97" t="str">
        <f>IFERROR(__xludf.DUMMYFUNCTION("""COMPUTED_VALUE"""),"Falta")</f>
        <v>Falta</v>
      </c>
      <c r="AV1166" s="97" t="str">
        <f>IFERROR(__xludf.DUMMYFUNCTION("""COMPUTED_VALUE"""),"Colgante")</f>
        <v>Colgante</v>
      </c>
      <c r="AW1166" s="97" t="str">
        <f>IFERROR(__xludf.DUMMYFUNCTION("""COMPUTED_VALUE"""),"De Techo")</f>
        <v>De Techo</v>
      </c>
      <c r="AX1166" s="97" t="str">
        <f>IFERROR(__xludf.DUMMYFUNCTION("""COMPUTED_VALUE"""),"Interior")</f>
        <v>Interior</v>
      </c>
      <c r="AY1166" s="97" t="str">
        <f>IFERROR(__xludf.DUMMYFUNCTION("""COMPUTED_VALUE"""),"Niao")</f>
        <v>Niao</v>
      </c>
      <c r="AZ1166" s="97" t="str">
        <f>IFERROR(__xludf.DUMMYFUNCTION("""COMPUTED_VALUE"""),"Pantalla reversible. Largo total 2500mm. Florón Ø60 x 130mm ")</f>
        <v>Pantalla reversible. Largo total 2500mm. Florón Ø60 x 130mm </v>
      </c>
      <c r="BA1166" s="97">
        <f>IFERROR(__xludf.DUMMYFUNCTION("""COMPUTED_VALUE"""),10.0)</f>
        <v>10</v>
      </c>
      <c r="BB1166" s="97" t="str">
        <f>IFERROR(__xludf.DUMMYFUNCTION("""COMPUTED_VALUE"""),"-")</f>
        <v>-</v>
      </c>
      <c r="BC1166" s="97" t="str">
        <f>IFERROR(__xludf.DUMMYFUNCTION("""COMPUTED_VALUE"""),"-")</f>
        <v>-</v>
      </c>
      <c r="BD1166" s="97" t="str">
        <f>IFERROR(__xludf.DUMMYFUNCTION("""COMPUTED_VALUE"""),"NIAO")</f>
        <v>NIAO</v>
      </c>
      <c r="BE1166" s="97" t="str">
        <f>IFERROR(__xludf.DUMMYFUNCTION("""COMPUTED_VALUE"""),"Finalizada")</f>
        <v>Finalizada</v>
      </c>
      <c r="BF1166" s="97"/>
      <c r="BG1166" s="97" t="str">
        <f>IFERROR(__xludf.DUMMYFUNCTION("""COMPUTED_VALUE"""),"Activo")</f>
        <v>Activo</v>
      </c>
    </row>
    <row r="1167">
      <c r="A1167" s="97">
        <f>IFERROR(__xludf.DUMMYFUNCTION("""COMPUTED_VALUE"""),7085.0)</f>
        <v>7085</v>
      </c>
      <c r="B1167" s="97" t="str">
        <f>IFERROR(__xludf.DUMMYFUNCTION("""COMPUTED_VALUE"""),"NIAO II NG")</f>
        <v>NIAO II NG</v>
      </c>
      <c r="C1167" s="97" t="str">
        <f>IFERROR(__xludf.DUMMYFUNCTION("""COMPUTED_VALUE"""),"COLGANTE NIAO II NG 7W 3000K 476LM CRI&gt;90 IP20 LEUK")</f>
        <v>COLGANTE NIAO II NG 7W 3000K 476LM CRI&gt;90 IP20 LEUK</v>
      </c>
      <c r="D1167" s="97">
        <f>IFERROR(__xludf.DUMMYFUNCTION("""COMPUTED_VALUE"""),7.798413226041E12)</f>
        <v>7798413226041</v>
      </c>
      <c r="E1167" s="97" t="str">
        <f>IFERROR(__xludf.DUMMYFUNCTION("""COMPUTED_VALUE"""),"A191")</f>
        <v>A191</v>
      </c>
      <c r="F1167" s="97" t="str">
        <f>IFERROR(__xludf.DUMMYFUNCTION("""COMPUTED_VALUE"""),"LED integrado")</f>
        <v>LED integrado</v>
      </c>
      <c r="G1167" s="97" t="str">
        <f>IFERROR(__xludf.DUMMYFUNCTION("""COMPUTED_VALUE"""),"OSRAM")</f>
        <v>OSRAM</v>
      </c>
      <c r="H1167" s="97" t="str">
        <f>IFERROR(__xludf.DUMMYFUNCTION("""COMPUTED_VALUE"""),"Eaglerise")</f>
        <v>Eaglerise</v>
      </c>
      <c r="I1167" s="97"/>
      <c r="J1167" s="97"/>
      <c r="K1167" s="97" t="str">
        <f>IFERROR(__xludf.DUMMYFUNCTION("""COMPUTED_VALUE"""),"ON/OFF")</f>
        <v>ON/OFF</v>
      </c>
      <c r="L1167" s="97" t="str">
        <f>IFERROR(__xludf.DUMMYFUNCTION("""COMPUTED_VALUE"""),"220-240")</f>
        <v>220-240</v>
      </c>
      <c r="M1167" s="97" t="str">
        <f>IFERROR(__xludf.DUMMYFUNCTION("""COMPUTED_VALUE"""),"50/60")</f>
        <v>50/60</v>
      </c>
      <c r="N1167" s="97" t="str">
        <f>IFERROR(__xludf.DUMMYFUNCTION("""COMPUTED_VALUE"""),"Directa-Simétrica")</f>
        <v>Directa-Simétrica</v>
      </c>
      <c r="O1167" s="97">
        <f>IFERROR(__xludf.DUMMYFUNCTION("""COMPUTED_VALUE"""),7.0)</f>
        <v>7</v>
      </c>
      <c r="P1167" s="97"/>
      <c r="Q1167" s="97">
        <f>IFERROR(__xludf.DUMMYFUNCTION("""COMPUTED_VALUE"""),0.6)</f>
        <v>0.6</v>
      </c>
      <c r="R1167" s="97" t="str">
        <f>IFERROR(__xludf.DUMMYFUNCTION("""COMPUTED_VALUE"""),"-")</f>
        <v>-</v>
      </c>
      <c r="S1167" s="97" t="str">
        <f>IFERROR(__xludf.DUMMYFUNCTION("""COMPUTED_VALUE"""),"-")</f>
        <v>-</v>
      </c>
      <c r="T1167" s="97">
        <f>IFERROR(__xludf.DUMMYFUNCTION("""COMPUTED_VALUE"""),476.0)</f>
        <v>476</v>
      </c>
      <c r="U1167" s="97">
        <f>IFERROR(__xludf.DUMMYFUNCTION("""COMPUTED_VALUE"""),68.0)</f>
        <v>68</v>
      </c>
      <c r="V1167" s="97">
        <f>IFERROR(__xludf.DUMMYFUNCTION("""COMPUTED_VALUE"""),62.0)</f>
        <v>62</v>
      </c>
      <c r="W1167" s="97" t="str">
        <f>IFERROR(__xludf.DUMMYFUNCTION("""COMPUTED_VALUE"""),"&lt; 18")</f>
        <v>&lt; 18</v>
      </c>
      <c r="X1167" s="97">
        <f>IFERROR(__xludf.DUMMYFUNCTION("""COMPUTED_VALUE"""),3000.0)</f>
        <v>3000</v>
      </c>
      <c r="Y1167" s="97" t="str">
        <f>IFERROR(__xludf.DUMMYFUNCTION("""COMPUTED_VALUE"""),"&gt;90")</f>
        <v>&gt;90</v>
      </c>
      <c r="Z1167" s="97"/>
      <c r="AA1167" s="97"/>
      <c r="AB1167" s="97" t="str">
        <f>IFERROR(__xludf.DUMMYFUNCTION("""COMPUTED_VALUE"""),"&lt; 2")</f>
        <v>&lt; 2</v>
      </c>
      <c r="AC1167" s="97"/>
      <c r="AD1167" s="97" t="str">
        <f>IFERROR(__xludf.DUMMYFUNCTION("""COMPUTED_VALUE"""),"IP20")</f>
        <v>IP20</v>
      </c>
      <c r="AE1167" s="97" t="str">
        <f>IFERROR(__xludf.DUMMYFUNCTION("""COMPUTED_VALUE"""),"Clase l")</f>
        <v>Clase l</v>
      </c>
      <c r="AF1167" s="97" t="str">
        <f>IFERROR(__xludf.DUMMYFUNCTION("""COMPUTED_VALUE"""),"Suspender")</f>
        <v>Suspender</v>
      </c>
      <c r="AG1167" s="97" t="str">
        <f>IFERROR(__xludf.DUMMYFUNCTION("""COMPUTED_VALUE"""),"Ø450 x 240")</f>
        <v>Ø450 x 240</v>
      </c>
      <c r="AH1167" s="97" t="str">
        <f>IFERROR(__xludf.DUMMYFUNCTION("""COMPUTED_VALUE"""),"N/A")</f>
        <v>N/A</v>
      </c>
      <c r="AI1167" s="97" t="str">
        <f>IFERROR(__xludf.DUMMYFUNCTION("""COMPUTED_VALUE"""),"N/A")</f>
        <v>N/A</v>
      </c>
      <c r="AJ1167" s="97" t="str">
        <f>IFERROR(__xludf.DUMMYFUNCTION("""COMPUTED_VALUE"""),"Vidrio")</f>
        <v>Vidrio</v>
      </c>
      <c r="AK1167" s="97" t="str">
        <f>IFERROR(__xludf.DUMMYFUNCTION("""COMPUTED_VALUE"""),"Aluminio")</f>
        <v>Aluminio</v>
      </c>
      <c r="AL1167" s="97" t="str">
        <f>IFERROR(__xludf.DUMMYFUNCTION("""COMPUTED_VALUE"""),"Negro Mate")</f>
        <v>Negro Mate</v>
      </c>
      <c r="AM1167" s="97" t="str">
        <f>IFERROR(__xludf.DUMMYFUNCTION("""COMPUTED_VALUE"""),"-")</f>
        <v>-</v>
      </c>
      <c r="AN1167" s="97" t="str">
        <f>IFERROR(__xludf.DUMMYFUNCTION("""COMPUTED_VALUE"""),"25.000hs (L70)")</f>
        <v>25.000hs (L70)</v>
      </c>
      <c r="AO1167" s="97" t="str">
        <f>IFERROR(__xludf.DUMMYFUNCTION("""COMPUTED_VALUE"""),"2 Años")</f>
        <v>2 Años</v>
      </c>
      <c r="AP1167" s="97" t="str">
        <f>IFERROR(__xludf.DUMMYFUNCTION("""COMPUTED_VALUE"""),"Disponible")</f>
        <v>Disponible</v>
      </c>
      <c r="AQ1167" s="97" t="str">
        <f>IFERROR(__xludf.DUMMYFUNCTION("""COMPUTED_VALUE"""),"Disponible")</f>
        <v>Disponible</v>
      </c>
      <c r="AR1167" s="97" t="str">
        <f>IFERROR(__xludf.DUMMYFUNCTION("""COMPUTED_VALUE"""),"Disponible")</f>
        <v>Disponible</v>
      </c>
      <c r="AS1167" s="97" t="str">
        <f>IFERROR(__xludf.DUMMYFUNCTION("""COMPUTED_VALUE"""),"Falta")</f>
        <v>Falta</v>
      </c>
      <c r="AT1167" s="97" t="str">
        <f>IFERROR(__xludf.DUMMYFUNCTION("""COMPUTED_VALUE"""),"Falta")</f>
        <v>Falta</v>
      </c>
      <c r="AU1167" s="97" t="str">
        <f>IFERROR(__xludf.DUMMYFUNCTION("""COMPUTED_VALUE"""),"Falta")</f>
        <v>Falta</v>
      </c>
      <c r="AV1167" s="97" t="str">
        <f>IFERROR(__xludf.DUMMYFUNCTION("""COMPUTED_VALUE"""),"Colgante")</f>
        <v>Colgante</v>
      </c>
      <c r="AW1167" s="97" t="str">
        <f>IFERROR(__xludf.DUMMYFUNCTION("""COMPUTED_VALUE"""),"De Techo")</f>
        <v>De Techo</v>
      </c>
      <c r="AX1167" s="97" t="str">
        <f>IFERROR(__xludf.DUMMYFUNCTION("""COMPUTED_VALUE"""),"Interior")</f>
        <v>Interior</v>
      </c>
      <c r="AY1167" s="97" t="str">
        <f>IFERROR(__xludf.DUMMYFUNCTION("""COMPUTED_VALUE"""),"Niao")</f>
        <v>Niao</v>
      </c>
      <c r="AZ1167" s="97" t="str">
        <f>IFERROR(__xludf.DUMMYFUNCTION("""COMPUTED_VALUE"""),"Pantalla reversible. Largo total 2500mm. Florón Ø60 x 130mm ")</f>
        <v>Pantalla reversible. Largo total 2500mm. Florón Ø60 x 130mm </v>
      </c>
      <c r="BA1167" s="97">
        <f>IFERROR(__xludf.DUMMYFUNCTION("""COMPUTED_VALUE"""),10.0)</f>
        <v>10</v>
      </c>
      <c r="BB1167" s="97" t="str">
        <f>IFERROR(__xludf.DUMMYFUNCTION("""COMPUTED_VALUE"""),"-")</f>
        <v>-</v>
      </c>
      <c r="BC1167" s="97" t="str">
        <f>IFERROR(__xludf.DUMMYFUNCTION("""COMPUTED_VALUE"""),"-")</f>
        <v>-</v>
      </c>
      <c r="BD1167" s="97" t="str">
        <f>IFERROR(__xludf.DUMMYFUNCTION("""COMPUTED_VALUE"""),"NIAO")</f>
        <v>NIAO</v>
      </c>
      <c r="BE1167" s="97" t="str">
        <f>IFERROR(__xludf.DUMMYFUNCTION("""COMPUTED_VALUE"""),"Finalizada")</f>
        <v>Finalizada</v>
      </c>
      <c r="BF1167" s="97"/>
      <c r="BG1167" s="97" t="str">
        <f>IFERROR(__xludf.DUMMYFUNCTION("""COMPUTED_VALUE"""),"Activo")</f>
        <v>Activo</v>
      </c>
    </row>
    <row r="1168">
      <c r="A1168" s="97">
        <f>IFERROR(__xludf.DUMMYFUNCTION("""COMPUTED_VALUE"""),7086.0)</f>
        <v>7086</v>
      </c>
      <c r="B1168" s="97" t="str">
        <f>IFERROR(__xludf.DUMMYFUNCTION("""COMPUTED_VALUE"""),"NIAO II BL")</f>
        <v>NIAO II BL</v>
      </c>
      <c r="C1168" s="97" t="str">
        <f>IFERROR(__xludf.DUMMYFUNCTION("""COMPUTED_VALUE"""),"COLGANTE NIAO II BL 7W 3000K 476LM CRI&gt;90 IP20 LEUK")</f>
        <v>COLGANTE NIAO II BL 7W 3000K 476LM CRI&gt;90 IP20 LEUK</v>
      </c>
      <c r="D1168" s="97">
        <f>IFERROR(__xludf.DUMMYFUNCTION("""COMPUTED_VALUE"""),7.798413226058E12)</f>
        <v>7798413226058</v>
      </c>
      <c r="E1168" s="97" t="str">
        <f>IFERROR(__xludf.DUMMYFUNCTION("""COMPUTED_VALUE"""),"A191")</f>
        <v>A191</v>
      </c>
      <c r="F1168" s="97" t="str">
        <f>IFERROR(__xludf.DUMMYFUNCTION("""COMPUTED_VALUE"""),"LED integrado")</f>
        <v>LED integrado</v>
      </c>
      <c r="G1168" s="97" t="str">
        <f>IFERROR(__xludf.DUMMYFUNCTION("""COMPUTED_VALUE"""),"OSRAM")</f>
        <v>OSRAM</v>
      </c>
      <c r="H1168" s="97" t="str">
        <f>IFERROR(__xludf.DUMMYFUNCTION("""COMPUTED_VALUE"""),"Eaglerise")</f>
        <v>Eaglerise</v>
      </c>
      <c r="I1168" s="97"/>
      <c r="J1168" s="97"/>
      <c r="K1168" s="97" t="str">
        <f>IFERROR(__xludf.DUMMYFUNCTION("""COMPUTED_VALUE"""),"ON/OFF")</f>
        <v>ON/OFF</v>
      </c>
      <c r="L1168" s="97" t="str">
        <f>IFERROR(__xludf.DUMMYFUNCTION("""COMPUTED_VALUE"""),"220-240")</f>
        <v>220-240</v>
      </c>
      <c r="M1168" s="97" t="str">
        <f>IFERROR(__xludf.DUMMYFUNCTION("""COMPUTED_VALUE"""),"50/60")</f>
        <v>50/60</v>
      </c>
      <c r="N1168" s="97" t="str">
        <f>IFERROR(__xludf.DUMMYFUNCTION("""COMPUTED_VALUE"""),"Directa-Simétrica")</f>
        <v>Directa-Simétrica</v>
      </c>
      <c r="O1168" s="97">
        <f>IFERROR(__xludf.DUMMYFUNCTION("""COMPUTED_VALUE"""),7.0)</f>
        <v>7</v>
      </c>
      <c r="P1168" s="97"/>
      <c r="Q1168" s="97">
        <f>IFERROR(__xludf.DUMMYFUNCTION("""COMPUTED_VALUE"""),0.6)</f>
        <v>0.6</v>
      </c>
      <c r="R1168" s="97" t="str">
        <f>IFERROR(__xludf.DUMMYFUNCTION("""COMPUTED_VALUE"""),"-")</f>
        <v>-</v>
      </c>
      <c r="S1168" s="97" t="str">
        <f>IFERROR(__xludf.DUMMYFUNCTION("""COMPUTED_VALUE"""),"-")</f>
        <v>-</v>
      </c>
      <c r="T1168" s="97">
        <f>IFERROR(__xludf.DUMMYFUNCTION("""COMPUTED_VALUE"""),476.0)</f>
        <v>476</v>
      </c>
      <c r="U1168" s="97">
        <f>IFERROR(__xludf.DUMMYFUNCTION("""COMPUTED_VALUE"""),68.0)</f>
        <v>68</v>
      </c>
      <c r="V1168" s="97">
        <f>IFERROR(__xludf.DUMMYFUNCTION("""COMPUTED_VALUE"""),62.0)</f>
        <v>62</v>
      </c>
      <c r="W1168" s="97" t="str">
        <f>IFERROR(__xludf.DUMMYFUNCTION("""COMPUTED_VALUE"""),"&lt; 18")</f>
        <v>&lt; 18</v>
      </c>
      <c r="X1168" s="97">
        <f>IFERROR(__xludf.DUMMYFUNCTION("""COMPUTED_VALUE"""),3000.0)</f>
        <v>3000</v>
      </c>
      <c r="Y1168" s="97" t="str">
        <f>IFERROR(__xludf.DUMMYFUNCTION("""COMPUTED_VALUE"""),"&gt;90")</f>
        <v>&gt;90</v>
      </c>
      <c r="Z1168" s="97"/>
      <c r="AA1168" s="97"/>
      <c r="AB1168" s="97" t="str">
        <f>IFERROR(__xludf.DUMMYFUNCTION("""COMPUTED_VALUE"""),"&lt; 2")</f>
        <v>&lt; 2</v>
      </c>
      <c r="AC1168" s="97"/>
      <c r="AD1168" s="97" t="str">
        <f>IFERROR(__xludf.DUMMYFUNCTION("""COMPUTED_VALUE"""),"IP20")</f>
        <v>IP20</v>
      </c>
      <c r="AE1168" s="97" t="str">
        <f>IFERROR(__xludf.DUMMYFUNCTION("""COMPUTED_VALUE"""),"Clase l")</f>
        <v>Clase l</v>
      </c>
      <c r="AF1168" s="97" t="str">
        <f>IFERROR(__xludf.DUMMYFUNCTION("""COMPUTED_VALUE"""),"Suspender")</f>
        <v>Suspender</v>
      </c>
      <c r="AG1168" s="97" t="str">
        <f>IFERROR(__xludf.DUMMYFUNCTION("""COMPUTED_VALUE"""),"Ø450 x 240")</f>
        <v>Ø450 x 240</v>
      </c>
      <c r="AH1168" s="97" t="str">
        <f>IFERROR(__xludf.DUMMYFUNCTION("""COMPUTED_VALUE"""),"N/A")</f>
        <v>N/A</v>
      </c>
      <c r="AI1168" s="97" t="str">
        <f>IFERROR(__xludf.DUMMYFUNCTION("""COMPUTED_VALUE"""),"N/A")</f>
        <v>N/A</v>
      </c>
      <c r="AJ1168" s="97" t="str">
        <f>IFERROR(__xludf.DUMMYFUNCTION("""COMPUTED_VALUE"""),"Vidrio")</f>
        <v>Vidrio</v>
      </c>
      <c r="AK1168" s="97" t="str">
        <f>IFERROR(__xludf.DUMMYFUNCTION("""COMPUTED_VALUE"""),"Aluminio")</f>
        <v>Aluminio</v>
      </c>
      <c r="AL1168" s="97" t="str">
        <f>IFERROR(__xludf.DUMMYFUNCTION("""COMPUTED_VALUE"""),"Blanco Mate")</f>
        <v>Blanco Mate</v>
      </c>
      <c r="AM1168" s="97" t="str">
        <f>IFERROR(__xludf.DUMMYFUNCTION("""COMPUTED_VALUE"""),"-")</f>
        <v>-</v>
      </c>
      <c r="AN1168" s="97" t="str">
        <f>IFERROR(__xludf.DUMMYFUNCTION("""COMPUTED_VALUE"""),"25.000hs (L70)")</f>
        <v>25.000hs (L70)</v>
      </c>
      <c r="AO1168" s="97" t="str">
        <f>IFERROR(__xludf.DUMMYFUNCTION("""COMPUTED_VALUE"""),"2 Años")</f>
        <v>2 Años</v>
      </c>
      <c r="AP1168" s="97" t="str">
        <f>IFERROR(__xludf.DUMMYFUNCTION("""COMPUTED_VALUE"""),"Disponible")</f>
        <v>Disponible</v>
      </c>
      <c r="AQ1168" s="97" t="str">
        <f>IFERROR(__xludf.DUMMYFUNCTION("""COMPUTED_VALUE"""),"Disponible")</f>
        <v>Disponible</v>
      </c>
      <c r="AR1168" s="97" t="str">
        <f>IFERROR(__xludf.DUMMYFUNCTION("""COMPUTED_VALUE"""),"Disponible")</f>
        <v>Disponible</v>
      </c>
      <c r="AS1168" s="97" t="str">
        <f>IFERROR(__xludf.DUMMYFUNCTION("""COMPUTED_VALUE"""),"Falta")</f>
        <v>Falta</v>
      </c>
      <c r="AT1168" s="97" t="str">
        <f>IFERROR(__xludf.DUMMYFUNCTION("""COMPUTED_VALUE"""),"Falta")</f>
        <v>Falta</v>
      </c>
      <c r="AU1168" s="97" t="str">
        <f>IFERROR(__xludf.DUMMYFUNCTION("""COMPUTED_VALUE"""),"Falta")</f>
        <v>Falta</v>
      </c>
      <c r="AV1168" s="97" t="str">
        <f>IFERROR(__xludf.DUMMYFUNCTION("""COMPUTED_VALUE"""),"Colgante")</f>
        <v>Colgante</v>
      </c>
      <c r="AW1168" s="97" t="str">
        <f>IFERROR(__xludf.DUMMYFUNCTION("""COMPUTED_VALUE"""),"De Techo")</f>
        <v>De Techo</v>
      </c>
      <c r="AX1168" s="97" t="str">
        <f>IFERROR(__xludf.DUMMYFUNCTION("""COMPUTED_VALUE"""),"Interior")</f>
        <v>Interior</v>
      </c>
      <c r="AY1168" s="97" t="str">
        <f>IFERROR(__xludf.DUMMYFUNCTION("""COMPUTED_VALUE"""),"Niao")</f>
        <v>Niao</v>
      </c>
      <c r="AZ1168" s="97" t="str">
        <f>IFERROR(__xludf.DUMMYFUNCTION("""COMPUTED_VALUE"""),"Pantalla reversible. Largo total 2500mm. Florón Ø60 x 130mm ")</f>
        <v>Pantalla reversible. Largo total 2500mm. Florón Ø60 x 130mm </v>
      </c>
      <c r="BA1168" s="97">
        <f>IFERROR(__xludf.DUMMYFUNCTION("""COMPUTED_VALUE"""),10.0)</f>
        <v>10</v>
      </c>
      <c r="BB1168" s="97" t="str">
        <f>IFERROR(__xludf.DUMMYFUNCTION("""COMPUTED_VALUE"""),"-")</f>
        <v>-</v>
      </c>
      <c r="BC1168" s="97" t="str">
        <f>IFERROR(__xludf.DUMMYFUNCTION("""COMPUTED_VALUE"""),"-")</f>
        <v>-</v>
      </c>
      <c r="BD1168" s="97" t="str">
        <f>IFERROR(__xludf.DUMMYFUNCTION("""COMPUTED_VALUE"""),"NIAO")</f>
        <v>NIAO</v>
      </c>
      <c r="BE1168" s="97" t="str">
        <f>IFERROR(__xludf.DUMMYFUNCTION("""COMPUTED_VALUE"""),"Finalizada")</f>
        <v>Finalizada</v>
      </c>
      <c r="BF1168" s="97"/>
      <c r="BG1168" s="97" t="str">
        <f>IFERROR(__xludf.DUMMYFUNCTION("""COMPUTED_VALUE"""),"Activo")</f>
        <v>Activo</v>
      </c>
    </row>
    <row r="1169">
      <c r="A1169" s="97">
        <f>IFERROR(__xludf.DUMMYFUNCTION("""COMPUTED_VALUE"""),7087.0)</f>
        <v>7087</v>
      </c>
      <c r="B1169" s="97" t="str">
        <f>IFERROR(__xludf.DUMMYFUNCTION("""COMPUTED_VALUE"""),"NIAO II AZ")</f>
        <v>NIAO II AZ</v>
      </c>
      <c r="C1169" s="97" t="str">
        <f>IFERROR(__xludf.DUMMYFUNCTION("""COMPUTED_VALUE"""),"COLGANTE NIAO II AZ 7W 3000K 476LM CRI&gt;90 IP20 LEUK")</f>
        <v>COLGANTE NIAO II AZ 7W 3000K 476LM CRI&gt;90 IP20 LEUK</v>
      </c>
      <c r="D1169" s="97">
        <f>IFERROR(__xludf.DUMMYFUNCTION("""COMPUTED_VALUE"""),7.798413226065E12)</f>
        <v>7798413226065</v>
      </c>
      <c r="E1169" s="97" t="str">
        <f>IFERROR(__xludf.DUMMYFUNCTION("""COMPUTED_VALUE"""),"A191")</f>
        <v>A191</v>
      </c>
      <c r="F1169" s="97" t="str">
        <f>IFERROR(__xludf.DUMMYFUNCTION("""COMPUTED_VALUE"""),"LED integrado")</f>
        <v>LED integrado</v>
      </c>
      <c r="G1169" s="97" t="str">
        <f>IFERROR(__xludf.DUMMYFUNCTION("""COMPUTED_VALUE"""),"OSRAM")</f>
        <v>OSRAM</v>
      </c>
      <c r="H1169" s="97" t="str">
        <f>IFERROR(__xludf.DUMMYFUNCTION("""COMPUTED_VALUE"""),"Eaglerise")</f>
        <v>Eaglerise</v>
      </c>
      <c r="I1169" s="97"/>
      <c r="J1169" s="97"/>
      <c r="K1169" s="97" t="str">
        <f>IFERROR(__xludf.DUMMYFUNCTION("""COMPUTED_VALUE"""),"ON/OFF")</f>
        <v>ON/OFF</v>
      </c>
      <c r="L1169" s="97" t="str">
        <f>IFERROR(__xludf.DUMMYFUNCTION("""COMPUTED_VALUE"""),"220-240")</f>
        <v>220-240</v>
      </c>
      <c r="M1169" s="97" t="str">
        <f>IFERROR(__xludf.DUMMYFUNCTION("""COMPUTED_VALUE"""),"50/60")</f>
        <v>50/60</v>
      </c>
      <c r="N1169" s="97" t="str">
        <f>IFERROR(__xludf.DUMMYFUNCTION("""COMPUTED_VALUE"""),"Directa-Simétrica")</f>
        <v>Directa-Simétrica</v>
      </c>
      <c r="O1169" s="97">
        <f>IFERROR(__xludf.DUMMYFUNCTION("""COMPUTED_VALUE"""),7.0)</f>
        <v>7</v>
      </c>
      <c r="P1169" s="97"/>
      <c r="Q1169" s="97">
        <f>IFERROR(__xludf.DUMMYFUNCTION("""COMPUTED_VALUE"""),0.6)</f>
        <v>0.6</v>
      </c>
      <c r="R1169" s="97" t="str">
        <f>IFERROR(__xludf.DUMMYFUNCTION("""COMPUTED_VALUE"""),"-")</f>
        <v>-</v>
      </c>
      <c r="S1169" s="97" t="str">
        <f>IFERROR(__xludf.DUMMYFUNCTION("""COMPUTED_VALUE"""),"-")</f>
        <v>-</v>
      </c>
      <c r="T1169" s="97">
        <f>IFERROR(__xludf.DUMMYFUNCTION("""COMPUTED_VALUE"""),476.0)</f>
        <v>476</v>
      </c>
      <c r="U1169" s="97">
        <f>IFERROR(__xludf.DUMMYFUNCTION("""COMPUTED_VALUE"""),68.0)</f>
        <v>68</v>
      </c>
      <c r="V1169" s="97">
        <f>IFERROR(__xludf.DUMMYFUNCTION("""COMPUTED_VALUE"""),62.0)</f>
        <v>62</v>
      </c>
      <c r="W1169" s="97" t="str">
        <f>IFERROR(__xludf.DUMMYFUNCTION("""COMPUTED_VALUE"""),"&lt; 18")</f>
        <v>&lt; 18</v>
      </c>
      <c r="X1169" s="97">
        <f>IFERROR(__xludf.DUMMYFUNCTION("""COMPUTED_VALUE"""),3000.0)</f>
        <v>3000</v>
      </c>
      <c r="Y1169" s="97" t="str">
        <f>IFERROR(__xludf.DUMMYFUNCTION("""COMPUTED_VALUE"""),"&gt;90")</f>
        <v>&gt;90</v>
      </c>
      <c r="Z1169" s="97"/>
      <c r="AA1169" s="97"/>
      <c r="AB1169" s="97" t="str">
        <f>IFERROR(__xludf.DUMMYFUNCTION("""COMPUTED_VALUE"""),"&lt; 2")</f>
        <v>&lt; 2</v>
      </c>
      <c r="AC1169" s="97"/>
      <c r="AD1169" s="97" t="str">
        <f>IFERROR(__xludf.DUMMYFUNCTION("""COMPUTED_VALUE"""),"IP20")</f>
        <v>IP20</v>
      </c>
      <c r="AE1169" s="97" t="str">
        <f>IFERROR(__xludf.DUMMYFUNCTION("""COMPUTED_VALUE"""),"Clase l")</f>
        <v>Clase l</v>
      </c>
      <c r="AF1169" s="97" t="str">
        <f>IFERROR(__xludf.DUMMYFUNCTION("""COMPUTED_VALUE"""),"Suspender")</f>
        <v>Suspender</v>
      </c>
      <c r="AG1169" s="97" t="str">
        <f>IFERROR(__xludf.DUMMYFUNCTION("""COMPUTED_VALUE"""),"Ø450 x 240")</f>
        <v>Ø450 x 240</v>
      </c>
      <c r="AH1169" s="97" t="str">
        <f>IFERROR(__xludf.DUMMYFUNCTION("""COMPUTED_VALUE"""),"N/A")</f>
        <v>N/A</v>
      </c>
      <c r="AI1169" s="97" t="str">
        <f>IFERROR(__xludf.DUMMYFUNCTION("""COMPUTED_VALUE"""),"N/A")</f>
        <v>N/A</v>
      </c>
      <c r="AJ1169" s="97" t="str">
        <f>IFERROR(__xludf.DUMMYFUNCTION("""COMPUTED_VALUE"""),"Vidrio")</f>
        <v>Vidrio</v>
      </c>
      <c r="AK1169" s="97" t="str">
        <f>IFERROR(__xludf.DUMMYFUNCTION("""COMPUTED_VALUE"""),"Aluminio")</f>
        <v>Aluminio</v>
      </c>
      <c r="AL1169" s="97" t="str">
        <f>IFERROR(__xludf.DUMMYFUNCTION("""COMPUTED_VALUE"""),"Azul")</f>
        <v>Azul</v>
      </c>
      <c r="AM1169" s="97" t="str">
        <f>IFERROR(__xludf.DUMMYFUNCTION("""COMPUTED_VALUE"""),"-")</f>
        <v>-</v>
      </c>
      <c r="AN1169" s="97" t="str">
        <f>IFERROR(__xludf.DUMMYFUNCTION("""COMPUTED_VALUE"""),"25.000hs (L70)")</f>
        <v>25.000hs (L70)</v>
      </c>
      <c r="AO1169" s="97" t="str">
        <f>IFERROR(__xludf.DUMMYFUNCTION("""COMPUTED_VALUE"""),"2 Años")</f>
        <v>2 Años</v>
      </c>
      <c r="AP1169" s="97" t="str">
        <f>IFERROR(__xludf.DUMMYFUNCTION("""COMPUTED_VALUE"""),"Disponible")</f>
        <v>Disponible</v>
      </c>
      <c r="AQ1169" s="97" t="str">
        <f>IFERROR(__xludf.DUMMYFUNCTION("""COMPUTED_VALUE"""),"Disponible")</f>
        <v>Disponible</v>
      </c>
      <c r="AR1169" s="97" t="str">
        <f>IFERROR(__xludf.DUMMYFUNCTION("""COMPUTED_VALUE"""),"Disponible")</f>
        <v>Disponible</v>
      </c>
      <c r="AS1169" s="97" t="str">
        <f>IFERROR(__xludf.DUMMYFUNCTION("""COMPUTED_VALUE"""),"Falta")</f>
        <v>Falta</v>
      </c>
      <c r="AT1169" s="97" t="str">
        <f>IFERROR(__xludf.DUMMYFUNCTION("""COMPUTED_VALUE"""),"Falta")</f>
        <v>Falta</v>
      </c>
      <c r="AU1169" s="97" t="str">
        <f>IFERROR(__xludf.DUMMYFUNCTION("""COMPUTED_VALUE"""),"Falta")</f>
        <v>Falta</v>
      </c>
      <c r="AV1169" s="97" t="str">
        <f>IFERROR(__xludf.DUMMYFUNCTION("""COMPUTED_VALUE"""),"Colgante")</f>
        <v>Colgante</v>
      </c>
      <c r="AW1169" s="97" t="str">
        <f>IFERROR(__xludf.DUMMYFUNCTION("""COMPUTED_VALUE"""),"De Techo")</f>
        <v>De Techo</v>
      </c>
      <c r="AX1169" s="97" t="str">
        <f>IFERROR(__xludf.DUMMYFUNCTION("""COMPUTED_VALUE"""),"Interior")</f>
        <v>Interior</v>
      </c>
      <c r="AY1169" s="97" t="str">
        <f>IFERROR(__xludf.DUMMYFUNCTION("""COMPUTED_VALUE"""),"Niao")</f>
        <v>Niao</v>
      </c>
      <c r="AZ1169" s="97" t="str">
        <f>IFERROR(__xludf.DUMMYFUNCTION("""COMPUTED_VALUE"""),"Pantalla reversible. Largo total 2500mm. Florón Ø60 x 130mm ")</f>
        <v>Pantalla reversible. Largo total 2500mm. Florón Ø60 x 130mm </v>
      </c>
      <c r="BA1169" s="97">
        <f>IFERROR(__xludf.DUMMYFUNCTION("""COMPUTED_VALUE"""),10.0)</f>
        <v>10</v>
      </c>
      <c r="BB1169" s="97" t="str">
        <f>IFERROR(__xludf.DUMMYFUNCTION("""COMPUTED_VALUE"""),"-")</f>
        <v>-</v>
      </c>
      <c r="BC1169" s="97" t="str">
        <f>IFERROR(__xludf.DUMMYFUNCTION("""COMPUTED_VALUE"""),"-")</f>
        <v>-</v>
      </c>
      <c r="BD1169" s="97" t="str">
        <f>IFERROR(__xludf.DUMMYFUNCTION("""COMPUTED_VALUE"""),"NIAO")</f>
        <v>NIAO</v>
      </c>
      <c r="BE1169" s="97" t="str">
        <f>IFERROR(__xludf.DUMMYFUNCTION("""COMPUTED_VALUE"""),"Finalizada")</f>
        <v>Finalizada</v>
      </c>
      <c r="BF1169" s="97"/>
      <c r="BG1169" s="97" t="str">
        <f>IFERROR(__xludf.DUMMYFUNCTION("""COMPUTED_VALUE"""),"Activo")</f>
        <v>Activo</v>
      </c>
    </row>
    <row r="1170">
      <c r="A1170" s="97">
        <f>IFERROR(__xludf.DUMMYFUNCTION("""COMPUTED_VALUE"""),7088.0)</f>
        <v>7088</v>
      </c>
      <c r="B1170" s="97" t="str">
        <f>IFERROR(__xludf.DUMMYFUNCTION("""COMPUTED_VALUE"""),"NIAO II VR")</f>
        <v>NIAO II VR</v>
      </c>
      <c r="C1170" s="97" t="str">
        <f>IFERROR(__xludf.DUMMYFUNCTION("""COMPUTED_VALUE"""),"COLGANTE NIAO II VR 7W 3000K 476LM CRI&gt;90 IP20 LEUK")</f>
        <v>COLGANTE NIAO II VR 7W 3000K 476LM CRI&gt;90 IP20 LEUK</v>
      </c>
      <c r="D1170" s="97">
        <f>IFERROR(__xludf.DUMMYFUNCTION("""COMPUTED_VALUE"""),7.798413226072E12)</f>
        <v>7798413226072</v>
      </c>
      <c r="E1170" s="97" t="str">
        <f>IFERROR(__xludf.DUMMYFUNCTION("""COMPUTED_VALUE"""),"A191")</f>
        <v>A191</v>
      </c>
      <c r="F1170" s="97" t="str">
        <f>IFERROR(__xludf.DUMMYFUNCTION("""COMPUTED_VALUE"""),"LED integrado")</f>
        <v>LED integrado</v>
      </c>
      <c r="G1170" s="97" t="str">
        <f>IFERROR(__xludf.DUMMYFUNCTION("""COMPUTED_VALUE"""),"OSRAM")</f>
        <v>OSRAM</v>
      </c>
      <c r="H1170" s="97" t="str">
        <f>IFERROR(__xludf.DUMMYFUNCTION("""COMPUTED_VALUE"""),"Eaglerise")</f>
        <v>Eaglerise</v>
      </c>
      <c r="I1170" s="97"/>
      <c r="J1170" s="97"/>
      <c r="K1170" s="97" t="str">
        <f>IFERROR(__xludf.DUMMYFUNCTION("""COMPUTED_VALUE"""),"ON/OFF")</f>
        <v>ON/OFF</v>
      </c>
      <c r="L1170" s="97" t="str">
        <f>IFERROR(__xludf.DUMMYFUNCTION("""COMPUTED_VALUE"""),"220-240")</f>
        <v>220-240</v>
      </c>
      <c r="M1170" s="97" t="str">
        <f>IFERROR(__xludf.DUMMYFUNCTION("""COMPUTED_VALUE"""),"50/60")</f>
        <v>50/60</v>
      </c>
      <c r="N1170" s="97" t="str">
        <f>IFERROR(__xludf.DUMMYFUNCTION("""COMPUTED_VALUE"""),"Directa-Simétrica")</f>
        <v>Directa-Simétrica</v>
      </c>
      <c r="O1170" s="97">
        <f>IFERROR(__xludf.DUMMYFUNCTION("""COMPUTED_VALUE"""),7.0)</f>
        <v>7</v>
      </c>
      <c r="P1170" s="97"/>
      <c r="Q1170" s="97">
        <f>IFERROR(__xludf.DUMMYFUNCTION("""COMPUTED_VALUE"""),0.6)</f>
        <v>0.6</v>
      </c>
      <c r="R1170" s="97" t="str">
        <f>IFERROR(__xludf.DUMMYFUNCTION("""COMPUTED_VALUE"""),"-")</f>
        <v>-</v>
      </c>
      <c r="S1170" s="97" t="str">
        <f>IFERROR(__xludf.DUMMYFUNCTION("""COMPUTED_VALUE"""),"-")</f>
        <v>-</v>
      </c>
      <c r="T1170" s="97">
        <f>IFERROR(__xludf.DUMMYFUNCTION("""COMPUTED_VALUE"""),476.0)</f>
        <v>476</v>
      </c>
      <c r="U1170" s="97">
        <f>IFERROR(__xludf.DUMMYFUNCTION("""COMPUTED_VALUE"""),68.0)</f>
        <v>68</v>
      </c>
      <c r="V1170" s="97">
        <f>IFERROR(__xludf.DUMMYFUNCTION("""COMPUTED_VALUE"""),62.0)</f>
        <v>62</v>
      </c>
      <c r="W1170" s="97" t="str">
        <f>IFERROR(__xludf.DUMMYFUNCTION("""COMPUTED_VALUE"""),"&lt; 18")</f>
        <v>&lt; 18</v>
      </c>
      <c r="X1170" s="97">
        <f>IFERROR(__xludf.DUMMYFUNCTION("""COMPUTED_VALUE"""),3000.0)</f>
        <v>3000</v>
      </c>
      <c r="Y1170" s="97" t="str">
        <f>IFERROR(__xludf.DUMMYFUNCTION("""COMPUTED_VALUE"""),"&gt;90")</f>
        <v>&gt;90</v>
      </c>
      <c r="Z1170" s="97"/>
      <c r="AA1170" s="97"/>
      <c r="AB1170" s="97" t="str">
        <f>IFERROR(__xludf.DUMMYFUNCTION("""COMPUTED_VALUE"""),"&lt; 2")</f>
        <v>&lt; 2</v>
      </c>
      <c r="AC1170" s="97"/>
      <c r="AD1170" s="97" t="str">
        <f>IFERROR(__xludf.DUMMYFUNCTION("""COMPUTED_VALUE"""),"IP20")</f>
        <v>IP20</v>
      </c>
      <c r="AE1170" s="97" t="str">
        <f>IFERROR(__xludf.DUMMYFUNCTION("""COMPUTED_VALUE"""),"Clase l")</f>
        <v>Clase l</v>
      </c>
      <c r="AF1170" s="97" t="str">
        <f>IFERROR(__xludf.DUMMYFUNCTION("""COMPUTED_VALUE"""),"Suspender")</f>
        <v>Suspender</v>
      </c>
      <c r="AG1170" s="97" t="str">
        <f>IFERROR(__xludf.DUMMYFUNCTION("""COMPUTED_VALUE"""),"Ø450 x 240")</f>
        <v>Ø450 x 240</v>
      </c>
      <c r="AH1170" s="97" t="str">
        <f>IFERROR(__xludf.DUMMYFUNCTION("""COMPUTED_VALUE"""),"N/A")</f>
        <v>N/A</v>
      </c>
      <c r="AI1170" s="97" t="str">
        <f>IFERROR(__xludf.DUMMYFUNCTION("""COMPUTED_VALUE"""),"N/A")</f>
        <v>N/A</v>
      </c>
      <c r="AJ1170" s="97" t="str">
        <f>IFERROR(__xludf.DUMMYFUNCTION("""COMPUTED_VALUE"""),"Vidrio")</f>
        <v>Vidrio</v>
      </c>
      <c r="AK1170" s="97" t="str">
        <f>IFERROR(__xludf.DUMMYFUNCTION("""COMPUTED_VALUE"""),"Aluminio")</f>
        <v>Aluminio</v>
      </c>
      <c r="AL1170" s="97" t="str">
        <f>IFERROR(__xludf.DUMMYFUNCTION("""COMPUTED_VALUE"""),"Verde")</f>
        <v>Verde</v>
      </c>
      <c r="AM1170" s="97" t="str">
        <f>IFERROR(__xludf.DUMMYFUNCTION("""COMPUTED_VALUE"""),"-")</f>
        <v>-</v>
      </c>
      <c r="AN1170" s="97" t="str">
        <f>IFERROR(__xludf.DUMMYFUNCTION("""COMPUTED_VALUE"""),"25.000hs (L70)")</f>
        <v>25.000hs (L70)</v>
      </c>
      <c r="AO1170" s="97" t="str">
        <f>IFERROR(__xludf.DUMMYFUNCTION("""COMPUTED_VALUE"""),"2 Años")</f>
        <v>2 Años</v>
      </c>
      <c r="AP1170" s="97" t="str">
        <f>IFERROR(__xludf.DUMMYFUNCTION("""COMPUTED_VALUE"""),"Disponible")</f>
        <v>Disponible</v>
      </c>
      <c r="AQ1170" s="97" t="str">
        <f>IFERROR(__xludf.DUMMYFUNCTION("""COMPUTED_VALUE"""),"Disponible")</f>
        <v>Disponible</v>
      </c>
      <c r="AR1170" s="97" t="str">
        <f>IFERROR(__xludf.DUMMYFUNCTION("""COMPUTED_VALUE"""),"Disponible")</f>
        <v>Disponible</v>
      </c>
      <c r="AS1170" s="97" t="str">
        <f>IFERROR(__xludf.DUMMYFUNCTION("""COMPUTED_VALUE"""),"Falta")</f>
        <v>Falta</v>
      </c>
      <c r="AT1170" s="97" t="str">
        <f>IFERROR(__xludf.DUMMYFUNCTION("""COMPUTED_VALUE"""),"Falta")</f>
        <v>Falta</v>
      </c>
      <c r="AU1170" s="97" t="str">
        <f>IFERROR(__xludf.DUMMYFUNCTION("""COMPUTED_VALUE"""),"Falta")</f>
        <v>Falta</v>
      </c>
      <c r="AV1170" s="97" t="str">
        <f>IFERROR(__xludf.DUMMYFUNCTION("""COMPUTED_VALUE"""),"Colgante")</f>
        <v>Colgante</v>
      </c>
      <c r="AW1170" s="97" t="str">
        <f>IFERROR(__xludf.DUMMYFUNCTION("""COMPUTED_VALUE"""),"De Techo")</f>
        <v>De Techo</v>
      </c>
      <c r="AX1170" s="97" t="str">
        <f>IFERROR(__xludf.DUMMYFUNCTION("""COMPUTED_VALUE"""),"Interior")</f>
        <v>Interior</v>
      </c>
      <c r="AY1170" s="97" t="str">
        <f>IFERROR(__xludf.DUMMYFUNCTION("""COMPUTED_VALUE"""),"Niao")</f>
        <v>Niao</v>
      </c>
      <c r="AZ1170" s="97" t="str">
        <f>IFERROR(__xludf.DUMMYFUNCTION("""COMPUTED_VALUE"""),"Pantalla reversible. Largo total 2500mm. Florón Ø60 x 130mm ")</f>
        <v>Pantalla reversible. Largo total 2500mm. Florón Ø60 x 130mm </v>
      </c>
      <c r="BA1170" s="97">
        <f>IFERROR(__xludf.DUMMYFUNCTION("""COMPUTED_VALUE"""),10.0)</f>
        <v>10</v>
      </c>
      <c r="BB1170" s="97" t="str">
        <f>IFERROR(__xludf.DUMMYFUNCTION("""COMPUTED_VALUE"""),"-")</f>
        <v>-</v>
      </c>
      <c r="BC1170" s="97" t="str">
        <f>IFERROR(__xludf.DUMMYFUNCTION("""COMPUTED_VALUE"""),"-")</f>
        <v>-</v>
      </c>
      <c r="BD1170" s="97" t="str">
        <f>IFERROR(__xludf.DUMMYFUNCTION("""COMPUTED_VALUE"""),"NIAO")</f>
        <v>NIAO</v>
      </c>
      <c r="BE1170" s="97" t="str">
        <f>IFERROR(__xludf.DUMMYFUNCTION("""COMPUTED_VALUE"""),"Finalizada")</f>
        <v>Finalizada</v>
      </c>
      <c r="BF1170" s="97"/>
      <c r="BG1170" s="97" t="str">
        <f>IFERROR(__xludf.DUMMYFUNCTION("""COMPUTED_VALUE"""),"Activo")</f>
        <v>Activo</v>
      </c>
    </row>
    <row r="1171">
      <c r="A1171" s="97">
        <f>IFERROR(__xludf.DUMMYFUNCTION("""COMPUTED_VALUE"""),7089.0)</f>
        <v>7089</v>
      </c>
      <c r="B1171" s="97" t="str">
        <f>IFERROR(__xludf.DUMMYFUNCTION("""COMPUTED_VALUE"""),"NIAO AP NG")</f>
        <v>NIAO AP NG</v>
      </c>
      <c r="C1171" s="97" t="str">
        <f>IFERROR(__xludf.DUMMYFUNCTION("""COMPUTED_VALUE"""),"APLIQUE NIAO AP NG 7W 3000K 476LM CRI&gt;90 IP20 LEUK")</f>
        <v>APLIQUE NIAO AP NG 7W 3000K 476LM CRI&gt;90 IP20 LEUK</v>
      </c>
      <c r="D1171" s="97">
        <f>IFERROR(__xludf.DUMMYFUNCTION("""COMPUTED_VALUE"""),7.798413226089E12)</f>
        <v>7798413226089</v>
      </c>
      <c r="E1171" s="97" t="str">
        <f>IFERROR(__xludf.DUMMYFUNCTION("""COMPUTED_VALUE"""),"F75")</f>
        <v>F75</v>
      </c>
      <c r="F1171" s="97" t="str">
        <f>IFERROR(__xludf.DUMMYFUNCTION("""COMPUTED_VALUE"""),"LED integrado")</f>
        <v>LED integrado</v>
      </c>
      <c r="G1171" s="97" t="str">
        <f>IFERROR(__xludf.DUMMYFUNCTION("""COMPUTED_VALUE"""),"OSRAM")</f>
        <v>OSRAM</v>
      </c>
      <c r="H1171" s="97" t="str">
        <f>IFERROR(__xludf.DUMMYFUNCTION("""COMPUTED_VALUE"""),"Eaglerise")</f>
        <v>Eaglerise</v>
      </c>
      <c r="I1171" s="97"/>
      <c r="J1171" s="97"/>
      <c r="K1171" s="97" t="str">
        <f>IFERROR(__xludf.DUMMYFUNCTION("""COMPUTED_VALUE"""),"ON/OFF")</f>
        <v>ON/OFF</v>
      </c>
      <c r="L1171" s="97" t="str">
        <f>IFERROR(__xludf.DUMMYFUNCTION("""COMPUTED_VALUE"""),"200-240")</f>
        <v>200-240</v>
      </c>
      <c r="M1171" s="97" t="str">
        <f>IFERROR(__xludf.DUMMYFUNCTION("""COMPUTED_VALUE"""),"50/60")</f>
        <v>50/60</v>
      </c>
      <c r="N1171" s="97"/>
      <c r="O1171" s="97">
        <f>IFERROR(__xludf.DUMMYFUNCTION("""COMPUTED_VALUE"""),7.0)</f>
        <v>7</v>
      </c>
      <c r="P1171" s="97"/>
      <c r="Q1171" s="97">
        <f>IFERROR(__xludf.DUMMYFUNCTION("""COMPUTED_VALUE"""),0.6)</f>
        <v>0.6</v>
      </c>
      <c r="R1171" s="97" t="str">
        <f>IFERROR(__xludf.DUMMYFUNCTION("""COMPUTED_VALUE"""),"-")</f>
        <v>-</v>
      </c>
      <c r="S1171" s="97" t="str">
        <f>IFERROR(__xludf.DUMMYFUNCTION("""COMPUTED_VALUE"""),"-")</f>
        <v>-</v>
      </c>
      <c r="T1171" s="97">
        <f>IFERROR(__xludf.DUMMYFUNCTION("""COMPUTED_VALUE"""),476.0)</f>
        <v>476</v>
      </c>
      <c r="U1171" s="97">
        <f>IFERROR(__xludf.DUMMYFUNCTION("""COMPUTED_VALUE"""),68.0)</f>
        <v>68</v>
      </c>
      <c r="V1171" s="97">
        <f>IFERROR(__xludf.DUMMYFUNCTION("""COMPUTED_VALUE"""),62.0)</f>
        <v>62</v>
      </c>
      <c r="W1171" s="97" t="str">
        <f>IFERROR(__xludf.DUMMYFUNCTION("""COMPUTED_VALUE"""),"&lt; 18")</f>
        <v>&lt; 18</v>
      </c>
      <c r="X1171" s="97">
        <f>IFERROR(__xludf.DUMMYFUNCTION("""COMPUTED_VALUE"""),3000.0)</f>
        <v>3000</v>
      </c>
      <c r="Y1171" s="97" t="str">
        <f>IFERROR(__xludf.DUMMYFUNCTION("""COMPUTED_VALUE"""),"&gt;90")</f>
        <v>&gt;90</v>
      </c>
      <c r="Z1171" s="97"/>
      <c r="AA1171" s="97"/>
      <c r="AB1171" s="97" t="str">
        <f>IFERROR(__xludf.DUMMYFUNCTION("""COMPUTED_VALUE"""),"&lt; 2")</f>
        <v>&lt; 2</v>
      </c>
      <c r="AC1171" s="97"/>
      <c r="AD1171" s="97" t="str">
        <f>IFERROR(__xludf.DUMMYFUNCTION("""COMPUTED_VALUE"""),"IP20")</f>
        <v>IP20</v>
      </c>
      <c r="AE1171" s="97" t="str">
        <f>IFERROR(__xludf.DUMMYFUNCTION("""COMPUTED_VALUE"""),"Clase l")</f>
        <v>Clase l</v>
      </c>
      <c r="AF1171" s="97" t="str">
        <f>IFERROR(__xludf.DUMMYFUNCTION("""COMPUTED_VALUE"""),"Aplicar")</f>
        <v>Aplicar</v>
      </c>
      <c r="AG1171" s="97" t="str">
        <f>IFERROR(__xludf.DUMMYFUNCTION("""COMPUTED_VALUE"""),"250 x 400 x 330")</f>
        <v>250 x 400 x 330</v>
      </c>
      <c r="AH1171" s="97" t="str">
        <f>IFERROR(__xludf.DUMMYFUNCTION("""COMPUTED_VALUE"""),"N/A")</f>
        <v>N/A</v>
      </c>
      <c r="AI1171" s="97" t="str">
        <f>IFERROR(__xludf.DUMMYFUNCTION("""COMPUTED_VALUE"""),"N/A")</f>
        <v>N/A</v>
      </c>
      <c r="AJ1171" s="97" t="str">
        <f>IFERROR(__xludf.DUMMYFUNCTION("""COMPUTED_VALUE"""),"Vidrio")</f>
        <v>Vidrio</v>
      </c>
      <c r="AK1171" s="97" t="str">
        <f>IFERROR(__xludf.DUMMYFUNCTION("""COMPUTED_VALUE"""),"Aluminio y Acero")</f>
        <v>Aluminio y Acero</v>
      </c>
      <c r="AL1171" s="97" t="str">
        <f>IFERROR(__xludf.DUMMYFUNCTION("""COMPUTED_VALUE"""),"Negro Mate")</f>
        <v>Negro Mate</v>
      </c>
      <c r="AM1171" s="97" t="str">
        <f>IFERROR(__xludf.DUMMYFUNCTION("""COMPUTED_VALUE"""),"-")</f>
        <v>-</v>
      </c>
      <c r="AN1171" s="97" t="str">
        <f>IFERROR(__xludf.DUMMYFUNCTION("""COMPUTED_VALUE"""),"25.000hs (L70)")</f>
        <v>25.000hs (L70)</v>
      </c>
      <c r="AO1171" s="97" t="str">
        <f>IFERROR(__xludf.DUMMYFUNCTION("""COMPUTED_VALUE"""),"2 Años")</f>
        <v>2 Años</v>
      </c>
      <c r="AP1171" s="97" t="str">
        <f>IFERROR(__xludf.DUMMYFUNCTION("""COMPUTED_VALUE"""),"Disponible")</f>
        <v>Disponible</v>
      </c>
      <c r="AQ1171" s="97" t="str">
        <f>IFERROR(__xludf.DUMMYFUNCTION("""COMPUTED_VALUE"""),"Disponible")</f>
        <v>Disponible</v>
      </c>
      <c r="AR1171" s="97" t="str">
        <f>IFERROR(__xludf.DUMMYFUNCTION("""COMPUTED_VALUE"""),"Disponible")</f>
        <v>Disponible</v>
      </c>
      <c r="AS1171" s="97" t="str">
        <f>IFERROR(__xludf.DUMMYFUNCTION("""COMPUTED_VALUE"""),"Falta")</f>
        <v>Falta</v>
      </c>
      <c r="AT1171" s="97" t="str">
        <f>IFERROR(__xludf.DUMMYFUNCTION("""COMPUTED_VALUE"""),"Falta")</f>
        <v>Falta</v>
      </c>
      <c r="AU1171" s="97" t="str">
        <f>IFERROR(__xludf.DUMMYFUNCTION("""COMPUTED_VALUE"""),"Falta")</f>
        <v>Falta</v>
      </c>
      <c r="AV1171" s="97" t="str">
        <f>IFERROR(__xludf.DUMMYFUNCTION("""COMPUTED_VALUE"""),"Aplique")</f>
        <v>Aplique</v>
      </c>
      <c r="AW1171" s="97" t="str">
        <f>IFERROR(__xludf.DUMMYFUNCTION("""COMPUTED_VALUE"""),"De Pared")</f>
        <v>De Pared</v>
      </c>
      <c r="AX1171" s="97" t="str">
        <f>IFERROR(__xludf.DUMMYFUNCTION("""COMPUTED_VALUE"""),"Interior")</f>
        <v>Interior</v>
      </c>
      <c r="AY1171" s="97" t="str">
        <f>IFERROR(__xludf.DUMMYFUNCTION("""COMPUTED_VALUE"""),"Niao")</f>
        <v>Niao</v>
      </c>
      <c r="AZ1171" s="97" t="str">
        <f>IFERROR(__xludf.DUMMYFUNCTION("""COMPUTED_VALUE"""),"Pantalla reversible. Florón: 125 x 40 x 60mm")</f>
        <v>Pantalla reversible. Florón: 125 x 40 x 60mm</v>
      </c>
      <c r="BA1171" s="97">
        <f>IFERROR(__xludf.DUMMYFUNCTION("""COMPUTED_VALUE"""),10.0)</f>
        <v>10</v>
      </c>
      <c r="BB1171" s="97" t="str">
        <f>IFERROR(__xludf.DUMMYFUNCTION("""COMPUTED_VALUE"""),"-")</f>
        <v>-</v>
      </c>
      <c r="BC1171" s="97" t="str">
        <f>IFERROR(__xludf.DUMMYFUNCTION("""COMPUTED_VALUE"""),"-")</f>
        <v>-</v>
      </c>
      <c r="BD1171" s="97" t="str">
        <f>IFERROR(__xludf.DUMMYFUNCTION("""COMPUTED_VALUE"""),"NIAO AP")</f>
        <v>NIAO AP</v>
      </c>
      <c r="BE1171" s="97" t="str">
        <f>IFERROR(__xludf.DUMMYFUNCTION("""COMPUTED_VALUE"""),"Finalizada")</f>
        <v>Finalizada</v>
      </c>
      <c r="BF1171" s="97"/>
      <c r="BG1171" s="97" t="str">
        <f>IFERROR(__xludf.DUMMYFUNCTION("""COMPUTED_VALUE"""),"Activo")</f>
        <v>Activo</v>
      </c>
    </row>
    <row r="1172">
      <c r="A1172" s="97">
        <f>IFERROR(__xludf.DUMMYFUNCTION("""COMPUTED_VALUE"""),7090.0)</f>
        <v>7090</v>
      </c>
      <c r="B1172" s="97" t="str">
        <f>IFERROR(__xludf.DUMMYFUNCTION("""COMPUTED_VALUE"""),"NIAO AP BL")</f>
        <v>NIAO AP BL</v>
      </c>
      <c r="C1172" s="97" t="str">
        <f>IFERROR(__xludf.DUMMYFUNCTION("""COMPUTED_VALUE"""),"APLIQUE NIAO AP BL 7W 3000K 476LM CRI&gt;90 IP20 LEUK")</f>
        <v>APLIQUE NIAO AP BL 7W 3000K 476LM CRI&gt;90 IP20 LEUK</v>
      </c>
      <c r="D1172" s="97">
        <f>IFERROR(__xludf.DUMMYFUNCTION("""COMPUTED_VALUE"""),7.798413226096E12)</f>
        <v>7798413226096</v>
      </c>
      <c r="E1172" s="97" t="str">
        <f>IFERROR(__xludf.DUMMYFUNCTION("""COMPUTED_VALUE"""),"F75")</f>
        <v>F75</v>
      </c>
      <c r="F1172" s="97" t="str">
        <f>IFERROR(__xludf.DUMMYFUNCTION("""COMPUTED_VALUE"""),"LED integrado")</f>
        <v>LED integrado</v>
      </c>
      <c r="G1172" s="97" t="str">
        <f>IFERROR(__xludf.DUMMYFUNCTION("""COMPUTED_VALUE"""),"OSRAM")</f>
        <v>OSRAM</v>
      </c>
      <c r="H1172" s="97" t="str">
        <f>IFERROR(__xludf.DUMMYFUNCTION("""COMPUTED_VALUE"""),"Eaglerise")</f>
        <v>Eaglerise</v>
      </c>
      <c r="I1172" s="97"/>
      <c r="J1172" s="97"/>
      <c r="K1172" s="97" t="str">
        <f>IFERROR(__xludf.DUMMYFUNCTION("""COMPUTED_VALUE"""),"ON/OFF")</f>
        <v>ON/OFF</v>
      </c>
      <c r="L1172" s="97" t="str">
        <f>IFERROR(__xludf.DUMMYFUNCTION("""COMPUTED_VALUE"""),"200-240")</f>
        <v>200-240</v>
      </c>
      <c r="M1172" s="97" t="str">
        <f>IFERROR(__xludf.DUMMYFUNCTION("""COMPUTED_VALUE"""),"50/60")</f>
        <v>50/60</v>
      </c>
      <c r="N1172" s="97"/>
      <c r="O1172" s="97">
        <f>IFERROR(__xludf.DUMMYFUNCTION("""COMPUTED_VALUE"""),7.0)</f>
        <v>7</v>
      </c>
      <c r="P1172" s="97"/>
      <c r="Q1172" s="97">
        <f>IFERROR(__xludf.DUMMYFUNCTION("""COMPUTED_VALUE"""),0.6)</f>
        <v>0.6</v>
      </c>
      <c r="R1172" s="97" t="str">
        <f>IFERROR(__xludf.DUMMYFUNCTION("""COMPUTED_VALUE"""),"-")</f>
        <v>-</v>
      </c>
      <c r="S1172" s="97" t="str">
        <f>IFERROR(__xludf.DUMMYFUNCTION("""COMPUTED_VALUE"""),"-")</f>
        <v>-</v>
      </c>
      <c r="T1172" s="97">
        <f>IFERROR(__xludf.DUMMYFUNCTION("""COMPUTED_VALUE"""),476.0)</f>
        <v>476</v>
      </c>
      <c r="U1172" s="97">
        <f>IFERROR(__xludf.DUMMYFUNCTION("""COMPUTED_VALUE"""),68.0)</f>
        <v>68</v>
      </c>
      <c r="V1172" s="97">
        <f>IFERROR(__xludf.DUMMYFUNCTION("""COMPUTED_VALUE"""),62.0)</f>
        <v>62</v>
      </c>
      <c r="W1172" s="97" t="str">
        <f>IFERROR(__xludf.DUMMYFUNCTION("""COMPUTED_VALUE"""),"&lt; 18")</f>
        <v>&lt; 18</v>
      </c>
      <c r="X1172" s="97">
        <f>IFERROR(__xludf.DUMMYFUNCTION("""COMPUTED_VALUE"""),3000.0)</f>
        <v>3000</v>
      </c>
      <c r="Y1172" s="97" t="str">
        <f>IFERROR(__xludf.DUMMYFUNCTION("""COMPUTED_VALUE"""),"&gt;90")</f>
        <v>&gt;90</v>
      </c>
      <c r="Z1172" s="97"/>
      <c r="AA1172" s="97"/>
      <c r="AB1172" s="97" t="str">
        <f>IFERROR(__xludf.DUMMYFUNCTION("""COMPUTED_VALUE"""),"&lt; 2")</f>
        <v>&lt; 2</v>
      </c>
      <c r="AC1172" s="97"/>
      <c r="AD1172" s="97" t="str">
        <f>IFERROR(__xludf.DUMMYFUNCTION("""COMPUTED_VALUE"""),"IP20")</f>
        <v>IP20</v>
      </c>
      <c r="AE1172" s="97" t="str">
        <f>IFERROR(__xludf.DUMMYFUNCTION("""COMPUTED_VALUE"""),"Clase l")</f>
        <v>Clase l</v>
      </c>
      <c r="AF1172" s="97" t="str">
        <f>IFERROR(__xludf.DUMMYFUNCTION("""COMPUTED_VALUE"""),"Aplicar")</f>
        <v>Aplicar</v>
      </c>
      <c r="AG1172" s="97" t="str">
        <f>IFERROR(__xludf.DUMMYFUNCTION("""COMPUTED_VALUE"""),"250 x 400 x 330")</f>
        <v>250 x 400 x 330</v>
      </c>
      <c r="AH1172" s="97" t="str">
        <f>IFERROR(__xludf.DUMMYFUNCTION("""COMPUTED_VALUE"""),"N/A")</f>
        <v>N/A</v>
      </c>
      <c r="AI1172" s="97" t="str">
        <f>IFERROR(__xludf.DUMMYFUNCTION("""COMPUTED_VALUE"""),"N/A")</f>
        <v>N/A</v>
      </c>
      <c r="AJ1172" s="97" t="str">
        <f>IFERROR(__xludf.DUMMYFUNCTION("""COMPUTED_VALUE"""),"Vidrio")</f>
        <v>Vidrio</v>
      </c>
      <c r="AK1172" s="97" t="str">
        <f>IFERROR(__xludf.DUMMYFUNCTION("""COMPUTED_VALUE"""),"Aluminio y Acero")</f>
        <v>Aluminio y Acero</v>
      </c>
      <c r="AL1172" s="97" t="str">
        <f>IFERROR(__xludf.DUMMYFUNCTION("""COMPUTED_VALUE"""),"Blanco Mate")</f>
        <v>Blanco Mate</v>
      </c>
      <c r="AM1172" s="97" t="str">
        <f>IFERROR(__xludf.DUMMYFUNCTION("""COMPUTED_VALUE"""),"-")</f>
        <v>-</v>
      </c>
      <c r="AN1172" s="97" t="str">
        <f>IFERROR(__xludf.DUMMYFUNCTION("""COMPUTED_VALUE"""),"25.000hs (L70)")</f>
        <v>25.000hs (L70)</v>
      </c>
      <c r="AO1172" s="97" t="str">
        <f>IFERROR(__xludf.DUMMYFUNCTION("""COMPUTED_VALUE"""),"2 Años")</f>
        <v>2 Años</v>
      </c>
      <c r="AP1172" s="97" t="str">
        <f>IFERROR(__xludf.DUMMYFUNCTION("""COMPUTED_VALUE"""),"Disponible")</f>
        <v>Disponible</v>
      </c>
      <c r="AQ1172" s="97" t="str">
        <f>IFERROR(__xludf.DUMMYFUNCTION("""COMPUTED_VALUE"""),"Disponible")</f>
        <v>Disponible</v>
      </c>
      <c r="AR1172" s="97" t="str">
        <f>IFERROR(__xludf.DUMMYFUNCTION("""COMPUTED_VALUE"""),"Disponible")</f>
        <v>Disponible</v>
      </c>
      <c r="AS1172" s="97" t="str">
        <f>IFERROR(__xludf.DUMMYFUNCTION("""COMPUTED_VALUE"""),"Falta")</f>
        <v>Falta</v>
      </c>
      <c r="AT1172" s="97" t="str">
        <f>IFERROR(__xludf.DUMMYFUNCTION("""COMPUTED_VALUE"""),"Falta")</f>
        <v>Falta</v>
      </c>
      <c r="AU1172" s="97" t="str">
        <f>IFERROR(__xludf.DUMMYFUNCTION("""COMPUTED_VALUE"""),"Falta")</f>
        <v>Falta</v>
      </c>
      <c r="AV1172" s="97" t="str">
        <f>IFERROR(__xludf.DUMMYFUNCTION("""COMPUTED_VALUE"""),"Aplique")</f>
        <v>Aplique</v>
      </c>
      <c r="AW1172" s="97" t="str">
        <f>IFERROR(__xludf.DUMMYFUNCTION("""COMPUTED_VALUE"""),"De Pared")</f>
        <v>De Pared</v>
      </c>
      <c r="AX1172" s="97" t="str">
        <f>IFERROR(__xludf.DUMMYFUNCTION("""COMPUTED_VALUE"""),"Interior")</f>
        <v>Interior</v>
      </c>
      <c r="AY1172" s="97" t="str">
        <f>IFERROR(__xludf.DUMMYFUNCTION("""COMPUTED_VALUE"""),"Niao")</f>
        <v>Niao</v>
      </c>
      <c r="AZ1172" s="97" t="str">
        <f>IFERROR(__xludf.DUMMYFUNCTION("""COMPUTED_VALUE"""),"Pantalla reversible. Florón: 125 x 40 x 60mm")</f>
        <v>Pantalla reversible. Florón: 125 x 40 x 60mm</v>
      </c>
      <c r="BA1172" s="97">
        <f>IFERROR(__xludf.DUMMYFUNCTION("""COMPUTED_VALUE"""),10.0)</f>
        <v>10</v>
      </c>
      <c r="BB1172" s="97" t="str">
        <f>IFERROR(__xludf.DUMMYFUNCTION("""COMPUTED_VALUE"""),"-")</f>
        <v>-</v>
      </c>
      <c r="BC1172" s="97" t="str">
        <f>IFERROR(__xludf.DUMMYFUNCTION("""COMPUTED_VALUE"""),"-")</f>
        <v>-</v>
      </c>
      <c r="BD1172" s="97" t="str">
        <f>IFERROR(__xludf.DUMMYFUNCTION("""COMPUTED_VALUE"""),"NIAO AP")</f>
        <v>NIAO AP</v>
      </c>
      <c r="BE1172" s="97" t="str">
        <f>IFERROR(__xludf.DUMMYFUNCTION("""COMPUTED_VALUE"""),"Finalizada")</f>
        <v>Finalizada</v>
      </c>
      <c r="BF1172" s="97"/>
      <c r="BG1172" s="97" t="str">
        <f>IFERROR(__xludf.DUMMYFUNCTION("""COMPUTED_VALUE"""),"Activo")</f>
        <v>Activo</v>
      </c>
    </row>
    <row r="1173">
      <c r="A1173" s="97">
        <f>IFERROR(__xludf.DUMMYFUNCTION("""COMPUTED_VALUE"""),7091.0)</f>
        <v>7091</v>
      </c>
      <c r="B1173" s="97" t="str">
        <f>IFERROR(__xludf.DUMMYFUNCTION("""COMPUTED_VALUE"""),"NIAO MS NG")</f>
        <v>NIAO MS NG</v>
      </c>
      <c r="C1173" s="97" t="str">
        <f>IFERROR(__xludf.DUMMYFUNCTION("""COMPUTED_VALUE"""),"MESA NIAO MS NG 3W 3000K 224LM CRI&gt;95 IP20 LEUK")</f>
        <v>MESA NIAO MS NG 3W 3000K 224LM CRI&gt;95 IP20 LEUK</v>
      </c>
      <c r="D1173" s="97">
        <f>IFERROR(__xludf.DUMMYFUNCTION("""COMPUTED_VALUE"""),7.798413226539E12)</f>
        <v>7798413226539</v>
      </c>
      <c r="E1173" s="97" t="str">
        <f>IFERROR(__xludf.DUMMYFUNCTION("""COMPUTED_VALUE"""),"F89")</f>
        <v>F89</v>
      </c>
      <c r="F1173" s="97" t="str">
        <f>IFERROR(__xludf.DUMMYFUNCTION("""COMPUTED_VALUE"""),"LED integrado")</f>
        <v>LED integrado</v>
      </c>
      <c r="G1173" s="97" t="str">
        <f>IFERROR(__xludf.DUMMYFUNCTION("""COMPUTED_VALUE"""),"-")</f>
        <v>-</v>
      </c>
      <c r="H1173" s="97" t="str">
        <f>IFERROR(__xludf.DUMMYFUNCTION("""COMPUTED_VALUE"""),"-")</f>
        <v>-</v>
      </c>
      <c r="I1173" s="97"/>
      <c r="J1173" s="97"/>
      <c r="K1173" s="97" t="str">
        <f>IFERROR(__xludf.DUMMYFUNCTION("""COMPUTED_VALUE"""),"TRIAC")</f>
        <v>TRIAC</v>
      </c>
      <c r="L1173" s="97" t="str">
        <f>IFERROR(__xludf.DUMMYFUNCTION("""COMPUTED_VALUE"""),"200-240")</f>
        <v>200-240</v>
      </c>
      <c r="M1173" s="97" t="str">
        <f>IFERROR(__xludf.DUMMYFUNCTION("""COMPUTED_VALUE"""),"50/60")</f>
        <v>50/60</v>
      </c>
      <c r="N1173" s="97" t="str">
        <f>IFERROR(__xludf.DUMMYFUNCTION("""COMPUTED_VALUE"""),"Directa-Direccional")</f>
        <v>Directa-Direccional</v>
      </c>
      <c r="O1173" s="97">
        <f>IFERROR(__xludf.DUMMYFUNCTION("""COMPUTED_VALUE"""),3.0)</f>
        <v>3</v>
      </c>
      <c r="P1173" s="97"/>
      <c r="Q1173" s="97">
        <f>IFERROR(__xludf.DUMMYFUNCTION("""COMPUTED_VALUE"""),0.37)</f>
        <v>0.37</v>
      </c>
      <c r="R1173" s="97" t="str">
        <f>IFERROR(__xludf.DUMMYFUNCTION("""COMPUTED_VALUE"""),"-")</f>
        <v>-</v>
      </c>
      <c r="S1173" s="97" t="str">
        <f>IFERROR(__xludf.DUMMYFUNCTION("""COMPUTED_VALUE"""),"-")</f>
        <v>-</v>
      </c>
      <c r="T1173" s="97">
        <f>IFERROR(__xludf.DUMMYFUNCTION("""COMPUTED_VALUE"""),224.0)</f>
        <v>224</v>
      </c>
      <c r="U1173" s="99">
        <f>IFERROR(__xludf.DUMMYFUNCTION("""COMPUTED_VALUE"""),74.66666666666667)</f>
        <v>74.66666667</v>
      </c>
      <c r="V1173" s="97">
        <f>IFERROR(__xludf.DUMMYFUNCTION("""COMPUTED_VALUE"""),62.0)</f>
        <v>62</v>
      </c>
      <c r="W1173" s="97" t="str">
        <f>IFERROR(__xludf.DUMMYFUNCTION("""COMPUTED_VALUE"""),"&lt; 16")</f>
        <v>&lt; 16</v>
      </c>
      <c r="X1173" s="97">
        <f>IFERROR(__xludf.DUMMYFUNCTION("""COMPUTED_VALUE"""),3000.0)</f>
        <v>3000</v>
      </c>
      <c r="Y1173" s="97" t="str">
        <f>IFERROR(__xludf.DUMMYFUNCTION("""COMPUTED_VALUE"""),"&gt;95")</f>
        <v>&gt;95</v>
      </c>
      <c r="Z1173" s="97"/>
      <c r="AA1173" s="97"/>
      <c r="AB1173" s="97" t="str">
        <f>IFERROR(__xludf.DUMMYFUNCTION("""COMPUTED_VALUE"""),"&lt; 2")</f>
        <v>&lt; 2</v>
      </c>
      <c r="AC1173" s="97"/>
      <c r="AD1173" s="97" t="str">
        <f>IFERROR(__xludf.DUMMYFUNCTION("""COMPUTED_VALUE"""),"IP20")</f>
        <v>IP20</v>
      </c>
      <c r="AE1173" s="97" t="str">
        <f>IFERROR(__xludf.DUMMYFUNCTION("""COMPUTED_VALUE"""),"Clase l")</f>
        <v>Clase l</v>
      </c>
      <c r="AF1173" s="97" t="str">
        <f>IFERROR(__xludf.DUMMYFUNCTION("""COMPUTED_VALUE"""),"Autoportante")</f>
        <v>Autoportante</v>
      </c>
      <c r="AG1173" s="97" t="str">
        <f>IFERROR(__xludf.DUMMYFUNCTION("""COMPUTED_VALUE"""),"Ø110 x 125")</f>
        <v>Ø110 x 125</v>
      </c>
      <c r="AH1173" s="97" t="str">
        <f>IFERROR(__xludf.DUMMYFUNCTION("""COMPUTED_VALUE"""),"N/A")</f>
        <v>N/A</v>
      </c>
      <c r="AI1173" s="97" t="str">
        <f>IFERROR(__xludf.DUMMYFUNCTION("""COMPUTED_VALUE"""),"N/A")</f>
        <v>N/A</v>
      </c>
      <c r="AJ1173" s="97" t="str">
        <f>IFERROR(__xludf.DUMMYFUNCTION("""COMPUTED_VALUE"""),"Vidrio")</f>
        <v>Vidrio</v>
      </c>
      <c r="AK1173" s="97" t="str">
        <f>IFERROR(__xludf.DUMMYFUNCTION("""COMPUTED_VALUE"""),"Aluminio")</f>
        <v>Aluminio</v>
      </c>
      <c r="AL1173" s="97" t="str">
        <f>IFERROR(__xludf.DUMMYFUNCTION("""COMPUTED_VALUE"""),"Blanco y Negro")</f>
        <v>Blanco y Negro</v>
      </c>
      <c r="AM1173" s="97" t="str">
        <f>IFERROR(__xludf.DUMMYFUNCTION("""COMPUTED_VALUE"""),"-")</f>
        <v>-</v>
      </c>
      <c r="AN1173" s="97" t="str">
        <f>IFERROR(__xludf.DUMMYFUNCTION("""COMPUTED_VALUE"""),"25.000hs (L70)")</f>
        <v>25.000hs (L70)</v>
      </c>
      <c r="AO1173" s="97" t="str">
        <f>IFERROR(__xludf.DUMMYFUNCTION("""COMPUTED_VALUE"""),"2 Años")</f>
        <v>2 Años</v>
      </c>
      <c r="AP1173" s="97" t="str">
        <f>IFERROR(__xludf.DUMMYFUNCTION("""COMPUTED_VALUE"""),"Disponible")</f>
        <v>Disponible</v>
      </c>
      <c r="AQ1173" s="97" t="str">
        <f>IFERROR(__xludf.DUMMYFUNCTION("""COMPUTED_VALUE"""),"Disponible")</f>
        <v>Disponible</v>
      </c>
      <c r="AR1173" s="97" t="str">
        <f>IFERROR(__xludf.DUMMYFUNCTION("""COMPUTED_VALUE"""),"Disponible")</f>
        <v>Disponible</v>
      </c>
      <c r="AS1173" s="97" t="str">
        <f>IFERROR(__xludf.DUMMYFUNCTION("""COMPUTED_VALUE"""),"Falta")</f>
        <v>Falta</v>
      </c>
      <c r="AT1173" s="97" t="str">
        <f>IFERROR(__xludf.DUMMYFUNCTION("""COMPUTED_VALUE"""),"Falta")</f>
        <v>Falta</v>
      </c>
      <c r="AU1173" s="97" t="str">
        <f>IFERROR(__xludf.DUMMYFUNCTION("""COMPUTED_VALUE"""),"Falta")</f>
        <v>Falta</v>
      </c>
      <c r="AV1173" s="97" t="str">
        <f>IFERROR(__xludf.DUMMYFUNCTION("""COMPUTED_VALUE"""),"Mesa")</f>
        <v>Mesa</v>
      </c>
      <c r="AW1173" s="97" t="str">
        <f>IFERROR(__xludf.DUMMYFUNCTION("""COMPUTED_VALUE"""),"De Apoyo")</f>
        <v>De Apoyo</v>
      </c>
      <c r="AX1173" s="97" t="str">
        <f>IFERROR(__xludf.DUMMYFUNCTION("""COMPUTED_VALUE"""),"Interior")</f>
        <v>Interior</v>
      </c>
      <c r="AY1173" s="97" t="str">
        <f>IFERROR(__xludf.DUMMYFUNCTION("""COMPUTED_VALUE"""),"Niao")</f>
        <v>Niao</v>
      </c>
      <c r="AZ1173" s="97" t="str">
        <f>IFERROR(__xludf.DUMMYFUNCTION("""COMPUTED_VALUE"""),"Largo total 2100mm. Luminaria a tecla 300mm.")</f>
        <v>Largo total 2100mm. Luminaria a tecla 300mm.</v>
      </c>
      <c r="BA1173" s="97">
        <f>IFERROR(__xludf.DUMMYFUNCTION("""COMPUTED_VALUE"""),30.0)</f>
        <v>30</v>
      </c>
      <c r="BB1173" s="97" t="str">
        <f>IFERROR(__xludf.DUMMYFUNCTION("""COMPUTED_VALUE"""),"-")</f>
        <v>-</v>
      </c>
      <c r="BC1173" s="97" t="str">
        <f>IFERROR(__xludf.DUMMYFUNCTION("""COMPUTED_VALUE"""),"-")</f>
        <v>-</v>
      </c>
      <c r="BD1173" s="97" t="str">
        <f>IFERROR(__xludf.DUMMYFUNCTION("""COMPUTED_VALUE"""),"NIAO MS")</f>
        <v>NIAO MS</v>
      </c>
      <c r="BE1173" s="97" t="str">
        <f>IFERROR(__xludf.DUMMYFUNCTION("""COMPUTED_VALUE"""),"Finalizada")</f>
        <v>Finalizada</v>
      </c>
      <c r="BF1173" s="97"/>
      <c r="BG1173" s="97" t="str">
        <f>IFERROR(__xludf.DUMMYFUNCTION("""COMPUTED_VALUE"""),"Activo")</f>
        <v>Activo</v>
      </c>
    </row>
    <row r="1174">
      <c r="A1174" s="97">
        <f>IFERROR(__xludf.DUMMYFUNCTION("""COMPUTED_VALUE"""),7092.0)</f>
        <v>7092</v>
      </c>
      <c r="B1174" s="97" t="str">
        <f>IFERROR(__xludf.DUMMYFUNCTION("""COMPUTED_VALUE"""),"NIAO MS BL")</f>
        <v>NIAO MS BL</v>
      </c>
      <c r="C1174" s="97" t="str">
        <f>IFERROR(__xludf.DUMMYFUNCTION("""COMPUTED_VALUE"""),"MESA NIAO MS BL 3W 3000K 224LM CRI&gt;95 IP20 LEUK")</f>
        <v>MESA NIAO MS BL 3W 3000K 224LM CRI&gt;95 IP20 LEUK</v>
      </c>
      <c r="D1174" s="97">
        <f>IFERROR(__xludf.DUMMYFUNCTION("""COMPUTED_VALUE"""),7.798413226546E12)</f>
        <v>7798413226546</v>
      </c>
      <c r="E1174" s="97" t="str">
        <f>IFERROR(__xludf.DUMMYFUNCTION("""COMPUTED_VALUE"""),"F89")</f>
        <v>F89</v>
      </c>
      <c r="F1174" s="97" t="str">
        <f>IFERROR(__xludf.DUMMYFUNCTION("""COMPUTED_VALUE"""),"LED integrado")</f>
        <v>LED integrado</v>
      </c>
      <c r="G1174" s="97" t="str">
        <f>IFERROR(__xludf.DUMMYFUNCTION("""COMPUTED_VALUE"""),"-")</f>
        <v>-</v>
      </c>
      <c r="H1174" s="97" t="str">
        <f>IFERROR(__xludf.DUMMYFUNCTION("""COMPUTED_VALUE"""),"-")</f>
        <v>-</v>
      </c>
      <c r="I1174" s="97"/>
      <c r="J1174" s="97"/>
      <c r="K1174" s="97" t="str">
        <f>IFERROR(__xludf.DUMMYFUNCTION("""COMPUTED_VALUE"""),"TRIAC")</f>
        <v>TRIAC</v>
      </c>
      <c r="L1174" s="97" t="str">
        <f>IFERROR(__xludf.DUMMYFUNCTION("""COMPUTED_VALUE"""),"200-240")</f>
        <v>200-240</v>
      </c>
      <c r="M1174" s="97" t="str">
        <f>IFERROR(__xludf.DUMMYFUNCTION("""COMPUTED_VALUE"""),"50/60")</f>
        <v>50/60</v>
      </c>
      <c r="N1174" s="97" t="str">
        <f>IFERROR(__xludf.DUMMYFUNCTION("""COMPUTED_VALUE"""),"Directa-Direccional")</f>
        <v>Directa-Direccional</v>
      </c>
      <c r="O1174" s="97">
        <f>IFERROR(__xludf.DUMMYFUNCTION("""COMPUTED_VALUE"""),3.0)</f>
        <v>3</v>
      </c>
      <c r="P1174" s="97"/>
      <c r="Q1174" s="97">
        <f>IFERROR(__xludf.DUMMYFUNCTION("""COMPUTED_VALUE"""),0.37)</f>
        <v>0.37</v>
      </c>
      <c r="R1174" s="97" t="str">
        <f>IFERROR(__xludf.DUMMYFUNCTION("""COMPUTED_VALUE"""),"-")</f>
        <v>-</v>
      </c>
      <c r="S1174" s="97" t="str">
        <f>IFERROR(__xludf.DUMMYFUNCTION("""COMPUTED_VALUE"""),"-")</f>
        <v>-</v>
      </c>
      <c r="T1174" s="97">
        <f>IFERROR(__xludf.DUMMYFUNCTION("""COMPUTED_VALUE"""),224.0)</f>
        <v>224</v>
      </c>
      <c r="U1174" s="99">
        <f>IFERROR(__xludf.DUMMYFUNCTION("""COMPUTED_VALUE"""),74.66666666666667)</f>
        <v>74.66666667</v>
      </c>
      <c r="V1174" s="97">
        <f>IFERROR(__xludf.DUMMYFUNCTION("""COMPUTED_VALUE"""),62.0)</f>
        <v>62</v>
      </c>
      <c r="W1174" s="97" t="str">
        <f>IFERROR(__xludf.DUMMYFUNCTION("""COMPUTED_VALUE"""),"&lt; 16")</f>
        <v>&lt; 16</v>
      </c>
      <c r="X1174" s="97">
        <f>IFERROR(__xludf.DUMMYFUNCTION("""COMPUTED_VALUE"""),3000.0)</f>
        <v>3000</v>
      </c>
      <c r="Y1174" s="97" t="str">
        <f>IFERROR(__xludf.DUMMYFUNCTION("""COMPUTED_VALUE"""),"&gt;95")</f>
        <v>&gt;95</v>
      </c>
      <c r="Z1174" s="97"/>
      <c r="AA1174" s="97"/>
      <c r="AB1174" s="97" t="str">
        <f>IFERROR(__xludf.DUMMYFUNCTION("""COMPUTED_VALUE"""),"&lt; 2")</f>
        <v>&lt; 2</v>
      </c>
      <c r="AC1174" s="97"/>
      <c r="AD1174" s="97" t="str">
        <f>IFERROR(__xludf.DUMMYFUNCTION("""COMPUTED_VALUE"""),"IP20")</f>
        <v>IP20</v>
      </c>
      <c r="AE1174" s="97" t="str">
        <f>IFERROR(__xludf.DUMMYFUNCTION("""COMPUTED_VALUE"""),"Clase l")</f>
        <v>Clase l</v>
      </c>
      <c r="AF1174" s="97" t="str">
        <f>IFERROR(__xludf.DUMMYFUNCTION("""COMPUTED_VALUE"""),"Autoportante")</f>
        <v>Autoportante</v>
      </c>
      <c r="AG1174" s="97" t="str">
        <f>IFERROR(__xludf.DUMMYFUNCTION("""COMPUTED_VALUE"""),"Ø110 x 125")</f>
        <v>Ø110 x 125</v>
      </c>
      <c r="AH1174" s="97" t="str">
        <f>IFERROR(__xludf.DUMMYFUNCTION("""COMPUTED_VALUE"""),"N/A")</f>
        <v>N/A</v>
      </c>
      <c r="AI1174" s="97" t="str">
        <f>IFERROR(__xludf.DUMMYFUNCTION("""COMPUTED_VALUE"""),"N/A")</f>
        <v>N/A</v>
      </c>
      <c r="AJ1174" s="97" t="str">
        <f>IFERROR(__xludf.DUMMYFUNCTION("""COMPUTED_VALUE"""),"Vidrio")</f>
        <v>Vidrio</v>
      </c>
      <c r="AK1174" s="97" t="str">
        <f>IFERROR(__xludf.DUMMYFUNCTION("""COMPUTED_VALUE"""),"Aluminio")</f>
        <v>Aluminio</v>
      </c>
      <c r="AL1174" s="97" t="str">
        <f>IFERROR(__xludf.DUMMYFUNCTION("""COMPUTED_VALUE"""),"Blanco Satinado")</f>
        <v>Blanco Satinado</v>
      </c>
      <c r="AM1174" s="97" t="str">
        <f>IFERROR(__xludf.DUMMYFUNCTION("""COMPUTED_VALUE"""),"-")</f>
        <v>-</v>
      </c>
      <c r="AN1174" s="97" t="str">
        <f>IFERROR(__xludf.DUMMYFUNCTION("""COMPUTED_VALUE"""),"25.000hs (L70)")</f>
        <v>25.000hs (L70)</v>
      </c>
      <c r="AO1174" s="97" t="str">
        <f>IFERROR(__xludf.DUMMYFUNCTION("""COMPUTED_VALUE"""),"2 Años")</f>
        <v>2 Años</v>
      </c>
      <c r="AP1174" s="97" t="str">
        <f>IFERROR(__xludf.DUMMYFUNCTION("""COMPUTED_VALUE"""),"Disponible")</f>
        <v>Disponible</v>
      </c>
      <c r="AQ1174" s="97" t="str">
        <f>IFERROR(__xludf.DUMMYFUNCTION("""COMPUTED_VALUE"""),"Disponible")</f>
        <v>Disponible</v>
      </c>
      <c r="AR1174" s="97" t="str">
        <f>IFERROR(__xludf.DUMMYFUNCTION("""COMPUTED_VALUE"""),"Disponible")</f>
        <v>Disponible</v>
      </c>
      <c r="AS1174" s="97" t="str">
        <f>IFERROR(__xludf.DUMMYFUNCTION("""COMPUTED_VALUE"""),"Falta")</f>
        <v>Falta</v>
      </c>
      <c r="AT1174" s="97" t="str">
        <f>IFERROR(__xludf.DUMMYFUNCTION("""COMPUTED_VALUE"""),"Falta")</f>
        <v>Falta</v>
      </c>
      <c r="AU1174" s="97" t="str">
        <f>IFERROR(__xludf.DUMMYFUNCTION("""COMPUTED_VALUE"""),"Falta")</f>
        <v>Falta</v>
      </c>
      <c r="AV1174" s="97" t="str">
        <f>IFERROR(__xludf.DUMMYFUNCTION("""COMPUTED_VALUE"""),"Mesa")</f>
        <v>Mesa</v>
      </c>
      <c r="AW1174" s="97" t="str">
        <f>IFERROR(__xludf.DUMMYFUNCTION("""COMPUTED_VALUE"""),"De Apoyo")</f>
        <v>De Apoyo</v>
      </c>
      <c r="AX1174" s="97" t="str">
        <f>IFERROR(__xludf.DUMMYFUNCTION("""COMPUTED_VALUE"""),"Interior")</f>
        <v>Interior</v>
      </c>
      <c r="AY1174" s="97" t="str">
        <f>IFERROR(__xludf.DUMMYFUNCTION("""COMPUTED_VALUE"""),"Niao")</f>
        <v>Niao</v>
      </c>
      <c r="AZ1174" s="97" t="str">
        <f>IFERROR(__xludf.DUMMYFUNCTION("""COMPUTED_VALUE"""),"Largo total 2100mm. Luminaria a tecla 300mm.")</f>
        <v>Largo total 2100mm. Luminaria a tecla 300mm.</v>
      </c>
      <c r="BA1174" s="97">
        <f>IFERROR(__xludf.DUMMYFUNCTION("""COMPUTED_VALUE"""),20.0)</f>
        <v>20</v>
      </c>
      <c r="BB1174" s="97" t="str">
        <f>IFERROR(__xludf.DUMMYFUNCTION("""COMPUTED_VALUE"""),"-")</f>
        <v>-</v>
      </c>
      <c r="BC1174" s="97" t="str">
        <f>IFERROR(__xludf.DUMMYFUNCTION("""COMPUTED_VALUE"""),"-")</f>
        <v>-</v>
      </c>
      <c r="BD1174" s="97" t="str">
        <f>IFERROR(__xludf.DUMMYFUNCTION("""COMPUTED_VALUE"""),"NIAO MS")</f>
        <v>NIAO MS</v>
      </c>
      <c r="BE1174" s="97" t="str">
        <f>IFERROR(__xludf.DUMMYFUNCTION("""COMPUTED_VALUE"""),"Finalizada")</f>
        <v>Finalizada</v>
      </c>
      <c r="BF1174" s="97"/>
      <c r="BG1174" s="97" t="str">
        <f>IFERROR(__xludf.DUMMYFUNCTION("""COMPUTED_VALUE"""),"Activo")</f>
        <v>Activo</v>
      </c>
    </row>
    <row r="1175">
      <c r="A1175" s="97">
        <f>IFERROR(__xludf.DUMMYFUNCTION("""COMPUTED_VALUE"""),7093.0)</f>
        <v>7093</v>
      </c>
      <c r="B1175" s="97" t="str">
        <f>IFERROR(__xludf.DUMMYFUNCTION("""COMPUTED_VALUE"""),"LAZU NG")</f>
        <v>LAZU NG</v>
      </c>
      <c r="C1175" s="97" t="str">
        <f>IFERROR(__xludf.DUMMYFUNCTION("""COMPUTED_VALUE"""),"APLIQUE LAZU NG 3W 3000K 147LM CRI&gt;90 IP20 LEUK")</f>
        <v>APLIQUE LAZU NG 3W 3000K 147LM CRI&gt;90 IP20 LEUK</v>
      </c>
      <c r="D1175" s="97">
        <f>IFERROR(__xludf.DUMMYFUNCTION("""COMPUTED_VALUE"""),7.798413226102E12)</f>
        <v>7798413226102</v>
      </c>
      <c r="E1175" s="97" t="str">
        <f>IFERROR(__xludf.DUMMYFUNCTION("""COMPUTED_VALUE"""),"F94")</f>
        <v>F94</v>
      </c>
      <c r="F1175" s="97" t="str">
        <f>IFERROR(__xludf.DUMMYFUNCTION("""COMPUTED_VALUE"""),"LED integrado")</f>
        <v>LED integrado</v>
      </c>
      <c r="G1175" s="97" t="str">
        <f>IFERROR(__xludf.DUMMYFUNCTION("""COMPUTED_VALUE"""),"-")</f>
        <v>-</v>
      </c>
      <c r="H1175" s="97" t="str">
        <f>IFERROR(__xludf.DUMMYFUNCTION("""COMPUTED_VALUE"""),"Eaglerise")</f>
        <v>Eaglerise</v>
      </c>
      <c r="I1175" s="97"/>
      <c r="J1175" s="97"/>
      <c r="K1175" s="97" t="str">
        <f>IFERROR(__xludf.DUMMYFUNCTION("""COMPUTED_VALUE"""),"ON/OFF")</f>
        <v>ON/OFF</v>
      </c>
      <c r="L1175" s="97" t="str">
        <f>IFERROR(__xludf.DUMMYFUNCTION("""COMPUTED_VALUE"""),"200-240")</f>
        <v>200-240</v>
      </c>
      <c r="M1175" s="97" t="str">
        <f>IFERROR(__xludf.DUMMYFUNCTION("""COMPUTED_VALUE"""),"50/60")</f>
        <v>50/60</v>
      </c>
      <c r="N1175" s="97"/>
      <c r="O1175" s="97">
        <f>IFERROR(__xludf.DUMMYFUNCTION("""COMPUTED_VALUE"""),3.0)</f>
        <v>3</v>
      </c>
      <c r="P1175" s="97"/>
      <c r="Q1175" s="97">
        <f>IFERROR(__xludf.DUMMYFUNCTION("""COMPUTED_VALUE"""),0.53)</f>
        <v>0.53</v>
      </c>
      <c r="R1175" s="97" t="str">
        <f>IFERROR(__xludf.DUMMYFUNCTION("""COMPUTED_VALUE"""),"-")</f>
        <v>-</v>
      </c>
      <c r="S1175" s="97" t="str">
        <f>IFERROR(__xludf.DUMMYFUNCTION("""COMPUTED_VALUE"""),"-")</f>
        <v>-</v>
      </c>
      <c r="T1175" s="97">
        <f>IFERROR(__xludf.DUMMYFUNCTION("""COMPUTED_VALUE"""),147.0)</f>
        <v>147</v>
      </c>
      <c r="U1175" s="97">
        <f>IFERROR(__xludf.DUMMYFUNCTION("""COMPUTED_VALUE"""),49.0)</f>
        <v>49</v>
      </c>
      <c r="V1175" s="97">
        <f>IFERROR(__xludf.DUMMYFUNCTION("""COMPUTED_VALUE"""),110.0)</f>
        <v>110</v>
      </c>
      <c r="W1175" s="97" t="str">
        <f>IFERROR(__xludf.DUMMYFUNCTION("""COMPUTED_VALUE"""),"&lt; 16")</f>
        <v>&lt; 16</v>
      </c>
      <c r="X1175" s="97">
        <f>IFERROR(__xludf.DUMMYFUNCTION("""COMPUTED_VALUE"""),3000.0)</f>
        <v>3000</v>
      </c>
      <c r="Y1175" s="97" t="str">
        <f>IFERROR(__xludf.DUMMYFUNCTION("""COMPUTED_VALUE"""),"&gt;90")</f>
        <v>&gt;90</v>
      </c>
      <c r="Z1175" s="97"/>
      <c r="AA1175" s="97"/>
      <c r="AB1175" s="97" t="str">
        <f>IFERROR(__xludf.DUMMYFUNCTION("""COMPUTED_VALUE"""),"&lt; 3")</f>
        <v>&lt; 3</v>
      </c>
      <c r="AC1175" s="97"/>
      <c r="AD1175" s="97" t="str">
        <f>IFERROR(__xludf.DUMMYFUNCTION("""COMPUTED_VALUE"""),"IP20")</f>
        <v>IP20</v>
      </c>
      <c r="AE1175" s="97" t="str">
        <f>IFERROR(__xludf.DUMMYFUNCTION("""COMPUTED_VALUE"""),"Clase l")</f>
        <v>Clase l</v>
      </c>
      <c r="AF1175" s="97" t="str">
        <f>IFERROR(__xludf.DUMMYFUNCTION("""COMPUTED_VALUE"""),"Aplicar")</f>
        <v>Aplicar</v>
      </c>
      <c r="AG1175" s="97" t="str">
        <f>IFERROR(__xludf.DUMMYFUNCTION("""COMPUTED_VALUE"""),"46 x 53 x 450")</f>
        <v>46 x 53 x 450</v>
      </c>
      <c r="AH1175" s="97" t="str">
        <f>IFERROR(__xludf.DUMMYFUNCTION("""COMPUTED_VALUE"""),"N/A")</f>
        <v>N/A</v>
      </c>
      <c r="AI1175" s="97" t="str">
        <f>IFERROR(__xludf.DUMMYFUNCTION("""COMPUTED_VALUE"""),"N/A")</f>
        <v>N/A</v>
      </c>
      <c r="AJ1175" s="97" t="str">
        <f>IFERROR(__xludf.DUMMYFUNCTION("""COMPUTED_VALUE"""),"Policarbonato (PC)")</f>
        <v>Policarbonato (PC)</v>
      </c>
      <c r="AK1175" s="97" t="str">
        <f>IFERROR(__xludf.DUMMYFUNCTION("""COMPUTED_VALUE"""),"Aluminio")</f>
        <v>Aluminio</v>
      </c>
      <c r="AL1175" s="97" t="str">
        <f>IFERROR(__xludf.DUMMYFUNCTION("""COMPUTED_VALUE"""),"Negro Satinado")</f>
        <v>Negro Satinado</v>
      </c>
      <c r="AM1175" s="97" t="str">
        <f>IFERROR(__xludf.DUMMYFUNCTION("""COMPUTED_VALUE"""),"-")</f>
        <v>-</v>
      </c>
      <c r="AN1175" s="97" t="str">
        <f>IFERROR(__xludf.DUMMYFUNCTION("""COMPUTED_VALUE"""),"25.000hs (L70)")</f>
        <v>25.000hs (L70)</v>
      </c>
      <c r="AO1175" s="97" t="str">
        <f>IFERROR(__xludf.DUMMYFUNCTION("""COMPUTED_VALUE"""),"2 Años")</f>
        <v>2 Años</v>
      </c>
      <c r="AP1175" s="97" t="str">
        <f>IFERROR(__xludf.DUMMYFUNCTION("""COMPUTED_VALUE"""),"Disponible")</f>
        <v>Disponible</v>
      </c>
      <c r="AQ1175" s="97" t="str">
        <f>IFERROR(__xludf.DUMMYFUNCTION("""COMPUTED_VALUE"""),"Disponible")</f>
        <v>Disponible</v>
      </c>
      <c r="AR1175" s="97" t="str">
        <f>IFERROR(__xludf.DUMMYFUNCTION("""COMPUTED_VALUE"""),"Disponible")</f>
        <v>Disponible</v>
      </c>
      <c r="AS1175" s="97" t="str">
        <f>IFERROR(__xludf.DUMMYFUNCTION("""COMPUTED_VALUE"""),"Falta")</f>
        <v>Falta</v>
      </c>
      <c r="AT1175" s="97" t="str">
        <f>IFERROR(__xludf.DUMMYFUNCTION("""COMPUTED_VALUE"""),"Falta")</f>
        <v>Falta</v>
      </c>
      <c r="AU1175" s="97" t="str">
        <f>IFERROR(__xludf.DUMMYFUNCTION("""COMPUTED_VALUE"""),"Falta")</f>
        <v>Falta</v>
      </c>
      <c r="AV1175" s="97" t="str">
        <f>IFERROR(__xludf.DUMMYFUNCTION("""COMPUTED_VALUE"""),"Aplique")</f>
        <v>Aplique</v>
      </c>
      <c r="AW1175" s="97" t="str">
        <f>IFERROR(__xludf.DUMMYFUNCTION("""COMPUTED_VALUE"""),"De Pared")</f>
        <v>De Pared</v>
      </c>
      <c r="AX1175" s="97" t="str">
        <f>IFERROR(__xludf.DUMMYFUNCTION("""COMPUTED_VALUE"""),"Interior")</f>
        <v>Interior</v>
      </c>
      <c r="AY1175" s="97" t="str">
        <f>IFERROR(__xludf.DUMMYFUNCTION("""COMPUTED_VALUE"""),"-")</f>
        <v>-</v>
      </c>
      <c r="AZ1175" s="97"/>
      <c r="BA1175" s="97">
        <f>IFERROR(__xludf.DUMMYFUNCTION("""COMPUTED_VALUE"""),60.0)</f>
        <v>60</v>
      </c>
      <c r="BB1175" s="97" t="str">
        <f>IFERROR(__xludf.DUMMYFUNCTION("""COMPUTED_VALUE"""),"-")</f>
        <v>-</v>
      </c>
      <c r="BC1175" s="97" t="str">
        <f>IFERROR(__xludf.DUMMYFUNCTION("""COMPUTED_VALUE"""),"-")</f>
        <v>-</v>
      </c>
      <c r="BD1175" s="97" t="str">
        <f>IFERROR(__xludf.DUMMYFUNCTION("""COMPUTED_VALUE"""),"LAZU")</f>
        <v>LAZU</v>
      </c>
      <c r="BE1175" s="97" t="str">
        <f>IFERROR(__xludf.DUMMYFUNCTION("""COMPUTED_VALUE"""),"Finalizada")</f>
        <v>Finalizada</v>
      </c>
      <c r="BF1175" s="97"/>
      <c r="BG1175" s="97" t="str">
        <f>IFERROR(__xludf.DUMMYFUNCTION("""COMPUTED_VALUE"""),"Activo")</f>
        <v>Activo</v>
      </c>
    </row>
    <row r="1176">
      <c r="A1176" s="97">
        <f>IFERROR(__xludf.DUMMYFUNCTION("""COMPUTED_VALUE"""),7094.0)</f>
        <v>7094</v>
      </c>
      <c r="B1176" s="97" t="str">
        <f>IFERROR(__xludf.DUMMYFUNCTION("""COMPUTED_VALUE"""),"LAZU BL")</f>
        <v>LAZU BL</v>
      </c>
      <c r="C1176" s="97" t="str">
        <f>IFERROR(__xludf.DUMMYFUNCTION("""COMPUTED_VALUE"""),"APLIQUE LAZU BL 3W 3000K 147LM CRI&gt;90 IP20 LEUK")</f>
        <v>APLIQUE LAZU BL 3W 3000K 147LM CRI&gt;90 IP20 LEUK</v>
      </c>
      <c r="D1176" s="97">
        <f>IFERROR(__xludf.DUMMYFUNCTION("""COMPUTED_VALUE"""),7.798413226119E12)</f>
        <v>7798413226119</v>
      </c>
      <c r="E1176" s="97" t="str">
        <f>IFERROR(__xludf.DUMMYFUNCTION("""COMPUTED_VALUE"""),"F94")</f>
        <v>F94</v>
      </c>
      <c r="F1176" s="97" t="str">
        <f>IFERROR(__xludf.DUMMYFUNCTION("""COMPUTED_VALUE"""),"LED integrado")</f>
        <v>LED integrado</v>
      </c>
      <c r="G1176" s="97" t="str">
        <f>IFERROR(__xludf.DUMMYFUNCTION("""COMPUTED_VALUE"""),"-")</f>
        <v>-</v>
      </c>
      <c r="H1176" s="97" t="str">
        <f>IFERROR(__xludf.DUMMYFUNCTION("""COMPUTED_VALUE"""),"Eaglerise")</f>
        <v>Eaglerise</v>
      </c>
      <c r="I1176" s="97"/>
      <c r="J1176" s="97"/>
      <c r="K1176" s="97" t="str">
        <f>IFERROR(__xludf.DUMMYFUNCTION("""COMPUTED_VALUE"""),"ON/OFF")</f>
        <v>ON/OFF</v>
      </c>
      <c r="L1176" s="97" t="str">
        <f>IFERROR(__xludf.DUMMYFUNCTION("""COMPUTED_VALUE"""),"200-240")</f>
        <v>200-240</v>
      </c>
      <c r="M1176" s="97" t="str">
        <f>IFERROR(__xludf.DUMMYFUNCTION("""COMPUTED_VALUE"""),"50/60")</f>
        <v>50/60</v>
      </c>
      <c r="N1176" s="97"/>
      <c r="O1176" s="97">
        <f>IFERROR(__xludf.DUMMYFUNCTION("""COMPUTED_VALUE"""),3.0)</f>
        <v>3</v>
      </c>
      <c r="P1176" s="97"/>
      <c r="Q1176" s="97">
        <f>IFERROR(__xludf.DUMMYFUNCTION("""COMPUTED_VALUE"""),0.53)</f>
        <v>0.53</v>
      </c>
      <c r="R1176" s="97" t="str">
        <f>IFERROR(__xludf.DUMMYFUNCTION("""COMPUTED_VALUE"""),"-")</f>
        <v>-</v>
      </c>
      <c r="S1176" s="97" t="str">
        <f>IFERROR(__xludf.DUMMYFUNCTION("""COMPUTED_VALUE"""),"-")</f>
        <v>-</v>
      </c>
      <c r="T1176" s="97">
        <f>IFERROR(__xludf.DUMMYFUNCTION("""COMPUTED_VALUE"""),147.0)</f>
        <v>147</v>
      </c>
      <c r="U1176" s="97">
        <f>IFERROR(__xludf.DUMMYFUNCTION("""COMPUTED_VALUE"""),49.0)</f>
        <v>49</v>
      </c>
      <c r="V1176" s="97">
        <f>IFERROR(__xludf.DUMMYFUNCTION("""COMPUTED_VALUE"""),110.0)</f>
        <v>110</v>
      </c>
      <c r="W1176" s="97" t="str">
        <f>IFERROR(__xludf.DUMMYFUNCTION("""COMPUTED_VALUE"""),"&lt; 16")</f>
        <v>&lt; 16</v>
      </c>
      <c r="X1176" s="97">
        <f>IFERROR(__xludf.DUMMYFUNCTION("""COMPUTED_VALUE"""),3000.0)</f>
        <v>3000</v>
      </c>
      <c r="Y1176" s="97" t="str">
        <f>IFERROR(__xludf.DUMMYFUNCTION("""COMPUTED_VALUE"""),"&gt;90")</f>
        <v>&gt;90</v>
      </c>
      <c r="Z1176" s="97"/>
      <c r="AA1176" s="97"/>
      <c r="AB1176" s="97" t="str">
        <f>IFERROR(__xludf.DUMMYFUNCTION("""COMPUTED_VALUE"""),"&lt; 3")</f>
        <v>&lt; 3</v>
      </c>
      <c r="AC1176" s="97"/>
      <c r="AD1176" s="97" t="str">
        <f>IFERROR(__xludf.DUMMYFUNCTION("""COMPUTED_VALUE"""),"IP20")</f>
        <v>IP20</v>
      </c>
      <c r="AE1176" s="97" t="str">
        <f>IFERROR(__xludf.DUMMYFUNCTION("""COMPUTED_VALUE"""),"Clase l")</f>
        <v>Clase l</v>
      </c>
      <c r="AF1176" s="97" t="str">
        <f>IFERROR(__xludf.DUMMYFUNCTION("""COMPUTED_VALUE"""),"Aplicar")</f>
        <v>Aplicar</v>
      </c>
      <c r="AG1176" s="97" t="str">
        <f>IFERROR(__xludf.DUMMYFUNCTION("""COMPUTED_VALUE"""),"46 x 53 x 450")</f>
        <v>46 x 53 x 450</v>
      </c>
      <c r="AH1176" s="97" t="str">
        <f>IFERROR(__xludf.DUMMYFUNCTION("""COMPUTED_VALUE"""),"N/A")</f>
        <v>N/A</v>
      </c>
      <c r="AI1176" s="97" t="str">
        <f>IFERROR(__xludf.DUMMYFUNCTION("""COMPUTED_VALUE"""),"N/A")</f>
        <v>N/A</v>
      </c>
      <c r="AJ1176" s="97" t="str">
        <f>IFERROR(__xludf.DUMMYFUNCTION("""COMPUTED_VALUE"""),"Policarbonato (PC)")</f>
        <v>Policarbonato (PC)</v>
      </c>
      <c r="AK1176" s="97" t="str">
        <f>IFERROR(__xludf.DUMMYFUNCTION("""COMPUTED_VALUE"""),"Aluminio")</f>
        <v>Aluminio</v>
      </c>
      <c r="AL1176" s="97" t="str">
        <f>IFERROR(__xludf.DUMMYFUNCTION("""COMPUTED_VALUE"""),"Blanco Satinado")</f>
        <v>Blanco Satinado</v>
      </c>
      <c r="AM1176" s="97" t="str">
        <f>IFERROR(__xludf.DUMMYFUNCTION("""COMPUTED_VALUE"""),"-")</f>
        <v>-</v>
      </c>
      <c r="AN1176" s="97" t="str">
        <f>IFERROR(__xludf.DUMMYFUNCTION("""COMPUTED_VALUE"""),"25.000hs (L70)")</f>
        <v>25.000hs (L70)</v>
      </c>
      <c r="AO1176" s="97" t="str">
        <f>IFERROR(__xludf.DUMMYFUNCTION("""COMPUTED_VALUE"""),"2 Años")</f>
        <v>2 Años</v>
      </c>
      <c r="AP1176" s="97" t="str">
        <f>IFERROR(__xludf.DUMMYFUNCTION("""COMPUTED_VALUE"""),"Disponible")</f>
        <v>Disponible</v>
      </c>
      <c r="AQ1176" s="97" t="str">
        <f>IFERROR(__xludf.DUMMYFUNCTION("""COMPUTED_VALUE"""),"Disponible")</f>
        <v>Disponible</v>
      </c>
      <c r="AR1176" s="97" t="str">
        <f>IFERROR(__xludf.DUMMYFUNCTION("""COMPUTED_VALUE"""),"Disponible")</f>
        <v>Disponible</v>
      </c>
      <c r="AS1176" s="97" t="str">
        <f>IFERROR(__xludf.DUMMYFUNCTION("""COMPUTED_VALUE"""),"Falta")</f>
        <v>Falta</v>
      </c>
      <c r="AT1176" s="97" t="str">
        <f>IFERROR(__xludf.DUMMYFUNCTION("""COMPUTED_VALUE"""),"Falta")</f>
        <v>Falta</v>
      </c>
      <c r="AU1176" s="97" t="str">
        <f>IFERROR(__xludf.DUMMYFUNCTION("""COMPUTED_VALUE"""),"Falta")</f>
        <v>Falta</v>
      </c>
      <c r="AV1176" s="97" t="str">
        <f>IFERROR(__xludf.DUMMYFUNCTION("""COMPUTED_VALUE"""),"Aplique")</f>
        <v>Aplique</v>
      </c>
      <c r="AW1176" s="97" t="str">
        <f>IFERROR(__xludf.DUMMYFUNCTION("""COMPUTED_VALUE"""),"De Pared")</f>
        <v>De Pared</v>
      </c>
      <c r="AX1176" s="97" t="str">
        <f>IFERROR(__xludf.DUMMYFUNCTION("""COMPUTED_VALUE"""),"Interior")</f>
        <v>Interior</v>
      </c>
      <c r="AY1176" s="97" t="str">
        <f>IFERROR(__xludf.DUMMYFUNCTION("""COMPUTED_VALUE"""),"-")</f>
        <v>-</v>
      </c>
      <c r="AZ1176" s="97"/>
      <c r="BA1176" s="97">
        <f>IFERROR(__xludf.DUMMYFUNCTION("""COMPUTED_VALUE"""),60.0)</f>
        <v>60</v>
      </c>
      <c r="BB1176" s="97" t="str">
        <f>IFERROR(__xludf.DUMMYFUNCTION("""COMPUTED_VALUE"""),"-")</f>
        <v>-</v>
      </c>
      <c r="BC1176" s="97" t="str">
        <f>IFERROR(__xludf.DUMMYFUNCTION("""COMPUTED_VALUE"""),"-")</f>
        <v>-</v>
      </c>
      <c r="BD1176" s="97" t="str">
        <f>IFERROR(__xludf.DUMMYFUNCTION("""COMPUTED_VALUE"""),"LAZU")</f>
        <v>LAZU</v>
      </c>
      <c r="BE1176" s="97" t="str">
        <f>IFERROR(__xludf.DUMMYFUNCTION("""COMPUTED_VALUE"""),"Finalizada")</f>
        <v>Finalizada</v>
      </c>
      <c r="BF1176" s="97"/>
      <c r="BG1176" s="97" t="str">
        <f>IFERROR(__xludf.DUMMYFUNCTION("""COMPUTED_VALUE"""),"Activo")</f>
        <v>Activo</v>
      </c>
    </row>
    <row r="1177">
      <c r="A1177" s="97">
        <f>IFERROR(__xludf.DUMMYFUNCTION("""COMPUTED_VALUE"""),7095.0)</f>
        <v>7095</v>
      </c>
      <c r="B1177" s="97" t="str">
        <f>IFERROR(__xludf.DUMMYFUNCTION("""COMPUTED_VALUE"""),"SUTSKE NG")</f>
        <v>SUTSKE NG</v>
      </c>
      <c r="C1177" s="97" t="str">
        <f>IFERROR(__xludf.DUMMYFUNCTION("""COMPUTED_VALUE"""),"PIE SUTSKE NG 7W 3000K 525LM CRI&gt;95 IP20 LEUK")</f>
        <v>PIE SUTSKE NG 7W 3000K 525LM CRI&gt;95 IP20 LEUK</v>
      </c>
      <c r="D1177" s="97">
        <f>IFERROR(__xludf.DUMMYFUNCTION("""COMPUTED_VALUE"""),7.798413226515E12)</f>
        <v>7798413226515</v>
      </c>
      <c r="E1177" s="97"/>
      <c r="F1177" s="97" t="str">
        <f>IFERROR(__xludf.DUMMYFUNCTION("""COMPUTED_VALUE"""),"LED integrado")</f>
        <v>LED integrado</v>
      </c>
      <c r="G1177" s="97" t="str">
        <f>IFERROR(__xludf.DUMMYFUNCTION("""COMPUTED_VALUE"""),"OSRAM")</f>
        <v>OSRAM</v>
      </c>
      <c r="H1177" s="97" t="str">
        <f>IFERROR(__xludf.DUMMYFUNCTION("""COMPUTED_VALUE"""),"-")</f>
        <v>-</v>
      </c>
      <c r="I1177" s="97"/>
      <c r="J1177" s="97" t="str">
        <f>IFERROR(__xludf.DUMMYFUNCTION("""COMPUTED_VALUE"""),"SENGOOG (24V1A S-MARK)")</f>
        <v>SENGOOG (24V1A S-MARK)</v>
      </c>
      <c r="K1177" s="97" t="str">
        <f>IFERROR(__xludf.DUMMYFUNCTION("""COMPUTED_VALUE"""),"ON/OFF")</f>
        <v>ON/OFF</v>
      </c>
      <c r="L1177" s="97" t="str">
        <f>IFERROR(__xludf.DUMMYFUNCTION("""COMPUTED_VALUE"""),"200-240")</f>
        <v>200-240</v>
      </c>
      <c r="M1177" s="97" t="str">
        <f>IFERROR(__xludf.DUMMYFUNCTION("""COMPUTED_VALUE"""),"50/60")</f>
        <v>50/60</v>
      </c>
      <c r="N1177" s="97"/>
      <c r="O1177" s="97">
        <f>IFERROR(__xludf.DUMMYFUNCTION("""COMPUTED_VALUE"""),7.0)</f>
        <v>7</v>
      </c>
      <c r="P1177" s="97"/>
      <c r="Q1177" s="97">
        <f>IFERROR(__xludf.DUMMYFUNCTION("""COMPUTED_VALUE"""),0.4)</f>
        <v>0.4</v>
      </c>
      <c r="R1177" s="97" t="str">
        <f>IFERROR(__xludf.DUMMYFUNCTION("""COMPUTED_VALUE"""),"-")</f>
        <v>-</v>
      </c>
      <c r="S1177" s="97" t="str">
        <f>IFERROR(__xludf.DUMMYFUNCTION("""COMPUTED_VALUE"""),"-")</f>
        <v>-</v>
      </c>
      <c r="T1177" s="97">
        <f>IFERROR(__xludf.DUMMYFUNCTION("""COMPUTED_VALUE"""),525.0)</f>
        <v>525</v>
      </c>
      <c r="U1177" s="99">
        <f>IFERROR(__xludf.DUMMYFUNCTION("""COMPUTED_VALUE"""),75.0)</f>
        <v>75</v>
      </c>
      <c r="V1177" s="97">
        <f>IFERROR(__xludf.DUMMYFUNCTION("""COMPUTED_VALUE"""),50.0)</f>
        <v>50</v>
      </c>
      <c r="W1177" s="97" t="str">
        <f>IFERROR(__xludf.DUMMYFUNCTION("""COMPUTED_VALUE"""),"&lt; 10")</f>
        <v>&lt; 10</v>
      </c>
      <c r="X1177" s="97">
        <f>IFERROR(__xludf.DUMMYFUNCTION("""COMPUTED_VALUE"""),3000.0)</f>
        <v>3000</v>
      </c>
      <c r="Y1177" s="97" t="str">
        <f>IFERROR(__xludf.DUMMYFUNCTION("""COMPUTED_VALUE"""),"&gt;95")</f>
        <v>&gt;95</v>
      </c>
      <c r="Z1177" s="97"/>
      <c r="AA1177" s="97"/>
      <c r="AB1177" s="97" t="str">
        <f>IFERROR(__xludf.DUMMYFUNCTION("""COMPUTED_VALUE"""),"&lt; 3")</f>
        <v>&lt; 3</v>
      </c>
      <c r="AC1177" s="97"/>
      <c r="AD1177" s="97" t="str">
        <f>IFERROR(__xludf.DUMMYFUNCTION("""COMPUTED_VALUE"""),"IP20")</f>
        <v>IP20</v>
      </c>
      <c r="AE1177" s="97" t="str">
        <f>IFERROR(__xludf.DUMMYFUNCTION("""COMPUTED_VALUE"""),"Clase l")</f>
        <v>Clase l</v>
      </c>
      <c r="AF1177" s="97" t="str">
        <f>IFERROR(__xludf.DUMMYFUNCTION("""COMPUTED_VALUE"""),"Autoportante")</f>
        <v>Autoportante</v>
      </c>
      <c r="AG1177" s="97" t="str">
        <f>IFERROR(__xludf.DUMMYFUNCTION("""COMPUTED_VALUE"""),"350 x 1400 x 1900")</f>
        <v>350 x 1400 x 1900</v>
      </c>
      <c r="AH1177" s="97" t="str">
        <f>IFERROR(__xludf.DUMMYFUNCTION("""COMPUTED_VALUE"""),"N/A")</f>
        <v>N/A</v>
      </c>
      <c r="AI1177" s="97" t="str">
        <f>IFERROR(__xludf.DUMMYFUNCTION("""COMPUTED_VALUE"""),"N/A")</f>
        <v>N/A</v>
      </c>
      <c r="AJ1177" s="97" t="str">
        <f>IFERROR(__xludf.DUMMYFUNCTION("""COMPUTED_VALUE"""),"Vidrio")</f>
        <v>Vidrio</v>
      </c>
      <c r="AK1177" s="97" t="str">
        <f>IFERROR(__xludf.DUMMYFUNCTION("""COMPUTED_VALUE"""),"Acero")</f>
        <v>Acero</v>
      </c>
      <c r="AL1177" s="97" t="str">
        <f>IFERROR(__xludf.DUMMYFUNCTION("""COMPUTED_VALUE"""),"Negro Satinado")</f>
        <v>Negro Satinado</v>
      </c>
      <c r="AM1177" s="97" t="str">
        <f>IFERROR(__xludf.DUMMYFUNCTION("""COMPUTED_VALUE"""),"-")</f>
        <v>-</v>
      </c>
      <c r="AN1177" s="97" t="str">
        <f>IFERROR(__xludf.DUMMYFUNCTION("""COMPUTED_VALUE"""),"25.000hs (L70)")</f>
        <v>25.000hs (L70)</v>
      </c>
      <c r="AO1177" s="97" t="str">
        <f>IFERROR(__xludf.DUMMYFUNCTION("""COMPUTED_VALUE"""),"2 Años")</f>
        <v>2 Años</v>
      </c>
      <c r="AP1177" s="97" t="str">
        <f>IFERROR(__xludf.DUMMYFUNCTION("""COMPUTED_VALUE"""),"Disponible")</f>
        <v>Disponible</v>
      </c>
      <c r="AQ1177" s="97" t="str">
        <f>IFERROR(__xludf.DUMMYFUNCTION("""COMPUTED_VALUE"""),"Disponible")</f>
        <v>Disponible</v>
      </c>
      <c r="AR1177" s="97" t="str">
        <f>IFERROR(__xludf.DUMMYFUNCTION("""COMPUTED_VALUE"""),"Disponible")</f>
        <v>Disponible</v>
      </c>
      <c r="AS1177" s="97" t="str">
        <f>IFERROR(__xludf.DUMMYFUNCTION("""COMPUTED_VALUE"""),"Falta")</f>
        <v>Falta</v>
      </c>
      <c r="AT1177" s="97" t="str">
        <f>IFERROR(__xludf.DUMMYFUNCTION("""COMPUTED_VALUE"""),"Falta")</f>
        <v>Falta</v>
      </c>
      <c r="AU1177" s="97" t="str">
        <f>IFERROR(__xludf.DUMMYFUNCTION("""COMPUTED_VALUE"""),"Falta")</f>
        <v>Falta</v>
      </c>
      <c r="AV1177" s="97" t="str">
        <f>IFERROR(__xludf.DUMMYFUNCTION("""COMPUTED_VALUE"""),"Pie")</f>
        <v>Pie</v>
      </c>
      <c r="AW1177" s="97" t="str">
        <f>IFERROR(__xludf.DUMMYFUNCTION("""COMPUTED_VALUE"""),"De Apoyo")</f>
        <v>De Apoyo</v>
      </c>
      <c r="AX1177" s="97" t="str">
        <f>IFERROR(__xludf.DUMMYFUNCTION("""COMPUTED_VALUE"""),"Interior")</f>
        <v>Interior</v>
      </c>
      <c r="AY1177" s="97" t="str">
        <f>IFERROR(__xludf.DUMMYFUNCTION("""COMPUTED_VALUE"""),"-")</f>
        <v>-</v>
      </c>
      <c r="AZ1177" s="97" t="str">
        <f>IFERROR(__xludf.DUMMYFUNCTION("""COMPUTED_VALUE"""),"Base Ø350. Largo cable 4mt, 2mt hasta tecla. Pantalla Ø250mm. Caño brazo 1320mm (regulable).")</f>
        <v>Base Ø350. Largo cable 4mt, 2mt hasta tecla. Pantalla Ø250mm. Caño brazo 1320mm (regulable).</v>
      </c>
      <c r="BA1177" s="97">
        <f>IFERROR(__xludf.DUMMYFUNCTION("""COMPUTED_VALUE"""),4.0)</f>
        <v>4</v>
      </c>
      <c r="BB1177" s="97" t="str">
        <f>IFERROR(__xludf.DUMMYFUNCTION("""COMPUTED_VALUE"""),"-")</f>
        <v>-</v>
      </c>
      <c r="BC1177" s="97" t="str">
        <f>IFERROR(__xludf.DUMMYFUNCTION("""COMPUTED_VALUE"""),"-")</f>
        <v>-</v>
      </c>
      <c r="BD1177" s="97" t="str">
        <f>IFERROR(__xludf.DUMMYFUNCTION("""COMPUTED_VALUE"""),"SUTSKE")</f>
        <v>SUTSKE</v>
      </c>
      <c r="BE1177" s="97" t="str">
        <f>IFERROR(__xludf.DUMMYFUNCTION("""COMPUTED_VALUE"""),"Finalizada")</f>
        <v>Finalizada</v>
      </c>
      <c r="BF1177" s="97"/>
      <c r="BG1177" s="97" t="str">
        <f>IFERROR(__xludf.DUMMYFUNCTION("""COMPUTED_VALUE"""),"Activo")</f>
        <v>Activo</v>
      </c>
    </row>
    <row r="1178">
      <c r="A1178" s="97">
        <f>IFERROR(__xludf.DUMMYFUNCTION("""COMPUTED_VALUE"""),7096.0)</f>
        <v>7096</v>
      </c>
      <c r="B1178" s="97" t="str">
        <f>IFERROR(__xludf.DUMMYFUNCTION("""COMPUTED_VALUE"""),"SUTSKE BL")</f>
        <v>SUTSKE BL</v>
      </c>
      <c r="C1178" s="97" t="str">
        <f>IFERROR(__xludf.DUMMYFUNCTION("""COMPUTED_VALUE"""),"PIE SUTSKE BL 7W 3000K 525LM CRI&gt;95 IP20 LEUK")</f>
        <v>PIE SUTSKE BL 7W 3000K 525LM CRI&gt;95 IP20 LEUK</v>
      </c>
      <c r="D1178" s="97">
        <f>IFERROR(__xludf.DUMMYFUNCTION("""COMPUTED_VALUE"""),7.798413226522E12)</f>
        <v>7798413226522</v>
      </c>
      <c r="E1178" s="97"/>
      <c r="F1178" s="97" t="str">
        <f>IFERROR(__xludf.DUMMYFUNCTION("""COMPUTED_VALUE"""),"LED integrado")</f>
        <v>LED integrado</v>
      </c>
      <c r="G1178" s="97" t="str">
        <f>IFERROR(__xludf.DUMMYFUNCTION("""COMPUTED_VALUE"""),"OSRAM")</f>
        <v>OSRAM</v>
      </c>
      <c r="H1178" s="97" t="str">
        <f>IFERROR(__xludf.DUMMYFUNCTION("""COMPUTED_VALUE"""),"-")</f>
        <v>-</v>
      </c>
      <c r="I1178" s="97"/>
      <c r="J1178" s="97" t="str">
        <f>IFERROR(__xludf.DUMMYFUNCTION("""COMPUTED_VALUE"""),"SENGOOG (24V1A S-MARK)")</f>
        <v>SENGOOG (24V1A S-MARK)</v>
      </c>
      <c r="K1178" s="97" t="str">
        <f>IFERROR(__xludf.DUMMYFUNCTION("""COMPUTED_VALUE"""),"ON/OFF")</f>
        <v>ON/OFF</v>
      </c>
      <c r="L1178" s="97" t="str">
        <f>IFERROR(__xludf.DUMMYFUNCTION("""COMPUTED_VALUE"""),"200-240")</f>
        <v>200-240</v>
      </c>
      <c r="M1178" s="97" t="str">
        <f>IFERROR(__xludf.DUMMYFUNCTION("""COMPUTED_VALUE"""),"50/60")</f>
        <v>50/60</v>
      </c>
      <c r="N1178" s="97"/>
      <c r="O1178" s="97">
        <f>IFERROR(__xludf.DUMMYFUNCTION("""COMPUTED_VALUE"""),7.0)</f>
        <v>7</v>
      </c>
      <c r="P1178" s="97"/>
      <c r="Q1178" s="97">
        <f>IFERROR(__xludf.DUMMYFUNCTION("""COMPUTED_VALUE"""),0.4)</f>
        <v>0.4</v>
      </c>
      <c r="R1178" s="97" t="str">
        <f>IFERROR(__xludf.DUMMYFUNCTION("""COMPUTED_VALUE"""),"-")</f>
        <v>-</v>
      </c>
      <c r="S1178" s="97" t="str">
        <f>IFERROR(__xludf.DUMMYFUNCTION("""COMPUTED_VALUE"""),"-")</f>
        <v>-</v>
      </c>
      <c r="T1178" s="97">
        <f>IFERROR(__xludf.DUMMYFUNCTION("""COMPUTED_VALUE"""),525.0)</f>
        <v>525</v>
      </c>
      <c r="U1178" s="99">
        <f>IFERROR(__xludf.DUMMYFUNCTION("""COMPUTED_VALUE"""),75.0)</f>
        <v>75</v>
      </c>
      <c r="V1178" s="97">
        <f>IFERROR(__xludf.DUMMYFUNCTION("""COMPUTED_VALUE"""),50.0)</f>
        <v>50</v>
      </c>
      <c r="W1178" s="97" t="str">
        <f>IFERROR(__xludf.DUMMYFUNCTION("""COMPUTED_VALUE"""),"&lt; 10")</f>
        <v>&lt; 10</v>
      </c>
      <c r="X1178" s="97">
        <f>IFERROR(__xludf.DUMMYFUNCTION("""COMPUTED_VALUE"""),3000.0)</f>
        <v>3000</v>
      </c>
      <c r="Y1178" s="97" t="str">
        <f>IFERROR(__xludf.DUMMYFUNCTION("""COMPUTED_VALUE"""),"&gt;95")</f>
        <v>&gt;95</v>
      </c>
      <c r="Z1178" s="97"/>
      <c r="AA1178" s="97"/>
      <c r="AB1178" s="97" t="str">
        <f>IFERROR(__xludf.DUMMYFUNCTION("""COMPUTED_VALUE"""),"&lt; 3")</f>
        <v>&lt; 3</v>
      </c>
      <c r="AC1178" s="97"/>
      <c r="AD1178" s="97" t="str">
        <f>IFERROR(__xludf.DUMMYFUNCTION("""COMPUTED_VALUE"""),"IP20")</f>
        <v>IP20</v>
      </c>
      <c r="AE1178" s="97" t="str">
        <f>IFERROR(__xludf.DUMMYFUNCTION("""COMPUTED_VALUE"""),"Clase l")</f>
        <v>Clase l</v>
      </c>
      <c r="AF1178" s="97" t="str">
        <f>IFERROR(__xludf.DUMMYFUNCTION("""COMPUTED_VALUE"""),"Autoportante")</f>
        <v>Autoportante</v>
      </c>
      <c r="AG1178" s="97" t="str">
        <f>IFERROR(__xludf.DUMMYFUNCTION("""COMPUTED_VALUE"""),"350 x 1400 x 1900")</f>
        <v>350 x 1400 x 1900</v>
      </c>
      <c r="AH1178" s="97" t="str">
        <f>IFERROR(__xludf.DUMMYFUNCTION("""COMPUTED_VALUE"""),"N/A")</f>
        <v>N/A</v>
      </c>
      <c r="AI1178" s="97" t="str">
        <f>IFERROR(__xludf.DUMMYFUNCTION("""COMPUTED_VALUE"""),"N/A")</f>
        <v>N/A</v>
      </c>
      <c r="AJ1178" s="97" t="str">
        <f>IFERROR(__xludf.DUMMYFUNCTION("""COMPUTED_VALUE"""),"Vidrio")</f>
        <v>Vidrio</v>
      </c>
      <c r="AK1178" s="97" t="str">
        <f>IFERROR(__xludf.DUMMYFUNCTION("""COMPUTED_VALUE"""),"Acero")</f>
        <v>Acero</v>
      </c>
      <c r="AL1178" s="97" t="str">
        <f>IFERROR(__xludf.DUMMYFUNCTION("""COMPUTED_VALUE"""),"Blanco Satinado")</f>
        <v>Blanco Satinado</v>
      </c>
      <c r="AM1178" s="97" t="str">
        <f>IFERROR(__xludf.DUMMYFUNCTION("""COMPUTED_VALUE"""),"-")</f>
        <v>-</v>
      </c>
      <c r="AN1178" s="97" t="str">
        <f>IFERROR(__xludf.DUMMYFUNCTION("""COMPUTED_VALUE"""),"25.000hs (L70)")</f>
        <v>25.000hs (L70)</v>
      </c>
      <c r="AO1178" s="97" t="str">
        <f>IFERROR(__xludf.DUMMYFUNCTION("""COMPUTED_VALUE"""),"2 Años")</f>
        <v>2 Años</v>
      </c>
      <c r="AP1178" s="97" t="str">
        <f>IFERROR(__xludf.DUMMYFUNCTION("""COMPUTED_VALUE"""),"Disponible")</f>
        <v>Disponible</v>
      </c>
      <c r="AQ1178" s="97" t="str">
        <f>IFERROR(__xludf.DUMMYFUNCTION("""COMPUTED_VALUE"""),"Disponible")</f>
        <v>Disponible</v>
      </c>
      <c r="AR1178" s="97" t="str">
        <f>IFERROR(__xludf.DUMMYFUNCTION("""COMPUTED_VALUE"""),"Disponible")</f>
        <v>Disponible</v>
      </c>
      <c r="AS1178" s="97" t="str">
        <f>IFERROR(__xludf.DUMMYFUNCTION("""COMPUTED_VALUE"""),"Falta")</f>
        <v>Falta</v>
      </c>
      <c r="AT1178" s="97" t="str">
        <f>IFERROR(__xludf.DUMMYFUNCTION("""COMPUTED_VALUE"""),"Falta")</f>
        <v>Falta</v>
      </c>
      <c r="AU1178" s="97" t="str">
        <f>IFERROR(__xludf.DUMMYFUNCTION("""COMPUTED_VALUE"""),"Falta")</f>
        <v>Falta</v>
      </c>
      <c r="AV1178" s="97" t="str">
        <f>IFERROR(__xludf.DUMMYFUNCTION("""COMPUTED_VALUE"""),"Pie")</f>
        <v>Pie</v>
      </c>
      <c r="AW1178" s="97" t="str">
        <f>IFERROR(__xludf.DUMMYFUNCTION("""COMPUTED_VALUE"""),"De Apoyo")</f>
        <v>De Apoyo</v>
      </c>
      <c r="AX1178" s="97" t="str">
        <f>IFERROR(__xludf.DUMMYFUNCTION("""COMPUTED_VALUE"""),"Interior")</f>
        <v>Interior</v>
      </c>
      <c r="AY1178" s="97" t="str">
        <f>IFERROR(__xludf.DUMMYFUNCTION("""COMPUTED_VALUE"""),"-")</f>
        <v>-</v>
      </c>
      <c r="AZ1178" s="97" t="str">
        <f>IFERROR(__xludf.DUMMYFUNCTION("""COMPUTED_VALUE"""),"Base Ø350. Largo cable 4mt, 2mt hasta tecla. Pantalla Ø250mm. Caño brazo 1320mm (regulable).")</f>
        <v>Base Ø350. Largo cable 4mt, 2mt hasta tecla. Pantalla Ø250mm. Caño brazo 1320mm (regulable).</v>
      </c>
      <c r="BA1178" s="97">
        <f>IFERROR(__xludf.DUMMYFUNCTION("""COMPUTED_VALUE"""),4.0)</f>
        <v>4</v>
      </c>
      <c r="BB1178" s="97" t="str">
        <f>IFERROR(__xludf.DUMMYFUNCTION("""COMPUTED_VALUE"""),"-")</f>
        <v>-</v>
      </c>
      <c r="BC1178" s="97" t="str">
        <f>IFERROR(__xludf.DUMMYFUNCTION("""COMPUTED_VALUE"""),"-")</f>
        <v>-</v>
      </c>
      <c r="BD1178" s="97" t="str">
        <f>IFERROR(__xludf.DUMMYFUNCTION("""COMPUTED_VALUE"""),"SUTSKE")</f>
        <v>SUTSKE</v>
      </c>
      <c r="BE1178" s="97" t="str">
        <f>IFERROR(__xludf.DUMMYFUNCTION("""COMPUTED_VALUE"""),"Finalizada")</f>
        <v>Finalizada</v>
      </c>
      <c r="BF1178" s="97"/>
      <c r="BG1178" s="97" t="str">
        <f>IFERROR(__xludf.DUMMYFUNCTION("""COMPUTED_VALUE"""),"Activo")</f>
        <v>Activo</v>
      </c>
    </row>
    <row r="1179">
      <c r="A1179" s="97">
        <f>IFERROR(__xludf.DUMMYFUNCTION("""COMPUTED_VALUE"""),7097.0)</f>
        <v>7097</v>
      </c>
      <c r="B1179" s="97" t="str">
        <f>IFERROR(__xludf.DUMMYFUNCTION("""COMPUTED_VALUE"""),"CATEN 30")</f>
        <v>CATEN 30</v>
      </c>
      <c r="C1179" s="97" t="str">
        <f>IFERROR(__xludf.DUMMYFUNCTION("""COMPUTED_VALUE"""),"APLIQUE CATEN 30 10W 3000K 870LM CRI&gt;90 IP20 LEUK")</f>
        <v>APLIQUE CATEN 30 10W 3000K 870LM CRI&gt;90 IP20 LEUK</v>
      </c>
      <c r="D1179" s="97">
        <f>IFERROR(__xludf.DUMMYFUNCTION("""COMPUTED_VALUE"""),7.798413226126E12)</f>
        <v>7798413226126</v>
      </c>
      <c r="E1179" s="97" t="str">
        <f>IFERROR(__xludf.DUMMYFUNCTION("""COMPUTED_VALUE"""),"F64")</f>
        <v>F64</v>
      </c>
      <c r="F1179" s="97" t="str">
        <f>IFERROR(__xludf.DUMMYFUNCTION("""COMPUTED_VALUE"""),"LED SMD2835")</f>
        <v>LED SMD2835</v>
      </c>
      <c r="G1179" s="97" t="str">
        <f>IFERROR(__xludf.DUMMYFUNCTION("""COMPUTED_VALUE"""),"-")</f>
        <v>-</v>
      </c>
      <c r="H1179" s="97" t="str">
        <f>IFERROR(__xludf.DUMMYFUNCTION("""COMPUTED_VALUE"""),"Eaglerise")</f>
        <v>Eaglerise</v>
      </c>
      <c r="I1179" s="97"/>
      <c r="J1179" s="97" t="str">
        <f>IFERROR(__xludf.DUMMYFUNCTION("""COMPUTED_VALUE"""),"Modelo: LS-12-250 SI1 E
In: 220-240Vac 0.15A 50/60Hz
Out: 30-40Vdc 250mA - 10W
Pf 0.6 Ta 45°C Tc 80°C")</f>
        <v>Modelo: LS-12-250 SI1 E
In: 220-240Vac 0.15A 50/60Hz
Out: 30-40Vdc 250mA - 10W
Pf 0.6 Ta 45°C Tc 80°C</v>
      </c>
      <c r="K1179" s="97" t="str">
        <f>IFERROR(__xludf.DUMMYFUNCTION("""COMPUTED_VALUE"""),"ON/OFF")</f>
        <v>ON/OFF</v>
      </c>
      <c r="L1179" s="97" t="str">
        <f>IFERROR(__xludf.DUMMYFUNCTION("""COMPUTED_VALUE"""),"200-240")</f>
        <v>200-240</v>
      </c>
      <c r="M1179" s="97" t="str">
        <f>IFERROR(__xludf.DUMMYFUNCTION("""COMPUTED_VALUE"""),"50/60")</f>
        <v>50/60</v>
      </c>
      <c r="N1179" s="97"/>
      <c r="O1179" s="97">
        <f>IFERROR(__xludf.DUMMYFUNCTION("""COMPUTED_VALUE"""),10.0)</f>
        <v>10</v>
      </c>
      <c r="P1179" s="97"/>
      <c r="Q1179" s="97">
        <f>IFERROR(__xludf.DUMMYFUNCTION("""COMPUTED_VALUE"""),0.6)</f>
        <v>0.6</v>
      </c>
      <c r="R1179" s="97" t="str">
        <f>IFERROR(__xludf.DUMMYFUNCTION("""COMPUTED_VALUE"""),"-")</f>
        <v>-</v>
      </c>
      <c r="S1179" s="97" t="str">
        <f>IFERROR(__xludf.DUMMYFUNCTION("""COMPUTED_VALUE"""),"-")</f>
        <v>-</v>
      </c>
      <c r="T1179" s="97">
        <f>IFERROR(__xludf.DUMMYFUNCTION("""COMPUTED_VALUE"""),870.0)</f>
        <v>870</v>
      </c>
      <c r="U1179" s="97">
        <f>IFERROR(__xludf.DUMMYFUNCTION("""COMPUTED_VALUE"""),87.0)</f>
        <v>87</v>
      </c>
      <c r="V1179" s="97">
        <f>IFERROR(__xludf.DUMMYFUNCTION("""COMPUTED_VALUE"""),145.0)</f>
        <v>145</v>
      </c>
      <c r="W1179" s="97" t="str">
        <f>IFERROR(__xludf.DUMMYFUNCTION("""COMPUTED_VALUE"""),"&lt; 20")</f>
        <v>&lt; 20</v>
      </c>
      <c r="X1179" s="97">
        <f>IFERROR(__xludf.DUMMYFUNCTION("""COMPUTED_VALUE"""),3000.0)</f>
        <v>3000</v>
      </c>
      <c r="Y1179" s="97" t="str">
        <f>IFERROR(__xludf.DUMMYFUNCTION("""COMPUTED_VALUE"""),"&gt;90")</f>
        <v>&gt;90</v>
      </c>
      <c r="Z1179" s="97"/>
      <c r="AA1179" s="97"/>
      <c r="AB1179" s="97" t="str">
        <f>IFERROR(__xludf.DUMMYFUNCTION("""COMPUTED_VALUE"""),"&lt; 2")</f>
        <v>&lt; 2</v>
      </c>
      <c r="AC1179" s="97"/>
      <c r="AD1179" s="97" t="str">
        <f>IFERROR(__xludf.DUMMYFUNCTION("""COMPUTED_VALUE"""),"IP20")</f>
        <v>IP20</v>
      </c>
      <c r="AE1179" s="97" t="str">
        <f>IFERROR(__xludf.DUMMYFUNCTION("""COMPUTED_VALUE"""),"Clase l")</f>
        <v>Clase l</v>
      </c>
      <c r="AF1179" s="97" t="str">
        <f>IFERROR(__xludf.DUMMYFUNCTION("""COMPUTED_VALUE"""),"Aplicar")</f>
        <v>Aplicar</v>
      </c>
      <c r="AG1179" s="97" t="str">
        <f>IFERROR(__xludf.DUMMYFUNCTION("""COMPUTED_VALUE"""),"165 x 115 x 310")</f>
        <v>165 x 115 x 310</v>
      </c>
      <c r="AH1179" s="97" t="str">
        <f>IFERROR(__xludf.DUMMYFUNCTION("""COMPUTED_VALUE"""),"N/A")</f>
        <v>N/A</v>
      </c>
      <c r="AI1179" s="97" t="str">
        <f>IFERROR(__xludf.DUMMYFUNCTION("""COMPUTED_VALUE"""),"N/A")</f>
        <v>N/A</v>
      </c>
      <c r="AJ1179" s="97" t="str">
        <f>IFERROR(__xludf.DUMMYFUNCTION("""COMPUTED_VALUE"""),"Vidrio y Policarbonato (PC)")</f>
        <v>Vidrio y Policarbonato (PC)</v>
      </c>
      <c r="AK1179" s="97" t="str">
        <f>IFERROR(__xludf.DUMMYFUNCTION("""COMPUTED_VALUE"""),"Acero Inox y Aluminio")</f>
        <v>Acero Inox y Aluminio</v>
      </c>
      <c r="AL1179" s="97" t="str">
        <f>IFERROR(__xludf.DUMMYFUNCTION("""COMPUTED_VALUE"""),"Natural")</f>
        <v>Natural</v>
      </c>
      <c r="AM1179" s="97" t="str">
        <f>IFERROR(__xludf.DUMMYFUNCTION("""COMPUTED_VALUE"""),"-")</f>
        <v>-</v>
      </c>
      <c r="AN1179" s="97" t="str">
        <f>IFERROR(__xludf.DUMMYFUNCTION("""COMPUTED_VALUE"""),"25.000hs (L70)")</f>
        <v>25.000hs (L70)</v>
      </c>
      <c r="AO1179" s="97" t="str">
        <f>IFERROR(__xludf.DUMMYFUNCTION("""COMPUTED_VALUE"""),"2 Años")</f>
        <v>2 Años</v>
      </c>
      <c r="AP1179" s="97" t="str">
        <f>IFERROR(__xludf.DUMMYFUNCTION("""COMPUTED_VALUE"""),"Disponible")</f>
        <v>Disponible</v>
      </c>
      <c r="AQ1179" s="97" t="str">
        <f>IFERROR(__xludf.DUMMYFUNCTION("""COMPUTED_VALUE"""),"Disponible")</f>
        <v>Disponible</v>
      </c>
      <c r="AR1179" s="97" t="str">
        <f>IFERROR(__xludf.DUMMYFUNCTION("""COMPUTED_VALUE"""),"Disponible")</f>
        <v>Disponible</v>
      </c>
      <c r="AS1179" s="97" t="str">
        <f>IFERROR(__xludf.DUMMYFUNCTION("""COMPUTED_VALUE"""),"Disponible")</f>
        <v>Disponible</v>
      </c>
      <c r="AT1179" s="97" t="str">
        <f>IFERROR(__xludf.DUMMYFUNCTION("""COMPUTED_VALUE"""),"Disponible")</f>
        <v>Disponible</v>
      </c>
      <c r="AU1179" s="97" t="str">
        <f>IFERROR(__xludf.DUMMYFUNCTION("""COMPUTED_VALUE"""),"Disponible")</f>
        <v>Disponible</v>
      </c>
      <c r="AV1179" s="97" t="str">
        <f>IFERROR(__xludf.DUMMYFUNCTION("""COMPUTED_VALUE"""),"Aplique")</f>
        <v>Aplique</v>
      </c>
      <c r="AW1179" s="97" t="str">
        <f>IFERROR(__xludf.DUMMYFUNCTION("""COMPUTED_VALUE"""),"De Pared")</f>
        <v>De Pared</v>
      </c>
      <c r="AX1179" s="97" t="str">
        <f>IFERROR(__xludf.DUMMYFUNCTION("""COMPUTED_VALUE"""),"Interior")</f>
        <v>Interior</v>
      </c>
      <c r="AY1179" s="97" t="str">
        <f>IFERROR(__xludf.DUMMYFUNCTION("""COMPUTED_VALUE"""),"-")</f>
        <v>-</v>
      </c>
      <c r="AZ1179" s="97"/>
      <c r="BA1179" s="97">
        <f>IFERROR(__xludf.DUMMYFUNCTION("""COMPUTED_VALUE"""),20.0)</f>
        <v>20</v>
      </c>
      <c r="BB1179" s="97">
        <f>IFERROR(__xludf.DUMMYFUNCTION("""COMPUTED_VALUE"""),3.0)</f>
        <v>3</v>
      </c>
      <c r="BC1179" s="97" t="str">
        <f>IFERROR(__xludf.DUMMYFUNCTION("""COMPUTED_VALUE"""),"-")</f>
        <v>-</v>
      </c>
      <c r="BD1179" s="97" t="str">
        <f>IFERROR(__xludf.DUMMYFUNCTION("""COMPUTED_VALUE"""),"CATEN")</f>
        <v>CATEN</v>
      </c>
      <c r="BE1179" s="97" t="str">
        <f>IFERROR(__xludf.DUMMYFUNCTION("""COMPUTED_VALUE"""),"Finalizada")</f>
        <v>Finalizada</v>
      </c>
      <c r="BF1179" s="97">
        <f>IFERROR(__xludf.DUMMYFUNCTION("""COMPUTED_VALUE"""),7442.0)</f>
        <v>7442</v>
      </c>
      <c r="BG1179" s="97" t="str">
        <f>IFERROR(__xludf.DUMMYFUNCTION("""COMPUTED_VALUE"""),"En Salida")</f>
        <v>En Salida</v>
      </c>
    </row>
    <row r="1180">
      <c r="A1180" s="97">
        <f>IFERROR(__xludf.DUMMYFUNCTION("""COMPUTED_VALUE"""),7098.0)</f>
        <v>7098</v>
      </c>
      <c r="B1180" s="97" t="str">
        <f>IFERROR(__xludf.DUMMYFUNCTION("""COMPUTED_VALUE"""),"CATEN 60")</f>
        <v>CATEN 60</v>
      </c>
      <c r="C1180" s="97" t="str">
        <f>IFERROR(__xludf.DUMMYFUNCTION("""COMPUTED_VALUE"""),"APLIQUE CATEN 60 20W 3000K 1750LM CRI&gt;90 IP20 LEUK")</f>
        <v>APLIQUE CATEN 60 20W 3000K 1750LM CRI&gt;90 IP20 LEUK</v>
      </c>
      <c r="D1180" s="97">
        <f>IFERROR(__xludf.DUMMYFUNCTION("""COMPUTED_VALUE"""),7.798413226133E12)</f>
        <v>7798413226133</v>
      </c>
      <c r="E1180" s="97" t="str">
        <f>IFERROR(__xludf.DUMMYFUNCTION("""COMPUTED_VALUE"""),"F50")</f>
        <v>F50</v>
      </c>
      <c r="F1180" s="97" t="str">
        <f>IFERROR(__xludf.DUMMYFUNCTION("""COMPUTED_VALUE"""),"LED SMD2835")</f>
        <v>LED SMD2835</v>
      </c>
      <c r="G1180" s="97" t="str">
        <f>IFERROR(__xludf.DUMMYFUNCTION("""COMPUTED_VALUE"""),"-")</f>
        <v>-</v>
      </c>
      <c r="H1180" s="97" t="str">
        <f>IFERROR(__xludf.DUMMYFUNCTION("""COMPUTED_VALUE"""),"Eaglerise")</f>
        <v>Eaglerise</v>
      </c>
      <c r="I1180" s="97"/>
      <c r="J1180" s="97" t="str">
        <f>IFERROR(__xludf.DUMMYFUNCTION("""COMPUTED_VALUE"""),"Modelo: LS-21-500 SI1 E
In: 220-240Vac 0.3A 50/60Hz
Out: 30-42Vdc 500mA - 21W
Pf 0.55 Ta 45°C Tc 80°C")</f>
        <v>Modelo: LS-21-500 SI1 E
In: 220-240Vac 0.3A 50/60Hz
Out: 30-42Vdc 500mA - 21W
Pf 0.55 Ta 45°C Tc 80°C</v>
      </c>
      <c r="K1180" s="97" t="str">
        <f>IFERROR(__xludf.DUMMYFUNCTION("""COMPUTED_VALUE"""),"ON/OFF")</f>
        <v>ON/OFF</v>
      </c>
      <c r="L1180" s="97" t="str">
        <f>IFERROR(__xludf.DUMMYFUNCTION("""COMPUTED_VALUE"""),"200-240")</f>
        <v>200-240</v>
      </c>
      <c r="M1180" s="97" t="str">
        <f>IFERROR(__xludf.DUMMYFUNCTION("""COMPUTED_VALUE"""),"50/60")</f>
        <v>50/60</v>
      </c>
      <c r="N1180" s="97"/>
      <c r="O1180" s="97">
        <f>IFERROR(__xludf.DUMMYFUNCTION("""COMPUTED_VALUE"""),20.0)</f>
        <v>20</v>
      </c>
      <c r="P1180" s="97"/>
      <c r="Q1180" s="97">
        <f>IFERROR(__xludf.DUMMYFUNCTION("""COMPUTED_VALUE"""),0.55)</f>
        <v>0.55</v>
      </c>
      <c r="R1180" s="97" t="str">
        <f>IFERROR(__xludf.DUMMYFUNCTION("""COMPUTED_VALUE"""),"-")</f>
        <v>-</v>
      </c>
      <c r="S1180" s="97" t="str">
        <f>IFERROR(__xludf.DUMMYFUNCTION("""COMPUTED_VALUE"""),"-")</f>
        <v>-</v>
      </c>
      <c r="T1180" s="97">
        <f>IFERROR(__xludf.DUMMYFUNCTION("""COMPUTED_VALUE"""),1750.0)</f>
        <v>1750</v>
      </c>
      <c r="U1180" s="97">
        <f>IFERROR(__xludf.DUMMYFUNCTION("""COMPUTED_VALUE"""),87.5)</f>
        <v>87.5</v>
      </c>
      <c r="V1180" s="97">
        <f>IFERROR(__xludf.DUMMYFUNCTION("""COMPUTED_VALUE"""),150.0)</f>
        <v>150</v>
      </c>
      <c r="W1180" s="97" t="str">
        <f>IFERROR(__xludf.DUMMYFUNCTION("""COMPUTED_VALUE"""),"&lt; 20")</f>
        <v>&lt; 20</v>
      </c>
      <c r="X1180" s="97">
        <f>IFERROR(__xludf.DUMMYFUNCTION("""COMPUTED_VALUE"""),3000.0)</f>
        <v>3000</v>
      </c>
      <c r="Y1180" s="97" t="str">
        <f>IFERROR(__xludf.DUMMYFUNCTION("""COMPUTED_VALUE"""),"&gt;90")</f>
        <v>&gt;90</v>
      </c>
      <c r="Z1180" s="97"/>
      <c r="AA1180" s="97"/>
      <c r="AB1180" s="97" t="str">
        <f>IFERROR(__xludf.DUMMYFUNCTION("""COMPUTED_VALUE"""),"&lt; 2")</f>
        <v>&lt; 2</v>
      </c>
      <c r="AC1180" s="97"/>
      <c r="AD1180" s="97" t="str">
        <f>IFERROR(__xludf.DUMMYFUNCTION("""COMPUTED_VALUE"""),"IP20")</f>
        <v>IP20</v>
      </c>
      <c r="AE1180" s="97" t="str">
        <f>IFERROR(__xludf.DUMMYFUNCTION("""COMPUTED_VALUE"""),"Clase l")</f>
        <v>Clase l</v>
      </c>
      <c r="AF1180" s="97" t="str">
        <f>IFERROR(__xludf.DUMMYFUNCTION("""COMPUTED_VALUE"""),"Aplicar")</f>
        <v>Aplicar</v>
      </c>
      <c r="AG1180" s="97" t="str">
        <f>IFERROR(__xludf.DUMMYFUNCTION("""COMPUTED_VALUE"""),"165 x 115 x 610")</f>
        <v>165 x 115 x 610</v>
      </c>
      <c r="AH1180" s="97" t="str">
        <f>IFERROR(__xludf.DUMMYFUNCTION("""COMPUTED_VALUE"""),"N/A")</f>
        <v>N/A</v>
      </c>
      <c r="AI1180" s="97" t="str">
        <f>IFERROR(__xludf.DUMMYFUNCTION("""COMPUTED_VALUE"""),"N/A")</f>
        <v>N/A</v>
      </c>
      <c r="AJ1180" s="97" t="str">
        <f>IFERROR(__xludf.DUMMYFUNCTION("""COMPUTED_VALUE"""),"Vidrio y Policarbonato (PC)")</f>
        <v>Vidrio y Policarbonato (PC)</v>
      </c>
      <c r="AK1180" s="97" t="str">
        <f>IFERROR(__xludf.DUMMYFUNCTION("""COMPUTED_VALUE"""),"Acero Inox y Aluminio")</f>
        <v>Acero Inox y Aluminio</v>
      </c>
      <c r="AL1180" s="97" t="str">
        <f>IFERROR(__xludf.DUMMYFUNCTION("""COMPUTED_VALUE"""),"Natural")</f>
        <v>Natural</v>
      </c>
      <c r="AM1180" s="97" t="str">
        <f>IFERROR(__xludf.DUMMYFUNCTION("""COMPUTED_VALUE"""),"-")</f>
        <v>-</v>
      </c>
      <c r="AN1180" s="97" t="str">
        <f>IFERROR(__xludf.DUMMYFUNCTION("""COMPUTED_VALUE"""),"25.000hs (L70)")</f>
        <v>25.000hs (L70)</v>
      </c>
      <c r="AO1180" s="97" t="str">
        <f>IFERROR(__xludf.DUMMYFUNCTION("""COMPUTED_VALUE"""),"2 Años")</f>
        <v>2 Años</v>
      </c>
      <c r="AP1180" s="97" t="str">
        <f>IFERROR(__xludf.DUMMYFUNCTION("""COMPUTED_VALUE"""),"Disponible")</f>
        <v>Disponible</v>
      </c>
      <c r="AQ1180" s="97" t="str">
        <f>IFERROR(__xludf.DUMMYFUNCTION("""COMPUTED_VALUE"""),"Disponible")</f>
        <v>Disponible</v>
      </c>
      <c r="AR1180" s="97" t="str">
        <f>IFERROR(__xludf.DUMMYFUNCTION("""COMPUTED_VALUE"""),"Disponible")</f>
        <v>Disponible</v>
      </c>
      <c r="AS1180" s="97" t="str">
        <f>IFERROR(__xludf.DUMMYFUNCTION("""COMPUTED_VALUE"""),"Falta")</f>
        <v>Falta</v>
      </c>
      <c r="AT1180" s="97" t="str">
        <f>IFERROR(__xludf.DUMMYFUNCTION("""COMPUTED_VALUE"""),"Falta")</f>
        <v>Falta</v>
      </c>
      <c r="AU1180" s="97" t="str">
        <f>IFERROR(__xludf.DUMMYFUNCTION("""COMPUTED_VALUE"""),"Disponible")</f>
        <v>Disponible</v>
      </c>
      <c r="AV1180" s="97" t="str">
        <f>IFERROR(__xludf.DUMMYFUNCTION("""COMPUTED_VALUE"""),"Aplique")</f>
        <v>Aplique</v>
      </c>
      <c r="AW1180" s="97" t="str">
        <f>IFERROR(__xludf.DUMMYFUNCTION("""COMPUTED_VALUE"""),"De Pared")</f>
        <v>De Pared</v>
      </c>
      <c r="AX1180" s="97" t="str">
        <f>IFERROR(__xludf.DUMMYFUNCTION("""COMPUTED_VALUE"""),"Interior")</f>
        <v>Interior</v>
      </c>
      <c r="AY1180" s="97" t="str">
        <f>IFERROR(__xludf.DUMMYFUNCTION("""COMPUTED_VALUE"""),"-")</f>
        <v>-</v>
      </c>
      <c r="AZ1180" s="97"/>
      <c r="BA1180" s="97">
        <f>IFERROR(__xludf.DUMMYFUNCTION("""COMPUTED_VALUE"""),20.0)</f>
        <v>20</v>
      </c>
      <c r="BB1180" s="97">
        <f>IFERROR(__xludf.DUMMYFUNCTION("""COMPUTED_VALUE"""),4.9)</f>
        <v>4.9</v>
      </c>
      <c r="BC1180" s="97" t="str">
        <f>IFERROR(__xludf.DUMMYFUNCTION("""COMPUTED_VALUE"""),"-")</f>
        <v>-</v>
      </c>
      <c r="BD1180" s="97" t="str">
        <f>IFERROR(__xludf.DUMMYFUNCTION("""COMPUTED_VALUE"""),"CATEN")</f>
        <v>CATEN</v>
      </c>
      <c r="BE1180" s="97" t="str">
        <f>IFERROR(__xludf.DUMMYFUNCTION("""COMPUTED_VALUE"""),"Finalizada")</f>
        <v>Finalizada</v>
      </c>
      <c r="BF1180" s="97">
        <f>IFERROR(__xludf.DUMMYFUNCTION("""COMPUTED_VALUE"""),7444.0)</f>
        <v>7444</v>
      </c>
      <c r="BG1180" s="97" t="str">
        <f>IFERROR(__xludf.DUMMYFUNCTION("""COMPUTED_VALUE"""),"En Salida")</f>
        <v>En Salida</v>
      </c>
    </row>
    <row r="1181">
      <c r="A1181" s="97">
        <f>IFERROR(__xludf.DUMMYFUNCTION("""COMPUTED_VALUE"""),7099.0)</f>
        <v>7099</v>
      </c>
      <c r="B1181" s="97" t="str">
        <f>IFERROR(__xludf.DUMMYFUNCTION("""COMPUTED_VALUE"""),"WEST R NGNT")</f>
        <v>WEST R NGNT</v>
      </c>
      <c r="C1181" s="97" t="str">
        <f>IFERROR(__xludf.DUMMYFUNCTION("""COMPUTED_VALUE"""),"APLIQUE WEST R NGNT 10W 3000/4000/6000K 780LM CRI&gt;90 IP65/IK08 LEUK")</f>
        <v>APLIQUE WEST R NGNT 10W 3000/4000/6000K 780LM CRI&gt;90 IP65/IK08 LEUK</v>
      </c>
      <c r="D1181" s="97">
        <f>IFERROR(__xludf.DUMMYFUNCTION("""COMPUTED_VALUE"""),7.798413226706E12)</f>
        <v>7798413226706</v>
      </c>
      <c r="E1181" s="97" t="str">
        <f>IFERROR(__xludf.DUMMYFUNCTION("""COMPUTED_VALUE"""),"C46")</f>
        <v>C46</v>
      </c>
      <c r="F1181" s="97" t="str">
        <f>IFERROR(__xludf.DUMMYFUNCTION("""COMPUTED_VALUE"""),"LED integrado")</f>
        <v>LED integrado</v>
      </c>
      <c r="G1181" s="97" t="str">
        <f>IFERROR(__xludf.DUMMYFUNCTION("""COMPUTED_VALUE"""),"-")</f>
        <v>-</v>
      </c>
      <c r="H1181" s="97" t="str">
        <f>IFERROR(__xludf.DUMMYFUNCTION("""COMPUTED_VALUE"""),"-")</f>
        <v>-</v>
      </c>
      <c r="I1181" s="97"/>
      <c r="J1181" s="97"/>
      <c r="K1181" s="97" t="str">
        <f>IFERROR(__xludf.DUMMYFUNCTION("""COMPUTED_VALUE"""),"ON/OFF")</f>
        <v>ON/OFF</v>
      </c>
      <c r="L1181" s="97" t="str">
        <f>IFERROR(__xludf.DUMMYFUNCTION("""COMPUTED_VALUE"""),"220-240")</f>
        <v>220-240</v>
      </c>
      <c r="M1181" s="97" t="str">
        <f>IFERROR(__xludf.DUMMYFUNCTION("""COMPUTED_VALUE"""),"50/60")</f>
        <v>50/60</v>
      </c>
      <c r="N1181" s="97" t="str">
        <f>IFERROR(__xludf.DUMMYFUNCTION("""COMPUTED_VALUE"""),"Directa-Simétrica")</f>
        <v>Directa-Simétrica</v>
      </c>
      <c r="O1181" s="97">
        <f>IFERROR(__xludf.DUMMYFUNCTION("""COMPUTED_VALUE"""),10.0)</f>
        <v>10</v>
      </c>
      <c r="P1181" s="97"/>
      <c r="Q1181" s="97">
        <f>IFERROR(__xludf.DUMMYFUNCTION("""COMPUTED_VALUE"""),0.58)</f>
        <v>0.58</v>
      </c>
      <c r="R1181" s="97">
        <f>IFERROR(__xludf.DUMMYFUNCTION("""COMPUTED_VALUE"""),1000.0)</f>
        <v>1000</v>
      </c>
      <c r="S1181" s="97">
        <f>IFERROR(__xludf.DUMMYFUNCTION("""COMPUTED_VALUE"""),100.0)</f>
        <v>100</v>
      </c>
      <c r="T1181" s="97">
        <f>IFERROR(__xludf.DUMMYFUNCTION("""COMPUTED_VALUE"""),780.0)</f>
        <v>780</v>
      </c>
      <c r="U1181" s="97">
        <f>IFERROR(__xludf.DUMMYFUNCTION("""COMPUTED_VALUE"""),78.0)</f>
        <v>78</v>
      </c>
      <c r="V1181" s="97">
        <f>IFERROR(__xludf.DUMMYFUNCTION("""COMPUTED_VALUE"""),126.0)</f>
        <v>126</v>
      </c>
      <c r="W1181" s="97" t="str">
        <f>IFERROR(__xludf.DUMMYFUNCTION("""COMPUTED_VALUE"""),"&lt; 16")</f>
        <v>&lt; 16</v>
      </c>
      <c r="X1181" s="97" t="str">
        <f>IFERROR(__xludf.DUMMYFUNCTION("""COMPUTED_VALUE"""),"3000/4000/6000")</f>
        <v>3000/4000/6000</v>
      </c>
      <c r="Y1181" s="97" t="str">
        <f>IFERROR(__xludf.DUMMYFUNCTION("""COMPUTED_VALUE"""),"&gt;90")</f>
        <v>&gt;90</v>
      </c>
      <c r="Z1181" s="97"/>
      <c r="AA1181" s="97"/>
      <c r="AB1181" s="97" t="str">
        <f>IFERROR(__xludf.DUMMYFUNCTION("""COMPUTED_VALUE"""),"-")</f>
        <v>-</v>
      </c>
      <c r="AC1181" s="97"/>
      <c r="AD1181" s="97" t="str">
        <f>IFERROR(__xludf.DUMMYFUNCTION("""COMPUTED_VALUE"""),"IP65/IK08")</f>
        <v>IP65/IK08</v>
      </c>
      <c r="AE1181" s="97" t="str">
        <f>IFERROR(__xludf.DUMMYFUNCTION("""COMPUTED_VALUE"""),"Clase l")</f>
        <v>Clase l</v>
      </c>
      <c r="AF1181" s="97" t="str">
        <f>IFERROR(__xludf.DUMMYFUNCTION("""COMPUTED_VALUE"""),"Aplicar")</f>
        <v>Aplicar</v>
      </c>
      <c r="AG1181" s="97" t="str">
        <f>IFERROR(__xludf.DUMMYFUNCTION("""COMPUTED_VALUE"""),"Ø140 x 78")</f>
        <v>Ø140 x 78</v>
      </c>
      <c r="AH1181" s="97" t="str">
        <f>IFERROR(__xludf.DUMMYFUNCTION("""COMPUTED_VALUE"""),"N/A")</f>
        <v>N/A</v>
      </c>
      <c r="AI1181" s="97" t="str">
        <f>IFERROR(__xludf.DUMMYFUNCTION("""COMPUTED_VALUE"""),"N/A")</f>
        <v>N/A</v>
      </c>
      <c r="AJ1181" s="97" t="str">
        <f>IFERROR(__xludf.DUMMYFUNCTION("""COMPUTED_VALUE"""),"Policarbonato (PC)")</f>
        <v>Policarbonato (PC)</v>
      </c>
      <c r="AK1181" s="97" t="str">
        <f>IFERROR(__xludf.DUMMYFUNCTION("""COMPUTED_VALUE"""),"ABS")</f>
        <v>ABS</v>
      </c>
      <c r="AL1181" s="97" t="str">
        <f>IFERROR(__xludf.DUMMYFUNCTION("""COMPUTED_VALUE"""),"Negro Brillante")</f>
        <v>Negro Brillante</v>
      </c>
      <c r="AM1181" s="97" t="str">
        <f>IFERROR(__xludf.DUMMYFUNCTION("""COMPUTED_VALUE"""),"-")</f>
        <v>-</v>
      </c>
      <c r="AN1181" s="97" t="str">
        <f>IFERROR(__xludf.DUMMYFUNCTION("""COMPUTED_VALUE"""),"25.000hs (L70)")</f>
        <v>25.000hs (L70)</v>
      </c>
      <c r="AO1181" s="97" t="str">
        <f>IFERROR(__xludf.DUMMYFUNCTION("""COMPUTED_VALUE"""),"2 Años")</f>
        <v>2 Años</v>
      </c>
      <c r="AP1181" s="97" t="str">
        <f>IFERROR(__xludf.DUMMYFUNCTION("""COMPUTED_VALUE"""),"Disponible")</f>
        <v>Disponible</v>
      </c>
      <c r="AQ1181" s="97" t="str">
        <f>IFERROR(__xludf.DUMMYFUNCTION("""COMPUTED_VALUE"""),"Disponible")</f>
        <v>Disponible</v>
      </c>
      <c r="AR1181" s="97" t="str">
        <f>IFERROR(__xludf.DUMMYFUNCTION("""COMPUTED_VALUE"""),"Disponible")</f>
        <v>Disponible</v>
      </c>
      <c r="AS1181" s="97" t="str">
        <f>IFERROR(__xludf.DUMMYFUNCTION("""COMPUTED_VALUE"""),"Falta")</f>
        <v>Falta</v>
      </c>
      <c r="AT1181" s="97" t="str">
        <f>IFERROR(__xludf.DUMMYFUNCTION("""COMPUTED_VALUE"""),"Falta")</f>
        <v>Falta</v>
      </c>
      <c r="AU1181" s="97" t="str">
        <f>IFERROR(__xludf.DUMMYFUNCTION("""COMPUTED_VALUE"""),"Falta")</f>
        <v>Falta</v>
      </c>
      <c r="AV1181" s="97" t="str">
        <f>IFERROR(__xludf.DUMMYFUNCTION("""COMPUTED_VALUE"""),"Aplique")</f>
        <v>Aplique</v>
      </c>
      <c r="AW1181" s="97" t="str">
        <f>IFERROR(__xludf.DUMMYFUNCTION("""COMPUTED_VALUE"""),"De Pared")</f>
        <v>De Pared</v>
      </c>
      <c r="AX1181" s="97" t="str">
        <f>IFERROR(__xludf.DUMMYFUNCTION("""COMPUTED_VALUE"""),"Exterior")</f>
        <v>Exterior</v>
      </c>
      <c r="AY1181" s="97" t="str">
        <f>IFERROR(__xludf.DUMMYFUNCTION("""COMPUTED_VALUE"""),"-")</f>
        <v>-</v>
      </c>
      <c r="AZ1181" s="97" t="str">
        <f>IFERROR(__xludf.DUMMYFUNCTION("""COMPUTED_VALUE"""),"*ABS y PC resistentes a rayos UV para uso exterior.")</f>
        <v>*ABS y PC resistentes a rayos UV para uso exterior.</v>
      </c>
      <c r="BA1181" s="97">
        <f>IFERROR(__xludf.DUMMYFUNCTION("""COMPUTED_VALUE"""),30.0)</f>
        <v>30</v>
      </c>
      <c r="BB1181" s="97" t="str">
        <f>IFERROR(__xludf.DUMMYFUNCTION("""COMPUTED_VALUE"""),"-")</f>
        <v>-</v>
      </c>
      <c r="BC1181" s="97" t="str">
        <f>IFERROR(__xludf.DUMMYFUNCTION("""COMPUTED_VALUE"""),"-")</f>
        <v>-</v>
      </c>
      <c r="BD1181" s="97" t="str">
        <f>IFERROR(__xludf.DUMMYFUNCTION("""COMPUTED_VALUE"""),"WEST")</f>
        <v>WEST</v>
      </c>
      <c r="BE1181" s="97" t="str">
        <f>IFERROR(__xludf.DUMMYFUNCTION("""COMPUTED_VALUE"""),"Finalizada")</f>
        <v>Finalizada</v>
      </c>
      <c r="BF1181" s="97"/>
      <c r="BG1181" s="97" t="str">
        <f>IFERROR(__xludf.DUMMYFUNCTION("""COMPUTED_VALUE"""),"Activo")</f>
        <v>Activo</v>
      </c>
    </row>
    <row r="1182">
      <c r="A1182" s="97">
        <f>IFERROR(__xludf.DUMMYFUNCTION("""COMPUTED_VALUE"""),7100.0)</f>
        <v>7100</v>
      </c>
      <c r="B1182" s="97" t="str">
        <f>IFERROR(__xludf.DUMMYFUNCTION("""COMPUTED_VALUE"""),"WEST R VDNG")</f>
        <v>WEST R VDNG</v>
      </c>
      <c r="C1182" s="97" t="str">
        <f>IFERROR(__xludf.DUMMYFUNCTION("""COMPUTED_VALUE"""),"APLIQUE WEST R VDNG 10W 2500/3500/4500K 780LM CRI&gt;90 IP65/IK08 LEUK")</f>
        <v>APLIQUE WEST R VDNG 10W 2500/3500/4500K 780LM CRI&gt;90 IP65/IK08 LEUK</v>
      </c>
      <c r="D1182" s="97">
        <f>IFERROR(__xludf.DUMMYFUNCTION("""COMPUTED_VALUE"""),7.798413226713E12)</f>
        <v>7798413226713</v>
      </c>
      <c r="E1182" s="97" t="str">
        <f>IFERROR(__xludf.DUMMYFUNCTION("""COMPUTED_VALUE"""),"C46")</f>
        <v>C46</v>
      </c>
      <c r="F1182" s="97" t="str">
        <f>IFERROR(__xludf.DUMMYFUNCTION("""COMPUTED_VALUE"""),"LED integrado")</f>
        <v>LED integrado</v>
      </c>
      <c r="G1182" s="97" t="str">
        <f>IFERROR(__xludf.DUMMYFUNCTION("""COMPUTED_VALUE"""),"-")</f>
        <v>-</v>
      </c>
      <c r="H1182" s="97" t="str">
        <f>IFERROR(__xludf.DUMMYFUNCTION("""COMPUTED_VALUE"""),"-")</f>
        <v>-</v>
      </c>
      <c r="I1182" s="97"/>
      <c r="J1182" s="97"/>
      <c r="K1182" s="97" t="str">
        <f>IFERROR(__xludf.DUMMYFUNCTION("""COMPUTED_VALUE"""),"ON/OFF")</f>
        <v>ON/OFF</v>
      </c>
      <c r="L1182" s="97" t="str">
        <f>IFERROR(__xludf.DUMMYFUNCTION("""COMPUTED_VALUE"""),"220-240")</f>
        <v>220-240</v>
      </c>
      <c r="M1182" s="97" t="str">
        <f>IFERROR(__xludf.DUMMYFUNCTION("""COMPUTED_VALUE"""),"50/60")</f>
        <v>50/60</v>
      </c>
      <c r="N1182" s="97" t="str">
        <f>IFERROR(__xludf.DUMMYFUNCTION("""COMPUTED_VALUE"""),"Directa-Simétrica")</f>
        <v>Directa-Simétrica</v>
      </c>
      <c r="O1182" s="97">
        <f>IFERROR(__xludf.DUMMYFUNCTION("""COMPUTED_VALUE"""),10.0)</f>
        <v>10</v>
      </c>
      <c r="P1182" s="97"/>
      <c r="Q1182" s="97">
        <f>IFERROR(__xludf.DUMMYFUNCTION("""COMPUTED_VALUE"""),0.58)</f>
        <v>0.58</v>
      </c>
      <c r="R1182" s="97">
        <f>IFERROR(__xludf.DUMMYFUNCTION("""COMPUTED_VALUE"""),1000.0)</f>
        <v>1000</v>
      </c>
      <c r="S1182" s="97">
        <f>IFERROR(__xludf.DUMMYFUNCTION("""COMPUTED_VALUE"""),100.0)</f>
        <v>100</v>
      </c>
      <c r="T1182" s="97">
        <f>IFERROR(__xludf.DUMMYFUNCTION("""COMPUTED_VALUE"""),780.0)</f>
        <v>780</v>
      </c>
      <c r="U1182" s="97">
        <f>IFERROR(__xludf.DUMMYFUNCTION("""COMPUTED_VALUE"""),78.0)</f>
        <v>78</v>
      </c>
      <c r="V1182" s="97">
        <f>IFERROR(__xludf.DUMMYFUNCTION("""COMPUTED_VALUE"""),126.0)</f>
        <v>126</v>
      </c>
      <c r="W1182" s="97" t="str">
        <f>IFERROR(__xludf.DUMMYFUNCTION("""COMPUTED_VALUE"""),"&lt; 16")</f>
        <v>&lt; 16</v>
      </c>
      <c r="X1182" s="97" t="str">
        <f>IFERROR(__xludf.DUMMYFUNCTION("""COMPUTED_VALUE"""),"2500/3500/4500")</f>
        <v>2500/3500/4500</v>
      </c>
      <c r="Y1182" s="97" t="str">
        <f>IFERROR(__xludf.DUMMYFUNCTION("""COMPUTED_VALUE"""),"&gt;90")</f>
        <v>&gt;90</v>
      </c>
      <c r="Z1182" s="97"/>
      <c r="AA1182" s="97"/>
      <c r="AB1182" s="97" t="str">
        <f>IFERROR(__xludf.DUMMYFUNCTION("""COMPUTED_VALUE"""),"-")</f>
        <v>-</v>
      </c>
      <c r="AC1182" s="97"/>
      <c r="AD1182" s="97" t="str">
        <f>IFERROR(__xludf.DUMMYFUNCTION("""COMPUTED_VALUE"""),"IP65/IK08")</f>
        <v>IP65/IK08</v>
      </c>
      <c r="AE1182" s="97" t="str">
        <f>IFERROR(__xludf.DUMMYFUNCTION("""COMPUTED_VALUE"""),"Clase l")</f>
        <v>Clase l</v>
      </c>
      <c r="AF1182" s="97" t="str">
        <f>IFERROR(__xludf.DUMMYFUNCTION("""COMPUTED_VALUE"""),"Aplicar")</f>
        <v>Aplicar</v>
      </c>
      <c r="AG1182" s="97" t="str">
        <f>IFERROR(__xludf.DUMMYFUNCTION("""COMPUTED_VALUE"""),"Ø140 x 78")</f>
        <v>Ø140 x 78</v>
      </c>
      <c r="AH1182" s="97" t="str">
        <f>IFERROR(__xludf.DUMMYFUNCTION("""COMPUTED_VALUE"""),"N/A")</f>
        <v>N/A</v>
      </c>
      <c r="AI1182" s="97" t="str">
        <f>IFERROR(__xludf.DUMMYFUNCTION("""COMPUTED_VALUE"""),"N/A")</f>
        <v>N/A</v>
      </c>
      <c r="AJ1182" s="97" t="str">
        <f>IFERROR(__xludf.DUMMYFUNCTION("""COMPUTED_VALUE"""),"Policarbonato (PC)")</f>
        <v>Policarbonato (PC)</v>
      </c>
      <c r="AK1182" s="97" t="str">
        <f>IFERROR(__xludf.DUMMYFUNCTION("""COMPUTED_VALUE"""),"ABS")</f>
        <v>ABS</v>
      </c>
      <c r="AL1182" s="97" t="str">
        <f>IFERROR(__xludf.DUMMYFUNCTION("""COMPUTED_VALUE"""),"Negro Brillante")</f>
        <v>Negro Brillante</v>
      </c>
      <c r="AM1182" s="97" t="str">
        <f>IFERROR(__xludf.DUMMYFUNCTION("""COMPUTED_VALUE"""),"-")</f>
        <v>-</v>
      </c>
      <c r="AN1182" s="97" t="str">
        <f>IFERROR(__xludf.DUMMYFUNCTION("""COMPUTED_VALUE"""),"25.000hs (L70)")</f>
        <v>25.000hs (L70)</v>
      </c>
      <c r="AO1182" s="97" t="str">
        <f>IFERROR(__xludf.DUMMYFUNCTION("""COMPUTED_VALUE"""),"2 Años")</f>
        <v>2 Años</v>
      </c>
      <c r="AP1182" s="97" t="str">
        <f>IFERROR(__xludf.DUMMYFUNCTION("""COMPUTED_VALUE"""),"Disponible")</f>
        <v>Disponible</v>
      </c>
      <c r="AQ1182" s="97" t="str">
        <f>IFERROR(__xludf.DUMMYFUNCTION("""COMPUTED_VALUE"""),"Disponible")</f>
        <v>Disponible</v>
      </c>
      <c r="AR1182" s="97" t="str">
        <f>IFERROR(__xludf.DUMMYFUNCTION("""COMPUTED_VALUE"""),"Disponible")</f>
        <v>Disponible</v>
      </c>
      <c r="AS1182" s="97" t="str">
        <f>IFERROR(__xludf.DUMMYFUNCTION("""COMPUTED_VALUE"""),"Falta")</f>
        <v>Falta</v>
      </c>
      <c r="AT1182" s="97" t="str">
        <f>IFERROR(__xludf.DUMMYFUNCTION("""COMPUTED_VALUE"""),"Falta")</f>
        <v>Falta</v>
      </c>
      <c r="AU1182" s="97" t="str">
        <f>IFERROR(__xludf.DUMMYFUNCTION("""COMPUTED_VALUE"""),"Falta")</f>
        <v>Falta</v>
      </c>
      <c r="AV1182" s="97" t="str">
        <f>IFERROR(__xludf.DUMMYFUNCTION("""COMPUTED_VALUE"""),"Aplique")</f>
        <v>Aplique</v>
      </c>
      <c r="AW1182" s="97" t="str">
        <f>IFERROR(__xludf.DUMMYFUNCTION("""COMPUTED_VALUE"""),"De Pared")</f>
        <v>De Pared</v>
      </c>
      <c r="AX1182" s="97" t="str">
        <f>IFERROR(__xludf.DUMMYFUNCTION("""COMPUTED_VALUE"""),"Exterior")</f>
        <v>Exterior</v>
      </c>
      <c r="AY1182" s="97" t="str">
        <f>IFERROR(__xludf.DUMMYFUNCTION("""COMPUTED_VALUE"""),"-")</f>
        <v>-</v>
      </c>
      <c r="AZ1182" s="97" t="str">
        <f>IFERROR(__xludf.DUMMYFUNCTION("""COMPUTED_VALUE"""),"*ABS y PC resistentes a rayos UV para uso exterior.")</f>
        <v>*ABS y PC resistentes a rayos UV para uso exterior.</v>
      </c>
      <c r="BA1182" s="97">
        <f>IFERROR(__xludf.DUMMYFUNCTION("""COMPUTED_VALUE"""),30.0)</f>
        <v>30</v>
      </c>
      <c r="BB1182" s="97" t="str">
        <f>IFERROR(__xludf.DUMMYFUNCTION("""COMPUTED_VALUE"""),"-")</f>
        <v>-</v>
      </c>
      <c r="BC1182" s="97" t="str">
        <f>IFERROR(__xludf.DUMMYFUNCTION("""COMPUTED_VALUE"""),"-")</f>
        <v>-</v>
      </c>
      <c r="BD1182" s="97" t="str">
        <f>IFERROR(__xludf.DUMMYFUNCTION("""COMPUTED_VALUE"""),"WEST")</f>
        <v>WEST</v>
      </c>
      <c r="BE1182" s="97" t="str">
        <f>IFERROR(__xludf.DUMMYFUNCTION("""COMPUTED_VALUE"""),"Finalizada")</f>
        <v>Finalizada</v>
      </c>
      <c r="BF1182" s="97"/>
      <c r="BG1182" s="97" t="str">
        <f>IFERROR(__xludf.DUMMYFUNCTION("""COMPUTED_VALUE"""),"Activo")</f>
        <v>Activo</v>
      </c>
    </row>
    <row r="1183">
      <c r="A1183" s="97">
        <f>IFERROR(__xludf.DUMMYFUNCTION("""COMPUTED_VALUE"""),7101.0)</f>
        <v>7101</v>
      </c>
      <c r="B1183" s="97" t="str">
        <f>IFERROR(__xludf.DUMMYFUNCTION("""COMPUTED_VALUE"""),"WEST R BLNT")</f>
        <v>WEST R BLNT</v>
      </c>
      <c r="C1183" s="97" t="str">
        <f>IFERROR(__xludf.DUMMYFUNCTION("""COMPUTED_VALUE"""),"APLIQUE WEST R BLNT 10W 3000/4000/6000K 780LM CRI&gt;90 IP65/IK08 LEUK")</f>
        <v>APLIQUE WEST R BLNT 10W 3000/4000/6000K 780LM CRI&gt;90 IP65/IK08 LEUK</v>
      </c>
      <c r="D1183" s="97">
        <f>IFERROR(__xludf.DUMMYFUNCTION("""COMPUTED_VALUE"""),7.79841322672E12)</f>
        <v>7798413226720</v>
      </c>
      <c r="E1183" s="97" t="str">
        <f>IFERROR(__xludf.DUMMYFUNCTION("""COMPUTED_VALUE"""),"C46")</f>
        <v>C46</v>
      </c>
      <c r="F1183" s="97" t="str">
        <f>IFERROR(__xludf.DUMMYFUNCTION("""COMPUTED_VALUE"""),"LED integrado")</f>
        <v>LED integrado</v>
      </c>
      <c r="G1183" s="97" t="str">
        <f>IFERROR(__xludf.DUMMYFUNCTION("""COMPUTED_VALUE"""),"-")</f>
        <v>-</v>
      </c>
      <c r="H1183" s="97" t="str">
        <f>IFERROR(__xludf.DUMMYFUNCTION("""COMPUTED_VALUE"""),"-")</f>
        <v>-</v>
      </c>
      <c r="I1183" s="97"/>
      <c r="J1183" s="97"/>
      <c r="K1183" s="97" t="str">
        <f>IFERROR(__xludf.DUMMYFUNCTION("""COMPUTED_VALUE"""),"ON/OFF")</f>
        <v>ON/OFF</v>
      </c>
      <c r="L1183" s="97" t="str">
        <f>IFERROR(__xludf.DUMMYFUNCTION("""COMPUTED_VALUE"""),"220-240")</f>
        <v>220-240</v>
      </c>
      <c r="M1183" s="97" t="str">
        <f>IFERROR(__xludf.DUMMYFUNCTION("""COMPUTED_VALUE"""),"50/60")</f>
        <v>50/60</v>
      </c>
      <c r="N1183" s="97" t="str">
        <f>IFERROR(__xludf.DUMMYFUNCTION("""COMPUTED_VALUE"""),"Directa-Simétrica")</f>
        <v>Directa-Simétrica</v>
      </c>
      <c r="O1183" s="97">
        <f>IFERROR(__xludf.DUMMYFUNCTION("""COMPUTED_VALUE"""),10.0)</f>
        <v>10</v>
      </c>
      <c r="P1183" s="97"/>
      <c r="Q1183" s="97">
        <f>IFERROR(__xludf.DUMMYFUNCTION("""COMPUTED_VALUE"""),0.58)</f>
        <v>0.58</v>
      </c>
      <c r="R1183" s="97">
        <f>IFERROR(__xludf.DUMMYFUNCTION("""COMPUTED_VALUE"""),1000.0)</f>
        <v>1000</v>
      </c>
      <c r="S1183" s="97">
        <f>IFERROR(__xludf.DUMMYFUNCTION("""COMPUTED_VALUE"""),100.0)</f>
        <v>100</v>
      </c>
      <c r="T1183" s="97">
        <f>IFERROR(__xludf.DUMMYFUNCTION("""COMPUTED_VALUE"""),780.0)</f>
        <v>780</v>
      </c>
      <c r="U1183" s="97">
        <f>IFERROR(__xludf.DUMMYFUNCTION("""COMPUTED_VALUE"""),78.0)</f>
        <v>78</v>
      </c>
      <c r="V1183" s="97">
        <f>IFERROR(__xludf.DUMMYFUNCTION("""COMPUTED_VALUE"""),126.0)</f>
        <v>126</v>
      </c>
      <c r="W1183" s="97" t="str">
        <f>IFERROR(__xludf.DUMMYFUNCTION("""COMPUTED_VALUE"""),"&lt; 16")</f>
        <v>&lt; 16</v>
      </c>
      <c r="X1183" s="97" t="str">
        <f>IFERROR(__xludf.DUMMYFUNCTION("""COMPUTED_VALUE"""),"3000/4000/6000")</f>
        <v>3000/4000/6000</v>
      </c>
      <c r="Y1183" s="97" t="str">
        <f>IFERROR(__xludf.DUMMYFUNCTION("""COMPUTED_VALUE"""),"&gt;90")</f>
        <v>&gt;90</v>
      </c>
      <c r="Z1183" s="97"/>
      <c r="AA1183" s="97"/>
      <c r="AB1183" s="97" t="str">
        <f>IFERROR(__xludf.DUMMYFUNCTION("""COMPUTED_VALUE"""),"-")</f>
        <v>-</v>
      </c>
      <c r="AC1183" s="97"/>
      <c r="AD1183" s="97" t="str">
        <f>IFERROR(__xludf.DUMMYFUNCTION("""COMPUTED_VALUE"""),"IP65/IK08")</f>
        <v>IP65/IK08</v>
      </c>
      <c r="AE1183" s="97" t="str">
        <f>IFERROR(__xludf.DUMMYFUNCTION("""COMPUTED_VALUE"""),"Clase l")</f>
        <v>Clase l</v>
      </c>
      <c r="AF1183" s="97" t="str">
        <f>IFERROR(__xludf.DUMMYFUNCTION("""COMPUTED_VALUE"""),"Aplicar")</f>
        <v>Aplicar</v>
      </c>
      <c r="AG1183" s="97" t="str">
        <f>IFERROR(__xludf.DUMMYFUNCTION("""COMPUTED_VALUE"""),"Ø140 x 78")</f>
        <v>Ø140 x 78</v>
      </c>
      <c r="AH1183" s="97" t="str">
        <f>IFERROR(__xludf.DUMMYFUNCTION("""COMPUTED_VALUE"""),"N/A")</f>
        <v>N/A</v>
      </c>
      <c r="AI1183" s="97" t="str">
        <f>IFERROR(__xludf.DUMMYFUNCTION("""COMPUTED_VALUE"""),"N/A")</f>
        <v>N/A</v>
      </c>
      <c r="AJ1183" s="97" t="str">
        <f>IFERROR(__xludf.DUMMYFUNCTION("""COMPUTED_VALUE"""),"Policarbonato (PC)")</f>
        <v>Policarbonato (PC)</v>
      </c>
      <c r="AK1183" s="97" t="str">
        <f>IFERROR(__xludf.DUMMYFUNCTION("""COMPUTED_VALUE"""),"ABS")</f>
        <v>ABS</v>
      </c>
      <c r="AL1183" s="97" t="str">
        <f>IFERROR(__xludf.DUMMYFUNCTION("""COMPUTED_VALUE"""),"Blanco Brillante")</f>
        <v>Blanco Brillante</v>
      </c>
      <c r="AM1183" s="97" t="str">
        <f>IFERROR(__xludf.DUMMYFUNCTION("""COMPUTED_VALUE"""),"-")</f>
        <v>-</v>
      </c>
      <c r="AN1183" s="97" t="str">
        <f>IFERROR(__xludf.DUMMYFUNCTION("""COMPUTED_VALUE"""),"25.000hs (L70)")</f>
        <v>25.000hs (L70)</v>
      </c>
      <c r="AO1183" s="97" t="str">
        <f>IFERROR(__xludf.DUMMYFUNCTION("""COMPUTED_VALUE"""),"2 Años")</f>
        <v>2 Años</v>
      </c>
      <c r="AP1183" s="97" t="str">
        <f>IFERROR(__xludf.DUMMYFUNCTION("""COMPUTED_VALUE"""),"Disponible")</f>
        <v>Disponible</v>
      </c>
      <c r="AQ1183" s="97" t="str">
        <f>IFERROR(__xludf.DUMMYFUNCTION("""COMPUTED_VALUE"""),"Disponible")</f>
        <v>Disponible</v>
      </c>
      <c r="AR1183" s="97" t="str">
        <f>IFERROR(__xludf.DUMMYFUNCTION("""COMPUTED_VALUE"""),"Disponible")</f>
        <v>Disponible</v>
      </c>
      <c r="AS1183" s="97" t="str">
        <f>IFERROR(__xludf.DUMMYFUNCTION("""COMPUTED_VALUE"""),"Falta")</f>
        <v>Falta</v>
      </c>
      <c r="AT1183" s="97" t="str">
        <f>IFERROR(__xludf.DUMMYFUNCTION("""COMPUTED_VALUE"""),"Falta")</f>
        <v>Falta</v>
      </c>
      <c r="AU1183" s="97" t="str">
        <f>IFERROR(__xludf.DUMMYFUNCTION("""COMPUTED_VALUE"""),"Falta")</f>
        <v>Falta</v>
      </c>
      <c r="AV1183" s="97" t="str">
        <f>IFERROR(__xludf.DUMMYFUNCTION("""COMPUTED_VALUE"""),"Aplique")</f>
        <v>Aplique</v>
      </c>
      <c r="AW1183" s="97" t="str">
        <f>IFERROR(__xludf.DUMMYFUNCTION("""COMPUTED_VALUE"""),"De Pared")</f>
        <v>De Pared</v>
      </c>
      <c r="AX1183" s="97" t="str">
        <f>IFERROR(__xludf.DUMMYFUNCTION("""COMPUTED_VALUE"""),"Exterior")</f>
        <v>Exterior</v>
      </c>
      <c r="AY1183" s="97" t="str">
        <f>IFERROR(__xludf.DUMMYFUNCTION("""COMPUTED_VALUE"""),"-")</f>
        <v>-</v>
      </c>
      <c r="AZ1183" s="97" t="str">
        <f>IFERROR(__xludf.DUMMYFUNCTION("""COMPUTED_VALUE"""),"*ABS y PC resistentes a rayos UV para uso exterior.")</f>
        <v>*ABS y PC resistentes a rayos UV para uso exterior.</v>
      </c>
      <c r="BA1183" s="97">
        <f>IFERROR(__xludf.DUMMYFUNCTION("""COMPUTED_VALUE"""),30.0)</f>
        <v>30</v>
      </c>
      <c r="BB1183" s="97" t="str">
        <f>IFERROR(__xludf.DUMMYFUNCTION("""COMPUTED_VALUE"""),"-")</f>
        <v>-</v>
      </c>
      <c r="BC1183" s="97" t="str">
        <f>IFERROR(__xludf.DUMMYFUNCTION("""COMPUTED_VALUE"""),"-")</f>
        <v>-</v>
      </c>
      <c r="BD1183" s="97" t="str">
        <f>IFERROR(__xludf.DUMMYFUNCTION("""COMPUTED_VALUE"""),"WEST")</f>
        <v>WEST</v>
      </c>
      <c r="BE1183" s="97" t="str">
        <f>IFERROR(__xludf.DUMMYFUNCTION("""COMPUTED_VALUE"""),"Finalizada")</f>
        <v>Finalizada</v>
      </c>
      <c r="BF1183" s="97"/>
      <c r="BG1183" s="97" t="str">
        <f>IFERROR(__xludf.DUMMYFUNCTION("""COMPUTED_VALUE"""),"Activo")</f>
        <v>Activo</v>
      </c>
    </row>
    <row r="1184">
      <c r="A1184" s="97">
        <f>IFERROR(__xludf.DUMMYFUNCTION("""COMPUTED_VALUE"""),7102.0)</f>
        <v>7102</v>
      </c>
      <c r="B1184" s="97" t="str">
        <f>IFERROR(__xludf.DUMMYFUNCTION("""COMPUTED_VALUE"""),"WEST NGNT")</f>
        <v>WEST NGNT</v>
      </c>
      <c r="C1184" s="97" t="str">
        <f>IFERROR(__xludf.DUMMYFUNCTION("""COMPUTED_VALUE"""),"APLIQUE WEST NGNT 10W 3000/4000/6000K 780LM CRI&gt;90 IP65/IK08 LEUK")</f>
        <v>APLIQUE WEST NGNT 10W 3000/4000/6000K 780LM CRI&gt;90 IP65/IK08 LEUK</v>
      </c>
      <c r="D1184" s="97">
        <f>IFERROR(__xludf.DUMMYFUNCTION("""COMPUTED_VALUE"""),7.798413226171E12)</f>
        <v>7798413226171</v>
      </c>
      <c r="E1184" s="97" t="str">
        <f>IFERROR(__xludf.DUMMYFUNCTION("""COMPUTED_VALUE"""),"C45")</f>
        <v>C45</v>
      </c>
      <c r="F1184" s="97" t="str">
        <f>IFERROR(__xludf.DUMMYFUNCTION("""COMPUTED_VALUE"""),"LED integrado")</f>
        <v>LED integrado</v>
      </c>
      <c r="G1184" s="97" t="str">
        <f>IFERROR(__xludf.DUMMYFUNCTION("""COMPUTED_VALUE"""),"-")</f>
        <v>-</v>
      </c>
      <c r="H1184" s="97" t="str">
        <f>IFERROR(__xludf.DUMMYFUNCTION("""COMPUTED_VALUE"""),"-")</f>
        <v>-</v>
      </c>
      <c r="I1184" s="97"/>
      <c r="J1184" s="97"/>
      <c r="K1184" s="97" t="str">
        <f>IFERROR(__xludf.DUMMYFUNCTION("""COMPUTED_VALUE"""),"ON/OFF")</f>
        <v>ON/OFF</v>
      </c>
      <c r="L1184" s="97" t="str">
        <f>IFERROR(__xludf.DUMMYFUNCTION("""COMPUTED_VALUE"""),"220-240")</f>
        <v>220-240</v>
      </c>
      <c r="M1184" s="97" t="str">
        <f>IFERROR(__xludf.DUMMYFUNCTION("""COMPUTED_VALUE"""),"50/60")</f>
        <v>50/60</v>
      </c>
      <c r="N1184" s="97" t="str">
        <f>IFERROR(__xludf.DUMMYFUNCTION("""COMPUTED_VALUE"""),"Directa-Simétrica")</f>
        <v>Directa-Simétrica</v>
      </c>
      <c r="O1184" s="97">
        <f>IFERROR(__xludf.DUMMYFUNCTION("""COMPUTED_VALUE"""),10.0)</f>
        <v>10</v>
      </c>
      <c r="P1184" s="97"/>
      <c r="Q1184" s="97">
        <f>IFERROR(__xludf.DUMMYFUNCTION("""COMPUTED_VALUE"""),0.58)</f>
        <v>0.58</v>
      </c>
      <c r="R1184" s="97">
        <f>IFERROR(__xludf.DUMMYFUNCTION("""COMPUTED_VALUE"""),1000.0)</f>
        <v>1000</v>
      </c>
      <c r="S1184" s="97">
        <f>IFERROR(__xludf.DUMMYFUNCTION("""COMPUTED_VALUE"""),100.0)</f>
        <v>100</v>
      </c>
      <c r="T1184" s="97">
        <f>IFERROR(__xludf.DUMMYFUNCTION("""COMPUTED_VALUE"""),780.0)</f>
        <v>780</v>
      </c>
      <c r="U1184" s="97">
        <f>IFERROR(__xludf.DUMMYFUNCTION("""COMPUTED_VALUE"""),78.0)</f>
        <v>78</v>
      </c>
      <c r="V1184" s="97">
        <f>IFERROR(__xludf.DUMMYFUNCTION("""COMPUTED_VALUE"""),122.0)</f>
        <v>122</v>
      </c>
      <c r="W1184" s="97" t="str">
        <f>IFERROR(__xludf.DUMMYFUNCTION("""COMPUTED_VALUE"""),"&lt; 16")</f>
        <v>&lt; 16</v>
      </c>
      <c r="X1184" s="97" t="str">
        <f>IFERROR(__xludf.DUMMYFUNCTION("""COMPUTED_VALUE"""),"3000/4000/6000")</f>
        <v>3000/4000/6000</v>
      </c>
      <c r="Y1184" s="97" t="str">
        <f>IFERROR(__xludf.DUMMYFUNCTION("""COMPUTED_VALUE"""),"&gt;90")</f>
        <v>&gt;90</v>
      </c>
      <c r="Z1184" s="97"/>
      <c r="AA1184" s="97"/>
      <c r="AB1184" s="97" t="str">
        <f>IFERROR(__xludf.DUMMYFUNCTION("""COMPUTED_VALUE"""),"-")</f>
        <v>-</v>
      </c>
      <c r="AC1184" s="97"/>
      <c r="AD1184" s="97" t="str">
        <f>IFERROR(__xludf.DUMMYFUNCTION("""COMPUTED_VALUE"""),"IP65/IK08")</f>
        <v>IP65/IK08</v>
      </c>
      <c r="AE1184" s="97" t="str">
        <f>IFERROR(__xludf.DUMMYFUNCTION("""COMPUTED_VALUE"""),"Clase l")</f>
        <v>Clase l</v>
      </c>
      <c r="AF1184" s="97" t="str">
        <f>IFERROR(__xludf.DUMMYFUNCTION("""COMPUTED_VALUE"""),"Aplicar")</f>
        <v>Aplicar</v>
      </c>
      <c r="AG1184" s="97" t="str">
        <f>IFERROR(__xludf.DUMMYFUNCTION("""COMPUTED_VALUE"""),"130 x 130 x 78")</f>
        <v>130 x 130 x 78</v>
      </c>
      <c r="AH1184" s="97" t="str">
        <f>IFERROR(__xludf.DUMMYFUNCTION("""COMPUTED_VALUE"""),"N/A")</f>
        <v>N/A</v>
      </c>
      <c r="AI1184" s="97" t="str">
        <f>IFERROR(__xludf.DUMMYFUNCTION("""COMPUTED_VALUE"""),"N/A")</f>
        <v>N/A</v>
      </c>
      <c r="AJ1184" s="97" t="str">
        <f>IFERROR(__xludf.DUMMYFUNCTION("""COMPUTED_VALUE"""),"Policarbonato (PC)")</f>
        <v>Policarbonato (PC)</v>
      </c>
      <c r="AK1184" s="97" t="str">
        <f>IFERROR(__xludf.DUMMYFUNCTION("""COMPUTED_VALUE"""),"ABS")</f>
        <v>ABS</v>
      </c>
      <c r="AL1184" s="97" t="str">
        <f>IFERROR(__xludf.DUMMYFUNCTION("""COMPUTED_VALUE"""),"Negro Brillante")</f>
        <v>Negro Brillante</v>
      </c>
      <c r="AM1184" s="97" t="str">
        <f>IFERROR(__xludf.DUMMYFUNCTION("""COMPUTED_VALUE"""),"-")</f>
        <v>-</v>
      </c>
      <c r="AN1184" s="97" t="str">
        <f>IFERROR(__xludf.DUMMYFUNCTION("""COMPUTED_VALUE"""),"25.000hs (L70)")</f>
        <v>25.000hs (L70)</v>
      </c>
      <c r="AO1184" s="97" t="str">
        <f>IFERROR(__xludf.DUMMYFUNCTION("""COMPUTED_VALUE"""),"2 Años")</f>
        <v>2 Años</v>
      </c>
      <c r="AP1184" s="97" t="str">
        <f>IFERROR(__xludf.DUMMYFUNCTION("""COMPUTED_VALUE"""),"Disponible")</f>
        <v>Disponible</v>
      </c>
      <c r="AQ1184" s="97" t="str">
        <f>IFERROR(__xludf.DUMMYFUNCTION("""COMPUTED_VALUE"""),"Disponible")</f>
        <v>Disponible</v>
      </c>
      <c r="AR1184" s="97" t="str">
        <f>IFERROR(__xludf.DUMMYFUNCTION("""COMPUTED_VALUE"""),"Disponible")</f>
        <v>Disponible</v>
      </c>
      <c r="AS1184" s="97" t="str">
        <f>IFERROR(__xludf.DUMMYFUNCTION("""COMPUTED_VALUE"""),"Falta")</f>
        <v>Falta</v>
      </c>
      <c r="AT1184" s="97" t="str">
        <f>IFERROR(__xludf.DUMMYFUNCTION("""COMPUTED_VALUE"""),"Falta")</f>
        <v>Falta</v>
      </c>
      <c r="AU1184" s="97" t="str">
        <f>IFERROR(__xludf.DUMMYFUNCTION("""COMPUTED_VALUE"""),"Falta")</f>
        <v>Falta</v>
      </c>
      <c r="AV1184" s="97" t="str">
        <f>IFERROR(__xludf.DUMMYFUNCTION("""COMPUTED_VALUE"""),"Aplique")</f>
        <v>Aplique</v>
      </c>
      <c r="AW1184" s="97" t="str">
        <f>IFERROR(__xludf.DUMMYFUNCTION("""COMPUTED_VALUE"""),"De Pared")</f>
        <v>De Pared</v>
      </c>
      <c r="AX1184" s="97" t="str">
        <f>IFERROR(__xludf.DUMMYFUNCTION("""COMPUTED_VALUE"""),"Exterior")</f>
        <v>Exterior</v>
      </c>
      <c r="AY1184" s="97" t="str">
        <f>IFERROR(__xludf.DUMMYFUNCTION("""COMPUTED_VALUE"""),"-")</f>
        <v>-</v>
      </c>
      <c r="AZ1184" s="97" t="str">
        <f>IFERROR(__xludf.DUMMYFUNCTION("""COMPUTED_VALUE"""),"*ABS y PC resistentes a rayos UV para uso exterior.")</f>
        <v>*ABS y PC resistentes a rayos UV para uso exterior.</v>
      </c>
      <c r="BA1184" s="97">
        <f>IFERROR(__xludf.DUMMYFUNCTION("""COMPUTED_VALUE"""),30.0)</f>
        <v>30</v>
      </c>
      <c r="BB1184" s="97" t="str">
        <f>IFERROR(__xludf.DUMMYFUNCTION("""COMPUTED_VALUE"""),"-")</f>
        <v>-</v>
      </c>
      <c r="BC1184" s="97" t="str">
        <f>IFERROR(__xludf.DUMMYFUNCTION("""COMPUTED_VALUE"""),"-")</f>
        <v>-</v>
      </c>
      <c r="BD1184" s="97" t="str">
        <f>IFERROR(__xludf.DUMMYFUNCTION("""COMPUTED_VALUE"""),"WEST")</f>
        <v>WEST</v>
      </c>
      <c r="BE1184" s="97" t="str">
        <f>IFERROR(__xludf.DUMMYFUNCTION("""COMPUTED_VALUE"""),"Finalizada")</f>
        <v>Finalizada</v>
      </c>
      <c r="BF1184" s="97"/>
      <c r="BG1184" s="97" t="str">
        <f>IFERROR(__xludf.DUMMYFUNCTION("""COMPUTED_VALUE"""),"Activo")</f>
        <v>Activo</v>
      </c>
    </row>
    <row r="1185">
      <c r="A1185" s="97">
        <f>IFERROR(__xludf.DUMMYFUNCTION("""COMPUTED_VALUE"""),7103.0)</f>
        <v>7103</v>
      </c>
      <c r="B1185" s="97" t="str">
        <f>IFERROR(__xludf.DUMMYFUNCTION("""COMPUTED_VALUE"""),"WEST VDNG")</f>
        <v>WEST VDNG</v>
      </c>
      <c r="C1185" s="97" t="str">
        <f>IFERROR(__xludf.DUMMYFUNCTION("""COMPUTED_VALUE"""),"APLIQUE WEST VDNG 10W 2500/3500/4500K 780LM CRI&gt;90 IP65/IK08 LEUK")</f>
        <v>APLIQUE WEST VDNG 10W 2500/3500/4500K 780LM CRI&gt;90 IP65/IK08 LEUK</v>
      </c>
      <c r="D1185" s="97">
        <f>IFERROR(__xludf.DUMMYFUNCTION("""COMPUTED_VALUE"""),7.798413226188E12)</f>
        <v>7798413226188</v>
      </c>
      <c r="E1185" s="97" t="str">
        <f>IFERROR(__xludf.DUMMYFUNCTION("""COMPUTED_VALUE"""),"C45")</f>
        <v>C45</v>
      </c>
      <c r="F1185" s="97" t="str">
        <f>IFERROR(__xludf.DUMMYFUNCTION("""COMPUTED_VALUE"""),"LED integrado")</f>
        <v>LED integrado</v>
      </c>
      <c r="G1185" s="97" t="str">
        <f>IFERROR(__xludf.DUMMYFUNCTION("""COMPUTED_VALUE"""),"-")</f>
        <v>-</v>
      </c>
      <c r="H1185" s="97" t="str">
        <f>IFERROR(__xludf.DUMMYFUNCTION("""COMPUTED_VALUE"""),"-")</f>
        <v>-</v>
      </c>
      <c r="I1185" s="97"/>
      <c r="J1185" s="97"/>
      <c r="K1185" s="97" t="str">
        <f>IFERROR(__xludf.DUMMYFUNCTION("""COMPUTED_VALUE"""),"ON/OFF")</f>
        <v>ON/OFF</v>
      </c>
      <c r="L1185" s="97" t="str">
        <f>IFERROR(__xludf.DUMMYFUNCTION("""COMPUTED_VALUE"""),"220-240")</f>
        <v>220-240</v>
      </c>
      <c r="M1185" s="97" t="str">
        <f>IFERROR(__xludf.DUMMYFUNCTION("""COMPUTED_VALUE"""),"50/60")</f>
        <v>50/60</v>
      </c>
      <c r="N1185" s="97" t="str">
        <f>IFERROR(__xludf.DUMMYFUNCTION("""COMPUTED_VALUE"""),"Directa-Simétrica")</f>
        <v>Directa-Simétrica</v>
      </c>
      <c r="O1185" s="97">
        <f>IFERROR(__xludf.DUMMYFUNCTION("""COMPUTED_VALUE"""),10.0)</f>
        <v>10</v>
      </c>
      <c r="P1185" s="97"/>
      <c r="Q1185" s="97">
        <f>IFERROR(__xludf.DUMMYFUNCTION("""COMPUTED_VALUE"""),0.58)</f>
        <v>0.58</v>
      </c>
      <c r="R1185" s="97">
        <f>IFERROR(__xludf.DUMMYFUNCTION("""COMPUTED_VALUE"""),1000.0)</f>
        <v>1000</v>
      </c>
      <c r="S1185" s="97">
        <f>IFERROR(__xludf.DUMMYFUNCTION("""COMPUTED_VALUE"""),100.0)</f>
        <v>100</v>
      </c>
      <c r="T1185" s="97">
        <f>IFERROR(__xludf.DUMMYFUNCTION("""COMPUTED_VALUE"""),780.0)</f>
        <v>780</v>
      </c>
      <c r="U1185" s="97">
        <f>IFERROR(__xludf.DUMMYFUNCTION("""COMPUTED_VALUE"""),78.0)</f>
        <v>78</v>
      </c>
      <c r="V1185" s="97">
        <f>IFERROR(__xludf.DUMMYFUNCTION("""COMPUTED_VALUE"""),122.0)</f>
        <v>122</v>
      </c>
      <c r="W1185" s="97" t="str">
        <f>IFERROR(__xludf.DUMMYFUNCTION("""COMPUTED_VALUE"""),"&lt; 16")</f>
        <v>&lt; 16</v>
      </c>
      <c r="X1185" s="97" t="str">
        <f>IFERROR(__xludf.DUMMYFUNCTION("""COMPUTED_VALUE"""),"2500/3500/4500")</f>
        <v>2500/3500/4500</v>
      </c>
      <c r="Y1185" s="97" t="str">
        <f>IFERROR(__xludf.DUMMYFUNCTION("""COMPUTED_VALUE"""),"&gt;90")</f>
        <v>&gt;90</v>
      </c>
      <c r="Z1185" s="97"/>
      <c r="AA1185" s="97"/>
      <c r="AB1185" s="97" t="str">
        <f>IFERROR(__xludf.DUMMYFUNCTION("""COMPUTED_VALUE"""),"-")</f>
        <v>-</v>
      </c>
      <c r="AC1185" s="97"/>
      <c r="AD1185" s="97" t="str">
        <f>IFERROR(__xludf.DUMMYFUNCTION("""COMPUTED_VALUE"""),"IP65/IK08")</f>
        <v>IP65/IK08</v>
      </c>
      <c r="AE1185" s="97" t="str">
        <f>IFERROR(__xludf.DUMMYFUNCTION("""COMPUTED_VALUE"""),"Clase l")</f>
        <v>Clase l</v>
      </c>
      <c r="AF1185" s="97" t="str">
        <f>IFERROR(__xludf.DUMMYFUNCTION("""COMPUTED_VALUE"""),"Aplicar")</f>
        <v>Aplicar</v>
      </c>
      <c r="AG1185" s="97" t="str">
        <f>IFERROR(__xludf.DUMMYFUNCTION("""COMPUTED_VALUE"""),"130 x 130 x 78")</f>
        <v>130 x 130 x 78</v>
      </c>
      <c r="AH1185" s="97" t="str">
        <f>IFERROR(__xludf.DUMMYFUNCTION("""COMPUTED_VALUE"""),"N/A")</f>
        <v>N/A</v>
      </c>
      <c r="AI1185" s="97" t="str">
        <f>IFERROR(__xludf.DUMMYFUNCTION("""COMPUTED_VALUE"""),"N/A")</f>
        <v>N/A</v>
      </c>
      <c r="AJ1185" s="97" t="str">
        <f>IFERROR(__xludf.DUMMYFUNCTION("""COMPUTED_VALUE"""),"Policarbonato (PC)")</f>
        <v>Policarbonato (PC)</v>
      </c>
      <c r="AK1185" s="97" t="str">
        <f>IFERROR(__xludf.DUMMYFUNCTION("""COMPUTED_VALUE"""),"ABS")</f>
        <v>ABS</v>
      </c>
      <c r="AL1185" s="97" t="str">
        <f>IFERROR(__xludf.DUMMYFUNCTION("""COMPUTED_VALUE"""),"Negro Brillante")</f>
        <v>Negro Brillante</v>
      </c>
      <c r="AM1185" s="97" t="str">
        <f>IFERROR(__xludf.DUMMYFUNCTION("""COMPUTED_VALUE"""),"-")</f>
        <v>-</v>
      </c>
      <c r="AN1185" s="97" t="str">
        <f>IFERROR(__xludf.DUMMYFUNCTION("""COMPUTED_VALUE"""),"25.000hs (L70)")</f>
        <v>25.000hs (L70)</v>
      </c>
      <c r="AO1185" s="97" t="str">
        <f>IFERROR(__xludf.DUMMYFUNCTION("""COMPUTED_VALUE"""),"2 Años")</f>
        <v>2 Años</v>
      </c>
      <c r="AP1185" s="97" t="str">
        <f>IFERROR(__xludf.DUMMYFUNCTION("""COMPUTED_VALUE"""),"Disponible")</f>
        <v>Disponible</v>
      </c>
      <c r="AQ1185" s="97" t="str">
        <f>IFERROR(__xludf.DUMMYFUNCTION("""COMPUTED_VALUE"""),"Disponible")</f>
        <v>Disponible</v>
      </c>
      <c r="AR1185" s="97" t="str">
        <f>IFERROR(__xludf.DUMMYFUNCTION("""COMPUTED_VALUE"""),"Disponible")</f>
        <v>Disponible</v>
      </c>
      <c r="AS1185" s="97" t="str">
        <f>IFERROR(__xludf.DUMMYFUNCTION("""COMPUTED_VALUE"""),"Falta")</f>
        <v>Falta</v>
      </c>
      <c r="AT1185" s="97" t="str">
        <f>IFERROR(__xludf.DUMMYFUNCTION("""COMPUTED_VALUE"""),"Falta")</f>
        <v>Falta</v>
      </c>
      <c r="AU1185" s="97" t="str">
        <f>IFERROR(__xludf.DUMMYFUNCTION("""COMPUTED_VALUE"""),"Falta")</f>
        <v>Falta</v>
      </c>
      <c r="AV1185" s="97" t="str">
        <f>IFERROR(__xludf.DUMMYFUNCTION("""COMPUTED_VALUE"""),"Aplique")</f>
        <v>Aplique</v>
      </c>
      <c r="AW1185" s="97" t="str">
        <f>IFERROR(__xludf.DUMMYFUNCTION("""COMPUTED_VALUE"""),"De Pared")</f>
        <v>De Pared</v>
      </c>
      <c r="AX1185" s="97" t="str">
        <f>IFERROR(__xludf.DUMMYFUNCTION("""COMPUTED_VALUE"""),"Exterior")</f>
        <v>Exterior</v>
      </c>
      <c r="AY1185" s="97" t="str">
        <f>IFERROR(__xludf.DUMMYFUNCTION("""COMPUTED_VALUE"""),"-")</f>
        <v>-</v>
      </c>
      <c r="AZ1185" s="97" t="str">
        <f>IFERROR(__xludf.DUMMYFUNCTION("""COMPUTED_VALUE"""),"*ABS y PC resistentes a rayos UV para uso exterior.")</f>
        <v>*ABS y PC resistentes a rayos UV para uso exterior.</v>
      </c>
      <c r="BA1185" s="97">
        <f>IFERROR(__xludf.DUMMYFUNCTION("""COMPUTED_VALUE"""),30.0)</f>
        <v>30</v>
      </c>
      <c r="BB1185" s="97" t="str">
        <f>IFERROR(__xludf.DUMMYFUNCTION("""COMPUTED_VALUE"""),"-")</f>
        <v>-</v>
      </c>
      <c r="BC1185" s="97" t="str">
        <f>IFERROR(__xludf.DUMMYFUNCTION("""COMPUTED_VALUE"""),"-")</f>
        <v>-</v>
      </c>
      <c r="BD1185" s="97" t="str">
        <f>IFERROR(__xludf.DUMMYFUNCTION("""COMPUTED_VALUE"""),"WEST")</f>
        <v>WEST</v>
      </c>
      <c r="BE1185" s="97" t="str">
        <f>IFERROR(__xludf.DUMMYFUNCTION("""COMPUTED_VALUE"""),"Finalizada")</f>
        <v>Finalizada</v>
      </c>
      <c r="BF1185" s="97"/>
      <c r="BG1185" s="97" t="str">
        <f>IFERROR(__xludf.DUMMYFUNCTION("""COMPUTED_VALUE"""),"Activo")</f>
        <v>Activo</v>
      </c>
    </row>
    <row r="1186">
      <c r="A1186" s="97">
        <f>IFERROR(__xludf.DUMMYFUNCTION("""COMPUTED_VALUE"""),7104.0)</f>
        <v>7104</v>
      </c>
      <c r="B1186" s="97" t="str">
        <f>IFERROR(__xludf.DUMMYFUNCTION("""COMPUTED_VALUE"""),"WEST BLNT")</f>
        <v>WEST BLNT</v>
      </c>
      <c r="C1186" s="97" t="str">
        <f>IFERROR(__xludf.DUMMYFUNCTION("""COMPUTED_VALUE"""),"APLIQUE WEST BLNT 10W 3000/4000/6000K 780LM CRI&gt;90 IP65/IK08 LEUK")</f>
        <v>APLIQUE WEST BLNT 10W 3000/4000/6000K 780LM CRI&gt;90 IP65/IK08 LEUK</v>
      </c>
      <c r="D1186" s="97">
        <f>IFERROR(__xludf.DUMMYFUNCTION("""COMPUTED_VALUE"""),7.798413226195E12)</f>
        <v>7798413226195</v>
      </c>
      <c r="E1186" s="97" t="str">
        <f>IFERROR(__xludf.DUMMYFUNCTION("""COMPUTED_VALUE"""),"C45")</f>
        <v>C45</v>
      </c>
      <c r="F1186" s="97" t="str">
        <f>IFERROR(__xludf.DUMMYFUNCTION("""COMPUTED_VALUE"""),"LED integrado")</f>
        <v>LED integrado</v>
      </c>
      <c r="G1186" s="97" t="str">
        <f>IFERROR(__xludf.DUMMYFUNCTION("""COMPUTED_VALUE"""),"-")</f>
        <v>-</v>
      </c>
      <c r="H1186" s="97" t="str">
        <f>IFERROR(__xludf.DUMMYFUNCTION("""COMPUTED_VALUE"""),"-")</f>
        <v>-</v>
      </c>
      <c r="I1186" s="97"/>
      <c r="J1186" s="97"/>
      <c r="K1186" s="97" t="str">
        <f>IFERROR(__xludf.DUMMYFUNCTION("""COMPUTED_VALUE"""),"ON/OFF")</f>
        <v>ON/OFF</v>
      </c>
      <c r="L1186" s="97" t="str">
        <f>IFERROR(__xludf.DUMMYFUNCTION("""COMPUTED_VALUE"""),"220-240")</f>
        <v>220-240</v>
      </c>
      <c r="M1186" s="97" t="str">
        <f>IFERROR(__xludf.DUMMYFUNCTION("""COMPUTED_VALUE"""),"50/60")</f>
        <v>50/60</v>
      </c>
      <c r="N1186" s="97" t="str">
        <f>IFERROR(__xludf.DUMMYFUNCTION("""COMPUTED_VALUE"""),"Directa-Simétrica")</f>
        <v>Directa-Simétrica</v>
      </c>
      <c r="O1186" s="97">
        <f>IFERROR(__xludf.DUMMYFUNCTION("""COMPUTED_VALUE"""),10.0)</f>
        <v>10</v>
      </c>
      <c r="P1186" s="97"/>
      <c r="Q1186" s="97">
        <f>IFERROR(__xludf.DUMMYFUNCTION("""COMPUTED_VALUE"""),0.58)</f>
        <v>0.58</v>
      </c>
      <c r="R1186" s="97">
        <f>IFERROR(__xludf.DUMMYFUNCTION("""COMPUTED_VALUE"""),1000.0)</f>
        <v>1000</v>
      </c>
      <c r="S1186" s="97">
        <f>IFERROR(__xludf.DUMMYFUNCTION("""COMPUTED_VALUE"""),100.0)</f>
        <v>100</v>
      </c>
      <c r="T1186" s="97">
        <f>IFERROR(__xludf.DUMMYFUNCTION("""COMPUTED_VALUE"""),780.0)</f>
        <v>780</v>
      </c>
      <c r="U1186" s="97">
        <f>IFERROR(__xludf.DUMMYFUNCTION("""COMPUTED_VALUE"""),78.0)</f>
        <v>78</v>
      </c>
      <c r="V1186" s="97">
        <f>IFERROR(__xludf.DUMMYFUNCTION("""COMPUTED_VALUE"""),122.0)</f>
        <v>122</v>
      </c>
      <c r="W1186" s="97" t="str">
        <f>IFERROR(__xludf.DUMMYFUNCTION("""COMPUTED_VALUE"""),"&lt; 16")</f>
        <v>&lt; 16</v>
      </c>
      <c r="X1186" s="97" t="str">
        <f>IFERROR(__xludf.DUMMYFUNCTION("""COMPUTED_VALUE"""),"3000/4000/6000")</f>
        <v>3000/4000/6000</v>
      </c>
      <c r="Y1186" s="97" t="str">
        <f>IFERROR(__xludf.DUMMYFUNCTION("""COMPUTED_VALUE"""),"&gt;90")</f>
        <v>&gt;90</v>
      </c>
      <c r="Z1186" s="97"/>
      <c r="AA1186" s="97"/>
      <c r="AB1186" s="97" t="str">
        <f>IFERROR(__xludf.DUMMYFUNCTION("""COMPUTED_VALUE"""),"-")</f>
        <v>-</v>
      </c>
      <c r="AC1186" s="97"/>
      <c r="AD1186" s="97" t="str">
        <f>IFERROR(__xludf.DUMMYFUNCTION("""COMPUTED_VALUE"""),"IP65/IK08")</f>
        <v>IP65/IK08</v>
      </c>
      <c r="AE1186" s="97" t="str">
        <f>IFERROR(__xludf.DUMMYFUNCTION("""COMPUTED_VALUE"""),"Clase l")</f>
        <v>Clase l</v>
      </c>
      <c r="AF1186" s="97" t="str">
        <f>IFERROR(__xludf.DUMMYFUNCTION("""COMPUTED_VALUE"""),"Aplicar")</f>
        <v>Aplicar</v>
      </c>
      <c r="AG1186" s="97" t="str">
        <f>IFERROR(__xludf.DUMMYFUNCTION("""COMPUTED_VALUE"""),"130 x 130 x 78")</f>
        <v>130 x 130 x 78</v>
      </c>
      <c r="AH1186" s="97" t="str">
        <f>IFERROR(__xludf.DUMMYFUNCTION("""COMPUTED_VALUE"""),"N/A")</f>
        <v>N/A</v>
      </c>
      <c r="AI1186" s="97" t="str">
        <f>IFERROR(__xludf.DUMMYFUNCTION("""COMPUTED_VALUE"""),"N/A")</f>
        <v>N/A</v>
      </c>
      <c r="AJ1186" s="97" t="str">
        <f>IFERROR(__xludf.DUMMYFUNCTION("""COMPUTED_VALUE"""),"Policarbonato (PC)")</f>
        <v>Policarbonato (PC)</v>
      </c>
      <c r="AK1186" s="97" t="str">
        <f>IFERROR(__xludf.DUMMYFUNCTION("""COMPUTED_VALUE"""),"ABS")</f>
        <v>ABS</v>
      </c>
      <c r="AL1186" s="97" t="str">
        <f>IFERROR(__xludf.DUMMYFUNCTION("""COMPUTED_VALUE"""),"Blanco Brillante")</f>
        <v>Blanco Brillante</v>
      </c>
      <c r="AM1186" s="97" t="str">
        <f>IFERROR(__xludf.DUMMYFUNCTION("""COMPUTED_VALUE"""),"-")</f>
        <v>-</v>
      </c>
      <c r="AN1186" s="97" t="str">
        <f>IFERROR(__xludf.DUMMYFUNCTION("""COMPUTED_VALUE"""),"25.000hs (L70)")</f>
        <v>25.000hs (L70)</v>
      </c>
      <c r="AO1186" s="97" t="str">
        <f>IFERROR(__xludf.DUMMYFUNCTION("""COMPUTED_VALUE"""),"2 Años")</f>
        <v>2 Años</v>
      </c>
      <c r="AP1186" s="97" t="str">
        <f>IFERROR(__xludf.DUMMYFUNCTION("""COMPUTED_VALUE"""),"Disponible")</f>
        <v>Disponible</v>
      </c>
      <c r="AQ1186" s="97" t="str">
        <f>IFERROR(__xludf.DUMMYFUNCTION("""COMPUTED_VALUE"""),"Disponible")</f>
        <v>Disponible</v>
      </c>
      <c r="AR1186" s="97" t="str">
        <f>IFERROR(__xludf.DUMMYFUNCTION("""COMPUTED_VALUE"""),"Disponible")</f>
        <v>Disponible</v>
      </c>
      <c r="AS1186" s="97" t="str">
        <f>IFERROR(__xludf.DUMMYFUNCTION("""COMPUTED_VALUE"""),"Falta")</f>
        <v>Falta</v>
      </c>
      <c r="AT1186" s="97" t="str">
        <f>IFERROR(__xludf.DUMMYFUNCTION("""COMPUTED_VALUE"""),"Falta")</f>
        <v>Falta</v>
      </c>
      <c r="AU1186" s="97" t="str">
        <f>IFERROR(__xludf.DUMMYFUNCTION("""COMPUTED_VALUE"""),"Falta")</f>
        <v>Falta</v>
      </c>
      <c r="AV1186" s="97" t="str">
        <f>IFERROR(__xludf.DUMMYFUNCTION("""COMPUTED_VALUE"""),"Aplique")</f>
        <v>Aplique</v>
      </c>
      <c r="AW1186" s="97" t="str">
        <f>IFERROR(__xludf.DUMMYFUNCTION("""COMPUTED_VALUE"""),"De Pared")</f>
        <v>De Pared</v>
      </c>
      <c r="AX1186" s="97" t="str">
        <f>IFERROR(__xludf.DUMMYFUNCTION("""COMPUTED_VALUE"""),"Exterior")</f>
        <v>Exterior</v>
      </c>
      <c r="AY1186" s="97" t="str">
        <f>IFERROR(__xludf.DUMMYFUNCTION("""COMPUTED_VALUE"""),"-")</f>
        <v>-</v>
      </c>
      <c r="AZ1186" s="97" t="str">
        <f>IFERROR(__xludf.DUMMYFUNCTION("""COMPUTED_VALUE"""),"*ABS y PC resistentes a rayos UV para uso exterior.")</f>
        <v>*ABS y PC resistentes a rayos UV para uso exterior.</v>
      </c>
      <c r="BA1186" s="97">
        <f>IFERROR(__xludf.DUMMYFUNCTION("""COMPUTED_VALUE"""),30.0)</f>
        <v>30</v>
      </c>
      <c r="BB1186" s="97" t="str">
        <f>IFERROR(__xludf.DUMMYFUNCTION("""COMPUTED_VALUE"""),"-")</f>
        <v>-</v>
      </c>
      <c r="BC1186" s="97" t="str">
        <f>IFERROR(__xludf.DUMMYFUNCTION("""COMPUTED_VALUE"""),"-")</f>
        <v>-</v>
      </c>
      <c r="BD1186" s="97" t="str">
        <f>IFERROR(__xludf.DUMMYFUNCTION("""COMPUTED_VALUE"""),"WEST")</f>
        <v>WEST</v>
      </c>
      <c r="BE1186" s="97" t="str">
        <f>IFERROR(__xludf.DUMMYFUNCTION("""COMPUTED_VALUE"""),"Finalizada")</f>
        <v>Finalizada</v>
      </c>
      <c r="BF1186" s="97"/>
      <c r="BG1186" s="97" t="str">
        <f>IFERROR(__xludf.DUMMYFUNCTION("""COMPUTED_VALUE"""),"Activo")</f>
        <v>Activo</v>
      </c>
    </row>
    <row r="1187">
      <c r="A1187" s="97">
        <f>IFERROR(__xludf.DUMMYFUNCTION("""COMPUTED_VALUE"""),7105.0)</f>
        <v>7105</v>
      </c>
      <c r="B1187" s="97" t="str">
        <f>IFERROR(__xludf.DUMMYFUNCTION("""COMPUTED_VALUE"""),"RIU")</f>
        <v>RIU</v>
      </c>
      <c r="C1187" s="97" t="str">
        <f>IFERROR(__xludf.DUMMYFUNCTION("""COMPUTED_VALUE"""),"BOLARDO RIU 2W 3000K 66LM CRI&gt;80 IP65 LEUK")</f>
        <v>BOLARDO RIU 2W 3000K 66LM CRI&gt;80 IP65 LEUK</v>
      </c>
      <c r="D1187" s="97">
        <f>IFERROR(__xludf.DUMMYFUNCTION("""COMPUTED_VALUE"""),7.798413226201E12)</f>
        <v>7798413226201</v>
      </c>
      <c r="E1187" s="97" t="str">
        <f>IFERROR(__xludf.DUMMYFUNCTION("""COMPUTED_VALUE"""),"C145")</f>
        <v>C145</v>
      </c>
      <c r="F1187" s="97" t="str">
        <f>IFERROR(__xludf.DUMMYFUNCTION("""COMPUTED_VALUE"""),"LED integrado")</f>
        <v>LED integrado</v>
      </c>
      <c r="G1187" s="97" t="str">
        <f>IFERROR(__xludf.DUMMYFUNCTION("""COMPUTED_VALUE"""),"-")</f>
        <v>-</v>
      </c>
      <c r="H1187" s="97" t="str">
        <f>IFERROR(__xludf.DUMMYFUNCTION("""COMPUTED_VALUE"""),"-")</f>
        <v>-</v>
      </c>
      <c r="I1187" s="97"/>
      <c r="J1187" s="97"/>
      <c r="K1187" s="97" t="str">
        <f>IFERROR(__xludf.DUMMYFUNCTION("""COMPUTED_VALUE"""),"ON/OFF")</f>
        <v>ON/OFF</v>
      </c>
      <c r="L1187" s="97" t="str">
        <f>IFERROR(__xludf.DUMMYFUNCTION("""COMPUTED_VALUE"""),"220-240")</f>
        <v>220-240</v>
      </c>
      <c r="M1187" s="97" t="str">
        <f>IFERROR(__xludf.DUMMYFUNCTION("""COMPUTED_VALUE"""),"50/60")</f>
        <v>50/60</v>
      </c>
      <c r="N1187" s="97"/>
      <c r="O1187" s="97">
        <f>IFERROR(__xludf.DUMMYFUNCTION("""COMPUTED_VALUE"""),2.0)</f>
        <v>2</v>
      </c>
      <c r="P1187" s="97"/>
      <c r="Q1187" s="97">
        <f>IFERROR(__xludf.DUMMYFUNCTION("""COMPUTED_VALUE"""),0.6)</f>
        <v>0.6</v>
      </c>
      <c r="R1187" s="97" t="str">
        <f>IFERROR(__xludf.DUMMYFUNCTION("""COMPUTED_VALUE"""),"-")</f>
        <v>-</v>
      </c>
      <c r="S1187" s="97" t="str">
        <f>IFERROR(__xludf.DUMMYFUNCTION("""COMPUTED_VALUE"""),"-")</f>
        <v>-</v>
      </c>
      <c r="T1187" s="97">
        <f>IFERROR(__xludf.DUMMYFUNCTION("""COMPUTED_VALUE"""),66.0)</f>
        <v>66</v>
      </c>
      <c r="U1187" s="97">
        <f>IFERROR(__xludf.DUMMYFUNCTION("""COMPUTED_VALUE"""),33.0)</f>
        <v>33</v>
      </c>
      <c r="V1187" s="97">
        <f>IFERROR(__xludf.DUMMYFUNCTION("""COMPUTED_VALUE"""),73.0)</f>
        <v>73</v>
      </c>
      <c r="W1187" s="97" t="str">
        <f>IFERROR(__xludf.DUMMYFUNCTION("""COMPUTED_VALUE"""),"&lt; 10")</f>
        <v>&lt; 10</v>
      </c>
      <c r="X1187" s="97">
        <f>IFERROR(__xludf.DUMMYFUNCTION("""COMPUTED_VALUE"""),3000.0)</f>
        <v>3000</v>
      </c>
      <c r="Y1187" s="97" t="str">
        <f>IFERROR(__xludf.DUMMYFUNCTION("""COMPUTED_VALUE"""),"&gt;80")</f>
        <v>&gt;80</v>
      </c>
      <c r="Z1187" s="97"/>
      <c r="AA1187" s="97"/>
      <c r="AB1187" s="97" t="str">
        <f>IFERROR(__xludf.DUMMYFUNCTION("""COMPUTED_VALUE"""),"&lt; 5")</f>
        <v>&lt; 5</v>
      </c>
      <c r="AC1187" s="97"/>
      <c r="AD1187" s="97" t="str">
        <f>IFERROR(__xludf.DUMMYFUNCTION("""COMPUTED_VALUE"""),"IP65")</f>
        <v>IP65</v>
      </c>
      <c r="AE1187" s="97" t="str">
        <f>IFERROR(__xludf.DUMMYFUNCTION("""COMPUTED_VALUE"""),"Clase l")</f>
        <v>Clase l</v>
      </c>
      <c r="AF1187" s="97" t="str">
        <f>IFERROR(__xludf.DUMMYFUNCTION("""COMPUTED_VALUE"""),"Anclaje de piso")</f>
        <v>Anclaje de piso</v>
      </c>
      <c r="AG1187" s="97" t="str">
        <f>IFERROR(__xludf.DUMMYFUNCTION("""COMPUTED_VALUE"""),"Ø40 x 600")</f>
        <v>Ø40 x 600</v>
      </c>
      <c r="AH1187" s="97" t="str">
        <f>IFERROR(__xludf.DUMMYFUNCTION("""COMPUTED_VALUE"""),"N/A")</f>
        <v>N/A</v>
      </c>
      <c r="AI1187" s="97" t="str">
        <f>IFERROR(__xludf.DUMMYFUNCTION("""COMPUTED_VALUE"""),"N/A")</f>
        <v>N/A</v>
      </c>
      <c r="AJ1187" s="97" t="str">
        <f>IFERROR(__xludf.DUMMYFUNCTION("""COMPUTED_VALUE"""),"Vidrio")</f>
        <v>Vidrio</v>
      </c>
      <c r="AK1187" s="97" t="str">
        <f>IFERROR(__xludf.DUMMYFUNCTION("""COMPUTED_VALUE"""),"Aluminio")</f>
        <v>Aluminio</v>
      </c>
      <c r="AL1187" s="97" t="str">
        <f>IFERROR(__xludf.DUMMYFUNCTION("""COMPUTED_VALUE"""),"Negro Satinado")</f>
        <v>Negro Satinado</v>
      </c>
      <c r="AM1187" s="97" t="str">
        <f>IFERROR(__xludf.DUMMYFUNCTION("""COMPUTED_VALUE"""),"-")</f>
        <v>-</v>
      </c>
      <c r="AN1187" s="97" t="str">
        <f>IFERROR(__xludf.DUMMYFUNCTION("""COMPUTED_VALUE"""),"25.000hs (L70)")</f>
        <v>25.000hs (L70)</v>
      </c>
      <c r="AO1187" s="97" t="str">
        <f>IFERROR(__xludf.DUMMYFUNCTION("""COMPUTED_VALUE"""),"2 Años")</f>
        <v>2 Años</v>
      </c>
      <c r="AP1187" s="97" t="str">
        <f>IFERROR(__xludf.DUMMYFUNCTION("""COMPUTED_VALUE"""),"Disponible")</f>
        <v>Disponible</v>
      </c>
      <c r="AQ1187" s="97" t="str">
        <f>IFERROR(__xludf.DUMMYFUNCTION("""COMPUTED_VALUE"""),"Disponible")</f>
        <v>Disponible</v>
      </c>
      <c r="AR1187" s="97" t="str">
        <f>IFERROR(__xludf.DUMMYFUNCTION("""COMPUTED_VALUE"""),"Disponible")</f>
        <v>Disponible</v>
      </c>
      <c r="AS1187" s="97" t="str">
        <f>IFERROR(__xludf.DUMMYFUNCTION("""COMPUTED_VALUE"""),"Falta")</f>
        <v>Falta</v>
      </c>
      <c r="AT1187" s="97" t="str">
        <f>IFERROR(__xludf.DUMMYFUNCTION("""COMPUTED_VALUE"""),"Falta")</f>
        <v>Falta</v>
      </c>
      <c r="AU1187" s="97" t="str">
        <f>IFERROR(__xludf.DUMMYFUNCTION("""COMPUTED_VALUE"""),"Falta")</f>
        <v>Falta</v>
      </c>
      <c r="AV1187" s="97" t="str">
        <f>IFERROR(__xludf.DUMMYFUNCTION("""COMPUTED_VALUE"""),"Bolardo")</f>
        <v>Bolardo</v>
      </c>
      <c r="AW1187" s="97" t="str">
        <f>IFERROR(__xludf.DUMMYFUNCTION("""COMPUTED_VALUE"""),"De Piso")</f>
        <v>De Piso</v>
      </c>
      <c r="AX1187" s="97" t="str">
        <f>IFERROR(__xludf.DUMMYFUNCTION("""COMPUTED_VALUE"""),"Exterior")</f>
        <v>Exterior</v>
      </c>
      <c r="AY1187" s="97" t="str">
        <f>IFERROR(__xludf.DUMMYFUNCTION("""COMPUTED_VALUE"""),"-")</f>
        <v>-</v>
      </c>
      <c r="AZ1187" s="97" t="str">
        <f>IFERROR(__xludf.DUMMYFUNCTION("""COMPUTED_VALUE"""),"Base Ø90mm x 15mm.Incluye Conector 3 Polos IP68.")</f>
        <v>Base Ø90mm x 15mm.Incluye Conector 3 Polos IP68.</v>
      </c>
      <c r="BA1187" s="97">
        <f>IFERROR(__xludf.DUMMYFUNCTION("""COMPUTED_VALUE"""),20.0)</f>
        <v>20</v>
      </c>
      <c r="BB1187" s="97" t="str">
        <f>IFERROR(__xludf.DUMMYFUNCTION("""COMPUTED_VALUE"""),"-")</f>
        <v>-</v>
      </c>
      <c r="BC1187" s="97" t="str">
        <f>IFERROR(__xludf.DUMMYFUNCTION("""COMPUTED_VALUE"""),"-")</f>
        <v>-</v>
      </c>
      <c r="BD1187" s="97" t="str">
        <f>IFERROR(__xludf.DUMMYFUNCTION("""COMPUTED_VALUE"""),"RIU")</f>
        <v>RIU</v>
      </c>
      <c r="BE1187" s="97" t="str">
        <f>IFERROR(__xludf.DUMMYFUNCTION("""COMPUTED_VALUE"""),"Finalizada")</f>
        <v>Finalizada</v>
      </c>
      <c r="BF1187" s="97"/>
      <c r="BG1187" s="97" t="str">
        <f>IFERROR(__xludf.DUMMYFUNCTION("""COMPUTED_VALUE"""),"Activo")</f>
        <v>Activo</v>
      </c>
    </row>
    <row r="1188">
      <c r="A1188" s="97">
        <f>IFERROR(__xludf.DUMMYFUNCTION("""COMPUTED_VALUE"""),7106.0)</f>
        <v>7106</v>
      </c>
      <c r="B1188" s="97" t="str">
        <f>IFERROR(__xludf.DUMMYFUNCTION("""COMPUTED_VALUE"""),"RIU II")</f>
        <v>RIU II</v>
      </c>
      <c r="C1188" s="97" t="str">
        <f>IFERROR(__xludf.DUMMYFUNCTION("""COMPUTED_VALUE"""),"BOLARDO RIU II 2X2W 3000K 119LM CRI&gt;80 IP65 LEUK")</f>
        <v>BOLARDO RIU II 2X2W 3000K 119LM CRI&gt;80 IP65 LEUK</v>
      </c>
      <c r="D1188" s="97">
        <f>IFERROR(__xludf.DUMMYFUNCTION("""COMPUTED_VALUE"""),7.798413226218E12)</f>
        <v>7798413226218</v>
      </c>
      <c r="E1188" s="97" t="str">
        <f>IFERROR(__xludf.DUMMYFUNCTION("""COMPUTED_VALUE"""),"C118")</f>
        <v>C118</v>
      </c>
      <c r="F1188" s="97" t="str">
        <f>IFERROR(__xludf.DUMMYFUNCTION("""COMPUTED_VALUE"""),"LED integrado")</f>
        <v>LED integrado</v>
      </c>
      <c r="G1188" s="97" t="str">
        <f>IFERROR(__xludf.DUMMYFUNCTION("""COMPUTED_VALUE"""),"-")</f>
        <v>-</v>
      </c>
      <c r="H1188" s="97" t="str">
        <f>IFERROR(__xludf.DUMMYFUNCTION("""COMPUTED_VALUE"""),"-")</f>
        <v>-</v>
      </c>
      <c r="I1188" s="97"/>
      <c r="J1188" s="97"/>
      <c r="K1188" s="97" t="str">
        <f>IFERROR(__xludf.DUMMYFUNCTION("""COMPUTED_VALUE"""),"ON/OFF")</f>
        <v>ON/OFF</v>
      </c>
      <c r="L1188" s="97" t="str">
        <f>IFERROR(__xludf.DUMMYFUNCTION("""COMPUTED_VALUE"""),"220-240")</f>
        <v>220-240</v>
      </c>
      <c r="M1188" s="97" t="str">
        <f>IFERROR(__xludf.DUMMYFUNCTION("""COMPUTED_VALUE"""),"50/60")</f>
        <v>50/60</v>
      </c>
      <c r="N1188" s="97"/>
      <c r="O1188" s="97" t="str">
        <f>IFERROR(__xludf.DUMMYFUNCTION("""COMPUTED_VALUE"""),"2x2")</f>
        <v>2x2</v>
      </c>
      <c r="P1188" s="97"/>
      <c r="Q1188" s="97">
        <f>IFERROR(__xludf.DUMMYFUNCTION("""COMPUTED_VALUE"""),0.72)</f>
        <v>0.72</v>
      </c>
      <c r="R1188" s="97" t="str">
        <f>IFERROR(__xludf.DUMMYFUNCTION("""COMPUTED_VALUE"""),"-")</f>
        <v>-</v>
      </c>
      <c r="S1188" s="97" t="str">
        <f>IFERROR(__xludf.DUMMYFUNCTION("""COMPUTED_VALUE"""),"-")</f>
        <v>-</v>
      </c>
      <c r="T1188" s="97">
        <f>IFERROR(__xludf.DUMMYFUNCTION("""COMPUTED_VALUE"""),119.0)</f>
        <v>119</v>
      </c>
      <c r="U1188" s="99">
        <f>IFERROR(__xludf.DUMMYFUNCTION("""COMPUTED_VALUE"""),29.75)</f>
        <v>29.75</v>
      </c>
      <c r="V1188" s="97">
        <f>IFERROR(__xludf.DUMMYFUNCTION("""COMPUTED_VALUE"""),115.0)</f>
        <v>115</v>
      </c>
      <c r="W1188" s="97" t="str">
        <f>IFERROR(__xludf.DUMMYFUNCTION("""COMPUTED_VALUE"""),"&lt; 10")</f>
        <v>&lt; 10</v>
      </c>
      <c r="X1188" s="97">
        <f>IFERROR(__xludf.DUMMYFUNCTION("""COMPUTED_VALUE"""),3000.0)</f>
        <v>3000</v>
      </c>
      <c r="Y1188" s="97" t="str">
        <f>IFERROR(__xludf.DUMMYFUNCTION("""COMPUTED_VALUE"""),"&gt;80")</f>
        <v>&gt;80</v>
      </c>
      <c r="Z1188" s="97"/>
      <c r="AA1188" s="97"/>
      <c r="AB1188" s="97" t="str">
        <f>IFERROR(__xludf.DUMMYFUNCTION("""COMPUTED_VALUE"""),"&lt; 5")</f>
        <v>&lt; 5</v>
      </c>
      <c r="AC1188" s="97"/>
      <c r="AD1188" s="97" t="str">
        <f>IFERROR(__xludf.DUMMYFUNCTION("""COMPUTED_VALUE"""),"IP65")</f>
        <v>IP65</v>
      </c>
      <c r="AE1188" s="97" t="str">
        <f>IFERROR(__xludf.DUMMYFUNCTION("""COMPUTED_VALUE"""),"Clase l")</f>
        <v>Clase l</v>
      </c>
      <c r="AF1188" s="97" t="str">
        <f>IFERROR(__xludf.DUMMYFUNCTION("""COMPUTED_VALUE"""),"Anclaje de piso")</f>
        <v>Anclaje de piso</v>
      </c>
      <c r="AG1188" s="97" t="str">
        <f>IFERROR(__xludf.DUMMYFUNCTION("""COMPUTED_VALUE"""),"Ø40 x 780")</f>
        <v>Ø40 x 780</v>
      </c>
      <c r="AH1188" s="97" t="str">
        <f>IFERROR(__xludf.DUMMYFUNCTION("""COMPUTED_VALUE"""),"N/A")</f>
        <v>N/A</v>
      </c>
      <c r="AI1188" s="97" t="str">
        <f>IFERROR(__xludf.DUMMYFUNCTION("""COMPUTED_VALUE"""),"N/A")</f>
        <v>N/A</v>
      </c>
      <c r="AJ1188" s="97" t="str">
        <f>IFERROR(__xludf.DUMMYFUNCTION("""COMPUTED_VALUE"""),"Vidrio")</f>
        <v>Vidrio</v>
      </c>
      <c r="AK1188" s="97" t="str">
        <f>IFERROR(__xludf.DUMMYFUNCTION("""COMPUTED_VALUE"""),"Aluminio")</f>
        <v>Aluminio</v>
      </c>
      <c r="AL1188" s="97" t="str">
        <f>IFERROR(__xludf.DUMMYFUNCTION("""COMPUTED_VALUE"""),"Negro Satinado")</f>
        <v>Negro Satinado</v>
      </c>
      <c r="AM1188" s="97" t="str">
        <f>IFERROR(__xludf.DUMMYFUNCTION("""COMPUTED_VALUE"""),"-")</f>
        <v>-</v>
      </c>
      <c r="AN1188" s="97" t="str">
        <f>IFERROR(__xludf.DUMMYFUNCTION("""COMPUTED_VALUE"""),"25.000hs (L70)")</f>
        <v>25.000hs (L70)</v>
      </c>
      <c r="AO1188" s="97" t="str">
        <f>IFERROR(__xludf.DUMMYFUNCTION("""COMPUTED_VALUE"""),"2 Años")</f>
        <v>2 Años</v>
      </c>
      <c r="AP1188" s="97" t="str">
        <f>IFERROR(__xludf.DUMMYFUNCTION("""COMPUTED_VALUE"""),"Disponible")</f>
        <v>Disponible</v>
      </c>
      <c r="AQ1188" s="97" t="str">
        <f>IFERROR(__xludf.DUMMYFUNCTION("""COMPUTED_VALUE"""),"Disponible")</f>
        <v>Disponible</v>
      </c>
      <c r="AR1188" s="97" t="str">
        <f>IFERROR(__xludf.DUMMYFUNCTION("""COMPUTED_VALUE"""),"Disponible")</f>
        <v>Disponible</v>
      </c>
      <c r="AS1188" s="97" t="str">
        <f>IFERROR(__xludf.DUMMYFUNCTION("""COMPUTED_VALUE"""),"Falta")</f>
        <v>Falta</v>
      </c>
      <c r="AT1188" s="97" t="str">
        <f>IFERROR(__xludf.DUMMYFUNCTION("""COMPUTED_VALUE"""),"Falta")</f>
        <v>Falta</v>
      </c>
      <c r="AU1188" s="97" t="str">
        <f>IFERROR(__xludf.DUMMYFUNCTION("""COMPUTED_VALUE"""),"Falta")</f>
        <v>Falta</v>
      </c>
      <c r="AV1188" s="97" t="str">
        <f>IFERROR(__xludf.DUMMYFUNCTION("""COMPUTED_VALUE"""),"Bolardo")</f>
        <v>Bolardo</v>
      </c>
      <c r="AW1188" s="97" t="str">
        <f>IFERROR(__xludf.DUMMYFUNCTION("""COMPUTED_VALUE"""),"De Piso")</f>
        <v>De Piso</v>
      </c>
      <c r="AX1188" s="97" t="str">
        <f>IFERROR(__xludf.DUMMYFUNCTION("""COMPUTED_VALUE"""),"Exterior")</f>
        <v>Exterior</v>
      </c>
      <c r="AY1188" s="97" t="str">
        <f>IFERROR(__xludf.DUMMYFUNCTION("""COMPUTED_VALUE"""),"-")</f>
        <v>-</v>
      </c>
      <c r="AZ1188" s="97" t="str">
        <f>IFERROR(__xludf.DUMMYFUNCTION("""COMPUTED_VALUE"""),"Base Ø90mm x 15mm. Incluye Conector 3 Polos IP68.")</f>
        <v>Base Ø90mm x 15mm. Incluye Conector 3 Polos IP68.</v>
      </c>
      <c r="BA1188" s="97">
        <f>IFERROR(__xludf.DUMMYFUNCTION("""COMPUTED_VALUE"""),20.0)</f>
        <v>20</v>
      </c>
      <c r="BB1188" s="97" t="str">
        <f>IFERROR(__xludf.DUMMYFUNCTION("""COMPUTED_VALUE"""),"-")</f>
        <v>-</v>
      </c>
      <c r="BC1188" s="97" t="str">
        <f>IFERROR(__xludf.DUMMYFUNCTION("""COMPUTED_VALUE"""),"-")</f>
        <v>-</v>
      </c>
      <c r="BD1188" s="97" t="str">
        <f>IFERROR(__xludf.DUMMYFUNCTION("""COMPUTED_VALUE"""),"RIU")</f>
        <v>RIU</v>
      </c>
      <c r="BE1188" s="97" t="str">
        <f>IFERROR(__xludf.DUMMYFUNCTION("""COMPUTED_VALUE"""),"Finalizada")</f>
        <v>Finalizada</v>
      </c>
      <c r="BF1188" s="97"/>
      <c r="BG1188" s="97" t="str">
        <f>IFERROR(__xludf.DUMMYFUNCTION("""COMPUTED_VALUE"""),"Activo")</f>
        <v>Activo</v>
      </c>
    </row>
    <row r="1189">
      <c r="A1189" s="97">
        <f>IFERROR(__xludf.DUMMYFUNCTION("""COMPUTED_VALUE"""),7107.0)</f>
        <v>7107</v>
      </c>
      <c r="B1189" s="97" t="str">
        <f>IFERROR(__xludf.DUMMYFUNCTION("""COMPUTED_VALUE"""),"RONY")</f>
        <v>RONY</v>
      </c>
      <c r="C1189" s="97" t="str">
        <f>IFERROR(__xludf.DUMMYFUNCTION("""COMPUTED_VALUE"""),"BOLARDO RONY 2X3W 3000K 425LM CRI&gt;80 IP65 LEUK")</f>
        <v>BOLARDO RONY 2X3W 3000K 425LM CRI&gt;80 IP65 LEUK</v>
      </c>
      <c r="D1189" s="97">
        <f>IFERROR(__xludf.DUMMYFUNCTION("""COMPUTED_VALUE"""),7.798413226225E12)</f>
        <v>7798413226225</v>
      </c>
      <c r="E1189" s="97" t="str">
        <f>IFERROR(__xludf.DUMMYFUNCTION("""COMPUTED_VALUE"""),"C98")</f>
        <v>C98</v>
      </c>
      <c r="F1189" s="97" t="str">
        <f>IFERROR(__xludf.DUMMYFUNCTION("""COMPUTED_VALUE"""),"LED integrado")</f>
        <v>LED integrado</v>
      </c>
      <c r="G1189" s="97" t="str">
        <f>IFERROR(__xludf.DUMMYFUNCTION("""COMPUTED_VALUE"""),"-")</f>
        <v>-</v>
      </c>
      <c r="H1189" s="97" t="str">
        <f>IFERROR(__xludf.DUMMYFUNCTION("""COMPUTED_VALUE"""),"-")</f>
        <v>-</v>
      </c>
      <c r="I1189" s="97"/>
      <c r="J1189" s="97"/>
      <c r="K1189" s="97" t="str">
        <f>IFERROR(__xludf.DUMMYFUNCTION("""COMPUTED_VALUE"""),"ON/OFF")</f>
        <v>ON/OFF</v>
      </c>
      <c r="L1189" s="97" t="str">
        <f>IFERROR(__xludf.DUMMYFUNCTION("""COMPUTED_VALUE"""),"220-240")</f>
        <v>220-240</v>
      </c>
      <c r="M1189" s="97" t="str">
        <f>IFERROR(__xludf.DUMMYFUNCTION("""COMPUTED_VALUE"""),"50/60")</f>
        <v>50/60</v>
      </c>
      <c r="N1189" s="97"/>
      <c r="O1189" s="97" t="str">
        <f>IFERROR(__xludf.DUMMYFUNCTION("""COMPUTED_VALUE"""),"2x3")</f>
        <v>2x3</v>
      </c>
      <c r="P1189" s="97"/>
      <c r="Q1189" s="97">
        <f>IFERROR(__xludf.DUMMYFUNCTION("""COMPUTED_VALUE"""),0.78)</f>
        <v>0.78</v>
      </c>
      <c r="R1189" s="97" t="str">
        <f>IFERROR(__xludf.DUMMYFUNCTION("""COMPUTED_VALUE"""),"-")</f>
        <v>-</v>
      </c>
      <c r="S1189" s="97" t="str">
        <f>IFERROR(__xludf.DUMMYFUNCTION("""COMPUTED_VALUE"""),"-")</f>
        <v>-</v>
      </c>
      <c r="T1189" s="97">
        <f>IFERROR(__xludf.DUMMYFUNCTION("""COMPUTED_VALUE"""),425.0)</f>
        <v>425</v>
      </c>
      <c r="U1189" s="99">
        <f>IFERROR(__xludf.DUMMYFUNCTION("""COMPUTED_VALUE"""),70.83333333333333)</f>
        <v>70.83333333</v>
      </c>
      <c r="V1189" s="97">
        <f>IFERROR(__xludf.DUMMYFUNCTION("""COMPUTED_VALUE"""),30.0)</f>
        <v>30</v>
      </c>
      <c r="W1189" s="97" t="str">
        <f>IFERROR(__xludf.DUMMYFUNCTION("""COMPUTED_VALUE"""),"&lt; 10")</f>
        <v>&lt; 10</v>
      </c>
      <c r="X1189" s="97">
        <f>IFERROR(__xludf.DUMMYFUNCTION("""COMPUTED_VALUE"""),3000.0)</f>
        <v>3000</v>
      </c>
      <c r="Y1189" s="97" t="str">
        <f>IFERROR(__xludf.DUMMYFUNCTION("""COMPUTED_VALUE"""),"&gt;80")</f>
        <v>&gt;80</v>
      </c>
      <c r="Z1189" s="97"/>
      <c r="AA1189" s="97"/>
      <c r="AB1189" s="97" t="str">
        <f>IFERROR(__xludf.DUMMYFUNCTION("""COMPUTED_VALUE"""),"&lt; 5")</f>
        <v>&lt; 5</v>
      </c>
      <c r="AC1189" s="97"/>
      <c r="AD1189" s="97" t="str">
        <f>IFERROR(__xludf.DUMMYFUNCTION("""COMPUTED_VALUE"""),"IP65")</f>
        <v>IP65</v>
      </c>
      <c r="AE1189" s="97" t="str">
        <f>IFERROR(__xludf.DUMMYFUNCTION("""COMPUTED_VALUE"""),"Clase l")</f>
        <v>Clase l</v>
      </c>
      <c r="AF1189" s="97" t="str">
        <f>IFERROR(__xludf.DUMMYFUNCTION("""COMPUTED_VALUE"""),"Anclaje de piso")</f>
        <v>Anclaje de piso</v>
      </c>
      <c r="AG1189" s="97" t="str">
        <f>IFERROR(__xludf.DUMMYFUNCTION("""COMPUTED_VALUE"""),"Ø54 x 750")</f>
        <v>Ø54 x 750</v>
      </c>
      <c r="AH1189" s="97" t="str">
        <f>IFERROR(__xludf.DUMMYFUNCTION("""COMPUTED_VALUE"""),"N/A")</f>
        <v>N/A</v>
      </c>
      <c r="AI1189" s="97" t="str">
        <f>IFERROR(__xludf.DUMMYFUNCTION("""COMPUTED_VALUE"""),"N/A")</f>
        <v>N/A</v>
      </c>
      <c r="AJ1189" s="97" t="str">
        <f>IFERROR(__xludf.DUMMYFUNCTION("""COMPUTED_VALUE"""),"Policarbonato (PC)")</f>
        <v>Policarbonato (PC)</v>
      </c>
      <c r="AK1189" s="97" t="str">
        <f>IFERROR(__xludf.DUMMYFUNCTION("""COMPUTED_VALUE"""),"Aluminio")</f>
        <v>Aluminio</v>
      </c>
      <c r="AL1189" s="97" t="str">
        <f>IFERROR(__xludf.DUMMYFUNCTION("""COMPUTED_VALUE"""),"Negro Satinado")</f>
        <v>Negro Satinado</v>
      </c>
      <c r="AM1189" s="97" t="str">
        <f>IFERROR(__xludf.DUMMYFUNCTION("""COMPUTED_VALUE"""),"-")</f>
        <v>-</v>
      </c>
      <c r="AN1189" s="97" t="str">
        <f>IFERROR(__xludf.DUMMYFUNCTION("""COMPUTED_VALUE"""),"25.000hs (L70)")</f>
        <v>25.000hs (L70)</v>
      </c>
      <c r="AO1189" s="97" t="str">
        <f>IFERROR(__xludf.DUMMYFUNCTION("""COMPUTED_VALUE"""),"2 Años")</f>
        <v>2 Años</v>
      </c>
      <c r="AP1189" s="97" t="str">
        <f>IFERROR(__xludf.DUMMYFUNCTION("""COMPUTED_VALUE"""),"Disponible")</f>
        <v>Disponible</v>
      </c>
      <c r="AQ1189" s="97" t="str">
        <f>IFERROR(__xludf.DUMMYFUNCTION("""COMPUTED_VALUE"""),"Disponible")</f>
        <v>Disponible</v>
      </c>
      <c r="AR1189" s="97" t="str">
        <f>IFERROR(__xludf.DUMMYFUNCTION("""COMPUTED_VALUE"""),"Disponible")</f>
        <v>Disponible</v>
      </c>
      <c r="AS1189" s="97" t="str">
        <f>IFERROR(__xludf.DUMMYFUNCTION("""COMPUTED_VALUE"""),"Falta")</f>
        <v>Falta</v>
      </c>
      <c r="AT1189" s="97" t="str">
        <f>IFERROR(__xludf.DUMMYFUNCTION("""COMPUTED_VALUE"""),"Falta")</f>
        <v>Falta</v>
      </c>
      <c r="AU1189" s="97" t="str">
        <f>IFERROR(__xludf.DUMMYFUNCTION("""COMPUTED_VALUE"""),"Falta")</f>
        <v>Falta</v>
      </c>
      <c r="AV1189" s="97" t="str">
        <f>IFERROR(__xludf.DUMMYFUNCTION("""COMPUTED_VALUE"""),"Bolardo")</f>
        <v>Bolardo</v>
      </c>
      <c r="AW1189" s="97" t="str">
        <f>IFERROR(__xludf.DUMMYFUNCTION("""COMPUTED_VALUE"""),"De Piso")</f>
        <v>De Piso</v>
      </c>
      <c r="AX1189" s="97" t="str">
        <f>IFERROR(__xludf.DUMMYFUNCTION("""COMPUTED_VALUE"""),"Exterior")</f>
        <v>Exterior</v>
      </c>
      <c r="AY1189" s="97" t="str">
        <f>IFERROR(__xludf.DUMMYFUNCTION("""COMPUTED_VALUE"""),"-")</f>
        <v>-</v>
      </c>
      <c r="AZ1189" s="97" t="str">
        <f>IFERROR(__xludf.DUMMYFUNCTION("""COMPUTED_VALUE"""),"Incluye Conector 3 Polos IP68.")</f>
        <v>Incluye Conector 3 Polos IP68.</v>
      </c>
      <c r="BA1189" s="97">
        <f>IFERROR(__xludf.DUMMYFUNCTION("""COMPUTED_VALUE"""),20.0)</f>
        <v>20</v>
      </c>
      <c r="BB1189" s="97" t="str">
        <f>IFERROR(__xludf.DUMMYFUNCTION("""COMPUTED_VALUE"""),"-")</f>
        <v>-</v>
      </c>
      <c r="BC1189" s="97" t="str">
        <f>IFERROR(__xludf.DUMMYFUNCTION("""COMPUTED_VALUE"""),"-")</f>
        <v>-</v>
      </c>
      <c r="BD1189" s="97" t="str">
        <f>IFERROR(__xludf.DUMMYFUNCTION("""COMPUTED_VALUE"""),"RONY")</f>
        <v>RONY</v>
      </c>
      <c r="BE1189" s="97" t="str">
        <f>IFERROR(__xludf.DUMMYFUNCTION("""COMPUTED_VALUE"""),"Finalizada")</f>
        <v>Finalizada</v>
      </c>
      <c r="BF1189" s="97"/>
      <c r="BG1189" s="97" t="str">
        <f>IFERROR(__xludf.DUMMYFUNCTION("""COMPUTED_VALUE"""),"Activo")</f>
        <v>Activo</v>
      </c>
    </row>
    <row r="1190">
      <c r="A1190" s="97">
        <f>IFERROR(__xludf.DUMMYFUNCTION("""COMPUTED_VALUE"""),7108.0)</f>
        <v>7108</v>
      </c>
      <c r="B1190" s="97" t="str">
        <f>IFERROR(__xludf.DUMMYFUNCTION("""COMPUTED_VALUE"""),"OTTO")</f>
        <v>OTTO</v>
      </c>
      <c r="C1190" s="97" t="str">
        <f>IFERROR(__xludf.DUMMYFUNCTION("""COMPUTED_VALUE"""),"APLIQUE OTTO 2X5W 3000K 775LM CRI&gt;80 IP65 LEUK")</f>
        <v>APLIQUE OTTO 2X5W 3000K 775LM CRI&gt;80 IP65 LEUK</v>
      </c>
      <c r="D1190" s="97">
        <f>IFERROR(__xludf.DUMMYFUNCTION("""COMPUTED_VALUE"""),7.798413226232E12)</f>
        <v>7798413226232</v>
      </c>
      <c r="E1190" s="97" t="str">
        <f>IFERROR(__xludf.DUMMYFUNCTION("""COMPUTED_VALUE"""),"C31")</f>
        <v>C31</v>
      </c>
      <c r="F1190" s="97" t="str">
        <f>IFERROR(__xludf.DUMMYFUNCTION("""COMPUTED_VALUE"""),"LED integrado")</f>
        <v>LED integrado</v>
      </c>
      <c r="G1190" s="97" t="str">
        <f>IFERROR(__xludf.DUMMYFUNCTION("""COMPUTED_VALUE"""),"-")</f>
        <v>-</v>
      </c>
      <c r="H1190" s="97" t="str">
        <f>IFERROR(__xludf.DUMMYFUNCTION("""COMPUTED_VALUE"""),"-")</f>
        <v>-</v>
      </c>
      <c r="I1190" s="97"/>
      <c r="J1190" s="97"/>
      <c r="K1190" s="97" t="str">
        <f>IFERROR(__xludf.DUMMYFUNCTION("""COMPUTED_VALUE"""),"ON/OFF")</f>
        <v>ON/OFF</v>
      </c>
      <c r="L1190" s="97" t="str">
        <f>IFERROR(__xludf.DUMMYFUNCTION("""COMPUTED_VALUE"""),"220-240")</f>
        <v>220-240</v>
      </c>
      <c r="M1190" s="97" t="str">
        <f>IFERROR(__xludf.DUMMYFUNCTION("""COMPUTED_VALUE"""),"50/60")</f>
        <v>50/60</v>
      </c>
      <c r="N1190" s="97"/>
      <c r="O1190" s="97" t="str">
        <f>IFERROR(__xludf.DUMMYFUNCTION("""COMPUTED_VALUE"""),"2x5")</f>
        <v>2x5</v>
      </c>
      <c r="P1190" s="97"/>
      <c r="Q1190" s="97">
        <f>IFERROR(__xludf.DUMMYFUNCTION("""COMPUTED_VALUE"""),0.82)</f>
        <v>0.82</v>
      </c>
      <c r="R1190" s="97" t="str">
        <f>IFERROR(__xludf.DUMMYFUNCTION("""COMPUTED_VALUE"""),"-")</f>
        <v>-</v>
      </c>
      <c r="S1190" s="97" t="str">
        <f>IFERROR(__xludf.DUMMYFUNCTION("""COMPUTED_VALUE"""),"-")</f>
        <v>-</v>
      </c>
      <c r="T1190" s="97">
        <f>IFERROR(__xludf.DUMMYFUNCTION("""COMPUTED_VALUE"""),775.0)</f>
        <v>775</v>
      </c>
      <c r="U1190" s="99">
        <f>IFERROR(__xludf.DUMMYFUNCTION("""COMPUTED_VALUE"""),77.5)</f>
        <v>77.5</v>
      </c>
      <c r="V1190" s="97">
        <f>IFERROR(__xludf.DUMMYFUNCTION("""COMPUTED_VALUE"""),208.0)</f>
        <v>208</v>
      </c>
      <c r="W1190" s="97" t="str">
        <f>IFERROR(__xludf.DUMMYFUNCTION("""COMPUTED_VALUE"""),"&lt; 20")</f>
        <v>&lt; 20</v>
      </c>
      <c r="X1190" s="97">
        <f>IFERROR(__xludf.DUMMYFUNCTION("""COMPUTED_VALUE"""),3000.0)</f>
        <v>3000</v>
      </c>
      <c r="Y1190" s="97" t="str">
        <f>IFERROR(__xludf.DUMMYFUNCTION("""COMPUTED_VALUE"""),"&gt;80")</f>
        <v>&gt;80</v>
      </c>
      <c r="Z1190" s="97"/>
      <c r="AA1190" s="97"/>
      <c r="AB1190" s="97" t="str">
        <f>IFERROR(__xludf.DUMMYFUNCTION("""COMPUTED_VALUE"""),"&lt; 2")</f>
        <v>&lt; 2</v>
      </c>
      <c r="AC1190" s="97"/>
      <c r="AD1190" s="97" t="str">
        <f>IFERROR(__xludf.DUMMYFUNCTION("""COMPUTED_VALUE"""),"IP65")</f>
        <v>IP65</v>
      </c>
      <c r="AE1190" s="97" t="str">
        <f>IFERROR(__xludf.DUMMYFUNCTION("""COMPUTED_VALUE"""),"Clase l")</f>
        <v>Clase l</v>
      </c>
      <c r="AF1190" s="97" t="str">
        <f>IFERROR(__xludf.DUMMYFUNCTION("""COMPUTED_VALUE"""),"Aplicar")</f>
        <v>Aplicar</v>
      </c>
      <c r="AG1190" s="97" t="str">
        <f>IFERROR(__xludf.DUMMYFUNCTION("""COMPUTED_VALUE"""),"135 x 120 x 100")</f>
        <v>135 x 120 x 100</v>
      </c>
      <c r="AH1190" s="97" t="str">
        <f>IFERROR(__xludf.DUMMYFUNCTION("""COMPUTED_VALUE"""),"N/A")</f>
        <v>N/A</v>
      </c>
      <c r="AI1190" s="97" t="str">
        <f>IFERROR(__xludf.DUMMYFUNCTION("""COMPUTED_VALUE"""),"N/A")</f>
        <v>N/A</v>
      </c>
      <c r="AJ1190" s="97" t="str">
        <f>IFERROR(__xludf.DUMMYFUNCTION("""COMPUTED_VALUE"""),"Vidrio")</f>
        <v>Vidrio</v>
      </c>
      <c r="AK1190" s="97" t="str">
        <f>IFERROR(__xludf.DUMMYFUNCTION("""COMPUTED_VALUE"""),"Aluminio")</f>
        <v>Aluminio</v>
      </c>
      <c r="AL1190" s="97" t="str">
        <f>IFERROR(__xludf.DUMMYFUNCTION("""COMPUTED_VALUE"""),"Negro Satinado")</f>
        <v>Negro Satinado</v>
      </c>
      <c r="AM1190" s="97" t="str">
        <f>IFERROR(__xludf.DUMMYFUNCTION("""COMPUTED_VALUE"""),"-")</f>
        <v>-</v>
      </c>
      <c r="AN1190" s="97" t="str">
        <f>IFERROR(__xludf.DUMMYFUNCTION("""COMPUTED_VALUE"""),"25.000hs (L70)")</f>
        <v>25.000hs (L70)</v>
      </c>
      <c r="AO1190" s="97" t="str">
        <f>IFERROR(__xludf.DUMMYFUNCTION("""COMPUTED_VALUE"""),"2 Años")</f>
        <v>2 Años</v>
      </c>
      <c r="AP1190" s="97" t="str">
        <f>IFERROR(__xludf.DUMMYFUNCTION("""COMPUTED_VALUE"""),"Disponible")</f>
        <v>Disponible</v>
      </c>
      <c r="AQ1190" s="97" t="str">
        <f>IFERROR(__xludf.DUMMYFUNCTION("""COMPUTED_VALUE"""),"Disponible")</f>
        <v>Disponible</v>
      </c>
      <c r="AR1190" s="97" t="str">
        <f>IFERROR(__xludf.DUMMYFUNCTION("""COMPUTED_VALUE"""),"Disponible")</f>
        <v>Disponible</v>
      </c>
      <c r="AS1190" s="97" t="str">
        <f>IFERROR(__xludf.DUMMYFUNCTION("""COMPUTED_VALUE"""),"Falta")</f>
        <v>Falta</v>
      </c>
      <c r="AT1190" s="97" t="str">
        <f>IFERROR(__xludf.DUMMYFUNCTION("""COMPUTED_VALUE"""),"Falta")</f>
        <v>Falta</v>
      </c>
      <c r="AU1190" s="97" t="str">
        <f>IFERROR(__xludf.DUMMYFUNCTION("""COMPUTED_VALUE"""),"Disponible")</f>
        <v>Disponible</v>
      </c>
      <c r="AV1190" s="97" t="str">
        <f>IFERROR(__xludf.DUMMYFUNCTION("""COMPUTED_VALUE"""),"Aplique")</f>
        <v>Aplique</v>
      </c>
      <c r="AW1190" s="97" t="str">
        <f>IFERROR(__xludf.DUMMYFUNCTION("""COMPUTED_VALUE"""),"De Pared")</f>
        <v>De Pared</v>
      </c>
      <c r="AX1190" s="97" t="str">
        <f>IFERROR(__xludf.DUMMYFUNCTION("""COMPUTED_VALUE"""),"Exterior")</f>
        <v>Exterior</v>
      </c>
      <c r="AY1190" s="97" t="str">
        <f>IFERROR(__xludf.DUMMYFUNCTION("""COMPUTED_VALUE"""),"-")</f>
        <v>-</v>
      </c>
      <c r="AZ1190" s="97"/>
      <c r="BA1190" s="97">
        <f>IFERROR(__xludf.DUMMYFUNCTION("""COMPUTED_VALUE"""),20.0)</f>
        <v>20</v>
      </c>
      <c r="BB1190" s="97" t="str">
        <f>IFERROR(__xludf.DUMMYFUNCTION("""COMPUTED_VALUE"""),"-")</f>
        <v>-</v>
      </c>
      <c r="BC1190" s="97" t="str">
        <f>IFERROR(__xludf.DUMMYFUNCTION("""COMPUTED_VALUE"""),"-")</f>
        <v>-</v>
      </c>
      <c r="BD1190" s="97" t="str">
        <f>IFERROR(__xludf.DUMMYFUNCTION("""COMPUTED_VALUE"""),"OTTO")</f>
        <v>OTTO</v>
      </c>
      <c r="BE1190" s="97" t="str">
        <f>IFERROR(__xludf.DUMMYFUNCTION("""COMPUTED_VALUE"""),"Finalizada")</f>
        <v>Finalizada</v>
      </c>
      <c r="BF1190" s="97"/>
      <c r="BG1190" s="97" t="str">
        <f>IFERROR(__xludf.DUMMYFUNCTION("""COMPUTED_VALUE"""),"Activo")</f>
        <v>Activo</v>
      </c>
    </row>
    <row r="1191">
      <c r="A1191" s="97">
        <f>IFERROR(__xludf.DUMMYFUNCTION("""COMPUTED_VALUE"""),7109.0)</f>
        <v>7109</v>
      </c>
      <c r="B1191" s="97" t="str">
        <f>IFERROR(__xludf.DUMMYFUNCTION("""COMPUTED_VALUE"""),"CLASS")</f>
        <v>CLASS</v>
      </c>
      <c r="C1191" s="97" t="str">
        <f>IFERROR(__xludf.DUMMYFUNCTION("""COMPUTED_VALUE"""),"APLIQUE CLASS 2X5W 3000K 903LM CRI&gt;80 IP65 LEUK")</f>
        <v>APLIQUE CLASS 2X5W 3000K 903LM CRI&gt;80 IP65 LEUK</v>
      </c>
      <c r="D1191" s="97">
        <f>IFERROR(__xludf.DUMMYFUNCTION("""COMPUTED_VALUE"""),7.798413226249E12)</f>
        <v>7798413226249</v>
      </c>
      <c r="E1191" s="97" t="str">
        <f>IFERROR(__xludf.DUMMYFUNCTION("""COMPUTED_VALUE"""),"C32")</f>
        <v>C32</v>
      </c>
      <c r="F1191" s="97" t="str">
        <f>IFERROR(__xludf.DUMMYFUNCTION("""COMPUTED_VALUE"""),"LED integrado")</f>
        <v>LED integrado</v>
      </c>
      <c r="G1191" s="97" t="str">
        <f>IFERROR(__xludf.DUMMYFUNCTION("""COMPUTED_VALUE"""),"-")</f>
        <v>-</v>
      </c>
      <c r="H1191" s="97" t="str">
        <f>IFERROR(__xludf.DUMMYFUNCTION("""COMPUTED_VALUE"""),"-")</f>
        <v>-</v>
      </c>
      <c r="I1191" s="97"/>
      <c r="J1191" s="97"/>
      <c r="K1191" s="97" t="str">
        <f>IFERROR(__xludf.DUMMYFUNCTION("""COMPUTED_VALUE"""),"ON/OFF")</f>
        <v>ON/OFF</v>
      </c>
      <c r="L1191" s="97" t="str">
        <f>IFERROR(__xludf.DUMMYFUNCTION("""COMPUTED_VALUE"""),"220-240")</f>
        <v>220-240</v>
      </c>
      <c r="M1191" s="97" t="str">
        <f>IFERROR(__xludf.DUMMYFUNCTION("""COMPUTED_VALUE"""),"50/60")</f>
        <v>50/60</v>
      </c>
      <c r="N1191" s="97"/>
      <c r="O1191" s="97" t="str">
        <f>IFERROR(__xludf.DUMMYFUNCTION("""COMPUTED_VALUE"""),"2x5")</f>
        <v>2x5</v>
      </c>
      <c r="P1191" s="97"/>
      <c r="Q1191" s="97">
        <f>IFERROR(__xludf.DUMMYFUNCTION("""COMPUTED_VALUE"""),0.83)</f>
        <v>0.83</v>
      </c>
      <c r="R1191" s="97" t="str">
        <f>IFERROR(__xludf.DUMMYFUNCTION("""COMPUTED_VALUE"""),"-")</f>
        <v>-</v>
      </c>
      <c r="S1191" s="97" t="str">
        <f>IFERROR(__xludf.DUMMYFUNCTION("""COMPUTED_VALUE"""),"-")</f>
        <v>-</v>
      </c>
      <c r="T1191" s="97">
        <f>IFERROR(__xludf.DUMMYFUNCTION("""COMPUTED_VALUE"""),903.0)</f>
        <v>903</v>
      </c>
      <c r="U1191" s="99">
        <f>IFERROR(__xludf.DUMMYFUNCTION("""COMPUTED_VALUE"""),90.3)</f>
        <v>90.3</v>
      </c>
      <c r="V1191" s="97">
        <f>IFERROR(__xludf.DUMMYFUNCTION("""COMPUTED_VALUE"""),254.0)</f>
        <v>254</v>
      </c>
      <c r="W1191" s="97" t="str">
        <f>IFERROR(__xludf.DUMMYFUNCTION("""COMPUTED_VALUE"""),"&lt; 20")</f>
        <v>&lt; 20</v>
      </c>
      <c r="X1191" s="97">
        <f>IFERROR(__xludf.DUMMYFUNCTION("""COMPUTED_VALUE"""),3000.0)</f>
        <v>3000</v>
      </c>
      <c r="Y1191" s="97" t="str">
        <f>IFERROR(__xludf.DUMMYFUNCTION("""COMPUTED_VALUE"""),"&gt;80")</f>
        <v>&gt;80</v>
      </c>
      <c r="Z1191" s="97"/>
      <c r="AA1191" s="97"/>
      <c r="AB1191" s="97" t="str">
        <f>IFERROR(__xludf.DUMMYFUNCTION("""COMPUTED_VALUE"""),"&lt; 2")</f>
        <v>&lt; 2</v>
      </c>
      <c r="AC1191" s="97"/>
      <c r="AD1191" s="97" t="str">
        <f>IFERROR(__xludf.DUMMYFUNCTION("""COMPUTED_VALUE"""),"IP65")</f>
        <v>IP65</v>
      </c>
      <c r="AE1191" s="97" t="str">
        <f>IFERROR(__xludf.DUMMYFUNCTION("""COMPUTED_VALUE"""),"Clase l")</f>
        <v>Clase l</v>
      </c>
      <c r="AF1191" s="97" t="str">
        <f>IFERROR(__xludf.DUMMYFUNCTION("""COMPUTED_VALUE"""),"Aplicar")</f>
        <v>Aplicar</v>
      </c>
      <c r="AG1191" s="97" t="str">
        <f>IFERROR(__xludf.DUMMYFUNCTION("""COMPUTED_VALUE"""),"145 x 115 x 130")</f>
        <v>145 x 115 x 130</v>
      </c>
      <c r="AH1191" s="97" t="str">
        <f>IFERROR(__xludf.DUMMYFUNCTION("""COMPUTED_VALUE"""),"N/A")</f>
        <v>N/A</v>
      </c>
      <c r="AI1191" s="97" t="str">
        <f>IFERROR(__xludf.DUMMYFUNCTION("""COMPUTED_VALUE"""),"N/A")</f>
        <v>N/A</v>
      </c>
      <c r="AJ1191" s="97" t="str">
        <f>IFERROR(__xludf.DUMMYFUNCTION("""COMPUTED_VALUE"""),"Vidrio")</f>
        <v>Vidrio</v>
      </c>
      <c r="AK1191" s="97" t="str">
        <f>IFERROR(__xludf.DUMMYFUNCTION("""COMPUTED_VALUE"""),"Aluminio")</f>
        <v>Aluminio</v>
      </c>
      <c r="AL1191" s="97" t="str">
        <f>IFERROR(__xludf.DUMMYFUNCTION("""COMPUTED_VALUE"""),"Negro Satinado")</f>
        <v>Negro Satinado</v>
      </c>
      <c r="AM1191" s="97" t="str">
        <f>IFERROR(__xludf.DUMMYFUNCTION("""COMPUTED_VALUE"""),"-")</f>
        <v>-</v>
      </c>
      <c r="AN1191" s="97" t="str">
        <f>IFERROR(__xludf.DUMMYFUNCTION("""COMPUTED_VALUE"""),"25.000hs (L70)")</f>
        <v>25.000hs (L70)</v>
      </c>
      <c r="AO1191" s="97" t="str">
        <f>IFERROR(__xludf.DUMMYFUNCTION("""COMPUTED_VALUE"""),"2 Años")</f>
        <v>2 Años</v>
      </c>
      <c r="AP1191" s="97" t="str">
        <f>IFERROR(__xludf.DUMMYFUNCTION("""COMPUTED_VALUE"""),"Disponible")</f>
        <v>Disponible</v>
      </c>
      <c r="AQ1191" s="97" t="str">
        <f>IFERROR(__xludf.DUMMYFUNCTION("""COMPUTED_VALUE"""),"Disponible")</f>
        <v>Disponible</v>
      </c>
      <c r="AR1191" s="97" t="str">
        <f>IFERROR(__xludf.DUMMYFUNCTION("""COMPUTED_VALUE"""),"Disponible")</f>
        <v>Disponible</v>
      </c>
      <c r="AS1191" s="97" t="str">
        <f>IFERROR(__xludf.DUMMYFUNCTION("""COMPUTED_VALUE"""),"Falta")</f>
        <v>Falta</v>
      </c>
      <c r="AT1191" s="97" t="str">
        <f>IFERROR(__xludf.DUMMYFUNCTION("""COMPUTED_VALUE"""),"Falta")</f>
        <v>Falta</v>
      </c>
      <c r="AU1191" s="97" t="str">
        <f>IFERROR(__xludf.DUMMYFUNCTION("""COMPUTED_VALUE"""),"Falta")</f>
        <v>Falta</v>
      </c>
      <c r="AV1191" s="97" t="str">
        <f>IFERROR(__xludf.DUMMYFUNCTION("""COMPUTED_VALUE"""),"Aplique")</f>
        <v>Aplique</v>
      </c>
      <c r="AW1191" s="97" t="str">
        <f>IFERROR(__xludf.DUMMYFUNCTION("""COMPUTED_VALUE"""),"De Pared")</f>
        <v>De Pared</v>
      </c>
      <c r="AX1191" s="97" t="str">
        <f>IFERROR(__xludf.DUMMYFUNCTION("""COMPUTED_VALUE"""),"Exterior")</f>
        <v>Exterior</v>
      </c>
      <c r="AY1191" s="97" t="str">
        <f>IFERROR(__xludf.DUMMYFUNCTION("""COMPUTED_VALUE"""),"-")</f>
        <v>-</v>
      </c>
      <c r="AZ1191" s="97"/>
      <c r="BA1191" s="97">
        <f>IFERROR(__xludf.DUMMYFUNCTION("""COMPUTED_VALUE"""),20.0)</f>
        <v>20</v>
      </c>
      <c r="BB1191" s="97" t="str">
        <f>IFERROR(__xludf.DUMMYFUNCTION("""COMPUTED_VALUE"""),"-")</f>
        <v>-</v>
      </c>
      <c r="BC1191" s="97" t="str">
        <f>IFERROR(__xludf.DUMMYFUNCTION("""COMPUTED_VALUE"""),"-")</f>
        <v>-</v>
      </c>
      <c r="BD1191" s="97" t="str">
        <f>IFERROR(__xludf.DUMMYFUNCTION("""COMPUTED_VALUE"""),"CLASS")</f>
        <v>CLASS</v>
      </c>
      <c r="BE1191" s="97" t="str">
        <f>IFERROR(__xludf.DUMMYFUNCTION("""COMPUTED_VALUE"""),"Finalizada")</f>
        <v>Finalizada</v>
      </c>
      <c r="BF1191" s="97"/>
      <c r="BG1191" s="97" t="str">
        <f>IFERROR(__xludf.DUMMYFUNCTION("""COMPUTED_VALUE"""),"Activo")</f>
        <v>Activo</v>
      </c>
    </row>
    <row r="1192">
      <c r="A1192" s="97">
        <f>IFERROR(__xludf.DUMMYFUNCTION("""COMPUTED_VALUE"""),7110.0)</f>
        <v>7110</v>
      </c>
      <c r="B1192" s="97" t="str">
        <f>IFERROR(__xludf.DUMMYFUNCTION("""COMPUTED_VALUE"""),"LOFI AP 12W")</f>
        <v>LOFI AP 12W</v>
      </c>
      <c r="C1192" s="97" t="str">
        <f>IFERROR(__xludf.DUMMYFUNCTION("""COMPUTED_VALUE"""),"APLIQUE LOFI AP 12W 12W 3000K 540LM CRI&gt;85 IP65 LEUK")</f>
        <v>APLIQUE LOFI AP 12W 12W 3000K 540LM CRI&gt;85 IP65 LEUK</v>
      </c>
      <c r="D1192" s="97">
        <f>IFERROR(__xludf.DUMMYFUNCTION("""COMPUTED_VALUE"""),7.798413226638E12)</f>
        <v>7798413226638</v>
      </c>
      <c r="E1192" s="97" t="str">
        <f>IFERROR(__xludf.DUMMYFUNCTION("""COMPUTED_VALUE"""),"C22")</f>
        <v>C22</v>
      </c>
      <c r="F1192" s="97" t="str">
        <f>IFERROR(__xludf.DUMMYFUNCTION("""COMPUTED_VALUE"""),"LED integrado")</f>
        <v>LED integrado</v>
      </c>
      <c r="G1192" s="97" t="str">
        <f>IFERROR(__xludf.DUMMYFUNCTION("""COMPUTED_VALUE"""),"-")</f>
        <v>-</v>
      </c>
      <c r="H1192" s="97" t="str">
        <f>IFERROR(__xludf.DUMMYFUNCTION("""COMPUTED_VALUE"""),"-")</f>
        <v>-</v>
      </c>
      <c r="I1192" s="97"/>
      <c r="J1192" s="97" t="str">
        <f>IFERROR(__xludf.DUMMYFUNCTION("""COMPUTED_VALUE"""),"Modelo: LD-42300-1HB
In: 90-260Vac 0.16A 50/60Hz
Out: 24-42Vdc 300mA - 12.6W
Pf 0.6 Ta 50°C Tc 75°C IP65")</f>
        <v>Modelo: LD-42300-1HB
In: 90-260Vac 0.16A 50/60Hz
Out: 24-42Vdc 300mA - 12.6W
Pf 0.6 Ta 50°C Tc 75°C IP65</v>
      </c>
      <c r="K1192" s="97" t="str">
        <f>IFERROR(__xludf.DUMMYFUNCTION("""COMPUTED_VALUE"""),"ON/OFF")</f>
        <v>ON/OFF</v>
      </c>
      <c r="L1192" s="97" t="str">
        <f>IFERROR(__xludf.DUMMYFUNCTION("""COMPUTED_VALUE"""),"220-240")</f>
        <v>220-240</v>
      </c>
      <c r="M1192" s="97" t="str">
        <f>IFERROR(__xludf.DUMMYFUNCTION("""COMPUTED_VALUE"""),"50/60")</f>
        <v>50/60</v>
      </c>
      <c r="N1192" s="97"/>
      <c r="O1192" s="97">
        <f>IFERROR(__xludf.DUMMYFUNCTION("""COMPUTED_VALUE"""),12.0)</f>
        <v>12</v>
      </c>
      <c r="P1192" s="97"/>
      <c r="Q1192" s="97">
        <f>IFERROR(__xludf.DUMMYFUNCTION("""COMPUTED_VALUE"""),0.6)</f>
        <v>0.6</v>
      </c>
      <c r="R1192" s="97" t="str">
        <f>IFERROR(__xludf.DUMMYFUNCTION("""COMPUTED_VALUE"""),"-")</f>
        <v>-</v>
      </c>
      <c r="S1192" s="97" t="str">
        <f>IFERROR(__xludf.DUMMYFUNCTION("""COMPUTED_VALUE"""),"-")</f>
        <v>-</v>
      </c>
      <c r="T1192" s="97">
        <f>IFERROR(__xludf.DUMMYFUNCTION("""COMPUTED_VALUE"""),540.0)</f>
        <v>540</v>
      </c>
      <c r="U1192" s="97">
        <f>IFERROR(__xludf.DUMMYFUNCTION("""COMPUTED_VALUE"""),45.0)</f>
        <v>45</v>
      </c>
      <c r="V1192" s="97" t="str">
        <f>IFERROR(__xludf.DUMMYFUNCTION("""COMPUTED_VALUE"""),"V100° × H225°")</f>
        <v>V100° × H225°</v>
      </c>
      <c r="W1192" s="97" t="str">
        <f>IFERROR(__xludf.DUMMYFUNCTION("""COMPUTED_VALUE"""),"&lt; 18")</f>
        <v>&lt; 18</v>
      </c>
      <c r="X1192" s="97">
        <f>IFERROR(__xludf.DUMMYFUNCTION("""COMPUTED_VALUE"""),3000.0)</f>
        <v>3000</v>
      </c>
      <c r="Y1192" s="97" t="str">
        <f>IFERROR(__xludf.DUMMYFUNCTION("""COMPUTED_VALUE"""),"&gt;85")</f>
        <v>&gt;85</v>
      </c>
      <c r="Z1192" s="97"/>
      <c r="AA1192" s="97"/>
      <c r="AB1192" s="97" t="str">
        <f>IFERROR(__xludf.DUMMYFUNCTION("""COMPUTED_VALUE"""),"&lt; 5")</f>
        <v>&lt; 5</v>
      </c>
      <c r="AC1192" s="97"/>
      <c r="AD1192" s="97" t="str">
        <f>IFERROR(__xludf.DUMMYFUNCTION("""COMPUTED_VALUE"""),"IP65")</f>
        <v>IP65</v>
      </c>
      <c r="AE1192" s="97" t="str">
        <f>IFERROR(__xludf.DUMMYFUNCTION("""COMPUTED_VALUE"""),"Clase l")</f>
        <v>Clase l</v>
      </c>
      <c r="AF1192" s="97" t="str">
        <f>IFERROR(__xludf.DUMMYFUNCTION("""COMPUTED_VALUE"""),"Aplicar")</f>
        <v>Aplicar</v>
      </c>
      <c r="AG1192" s="97" t="str">
        <f>IFERROR(__xludf.DUMMYFUNCTION("""COMPUTED_VALUE"""),"95 x 60 x 300")</f>
        <v>95 x 60 x 300</v>
      </c>
      <c r="AH1192" s="97" t="str">
        <f>IFERROR(__xludf.DUMMYFUNCTION("""COMPUTED_VALUE"""),"N/A")</f>
        <v>N/A</v>
      </c>
      <c r="AI1192" s="97" t="str">
        <f>IFERROR(__xludf.DUMMYFUNCTION("""COMPUTED_VALUE"""),"N/A")</f>
        <v>N/A</v>
      </c>
      <c r="AJ1192" s="97" t="str">
        <f>IFERROR(__xludf.DUMMYFUNCTION("""COMPUTED_VALUE"""),"PMMA")</f>
        <v>PMMA</v>
      </c>
      <c r="AK1192" s="97" t="str">
        <f>IFERROR(__xludf.DUMMYFUNCTION("""COMPUTED_VALUE"""),"Aluminio y Acero")</f>
        <v>Aluminio y Acero</v>
      </c>
      <c r="AL1192" s="97" t="str">
        <f>IFERROR(__xludf.DUMMYFUNCTION("""COMPUTED_VALUE"""),"Negro Satinado")</f>
        <v>Negro Satinado</v>
      </c>
      <c r="AM1192" s="97" t="str">
        <f>IFERROR(__xludf.DUMMYFUNCTION("""COMPUTED_VALUE"""),"-")</f>
        <v>-</v>
      </c>
      <c r="AN1192" s="97" t="str">
        <f>IFERROR(__xludf.DUMMYFUNCTION("""COMPUTED_VALUE"""),"25.000hs (L70)")</f>
        <v>25.000hs (L70)</v>
      </c>
      <c r="AO1192" s="97" t="str">
        <f>IFERROR(__xludf.DUMMYFUNCTION("""COMPUTED_VALUE"""),"2 Años")</f>
        <v>2 Años</v>
      </c>
      <c r="AP1192" s="97" t="str">
        <f>IFERROR(__xludf.DUMMYFUNCTION("""COMPUTED_VALUE"""),"Disponible")</f>
        <v>Disponible</v>
      </c>
      <c r="AQ1192" s="97" t="str">
        <f>IFERROR(__xludf.DUMMYFUNCTION("""COMPUTED_VALUE"""),"Disponible")</f>
        <v>Disponible</v>
      </c>
      <c r="AR1192" s="97" t="str">
        <f>IFERROR(__xludf.DUMMYFUNCTION("""COMPUTED_VALUE"""),"Disponible")</f>
        <v>Disponible</v>
      </c>
      <c r="AS1192" s="97" t="str">
        <f>IFERROR(__xludf.DUMMYFUNCTION("""COMPUTED_VALUE"""),"Falta")</f>
        <v>Falta</v>
      </c>
      <c r="AT1192" s="97" t="str">
        <f>IFERROR(__xludf.DUMMYFUNCTION("""COMPUTED_VALUE"""),"Falta")</f>
        <v>Falta</v>
      </c>
      <c r="AU1192" s="97" t="str">
        <f>IFERROR(__xludf.DUMMYFUNCTION("""COMPUTED_VALUE"""),"Disponible")</f>
        <v>Disponible</v>
      </c>
      <c r="AV1192" s="97" t="str">
        <f>IFERROR(__xludf.DUMMYFUNCTION("""COMPUTED_VALUE"""),"Aplique")</f>
        <v>Aplique</v>
      </c>
      <c r="AW1192" s="97" t="str">
        <f>IFERROR(__xludf.DUMMYFUNCTION("""COMPUTED_VALUE"""),"De Pared")</f>
        <v>De Pared</v>
      </c>
      <c r="AX1192" s="97" t="str">
        <f>IFERROR(__xludf.DUMMYFUNCTION("""COMPUTED_VALUE"""),"Exterior")</f>
        <v>Exterior</v>
      </c>
      <c r="AY1192" s="97" t="str">
        <f>IFERROR(__xludf.DUMMYFUNCTION("""COMPUTED_VALUE"""),"-")</f>
        <v>-</v>
      </c>
      <c r="AZ1192" s="97"/>
      <c r="BA1192" s="97">
        <f>IFERROR(__xludf.DUMMYFUNCTION("""COMPUTED_VALUE"""),10.0)</f>
        <v>10</v>
      </c>
      <c r="BB1192" s="97" t="str">
        <f>IFERROR(__xludf.DUMMYFUNCTION("""COMPUTED_VALUE"""),"-")</f>
        <v>-</v>
      </c>
      <c r="BC1192" s="97" t="str">
        <f>IFERROR(__xludf.DUMMYFUNCTION("""COMPUTED_VALUE"""),"-")</f>
        <v>-</v>
      </c>
      <c r="BD1192" s="97" t="str">
        <f>IFERROR(__xludf.DUMMYFUNCTION("""COMPUTED_VALUE"""),"LOFI AP")</f>
        <v>LOFI AP</v>
      </c>
      <c r="BE1192" s="97" t="str">
        <f>IFERROR(__xludf.DUMMYFUNCTION("""COMPUTED_VALUE"""),"Finalizada")</f>
        <v>Finalizada</v>
      </c>
      <c r="BF1192" s="97"/>
      <c r="BG1192" s="97" t="str">
        <f>IFERROR(__xludf.DUMMYFUNCTION("""COMPUTED_VALUE"""),"Activo")</f>
        <v>Activo</v>
      </c>
    </row>
    <row r="1193">
      <c r="A1193" s="97">
        <f>IFERROR(__xludf.DUMMYFUNCTION("""COMPUTED_VALUE"""),7111.0)</f>
        <v>7111</v>
      </c>
      <c r="B1193" s="97" t="str">
        <f>IFERROR(__xludf.DUMMYFUNCTION("""COMPUTED_VALUE"""),"LOFI AP 20W")</f>
        <v>LOFI AP 20W</v>
      </c>
      <c r="C1193" s="97" t="str">
        <f>IFERROR(__xludf.DUMMYFUNCTION("""COMPUTED_VALUE"""),"APLIQUE LOFI AP 20W 20W 3000K 1102LM CRI&gt;85 IP65 LEUK")</f>
        <v>APLIQUE LOFI AP 20W 20W 3000K 1102LM CRI&gt;85 IP65 LEUK</v>
      </c>
      <c r="D1193" s="97">
        <f>IFERROR(__xludf.DUMMYFUNCTION("""COMPUTED_VALUE"""),7.798413226645E12)</f>
        <v>7798413226645</v>
      </c>
      <c r="E1193" s="97" t="str">
        <f>IFERROR(__xludf.DUMMYFUNCTION("""COMPUTED_VALUE"""),"C4")</f>
        <v>C4</v>
      </c>
      <c r="F1193" s="97" t="str">
        <f>IFERROR(__xludf.DUMMYFUNCTION("""COMPUTED_VALUE"""),"LED integrado")</f>
        <v>LED integrado</v>
      </c>
      <c r="G1193" s="97" t="str">
        <f>IFERROR(__xludf.DUMMYFUNCTION("""COMPUTED_VALUE"""),"-")</f>
        <v>-</v>
      </c>
      <c r="H1193" s="97" t="str">
        <f>IFERROR(__xludf.DUMMYFUNCTION("""COMPUTED_VALUE"""),"-")</f>
        <v>-</v>
      </c>
      <c r="I1193" s="97"/>
      <c r="J1193" s="97" t="str">
        <f>IFERROR(__xludf.DUMMYFUNCTION("""COMPUTED_VALUE"""),"Modelo: HS 12-18w 500ma
In: 85-265Vac 50/60Hz
Out: 24-42Vdc 500mA - 12-18W
Ta 50°C Tc 75°C IS15885 (part 2/sec 13)")</f>
        <v>Modelo: HS 12-18w 500ma
In: 85-265Vac 50/60Hz
Out: 24-42Vdc 500mA - 12-18W
Ta 50°C Tc 75°C IS15885 (part 2/sec 13)</v>
      </c>
      <c r="K1193" s="97" t="str">
        <f>IFERROR(__xludf.DUMMYFUNCTION("""COMPUTED_VALUE"""),"ON/OFF")</f>
        <v>ON/OFF</v>
      </c>
      <c r="L1193" s="97" t="str">
        <f>IFERROR(__xludf.DUMMYFUNCTION("""COMPUTED_VALUE"""),"220-240")</f>
        <v>220-240</v>
      </c>
      <c r="M1193" s="97" t="str">
        <f>IFERROR(__xludf.DUMMYFUNCTION("""COMPUTED_VALUE"""),"50/60")</f>
        <v>50/60</v>
      </c>
      <c r="N1193" s="97"/>
      <c r="O1193" s="97">
        <f>IFERROR(__xludf.DUMMYFUNCTION("""COMPUTED_VALUE"""),20.0)</f>
        <v>20</v>
      </c>
      <c r="P1193" s="97"/>
      <c r="Q1193" s="97">
        <f>IFERROR(__xludf.DUMMYFUNCTION("""COMPUTED_VALUE"""),0.52)</f>
        <v>0.52</v>
      </c>
      <c r="R1193" s="97" t="str">
        <f>IFERROR(__xludf.DUMMYFUNCTION("""COMPUTED_VALUE"""),"-")</f>
        <v>-</v>
      </c>
      <c r="S1193" s="97" t="str">
        <f>IFERROR(__xludf.DUMMYFUNCTION("""COMPUTED_VALUE"""),"-")</f>
        <v>-</v>
      </c>
      <c r="T1193" s="97">
        <f>IFERROR(__xludf.DUMMYFUNCTION("""COMPUTED_VALUE"""),1102.0)</f>
        <v>1102</v>
      </c>
      <c r="U1193" s="99">
        <f>IFERROR(__xludf.DUMMYFUNCTION("""COMPUTED_VALUE"""),55.1)</f>
        <v>55.1</v>
      </c>
      <c r="V1193" s="97" t="str">
        <f>IFERROR(__xludf.DUMMYFUNCTION("""COMPUTED_VALUE"""),"V100° × H225°")</f>
        <v>V100° × H225°</v>
      </c>
      <c r="W1193" s="97" t="str">
        <f>IFERROR(__xludf.DUMMYFUNCTION("""COMPUTED_VALUE"""),"&lt; 18")</f>
        <v>&lt; 18</v>
      </c>
      <c r="X1193" s="97">
        <f>IFERROR(__xludf.DUMMYFUNCTION("""COMPUTED_VALUE"""),3000.0)</f>
        <v>3000</v>
      </c>
      <c r="Y1193" s="97" t="str">
        <f>IFERROR(__xludf.DUMMYFUNCTION("""COMPUTED_VALUE"""),"&gt;85")</f>
        <v>&gt;85</v>
      </c>
      <c r="Z1193" s="97"/>
      <c r="AA1193" s="97"/>
      <c r="AB1193" s="97" t="str">
        <f>IFERROR(__xludf.DUMMYFUNCTION("""COMPUTED_VALUE"""),"&lt; 5")</f>
        <v>&lt; 5</v>
      </c>
      <c r="AC1193" s="97"/>
      <c r="AD1193" s="97" t="str">
        <f>IFERROR(__xludf.DUMMYFUNCTION("""COMPUTED_VALUE"""),"IP65")</f>
        <v>IP65</v>
      </c>
      <c r="AE1193" s="97" t="str">
        <f>IFERROR(__xludf.DUMMYFUNCTION("""COMPUTED_VALUE"""),"Clase l")</f>
        <v>Clase l</v>
      </c>
      <c r="AF1193" s="97" t="str">
        <f>IFERROR(__xludf.DUMMYFUNCTION("""COMPUTED_VALUE"""),"Aplicar")</f>
        <v>Aplicar</v>
      </c>
      <c r="AG1193" s="97" t="str">
        <f>IFERROR(__xludf.DUMMYFUNCTION("""COMPUTED_VALUE"""),"95 x 60 x 700")</f>
        <v>95 x 60 x 700</v>
      </c>
      <c r="AH1193" s="97" t="str">
        <f>IFERROR(__xludf.DUMMYFUNCTION("""COMPUTED_VALUE"""),"N/A")</f>
        <v>N/A</v>
      </c>
      <c r="AI1193" s="97" t="str">
        <f>IFERROR(__xludf.DUMMYFUNCTION("""COMPUTED_VALUE"""),"N/A")</f>
        <v>N/A</v>
      </c>
      <c r="AJ1193" s="97" t="str">
        <f>IFERROR(__xludf.DUMMYFUNCTION("""COMPUTED_VALUE"""),"PMMA")</f>
        <v>PMMA</v>
      </c>
      <c r="AK1193" s="97" t="str">
        <f>IFERROR(__xludf.DUMMYFUNCTION("""COMPUTED_VALUE"""),"Aluminio y Acero")</f>
        <v>Aluminio y Acero</v>
      </c>
      <c r="AL1193" s="97" t="str">
        <f>IFERROR(__xludf.DUMMYFUNCTION("""COMPUTED_VALUE"""),"Negro Satinado")</f>
        <v>Negro Satinado</v>
      </c>
      <c r="AM1193" s="97" t="str">
        <f>IFERROR(__xludf.DUMMYFUNCTION("""COMPUTED_VALUE"""),"-")</f>
        <v>-</v>
      </c>
      <c r="AN1193" s="97" t="str">
        <f>IFERROR(__xludf.DUMMYFUNCTION("""COMPUTED_VALUE"""),"25.000hs (L70)")</f>
        <v>25.000hs (L70)</v>
      </c>
      <c r="AO1193" s="97" t="str">
        <f>IFERROR(__xludf.DUMMYFUNCTION("""COMPUTED_VALUE"""),"2 Años")</f>
        <v>2 Años</v>
      </c>
      <c r="AP1193" s="97" t="str">
        <f>IFERROR(__xludf.DUMMYFUNCTION("""COMPUTED_VALUE"""),"Disponible")</f>
        <v>Disponible</v>
      </c>
      <c r="AQ1193" s="97" t="str">
        <f>IFERROR(__xludf.DUMMYFUNCTION("""COMPUTED_VALUE"""),"Disponible")</f>
        <v>Disponible</v>
      </c>
      <c r="AR1193" s="97" t="str">
        <f>IFERROR(__xludf.DUMMYFUNCTION("""COMPUTED_VALUE"""),"Disponible")</f>
        <v>Disponible</v>
      </c>
      <c r="AS1193" s="97" t="str">
        <f>IFERROR(__xludf.DUMMYFUNCTION("""COMPUTED_VALUE"""),"Falta")</f>
        <v>Falta</v>
      </c>
      <c r="AT1193" s="97" t="str">
        <f>IFERROR(__xludf.DUMMYFUNCTION("""COMPUTED_VALUE"""),"Falta")</f>
        <v>Falta</v>
      </c>
      <c r="AU1193" s="97" t="str">
        <f>IFERROR(__xludf.DUMMYFUNCTION("""COMPUTED_VALUE"""),"Disponible")</f>
        <v>Disponible</v>
      </c>
      <c r="AV1193" s="97" t="str">
        <f>IFERROR(__xludf.DUMMYFUNCTION("""COMPUTED_VALUE"""),"Aplique")</f>
        <v>Aplique</v>
      </c>
      <c r="AW1193" s="97" t="str">
        <f>IFERROR(__xludf.DUMMYFUNCTION("""COMPUTED_VALUE"""),"De Pared")</f>
        <v>De Pared</v>
      </c>
      <c r="AX1193" s="97" t="str">
        <f>IFERROR(__xludf.DUMMYFUNCTION("""COMPUTED_VALUE"""),"Exterior")</f>
        <v>Exterior</v>
      </c>
      <c r="AY1193" s="97" t="str">
        <f>IFERROR(__xludf.DUMMYFUNCTION("""COMPUTED_VALUE"""),"-")</f>
        <v>-</v>
      </c>
      <c r="AZ1193" s="97"/>
      <c r="BA1193" s="97">
        <f>IFERROR(__xludf.DUMMYFUNCTION("""COMPUTED_VALUE"""),10.0)</f>
        <v>10</v>
      </c>
      <c r="BB1193" s="97" t="str">
        <f>IFERROR(__xludf.DUMMYFUNCTION("""COMPUTED_VALUE"""),"-")</f>
        <v>-</v>
      </c>
      <c r="BC1193" s="97" t="str">
        <f>IFERROR(__xludf.DUMMYFUNCTION("""COMPUTED_VALUE"""),"-")</f>
        <v>-</v>
      </c>
      <c r="BD1193" s="97" t="str">
        <f>IFERROR(__xludf.DUMMYFUNCTION("""COMPUTED_VALUE"""),"LOFI AP")</f>
        <v>LOFI AP</v>
      </c>
      <c r="BE1193" s="97" t="str">
        <f>IFERROR(__xludf.DUMMYFUNCTION("""COMPUTED_VALUE"""),"Finalizada")</f>
        <v>Finalizada</v>
      </c>
      <c r="BF1193" s="97"/>
      <c r="BG1193" s="97" t="str">
        <f>IFERROR(__xludf.DUMMYFUNCTION("""COMPUTED_VALUE"""),"Activo")</f>
        <v>Activo</v>
      </c>
    </row>
    <row r="1194">
      <c r="A1194" s="97">
        <f>IFERROR(__xludf.DUMMYFUNCTION("""COMPUTED_VALUE"""),7112.0)</f>
        <v>7112</v>
      </c>
      <c r="B1194" s="97" t="str">
        <f>IFERROR(__xludf.DUMMYFUNCTION("""COMPUTED_VALUE"""),"LOFI 12W")</f>
        <v>LOFI 12W</v>
      </c>
      <c r="C1194" s="97" t="str">
        <f>IFERROR(__xludf.DUMMYFUNCTION("""COMPUTED_VALUE"""),"BOLARDO LOFI 12W 12W 3000K 627LM CRI&gt;85 IP65 LEUK")</f>
        <v>BOLARDO LOFI 12W 12W 3000K 627LM CRI&gt;85 IP65 LEUK</v>
      </c>
      <c r="D1194" s="97">
        <f>IFERROR(__xludf.DUMMYFUNCTION("""COMPUTED_VALUE"""),7.79841322627E12)</f>
        <v>7798413226270</v>
      </c>
      <c r="E1194" s="97" t="str">
        <f>IFERROR(__xludf.DUMMYFUNCTION("""COMPUTED_VALUE"""),"C23")</f>
        <v>C23</v>
      </c>
      <c r="F1194" s="97" t="str">
        <f>IFERROR(__xludf.DUMMYFUNCTION("""COMPUTED_VALUE"""),"LED integrado")</f>
        <v>LED integrado</v>
      </c>
      <c r="G1194" s="97" t="str">
        <f>IFERROR(__xludf.DUMMYFUNCTION("""COMPUTED_VALUE"""),"-")</f>
        <v>-</v>
      </c>
      <c r="H1194" s="97" t="str">
        <f>IFERROR(__xludf.DUMMYFUNCTION("""COMPUTED_VALUE"""),"-")</f>
        <v>-</v>
      </c>
      <c r="I1194" s="97"/>
      <c r="J1194" s="97" t="str">
        <f>IFERROR(__xludf.DUMMYFUNCTION("""COMPUTED_VALUE"""),"Modelo: HS 7-12w 300mA
In: 85-265Vac 50/60Hz
Out: 24-42Vdc 300mA
Ta 50°C Tc 75°C")</f>
        <v>Modelo: HS 7-12w 300mA
In: 85-265Vac 50/60Hz
Out: 24-42Vdc 300mA
Ta 50°C Tc 75°C</v>
      </c>
      <c r="K1194" s="97" t="str">
        <f>IFERROR(__xludf.DUMMYFUNCTION("""COMPUTED_VALUE"""),"ON/OFF")</f>
        <v>ON/OFF</v>
      </c>
      <c r="L1194" s="97" t="str">
        <f>IFERROR(__xludf.DUMMYFUNCTION("""COMPUTED_VALUE"""),"220-240")</f>
        <v>220-240</v>
      </c>
      <c r="M1194" s="97" t="str">
        <f>IFERROR(__xludf.DUMMYFUNCTION("""COMPUTED_VALUE"""),"50/60")</f>
        <v>50/60</v>
      </c>
      <c r="N1194" s="97"/>
      <c r="O1194" s="97">
        <f>IFERROR(__xludf.DUMMYFUNCTION("""COMPUTED_VALUE"""),12.0)</f>
        <v>12</v>
      </c>
      <c r="P1194" s="97"/>
      <c r="Q1194" s="97">
        <f>IFERROR(__xludf.DUMMYFUNCTION("""COMPUTED_VALUE"""),0.5)</f>
        <v>0.5</v>
      </c>
      <c r="R1194" s="97" t="str">
        <f>IFERROR(__xludf.DUMMYFUNCTION("""COMPUTED_VALUE"""),"-")</f>
        <v>-</v>
      </c>
      <c r="S1194" s="97" t="str">
        <f>IFERROR(__xludf.DUMMYFUNCTION("""COMPUTED_VALUE"""),"-")</f>
        <v>-</v>
      </c>
      <c r="T1194" s="97">
        <f>IFERROR(__xludf.DUMMYFUNCTION("""COMPUTED_VALUE"""),627.0)</f>
        <v>627</v>
      </c>
      <c r="U1194" s="99">
        <f>IFERROR(__xludf.DUMMYFUNCTION("""COMPUTED_VALUE"""),52.25)</f>
        <v>52.25</v>
      </c>
      <c r="V1194" s="97" t="str">
        <f>IFERROR(__xludf.DUMMYFUNCTION("""COMPUTED_VALUE"""),"V100° × H215°")</f>
        <v>V100° × H215°</v>
      </c>
      <c r="W1194" s="97" t="str">
        <f>IFERROR(__xludf.DUMMYFUNCTION("""COMPUTED_VALUE"""),"&lt; 10")</f>
        <v>&lt; 10</v>
      </c>
      <c r="X1194" s="97">
        <f>IFERROR(__xludf.DUMMYFUNCTION("""COMPUTED_VALUE"""),3000.0)</f>
        <v>3000</v>
      </c>
      <c r="Y1194" s="97" t="str">
        <f>IFERROR(__xludf.DUMMYFUNCTION("""COMPUTED_VALUE"""),"&gt;85")</f>
        <v>&gt;85</v>
      </c>
      <c r="Z1194" s="97"/>
      <c r="AA1194" s="97"/>
      <c r="AB1194" s="97" t="str">
        <f>IFERROR(__xludf.DUMMYFUNCTION("""COMPUTED_VALUE"""),"-")</f>
        <v>-</v>
      </c>
      <c r="AC1194" s="97"/>
      <c r="AD1194" s="97" t="str">
        <f>IFERROR(__xludf.DUMMYFUNCTION("""COMPUTED_VALUE"""),"IP65")</f>
        <v>IP65</v>
      </c>
      <c r="AE1194" s="97" t="str">
        <f>IFERROR(__xludf.DUMMYFUNCTION("""COMPUTED_VALUE"""),"Clase l")</f>
        <v>Clase l</v>
      </c>
      <c r="AF1194" s="97" t="str">
        <f>IFERROR(__xludf.DUMMYFUNCTION("""COMPUTED_VALUE"""),"Anclaje de piso")</f>
        <v>Anclaje de piso</v>
      </c>
      <c r="AG1194" s="97" t="str">
        <f>IFERROR(__xludf.DUMMYFUNCTION("""COMPUTED_VALUE"""),"Ø53 x 600")</f>
        <v>Ø53 x 600</v>
      </c>
      <c r="AH1194" s="97" t="str">
        <f>IFERROR(__xludf.DUMMYFUNCTION("""COMPUTED_VALUE"""),"N/A")</f>
        <v>N/A</v>
      </c>
      <c r="AI1194" s="97" t="str">
        <f>IFERROR(__xludf.DUMMYFUNCTION("""COMPUTED_VALUE"""),"N/A")</f>
        <v>N/A</v>
      </c>
      <c r="AJ1194" s="97" t="str">
        <f>IFERROR(__xludf.DUMMYFUNCTION("""COMPUTED_VALUE"""),"PMMA")</f>
        <v>PMMA</v>
      </c>
      <c r="AK1194" s="97" t="str">
        <f>IFERROR(__xludf.DUMMYFUNCTION("""COMPUTED_VALUE"""),"Aluminio")</f>
        <v>Aluminio</v>
      </c>
      <c r="AL1194" s="97" t="str">
        <f>IFERROR(__xludf.DUMMYFUNCTION("""COMPUTED_VALUE"""),"Negro Satinado")</f>
        <v>Negro Satinado</v>
      </c>
      <c r="AM1194" s="97" t="str">
        <f>IFERROR(__xludf.DUMMYFUNCTION("""COMPUTED_VALUE"""),"-")</f>
        <v>-</v>
      </c>
      <c r="AN1194" s="97" t="str">
        <f>IFERROR(__xludf.DUMMYFUNCTION("""COMPUTED_VALUE"""),"25.000hs (L70)")</f>
        <v>25.000hs (L70)</v>
      </c>
      <c r="AO1194" s="97" t="str">
        <f>IFERROR(__xludf.DUMMYFUNCTION("""COMPUTED_VALUE"""),"2 Años")</f>
        <v>2 Años</v>
      </c>
      <c r="AP1194" s="97" t="str">
        <f>IFERROR(__xludf.DUMMYFUNCTION("""COMPUTED_VALUE"""),"Disponible")</f>
        <v>Disponible</v>
      </c>
      <c r="AQ1194" s="97" t="str">
        <f>IFERROR(__xludf.DUMMYFUNCTION("""COMPUTED_VALUE"""),"Disponible")</f>
        <v>Disponible</v>
      </c>
      <c r="AR1194" s="97" t="str">
        <f>IFERROR(__xludf.DUMMYFUNCTION("""COMPUTED_VALUE"""),"Disponible")</f>
        <v>Disponible</v>
      </c>
      <c r="AS1194" s="97" t="str">
        <f>IFERROR(__xludf.DUMMYFUNCTION("""COMPUTED_VALUE"""),"Falta")</f>
        <v>Falta</v>
      </c>
      <c r="AT1194" s="97" t="str">
        <f>IFERROR(__xludf.DUMMYFUNCTION("""COMPUTED_VALUE"""),"Falta")</f>
        <v>Falta</v>
      </c>
      <c r="AU1194" s="97" t="str">
        <f>IFERROR(__xludf.DUMMYFUNCTION("""COMPUTED_VALUE"""),"Disponible")</f>
        <v>Disponible</v>
      </c>
      <c r="AV1194" s="97" t="str">
        <f>IFERROR(__xludf.DUMMYFUNCTION("""COMPUTED_VALUE"""),"Bolardo")</f>
        <v>Bolardo</v>
      </c>
      <c r="AW1194" s="97" t="str">
        <f>IFERROR(__xludf.DUMMYFUNCTION("""COMPUTED_VALUE"""),"De Piso")</f>
        <v>De Piso</v>
      </c>
      <c r="AX1194" s="97" t="str">
        <f>IFERROR(__xludf.DUMMYFUNCTION("""COMPUTED_VALUE"""),"Exterior")</f>
        <v>Exterior</v>
      </c>
      <c r="AY1194" s="97" t="str">
        <f>IFERROR(__xludf.DUMMYFUNCTION("""COMPUTED_VALUE"""),"-")</f>
        <v>-</v>
      </c>
      <c r="AZ1194" s="97" t="str">
        <f>IFERROR(__xludf.DUMMYFUNCTION("""COMPUTED_VALUE"""),"Base Ø120mm")</f>
        <v>Base Ø120mm</v>
      </c>
      <c r="BA1194" s="97">
        <f>IFERROR(__xludf.DUMMYFUNCTION("""COMPUTED_VALUE"""),4.0)</f>
        <v>4</v>
      </c>
      <c r="BB1194" s="97" t="str">
        <f>IFERROR(__xludf.DUMMYFUNCTION("""COMPUTED_VALUE"""),"-")</f>
        <v>-</v>
      </c>
      <c r="BC1194" s="97" t="str">
        <f>IFERROR(__xludf.DUMMYFUNCTION("""COMPUTED_VALUE"""),"-")</f>
        <v>-</v>
      </c>
      <c r="BD1194" s="97" t="str">
        <f>IFERROR(__xludf.DUMMYFUNCTION("""COMPUTED_VALUE"""),"LOFI")</f>
        <v>LOFI</v>
      </c>
      <c r="BE1194" s="97" t="str">
        <f>IFERROR(__xludf.DUMMYFUNCTION("""COMPUTED_VALUE"""),"Finalizada")</f>
        <v>Finalizada</v>
      </c>
      <c r="BF1194" s="97"/>
      <c r="BG1194" s="97" t="str">
        <f>IFERROR(__xludf.DUMMYFUNCTION("""COMPUTED_VALUE"""),"Activo")</f>
        <v>Activo</v>
      </c>
    </row>
    <row r="1195">
      <c r="A1195" s="97">
        <f>IFERROR(__xludf.DUMMYFUNCTION("""COMPUTED_VALUE"""),7113.0)</f>
        <v>7113</v>
      </c>
      <c r="B1195" s="97" t="str">
        <f>IFERROR(__xludf.DUMMYFUNCTION("""COMPUTED_VALUE"""),"LOFI 24W")</f>
        <v>LOFI 24W</v>
      </c>
      <c r="C1195" s="97" t="str">
        <f>IFERROR(__xludf.DUMMYFUNCTION("""COMPUTED_VALUE"""),"BOLARDO LOFI 24W 24W 3000K 1577LM CRI&gt;85 IP65 LEUK")</f>
        <v>BOLARDO LOFI 24W 24W 3000K 1577LM CRI&gt;85 IP65 LEUK</v>
      </c>
      <c r="D1195" s="97">
        <f>IFERROR(__xludf.DUMMYFUNCTION("""COMPUTED_VALUE"""),7.798413226287E12)</f>
        <v>7798413226287</v>
      </c>
      <c r="E1195" s="97" t="str">
        <f>IFERROR(__xludf.DUMMYFUNCTION("""COMPUTED_VALUE"""),"C171")</f>
        <v>C171</v>
      </c>
      <c r="F1195" s="97" t="str">
        <f>IFERROR(__xludf.DUMMYFUNCTION("""COMPUTED_VALUE"""),"LED integrado")</f>
        <v>LED integrado</v>
      </c>
      <c r="G1195" s="97" t="str">
        <f>IFERROR(__xludf.DUMMYFUNCTION("""COMPUTED_VALUE"""),"-")</f>
        <v>-</v>
      </c>
      <c r="H1195" s="97" t="str">
        <f>IFERROR(__xludf.DUMMYFUNCTION("""COMPUTED_VALUE"""),"-")</f>
        <v>-</v>
      </c>
      <c r="I1195" s="97"/>
      <c r="J1195" s="97" t="str">
        <f>IFERROR(__xludf.DUMMYFUNCTION("""COMPUTED_VALUE"""),"Modelo: HS 17-30w 700mA
In: 85-265Vac 50/60Hz
Out: 24-42Vdc 700mA
Ta 50°C Tc 75°C")</f>
        <v>Modelo: HS 17-30w 700mA
In: 85-265Vac 50/60Hz
Out: 24-42Vdc 700mA
Ta 50°C Tc 75°C</v>
      </c>
      <c r="K1195" s="97" t="str">
        <f>IFERROR(__xludf.DUMMYFUNCTION("""COMPUTED_VALUE"""),"ON/OFF")</f>
        <v>ON/OFF</v>
      </c>
      <c r="L1195" s="97" t="str">
        <f>IFERROR(__xludf.DUMMYFUNCTION("""COMPUTED_VALUE"""),"220-240")</f>
        <v>220-240</v>
      </c>
      <c r="M1195" s="97" t="str">
        <f>IFERROR(__xludf.DUMMYFUNCTION("""COMPUTED_VALUE"""),"50/60")</f>
        <v>50/60</v>
      </c>
      <c r="N1195" s="97"/>
      <c r="O1195" s="97">
        <f>IFERROR(__xludf.DUMMYFUNCTION("""COMPUTED_VALUE"""),24.0)</f>
        <v>24</v>
      </c>
      <c r="P1195" s="97"/>
      <c r="Q1195" s="97">
        <f>IFERROR(__xludf.DUMMYFUNCTION("""COMPUTED_VALUE"""),0.43)</f>
        <v>0.43</v>
      </c>
      <c r="R1195" s="97" t="str">
        <f>IFERROR(__xludf.DUMMYFUNCTION("""COMPUTED_VALUE"""),"-")</f>
        <v>-</v>
      </c>
      <c r="S1195" s="97" t="str">
        <f>IFERROR(__xludf.DUMMYFUNCTION("""COMPUTED_VALUE"""),"-")</f>
        <v>-</v>
      </c>
      <c r="T1195" s="97">
        <f>IFERROR(__xludf.DUMMYFUNCTION("""COMPUTED_VALUE"""),1577.0)</f>
        <v>1577</v>
      </c>
      <c r="U1195" s="99">
        <f>IFERROR(__xludf.DUMMYFUNCTION("""COMPUTED_VALUE"""),65.70833333333333)</f>
        <v>65.70833333</v>
      </c>
      <c r="V1195" s="97" t="str">
        <f>IFERROR(__xludf.DUMMYFUNCTION("""COMPUTED_VALUE"""),"V100° × H215°")</f>
        <v>V100° × H215°</v>
      </c>
      <c r="W1195" s="97" t="str">
        <f>IFERROR(__xludf.DUMMYFUNCTION("""COMPUTED_VALUE"""),"&lt; 12")</f>
        <v>&lt; 12</v>
      </c>
      <c r="X1195" s="97">
        <f>IFERROR(__xludf.DUMMYFUNCTION("""COMPUTED_VALUE"""),3000.0)</f>
        <v>3000</v>
      </c>
      <c r="Y1195" s="97" t="str">
        <f>IFERROR(__xludf.DUMMYFUNCTION("""COMPUTED_VALUE"""),"&gt;85")</f>
        <v>&gt;85</v>
      </c>
      <c r="Z1195" s="97"/>
      <c r="AA1195" s="97"/>
      <c r="AB1195" s="97" t="str">
        <f>IFERROR(__xludf.DUMMYFUNCTION("""COMPUTED_VALUE"""),"-")</f>
        <v>-</v>
      </c>
      <c r="AC1195" s="97"/>
      <c r="AD1195" s="97" t="str">
        <f>IFERROR(__xludf.DUMMYFUNCTION("""COMPUTED_VALUE"""),"IP65")</f>
        <v>IP65</v>
      </c>
      <c r="AE1195" s="97" t="str">
        <f>IFERROR(__xludf.DUMMYFUNCTION("""COMPUTED_VALUE"""),"Clase l")</f>
        <v>Clase l</v>
      </c>
      <c r="AF1195" s="97" t="str">
        <f>IFERROR(__xludf.DUMMYFUNCTION("""COMPUTED_VALUE"""),"Anclaje de piso")</f>
        <v>Anclaje de piso</v>
      </c>
      <c r="AG1195" s="97" t="str">
        <f>IFERROR(__xludf.DUMMYFUNCTION("""COMPUTED_VALUE"""),"Ø53 x 1200")</f>
        <v>Ø53 x 1200</v>
      </c>
      <c r="AH1195" s="97" t="str">
        <f>IFERROR(__xludf.DUMMYFUNCTION("""COMPUTED_VALUE"""),"N/A")</f>
        <v>N/A</v>
      </c>
      <c r="AI1195" s="97" t="str">
        <f>IFERROR(__xludf.DUMMYFUNCTION("""COMPUTED_VALUE"""),"N/A")</f>
        <v>N/A</v>
      </c>
      <c r="AJ1195" s="97" t="str">
        <f>IFERROR(__xludf.DUMMYFUNCTION("""COMPUTED_VALUE"""),"PMMA")</f>
        <v>PMMA</v>
      </c>
      <c r="AK1195" s="97" t="str">
        <f>IFERROR(__xludf.DUMMYFUNCTION("""COMPUTED_VALUE"""),"Aluminio")</f>
        <v>Aluminio</v>
      </c>
      <c r="AL1195" s="97" t="str">
        <f>IFERROR(__xludf.DUMMYFUNCTION("""COMPUTED_VALUE"""),"Negro Satinado")</f>
        <v>Negro Satinado</v>
      </c>
      <c r="AM1195" s="97" t="str">
        <f>IFERROR(__xludf.DUMMYFUNCTION("""COMPUTED_VALUE"""),"-")</f>
        <v>-</v>
      </c>
      <c r="AN1195" s="97" t="str">
        <f>IFERROR(__xludf.DUMMYFUNCTION("""COMPUTED_VALUE"""),"25.000hs (L70)")</f>
        <v>25.000hs (L70)</v>
      </c>
      <c r="AO1195" s="97" t="str">
        <f>IFERROR(__xludf.DUMMYFUNCTION("""COMPUTED_VALUE"""),"2 Años")</f>
        <v>2 Años</v>
      </c>
      <c r="AP1195" s="97" t="str">
        <f>IFERROR(__xludf.DUMMYFUNCTION("""COMPUTED_VALUE"""),"Disponible")</f>
        <v>Disponible</v>
      </c>
      <c r="AQ1195" s="97" t="str">
        <f>IFERROR(__xludf.DUMMYFUNCTION("""COMPUTED_VALUE"""),"Disponible")</f>
        <v>Disponible</v>
      </c>
      <c r="AR1195" s="97" t="str">
        <f>IFERROR(__xludf.DUMMYFUNCTION("""COMPUTED_VALUE"""),"Disponible")</f>
        <v>Disponible</v>
      </c>
      <c r="AS1195" s="97" t="str">
        <f>IFERROR(__xludf.DUMMYFUNCTION("""COMPUTED_VALUE"""),"Falta")</f>
        <v>Falta</v>
      </c>
      <c r="AT1195" s="97" t="str">
        <f>IFERROR(__xludf.DUMMYFUNCTION("""COMPUTED_VALUE"""),"Falta")</f>
        <v>Falta</v>
      </c>
      <c r="AU1195" s="97" t="str">
        <f>IFERROR(__xludf.DUMMYFUNCTION("""COMPUTED_VALUE"""),"Disponible")</f>
        <v>Disponible</v>
      </c>
      <c r="AV1195" s="97" t="str">
        <f>IFERROR(__xludf.DUMMYFUNCTION("""COMPUTED_VALUE"""),"Bolardo")</f>
        <v>Bolardo</v>
      </c>
      <c r="AW1195" s="97" t="str">
        <f>IFERROR(__xludf.DUMMYFUNCTION("""COMPUTED_VALUE"""),"De Piso")</f>
        <v>De Piso</v>
      </c>
      <c r="AX1195" s="97" t="str">
        <f>IFERROR(__xludf.DUMMYFUNCTION("""COMPUTED_VALUE"""),"Exterior")</f>
        <v>Exterior</v>
      </c>
      <c r="AY1195" s="97" t="str">
        <f>IFERROR(__xludf.DUMMYFUNCTION("""COMPUTED_VALUE"""),"-")</f>
        <v>-</v>
      </c>
      <c r="AZ1195" s="97" t="str">
        <f>IFERROR(__xludf.DUMMYFUNCTION("""COMPUTED_VALUE"""),"Base Ø120mm")</f>
        <v>Base Ø120mm</v>
      </c>
      <c r="BA1195" s="97">
        <f>IFERROR(__xludf.DUMMYFUNCTION("""COMPUTED_VALUE"""),4.0)</f>
        <v>4</v>
      </c>
      <c r="BB1195" s="97" t="str">
        <f>IFERROR(__xludf.DUMMYFUNCTION("""COMPUTED_VALUE"""),"-")</f>
        <v>-</v>
      </c>
      <c r="BC1195" s="97" t="str">
        <f>IFERROR(__xludf.DUMMYFUNCTION("""COMPUTED_VALUE"""),"-")</f>
        <v>-</v>
      </c>
      <c r="BD1195" s="97" t="str">
        <f>IFERROR(__xludf.DUMMYFUNCTION("""COMPUTED_VALUE"""),"LOFI")</f>
        <v>LOFI</v>
      </c>
      <c r="BE1195" s="97" t="str">
        <f>IFERROR(__xludf.DUMMYFUNCTION("""COMPUTED_VALUE"""),"Finalizada")</f>
        <v>Finalizada</v>
      </c>
      <c r="BF1195" s="97"/>
      <c r="BG1195" s="97" t="str">
        <f>IFERROR(__xludf.DUMMYFUNCTION("""COMPUTED_VALUE"""),"Activo")</f>
        <v>Activo</v>
      </c>
    </row>
    <row r="1196">
      <c r="A1196" s="97">
        <f>IFERROR(__xludf.DUMMYFUNCTION("""COMPUTED_VALUE"""),7114.0)</f>
        <v>7114</v>
      </c>
      <c r="B1196" s="97" t="str">
        <f>IFERROR(__xludf.DUMMYFUNCTION("""COMPUTED_VALUE"""),"FORTE NG 12W")</f>
        <v>FORTE NG 12W</v>
      </c>
      <c r="C1196" s="97" t="str">
        <f>IFERROR(__xludf.DUMMYFUNCTION("""COMPUTED_VALUE"""),"APLIQUE FORTE NG 12W 12W 2700K 709LM CRI&gt;95 IP20 LEUK")</f>
        <v>APLIQUE FORTE NG 12W 12W 2700K 709LM CRI&gt;95 IP20 LEUK</v>
      </c>
      <c r="D1196" s="97">
        <f>IFERROR(__xludf.DUMMYFUNCTION("""COMPUTED_VALUE"""),7.798413226294E12)</f>
        <v>7798413226294</v>
      </c>
      <c r="E1196" s="97" t="str">
        <f>IFERROR(__xludf.DUMMYFUNCTION("""COMPUTED_VALUE"""),"F58")</f>
        <v>F58</v>
      </c>
      <c r="F1196" s="97" t="str">
        <f>IFERROR(__xludf.DUMMYFUNCTION("""COMPUTED_VALUE"""),"LED SMD")</f>
        <v>LED SMD</v>
      </c>
      <c r="G1196" s="97" t="str">
        <f>IFERROR(__xludf.DUMMYFUNCTION("""COMPUTED_VALUE"""),"Epistar")</f>
        <v>Epistar</v>
      </c>
      <c r="H1196" s="97" t="str">
        <f>IFERROR(__xludf.DUMMYFUNCTION("""COMPUTED_VALUE"""),"Eaglerise")</f>
        <v>Eaglerise</v>
      </c>
      <c r="I1196" s="97"/>
      <c r="J1196" s="97" t="str">
        <f>IFERROR(__xludf.DUMMYFUNCTION("""COMPUTED_VALUE"""),"Modelo: CS-15-300 SI
In: 220-240Vac 0.15A 50/60Hz
Out: 27-42Vdc 300mA - 12.6W
Pf 0.55 Ta 70°C Tc 100°C")</f>
        <v>Modelo: CS-15-300 SI
In: 220-240Vac 0.15A 50/60Hz
Out: 27-42Vdc 300mA - 12.6W
Pf 0.55 Ta 70°C Tc 100°C</v>
      </c>
      <c r="K1196" s="97" t="str">
        <f>IFERROR(__xludf.DUMMYFUNCTION("""COMPUTED_VALUE"""),"ON/OFF")</f>
        <v>ON/OFF</v>
      </c>
      <c r="L1196" s="97" t="str">
        <f>IFERROR(__xludf.DUMMYFUNCTION("""COMPUTED_VALUE"""),"200-240")</f>
        <v>200-240</v>
      </c>
      <c r="M1196" s="97" t="str">
        <f>IFERROR(__xludf.DUMMYFUNCTION("""COMPUTED_VALUE"""),"50/60")</f>
        <v>50/60</v>
      </c>
      <c r="N1196" s="97" t="str">
        <f>IFERROR(__xludf.DUMMYFUNCTION("""COMPUTED_VALUE"""),"Semi directa")</f>
        <v>Semi directa</v>
      </c>
      <c r="O1196" s="97">
        <f>IFERROR(__xludf.DUMMYFUNCTION("""COMPUTED_VALUE"""),12.0)</f>
        <v>12</v>
      </c>
      <c r="P1196" s="97"/>
      <c r="Q1196" s="97">
        <f>IFERROR(__xludf.DUMMYFUNCTION("""COMPUTED_VALUE"""),0.55)</f>
        <v>0.55</v>
      </c>
      <c r="R1196" s="97" t="str">
        <f>IFERROR(__xludf.DUMMYFUNCTION("""COMPUTED_VALUE"""),"-")</f>
        <v>-</v>
      </c>
      <c r="S1196" s="97" t="str">
        <f>IFERROR(__xludf.DUMMYFUNCTION("""COMPUTED_VALUE"""),"-")</f>
        <v>-</v>
      </c>
      <c r="T1196" s="97">
        <f>IFERROR(__xludf.DUMMYFUNCTION("""COMPUTED_VALUE"""),709.0)</f>
        <v>709</v>
      </c>
      <c r="U1196" s="99">
        <f>IFERROR(__xludf.DUMMYFUNCTION("""COMPUTED_VALUE"""),59.083333333333336)</f>
        <v>59.08333333</v>
      </c>
      <c r="V1196" s="97">
        <f>IFERROR(__xludf.DUMMYFUNCTION("""COMPUTED_VALUE"""),99.0)</f>
        <v>99</v>
      </c>
      <c r="W1196" s="97" t="str">
        <f>IFERROR(__xludf.DUMMYFUNCTION("""COMPUTED_VALUE"""),"&lt; 22")</f>
        <v>&lt; 22</v>
      </c>
      <c r="X1196" s="97">
        <f>IFERROR(__xludf.DUMMYFUNCTION("""COMPUTED_VALUE"""),2700.0)</f>
        <v>2700</v>
      </c>
      <c r="Y1196" s="97" t="str">
        <f>IFERROR(__xludf.DUMMYFUNCTION("""COMPUTED_VALUE"""),"&gt;95")</f>
        <v>&gt;95</v>
      </c>
      <c r="Z1196" s="97"/>
      <c r="AA1196" s="97"/>
      <c r="AB1196" s="97" t="str">
        <f>IFERROR(__xludf.DUMMYFUNCTION("""COMPUTED_VALUE"""),"&lt; 4")</f>
        <v>&lt; 4</v>
      </c>
      <c r="AC1196" s="97"/>
      <c r="AD1196" s="97" t="str">
        <f>IFERROR(__xludf.DUMMYFUNCTION("""COMPUTED_VALUE"""),"IP20")</f>
        <v>IP20</v>
      </c>
      <c r="AE1196" s="97" t="str">
        <f>IFERROR(__xludf.DUMMYFUNCTION("""COMPUTED_VALUE"""),"Clase l")</f>
        <v>Clase l</v>
      </c>
      <c r="AF1196" s="97" t="str">
        <f>IFERROR(__xludf.DUMMYFUNCTION("""COMPUTED_VALUE"""),"Aplicar")</f>
        <v>Aplicar</v>
      </c>
      <c r="AG1196" s="97" t="str">
        <f>IFERROR(__xludf.DUMMYFUNCTION("""COMPUTED_VALUE"""),"Ø113 x 75")</f>
        <v>Ø113 x 75</v>
      </c>
      <c r="AH1196" s="97" t="str">
        <f>IFERROR(__xludf.DUMMYFUNCTION("""COMPUTED_VALUE"""),"N/A")</f>
        <v>N/A</v>
      </c>
      <c r="AI1196" s="97" t="str">
        <f>IFERROR(__xludf.DUMMYFUNCTION("""COMPUTED_VALUE"""),"N/A")</f>
        <v>N/A</v>
      </c>
      <c r="AJ1196" s="97" t="str">
        <f>IFERROR(__xludf.DUMMYFUNCTION("""COMPUTED_VALUE"""),"PMMA")</f>
        <v>PMMA</v>
      </c>
      <c r="AK1196" s="97" t="str">
        <f>IFERROR(__xludf.DUMMYFUNCTION("""COMPUTED_VALUE"""),"Aluminio")</f>
        <v>Aluminio</v>
      </c>
      <c r="AL1196" s="97" t="str">
        <f>IFERROR(__xludf.DUMMYFUNCTION("""COMPUTED_VALUE"""),"Negro Satinado")</f>
        <v>Negro Satinado</v>
      </c>
      <c r="AM1196" s="97" t="str">
        <f>IFERROR(__xludf.DUMMYFUNCTION("""COMPUTED_VALUE"""),"-")</f>
        <v>-</v>
      </c>
      <c r="AN1196" s="97" t="str">
        <f>IFERROR(__xludf.DUMMYFUNCTION("""COMPUTED_VALUE"""),"30.000hs (L70)")</f>
        <v>30.000hs (L70)</v>
      </c>
      <c r="AO1196" s="97" t="str">
        <f>IFERROR(__xludf.DUMMYFUNCTION("""COMPUTED_VALUE"""),"3 Años")</f>
        <v>3 Años</v>
      </c>
      <c r="AP1196" s="97" t="str">
        <f>IFERROR(__xludf.DUMMYFUNCTION("""COMPUTED_VALUE"""),"Disponible")</f>
        <v>Disponible</v>
      </c>
      <c r="AQ1196" s="97" t="str">
        <f>IFERROR(__xludf.DUMMYFUNCTION("""COMPUTED_VALUE"""),"Disponible")</f>
        <v>Disponible</v>
      </c>
      <c r="AR1196" s="97" t="str">
        <f>IFERROR(__xludf.DUMMYFUNCTION("""COMPUTED_VALUE"""),"Disponible")</f>
        <v>Disponible</v>
      </c>
      <c r="AS1196" s="97" t="str">
        <f>IFERROR(__xludf.DUMMYFUNCTION("""COMPUTED_VALUE"""),"Disponible")</f>
        <v>Disponible</v>
      </c>
      <c r="AT1196" s="97" t="str">
        <f>IFERROR(__xludf.DUMMYFUNCTION("""COMPUTED_VALUE"""),"Disponible")</f>
        <v>Disponible</v>
      </c>
      <c r="AU1196" s="97" t="str">
        <f>IFERROR(__xludf.DUMMYFUNCTION("""COMPUTED_VALUE"""),"Disponible")</f>
        <v>Disponible</v>
      </c>
      <c r="AV1196" s="97" t="str">
        <f>IFERROR(__xludf.DUMMYFUNCTION("""COMPUTED_VALUE"""),"Aplique")</f>
        <v>Aplique</v>
      </c>
      <c r="AW1196" s="97" t="str">
        <f>IFERROR(__xludf.DUMMYFUNCTION("""COMPUTED_VALUE"""),"De Techo")</f>
        <v>De Techo</v>
      </c>
      <c r="AX1196" s="97" t="str">
        <f>IFERROR(__xludf.DUMMYFUNCTION("""COMPUTED_VALUE"""),"Interior")</f>
        <v>Interior</v>
      </c>
      <c r="AY1196" s="97" t="str">
        <f>IFERROR(__xludf.DUMMYFUNCTION("""COMPUTED_VALUE"""),"-")</f>
        <v>-</v>
      </c>
      <c r="AZ1196" s="97" t="str">
        <f>IFERROR(__xludf.DUMMYFUNCTION("""COMPUTED_VALUE"""),"Led indirecto: 2W, Led directo 10W.")</f>
        <v>Led indirecto: 2W, Led directo 10W.</v>
      </c>
      <c r="BA1196" s="97">
        <f>IFERROR(__xludf.DUMMYFUNCTION("""COMPUTED_VALUE"""),20.0)</f>
        <v>20</v>
      </c>
      <c r="BB1196" s="97" t="str">
        <f>IFERROR(__xludf.DUMMYFUNCTION("""COMPUTED_VALUE"""),"-")</f>
        <v>-</v>
      </c>
      <c r="BC1196" s="97" t="str">
        <f>IFERROR(__xludf.DUMMYFUNCTION("""COMPUTED_VALUE"""),"-")</f>
        <v>-</v>
      </c>
      <c r="BD1196" s="97" t="str">
        <f>IFERROR(__xludf.DUMMYFUNCTION("""COMPUTED_VALUE"""),"FORTE")</f>
        <v>FORTE</v>
      </c>
      <c r="BE1196" s="97" t="str">
        <f>IFERROR(__xludf.DUMMYFUNCTION("""COMPUTED_VALUE"""),"Finalizada")</f>
        <v>Finalizada</v>
      </c>
      <c r="BF1196" s="97">
        <f>IFERROR(__xludf.DUMMYFUNCTION("""COMPUTED_VALUE"""),7481.0)</f>
        <v>7481</v>
      </c>
      <c r="BG1196" s="97" t="str">
        <f>IFERROR(__xludf.DUMMYFUNCTION("""COMPUTED_VALUE"""),"En Salida")</f>
        <v>En Salida</v>
      </c>
    </row>
    <row r="1197">
      <c r="A1197" s="97">
        <f>IFERROR(__xludf.DUMMYFUNCTION("""COMPUTED_VALUE"""),7115.0)</f>
        <v>7115</v>
      </c>
      <c r="B1197" s="97" t="str">
        <f>IFERROR(__xludf.DUMMYFUNCTION("""COMPUTED_VALUE"""),"FORTE BL 12W")</f>
        <v>FORTE BL 12W</v>
      </c>
      <c r="C1197" s="97" t="str">
        <f>IFERROR(__xludf.DUMMYFUNCTION("""COMPUTED_VALUE"""),"APLIQUE FORTE BL 12W 12W 2700K 709LM CRI&gt;95 IP20 LEUK")</f>
        <v>APLIQUE FORTE BL 12W 12W 2700K 709LM CRI&gt;95 IP20 LEUK</v>
      </c>
      <c r="D1197" s="97">
        <f>IFERROR(__xludf.DUMMYFUNCTION("""COMPUTED_VALUE"""),7.7984132263E12)</f>
        <v>7798413226300</v>
      </c>
      <c r="E1197" s="97" t="str">
        <f>IFERROR(__xludf.DUMMYFUNCTION("""COMPUTED_VALUE"""),"F58")</f>
        <v>F58</v>
      </c>
      <c r="F1197" s="97" t="str">
        <f>IFERROR(__xludf.DUMMYFUNCTION("""COMPUTED_VALUE"""),"LED SMD")</f>
        <v>LED SMD</v>
      </c>
      <c r="G1197" s="97" t="str">
        <f>IFERROR(__xludf.DUMMYFUNCTION("""COMPUTED_VALUE"""),"Epistar")</f>
        <v>Epistar</v>
      </c>
      <c r="H1197" s="97" t="str">
        <f>IFERROR(__xludf.DUMMYFUNCTION("""COMPUTED_VALUE"""),"Eaglerise")</f>
        <v>Eaglerise</v>
      </c>
      <c r="I1197" s="97"/>
      <c r="J1197" s="97" t="str">
        <f>IFERROR(__xludf.DUMMYFUNCTION("""COMPUTED_VALUE"""),"Modelo: CS-15-300 SI
In: 220-240Vac 0.15A 50/60Hz
Out: 27-42Vdc 300mA - 12.6W
Pf 0.55 Ta 70°C Tc 100°C")</f>
        <v>Modelo: CS-15-300 SI
In: 220-240Vac 0.15A 50/60Hz
Out: 27-42Vdc 300mA - 12.6W
Pf 0.55 Ta 70°C Tc 100°C</v>
      </c>
      <c r="K1197" s="97" t="str">
        <f>IFERROR(__xludf.DUMMYFUNCTION("""COMPUTED_VALUE"""),"ON/OFF")</f>
        <v>ON/OFF</v>
      </c>
      <c r="L1197" s="97" t="str">
        <f>IFERROR(__xludf.DUMMYFUNCTION("""COMPUTED_VALUE"""),"200-240")</f>
        <v>200-240</v>
      </c>
      <c r="M1197" s="97" t="str">
        <f>IFERROR(__xludf.DUMMYFUNCTION("""COMPUTED_VALUE"""),"50/60")</f>
        <v>50/60</v>
      </c>
      <c r="N1197" s="97" t="str">
        <f>IFERROR(__xludf.DUMMYFUNCTION("""COMPUTED_VALUE"""),"Semi directa")</f>
        <v>Semi directa</v>
      </c>
      <c r="O1197" s="97">
        <f>IFERROR(__xludf.DUMMYFUNCTION("""COMPUTED_VALUE"""),12.0)</f>
        <v>12</v>
      </c>
      <c r="P1197" s="97"/>
      <c r="Q1197" s="97">
        <f>IFERROR(__xludf.DUMMYFUNCTION("""COMPUTED_VALUE"""),0.55)</f>
        <v>0.55</v>
      </c>
      <c r="R1197" s="97" t="str">
        <f>IFERROR(__xludf.DUMMYFUNCTION("""COMPUTED_VALUE"""),"-")</f>
        <v>-</v>
      </c>
      <c r="S1197" s="97" t="str">
        <f>IFERROR(__xludf.DUMMYFUNCTION("""COMPUTED_VALUE"""),"-")</f>
        <v>-</v>
      </c>
      <c r="T1197" s="97">
        <f>IFERROR(__xludf.DUMMYFUNCTION("""COMPUTED_VALUE"""),709.0)</f>
        <v>709</v>
      </c>
      <c r="U1197" s="99">
        <f>IFERROR(__xludf.DUMMYFUNCTION("""COMPUTED_VALUE"""),59.083333333333336)</f>
        <v>59.08333333</v>
      </c>
      <c r="V1197" s="97">
        <f>IFERROR(__xludf.DUMMYFUNCTION("""COMPUTED_VALUE"""),99.0)</f>
        <v>99</v>
      </c>
      <c r="W1197" s="97" t="str">
        <f>IFERROR(__xludf.DUMMYFUNCTION("""COMPUTED_VALUE"""),"&lt; 22")</f>
        <v>&lt; 22</v>
      </c>
      <c r="X1197" s="97">
        <f>IFERROR(__xludf.DUMMYFUNCTION("""COMPUTED_VALUE"""),2700.0)</f>
        <v>2700</v>
      </c>
      <c r="Y1197" s="97" t="str">
        <f>IFERROR(__xludf.DUMMYFUNCTION("""COMPUTED_VALUE"""),"&gt;95")</f>
        <v>&gt;95</v>
      </c>
      <c r="Z1197" s="97"/>
      <c r="AA1197" s="97"/>
      <c r="AB1197" s="97" t="str">
        <f>IFERROR(__xludf.DUMMYFUNCTION("""COMPUTED_VALUE"""),"&lt; 4")</f>
        <v>&lt; 4</v>
      </c>
      <c r="AC1197" s="97"/>
      <c r="AD1197" s="97" t="str">
        <f>IFERROR(__xludf.DUMMYFUNCTION("""COMPUTED_VALUE"""),"IP20")</f>
        <v>IP20</v>
      </c>
      <c r="AE1197" s="97" t="str">
        <f>IFERROR(__xludf.DUMMYFUNCTION("""COMPUTED_VALUE"""),"Clase l")</f>
        <v>Clase l</v>
      </c>
      <c r="AF1197" s="97" t="str">
        <f>IFERROR(__xludf.DUMMYFUNCTION("""COMPUTED_VALUE"""),"Aplicar")</f>
        <v>Aplicar</v>
      </c>
      <c r="AG1197" s="97" t="str">
        <f>IFERROR(__xludf.DUMMYFUNCTION("""COMPUTED_VALUE"""),"Ø113 x 75")</f>
        <v>Ø113 x 75</v>
      </c>
      <c r="AH1197" s="97" t="str">
        <f>IFERROR(__xludf.DUMMYFUNCTION("""COMPUTED_VALUE"""),"N/A")</f>
        <v>N/A</v>
      </c>
      <c r="AI1197" s="97" t="str">
        <f>IFERROR(__xludf.DUMMYFUNCTION("""COMPUTED_VALUE"""),"N/A")</f>
        <v>N/A</v>
      </c>
      <c r="AJ1197" s="97" t="str">
        <f>IFERROR(__xludf.DUMMYFUNCTION("""COMPUTED_VALUE"""),"PMMA")</f>
        <v>PMMA</v>
      </c>
      <c r="AK1197" s="97" t="str">
        <f>IFERROR(__xludf.DUMMYFUNCTION("""COMPUTED_VALUE"""),"Aluminio")</f>
        <v>Aluminio</v>
      </c>
      <c r="AL1197" s="97" t="str">
        <f>IFERROR(__xludf.DUMMYFUNCTION("""COMPUTED_VALUE"""),"Blanco Satinado")</f>
        <v>Blanco Satinado</v>
      </c>
      <c r="AM1197" s="97" t="str">
        <f>IFERROR(__xludf.DUMMYFUNCTION("""COMPUTED_VALUE"""),"-")</f>
        <v>-</v>
      </c>
      <c r="AN1197" s="97" t="str">
        <f>IFERROR(__xludf.DUMMYFUNCTION("""COMPUTED_VALUE"""),"30.000hs (L70)")</f>
        <v>30.000hs (L70)</v>
      </c>
      <c r="AO1197" s="97" t="str">
        <f>IFERROR(__xludf.DUMMYFUNCTION("""COMPUTED_VALUE"""),"3 Años")</f>
        <v>3 Años</v>
      </c>
      <c r="AP1197" s="97" t="str">
        <f>IFERROR(__xludf.DUMMYFUNCTION("""COMPUTED_VALUE"""),"Disponible")</f>
        <v>Disponible</v>
      </c>
      <c r="AQ1197" s="97" t="str">
        <f>IFERROR(__xludf.DUMMYFUNCTION("""COMPUTED_VALUE"""),"Disponible")</f>
        <v>Disponible</v>
      </c>
      <c r="AR1197" s="97" t="str">
        <f>IFERROR(__xludf.DUMMYFUNCTION("""COMPUTED_VALUE"""),"Disponible")</f>
        <v>Disponible</v>
      </c>
      <c r="AS1197" s="97" t="str">
        <f>IFERROR(__xludf.DUMMYFUNCTION("""COMPUTED_VALUE"""),"Disponible")</f>
        <v>Disponible</v>
      </c>
      <c r="AT1197" s="97" t="str">
        <f>IFERROR(__xludf.DUMMYFUNCTION("""COMPUTED_VALUE"""),"Disponible")</f>
        <v>Disponible</v>
      </c>
      <c r="AU1197" s="97" t="str">
        <f>IFERROR(__xludf.DUMMYFUNCTION("""COMPUTED_VALUE"""),"Disponible")</f>
        <v>Disponible</v>
      </c>
      <c r="AV1197" s="97" t="str">
        <f>IFERROR(__xludf.DUMMYFUNCTION("""COMPUTED_VALUE"""),"Aplique")</f>
        <v>Aplique</v>
      </c>
      <c r="AW1197" s="97" t="str">
        <f>IFERROR(__xludf.DUMMYFUNCTION("""COMPUTED_VALUE"""),"De Techo")</f>
        <v>De Techo</v>
      </c>
      <c r="AX1197" s="97" t="str">
        <f>IFERROR(__xludf.DUMMYFUNCTION("""COMPUTED_VALUE"""),"Interior")</f>
        <v>Interior</v>
      </c>
      <c r="AY1197" s="97" t="str">
        <f>IFERROR(__xludf.DUMMYFUNCTION("""COMPUTED_VALUE"""),"-")</f>
        <v>-</v>
      </c>
      <c r="AZ1197" s="97" t="str">
        <f>IFERROR(__xludf.DUMMYFUNCTION("""COMPUTED_VALUE"""),"Led indirecto: 2W, Led directo 10W.")</f>
        <v>Led indirecto: 2W, Led directo 10W.</v>
      </c>
      <c r="BA1197" s="97">
        <f>IFERROR(__xludf.DUMMYFUNCTION("""COMPUTED_VALUE"""),20.0)</f>
        <v>20</v>
      </c>
      <c r="BB1197" s="97" t="str">
        <f>IFERROR(__xludf.DUMMYFUNCTION("""COMPUTED_VALUE"""),"-")</f>
        <v>-</v>
      </c>
      <c r="BC1197" s="97" t="str">
        <f>IFERROR(__xludf.DUMMYFUNCTION("""COMPUTED_VALUE"""),"-")</f>
        <v>-</v>
      </c>
      <c r="BD1197" s="97" t="str">
        <f>IFERROR(__xludf.DUMMYFUNCTION("""COMPUTED_VALUE"""),"FORTE")</f>
        <v>FORTE</v>
      </c>
      <c r="BE1197" s="97" t="str">
        <f>IFERROR(__xludf.DUMMYFUNCTION("""COMPUTED_VALUE"""),"Finalizada")</f>
        <v>Finalizada</v>
      </c>
      <c r="BF1197" s="97">
        <f>IFERROR(__xludf.DUMMYFUNCTION("""COMPUTED_VALUE"""),7479.0)</f>
        <v>7479</v>
      </c>
      <c r="BG1197" s="97" t="str">
        <f>IFERROR(__xludf.DUMMYFUNCTION("""COMPUTED_VALUE"""),"En Salida")</f>
        <v>En Salida</v>
      </c>
    </row>
    <row r="1198">
      <c r="A1198" s="97">
        <f>IFERROR(__xludf.DUMMYFUNCTION("""COMPUTED_VALUE"""),7116.0)</f>
        <v>7116</v>
      </c>
      <c r="B1198" s="97" t="str">
        <f>IFERROR(__xludf.DUMMYFUNCTION("""COMPUTED_VALUE"""),"FORTE NG 18W")</f>
        <v>FORTE NG 18W</v>
      </c>
      <c r="C1198" s="97" t="str">
        <f>IFERROR(__xludf.DUMMYFUNCTION("""COMPUTED_VALUE"""),"APLIQUE FORTE NG 18W 18W 2700K 1202LM CRI&gt;95 IP20 LEUK")</f>
        <v>APLIQUE FORTE NG 18W 18W 2700K 1202LM CRI&gt;95 IP20 LEUK</v>
      </c>
      <c r="D1198" s="97">
        <f>IFERROR(__xludf.DUMMYFUNCTION("""COMPUTED_VALUE"""),7.798413226317E12)</f>
        <v>7798413226317</v>
      </c>
      <c r="E1198" s="97" t="str">
        <f>IFERROR(__xludf.DUMMYFUNCTION("""COMPUTED_VALUE"""),"F151")</f>
        <v>F151</v>
      </c>
      <c r="F1198" s="97" t="str">
        <f>IFERROR(__xludf.DUMMYFUNCTION("""COMPUTED_VALUE"""),"LED SMD")</f>
        <v>LED SMD</v>
      </c>
      <c r="G1198" s="97" t="str">
        <f>IFERROR(__xludf.DUMMYFUNCTION("""COMPUTED_VALUE"""),"Epistar")</f>
        <v>Epistar</v>
      </c>
      <c r="H1198" s="97" t="str">
        <f>IFERROR(__xludf.DUMMYFUNCTION("""COMPUTED_VALUE"""),"Eaglerise")</f>
        <v>Eaglerise</v>
      </c>
      <c r="I1198" s="97"/>
      <c r="J1198" s="97" t="str">
        <f>IFERROR(__xludf.DUMMYFUNCTION("""COMPUTED_VALUE"""),"Modelo: CS-22-500 SI
In: 220-240Vac 0.27A 50/60Hz
Out: 27-42Vdc 500mA - 21W
Pf 0.55 Ta 70°C Tc 100°C")</f>
        <v>Modelo: CS-22-500 SI
In: 220-240Vac 0.27A 50/60Hz
Out: 27-42Vdc 500mA - 21W
Pf 0.55 Ta 70°C Tc 100°C</v>
      </c>
      <c r="K1198" s="97" t="str">
        <f>IFERROR(__xludf.DUMMYFUNCTION("""COMPUTED_VALUE"""),"ON/OFF")</f>
        <v>ON/OFF</v>
      </c>
      <c r="L1198" s="97" t="str">
        <f>IFERROR(__xludf.DUMMYFUNCTION("""COMPUTED_VALUE"""),"200-240")</f>
        <v>200-240</v>
      </c>
      <c r="M1198" s="97" t="str">
        <f>IFERROR(__xludf.DUMMYFUNCTION("""COMPUTED_VALUE"""),"50/60")</f>
        <v>50/60</v>
      </c>
      <c r="N1198" s="97" t="str">
        <f>IFERROR(__xludf.DUMMYFUNCTION("""COMPUTED_VALUE"""),"Semi directa")</f>
        <v>Semi directa</v>
      </c>
      <c r="O1198" s="97">
        <f>IFERROR(__xludf.DUMMYFUNCTION("""COMPUTED_VALUE"""),18.0)</f>
        <v>18</v>
      </c>
      <c r="P1198" s="97"/>
      <c r="Q1198" s="97">
        <f>IFERROR(__xludf.DUMMYFUNCTION("""COMPUTED_VALUE"""),0.55)</f>
        <v>0.55</v>
      </c>
      <c r="R1198" s="97" t="str">
        <f>IFERROR(__xludf.DUMMYFUNCTION("""COMPUTED_VALUE"""),"-")</f>
        <v>-</v>
      </c>
      <c r="S1198" s="97" t="str">
        <f>IFERROR(__xludf.DUMMYFUNCTION("""COMPUTED_VALUE"""),"-")</f>
        <v>-</v>
      </c>
      <c r="T1198" s="97">
        <f>IFERROR(__xludf.DUMMYFUNCTION("""COMPUTED_VALUE"""),1202.0)</f>
        <v>1202</v>
      </c>
      <c r="U1198" s="99">
        <f>IFERROR(__xludf.DUMMYFUNCTION("""COMPUTED_VALUE"""),66.77777777777777)</f>
        <v>66.77777778</v>
      </c>
      <c r="V1198" s="97">
        <f>IFERROR(__xludf.DUMMYFUNCTION("""COMPUTED_VALUE"""),95.0)</f>
        <v>95</v>
      </c>
      <c r="W1198" s="97" t="str">
        <f>IFERROR(__xludf.DUMMYFUNCTION("""COMPUTED_VALUE"""),"&lt; 22")</f>
        <v>&lt; 22</v>
      </c>
      <c r="X1198" s="97">
        <f>IFERROR(__xludf.DUMMYFUNCTION("""COMPUTED_VALUE"""),2700.0)</f>
        <v>2700</v>
      </c>
      <c r="Y1198" s="97" t="str">
        <f>IFERROR(__xludf.DUMMYFUNCTION("""COMPUTED_VALUE"""),"&gt;95")</f>
        <v>&gt;95</v>
      </c>
      <c r="Z1198" s="97"/>
      <c r="AA1198" s="97"/>
      <c r="AB1198" s="97" t="str">
        <f>IFERROR(__xludf.DUMMYFUNCTION("""COMPUTED_VALUE"""),"&lt; 3")</f>
        <v>&lt; 3</v>
      </c>
      <c r="AC1198" s="97"/>
      <c r="AD1198" s="97" t="str">
        <f>IFERROR(__xludf.DUMMYFUNCTION("""COMPUTED_VALUE"""),"IP20")</f>
        <v>IP20</v>
      </c>
      <c r="AE1198" s="97" t="str">
        <f>IFERROR(__xludf.DUMMYFUNCTION("""COMPUTED_VALUE"""),"Clase l")</f>
        <v>Clase l</v>
      </c>
      <c r="AF1198" s="97" t="str">
        <f>IFERROR(__xludf.DUMMYFUNCTION("""COMPUTED_VALUE"""),"Aplicar")</f>
        <v>Aplicar</v>
      </c>
      <c r="AG1198" s="97" t="str">
        <f>IFERROR(__xludf.DUMMYFUNCTION("""COMPUTED_VALUE"""),"Ø138 x 75")</f>
        <v>Ø138 x 75</v>
      </c>
      <c r="AH1198" s="97" t="str">
        <f>IFERROR(__xludf.DUMMYFUNCTION("""COMPUTED_VALUE"""),"N/A")</f>
        <v>N/A</v>
      </c>
      <c r="AI1198" s="97" t="str">
        <f>IFERROR(__xludf.DUMMYFUNCTION("""COMPUTED_VALUE"""),"N/A")</f>
        <v>N/A</v>
      </c>
      <c r="AJ1198" s="97" t="str">
        <f>IFERROR(__xludf.DUMMYFUNCTION("""COMPUTED_VALUE"""),"PMMA")</f>
        <v>PMMA</v>
      </c>
      <c r="AK1198" s="97" t="str">
        <f>IFERROR(__xludf.DUMMYFUNCTION("""COMPUTED_VALUE"""),"Aluminio")</f>
        <v>Aluminio</v>
      </c>
      <c r="AL1198" s="97" t="str">
        <f>IFERROR(__xludf.DUMMYFUNCTION("""COMPUTED_VALUE"""),"Negro Satinado")</f>
        <v>Negro Satinado</v>
      </c>
      <c r="AM1198" s="97" t="str">
        <f>IFERROR(__xludf.DUMMYFUNCTION("""COMPUTED_VALUE"""),"-")</f>
        <v>-</v>
      </c>
      <c r="AN1198" s="97" t="str">
        <f>IFERROR(__xludf.DUMMYFUNCTION("""COMPUTED_VALUE"""),"30.000hs (L70)")</f>
        <v>30.000hs (L70)</v>
      </c>
      <c r="AO1198" s="97" t="str">
        <f>IFERROR(__xludf.DUMMYFUNCTION("""COMPUTED_VALUE"""),"3 Años")</f>
        <v>3 Años</v>
      </c>
      <c r="AP1198" s="97" t="str">
        <f>IFERROR(__xludf.DUMMYFUNCTION("""COMPUTED_VALUE"""),"Disponible")</f>
        <v>Disponible</v>
      </c>
      <c r="AQ1198" s="97" t="str">
        <f>IFERROR(__xludf.DUMMYFUNCTION("""COMPUTED_VALUE"""),"Disponible")</f>
        <v>Disponible</v>
      </c>
      <c r="AR1198" s="97" t="str">
        <f>IFERROR(__xludf.DUMMYFUNCTION("""COMPUTED_VALUE"""),"Disponible")</f>
        <v>Disponible</v>
      </c>
      <c r="AS1198" s="97" t="str">
        <f>IFERROR(__xludf.DUMMYFUNCTION("""COMPUTED_VALUE"""),"Disponible")</f>
        <v>Disponible</v>
      </c>
      <c r="AT1198" s="97" t="str">
        <f>IFERROR(__xludf.DUMMYFUNCTION("""COMPUTED_VALUE"""),"Disponible")</f>
        <v>Disponible</v>
      </c>
      <c r="AU1198" s="97" t="str">
        <f>IFERROR(__xludf.DUMMYFUNCTION("""COMPUTED_VALUE"""),"Disponible")</f>
        <v>Disponible</v>
      </c>
      <c r="AV1198" s="97" t="str">
        <f>IFERROR(__xludf.DUMMYFUNCTION("""COMPUTED_VALUE"""),"Aplique")</f>
        <v>Aplique</v>
      </c>
      <c r="AW1198" s="97" t="str">
        <f>IFERROR(__xludf.DUMMYFUNCTION("""COMPUTED_VALUE"""),"De Techo")</f>
        <v>De Techo</v>
      </c>
      <c r="AX1198" s="97" t="str">
        <f>IFERROR(__xludf.DUMMYFUNCTION("""COMPUTED_VALUE"""),"Interior")</f>
        <v>Interior</v>
      </c>
      <c r="AY1198" s="97" t="str">
        <f>IFERROR(__xludf.DUMMYFUNCTION("""COMPUTED_VALUE"""),"-")</f>
        <v>-</v>
      </c>
      <c r="AZ1198" s="97" t="str">
        <f>IFERROR(__xludf.DUMMYFUNCTION("""COMPUTED_VALUE"""),"Led indirecto: 2W, Led directo 16W.")</f>
        <v>Led indirecto: 2W, Led directo 16W.</v>
      </c>
      <c r="BA1198" s="97">
        <f>IFERROR(__xludf.DUMMYFUNCTION("""COMPUTED_VALUE"""),20.0)</f>
        <v>20</v>
      </c>
      <c r="BB1198" s="97" t="str">
        <f>IFERROR(__xludf.DUMMYFUNCTION("""COMPUTED_VALUE"""),"-")</f>
        <v>-</v>
      </c>
      <c r="BC1198" s="97" t="str">
        <f>IFERROR(__xludf.DUMMYFUNCTION("""COMPUTED_VALUE"""),"-")</f>
        <v>-</v>
      </c>
      <c r="BD1198" s="97" t="str">
        <f>IFERROR(__xludf.DUMMYFUNCTION("""COMPUTED_VALUE"""),"FORTE")</f>
        <v>FORTE</v>
      </c>
      <c r="BE1198" s="97" t="str">
        <f>IFERROR(__xludf.DUMMYFUNCTION("""COMPUTED_VALUE"""),"Finalizada")</f>
        <v>Finalizada</v>
      </c>
      <c r="BF1198" s="97">
        <f>IFERROR(__xludf.DUMMYFUNCTION("""COMPUTED_VALUE"""),7485.0)</f>
        <v>7485</v>
      </c>
      <c r="BG1198" s="97" t="str">
        <f>IFERROR(__xludf.DUMMYFUNCTION("""COMPUTED_VALUE"""),"En Salida")</f>
        <v>En Salida</v>
      </c>
    </row>
    <row r="1199">
      <c r="A1199" s="97">
        <f>IFERROR(__xludf.DUMMYFUNCTION("""COMPUTED_VALUE"""),7117.0)</f>
        <v>7117</v>
      </c>
      <c r="B1199" s="97" t="str">
        <f>IFERROR(__xludf.DUMMYFUNCTION("""COMPUTED_VALUE"""),"FORTE BL 18W")</f>
        <v>FORTE BL 18W</v>
      </c>
      <c r="C1199" s="97" t="str">
        <f>IFERROR(__xludf.DUMMYFUNCTION("""COMPUTED_VALUE"""),"APLIQUE FORTE BL 18W 18W 2700K 1202LM CRI&gt;95 IP20 LEUK")</f>
        <v>APLIQUE FORTE BL 18W 18W 2700K 1202LM CRI&gt;95 IP20 LEUK</v>
      </c>
      <c r="D1199" s="97">
        <f>IFERROR(__xludf.DUMMYFUNCTION("""COMPUTED_VALUE"""),7.798413226324E12)</f>
        <v>7798413226324</v>
      </c>
      <c r="E1199" s="97" t="str">
        <f>IFERROR(__xludf.DUMMYFUNCTION("""COMPUTED_VALUE"""),"F151")</f>
        <v>F151</v>
      </c>
      <c r="F1199" s="97" t="str">
        <f>IFERROR(__xludf.DUMMYFUNCTION("""COMPUTED_VALUE"""),"LED SMD")</f>
        <v>LED SMD</v>
      </c>
      <c r="G1199" s="97" t="str">
        <f>IFERROR(__xludf.DUMMYFUNCTION("""COMPUTED_VALUE"""),"Epistar")</f>
        <v>Epistar</v>
      </c>
      <c r="H1199" s="97" t="str">
        <f>IFERROR(__xludf.DUMMYFUNCTION("""COMPUTED_VALUE"""),"Eaglerise")</f>
        <v>Eaglerise</v>
      </c>
      <c r="I1199" s="97"/>
      <c r="J1199" s="97" t="str">
        <f>IFERROR(__xludf.DUMMYFUNCTION("""COMPUTED_VALUE"""),"Modelo: CS-22-500 SI
In: 220-240Vac 0.27A 50/60Hz
Out: 27-42Vdc 500mA - 21W
Pf 0.55 Ta 70°C Tc 100°C")</f>
        <v>Modelo: CS-22-500 SI
In: 220-240Vac 0.27A 50/60Hz
Out: 27-42Vdc 500mA - 21W
Pf 0.55 Ta 70°C Tc 100°C</v>
      </c>
      <c r="K1199" s="97" t="str">
        <f>IFERROR(__xludf.DUMMYFUNCTION("""COMPUTED_VALUE"""),"ON/OFF")</f>
        <v>ON/OFF</v>
      </c>
      <c r="L1199" s="97" t="str">
        <f>IFERROR(__xludf.DUMMYFUNCTION("""COMPUTED_VALUE"""),"200-240")</f>
        <v>200-240</v>
      </c>
      <c r="M1199" s="97" t="str">
        <f>IFERROR(__xludf.DUMMYFUNCTION("""COMPUTED_VALUE"""),"50/60")</f>
        <v>50/60</v>
      </c>
      <c r="N1199" s="97" t="str">
        <f>IFERROR(__xludf.DUMMYFUNCTION("""COMPUTED_VALUE"""),"Semi directa")</f>
        <v>Semi directa</v>
      </c>
      <c r="O1199" s="97">
        <f>IFERROR(__xludf.DUMMYFUNCTION("""COMPUTED_VALUE"""),18.0)</f>
        <v>18</v>
      </c>
      <c r="P1199" s="97"/>
      <c r="Q1199" s="97">
        <f>IFERROR(__xludf.DUMMYFUNCTION("""COMPUTED_VALUE"""),0.55)</f>
        <v>0.55</v>
      </c>
      <c r="R1199" s="97" t="str">
        <f>IFERROR(__xludf.DUMMYFUNCTION("""COMPUTED_VALUE"""),"-")</f>
        <v>-</v>
      </c>
      <c r="S1199" s="97" t="str">
        <f>IFERROR(__xludf.DUMMYFUNCTION("""COMPUTED_VALUE"""),"-")</f>
        <v>-</v>
      </c>
      <c r="T1199" s="97">
        <f>IFERROR(__xludf.DUMMYFUNCTION("""COMPUTED_VALUE"""),1202.0)</f>
        <v>1202</v>
      </c>
      <c r="U1199" s="99">
        <f>IFERROR(__xludf.DUMMYFUNCTION("""COMPUTED_VALUE"""),66.77777777777777)</f>
        <v>66.77777778</v>
      </c>
      <c r="V1199" s="97">
        <f>IFERROR(__xludf.DUMMYFUNCTION("""COMPUTED_VALUE"""),95.0)</f>
        <v>95</v>
      </c>
      <c r="W1199" s="97" t="str">
        <f>IFERROR(__xludf.DUMMYFUNCTION("""COMPUTED_VALUE"""),"&lt; 22")</f>
        <v>&lt; 22</v>
      </c>
      <c r="X1199" s="97">
        <f>IFERROR(__xludf.DUMMYFUNCTION("""COMPUTED_VALUE"""),2700.0)</f>
        <v>2700</v>
      </c>
      <c r="Y1199" s="97" t="str">
        <f>IFERROR(__xludf.DUMMYFUNCTION("""COMPUTED_VALUE"""),"&gt;95")</f>
        <v>&gt;95</v>
      </c>
      <c r="Z1199" s="97"/>
      <c r="AA1199" s="97"/>
      <c r="AB1199" s="97" t="str">
        <f>IFERROR(__xludf.DUMMYFUNCTION("""COMPUTED_VALUE"""),"&lt; 3")</f>
        <v>&lt; 3</v>
      </c>
      <c r="AC1199" s="97"/>
      <c r="AD1199" s="97" t="str">
        <f>IFERROR(__xludf.DUMMYFUNCTION("""COMPUTED_VALUE"""),"IP20")</f>
        <v>IP20</v>
      </c>
      <c r="AE1199" s="97" t="str">
        <f>IFERROR(__xludf.DUMMYFUNCTION("""COMPUTED_VALUE"""),"Clase l")</f>
        <v>Clase l</v>
      </c>
      <c r="AF1199" s="97" t="str">
        <f>IFERROR(__xludf.DUMMYFUNCTION("""COMPUTED_VALUE"""),"Aplicar")</f>
        <v>Aplicar</v>
      </c>
      <c r="AG1199" s="97" t="str">
        <f>IFERROR(__xludf.DUMMYFUNCTION("""COMPUTED_VALUE"""),"Ø138 x 75")</f>
        <v>Ø138 x 75</v>
      </c>
      <c r="AH1199" s="97" t="str">
        <f>IFERROR(__xludf.DUMMYFUNCTION("""COMPUTED_VALUE"""),"N/A")</f>
        <v>N/A</v>
      </c>
      <c r="AI1199" s="97" t="str">
        <f>IFERROR(__xludf.DUMMYFUNCTION("""COMPUTED_VALUE"""),"N/A")</f>
        <v>N/A</v>
      </c>
      <c r="AJ1199" s="97" t="str">
        <f>IFERROR(__xludf.DUMMYFUNCTION("""COMPUTED_VALUE"""),"PMMA")</f>
        <v>PMMA</v>
      </c>
      <c r="AK1199" s="97" t="str">
        <f>IFERROR(__xludf.DUMMYFUNCTION("""COMPUTED_VALUE"""),"Aluminio")</f>
        <v>Aluminio</v>
      </c>
      <c r="AL1199" s="97" t="str">
        <f>IFERROR(__xludf.DUMMYFUNCTION("""COMPUTED_VALUE"""),"Blanco Satinado")</f>
        <v>Blanco Satinado</v>
      </c>
      <c r="AM1199" s="97" t="str">
        <f>IFERROR(__xludf.DUMMYFUNCTION("""COMPUTED_VALUE"""),"-")</f>
        <v>-</v>
      </c>
      <c r="AN1199" s="97" t="str">
        <f>IFERROR(__xludf.DUMMYFUNCTION("""COMPUTED_VALUE"""),"30.000hs (L70)")</f>
        <v>30.000hs (L70)</v>
      </c>
      <c r="AO1199" s="97" t="str">
        <f>IFERROR(__xludf.DUMMYFUNCTION("""COMPUTED_VALUE"""),"3 Años")</f>
        <v>3 Años</v>
      </c>
      <c r="AP1199" s="97" t="str">
        <f>IFERROR(__xludf.DUMMYFUNCTION("""COMPUTED_VALUE"""),"Disponible")</f>
        <v>Disponible</v>
      </c>
      <c r="AQ1199" s="97" t="str">
        <f>IFERROR(__xludf.DUMMYFUNCTION("""COMPUTED_VALUE"""),"Disponible")</f>
        <v>Disponible</v>
      </c>
      <c r="AR1199" s="97" t="str">
        <f>IFERROR(__xludf.DUMMYFUNCTION("""COMPUTED_VALUE"""),"Disponible")</f>
        <v>Disponible</v>
      </c>
      <c r="AS1199" s="97" t="str">
        <f>IFERROR(__xludf.DUMMYFUNCTION("""COMPUTED_VALUE"""),"Disponible")</f>
        <v>Disponible</v>
      </c>
      <c r="AT1199" s="97" t="str">
        <f>IFERROR(__xludf.DUMMYFUNCTION("""COMPUTED_VALUE"""),"Disponible")</f>
        <v>Disponible</v>
      </c>
      <c r="AU1199" s="97" t="str">
        <f>IFERROR(__xludf.DUMMYFUNCTION("""COMPUTED_VALUE"""),"Disponible")</f>
        <v>Disponible</v>
      </c>
      <c r="AV1199" s="97" t="str">
        <f>IFERROR(__xludf.DUMMYFUNCTION("""COMPUTED_VALUE"""),"Aplique")</f>
        <v>Aplique</v>
      </c>
      <c r="AW1199" s="97" t="str">
        <f>IFERROR(__xludf.DUMMYFUNCTION("""COMPUTED_VALUE"""),"De Techo")</f>
        <v>De Techo</v>
      </c>
      <c r="AX1199" s="97" t="str">
        <f>IFERROR(__xludf.DUMMYFUNCTION("""COMPUTED_VALUE"""),"Interior")</f>
        <v>Interior</v>
      </c>
      <c r="AY1199" s="97" t="str">
        <f>IFERROR(__xludf.DUMMYFUNCTION("""COMPUTED_VALUE"""),"-")</f>
        <v>-</v>
      </c>
      <c r="AZ1199" s="97" t="str">
        <f>IFERROR(__xludf.DUMMYFUNCTION("""COMPUTED_VALUE"""),"Led indirecto: 2W, Led directo 16W.")</f>
        <v>Led indirecto: 2W, Led directo 16W.</v>
      </c>
      <c r="BA1199" s="97">
        <f>IFERROR(__xludf.DUMMYFUNCTION("""COMPUTED_VALUE"""),20.0)</f>
        <v>20</v>
      </c>
      <c r="BB1199" s="97" t="str">
        <f>IFERROR(__xludf.DUMMYFUNCTION("""COMPUTED_VALUE"""),"-")</f>
        <v>-</v>
      </c>
      <c r="BC1199" s="97" t="str">
        <f>IFERROR(__xludf.DUMMYFUNCTION("""COMPUTED_VALUE"""),"-")</f>
        <v>-</v>
      </c>
      <c r="BD1199" s="97" t="str">
        <f>IFERROR(__xludf.DUMMYFUNCTION("""COMPUTED_VALUE"""),"FORTE")</f>
        <v>FORTE</v>
      </c>
      <c r="BE1199" s="97" t="str">
        <f>IFERROR(__xludf.DUMMYFUNCTION("""COMPUTED_VALUE"""),"Finalizada")</f>
        <v>Finalizada</v>
      </c>
      <c r="BF1199" s="97">
        <f>IFERROR(__xludf.DUMMYFUNCTION("""COMPUTED_VALUE"""),7483.0)</f>
        <v>7483</v>
      </c>
      <c r="BG1199" s="97" t="str">
        <f>IFERROR(__xludf.DUMMYFUNCTION("""COMPUTED_VALUE"""),"En Salida")</f>
        <v>En Salida</v>
      </c>
    </row>
    <row r="1200">
      <c r="A1200" s="97">
        <f>IFERROR(__xludf.DUMMYFUNCTION("""COMPUTED_VALUE"""),7118.0)</f>
        <v>7118</v>
      </c>
      <c r="B1200" s="97" t="str">
        <f>IFERROR(__xludf.DUMMYFUNCTION("""COMPUTED_VALUE"""),"FAMA BL")</f>
        <v>FAMA BL</v>
      </c>
      <c r="C1200" s="97" t="str">
        <f>IFERROR(__xludf.DUMMYFUNCTION("""COMPUTED_VALUE"""),"EMPOTRABLE FAMA BL 1XGU10 DICRO IP20 LEUK")</f>
        <v>EMPOTRABLE FAMA BL 1XGU10 DICRO IP20 LEUK</v>
      </c>
      <c r="D1200" s="97">
        <f>IFERROR(__xludf.DUMMYFUNCTION("""COMPUTED_VALUE"""),7.798413226331E12)</f>
        <v>7798413226331</v>
      </c>
      <c r="E1200" s="97" t="str">
        <f>IFERROR(__xludf.DUMMYFUNCTION("""COMPUTED_VALUE"""),"B81")</f>
        <v>B81</v>
      </c>
      <c r="F1200" s="97" t="str">
        <f>IFERROR(__xludf.DUMMYFUNCTION("""COMPUTED_VALUE"""),"1xGU10 Dicro")</f>
        <v>1xGU10 Dicro</v>
      </c>
      <c r="G1200" s="97" t="str">
        <f>IFERROR(__xludf.DUMMYFUNCTION("""COMPUTED_VALUE"""),"N/A")</f>
        <v>N/A</v>
      </c>
      <c r="H1200" s="97" t="str">
        <f>IFERROR(__xludf.DUMMYFUNCTION("""COMPUTED_VALUE"""),"N/A")</f>
        <v>N/A</v>
      </c>
      <c r="I1200" s="97" t="str">
        <f>IFERROR(__xludf.DUMMYFUNCTION("""COMPUTED_VALUE"""),"N/A")</f>
        <v>N/A</v>
      </c>
      <c r="J1200" s="97" t="str">
        <f>IFERROR(__xludf.DUMMYFUNCTION("""COMPUTED_VALUE"""),"N/A")</f>
        <v>N/A</v>
      </c>
      <c r="K1200" s="97" t="str">
        <f>IFERROR(__xludf.DUMMYFUNCTION("""COMPUTED_VALUE"""),"N/A")</f>
        <v>N/A</v>
      </c>
      <c r="L1200" s="97">
        <f>IFERROR(__xludf.DUMMYFUNCTION("""COMPUTED_VALUE"""),220.0)</f>
        <v>220</v>
      </c>
      <c r="M1200" s="97">
        <f>IFERROR(__xludf.DUMMYFUNCTION("""COMPUTED_VALUE"""),50.0)</f>
        <v>50</v>
      </c>
      <c r="N1200" s="97" t="str">
        <f>IFERROR(__xludf.DUMMYFUNCTION("""COMPUTED_VALUE"""),"Directa-Simétrica")</f>
        <v>Directa-Simétrica</v>
      </c>
      <c r="O1200" s="97" t="str">
        <f>IFERROR(__xludf.DUMMYFUNCTION("""COMPUTED_VALUE"""),"1 x 50W Max")</f>
        <v>1 x 50W Max</v>
      </c>
      <c r="P1200" s="97"/>
      <c r="Q1200" s="97" t="str">
        <f>IFERROR(__xludf.DUMMYFUNCTION("""COMPUTED_VALUE"""),"-")</f>
        <v>-</v>
      </c>
      <c r="R1200" s="97" t="str">
        <f>IFERROR(__xludf.DUMMYFUNCTION("""COMPUTED_VALUE"""),"-")</f>
        <v>-</v>
      </c>
      <c r="S1200" s="97" t="str">
        <f>IFERROR(__xludf.DUMMYFUNCTION("""COMPUTED_VALUE"""),"-")</f>
        <v>-</v>
      </c>
      <c r="T1200" s="97" t="str">
        <f>IFERROR(__xludf.DUMMYFUNCTION("""COMPUTED_VALUE"""),"-")</f>
        <v>-</v>
      </c>
      <c r="U1200" s="97" t="str">
        <f>IFERROR(__xludf.DUMMYFUNCTION("""COMPUTED_VALUE"""),"-")</f>
        <v>-</v>
      </c>
      <c r="V1200" s="97" t="str">
        <f>IFERROR(__xludf.DUMMYFUNCTION("""COMPUTED_VALUE"""),"N/A")</f>
        <v>N/A</v>
      </c>
      <c r="W1200" s="97" t="str">
        <f>IFERROR(__xludf.DUMMYFUNCTION("""COMPUTED_VALUE"""),"N/A")</f>
        <v>N/A</v>
      </c>
      <c r="X1200" s="97" t="str">
        <f>IFERROR(__xludf.DUMMYFUNCTION("""COMPUTED_VALUE"""),"-")</f>
        <v>-</v>
      </c>
      <c r="Y1200" s="97" t="str">
        <f>IFERROR(__xludf.DUMMYFUNCTION("""COMPUTED_VALUE"""),"N/A")</f>
        <v>N/A</v>
      </c>
      <c r="Z1200" s="97" t="str">
        <f>IFERROR(__xludf.DUMMYFUNCTION("""COMPUTED_VALUE"""),"N/A")</f>
        <v>N/A</v>
      </c>
      <c r="AA1200" s="97" t="str">
        <f>IFERROR(__xludf.DUMMYFUNCTION("""COMPUTED_VALUE"""),"N/A")</f>
        <v>N/A</v>
      </c>
      <c r="AB1200" s="97" t="str">
        <f>IFERROR(__xludf.DUMMYFUNCTION("""COMPUTED_VALUE"""),"N/A")</f>
        <v>N/A</v>
      </c>
      <c r="AC1200" s="97" t="str">
        <f>IFERROR(__xludf.DUMMYFUNCTION("""COMPUTED_VALUE"""),"N/A")</f>
        <v>N/A</v>
      </c>
      <c r="AD1200" s="97" t="str">
        <f>IFERROR(__xludf.DUMMYFUNCTION("""COMPUTED_VALUE"""),"IP20")</f>
        <v>IP20</v>
      </c>
      <c r="AE1200" s="97" t="str">
        <f>IFERROR(__xludf.DUMMYFUNCTION("""COMPUTED_VALUE"""),"Clase l")</f>
        <v>Clase l</v>
      </c>
      <c r="AF1200" s="97" t="str">
        <f>IFERROR(__xludf.DUMMYFUNCTION("""COMPUTED_VALUE"""),"Embutir")</f>
        <v>Embutir</v>
      </c>
      <c r="AG1200" s="97" t="str">
        <f>IFERROR(__xludf.DUMMYFUNCTION("""COMPUTED_VALUE"""),"Ø83 X 32")</f>
        <v>Ø83 X 32</v>
      </c>
      <c r="AH1200" s="97" t="str">
        <f>IFERROR(__xludf.DUMMYFUNCTION("""COMPUTED_VALUE"""),"Ø72-77")</f>
        <v>Ø72-77</v>
      </c>
      <c r="AI1200" s="97" t="str">
        <f>IFERROR(__xludf.DUMMYFUNCTION("""COMPUTED_VALUE"""),"90 *")</f>
        <v>90 *</v>
      </c>
      <c r="AJ1200" s="97" t="str">
        <f>IFERROR(__xludf.DUMMYFUNCTION("""COMPUTED_VALUE"""),"N/A")</f>
        <v>N/A</v>
      </c>
      <c r="AK1200" s="97" t="str">
        <f>IFERROR(__xludf.DUMMYFUNCTION("""COMPUTED_VALUE"""),"Aluminio")</f>
        <v>Aluminio</v>
      </c>
      <c r="AL1200" s="97" t="str">
        <f>IFERROR(__xludf.DUMMYFUNCTION("""COMPUTED_VALUE"""),"Blanco Satinado")</f>
        <v>Blanco Satinado</v>
      </c>
      <c r="AM1200" s="97" t="str">
        <f>IFERROR(__xludf.DUMMYFUNCTION("""COMPUTED_VALUE"""),"-")</f>
        <v>-</v>
      </c>
      <c r="AN1200" s="97" t="str">
        <f>IFERROR(__xludf.DUMMYFUNCTION("""COMPUTED_VALUE"""),"N/A")</f>
        <v>N/A</v>
      </c>
      <c r="AO1200" s="97" t="str">
        <f>IFERROR(__xludf.DUMMYFUNCTION("""COMPUTED_VALUE"""),"3 Años")</f>
        <v>3 Años</v>
      </c>
      <c r="AP1200" s="97" t="str">
        <f>IFERROR(__xludf.DUMMYFUNCTION("""COMPUTED_VALUE"""),"No Aplica")</f>
        <v>No Aplica</v>
      </c>
      <c r="AQ1200" s="97" t="str">
        <f>IFERROR(__xludf.DUMMYFUNCTION("""COMPUTED_VALUE"""),"No Aplica")</f>
        <v>No Aplica</v>
      </c>
      <c r="AR1200" s="97" t="str">
        <f>IFERROR(__xludf.DUMMYFUNCTION("""COMPUTED_VALUE"""),"No Aplica")</f>
        <v>No Aplica</v>
      </c>
      <c r="AS1200" s="97" t="str">
        <f>IFERROR(__xludf.DUMMYFUNCTION("""COMPUTED_VALUE"""),"Falta")</f>
        <v>Falta</v>
      </c>
      <c r="AT1200" s="97" t="str">
        <f>IFERROR(__xludf.DUMMYFUNCTION("""COMPUTED_VALUE"""),"Falta")</f>
        <v>Falta</v>
      </c>
      <c r="AU1200" s="97" t="str">
        <f>IFERROR(__xludf.DUMMYFUNCTION("""COMPUTED_VALUE"""),"Falta")</f>
        <v>Falta</v>
      </c>
      <c r="AV1200" s="97" t="str">
        <f>IFERROR(__xludf.DUMMYFUNCTION("""COMPUTED_VALUE"""),"Empotrable")</f>
        <v>Empotrable</v>
      </c>
      <c r="AW1200" s="97" t="str">
        <f>IFERROR(__xludf.DUMMYFUNCTION("""COMPUTED_VALUE"""),"De Techo")</f>
        <v>De Techo</v>
      </c>
      <c r="AX1200" s="97" t="str">
        <f>IFERROR(__xludf.DUMMYFUNCTION("""COMPUTED_VALUE"""),"Interior")</f>
        <v>Interior</v>
      </c>
      <c r="AY1200" s="97" t="str">
        <f>IFERROR(__xludf.DUMMYFUNCTION("""COMPUTED_VALUE"""),"-")</f>
        <v>-</v>
      </c>
      <c r="AZ1200" s="97" t="str">
        <f>IFERROR(__xludf.DUMMYFUNCTION("""COMPUTED_VALUE"""),"Incluye zócalo GU10.
*Profundidad de calado total aproximada (considera dicroica y zócalo estándar).")</f>
        <v>Incluye zócalo GU10.
*Profundidad de calado total aproximada (considera dicroica y zócalo estándar).</v>
      </c>
      <c r="BA1200" s="97">
        <f>IFERROR(__xludf.DUMMYFUNCTION("""COMPUTED_VALUE"""),20.0)</f>
        <v>20</v>
      </c>
      <c r="BB1200" s="97" t="str">
        <f>IFERROR(__xludf.DUMMYFUNCTION("""COMPUTED_VALUE"""),"-")</f>
        <v>-</v>
      </c>
      <c r="BC1200" s="97" t="str">
        <f>IFERROR(__xludf.DUMMYFUNCTION("""COMPUTED_VALUE"""),"-")</f>
        <v>-</v>
      </c>
      <c r="BD1200" s="97" t="str">
        <f>IFERROR(__xludf.DUMMYFUNCTION("""COMPUTED_VALUE"""),"FAMA")</f>
        <v>FAMA</v>
      </c>
      <c r="BE1200" s="97" t="str">
        <f>IFERROR(__xludf.DUMMYFUNCTION("""COMPUTED_VALUE"""),"Finalizada")</f>
        <v>Finalizada</v>
      </c>
      <c r="BF1200" s="97"/>
      <c r="BG1200" s="97" t="str">
        <f>IFERROR(__xludf.DUMMYFUNCTION("""COMPUTED_VALUE"""),"Activo")</f>
        <v>Activo</v>
      </c>
    </row>
    <row r="1201">
      <c r="A1201" s="97">
        <f>IFERROR(__xludf.DUMMYFUNCTION("""COMPUTED_VALUE"""),7119.0)</f>
        <v>7119</v>
      </c>
      <c r="B1201" s="97" t="str">
        <f>IFERROR(__xludf.DUMMYFUNCTION("""COMPUTED_VALUE"""),"FAMA NG")</f>
        <v>FAMA NG</v>
      </c>
      <c r="C1201" s="97" t="str">
        <f>IFERROR(__xludf.DUMMYFUNCTION("""COMPUTED_VALUE"""),"EMPOTRABLE FAMA NG 1XGU10 DICRO IP20 LEUK")</f>
        <v>EMPOTRABLE FAMA NG 1XGU10 DICRO IP20 LEUK</v>
      </c>
      <c r="D1201" s="97">
        <f>IFERROR(__xludf.DUMMYFUNCTION("""COMPUTED_VALUE"""),7.798413226348E12)</f>
        <v>7798413226348</v>
      </c>
      <c r="E1201" s="97" t="str">
        <f>IFERROR(__xludf.DUMMYFUNCTION("""COMPUTED_VALUE"""),"B81")</f>
        <v>B81</v>
      </c>
      <c r="F1201" s="97" t="str">
        <f>IFERROR(__xludf.DUMMYFUNCTION("""COMPUTED_VALUE"""),"1xGU10 Dicro")</f>
        <v>1xGU10 Dicro</v>
      </c>
      <c r="G1201" s="97" t="str">
        <f>IFERROR(__xludf.DUMMYFUNCTION("""COMPUTED_VALUE"""),"N/A")</f>
        <v>N/A</v>
      </c>
      <c r="H1201" s="97" t="str">
        <f>IFERROR(__xludf.DUMMYFUNCTION("""COMPUTED_VALUE"""),"N/A")</f>
        <v>N/A</v>
      </c>
      <c r="I1201" s="97" t="str">
        <f>IFERROR(__xludf.DUMMYFUNCTION("""COMPUTED_VALUE"""),"N/A")</f>
        <v>N/A</v>
      </c>
      <c r="J1201" s="97" t="str">
        <f>IFERROR(__xludf.DUMMYFUNCTION("""COMPUTED_VALUE"""),"N/A")</f>
        <v>N/A</v>
      </c>
      <c r="K1201" s="97" t="str">
        <f>IFERROR(__xludf.DUMMYFUNCTION("""COMPUTED_VALUE"""),"N/A")</f>
        <v>N/A</v>
      </c>
      <c r="L1201" s="97">
        <f>IFERROR(__xludf.DUMMYFUNCTION("""COMPUTED_VALUE"""),220.0)</f>
        <v>220</v>
      </c>
      <c r="M1201" s="97">
        <f>IFERROR(__xludf.DUMMYFUNCTION("""COMPUTED_VALUE"""),50.0)</f>
        <v>50</v>
      </c>
      <c r="N1201" s="97" t="str">
        <f>IFERROR(__xludf.DUMMYFUNCTION("""COMPUTED_VALUE"""),"Directa-Simétrica")</f>
        <v>Directa-Simétrica</v>
      </c>
      <c r="O1201" s="97" t="str">
        <f>IFERROR(__xludf.DUMMYFUNCTION("""COMPUTED_VALUE"""),"1 x 50W Max")</f>
        <v>1 x 50W Max</v>
      </c>
      <c r="P1201" s="97"/>
      <c r="Q1201" s="97" t="str">
        <f>IFERROR(__xludf.DUMMYFUNCTION("""COMPUTED_VALUE"""),"-")</f>
        <v>-</v>
      </c>
      <c r="R1201" s="97" t="str">
        <f>IFERROR(__xludf.DUMMYFUNCTION("""COMPUTED_VALUE"""),"-")</f>
        <v>-</v>
      </c>
      <c r="S1201" s="97" t="str">
        <f>IFERROR(__xludf.DUMMYFUNCTION("""COMPUTED_VALUE"""),"-")</f>
        <v>-</v>
      </c>
      <c r="T1201" s="97" t="str">
        <f>IFERROR(__xludf.DUMMYFUNCTION("""COMPUTED_VALUE"""),"-")</f>
        <v>-</v>
      </c>
      <c r="U1201" s="97" t="str">
        <f>IFERROR(__xludf.DUMMYFUNCTION("""COMPUTED_VALUE"""),"-")</f>
        <v>-</v>
      </c>
      <c r="V1201" s="97" t="str">
        <f>IFERROR(__xludf.DUMMYFUNCTION("""COMPUTED_VALUE"""),"N/A")</f>
        <v>N/A</v>
      </c>
      <c r="W1201" s="97" t="str">
        <f>IFERROR(__xludf.DUMMYFUNCTION("""COMPUTED_VALUE"""),"N/A")</f>
        <v>N/A</v>
      </c>
      <c r="X1201" s="97" t="str">
        <f>IFERROR(__xludf.DUMMYFUNCTION("""COMPUTED_VALUE"""),"-")</f>
        <v>-</v>
      </c>
      <c r="Y1201" s="97" t="str">
        <f>IFERROR(__xludf.DUMMYFUNCTION("""COMPUTED_VALUE"""),"N/A")</f>
        <v>N/A</v>
      </c>
      <c r="Z1201" s="97" t="str">
        <f>IFERROR(__xludf.DUMMYFUNCTION("""COMPUTED_VALUE"""),"N/A")</f>
        <v>N/A</v>
      </c>
      <c r="AA1201" s="97" t="str">
        <f>IFERROR(__xludf.DUMMYFUNCTION("""COMPUTED_VALUE"""),"N/A")</f>
        <v>N/A</v>
      </c>
      <c r="AB1201" s="97" t="str">
        <f>IFERROR(__xludf.DUMMYFUNCTION("""COMPUTED_VALUE"""),"N/A")</f>
        <v>N/A</v>
      </c>
      <c r="AC1201" s="97" t="str">
        <f>IFERROR(__xludf.DUMMYFUNCTION("""COMPUTED_VALUE"""),"N/A")</f>
        <v>N/A</v>
      </c>
      <c r="AD1201" s="97" t="str">
        <f>IFERROR(__xludf.DUMMYFUNCTION("""COMPUTED_VALUE"""),"IP20")</f>
        <v>IP20</v>
      </c>
      <c r="AE1201" s="97" t="str">
        <f>IFERROR(__xludf.DUMMYFUNCTION("""COMPUTED_VALUE"""),"Clase l")</f>
        <v>Clase l</v>
      </c>
      <c r="AF1201" s="97" t="str">
        <f>IFERROR(__xludf.DUMMYFUNCTION("""COMPUTED_VALUE"""),"Embutir")</f>
        <v>Embutir</v>
      </c>
      <c r="AG1201" s="97" t="str">
        <f>IFERROR(__xludf.DUMMYFUNCTION("""COMPUTED_VALUE"""),"Ø83 X 32")</f>
        <v>Ø83 X 32</v>
      </c>
      <c r="AH1201" s="97" t="str">
        <f>IFERROR(__xludf.DUMMYFUNCTION("""COMPUTED_VALUE"""),"Ø72-77")</f>
        <v>Ø72-77</v>
      </c>
      <c r="AI1201" s="97" t="str">
        <f>IFERROR(__xludf.DUMMYFUNCTION("""COMPUTED_VALUE"""),"90 *")</f>
        <v>90 *</v>
      </c>
      <c r="AJ1201" s="97" t="str">
        <f>IFERROR(__xludf.DUMMYFUNCTION("""COMPUTED_VALUE"""),"N/A")</f>
        <v>N/A</v>
      </c>
      <c r="AK1201" s="97" t="str">
        <f>IFERROR(__xludf.DUMMYFUNCTION("""COMPUTED_VALUE"""),"Aluminio")</f>
        <v>Aluminio</v>
      </c>
      <c r="AL1201" s="97" t="str">
        <f>IFERROR(__xludf.DUMMYFUNCTION("""COMPUTED_VALUE"""),"Negro Satinado")</f>
        <v>Negro Satinado</v>
      </c>
      <c r="AM1201" s="97" t="str">
        <f>IFERROR(__xludf.DUMMYFUNCTION("""COMPUTED_VALUE"""),"-")</f>
        <v>-</v>
      </c>
      <c r="AN1201" s="97" t="str">
        <f>IFERROR(__xludf.DUMMYFUNCTION("""COMPUTED_VALUE"""),"N/A")</f>
        <v>N/A</v>
      </c>
      <c r="AO1201" s="97" t="str">
        <f>IFERROR(__xludf.DUMMYFUNCTION("""COMPUTED_VALUE"""),"3 Años")</f>
        <v>3 Años</v>
      </c>
      <c r="AP1201" s="97" t="str">
        <f>IFERROR(__xludf.DUMMYFUNCTION("""COMPUTED_VALUE"""),"No Aplica")</f>
        <v>No Aplica</v>
      </c>
      <c r="AQ1201" s="97" t="str">
        <f>IFERROR(__xludf.DUMMYFUNCTION("""COMPUTED_VALUE"""),"No Aplica")</f>
        <v>No Aplica</v>
      </c>
      <c r="AR1201" s="97" t="str">
        <f>IFERROR(__xludf.DUMMYFUNCTION("""COMPUTED_VALUE"""),"No Aplica")</f>
        <v>No Aplica</v>
      </c>
      <c r="AS1201" s="97" t="str">
        <f>IFERROR(__xludf.DUMMYFUNCTION("""COMPUTED_VALUE"""),"Falta")</f>
        <v>Falta</v>
      </c>
      <c r="AT1201" s="97" t="str">
        <f>IFERROR(__xludf.DUMMYFUNCTION("""COMPUTED_VALUE"""),"Falta")</f>
        <v>Falta</v>
      </c>
      <c r="AU1201" s="97" t="str">
        <f>IFERROR(__xludf.DUMMYFUNCTION("""COMPUTED_VALUE"""),"Falta")</f>
        <v>Falta</v>
      </c>
      <c r="AV1201" s="97" t="str">
        <f>IFERROR(__xludf.DUMMYFUNCTION("""COMPUTED_VALUE"""),"Empotrable")</f>
        <v>Empotrable</v>
      </c>
      <c r="AW1201" s="97" t="str">
        <f>IFERROR(__xludf.DUMMYFUNCTION("""COMPUTED_VALUE"""),"De Techo")</f>
        <v>De Techo</v>
      </c>
      <c r="AX1201" s="97" t="str">
        <f>IFERROR(__xludf.DUMMYFUNCTION("""COMPUTED_VALUE"""),"Interior")</f>
        <v>Interior</v>
      </c>
      <c r="AY1201" s="97" t="str">
        <f>IFERROR(__xludf.DUMMYFUNCTION("""COMPUTED_VALUE"""),"-")</f>
        <v>-</v>
      </c>
      <c r="AZ1201" s="97" t="str">
        <f>IFERROR(__xludf.DUMMYFUNCTION("""COMPUTED_VALUE"""),"Incluye zócalo GU10.
*Profundidad de calado total aproximada (considera dicroica y zócalo estándar).")</f>
        <v>Incluye zócalo GU10.
*Profundidad de calado total aproximada (considera dicroica y zócalo estándar).</v>
      </c>
      <c r="BA1201" s="97">
        <f>IFERROR(__xludf.DUMMYFUNCTION("""COMPUTED_VALUE"""),20.0)</f>
        <v>20</v>
      </c>
      <c r="BB1201" s="97" t="str">
        <f>IFERROR(__xludf.DUMMYFUNCTION("""COMPUTED_VALUE"""),"-")</f>
        <v>-</v>
      </c>
      <c r="BC1201" s="97" t="str">
        <f>IFERROR(__xludf.DUMMYFUNCTION("""COMPUTED_VALUE"""),"-")</f>
        <v>-</v>
      </c>
      <c r="BD1201" s="97" t="str">
        <f>IFERROR(__xludf.DUMMYFUNCTION("""COMPUTED_VALUE"""),"FAMA")</f>
        <v>FAMA</v>
      </c>
      <c r="BE1201" s="97" t="str">
        <f>IFERROR(__xludf.DUMMYFUNCTION("""COMPUTED_VALUE"""),"Finalizada")</f>
        <v>Finalizada</v>
      </c>
      <c r="BF1201" s="97"/>
      <c r="BG1201" s="97" t="str">
        <f>IFERROR(__xludf.DUMMYFUNCTION("""COMPUTED_VALUE"""),"Activo")</f>
        <v>Activo</v>
      </c>
    </row>
    <row r="1202">
      <c r="A1202" s="97">
        <f>IFERROR(__xludf.DUMMYFUNCTION("""COMPUTED_VALUE"""),7120.0)</f>
        <v>7120</v>
      </c>
      <c r="B1202" s="97" t="str">
        <f>IFERROR(__xludf.DUMMYFUNCTION("""COMPUTED_VALUE"""),"MUST BLNG")</f>
        <v>MUST BLNG</v>
      </c>
      <c r="C1202" s="97" t="str">
        <f>IFERROR(__xludf.DUMMYFUNCTION("""COMPUTED_VALUE"""),"EMPOTRABLE MUST BLNG 1XGU10 DICRO IP20 LEUK")</f>
        <v>EMPOTRABLE MUST BLNG 1XGU10 DICRO IP20 LEUK</v>
      </c>
      <c r="D1202" s="97">
        <f>IFERROR(__xludf.DUMMYFUNCTION("""COMPUTED_VALUE"""),7.798413226355E12)</f>
        <v>7798413226355</v>
      </c>
      <c r="E1202" s="97" t="str">
        <f>IFERROR(__xludf.DUMMYFUNCTION("""COMPUTED_VALUE"""),"B85")</f>
        <v>B85</v>
      </c>
      <c r="F1202" s="97" t="str">
        <f>IFERROR(__xludf.DUMMYFUNCTION("""COMPUTED_VALUE"""),"1xGU10 Dicro")</f>
        <v>1xGU10 Dicro</v>
      </c>
      <c r="G1202" s="97" t="str">
        <f>IFERROR(__xludf.DUMMYFUNCTION("""COMPUTED_VALUE"""),"N/A")</f>
        <v>N/A</v>
      </c>
      <c r="H1202" s="97" t="str">
        <f>IFERROR(__xludf.DUMMYFUNCTION("""COMPUTED_VALUE"""),"N/A")</f>
        <v>N/A</v>
      </c>
      <c r="I1202" s="97" t="str">
        <f>IFERROR(__xludf.DUMMYFUNCTION("""COMPUTED_VALUE"""),"N/A")</f>
        <v>N/A</v>
      </c>
      <c r="J1202" s="97" t="str">
        <f>IFERROR(__xludf.DUMMYFUNCTION("""COMPUTED_VALUE"""),"N/A")</f>
        <v>N/A</v>
      </c>
      <c r="K1202" s="97" t="str">
        <f>IFERROR(__xludf.DUMMYFUNCTION("""COMPUTED_VALUE"""),"N/A")</f>
        <v>N/A</v>
      </c>
      <c r="L1202" s="97">
        <f>IFERROR(__xludf.DUMMYFUNCTION("""COMPUTED_VALUE"""),220.0)</f>
        <v>220</v>
      </c>
      <c r="M1202" s="97">
        <f>IFERROR(__xludf.DUMMYFUNCTION("""COMPUTED_VALUE"""),50.0)</f>
        <v>50</v>
      </c>
      <c r="N1202" s="97" t="str">
        <f>IFERROR(__xludf.DUMMYFUNCTION("""COMPUTED_VALUE"""),"Directa-Simétrica")</f>
        <v>Directa-Simétrica</v>
      </c>
      <c r="O1202" s="97" t="str">
        <f>IFERROR(__xludf.DUMMYFUNCTION("""COMPUTED_VALUE"""),"1 x 50W Max")</f>
        <v>1 x 50W Max</v>
      </c>
      <c r="P1202" s="97"/>
      <c r="Q1202" s="97" t="str">
        <f>IFERROR(__xludf.DUMMYFUNCTION("""COMPUTED_VALUE"""),"-")</f>
        <v>-</v>
      </c>
      <c r="R1202" s="97" t="str">
        <f>IFERROR(__xludf.DUMMYFUNCTION("""COMPUTED_VALUE"""),"-")</f>
        <v>-</v>
      </c>
      <c r="S1202" s="97" t="str">
        <f>IFERROR(__xludf.DUMMYFUNCTION("""COMPUTED_VALUE"""),"-")</f>
        <v>-</v>
      </c>
      <c r="T1202" s="97" t="str">
        <f>IFERROR(__xludf.DUMMYFUNCTION("""COMPUTED_VALUE"""),"-")</f>
        <v>-</v>
      </c>
      <c r="U1202" s="97" t="str">
        <f>IFERROR(__xludf.DUMMYFUNCTION("""COMPUTED_VALUE"""),"-")</f>
        <v>-</v>
      </c>
      <c r="V1202" s="97" t="str">
        <f>IFERROR(__xludf.DUMMYFUNCTION("""COMPUTED_VALUE"""),"N/A")</f>
        <v>N/A</v>
      </c>
      <c r="W1202" s="97" t="str">
        <f>IFERROR(__xludf.DUMMYFUNCTION("""COMPUTED_VALUE"""),"N/A")</f>
        <v>N/A</v>
      </c>
      <c r="X1202" s="97" t="str">
        <f>IFERROR(__xludf.DUMMYFUNCTION("""COMPUTED_VALUE"""),"-")</f>
        <v>-</v>
      </c>
      <c r="Y1202" s="97" t="str">
        <f>IFERROR(__xludf.DUMMYFUNCTION("""COMPUTED_VALUE"""),"N/A")</f>
        <v>N/A</v>
      </c>
      <c r="Z1202" s="97" t="str">
        <f>IFERROR(__xludf.DUMMYFUNCTION("""COMPUTED_VALUE"""),"N/A")</f>
        <v>N/A</v>
      </c>
      <c r="AA1202" s="97" t="str">
        <f>IFERROR(__xludf.DUMMYFUNCTION("""COMPUTED_VALUE"""),"N/A")</f>
        <v>N/A</v>
      </c>
      <c r="AB1202" s="97" t="str">
        <f>IFERROR(__xludf.DUMMYFUNCTION("""COMPUTED_VALUE"""),"N/A")</f>
        <v>N/A</v>
      </c>
      <c r="AC1202" s="97" t="str">
        <f>IFERROR(__xludf.DUMMYFUNCTION("""COMPUTED_VALUE"""),"N/A")</f>
        <v>N/A</v>
      </c>
      <c r="AD1202" s="97" t="str">
        <f>IFERROR(__xludf.DUMMYFUNCTION("""COMPUTED_VALUE"""),"IP20")</f>
        <v>IP20</v>
      </c>
      <c r="AE1202" s="97" t="str">
        <f>IFERROR(__xludf.DUMMYFUNCTION("""COMPUTED_VALUE"""),"Clase l")</f>
        <v>Clase l</v>
      </c>
      <c r="AF1202" s="97" t="str">
        <f>IFERROR(__xludf.DUMMYFUNCTION("""COMPUTED_VALUE"""),"Embutir")</f>
        <v>Embutir</v>
      </c>
      <c r="AG1202" s="97" t="str">
        <f>IFERROR(__xludf.DUMMYFUNCTION("""COMPUTED_VALUE"""),"Ø98 x 30")</f>
        <v>Ø98 x 30</v>
      </c>
      <c r="AH1202" s="97" t="str">
        <f>IFERROR(__xludf.DUMMYFUNCTION("""COMPUTED_VALUE"""),"Ø89-93")</f>
        <v>Ø89-93</v>
      </c>
      <c r="AI1202" s="97" t="str">
        <f>IFERROR(__xludf.DUMMYFUNCTION("""COMPUTED_VALUE"""),"100 *")</f>
        <v>100 *</v>
      </c>
      <c r="AJ1202" s="97" t="str">
        <f>IFERROR(__xludf.DUMMYFUNCTION("""COMPUTED_VALUE"""),"N/A")</f>
        <v>N/A</v>
      </c>
      <c r="AK1202" s="97" t="str">
        <f>IFERROR(__xludf.DUMMYFUNCTION("""COMPUTED_VALUE"""),"Aluminio y Acero")</f>
        <v>Aluminio y Acero</v>
      </c>
      <c r="AL1202" s="97" t="str">
        <f>IFERROR(__xludf.DUMMYFUNCTION("""COMPUTED_VALUE"""),"Blanco y Negro")</f>
        <v>Blanco y Negro</v>
      </c>
      <c r="AM1202" s="97" t="str">
        <f>IFERROR(__xludf.DUMMYFUNCTION("""COMPUTED_VALUE"""),"-")</f>
        <v>-</v>
      </c>
      <c r="AN1202" s="97" t="str">
        <f>IFERROR(__xludf.DUMMYFUNCTION("""COMPUTED_VALUE"""),"N/A")</f>
        <v>N/A</v>
      </c>
      <c r="AO1202" s="97" t="str">
        <f>IFERROR(__xludf.DUMMYFUNCTION("""COMPUTED_VALUE"""),"3 Años")</f>
        <v>3 Años</v>
      </c>
      <c r="AP1202" s="97" t="str">
        <f>IFERROR(__xludf.DUMMYFUNCTION("""COMPUTED_VALUE"""),"No Aplica")</f>
        <v>No Aplica</v>
      </c>
      <c r="AQ1202" s="97" t="str">
        <f>IFERROR(__xludf.DUMMYFUNCTION("""COMPUTED_VALUE"""),"No Aplica")</f>
        <v>No Aplica</v>
      </c>
      <c r="AR1202" s="97" t="str">
        <f>IFERROR(__xludf.DUMMYFUNCTION("""COMPUTED_VALUE"""),"No Aplica")</f>
        <v>No Aplica</v>
      </c>
      <c r="AS1202" s="97" t="str">
        <f>IFERROR(__xludf.DUMMYFUNCTION("""COMPUTED_VALUE"""),"Falta")</f>
        <v>Falta</v>
      </c>
      <c r="AT1202" s="97" t="str">
        <f>IFERROR(__xludf.DUMMYFUNCTION("""COMPUTED_VALUE"""),"Falta")</f>
        <v>Falta</v>
      </c>
      <c r="AU1202" s="97" t="str">
        <f>IFERROR(__xludf.DUMMYFUNCTION("""COMPUTED_VALUE"""),"Disponible")</f>
        <v>Disponible</v>
      </c>
      <c r="AV1202" s="97" t="str">
        <f>IFERROR(__xludf.DUMMYFUNCTION("""COMPUTED_VALUE"""),"Empotrable")</f>
        <v>Empotrable</v>
      </c>
      <c r="AW1202" s="97" t="str">
        <f>IFERROR(__xludf.DUMMYFUNCTION("""COMPUTED_VALUE"""),"De Techo")</f>
        <v>De Techo</v>
      </c>
      <c r="AX1202" s="97" t="str">
        <f>IFERROR(__xludf.DUMMYFUNCTION("""COMPUTED_VALUE"""),"Interior")</f>
        <v>Interior</v>
      </c>
      <c r="AY1202" s="97" t="str">
        <f>IFERROR(__xludf.DUMMYFUNCTION("""COMPUTED_VALUE"""),"-")</f>
        <v>-</v>
      </c>
      <c r="AZ1202" s="97" t="str">
        <f>IFERROR(__xludf.DUMMYFUNCTION("""COMPUTED_VALUE"""),"Movimiento ±20°. Incluye zócalo GU10.
*Profundidad de calado total aproximada (considera dicroica y zócalo estándar).")</f>
        <v>Movimiento ±20°. Incluye zócalo GU10.
*Profundidad de calado total aproximada (considera dicroica y zócalo estándar).</v>
      </c>
      <c r="BA1202" s="97">
        <f>IFERROR(__xludf.DUMMYFUNCTION("""COMPUTED_VALUE"""),20.0)</f>
        <v>20</v>
      </c>
      <c r="BB1202" s="97" t="str">
        <f>IFERROR(__xludf.DUMMYFUNCTION("""COMPUTED_VALUE"""),"-")</f>
        <v>-</v>
      </c>
      <c r="BC1202" s="97" t="str">
        <f>IFERROR(__xludf.DUMMYFUNCTION("""COMPUTED_VALUE"""),"-")</f>
        <v>-</v>
      </c>
      <c r="BD1202" s="97" t="str">
        <f>IFERROR(__xludf.DUMMYFUNCTION("""COMPUTED_VALUE"""),"MUST")</f>
        <v>MUST</v>
      </c>
      <c r="BE1202" s="97" t="str">
        <f>IFERROR(__xludf.DUMMYFUNCTION("""COMPUTED_VALUE"""),"Finalizada")</f>
        <v>Finalizada</v>
      </c>
      <c r="BF1202" s="97"/>
      <c r="BG1202" s="97" t="str">
        <f>IFERROR(__xludf.DUMMYFUNCTION("""COMPUTED_VALUE"""),"Activo")</f>
        <v>Activo</v>
      </c>
    </row>
    <row r="1203">
      <c r="A1203" s="97">
        <f>IFERROR(__xludf.DUMMYFUNCTION("""COMPUTED_VALUE"""),7121.0)</f>
        <v>7121</v>
      </c>
      <c r="B1203" s="97" t="str">
        <f>IFERROR(__xludf.DUMMYFUNCTION("""COMPUTED_VALUE"""),"MUST NG")</f>
        <v>MUST NG</v>
      </c>
      <c r="C1203" s="97" t="str">
        <f>IFERROR(__xludf.DUMMYFUNCTION("""COMPUTED_VALUE"""),"EMPOTRABLE MUST NG 1XGU10 DICRO IP20 LEUK")</f>
        <v>EMPOTRABLE MUST NG 1XGU10 DICRO IP20 LEUK</v>
      </c>
      <c r="D1203" s="97">
        <f>IFERROR(__xludf.DUMMYFUNCTION("""COMPUTED_VALUE"""),7.798413226362E12)</f>
        <v>7798413226362</v>
      </c>
      <c r="E1203" s="97" t="str">
        <f>IFERROR(__xludf.DUMMYFUNCTION("""COMPUTED_VALUE"""),"B85")</f>
        <v>B85</v>
      </c>
      <c r="F1203" s="97" t="str">
        <f>IFERROR(__xludf.DUMMYFUNCTION("""COMPUTED_VALUE"""),"1xGU10 Dicro")</f>
        <v>1xGU10 Dicro</v>
      </c>
      <c r="G1203" s="97" t="str">
        <f>IFERROR(__xludf.DUMMYFUNCTION("""COMPUTED_VALUE"""),"N/A")</f>
        <v>N/A</v>
      </c>
      <c r="H1203" s="97" t="str">
        <f>IFERROR(__xludf.DUMMYFUNCTION("""COMPUTED_VALUE"""),"N/A")</f>
        <v>N/A</v>
      </c>
      <c r="I1203" s="97" t="str">
        <f>IFERROR(__xludf.DUMMYFUNCTION("""COMPUTED_VALUE"""),"N/A")</f>
        <v>N/A</v>
      </c>
      <c r="J1203" s="97" t="str">
        <f>IFERROR(__xludf.DUMMYFUNCTION("""COMPUTED_VALUE"""),"N/A")</f>
        <v>N/A</v>
      </c>
      <c r="K1203" s="97" t="str">
        <f>IFERROR(__xludf.DUMMYFUNCTION("""COMPUTED_VALUE"""),"N/A")</f>
        <v>N/A</v>
      </c>
      <c r="L1203" s="97">
        <f>IFERROR(__xludf.DUMMYFUNCTION("""COMPUTED_VALUE"""),220.0)</f>
        <v>220</v>
      </c>
      <c r="M1203" s="97">
        <f>IFERROR(__xludf.DUMMYFUNCTION("""COMPUTED_VALUE"""),50.0)</f>
        <v>50</v>
      </c>
      <c r="N1203" s="97" t="str">
        <f>IFERROR(__xludf.DUMMYFUNCTION("""COMPUTED_VALUE"""),"Directa-Simétrica")</f>
        <v>Directa-Simétrica</v>
      </c>
      <c r="O1203" s="97" t="str">
        <f>IFERROR(__xludf.DUMMYFUNCTION("""COMPUTED_VALUE"""),"1 x 50W Max")</f>
        <v>1 x 50W Max</v>
      </c>
      <c r="P1203" s="97"/>
      <c r="Q1203" s="97" t="str">
        <f>IFERROR(__xludf.DUMMYFUNCTION("""COMPUTED_VALUE"""),"-")</f>
        <v>-</v>
      </c>
      <c r="R1203" s="97" t="str">
        <f>IFERROR(__xludf.DUMMYFUNCTION("""COMPUTED_VALUE"""),"-")</f>
        <v>-</v>
      </c>
      <c r="S1203" s="97" t="str">
        <f>IFERROR(__xludf.DUMMYFUNCTION("""COMPUTED_VALUE"""),"-")</f>
        <v>-</v>
      </c>
      <c r="T1203" s="97" t="str">
        <f>IFERROR(__xludf.DUMMYFUNCTION("""COMPUTED_VALUE"""),"-")</f>
        <v>-</v>
      </c>
      <c r="U1203" s="97" t="str">
        <f>IFERROR(__xludf.DUMMYFUNCTION("""COMPUTED_VALUE"""),"-")</f>
        <v>-</v>
      </c>
      <c r="V1203" s="97" t="str">
        <f>IFERROR(__xludf.DUMMYFUNCTION("""COMPUTED_VALUE"""),"N/A")</f>
        <v>N/A</v>
      </c>
      <c r="W1203" s="97" t="str">
        <f>IFERROR(__xludf.DUMMYFUNCTION("""COMPUTED_VALUE"""),"N/A")</f>
        <v>N/A</v>
      </c>
      <c r="X1203" s="97" t="str">
        <f>IFERROR(__xludf.DUMMYFUNCTION("""COMPUTED_VALUE"""),"-")</f>
        <v>-</v>
      </c>
      <c r="Y1203" s="97" t="str">
        <f>IFERROR(__xludf.DUMMYFUNCTION("""COMPUTED_VALUE"""),"N/A")</f>
        <v>N/A</v>
      </c>
      <c r="Z1203" s="97" t="str">
        <f>IFERROR(__xludf.DUMMYFUNCTION("""COMPUTED_VALUE"""),"N/A")</f>
        <v>N/A</v>
      </c>
      <c r="AA1203" s="97" t="str">
        <f>IFERROR(__xludf.DUMMYFUNCTION("""COMPUTED_VALUE"""),"N/A")</f>
        <v>N/A</v>
      </c>
      <c r="AB1203" s="97" t="str">
        <f>IFERROR(__xludf.DUMMYFUNCTION("""COMPUTED_VALUE"""),"N/A")</f>
        <v>N/A</v>
      </c>
      <c r="AC1203" s="97" t="str">
        <f>IFERROR(__xludf.DUMMYFUNCTION("""COMPUTED_VALUE"""),"N/A")</f>
        <v>N/A</v>
      </c>
      <c r="AD1203" s="97" t="str">
        <f>IFERROR(__xludf.DUMMYFUNCTION("""COMPUTED_VALUE"""),"IP20")</f>
        <v>IP20</v>
      </c>
      <c r="AE1203" s="97" t="str">
        <f>IFERROR(__xludf.DUMMYFUNCTION("""COMPUTED_VALUE"""),"Clase l")</f>
        <v>Clase l</v>
      </c>
      <c r="AF1203" s="97" t="str">
        <f>IFERROR(__xludf.DUMMYFUNCTION("""COMPUTED_VALUE"""),"Embutir")</f>
        <v>Embutir</v>
      </c>
      <c r="AG1203" s="97" t="str">
        <f>IFERROR(__xludf.DUMMYFUNCTION("""COMPUTED_VALUE"""),"Ø98 x 30")</f>
        <v>Ø98 x 30</v>
      </c>
      <c r="AH1203" s="97" t="str">
        <f>IFERROR(__xludf.DUMMYFUNCTION("""COMPUTED_VALUE"""),"Ø89-93")</f>
        <v>Ø89-93</v>
      </c>
      <c r="AI1203" s="97" t="str">
        <f>IFERROR(__xludf.DUMMYFUNCTION("""COMPUTED_VALUE"""),"100 *")</f>
        <v>100 *</v>
      </c>
      <c r="AJ1203" s="97" t="str">
        <f>IFERROR(__xludf.DUMMYFUNCTION("""COMPUTED_VALUE"""),"N/A")</f>
        <v>N/A</v>
      </c>
      <c r="AK1203" s="97" t="str">
        <f>IFERROR(__xludf.DUMMYFUNCTION("""COMPUTED_VALUE"""),"Aluminio y Acero")</f>
        <v>Aluminio y Acero</v>
      </c>
      <c r="AL1203" s="97" t="str">
        <f>IFERROR(__xludf.DUMMYFUNCTION("""COMPUTED_VALUE"""),"Negro Satinado")</f>
        <v>Negro Satinado</v>
      </c>
      <c r="AM1203" s="97" t="str">
        <f>IFERROR(__xludf.DUMMYFUNCTION("""COMPUTED_VALUE"""),"-")</f>
        <v>-</v>
      </c>
      <c r="AN1203" s="97" t="str">
        <f>IFERROR(__xludf.DUMMYFUNCTION("""COMPUTED_VALUE"""),"N/A")</f>
        <v>N/A</v>
      </c>
      <c r="AO1203" s="97" t="str">
        <f>IFERROR(__xludf.DUMMYFUNCTION("""COMPUTED_VALUE"""),"3 Años")</f>
        <v>3 Años</v>
      </c>
      <c r="AP1203" s="97" t="str">
        <f>IFERROR(__xludf.DUMMYFUNCTION("""COMPUTED_VALUE"""),"No Aplica")</f>
        <v>No Aplica</v>
      </c>
      <c r="AQ1203" s="97" t="str">
        <f>IFERROR(__xludf.DUMMYFUNCTION("""COMPUTED_VALUE"""),"No Aplica")</f>
        <v>No Aplica</v>
      </c>
      <c r="AR1203" s="97" t="str">
        <f>IFERROR(__xludf.DUMMYFUNCTION("""COMPUTED_VALUE"""),"No Aplica")</f>
        <v>No Aplica</v>
      </c>
      <c r="AS1203" s="97" t="str">
        <f>IFERROR(__xludf.DUMMYFUNCTION("""COMPUTED_VALUE"""),"Falta")</f>
        <v>Falta</v>
      </c>
      <c r="AT1203" s="97" t="str">
        <f>IFERROR(__xludf.DUMMYFUNCTION("""COMPUTED_VALUE"""),"Falta")</f>
        <v>Falta</v>
      </c>
      <c r="AU1203" s="97" t="str">
        <f>IFERROR(__xludf.DUMMYFUNCTION("""COMPUTED_VALUE"""),"Disponible")</f>
        <v>Disponible</v>
      </c>
      <c r="AV1203" s="97" t="str">
        <f>IFERROR(__xludf.DUMMYFUNCTION("""COMPUTED_VALUE"""),"Empotrable")</f>
        <v>Empotrable</v>
      </c>
      <c r="AW1203" s="97" t="str">
        <f>IFERROR(__xludf.DUMMYFUNCTION("""COMPUTED_VALUE"""),"De Techo")</f>
        <v>De Techo</v>
      </c>
      <c r="AX1203" s="97" t="str">
        <f>IFERROR(__xludf.DUMMYFUNCTION("""COMPUTED_VALUE"""),"Interior")</f>
        <v>Interior</v>
      </c>
      <c r="AY1203" s="97" t="str">
        <f>IFERROR(__xludf.DUMMYFUNCTION("""COMPUTED_VALUE"""),"-")</f>
        <v>-</v>
      </c>
      <c r="AZ1203" s="97" t="str">
        <f>IFERROR(__xludf.DUMMYFUNCTION("""COMPUTED_VALUE"""),"Movimiento ±20°. Incluye zócalo GU10.
*Profundidad de calado total aproximada (considera dicroica y zócalo estándar).")</f>
        <v>Movimiento ±20°. Incluye zócalo GU10.
*Profundidad de calado total aproximada (considera dicroica y zócalo estándar).</v>
      </c>
      <c r="BA1203" s="97">
        <f>IFERROR(__xludf.DUMMYFUNCTION("""COMPUTED_VALUE"""),20.0)</f>
        <v>20</v>
      </c>
      <c r="BB1203" s="97" t="str">
        <f>IFERROR(__xludf.DUMMYFUNCTION("""COMPUTED_VALUE"""),"-")</f>
        <v>-</v>
      </c>
      <c r="BC1203" s="97" t="str">
        <f>IFERROR(__xludf.DUMMYFUNCTION("""COMPUTED_VALUE"""),"-")</f>
        <v>-</v>
      </c>
      <c r="BD1203" s="97" t="str">
        <f>IFERROR(__xludf.DUMMYFUNCTION("""COMPUTED_VALUE"""),"MUST")</f>
        <v>MUST</v>
      </c>
      <c r="BE1203" s="97" t="str">
        <f>IFERROR(__xludf.DUMMYFUNCTION("""COMPUTED_VALUE"""),"Finalizada")</f>
        <v>Finalizada</v>
      </c>
      <c r="BF1203" s="97"/>
      <c r="BG1203" s="97" t="str">
        <f>IFERROR(__xludf.DUMMYFUNCTION("""COMPUTED_VALUE"""),"Activo")</f>
        <v>Activo</v>
      </c>
    </row>
    <row r="1204">
      <c r="A1204" s="97">
        <f>IFERROR(__xludf.DUMMYFUNCTION("""COMPUTED_VALUE"""),7122.0)</f>
        <v>7122</v>
      </c>
      <c r="B1204" s="97" t="str">
        <f>IFERROR(__xludf.DUMMYFUNCTION("""COMPUTED_VALUE"""),"DONA BL")</f>
        <v>DONA BL</v>
      </c>
      <c r="C1204" s="97" t="str">
        <f>IFERROR(__xludf.DUMMYFUNCTION("""COMPUTED_VALUE"""),"EMPOTRABLE DONA BL 1XGU10 DICRO IP20 LEUK")</f>
        <v>EMPOTRABLE DONA BL 1XGU10 DICRO IP20 LEUK</v>
      </c>
      <c r="D1204" s="97">
        <f>IFERROR(__xludf.DUMMYFUNCTION("""COMPUTED_VALUE"""),7.798413226379E12)</f>
        <v>7798413226379</v>
      </c>
      <c r="E1204" s="97" t="str">
        <f>IFERROR(__xludf.DUMMYFUNCTION("""COMPUTED_VALUE"""),"B89")</f>
        <v>B89</v>
      </c>
      <c r="F1204" s="97" t="str">
        <f>IFERROR(__xludf.DUMMYFUNCTION("""COMPUTED_VALUE"""),"1xGU10 Dicro")</f>
        <v>1xGU10 Dicro</v>
      </c>
      <c r="G1204" s="97" t="str">
        <f>IFERROR(__xludf.DUMMYFUNCTION("""COMPUTED_VALUE"""),"N/A")</f>
        <v>N/A</v>
      </c>
      <c r="H1204" s="97" t="str">
        <f>IFERROR(__xludf.DUMMYFUNCTION("""COMPUTED_VALUE"""),"N/A")</f>
        <v>N/A</v>
      </c>
      <c r="I1204" s="97" t="str">
        <f>IFERROR(__xludf.DUMMYFUNCTION("""COMPUTED_VALUE"""),"N/A")</f>
        <v>N/A</v>
      </c>
      <c r="J1204" s="97" t="str">
        <f>IFERROR(__xludf.DUMMYFUNCTION("""COMPUTED_VALUE"""),"N/A")</f>
        <v>N/A</v>
      </c>
      <c r="K1204" s="97" t="str">
        <f>IFERROR(__xludf.DUMMYFUNCTION("""COMPUTED_VALUE"""),"N/A")</f>
        <v>N/A</v>
      </c>
      <c r="L1204" s="97">
        <f>IFERROR(__xludf.DUMMYFUNCTION("""COMPUTED_VALUE"""),220.0)</f>
        <v>220</v>
      </c>
      <c r="M1204" s="97">
        <f>IFERROR(__xludf.DUMMYFUNCTION("""COMPUTED_VALUE"""),50.0)</f>
        <v>50</v>
      </c>
      <c r="N1204" s="97" t="str">
        <f>IFERROR(__xludf.DUMMYFUNCTION("""COMPUTED_VALUE"""),"Directa-Simétrica")</f>
        <v>Directa-Simétrica</v>
      </c>
      <c r="O1204" s="97" t="str">
        <f>IFERROR(__xludf.DUMMYFUNCTION("""COMPUTED_VALUE"""),"1 x 50W Max")</f>
        <v>1 x 50W Max</v>
      </c>
      <c r="P1204" s="97"/>
      <c r="Q1204" s="97" t="str">
        <f>IFERROR(__xludf.DUMMYFUNCTION("""COMPUTED_VALUE"""),"-")</f>
        <v>-</v>
      </c>
      <c r="R1204" s="97" t="str">
        <f>IFERROR(__xludf.DUMMYFUNCTION("""COMPUTED_VALUE"""),"-")</f>
        <v>-</v>
      </c>
      <c r="S1204" s="97" t="str">
        <f>IFERROR(__xludf.DUMMYFUNCTION("""COMPUTED_VALUE"""),"-")</f>
        <v>-</v>
      </c>
      <c r="T1204" s="97" t="str">
        <f>IFERROR(__xludf.DUMMYFUNCTION("""COMPUTED_VALUE"""),"-")</f>
        <v>-</v>
      </c>
      <c r="U1204" s="97" t="str">
        <f>IFERROR(__xludf.DUMMYFUNCTION("""COMPUTED_VALUE"""),"-")</f>
        <v>-</v>
      </c>
      <c r="V1204" s="97" t="str">
        <f>IFERROR(__xludf.DUMMYFUNCTION("""COMPUTED_VALUE"""),"N/A")</f>
        <v>N/A</v>
      </c>
      <c r="W1204" s="97" t="str">
        <f>IFERROR(__xludf.DUMMYFUNCTION("""COMPUTED_VALUE"""),"N/A")</f>
        <v>N/A</v>
      </c>
      <c r="X1204" s="97" t="str">
        <f>IFERROR(__xludf.DUMMYFUNCTION("""COMPUTED_VALUE"""),"-")</f>
        <v>-</v>
      </c>
      <c r="Y1204" s="97" t="str">
        <f>IFERROR(__xludf.DUMMYFUNCTION("""COMPUTED_VALUE"""),"N/A")</f>
        <v>N/A</v>
      </c>
      <c r="Z1204" s="97" t="str">
        <f>IFERROR(__xludf.DUMMYFUNCTION("""COMPUTED_VALUE"""),"N/A")</f>
        <v>N/A</v>
      </c>
      <c r="AA1204" s="97" t="str">
        <f>IFERROR(__xludf.DUMMYFUNCTION("""COMPUTED_VALUE"""),"N/A")</f>
        <v>N/A</v>
      </c>
      <c r="AB1204" s="97" t="str">
        <f>IFERROR(__xludf.DUMMYFUNCTION("""COMPUTED_VALUE"""),"N/A")</f>
        <v>N/A</v>
      </c>
      <c r="AC1204" s="97" t="str">
        <f>IFERROR(__xludf.DUMMYFUNCTION("""COMPUTED_VALUE"""),"N/A")</f>
        <v>N/A</v>
      </c>
      <c r="AD1204" s="97" t="str">
        <f>IFERROR(__xludf.DUMMYFUNCTION("""COMPUTED_VALUE"""),"IP20")</f>
        <v>IP20</v>
      </c>
      <c r="AE1204" s="97" t="str">
        <f>IFERROR(__xludf.DUMMYFUNCTION("""COMPUTED_VALUE"""),"Clase l")</f>
        <v>Clase l</v>
      </c>
      <c r="AF1204" s="97" t="str">
        <f>IFERROR(__xludf.DUMMYFUNCTION("""COMPUTED_VALUE"""),"Embutir")</f>
        <v>Embutir</v>
      </c>
      <c r="AG1204" s="97" t="str">
        <f>IFERROR(__xludf.DUMMYFUNCTION("""COMPUTED_VALUE"""),"Ø90 x 60")</f>
        <v>Ø90 x 60</v>
      </c>
      <c r="AH1204" s="97" t="str">
        <f>IFERROR(__xludf.DUMMYFUNCTION("""COMPUTED_VALUE"""),"Ø80")</f>
        <v>Ø80</v>
      </c>
      <c r="AI1204" s="97" t="str">
        <f>IFERROR(__xludf.DUMMYFUNCTION("""COMPUTED_VALUE"""),"120 *")</f>
        <v>120 *</v>
      </c>
      <c r="AJ1204" s="97" t="str">
        <f>IFERROR(__xludf.DUMMYFUNCTION("""COMPUTED_VALUE"""),"N/A")</f>
        <v>N/A</v>
      </c>
      <c r="AK1204" s="97" t="str">
        <f>IFERROR(__xludf.DUMMYFUNCTION("""COMPUTED_VALUE"""),"Aluminio")</f>
        <v>Aluminio</v>
      </c>
      <c r="AL1204" s="97" t="str">
        <f>IFERROR(__xludf.DUMMYFUNCTION("""COMPUTED_VALUE"""),"Blanco Satinado")</f>
        <v>Blanco Satinado</v>
      </c>
      <c r="AM1204" s="97" t="str">
        <f>IFERROR(__xludf.DUMMYFUNCTION("""COMPUTED_VALUE"""),"-")</f>
        <v>-</v>
      </c>
      <c r="AN1204" s="97" t="str">
        <f>IFERROR(__xludf.DUMMYFUNCTION("""COMPUTED_VALUE"""),"N/A")</f>
        <v>N/A</v>
      </c>
      <c r="AO1204" s="97" t="str">
        <f>IFERROR(__xludf.DUMMYFUNCTION("""COMPUTED_VALUE"""),"3 Años")</f>
        <v>3 Años</v>
      </c>
      <c r="AP1204" s="97" t="str">
        <f>IFERROR(__xludf.DUMMYFUNCTION("""COMPUTED_VALUE"""),"No Aplica")</f>
        <v>No Aplica</v>
      </c>
      <c r="AQ1204" s="97" t="str">
        <f>IFERROR(__xludf.DUMMYFUNCTION("""COMPUTED_VALUE"""),"No Aplica")</f>
        <v>No Aplica</v>
      </c>
      <c r="AR1204" s="97" t="str">
        <f>IFERROR(__xludf.DUMMYFUNCTION("""COMPUTED_VALUE"""),"No Aplica")</f>
        <v>No Aplica</v>
      </c>
      <c r="AS1204" s="97" t="str">
        <f>IFERROR(__xludf.DUMMYFUNCTION("""COMPUTED_VALUE"""),"Falta")</f>
        <v>Falta</v>
      </c>
      <c r="AT1204" s="97" t="str">
        <f>IFERROR(__xludf.DUMMYFUNCTION("""COMPUTED_VALUE"""),"Falta")</f>
        <v>Falta</v>
      </c>
      <c r="AU1204" s="97" t="str">
        <f>IFERROR(__xludf.DUMMYFUNCTION("""COMPUTED_VALUE"""),"Falta")</f>
        <v>Falta</v>
      </c>
      <c r="AV1204" s="97" t="str">
        <f>IFERROR(__xludf.DUMMYFUNCTION("""COMPUTED_VALUE"""),"Empotrable")</f>
        <v>Empotrable</v>
      </c>
      <c r="AW1204" s="97" t="str">
        <f>IFERROR(__xludf.DUMMYFUNCTION("""COMPUTED_VALUE"""),"De Techo")</f>
        <v>De Techo</v>
      </c>
      <c r="AX1204" s="97" t="str">
        <f>IFERROR(__xludf.DUMMYFUNCTION("""COMPUTED_VALUE"""),"Interior")</f>
        <v>Interior</v>
      </c>
      <c r="AY1204" s="97" t="str">
        <f>IFERROR(__xludf.DUMMYFUNCTION("""COMPUTED_VALUE"""),"-")</f>
        <v>-</v>
      </c>
      <c r="AZ1204" s="97" t="str">
        <f>IFERROR(__xludf.DUMMYFUNCTION("""COMPUTED_VALUE"""),"Incluye zócalo GU10.
*Profundidad de calado total aproximada (considera dicroica y zócalo estándar).")</f>
        <v>Incluye zócalo GU10.
*Profundidad de calado total aproximada (considera dicroica y zócalo estándar).</v>
      </c>
      <c r="BA1204" s="97">
        <f>IFERROR(__xludf.DUMMYFUNCTION("""COMPUTED_VALUE"""),20.0)</f>
        <v>20</v>
      </c>
      <c r="BB1204" s="97" t="str">
        <f>IFERROR(__xludf.DUMMYFUNCTION("""COMPUTED_VALUE"""),"-")</f>
        <v>-</v>
      </c>
      <c r="BC1204" s="97" t="str">
        <f>IFERROR(__xludf.DUMMYFUNCTION("""COMPUTED_VALUE"""),"-")</f>
        <v>-</v>
      </c>
      <c r="BD1204" s="97" t="str">
        <f>IFERROR(__xludf.DUMMYFUNCTION("""COMPUTED_VALUE"""),"DONA")</f>
        <v>DONA</v>
      </c>
      <c r="BE1204" s="97" t="str">
        <f>IFERROR(__xludf.DUMMYFUNCTION("""COMPUTED_VALUE"""),"Finalizada")</f>
        <v>Finalizada</v>
      </c>
      <c r="BF1204" s="97"/>
      <c r="BG1204" s="97" t="str">
        <f>IFERROR(__xludf.DUMMYFUNCTION("""COMPUTED_VALUE"""),"Activo")</f>
        <v>Activo</v>
      </c>
    </row>
    <row r="1205">
      <c r="A1205" s="97">
        <f>IFERROR(__xludf.DUMMYFUNCTION("""COMPUTED_VALUE"""),7123.0)</f>
        <v>7123</v>
      </c>
      <c r="B1205" s="97" t="str">
        <f>IFERROR(__xludf.DUMMYFUNCTION("""COMPUTED_VALUE"""),"DONA NG")</f>
        <v>DONA NG</v>
      </c>
      <c r="C1205" s="97" t="str">
        <f>IFERROR(__xludf.DUMMYFUNCTION("""COMPUTED_VALUE"""),"EMPOTRABLE DONA NG 1XGU10 DICRO IP20 LEUK")</f>
        <v>EMPOTRABLE DONA NG 1XGU10 DICRO IP20 LEUK</v>
      </c>
      <c r="D1205" s="97">
        <f>IFERROR(__xludf.DUMMYFUNCTION("""COMPUTED_VALUE"""),7.798413226386E12)</f>
        <v>7798413226386</v>
      </c>
      <c r="E1205" s="97" t="str">
        <f>IFERROR(__xludf.DUMMYFUNCTION("""COMPUTED_VALUE"""),"B89")</f>
        <v>B89</v>
      </c>
      <c r="F1205" s="97" t="str">
        <f>IFERROR(__xludf.DUMMYFUNCTION("""COMPUTED_VALUE"""),"1xGU10 Dicro")</f>
        <v>1xGU10 Dicro</v>
      </c>
      <c r="G1205" s="97" t="str">
        <f>IFERROR(__xludf.DUMMYFUNCTION("""COMPUTED_VALUE"""),"N/A")</f>
        <v>N/A</v>
      </c>
      <c r="H1205" s="97" t="str">
        <f>IFERROR(__xludf.DUMMYFUNCTION("""COMPUTED_VALUE"""),"N/A")</f>
        <v>N/A</v>
      </c>
      <c r="I1205" s="97" t="str">
        <f>IFERROR(__xludf.DUMMYFUNCTION("""COMPUTED_VALUE"""),"N/A")</f>
        <v>N/A</v>
      </c>
      <c r="J1205" s="97" t="str">
        <f>IFERROR(__xludf.DUMMYFUNCTION("""COMPUTED_VALUE"""),"N/A")</f>
        <v>N/A</v>
      </c>
      <c r="K1205" s="97" t="str">
        <f>IFERROR(__xludf.DUMMYFUNCTION("""COMPUTED_VALUE"""),"N/A")</f>
        <v>N/A</v>
      </c>
      <c r="L1205" s="97">
        <f>IFERROR(__xludf.DUMMYFUNCTION("""COMPUTED_VALUE"""),220.0)</f>
        <v>220</v>
      </c>
      <c r="M1205" s="97">
        <f>IFERROR(__xludf.DUMMYFUNCTION("""COMPUTED_VALUE"""),50.0)</f>
        <v>50</v>
      </c>
      <c r="N1205" s="97" t="str">
        <f>IFERROR(__xludf.DUMMYFUNCTION("""COMPUTED_VALUE"""),"Directa-Simétrica")</f>
        <v>Directa-Simétrica</v>
      </c>
      <c r="O1205" s="97" t="str">
        <f>IFERROR(__xludf.DUMMYFUNCTION("""COMPUTED_VALUE"""),"1 x 50W Max")</f>
        <v>1 x 50W Max</v>
      </c>
      <c r="P1205" s="97"/>
      <c r="Q1205" s="97" t="str">
        <f>IFERROR(__xludf.DUMMYFUNCTION("""COMPUTED_VALUE"""),"-")</f>
        <v>-</v>
      </c>
      <c r="R1205" s="97" t="str">
        <f>IFERROR(__xludf.DUMMYFUNCTION("""COMPUTED_VALUE"""),"-")</f>
        <v>-</v>
      </c>
      <c r="S1205" s="97" t="str">
        <f>IFERROR(__xludf.DUMMYFUNCTION("""COMPUTED_VALUE"""),"-")</f>
        <v>-</v>
      </c>
      <c r="T1205" s="97" t="str">
        <f>IFERROR(__xludf.DUMMYFUNCTION("""COMPUTED_VALUE"""),"-")</f>
        <v>-</v>
      </c>
      <c r="U1205" s="97" t="str">
        <f>IFERROR(__xludf.DUMMYFUNCTION("""COMPUTED_VALUE"""),"-")</f>
        <v>-</v>
      </c>
      <c r="V1205" s="97" t="str">
        <f>IFERROR(__xludf.DUMMYFUNCTION("""COMPUTED_VALUE"""),"N/A")</f>
        <v>N/A</v>
      </c>
      <c r="W1205" s="97" t="str">
        <f>IFERROR(__xludf.DUMMYFUNCTION("""COMPUTED_VALUE"""),"N/A")</f>
        <v>N/A</v>
      </c>
      <c r="X1205" s="97" t="str">
        <f>IFERROR(__xludf.DUMMYFUNCTION("""COMPUTED_VALUE"""),"-")</f>
        <v>-</v>
      </c>
      <c r="Y1205" s="97" t="str">
        <f>IFERROR(__xludf.DUMMYFUNCTION("""COMPUTED_VALUE"""),"N/A")</f>
        <v>N/A</v>
      </c>
      <c r="Z1205" s="97" t="str">
        <f>IFERROR(__xludf.DUMMYFUNCTION("""COMPUTED_VALUE"""),"N/A")</f>
        <v>N/A</v>
      </c>
      <c r="AA1205" s="97" t="str">
        <f>IFERROR(__xludf.DUMMYFUNCTION("""COMPUTED_VALUE"""),"N/A")</f>
        <v>N/A</v>
      </c>
      <c r="AB1205" s="97" t="str">
        <f>IFERROR(__xludf.DUMMYFUNCTION("""COMPUTED_VALUE"""),"N/A")</f>
        <v>N/A</v>
      </c>
      <c r="AC1205" s="97" t="str">
        <f>IFERROR(__xludf.DUMMYFUNCTION("""COMPUTED_VALUE"""),"N/A")</f>
        <v>N/A</v>
      </c>
      <c r="AD1205" s="97" t="str">
        <f>IFERROR(__xludf.DUMMYFUNCTION("""COMPUTED_VALUE"""),"IP20")</f>
        <v>IP20</v>
      </c>
      <c r="AE1205" s="97" t="str">
        <f>IFERROR(__xludf.DUMMYFUNCTION("""COMPUTED_VALUE"""),"Clase l")</f>
        <v>Clase l</v>
      </c>
      <c r="AF1205" s="97" t="str">
        <f>IFERROR(__xludf.DUMMYFUNCTION("""COMPUTED_VALUE"""),"Embutir")</f>
        <v>Embutir</v>
      </c>
      <c r="AG1205" s="97" t="str">
        <f>IFERROR(__xludf.DUMMYFUNCTION("""COMPUTED_VALUE"""),"Ø90 x 60")</f>
        <v>Ø90 x 60</v>
      </c>
      <c r="AH1205" s="97" t="str">
        <f>IFERROR(__xludf.DUMMYFUNCTION("""COMPUTED_VALUE"""),"Ø80")</f>
        <v>Ø80</v>
      </c>
      <c r="AI1205" s="97" t="str">
        <f>IFERROR(__xludf.DUMMYFUNCTION("""COMPUTED_VALUE"""),"120 *")</f>
        <v>120 *</v>
      </c>
      <c r="AJ1205" s="97" t="str">
        <f>IFERROR(__xludf.DUMMYFUNCTION("""COMPUTED_VALUE"""),"N/A")</f>
        <v>N/A</v>
      </c>
      <c r="AK1205" s="97" t="str">
        <f>IFERROR(__xludf.DUMMYFUNCTION("""COMPUTED_VALUE"""),"Aluminio")</f>
        <v>Aluminio</v>
      </c>
      <c r="AL1205" s="97" t="str">
        <f>IFERROR(__xludf.DUMMYFUNCTION("""COMPUTED_VALUE"""),"Negro Satinado")</f>
        <v>Negro Satinado</v>
      </c>
      <c r="AM1205" s="97" t="str">
        <f>IFERROR(__xludf.DUMMYFUNCTION("""COMPUTED_VALUE"""),"-")</f>
        <v>-</v>
      </c>
      <c r="AN1205" s="97" t="str">
        <f>IFERROR(__xludf.DUMMYFUNCTION("""COMPUTED_VALUE"""),"N/A")</f>
        <v>N/A</v>
      </c>
      <c r="AO1205" s="97" t="str">
        <f>IFERROR(__xludf.DUMMYFUNCTION("""COMPUTED_VALUE"""),"3 Años")</f>
        <v>3 Años</v>
      </c>
      <c r="AP1205" s="97" t="str">
        <f>IFERROR(__xludf.DUMMYFUNCTION("""COMPUTED_VALUE"""),"No Aplica")</f>
        <v>No Aplica</v>
      </c>
      <c r="AQ1205" s="97" t="str">
        <f>IFERROR(__xludf.DUMMYFUNCTION("""COMPUTED_VALUE"""),"No Aplica")</f>
        <v>No Aplica</v>
      </c>
      <c r="AR1205" s="97" t="str">
        <f>IFERROR(__xludf.DUMMYFUNCTION("""COMPUTED_VALUE"""),"No Aplica")</f>
        <v>No Aplica</v>
      </c>
      <c r="AS1205" s="97" t="str">
        <f>IFERROR(__xludf.DUMMYFUNCTION("""COMPUTED_VALUE"""),"Falta")</f>
        <v>Falta</v>
      </c>
      <c r="AT1205" s="97" t="str">
        <f>IFERROR(__xludf.DUMMYFUNCTION("""COMPUTED_VALUE"""),"Falta")</f>
        <v>Falta</v>
      </c>
      <c r="AU1205" s="97" t="str">
        <f>IFERROR(__xludf.DUMMYFUNCTION("""COMPUTED_VALUE"""),"Falta")</f>
        <v>Falta</v>
      </c>
      <c r="AV1205" s="97" t="str">
        <f>IFERROR(__xludf.DUMMYFUNCTION("""COMPUTED_VALUE"""),"Empotrable")</f>
        <v>Empotrable</v>
      </c>
      <c r="AW1205" s="97" t="str">
        <f>IFERROR(__xludf.DUMMYFUNCTION("""COMPUTED_VALUE"""),"De Techo")</f>
        <v>De Techo</v>
      </c>
      <c r="AX1205" s="97" t="str">
        <f>IFERROR(__xludf.DUMMYFUNCTION("""COMPUTED_VALUE"""),"Interior")</f>
        <v>Interior</v>
      </c>
      <c r="AY1205" s="97" t="str">
        <f>IFERROR(__xludf.DUMMYFUNCTION("""COMPUTED_VALUE"""),"-")</f>
        <v>-</v>
      </c>
      <c r="AZ1205" s="97" t="str">
        <f>IFERROR(__xludf.DUMMYFUNCTION("""COMPUTED_VALUE"""),"Incluye zócalo GU10.
*Profundidad de calado total aproximada (considera dicroica y zócalo estándar).")</f>
        <v>Incluye zócalo GU10.
*Profundidad de calado total aproximada (considera dicroica y zócalo estándar).</v>
      </c>
      <c r="BA1205" s="97">
        <f>IFERROR(__xludf.DUMMYFUNCTION("""COMPUTED_VALUE"""),20.0)</f>
        <v>20</v>
      </c>
      <c r="BB1205" s="97" t="str">
        <f>IFERROR(__xludf.DUMMYFUNCTION("""COMPUTED_VALUE"""),"-")</f>
        <v>-</v>
      </c>
      <c r="BC1205" s="97" t="str">
        <f>IFERROR(__xludf.DUMMYFUNCTION("""COMPUTED_VALUE"""),"-")</f>
        <v>-</v>
      </c>
      <c r="BD1205" s="97" t="str">
        <f>IFERROR(__xludf.DUMMYFUNCTION("""COMPUTED_VALUE"""),"DONA")</f>
        <v>DONA</v>
      </c>
      <c r="BE1205" s="97" t="str">
        <f>IFERROR(__xludf.DUMMYFUNCTION("""COMPUTED_VALUE"""),"Finalizada")</f>
        <v>Finalizada</v>
      </c>
      <c r="BF1205" s="97"/>
      <c r="BG1205" s="97" t="str">
        <f>IFERROR(__xludf.DUMMYFUNCTION("""COMPUTED_VALUE"""),"Activo")</f>
        <v>Activo</v>
      </c>
    </row>
    <row r="1206">
      <c r="A1206" s="97">
        <f>IFERROR(__xludf.DUMMYFUNCTION("""COMPUTED_VALUE"""),7124.0)</f>
        <v>7124</v>
      </c>
      <c r="B1206" s="97" t="str">
        <f>IFERROR(__xludf.DUMMYFUNCTION("""COMPUTED_VALUE"""),"OMNIA BL")</f>
        <v>OMNIA BL</v>
      </c>
      <c r="C1206" s="97" t="str">
        <f>IFERROR(__xludf.DUMMYFUNCTION("""COMPUTED_VALUE"""),"EMPOTRABLE OMNIA BL 1XGU10 DICRO IP20 LEUK")</f>
        <v>EMPOTRABLE OMNIA BL 1XGU10 DICRO IP20 LEUK</v>
      </c>
      <c r="D1206" s="97">
        <f>IFERROR(__xludf.DUMMYFUNCTION("""COMPUTED_VALUE"""),7.798413226393E12)</f>
        <v>7798413226393</v>
      </c>
      <c r="E1206" s="97" t="str">
        <f>IFERROR(__xludf.DUMMYFUNCTION("""COMPUTED_VALUE"""),"B93")</f>
        <v>B93</v>
      </c>
      <c r="F1206" s="97" t="str">
        <f>IFERROR(__xludf.DUMMYFUNCTION("""COMPUTED_VALUE"""),"1xGU10 Dicro")</f>
        <v>1xGU10 Dicro</v>
      </c>
      <c r="G1206" s="97" t="str">
        <f>IFERROR(__xludf.DUMMYFUNCTION("""COMPUTED_VALUE"""),"N/A")</f>
        <v>N/A</v>
      </c>
      <c r="H1206" s="97" t="str">
        <f>IFERROR(__xludf.DUMMYFUNCTION("""COMPUTED_VALUE"""),"N/A")</f>
        <v>N/A</v>
      </c>
      <c r="I1206" s="97" t="str">
        <f>IFERROR(__xludf.DUMMYFUNCTION("""COMPUTED_VALUE"""),"N/A")</f>
        <v>N/A</v>
      </c>
      <c r="J1206" s="97" t="str">
        <f>IFERROR(__xludf.DUMMYFUNCTION("""COMPUTED_VALUE"""),"N/A")</f>
        <v>N/A</v>
      </c>
      <c r="K1206" s="97" t="str">
        <f>IFERROR(__xludf.DUMMYFUNCTION("""COMPUTED_VALUE"""),"N/A")</f>
        <v>N/A</v>
      </c>
      <c r="L1206" s="97">
        <f>IFERROR(__xludf.DUMMYFUNCTION("""COMPUTED_VALUE"""),220.0)</f>
        <v>220</v>
      </c>
      <c r="M1206" s="97">
        <f>IFERROR(__xludf.DUMMYFUNCTION("""COMPUTED_VALUE"""),50.0)</f>
        <v>50</v>
      </c>
      <c r="N1206" s="97" t="str">
        <f>IFERROR(__xludf.DUMMYFUNCTION("""COMPUTED_VALUE"""),"Directa-Simétrica")</f>
        <v>Directa-Simétrica</v>
      </c>
      <c r="O1206" s="97" t="str">
        <f>IFERROR(__xludf.DUMMYFUNCTION("""COMPUTED_VALUE"""),"1 x 50W Max")</f>
        <v>1 x 50W Max</v>
      </c>
      <c r="P1206" s="97"/>
      <c r="Q1206" s="97" t="str">
        <f>IFERROR(__xludf.DUMMYFUNCTION("""COMPUTED_VALUE"""),"-")</f>
        <v>-</v>
      </c>
      <c r="R1206" s="97" t="str">
        <f>IFERROR(__xludf.DUMMYFUNCTION("""COMPUTED_VALUE"""),"-")</f>
        <v>-</v>
      </c>
      <c r="S1206" s="97" t="str">
        <f>IFERROR(__xludf.DUMMYFUNCTION("""COMPUTED_VALUE"""),"-")</f>
        <v>-</v>
      </c>
      <c r="T1206" s="97" t="str">
        <f>IFERROR(__xludf.DUMMYFUNCTION("""COMPUTED_VALUE"""),"-")</f>
        <v>-</v>
      </c>
      <c r="U1206" s="97" t="str">
        <f>IFERROR(__xludf.DUMMYFUNCTION("""COMPUTED_VALUE"""),"-")</f>
        <v>-</v>
      </c>
      <c r="V1206" s="97" t="str">
        <f>IFERROR(__xludf.DUMMYFUNCTION("""COMPUTED_VALUE"""),"N/A")</f>
        <v>N/A</v>
      </c>
      <c r="W1206" s="97" t="str">
        <f>IFERROR(__xludf.DUMMYFUNCTION("""COMPUTED_VALUE"""),"N/A")</f>
        <v>N/A</v>
      </c>
      <c r="X1206" s="97" t="str">
        <f>IFERROR(__xludf.DUMMYFUNCTION("""COMPUTED_VALUE"""),"-")</f>
        <v>-</v>
      </c>
      <c r="Y1206" s="97" t="str">
        <f>IFERROR(__xludf.DUMMYFUNCTION("""COMPUTED_VALUE"""),"N/A")</f>
        <v>N/A</v>
      </c>
      <c r="Z1206" s="97" t="str">
        <f>IFERROR(__xludf.DUMMYFUNCTION("""COMPUTED_VALUE"""),"N/A")</f>
        <v>N/A</v>
      </c>
      <c r="AA1206" s="97" t="str">
        <f>IFERROR(__xludf.DUMMYFUNCTION("""COMPUTED_VALUE"""),"N/A")</f>
        <v>N/A</v>
      </c>
      <c r="AB1206" s="97" t="str">
        <f>IFERROR(__xludf.DUMMYFUNCTION("""COMPUTED_VALUE"""),"N/A")</f>
        <v>N/A</v>
      </c>
      <c r="AC1206" s="97" t="str">
        <f>IFERROR(__xludf.DUMMYFUNCTION("""COMPUTED_VALUE"""),"N/A")</f>
        <v>N/A</v>
      </c>
      <c r="AD1206" s="97" t="str">
        <f>IFERROR(__xludf.DUMMYFUNCTION("""COMPUTED_VALUE"""),"IP20")</f>
        <v>IP20</v>
      </c>
      <c r="AE1206" s="97" t="str">
        <f>IFERROR(__xludf.DUMMYFUNCTION("""COMPUTED_VALUE"""),"Clase l")</f>
        <v>Clase l</v>
      </c>
      <c r="AF1206" s="97" t="str">
        <f>IFERROR(__xludf.DUMMYFUNCTION("""COMPUTED_VALUE"""),"Embutir")</f>
        <v>Embutir</v>
      </c>
      <c r="AG1206" s="97" t="str">
        <f>IFERROR(__xludf.DUMMYFUNCTION("""COMPUTED_VALUE"""),"90 x 90 x 60 ")</f>
        <v>90 x 90 x 60 </v>
      </c>
      <c r="AH1206" s="97" t="str">
        <f>IFERROR(__xludf.DUMMYFUNCTION("""COMPUTED_VALUE"""),"82 x 82 ")</f>
        <v>82 x 82 </v>
      </c>
      <c r="AI1206" s="97" t="str">
        <f>IFERROR(__xludf.DUMMYFUNCTION("""COMPUTED_VALUE"""),"120 *")</f>
        <v>120 *</v>
      </c>
      <c r="AJ1206" s="97" t="str">
        <f>IFERROR(__xludf.DUMMYFUNCTION("""COMPUTED_VALUE"""),"N/A")</f>
        <v>N/A</v>
      </c>
      <c r="AK1206" s="97" t="str">
        <f>IFERROR(__xludf.DUMMYFUNCTION("""COMPUTED_VALUE"""),"Aluminio")</f>
        <v>Aluminio</v>
      </c>
      <c r="AL1206" s="97" t="str">
        <f>IFERROR(__xludf.DUMMYFUNCTION("""COMPUTED_VALUE"""),"Blanco Satinado")</f>
        <v>Blanco Satinado</v>
      </c>
      <c r="AM1206" s="97" t="str">
        <f>IFERROR(__xludf.DUMMYFUNCTION("""COMPUTED_VALUE"""),"-")</f>
        <v>-</v>
      </c>
      <c r="AN1206" s="97" t="str">
        <f>IFERROR(__xludf.DUMMYFUNCTION("""COMPUTED_VALUE"""),"N/A")</f>
        <v>N/A</v>
      </c>
      <c r="AO1206" s="97" t="str">
        <f>IFERROR(__xludf.DUMMYFUNCTION("""COMPUTED_VALUE"""),"3 Años")</f>
        <v>3 Años</v>
      </c>
      <c r="AP1206" s="97" t="str">
        <f>IFERROR(__xludf.DUMMYFUNCTION("""COMPUTED_VALUE"""),"No Aplica")</f>
        <v>No Aplica</v>
      </c>
      <c r="AQ1206" s="97" t="str">
        <f>IFERROR(__xludf.DUMMYFUNCTION("""COMPUTED_VALUE"""),"No Aplica")</f>
        <v>No Aplica</v>
      </c>
      <c r="AR1206" s="97" t="str">
        <f>IFERROR(__xludf.DUMMYFUNCTION("""COMPUTED_VALUE"""),"No Aplica")</f>
        <v>No Aplica</v>
      </c>
      <c r="AS1206" s="97" t="str">
        <f>IFERROR(__xludf.DUMMYFUNCTION("""COMPUTED_VALUE"""),"Falta")</f>
        <v>Falta</v>
      </c>
      <c r="AT1206" s="97" t="str">
        <f>IFERROR(__xludf.DUMMYFUNCTION("""COMPUTED_VALUE"""),"Falta")</f>
        <v>Falta</v>
      </c>
      <c r="AU1206" s="97" t="str">
        <f>IFERROR(__xludf.DUMMYFUNCTION("""COMPUTED_VALUE"""),"Falta")</f>
        <v>Falta</v>
      </c>
      <c r="AV1206" s="97" t="str">
        <f>IFERROR(__xludf.DUMMYFUNCTION("""COMPUTED_VALUE"""),"Empotrable")</f>
        <v>Empotrable</v>
      </c>
      <c r="AW1206" s="97" t="str">
        <f>IFERROR(__xludf.DUMMYFUNCTION("""COMPUTED_VALUE"""),"De Techo")</f>
        <v>De Techo</v>
      </c>
      <c r="AX1206" s="97" t="str">
        <f>IFERROR(__xludf.DUMMYFUNCTION("""COMPUTED_VALUE"""),"Interior")</f>
        <v>Interior</v>
      </c>
      <c r="AY1206" s="97" t="str">
        <f>IFERROR(__xludf.DUMMYFUNCTION("""COMPUTED_VALUE"""),"-")</f>
        <v>-</v>
      </c>
      <c r="AZ1206" s="97" t="str">
        <f>IFERROR(__xludf.DUMMYFUNCTION("""COMPUTED_VALUE"""),"Incluye zócalo GU10.
*Profundidad de calado total aproximada (considera dicroica y zócalo estándar).")</f>
        <v>Incluye zócalo GU10.
*Profundidad de calado total aproximada (considera dicroica y zócalo estándar).</v>
      </c>
      <c r="BA1206" s="97">
        <f>IFERROR(__xludf.DUMMYFUNCTION("""COMPUTED_VALUE"""),20.0)</f>
        <v>20</v>
      </c>
      <c r="BB1206" s="97" t="str">
        <f>IFERROR(__xludf.DUMMYFUNCTION("""COMPUTED_VALUE"""),"-")</f>
        <v>-</v>
      </c>
      <c r="BC1206" s="97" t="str">
        <f>IFERROR(__xludf.DUMMYFUNCTION("""COMPUTED_VALUE"""),"-")</f>
        <v>-</v>
      </c>
      <c r="BD1206" s="97" t="str">
        <f>IFERROR(__xludf.DUMMYFUNCTION("""COMPUTED_VALUE"""),"OMNIA")</f>
        <v>OMNIA</v>
      </c>
      <c r="BE1206" s="97" t="str">
        <f>IFERROR(__xludf.DUMMYFUNCTION("""COMPUTED_VALUE"""),"Finalizada")</f>
        <v>Finalizada</v>
      </c>
      <c r="BF1206" s="97"/>
      <c r="BG1206" s="97" t="str">
        <f>IFERROR(__xludf.DUMMYFUNCTION("""COMPUTED_VALUE"""),"Activo")</f>
        <v>Activo</v>
      </c>
    </row>
    <row r="1207">
      <c r="A1207" s="97">
        <f>IFERROR(__xludf.DUMMYFUNCTION("""COMPUTED_VALUE"""),7125.0)</f>
        <v>7125</v>
      </c>
      <c r="B1207" s="97" t="str">
        <f>IFERROR(__xludf.DUMMYFUNCTION("""COMPUTED_VALUE"""),"OMNIA NG")</f>
        <v>OMNIA NG</v>
      </c>
      <c r="C1207" s="97" t="str">
        <f>IFERROR(__xludf.DUMMYFUNCTION("""COMPUTED_VALUE"""),"EMPOTRABLE OMNIA NG 1XGU10 DICRO IP20 LEUK")</f>
        <v>EMPOTRABLE OMNIA NG 1XGU10 DICRO IP20 LEUK</v>
      </c>
      <c r="D1207" s="97">
        <f>IFERROR(__xludf.DUMMYFUNCTION("""COMPUTED_VALUE"""),7.798413226409E12)</f>
        <v>7798413226409</v>
      </c>
      <c r="E1207" s="97" t="str">
        <f>IFERROR(__xludf.DUMMYFUNCTION("""COMPUTED_VALUE"""),"B93")</f>
        <v>B93</v>
      </c>
      <c r="F1207" s="97" t="str">
        <f>IFERROR(__xludf.DUMMYFUNCTION("""COMPUTED_VALUE"""),"1xGU10 Dicro")</f>
        <v>1xGU10 Dicro</v>
      </c>
      <c r="G1207" s="97" t="str">
        <f>IFERROR(__xludf.DUMMYFUNCTION("""COMPUTED_VALUE"""),"N/A")</f>
        <v>N/A</v>
      </c>
      <c r="H1207" s="97" t="str">
        <f>IFERROR(__xludf.DUMMYFUNCTION("""COMPUTED_VALUE"""),"N/A")</f>
        <v>N/A</v>
      </c>
      <c r="I1207" s="97" t="str">
        <f>IFERROR(__xludf.DUMMYFUNCTION("""COMPUTED_VALUE"""),"N/A")</f>
        <v>N/A</v>
      </c>
      <c r="J1207" s="97" t="str">
        <f>IFERROR(__xludf.DUMMYFUNCTION("""COMPUTED_VALUE"""),"N/A")</f>
        <v>N/A</v>
      </c>
      <c r="K1207" s="97" t="str">
        <f>IFERROR(__xludf.DUMMYFUNCTION("""COMPUTED_VALUE"""),"N/A")</f>
        <v>N/A</v>
      </c>
      <c r="L1207" s="97">
        <f>IFERROR(__xludf.DUMMYFUNCTION("""COMPUTED_VALUE"""),220.0)</f>
        <v>220</v>
      </c>
      <c r="M1207" s="97">
        <f>IFERROR(__xludf.DUMMYFUNCTION("""COMPUTED_VALUE"""),50.0)</f>
        <v>50</v>
      </c>
      <c r="N1207" s="97" t="str">
        <f>IFERROR(__xludf.DUMMYFUNCTION("""COMPUTED_VALUE"""),"Directa-Simétrica")</f>
        <v>Directa-Simétrica</v>
      </c>
      <c r="O1207" s="97" t="str">
        <f>IFERROR(__xludf.DUMMYFUNCTION("""COMPUTED_VALUE"""),"1 x 50W Max")</f>
        <v>1 x 50W Max</v>
      </c>
      <c r="P1207" s="97"/>
      <c r="Q1207" s="97" t="str">
        <f>IFERROR(__xludf.DUMMYFUNCTION("""COMPUTED_VALUE"""),"-")</f>
        <v>-</v>
      </c>
      <c r="R1207" s="97" t="str">
        <f>IFERROR(__xludf.DUMMYFUNCTION("""COMPUTED_VALUE"""),"-")</f>
        <v>-</v>
      </c>
      <c r="S1207" s="97" t="str">
        <f>IFERROR(__xludf.DUMMYFUNCTION("""COMPUTED_VALUE"""),"-")</f>
        <v>-</v>
      </c>
      <c r="T1207" s="97" t="str">
        <f>IFERROR(__xludf.DUMMYFUNCTION("""COMPUTED_VALUE"""),"-")</f>
        <v>-</v>
      </c>
      <c r="U1207" s="97" t="str">
        <f>IFERROR(__xludf.DUMMYFUNCTION("""COMPUTED_VALUE"""),"-")</f>
        <v>-</v>
      </c>
      <c r="V1207" s="97" t="str">
        <f>IFERROR(__xludf.DUMMYFUNCTION("""COMPUTED_VALUE"""),"N/A")</f>
        <v>N/A</v>
      </c>
      <c r="W1207" s="97" t="str">
        <f>IFERROR(__xludf.DUMMYFUNCTION("""COMPUTED_VALUE"""),"N/A")</f>
        <v>N/A</v>
      </c>
      <c r="X1207" s="97" t="str">
        <f>IFERROR(__xludf.DUMMYFUNCTION("""COMPUTED_VALUE"""),"-")</f>
        <v>-</v>
      </c>
      <c r="Y1207" s="97" t="str">
        <f>IFERROR(__xludf.DUMMYFUNCTION("""COMPUTED_VALUE"""),"N/A")</f>
        <v>N/A</v>
      </c>
      <c r="Z1207" s="97" t="str">
        <f>IFERROR(__xludf.DUMMYFUNCTION("""COMPUTED_VALUE"""),"N/A")</f>
        <v>N/A</v>
      </c>
      <c r="AA1207" s="97" t="str">
        <f>IFERROR(__xludf.DUMMYFUNCTION("""COMPUTED_VALUE"""),"N/A")</f>
        <v>N/A</v>
      </c>
      <c r="AB1207" s="97" t="str">
        <f>IFERROR(__xludf.DUMMYFUNCTION("""COMPUTED_VALUE"""),"N/A")</f>
        <v>N/A</v>
      </c>
      <c r="AC1207" s="97" t="str">
        <f>IFERROR(__xludf.DUMMYFUNCTION("""COMPUTED_VALUE"""),"N/A")</f>
        <v>N/A</v>
      </c>
      <c r="AD1207" s="97" t="str">
        <f>IFERROR(__xludf.DUMMYFUNCTION("""COMPUTED_VALUE"""),"IP20")</f>
        <v>IP20</v>
      </c>
      <c r="AE1207" s="97" t="str">
        <f>IFERROR(__xludf.DUMMYFUNCTION("""COMPUTED_VALUE"""),"Clase l")</f>
        <v>Clase l</v>
      </c>
      <c r="AF1207" s="97" t="str">
        <f>IFERROR(__xludf.DUMMYFUNCTION("""COMPUTED_VALUE"""),"Embutir")</f>
        <v>Embutir</v>
      </c>
      <c r="AG1207" s="97" t="str">
        <f>IFERROR(__xludf.DUMMYFUNCTION("""COMPUTED_VALUE"""),"90 x 90 x 60 ")</f>
        <v>90 x 90 x 60 </v>
      </c>
      <c r="AH1207" s="97" t="str">
        <f>IFERROR(__xludf.DUMMYFUNCTION("""COMPUTED_VALUE"""),"82 x 82 ")</f>
        <v>82 x 82 </v>
      </c>
      <c r="AI1207" s="97" t="str">
        <f>IFERROR(__xludf.DUMMYFUNCTION("""COMPUTED_VALUE"""),"120 *")</f>
        <v>120 *</v>
      </c>
      <c r="AJ1207" s="97" t="str">
        <f>IFERROR(__xludf.DUMMYFUNCTION("""COMPUTED_VALUE"""),"N/A")</f>
        <v>N/A</v>
      </c>
      <c r="AK1207" s="97" t="str">
        <f>IFERROR(__xludf.DUMMYFUNCTION("""COMPUTED_VALUE"""),"Aluminio")</f>
        <v>Aluminio</v>
      </c>
      <c r="AL1207" s="97" t="str">
        <f>IFERROR(__xludf.DUMMYFUNCTION("""COMPUTED_VALUE"""),"Negro Satinado")</f>
        <v>Negro Satinado</v>
      </c>
      <c r="AM1207" s="97" t="str">
        <f>IFERROR(__xludf.DUMMYFUNCTION("""COMPUTED_VALUE"""),"-")</f>
        <v>-</v>
      </c>
      <c r="AN1207" s="97" t="str">
        <f>IFERROR(__xludf.DUMMYFUNCTION("""COMPUTED_VALUE"""),"N/A")</f>
        <v>N/A</v>
      </c>
      <c r="AO1207" s="97" t="str">
        <f>IFERROR(__xludf.DUMMYFUNCTION("""COMPUTED_VALUE"""),"3 Años")</f>
        <v>3 Años</v>
      </c>
      <c r="AP1207" s="97" t="str">
        <f>IFERROR(__xludf.DUMMYFUNCTION("""COMPUTED_VALUE"""),"No Aplica")</f>
        <v>No Aplica</v>
      </c>
      <c r="AQ1207" s="97" t="str">
        <f>IFERROR(__xludf.DUMMYFUNCTION("""COMPUTED_VALUE"""),"No Aplica")</f>
        <v>No Aplica</v>
      </c>
      <c r="AR1207" s="97" t="str">
        <f>IFERROR(__xludf.DUMMYFUNCTION("""COMPUTED_VALUE"""),"No Aplica")</f>
        <v>No Aplica</v>
      </c>
      <c r="AS1207" s="97" t="str">
        <f>IFERROR(__xludf.DUMMYFUNCTION("""COMPUTED_VALUE"""),"Falta")</f>
        <v>Falta</v>
      </c>
      <c r="AT1207" s="97" t="str">
        <f>IFERROR(__xludf.DUMMYFUNCTION("""COMPUTED_VALUE"""),"Falta")</f>
        <v>Falta</v>
      </c>
      <c r="AU1207" s="97" t="str">
        <f>IFERROR(__xludf.DUMMYFUNCTION("""COMPUTED_VALUE"""),"Falta")</f>
        <v>Falta</v>
      </c>
      <c r="AV1207" s="97" t="str">
        <f>IFERROR(__xludf.DUMMYFUNCTION("""COMPUTED_VALUE"""),"Empotrable")</f>
        <v>Empotrable</v>
      </c>
      <c r="AW1207" s="97" t="str">
        <f>IFERROR(__xludf.DUMMYFUNCTION("""COMPUTED_VALUE"""),"De Techo")</f>
        <v>De Techo</v>
      </c>
      <c r="AX1207" s="97" t="str">
        <f>IFERROR(__xludf.DUMMYFUNCTION("""COMPUTED_VALUE"""),"Interior")</f>
        <v>Interior</v>
      </c>
      <c r="AY1207" s="97" t="str">
        <f>IFERROR(__xludf.DUMMYFUNCTION("""COMPUTED_VALUE"""),"-")</f>
        <v>-</v>
      </c>
      <c r="AZ1207" s="97" t="str">
        <f>IFERROR(__xludf.DUMMYFUNCTION("""COMPUTED_VALUE"""),"Incluye zócalo GU10.
*Profundidad de calado total aproximada (considera dicroica y zócalo estándar).")</f>
        <v>Incluye zócalo GU10.
*Profundidad de calado total aproximada (considera dicroica y zócalo estándar).</v>
      </c>
      <c r="BA1207" s="97">
        <f>IFERROR(__xludf.DUMMYFUNCTION("""COMPUTED_VALUE"""),20.0)</f>
        <v>20</v>
      </c>
      <c r="BB1207" s="97" t="str">
        <f>IFERROR(__xludf.DUMMYFUNCTION("""COMPUTED_VALUE"""),"-")</f>
        <v>-</v>
      </c>
      <c r="BC1207" s="97" t="str">
        <f>IFERROR(__xludf.DUMMYFUNCTION("""COMPUTED_VALUE"""),"-")</f>
        <v>-</v>
      </c>
      <c r="BD1207" s="97" t="str">
        <f>IFERROR(__xludf.DUMMYFUNCTION("""COMPUTED_VALUE"""),"OMNIA")</f>
        <v>OMNIA</v>
      </c>
      <c r="BE1207" s="97" t="str">
        <f>IFERROR(__xludf.DUMMYFUNCTION("""COMPUTED_VALUE"""),"Finalizada")</f>
        <v>Finalizada</v>
      </c>
      <c r="BF1207" s="97"/>
      <c r="BG1207" s="97" t="str">
        <f>IFERROR(__xludf.DUMMYFUNCTION("""COMPUTED_VALUE"""),"Activo")</f>
        <v>Activo</v>
      </c>
    </row>
    <row r="1208">
      <c r="A1208" s="97">
        <f>IFERROR(__xludf.DUMMYFUNCTION("""COMPUTED_VALUE"""),7126.0)</f>
        <v>7126</v>
      </c>
      <c r="B1208" s="97" t="str">
        <f>IFERROR(__xludf.DUMMYFUNCTION("""COMPUTED_VALUE"""),"STUPA BL")</f>
        <v>STUPA BL</v>
      </c>
      <c r="C1208" s="97" t="str">
        <f>IFERROR(__xludf.DUMMYFUNCTION("""COMPUTED_VALUE"""),"EMPOTRABLE STUPA BL 1XGU10 DICRO IP20 LEUK")</f>
        <v>EMPOTRABLE STUPA BL 1XGU10 DICRO IP20 LEUK</v>
      </c>
      <c r="D1208" s="97">
        <f>IFERROR(__xludf.DUMMYFUNCTION("""COMPUTED_VALUE"""),7.798413226416E12)</f>
        <v>7798413226416</v>
      </c>
      <c r="E1208" s="97" t="str">
        <f>IFERROR(__xludf.DUMMYFUNCTION("""COMPUTED_VALUE"""),"B77")</f>
        <v>B77</v>
      </c>
      <c r="F1208" s="97" t="str">
        <f>IFERROR(__xludf.DUMMYFUNCTION("""COMPUTED_VALUE"""),"1xGU10 Dicro")</f>
        <v>1xGU10 Dicro</v>
      </c>
      <c r="G1208" s="97" t="str">
        <f>IFERROR(__xludf.DUMMYFUNCTION("""COMPUTED_VALUE"""),"N/A")</f>
        <v>N/A</v>
      </c>
      <c r="H1208" s="97" t="str">
        <f>IFERROR(__xludf.DUMMYFUNCTION("""COMPUTED_VALUE"""),"N/A")</f>
        <v>N/A</v>
      </c>
      <c r="I1208" s="97" t="str">
        <f>IFERROR(__xludf.DUMMYFUNCTION("""COMPUTED_VALUE"""),"N/A")</f>
        <v>N/A</v>
      </c>
      <c r="J1208" s="97" t="str">
        <f>IFERROR(__xludf.DUMMYFUNCTION("""COMPUTED_VALUE"""),"N/A")</f>
        <v>N/A</v>
      </c>
      <c r="K1208" s="97" t="str">
        <f>IFERROR(__xludf.DUMMYFUNCTION("""COMPUTED_VALUE"""),"N/A")</f>
        <v>N/A</v>
      </c>
      <c r="L1208" s="97">
        <f>IFERROR(__xludf.DUMMYFUNCTION("""COMPUTED_VALUE"""),220.0)</f>
        <v>220</v>
      </c>
      <c r="M1208" s="97">
        <f>IFERROR(__xludf.DUMMYFUNCTION("""COMPUTED_VALUE"""),50.0)</f>
        <v>50</v>
      </c>
      <c r="N1208" s="97" t="str">
        <f>IFERROR(__xludf.DUMMYFUNCTION("""COMPUTED_VALUE"""),"Directa-Simétrica")</f>
        <v>Directa-Simétrica</v>
      </c>
      <c r="O1208" s="97" t="str">
        <f>IFERROR(__xludf.DUMMYFUNCTION("""COMPUTED_VALUE"""),"1 x 50W Max")</f>
        <v>1 x 50W Max</v>
      </c>
      <c r="P1208" s="97"/>
      <c r="Q1208" s="97" t="str">
        <f>IFERROR(__xludf.DUMMYFUNCTION("""COMPUTED_VALUE"""),"-")</f>
        <v>-</v>
      </c>
      <c r="R1208" s="97" t="str">
        <f>IFERROR(__xludf.DUMMYFUNCTION("""COMPUTED_VALUE"""),"-")</f>
        <v>-</v>
      </c>
      <c r="S1208" s="97" t="str">
        <f>IFERROR(__xludf.DUMMYFUNCTION("""COMPUTED_VALUE"""),"-")</f>
        <v>-</v>
      </c>
      <c r="T1208" s="97" t="str">
        <f>IFERROR(__xludf.DUMMYFUNCTION("""COMPUTED_VALUE"""),"-")</f>
        <v>-</v>
      </c>
      <c r="U1208" s="97" t="str">
        <f>IFERROR(__xludf.DUMMYFUNCTION("""COMPUTED_VALUE"""),"-")</f>
        <v>-</v>
      </c>
      <c r="V1208" s="97" t="str">
        <f>IFERROR(__xludf.DUMMYFUNCTION("""COMPUTED_VALUE"""),"N/A")</f>
        <v>N/A</v>
      </c>
      <c r="W1208" s="97" t="str">
        <f>IFERROR(__xludf.DUMMYFUNCTION("""COMPUTED_VALUE"""),"N/A")</f>
        <v>N/A</v>
      </c>
      <c r="X1208" s="97" t="str">
        <f>IFERROR(__xludf.DUMMYFUNCTION("""COMPUTED_VALUE"""),"-")</f>
        <v>-</v>
      </c>
      <c r="Y1208" s="97" t="str">
        <f>IFERROR(__xludf.DUMMYFUNCTION("""COMPUTED_VALUE"""),"N/A")</f>
        <v>N/A</v>
      </c>
      <c r="Z1208" s="97" t="str">
        <f>IFERROR(__xludf.DUMMYFUNCTION("""COMPUTED_VALUE"""),"N/A")</f>
        <v>N/A</v>
      </c>
      <c r="AA1208" s="97" t="str">
        <f>IFERROR(__xludf.DUMMYFUNCTION("""COMPUTED_VALUE"""),"N/A")</f>
        <v>N/A</v>
      </c>
      <c r="AB1208" s="97" t="str">
        <f>IFERROR(__xludf.DUMMYFUNCTION("""COMPUTED_VALUE"""),"N/A")</f>
        <v>N/A</v>
      </c>
      <c r="AC1208" s="97" t="str">
        <f>IFERROR(__xludf.DUMMYFUNCTION("""COMPUTED_VALUE"""),"N/A")</f>
        <v>N/A</v>
      </c>
      <c r="AD1208" s="97" t="str">
        <f>IFERROR(__xludf.DUMMYFUNCTION("""COMPUTED_VALUE"""),"IP20")</f>
        <v>IP20</v>
      </c>
      <c r="AE1208" s="97" t="str">
        <f>IFERROR(__xludf.DUMMYFUNCTION("""COMPUTED_VALUE"""),"Clase l")</f>
        <v>Clase l</v>
      </c>
      <c r="AF1208" s="97" t="str">
        <f>IFERROR(__xludf.DUMMYFUNCTION("""COMPUTED_VALUE"""),"Embutir")</f>
        <v>Embutir</v>
      </c>
      <c r="AG1208" s="97" t="str">
        <f>IFERROR(__xludf.DUMMYFUNCTION("""COMPUTED_VALUE"""),"∅91 x 23")</f>
        <v>∅91 x 23</v>
      </c>
      <c r="AH1208" s="97" t="str">
        <f>IFERROR(__xludf.DUMMYFUNCTION("""COMPUTED_VALUE"""),"Ø80-85")</f>
        <v>Ø80-85</v>
      </c>
      <c r="AI1208" s="97" t="str">
        <f>IFERROR(__xludf.DUMMYFUNCTION("""COMPUTED_VALUE"""),"70 *")</f>
        <v>70 *</v>
      </c>
      <c r="AJ1208" s="97" t="str">
        <f>IFERROR(__xludf.DUMMYFUNCTION("""COMPUTED_VALUE"""),"N/A")</f>
        <v>N/A</v>
      </c>
      <c r="AK1208" s="97" t="str">
        <f>IFERROR(__xludf.DUMMYFUNCTION("""COMPUTED_VALUE"""),"Aluminio")</f>
        <v>Aluminio</v>
      </c>
      <c r="AL1208" s="97" t="str">
        <f>IFERROR(__xludf.DUMMYFUNCTION("""COMPUTED_VALUE"""),"Blanco Satinado")</f>
        <v>Blanco Satinado</v>
      </c>
      <c r="AM1208" s="97" t="str">
        <f>IFERROR(__xludf.DUMMYFUNCTION("""COMPUTED_VALUE"""),"-")</f>
        <v>-</v>
      </c>
      <c r="AN1208" s="97" t="str">
        <f>IFERROR(__xludf.DUMMYFUNCTION("""COMPUTED_VALUE"""),"N/A")</f>
        <v>N/A</v>
      </c>
      <c r="AO1208" s="97" t="str">
        <f>IFERROR(__xludf.DUMMYFUNCTION("""COMPUTED_VALUE"""),"3 Años")</f>
        <v>3 Años</v>
      </c>
      <c r="AP1208" s="97" t="str">
        <f>IFERROR(__xludf.DUMMYFUNCTION("""COMPUTED_VALUE"""),"No Aplica")</f>
        <v>No Aplica</v>
      </c>
      <c r="AQ1208" s="97" t="str">
        <f>IFERROR(__xludf.DUMMYFUNCTION("""COMPUTED_VALUE"""),"No Aplica")</f>
        <v>No Aplica</v>
      </c>
      <c r="AR1208" s="97" t="str">
        <f>IFERROR(__xludf.DUMMYFUNCTION("""COMPUTED_VALUE"""),"No Aplica")</f>
        <v>No Aplica</v>
      </c>
      <c r="AS1208" s="97" t="str">
        <f>IFERROR(__xludf.DUMMYFUNCTION("""COMPUTED_VALUE"""),"Falta")</f>
        <v>Falta</v>
      </c>
      <c r="AT1208" s="97" t="str">
        <f>IFERROR(__xludf.DUMMYFUNCTION("""COMPUTED_VALUE"""),"Falta")</f>
        <v>Falta</v>
      </c>
      <c r="AU1208" s="97" t="str">
        <f>IFERROR(__xludf.DUMMYFUNCTION("""COMPUTED_VALUE"""),"Falta")</f>
        <v>Falta</v>
      </c>
      <c r="AV1208" s="97" t="str">
        <f>IFERROR(__xludf.DUMMYFUNCTION("""COMPUTED_VALUE"""),"Empotrable")</f>
        <v>Empotrable</v>
      </c>
      <c r="AW1208" s="97" t="str">
        <f>IFERROR(__xludf.DUMMYFUNCTION("""COMPUTED_VALUE"""),"De Techo")</f>
        <v>De Techo</v>
      </c>
      <c r="AX1208" s="97" t="str">
        <f>IFERROR(__xludf.DUMMYFUNCTION("""COMPUTED_VALUE"""),"Interior")</f>
        <v>Interior</v>
      </c>
      <c r="AY1208" s="97" t="str">
        <f>IFERROR(__xludf.DUMMYFUNCTION("""COMPUTED_VALUE"""),"-")</f>
        <v>-</v>
      </c>
      <c r="AZ1208" s="97" t="str">
        <f>IFERROR(__xludf.DUMMYFUNCTION("""COMPUTED_VALUE"""),"Movimiento ±20°. Incluye zócalo GU10.
*Profundidad de calado total aproximada (considera dicroica y zócalo estándar).")</f>
        <v>Movimiento ±20°. Incluye zócalo GU10.
*Profundidad de calado total aproximada (considera dicroica y zócalo estándar).</v>
      </c>
      <c r="BA1208" s="97">
        <f>IFERROR(__xludf.DUMMYFUNCTION("""COMPUTED_VALUE"""),20.0)</f>
        <v>20</v>
      </c>
      <c r="BB1208" s="97" t="str">
        <f>IFERROR(__xludf.DUMMYFUNCTION("""COMPUTED_VALUE"""),"-")</f>
        <v>-</v>
      </c>
      <c r="BC1208" s="97" t="str">
        <f>IFERROR(__xludf.DUMMYFUNCTION("""COMPUTED_VALUE"""),"-")</f>
        <v>-</v>
      </c>
      <c r="BD1208" s="97" t="str">
        <f>IFERROR(__xludf.DUMMYFUNCTION("""COMPUTED_VALUE"""),"STUPA")</f>
        <v>STUPA</v>
      </c>
      <c r="BE1208" s="97" t="str">
        <f>IFERROR(__xludf.DUMMYFUNCTION("""COMPUTED_VALUE"""),"Finalizada")</f>
        <v>Finalizada</v>
      </c>
      <c r="BF1208" s="97"/>
      <c r="BG1208" s="97" t="str">
        <f>IFERROR(__xludf.DUMMYFUNCTION("""COMPUTED_VALUE"""),"Activo")</f>
        <v>Activo</v>
      </c>
    </row>
    <row r="1209">
      <c r="A1209" s="97">
        <f>IFERROR(__xludf.DUMMYFUNCTION("""COMPUTED_VALUE"""),7127.0)</f>
        <v>7127</v>
      </c>
      <c r="B1209" s="97" t="str">
        <f>IFERROR(__xludf.DUMMYFUNCTION("""COMPUTED_VALUE"""),"STUPA NG")</f>
        <v>STUPA NG</v>
      </c>
      <c r="C1209" s="97" t="str">
        <f>IFERROR(__xludf.DUMMYFUNCTION("""COMPUTED_VALUE"""),"EMPOTRABLE STUPA NG 1XGU10 DICRO IP20 LEUK")</f>
        <v>EMPOTRABLE STUPA NG 1XGU10 DICRO IP20 LEUK</v>
      </c>
      <c r="D1209" s="97">
        <f>IFERROR(__xludf.DUMMYFUNCTION("""COMPUTED_VALUE"""),7.798413226423E12)</f>
        <v>7798413226423</v>
      </c>
      <c r="E1209" s="97" t="str">
        <f>IFERROR(__xludf.DUMMYFUNCTION("""COMPUTED_VALUE"""),"B77")</f>
        <v>B77</v>
      </c>
      <c r="F1209" s="97" t="str">
        <f>IFERROR(__xludf.DUMMYFUNCTION("""COMPUTED_VALUE"""),"1xGU10 Dicro")</f>
        <v>1xGU10 Dicro</v>
      </c>
      <c r="G1209" s="97" t="str">
        <f>IFERROR(__xludf.DUMMYFUNCTION("""COMPUTED_VALUE"""),"N/A")</f>
        <v>N/A</v>
      </c>
      <c r="H1209" s="97" t="str">
        <f>IFERROR(__xludf.DUMMYFUNCTION("""COMPUTED_VALUE"""),"N/A")</f>
        <v>N/A</v>
      </c>
      <c r="I1209" s="97" t="str">
        <f>IFERROR(__xludf.DUMMYFUNCTION("""COMPUTED_VALUE"""),"N/A")</f>
        <v>N/A</v>
      </c>
      <c r="J1209" s="97" t="str">
        <f>IFERROR(__xludf.DUMMYFUNCTION("""COMPUTED_VALUE"""),"N/A")</f>
        <v>N/A</v>
      </c>
      <c r="K1209" s="97" t="str">
        <f>IFERROR(__xludf.DUMMYFUNCTION("""COMPUTED_VALUE"""),"N/A")</f>
        <v>N/A</v>
      </c>
      <c r="L1209" s="97">
        <f>IFERROR(__xludf.DUMMYFUNCTION("""COMPUTED_VALUE"""),220.0)</f>
        <v>220</v>
      </c>
      <c r="M1209" s="97">
        <f>IFERROR(__xludf.DUMMYFUNCTION("""COMPUTED_VALUE"""),50.0)</f>
        <v>50</v>
      </c>
      <c r="N1209" s="97" t="str">
        <f>IFERROR(__xludf.DUMMYFUNCTION("""COMPUTED_VALUE"""),"Directa-Simétrica")</f>
        <v>Directa-Simétrica</v>
      </c>
      <c r="O1209" s="97" t="str">
        <f>IFERROR(__xludf.DUMMYFUNCTION("""COMPUTED_VALUE"""),"1 x 50W Max")</f>
        <v>1 x 50W Max</v>
      </c>
      <c r="P1209" s="97"/>
      <c r="Q1209" s="97" t="str">
        <f>IFERROR(__xludf.DUMMYFUNCTION("""COMPUTED_VALUE"""),"-")</f>
        <v>-</v>
      </c>
      <c r="R1209" s="97" t="str">
        <f>IFERROR(__xludf.DUMMYFUNCTION("""COMPUTED_VALUE"""),"-")</f>
        <v>-</v>
      </c>
      <c r="S1209" s="97" t="str">
        <f>IFERROR(__xludf.DUMMYFUNCTION("""COMPUTED_VALUE"""),"-")</f>
        <v>-</v>
      </c>
      <c r="T1209" s="97" t="str">
        <f>IFERROR(__xludf.DUMMYFUNCTION("""COMPUTED_VALUE"""),"-")</f>
        <v>-</v>
      </c>
      <c r="U1209" s="97" t="str">
        <f>IFERROR(__xludf.DUMMYFUNCTION("""COMPUTED_VALUE"""),"-")</f>
        <v>-</v>
      </c>
      <c r="V1209" s="97" t="str">
        <f>IFERROR(__xludf.DUMMYFUNCTION("""COMPUTED_VALUE"""),"N/A")</f>
        <v>N/A</v>
      </c>
      <c r="W1209" s="97" t="str">
        <f>IFERROR(__xludf.DUMMYFUNCTION("""COMPUTED_VALUE"""),"N/A")</f>
        <v>N/A</v>
      </c>
      <c r="X1209" s="97" t="str">
        <f>IFERROR(__xludf.DUMMYFUNCTION("""COMPUTED_VALUE"""),"-")</f>
        <v>-</v>
      </c>
      <c r="Y1209" s="97" t="str">
        <f>IFERROR(__xludf.DUMMYFUNCTION("""COMPUTED_VALUE"""),"N/A")</f>
        <v>N/A</v>
      </c>
      <c r="Z1209" s="97" t="str">
        <f>IFERROR(__xludf.DUMMYFUNCTION("""COMPUTED_VALUE"""),"N/A")</f>
        <v>N/A</v>
      </c>
      <c r="AA1209" s="97" t="str">
        <f>IFERROR(__xludf.DUMMYFUNCTION("""COMPUTED_VALUE"""),"N/A")</f>
        <v>N/A</v>
      </c>
      <c r="AB1209" s="97" t="str">
        <f>IFERROR(__xludf.DUMMYFUNCTION("""COMPUTED_VALUE"""),"N/A")</f>
        <v>N/A</v>
      </c>
      <c r="AC1209" s="97" t="str">
        <f>IFERROR(__xludf.DUMMYFUNCTION("""COMPUTED_VALUE"""),"N/A")</f>
        <v>N/A</v>
      </c>
      <c r="AD1209" s="97" t="str">
        <f>IFERROR(__xludf.DUMMYFUNCTION("""COMPUTED_VALUE"""),"IP20")</f>
        <v>IP20</v>
      </c>
      <c r="AE1209" s="97" t="str">
        <f>IFERROR(__xludf.DUMMYFUNCTION("""COMPUTED_VALUE"""),"Clase l")</f>
        <v>Clase l</v>
      </c>
      <c r="AF1209" s="97" t="str">
        <f>IFERROR(__xludf.DUMMYFUNCTION("""COMPUTED_VALUE"""),"Embutir")</f>
        <v>Embutir</v>
      </c>
      <c r="AG1209" s="97" t="str">
        <f>IFERROR(__xludf.DUMMYFUNCTION("""COMPUTED_VALUE"""),"∅91 x 23")</f>
        <v>∅91 x 23</v>
      </c>
      <c r="AH1209" s="97" t="str">
        <f>IFERROR(__xludf.DUMMYFUNCTION("""COMPUTED_VALUE"""),"Ø80-85")</f>
        <v>Ø80-85</v>
      </c>
      <c r="AI1209" s="97" t="str">
        <f>IFERROR(__xludf.DUMMYFUNCTION("""COMPUTED_VALUE"""),"70 *")</f>
        <v>70 *</v>
      </c>
      <c r="AJ1209" s="97" t="str">
        <f>IFERROR(__xludf.DUMMYFUNCTION("""COMPUTED_VALUE"""),"N/A")</f>
        <v>N/A</v>
      </c>
      <c r="AK1209" s="97" t="str">
        <f>IFERROR(__xludf.DUMMYFUNCTION("""COMPUTED_VALUE"""),"Aluminio")</f>
        <v>Aluminio</v>
      </c>
      <c r="AL1209" s="97" t="str">
        <f>IFERROR(__xludf.DUMMYFUNCTION("""COMPUTED_VALUE"""),"Negro Satinado")</f>
        <v>Negro Satinado</v>
      </c>
      <c r="AM1209" s="97" t="str">
        <f>IFERROR(__xludf.DUMMYFUNCTION("""COMPUTED_VALUE"""),"-")</f>
        <v>-</v>
      </c>
      <c r="AN1209" s="97" t="str">
        <f>IFERROR(__xludf.DUMMYFUNCTION("""COMPUTED_VALUE"""),"N/A")</f>
        <v>N/A</v>
      </c>
      <c r="AO1209" s="97" t="str">
        <f>IFERROR(__xludf.DUMMYFUNCTION("""COMPUTED_VALUE"""),"3 Años")</f>
        <v>3 Años</v>
      </c>
      <c r="AP1209" s="97" t="str">
        <f>IFERROR(__xludf.DUMMYFUNCTION("""COMPUTED_VALUE"""),"No Aplica")</f>
        <v>No Aplica</v>
      </c>
      <c r="AQ1209" s="97" t="str">
        <f>IFERROR(__xludf.DUMMYFUNCTION("""COMPUTED_VALUE"""),"No Aplica")</f>
        <v>No Aplica</v>
      </c>
      <c r="AR1209" s="97" t="str">
        <f>IFERROR(__xludf.DUMMYFUNCTION("""COMPUTED_VALUE"""),"No Aplica")</f>
        <v>No Aplica</v>
      </c>
      <c r="AS1209" s="97" t="str">
        <f>IFERROR(__xludf.DUMMYFUNCTION("""COMPUTED_VALUE"""),"Falta")</f>
        <v>Falta</v>
      </c>
      <c r="AT1209" s="97" t="str">
        <f>IFERROR(__xludf.DUMMYFUNCTION("""COMPUTED_VALUE"""),"Falta")</f>
        <v>Falta</v>
      </c>
      <c r="AU1209" s="97" t="str">
        <f>IFERROR(__xludf.DUMMYFUNCTION("""COMPUTED_VALUE"""),"Falta")</f>
        <v>Falta</v>
      </c>
      <c r="AV1209" s="97" t="str">
        <f>IFERROR(__xludf.DUMMYFUNCTION("""COMPUTED_VALUE"""),"Empotrable")</f>
        <v>Empotrable</v>
      </c>
      <c r="AW1209" s="97" t="str">
        <f>IFERROR(__xludf.DUMMYFUNCTION("""COMPUTED_VALUE"""),"De Techo")</f>
        <v>De Techo</v>
      </c>
      <c r="AX1209" s="97" t="str">
        <f>IFERROR(__xludf.DUMMYFUNCTION("""COMPUTED_VALUE"""),"Interior")</f>
        <v>Interior</v>
      </c>
      <c r="AY1209" s="97" t="str">
        <f>IFERROR(__xludf.DUMMYFUNCTION("""COMPUTED_VALUE"""),"-")</f>
        <v>-</v>
      </c>
      <c r="AZ1209" s="97" t="str">
        <f>IFERROR(__xludf.DUMMYFUNCTION("""COMPUTED_VALUE"""),"Movimiento ±20°. Incluye zócalo GU10.
*Profundidad de calado total aproximada (considera dicroica y zócalo estándar).")</f>
        <v>Movimiento ±20°. Incluye zócalo GU10.
*Profundidad de calado total aproximada (considera dicroica y zócalo estándar).</v>
      </c>
      <c r="BA1209" s="97">
        <f>IFERROR(__xludf.DUMMYFUNCTION("""COMPUTED_VALUE"""),20.0)</f>
        <v>20</v>
      </c>
      <c r="BB1209" s="97" t="str">
        <f>IFERROR(__xludf.DUMMYFUNCTION("""COMPUTED_VALUE"""),"-")</f>
        <v>-</v>
      </c>
      <c r="BC1209" s="97" t="str">
        <f>IFERROR(__xludf.DUMMYFUNCTION("""COMPUTED_VALUE"""),"-")</f>
        <v>-</v>
      </c>
      <c r="BD1209" s="97" t="str">
        <f>IFERROR(__xludf.DUMMYFUNCTION("""COMPUTED_VALUE"""),"STUPA")</f>
        <v>STUPA</v>
      </c>
      <c r="BE1209" s="97" t="str">
        <f>IFERROR(__xludf.DUMMYFUNCTION("""COMPUTED_VALUE"""),"Finalizada")</f>
        <v>Finalizada</v>
      </c>
      <c r="BF1209" s="97"/>
      <c r="BG1209" s="97" t="str">
        <f>IFERROR(__xludf.DUMMYFUNCTION("""COMPUTED_VALUE"""),"Activo")</f>
        <v>Activo</v>
      </c>
    </row>
    <row r="1210">
      <c r="A1210" s="97">
        <f>IFERROR(__xludf.DUMMYFUNCTION("""COMPUTED_VALUE"""),7128.0)</f>
        <v>7128</v>
      </c>
      <c r="B1210" s="97" t="str">
        <f>IFERROR(__xludf.DUMMYFUNCTION("""COMPUTED_VALUE"""),"OPTIC NG 3000K")</f>
        <v>OPTIC NG 3000K</v>
      </c>
      <c r="C1210" s="97" t="str">
        <f>IFERROR(__xludf.DUMMYFUNCTION("""COMPUTED_VALUE"""),"EMPOTRABLE OPTIC NG 3000K 3W 3000K 253LM CRI&gt;90 IP20 LEUK")</f>
        <v>EMPOTRABLE OPTIC NG 3000K 3W 3000K 253LM CRI&gt;90 IP20 LEUK</v>
      </c>
      <c r="D1210" s="97">
        <f>IFERROR(__xludf.DUMMYFUNCTION("""COMPUTED_VALUE"""),7.79841322643E12)</f>
        <v>7798413226430</v>
      </c>
      <c r="E1210" s="97"/>
      <c r="F1210" s="97" t="str">
        <f>IFERROR(__xludf.DUMMYFUNCTION("""COMPUTED_VALUE"""),"LED COB")</f>
        <v>LED COB</v>
      </c>
      <c r="G1210" s="97" t="str">
        <f>IFERROR(__xludf.DUMMYFUNCTION("""COMPUTED_VALUE"""),"Bridgelux")</f>
        <v>Bridgelux</v>
      </c>
      <c r="H1210" s="97" t="str">
        <f>IFERROR(__xludf.DUMMYFUNCTION("""COMPUTED_VALUE"""),"-")</f>
        <v>-</v>
      </c>
      <c r="I1210" s="97" t="str">
        <f>IFERROR(__xludf.DUMMYFUNCTION("""COMPUTED_VALUE"""),"Si")</f>
        <v>Si</v>
      </c>
      <c r="J1210" s="97" t="str">
        <f>IFERROR(__xludf.DUMMYFUNCTION("""COMPUTED_VALUE"""),"Modelo: LED0203-300-B0
In: 85-265Vac 0.05A 50/60Hz
Out: 6-12Vdc 300mA 2-3W Pf: 0.5
Max Ta/Tc: 45°C / 85°C Flicker Free")</f>
        <v>Modelo: LED0203-300-B0
In: 85-265Vac 0.05A 50/60Hz
Out: 6-12Vdc 300mA 2-3W Pf: 0.5
Max Ta/Tc: 45°C / 85°C Flicker Free</v>
      </c>
      <c r="K1210" s="97" t="str">
        <f>IFERROR(__xludf.DUMMYFUNCTION("""COMPUTED_VALUE"""),"ON/OFF")</f>
        <v>ON/OFF</v>
      </c>
      <c r="L1210" s="97" t="str">
        <f>IFERROR(__xludf.DUMMYFUNCTION("""COMPUTED_VALUE"""),"200-240")</f>
        <v>200-240</v>
      </c>
      <c r="M1210" s="97" t="str">
        <f>IFERROR(__xludf.DUMMYFUNCTION("""COMPUTED_VALUE"""),"50/60")</f>
        <v>50/60</v>
      </c>
      <c r="N1210" s="97"/>
      <c r="O1210" s="97">
        <f>IFERROR(__xludf.DUMMYFUNCTION("""COMPUTED_VALUE"""),3.0)</f>
        <v>3</v>
      </c>
      <c r="P1210" s="97"/>
      <c r="Q1210" s="97">
        <f>IFERROR(__xludf.DUMMYFUNCTION("""COMPUTED_VALUE"""),0.5)</f>
        <v>0.5</v>
      </c>
      <c r="R1210" s="97" t="str">
        <f>IFERROR(__xludf.DUMMYFUNCTION("""COMPUTED_VALUE"""),"-")</f>
        <v>-</v>
      </c>
      <c r="S1210" s="97" t="str">
        <f>IFERROR(__xludf.DUMMYFUNCTION("""COMPUTED_VALUE"""),"-")</f>
        <v>-</v>
      </c>
      <c r="T1210" s="97">
        <f>IFERROR(__xludf.DUMMYFUNCTION("""COMPUTED_VALUE"""),253.0)</f>
        <v>253</v>
      </c>
      <c r="U1210" s="99">
        <f>IFERROR(__xludf.DUMMYFUNCTION("""COMPUTED_VALUE"""),84.33333333333333)</f>
        <v>84.33333333</v>
      </c>
      <c r="V1210" s="97">
        <f>IFERROR(__xludf.DUMMYFUNCTION("""COMPUTED_VALUE"""),64.0)</f>
        <v>64</v>
      </c>
      <c r="W1210" s="97" t="str">
        <f>IFERROR(__xludf.DUMMYFUNCTION("""COMPUTED_VALUE"""),"&lt; 25")</f>
        <v>&lt; 25</v>
      </c>
      <c r="X1210" s="97">
        <f>IFERROR(__xludf.DUMMYFUNCTION("""COMPUTED_VALUE"""),3000.0)</f>
        <v>3000</v>
      </c>
      <c r="Y1210" s="97" t="str">
        <f>IFERROR(__xludf.DUMMYFUNCTION("""COMPUTED_VALUE"""),"&gt;90")</f>
        <v>&gt;90</v>
      </c>
      <c r="Z1210" s="97"/>
      <c r="AA1210" s="97"/>
      <c r="AB1210" s="97" t="str">
        <f>IFERROR(__xludf.DUMMYFUNCTION("""COMPUTED_VALUE"""),"&lt; 3")</f>
        <v>&lt; 3</v>
      </c>
      <c r="AC1210" s="97"/>
      <c r="AD1210" s="97" t="str">
        <f>IFERROR(__xludf.DUMMYFUNCTION("""COMPUTED_VALUE"""),"IP20")</f>
        <v>IP20</v>
      </c>
      <c r="AE1210" s="97" t="str">
        <f>IFERROR(__xludf.DUMMYFUNCTION("""COMPUTED_VALUE"""),"Clase l")</f>
        <v>Clase l</v>
      </c>
      <c r="AF1210" s="97" t="str">
        <f>IFERROR(__xludf.DUMMYFUNCTION("""COMPUTED_VALUE"""),"Embutir")</f>
        <v>Embutir</v>
      </c>
      <c r="AG1210" s="97" t="str">
        <f>IFERROR(__xludf.DUMMYFUNCTION("""COMPUTED_VALUE"""),"Ø52 x 35")</f>
        <v>Ø52 x 35</v>
      </c>
      <c r="AH1210" s="97" t="str">
        <f>IFERROR(__xludf.DUMMYFUNCTION("""COMPUTED_VALUE"""),"Ø41")</f>
        <v>Ø41</v>
      </c>
      <c r="AI1210" s="97">
        <f>IFERROR(__xludf.DUMMYFUNCTION("""COMPUTED_VALUE"""),44.0)</f>
        <v>44</v>
      </c>
      <c r="AJ1210" s="97" t="str">
        <f>IFERROR(__xludf.DUMMYFUNCTION("""COMPUTED_VALUE"""),"Policarbonato (PC)")</f>
        <v>Policarbonato (PC)</v>
      </c>
      <c r="AK1210" s="97" t="str">
        <f>IFERROR(__xludf.DUMMYFUNCTION("""COMPUTED_VALUE"""),"Aluminio")</f>
        <v>Aluminio</v>
      </c>
      <c r="AL1210" s="97" t="str">
        <f>IFERROR(__xludf.DUMMYFUNCTION("""COMPUTED_VALUE"""),"Negro Mate")</f>
        <v>Negro Mate</v>
      </c>
      <c r="AM1210" s="97" t="str">
        <f>IFERROR(__xludf.DUMMYFUNCTION("""COMPUTED_VALUE"""),"-")</f>
        <v>-</v>
      </c>
      <c r="AN1210" s="97" t="str">
        <f>IFERROR(__xludf.DUMMYFUNCTION("""COMPUTED_VALUE"""),"25.000hs (L70)")</f>
        <v>25.000hs (L70)</v>
      </c>
      <c r="AO1210" s="97" t="str">
        <f>IFERROR(__xludf.DUMMYFUNCTION("""COMPUTED_VALUE"""),"2 Años")</f>
        <v>2 Años</v>
      </c>
      <c r="AP1210" s="97" t="str">
        <f>IFERROR(__xludf.DUMMYFUNCTION("""COMPUTED_VALUE"""),"Disponible")</f>
        <v>Disponible</v>
      </c>
      <c r="AQ1210" s="97" t="str">
        <f>IFERROR(__xludf.DUMMYFUNCTION("""COMPUTED_VALUE"""),"Disponible")</f>
        <v>Disponible</v>
      </c>
      <c r="AR1210" s="97" t="str">
        <f>IFERROR(__xludf.DUMMYFUNCTION("""COMPUTED_VALUE"""),"Disponible")</f>
        <v>Disponible</v>
      </c>
      <c r="AS1210" s="97" t="str">
        <f>IFERROR(__xludf.DUMMYFUNCTION("""COMPUTED_VALUE"""),"Falta")</f>
        <v>Falta</v>
      </c>
      <c r="AT1210" s="97" t="str">
        <f>IFERROR(__xludf.DUMMYFUNCTION("""COMPUTED_VALUE"""),"Falta")</f>
        <v>Falta</v>
      </c>
      <c r="AU1210" s="97" t="str">
        <f>IFERROR(__xludf.DUMMYFUNCTION("""COMPUTED_VALUE"""),"Falta")</f>
        <v>Falta</v>
      </c>
      <c r="AV1210" s="97" t="str">
        <f>IFERROR(__xludf.DUMMYFUNCTION("""COMPUTED_VALUE"""),"Empotrable")</f>
        <v>Empotrable</v>
      </c>
      <c r="AW1210" s="97" t="str">
        <f>IFERROR(__xludf.DUMMYFUNCTION("""COMPUTED_VALUE"""),"De Techo")</f>
        <v>De Techo</v>
      </c>
      <c r="AX1210" s="97" t="str">
        <f>IFERROR(__xludf.DUMMYFUNCTION("""COMPUTED_VALUE"""),"Interior")</f>
        <v>Interior</v>
      </c>
      <c r="AY1210" s="97" t="str">
        <f>IFERROR(__xludf.DUMMYFUNCTION("""COMPUTED_VALUE"""),"-")</f>
        <v>-</v>
      </c>
      <c r="AZ1210" s="97" t="str">
        <f>IFERROR(__xludf.DUMMYFUNCTION("""COMPUTED_VALUE"""),"Movimiento ±15°.")</f>
        <v>Movimiento ±15°.</v>
      </c>
      <c r="BA1210" s="97">
        <f>IFERROR(__xludf.DUMMYFUNCTION("""COMPUTED_VALUE"""),100.0)</f>
        <v>100</v>
      </c>
      <c r="BB1210" s="97" t="str">
        <f>IFERROR(__xludf.DUMMYFUNCTION("""COMPUTED_VALUE"""),"-")</f>
        <v>-</v>
      </c>
      <c r="BC1210" s="97" t="str">
        <f>IFERROR(__xludf.DUMMYFUNCTION("""COMPUTED_VALUE"""),"-")</f>
        <v>-</v>
      </c>
      <c r="BD1210" s="97" t="str">
        <f>IFERROR(__xludf.DUMMYFUNCTION("""COMPUTED_VALUE"""),"MINI SPOT OPTIC")</f>
        <v>MINI SPOT OPTIC</v>
      </c>
      <c r="BE1210" s="97" t="str">
        <f>IFERROR(__xludf.DUMMYFUNCTION("""COMPUTED_VALUE"""),"Finalizada")</f>
        <v>Finalizada</v>
      </c>
      <c r="BF1210" s="97"/>
      <c r="BG1210" s="97" t="str">
        <f>IFERROR(__xludf.DUMMYFUNCTION("""COMPUTED_VALUE"""),"Activo")</f>
        <v>Activo</v>
      </c>
    </row>
    <row r="1211">
      <c r="A1211" s="97">
        <f>IFERROR(__xludf.DUMMYFUNCTION("""COMPUTED_VALUE"""),7129.0)</f>
        <v>7129</v>
      </c>
      <c r="B1211" s="97" t="str">
        <f>IFERROR(__xludf.DUMMYFUNCTION("""COMPUTED_VALUE"""),"OPTIC BL 3000K")</f>
        <v>OPTIC BL 3000K</v>
      </c>
      <c r="C1211" s="97" t="str">
        <f>IFERROR(__xludf.DUMMYFUNCTION("""COMPUTED_VALUE"""),"EMPOTRABLE OPTIC BL 3000K 3W 3000K 253LM CRI&gt;90 IP20 LEUK")</f>
        <v>EMPOTRABLE OPTIC BL 3000K 3W 3000K 253LM CRI&gt;90 IP20 LEUK</v>
      </c>
      <c r="D1211" s="97"/>
      <c r="E1211" s="97"/>
      <c r="F1211" s="97" t="str">
        <f>IFERROR(__xludf.DUMMYFUNCTION("""COMPUTED_VALUE"""),"LED COB")</f>
        <v>LED COB</v>
      </c>
      <c r="G1211" s="97" t="str">
        <f>IFERROR(__xludf.DUMMYFUNCTION("""COMPUTED_VALUE"""),"Bridgelux")</f>
        <v>Bridgelux</v>
      </c>
      <c r="H1211" s="97" t="str">
        <f>IFERROR(__xludf.DUMMYFUNCTION("""COMPUTED_VALUE"""),"-")</f>
        <v>-</v>
      </c>
      <c r="I1211" s="97" t="str">
        <f>IFERROR(__xludf.DUMMYFUNCTION("""COMPUTED_VALUE"""),"Si")</f>
        <v>Si</v>
      </c>
      <c r="J1211" s="97" t="str">
        <f>IFERROR(__xludf.DUMMYFUNCTION("""COMPUTED_VALUE"""),"Modelo: LED0203-300-B0
In: 85-265Vac 0.05A 50/60Hz
Out: 6-12Vdc 300mA 2-3W Pf: 0.5
Max Ta/Tc: 45°C / 85°C Flicker Free")</f>
        <v>Modelo: LED0203-300-B0
In: 85-265Vac 0.05A 50/60Hz
Out: 6-12Vdc 300mA 2-3W Pf: 0.5
Max Ta/Tc: 45°C / 85°C Flicker Free</v>
      </c>
      <c r="K1211" s="97" t="str">
        <f>IFERROR(__xludf.DUMMYFUNCTION("""COMPUTED_VALUE"""),"ON/OFF")</f>
        <v>ON/OFF</v>
      </c>
      <c r="L1211" s="97" t="str">
        <f>IFERROR(__xludf.DUMMYFUNCTION("""COMPUTED_VALUE"""),"200-240")</f>
        <v>200-240</v>
      </c>
      <c r="M1211" s="97" t="str">
        <f>IFERROR(__xludf.DUMMYFUNCTION("""COMPUTED_VALUE"""),"50/60")</f>
        <v>50/60</v>
      </c>
      <c r="N1211" s="97"/>
      <c r="O1211" s="97">
        <f>IFERROR(__xludf.DUMMYFUNCTION("""COMPUTED_VALUE"""),3.0)</f>
        <v>3</v>
      </c>
      <c r="P1211" s="97"/>
      <c r="Q1211" s="97">
        <f>IFERROR(__xludf.DUMMYFUNCTION("""COMPUTED_VALUE"""),0.5)</f>
        <v>0.5</v>
      </c>
      <c r="R1211" s="97" t="str">
        <f>IFERROR(__xludf.DUMMYFUNCTION("""COMPUTED_VALUE"""),"-")</f>
        <v>-</v>
      </c>
      <c r="S1211" s="97" t="str">
        <f>IFERROR(__xludf.DUMMYFUNCTION("""COMPUTED_VALUE"""),"-")</f>
        <v>-</v>
      </c>
      <c r="T1211" s="97">
        <f>IFERROR(__xludf.DUMMYFUNCTION("""COMPUTED_VALUE"""),253.0)</f>
        <v>253</v>
      </c>
      <c r="U1211" s="99">
        <f>IFERROR(__xludf.DUMMYFUNCTION("""COMPUTED_VALUE"""),84.33333333333333)</f>
        <v>84.33333333</v>
      </c>
      <c r="V1211" s="97">
        <f>IFERROR(__xludf.DUMMYFUNCTION("""COMPUTED_VALUE"""),64.0)</f>
        <v>64</v>
      </c>
      <c r="W1211" s="97" t="str">
        <f>IFERROR(__xludf.DUMMYFUNCTION("""COMPUTED_VALUE"""),"&lt; 25")</f>
        <v>&lt; 25</v>
      </c>
      <c r="X1211" s="97">
        <f>IFERROR(__xludf.DUMMYFUNCTION("""COMPUTED_VALUE"""),3000.0)</f>
        <v>3000</v>
      </c>
      <c r="Y1211" s="97" t="str">
        <f>IFERROR(__xludf.DUMMYFUNCTION("""COMPUTED_VALUE"""),"&gt;90")</f>
        <v>&gt;90</v>
      </c>
      <c r="Z1211" s="97"/>
      <c r="AA1211" s="97"/>
      <c r="AB1211" s="97" t="str">
        <f>IFERROR(__xludf.DUMMYFUNCTION("""COMPUTED_VALUE"""),"&lt; 3")</f>
        <v>&lt; 3</v>
      </c>
      <c r="AC1211" s="97"/>
      <c r="AD1211" s="97" t="str">
        <f>IFERROR(__xludf.DUMMYFUNCTION("""COMPUTED_VALUE"""),"IP20")</f>
        <v>IP20</v>
      </c>
      <c r="AE1211" s="97" t="str">
        <f>IFERROR(__xludf.DUMMYFUNCTION("""COMPUTED_VALUE"""),"Clase l")</f>
        <v>Clase l</v>
      </c>
      <c r="AF1211" s="97" t="str">
        <f>IFERROR(__xludf.DUMMYFUNCTION("""COMPUTED_VALUE"""),"Embutir")</f>
        <v>Embutir</v>
      </c>
      <c r="AG1211" s="97" t="str">
        <f>IFERROR(__xludf.DUMMYFUNCTION("""COMPUTED_VALUE"""),"Ø52 x 35")</f>
        <v>Ø52 x 35</v>
      </c>
      <c r="AH1211" s="97" t="str">
        <f>IFERROR(__xludf.DUMMYFUNCTION("""COMPUTED_VALUE"""),"Ø41")</f>
        <v>Ø41</v>
      </c>
      <c r="AI1211" s="97">
        <f>IFERROR(__xludf.DUMMYFUNCTION("""COMPUTED_VALUE"""),44.0)</f>
        <v>44</v>
      </c>
      <c r="AJ1211" s="97" t="str">
        <f>IFERROR(__xludf.DUMMYFUNCTION("""COMPUTED_VALUE"""),"Policarbonato (PC)")</f>
        <v>Policarbonato (PC)</v>
      </c>
      <c r="AK1211" s="97" t="str">
        <f>IFERROR(__xludf.DUMMYFUNCTION("""COMPUTED_VALUE"""),"Aluminio")</f>
        <v>Aluminio</v>
      </c>
      <c r="AL1211" s="97" t="str">
        <f>IFERROR(__xludf.DUMMYFUNCTION("""COMPUTED_VALUE"""),"Blanco Mate")</f>
        <v>Blanco Mate</v>
      </c>
      <c r="AM1211" s="97" t="str">
        <f>IFERROR(__xludf.DUMMYFUNCTION("""COMPUTED_VALUE"""),"-")</f>
        <v>-</v>
      </c>
      <c r="AN1211" s="97" t="str">
        <f>IFERROR(__xludf.DUMMYFUNCTION("""COMPUTED_VALUE"""),"25.000hs (L70)")</f>
        <v>25.000hs (L70)</v>
      </c>
      <c r="AO1211" s="97" t="str">
        <f>IFERROR(__xludf.DUMMYFUNCTION("""COMPUTED_VALUE"""),"2 Años")</f>
        <v>2 Años</v>
      </c>
      <c r="AP1211" s="97" t="str">
        <f>IFERROR(__xludf.DUMMYFUNCTION("""COMPUTED_VALUE"""),"Disponible")</f>
        <v>Disponible</v>
      </c>
      <c r="AQ1211" s="97" t="str">
        <f>IFERROR(__xludf.DUMMYFUNCTION("""COMPUTED_VALUE"""),"Disponible")</f>
        <v>Disponible</v>
      </c>
      <c r="AR1211" s="97" t="str">
        <f>IFERROR(__xludf.DUMMYFUNCTION("""COMPUTED_VALUE"""),"Disponible")</f>
        <v>Disponible</v>
      </c>
      <c r="AS1211" s="97" t="str">
        <f>IFERROR(__xludf.DUMMYFUNCTION("""COMPUTED_VALUE"""),"Falta")</f>
        <v>Falta</v>
      </c>
      <c r="AT1211" s="97" t="str">
        <f>IFERROR(__xludf.DUMMYFUNCTION("""COMPUTED_VALUE"""),"Falta")</f>
        <v>Falta</v>
      </c>
      <c r="AU1211" s="97" t="str">
        <f>IFERROR(__xludf.DUMMYFUNCTION("""COMPUTED_VALUE"""),"Falta")</f>
        <v>Falta</v>
      </c>
      <c r="AV1211" s="97" t="str">
        <f>IFERROR(__xludf.DUMMYFUNCTION("""COMPUTED_VALUE"""),"Empotrable")</f>
        <v>Empotrable</v>
      </c>
      <c r="AW1211" s="97" t="str">
        <f>IFERROR(__xludf.DUMMYFUNCTION("""COMPUTED_VALUE"""),"De Techo")</f>
        <v>De Techo</v>
      </c>
      <c r="AX1211" s="97" t="str">
        <f>IFERROR(__xludf.DUMMYFUNCTION("""COMPUTED_VALUE"""),"Interior")</f>
        <v>Interior</v>
      </c>
      <c r="AY1211" s="97" t="str">
        <f>IFERROR(__xludf.DUMMYFUNCTION("""COMPUTED_VALUE"""),"-")</f>
        <v>-</v>
      </c>
      <c r="AZ1211" s="97" t="str">
        <f>IFERROR(__xludf.DUMMYFUNCTION("""COMPUTED_VALUE"""),"Movimiento ±15°.")</f>
        <v>Movimiento ±15°.</v>
      </c>
      <c r="BA1211" s="97">
        <f>IFERROR(__xludf.DUMMYFUNCTION("""COMPUTED_VALUE"""),100.0)</f>
        <v>100</v>
      </c>
      <c r="BB1211" s="97" t="str">
        <f>IFERROR(__xludf.DUMMYFUNCTION("""COMPUTED_VALUE"""),"-")</f>
        <v>-</v>
      </c>
      <c r="BC1211" s="97" t="str">
        <f>IFERROR(__xludf.DUMMYFUNCTION("""COMPUTED_VALUE"""),"-")</f>
        <v>-</v>
      </c>
      <c r="BD1211" s="97" t="str">
        <f>IFERROR(__xludf.DUMMYFUNCTION("""COMPUTED_VALUE"""),"MINI SPOT OPTIC")</f>
        <v>MINI SPOT OPTIC</v>
      </c>
      <c r="BE1211" s="97" t="str">
        <f>IFERROR(__xludf.DUMMYFUNCTION("""COMPUTED_VALUE"""),"Finalizada")</f>
        <v>Finalizada</v>
      </c>
      <c r="BF1211" s="97"/>
      <c r="BG1211" s="97" t="str">
        <f>IFERROR(__xludf.DUMMYFUNCTION("""COMPUTED_VALUE"""),"A Confirmar")</f>
        <v>A Confirmar</v>
      </c>
    </row>
    <row r="1212">
      <c r="A1212" s="97">
        <f>IFERROR(__xludf.DUMMYFUNCTION("""COMPUTED_VALUE"""),7133.0)</f>
        <v>7133</v>
      </c>
      <c r="B1212" s="97" t="str">
        <f>IFERROR(__xludf.DUMMYFUNCTION("""COMPUTED_VALUE"""),"LEX II")</f>
        <v>LEX II</v>
      </c>
      <c r="C1212" s="97" t="str">
        <f>IFERROR(__xludf.DUMMYFUNCTION("""COMPUTED_VALUE"""),"APLIQUE LEX II 2X3W 3000K 330LM CRI&gt;90 IP65 LEUK")</f>
        <v>APLIQUE LEX II 2X3W 3000K 330LM CRI&gt;90 IP65 LEUK</v>
      </c>
      <c r="D1212" s="97">
        <f>IFERROR(__xludf.DUMMYFUNCTION("""COMPUTED_VALUE"""),7.798413226553E12)</f>
        <v>7798413226553</v>
      </c>
      <c r="E1212" s="97" t="str">
        <f>IFERROR(__xludf.DUMMYFUNCTION("""COMPUTED_VALUE"""),"C144")</f>
        <v>C144</v>
      </c>
      <c r="F1212" s="97" t="str">
        <f>IFERROR(__xludf.DUMMYFUNCTION("""COMPUTED_VALUE"""),"LED integrado")</f>
        <v>LED integrado</v>
      </c>
      <c r="G1212" s="97" t="str">
        <f>IFERROR(__xludf.DUMMYFUNCTION("""COMPUTED_VALUE"""),"Bridgelux")</f>
        <v>Bridgelux</v>
      </c>
      <c r="H1212" s="97" t="str">
        <f>IFERROR(__xludf.DUMMYFUNCTION("""COMPUTED_VALUE"""),"-")</f>
        <v>-</v>
      </c>
      <c r="I1212" s="97"/>
      <c r="J1212" s="97" t="str">
        <f>IFERROR(__xludf.DUMMYFUNCTION("""COMPUTED_VALUE"""),"Modelo: ZX(4-7)X1W
In: 85-265vac 50/60Hz
Out: 12-26Vdc 250mA")</f>
        <v>Modelo: ZX(4-7)X1W
In: 85-265vac 50/60Hz
Out: 12-26Vdc 250mA</v>
      </c>
      <c r="K1212" s="97" t="str">
        <f>IFERROR(__xludf.DUMMYFUNCTION("""COMPUTED_VALUE"""),"ON/OFF")</f>
        <v>ON/OFF</v>
      </c>
      <c r="L1212" s="97" t="str">
        <f>IFERROR(__xludf.DUMMYFUNCTION("""COMPUTED_VALUE"""),"220-240")</f>
        <v>220-240</v>
      </c>
      <c r="M1212" s="97" t="str">
        <f>IFERROR(__xludf.DUMMYFUNCTION("""COMPUTED_VALUE"""),"50/60")</f>
        <v>50/60</v>
      </c>
      <c r="N1212" s="97"/>
      <c r="O1212" s="97" t="str">
        <f>IFERROR(__xludf.DUMMYFUNCTION("""COMPUTED_VALUE"""),"2x3")</f>
        <v>2x3</v>
      </c>
      <c r="P1212" s="97"/>
      <c r="Q1212" s="97">
        <f>IFERROR(__xludf.DUMMYFUNCTION("""COMPUTED_VALUE"""),0.5)</f>
        <v>0.5</v>
      </c>
      <c r="R1212" s="97" t="str">
        <f>IFERROR(__xludf.DUMMYFUNCTION("""COMPUTED_VALUE"""),"-")</f>
        <v>-</v>
      </c>
      <c r="S1212" s="97" t="str">
        <f>IFERROR(__xludf.DUMMYFUNCTION("""COMPUTED_VALUE"""),"-")</f>
        <v>-</v>
      </c>
      <c r="T1212" s="97">
        <f>IFERROR(__xludf.DUMMYFUNCTION("""COMPUTED_VALUE"""),330.0)</f>
        <v>330</v>
      </c>
      <c r="U1212" s="99">
        <f>IFERROR(__xludf.DUMMYFUNCTION("""COMPUTED_VALUE"""),55.0)</f>
        <v>55</v>
      </c>
      <c r="V1212" s="97">
        <f>IFERROR(__xludf.DUMMYFUNCTION("""COMPUTED_VALUE"""),218.0)</f>
        <v>218</v>
      </c>
      <c r="W1212" s="97" t="str">
        <f>IFERROR(__xludf.DUMMYFUNCTION("""COMPUTED_VALUE"""),"&lt; 16")</f>
        <v>&lt; 16</v>
      </c>
      <c r="X1212" s="97">
        <f>IFERROR(__xludf.DUMMYFUNCTION("""COMPUTED_VALUE"""),3000.0)</f>
        <v>3000</v>
      </c>
      <c r="Y1212" s="97" t="str">
        <f>IFERROR(__xludf.DUMMYFUNCTION("""COMPUTED_VALUE"""),"&gt;90")</f>
        <v>&gt;90</v>
      </c>
      <c r="Z1212" s="97" t="str">
        <f>IFERROR(__xludf.DUMMYFUNCTION("""COMPUTED_VALUE"""),"-")</f>
        <v>-</v>
      </c>
      <c r="AA1212" s="97" t="str">
        <f>IFERROR(__xludf.DUMMYFUNCTION("""COMPUTED_VALUE"""),"-")</f>
        <v>-</v>
      </c>
      <c r="AB1212" s="97" t="str">
        <f>IFERROR(__xludf.DUMMYFUNCTION("""COMPUTED_VALUE"""),"&lt; 2")</f>
        <v>&lt; 2</v>
      </c>
      <c r="AC1212" s="97">
        <f>IFERROR(__xludf.DUMMYFUNCTION("""COMPUTED_VALUE"""),-4.86E-4)</f>
        <v>-0.000486</v>
      </c>
      <c r="AD1212" s="97" t="str">
        <f>IFERROR(__xludf.DUMMYFUNCTION("""COMPUTED_VALUE"""),"IP65")</f>
        <v>IP65</v>
      </c>
      <c r="AE1212" s="97" t="str">
        <f>IFERROR(__xludf.DUMMYFUNCTION("""COMPUTED_VALUE"""),"Clase l")</f>
        <v>Clase l</v>
      </c>
      <c r="AF1212" s="97" t="str">
        <f>IFERROR(__xludf.DUMMYFUNCTION("""COMPUTED_VALUE"""),"Anclaje de piso")</f>
        <v>Anclaje de piso</v>
      </c>
      <c r="AG1212" s="97" t="str">
        <f>IFERROR(__xludf.DUMMYFUNCTION("""COMPUTED_VALUE"""),"Ø120 x 35")</f>
        <v>Ø120 x 35</v>
      </c>
      <c r="AH1212" s="97" t="str">
        <f>IFERROR(__xludf.DUMMYFUNCTION("""COMPUTED_VALUE"""),"N/A")</f>
        <v>N/A</v>
      </c>
      <c r="AI1212" s="97" t="str">
        <f>IFERROR(__xludf.DUMMYFUNCTION("""COMPUTED_VALUE"""),"N/A")</f>
        <v>N/A</v>
      </c>
      <c r="AJ1212" s="97" t="str">
        <f>IFERROR(__xludf.DUMMYFUNCTION("""COMPUTED_VALUE"""),"Vidrio")</f>
        <v>Vidrio</v>
      </c>
      <c r="AK1212" s="97" t="str">
        <f>IFERROR(__xludf.DUMMYFUNCTION("""COMPUTED_VALUE"""),"Aluminio")</f>
        <v>Aluminio</v>
      </c>
      <c r="AL1212" s="97" t="str">
        <f>IFERROR(__xludf.DUMMYFUNCTION("""COMPUTED_VALUE"""),"Negro Satinado")</f>
        <v>Negro Satinado</v>
      </c>
      <c r="AM1212" s="97" t="str">
        <f>IFERROR(__xludf.DUMMYFUNCTION("""COMPUTED_VALUE"""),"-")</f>
        <v>-</v>
      </c>
      <c r="AN1212" s="97" t="str">
        <f>IFERROR(__xludf.DUMMYFUNCTION("""COMPUTED_VALUE"""),"25.000hs (L70)")</f>
        <v>25.000hs (L70)</v>
      </c>
      <c r="AO1212" s="97" t="str">
        <f>IFERROR(__xludf.DUMMYFUNCTION("""COMPUTED_VALUE"""),"2 Años")</f>
        <v>2 Años</v>
      </c>
      <c r="AP1212" s="97" t="str">
        <f>IFERROR(__xludf.DUMMYFUNCTION("""COMPUTED_VALUE"""),"Disponible")</f>
        <v>Disponible</v>
      </c>
      <c r="AQ1212" s="97" t="str">
        <f>IFERROR(__xludf.DUMMYFUNCTION("""COMPUTED_VALUE"""),"Disponible")</f>
        <v>Disponible</v>
      </c>
      <c r="AR1212" s="97" t="str">
        <f>IFERROR(__xludf.DUMMYFUNCTION("""COMPUTED_VALUE"""),"Disponible")</f>
        <v>Disponible</v>
      </c>
      <c r="AS1212" s="97" t="str">
        <f>IFERROR(__xludf.DUMMYFUNCTION("""COMPUTED_VALUE"""),"Falta")</f>
        <v>Falta</v>
      </c>
      <c r="AT1212" s="97" t="str">
        <f>IFERROR(__xludf.DUMMYFUNCTION("""COMPUTED_VALUE"""),"Falta")</f>
        <v>Falta</v>
      </c>
      <c r="AU1212" s="97" t="str">
        <f>IFERROR(__xludf.DUMMYFUNCTION("""COMPUTED_VALUE"""),"Falta")</f>
        <v>Falta</v>
      </c>
      <c r="AV1212" s="97" t="str">
        <f>IFERROR(__xludf.DUMMYFUNCTION("""COMPUTED_VALUE"""),"Aplique")</f>
        <v>Aplique</v>
      </c>
      <c r="AW1212" s="97" t="str">
        <f>IFERROR(__xludf.DUMMYFUNCTION("""COMPUTED_VALUE"""),"De Piso")</f>
        <v>De Piso</v>
      </c>
      <c r="AX1212" s="97" t="str">
        <f>IFERROR(__xludf.DUMMYFUNCTION("""COMPUTED_VALUE"""),"Exterior")</f>
        <v>Exterior</v>
      </c>
      <c r="AY1212" s="97" t="str">
        <f>IFERROR(__xludf.DUMMYFUNCTION("""COMPUTED_VALUE"""),"-")</f>
        <v>-</v>
      </c>
      <c r="AZ1212" s="97"/>
      <c r="BA1212" s="97">
        <f>IFERROR(__xludf.DUMMYFUNCTION("""COMPUTED_VALUE"""),60.0)</f>
        <v>60</v>
      </c>
      <c r="BB1212" s="97" t="str">
        <f>IFERROR(__xludf.DUMMYFUNCTION("""COMPUTED_VALUE"""),"-")</f>
        <v>-</v>
      </c>
      <c r="BC1212" s="97" t="str">
        <f>IFERROR(__xludf.DUMMYFUNCTION("""COMPUTED_VALUE"""),"-")</f>
        <v>-</v>
      </c>
      <c r="BD1212" s="97" t="str">
        <f>IFERROR(__xludf.DUMMYFUNCTION("""COMPUTED_VALUE"""),"LEX ")</f>
        <v>LEX </v>
      </c>
      <c r="BE1212" s="97" t="str">
        <f>IFERROR(__xludf.DUMMYFUNCTION("""COMPUTED_VALUE"""),"Finalizada")</f>
        <v>Finalizada</v>
      </c>
      <c r="BF1212" s="97"/>
      <c r="BG1212" s="97" t="str">
        <f>IFERROR(__xludf.DUMMYFUNCTION("""COMPUTED_VALUE"""),"Activo")</f>
        <v>Activo</v>
      </c>
    </row>
    <row r="1213">
      <c r="A1213" s="97">
        <f>IFERROR(__xludf.DUMMYFUNCTION("""COMPUTED_VALUE"""),7134.0)</f>
        <v>7134</v>
      </c>
      <c r="B1213" s="97" t="str">
        <f>IFERROR(__xludf.DUMMYFUNCTION("""COMPUTED_VALUE"""),"LEX II 24V")</f>
        <v>LEX II 24V</v>
      </c>
      <c r="C1213" s="97" t="str">
        <f>IFERROR(__xludf.DUMMYFUNCTION("""COMPUTED_VALUE"""),"APLIQUE LEX II 24V 2X3W 3000K 330LM CRI&gt;90 IP65 LEUK")</f>
        <v>APLIQUE LEX II 24V 2X3W 3000K 330LM CRI&gt;90 IP65 LEUK</v>
      </c>
      <c r="D1213" s="97">
        <f>IFERROR(__xludf.DUMMYFUNCTION("""COMPUTED_VALUE"""),7.79841322656E12)</f>
        <v>7798413226560</v>
      </c>
      <c r="E1213" s="97" t="str">
        <f>IFERROR(__xludf.DUMMYFUNCTION("""COMPUTED_VALUE"""),"N/A")</f>
        <v>N/A</v>
      </c>
      <c r="F1213" s="97" t="str">
        <f>IFERROR(__xludf.DUMMYFUNCTION("""COMPUTED_VALUE"""),"LED integrado")</f>
        <v>LED integrado</v>
      </c>
      <c r="G1213" s="97" t="str">
        <f>IFERROR(__xludf.DUMMYFUNCTION("""COMPUTED_VALUE"""),"Bridgelux")</f>
        <v>Bridgelux</v>
      </c>
      <c r="H1213" s="97" t="str">
        <f>IFERROR(__xludf.DUMMYFUNCTION("""COMPUTED_VALUE"""),"-")</f>
        <v>-</v>
      </c>
      <c r="I1213" s="97" t="str">
        <f>IFERROR(__xludf.DUMMYFUNCTION("""COMPUTED_VALUE"""),"N/A")</f>
        <v>N/A</v>
      </c>
      <c r="J1213" s="97" t="str">
        <f>IFERROR(__xludf.DUMMYFUNCTION("""COMPUTED_VALUE"""),"N/A")</f>
        <v>N/A</v>
      </c>
      <c r="K1213" s="97" t="str">
        <f>IFERROR(__xludf.DUMMYFUNCTION("""COMPUTED_VALUE"""),"ON/OFF")</f>
        <v>ON/OFF</v>
      </c>
      <c r="L1213" s="97" t="str">
        <f>IFERROR(__xludf.DUMMYFUNCTION("""COMPUTED_VALUE"""),"24Vdc")</f>
        <v>24Vdc</v>
      </c>
      <c r="M1213" s="97" t="str">
        <f>IFERROR(__xludf.DUMMYFUNCTION("""COMPUTED_VALUE"""),"N/A")</f>
        <v>N/A</v>
      </c>
      <c r="N1213" s="97"/>
      <c r="O1213" s="97" t="str">
        <f>IFERROR(__xludf.DUMMYFUNCTION("""COMPUTED_VALUE"""),"2x3")</f>
        <v>2x3</v>
      </c>
      <c r="P1213" s="97"/>
      <c r="Q1213" s="97" t="str">
        <f>IFERROR(__xludf.DUMMYFUNCTION("""COMPUTED_VALUE"""),"-")</f>
        <v>-</v>
      </c>
      <c r="R1213" s="97" t="str">
        <f>IFERROR(__xludf.DUMMYFUNCTION("""COMPUTED_VALUE"""),"-")</f>
        <v>-</v>
      </c>
      <c r="S1213" s="97" t="str">
        <f>IFERROR(__xludf.DUMMYFUNCTION("""COMPUTED_VALUE"""),"-")</f>
        <v>-</v>
      </c>
      <c r="T1213" s="97">
        <f>IFERROR(__xludf.DUMMYFUNCTION("""COMPUTED_VALUE"""),330.0)</f>
        <v>330</v>
      </c>
      <c r="U1213" s="99">
        <f>IFERROR(__xludf.DUMMYFUNCTION("""COMPUTED_VALUE"""),55.0)</f>
        <v>55</v>
      </c>
      <c r="V1213" s="97">
        <f>IFERROR(__xludf.DUMMYFUNCTION("""COMPUTED_VALUE"""),218.0)</f>
        <v>218</v>
      </c>
      <c r="W1213" s="97" t="str">
        <f>IFERROR(__xludf.DUMMYFUNCTION("""COMPUTED_VALUE"""),"&lt; 16")</f>
        <v>&lt; 16</v>
      </c>
      <c r="X1213" s="97">
        <f>IFERROR(__xludf.DUMMYFUNCTION("""COMPUTED_VALUE"""),3000.0)</f>
        <v>3000</v>
      </c>
      <c r="Y1213" s="97" t="str">
        <f>IFERROR(__xludf.DUMMYFUNCTION("""COMPUTED_VALUE"""),"&gt;90")</f>
        <v>&gt;90</v>
      </c>
      <c r="Z1213" s="97" t="str">
        <f>IFERROR(__xludf.DUMMYFUNCTION("""COMPUTED_VALUE"""),"-")</f>
        <v>-</v>
      </c>
      <c r="AA1213" s="97" t="str">
        <f>IFERROR(__xludf.DUMMYFUNCTION("""COMPUTED_VALUE"""),"-")</f>
        <v>-</v>
      </c>
      <c r="AB1213" s="97" t="str">
        <f>IFERROR(__xludf.DUMMYFUNCTION("""COMPUTED_VALUE"""),"&lt; 2")</f>
        <v>&lt; 2</v>
      </c>
      <c r="AC1213" s="97">
        <f>IFERROR(__xludf.DUMMYFUNCTION("""COMPUTED_VALUE"""),-4.86E-4)</f>
        <v>-0.000486</v>
      </c>
      <c r="AD1213" s="97" t="str">
        <f>IFERROR(__xludf.DUMMYFUNCTION("""COMPUTED_VALUE"""),"IP65")</f>
        <v>IP65</v>
      </c>
      <c r="AE1213" s="97" t="str">
        <f>IFERROR(__xludf.DUMMYFUNCTION("""COMPUTED_VALUE"""),"Clase lll")</f>
        <v>Clase lll</v>
      </c>
      <c r="AF1213" s="97" t="str">
        <f>IFERROR(__xludf.DUMMYFUNCTION("""COMPUTED_VALUE"""),"Anclaje de piso")</f>
        <v>Anclaje de piso</v>
      </c>
      <c r="AG1213" s="97" t="str">
        <f>IFERROR(__xludf.DUMMYFUNCTION("""COMPUTED_VALUE"""),"Ø120 x 35")</f>
        <v>Ø120 x 35</v>
      </c>
      <c r="AH1213" s="97" t="str">
        <f>IFERROR(__xludf.DUMMYFUNCTION("""COMPUTED_VALUE"""),"N/A")</f>
        <v>N/A</v>
      </c>
      <c r="AI1213" s="97" t="str">
        <f>IFERROR(__xludf.DUMMYFUNCTION("""COMPUTED_VALUE"""),"N/A")</f>
        <v>N/A</v>
      </c>
      <c r="AJ1213" s="97" t="str">
        <f>IFERROR(__xludf.DUMMYFUNCTION("""COMPUTED_VALUE"""),"Vidrio")</f>
        <v>Vidrio</v>
      </c>
      <c r="AK1213" s="97" t="str">
        <f>IFERROR(__xludf.DUMMYFUNCTION("""COMPUTED_VALUE"""),"Aluminio")</f>
        <v>Aluminio</v>
      </c>
      <c r="AL1213" s="97" t="str">
        <f>IFERROR(__xludf.DUMMYFUNCTION("""COMPUTED_VALUE"""),"Negro Satinado")</f>
        <v>Negro Satinado</v>
      </c>
      <c r="AM1213" s="97" t="str">
        <f>IFERROR(__xludf.DUMMYFUNCTION("""COMPUTED_VALUE"""),"-")</f>
        <v>-</v>
      </c>
      <c r="AN1213" s="97" t="str">
        <f>IFERROR(__xludf.DUMMYFUNCTION("""COMPUTED_VALUE"""),"25.000hs (L70)")</f>
        <v>25.000hs (L70)</v>
      </c>
      <c r="AO1213" s="97" t="str">
        <f>IFERROR(__xludf.DUMMYFUNCTION("""COMPUTED_VALUE"""),"2 Años")</f>
        <v>2 Años</v>
      </c>
      <c r="AP1213" s="97" t="str">
        <f>IFERROR(__xludf.DUMMYFUNCTION("""COMPUTED_VALUE"""),"Disponible")</f>
        <v>Disponible</v>
      </c>
      <c r="AQ1213" s="97" t="str">
        <f>IFERROR(__xludf.DUMMYFUNCTION("""COMPUTED_VALUE"""),"Disponible")</f>
        <v>Disponible</v>
      </c>
      <c r="AR1213" s="97" t="str">
        <f>IFERROR(__xludf.DUMMYFUNCTION("""COMPUTED_VALUE"""),"Disponible")</f>
        <v>Disponible</v>
      </c>
      <c r="AS1213" s="97" t="str">
        <f>IFERROR(__xludf.DUMMYFUNCTION("""COMPUTED_VALUE"""),"Falta")</f>
        <v>Falta</v>
      </c>
      <c r="AT1213" s="97" t="str">
        <f>IFERROR(__xludf.DUMMYFUNCTION("""COMPUTED_VALUE"""),"Falta")</f>
        <v>Falta</v>
      </c>
      <c r="AU1213" s="97" t="str">
        <f>IFERROR(__xludf.DUMMYFUNCTION("""COMPUTED_VALUE"""),"Falta")</f>
        <v>Falta</v>
      </c>
      <c r="AV1213" s="97" t="str">
        <f>IFERROR(__xludf.DUMMYFUNCTION("""COMPUTED_VALUE"""),"Aplique")</f>
        <v>Aplique</v>
      </c>
      <c r="AW1213" s="97" t="str">
        <f>IFERROR(__xludf.DUMMYFUNCTION("""COMPUTED_VALUE"""),"De Piso")</f>
        <v>De Piso</v>
      </c>
      <c r="AX1213" s="97" t="str">
        <f>IFERROR(__xludf.DUMMYFUNCTION("""COMPUTED_VALUE"""),"Exterior")</f>
        <v>Exterior</v>
      </c>
      <c r="AY1213" s="97" t="str">
        <f>IFERROR(__xludf.DUMMYFUNCTION("""COMPUTED_VALUE"""),"-")</f>
        <v>-</v>
      </c>
      <c r="AZ1213" s="97"/>
      <c r="BA1213" s="97">
        <f>IFERROR(__xludf.DUMMYFUNCTION("""COMPUTED_VALUE"""),60.0)</f>
        <v>60</v>
      </c>
      <c r="BB1213" s="97" t="str">
        <f>IFERROR(__xludf.DUMMYFUNCTION("""COMPUTED_VALUE"""),"-")</f>
        <v>-</v>
      </c>
      <c r="BC1213" s="97" t="str">
        <f>IFERROR(__xludf.DUMMYFUNCTION("""COMPUTED_VALUE"""),"-")</f>
        <v>-</v>
      </c>
      <c r="BD1213" s="97" t="str">
        <f>IFERROR(__xludf.DUMMYFUNCTION("""COMPUTED_VALUE"""),"LEX ")</f>
        <v>LEX </v>
      </c>
      <c r="BE1213" s="97" t="str">
        <f>IFERROR(__xludf.DUMMYFUNCTION("""COMPUTED_VALUE"""),"Finalizada")</f>
        <v>Finalizada</v>
      </c>
      <c r="BF1213" s="97"/>
      <c r="BG1213" s="97" t="str">
        <f>IFERROR(__xludf.DUMMYFUNCTION("""COMPUTED_VALUE"""),"Activo")</f>
        <v>Activo</v>
      </c>
    </row>
    <row r="1214">
      <c r="A1214" s="97">
        <f>IFERROR(__xludf.DUMMYFUNCTION("""COMPUTED_VALUE"""),7171.0)</f>
        <v>7171</v>
      </c>
      <c r="B1214" s="97" t="str">
        <f>IFERROR(__xludf.DUMMYFUNCTION("""COMPUTED_VALUE"""),"ADAPTADOR HEMBRA 1EF II NG")</f>
        <v>ADAPTADOR HEMBRA 1EF II NG</v>
      </c>
      <c r="C1214" s="97" t="str">
        <f>IFERROR(__xludf.DUMMYFUNCTION("""COMPUTED_VALUE"""),"ACCESORIO ADAPTADOR HEMBRA 1EF II NG LEUK")</f>
        <v>ACCESORIO ADAPTADOR HEMBRA 1EF II NG LEUK</v>
      </c>
      <c r="D1214" s="97">
        <f>IFERROR(__xludf.DUMMYFUNCTION("""COMPUTED_VALUE"""),7.798413227581E12)</f>
        <v>7798413227581</v>
      </c>
      <c r="E1214" s="97" t="str">
        <f>IFERROR(__xludf.DUMMYFUNCTION("""COMPUTED_VALUE"""),"H43")</f>
        <v>H43</v>
      </c>
      <c r="F1214" s="97" t="str">
        <f>IFERROR(__xludf.DUMMYFUNCTION("""COMPUTED_VALUE"""),"N/A")</f>
        <v>N/A</v>
      </c>
      <c r="G1214" s="97" t="str">
        <f>IFERROR(__xludf.DUMMYFUNCTION("""COMPUTED_VALUE"""),"N/A")</f>
        <v>N/A</v>
      </c>
      <c r="H1214" s="97" t="str">
        <f>IFERROR(__xludf.DUMMYFUNCTION("""COMPUTED_VALUE"""),"N/A")</f>
        <v>N/A</v>
      </c>
      <c r="I1214" s="97" t="str">
        <f>IFERROR(__xludf.DUMMYFUNCTION("""COMPUTED_VALUE"""),"N/A")</f>
        <v>N/A</v>
      </c>
      <c r="J1214" s="97" t="str">
        <f>IFERROR(__xludf.DUMMYFUNCTION("""COMPUTED_VALUE"""),"N/A")</f>
        <v>N/A</v>
      </c>
      <c r="K1214" s="97" t="str">
        <f>IFERROR(__xludf.DUMMYFUNCTION("""COMPUTED_VALUE"""),"N/A")</f>
        <v>N/A</v>
      </c>
      <c r="L1214" s="97">
        <f>IFERROR(__xludf.DUMMYFUNCTION("""COMPUTED_VALUE"""),220.0)</f>
        <v>220</v>
      </c>
      <c r="M1214" s="97">
        <f>IFERROR(__xludf.DUMMYFUNCTION("""COMPUTED_VALUE"""),50.0)</f>
        <v>50</v>
      </c>
      <c r="N1214" s="97" t="str">
        <f>IFERROR(__xludf.DUMMYFUNCTION("""COMPUTED_VALUE"""),"N/A")</f>
        <v>N/A</v>
      </c>
      <c r="O1214" s="97" t="str">
        <f>IFERROR(__xludf.DUMMYFUNCTION("""COMPUTED_VALUE"""),"-")</f>
        <v>-</v>
      </c>
      <c r="P1214" s="97"/>
      <c r="Q1214" s="97" t="str">
        <f>IFERROR(__xludf.DUMMYFUNCTION("""COMPUTED_VALUE"""),"-")</f>
        <v>-</v>
      </c>
      <c r="R1214" s="97" t="str">
        <f>IFERROR(__xludf.DUMMYFUNCTION("""COMPUTED_VALUE"""),"-")</f>
        <v>-</v>
      </c>
      <c r="S1214" s="97" t="str">
        <f>IFERROR(__xludf.DUMMYFUNCTION("""COMPUTED_VALUE"""),"-")</f>
        <v>-</v>
      </c>
      <c r="T1214" s="97" t="str">
        <f>IFERROR(__xludf.DUMMYFUNCTION("""COMPUTED_VALUE"""),"-")</f>
        <v>-</v>
      </c>
      <c r="U1214" s="97" t="str">
        <f>IFERROR(__xludf.DUMMYFUNCTION("""COMPUTED_VALUE"""),"-")</f>
        <v>-</v>
      </c>
      <c r="V1214" s="97" t="str">
        <f>IFERROR(__xludf.DUMMYFUNCTION("""COMPUTED_VALUE"""),"N/A")</f>
        <v>N/A</v>
      </c>
      <c r="W1214" s="97" t="str">
        <f>IFERROR(__xludf.DUMMYFUNCTION("""COMPUTED_VALUE"""),"N/A")</f>
        <v>N/A</v>
      </c>
      <c r="X1214" s="97" t="str">
        <f>IFERROR(__xludf.DUMMYFUNCTION("""COMPUTED_VALUE"""),"-")</f>
        <v>-</v>
      </c>
      <c r="Y1214" s="97" t="str">
        <f>IFERROR(__xludf.DUMMYFUNCTION("""COMPUTED_VALUE"""),"N/A")</f>
        <v>N/A</v>
      </c>
      <c r="Z1214" s="97" t="str">
        <f>IFERROR(__xludf.DUMMYFUNCTION("""COMPUTED_VALUE"""),"N/A")</f>
        <v>N/A</v>
      </c>
      <c r="AA1214" s="97" t="str">
        <f>IFERROR(__xludf.DUMMYFUNCTION("""COMPUTED_VALUE"""),"N/A")</f>
        <v>N/A</v>
      </c>
      <c r="AB1214" s="97" t="str">
        <f>IFERROR(__xludf.DUMMYFUNCTION("""COMPUTED_VALUE"""),"N/A")</f>
        <v>N/A</v>
      </c>
      <c r="AC1214" s="97" t="str">
        <f>IFERROR(__xludf.DUMMYFUNCTION("""COMPUTED_VALUE"""),"N/A")</f>
        <v>N/A</v>
      </c>
      <c r="AD1214" s="97" t="str">
        <f>IFERROR(__xludf.DUMMYFUNCTION("""COMPUTED_VALUE"""),"IP20")</f>
        <v>IP20</v>
      </c>
      <c r="AE1214" s="97" t="str">
        <f>IFERROR(__xludf.DUMMYFUNCTION("""COMPUTED_VALUE"""),"Clase l")</f>
        <v>Clase l</v>
      </c>
      <c r="AF1214" s="97" t="str">
        <f>IFERROR(__xludf.DUMMYFUNCTION("""COMPUTED_VALUE"""),"N/A")</f>
        <v>N/A</v>
      </c>
      <c r="AG1214" s="97" t="str">
        <f>IFERROR(__xludf.DUMMYFUNCTION("""COMPUTED_VALUE"""),"80 x 35 x 25")</f>
        <v>80 x 35 x 25</v>
      </c>
      <c r="AH1214" s="97" t="str">
        <f>IFERROR(__xludf.DUMMYFUNCTION("""COMPUTED_VALUE"""),"N/A")</f>
        <v>N/A</v>
      </c>
      <c r="AI1214" s="97" t="str">
        <f>IFERROR(__xludf.DUMMYFUNCTION("""COMPUTED_VALUE"""),"N/A")</f>
        <v>N/A</v>
      </c>
      <c r="AJ1214" s="97" t="str">
        <f>IFERROR(__xludf.DUMMYFUNCTION("""COMPUTED_VALUE"""),"N/A")</f>
        <v>N/A</v>
      </c>
      <c r="AK1214" s="97" t="str">
        <f>IFERROR(__xludf.DUMMYFUNCTION("""COMPUTED_VALUE"""),"Policarbonato (PC)")</f>
        <v>Policarbonato (PC)</v>
      </c>
      <c r="AL1214" s="97" t="str">
        <f>IFERROR(__xludf.DUMMYFUNCTION("""COMPUTED_VALUE"""),"Negro Mate")</f>
        <v>Negro Mate</v>
      </c>
      <c r="AM1214" s="97" t="str">
        <f>IFERROR(__xludf.DUMMYFUNCTION("""COMPUTED_VALUE"""),"-")</f>
        <v>-</v>
      </c>
      <c r="AN1214" s="97" t="str">
        <f>IFERROR(__xludf.DUMMYFUNCTION("""COMPUTED_VALUE"""),"N/A")</f>
        <v>N/A</v>
      </c>
      <c r="AO1214" s="97" t="str">
        <f>IFERROR(__xludf.DUMMYFUNCTION("""COMPUTED_VALUE"""),"3 Años")</f>
        <v>3 Años</v>
      </c>
      <c r="AP1214" s="97" t="str">
        <f>IFERROR(__xludf.DUMMYFUNCTION("""COMPUTED_VALUE"""),"No Aplica")</f>
        <v>No Aplica</v>
      </c>
      <c r="AQ1214" s="97" t="str">
        <f>IFERROR(__xludf.DUMMYFUNCTION("""COMPUTED_VALUE"""),"No Aplica")</f>
        <v>No Aplica</v>
      </c>
      <c r="AR1214" s="97" t="str">
        <f>IFERROR(__xludf.DUMMYFUNCTION("""COMPUTED_VALUE"""),"No Aplica")</f>
        <v>No Aplica</v>
      </c>
      <c r="AS1214" s="97" t="str">
        <f>IFERROR(__xludf.DUMMYFUNCTION("""COMPUTED_VALUE"""),"Falta")</f>
        <v>Falta</v>
      </c>
      <c r="AT1214" s="97" t="str">
        <f>IFERROR(__xludf.DUMMYFUNCTION("""COMPUTED_VALUE"""),"Falta")</f>
        <v>Falta</v>
      </c>
      <c r="AU1214" s="97" t="str">
        <f>IFERROR(__xludf.DUMMYFUNCTION("""COMPUTED_VALUE"""),"Falta")</f>
        <v>Falta</v>
      </c>
      <c r="AV1214" s="97" t="str">
        <f>IFERROR(__xludf.DUMMYFUNCTION("""COMPUTED_VALUE"""),"Accesorio")</f>
        <v>Accesorio</v>
      </c>
      <c r="AW1214" s="97" t="str">
        <f>IFERROR(__xludf.DUMMYFUNCTION("""COMPUTED_VALUE"""),"Rieles")</f>
        <v>Rieles</v>
      </c>
      <c r="AX1214" s="97" t="str">
        <f>IFERROR(__xludf.DUMMYFUNCTION("""COMPUTED_VALUE"""),"Interior")</f>
        <v>Interior</v>
      </c>
      <c r="AY1214" s="97" t="str">
        <f>IFERROR(__xludf.DUMMYFUNCTION("""COMPUTED_VALUE"""),"-")</f>
        <v>-</v>
      </c>
      <c r="AZ1214" s="97" t="str">
        <f>IFERROR(__xludf.DUMMYFUNCTION("""COMPUTED_VALUE"""),"Soporta 10A")</f>
        <v>Soporta 10A</v>
      </c>
      <c r="BA1214" s="97">
        <f>IFERROR(__xludf.DUMMYFUNCTION("""COMPUTED_VALUE"""),150.0)</f>
        <v>150</v>
      </c>
      <c r="BB1214" s="97" t="str">
        <f>IFERROR(__xludf.DUMMYFUNCTION("""COMPUTED_VALUE"""),"-")</f>
        <v>-</v>
      </c>
      <c r="BC1214" s="97" t="str">
        <f>IFERROR(__xludf.DUMMYFUNCTION("""COMPUTED_VALUE"""),"-")</f>
        <v>-</v>
      </c>
      <c r="BD1214" s="97" t="str">
        <f>IFERROR(__xludf.DUMMYFUNCTION("""COMPUTED_VALUE"""),"RIELES 1EF")</f>
        <v>RIELES 1EF</v>
      </c>
      <c r="BE1214" s="97" t="str">
        <f>IFERROR(__xludf.DUMMYFUNCTION("""COMPUTED_VALUE"""),"Finalizada")</f>
        <v>Finalizada</v>
      </c>
      <c r="BF1214" s="97"/>
      <c r="BG1214" s="97" t="str">
        <f>IFERROR(__xludf.DUMMYFUNCTION("""COMPUTED_VALUE"""),"Activo")</f>
        <v>Activo</v>
      </c>
    </row>
    <row r="1215">
      <c r="A1215" s="97">
        <f>IFERROR(__xludf.DUMMYFUNCTION("""COMPUTED_VALUE"""),7172.0)</f>
        <v>7172</v>
      </c>
      <c r="B1215" s="97" t="str">
        <f>IFERROR(__xludf.DUMMYFUNCTION("""COMPUTED_VALUE"""),"ADAPTADOR HEMBRA 1EF II BL")</f>
        <v>ADAPTADOR HEMBRA 1EF II BL</v>
      </c>
      <c r="C1215" s="97" t="str">
        <f>IFERROR(__xludf.DUMMYFUNCTION("""COMPUTED_VALUE"""),"ACCESORIO ADAPTADOR HEMBRA 1EF II BL LEUK")</f>
        <v>ACCESORIO ADAPTADOR HEMBRA 1EF II BL LEUK</v>
      </c>
      <c r="D1215" s="97">
        <f>IFERROR(__xludf.DUMMYFUNCTION("""COMPUTED_VALUE"""),7.798413227598E12)</f>
        <v>7798413227598</v>
      </c>
      <c r="E1215" s="97" t="str">
        <f>IFERROR(__xludf.DUMMYFUNCTION("""COMPUTED_VALUE"""),"h44")</f>
        <v>h44</v>
      </c>
      <c r="F1215" s="97" t="str">
        <f>IFERROR(__xludf.DUMMYFUNCTION("""COMPUTED_VALUE"""),"N/A")</f>
        <v>N/A</v>
      </c>
      <c r="G1215" s="97" t="str">
        <f>IFERROR(__xludf.DUMMYFUNCTION("""COMPUTED_VALUE"""),"N/A")</f>
        <v>N/A</v>
      </c>
      <c r="H1215" s="97" t="str">
        <f>IFERROR(__xludf.DUMMYFUNCTION("""COMPUTED_VALUE"""),"N/A")</f>
        <v>N/A</v>
      </c>
      <c r="I1215" s="97" t="str">
        <f>IFERROR(__xludf.DUMMYFUNCTION("""COMPUTED_VALUE"""),"N/A")</f>
        <v>N/A</v>
      </c>
      <c r="J1215" s="97" t="str">
        <f>IFERROR(__xludf.DUMMYFUNCTION("""COMPUTED_VALUE"""),"N/A")</f>
        <v>N/A</v>
      </c>
      <c r="K1215" s="97" t="str">
        <f>IFERROR(__xludf.DUMMYFUNCTION("""COMPUTED_VALUE"""),"N/A")</f>
        <v>N/A</v>
      </c>
      <c r="L1215" s="97">
        <f>IFERROR(__xludf.DUMMYFUNCTION("""COMPUTED_VALUE"""),220.0)</f>
        <v>220</v>
      </c>
      <c r="M1215" s="97">
        <f>IFERROR(__xludf.DUMMYFUNCTION("""COMPUTED_VALUE"""),50.0)</f>
        <v>50</v>
      </c>
      <c r="N1215" s="97" t="str">
        <f>IFERROR(__xludf.DUMMYFUNCTION("""COMPUTED_VALUE"""),"N/A")</f>
        <v>N/A</v>
      </c>
      <c r="O1215" s="97" t="str">
        <f>IFERROR(__xludf.DUMMYFUNCTION("""COMPUTED_VALUE"""),"-")</f>
        <v>-</v>
      </c>
      <c r="P1215" s="97"/>
      <c r="Q1215" s="97" t="str">
        <f>IFERROR(__xludf.DUMMYFUNCTION("""COMPUTED_VALUE"""),"-")</f>
        <v>-</v>
      </c>
      <c r="R1215" s="97" t="str">
        <f>IFERROR(__xludf.DUMMYFUNCTION("""COMPUTED_VALUE"""),"-")</f>
        <v>-</v>
      </c>
      <c r="S1215" s="97" t="str">
        <f>IFERROR(__xludf.DUMMYFUNCTION("""COMPUTED_VALUE"""),"-")</f>
        <v>-</v>
      </c>
      <c r="T1215" s="97" t="str">
        <f>IFERROR(__xludf.DUMMYFUNCTION("""COMPUTED_VALUE"""),"-")</f>
        <v>-</v>
      </c>
      <c r="U1215" s="97" t="str">
        <f>IFERROR(__xludf.DUMMYFUNCTION("""COMPUTED_VALUE"""),"-")</f>
        <v>-</v>
      </c>
      <c r="V1215" s="97" t="str">
        <f>IFERROR(__xludf.DUMMYFUNCTION("""COMPUTED_VALUE"""),"N/A")</f>
        <v>N/A</v>
      </c>
      <c r="W1215" s="97" t="str">
        <f>IFERROR(__xludf.DUMMYFUNCTION("""COMPUTED_VALUE"""),"N/A")</f>
        <v>N/A</v>
      </c>
      <c r="X1215" s="97" t="str">
        <f>IFERROR(__xludf.DUMMYFUNCTION("""COMPUTED_VALUE"""),"-")</f>
        <v>-</v>
      </c>
      <c r="Y1215" s="97" t="str">
        <f>IFERROR(__xludf.DUMMYFUNCTION("""COMPUTED_VALUE"""),"N/A")</f>
        <v>N/A</v>
      </c>
      <c r="Z1215" s="97" t="str">
        <f>IFERROR(__xludf.DUMMYFUNCTION("""COMPUTED_VALUE"""),"N/A")</f>
        <v>N/A</v>
      </c>
      <c r="AA1215" s="97" t="str">
        <f>IFERROR(__xludf.DUMMYFUNCTION("""COMPUTED_VALUE"""),"N/A")</f>
        <v>N/A</v>
      </c>
      <c r="AB1215" s="97" t="str">
        <f>IFERROR(__xludf.DUMMYFUNCTION("""COMPUTED_VALUE"""),"N/A")</f>
        <v>N/A</v>
      </c>
      <c r="AC1215" s="97" t="str">
        <f>IFERROR(__xludf.DUMMYFUNCTION("""COMPUTED_VALUE"""),"N/A")</f>
        <v>N/A</v>
      </c>
      <c r="AD1215" s="97" t="str">
        <f>IFERROR(__xludf.DUMMYFUNCTION("""COMPUTED_VALUE"""),"IP20")</f>
        <v>IP20</v>
      </c>
      <c r="AE1215" s="97" t="str">
        <f>IFERROR(__xludf.DUMMYFUNCTION("""COMPUTED_VALUE"""),"Clase l")</f>
        <v>Clase l</v>
      </c>
      <c r="AF1215" s="97" t="str">
        <f>IFERROR(__xludf.DUMMYFUNCTION("""COMPUTED_VALUE"""),"N/A")</f>
        <v>N/A</v>
      </c>
      <c r="AG1215" s="97" t="str">
        <f>IFERROR(__xludf.DUMMYFUNCTION("""COMPUTED_VALUE"""),"80 x 35 x 25")</f>
        <v>80 x 35 x 25</v>
      </c>
      <c r="AH1215" s="97" t="str">
        <f>IFERROR(__xludf.DUMMYFUNCTION("""COMPUTED_VALUE"""),"N/A")</f>
        <v>N/A</v>
      </c>
      <c r="AI1215" s="97" t="str">
        <f>IFERROR(__xludf.DUMMYFUNCTION("""COMPUTED_VALUE"""),"N/A")</f>
        <v>N/A</v>
      </c>
      <c r="AJ1215" s="97" t="str">
        <f>IFERROR(__xludf.DUMMYFUNCTION("""COMPUTED_VALUE"""),"N/A")</f>
        <v>N/A</v>
      </c>
      <c r="AK1215" s="97" t="str">
        <f>IFERROR(__xludf.DUMMYFUNCTION("""COMPUTED_VALUE"""),"Policarbonato (PC)")</f>
        <v>Policarbonato (PC)</v>
      </c>
      <c r="AL1215" s="97" t="str">
        <f>IFERROR(__xludf.DUMMYFUNCTION("""COMPUTED_VALUE"""),"Blanco Mate")</f>
        <v>Blanco Mate</v>
      </c>
      <c r="AM1215" s="97" t="str">
        <f>IFERROR(__xludf.DUMMYFUNCTION("""COMPUTED_VALUE"""),"-")</f>
        <v>-</v>
      </c>
      <c r="AN1215" s="97" t="str">
        <f>IFERROR(__xludf.DUMMYFUNCTION("""COMPUTED_VALUE"""),"N/A")</f>
        <v>N/A</v>
      </c>
      <c r="AO1215" s="97" t="str">
        <f>IFERROR(__xludf.DUMMYFUNCTION("""COMPUTED_VALUE"""),"3 Años")</f>
        <v>3 Años</v>
      </c>
      <c r="AP1215" s="97" t="str">
        <f>IFERROR(__xludf.DUMMYFUNCTION("""COMPUTED_VALUE"""),"No Aplica")</f>
        <v>No Aplica</v>
      </c>
      <c r="AQ1215" s="97" t="str">
        <f>IFERROR(__xludf.DUMMYFUNCTION("""COMPUTED_VALUE"""),"No Aplica")</f>
        <v>No Aplica</v>
      </c>
      <c r="AR1215" s="97" t="str">
        <f>IFERROR(__xludf.DUMMYFUNCTION("""COMPUTED_VALUE"""),"No Aplica")</f>
        <v>No Aplica</v>
      </c>
      <c r="AS1215" s="97" t="str">
        <f>IFERROR(__xludf.DUMMYFUNCTION("""COMPUTED_VALUE"""),"Falta")</f>
        <v>Falta</v>
      </c>
      <c r="AT1215" s="97" t="str">
        <f>IFERROR(__xludf.DUMMYFUNCTION("""COMPUTED_VALUE"""),"Falta")</f>
        <v>Falta</v>
      </c>
      <c r="AU1215" s="97" t="str">
        <f>IFERROR(__xludf.DUMMYFUNCTION("""COMPUTED_VALUE"""),"Falta")</f>
        <v>Falta</v>
      </c>
      <c r="AV1215" s="97" t="str">
        <f>IFERROR(__xludf.DUMMYFUNCTION("""COMPUTED_VALUE"""),"Accesorio")</f>
        <v>Accesorio</v>
      </c>
      <c r="AW1215" s="97" t="str">
        <f>IFERROR(__xludf.DUMMYFUNCTION("""COMPUTED_VALUE"""),"Rieles")</f>
        <v>Rieles</v>
      </c>
      <c r="AX1215" s="97" t="str">
        <f>IFERROR(__xludf.DUMMYFUNCTION("""COMPUTED_VALUE"""),"Interior")</f>
        <v>Interior</v>
      </c>
      <c r="AY1215" s="97" t="str">
        <f>IFERROR(__xludf.DUMMYFUNCTION("""COMPUTED_VALUE"""),"-")</f>
        <v>-</v>
      </c>
      <c r="AZ1215" s="97" t="str">
        <f>IFERROR(__xludf.DUMMYFUNCTION("""COMPUTED_VALUE"""),"Soporta 10A")</f>
        <v>Soporta 10A</v>
      </c>
      <c r="BA1215" s="97">
        <f>IFERROR(__xludf.DUMMYFUNCTION("""COMPUTED_VALUE"""),150.0)</f>
        <v>150</v>
      </c>
      <c r="BB1215" s="97" t="str">
        <f>IFERROR(__xludf.DUMMYFUNCTION("""COMPUTED_VALUE"""),"-")</f>
        <v>-</v>
      </c>
      <c r="BC1215" s="97" t="str">
        <f>IFERROR(__xludf.DUMMYFUNCTION("""COMPUTED_VALUE"""),"-")</f>
        <v>-</v>
      </c>
      <c r="BD1215" s="97" t="str">
        <f>IFERROR(__xludf.DUMMYFUNCTION("""COMPUTED_VALUE"""),"RIELES 1EF")</f>
        <v>RIELES 1EF</v>
      </c>
      <c r="BE1215" s="97" t="str">
        <f>IFERROR(__xludf.DUMMYFUNCTION("""COMPUTED_VALUE"""),"Finalizada")</f>
        <v>Finalizada</v>
      </c>
      <c r="BF1215" s="97"/>
      <c r="BG1215" s="97" t="str">
        <f>IFERROR(__xludf.DUMMYFUNCTION("""COMPUTED_VALUE"""),"Activo")</f>
        <v>Activo</v>
      </c>
    </row>
    <row r="1216">
      <c r="A1216" s="97">
        <f>IFERROR(__xludf.DUMMYFUNCTION("""COMPUTED_VALUE"""),7176.0)</f>
        <v>7176</v>
      </c>
      <c r="B1216" s="97" t="str">
        <f>IFERROR(__xludf.DUMMYFUNCTION("""COMPUTED_VALUE"""),"TOICHO")</f>
        <v>TOICHO</v>
      </c>
      <c r="C1216" s="97" t="str">
        <f>IFERROR(__xludf.DUMMYFUNCTION("""COMPUTED_VALUE"""),"APLIQUE TOICHO 15W 3000K 1210LM CRI&gt;85 IP65 LEUK")</f>
        <v>APLIQUE TOICHO 15W 3000K 1210LM CRI&gt;85 IP65 LEUK</v>
      </c>
      <c r="D1216" s="97">
        <f>IFERROR(__xludf.DUMMYFUNCTION("""COMPUTED_VALUE"""),7.798413227727E12)</f>
        <v>7798413227727</v>
      </c>
      <c r="E1216" s="97" t="str">
        <f>IFERROR(__xludf.DUMMYFUNCTION("""COMPUTED_VALUE"""),"C14")</f>
        <v>C14</v>
      </c>
      <c r="F1216" s="97" t="str">
        <f>IFERROR(__xludf.DUMMYFUNCTION("""COMPUTED_VALUE"""),"LED integrado")</f>
        <v>LED integrado</v>
      </c>
      <c r="G1216" s="97" t="str">
        <f>IFERROR(__xludf.DUMMYFUNCTION("""COMPUTED_VALUE"""),"-")</f>
        <v>-</v>
      </c>
      <c r="H1216" s="97" t="str">
        <f>IFERROR(__xludf.DUMMYFUNCTION("""COMPUTED_VALUE"""),"-")</f>
        <v>-</v>
      </c>
      <c r="I1216" s="97"/>
      <c r="J1216" s="97" t="str">
        <f>IFERROR(__xludf.DUMMYFUNCTION("""COMPUTED_VALUE"""),"Modelo: 12-18W
In: 85-265Vac 50/60Hz
Out: 36-54Vdc 270mA
Tc 75°C Ta 50°C")</f>
        <v>Modelo: 12-18W
In: 85-265Vac 50/60Hz
Out: 36-54Vdc 270mA
Tc 75°C Ta 50°C</v>
      </c>
      <c r="K1216" s="97" t="str">
        <f>IFERROR(__xludf.DUMMYFUNCTION("""COMPUTED_VALUE"""),"ON/OFF")</f>
        <v>ON/OFF</v>
      </c>
      <c r="L1216" s="97" t="str">
        <f>IFERROR(__xludf.DUMMYFUNCTION("""COMPUTED_VALUE"""),"220-240")</f>
        <v>220-240</v>
      </c>
      <c r="M1216" s="97" t="str">
        <f>IFERROR(__xludf.DUMMYFUNCTION("""COMPUTED_VALUE"""),"50/60")</f>
        <v>50/60</v>
      </c>
      <c r="N1216" s="97"/>
      <c r="O1216" s="97">
        <f>IFERROR(__xludf.DUMMYFUNCTION("""COMPUTED_VALUE"""),15.0)</f>
        <v>15</v>
      </c>
      <c r="P1216" s="97"/>
      <c r="Q1216" s="97">
        <f>IFERROR(__xludf.DUMMYFUNCTION("""COMPUTED_VALUE"""),0.5)</f>
        <v>0.5</v>
      </c>
      <c r="R1216" s="97" t="str">
        <f>IFERROR(__xludf.DUMMYFUNCTION("""COMPUTED_VALUE"""),"-")</f>
        <v>-</v>
      </c>
      <c r="S1216" s="97" t="str">
        <f>IFERROR(__xludf.DUMMYFUNCTION("""COMPUTED_VALUE"""),"-")</f>
        <v>-</v>
      </c>
      <c r="T1216" s="97">
        <f>IFERROR(__xludf.DUMMYFUNCTION("""COMPUTED_VALUE"""),1210.0)</f>
        <v>1210</v>
      </c>
      <c r="U1216" s="99">
        <f>IFERROR(__xludf.DUMMYFUNCTION("""COMPUTED_VALUE"""),80.66666666666667)</f>
        <v>80.66666667</v>
      </c>
      <c r="V1216" s="97">
        <f>IFERROR(__xludf.DUMMYFUNCTION("""COMPUTED_VALUE"""),118.0)</f>
        <v>118</v>
      </c>
      <c r="W1216" s="97" t="str">
        <f>IFERROR(__xludf.DUMMYFUNCTION("""COMPUTED_VALUE"""),"&lt; 20")</f>
        <v>&lt; 20</v>
      </c>
      <c r="X1216" s="97">
        <f>IFERROR(__xludf.DUMMYFUNCTION("""COMPUTED_VALUE"""),3000.0)</f>
        <v>3000</v>
      </c>
      <c r="Y1216" s="97" t="str">
        <f>IFERROR(__xludf.DUMMYFUNCTION("""COMPUTED_VALUE"""),"&gt;85")</f>
        <v>&gt;85</v>
      </c>
      <c r="Z1216" s="97"/>
      <c r="AA1216" s="97"/>
      <c r="AB1216" s="97" t="str">
        <f>IFERROR(__xludf.DUMMYFUNCTION("""COMPUTED_VALUE"""),"-")</f>
        <v>-</v>
      </c>
      <c r="AC1216" s="97"/>
      <c r="AD1216" s="97" t="str">
        <f>IFERROR(__xludf.DUMMYFUNCTION("""COMPUTED_VALUE"""),"IP65")</f>
        <v>IP65</v>
      </c>
      <c r="AE1216" s="97" t="str">
        <f>IFERROR(__xludf.DUMMYFUNCTION("""COMPUTED_VALUE"""),"Clase l")</f>
        <v>Clase l</v>
      </c>
      <c r="AF1216" s="97" t="str">
        <f>IFERROR(__xludf.DUMMYFUNCTION("""COMPUTED_VALUE"""),"Aplicar")</f>
        <v>Aplicar</v>
      </c>
      <c r="AG1216" s="97" t="str">
        <f>IFERROR(__xludf.DUMMYFUNCTION("""COMPUTED_VALUE"""),"160 x 45 x 200")</f>
        <v>160 x 45 x 200</v>
      </c>
      <c r="AH1216" s="97" t="str">
        <f>IFERROR(__xludf.DUMMYFUNCTION("""COMPUTED_VALUE"""),"N/A")</f>
        <v>N/A</v>
      </c>
      <c r="AI1216" s="97" t="str">
        <f>IFERROR(__xludf.DUMMYFUNCTION("""COMPUTED_VALUE"""),"N/A")</f>
        <v>N/A</v>
      </c>
      <c r="AJ1216" s="97" t="str">
        <f>IFERROR(__xludf.DUMMYFUNCTION("""COMPUTED_VALUE"""),"Policarbonato (PC)")</f>
        <v>Policarbonato (PC)</v>
      </c>
      <c r="AK1216" s="97" t="str">
        <f>IFERROR(__xludf.DUMMYFUNCTION("""COMPUTED_VALUE"""),"Aluminio")</f>
        <v>Aluminio</v>
      </c>
      <c r="AL1216" s="97" t="str">
        <f>IFERROR(__xludf.DUMMYFUNCTION("""COMPUTED_VALUE"""),"Negro Satinado")</f>
        <v>Negro Satinado</v>
      </c>
      <c r="AM1216" s="97" t="str">
        <f>IFERROR(__xludf.DUMMYFUNCTION("""COMPUTED_VALUE"""),"-")</f>
        <v>-</v>
      </c>
      <c r="AN1216" s="97" t="str">
        <f>IFERROR(__xludf.DUMMYFUNCTION("""COMPUTED_VALUE"""),"25.000hs (L70)")</f>
        <v>25.000hs (L70)</v>
      </c>
      <c r="AO1216" s="97" t="str">
        <f>IFERROR(__xludf.DUMMYFUNCTION("""COMPUTED_VALUE"""),"2 Años")</f>
        <v>2 Años</v>
      </c>
      <c r="AP1216" s="97" t="str">
        <f>IFERROR(__xludf.DUMMYFUNCTION("""COMPUTED_VALUE"""),"Disponible")</f>
        <v>Disponible</v>
      </c>
      <c r="AQ1216" s="97" t="str">
        <f>IFERROR(__xludf.DUMMYFUNCTION("""COMPUTED_VALUE"""),"Disponible")</f>
        <v>Disponible</v>
      </c>
      <c r="AR1216" s="97" t="str">
        <f>IFERROR(__xludf.DUMMYFUNCTION("""COMPUTED_VALUE"""),"Disponible")</f>
        <v>Disponible</v>
      </c>
      <c r="AS1216" s="97" t="str">
        <f>IFERROR(__xludf.DUMMYFUNCTION("""COMPUTED_VALUE"""),"Falta")</f>
        <v>Falta</v>
      </c>
      <c r="AT1216" s="97" t="str">
        <f>IFERROR(__xludf.DUMMYFUNCTION("""COMPUTED_VALUE"""),"Falta")</f>
        <v>Falta</v>
      </c>
      <c r="AU1216" s="97" t="str">
        <f>IFERROR(__xludf.DUMMYFUNCTION("""COMPUTED_VALUE"""),"Falta")</f>
        <v>Falta</v>
      </c>
      <c r="AV1216" s="97" t="str">
        <f>IFERROR(__xludf.DUMMYFUNCTION("""COMPUTED_VALUE"""),"Aplique")</f>
        <v>Aplique</v>
      </c>
      <c r="AW1216" s="97" t="str">
        <f>IFERROR(__xludf.DUMMYFUNCTION("""COMPUTED_VALUE"""),"De Pared")</f>
        <v>De Pared</v>
      </c>
      <c r="AX1216" s="97" t="str">
        <f>IFERROR(__xludf.DUMMYFUNCTION("""COMPUTED_VALUE"""),"Exterior")</f>
        <v>Exterior</v>
      </c>
      <c r="AY1216" s="97" t="str">
        <f>IFERROR(__xludf.DUMMYFUNCTION("""COMPUTED_VALUE"""),"-")</f>
        <v>-</v>
      </c>
      <c r="AZ1216" s="97"/>
      <c r="BA1216" s="97">
        <f>IFERROR(__xludf.DUMMYFUNCTION("""COMPUTED_VALUE"""),32.0)</f>
        <v>32</v>
      </c>
      <c r="BB1216" s="97" t="str">
        <f>IFERROR(__xludf.DUMMYFUNCTION("""COMPUTED_VALUE"""),"-")</f>
        <v>-</v>
      </c>
      <c r="BC1216" s="97" t="str">
        <f>IFERROR(__xludf.DUMMYFUNCTION("""COMPUTED_VALUE"""),"-")</f>
        <v>-</v>
      </c>
      <c r="BD1216" s="97" t="str">
        <f>IFERROR(__xludf.DUMMYFUNCTION("""COMPUTED_VALUE"""),"TOICHO")</f>
        <v>TOICHO</v>
      </c>
      <c r="BE1216" s="97" t="str">
        <f>IFERROR(__xludf.DUMMYFUNCTION("""COMPUTED_VALUE"""),"Finalizada")</f>
        <v>Finalizada</v>
      </c>
      <c r="BF1216" s="97"/>
      <c r="BG1216" s="97" t="str">
        <f>IFERROR(__xludf.DUMMYFUNCTION("""COMPUTED_VALUE"""),"Activo")</f>
        <v>Activo</v>
      </c>
    </row>
    <row r="1217">
      <c r="A1217" s="97">
        <f>IFERROR(__xludf.DUMMYFUNCTION("""COMPUTED_VALUE"""),7177.0)</f>
        <v>7177</v>
      </c>
      <c r="B1217" s="97" t="str">
        <f>IFERROR(__xludf.DUMMYFUNCTION("""COMPUTED_VALUE"""),"POCKET III BLNG 2700K TRIAC")</f>
        <v>POCKET III BLNG 2700K TRIAC</v>
      </c>
      <c r="C1217" s="97" t="str">
        <f>IFERROR(__xludf.DUMMYFUNCTION("""COMPUTED_VALUE"""),"EMPOTRABLE POCKET III BLNG 2700K TRIAC 5W 2700K 305LM CRI&gt;90 IP20 LEUK")</f>
        <v>EMPOTRABLE POCKET III BLNG 2700K TRIAC 5W 2700K 305LM CRI&gt;90 IP20 LEUK</v>
      </c>
      <c r="D1217" s="97">
        <f>IFERROR(__xludf.DUMMYFUNCTION("""COMPUTED_VALUE"""),7.798413227284E12)</f>
        <v>7798413227284</v>
      </c>
      <c r="E1217" s="97" t="str">
        <f>IFERROR(__xludf.DUMMYFUNCTION("""COMPUTED_VALUE"""),"F82")</f>
        <v>F82</v>
      </c>
      <c r="F1217" s="97" t="str">
        <f>IFERROR(__xludf.DUMMYFUNCTION("""COMPUTED_VALUE"""),"LED SMD")</f>
        <v>LED SMD</v>
      </c>
      <c r="G1217" s="97" t="str">
        <f>IFERROR(__xludf.DUMMYFUNCTION("""COMPUTED_VALUE"""),"Bridgelux")</f>
        <v>Bridgelux</v>
      </c>
      <c r="H1217" s="97" t="str">
        <f>IFERROR(__xludf.DUMMYFUNCTION("""COMPUTED_VALUE"""),"AiDimming")</f>
        <v>AiDimming</v>
      </c>
      <c r="I1217" s="97" t="str">
        <f>IFERROR(__xludf.DUMMYFUNCTION("""COMPUTED_VALUE"""),"Si")</f>
        <v>Si</v>
      </c>
      <c r="J1217" s="97" t="str">
        <f>IFERROR(__xludf.DUMMYFUNCTION("""COMPUTED_VALUE"""),"Modelo: PE594M1550
In: 200-250Vac 0.05A 50/60Hz
Out: 6-15Vdc 500mA 7.5W
Pf 0.94 Tc 85°C Ta 45°C
FlickerFree")</f>
        <v>Modelo: PE594M1550
In: 200-250Vac 0.05A 50/60Hz
Out: 6-15Vdc 500mA 7.5W
Pf 0.94 Tc 85°C Ta 45°C
FlickerFree</v>
      </c>
      <c r="K1217" s="97" t="str">
        <f>IFERROR(__xludf.DUMMYFUNCTION("""COMPUTED_VALUE"""),"TRIAC")</f>
        <v>TRIAC</v>
      </c>
      <c r="L1217" s="97" t="str">
        <f>IFERROR(__xludf.DUMMYFUNCTION("""COMPUTED_VALUE"""),"200-240")</f>
        <v>200-240</v>
      </c>
      <c r="M1217" s="97" t="str">
        <f>IFERROR(__xludf.DUMMYFUNCTION("""COMPUTED_VALUE"""),"50/60")</f>
        <v>50/60</v>
      </c>
      <c r="N1217" s="97" t="str">
        <f>IFERROR(__xludf.DUMMYFUNCTION("""COMPUTED_VALUE"""),"Directa")</f>
        <v>Directa</v>
      </c>
      <c r="O1217" s="97">
        <f>IFERROR(__xludf.DUMMYFUNCTION("""COMPUTED_VALUE"""),5.0)</f>
        <v>5</v>
      </c>
      <c r="P1217" s="97"/>
      <c r="Q1217" s="97">
        <f>IFERROR(__xludf.DUMMYFUNCTION("""COMPUTED_VALUE"""),0.95)</f>
        <v>0.95</v>
      </c>
      <c r="R1217" s="97" t="str">
        <f>IFERROR(__xludf.DUMMYFUNCTION("""COMPUTED_VALUE"""),"-")</f>
        <v>-</v>
      </c>
      <c r="S1217" s="97" t="str">
        <f>IFERROR(__xludf.DUMMYFUNCTION("""COMPUTED_VALUE"""),"-")</f>
        <v>-</v>
      </c>
      <c r="T1217" s="97">
        <f>IFERROR(__xludf.DUMMYFUNCTION("""COMPUTED_VALUE"""),305.0)</f>
        <v>305</v>
      </c>
      <c r="U1217" s="97">
        <f>IFERROR(__xludf.DUMMYFUNCTION("""COMPUTED_VALUE"""),61.0)</f>
        <v>61</v>
      </c>
      <c r="V1217" s="97">
        <f>IFERROR(__xludf.DUMMYFUNCTION("""COMPUTED_VALUE"""),36.0)</f>
        <v>36</v>
      </c>
      <c r="W1217" s="97" t="str">
        <f>IFERROR(__xludf.DUMMYFUNCTION("""COMPUTED_VALUE"""),"&lt; 14")</f>
        <v>&lt; 14</v>
      </c>
      <c r="X1217" s="97">
        <f>IFERROR(__xludf.DUMMYFUNCTION("""COMPUTED_VALUE"""),2700.0)</f>
        <v>2700</v>
      </c>
      <c r="Y1217" s="97" t="str">
        <f>IFERROR(__xludf.DUMMYFUNCTION("""COMPUTED_VALUE"""),"&gt;90")</f>
        <v>&gt;90</v>
      </c>
      <c r="Z1217" s="97"/>
      <c r="AA1217" s="97"/>
      <c r="AB1217" s="97" t="str">
        <f>IFERROR(__xludf.DUMMYFUNCTION("""COMPUTED_VALUE"""),"&lt; 5")</f>
        <v>&lt; 5</v>
      </c>
      <c r="AC1217" s="97"/>
      <c r="AD1217" s="97" t="str">
        <f>IFERROR(__xludf.DUMMYFUNCTION("""COMPUTED_VALUE"""),"IP20")</f>
        <v>IP20</v>
      </c>
      <c r="AE1217" s="97" t="str">
        <f>IFERROR(__xludf.DUMMYFUNCTION("""COMPUTED_VALUE"""),"Clase l")</f>
        <v>Clase l</v>
      </c>
      <c r="AF1217" s="97" t="str">
        <f>IFERROR(__xludf.DUMMYFUNCTION("""COMPUTED_VALUE"""),"Embutir")</f>
        <v>Embutir</v>
      </c>
      <c r="AG1217" s="97" t="str">
        <f>IFERROR(__xludf.DUMMYFUNCTION("""COMPUTED_VALUE"""),"69 x 31 x 40")</f>
        <v>69 x 31 x 40</v>
      </c>
      <c r="AH1217" s="97" t="str">
        <f>IFERROR(__xludf.DUMMYFUNCTION("""COMPUTED_VALUE"""),"65 x 27")</f>
        <v>65 x 27</v>
      </c>
      <c r="AI1217" s="97">
        <f>IFERROR(__xludf.DUMMYFUNCTION("""COMPUTED_VALUE"""),55.0)</f>
        <v>55</v>
      </c>
      <c r="AJ1217" s="97" t="str">
        <f>IFERROR(__xludf.DUMMYFUNCTION("""COMPUTED_VALUE"""),"Policarbonato (PC)")</f>
        <v>Policarbonato (PC)</v>
      </c>
      <c r="AK1217" s="97" t="str">
        <f>IFERROR(__xludf.DUMMYFUNCTION("""COMPUTED_VALUE"""),"Aluminio")</f>
        <v>Aluminio</v>
      </c>
      <c r="AL1217" s="97" t="str">
        <f>IFERROR(__xludf.DUMMYFUNCTION("""COMPUTED_VALUE"""),"Blanco y Negro")</f>
        <v>Blanco y Negro</v>
      </c>
      <c r="AM1217" s="97" t="str">
        <f>IFERROR(__xludf.DUMMYFUNCTION("""COMPUTED_VALUE"""),"-")</f>
        <v>-</v>
      </c>
      <c r="AN1217" s="97" t="str">
        <f>IFERROR(__xludf.DUMMYFUNCTION("""COMPUTED_VALUE"""),"40.000hs (L70)")</f>
        <v>40.000hs (L70)</v>
      </c>
      <c r="AO1217" s="97" t="str">
        <f>IFERROR(__xludf.DUMMYFUNCTION("""COMPUTED_VALUE"""),"4 Años")</f>
        <v>4 Años</v>
      </c>
      <c r="AP1217" s="97" t="str">
        <f>IFERROR(__xludf.DUMMYFUNCTION("""COMPUTED_VALUE"""),"Falta")</f>
        <v>Falta</v>
      </c>
      <c r="AQ1217" s="97" t="str">
        <f>IFERROR(__xludf.DUMMYFUNCTION("""COMPUTED_VALUE"""),"Falta")</f>
        <v>Falta</v>
      </c>
      <c r="AR1217" s="97" t="str">
        <f>IFERROR(__xludf.DUMMYFUNCTION("""COMPUTED_VALUE"""),"En revisión")</f>
        <v>En revisión</v>
      </c>
      <c r="AS1217" s="97" t="str">
        <f>IFERROR(__xludf.DUMMYFUNCTION("""COMPUTED_VALUE"""),"Falta")</f>
        <v>Falta</v>
      </c>
      <c r="AT1217" s="97" t="str">
        <f>IFERROR(__xludf.DUMMYFUNCTION("""COMPUTED_VALUE"""),"Falta")</f>
        <v>Falta</v>
      </c>
      <c r="AU1217" s="97" t="str">
        <f>IFERROR(__xludf.DUMMYFUNCTION("""COMPUTED_VALUE"""),"Falta")</f>
        <v>Falta</v>
      </c>
      <c r="AV1217" s="97" t="str">
        <f>IFERROR(__xludf.DUMMYFUNCTION("""COMPUTED_VALUE"""),"Empotrable")</f>
        <v>Empotrable</v>
      </c>
      <c r="AW1217" s="97" t="str">
        <f>IFERROR(__xludf.DUMMYFUNCTION("""COMPUTED_VALUE"""),"De Techo")</f>
        <v>De Techo</v>
      </c>
      <c r="AX1217" s="97" t="str">
        <f>IFERROR(__xludf.DUMMYFUNCTION("""COMPUTED_VALUE"""),"Interior")</f>
        <v>Interior</v>
      </c>
      <c r="AY1217" s="97" t="str">
        <f>IFERROR(__xludf.DUMMYFUNCTION("""COMPUTED_VALUE"""),"Pocket")</f>
        <v>Pocket</v>
      </c>
      <c r="AZ1217" s="97"/>
      <c r="BA1217" s="97"/>
      <c r="BB1217" s="97"/>
      <c r="BC1217" s="97"/>
      <c r="BD1217" s="97" t="str">
        <f>IFERROR(__xludf.DUMMYFUNCTION("""COMPUTED_VALUE"""),"POCKET III")</f>
        <v>POCKET III</v>
      </c>
      <c r="BE1217" s="97" t="str">
        <f>IFERROR(__xludf.DUMMYFUNCTION("""COMPUTED_VALUE"""),"Falta TR")</f>
        <v>Falta TR</v>
      </c>
      <c r="BF1217" s="97">
        <f>IFERROR(__xludf.DUMMYFUNCTION("""COMPUTED_VALUE"""),7736.0)</f>
        <v>7736</v>
      </c>
      <c r="BG1217" s="97" t="str">
        <f>IFERROR(__xludf.DUMMYFUNCTION("""COMPUTED_VALUE"""),"En Salida")</f>
        <v>En Salida</v>
      </c>
    </row>
    <row r="1218">
      <c r="A1218" s="97">
        <f>IFERROR(__xludf.DUMMYFUNCTION("""COMPUTED_VALUE"""),7178.0)</f>
        <v>7178</v>
      </c>
      <c r="B1218" s="97" t="str">
        <f>IFERROR(__xludf.DUMMYFUNCTION("""COMPUTED_VALUE"""),"POCKET III BLNG 3000K TRIAC")</f>
        <v>POCKET III BLNG 3000K TRIAC</v>
      </c>
      <c r="C1218" s="97" t="str">
        <f>IFERROR(__xludf.DUMMYFUNCTION("""COMPUTED_VALUE"""),"EMPOTRABLE POCKET III BLNG 3000K TRIAC 5W 3000K 305LM CRI&gt;90 IP20 LEUK")</f>
        <v>EMPOTRABLE POCKET III BLNG 3000K TRIAC 5W 3000K 305LM CRI&gt;90 IP20 LEUK</v>
      </c>
      <c r="D1218" s="97">
        <f>IFERROR(__xludf.DUMMYFUNCTION("""COMPUTED_VALUE"""),7.798413227291E12)</f>
        <v>7798413227291</v>
      </c>
      <c r="E1218" s="97" t="str">
        <f>IFERROR(__xludf.DUMMYFUNCTION("""COMPUTED_VALUE"""),"F82")</f>
        <v>F82</v>
      </c>
      <c r="F1218" s="97" t="str">
        <f>IFERROR(__xludf.DUMMYFUNCTION("""COMPUTED_VALUE"""),"LED SMD")</f>
        <v>LED SMD</v>
      </c>
      <c r="G1218" s="97" t="str">
        <f>IFERROR(__xludf.DUMMYFUNCTION("""COMPUTED_VALUE"""),"Bridgelux")</f>
        <v>Bridgelux</v>
      </c>
      <c r="H1218" s="97" t="str">
        <f>IFERROR(__xludf.DUMMYFUNCTION("""COMPUTED_VALUE"""),"AiDimming")</f>
        <v>AiDimming</v>
      </c>
      <c r="I1218" s="97" t="str">
        <f>IFERROR(__xludf.DUMMYFUNCTION("""COMPUTED_VALUE"""),"Si")</f>
        <v>Si</v>
      </c>
      <c r="J1218" s="97" t="str">
        <f>IFERROR(__xludf.DUMMYFUNCTION("""COMPUTED_VALUE"""),"Modelo: PE594M1550
In: 200-250Vac 0.05A 50/60Hz
Out: 6-15Vdc 500mA 7.5W
Pf 0.94 Tc 85°C Ta 45°C
FlickerFree")</f>
        <v>Modelo: PE594M1550
In: 200-250Vac 0.05A 50/60Hz
Out: 6-15Vdc 500mA 7.5W
Pf 0.94 Tc 85°C Ta 45°C
FlickerFree</v>
      </c>
      <c r="K1218" s="97" t="str">
        <f>IFERROR(__xludf.DUMMYFUNCTION("""COMPUTED_VALUE"""),"TRIAC")</f>
        <v>TRIAC</v>
      </c>
      <c r="L1218" s="97" t="str">
        <f>IFERROR(__xludf.DUMMYFUNCTION("""COMPUTED_VALUE"""),"200-240")</f>
        <v>200-240</v>
      </c>
      <c r="M1218" s="97" t="str">
        <f>IFERROR(__xludf.DUMMYFUNCTION("""COMPUTED_VALUE"""),"50/60")</f>
        <v>50/60</v>
      </c>
      <c r="N1218" s="97" t="str">
        <f>IFERROR(__xludf.DUMMYFUNCTION("""COMPUTED_VALUE"""),"Directa")</f>
        <v>Directa</v>
      </c>
      <c r="O1218" s="97">
        <f>IFERROR(__xludf.DUMMYFUNCTION("""COMPUTED_VALUE"""),5.0)</f>
        <v>5</v>
      </c>
      <c r="P1218" s="97"/>
      <c r="Q1218" s="97">
        <f>IFERROR(__xludf.DUMMYFUNCTION("""COMPUTED_VALUE"""),0.95)</f>
        <v>0.95</v>
      </c>
      <c r="R1218" s="97" t="str">
        <f>IFERROR(__xludf.DUMMYFUNCTION("""COMPUTED_VALUE"""),"-")</f>
        <v>-</v>
      </c>
      <c r="S1218" s="97" t="str">
        <f>IFERROR(__xludf.DUMMYFUNCTION("""COMPUTED_VALUE"""),"-")</f>
        <v>-</v>
      </c>
      <c r="T1218" s="97">
        <f>IFERROR(__xludf.DUMMYFUNCTION("""COMPUTED_VALUE"""),305.0)</f>
        <v>305</v>
      </c>
      <c r="U1218" s="97">
        <f>IFERROR(__xludf.DUMMYFUNCTION("""COMPUTED_VALUE"""),61.0)</f>
        <v>61</v>
      </c>
      <c r="V1218" s="97">
        <f>IFERROR(__xludf.DUMMYFUNCTION("""COMPUTED_VALUE"""),36.0)</f>
        <v>36</v>
      </c>
      <c r="W1218" s="97" t="str">
        <f>IFERROR(__xludf.DUMMYFUNCTION("""COMPUTED_VALUE"""),"&lt; 14")</f>
        <v>&lt; 14</v>
      </c>
      <c r="X1218" s="97">
        <f>IFERROR(__xludf.DUMMYFUNCTION("""COMPUTED_VALUE"""),3000.0)</f>
        <v>3000</v>
      </c>
      <c r="Y1218" s="97" t="str">
        <f>IFERROR(__xludf.DUMMYFUNCTION("""COMPUTED_VALUE"""),"&gt;90")</f>
        <v>&gt;90</v>
      </c>
      <c r="Z1218" s="97"/>
      <c r="AA1218" s="97"/>
      <c r="AB1218" s="97" t="str">
        <f>IFERROR(__xludf.DUMMYFUNCTION("""COMPUTED_VALUE"""),"&lt; 5")</f>
        <v>&lt; 5</v>
      </c>
      <c r="AC1218" s="97"/>
      <c r="AD1218" s="97" t="str">
        <f>IFERROR(__xludf.DUMMYFUNCTION("""COMPUTED_VALUE"""),"IP20")</f>
        <v>IP20</v>
      </c>
      <c r="AE1218" s="97" t="str">
        <f>IFERROR(__xludf.DUMMYFUNCTION("""COMPUTED_VALUE"""),"Clase l")</f>
        <v>Clase l</v>
      </c>
      <c r="AF1218" s="97" t="str">
        <f>IFERROR(__xludf.DUMMYFUNCTION("""COMPUTED_VALUE"""),"Embutir")</f>
        <v>Embutir</v>
      </c>
      <c r="AG1218" s="97" t="str">
        <f>IFERROR(__xludf.DUMMYFUNCTION("""COMPUTED_VALUE"""),"69 x 31 x 40")</f>
        <v>69 x 31 x 40</v>
      </c>
      <c r="AH1218" s="97" t="str">
        <f>IFERROR(__xludf.DUMMYFUNCTION("""COMPUTED_VALUE"""),"65 x 27")</f>
        <v>65 x 27</v>
      </c>
      <c r="AI1218" s="97">
        <f>IFERROR(__xludf.DUMMYFUNCTION("""COMPUTED_VALUE"""),55.0)</f>
        <v>55</v>
      </c>
      <c r="AJ1218" s="97" t="str">
        <f>IFERROR(__xludf.DUMMYFUNCTION("""COMPUTED_VALUE"""),"Policarbonato (PC)")</f>
        <v>Policarbonato (PC)</v>
      </c>
      <c r="AK1218" s="97" t="str">
        <f>IFERROR(__xludf.DUMMYFUNCTION("""COMPUTED_VALUE"""),"Aluminio")</f>
        <v>Aluminio</v>
      </c>
      <c r="AL1218" s="97" t="str">
        <f>IFERROR(__xludf.DUMMYFUNCTION("""COMPUTED_VALUE"""),"Blanco y Negro")</f>
        <v>Blanco y Negro</v>
      </c>
      <c r="AM1218" s="97" t="str">
        <f>IFERROR(__xludf.DUMMYFUNCTION("""COMPUTED_VALUE"""),"-")</f>
        <v>-</v>
      </c>
      <c r="AN1218" s="97" t="str">
        <f>IFERROR(__xludf.DUMMYFUNCTION("""COMPUTED_VALUE"""),"40.000hs (L70)")</f>
        <v>40.000hs (L70)</v>
      </c>
      <c r="AO1218" s="97" t="str">
        <f>IFERROR(__xludf.DUMMYFUNCTION("""COMPUTED_VALUE"""),"4 Años")</f>
        <v>4 Años</v>
      </c>
      <c r="AP1218" s="97" t="str">
        <f>IFERROR(__xludf.DUMMYFUNCTION("""COMPUTED_VALUE"""),"Falta")</f>
        <v>Falta</v>
      </c>
      <c r="AQ1218" s="97" t="str">
        <f>IFERROR(__xludf.DUMMYFUNCTION("""COMPUTED_VALUE"""),"Falta")</f>
        <v>Falta</v>
      </c>
      <c r="AR1218" s="97" t="str">
        <f>IFERROR(__xludf.DUMMYFUNCTION("""COMPUTED_VALUE"""),"En revisión")</f>
        <v>En revisión</v>
      </c>
      <c r="AS1218" s="97" t="str">
        <f>IFERROR(__xludf.DUMMYFUNCTION("""COMPUTED_VALUE"""),"Falta")</f>
        <v>Falta</v>
      </c>
      <c r="AT1218" s="97" t="str">
        <f>IFERROR(__xludf.DUMMYFUNCTION("""COMPUTED_VALUE"""),"Falta")</f>
        <v>Falta</v>
      </c>
      <c r="AU1218" s="97" t="str">
        <f>IFERROR(__xludf.DUMMYFUNCTION("""COMPUTED_VALUE"""),"Falta")</f>
        <v>Falta</v>
      </c>
      <c r="AV1218" s="97" t="str">
        <f>IFERROR(__xludf.DUMMYFUNCTION("""COMPUTED_VALUE"""),"Empotrable")</f>
        <v>Empotrable</v>
      </c>
      <c r="AW1218" s="97" t="str">
        <f>IFERROR(__xludf.DUMMYFUNCTION("""COMPUTED_VALUE"""),"De Techo")</f>
        <v>De Techo</v>
      </c>
      <c r="AX1218" s="97" t="str">
        <f>IFERROR(__xludf.DUMMYFUNCTION("""COMPUTED_VALUE"""),"Interior")</f>
        <v>Interior</v>
      </c>
      <c r="AY1218" s="97" t="str">
        <f>IFERROR(__xludf.DUMMYFUNCTION("""COMPUTED_VALUE"""),"Pocket")</f>
        <v>Pocket</v>
      </c>
      <c r="AZ1218" s="97"/>
      <c r="BA1218" s="97"/>
      <c r="BB1218" s="97"/>
      <c r="BC1218" s="97"/>
      <c r="BD1218" s="97" t="str">
        <f>IFERROR(__xludf.DUMMYFUNCTION("""COMPUTED_VALUE"""),"POCKET III")</f>
        <v>POCKET III</v>
      </c>
      <c r="BE1218" s="97" t="str">
        <f>IFERROR(__xludf.DUMMYFUNCTION("""COMPUTED_VALUE"""),"Falta TR")</f>
        <v>Falta TR</v>
      </c>
      <c r="BF1218" s="97">
        <f>IFERROR(__xludf.DUMMYFUNCTION("""COMPUTED_VALUE"""),7736.0)</f>
        <v>7736</v>
      </c>
      <c r="BG1218" s="97" t="str">
        <f>IFERROR(__xludf.DUMMYFUNCTION("""COMPUTED_VALUE"""),"En Salida")</f>
        <v>En Salida</v>
      </c>
    </row>
    <row r="1219">
      <c r="A1219" s="97">
        <f>IFERROR(__xludf.DUMMYFUNCTION("""COMPUTED_VALUE"""),7179.0)</f>
        <v>7179</v>
      </c>
      <c r="B1219" s="97" t="str">
        <f>IFERROR(__xludf.DUMMYFUNCTION("""COMPUTED_VALUE"""),"POCKET III BLBL 2700K")</f>
        <v>POCKET III BLBL 2700K</v>
      </c>
      <c r="C1219" s="97" t="str">
        <f>IFERROR(__xludf.DUMMYFUNCTION("""COMPUTED_VALUE"""),"EMPOTRABLE POCKET III BLBL 2700K 5W 2700K 305LM CRI&gt;90 IP20 LEUK")</f>
        <v>EMPOTRABLE POCKET III BLBL 2700K 5W 2700K 305LM CRI&gt;90 IP20 LEUK</v>
      </c>
      <c r="D1219" s="97">
        <f>IFERROR(__xludf.DUMMYFUNCTION("""COMPUTED_VALUE"""),7.798413227307E12)</f>
        <v>7798413227307</v>
      </c>
      <c r="E1219" s="97" t="str">
        <f>IFERROR(__xludf.DUMMYFUNCTION("""COMPUTED_VALUE"""),"F82")</f>
        <v>F82</v>
      </c>
      <c r="F1219" s="97" t="str">
        <f>IFERROR(__xludf.DUMMYFUNCTION("""COMPUTED_VALUE"""),"LED SMD")</f>
        <v>LED SMD</v>
      </c>
      <c r="G1219" s="97" t="str">
        <f>IFERROR(__xludf.DUMMYFUNCTION("""COMPUTED_VALUE"""),"Bridgelux")</f>
        <v>Bridgelux</v>
      </c>
      <c r="H1219" s="97" t="str">
        <f>IFERROR(__xludf.DUMMYFUNCTION("""COMPUTED_VALUE"""),"Eaglerise")</f>
        <v>Eaglerise</v>
      </c>
      <c r="I1219" s="97" t="str">
        <f>IFERROR(__xludf.DUMMYFUNCTION("""COMPUTED_VALUE"""),"Si")</f>
        <v>Si</v>
      </c>
      <c r="J1219" s="97" t="str">
        <f>IFERROR(__xludf.DUMMYFUNCTION("""COMPUTED_VALUE"""),"Modelo: LS-6-500 SI E
In: 220-240Vac 0.11A 50/60Hz
Out: 5-12Vdc 500mA 6W
Pf 0.5 Tc 50°C Ta 80°C")</f>
        <v>Modelo: LS-6-500 SI E
In: 220-240Vac 0.11A 50/60Hz
Out: 5-12Vdc 500mA 6W
Pf 0.5 Tc 50°C Ta 80°C</v>
      </c>
      <c r="K1219" s="97" t="str">
        <f>IFERROR(__xludf.DUMMYFUNCTION("""COMPUTED_VALUE"""),"ON/OFF")</f>
        <v>ON/OFF</v>
      </c>
      <c r="L1219" s="97" t="str">
        <f>IFERROR(__xludf.DUMMYFUNCTION("""COMPUTED_VALUE"""),"200-240")</f>
        <v>200-240</v>
      </c>
      <c r="M1219" s="97" t="str">
        <f>IFERROR(__xludf.DUMMYFUNCTION("""COMPUTED_VALUE"""),"50/60")</f>
        <v>50/60</v>
      </c>
      <c r="N1219" s="97" t="str">
        <f>IFERROR(__xludf.DUMMYFUNCTION("""COMPUTED_VALUE"""),"Directa")</f>
        <v>Directa</v>
      </c>
      <c r="O1219" s="97">
        <f>IFERROR(__xludf.DUMMYFUNCTION("""COMPUTED_VALUE"""),5.0)</f>
        <v>5</v>
      </c>
      <c r="P1219" s="97"/>
      <c r="Q1219" s="97">
        <f>IFERROR(__xludf.DUMMYFUNCTION("""COMPUTED_VALUE"""),0.5)</f>
        <v>0.5</v>
      </c>
      <c r="R1219" s="97" t="str">
        <f>IFERROR(__xludf.DUMMYFUNCTION("""COMPUTED_VALUE"""),"-")</f>
        <v>-</v>
      </c>
      <c r="S1219" s="97" t="str">
        <f>IFERROR(__xludf.DUMMYFUNCTION("""COMPUTED_VALUE"""),"-")</f>
        <v>-</v>
      </c>
      <c r="T1219" s="97">
        <f>IFERROR(__xludf.DUMMYFUNCTION("""COMPUTED_VALUE"""),305.0)</f>
        <v>305</v>
      </c>
      <c r="U1219" s="97">
        <f>IFERROR(__xludf.DUMMYFUNCTION("""COMPUTED_VALUE"""),61.0)</f>
        <v>61</v>
      </c>
      <c r="V1219" s="97">
        <f>IFERROR(__xludf.DUMMYFUNCTION("""COMPUTED_VALUE"""),36.0)</f>
        <v>36</v>
      </c>
      <c r="W1219" s="97" t="str">
        <f>IFERROR(__xludf.DUMMYFUNCTION("""COMPUTED_VALUE"""),"&lt; 14")</f>
        <v>&lt; 14</v>
      </c>
      <c r="X1219" s="97">
        <f>IFERROR(__xludf.DUMMYFUNCTION("""COMPUTED_VALUE"""),2700.0)</f>
        <v>2700</v>
      </c>
      <c r="Y1219" s="97" t="str">
        <f>IFERROR(__xludf.DUMMYFUNCTION("""COMPUTED_VALUE"""),"&gt;90")</f>
        <v>&gt;90</v>
      </c>
      <c r="Z1219" s="97"/>
      <c r="AA1219" s="97"/>
      <c r="AB1219" s="97" t="str">
        <f>IFERROR(__xludf.DUMMYFUNCTION("""COMPUTED_VALUE"""),"&lt; 5")</f>
        <v>&lt; 5</v>
      </c>
      <c r="AC1219" s="97"/>
      <c r="AD1219" s="97" t="str">
        <f>IFERROR(__xludf.DUMMYFUNCTION("""COMPUTED_VALUE"""),"IP20")</f>
        <v>IP20</v>
      </c>
      <c r="AE1219" s="97" t="str">
        <f>IFERROR(__xludf.DUMMYFUNCTION("""COMPUTED_VALUE"""),"Clase l")</f>
        <v>Clase l</v>
      </c>
      <c r="AF1219" s="97" t="str">
        <f>IFERROR(__xludf.DUMMYFUNCTION("""COMPUTED_VALUE"""),"Embutir")</f>
        <v>Embutir</v>
      </c>
      <c r="AG1219" s="97" t="str">
        <f>IFERROR(__xludf.DUMMYFUNCTION("""COMPUTED_VALUE"""),"69 x 31 x 40")</f>
        <v>69 x 31 x 40</v>
      </c>
      <c r="AH1219" s="97" t="str">
        <f>IFERROR(__xludf.DUMMYFUNCTION("""COMPUTED_VALUE"""),"65 x 27")</f>
        <v>65 x 27</v>
      </c>
      <c r="AI1219" s="97">
        <f>IFERROR(__xludf.DUMMYFUNCTION("""COMPUTED_VALUE"""),55.0)</f>
        <v>55</v>
      </c>
      <c r="AJ1219" s="97" t="str">
        <f>IFERROR(__xludf.DUMMYFUNCTION("""COMPUTED_VALUE"""),"Policarbonato (PC)")</f>
        <v>Policarbonato (PC)</v>
      </c>
      <c r="AK1219" s="97" t="str">
        <f>IFERROR(__xludf.DUMMYFUNCTION("""COMPUTED_VALUE"""),"Aluminio")</f>
        <v>Aluminio</v>
      </c>
      <c r="AL1219" s="97" t="str">
        <f>IFERROR(__xludf.DUMMYFUNCTION("""COMPUTED_VALUE"""),"Blanco Satinado")</f>
        <v>Blanco Satinado</v>
      </c>
      <c r="AM1219" s="97" t="str">
        <f>IFERROR(__xludf.DUMMYFUNCTION("""COMPUTED_VALUE"""),"-")</f>
        <v>-</v>
      </c>
      <c r="AN1219" s="97" t="str">
        <f>IFERROR(__xludf.DUMMYFUNCTION("""COMPUTED_VALUE"""),"40.000hs (L70)")</f>
        <v>40.000hs (L70)</v>
      </c>
      <c r="AO1219" s="97" t="str">
        <f>IFERROR(__xludf.DUMMYFUNCTION("""COMPUTED_VALUE"""),"4 Años")</f>
        <v>4 Años</v>
      </c>
      <c r="AP1219" s="97" t="str">
        <f>IFERROR(__xludf.DUMMYFUNCTION("""COMPUTED_VALUE"""),"Falta")</f>
        <v>Falta</v>
      </c>
      <c r="AQ1219" s="97" t="str">
        <f>IFERROR(__xludf.DUMMYFUNCTION("""COMPUTED_VALUE"""),"Falta")</f>
        <v>Falta</v>
      </c>
      <c r="AR1219" s="97" t="str">
        <f>IFERROR(__xludf.DUMMYFUNCTION("""COMPUTED_VALUE"""),"En revisión")</f>
        <v>En revisión</v>
      </c>
      <c r="AS1219" s="97" t="str">
        <f>IFERROR(__xludf.DUMMYFUNCTION("""COMPUTED_VALUE"""),"Falta")</f>
        <v>Falta</v>
      </c>
      <c r="AT1219" s="97" t="str">
        <f>IFERROR(__xludf.DUMMYFUNCTION("""COMPUTED_VALUE"""),"Falta")</f>
        <v>Falta</v>
      </c>
      <c r="AU1219" s="97" t="str">
        <f>IFERROR(__xludf.DUMMYFUNCTION("""COMPUTED_VALUE"""),"Falta")</f>
        <v>Falta</v>
      </c>
      <c r="AV1219" s="97" t="str">
        <f>IFERROR(__xludf.DUMMYFUNCTION("""COMPUTED_VALUE"""),"Empotrable")</f>
        <v>Empotrable</v>
      </c>
      <c r="AW1219" s="97" t="str">
        <f>IFERROR(__xludf.DUMMYFUNCTION("""COMPUTED_VALUE"""),"De Techo")</f>
        <v>De Techo</v>
      </c>
      <c r="AX1219" s="97" t="str">
        <f>IFERROR(__xludf.DUMMYFUNCTION("""COMPUTED_VALUE"""),"Interior")</f>
        <v>Interior</v>
      </c>
      <c r="AY1219" s="97" t="str">
        <f>IFERROR(__xludf.DUMMYFUNCTION("""COMPUTED_VALUE"""),"Pocket")</f>
        <v>Pocket</v>
      </c>
      <c r="AZ1219" s="97"/>
      <c r="BA1219" s="97"/>
      <c r="BB1219" s="97"/>
      <c r="BC1219" s="97"/>
      <c r="BD1219" s="97" t="str">
        <f>IFERROR(__xludf.DUMMYFUNCTION("""COMPUTED_VALUE"""),"POCKET III")</f>
        <v>POCKET III</v>
      </c>
      <c r="BE1219" s="97" t="str">
        <f>IFERROR(__xludf.DUMMYFUNCTION("""COMPUTED_VALUE"""),"Falta TR")</f>
        <v>Falta TR</v>
      </c>
      <c r="BF1219" s="97">
        <f>IFERROR(__xludf.DUMMYFUNCTION("""COMPUTED_VALUE"""),7723.0)</f>
        <v>7723</v>
      </c>
      <c r="BG1219" s="97" t="str">
        <f>IFERROR(__xludf.DUMMYFUNCTION("""COMPUTED_VALUE"""),"En Salida")</f>
        <v>En Salida</v>
      </c>
    </row>
    <row r="1220">
      <c r="A1220" s="97">
        <f>IFERROR(__xludf.DUMMYFUNCTION("""COMPUTED_VALUE"""),7180.0)</f>
        <v>7180</v>
      </c>
      <c r="B1220" s="97" t="str">
        <f>IFERROR(__xludf.DUMMYFUNCTION("""COMPUTED_VALUE"""),"POCKET III BLNG 2700K")</f>
        <v>POCKET III BLNG 2700K</v>
      </c>
      <c r="C1220" s="97" t="str">
        <f>IFERROR(__xludf.DUMMYFUNCTION("""COMPUTED_VALUE"""),"EMPOTRABLE POCKET III BLNG 2700K 5W 2700K 305LM CRI&gt;90 IP20 LEUK")</f>
        <v>EMPOTRABLE POCKET III BLNG 2700K 5W 2700K 305LM CRI&gt;90 IP20 LEUK</v>
      </c>
      <c r="D1220" s="97">
        <f>IFERROR(__xludf.DUMMYFUNCTION("""COMPUTED_VALUE"""),7.798413227314E12)</f>
        <v>7798413227314</v>
      </c>
      <c r="E1220" s="97" t="str">
        <f>IFERROR(__xludf.DUMMYFUNCTION("""COMPUTED_VALUE"""),"F82")</f>
        <v>F82</v>
      </c>
      <c r="F1220" s="97" t="str">
        <f>IFERROR(__xludf.DUMMYFUNCTION("""COMPUTED_VALUE"""),"LED SMD")</f>
        <v>LED SMD</v>
      </c>
      <c r="G1220" s="97" t="str">
        <f>IFERROR(__xludf.DUMMYFUNCTION("""COMPUTED_VALUE"""),"Bridgelux")</f>
        <v>Bridgelux</v>
      </c>
      <c r="H1220" s="97" t="str">
        <f>IFERROR(__xludf.DUMMYFUNCTION("""COMPUTED_VALUE"""),"Eaglerise")</f>
        <v>Eaglerise</v>
      </c>
      <c r="I1220" s="97" t="str">
        <f>IFERROR(__xludf.DUMMYFUNCTION("""COMPUTED_VALUE"""),"Si")</f>
        <v>Si</v>
      </c>
      <c r="J1220" s="97" t="str">
        <f>IFERROR(__xludf.DUMMYFUNCTION("""COMPUTED_VALUE"""),"Modelo: LS-6-500 SI E
In: 220-240Vac 0.11A 50/60Hz
Out: 5-12Vdc 500mA 6W
Pf 0.5 Tc 50°C Ta 80°C")</f>
        <v>Modelo: LS-6-500 SI E
In: 220-240Vac 0.11A 50/60Hz
Out: 5-12Vdc 500mA 6W
Pf 0.5 Tc 50°C Ta 80°C</v>
      </c>
      <c r="K1220" s="97" t="str">
        <f>IFERROR(__xludf.DUMMYFUNCTION("""COMPUTED_VALUE"""),"ON/OFF")</f>
        <v>ON/OFF</v>
      </c>
      <c r="L1220" s="97" t="str">
        <f>IFERROR(__xludf.DUMMYFUNCTION("""COMPUTED_VALUE"""),"200-240")</f>
        <v>200-240</v>
      </c>
      <c r="M1220" s="97" t="str">
        <f>IFERROR(__xludf.DUMMYFUNCTION("""COMPUTED_VALUE"""),"50/60")</f>
        <v>50/60</v>
      </c>
      <c r="N1220" s="97" t="str">
        <f>IFERROR(__xludf.DUMMYFUNCTION("""COMPUTED_VALUE"""),"Directa")</f>
        <v>Directa</v>
      </c>
      <c r="O1220" s="97">
        <f>IFERROR(__xludf.DUMMYFUNCTION("""COMPUTED_VALUE"""),5.0)</f>
        <v>5</v>
      </c>
      <c r="P1220" s="97"/>
      <c r="Q1220" s="97">
        <f>IFERROR(__xludf.DUMMYFUNCTION("""COMPUTED_VALUE"""),0.5)</f>
        <v>0.5</v>
      </c>
      <c r="R1220" s="97" t="str">
        <f>IFERROR(__xludf.DUMMYFUNCTION("""COMPUTED_VALUE"""),"-")</f>
        <v>-</v>
      </c>
      <c r="S1220" s="97" t="str">
        <f>IFERROR(__xludf.DUMMYFUNCTION("""COMPUTED_VALUE"""),"-")</f>
        <v>-</v>
      </c>
      <c r="T1220" s="97">
        <f>IFERROR(__xludf.DUMMYFUNCTION("""COMPUTED_VALUE"""),305.0)</f>
        <v>305</v>
      </c>
      <c r="U1220" s="97">
        <f>IFERROR(__xludf.DUMMYFUNCTION("""COMPUTED_VALUE"""),61.0)</f>
        <v>61</v>
      </c>
      <c r="V1220" s="97">
        <f>IFERROR(__xludf.DUMMYFUNCTION("""COMPUTED_VALUE"""),36.0)</f>
        <v>36</v>
      </c>
      <c r="W1220" s="97" t="str">
        <f>IFERROR(__xludf.DUMMYFUNCTION("""COMPUTED_VALUE"""),"&lt; 14")</f>
        <v>&lt; 14</v>
      </c>
      <c r="X1220" s="97">
        <f>IFERROR(__xludf.DUMMYFUNCTION("""COMPUTED_VALUE"""),2700.0)</f>
        <v>2700</v>
      </c>
      <c r="Y1220" s="97" t="str">
        <f>IFERROR(__xludf.DUMMYFUNCTION("""COMPUTED_VALUE"""),"&gt;90")</f>
        <v>&gt;90</v>
      </c>
      <c r="Z1220" s="97"/>
      <c r="AA1220" s="97"/>
      <c r="AB1220" s="97" t="str">
        <f>IFERROR(__xludf.DUMMYFUNCTION("""COMPUTED_VALUE"""),"&lt; 5")</f>
        <v>&lt; 5</v>
      </c>
      <c r="AC1220" s="97"/>
      <c r="AD1220" s="97" t="str">
        <f>IFERROR(__xludf.DUMMYFUNCTION("""COMPUTED_VALUE"""),"IP20")</f>
        <v>IP20</v>
      </c>
      <c r="AE1220" s="97" t="str">
        <f>IFERROR(__xludf.DUMMYFUNCTION("""COMPUTED_VALUE"""),"Clase l")</f>
        <v>Clase l</v>
      </c>
      <c r="AF1220" s="97" t="str">
        <f>IFERROR(__xludf.DUMMYFUNCTION("""COMPUTED_VALUE"""),"Embutir")</f>
        <v>Embutir</v>
      </c>
      <c r="AG1220" s="97" t="str">
        <f>IFERROR(__xludf.DUMMYFUNCTION("""COMPUTED_VALUE"""),"69 x 31 x 40")</f>
        <v>69 x 31 x 40</v>
      </c>
      <c r="AH1220" s="97" t="str">
        <f>IFERROR(__xludf.DUMMYFUNCTION("""COMPUTED_VALUE"""),"65 x 27")</f>
        <v>65 x 27</v>
      </c>
      <c r="AI1220" s="97">
        <f>IFERROR(__xludf.DUMMYFUNCTION("""COMPUTED_VALUE"""),55.0)</f>
        <v>55</v>
      </c>
      <c r="AJ1220" s="97" t="str">
        <f>IFERROR(__xludf.DUMMYFUNCTION("""COMPUTED_VALUE"""),"Policarbonato (PC)")</f>
        <v>Policarbonato (PC)</v>
      </c>
      <c r="AK1220" s="97" t="str">
        <f>IFERROR(__xludf.DUMMYFUNCTION("""COMPUTED_VALUE"""),"Aluminio")</f>
        <v>Aluminio</v>
      </c>
      <c r="AL1220" s="97" t="str">
        <f>IFERROR(__xludf.DUMMYFUNCTION("""COMPUTED_VALUE"""),"Blanco y Negro")</f>
        <v>Blanco y Negro</v>
      </c>
      <c r="AM1220" s="97" t="str">
        <f>IFERROR(__xludf.DUMMYFUNCTION("""COMPUTED_VALUE"""),"-")</f>
        <v>-</v>
      </c>
      <c r="AN1220" s="97" t="str">
        <f>IFERROR(__xludf.DUMMYFUNCTION("""COMPUTED_VALUE"""),"40.000hs (L70)")</f>
        <v>40.000hs (L70)</v>
      </c>
      <c r="AO1220" s="97" t="str">
        <f>IFERROR(__xludf.DUMMYFUNCTION("""COMPUTED_VALUE"""),"4 Años")</f>
        <v>4 Años</v>
      </c>
      <c r="AP1220" s="97" t="str">
        <f>IFERROR(__xludf.DUMMYFUNCTION("""COMPUTED_VALUE"""),"Falta")</f>
        <v>Falta</v>
      </c>
      <c r="AQ1220" s="97" t="str">
        <f>IFERROR(__xludf.DUMMYFUNCTION("""COMPUTED_VALUE"""),"Falta")</f>
        <v>Falta</v>
      </c>
      <c r="AR1220" s="97" t="str">
        <f>IFERROR(__xludf.DUMMYFUNCTION("""COMPUTED_VALUE"""),"En revisión")</f>
        <v>En revisión</v>
      </c>
      <c r="AS1220" s="97" t="str">
        <f>IFERROR(__xludf.DUMMYFUNCTION("""COMPUTED_VALUE"""),"Falta")</f>
        <v>Falta</v>
      </c>
      <c r="AT1220" s="97" t="str">
        <f>IFERROR(__xludf.DUMMYFUNCTION("""COMPUTED_VALUE"""),"Falta")</f>
        <v>Falta</v>
      </c>
      <c r="AU1220" s="97" t="str">
        <f>IFERROR(__xludf.DUMMYFUNCTION("""COMPUTED_VALUE"""),"Falta")</f>
        <v>Falta</v>
      </c>
      <c r="AV1220" s="97" t="str">
        <f>IFERROR(__xludf.DUMMYFUNCTION("""COMPUTED_VALUE"""),"Empotrable")</f>
        <v>Empotrable</v>
      </c>
      <c r="AW1220" s="97" t="str">
        <f>IFERROR(__xludf.DUMMYFUNCTION("""COMPUTED_VALUE"""),"De Techo")</f>
        <v>De Techo</v>
      </c>
      <c r="AX1220" s="97" t="str">
        <f>IFERROR(__xludf.DUMMYFUNCTION("""COMPUTED_VALUE"""),"Interior")</f>
        <v>Interior</v>
      </c>
      <c r="AY1220" s="97" t="str">
        <f>IFERROR(__xludf.DUMMYFUNCTION("""COMPUTED_VALUE"""),"Pocket")</f>
        <v>Pocket</v>
      </c>
      <c r="AZ1220" s="97"/>
      <c r="BA1220" s="97"/>
      <c r="BB1220" s="97"/>
      <c r="BC1220" s="97"/>
      <c r="BD1220" s="97" t="str">
        <f>IFERROR(__xludf.DUMMYFUNCTION("""COMPUTED_VALUE"""),"POCKET III")</f>
        <v>POCKET III</v>
      </c>
      <c r="BE1220" s="97" t="str">
        <f>IFERROR(__xludf.DUMMYFUNCTION("""COMPUTED_VALUE"""),"Falta TR")</f>
        <v>Falta TR</v>
      </c>
      <c r="BF1220" s="97">
        <f>IFERROR(__xludf.DUMMYFUNCTION("""COMPUTED_VALUE"""),7724.0)</f>
        <v>7724</v>
      </c>
      <c r="BG1220" s="97" t="str">
        <f>IFERROR(__xludf.DUMMYFUNCTION("""COMPUTED_VALUE"""),"En Salida")</f>
        <v>En Salida</v>
      </c>
    </row>
    <row r="1221">
      <c r="A1221" s="97">
        <f>IFERROR(__xludf.DUMMYFUNCTION("""COMPUTED_VALUE"""),7181.0)</f>
        <v>7181</v>
      </c>
      <c r="B1221" s="97" t="str">
        <f>IFERROR(__xludf.DUMMYFUNCTION("""COMPUTED_VALUE"""),"POCKET III BLNG 3000K")</f>
        <v>POCKET III BLNG 3000K</v>
      </c>
      <c r="C1221" s="97" t="str">
        <f>IFERROR(__xludf.DUMMYFUNCTION("""COMPUTED_VALUE"""),"EMPOTRABLE POCKET III BLNG 3000K 5W 3000K 305LM CRI&gt;90 IP20 LEUK")</f>
        <v>EMPOTRABLE POCKET III BLNG 3000K 5W 3000K 305LM CRI&gt;90 IP20 LEUK</v>
      </c>
      <c r="D1221" s="97">
        <f>IFERROR(__xludf.DUMMYFUNCTION("""COMPUTED_VALUE"""),7.798413227321E12)</f>
        <v>7798413227321</v>
      </c>
      <c r="E1221" s="97" t="str">
        <f>IFERROR(__xludf.DUMMYFUNCTION("""COMPUTED_VALUE"""),"F82")</f>
        <v>F82</v>
      </c>
      <c r="F1221" s="97" t="str">
        <f>IFERROR(__xludf.DUMMYFUNCTION("""COMPUTED_VALUE"""),"LED SMD")</f>
        <v>LED SMD</v>
      </c>
      <c r="G1221" s="97" t="str">
        <f>IFERROR(__xludf.DUMMYFUNCTION("""COMPUTED_VALUE"""),"Bridgelux")</f>
        <v>Bridgelux</v>
      </c>
      <c r="H1221" s="97" t="str">
        <f>IFERROR(__xludf.DUMMYFUNCTION("""COMPUTED_VALUE"""),"Eaglerise")</f>
        <v>Eaglerise</v>
      </c>
      <c r="I1221" s="97" t="str">
        <f>IFERROR(__xludf.DUMMYFUNCTION("""COMPUTED_VALUE"""),"Si")</f>
        <v>Si</v>
      </c>
      <c r="J1221" s="97" t="str">
        <f>IFERROR(__xludf.DUMMYFUNCTION("""COMPUTED_VALUE"""),"Modelo: LS-6-500 SI E
In: 220-240Vac 0.11A 50/60Hz
Out: 5-12Vdc 500mA 6W
Pf 0.5 Tc 50°C Ta 80°C")</f>
        <v>Modelo: LS-6-500 SI E
In: 220-240Vac 0.11A 50/60Hz
Out: 5-12Vdc 500mA 6W
Pf 0.5 Tc 50°C Ta 80°C</v>
      </c>
      <c r="K1221" s="97" t="str">
        <f>IFERROR(__xludf.DUMMYFUNCTION("""COMPUTED_VALUE"""),"ON/OFF")</f>
        <v>ON/OFF</v>
      </c>
      <c r="L1221" s="97" t="str">
        <f>IFERROR(__xludf.DUMMYFUNCTION("""COMPUTED_VALUE"""),"200-240")</f>
        <v>200-240</v>
      </c>
      <c r="M1221" s="97" t="str">
        <f>IFERROR(__xludf.DUMMYFUNCTION("""COMPUTED_VALUE"""),"50/60")</f>
        <v>50/60</v>
      </c>
      <c r="N1221" s="97" t="str">
        <f>IFERROR(__xludf.DUMMYFUNCTION("""COMPUTED_VALUE"""),"Directa")</f>
        <v>Directa</v>
      </c>
      <c r="O1221" s="97">
        <f>IFERROR(__xludf.DUMMYFUNCTION("""COMPUTED_VALUE"""),5.0)</f>
        <v>5</v>
      </c>
      <c r="P1221" s="97"/>
      <c r="Q1221" s="97">
        <f>IFERROR(__xludf.DUMMYFUNCTION("""COMPUTED_VALUE"""),0.5)</f>
        <v>0.5</v>
      </c>
      <c r="R1221" s="97" t="str">
        <f>IFERROR(__xludf.DUMMYFUNCTION("""COMPUTED_VALUE"""),"-")</f>
        <v>-</v>
      </c>
      <c r="S1221" s="97" t="str">
        <f>IFERROR(__xludf.DUMMYFUNCTION("""COMPUTED_VALUE"""),"-")</f>
        <v>-</v>
      </c>
      <c r="T1221" s="97">
        <f>IFERROR(__xludf.DUMMYFUNCTION("""COMPUTED_VALUE"""),305.0)</f>
        <v>305</v>
      </c>
      <c r="U1221" s="97">
        <f>IFERROR(__xludf.DUMMYFUNCTION("""COMPUTED_VALUE"""),61.0)</f>
        <v>61</v>
      </c>
      <c r="V1221" s="97">
        <f>IFERROR(__xludf.DUMMYFUNCTION("""COMPUTED_VALUE"""),36.0)</f>
        <v>36</v>
      </c>
      <c r="W1221" s="97" t="str">
        <f>IFERROR(__xludf.DUMMYFUNCTION("""COMPUTED_VALUE"""),"&lt; 14")</f>
        <v>&lt; 14</v>
      </c>
      <c r="X1221" s="97">
        <f>IFERROR(__xludf.DUMMYFUNCTION("""COMPUTED_VALUE"""),3000.0)</f>
        <v>3000</v>
      </c>
      <c r="Y1221" s="97" t="str">
        <f>IFERROR(__xludf.DUMMYFUNCTION("""COMPUTED_VALUE"""),"&gt;90")</f>
        <v>&gt;90</v>
      </c>
      <c r="Z1221" s="97"/>
      <c r="AA1221" s="97"/>
      <c r="AB1221" s="97" t="str">
        <f>IFERROR(__xludf.DUMMYFUNCTION("""COMPUTED_VALUE"""),"&lt; 5")</f>
        <v>&lt; 5</v>
      </c>
      <c r="AC1221" s="97"/>
      <c r="AD1221" s="97" t="str">
        <f>IFERROR(__xludf.DUMMYFUNCTION("""COMPUTED_VALUE"""),"IP20")</f>
        <v>IP20</v>
      </c>
      <c r="AE1221" s="97" t="str">
        <f>IFERROR(__xludf.DUMMYFUNCTION("""COMPUTED_VALUE"""),"Clase l")</f>
        <v>Clase l</v>
      </c>
      <c r="AF1221" s="97" t="str">
        <f>IFERROR(__xludf.DUMMYFUNCTION("""COMPUTED_VALUE"""),"Embutir")</f>
        <v>Embutir</v>
      </c>
      <c r="AG1221" s="97" t="str">
        <f>IFERROR(__xludf.DUMMYFUNCTION("""COMPUTED_VALUE"""),"69 x 31 x 40")</f>
        <v>69 x 31 x 40</v>
      </c>
      <c r="AH1221" s="97" t="str">
        <f>IFERROR(__xludf.DUMMYFUNCTION("""COMPUTED_VALUE"""),"65 x 27")</f>
        <v>65 x 27</v>
      </c>
      <c r="AI1221" s="97">
        <f>IFERROR(__xludf.DUMMYFUNCTION("""COMPUTED_VALUE"""),55.0)</f>
        <v>55</v>
      </c>
      <c r="AJ1221" s="97" t="str">
        <f>IFERROR(__xludf.DUMMYFUNCTION("""COMPUTED_VALUE"""),"Policarbonato (PC)")</f>
        <v>Policarbonato (PC)</v>
      </c>
      <c r="AK1221" s="97" t="str">
        <f>IFERROR(__xludf.DUMMYFUNCTION("""COMPUTED_VALUE"""),"Aluminio")</f>
        <v>Aluminio</v>
      </c>
      <c r="AL1221" s="97" t="str">
        <f>IFERROR(__xludf.DUMMYFUNCTION("""COMPUTED_VALUE"""),"Blanco y Negro")</f>
        <v>Blanco y Negro</v>
      </c>
      <c r="AM1221" s="97" t="str">
        <f>IFERROR(__xludf.DUMMYFUNCTION("""COMPUTED_VALUE"""),"-")</f>
        <v>-</v>
      </c>
      <c r="AN1221" s="97" t="str">
        <f>IFERROR(__xludf.DUMMYFUNCTION("""COMPUTED_VALUE"""),"40.000hs (L70)")</f>
        <v>40.000hs (L70)</v>
      </c>
      <c r="AO1221" s="97" t="str">
        <f>IFERROR(__xludf.DUMMYFUNCTION("""COMPUTED_VALUE"""),"4 Años")</f>
        <v>4 Años</v>
      </c>
      <c r="AP1221" s="97" t="str">
        <f>IFERROR(__xludf.DUMMYFUNCTION("""COMPUTED_VALUE"""),"Falta")</f>
        <v>Falta</v>
      </c>
      <c r="AQ1221" s="97" t="str">
        <f>IFERROR(__xludf.DUMMYFUNCTION("""COMPUTED_VALUE"""),"Falta")</f>
        <v>Falta</v>
      </c>
      <c r="AR1221" s="97" t="str">
        <f>IFERROR(__xludf.DUMMYFUNCTION("""COMPUTED_VALUE"""),"En revisión")</f>
        <v>En revisión</v>
      </c>
      <c r="AS1221" s="97" t="str">
        <f>IFERROR(__xludf.DUMMYFUNCTION("""COMPUTED_VALUE"""),"Falta")</f>
        <v>Falta</v>
      </c>
      <c r="AT1221" s="97" t="str">
        <f>IFERROR(__xludf.DUMMYFUNCTION("""COMPUTED_VALUE"""),"Falta")</f>
        <v>Falta</v>
      </c>
      <c r="AU1221" s="97" t="str">
        <f>IFERROR(__xludf.DUMMYFUNCTION("""COMPUTED_VALUE"""),"Falta")</f>
        <v>Falta</v>
      </c>
      <c r="AV1221" s="97" t="str">
        <f>IFERROR(__xludf.DUMMYFUNCTION("""COMPUTED_VALUE"""),"Empotrable")</f>
        <v>Empotrable</v>
      </c>
      <c r="AW1221" s="97" t="str">
        <f>IFERROR(__xludf.DUMMYFUNCTION("""COMPUTED_VALUE"""),"De Techo")</f>
        <v>De Techo</v>
      </c>
      <c r="AX1221" s="97" t="str">
        <f>IFERROR(__xludf.DUMMYFUNCTION("""COMPUTED_VALUE"""),"Interior")</f>
        <v>Interior</v>
      </c>
      <c r="AY1221" s="97" t="str">
        <f>IFERROR(__xludf.DUMMYFUNCTION("""COMPUTED_VALUE"""),"Pocket")</f>
        <v>Pocket</v>
      </c>
      <c r="AZ1221" s="97"/>
      <c r="BA1221" s="97"/>
      <c r="BB1221" s="97"/>
      <c r="BC1221" s="97"/>
      <c r="BD1221" s="97" t="str">
        <f>IFERROR(__xludf.DUMMYFUNCTION("""COMPUTED_VALUE"""),"POCKET III")</f>
        <v>POCKET III</v>
      </c>
      <c r="BE1221" s="97" t="str">
        <f>IFERROR(__xludf.DUMMYFUNCTION("""COMPUTED_VALUE"""),"Falta TR")</f>
        <v>Falta TR</v>
      </c>
      <c r="BF1221" s="97">
        <f>IFERROR(__xludf.DUMMYFUNCTION("""COMPUTED_VALUE"""),7724.0)</f>
        <v>7724</v>
      </c>
      <c r="BG1221" s="97" t="str">
        <f>IFERROR(__xludf.DUMMYFUNCTION("""COMPUTED_VALUE"""),"En Salida")</f>
        <v>En Salida</v>
      </c>
    </row>
    <row r="1222">
      <c r="A1222" s="97">
        <f>IFERROR(__xludf.DUMMYFUNCTION("""COMPUTED_VALUE"""),7182.0)</f>
        <v>7182</v>
      </c>
      <c r="B1222" s="97" t="str">
        <f>IFERROR(__xludf.DUMMYFUNCTION("""COMPUTED_VALUE"""),"POCKET IV BLBL 2700K")</f>
        <v>POCKET IV BLBL 2700K</v>
      </c>
      <c r="C1222" s="97" t="str">
        <f>IFERROR(__xludf.DUMMYFUNCTION("""COMPUTED_VALUE"""),"EMPOTRABLE POCKET IV BLBL 2700K 7W 2700K 480LM CRI&gt;90 IP20 LEUK")</f>
        <v>EMPOTRABLE POCKET IV BLBL 2700K 7W 2700K 480LM CRI&gt;90 IP20 LEUK</v>
      </c>
      <c r="D1222" s="97">
        <f>IFERROR(__xludf.DUMMYFUNCTION("""COMPUTED_VALUE"""),7.798413227338E12)</f>
        <v>7798413227338</v>
      </c>
      <c r="E1222" s="97" t="str">
        <f>IFERROR(__xludf.DUMMYFUNCTION("""COMPUTED_VALUE"""),"F75")</f>
        <v>F75</v>
      </c>
      <c r="F1222" s="97" t="str">
        <f>IFERROR(__xludf.DUMMYFUNCTION("""COMPUTED_VALUE"""),"LED SMD")</f>
        <v>LED SMD</v>
      </c>
      <c r="G1222" s="97" t="str">
        <f>IFERROR(__xludf.DUMMYFUNCTION("""COMPUTED_VALUE"""),"Bridgelux")</f>
        <v>Bridgelux</v>
      </c>
      <c r="H1222" s="97" t="str">
        <f>IFERROR(__xludf.DUMMYFUNCTION("""COMPUTED_VALUE"""),"Eaglerise")</f>
        <v>Eaglerise</v>
      </c>
      <c r="I1222" s="97" t="str">
        <f>IFERROR(__xludf.DUMMYFUNCTION("""COMPUTED_VALUE"""),"Si")</f>
        <v>Si</v>
      </c>
      <c r="J1222" s="97" t="str">
        <f>IFERROR(__xludf.DUMMYFUNCTION("""COMPUTED_VALUE"""),"Modelo: LS-6-500 SI E
In: 220-240Vac 0.11A 50/60Hz
Out: 5-12Vdc 500mA 6W
Pf 0.5 Tc 50°C Ta 80°C")</f>
        <v>Modelo: LS-6-500 SI E
In: 220-240Vac 0.11A 50/60Hz
Out: 5-12Vdc 500mA 6W
Pf 0.5 Tc 50°C Ta 80°C</v>
      </c>
      <c r="K1222" s="97" t="str">
        <f>IFERROR(__xludf.DUMMYFUNCTION("""COMPUTED_VALUE"""),"ON/OFF")</f>
        <v>ON/OFF</v>
      </c>
      <c r="L1222" s="97" t="str">
        <f>IFERROR(__xludf.DUMMYFUNCTION("""COMPUTED_VALUE"""),"200-240")</f>
        <v>200-240</v>
      </c>
      <c r="M1222" s="97" t="str">
        <f>IFERROR(__xludf.DUMMYFUNCTION("""COMPUTED_VALUE"""),"50/60")</f>
        <v>50/60</v>
      </c>
      <c r="N1222" s="97" t="str">
        <f>IFERROR(__xludf.DUMMYFUNCTION("""COMPUTED_VALUE"""),"Directa")</f>
        <v>Directa</v>
      </c>
      <c r="O1222" s="97">
        <f>IFERROR(__xludf.DUMMYFUNCTION("""COMPUTED_VALUE"""),7.0)</f>
        <v>7</v>
      </c>
      <c r="P1222" s="97"/>
      <c r="Q1222" s="97">
        <f>IFERROR(__xludf.DUMMYFUNCTION("""COMPUTED_VALUE"""),0.5)</f>
        <v>0.5</v>
      </c>
      <c r="R1222" s="97" t="str">
        <f>IFERROR(__xludf.DUMMYFUNCTION("""COMPUTED_VALUE"""),"-")</f>
        <v>-</v>
      </c>
      <c r="S1222" s="97" t="str">
        <f>IFERROR(__xludf.DUMMYFUNCTION("""COMPUTED_VALUE"""),"-")</f>
        <v>-</v>
      </c>
      <c r="T1222" s="97">
        <f>IFERROR(__xludf.DUMMYFUNCTION("""COMPUTED_VALUE"""),480.0)</f>
        <v>480</v>
      </c>
      <c r="U1222" s="99">
        <f>IFERROR(__xludf.DUMMYFUNCTION("""COMPUTED_VALUE"""),68.57142857142857)</f>
        <v>68.57142857</v>
      </c>
      <c r="V1222" s="97">
        <f>IFERROR(__xludf.DUMMYFUNCTION("""COMPUTED_VALUE"""),36.0)</f>
        <v>36</v>
      </c>
      <c r="W1222" s="97" t="str">
        <f>IFERROR(__xludf.DUMMYFUNCTION("""COMPUTED_VALUE"""),"&lt; 14")</f>
        <v>&lt; 14</v>
      </c>
      <c r="X1222" s="97">
        <f>IFERROR(__xludf.DUMMYFUNCTION("""COMPUTED_VALUE"""),2700.0)</f>
        <v>2700</v>
      </c>
      <c r="Y1222" s="97" t="str">
        <f>IFERROR(__xludf.DUMMYFUNCTION("""COMPUTED_VALUE"""),"&gt;90")</f>
        <v>&gt;90</v>
      </c>
      <c r="Z1222" s="97"/>
      <c r="AA1222" s="97"/>
      <c r="AB1222" s="97" t="str">
        <f>IFERROR(__xludf.DUMMYFUNCTION("""COMPUTED_VALUE"""),"&lt; 5")</f>
        <v>&lt; 5</v>
      </c>
      <c r="AC1222" s="97"/>
      <c r="AD1222" s="97" t="str">
        <f>IFERROR(__xludf.DUMMYFUNCTION("""COMPUTED_VALUE"""),"IP20")</f>
        <v>IP20</v>
      </c>
      <c r="AE1222" s="97" t="str">
        <f>IFERROR(__xludf.DUMMYFUNCTION("""COMPUTED_VALUE"""),"Clase l")</f>
        <v>Clase l</v>
      </c>
      <c r="AF1222" s="97" t="str">
        <f>IFERROR(__xludf.DUMMYFUNCTION("""COMPUTED_VALUE"""),"Embutir")</f>
        <v>Embutir</v>
      </c>
      <c r="AG1222" s="97" t="str">
        <f>IFERROR(__xludf.DUMMYFUNCTION("""COMPUTED_VALUE"""),"52 x 52 x 40")</f>
        <v>52 x 52 x 40</v>
      </c>
      <c r="AH1222" s="97" t="str">
        <f>IFERROR(__xludf.DUMMYFUNCTION("""COMPUTED_VALUE"""),"48 x 48")</f>
        <v>48 x 48</v>
      </c>
      <c r="AI1222" s="97">
        <f>IFERROR(__xludf.DUMMYFUNCTION("""COMPUTED_VALUE"""),55.0)</f>
        <v>55</v>
      </c>
      <c r="AJ1222" s="97" t="str">
        <f>IFERROR(__xludf.DUMMYFUNCTION("""COMPUTED_VALUE"""),"Policarbonato (PC)")</f>
        <v>Policarbonato (PC)</v>
      </c>
      <c r="AK1222" s="97" t="str">
        <f>IFERROR(__xludf.DUMMYFUNCTION("""COMPUTED_VALUE"""),"Aluminio")</f>
        <v>Aluminio</v>
      </c>
      <c r="AL1222" s="97" t="str">
        <f>IFERROR(__xludf.DUMMYFUNCTION("""COMPUTED_VALUE"""),"Blanco Satinado")</f>
        <v>Blanco Satinado</v>
      </c>
      <c r="AM1222" s="97" t="str">
        <f>IFERROR(__xludf.DUMMYFUNCTION("""COMPUTED_VALUE"""),"-")</f>
        <v>-</v>
      </c>
      <c r="AN1222" s="97" t="str">
        <f>IFERROR(__xludf.DUMMYFUNCTION("""COMPUTED_VALUE"""),"40.000hs (L70)")</f>
        <v>40.000hs (L70)</v>
      </c>
      <c r="AO1222" s="97" t="str">
        <f>IFERROR(__xludf.DUMMYFUNCTION("""COMPUTED_VALUE"""),"4 Años")</f>
        <v>4 Años</v>
      </c>
      <c r="AP1222" s="97" t="str">
        <f>IFERROR(__xludf.DUMMYFUNCTION("""COMPUTED_VALUE"""),"Falta")</f>
        <v>Falta</v>
      </c>
      <c r="AQ1222" s="97" t="str">
        <f>IFERROR(__xludf.DUMMYFUNCTION("""COMPUTED_VALUE"""),"Falta")</f>
        <v>Falta</v>
      </c>
      <c r="AR1222" s="97" t="str">
        <f>IFERROR(__xludf.DUMMYFUNCTION("""COMPUTED_VALUE"""),"En revisión")</f>
        <v>En revisión</v>
      </c>
      <c r="AS1222" s="97" t="str">
        <f>IFERROR(__xludf.DUMMYFUNCTION("""COMPUTED_VALUE"""),"Falta")</f>
        <v>Falta</v>
      </c>
      <c r="AT1222" s="97" t="str">
        <f>IFERROR(__xludf.DUMMYFUNCTION("""COMPUTED_VALUE"""),"Falta")</f>
        <v>Falta</v>
      </c>
      <c r="AU1222" s="97" t="str">
        <f>IFERROR(__xludf.DUMMYFUNCTION("""COMPUTED_VALUE"""),"Falta")</f>
        <v>Falta</v>
      </c>
      <c r="AV1222" s="97" t="str">
        <f>IFERROR(__xludf.DUMMYFUNCTION("""COMPUTED_VALUE"""),"Empotrable")</f>
        <v>Empotrable</v>
      </c>
      <c r="AW1222" s="97" t="str">
        <f>IFERROR(__xludf.DUMMYFUNCTION("""COMPUTED_VALUE"""),"De Techo")</f>
        <v>De Techo</v>
      </c>
      <c r="AX1222" s="97" t="str">
        <f>IFERROR(__xludf.DUMMYFUNCTION("""COMPUTED_VALUE"""),"Interior")</f>
        <v>Interior</v>
      </c>
      <c r="AY1222" s="97" t="str">
        <f>IFERROR(__xludf.DUMMYFUNCTION("""COMPUTED_VALUE"""),"Pocket")</f>
        <v>Pocket</v>
      </c>
      <c r="AZ1222" s="97"/>
      <c r="BA1222" s="97"/>
      <c r="BB1222" s="97"/>
      <c r="BC1222" s="97"/>
      <c r="BD1222" s="97" t="str">
        <f>IFERROR(__xludf.DUMMYFUNCTION("""COMPUTED_VALUE"""),"POCKET IV")</f>
        <v>POCKET IV</v>
      </c>
      <c r="BE1222" s="97" t="str">
        <f>IFERROR(__xludf.DUMMYFUNCTION("""COMPUTED_VALUE"""),"Falta TR")</f>
        <v>Falta TR</v>
      </c>
      <c r="BF1222" s="97">
        <f>IFERROR(__xludf.DUMMYFUNCTION("""COMPUTED_VALUE"""),7726.0)</f>
        <v>7726</v>
      </c>
      <c r="BG1222" s="97" t="str">
        <f>IFERROR(__xludf.DUMMYFUNCTION("""COMPUTED_VALUE"""),"En Salida")</f>
        <v>En Salida</v>
      </c>
    </row>
    <row r="1223">
      <c r="A1223" s="97">
        <f>IFERROR(__xludf.DUMMYFUNCTION("""COMPUTED_VALUE"""),7183.0)</f>
        <v>7183</v>
      </c>
      <c r="B1223" s="97" t="str">
        <f>IFERROR(__xludf.DUMMYFUNCTION("""COMPUTED_VALUE"""),"POCKET IV BLNG 2700K")</f>
        <v>POCKET IV BLNG 2700K</v>
      </c>
      <c r="C1223" s="97" t="str">
        <f>IFERROR(__xludf.DUMMYFUNCTION("""COMPUTED_VALUE"""),"EMPOTRABLE POCKET IV BLNG 2700K 7W 2700K 480LM CRI&gt;90 IP20 LEUK")</f>
        <v>EMPOTRABLE POCKET IV BLNG 2700K 7W 2700K 480LM CRI&gt;90 IP20 LEUK</v>
      </c>
      <c r="D1223" s="97">
        <f>IFERROR(__xludf.DUMMYFUNCTION("""COMPUTED_VALUE"""),7.798413227345E12)</f>
        <v>7798413227345</v>
      </c>
      <c r="E1223" s="97" t="str">
        <f>IFERROR(__xludf.DUMMYFUNCTION("""COMPUTED_VALUE"""),"F75")</f>
        <v>F75</v>
      </c>
      <c r="F1223" s="97" t="str">
        <f>IFERROR(__xludf.DUMMYFUNCTION("""COMPUTED_VALUE"""),"LED SMD")</f>
        <v>LED SMD</v>
      </c>
      <c r="G1223" s="97" t="str">
        <f>IFERROR(__xludf.DUMMYFUNCTION("""COMPUTED_VALUE"""),"Bridgelux")</f>
        <v>Bridgelux</v>
      </c>
      <c r="H1223" s="97" t="str">
        <f>IFERROR(__xludf.DUMMYFUNCTION("""COMPUTED_VALUE"""),"Eaglerise")</f>
        <v>Eaglerise</v>
      </c>
      <c r="I1223" s="97" t="str">
        <f>IFERROR(__xludf.DUMMYFUNCTION("""COMPUTED_VALUE"""),"Si")</f>
        <v>Si</v>
      </c>
      <c r="J1223" s="97" t="str">
        <f>IFERROR(__xludf.DUMMYFUNCTION("""COMPUTED_VALUE"""),"Modelo: LS-6-500 SI E
In: 220-240Vac 0.11A 50/60Hz
Out: 5-12Vdc 500mA 6W
Pf 0.5 Tc 50°C Ta 80°C")</f>
        <v>Modelo: LS-6-500 SI E
In: 220-240Vac 0.11A 50/60Hz
Out: 5-12Vdc 500mA 6W
Pf 0.5 Tc 50°C Ta 80°C</v>
      </c>
      <c r="K1223" s="97" t="str">
        <f>IFERROR(__xludf.DUMMYFUNCTION("""COMPUTED_VALUE"""),"ON/OFF")</f>
        <v>ON/OFF</v>
      </c>
      <c r="L1223" s="97" t="str">
        <f>IFERROR(__xludf.DUMMYFUNCTION("""COMPUTED_VALUE"""),"200-240")</f>
        <v>200-240</v>
      </c>
      <c r="M1223" s="97" t="str">
        <f>IFERROR(__xludf.DUMMYFUNCTION("""COMPUTED_VALUE"""),"50/60")</f>
        <v>50/60</v>
      </c>
      <c r="N1223" s="97" t="str">
        <f>IFERROR(__xludf.DUMMYFUNCTION("""COMPUTED_VALUE"""),"Directa")</f>
        <v>Directa</v>
      </c>
      <c r="O1223" s="97">
        <f>IFERROR(__xludf.DUMMYFUNCTION("""COMPUTED_VALUE"""),7.0)</f>
        <v>7</v>
      </c>
      <c r="P1223" s="97"/>
      <c r="Q1223" s="97">
        <f>IFERROR(__xludf.DUMMYFUNCTION("""COMPUTED_VALUE"""),0.5)</f>
        <v>0.5</v>
      </c>
      <c r="R1223" s="97" t="str">
        <f>IFERROR(__xludf.DUMMYFUNCTION("""COMPUTED_VALUE"""),"-")</f>
        <v>-</v>
      </c>
      <c r="S1223" s="97" t="str">
        <f>IFERROR(__xludf.DUMMYFUNCTION("""COMPUTED_VALUE"""),"-")</f>
        <v>-</v>
      </c>
      <c r="T1223" s="97">
        <f>IFERROR(__xludf.DUMMYFUNCTION("""COMPUTED_VALUE"""),480.0)</f>
        <v>480</v>
      </c>
      <c r="U1223" s="99">
        <f>IFERROR(__xludf.DUMMYFUNCTION("""COMPUTED_VALUE"""),68.57142857142857)</f>
        <v>68.57142857</v>
      </c>
      <c r="V1223" s="97">
        <f>IFERROR(__xludf.DUMMYFUNCTION("""COMPUTED_VALUE"""),36.0)</f>
        <v>36</v>
      </c>
      <c r="W1223" s="97" t="str">
        <f>IFERROR(__xludf.DUMMYFUNCTION("""COMPUTED_VALUE"""),"&lt; 14")</f>
        <v>&lt; 14</v>
      </c>
      <c r="X1223" s="97">
        <f>IFERROR(__xludf.DUMMYFUNCTION("""COMPUTED_VALUE"""),2700.0)</f>
        <v>2700</v>
      </c>
      <c r="Y1223" s="97" t="str">
        <f>IFERROR(__xludf.DUMMYFUNCTION("""COMPUTED_VALUE"""),"&gt;90")</f>
        <v>&gt;90</v>
      </c>
      <c r="Z1223" s="97"/>
      <c r="AA1223" s="97"/>
      <c r="AB1223" s="97" t="str">
        <f>IFERROR(__xludf.DUMMYFUNCTION("""COMPUTED_VALUE"""),"&lt; 5")</f>
        <v>&lt; 5</v>
      </c>
      <c r="AC1223" s="97"/>
      <c r="AD1223" s="97" t="str">
        <f>IFERROR(__xludf.DUMMYFUNCTION("""COMPUTED_VALUE"""),"IP20")</f>
        <v>IP20</v>
      </c>
      <c r="AE1223" s="97" t="str">
        <f>IFERROR(__xludf.DUMMYFUNCTION("""COMPUTED_VALUE"""),"Clase l")</f>
        <v>Clase l</v>
      </c>
      <c r="AF1223" s="97" t="str">
        <f>IFERROR(__xludf.DUMMYFUNCTION("""COMPUTED_VALUE"""),"Embutir")</f>
        <v>Embutir</v>
      </c>
      <c r="AG1223" s="97" t="str">
        <f>IFERROR(__xludf.DUMMYFUNCTION("""COMPUTED_VALUE"""),"52 x 52 x 40")</f>
        <v>52 x 52 x 40</v>
      </c>
      <c r="AH1223" s="97" t="str">
        <f>IFERROR(__xludf.DUMMYFUNCTION("""COMPUTED_VALUE"""),"48 x 48")</f>
        <v>48 x 48</v>
      </c>
      <c r="AI1223" s="97">
        <f>IFERROR(__xludf.DUMMYFUNCTION("""COMPUTED_VALUE"""),55.0)</f>
        <v>55</v>
      </c>
      <c r="AJ1223" s="97" t="str">
        <f>IFERROR(__xludf.DUMMYFUNCTION("""COMPUTED_VALUE"""),"Policarbonato (PC)")</f>
        <v>Policarbonato (PC)</v>
      </c>
      <c r="AK1223" s="97" t="str">
        <f>IFERROR(__xludf.DUMMYFUNCTION("""COMPUTED_VALUE"""),"Aluminio")</f>
        <v>Aluminio</v>
      </c>
      <c r="AL1223" s="97" t="str">
        <f>IFERROR(__xludf.DUMMYFUNCTION("""COMPUTED_VALUE"""),"Blanco y Negro")</f>
        <v>Blanco y Negro</v>
      </c>
      <c r="AM1223" s="97" t="str">
        <f>IFERROR(__xludf.DUMMYFUNCTION("""COMPUTED_VALUE"""),"-")</f>
        <v>-</v>
      </c>
      <c r="AN1223" s="97" t="str">
        <f>IFERROR(__xludf.DUMMYFUNCTION("""COMPUTED_VALUE"""),"40.000hs (L70)")</f>
        <v>40.000hs (L70)</v>
      </c>
      <c r="AO1223" s="97" t="str">
        <f>IFERROR(__xludf.DUMMYFUNCTION("""COMPUTED_VALUE"""),"4 Años")</f>
        <v>4 Años</v>
      </c>
      <c r="AP1223" s="97" t="str">
        <f>IFERROR(__xludf.DUMMYFUNCTION("""COMPUTED_VALUE"""),"Falta")</f>
        <v>Falta</v>
      </c>
      <c r="AQ1223" s="97" t="str">
        <f>IFERROR(__xludf.DUMMYFUNCTION("""COMPUTED_VALUE"""),"Falta")</f>
        <v>Falta</v>
      </c>
      <c r="AR1223" s="97" t="str">
        <f>IFERROR(__xludf.DUMMYFUNCTION("""COMPUTED_VALUE"""),"En revisión")</f>
        <v>En revisión</v>
      </c>
      <c r="AS1223" s="97" t="str">
        <f>IFERROR(__xludf.DUMMYFUNCTION("""COMPUTED_VALUE"""),"Falta")</f>
        <v>Falta</v>
      </c>
      <c r="AT1223" s="97" t="str">
        <f>IFERROR(__xludf.DUMMYFUNCTION("""COMPUTED_VALUE"""),"Falta")</f>
        <v>Falta</v>
      </c>
      <c r="AU1223" s="97" t="str">
        <f>IFERROR(__xludf.DUMMYFUNCTION("""COMPUTED_VALUE"""),"Falta")</f>
        <v>Falta</v>
      </c>
      <c r="AV1223" s="97" t="str">
        <f>IFERROR(__xludf.DUMMYFUNCTION("""COMPUTED_VALUE"""),"Empotrable")</f>
        <v>Empotrable</v>
      </c>
      <c r="AW1223" s="97" t="str">
        <f>IFERROR(__xludf.DUMMYFUNCTION("""COMPUTED_VALUE"""),"De Techo")</f>
        <v>De Techo</v>
      </c>
      <c r="AX1223" s="97" t="str">
        <f>IFERROR(__xludf.DUMMYFUNCTION("""COMPUTED_VALUE"""),"Interior")</f>
        <v>Interior</v>
      </c>
      <c r="AY1223" s="97" t="str">
        <f>IFERROR(__xludf.DUMMYFUNCTION("""COMPUTED_VALUE"""),"Pocket")</f>
        <v>Pocket</v>
      </c>
      <c r="AZ1223" s="97"/>
      <c r="BA1223" s="97"/>
      <c r="BB1223" s="97"/>
      <c r="BC1223" s="97"/>
      <c r="BD1223" s="97" t="str">
        <f>IFERROR(__xludf.DUMMYFUNCTION("""COMPUTED_VALUE"""),"POCKET IV")</f>
        <v>POCKET IV</v>
      </c>
      <c r="BE1223" s="97" t="str">
        <f>IFERROR(__xludf.DUMMYFUNCTION("""COMPUTED_VALUE"""),"Falta TR")</f>
        <v>Falta TR</v>
      </c>
      <c r="BF1223" s="97">
        <f>IFERROR(__xludf.DUMMYFUNCTION("""COMPUTED_VALUE"""),7727.0)</f>
        <v>7727</v>
      </c>
      <c r="BG1223" s="97" t="str">
        <f>IFERROR(__xludf.DUMMYFUNCTION("""COMPUTED_VALUE"""),"En Salida")</f>
        <v>En Salida</v>
      </c>
    </row>
    <row r="1224">
      <c r="A1224" s="97">
        <f>IFERROR(__xludf.DUMMYFUNCTION("""COMPUTED_VALUE"""),7184.0)</f>
        <v>7184</v>
      </c>
      <c r="B1224" s="97" t="str">
        <f>IFERROR(__xludf.DUMMYFUNCTION("""COMPUTED_VALUE"""),"POCKET IV BLNG 3000K")</f>
        <v>POCKET IV BLNG 3000K</v>
      </c>
      <c r="C1224" s="97" t="str">
        <f>IFERROR(__xludf.DUMMYFUNCTION("""COMPUTED_VALUE"""),"EMPOTRABLE POCKET IV BLNG 3000K 7W 3000K 480LM CRI&gt;90 IP20 LEUK")</f>
        <v>EMPOTRABLE POCKET IV BLNG 3000K 7W 3000K 480LM CRI&gt;90 IP20 LEUK</v>
      </c>
      <c r="D1224" s="97">
        <f>IFERROR(__xludf.DUMMYFUNCTION("""COMPUTED_VALUE"""),7.798413227352E12)</f>
        <v>7798413227352</v>
      </c>
      <c r="E1224" s="97" t="str">
        <f>IFERROR(__xludf.DUMMYFUNCTION("""COMPUTED_VALUE"""),"F75")</f>
        <v>F75</v>
      </c>
      <c r="F1224" s="97" t="str">
        <f>IFERROR(__xludf.DUMMYFUNCTION("""COMPUTED_VALUE"""),"LED SMD")</f>
        <v>LED SMD</v>
      </c>
      <c r="G1224" s="97" t="str">
        <f>IFERROR(__xludf.DUMMYFUNCTION("""COMPUTED_VALUE"""),"Bridgelux")</f>
        <v>Bridgelux</v>
      </c>
      <c r="H1224" s="97" t="str">
        <f>IFERROR(__xludf.DUMMYFUNCTION("""COMPUTED_VALUE"""),"Eaglerise")</f>
        <v>Eaglerise</v>
      </c>
      <c r="I1224" s="97" t="str">
        <f>IFERROR(__xludf.DUMMYFUNCTION("""COMPUTED_VALUE"""),"Si")</f>
        <v>Si</v>
      </c>
      <c r="J1224" s="97" t="str">
        <f>IFERROR(__xludf.DUMMYFUNCTION("""COMPUTED_VALUE"""),"Modelo: LS-6-500 SI E
In: 220-240Vac 0.11A 50/60Hz
Out: 5-12Vdc 500mA 6W
Pf 0.5 Tc 50°C Ta 80°C")</f>
        <v>Modelo: LS-6-500 SI E
In: 220-240Vac 0.11A 50/60Hz
Out: 5-12Vdc 500mA 6W
Pf 0.5 Tc 50°C Ta 80°C</v>
      </c>
      <c r="K1224" s="97" t="str">
        <f>IFERROR(__xludf.DUMMYFUNCTION("""COMPUTED_VALUE"""),"ON/OFF")</f>
        <v>ON/OFF</v>
      </c>
      <c r="L1224" s="97" t="str">
        <f>IFERROR(__xludf.DUMMYFUNCTION("""COMPUTED_VALUE"""),"200-240")</f>
        <v>200-240</v>
      </c>
      <c r="M1224" s="97" t="str">
        <f>IFERROR(__xludf.DUMMYFUNCTION("""COMPUTED_VALUE"""),"50/60")</f>
        <v>50/60</v>
      </c>
      <c r="N1224" s="97" t="str">
        <f>IFERROR(__xludf.DUMMYFUNCTION("""COMPUTED_VALUE"""),"Directa")</f>
        <v>Directa</v>
      </c>
      <c r="O1224" s="97">
        <f>IFERROR(__xludf.DUMMYFUNCTION("""COMPUTED_VALUE"""),7.0)</f>
        <v>7</v>
      </c>
      <c r="P1224" s="97"/>
      <c r="Q1224" s="97">
        <f>IFERROR(__xludf.DUMMYFUNCTION("""COMPUTED_VALUE"""),0.5)</f>
        <v>0.5</v>
      </c>
      <c r="R1224" s="97" t="str">
        <f>IFERROR(__xludf.DUMMYFUNCTION("""COMPUTED_VALUE"""),"-")</f>
        <v>-</v>
      </c>
      <c r="S1224" s="97" t="str">
        <f>IFERROR(__xludf.DUMMYFUNCTION("""COMPUTED_VALUE"""),"-")</f>
        <v>-</v>
      </c>
      <c r="T1224" s="97">
        <f>IFERROR(__xludf.DUMMYFUNCTION("""COMPUTED_VALUE"""),480.0)</f>
        <v>480</v>
      </c>
      <c r="U1224" s="99">
        <f>IFERROR(__xludf.DUMMYFUNCTION("""COMPUTED_VALUE"""),68.57142857142857)</f>
        <v>68.57142857</v>
      </c>
      <c r="V1224" s="97">
        <f>IFERROR(__xludf.DUMMYFUNCTION("""COMPUTED_VALUE"""),36.0)</f>
        <v>36</v>
      </c>
      <c r="W1224" s="97" t="str">
        <f>IFERROR(__xludf.DUMMYFUNCTION("""COMPUTED_VALUE"""),"&lt; 14")</f>
        <v>&lt; 14</v>
      </c>
      <c r="X1224" s="97">
        <f>IFERROR(__xludf.DUMMYFUNCTION("""COMPUTED_VALUE"""),3000.0)</f>
        <v>3000</v>
      </c>
      <c r="Y1224" s="97" t="str">
        <f>IFERROR(__xludf.DUMMYFUNCTION("""COMPUTED_VALUE"""),"&gt;90")</f>
        <v>&gt;90</v>
      </c>
      <c r="Z1224" s="97"/>
      <c r="AA1224" s="97"/>
      <c r="AB1224" s="97" t="str">
        <f>IFERROR(__xludf.DUMMYFUNCTION("""COMPUTED_VALUE"""),"&lt; 5")</f>
        <v>&lt; 5</v>
      </c>
      <c r="AC1224" s="97"/>
      <c r="AD1224" s="97" t="str">
        <f>IFERROR(__xludf.DUMMYFUNCTION("""COMPUTED_VALUE"""),"IP20")</f>
        <v>IP20</v>
      </c>
      <c r="AE1224" s="97" t="str">
        <f>IFERROR(__xludf.DUMMYFUNCTION("""COMPUTED_VALUE"""),"Clase l")</f>
        <v>Clase l</v>
      </c>
      <c r="AF1224" s="97" t="str">
        <f>IFERROR(__xludf.DUMMYFUNCTION("""COMPUTED_VALUE"""),"Embutir")</f>
        <v>Embutir</v>
      </c>
      <c r="AG1224" s="97" t="str">
        <f>IFERROR(__xludf.DUMMYFUNCTION("""COMPUTED_VALUE"""),"52 x 52 x 40")</f>
        <v>52 x 52 x 40</v>
      </c>
      <c r="AH1224" s="97" t="str">
        <f>IFERROR(__xludf.DUMMYFUNCTION("""COMPUTED_VALUE"""),"48 x 48")</f>
        <v>48 x 48</v>
      </c>
      <c r="AI1224" s="97">
        <f>IFERROR(__xludf.DUMMYFUNCTION("""COMPUTED_VALUE"""),55.0)</f>
        <v>55</v>
      </c>
      <c r="AJ1224" s="97" t="str">
        <f>IFERROR(__xludf.DUMMYFUNCTION("""COMPUTED_VALUE"""),"Policarbonato (PC)")</f>
        <v>Policarbonato (PC)</v>
      </c>
      <c r="AK1224" s="97" t="str">
        <f>IFERROR(__xludf.DUMMYFUNCTION("""COMPUTED_VALUE"""),"Aluminio")</f>
        <v>Aluminio</v>
      </c>
      <c r="AL1224" s="97" t="str">
        <f>IFERROR(__xludf.DUMMYFUNCTION("""COMPUTED_VALUE"""),"Blanco y Negro")</f>
        <v>Blanco y Negro</v>
      </c>
      <c r="AM1224" s="97" t="str">
        <f>IFERROR(__xludf.DUMMYFUNCTION("""COMPUTED_VALUE"""),"-")</f>
        <v>-</v>
      </c>
      <c r="AN1224" s="97" t="str">
        <f>IFERROR(__xludf.DUMMYFUNCTION("""COMPUTED_VALUE"""),"40.000hs (L70)")</f>
        <v>40.000hs (L70)</v>
      </c>
      <c r="AO1224" s="97" t="str">
        <f>IFERROR(__xludf.DUMMYFUNCTION("""COMPUTED_VALUE"""),"4 Años")</f>
        <v>4 Años</v>
      </c>
      <c r="AP1224" s="97" t="str">
        <f>IFERROR(__xludf.DUMMYFUNCTION("""COMPUTED_VALUE"""),"Falta")</f>
        <v>Falta</v>
      </c>
      <c r="AQ1224" s="97" t="str">
        <f>IFERROR(__xludf.DUMMYFUNCTION("""COMPUTED_VALUE"""),"Falta")</f>
        <v>Falta</v>
      </c>
      <c r="AR1224" s="97" t="str">
        <f>IFERROR(__xludf.DUMMYFUNCTION("""COMPUTED_VALUE"""),"En revisión")</f>
        <v>En revisión</v>
      </c>
      <c r="AS1224" s="97" t="str">
        <f>IFERROR(__xludf.DUMMYFUNCTION("""COMPUTED_VALUE"""),"Falta")</f>
        <v>Falta</v>
      </c>
      <c r="AT1224" s="97" t="str">
        <f>IFERROR(__xludf.DUMMYFUNCTION("""COMPUTED_VALUE"""),"Falta")</f>
        <v>Falta</v>
      </c>
      <c r="AU1224" s="97" t="str">
        <f>IFERROR(__xludf.DUMMYFUNCTION("""COMPUTED_VALUE"""),"Falta")</f>
        <v>Falta</v>
      </c>
      <c r="AV1224" s="97" t="str">
        <f>IFERROR(__xludf.DUMMYFUNCTION("""COMPUTED_VALUE"""),"Empotrable")</f>
        <v>Empotrable</v>
      </c>
      <c r="AW1224" s="97" t="str">
        <f>IFERROR(__xludf.DUMMYFUNCTION("""COMPUTED_VALUE"""),"De Techo")</f>
        <v>De Techo</v>
      </c>
      <c r="AX1224" s="97" t="str">
        <f>IFERROR(__xludf.DUMMYFUNCTION("""COMPUTED_VALUE"""),"Interior")</f>
        <v>Interior</v>
      </c>
      <c r="AY1224" s="97" t="str">
        <f>IFERROR(__xludf.DUMMYFUNCTION("""COMPUTED_VALUE"""),"Pocket")</f>
        <v>Pocket</v>
      </c>
      <c r="AZ1224" s="97"/>
      <c r="BA1224" s="97"/>
      <c r="BB1224" s="97"/>
      <c r="BC1224" s="97"/>
      <c r="BD1224" s="97" t="str">
        <f>IFERROR(__xludf.DUMMYFUNCTION("""COMPUTED_VALUE"""),"POCKET IV")</f>
        <v>POCKET IV</v>
      </c>
      <c r="BE1224" s="97" t="str">
        <f>IFERROR(__xludf.DUMMYFUNCTION("""COMPUTED_VALUE"""),"Falta TR")</f>
        <v>Falta TR</v>
      </c>
      <c r="BF1224" s="97">
        <f>IFERROR(__xludf.DUMMYFUNCTION("""COMPUTED_VALUE"""),7727.0)</f>
        <v>7727</v>
      </c>
      <c r="BG1224" s="97" t="str">
        <f>IFERROR(__xludf.DUMMYFUNCTION("""COMPUTED_VALUE"""),"En Salida")</f>
        <v>En Salida</v>
      </c>
    </row>
    <row r="1225">
      <c r="A1225" s="97">
        <f>IFERROR(__xludf.DUMMYFUNCTION("""COMPUTED_VALUE"""),7185.0)</f>
        <v>7185</v>
      </c>
      <c r="B1225" s="97" t="str">
        <f>IFERROR(__xludf.DUMMYFUNCTION("""COMPUTED_VALUE"""),"POCKET VI BLNG 2700K TRIAC")</f>
        <v>POCKET VI BLNG 2700K TRIAC</v>
      </c>
      <c r="C1225" s="97" t="str">
        <f>IFERROR(__xludf.DUMMYFUNCTION("""COMPUTED_VALUE"""),"EMPOTRABLE POCKET VI BLNG 2700K TRIAC 10W 2700K 875LM CRI&gt;90 IP20 LEUK")</f>
        <v>EMPOTRABLE POCKET VI BLNG 2700K TRIAC 10W 2700K 875LM CRI&gt;90 IP20 LEUK</v>
      </c>
      <c r="D1225" s="97">
        <f>IFERROR(__xludf.DUMMYFUNCTION("""COMPUTED_VALUE"""),7.798413227369E12)</f>
        <v>7798413227369</v>
      </c>
      <c r="E1225" s="97" t="str">
        <f>IFERROR(__xludf.DUMMYFUNCTION("""COMPUTED_VALUE"""),"F69")</f>
        <v>F69</v>
      </c>
      <c r="F1225" s="97" t="str">
        <f>IFERROR(__xludf.DUMMYFUNCTION("""COMPUTED_VALUE"""),"LED SMD")</f>
        <v>LED SMD</v>
      </c>
      <c r="G1225" s="97" t="str">
        <f>IFERROR(__xludf.DUMMYFUNCTION("""COMPUTED_VALUE"""),"Bridgelux")</f>
        <v>Bridgelux</v>
      </c>
      <c r="H1225" s="97" t="str">
        <f>IFERROR(__xludf.DUMMYFUNCTION("""COMPUTED_VALUE"""),"AiDimming")</f>
        <v>AiDimming</v>
      </c>
      <c r="I1225" s="97" t="str">
        <f>IFERROR(__xludf.DUMMYFUNCTION("""COMPUTED_VALUE"""),"Si")</f>
        <v>Si</v>
      </c>
      <c r="J1225" s="97" t="str">
        <f>IFERROR(__xludf.DUMMYFUNCTION("""COMPUTED_VALUE"""),"Modelo: PE594M2450
In: 200-250Vac 0.07A 50/60Hz
Out: 12-24Vdc 450mA 10.8W
Pf 0.94 Tc 85°C Ta 45°C
FlickerFree")</f>
        <v>Modelo: PE594M2450
In: 200-250Vac 0.07A 50/60Hz
Out: 12-24Vdc 450mA 10.8W
Pf 0.94 Tc 85°C Ta 45°C
FlickerFree</v>
      </c>
      <c r="K1225" s="97" t="str">
        <f>IFERROR(__xludf.DUMMYFUNCTION("""COMPUTED_VALUE"""),"TRIAC")</f>
        <v>TRIAC</v>
      </c>
      <c r="L1225" s="97" t="str">
        <f>IFERROR(__xludf.DUMMYFUNCTION("""COMPUTED_VALUE"""),"200-240")</f>
        <v>200-240</v>
      </c>
      <c r="M1225" s="97" t="str">
        <f>IFERROR(__xludf.DUMMYFUNCTION("""COMPUTED_VALUE"""),"50/60")</f>
        <v>50/60</v>
      </c>
      <c r="N1225" s="97" t="str">
        <f>IFERROR(__xludf.DUMMYFUNCTION("""COMPUTED_VALUE"""),"Directa")</f>
        <v>Directa</v>
      </c>
      <c r="O1225" s="97">
        <f>IFERROR(__xludf.DUMMYFUNCTION("""COMPUTED_VALUE"""),10.0)</f>
        <v>10</v>
      </c>
      <c r="P1225" s="97"/>
      <c r="Q1225" s="97">
        <f>IFERROR(__xludf.DUMMYFUNCTION("""COMPUTED_VALUE"""),0.95)</f>
        <v>0.95</v>
      </c>
      <c r="R1225" s="97" t="str">
        <f>IFERROR(__xludf.DUMMYFUNCTION("""COMPUTED_VALUE"""),"-")</f>
        <v>-</v>
      </c>
      <c r="S1225" s="97" t="str">
        <f>IFERROR(__xludf.DUMMYFUNCTION("""COMPUTED_VALUE"""),"-")</f>
        <v>-</v>
      </c>
      <c r="T1225" s="97">
        <f>IFERROR(__xludf.DUMMYFUNCTION("""COMPUTED_VALUE"""),875.0)</f>
        <v>875</v>
      </c>
      <c r="U1225" s="99">
        <f>IFERROR(__xludf.DUMMYFUNCTION("""COMPUTED_VALUE"""),87.5)</f>
        <v>87.5</v>
      </c>
      <c r="V1225" s="97">
        <f>IFERROR(__xludf.DUMMYFUNCTION("""COMPUTED_VALUE"""),36.0)</f>
        <v>36</v>
      </c>
      <c r="W1225" s="97" t="str">
        <f>IFERROR(__xludf.DUMMYFUNCTION("""COMPUTED_VALUE"""),"&lt; 14")</f>
        <v>&lt; 14</v>
      </c>
      <c r="X1225" s="97">
        <f>IFERROR(__xludf.DUMMYFUNCTION("""COMPUTED_VALUE"""),2700.0)</f>
        <v>2700</v>
      </c>
      <c r="Y1225" s="97" t="str">
        <f>IFERROR(__xludf.DUMMYFUNCTION("""COMPUTED_VALUE"""),"&gt;90")</f>
        <v>&gt;90</v>
      </c>
      <c r="Z1225" s="97"/>
      <c r="AA1225" s="97"/>
      <c r="AB1225" s="97" t="str">
        <f>IFERROR(__xludf.DUMMYFUNCTION("""COMPUTED_VALUE"""),"&lt; 5")</f>
        <v>&lt; 5</v>
      </c>
      <c r="AC1225" s="97"/>
      <c r="AD1225" s="97" t="str">
        <f>IFERROR(__xludf.DUMMYFUNCTION("""COMPUTED_VALUE"""),"IP20")</f>
        <v>IP20</v>
      </c>
      <c r="AE1225" s="97" t="str">
        <f>IFERROR(__xludf.DUMMYFUNCTION("""COMPUTED_VALUE"""),"Clase l")</f>
        <v>Clase l</v>
      </c>
      <c r="AF1225" s="97" t="str">
        <f>IFERROR(__xludf.DUMMYFUNCTION("""COMPUTED_VALUE"""),"Embutir")</f>
        <v>Embutir</v>
      </c>
      <c r="AG1225" s="97" t="str">
        <f>IFERROR(__xludf.DUMMYFUNCTION("""COMPUTED_VALUE"""),"126 x 31 x 40")</f>
        <v>126 x 31 x 40</v>
      </c>
      <c r="AH1225" s="97" t="str">
        <f>IFERROR(__xludf.DUMMYFUNCTION("""COMPUTED_VALUE"""),"122 x 27")</f>
        <v>122 x 27</v>
      </c>
      <c r="AI1225" s="97">
        <f>IFERROR(__xludf.DUMMYFUNCTION("""COMPUTED_VALUE"""),55.0)</f>
        <v>55</v>
      </c>
      <c r="AJ1225" s="97" t="str">
        <f>IFERROR(__xludf.DUMMYFUNCTION("""COMPUTED_VALUE"""),"Policarbonato (PC)")</f>
        <v>Policarbonato (PC)</v>
      </c>
      <c r="AK1225" s="97" t="str">
        <f>IFERROR(__xludf.DUMMYFUNCTION("""COMPUTED_VALUE"""),"Aluminio")</f>
        <v>Aluminio</v>
      </c>
      <c r="AL1225" s="97" t="str">
        <f>IFERROR(__xludf.DUMMYFUNCTION("""COMPUTED_VALUE"""),"Blanco y Negro")</f>
        <v>Blanco y Negro</v>
      </c>
      <c r="AM1225" s="97" t="str">
        <f>IFERROR(__xludf.DUMMYFUNCTION("""COMPUTED_VALUE"""),"-")</f>
        <v>-</v>
      </c>
      <c r="AN1225" s="97" t="str">
        <f>IFERROR(__xludf.DUMMYFUNCTION("""COMPUTED_VALUE"""),"40.000hs (L70)")</f>
        <v>40.000hs (L70)</v>
      </c>
      <c r="AO1225" s="97" t="str">
        <f>IFERROR(__xludf.DUMMYFUNCTION("""COMPUTED_VALUE"""),"4 Años")</f>
        <v>4 Años</v>
      </c>
      <c r="AP1225" s="97" t="str">
        <f>IFERROR(__xludf.DUMMYFUNCTION("""COMPUTED_VALUE"""),"Falta")</f>
        <v>Falta</v>
      </c>
      <c r="AQ1225" s="97" t="str">
        <f>IFERROR(__xludf.DUMMYFUNCTION("""COMPUTED_VALUE"""),"Falta")</f>
        <v>Falta</v>
      </c>
      <c r="AR1225" s="97" t="str">
        <f>IFERROR(__xludf.DUMMYFUNCTION("""COMPUTED_VALUE"""),"En revisión")</f>
        <v>En revisión</v>
      </c>
      <c r="AS1225" s="97" t="str">
        <f>IFERROR(__xludf.DUMMYFUNCTION("""COMPUTED_VALUE"""),"Falta")</f>
        <v>Falta</v>
      </c>
      <c r="AT1225" s="97" t="str">
        <f>IFERROR(__xludf.DUMMYFUNCTION("""COMPUTED_VALUE"""),"Falta")</f>
        <v>Falta</v>
      </c>
      <c r="AU1225" s="97" t="str">
        <f>IFERROR(__xludf.DUMMYFUNCTION("""COMPUTED_VALUE"""),"Falta")</f>
        <v>Falta</v>
      </c>
      <c r="AV1225" s="97" t="str">
        <f>IFERROR(__xludf.DUMMYFUNCTION("""COMPUTED_VALUE"""),"Empotrable")</f>
        <v>Empotrable</v>
      </c>
      <c r="AW1225" s="97" t="str">
        <f>IFERROR(__xludf.DUMMYFUNCTION("""COMPUTED_VALUE"""),"De Techo")</f>
        <v>De Techo</v>
      </c>
      <c r="AX1225" s="97" t="str">
        <f>IFERROR(__xludf.DUMMYFUNCTION("""COMPUTED_VALUE"""),"Interior")</f>
        <v>Interior</v>
      </c>
      <c r="AY1225" s="97" t="str">
        <f>IFERROR(__xludf.DUMMYFUNCTION("""COMPUTED_VALUE"""),"Pocket")</f>
        <v>Pocket</v>
      </c>
      <c r="AZ1225" s="97"/>
      <c r="BA1225" s="97"/>
      <c r="BB1225" s="97"/>
      <c r="BC1225" s="97"/>
      <c r="BD1225" s="97" t="str">
        <f>IFERROR(__xludf.DUMMYFUNCTION("""COMPUTED_VALUE"""),"POCKET VI")</f>
        <v>POCKET VI</v>
      </c>
      <c r="BE1225" s="97" t="str">
        <f>IFERROR(__xludf.DUMMYFUNCTION("""COMPUTED_VALUE"""),"Falta TR")</f>
        <v>Falta TR</v>
      </c>
      <c r="BF1225" s="97">
        <f>IFERROR(__xludf.DUMMYFUNCTION("""COMPUTED_VALUE"""),7742.0)</f>
        <v>7742</v>
      </c>
      <c r="BG1225" s="97" t="str">
        <f>IFERROR(__xludf.DUMMYFUNCTION("""COMPUTED_VALUE"""),"En Salida")</f>
        <v>En Salida</v>
      </c>
    </row>
    <row r="1226">
      <c r="A1226" s="97">
        <f>IFERROR(__xludf.DUMMYFUNCTION("""COMPUTED_VALUE"""),7186.0)</f>
        <v>7186</v>
      </c>
      <c r="B1226" s="97" t="str">
        <f>IFERROR(__xludf.DUMMYFUNCTION("""COMPUTED_VALUE"""),"POCKET VI BLNG 3000K TRIAC")</f>
        <v>POCKET VI BLNG 3000K TRIAC</v>
      </c>
      <c r="C1226" s="97" t="str">
        <f>IFERROR(__xludf.DUMMYFUNCTION("""COMPUTED_VALUE"""),"EMPOTRABLE POCKET VI BLNG 3000K TRIAC 10W 3000K 875LM CRI&gt;90 IP20 LEUK")</f>
        <v>EMPOTRABLE POCKET VI BLNG 3000K TRIAC 10W 3000K 875LM CRI&gt;90 IP20 LEUK</v>
      </c>
      <c r="D1226" s="97">
        <f>IFERROR(__xludf.DUMMYFUNCTION("""COMPUTED_VALUE"""),7.798413227376E12)</f>
        <v>7798413227376</v>
      </c>
      <c r="E1226" s="97" t="str">
        <f>IFERROR(__xludf.DUMMYFUNCTION("""COMPUTED_VALUE"""),"F69")</f>
        <v>F69</v>
      </c>
      <c r="F1226" s="97" t="str">
        <f>IFERROR(__xludf.DUMMYFUNCTION("""COMPUTED_VALUE"""),"LED SMD")</f>
        <v>LED SMD</v>
      </c>
      <c r="G1226" s="97" t="str">
        <f>IFERROR(__xludf.DUMMYFUNCTION("""COMPUTED_VALUE"""),"Bridgelux")</f>
        <v>Bridgelux</v>
      </c>
      <c r="H1226" s="97" t="str">
        <f>IFERROR(__xludf.DUMMYFUNCTION("""COMPUTED_VALUE"""),"AiDimming")</f>
        <v>AiDimming</v>
      </c>
      <c r="I1226" s="97" t="str">
        <f>IFERROR(__xludf.DUMMYFUNCTION("""COMPUTED_VALUE"""),"Si")</f>
        <v>Si</v>
      </c>
      <c r="J1226" s="97" t="str">
        <f>IFERROR(__xludf.DUMMYFUNCTION("""COMPUTED_VALUE"""),"Modelo: PE594M2450
In: 200-250Vac 0.07A 50/60Hz
Out: 12-24Vdc 450mA 10.8W
Pf 0.94 Tc 85°C Ta 45°C
FlickerFree")</f>
        <v>Modelo: PE594M2450
In: 200-250Vac 0.07A 50/60Hz
Out: 12-24Vdc 450mA 10.8W
Pf 0.94 Tc 85°C Ta 45°C
FlickerFree</v>
      </c>
      <c r="K1226" s="97" t="str">
        <f>IFERROR(__xludf.DUMMYFUNCTION("""COMPUTED_VALUE"""),"TRIAC")</f>
        <v>TRIAC</v>
      </c>
      <c r="L1226" s="97" t="str">
        <f>IFERROR(__xludf.DUMMYFUNCTION("""COMPUTED_VALUE"""),"200-240")</f>
        <v>200-240</v>
      </c>
      <c r="M1226" s="97" t="str">
        <f>IFERROR(__xludf.DUMMYFUNCTION("""COMPUTED_VALUE"""),"50/60")</f>
        <v>50/60</v>
      </c>
      <c r="N1226" s="97" t="str">
        <f>IFERROR(__xludf.DUMMYFUNCTION("""COMPUTED_VALUE"""),"Directa")</f>
        <v>Directa</v>
      </c>
      <c r="O1226" s="97">
        <f>IFERROR(__xludf.DUMMYFUNCTION("""COMPUTED_VALUE"""),10.0)</f>
        <v>10</v>
      </c>
      <c r="P1226" s="97"/>
      <c r="Q1226" s="97">
        <f>IFERROR(__xludf.DUMMYFUNCTION("""COMPUTED_VALUE"""),0.95)</f>
        <v>0.95</v>
      </c>
      <c r="R1226" s="97" t="str">
        <f>IFERROR(__xludf.DUMMYFUNCTION("""COMPUTED_VALUE"""),"-")</f>
        <v>-</v>
      </c>
      <c r="S1226" s="97" t="str">
        <f>IFERROR(__xludf.DUMMYFUNCTION("""COMPUTED_VALUE"""),"-")</f>
        <v>-</v>
      </c>
      <c r="T1226" s="97">
        <f>IFERROR(__xludf.DUMMYFUNCTION("""COMPUTED_VALUE"""),875.0)</f>
        <v>875</v>
      </c>
      <c r="U1226" s="99">
        <f>IFERROR(__xludf.DUMMYFUNCTION("""COMPUTED_VALUE"""),87.5)</f>
        <v>87.5</v>
      </c>
      <c r="V1226" s="97">
        <f>IFERROR(__xludf.DUMMYFUNCTION("""COMPUTED_VALUE"""),36.0)</f>
        <v>36</v>
      </c>
      <c r="W1226" s="97" t="str">
        <f>IFERROR(__xludf.DUMMYFUNCTION("""COMPUTED_VALUE"""),"&lt; 14")</f>
        <v>&lt; 14</v>
      </c>
      <c r="X1226" s="97">
        <f>IFERROR(__xludf.DUMMYFUNCTION("""COMPUTED_VALUE"""),3000.0)</f>
        <v>3000</v>
      </c>
      <c r="Y1226" s="97" t="str">
        <f>IFERROR(__xludf.DUMMYFUNCTION("""COMPUTED_VALUE"""),"&gt;90")</f>
        <v>&gt;90</v>
      </c>
      <c r="Z1226" s="97"/>
      <c r="AA1226" s="97"/>
      <c r="AB1226" s="97" t="str">
        <f>IFERROR(__xludf.DUMMYFUNCTION("""COMPUTED_VALUE"""),"&lt; 5")</f>
        <v>&lt; 5</v>
      </c>
      <c r="AC1226" s="97"/>
      <c r="AD1226" s="97" t="str">
        <f>IFERROR(__xludf.DUMMYFUNCTION("""COMPUTED_VALUE"""),"IP20")</f>
        <v>IP20</v>
      </c>
      <c r="AE1226" s="97" t="str">
        <f>IFERROR(__xludf.DUMMYFUNCTION("""COMPUTED_VALUE"""),"Clase l")</f>
        <v>Clase l</v>
      </c>
      <c r="AF1226" s="97" t="str">
        <f>IFERROR(__xludf.DUMMYFUNCTION("""COMPUTED_VALUE"""),"Embutir")</f>
        <v>Embutir</v>
      </c>
      <c r="AG1226" s="97" t="str">
        <f>IFERROR(__xludf.DUMMYFUNCTION("""COMPUTED_VALUE"""),"126 x 31 x 40")</f>
        <v>126 x 31 x 40</v>
      </c>
      <c r="AH1226" s="97" t="str">
        <f>IFERROR(__xludf.DUMMYFUNCTION("""COMPUTED_VALUE"""),"122 x 27")</f>
        <v>122 x 27</v>
      </c>
      <c r="AI1226" s="97">
        <f>IFERROR(__xludf.DUMMYFUNCTION("""COMPUTED_VALUE"""),55.0)</f>
        <v>55</v>
      </c>
      <c r="AJ1226" s="97" t="str">
        <f>IFERROR(__xludf.DUMMYFUNCTION("""COMPUTED_VALUE"""),"Policarbonato (PC)")</f>
        <v>Policarbonato (PC)</v>
      </c>
      <c r="AK1226" s="97" t="str">
        <f>IFERROR(__xludf.DUMMYFUNCTION("""COMPUTED_VALUE"""),"Aluminio")</f>
        <v>Aluminio</v>
      </c>
      <c r="AL1226" s="97" t="str">
        <f>IFERROR(__xludf.DUMMYFUNCTION("""COMPUTED_VALUE"""),"Blanco y Negro")</f>
        <v>Blanco y Negro</v>
      </c>
      <c r="AM1226" s="97" t="str">
        <f>IFERROR(__xludf.DUMMYFUNCTION("""COMPUTED_VALUE"""),"-")</f>
        <v>-</v>
      </c>
      <c r="AN1226" s="97" t="str">
        <f>IFERROR(__xludf.DUMMYFUNCTION("""COMPUTED_VALUE"""),"40.000hs (L70)")</f>
        <v>40.000hs (L70)</v>
      </c>
      <c r="AO1226" s="97" t="str">
        <f>IFERROR(__xludf.DUMMYFUNCTION("""COMPUTED_VALUE"""),"4 Años")</f>
        <v>4 Años</v>
      </c>
      <c r="AP1226" s="97" t="str">
        <f>IFERROR(__xludf.DUMMYFUNCTION("""COMPUTED_VALUE"""),"Falta")</f>
        <v>Falta</v>
      </c>
      <c r="AQ1226" s="97" t="str">
        <f>IFERROR(__xludf.DUMMYFUNCTION("""COMPUTED_VALUE"""),"Falta")</f>
        <v>Falta</v>
      </c>
      <c r="AR1226" s="97" t="str">
        <f>IFERROR(__xludf.DUMMYFUNCTION("""COMPUTED_VALUE"""),"En revisión")</f>
        <v>En revisión</v>
      </c>
      <c r="AS1226" s="97" t="str">
        <f>IFERROR(__xludf.DUMMYFUNCTION("""COMPUTED_VALUE"""),"Falta")</f>
        <v>Falta</v>
      </c>
      <c r="AT1226" s="97" t="str">
        <f>IFERROR(__xludf.DUMMYFUNCTION("""COMPUTED_VALUE"""),"Falta")</f>
        <v>Falta</v>
      </c>
      <c r="AU1226" s="97" t="str">
        <f>IFERROR(__xludf.DUMMYFUNCTION("""COMPUTED_VALUE"""),"Falta")</f>
        <v>Falta</v>
      </c>
      <c r="AV1226" s="97" t="str">
        <f>IFERROR(__xludf.DUMMYFUNCTION("""COMPUTED_VALUE"""),"Empotrable")</f>
        <v>Empotrable</v>
      </c>
      <c r="AW1226" s="97" t="str">
        <f>IFERROR(__xludf.DUMMYFUNCTION("""COMPUTED_VALUE"""),"De Techo")</f>
        <v>De Techo</v>
      </c>
      <c r="AX1226" s="97" t="str">
        <f>IFERROR(__xludf.DUMMYFUNCTION("""COMPUTED_VALUE"""),"Interior")</f>
        <v>Interior</v>
      </c>
      <c r="AY1226" s="97" t="str">
        <f>IFERROR(__xludf.DUMMYFUNCTION("""COMPUTED_VALUE"""),"Pocket")</f>
        <v>Pocket</v>
      </c>
      <c r="AZ1226" s="97"/>
      <c r="BA1226" s="97"/>
      <c r="BB1226" s="97"/>
      <c r="BC1226" s="97"/>
      <c r="BD1226" s="97" t="str">
        <f>IFERROR(__xludf.DUMMYFUNCTION("""COMPUTED_VALUE"""),"POCKET VI")</f>
        <v>POCKET VI</v>
      </c>
      <c r="BE1226" s="97" t="str">
        <f>IFERROR(__xludf.DUMMYFUNCTION("""COMPUTED_VALUE"""),"Falta TR")</f>
        <v>Falta TR</v>
      </c>
      <c r="BF1226" s="97">
        <f>IFERROR(__xludf.DUMMYFUNCTION("""COMPUTED_VALUE"""),7742.0)</f>
        <v>7742</v>
      </c>
      <c r="BG1226" s="97" t="str">
        <f>IFERROR(__xludf.DUMMYFUNCTION("""COMPUTED_VALUE"""),"En Salida")</f>
        <v>En Salida</v>
      </c>
    </row>
    <row r="1227">
      <c r="A1227" s="97">
        <f>IFERROR(__xludf.DUMMYFUNCTION("""COMPUTED_VALUE"""),7187.0)</f>
        <v>7187</v>
      </c>
      <c r="B1227" s="97" t="str">
        <f>IFERROR(__xludf.DUMMYFUNCTION("""COMPUTED_VALUE"""),"POCKET VI BLBL 2700K")</f>
        <v>POCKET VI BLBL 2700K</v>
      </c>
      <c r="C1227" s="97" t="str">
        <f>IFERROR(__xludf.DUMMYFUNCTION("""COMPUTED_VALUE"""),"EMPOTRABLE POCKET VI BLBL 2700K 10W 2700K 875LM CRI&gt;90 IP20 LEUK")</f>
        <v>EMPOTRABLE POCKET VI BLBL 2700K 10W 2700K 875LM CRI&gt;90 IP20 LEUK</v>
      </c>
      <c r="D1227" s="97">
        <f>IFERROR(__xludf.DUMMYFUNCTION("""COMPUTED_VALUE"""),7.798413227383E12)</f>
        <v>7798413227383</v>
      </c>
      <c r="E1227" s="97" t="str">
        <f>IFERROR(__xludf.DUMMYFUNCTION("""COMPUTED_VALUE"""),"F69")</f>
        <v>F69</v>
      </c>
      <c r="F1227" s="97" t="str">
        <f>IFERROR(__xludf.DUMMYFUNCTION("""COMPUTED_VALUE"""),"LED SMD")</f>
        <v>LED SMD</v>
      </c>
      <c r="G1227" s="97" t="str">
        <f>IFERROR(__xludf.DUMMYFUNCTION("""COMPUTED_VALUE"""),"Bridgelux")</f>
        <v>Bridgelux</v>
      </c>
      <c r="H1227" s="97" t="str">
        <f>IFERROR(__xludf.DUMMYFUNCTION("""COMPUTED_VALUE"""),"Eaglerise")</f>
        <v>Eaglerise</v>
      </c>
      <c r="I1227" s="97" t="str">
        <f>IFERROR(__xludf.DUMMYFUNCTION("""COMPUTED_VALUE"""),"Si")</f>
        <v>Si</v>
      </c>
      <c r="J1227" s="97" t="str">
        <f>IFERROR(__xludf.DUMMYFUNCTION("""COMPUTED_VALUE"""),"Modelo: LS-12-500 SI2 E
In: 220-240Vac 0.16A 50/60Hz
Out: 18-24Vdc 500mA 12W
Pf 0.6 Tc 85°C Ta 45°C")</f>
        <v>Modelo: LS-12-500 SI2 E
In: 220-240Vac 0.16A 50/60Hz
Out: 18-24Vdc 500mA 12W
Pf 0.6 Tc 85°C Ta 45°C</v>
      </c>
      <c r="K1227" s="97" t="str">
        <f>IFERROR(__xludf.DUMMYFUNCTION("""COMPUTED_VALUE"""),"ON/OFF")</f>
        <v>ON/OFF</v>
      </c>
      <c r="L1227" s="97" t="str">
        <f>IFERROR(__xludf.DUMMYFUNCTION("""COMPUTED_VALUE"""),"200-240")</f>
        <v>200-240</v>
      </c>
      <c r="M1227" s="97" t="str">
        <f>IFERROR(__xludf.DUMMYFUNCTION("""COMPUTED_VALUE"""),"50/60")</f>
        <v>50/60</v>
      </c>
      <c r="N1227" s="97" t="str">
        <f>IFERROR(__xludf.DUMMYFUNCTION("""COMPUTED_VALUE"""),"Directa")</f>
        <v>Directa</v>
      </c>
      <c r="O1227" s="97">
        <f>IFERROR(__xludf.DUMMYFUNCTION("""COMPUTED_VALUE"""),10.0)</f>
        <v>10</v>
      </c>
      <c r="P1227" s="97"/>
      <c r="Q1227" s="97">
        <f>IFERROR(__xludf.DUMMYFUNCTION("""COMPUTED_VALUE"""),0.6)</f>
        <v>0.6</v>
      </c>
      <c r="R1227" s="97" t="str">
        <f>IFERROR(__xludf.DUMMYFUNCTION("""COMPUTED_VALUE"""),"-")</f>
        <v>-</v>
      </c>
      <c r="S1227" s="97" t="str">
        <f>IFERROR(__xludf.DUMMYFUNCTION("""COMPUTED_VALUE"""),"-")</f>
        <v>-</v>
      </c>
      <c r="T1227" s="97">
        <f>IFERROR(__xludf.DUMMYFUNCTION("""COMPUTED_VALUE"""),875.0)</f>
        <v>875</v>
      </c>
      <c r="U1227" s="99">
        <f>IFERROR(__xludf.DUMMYFUNCTION("""COMPUTED_VALUE"""),87.5)</f>
        <v>87.5</v>
      </c>
      <c r="V1227" s="97">
        <f>IFERROR(__xludf.DUMMYFUNCTION("""COMPUTED_VALUE"""),36.0)</f>
        <v>36</v>
      </c>
      <c r="W1227" s="97" t="str">
        <f>IFERROR(__xludf.DUMMYFUNCTION("""COMPUTED_VALUE"""),"&lt; 14")</f>
        <v>&lt; 14</v>
      </c>
      <c r="X1227" s="97">
        <f>IFERROR(__xludf.DUMMYFUNCTION("""COMPUTED_VALUE"""),2700.0)</f>
        <v>2700</v>
      </c>
      <c r="Y1227" s="97" t="str">
        <f>IFERROR(__xludf.DUMMYFUNCTION("""COMPUTED_VALUE"""),"&gt;90")</f>
        <v>&gt;90</v>
      </c>
      <c r="Z1227" s="97"/>
      <c r="AA1227" s="97"/>
      <c r="AB1227" s="97" t="str">
        <f>IFERROR(__xludf.DUMMYFUNCTION("""COMPUTED_VALUE"""),"&lt; 5")</f>
        <v>&lt; 5</v>
      </c>
      <c r="AC1227" s="97"/>
      <c r="AD1227" s="97" t="str">
        <f>IFERROR(__xludf.DUMMYFUNCTION("""COMPUTED_VALUE"""),"IP20")</f>
        <v>IP20</v>
      </c>
      <c r="AE1227" s="97" t="str">
        <f>IFERROR(__xludf.DUMMYFUNCTION("""COMPUTED_VALUE"""),"Clase l")</f>
        <v>Clase l</v>
      </c>
      <c r="AF1227" s="97" t="str">
        <f>IFERROR(__xludf.DUMMYFUNCTION("""COMPUTED_VALUE"""),"Embutir")</f>
        <v>Embutir</v>
      </c>
      <c r="AG1227" s="97" t="str">
        <f>IFERROR(__xludf.DUMMYFUNCTION("""COMPUTED_VALUE"""),"126 x 31 x 40")</f>
        <v>126 x 31 x 40</v>
      </c>
      <c r="AH1227" s="97" t="str">
        <f>IFERROR(__xludf.DUMMYFUNCTION("""COMPUTED_VALUE"""),"122 x 27")</f>
        <v>122 x 27</v>
      </c>
      <c r="AI1227" s="97">
        <f>IFERROR(__xludf.DUMMYFUNCTION("""COMPUTED_VALUE"""),55.0)</f>
        <v>55</v>
      </c>
      <c r="AJ1227" s="97" t="str">
        <f>IFERROR(__xludf.DUMMYFUNCTION("""COMPUTED_VALUE"""),"Policarbonato (PC)")</f>
        <v>Policarbonato (PC)</v>
      </c>
      <c r="AK1227" s="97" t="str">
        <f>IFERROR(__xludf.DUMMYFUNCTION("""COMPUTED_VALUE"""),"Aluminio")</f>
        <v>Aluminio</v>
      </c>
      <c r="AL1227" s="97" t="str">
        <f>IFERROR(__xludf.DUMMYFUNCTION("""COMPUTED_VALUE"""),"Blanco Satinado")</f>
        <v>Blanco Satinado</v>
      </c>
      <c r="AM1227" s="97" t="str">
        <f>IFERROR(__xludf.DUMMYFUNCTION("""COMPUTED_VALUE"""),"-")</f>
        <v>-</v>
      </c>
      <c r="AN1227" s="97" t="str">
        <f>IFERROR(__xludf.DUMMYFUNCTION("""COMPUTED_VALUE"""),"40.000hs (L70)")</f>
        <v>40.000hs (L70)</v>
      </c>
      <c r="AO1227" s="97" t="str">
        <f>IFERROR(__xludf.DUMMYFUNCTION("""COMPUTED_VALUE"""),"4 Años")</f>
        <v>4 Años</v>
      </c>
      <c r="AP1227" s="97" t="str">
        <f>IFERROR(__xludf.DUMMYFUNCTION("""COMPUTED_VALUE"""),"Falta")</f>
        <v>Falta</v>
      </c>
      <c r="AQ1227" s="97" t="str">
        <f>IFERROR(__xludf.DUMMYFUNCTION("""COMPUTED_VALUE"""),"Falta")</f>
        <v>Falta</v>
      </c>
      <c r="AR1227" s="97" t="str">
        <f>IFERROR(__xludf.DUMMYFUNCTION("""COMPUTED_VALUE"""),"En revisión")</f>
        <v>En revisión</v>
      </c>
      <c r="AS1227" s="97" t="str">
        <f>IFERROR(__xludf.DUMMYFUNCTION("""COMPUTED_VALUE"""),"Falta")</f>
        <v>Falta</v>
      </c>
      <c r="AT1227" s="97" t="str">
        <f>IFERROR(__xludf.DUMMYFUNCTION("""COMPUTED_VALUE"""),"Falta")</f>
        <v>Falta</v>
      </c>
      <c r="AU1227" s="97" t="str">
        <f>IFERROR(__xludf.DUMMYFUNCTION("""COMPUTED_VALUE"""),"Falta")</f>
        <v>Falta</v>
      </c>
      <c r="AV1227" s="97" t="str">
        <f>IFERROR(__xludf.DUMMYFUNCTION("""COMPUTED_VALUE"""),"Empotrable")</f>
        <v>Empotrable</v>
      </c>
      <c r="AW1227" s="97" t="str">
        <f>IFERROR(__xludf.DUMMYFUNCTION("""COMPUTED_VALUE"""),"De Techo")</f>
        <v>De Techo</v>
      </c>
      <c r="AX1227" s="97" t="str">
        <f>IFERROR(__xludf.DUMMYFUNCTION("""COMPUTED_VALUE"""),"Interior")</f>
        <v>Interior</v>
      </c>
      <c r="AY1227" s="97" t="str">
        <f>IFERROR(__xludf.DUMMYFUNCTION("""COMPUTED_VALUE"""),"Pocket")</f>
        <v>Pocket</v>
      </c>
      <c r="AZ1227" s="97"/>
      <c r="BA1227" s="97"/>
      <c r="BB1227" s="97"/>
      <c r="BC1227" s="97"/>
      <c r="BD1227" s="97" t="str">
        <f>IFERROR(__xludf.DUMMYFUNCTION("""COMPUTED_VALUE"""),"POCKET VI")</f>
        <v>POCKET VI</v>
      </c>
      <c r="BE1227" s="97" t="str">
        <f>IFERROR(__xludf.DUMMYFUNCTION("""COMPUTED_VALUE"""),"Falta TR")</f>
        <v>Falta TR</v>
      </c>
      <c r="BF1227" s="97">
        <f>IFERROR(__xludf.DUMMYFUNCTION("""COMPUTED_VALUE"""),7729.0)</f>
        <v>7729</v>
      </c>
      <c r="BG1227" s="97" t="str">
        <f>IFERROR(__xludf.DUMMYFUNCTION("""COMPUTED_VALUE"""),"En Salida")</f>
        <v>En Salida</v>
      </c>
    </row>
    <row r="1228">
      <c r="A1228" s="97">
        <f>IFERROR(__xludf.DUMMYFUNCTION("""COMPUTED_VALUE"""),7188.0)</f>
        <v>7188</v>
      </c>
      <c r="B1228" s="97" t="str">
        <f>IFERROR(__xludf.DUMMYFUNCTION("""COMPUTED_VALUE"""),"POCKET VI BLNG 2700K")</f>
        <v>POCKET VI BLNG 2700K</v>
      </c>
      <c r="C1228" s="97" t="str">
        <f>IFERROR(__xludf.DUMMYFUNCTION("""COMPUTED_VALUE"""),"EMPOTRABLE POCKET VI BLNG 2700K 10W 2700K 875LM CRI&gt;90 IP20 LEUK")</f>
        <v>EMPOTRABLE POCKET VI BLNG 2700K 10W 2700K 875LM CRI&gt;90 IP20 LEUK</v>
      </c>
      <c r="D1228" s="97">
        <f>IFERROR(__xludf.DUMMYFUNCTION("""COMPUTED_VALUE"""),7.79841322739E12)</f>
        <v>7798413227390</v>
      </c>
      <c r="E1228" s="97" t="str">
        <f>IFERROR(__xludf.DUMMYFUNCTION("""COMPUTED_VALUE"""),"F69")</f>
        <v>F69</v>
      </c>
      <c r="F1228" s="97" t="str">
        <f>IFERROR(__xludf.DUMMYFUNCTION("""COMPUTED_VALUE"""),"LED SMD")</f>
        <v>LED SMD</v>
      </c>
      <c r="G1228" s="97" t="str">
        <f>IFERROR(__xludf.DUMMYFUNCTION("""COMPUTED_VALUE"""),"Bridgelux")</f>
        <v>Bridgelux</v>
      </c>
      <c r="H1228" s="97" t="str">
        <f>IFERROR(__xludf.DUMMYFUNCTION("""COMPUTED_VALUE"""),"Eaglerise")</f>
        <v>Eaglerise</v>
      </c>
      <c r="I1228" s="97" t="str">
        <f>IFERROR(__xludf.DUMMYFUNCTION("""COMPUTED_VALUE"""),"Si")</f>
        <v>Si</v>
      </c>
      <c r="J1228" s="97" t="str">
        <f>IFERROR(__xludf.DUMMYFUNCTION("""COMPUTED_VALUE"""),"Modelo: LS-12-500 SI2 E
In: 220-240Vac 0.16A 50/60Hz
Out: 18-24Vdc 500mA 12W
Pf 0.6 Tc 85°C Ta 45°C")</f>
        <v>Modelo: LS-12-500 SI2 E
In: 220-240Vac 0.16A 50/60Hz
Out: 18-24Vdc 500mA 12W
Pf 0.6 Tc 85°C Ta 45°C</v>
      </c>
      <c r="K1228" s="97" t="str">
        <f>IFERROR(__xludf.DUMMYFUNCTION("""COMPUTED_VALUE"""),"ON/OFF")</f>
        <v>ON/OFF</v>
      </c>
      <c r="L1228" s="97" t="str">
        <f>IFERROR(__xludf.DUMMYFUNCTION("""COMPUTED_VALUE"""),"200-240")</f>
        <v>200-240</v>
      </c>
      <c r="M1228" s="97" t="str">
        <f>IFERROR(__xludf.DUMMYFUNCTION("""COMPUTED_VALUE"""),"50/60")</f>
        <v>50/60</v>
      </c>
      <c r="N1228" s="97" t="str">
        <f>IFERROR(__xludf.DUMMYFUNCTION("""COMPUTED_VALUE"""),"Directa")</f>
        <v>Directa</v>
      </c>
      <c r="O1228" s="97">
        <f>IFERROR(__xludf.DUMMYFUNCTION("""COMPUTED_VALUE"""),10.0)</f>
        <v>10</v>
      </c>
      <c r="P1228" s="97"/>
      <c r="Q1228" s="97">
        <f>IFERROR(__xludf.DUMMYFUNCTION("""COMPUTED_VALUE"""),0.6)</f>
        <v>0.6</v>
      </c>
      <c r="R1228" s="97" t="str">
        <f>IFERROR(__xludf.DUMMYFUNCTION("""COMPUTED_VALUE"""),"-")</f>
        <v>-</v>
      </c>
      <c r="S1228" s="97" t="str">
        <f>IFERROR(__xludf.DUMMYFUNCTION("""COMPUTED_VALUE"""),"-")</f>
        <v>-</v>
      </c>
      <c r="T1228" s="97">
        <f>IFERROR(__xludf.DUMMYFUNCTION("""COMPUTED_VALUE"""),875.0)</f>
        <v>875</v>
      </c>
      <c r="U1228" s="99">
        <f>IFERROR(__xludf.DUMMYFUNCTION("""COMPUTED_VALUE"""),87.5)</f>
        <v>87.5</v>
      </c>
      <c r="V1228" s="97">
        <f>IFERROR(__xludf.DUMMYFUNCTION("""COMPUTED_VALUE"""),36.0)</f>
        <v>36</v>
      </c>
      <c r="W1228" s="97" t="str">
        <f>IFERROR(__xludf.DUMMYFUNCTION("""COMPUTED_VALUE"""),"&lt; 14")</f>
        <v>&lt; 14</v>
      </c>
      <c r="X1228" s="97">
        <f>IFERROR(__xludf.DUMMYFUNCTION("""COMPUTED_VALUE"""),2700.0)</f>
        <v>2700</v>
      </c>
      <c r="Y1228" s="97" t="str">
        <f>IFERROR(__xludf.DUMMYFUNCTION("""COMPUTED_VALUE"""),"&gt;90")</f>
        <v>&gt;90</v>
      </c>
      <c r="Z1228" s="97"/>
      <c r="AA1228" s="97"/>
      <c r="AB1228" s="97" t="str">
        <f>IFERROR(__xludf.DUMMYFUNCTION("""COMPUTED_VALUE"""),"&lt; 5")</f>
        <v>&lt; 5</v>
      </c>
      <c r="AC1228" s="97"/>
      <c r="AD1228" s="97" t="str">
        <f>IFERROR(__xludf.DUMMYFUNCTION("""COMPUTED_VALUE"""),"IP20")</f>
        <v>IP20</v>
      </c>
      <c r="AE1228" s="97" t="str">
        <f>IFERROR(__xludf.DUMMYFUNCTION("""COMPUTED_VALUE"""),"Clase l")</f>
        <v>Clase l</v>
      </c>
      <c r="AF1228" s="97" t="str">
        <f>IFERROR(__xludf.DUMMYFUNCTION("""COMPUTED_VALUE"""),"Embutir")</f>
        <v>Embutir</v>
      </c>
      <c r="AG1228" s="97" t="str">
        <f>IFERROR(__xludf.DUMMYFUNCTION("""COMPUTED_VALUE"""),"126 x 31 x 40")</f>
        <v>126 x 31 x 40</v>
      </c>
      <c r="AH1228" s="97" t="str">
        <f>IFERROR(__xludf.DUMMYFUNCTION("""COMPUTED_VALUE"""),"122 x 27")</f>
        <v>122 x 27</v>
      </c>
      <c r="AI1228" s="97">
        <f>IFERROR(__xludf.DUMMYFUNCTION("""COMPUTED_VALUE"""),55.0)</f>
        <v>55</v>
      </c>
      <c r="AJ1228" s="97" t="str">
        <f>IFERROR(__xludf.DUMMYFUNCTION("""COMPUTED_VALUE"""),"Policarbonato (PC)")</f>
        <v>Policarbonato (PC)</v>
      </c>
      <c r="AK1228" s="97" t="str">
        <f>IFERROR(__xludf.DUMMYFUNCTION("""COMPUTED_VALUE"""),"Aluminio")</f>
        <v>Aluminio</v>
      </c>
      <c r="AL1228" s="97" t="str">
        <f>IFERROR(__xludf.DUMMYFUNCTION("""COMPUTED_VALUE"""),"Blanco y Negro")</f>
        <v>Blanco y Negro</v>
      </c>
      <c r="AM1228" s="97" t="str">
        <f>IFERROR(__xludf.DUMMYFUNCTION("""COMPUTED_VALUE"""),"-")</f>
        <v>-</v>
      </c>
      <c r="AN1228" s="97" t="str">
        <f>IFERROR(__xludf.DUMMYFUNCTION("""COMPUTED_VALUE"""),"40.000hs (L70)")</f>
        <v>40.000hs (L70)</v>
      </c>
      <c r="AO1228" s="97" t="str">
        <f>IFERROR(__xludf.DUMMYFUNCTION("""COMPUTED_VALUE"""),"4 Años")</f>
        <v>4 Años</v>
      </c>
      <c r="AP1228" s="97" t="str">
        <f>IFERROR(__xludf.DUMMYFUNCTION("""COMPUTED_VALUE"""),"Falta")</f>
        <v>Falta</v>
      </c>
      <c r="AQ1228" s="97" t="str">
        <f>IFERROR(__xludf.DUMMYFUNCTION("""COMPUTED_VALUE"""),"Falta")</f>
        <v>Falta</v>
      </c>
      <c r="AR1228" s="97" t="str">
        <f>IFERROR(__xludf.DUMMYFUNCTION("""COMPUTED_VALUE"""),"En revisión")</f>
        <v>En revisión</v>
      </c>
      <c r="AS1228" s="97" t="str">
        <f>IFERROR(__xludf.DUMMYFUNCTION("""COMPUTED_VALUE"""),"Falta")</f>
        <v>Falta</v>
      </c>
      <c r="AT1228" s="97" t="str">
        <f>IFERROR(__xludf.DUMMYFUNCTION("""COMPUTED_VALUE"""),"Falta")</f>
        <v>Falta</v>
      </c>
      <c r="AU1228" s="97" t="str">
        <f>IFERROR(__xludf.DUMMYFUNCTION("""COMPUTED_VALUE"""),"Falta")</f>
        <v>Falta</v>
      </c>
      <c r="AV1228" s="97" t="str">
        <f>IFERROR(__xludf.DUMMYFUNCTION("""COMPUTED_VALUE"""),"Empotrable")</f>
        <v>Empotrable</v>
      </c>
      <c r="AW1228" s="97" t="str">
        <f>IFERROR(__xludf.DUMMYFUNCTION("""COMPUTED_VALUE"""),"De Techo")</f>
        <v>De Techo</v>
      </c>
      <c r="AX1228" s="97" t="str">
        <f>IFERROR(__xludf.DUMMYFUNCTION("""COMPUTED_VALUE"""),"Interior")</f>
        <v>Interior</v>
      </c>
      <c r="AY1228" s="97" t="str">
        <f>IFERROR(__xludf.DUMMYFUNCTION("""COMPUTED_VALUE"""),"Pocket")</f>
        <v>Pocket</v>
      </c>
      <c r="AZ1228" s="97"/>
      <c r="BA1228" s="97"/>
      <c r="BB1228" s="97"/>
      <c r="BC1228" s="97"/>
      <c r="BD1228" s="97" t="str">
        <f>IFERROR(__xludf.DUMMYFUNCTION("""COMPUTED_VALUE"""),"POCKET VI")</f>
        <v>POCKET VI</v>
      </c>
      <c r="BE1228" s="97" t="str">
        <f>IFERROR(__xludf.DUMMYFUNCTION("""COMPUTED_VALUE"""),"Falta TR")</f>
        <v>Falta TR</v>
      </c>
      <c r="BF1228" s="97">
        <f>IFERROR(__xludf.DUMMYFUNCTION("""COMPUTED_VALUE"""),7730.0)</f>
        <v>7730</v>
      </c>
      <c r="BG1228" s="97" t="str">
        <f>IFERROR(__xludf.DUMMYFUNCTION("""COMPUTED_VALUE"""),"En Salida")</f>
        <v>En Salida</v>
      </c>
    </row>
    <row r="1229">
      <c r="A1229" s="97">
        <f>IFERROR(__xludf.DUMMYFUNCTION("""COMPUTED_VALUE"""),7189.0)</f>
        <v>7189</v>
      </c>
      <c r="B1229" s="97" t="str">
        <f>IFERROR(__xludf.DUMMYFUNCTION("""COMPUTED_VALUE"""),"POCKET VI BLNG 3000K")</f>
        <v>POCKET VI BLNG 3000K</v>
      </c>
      <c r="C1229" s="97" t="str">
        <f>IFERROR(__xludf.DUMMYFUNCTION("""COMPUTED_VALUE"""),"EMPOTRABLE POCKET VI BLNG 3000K 10W 3000K 875LM CRI&gt;90 IP20 LEUK")</f>
        <v>EMPOTRABLE POCKET VI BLNG 3000K 10W 3000K 875LM CRI&gt;90 IP20 LEUK</v>
      </c>
      <c r="D1229" s="97">
        <f>IFERROR(__xludf.DUMMYFUNCTION("""COMPUTED_VALUE"""),7.798413227406E12)</f>
        <v>7798413227406</v>
      </c>
      <c r="E1229" s="97" t="str">
        <f>IFERROR(__xludf.DUMMYFUNCTION("""COMPUTED_VALUE"""),"F69")</f>
        <v>F69</v>
      </c>
      <c r="F1229" s="97" t="str">
        <f>IFERROR(__xludf.DUMMYFUNCTION("""COMPUTED_VALUE"""),"LED SMD")</f>
        <v>LED SMD</v>
      </c>
      <c r="G1229" s="97" t="str">
        <f>IFERROR(__xludf.DUMMYFUNCTION("""COMPUTED_VALUE"""),"Bridgelux")</f>
        <v>Bridgelux</v>
      </c>
      <c r="H1229" s="97" t="str">
        <f>IFERROR(__xludf.DUMMYFUNCTION("""COMPUTED_VALUE"""),"Eaglerise")</f>
        <v>Eaglerise</v>
      </c>
      <c r="I1229" s="97" t="str">
        <f>IFERROR(__xludf.DUMMYFUNCTION("""COMPUTED_VALUE"""),"Si")</f>
        <v>Si</v>
      </c>
      <c r="J1229" s="97" t="str">
        <f>IFERROR(__xludf.DUMMYFUNCTION("""COMPUTED_VALUE"""),"Modelo: LS-12-500 SI2 E
In: 220-240Vac 0.16A 50/60Hz
Out: 18-24Vdc 500mA 12W
Pf 0.6 Tc 85°C Ta 45°C")</f>
        <v>Modelo: LS-12-500 SI2 E
In: 220-240Vac 0.16A 50/60Hz
Out: 18-24Vdc 500mA 12W
Pf 0.6 Tc 85°C Ta 45°C</v>
      </c>
      <c r="K1229" s="97" t="str">
        <f>IFERROR(__xludf.DUMMYFUNCTION("""COMPUTED_VALUE"""),"ON/OFF")</f>
        <v>ON/OFF</v>
      </c>
      <c r="L1229" s="97" t="str">
        <f>IFERROR(__xludf.DUMMYFUNCTION("""COMPUTED_VALUE"""),"200-240")</f>
        <v>200-240</v>
      </c>
      <c r="M1229" s="97" t="str">
        <f>IFERROR(__xludf.DUMMYFUNCTION("""COMPUTED_VALUE"""),"50/60")</f>
        <v>50/60</v>
      </c>
      <c r="N1229" s="97" t="str">
        <f>IFERROR(__xludf.DUMMYFUNCTION("""COMPUTED_VALUE"""),"Directa")</f>
        <v>Directa</v>
      </c>
      <c r="O1229" s="97">
        <f>IFERROR(__xludf.DUMMYFUNCTION("""COMPUTED_VALUE"""),10.0)</f>
        <v>10</v>
      </c>
      <c r="P1229" s="97"/>
      <c r="Q1229" s="97">
        <f>IFERROR(__xludf.DUMMYFUNCTION("""COMPUTED_VALUE"""),0.6)</f>
        <v>0.6</v>
      </c>
      <c r="R1229" s="97" t="str">
        <f>IFERROR(__xludf.DUMMYFUNCTION("""COMPUTED_VALUE"""),"-")</f>
        <v>-</v>
      </c>
      <c r="S1229" s="97" t="str">
        <f>IFERROR(__xludf.DUMMYFUNCTION("""COMPUTED_VALUE"""),"-")</f>
        <v>-</v>
      </c>
      <c r="T1229" s="97">
        <f>IFERROR(__xludf.DUMMYFUNCTION("""COMPUTED_VALUE"""),875.0)</f>
        <v>875</v>
      </c>
      <c r="U1229" s="99">
        <f>IFERROR(__xludf.DUMMYFUNCTION("""COMPUTED_VALUE"""),87.5)</f>
        <v>87.5</v>
      </c>
      <c r="V1229" s="97">
        <f>IFERROR(__xludf.DUMMYFUNCTION("""COMPUTED_VALUE"""),36.0)</f>
        <v>36</v>
      </c>
      <c r="W1229" s="97" t="str">
        <f>IFERROR(__xludf.DUMMYFUNCTION("""COMPUTED_VALUE"""),"&lt; 14")</f>
        <v>&lt; 14</v>
      </c>
      <c r="X1229" s="97">
        <f>IFERROR(__xludf.DUMMYFUNCTION("""COMPUTED_VALUE"""),3000.0)</f>
        <v>3000</v>
      </c>
      <c r="Y1229" s="97" t="str">
        <f>IFERROR(__xludf.DUMMYFUNCTION("""COMPUTED_VALUE"""),"&gt;90")</f>
        <v>&gt;90</v>
      </c>
      <c r="Z1229" s="97"/>
      <c r="AA1229" s="97"/>
      <c r="AB1229" s="97" t="str">
        <f>IFERROR(__xludf.DUMMYFUNCTION("""COMPUTED_VALUE"""),"&lt; 5")</f>
        <v>&lt; 5</v>
      </c>
      <c r="AC1229" s="97"/>
      <c r="AD1229" s="97" t="str">
        <f>IFERROR(__xludf.DUMMYFUNCTION("""COMPUTED_VALUE"""),"IP20")</f>
        <v>IP20</v>
      </c>
      <c r="AE1229" s="97" t="str">
        <f>IFERROR(__xludf.DUMMYFUNCTION("""COMPUTED_VALUE"""),"Clase l")</f>
        <v>Clase l</v>
      </c>
      <c r="AF1229" s="97" t="str">
        <f>IFERROR(__xludf.DUMMYFUNCTION("""COMPUTED_VALUE"""),"Embutir")</f>
        <v>Embutir</v>
      </c>
      <c r="AG1229" s="97" t="str">
        <f>IFERROR(__xludf.DUMMYFUNCTION("""COMPUTED_VALUE"""),"126 x 31 x 40")</f>
        <v>126 x 31 x 40</v>
      </c>
      <c r="AH1229" s="97" t="str">
        <f>IFERROR(__xludf.DUMMYFUNCTION("""COMPUTED_VALUE"""),"122 x 27")</f>
        <v>122 x 27</v>
      </c>
      <c r="AI1229" s="97">
        <f>IFERROR(__xludf.DUMMYFUNCTION("""COMPUTED_VALUE"""),55.0)</f>
        <v>55</v>
      </c>
      <c r="AJ1229" s="97" t="str">
        <f>IFERROR(__xludf.DUMMYFUNCTION("""COMPUTED_VALUE"""),"Policarbonato (PC)")</f>
        <v>Policarbonato (PC)</v>
      </c>
      <c r="AK1229" s="97" t="str">
        <f>IFERROR(__xludf.DUMMYFUNCTION("""COMPUTED_VALUE"""),"Aluminio")</f>
        <v>Aluminio</v>
      </c>
      <c r="AL1229" s="97" t="str">
        <f>IFERROR(__xludf.DUMMYFUNCTION("""COMPUTED_VALUE"""),"Blanco y Negro")</f>
        <v>Blanco y Negro</v>
      </c>
      <c r="AM1229" s="97" t="str">
        <f>IFERROR(__xludf.DUMMYFUNCTION("""COMPUTED_VALUE"""),"-")</f>
        <v>-</v>
      </c>
      <c r="AN1229" s="97" t="str">
        <f>IFERROR(__xludf.DUMMYFUNCTION("""COMPUTED_VALUE"""),"40.000hs (L70)")</f>
        <v>40.000hs (L70)</v>
      </c>
      <c r="AO1229" s="97" t="str">
        <f>IFERROR(__xludf.DUMMYFUNCTION("""COMPUTED_VALUE"""),"4 Años")</f>
        <v>4 Años</v>
      </c>
      <c r="AP1229" s="97" t="str">
        <f>IFERROR(__xludf.DUMMYFUNCTION("""COMPUTED_VALUE"""),"Falta")</f>
        <v>Falta</v>
      </c>
      <c r="AQ1229" s="97" t="str">
        <f>IFERROR(__xludf.DUMMYFUNCTION("""COMPUTED_VALUE"""),"Falta")</f>
        <v>Falta</v>
      </c>
      <c r="AR1229" s="97" t="str">
        <f>IFERROR(__xludf.DUMMYFUNCTION("""COMPUTED_VALUE"""),"En revisión")</f>
        <v>En revisión</v>
      </c>
      <c r="AS1229" s="97" t="str">
        <f>IFERROR(__xludf.DUMMYFUNCTION("""COMPUTED_VALUE"""),"Falta")</f>
        <v>Falta</v>
      </c>
      <c r="AT1229" s="97" t="str">
        <f>IFERROR(__xludf.DUMMYFUNCTION("""COMPUTED_VALUE"""),"Falta")</f>
        <v>Falta</v>
      </c>
      <c r="AU1229" s="97" t="str">
        <f>IFERROR(__xludf.DUMMYFUNCTION("""COMPUTED_VALUE"""),"Falta")</f>
        <v>Falta</v>
      </c>
      <c r="AV1229" s="97" t="str">
        <f>IFERROR(__xludf.DUMMYFUNCTION("""COMPUTED_VALUE"""),"Empotrable")</f>
        <v>Empotrable</v>
      </c>
      <c r="AW1229" s="97" t="str">
        <f>IFERROR(__xludf.DUMMYFUNCTION("""COMPUTED_VALUE"""),"De Techo")</f>
        <v>De Techo</v>
      </c>
      <c r="AX1229" s="97" t="str">
        <f>IFERROR(__xludf.DUMMYFUNCTION("""COMPUTED_VALUE"""),"Interior")</f>
        <v>Interior</v>
      </c>
      <c r="AY1229" s="97" t="str">
        <f>IFERROR(__xludf.DUMMYFUNCTION("""COMPUTED_VALUE"""),"Pocket")</f>
        <v>Pocket</v>
      </c>
      <c r="AZ1229" s="97"/>
      <c r="BA1229" s="97"/>
      <c r="BB1229" s="97"/>
      <c r="BC1229" s="97"/>
      <c r="BD1229" s="97" t="str">
        <f>IFERROR(__xludf.DUMMYFUNCTION("""COMPUTED_VALUE"""),"POCKET VI")</f>
        <v>POCKET VI</v>
      </c>
      <c r="BE1229" s="97" t="str">
        <f>IFERROR(__xludf.DUMMYFUNCTION("""COMPUTED_VALUE"""),"Falta TR")</f>
        <v>Falta TR</v>
      </c>
      <c r="BF1229" s="97">
        <f>IFERROR(__xludf.DUMMYFUNCTION("""COMPUTED_VALUE"""),7730.0)</f>
        <v>7730</v>
      </c>
      <c r="BG1229" s="97" t="str">
        <f>IFERROR(__xludf.DUMMYFUNCTION("""COMPUTED_VALUE"""),"En Salida")</f>
        <v>En Salida</v>
      </c>
    </row>
    <row r="1230">
      <c r="A1230" s="97">
        <f>IFERROR(__xludf.DUMMYFUNCTION("""COMPUTED_VALUE"""),7190.0)</f>
        <v>7190</v>
      </c>
      <c r="B1230" s="97" t="str">
        <f>IFERROR(__xludf.DUMMYFUNCTION("""COMPUTED_VALUE"""),"POCKET XII BLNG 2700K TRIAC")</f>
        <v>POCKET XII BLNG 2700K TRIAC</v>
      </c>
      <c r="C1230" s="97" t="str">
        <f>IFERROR(__xludf.DUMMYFUNCTION("""COMPUTED_VALUE"""),"EMPOTRABLE POCKET XII BLNG 2700K TRIAC 20W 2700K 1785LM CRI&gt;90 IP20 LEUK")</f>
        <v>EMPOTRABLE POCKET XII BLNG 2700K TRIAC 20W 2700K 1785LM CRI&gt;90 IP20 LEUK</v>
      </c>
      <c r="D1230" s="97">
        <f>IFERROR(__xludf.DUMMYFUNCTION("""COMPUTED_VALUE"""),7.798413227413E12)</f>
        <v>7798413227413</v>
      </c>
      <c r="E1230" s="97" t="str">
        <f>IFERROR(__xludf.DUMMYFUNCTION("""COMPUTED_VALUE"""),"F46")</f>
        <v>F46</v>
      </c>
      <c r="F1230" s="97" t="str">
        <f>IFERROR(__xludf.DUMMYFUNCTION("""COMPUTED_VALUE"""),"LED SMD")</f>
        <v>LED SMD</v>
      </c>
      <c r="G1230" s="97" t="str">
        <f>IFERROR(__xludf.DUMMYFUNCTION("""COMPUTED_VALUE"""),"Bridgelux")</f>
        <v>Bridgelux</v>
      </c>
      <c r="H1230" s="97" t="str">
        <f>IFERROR(__xludf.DUMMYFUNCTION("""COMPUTED_VALUE"""),"AiDimming")</f>
        <v>AiDimming</v>
      </c>
      <c r="I1230" s="97" t="str">
        <f>IFERROR(__xludf.DUMMYFUNCTION("""COMPUTED_VALUE"""),"Si")</f>
        <v>Si</v>
      </c>
      <c r="J1230" s="97" t="str">
        <f>IFERROR(__xludf.DUMMYFUNCTION("""COMPUTED_VALUE"""),"Modelo: PE-M20TA42
In: 200-250Vac 0.14A 50/60Hz
Out: 26-42Vdc 400a550(450)mA 23.1W
Pf 0.94 Tc 85°C Ta 45°C FlickerFree")</f>
        <v>Modelo: PE-M20TA42
In: 200-250Vac 0.14A 50/60Hz
Out: 26-42Vdc 400a550(450)mA 23.1W
Pf 0.94 Tc 85°C Ta 45°C FlickerFree</v>
      </c>
      <c r="K1230" s="97" t="str">
        <f>IFERROR(__xludf.DUMMYFUNCTION("""COMPUTED_VALUE"""),"TRIAC")</f>
        <v>TRIAC</v>
      </c>
      <c r="L1230" s="97" t="str">
        <f>IFERROR(__xludf.DUMMYFUNCTION("""COMPUTED_VALUE"""),"200-240")</f>
        <v>200-240</v>
      </c>
      <c r="M1230" s="97" t="str">
        <f>IFERROR(__xludf.DUMMYFUNCTION("""COMPUTED_VALUE"""),"50/60")</f>
        <v>50/60</v>
      </c>
      <c r="N1230" s="97" t="str">
        <f>IFERROR(__xludf.DUMMYFUNCTION("""COMPUTED_VALUE"""),"Directa")</f>
        <v>Directa</v>
      </c>
      <c r="O1230" s="97">
        <f>IFERROR(__xludf.DUMMYFUNCTION("""COMPUTED_VALUE"""),20.0)</f>
        <v>20</v>
      </c>
      <c r="P1230" s="97"/>
      <c r="Q1230" s="97">
        <f>IFERROR(__xludf.DUMMYFUNCTION("""COMPUTED_VALUE"""),0.95)</f>
        <v>0.95</v>
      </c>
      <c r="R1230" s="97" t="str">
        <f>IFERROR(__xludf.DUMMYFUNCTION("""COMPUTED_VALUE"""),"-")</f>
        <v>-</v>
      </c>
      <c r="S1230" s="97" t="str">
        <f>IFERROR(__xludf.DUMMYFUNCTION("""COMPUTED_VALUE"""),"-")</f>
        <v>-</v>
      </c>
      <c r="T1230" s="97">
        <f>IFERROR(__xludf.DUMMYFUNCTION("""COMPUTED_VALUE"""),1785.0)</f>
        <v>1785</v>
      </c>
      <c r="U1230" s="99">
        <f>IFERROR(__xludf.DUMMYFUNCTION("""COMPUTED_VALUE"""),89.25)</f>
        <v>89.25</v>
      </c>
      <c r="V1230" s="97">
        <f>IFERROR(__xludf.DUMMYFUNCTION("""COMPUTED_VALUE"""),36.0)</f>
        <v>36</v>
      </c>
      <c r="W1230" s="97" t="str">
        <f>IFERROR(__xludf.DUMMYFUNCTION("""COMPUTED_VALUE"""),"&lt; 16")</f>
        <v>&lt; 16</v>
      </c>
      <c r="X1230" s="97">
        <f>IFERROR(__xludf.DUMMYFUNCTION("""COMPUTED_VALUE"""),2700.0)</f>
        <v>2700</v>
      </c>
      <c r="Y1230" s="97" t="str">
        <f>IFERROR(__xludf.DUMMYFUNCTION("""COMPUTED_VALUE"""),"&gt;90")</f>
        <v>&gt;90</v>
      </c>
      <c r="Z1230" s="97"/>
      <c r="AA1230" s="97"/>
      <c r="AB1230" s="97" t="str">
        <f>IFERROR(__xludf.DUMMYFUNCTION("""COMPUTED_VALUE"""),"&lt; 5")</f>
        <v>&lt; 5</v>
      </c>
      <c r="AC1230" s="97"/>
      <c r="AD1230" s="97" t="str">
        <f>IFERROR(__xludf.DUMMYFUNCTION("""COMPUTED_VALUE"""),"IP20")</f>
        <v>IP20</v>
      </c>
      <c r="AE1230" s="97" t="str">
        <f>IFERROR(__xludf.DUMMYFUNCTION("""COMPUTED_VALUE"""),"Clase l")</f>
        <v>Clase l</v>
      </c>
      <c r="AF1230" s="97" t="str">
        <f>IFERROR(__xludf.DUMMYFUNCTION("""COMPUTED_VALUE"""),"Embutir")</f>
        <v>Embutir</v>
      </c>
      <c r="AG1230" s="97" t="str">
        <f>IFERROR(__xludf.DUMMYFUNCTION("""COMPUTED_VALUE"""),"240 x 31 x 40")</f>
        <v>240 x 31 x 40</v>
      </c>
      <c r="AH1230" s="97" t="str">
        <f>IFERROR(__xludf.DUMMYFUNCTION("""COMPUTED_VALUE"""),"236 x 27")</f>
        <v>236 x 27</v>
      </c>
      <c r="AI1230" s="97">
        <f>IFERROR(__xludf.DUMMYFUNCTION("""COMPUTED_VALUE"""),60.0)</f>
        <v>60</v>
      </c>
      <c r="AJ1230" s="97" t="str">
        <f>IFERROR(__xludf.DUMMYFUNCTION("""COMPUTED_VALUE"""),"Policarbonato (PC)")</f>
        <v>Policarbonato (PC)</v>
      </c>
      <c r="AK1230" s="97" t="str">
        <f>IFERROR(__xludf.DUMMYFUNCTION("""COMPUTED_VALUE"""),"Aluminio")</f>
        <v>Aluminio</v>
      </c>
      <c r="AL1230" s="97" t="str">
        <f>IFERROR(__xludf.DUMMYFUNCTION("""COMPUTED_VALUE"""),"Blanco y Negro")</f>
        <v>Blanco y Negro</v>
      </c>
      <c r="AM1230" s="97" t="str">
        <f>IFERROR(__xludf.DUMMYFUNCTION("""COMPUTED_VALUE"""),"-")</f>
        <v>-</v>
      </c>
      <c r="AN1230" s="97" t="str">
        <f>IFERROR(__xludf.DUMMYFUNCTION("""COMPUTED_VALUE"""),"40.000hs (L70)")</f>
        <v>40.000hs (L70)</v>
      </c>
      <c r="AO1230" s="97" t="str">
        <f>IFERROR(__xludf.DUMMYFUNCTION("""COMPUTED_VALUE"""),"4 Años")</f>
        <v>4 Años</v>
      </c>
      <c r="AP1230" s="97" t="str">
        <f>IFERROR(__xludf.DUMMYFUNCTION("""COMPUTED_VALUE"""),"Falta")</f>
        <v>Falta</v>
      </c>
      <c r="AQ1230" s="97" t="str">
        <f>IFERROR(__xludf.DUMMYFUNCTION("""COMPUTED_VALUE"""),"Falta")</f>
        <v>Falta</v>
      </c>
      <c r="AR1230" s="97" t="str">
        <f>IFERROR(__xludf.DUMMYFUNCTION("""COMPUTED_VALUE"""),"En revisión")</f>
        <v>En revisión</v>
      </c>
      <c r="AS1230" s="97" t="str">
        <f>IFERROR(__xludf.DUMMYFUNCTION("""COMPUTED_VALUE"""),"Falta")</f>
        <v>Falta</v>
      </c>
      <c r="AT1230" s="97" t="str">
        <f>IFERROR(__xludf.DUMMYFUNCTION("""COMPUTED_VALUE"""),"Falta")</f>
        <v>Falta</v>
      </c>
      <c r="AU1230" s="97" t="str">
        <f>IFERROR(__xludf.DUMMYFUNCTION("""COMPUTED_VALUE"""),"Falta")</f>
        <v>Falta</v>
      </c>
      <c r="AV1230" s="97" t="str">
        <f>IFERROR(__xludf.DUMMYFUNCTION("""COMPUTED_VALUE"""),"Empotrable")</f>
        <v>Empotrable</v>
      </c>
      <c r="AW1230" s="97" t="str">
        <f>IFERROR(__xludf.DUMMYFUNCTION("""COMPUTED_VALUE"""),"De Techo")</f>
        <v>De Techo</v>
      </c>
      <c r="AX1230" s="97" t="str">
        <f>IFERROR(__xludf.DUMMYFUNCTION("""COMPUTED_VALUE"""),"Interior")</f>
        <v>Interior</v>
      </c>
      <c r="AY1230" s="97" t="str">
        <f>IFERROR(__xludf.DUMMYFUNCTION("""COMPUTED_VALUE"""),"Pocket")</f>
        <v>Pocket</v>
      </c>
      <c r="AZ1230" s="97"/>
      <c r="BA1230" s="97"/>
      <c r="BB1230" s="97"/>
      <c r="BC1230" s="97"/>
      <c r="BD1230" s="97" t="str">
        <f>IFERROR(__xludf.DUMMYFUNCTION("""COMPUTED_VALUE"""),"POCKET XII")</f>
        <v>POCKET XII</v>
      </c>
      <c r="BE1230" s="97" t="str">
        <f>IFERROR(__xludf.DUMMYFUNCTION("""COMPUTED_VALUE"""),"Falta TR")</f>
        <v>Falta TR</v>
      </c>
      <c r="BF1230" s="97">
        <f>IFERROR(__xludf.DUMMYFUNCTION("""COMPUTED_VALUE"""),7745.0)</f>
        <v>7745</v>
      </c>
      <c r="BG1230" s="97" t="str">
        <f>IFERROR(__xludf.DUMMYFUNCTION("""COMPUTED_VALUE"""),"En Salida")</f>
        <v>En Salida</v>
      </c>
    </row>
    <row r="1231">
      <c r="A1231" s="97">
        <f>IFERROR(__xludf.DUMMYFUNCTION("""COMPUTED_VALUE"""),7191.0)</f>
        <v>7191</v>
      </c>
      <c r="B1231" s="97" t="str">
        <f>IFERROR(__xludf.DUMMYFUNCTION("""COMPUTED_VALUE"""),"POCKET XII BLNG 3000K TRIAC")</f>
        <v>POCKET XII BLNG 3000K TRIAC</v>
      </c>
      <c r="C1231" s="97" t="str">
        <f>IFERROR(__xludf.DUMMYFUNCTION("""COMPUTED_VALUE"""),"EMPOTRABLE POCKET XII BLNG 3000K TRIAC 20W 3000K 1785LM CRI&gt;90 IP20 LEUK")</f>
        <v>EMPOTRABLE POCKET XII BLNG 3000K TRIAC 20W 3000K 1785LM CRI&gt;90 IP20 LEUK</v>
      </c>
      <c r="D1231" s="97">
        <f>IFERROR(__xludf.DUMMYFUNCTION("""COMPUTED_VALUE"""),7.79841322742E12)</f>
        <v>7798413227420</v>
      </c>
      <c r="E1231" s="97" t="str">
        <f>IFERROR(__xludf.DUMMYFUNCTION("""COMPUTED_VALUE"""),"F46")</f>
        <v>F46</v>
      </c>
      <c r="F1231" s="97" t="str">
        <f>IFERROR(__xludf.DUMMYFUNCTION("""COMPUTED_VALUE"""),"LED SMD")</f>
        <v>LED SMD</v>
      </c>
      <c r="G1231" s="97" t="str">
        <f>IFERROR(__xludf.DUMMYFUNCTION("""COMPUTED_VALUE"""),"Bridgelux")</f>
        <v>Bridgelux</v>
      </c>
      <c r="H1231" s="97" t="str">
        <f>IFERROR(__xludf.DUMMYFUNCTION("""COMPUTED_VALUE"""),"AiDimming")</f>
        <v>AiDimming</v>
      </c>
      <c r="I1231" s="97" t="str">
        <f>IFERROR(__xludf.DUMMYFUNCTION("""COMPUTED_VALUE"""),"Si")</f>
        <v>Si</v>
      </c>
      <c r="J1231" s="97" t="str">
        <f>IFERROR(__xludf.DUMMYFUNCTION("""COMPUTED_VALUE"""),"Modelo: PE-M20TA42
In: 200-250Vac 0.14A 50/60Hz
Out: 26-42Vdc 400a550(450)mA 23.1W
Pf 0.94 Tc 85°C Ta 45°C FlickerFree")</f>
        <v>Modelo: PE-M20TA42
In: 200-250Vac 0.14A 50/60Hz
Out: 26-42Vdc 400a550(450)mA 23.1W
Pf 0.94 Tc 85°C Ta 45°C FlickerFree</v>
      </c>
      <c r="K1231" s="97" t="str">
        <f>IFERROR(__xludf.DUMMYFUNCTION("""COMPUTED_VALUE"""),"TRIAC")</f>
        <v>TRIAC</v>
      </c>
      <c r="L1231" s="97" t="str">
        <f>IFERROR(__xludf.DUMMYFUNCTION("""COMPUTED_VALUE"""),"200-240")</f>
        <v>200-240</v>
      </c>
      <c r="M1231" s="97" t="str">
        <f>IFERROR(__xludf.DUMMYFUNCTION("""COMPUTED_VALUE"""),"50/60")</f>
        <v>50/60</v>
      </c>
      <c r="N1231" s="97" t="str">
        <f>IFERROR(__xludf.DUMMYFUNCTION("""COMPUTED_VALUE"""),"Directa")</f>
        <v>Directa</v>
      </c>
      <c r="O1231" s="97">
        <f>IFERROR(__xludf.DUMMYFUNCTION("""COMPUTED_VALUE"""),20.0)</f>
        <v>20</v>
      </c>
      <c r="P1231" s="97"/>
      <c r="Q1231" s="97">
        <f>IFERROR(__xludf.DUMMYFUNCTION("""COMPUTED_VALUE"""),0.95)</f>
        <v>0.95</v>
      </c>
      <c r="R1231" s="97" t="str">
        <f>IFERROR(__xludf.DUMMYFUNCTION("""COMPUTED_VALUE"""),"-")</f>
        <v>-</v>
      </c>
      <c r="S1231" s="97" t="str">
        <f>IFERROR(__xludf.DUMMYFUNCTION("""COMPUTED_VALUE"""),"-")</f>
        <v>-</v>
      </c>
      <c r="T1231" s="97">
        <f>IFERROR(__xludf.DUMMYFUNCTION("""COMPUTED_VALUE"""),1785.0)</f>
        <v>1785</v>
      </c>
      <c r="U1231" s="99">
        <f>IFERROR(__xludf.DUMMYFUNCTION("""COMPUTED_VALUE"""),89.25)</f>
        <v>89.25</v>
      </c>
      <c r="V1231" s="97">
        <f>IFERROR(__xludf.DUMMYFUNCTION("""COMPUTED_VALUE"""),36.0)</f>
        <v>36</v>
      </c>
      <c r="W1231" s="97" t="str">
        <f>IFERROR(__xludf.DUMMYFUNCTION("""COMPUTED_VALUE"""),"&lt; 16")</f>
        <v>&lt; 16</v>
      </c>
      <c r="X1231" s="97">
        <f>IFERROR(__xludf.DUMMYFUNCTION("""COMPUTED_VALUE"""),3000.0)</f>
        <v>3000</v>
      </c>
      <c r="Y1231" s="97" t="str">
        <f>IFERROR(__xludf.DUMMYFUNCTION("""COMPUTED_VALUE"""),"&gt;90")</f>
        <v>&gt;90</v>
      </c>
      <c r="Z1231" s="97"/>
      <c r="AA1231" s="97"/>
      <c r="AB1231" s="97" t="str">
        <f>IFERROR(__xludf.DUMMYFUNCTION("""COMPUTED_VALUE"""),"&lt; 5")</f>
        <v>&lt; 5</v>
      </c>
      <c r="AC1231" s="97"/>
      <c r="AD1231" s="97" t="str">
        <f>IFERROR(__xludf.DUMMYFUNCTION("""COMPUTED_VALUE"""),"IP20")</f>
        <v>IP20</v>
      </c>
      <c r="AE1231" s="97" t="str">
        <f>IFERROR(__xludf.DUMMYFUNCTION("""COMPUTED_VALUE"""),"Clase l")</f>
        <v>Clase l</v>
      </c>
      <c r="AF1231" s="97" t="str">
        <f>IFERROR(__xludf.DUMMYFUNCTION("""COMPUTED_VALUE"""),"Embutir")</f>
        <v>Embutir</v>
      </c>
      <c r="AG1231" s="97" t="str">
        <f>IFERROR(__xludf.DUMMYFUNCTION("""COMPUTED_VALUE"""),"240 x 31 x 40")</f>
        <v>240 x 31 x 40</v>
      </c>
      <c r="AH1231" s="97" t="str">
        <f>IFERROR(__xludf.DUMMYFUNCTION("""COMPUTED_VALUE"""),"236 x 27")</f>
        <v>236 x 27</v>
      </c>
      <c r="AI1231" s="97">
        <f>IFERROR(__xludf.DUMMYFUNCTION("""COMPUTED_VALUE"""),60.0)</f>
        <v>60</v>
      </c>
      <c r="AJ1231" s="97" t="str">
        <f>IFERROR(__xludf.DUMMYFUNCTION("""COMPUTED_VALUE"""),"Policarbonato (PC)")</f>
        <v>Policarbonato (PC)</v>
      </c>
      <c r="AK1231" s="97" t="str">
        <f>IFERROR(__xludf.DUMMYFUNCTION("""COMPUTED_VALUE"""),"Aluminio")</f>
        <v>Aluminio</v>
      </c>
      <c r="AL1231" s="97" t="str">
        <f>IFERROR(__xludf.DUMMYFUNCTION("""COMPUTED_VALUE"""),"Blanco y Negro")</f>
        <v>Blanco y Negro</v>
      </c>
      <c r="AM1231" s="97" t="str">
        <f>IFERROR(__xludf.DUMMYFUNCTION("""COMPUTED_VALUE"""),"-")</f>
        <v>-</v>
      </c>
      <c r="AN1231" s="97" t="str">
        <f>IFERROR(__xludf.DUMMYFUNCTION("""COMPUTED_VALUE"""),"40.000hs (L70)")</f>
        <v>40.000hs (L70)</v>
      </c>
      <c r="AO1231" s="97" t="str">
        <f>IFERROR(__xludf.DUMMYFUNCTION("""COMPUTED_VALUE"""),"4 Años")</f>
        <v>4 Años</v>
      </c>
      <c r="AP1231" s="97" t="str">
        <f>IFERROR(__xludf.DUMMYFUNCTION("""COMPUTED_VALUE"""),"Falta")</f>
        <v>Falta</v>
      </c>
      <c r="AQ1231" s="97" t="str">
        <f>IFERROR(__xludf.DUMMYFUNCTION("""COMPUTED_VALUE"""),"Falta")</f>
        <v>Falta</v>
      </c>
      <c r="AR1231" s="97" t="str">
        <f>IFERROR(__xludf.DUMMYFUNCTION("""COMPUTED_VALUE"""),"En revisión")</f>
        <v>En revisión</v>
      </c>
      <c r="AS1231" s="97" t="str">
        <f>IFERROR(__xludf.DUMMYFUNCTION("""COMPUTED_VALUE"""),"Falta")</f>
        <v>Falta</v>
      </c>
      <c r="AT1231" s="97" t="str">
        <f>IFERROR(__xludf.DUMMYFUNCTION("""COMPUTED_VALUE"""),"Falta")</f>
        <v>Falta</v>
      </c>
      <c r="AU1231" s="97" t="str">
        <f>IFERROR(__xludf.DUMMYFUNCTION("""COMPUTED_VALUE"""),"Falta")</f>
        <v>Falta</v>
      </c>
      <c r="AV1231" s="97" t="str">
        <f>IFERROR(__xludf.DUMMYFUNCTION("""COMPUTED_VALUE"""),"Empotrable")</f>
        <v>Empotrable</v>
      </c>
      <c r="AW1231" s="97" t="str">
        <f>IFERROR(__xludf.DUMMYFUNCTION("""COMPUTED_VALUE"""),"De Techo")</f>
        <v>De Techo</v>
      </c>
      <c r="AX1231" s="97" t="str">
        <f>IFERROR(__xludf.DUMMYFUNCTION("""COMPUTED_VALUE"""),"Interior")</f>
        <v>Interior</v>
      </c>
      <c r="AY1231" s="97" t="str">
        <f>IFERROR(__xludf.DUMMYFUNCTION("""COMPUTED_VALUE"""),"Pocket")</f>
        <v>Pocket</v>
      </c>
      <c r="AZ1231" s="97"/>
      <c r="BA1231" s="97"/>
      <c r="BB1231" s="97"/>
      <c r="BC1231" s="97"/>
      <c r="BD1231" s="97" t="str">
        <f>IFERROR(__xludf.DUMMYFUNCTION("""COMPUTED_VALUE"""),"POCKET XII")</f>
        <v>POCKET XII</v>
      </c>
      <c r="BE1231" s="97" t="str">
        <f>IFERROR(__xludf.DUMMYFUNCTION("""COMPUTED_VALUE"""),"Falta TR")</f>
        <v>Falta TR</v>
      </c>
      <c r="BF1231" s="97">
        <f>IFERROR(__xludf.DUMMYFUNCTION("""COMPUTED_VALUE"""),7745.0)</f>
        <v>7745</v>
      </c>
      <c r="BG1231" s="97" t="str">
        <f>IFERROR(__xludf.DUMMYFUNCTION("""COMPUTED_VALUE"""),"En Salida")</f>
        <v>En Salida</v>
      </c>
    </row>
    <row r="1232">
      <c r="A1232" s="97">
        <f>IFERROR(__xludf.DUMMYFUNCTION("""COMPUTED_VALUE"""),7192.0)</f>
        <v>7192</v>
      </c>
      <c r="B1232" s="97" t="str">
        <f>IFERROR(__xludf.DUMMYFUNCTION("""COMPUTED_VALUE"""),"POCKET XII BLBL 2700K")</f>
        <v>POCKET XII BLBL 2700K</v>
      </c>
      <c r="C1232" s="97" t="str">
        <f>IFERROR(__xludf.DUMMYFUNCTION("""COMPUTED_VALUE"""),"EMPOTRABLE POCKET XII BLBL 2700K 20W 2700K 1785LM CRI&gt;90 IP20 LEUK")</f>
        <v>EMPOTRABLE POCKET XII BLBL 2700K 20W 2700K 1785LM CRI&gt;90 IP20 LEUK</v>
      </c>
      <c r="D1232" s="97">
        <f>IFERROR(__xludf.DUMMYFUNCTION("""COMPUTED_VALUE"""),7.798413227437E12)</f>
        <v>7798413227437</v>
      </c>
      <c r="E1232" s="97" t="str">
        <f>IFERROR(__xludf.DUMMYFUNCTION("""COMPUTED_VALUE"""),"F46")</f>
        <v>F46</v>
      </c>
      <c r="F1232" s="97" t="str">
        <f>IFERROR(__xludf.DUMMYFUNCTION("""COMPUTED_VALUE"""),"LED SMD")</f>
        <v>LED SMD</v>
      </c>
      <c r="G1232" s="97" t="str">
        <f>IFERROR(__xludf.DUMMYFUNCTION("""COMPUTED_VALUE"""),"Bridgelux")</f>
        <v>Bridgelux</v>
      </c>
      <c r="H1232" s="97" t="str">
        <f>IFERROR(__xludf.DUMMYFUNCTION("""COMPUTED_VALUE"""),"Lifud")</f>
        <v>Lifud</v>
      </c>
      <c r="I1232" s="97" t="str">
        <f>IFERROR(__xludf.DUMMYFUNCTION("""COMPUTED_VALUE"""),"Si")</f>
        <v>Si</v>
      </c>
      <c r="J1232" s="97" t="str">
        <f>IFERROR(__xludf.DUMMYFUNCTION("""COMPUTED_VALUE"""),"Modelo: LF-GIR024YS0500H
In: 220-240Vac 0.25A 50/60Hz
Out: 25-42Vdc 500mA 21W
Pf 0.5 Tc 90°C Ta 50°C")</f>
        <v>Modelo: LF-GIR024YS0500H
In: 220-240Vac 0.25A 50/60Hz
Out: 25-42Vdc 500mA 21W
Pf 0.5 Tc 90°C Ta 50°C</v>
      </c>
      <c r="K1232" s="97" t="str">
        <f>IFERROR(__xludf.DUMMYFUNCTION("""COMPUTED_VALUE"""),"ON/OFF")</f>
        <v>ON/OFF</v>
      </c>
      <c r="L1232" s="97" t="str">
        <f>IFERROR(__xludf.DUMMYFUNCTION("""COMPUTED_VALUE"""),"200-240")</f>
        <v>200-240</v>
      </c>
      <c r="M1232" s="97" t="str">
        <f>IFERROR(__xludf.DUMMYFUNCTION("""COMPUTED_VALUE"""),"50/60")</f>
        <v>50/60</v>
      </c>
      <c r="N1232" s="97" t="str">
        <f>IFERROR(__xludf.DUMMYFUNCTION("""COMPUTED_VALUE"""),"Directa")</f>
        <v>Directa</v>
      </c>
      <c r="O1232" s="97">
        <f>IFERROR(__xludf.DUMMYFUNCTION("""COMPUTED_VALUE"""),20.0)</f>
        <v>20</v>
      </c>
      <c r="P1232" s="97"/>
      <c r="Q1232" s="97">
        <f>IFERROR(__xludf.DUMMYFUNCTION("""COMPUTED_VALUE"""),0.5)</f>
        <v>0.5</v>
      </c>
      <c r="R1232" s="97" t="str">
        <f>IFERROR(__xludf.DUMMYFUNCTION("""COMPUTED_VALUE"""),"-")</f>
        <v>-</v>
      </c>
      <c r="S1232" s="97" t="str">
        <f>IFERROR(__xludf.DUMMYFUNCTION("""COMPUTED_VALUE"""),"-")</f>
        <v>-</v>
      </c>
      <c r="T1232" s="97">
        <f>IFERROR(__xludf.DUMMYFUNCTION("""COMPUTED_VALUE"""),1785.0)</f>
        <v>1785</v>
      </c>
      <c r="U1232" s="99">
        <f>IFERROR(__xludf.DUMMYFUNCTION("""COMPUTED_VALUE"""),89.25)</f>
        <v>89.25</v>
      </c>
      <c r="V1232" s="97">
        <f>IFERROR(__xludf.DUMMYFUNCTION("""COMPUTED_VALUE"""),36.0)</f>
        <v>36</v>
      </c>
      <c r="W1232" s="97" t="str">
        <f>IFERROR(__xludf.DUMMYFUNCTION("""COMPUTED_VALUE"""),"&lt; 16")</f>
        <v>&lt; 16</v>
      </c>
      <c r="X1232" s="97">
        <f>IFERROR(__xludf.DUMMYFUNCTION("""COMPUTED_VALUE"""),2700.0)</f>
        <v>2700</v>
      </c>
      <c r="Y1232" s="97" t="str">
        <f>IFERROR(__xludf.DUMMYFUNCTION("""COMPUTED_VALUE"""),"&gt;90")</f>
        <v>&gt;90</v>
      </c>
      <c r="Z1232" s="97"/>
      <c r="AA1232" s="97"/>
      <c r="AB1232" s="97" t="str">
        <f>IFERROR(__xludf.DUMMYFUNCTION("""COMPUTED_VALUE"""),"&lt; 5")</f>
        <v>&lt; 5</v>
      </c>
      <c r="AC1232" s="97"/>
      <c r="AD1232" s="97" t="str">
        <f>IFERROR(__xludf.DUMMYFUNCTION("""COMPUTED_VALUE"""),"IP20")</f>
        <v>IP20</v>
      </c>
      <c r="AE1232" s="97" t="str">
        <f>IFERROR(__xludf.DUMMYFUNCTION("""COMPUTED_VALUE"""),"Clase l")</f>
        <v>Clase l</v>
      </c>
      <c r="AF1232" s="97" t="str">
        <f>IFERROR(__xludf.DUMMYFUNCTION("""COMPUTED_VALUE"""),"Embutir")</f>
        <v>Embutir</v>
      </c>
      <c r="AG1232" s="97" t="str">
        <f>IFERROR(__xludf.DUMMYFUNCTION("""COMPUTED_VALUE"""),"240 x 31 x 40")</f>
        <v>240 x 31 x 40</v>
      </c>
      <c r="AH1232" s="97" t="str">
        <f>IFERROR(__xludf.DUMMYFUNCTION("""COMPUTED_VALUE"""),"236 x 27")</f>
        <v>236 x 27</v>
      </c>
      <c r="AI1232" s="97">
        <f>IFERROR(__xludf.DUMMYFUNCTION("""COMPUTED_VALUE"""),60.0)</f>
        <v>60</v>
      </c>
      <c r="AJ1232" s="97" t="str">
        <f>IFERROR(__xludf.DUMMYFUNCTION("""COMPUTED_VALUE"""),"Policarbonato (PC)")</f>
        <v>Policarbonato (PC)</v>
      </c>
      <c r="AK1232" s="97" t="str">
        <f>IFERROR(__xludf.DUMMYFUNCTION("""COMPUTED_VALUE"""),"Aluminio")</f>
        <v>Aluminio</v>
      </c>
      <c r="AL1232" s="97" t="str">
        <f>IFERROR(__xludf.DUMMYFUNCTION("""COMPUTED_VALUE"""),"Blanco Satinado")</f>
        <v>Blanco Satinado</v>
      </c>
      <c r="AM1232" s="97" t="str">
        <f>IFERROR(__xludf.DUMMYFUNCTION("""COMPUTED_VALUE"""),"-")</f>
        <v>-</v>
      </c>
      <c r="AN1232" s="97" t="str">
        <f>IFERROR(__xludf.DUMMYFUNCTION("""COMPUTED_VALUE"""),"40.000hs (L70)")</f>
        <v>40.000hs (L70)</v>
      </c>
      <c r="AO1232" s="97" t="str">
        <f>IFERROR(__xludf.DUMMYFUNCTION("""COMPUTED_VALUE"""),"4 Años")</f>
        <v>4 Años</v>
      </c>
      <c r="AP1232" s="97" t="str">
        <f>IFERROR(__xludf.DUMMYFUNCTION("""COMPUTED_VALUE"""),"Falta")</f>
        <v>Falta</v>
      </c>
      <c r="AQ1232" s="97" t="str">
        <f>IFERROR(__xludf.DUMMYFUNCTION("""COMPUTED_VALUE"""),"Falta")</f>
        <v>Falta</v>
      </c>
      <c r="AR1232" s="97" t="str">
        <f>IFERROR(__xludf.DUMMYFUNCTION("""COMPUTED_VALUE"""),"En revisión")</f>
        <v>En revisión</v>
      </c>
      <c r="AS1232" s="97" t="str">
        <f>IFERROR(__xludf.DUMMYFUNCTION("""COMPUTED_VALUE"""),"Falta")</f>
        <v>Falta</v>
      </c>
      <c r="AT1232" s="97" t="str">
        <f>IFERROR(__xludf.DUMMYFUNCTION("""COMPUTED_VALUE"""),"Falta")</f>
        <v>Falta</v>
      </c>
      <c r="AU1232" s="97" t="str">
        <f>IFERROR(__xludf.DUMMYFUNCTION("""COMPUTED_VALUE"""),"Falta")</f>
        <v>Falta</v>
      </c>
      <c r="AV1232" s="97" t="str">
        <f>IFERROR(__xludf.DUMMYFUNCTION("""COMPUTED_VALUE"""),"Empotrable")</f>
        <v>Empotrable</v>
      </c>
      <c r="AW1232" s="97" t="str">
        <f>IFERROR(__xludf.DUMMYFUNCTION("""COMPUTED_VALUE"""),"De Techo")</f>
        <v>De Techo</v>
      </c>
      <c r="AX1232" s="97" t="str">
        <f>IFERROR(__xludf.DUMMYFUNCTION("""COMPUTED_VALUE"""),"Interior")</f>
        <v>Interior</v>
      </c>
      <c r="AY1232" s="97" t="str">
        <f>IFERROR(__xludf.DUMMYFUNCTION("""COMPUTED_VALUE"""),"Pocket")</f>
        <v>Pocket</v>
      </c>
      <c r="AZ1232" s="97"/>
      <c r="BA1232" s="97"/>
      <c r="BB1232" s="97"/>
      <c r="BC1232" s="97"/>
      <c r="BD1232" s="97" t="str">
        <f>IFERROR(__xludf.DUMMYFUNCTION("""COMPUTED_VALUE"""),"POCKET XII")</f>
        <v>POCKET XII</v>
      </c>
      <c r="BE1232" s="97" t="str">
        <f>IFERROR(__xludf.DUMMYFUNCTION("""COMPUTED_VALUE"""),"Falta TR")</f>
        <v>Falta TR</v>
      </c>
      <c r="BF1232" s="97">
        <f>IFERROR(__xludf.DUMMYFUNCTION("""COMPUTED_VALUE"""),7732.0)</f>
        <v>7732</v>
      </c>
      <c r="BG1232" s="97" t="str">
        <f>IFERROR(__xludf.DUMMYFUNCTION("""COMPUTED_VALUE"""),"En Salida")</f>
        <v>En Salida</v>
      </c>
    </row>
    <row r="1233">
      <c r="A1233" s="97">
        <f>IFERROR(__xludf.DUMMYFUNCTION("""COMPUTED_VALUE"""),7193.0)</f>
        <v>7193</v>
      </c>
      <c r="B1233" s="97" t="str">
        <f>IFERROR(__xludf.DUMMYFUNCTION("""COMPUTED_VALUE"""),"POCKET XII BLNG 2700K")</f>
        <v>POCKET XII BLNG 2700K</v>
      </c>
      <c r="C1233" s="97" t="str">
        <f>IFERROR(__xludf.DUMMYFUNCTION("""COMPUTED_VALUE"""),"EMPOTRABLE POCKET XII BLNG 2700K 20W 2700K 1785LM CRI&gt;90 IP20 LEUK")</f>
        <v>EMPOTRABLE POCKET XII BLNG 2700K 20W 2700K 1785LM CRI&gt;90 IP20 LEUK</v>
      </c>
      <c r="D1233" s="97">
        <f>IFERROR(__xludf.DUMMYFUNCTION("""COMPUTED_VALUE"""),7.798413227444E12)</f>
        <v>7798413227444</v>
      </c>
      <c r="E1233" s="97" t="str">
        <f>IFERROR(__xludf.DUMMYFUNCTION("""COMPUTED_VALUE"""),"F46")</f>
        <v>F46</v>
      </c>
      <c r="F1233" s="97" t="str">
        <f>IFERROR(__xludf.DUMMYFUNCTION("""COMPUTED_VALUE"""),"LED SMD")</f>
        <v>LED SMD</v>
      </c>
      <c r="G1233" s="97" t="str">
        <f>IFERROR(__xludf.DUMMYFUNCTION("""COMPUTED_VALUE"""),"Bridgelux")</f>
        <v>Bridgelux</v>
      </c>
      <c r="H1233" s="97" t="str">
        <f>IFERROR(__xludf.DUMMYFUNCTION("""COMPUTED_VALUE"""),"Lifud")</f>
        <v>Lifud</v>
      </c>
      <c r="I1233" s="97" t="str">
        <f>IFERROR(__xludf.DUMMYFUNCTION("""COMPUTED_VALUE"""),"Si")</f>
        <v>Si</v>
      </c>
      <c r="J1233" s="97" t="str">
        <f>IFERROR(__xludf.DUMMYFUNCTION("""COMPUTED_VALUE"""),"Modelo: LF-GIR024YS0500H
In: 220-240Vac 0.25A 50/60Hz
Out: 25-42Vdc 500mA 21W
Pf 0.5 Tc 90°C Ta 50°C")</f>
        <v>Modelo: LF-GIR024YS0500H
In: 220-240Vac 0.25A 50/60Hz
Out: 25-42Vdc 500mA 21W
Pf 0.5 Tc 90°C Ta 50°C</v>
      </c>
      <c r="K1233" s="97" t="str">
        <f>IFERROR(__xludf.DUMMYFUNCTION("""COMPUTED_VALUE"""),"ON/OFF")</f>
        <v>ON/OFF</v>
      </c>
      <c r="L1233" s="97" t="str">
        <f>IFERROR(__xludf.DUMMYFUNCTION("""COMPUTED_VALUE"""),"200-240")</f>
        <v>200-240</v>
      </c>
      <c r="M1233" s="97" t="str">
        <f>IFERROR(__xludf.DUMMYFUNCTION("""COMPUTED_VALUE"""),"50/60")</f>
        <v>50/60</v>
      </c>
      <c r="N1233" s="97" t="str">
        <f>IFERROR(__xludf.DUMMYFUNCTION("""COMPUTED_VALUE"""),"Directa")</f>
        <v>Directa</v>
      </c>
      <c r="O1233" s="97">
        <f>IFERROR(__xludf.DUMMYFUNCTION("""COMPUTED_VALUE"""),20.0)</f>
        <v>20</v>
      </c>
      <c r="P1233" s="97"/>
      <c r="Q1233" s="97">
        <f>IFERROR(__xludf.DUMMYFUNCTION("""COMPUTED_VALUE"""),0.5)</f>
        <v>0.5</v>
      </c>
      <c r="R1233" s="97" t="str">
        <f>IFERROR(__xludf.DUMMYFUNCTION("""COMPUTED_VALUE"""),"-")</f>
        <v>-</v>
      </c>
      <c r="S1233" s="97" t="str">
        <f>IFERROR(__xludf.DUMMYFUNCTION("""COMPUTED_VALUE"""),"-")</f>
        <v>-</v>
      </c>
      <c r="T1233" s="97">
        <f>IFERROR(__xludf.DUMMYFUNCTION("""COMPUTED_VALUE"""),1785.0)</f>
        <v>1785</v>
      </c>
      <c r="U1233" s="99">
        <f>IFERROR(__xludf.DUMMYFUNCTION("""COMPUTED_VALUE"""),89.25)</f>
        <v>89.25</v>
      </c>
      <c r="V1233" s="97">
        <f>IFERROR(__xludf.DUMMYFUNCTION("""COMPUTED_VALUE"""),36.0)</f>
        <v>36</v>
      </c>
      <c r="W1233" s="97" t="str">
        <f>IFERROR(__xludf.DUMMYFUNCTION("""COMPUTED_VALUE"""),"&lt; 16")</f>
        <v>&lt; 16</v>
      </c>
      <c r="X1233" s="97">
        <f>IFERROR(__xludf.DUMMYFUNCTION("""COMPUTED_VALUE"""),2700.0)</f>
        <v>2700</v>
      </c>
      <c r="Y1233" s="97" t="str">
        <f>IFERROR(__xludf.DUMMYFUNCTION("""COMPUTED_VALUE"""),"&gt;90")</f>
        <v>&gt;90</v>
      </c>
      <c r="Z1233" s="97"/>
      <c r="AA1233" s="97"/>
      <c r="AB1233" s="97" t="str">
        <f>IFERROR(__xludf.DUMMYFUNCTION("""COMPUTED_VALUE"""),"&lt; 5")</f>
        <v>&lt; 5</v>
      </c>
      <c r="AC1233" s="97"/>
      <c r="AD1233" s="97" t="str">
        <f>IFERROR(__xludf.DUMMYFUNCTION("""COMPUTED_VALUE"""),"IP20")</f>
        <v>IP20</v>
      </c>
      <c r="AE1233" s="97" t="str">
        <f>IFERROR(__xludf.DUMMYFUNCTION("""COMPUTED_VALUE"""),"Clase l")</f>
        <v>Clase l</v>
      </c>
      <c r="AF1233" s="97" t="str">
        <f>IFERROR(__xludf.DUMMYFUNCTION("""COMPUTED_VALUE"""),"Embutir")</f>
        <v>Embutir</v>
      </c>
      <c r="AG1233" s="97" t="str">
        <f>IFERROR(__xludf.DUMMYFUNCTION("""COMPUTED_VALUE"""),"240 x 31 x 40")</f>
        <v>240 x 31 x 40</v>
      </c>
      <c r="AH1233" s="97" t="str">
        <f>IFERROR(__xludf.DUMMYFUNCTION("""COMPUTED_VALUE"""),"236 x 27")</f>
        <v>236 x 27</v>
      </c>
      <c r="AI1233" s="97">
        <f>IFERROR(__xludf.DUMMYFUNCTION("""COMPUTED_VALUE"""),60.0)</f>
        <v>60</v>
      </c>
      <c r="AJ1233" s="97" t="str">
        <f>IFERROR(__xludf.DUMMYFUNCTION("""COMPUTED_VALUE"""),"Policarbonato (PC)")</f>
        <v>Policarbonato (PC)</v>
      </c>
      <c r="AK1233" s="97" t="str">
        <f>IFERROR(__xludf.DUMMYFUNCTION("""COMPUTED_VALUE"""),"Aluminio")</f>
        <v>Aluminio</v>
      </c>
      <c r="AL1233" s="97" t="str">
        <f>IFERROR(__xludf.DUMMYFUNCTION("""COMPUTED_VALUE"""),"Blanco y Negro")</f>
        <v>Blanco y Negro</v>
      </c>
      <c r="AM1233" s="97" t="str">
        <f>IFERROR(__xludf.DUMMYFUNCTION("""COMPUTED_VALUE"""),"-")</f>
        <v>-</v>
      </c>
      <c r="AN1233" s="97" t="str">
        <f>IFERROR(__xludf.DUMMYFUNCTION("""COMPUTED_VALUE"""),"40.000hs (L70)")</f>
        <v>40.000hs (L70)</v>
      </c>
      <c r="AO1233" s="97" t="str">
        <f>IFERROR(__xludf.DUMMYFUNCTION("""COMPUTED_VALUE"""),"4 Años")</f>
        <v>4 Años</v>
      </c>
      <c r="AP1233" s="97" t="str">
        <f>IFERROR(__xludf.DUMMYFUNCTION("""COMPUTED_VALUE"""),"Falta")</f>
        <v>Falta</v>
      </c>
      <c r="AQ1233" s="97" t="str">
        <f>IFERROR(__xludf.DUMMYFUNCTION("""COMPUTED_VALUE"""),"Falta")</f>
        <v>Falta</v>
      </c>
      <c r="AR1233" s="97" t="str">
        <f>IFERROR(__xludf.DUMMYFUNCTION("""COMPUTED_VALUE"""),"En revisión")</f>
        <v>En revisión</v>
      </c>
      <c r="AS1233" s="97" t="str">
        <f>IFERROR(__xludf.DUMMYFUNCTION("""COMPUTED_VALUE"""),"Falta")</f>
        <v>Falta</v>
      </c>
      <c r="AT1233" s="97" t="str">
        <f>IFERROR(__xludf.DUMMYFUNCTION("""COMPUTED_VALUE"""),"Falta")</f>
        <v>Falta</v>
      </c>
      <c r="AU1233" s="97" t="str">
        <f>IFERROR(__xludf.DUMMYFUNCTION("""COMPUTED_VALUE"""),"Falta")</f>
        <v>Falta</v>
      </c>
      <c r="AV1233" s="97" t="str">
        <f>IFERROR(__xludf.DUMMYFUNCTION("""COMPUTED_VALUE"""),"Empotrable")</f>
        <v>Empotrable</v>
      </c>
      <c r="AW1233" s="97" t="str">
        <f>IFERROR(__xludf.DUMMYFUNCTION("""COMPUTED_VALUE"""),"De Techo")</f>
        <v>De Techo</v>
      </c>
      <c r="AX1233" s="97" t="str">
        <f>IFERROR(__xludf.DUMMYFUNCTION("""COMPUTED_VALUE"""),"Interior")</f>
        <v>Interior</v>
      </c>
      <c r="AY1233" s="97" t="str">
        <f>IFERROR(__xludf.DUMMYFUNCTION("""COMPUTED_VALUE"""),"Pocket")</f>
        <v>Pocket</v>
      </c>
      <c r="AZ1233" s="97"/>
      <c r="BA1233" s="97"/>
      <c r="BB1233" s="97"/>
      <c r="BC1233" s="97"/>
      <c r="BD1233" s="97" t="str">
        <f>IFERROR(__xludf.DUMMYFUNCTION("""COMPUTED_VALUE"""),"POCKET XII")</f>
        <v>POCKET XII</v>
      </c>
      <c r="BE1233" s="97" t="str">
        <f>IFERROR(__xludf.DUMMYFUNCTION("""COMPUTED_VALUE"""),"Falta TR")</f>
        <v>Falta TR</v>
      </c>
      <c r="BF1233" s="97">
        <f>IFERROR(__xludf.DUMMYFUNCTION("""COMPUTED_VALUE"""),7733.0)</f>
        <v>7733</v>
      </c>
      <c r="BG1233" s="97" t="str">
        <f>IFERROR(__xludf.DUMMYFUNCTION("""COMPUTED_VALUE"""),"En Salida")</f>
        <v>En Salida</v>
      </c>
    </row>
    <row r="1234">
      <c r="A1234" s="97">
        <f>IFERROR(__xludf.DUMMYFUNCTION("""COMPUTED_VALUE"""),7194.0)</f>
        <v>7194</v>
      </c>
      <c r="B1234" s="97" t="str">
        <f>IFERROR(__xludf.DUMMYFUNCTION("""COMPUTED_VALUE"""),"POCKET XII BLNG 3000K")</f>
        <v>POCKET XII BLNG 3000K</v>
      </c>
      <c r="C1234" s="97" t="str">
        <f>IFERROR(__xludf.DUMMYFUNCTION("""COMPUTED_VALUE"""),"EMPOTRABLE POCKET XII BLNG 3000K 20W 3000K 1785LM CRI&gt;90 IP20 LEUK")</f>
        <v>EMPOTRABLE POCKET XII BLNG 3000K 20W 3000K 1785LM CRI&gt;90 IP20 LEUK</v>
      </c>
      <c r="D1234" s="97">
        <f>IFERROR(__xludf.DUMMYFUNCTION("""COMPUTED_VALUE"""),7.798413227451E12)</f>
        <v>7798413227451</v>
      </c>
      <c r="E1234" s="97" t="str">
        <f>IFERROR(__xludf.DUMMYFUNCTION("""COMPUTED_VALUE"""),"F46")</f>
        <v>F46</v>
      </c>
      <c r="F1234" s="97" t="str">
        <f>IFERROR(__xludf.DUMMYFUNCTION("""COMPUTED_VALUE"""),"LED SMD")</f>
        <v>LED SMD</v>
      </c>
      <c r="G1234" s="97" t="str">
        <f>IFERROR(__xludf.DUMMYFUNCTION("""COMPUTED_VALUE"""),"Bridgelux")</f>
        <v>Bridgelux</v>
      </c>
      <c r="H1234" s="97" t="str">
        <f>IFERROR(__xludf.DUMMYFUNCTION("""COMPUTED_VALUE"""),"Lifud")</f>
        <v>Lifud</v>
      </c>
      <c r="I1234" s="97" t="str">
        <f>IFERROR(__xludf.DUMMYFUNCTION("""COMPUTED_VALUE"""),"Si")</f>
        <v>Si</v>
      </c>
      <c r="J1234" s="97" t="str">
        <f>IFERROR(__xludf.DUMMYFUNCTION("""COMPUTED_VALUE"""),"Modelo: LF-GIR024YS0500H
In: 220-240Vac 0.25A 50/60Hz
Out: 25-42Vdc 500mA 21W
Pf 0.5 Tc 90°C Ta 50°C")</f>
        <v>Modelo: LF-GIR024YS0500H
In: 220-240Vac 0.25A 50/60Hz
Out: 25-42Vdc 500mA 21W
Pf 0.5 Tc 90°C Ta 50°C</v>
      </c>
      <c r="K1234" s="97" t="str">
        <f>IFERROR(__xludf.DUMMYFUNCTION("""COMPUTED_VALUE"""),"ON/OFF")</f>
        <v>ON/OFF</v>
      </c>
      <c r="L1234" s="97" t="str">
        <f>IFERROR(__xludf.DUMMYFUNCTION("""COMPUTED_VALUE"""),"200-240")</f>
        <v>200-240</v>
      </c>
      <c r="M1234" s="97" t="str">
        <f>IFERROR(__xludf.DUMMYFUNCTION("""COMPUTED_VALUE"""),"50/60")</f>
        <v>50/60</v>
      </c>
      <c r="N1234" s="97" t="str">
        <f>IFERROR(__xludf.DUMMYFUNCTION("""COMPUTED_VALUE"""),"Directa")</f>
        <v>Directa</v>
      </c>
      <c r="O1234" s="97">
        <f>IFERROR(__xludf.DUMMYFUNCTION("""COMPUTED_VALUE"""),20.0)</f>
        <v>20</v>
      </c>
      <c r="P1234" s="97"/>
      <c r="Q1234" s="97">
        <f>IFERROR(__xludf.DUMMYFUNCTION("""COMPUTED_VALUE"""),0.5)</f>
        <v>0.5</v>
      </c>
      <c r="R1234" s="97" t="str">
        <f>IFERROR(__xludf.DUMMYFUNCTION("""COMPUTED_VALUE"""),"-")</f>
        <v>-</v>
      </c>
      <c r="S1234" s="97" t="str">
        <f>IFERROR(__xludf.DUMMYFUNCTION("""COMPUTED_VALUE"""),"-")</f>
        <v>-</v>
      </c>
      <c r="T1234" s="97">
        <f>IFERROR(__xludf.DUMMYFUNCTION("""COMPUTED_VALUE"""),1785.0)</f>
        <v>1785</v>
      </c>
      <c r="U1234" s="99">
        <f>IFERROR(__xludf.DUMMYFUNCTION("""COMPUTED_VALUE"""),89.25)</f>
        <v>89.25</v>
      </c>
      <c r="V1234" s="97">
        <f>IFERROR(__xludf.DUMMYFUNCTION("""COMPUTED_VALUE"""),36.0)</f>
        <v>36</v>
      </c>
      <c r="W1234" s="97" t="str">
        <f>IFERROR(__xludf.DUMMYFUNCTION("""COMPUTED_VALUE"""),"&lt; 16")</f>
        <v>&lt; 16</v>
      </c>
      <c r="X1234" s="97">
        <f>IFERROR(__xludf.DUMMYFUNCTION("""COMPUTED_VALUE"""),3000.0)</f>
        <v>3000</v>
      </c>
      <c r="Y1234" s="97" t="str">
        <f>IFERROR(__xludf.DUMMYFUNCTION("""COMPUTED_VALUE"""),"&gt;90")</f>
        <v>&gt;90</v>
      </c>
      <c r="Z1234" s="97"/>
      <c r="AA1234" s="97"/>
      <c r="AB1234" s="97" t="str">
        <f>IFERROR(__xludf.DUMMYFUNCTION("""COMPUTED_VALUE"""),"&lt; 5")</f>
        <v>&lt; 5</v>
      </c>
      <c r="AC1234" s="97"/>
      <c r="AD1234" s="97" t="str">
        <f>IFERROR(__xludf.DUMMYFUNCTION("""COMPUTED_VALUE"""),"IP20")</f>
        <v>IP20</v>
      </c>
      <c r="AE1234" s="97" t="str">
        <f>IFERROR(__xludf.DUMMYFUNCTION("""COMPUTED_VALUE"""),"Clase l")</f>
        <v>Clase l</v>
      </c>
      <c r="AF1234" s="97" t="str">
        <f>IFERROR(__xludf.DUMMYFUNCTION("""COMPUTED_VALUE"""),"Embutir")</f>
        <v>Embutir</v>
      </c>
      <c r="AG1234" s="97" t="str">
        <f>IFERROR(__xludf.DUMMYFUNCTION("""COMPUTED_VALUE"""),"240 x 31 x 40")</f>
        <v>240 x 31 x 40</v>
      </c>
      <c r="AH1234" s="97" t="str">
        <f>IFERROR(__xludf.DUMMYFUNCTION("""COMPUTED_VALUE"""),"236 x 27")</f>
        <v>236 x 27</v>
      </c>
      <c r="AI1234" s="97">
        <f>IFERROR(__xludf.DUMMYFUNCTION("""COMPUTED_VALUE"""),60.0)</f>
        <v>60</v>
      </c>
      <c r="AJ1234" s="97" t="str">
        <f>IFERROR(__xludf.DUMMYFUNCTION("""COMPUTED_VALUE"""),"Policarbonato (PC)")</f>
        <v>Policarbonato (PC)</v>
      </c>
      <c r="AK1234" s="97" t="str">
        <f>IFERROR(__xludf.DUMMYFUNCTION("""COMPUTED_VALUE"""),"Aluminio")</f>
        <v>Aluminio</v>
      </c>
      <c r="AL1234" s="97" t="str">
        <f>IFERROR(__xludf.DUMMYFUNCTION("""COMPUTED_VALUE"""),"Blanco y Negro")</f>
        <v>Blanco y Negro</v>
      </c>
      <c r="AM1234" s="97" t="str">
        <f>IFERROR(__xludf.DUMMYFUNCTION("""COMPUTED_VALUE"""),"-")</f>
        <v>-</v>
      </c>
      <c r="AN1234" s="97" t="str">
        <f>IFERROR(__xludf.DUMMYFUNCTION("""COMPUTED_VALUE"""),"40.000hs (L70)")</f>
        <v>40.000hs (L70)</v>
      </c>
      <c r="AO1234" s="97" t="str">
        <f>IFERROR(__xludf.DUMMYFUNCTION("""COMPUTED_VALUE"""),"4 Años")</f>
        <v>4 Años</v>
      </c>
      <c r="AP1234" s="97" t="str">
        <f>IFERROR(__xludf.DUMMYFUNCTION("""COMPUTED_VALUE"""),"Falta")</f>
        <v>Falta</v>
      </c>
      <c r="AQ1234" s="97" t="str">
        <f>IFERROR(__xludf.DUMMYFUNCTION("""COMPUTED_VALUE"""),"Falta")</f>
        <v>Falta</v>
      </c>
      <c r="AR1234" s="97" t="str">
        <f>IFERROR(__xludf.DUMMYFUNCTION("""COMPUTED_VALUE"""),"En revisión")</f>
        <v>En revisión</v>
      </c>
      <c r="AS1234" s="97" t="str">
        <f>IFERROR(__xludf.DUMMYFUNCTION("""COMPUTED_VALUE"""),"Falta")</f>
        <v>Falta</v>
      </c>
      <c r="AT1234" s="97" t="str">
        <f>IFERROR(__xludf.DUMMYFUNCTION("""COMPUTED_VALUE"""),"Falta")</f>
        <v>Falta</v>
      </c>
      <c r="AU1234" s="97" t="str">
        <f>IFERROR(__xludf.DUMMYFUNCTION("""COMPUTED_VALUE"""),"Falta")</f>
        <v>Falta</v>
      </c>
      <c r="AV1234" s="97" t="str">
        <f>IFERROR(__xludf.DUMMYFUNCTION("""COMPUTED_VALUE"""),"Empotrable")</f>
        <v>Empotrable</v>
      </c>
      <c r="AW1234" s="97" t="str">
        <f>IFERROR(__xludf.DUMMYFUNCTION("""COMPUTED_VALUE"""),"De Techo")</f>
        <v>De Techo</v>
      </c>
      <c r="AX1234" s="97" t="str">
        <f>IFERROR(__xludf.DUMMYFUNCTION("""COMPUTED_VALUE"""),"Interior")</f>
        <v>Interior</v>
      </c>
      <c r="AY1234" s="97" t="str">
        <f>IFERROR(__xludf.DUMMYFUNCTION("""COMPUTED_VALUE"""),"Pocket")</f>
        <v>Pocket</v>
      </c>
      <c r="AZ1234" s="97"/>
      <c r="BA1234" s="97"/>
      <c r="BB1234" s="97"/>
      <c r="BC1234" s="97"/>
      <c r="BD1234" s="97" t="str">
        <f>IFERROR(__xludf.DUMMYFUNCTION("""COMPUTED_VALUE"""),"POCKET XII")</f>
        <v>POCKET XII</v>
      </c>
      <c r="BE1234" s="97" t="str">
        <f>IFERROR(__xludf.DUMMYFUNCTION("""COMPUTED_VALUE"""),"Falta TR")</f>
        <v>Falta TR</v>
      </c>
      <c r="BF1234" s="97">
        <f>IFERROR(__xludf.DUMMYFUNCTION("""COMPUTED_VALUE"""),7733.0)</f>
        <v>7733</v>
      </c>
      <c r="BG1234" s="97" t="str">
        <f>IFERROR(__xludf.DUMMYFUNCTION("""COMPUTED_VALUE"""),"En Salida")</f>
        <v>En Salida</v>
      </c>
    </row>
    <row r="1235">
      <c r="A1235" s="97">
        <f>IFERROR(__xludf.DUMMYFUNCTION("""COMPUTED_VALUE"""),7195.0)</f>
        <v>7195</v>
      </c>
      <c r="B1235" s="97" t="str">
        <f>IFERROR(__xludf.DUMMYFUNCTION("""COMPUTED_VALUE"""),"POCKET VI AP BLBL 2700K")</f>
        <v>POCKET VI AP BLBL 2700K</v>
      </c>
      <c r="C1235" s="97" t="str">
        <f>IFERROR(__xludf.DUMMYFUNCTION("""COMPUTED_VALUE"""),"APLIQUE POCKET VI AP BLBL 2700K 7W 2700K 655LM CRI&gt;90 IP20 LEUK")</f>
        <v>APLIQUE POCKET VI AP BLBL 2700K 7W 2700K 655LM CRI&gt;90 IP20 LEUK</v>
      </c>
      <c r="D1235" s="97">
        <f>IFERROR(__xludf.DUMMYFUNCTION("""COMPUTED_VALUE"""),7.798413227468E12)</f>
        <v>7798413227468</v>
      </c>
      <c r="E1235" s="97" t="str">
        <f>IFERROR(__xludf.DUMMYFUNCTION("""COMPUTED_VALUE"""),"F74")</f>
        <v>F74</v>
      </c>
      <c r="F1235" s="97" t="str">
        <f>IFERROR(__xludf.DUMMYFUNCTION("""COMPUTED_VALUE"""),"LED SMD")</f>
        <v>LED SMD</v>
      </c>
      <c r="G1235" s="97" t="str">
        <f>IFERROR(__xludf.DUMMYFUNCTION("""COMPUTED_VALUE"""),"Bridgelux")</f>
        <v>Bridgelux</v>
      </c>
      <c r="H1235" s="97" t="str">
        <f>IFERROR(__xludf.DUMMYFUNCTION("""COMPUTED_VALUE"""),"-")</f>
        <v>-</v>
      </c>
      <c r="I1235" s="97"/>
      <c r="J1235" s="97" t="str">
        <f>IFERROR(__xludf.DUMMYFUNCTION("""COMPUTED_VALUE"""),"Modelo: OT-GDK009W400
In: 100-240Vac 50/60Hz
Out: 12-24Vdc - 400mA 9W")</f>
        <v>Modelo: OT-GDK009W400
In: 100-240Vac 50/60Hz
Out: 12-24Vdc - 400mA 9W</v>
      </c>
      <c r="K1235" s="97" t="str">
        <f>IFERROR(__xludf.DUMMYFUNCTION("""COMPUTED_VALUE"""),"ON/OFF")</f>
        <v>ON/OFF</v>
      </c>
      <c r="L1235" s="97" t="str">
        <f>IFERROR(__xludf.DUMMYFUNCTION("""COMPUTED_VALUE"""),"200-240")</f>
        <v>200-240</v>
      </c>
      <c r="M1235" s="97" t="str">
        <f>IFERROR(__xludf.DUMMYFUNCTION("""COMPUTED_VALUE"""),"50/60")</f>
        <v>50/60</v>
      </c>
      <c r="N1235" s="97" t="str">
        <f>IFERROR(__xludf.DUMMYFUNCTION("""COMPUTED_VALUE"""),"Directa")</f>
        <v>Directa</v>
      </c>
      <c r="O1235" s="97">
        <f>IFERROR(__xludf.DUMMYFUNCTION("""COMPUTED_VALUE"""),7.0)</f>
        <v>7</v>
      </c>
      <c r="P1235" s="97"/>
      <c r="Q1235" s="97">
        <f>IFERROR(__xludf.DUMMYFUNCTION("""COMPUTED_VALUE"""),0.45)</f>
        <v>0.45</v>
      </c>
      <c r="R1235" s="97" t="str">
        <f>IFERROR(__xludf.DUMMYFUNCTION("""COMPUTED_VALUE"""),"-")</f>
        <v>-</v>
      </c>
      <c r="S1235" s="97" t="str">
        <f>IFERROR(__xludf.DUMMYFUNCTION("""COMPUTED_VALUE"""),"-")</f>
        <v>-</v>
      </c>
      <c r="T1235" s="97">
        <f>IFERROR(__xludf.DUMMYFUNCTION("""COMPUTED_VALUE"""),655.0)</f>
        <v>655</v>
      </c>
      <c r="U1235" s="99">
        <f>IFERROR(__xludf.DUMMYFUNCTION("""COMPUTED_VALUE"""),93.57142857142857)</f>
        <v>93.57142857</v>
      </c>
      <c r="V1235" s="97">
        <f>IFERROR(__xludf.DUMMYFUNCTION("""COMPUTED_VALUE"""),36.0)</f>
        <v>36</v>
      </c>
      <c r="W1235" s="97" t="str">
        <f>IFERROR(__xludf.DUMMYFUNCTION("""COMPUTED_VALUE"""),"&lt; 16")</f>
        <v>&lt; 16</v>
      </c>
      <c r="X1235" s="97">
        <f>IFERROR(__xludf.DUMMYFUNCTION("""COMPUTED_VALUE"""),2700.0)</f>
        <v>2700</v>
      </c>
      <c r="Y1235" s="97" t="str">
        <f>IFERROR(__xludf.DUMMYFUNCTION("""COMPUTED_VALUE"""),"&gt;90")</f>
        <v>&gt;90</v>
      </c>
      <c r="Z1235" s="97" t="str">
        <f>IFERROR(__xludf.DUMMYFUNCTION("""COMPUTED_VALUE"""),"&gt;90")</f>
        <v>&gt;90</v>
      </c>
      <c r="AA1235" s="97" t="str">
        <f>IFERROR(__xludf.DUMMYFUNCTION("""COMPUTED_VALUE"""),"100 (Fidelidad neutra)")</f>
        <v>100 (Fidelidad neutra)</v>
      </c>
      <c r="AB1235" s="97" t="str">
        <f>IFERROR(__xludf.DUMMYFUNCTION("""COMPUTED_VALUE"""),"&lt; 3")</f>
        <v>&lt; 3</v>
      </c>
      <c r="AC1235" s="100" t="str">
        <f>IFERROR(__xludf.DUMMYFUNCTION("""COMPUTED_VALUE"""),"-0.0010")</f>
        <v>-0.0010</v>
      </c>
      <c r="AD1235" s="97" t="str">
        <f>IFERROR(__xludf.DUMMYFUNCTION("""COMPUTED_VALUE"""),"IP20")</f>
        <v>IP20</v>
      </c>
      <c r="AE1235" s="97" t="str">
        <f>IFERROR(__xludf.DUMMYFUNCTION("""COMPUTED_VALUE"""),"Clase l")</f>
        <v>Clase l</v>
      </c>
      <c r="AF1235" s="97" t="str">
        <f>IFERROR(__xludf.DUMMYFUNCTION("""COMPUTED_VALUE"""),"Aplicar")</f>
        <v>Aplicar</v>
      </c>
      <c r="AG1235" s="97" t="str">
        <f>IFERROR(__xludf.DUMMYFUNCTION("""COMPUTED_VALUE"""),"119.5 x 24.5 x 42")</f>
        <v>119.5 x 24.5 x 42</v>
      </c>
      <c r="AH1235" s="97" t="str">
        <f>IFERROR(__xludf.DUMMYFUNCTION("""COMPUTED_VALUE"""),"N/A")</f>
        <v>N/A</v>
      </c>
      <c r="AI1235" s="97" t="str">
        <f>IFERROR(__xludf.DUMMYFUNCTION("""COMPUTED_VALUE"""),"N/A")</f>
        <v>N/A</v>
      </c>
      <c r="AJ1235" s="97" t="str">
        <f>IFERROR(__xludf.DUMMYFUNCTION("""COMPUTED_VALUE"""),"Policarbonato (PC)")</f>
        <v>Policarbonato (PC)</v>
      </c>
      <c r="AK1235" s="97" t="str">
        <f>IFERROR(__xludf.DUMMYFUNCTION("""COMPUTED_VALUE"""),"Aluminio")</f>
        <v>Aluminio</v>
      </c>
      <c r="AL1235" s="97" t="str">
        <f>IFERROR(__xludf.DUMMYFUNCTION("""COMPUTED_VALUE"""),"Blanco Satinado")</f>
        <v>Blanco Satinado</v>
      </c>
      <c r="AM1235" s="97" t="str">
        <f>IFERROR(__xludf.DUMMYFUNCTION("""COMPUTED_VALUE"""),"-")</f>
        <v>-</v>
      </c>
      <c r="AN1235" s="97" t="str">
        <f>IFERROR(__xludf.DUMMYFUNCTION("""COMPUTED_VALUE"""),"40.000hs (L70)")</f>
        <v>40.000hs (L70)</v>
      </c>
      <c r="AO1235" s="97" t="str">
        <f>IFERROR(__xludf.DUMMYFUNCTION("""COMPUTED_VALUE"""),"4 Años")</f>
        <v>4 Años</v>
      </c>
      <c r="AP1235" s="97" t="str">
        <f>IFERROR(__xludf.DUMMYFUNCTION("""COMPUTED_VALUE"""),"Falta")</f>
        <v>Falta</v>
      </c>
      <c r="AQ1235" s="97" t="str">
        <f>IFERROR(__xludf.DUMMYFUNCTION("""COMPUTED_VALUE"""),"Falta")</f>
        <v>Falta</v>
      </c>
      <c r="AR1235" s="97" t="str">
        <f>IFERROR(__xludf.DUMMYFUNCTION("""COMPUTED_VALUE"""),"En revisión")</f>
        <v>En revisión</v>
      </c>
      <c r="AS1235" s="97" t="str">
        <f>IFERROR(__xludf.DUMMYFUNCTION("""COMPUTED_VALUE"""),"Falta")</f>
        <v>Falta</v>
      </c>
      <c r="AT1235" s="97" t="str">
        <f>IFERROR(__xludf.DUMMYFUNCTION("""COMPUTED_VALUE"""),"Falta")</f>
        <v>Falta</v>
      </c>
      <c r="AU1235" s="97" t="str">
        <f>IFERROR(__xludf.DUMMYFUNCTION("""COMPUTED_VALUE"""),"Falta")</f>
        <v>Falta</v>
      </c>
      <c r="AV1235" s="97" t="str">
        <f>IFERROR(__xludf.DUMMYFUNCTION("""COMPUTED_VALUE"""),"Aplique")</f>
        <v>Aplique</v>
      </c>
      <c r="AW1235" s="97" t="str">
        <f>IFERROR(__xludf.DUMMYFUNCTION("""COMPUTED_VALUE"""),"De Techo")</f>
        <v>De Techo</v>
      </c>
      <c r="AX1235" s="97" t="str">
        <f>IFERROR(__xludf.DUMMYFUNCTION("""COMPUTED_VALUE"""),"Interior")</f>
        <v>Interior</v>
      </c>
      <c r="AY1235" s="97" t="str">
        <f>IFERROR(__xludf.DUMMYFUNCTION("""COMPUTED_VALUE"""),"Pocket")</f>
        <v>Pocket</v>
      </c>
      <c r="AZ1235" s="97" t="str">
        <f>IFERROR(__xludf.DUMMYFUNCTION("""COMPUTED_VALUE"""),"Driver dentro de la luminaria.")</f>
        <v>Driver dentro de la luminaria.</v>
      </c>
      <c r="BA1235" s="97"/>
      <c r="BB1235" s="97"/>
      <c r="BC1235" s="97"/>
      <c r="BD1235" s="97" t="str">
        <f>IFERROR(__xludf.DUMMYFUNCTION("""COMPUTED_VALUE"""),"POCKET VI AP")</f>
        <v>POCKET VI AP</v>
      </c>
      <c r="BE1235" s="97" t="str">
        <f>IFERROR(__xludf.DUMMYFUNCTION("""COMPUTED_VALUE"""),"Finalizada")</f>
        <v>Finalizada</v>
      </c>
      <c r="BF1235" s="97"/>
      <c r="BG1235" s="97" t="str">
        <f>IFERROR(__xludf.DUMMYFUNCTION("""COMPUTED_VALUE"""),"Activo")</f>
        <v>Activo</v>
      </c>
    </row>
    <row r="1236">
      <c r="A1236" s="97">
        <f>IFERROR(__xludf.DUMMYFUNCTION("""COMPUTED_VALUE"""),7196.0)</f>
        <v>7196</v>
      </c>
      <c r="B1236" s="97" t="str">
        <f>IFERROR(__xludf.DUMMYFUNCTION("""COMPUTED_VALUE"""),"POCKET VI AP BLNG 2700K")</f>
        <v>POCKET VI AP BLNG 2700K</v>
      </c>
      <c r="C1236" s="97" t="str">
        <f>IFERROR(__xludf.DUMMYFUNCTION("""COMPUTED_VALUE"""),"APLIQUE POCKET VI AP BLNG 2700K 7W 2700K 655LM CRI&gt;90 IP20 LEUK")</f>
        <v>APLIQUE POCKET VI AP BLNG 2700K 7W 2700K 655LM CRI&gt;90 IP20 LEUK</v>
      </c>
      <c r="D1236" s="97">
        <f>IFERROR(__xludf.DUMMYFUNCTION("""COMPUTED_VALUE"""),7.798413227475E12)</f>
        <v>7798413227475</v>
      </c>
      <c r="E1236" s="97" t="str">
        <f>IFERROR(__xludf.DUMMYFUNCTION("""COMPUTED_VALUE"""),"F74")</f>
        <v>F74</v>
      </c>
      <c r="F1236" s="97" t="str">
        <f>IFERROR(__xludf.DUMMYFUNCTION("""COMPUTED_VALUE"""),"LED SMD")</f>
        <v>LED SMD</v>
      </c>
      <c r="G1236" s="97" t="str">
        <f>IFERROR(__xludf.DUMMYFUNCTION("""COMPUTED_VALUE"""),"Bridgelux")</f>
        <v>Bridgelux</v>
      </c>
      <c r="H1236" s="97" t="str">
        <f>IFERROR(__xludf.DUMMYFUNCTION("""COMPUTED_VALUE"""),"-")</f>
        <v>-</v>
      </c>
      <c r="I1236" s="97"/>
      <c r="J1236" s="97" t="str">
        <f>IFERROR(__xludf.DUMMYFUNCTION("""COMPUTED_VALUE"""),"Modelo: OT-GDK009W400
In: 100-240Vac 50/60Hz
Out: 12-24Vdc - 400mA 9W")</f>
        <v>Modelo: OT-GDK009W400
In: 100-240Vac 50/60Hz
Out: 12-24Vdc - 400mA 9W</v>
      </c>
      <c r="K1236" s="97" t="str">
        <f>IFERROR(__xludf.DUMMYFUNCTION("""COMPUTED_VALUE"""),"ON/OFF")</f>
        <v>ON/OFF</v>
      </c>
      <c r="L1236" s="97" t="str">
        <f>IFERROR(__xludf.DUMMYFUNCTION("""COMPUTED_VALUE"""),"200-240")</f>
        <v>200-240</v>
      </c>
      <c r="M1236" s="97" t="str">
        <f>IFERROR(__xludf.DUMMYFUNCTION("""COMPUTED_VALUE"""),"50/60")</f>
        <v>50/60</v>
      </c>
      <c r="N1236" s="97" t="str">
        <f>IFERROR(__xludf.DUMMYFUNCTION("""COMPUTED_VALUE"""),"Directa")</f>
        <v>Directa</v>
      </c>
      <c r="O1236" s="97">
        <f>IFERROR(__xludf.DUMMYFUNCTION("""COMPUTED_VALUE"""),7.0)</f>
        <v>7</v>
      </c>
      <c r="P1236" s="97"/>
      <c r="Q1236" s="97">
        <f>IFERROR(__xludf.DUMMYFUNCTION("""COMPUTED_VALUE"""),0.45)</f>
        <v>0.45</v>
      </c>
      <c r="R1236" s="97" t="str">
        <f>IFERROR(__xludf.DUMMYFUNCTION("""COMPUTED_VALUE"""),"-")</f>
        <v>-</v>
      </c>
      <c r="S1236" s="97" t="str">
        <f>IFERROR(__xludf.DUMMYFUNCTION("""COMPUTED_VALUE"""),"-")</f>
        <v>-</v>
      </c>
      <c r="T1236" s="97">
        <f>IFERROR(__xludf.DUMMYFUNCTION("""COMPUTED_VALUE"""),655.0)</f>
        <v>655</v>
      </c>
      <c r="U1236" s="99">
        <f>IFERROR(__xludf.DUMMYFUNCTION("""COMPUTED_VALUE"""),93.57142857142857)</f>
        <v>93.57142857</v>
      </c>
      <c r="V1236" s="97">
        <f>IFERROR(__xludf.DUMMYFUNCTION("""COMPUTED_VALUE"""),36.0)</f>
        <v>36</v>
      </c>
      <c r="W1236" s="97" t="str">
        <f>IFERROR(__xludf.DUMMYFUNCTION("""COMPUTED_VALUE"""),"&lt; 16")</f>
        <v>&lt; 16</v>
      </c>
      <c r="X1236" s="97">
        <f>IFERROR(__xludf.DUMMYFUNCTION("""COMPUTED_VALUE"""),2700.0)</f>
        <v>2700</v>
      </c>
      <c r="Y1236" s="97" t="str">
        <f>IFERROR(__xludf.DUMMYFUNCTION("""COMPUTED_VALUE"""),"&gt;90")</f>
        <v>&gt;90</v>
      </c>
      <c r="Z1236" s="97" t="str">
        <f>IFERROR(__xludf.DUMMYFUNCTION("""COMPUTED_VALUE"""),"&gt;90")</f>
        <v>&gt;90</v>
      </c>
      <c r="AA1236" s="97" t="str">
        <f>IFERROR(__xludf.DUMMYFUNCTION("""COMPUTED_VALUE"""),"100 (Fidelidad neutra)")</f>
        <v>100 (Fidelidad neutra)</v>
      </c>
      <c r="AB1236" s="97" t="str">
        <f>IFERROR(__xludf.DUMMYFUNCTION("""COMPUTED_VALUE"""),"&lt; 3")</f>
        <v>&lt; 3</v>
      </c>
      <c r="AC1236" s="100" t="str">
        <f>IFERROR(__xludf.DUMMYFUNCTION("""COMPUTED_VALUE"""),"-0.0010")</f>
        <v>-0.0010</v>
      </c>
      <c r="AD1236" s="97" t="str">
        <f>IFERROR(__xludf.DUMMYFUNCTION("""COMPUTED_VALUE"""),"IP20")</f>
        <v>IP20</v>
      </c>
      <c r="AE1236" s="97" t="str">
        <f>IFERROR(__xludf.DUMMYFUNCTION("""COMPUTED_VALUE"""),"Clase l")</f>
        <v>Clase l</v>
      </c>
      <c r="AF1236" s="97" t="str">
        <f>IFERROR(__xludf.DUMMYFUNCTION("""COMPUTED_VALUE"""),"Aplicar")</f>
        <v>Aplicar</v>
      </c>
      <c r="AG1236" s="97" t="str">
        <f>IFERROR(__xludf.DUMMYFUNCTION("""COMPUTED_VALUE"""),"119.5 x 24.5 x 42")</f>
        <v>119.5 x 24.5 x 42</v>
      </c>
      <c r="AH1236" s="97" t="str">
        <f>IFERROR(__xludf.DUMMYFUNCTION("""COMPUTED_VALUE"""),"N/A")</f>
        <v>N/A</v>
      </c>
      <c r="AI1236" s="97" t="str">
        <f>IFERROR(__xludf.DUMMYFUNCTION("""COMPUTED_VALUE"""),"N/A")</f>
        <v>N/A</v>
      </c>
      <c r="AJ1236" s="97" t="str">
        <f>IFERROR(__xludf.DUMMYFUNCTION("""COMPUTED_VALUE"""),"Policarbonato (PC)")</f>
        <v>Policarbonato (PC)</v>
      </c>
      <c r="AK1236" s="97" t="str">
        <f>IFERROR(__xludf.DUMMYFUNCTION("""COMPUTED_VALUE"""),"Aluminio")</f>
        <v>Aluminio</v>
      </c>
      <c r="AL1236" s="97" t="str">
        <f>IFERROR(__xludf.DUMMYFUNCTION("""COMPUTED_VALUE"""),"Blanco y Negro")</f>
        <v>Blanco y Negro</v>
      </c>
      <c r="AM1236" s="97" t="str">
        <f>IFERROR(__xludf.DUMMYFUNCTION("""COMPUTED_VALUE"""),"-")</f>
        <v>-</v>
      </c>
      <c r="AN1236" s="97" t="str">
        <f>IFERROR(__xludf.DUMMYFUNCTION("""COMPUTED_VALUE"""),"40.000hs (L70)")</f>
        <v>40.000hs (L70)</v>
      </c>
      <c r="AO1236" s="97" t="str">
        <f>IFERROR(__xludf.DUMMYFUNCTION("""COMPUTED_VALUE"""),"4 Años")</f>
        <v>4 Años</v>
      </c>
      <c r="AP1236" s="97" t="str">
        <f>IFERROR(__xludf.DUMMYFUNCTION("""COMPUTED_VALUE"""),"Falta")</f>
        <v>Falta</v>
      </c>
      <c r="AQ1236" s="97" t="str">
        <f>IFERROR(__xludf.DUMMYFUNCTION("""COMPUTED_VALUE"""),"Falta")</f>
        <v>Falta</v>
      </c>
      <c r="AR1236" s="97" t="str">
        <f>IFERROR(__xludf.DUMMYFUNCTION("""COMPUTED_VALUE"""),"En revisión")</f>
        <v>En revisión</v>
      </c>
      <c r="AS1236" s="97" t="str">
        <f>IFERROR(__xludf.DUMMYFUNCTION("""COMPUTED_VALUE"""),"Falta")</f>
        <v>Falta</v>
      </c>
      <c r="AT1236" s="97" t="str">
        <f>IFERROR(__xludf.DUMMYFUNCTION("""COMPUTED_VALUE"""),"Falta")</f>
        <v>Falta</v>
      </c>
      <c r="AU1236" s="97" t="str">
        <f>IFERROR(__xludf.DUMMYFUNCTION("""COMPUTED_VALUE"""),"Falta")</f>
        <v>Falta</v>
      </c>
      <c r="AV1236" s="97" t="str">
        <f>IFERROR(__xludf.DUMMYFUNCTION("""COMPUTED_VALUE"""),"Aplique")</f>
        <v>Aplique</v>
      </c>
      <c r="AW1236" s="97" t="str">
        <f>IFERROR(__xludf.DUMMYFUNCTION("""COMPUTED_VALUE"""),"De Techo")</f>
        <v>De Techo</v>
      </c>
      <c r="AX1236" s="97" t="str">
        <f>IFERROR(__xludf.DUMMYFUNCTION("""COMPUTED_VALUE"""),"Interior")</f>
        <v>Interior</v>
      </c>
      <c r="AY1236" s="97" t="str">
        <f>IFERROR(__xludf.DUMMYFUNCTION("""COMPUTED_VALUE"""),"Pocket")</f>
        <v>Pocket</v>
      </c>
      <c r="AZ1236" s="97" t="str">
        <f>IFERROR(__xludf.DUMMYFUNCTION("""COMPUTED_VALUE"""),"Driver dentro de la luminaria.")</f>
        <v>Driver dentro de la luminaria.</v>
      </c>
      <c r="BA1236" s="97"/>
      <c r="BB1236" s="97"/>
      <c r="BC1236" s="97"/>
      <c r="BD1236" s="97" t="str">
        <f>IFERROR(__xludf.DUMMYFUNCTION("""COMPUTED_VALUE"""),"POCKET VI AP")</f>
        <v>POCKET VI AP</v>
      </c>
      <c r="BE1236" s="97" t="str">
        <f>IFERROR(__xludf.DUMMYFUNCTION("""COMPUTED_VALUE"""),"Finalizada")</f>
        <v>Finalizada</v>
      </c>
      <c r="BF1236" s="97"/>
      <c r="BG1236" s="97" t="str">
        <f>IFERROR(__xludf.DUMMYFUNCTION("""COMPUTED_VALUE"""),"Activo")</f>
        <v>Activo</v>
      </c>
    </row>
    <row r="1237">
      <c r="A1237" s="97">
        <f>IFERROR(__xludf.DUMMYFUNCTION("""COMPUTED_VALUE"""),7197.0)</f>
        <v>7197</v>
      </c>
      <c r="B1237" s="97" t="str">
        <f>IFERROR(__xludf.DUMMYFUNCTION("""COMPUTED_VALUE"""),"POCKET VI AP BLNG 3000K")</f>
        <v>POCKET VI AP BLNG 3000K</v>
      </c>
      <c r="C1237" s="97" t="str">
        <f>IFERROR(__xludf.DUMMYFUNCTION("""COMPUTED_VALUE"""),"APLIQUE POCKET VI AP BLNG 3000K 7W 3000K 655LM CRI&gt;90 IP20 LEUK")</f>
        <v>APLIQUE POCKET VI AP BLNG 3000K 7W 3000K 655LM CRI&gt;90 IP20 LEUK</v>
      </c>
      <c r="D1237" s="97">
        <f>IFERROR(__xludf.DUMMYFUNCTION("""COMPUTED_VALUE"""),7.798413227482E12)</f>
        <v>7798413227482</v>
      </c>
      <c r="E1237" s="97" t="str">
        <f>IFERROR(__xludf.DUMMYFUNCTION("""COMPUTED_VALUE"""),"F74")</f>
        <v>F74</v>
      </c>
      <c r="F1237" s="97" t="str">
        <f>IFERROR(__xludf.DUMMYFUNCTION("""COMPUTED_VALUE"""),"LED SMD")</f>
        <v>LED SMD</v>
      </c>
      <c r="G1237" s="97" t="str">
        <f>IFERROR(__xludf.DUMMYFUNCTION("""COMPUTED_VALUE"""),"Bridgelux")</f>
        <v>Bridgelux</v>
      </c>
      <c r="H1237" s="97" t="str">
        <f>IFERROR(__xludf.DUMMYFUNCTION("""COMPUTED_VALUE"""),"-")</f>
        <v>-</v>
      </c>
      <c r="I1237" s="97"/>
      <c r="J1237" s="97" t="str">
        <f>IFERROR(__xludf.DUMMYFUNCTION("""COMPUTED_VALUE"""),"Modelo: OT-GDK009W400
In: 100-240Vac 50/60Hz
Out: 12-24Vdc - 400mA 9W")</f>
        <v>Modelo: OT-GDK009W400
In: 100-240Vac 50/60Hz
Out: 12-24Vdc - 400mA 9W</v>
      </c>
      <c r="K1237" s="97" t="str">
        <f>IFERROR(__xludf.DUMMYFUNCTION("""COMPUTED_VALUE"""),"ON/OFF")</f>
        <v>ON/OFF</v>
      </c>
      <c r="L1237" s="97" t="str">
        <f>IFERROR(__xludf.DUMMYFUNCTION("""COMPUTED_VALUE"""),"200-240")</f>
        <v>200-240</v>
      </c>
      <c r="M1237" s="97" t="str">
        <f>IFERROR(__xludf.DUMMYFUNCTION("""COMPUTED_VALUE"""),"50/60")</f>
        <v>50/60</v>
      </c>
      <c r="N1237" s="97" t="str">
        <f>IFERROR(__xludf.DUMMYFUNCTION("""COMPUTED_VALUE"""),"Directa")</f>
        <v>Directa</v>
      </c>
      <c r="O1237" s="97">
        <f>IFERROR(__xludf.DUMMYFUNCTION("""COMPUTED_VALUE"""),7.0)</f>
        <v>7</v>
      </c>
      <c r="P1237" s="97"/>
      <c r="Q1237" s="97">
        <f>IFERROR(__xludf.DUMMYFUNCTION("""COMPUTED_VALUE"""),0.45)</f>
        <v>0.45</v>
      </c>
      <c r="R1237" s="97" t="str">
        <f>IFERROR(__xludf.DUMMYFUNCTION("""COMPUTED_VALUE"""),"-")</f>
        <v>-</v>
      </c>
      <c r="S1237" s="97" t="str">
        <f>IFERROR(__xludf.DUMMYFUNCTION("""COMPUTED_VALUE"""),"-")</f>
        <v>-</v>
      </c>
      <c r="T1237" s="97">
        <f>IFERROR(__xludf.DUMMYFUNCTION("""COMPUTED_VALUE"""),655.0)</f>
        <v>655</v>
      </c>
      <c r="U1237" s="99">
        <f>IFERROR(__xludf.DUMMYFUNCTION("""COMPUTED_VALUE"""),93.57142857142857)</f>
        <v>93.57142857</v>
      </c>
      <c r="V1237" s="97">
        <f>IFERROR(__xludf.DUMMYFUNCTION("""COMPUTED_VALUE"""),36.0)</f>
        <v>36</v>
      </c>
      <c r="W1237" s="97" t="str">
        <f>IFERROR(__xludf.DUMMYFUNCTION("""COMPUTED_VALUE"""),"&lt; 16")</f>
        <v>&lt; 16</v>
      </c>
      <c r="X1237" s="97">
        <f>IFERROR(__xludf.DUMMYFUNCTION("""COMPUTED_VALUE"""),3000.0)</f>
        <v>3000</v>
      </c>
      <c r="Y1237" s="97" t="str">
        <f>IFERROR(__xludf.DUMMYFUNCTION("""COMPUTED_VALUE"""),"&gt;90")</f>
        <v>&gt;90</v>
      </c>
      <c r="Z1237" s="97" t="str">
        <f>IFERROR(__xludf.DUMMYFUNCTION("""COMPUTED_VALUE"""),"&gt;90")</f>
        <v>&gt;90</v>
      </c>
      <c r="AA1237" s="97" t="str">
        <f>IFERROR(__xludf.DUMMYFUNCTION("""COMPUTED_VALUE"""),"100 (Fidelidad neutra)")</f>
        <v>100 (Fidelidad neutra)</v>
      </c>
      <c r="AB1237" s="97" t="str">
        <f>IFERROR(__xludf.DUMMYFUNCTION("""COMPUTED_VALUE"""),"&lt; 3")</f>
        <v>&lt; 3</v>
      </c>
      <c r="AC1237" s="100" t="str">
        <f>IFERROR(__xludf.DUMMYFUNCTION("""COMPUTED_VALUE"""),"0.0001")</f>
        <v>0.0001</v>
      </c>
      <c r="AD1237" s="97" t="str">
        <f>IFERROR(__xludf.DUMMYFUNCTION("""COMPUTED_VALUE"""),"IP20")</f>
        <v>IP20</v>
      </c>
      <c r="AE1237" s="97" t="str">
        <f>IFERROR(__xludf.DUMMYFUNCTION("""COMPUTED_VALUE"""),"Clase l")</f>
        <v>Clase l</v>
      </c>
      <c r="AF1237" s="97" t="str">
        <f>IFERROR(__xludf.DUMMYFUNCTION("""COMPUTED_VALUE"""),"Aplicar")</f>
        <v>Aplicar</v>
      </c>
      <c r="AG1237" s="97" t="str">
        <f>IFERROR(__xludf.DUMMYFUNCTION("""COMPUTED_VALUE"""),"119.5 x 24.5 x 42")</f>
        <v>119.5 x 24.5 x 42</v>
      </c>
      <c r="AH1237" s="97" t="str">
        <f>IFERROR(__xludf.DUMMYFUNCTION("""COMPUTED_VALUE"""),"N/A")</f>
        <v>N/A</v>
      </c>
      <c r="AI1237" s="97" t="str">
        <f>IFERROR(__xludf.DUMMYFUNCTION("""COMPUTED_VALUE"""),"N/A")</f>
        <v>N/A</v>
      </c>
      <c r="AJ1237" s="97" t="str">
        <f>IFERROR(__xludf.DUMMYFUNCTION("""COMPUTED_VALUE"""),"Policarbonato (PC)")</f>
        <v>Policarbonato (PC)</v>
      </c>
      <c r="AK1237" s="97" t="str">
        <f>IFERROR(__xludf.DUMMYFUNCTION("""COMPUTED_VALUE"""),"Aluminio")</f>
        <v>Aluminio</v>
      </c>
      <c r="AL1237" s="97" t="str">
        <f>IFERROR(__xludf.DUMMYFUNCTION("""COMPUTED_VALUE"""),"Blanco y Negro")</f>
        <v>Blanco y Negro</v>
      </c>
      <c r="AM1237" s="97" t="str">
        <f>IFERROR(__xludf.DUMMYFUNCTION("""COMPUTED_VALUE"""),"-")</f>
        <v>-</v>
      </c>
      <c r="AN1237" s="97" t="str">
        <f>IFERROR(__xludf.DUMMYFUNCTION("""COMPUTED_VALUE"""),"40.000hs (L70)")</f>
        <v>40.000hs (L70)</v>
      </c>
      <c r="AO1237" s="97" t="str">
        <f>IFERROR(__xludf.DUMMYFUNCTION("""COMPUTED_VALUE"""),"4 Años")</f>
        <v>4 Años</v>
      </c>
      <c r="AP1237" s="97" t="str">
        <f>IFERROR(__xludf.DUMMYFUNCTION("""COMPUTED_VALUE"""),"Falta")</f>
        <v>Falta</v>
      </c>
      <c r="AQ1237" s="97" t="str">
        <f>IFERROR(__xludf.DUMMYFUNCTION("""COMPUTED_VALUE"""),"Falta")</f>
        <v>Falta</v>
      </c>
      <c r="AR1237" s="97" t="str">
        <f>IFERROR(__xludf.DUMMYFUNCTION("""COMPUTED_VALUE"""),"En revisión")</f>
        <v>En revisión</v>
      </c>
      <c r="AS1237" s="97" t="str">
        <f>IFERROR(__xludf.DUMMYFUNCTION("""COMPUTED_VALUE"""),"Falta")</f>
        <v>Falta</v>
      </c>
      <c r="AT1237" s="97" t="str">
        <f>IFERROR(__xludf.DUMMYFUNCTION("""COMPUTED_VALUE"""),"Falta")</f>
        <v>Falta</v>
      </c>
      <c r="AU1237" s="97" t="str">
        <f>IFERROR(__xludf.DUMMYFUNCTION("""COMPUTED_VALUE"""),"Falta")</f>
        <v>Falta</v>
      </c>
      <c r="AV1237" s="97" t="str">
        <f>IFERROR(__xludf.DUMMYFUNCTION("""COMPUTED_VALUE"""),"Aplique")</f>
        <v>Aplique</v>
      </c>
      <c r="AW1237" s="97" t="str">
        <f>IFERROR(__xludf.DUMMYFUNCTION("""COMPUTED_VALUE"""),"De Techo")</f>
        <v>De Techo</v>
      </c>
      <c r="AX1237" s="97" t="str">
        <f>IFERROR(__xludf.DUMMYFUNCTION("""COMPUTED_VALUE"""),"Interior")</f>
        <v>Interior</v>
      </c>
      <c r="AY1237" s="97" t="str">
        <f>IFERROR(__xludf.DUMMYFUNCTION("""COMPUTED_VALUE"""),"Pocket")</f>
        <v>Pocket</v>
      </c>
      <c r="AZ1237" s="97" t="str">
        <f>IFERROR(__xludf.DUMMYFUNCTION("""COMPUTED_VALUE"""),"Driver dentro de la luminaria.")</f>
        <v>Driver dentro de la luminaria.</v>
      </c>
      <c r="BA1237" s="97"/>
      <c r="BB1237" s="97"/>
      <c r="BC1237" s="97"/>
      <c r="BD1237" s="97" t="str">
        <f>IFERROR(__xludf.DUMMYFUNCTION("""COMPUTED_VALUE"""),"POCKET VI AP")</f>
        <v>POCKET VI AP</v>
      </c>
      <c r="BE1237" s="97" t="str">
        <f>IFERROR(__xludf.DUMMYFUNCTION("""COMPUTED_VALUE"""),"Finalizada")</f>
        <v>Finalizada</v>
      </c>
      <c r="BF1237" s="97"/>
      <c r="BG1237" s="97" t="str">
        <f>IFERROR(__xludf.DUMMYFUNCTION("""COMPUTED_VALUE"""),"Activo")</f>
        <v>Activo</v>
      </c>
    </row>
    <row r="1238">
      <c r="A1238" s="97">
        <f>IFERROR(__xludf.DUMMYFUNCTION("""COMPUTED_VALUE"""),7198.0)</f>
        <v>7198</v>
      </c>
      <c r="B1238" s="97" t="str">
        <f>IFERROR(__xludf.DUMMYFUNCTION("""COMPUTED_VALUE"""),"POCKET XII AP BLBL 2700K")</f>
        <v>POCKET XII AP BLBL 2700K</v>
      </c>
      <c r="C1238" s="97" t="str">
        <f>IFERROR(__xludf.DUMMYFUNCTION("""COMPUTED_VALUE"""),"APLIQUE POCKET XII AP BLBL 2700K 15W 2700K 1610LM CRI&gt;90 IP20 LEUK")</f>
        <v>APLIQUE POCKET XII AP BLBL 2700K 15W 2700K 1610LM CRI&gt;90 IP20 LEUK</v>
      </c>
      <c r="D1238" s="97">
        <f>IFERROR(__xludf.DUMMYFUNCTION("""COMPUTED_VALUE"""),7.798413227499E12)</f>
        <v>7798413227499</v>
      </c>
      <c r="E1238" s="97" t="str">
        <f>IFERROR(__xludf.DUMMYFUNCTION("""COMPUTED_VALUE"""),"F53")</f>
        <v>F53</v>
      </c>
      <c r="F1238" s="97" t="str">
        <f>IFERROR(__xludf.DUMMYFUNCTION("""COMPUTED_VALUE"""),"LED SMD")</f>
        <v>LED SMD</v>
      </c>
      <c r="G1238" s="97" t="str">
        <f>IFERROR(__xludf.DUMMYFUNCTION("""COMPUTED_VALUE"""),"Bridgelux")</f>
        <v>Bridgelux</v>
      </c>
      <c r="H1238" s="97" t="str">
        <f>IFERROR(__xludf.DUMMYFUNCTION("""COMPUTED_VALUE"""),"-")</f>
        <v>-</v>
      </c>
      <c r="I1238" s="97"/>
      <c r="J1238" s="97" t="str">
        <f>IFERROR(__xludf.DUMMYFUNCTION("""COMPUTED_VALUE"""),"Modelo: OT-GDK018W450
In: 100-240Vac 50/60Hz
Out: 24-42Vdc - 450mA 18W")</f>
        <v>Modelo: OT-GDK018W450
In: 100-240Vac 50/60Hz
Out: 24-42Vdc - 450mA 18W</v>
      </c>
      <c r="K1238" s="97" t="str">
        <f>IFERROR(__xludf.DUMMYFUNCTION("""COMPUTED_VALUE"""),"ON/OFF")</f>
        <v>ON/OFF</v>
      </c>
      <c r="L1238" s="97" t="str">
        <f>IFERROR(__xludf.DUMMYFUNCTION("""COMPUTED_VALUE"""),"200-240")</f>
        <v>200-240</v>
      </c>
      <c r="M1238" s="97" t="str">
        <f>IFERROR(__xludf.DUMMYFUNCTION("""COMPUTED_VALUE"""),"50/60")</f>
        <v>50/60</v>
      </c>
      <c r="N1238" s="97" t="str">
        <f>IFERROR(__xludf.DUMMYFUNCTION("""COMPUTED_VALUE"""),"Directa")</f>
        <v>Directa</v>
      </c>
      <c r="O1238" s="97">
        <f>IFERROR(__xludf.DUMMYFUNCTION("""COMPUTED_VALUE"""),15.0)</f>
        <v>15</v>
      </c>
      <c r="P1238" s="97"/>
      <c r="Q1238" s="97">
        <f>IFERROR(__xludf.DUMMYFUNCTION("""COMPUTED_VALUE"""),0.5)</f>
        <v>0.5</v>
      </c>
      <c r="R1238" s="97" t="str">
        <f>IFERROR(__xludf.DUMMYFUNCTION("""COMPUTED_VALUE"""),"-")</f>
        <v>-</v>
      </c>
      <c r="S1238" s="97" t="str">
        <f>IFERROR(__xludf.DUMMYFUNCTION("""COMPUTED_VALUE"""),"-")</f>
        <v>-</v>
      </c>
      <c r="T1238" s="97">
        <f>IFERROR(__xludf.DUMMYFUNCTION("""COMPUTED_VALUE"""),1610.0)</f>
        <v>1610</v>
      </c>
      <c r="U1238" s="99">
        <f>IFERROR(__xludf.DUMMYFUNCTION("""COMPUTED_VALUE"""),107.33333333333333)</f>
        <v>107.3333333</v>
      </c>
      <c r="V1238" s="97">
        <f>IFERROR(__xludf.DUMMYFUNCTION("""COMPUTED_VALUE"""),36.0)</f>
        <v>36</v>
      </c>
      <c r="W1238" s="97" t="str">
        <f>IFERROR(__xludf.DUMMYFUNCTION("""COMPUTED_VALUE"""),"&lt; 20")</f>
        <v>&lt; 20</v>
      </c>
      <c r="X1238" s="97">
        <f>IFERROR(__xludf.DUMMYFUNCTION("""COMPUTED_VALUE"""),2700.0)</f>
        <v>2700</v>
      </c>
      <c r="Y1238" s="97" t="str">
        <f>IFERROR(__xludf.DUMMYFUNCTION("""COMPUTED_VALUE"""),"&gt;90")</f>
        <v>&gt;90</v>
      </c>
      <c r="Z1238" s="97" t="str">
        <f>IFERROR(__xludf.DUMMYFUNCTION("""COMPUTED_VALUE"""),"&gt;90")</f>
        <v>&gt;90</v>
      </c>
      <c r="AA1238" s="97" t="str">
        <f>IFERROR(__xludf.DUMMYFUNCTION("""COMPUTED_VALUE"""),"100 (Fidelidad neutra)")</f>
        <v>100 (Fidelidad neutra)</v>
      </c>
      <c r="AB1238" s="97" t="str">
        <f>IFERROR(__xludf.DUMMYFUNCTION("""COMPUTED_VALUE"""),"&lt; 3")</f>
        <v>&lt; 3</v>
      </c>
      <c r="AC1238" s="100" t="str">
        <f>IFERROR(__xludf.DUMMYFUNCTION("""COMPUTED_VALUE"""),"-0.0010")</f>
        <v>-0.0010</v>
      </c>
      <c r="AD1238" s="97" t="str">
        <f>IFERROR(__xludf.DUMMYFUNCTION("""COMPUTED_VALUE"""),"IP20")</f>
        <v>IP20</v>
      </c>
      <c r="AE1238" s="97" t="str">
        <f>IFERROR(__xludf.DUMMYFUNCTION("""COMPUTED_VALUE"""),"Clase l")</f>
        <v>Clase l</v>
      </c>
      <c r="AF1238" s="97" t="str">
        <f>IFERROR(__xludf.DUMMYFUNCTION("""COMPUTED_VALUE"""),"Aplicar")</f>
        <v>Aplicar</v>
      </c>
      <c r="AG1238" s="97" t="str">
        <f>IFERROR(__xludf.DUMMYFUNCTION("""COMPUTED_VALUE"""),"233.5 x 24.5 x 42")</f>
        <v>233.5 x 24.5 x 42</v>
      </c>
      <c r="AH1238" s="97" t="str">
        <f>IFERROR(__xludf.DUMMYFUNCTION("""COMPUTED_VALUE"""),"N/A")</f>
        <v>N/A</v>
      </c>
      <c r="AI1238" s="97" t="str">
        <f>IFERROR(__xludf.DUMMYFUNCTION("""COMPUTED_VALUE"""),"N/A")</f>
        <v>N/A</v>
      </c>
      <c r="AJ1238" s="97" t="str">
        <f>IFERROR(__xludf.DUMMYFUNCTION("""COMPUTED_VALUE"""),"Policarbonato (PC)")</f>
        <v>Policarbonato (PC)</v>
      </c>
      <c r="AK1238" s="97" t="str">
        <f>IFERROR(__xludf.DUMMYFUNCTION("""COMPUTED_VALUE"""),"Aluminio")</f>
        <v>Aluminio</v>
      </c>
      <c r="AL1238" s="97" t="str">
        <f>IFERROR(__xludf.DUMMYFUNCTION("""COMPUTED_VALUE"""),"Blanco Satinado")</f>
        <v>Blanco Satinado</v>
      </c>
      <c r="AM1238" s="97" t="str">
        <f>IFERROR(__xludf.DUMMYFUNCTION("""COMPUTED_VALUE"""),"-")</f>
        <v>-</v>
      </c>
      <c r="AN1238" s="97" t="str">
        <f>IFERROR(__xludf.DUMMYFUNCTION("""COMPUTED_VALUE"""),"40.000hs (L70)")</f>
        <v>40.000hs (L70)</v>
      </c>
      <c r="AO1238" s="97" t="str">
        <f>IFERROR(__xludf.DUMMYFUNCTION("""COMPUTED_VALUE"""),"4 Años")</f>
        <v>4 Años</v>
      </c>
      <c r="AP1238" s="97" t="str">
        <f>IFERROR(__xludf.DUMMYFUNCTION("""COMPUTED_VALUE"""),"Falta")</f>
        <v>Falta</v>
      </c>
      <c r="AQ1238" s="97" t="str">
        <f>IFERROR(__xludf.DUMMYFUNCTION("""COMPUTED_VALUE"""),"Falta")</f>
        <v>Falta</v>
      </c>
      <c r="AR1238" s="97" t="str">
        <f>IFERROR(__xludf.DUMMYFUNCTION("""COMPUTED_VALUE"""),"En revisión")</f>
        <v>En revisión</v>
      </c>
      <c r="AS1238" s="97" t="str">
        <f>IFERROR(__xludf.DUMMYFUNCTION("""COMPUTED_VALUE"""),"Falta")</f>
        <v>Falta</v>
      </c>
      <c r="AT1238" s="97" t="str">
        <f>IFERROR(__xludf.DUMMYFUNCTION("""COMPUTED_VALUE"""),"Falta")</f>
        <v>Falta</v>
      </c>
      <c r="AU1238" s="97" t="str">
        <f>IFERROR(__xludf.DUMMYFUNCTION("""COMPUTED_VALUE"""),"Falta")</f>
        <v>Falta</v>
      </c>
      <c r="AV1238" s="97" t="str">
        <f>IFERROR(__xludf.DUMMYFUNCTION("""COMPUTED_VALUE"""),"Aplique")</f>
        <v>Aplique</v>
      </c>
      <c r="AW1238" s="97" t="str">
        <f>IFERROR(__xludf.DUMMYFUNCTION("""COMPUTED_VALUE"""),"De Techo")</f>
        <v>De Techo</v>
      </c>
      <c r="AX1238" s="97" t="str">
        <f>IFERROR(__xludf.DUMMYFUNCTION("""COMPUTED_VALUE"""),"Interior")</f>
        <v>Interior</v>
      </c>
      <c r="AY1238" s="97" t="str">
        <f>IFERROR(__xludf.DUMMYFUNCTION("""COMPUTED_VALUE"""),"Pocket")</f>
        <v>Pocket</v>
      </c>
      <c r="AZ1238" s="97" t="str">
        <f>IFERROR(__xludf.DUMMYFUNCTION("""COMPUTED_VALUE"""),"Driver dentro de la luminaria.")</f>
        <v>Driver dentro de la luminaria.</v>
      </c>
      <c r="BA1238" s="97"/>
      <c r="BB1238" s="97"/>
      <c r="BC1238" s="97"/>
      <c r="BD1238" s="97" t="str">
        <f>IFERROR(__xludf.DUMMYFUNCTION("""COMPUTED_VALUE"""),"POCKET XII AP")</f>
        <v>POCKET XII AP</v>
      </c>
      <c r="BE1238" s="97" t="str">
        <f>IFERROR(__xludf.DUMMYFUNCTION("""COMPUTED_VALUE"""),"Finalizada")</f>
        <v>Finalizada</v>
      </c>
      <c r="BF1238" s="97"/>
      <c r="BG1238" s="97" t="str">
        <f>IFERROR(__xludf.DUMMYFUNCTION("""COMPUTED_VALUE"""),"Activo")</f>
        <v>Activo</v>
      </c>
    </row>
    <row r="1239">
      <c r="A1239" s="97">
        <f>IFERROR(__xludf.DUMMYFUNCTION("""COMPUTED_VALUE"""),7199.0)</f>
        <v>7199</v>
      </c>
      <c r="B1239" s="97" t="str">
        <f>IFERROR(__xludf.DUMMYFUNCTION("""COMPUTED_VALUE"""),"POCKET XII AP BLNG 2700K")</f>
        <v>POCKET XII AP BLNG 2700K</v>
      </c>
      <c r="C1239" s="97" t="str">
        <f>IFERROR(__xludf.DUMMYFUNCTION("""COMPUTED_VALUE"""),"APLIQUE POCKET XII AP BLNG 2700K 15W 2700K 1610LM CRI&gt;90 IP20 LEUK")</f>
        <v>APLIQUE POCKET XII AP BLNG 2700K 15W 2700K 1610LM CRI&gt;90 IP20 LEUK</v>
      </c>
      <c r="D1239" s="97">
        <f>IFERROR(__xludf.DUMMYFUNCTION("""COMPUTED_VALUE"""),7.798413227505E12)</f>
        <v>7798413227505</v>
      </c>
      <c r="E1239" s="97" t="str">
        <f>IFERROR(__xludf.DUMMYFUNCTION("""COMPUTED_VALUE"""),"F53")</f>
        <v>F53</v>
      </c>
      <c r="F1239" s="97" t="str">
        <f>IFERROR(__xludf.DUMMYFUNCTION("""COMPUTED_VALUE"""),"LED SMD")</f>
        <v>LED SMD</v>
      </c>
      <c r="G1239" s="97" t="str">
        <f>IFERROR(__xludf.DUMMYFUNCTION("""COMPUTED_VALUE"""),"Bridgelux")</f>
        <v>Bridgelux</v>
      </c>
      <c r="H1239" s="97" t="str">
        <f>IFERROR(__xludf.DUMMYFUNCTION("""COMPUTED_VALUE"""),"-")</f>
        <v>-</v>
      </c>
      <c r="I1239" s="97"/>
      <c r="J1239" s="97" t="str">
        <f>IFERROR(__xludf.DUMMYFUNCTION("""COMPUTED_VALUE"""),"Modelo: OT-GDK018W450
In: 100-240Vac 50/60Hz
Out: 24-42Vdc - 450mA 18W")</f>
        <v>Modelo: OT-GDK018W450
In: 100-240Vac 50/60Hz
Out: 24-42Vdc - 450mA 18W</v>
      </c>
      <c r="K1239" s="97" t="str">
        <f>IFERROR(__xludf.DUMMYFUNCTION("""COMPUTED_VALUE"""),"ON/OFF")</f>
        <v>ON/OFF</v>
      </c>
      <c r="L1239" s="97" t="str">
        <f>IFERROR(__xludf.DUMMYFUNCTION("""COMPUTED_VALUE"""),"200-240")</f>
        <v>200-240</v>
      </c>
      <c r="M1239" s="97" t="str">
        <f>IFERROR(__xludf.DUMMYFUNCTION("""COMPUTED_VALUE"""),"50/60")</f>
        <v>50/60</v>
      </c>
      <c r="N1239" s="97" t="str">
        <f>IFERROR(__xludf.DUMMYFUNCTION("""COMPUTED_VALUE"""),"Directa")</f>
        <v>Directa</v>
      </c>
      <c r="O1239" s="97">
        <f>IFERROR(__xludf.DUMMYFUNCTION("""COMPUTED_VALUE"""),15.0)</f>
        <v>15</v>
      </c>
      <c r="P1239" s="97"/>
      <c r="Q1239" s="97">
        <f>IFERROR(__xludf.DUMMYFUNCTION("""COMPUTED_VALUE"""),0.5)</f>
        <v>0.5</v>
      </c>
      <c r="R1239" s="97" t="str">
        <f>IFERROR(__xludf.DUMMYFUNCTION("""COMPUTED_VALUE"""),"-")</f>
        <v>-</v>
      </c>
      <c r="S1239" s="97" t="str">
        <f>IFERROR(__xludf.DUMMYFUNCTION("""COMPUTED_VALUE"""),"-")</f>
        <v>-</v>
      </c>
      <c r="T1239" s="97">
        <f>IFERROR(__xludf.DUMMYFUNCTION("""COMPUTED_VALUE"""),1610.0)</f>
        <v>1610</v>
      </c>
      <c r="U1239" s="99">
        <f>IFERROR(__xludf.DUMMYFUNCTION("""COMPUTED_VALUE"""),107.33333333333333)</f>
        <v>107.3333333</v>
      </c>
      <c r="V1239" s="97">
        <f>IFERROR(__xludf.DUMMYFUNCTION("""COMPUTED_VALUE"""),36.0)</f>
        <v>36</v>
      </c>
      <c r="W1239" s="97" t="str">
        <f>IFERROR(__xludf.DUMMYFUNCTION("""COMPUTED_VALUE"""),"&lt; 20")</f>
        <v>&lt; 20</v>
      </c>
      <c r="X1239" s="97">
        <f>IFERROR(__xludf.DUMMYFUNCTION("""COMPUTED_VALUE"""),2700.0)</f>
        <v>2700</v>
      </c>
      <c r="Y1239" s="97" t="str">
        <f>IFERROR(__xludf.DUMMYFUNCTION("""COMPUTED_VALUE"""),"&gt;90")</f>
        <v>&gt;90</v>
      </c>
      <c r="Z1239" s="97" t="str">
        <f>IFERROR(__xludf.DUMMYFUNCTION("""COMPUTED_VALUE"""),"&gt;90")</f>
        <v>&gt;90</v>
      </c>
      <c r="AA1239" s="97" t="str">
        <f>IFERROR(__xludf.DUMMYFUNCTION("""COMPUTED_VALUE"""),"100 (Fidelidad neutra)")</f>
        <v>100 (Fidelidad neutra)</v>
      </c>
      <c r="AB1239" s="97" t="str">
        <f>IFERROR(__xludf.DUMMYFUNCTION("""COMPUTED_VALUE"""),"&lt; 3")</f>
        <v>&lt; 3</v>
      </c>
      <c r="AC1239" s="100" t="str">
        <f>IFERROR(__xludf.DUMMYFUNCTION("""COMPUTED_VALUE"""),"-0.0010")</f>
        <v>-0.0010</v>
      </c>
      <c r="AD1239" s="97" t="str">
        <f>IFERROR(__xludf.DUMMYFUNCTION("""COMPUTED_VALUE"""),"IP20")</f>
        <v>IP20</v>
      </c>
      <c r="AE1239" s="97" t="str">
        <f>IFERROR(__xludf.DUMMYFUNCTION("""COMPUTED_VALUE"""),"Clase l")</f>
        <v>Clase l</v>
      </c>
      <c r="AF1239" s="97" t="str">
        <f>IFERROR(__xludf.DUMMYFUNCTION("""COMPUTED_VALUE"""),"Aplicar")</f>
        <v>Aplicar</v>
      </c>
      <c r="AG1239" s="97" t="str">
        <f>IFERROR(__xludf.DUMMYFUNCTION("""COMPUTED_VALUE"""),"233.5 x 24.5 x 42")</f>
        <v>233.5 x 24.5 x 42</v>
      </c>
      <c r="AH1239" s="97" t="str">
        <f>IFERROR(__xludf.DUMMYFUNCTION("""COMPUTED_VALUE"""),"N/A")</f>
        <v>N/A</v>
      </c>
      <c r="AI1239" s="97" t="str">
        <f>IFERROR(__xludf.DUMMYFUNCTION("""COMPUTED_VALUE"""),"N/A")</f>
        <v>N/A</v>
      </c>
      <c r="AJ1239" s="97" t="str">
        <f>IFERROR(__xludf.DUMMYFUNCTION("""COMPUTED_VALUE"""),"Policarbonato (PC)")</f>
        <v>Policarbonato (PC)</v>
      </c>
      <c r="AK1239" s="97" t="str">
        <f>IFERROR(__xludf.DUMMYFUNCTION("""COMPUTED_VALUE"""),"Aluminio")</f>
        <v>Aluminio</v>
      </c>
      <c r="AL1239" s="97" t="str">
        <f>IFERROR(__xludf.DUMMYFUNCTION("""COMPUTED_VALUE"""),"Blanco y Negro")</f>
        <v>Blanco y Negro</v>
      </c>
      <c r="AM1239" s="97" t="str">
        <f>IFERROR(__xludf.DUMMYFUNCTION("""COMPUTED_VALUE"""),"-")</f>
        <v>-</v>
      </c>
      <c r="AN1239" s="97" t="str">
        <f>IFERROR(__xludf.DUMMYFUNCTION("""COMPUTED_VALUE"""),"40.000hs (L70)")</f>
        <v>40.000hs (L70)</v>
      </c>
      <c r="AO1239" s="97" t="str">
        <f>IFERROR(__xludf.DUMMYFUNCTION("""COMPUTED_VALUE"""),"4 Años")</f>
        <v>4 Años</v>
      </c>
      <c r="AP1239" s="97" t="str">
        <f>IFERROR(__xludf.DUMMYFUNCTION("""COMPUTED_VALUE"""),"Falta")</f>
        <v>Falta</v>
      </c>
      <c r="AQ1239" s="97" t="str">
        <f>IFERROR(__xludf.DUMMYFUNCTION("""COMPUTED_VALUE"""),"Falta")</f>
        <v>Falta</v>
      </c>
      <c r="AR1239" s="97" t="str">
        <f>IFERROR(__xludf.DUMMYFUNCTION("""COMPUTED_VALUE"""),"En revisión")</f>
        <v>En revisión</v>
      </c>
      <c r="AS1239" s="97" t="str">
        <f>IFERROR(__xludf.DUMMYFUNCTION("""COMPUTED_VALUE"""),"Falta")</f>
        <v>Falta</v>
      </c>
      <c r="AT1239" s="97" t="str">
        <f>IFERROR(__xludf.DUMMYFUNCTION("""COMPUTED_VALUE"""),"Falta")</f>
        <v>Falta</v>
      </c>
      <c r="AU1239" s="97" t="str">
        <f>IFERROR(__xludf.DUMMYFUNCTION("""COMPUTED_VALUE"""),"Falta")</f>
        <v>Falta</v>
      </c>
      <c r="AV1239" s="97" t="str">
        <f>IFERROR(__xludf.DUMMYFUNCTION("""COMPUTED_VALUE"""),"Aplique")</f>
        <v>Aplique</v>
      </c>
      <c r="AW1239" s="97" t="str">
        <f>IFERROR(__xludf.DUMMYFUNCTION("""COMPUTED_VALUE"""),"De Techo")</f>
        <v>De Techo</v>
      </c>
      <c r="AX1239" s="97" t="str">
        <f>IFERROR(__xludf.DUMMYFUNCTION("""COMPUTED_VALUE"""),"Interior")</f>
        <v>Interior</v>
      </c>
      <c r="AY1239" s="97" t="str">
        <f>IFERROR(__xludf.DUMMYFUNCTION("""COMPUTED_VALUE"""),"Pocket")</f>
        <v>Pocket</v>
      </c>
      <c r="AZ1239" s="97" t="str">
        <f>IFERROR(__xludf.DUMMYFUNCTION("""COMPUTED_VALUE"""),"Driver dentro de la luminaria.")</f>
        <v>Driver dentro de la luminaria.</v>
      </c>
      <c r="BA1239" s="97"/>
      <c r="BB1239" s="97"/>
      <c r="BC1239" s="97"/>
      <c r="BD1239" s="97" t="str">
        <f>IFERROR(__xludf.DUMMYFUNCTION("""COMPUTED_VALUE"""),"POCKET XII AP")</f>
        <v>POCKET XII AP</v>
      </c>
      <c r="BE1239" s="97" t="str">
        <f>IFERROR(__xludf.DUMMYFUNCTION("""COMPUTED_VALUE"""),"Finalizada")</f>
        <v>Finalizada</v>
      </c>
      <c r="BF1239" s="97"/>
      <c r="BG1239" s="97" t="str">
        <f>IFERROR(__xludf.DUMMYFUNCTION("""COMPUTED_VALUE"""),"Activo")</f>
        <v>Activo</v>
      </c>
    </row>
    <row r="1240">
      <c r="A1240" s="97">
        <f>IFERROR(__xludf.DUMMYFUNCTION("""COMPUTED_VALUE"""),7200.0)</f>
        <v>7200</v>
      </c>
      <c r="B1240" s="97" t="str">
        <f>IFERROR(__xludf.DUMMYFUNCTION("""COMPUTED_VALUE"""),"POCKET XII AP BLNG 3000K")</f>
        <v>POCKET XII AP BLNG 3000K</v>
      </c>
      <c r="C1240" s="97" t="str">
        <f>IFERROR(__xludf.DUMMYFUNCTION("""COMPUTED_VALUE"""),"APLIQUE POCKET XII AP BLNG 3000K 15W 3000K 1610LM CRI&gt;90 IP20 LEUK")</f>
        <v>APLIQUE POCKET XII AP BLNG 3000K 15W 3000K 1610LM CRI&gt;90 IP20 LEUK</v>
      </c>
      <c r="D1240" s="97">
        <f>IFERROR(__xludf.DUMMYFUNCTION("""COMPUTED_VALUE"""),7.798413227512E12)</f>
        <v>7798413227512</v>
      </c>
      <c r="E1240" s="97" t="str">
        <f>IFERROR(__xludf.DUMMYFUNCTION("""COMPUTED_VALUE"""),"F53")</f>
        <v>F53</v>
      </c>
      <c r="F1240" s="97" t="str">
        <f>IFERROR(__xludf.DUMMYFUNCTION("""COMPUTED_VALUE"""),"LED SMD")</f>
        <v>LED SMD</v>
      </c>
      <c r="G1240" s="97" t="str">
        <f>IFERROR(__xludf.DUMMYFUNCTION("""COMPUTED_VALUE"""),"Bridgelux")</f>
        <v>Bridgelux</v>
      </c>
      <c r="H1240" s="97" t="str">
        <f>IFERROR(__xludf.DUMMYFUNCTION("""COMPUTED_VALUE"""),"-")</f>
        <v>-</v>
      </c>
      <c r="I1240" s="97"/>
      <c r="J1240" s="97" t="str">
        <f>IFERROR(__xludf.DUMMYFUNCTION("""COMPUTED_VALUE"""),"Modelo: OT-GDK018W450
In: 100-240Vac 50/60Hz
Out: 24-42Vdc - 450mA 18W")</f>
        <v>Modelo: OT-GDK018W450
In: 100-240Vac 50/60Hz
Out: 24-42Vdc - 450mA 18W</v>
      </c>
      <c r="K1240" s="97" t="str">
        <f>IFERROR(__xludf.DUMMYFUNCTION("""COMPUTED_VALUE"""),"ON/OFF")</f>
        <v>ON/OFF</v>
      </c>
      <c r="L1240" s="97" t="str">
        <f>IFERROR(__xludf.DUMMYFUNCTION("""COMPUTED_VALUE"""),"200-240")</f>
        <v>200-240</v>
      </c>
      <c r="M1240" s="97" t="str">
        <f>IFERROR(__xludf.DUMMYFUNCTION("""COMPUTED_VALUE"""),"50/60")</f>
        <v>50/60</v>
      </c>
      <c r="N1240" s="97" t="str">
        <f>IFERROR(__xludf.DUMMYFUNCTION("""COMPUTED_VALUE"""),"Directa")</f>
        <v>Directa</v>
      </c>
      <c r="O1240" s="97">
        <f>IFERROR(__xludf.DUMMYFUNCTION("""COMPUTED_VALUE"""),15.0)</f>
        <v>15</v>
      </c>
      <c r="P1240" s="97"/>
      <c r="Q1240" s="97">
        <f>IFERROR(__xludf.DUMMYFUNCTION("""COMPUTED_VALUE"""),0.5)</f>
        <v>0.5</v>
      </c>
      <c r="R1240" s="97" t="str">
        <f>IFERROR(__xludf.DUMMYFUNCTION("""COMPUTED_VALUE"""),"-")</f>
        <v>-</v>
      </c>
      <c r="S1240" s="97" t="str">
        <f>IFERROR(__xludf.DUMMYFUNCTION("""COMPUTED_VALUE"""),"-")</f>
        <v>-</v>
      </c>
      <c r="T1240" s="97">
        <f>IFERROR(__xludf.DUMMYFUNCTION("""COMPUTED_VALUE"""),1610.0)</f>
        <v>1610</v>
      </c>
      <c r="U1240" s="99">
        <f>IFERROR(__xludf.DUMMYFUNCTION("""COMPUTED_VALUE"""),107.33333333333333)</f>
        <v>107.3333333</v>
      </c>
      <c r="V1240" s="97">
        <f>IFERROR(__xludf.DUMMYFUNCTION("""COMPUTED_VALUE"""),36.0)</f>
        <v>36</v>
      </c>
      <c r="W1240" s="97" t="str">
        <f>IFERROR(__xludf.DUMMYFUNCTION("""COMPUTED_VALUE"""),"&lt; 20")</f>
        <v>&lt; 20</v>
      </c>
      <c r="X1240" s="97">
        <f>IFERROR(__xludf.DUMMYFUNCTION("""COMPUTED_VALUE"""),3000.0)</f>
        <v>3000</v>
      </c>
      <c r="Y1240" s="97" t="str">
        <f>IFERROR(__xludf.DUMMYFUNCTION("""COMPUTED_VALUE"""),"&gt;90")</f>
        <v>&gt;90</v>
      </c>
      <c r="Z1240" s="97" t="str">
        <f>IFERROR(__xludf.DUMMYFUNCTION("""COMPUTED_VALUE"""),"&gt;90")</f>
        <v>&gt;90</v>
      </c>
      <c r="AA1240" s="97" t="str">
        <f>IFERROR(__xludf.DUMMYFUNCTION("""COMPUTED_VALUE"""),"100 (Fidelidad neutra)")</f>
        <v>100 (Fidelidad neutra)</v>
      </c>
      <c r="AB1240" s="97" t="str">
        <f>IFERROR(__xludf.DUMMYFUNCTION("""COMPUTED_VALUE"""),"&lt; 3")</f>
        <v>&lt; 3</v>
      </c>
      <c r="AC1240" s="100" t="str">
        <f>IFERROR(__xludf.DUMMYFUNCTION("""COMPUTED_VALUE"""),"-0.0003")</f>
        <v>-0.0003</v>
      </c>
      <c r="AD1240" s="97" t="str">
        <f>IFERROR(__xludf.DUMMYFUNCTION("""COMPUTED_VALUE"""),"IP20")</f>
        <v>IP20</v>
      </c>
      <c r="AE1240" s="97" t="str">
        <f>IFERROR(__xludf.DUMMYFUNCTION("""COMPUTED_VALUE"""),"Clase l")</f>
        <v>Clase l</v>
      </c>
      <c r="AF1240" s="97" t="str">
        <f>IFERROR(__xludf.DUMMYFUNCTION("""COMPUTED_VALUE"""),"Aplicar")</f>
        <v>Aplicar</v>
      </c>
      <c r="AG1240" s="97" t="str">
        <f>IFERROR(__xludf.DUMMYFUNCTION("""COMPUTED_VALUE"""),"233.5 x 24.5 x 42")</f>
        <v>233.5 x 24.5 x 42</v>
      </c>
      <c r="AH1240" s="97" t="str">
        <f>IFERROR(__xludf.DUMMYFUNCTION("""COMPUTED_VALUE"""),"N/A")</f>
        <v>N/A</v>
      </c>
      <c r="AI1240" s="97" t="str">
        <f>IFERROR(__xludf.DUMMYFUNCTION("""COMPUTED_VALUE"""),"N/A")</f>
        <v>N/A</v>
      </c>
      <c r="AJ1240" s="97" t="str">
        <f>IFERROR(__xludf.DUMMYFUNCTION("""COMPUTED_VALUE"""),"Policarbonato (PC)")</f>
        <v>Policarbonato (PC)</v>
      </c>
      <c r="AK1240" s="97" t="str">
        <f>IFERROR(__xludf.DUMMYFUNCTION("""COMPUTED_VALUE"""),"Aluminio")</f>
        <v>Aluminio</v>
      </c>
      <c r="AL1240" s="97" t="str">
        <f>IFERROR(__xludf.DUMMYFUNCTION("""COMPUTED_VALUE"""),"Blanco y Negro")</f>
        <v>Blanco y Negro</v>
      </c>
      <c r="AM1240" s="97" t="str">
        <f>IFERROR(__xludf.DUMMYFUNCTION("""COMPUTED_VALUE"""),"-")</f>
        <v>-</v>
      </c>
      <c r="AN1240" s="97" t="str">
        <f>IFERROR(__xludf.DUMMYFUNCTION("""COMPUTED_VALUE"""),"40.000hs (L70)")</f>
        <v>40.000hs (L70)</v>
      </c>
      <c r="AO1240" s="97" t="str">
        <f>IFERROR(__xludf.DUMMYFUNCTION("""COMPUTED_VALUE"""),"4 Años")</f>
        <v>4 Años</v>
      </c>
      <c r="AP1240" s="97" t="str">
        <f>IFERROR(__xludf.DUMMYFUNCTION("""COMPUTED_VALUE"""),"Falta")</f>
        <v>Falta</v>
      </c>
      <c r="AQ1240" s="97" t="str">
        <f>IFERROR(__xludf.DUMMYFUNCTION("""COMPUTED_VALUE"""),"Falta")</f>
        <v>Falta</v>
      </c>
      <c r="AR1240" s="97" t="str">
        <f>IFERROR(__xludf.DUMMYFUNCTION("""COMPUTED_VALUE"""),"En revisión")</f>
        <v>En revisión</v>
      </c>
      <c r="AS1240" s="97" t="str">
        <f>IFERROR(__xludf.DUMMYFUNCTION("""COMPUTED_VALUE"""),"Falta")</f>
        <v>Falta</v>
      </c>
      <c r="AT1240" s="97" t="str">
        <f>IFERROR(__xludf.DUMMYFUNCTION("""COMPUTED_VALUE"""),"Falta")</f>
        <v>Falta</v>
      </c>
      <c r="AU1240" s="97" t="str">
        <f>IFERROR(__xludf.DUMMYFUNCTION("""COMPUTED_VALUE"""),"Falta")</f>
        <v>Falta</v>
      </c>
      <c r="AV1240" s="97" t="str">
        <f>IFERROR(__xludf.DUMMYFUNCTION("""COMPUTED_VALUE"""),"Aplique")</f>
        <v>Aplique</v>
      </c>
      <c r="AW1240" s="97" t="str">
        <f>IFERROR(__xludf.DUMMYFUNCTION("""COMPUTED_VALUE"""),"De Techo")</f>
        <v>De Techo</v>
      </c>
      <c r="AX1240" s="97" t="str">
        <f>IFERROR(__xludf.DUMMYFUNCTION("""COMPUTED_VALUE"""),"Interior")</f>
        <v>Interior</v>
      </c>
      <c r="AY1240" s="97" t="str">
        <f>IFERROR(__xludf.DUMMYFUNCTION("""COMPUTED_VALUE"""),"Pocket")</f>
        <v>Pocket</v>
      </c>
      <c r="AZ1240" s="97" t="str">
        <f>IFERROR(__xludf.DUMMYFUNCTION("""COMPUTED_VALUE"""),"Driver dentro de la luminaria.")</f>
        <v>Driver dentro de la luminaria.</v>
      </c>
      <c r="BA1240" s="97"/>
      <c r="BB1240" s="97"/>
      <c r="BC1240" s="97"/>
      <c r="BD1240" s="97" t="str">
        <f>IFERROR(__xludf.DUMMYFUNCTION("""COMPUTED_VALUE"""),"POCKET XII AP")</f>
        <v>POCKET XII AP</v>
      </c>
      <c r="BE1240" s="97" t="str">
        <f>IFERROR(__xludf.DUMMYFUNCTION("""COMPUTED_VALUE"""),"Finalizada")</f>
        <v>Finalizada</v>
      </c>
      <c r="BF1240" s="97"/>
      <c r="BG1240" s="97" t="str">
        <f>IFERROR(__xludf.DUMMYFUNCTION("""COMPUTED_VALUE"""),"Activo")</f>
        <v>Activo</v>
      </c>
    </row>
    <row r="1241">
      <c r="A1241" s="97">
        <f>IFERROR(__xludf.DUMMYFUNCTION("""COMPUTED_VALUE"""),7201.0)</f>
        <v>7201</v>
      </c>
      <c r="B1241" s="97" t="str">
        <f>IFERROR(__xludf.DUMMYFUNCTION("""COMPUTED_VALUE"""),"LIV S 7W 4000K")</f>
        <v>LIV S 7W 4000K</v>
      </c>
      <c r="C1241" s="97" t="str">
        <f>IFERROR(__xludf.DUMMYFUNCTION("""COMPUTED_VALUE"""),"EMPOTRABLE LIV S 7W 4000K 7W 4000K 575LM CRI&gt;90 IP20 LEUK")</f>
        <v>EMPOTRABLE LIV S 7W 4000K 7W 4000K 575LM CRI&gt;90 IP20 LEUK</v>
      </c>
      <c r="D1241" s="97">
        <f>IFERROR(__xludf.DUMMYFUNCTION("""COMPUTED_VALUE"""),7.798413227529E12)</f>
        <v>7798413227529</v>
      </c>
      <c r="E1241" s="97" t="str">
        <f>IFERROR(__xludf.DUMMYFUNCTION("""COMPUTED_VALUE"""),"F70")</f>
        <v>F70</v>
      </c>
      <c r="F1241" s="97" t="str">
        <f>IFERROR(__xludf.DUMMYFUNCTION("""COMPUTED_VALUE"""),"LED SMD2835")</f>
        <v>LED SMD2835</v>
      </c>
      <c r="G1241" s="97" t="str">
        <f>IFERROR(__xludf.DUMMYFUNCTION("""COMPUTED_VALUE"""),"-")</f>
        <v>-</v>
      </c>
      <c r="H1241" s="97" t="str">
        <f>IFERROR(__xludf.DUMMYFUNCTION("""COMPUTED_VALUE"""),"Eaglerise")</f>
        <v>Eaglerise</v>
      </c>
      <c r="I1241" s="97"/>
      <c r="J1241" s="97" t="str">
        <f>IFERROR(__xludf.DUMMYFUNCTION("""COMPUTED_VALUE"""),"Modelo: LS-8-300 SI2 E
In: 220-240Vac 0.1A 50/60Hz
Out: 18-24Vdc 300mA 7.2W
Pf 0.6 Tc 75°C Ta 45°C")</f>
        <v>Modelo: LS-8-300 SI2 E
In: 220-240Vac 0.1A 50/60Hz
Out: 18-24Vdc 300mA 7.2W
Pf 0.6 Tc 75°C Ta 45°C</v>
      </c>
      <c r="K1241" s="97" t="str">
        <f>IFERROR(__xludf.DUMMYFUNCTION("""COMPUTED_VALUE"""),"ON/OFF")</f>
        <v>ON/OFF</v>
      </c>
      <c r="L1241" s="97" t="str">
        <f>IFERROR(__xludf.DUMMYFUNCTION("""COMPUTED_VALUE"""),"200-240")</f>
        <v>200-240</v>
      </c>
      <c r="M1241" s="97" t="str">
        <f>IFERROR(__xludf.DUMMYFUNCTION("""COMPUTED_VALUE"""),"50/60")</f>
        <v>50/60</v>
      </c>
      <c r="N1241" s="97" t="str">
        <f>IFERROR(__xludf.DUMMYFUNCTION("""COMPUTED_VALUE"""),"Directa")</f>
        <v>Directa</v>
      </c>
      <c r="O1241" s="97">
        <f>IFERROR(__xludf.DUMMYFUNCTION("""COMPUTED_VALUE"""),7.0)</f>
        <v>7</v>
      </c>
      <c r="P1241" s="97"/>
      <c r="Q1241" s="97">
        <f>IFERROR(__xludf.DUMMYFUNCTION("""COMPUTED_VALUE"""),0.6)</f>
        <v>0.6</v>
      </c>
      <c r="R1241" s="97" t="str">
        <f>IFERROR(__xludf.DUMMYFUNCTION("""COMPUTED_VALUE"""),"-")</f>
        <v>-</v>
      </c>
      <c r="S1241" s="97" t="str">
        <f>IFERROR(__xludf.DUMMYFUNCTION("""COMPUTED_VALUE"""),"-")</f>
        <v>-</v>
      </c>
      <c r="T1241" s="97">
        <f>IFERROR(__xludf.DUMMYFUNCTION("""COMPUTED_VALUE"""),575.0)</f>
        <v>575</v>
      </c>
      <c r="U1241" s="99">
        <f>IFERROR(__xludf.DUMMYFUNCTION("""COMPUTED_VALUE"""),82.14285714285714)</f>
        <v>82.14285714</v>
      </c>
      <c r="V1241" s="97">
        <f>IFERROR(__xludf.DUMMYFUNCTION("""COMPUTED_VALUE"""),110.0)</f>
        <v>110</v>
      </c>
      <c r="W1241" s="97" t="str">
        <f>IFERROR(__xludf.DUMMYFUNCTION("""COMPUTED_VALUE"""),"&lt; 20")</f>
        <v>&lt; 20</v>
      </c>
      <c r="X1241" s="97">
        <f>IFERROR(__xludf.DUMMYFUNCTION("""COMPUTED_VALUE"""),4000.0)</f>
        <v>4000</v>
      </c>
      <c r="Y1241" s="97" t="str">
        <f>IFERROR(__xludf.DUMMYFUNCTION("""COMPUTED_VALUE"""),"&gt;90")</f>
        <v>&gt;90</v>
      </c>
      <c r="Z1241" s="97"/>
      <c r="AA1241" s="97"/>
      <c r="AB1241" s="97" t="str">
        <f>IFERROR(__xludf.DUMMYFUNCTION("""COMPUTED_VALUE"""),"&lt; 3")</f>
        <v>&lt; 3</v>
      </c>
      <c r="AC1241" s="97"/>
      <c r="AD1241" s="97" t="str">
        <f>IFERROR(__xludf.DUMMYFUNCTION("""COMPUTED_VALUE"""),"IP20")</f>
        <v>IP20</v>
      </c>
      <c r="AE1241" s="97" t="str">
        <f>IFERROR(__xludf.DUMMYFUNCTION("""COMPUTED_VALUE"""),"Clase l")</f>
        <v>Clase l</v>
      </c>
      <c r="AF1241" s="97" t="str">
        <f>IFERROR(__xludf.DUMMYFUNCTION("""COMPUTED_VALUE"""),"Embutir")</f>
        <v>Embutir</v>
      </c>
      <c r="AG1241" s="97" t="str">
        <f>IFERROR(__xludf.DUMMYFUNCTION("""COMPUTED_VALUE"""),"Ø118 x 34")</f>
        <v>Ø118 x 34</v>
      </c>
      <c r="AH1241" s="97" t="str">
        <f>IFERROR(__xludf.DUMMYFUNCTION("""COMPUTED_VALUE"""),"Ø90")</f>
        <v>Ø90</v>
      </c>
      <c r="AI1241" s="97">
        <f>IFERROR(__xludf.DUMMYFUNCTION("""COMPUTED_VALUE"""),50.0)</f>
        <v>50</v>
      </c>
      <c r="AJ1241" s="97" t="str">
        <f>IFERROR(__xludf.DUMMYFUNCTION("""COMPUTED_VALUE"""),"Policarbonato (PC)")</f>
        <v>Policarbonato (PC)</v>
      </c>
      <c r="AK1241" s="97" t="str">
        <f>IFERROR(__xludf.DUMMYFUNCTION("""COMPUTED_VALUE"""),"Aluminio")</f>
        <v>Aluminio</v>
      </c>
      <c r="AL1241" s="97" t="str">
        <f>IFERROR(__xludf.DUMMYFUNCTION("""COMPUTED_VALUE"""),"Blanco Satinado")</f>
        <v>Blanco Satinado</v>
      </c>
      <c r="AM1241" s="97" t="str">
        <f>IFERROR(__xludf.DUMMYFUNCTION("""COMPUTED_VALUE"""),"-")</f>
        <v>-</v>
      </c>
      <c r="AN1241" s="97" t="str">
        <f>IFERROR(__xludf.DUMMYFUNCTION("""COMPUTED_VALUE"""),"40.000hs (L70)")</f>
        <v>40.000hs (L70)</v>
      </c>
      <c r="AO1241" s="97" t="str">
        <f>IFERROR(__xludf.DUMMYFUNCTION("""COMPUTED_VALUE"""),"4 Años")</f>
        <v>4 Años</v>
      </c>
      <c r="AP1241" s="97" t="str">
        <f>IFERROR(__xludf.DUMMYFUNCTION("""COMPUTED_VALUE"""),"Disponible")</f>
        <v>Disponible</v>
      </c>
      <c r="AQ1241" s="97" t="str">
        <f>IFERROR(__xludf.DUMMYFUNCTION("""COMPUTED_VALUE"""),"Disponible")</f>
        <v>Disponible</v>
      </c>
      <c r="AR1241" s="97" t="str">
        <f>IFERROR(__xludf.DUMMYFUNCTION("""COMPUTED_VALUE"""),"Disponible")</f>
        <v>Disponible</v>
      </c>
      <c r="AS1241" s="97" t="str">
        <f>IFERROR(__xludf.DUMMYFUNCTION("""COMPUTED_VALUE"""),"Falta")</f>
        <v>Falta</v>
      </c>
      <c r="AT1241" s="97" t="str">
        <f>IFERROR(__xludf.DUMMYFUNCTION("""COMPUTED_VALUE"""),"Falta")</f>
        <v>Falta</v>
      </c>
      <c r="AU1241" s="97" t="str">
        <f>IFERROR(__xludf.DUMMYFUNCTION("""COMPUTED_VALUE"""),"Falta")</f>
        <v>Falta</v>
      </c>
      <c r="AV1241" s="97" t="str">
        <f>IFERROR(__xludf.DUMMYFUNCTION("""COMPUTED_VALUE"""),"Empotrable")</f>
        <v>Empotrable</v>
      </c>
      <c r="AW1241" s="97" t="str">
        <f>IFERROR(__xludf.DUMMYFUNCTION("""COMPUTED_VALUE"""),"De Techo")</f>
        <v>De Techo</v>
      </c>
      <c r="AX1241" s="97" t="str">
        <f>IFERROR(__xludf.DUMMYFUNCTION("""COMPUTED_VALUE"""),"Interior")</f>
        <v>Interior</v>
      </c>
      <c r="AY1241" s="97" t="str">
        <f>IFERROR(__xludf.DUMMYFUNCTION("""COMPUTED_VALUE"""),"-")</f>
        <v>-</v>
      </c>
      <c r="AZ1241" s="97"/>
      <c r="BA1241" s="97"/>
      <c r="BB1241" s="97"/>
      <c r="BC1241" s="97"/>
      <c r="BD1241" s="97" t="str">
        <f>IFERROR(__xludf.DUMMYFUNCTION("""COMPUTED_VALUE"""),"LIV")</f>
        <v>LIV</v>
      </c>
      <c r="BE1241" s="97" t="str">
        <f>IFERROR(__xludf.DUMMYFUNCTION("""COMPUTED_VALUE"""),"Solicitada")</f>
        <v>Solicitada</v>
      </c>
      <c r="BF1241" s="97"/>
      <c r="BG1241" s="97" t="str">
        <f>IFERROR(__xludf.DUMMYFUNCTION("""COMPUTED_VALUE"""),"Activo")</f>
        <v>Activo</v>
      </c>
    </row>
    <row r="1242">
      <c r="A1242" s="97">
        <f>IFERROR(__xludf.DUMMYFUNCTION("""COMPUTED_VALUE"""),7202.0)</f>
        <v>7202</v>
      </c>
      <c r="B1242" s="97" t="str">
        <f>IFERROR(__xludf.DUMMYFUNCTION("""COMPUTED_VALUE"""),"LIV S 7W 3000K")</f>
        <v>LIV S 7W 3000K</v>
      </c>
      <c r="C1242" s="97" t="str">
        <f>IFERROR(__xludf.DUMMYFUNCTION("""COMPUTED_VALUE"""),"EMPOTRABLE LIV S 7W 3000K 7W 3000K 575LM CRI&gt;90 IP20 LEUK")</f>
        <v>EMPOTRABLE LIV S 7W 3000K 7W 3000K 575LM CRI&gt;90 IP20 LEUK</v>
      </c>
      <c r="D1242" s="97">
        <f>IFERROR(__xludf.DUMMYFUNCTION("""COMPUTED_VALUE"""),7.798413227536E12)</f>
        <v>7798413227536</v>
      </c>
      <c r="E1242" s="97" t="str">
        <f>IFERROR(__xludf.DUMMYFUNCTION("""COMPUTED_VALUE"""),"F70")</f>
        <v>F70</v>
      </c>
      <c r="F1242" s="97" t="str">
        <f>IFERROR(__xludf.DUMMYFUNCTION("""COMPUTED_VALUE"""),"LED SMD2835")</f>
        <v>LED SMD2835</v>
      </c>
      <c r="G1242" s="97" t="str">
        <f>IFERROR(__xludf.DUMMYFUNCTION("""COMPUTED_VALUE"""),"-")</f>
        <v>-</v>
      </c>
      <c r="H1242" s="97" t="str">
        <f>IFERROR(__xludf.DUMMYFUNCTION("""COMPUTED_VALUE"""),"Eaglerise")</f>
        <v>Eaglerise</v>
      </c>
      <c r="I1242" s="97"/>
      <c r="J1242" s="97" t="str">
        <f>IFERROR(__xludf.DUMMYFUNCTION("""COMPUTED_VALUE"""),"Modelo: LS-8-300 SI2 E
In: 220-240Vac 0.1A 50/60Hz
Out: 18-24Vdc 300mA 7.2W
Pf 0.6 Tc 75°C Ta 45°C")</f>
        <v>Modelo: LS-8-300 SI2 E
In: 220-240Vac 0.1A 50/60Hz
Out: 18-24Vdc 300mA 7.2W
Pf 0.6 Tc 75°C Ta 45°C</v>
      </c>
      <c r="K1242" s="97" t="str">
        <f>IFERROR(__xludf.DUMMYFUNCTION("""COMPUTED_VALUE"""),"ON/OFF")</f>
        <v>ON/OFF</v>
      </c>
      <c r="L1242" s="97" t="str">
        <f>IFERROR(__xludf.DUMMYFUNCTION("""COMPUTED_VALUE"""),"200-240")</f>
        <v>200-240</v>
      </c>
      <c r="M1242" s="97" t="str">
        <f>IFERROR(__xludf.DUMMYFUNCTION("""COMPUTED_VALUE"""),"50/60")</f>
        <v>50/60</v>
      </c>
      <c r="N1242" s="97" t="str">
        <f>IFERROR(__xludf.DUMMYFUNCTION("""COMPUTED_VALUE"""),"Directa")</f>
        <v>Directa</v>
      </c>
      <c r="O1242" s="97">
        <f>IFERROR(__xludf.DUMMYFUNCTION("""COMPUTED_VALUE"""),7.0)</f>
        <v>7</v>
      </c>
      <c r="P1242" s="97"/>
      <c r="Q1242" s="97">
        <f>IFERROR(__xludf.DUMMYFUNCTION("""COMPUTED_VALUE"""),0.6)</f>
        <v>0.6</v>
      </c>
      <c r="R1242" s="97" t="str">
        <f>IFERROR(__xludf.DUMMYFUNCTION("""COMPUTED_VALUE"""),"-")</f>
        <v>-</v>
      </c>
      <c r="S1242" s="97" t="str">
        <f>IFERROR(__xludf.DUMMYFUNCTION("""COMPUTED_VALUE"""),"-")</f>
        <v>-</v>
      </c>
      <c r="T1242" s="97">
        <f>IFERROR(__xludf.DUMMYFUNCTION("""COMPUTED_VALUE"""),575.0)</f>
        <v>575</v>
      </c>
      <c r="U1242" s="99">
        <f>IFERROR(__xludf.DUMMYFUNCTION("""COMPUTED_VALUE"""),82.14285714285714)</f>
        <v>82.14285714</v>
      </c>
      <c r="V1242" s="97">
        <f>IFERROR(__xludf.DUMMYFUNCTION("""COMPUTED_VALUE"""),110.0)</f>
        <v>110</v>
      </c>
      <c r="W1242" s="97" t="str">
        <f>IFERROR(__xludf.DUMMYFUNCTION("""COMPUTED_VALUE"""),"&lt; 20")</f>
        <v>&lt; 20</v>
      </c>
      <c r="X1242" s="97">
        <f>IFERROR(__xludf.DUMMYFUNCTION("""COMPUTED_VALUE"""),3000.0)</f>
        <v>3000</v>
      </c>
      <c r="Y1242" s="97" t="str">
        <f>IFERROR(__xludf.DUMMYFUNCTION("""COMPUTED_VALUE"""),"&gt;90")</f>
        <v>&gt;90</v>
      </c>
      <c r="Z1242" s="97"/>
      <c r="AA1242" s="97"/>
      <c r="AB1242" s="97" t="str">
        <f>IFERROR(__xludf.DUMMYFUNCTION("""COMPUTED_VALUE"""),"&lt; 3")</f>
        <v>&lt; 3</v>
      </c>
      <c r="AC1242" s="97"/>
      <c r="AD1242" s="97" t="str">
        <f>IFERROR(__xludf.DUMMYFUNCTION("""COMPUTED_VALUE"""),"IP20")</f>
        <v>IP20</v>
      </c>
      <c r="AE1242" s="97" t="str">
        <f>IFERROR(__xludf.DUMMYFUNCTION("""COMPUTED_VALUE"""),"Clase l")</f>
        <v>Clase l</v>
      </c>
      <c r="AF1242" s="97" t="str">
        <f>IFERROR(__xludf.DUMMYFUNCTION("""COMPUTED_VALUE"""),"Embutir")</f>
        <v>Embutir</v>
      </c>
      <c r="AG1242" s="97" t="str">
        <f>IFERROR(__xludf.DUMMYFUNCTION("""COMPUTED_VALUE"""),"Ø118 x 34")</f>
        <v>Ø118 x 34</v>
      </c>
      <c r="AH1242" s="97" t="str">
        <f>IFERROR(__xludf.DUMMYFUNCTION("""COMPUTED_VALUE"""),"Ø90")</f>
        <v>Ø90</v>
      </c>
      <c r="AI1242" s="97">
        <f>IFERROR(__xludf.DUMMYFUNCTION("""COMPUTED_VALUE"""),50.0)</f>
        <v>50</v>
      </c>
      <c r="AJ1242" s="97" t="str">
        <f>IFERROR(__xludf.DUMMYFUNCTION("""COMPUTED_VALUE"""),"Policarbonato (PC)")</f>
        <v>Policarbonato (PC)</v>
      </c>
      <c r="AK1242" s="97" t="str">
        <f>IFERROR(__xludf.DUMMYFUNCTION("""COMPUTED_VALUE"""),"Aluminio")</f>
        <v>Aluminio</v>
      </c>
      <c r="AL1242" s="97" t="str">
        <f>IFERROR(__xludf.DUMMYFUNCTION("""COMPUTED_VALUE"""),"Blanco Satinado")</f>
        <v>Blanco Satinado</v>
      </c>
      <c r="AM1242" s="97" t="str">
        <f>IFERROR(__xludf.DUMMYFUNCTION("""COMPUTED_VALUE"""),"-")</f>
        <v>-</v>
      </c>
      <c r="AN1242" s="97" t="str">
        <f>IFERROR(__xludf.DUMMYFUNCTION("""COMPUTED_VALUE"""),"40.000hs (L70)")</f>
        <v>40.000hs (L70)</v>
      </c>
      <c r="AO1242" s="97" t="str">
        <f>IFERROR(__xludf.DUMMYFUNCTION("""COMPUTED_VALUE"""),"4 Años")</f>
        <v>4 Años</v>
      </c>
      <c r="AP1242" s="97" t="str">
        <f>IFERROR(__xludf.DUMMYFUNCTION("""COMPUTED_VALUE"""),"Disponible")</f>
        <v>Disponible</v>
      </c>
      <c r="AQ1242" s="97" t="str">
        <f>IFERROR(__xludf.DUMMYFUNCTION("""COMPUTED_VALUE"""),"Disponible")</f>
        <v>Disponible</v>
      </c>
      <c r="AR1242" s="97" t="str">
        <f>IFERROR(__xludf.DUMMYFUNCTION("""COMPUTED_VALUE"""),"Disponible")</f>
        <v>Disponible</v>
      </c>
      <c r="AS1242" s="97" t="str">
        <f>IFERROR(__xludf.DUMMYFUNCTION("""COMPUTED_VALUE"""),"Falta")</f>
        <v>Falta</v>
      </c>
      <c r="AT1242" s="97" t="str">
        <f>IFERROR(__xludf.DUMMYFUNCTION("""COMPUTED_VALUE"""),"Falta")</f>
        <v>Falta</v>
      </c>
      <c r="AU1242" s="97" t="str">
        <f>IFERROR(__xludf.DUMMYFUNCTION("""COMPUTED_VALUE"""),"Falta")</f>
        <v>Falta</v>
      </c>
      <c r="AV1242" s="97" t="str">
        <f>IFERROR(__xludf.DUMMYFUNCTION("""COMPUTED_VALUE"""),"Empotrable")</f>
        <v>Empotrable</v>
      </c>
      <c r="AW1242" s="97" t="str">
        <f>IFERROR(__xludf.DUMMYFUNCTION("""COMPUTED_VALUE"""),"De Techo")</f>
        <v>De Techo</v>
      </c>
      <c r="AX1242" s="97" t="str">
        <f>IFERROR(__xludf.DUMMYFUNCTION("""COMPUTED_VALUE"""),"Interior")</f>
        <v>Interior</v>
      </c>
      <c r="AY1242" s="97" t="str">
        <f>IFERROR(__xludf.DUMMYFUNCTION("""COMPUTED_VALUE"""),"-")</f>
        <v>-</v>
      </c>
      <c r="AZ1242" s="97"/>
      <c r="BA1242" s="97"/>
      <c r="BB1242" s="97"/>
      <c r="BC1242" s="97"/>
      <c r="BD1242" s="97" t="str">
        <f>IFERROR(__xludf.DUMMYFUNCTION("""COMPUTED_VALUE"""),"LIV")</f>
        <v>LIV</v>
      </c>
      <c r="BE1242" s="97" t="str">
        <f>IFERROR(__xludf.DUMMYFUNCTION("""COMPUTED_VALUE"""),"Solicitada")</f>
        <v>Solicitada</v>
      </c>
      <c r="BF1242" s="97"/>
      <c r="BG1242" s="97" t="str">
        <f>IFERROR(__xludf.DUMMYFUNCTION("""COMPUTED_VALUE"""),"Activo")</f>
        <v>Activo</v>
      </c>
    </row>
    <row r="1243">
      <c r="A1243" s="97">
        <f>IFERROR(__xludf.DUMMYFUNCTION("""COMPUTED_VALUE"""),7203.0)</f>
        <v>7203</v>
      </c>
      <c r="B1243" s="97" t="str">
        <f>IFERROR(__xludf.DUMMYFUNCTION("""COMPUTED_VALUE"""),"LIV M 12W 4000K")</f>
        <v>LIV M 12W 4000K</v>
      </c>
      <c r="C1243" s="97" t="str">
        <f>IFERROR(__xludf.DUMMYFUNCTION("""COMPUTED_VALUE"""),"EMPOTRABLE LIV M 12W 4000K 12W 4000K 1000LM CRI&gt;90 IP20 LEUK")</f>
        <v>EMPOTRABLE LIV M 12W 4000K 12W 4000K 1000LM CRI&gt;90 IP20 LEUK</v>
      </c>
      <c r="D1243" s="97">
        <f>IFERROR(__xludf.DUMMYFUNCTION("""COMPUTED_VALUE"""),7.798413227543E12)</f>
        <v>7798413227543</v>
      </c>
      <c r="E1243" s="97" t="str">
        <f>IFERROR(__xludf.DUMMYFUNCTION("""COMPUTED_VALUE"""),"F58")</f>
        <v>F58</v>
      </c>
      <c r="F1243" s="97" t="str">
        <f>IFERROR(__xludf.DUMMYFUNCTION("""COMPUTED_VALUE"""),"LED SMD2835")</f>
        <v>LED SMD2835</v>
      </c>
      <c r="G1243" s="97" t="str">
        <f>IFERROR(__xludf.DUMMYFUNCTION("""COMPUTED_VALUE"""),"-")</f>
        <v>-</v>
      </c>
      <c r="H1243" s="97" t="str">
        <f>IFERROR(__xludf.DUMMYFUNCTION("""COMPUTED_VALUE"""),"Eaglerise")</f>
        <v>Eaglerise</v>
      </c>
      <c r="I1243" s="97"/>
      <c r="J1243" s="97" t="str">
        <f>IFERROR(__xludf.DUMMYFUNCTION("""COMPUTED_VALUE"""),"Modelo: LS-12-300 SI1 E
In: 220-240Vac 0.18A 50/60Hz
Out: 30-40Vdc 300mA 12W
Pf 0.6 Tc 80°C Ta 45°C")</f>
        <v>Modelo: LS-12-300 SI1 E
In: 220-240Vac 0.18A 50/60Hz
Out: 30-40Vdc 300mA 12W
Pf 0.6 Tc 80°C Ta 45°C</v>
      </c>
      <c r="K1243" s="97" t="str">
        <f>IFERROR(__xludf.DUMMYFUNCTION("""COMPUTED_VALUE"""),"ON/OFF")</f>
        <v>ON/OFF</v>
      </c>
      <c r="L1243" s="97" t="str">
        <f>IFERROR(__xludf.DUMMYFUNCTION("""COMPUTED_VALUE"""),"200-240")</f>
        <v>200-240</v>
      </c>
      <c r="M1243" s="97" t="str">
        <f>IFERROR(__xludf.DUMMYFUNCTION("""COMPUTED_VALUE"""),"50/60")</f>
        <v>50/60</v>
      </c>
      <c r="N1243" s="97" t="str">
        <f>IFERROR(__xludf.DUMMYFUNCTION("""COMPUTED_VALUE"""),"Directa")</f>
        <v>Directa</v>
      </c>
      <c r="O1243" s="97">
        <f>IFERROR(__xludf.DUMMYFUNCTION("""COMPUTED_VALUE"""),12.0)</f>
        <v>12</v>
      </c>
      <c r="P1243" s="97"/>
      <c r="Q1243" s="97">
        <f>IFERROR(__xludf.DUMMYFUNCTION("""COMPUTED_VALUE"""),0.6)</f>
        <v>0.6</v>
      </c>
      <c r="R1243" s="97" t="str">
        <f>IFERROR(__xludf.DUMMYFUNCTION("""COMPUTED_VALUE"""),"-")</f>
        <v>-</v>
      </c>
      <c r="S1243" s="97" t="str">
        <f>IFERROR(__xludf.DUMMYFUNCTION("""COMPUTED_VALUE"""),"-")</f>
        <v>-</v>
      </c>
      <c r="T1243" s="97">
        <f>IFERROR(__xludf.DUMMYFUNCTION("""COMPUTED_VALUE"""),1000.0)</f>
        <v>1000</v>
      </c>
      <c r="U1243" s="99">
        <f>IFERROR(__xludf.DUMMYFUNCTION("""COMPUTED_VALUE"""),83.33333333333333)</f>
        <v>83.33333333</v>
      </c>
      <c r="V1243" s="97">
        <f>IFERROR(__xludf.DUMMYFUNCTION("""COMPUTED_VALUE"""),110.0)</f>
        <v>110</v>
      </c>
      <c r="W1243" s="97" t="str">
        <f>IFERROR(__xludf.DUMMYFUNCTION("""COMPUTED_VALUE"""),"&lt; 20")</f>
        <v>&lt; 20</v>
      </c>
      <c r="X1243" s="97">
        <f>IFERROR(__xludf.DUMMYFUNCTION("""COMPUTED_VALUE"""),4000.0)</f>
        <v>4000</v>
      </c>
      <c r="Y1243" s="97" t="str">
        <f>IFERROR(__xludf.DUMMYFUNCTION("""COMPUTED_VALUE"""),"&gt;90")</f>
        <v>&gt;90</v>
      </c>
      <c r="Z1243" s="97"/>
      <c r="AA1243" s="97"/>
      <c r="AB1243" s="97" t="str">
        <f>IFERROR(__xludf.DUMMYFUNCTION("""COMPUTED_VALUE"""),"&lt; 3")</f>
        <v>&lt; 3</v>
      </c>
      <c r="AC1243" s="97"/>
      <c r="AD1243" s="97" t="str">
        <f>IFERROR(__xludf.DUMMYFUNCTION("""COMPUTED_VALUE"""),"IP20")</f>
        <v>IP20</v>
      </c>
      <c r="AE1243" s="97" t="str">
        <f>IFERROR(__xludf.DUMMYFUNCTION("""COMPUTED_VALUE"""),"Clase l")</f>
        <v>Clase l</v>
      </c>
      <c r="AF1243" s="97" t="str">
        <f>IFERROR(__xludf.DUMMYFUNCTION("""COMPUTED_VALUE"""),"Embutir")</f>
        <v>Embutir</v>
      </c>
      <c r="AG1243" s="97" t="str">
        <f>IFERROR(__xludf.DUMMYFUNCTION("""COMPUTED_VALUE"""),"Ø178 x 42")</f>
        <v>Ø178 x 42</v>
      </c>
      <c r="AH1243" s="97" t="str">
        <f>IFERROR(__xludf.DUMMYFUNCTION("""COMPUTED_VALUE"""),"Ø155")</f>
        <v>Ø155</v>
      </c>
      <c r="AI1243" s="97">
        <f>IFERROR(__xludf.DUMMYFUNCTION("""COMPUTED_VALUE"""),60.0)</f>
        <v>60</v>
      </c>
      <c r="AJ1243" s="97" t="str">
        <f>IFERROR(__xludf.DUMMYFUNCTION("""COMPUTED_VALUE"""),"Policarbonato (PC)")</f>
        <v>Policarbonato (PC)</v>
      </c>
      <c r="AK1243" s="97" t="str">
        <f>IFERROR(__xludf.DUMMYFUNCTION("""COMPUTED_VALUE"""),"Aluminio")</f>
        <v>Aluminio</v>
      </c>
      <c r="AL1243" s="97" t="str">
        <f>IFERROR(__xludf.DUMMYFUNCTION("""COMPUTED_VALUE"""),"Blanco Satinado")</f>
        <v>Blanco Satinado</v>
      </c>
      <c r="AM1243" s="97" t="str">
        <f>IFERROR(__xludf.DUMMYFUNCTION("""COMPUTED_VALUE"""),"-")</f>
        <v>-</v>
      </c>
      <c r="AN1243" s="97" t="str">
        <f>IFERROR(__xludf.DUMMYFUNCTION("""COMPUTED_VALUE"""),"40.000hs (L70)")</f>
        <v>40.000hs (L70)</v>
      </c>
      <c r="AO1243" s="97" t="str">
        <f>IFERROR(__xludf.DUMMYFUNCTION("""COMPUTED_VALUE"""),"4 Años")</f>
        <v>4 Años</v>
      </c>
      <c r="AP1243" s="97" t="str">
        <f>IFERROR(__xludf.DUMMYFUNCTION("""COMPUTED_VALUE"""),"Disponible")</f>
        <v>Disponible</v>
      </c>
      <c r="AQ1243" s="97" t="str">
        <f>IFERROR(__xludf.DUMMYFUNCTION("""COMPUTED_VALUE"""),"Disponible")</f>
        <v>Disponible</v>
      </c>
      <c r="AR1243" s="97" t="str">
        <f>IFERROR(__xludf.DUMMYFUNCTION("""COMPUTED_VALUE"""),"Disponible")</f>
        <v>Disponible</v>
      </c>
      <c r="AS1243" s="97" t="str">
        <f>IFERROR(__xludf.DUMMYFUNCTION("""COMPUTED_VALUE"""),"Falta")</f>
        <v>Falta</v>
      </c>
      <c r="AT1243" s="97" t="str">
        <f>IFERROR(__xludf.DUMMYFUNCTION("""COMPUTED_VALUE"""),"Falta")</f>
        <v>Falta</v>
      </c>
      <c r="AU1243" s="97" t="str">
        <f>IFERROR(__xludf.DUMMYFUNCTION("""COMPUTED_VALUE"""),"Falta")</f>
        <v>Falta</v>
      </c>
      <c r="AV1243" s="97" t="str">
        <f>IFERROR(__xludf.DUMMYFUNCTION("""COMPUTED_VALUE"""),"Empotrable")</f>
        <v>Empotrable</v>
      </c>
      <c r="AW1243" s="97" t="str">
        <f>IFERROR(__xludf.DUMMYFUNCTION("""COMPUTED_VALUE"""),"De Techo")</f>
        <v>De Techo</v>
      </c>
      <c r="AX1243" s="97" t="str">
        <f>IFERROR(__xludf.DUMMYFUNCTION("""COMPUTED_VALUE"""),"Interior")</f>
        <v>Interior</v>
      </c>
      <c r="AY1243" s="97" t="str">
        <f>IFERROR(__xludf.DUMMYFUNCTION("""COMPUTED_VALUE"""),"-")</f>
        <v>-</v>
      </c>
      <c r="AZ1243" s="97"/>
      <c r="BA1243" s="97"/>
      <c r="BB1243" s="97"/>
      <c r="BC1243" s="97"/>
      <c r="BD1243" s="97" t="str">
        <f>IFERROR(__xludf.DUMMYFUNCTION("""COMPUTED_VALUE"""),"LIV")</f>
        <v>LIV</v>
      </c>
      <c r="BE1243" s="97" t="str">
        <f>IFERROR(__xludf.DUMMYFUNCTION("""COMPUTED_VALUE"""),"Solicitada")</f>
        <v>Solicitada</v>
      </c>
      <c r="BF1243" s="97"/>
      <c r="BG1243" s="97" t="str">
        <f>IFERROR(__xludf.DUMMYFUNCTION("""COMPUTED_VALUE"""),"Activo")</f>
        <v>Activo</v>
      </c>
    </row>
    <row r="1244">
      <c r="A1244" s="97">
        <f>IFERROR(__xludf.DUMMYFUNCTION("""COMPUTED_VALUE"""),7204.0)</f>
        <v>7204</v>
      </c>
      <c r="B1244" s="97" t="str">
        <f>IFERROR(__xludf.DUMMYFUNCTION("""COMPUTED_VALUE"""),"LIV M 12W 3000K")</f>
        <v>LIV M 12W 3000K</v>
      </c>
      <c r="C1244" s="97" t="str">
        <f>IFERROR(__xludf.DUMMYFUNCTION("""COMPUTED_VALUE"""),"EMPOTRABLE LIV M 12W 3000K 12W 3000K 1000LM CRI&gt;90 IP20 LEUK")</f>
        <v>EMPOTRABLE LIV M 12W 3000K 12W 3000K 1000LM CRI&gt;90 IP20 LEUK</v>
      </c>
      <c r="D1244" s="97">
        <f>IFERROR(__xludf.DUMMYFUNCTION("""COMPUTED_VALUE"""),7.79841322755E12)</f>
        <v>7798413227550</v>
      </c>
      <c r="E1244" s="97" t="str">
        <f>IFERROR(__xludf.DUMMYFUNCTION("""COMPUTED_VALUE"""),"F58")</f>
        <v>F58</v>
      </c>
      <c r="F1244" s="97" t="str">
        <f>IFERROR(__xludf.DUMMYFUNCTION("""COMPUTED_VALUE"""),"LED SMD2835")</f>
        <v>LED SMD2835</v>
      </c>
      <c r="G1244" s="97" t="str">
        <f>IFERROR(__xludf.DUMMYFUNCTION("""COMPUTED_VALUE"""),"-")</f>
        <v>-</v>
      </c>
      <c r="H1244" s="97" t="str">
        <f>IFERROR(__xludf.DUMMYFUNCTION("""COMPUTED_VALUE"""),"Eaglerise")</f>
        <v>Eaglerise</v>
      </c>
      <c r="I1244" s="97"/>
      <c r="J1244" s="97" t="str">
        <f>IFERROR(__xludf.DUMMYFUNCTION("""COMPUTED_VALUE"""),"Modelo: LS-12-300 SI1 E
In: 220-240Vac 0.18A 50/60Hz
Out: 30-40Vdc 300mA 12W
Pf 0.6 Tc 80°C Ta 45°C")</f>
        <v>Modelo: LS-12-300 SI1 E
In: 220-240Vac 0.18A 50/60Hz
Out: 30-40Vdc 300mA 12W
Pf 0.6 Tc 80°C Ta 45°C</v>
      </c>
      <c r="K1244" s="97" t="str">
        <f>IFERROR(__xludf.DUMMYFUNCTION("""COMPUTED_VALUE"""),"ON/OFF")</f>
        <v>ON/OFF</v>
      </c>
      <c r="L1244" s="97" t="str">
        <f>IFERROR(__xludf.DUMMYFUNCTION("""COMPUTED_VALUE"""),"200-240")</f>
        <v>200-240</v>
      </c>
      <c r="M1244" s="97" t="str">
        <f>IFERROR(__xludf.DUMMYFUNCTION("""COMPUTED_VALUE"""),"50/60")</f>
        <v>50/60</v>
      </c>
      <c r="N1244" s="97" t="str">
        <f>IFERROR(__xludf.DUMMYFUNCTION("""COMPUTED_VALUE"""),"Directa")</f>
        <v>Directa</v>
      </c>
      <c r="O1244" s="97">
        <f>IFERROR(__xludf.DUMMYFUNCTION("""COMPUTED_VALUE"""),12.0)</f>
        <v>12</v>
      </c>
      <c r="P1244" s="97"/>
      <c r="Q1244" s="97">
        <f>IFERROR(__xludf.DUMMYFUNCTION("""COMPUTED_VALUE"""),0.6)</f>
        <v>0.6</v>
      </c>
      <c r="R1244" s="97" t="str">
        <f>IFERROR(__xludf.DUMMYFUNCTION("""COMPUTED_VALUE"""),"-")</f>
        <v>-</v>
      </c>
      <c r="S1244" s="97" t="str">
        <f>IFERROR(__xludf.DUMMYFUNCTION("""COMPUTED_VALUE"""),"-")</f>
        <v>-</v>
      </c>
      <c r="T1244" s="97">
        <f>IFERROR(__xludf.DUMMYFUNCTION("""COMPUTED_VALUE"""),1000.0)</f>
        <v>1000</v>
      </c>
      <c r="U1244" s="99">
        <f>IFERROR(__xludf.DUMMYFUNCTION("""COMPUTED_VALUE"""),83.33333333333333)</f>
        <v>83.33333333</v>
      </c>
      <c r="V1244" s="97">
        <f>IFERROR(__xludf.DUMMYFUNCTION("""COMPUTED_VALUE"""),110.0)</f>
        <v>110</v>
      </c>
      <c r="W1244" s="97" t="str">
        <f>IFERROR(__xludf.DUMMYFUNCTION("""COMPUTED_VALUE"""),"&lt; 20")</f>
        <v>&lt; 20</v>
      </c>
      <c r="X1244" s="97">
        <f>IFERROR(__xludf.DUMMYFUNCTION("""COMPUTED_VALUE"""),3000.0)</f>
        <v>3000</v>
      </c>
      <c r="Y1244" s="97" t="str">
        <f>IFERROR(__xludf.DUMMYFUNCTION("""COMPUTED_VALUE"""),"&gt;90")</f>
        <v>&gt;90</v>
      </c>
      <c r="Z1244" s="97"/>
      <c r="AA1244" s="97"/>
      <c r="AB1244" s="97" t="str">
        <f>IFERROR(__xludf.DUMMYFUNCTION("""COMPUTED_VALUE"""),"&lt; 3")</f>
        <v>&lt; 3</v>
      </c>
      <c r="AC1244" s="97"/>
      <c r="AD1244" s="97" t="str">
        <f>IFERROR(__xludf.DUMMYFUNCTION("""COMPUTED_VALUE"""),"IP20")</f>
        <v>IP20</v>
      </c>
      <c r="AE1244" s="97" t="str">
        <f>IFERROR(__xludf.DUMMYFUNCTION("""COMPUTED_VALUE"""),"Clase l")</f>
        <v>Clase l</v>
      </c>
      <c r="AF1244" s="97" t="str">
        <f>IFERROR(__xludf.DUMMYFUNCTION("""COMPUTED_VALUE"""),"Embutir")</f>
        <v>Embutir</v>
      </c>
      <c r="AG1244" s="97" t="str">
        <f>IFERROR(__xludf.DUMMYFUNCTION("""COMPUTED_VALUE"""),"Ø178 x 42")</f>
        <v>Ø178 x 42</v>
      </c>
      <c r="AH1244" s="97" t="str">
        <f>IFERROR(__xludf.DUMMYFUNCTION("""COMPUTED_VALUE"""),"Ø155")</f>
        <v>Ø155</v>
      </c>
      <c r="AI1244" s="97">
        <f>IFERROR(__xludf.DUMMYFUNCTION("""COMPUTED_VALUE"""),60.0)</f>
        <v>60</v>
      </c>
      <c r="AJ1244" s="97" t="str">
        <f>IFERROR(__xludf.DUMMYFUNCTION("""COMPUTED_VALUE"""),"Policarbonato (PC)")</f>
        <v>Policarbonato (PC)</v>
      </c>
      <c r="AK1244" s="97" t="str">
        <f>IFERROR(__xludf.DUMMYFUNCTION("""COMPUTED_VALUE"""),"Aluminio")</f>
        <v>Aluminio</v>
      </c>
      <c r="AL1244" s="97" t="str">
        <f>IFERROR(__xludf.DUMMYFUNCTION("""COMPUTED_VALUE"""),"Blanco Satinado")</f>
        <v>Blanco Satinado</v>
      </c>
      <c r="AM1244" s="97" t="str">
        <f>IFERROR(__xludf.DUMMYFUNCTION("""COMPUTED_VALUE"""),"-")</f>
        <v>-</v>
      </c>
      <c r="AN1244" s="97" t="str">
        <f>IFERROR(__xludf.DUMMYFUNCTION("""COMPUTED_VALUE"""),"40.000hs (L70)")</f>
        <v>40.000hs (L70)</v>
      </c>
      <c r="AO1244" s="97" t="str">
        <f>IFERROR(__xludf.DUMMYFUNCTION("""COMPUTED_VALUE"""),"4 Años")</f>
        <v>4 Años</v>
      </c>
      <c r="AP1244" s="97" t="str">
        <f>IFERROR(__xludf.DUMMYFUNCTION("""COMPUTED_VALUE"""),"Disponible")</f>
        <v>Disponible</v>
      </c>
      <c r="AQ1244" s="97" t="str">
        <f>IFERROR(__xludf.DUMMYFUNCTION("""COMPUTED_VALUE"""),"Disponible")</f>
        <v>Disponible</v>
      </c>
      <c r="AR1244" s="97" t="str">
        <f>IFERROR(__xludf.DUMMYFUNCTION("""COMPUTED_VALUE"""),"Disponible")</f>
        <v>Disponible</v>
      </c>
      <c r="AS1244" s="97" t="str">
        <f>IFERROR(__xludf.DUMMYFUNCTION("""COMPUTED_VALUE"""),"Falta")</f>
        <v>Falta</v>
      </c>
      <c r="AT1244" s="97" t="str">
        <f>IFERROR(__xludf.DUMMYFUNCTION("""COMPUTED_VALUE"""),"Falta")</f>
        <v>Falta</v>
      </c>
      <c r="AU1244" s="97" t="str">
        <f>IFERROR(__xludf.DUMMYFUNCTION("""COMPUTED_VALUE"""),"Falta")</f>
        <v>Falta</v>
      </c>
      <c r="AV1244" s="97" t="str">
        <f>IFERROR(__xludf.DUMMYFUNCTION("""COMPUTED_VALUE"""),"Empotrable")</f>
        <v>Empotrable</v>
      </c>
      <c r="AW1244" s="97" t="str">
        <f>IFERROR(__xludf.DUMMYFUNCTION("""COMPUTED_VALUE"""),"De Techo")</f>
        <v>De Techo</v>
      </c>
      <c r="AX1244" s="97" t="str">
        <f>IFERROR(__xludf.DUMMYFUNCTION("""COMPUTED_VALUE"""),"Interior")</f>
        <v>Interior</v>
      </c>
      <c r="AY1244" s="97" t="str">
        <f>IFERROR(__xludf.DUMMYFUNCTION("""COMPUTED_VALUE"""),"-")</f>
        <v>-</v>
      </c>
      <c r="AZ1244" s="97"/>
      <c r="BA1244" s="97"/>
      <c r="BB1244" s="97"/>
      <c r="BC1244" s="97"/>
      <c r="BD1244" s="97" t="str">
        <f>IFERROR(__xludf.DUMMYFUNCTION("""COMPUTED_VALUE"""),"LIV")</f>
        <v>LIV</v>
      </c>
      <c r="BE1244" s="97" t="str">
        <f>IFERROR(__xludf.DUMMYFUNCTION("""COMPUTED_VALUE"""),"Solicitada")</f>
        <v>Solicitada</v>
      </c>
      <c r="BF1244" s="97"/>
      <c r="BG1244" s="97" t="str">
        <f>IFERROR(__xludf.DUMMYFUNCTION("""COMPUTED_VALUE"""),"Activo")</f>
        <v>Activo</v>
      </c>
    </row>
    <row r="1245">
      <c r="A1245" s="97">
        <f>IFERROR(__xludf.DUMMYFUNCTION("""COMPUTED_VALUE"""),7205.0)</f>
        <v>7205</v>
      </c>
      <c r="B1245" s="97" t="str">
        <f>IFERROR(__xludf.DUMMYFUNCTION("""COMPUTED_VALUE"""),"LIV L 20W 4000K")</f>
        <v>LIV L 20W 4000K</v>
      </c>
      <c r="C1245" s="97" t="str">
        <f>IFERROR(__xludf.DUMMYFUNCTION("""COMPUTED_VALUE"""),"EMPOTRABLE LIV L 20W 4000K 20W 4000K 1750LM CRI&gt;90 IP20 LEUK")</f>
        <v>EMPOTRABLE LIV L 20W 4000K 20W 4000K 1750LM CRI&gt;90 IP20 LEUK</v>
      </c>
      <c r="D1245" s="97">
        <f>IFERROR(__xludf.DUMMYFUNCTION("""COMPUTED_VALUE"""),7.798413227567E12)</f>
        <v>7798413227567</v>
      </c>
      <c r="E1245" s="97" t="str">
        <f>IFERROR(__xludf.DUMMYFUNCTION("""COMPUTED_VALUE"""),"F47")</f>
        <v>F47</v>
      </c>
      <c r="F1245" s="97" t="str">
        <f>IFERROR(__xludf.DUMMYFUNCTION("""COMPUTED_VALUE"""),"LED SMD2835")</f>
        <v>LED SMD2835</v>
      </c>
      <c r="G1245" s="97" t="str">
        <f>IFERROR(__xludf.DUMMYFUNCTION("""COMPUTED_VALUE"""),"-")</f>
        <v>-</v>
      </c>
      <c r="H1245" s="97" t="str">
        <f>IFERROR(__xludf.DUMMYFUNCTION("""COMPUTED_VALUE"""),"Eaglerise")</f>
        <v>Eaglerise</v>
      </c>
      <c r="I1245" s="97"/>
      <c r="J1245" s="97" t="str">
        <f>IFERROR(__xludf.DUMMYFUNCTION("""COMPUTED_VALUE"""),"Modelo: LS-21-500 SI1 E
In: 220-240Vac 0.3A 50/60Hz
Out: 30-42Vdc 500mA 21W
Pf 0.55 Tc 80°C Ta 45°C")</f>
        <v>Modelo: LS-21-500 SI1 E
In: 220-240Vac 0.3A 50/60Hz
Out: 30-42Vdc 500mA 21W
Pf 0.55 Tc 80°C Ta 45°C</v>
      </c>
      <c r="K1245" s="97" t="str">
        <f>IFERROR(__xludf.DUMMYFUNCTION("""COMPUTED_VALUE"""),"ON/OFF")</f>
        <v>ON/OFF</v>
      </c>
      <c r="L1245" s="97" t="str">
        <f>IFERROR(__xludf.DUMMYFUNCTION("""COMPUTED_VALUE"""),"200-240")</f>
        <v>200-240</v>
      </c>
      <c r="M1245" s="97" t="str">
        <f>IFERROR(__xludf.DUMMYFUNCTION("""COMPUTED_VALUE"""),"50/60")</f>
        <v>50/60</v>
      </c>
      <c r="N1245" s="97" t="str">
        <f>IFERROR(__xludf.DUMMYFUNCTION("""COMPUTED_VALUE"""),"Directa")</f>
        <v>Directa</v>
      </c>
      <c r="O1245" s="97">
        <f>IFERROR(__xludf.DUMMYFUNCTION("""COMPUTED_VALUE"""),20.0)</f>
        <v>20</v>
      </c>
      <c r="P1245" s="97"/>
      <c r="Q1245" s="97">
        <f>IFERROR(__xludf.DUMMYFUNCTION("""COMPUTED_VALUE"""),0.55)</f>
        <v>0.55</v>
      </c>
      <c r="R1245" s="97" t="str">
        <f>IFERROR(__xludf.DUMMYFUNCTION("""COMPUTED_VALUE"""),"-")</f>
        <v>-</v>
      </c>
      <c r="S1245" s="97" t="str">
        <f>IFERROR(__xludf.DUMMYFUNCTION("""COMPUTED_VALUE"""),"-")</f>
        <v>-</v>
      </c>
      <c r="T1245" s="97">
        <f>IFERROR(__xludf.DUMMYFUNCTION("""COMPUTED_VALUE"""),1750.0)</f>
        <v>1750</v>
      </c>
      <c r="U1245" s="97">
        <f>IFERROR(__xludf.DUMMYFUNCTION("""COMPUTED_VALUE"""),87.5)</f>
        <v>87.5</v>
      </c>
      <c r="V1245" s="97">
        <f>IFERROR(__xludf.DUMMYFUNCTION("""COMPUTED_VALUE"""),110.0)</f>
        <v>110</v>
      </c>
      <c r="W1245" s="97" t="str">
        <f>IFERROR(__xludf.DUMMYFUNCTION("""COMPUTED_VALUE"""),"&lt; 20")</f>
        <v>&lt; 20</v>
      </c>
      <c r="X1245" s="97">
        <f>IFERROR(__xludf.DUMMYFUNCTION("""COMPUTED_VALUE"""),4000.0)</f>
        <v>4000</v>
      </c>
      <c r="Y1245" s="97" t="str">
        <f>IFERROR(__xludf.DUMMYFUNCTION("""COMPUTED_VALUE"""),"&gt;90")</f>
        <v>&gt;90</v>
      </c>
      <c r="Z1245" s="97"/>
      <c r="AA1245" s="97"/>
      <c r="AB1245" s="97" t="str">
        <f>IFERROR(__xludf.DUMMYFUNCTION("""COMPUTED_VALUE"""),"&lt; 3")</f>
        <v>&lt; 3</v>
      </c>
      <c r="AC1245" s="97"/>
      <c r="AD1245" s="97" t="str">
        <f>IFERROR(__xludf.DUMMYFUNCTION("""COMPUTED_VALUE"""),"IP20")</f>
        <v>IP20</v>
      </c>
      <c r="AE1245" s="97" t="str">
        <f>IFERROR(__xludf.DUMMYFUNCTION("""COMPUTED_VALUE"""),"Clase l")</f>
        <v>Clase l</v>
      </c>
      <c r="AF1245" s="97" t="str">
        <f>IFERROR(__xludf.DUMMYFUNCTION("""COMPUTED_VALUE"""),"Embutir")</f>
        <v>Embutir</v>
      </c>
      <c r="AG1245" s="97" t="str">
        <f>IFERROR(__xludf.DUMMYFUNCTION("""COMPUTED_VALUE"""),"Ø188 x 44")</f>
        <v>Ø188 x 44</v>
      </c>
      <c r="AH1245" s="97" t="str">
        <f>IFERROR(__xludf.DUMMYFUNCTION("""COMPUTED_VALUE"""),"Ø160")</f>
        <v>Ø160</v>
      </c>
      <c r="AI1245" s="97">
        <f>IFERROR(__xludf.DUMMYFUNCTION("""COMPUTED_VALUE"""),65.0)</f>
        <v>65</v>
      </c>
      <c r="AJ1245" s="97" t="str">
        <f>IFERROR(__xludf.DUMMYFUNCTION("""COMPUTED_VALUE"""),"Policarbonato (PC)")</f>
        <v>Policarbonato (PC)</v>
      </c>
      <c r="AK1245" s="97" t="str">
        <f>IFERROR(__xludf.DUMMYFUNCTION("""COMPUTED_VALUE"""),"Aluminio")</f>
        <v>Aluminio</v>
      </c>
      <c r="AL1245" s="97" t="str">
        <f>IFERROR(__xludf.DUMMYFUNCTION("""COMPUTED_VALUE"""),"Blanco Satinado")</f>
        <v>Blanco Satinado</v>
      </c>
      <c r="AM1245" s="97" t="str">
        <f>IFERROR(__xludf.DUMMYFUNCTION("""COMPUTED_VALUE"""),"-")</f>
        <v>-</v>
      </c>
      <c r="AN1245" s="97" t="str">
        <f>IFERROR(__xludf.DUMMYFUNCTION("""COMPUTED_VALUE"""),"40.000hs (L70)")</f>
        <v>40.000hs (L70)</v>
      </c>
      <c r="AO1245" s="97" t="str">
        <f>IFERROR(__xludf.DUMMYFUNCTION("""COMPUTED_VALUE"""),"4 Años")</f>
        <v>4 Años</v>
      </c>
      <c r="AP1245" s="97" t="str">
        <f>IFERROR(__xludf.DUMMYFUNCTION("""COMPUTED_VALUE"""),"Disponible")</f>
        <v>Disponible</v>
      </c>
      <c r="AQ1245" s="97" t="str">
        <f>IFERROR(__xludf.DUMMYFUNCTION("""COMPUTED_VALUE"""),"Disponible")</f>
        <v>Disponible</v>
      </c>
      <c r="AR1245" s="97" t="str">
        <f>IFERROR(__xludf.DUMMYFUNCTION("""COMPUTED_VALUE"""),"Disponible")</f>
        <v>Disponible</v>
      </c>
      <c r="AS1245" s="97" t="str">
        <f>IFERROR(__xludf.DUMMYFUNCTION("""COMPUTED_VALUE"""),"Falta")</f>
        <v>Falta</v>
      </c>
      <c r="AT1245" s="97" t="str">
        <f>IFERROR(__xludf.DUMMYFUNCTION("""COMPUTED_VALUE"""),"Falta")</f>
        <v>Falta</v>
      </c>
      <c r="AU1245" s="97" t="str">
        <f>IFERROR(__xludf.DUMMYFUNCTION("""COMPUTED_VALUE"""),"Falta")</f>
        <v>Falta</v>
      </c>
      <c r="AV1245" s="97" t="str">
        <f>IFERROR(__xludf.DUMMYFUNCTION("""COMPUTED_VALUE"""),"Empotrable")</f>
        <v>Empotrable</v>
      </c>
      <c r="AW1245" s="97" t="str">
        <f>IFERROR(__xludf.DUMMYFUNCTION("""COMPUTED_VALUE"""),"De Techo")</f>
        <v>De Techo</v>
      </c>
      <c r="AX1245" s="97" t="str">
        <f>IFERROR(__xludf.DUMMYFUNCTION("""COMPUTED_VALUE"""),"Interior")</f>
        <v>Interior</v>
      </c>
      <c r="AY1245" s="97" t="str">
        <f>IFERROR(__xludf.DUMMYFUNCTION("""COMPUTED_VALUE"""),"-")</f>
        <v>-</v>
      </c>
      <c r="AZ1245" s="97"/>
      <c r="BA1245" s="97"/>
      <c r="BB1245" s="97"/>
      <c r="BC1245" s="97"/>
      <c r="BD1245" s="97" t="str">
        <f>IFERROR(__xludf.DUMMYFUNCTION("""COMPUTED_VALUE"""),"LIV")</f>
        <v>LIV</v>
      </c>
      <c r="BE1245" s="97" t="str">
        <f>IFERROR(__xludf.DUMMYFUNCTION("""COMPUTED_VALUE"""),"Solicitada")</f>
        <v>Solicitada</v>
      </c>
      <c r="BF1245" s="97"/>
      <c r="BG1245" s="97" t="str">
        <f>IFERROR(__xludf.DUMMYFUNCTION("""COMPUTED_VALUE"""),"Activo")</f>
        <v>Activo</v>
      </c>
    </row>
    <row r="1246">
      <c r="A1246" s="97">
        <f>IFERROR(__xludf.DUMMYFUNCTION("""COMPUTED_VALUE"""),7206.0)</f>
        <v>7206</v>
      </c>
      <c r="B1246" s="97" t="str">
        <f>IFERROR(__xludf.DUMMYFUNCTION("""COMPUTED_VALUE"""),"LIV L 20W 3000K")</f>
        <v>LIV L 20W 3000K</v>
      </c>
      <c r="C1246" s="97" t="str">
        <f>IFERROR(__xludf.DUMMYFUNCTION("""COMPUTED_VALUE"""),"EMPOTRABLE LIV L 20W 3000K 20W 3000K 1750LM CRI&gt;90 IP20 LEUK")</f>
        <v>EMPOTRABLE LIV L 20W 3000K 20W 3000K 1750LM CRI&gt;90 IP20 LEUK</v>
      </c>
      <c r="D1246" s="97">
        <f>IFERROR(__xludf.DUMMYFUNCTION("""COMPUTED_VALUE"""),7.798413227574E12)</f>
        <v>7798413227574</v>
      </c>
      <c r="E1246" s="97" t="str">
        <f>IFERROR(__xludf.DUMMYFUNCTION("""COMPUTED_VALUE"""),"F47")</f>
        <v>F47</v>
      </c>
      <c r="F1246" s="97" t="str">
        <f>IFERROR(__xludf.DUMMYFUNCTION("""COMPUTED_VALUE"""),"LED SMD2835")</f>
        <v>LED SMD2835</v>
      </c>
      <c r="G1246" s="97" t="str">
        <f>IFERROR(__xludf.DUMMYFUNCTION("""COMPUTED_VALUE"""),"-")</f>
        <v>-</v>
      </c>
      <c r="H1246" s="97" t="str">
        <f>IFERROR(__xludf.DUMMYFUNCTION("""COMPUTED_VALUE"""),"Eaglerise")</f>
        <v>Eaglerise</v>
      </c>
      <c r="I1246" s="97"/>
      <c r="J1246" s="97" t="str">
        <f>IFERROR(__xludf.DUMMYFUNCTION("""COMPUTED_VALUE"""),"Modelo: LS-21-500 SI1 E
In: 220-240Vac 0.3A 50/60Hz
Out: 30-42Vdc 500mA 21W
Pf 0.55 Tc 80°C Ta 45°C")</f>
        <v>Modelo: LS-21-500 SI1 E
In: 220-240Vac 0.3A 50/60Hz
Out: 30-42Vdc 500mA 21W
Pf 0.55 Tc 80°C Ta 45°C</v>
      </c>
      <c r="K1246" s="97" t="str">
        <f>IFERROR(__xludf.DUMMYFUNCTION("""COMPUTED_VALUE"""),"ON/OFF")</f>
        <v>ON/OFF</v>
      </c>
      <c r="L1246" s="97" t="str">
        <f>IFERROR(__xludf.DUMMYFUNCTION("""COMPUTED_VALUE"""),"200-240")</f>
        <v>200-240</v>
      </c>
      <c r="M1246" s="97" t="str">
        <f>IFERROR(__xludf.DUMMYFUNCTION("""COMPUTED_VALUE"""),"50/60")</f>
        <v>50/60</v>
      </c>
      <c r="N1246" s="97" t="str">
        <f>IFERROR(__xludf.DUMMYFUNCTION("""COMPUTED_VALUE"""),"Directa")</f>
        <v>Directa</v>
      </c>
      <c r="O1246" s="97">
        <f>IFERROR(__xludf.DUMMYFUNCTION("""COMPUTED_VALUE"""),20.0)</f>
        <v>20</v>
      </c>
      <c r="P1246" s="97"/>
      <c r="Q1246" s="97">
        <f>IFERROR(__xludf.DUMMYFUNCTION("""COMPUTED_VALUE"""),0.55)</f>
        <v>0.55</v>
      </c>
      <c r="R1246" s="97" t="str">
        <f>IFERROR(__xludf.DUMMYFUNCTION("""COMPUTED_VALUE"""),"-")</f>
        <v>-</v>
      </c>
      <c r="S1246" s="97" t="str">
        <f>IFERROR(__xludf.DUMMYFUNCTION("""COMPUTED_VALUE"""),"-")</f>
        <v>-</v>
      </c>
      <c r="T1246" s="97">
        <f>IFERROR(__xludf.DUMMYFUNCTION("""COMPUTED_VALUE"""),1750.0)</f>
        <v>1750</v>
      </c>
      <c r="U1246" s="97">
        <f>IFERROR(__xludf.DUMMYFUNCTION("""COMPUTED_VALUE"""),87.5)</f>
        <v>87.5</v>
      </c>
      <c r="V1246" s="97">
        <f>IFERROR(__xludf.DUMMYFUNCTION("""COMPUTED_VALUE"""),110.0)</f>
        <v>110</v>
      </c>
      <c r="W1246" s="97" t="str">
        <f>IFERROR(__xludf.DUMMYFUNCTION("""COMPUTED_VALUE"""),"&lt; 20")</f>
        <v>&lt; 20</v>
      </c>
      <c r="X1246" s="97">
        <f>IFERROR(__xludf.DUMMYFUNCTION("""COMPUTED_VALUE"""),3000.0)</f>
        <v>3000</v>
      </c>
      <c r="Y1246" s="97" t="str">
        <f>IFERROR(__xludf.DUMMYFUNCTION("""COMPUTED_VALUE"""),"&gt;90")</f>
        <v>&gt;90</v>
      </c>
      <c r="Z1246" s="97"/>
      <c r="AA1246" s="97"/>
      <c r="AB1246" s="97" t="str">
        <f>IFERROR(__xludf.DUMMYFUNCTION("""COMPUTED_VALUE"""),"&lt; 3")</f>
        <v>&lt; 3</v>
      </c>
      <c r="AC1246" s="97"/>
      <c r="AD1246" s="97" t="str">
        <f>IFERROR(__xludf.DUMMYFUNCTION("""COMPUTED_VALUE"""),"IP20")</f>
        <v>IP20</v>
      </c>
      <c r="AE1246" s="97" t="str">
        <f>IFERROR(__xludf.DUMMYFUNCTION("""COMPUTED_VALUE"""),"Clase l")</f>
        <v>Clase l</v>
      </c>
      <c r="AF1246" s="97" t="str">
        <f>IFERROR(__xludf.DUMMYFUNCTION("""COMPUTED_VALUE"""),"Embutir")</f>
        <v>Embutir</v>
      </c>
      <c r="AG1246" s="97" t="str">
        <f>IFERROR(__xludf.DUMMYFUNCTION("""COMPUTED_VALUE"""),"Ø188 x 44")</f>
        <v>Ø188 x 44</v>
      </c>
      <c r="AH1246" s="97" t="str">
        <f>IFERROR(__xludf.DUMMYFUNCTION("""COMPUTED_VALUE"""),"Ø160")</f>
        <v>Ø160</v>
      </c>
      <c r="AI1246" s="97">
        <f>IFERROR(__xludf.DUMMYFUNCTION("""COMPUTED_VALUE"""),65.0)</f>
        <v>65</v>
      </c>
      <c r="AJ1246" s="97" t="str">
        <f>IFERROR(__xludf.DUMMYFUNCTION("""COMPUTED_VALUE"""),"Policarbonato (PC)")</f>
        <v>Policarbonato (PC)</v>
      </c>
      <c r="AK1246" s="97" t="str">
        <f>IFERROR(__xludf.DUMMYFUNCTION("""COMPUTED_VALUE"""),"Aluminio")</f>
        <v>Aluminio</v>
      </c>
      <c r="AL1246" s="97" t="str">
        <f>IFERROR(__xludf.DUMMYFUNCTION("""COMPUTED_VALUE"""),"Blanco Satinado")</f>
        <v>Blanco Satinado</v>
      </c>
      <c r="AM1246" s="97" t="str">
        <f>IFERROR(__xludf.DUMMYFUNCTION("""COMPUTED_VALUE"""),"-")</f>
        <v>-</v>
      </c>
      <c r="AN1246" s="97" t="str">
        <f>IFERROR(__xludf.DUMMYFUNCTION("""COMPUTED_VALUE"""),"40.000hs (L70)")</f>
        <v>40.000hs (L70)</v>
      </c>
      <c r="AO1246" s="97" t="str">
        <f>IFERROR(__xludf.DUMMYFUNCTION("""COMPUTED_VALUE"""),"4 Años")</f>
        <v>4 Años</v>
      </c>
      <c r="AP1246" s="97" t="str">
        <f>IFERROR(__xludf.DUMMYFUNCTION("""COMPUTED_VALUE"""),"Disponible")</f>
        <v>Disponible</v>
      </c>
      <c r="AQ1246" s="97" t="str">
        <f>IFERROR(__xludf.DUMMYFUNCTION("""COMPUTED_VALUE"""),"Disponible")</f>
        <v>Disponible</v>
      </c>
      <c r="AR1246" s="97" t="str">
        <f>IFERROR(__xludf.DUMMYFUNCTION("""COMPUTED_VALUE"""),"Disponible")</f>
        <v>Disponible</v>
      </c>
      <c r="AS1246" s="97" t="str">
        <f>IFERROR(__xludf.DUMMYFUNCTION("""COMPUTED_VALUE"""),"Falta")</f>
        <v>Falta</v>
      </c>
      <c r="AT1246" s="97" t="str">
        <f>IFERROR(__xludf.DUMMYFUNCTION("""COMPUTED_VALUE"""),"Falta")</f>
        <v>Falta</v>
      </c>
      <c r="AU1246" s="97" t="str">
        <f>IFERROR(__xludf.DUMMYFUNCTION("""COMPUTED_VALUE"""),"Falta")</f>
        <v>Falta</v>
      </c>
      <c r="AV1246" s="97" t="str">
        <f>IFERROR(__xludf.DUMMYFUNCTION("""COMPUTED_VALUE"""),"Empotrable")</f>
        <v>Empotrable</v>
      </c>
      <c r="AW1246" s="97" t="str">
        <f>IFERROR(__xludf.DUMMYFUNCTION("""COMPUTED_VALUE"""),"De Techo")</f>
        <v>De Techo</v>
      </c>
      <c r="AX1246" s="97" t="str">
        <f>IFERROR(__xludf.DUMMYFUNCTION("""COMPUTED_VALUE"""),"Interior")</f>
        <v>Interior</v>
      </c>
      <c r="AY1246" s="97" t="str">
        <f>IFERROR(__xludf.DUMMYFUNCTION("""COMPUTED_VALUE"""),"-")</f>
        <v>-</v>
      </c>
      <c r="AZ1246" s="97"/>
      <c r="BA1246" s="97"/>
      <c r="BB1246" s="97"/>
      <c r="BC1246" s="97"/>
      <c r="BD1246" s="97" t="str">
        <f>IFERROR(__xludf.DUMMYFUNCTION("""COMPUTED_VALUE"""),"LIV")</f>
        <v>LIV</v>
      </c>
      <c r="BE1246" s="97" t="str">
        <f>IFERROR(__xludf.DUMMYFUNCTION("""COMPUTED_VALUE"""),"Solicitada")</f>
        <v>Solicitada</v>
      </c>
      <c r="BF1246" s="97"/>
      <c r="BG1246" s="97" t="str">
        <f>IFERROR(__xludf.DUMMYFUNCTION("""COMPUTED_VALUE"""),"Activo")</f>
        <v>Activo</v>
      </c>
    </row>
    <row r="1247">
      <c r="A1247" s="97">
        <f>IFERROR(__xludf.DUMMYFUNCTION("""COMPUTED_VALUE"""),7207.0)</f>
        <v>7207</v>
      </c>
      <c r="B1247" s="97" t="str">
        <f>IFERROR(__xludf.DUMMYFUNCTION("""COMPUTED_VALUE"""),"LOOP BL 12W 2700K (NO)")</f>
        <v>LOOP BL 12W 2700K (NO)</v>
      </c>
      <c r="C1247" s="97" t="str">
        <f>IFERROR(__xludf.DUMMYFUNCTION("""COMPUTED_VALUE"""),"MDD LOOP BL 12W 2700K (NO) 12W 2700K 845LM CRI&gt;90 IP20 LEUK")</f>
        <v>MDD LOOP BL 12W 2700K (NO) 12W 2700K 845LM CRI&gt;90 IP20 LEUK</v>
      </c>
      <c r="D1247" s="97">
        <f>IFERROR(__xludf.DUMMYFUNCTION("""COMPUTED_VALUE"""),7.798413227079E12)</f>
        <v>7798413227079</v>
      </c>
      <c r="E1247" s="97" t="str">
        <f>IFERROR(__xludf.DUMMYFUNCTION("""COMPUTED_VALUE"""),"F61")</f>
        <v>F61</v>
      </c>
      <c r="F1247" s="97" t="str">
        <f>IFERROR(__xludf.DUMMYFUNCTION("""COMPUTED_VALUE"""),"LED COB")</f>
        <v>LED COB</v>
      </c>
      <c r="G1247" s="97" t="str">
        <f>IFERROR(__xludf.DUMMYFUNCTION("""COMPUTED_VALUE"""),"-")</f>
        <v>-</v>
      </c>
      <c r="H1247" s="97" t="str">
        <f>IFERROR(__xludf.DUMMYFUNCTION("""COMPUTED_VALUE"""),"-")</f>
        <v>-</v>
      </c>
      <c r="I1247" s="97" t="str">
        <f>IFERROR(__xludf.DUMMYFUNCTION("""COMPUTED_VALUE"""),"-")</f>
        <v>-</v>
      </c>
      <c r="J1247" s="97" t="str">
        <f>IFERROR(__xludf.DUMMYFUNCTION("""COMPUTED_VALUE"""),"-")</f>
        <v>-</v>
      </c>
      <c r="K1247" s="97" t="str">
        <f>IFERROR(__xludf.DUMMYFUNCTION("""COMPUTED_VALUE"""),"TRIAC")</f>
        <v>TRIAC</v>
      </c>
      <c r="L1247" s="97" t="str">
        <f>IFERROR(__xludf.DUMMYFUNCTION("""COMPUTED_VALUE"""),"200-240")</f>
        <v>200-240</v>
      </c>
      <c r="M1247" s="97" t="str">
        <f>IFERROR(__xludf.DUMMYFUNCTION("""COMPUTED_VALUE"""),"50/60")</f>
        <v>50/60</v>
      </c>
      <c r="N1247" s="97" t="str">
        <f>IFERROR(__xludf.DUMMYFUNCTION("""COMPUTED_VALUE"""),"Directa-Direccional")</f>
        <v>Directa-Direccional</v>
      </c>
      <c r="O1247" s="97">
        <f>IFERROR(__xludf.DUMMYFUNCTION("""COMPUTED_VALUE"""),12.0)</f>
        <v>12</v>
      </c>
      <c r="P1247" s="97"/>
      <c r="Q1247" s="97">
        <f>IFERROR(__xludf.DUMMYFUNCTION("""COMPUTED_VALUE"""),0.96)</f>
        <v>0.96</v>
      </c>
      <c r="R1247" s="97" t="str">
        <f>IFERROR(__xludf.DUMMYFUNCTION("""COMPUTED_VALUE"""),"-")</f>
        <v>-</v>
      </c>
      <c r="S1247" s="97" t="str">
        <f>IFERROR(__xludf.DUMMYFUNCTION("""COMPUTED_VALUE"""),"-")</f>
        <v>-</v>
      </c>
      <c r="T1247" s="97">
        <f>IFERROR(__xludf.DUMMYFUNCTION("""COMPUTED_VALUE"""),845.0)</f>
        <v>845</v>
      </c>
      <c r="U1247" s="99">
        <f>IFERROR(__xludf.DUMMYFUNCTION("""COMPUTED_VALUE"""),70.41666666666667)</f>
        <v>70.41666667</v>
      </c>
      <c r="V1247" s="97">
        <f>IFERROR(__xludf.DUMMYFUNCTION("""COMPUTED_VALUE"""),24.0)</f>
        <v>24</v>
      </c>
      <c r="W1247" s="97" t="str">
        <f>IFERROR(__xludf.DUMMYFUNCTION("""COMPUTED_VALUE"""),"&lt; 10")</f>
        <v>&lt; 10</v>
      </c>
      <c r="X1247" s="97">
        <f>IFERROR(__xludf.DUMMYFUNCTION("""COMPUTED_VALUE"""),2700.0)</f>
        <v>2700</v>
      </c>
      <c r="Y1247" s="97" t="str">
        <f>IFERROR(__xludf.DUMMYFUNCTION("""COMPUTED_VALUE"""),"&gt;90")</f>
        <v>&gt;90</v>
      </c>
      <c r="Z1247" s="97" t="str">
        <f>IFERROR(__xludf.DUMMYFUNCTION("""COMPUTED_VALUE"""),"-")</f>
        <v>-</v>
      </c>
      <c r="AA1247" s="97" t="str">
        <f>IFERROR(__xludf.DUMMYFUNCTION("""COMPUTED_VALUE"""),"-")</f>
        <v>-</v>
      </c>
      <c r="AB1247" s="97" t="str">
        <f>IFERROR(__xludf.DUMMYFUNCTION("""COMPUTED_VALUE"""),"&lt; 4")</f>
        <v>&lt; 4</v>
      </c>
      <c r="AC1247" s="97"/>
      <c r="AD1247" s="97" t="str">
        <f>IFERROR(__xludf.DUMMYFUNCTION("""COMPUTED_VALUE"""),"IP20")</f>
        <v>IP20</v>
      </c>
      <c r="AE1247" s="97" t="str">
        <f>IFERROR(__xludf.DUMMYFUNCTION("""COMPUTED_VALUE"""),"Clase l")</f>
        <v>Clase l</v>
      </c>
      <c r="AF1247" s="97" t="str">
        <f>IFERROR(__xludf.DUMMYFUNCTION("""COMPUTED_VALUE"""),"Aplicar")</f>
        <v>Aplicar</v>
      </c>
      <c r="AG1247" s="97" t="str">
        <f>IFERROR(__xludf.DUMMYFUNCTION("""COMPUTED_VALUE"""),"Ø100 x 90")</f>
        <v>Ø100 x 90</v>
      </c>
      <c r="AH1247" s="97" t="str">
        <f>IFERROR(__xludf.DUMMYFUNCTION("""COMPUTED_VALUE"""),"N/A")</f>
        <v>N/A</v>
      </c>
      <c r="AI1247" s="97" t="str">
        <f>IFERROR(__xludf.DUMMYFUNCTION("""COMPUTED_VALUE"""),"N/A")</f>
        <v>N/A</v>
      </c>
      <c r="AJ1247" s="97" t="str">
        <f>IFERROR(__xludf.DUMMYFUNCTION("""COMPUTED_VALUE"""),"Policarbonato (PC)")</f>
        <v>Policarbonato (PC)</v>
      </c>
      <c r="AK1247" s="97" t="str">
        <f>IFERROR(__xludf.DUMMYFUNCTION("""COMPUTED_VALUE"""),"Aluminio")</f>
        <v>Aluminio</v>
      </c>
      <c r="AL1247" s="97" t="str">
        <f>IFERROR(__xludf.DUMMYFUNCTION("""COMPUTED_VALUE"""),"Blanco Satinado")</f>
        <v>Blanco Satinado</v>
      </c>
      <c r="AM1247" s="97" t="str">
        <f>IFERROR(__xludf.DUMMYFUNCTION("""COMPUTED_VALUE"""),"-")</f>
        <v>-</v>
      </c>
      <c r="AN1247" s="97" t="str">
        <f>IFERROR(__xludf.DUMMYFUNCTION("""COMPUTED_VALUE"""),"30.000hs (L70)")</f>
        <v>30.000hs (L70)</v>
      </c>
      <c r="AO1247" s="97" t="str">
        <f>IFERROR(__xludf.DUMMYFUNCTION("""COMPUTED_VALUE"""),"3 Años")</f>
        <v>3 Años</v>
      </c>
      <c r="AP1247" s="97" t="str">
        <f>IFERROR(__xludf.DUMMYFUNCTION("""COMPUTED_VALUE"""),"Disponible")</f>
        <v>Disponible</v>
      </c>
      <c r="AQ1247" s="97" t="str">
        <f>IFERROR(__xludf.DUMMYFUNCTION("""COMPUTED_VALUE"""),"Disponible")</f>
        <v>Disponible</v>
      </c>
      <c r="AR1247" s="97" t="str">
        <f>IFERROR(__xludf.DUMMYFUNCTION("""COMPUTED_VALUE"""),"Disponible")</f>
        <v>Disponible</v>
      </c>
      <c r="AS1247" s="97" t="str">
        <f>IFERROR(__xludf.DUMMYFUNCTION("""COMPUTED_VALUE"""),"Falta")</f>
        <v>Falta</v>
      </c>
      <c r="AT1247" s="97" t="str">
        <f>IFERROR(__xludf.DUMMYFUNCTION("""COMPUTED_VALUE"""),"Falta")</f>
        <v>Falta</v>
      </c>
      <c r="AU1247" s="97" t="str">
        <f>IFERROR(__xludf.DUMMYFUNCTION("""COMPUTED_VALUE"""),"En revisión")</f>
        <v>En revisión</v>
      </c>
      <c r="AV1247" s="97" t="str">
        <f>IFERROR(__xludf.DUMMYFUNCTION("""COMPUTED_VALUE"""),"MDD")</f>
        <v>MDD</v>
      </c>
      <c r="AW1247" s="97" t="str">
        <f>IFERROR(__xludf.DUMMYFUNCTION("""COMPUTED_VALUE"""),"MDD")</f>
        <v>MDD</v>
      </c>
      <c r="AX1247" s="97" t="str">
        <f>IFERROR(__xludf.DUMMYFUNCTION("""COMPUTED_VALUE"""),"MDD")</f>
        <v>MDD</v>
      </c>
      <c r="AY1247" s="97" t="str">
        <f>IFERROR(__xludf.DUMMYFUNCTION("""COMPUTED_VALUE"""),"-")</f>
        <v>-</v>
      </c>
      <c r="AZ1247" s="97" t="str">
        <f>IFERROR(__xludf.DUMMYFUNCTION("""COMPUTED_VALUE"""),"Movimiento ±30°. Rotación 355°.")</f>
        <v>Movimiento ±30°. Rotación 355°.</v>
      </c>
      <c r="BA1247" s="97"/>
      <c r="BB1247" s="97"/>
      <c r="BC1247" s="97"/>
      <c r="BD1247" s="97" t="str">
        <f>IFERROR(__xludf.DUMMYFUNCTION("""COMPUTED_VALUE"""),"-")</f>
        <v>-</v>
      </c>
      <c r="BE1247" s="97" t="str">
        <f>IFERROR(__xludf.DUMMYFUNCTION("""COMPUTED_VALUE"""),"Sin Ficha")</f>
        <v>Sin Ficha</v>
      </c>
      <c r="BF1247" s="97"/>
      <c r="BG1247" s="97" t="str">
        <f>IFERROR(__xludf.DUMMYFUNCTION("""COMPUTED_VALUE"""),"Discontinuo")</f>
        <v>Discontinuo</v>
      </c>
    </row>
    <row r="1248">
      <c r="A1248" s="97">
        <f>IFERROR(__xludf.DUMMYFUNCTION("""COMPUTED_VALUE"""),7208.0)</f>
        <v>7208</v>
      </c>
      <c r="B1248" s="97" t="str">
        <f>IFERROR(__xludf.DUMMYFUNCTION("""COMPUTED_VALUE"""),"LOOP NG 12W 2700K (NO)")</f>
        <v>LOOP NG 12W 2700K (NO)</v>
      </c>
      <c r="C1248" s="97" t="str">
        <f>IFERROR(__xludf.DUMMYFUNCTION("""COMPUTED_VALUE"""),"MDD LOOP NG 12W 2700K (NO) 12W 2700K 845LM CRI&gt;90 IP20 LEUK")</f>
        <v>MDD LOOP NG 12W 2700K (NO) 12W 2700K 845LM CRI&gt;90 IP20 LEUK</v>
      </c>
      <c r="D1248" s="97">
        <f>IFERROR(__xludf.DUMMYFUNCTION("""COMPUTED_VALUE"""),7.798413227086E12)</f>
        <v>7798413227086</v>
      </c>
      <c r="E1248" s="97" t="str">
        <f>IFERROR(__xludf.DUMMYFUNCTION("""COMPUTED_VALUE"""),"F61")</f>
        <v>F61</v>
      </c>
      <c r="F1248" s="97" t="str">
        <f>IFERROR(__xludf.DUMMYFUNCTION("""COMPUTED_VALUE"""),"LED COB")</f>
        <v>LED COB</v>
      </c>
      <c r="G1248" s="97" t="str">
        <f>IFERROR(__xludf.DUMMYFUNCTION("""COMPUTED_VALUE"""),"-")</f>
        <v>-</v>
      </c>
      <c r="H1248" s="97" t="str">
        <f>IFERROR(__xludf.DUMMYFUNCTION("""COMPUTED_VALUE"""),"-")</f>
        <v>-</v>
      </c>
      <c r="I1248" s="97" t="str">
        <f>IFERROR(__xludf.DUMMYFUNCTION("""COMPUTED_VALUE"""),"-")</f>
        <v>-</v>
      </c>
      <c r="J1248" s="97" t="str">
        <f>IFERROR(__xludf.DUMMYFUNCTION("""COMPUTED_VALUE"""),"-")</f>
        <v>-</v>
      </c>
      <c r="K1248" s="97" t="str">
        <f>IFERROR(__xludf.DUMMYFUNCTION("""COMPUTED_VALUE"""),"TRIAC")</f>
        <v>TRIAC</v>
      </c>
      <c r="L1248" s="97" t="str">
        <f>IFERROR(__xludf.DUMMYFUNCTION("""COMPUTED_VALUE"""),"200-240")</f>
        <v>200-240</v>
      </c>
      <c r="M1248" s="97" t="str">
        <f>IFERROR(__xludf.DUMMYFUNCTION("""COMPUTED_VALUE"""),"50/60")</f>
        <v>50/60</v>
      </c>
      <c r="N1248" s="97" t="str">
        <f>IFERROR(__xludf.DUMMYFUNCTION("""COMPUTED_VALUE"""),"Directa-Direccional")</f>
        <v>Directa-Direccional</v>
      </c>
      <c r="O1248" s="97">
        <f>IFERROR(__xludf.DUMMYFUNCTION("""COMPUTED_VALUE"""),12.0)</f>
        <v>12</v>
      </c>
      <c r="P1248" s="97"/>
      <c r="Q1248" s="97">
        <f>IFERROR(__xludf.DUMMYFUNCTION("""COMPUTED_VALUE"""),0.96)</f>
        <v>0.96</v>
      </c>
      <c r="R1248" s="97" t="str">
        <f>IFERROR(__xludf.DUMMYFUNCTION("""COMPUTED_VALUE"""),"-")</f>
        <v>-</v>
      </c>
      <c r="S1248" s="97" t="str">
        <f>IFERROR(__xludf.DUMMYFUNCTION("""COMPUTED_VALUE"""),"-")</f>
        <v>-</v>
      </c>
      <c r="T1248" s="97">
        <f>IFERROR(__xludf.DUMMYFUNCTION("""COMPUTED_VALUE"""),845.0)</f>
        <v>845</v>
      </c>
      <c r="U1248" s="99">
        <f>IFERROR(__xludf.DUMMYFUNCTION("""COMPUTED_VALUE"""),70.41666666666667)</f>
        <v>70.41666667</v>
      </c>
      <c r="V1248" s="97">
        <f>IFERROR(__xludf.DUMMYFUNCTION("""COMPUTED_VALUE"""),24.0)</f>
        <v>24</v>
      </c>
      <c r="W1248" s="97" t="str">
        <f>IFERROR(__xludf.DUMMYFUNCTION("""COMPUTED_VALUE"""),"&lt; 10")</f>
        <v>&lt; 10</v>
      </c>
      <c r="X1248" s="97">
        <f>IFERROR(__xludf.DUMMYFUNCTION("""COMPUTED_VALUE"""),2700.0)</f>
        <v>2700</v>
      </c>
      <c r="Y1248" s="97" t="str">
        <f>IFERROR(__xludf.DUMMYFUNCTION("""COMPUTED_VALUE"""),"&gt;90")</f>
        <v>&gt;90</v>
      </c>
      <c r="Z1248" s="97" t="str">
        <f>IFERROR(__xludf.DUMMYFUNCTION("""COMPUTED_VALUE"""),"-")</f>
        <v>-</v>
      </c>
      <c r="AA1248" s="97" t="str">
        <f>IFERROR(__xludf.DUMMYFUNCTION("""COMPUTED_VALUE"""),"-")</f>
        <v>-</v>
      </c>
      <c r="AB1248" s="97" t="str">
        <f>IFERROR(__xludf.DUMMYFUNCTION("""COMPUTED_VALUE"""),"&lt; 4")</f>
        <v>&lt; 4</v>
      </c>
      <c r="AC1248" s="97"/>
      <c r="AD1248" s="97" t="str">
        <f>IFERROR(__xludf.DUMMYFUNCTION("""COMPUTED_VALUE"""),"IP20")</f>
        <v>IP20</v>
      </c>
      <c r="AE1248" s="97" t="str">
        <f>IFERROR(__xludf.DUMMYFUNCTION("""COMPUTED_VALUE"""),"Clase l")</f>
        <v>Clase l</v>
      </c>
      <c r="AF1248" s="97" t="str">
        <f>IFERROR(__xludf.DUMMYFUNCTION("""COMPUTED_VALUE"""),"Aplicar")</f>
        <v>Aplicar</v>
      </c>
      <c r="AG1248" s="97" t="str">
        <f>IFERROR(__xludf.DUMMYFUNCTION("""COMPUTED_VALUE"""),"Ø100 x 90")</f>
        <v>Ø100 x 90</v>
      </c>
      <c r="AH1248" s="97" t="str">
        <f>IFERROR(__xludf.DUMMYFUNCTION("""COMPUTED_VALUE"""),"N/A")</f>
        <v>N/A</v>
      </c>
      <c r="AI1248" s="97" t="str">
        <f>IFERROR(__xludf.DUMMYFUNCTION("""COMPUTED_VALUE"""),"N/A")</f>
        <v>N/A</v>
      </c>
      <c r="AJ1248" s="97" t="str">
        <f>IFERROR(__xludf.DUMMYFUNCTION("""COMPUTED_VALUE"""),"Policarbonato (PC)")</f>
        <v>Policarbonato (PC)</v>
      </c>
      <c r="AK1248" s="97" t="str">
        <f>IFERROR(__xludf.DUMMYFUNCTION("""COMPUTED_VALUE"""),"Aluminio")</f>
        <v>Aluminio</v>
      </c>
      <c r="AL1248" s="97" t="str">
        <f>IFERROR(__xludf.DUMMYFUNCTION("""COMPUTED_VALUE"""),"Negro Satinado")</f>
        <v>Negro Satinado</v>
      </c>
      <c r="AM1248" s="97" t="str">
        <f>IFERROR(__xludf.DUMMYFUNCTION("""COMPUTED_VALUE"""),"-")</f>
        <v>-</v>
      </c>
      <c r="AN1248" s="97" t="str">
        <f>IFERROR(__xludf.DUMMYFUNCTION("""COMPUTED_VALUE"""),"30.000hs (L70)")</f>
        <v>30.000hs (L70)</v>
      </c>
      <c r="AO1248" s="97" t="str">
        <f>IFERROR(__xludf.DUMMYFUNCTION("""COMPUTED_VALUE"""),"3 Años")</f>
        <v>3 Años</v>
      </c>
      <c r="AP1248" s="97" t="str">
        <f>IFERROR(__xludf.DUMMYFUNCTION("""COMPUTED_VALUE"""),"Disponible")</f>
        <v>Disponible</v>
      </c>
      <c r="AQ1248" s="97" t="str">
        <f>IFERROR(__xludf.DUMMYFUNCTION("""COMPUTED_VALUE"""),"Disponible")</f>
        <v>Disponible</v>
      </c>
      <c r="AR1248" s="97" t="str">
        <f>IFERROR(__xludf.DUMMYFUNCTION("""COMPUTED_VALUE"""),"Disponible")</f>
        <v>Disponible</v>
      </c>
      <c r="AS1248" s="97" t="str">
        <f>IFERROR(__xludf.DUMMYFUNCTION("""COMPUTED_VALUE"""),"Falta")</f>
        <v>Falta</v>
      </c>
      <c r="AT1248" s="97" t="str">
        <f>IFERROR(__xludf.DUMMYFUNCTION("""COMPUTED_VALUE"""),"Falta")</f>
        <v>Falta</v>
      </c>
      <c r="AU1248" s="97" t="str">
        <f>IFERROR(__xludf.DUMMYFUNCTION("""COMPUTED_VALUE"""),"En revisión")</f>
        <v>En revisión</v>
      </c>
      <c r="AV1248" s="97" t="str">
        <f>IFERROR(__xludf.DUMMYFUNCTION("""COMPUTED_VALUE"""),"MDD")</f>
        <v>MDD</v>
      </c>
      <c r="AW1248" s="97" t="str">
        <f>IFERROR(__xludf.DUMMYFUNCTION("""COMPUTED_VALUE"""),"MDD")</f>
        <v>MDD</v>
      </c>
      <c r="AX1248" s="97" t="str">
        <f>IFERROR(__xludf.DUMMYFUNCTION("""COMPUTED_VALUE"""),"MDD")</f>
        <v>MDD</v>
      </c>
      <c r="AY1248" s="97" t="str">
        <f>IFERROR(__xludf.DUMMYFUNCTION("""COMPUTED_VALUE"""),"-")</f>
        <v>-</v>
      </c>
      <c r="AZ1248" s="97" t="str">
        <f>IFERROR(__xludf.DUMMYFUNCTION("""COMPUTED_VALUE"""),"Movimiento ±30°. Rotación 355°.")</f>
        <v>Movimiento ±30°. Rotación 355°.</v>
      </c>
      <c r="BA1248" s="97"/>
      <c r="BB1248" s="97"/>
      <c r="BC1248" s="97"/>
      <c r="BD1248" s="97" t="str">
        <f>IFERROR(__xludf.DUMMYFUNCTION("""COMPUTED_VALUE"""),"-")</f>
        <v>-</v>
      </c>
      <c r="BE1248" s="97" t="str">
        <f>IFERROR(__xludf.DUMMYFUNCTION("""COMPUTED_VALUE"""),"Sin Ficha")</f>
        <v>Sin Ficha</v>
      </c>
      <c r="BF1248" s="97"/>
      <c r="BG1248" s="97" t="str">
        <f>IFERROR(__xludf.DUMMYFUNCTION("""COMPUTED_VALUE"""),"Discontinuo")</f>
        <v>Discontinuo</v>
      </c>
    </row>
    <row r="1249">
      <c r="A1249" s="97">
        <f>IFERROR(__xludf.DUMMYFUNCTION("""COMPUTED_VALUE"""),7209.0)</f>
        <v>7209</v>
      </c>
      <c r="B1249" s="97" t="str">
        <f>IFERROR(__xludf.DUMMYFUNCTION("""COMPUTED_VALUE"""),"LOOP BL 12W 3000K (NO)")</f>
        <v>LOOP BL 12W 3000K (NO)</v>
      </c>
      <c r="C1249" s="97" t="str">
        <f>IFERROR(__xludf.DUMMYFUNCTION("""COMPUTED_VALUE"""),"MDD LOOP BL 12W 3000K (NO) 12W 3000K 845LM CRI&gt;90 IP20 LEUK")</f>
        <v>MDD LOOP BL 12W 3000K (NO) 12W 3000K 845LM CRI&gt;90 IP20 LEUK</v>
      </c>
      <c r="D1249" s="97">
        <f>IFERROR(__xludf.DUMMYFUNCTION("""COMPUTED_VALUE"""),7.798413227093E12)</f>
        <v>7798413227093</v>
      </c>
      <c r="E1249" s="97" t="str">
        <f>IFERROR(__xludf.DUMMYFUNCTION("""COMPUTED_VALUE"""),"F61")</f>
        <v>F61</v>
      </c>
      <c r="F1249" s="97" t="str">
        <f>IFERROR(__xludf.DUMMYFUNCTION("""COMPUTED_VALUE"""),"LED COB")</f>
        <v>LED COB</v>
      </c>
      <c r="G1249" s="97" t="str">
        <f>IFERROR(__xludf.DUMMYFUNCTION("""COMPUTED_VALUE"""),"-")</f>
        <v>-</v>
      </c>
      <c r="H1249" s="97" t="str">
        <f>IFERROR(__xludf.DUMMYFUNCTION("""COMPUTED_VALUE"""),"-")</f>
        <v>-</v>
      </c>
      <c r="I1249" s="97" t="str">
        <f>IFERROR(__xludf.DUMMYFUNCTION("""COMPUTED_VALUE"""),"-")</f>
        <v>-</v>
      </c>
      <c r="J1249" s="97" t="str">
        <f>IFERROR(__xludf.DUMMYFUNCTION("""COMPUTED_VALUE"""),"-")</f>
        <v>-</v>
      </c>
      <c r="K1249" s="97" t="str">
        <f>IFERROR(__xludf.DUMMYFUNCTION("""COMPUTED_VALUE"""),"TRIAC")</f>
        <v>TRIAC</v>
      </c>
      <c r="L1249" s="97" t="str">
        <f>IFERROR(__xludf.DUMMYFUNCTION("""COMPUTED_VALUE"""),"200-240")</f>
        <v>200-240</v>
      </c>
      <c r="M1249" s="97" t="str">
        <f>IFERROR(__xludf.DUMMYFUNCTION("""COMPUTED_VALUE"""),"50/60")</f>
        <v>50/60</v>
      </c>
      <c r="N1249" s="97" t="str">
        <f>IFERROR(__xludf.DUMMYFUNCTION("""COMPUTED_VALUE"""),"Directa-Direccional")</f>
        <v>Directa-Direccional</v>
      </c>
      <c r="O1249" s="97">
        <f>IFERROR(__xludf.DUMMYFUNCTION("""COMPUTED_VALUE"""),12.0)</f>
        <v>12</v>
      </c>
      <c r="P1249" s="97"/>
      <c r="Q1249" s="97">
        <f>IFERROR(__xludf.DUMMYFUNCTION("""COMPUTED_VALUE"""),0.96)</f>
        <v>0.96</v>
      </c>
      <c r="R1249" s="97" t="str">
        <f>IFERROR(__xludf.DUMMYFUNCTION("""COMPUTED_VALUE"""),"-")</f>
        <v>-</v>
      </c>
      <c r="S1249" s="97" t="str">
        <f>IFERROR(__xludf.DUMMYFUNCTION("""COMPUTED_VALUE"""),"-")</f>
        <v>-</v>
      </c>
      <c r="T1249" s="97">
        <f>IFERROR(__xludf.DUMMYFUNCTION("""COMPUTED_VALUE"""),845.0)</f>
        <v>845</v>
      </c>
      <c r="U1249" s="99">
        <f>IFERROR(__xludf.DUMMYFUNCTION("""COMPUTED_VALUE"""),70.41666666666667)</f>
        <v>70.41666667</v>
      </c>
      <c r="V1249" s="97">
        <f>IFERROR(__xludf.DUMMYFUNCTION("""COMPUTED_VALUE"""),24.0)</f>
        <v>24</v>
      </c>
      <c r="W1249" s="97" t="str">
        <f>IFERROR(__xludf.DUMMYFUNCTION("""COMPUTED_VALUE"""),"&lt; 10")</f>
        <v>&lt; 10</v>
      </c>
      <c r="X1249" s="97">
        <f>IFERROR(__xludf.DUMMYFUNCTION("""COMPUTED_VALUE"""),3000.0)</f>
        <v>3000</v>
      </c>
      <c r="Y1249" s="97" t="str">
        <f>IFERROR(__xludf.DUMMYFUNCTION("""COMPUTED_VALUE"""),"&gt;90")</f>
        <v>&gt;90</v>
      </c>
      <c r="Z1249" s="97" t="str">
        <f>IFERROR(__xludf.DUMMYFUNCTION("""COMPUTED_VALUE"""),"-")</f>
        <v>-</v>
      </c>
      <c r="AA1249" s="97" t="str">
        <f>IFERROR(__xludf.DUMMYFUNCTION("""COMPUTED_VALUE"""),"-")</f>
        <v>-</v>
      </c>
      <c r="AB1249" s="97" t="str">
        <f>IFERROR(__xludf.DUMMYFUNCTION("""COMPUTED_VALUE"""),"&lt; 4")</f>
        <v>&lt; 4</v>
      </c>
      <c r="AC1249" s="97"/>
      <c r="AD1249" s="97" t="str">
        <f>IFERROR(__xludf.DUMMYFUNCTION("""COMPUTED_VALUE"""),"IP20")</f>
        <v>IP20</v>
      </c>
      <c r="AE1249" s="97" t="str">
        <f>IFERROR(__xludf.DUMMYFUNCTION("""COMPUTED_VALUE"""),"Clase l")</f>
        <v>Clase l</v>
      </c>
      <c r="AF1249" s="97" t="str">
        <f>IFERROR(__xludf.DUMMYFUNCTION("""COMPUTED_VALUE"""),"Aplicar")</f>
        <v>Aplicar</v>
      </c>
      <c r="AG1249" s="97" t="str">
        <f>IFERROR(__xludf.DUMMYFUNCTION("""COMPUTED_VALUE"""),"Ø100 x 90")</f>
        <v>Ø100 x 90</v>
      </c>
      <c r="AH1249" s="97" t="str">
        <f>IFERROR(__xludf.DUMMYFUNCTION("""COMPUTED_VALUE"""),"N/A")</f>
        <v>N/A</v>
      </c>
      <c r="AI1249" s="97" t="str">
        <f>IFERROR(__xludf.DUMMYFUNCTION("""COMPUTED_VALUE"""),"N/A")</f>
        <v>N/A</v>
      </c>
      <c r="AJ1249" s="97" t="str">
        <f>IFERROR(__xludf.DUMMYFUNCTION("""COMPUTED_VALUE"""),"Policarbonato (PC)")</f>
        <v>Policarbonato (PC)</v>
      </c>
      <c r="AK1249" s="97" t="str">
        <f>IFERROR(__xludf.DUMMYFUNCTION("""COMPUTED_VALUE"""),"Aluminio")</f>
        <v>Aluminio</v>
      </c>
      <c r="AL1249" s="97" t="str">
        <f>IFERROR(__xludf.DUMMYFUNCTION("""COMPUTED_VALUE"""),"Blanco Satinado")</f>
        <v>Blanco Satinado</v>
      </c>
      <c r="AM1249" s="97" t="str">
        <f>IFERROR(__xludf.DUMMYFUNCTION("""COMPUTED_VALUE"""),"-")</f>
        <v>-</v>
      </c>
      <c r="AN1249" s="97" t="str">
        <f>IFERROR(__xludf.DUMMYFUNCTION("""COMPUTED_VALUE"""),"30.000hs (L70)")</f>
        <v>30.000hs (L70)</v>
      </c>
      <c r="AO1249" s="97" t="str">
        <f>IFERROR(__xludf.DUMMYFUNCTION("""COMPUTED_VALUE"""),"3 Años")</f>
        <v>3 Años</v>
      </c>
      <c r="AP1249" s="97" t="str">
        <f>IFERROR(__xludf.DUMMYFUNCTION("""COMPUTED_VALUE"""),"Disponible")</f>
        <v>Disponible</v>
      </c>
      <c r="AQ1249" s="97" t="str">
        <f>IFERROR(__xludf.DUMMYFUNCTION("""COMPUTED_VALUE"""),"Disponible")</f>
        <v>Disponible</v>
      </c>
      <c r="AR1249" s="97" t="str">
        <f>IFERROR(__xludf.DUMMYFUNCTION("""COMPUTED_VALUE"""),"Disponible")</f>
        <v>Disponible</v>
      </c>
      <c r="AS1249" s="97" t="str">
        <f>IFERROR(__xludf.DUMMYFUNCTION("""COMPUTED_VALUE"""),"Falta")</f>
        <v>Falta</v>
      </c>
      <c r="AT1249" s="97" t="str">
        <f>IFERROR(__xludf.DUMMYFUNCTION("""COMPUTED_VALUE"""),"Falta")</f>
        <v>Falta</v>
      </c>
      <c r="AU1249" s="97" t="str">
        <f>IFERROR(__xludf.DUMMYFUNCTION("""COMPUTED_VALUE"""),"En revisión")</f>
        <v>En revisión</v>
      </c>
      <c r="AV1249" s="97" t="str">
        <f>IFERROR(__xludf.DUMMYFUNCTION("""COMPUTED_VALUE"""),"MDD")</f>
        <v>MDD</v>
      </c>
      <c r="AW1249" s="97" t="str">
        <f>IFERROR(__xludf.DUMMYFUNCTION("""COMPUTED_VALUE"""),"MDD")</f>
        <v>MDD</v>
      </c>
      <c r="AX1249" s="97" t="str">
        <f>IFERROR(__xludf.DUMMYFUNCTION("""COMPUTED_VALUE"""),"MDD")</f>
        <v>MDD</v>
      </c>
      <c r="AY1249" s="97" t="str">
        <f>IFERROR(__xludf.DUMMYFUNCTION("""COMPUTED_VALUE"""),"-")</f>
        <v>-</v>
      </c>
      <c r="AZ1249" s="97" t="str">
        <f>IFERROR(__xludf.DUMMYFUNCTION("""COMPUTED_VALUE"""),"Movimiento ±30°. Rotación 355°.")</f>
        <v>Movimiento ±30°. Rotación 355°.</v>
      </c>
      <c r="BA1249" s="97"/>
      <c r="BB1249" s="97"/>
      <c r="BC1249" s="97"/>
      <c r="BD1249" s="97" t="str">
        <f>IFERROR(__xludf.DUMMYFUNCTION("""COMPUTED_VALUE"""),"-")</f>
        <v>-</v>
      </c>
      <c r="BE1249" s="97" t="str">
        <f>IFERROR(__xludf.DUMMYFUNCTION("""COMPUTED_VALUE"""),"Sin Ficha")</f>
        <v>Sin Ficha</v>
      </c>
      <c r="BF1249" s="97"/>
      <c r="BG1249" s="97" t="str">
        <f>IFERROR(__xludf.DUMMYFUNCTION("""COMPUTED_VALUE"""),"Discontinuo")</f>
        <v>Discontinuo</v>
      </c>
    </row>
    <row r="1250">
      <c r="A1250" s="97">
        <f>IFERROR(__xludf.DUMMYFUNCTION("""COMPUTED_VALUE"""),7210.0)</f>
        <v>7210</v>
      </c>
      <c r="B1250" s="97" t="str">
        <f>IFERROR(__xludf.DUMMYFUNCTION("""COMPUTED_VALUE"""),"LOOP NG 12W 3000K (NO)")</f>
        <v>LOOP NG 12W 3000K (NO)</v>
      </c>
      <c r="C1250" s="97" t="str">
        <f>IFERROR(__xludf.DUMMYFUNCTION("""COMPUTED_VALUE"""),"MDD LOOP NG 12W 3000K (NO) 12W 3000K 845LM CRI&gt;90 IP20 LEUK")</f>
        <v>MDD LOOP NG 12W 3000K (NO) 12W 3000K 845LM CRI&gt;90 IP20 LEUK</v>
      </c>
      <c r="D1250" s="97">
        <f>IFERROR(__xludf.DUMMYFUNCTION("""COMPUTED_VALUE"""),7.798413227109E12)</f>
        <v>7798413227109</v>
      </c>
      <c r="E1250" s="97" t="str">
        <f>IFERROR(__xludf.DUMMYFUNCTION("""COMPUTED_VALUE"""),"F61")</f>
        <v>F61</v>
      </c>
      <c r="F1250" s="97" t="str">
        <f>IFERROR(__xludf.DUMMYFUNCTION("""COMPUTED_VALUE"""),"LED COB")</f>
        <v>LED COB</v>
      </c>
      <c r="G1250" s="97" t="str">
        <f>IFERROR(__xludf.DUMMYFUNCTION("""COMPUTED_VALUE"""),"-")</f>
        <v>-</v>
      </c>
      <c r="H1250" s="97" t="str">
        <f>IFERROR(__xludf.DUMMYFUNCTION("""COMPUTED_VALUE"""),"-")</f>
        <v>-</v>
      </c>
      <c r="I1250" s="97" t="str">
        <f>IFERROR(__xludf.DUMMYFUNCTION("""COMPUTED_VALUE"""),"-")</f>
        <v>-</v>
      </c>
      <c r="J1250" s="97" t="str">
        <f>IFERROR(__xludf.DUMMYFUNCTION("""COMPUTED_VALUE"""),"-")</f>
        <v>-</v>
      </c>
      <c r="K1250" s="97" t="str">
        <f>IFERROR(__xludf.DUMMYFUNCTION("""COMPUTED_VALUE"""),"TRIAC")</f>
        <v>TRIAC</v>
      </c>
      <c r="L1250" s="97" t="str">
        <f>IFERROR(__xludf.DUMMYFUNCTION("""COMPUTED_VALUE"""),"200-240")</f>
        <v>200-240</v>
      </c>
      <c r="M1250" s="97" t="str">
        <f>IFERROR(__xludf.DUMMYFUNCTION("""COMPUTED_VALUE"""),"50/60")</f>
        <v>50/60</v>
      </c>
      <c r="N1250" s="97" t="str">
        <f>IFERROR(__xludf.DUMMYFUNCTION("""COMPUTED_VALUE"""),"Directa-Direccional")</f>
        <v>Directa-Direccional</v>
      </c>
      <c r="O1250" s="97">
        <f>IFERROR(__xludf.DUMMYFUNCTION("""COMPUTED_VALUE"""),12.0)</f>
        <v>12</v>
      </c>
      <c r="P1250" s="97"/>
      <c r="Q1250" s="97">
        <f>IFERROR(__xludf.DUMMYFUNCTION("""COMPUTED_VALUE"""),0.96)</f>
        <v>0.96</v>
      </c>
      <c r="R1250" s="97" t="str">
        <f>IFERROR(__xludf.DUMMYFUNCTION("""COMPUTED_VALUE"""),"-")</f>
        <v>-</v>
      </c>
      <c r="S1250" s="97" t="str">
        <f>IFERROR(__xludf.DUMMYFUNCTION("""COMPUTED_VALUE"""),"-")</f>
        <v>-</v>
      </c>
      <c r="T1250" s="97">
        <f>IFERROR(__xludf.DUMMYFUNCTION("""COMPUTED_VALUE"""),845.0)</f>
        <v>845</v>
      </c>
      <c r="U1250" s="99">
        <f>IFERROR(__xludf.DUMMYFUNCTION("""COMPUTED_VALUE"""),70.41666666666667)</f>
        <v>70.41666667</v>
      </c>
      <c r="V1250" s="97">
        <f>IFERROR(__xludf.DUMMYFUNCTION("""COMPUTED_VALUE"""),24.0)</f>
        <v>24</v>
      </c>
      <c r="W1250" s="97" t="str">
        <f>IFERROR(__xludf.DUMMYFUNCTION("""COMPUTED_VALUE"""),"&lt; 10")</f>
        <v>&lt; 10</v>
      </c>
      <c r="X1250" s="97">
        <f>IFERROR(__xludf.DUMMYFUNCTION("""COMPUTED_VALUE"""),3000.0)</f>
        <v>3000</v>
      </c>
      <c r="Y1250" s="97" t="str">
        <f>IFERROR(__xludf.DUMMYFUNCTION("""COMPUTED_VALUE"""),"&gt;90")</f>
        <v>&gt;90</v>
      </c>
      <c r="Z1250" s="97" t="str">
        <f>IFERROR(__xludf.DUMMYFUNCTION("""COMPUTED_VALUE"""),"-")</f>
        <v>-</v>
      </c>
      <c r="AA1250" s="97" t="str">
        <f>IFERROR(__xludf.DUMMYFUNCTION("""COMPUTED_VALUE"""),"-")</f>
        <v>-</v>
      </c>
      <c r="AB1250" s="97" t="str">
        <f>IFERROR(__xludf.DUMMYFUNCTION("""COMPUTED_VALUE"""),"&lt; 4")</f>
        <v>&lt; 4</v>
      </c>
      <c r="AC1250" s="97"/>
      <c r="AD1250" s="97" t="str">
        <f>IFERROR(__xludf.DUMMYFUNCTION("""COMPUTED_VALUE"""),"IP20")</f>
        <v>IP20</v>
      </c>
      <c r="AE1250" s="97" t="str">
        <f>IFERROR(__xludf.DUMMYFUNCTION("""COMPUTED_VALUE"""),"Clase l")</f>
        <v>Clase l</v>
      </c>
      <c r="AF1250" s="97" t="str">
        <f>IFERROR(__xludf.DUMMYFUNCTION("""COMPUTED_VALUE"""),"Aplicar")</f>
        <v>Aplicar</v>
      </c>
      <c r="AG1250" s="97" t="str">
        <f>IFERROR(__xludf.DUMMYFUNCTION("""COMPUTED_VALUE"""),"Ø100 x 90")</f>
        <v>Ø100 x 90</v>
      </c>
      <c r="AH1250" s="97" t="str">
        <f>IFERROR(__xludf.DUMMYFUNCTION("""COMPUTED_VALUE"""),"N/A")</f>
        <v>N/A</v>
      </c>
      <c r="AI1250" s="97" t="str">
        <f>IFERROR(__xludf.DUMMYFUNCTION("""COMPUTED_VALUE"""),"N/A")</f>
        <v>N/A</v>
      </c>
      <c r="AJ1250" s="97" t="str">
        <f>IFERROR(__xludf.DUMMYFUNCTION("""COMPUTED_VALUE"""),"Policarbonato (PC)")</f>
        <v>Policarbonato (PC)</v>
      </c>
      <c r="AK1250" s="97" t="str">
        <f>IFERROR(__xludf.DUMMYFUNCTION("""COMPUTED_VALUE"""),"Aluminio")</f>
        <v>Aluminio</v>
      </c>
      <c r="AL1250" s="97" t="str">
        <f>IFERROR(__xludf.DUMMYFUNCTION("""COMPUTED_VALUE"""),"Negro Satinado")</f>
        <v>Negro Satinado</v>
      </c>
      <c r="AM1250" s="97" t="str">
        <f>IFERROR(__xludf.DUMMYFUNCTION("""COMPUTED_VALUE"""),"-")</f>
        <v>-</v>
      </c>
      <c r="AN1250" s="97" t="str">
        <f>IFERROR(__xludf.DUMMYFUNCTION("""COMPUTED_VALUE"""),"30.000hs (L70)")</f>
        <v>30.000hs (L70)</v>
      </c>
      <c r="AO1250" s="97" t="str">
        <f>IFERROR(__xludf.DUMMYFUNCTION("""COMPUTED_VALUE"""),"3 Años")</f>
        <v>3 Años</v>
      </c>
      <c r="AP1250" s="97" t="str">
        <f>IFERROR(__xludf.DUMMYFUNCTION("""COMPUTED_VALUE"""),"Disponible")</f>
        <v>Disponible</v>
      </c>
      <c r="AQ1250" s="97" t="str">
        <f>IFERROR(__xludf.DUMMYFUNCTION("""COMPUTED_VALUE"""),"Disponible")</f>
        <v>Disponible</v>
      </c>
      <c r="AR1250" s="97" t="str">
        <f>IFERROR(__xludf.DUMMYFUNCTION("""COMPUTED_VALUE"""),"Disponible")</f>
        <v>Disponible</v>
      </c>
      <c r="AS1250" s="97" t="str">
        <f>IFERROR(__xludf.DUMMYFUNCTION("""COMPUTED_VALUE"""),"Falta")</f>
        <v>Falta</v>
      </c>
      <c r="AT1250" s="97" t="str">
        <f>IFERROR(__xludf.DUMMYFUNCTION("""COMPUTED_VALUE"""),"Falta")</f>
        <v>Falta</v>
      </c>
      <c r="AU1250" s="97" t="str">
        <f>IFERROR(__xludf.DUMMYFUNCTION("""COMPUTED_VALUE"""),"En revisión")</f>
        <v>En revisión</v>
      </c>
      <c r="AV1250" s="97" t="str">
        <f>IFERROR(__xludf.DUMMYFUNCTION("""COMPUTED_VALUE"""),"MDD")</f>
        <v>MDD</v>
      </c>
      <c r="AW1250" s="97" t="str">
        <f>IFERROR(__xludf.DUMMYFUNCTION("""COMPUTED_VALUE"""),"MDD")</f>
        <v>MDD</v>
      </c>
      <c r="AX1250" s="97" t="str">
        <f>IFERROR(__xludf.DUMMYFUNCTION("""COMPUTED_VALUE"""),"MDD")</f>
        <v>MDD</v>
      </c>
      <c r="AY1250" s="97" t="str">
        <f>IFERROR(__xludf.DUMMYFUNCTION("""COMPUTED_VALUE"""),"-")</f>
        <v>-</v>
      </c>
      <c r="AZ1250" s="97" t="str">
        <f>IFERROR(__xludf.DUMMYFUNCTION("""COMPUTED_VALUE"""),"Movimiento ±30°. Rotación 355°.")</f>
        <v>Movimiento ±30°. Rotación 355°.</v>
      </c>
      <c r="BA1250" s="97"/>
      <c r="BB1250" s="97"/>
      <c r="BC1250" s="97"/>
      <c r="BD1250" s="97" t="str">
        <f>IFERROR(__xludf.DUMMYFUNCTION("""COMPUTED_VALUE"""),"-")</f>
        <v>-</v>
      </c>
      <c r="BE1250" s="97" t="str">
        <f>IFERROR(__xludf.DUMMYFUNCTION("""COMPUTED_VALUE"""),"Sin Ficha")</f>
        <v>Sin Ficha</v>
      </c>
      <c r="BF1250" s="97"/>
      <c r="BG1250" s="97" t="str">
        <f>IFERROR(__xludf.DUMMYFUNCTION("""COMPUTED_VALUE"""),"Discontinuo")</f>
        <v>Discontinuo</v>
      </c>
    </row>
    <row r="1251">
      <c r="A1251" s="97">
        <f>IFERROR(__xludf.DUMMYFUNCTION("""COMPUTED_VALUE"""),7211.0)</f>
        <v>7211</v>
      </c>
      <c r="B1251" s="97" t="str">
        <f>IFERROR(__xludf.DUMMYFUNCTION("""COMPUTED_VALUE"""),"KRONE BL 70W 3CCT")</f>
        <v>KRONE BL 70W 3CCT</v>
      </c>
      <c r="C1251" s="97" t="str">
        <f>IFERROR(__xludf.DUMMYFUNCTION("""COMPUTED_VALUE"""),"COLGANTE KRONE BL 70W 3CCT 70W 3000/4000/5000K 3900LM CRI&gt;90 IP20 LEUK")</f>
        <v>COLGANTE KRONE BL 70W 3CCT 70W 3000/4000/5000K 3900LM CRI&gt;90 IP20 LEUK</v>
      </c>
      <c r="D1251" s="97">
        <f>IFERROR(__xludf.DUMMYFUNCTION("""COMPUTED_VALUE"""),7.798413227116E12)</f>
        <v>7798413227116</v>
      </c>
      <c r="E1251" s="97" t="str">
        <f>IFERROR(__xludf.DUMMYFUNCTION("""COMPUTED_VALUE"""),"A81")</f>
        <v>A81</v>
      </c>
      <c r="F1251" s="97" t="str">
        <f>IFERROR(__xludf.DUMMYFUNCTION("""COMPUTED_VALUE"""),"LED SMD3030")</f>
        <v>LED SMD3030</v>
      </c>
      <c r="G1251" s="97" t="str">
        <f>IFERROR(__xludf.DUMMYFUNCTION("""COMPUTED_VALUE"""),"OSRAM")</f>
        <v>OSRAM</v>
      </c>
      <c r="H1251" s="97" t="str">
        <f>IFERROR(__xludf.DUMMYFUNCTION("""COMPUTED_VALUE"""),"Eaglerise")</f>
        <v>Eaglerise</v>
      </c>
      <c r="I1251" s="97"/>
      <c r="J1251" s="97" t="str">
        <f>IFERROR(__xludf.DUMMYFUNCTION("""COMPUTED_VALUE"""),"Modelo:FLS-60-1700-LA-EXC
In:220-240Vac 0,4A max 50/60Hz
Out: 24-42 Vdc 1700mA - Ta45°C tc 80°C
150x45x30mm")</f>
        <v>Modelo:FLS-60-1700-LA-EXC
In:220-240Vac 0,4A max 50/60Hz
Out: 24-42 Vdc 1700mA - Ta45°C tc 80°C
150x45x30mm</v>
      </c>
      <c r="K1251" s="97" t="str">
        <f>IFERROR(__xludf.DUMMYFUNCTION("""COMPUTED_VALUE"""),"ON/OFF")</f>
        <v>ON/OFF</v>
      </c>
      <c r="L1251" s="97" t="str">
        <f>IFERROR(__xludf.DUMMYFUNCTION("""COMPUTED_VALUE"""),"220-240")</f>
        <v>220-240</v>
      </c>
      <c r="M1251" s="97" t="str">
        <f>IFERROR(__xludf.DUMMYFUNCTION("""COMPUTED_VALUE"""),"50/60")</f>
        <v>50/60</v>
      </c>
      <c r="N1251" s="97" t="str">
        <f>IFERROR(__xludf.DUMMYFUNCTION("""COMPUTED_VALUE"""),"Directa-Simétrica")</f>
        <v>Directa-Simétrica</v>
      </c>
      <c r="O1251" s="97">
        <f>IFERROR(__xludf.DUMMYFUNCTION("""COMPUTED_VALUE"""),70.0)</f>
        <v>70</v>
      </c>
      <c r="P1251" s="97"/>
      <c r="Q1251" s="97">
        <f>IFERROR(__xludf.DUMMYFUNCTION("""COMPUTED_VALUE"""),0.95)</f>
        <v>0.95</v>
      </c>
      <c r="R1251" s="97" t="str">
        <f>IFERROR(__xludf.DUMMYFUNCTION("""COMPUTED_VALUE"""),"-")</f>
        <v>-</v>
      </c>
      <c r="S1251" s="97" t="str">
        <f>IFERROR(__xludf.DUMMYFUNCTION("""COMPUTED_VALUE"""),"-")</f>
        <v>-</v>
      </c>
      <c r="T1251" s="97">
        <f>IFERROR(__xludf.DUMMYFUNCTION("""COMPUTED_VALUE"""),3900.0)</f>
        <v>3900</v>
      </c>
      <c r="U1251" s="99">
        <f>IFERROR(__xludf.DUMMYFUNCTION("""COMPUTED_VALUE"""),55.714285714285715)</f>
        <v>55.71428571</v>
      </c>
      <c r="V1251" s="97">
        <f>IFERROR(__xludf.DUMMYFUNCTION("""COMPUTED_VALUE"""),46.0)</f>
        <v>46</v>
      </c>
      <c r="W1251" s="97" t="str">
        <f>IFERROR(__xludf.DUMMYFUNCTION("""COMPUTED_VALUE"""),"&lt; 14")</f>
        <v>&lt; 14</v>
      </c>
      <c r="X1251" s="97" t="str">
        <f>IFERROR(__xludf.DUMMYFUNCTION("""COMPUTED_VALUE"""),"3000/4000/5000")</f>
        <v>3000/4000/5000</v>
      </c>
      <c r="Y1251" s="97" t="str">
        <f>IFERROR(__xludf.DUMMYFUNCTION("""COMPUTED_VALUE"""),"&gt;90")</f>
        <v>&gt;90</v>
      </c>
      <c r="Z1251" s="97"/>
      <c r="AA1251" s="97"/>
      <c r="AB1251" s="97" t="str">
        <f>IFERROR(__xludf.DUMMYFUNCTION("""COMPUTED_VALUE"""),"&lt; 4")</f>
        <v>&lt; 4</v>
      </c>
      <c r="AC1251" s="97"/>
      <c r="AD1251" s="97" t="str">
        <f>IFERROR(__xludf.DUMMYFUNCTION("""COMPUTED_VALUE"""),"IP20")</f>
        <v>IP20</v>
      </c>
      <c r="AE1251" s="97" t="str">
        <f>IFERROR(__xludf.DUMMYFUNCTION("""COMPUTED_VALUE"""),"Clase l")</f>
        <v>Clase l</v>
      </c>
      <c r="AF1251" s="97" t="str">
        <f>IFERROR(__xludf.DUMMYFUNCTION("""COMPUTED_VALUE"""),"Suspender")</f>
        <v>Suspender</v>
      </c>
      <c r="AG1251" s="97" t="str">
        <f>IFERROR(__xludf.DUMMYFUNCTION("""COMPUTED_VALUE"""),"Ø890 x 44")</f>
        <v>Ø890 x 44</v>
      </c>
      <c r="AH1251" s="97" t="str">
        <f>IFERROR(__xludf.DUMMYFUNCTION("""COMPUTED_VALUE"""),"N/A")</f>
        <v>N/A</v>
      </c>
      <c r="AI1251" s="97" t="str">
        <f>IFERROR(__xludf.DUMMYFUNCTION("""COMPUTED_VALUE"""),"N/A")</f>
        <v>N/A</v>
      </c>
      <c r="AJ1251" s="97" t="str">
        <f>IFERROR(__xludf.DUMMYFUNCTION("""COMPUTED_VALUE"""),"Policarbonato (PC)")</f>
        <v>Policarbonato (PC)</v>
      </c>
      <c r="AK1251" s="97" t="str">
        <f>IFERROR(__xludf.DUMMYFUNCTION("""COMPUTED_VALUE"""),"Aluminio")</f>
        <v>Aluminio</v>
      </c>
      <c r="AL1251" s="97" t="str">
        <f>IFERROR(__xludf.DUMMYFUNCTION("""COMPUTED_VALUE"""),"Blanco Satinado")</f>
        <v>Blanco Satinado</v>
      </c>
      <c r="AM1251" s="97" t="str">
        <f>IFERROR(__xludf.DUMMYFUNCTION("""COMPUTED_VALUE"""),"-")</f>
        <v>-</v>
      </c>
      <c r="AN1251" s="97" t="str">
        <f>IFERROR(__xludf.DUMMYFUNCTION("""COMPUTED_VALUE"""),"30.000hs (L70)")</f>
        <v>30.000hs (L70)</v>
      </c>
      <c r="AO1251" s="97" t="str">
        <f>IFERROR(__xludf.DUMMYFUNCTION("""COMPUTED_VALUE"""),"3 Años")</f>
        <v>3 Años</v>
      </c>
      <c r="AP1251" s="97" t="str">
        <f>IFERROR(__xludf.DUMMYFUNCTION("""COMPUTED_VALUE"""),"Disponible")</f>
        <v>Disponible</v>
      </c>
      <c r="AQ1251" s="97" t="str">
        <f>IFERROR(__xludf.DUMMYFUNCTION("""COMPUTED_VALUE"""),"Disponible")</f>
        <v>Disponible</v>
      </c>
      <c r="AR1251" s="97" t="str">
        <f>IFERROR(__xludf.DUMMYFUNCTION("""COMPUTED_VALUE"""),"Disponible")</f>
        <v>Disponible</v>
      </c>
      <c r="AS1251" s="97" t="str">
        <f>IFERROR(__xludf.DUMMYFUNCTION("""COMPUTED_VALUE"""),"Falta")</f>
        <v>Falta</v>
      </c>
      <c r="AT1251" s="97" t="str">
        <f>IFERROR(__xludf.DUMMYFUNCTION("""COMPUTED_VALUE"""),"Falta")</f>
        <v>Falta</v>
      </c>
      <c r="AU1251" s="97" t="str">
        <f>IFERROR(__xludf.DUMMYFUNCTION("""COMPUTED_VALUE"""),"Falta")</f>
        <v>Falta</v>
      </c>
      <c r="AV1251" s="97" t="str">
        <f>IFERROR(__xludf.DUMMYFUNCTION("""COMPUTED_VALUE"""),"Colgante")</f>
        <v>Colgante</v>
      </c>
      <c r="AW1251" s="97" t="str">
        <f>IFERROR(__xludf.DUMMYFUNCTION("""COMPUTED_VALUE"""),"De Techo")</f>
        <v>De Techo</v>
      </c>
      <c r="AX1251" s="97" t="str">
        <f>IFERROR(__xludf.DUMMYFUNCTION("""COMPUTED_VALUE"""),"Interior")</f>
        <v>Interior</v>
      </c>
      <c r="AY1251" s="97" t="str">
        <f>IFERROR(__xludf.DUMMYFUNCTION("""COMPUTED_VALUE"""),"Confort Visual")</f>
        <v>Confort Visual</v>
      </c>
      <c r="AZ1251" s="97" t="str">
        <f>IFERROR(__xludf.DUMMYFUNCTION("""COMPUTED_VALUE"""),"Colgante de 3000mm. Florón: Ø65x200. Lentes ovalados")</f>
        <v>Colgante de 3000mm. Florón: Ø65x200. Lentes ovalados</v>
      </c>
      <c r="BA1251" s="97">
        <f>IFERROR(__xludf.DUMMYFUNCTION("""COMPUTED_VALUE"""),1.0)</f>
        <v>1</v>
      </c>
      <c r="BB1251" s="97" t="str">
        <f>IFERROR(__xludf.DUMMYFUNCTION("""COMPUTED_VALUE"""),"-")</f>
        <v>-</v>
      </c>
      <c r="BC1251" s="97" t="str">
        <f>IFERROR(__xludf.DUMMYFUNCTION("""COMPUTED_VALUE"""),"-")</f>
        <v>-</v>
      </c>
      <c r="BD1251" s="97" t="str">
        <f>IFERROR(__xludf.DUMMYFUNCTION("""COMPUTED_VALUE"""),"KRONE")</f>
        <v>KRONE</v>
      </c>
      <c r="BE1251" s="97" t="str">
        <f>IFERROR(__xludf.DUMMYFUNCTION("""COMPUTED_VALUE"""),"Finalizada")</f>
        <v>Finalizada</v>
      </c>
      <c r="BF1251" s="97"/>
      <c r="BG1251" s="97" t="str">
        <f>IFERROR(__xludf.DUMMYFUNCTION("""COMPUTED_VALUE"""),"Activo")</f>
        <v>Activo</v>
      </c>
    </row>
    <row r="1252">
      <c r="A1252" s="97">
        <f>IFERROR(__xludf.DUMMYFUNCTION("""COMPUTED_VALUE"""),7212.0)</f>
        <v>7212</v>
      </c>
      <c r="B1252" s="97" t="str">
        <f>IFERROR(__xludf.DUMMYFUNCTION("""COMPUTED_VALUE"""),"KRONE NG 70W 3CCT")</f>
        <v>KRONE NG 70W 3CCT</v>
      </c>
      <c r="C1252" s="97" t="str">
        <f>IFERROR(__xludf.DUMMYFUNCTION("""COMPUTED_VALUE"""),"COLGANTE KRONE NG 70W 3CCT 70W 3000/4000/5000K 3900LM CRI&gt;90 IP20 LEUK")</f>
        <v>COLGANTE KRONE NG 70W 3CCT 70W 3000/4000/5000K 3900LM CRI&gt;90 IP20 LEUK</v>
      </c>
      <c r="D1252" s="97">
        <f>IFERROR(__xludf.DUMMYFUNCTION("""COMPUTED_VALUE"""),7.798413227123E12)</f>
        <v>7798413227123</v>
      </c>
      <c r="E1252" s="97" t="str">
        <f>IFERROR(__xludf.DUMMYFUNCTION("""COMPUTED_VALUE"""),"A81")</f>
        <v>A81</v>
      </c>
      <c r="F1252" s="97" t="str">
        <f>IFERROR(__xludf.DUMMYFUNCTION("""COMPUTED_VALUE"""),"LED SMD3030")</f>
        <v>LED SMD3030</v>
      </c>
      <c r="G1252" s="97" t="str">
        <f>IFERROR(__xludf.DUMMYFUNCTION("""COMPUTED_VALUE"""),"OSRAM")</f>
        <v>OSRAM</v>
      </c>
      <c r="H1252" s="97" t="str">
        <f>IFERROR(__xludf.DUMMYFUNCTION("""COMPUTED_VALUE"""),"Eaglerise")</f>
        <v>Eaglerise</v>
      </c>
      <c r="I1252" s="97"/>
      <c r="J1252" s="97" t="str">
        <f>IFERROR(__xludf.DUMMYFUNCTION("""COMPUTED_VALUE"""),"Modelo:FLS-60-1700-LA-EXC
In:220-240Vac 0,4A max 50/60Hz
Out: 24-42 Vdc 1700mA - Ta45°C tc 80°C
150x45x30mm")</f>
        <v>Modelo:FLS-60-1700-LA-EXC
In:220-240Vac 0,4A max 50/60Hz
Out: 24-42 Vdc 1700mA - Ta45°C tc 80°C
150x45x30mm</v>
      </c>
      <c r="K1252" s="97" t="str">
        <f>IFERROR(__xludf.DUMMYFUNCTION("""COMPUTED_VALUE"""),"ON/OFF")</f>
        <v>ON/OFF</v>
      </c>
      <c r="L1252" s="97" t="str">
        <f>IFERROR(__xludf.DUMMYFUNCTION("""COMPUTED_VALUE"""),"220-240")</f>
        <v>220-240</v>
      </c>
      <c r="M1252" s="97" t="str">
        <f>IFERROR(__xludf.DUMMYFUNCTION("""COMPUTED_VALUE"""),"50/60")</f>
        <v>50/60</v>
      </c>
      <c r="N1252" s="97" t="str">
        <f>IFERROR(__xludf.DUMMYFUNCTION("""COMPUTED_VALUE"""),"Directa-Simétrica")</f>
        <v>Directa-Simétrica</v>
      </c>
      <c r="O1252" s="97">
        <f>IFERROR(__xludf.DUMMYFUNCTION("""COMPUTED_VALUE"""),70.0)</f>
        <v>70</v>
      </c>
      <c r="P1252" s="97"/>
      <c r="Q1252" s="97">
        <f>IFERROR(__xludf.DUMMYFUNCTION("""COMPUTED_VALUE"""),0.95)</f>
        <v>0.95</v>
      </c>
      <c r="R1252" s="97" t="str">
        <f>IFERROR(__xludf.DUMMYFUNCTION("""COMPUTED_VALUE"""),"-")</f>
        <v>-</v>
      </c>
      <c r="S1252" s="97" t="str">
        <f>IFERROR(__xludf.DUMMYFUNCTION("""COMPUTED_VALUE"""),"-")</f>
        <v>-</v>
      </c>
      <c r="T1252" s="97">
        <f>IFERROR(__xludf.DUMMYFUNCTION("""COMPUTED_VALUE"""),3900.0)</f>
        <v>3900</v>
      </c>
      <c r="U1252" s="99">
        <f>IFERROR(__xludf.DUMMYFUNCTION("""COMPUTED_VALUE"""),55.714285714285715)</f>
        <v>55.71428571</v>
      </c>
      <c r="V1252" s="97">
        <f>IFERROR(__xludf.DUMMYFUNCTION("""COMPUTED_VALUE"""),46.0)</f>
        <v>46</v>
      </c>
      <c r="W1252" s="97" t="str">
        <f>IFERROR(__xludf.DUMMYFUNCTION("""COMPUTED_VALUE"""),"&lt; 14")</f>
        <v>&lt; 14</v>
      </c>
      <c r="X1252" s="97" t="str">
        <f>IFERROR(__xludf.DUMMYFUNCTION("""COMPUTED_VALUE"""),"3000/4000/5000")</f>
        <v>3000/4000/5000</v>
      </c>
      <c r="Y1252" s="97" t="str">
        <f>IFERROR(__xludf.DUMMYFUNCTION("""COMPUTED_VALUE"""),"&gt;90")</f>
        <v>&gt;90</v>
      </c>
      <c r="Z1252" s="97"/>
      <c r="AA1252" s="97"/>
      <c r="AB1252" s="97" t="str">
        <f>IFERROR(__xludf.DUMMYFUNCTION("""COMPUTED_VALUE"""),"&lt; 4")</f>
        <v>&lt; 4</v>
      </c>
      <c r="AC1252" s="97"/>
      <c r="AD1252" s="97" t="str">
        <f>IFERROR(__xludf.DUMMYFUNCTION("""COMPUTED_VALUE"""),"IP20")</f>
        <v>IP20</v>
      </c>
      <c r="AE1252" s="97" t="str">
        <f>IFERROR(__xludf.DUMMYFUNCTION("""COMPUTED_VALUE"""),"Clase l")</f>
        <v>Clase l</v>
      </c>
      <c r="AF1252" s="97" t="str">
        <f>IFERROR(__xludf.DUMMYFUNCTION("""COMPUTED_VALUE"""),"Suspender")</f>
        <v>Suspender</v>
      </c>
      <c r="AG1252" s="97" t="str">
        <f>IFERROR(__xludf.DUMMYFUNCTION("""COMPUTED_VALUE"""),"Ø890 x 44")</f>
        <v>Ø890 x 44</v>
      </c>
      <c r="AH1252" s="97" t="str">
        <f>IFERROR(__xludf.DUMMYFUNCTION("""COMPUTED_VALUE"""),"N/A")</f>
        <v>N/A</v>
      </c>
      <c r="AI1252" s="97" t="str">
        <f>IFERROR(__xludf.DUMMYFUNCTION("""COMPUTED_VALUE"""),"N/A")</f>
        <v>N/A</v>
      </c>
      <c r="AJ1252" s="97" t="str">
        <f>IFERROR(__xludf.DUMMYFUNCTION("""COMPUTED_VALUE"""),"Policarbonato (PC)")</f>
        <v>Policarbonato (PC)</v>
      </c>
      <c r="AK1252" s="97" t="str">
        <f>IFERROR(__xludf.DUMMYFUNCTION("""COMPUTED_VALUE"""),"Aluminio")</f>
        <v>Aluminio</v>
      </c>
      <c r="AL1252" s="97" t="str">
        <f>IFERROR(__xludf.DUMMYFUNCTION("""COMPUTED_VALUE"""),"Negro Satinado")</f>
        <v>Negro Satinado</v>
      </c>
      <c r="AM1252" s="97" t="str">
        <f>IFERROR(__xludf.DUMMYFUNCTION("""COMPUTED_VALUE"""),"-")</f>
        <v>-</v>
      </c>
      <c r="AN1252" s="97" t="str">
        <f>IFERROR(__xludf.DUMMYFUNCTION("""COMPUTED_VALUE"""),"30.000hs (L70)")</f>
        <v>30.000hs (L70)</v>
      </c>
      <c r="AO1252" s="97" t="str">
        <f>IFERROR(__xludf.DUMMYFUNCTION("""COMPUTED_VALUE"""),"3 Años")</f>
        <v>3 Años</v>
      </c>
      <c r="AP1252" s="97" t="str">
        <f>IFERROR(__xludf.DUMMYFUNCTION("""COMPUTED_VALUE"""),"Disponible")</f>
        <v>Disponible</v>
      </c>
      <c r="AQ1252" s="97" t="str">
        <f>IFERROR(__xludf.DUMMYFUNCTION("""COMPUTED_VALUE"""),"Disponible")</f>
        <v>Disponible</v>
      </c>
      <c r="AR1252" s="97" t="str">
        <f>IFERROR(__xludf.DUMMYFUNCTION("""COMPUTED_VALUE"""),"Disponible")</f>
        <v>Disponible</v>
      </c>
      <c r="AS1252" s="97" t="str">
        <f>IFERROR(__xludf.DUMMYFUNCTION("""COMPUTED_VALUE"""),"Falta")</f>
        <v>Falta</v>
      </c>
      <c r="AT1252" s="97" t="str">
        <f>IFERROR(__xludf.DUMMYFUNCTION("""COMPUTED_VALUE"""),"Falta")</f>
        <v>Falta</v>
      </c>
      <c r="AU1252" s="97" t="str">
        <f>IFERROR(__xludf.DUMMYFUNCTION("""COMPUTED_VALUE"""),"Falta")</f>
        <v>Falta</v>
      </c>
      <c r="AV1252" s="97" t="str">
        <f>IFERROR(__xludf.DUMMYFUNCTION("""COMPUTED_VALUE"""),"Colgante")</f>
        <v>Colgante</v>
      </c>
      <c r="AW1252" s="97" t="str">
        <f>IFERROR(__xludf.DUMMYFUNCTION("""COMPUTED_VALUE"""),"De Techo")</f>
        <v>De Techo</v>
      </c>
      <c r="AX1252" s="97" t="str">
        <f>IFERROR(__xludf.DUMMYFUNCTION("""COMPUTED_VALUE"""),"Interior")</f>
        <v>Interior</v>
      </c>
      <c r="AY1252" s="97" t="str">
        <f>IFERROR(__xludf.DUMMYFUNCTION("""COMPUTED_VALUE"""),"Confort Visual")</f>
        <v>Confort Visual</v>
      </c>
      <c r="AZ1252" s="97" t="str">
        <f>IFERROR(__xludf.DUMMYFUNCTION("""COMPUTED_VALUE"""),"Colgante de 3000mm. Florón: Ø65x200. Lentes ovalados")</f>
        <v>Colgante de 3000mm. Florón: Ø65x200. Lentes ovalados</v>
      </c>
      <c r="BA1252" s="97">
        <f>IFERROR(__xludf.DUMMYFUNCTION("""COMPUTED_VALUE"""),1.0)</f>
        <v>1</v>
      </c>
      <c r="BB1252" s="97" t="str">
        <f>IFERROR(__xludf.DUMMYFUNCTION("""COMPUTED_VALUE"""),"-")</f>
        <v>-</v>
      </c>
      <c r="BC1252" s="97" t="str">
        <f>IFERROR(__xludf.DUMMYFUNCTION("""COMPUTED_VALUE"""),"-")</f>
        <v>-</v>
      </c>
      <c r="BD1252" s="97" t="str">
        <f>IFERROR(__xludf.DUMMYFUNCTION("""COMPUTED_VALUE"""),"KRONE")</f>
        <v>KRONE</v>
      </c>
      <c r="BE1252" s="97" t="str">
        <f>IFERROR(__xludf.DUMMYFUNCTION("""COMPUTED_VALUE"""),"Finalizada")</f>
        <v>Finalizada</v>
      </c>
      <c r="BF1252" s="97"/>
      <c r="BG1252" s="97" t="str">
        <f>IFERROR(__xludf.DUMMYFUNCTION("""COMPUTED_VALUE"""),"Activo")</f>
        <v>Activo</v>
      </c>
    </row>
    <row r="1253">
      <c r="A1253" s="97">
        <f>IFERROR(__xludf.DUMMYFUNCTION("""COMPUTED_VALUE"""),7213.0)</f>
        <v>7213</v>
      </c>
      <c r="B1253" s="97" t="str">
        <f>IFERROR(__xludf.DUMMYFUNCTION("""COMPUTED_VALUE"""),"KRONE BL 84W 3CCT")</f>
        <v>KRONE BL 84W 3CCT</v>
      </c>
      <c r="C1253" s="97" t="str">
        <f>IFERROR(__xludf.DUMMYFUNCTION("""COMPUTED_VALUE"""),"COLGANTE KRONE BL 84W 3CCT 84W 3000/4000/5000K 5200LM CRI&gt;90 IP20 LEUK")</f>
        <v>COLGANTE KRONE BL 84W 3CCT 84W 3000/4000/5000K 5200LM CRI&gt;90 IP20 LEUK</v>
      </c>
      <c r="D1253" s="97">
        <f>IFERROR(__xludf.DUMMYFUNCTION("""COMPUTED_VALUE"""),7.79841322713E12)</f>
        <v>7798413227130</v>
      </c>
      <c r="E1253" s="97" t="str">
        <f>IFERROR(__xludf.DUMMYFUNCTION("""COMPUTED_VALUE"""),"A67")</f>
        <v>A67</v>
      </c>
      <c r="F1253" s="97" t="str">
        <f>IFERROR(__xludf.DUMMYFUNCTION("""COMPUTED_VALUE"""),"LED SMD3030")</f>
        <v>LED SMD3030</v>
      </c>
      <c r="G1253" s="97" t="str">
        <f>IFERROR(__xludf.DUMMYFUNCTION("""COMPUTED_VALUE"""),"OSRAM")</f>
        <v>OSRAM</v>
      </c>
      <c r="H1253" s="97" t="str">
        <f>IFERROR(__xludf.DUMMYFUNCTION("""COMPUTED_VALUE"""),"Meanwell")</f>
        <v>Meanwell</v>
      </c>
      <c r="I1253" s="97"/>
      <c r="J1253" s="97" t="str">
        <f>IFERROR(__xludf.DUMMYFUNCTION("""COMPUTED_VALUE"""),"Modelo: LPC-100-2100 
In: 100-240V - In: 100-240V 2,2A 50/60Hz
Out: +48V max 2100mA 100w -25 ~ +50°C
190x52x37mm")</f>
        <v>Modelo: LPC-100-2100 
In: 100-240V - In: 100-240V 2,2A 50/60Hz
Out: +48V max 2100mA 100w -25 ~ +50°C
190x52x37mm</v>
      </c>
      <c r="K1253" s="97" t="str">
        <f>IFERROR(__xludf.DUMMYFUNCTION("""COMPUTED_VALUE"""),"ON/OFF")</f>
        <v>ON/OFF</v>
      </c>
      <c r="L1253" s="97" t="str">
        <f>IFERROR(__xludf.DUMMYFUNCTION("""COMPUTED_VALUE"""),"220-240")</f>
        <v>220-240</v>
      </c>
      <c r="M1253" s="97" t="str">
        <f>IFERROR(__xludf.DUMMYFUNCTION("""COMPUTED_VALUE"""),"50/60")</f>
        <v>50/60</v>
      </c>
      <c r="N1253" s="97" t="str">
        <f>IFERROR(__xludf.DUMMYFUNCTION("""COMPUTED_VALUE"""),"Directa-Simétrica")</f>
        <v>Directa-Simétrica</v>
      </c>
      <c r="O1253" s="97">
        <f>IFERROR(__xludf.DUMMYFUNCTION("""COMPUTED_VALUE"""),84.0)</f>
        <v>84</v>
      </c>
      <c r="P1253" s="97"/>
      <c r="Q1253" s="97">
        <f>IFERROR(__xludf.DUMMYFUNCTION("""COMPUTED_VALUE"""),0.65)</f>
        <v>0.65</v>
      </c>
      <c r="R1253" s="97" t="str">
        <f>IFERROR(__xludf.DUMMYFUNCTION("""COMPUTED_VALUE"""),"-")</f>
        <v>-</v>
      </c>
      <c r="S1253" s="97" t="str">
        <f>IFERROR(__xludf.DUMMYFUNCTION("""COMPUTED_VALUE"""),"-")</f>
        <v>-</v>
      </c>
      <c r="T1253" s="97">
        <f>IFERROR(__xludf.DUMMYFUNCTION("""COMPUTED_VALUE"""),5200.0)</f>
        <v>5200</v>
      </c>
      <c r="U1253" s="99">
        <f>IFERROR(__xludf.DUMMYFUNCTION("""COMPUTED_VALUE"""),61.904761904761905)</f>
        <v>61.9047619</v>
      </c>
      <c r="V1253" s="97">
        <f>IFERROR(__xludf.DUMMYFUNCTION("""COMPUTED_VALUE"""),46.0)</f>
        <v>46</v>
      </c>
      <c r="W1253" s="97" t="str">
        <f>IFERROR(__xludf.DUMMYFUNCTION("""COMPUTED_VALUE"""),"&lt; 18")</f>
        <v>&lt; 18</v>
      </c>
      <c r="X1253" s="97" t="str">
        <f>IFERROR(__xludf.DUMMYFUNCTION("""COMPUTED_VALUE"""),"3000/4000/5000")</f>
        <v>3000/4000/5000</v>
      </c>
      <c r="Y1253" s="97" t="str">
        <f>IFERROR(__xludf.DUMMYFUNCTION("""COMPUTED_VALUE"""),"&gt;90")</f>
        <v>&gt;90</v>
      </c>
      <c r="Z1253" s="97"/>
      <c r="AA1253" s="97"/>
      <c r="AB1253" s="97" t="str">
        <f>IFERROR(__xludf.DUMMYFUNCTION("""COMPUTED_VALUE"""),"&lt; 3")</f>
        <v>&lt; 3</v>
      </c>
      <c r="AC1253" s="97"/>
      <c r="AD1253" s="97" t="str">
        <f>IFERROR(__xludf.DUMMYFUNCTION("""COMPUTED_VALUE"""),"IP20")</f>
        <v>IP20</v>
      </c>
      <c r="AE1253" s="97" t="str">
        <f>IFERROR(__xludf.DUMMYFUNCTION("""COMPUTED_VALUE"""),"Clase l")</f>
        <v>Clase l</v>
      </c>
      <c r="AF1253" s="97" t="str">
        <f>IFERROR(__xludf.DUMMYFUNCTION("""COMPUTED_VALUE"""),"Suspender")</f>
        <v>Suspender</v>
      </c>
      <c r="AG1253" s="97" t="str">
        <f>IFERROR(__xludf.DUMMYFUNCTION("""COMPUTED_VALUE"""),"Ø1190 x 44")</f>
        <v>Ø1190 x 44</v>
      </c>
      <c r="AH1253" s="97" t="str">
        <f>IFERROR(__xludf.DUMMYFUNCTION("""COMPUTED_VALUE"""),"N/A")</f>
        <v>N/A</v>
      </c>
      <c r="AI1253" s="97" t="str">
        <f>IFERROR(__xludf.DUMMYFUNCTION("""COMPUTED_VALUE"""),"N/A")</f>
        <v>N/A</v>
      </c>
      <c r="AJ1253" s="97" t="str">
        <f>IFERROR(__xludf.DUMMYFUNCTION("""COMPUTED_VALUE"""),"Policarbonato (PC)")</f>
        <v>Policarbonato (PC)</v>
      </c>
      <c r="AK1253" s="97" t="str">
        <f>IFERROR(__xludf.DUMMYFUNCTION("""COMPUTED_VALUE"""),"Aluminio")</f>
        <v>Aluminio</v>
      </c>
      <c r="AL1253" s="97" t="str">
        <f>IFERROR(__xludf.DUMMYFUNCTION("""COMPUTED_VALUE"""),"Blanco Satinado")</f>
        <v>Blanco Satinado</v>
      </c>
      <c r="AM1253" s="97" t="str">
        <f>IFERROR(__xludf.DUMMYFUNCTION("""COMPUTED_VALUE"""),"-")</f>
        <v>-</v>
      </c>
      <c r="AN1253" s="97" t="str">
        <f>IFERROR(__xludf.DUMMYFUNCTION("""COMPUTED_VALUE"""),"30.000hs (L70)")</f>
        <v>30.000hs (L70)</v>
      </c>
      <c r="AO1253" s="97" t="str">
        <f>IFERROR(__xludf.DUMMYFUNCTION("""COMPUTED_VALUE"""),"3 Años")</f>
        <v>3 Años</v>
      </c>
      <c r="AP1253" s="97" t="str">
        <f>IFERROR(__xludf.DUMMYFUNCTION("""COMPUTED_VALUE"""),"Disponible")</f>
        <v>Disponible</v>
      </c>
      <c r="AQ1253" s="97" t="str">
        <f>IFERROR(__xludf.DUMMYFUNCTION("""COMPUTED_VALUE"""),"Disponible")</f>
        <v>Disponible</v>
      </c>
      <c r="AR1253" s="97" t="str">
        <f>IFERROR(__xludf.DUMMYFUNCTION("""COMPUTED_VALUE"""),"Disponible")</f>
        <v>Disponible</v>
      </c>
      <c r="AS1253" s="97" t="str">
        <f>IFERROR(__xludf.DUMMYFUNCTION("""COMPUTED_VALUE"""),"Falta")</f>
        <v>Falta</v>
      </c>
      <c r="AT1253" s="97" t="str">
        <f>IFERROR(__xludf.DUMMYFUNCTION("""COMPUTED_VALUE"""),"Falta")</f>
        <v>Falta</v>
      </c>
      <c r="AU1253" s="97" t="str">
        <f>IFERROR(__xludf.DUMMYFUNCTION("""COMPUTED_VALUE"""),"Falta")</f>
        <v>Falta</v>
      </c>
      <c r="AV1253" s="97" t="str">
        <f>IFERROR(__xludf.DUMMYFUNCTION("""COMPUTED_VALUE"""),"Colgante")</f>
        <v>Colgante</v>
      </c>
      <c r="AW1253" s="97" t="str">
        <f>IFERROR(__xludf.DUMMYFUNCTION("""COMPUTED_VALUE"""),"De Techo")</f>
        <v>De Techo</v>
      </c>
      <c r="AX1253" s="97" t="str">
        <f>IFERROR(__xludf.DUMMYFUNCTION("""COMPUTED_VALUE"""),"Interior")</f>
        <v>Interior</v>
      </c>
      <c r="AY1253" s="97" t="str">
        <f>IFERROR(__xludf.DUMMYFUNCTION("""COMPUTED_VALUE"""),"Confort Visual")</f>
        <v>Confort Visual</v>
      </c>
      <c r="AZ1253" s="97" t="str">
        <f>IFERROR(__xludf.DUMMYFUNCTION("""COMPUTED_VALUE"""),"Colgante de 3000mm. Florón: Ø75x245. Lentes ovalados")</f>
        <v>Colgante de 3000mm. Florón: Ø75x245. Lentes ovalados</v>
      </c>
      <c r="BA1253" s="97">
        <f>IFERROR(__xludf.DUMMYFUNCTION("""COMPUTED_VALUE"""),1.0)</f>
        <v>1</v>
      </c>
      <c r="BB1253" s="97" t="str">
        <f>IFERROR(__xludf.DUMMYFUNCTION("""COMPUTED_VALUE"""),"-")</f>
        <v>-</v>
      </c>
      <c r="BC1253" s="97" t="str">
        <f>IFERROR(__xludf.DUMMYFUNCTION("""COMPUTED_VALUE"""),"-")</f>
        <v>-</v>
      </c>
      <c r="BD1253" s="97" t="str">
        <f>IFERROR(__xludf.DUMMYFUNCTION("""COMPUTED_VALUE"""),"KRONE")</f>
        <v>KRONE</v>
      </c>
      <c r="BE1253" s="97" t="str">
        <f>IFERROR(__xludf.DUMMYFUNCTION("""COMPUTED_VALUE"""),"Finalizada")</f>
        <v>Finalizada</v>
      </c>
      <c r="BF1253" s="97"/>
      <c r="BG1253" s="97" t="str">
        <f>IFERROR(__xludf.DUMMYFUNCTION("""COMPUTED_VALUE"""),"Activo")</f>
        <v>Activo</v>
      </c>
    </row>
    <row r="1254">
      <c r="A1254" s="97">
        <f>IFERROR(__xludf.DUMMYFUNCTION("""COMPUTED_VALUE"""),7214.0)</f>
        <v>7214</v>
      </c>
      <c r="B1254" s="97" t="str">
        <f>IFERROR(__xludf.DUMMYFUNCTION("""COMPUTED_VALUE"""),"KRONE NG 84W 3CCT")</f>
        <v>KRONE NG 84W 3CCT</v>
      </c>
      <c r="C1254" s="97" t="str">
        <f>IFERROR(__xludf.DUMMYFUNCTION("""COMPUTED_VALUE"""),"COLGANTE KRONE NG 84W 3CCT 84W 3000/4000/5000K 5200LM CRI&gt;90 IP20 LEUK")</f>
        <v>COLGANTE KRONE NG 84W 3CCT 84W 3000/4000/5000K 5200LM CRI&gt;90 IP20 LEUK</v>
      </c>
      <c r="D1254" s="97">
        <f>IFERROR(__xludf.DUMMYFUNCTION("""COMPUTED_VALUE"""),7.798413227147E12)</f>
        <v>7798413227147</v>
      </c>
      <c r="E1254" s="97" t="str">
        <f>IFERROR(__xludf.DUMMYFUNCTION("""COMPUTED_VALUE"""),"A67")</f>
        <v>A67</v>
      </c>
      <c r="F1254" s="97" t="str">
        <f>IFERROR(__xludf.DUMMYFUNCTION("""COMPUTED_VALUE"""),"LED SMD3030")</f>
        <v>LED SMD3030</v>
      </c>
      <c r="G1254" s="97" t="str">
        <f>IFERROR(__xludf.DUMMYFUNCTION("""COMPUTED_VALUE"""),"OSRAM")</f>
        <v>OSRAM</v>
      </c>
      <c r="H1254" s="97" t="str">
        <f>IFERROR(__xludf.DUMMYFUNCTION("""COMPUTED_VALUE"""),"Meanwell")</f>
        <v>Meanwell</v>
      </c>
      <c r="I1254" s="97"/>
      <c r="J1254" s="97" t="str">
        <f>IFERROR(__xludf.DUMMYFUNCTION("""COMPUTED_VALUE"""),"Modelo: LPC-100-2100 
In: 100-240V - In: 100-240V 2,2A 50/60Hz
Out: +48V max 2100mA 100w -25 ~ +50°C
190x52x37mm")</f>
        <v>Modelo: LPC-100-2100 
In: 100-240V - In: 100-240V 2,2A 50/60Hz
Out: +48V max 2100mA 100w -25 ~ +50°C
190x52x37mm</v>
      </c>
      <c r="K1254" s="97" t="str">
        <f>IFERROR(__xludf.DUMMYFUNCTION("""COMPUTED_VALUE"""),"ON/OFF")</f>
        <v>ON/OFF</v>
      </c>
      <c r="L1254" s="97" t="str">
        <f>IFERROR(__xludf.DUMMYFUNCTION("""COMPUTED_VALUE"""),"220-240")</f>
        <v>220-240</v>
      </c>
      <c r="M1254" s="97" t="str">
        <f>IFERROR(__xludf.DUMMYFUNCTION("""COMPUTED_VALUE"""),"50/60")</f>
        <v>50/60</v>
      </c>
      <c r="N1254" s="97" t="str">
        <f>IFERROR(__xludf.DUMMYFUNCTION("""COMPUTED_VALUE"""),"Directa-Simétrica")</f>
        <v>Directa-Simétrica</v>
      </c>
      <c r="O1254" s="97">
        <f>IFERROR(__xludf.DUMMYFUNCTION("""COMPUTED_VALUE"""),84.0)</f>
        <v>84</v>
      </c>
      <c r="P1254" s="97"/>
      <c r="Q1254" s="97">
        <f>IFERROR(__xludf.DUMMYFUNCTION("""COMPUTED_VALUE"""),0.65)</f>
        <v>0.65</v>
      </c>
      <c r="R1254" s="97" t="str">
        <f>IFERROR(__xludf.DUMMYFUNCTION("""COMPUTED_VALUE"""),"-")</f>
        <v>-</v>
      </c>
      <c r="S1254" s="97" t="str">
        <f>IFERROR(__xludf.DUMMYFUNCTION("""COMPUTED_VALUE"""),"-")</f>
        <v>-</v>
      </c>
      <c r="T1254" s="97">
        <f>IFERROR(__xludf.DUMMYFUNCTION("""COMPUTED_VALUE"""),5200.0)</f>
        <v>5200</v>
      </c>
      <c r="U1254" s="99">
        <f>IFERROR(__xludf.DUMMYFUNCTION("""COMPUTED_VALUE"""),61.904761904761905)</f>
        <v>61.9047619</v>
      </c>
      <c r="V1254" s="97">
        <f>IFERROR(__xludf.DUMMYFUNCTION("""COMPUTED_VALUE"""),46.0)</f>
        <v>46</v>
      </c>
      <c r="W1254" s="97" t="str">
        <f>IFERROR(__xludf.DUMMYFUNCTION("""COMPUTED_VALUE"""),"&lt; 18")</f>
        <v>&lt; 18</v>
      </c>
      <c r="X1254" s="97" t="str">
        <f>IFERROR(__xludf.DUMMYFUNCTION("""COMPUTED_VALUE"""),"3000/4000/5000")</f>
        <v>3000/4000/5000</v>
      </c>
      <c r="Y1254" s="97" t="str">
        <f>IFERROR(__xludf.DUMMYFUNCTION("""COMPUTED_VALUE"""),"&gt;90")</f>
        <v>&gt;90</v>
      </c>
      <c r="Z1254" s="97"/>
      <c r="AA1254" s="97"/>
      <c r="AB1254" s="97" t="str">
        <f>IFERROR(__xludf.DUMMYFUNCTION("""COMPUTED_VALUE"""),"&lt; 3")</f>
        <v>&lt; 3</v>
      </c>
      <c r="AC1254" s="97"/>
      <c r="AD1254" s="97" t="str">
        <f>IFERROR(__xludf.DUMMYFUNCTION("""COMPUTED_VALUE"""),"IP20")</f>
        <v>IP20</v>
      </c>
      <c r="AE1254" s="97" t="str">
        <f>IFERROR(__xludf.DUMMYFUNCTION("""COMPUTED_VALUE"""),"Clase l")</f>
        <v>Clase l</v>
      </c>
      <c r="AF1254" s="97" t="str">
        <f>IFERROR(__xludf.DUMMYFUNCTION("""COMPUTED_VALUE"""),"Suspender")</f>
        <v>Suspender</v>
      </c>
      <c r="AG1254" s="97" t="str">
        <f>IFERROR(__xludf.DUMMYFUNCTION("""COMPUTED_VALUE"""),"Ø1190 x 44")</f>
        <v>Ø1190 x 44</v>
      </c>
      <c r="AH1254" s="97" t="str">
        <f>IFERROR(__xludf.DUMMYFUNCTION("""COMPUTED_VALUE"""),"N/A")</f>
        <v>N/A</v>
      </c>
      <c r="AI1254" s="97" t="str">
        <f>IFERROR(__xludf.DUMMYFUNCTION("""COMPUTED_VALUE"""),"N/A")</f>
        <v>N/A</v>
      </c>
      <c r="AJ1254" s="97" t="str">
        <f>IFERROR(__xludf.DUMMYFUNCTION("""COMPUTED_VALUE"""),"Policarbonato (PC)")</f>
        <v>Policarbonato (PC)</v>
      </c>
      <c r="AK1254" s="97" t="str">
        <f>IFERROR(__xludf.DUMMYFUNCTION("""COMPUTED_VALUE"""),"Aluminio")</f>
        <v>Aluminio</v>
      </c>
      <c r="AL1254" s="97" t="str">
        <f>IFERROR(__xludf.DUMMYFUNCTION("""COMPUTED_VALUE"""),"Negro Satinado")</f>
        <v>Negro Satinado</v>
      </c>
      <c r="AM1254" s="97" t="str">
        <f>IFERROR(__xludf.DUMMYFUNCTION("""COMPUTED_VALUE"""),"-")</f>
        <v>-</v>
      </c>
      <c r="AN1254" s="97" t="str">
        <f>IFERROR(__xludf.DUMMYFUNCTION("""COMPUTED_VALUE"""),"30.000hs (L70)")</f>
        <v>30.000hs (L70)</v>
      </c>
      <c r="AO1254" s="97" t="str">
        <f>IFERROR(__xludf.DUMMYFUNCTION("""COMPUTED_VALUE"""),"3 Años")</f>
        <v>3 Años</v>
      </c>
      <c r="AP1254" s="97" t="str">
        <f>IFERROR(__xludf.DUMMYFUNCTION("""COMPUTED_VALUE"""),"Disponible")</f>
        <v>Disponible</v>
      </c>
      <c r="AQ1254" s="97" t="str">
        <f>IFERROR(__xludf.DUMMYFUNCTION("""COMPUTED_VALUE"""),"Disponible")</f>
        <v>Disponible</v>
      </c>
      <c r="AR1254" s="97" t="str">
        <f>IFERROR(__xludf.DUMMYFUNCTION("""COMPUTED_VALUE"""),"Disponible")</f>
        <v>Disponible</v>
      </c>
      <c r="AS1254" s="97" t="str">
        <f>IFERROR(__xludf.DUMMYFUNCTION("""COMPUTED_VALUE"""),"Falta")</f>
        <v>Falta</v>
      </c>
      <c r="AT1254" s="97" t="str">
        <f>IFERROR(__xludf.DUMMYFUNCTION("""COMPUTED_VALUE"""),"Falta")</f>
        <v>Falta</v>
      </c>
      <c r="AU1254" s="97" t="str">
        <f>IFERROR(__xludf.DUMMYFUNCTION("""COMPUTED_VALUE"""),"Falta")</f>
        <v>Falta</v>
      </c>
      <c r="AV1254" s="97" t="str">
        <f>IFERROR(__xludf.DUMMYFUNCTION("""COMPUTED_VALUE"""),"Colgante")</f>
        <v>Colgante</v>
      </c>
      <c r="AW1254" s="97" t="str">
        <f>IFERROR(__xludf.DUMMYFUNCTION("""COMPUTED_VALUE"""),"De Techo")</f>
        <v>De Techo</v>
      </c>
      <c r="AX1254" s="97" t="str">
        <f>IFERROR(__xludf.DUMMYFUNCTION("""COMPUTED_VALUE"""),"Interior")</f>
        <v>Interior</v>
      </c>
      <c r="AY1254" s="97" t="str">
        <f>IFERROR(__xludf.DUMMYFUNCTION("""COMPUTED_VALUE"""),"Confort Visual")</f>
        <v>Confort Visual</v>
      </c>
      <c r="AZ1254" s="97" t="str">
        <f>IFERROR(__xludf.DUMMYFUNCTION("""COMPUTED_VALUE"""),"Colgante de 3000mm. Florón: Ø75x245. Lentes ovalados")</f>
        <v>Colgante de 3000mm. Florón: Ø75x245. Lentes ovalados</v>
      </c>
      <c r="BA1254" s="97">
        <f>IFERROR(__xludf.DUMMYFUNCTION("""COMPUTED_VALUE"""),1.0)</f>
        <v>1</v>
      </c>
      <c r="BB1254" s="97" t="str">
        <f>IFERROR(__xludf.DUMMYFUNCTION("""COMPUTED_VALUE"""),"-")</f>
        <v>-</v>
      </c>
      <c r="BC1254" s="97" t="str">
        <f>IFERROR(__xludf.DUMMYFUNCTION("""COMPUTED_VALUE"""),"-")</f>
        <v>-</v>
      </c>
      <c r="BD1254" s="97" t="str">
        <f>IFERROR(__xludf.DUMMYFUNCTION("""COMPUTED_VALUE"""),"KRONE")</f>
        <v>KRONE</v>
      </c>
      <c r="BE1254" s="97" t="str">
        <f>IFERROR(__xludf.DUMMYFUNCTION("""COMPUTED_VALUE"""),"Finalizada")</f>
        <v>Finalizada</v>
      </c>
      <c r="BF1254" s="97"/>
      <c r="BG1254" s="97" t="str">
        <f>IFERROR(__xludf.DUMMYFUNCTION("""COMPUTED_VALUE"""),"Activo")</f>
        <v>Activo</v>
      </c>
    </row>
    <row r="1255">
      <c r="A1255" s="97">
        <f>IFERROR(__xludf.DUMMYFUNCTION("""COMPUTED_VALUE"""),7215.0)</f>
        <v>7215</v>
      </c>
      <c r="B1255" s="97" t="str">
        <f>IFERROR(__xludf.DUMMYFUNCTION("""COMPUTED_VALUE"""),"REN SLIM")</f>
        <v>REN SLIM</v>
      </c>
      <c r="C1255" s="97" t="str">
        <f>IFERROR(__xludf.DUMMYFUNCTION("""COMPUTED_VALUE"""),"EMPOTRABLE REN SLIM 45W 1800~20000K 3375LM CRI&gt;90 IP20/IK02 LEUK")</f>
        <v>EMPOTRABLE REN SLIM 45W 1800~20000K 3375LM CRI&gt;90 IP20/IK02 LEUK</v>
      </c>
      <c r="D1255" s="97">
        <f>IFERROR(__xludf.DUMMYFUNCTION("""COMPUTED_VALUE"""),7.798413227239E12)</f>
        <v>7798413227239</v>
      </c>
      <c r="E1255" s="97" t="str">
        <f>IFERROR(__xludf.DUMMYFUNCTION("""COMPUTED_VALUE"""),"F22")</f>
        <v>F22</v>
      </c>
      <c r="F1255" s="97" t="str">
        <f>IFERROR(__xludf.DUMMYFUNCTION("""COMPUTED_VALUE"""),"LED integrado")</f>
        <v>LED integrado</v>
      </c>
      <c r="G1255" s="97" t="str">
        <f>IFERROR(__xludf.DUMMYFUNCTION("""COMPUTED_VALUE"""),"-")</f>
        <v>-</v>
      </c>
      <c r="H1255" s="97" t="str">
        <f>IFERROR(__xludf.DUMMYFUNCTION("""COMPUTED_VALUE"""),"-")</f>
        <v>-</v>
      </c>
      <c r="I1255" s="97" t="str">
        <f>IFERROR(__xludf.DUMMYFUNCTION("""COMPUTED_VALUE"""),"Si")</f>
        <v>Si</v>
      </c>
      <c r="J1255" s="97" t="str">
        <f>IFERROR(__xludf.DUMMYFUNCTION("""COMPUTED_VALUE"""),"Modelo: MKS-CW36100
In: AC110-240V 50/60Hz
Out: 24-40Vdc 1000mA 40W
Pf&gt;0,9 Ta 45°C Tc 75°C")</f>
        <v>Modelo: MKS-CW36100
In: AC110-240V 50/60Hz
Out: 24-40Vdc 1000mA 40W
Pf&gt;0,9 Ta 45°C Tc 75°C</v>
      </c>
      <c r="K1255" s="97" t="str">
        <f>IFERROR(__xludf.DUMMYFUNCTION("""COMPUTED_VALUE"""),"Smart / App")</f>
        <v>Smart / App</v>
      </c>
      <c r="L1255" s="97" t="str">
        <f>IFERROR(__xludf.DUMMYFUNCTION("""COMPUTED_VALUE"""),"200-240")</f>
        <v>200-240</v>
      </c>
      <c r="M1255" s="97" t="str">
        <f>IFERROR(__xludf.DUMMYFUNCTION("""COMPUTED_VALUE"""),"50/60")</f>
        <v>50/60</v>
      </c>
      <c r="N1255" s="97" t="str">
        <f>IFERROR(__xludf.DUMMYFUNCTION("""COMPUTED_VALUE"""),"Directa-Simétrica")</f>
        <v>Directa-Simétrica</v>
      </c>
      <c r="O1255" s="97">
        <f>IFERROR(__xludf.DUMMYFUNCTION("""COMPUTED_VALUE"""),45.0)</f>
        <v>45</v>
      </c>
      <c r="P1255" s="97"/>
      <c r="Q1255" s="97">
        <f>IFERROR(__xludf.DUMMYFUNCTION("""COMPUTED_VALUE"""),0.9)</f>
        <v>0.9</v>
      </c>
      <c r="R1255" s="97" t="str">
        <f>IFERROR(__xludf.DUMMYFUNCTION("""COMPUTED_VALUE"""),"-")</f>
        <v>-</v>
      </c>
      <c r="S1255" s="97" t="str">
        <f>IFERROR(__xludf.DUMMYFUNCTION("""COMPUTED_VALUE"""),"-")</f>
        <v>-</v>
      </c>
      <c r="T1255" s="97">
        <f>IFERROR(__xludf.DUMMYFUNCTION("""COMPUTED_VALUE"""),3375.0)</f>
        <v>3375</v>
      </c>
      <c r="U1255" s="99">
        <f>IFERROR(__xludf.DUMMYFUNCTION("""COMPUTED_VALUE"""),75.0)</f>
        <v>75</v>
      </c>
      <c r="V1255" s="97">
        <f>IFERROR(__xludf.DUMMYFUNCTION("""COMPUTED_VALUE"""),120.0)</f>
        <v>120</v>
      </c>
      <c r="W1255" s="97" t="str">
        <f>IFERROR(__xludf.DUMMYFUNCTION("""COMPUTED_VALUE"""),"&lt; 20")</f>
        <v>&lt; 20</v>
      </c>
      <c r="X1255" s="97" t="str">
        <f>IFERROR(__xludf.DUMMYFUNCTION("""COMPUTED_VALUE"""),"1800~20000")</f>
        <v>1800~20000</v>
      </c>
      <c r="Y1255" s="97" t="str">
        <f>IFERROR(__xludf.DUMMYFUNCTION("""COMPUTED_VALUE"""),"&gt;90")</f>
        <v>&gt;90</v>
      </c>
      <c r="Z1255" s="97"/>
      <c r="AA1255" s="97"/>
      <c r="AB1255" s="97" t="str">
        <f>IFERROR(__xludf.DUMMYFUNCTION("""COMPUTED_VALUE"""),"-")</f>
        <v>-</v>
      </c>
      <c r="AC1255" s="97"/>
      <c r="AD1255" s="97" t="str">
        <f>IFERROR(__xludf.DUMMYFUNCTION("""COMPUTED_VALUE"""),"IP20/IK02")</f>
        <v>IP20/IK02</v>
      </c>
      <c r="AE1255" s="97" t="str">
        <f>IFERROR(__xludf.DUMMYFUNCTION("""COMPUTED_VALUE"""),"Clase l")</f>
        <v>Clase l</v>
      </c>
      <c r="AF1255" s="97" t="str">
        <f>IFERROR(__xludf.DUMMYFUNCTION("""COMPUTED_VALUE"""),"Embutir")</f>
        <v>Embutir</v>
      </c>
      <c r="AG1255" s="97" t="str">
        <f>IFERROR(__xludf.DUMMYFUNCTION("""COMPUTED_VALUE"""),"295 x 595 x 32")</f>
        <v>295 x 595 x 32</v>
      </c>
      <c r="AH1255" s="97" t="str">
        <f>IFERROR(__xludf.DUMMYFUNCTION("""COMPUTED_VALUE"""),"280 x 580")</f>
        <v>280 x 580</v>
      </c>
      <c r="AI1255" s="97">
        <f>IFERROR(__xludf.DUMMYFUNCTION("""COMPUTED_VALUE"""),65.0)</f>
        <v>65</v>
      </c>
      <c r="AJ1255" s="97" t="str">
        <f>IFERROR(__xludf.DUMMYFUNCTION("""COMPUTED_VALUE"""),"PMMA")</f>
        <v>PMMA</v>
      </c>
      <c r="AK1255" s="97" t="str">
        <f>IFERROR(__xludf.DUMMYFUNCTION("""COMPUTED_VALUE"""),"Aluminio y Acero")</f>
        <v>Aluminio y Acero</v>
      </c>
      <c r="AL1255" s="97" t="str">
        <f>IFERROR(__xludf.DUMMYFUNCTION("""COMPUTED_VALUE"""),"Blanco Satinado")</f>
        <v>Blanco Satinado</v>
      </c>
      <c r="AM1255" s="97" t="str">
        <f>IFERROR(__xludf.DUMMYFUNCTION("""COMPUTED_VALUE"""),"-10℃ a 40℃")</f>
        <v>-10℃ a 40℃</v>
      </c>
      <c r="AN1255" s="97" t="str">
        <f>IFERROR(__xludf.DUMMYFUNCTION("""COMPUTED_VALUE"""),"50.000hs (L80)")</f>
        <v>50.000hs (L80)</v>
      </c>
      <c r="AO1255" s="97" t="str">
        <f>IFERROR(__xludf.DUMMYFUNCTION("""COMPUTED_VALUE"""),"4 Años")</f>
        <v>4 Años</v>
      </c>
      <c r="AP1255" s="97" t="str">
        <f>IFERROR(__xludf.DUMMYFUNCTION("""COMPUTED_VALUE"""),"Disponible")</f>
        <v>Disponible</v>
      </c>
      <c r="AQ1255" s="97" t="str">
        <f>IFERROR(__xludf.DUMMYFUNCTION("""COMPUTED_VALUE"""),"Disponible")</f>
        <v>Disponible</v>
      </c>
      <c r="AR1255" s="97" t="str">
        <f>IFERROR(__xludf.DUMMYFUNCTION("""COMPUTED_VALUE"""),"Disponible")</f>
        <v>Disponible</v>
      </c>
      <c r="AS1255" s="97" t="str">
        <f>IFERROR(__xludf.DUMMYFUNCTION("""COMPUTED_VALUE"""),"Falta")</f>
        <v>Falta</v>
      </c>
      <c r="AT1255" s="97" t="str">
        <f>IFERROR(__xludf.DUMMYFUNCTION("""COMPUTED_VALUE"""),"Falta")</f>
        <v>Falta</v>
      </c>
      <c r="AU1255" s="97" t="str">
        <f>IFERROR(__xludf.DUMMYFUNCTION("""COMPUTED_VALUE"""),"Disponible")</f>
        <v>Disponible</v>
      </c>
      <c r="AV1255" s="97" t="str">
        <f>IFERROR(__xludf.DUMMYFUNCTION("""COMPUTED_VALUE"""),"Empotrable")</f>
        <v>Empotrable</v>
      </c>
      <c r="AW1255" s="97" t="str">
        <f>IFERROR(__xludf.DUMMYFUNCTION("""COMPUTED_VALUE"""),"De Techo")</f>
        <v>De Techo</v>
      </c>
      <c r="AX1255" s="97" t="str">
        <f>IFERROR(__xludf.DUMMYFUNCTION("""COMPUTED_VALUE"""),"Interior")</f>
        <v>Interior</v>
      </c>
      <c r="AY1255" s="97" t="str">
        <f>IFERROR(__xludf.DUMMYFUNCTION("""COMPUTED_VALUE"""),"Cielo")</f>
        <v>Cielo</v>
      </c>
      <c r="AZ1255" s="97" t="str">
        <f>IFERROR(__xludf.DUMMYFUNCTION("""COMPUTED_VALUE"""),"Efecto cielo. Dimeriza. Wifi c/app Tuya. Blanco dinamico con ciclo circadiano.")</f>
        <v>Efecto cielo. Dimeriza. Wifi c/app Tuya. Blanco dinamico con ciclo circadiano.</v>
      </c>
      <c r="BA1255" s="97"/>
      <c r="BB1255" s="97">
        <f>IFERROR(__xludf.DUMMYFUNCTION("""COMPUTED_VALUE"""),2.0)</f>
        <v>2</v>
      </c>
      <c r="BC1255" s="97" t="str">
        <f>IFERROR(__xludf.DUMMYFUNCTION("""COMPUTED_VALUE"""),"-")</f>
        <v>-</v>
      </c>
      <c r="BD1255" s="97" t="str">
        <f>IFERROR(__xludf.DUMMYFUNCTION("""COMPUTED_VALUE"""),"REN")</f>
        <v>REN</v>
      </c>
      <c r="BE1255" s="97" t="str">
        <f>IFERROR(__xludf.DUMMYFUNCTION("""COMPUTED_VALUE"""),"Finalizada")</f>
        <v>Finalizada</v>
      </c>
      <c r="BF1255" s="97"/>
      <c r="BG1255" s="97" t="str">
        <f>IFERROR(__xludf.DUMMYFUNCTION("""COMPUTED_VALUE"""),"Activo")</f>
        <v>Activo</v>
      </c>
    </row>
    <row r="1256">
      <c r="A1256" s="97">
        <f>IFERROR(__xludf.DUMMYFUNCTION("""COMPUTED_VALUE"""),7216.0)</f>
        <v>7216</v>
      </c>
      <c r="B1256" s="97" t="str">
        <f>IFERROR(__xludf.DUMMYFUNCTION("""COMPUTED_VALUE"""),"PRISMA BL 12W IP44")</f>
        <v>PRISMA BL 12W IP44</v>
      </c>
      <c r="C1256" s="97" t="str">
        <f>IFERROR(__xludf.DUMMYFUNCTION("""COMPUTED_VALUE"""),"APLIQUE PRISMA BL 12W IP44 12W 3000/4000/6000K 800LM CRI&gt;90 IP44 LEUK")</f>
        <v>APLIQUE PRISMA BL 12W IP44 12W 3000/4000/6000K 800LM CRI&gt;90 IP44 LEUK</v>
      </c>
      <c r="D1256" s="97">
        <f>IFERROR(__xludf.DUMMYFUNCTION("""COMPUTED_VALUE"""),7.798413227154E12)</f>
        <v>7798413227154</v>
      </c>
      <c r="E1256" s="97" t="str">
        <f>IFERROR(__xludf.DUMMYFUNCTION("""COMPUTED_VALUE"""),"R130")</f>
        <v>R130</v>
      </c>
      <c r="F1256" s="97" t="str">
        <f>IFERROR(__xludf.DUMMYFUNCTION("""COMPUTED_VALUE"""),"LED integrado")</f>
        <v>LED integrado</v>
      </c>
      <c r="G1256" s="97" t="str">
        <f>IFERROR(__xludf.DUMMYFUNCTION("""COMPUTED_VALUE"""),"OSRAM")</f>
        <v>OSRAM</v>
      </c>
      <c r="H1256" s="97" t="str">
        <f>IFERROR(__xludf.DUMMYFUNCTION("""COMPUTED_VALUE"""),"-")</f>
        <v>-</v>
      </c>
      <c r="I1256" s="97"/>
      <c r="J1256" s="97" t="str">
        <f>IFERROR(__xludf.DUMMYFUNCTION("""COMPUTED_VALUE"""),"Modelo: LED 8-12*1W
In: 100-265Vac 0.2A 50/60Hz
Out: 24-42V 300mA
Ta 50ºC Tc 70ºC IP65")</f>
        <v>Modelo: LED 8-12*1W
In: 100-265Vac 0.2A 50/60Hz
Out: 24-42V 300mA
Ta 50ºC Tc 70ºC IP65</v>
      </c>
      <c r="K1256" s="97" t="str">
        <f>IFERROR(__xludf.DUMMYFUNCTION("""COMPUTED_VALUE"""),"ON/OFF")</f>
        <v>ON/OFF</v>
      </c>
      <c r="L1256" s="97" t="str">
        <f>IFERROR(__xludf.DUMMYFUNCTION("""COMPUTED_VALUE"""),"200-240")</f>
        <v>200-240</v>
      </c>
      <c r="M1256" s="97" t="str">
        <f>IFERROR(__xludf.DUMMYFUNCTION("""COMPUTED_VALUE"""),"50/60")</f>
        <v>50/60</v>
      </c>
      <c r="N1256" s="97" t="str">
        <f>IFERROR(__xludf.DUMMYFUNCTION("""COMPUTED_VALUE"""),"Directa")</f>
        <v>Directa</v>
      </c>
      <c r="O1256" s="97">
        <f>IFERROR(__xludf.DUMMYFUNCTION("""COMPUTED_VALUE"""),12.0)</f>
        <v>12</v>
      </c>
      <c r="P1256" s="97"/>
      <c r="Q1256" s="97">
        <f>IFERROR(__xludf.DUMMYFUNCTION("""COMPUTED_VALUE"""),0.5)</f>
        <v>0.5</v>
      </c>
      <c r="R1256" s="97" t="str">
        <f>IFERROR(__xludf.DUMMYFUNCTION("""COMPUTED_VALUE"""),"-")</f>
        <v>-</v>
      </c>
      <c r="S1256" s="97" t="str">
        <f>IFERROR(__xludf.DUMMYFUNCTION("""COMPUTED_VALUE"""),"-")</f>
        <v>-</v>
      </c>
      <c r="T1256" s="97">
        <f>IFERROR(__xludf.DUMMYFUNCTION("""COMPUTED_VALUE"""),800.0)</f>
        <v>800</v>
      </c>
      <c r="U1256" s="99">
        <f>IFERROR(__xludf.DUMMYFUNCTION("""COMPUTED_VALUE"""),66.66666666666667)</f>
        <v>66.66666667</v>
      </c>
      <c r="V1256" s="97">
        <f>IFERROR(__xludf.DUMMYFUNCTION("""COMPUTED_VALUE"""),110.0)</f>
        <v>110</v>
      </c>
      <c r="W1256" s="97" t="str">
        <f>IFERROR(__xludf.DUMMYFUNCTION("""COMPUTED_VALUE"""),"&lt; 25")</f>
        <v>&lt; 25</v>
      </c>
      <c r="X1256" s="97" t="str">
        <f>IFERROR(__xludf.DUMMYFUNCTION("""COMPUTED_VALUE"""),"3000/4000/6000")</f>
        <v>3000/4000/6000</v>
      </c>
      <c r="Y1256" s="97" t="str">
        <f>IFERROR(__xludf.DUMMYFUNCTION("""COMPUTED_VALUE"""),"&gt;90")</f>
        <v>&gt;90</v>
      </c>
      <c r="Z1256" s="97"/>
      <c r="AA1256" s="97"/>
      <c r="AB1256" s="97" t="str">
        <f>IFERROR(__xludf.DUMMYFUNCTION("""COMPUTED_VALUE"""),"-")</f>
        <v>-</v>
      </c>
      <c r="AC1256" s="97"/>
      <c r="AD1256" s="97" t="str">
        <f>IFERROR(__xludf.DUMMYFUNCTION("""COMPUTED_VALUE"""),"IP44")</f>
        <v>IP44</v>
      </c>
      <c r="AE1256" s="97" t="str">
        <f>IFERROR(__xludf.DUMMYFUNCTION("""COMPUTED_VALUE"""),"Clase l")</f>
        <v>Clase l</v>
      </c>
      <c r="AF1256" s="97" t="str">
        <f>IFERROR(__xludf.DUMMYFUNCTION("""COMPUTED_VALUE"""),"Aplicar")</f>
        <v>Aplicar</v>
      </c>
      <c r="AG1256" s="97" t="str">
        <f>IFERROR(__xludf.DUMMYFUNCTION("""COMPUTED_VALUE"""),"Ø100 x 65")</f>
        <v>Ø100 x 65</v>
      </c>
      <c r="AH1256" s="97" t="str">
        <f>IFERROR(__xludf.DUMMYFUNCTION("""COMPUTED_VALUE"""),"N/A")</f>
        <v>N/A</v>
      </c>
      <c r="AI1256" s="97" t="str">
        <f>IFERROR(__xludf.DUMMYFUNCTION("""COMPUTED_VALUE"""),"N/A")</f>
        <v>N/A</v>
      </c>
      <c r="AJ1256" s="97" t="str">
        <f>IFERROR(__xludf.DUMMYFUNCTION("""COMPUTED_VALUE"""),"Policarbonato (PC)")</f>
        <v>Policarbonato (PC)</v>
      </c>
      <c r="AK1256" s="97" t="str">
        <f>IFERROR(__xludf.DUMMYFUNCTION("""COMPUTED_VALUE"""),"Aluminio")</f>
        <v>Aluminio</v>
      </c>
      <c r="AL1256" s="97" t="str">
        <f>IFERROR(__xludf.DUMMYFUNCTION("""COMPUTED_VALUE"""),"Blanco Satinado")</f>
        <v>Blanco Satinado</v>
      </c>
      <c r="AM1256" s="97" t="str">
        <f>IFERROR(__xludf.DUMMYFUNCTION("""COMPUTED_VALUE"""),"-")</f>
        <v>-</v>
      </c>
      <c r="AN1256" s="97" t="str">
        <f>IFERROR(__xludf.DUMMYFUNCTION("""COMPUTED_VALUE"""),"25.000hs (L70)")</f>
        <v>25.000hs (L70)</v>
      </c>
      <c r="AO1256" s="97" t="str">
        <f>IFERROR(__xludf.DUMMYFUNCTION("""COMPUTED_VALUE"""),"2 Años")</f>
        <v>2 Años</v>
      </c>
      <c r="AP1256" s="97" t="str">
        <f>IFERROR(__xludf.DUMMYFUNCTION("""COMPUTED_VALUE"""),"Disponible")</f>
        <v>Disponible</v>
      </c>
      <c r="AQ1256" s="97" t="str">
        <f>IFERROR(__xludf.DUMMYFUNCTION("""COMPUTED_VALUE"""),"Disponible")</f>
        <v>Disponible</v>
      </c>
      <c r="AR1256" s="97" t="str">
        <f>IFERROR(__xludf.DUMMYFUNCTION("""COMPUTED_VALUE"""),"Disponible")</f>
        <v>Disponible</v>
      </c>
      <c r="AS1256" s="97" t="str">
        <f>IFERROR(__xludf.DUMMYFUNCTION("""COMPUTED_VALUE"""),"Falta")</f>
        <v>Falta</v>
      </c>
      <c r="AT1256" s="97" t="str">
        <f>IFERROR(__xludf.DUMMYFUNCTION("""COMPUTED_VALUE"""),"Falta")</f>
        <v>Falta</v>
      </c>
      <c r="AU1256" s="97" t="str">
        <f>IFERROR(__xludf.DUMMYFUNCTION("""COMPUTED_VALUE"""),"Falta")</f>
        <v>Falta</v>
      </c>
      <c r="AV1256" s="97" t="str">
        <f>IFERROR(__xludf.DUMMYFUNCTION("""COMPUTED_VALUE"""),"Aplique")</f>
        <v>Aplique</v>
      </c>
      <c r="AW1256" s="97" t="str">
        <f>IFERROR(__xludf.DUMMYFUNCTION("""COMPUTED_VALUE"""),"De Techo")</f>
        <v>De Techo</v>
      </c>
      <c r="AX1256" s="97" t="str">
        <f>IFERROR(__xludf.DUMMYFUNCTION("""COMPUTED_VALUE"""),"Exterior")</f>
        <v>Exterior</v>
      </c>
      <c r="AY1256" s="97" t="str">
        <f>IFERROR(__xludf.DUMMYFUNCTION("""COMPUTED_VALUE"""),"-")</f>
        <v>-</v>
      </c>
      <c r="AZ1256" s="97" t="str">
        <f>IFERROR(__xludf.DUMMYFUNCTION("""COMPUTED_VALUE"""),"Switch p/cambio de color.")</f>
        <v>Switch p/cambio de color.</v>
      </c>
      <c r="BA1256" s="97"/>
      <c r="BB1256" s="97"/>
      <c r="BC1256" s="97"/>
      <c r="BD1256" s="97" t="str">
        <f>IFERROR(__xludf.DUMMYFUNCTION("""COMPUTED_VALUE"""),"PRISMA")</f>
        <v>PRISMA</v>
      </c>
      <c r="BE1256" s="97" t="str">
        <f>IFERROR(__xludf.DUMMYFUNCTION("""COMPUTED_VALUE"""),"Finalizada")</f>
        <v>Finalizada</v>
      </c>
      <c r="BF1256" s="97"/>
      <c r="BG1256" s="97" t="str">
        <f>IFERROR(__xludf.DUMMYFUNCTION("""COMPUTED_VALUE"""),"Activo")</f>
        <v>Activo</v>
      </c>
    </row>
    <row r="1257">
      <c r="A1257" s="97">
        <f>IFERROR(__xludf.DUMMYFUNCTION("""COMPUTED_VALUE"""),7217.0)</f>
        <v>7217</v>
      </c>
      <c r="B1257" s="97" t="str">
        <f>IFERROR(__xludf.DUMMYFUNCTION("""COMPUTED_VALUE"""),"PRISMA NG 12W IP44")</f>
        <v>PRISMA NG 12W IP44</v>
      </c>
      <c r="C1257" s="97" t="str">
        <f>IFERROR(__xludf.DUMMYFUNCTION("""COMPUTED_VALUE"""),"APLIQUE PRISMA NG 12W IP44 12W 3000/4000/6000K 800LM CRI&gt;90 IP44 LEUK")</f>
        <v>APLIQUE PRISMA NG 12W IP44 12W 3000/4000/6000K 800LM CRI&gt;90 IP44 LEUK</v>
      </c>
      <c r="D1257" s="97">
        <f>IFERROR(__xludf.DUMMYFUNCTION("""COMPUTED_VALUE"""),7.798413227161E12)</f>
        <v>7798413227161</v>
      </c>
      <c r="E1257" s="97" t="str">
        <f>IFERROR(__xludf.DUMMYFUNCTION("""COMPUTED_VALUE"""),"R130")</f>
        <v>R130</v>
      </c>
      <c r="F1257" s="97" t="str">
        <f>IFERROR(__xludf.DUMMYFUNCTION("""COMPUTED_VALUE"""),"LED integrado")</f>
        <v>LED integrado</v>
      </c>
      <c r="G1257" s="97" t="str">
        <f>IFERROR(__xludf.DUMMYFUNCTION("""COMPUTED_VALUE"""),"OSRAM")</f>
        <v>OSRAM</v>
      </c>
      <c r="H1257" s="97" t="str">
        <f>IFERROR(__xludf.DUMMYFUNCTION("""COMPUTED_VALUE"""),"-")</f>
        <v>-</v>
      </c>
      <c r="I1257" s="97"/>
      <c r="J1257" s="97" t="str">
        <f>IFERROR(__xludf.DUMMYFUNCTION("""COMPUTED_VALUE"""),"Modelo: LED 8-12*1W
In: 100-265Vac 0.2A 50/60Hz
Out: 24-42V 300mA
Ta 50ºC Tc 70ºC IP65")</f>
        <v>Modelo: LED 8-12*1W
In: 100-265Vac 0.2A 50/60Hz
Out: 24-42V 300mA
Ta 50ºC Tc 70ºC IP65</v>
      </c>
      <c r="K1257" s="97" t="str">
        <f>IFERROR(__xludf.DUMMYFUNCTION("""COMPUTED_VALUE"""),"ON/OFF")</f>
        <v>ON/OFF</v>
      </c>
      <c r="L1257" s="97" t="str">
        <f>IFERROR(__xludf.DUMMYFUNCTION("""COMPUTED_VALUE"""),"200-240")</f>
        <v>200-240</v>
      </c>
      <c r="M1257" s="97" t="str">
        <f>IFERROR(__xludf.DUMMYFUNCTION("""COMPUTED_VALUE"""),"50/60")</f>
        <v>50/60</v>
      </c>
      <c r="N1257" s="97" t="str">
        <f>IFERROR(__xludf.DUMMYFUNCTION("""COMPUTED_VALUE"""),"Directa")</f>
        <v>Directa</v>
      </c>
      <c r="O1257" s="97">
        <f>IFERROR(__xludf.DUMMYFUNCTION("""COMPUTED_VALUE"""),12.0)</f>
        <v>12</v>
      </c>
      <c r="P1257" s="97"/>
      <c r="Q1257" s="97">
        <f>IFERROR(__xludf.DUMMYFUNCTION("""COMPUTED_VALUE"""),0.5)</f>
        <v>0.5</v>
      </c>
      <c r="R1257" s="97" t="str">
        <f>IFERROR(__xludf.DUMMYFUNCTION("""COMPUTED_VALUE"""),"-")</f>
        <v>-</v>
      </c>
      <c r="S1257" s="97" t="str">
        <f>IFERROR(__xludf.DUMMYFUNCTION("""COMPUTED_VALUE"""),"-")</f>
        <v>-</v>
      </c>
      <c r="T1257" s="97">
        <f>IFERROR(__xludf.DUMMYFUNCTION("""COMPUTED_VALUE"""),800.0)</f>
        <v>800</v>
      </c>
      <c r="U1257" s="99">
        <f>IFERROR(__xludf.DUMMYFUNCTION("""COMPUTED_VALUE"""),66.66666666666667)</f>
        <v>66.66666667</v>
      </c>
      <c r="V1257" s="97">
        <f>IFERROR(__xludf.DUMMYFUNCTION("""COMPUTED_VALUE"""),110.0)</f>
        <v>110</v>
      </c>
      <c r="W1257" s="97" t="str">
        <f>IFERROR(__xludf.DUMMYFUNCTION("""COMPUTED_VALUE"""),"&lt; 25")</f>
        <v>&lt; 25</v>
      </c>
      <c r="X1257" s="97" t="str">
        <f>IFERROR(__xludf.DUMMYFUNCTION("""COMPUTED_VALUE"""),"3000/4000/6000")</f>
        <v>3000/4000/6000</v>
      </c>
      <c r="Y1257" s="97" t="str">
        <f>IFERROR(__xludf.DUMMYFUNCTION("""COMPUTED_VALUE"""),"&gt;90")</f>
        <v>&gt;90</v>
      </c>
      <c r="Z1257" s="97"/>
      <c r="AA1257" s="97"/>
      <c r="AB1257" s="97" t="str">
        <f>IFERROR(__xludf.DUMMYFUNCTION("""COMPUTED_VALUE"""),"-")</f>
        <v>-</v>
      </c>
      <c r="AC1257" s="97"/>
      <c r="AD1257" s="97" t="str">
        <f>IFERROR(__xludf.DUMMYFUNCTION("""COMPUTED_VALUE"""),"IP44")</f>
        <v>IP44</v>
      </c>
      <c r="AE1257" s="97" t="str">
        <f>IFERROR(__xludf.DUMMYFUNCTION("""COMPUTED_VALUE"""),"Clase l")</f>
        <v>Clase l</v>
      </c>
      <c r="AF1257" s="97" t="str">
        <f>IFERROR(__xludf.DUMMYFUNCTION("""COMPUTED_VALUE"""),"Aplicar")</f>
        <v>Aplicar</v>
      </c>
      <c r="AG1257" s="97" t="str">
        <f>IFERROR(__xludf.DUMMYFUNCTION("""COMPUTED_VALUE"""),"Ø100 x 65")</f>
        <v>Ø100 x 65</v>
      </c>
      <c r="AH1257" s="97" t="str">
        <f>IFERROR(__xludf.DUMMYFUNCTION("""COMPUTED_VALUE"""),"N/A")</f>
        <v>N/A</v>
      </c>
      <c r="AI1257" s="97" t="str">
        <f>IFERROR(__xludf.DUMMYFUNCTION("""COMPUTED_VALUE"""),"N/A")</f>
        <v>N/A</v>
      </c>
      <c r="AJ1257" s="97" t="str">
        <f>IFERROR(__xludf.DUMMYFUNCTION("""COMPUTED_VALUE"""),"Policarbonato (PC)")</f>
        <v>Policarbonato (PC)</v>
      </c>
      <c r="AK1257" s="97" t="str">
        <f>IFERROR(__xludf.DUMMYFUNCTION("""COMPUTED_VALUE"""),"Aluminio")</f>
        <v>Aluminio</v>
      </c>
      <c r="AL1257" s="97" t="str">
        <f>IFERROR(__xludf.DUMMYFUNCTION("""COMPUTED_VALUE"""),"Negro Satinado")</f>
        <v>Negro Satinado</v>
      </c>
      <c r="AM1257" s="97" t="str">
        <f>IFERROR(__xludf.DUMMYFUNCTION("""COMPUTED_VALUE"""),"-")</f>
        <v>-</v>
      </c>
      <c r="AN1257" s="97" t="str">
        <f>IFERROR(__xludf.DUMMYFUNCTION("""COMPUTED_VALUE"""),"25.000hs (L70)")</f>
        <v>25.000hs (L70)</v>
      </c>
      <c r="AO1257" s="97" t="str">
        <f>IFERROR(__xludf.DUMMYFUNCTION("""COMPUTED_VALUE"""),"2 Años")</f>
        <v>2 Años</v>
      </c>
      <c r="AP1257" s="97" t="str">
        <f>IFERROR(__xludf.DUMMYFUNCTION("""COMPUTED_VALUE"""),"Disponible")</f>
        <v>Disponible</v>
      </c>
      <c r="AQ1257" s="97" t="str">
        <f>IFERROR(__xludf.DUMMYFUNCTION("""COMPUTED_VALUE"""),"Disponible")</f>
        <v>Disponible</v>
      </c>
      <c r="AR1257" s="97" t="str">
        <f>IFERROR(__xludf.DUMMYFUNCTION("""COMPUTED_VALUE"""),"Disponible")</f>
        <v>Disponible</v>
      </c>
      <c r="AS1257" s="97" t="str">
        <f>IFERROR(__xludf.DUMMYFUNCTION("""COMPUTED_VALUE"""),"Falta")</f>
        <v>Falta</v>
      </c>
      <c r="AT1257" s="97" t="str">
        <f>IFERROR(__xludf.DUMMYFUNCTION("""COMPUTED_VALUE"""),"Falta")</f>
        <v>Falta</v>
      </c>
      <c r="AU1257" s="97" t="str">
        <f>IFERROR(__xludf.DUMMYFUNCTION("""COMPUTED_VALUE"""),"Falta")</f>
        <v>Falta</v>
      </c>
      <c r="AV1257" s="97" t="str">
        <f>IFERROR(__xludf.DUMMYFUNCTION("""COMPUTED_VALUE"""),"Aplique")</f>
        <v>Aplique</v>
      </c>
      <c r="AW1257" s="97" t="str">
        <f>IFERROR(__xludf.DUMMYFUNCTION("""COMPUTED_VALUE"""),"De Techo")</f>
        <v>De Techo</v>
      </c>
      <c r="AX1257" s="97" t="str">
        <f>IFERROR(__xludf.DUMMYFUNCTION("""COMPUTED_VALUE"""),"Exterior")</f>
        <v>Exterior</v>
      </c>
      <c r="AY1257" s="97" t="str">
        <f>IFERROR(__xludf.DUMMYFUNCTION("""COMPUTED_VALUE"""),"-")</f>
        <v>-</v>
      </c>
      <c r="AZ1257" s="97" t="str">
        <f>IFERROR(__xludf.DUMMYFUNCTION("""COMPUTED_VALUE"""),"Switch p/cambio de color.")</f>
        <v>Switch p/cambio de color.</v>
      </c>
      <c r="BA1257" s="97"/>
      <c r="BB1257" s="97"/>
      <c r="BC1257" s="97"/>
      <c r="BD1257" s="97" t="str">
        <f>IFERROR(__xludf.DUMMYFUNCTION("""COMPUTED_VALUE"""),"PRISMA")</f>
        <v>PRISMA</v>
      </c>
      <c r="BE1257" s="97" t="str">
        <f>IFERROR(__xludf.DUMMYFUNCTION("""COMPUTED_VALUE"""),"Finalizada")</f>
        <v>Finalizada</v>
      </c>
      <c r="BF1257" s="97"/>
      <c r="BG1257" s="97" t="str">
        <f>IFERROR(__xludf.DUMMYFUNCTION("""COMPUTED_VALUE"""),"Activo")</f>
        <v>Activo</v>
      </c>
    </row>
    <row r="1258">
      <c r="A1258" s="97">
        <f>IFERROR(__xludf.DUMMYFUNCTION("""COMPUTED_VALUE"""),7218.0)</f>
        <v>7218</v>
      </c>
      <c r="B1258" s="97" t="str">
        <f>IFERROR(__xludf.DUMMYFUNCTION("""COMPUTED_VALUE"""),"PRISMA BL 20W IP44")</f>
        <v>PRISMA BL 20W IP44</v>
      </c>
      <c r="C1258" s="97" t="str">
        <f>IFERROR(__xludf.DUMMYFUNCTION("""COMPUTED_VALUE"""),"APLIQUE PRISMA BL 20W IP44 20W 3000/4000/6000K 1300LM CRI&gt;90 IP44 LEUK")</f>
        <v>APLIQUE PRISMA BL 20W IP44 20W 3000/4000/6000K 1300LM CRI&gt;90 IP44 LEUK</v>
      </c>
      <c r="D1258" s="97">
        <f>IFERROR(__xludf.DUMMYFUNCTION("""COMPUTED_VALUE"""),7.798413227178E12)</f>
        <v>7798413227178</v>
      </c>
      <c r="E1258" s="97" t="str">
        <f>IFERROR(__xludf.DUMMYFUNCTION("""COMPUTED_VALUE"""),"R176")</f>
        <v>R176</v>
      </c>
      <c r="F1258" s="97" t="str">
        <f>IFERROR(__xludf.DUMMYFUNCTION("""COMPUTED_VALUE"""),"LED integrado")</f>
        <v>LED integrado</v>
      </c>
      <c r="G1258" s="97" t="str">
        <f>IFERROR(__xludf.DUMMYFUNCTION("""COMPUTED_VALUE"""),"OSRAM")</f>
        <v>OSRAM</v>
      </c>
      <c r="H1258" s="97" t="str">
        <f>IFERROR(__xludf.DUMMYFUNCTION("""COMPUTED_VALUE"""),"-")</f>
        <v>-</v>
      </c>
      <c r="I1258" s="97"/>
      <c r="J1258" s="97" t="str">
        <f>IFERROR(__xludf.DUMMYFUNCTION("""COMPUTED_VALUE"""),"Modelo: LED 20-24W
In: 85-265Vac 0.35A 50/60Hz
Out: 24-42V 500mA
Ta 50ºC Tc 70ºC IP65")</f>
        <v>Modelo: LED 20-24W
In: 85-265Vac 0.35A 50/60Hz
Out: 24-42V 500mA
Ta 50ºC Tc 70ºC IP65</v>
      </c>
      <c r="K1258" s="97" t="str">
        <f>IFERROR(__xludf.DUMMYFUNCTION("""COMPUTED_VALUE"""),"ON/OFF")</f>
        <v>ON/OFF</v>
      </c>
      <c r="L1258" s="97" t="str">
        <f>IFERROR(__xludf.DUMMYFUNCTION("""COMPUTED_VALUE"""),"200-240")</f>
        <v>200-240</v>
      </c>
      <c r="M1258" s="97" t="str">
        <f>IFERROR(__xludf.DUMMYFUNCTION("""COMPUTED_VALUE"""),"50/60")</f>
        <v>50/60</v>
      </c>
      <c r="N1258" s="97" t="str">
        <f>IFERROR(__xludf.DUMMYFUNCTION("""COMPUTED_VALUE"""),"Directa")</f>
        <v>Directa</v>
      </c>
      <c r="O1258" s="97">
        <f>IFERROR(__xludf.DUMMYFUNCTION("""COMPUTED_VALUE"""),20.0)</f>
        <v>20</v>
      </c>
      <c r="P1258" s="97"/>
      <c r="Q1258" s="97">
        <f>IFERROR(__xludf.DUMMYFUNCTION("""COMPUTED_VALUE"""),0.45)</f>
        <v>0.45</v>
      </c>
      <c r="R1258" s="97" t="str">
        <f>IFERROR(__xludf.DUMMYFUNCTION("""COMPUTED_VALUE"""),"-")</f>
        <v>-</v>
      </c>
      <c r="S1258" s="97" t="str">
        <f>IFERROR(__xludf.DUMMYFUNCTION("""COMPUTED_VALUE"""),"-")</f>
        <v>-</v>
      </c>
      <c r="T1258" s="97">
        <f>IFERROR(__xludf.DUMMYFUNCTION("""COMPUTED_VALUE"""),1300.0)</f>
        <v>1300</v>
      </c>
      <c r="U1258" s="99">
        <f>IFERROR(__xludf.DUMMYFUNCTION("""COMPUTED_VALUE"""),65.0)</f>
        <v>65</v>
      </c>
      <c r="V1258" s="97">
        <f>IFERROR(__xludf.DUMMYFUNCTION("""COMPUTED_VALUE"""),110.0)</f>
        <v>110</v>
      </c>
      <c r="W1258" s="97" t="str">
        <f>IFERROR(__xludf.DUMMYFUNCTION("""COMPUTED_VALUE"""),"&lt; 25")</f>
        <v>&lt; 25</v>
      </c>
      <c r="X1258" s="97" t="str">
        <f>IFERROR(__xludf.DUMMYFUNCTION("""COMPUTED_VALUE"""),"3000/4000/6000")</f>
        <v>3000/4000/6000</v>
      </c>
      <c r="Y1258" s="97" t="str">
        <f>IFERROR(__xludf.DUMMYFUNCTION("""COMPUTED_VALUE"""),"&gt;90")</f>
        <v>&gt;90</v>
      </c>
      <c r="Z1258" s="97"/>
      <c r="AA1258" s="97"/>
      <c r="AB1258" s="97" t="str">
        <f>IFERROR(__xludf.DUMMYFUNCTION("""COMPUTED_VALUE"""),"-")</f>
        <v>-</v>
      </c>
      <c r="AC1258" s="97"/>
      <c r="AD1258" s="97" t="str">
        <f>IFERROR(__xludf.DUMMYFUNCTION("""COMPUTED_VALUE"""),"IP44")</f>
        <v>IP44</v>
      </c>
      <c r="AE1258" s="97" t="str">
        <f>IFERROR(__xludf.DUMMYFUNCTION("""COMPUTED_VALUE"""),"Clase l")</f>
        <v>Clase l</v>
      </c>
      <c r="AF1258" s="97" t="str">
        <f>IFERROR(__xludf.DUMMYFUNCTION("""COMPUTED_VALUE"""),"Aplicar")</f>
        <v>Aplicar</v>
      </c>
      <c r="AG1258" s="97" t="str">
        <f>IFERROR(__xludf.DUMMYFUNCTION("""COMPUTED_VALUE"""),"Ø120 x 70")</f>
        <v>Ø120 x 70</v>
      </c>
      <c r="AH1258" s="97" t="str">
        <f>IFERROR(__xludf.DUMMYFUNCTION("""COMPUTED_VALUE"""),"N/A")</f>
        <v>N/A</v>
      </c>
      <c r="AI1258" s="97" t="str">
        <f>IFERROR(__xludf.DUMMYFUNCTION("""COMPUTED_VALUE"""),"N/A")</f>
        <v>N/A</v>
      </c>
      <c r="AJ1258" s="97" t="str">
        <f>IFERROR(__xludf.DUMMYFUNCTION("""COMPUTED_VALUE"""),"Policarbonato (PC)")</f>
        <v>Policarbonato (PC)</v>
      </c>
      <c r="AK1258" s="97" t="str">
        <f>IFERROR(__xludf.DUMMYFUNCTION("""COMPUTED_VALUE"""),"Aluminio")</f>
        <v>Aluminio</v>
      </c>
      <c r="AL1258" s="97" t="str">
        <f>IFERROR(__xludf.DUMMYFUNCTION("""COMPUTED_VALUE"""),"Blanco Satinado")</f>
        <v>Blanco Satinado</v>
      </c>
      <c r="AM1258" s="97" t="str">
        <f>IFERROR(__xludf.DUMMYFUNCTION("""COMPUTED_VALUE"""),"-")</f>
        <v>-</v>
      </c>
      <c r="AN1258" s="97" t="str">
        <f>IFERROR(__xludf.DUMMYFUNCTION("""COMPUTED_VALUE"""),"25.000hs (L70)")</f>
        <v>25.000hs (L70)</v>
      </c>
      <c r="AO1258" s="97" t="str">
        <f>IFERROR(__xludf.DUMMYFUNCTION("""COMPUTED_VALUE"""),"2 Años")</f>
        <v>2 Años</v>
      </c>
      <c r="AP1258" s="97" t="str">
        <f>IFERROR(__xludf.DUMMYFUNCTION("""COMPUTED_VALUE"""),"Disponible")</f>
        <v>Disponible</v>
      </c>
      <c r="AQ1258" s="97" t="str">
        <f>IFERROR(__xludf.DUMMYFUNCTION("""COMPUTED_VALUE"""),"Disponible")</f>
        <v>Disponible</v>
      </c>
      <c r="AR1258" s="97" t="str">
        <f>IFERROR(__xludf.DUMMYFUNCTION("""COMPUTED_VALUE"""),"Disponible")</f>
        <v>Disponible</v>
      </c>
      <c r="AS1258" s="97" t="str">
        <f>IFERROR(__xludf.DUMMYFUNCTION("""COMPUTED_VALUE"""),"Falta")</f>
        <v>Falta</v>
      </c>
      <c r="AT1258" s="97" t="str">
        <f>IFERROR(__xludf.DUMMYFUNCTION("""COMPUTED_VALUE"""),"Falta")</f>
        <v>Falta</v>
      </c>
      <c r="AU1258" s="97" t="str">
        <f>IFERROR(__xludf.DUMMYFUNCTION("""COMPUTED_VALUE"""),"Falta")</f>
        <v>Falta</v>
      </c>
      <c r="AV1258" s="97" t="str">
        <f>IFERROR(__xludf.DUMMYFUNCTION("""COMPUTED_VALUE"""),"Aplique")</f>
        <v>Aplique</v>
      </c>
      <c r="AW1258" s="97" t="str">
        <f>IFERROR(__xludf.DUMMYFUNCTION("""COMPUTED_VALUE"""),"De Techo")</f>
        <v>De Techo</v>
      </c>
      <c r="AX1258" s="97" t="str">
        <f>IFERROR(__xludf.DUMMYFUNCTION("""COMPUTED_VALUE"""),"Exterior")</f>
        <v>Exterior</v>
      </c>
      <c r="AY1258" s="97" t="str">
        <f>IFERROR(__xludf.DUMMYFUNCTION("""COMPUTED_VALUE"""),"-")</f>
        <v>-</v>
      </c>
      <c r="AZ1258" s="97" t="str">
        <f>IFERROR(__xludf.DUMMYFUNCTION("""COMPUTED_VALUE"""),"Switch p/cambio de color.")</f>
        <v>Switch p/cambio de color.</v>
      </c>
      <c r="BA1258" s="97"/>
      <c r="BB1258" s="97"/>
      <c r="BC1258" s="97"/>
      <c r="BD1258" s="97" t="str">
        <f>IFERROR(__xludf.DUMMYFUNCTION("""COMPUTED_VALUE"""),"PRISMA")</f>
        <v>PRISMA</v>
      </c>
      <c r="BE1258" s="97" t="str">
        <f>IFERROR(__xludf.DUMMYFUNCTION("""COMPUTED_VALUE"""),"Finalizada")</f>
        <v>Finalizada</v>
      </c>
      <c r="BF1258" s="97"/>
      <c r="BG1258" s="97" t="str">
        <f>IFERROR(__xludf.DUMMYFUNCTION("""COMPUTED_VALUE"""),"Activo")</f>
        <v>Activo</v>
      </c>
    </row>
    <row r="1259">
      <c r="A1259" s="97">
        <f>IFERROR(__xludf.DUMMYFUNCTION("""COMPUTED_VALUE"""),7219.0)</f>
        <v>7219</v>
      </c>
      <c r="B1259" s="97" t="str">
        <f>IFERROR(__xludf.DUMMYFUNCTION("""COMPUTED_VALUE"""),"PRISMA NG 20W IP44")</f>
        <v>PRISMA NG 20W IP44</v>
      </c>
      <c r="C1259" s="97" t="str">
        <f>IFERROR(__xludf.DUMMYFUNCTION("""COMPUTED_VALUE"""),"APLIQUE PRISMA NG 20W IP44 20W 3000/4000/6000K 1300LM CRI&gt;90 IP44 LEUK")</f>
        <v>APLIQUE PRISMA NG 20W IP44 20W 3000/4000/6000K 1300LM CRI&gt;90 IP44 LEUK</v>
      </c>
      <c r="D1259" s="97">
        <f>IFERROR(__xludf.DUMMYFUNCTION("""COMPUTED_VALUE"""),7.798413227185E12)</f>
        <v>7798413227185</v>
      </c>
      <c r="E1259" s="97" t="str">
        <f>IFERROR(__xludf.DUMMYFUNCTION("""COMPUTED_VALUE"""),"R176")</f>
        <v>R176</v>
      </c>
      <c r="F1259" s="97" t="str">
        <f>IFERROR(__xludf.DUMMYFUNCTION("""COMPUTED_VALUE"""),"LED integrado")</f>
        <v>LED integrado</v>
      </c>
      <c r="G1259" s="97" t="str">
        <f>IFERROR(__xludf.DUMMYFUNCTION("""COMPUTED_VALUE"""),"OSRAM")</f>
        <v>OSRAM</v>
      </c>
      <c r="H1259" s="97" t="str">
        <f>IFERROR(__xludf.DUMMYFUNCTION("""COMPUTED_VALUE"""),"-")</f>
        <v>-</v>
      </c>
      <c r="I1259" s="97"/>
      <c r="J1259" s="97" t="str">
        <f>IFERROR(__xludf.DUMMYFUNCTION("""COMPUTED_VALUE"""),"Modelo: LED 20-24W
In: 85-265Vac 0.35A 50/60Hz
Out: 24-42V 500mA
Ta 50ºC Tc 70ºC IP65")</f>
        <v>Modelo: LED 20-24W
In: 85-265Vac 0.35A 50/60Hz
Out: 24-42V 500mA
Ta 50ºC Tc 70ºC IP65</v>
      </c>
      <c r="K1259" s="97" t="str">
        <f>IFERROR(__xludf.DUMMYFUNCTION("""COMPUTED_VALUE"""),"ON/OFF")</f>
        <v>ON/OFF</v>
      </c>
      <c r="L1259" s="97" t="str">
        <f>IFERROR(__xludf.DUMMYFUNCTION("""COMPUTED_VALUE"""),"200-240")</f>
        <v>200-240</v>
      </c>
      <c r="M1259" s="97" t="str">
        <f>IFERROR(__xludf.DUMMYFUNCTION("""COMPUTED_VALUE"""),"50/60")</f>
        <v>50/60</v>
      </c>
      <c r="N1259" s="97" t="str">
        <f>IFERROR(__xludf.DUMMYFUNCTION("""COMPUTED_VALUE"""),"Directa")</f>
        <v>Directa</v>
      </c>
      <c r="O1259" s="97">
        <f>IFERROR(__xludf.DUMMYFUNCTION("""COMPUTED_VALUE"""),20.0)</f>
        <v>20</v>
      </c>
      <c r="P1259" s="97"/>
      <c r="Q1259" s="97">
        <f>IFERROR(__xludf.DUMMYFUNCTION("""COMPUTED_VALUE"""),0.45)</f>
        <v>0.45</v>
      </c>
      <c r="R1259" s="97" t="str">
        <f>IFERROR(__xludf.DUMMYFUNCTION("""COMPUTED_VALUE"""),"-")</f>
        <v>-</v>
      </c>
      <c r="S1259" s="97" t="str">
        <f>IFERROR(__xludf.DUMMYFUNCTION("""COMPUTED_VALUE"""),"-")</f>
        <v>-</v>
      </c>
      <c r="T1259" s="97">
        <f>IFERROR(__xludf.DUMMYFUNCTION("""COMPUTED_VALUE"""),1300.0)</f>
        <v>1300</v>
      </c>
      <c r="U1259" s="99">
        <f>IFERROR(__xludf.DUMMYFUNCTION("""COMPUTED_VALUE"""),65.0)</f>
        <v>65</v>
      </c>
      <c r="V1259" s="97">
        <f>IFERROR(__xludf.DUMMYFUNCTION("""COMPUTED_VALUE"""),110.0)</f>
        <v>110</v>
      </c>
      <c r="W1259" s="97" t="str">
        <f>IFERROR(__xludf.DUMMYFUNCTION("""COMPUTED_VALUE"""),"&lt; 25")</f>
        <v>&lt; 25</v>
      </c>
      <c r="X1259" s="97" t="str">
        <f>IFERROR(__xludf.DUMMYFUNCTION("""COMPUTED_VALUE"""),"3000/4000/6000")</f>
        <v>3000/4000/6000</v>
      </c>
      <c r="Y1259" s="97" t="str">
        <f>IFERROR(__xludf.DUMMYFUNCTION("""COMPUTED_VALUE"""),"&gt;90")</f>
        <v>&gt;90</v>
      </c>
      <c r="Z1259" s="97"/>
      <c r="AA1259" s="97"/>
      <c r="AB1259" s="97" t="str">
        <f>IFERROR(__xludf.DUMMYFUNCTION("""COMPUTED_VALUE"""),"-")</f>
        <v>-</v>
      </c>
      <c r="AC1259" s="97"/>
      <c r="AD1259" s="97" t="str">
        <f>IFERROR(__xludf.DUMMYFUNCTION("""COMPUTED_VALUE"""),"IP44")</f>
        <v>IP44</v>
      </c>
      <c r="AE1259" s="97" t="str">
        <f>IFERROR(__xludf.DUMMYFUNCTION("""COMPUTED_VALUE"""),"Clase l")</f>
        <v>Clase l</v>
      </c>
      <c r="AF1259" s="97" t="str">
        <f>IFERROR(__xludf.DUMMYFUNCTION("""COMPUTED_VALUE"""),"Aplicar")</f>
        <v>Aplicar</v>
      </c>
      <c r="AG1259" s="97" t="str">
        <f>IFERROR(__xludf.DUMMYFUNCTION("""COMPUTED_VALUE"""),"Ø120 x 70")</f>
        <v>Ø120 x 70</v>
      </c>
      <c r="AH1259" s="97" t="str">
        <f>IFERROR(__xludf.DUMMYFUNCTION("""COMPUTED_VALUE"""),"N/A")</f>
        <v>N/A</v>
      </c>
      <c r="AI1259" s="97" t="str">
        <f>IFERROR(__xludf.DUMMYFUNCTION("""COMPUTED_VALUE"""),"N/A")</f>
        <v>N/A</v>
      </c>
      <c r="AJ1259" s="97" t="str">
        <f>IFERROR(__xludf.DUMMYFUNCTION("""COMPUTED_VALUE"""),"Policarbonato (PC)")</f>
        <v>Policarbonato (PC)</v>
      </c>
      <c r="AK1259" s="97" t="str">
        <f>IFERROR(__xludf.DUMMYFUNCTION("""COMPUTED_VALUE"""),"Aluminio")</f>
        <v>Aluminio</v>
      </c>
      <c r="AL1259" s="97" t="str">
        <f>IFERROR(__xludf.DUMMYFUNCTION("""COMPUTED_VALUE"""),"Negro Satinado")</f>
        <v>Negro Satinado</v>
      </c>
      <c r="AM1259" s="97" t="str">
        <f>IFERROR(__xludf.DUMMYFUNCTION("""COMPUTED_VALUE"""),"-")</f>
        <v>-</v>
      </c>
      <c r="AN1259" s="97" t="str">
        <f>IFERROR(__xludf.DUMMYFUNCTION("""COMPUTED_VALUE"""),"25.000hs (L70)")</f>
        <v>25.000hs (L70)</v>
      </c>
      <c r="AO1259" s="97" t="str">
        <f>IFERROR(__xludf.DUMMYFUNCTION("""COMPUTED_VALUE"""),"2 Años")</f>
        <v>2 Años</v>
      </c>
      <c r="AP1259" s="97" t="str">
        <f>IFERROR(__xludf.DUMMYFUNCTION("""COMPUTED_VALUE"""),"Disponible")</f>
        <v>Disponible</v>
      </c>
      <c r="AQ1259" s="97" t="str">
        <f>IFERROR(__xludf.DUMMYFUNCTION("""COMPUTED_VALUE"""),"Disponible")</f>
        <v>Disponible</v>
      </c>
      <c r="AR1259" s="97" t="str">
        <f>IFERROR(__xludf.DUMMYFUNCTION("""COMPUTED_VALUE"""),"Disponible")</f>
        <v>Disponible</v>
      </c>
      <c r="AS1259" s="97" t="str">
        <f>IFERROR(__xludf.DUMMYFUNCTION("""COMPUTED_VALUE"""),"Falta")</f>
        <v>Falta</v>
      </c>
      <c r="AT1259" s="97" t="str">
        <f>IFERROR(__xludf.DUMMYFUNCTION("""COMPUTED_VALUE"""),"Falta")</f>
        <v>Falta</v>
      </c>
      <c r="AU1259" s="97" t="str">
        <f>IFERROR(__xludf.DUMMYFUNCTION("""COMPUTED_VALUE"""),"Falta")</f>
        <v>Falta</v>
      </c>
      <c r="AV1259" s="97" t="str">
        <f>IFERROR(__xludf.DUMMYFUNCTION("""COMPUTED_VALUE"""),"Aplique")</f>
        <v>Aplique</v>
      </c>
      <c r="AW1259" s="97" t="str">
        <f>IFERROR(__xludf.DUMMYFUNCTION("""COMPUTED_VALUE"""),"De Techo")</f>
        <v>De Techo</v>
      </c>
      <c r="AX1259" s="97" t="str">
        <f>IFERROR(__xludf.DUMMYFUNCTION("""COMPUTED_VALUE"""),"Exterior")</f>
        <v>Exterior</v>
      </c>
      <c r="AY1259" s="97" t="str">
        <f>IFERROR(__xludf.DUMMYFUNCTION("""COMPUTED_VALUE"""),"-")</f>
        <v>-</v>
      </c>
      <c r="AZ1259" s="97" t="str">
        <f>IFERROR(__xludf.DUMMYFUNCTION("""COMPUTED_VALUE"""),"Switch p/cambio de color.")</f>
        <v>Switch p/cambio de color.</v>
      </c>
      <c r="BA1259" s="97"/>
      <c r="BB1259" s="97"/>
      <c r="BC1259" s="97"/>
      <c r="BD1259" s="97" t="str">
        <f>IFERROR(__xludf.DUMMYFUNCTION("""COMPUTED_VALUE"""),"PRISMA")</f>
        <v>PRISMA</v>
      </c>
      <c r="BE1259" s="97" t="str">
        <f>IFERROR(__xludf.DUMMYFUNCTION("""COMPUTED_VALUE"""),"Finalizada")</f>
        <v>Finalizada</v>
      </c>
      <c r="BF1259" s="97"/>
      <c r="BG1259" s="97" t="str">
        <f>IFERROR(__xludf.DUMMYFUNCTION("""COMPUTED_VALUE"""),"Activo")</f>
        <v>Activo</v>
      </c>
    </row>
    <row r="1260">
      <c r="A1260" s="97">
        <f>IFERROR(__xludf.DUMMYFUNCTION("""COMPUTED_VALUE"""),7220.0)</f>
        <v>7220</v>
      </c>
      <c r="B1260" s="97" t="str">
        <f>IFERROR(__xludf.DUMMYFUNCTION("""COMPUTED_VALUE"""),"EMBUTIDO CABEZAL NG")</f>
        <v>EMBUTIDO CABEZAL NG</v>
      </c>
      <c r="C1260" s="97" t="str">
        <f>IFERROR(__xludf.DUMMYFUNCTION("""COMPUTED_VALUE"""),"ACCESORIO EMBUTIDO CABEZAL NG LEUK")</f>
        <v>ACCESORIO EMBUTIDO CABEZAL NG LEUK</v>
      </c>
      <c r="D1260" s="97">
        <f>IFERROR(__xludf.DUMMYFUNCTION("""COMPUTED_VALUE"""),7.798413227192E12)</f>
        <v>7798413227192</v>
      </c>
      <c r="E1260" s="97" t="str">
        <f>IFERROR(__xludf.DUMMYFUNCTION("""COMPUTED_VALUE"""),"N/A")</f>
        <v>N/A</v>
      </c>
      <c r="F1260" s="97" t="str">
        <f>IFERROR(__xludf.DUMMYFUNCTION("""COMPUTED_VALUE"""),"N/A")</f>
        <v>N/A</v>
      </c>
      <c r="G1260" s="97" t="str">
        <f>IFERROR(__xludf.DUMMYFUNCTION("""COMPUTED_VALUE"""),"N/A")</f>
        <v>N/A</v>
      </c>
      <c r="H1260" s="97" t="str">
        <f>IFERROR(__xludf.DUMMYFUNCTION("""COMPUTED_VALUE"""),"N/A")</f>
        <v>N/A</v>
      </c>
      <c r="I1260" s="97" t="str">
        <f>IFERROR(__xludf.DUMMYFUNCTION("""COMPUTED_VALUE"""),"N/A")</f>
        <v>N/A</v>
      </c>
      <c r="J1260" s="97" t="str">
        <f>IFERROR(__xludf.DUMMYFUNCTION("""COMPUTED_VALUE"""),"N/A")</f>
        <v>N/A</v>
      </c>
      <c r="K1260" s="97" t="str">
        <f>IFERROR(__xludf.DUMMYFUNCTION("""COMPUTED_VALUE"""),"N/A")</f>
        <v>N/A</v>
      </c>
      <c r="L1260" s="97" t="str">
        <f>IFERROR(__xludf.DUMMYFUNCTION("""COMPUTED_VALUE"""),"N/A")</f>
        <v>N/A</v>
      </c>
      <c r="M1260" s="97" t="str">
        <f>IFERROR(__xludf.DUMMYFUNCTION("""COMPUTED_VALUE"""),"N/A")</f>
        <v>N/A</v>
      </c>
      <c r="N1260" s="97" t="str">
        <f>IFERROR(__xludf.DUMMYFUNCTION("""COMPUTED_VALUE"""),"N/A")</f>
        <v>N/A</v>
      </c>
      <c r="O1260" s="97" t="str">
        <f>IFERROR(__xludf.DUMMYFUNCTION("""COMPUTED_VALUE"""),"-")</f>
        <v>-</v>
      </c>
      <c r="P1260" s="97"/>
      <c r="Q1260" s="97" t="str">
        <f>IFERROR(__xludf.DUMMYFUNCTION("""COMPUTED_VALUE"""),"-")</f>
        <v>-</v>
      </c>
      <c r="R1260" s="97" t="str">
        <f>IFERROR(__xludf.DUMMYFUNCTION("""COMPUTED_VALUE"""),"-")</f>
        <v>-</v>
      </c>
      <c r="S1260" s="97" t="str">
        <f>IFERROR(__xludf.DUMMYFUNCTION("""COMPUTED_VALUE"""),"-")</f>
        <v>-</v>
      </c>
      <c r="T1260" s="97" t="str">
        <f>IFERROR(__xludf.DUMMYFUNCTION("""COMPUTED_VALUE"""),"-")</f>
        <v>-</v>
      </c>
      <c r="U1260" s="97" t="str">
        <f>IFERROR(__xludf.DUMMYFUNCTION("""COMPUTED_VALUE"""),"-")</f>
        <v>-</v>
      </c>
      <c r="V1260" s="97" t="str">
        <f>IFERROR(__xludf.DUMMYFUNCTION("""COMPUTED_VALUE"""),"N/A")</f>
        <v>N/A</v>
      </c>
      <c r="W1260" s="97" t="str">
        <f>IFERROR(__xludf.DUMMYFUNCTION("""COMPUTED_VALUE"""),"N/A")</f>
        <v>N/A</v>
      </c>
      <c r="X1260" s="97" t="str">
        <f>IFERROR(__xludf.DUMMYFUNCTION("""COMPUTED_VALUE"""),"-")</f>
        <v>-</v>
      </c>
      <c r="Y1260" s="97" t="str">
        <f>IFERROR(__xludf.DUMMYFUNCTION("""COMPUTED_VALUE"""),"N/A")</f>
        <v>N/A</v>
      </c>
      <c r="Z1260" s="97" t="str">
        <f>IFERROR(__xludf.DUMMYFUNCTION("""COMPUTED_VALUE"""),"N/A")</f>
        <v>N/A</v>
      </c>
      <c r="AA1260" s="97" t="str">
        <f>IFERROR(__xludf.DUMMYFUNCTION("""COMPUTED_VALUE"""),"N/A")</f>
        <v>N/A</v>
      </c>
      <c r="AB1260" s="97" t="str">
        <f>IFERROR(__xludf.DUMMYFUNCTION("""COMPUTED_VALUE"""),"N/A")</f>
        <v>N/A</v>
      </c>
      <c r="AC1260" s="97" t="str">
        <f>IFERROR(__xludf.DUMMYFUNCTION("""COMPUTED_VALUE"""),"N/A")</f>
        <v>N/A</v>
      </c>
      <c r="AD1260" s="97" t="str">
        <f>IFERROR(__xludf.DUMMYFUNCTION("""COMPUTED_VALUE"""),"N/A")</f>
        <v>N/A</v>
      </c>
      <c r="AE1260" s="97" t="str">
        <f>IFERROR(__xludf.DUMMYFUNCTION("""COMPUTED_VALUE"""),"N/A")</f>
        <v>N/A</v>
      </c>
      <c r="AF1260" s="97" t="str">
        <f>IFERROR(__xludf.DUMMYFUNCTION("""COMPUTED_VALUE"""),"N/A")</f>
        <v>N/A</v>
      </c>
      <c r="AG1260" s="97" t="str">
        <f>IFERROR(__xludf.DUMMYFUNCTION("""COMPUTED_VALUE"""),"Ø85 x 21")</f>
        <v>Ø85 x 21</v>
      </c>
      <c r="AH1260" s="97" t="str">
        <f>IFERROR(__xludf.DUMMYFUNCTION("""COMPUTED_VALUE"""),"Ø66")</f>
        <v>Ø66</v>
      </c>
      <c r="AI1260" s="97" t="str">
        <f>IFERROR(__xludf.DUMMYFUNCTION("""COMPUTED_VALUE"""),"-")</f>
        <v>-</v>
      </c>
      <c r="AJ1260" s="97" t="str">
        <f>IFERROR(__xludf.DUMMYFUNCTION("""COMPUTED_VALUE"""),"N/A")</f>
        <v>N/A</v>
      </c>
      <c r="AK1260" s="97" t="str">
        <f>IFERROR(__xludf.DUMMYFUNCTION("""COMPUTED_VALUE"""),"Aluminio")</f>
        <v>Aluminio</v>
      </c>
      <c r="AL1260" s="97" t="str">
        <f>IFERROR(__xludf.DUMMYFUNCTION("""COMPUTED_VALUE"""),"Negro Satinado")</f>
        <v>Negro Satinado</v>
      </c>
      <c r="AM1260" s="97" t="str">
        <f>IFERROR(__xludf.DUMMYFUNCTION("""COMPUTED_VALUE"""),"-")</f>
        <v>-</v>
      </c>
      <c r="AN1260" s="97" t="str">
        <f>IFERROR(__xludf.DUMMYFUNCTION("""COMPUTED_VALUE"""),"N/A")</f>
        <v>N/A</v>
      </c>
      <c r="AO1260" s="97" t="str">
        <f>IFERROR(__xludf.DUMMYFUNCTION("""COMPUTED_VALUE"""),"3 Años")</f>
        <v>3 Años</v>
      </c>
      <c r="AP1260" s="97" t="str">
        <f>IFERROR(__xludf.DUMMYFUNCTION("""COMPUTED_VALUE"""),"No Aplica")</f>
        <v>No Aplica</v>
      </c>
      <c r="AQ1260" s="97" t="str">
        <f>IFERROR(__xludf.DUMMYFUNCTION("""COMPUTED_VALUE"""),"No Aplica")</f>
        <v>No Aplica</v>
      </c>
      <c r="AR1260" s="97" t="str">
        <f>IFERROR(__xludf.DUMMYFUNCTION("""COMPUTED_VALUE"""),"No Aplica")</f>
        <v>No Aplica</v>
      </c>
      <c r="AS1260" s="97" t="str">
        <f>IFERROR(__xludf.DUMMYFUNCTION("""COMPUTED_VALUE"""),"No Aplica")</f>
        <v>No Aplica</v>
      </c>
      <c r="AT1260" s="97" t="str">
        <f>IFERROR(__xludf.DUMMYFUNCTION("""COMPUTED_VALUE"""),"No Aplica")</f>
        <v>No Aplica</v>
      </c>
      <c r="AU1260" s="97" t="str">
        <f>IFERROR(__xludf.DUMMYFUNCTION("""COMPUTED_VALUE"""),"Falta")</f>
        <v>Falta</v>
      </c>
      <c r="AV1260" s="97" t="str">
        <f>IFERROR(__xludf.DUMMYFUNCTION("""COMPUTED_VALUE"""),"Accesorio")</f>
        <v>Accesorio</v>
      </c>
      <c r="AW1260" s="97" t="str">
        <f>IFERROR(__xludf.DUMMYFUNCTION("""COMPUTED_VALUE"""),"De Techo")</f>
        <v>De Techo</v>
      </c>
      <c r="AX1260" s="97" t="str">
        <f>IFERROR(__xludf.DUMMYFUNCTION("""COMPUTED_VALUE"""),"Interior")</f>
        <v>Interior</v>
      </c>
      <c r="AY1260" s="97" t="str">
        <f>IFERROR(__xludf.DUMMYFUNCTION("""COMPUTED_VALUE"""),"-")</f>
        <v>-</v>
      </c>
      <c r="AZ1260" s="97"/>
      <c r="BA1260" s="97"/>
      <c r="BB1260" s="97"/>
      <c r="BC1260" s="97"/>
      <c r="BD1260" s="97" t="str">
        <f>IFERROR(__xludf.DUMMYFUNCTION("""COMPUTED_VALUE"""),"???")</f>
        <v>???</v>
      </c>
      <c r="BE1260" s="97" t="str">
        <f>IFERROR(__xludf.DUMMYFUNCTION("""COMPUTED_VALUE"""),"Falta TR")</f>
        <v>Falta TR</v>
      </c>
      <c r="BF1260" s="97"/>
      <c r="BG1260" s="97" t="str">
        <f>IFERROR(__xludf.DUMMYFUNCTION("""COMPUTED_VALUE"""),"Activo")</f>
        <v>Activo</v>
      </c>
    </row>
    <row r="1261">
      <c r="A1261" s="97">
        <f>IFERROR(__xludf.DUMMYFUNCTION("""COMPUTED_VALUE"""),7221.0)</f>
        <v>7221</v>
      </c>
      <c r="B1261" s="97" t="str">
        <f>IFERROR(__xludf.DUMMYFUNCTION("""COMPUTED_VALUE"""),"EMBUTIDO CABEZAL BL")</f>
        <v>EMBUTIDO CABEZAL BL</v>
      </c>
      <c r="C1261" s="97" t="str">
        <f>IFERROR(__xludf.DUMMYFUNCTION("""COMPUTED_VALUE"""),"ACCESORIO EMBUTIDO CABEZAL BL LEUK")</f>
        <v>ACCESORIO EMBUTIDO CABEZAL BL LEUK</v>
      </c>
      <c r="D1261" s="97">
        <f>IFERROR(__xludf.DUMMYFUNCTION("""COMPUTED_VALUE"""),7.798413227208E12)</f>
        <v>7798413227208</v>
      </c>
      <c r="E1261" s="97" t="str">
        <f>IFERROR(__xludf.DUMMYFUNCTION("""COMPUTED_VALUE"""),"N/A")</f>
        <v>N/A</v>
      </c>
      <c r="F1261" s="97" t="str">
        <f>IFERROR(__xludf.DUMMYFUNCTION("""COMPUTED_VALUE"""),"N/A")</f>
        <v>N/A</v>
      </c>
      <c r="G1261" s="97" t="str">
        <f>IFERROR(__xludf.DUMMYFUNCTION("""COMPUTED_VALUE"""),"N/A")</f>
        <v>N/A</v>
      </c>
      <c r="H1261" s="97" t="str">
        <f>IFERROR(__xludf.DUMMYFUNCTION("""COMPUTED_VALUE"""),"N/A")</f>
        <v>N/A</v>
      </c>
      <c r="I1261" s="97" t="str">
        <f>IFERROR(__xludf.DUMMYFUNCTION("""COMPUTED_VALUE"""),"N/A")</f>
        <v>N/A</v>
      </c>
      <c r="J1261" s="97" t="str">
        <f>IFERROR(__xludf.DUMMYFUNCTION("""COMPUTED_VALUE"""),"N/A")</f>
        <v>N/A</v>
      </c>
      <c r="K1261" s="97" t="str">
        <f>IFERROR(__xludf.DUMMYFUNCTION("""COMPUTED_VALUE"""),"N/A")</f>
        <v>N/A</v>
      </c>
      <c r="L1261" s="97" t="str">
        <f>IFERROR(__xludf.DUMMYFUNCTION("""COMPUTED_VALUE"""),"N/A")</f>
        <v>N/A</v>
      </c>
      <c r="M1261" s="97" t="str">
        <f>IFERROR(__xludf.DUMMYFUNCTION("""COMPUTED_VALUE"""),"N/A")</f>
        <v>N/A</v>
      </c>
      <c r="N1261" s="97" t="str">
        <f>IFERROR(__xludf.DUMMYFUNCTION("""COMPUTED_VALUE"""),"N/A")</f>
        <v>N/A</v>
      </c>
      <c r="O1261" s="97" t="str">
        <f>IFERROR(__xludf.DUMMYFUNCTION("""COMPUTED_VALUE"""),"-")</f>
        <v>-</v>
      </c>
      <c r="P1261" s="97"/>
      <c r="Q1261" s="97" t="str">
        <f>IFERROR(__xludf.DUMMYFUNCTION("""COMPUTED_VALUE"""),"-")</f>
        <v>-</v>
      </c>
      <c r="R1261" s="97" t="str">
        <f>IFERROR(__xludf.DUMMYFUNCTION("""COMPUTED_VALUE"""),"-")</f>
        <v>-</v>
      </c>
      <c r="S1261" s="97" t="str">
        <f>IFERROR(__xludf.DUMMYFUNCTION("""COMPUTED_VALUE"""),"-")</f>
        <v>-</v>
      </c>
      <c r="T1261" s="97" t="str">
        <f>IFERROR(__xludf.DUMMYFUNCTION("""COMPUTED_VALUE"""),"-")</f>
        <v>-</v>
      </c>
      <c r="U1261" s="97" t="str">
        <f>IFERROR(__xludf.DUMMYFUNCTION("""COMPUTED_VALUE"""),"-")</f>
        <v>-</v>
      </c>
      <c r="V1261" s="97" t="str">
        <f>IFERROR(__xludf.DUMMYFUNCTION("""COMPUTED_VALUE"""),"N/A")</f>
        <v>N/A</v>
      </c>
      <c r="W1261" s="97" t="str">
        <f>IFERROR(__xludf.DUMMYFUNCTION("""COMPUTED_VALUE"""),"N/A")</f>
        <v>N/A</v>
      </c>
      <c r="X1261" s="97" t="str">
        <f>IFERROR(__xludf.DUMMYFUNCTION("""COMPUTED_VALUE"""),"-")</f>
        <v>-</v>
      </c>
      <c r="Y1261" s="97" t="str">
        <f>IFERROR(__xludf.DUMMYFUNCTION("""COMPUTED_VALUE"""),"N/A")</f>
        <v>N/A</v>
      </c>
      <c r="Z1261" s="97" t="str">
        <f>IFERROR(__xludf.DUMMYFUNCTION("""COMPUTED_VALUE"""),"N/A")</f>
        <v>N/A</v>
      </c>
      <c r="AA1261" s="97" t="str">
        <f>IFERROR(__xludf.DUMMYFUNCTION("""COMPUTED_VALUE"""),"N/A")</f>
        <v>N/A</v>
      </c>
      <c r="AB1261" s="97" t="str">
        <f>IFERROR(__xludf.DUMMYFUNCTION("""COMPUTED_VALUE"""),"N/A")</f>
        <v>N/A</v>
      </c>
      <c r="AC1261" s="97" t="str">
        <f>IFERROR(__xludf.DUMMYFUNCTION("""COMPUTED_VALUE"""),"N/A")</f>
        <v>N/A</v>
      </c>
      <c r="AD1261" s="97" t="str">
        <f>IFERROR(__xludf.DUMMYFUNCTION("""COMPUTED_VALUE"""),"N/A")</f>
        <v>N/A</v>
      </c>
      <c r="AE1261" s="97" t="str">
        <f>IFERROR(__xludf.DUMMYFUNCTION("""COMPUTED_VALUE"""),"N/A")</f>
        <v>N/A</v>
      </c>
      <c r="AF1261" s="97" t="str">
        <f>IFERROR(__xludf.DUMMYFUNCTION("""COMPUTED_VALUE"""),"N/A")</f>
        <v>N/A</v>
      </c>
      <c r="AG1261" s="97" t="str">
        <f>IFERROR(__xludf.DUMMYFUNCTION("""COMPUTED_VALUE"""),"Ø85 x 21")</f>
        <v>Ø85 x 21</v>
      </c>
      <c r="AH1261" s="97" t="str">
        <f>IFERROR(__xludf.DUMMYFUNCTION("""COMPUTED_VALUE"""),"Ø66")</f>
        <v>Ø66</v>
      </c>
      <c r="AI1261" s="97" t="str">
        <f>IFERROR(__xludf.DUMMYFUNCTION("""COMPUTED_VALUE"""),"-")</f>
        <v>-</v>
      </c>
      <c r="AJ1261" s="97" t="str">
        <f>IFERROR(__xludf.DUMMYFUNCTION("""COMPUTED_VALUE"""),"N/A")</f>
        <v>N/A</v>
      </c>
      <c r="AK1261" s="97" t="str">
        <f>IFERROR(__xludf.DUMMYFUNCTION("""COMPUTED_VALUE"""),"Aluminio")</f>
        <v>Aluminio</v>
      </c>
      <c r="AL1261" s="97" t="str">
        <f>IFERROR(__xludf.DUMMYFUNCTION("""COMPUTED_VALUE"""),"Blanco Satinado")</f>
        <v>Blanco Satinado</v>
      </c>
      <c r="AM1261" s="97" t="str">
        <f>IFERROR(__xludf.DUMMYFUNCTION("""COMPUTED_VALUE"""),"-")</f>
        <v>-</v>
      </c>
      <c r="AN1261" s="97" t="str">
        <f>IFERROR(__xludf.DUMMYFUNCTION("""COMPUTED_VALUE"""),"N/A")</f>
        <v>N/A</v>
      </c>
      <c r="AO1261" s="97" t="str">
        <f>IFERROR(__xludf.DUMMYFUNCTION("""COMPUTED_VALUE"""),"3 Años")</f>
        <v>3 Años</v>
      </c>
      <c r="AP1261" s="97" t="str">
        <f>IFERROR(__xludf.DUMMYFUNCTION("""COMPUTED_VALUE"""),"No Aplica")</f>
        <v>No Aplica</v>
      </c>
      <c r="AQ1261" s="97" t="str">
        <f>IFERROR(__xludf.DUMMYFUNCTION("""COMPUTED_VALUE"""),"No Aplica")</f>
        <v>No Aplica</v>
      </c>
      <c r="AR1261" s="97" t="str">
        <f>IFERROR(__xludf.DUMMYFUNCTION("""COMPUTED_VALUE"""),"No Aplica")</f>
        <v>No Aplica</v>
      </c>
      <c r="AS1261" s="97" t="str">
        <f>IFERROR(__xludf.DUMMYFUNCTION("""COMPUTED_VALUE"""),"No Aplica")</f>
        <v>No Aplica</v>
      </c>
      <c r="AT1261" s="97" t="str">
        <f>IFERROR(__xludf.DUMMYFUNCTION("""COMPUTED_VALUE"""),"No Aplica")</f>
        <v>No Aplica</v>
      </c>
      <c r="AU1261" s="97" t="str">
        <f>IFERROR(__xludf.DUMMYFUNCTION("""COMPUTED_VALUE"""),"Falta")</f>
        <v>Falta</v>
      </c>
      <c r="AV1261" s="97" t="str">
        <f>IFERROR(__xludf.DUMMYFUNCTION("""COMPUTED_VALUE"""),"Accesorio")</f>
        <v>Accesorio</v>
      </c>
      <c r="AW1261" s="97" t="str">
        <f>IFERROR(__xludf.DUMMYFUNCTION("""COMPUTED_VALUE"""),"De Techo")</f>
        <v>De Techo</v>
      </c>
      <c r="AX1261" s="97" t="str">
        <f>IFERROR(__xludf.DUMMYFUNCTION("""COMPUTED_VALUE"""),"Interior")</f>
        <v>Interior</v>
      </c>
      <c r="AY1261" s="97" t="str">
        <f>IFERROR(__xludf.DUMMYFUNCTION("""COMPUTED_VALUE"""),"-")</f>
        <v>-</v>
      </c>
      <c r="AZ1261" s="97"/>
      <c r="BA1261" s="97"/>
      <c r="BB1261" s="97"/>
      <c r="BC1261" s="97"/>
      <c r="BD1261" s="97" t="str">
        <f>IFERROR(__xludf.DUMMYFUNCTION("""COMPUTED_VALUE"""),"???")</f>
        <v>???</v>
      </c>
      <c r="BE1261" s="97" t="str">
        <f>IFERROR(__xludf.DUMMYFUNCTION("""COMPUTED_VALUE"""),"Falta TR")</f>
        <v>Falta TR</v>
      </c>
      <c r="BF1261" s="97"/>
      <c r="BG1261" s="97" t="str">
        <f>IFERROR(__xludf.DUMMYFUNCTION("""COMPUTED_VALUE"""),"Activo")</f>
        <v>Activo</v>
      </c>
    </row>
    <row r="1262">
      <c r="A1262" s="97">
        <f>IFERROR(__xludf.DUMMYFUNCTION("""COMPUTED_VALUE"""),7222.0)</f>
        <v>7222</v>
      </c>
      <c r="B1262" s="97" t="str">
        <f>IFERROR(__xludf.DUMMYFUNCTION("""COMPUTED_VALUE"""),"APLIQUE CABEZAL NG")</f>
        <v>APLIQUE CABEZAL NG</v>
      </c>
      <c r="C1262" s="97" t="str">
        <f>IFERROR(__xludf.DUMMYFUNCTION("""COMPUTED_VALUE"""),"ACCESORIO APLIQUE CABEZAL NG LEUK")</f>
        <v>ACCESORIO APLIQUE CABEZAL NG LEUK</v>
      </c>
      <c r="D1262" s="97">
        <f>IFERROR(__xludf.DUMMYFUNCTION("""COMPUTED_VALUE"""),7.798413227215E12)</f>
        <v>7798413227215</v>
      </c>
      <c r="E1262" s="97" t="str">
        <f>IFERROR(__xludf.DUMMYFUNCTION("""COMPUTED_VALUE"""),"N/A")</f>
        <v>N/A</v>
      </c>
      <c r="F1262" s="97" t="str">
        <f>IFERROR(__xludf.DUMMYFUNCTION("""COMPUTED_VALUE"""),"N/A")</f>
        <v>N/A</v>
      </c>
      <c r="G1262" s="97" t="str">
        <f>IFERROR(__xludf.DUMMYFUNCTION("""COMPUTED_VALUE"""),"N/A")</f>
        <v>N/A</v>
      </c>
      <c r="H1262" s="97" t="str">
        <f>IFERROR(__xludf.DUMMYFUNCTION("""COMPUTED_VALUE"""),"N/A")</f>
        <v>N/A</v>
      </c>
      <c r="I1262" s="97" t="str">
        <f>IFERROR(__xludf.DUMMYFUNCTION("""COMPUTED_VALUE"""),"N/A")</f>
        <v>N/A</v>
      </c>
      <c r="J1262" s="97" t="str">
        <f>IFERROR(__xludf.DUMMYFUNCTION("""COMPUTED_VALUE"""),"N/A")</f>
        <v>N/A</v>
      </c>
      <c r="K1262" s="97" t="str">
        <f>IFERROR(__xludf.DUMMYFUNCTION("""COMPUTED_VALUE"""),"N/A")</f>
        <v>N/A</v>
      </c>
      <c r="L1262" s="97" t="str">
        <f>IFERROR(__xludf.DUMMYFUNCTION("""COMPUTED_VALUE"""),"N/A")</f>
        <v>N/A</v>
      </c>
      <c r="M1262" s="97" t="str">
        <f>IFERROR(__xludf.DUMMYFUNCTION("""COMPUTED_VALUE"""),"N/A")</f>
        <v>N/A</v>
      </c>
      <c r="N1262" s="97" t="str">
        <f>IFERROR(__xludf.DUMMYFUNCTION("""COMPUTED_VALUE"""),"N/A")</f>
        <v>N/A</v>
      </c>
      <c r="O1262" s="97" t="str">
        <f>IFERROR(__xludf.DUMMYFUNCTION("""COMPUTED_VALUE"""),"-")</f>
        <v>-</v>
      </c>
      <c r="P1262" s="97"/>
      <c r="Q1262" s="97" t="str">
        <f>IFERROR(__xludf.DUMMYFUNCTION("""COMPUTED_VALUE"""),"-")</f>
        <v>-</v>
      </c>
      <c r="R1262" s="97" t="str">
        <f>IFERROR(__xludf.DUMMYFUNCTION("""COMPUTED_VALUE"""),"-")</f>
        <v>-</v>
      </c>
      <c r="S1262" s="97" t="str">
        <f>IFERROR(__xludf.DUMMYFUNCTION("""COMPUTED_VALUE"""),"-")</f>
        <v>-</v>
      </c>
      <c r="T1262" s="97" t="str">
        <f>IFERROR(__xludf.DUMMYFUNCTION("""COMPUTED_VALUE"""),"-")</f>
        <v>-</v>
      </c>
      <c r="U1262" s="97" t="str">
        <f>IFERROR(__xludf.DUMMYFUNCTION("""COMPUTED_VALUE"""),"-")</f>
        <v>-</v>
      </c>
      <c r="V1262" s="97" t="str">
        <f>IFERROR(__xludf.DUMMYFUNCTION("""COMPUTED_VALUE"""),"N/A")</f>
        <v>N/A</v>
      </c>
      <c r="W1262" s="97" t="str">
        <f>IFERROR(__xludf.DUMMYFUNCTION("""COMPUTED_VALUE"""),"N/A")</f>
        <v>N/A</v>
      </c>
      <c r="X1262" s="97" t="str">
        <f>IFERROR(__xludf.DUMMYFUNCTION("""COMPUTED_VALUE"""),"-")</f>
        <v>-</v>
      </c>
      <c r="Y1262" s="97" t="str">
        <f>IFERROR(__xludf.DUMMYFUNCTION("""COMPUTED_VALUE"""),"N/A")</f>
        <v>N/A</v>
      </c>
      <c r="Z1262" s="97" t="str">
        <f>IFERROR(__xludf.DUMMYFUNCTION("""COMPUTED_VALUE"""),"N/A")</f>
        <v>N/A</v>
      </c>
      <c r="AA1262" s="97" t="str">
        <f>IFERROR(__xludf.DUMMYFUNCTION("""COMPUTED_VALUE"""),"N/A")</f>
        <v>N/A</v>
      </c>
      <c r="AB1262" s="97" t="str">
        <f>IFERROR(__xludf.DUMMYFUNCTION("""COMPUTED_VALUE"""),"N/A")</f>
        <v>N/A</v>
      </c>
      <c r="AC1262" s="97" t="str">
        <f>IFERROR(__xludf.DUMMYFUNCTION("""COMPUTED_VALUE"""),"N/A")</f>
        <v>N/A</v>
      </c>
      <c r="AD1262" s="97" t="str">
        <f>IFERROR(__xludf.DUMMYFUNCTION("""COMPUTED_VALUE"""),"N/A")</f>
        <v>N/A</v>
      </c>
      <c r="AE1262" s="97" t="str">
        <f>IFERROR(__xludf.DUMMYFUNCTION("""COMPUTED_VALUE"""),"N/A")</f>
        <v>N/A</v>
      </c>
      <c r="AF1262" s="97" t="str">
        <f>IFERROR(__xludf.DUMMYFUNCTION("""COMPUTED_VALUE"""),"N/A")</f>
        <v>N/A</v>
      </c>
      <c r="AG1262" s="97" t="str">
        <f>IFERROR(__xludf.DUMMYFUNCTION("""COMPUTED_VALUE"""),"Ø90 x 20")</f>
        <v>Ø90 x 20</v>
      </c>
      <c r="AH1262" s="97" t="str">
        <f>IFERROR(__xludf.DUMMYFUNCTION("""COMPUTED_VALUE"""),"N/A")</f>
        <v>N/A</v>
      </c>
      <c r="AI1262" s="97" t="str">
        <f>IFERROR(__xludf.DUMMYFUNCTION("""COMPUTED_VALUE"""),"N/A")</f>
        <v>N/A</v>
      </c>
      <c r="AJ1262" s="97" t="str">
        <f>IFERROR(__xludf.DUMMYFUNCTION("""COMPUTED_VALUE"""),"N/A")</f>
        <v>N/A</v>
      </c>
      <c r="AK1262" s="97" t="str">
        <f>IFERROR(__xludf.DUMMYFUNCTION("""COMPUTED_VALUE"""),"Aluminio")</f>
        <v>Aluminio</v>
      </c>
      <c r="AL1262" s="97" t="str">
        <f>IFERROR(__xludf.DUMMYFUNCTION("""COMPUTED_VALUE"""),"Negro Satinado")</f>
        <v>Negro Satinado</v>
      </c>
      <c r="AM1262" s="97" t="str">
        <f>IFERROR(__xludf.DUMMYFUNCTION("""COMPUTED_VALUE"""),"-")</f>
        <v>-</v>
      </c>
      <c r="AN1262" s="97" t="str">
        <f>IFERROR(__xludf.DUMMYFUNCTION("""COMPUTED_VALUE"""),"N/A")</f>
        <v>N/A</v>
      </c>
      <c r="AO1262" s="97" t="str">
        <f>IFERROR(__xludf.DUMMYFUNCTION("""COMPUTED_VALUE"""),"3 Años")</f>
        <v>3 Años</v>
      </c>
      <c r="AP1262" s="97" t="str">
        <f>IFERROR(__xludf.DUMMYFUNCTION("""COMPUTED_VALUE"""),"No Aplica")</f>
        <v>No Aplica</v>
      </c>
      <c r="AQ1262" s="97" t="str">
        <f>IFERROR(__xludf.DUMMYFUNCTION("""COMPUTED_VALUE"""),"No Aplica")</f>
        <v>No Aplica</v>
      </c>
      <c r="AR1262" s="97" t="str">
        <f>IFERROR(__xludf.DUMMYFUNCTION("""COMPUTED_VALUE"""),"No Aplica")</f>
        <v>No Aplica</v>
      </c>
      <c r="AS1262" s="97" t="str">
        <f>IFERROR(__xludf.DUMMYFUNCTION("""COMPUTED_VALUE"""),"No Aplica")</f>
        <v>No Aplica</v>
      </c>
      <c r="AT1262" s="97" t="str">
        <f>IFERROR(__xludf.DUMMYFUNCTION("""COMPUTED_VALUE"""),"No Aplica")</f>
        <v>No Aplica</v>
      </c>
      <c r="AU1262" s="97" t="str">
        <f>IFERROR(__xludf.DUMMYFUNCTION("""COMPUTED_VALUE"""),"Falta")</f>
        <v>Falta</v>
      </c>
      <c r="AV1262" s="97" t="str">
        <f>IFERROR(__xludf.DUMMYFUNCTION("""COMPUTED_VALUE"""),"Accesorio")</f>
        <v>Accesorio</v>
      </c>
      <c r="AW1262" s="97" t="str">
        <f>IFERROR(__xludf.DUMMYFUNCTION("""COMPUTED_VALUE"""),"De Techo")</f>
        <v>De Techo</v>
      </c>
      <c r="AX1262" s="97" t="str">
        <f>IFERROR(__xludf.DUMMYFUNCTION("""COMPUTED_VALUE"""),"Interior")</f>
        <v>Interior</v>
      </c>
      <c r="AY1262" s="97" t="str">
        <f>IFERROR(__xludf.DUMMYFUNCTION("""COMPUTED_VALUE"""),"-")</f>
        <v>-</v>
      </c>
      <c r="AZ1262" s="97"/>
      <c r="BA1262" s="97"/>
      <c r="BB1262" s="97"/>
      <c r="BC1262" s="97"/>
      <c r="BD1262" s="97" t="str">
        <f>IFERROR(__xludf.DUMMYFUNCTION("""COMPUTED_VALUE"""),"???")</f>
        <v>???</v>
      </c>
      <c r="BE1262" s="97" t="str">
        <f>IFERROR(__xludf.DUMMYFUNCTION("""COMPUTED_VALUE"""),"Falta TR")</f>
        <v>Falta TR</v>
      </c>
      <c r="BF1262" s="97"/>
      <c r="BG1262" s="97" t="str">
        <f>IFERROR(__xludf.DUMMYFUNCTION("""COMPUTED_VALUE"""),"Activo")</f>
        <v>Activo</v>
      </c>
    </row>
    <row r="1263">
      <c r="A1263" s="97">
        <f>IFERROR(__xludf.DUMMYFUNCTION("""COMPUTED_VALUE"""),7223.0)</f>
        <v>7223</v>
      </c>
      <c r="B1263" s="97" t="str">
        <f>IFERROR(__xludf.DUMMYFUNCTION("""COMPUTED_VALUE"""),"APLIQUE CABEZAL BL")</f>
        <v>APLIQUE CABEZAL BL</v>
      </c>
      <c r="C1263" s="97" t="str">
        <f>IFERROR(__xludf.DUMMYFUNCTION("""COMPUTED_VALUE"""),"ACCESORIO APLIQUE CABEZAL BL LEUK")</f>
        <v>ACCESORIO APLIQUE CABEZAL BL LEUK</v>
      </c>
      <c r="D1263" s="97">
        <f>IFERROR(__xludf.DUMMYFUNCTION("""COMPUTED_VALUE"""),7.798413227222E12)</f>
        <v>7798413227222</v>
      </c>
      <c r="E1263" s="97" t="str">
        <f>IFERROR(__xludf.DUMMYFUNCTION("""COMPUTED_VALUE"""),"N/A")</f>
        <v>N/A</v>
      </c>
      <c r="F1263" s="97" t="str">
        <f>IFERROR(__xludf.DUMMYFUNCTION("""COMPUTED_VALUE"""),"N/A")</f>
        <v>N/A</v>
      </c>
      <c r="G1263" s="97" t="str">
        <f>IFERROR(__xludf.DUMMYFUNCTION("""COMPUTED_VALUE"""),"N/A")</f>
        <v>N/A</v>
      </c>
      <c r="H1263" s="97" t="str">
        <f>IFERROR(__xludf.DUMMYFUNCTION("""COMPUTED_VALUE"""),"N/A")</f>
        <v>N/A</v>
      </c>
      <c r="I1263" s="97" t="str">
        <f>IFERROR(__xludf.DUMMYFUNCTION("""COMPUTED_VALUE"""),"N/A")</f>
        <v>N/A</v>
      </c>
      <c r="J1263" s="97" t="str">
        <f>IFERROR(__xludf.DUMMYFUNCTION("""COMPUTED_VALUE"""),"N/A")</f>
        <v>N/A</v>
      </c>
      <c r="K1263" s="97" t="str">
        <f>IFERROR(__xludf.DUMMYFUNCTION("""COMPUTED_VALUE"""),"N/A")</f>
        <v>N/A</v>
      </c>
      <c r="L1263" s="97" t="str">
        <f>IFERROR(__xludf.DUMMYFUNCTION("""COMPUTED_VALUE"""),"N/A")</f>
        <v>N/A</v>
      </c>
      <c r="M1263" s="97" t="str">
        <f>IFERROR(__xludf.DUMMYFUNCTION("""COMPUTED_VALUE"""),"N/A")</f>
        <v>N/A</v>
      </c>
      <c r="N1263" s="97" t="str">
        <f>IFERROR(__xludf.DUMMYFUNCTION("""COMPUTED_VALUE"""),"N/A")</f>
        <v>N/A</v>
      </c>
      <c r="O1263" s="97" t="str">
        <f>IFERROR(__xludf.DUMMYFUNCTION("""COMPUTED_VALUE"""),"-")</f>
        <v>-</v>
      </c>
      <c r="P1263" s="97"/>
      <c r="Q1263" s="97" t="str">
        <f>IFERROR(__xludf.DUMMYFUNCTION("""COMPUTED_VALUE"""),"-")</f>
        <v>-</v>
      </c>
      <c r="R1263" s="97" t="str">
        <f>IFERROR(__xludf.DUMMYFUNCTION("""COMPUTED_VALUE"""),"-")</f>
        <v>-</v>
      </c>
      <c r="S1263" s="97" t="str">
        <f>IFERROR(__xludf.DUMMYFUNCTION("""COMPUTED_VALUE"""),"-")</f>
        <v>-</v>
      </c>
      <c r="T1263" s="97" t="str">
        <f>IFERROR(__xludf.DUMMYFUNCTION("""COMPUTED_VALUE"""),"-")</f>
        <v>-</v>
      </c>
      <c r="U1263" s="97" t="str">
        <f>IFERROR(__xludf.DUMMYFUNCTION("""COMPUTED_VALUE"""),"-")</f>
        <v>-</v>
      </c>
      <c r="V1263" s="97" t="str">
        <f>IFERROR(__xludf.DUMMYFUNCTION("""COMPUTED_VALUE"""),"N/A")</f>
        <v>N/A</v>
      </c>
      <c r="W1263" s="97" t="str">
        <f>IFERROR(__xludf.DUMMYFUNCTION("""COMPUTED_VALUE"""),"N/A")</f>
        <v>N/A</v>
      </c>
      <c r="X1263" s="97" t="str">
        <f>IFERROR(__xludf.DUMMYFUNCTION("""COMPUTED_VALUE"""),"-")</f>
        <v>-</v>
      </c>
      <c r="Y1263" s="97" t="str">
        <f>IFERROR(__xludf.DUMMYFUNCTION("""COMPUTED_VALUE"""),"N/A")</f>
        <v>N/A</v>
      </c>
      <c r="Z1263" s="97" t="str">
        <f>IFERROR(__xludf.DUMMYFUNCTION("""COMPUTED_VALUE"""),"N/A")</f>
        <v>N/A</v>
      </c>
      <c r="AA1263" s="97" t="str">
        <f>IFERROR(__xludf.DUMMYFUNCTION("""COMPUTED_VALUE"""),"N/A")</f>
        <v>N/A</v>
      </c>
      <c r="AB1263" s="97" t="str">
        <f>IFERROR(__xludf.DUMMYFUNCTION("""COMPUTED_VALUE"""),"N/A")</f>
        <v>N/A</v>
      </c>
      <c r="AC1263" s="97" t="str">
        <f>IFERROR(__xludf.DUMMYFUNCTION("""COMPUTED_VALUE"""),"N/A")</f>
        <v>N/A</v>
      </c>
      <c r="AD1263" s="97" t="str">
        <f>IFERROR(__xludf.DUMMYFUNCTION("""COMPUTED_VALUE"""),"N/A")</f>
        <v>N/A</v>
      </c>
      <c r="AE1263" s="97" t="str">
        <f>IFERROR(__xludf.DUMMYFUNCTION("""COMPUTED_VALUE"""),"N/A")</f>
        <v>N/A</v>
      </c>
      <c r="AF1263" s="97" t="str">
        <f>IFERROR(__xludf.DUMMYFUNCTION("""COMPUTED_VALUE"""),"N/A")</f>
        <v>N/A</v>
      </c>
      <c r="AG1263" s="97" t="str">
        <f>IFERROR(__xludf.DUMMYFUNCTION("""COMPUTED_VALUE"""),"Ø90 x 20")</f>
        <v>Ø90 x 20</v>
      </c>
      <c r="AH1263" s="97" t="str">
        <f>IFERROR(__xludf.DUMMYFUNCTION("""COMPUTED_VALUE"""),"N/A")</f>
        <v>N/A</v>
      </c>
      <c r="AI1263" s="97" t="str">
        <f>IFERROR(__xludf.DUMMYFUNCTION("""COMPUTED_VALUE"""),"N/A")</f>
        <v>N/A</v>
      </c>
      <c r="AJ1263" s="97" t="str">
        <f>IFERROR(__xludf.DUMMYFUNCTION("""COMPUTED_VALUE"""),"N/A")</f>
        <v>N/A</v>
      </c>
      <c r="AK1263" s="97" t="str">
        <f>IFERROR(__xludf.DUMMYFUNCTION("""COMPUTED_VALUE"""),"Aluminio")</f>
        <v>Aluminio</v>
      </c>
      <c r="AL1263" s="97" t="str">
        <f>IFERROR(__xludf.DUMMYFUNCTION("""COMPUTED_VALUE"""),"Blanco Satinado")</f>
        <v>Blanco Satinado</v>
      </c>
      <c r="AM1263" s="97" t="str">
        <f>IFERROR(__xludf.DUMMYFUNCTION("""COMPUTED_VALUE"""),"-")</f>
        <v>-</v>
      </c>
      <c r="AN1263" s="97" t="str">
        <f>IFERROR(__xludf.DUMMYFUNCTION("""COMPUTED_VALUE"""),"N/A")</f>
        <v>N/A</v>
      </c>
      <c r="AO1263" s="97" t="str">
        <f>IFERROR(__xludf.DUMMYFUNCTION("""COMPUTED_VALUE"""),"3 Años")</f>
        <v>3 Años</v>
      </c>
      <c r="AP1263" s="97" t="str">
        <f>IFERROR(__xludf.DUMMYFUNCTION("""COMPUTED_VALUE"""),"No Aplica")</f>
        <v>No Aplica</v>
      </c>
      <c r="AQ1263" s="97" t="str">
        <f>IFERROR(__xludf.DUMMYFUNCTION("""COMPUTED_VALUE"""),"No Aplica")</f>
        <v>No Aplica</v>
      </c>
      <c r="AR1263" s="97" t="str">
        <f>IFERROR(__xludf.DUMMYFUNCTION("""COMPUTED_VALUE"""),"No Aplica")</f>
        <v>No Aplica</v>
      </c>
      <c r="AS1263" s="97" t="str">
        <f>IFERROR(__xludf.DUMMYFUNCTION("""COMPUTED_VALUE"""),"No Aplica")</f>
        <v>No Aplica</v>
      </c>
      <c r="AT1263" s="97" t="str">
        <f>IFERROR(__xludf.DUMMYFUNCTION("""COMPUTED_VALUE"""),"No Aplica")</f>
        <v>No Aplica</v>
      </c>
      <c r="AU1263" s="97" t="str">
        <f>IFERROR(__xludf.DUMMYFUNCTION("""COMPUTED_VALUE"""),"Falta")</f>
        <v>Falta</v>
      </c>
      <c r="AV1263" s="97" t="str">
        <f>IFERROR(__xludf.DUMMYFUNCTION("""COMPUTED_VALUE"""),"Accesorio")</f>
        <v>Accesorio</v>
      </c>
      <c r="AW1263" s="97" t="str">
        <f>IFERROR(__xludf.DUMMYFUNCTION("""COMPUTED_VALUE"""),"De Techo")</f>
        <v>De Techo</v>
      </c>
      <c r="AX1263" s="97" t="str">
        <f>IFERROR(__xludf.DUMMYFUNCTION("""COMPUTED_VALUE"""),"Interior")</f>
        <v>Interior</v>
      </c>
      <c r="AY1263" s="97" t="str">
        <f>IFERROR(__xludf.DUMMYFUNCTION("""COMPUTED_VALUE"""),"-")</f>
        <v>-</v>
      </c>
      <c r="AZ1263" s="97"/>
      <c r="BA1263" s="97"/>
      <c r="BB1263" s="97"/>
      <c r="BC1263" s="97"/>
      <c r="BD1263" s="97" t="str">
        <f>IFERROR(__xludf.DUMMYFUNCTION("""COMPUTED_VALUE"""),"???")</f>
        <v>???</v>
      </c>
      <c r="BE1263" s="97" t="str">
        <f>IFERROR(__xludf.DUMMYFUNCTION("""COMPUTED_VALUE"""),"Falta TR")</f>
        <v>Falta TR</v>
      </c>
      <c r="BF1263" s="97"/>
      <c r="BG1263" s="97" t="str">
        <f>IFERROR(__xludf.DUMMYFUNCTION("""COMPUTED_VALUE"""),"Activo")</f>
        <v>Activo</v>
      </c>
    </row>
    <row r="1264">
      <c r="A1264" s="97">
        <f>IFERROR(__xludf.DUMMYFUNCTION("""COMPUTED_VALUE"""),7224.0)</f>
        <v>7224</v>
      </c>
      <c r="B1264" s="97" t="str">
        <f>IFERROR(__xludf.DUMMYFUNCTION("""COMPUTED_VALUE"""),"KIT CHILL 1,2 MTS")</f>
        <v>KIT CHILL 1,2 MTS</v>
      </c>
      <c r="C1264" s="97" t="str">
        <f>IFERROR(__xludf.DUMMYFUNCTION("""COMPUTED_VALUE"""),"ACCESORIO KIT CHILL 1,2 MTS LEUK")</f>
        <v>ACCESORIO KIT CHILL 1,2 MTS LEUK</v>
      </c>
      <c r="D1264" s="97">
        <f>IFERROR(__xludf.DUMMYFUNCTION("""COMPUTED_VALUE"""),7.798413227055E12)</f>
        <v>7798413227055</v>
      </c>
      <c r="E1264" s="97" t="str">
        <f>IFERROR(__xludf.DUMMYFUNCTION("""COMPUTED_VALUE"""),"N/A")</f>
        <v>N/A</v>
      </c>
      <c r="F1264" s="97" t="str">
        <f>IFERROR(__xludf.DUMMYFUNCTION("""COMPUTED_VALUE"""),"N/A")</f>
        <v>N/A</v>
      </c>
      <c r="G1264" s="97" t="str">
        <f>IFERROR(__xludf.DUMMYFUNCTION("""COMPUTED_VALUE"""),"N/A")</f>
        <v>N/A</v>
      </c>
      <c r="H1264" s="97" t="str">
        <f>IFERROR(__xludf.DUMMYFUNCTION("""COMPUTED_VALUE"""),"N/A")</f>
        <v>N/A</v>
      </c>
      <c r="I1264" s="97" t="str">
        <f>IFERROR(__xludf.DUMMYFUNCTION("""COMPUTED_VALUE"""),"N/A")</f>
        <v>N/A</v>
      </c>
      <c r="J1264" s="97" t="str">
        <f>IFERROR(__xludf.DUMMYFUNCTION("""COMPUTED_VALUE"""),"N/A")</f>
        <v>N/A</v>
      </c>
      <c r="K1264" s="97" t="str">
        <f>IFERROR(__xludf.DUMMYFUNCTION("""COMPUTED_VALUE"""),"N/A")</f>
        <v>N/A</v>
      </c>
      <c r="L1264" s="97" t="str">
        <f>IFERROR(__xludf.DUMMYFUNCTION("""COMPUTED_VALUE"""),"N/A")</f>
        <v>N/A</v>
      </c>
      <c r="M1264" s="97" t="str">
        <f>IFERROR(__xludf.DUMMYFUNCTION("""COMPUTED_VALUE"""),"N/A")</f>
        <v>N/A</v>
      </c>
      <c r="N1264" s="97" t="str">
        <f>IFERROR(__xludf.DUMMYFUNCTION("""COMPUTED_VALUE"""),"N/A")</f>
        <v>N/A</v>
      </c>
      <c r="O1264" s="97" t="str">
        <f>IFERROR(__xludf.DUMMYFUNCTION("""COMPUTED_VALUE"""),"N/A")</f>
        <v>N/A</v>
      </c>
      <c r="P1264" s="97" t="str">
        <f>IFERROR(__xludf.DUMMYFUNCTION("""COMPUTED_VALUE"""),"N/A")</f>
        <v>N/A</v>
      </c>
      <c r="Q1264" s="97" t="str">
        <f>IFERROR(__xludf.DUMMYFUNCTION("""COMPUTED_VALUE"""),"N/A")</f>
        <v>N/A</v>
      </c>
      <c r="R1264" s="97" t="str">
        <f>IFERROR(__xludf.DUMMYFUNCTION("""COMPUTED_VALUE"""),"N/A")</f>
        <v>N/A</v>
      </c>
      <c r="S1264" s="97" t="str">
        <f>IFERROR(__xludf.DUMMYFUNCTION("""COMPUTED_VALUE"""),"N/A")</f>
        <v>N/A</v>
      </c>
      <c r="T1264" s="97" t="str">
        <f>IFERROR(__xludf.DUMMYFUNCTION("""COMPUTED_VALUE"""),"N/A")</f>
        <v>N/A</v>
      </c>
      <c r="U1264" s="97" t="str">
        <f>IFERROR(__xludf.DUMMYFUNCTION("""COMPUTED_VALUE"""),"N/A")</f>
        <v>N/A</v>
      </c>
      <c r="V1264" s="97" t="str">
        <f>IFERROR(__xludf.DUMMYFUNCTION("""COMPUTED_VALUE"""),"N/A")</f>
        <v>N/A</v>
      </c>
      <c r="W1264" s="97" t="str">
        <f>IFERROR(__xludf.DUMMYFUNCTION("""COMPUTED_VALUE"""),"N/A")</f>
        <v>N/A</v>
      </c>
      <c r="X1264" s="97" t="str">
        <f>IFERROR(__xludf.DUMMYFUNCTION("""COMPUTED_VALUE"""),"-")</f>
        <v>-</v>
      </c>
      <c r="Y1264" s="97" t="str">
        <f>IFERROR(__xludf.DUMMYFUNCTION("""COMPUTED_VALUE"""),"N/A")</f>
        <v>N/A</v>
      </c>
      <c r="Z1264" s="97" t="str">
        <f>IFERROR(__xludf.DUMMYFUNCTION("""COMPUTED_VALUE"""),"N/A")</f>
        <v>N/A</v>
      </c>
      <c r="AA1264" s="97" t="str">
        <f>IFERROR(__xludf.DUMMYFUNCTION("""COMPUTED_VALUE"""),"N/A")</f>
        <v>N/A</v>
      </c>
      <c r="AB1264" s="97" t="str">
        <f>IFERROR(__xludf.DUMMYFUNCTION("""COMPUTED_VALUE"""),"N/A")</f>
        <v>N/A</v>
      </c>
      <c r="AC1264" s="97" t="str">
        <f>IFERROR(__xludf.DUMMYFUNCTION("""COMPUTED_VALUE"""),"N/A")</f>
        <v>N/A</v>
      </c>
      <c r="AD1264" s="97" t="str">
        <f>IFERROR(__xludf.DUMMYFUNCTION("""COMPUTED_VALUE"""),"N/A")</f>
        <v>N/A</v>
      </c>
      <c r="AE1264" s="97" t="str">
        <f>IFERROR(__xludf.DUMMYFUNCTION("""COMPUTED_VALUE"""),"N/A")</f>
        <v>N/A</v>
      </c>
      <c r="AF1264" s="97" t="str">
        <f>IFERROR(__xludf.DUMMYFUNCTION("""COMPUTED_VALUE"""),"N/A")</f>
        <v>N/A</v>
      </c>
      <c r="AG1264" s="97" t="str">
        <f>IFERROR(__xludf.DUMMYFUNCTION("""COMPUTED_VALUE"""),"Ø15 x 1200")</f>
        <v>Ø15 x 1200</v>
      </c>
      <c r="AH1264" s="97" t="str">
        <f>IFERROR(__xludf.DUMMYFUNCTION("""COMPUTED_VALUE"""),"N/A")</f>
        <v>N/A</v>
      </c>
      <c r="AI1264" s="97" t="str">
        <f>IFERROR(__xludf.DUMMYFUNCTION("""COMPUTED_VALUE"""),"N/A")</f>
        <v>N/A</v>
      </c>
      <c r="AJ1264" s="97" t="str">
        <f>IFERROR(__xludf.DUMMYFUNCTION("""COMPUTED_VALUE"""),"N/A")</f>
        <v>N/A</v>
      </c>
      <c r="AK1264" s="97" t="str">
        <f>IFERROR(__xludf.DUMMYFUNCTION("""COMPUTED_VALUE"""),"Aluminio")</f>
        <v>Aluminio</v>
      </c>
      <c r="AL1264" s="97" t="str">
        <f>IFERROR(__xludf.DUMMYFUNCTION("""COMPUTED_VALUE"""),"Negro Satinado")</f>
        <v>Negro Satinado</v>
      </c>
      <c r="AM1264" s="97" t="str">
        <f>IFERROR(__xludf.DUMMYFUNCTION("""COMPUTED_VALUE"""),"-")</f>
        <v>-</v>
      </c>
      <c r="AN1264" s="97" t="str">
        <f>IFERROR(__xludf.DUMMYFUNCTION("""COMPUTED_VALUE"""),"N/A")</f>
        <v>N/A</v>
      </c>
      <c r="AO1264" s="97" t="str">
        <f>IFERROR(__xludf.DUMMYFUNCTION("""COMPUTED_VALUE"""),"2 Años")</f>
        <v>2 Años</v>
      </c>
      <c r="AP1264" s="97" t="str">
        <f>IFERROR(__xludf.DUMMYFUNCTION("""COMPUTED_VALUE"""),"No Aplica")</f>
        <v>No Aplica</v>
      </c>
      <c r="AQ1264" s="97" t="str">
        <f>IFERROR(__xludf.DUMMYFUNCTION("""COMPUTED_VALUE"""),"No Aplica")</f>
        <v>No Aplica</v>
      </c>
      <c r="AR1264" s="97" t="str">
        <f>IFERROR(__xludf.DUMMYFUNCTION("""COMPUTED_VALUE"""),"No Aplica")</f>
        <v>No Aplica</v>
      </c>
      <c r="AS1264" s="97" t="str">
        <f>IFERROR(__xludf.DUMMYFUNCTION("""COMPUTED_VALUE"""),"No Aplica")</f>
        <v>No Aplica</v>
      </c>
      <c r="AT1264" s="97" t="str">
        <f>IFERROR(__xludf.DUMMYFUNCTION("""COMPUTED_VALUE"""),"No Aplica")</f>
        <v>No Aplica</v>
      </c>
      <c r="AU1264" s="97" t="str">
        <f>IFERROR(__xludf.DUMMYFUNCTION("""COMPUTED_VALUE"""),"Disponible")</f>
        <v>Disponible</v>
      </c>
      <c r="AV1264" s="97" t="str">
        <f>IFERROR(__xludf.DUMMYFUNCTION("""COMPUTED_VALUE"""),"Accesorio")</f>
        <v>Accesorio</v>
      </c>
      <c r="AW1264" s="97" t="str">
        <f>IFERROR(__xludf.DUMMYFUNCTION("""COMPUTED_VALUE"""),"De Piso")</f>
        <v>De Piso</v>
      </c>
      <c r="AX1264" s="97" t="str">
        <f>IFERROR(__xludf.DUMMYFUNCTION("""COMPUTED_VALUE"""),"Exterior")</f>
        <v>Exterior</v>
      </c>
      <c r="AY1264" s="97" t="str">
        <f>IFERROR(__xludf.DUMMYFUNCTION("""COMPUTED_VALUE"""),"Chill")</f>
        <v>Chill</v>
      </c>
      <c r="AZ1264" s="97" t="str">
        <f>IFERROR(__xludf.DUMMYFUNCTION("""COMPUTED_VALUE"""),"Estaca Ø40 x 210")</f>
        <v>Estaca Ø40 x 210</v>
      </c>
      <c r="BA1264" s="97"/>
      <c r="BB1264" s="97" t="str">
        <f>IFERROR(__xludf.DUMMYFUNCTION("""COMPUTED_VALUE"""),"-")</f>
        <v>-</v>
      </c>
      <c r="BC1264" s="97" t="str">
        <f>IFERROR(__xludf.DUMMYFUNCTION("""COMPUTED_VALUE"""),"-")</f>
        <v>-</v>
      </c>
      <c r="BD1264" s="97" t="str">
        <f>IFERROR(__xludf.DUMMYFUNCTION("""COMPUTED_VALUE"""),"CHILL")</f>
        <v>CHILL</v>
      </c>
      <c r="BE1264" s="97" t="str">
        <f>IFERROR(__xludf.DUMMYFUNCTION("""COMPUTED_VALUE"""),"Solicitada")</f>
        <v>Solicitada</v>
      </c>
      <c r="BF1264" s="97"/>
      <c r="BG1264" s="97" t="str">
        <f>IFERROR(__xludf.DUMMYFUNCTION("""COMPUTED_VALUE"""),"Activo")</f>
        <v>Activo</v>
      </c>
    </row>
    <row r="1265">
      <c r="A1265" s="97">
        <f>IFERROR(__xludf.DUMMYFUNCTION("""COMPUTED_VALUE"""),7225.0)</f>
        <v>7225</v>
      </c>
      <c r="B1265" s="97" t="str">
        <f>IFERROR(__xludf.DUMMYFUNCTION("""COMPUTED_VALUE"""),"KIT CHILL 1,8 MTS")</f>
        <v>KIT CHILL 1,8 MTS</v>
      </c>
      <c r="C1265" s="97" t="str">
        <f>IFERROR(__xludf.DUMMYFUNCTION("""COMPUTED_VALUE"""),"ACCESORIO KIT CHILL 1,8 MTS LEUK")</f>
        <v>ACCESORIO KIT CHILL 1,8 MTS LEUK</v>
      </c>
      <c r="D1265" s="97">
        <f>IFERROR(__xludf.DUMMYFUNCTION("""COMPUTED_VALUE"""),7.798413227062E12)</f>
        <v>7798413227062</v>
      </c>
      <c r="E1265" s="97" t="str">
        <f>IFERROR(__xludf.DUMMYFUNCTION("""COMPUTED_VALUE"""),"N/A")</f>
        <v>N/A</v>
      </c>
      <c r="F1265" s="97" t="str">
        <f>IFERROR(__xludf.DUMMYFUNCTION("""COMPUTED_VALUE"""),"N/A")</f>
        <v>N/A</v>
      </c>
      <c r="G1265" s="97" t="str">
        <f>IFERROR(__xludf.DUMMYFUNCTION("""COMPUTED_VALUE"""),"N/A")</f>
        <v>N/A</v>
      </c>
      <c r="H1265" s="97" t="str">
        <f>IFERROR(__xludf.DUMMYFUNCTION("""COMPUTED_VALUE"""),"N/A")</f>
        <v>N/A</v>
      </c>
      <c r="I1265" s="97" t="str">
        <f>IFERROR(__xludf.DUMMYFUNCTION("""COMPUTED_VALUE"""),"N/A")</f>
        <v>N/A</v>
      </c>
      <c r="J1265" s="97" t="str">
        <f>IFERROR(__xludf.DUMMYFUNCTION("""COMPUTED_VALUE"""),"N/A")</f>
        <v>N/A</v>
      </c>
      <c r="K1265" s="97" t="str">
        <f>IFERROR(__xludf.DUMMYFUNCTION("""COMPUTED_VALUE"""),"N/A")</f>
        <v>N/A</v>
      </c>
      <c r="L1265" s="97" t="str">
        <f>IFERROR(__xludf.DUMMYFUNCTION("""COMPUTED_VALUE"""),"N/A")</f>
        <v>N/A</v>
      </c>
      <c r="M1265" s="97" t="str">
        <f>IFERROR(__xludf.DUMMYFUNCTION("""COMPUTED_VALUE"""),"N/A")</f>
        <v>N/A</v>
      </c>
      <c r="N1265" s="97" t="str">
        <f>IFERROR(__xludf.DUMMYFUNCTION("""COMPUTED_VALUE"""),"N/A")</f>
        <v>N/A</v>
      </c>
      <c r="O1265" s="97" t="str">
        <f>IFERROR(__xludf.DUMMYFUNCTION("""COMPUTED_VALUE"""),"N/A")</f>
        <v>N/A</v>
      </c>
      <c r="P1265" s="97" t="str">
        <f>IFERROR(__xludf.DUMMYFUNCTION("""COMPUTED_VALUE"""),"N/A")</f>
        <v>N/A</v>
      </c>
      <c r="Q1265" s="97" t="str">
        <f>IFERROR(__xludf.DUMMYFUNCTION("""COMPUTED_VALUE"""),"N/A")</f>
        <v>N/A</v>
      </c>
      <c r="R1265" s="97" t="str">
        <f>IFERROR(__xludf.DUMMYFUNCTION("""COMPUTED_VALUE"""),"N/A")</f>
        <v>N/A</v>
      </c>
      <c r="S1265" s="97" t="str">
        <f>IFERROR(__xludf.DUMMYFUNCTION("""COMPUTED_VALUE"""),"N/A")</f>
        <v>N/A</v>
      </c>
      <c r="T1265" s="97" t="str">
        <f>IFERROR(__xludf.DUMMYFUNCTION("""COMPUTED_VALUE"""),"N/A")</f>
        <v>N/A</v>
      </c>
      <c r="U1265" s="97" t="str">
        <f>IFERROR(__xludf.DUMMYFUNCTION("""COMPUTED_VALUE"""),"N/A")</f>
        <v>N/A</v>
      </c>
      <c r="V1265" s="97" t="str">
        <f>IFERROR(__xludf.DUMMYFUNCTION("""COMPUTED_VALUE"""),"N/A")</f>
        <v>N/A</v>
      </c>
      <c r="W1265" s="97" t="str">
        <f>IFERROR(__xludf.DUMMYFUNCTION("""COMPUTED_VALUE"""),"N/A")</f>
        <v>N/A</v>
      </c>
      <c r="X1265" s="97" t="str">
        <f>IFERROR(__xludf.DUMMYFUNCTION("""COMPUTED_VALUE"""),"-")</f>
        <v>-</v>
      </c>
      <c r="Y1265" s="97" t="str">
        <f>IFERROR(__xludf.DUMMYFUNCTION("""COMPUTED_VALUE"""),"N/A")</f>
        <v>N/A</v>
      </c>
      <c r="Z1265" s="97" t="str">
        <f>IFERROR(__xludf.DUMMYFUNCTION("""COMPUTED_VALUE"""),"N/A")</f>
        <v>N/A</v>
      </c>
      <c r="AA1265" s="97" t="str">
        <f>IFERROR(__xludf.DUMMYFUNCTION("""COMPUTED_VALUE"""),"N/A")</f>
        <v>N/A</v>
      </c>
      <c r="AB1265" s="97" t="str">
        <f>IFERROR(__xludf.DUMMYFUNCTION("""COMPUTED_VALUE"""),"N/A")</f>
        <v>N/A</v>
      </c>
      <c r="AC1265" s="97" t="str">
        <f>IFERROR(__xludf.DUMMYFUNCTION("""COMPUTED_VALUE"""),"N/A")</f>
        <v>N/A</v>
      </c>
      <c r="AD1265" s="97" t="str">
        <f>IFERROR(__xludf.DUMMYFUNCTION("""COMPUTED_VALUE"""),"N/A")</f>
        <v>N/A</v>
      </c>
      <c r="AE1265" s="97" t="str">
        <f>IFERROR(__xludf.DUMMYFUNCTION("""COMPUTED_VALUE"""),"N/A")</f>
        <v>N/A</v>
      </c>
      <c r="AF1265" s="97" t="str">
        <f>IFERROR(__xludf.DUMMYFUNCTION("""COMPUTED_VALUE"""),"N/A")</f>
        <v>N/A</v>
      </c>
      <c r="AG1265" s="97" t="str">
        <f>IFERROR(__xludf.DUMMYFUNCTION("""COMPUTED_VALUE"""),"Ø15 x 1800")</f>
        <v>Ø15 x 1800</v>
      </c>
      <c r="AH1265" s="97" t="str">
        <f>IFERROR(__xludf.DUMMYFUNCTION("""COMPUTED_VALUE"""),"N/A")</f>
        <v>N/A</v>
      </c>
      <c r="AI1265" s="97" t="str">
        <f>IFERROR(__xludf.DUMMYFUNCTION("""COMPUTED_VALUE"""),"N/A")</f>
        <v>N/A</v>
      </c>
      <c r="AJ1265" s="97" t="str">
        <f>IFERROR(__xludf.DUMMYFUNCTION("""COMPUTED_VALUE"""),"N/A")</f>
        <v>N/A</v>
      </c>
      <c r="AK1265" s="97" t="str">
        <f>IFERROR(__xludf.DUMMYFUNCTION("""COMPUTED_VALUE"""),"Aluminio")</f>
        <v>Aluminio</v>
      </c>
      <c r="AL1265" s="97" t="str">
        <f>IFERROR(__xludf.DUMMYFUNCTION("""COMPUTED_VALUE"""),"Negro Satinado")</f>
        <v>Negro Satinado</v>
      </c>
      <c r="AM1265" s="97" t="str">
        <f>IFERROR(__xludf.DUMMYFUNCTION("""COMPUTED_VALUE"""),"-")</f>
        <v>-</v>
      </c>
      <c r="AN1265" s="97" t="str">
        <f>IFERROR(__xludf.DUMMYFUNCTION("""COMPUTED_VALUE"""),"N/A")</f>
        <v>N/A</v>
      </c>
      <c r="AO1265" s="97" t="str">
        <f>IFERROR(__xludf.DUMMYFUNCTION("""COMPUTED_VALUE"""),"2 Años")</f>
        <v>2 Años</v>
      </c>
      <c r="AP1265" s="97" t="str">
        <f>IFERROR(__xludf.DUMMYFUNCTION("""COMPUTED_VALUE"""),"No Aplica")</f>
        <v>No Aplica</v>
      </c>
      <c r="AQ1265" s="97" t="str">
        <f>IFERROR(__xludf.DUMMYFUNCTION("""COMPUTED_VALUE"""),"No Aplica")</f>
        <v>No Aplica</v>
      </c>
      <c r="AR1265" s="97" t="str">
        <f>IFERROR(__xludf.DUMMYFUNCTION("""COMPUTED_VALUE"""),"No Aplica")</f>
        <v>No Aplica</v>
      </c>
      <c r="AS1265" s="97" t="str">
        <f>IFERROR(__xludf.DUMMYFUNCTION("""COMPUTED_VALUE"""),"No Aplica")</f>
        <v>No Aplica</v>
      </c>
      <c r="AT1265" s="97" t="str">
        <f>IFERROR(__xludf.DUMMYFUNCTION("""COMPUTED_VALUE"""),"No Aplica")</f>
        <v>No Aplica</v>
      </c>
      <c r="AU1265" s="97" t="str">
        <f>IFERROR(__xludf.DUMMYFUNCTION("""COMPUTED_VALUE"""),"Disponible")</f>
        <v>Disponible</v>
      </c>
      <c r="AV1265" s="97" t="str">
        <f>IFERROR(__xludf.DUMMYFUNCTION("""COMPUTED_VALUE"""),"Accesorio")</f>
        <v>Accesorio</v>
      </c>
      <c r="AW1265" s="97" t="str">
        <f>IFERROR(__xludf.DUMMYFUNCTION("""COMPUTED_VALUE"""),"De Piso")</f>
        <v>De Piso</v>
      </c>
      <c r="AX1265" s="97" t="str">
        <f>IFERROR(__xludf.DUMMYFUNCTION("""COMPUTED_VALUE"""),"Exterior")</f>
        <v>Exterior</v>
      </c>
      <c r="AY1265" s="97" t="str">
        <f>IFERROR(__xludf.DUMMYFUNCTION("""COMPUTED_VALUE"""),"Chill")</f>
        <v>Chill</v>
      </c>
      <c r="AZ1265" s="97" t="str">
        <f>IFERROR(__xludf.DUMMYFUNCTION("""COMPUTED_VALUE"""),"Estaca Ø40 x 210")</f>
        <v>Estaca Ø40 x 210</v>
      </c>
      <c r="BA1265" s="97"/>
      <c r="BB1265" s="97" t="str">
        <f>IFERROR(__xludf.DUMMYFUNCTION("""COMPUTED_VALUE"""),"-")</f>
        <v>-</v>
      </c>
      <c r="BC1265" s="97" t="str">
        <f>IFERROR(__xludf.DUMMYFUNCTION("""COMPUTED_VALUE"""),"-")</f>
        <v>-</v>
      </c>
      <c r="BD1265" s="97" t="str">
        <f>IFERROR(__xludf.DUMMYFUNCTION("""COMPUTED_VALUE"""),"CHILL")</f>
        <v>CHILL</v>
      </c>
      <c r="BE1265" s="97" t="str">
        <f>IFERROR(__xludf.DUMMYFUNCTION("""COMPUTED_VALUE"""),"Solicitada")</f>
        <v>Solicitada</v>
      </c>
      <c r="BF1265" s="97"/>
      <c r="BG1265" s="97" t="str">
        <f>IFERROR(__xludf.DUMMYFUNCTION("""COMPUTED_VALUE"""),"Activo")</f>
        <v>Activo</v>
      </c>
    </row>
    <row r="1266">
      <c r="A1266" s="97">
        <f>IFERROR(__xludf.DUMMYFUNCTION("""COMPUTED_VALUE"""),7226.0)</f>
        <v>7226</v>
      </c>
      <c r="B1266" s="97" t="str">
        <f>IFERROR(__xludf.DUMMYFUNCTION("""COMPUTED_VALUE"""),"ADAPTADOR 3EF II NG")</f>
        <v>ADAPTADOR 3EF II NG</v>
      </c>
      <c r="C1266" s="97" t="str">
        <f>IFERROR(__xludf.DUMMYFUNCTION("""COMPUTED_VALUE"""),"ACCESORIO ADAPTADOR 3EF II NG LEUK")</f>
        <v>ACCESORIO ADAPTADOR 3EF II NG LEUK</v>
      </c>
      <c r="D1266" s="97">
        <f>IFERROR(__xludf.DUMMYFUNCTION("""COMPUTED_VALUE"""),7.798413227697E12)</f>
        <v>7798413227697</v>
      </c>
      <c r="E1266" s="97"/>
      <c r="F1266" s="97" t="str">
        <f>IFERROR(__xludf.DUMMYFUNCTION("""COMPUTED_VALUE"""),"N/A")</f>
        <v>N/A</v>
      </c>
      <c r="G1266" s="97" t="str">
        <f>IFERROR(__xludf.DUMMYFUNCTION("""COMPUTED_VALUE"""),"N/A")</f>
        <v>N/A</v>
      </c>
      <c r="H1266" s="97" t="str">
        <f>IFERROR(__xludf.DUMMYFUNCTION("""COMPUTED_VALUE"""),"N/A")</f>
        <v>N/A</v>
      </c>
      <c r="I1266" s="97" t="str">
        <f>IFERROR(__xludf.DUMMYFUNCTION("""COMPUTED_VALUE"""),"N/A")</f>
        <v>N/A</v>
      </c>
      <c r="J1266" s="97" t="str">
        <f>IFERROR(__xludf.DUMMYFUNCTION("""COMPUTED_VALUE"""),"N/A")</f>
        <v>N/A</v>
      </c>
      <c r="K1266" s="97" t="str">
        <f>IFERROR(__xludf.DUMMYFUNCTION("""COMPUTED_VALUE"""),"N/A")</f>
        <v>N/A</v>
      </c>
      <c r="L1266" s="97">
        <f>IFERROR(__xludf.DUMMYFUNCTION("""COMPUTED_VALUE"""),220.0)</f>
        <v>220</v>
      </c>
      <c r="M1266" s="97">
        <f>IFERROR(__xludf.DUMMYFUNCTION("""COMPUTED_VALUE"""),50.0)</f>
        <v>50</v>
      </c>
      <c r="N1266" s="97" t="str">
        <f>IFERROR(__xludf.DUMMYFUNCTION("""COMPUTED_VALUE"""),"N/A")</f>
        <v>N/A</v>
      </c>
      <c r="O1266" s="97" t="str">
        <f>IFERROR(__xludf.DUMMYFUNCTION("""COMPUTED_VALUE"""),"-")</f>
        <v>-</v>
      </c>
      <c r="P1266" s="97"/>
      <c r="Q1266" s="97" t="str">
        <f>IFERROR(__xludf.DUMMYFUNCTION("""COMPUTED_VALUE"""),"-")</f>
        <v>-</v>
      </c>
      <c r="R1266" s="97" t="str">
        <f>IFERROR(__xludf.DUMMYFUNCTION("""COMPUTED_VALUE"""),"-")</f>
        <v>-</v>
      </c>
      <c r="S1266" s="97" t="str">
        <f>IFERROR(__xludf.DUMMYFUNCTION("""COMPUTED_VALUE"""),"-")</f>
        <v>-</v>
      </c>
      <c r="T1266" s="97" t="str">
        <f>IFERROR(__xludf.DUMMYFUNCTION("""COMPUTED_VALUE"""),"-")</f>
        <v>-</v>
      </c>
      <c r="U1266" s="97" t="str">
        <f>IFERROR(__xludf.DUMMYFUNCTION("""COMPUTED_VALUE"""),"-")</f>
        <v>-</v>
      </c>
      <c r="V1266" s="97" t="str">
        <f>IFERROR(__xludf.DUMMYFUNCTION("""COMPUTED_VALUE"""),"N/A")</f>
        <v>N/A</v>
      </c>
      <c r="W1266" s="97" t="str">
        <f>IFERROR(__xludf.DUMMYFUNCTION("""COMPUTED_VALUE"""),"N/A")</f>
        <v>N/A</v>
      </c>
      <c r="X1266" s="97" t="str">
        <f>IFERROR(__xludf.DUMMYFUNCTION("""COMPUTED_VALUE"""),"-")</f>
        <v>-</v>
      </c>
      <c r="Y1266" s="97" t="str">
        <f>IFERROR(__xludf.DUMMYFUNCTION("""COMPUTED_VALUE"""),"N/A")</f>
        <v>N/A</v>
      </c>
      <c r="Z1266" s="97" t="str">
        <f>IFERROR(__xludf.DUMMYFUNCTION("""COMPUTED_VALUE"""),"N/A")</f>
        <v>N/A</v>
      </c>
      <c r="AA1266" s="97" t="str">
        <f>IFERROR(__xludf.DUMMYFUNCTION("""COMPUTED_VALUE"""),"N/A")</f>
        <v>N/A</v>
      </c>
      <c r="AB1266" s="97" t="str">
        <f>IFERROR(__xludf.DUMMYFUNCTION("""COMPUTED_VALUE"""),"N/A")</f>
        <v>N/A</v>
      </c>
      <c r="AC1266" s="97" t="str">
        <f>IFERROR(__xludf.DUMMYFUNCTION("""COMPUTED_VALUE"""),"N/A")</f>
        <v>N/A</v>
      </c>
      <c r="AD1266" s="97" t="str">
        <f>IFERROR(__xludf.DUMMYFUNCTION("""COMPUTED_VALUE"""),"IP20")</f>
        <v>IP20</v>
      </c>
      <c r="AE1266" s="97" t="str">
        <f>IFERROR(__xludf.DUMMYFUNCTION("""COMPUTED_VALUE"""),"Clase l")</f>
        <v>Clase l</v>
      </c>
      <c r="AF1266" s="97" t="str">
        <f>IFERROR(__xludf.DUMMYFUNCTION("""COMPUTED_VALUE"""),"N/A")</f>
        <v>N/A</v>
      </c>
      <c r="AG1266" s="97" t="str">
        <f>IFERROR(__xludf.DUMMYFUNCTION("""COMPUTED_VALUE"""),"71 x 32 x 41")</f>
        <v>71 x 32 x 41</v>
      </c>
      <c r="AH1266" s="97" t="str">
        <f>IFERROR(__xludf.DUMMYFUNCTION("""COMPUTED_VALUE"""),"N/A")</f>
        <v>N/A</v>
      </c>
      <c r="AI1266" s="97" t="str">
        <f>IFERROR(__xludf.DUMMYFUNCTION("""COMPUTED_VALUE"""),"N/A")</f>
        <v>N/A</v>
      </c>
      <c r="AJ1266" s="97" t="str">
        <f>IFERROR(__xludf.DUMMYFUNCTION("""COMPUTED_VALUE"""),"N/A")</f>
        <v>N/A</v>
      </c>
      <c r="AK1266" s="97" t="str">
        <f>IFERROR(__xludf.DUMMYFUNCTION("""COMPUTED_VALUE"""),"Policarbonato (PC)")</f>
        <v>Policarbonato (PC)</v>
      </c>
      <c r="AL1266" s="97" t="str">
        <f>IFERROR(__xludf.DUMMYFUNCTION("""COMPUTED_VALUE"""),"Negro Mate")</f>
        <v>Negro Mate</v>
      </c>
      <c r="AM1266" s="97" t="str">
        <f>IFERROR(__xludf.DUMMYFUNCTION("""COMPUTED_VALUE"""),"-")</f>
        <v>-</v>
      </c>
      <c r="AN1266" s="97" t="str">
        <f>IFERROR(__xludf.DUMMYFUNCTION("""COMPUTED_VALUE"""),"N/A")</f>
        <v>N/A</v>
      </c>
      <c r="AO1266" s="97" t="str">
        <f>IFERROR(__xludf.DUMMYFUNCTION("""COMPUTED_VALUE"""),"3 Años")</f>
        <v>3 Años</v>
      </c>
      <c r="AP1266" s="97" t="str">
        <f>IFERROR(__xludf.DUMMYFUNCTION("""COMPUTED_VALUE"""),"No Aplica")</f>
        <v>No Aplica</v>
      </c>
      <c r="AQ1266" s="97" t="str">
        <f>IFERROR(__xludf.DUMMYFUNCTION("""COMPUTED_VALUE"""),"No Aplica")</f>
        <v>No Aplica</v>
      </c>
      <c r="AR1266" s="97" t="str">
        <f>IFERROR(__xludf.DUMMYFUNCTION("""COMPUTED_VALUE"""),"No Aplica")</f>
        <v>No Aplica</v>
      </c>
      <c r="AS1266" s="97" t="str">
        <f>IFERROR(__xludf.DUMMYFUNCTION("""COMPUTED_VALUE"""),"Falta")</f>
        <v>Falta</v>
      </c>
      <c r="AT1266" s="97" t="str">
        <f>IFERROR(__xludf.DUMMYFUNCTION("""COMPUTED_VALUE"""),"Falta")</f>
        <v>Falta</v>
      </c>
      <c r="AU1266" s="97" t="str">
        <f>IFERROR(__xludf.DUMMYFUNCTION("""COMPUTED_VALUE"""),"Disponible")</f>
        <v>Disponible</v>
      </c>
      <c r="AV1266" s="97" t="str">
        <f>IFERROR(__xludf.DUMMYFUNCTION("""COMPUTED_VALUE"""),"Accesorio")</f>
        <v>Accesorio</v>
      </c>
      <c r="AW1266" s="97" t="str">
        <f>IFERROR(__xludf.DUMMYFUNCTION("""COMPUTED_VALUE"""),"Rieles")</f>
        <v>Rieles</v>
      </c>
      <c r="AX1266" s="97" t="str">
        <f>IFERROR(__xludf.DUMMYFUNCTION("""COMPUTED_VALUE"""),"Interior")</f>
        <v>Interior</v>
      </c>
      <c r="AY1266" s="97" t="str">
        <f>IFERROR(__xludf.DUMMYFUNCTION("""COMPUTED_VALUE"""),"-")</f>
        <v>-</v>
      </c>
      <c r="AZ1266" s="97" t="str">
        <f>IFERROR(__xludf.DUMMYFUNCTION("""COMPUTED_VALUE"""),"Soporta 10A")</f>
        <v>Soporta 10A</v>
      </c>
      <c r="BA1266" s="97">
        <f>IFERROR(__xludf.DUMMYFUNCTION("""COMPUTED_VALUE"""),150.0)</f>
        <v>150</v>
      </c>
      <c r="BB1266" s="97" t="str">
        <f>IFERROR(__xludf.DUMMYFUNCTION("""COMPUTED_VALUE"""),"-")</f>
        <v>-</v>
      </c>
      <c r="BC1266" s="97" t="str">
        <f>IFERROR(__xludf.DUMMYFUNCTION("""COMPUTED_VALUE"""),"-")</f>
        <v>-</v>
      </c>
      <c r="BD1266" s="97" t="str">
        <f>IFERROR(__xludf.DUMMYFUNCTION("""COMPUTED_VALUE"""),"RIELES 3EF")</f>
        <v>RIELES 3EF</v>
      </c>
      <c r="BE1266" s="97" t="str">
        <f>IFERROR(__xludf.DUMMYFUNCTION("""COMPUTED_VALUE"""),"Finalizada")</f>
        <v>Finalizada</v>
      </c>
      <c r="BF1266" s="97"/>
      <c r="BG1266" s="97" t="str">
        <f>IFERROR(__xludf.DUMMYFUNCTION("""COMPUTED_VALUE"""),"Activo")</f>
        <v>Activo</v>
      </c>
    </row>
    <row r="1267">
      <c r="A1267" s="97">
        <f>IFERROR(__xludf.DUMMYFUNCTION("""COMPUTED_VALUE"""),7227.0)</f>
        <v>7227</v>
      </c>
      <c r="B1267" s="97" t="str">
        <f>IFERROR(__xludf.DUMMYFUNCTION("""COMPUTED_VALUE"""),"ADAPTADOR 3EF II BL")</f>
        <v>ADAPTADOR 3EF II BL</v>
      </c>
      <c r="C1267" s="97" t="str">
        <f>IFERROR(__xludf.DUMMYFUNCTION("""COMPUTED_VALUE"""),"ACCESORIO ADAPTADOR 3EF II BL LEUK")</f>
        <v>ACCESORIO ADAPTADOR 3EF II BL LEUK</v>
      </c>
      <c r="D1267" s="97">
        <f>IFERROR(__xludf.DUMMYFUNCTION("""COMPUTED_VALUE"""),7.798413227703E12)</f>
        <v>7798413227703</v>
      </c>
      <c r="E1267" s="97"/>
      <c r="F1267" s="97" t="str">
        <f>IFERROR(__xludf.DUMMYFUNCTION("""COMPUTED_VALUE"""),"N/A")</f>
        <v>N/A</v>
      </c>
      <c r="G1267" s="97" t="str">
        <f>IFERROR(__xludf.DUMMYFUNCTION("""COMPUTED_VALUE"""),"N/A")</f>
        <v>N/A</v>
      </c>
      <c r="H1267" s="97" t="str">
        <f>IFERROR(__xludf.DUMMYFUNCTION("""COMPUTED_VALUE"""),"N/A")</f>
        <v>N/A</v>
      </c>
      <c r="I1267" s="97" t="str">
        <f>IFERROR(__xludf.DUMMYFUNCTION("""COMPUTED_VALUE"""),"N/A")</f>
        <v>N/A</v>
      </c>
      <c r="J1267" s="97" t="str">
        <f>IFERROR(__xludf.DUMMYFUNCTION("""COMPUTED_VALUE"""),"N/A")</f>
        <v>N/A</v>
      </c>
      <c r="K1267" s="97" t="str">
        <f>IFERROR(__xludf.DUMMYFUNCTION("""COMPUTED_VALUE"""),"N/A")</f>
        <v>N/A</v>
      </c>
      <c r="L1267" s="97">
        <f>IFERROR(__xludf.DUMMYFUNCTION("""COMPUTED_VALUE"""),220.0)</f>
        <v>220</v>
      </c>
      <c r="M1267" s="97">
        <f>IFERROR(__xludf.DUMMYFUNCTION("""COMPUTED_VALUE"""),50.0)</f>
        <v>50</v>
      </c>
      <c r="N1267" s="97" t="str">
        <f>IFERROR(__xludf.DUMMYFUNCTION("""COMPUTED_VALUE"""),"N/A")</f>
        <v>N/A</v>
      </c>
      <c r="O1267" s="97" t="str">
        <f>IFERROR(__xludf.DUMMYFUNCTION("""COMPUTED_VALUE"""),"-")</f>
        <v>-</v>
      </c>
      <c r="P1267" s="97"/>
      <c r="Q1267" s="97" t="str">
        <f>IFERROR(__xludf.DUMMYFUNCTION("""COMPUTED_VALUE"""),"-")</f>
        <v>-</v>
      </c>
      <c r="R1267" s="97" t="str">
        <f>IFERROR(__xludf.DUMMYFUNCTION("""COMPUTED_VALUE"""),"-")</f>
        <v>-</v>
      </c>
      <c r="S1267" s="97" t="str">
        <f>IFERROR(__xludf.DUMMYFUNCTION("""COMPUTED_VALUE"""),"-")</f>
        <v>-</v>
      </c>
      <c r="T1267" s="97" t="str">
        <f>IFERROR(__xludf.DUMMYFUNCTION("""COMPUTED_VALUE"""),"-")</f>
        <v>-</v>
      </c>
      <c r="U1267" s="97" t="str">
        <f>IFERROR(__xludf.DUMMYFUNCTION("""COMPUTED_VALUE"""),"-")</f>
        <v>-</v>
      </c>
      <c r="V1267" s="97" t="str">
        <f>IFERROR(__xludf.DUMMYFUNCTION("""COMPUTED_VALUE"""),"N/A")</f>
        <v>N/A</v>
      </c>
      <c r="W1267" s="97" t="str">
        <f>IFERROR(__xludf.DUMMYFUNCTION("""COMPUTED_VALUE"""),"N/A")</f>
        <v>N/A</v>
      </c>
      <c r="X1267" s="97" t="str">
        <f>IFERROR(__xludf.DUMMYFUNCTION("""COMPUTED_VALUE"""),"-")</f>
        <v>-</v>
      </c>
      <c r="Y1267" s="97" t="str">
        <f>IFERROR(__xludf.DUMMYFUNCTION("""COMPUTED_VALUE"""),"N/A")</f>
        <v>N/A</v>
      </c>
      <c r="Z1267" s="97" t="str">
        <f>IFERROR(__xludf.DUMMYFUNCTION("""COMPUTED_VALUE"""),"N/A")</f>
        <v>N/A</v>
      </c>
      <c r="AA1267" s="97" t="str">
        <f>IFERROR(__xludf.DUMMYFUNCTION("""COMPUTED_VALUE"""),"N/A")</f>
        <v>N/A</v>
      </c>
      <c r="AB1267" s="97" t="str">
        <f>IFERROR(__xludf.DUMMYFUNCTION("""COMPUTED_VALUE"""),"N/A")</f>
        <v>N/A</v>
      </c>
      <c r="AC1267" s="97" t="str">
        <f>IFERROR(__xludf.DUMMYFUNCTION("""COMPUTED_VALUE"""),"N/A")</f>
        <v>N/A</v>
      </c>
      <c r="AD1267" s="97" t="str">
        <f>IFERROR(__xludf.DUMMYFUNCTION("""COMPUTED_VALUE"""),"IP20")</f>
        <v>IP20</v>
      </c>
      <c r="AE1267" s="97" t="str">
        <f>IFERROR(__xludf.DUMMYFUNCTION("""COMPUTED_VALUE"""),"Clase l")</f>
        <v>Clase l</v>
      </c>
      <c r="AF1267" s="97" t="str">
        <f>IFERROR(__xludf.DUMMYFUNCTION("""COMPUTED_VALUE"""),"N/A")</f>
        <v>N/A</v>
      </c>
      <c r="AG1267" s="97" t="str">
        <f>IFERROR(__xludf.DUMMYFUNCTION("""COMPUTED_VALUE"""),"71 x 32 x 41")</f>
        <v>71 x 32 x 41</v>
      </c>
      <c r="AH1267" s="97" t="str">
        <f>IFERROR(__xludf.DUMMYFUNCTION("""COMPUTED_VALUE"""),"N/A")</f>
        <v>N/A</v>
      </c>
      <c r="AI1267" s="97" t="str">
        <f>IFERROR(__xludf.DUMMYFUNCTION("""COMPUTED_VALUE"""),"N/A")</f>
        <v>N/A</v>
      </c>
      <c r="AJ1267" s="97" t="str">
        <f>IFERROR(__xludf.DUMMYFUNCTION("""COMPUTED_VALUE"""),"N/A")</f>
        <v>N/A</v>
      </c>
      <c r="AK1267" s="97" t="str">
        <f>IFERROR(__xludf.DUMMYFUNCTION("""COMPUTED_VALUE"""),"Policarbonato (PC)")</f>
        <v>Policarbonato (PC)</v>
      </c>
      <c r="AL1267" s="97" t="str">
        <f>IFERROR(__xludf.DUMMYFUNCTION("""COMPUTED_VALUE"""),"Blanco Mate")</f>
        <v>Blanco Mate</v>
      </c>
      <c r="AM1267" s="97" t="str">
        <f>IFERROR(__xludf.DUMMYFUNCTION("""COMPUTED_VALUE"""),"-")</f>
        <v>-</v>
      </c>
      <c r="AN1267" s="97" t="str">
        <f>IFERROR(__xludf.DUMMYFUNCTION("""COMPUTED_VALUE"""),"N/A")</f>
        <v>N/A</v>
      </c>
      <c r="AO1267" s="97" t="str">
        <f>IFERROR(__xludf.DUMMYFUNCTION("""COMPUTED_VALUE"""),"3 Años")</f>
        <v>3 Años</v>
      </c>
      <c r="AP1267" s="97" t="str">
        <f>IFERROR(__xludf.DUMMYFUNCTION("""COMPUTED_VALUE"""),"No Aplica")</f>
        <v>No Aplica</v>
      </c>
      <c r="AQ1267" s="97" t="str">
        <f>IFERROR(__xludf.DUMMYFUNCTION("""COMPUTED_VALUE"""),"No Aplica")</f>
        <v>No Aplica</v>
      </c>
      <c r="AR1267" s="97" t="str">
        <f>IFERROR(__xludf.DUMMYFUNCTION("""COMPUTED_VALUE"""),"No Aplica")</f>
        <v>No Aplica</v>
      </c>
      <c r="AS1267" s="97" t="str">
        <f>IFERROR(__xludf.DUMMYFUNCTION("""COMPUTED_VALUE"""),"Falta")</f>
        <v>Falta</v>
      </c>
      <c r="AT1267" s="97" t="str">
        <f>IFERROR(__xludf.DUMMYFUNCTION("""COMPUTED_VALUE"""),"Falta")</f>
        <v>Falta</v>
      </c>
      <c r="AU1267" s="97" t="str">
        <f>IFERROR(__xludf.DUMMYFUNCTION("""COMPUTED_VALUE"""),"Disponible")</f>
        <v>Disponible</v>
      </c>
      <c r="AV1267" s="97" t="str">
        <f>IFERROR(__xludf.DUMMYFUNCTION("""COMPUTED_VALUE"""),"Accesorio")</f>
        <v>Accesorio</v>
      </c>
      <c r="AW1267" s="97" t="str">
        <f>IFERROR(__xludf.DUMMYFUNCTION("""COMPUTED_VALUE"""),"Rieles")</f>
        <v>Rieles</v>
      </c>
      <c r="AX1267" s="97" t="str">
        <f>IFERROR(__xludf.DUMMYFUNCTION("""COMPUTED_VALUE"""),"Interior")</f>
        <v>Interior</v>
      </c>
      <c r="AY1267" s="97" t="str">
        <f>IFERROR(__xludf.DUMMYFUNCTION("""COMPUTED_VALUE"""),"-")</f>
        <v>-</v>
      </c>
      <c r="AZ1267" s="97" t="str">
        <f>IFERROR(__xludf.DUMMYFUNCTION("""COMPUTED_VALUE"""),"Soporta 10A")</f>
        <v>Soporta 10A</v>
      </c>
      <c r="BA1267" s="97">
        <f>IFERROR(__xludf.DUMMYFUNCTION("""COMPUTED_VALUE"""),150.0)</f>
        <v>150</v>
      </c>
      <c r="BB1267" s="97" t="str">
        <f>IFERROR(__xludf.DUMMYFUNCTION("""COMPUTED_VALUE"""),"-")</f>
        <v>-</v>
      </c>
      <c r="BC1267" s="97" t="str">
        <f>IFERROR(__xludf.DUMMYFUNCTION("""COMPUTED_VALUE"""),"-")</f>
        <v>-</v>
      </c>
      <c r="BD1267" s="97" t="str">
        <f>IFERROR(__xludf.DUMMYFUNCTION("""COMPUTED_VALUE"""),"RIELES 3EF")</f>
        <v>RIELES 3EF</v>
      </c>
      <c r="BE1267" s="97" t="str">
        <f>IFERROR(__xludf.DUMMYFUNCTION("""COMPUTED_VALUE"""),"Finalizada")</f>
        <v>Finalizada</v>
      </c>
      <c r="BF1267" s="97"/>
      <c r="BG1267" s="97" t="str">
        <f>IFERROR(__xludf.DUMMYFUNCTION("""COMPUTED_VALUE"""),"Activo")</f>
        <v>Activo</v>
      </c>
    </row>
    <row r="1268">
      <c r="A1268" s="97">
        <f>IFERROR(__xludf.DUMMYFUNCTION("""COMPUTED_VALUE"""),7228.0)</f>
        <v>7228</v>
      </c>
      <c r="B1268" s="97" t="str">
        <f>IFERROR(__xludf.DUMMYFUNCTION("""COMPUTED_VALUE"""),"CABLE TENSOR CORRIENTE 7MTS")</f>
        <v>CABLE TENSOR CORRIENTE 7MTS</v>
      </c>
      <c r="C1268" s="97" t="str">
        <f>IFERROR(__xludf.DUMMYFUNCTION("""COMPUTED_VALUE"""),"ACCESORIO CABLE TENSOR CORRIENTE 7MTS LEUK")</f>
        <v>ACCESORIO CABLE TENSOR CORRIENTE 7MTS LEUK</v>
      </c>
      <c r="D1268" s="97">
        <f>IFERROR(__xludf.DUMMYFUNCTION("""COMPUTED_VALUE"""),7.79841322768E12)</f>
        <v>7798413227680</v>
      </c>
      <c r="E1268" s="97"/>
      <c r="F1268" s="97" t="str">
        <f>IFERROR(__xludf.DUMMYFUNCTION("""COMPUTED_VALUE"""),"N/A")</f>
        <v>N/A</v>
      </c>
      <c r="G1268" s="97" t="str">
        <f>IFERROR(__xludf.DUMMYFUNCTION("""COMPUTED_VALUE"""),"N/A")</f>
        <v>N/A</v>
      </c>
      <c r="H1268" s="97" t="str">
        <f>IFERROR(__xludf.DUMMYFUNCTION("""COMPUTED_VALUE"""),"N/A")</f>
        <v>N/A</v>
      </c>
      <c r="I1268" s="97" t="str">
        <f>IFERROR(__xludf.DUMMYFUNCTION("""COMPUTED_VALUE"""),"N/A")</f>
        <v>N/A</v>
      </c>
      <c r="J1268" s="97" t="str">
        <f>IFERROR(__xludf.DUMMYFUNCTION("""COMPUTED_VALUE"""),"N/A")</f>
        <v>N/A</v>
      </c>
      <c r="K1268" s="97" t="str">
        <f>IFERROR(__xludf.DUMMYFUNCTION("""COMPUTED_VALUE"""),"N/A")</f>
        <v>N/A</v>
      </c>
      <c r="L1268" s="97" t="str">
        <f>IFERROR(__xludf.DUMMYFUNCTION("""COMPUTED_VALUE"""),"200-240")</f>
        <v>200-240</v>
      </c>
      <c r="M1268" s="97" t="str">
        <f>IFERROR(__xludf.DUMMYFUNCTION("""COMPUTED_VALUE"""),"50/60")</f>
        <v>50/60</v>
      </c>
      <c r="N1268" s="97" t="str">
        <f>IFERROR(__xludf.DUMMYFUNCTION("""COMPUTED_VALUE"""),"N/A")</f>
        <v>N/A</v>
      </c>
      <c r="O1268" s="97" t="str">
        <f>IFERROR(__xludf.DUMMYFUNCTION("""COMPUTED_VALUE"""),"-")</f>
        <v>-</v>
      </c>
      <c r="P1268" s="97"/>
      <c r="Q1268" s="97" t="str">
        <f>IFERROR(__xludf.DUMMYFUNCTION("""COMPUTED_VALUE"""),"-")</f>
        <v>-</v>
      </c>
      <c r="R1268" s="97" t="str">
        <f>IFERROR(__xludf.DUMMYFUNCTION("""COMPUTED_VALUE"""),"-")</f>
        <v>-</v>
      </c>
      <c r="S1268" s="97" t="str">
        <f>IFERROR(__xludf.DUMMYFUNCTION("""COMPUTED_VALUE"""),"-")</f>
        <v>-</v>
      </c>
      <c r="T1268" s="97" t="str">
        <f>IFERROR(__xludf.DUMMYFUNCTION("""COMPUTED_VALUE"""),"-")</f>
        <v>-</v>
      </c>
      <c r="U1268" s="97" t="str">
        <f>IFERROR(__xludf.DUMMYFUNCTION("""COMPUTED_VALUE"""),"-")</f>
        <v>-</v>
      </c>
      <c r="V1268" s="97" t="str">
        <f>IFERROR(__xludf.DUMMYFUNCTION("""COMPUTED_VALUE"""),"N/A")</f>
        <v>N/A</v>
      </c>
      <c r="W1268" s="97" t="str">
        <f>IFERROR(__xludf.DUMMYFUNCTION("""COMPUTED_VALUE"""),"N/A")</f>
        <v>N/A</v>
      </c>
      <c r="X1268" s="97" t="str">
        <f>IFERROR(__xludf.DUMMYFUNCTION("""COMPUTED_VALUE"""),"-")</f>
        <v>-</v>
      </c>
      <c r="Y1268" s="97" t="str">
        <f>IFERROR(__xludf.DUMMYFUNCTION("""COMPUTED_VALUE"""),"N/A")</f>
        <v>N/A</v>
      </c>
      <c r="Z1268" s="97" t="str">
        <f>IFERROR(__xludf.DUMMYFUNCTION("""COMPUTED_VALUE"""),"N/A")</f>
        <v>N/A</v>
      </c>
      <c r="AA1268" s="97" t="str">
        <f>IFERROR(__xludf.DUMMYFUNCTION("""COMPUTED_VALUE"""),"N/A")</f>
        <v>N/A</v>
      </c>
      <c r="AB1268" s="97" t="str">
        <f>IFERROR(__xludf.DUMMYFUNCTION("""COMPUTED_VALUE"""),"N/A")</f>
        <v>N/A</v>
      </c>
      <c r="AC1268" s="97" t="str">
        <f>IFERROR(__xludf.DUMMYFUNCTION("""COMPUTED_VALUE"""),"N/A")</f>
        <v>N/A</v>
      </c>
      <c r="AD1268" s="97" t="str">
        <f>IFERROR(__xludf.DUMMYFUNCTION("""COMPUTED_VALUE"""),"IP20")</f>
        <v>IP20</v>
      </c>
      <c r="AE1268" s="97" t="str">
        <f>IFERROR(__xludf.DUMMYFUNCTION("""COMPUTED_VALUE"""),"Clase l")</f>
        <v>Clase l</v>
      </c>
      <c r="AF1268" s="97" t="str">
        <f>IFERROR(__xludf.DUMMYFUNCTION("""COMPUTED_VALUE"""),"N/A")</f>
        <v>N/A</v>
      </c>
      <c r="AG1268" s="97" t="str">
        <f>IFERROR(__xludf.DUMMYFUNCTION("""COMPUTED_VALUE"""),"Ø2 x 7000")</f>
        <v>Ø2 x 7000</v>
      </c>
      <c r="AH1268" s="97" t="str">
        <f>IFERROR(__xludf.DUMMYFUNCTION("""COMPUTED_VALUE"""),"N/A")</f>
        <v>N/A</v>
      </c>
      <c r="AI1268" s="97" t="str">
        <f>IFERROR(__xludf.DUMMYFUNCTION("""COMPUTED_VALUE"""),"N/A")</f>
        <v>N/A</v>
      </c>
      <c r="AJ1268" s="97" t="str">
        <f>IFERROR(__xludf.DUMMYFUNCTION("""COMPUTED_VALUE"""),"N/A")</f>
        <v>N/A</v>
      </c>
      <c r="AK1268" s="97" t="str">
        <f>IFERROR(__xludf.DUMMYFUNCTION("""COMPUTED_VALUE"""),"Acero")</f>
        <v>Acero</v>
      </c>
      <c r="AL1268" s="97" t="str">
        <f>IFERROR(__xludf.DUMMYFUNCTION("""COMPUTED_VALUE"""),"Natural")</f>
        <v>Natural</v>
      </c>
      <c r="AM1268" s="97" t="str">
        <f>IFERROR(__xludf.DUMMYFUNCTION("""COMPUTED_VALUE"""),"-")</f>
        <v>-</v>
      </c>
      <c r="AN1268" s="97" t="str">
        <f>IFERROR(__xludf.DUMMYFUNCTION("""COMPUTED_VALUE"""),"N/A")</f>
        <v>N/A</v>
      </c>
      <c r="AO1268" s="97" t="str">
        <f>IFERROR(__xludf.DUMMYFUNCTION("""COMPUTED_VALUE"""),"3 Años")</f>
        <v>3 Años</v>
      </c>
      <c r="AP1268" s="97" t="str">
        <f>IFERROR(__xludf.DUMMYFUNCTION("""COMPUTED_VALUE"""),"No Aplica")</f>
        <v>No Aplica</v>
      </c>
      <c r="AQ1268" s="97" t="str">
        <f>IFERROR(__xludf.DUMMYFUNCTION("""COMPUTED_VALUE"""),"No Aplica")</f>
        <v>No Aplica</v>
      </c>
      <c r="AR1268" s="97" t="str">
        <f>IFERROR(__xludf.DUMMYFUNCTION("""COMPUTED_VALUE"""),"No Aplica")</f>
        <v>No Aplica</v>
      </c>
      <c r="AS1268" s="97" t="str">
        <f>IFERROR(__xludf.DUMMYFUNCTION("""COMPUTED_VALUE"""),"No Aplica")</f>
        <v>No Aplica</v>
      </c>
      <c r="AT1268" s="97" t="str">
        <f>IFERROR(__xludf.DUMMYFUNCTION("""COMPUTED_VALUE"""),"No Aplica")</f>
        <v>No Aplica</v>
      </c>
      <c r="AU1268" s="97" t="str">
        <f>IFERROR(__xludf.DUMMYFUNCTION("""COMPUTED_VALUE"""),"Falta")</f>
        <v>Falta</v>
      </c>
      <c r="AV1268" s="97" t="str">
        <f>IFERROR(__xludf.DUMMYFUNCTION("""COMPUTED_VALUE"""),"Accesorio")</f>
        <v>Accesorio</v>
      </c>
      <c r="AW1268" s="97" t="str">
        <f>IFERROR(__xludf.DUMMYFUNCTION("""COMPUTED_VALUE"""),"De Techo")</f>
        <v>De Techo</v>
      </c>
      <c r="AX1268" s="97" t="str">
        <f>IFERROR(__xludf.DUMMYFUNCTION("""COMPUTED_VALUE"""),"Interior")</f>
        <v>Interior</v>
      </c>
      <c r="AY1268" s="97" t="str">
        <f>IFERROR(__xludf.DUMMYFUNCTION("""COMPUTED_VALUE"""),"-")</f>
        <v>-</v>
      </c>
      <c r="AZ1268" s="97" t="str">
        <f>IFERROR(__xludf.DUMMYFUNCTION("""COMPUTED_VALUE"""),"Consumo Max. 0,5A. Vienen 2 tensores + Cable tensor de 2x0.3mm². Va en FichaTec RIELES, DYNA, ")</f>
        <v>Consumo Max. 0,5A. Vienen 2 tensores + Cable tensor de 2x0.3mm². Va en FichaTec RIELES, DYNA, </v>
      </c>
      <c r="BA1268" s="97"/>
      <c r="BB1268" s="97"/>
      <c r="BC1268" s="97"/>
      <c r="BD1268" s="97" t="str">
        <f>IFERROR(__xludf.DUMMYFUNCTION("""COMPUTED_VALUE"""),"???")</f>
        <v>???</v>
      </c>
      <c r="BE1268" s="97" t="str">
        <f>IFERROR(__xludf.DUMMYFUNCTION("""COMPUTED_VALUE"""),"Falta TR")</f>
        <v>Falta TR</v>
      </c>
      <c r="BF1268" s="97"/>
      <c r="BG1268" s="97" t="str">
        <f>IFERROR(__xludf.DUMMYFUNCTION("""COMPUTED_VALUE"""),"Activo")</f>
        <v>Activo</v>
      </c>
    </row>
    <row r="1269">
      <c r="A1269" s="97">
        <f>IFERROR(__xludf.DUMMYFUNCTION("""COMPUTED_VALUE"""),7229.0)</f>
        <v>7229</v>
      </c>
      <c r="B1269" s="97" t="str">
        <f>IFERROR(__xludf.DUMMYFUNCTION("""COMPUTED_VALUE"""),"RIEL 2MTS 3EF NG")</f>
        <v>RIEL 2MTS 3EF NG</v>
      </c>
      <c r="C1269" s="97" t="str">
        <f>IFERROR(__xludf.DUMMYFUNCTION("""COMPUTED_VALUE"""),"RIEL RIEL 2MTS 3EF NG LEUK")</f>
        <v>RIEL RIEL 2MTS 3EF NG LEUK</v>
      </c>
      <c r="D1269" s="97">
        <f>IFERROR(__xludf.DUMMYFUNCTION("""COMPUTED_VALUE"""),7.798413227604E12)</f>
        <v>7798413227604</v>
      </c>
      <c r="E1269" s="97"/>
      <c r="F1269" s="97" t="str">
        <f>IFERROR(__xludf.DUMMYFUNCTION("""COMPUTED_VALUE"""),"N/A")</f>
        <v>N/A</v>
      </c>
      <c r="G1269" s="97" t="str">
        <f>IFERROR(__xludf.DUMMYFUNCTION("""COMPUTED_VALUE"""),"N/A")</f>
        <v>N/A</v>
      </c>
      <c r="H1269" s="97" t="str">
        <f>IFERROR(__xludf.DUMMYFUNCTION("""COMPUTED_VALUE"""),"N/A")</f>
        <v>N/A</v>
      </c>
      <c r="I1269" s="97" t="str">
        <f>IFERROR(__xludf.DUMMYFUNCTION("""COMPUTED_VALUE"""),"N/A")</f>
        <v>N/A</v>
      </c>
      <c r="J1269" s="97" t="str">
        <f>IFERROR(__xludf.DUMMYFUNCTION("""COMPUTED_VALUE"""),"N/A")</f>
        <v>N/A</v>
      </c>
      <c r="K1269" s="97" t="str">
        <f>IFERROR(__xludf.DUMMYFUNCTION("""COMPUTED_VALUE"""),"N/A")</f>
        <v>N/A</v>
      </c>
      <c r="L1269" s="97">
        <f>IFERROR(__xludf.DUMMYFUNCTION("""COMPUTED_VALUE"""),220.0)</f>
        <v>220</v>
      </c>
      <c r="M1269" s="97">
        <f>IFERROR(__xludf.DUMMYFUNCTION("""COMPUTED_VALUE"""),50.0)</f>
        <v>50</v>
      </c>
      <c r="N1269" s="97" t="str">
        <f>IFERROR(__xludf.DUMMYFUNCTION("""COMPUTED_VALUE"""),"N/A")</f>
        <v>N/A</v>
      </c>
      <c r="O1269" s="97" t="str">
        <f>IFERROR(__xludf.DUMMYFUNCTION("""COMPUTED_VALUE"""),"-")</f>
        <v>-</v>
      </c>
      <c r="P1269" s="97"/>
      <c r="Q1269" s="97" t="str">
        <f>IFERROR(__xludf.DUMMYFUNCTION("""COMPUTED_VALUE"""),"-")</f>
        <v>-</v>
      </c>
      <c r="R1269" s="97" t="str">
        <f>IFERROR(__xludf.DUMMYFUNCTION("""COMPUTED_VALUE"""),"-")</f>
        <v>-</v>
      </c>
      <c r="S1269" s="97" t="str">
        <f>IFERROR(__xludf.DUMMYFUNCTION("""COMPUTED_VALUE"""),"-")</f>
        <v>-</v>
      </c>
      <c r="T1269" s="97" t="str">
        <f>IFERROR(__xludf.DUMMYFUNCTION("""COMPUTED_VALUE"""),"-")</f>
        <v>-</v>
      </c>
      <c r="U1269" s="97" t="str">
        <f>IFERROR(__xludf.DUMMYFUNCTION("""COMPUTED_VALUE"""),"-")</f>
        <v>-</v>
      </c>
      <c r="V1269" s="97" t="str">
        <f>IFERROR(__xludf.DUMMYFUNCTION("""COMPUTED_VALUE"""),"N/A")</f>
        <v>N/A</v>
      </c>
      <c r="W1269" s="97" t="str">
        <f>IFERROR(__xludf.DUMMYFUNCTION("""COMPUTED_VALUE"""),"N/A")</f>
        <v>N/A</v>
      </c>
      <c r="X1269" s="97" t="str">
        <f>IFERROR(__xludf.DUMMYFUNCTION("""COMPUTED_VALUE"""),"-")</f>
        <v>-</v>
      </c>
      <c r="Y1269" s="97" t="str">
        <f>IFERROR(__xludf.DUMMYFUNCTION("""COMPUTED_VALUE"""),"N/A")</f>
        <v>N/A</v>
      </c>
      <c r="Z1269" s="97" t="str">
        <f>IFERROR(__xludf.DUMMYFUNCTION("""COMPUTED_VALUE"""),"N/A")</f>
        <v>N/A</v>
      </c>
      <c r="AA1269" s="97" t="str">
        <f>IFERROR(__xludf.DUMMYFUNCTION("""COMPUTED_VALUE"""),"N/A")</f>
        <v>N/A</v>
      </c>
      <c r="AB1269" s="97" t="str">
        <f>IFERROR(__xludf.DUMMYFUNCTION("""COMPUTED_VALUE"""),"N/A")</f>
        <v>N/A</v>
      </c>
      <c r="AC1269" s="97" t="str">
        <f>IFERROR(__xludf.DUMMYFUNCTION("""COMPUTED_VALUE"""),"N/A")</f>
        <v>N/A</v>
      </c>
      <c r="AD1269" s="97" t="str">
        <f>IFERROR(__xludf.DUMMYFUNCTION("""COMPUTED_VALUE"""),"IP20")</f>
        <v>IP20</v>
      </c>
      <c r="AE1269" s="97" t="str">
        <f>IFERROR(__xludf.DUMMYFUNCTION("""COMPUTED_VALUE"""),"Clase l")</f>
        <v>Clase l</v>
      </c>
      <c r="AF1269" s="97" t="str">
        <f>IFERROR(__xludf.DUMMYFUNCTION("""COMPUTED_VALUE"""),"Embutir, Aplicar, Suspender")</f>
        <v>Embutir, Aplicar, Suspender</v>
      </c>
      <c r="AG1269" s="97" t="str">
        <f>IFERROR(__xludf.DUMMYFUNCTION("""COMPUTED_VALUE"""),"32 x 36 x 2000 (Ancho x Alto x Largo)")</f>
        <v>32 x 36 x 2000 (Ancho x Alto x Largo)</v>
      </c>
      <c r="AH1269" s="97" t="str">
        <f>IFERROR(__xludf.DUMMYFUNCTION("""COMPUTED_VALUE"""),"N/A")</f>
        <v>N/A</v>
      </c>
      <c r="AI1269" s="97" t="str">
        <f>IFERROR(__xludf.DUMMYFUNCTION("""COMPUTED_VALUE"""),"N/A")</f>
        <v>N/A</v>
      </c>
      <c r="AJ1269" s="97" t="str">
        <f>IFERROR(__xludf.DUMMYFUNCTION("""COMPUTED_VALUE"""),"N/A")</f>
        <v>N/A</v>
      </c>
      <c r="AK1269" s="97" t="str">
        <f>IFERROR(__xludf.DUMMYFUNCTION("""COMPUTED_VALUE"""),"Aluminio")</f>
        <v>Aluminio</v>
      </c>
      <c r="AL1269" s="97" t="str">
        <f>IFERROR(__xludf.DUMMYFUNCTION("""COMPUTED_VALUE"""),"Negro Mate")</f>
        <v>Negro Mate</v>
      </c>
      <c r="AM1269" s="97" t="str">
        <f>IFERROR(__xludf.DUMMYFUNCTION("""COMPUTED_VALUE"""),"-")</f>
        <v>-</v>
      </c>
      <c r="AN1269" s="97" t="str">
        <f>IFERROR(__xludf.DUMMYFUNCTION("""COMPUTED_VALUE"""),"N/A")</f>
        <v>N/A</v>
      </c>
      <c r="AO1269" s="97" t="str">
        <f>IFERROR(__xludf.DUMMYFUNCTION("""COMPUTED_VALUE"""),"3 Años")</f>
        <v>3 Años</v>
      </c>
      <c r="AP1269" s="97" t="str">
        <f>IFERROR(__xludf.DUMMYFUNCTION("""COMPUTED_VALUE"""),"No Aplica")</f>
        <v>No Aplica</v>
      </c>
      <c r="AQ1269" s="97" t="str">
        <f>IFERROR(__xludf.DUMMYFUNCTION("""COMPUTED_VALUE"""),"No Aplica")</f>
        <v>No Aplica</v>
      </c>
      <c r="AR1269" s="97" t="str">
        <f>IFERROR(__xludf.DUMMYFUNCTION("""COMPUTED_VALUE"""),"No Aplica")</f>
        <v>No Aplica</v>
      </c>
      <c r="AS1269" s="97" t="str">
        <f>IFERROR(__xludf.DUMMYFUNCTION("""COMPUTED_VALUE"""),"Falta")</f>
        <v>Falta</v>
      </c>
      <c r="AT1269" s="97" t="str">
        <f>IFERROR(__xludf.DUMMYFUNCTION("""COMPUTED_VALUE"""),"Falta")</f>
        <v>Falta</v>
      </c>
      <c r="AU1269" s="97" t="str">
        <f>IFERROR(__xludf.DUMMYFUNCTION("""COMPUTED_VALUE"""),"Falta")</f>
        <v>Falta</v>
      </c>
      <c r="AV1269" s="97" t="str">
        <f>IFERROR(__xludf.DUMMYFUNCTION("""COMPUTED_VALUE"""),"Riel")</f>
        <v>Riel</v>
      </c>
      <c r="AW1269" s="97" t="str">
        <f>IFERROR(__xludf.DUMMYFUNCTION("""COMPUTED_VALUE"""),"Rieles")</f>
        <v>Rieles</v>
      </c>
      <c r="AX1269" s="97" t="str">
        <f>IFERROR(__xludf.DUMMYFUNCTION("""COMPUTED_VALUE"""),"Interior")</f>
        <v>Interior</v>
      </c>
      <c r="AY1269" s="97" t="str">
        <f>IFERROR(__xludf.DUMMYFUNCTION("""COMPUTED_VALUE"""),"-")</f>
        <v>-</v>
      </c>
      <c r="AZ1269" s="97" t="str">
        <f>IFERROR(__xludf.DUMMYFUNCTION("""COMPUTED_VALUE"""),"Soporta 10A. No incluye tapas extremas.")</f>
        <v>Soporta 10A. No incluye tapas extremas.</v>
      </c>
      <c r="BA1269" s="97"/>
      <c r="BB1269" s="97" t="str">
        <f>IFERROR(__xludf.DUMMYFUNCTION("""COMPUTED_VALUE"""),"-")</f>
        <v>-</v>
      </c>
      <c r="BC1269" s="97" t="str">
        <f>IFERROR(__xludf.DUMMYFUNCTION("""COMPUTED_VALUE"""),"-")</f>
        <v>-</v>
      </c>
      <c r="BD1269" s="97" t="str">
        <f>IFERROR(__xludf.DUMMYFUNCTION("""COMPUTED_VALUE"""),"RIELES 3EF")</f>
        <v>RIELES 3EF</v>
      </c>
      <c r="BE1269" s="97" t="str">
        <f>IFERROR(__xludf.DUMMYFUNCTION("""COMPUTED_VALUE"""),"Finalizada")</f>
        <v>Finalizada</v>
      </c>
      <c r="BF1269" s="97"/>
      <c r="BG1269" s="97" t="str">
        <f>IFERROR(__xludf.DUMMYFUNCTION("""COMPUTED_VALUE"""),"Activo")</f>
        <v>Activo</v>
      </c>
    </row>
    <row r="1270">
      <c r="A1270" s="97">
        <f>IFERROR(__xludf.DUMMYFUNCTION("""COMPUTED_VALUE"""),7230.0)</f>
        <v>7230</v>
      </c>
      <c r="B1270" s="97" t="str">
        <f>IFERROR(__xludf.DUMMYFUNCTION("""COMPUTED_VALUE"""),"RIEL 2MTS 3EF BL")</f>
        <v>RIEL 2MTS 3EF BL</v>
      </c>
      <c r="C1270" s="97" t="str">
        <f>IFERROR(__xludf.DUMMYFUNCTION("""COMPUTED_VALUE"""),"RIEL RIEL 2MTS 3EF BL LEUK")</f>
        <v>RIEL RIEL 2MTS 3EF BL LEUK</v>
      </c>
      <c r="D1270" s="97">
        <f>IFERROR(__xludf.DUMMYFUNCTION("""COMPUTED_VALUE"""),7.798413227611E12)</f>
        <v>7798413227611</v>
      </c>
      <c r="E1270" s="97"/>
      <c r="F1270" s="97" t="str">
        <f>IFERROR(__xludf.DUMMYFUNCTION("""COMPUTED_VALUE"""),"N/A")</f>
        <v>N/A</v>
      </c>
      <c r="G1270" s="97" t="str">
        <f>IFERROR(__xludf.DUMMYFUNCTION("""COMPUTED_VALUE"""),"N/A")</f>
        <v>N/A</v>
      </c>
      <c r="H1270" s="97" t="str">
        <f>IFERROR(__xludf.DUMMYFUNCTION("""COMPUTED_VALUE"""),"N/A")</f>
        <v>N/A</v>
      </c>
      <c r="I1270" s="97" t="str">
        <f>IFERROR(__xludf.DUMMYFUNCTION("""COMPUTED_VALUE"""),"N/A")</f>
        <v>N/A</v>
      </c>
      <c r="J1270" s="97" t="str">
        <f>IFERROR(__xludf.DUMMYFUNCTION("""COMPUTED_VALUE"""),"N/A")</f>
        <v>N/A</v>
      </c>
      <c r="K1270" s="97" t="str">
        <f>IFERROR(__xludf.DUMMYFUNCTION("""COMPUTED_VALUE"""),"N/A")</f>
        <v>N/A</v>
      </c>
      <c r="L1270" s="97">
        <f>IFERROR(__xludf.DUMMYFUNCTION("""COMPUTED_VALUE"""),220.0)</f>
        <v>220</v>
      </c>
      <c r="M1270" s="97">
        <f>IFERROR(__xludf.DUMMYFUNCTION("""COMPUTED_VALUE"""),50.0)</f>
        <v>50</v>
      </c>
      <c r="N1270" s="97" t="str">
        <f>IFERROR(__xludf.DUMMYFUNCTION("""COMPUTED_VALUE"""),"N/A")</f>
        <v>N/A</v>
      </c>
      <c r="O1270" s="97" t="str">
        <f>IFERROR(__xludf.DUMMYFUNCTION("""COMPUTED_VALUE"""),"-")</f>
        <v>-</v>
      </c>
      <c r="P1270" s="97"/>
      <c r="Q1270" s="97" t="str">
        <f>IFERROR(__xludf.DUMMYFUNCTION("""COMPUTED_VALUE"""),"-")</f>
        <v>-</v>
      </c>
      <c r="R1270" s="97" t="str">
        <f>IFERROR(__xludf.DUMMYFUNCTION("""COMPUTED_VALUE"""),"-")</f>
        <v>-</v>
      </c>
      <c r="S1270" s="97" t="str">
        <f>IFERROR(__xludf.DUMMYFUNCTION("""COMPUTED_VALUE"""),"-")</f>
        <v>-</v>
      </c>
      <c r="T1270" s="97" t="str">
        <f>IFERROR(__xludf.DUMMYFUNCTION("""COMPUTED_VALUE"""),"-")</f>
        <v>-</v>
      </c>
      <c r="U1270" s="97" t="str">
        <f>IFERROR(__xludf.DUMMYFUNCTION("""COMPUTED_VALUE"""),"-")</f>
        <v>-</v>
      </c>
      <c r="V1270" s="97" t="str">
        <f>IFERROR(__xludf.DUMMYFUNCTION("""COMPUTED_VALUE"""),"N/A")</f>
        <v>N/A</v>
      </c>
      <c r="W1270" s="97" t="str">
        <f>IFERROR(__xludf.DUMMYFUNCTION("""COMPUTED_VALUE"""),"N/A")</f>
        <v>N/A</v>
      </c>
      <c r="X1270" s="97" t="str">
        <f>IFERROR(__xludf.DUMMYFUNCTION("""COMPUTED_VALUE"""),"-")</f>
        <v>-</v>
      </c>
      <c r="Y1270" s="97" t="str">
        <f>IFERROR(__xludf.DUMMYFUNCTION("""COMPUTED_VALUE"""),"N/A")</f>
        <v>N/A</v>
      </c>
      <c r="Z1270" s="97" t="str">
        <f>IFERROR(__xludf.DUMMYFUNCTION("""COMPUTED_VALUE"""),"N/A")</f>
        <v>N/A</v>
      </c>
      <c r="AA1270" s="97" t="str">
        <f>IFERROR(__xludf.DUMMYFUNCTION("""COMPUTED_VALUE"""),"N/A")</f>
        <v>N/A</v>
      </c>
      <c r="AB1270" s="97" t="str">
        <f>IFERROR(__xludf.DUMMYFUNCTION("""COMPUTED_VALUE"""),"N/A")</f>
        <v>N/A</v>
      </c>
      <c r="AC1270" s="97" t="str">
        <f>IFERROR(__xludf.DUMMYFUNCTION("""COMPUTED_VALUE"""),"N/A")</f>
        <v>N/A</v>
      </c>
      <c r="AD1270" s="97" t="str">
        <f>IFERROR(__xludf.DUMMYFUNCTION("""COMPUTED_VALUE"""),"IP20")</f>
        <v>IP20</v>
      </c>
      <c r="AE1270" s="97" t="str">
        <f>IFERROR(__xludf.DUMMYFUNCTION("""COMPUTED_VALUE"""),"Clase l")</f>
        <v>Clase l</v>
      </c>
      <c r="AF1270" s="97" t="str">
        <f>IFERROR(__xludf.DUMMYFUNCTION("""COMPUTED_VALUE"""),"Embutir, Aplicar, Suspender")</f>
        <v>Embutir, Aplicar, Suspender</v>
      </c>
      <c r="AG1270" s="97" t="str">
        <f>IFERROR(__xludf.DUMMYFUNCTION("""COMPUTED_VALUE"""),"32 x 36 x 2000 (Ancho x Alto x Largo)")</f>
        <v>32 x 36 x 2000 (Ancho x Alto x Largo)</v>
      </c>
      <c r="AH1270" s="97" t="str">
        <f>IFERROR(__xludf.DUMMYFUNCTION("""COMPUTED_VALUE"""),"N/A")</f>
        <v>N/A</v>
      </c>
      <c r="AI1270" s="97" t="str">
        <f>IFERROR(__xludf.DUMMYFUNCTION("""COMPUTED_VALUE"""),"N/A")</f>
        <v>N/A</v>
      </c>
      <c r="AJ1270" s="97" t="str">
        <f>IFERROR(__xludf.DUMMYFUNCTION("""COMPUTED_VALUE"""),"N/A")</f>
        <v>N/A</v>
      </c>
      <c r="AK1270" s="97" t="str">
        <f>IFERROR(__xludf.DUMMYFUNCTION("""COMPUTED_VALUE"""),"Aluminio")</f>
        <v>Aluminio</v>
      </c>
      <c r="AL1270" s="97" t="str">
        <f>IFERROR(__xludf.DUMMYFUNCTION("""COMPUTED_VALUE"""),"Blanco Mate")</f>
        <v>Blanco Mate</v>
      </c>
      <c r="AM1270" s="97" t="str">
        <f>IFERROR(__xludf.DUMMYFUNCTION("""COMPUTED_VALUE"""),"-")</f>
        <v>-</v>
      </c>
      <c r="AN1270" s="97" t="str">
        <f>IFERROR(__xludf.DUMMYFUNCTION("""COMPUTED_VALUE"""),"N/A")</f>
        <v>N/A</v>
      </c>
      <c r="AO1270" s="97" t="str">
        <f>IFERROR(__xludf.DUMMYFUNCTION("""COMPUTED_VALUE"""),"3 Años")</f>
        <v>3 Años</v>
      </c>
      <c r="AP1270" s="97" t="str">
        <f>IFERROR(__xludf.DUMMYFUNCTION("""COMPUTED_VALUE"""),"No Aplica")</f>
        <v>No Aplica</v>
      </c>
      <c r="AQ1270" s="97" t="str">
        <f>IFERROR(__xludf.DUMMYFUNCTION("""COMPUTED_VALUE"""),"No Aplica")</f>
        <v>No Aplica</v>
      </c>
      <c r="AR1270" s="97" t="str">
        <f>IFERROR(__xludf.DUMMYFUNCTION("""COMPUTED_VALUE"""),"No Aplica")</f>
        <v>No Aplica</v>
      </c>
      <c r="AS1270" s="97" t="str">
        <f>IFERROR(__xludf.DUMMYFUNCTION("""COMPUTED_VALUE"""),"Falta")</f>
        <v>Falta</v>
      </c>
      <c r="AT1270" s="97" t="str">
        <f>IFERROR(__xludf.DUMMYFUNCTION("""COMPUTED_VALUE"""),"Falta")</f>
        <v>Falta</v>
      </c>
      <c r="AU1270" s="97" t="str">
        <f>IFERROR(__xludf.DUMMYFUNCTION("""COMPUTED_VALUE"""),"Falta")</f>
        <v>Falta</v>
      </c>
      <c r="AV1270" s="97" t="str">
        <f>IFERROR(__xludf.DUMMYFUNCTION("""COMPUTED_VALUE"""),"Riel")</f>
        <v>Riel</v>
      </c>
      <c r="AW1270" s="97" t="str">
        <f>IFERROR(__xludf.DUMMYFUNCTION("""COMPUTED_VALUE"""),"Rieles")</f>
        <v>Rieles</v>
      </c>
      <c r="AX1270" s="97" t="str">
        <f>IFERROR(__xludf.DUMMYFUNCTION("""COMPUTED_VALUE"""),"Interior")</f>
        <v>Interior</v>
      </c>
      <c r="AY1270" s="97" t="str">
        <f>IFERROR(__xludf.DUMMYFUNCTION("""COMPUTED_VALUE"""),"-")</f>
        <v>-</v>
      </c>
      <c r="AZ1270" s="97" t="str">
        <f>IFERROR(__xludf.DUMMYFUNCTION("""COMPUTED_VALUE"""),"Soporta 10A. No incluye tapas extremas.")</f>
        <v>Soporta 10A. No incluye tapas extremas.</v>
      </c>
      <c r="BA1270" s="97"/>
      <c r="BB1270" s="97" t="str">
        <f>IFERROR(__xludf.DUMMYFUNCTION("""COMPUTED_VALUE"""),"-")</f>
        <v>-</v>
      </c>
      <c r="BC1270" s="97" t="str">
        <f>IFERROR(__xludf.DUMMYFUNCTION("""COMPUTED_VALUE"""),"-")</f>
        <v>-</v>
      </c>
      <c r="BD1270" s="97" t="str">
        <f>IFERROR(__xludf.DUMMYFUNCTION("""COMPUTED_VALUE"""),"RIELES 3EF")</f>
        <v>RIELES 3EF</v>
      </c>
      <c r="BE1270" s="97" t="str">
        <f>IFERROR(__xludf.DUMMYFUNCTION("""COMPUTED_VALUE"""),"Finalizada")</f>
        <v>Finalizada</v>
      </c>
      <c r="BF1270" s="97"/>
      <c r="BG1270" s="97" t="str">
        <f>IFERROR(__xludf.DUMMYFUNCTION("""COMPUTED_VALUE"""),"Activo")</f>
        <v>Activo</v>
      </c>
    </row>
    <row r="1271">
      <c r="A1271" s="97">
        <f>IFERROR(__xludf.DUMMYFUNCTION("""COMPUTED_VALUE"""),7231.0)</f>
        <v>7231</v>
      </c>
      <c r="B1271" s="97" t="str">
        <f>IFERROR(__xludf.DUMMYFUNCTION("""COMPUTED_VALUE"""),"RIEL 3MTS 3EF NG")</f>
        <v>RIEL 3MTS 3EF NG</v>
      </c>
      <c r="C1271" s="97" t="str">
        <f>IFERROR(__xludf.DUMMYFUNCTION("""COMPUTED_VALUE"""),"RIEL RIEL 3MTS 3EF NG LEUK")</f>
        <v>RIEL RIEL 3MTS 3EF NG LEUK</v>
      </c>
      <c r="D1271" s="97">
        <f>IFERROR(__xludf.DUMMYFUNCTION("""COMPUTED_VALUE"""),7.798413227628E12)</f>
        <v>7798413227628</v>
      </c>
      <c r="E1271" s="97"/>
      <c r="F1271" s="97" t="str">
        <f>IFERROR(__xludf.DUMMYFUNCTION("""COMPUTED_VALUE"""),"N/A")</f>
        <v>N/A</v>
      </c>
      <c r="G1271" s="97" t="str">
        <f>IFERROR(__xludf.DUMMYFUNCTION("""COMPUTED_VALUE"""),"N/A")</f>
        <v>N/A</v>
      </c>
      <c r="H1271" s="97" t="str">
        <f>IFERROR(__xludf.DUMMYFUNCTION("""COMPUTED_VALUE"""),"N/A")</f>
        <v>N/A</v>
      </c>
      <c r="I1271" s="97" t="str">
        <f>IFERROR(__xludf.DUMMYFUNCTION("""COMPUTED_VALUE"""),"N/A")</f>
        <v>N/A</v>
      </c>
      <c r="J1271" s="97" t="str">
        <f>IFERROR(__xludf.DUMMYFUNCTION("""COMPUTED_VALUE"""),"N/A")</f>
        <v>N/A</v>
      </c>
      <c r="K1271" s="97" t="str">
        <f>IFERROR(__xludf.DUMMYFUNCTION("""COMPUTED_VALUE"""),"N/A")</f>
        <v>N/A</v>
      </c>
      <c r="L1271" s="97">
        <f>IFERROR(__xludf.DUMMYFUNCTION("""COMPUTED_VALUE"""),220.0)</f>
        <v>220</v>
      </c>
      <c r="M1271" s="97">
        <f>IFERROR(__xludf.DUMMYFUNCTION("""COMPUTED_VALUE"""),50.0)</f>
        <v>50</v>
      </c>
      <c r="N1271" s="97" t="str">
        <f>IFERROR(__xludf.DUMMYFUNCTION("""COMPUTED_VALUE"""),"N/A")</f>
        <v>N/A</v>
      </c>
      <c r="O1271" s="97" t="str">
        <f>IFERROR(__xludf.DUMMYFUNCTION("""COMPUTED_VALUE"""),"-")</f>
        <v>-</v>
      </c>
      <c r="P1271" s="97"/>
      <c r="Q1271" s="97" t="str">
        <f>IFERROR(__xludf.DUMMYFUNCTION("""COMPUTED_VALUE"""),"-")</f>
        <v>-</v>
      </c>
      <c r="R1271" s="97" t="str">
        <f>IFERROR(__xludf.DUMMYFUNCTION("""COMPUTED_VALUE"""),"-")</f>
        <v>-</v>
      </c>
      <c r="S1271" s="97" t="str">
        <f>IFERROR(__xludf.DUMMYFUNCTION("""COMPUTED_VALUE"""),"-")</f>
        <v>-</v>
      </c>
      <c r="T1271" s="97" t="str">
        <f>IFERROR(__xludf.DUMMYFUNCTION("""COMPUTED_VALUE"""),"-")</f>
        <v>-</v>
      </c>
      <c r="U1271" s="97" t="str">
        <f>IFERROR(__xludf.DUMMYFUNCTION("""COMPUTED_VALUE"""),"-")</f>
        <v>-</v>
      </c>
      <c r="V1271" s="97" t="str">
        <f>IFERROR(__xludf.DUMMYFUNCTION("""COMPUTED_VALUE"""),"N/A")</f>
        <v>N/A</v>
      </c>
      <c r="W1271" s="97" t="str">
        <f>IFERROR(__xludf.DUMMYFUNCTION("""COMPUTED_VALUE"""),"N/A")</f>
        <v>N/A</v>
      </c>
      <c r="X1271" s="97" t="str">
        <f>IFERROR(__xludf.DUMMYFUNCTION("""COMPUTED_VALUE"""),"-")</f>
        <v>-</v>
      </c>
      <c r="Y1271" s="97" t="str">
        <f>IFERROR(__xludf.DUMMYFUNCTION("""COMPUTED_VALUE"""),"N/A")</f>
        <v>N/A</v>
      </c>
      <c r="Z1271" s="97" t="str">
        <f>IFERROR(__xludf.DUMMYFUNCTION("""COMPUTED_VALUE"""),"N/A")</f>
        <v>N/A</v>
      </c>
      <c r="AA1271" s="97" t="str">
        <f>IFERROR(__xludf.DUMMYFUNCTION("""COMPUTED_VALUE"""),"N/A")</f>
        <v>N/A</v>
      </c>
      <c r="AB1271" s="97" t="str">
        <f>IFERROR(__xludf.DUMMYFUNCTION("""COMPUTED_VALUE"""),"N/A")</f>
        <v>N/A</v>
      </c>
      <c r="AC1271" s="97" t="str">
        <f>IFERROR(__xludf.DUMMYFUNCTION("""COMPUTED_VALUE"""),"N/A")</f>
        <v>N/A</v>
      </c>
      <c r="AD1271" s="97" t="str">
        <f>IFERROR(__xludf.DUMMYFUNCTION("""COMPUTED_VALUE"""),"IP20")</f>
        <v>IP20</v>
      </c>
      <c r="AE1271" s="97" t="str">
        <f>IFERROR(__xludf.DUMMYFUNCTION("""COMPUTED_VALUE"""),"Clase l")</f>
        <v>Clase l</v>
      </c>
      <c r="AF1271" s="97" t="str">
        <f>IFERROR(__xludf.DUMMYFUNCTION("""COMPUTED_VALUE"""),"Embutir, Aplicar, Suspender")</f>
        <v>Embutir, Aplicar, Suspender</v>
      </c>
      <c r="AG1271" s="97" t="str">
        <f>IFERROR(__xludf.DUMMYFUNCTION("""COMPUTED_VALUE"""),"32 x 36 x 3000 (Ancho x Alto x Largo)")</f>
        <v>32 x 36 x 3000 (Ancho x Alto x Largo)</v>
      </c>
      <c r="AH1271" s="97" t="str">
        <f>IFERROR(__xludf.DUMMYFUNCTION("""COMPUTED_VALUE"""),"N/A")</f>
        <v>N/A</v>
      </c>
      <c r="AI1271" s="97" t="str">
        <f>IFERROR(__xludf.DUMMYFUNCTION("""COMPUTED_VALUE"""),"N/A")</f>
        <v>N/A</v>
      </c>
      <c r="AJ1271" s="97" t="str">
        <f>IFERROR(__xludf.DUMMYFUNCTION("""COMPUTED_VALUE"""),"N/A")</f>
        <v>N/A</v>
      </c>
      <c r="AK1271" s="97" t="str">
        <f>IFERROR(__xludf.DUMMYFUNCTION("""COMPUTED_VALUE"""),"Aluminio")</f>
        <v>Aluminio</v>
      </c>
      <c r="AL1271" s="97" t="str">
        <f>IFERROR(__xludf.DUMMYFUNCTION("""COMPUTED_VALUE"""),"Negro Mate")</f>
        <v>Negro Mate</v>
      </c>
      <c r="AM1271" s="97" t="str">
        <f>IFERROR(__xludf.DUMMYFUNCTION("""COMPUTED_VALUE"""),"-")</f>
        <v>-</v>
      </c>
      <c r="AN1271" s="97" t="str">
        <f>IFERROR(__xludf.DUMMYFUNCTION("""COMPUTED_VALUE"""),"N/A")</f>
        <v>N/A</v>
      </c>
      <c r="AO1271" s="97" t="str">
        <f>IFERROR(__xludf.DUMMYFUNCTION("""COMPUTED_VALUE"""),"3 Años")</f>
        <v>3 Años</v>
      </c>
      <c r="AP1271" s="97" t="str">
        <f>IFERROR(__xludf.DUMMYFUNCTION("""COMPUTED_VALUE"""),"No Aplica")</f>
        <v>No Aplica</v>
      </c>
      <c r="AQ1271" s="97" t="str">
        <f>IFERROR(__xludf.DUMMYFUNCTION("""COMPUTED_VALUE"""),"No Aplica")</f>
        <v>No Aplica</v>
      </c>
      <c r="AR1271" s="97" t="str">
        <f>IFERROR(__xludf.DUMMYFUNCTION("""COMPUTED_VALUE"""),"No Aplica")</f>
        <v>No Aplica</v>
      </c>
      <c r="AS1271" s="97" t="str">
        <f>IFERROR(__xludf.DUMMYFUNCTION("""COMPUTED_VALUE"""),"Falta")</f>
        <v>Falta</v>
      </c>
      <c r="AT1271" s="97" t="str">
        <f>IFERROR(__xludf.DUMMYFUNCTION("""COMPUTED_VALUE"""),"Falta")</f>
        <v>Falta</v>
      </c>
      <c r="AU1271" s="97" t="str">
        <f>IFERROR(__xludf.DUMMYFUNCTION("""COMPUTED_VALUE"""),"Falta")</f>
        <v>Falta</v>
      </c>
      <c r="AV1271" s="97" t="str">
        <f>IFERROR(__xludf.DUMMYFUNCTION("""COMPUTED_VALUE"""),"Riel")</f>
        <v>Riel</v>
      </c>
      <c r="AW1271" s="97" t="str">
        <f>IFERROR(__xludf.DUMMYFUNCTION("""COMPUTED_VALUE"""),"Rieles")</f>
        <v>Rieles</v>
      </c>
      <c r="AX1271" s="97" t="str">
        <f>IFERROR(__xludf.DUMMYFUNCTION("""COMPUTED_VALUE"""),"Interior")</f>
        <v>Interior</v>
      </c>
      <c r="AY1271" s="97" t="str">
        <f>IFERROR(__xludf.DUMMYFUNCTION("""COMPUTED_VALUE"""),"-")</f>
        <v>-</v>
      </c>
      <c r="AZ1271" s="97" t="str">
        <f>IFERROR(__xludf.DUMMYFUNCTION("""COMPUTED_VALUE"""),"Soporta 10A. No incluye tapas extremas.")</f>
        <v>Soporta 10A. No incluye tapas extremas.</v>
      </c>
      <c r="BA1271" s="97"/>
      <c r="BB1271" s="97" t="str">
        <f>IFERROR(__xludf.DUMMYFUNCTION("""COMPUTED_VALUE"""),"-")</f>
        <v>-</v>
      </c>
      <c r="BC1271" s="97" t="str">
        <f>IFERROR(__xludf.DUMMYFUNCTION("""COMPUTED_VALUE"""),"-")</f>
        <v>-</v>
      </c>
      <c r="BD1271" s="97" t="str">
        <f>IFERROR(__xludf.DUMMYFUNCTION("""COMPUTED_VALUE"""),"RIELES 3EF")</f>
        <v>RIELES 3EF</v>
      </c>
      <c r="BE1271" s="97" t="str">
        <f>IFERROR(__xludf.DUMMYFUNCTION("""COMPUTED_VALUE"""),"Finalizada")</f>
        <v>Finalizada</v>
      </c>
      <c r="BF1271" s="97"/>
      <c r="BG1271" s="97" t="str">
        <f>IFERROR(__xludf.DUMMYFUNCTION("""COMPUTED_VALUE"""),"Activo")</f>
        <v>Activo</v>
      </c>
    </row>
    <row r="1272">
      <c r="A1272" s="97">
        <f>IFERROR(__xludf.DUMMYFUNCTION("""COMPUTED_VALUE"""),7232.0)</f>
        <v>7232</v>
      </c>
      <c r="B1272" s="97" t="str">
        <f>IFERROR(__xludf.DUMMYFUNCTION("""COMPUTED_VALUE"""),"RIEL 3MTS 3EF BL")</f>
        <v>RIEL 3MTS 3EF BL</v>
      </c>
      <c r="C1272" s="97" t="str">
        <f>IFERROR(__xludf.DUMMYFUNCTION("""COMPUTED_VALUE"""),"RIEL RIEL 3MTS 3EF BL LEUK")</f>
        <v>RIEL RIEL 3MTS 3EF BL LEUK</v>
      </c>
      <c r="D1272" s="97">
        <f>IFERROR(__xludf.DUMMYFUNCTION("""COMPUTED_VALUE"""),7.798413227635E12)</f>
        <v>7798413227635</v>
      </c>
      <c r="E1272" s="97"/>
      <c r="F1272" s="97" t="str">
        <f>IFERROR(__xludf.DUMMYFUNCTION("""COMPUTED_VALUE"""),"N/A")</f>
        <v>N/A</v>
      </c>
      <c r="G1272" s="97" t="str">
        <f>IFERROR(__xludf.DUMMYFUNCTION("""COMPUTED_VALUE"""),"N/A")</f>
        <v>N/A</v>
      </c>
      <c r="H1272" s="97" t="str">
        <f>IFERROR(__xludf.DUMMYFUNCTION("""COMPUTED_VALUE"""),"N/A")</f>
        <v>N/A</v>
      </c>
      <c r="I1272" s="97" t="str">
        <f>IFERROR(__xludf.DUMMYFUNCTION("""COMPUTED_VALUE"""),"N/A")</f>
        <v>N/A</v>
      </c>
      <c r="J1272" s="97" t="str">
        <f>IFERROR(__xludf.DUMMYFUNCTION("""COMPUTED_VALUE"""),"N/A")</f>
        <v>N/A</v>
      </c>
      <c r="K1272" s="97" t="str">
        <f>IFERROR(__xludf.DUMMYFUNCTION("""COMPUTED_VALUE"""),"N/A")</f>
        <v>N/A</v>
      </c>
      <c r="L1272" s="97">
        <f>IFERROR(__xludf.DUMMYFUNCTION("""COMPUTED_VALUE"""),220.0)</f>
        <v>220</v>
      </c>
      <c r="M1272" s="97">
        <f>IFERROR(__xludf.DUMMYFUNCTION("""COMPUTED_VALUE"""),50.0)</f>
        <v>50</v>
      </c>
      <c r="N1272" s="97" t="str">
        <f>IFERROR(__xludf.DUMMYFUNCTION("""COMPUTED_VALUE"""),"N/A")</f>
        <v>N/A</v>
      </c>
      <c r="O1272" s="97" t="str">
        <f>IFERROR(__xludf.DUMMYFUNCTION("""COMPUTED_VALUE"""),"-")</f>
        <v>-</v>
      </c>
      <c r="P1272" s="97"/>
      <c r="Q1272" s="97" t="str">
        <f>IFERROR(__xludf.DUMMYFUNCTION("""COMPUTED_VALUE"""),"-")</f>
        <v>-</v>
      </c>
      <c r="R1272" s="97" t="str">
        <f>IFERROR(__xludf.DUMMYFUNCTION("""COMPUTED_VALUE"""),"-")</f>
        <v>-</v>
      </c>
      <c r="S1272" s="97" t="str">
        <f>IFERROR(__xludf.DUMMYFUNCTION("""COMPUTED_VALUE"""),"-")</f>
        <v>-</v>
      </c>
      <c r="T1272" s="97" t="str">
        <f>IFERROR(__xludf.DUMMYFUNCTION("""COMPUTED_VALUE"""),"-")</f>
        <v>-</v>
      </c>
      <c r="U1272" s="97" t="str">
        <f>IFERROR(__xludf.DUMMYFUNCTION("""COMPUTED_VALUE"""),"-")</f>
        <v>-</v>
      </c>
      <c r="V1272" s="97" t="str">
        <f>IFERROR(__xludf.DUMMYFUNCTION("""COMPUTED_VALUE"""),"N/A")</f>
        <v>N/A</v>
      </c>
      <c r="W1272" s="97" t="str">
        <f>IFERROR(__xludf.DUMMYFUNCTION("""COMPUTED_VALUE"""),"N/A")</f>
        <v>N/A</v>
      </c>
      <c r="X1272" s="97" t="str">
        <f>IFERROR(__xludf.DUMMYFUNCTION("""COMPUTED_VALUE"""),"-")</f>
        <v>-</v>
      </c>
      <c r="Y1272" s="97" t="str">
        <f>IFERROR(__xludf.DUMMYFUNCTION("""COMPUTED_VALUE"""),"N/A")</f>
        <v>N/A</v>
      </c>
      <c r="Z1272" s="97" t="str">
        <f>IFERROR(__xludf.DUMMYFUNCTION("""COMPUTED_VALUE"""),"N/A")</f>
        <v>N/A</v>
      </c>
      <c r="AA1272" s="97" t="str">
        <f>IFERROR(__xludf.DUMMYFUNCTION("""COMPUTED_VALUE"""),"N/A")</f>
        <v>N/A</v>
      </c>
      <c r="AB1272" s="97" t="str">
        <f>IFERROR(__xludf.DUMMYFUNCTION("""COMPUTED_VALUE"""),"N/A")</f>
        <v>N/A</v>
      </c>
      <c r="AC1272" s="97" t="str">
        <f>IFERROR(__xludf.DUMMYFUNCTION("""COMPUTED_VALUE"""),"N/A")</f>
        <v>N/A</v>
      </c>
      <c r="AD1272" s="97" t="str">
        <f>IFERROR(__xludf.DUMMYFUNCTION("""COMPUTED_VALUE"""),"IP20")</f>
        <v>IP20</v>
      </c>
      <c r="AE1272" s="97" t="str">
        <f>IFERROR(__xludf.DUMMYFUNCTION("""COMPUTED_VALUE"""),"Clase l")</f>
        <v>Clase l</v>
      </c>
      <c r="AF1272" s="97" t="str">
        <f>IFERROR(__xludf.DUMMYFUNCTION("""COMPUTED_VALUE"""),"Embutir, Aplicar, Suspender")</f>
        <v>Embutir, Aplicar, Suspender</v>
      </c>
      <c r="AG1272" s="97" t="str">
        <f>IFERROR(__xludf.DUMMYFUNCTION("""COMPUTED_VALUE"""),"32 x 36 x 3000 (Ancho x Alto x Largo)")</f>
        <v>32 x 36 x 3000 (Ancho x Alto x Largo)</v>
      </c>
      <c r="AH1272" s="97" t="str">
        <f>IFERROR(__xludf.DUMMYFUNCTION("""COMPUTED_VALUE"""),"N/A")</f>
        <v>N/A</v>
      </c>
      <c r="AI1272" s="97" t="str">
        <f>IFERROR(__xludf.DUMMYFUNCTION("""COMPUTED_VALUE"""),"N/A")</f>
        <v>N/A</v>
      </c>
      <c r="AJ1272" s="97" t="str">
        <f>IFERROR(__xludf.DUMMYFUNCTION("""COMPUTED_VALUE"""),"N/A")</f>
        <v>N/A</v>
      </c>
      <c r="AK1272" s="97" t="str">
        <f>IFERROR(__xludf.DUMMYFUNCTION("""COMPUTED_VALUE"""),"Aluminio")</f>
        <v>Aluminio</v>
      </c>
      <c r="AL1272" s="97" t="str">
        <f>IFERROR(__xludf.DUMMYFUNCTION("""COMPUTED_VALUE"""),"Blanco Mate")</f>
        <v>Blanco Mate</v>
      </c>
      <c r="AM1272" s="97" t="str">
        <f>IFERROR(__xludf.DUMMYFUNCTION("""COMPUTED_VALUE"""),"-")</f>
        <v>-</v>
      </c>
      <c r="AN1272" s="97" t="str">
        <f>IFERROR(__xludf.DUMMYFUNCTION("""COMPUTED_VALUE"""),"N/A")</f>
        <v>N/A</v>
      </c>
      <c r="AO1272" s="97" t="str">
        <f>IFERROR(__xludf.DUMMYFUNCTION("""COMPUTED_VALUE"""),"3 Años")</f>
        <v>3 Años</v>
      </c>
      <c r="AP1272" s="97" t="str">
        <f>IFERROR(__xludf.DUMMYFUNCTION("""COMPUTED_VALUE"""),"No Aplica")</f>
        <v>No Aplica</v>
      </c>
      <c r="AQ1272" s="97" t="str">
        <f>IFERROR(__xludf.DUMMYFUNCTION("""COMPUTED_VALUE"""),"No Aplica")</f>
        <v>No Aplica</v>
      </c>
      <c r="AR1272" s="97" t="str">
        <f>IFERROR(__xludf.DUMMYFUNCTION("""COMPUTED_VALUE"""),"No Aplica")</f>
        <v>No Aplica</v>
      </c>
      <c r="AS1272" s="97" t="str">
        <f>IFERROR(__xludf.DUMMYFUNCTION("""COMPUTED_VALUE"""),"Falta")</f>
        <v>Falta</v>
      </c>
      <c r="AT1272" s="97" t="str">
        <f>IFERROR(__xludf.DUMMYFUNCTION("""COMPUTED_VALUE"""),"Falta")</f>
        <v>Falta</v>
      </c>
      <c r="AU1272" s="97" t="str">
        <f>IFERROR(__xludf.DUMMYFUNCTION("""COMPUTED_VALUE"""),"Falta")</f>
        <v>Falta</v>
      </c>
      <c r="AV1272" s="97" t="str">
        <f>IFERROR(__xludf.DUMMYFUNCTION("""COMPUTED_VALUE"""),"Riel")</f>
        <v>Riel</v>
      </c>
      <c r="AW1272" s="97" t="str">
        <f>IFERROR(__xludf.DUMMYFUNCTION("""COMPUTED_VALUE"""),"Rieles")</f>
        <v>Rieles</v>
      </c>
      <c r="AX1272" s="97" t="str">
        <f>IFERROR(__xludf.DUMMYFUNCTION("""COMPUTED_VALUE"""),"Interior")</f>
        <v>Interior</v>
      </c>
      <c r="AY1272" s="97" t="str">
        <f>IFERROR(__xludf.DUMMYFUNCTION("""COMPUTED_VALUE"""),"-")</f>
        <v>-</v>
      </c>
      <c r="AZ1272" s="97" t="str">
        <f>IFERROR(__xludf.DUMMYFUNCTION("""COMPUTED_VALUE"""),"Soporta 10A. No incluye tapas extremas.")</f>
        <v>Soporta 10A. No incluye tapas extremas.</v>
      </c>
      <c r="BA1272" s="97"/>
      <c r="BB1272" s="97" t="str">
        <f>IFERROR(__xludf.DUMMYFUNCTION("""COMPUTED_VALUE"""),"-")</f>
        <v>-</v>
      </c>
      <c r="BC1272" s="97" t="str">
        <f>IFERROR(__xludf.DUMMYFUNCTION("""COMPUTED_VALUE"""),"-")</f>
        <v>-</v>
      </c>
      <c r="BD1272" s="97" t="str">
        <f>IFERROR(__xludf.DUMMYFUNCTION("""COMPUTED_VALUE"""),"RIELES 3EF")</f>
        <v>RIELES 3EF</v>
      </c>
      <c r="BE1272" s="97" t="str">
        <f>IFERROR(__xludf.DUMMYFUNCTION("""COMPUTED_VALUE"""),"Finalizada")</f>
        <v>Finalizada</v>
      </c>
      <c r="BF1272" s="97"/>
      <c r="BG1272" s="97" t="str">
        <f>IFERROR(__xludf.DUMMYFUNCTION("""COMPUTED_VALUE"""),"Activo")</f>
        <v>Activo</v>
      </c>
    </row>
    <row r="1273">
      <c r="A1273" s="97">
        <f>IFERROR(__xludf.DUMMYFUNCTION("""COMPUTED_VALUE"""),7233.0)</f>
        <v>7233</v>
      </c>
      <c r="B1273" s="97" t="str">
        <f>IFERROR(__xludf.DUMMYFUNCTION("""COMPUTED_VALUE"""),"TAPA 3 EF NG")</f>
        <v>TAPA 3 EF NG</v>
      </c>
      <c r="C1273" s="97" t="str">
        <f>IFERROR(__xludf.DUMMYFUNCTION("""COMPUTED_VALUE"""),"ACCESORIO TAPA 3 EF NG LEUK")</f>
        <v>ACCESORIO TAPA 3 EF NG LEUK</v>
      </c>
      <c r="D1273" s="97">
        <f>IFERROR(__xludf.DUMMYFUNCTION("""COMPUTED_VALUE"""),7.798413227642E12)</f>
        <v>7798413227642</v>
      </c>
      <c r="E1273" s="97" t="str">
        <f>IFERROR(__xludf.DUMMYFUNCTION("""COMPUTED_VALUE"""),"h21")</f>
        <v>h21</v>
      </c>
      <c r="F1273" s="97" t="str">
        <f>IFERROR(__xludf.DUMMYFUNCTION("""COMPUTED_VALUE"""),"N/A")</f>
        <v>N/A</v>
      </c>
      <c r="G1273" s="97" t="str">
        <f>IFERROR(__xludf.DUMMYFUNCTION("""COMPUTED_VALUE"""),"N/A")</f>
        <v>N/A</v>
      </c>
      <c r="H1273" s="97" t="str">
        <f>IFERROR(__xludf.DUMMYFUNCTION("""COMPUTED_VALUE"""),"N/A")</f>
        <v>N/A</v>
      </c>
      <c r="I1273" s="97" t="str">
        <f>IFERROR(__xludf.DUMMYFUNCTION("""COMPUTED_VALUE"""),"N/A")</f>
        <v>N/A</v>
      </c>
      <c r="J1273" s="97" t="str">
        <f>IFERROR(__xludf.DUMMYFUNCTION("""COMPUTED_VALUE"""),"N/A")</f>
        <v>N/A</v>
      </c>
      <c r="K1273" s="97" t="str">
        <f>IFERROR(__xludf.DUMMYFUNCTION("""COMPUTED_VALUE"""),"N/A")</f>
        <v>N/A</v>
      </c>
      <c r="L1273" s="97" t="str">
        <f>IFERROR(__xludf.DUMMYFUNCTION("""COMPUTED_VALUE"""),"N/A")</f>
        <v>N/A</v>
      </c>
      <c r="M1273" s="97" t="str">
        <f>IFERROR(__xludf.DUMMYFUNCTION("""COMPUTED_VALUE"""),"N/A")</f>
        <v>N/A</v>
      </c>
      <c r="N1273" s="97" t="str">
        <f>IFERROR(__xludf.DUMMYFUNCTION("""COMPUTED_VALUE"""),"N/A")</f>
        <v>N/A</v>
      </c>
      <c r="O1273" s="97" t="str">
        <f>IFERROR(__xludf.DUMMYFUNCTION("""COMPUTED_VALUE"""),"-")</f>
        <v>-</v>
      </c>
      <c r="P1273" s="97"/>
      <c r="Q1273" s="97" t="str">
        <f>IFERROR(__xludf.DUMMYFUNCTION("""COMPUTED_VALUE"""),"-")</f>
        <v>-</v>
      </c>
      <c r="R1273" s="97" t="str">
        <f>IFERROR(__xludf.DUMMYFUNCTION("""COMPUTED_VALUE"""),"-")</f>
        <v>-</v>
      </c>
      <c r="S1273" s="97" t="str">
        <f>IFERROR(__xludf.DUMMYFUNCTION("""COMPUTED_VALUE"""),"-")</f>
        <v>-</v>
      </c>
      <c r="T1273" s="97" t="str">
        <f>IFERROR(__xludf.DUMMYFUNCTION("""COMPUTED_VALUE"""),"-")</f>
        <v>-</v>
      </c>
      <c r="U1273" s="97" t="str">
        <f>IFERROR(__xludf.DUMMYFUNCTION("""COMPUTED_VALUE"""),"-")</f>
        <v>-</v>
      </c>
      <c r="V1273" s="97" t="str">
        <f>IFERROR(__xludf.DUMMYFUNCTION("""COMPUTED_VALUE"""),"N/A")</f>
        <v>N/A</v>
      </c>
      <c r="W1273" s="97" t="str">
        <f>IFERROR(__xludf.DUMMYFUNCTION("""COMPUTED_VALUE"""),"N/A")</f>
        <v>N/A</v>
      </c>
      <c r="X1273" s="97" t="str">
        <f>IFERROR(__xludf.DUMMYFUNCTION("""COMPUTED_VALUE"""),"-")</f>
        <v>-</v>
      </c>
      <c r="Y1273" s="97" t="str">
        <f>IFERROR(__xludf.DUMMYFUNCTION("""COMPUTED_VALUE"""),"N/A")</f>
        <v>N/A</v>
      </c>
      <c r="Z1273" s="97" t="str">
        <f>IFERROR(__xludf.DUMMYFUNCTION("""COMPUTED_VALUE"""),"N/A")</f>
        <v>N/A</v>
      </c>
      <c r="AA1273" s="97" t="str">
        <f>IFERROR(__xludf.DUMMYFUNCTION("""COMPUTED_VALUE"""),"N/A")</f>
        <v>N/A</v>
      </c>
      <c r="AB1273" s="97" t="str">
        <f>IFERROR(__xludf.DUMMYFUNCTION("""COMPUTED_VALUE"""),"N/A")</f>
        <v>N/A</v>
      </c>
      <c r="AC1273" s="97" t="str">
        <f>IFERROR(__xludf.DUMMYFUNCTION("""COMPUTED_VALUE"""),"N/A")</f>
        <v>N/A</v>
      </c>
      <c r="AD1273" s="97" t="str">
        <f>IFERROR(__xludf.DUMMYFUNCTION("""COMPUTED_VALUE"""),"N/A")</f>
        <v>N/A</v>
      </c>
      <c r="AE1273" s="97" t="str">
        <f>IFERROR(__xludf.DUMMYFUNCTION("""COMPUTED_VALUE"""),"N/A")</f>
        <v>N/A</v>
      </c>
      <c r="AF1273" s="97" t="str">
        <f>IFERROR(__xludf.DUMMYFUNCTION("""COMPUTED_VALUE"""),"N/A")</f>
        <v>N/A</v>
      </c>
      <c r="AG1273" s="97" t="str">
        <f>IFERROR(__xludf.DUMMYFUNCTION("""COMPUTED_VALUE"""),"30 x 32 x 32")</f>
        <v>30 x 32 x 32</v>
      </c>
      <c r="AH1273" s="97" t="str">
        <f>IFERROR(__xludf.DUMMYFUNCTION("""COMPUTED_VALUE"""),"N/A")</f>
        <v>N/A</v>
      </c>
      <c r="AI1273" s="97" t="str">
        <f>IFERROR(__xludf.DUMMYFUNCTION("""COMPUTED_VALUE"""),"N/A")</f>
        <v>N/A</v>
      </c>
      <c r="AJ1273" s="97" t="str">
        <f>IFERROR(__xludf.DUMMYFUNCTION("""COMPUTED_VALUE"""),"N/A")</f>
        <v>N/A</v>
      </c>
      <c r="AK1273" s="97" t="str">
        <f>IFERROR(__xludf.DUMMYFUNCTION("""COMPUTED_VALUE"""),"Policarbonato (PC)")</f>
        <v>Policarbonato (PC)</v>
      </c>
      <c r="AL1273" s="97" t="str">
        <f>IFERROR(__xludf.DUMMYFUNCTION("""COMPUTED_VALUE"""),"Negro Mate")</f>
        <v>Negro Mate</v>
      </c>
      <c r="AM1273" s="97" t="str">
        <f>IFERROR(__xludf.DUMMYFUNCTION("""COMPUTED_VALUE"""),"-")</f>
        <v>-</v>
      </c>
      <c r="AN1273" s="97" t="str">
        <f>IFERROR(__xludf.DUMMYFUNCTION("""COMPUTED_VALUE"""),"N/A")</f>
        <v>N/A</v>
      </c>
      <c r="AO1273" s="97" t="str">
        <f>IFERROR(__xludf.DUMMYFUNCTION("""COMPUTED_VALUE"""),"3 Años")</f>
        <v>3 Años</v>
      </c>
      <c r="AP1273" s="97" t="str">
        <f>IFERROR(__xludf.DUMMYFUNCTION("""COMPUTED_VALUE"""),"No Aplica")</f>
        <v>No Aplica</v>
      </c>
      <c r="AQ1273" s="97" t="str">
        <f>IFERROR(__xludf.DUMMYFUNCTION("""COMPUTED_VALUE"""),"No Aplica")</f>
        <v>No Aplica</v>
      </c>
      <c r="AR1273" s="97" t="str">
        <f>IFERROR(__xludf.DUMMYFUNCTION("""COMPUTED_VALUE"""),"No Aplica")</f>
        <v>No Aplica</v>
      </c>
      <c r="AS1273" s="97" t="str">
        <f>IFERROR(__xludf.DUMMYFUNCTION("""COMPUTED_VALUE"""),"No Aplica")</f>
        <v>No Aplica</v>
      </c>
      <c r="AT1273" s="97" t="str">
        <f>IFERROR(__xludf.DUMMYFUNCTION("""COMPUTED_VALUE"""),"Falta")</f>
        <v>Falta</v>
      </c>
      <c r="AU1273" s="97" t="str">
        <f>IFERROR(__xludf.DUMMYFUNCTION("""COMPUTED_VALUE"""),"En revisión")</f>
        <v>En revisión</v>
      </c>
      <c r="AV1273" s="97" t="str">
        <f>IFERROR(__xludf.DUMMYFUNCTION("""COMPUTED_VALUE"""),"Accesorio")</f>
        <v>Accesorio</v>
      </c>
      <c r="AW1273" s="97" t="str">
        <f>IFERROR(__xludf.DUMMYFUNCTION("""COMPUTED_VALUE"""),"Rieles")</f>
        <v>Rieles</v>
      </c>
      <c r="AX1273" s="97" t="str">
        <f>IFERROR(__xludf.DUMMYFUNCTION("""COMPUTED_VALUE"""),"Interior")</f>
        <v>Interior</v>
      </c>
      <c r="AY1273" s="97" t="str">
        <f>IFERROR(__xludf.DUMMYFUNCTION("""COMPUTED_VALUE"""),"-")</f>
        <v>-</v>
      </c>
      <c r="AZ1273" s="97"/>
      <c r="BA1273" s="97"/>
      <c r="BB1273" s="97" t="str">
        <f>IFERROR(__xludf.DUMMYFUNCTION("""COMPUTED_VALUE"""),"-")</f>
        <v>-</v>
      </c>
      <c r="BC1273" s="97" t="str">
        <f>IFERROR(__xludf.DUMMYFUNCTION("""COMPUTED_VALUE"""),"-")</f>
        <v>-</v>
      </c>
      <c r="BD1273" s="97" t="str">
        <f>IFERROR(__xludf.DUMMYFUNCTION("""COMPUTED_VALUE"""),"RIELES 3EF")</f>
        <v>RIELES 3EF</v>
      </c>
      <c r="BE1273" s="97" t="str">
        <f>IFERROR(__xludf.DUMMYFUNCTION("""COMPUTED_VALUE"""),"Finalizada")</f>
        <v>Finalizada</v>
      </c>
      <c r="BF1273" s="97"/>
      <c r="BG1273" s="97" t="str">
        <f>IFERROR(__xludf.DUMMYFUNCTION("""COMPUTED_VALUE"""),"Discontinuo")</f>
        <v>Discontinuo</v>
      </c>
    </row>
    <row r="1274">
      <c r="A1274" s="97">
        <f>IFERROR(__xludf.DUMMYFUNCTION("""COMPUTED_VALUE"""),7234.0)</f>
        <v>7234</v>
      </c>
      <c r="B1274" s="97" t="str">
        <f>IFERROR(__xludf.DUMMYFUNCTION("""COMPUTED_VALUE"""),"TAPA 3 EF BL")</f>
        <v>TAPA 3 EF BL</v>
      </c>
      <c r="C1274" s="97" t="str">
        <f>IFERROR(__xludf.DUMMYFUNCTION("""COMPUTED_VALUE"""),"ACCESORIO TAPA 3 EF BL LEUK")</f>
        <v>ACCESORIO TAPA 3 EF BL LEUK</v>
      </c>
      <c r="D1274" s="97">
        <f>IFERROR(__xludf.DUMMYFUNCTION("""COMPUTED_VALUE"""),7.798413227659E12)</f>
        <v>7798413227659</v>
      </c>
      <c r="E1274" s="97" t="str">
        <f>IFERROR(__xludf.DUMMYFUNCTION("""COMPUTED_VALUE"""),"h22")</f>
        <v>h22</v>
      </c>
      <c r="F1274" s="97" t="str">
        <f>IFERROR(__xludf.DUMMYFUNCTION("""COMPUTED_VALUE"""),"N/A")</f>
        <v>N/A</v>
      </c>
      <c r="G1274" s="97" t="str">
        <f>IFERROR(__xludf.DUMMYFUNCTION("""COMPUTED_VALUE"""),"N/A")</f>
        <v>N/A</v>
      </c>
      <c r="H1274" s="97" t="str">
        <f>IFERROR(__xludf.DUMMYFUNCTION("""COMPUTED_VALUE"""),"N/A")</f>
        <v>N/A</v>
      </c>
      <c r="I1274" s="97" t="str">
        <f>IFERROR(__xludf.DUMMYFUNCTION("""COMPUTED_VALUE"""),"N/A")</f>
        <v>N/A</v>
      </c>
      <c r="J1274" s="97" t="str">
        <f>IFERROR(__xludf.DUMMYFUNCTION("""COMPUTED_VALUE"""),"N/A")</f>
        <v>N/A</v>
      </c>
      <c r="K1274" s="97" t="str">
        <f>IFERROR(__xludf.DUMMYFUNCTION("""COMPUTED_VALUE"""),"N/A")</f>
        <v>N/A</v>
      </c>
      <c r="L1274" s="97" t="str">
        <f>IFERROR(__xludf.DUMMYFUNCTION("""COMPUTED_VALUE"""),"N/A")</f>
        <v>N/A</v>
      </c>
      <c r="M1274" s="97" t="str">
        <f>IFERROR(__xludf.DUMMYFUNCTION("""COMPUTED_VALUE"""),"N/A")</f>
        <v>N/A</v>
      </c>
      <c r="N1274" s="97" t="str">
        <f>IFERROR(__xludf.DUMMYFUNCTION("""COMPUTED_VALUE"""),"N/A")</f>
        <v>N/A</v>
      </c>
      <c r="O1274" s="97" t="str">
        <f>IFERROR(__xludf.DUMMYFUNCTION("""COMPUTED_VALUE"""),"-")</f>
        <v>-</v>
      </c>
      <c r="P1274" s="97"/>
      <c r="Q1274" s="97" t="str">
        <f>IFERROR(__xludf.DUMMYFUNCTION("""COMPUTED_VALUE"""),"-")</f>
        <v>-</v>
      </c>
      <c r="R1274" s="97" t="str">
        <f>IFERROR(__xludf.DUMMYFUNCTION("""COMPUTED_VALUE"""),"-")</f>
        <v>-</v>
      </c>
      <c r="S1274" s="97" t="str">
        <f>IFERROR(__xludf.DUMMYFUNCTION("""COMPUTED_VALUE"""),"-")</f>
        <v>-</v>
      </c>
      <c r="T1274" s="97" t="str">
        <f>IFERROR(__xludf.DUMMYFUNCTION("""COMPUTED_VALUE"""),"-")</f>
        <v>-</v>
      </c>
      <c r="U1274" s="97" t="str">
        <f>IFERROR(__xludf.DUMMYFUNCTION("""COMPUTED_VALUE"""),"-")</f>
        <v>-</v>
      </c>
      <c r="V1274" s="97" t="str">
        <f>IFERROR(__xludf.DUMMYFUNCTION("""COMPUTED_VALUE"""),"N/A")</f>
        <v>N/A</v>
      </c>
      <c r="W1274" s="97" t="str">
        <f>IFERROR(__xludf.DUMMYFUNCTION("""COMPUTED_VALUE"""),"N/A")</f>
        <v>N/A</v>
      </c>
      <c r="X1274" s="97" t="str">
        <f>IFERROR(__xludf.DUMMYFUNCTION("""COMPUTED_VALUE"""),"-")</f>
        <v>-</v>
      </c>
      <c r="Y1274" s="97" t="str">
        <f>IFERROR(__xludf.DUMMYFUNCTION("""COMPUTED_VALUE"""),"N/A")</f>
        <v>N/A</v>
      </c>
      <c r="Z1274" s="97" t="str">
        <f>IFERROR(__xludf.DUMMYFUNCTION("""COMPUTED_VALUE"""),"N/A")</f>
        <v>N/A</v>
      </c>
      <c r="AA1274" s="97" t="str">
        <f>IFERROR(__xludf.DUMMYFUNCTION("""COMPUTED_VALUE"""),"N/A")</f>
        <v>N/A</v>
      </c>
      <c r="AB1274" s="97" t="str">
        <f>IFERROR(__xludf.DUMMYFUNCTION("""COMPUTED_VALUE"""),"N/A")</f>
        <v>N/A</v>
      </c>
      <c r="AC1274" s="97" t="str">
        <f>IFERROR(__xludf.DUMMYFUNCTION("""COMPUTED_VALUE"""),"N/A")</f>
        <v>N/A</v>
      </c>
      <c r="AD1274" s="97" t="str">
        <f>IFERROR(__xludf.DUMMYFUNCTION("""COMPUTED_VALUE"""),"N/A")</f>
        <v>N/A</v>
      </c>
      <c r="AE1274" s="97" t="str">
        <f>IFERROR(__xludf.DUMMYFUNCTION("""COMPUTED_VALUE"""),"N/A")</f>
        <v>N/A</v>
      </c>
      <c r="AF1274" s="97" t="str">
        <f>IFERROR(__xludf.DUMMYFUNCTION("""COMPUTED_VALUE"""),"N/A")</f>
        <v>N/A</v>
      </c>
      <c r="AG1274" s="97" t="str">
        <f>IFERROR(__xludf.DUMMYFUNCTION("""COMPUTED_VALUE"""),"30 x 32 x 32")</f>
        <v>30 x 32 x 32</v>
      </c>
      <c r="AH1274" s="97" t="str">
        <f>IFERROR(__xludf.DUMMYFUNCTION("""COMPUTED_VALUE"""),"N/A")</f>
        <v>N/A</v>
      </c>
      <c r="AI1274" s="97" t="str">
        <f>IFERROR(__xludf.DUMMYFUNCTION("""COMPUTED_VALUE"""),"N/A")</f>
        <v>N/A</v>
      </c>
      <c r="AJ1274" s="97" t="str">
        <f>IFERROR(__xludf.DUMMYFUNCTION("""COMPUTED_VALUE"""),"N/A")</f>
        <v>N/A</v>
      </c>
      <c r="AK1274" s="97" t="str">
        <f>IFERROR(__xludf.DUMMYFUNCTION("""COMPUTED_VALUE"""),"Policarbonato (PC)")</f>
        <v>Policarbonato (PC)</v>
      </c>
      <c r="AL1274" s="97" t="str">
        <f>IFERROR(__xludf.DUMMYFUNCTION("""COMPUTED_VALUE"""),"Blanco Mate")</f>
        <v>Blanco Mate</v>
      </c>
      <c r="AM1274" s="97" t="str">
        <f>IFERROR(__xludf.DUMMYFUNCTION("""COMPUTED_VALUE"""),"-")</f>
        <v>-</v>
      </c>
      <c r="AN1274" s="97" t="str">
        <f>IFERROR(__xludf.DUMMYFUNCTION("""COMPUTED_VALUE"""),"N/A")</f>
        <v>N/A</v>
      </c>
      <c r="AO1274" s="97" t="str">
        <f>IFERROR(__xludf.DUMMYFUNCTION("""COMPUTED_VALUE"""),"3 Años")</f>
        <v>3 Años</v>
      </c>
      <c r="AP1274" s="97" t="str">
        <f>IFERROR(__xludf.DUMMYFUNCTION("""COMPUTED_VALUE"""),"No Aplica")</f>
        <v>No Aplica</v>
      </c>
      <c r="AQ1274" s="97" t="str">
        <f>IFERROR(__xludf.DUMMYFUNCTION("""COMPUTED_VALUE"""),"No Aplica")</f>
        <v>No Aplica</v>
      </c>
      <c r="AR1274" s="97" t="str">
        <f>IFERROR(__xludf.DUMMYFUNCTION("""COMPUTED_VALUE"""),"No Aplica")</f>
        <v>No Aplica</v>
      </c>
      <c r="AS1274" s="97" t="str">
        <f>IFERROR(__xludf.DUMMYFUNCTION("""COMPUTED_VALUE"""),"No Aplica")</f>
        <v>No Aplica</v>
      </c>
      <c r="AT1274" s="97" t="str">
        <f>IFERROR(__xludf.DUMMYFUNCTION("""COMPUTED_VALUE"""),"Falta")</f>
        <v>Falta</v>
      </c>
      <c r="AU1274" s="97" t="str">
        <f>IFERROR(__xludf.DUMMYFUNCTION("""COMPUTED_VALUE"""),"En revisión")</f>
        <v>En revisión</v>
      </c>
      <c r="AV1274" s="97" t="str">
        <f>IFERROR(__xludf.DUMMYFUNCTION("""COMPUTED_VALUE"""),"Accesorio")</f>
        <v>Accesorio</v>
      </c>
      <c r="AW1274" s="97" t="str">
        <f>IFERROR(__xludf.DUMMYFUNCTION("""COMPUTED_VALUE"""),"Rieles")</f>
        <v>Rieles</v>
      </c>
      <c r="AX1274" s="97" t="str">
        <f>IFERROR(__xludf.DUMMYFUNCTION("""COMPUTED_VALUE"""),"Interior")</f>
        <v>Interior</v>
      </c>
      <c r="AY1274" s="97" t="str">
        <f>IFERROR(__xludf.DUMMYFUNCTION("""COMPUTED_VALUE"""),"-")</f>
        <v>-</v>
      </c>
      <c r="AZ1274" s="97"/>
      <c r="BA1274" s="97"/>
      <c r="BB1274" s="97" t="str">
        <f>IFERROR(__xludf.DUMMYFUNCTION("""COMPUTED_VALUE"""),"-")</f>
        <v>-</v>
      </c>
      <c r="BC1274" s="97" t="str">
        <f>IFERROR(__xludf.DUMMYFUNCTION("""COMPUTED_VALUE"""),"-")</f>
        <v>-</v>
      </c>
      <c r="BD1274" s="97" t="str">
        <f>IFERROR(__xludf.DUMMYFUNCTION("""COMPUTED_VALUE"""),"RIELES 3EF")</f>
        <v>RIELES 3EF</v>
      </c>
      <c r="BE1274" s="97" t="str">
        <f>IFERROR(__xludf.DUMMYFUNCTION("""COMPUTED_VALUE"""),"Finalizada")</f>
        <v>Finalizada</v>
      </c>
      <c r="BF1274" s="97"/>
      <c r="BG1274" s="97" t="str">
        <f>IFERROR(__xludf.DUMMYFUNCTION("""COMPUTED_VALUE"""),"Discontinuo")</f>
        <v>Discontinuo</v>
      </c>
    </row>
    <row r="1275">
      <c r="A1275" s="97">
        <f>IFERROR(__xludf.DUMMYFUNCTION("""COMPUTED_VALUE"""),7235.0)</f>
        <v>7235</v>
      </c>
      <c r="B1275" s="97" t="str">
        <f>IFERROR(__xludf.DUMMYFUNCTION("""COMPUTED_VALUE"""),"ALIMENTACION EXTREMO 3 EF NG")</f>
        <v>ALIMENTACION EXTREMO 3 EF NG</v>
      </c>
      <c r="C1275" s="97" t="str">
        <f>IFERROR(__xludf.DUMMYFUNCTION("""COMPUTED_VALUE"""),"UNIÓN ALIMENTACION EXTREMO 3 EF NG LEUK")</f>
        <v>UNIÓN ALIMENTACION EXTREMO 3 EF NG LEUK</v>
      </c>
      <c r="D1275" s="97">
        <f>IFERROR(__xludf.DUMMYFUNCTION("""COMPUTED_VALUE"""),7.798413227666E12)</f>
        <v>7798413227666</v>
      </c>
      <c r="E1275" s="97" t="str">
        <f>IFERROR(__xludf.DUMMYFUNCTION("""COMPUTED_VALUE"""),"h23")</f>
        <v>h23</v>
      </c>
      <c r="F1275" s="97" t="str">
        <f>IFERROR(__xludf.DUMMYFUNCTION("""COMPUTED_VALUE"""),"N/A")</f>
        <v>N/A</v>
      </c>
      <c r="G1275" s="97" t="str">
        <f>IFERROR(__xludf.DUMMYFUNCTION("""COMPUTED_VALUE"""),"N/A")</f>
        <v>N/A</v>
      </c>
      <c r="H1275" s="97" t="str">
        <f>IFERROR(__xludf.DUMMYFUNCTION("""COMPUTED_VALUE"""),"N/A")</f>
        <v>N/A</v>
      </c>
      <c r="I1275" s="97" t="str">
        <f>IFERROR(__xludf.DUMMYFUNCTION("""COMPUTED_VALUE"""),"N/A")</f>
        <v>N/A</v>
      </c>
      <c r="J1275" s="97" t="str">
        <f>IFERROR(__xludf.DUMMYFUNCTION("""COMPUTED_VALUE"""),"N/A")</f>
        <v>N/A</v>
      </c>
      <c r="K1275" s="97" t="str">
        <f>IFERROR(__xludf.DUMMYFUNCTION("""COMPUTED_VALUE"""),"N/A")</f>
        <v>N/A</v>
      </c>
      <c r="L1275" s="97">
        <f>IFERROR(__xludf.DUMMYFUNCTION("""COMPUTED_VALUE"""),220.0)</f>
        <v>220</v>
      </c>
      <c r="M1275" s="97">
        <f>IFERROR(__xludf.DUMMYFUNCTION("""COMPUTED_VALUE"""),50.0)</f>
        <v>50</v>
      </c>
      <c r="N1275" s="97" t="str">
        <f>IFERROR(__xludf.DUMMYFUNCTION("""COMPUTED_VALUE"""),"N/A")</f>
        <v>N/A</v>
      </c>
      <c r="O1275" s="97" t="str">
        <f>IFERROR(__xludf.DUMMYFUNCTION("""COMPUTED_VALUE"""),"-")</f>
        <v>-</v>
      </c>
      <c r="P1275" s="97"/>
      <c r="Q1275" s="97" t="str">
        <f>IFERROR(__xludf.DUMMYFUNCTION("""COMPUTED_VALUE"""),"-")</f>
        <v>-</v>
      </c>
      <c r="R1275" s="97" t="str">
        <f>IFERROR(__xludf.DUMMYFUNCTION("""COMPUTED_VALUE"""),"-")</f>
        <v>-</v>
      </c>
      <c r="S1275" s="97" t="str">
        <f>IFERROR(__xludf.DUMMYFUNCTION("""COMPUTED_VALUE"""),"-")</f>
        <v>-</v>
      </c>
      <c r="T1275" s="97" t="str">
        <f>IFERROR(__xludf.DUMMYFUNCTION("""COMPUTED_VALUE"""),"-")</f>
        <v>-</v>
      </c>
      <c r="U1275" s="97" t="str">
        <f>IFERROR(__xludf.DUMMYFUNCTION("""COMPUTED_VALUE"""),"-")</f>
        <v>-</v>
      </c>
      <c r="V1275" s="97" t="str">
        <f>IFERROR(__xludf.DUMMYFUNCTION("""COMPUTED_VALUE"""),"N/A")</f>
        <v>N/A</v>
      </c>
      <c r="W1275" s="97" t="str">
        <f>IFERROR(__xludf.DUMMYFUNCTION("""COMPUTED_VALUE"""),"N/A")</f>
        <v>N/A</v>
      </c>
      <c r="X1275" s="97" t="str">
        <f>IFERROR(__xludf.DUMMYFUNCTION("""COMPUTED_VALUE"""),"-")</f>
        <v>-</v>
      </c>
      <c r="Y1275" s="97" t="str">
        <f>IFERROR(__xludf.DUMMYFUNCTION("""COMPUTED_VALUE"""),"N/A")</f>
        <v>N/A</v>
      </c>
      <c r="Z1275" s="97" t="str">
        <f>IFERROR(__xludf.DUMMYFUNCTION("""COMPUTED_VALUE"""),"N/A")</f>
        <v>N/A</v>
      </c>
      <c r="AA1275" s="97" t="str">
        <f>IFERROR(__xludf.DUMMYFUNCTION("""COMPUTED_VALUE"""),"N/A")</f>
        <v>N/A</v>
      </c>
      <c r="AB1275" s="97" t="str">
        <f>IFERROR(__xludf.DUMMYFUNCTION("""COMPUTED_VALUE"""),"N/A")</f>
        <v>N/A</v>
      </c>
      <c r="AC1275" s="97" t="str">
        <f>IFERROR(__xludf.DUMMYFUNCTION("""COMPUTED_VALUE"""),"N/A")</f>
        <v>N/A</v>
      </c>
      <c r="AD1275" s="97" t="str">
        <f>IFERROR(__xludf.DUMMYFUNCTION("""COMPUTED_VALUE"""),"IP20")</f>
        <v>IP20</v>
      </c>
      <c r="AE1275" s="97" t="str">
        <f>IFERROR(__xludf.DUMMYFUNCTION("""COMPUTED_VALUE"""),"Clase l")</f>
        <v>Clase l</v>
      </c>
      <c r="AF1275" s="97" t="str">
        <f>IFERROR(__xludf.DUMMYFUNCTION("""COMPUTED_VALUE"""),"N/A")</f>
        <v>N/A</v>
      </c>
      <c r="AG1275" s="97" t="str">
        <f>IFERROR(__xludf.DUMMYFUNCTION("""COMPUTED_VALUE"""),"30 x 100 x 32")</f>
        <v>30 x 100 x 32</v>
      </c>
      <c r="AH1275" s="97" t="str">
        <f>IFERROR(__xludf.DUMMYFUNCTION("""COMPUTED_VALUE"""),"N/A")</f>
        <v>N/A</v>
      </c>
      <c r="AI1275" s="97" t="str">
        <f>IFERROR(__xludf.DUMMYFUNCTION("""COMPUTED_VALUE"""),"N/A")</f>
        <v>N/A</v>
      </c>
      <c r="AJ1275" s="97" t="str">
        <f>IFERROR(__xludf.DUMMYFUNCTION("""COMPUTED_VALUE"""),"N/A")</f>
        <v>N/A</v>
      </c>
      <c r="AK1275" s="97" t="str">
        <f>IFERROR(__xludf.DUMMYFUNCTION("""COMPUTED_VALUE"""),"Policarbonato (PC)")</f>
        <v>Policarbonato (PC)</v>
      </c>
      <c r="AL1275" s="97" t="str">
        <f>IFERROR(__xludf.DUMMYFUNCTION("""COMPUTED_VALUE"""),"Negro Mate")</f>
        <v>Negro Mate</v>
      </c>
      <c r="AM1275" s="97" t="str">
        <f>IFERROR(__xludf.DUMMYFUNCTION("""COMPUTED_VALUE"""),"-")</f>
        <v>-</v>
      </c>
      <c r="AN1275" s="97" t="str">
        <f>IFERROR(__xludf.DUMMYFUNCTION("""COMPUTED_VALUE"""),"N/A")</f>
        <v>N/A</v>
      </c>
      <c r="AO1275" s="97" t="str">
        <f>IFERROR(__xludf.DUMMYFUNCTION("""COMPUTED_VALUE"""),"3 Años")</f>
        <v>3 Años</v>
      </c>
      <c r="AP1275" s="97" t="str">
        <f>IFERROR(__xludf.DUMMYFUNCTION("""COMPUTED_VALUE"""),"No Aplica")</f>
        <v>No Aplica</v>
      </c>
      <c r="AQ1275" s="97" t="str">
        <f>IFERROR(__xludf.DUMMYFUNCTION("""COMPUTED_VALUE"""),"No Aplica")</f>
        <v>No Aplica</v>
      </c>
      <c r="AR1275" s="97" t="str">
        <f>IFERROR(__xludf.DUMMYFUNCTION("""COMPUTED_VALUE"""),"No Aplica")</f>
        <v>No Aplica</v>
      </c>
      <c r="AS1275" s="97" t="str">
        <f>IFERROR(__xludf.DUMMYFUNCTION("""COMPUTED_VALUE"""),"Falta")</f>
        <v>Falta</v>
      </c>
      <c r="AT1275" s="97" t="str">
        <f>IFERROR(__xludf.DUMMYFUNCTION("""COMPUTED_VALUE"""),"Falta")</f>
        <v>Falta</v>
      </c>
      <c r="AU1275" s="97" t="str">
        <f>IFERROR(__xludf.DUMMYFUNCTION("""COMPUTED_VALUE"""),"En revisión")</f>
        <v>En revisión</v>
      </c>
      <c r="AV1275" s="97" t="str">
        <f>IFERROR(__xludf.DUMMYFUNCTION("""COMPUTED_VALUE"""),"Unión")</f>
        <v>Unión</v>
      </c>
      <c r="AW1275" s="97" t="str">
        <f>IFERROR(__xludf.DUMMYFUNCTION("""COMPUTED_VALUE"""),"Rieles")</f>
        <v>Rieles</v>
      </c>
      <c r="AX1275" s="97" t="str">
        <f>IFERROR(__xludf.DUMMYFUNCTION("""COMPUTED_VALUE"""),"Interior")</f>
        <v>Interior</v>
      </c>
      <c r="AY1275" s="97" t="str">
        <f>IFERROR(__xludf.DUMMYFUNCTION("""COMPUTED_VALUE"""),"-")</f>
        <v>-</v>
      </c>
      <c r="AZ1275" s="97" t="str">
        <f>IFERROR(__xludf.DUMMYFUNCTION("""COMPUTED_VALUE"""),"Soporta 10A. Con entrada de alimentación 220 V~.")</f>
        <v>Soporta 10A. Con entrada de alimentación 220 V~.</v>
      </c>
      <c r="BA1275" s="97"/>
      <c r="BB1275" s="97" t="str">
        <f>IFERROR(__xludf.DUMMYFUNCTION("""COMPUTED_VALUE"""),"-")</f>
        <v>-</v>
      </c>
      <c r="BC1275" s="97" t="str">
        <f>IFERROR(__xludf.DUMMYFUNCTION("""COMPUTED_VALUE"""),"-")</f>
        <v>-</v>
      </c>
      <c r="BD1275" s="97" t="str">
        <f>IFERROR(__xludf.DUMMYFUNCTION("""COMPUTED_VALUE"""),"RIELES 3EF")</f>
        <v>RIELES 3EF</v>
      </c>
      <c r="BE1275" s="97" t="str">
        <f>IFERROR(__xludf.DUMMYFUNCTION("""COMPUTED_VALUE"""),"Sin Ficha")</f>
        <v>Sin Ficha</v>
      </c>
      <c r="BF1275" s="97"/>
      <c r="BG1275" s="97" t="str">
        <f>IFERROR(__xludf.DUMMYFUNCTION("""COMPUTED_VALUE"""),"Discontinuo")</f>
        <v>Discontinuo</v>
      </c>
    </row>
    <row r="1276">
      <c r="A1276" s="97">
        <f>IFERROR(__xludf.DUMMYFUNCTION("""COMPUTED_VALUE"""),7236.0)</f>
        <v>7236</v>
      </c>
      <c r="B1276" s="97" t="str">
        <f>IFERROR(__xludf.DUMMYFUNCTION("""COMPUTED_VALUE"""),"ALIMENTACION EXTREMO 3 EF BL")</f>
        <v>ALIMENTACION EXTREMO 3 EF BL</v>
      </c>
      <c r="C1276" s="97" t="str">
        <f>IFERROR(__xludf.DUMMYFUNCTION("""COMPUTED_VALUE"""),"UNIÓN ALIMENTACION EXTREMO 3 EF BL LEUK")</f>
        <v>UNIÓN ALIMENTACION EXTREMO 3 EF BL LEUK</v>
      </c>
      <c r="D1276" s="97">
        <f>IFERROR(__xludf.DUMMYFUNCTION("""COMPUTED_VALUE"""),7.798413227673E12)</f>
        <v>7798413227673</v>
      </c>
      <c r="E1276" s="97" t="str">
        <f>IFERROR(__xludf.DUMMYFUNCTION("""COMPUTED_VALUE"""),"h24")</f>
        <v>h24</v>
      </c>
      <c r="F1276" s="97" t="str">
        <f>IFERROR(__xludf.DUMMYFUNCTION("""COMPUTED_VALUE"""),"N/A")</f>
        <v>N/A</v>
      </c>
      <c r="G1276" s="97" t="str">
        <f>IFERROR(__xludf.DUMMYFUNCTION("""COMPUTED_VALUE"""),"N/A")</f>
        <v>N/A</v>
      </c>
      <c r="H1276" s="97" t="str">
        <f>IFERROR(__xludf.DUMMYFUNCTION("""COMPUTED_VALUE"""),"N/A")</f>
        <v>N/A</v>
      </c>
      <c r="I1276" s="97" t="str">
        <f>IFERROR(__xludf.DUMMYFUNCTION("""COMPUTED_VALUE"""),"N/A")</f>
        <v>N/A</v>
      </c>
      <c r="J1276" s="97" t="str">
        <f>IFERROR(__xludf.DUMMYFUNCTION("""COMPUTED_VALUE"""),"N/A")</f>
        <v>N/A</v>
      </c>
      <c r="K1276" s="97" t="str">
        <f>IFERROR(__xludf.DUMMYFUNCTION("""COMPUTED_VALUE"""),"N/A")</f>
        <v>N/A</v>
      </c>
      <c r="L1276" s="97">
        <f>IFERROR(__xludf.DUMMYFUNCTION("""COMPUTED_VALUE"""),220.0)</f>
        <v>220</v>
      </c>
      <c r="M1276" s="97">
        <f>IFERROR(__xludf.DUMMYFUNCTION("""COMPUTED_VALUE"""),50.0)</f>
        <v>50</v>
      </c>
      <c r="N1276" s="97" t="str">
        <f>IFERROR(__xludf.DUMMYFUNCTION("""COMPUTED_VALUE"""),"N/A")</f>
        <v>N/A</v>
      </c>
      <c r="O1276" s="97" t="str">
        <f>IFERROR(__xludf.DUMMYFUNCTION("""COMPUTED_VALUE"""),"-")</f>
        <v>-</v>
      </c>
      <c r="P1276" s="97"/>
      <c r="Q1276" s="97" t="str">
        <f>IFERROR(__xludf.DUMMYFUNCTION("""COMPUTED_VALUE"""),"-")</f>
        <v>-</v>
      </c>
      <c r="R1276" s="97" t="str">
        <f>IFERROR(__xludf.DUMMYFUNCTION("""COMPUTED_VALUE"""),"-")</f>
        <v>-</v>
      </c>
      <c r="S1276" s="97" t="str">
        <f>IFERROR(__xludf.DUMMYFUNCTION("""COMPUTED_VALUE"""),"-")</f>
        <v>-</v>
      </c>
      <c r="T1276" s="97" t="str">
        <f>IFERROR(__xludf.DUMMYFUNCTION("""COMPUTED_VALUE"""),"-")</f>
        <v>-</v>
      </c>
      <c r="U1276" s="97" t="str">
        <f>IFERROR(__xludf.DUMMYFUNCTION("""COMPUTED_VALUE"""),"-")</f>
        <v>-</v>
      </c>
      <c r="V1276" s="97" t="str">
        <f>IFERROR(__xludf.DUMMYFUNCTION("""COMPUTED_VALUE"""),"N/A")</f>
        <v>N/A</v>
      </c>
      <c r="W1276" s="97" t="str">
        <f>IFERROR(__xludf.DUMMYFUNCTION("""COMPUTED_VALUE"""),"N/A")</f>
        <v>N/A</v>
      </c>
      <c r="X1276" s="97" t="str">
        <f>IFERROR(__xludf.DUMMYFUNCTION("""COMPUTED_VALUE"""),"-")</f>
        <v>-</v>
      </c>
      <c r="Y1276" s="97" t="str">
        <f>IFERROR(__xludf.DUMMYFUNCTION("""COMPUTED_VALUE"""),"N/A")</f>
        <v>N/A</v>
      </c>
      <c r="Z1276" s="97" t="str">
        <f>IFERROR(__xludf.DUMMYFUNCTION("""COMPUTED_VALUE"""),"N/A")</f>
        <v>N/A</v>
      </c>
      <c r="AA1276" s="97" t="str">
        <f>IFERROR(__xludf.DUMMYFUNCTION("""COMPUTED_VALUE"""),"N/A")</f>
        <v>N/A</v>
      </c>
      <c r="AB1276" s="97" t="str">
        <f>IFERROR(__xludf.DUMMYFUNCTION("""COMPUTED_VALUE"""),"N/A")</f>
        <v>N/A</v>
      </c>
      <c r="AC1276" s="97" t="str">
        <f>IFERROR(__xludf.DUMMYFUNCTION("""COMPUTED_VALUE"""),"N/A")</f>
        <v>N/A</v>
      </c>
      <c r="AD1276" s="97" t="str">
        <f>IFERROR(__xludf.DUMMYFUNCTION("""COMPUTED_VALUE"""),"IP20")</f>
        <v>IP20</v>
      </c>
      <c r="AE1276" s="97" t="str">
        <f>IFERROR(__xludf.DUMMYFUNCTION("""COMPUTED_VALUE"""),"Clase l")</f>
        <v>Clase l</v>
      </c>
      <c r="AF1276" s="97" t="str">
        <f>IFERROR(__xludf.DUMMYFUNCTION("""COMPUTED_VALUE"""),"N/A")</f>
        <v>N/A</v>
      </c>
      <c r="AG1276" s="97" t="str">
        <f>IFERROR(__xludf.DUMMYFUNCTION("""COMPUTED_VALUE"""),"30 x 100 x 32")</f>
        <v>30 x 100 x 32</v>
      </c>
      <c r="AH1276" s="97" t="str">
        <f>IFERROR(__xludf.DUMMYFUNCTION("""COMPUTED_VALUE"""),"N/A")</f>
        <v>N/A</v>
      </c>
      <c r="AI1276" s="97" t="str">
        <f>IFERROR(__xludf.DUMMYFUNCTION("""COMPUTED_VALUE"""),"N/A")</f>
        <v>N/A</v>
      </c>
      <c r="AJ1276" s="97" t="str">
        <f>IFERROR(__xludf.DUMMYFUNCTION("""COMPUTED_VALUE"""),"N/A")</f>
        <v>N/A</v>
      </c>
      <c r="AK1276" s="97" t="str">
        <f>IFERROR(__xludf.DUMMYFUNCTION("""COMPUTED_VALUE"""),"Policarbonato (PC)")</f>
        <v>Policarbonato (PC)</v>
      </c>
      <c r="AL1276" s="97" t="str">
        <f>IFERROR(__xludf.DUMMYFUNCTION("""COMPUTED_VALUE"""),"Blanco Mate")</f>
        <v>Blanco Mate</v>
      </c>
      <c r="AM1276" s="97" t="str">
        <f>IFERROR(__xludf.DUMMYFUNCTION("""COMPUTED_VALUE"""),"-")</f>
        <v>-</v>
      </c>
      <c r="AN1276" s="97" t="str">
        <f>IFERROR(__xludf.DUMMYFUNCTION("""COMPUTED_VALUE"""),"N/A")</f>
        <v>N/A</v>
      </c>
      <c r="AO1276" s="97" t="str">
        <f>IFERROR(__xludf.DUMMYFUNCTION("""COMPUTED_VALUE"""),"3 Años")</f>
        <v>3 Años</v>
      </c>
      <c r="AP1276" s="97" t="str">
        <f>IFERROR(__xludf.DUMMYFUNCTION("""COMPUTED_VALUE"""),"No Aplica")</f>
        <v>No Aplica</v>
      </c>
      <c r="AQ1276" s="97" t="str">
        <f>IFERROR(__xludf.DUMMYFUNCTION("""COMPUTED_VALUE"""),"No Aplica")</f>
        <v>No Aplica</v>
      </c>
      <c r="AR1276" s="97" t="str">
        <f>IFERROR(__xludf.DUMMYFUNCTION("""COMPUTED_VALUE"""),"No Aplica")</f>
        <v>No Aplica</v>
      </c>
      <c r="AS1276" s="97" t="str">
        <f>IFERROR(__xludf.DUMMYFUNCTION("""COMPUTED_VALUE"""),"Falta")</f>
        <v>Falta</v>
      </c>
      <c r="AT1276" s="97" t="str">
        <f>IFERROR(__xludf.DUMMYFUNCTION("""COMPUTED_VALUE"""),"Falta")</f>
        <v>Falta</v>
      </c>
      <c r="AU1276" s="97" t="str">
        <f>IFERROR(__xludf.DUMMYFUNCTION("""COMPUTED_VALUE"""),"En revisión")</f>
        <v>En revisión</v>
      </c>
      <c r="AV1276" s="97" t="str">
        <f>IFERROR(__xludf.DUMMYFUNCTION("""COMPUTED_VALUE"""),"Unión")</f>
        <v>Unión</v>
      </c>
      <c r="AW1276" s="97" t="str">
        <f>IFERROR(__xludf.DUMMYFUNCTION("""COMPUTED_VALUE"""),"Rieles")</f>
        <v>Rieles</v>
      </c>
      <c r="AX1276" s="97" t="str">
        <f>IFERROR(__xludf.DUMMYFUNCTION("""COMPUTED_VALUE"""),"Interior")</f>
        <v>Interior</v>
      </c>
      <c r="AY1276" s="97" t="str">
        <f>IFERROR(__xludf.DUMMYFUNCTION("""COMPUTED_VALUE"""),"-")</f>
        <v>-</v>
      </c>
      <c r="AZ1276" s="97" t="str">
        <f>IFERROR(__xludf.DUMMYFUNCTION("""COMPUTED_VALUE"""),"Soporta 10A. Con entrada de alimentación 220 V~.")</f>
        <v>Soporta 10A. Con entrada de alimentación 220 V~.</v>
      </c>
      <c r="BA1276" s="97"/>
      <c r="BB1276" s="97" t="str">
        <f>IFERROR(__xludf.DUMMYFUNCTION("""COMPUTED_VALUE"""),"-")</f>
        <v>-</v>
      </c>
      <c r="BC1276" s="97" t="str">
        <f>IFERROR(__xludf.DUMMYFUNCTION("""COMPUTED_VALUE"""),"-")</f>
        <v>-</v>
      </c>
      <c r="BD1276" s="97" t="str">
        <f>IFERROR(__xludf.DUMMYFUNCTION("""COMPUTED_VALUE"""),"RIELES 3EF")</f>
        <v>RIELES 3EF</v>
      </c>
      <c r="BE1276" s="97" t="str">
        <f>IFERROR(__xludf.DUMMYFUNCTION("""COMPUTED_VALUE"""),"Sin Ficha")</f>
        <v>Sin Ficha</v>
      </c>
      <c r="BF1276" s="97"/>
      <c r="BG1276" s="97" t="str">
        <f>IFERROR(__xludf.DUMMYFUNCTION("""COMPUTED_VALUE"""),"Discontinuo")</f>
        <v>Discontinuo</v>
      </c>
    </row>
    <row r="1277">
      <c r="A1277" s="97">
        <f>IFERROR(__xludf.DUMMYFUNCTION("""COMPUTED_VALUE"""),7238.0)</f>
        <v>7238</v>
      </c>
      <c r="B1277" s="97" t="str">
        <f>IFERROR(__xludf.DUMMYFUNCTION("""COMPUTED_VALUE"""),"TAPA DYNA EM AL BL")</f>
        <v>TAPA DYNA EM AL BL</v>
      </c>
      <c r="C1277" s="97" t="str">
        <f>IFERROR(__xludf.DUMMYFUNCTION("""COMPUTED_VALUE"""),"ACCESORIO TAPA DYNA EM AL BL LEUK")</f>
        <v>ACCESORIO TAPA DYNA EM AL BL LEUK</v>
      </c>
      <c r="D1277" s="97">
        <f>IFERROR(__xludf.DUMMYFUNCTION("""COMPUTED_VALUE"""),7.798413227734E12)</f>
        <v>7798413227734</v>
      </c>
      <c r="E1277" s="97" t="str">
        <f>IFERROR(__xludf.DUMMYFUNCTION("""COMPUTED_VALUE"""),"N/A")</f>
        <v>N/A</v>
      </c>
      <c r="F1277" s="97" t="str">
        <f>IFERROR(__xludf.DUMMYFUNCTION("""COMPUTED_VALUE"""),"N/A")</f>
        <v>N/A</v>
      </c>
      <c r="G1277" s="97" t="str">
        <f>IFERROR(__xludf.DUMMYFUNCTION("""COMPUTED_VALUE"""),"N/A")</f>
        <v>N/A</v>
      </c>
      <c r="H1277" s="97" t="str">
        <f>IFERROR(__xludf.DUMMYFUNCTION("""COMPUTED_VALUE"""),"N/A")</f>
        <v>N/A</v>
      </c>
      <c r="I1277" s="97" t="str">
        <f>IFERROR(__xludf.DUMMYFUNCTION("""COMPUTED_VALUE"""),"N/A")</f>
        <v>N/A</v>
      </c>
      <c r="J1277" s="97" t="str">
        <f>IFERROR(__xludf.DUMMYFUNCTION("""COMPUTED_VALUE"""),"N/A")</f>
        <v>N/A</v>
      </c>
      <c r="K1277" s="97" t="str">
        <f>IFERROR(__xludf.DUMMYFUNCTION("""COMPUTED_VALUE"""),"N/A")</f>
        <v>N/A</v>
      </c>
      <c r="L1277" s="97" t="str">
        <f>IFERROR(__xludf.DUMMYFUNCTION("""COMPUTED_VALUE"""),"N/A")</f>
        <v>N/A</v>
      </c>
      <c r="M1277" s="97" t="str">
        <f>IFERROR(__xludf.DUMMYFUNCTION("""COMPUTED_VALUE"""),"N/A")</f>
        <v>N/A</v>
      </c>
      <c r="N1277" s="97" t="str">
        <f>IFERROR(__xludf.DUMMYFUNCTION("""COMPUTED_VALUE"""),"N/A")</f>
        <v>N/A</v>
      </c>
      <c r="O1277" s="97" t="str">
        <f>IFERROR(__xludf.DUMMYFUNCTION("""COMPUTED_VALUE"""),"-")</f>
        <v>-</v>
      </c>
      <c r="P1277" s="97"/>
      <c r="Q1277" s="97" t="str">
        <f>IFERROR(__xludf.DUMMYFUNCTION("""COMPUTED_VALUE"""),"-")</f>
        <v>-</v>
      </c>
      <c r="R1277" s="97" t="str">
        <f>IFERROR(__xludf.DUMMYFUNCTION("""COMPUTED_VALUE"""),"-")</f>
        <v>-</v>
      </c>
      <c r="S1277" s="97" t="str">
        <f>IFERROR(__xludf.DUMMYFUNCTION("""COMPUTED_VALUE"""),"-")</f>
        <v>-</v>
      </c>
      <c r="T1277" s="97" t="str">
        <f>IFERROR(__xludf.DUMMYFUNCTION("""COMPUTED_VALUE"""),"-")</f>
        <v>-</v>
      </c>
      <c r="U1277" s="97" t="str">
        <f>IFERROR(__xludf.DUMMYFUNCTION("""COMPUTED_VALUE"""),"-")</f>
        <v>-</v>
      </c>
      <c r="V1277" s="97" t="str">
        <f>IFERROR(__xludf.DUMMYFUNCTION("""COMPUTED_VALUE"""),"N/A")</f>
        <v>N/A</v>
      </c>
      <c r="W1277" s="97" t="str">
        <f>IFERROR(__xludf.DUMMYFUNCTION("""COMPUTED_VALUE"""),"N/A")</f>
        <v>N/A</v>
      </c>
      <c r="X1277" s="97" t="str">
        <f>IFERROR(__xludf.DUMMYFUNCTION("""COMPUTED_VALUE"""),"-")</f>
        <v>-</v>
      </c>
      <c r="Y1277" s="97" t="str">
        <f>IFERROR(__xludf.DUMMYFUNCTION("""COMPUTED_VALUE"""),"N/A")</f>
        <v>N/A</v>
      </c>
      <c r="Z1277" s="97" t="str">
        <f>IFERROR(__xludf.DUMMYFUNCTION("""COMPUTED_VALUE"""),"N/A")</f>
        <v>N/A</v>
      </c>
      <c r="AA1277" s="97" t="str">
        <f>IFERROR(__xludf.DUMMYFUNCTION("""COMPUTED_VALUE"""),"N/A")</f>
        <v>N/A</v>
      </c>
      <c r="AB1277" s="97" t="str">
        <f>IFERROR(__xludf.DUMMYFUNCTION("""COMPUTED_VALUE"""),"N/A")</f>
        <v>N/A</v>
      </c>
      <c r="AC1277" s="97" t="str">
        <f>IFERROR(__xludf.DUMMYFUNCTION("""COMPUTED_VALUE"""),"N/A")</f>
        <v>N/A</v>
      </c>
      <c r="AD1277" s="97" t="str">
        <f>IFERROR(__xludf.DUMMYFUNCTION("""COMPUTED_VALUE"""),"N/A")</f>
        <v>N/A</v>
      </c>
      <c r="AE1277" s="97" t="str">
        <f>IFERROR(__xludf.DUMMYFUNCTION("""COMPUTED_VALUE"""),"N/A")</f>
        <v>N/A</v>
      </c>
      <c r="AF1277" s="97" t="str">
        <f>IFERROR(__xludf.DUMMYFUNCTION("""COMPUTED_VALUE"""),"N/A")</f>
        <v>N/A</v>
      </c>
      <c r="AG1277" s="97" t="str">
        <f>IFERROR(__xludf.DUMMYFUNCTION("""COMPUTED_VALUE"""),"-")</f>
        <v>-</v>
      </c>
      <c r="AH1277" s="97" t="str">
        <f>IFERROR(__xludf.DUMMYFUNCTION("""COMPUTED_VALUE"""),"N/A")</f>
        <v>N/A</v>
      </c>
      <c r="AI1277" s="97" t="str">
        <f>IFERROR(__xludf.DUMMYFUNCTION("""COMPUTED_VALUE"""),"N/A")</f>
        <v>N/A</v>
      </c>
      <c r="AJ1277" s="97" t="str">
        <f>IFERROR(__xludf.DUMMYFUNCTION("""COMPUTED_VALUE"""),"N/A")</f>
        <v>N/A</v>
      </c>
      <c r="AK1277" s="97" t="str">
        <f>IFERROR(__xludf.DUMMYFUNCTION("""COMPUTED_VALUE"""),"Aluminio")</f>
        <v>Aluminio</v>
      </c>
      <c r="AL1277" s="97" t="str">
        <f>IFERROR(__xludf.DUMMYFUNCTION("""COMPUTED_VALUE"""),"Blanco Mate")</f>
        <v>Blanco Mate</v>
      </c>
      <c r="AM1277" s="97" t="str">
        <f>IFERROR(__xludf.DUMMYFUNCTION("""COMPUTED_VALUE"""),"-")</f>
        <v>-</v>
      </c>
      <c r="AN1277" s="97" t="str">
        <f>IFERROR(__xludf.DUMMYFUNCTION("""COMPUTED_VALUE"""),"N/A")</f>
        <v>N/A</v>
      </c>
      <c r="AO1277" s="97" t="str">
        <f>IFERROR(__xludf.DUMMYFUNCTION("""COMPUTED_VALUE"""),"3 Años")</f>
        <v>3 Años</v>
      </c>
      <c r="AP1277" s="97" t="str">
        <f>IFERROR(__xludf.DUMMYFUNCTION("""COMPUTED_VALUE"""),"No Aplica")</f>
        <v>No Aplica</v>
      </c>
      <c r="AQ1277" s="97" t="str">
        <f>IFERROR(__xludf.DUMMYFUNCTION("""COMPUTED_VALUE"""),"No Aplica")</f>
        <v>No Aplica</v>
      </c>
      <c r="AR1277" s="97" t="str">
        <f>IFERROR(__xludf.DUMMYFUNCTION("""COMPUTED_VALUE"""),"No Aplica")</f>
        <v>No Aplica</v>
      </c>
      <c r="AS1277" s="97" t="str">
        <f>IFERROR(__xludf.DUMMYFUNCTION("""COMPUTED_VALUE"""),"No Aplica")</f>
        <v>No Aplica</v>
      </c>
      <c r="AT1277" s="97" t="str">
        <f>IFERROR(__xludf.DUMMYFUNCTION("""COMPUTED_VALUE"""),"No Aplica")</f>
        <v>No Aplica</v>
      </c>
      <c r="AU1277" s="97" t="str">
        <f>IFERROR(__xludf.DUMMYFUNCTION("""COMPUTED_VALUE"""),"Disponible")</f>
        <v>Disponible</v>
      </c>
      <c r="AV1277" s="97" t="str">
        <f>IFERROR(__xludf.DUMMYFUNCTION("""COMPUTED_VALUE"""),"Accesorio")</f>
        <v>Accesorio</v>
      </c>
      <c r="AW1277" s="97" t="str">
        <f>IFERROR(__xludf.DUMMYFUNCTION("""COMPUTED_VALUE"""),"Lineales")</f>
        <v>Lineales</v>
      </c>
      <c r="AX1277" s="97" t="str">
        <f>IFERROR(__xludf.DUMMYFUNCTION("""COMPUTED_VALUE"""),"Interior")</f>
        <v>Interior</v>
      </c>
      <c r="AY1277" s="97" t="str">
        <f>IFERROR(__xludf.DUMMYFUNCTION("""COMPUTED_VALUE"""),"-")</f>
        <v>-</v>
      </c>
      <c r="AZ1277" s="97"/>
      <c r="BA1277" s="97"/>
      <c r="BB1277" s="97"/>
      <c r="BC1277" s="97"/>
      <c r="BD1277" s="97" t="str">
        <f>IFERROR(__xludf.DUMMYFUNCTION("""COMPUTED_VALUE"""),"DYNA EM")</f>
        <v>DYNA EM</v>
      </c>
      <c r="BE1277" s="97" t="str">
        <f>IFERROR(__xludf.DUMMYFUNCTION("""COMPUTED_VALUE"""),"Falta TR")</f>
        <v>Falta TR</v>
      </c>
      <c r="BF1277" s="97"/>
      <c r="BG1277" s="97" t="str">
        <f>IFERROR(__xludf.DUMMYFUNCTION("""COMPUTED_VALUE"""),"En Salida")</f>
        <v>En Salida</v>
      </c>
    </row>
    <row r="1278">
      <c r="A1278" s="97">
        <f>IFERROR(__xludf.DUMMYFUNCTION("""COMPUTED_VALUE"""),7239.0)</f>
        <v>7239</v>
      </c>
      <c r="B1278" s="97" t="str">
        <f>IFERROR(__xludf.DUMMYFUNCTION("""COMPUTED_VALUE"""),"TAPA DYNA EM AL NG")</f>
        <v>TAPA DYNA EM AL NG</v>
      </c>
      <c r="C1278" s="97" t="str">
        <f>IFERROR(__xludf.DUMMYFUNCTION("""COMPUTED_VALUE"""),"ACCESORIO TAPA DYNA EM AL NG LEUK")</f>
        <v>ACCESORIO TAPA DYNA EM AL NG LEUK</v>
      </c>
      <c r="D1278" s="97">
        <f>IFERROR(__xludf.DUMMYFUNCTION("""COMPUTED_VALUE"""),7.798413227741E12)</f>
        <v>7798413227741</v>
      </c>
      <c r="E1278" s="97" t="str">
        <f>IFERROR(__xludf.DUMMYFUNCTION("""COMPUTED_VALUE"""),"N/A")</f>
        <v>N/A</v>
      </c>
      <c r="F1278" s="97" t="str">
        <f>IFERROR(__xludf.DUMMYFUNCTION("""COMPUTED_VALUE"""),"N/A")</f>
        <v>N/A</v>
      </c>
      <c r="G1278" s="97" t="str">
        <f>IFERROR(__xludf.DUMMYFUNCTION("""COMPUTED_VALUE"""),"N/A")</f>
        <v>N/A</v>
      </c>
      <c r="H1278" s="97" t="str">
        <f>IFERROR(__xludf.DUMMYFUNCTION("""COMPUTED_VALUE"""),"N/A")</f>
        <v>N/A</v>
      </c>
      <c r="I1278" s="97" t="str">
        <f>IFERROR(__xludf.DUMMYFUNCTION("""COMPUTED_VALUE"""),"N/A")</f>
        <v>N/A</v>
      </c>
      <c r="J1278" s="97" t="str">
        <f>IFERROR(__xludf.DUMMYFUNCTION("""COMPUTED_VALUE"""),"N/A")</f>
        <v>N/A</v>
      </c>
      <c r="K1278" s="97" t="str">
        <f>IFERROR(__xludf.DUMMYFUNCTION("""COMPUTED_VALUE"""),"N/A")</f>
        <v>N/A</v>
      </c>
      <c r="L1278" s="97" t="str">
        <f>IFERROR(__xludf.DUMMYFUNCTION("""COMPUTED_VALUE"""),"N/A")</f>
        <v>N/A</v>
      </c>
      <c r="M1278" s="97" t="str">
        <f>IFERROR(__xludf.DUMMYFUNCTION("""COMPUTED_VALUE"""),"N/A")</f>
        <v>N/A</v>
      </c>
      <c r="N1278" s="97" t="str">
        <f>IFERROR(__xludf.DUMMYFUNCTION("""COMPUTED_VALUE"""),"N/A")</f>
        <v>N/A</v>
      </c>
      <c r="O1278" s="97" t="str">
        <f>IFERROR(__xludf.DUMMYFUNCTION("""COMPUTED_VALUE"""),"-")</f>
        <v>-</v>
      </c>
      <c r="P1278" s="97"/>
      <c r="Q1278" s="97" t="str">
        <f>IFERROR(__xludf.DUMMYFUNCTION("""COMPUTED_VALUE"""),"-")</f>
        <v>-</v>
      </c>
      <c r="R1278" s="97" t="str">
        <f>IFERROR(__xludf.DUMMYFUNCTION("""COMPUTED_VALUE"""),"-")</f>
        <v>-</v>
      </c>
      <c r="S1278" s="97" t="str">
        <f>IFERROR(__xludf.DUMMYFUNCTION("""COMPUTED_VALUE"""),"-")</f>
        <v>-</v>
      </c>
      <c r="T1278" s="97" t="str">
        <f>IFERROR(__xludf.DUMMYFUNCTION("""COMPUTED_VALUE"""),"-")</f>
        <v>-</v>
      </c>
      <c r="U1278" s="97" t="str">
        <f>IFERROR(__xludf.DUMMYFUNCTION("""COMPUTED_VALUE"""),"-")</f>
        <v>-</v>
      </c>
      <c r="V1278" s="97" t="str">
        <f>IFERROR(__xludf.DUMMYFUNCTION("""COMPUTED_VALUE"""),"N/A")</f>
        <v>N/A</v>
      </c>
      <c r="W1278" s="97" t="str">
        <f>IFERROR(__xludf.DUMMYFUNCTION("""COMPUTED_VALUE"""),"N/A")</f>
        <v>N/A</v>
      </c>
      <c r="X1278" s="97" t="str">
        <f>IFERROR(__xludf.DUMMYFUNCTION("""COMPUTED_VALUE"""),"-")</f>
        <v>-</v>
      </c>
      <c r="Y1278" s="97" t="str">
        <f>IFERROR(__xludf.DUMMYFUNCTION("""COMPUTED_VALUE"""),"N/A")</f>
        <v>N/A</v>
      </c>
      <c r="Z1278" s="97" t="str">
        <f>IFERROR(__xludf.DUMMYFUNCTION("""COMPUTED_VALUE"""),"N/A")</f>
        <v>N/A</v>
      </c>
      <c r="AA1278" s="97" t="str">
        <f>IFERROR(__xludf.DUMMYFUNCTION("""COMPUTED_VALUE"""),"N/A")</f>
        <v>N/A</v>
      </c>
      <c r="AB1278" s="97" t="str">
        <f>IFERROR(__xludf.DUMMYFUNCTION("""COMPUTED_VALUE"""),"N/A")</f>
        <v>N/A</v>
      </c>
      <c r="AC1278" s="97" t="str">
        <f>IFERROR(__xludf.DUMMYFUNCTION("""COMPUTED_VALUE"""),"N/A")</f>
        <v>N/A</v>
      </c>
      <c r="AD1278" s="97" t="str">
        <f>IFERROR(__xludf.DUMMYFUNCTION("""COMPUTED_VALUE"""),"N/A")</f>
        <v>N/A</v>
      </c>
      <c r="AE1278" s="97" t="str">
        <f>IFERROR(__xludf.DUMMYFUNCTION("""COMPUTED_VALUE"""),"N/A")</f>
        <v>N/A</v>
      </c>
      <c r="AF1278" s="97" t="str">
        <f>IFERROR(__xludf.DUMMYFUNCTION("""COMPUTED_VALUE"""),"N/A")</f>
        <v>N/A</v>
      </c>
      <c r="AG1278" s="97" t="str">
        <f>IFERROR(__xludf.DUMMYFUNCTION("""COMPUTED_VALUE"""),"-")</f>
        <v>-</v>
      </c>
      <c r="AH1278" s="97" t="str">
        <f>IFERROR(__xludf.DUMMYFUNCTION("""COMPUTED_VALUE"""),"N/A")</f>
        <v>N/A</v>
      </c>
      <c r="AI1278" s="97" t="str">
        <f>IFERROR(__xludf.DUMMYFUNCTION("""COMPUTED_VALUE"""),"N/A")</f>
        <v>N/A</v>
      </c>
      <c r="AJ1278" s="97" t="str">
        <f>IFERROR(__xludf.DUMMYFUNCTION("""COMPUTED_VALUE"""),"N/A")</f>
        <v>N/A</v>
      </c>
      <c r="AK1278" s="97" t="str">
        <f>IFERROR(__xludf.DUMMYFUNCTION("""COMPUTED_VALUE"""),"Aluminio")</f>
        <v>Aluminio</v>
      </c>
      <c r="AL1278" s="97" t="str">
        <f>IFERROR(__xludf.DUMMYFUNCTION("""COMPUTED_VALUE"""),"Negro Mate")</f>
        <v>Negro Mate</v>
      </c>
      <c r="AM1278" s="97" t="str">
        <f>IFERROR(__xludf.DUMMYFUNCTION("""COMPUTED_VALUE"""),"-")</f>
        <v>-</v>
      </c>
      <c r="AN1278" s="97" t="str">
        <f>IFERROR(__xludf.DUMMYFUNCTION("""COMPUTED_VALUE"""),"N/A")</f>
        <v>N/A</v>
      </c>
      <c r="AO1278" s="97" t="str">
        <f>IFERROR(__xludf.DUMMYFUNCTION("""COMPUTED_VALUE"""),"3 Años")</f>
        <v>3 Años</v>
      </c>
      <c r="AP1278" s="97" t="str">
        <f>IFERROR(__xludf.DUMMYFUNCTION("""COMPUTED_VALUE"""),"No Aplica")</f>
        <v>No Aplica</v>
      </c>
      <c r="AQ1278" s="97" t="str">
        <f>IFERROR(__xludf.DUMMYFUNCTION("""COMPUTED_VALUE"""),"No Aplica")</f>
        <v>No Aplica</v>
      </c>
      <c r="AR1278" s="97" t="str">
        <f>IFERROR(__xludf.DUMMYFUNCTION("""COMPUTED_VALUE"""),"No Aplica")</f>
        <v>No Aplica</v>
      </c>
      <c r="AS1278" s="97" t="str">
        <f>IFERROR(__xludf.DUMMYFUNCTION("""COMPUTED_VALUE"""),"No Aplica")</f>
        <v>No Aplica</v>
      </c>
      <c r="AT1278" s="97" t="str">
        <f>IFERROR(__xludf.DUMMYFUNCTION("""COMPUTED_VALUE"""),"No Aplica")</f>
        <v>No Aplica</v>
      </c>
      <c r="AU1278" s="97" t="str">
        <f>IFERROR(__xludf.DUMMYFUNCTION("""COMPUTED_VALUE"""),"Disponible")</f>
        <v>Disponible</v>
      </c>
      <c r="AV1278" s="97" t="str">
        <f>IFERROR(__xludf.DUMMYFUNCTION("""COMPUTED_VALUE"""),"Accesorio")</f>
        <v>Accesorio</v>
      </c>
      <c r="AW1278" s="97" t="str">
        <f>IFERROR(__xludf.DUMMYFUNCTION("""COMPUTED_VALUE"""),"Lineales")</f>
        <v>Lineales</v>
      </c>
      <c r="AX1278" s="97" t="str">
        <f>IFERROR(__xludf.DUMMYFUNCTION("""COMPUTED_VALUE"""),"Interior")</f>
        <v>Interior</v>
      </c>
      <c r="AY1278" s="97" t="str">
        <f>IFERROR(__xludf.DUMMYFUNCTION("""COMPUTED_VALUE"""),"-")</f>
        <v>-</v>
      </c>
      <c r="AZ1278" s="97"/>
      <c r="BA1278" s="97"/>
      <c r="BB1278" s="97"/>
      <c r="BC1278" s="97"/>
      <c r="BD1278" s="97" t="str">
        <f>IFERROR(__xludf.DUMMYFUNCTION("""COMPUTED_VALUE"""),"DYNA EM")</f>
        <v>DYNA EM</v>
      </c>
      <c r="BE1278" s="97" t="str">
        <f>IFERROR(__xludf.DUMMYFUNCTION("""COMPUTED_VALUE"""),"Falta TR")</f>
        <v>Falta TR</v>
      </c>
      <c r="BF1278" s="97"/>
      <c r="BG1278" s="97" t="str">
        <f>IFERROR(__xludf.DUMMYFUNCTION("""COMPUTED_VALUE"""),"En Salida")</f>
        <v>En Salida</v>
      </c>
    </row>
    <row r="1279">
      <c r="A1279" s="97">
        <f>IFERROR(__xludf.DUMMYFUNCTION("""COMPUTED_VALUE"""),7240.0)</f>
        <v>7240</v>
      </c>
      <c r="B1279" s="97" t="str">
        <f>IFERROR(__xludf.DUMMYFUNCTION("""COMPUTED_VALUE"""),"MUST BL")</f>
        <v>MUST BL</v>
      </c>
      <c r="C1279" s="97" t="str">
        <f>IFERROR(__xludf.DUMMYFUNCTION("""COMPUTED_VALUE"""),"EMPOTRABLE MUST BL 1XGU10 DICRO IP20 LEUK")</f>
        <v>EMPOTRABLE MUST BL 1XGU10 DICRO IP20 LEUK</v>
      </c>
      <c r="D1279" s="97">
        <f>IFERROR(__xludf.DUMMYFUNCTION("""COMPUTED_VALUE"""),7.79841322771E12)</f>
        <v>7798413227710</v>
      </c>
      <c r="E1279" s="97"/>
      <c r="F1279" s="97" t="str">
        <f>IFERROR(__xludf.DUMMYFUNCTION("""COMPUTED_VALUE"""),"1xGU10 Dicro")</f>
        <v>1xGU10 Dicro</v>
      </c>
      <c r="G1279" s="97" t="str">
        <f>IFERROR(__xludf.DUMMYFUNCTION("""COMPUTED_VALUE"""),"N/A")</f>
        <v>N/A</v>
      </c>
      <c r="H1279" s="97" t="str">
        <f>IFERROR(__xludf.DUMMYFUNCTION("""COMPUTED_VALUE"""),"N/A")</f>
        <v>N/A</v>
      </c>
      <c r="I1279" s="97" t="str">
        <f>IFERROR(__xludf.DUMMYFUNCTION("""COMPUTED_VALUE"""),"N/A")</f>
        <v>N/A</v>
      </c>
      <c r="J1279" s="97" t="str">
        <f>IFERROR(__xludf.DUMMYFUNCTION("""COMPUTED_VALUE"""),"N/A")</f>
        <v>N/A</v>
      </c>
      <c r="K1279" s="97" t="str">
        <f>IFERROR(__xludf.DUMMYFUNCTION("""COMPUTED_VALUE"""),"N/A")</f>
        <v>N/A</v>
      </c>
      <c r="L1279" s="97">
        <f>IFERROR(__xludf.DUMMYFUNCTION("""COMPUTED_VALUE"""),220.0)</f>
        <v>220</v>
      </c>
      <c r="M1279" s="97">
        <f>IFERROR(__xludf.DUMMYFUNCTION("""COMPUTED_VALUE"""),50.0)</f>
        <v>50</v>
      </c>
      <c r="N1279" s="97" t="str">
        <f>IFERROR(__xludf.DUMMYFUNCTION("""COMPUTED_VALUE"""),"N/A")</f>
        <v>N/A</v>
      </c>
      <c r="O1279" s="97" t="str">
        <f>IFERROR(__xludf.DUMMYFUNCTION("""COMPUTED_VALUE"""),"1 x 50W Max")</f>
        <v>1 x 50W Max</v>
      </c>
      <c r="P1279" s="97" t="str">
        <f>IFERROR(__xludf.DUMMYFUNCTION("""COMPUTED_VALUE"""),"N/A")</f>
        <v>N/A</v>
      </c>
      <c r="Q1279" s="97" t="str">
        <f>IFERROR(__xludf.DUMMYFUNCTION("""COMPUTED_VALUE"""),"N/A")</f>
        <v>N/A</v>
      </c>
      <c r="R1279" s="97" t="str">
        <f>IFERROR(__xludf.DUMMYFUNCTION("""COMPUTED_VALUE"""),"N/A")</f>
        <v>N/A</v>
      </c>
      <c r="S1279" s="97" t="str">
        <f>IFERROR(__xludf.DUMMYFUNCTION("""COMPUTED_VALUE"""),"N/A")</f>
        <v>N/A</v>
      </c>
      <c r="T1279" s="97" t="str">
        <f>IFERROR(__xludf.DUMMYFUNCTION("""COMPUTED_VALUE"""),"N/A")</f>
        <v>N/A</v>
      </c>
      <c r="U1279" s="97" t="str">
        <f>IFERROR(__xludf.DUMMYFUNCTION("""COMPUTED_VALUE"""),"N/A")</f>
        <v>N/A</v>
      </c>
      <c r="V1279" s="97" t="str">
        <f>IFERROR(__xludf.DUMMYFUNCTION("""COMPUTED_VALUE"""),"N/A")</f>
        <v>N/A</v>
      </c>
      <c r="W1279" s="97" t="str">
        <f>IFERROR(__xludf.DUMMYFUNCTION("""COMPUTED_VALUE"""),"N/A")</f>
        <v>N/A</v>
      </c>
      <c r="X1279" s="97" t="str">
        <f>IFERROR(__xludf.DUMMYFUNCTION("""COMPUTED_VALUE"""),"N/A")</f>
        <v>N/A</v>
      </c>
      <c r="Y1279" s="97" t="str">
        <f>IFERROR(__xludf.DUMMYFUNCTION("""COMPUTED_VALUE"""),"N/A")</f>
        <v>N/A</v>
      </c>
      <c r="Z1279" s="97" t="str">
        <f>IFERROR(__xludf.DUMMYFUNCTION("""COMPUTED_VALUE"""),"N/A")</f>
        <v>N/A</v>
      </c>
      <c r="AA1279" s="97" t="str">
        <f>IFERROR(__xludf.DUMMYFUNCTION("""COMPUTED_VALUE"""),"N/A")</f>
        <v>N/A</v>
      </c>
      <c r="AB1279" s="97" t="str">
        <f>IFERROR(__xludf.DUMMYFUNCTION("""COMPUTED_VALUE"""),"N/A")</f>
        <v>N/A</v>
      </c>
      <c r="AC1279" s="97" t="str">
        <f>IFERROR(__xludf.DUMMYFUNCTION("""COMPUTED_VALUE"""),"N/A")</f>
        <v>N/A</v>
      </c>
      <c r="AD1279" s="97" t="str">
        <f>IFERROR(__xludf.DUMMYFUNCTION("""COMPUTED_VALUE"""),"IP20")</f>
        <v>IP20</v>
      </c>
      <c r="AE1279" s="97" t="str">
        <f>IFERROR(__xludf.DUMMYFUNCTION("""COMPUTED_VALUE"""),"Clase l")</f>
        <v>Clase l</v>
      </c>
      <c r="AF1279" s="97" t="str">
        <f>IFERROR(__xludf.DUMMYFUNCTION("""COMPUTED_VALUE"""),"Embutir")</f>
        <v>Embutir</v>
      </c>
      <c r="AG1279" s="97" t="str">
        <f>IFERROR(__xludf.DUMMYFUNCTION("""COMPUTED_VALUE"""),"Ø98 x 30")</f>
        <v>Ø98 x 30</v>
      </c>
      <c r="AH1279" s="97" t="str">
        <f>IFERROR(__xludf.DUMMYFUNCTION("""COMPUTED_VALUE"""),"Ø89-93")</f>
        <v>Ø89-93</v>
      </c>
      <c r="AI1279" s="97" t="str">
        <f>IFERROR(__xludf.DUMMYFUNCTION("""COMPUTED_VALUE"""),"100 *")</f>
        <v>100 *</v>
      </c>
      <c r="AJ1279" s="97" t="str">
        <f>IFERROR(__xludf.DUMMYFUNCTION("""COMPUTED_VALUE"""),"N/A")</f>
        <v>N/A</v>
      </c>
      <c r="AK1279" s="97" t="str">
        <f>IFERROR(__xludf.DUMMYFUNCTION("""COMPUTED_VALUE"""),"Aluminio y Acero")</f>
        <v>Aluminio y Acero</v>
      </c>
      <c r="AL1279" s="97" t="str">
        <f>IFERROR(__xludf.DUMMYFUNCTION("""COMPUTED_VALUE"""),"Blanco Satinado")</f>
        <v>Blanco Satinado</v>
      </c>
      <c r="AM1279" s="97" t="str">
        <f>IFERROR(__xludf.DUMMYFUNCTION("""COMPUTED_VALUE"""),"-")</f>
        <v>-</v>
      </c>
      <c r="AN1279" s="97" t="str">
        <f>IFERROR(__xludf.DUMMYFUNCTION("""COMPUTED_VALUE"""),"N/A")</f>
        <v>N/A</v>
      </c>
      <c r="AO1279" s="97" t="str">
        <f>IFERROR(__xludf.DUMMYFUNCTION("""COMPUTED_VALUE"""),"3 Años")</f>
        <v>3 Años</v>
      </c>
      <c r="AP1279" s="97" t="str">
        <f>IFERROR(__xludf.DUMMYFUNCTION("""COMPUTED_VALUE"""),"No Aplica")</f>
        <v>No Aplica</v>
      </c>
      <c r="AQ1279" s="97" t="str">
        <f>IFERROR(__xludf.DUMMYFUNCTION("""COMPUTED_VALUE"""),"No Aplica")</f>
        <v>No Aplica</v>
      </c>
      <c r="AR1279" s="97" t="str">
        <f>IFERROR(__xludf.DUMMYFUNCTION("""COMPUTED_VALUE"""),"No Aplica")</f>
        <v>No Aplica</v>
      </c>
      <c r="AS1279" s="97" t="str">
        <f>IFERROR(__xludf.DUMMYFUNCTION("""COMPUTED_VALUE"""),"Disponible")</f>
        <v>Disponible</v>
      </c>
      <c r="AT1279" s="97" t="str">
        <f>IFERROR(__xludf.DUMMYFUNCTION("""COMPUTED_VALUE"""),"Disponible")</f>
        <v>Disponible</v>
      </c>
      <c r="AU1279" s="97" t="str">
        <f>IFERROR(__xludf.DUMMYFUNCTION("""COMPUTED_VALUE"""),"Disponible")</f>
        <v>Disponible</v>
      </c>
      <c r="AV1279" s="97" t="str">
        <f>IFERROR(__xludf.DUMMYFUNCTION("""COMPUTED_VALUE"""),"Empotrable")</f>
        <v>Empotrable</v>
      </c>
      <c r="AW1279" s="97" t="str">
        <f>IFERROR(__xludf.DUMMYFUNCTION("""COMPUTED_VALUE"""),"De Techo")</f>
        <v>De Techo</v>
      </c>
      <c r="AX1279" s="97" t="str">
        <f>IFERROR(__xludf.DUMMYFUNCTION("""COMPUTED_VALUE"""),"Interior")</f>
        <v>Interior</v>
      </c>
      <c r="AY1279" s="97" t="str">
        <f>IFERROR(__xludf.DUMMYFUNCTION("""COMPUTED_VALUE"""),"-")</f>
        <v>-</v>
      </c>
      <c r="AZ1279" s="97" t="str">
        <f>IFERROR(__xludf.DUMMYFUNCTION("""COMPUTED_VALUE"""),"Movimiento ±20°. Incluye zócalo GU10.
*Profundidad de calado total aproximada (considera dicroica y zócalo estándar).")</f>
        <v>Movimiento ±20°. Incluye zócalo GU10.
*Profundidad de calado total aproximada (considera dicroica y zócalo estándar).</v>
      </c>
      <c r="BA1279" s="97">
        <f>IFERROR(__xludf.DUMMYFUNCTION("""COMPUTED_VALUE"""),20.0)</f>
        <v>20</v>
      </c>
      <c r="BB1279" s="97" t="str">
        <f>IFERROR(__xludf.DUMMYFUNCTION("""COMPUTED_VALUE"""),"-")</f>
        <v>-</v>
      </c>
      <c r="BC1279" s="97" t="str">
        <f>IFERROR(__xludf.DUMMYFUNCTION("""COMPUTED_VALUE"""),"-")</f>
        <v>-</v>
      </c>
      <c r="BD1279" s="97" t="str">
        <f>IFERROR(__xludf.DUMMYFUNCTION("""COMPUTED_VALUE"""),"MUST")</f>
        <v>MUST</v>
      </c>
      <c r="BE1279" s="97" t="str">
        <f>IFERROR(__xludf.DUMMYFUNCTION("""COMPUTED_VALUE"""),"Solicitada")</f>
        <v>Solicitada</v>
      </c>
      <c r="BF1279" s="97"/>
      <c r="BG1279" s="97" t="str">
        <f>IFERROR(__xludf.DUMMYFUNCTION("""COMPUTED_VALUE"""),"REPO 6")</f>
        <v>REPO 6</v>
      </c>
    </row>
    <row r="1280">
      <c r="A1280" s="97">
        <f>IFERROR(__xludf.DUMMYFUNCTION("""COMPUTED_VALUE"""),7241.0)</f>
        <v>7241</v>
      </c>
      <c r="B1280" s="97" t="str">
        <f>IFERROR(__xludf.DUMMYFUNCTION("""COMPUTED_VALUE"""),"RIEL 1MT 3EF NG")</f>
        <v>RIEL 1MT 3EF NG</v>
      </c>
      <c r="C1280" s="97" t="str">
        <f>IFERROR(__xludf.DUMMYFUNCTION("""COMPUTED_VALUE"""),"RIEL RIEL 1MT 3EF NG LEUK")</f>
        <v>RIEL RIEL 1MT 3EF NG LEUK</v>
      </c>
      <c r="D1280" s="97">
        <f>IFERROR(__xludf.DUMMYFUNCTION("""COMPUTED_VALUE"""),7.798413227758E12)</f>
        <v>7798413227758</v>
      </c>
      <c r="E1280" s="97"/>
      <c r="F1280" s="97" t="str">
        <f>IFERROR(__xludf.DUMMYFUNCTION("""COMPUTED_VALUE"""),"N/A")</f>
        <v>N/A</v>
      </c>
      <c r="G1280" s="97" t="str">
        <f>IFERROR(__xludf.DUMMYFUNCTION("""COMPUTED_VALUE"""),"N/A")</f>
        <v>N/A</v>
      </c>
      <c r="H1280" s="97" t="str">
        <f>IFERROR(__xludf.DUMMYFUNCTION("""COMPUTED_VALUE"""),"N/A")</f>
        <v>N/A</v>
      </c>
      <c r="I1280" s="97" t="str">
        <f>IFERROR(__xludf.DUMMYFUNCTION("""COMPUTED_VALUE"""),"N/A")</f>
        <v>N/A</v>
      </c>
      <c r="J1280" s="97" t="str">
        <f>IFERROR(__xludf.DUMMYFUNCTION("""COMPUTED_VALUE"""),"N/A")</f>
        <v>N/A</v>
      </c>
      <c r="K1280" s="97" t="str">
        <f>IFERROR(__xludf.DUMMYFUNCTION("""COMPUTED_VALUE"""),"N/A")</f>
        <v>N/A</v>
      </c>
      <c r="L1280" s="97">
        <f>IFERROR(__xludf.DUMMYFUNCTION("""COMPUTED_VALUE"""),220.0)</f>
        <v>220</v>
      </c>
      <c r="M1280" s="97">
        <f>IFERROR(__xludf.DUMMYFUNCTION("""COMPUTED_VALUE"""),50.0)</f>
        <v>50</v>
      </c>
      <c r="N1280" s="97" t="str">
        <f>IFERROR(__xludf.DUMMYFUNCTION("""COMPUTED_VALUE"""),"N/A")</f>
        <v>N/A</v>
      </c>
      <c r="O1280" s="97" t="str">
        <f>IFERROR(__xludf.DUMMYFUNCTION("""COMPUTED_VALUE"""),"N/A")</f>
        <v>N/A</v>
      </c>
      <c r="P1280" s="97" t="str">
        <f>IFERROR(__xludf.DUMMYFUNCTION("""COMPUTED_VALUE"""),"N/A")</f>
        <v>N/A</v>
      </c>
      <c r="Q1280" s="97" t="str">
        <f>IFERROR(__xludf.DUMMYFUNCTION("""COMPUTED_VALUE"""),"N/A")</f>
        <v>N/A</v>
      </c>
      <c r="R1280" s="97" t="str">
        <f>IFERROR(__xludf.DUMMYFUNCTION("""COMPUTED_VALUE"""),"N/A")</f>
        <v>N/A</v>
      </c>
      <c r="S1280" s="97" t="str">
        <f>IFERROR(__xludf.DUMMYFUNCTION("""COMPUTED_VALUE"""),"N/A")</f>
        <v>N/A</v>
      </c>
      <c r="T1280" s="97" t="str">
        <f>IFERROR(__xludf.DUMMYFUNCTION("""COMPUTED_VALUE"""),"N/A")</f>
        <v>N/A</v>
      </c>
      <c r="U1280" s="97" t="str">
        <f>IFERROR(__xludf.DUMMYFUNCTION("""COMPUTED_VALUE"""),"N/A")</f>
        <v>N/A</v>
      </c>
      <c r="V1280" s="97" t="str">
        <f>IFERROR(__xludf.DUMMYFUNCTION("""COMPUTED_VALUE"""),"N/A")</f>
        <v>N/A</v>
      </c>
      <c r="W1280" s="97" t="str">
        <f>IFERROR(__xludf.DUMMYFUNCTION("""COMPUTED_VALUE"""),"N/A")</f>
        <v>N/A</v>
      </c>
      <c r="X1280" s="97" t="str">
        <f>IFERROR(__xludf.DUMMYFUNCTION("""COMPUTED_VALUE"""),"N/A")</f>
        <v>N/A</v>
      </c>
      <c r="Y1280" s="97" t="str">
        <f>IFERROR(__xludf.DUMMYFUNCTION("""COMPUTED_VALUE"""),"N/A")</f>
        <v>N/A</v>
      </c>
      <c r="Z1280" s="97" t="str">
        <f>IFERROR(__xludf.DUMMYFUNCTION("""COMPUTED_VALUE"""),"N/A")</f>
        <v>N/A</v>
      </c>
      <c r="AA1280" s="97" t="str">
        <f>IFERROR(__xludf.DUMMYFUNCTION("""COMPUTED_VALUE"""),"N/A")</f>
        <v>N/A</v>
      </c>
      <c r="AB1280" s="97" t="str">
        <f>IFERROR(__xludf.DUMMYFUNCTION("""COMPUTED_VALUE"""),"N/A")</f>
        <v>N/A</v>
      </c>
      <c r="AC1280" s="97" t="str">
        <f>IFERROR(__xludf.DUMMYFUNCTION("""COMPUTED_VALUE"""),"N/A")</f>
        <v>N/A</v>
      </c>
      <c r="AD1280" s="97" t="str">
        <f>IFERROR(__xludf.DUMMYFUNCTION("""COMPUTED_VALUE"""),"IP20")</f>
        <v>IP20</v>
      </c>
      <c r="AE1280" s="97" t="str">
        <f>IFERROR(__xludf.DUMMYFUNCTION("""COMPUTED_VALUE"""),"Clase l")</f>
        <v>Clase l</v>
      </c>
      <c r="AF1280" s="97" t="str">
        <f>IFERROR(__xludf.DUMMYFUNCTION("""COMPUTED_VALUE"""),"Embutir, Aplicar, Suspender")</f>
        <v>Embutir, Aplicar, Suspender</v>
      </c>
      <c r="AG1280" s="97" t="str">
        <f>IFERROR(__xludf.DUMMYFUNCTION("""COMPUTED_VALUE"""),"32 x 36 x 1000 (Ancho x Alto x Largo)")</f>
        <v>32 x 36 x 1000 (Ancho x Alto x Largo)</v>
      </c>
      <c r="AH1280" s="97" t="str">
        <f>IFERROR(__xludf.DUMMYFUNCTION("""COMPUTED_VALUE"""),"N/A")</f>
        <v>N/A</v>
      </c>
      <c r="AI1280" s="97" t="str">
        <f>IFERROR(__xludf.DUMMYFUNCTION("""COMPUTED_VALUE"""),"N/A")</f>
        <v>N/A</v>
      </c>
      <c r="AJ1280" s="97" t="str">
        <f>IFERROR(__xludf.DUMMYFUNCTION("""COMPUTED_VALUE"""),"N/A")</f>
        <v>N/A</v>
      </c>
      <c r="AK1280" s="97" t="str">
        <f>IFERROR(__xludf.DUMMYFUNCTION("""COMPUTED_VALUE"""),"Aluminio")</f>
        <v>Aluminio</v>
      </c>
      <c r="AL1280" s="97" t="str">
        <f>IFERROR(__xludf.DUMMYFUNCTION("""COMPUTED_VALUE"""),"Negro Mate")</f>
        <v>Negro Mate</v>
      </c>
      <c r="AM1280" s="97" t="str">
        <f>IFERROR(__xludf.DUMMYFUNCTION("""COMPUTED_VALUE"""),"-")</f>
        <v>-</v>
      </c>
      <c r="AN1280" s="97" t="str">
        <f>IFERROR(__xludf.DUMMYFUNCTION("""COMPUTED_VALUE"""),"N/A")</f>
        <v>N/A</v>
      </c>
      <c r="AO1280" s="97" t="str">
        <f>IFERROR(__xludf.DUMMYFUNCTION("""COMPUTED_VALUE"""),"3 Años")</f>
        <v>3 Años</v>
      </c>
      <c r="AP1280" s="97" t="str">
        <f>IFERROR(__xludf.DUMMYFUNCTION("""COMPUTED_VALUE"""),"No Aplica")</f>
        <v>No Aplica</v>
      </c>
      <c r="AQ1280" s="97" t="str">
        <f>IFERROR(__xludf.DUMMYFUNCTION("""COMPUTED_VALUE"""),"No Aplica")</f>
        <v>No Aplica</v>
      </c>
      <c r="AR1280" s="97" t="str">
        <f>IFERROR(__xludf.DUMMYFUNCTION("""COMPUTED_VALUE"""),"No Aplica")</f>
        <v>No Aplica</v>
      </c>
      <c r="AS1280" s="97" t="str">
        <f>IFERROR(__xludf.DUMMYFUNCTION("""COMPUTED_VALUE"""),"Disponible")</f>
        <v>Disponible</v>
      </c>
      <c r="AT1280" s="97" t="str">
        <f>IFERROR(__xludf.DUMMYFUNCTION("""COMPUTED_VALUE"""),"Disponible")</f>
        <v>Disponible</v>
      </c>
      <c r="AU1280" s="97" t="str">
        <f>IFERROR(__xludf.DUMMYFUNCTION("""COMPUTED_VALUE"""),"En revisión")</f>
        <v>En revisión</v>
      </c>
      <c r="AV1280" s="97" t="str">
        <f>IFERROR(__xludf.DUMMYFUNCTION("""COMPUTED_VALUE"""),"Riel")</f>
        <v>Riel</v>
      </c>
      <c r="AW1280" s="97" t="str">
        <f>IFERROR(__xludf.DUMMYFUNCTION("""COMPUTED_VALUE"""),"Rieles")</f>
        <v>Rieles</v>
      </c>
      <c r="AX1280" s="97" t="str">
        <f>IFERROR(__xludf.DUMMYFUNCTION("""COMPUTED_VALUE"""),"Interior")</f>
        <v>Interior</v>
      </c>
      <c r="AY1280" s="97" t="str">
        <f>IFERROR(__xludf.DUMMYFUNCTION("""COMPUTED_VALUE"""),"-")</f>
        <v>-</v>
      </c>
      <c r="AZ1280" s="97" t="str">
        <f>IFERROR(__xludf.DUMMYFUNCTION("""COMPUTED_VALUE"""),"Soporta 10A. No incluye tapas extremas.")</f>
        <v>Soporta 10A. No incluye tapas extremas.</v>
      </c>
      <c r="BA1280" s="97"/>
      <c r="BB1280" s="97" t="str">
        <f>IFERROR(__xludf.DUMMYFUNCTION("""COMPUTED_VALUE"""),"-")</f>
        <v>-</v>
      </c>
      <c r="BC1280" s="97" t="str">
        <f>IFERROR(__xludf.DUMMYFUNCTION("""COMPUTED_VALUE"""),"-")</f>
        <v>-</v>
      </c>
      <c r="BD1280" s="97" t="str">
        <f>IFERROR(__xludf.DUMMYFUNCTION("""COMPUTED_VALUE"""),"RIELES 3EF")</f>
        <v>RIELES 3EF</v>
      </c>
      <c r="BE1280" s="97" t="str">
        <f>IFERROR(__xludf.DUMMYFUNCTION("""COMPUTED_VALUE"""),"Solicitada")</f>
        <v>Solicitada</v>
      </c>
      <c r="BF1280" s="97"/>
      <c r="BG1280" s="97" t="str">
        <f>IFERROR(__xludf.DUMMYFUNCTION("""COMPUTED_VALUE"""),"REPO 6")</f>
        <v>REPO 6</v>
      </c>
    </row>
    <row r="1281">
      <c r="A1281" s="97">
        <f>IFERROR(__xludf.DUMMYFUNCTION("""COMPUTED_VALUE"""),7242.0)</f>
        <v>7242</v>
      </c>
      <c r="B1281" s="97" t="str">
        <f>IFERROR(__xludf.DUMMYFUNCTION("""COMPUTED_VALUE"""),"RIEL 1MT 3EF BL")</f>
        <v>RIEL 1MT 3EF BL</v>
      </c>
      <c r="C1281" s="97" t="str">
        <f>IFERROR(__xludf.DUMMYFUNCTION("""COMPUTED_VALUE"""),"RIEL RIEL 1MT 3EF BL LEUK")</f>
        <v>RIEL RIEL 1MT 3EF BL LEUK</v>
      </c>
      <c r="D1281" s="97">
        <f>IFERROR(__xludf.DUMMYFUNCTION("""COMPUTED_VALUE"""),7.798413227765E12)</f>
        <v>7798413227765</v>
      </c>
      <c r="E1281" s="97"/>
      <c r="F1281" s="97" t="str">
        <f>IFERROR(__xludf.DUMMYFUNCTION("""COMPUTED_VALUE"""),"N/A")</f>
        <v>N/A</v>
      </c>
      <c r="G1281" s="97" t="str">
        <f>IFERROR(__xludf.DUMMYFUNCTION("""COMPUTED_VALUE"""),"N/A")</f>
        <v>N/A</v>
      </c>
      <c r="H1281" s="97" t="str">
        <f>IFERROR(__xludf.DUMMYFUNCTION("""COMPUTED_VALUE"""),"N/A")</f>
        <v>N/A</v>
      </c>
      <c r="I1281" s="97" t="str">
        <f>IFERROR(__xludf.DUMMYFUNCTION("""COMPUTED_VALUE"""),"N/A")</f>
        <v>N/A</v>
      </c>
      <c r="J1281" s="97" t="str">
        <f>IFERROR(__xludf.DUMMYFUNCTION("""COMPUTED_VALUE"""),"N/A")</f>
        <v>N/A</v>
      </c>
      <c r="K1281" s="97" t="str">
        <f>IFERROR(__xludf.DUMMYFUNCTION("""COMPUTED_VALUE"""),"N/A")</f>
        <v>N/A</v>
      </c>
      <c r="L1281" s="97">
        <f>IFERROR(__xludf.DUMMYFUNCTION("""COMPUTED_VALUE"""),220.0)</f>
        <v>220</v>
      </c>
      <c r="M1281" s="97">
        <f>IFERROR(__xludf.DUMMYFUNCTION("""COMPUTED_VALUE"""),50.0)</f>
        <v>50</v>
      </c>
      <c r="N1281" s="97" t="str">
        <f>IFERROR(__xludf.DUMMYFUNCTION("""COMPUTED_VALUE"""),"N/A")</f>
        <v>N/A</v>
      </c>
      <c r="O1281" s="97" t="str">
        <f>IFERROR(__xludf.DUMMYFUNCTION("""COMPUTED_VALUE"""),"N/A")</f>
        <v>N/A</v>
      </c>
      <c r="P1281" s="97" t="str">
        <f>IFERROR(__xludf.DUMMYFUNCTION("""COMPUTED_VALUE"""),"N/A")</f>
        <v>N/A</v>
      </c>
      <c r="Q1281" s="97" t="str">
        <f>IFERROR(__xludf.DUMMYFUNCTION("""COMPUTED_VALUE"""),"N/A")</f>
        <v>N/A</v>
      </c>
      <c r="R1281" s="97" t="str">
        <f>IFERROR(__xludf.DUMMYFUNCTION("""COMPUTED_VALUE"""),"N/A")</f>
        <v>N/A</v>
      </c>
      <c r="S1281" s="97" t="str">
        <f>IFERROR(__xludf.DUMMYFUNCTION("""COMPUTED_VALUE"""),"N/A")</f>
        <v>N/A</v>
      </c>
      <c r="T1281" s="97" t="str">
        <f>IFERROR(__xludf.DUMMYFUNCTION("""COMPUTED_VALUE"""),"N/A")</f>
        <v>N/A</v>
      </c>
      <c r="U1281" s="97" t="str">
        <f>IFERROR(__xludf.DUMMYFUNCTION("""COMPUTED_VALUE"""),"N/A")</f>
        <v>N/A</v>
      </c>
      <c r="V1281" s="97" t="str">
        <f>IFERROR(__xludf.DUMMYFUNCTION("""COMPUTED_VALUE"""),"N/A")</f>
        <v>N/A</v>
      </c>
      <c r="W1281" s="97" t="str">
        <f>IFERROR(__xludf.DUMMYFUNCTION("""COMPUTED_VALUE"""),"N/A")</f>
        <v>N/A</v>
      </c>
      <c r="X1281" s="97" t="str">
        <f>IFERROR(__xludf.DUMMYFUNCTION("""COMPUTED_VALUE"""),"N/A")</f>
        <v>N/A</v>
      </c>
      <c r="Y1281" s="97" t="str">
        <f>IFERROR(__xludf.DUMMYFUNCTION("""COMPUTED_VALUE"""),"N/A")</f>
        <v>N/A</v>
      </c>
      <c r="Z1281" s="97" t="str">
        <f>IFERROR(__xludf.DUMMYFUNCTION("""COMPUTED_VALUE"""),"N/A")</f>
        <v>N/A</v>
      </c>
      <c r="AA1281" s="97" t="str">
        <f>IFERROR(__xludf.DUMMYFUNCTION("""COMPUTED_VALUE"""),"N/A")</f>
        <v>N/A</v>
      </c>
      <c r="AB1281" s="97" t="str">
        <f>IFERROR(__xludf.DUMMYFUNCTION("""COMPUTED_VALUE"""),"N/A")</f>
        <v>N/A</v>
      </c>
      <c r="AC1281" s="97" t="str">
        <f>IFERROR(__xludf.DUMMYFUNCTION("""COMPUTED_VALUE"""),"N/A")</f>
        <v>N/A</v>
      </c>
      <c r="AD1281" s="97" t="str">
        <f>IFERROR(__xludf.DUMMYFUNCTION("""COMPUTED_VALUE"""),"IP20")</f>
        <v>IP20</v>
      </c>
      <c r="AE1281" s="97" t="str">
        <f>IFERROR(__xludf.DUMMYFUNCTION("""COMPUTED_VALUE"""),"Clase l")</f>
        <v>Clase l</v>
      </c>
      <c r="AF1281" s="97" t="str">
        <f>IFERROR(__xludf.DUMMYFUNCTION("""COMPUTED_VALUE"""),"Embutir, Aplicar, Suspender")</f>
        <v>Embutir, Aplicar, Suspender</v>
      </c>
      <c r="AG1281" s="97" t="str">
        <f>IFERROR(__xludf.DUMMYFUNCTION("""COMPUTED_VALUE"""),"32 x 36 x 1000 (Ancho x Alto x Largo)")</f>
        <v>32 x 36 x 1000 (Ancho x Alto x Largo)</v>
      </c>
      <c r="AH1281" s="97" t="str">
        <f>IFERROR(__xludf.DUMMYFUNCTION("""COMPUTED_VALUE"""),"N/A")</f>
        <v>N/A</v>
      </c>
      <c r="AI1281" s="97" t="str">
        <f>IFERROR(__xludf.DUMMYFUNCTION("""COMPUTED_VALUE"""),"N/A")</f>
        <v>N/A</v>
      </c>
      <c r="AJ1281" s="97" t="str">
        <f>IFERROR(__xludf.DUMMYFUNCTION("""COMPUTED_VALUE"""),"N/A")</f>
        <v>N/A</v>
      </c>
      <c r="AK1281" s="97" t="str">
        <f>IFERROR(__xludf.DUMMYFUNCTION("""COMPUTED_VALUE"""),"Aluminio")</f>
        <v>Aluminio</v>
      </c>
      <c r="AL1281" s="97" t="str">
        <f>IFERROR(__xludf.DUMMYFUNCTION("""COMPUTED_VALUE"""),"Blanco Mate")</f>
        <v>Blanco Mate</v>
      </c>
      <c r="AM1281" s="97" t="str">
        <f>IFERROR(__xludf.DUMMYFUNCTION("""COMPUTED_VALUE"""),"-")</f>
        <v>-</v>
      </c>
      <c r="AN1281" s="97" t="str">
        <f>IFERROR(__xludf.DUMMYFUNCTION("""COMPUTED_VALUE"""),"N/A")</f>
        <v>N/A</v>
      </c>
      <c r="AO1281" s="97" t="str">
        <f>IFERROR(__xludf.DUMMYFUNCTION("""COMPUTED_VALUE"""),"3 Años")</f>
        <v>3 Años</v>
      </c>
      <c r="AP1281" s="97" t="str">
        <f>IFERROR(__xludf.DUMMYFUNCTION("""COMPUTED_VALUE"""),"No Aplica")</f>
        <v>No Aplica</v>
      </c>
      <c r="AQ1281" s="97" t="str">
        <f>IFERROR(__xludf.DUMMYFUNCTION("""COMPUTED_VALUE"""),"No Aplica")</f>
        <v>No Aplica</v>
      </c>
      <c r="AR1281" s="97" t="str">
        <f>IFERROR(__xludf.DUMMYFUNCTION("""COMPUTED_VALUE"""),"No Aplica")</f>
        <v>No Aplica</v>
      </c>
      <c r="AS1281" s="97" t="str">
        <f>IFERROR(__xludf.DUMMYFUNCTION("""COMPUTED_VALUE"""),"Disponible")</f>
        <v>Disponible</v>
      </c>
      <c r="AT1281" s="97" t="str">
        <f>IFERROR(__xludf.DUMMYFUNCTION("""COMPUTED_VALUE"""),"Disponible")</f>
        <v>Disponible</v>
      </c>
      <c r="AU1281" s="97" t="str">
        <f>IFERROR(__xludf.DUMMYFUNCTION("""COMPUTED_VALUE"""),"En revisión")</f>
        <v>En revisión</v>
      </c>
      <c r="AV1281" s="97" t="str">
        <f>IFERROR(__xludf.DUMMYFUNCTION("""COMPUTED_VALUE"""),"Riel")</f>
        <v>Riel</v>
      </c>
      <c r="AW1281" s="97" t="str">
        <f>IFERROR(__xludf.DUMMYFUNCTION("""COMPUTED_VALUE"""),"Rieles")</f>
        <v>Rieles</v>
      </c>
      <c r="AX1281" s="97" t="str">
        <f>IFERROR(__xludf.DUMMYFUNCTION("""COMPUTED_VALUE"""),"Interior")</f>
        <v>Interior</v>
      </c>
      <c r="AY1281" s="97" t="str">
        <f>IFERROR(__xludf.DUMMYFUNCTION("""COMPUTED_VALUE"""),"-")</f>
        <v>-</v>
      </c>
      <c r="AZ1281" s="97" t="str">
        <f>IFERROR(__xludf.DUMMYFUNCTION("""COMPUTED_VALUE"""),"Soporta 10A. No incluye tapas extremas.")</f>
        <v>Soporta 10A. No incluye tapas extremas.</v>
      </c>
      <c r="BA1281" s="97"/>
      <c r="BB1281" s="97" t="str">
        <f>IFERROR(__xludf.DUMMYFUNCTION("""COMPUTED_VALUE"""),"-")</f>
        <v>-</v>
      </c>
      <c r="BC1281" s="97" t="str">
        <f>IFERROR(__xludf.DUMMYFUNCTION("""COMPUTED_VALUE"""),"-")</f>
        <v>-</v>
      </c>
      <c r="BD1281" s="97" t="str">
        <f>IFERROR(__xludf.DUMMYFUNCTION("""COMPUTED_VALUE"""),"RIELES 3EF")</f>
        <v>RIELES 3EF</v>
      </c>
      <c r="BE1281" s="97" t="str">
        <f>IFERROR(__xludf.DUMMYFUNCTION("""COMPUTED_VALUE"""),"Solicitada")</f>
        <v>Solicitada</v>
      </c>
      <c r="BF1281" s="97"/>
      <c r="BG1281" s="97" t="str">
        <f>IFERROR(__xludf.DUMMYFUNCTION("""COMPUTED_VALUE"""),"REPO 6")</f>
        <v>REPO 6</v>
      </c>
    </row>
    <row r="1282">
      <c r="A1282" s="97">
        <f>IFERROR(__xludf.DUMMYFUNCTION("""COMPUTED_VALUE"""),7246.0)</f>
        <v>7246</v>
      </c>
      <c r="B1282" s="97" t="str">
        <f>IFERROR(__xludf.DUMMYFUNCTION("""COMPUTED_VALUE"""),"CATEN 30 DR")</f>
        <v>CATEN 30 DR</v>
      </c>
      <c r="C1282" s="97" t="str">
        <f>IFERROR(__xludf.DUMMYFUNCTION("""COMPUTED_VALUE"""),"APLIQUE CATEN 30 DR 10W 3000K 870LM CRI&gt;90 IP20 LEUK")</f>
        <v>APLIQUE CATEN 30 DR 10W 3000K 870LM CRI&gt;90 IP20 LEUK</v>
      </c>
      <c r="D1282" s="97">
        <f>IFERROR(__xludf.DUMMYFUNCTION("""COMPUTED_VALUE"""),7.798413227772E12)</f>
        <v>7798413227772</v>
      </c>
      <c r="E1282" s="97"/>
      <c r="F1282" s="97" t="str">
        <f>IFERROR(__xludf.DUMMYFUNCTION("""COMPUTED_VALUE"""),"LED SMD2835")</f>
        <v>LED SMD2835</v>
      </c>
      <c r="G1282" s="97" t="str">
        <f>IFERROR(__xludf.DUMMYFUNCTION("""COMPUTED_VALUE"""),"-")</f>
        <v>-</v>
      </c>
      <c r="H1282" s="97" t="str">
        <f>IFERROR(__xludf.DUMMYFUNCTION("""COMPUTED_VALUE"""),"Eaglerise")</f>
        <v>Eaglerise</v>
      </c>
      <c r="I1282" s="97"/>
      <c r="J1282" s="97" t="str">
        <f>IFERROR(__xludf.DUMMYFUNCTION("""COMPUTED_VALUE"""),"Modelo: LS-12-250 SI1 E
In: 220-240Vac 0.15A 50/60Hz
Out: 30-40Vdc 250mA - 10W
Pf 0.6 Ta 45°C Tc 80°C")</f>
        <v>Modelo: LS-12-250 SI1 E
In: 220-240Vac 0.15A 50/60Hz
Out: 30-40Vdc 250mA - 10W
Pf 0.6 Ta 45°C Tc 80°C</v>
      </c>
      <c r="K1282" s="97" t="str">
        <f>IFERROR(__xludf.DUMMYFUNCTION("""COMPUTED_VALUE"""),"ON/OFF")</f>
        <v>ON/OFF</v>
      </c>
      <c r="L1282" s="97" t="str">
        <f>IFERROR(__xludf.DUMMYFUNCTION("""COMPUTED_VALUE"""),"200-240")</f>
        <v>200-240</v>
      </c>
      <c r="M1282" s="97" t="str">
        <f>IFERROR(__xludf.DUMMYFUNCTION("""COMPUTED_VALUE"""),"50/60")</f>
        <v>50/60</v>
      </c>
      <c r="N1282" s="97"/>
      <c r="O1282" s="97">
        <f>IFERROR(__xludf.DUMMYFUNCTION("""COMPUTED_VALUE"""),10.0)</f>
        <v>10</v>
      </c>
      <c r="P1282" s="97"/>
      <c r="Q1282" s="97">
        <f>IFERROR(__xludf.DUMMYFUNCTION("""COMPUTED_VALUE"""),0.6)</f>
        <v>0.6</v>
      </c>
      <c r="R1282" s="97" t="str">
        <f>IFERROR(__xludf.DUMMYFUNCTION("""COMPUTED_VALUE"""),"-")</f>
        <v>-</v>
      </c>
      <c r="S1282" s="97" t="str">
        <f>IFERROR(__xludf.DUMMYFUNCTION("""COMPUTED_VALUE"""),"-")</f>
        <v>-</v>
      </c>
      <c r="T1282" s="97">
        <f>IFERROR(__xludf.DUMMYFUNCTION("""COMPUTED_VALUE"""),870.0)</f>
        <v>870</v>
      </c>
      <c r="U1282" s="97">
        <f>IFERROR(__xludf.DUMMYFUNCTION("""COMPUTED_VALUE"""),87.0)</f>
        <v>87</v>
      </c>
      <c r="V1282" s="97">
        <f>IFERROR(__xludf.DUMMYFUNCTION("""COMPUTED_VALUE"""),145.0)</f>
        <v>145</v>
      </c>
      <c r="W1282" s="97" t="str">
        <f>IFERROR(__xludf.DUMMYFUNCTION("""COMPUTED_VALUE"""),"&lt; 20")</f>
        <v>&lt; 20</v>
      </c>
      <c r="X1282" s="97">
        <f>IFERROR(__xludf.DUMMYFUNCTION("""COMPUTED_VALUE"""),3000.0)</f>
        <v>3000</v>
      </c>
      <c r="Y1282" s="97" t="str">
        <f>IFERROR(__xludf.DUMMYFUNCTION("""COMPUTED_VALUE"""),"&gt;90")</f>
        <v>&gt;90</v>
      </c>
      <c r="Z1282" s="97"/>
      <c r="AA1282" s="97"/>
      <c r="AB1282" s="97" t="str">
        <f>IFERROR(__xludf.DUMMYFUNCTION("""COMPUTED_VALUE"""),"&lt; 2")</f>
        <v>&lt; 2</v>
      </c>
      <c r="AC1282" s="97"/>
      <c r="AD1282" s="97" t="str">
        <f>IFERROR(__xludf.DUMMYFUNCTION("""COMPUTED_VALUE"""),"IP20")</f>
        <v>IP20</v>
      </c>
      <c r="AE1282" s="97" t="str">
        <f>IFERROR(__xludf.DUMMYFUNCTION("""COMPUTED_VALUE"""),"Clase l")</f>
        <v>Clase l</v>
      </c>
      <c r="AF1282" s="97" t="str">
        <f>IFERROR(__xludf.DUMMYFUNCTION("""COMPUTED_VALUE"""),"Aplicar")</f>
        <v>Aplicar</v>
      </c>
      <c r="AG1282" s="97" t="str">
        <f>IFERROR(__xludf.DUMMYFUNCTION("""COMPUTED_VALUE"""),"165 x 115 x 310")</f>
        <v>165 x 115 x 310</v>
      </c>
      <c r="AH1282" s="97" t="str">
        <f>IFERROR(__xludf.DUMMYFUNCTION("""COMPUTED_VALUE"""),"N/A")</f>
        <v>N/A</v>
      </c>
      <c r="AI1282" s="97" t="str">
        <f>IFERROR(__xludf.DUMMYFUNCTION("""COMPUTED_VALUE"""),"N/A")</f>
        <v>N/A</v>
      </c>
      <c r="AJ1282" s="97" t="str">
        <f>IFERROR(__xludf.DUMMYFUNCTION("""COMPUTED_VALUE"""),"Vidrio y Policarbonato (PC)")</f>
        <v>Vidrio y Policarbonato (PC)</v>
      </c>
      <c r="AK1282" s="97" t="str">
        <f>IFERROR(__xludf.DUMMYFUNCTION("""COMPUTED_VALUE"""),"Acero Inox y Aluminio")</f>
        <v>Acero Inox y Aluminio</v>
      </c>
      <c r="AL1282" s="97" t="str">
        <f>IFERROR(__xludf.DUMMYFUNCTION("""COMPUTED_VALUE"""),"Dorado")</f>
        <v>Dorado</v>
      </c>
      <c r="AM1282" s="97" t="str">
        <f>IFERROR(__xludf.DUMMYFUNCTION("""COMPUTED_VALUE"""),"-")</f>
        <v>-</v>
      </c>
      <c r="AN1282" s="97" t="str">
        <f>IFERROR(__xludf.DUMMYFUNCTION("""COMPUTED_VALUE"""),"25.000hs (L70)")</f>
        <v>25.000hs (L70)</v>
      </c>
      <c r="AO1282" s="97" t="str">
        <f>IFERROR(__xludf.DUMMYFUNCTION("""COMPUTED_VALUE"""),"2 Años")</f>
        <v>2 Años</v>
      </c>
      <c r="AP1282" s="97" t="str">
        <f>IFERROR(__xludf.DUMMYFUNCTION("""COMPUTED_VALUE"""),"Disponible")</f>
        <v>Disponible</v>
      </c>
      <c r="AQ1282" s="97" t="str">
        <f>IFERROR(__xludf.DUMMYFUNCTION("""COMPUTED_VALUE"""),"Disponible")</f>
        <v>Disponible</v>
      </c>
      <c r="AR1282" s="97" t="str">
        <f>IFERROR(__xludf.DUMMYFUNCTION("""COMPUTED_VALUE"""),"Disponible")</f>
        <v>Disponible</v>
      </c>
      <c r="AS1282" s="97" t="str">
        <f>IFERROR(__xludf.DUMMYFUNCTION("""COMPUTED_VALUE"""),"Disponible")</f>
        <v>Disponible</v>
      </c>
      <c r="AT1282" s="97" t="str">
        <f>IFERROR(__xludf.DUMMYFUNCTION("""COMPUTED_VALUE"""),"Disponible")</f>
        <v>Disponible</v>
      </c>
      <c r="AU1282" s="97" t="str">
        <f>IFERROR(__xludf.DUMMYFUNCTION("""COMPUTED_VALUE"""),"Disponible")</f>
        <v>Disponible</v>
      </c>
      <c r="AV1282" s="97" t="str">
        <f>IFERROR(__xludf.DUMMYFUNCTION("""COMPUTED_VALUE"""),"Aplique")</f>
        <v>Aplique</v>
      </c>
      <c r="AW1282" s="97" t="str">
        <f>IFERROR(__xludf.DUMMYFUNCTION("""COMPUTED_VALUE"""),"De Pared")</f>
        <v>De Pared</v>
      </c>
      <c r="AX1282" s="97" t="str">
        <f>IFERROR(__xludf.DUMMYFUNCTION("""COMPUTED_VALUE"""),"Interior")</f>
        <v>Interior</v>
      </c>
      <c r="AY1282" s="97" t="str">
        <f>IFERROR(__xludf.DUMMYFUNCTION("""COMPUTED_VALUE"""),"-")</f>
        <v>-</v>
      </c>
      <c r="AZ1282" s="97"/>
      <c r="BA1282" s="97">
        <f>IFERROR(__xludf.DUMMYFUNCTION("""COMPUTED_VALUE"""),20.0)</f>
        <v>20</v>
      </c>
      <c r="BB1282" s="97">
        <f>IFERROR(__xludf.DUMMYFUNCTION("""COMPUTED_VALUE"""),3.0)</f>
        <v>3</v>
      </c>
      <c r="BC1282" s="97" t="str">
        <f>IFERROR(__xludf.DUMMYFUNCTION("""COMPUTED_VALUE"""),"-")</f>
        <v>-</v>
      </c>
      <c r="BD1282" s="97" t="str">
        <f>IFERROR(__xludf.DUMMYFUNCTION("""COMPUTED_VALUE"""),"CATEN")</f>
        <v>CATEN</v>
      </c>
      <c r="BE1282" s="97" t="str">
        <f>IFERROR(__xludf.DUMMYFUNCTION("""COMPUTED_VALUE"""),"Falta TR")</f>
        <v>Falta TR</v>
      </c>
      <c r="BF1282" s="97">
        <f>IFERROR(__xludf.DUMMYFUNCTION("""COMPUTED_VALUE"""),7443.0)</f>
        <v>7443</v>
      </c>
      <c r="BG1282" s="97" t="str">
        <f>IFERROR(__xludf.DUMMYFUNCTION("""COMPUTED_VALUE"""),"En Salida")</f>
        <v>En Salida</v>
      </c>
    </row>
    <row r="1283">
      <c r="A1283" s="97">
        <f>IFERROR(__xludf.DUMMYFUNCTION("""COMPUTED_VALUE"""),7247.0)</f>
        <v>7247</v>
      </c>
      <c r="B1283" s="97" t="str">
        <f>IFERROR(__xludf.DUMMYFUNCTION("""COMPUTED_VALUE"""),"MIRACLE  II S BL 3000K")</f>
        <v>MIRACLE  II S BL 3000K</v>
      </c>
      <c r="C1283" s="97" t="str">
        <f>IFERROR(__xludf.DUMMYFUNCTION("""COMPUTED_VALUE"""),"MDD MIRACLE  II S BL 3000K 40W 3000K 1900 + 875LM CRI&gt;90 IP20 LEUK")</f>
        <v>MDD MIRACLE  II S BL 3000K 40W 3000K 1900 + 875LM CRI&gt;90 IP20 LEUK</v>
      </c>
      <c r="D1283" s="97">
        <f>IFERROR(__xludf.DUMMYFUNCTION("""COMPUTED_VALUE"""),7.798413227789E12)</f>
        <v>7798413227789</v>
      </c>
      <c r="E1283" s="97" t="str">
        <f>IFERROR(__xludf.DUMMYFUNCTION("""COMPUTED_VALUE"""),"i26")</f>
        <v>i26</v>
      </c>
      <c r="F1283" s="97" t="str">
        <f>IFERROR(__xludf.DUMMYFUNCTION("""COMPUTED_VALUE"""),"LED SMD3030")</f>
        <v>LED SMD3030</v>
      </c>
      <c r="G1283" s="97" t="str">
        <f>IFERROR(__xludf.DUMMYFUNCTION("""COMPUTED_VALUE"""),"Bridgelux")</f>
        <v>Bridgelux</v>
      </c>
      <c r="H1283" s="97" t="str">
        <f>IFERROR(__xludf.DUMMYFUNCTION("""COMPUTED_VALUE"""),"Lifud")</f>
        <v>Lifud</v>
      </c>
      <c r="I1283" s="97"/>
      <c r="J1283" s="97" t="str">
        <f>IFERROR(__xludf.DUMMYFUNCTION("""COMPUTED_VALUE"""),"Modelo: LF-GMR040YS III 1000H
In: 220-240Vac 0.24A 50/60Hz
Out: 20-40Vdc 1000mA - 40W
Pf 0.95 Tc 85°C Ta 60°C")</f>
        <v>Modelo: LF-GMR040YS III 1000H
In: 220-240Vac 0.24A 50/60Hz
Out: 20-40Vdc 1000mA - 40W
Pf 0.95 Tc 85°C Ta 60°C</v>
      </c>
      <c r="K1283" s="97" t="str">
        <f>IFERROR(__xludf.DUMMYFUNCTION("""COMPUTED_VALUE"""),"ON/OFF")</f>
        <v>ON/OFF</v>
      </c>
      <c r="L1283" s="97" t="str">
        <f>IFERROR(__xludf.DUMMYFUNCTION("""COMPUTED_VALUE"""),"200-240")</f>
        <v>200-240</v>
      </c>
      <c r="M1283" s="97" t="str">
        <f>IFERROR(__xludf.DUMMYFUNCTION("""COMPUTED_VALUE"""),"50/60")</f>
        <v>50/60</v>
      </c>
      <c r="N1283" s="97" t="str">
        <f>IFERROR(__xludf.DUMMYFUNCTION("""COMPUTED_VALUE"""),"Directa-Indirecta")</f>
        <v>Directa-Indirecta</v>
      </c>
      <c r="O1283" s="97">
        <f>IFERROR(__xludf.DUMMYFUNCTION("""COMPUTED_VALUE"""),40.0)</f>
        <v>40</v>
      </c>
      <c r="P1283" s="97"/>
      <c r="Q1283" s="97">
        <f>IFERROR(__xludf.DUMMYFUNCTION("""COMPUTED_VALUE"""),0.95)</f>
        <v>0.95</v>
      </c>
      <c r="R1283" s="97" t="str">
        <f>IFERROR(__xludf.DUMMYFUNCTION("""COMPUTED_VALUE"""),"-")</f>
        <v>-</v>
      </c>
      <c r="S1283" s="97" t="str">
        <f>IFERROR(__xludf.DUMMYFUNCTION("""COMPUTED_VALUE"""),"-")</f>
        <v>-</v>
      </c>
      <c r="T1283" s="97" t="str">
        <f>IFERROR(__xludf.DUMMYFUNCTION("""COMPUTED_VALUE"""),"1900 + 875")</f>
        <v>1900 + 875</v>
      </c>
      <c r="U1283" s="99">
        <f>IFERROR(__xludf.DUMMYFUNCTION("""COMPUTED_VALUE"""),69.375)</f>
        <v>69.375</v>
      </c>
      <c r="V1283" s="97" t="str">
        <f>IFERROR(__xludf.DUMMYFUNCTION("""COMPUTED_VALUE"""),"36 + 114")</f>
        <v>36 + 114</v>
      </c>
      <c r="W1283" s="97" t="str">
        <f>IFERROR(__xludf.DUMMYFUNCTION("""COMPUTED_VALUE"""),"&lt; 14")</f>
        <v>&lt; 14</v>
      </c>
      <c r="X1283" s="97">
        <f>IFERROR(__xludf.DUMMYFUNCTION("""COMPUTED_VALUE"""),3000.0)</f>
        <v>3000</v>
      </c>
      <c r="Y1283" s="97" t="str">
        <f>IFERROR(__xludf.DUMMYFUNCTION("""COMPUTED_VALUE"""),"&gt;90")</f>
        <v>&gt;90</v>
      </c>
      <c r="Z1283" s="97" t="str">
        <f>IFERROR(__xludf.DUMMYFUNCTION("""COMPUTED_VALUE"""),"-")</f>
        <v>-</v>
      </c>
      <c r="AA1283" s="97" t="str">
        <f>IFERROR(__xludf.DUMMYFUNCTION("""COMPUTED_VALUE"""),"-")</f>
        <v>-</v>
      </c>
      <c r="AB1283" s="97" t="str">
        <f>IFERROR(__xludf.DUMMYFUNCTION("""COMPUTED_VALUE"""),"-")</f>
        <v>-</v>
      </c>
      <c r="AC1283" s="97"/>
      <c r="AD1283" s="97" t="str">
        <f>IFERROR(__xludf.DUMMYFUNCTION("""COMPUTED_VALUE"""),"IP20")</f>
        <v>IP20</v>
      </c>
      <c r="AE1283" s="97" t="str">
        <f>IFERROR(__xludf.DUMMYFUNCTION("""COMPUTED_VALUE"""),"Clase l")</f>
        <v>Clase l</v>
      </c>
      <c r="AF1283" s="97" t="str">
        <f>IFERROR(__xludf.DUMMYFUNCTION("""COMPUTED_VALUE"""),"Suspender")</f>
        <v>Suspender</v>
      </c>
      <c r="AG1283" s="97" t="str">
        <f>IFERROR(__xludf.DUMMYFUNCTION("""COMPUTED_VALUE"""),"1200 x 70 x 16")</f>
        <v>1200 x 70 x 16</v>
      </c>
      <c r="AH1283" s="97" t="str">
        <f>IFERROR(__xludf.DUMMYFUNCTION("""COMPUTED_VALUE"""),"N/A")</f>
        <v>N/A</v>
      </c>
      <c r="AI1283" s="97" t="str">
        <f>IFERROR(__xludf.DUMMYFUNCTION("""COMPUTED_VALUE"""),"N/A")</f>
        <v>N/A</v>
      </c>
      <c r="AJ1283" s="97" t="str">
        <f>IFERROR(__xludf.DUMMYFUNCTION("""COMPUTED_VALUE"""),"PMMA")</f>
        <v>PMMA</v>
      </c>
      <c r="AK1283" s="97" t="str">
        <f>IFERROR(__xludf.DUMMYFUNCTION("""COMPUTED_VALUE"""),"Aluminio")</f>
        <v>Aluminio</v>
      </c>
      <c r="AL1283" s="97" t="str">
        <f>IFERROR(__xludf.DUMMYFUNCTION("""COMPUTED_VALUE"""),"Blanco Mate")</f>
        <v>Blanco Mate</v>
      </c>
      <c r="AM1283" s="97" t="str">
        <f>IFERROR(__xludf.DUMMYFUNCTION("""COMPUTED_VALUE"""),"-")</f>
        <v>-</v>
      </c>
      <c r="AN1283" s="97" t="str">
        <f>IFERROR(__xludf.DUMMYFUNCTION("""COMPUTED_VALUE"""),"50.000hs (L80)")</f>
        <v>50.000hs (L80)</v>
      </c>
      <c r="AO1283" s="97" t="str">
        <f>IFERROR(__xludf.DUMMYFUNCTION("""COMPUTED_VALUE"""),"5 Años")</f>
        <v>5 Años</v>
      </c>
      <c r="AP1283" s="97" t="str">
        <f>IFERROR(__xludf.DUMMYFUNCTION("""COMPUTED_VALUE"""),"Disponible")</f>
        <v>Disponible</v>
      </c>
      <c r="AQ1283" s="97" t="str">
        <f>IFERROR(__xludf.DUMMYFUNCTION("""COMPUTED_VALUE"""),"Disponible")</f>
        <v>Disponible</v>
      </c>
      <c r="AR1283" s="97" t="str">
        <f>IFERROR(__xludf.DUMMYFUNCTION("""COMPUTED_VALUE"""),"Disponible")</f>
        <v>Disponible</v>
      </c>
      <c r="AS1283" s="97" t="str">
        <f>IFERROR(__xludf.DUMMYFUNCTION("""COMPUTED_VALUE"""),"Falta")</f>
        <v>Falta</v>
      </c>
      <c r="AT1283" s="97" t="str">
        <f>IFERROR(__xludf.DUMMYFUNCTION("""COMPUTED_VALUE"""),"Falta")</f>
        <v>Falta</v>
      </c>
      <c r="AU1283" s="97" t="str">
        <f>IFERROR(__xludf.DUMMYFUNCTION("""COMPUTED_VALUE"""),"Falta")</f>
        <v>Falta</v>
      </c>
      <c r="AV1283" s="97" t="str">
        <f>IFERROR(__xludf.DUMMYFUNCTION("""COMPUTED_VALUE"""),"MDD")</f>
        <v>MDD</v>
      </c>
      <c r="AW1283" s="97" t="str">
        <f>IFERROR(__xludf.DUMMYFUNCTION("""COMPUTED_VALUE"""),"MDD")</f>
        <v>MDD</v>
      </c>
      <c r="AX1283" s="97" t="str">
        <f>IFERROR(__xludf.DUMMYFUNCTION("""COMPUTED_VALUE"""),"MDD")</f>
        <v>MDD</v>
      </c>
      <c r="AY1283" s="97" t="str">
        <f>IFERROR(__xludf.DUMMYFUNCTION("""COMPUTED_VALUE"""),"Confort Visual")</f>
        <v>Confort Visual</v>
      </c>
      <c r="AZ1283" s="97" t="str">
        <f>IFERROR(__xludf.DUMMYFUNCTION("""COMPUTED_VALUE"""),"2mts cable. Florón 325x48x28(h)mm.")</f>
        <v>2mts cable. Florón 325x48x28(h)mm.</v>
      </c>
      <c r="BA1283" s="97">
        <f>IFERROR(__xludf.DUMMYFUNCTION("""COMPUTED_VALUE"""),10.0)</f>
        <v>10</v>
      </c>
      <c r="BB1283" s="97" t="str">
        <f>IFERROR(__xludf.DUMMYFUNCTION("""COMPUTED_VALUE"""),"-")</f>
        <v>-</v>
      </c>
      <c r="BC1283" s="97" t="str">
        <f>IFERROR(__xludf.DUMMYFUNCTION("""COMPUTED_VALUE"""),"-")</f>
        <v>-</v>
      </c>
      <c r="BD1283" s="97"/>
      <c r="BE1283" s="97" t="str">
        <f>IFERROR(__xludf.DUMMYFUNCTION("""COMPUTED_VALUE"""),"Sin Ficha")</f>
        <v>Sin Ficha</v>
      </c>
      <c r="BF1283" s="97"/>
      <c r="BG1283" s="97" t="str">
        <f>IFERROR(__xludf.DUMMYFUNCTION("""COMPUTED_VALUE"""),"Discontinuo")</f>
        <v>Discontinuo</v>
      </c>
    </row>
    <row r="1284">
      <c r="A1284" s="97">
        <f>IFERROR(__xludf.DUMMYFUNCTION("""COMPUTED_VALUE"""),7248.0)</f>
        <v>7248</v>
      </c>
      <c r="B1284" s="97" t="str">
        <f>IFERROR(__xludf.DUMMYFUNCTION("""COMPUTED_VALUE"""),"PRISMA GR 12W IP44")</f>
        <v>PRISMA GR 12W IP44</v>
      </c>
      <c r="C1284" s="97" t="str">
        <f>IFERROR(__xludf.DUMMYFUNCTION("""COMPUTED_VALUE"""),"APLIQUE PRISMA GR 12W IP44 12W 3000/4000/6000K 800LM CRI&gt;90 IP44 LEUK")</f>
        <v>APLIQUE PRISMA GR 12W IP44 12W 3000/4000/6000K 800LM CRI&gt;90 IP44 LEUK</v>
      </c>
      <c r="D1284" s="97">
        <f>IFERROR(__xludf.DUMMYFUNCTION("""COMPUTED_VALUE"""),7.798413227796E12)</f>
        <v>7798413227796</v>
      </c>
      <c r="E1284" s="97"/>
      <c r="F1284" s="97" t="str">
        <f>IFERROR(__xludf.DUMMYFUNCTION("""COMPUTED_VALUE"""),"LED integrado")</f>
        <v>LED integrado</v>
      </c>
      <c r="G1284" s="97" t="str">
        <f>IFERROR(__xludf.DUMMYFUNCTION("""COMPUTED_VALUE"""),"OSRAM")</f>
        <v>OSRAM</v>
      </c>
      <c r="H1284" s="97" t="str">
        <f>IFERROR(__xludf.DUMMYFUNCTION("""COMPUTED_VALUE"""),"-")</f>
        <v>-</v>
      </c>
      <c r="I1284" s="97"/>
      <c r="J1284" s="97" t="str">
        <f>IFERROR(__xludf.DUMMYFUNCTION("""COMPUTED_VALUE"""),"Modelo: LED 8-12*1W
In: 100-265Vac 0.2A 50/60Hz
Out: 24-42V 300mA
Ta 50ºC Tc 70ºC IP65")</f>
        <v>Modelo: LED 8-12*1W
In: 100-265Vac 0.2A 50/60Hz
Out: 24-42V 300mA
Ta 50ºC Tc 70ºC IP65</v>
      </c>
      <c r="K1284" s="97" t="str">
        <f>IFERROR(__xludf.DUMMYFUNCTION("""COMPUTED_VALUE"""),"ON/OFF")</f>
        <v>ON/OFF</v>
      </c>
      <c r="L1284" s="97" t="str">
        <f>IFERROR(__xludf.DUMMYFUNCTION("""COMPUTED_VALUE"""),"200-240")</f>
        <v>200-240</v>
      </c>
      <c r="M1284" s="97" t="str">
        <f>IFERROR(__xludf.DUMMYFUNCTION("""COMPUTED_VALUE"""),"50/60")</f>
        <v>50/60</v>
      </c>
      <c r="N1284" s="97" t="str">
        <f>IFERROR(__xludf.DUMMYFUNCTION("""COMPUTED_VALUE"""),"Directa")</f>
        <v>Directa</v>
      </c>
      <c r="O1284" s="97">
        <f>IFERROR(__xludf.DUMMYFUNCTION("""COMPUTED_VALUE"""),12.0)</f>
        <v>12</v>
      </c>
      <c r="P1284" s="97"/>
      <c r="Q1284" s="97">
        <f>IFERROR(__xludf.DUMMYFUNCTION("""COMPUTED_VALUE"""),0.5)</f>
        <v>0.5</v>
      </c>
      <c r="R1284" s="97" t="str">
        <f>IFERROR(__xludf.DUMMYFUNCTION("""COMPUTED_VALUE"""),"-")</f>
        <v>-</v>
      </c>
      <c r="S1284" s="97" t="str">
        <f>IFERROR(__xludf.DUMMYFUNCTION("""COMPUTED_VALUE"""),"-")</f>
        <v>-</v>
      </c>
      <c r="T1284" s="97">
        <f>IFERROR(__xludf.DUMMYFUNCTION("""COMPUTED_VALUE"""),800.0)</f>
        <v>800</v>
      </c>
      <c r="U1284" s="99">
        <f>IFERROR(__xludf.DUMMYFUNCTION("""COMPUTED_VALUE"""),66.66666666666667)</f>
        <v>66.66666667</v>
      </c>
      <c r="V1284" s="97">
        <f>IFERROR(__xludf.DUMMYFUNCTION("""COMPUTED_VALUE"""),110.0)</f>
        <v>110</v>
      </c>
      <c r="W1284" s="97" t="str">
        <f>IFERROR(__xludf.DUMMYFUNCTION("""COMPUTED_VALUE"""),"&lt; 25")</f>
        <v>&lt; 25</v>
      </c>
      <c r="X1284" s="97" t="str">
        <f>IFERROR(__xludf.DUMMYFUNCTION("""COMPUTED_VALUE"""),"3000/4000/6000")</f>
        <v>3000/4000/6000</v>
      </c>
      <c r="Y1284" s="97" t="str">
        <f>IFERROR(__xludf.DUMMYFUNCTION("""COMPUTED_VALUE"""),"&gt;90")</f>
        <v>&gt;90</v>
      </c>
      <c r="Z1284" s="97"/>
      <c r="AA1284" s="97"/>
      <c r="AB1284" s="97" t="str">
        <f>IFERROR(__xludf.DUMMYFUNCTION("""COMPUTED_VALUE"""),"-")</f>
        <v>-</v>
      </c>
      <c r="AC1284" s="97"/>
      <c r="AD1284" s="97" t="str">
        <f>IFERROR(__xludf.DUMMYFUNCTION("""COMPUTED_VALUE"""),"IP44")</f>
        <v>IP44</v>
      </c>
      <c r="AE1284" s="97" t="str">
        <f>IFERROR(__xludf.DUMMYFUNCTION("""COMPUTED_VALUE"""),"Clase l")</f>
        <v>Clase l</v>
      </c>
      <c r="AF1284" s="97" t="str">
        <f>IFERROR(__xludf.DUMMYFUNCTION("""COMPUTED_VALUE"""),"Aplicar")</f>
        <v>Aplicar</v>
      </c>
      <c r="AG1284" s="97" t="str">
        <f>IFERROR(__xludf.DUMMYFUNCTION("""COMPUTED_VALUE"""),"Ø100 x 65")</f>
        <v>Ø100 x 65</v>
      </c>
      <c r="AH1284" s="97" t="str">
        <f>IFERROR(__xludf.DUMMYFUNCTION("""COMPUTED_VALUE"""),"N/A")</f>
        <v>N/A</v>
      </c>
      <c r="AI1284" s="97" t="str">
        <f>IFERROR(__xludf.DUMMYFUNCTION("""COMPUTED_VALUE"""),"N/A")</f>
        <v>N/A</v>
      </c>
      <c r="AJ1284" s="97" t="str">
        <f>IFERROR(__xludf.DUMMYFUNCTION("""COMPUTED_VALUE"""),"Policarbonato (PC)")</f>
        <v>Policarbonato (PC)</v>
      </c>
      <c r="AK1284" s="97" t="str">
        <f>IFERROR(__xludf.DUMMYFUNCTION("""COMPUTED_VALUE"""),"Aluminio")</f>
        <v>Aluminio</v>
      </c>
      <c r="AL1284" s="97" t="str">
        <f>IFERROR(__xludf.DUMMYFUNCTION("""COMPUTED_VALUE"""),"Gris")</f>
        <v>Gris</v>
      </c>
      <c r="AM1284" s="97" t="str">
        <f>IFERROR(__xludf.DUMMYFUNCTION("""COMPUTED_VALUE"""),"-")</f>
        <v>-</v>
      </c>
      <c r="AN1284" s="97" t="str">
        <f>IFERROR(__xludf.DUMMYFUNCTION("""COMPUTED_VALUE"""),"25.000hs (L70)")</f>
        <v>25.000hs (L70)</v>
      </c>
      <c r="AO1284" s="97" t="str">
        <f>IFERROR(__xludf.DUMMYFUNCTION("""COMPUTED_VALUE"""),"2 Años")</f>
        <v>2 Años</v>
      </c>
      <c r="AP1284" s="97" t="str">
        <f>IFERROR(__xludf.DUMMYFUNCTION("""COMPUTED_VALUE"""),"Disponible")</f>
        <v>Disponible</v>
      </c>
      <c r="AQ1284" s="97" t="str">
        <f>IFERROR(__xludf.DUMMYFUNCTION("""COMPUTED_VALUE"""),"Disponible")</f>
        <v>Disponible</v>
      </c>
      <c r="AR1284" s="97" t="str">
        <f>IFERROR(__xludf.DUMMYFUNCTION("""COMPUTED_VALUE"""),"Disponible")</f>
        <v>Disponible</v>
      </c>
      <c r="AS1284" s="97" t="str">
        <f>IFERROR(__xludf.DUMMYFUNCTION("""COMPUTED_VALUE"""),"Falta")</f>
        <v>Falta</v>
      </c>
      <c r="AT1284" s="97" t="str">
        <f>IFERROR(__xludf.DUMMYFUNCTION("""COMPUTED_VALUE"""),"Falta")</f>
        <v>Falta</v>
      </c>
      <c r="AU1284" s="97" t="str">
        <f>IFERROR(__xludf.DUMMYFUNCTION("""COMPUTED_VALUE"""),"Falta")</f>
        <v>Falta</v>
      </c>
      <c r="AV1284" s="97" t="str">
        <f>IFERROR(__xludf.DUMMYFUNCTION("""COMPUTED_VALUE"""),"Aplique")</f>
        <v>Aplique</v>
      </c>
      <c r="AW1284" s="97" t="str">
        <f>IFERROR(__xludf.DUMMYFUNCTION("""COMPUTED_VALUE"""),"De Techo")</f>
        <v>De Techo</v>
      </c>
      <c r="AX1284" s="97" t="str">
        <f>IFERROR(__xludf.DUMMYFUNCTION("""COMPUTED_VALUE"""),"Exterior")</f>
        <v>Exterior</v>
      </c>
      <c r="AY1284" s="97" t="str">
        <f>IFERROR(__xludf.DUMMYFUNCTION("""COMPUTED_VALUE"""),"-")</f>
        <v>-</v>
      </c>
      <c r="AZ1284" s="97" t="str">
        <f>IFERROR(__xludf.DUMMYFUNCTION("""COMPUTED_VALUE"""),"Switch p/cambio de color.")</f>
        <v>Switch p/cambio de color.</v>
      </c>
      <c r="BA1284" s="97"/>
      <c r="BB1284" s="97"/>
      <c r="BC1284" s="97"/>
      <c r="BD1284" s="97" t="str">
        <f>IFERROR(__xludf.DUMMYFUNCTION("""COMPUTED_VALUE"""),"PRISMA")</f>
        <v>PRISMA</v>
      </c>
      <c r="BE1284" s="97" t="str">
        <f>IFERROR(__xludf.DUMMYFUNCTION("""COMPUTED_VALUE"""),"Falta TR")</f>
        <v>Falta TR</v>
      </c>
      <c r="BF1284" s="97"/>
      <c r="BG1284" s="97" t="str">
        <f>IFERROR(__xludf.DUMMYFUNCTION("""COMPUTED_VALUE"""),"Nuevo")</f>
        <v>Nuevo</v>
      </c>
    </row>
    <row r="1285">
      <c r="A1285" s="97">
        <f>IFERROR(__xludf.DUMMYFUNCTION("""COMPUTED_VALUE"""),7249.0)</f>
        <v>7249</v>
      </c>
      <c r="B1285" s="97" t="str">
        <f>IFERROR(__xludf.DUMMYFUNCTION("""COMPUTED_VALUE"""),"PRISMA GR 20W IP44")</f>
        <v>PRISMA GR 20W IP44</v>
      </c>
      <c r="C1285" s="97" t="str">
        <f>IFERROR(__xludf.DUMMYFUNCTION("""COMPUTED_VALUE"""),"APLIQUE PRISMA GR 20W IP44 20W 3000/4000/6000K 1300LM CRI&gt;90 IP44 LEUK")</f>
        <v>APLIQUE PRISMA GR 20W IP44 20W 3000/4000/6000K 1300LM CRI&gt;90 IP44 LEUK</v>
      </c>
      <c r="D1285" s="97">
        <f>IFERROR(__xludf.DUMMYFUNCTION("""COMPUTED_VALUE"""),7.798413227802E12)</f>
        <v>7798413227802</v>
      </c>
      <c r="E1285" s="97"/>
      <c r="F1285" s="97" t="str">
        <f>IFERROR(__xludf.DUMMYFUNCTION("""COMPUTED_VALUE"""),"LED integrado")</f>
        <v>LED integrado</v>
      </c>
      <c r="G1285" s="97" t="str">
        <f>IFERROR(__xludf.DUMMYFUNCTION("""COMPUTED_VALUE"""),"OSRAM")</f>
        <v>OSRAM</v>
      </c>
      <c r="H1285" s="97" t="str">
        <f>IFERROR(__xludf.DUMMYFUNCTION("""COMPUTED_VALUE"""),"-")</f>
        <v>-</v>
      </c>
      <c r="I1285" s="97"/>
      <c r="J1285" s="97" t="str">
        <f>IFERROR(__xludf.DUMMYFUNCTION("""COMPUTED_VALUE"""),"Modelo: LED 20-24W
In: 85-265Vac 0.35A 50/60Hz
Out: 24-42V 500mA
Ta 50ºC Tc 70ºC IP65")</f>
        <v>Modelo: LED 20-24W
In: 85-265Vac 0.35A 50/60Hz
Out: 24-42V 500mA
Ta 50ºC Tc 70ºC IP65</v>
      </c>
      <c r="K1285" s="97" t="str">
        <f>IFERROR(__xludf.DUMMYFUNCTION("""COMPUTED_VALUE"""),"ON/OFF")</f>
        <v>ON/OFF</v>
      </c>
      <c r="L1285" s="97" t="str">
        <f>IFERROR(__xludf.DUMMYFUNCTION("""COMPUTED_VALUE"""),"200-240")</f>
        <v>200-240</v>
      </c>
      <c r="M1285" s="97" t="str">
        <f>IFERROR(__xludf.DUMMYFUNCTION("""COMPUTED_VALUE"""),"50/60")</f>
        <v>50/60</v>
      </c>
      <c r="N1285" s="97" t="str">
        <f>IFERROR(__xludf.DUMMYFUNCTION("""COMPUTED_VALUE"""),"Directa")</f>
        <v>Directa</v>
      </c>
      <c r="O1285" s="97">
        <f>IFERROR(__xludf.DUMMYFUNCTION("""COMPUTED_VALUE"""),20.0)</f>
        <v>20</v>
      </c>
      <c r="P1285" s="97"/>
      <c r="Q1285" s="97">
        <f>IFERROR(__xludf.DUMMYFUNCTION("""COMPUTED_VALUE"""),0.45)</f>
        <v>0.45</v>
      </c>
      <c r="R1285" s="97" t="str">
        <f>IFERROR(__xludf.DUMMYFUNCTION("""COMPUTED_VALUE"""),"-")</f>
        <v>-</v>
      </c>
      <c r="S1285" s="97" t="str">
        <f>IFERROR(__xludf.DUMMYFUNCTION("""COMPUTED_VALUE"""),"-")</f>
        <v>-</v>
      </c>
      <c r="T1285" s="97">
        <f>IFERROR(__xludf.DUMMYFUNCTION("""COMPUTED_VALUE"""),1300.0)</f>
        <v>1300</v>
      </c>
      <c r="U1285" s="99">
        <f>IFERROR(__xludf.DUMMYFUNCTION("""COMPUTED_VALUE"""),65.0)</f>
        <v>65</v>
      </c>
      <c r="V1285" s="97">
        <f>IFERROR(__xludf.DUMMYFUNCTION("""COMPUTED_VALUE"""),110.0)</f>
        <v>110</v>
      </c>
      <c r="W1285" s="97" t="str">
        <f>IFERROR(__xludf.DUMMYFUNCTION("""COMPUTED_VALUE"""),"&lt; 25")</f>
        <v>&lt; 25</v>
      </c>
      <c r="X1285" s="97" t="str">
        <f>IFERROR(__xludf.DUMMYFUNCTION("""COMPUTED_VALUE"""),"3000/4000/6000")</f>
        <v>3000/4000/6000</v>
      </c>
      <c r="Y1285" s="97" t="str">
        <f>IFERROR(__xludf.DUMMYFUNCTION("""COMPUTED_VALUE"""),"&gt;90")</f>
        <v>&gt;90</v>
      </c>
      <c r="Z1285" s="97"/>
      <c r="AA1285" s="97"/>
      <c r="AB1285" s="97" t="str">
        <f>IFERROR(__xludf.DUMMYFUNCTION("""COMPUTED_VALUE"""),"-")</f>
        <v>-</v>
      </c>
      <c r="AC1285" s="97"/>
      <c r="AD1285" s="97" t="str">
        <f>IFERROR(__xludf.DUMMYFUNCTION("""COMPUTED_VALUE"""),"IP44")</f>
        <v>IP44</v>
      </c>
      <c r="AE1285" s="97" t="str">
        <f>IFERROR(__xludf.DUMMYFUNCTION("""COMPUTED_VALUE"""),"Clase l")</f>
        <v>Clase l</v>
      </c>
      <c r="AF1285" s="97" t="str">
        <f>IFERROR(__xludf.DUMMYFUNCTION("""COMPUTED_VALUE"""),"Aplicar")</f>
        <v>Aplicar</v>
      </c>
      <c r="AG1285" s="97" t="str">
        <f>IFERROR(__xludf.DUMMYFUNCTION("""COMPUTED_VALUE"""),"Ø120 x 70")</f>
        <v>Ø120 x 70</v>
      </c>
      <c r="AH1285" s="97" t="str">
        <f>IFERROR(__xludf.DUMMYFUNCTION("""COMPUTED_VALUE"""),"N/A")</f>
        <v>N/A</v>
      </c>
      <c r="AI1285" s="97" t="str">
        <f>IFERROR(__xludf.DUMMYFUNCTION("""COMPUTED_VALUE"""),"N/A")</f>
        <v>N/A</v>
      </c>
      <c r="AJ1285" s="97" t="str">
        <f>IFERROR(__xludf.DUMMYFUNCTION("""COMPUTED_VALUE"""),"Policarbonato (PC)")</f>
        <v>Policarbonato (PC)</v>
      </c>
      <c r="AK1285" s="97" t="str">
        <f>IFERROR(__xludf.DUMMYFUNCTION("""COMPUTED_VALUE"""),"Aluminio")</f>
        <v>Aluminio</v>
      </c>
      <c r="AL1285" s="97" t="str">
        <f>IFERROR(__xludf.DUMMYFUNCTION("""COMPUTED_VALUE"""),"Gris")</f>
        <v>Gris</v>
      </c>
      <c r="AM1285" s="97" t="str">
        <f>IFERROR(__xludf.DUMMYFUNCTION("""COMPUTED_VALUE"""),"-")</f>
        <v>-</v>
      </c>
      <c r="AN1285" s="97" t="str">
        <f>IFERROR(__xludf.DUMMYFUNCTION("""COMPUTED_VALUE"""),"25.000hs (L70)")</f>
        <v>25.000hs (L70)</v>
      </c>
      <c r="AO1285" s="97" t="str">
        <f>IFERROR(__xludf.DUMMYFUNCTION("""COMPUTED_VALUE"""),"2 Años")</f>
        <v>2 Años</v>
      </c>
      <c r="AP1285" s="97" t="str">
        <f>IFERROR(__xludf.DUMMYFUNCTION("""COMPUTED_VALUE"""),"Disponible")</f>
        <v>Disponible</v>
      </c>
      <c r="AQ1285" s="97" t="str">
        <f>IFERROR(__xludf.DUMMYFUNCTION("""COMPUTED_VALUE"""),"Disponible")</f>
        <v>Disponible</v>
      </c>
      <c r="AR1285" s="97" t="str">
        <f>IFERROR(__xludf.DUMMYFUNCTION("""COMPUTED_VALUE"""),"Disponible")</f>
        <v>Disponible</v>
      </c>
      <c r="AS1285" s="97" t="str">
        <f>IFERROR(__xludf.DUMMYFUNCTION("""COMPUTED_VALUE"""),"Falta")</f>
        <v>Falta</v>
      </c>
      <c r="AT1285" s="97" t="str">
        <f>IFERROR(__xludf.DUMMYFUNCTION("""COMPUTED_VALUE"""),"Falta")</f>
        <v>Falta</v>
      </c>
      <c r="AU1285" s="97" t="str">
        <f>IFERROR(__xludf.DUMMYFUNCTION("""COMPUTED_VALUE"""),"Falta")</f>
        <v>Falta</v>
      </c>
      <c r="AV1285" s="97" t="str">
        <f>IFERROR(__xludf.DUMMYFUNCTION("""COMPUTED_VALUE"""),"Aplique")</f>
        <v>Aplique</v>
      </c>
      <c r="AW1285" s="97" t="str">
        <f>IFERROR(__xludf.DUMMYFUNCTION("""COMPUTED_VALUE"""),"De Techo")</f>
        <v>De Techo</v>
      </c>
      <c r="AX1285" s="97" t="str">
        <f>IFERROR(__xludf.DUMMYFUNCTION("""COMPUTED_VALUE"""),"Exterior")</f>
        <v>Exterior</v>
      </c>
      <c r="AY1285" s="97" t="str">
        <f>IFERROR(__xludf.DUMMYFUNCTION("""COMPUTED_VALUE"""),"-")</f>
        <v>-</v>
      </c>
      <c r="AZ1285" s="97" t="str">
        <f>IFERROR(__xludf.DUMMYFUNCTION("""COMPUTED_VALUE"""),"Switch p/cambio de color.")</f>
        <v>Switch p/cambio de color.</v>
      </c>
      <c r="BA1285" s="97"/>
      <c r="BB1285" s="97"/>
      <c r="BC1285" s="97"/>
      <c r="BD1285" s="97" t="str">
        <f>IFERROR(__xludf.DUMMYFUNCTION("""COMPUTED_VALUE"""),"PRISMA")</f>
        <v>PRISMA</v>
      </c>
      <c r="BE1285" s="97" t="str">
        <f>IFERROR(__xludf.DUMMYFUNCTION("""COMPUTED_VALUE"""),"Falta TR")</f>
        <v>Falta TR</v>
      </c>
      <c r="BF1285" s="97"/>
      <c r="BG1285" s="97" t="str">
        <f>IFERROR(__xludf.DUMMYFUNCTION("""COMPUTED_VALUE"""),"Nuevo")</f>
        <v>Nuevo</v>
      </c>
    </row>
    <row r="1286">
      <c r="A1286" s="97">
        <f>IFERROR(__xludf.DUMMYFUNCTION("""COMPUTED_VALUE"""),7250.0)</f>
        <v>7250</v>
      </c>
      <c r="B1286" s="97" t="str">
        <f>IFERROR(__xludf.DUMMYFUNCTION("""COMPUTED_VALUE"""),"LAIVA NGNG 3000K")</f>
        <v>LAIVA NGNG 3000K</v>
      </c>
      <c r="C1286" s="97" t="str">
        <f>IFERROR(__xludf.DUMMYFUNCTION("""COMPUTED_VALUE"""),"COLGANTE LAIVA NGNG 3000K 41W 3000K 3195LM CRI&gt;90 IP20 LEUK")</f>
        <v>COLGANTE LAIVA NGNG 3000K 41W 3000K 3195LM CRI&gt;90 IP20 LEUK</v>
      </c>
      <c r="D1286" s="97">
        <f>IFERROR(__xludf.DUMMYFUNCTION("""COMPUTED_VALUE"""),7.79841322784E12)</f>
        <v>7798413227840</v>
      </c>
      <c r="E1286" s="97" t="str">
        <f>IFERROR(__xludf.DUMMYFUNCTION("""COMPUTED_VALUE"""),"A110")</f>
        <v>A110</v>
      </c>
      <c r="F1286" s="97" t="str">
        <f>IFERROR(__xludf.DUMMYFUNCTION("""COMPUTED_VALUE"""),"LED SMD2835")</f>
        <v>LED SMD2835</v>
      </c>
      <c r="G1286" s="97" t="str">
        <f>IFERROR(__xludf.DUMMYFUNCTION("""COMPUTED_VALUE"""),"Edison")</f>
        <v>Edison</v>
      </c>
      <c r="H1286" s="97" t="str">
        <f>IFERROR(__xludf.DUMMYFUNCTION("""COMPUTED_VALUE"""),"Eaglerise")</f>
        <v>Eaglerise</v>
      </c>
      <c r="I1286" s="97"/>
      <c r="J1286" s="97" t="str">
        <f>IFERROR(__xludf.DUMMYFUNCTION("""COMPUTED_VALUE"""),"2 x Modelo: LS-40-700 LI EXC S
In: 220-240Vac 0.2A 50/60Hz
Out: 24-42Vdc 700mA - 29.4W
Pf 0.95")</f>
        <v>2 x Modelo: LS-40-700 LI EXC S
In: 220-240Vac 0.2A 50/60Hz
Out: 24-42Vdc 700mA - 29.4W
Pf 0.95</v>
      </c>
      <c r="K1286" s="97" t="str">
        <f>IFERROR(__xludf.DUMMYFUNCTION("""COMPUTED_VALUE"""),"ON/OFF")</f>
        <v>ON/OFF</v>
      </c>
      <c r="L1286" s="97" t="str">
        <f>IFERROR(__xludf.DUMMYFUNCTION("""COMPUTED_VALUE"""),"220-240")</f>
        <v>220-240</v>
      </c>
      <c r="M1286" s="97" t="str">
        <f>IFERROR(__xludf.DUMMYFUNCTION("""COMPUTED_VALUE"""),"50/60")</f>
        <v>50/60</v>
      </c>
      <c r="N1286" s="97" t="str">
        <f>IFERROR(__xludf.DUMMYFUNCTION("""COMPUTED_VALUE"""),"Directa")</f>
        <v>Directa</v>
      </c>
      <c r="O1286" s="97">
        <f>IFERROR(__xludf.DUMMYFUNCTION("""COMPUTED_VALUE"""),41.0)</f>
        <v>41</v>
      </c>
      <c r="P1286" s="97"/>
      <c r="Q1286" s="97">
        <f>IFERROR(__xludf.DUMMYFUNCTION("""COMPUTED_VALUE"""),0.95)</f>
        <v>0.95</v>
      </c>
      <c r="R1286" s="97" t="str">
        <f>IFERROR(__xludf.DUMMYFUNCTION("""COMPUTED_VALUE"""),"-")</f>
        <v>-</v>
      </c>
      <c r="S1286" s="97" t="str">
        <f>IFERROR(__xludf.DUMMYFUNCTION("""COMPUTED_VALUE"""),"-")</f>
        <v>-</v>
      </c>
      <c r="T1286" s="97">
        <f>IFERROR(__xludf.DUMMYFUNCTION("""COMPUTED_VALUE"""),3195.0)</f>
        <v>3195</v>
      </c>
      <c r="U1286" s="99">
        <f>IFERROR(__xludf.DUMMYFUNCTION("""COMPUTED_VALUE"""),77.92682926829268)</f>
        <v>77.92682927</v>
      </c>
      <c r="V1286" s="97">
        <f>IFERROR(__xludf.DUMMYFUNCTION("""COMPUTED_VALUE"""),26.0)</f>
        <v>26</v>
      </c>
      <c r="W1286" s="97" t="str">
        <f>IFERROR(__xludf.DUMMYFUNCTION("""COMPUTED_VALUE"""),"&lt; 14")</f>
        <v>&lt; 14</v>
      </c>
      <c r="X1286" s="97">
        <f>IFERROR(__xludf.DUMMYFUNCTION("""COMPUTED_VALUE"""),3000.0)</f>
        <v>3000</v>
      </c>
      <c r="Y1286" s="97" t="str">
        <f>IFERROR(__xludf.DUMMYFUNCTION("""COMPUTED_VALUE"""),"&gt;90")</f>
        <v>&gt;90</v>
      </c>
      <c r="Z1286" s="97" t="str">
        <f>IFERROR(__xludf.DUMMYFUNCTION("""COMPUTED_VALUE"""),"&gt;90")</f>
        <v>&gt;90</v>
      </c>
      <c r="AA1286" s="97" t="str">
        <f>IFERROR(__xludf.DUMMYFUNCTION("""COMPUTED_VALUE"""),"90-99 (Leve desaturación)")</f>
        <v>90-99 (Leve desaturación)</v>
      </c>
      <c r="AB1286" s="97" t="str">
        <f>IFERROR(__xludf.DUMMYFUNCTION("""COMPUTED_VALUE"""),"&lt; 2")</f>
        <v>&lt; 2</v>
      </c>
      <c r="AC1286" s="100" t="str">
        <f>IFERROR(__xludf.DUMMYFUNCTION("""COMPUTED_VALUE"""),"-0.00094")</f>
        <v>-0.00094</v>
      </c>
      <c r="AD1286" s="97" t="str">
        <f>IFERROR(__xludf.DUMMYFUNCTION("""COMPUTED_VALUE"""),"IP20")</f>
        <v>IP20</v>
      </c>
      <c r="AE1286" s="97" t="str">
        <f>IFERROR(__xludf.DUMMYFUNCTION("""COMPUTED_VALUE"""),"Clase l")</f>
        <v>Clase l</v>
      </c>
      <c r="AF1286" s="97" t="str">
        <f>IFERROR(__xludf.DUMMYFUNCTION("""COMPUTED_VALUE"""),"Suspender")</f>
        <v>Suspender</v>
      </c>
      <c r="AG1286" s="97" t="str">
        <f>IFERROR(__xludf.DUMMYFUNCTION("""COMPUTED_VALUE"""),"1600 x 105 x 58")</f>
        <v>1600 x 105 x 58</v>
      </c>
      <c r="AH1286" s="97" t="str">
        <f>IFERROR(__xludf.DUMMYFUNCTION("""COMPUTED_VALUE"""),"N/A")</f>
        <v>N/A</v>
      </c>
      <c r="AI1286" s="97" t="str">
        <f>IFERROR(__xludf.DUMMYFUNCTION("""COMPUTED_VALUE"""),"N/A")</f>
        <v>N/A</v>
      </c>
      <c r="AJ1286" s="97" t="str">
        <f>IFERROR(__xludf.DUMMYFUNCTION("""COMPUTED_VALUE"""),"PMMA")</f>
        <v>PMMA</v>
      </c>
      <c r="AK1286" s="97" t="str">
        <f>IFERROR(__xludf.DUMMYFUNCTION("""COMPUTED_VALUE"""),"Madera y Acero")</f>
        <v>Madera y Acero</v>
      </c>
      <c r="AL1286" s="97" t="str">
        <f>IFERROR(__xludf.DUMMYFUNCTION("""COMPUTED_VALUE"""),"Negro Mate")</f>
        <v>Negro Mate</v>
      </c>
      <c r="AM1286" s="97" t="str">
        <f>IFERROR(__xludf.DUMMYFUNCTION("""COMPUTED_VALUE"""),"-")</f>
        <v>-</v>
      </c>
      <c r="AN1286" s="97" t="str">
        <f>IFERROR(__xludf.DUMMYFUNCTION("""COMPUTED_VALUE"""),"50.000hs (L80)")</f>
        <v>50.000hs (L80)</v>
      </c>
      <c r="AO1286" s="97" t="str">
        <f>IFERROR(__xludf.DUMMYFUNCTION("""COMPUTED_VALUE"""),"3 Años")</f>
        <v>3 Años</v>
      </c>
      <c r="AP1286" s="97" t="str">
        <f>IFERROR(__xludf.DUMMYFUNCTION("""COMPUTED_VALUE"""),"Disponible")</f>
        <v>Disponible</v>
      </c>
      <c r="AQ1286" s="97" t="str">
        <f>IFERROR(__xludf.DUMMYFUNCTION("""COMPUTED_VALUE"""),"Disponible")</f>
        <v>Disponible</v>
      </c>
      <c r="AR1286" s="97" t="str">
        <f>IFERROR(__xludf.DUMMYFUNCTION("""COMPUTED_VALUE"""),"Disponible")</f>
        <v>Disponible</v>
      </c>
      <c r="AS1286" s="97" t="str">
        <f>IFERROR(__xludf.DUMMYFUNCTION("""COMPUTED_VALUE"""),"Disponible")</f>
        <v>Disponible</v>
      </c>
      <c r="AT1286" s="97" t="str">
        <f>IFERROR(__xludf.DUMMYFUNCTION("""COMPUTED_VALUE"""),"Disponible")</f>
        <v>Disponible</v>
      </c>
      <c r="AU1286" s="97" t="str">
        <f>IFERROR(__xludf.DUMMYFUNCTION("""COMPUTED_VALUE"""),"Disponible")</f>
        <v>Disponible</v>
      </c>
      <c r="AV1286" s="97" t="str">
        <f>IFERROR(__xludf.DUMMYFUNCTION("""COMPUTED_VALUE"""),"Colgante")</f>
        <v>Colgante</v>
      </c>
      <c r="AW1286" s="97" t="str">
        <f>IFERROR(__xludf.DUMMYFUNCTION("""COMPUTED_VALUE"""),"De Techo")</f>
        <v>De Techo</v>
      </c>
      <c r="AX1286" s="97" t="str">
        <f>IFERROR(__xludf.DUMMYFUNCTION("""COMPUTED_VALUE"""),"Interior")</f>
        <v>Interior</v>
      </c>
      <c r="AY1286" s="97" t="str">
        <f>IFERROR(__xludf.DUMMYFUNCTION("""COMPUTED_VALUE"""),"Confort Visual")</f>
        <v>Confort Visual</v>
      </c>
      <c r="AZ1286" s="97" t="str">
        <f>IFERROR(__xludf.DUMMYFUNCTION("""COMPUTED_VALUE"""),"Colgante de 2000mm. Florón: 650x50x20mm. Madera natural de fresno.")</f>
        <v>Colgante de 2000mm. Florón: 650x50x20mm. Madera natural de fresno.</v>
      </c>
      <c r="BA1286" s="97">
        <f>IFERROR(__xludf.DUMMYFUNCTION("""COMPUTED_VALUE"""),1.0)</f>
        <v>1</v>
      </c>
      <c r="BB1286" s="97" t="str">
        <f>IFERROR(__xludf.DUMMYFUNCTION("""COMPUTED_VALUE"""),"-")</f>
        <v>-</v>
      </c>
      <c r="BC1286" s="97" t="str">
        <f>IFERROR(__xludf.DUMMYFUNCTION("""COMPUTED_VALUE"""),"-")</f>
        <v>-</v>
      </c>
      <c r="BD1286" s="97" t="str">
        <f>IFERROR(__xludf.DUMMYFUNCTION("""COMPUTED_VALUE"""),"LAIVA")</f>
        <v>LAIVA</v>
      </c>
      <c r="BE1286" s="97" t="str">
        <f>IFERROR(__xludf.DUMMYFUNCTION("""COMPUTED_VALUE"""),"Solicitada")</f>
        <v>Solicitada</v>
      </c>
      <c r="BF1286" s="97">
        <f>IFERROR(__xludf.DUMMYFUNCTION("""COMPUTED_VALUE"""),7470.0)</f>
        <v>7470</v>
      </c>
      <c r="BG1286" s="97" t="str">
        <f>IFERROR(__xludf.DUMMYFUNCTION("""COMPUTED_VALUE"""),"En Salida")</f>
        <v>En Salida</v>
      </c>
    </row>
    <row r="1287">
      <c r="A1287" s="97">
        <f>IFERROR(__xludf.DUMMYFUNCTION("""COMPUTED_VALUE"""),7251.0)</f>
        <v>7251</v>
      </c>
      <c r="B1287" s="97" t="str">
        <f>IFERROR(__xludf.DUMMYFUNCTION("""COMPUTED_VALUE"""),"LAIVA BL 3000K")</f>
        <v>LAIVA BL 3000K</v>
      </c>
      <c r="C1287" s="97" t="str">
        <f>IFERROR(__xludf.DUMMYFUNCTION("""COMPUTED_VALUE"""),"COLGANTE LAIVA BL 3000K 41W 3000K 3195LM CRI&gt;90 IP20 LEUK")</f>
        <v>COLGANTE LAIVA BL 3000K 41W 3000K 3195LM CRI&gt;90 IP20 LEUK</v>
      </c>
      <c r="D1287" s="97">
        <f>IFERROR(__xludf.DUMMYFUNCTION("""COMPUTED_VALUE"""),7.798413227857E12)</f>
        <v>7798413227857</v>
      </c>
      <c r="E1287" s="97" t="str">
        <f>IFERROR(__xludf.DUMMYFUNCTION("""COMPUTED_VALUE"""),"A110")</f>
        <v>A110</v>
      </c>
      <c r="F1287" s="97" t="str">
        <f>IFERROR(__xludf.DUMMYFUNCTION("""COMPUTED_VALUE"""),"LED SMD2835")</f>
        <v>LED SMD2835</v>
      </c>
      <c r="G1287" s="97" t="str">
        <f>IFERROR(__xludf.DUMMYFUNCTION("""COMPUTED_VALUE"""),"Edison")</f>
        <v>Edison</v>
      </c>
      <c r="H1287" s="97" t="str">
        <f>IFERROR(__xludf.DUMMYFUNCTION("""COMPUTED_VALUE"""),"Eaglerise")</f>
        <v>Eaglerise</v>
      </c>
      <c r="I1287" s="97"/>
      <c r="J1287" s="97" t="str">
        <f>IFERROR(__xludf.DUMMYFUNCTION("""COMPUTED_VALUE"""),"2 x Modelo: LS-40-700 LI EXC S
In: 220-240Vac 0.2A 50/60Hz
Out: 24-42Vdc 700mA - 29.4W
Pf 0.95")</f>
        <v>2 x Modelo: LS-40-700 LI EXC S
In: 220-240Vac 0.2A 50/60Hz
Out: 24-42Vdc 700mA - 29.4W
Pf 0.95</v>
      </c>
      <c r="K1287" s="97" t="str">
        <f>IFERROR(__xludf.DUMMYFUNCTION("""COMPUTED_VALUE"""),"ON/OFF")</f>
        <v>ON/OFF</v>
      </c>
      <c r="L1287" s="97" t="str">
        <f>IFERROR(__xludf.DUMMYFUNCTION("""COMPUTED_VALUE"""),"220-240")</f>
        <v>220-240</v>
      </c>
      <c r="M1287" s="97" t="str">
        <f>IFERROR(__xludf.DUMMYFUNCTION("""COMPUTED_VALUE"""),"50/60")</f>
        <v>50/60</v>
      </c>
      <c r="N1287" s="97" t="str">
        <f>IFERROR(__xludf.DUMMYFUNCTION("""COMPUTED_VALUE"""),"Directa")</f>
        <v>Directa</v>
      </c>
      <c r="O1287" s="97">
        <f>IFERROR(__xludf.DUMMYFUNCTION("""COMPUTED_VALUE"""),41.0)</f>
        <v>41</v>
      </c>
      <c r="P1287" s="97"/>
      <c r="Q1287" s="97">
        <f>IFERROR(__xludf.DUMMYFUNCTION("""COMPUTED_VALUE"""),0.95)</f>
        <v>0.95</v>
      </c>
      <c r="R1287" s="97" t="str">
        <f>IFERROR(__xludf.DUMMYFUNCTION("""COMPUTED_VALUE"""),"-")</f>
        <v>-</v>
      </c>
      <c r="S1287" s="97" t="str">
        <f>IFERROR(__xludf.DUMMYFUNCTION("""COMPUTED_VALUE"""),"-")</f>
        <v>-</v>
      </c>
      <c r="T1287" s="97">
        <f>IFERROR(__xludf.DUMMYFUNCTION("""COMPUTED_VALUE"""),3195.0)</f>
        <v>3195</v>
      </c>
      <c r="U1287" s="99">
        <f>IFERROR(__xludf.DUMMYFUNCTION("""COMPUTED_VALUE"""),77.92682926829268)</f>
        <v>77.92682927</v>
      </c>
      <c r="V1287" s="97">
        <f>IFERROR(__xludf.DUMMYFUNCTION("""COMPUTED_VALUE"""),26.0)</f>
        <v>26</v>
      </c>
      <c r="W1287" s="97" t="str">
        <f>IFERROR(__xludf.DUMMYFUNCTION("""COMPUTED_VALUE"""),"&lt; 14")</f>
        <v>&lt; 14</v>
      </c>
      <c r="X1287" s="97">
        <f>IFERROR(__xludf.DUMMYFUNCTION("""COMPUTED_VALUE"""),3000.0)</f>
        <v>3000</v>
      </c>
      <c r="Y1287" s="97" t="str">
        <f>IFERROR(__xludf.DUMMYFUNCTION("""COMPUTED_VALUE"""),"&gt;90")</f>
        <v>&gt;90</v>
      </c>
      <c r="Z1287" s="97" t="str">
        <f>IFERROR(__xludf.DUMMYFUNCTION("""COMPUTED_VALUE"""),"&gt;90")</f>
        <v>&gt;90</v>
      </c>
      <c r="AA1287" s="97" t="str">
        <f>IFERROR(__xludf.DUMMYFUNCTION("""COMPUTED_VALUE"""),"90-99 (Leve desaturación)")</f>
        <v>90-99 (Leve desaturación)</v>
      </c>
      <c r="AB1287" s="97" t="str">
        <f>IFERROR(__xludf.DUMMYFUNCTION("""COMPUTED_VALUE"""),"&lt; 2")</f>
        <v>&lt; 2</v>
      </c>
      <c r="AC1287" s="100" t="str">
        <f>IFERROR(__xludf.DUMMYFUNCTION("""COMPUTED_VALUE"""),"-0.00093")</f>
        <v>-0.00093</v>
      </c>
      <c r="AD1287" s="97" t="str">
        <f>IFERROR(__xludf.DUMMYFUNCTION("""COMPUTED_VALUE"""),"IP20")</f>
        <v>IP20</v>
      </c>
      <c r="AE1287" s="97" t="str">
        <f>IFERROR(__xludf.DUMMYFUNCTION("""COMPUTED_VALUE"""),"Clase l")</f>
        <v>Clase l</v>
      </c>
      <c r="AF1287" s="97" t="str">
        <f>IFERROR(__xludf.DUMMYFUNCTION("""COMPUTED_VALUE"""),"Suspender")</f>
        <v>Suspender</v>
      </c>
      <c r="AG1287" s="97" t="str">
        <f>IFERROR(__xludf.DUMMYFUNCTION("""COMPUTED_VALUE"""),"1600 x 105 x 58")</f>
        <v>1600 x 105 x 58</v>
      </c>
      <c r="AH1287" s="97" t="str">
        <f>IFERROR(__xludf.DUMMYFUNCTION("""COMPUTED_VALUE"""),"N/A")</f>
        <v>N/A</v>
      </c>
      <c r="AI1287" s="97" t="str">
        <f>IFERROR(__xludf.DUMMYFUNCTION("""COMPUTED_VALUE"""),"N/A")</f>
        <v>N/A</v>
      </c>
      <c r="AJ1287" s="97" t="str">
        <f>IFERROR(__xludf.DUMMYFUNCTION("""COMPUTED_VALUE"""),"PMMA")</f>
        <v>PMMA</v>
      </c>
      <c r="AK1287" s="97" t="str">
        <f>IFERROR(__xludf.DUMMYFUNCTION("""COMPUTED_VALUE"""),"Madera y Acero")</f>
        <v>Madera y Acero</v>
      </c>
      <c r="AL1287" s="97" t="str">
        <f>IFERROR(__xludf.DUMMYFUNCTION("""COMPUTED_VALUE"""),"Blanco y Madera")</f>
        <v>Blanco y Madera</v>
      </c>
      <c r="AM1287" s="97" t="str">
        <f>IFERROR(__xludf.DUMMYFUNCTION("""COMPUTED_VALUE"""),"-")</f>
        <v>-</v>
      </c>
      <c r="AN1287" s="97" t="str">
        <f>IFERROR(__xludf.DUMMYFUNCTION("""COMPUTED_VALUE"""),"50.000hs (L80)")</f>
        <v>50.000hs (L80)</v>
      </c>
      <c r="AO1287" s="97" t="str">
        <f>IFERROR(__xludf.DUMMYFUNCTION("""COMPUTED_VALUE"""),"3 Años")</f>
        <v>3 Años</v>
      </c>
      <c r="AP1287" s="97" t="str">
        <f>IFERROR(__xludf.DUMMYFUNCTION("""COMPUTED_VALUE"""),"Disponible")</f>
        <v>Disponible</v>
      </c>
      <c r="AQ1287" s="97" t="str">
        <f>IFERROR(__xludf.DUMMYFUNCTION("""COMPUTED_VALUE"""),"Disponible")</f>
        <v>Disponible</v>
      </c>
      <c r="AR1287" s="97" t="str">
        <f>IFERROR(__xludf.DUMMYFUNCTION("""COMPUTED_VALUE"""),"Disponible")</f>
        <v>Disponible</v>
      </c>
      <c r="AS1287" s="97" t="str">
        <f>IFERROR(__xludf.DUMMYFUNCTION("""COMPUTED_VALUE"""),"Disponible")</f>
        <v>Disponible</v>
      </c>
      <c r="AT1287" s="97" t="str">
        <f>IFERROR(__xludf.DUMMYFUNCTION("""COMPUTED_VALUE"""),"Disponible")</f>
        <v>Disponible</v>
      </c>
      <c r="AU1287" s="97" t="str">
        <f>IFERROR(__xludf.DUMMYFUNCTION("""COMPUTED_VALUE"""),"Disponible")</f>
        <v>Disponible</v>
      </c>
      <c r="AV1287" s="97" t="str">
        <f>IFERROR(__xludf.DUMMYFUNCTION("""COMPUTED_VALUE"""),"Colgante")</f>
        <v>Colgante</v>
      </c>
      <c r="AW1287" s="97" t="str">
        <f>IFERROR(__xludf.DUMMYFUNCTION("""COMPUTED_VALUE"""),"De Techo")</f>
        <v>De Techo</v>
      </c>
      <c r="AX1287" s="97" t="str">
        <f>IFERROR(__xludf.DUMMYFUNCTION("""COMPUTED_VALUE"""),"Interior")</f>
        <v>Interior</v>
      </c>
      <c r="AY1287" s="97" t="str">
        <f>IFERROR(__xludf.DUMMYFUNCTION("""COMPUTED_VALUE"""),"Confort Visual")</f>
        <v>Confort Visual</v>
      </c>
      <c r="AZ1287" s="97" t="str">
        <f>IFERROR(__xludf.DUMMYFUNCTION("""COMPUTED_VALUE"""),"Colgante de 2000mm. Florón: 650x50x20mm. Madera natural de fresno.")</f>
        <v>Colgante de 2000mm. Florón: 650x50x20mm. Madera natural de fresno.</v>
      </c>
      <c r="BA1287" s="97">
        <f>IFERROR(__xludf.DUMMYFUNCTION("""COMPUTED_VALUE"""),1.0)</f>
        <v>1</v>
      </c>
      <c r="BB1287" s="97" t="str">
        <f>IFERROR(__xludf.DUMMYFUNCTION("""COMPUTED_VALUE"""),"-")</f>
        <v>-</v>
      </c>
      <c r="BC1287" s="97" t="str">
        <f>IFERROR(__xludf.DUMMYFUNCTION("""COMPUTED_VALUE"""),"-")</f>
        <v>-</v>
      </c>
      <c r="BD1287" s="97" t="str">
        <f>IFERROR(__xludf.DUMMYFUNCTION("""COMPUTED_VALUE"""),"LAIVA")</f>
        <v>LAIVA</v>
      </c>
      <c r="BE1287" s="97" t="str">
        <f>IFERROR(__xludf.DUMMYFUNCTION("""COMPUTED_VALUE"""),"Solicitada")</f>
        <v>Solicitada</v>
      </c>
      <c r="BF1287" s="97"/>
      <c r="BG1287" s="97" t="str">
        <f>IFERROR(__xludf.DUMMYFUNCTION("""COMPUTED_VALUE"""),"Nuevo")</f>
        <v>Nuevo</v>
      </c>
    </row>
    <row r="1288">
      <c r="A1288" s="97">
        <f>IFERROR(__xludf.DUMMYFUNCTION("""COMPUTED_VALUE"""),7252.0)</f>
        <v>7252</v>
      </c>
      <c r="B1288" s="97" t="str">
        <f>IFERROR(__xludf.DUMMYFUNCTION("""COMPUTED_VALUE"""),"LAIVA II NGNG 3000K")</f>
        <v>LAIVA II NGNG 3000K</v>
      </c>
      <c r="C1288" s="97" t="str">
        <f>IFERROR(__xludf.DUMMYFUNCTION("""COMPUTED_VALUE"""),"COLGANTE LAIVA II NGNG 3000K 72W 3000K 4785LM CRI&gt;90 IP20 LEUK")</f>
        <v>COLGANTE LAIVA II NGNG 3000K 72W 3000K 4785LM CRI&gt;90 IP20 LEUK</v>
      </c>
      <c r="D1288" s="97">
        <f>IFERROR(__xludf.DUMMYFUNCTION("""COMPUTED_VALUE"""),7.798413227864E12)</f>
        <v>7798413227864</v>
      </c>
      <c r="E1288" s="97" t="str">
        <f>IFERROR(__xludf.DUMMYFUNCTION("""COMPUTED_VALUE"""),"A79")</f>
        <v>A79</v>
      </c>
      <c r="F1288" s="97" t="str">
        <f>IFERROR(__xludf.DUMMYFUNCTION("""COMPUTED_VALUE"""),"LED SMD2835")</f>
        <v>LED SMD2835</v>
      </c>
      <c r="G1288" s="97" t="str">
        <f>IFERROR(__xludf.DUMMYFUNCTION("""COMPUTED_VALUE"""),"Edison")</f>
        <v>Edison</v>
      </c>
      <c r="H1288" s="97" t="str">
        <f>IFERROR(__xludf.DUMMYFUNCTION("""COMPUTED_VALUE"""),"Eaglerise")</f>
        <v>Eaglerise</v>
      </c>
      <c r="I1288" s="97"/>
      <c r="J1288" s="97" t="str">
        <f>IFERROR(__xludf.DUMMYFUNCTION("""COMPUTED_VALUE"""),"2x Modelo: LS-40-1000 LI EXC S
In: 220-240Vac 0.27A 50/60Hz
Out: 24-40Vdc 1000mA 40W
Pf 0.95 Tc 85°C Ta 45°C")</f>
        <v>2x Modelo: LS-40-1000 LI EXC S
In: 220-240Vac 0.27A 50/60Hz
Out: 24-40Vdc 1000mA 40W
Pf 0.95 Tc 85°C Ta 45°C</v>
      </c>
      <c r="K1288" s="97" t="str">
        <f>IFERROR(__xludf.DUMMYFUNCTION("""COMPUTED_VALUE"""),"ON/OFF")</f>
        <v>ON/OFF</v>
      </c>
      <c r="L1288" s="97" t="str">
        <f>IFERROR(__xludf.DUMMYFUNCTION("""COMPUTED_VALUE"""),"220-240")</f>
        <v>220-240</v>
      </c>
      <c r="M1288" s="97" t="str">
        <f>IFERROR(__xludf.DUMMYFUNCTION("""COMPUTED_VALUE"""),"50/60")</f>
        <v>50/60</v>
      </c>
      <c r="N1288" s="97" t="str">
        <f>IFERROR(__xludf.DUMMYFUNCTION("""COMPUTED_VALUE"""),"Directa")</f>
        <v>Directa</v>
      </c>
      <c r="O1288" s="97">
        <f>IFERROR(__xludf.DUMMYFUNCTION("""COMPUTED_VALUE"""),72.0)</f>
        <v>72</v>
      </c>
      <c r="P1288" s="97"/>
      <c r="Q1288" s="97">
        <f>IFERROR(__xludf.DUMMYFUNCTION("""COMPUTED_VALUE"""),0.95)</f>
        <v>0.95</v>
      </c>
      <c r="R1288" s="97" t="str">
        <f>IFERROR(__xludf.DUMMYFUNCTION("""COMPUTED_VALUE"""),"-")</f>
        <v>-</v>
      </c>
      <c r="S1288" s="97" t="str">
        <f>IFERROR(__xludf.DUMMYFUNCTION("""COMPUTED_VALUE"""),"-")</f>
        <v>-</v>
      </c>
      <c r="T1288" s="97">
        <f>IFERROR(__xludf.DUMMYFUNCTION("""COMPUTED_VALUE"""),4785.0)</f>
        <v>4785</v>
      </c>
      <c r="U1288" s="99">
        <f>IFERROR(__xludf.DUMMYFUNCTION("""COMPUTED_VALUE"""),66.45833333333333)</f>
        <v>66.45833333</v>
      </c>
      <c r="V1288" s="97">
        <f>IFERROR(__xludf.DUMMYFUNCTION("""COMPUTED_VALUE"""),26.0)</f>
        <v>26</v>
      </c>
      <c r="W1288" s="97" t="str">
        <f>IFERROR(__xludf.DUMMYFUNCTION("""COMPUTED_VALUE"""),"&lt; 14")</f>
        <v>&lt; 14</v>
      </c>
      <c r="X1288" s="97">
        <f>IFERROR(__xludf.DUMMYFUNCTION("""COMPUTED_VALUE"""),3000.0)</f>
        <v>3000</v>
      </c>
      <c r="Y1288" s="97" t="str">
        <f>IFERROR(__xludf.DUMMYFUNCTION("""COMPUTED_VALUE"""),"&gt;90")</f>
        <v>&gt;90</v>
      </c>
      <c r="Z1288" s="97" t="str">
        <f>IFERROR(__xludf.DUMMYFUNCTION("""COMPUTED_VALUE"""),"&gt;90")</f>
        <v>&gt;90</v>
      </c>
      <c r="AA1288" s="97" t="str">
        <f>IFERROR(__xludf.DUMMYFUNCTION("""COMPUTED_VALUE"""),"90-99 (Leve desaturación)")</f>
        <v>90-99 (Leve desaturación)</v>
      </c>
      <c r="AB1288" s="97" t="str">
        <f>IFERROR(__xludf.DUMMYFUNCTION("""COMPUTED_VALUE"""),"&lt; 2")</f>
        <v>&lt; 2</v>
      </c>
      <c r="AC1288" s="100" t="str">
        <f>IFERROR(__xludf.DUMMYFUNCTION("""COMPUTED_VALUE"""),"-0.00140")</f>
        <v>-0.00140</v>
      </c>
      <c r="AD1288" s="97" t="str">
        <f>IFERROR(__xludf.DUMMYFUNCTION("""COMPUTED_VALUE"""),"IP20")</f>
        <v>IP20</v>
      </c>
      <c r="AE1288" s="97" t="str">
        <f>IFERROR(__xludf.DUMMYFUNCTION("""COMPUTED_VALUE"""),"Clase l")</f>
        <v>Clase l</v>
      </c>
      <c r="AF1288" s="97" t="str">
        <f>IFERROR(__xludf.DUMMYFUNCTION("""COMPUTED_VALUE"""),"Suspender")</f>
        <v>Suspender</v>
      </c>
      <c r="AG1288" s="97" t="str">
        <f>IFERROR(__xludf.DUMMYFUNCTION("""COMPUTED_VALUE"""),"1600x180x120")</f>
        <v>1600x180x120</v>
      </c>
      <c r="AH1288" s="97" t="str">
        <f>IFERROR(__xludf.DUMMYFUNCTION("""COMPUTED_VALUE"""),"N/A")</f>
        <v>N/A</v>
      </c>
      <c r="AI1288" s="97" t="str">
        <f>IFERROR(__xludf.DUMMYFUNCTION("""COMPUTED_VALUE"""),"N/A")</f>
        <v>N/A</v>
      </c>
      <c r="AJ1288" s="97" t="str">
        <f>IFERROR(__xludf.DUMMYFUNCTION("""COMPUTED_VALUE"""),"PMMA")</f>
        <v>PMMA</v>
      </c>
      <c r="AK1288" s="97" t="str">
        <f>IFERROR(__xludf.DUMMYFUNCTION("""COMPUTED_VALUE"""),"Madera y Acero")</f>
        <v>Madera y Acero</v>
      </c>
      <c r="AL1288" s="97" t="str">
        <f>IFERROR(__xludf.DUMMYFUNCTION("""COMPUTED_VALUE"""),"Negro Mate")</f>
        <v>Negro Mate</v>
      </c>
      <c r="AM1288" s="97" t="str">
        <f>IFERROR(__xludf.DUMMYFUNCTION("""COMPUTED_VALUE"""),"-")</f>
        <v>-</v>
      </c>
      <c r="AN1288" s="97" t="str">
        <f>IFERROR(__xludf.DUMMYFUNCTION("""COMPUTED_VALUE"""),"50.000hs (L80)")</f>
        <v>50.000hs (L80)</v>
      </c>
      <c r="AO1288" s="97" t="str">
        <f>IFERROR(__xludf.DUMMYFUNCTION("""COMPUTED_VALUE"""),"3 Años")</f>
        <v>3 Años</v>
      </c>
      <c r="AP1288" s="97" t="str">
        <f>IFERROR(__xludf.DUMMYFUNCTION("""COMPUTED_VALUE"""),"Disponible")</f>
        <v>Disponible</v>
      </c>
      <c r="AQ1288" s="97" t="str">
        <f>IFERROR(__xludf.DUMMYFUNCTION("""COMPUTED_VALUE"""),"Disponible")</f>
        <v>Disponible</v>
      </c>
      <c r="AR1288" s="97" t="str">
        <f>IFERROR(__xludf.DUMMYFUNCTION("""COMPUTED_VALUE"""),"Disponible")</f>
        <v>Disponible</v>
      </c>
      <c r="AS1288" s="97" t="str">
        <f>IFERROR(__xludf.DUMMYFUNCTION("""COMPUTED_VALUE"""),"Disponible")</f>
        <v>Disponible</v>
      </c>
      <c r="AT1288" s="97" t="str">
        <f>IFERROR(__xludf.DUMMYFUNCTION("""COMPUTED_VALUE"""),"Disponible")</f>
        <v>Disponible</v>
      </c>
      <c r="AU1288" s="97" t="str">
        <f>IFERROR(__xludf.DUMMYFUNCTION("""COMPUTED_VALUE"""),"Disponible")</f>
        <v>Disponible</v>
      </c>
      <c r="AV1288" s="97" t="str">
        <f>IFERROR(__xludf.DUMMYFUNCTION("""COMPUTED_VALUE"""),"Colgante")</f>
        <v>Colgante</v>
      </c>
      <c r="AW1288" s="97" t="str">
        <f>IFERROR(__xludf.DUMMYFUNCTION("""COMPUTED_VALUE"""),"De Techo")</f>
        <v>De Techo</v>
      </c>
      <c r="AX1288" s="97" t="str">
        <f>IFERROR(__xludf.DUMMYFUNCTION("""COMPUTED_VALUE"""),"Interior")</f>
        <v>Interior</v>
      </c>
      <c r="AY1288" s="97" t="str">
        <f>IFERROR(__xludf.DUMMYFUNCTION("""COMPUTED_VALUE"""),"Confort Visual")</f>
        <v>Confort Visual</v>
      </c>
      <c r="AZ1288" s="97" t="str">
        <f>IFERROR(__xludf.DUMMYFUNCTION("""COMPUTED_VALUE"""),"Colgante de 2000mm. Florón: 1530x57x45mm. Madera natural de fresno. Doble circuito de alimentación para encendido independiente.")</f>
        <v>Colgante de 2000mm. Florón: 1530x57x45mm. Madera natural de fresno. Doble circuito de alimentación para encendido independiente.</v>
      </c>
      <c r="BA1288" s="97">
        <f>IFERROR(__xludf.DUMMYFUNCTION("""COMPUTED_VALUE"""),1.0)</f>
        <v>1</v>
      </c>
      <c r="BB1288" s="97" t="str">
        <f>IFERROR(__xludf.DUMMYFUNCTION("""COMPUTED_VALUE"""),"-")</f>
        <v>-</v>
      </c>
      <c r="BC1288" s="97" t="str">
        <f>IFERROR(__xludf.DUMMYFUNCTION("""COMPUTED_VALUE"""),"-")</f>
        <v>-</v>
      </c>
      <c r="BD1288" s="97" t="str">
        <f>IFERROR(__xludf.DUMMYFUNCTION("""COMPUTED_VALUE"""),"LAIVA")</f>
        <v>LAIVA</v>
      </c>
      <c r="BE1288" s="97" t="str">
        <f>IFERROR(__xludf.DUMMYFUNCTION("""COMPUTED_VALUE"""),"Solicitada")</f>
        <v>Solicitada</v>
      </c>
      <c r="BF1288" s="97"/>
      <c r="BG1288" s="97" t="str">
        <f>IFERROR(__xludf.DUMMYFUNCTION("""COMPUTED_VALUE"""),"Nuevo")</f>
        <v>Nuevo</v>
      </c>
    </row>
    <row r="1289">
      <c r="A1289" s="97">
        <f>IFERROR(__xludf.DUMMYFUNCTION("""COMPUTED_VALUE"""),7253.0)</f>
        <v>7253</v>
      </c>
      <c r="B1289" s="97" t="str">
        <f>IFERROR(__xludf.DUMMYFUNCTION("""COMPUTED_VALUE"""),"LAIVA II NG 3000K")</f>
        <v>LAIVA II NG 3000K</v>
      </c>
      <c r="C1289" s="97" t="str">
        <f>IFERROR(__xludf.DUMMYFUNCTION("""COMPUTED_VALUE"""),"COLGANTE LAIVA II NG 3000K 72W 3000K 4785LM CRI&gt;90 IP20 LEUK")</f>
        <v>COLGANTE LAIVA II NG 3000K 72W 3000K 4785LM CRI&gt;90 IP20 LEUK</v>
      </c>
      <c r="D1289" s="97">
        <f>IFERROR(__xludf.DUMMYFUNCTION("""COMPUTED_VALUE"""),7.798413227871E12)</f>
        <v>7798413227871</v>
      </c>
      <c r="E1289" s="97" t="str">
        <f>IFERROR(__xludf.DUMMYFUNCTION("""COMPUTED_VALUE"""),"A79")</f>
        <v>A79</v>
      </c>
      <c r="F1289" s="97" t="str">
        <f>IFERROR(__xludf.DUMMYFUNCTION("""COMPUTED_VALUE"""),"LED SMD2835")</f>
        <v>LED SMD2835</v>
      </c>
      <c r="G1289" s="97" t="str">
        <f>IFERROR(__xludf.DUMMYFUNCTION("""COMPUTED_VALUE"""),"Edison")</f>
        <v>Edison</v>
      </c>
      <c r="H1289" s="97" t="str">
        <f>IFERROR(__xludf.DUMMYFUNCTION("""COMPUTED_VALUE"""),"Eaglerise")</f>
        <v>Eaglerise</v>
      </c>
      <c r="I1289" s="97"/>
      <c r="J1289" s="97" t="str">
        <f>IFERROR(__xludf.DUMMYFUNCTION("""COMPUTED_VALUE"""),"2x Modelo: LS-40-1000 LI EXC S
In: 220-240Vac 0.27A 50/60Hz
Out: 24-40Vdc 1000mA 40W
Pf 0.95 Tc 85°C Ta 45°C")</f>
        <v>2x Modelo: LS-40-1000 LI EXC S
In: 220-240Vac 0.27A 50/60Hz
Out: 24-40Vdc 1000mA 40W
Pf 0.95 Tc 85°C Ta 45°C</v>
      </c>
      <c r="K1289" s="97" t="str">
        <f>IFERROR(__xludf.DUMMYFUNCTION("""COMPUTED_VALUE"""),"ON/OFF")</f>
        <v>ON/OFF</v>
      </c>
      <c r="L1289" s="97" t="str">
        <f>IFERROR(__xludf.DUMMYFUNCTION("""COMPUTED_VALUE"""),"220-240")</f>
        <v>220-240</v>
      </c>
      <c r="M1289" s="97" t="str">
        <f>IFERROR(__xludf.DUMMYFUNCTION("""COMPUTED_VALUE"""),"50/60")</f>
        <v>50/60</v>
      </c>
      <c r="N1289" s="97" t="str">
        <f>IFERROR(__xludf.DUMMYFUNCTION("""COMPUTED_VALUE"""),"Directa")</f>
        <v>Directa</v>
      </c>
      <c r="O1289" s="97">
        <f>IFERROR(__xludf.DUMMYFUNCTION("""COMPUTED_VALUE"""),72.0)</f>
        <v>72</v>
      </c>
      <c r="P1289" s="97"/>
      <c r="Q1289" s="97">
        <f>IFERROR(__xludf.DUMMYFUNCTION("""COMPUTED_VALUE"""),0.95)</f>
        <v>0.95</v>
      </c>
      <c r="R1289" s="97" t="str">
        <f>IFERROR(__xludf.DUMMYFUNCTION("""COMPUTED_VALUE"""),"-")</f>
        <v>-</v>
      </c>
      <c r="S1289" s="97" t="str">
        <f>IFERROR(__xludf.DUMMYFUNCTION("""COMPUTED_VALUE"""),"-")</f>
        <v>-</v>
      </c>
      <c r="T1289" s="97">
        <f>IFERROR(__xludf.DUMMYFUNCTION("""COMPUTED_VALUE"""),4785.0)</f>
        <v>4785</v>
      </c>
      <c r="U1289" s="99">
        <f>IFERROR(__xludf.DUMMYFUNCTION("""COMPUTED_VALUE"""),66.45833333333333)</f>
        <v>66.45833333</v>
      </c>
      <c r="V1289" s="97">
        <f>IFERROR(__xludf.DUMMYFUNCTION("""COMPUTED_VALUE"""),26.0)</f>
        <v>26</v>
      </c>
      <c r="W1289" s="97" t="str">
        <f>IFERROR(__xludf.DUMMYFUNCTION("""COMPUTED_VALUE"""),"&lt; 14")</f>
        <v>&lt; 14</v>
      </c>
      <c r="X1289" s="97">
        <f>IFERROR(__xludf.DUMMYFUNCTION("""COMPUTED_VALUE"""),3000.0)</f>
        <v>3000</v>
      </c>
      <c r="Y1289" s="97" t="str">
        <f>IFERROR(__xludf.DUMMYFUNCTION("""COMPUTED_VALUE"""),"&gt;90")</f>
        <v>&gt;90</v>
      </c>
      <c r="Z1289" s="97" t="str">
        <f>IFERROR(__xludf.DUMMYFUNCTION("""COMPUTED_VALUE"""),"&gt;90")</f>
        <v>&gt;90</v>
      </c>
      <c r="AA1289" s="97" t="str">
        <f>IFERROR(__xludf.DUMMYFUNCTION("""COMPUTED_VALUE"""),"90-99 (Leve desaturación)")</f>
        <v>90-99 (Leve desaturación)</v>
      </c>
      <c r="AB1289" s="97" t="str">
        <f>IFERROR(__xludf.DUMMYFUNCTION("""COMPUTED_VALUE"""),"&lt; 2")</f>
        <v>&lt; 2</v>
      </c>
      <c r="AC1289" s="100" t="str">
        <f>IFERROR(__xludf.DUMMYFUNCTION("""COMPUTED_VALUE"""),"-0.00115")</f>
        <v>-0.00115</v>
      </c>
      <c r="AD1289" s="97" t="str">
        <f>IFERROR(__xludf.DUMMYFUNCTION("""COMPUTED_VALUE"""),"IP20")</f>
        <v>IP20</v>
      </c>
      <c r="AE1289" s="97" t="str">
        <f>IFERROR(__xludf.DUMMYFUNCTION("""COMPUTED_VALUE"""),"Clase l")</f>
        <v>Clase l</v>
      </c>
      <c r="AF1289" s="97" t="str">
        <f>IFERROR(__xludf.DUMMYFUNCTION("""COMPUTED_VALUE"""),"Suspender")</f>
        <v>Suspender</v>
      </c>
      <c r="AG1289" s="97" t="str">
        <f>IFERROR(__xludf.DUMMYFUNCTION("""COMPUTED_VALUE"""),"1600x180x120")</f>
        <v>1600x180x120</v>
      </c>
      <c r="AH1289" s="97" t="str">
        <f>IFERROR(__xludf.DUMMYFUNCTION("""COMPUTED_VALUE"""),"N/A")</f>
        <v>N/A</v>
      </c>
      <c r="AI1289" s="97" t="str">
        <f>IFERROR(__xludf.DUMMYFUNCTION("""COMPUTED_VALUE"""),"N/A")</f>
        <v>N/A</v>
      </c>
      <c r="AJ1289" s="97" t="str">
        <f>IFERROR(__xludf.DUMMYFUNCTION("""COMPUTED_VALUE"""),"PMMA")</f>
        <v>PMMA</v>
      </c>
      <c r="AK1289" s="97" t="str">
        <f>IFERROR(__xludf.DUMMYFUNCTION("""COMPUTED_VALUE"""),"Madera y Acero")</f>
        <v>Madera y Acero</v>
      </c>
      <c r="AL1289" s="97" t="str">
        <f>IFERROR(__xludf.DUMMYFUNCTION("""COMPUTED_VALUE"""),"Negro y Madera")</f>
        <v>Negro y Madera</v>
      </c>
      <c r="AM1289" s="97" t="str">
        <f>IFERROR(__xludf.DUMMYFUNCTION("""COMPUTED_VALUE"""),"-")</f>
        <v>-</v>
      </c>
      <c r="AN1289" s="97" t="str">
        <f>IFERROR(__xludf.DUMMYFUNCTION("""COMPUTED_VALUE"""),"50.000hs (L80)")</f>
        <v>50.000hs (L80)</v>
      </c>
      <c r="AO1289" s="97" t="str">
        <f>IFERROR(__xludf.DUMMYFUNCTION("""COMPUTED_VALUE"""),"3 Años")</f>
        <v>3 Años</v>
      </c>
      <c r="AP1289" s="97" t="str">
        <f>IFERROR(__xludf.DUMMYFUNCTION("""COMPUTED_VALUE"""),"Disponible")</f>
        <v>Disponible</v>
      </c>
      <c r="AQ1289" s="97" t="str">
        <f>IFERROR(__xludf.DUMMYFUNCTION("""COMPUTED_VALUE"""),"Disponible")</f>
        <v>Disponible</v>
      </c>
      <c r="AR1289" s="97" t="str">
        <f>IFERROR(__xludf.DUMMYFUNCTION("""COMPUTED_VALUE"""),"Disponible")</f>
        <v>Disponible</v>
      </c>
      <c r="AS1289" s="97" t="str">
        <f>IFERROR(__xludf.DUMMYFUNCTION("""COMPUTED_VALUE"""),"Disponible")</f>
        <v>Disponible</v>
      </c>
      <c r="AT1289" s="97" t="str">
        <f>IFERROR(__xludf.DUMMYFUNCTION("""COMPUTED_VALUE"""),"Disponible")</f>
        <v>Disponible</v>
      </c>
      <c r="AU1289" s="97" t="str">
        <f>IFERROR(__xludf.DUMMYFUNCTION("""COMPUTED_VALUE"""),"Disponible")</f>
        <v>Disponible</v>
      </c>
      <c r="AV1289" s="97" t="str">
        <f>IFERROR(__xludf.DUMMYFUNCTION("""COMPUTED_VALUE"""),"Colgante")</f>
        <v>Colgante</v>
      </c>
      <c r="AW1289" s="97" t="str">
        <f>IFERROR(__xludf.DUMMYFUNCTION("""COMPUTED_VALUE"""),"De Techo")</f>
        <v>De Techo</v>
      </c>
      <c r="AX1289" s="97" t="str">
        <f>IFERROR(__xludf.DUMMYFUNCTION("""COMPUTED_VALUE"""),"Interior")</f>
        <v>Interior</v>
      </c>
      <c r="AY1289" s="97" t="str">
        <f>IFERROR(__xludf.DUMMYFUNCTION("""COMPUTED_VALUE"""),"Confort Visual")</f>
        <v>Confort Visual</v>
      </c>
      <c r="AZ1289" s="97" t="str">
        <f>IFERROR(__xludf.DUMMYFUNCTION("""COMPUTED_VALUE"""),"Colgante de 2000mm. Florón: 1530x57x45mm. Madera natural de fresno. Doble circuito de alimentación para encendido independiente.")</f>
        <v>Colgante de 2000mm. Florón: 1530x57x45mm. Madera natural de fresno. Doble circuito de alimentación para encendido independiente.</v>
      </c>
      <c r="BA1289" s="97">
        <f>IFERROR(__xludf.DUMMYFUNCTION("""COMPUTED_VALUE"""),1.0)</f>
        <v>1</v>
      </c>
      <c r="BB1289" s="97" t="str">
        <f>IFERROR(__xludf.DUMMYFUNCTION("""COMPUTED_VALUE"""),"-")</f>
        <v>-</v>
      </c>
      <c r="BC1289" s="97" t="str">
        <f>IFERROR(__xludf.DUMMYFUNCTION("""COMPUTED_VALUE"""),"-")</f>
        <v>-</v>
      </c>
      <c r="BD1289" s="97" t="str">
        <f>IFERROR(__xludf.DUMMYFUNCTION("""COMPUTED_VALUE"""),"LAIVA")</f>
        <v>LAIVA</v>
      </c>
      <c r="BE1289" s="97" t="str">
        <f>IFERROR(__xludf.DUMMYFUNCTION("""COMPUTED_VALUE"""),"Solicitada")</f>
        <v>Solicitada</v>
      </c>
      <c r="BF1289" s="97"/>
      <c r="BG1289" s="97" t="str">
        <f>IFERROR(__xludf.DUMMYFUNCTION("""COMPUTED_VALUE"""),"Nuevo")</f>
        <v>Nuevo</v>
      </c>
    </row>
    <row r="1290">
      <c r="A1290" s="97">
        <f>IFERROR(__xludf.DUMMYFUNCTION("""COMPUTED_VALUE"""),7279.0)</f>
        <v>7279</v>
      </c>
      <c r="B1290" s="97" t="str">
        <f>IFERROR(__xludf.DUMMYFUNCTION("""COMPUTED_VALUE"""),"MARCO REN SLIM")</f>
        <v>MARCO REN SLIM</v>
      </c>
      <c r="C1290" s="97" t="str">
        <f>IFERROR(__xludf.DUMMYFUNCTION("""COMPUTED_VALUE"""),"ACCESORIO MARCO REN SLIM LEUK")</f>
        <v>ACCESORIO MARCO REN SLIM LEUK</v>
      </c>
      <c r="D1290" s="97">
        <f>IFERROR(__xludf.DUMMYFUNCTION("""COMPUTED_VALUE"""),7.798413228465E12)</f>
        <v>7798413228465</v>
      </c>
      <c r="E1290" s="97" t="str">
        <f>IFERROR(__xludf.DUMMYFUNCTION("""COMPUTED_VALUE"""),"N/A")</f>
        <v>N/A</v>
      </c>
      <c r="F1290" s="97" t="str">
        <f>IFERROR(__xludf.DUMMYFUNCTION("""COMPUTED_VALUE"""),"N/A")</f>
        <v>N/A</v>
      </c>
      <c r="G1290" s="97" t="str">
        <f>IFERROR(__xludf.DUMMYFUNCTION("""COMPUTED_VALUE"""),"N/A")</f>
        <v>N/A</v>
      </c>
      <c r="H1290" s="97" t="str">
        <f>IFERROR(__xludf.DUMMYFUNCTION("""COMPUTED_VALUE"""),"N/A")</f>
        <v>N/A</v>
      </c>
      <c r="I1290" s="97" t="str">
        <f>IFERROR(__xludf.DUMMYFUNCTION("""COMPUTED_VALUE"""),"N/A")</f>
        <v>N/A</v>
      </c>
      <c r="J1290" s="97" t="str">
        <f>IFERROR(__xludf.DUMMYFUNCTION("""COMPUTED_VALUE"""),"N/A")</f>
        <v>N/A</v>
      </c>
      <c r="K1290" s="97" t="str">
        <f>IFERROR(__xludf.DUMMYFUNCTION("""COMPUTED_VALUE"""),"N/A")</f>
        <v>N/A</v>
      </c>
      <c r="L1290" s="97" t="str">
        <f>IFERROR(__xludf.DUMMYFUNCTION("""COMPUTED_VALUE"""),"N/A")</f>
        <v>N/A</v>
      </c>
      <c r="M1290" s="97" t="str">
        <f>IFERROR(__xludf.DUMMYFUNCTION("""COMPUTED_VALUE"""),"N/A")</f>
        <v>N/A</v>
      </c>
      <c r="N1290" s="97" t="str">
        <f>IFERROR(__xludf.DUMMYFUNCTION("""COMPUTED_VALUE"""),"N/A")</f>
        <v>N/A</v>
      </c>
      <c r="O1290" s="97" t="str">
        <f>IFERROR(__xludf.DUMMYFUNCTION("""COMPUTED_VALUE"""),"-")</f>
        <v>-</v>
      </c>
      <c r="P1290" s="97"/>
      <c r="Q1290" s="97" t="str">
        <f>IFERROR(__xludf.DUMMYFUNCTION("""COMPUTED_VALUE"""),"-")</f>
        <v>-</v>
      </c>
      <c r="R1290" s="97" t="str">
        <f>IFERROR(__xludf.DUMMYFUNCTION("""COMPUTED_VALUE"""),"-")</f>
        <v>-</v>
      </c>
      <c r="S1290" s="97" t="str">
        <f>IFERROR(__xludf.DUMMYFUNCTION("""COMPUTED_VALUE"""),"-")</f>
        <v>-</v>
      </c>
      <c r="T1290" s="97" t="str">
        <f>IFERROR(__xludf.DUMMYFUNCTION("""COMPUTED_VALUE"""),"-")</f>
        <v>-</v>
      </c>
      <c r="U1290" s="97" t="str">
        <f>IFERROR(__xludf.DUMMYFUNCTION("""COMPUTED_VALUE"""),"-")</f>
        <v>-</v>
      </c>
      <c r="V1290" s="97" t="str">
        <f>IFERROR(__xludf.DUMMYFUNCTION("""COMPUTED_VALUE"""),"N/A")</f>
        <v>N/A</v>
      </c>
      <c r="W1290" s="97" t="str">
        <f>IFERROR(__xludf.DUMMYFUNCTION("""COMPUTED_VALUE"""),"N/A")</f>
        <v>N/A</v>
      </c>
      <c r="X1290" s="97" t="str">
        <f>IFERROR(__xludf.DUMMYFUNCTION("""COMPUTED_VALUE"""),"-")</f>
        <v>-</v>
      </c>
      <c r="Y1290" s="97" t="str">
        <f>IFERROR(__xludf.DUMMYFUNCTION("""COMPUTED_VALUE"""),"N/A")</f>
        <v>N/A</v>
      </c>
      <c r="Z1290" s="97" t="str">
        <f>IFERROR(__xludf.DUMMYFUNCTION("""COMPUTED_VALUE"""),"N/A")</f>
        <v>N/A</v>
      </c>
      <c r="AA1290" s="97" t="str">
        <f>IFERROR(__xludf.DUMMYFUNCTION("""COMPUTED_VALUE"""),"N/A")</f>
        <v>N/A</v>
      </c>
      <c r="AB1290" s="97" t="str">
        <f>IFERROR(__xludf.DUMMYFUNCTION("""COMPUTED_VALUE"""),"N/A")</f>
        <v>N/A</v>
      </c>
      <c r="AC1290" s="97" t="str">
        <f>IFERROR(__xludf.DUMMYFUNCTION("""COMPUTED_VALUE"""),"N/A")</f>
        <v>N/A</v>
      </c>
      <c r="AD1290" s="97" t="str">
        <f>IFERROR(__xludf.DUMMYFUNCTION("""COMPUTED_VALUE"""),"N/A")</f>
        <v>N/A</v>
      </c>
      <c r="AE1290" s="97" t="str">
        <f>IFERROR(__xludf.DUMMYFUNCTION("""COMPUTED_VALUE"""),"N/A")</f>
        <v>N/A</v>
      </c>
      <c r="AF1290" s="97" t="str">
        <f>IFERROR(__xludf.DUMMYFUNCTION("""COMPUTED_VALUE"""),"N/A")</f>
        <v>N/A</v>
      </c>
      <c r="AG1290" s="97" t="str">
        <f>IFERROR(__xludf.DUMMYFUNCTION("""COMPUTED_VALUE"""),"295x595x60")</f>
        <v>295x595x60</v>
      </c>
      <c r="AH1290" s="97" t="str">
        <f>IFERROR(__xludf.DUMMYFUNCTION("""COMPUTED_VALUE"""),"N/A")</f>
        <v>N/A</v>
      </c>
      <c r="AI1290" s="97" t="str">
        <f>IFERROR(__xludf.DUMMYFUNCTION("""COMPUTED_VALUE"""),"N/A")</f>
        <v>N/A</v>
      </c>
      <c r="AJ1290" s="97" t="str">
        <f>IFERROR(__xludf.DUMMYFUNCTION("""COMPUTED_VALUE"""),"N/A")</f>
        <v>N/A</v>
      </c>
      <c r="AK1290" s="97" t="str">
        <f>IFERROR(__xludf.DUMMYFUNCTION("""COMPUTED_VALUE"""),"Aluminio")</f>
        <v>Aluminio</v>
      </c>
      <c r="AL1290" s="97" t="str">
        <f>IFERROR(__xludf.DUMMYFUNCTION("""COMPUTED_VALUE"""),"Blanco Satinado")</f>
        <v>Blanco Satinado</v>
      </c>
      <c r="AM1290" s="97" t="str">
        <f>IFERROR(__xludf.DUMMYFUNCTION("""COMPUTED_VALUE"""),"-")</f>
        <v>-</v>
      </c>
      <c r="AN1290" s="97" t="str">
        <f>IFERROR(__xludf.DUMMYFUNCTION("""COMPUTED_VALUE"""),"N/A")</f>
        <v>N/A</v>
      </c>
      <c r="AO1290" s="97" t="str">
        <f>IFERROR(__xludf.DUMMYFUNCTION("""COMPUTED_VALUE"""),"4 Años")</f>
        <v>4 Años</v>
      </c>
      <c r="AP1290" s="97" t="str">
        <f>IFERROR(__xludf.DUMMYFUNCTION("""COMPUTED_VALUE"""),"No Aplica")</f>
        <v>No Aplica</v>
      </c>
      <c r="AQ1290" s="97" t="str">
        <f>IFERROR(__xludf.DUMMYFUNCTION("""COMPUTED_VALUE"""),"No Aplica")</f>
        <v>No Aplica</v>
      </c>
      <c r="AR1290" s="97" t="str">
        <f>IFERROR(__xludf.DUMMYFUNCTION("""COMPUTED_VALUE"""),"No Aplica")</f>
        <v>No Aplica</v>
      </c>
      <c r="AS1290" s="97" t="str">
        <f>IFERROR(__xludf.DUMMYFUNCTION("""COMPUTED_VALUE"""),"Falta")</f>
        <v>Falta</v>
      </c>
      <c r="AT1290" s="97" t="str">
        <f>IFERROR(__xludf.DUMMYFUNCTION("""COMPUTED_VALUE"""),"No Aplica")</f>
        <v>No Aplica</v>
      </c>
      <c r="AU1290" s="97" t="str">
        <f>IFERROR(__xludf.DUMMYFUNCTION("""COMPUTED_VALUE"""),"Disponible")</f>
        <v>Disponible</v>
      </c>
      <c r="AV1290" s="97" t="str">
        <f>IFERROR(__xludf.DUMMYFUNCTION("""COMPUTED_VALUE"""),"Accesorio")</f>
        <v>Accesorio</v>
      </c>
      <c r="AW1290" s="97" t="str">
        <f>IFERROR(__xludf.DUMMYFUNCTION("""COMPUTED_VALUE"""),"De Techo")</f>
        <v>De Techo</v>
      </c>
      <c r="AX1290" s="97" t="str">
        <f>IFERROR(__xludf.DUMMYFUNCTION("""COMPUTED_VALUE"""),"Interior")</f>
        <v>Interior</v>
      </c>
      <c r="AY1290" s="97" t="str">
        <f>IFERROR(__xludf.DUMMYFUNCTION("""COMPUTED_VALUE"""),"Cielo")</f>
        <v>Cielo</v>
      </c>
      <c r="AZ1290" s="97"/>
      <c r="BA1290" s="97"/>
      <c r="BB1290" s="97"/>
      <c r="BC1290" s="97"/>
      <c r="BD1290" s="97" t="str">
        <f>IFERROR(__xludf.DUMMYFUNCTION("""COMPUTED_VALUE"""),"REN")</f>
        <v>REN</v>
      </c>
      <c r="BE1290" s="97" t="str">
        <f>IFERROR(__xludf.DUMMYFUNCTION("""COMPUTED_VALUE"""),"Solicitada")</f>
        <v>Solicitada</v>
      </c>
      <c r="BF1290" s="97"/>
      <c r="BG1290" s="97" t="str">
        <f>IFERROR(__xludf.DUMMYFUNCTION("""COMPUTED_VALUE"""),"Nuevo")</f>
        <v>Nuevo</v>
      </c>
    </row>
    <row r="1291">
      <c r="A1291" s="97">
        <f>IFERROR(__xludf.DUMMYFUNCTION("""COMPUTED_VALUE"""),7280.0)</f>
        <v>7280</v>
      </c>
      <c r="B1291" s="97" t="str">
        <f>IFERROR(__xludf.DUMMYFUNCTION("""COMPUTED_VALUE"""),"POCKET III NGNG 3000K TRIAC")</f>
        <v>POCKET III NGNG 3000K TRIAC</v>
      </c>
      <c r="C1291" s="97" t="str">
        <f>IFERROR(__xludf.DUMMYFUNCTION("""COMPUTED_VALUE"""),"EMPOTRABLE POCKET III NGNG 3000K TRIAC 5W 3000K 305LM CRI&gt;90 IP20 LEUK")</f>
        <v>EMPOTRABLE POCKET III NGNG 3000K TRIAC 5W 3000K 305LM CRI&gt;90 IP20 LEUK</v>
      </c>
      <c r="D1291" s="97">
        <f>IFERROR(__xludf.DUMMYFUNCTION("""COMPUTED_VALUE"""),7.798413228205E12)</f>
        <v>7798413228205</v>
      </c>
      <c r="E1291" s="97" t="str">
        <f>IFERROR(__xludf.DUMMYFUNCTION("""COMPUTED_VALUE"""),"F82")</f>
        <v>F82</v>
      </c>
      <c r="F1291" s="97" t="str">
        <f>IFERROR(__xludf.DUMMYFUNCTION("""COMPUTED_VALUE"""),"LED SMD")</f>
        <v>LED SMD</v>
      </c>
      <c r="G1291" s="97" t="str">
        <f>IFERROR(__xludf.DUMMYFUNCTION("""COMPUTED_VALUE"""),"Bridgelux")</f>
        <v>Bridgelux</v>
      </c>
      <c r="H1291" s="97" t="str">
        <f>IFERROR(__xludf.DUMMYFUNCTION("""COMPUTED_VALUE"""),"AiDimming")</f>
        <v>AiDimming</v>
      </c>
      <c r="I1291" s="97" t="str">
        <f>IFERROR(__xludf.DUMMYFUNCTION("""COMPUTED_VALUE"""),"Si")</f>
        <v>Si</v>
      </c>
      <c r="J1291" s="97" t="str">
        <f>IFERROR(__xludf.DUMMYFUNCTION("""COMPUTED_VALUE"""),"Modelo: PE594M1550
In: 200-250Vac 0.05A 50/60Hz
Out: 6-15Vdc 500mA 7.5W
Pf 0.94 Tc 85°C Ta 45°C
FlickerFree")</f>
        <v>Modelo: PE594M1550
In: 200-250Vac 0.05A 50/60Hz
Out: 6-15Vdc 500mA 7.5W
Pf 0.94 Tc 85°C Ta 45°C
FlickerFree</v>
      </c>
      <c r="K1291" s="97" t="str">
        <f>IFERROR(__xludf.DUMMYFUNCTION("""COMPUTED_VALUE"""),"TRIAC")</f>
        <v>TRIAC</v>
      </c>
      <c r="L1291" s="97" t="str">
        <f>IFERROR(__xludf.DUMMYFUNCTION("""COMPUTED_VALUE"""),"200-240")</f>
        <v>200-240</v>
      </c>
      <c r="M1291" s="97" t="str">
        <f>IFERROR(__xludf.DUMMYFUNCTION("""COMPUTED_VALUE"""),"50/60")</f>
        <v>50/60</v>
      </c>
      <c r="N1291" s="97" t="str">
        <f>IFERROR(__xludf.DUMMYFUNCTION("""COMPUTED_VALUE"""),"Directa")</f>
        <v>Directa</v>
      </c>
      <c r="O1291" s="97">
        <f>IFERROR(__xludf.DUMMYFUNCTION("""COMPUTED_VALUE"""),5.0)</f>
        <v>5</v>
      </c>
      <c r="P1291" s="97"/>
      <c r="Q1291" s="97">
        <f>IFERROR(__xludf.DUMMYFUNCTION("""COMPUTED_VALUE"""),0.95)</f>
        <v>0.95</v>
      </c>
      <c r="R1291" s="97" t="str">
        <f>IFERROR(__xludf.DUMMYFUNCTION("""COMPUTED_VALUE"""),"-")</f>
        <v>-</v>
      </c>
      <c r="S1291" s="97" t="str">
        <f>IFERROR(__xludf.DUMMYFUNCTION("""COMPUTED_VALUE"""),"-")</f>
        <v>-</v>
      </c>
      <c r="T1291" s="97">
        <f>IFERROR(__xludf.DUMMYFUNCTION("""COMPUTED_VALUE"""),305.0)</f>
        <v>305</v>
      </c>
      <c r="U1291" s="97">
        <f>IFERROR(__xludf.DUMMYFUNCTION("""COMPUTED_VALUE"""),61.0)</f>
        <v>61</v>
      </c>
      <c r="V1291" s="97">
        <f>IFERROR(__xludf.DUMMYFUNCTION("""COMPUTED_VALUE"""),36.0)</f>
        <v>36</v>
      </c>
      <c r="W1291" s="97" t="str">
        <f>IFERROR(__xludf.DUMMYFUNCTION("""COMPUTED_VALUE"""),"&lt; 14")</f>
        <v>&lt; 14</v>
      </c>
      <c r="X1291" s="97">
        <f>IFERROR(__xludf.DUMMYFUNCTION("""COMPUTED_VALUE"""),3000.0)</f>
        <v>3000</v>
      </c>
      <c r="Y1291" s="97" t="str">
        <f>IFERROR(__xludf.DUMMYFUNCTION("""COMPUTED_VALUE"""),"&gt;90")</f>
        <v>&gt;90</v>
      </c>
      <c r="Z1291" s="97"/>
      <c r="AA1291" s="97"/>
      <c r="AB1291" s="97" t="str">
        <f>IFERROR(__xludf.DUMMYFUNCTION("""COMPUTED_VALUE"""),"&lt; 5")</f>
        <v>&lt; 5</v>
      </c>
      <c r="AC1291" s="97"/>
      <c r="AD1291" s="97" t="str">
        <f>IFERROR(__xludf.DUMMYFUNCTION("""COMPUTED_VALUE"""),"IP20")</f>
        <v>IP20</v>
      </c>
      <c r="AE1291" s="97" t="str">
        <f>IFERROR(__xludf.DUMMYFUNCTION("""COMPUTED_VALUE"""),"Clase l")</f>
        <v>Clase l</v>
      </c>
      <c r="AF1291" s="97" t="str">
        <f>IFERROR(__xludf.DUMMYFUNCTION("""COMPUTED_VALUE"""),"Embutir")</f>
        <v>Embutir</v>
      </c>
      <c r="AG1291" s="97" t="str">
        <f>IFERROR(__xludf.DUMMYFUNCTION("""COMPUTED_VALUE"""),"69 x 31 x 40")</f>
        <v>69 x 31 x 40</v>
      </c>
      <c r="AH1291" s="97" t="str">
        <f>IFERROR(__xludf.DUMMYFUNCTION("""COMPUTED_VALUE"""),"65 x 27")</f>
        <v>65 x 27</v>
      </c>
      <c r="AI1291" s="97">
        <f>IFERROR(__xludf.DUMMYFUNCTION("""COMPUTED_VALUE"""),55.0)</f>
        <v>55</v>
      </c>
      <c r="AJ1291" s="97" t="str">
        <f>IFERROR(__xludf.DUMMYFUNCTION("""COMPUTED_VALUE"""),"Policarbonato (PC)")</f>
        <v>Policarbonato (PC)</v>
      </c>
      <c r="AK1291" s="97" t="str">
        <f>IFERROR(__xludf.DUMMYFUNCTION("""COMPUTED_VALUE"""),"Aluminio")</f>
        <v>Aluminio</v>
      </c>
      <c r="AL1291" s="97" t="str">
        <f>IFERROR(__xludf.DUMMYFUNCTION("""COMPUTED_VALUE"""),"Negro Satinado")</f>
        <v>Negro Satinado</v>
      </c>
      <c r="AM1291" s="97" t="str">
        <f>IFERROR(__xludf.DUMMYFUNCTION("""COMPUTED_VALUE"""),"-")</f>
        <v>-</v>
      </c>
      <c r="AN1291" s="97" t="str">
        <f>IFERROR(__xludf.DUMMYFUNCTION("""COMPUTED_VALUE"""),"40.000hs (L70)")</f>
        <v>40.000hs (L70)</v>
      </c>
      <c r="AO1291" s="97" t="str">
        <f>IFERROR(__xludf.DUMMYFUNCTION("""COMPUTED_VALUE"""),"4 Años")</f>
        <v>4 Años</v>
      </c>
      <c r="AP1291" s="97" t="str">
        <f>IFERROR(__xludf.DUMMYFUNCTION("""COMPUTED_VALUE"""),"Falta")</f>
        <v>Falta</v>
      </c>
      <c r="AQ1291" s="97" t="str">
        <f>IFERROR(__xludf.DUMMYFUNCTION("""COMPUTED_VALUE"""),"Falta")</f>
        <v>Falta</v>
      </c>
      <c r="AR1291" s="97" t="str">
        <f>IFERROR(__xludf.DUMMYFUNCTION("""COMPUTED_VALUE"""),"En revisión")</f>
        <v>En revisión</v>
      </c>
      <c r="AS1291" s="97" t="str">
        <f>IFERROR(__xludf.DUMMYFUNCTION("""COMPUTED_VALUE"""),"Falta")</f>
        <v>Falta</v>
      </c>
      <c r="AT1291" s="97" t="str">
        <f>IFERROR(__xludf.DUMMYFUNCTION("""COMPUTED_VALUE"""),"Falta")</f>
        <v>Falta</v>
      </c>
      <c r="AU1291" s="97" t="str">
        <f>IFERROR(__xludf.DUMMYFUNCTION("""COMPUTED_VALUE"""),"Falta")</f>
        <v>Falta</v>
      </c>
      <c r="AV1291" s="97" t="str">
        <f>IFERROR(__xludf.DUMMYFUNCTION("""COMPUTED_VALUE"""),"Empotrable")</f>
        <v>Empotrable</v>
      </c>
      <c r="AW1291" s="97" t="str">
        <f>IFERROR(__xludf.DUMMYFUNCTION("""COMPUTED_VALUE"""),"De Techo")</f>
        <v>De Techo</v>
      </c>
      <c r="AX1291" s="97" t="str">
        <f>IFERROR(__xludf.DUMMYFUNCTION("""COMPUTED_VALUE"""),"Interior")</f>
        <v>Interior</v>
      </c>
      <c r="AY1291" s="97" t="str">
        <f>IFERROR(__xludf.DUMMYFUNCTION("""COMPUTED_VALUE"""),"Pocket")</f>
        <v>Pocket</v>
      </c>
      <c r="AZ1291" s="97"/>
      <c r="BA1291" s="97"/>
      <c r="BB1291" s="97"/>
      <c r="BC1291" s="97"/>
      <c r="BD1291" s="97" t="str">
        <f>IFERROR(__xludf.DUMMYFUNCTION("""COMPUTED_VALUE"""),"POCKET III")</f>
        <v>POCKET III</v>
      </c>
      <c r="BE1291" s="97" t="str">
        <f>IFERROR(__xludf.DUMMYFUNCTION("""COMPUTED_VALUE"""),"Falta TR")</f>
        <v>Falta TR</v>
      </c>
      <c r="BF1291" s="97">
        <f>IFERROR(__xludf.DUMMYFUNCTION("""COMPUTED_VALUE"""),7737.0)</f>
        <v>7737</v>
      </c>
      <c r="BG1291" s="97" t="str">
        <f>IFERROR(__xludf.DUMMYFUNCTION("""COMPUTED_VALUE"""),"En Salida")</f>
        <v>En Salida</v>
      </c>
    </row>
    <row r="1292">
      <c r="A1292" s="97">
        <f>IFERROR(__xludf.DUMMYFUNCTION("""COMPUTED_VALUE"""),7281.0)</f>
        <v>7281</v>
      </c>
      <c r="B1292" s="97" t="str">
        <f>IFERROR(__xludf.DUMMYFUNCTION("""COMPUTED_VALUE"""),"POCKET III BLBL 3000k")</f>
        <v>POCKET III BLBL 3000k</v>
      </c>
      <c r="C1292" s="97" t="str">
        <f>IFERROR(__xludf.DUMMYFUNCTION("""COMPUTED_VALUE"""),"EMPOTRABLE POCKET III BLBL 3000K 5W 3000K 305LM CRI&gt;90 IP20 LEUK")</f>
        <v>EMPOTRABLE POCKET III BLBL 3000K 5W 3000K 305LM CRI&gt;90 IP20 LEUK</v>
      </c>
      <c r="D1292" s="97">
        <f>IFERROR(__xludf.DUMMYFUNCTION("""COMPUTED_VALUE"""),7.798413228212E12)</f>
        <v>7798413228212</v>
      </c>
      <c r="E1292" s="97" t="str">
        <f>IFERROR(__xludf.DUMMYFUNCTION("""COMPUTED_VALUE"""),"F82")</f>
        <v>F82</v>
      </c>
      <c r="F1292" s="97" t="str">
        <f>IFERROR(__xludf.DUMMYFUNCTION("""COMPUTED_VALUE"""),"LED SMD")</f>
        <v>LED SMD</v>
      </c>
      <c r="G1292" s="97" t="str">
        <f>IFERROR(__xludf.DUMMYFUNCTION("""COMPUTED_VALUE"""),"Bridgelux")</f>
        <v>Bridgelux</v>
      </c>
      <c r="H1292" s="97" t="str">
        <f>IFERROR(__xludf.DUMMYFUNCTION("""COMPUTED_VALUE"""),"Eaglerise")</f>
        <v>Eaglerise</v>
      </c>
      <c r="I1292" s="97" t="str">
        <f>IFERROR(__xludf.DUMMYFUNCTION("""COMPUTED_VALUE"""),"Si")</f>
        <v>Si</v>
      </c>
      <c r="J1292" s="97" t="str">
        <f>IFERROR(__xludf.DUMMYFUNCTION("""COMPUTED_VALUE"""),"Modelo: LS-6-500 SI E
In: 220-240Vac 0.11A 50/60Hz
Out: 5-12Vdc 500mA 6W
Pf 0.5 Tc 50°C Ta 80°C")</f>
        <v>Modelo: LS-6-500 SI E
In: 220-240Vac 0.11A 50/60Hz
Out: 5-12Vdc 500mA 6W
Pf 0.5 Tc 50°C Ta 80°C</v>
      </c>
      <c r="K1292" s="97" t="str">
        <f>IFERROR(__xludf.DUMMYFUNCTION("""COMPUTED_VALUE"""),"ON/OFF")</f>
        <v>ON/OFF</v>
      </c>
      <c r="L1292" s="97" t="str">
        <f>IFERROR(__xludf.DUMMYFUNCTION("""COMPUTED_VALUE"""),"200-240")</f>
        <v>200-240</v>
      </c>
      <c r="M1292" s="97" t="str">
        <f>IFERROR(__xludf.DUMMYFUNCTION("""COMPUTED_VALUE"""),"50/60")</f>
        <v>50/60</v>
      </c>
      <c r="N1292" s="97" t="str">
        <f>IFERROR(__xludf.DUMMYFUNCTION("""COMPUTED_VALUE"""),"Directa")</f>
        <v>Directa</v>
      </c>
      <c r="O1292" s="97">
        <f>IFERROR(__xludf.DUMMYFUNCTION("""COMPUTED_VALUE"""),5.0)</f>
        <v>5</v>
      </c>
      <c r="P1292" s="97"/>
      <c r="Q1292" s="97">
        <f>IFERROR(__xludf.DUMMYFUNCTION("""COMPUTED_VALUE"""),0.5)</f>
        <v>0.5</v>
      </c>
      <c r="R1292" s="97" t="str">
        <f>IFERROR(__xludf.DUMMYFUNCTION("""COMPUTED_VALUE"""),"-")</f>
        <v>-</v>
      </c>
      <c r="S1292" s="97" t="str">
        <f>IFERROR(__xludf.DUMMYFUNCTION("""COMPUTED_VALUE"""),"-")</f>
        <v>-</v>
      </c>
      <c r="T1292" s="97">
        <f>IFERROR(__xludf.DUMMYFUNCTION("""COMPUTED_VALUE"""),305.0)</f>
        <v>305</v>
      </c>
      <c r="U1292" s="97">
        <f>IFERROR(__xludf.DUMMYFUNCTION("""COMPUTED_VALUE"""),61.0)</f>
        <v>61</v>
      </c>
      <c r="V1292" s="97">
        <f>IFERROR(__xludf.DUMMYFUNCTION("""COMPUTED_VALUE"""),36.0)</f>
        <v>36</v>
      </c>
      <c r="W1292" s="97" t="str">
        <f>IFERROR(__xludf.DUMMYFUNCTION("""COMPUTED_VALUE"""),"&lt; 14")</f>
        <v>&lt; 14</v>
      </c>
      <c r="X1292" s="97">
        <f>IFERROR(__xludf.DUMMYFUNCTION("""COMPUTED_VALUE"""),3000.0)</f>
        <v>3000</v>
      </c>
      <c r="Y1292" s="97" t="str">
        <f>IFERROR(__xludf.DUMMYFUNCTION("""COMPUTED_VALUE"""),"&gt;90")</f>
        <v>&gt;90</v>
      </c>
      <c r="Z1292" s="97"/>
      <c r="AA1292" s="97"/>
      <c r="AB1292" s="97" t="str">
        <f>IFERROR(__xludf.DUMMYFUNCTION("""COMPUTED_VALUE"""),"&lt; 5")</f>
        <v>&lt; 5</v>
      </c>
      <c r="AC1292" s="97"/>
      <c r="AD1292" s="97" t="str">
        <f>IFERROR(__xludf.DUMMYFUNCTION("""COMPUTED_VALUE"""),"IP20")</f>
        <v>IP20</v>
      </c>
      <c r="AE1292" s="97" t="str">
        <f>IFERROR(__xludf.DUMMYFUNCTION("""COMPUTED_VALUE"""),"Clase l")</f>
        <v>Clase l</v>
      </c>
      <c r="AF1292" s="97" t="str">
        <f>IFERROR(__xludf.DUMMYFUNCTION("""COMPUTED_VALUE"""),"Embutir")</f>
        <v>Embutir</v>
      </c>
      <c r="AG1292" s="97" t="str">
        <f>IFERROR(__xludf.DUMMYFUNCTION("""COMPUTED_VALUE"""),"69 x 31 x 40")</f>
        <v>69 x 31 x 40</v>
      </c>
      <c r="AH1292" s="97" t="str">
        <f>IFERROR(__xludf.DUMMYFUNCTION("""COMPUTED_VALUE"""),"65 x 27")</f>
        <v>65 x 27</v>
      </c>
      <c r="AI1292" s="97">
        <f>IFERROR(__xludf.DUMMYFUNCTION("""COMPUTED_VALUE"""),55.0)</f>
        <v>55</v>
      </c>
      <c r="AJ1292" s="97" t="str">
        <f>IFERROR(__xludf.DUMMYFUNCTION("""COMPUTED_VALUE"""),"Policarbonato (PC)")</f>
        <v>Policarbonato (PC)</v>
      </c>
      <c r="AK1292" s="97" t="str">
        <f>IFERROR(__xludf.DUMMYFUNCTION("""COMPUTED_VALUE"""),"Aluminio")</f>
        <v>Aluminio</v>
      </c>
      <c r="AL1292" s="97" t="str">
        <f>IFERROR(__xludf.DUMMYFUNCTION("""COMPUTED_VALUE"""),"Blanco Satinado")</f>
        <v>Blanco Satinado</v>
      </c>
      <c r="AM1292" s="97" t="str">
        <f>IFERROR(__xludf.DUMMYFUNCTION("""COMPUTED_VALUE"""),"-")</f>
        <v>-</v>
      </c>
      <c r="AN1292" s="97" t="str">
        <f>IFERROR(__xludf.DUMMYFUNCTION("""COMPUTED_VALUE"""),"40.000hs (L70)")</f>
        <v>40.000hs (L70)</v>
      </c>
      <c r="AO1292" s="97" t="str">
        <f>IFERROR(__xludf.DUMMYFUNCTION("""COMPUTED_VALUE"""),"4 Años")</f>
        <v>4 Años</v>
      </c>
      <c r="AP1292" s="97" t="str">
        <f>IFERROR(__xludf.DUMMYFUNCTION("""COMPUTED_VALUE"""),"Falta")</f>
        <v>Falta</v>
      </c>
      <c r="AQ1292" s="97" t="str">
        <f>IFERROR(__xludf.DUMMYFUNCTION("""COMPUTED_VALUE"""),"Falta")</f>
        <v>Falta</v>
      </c>
      <c r="AR1292" s="97" t="str">
        <f>IFERROR(__xludf.DUMMYFUNCTION("""COMPUTED_VALUE"""),"En revisión")</f>
        <v>En revisión</v>
      </c>
      <c r="AS1292" s="97" t="str">
        <f>IFERROR(__xludf.DUMMYFUNCTION("""COMPUTED_VALUE"""),"Falta")</f>
        <v>Falta</v>
      </c>
      <c r="AT1292" s="97" t="str">
        <f>IFERROR(__xludf.DUMMYFUNCTION("""COMPUTED_VALUE"""),"Falta")</f>
        <v>Falta</v>
      </c>
      <c r="AU1292" s="97" t="str">
        <f>IFERROR(__xludf.DUMMYFUNCTION("""COMPUTED_VALUE"""),"Falta")</f>
        <v>Falta</v>
      </c>
      <c r="AV1292" s="97" t="str">
        <f>IFERROR(__xludf.DUMMYFUNCTION("""COMPUTED_VALUE"""),"Empotrable")</f>
        <v>Empotrable</v>
      </c>
      <c r="AW1292" s="97" t="str">
        <f>IFERROR(__xludf.DUMMYFUNCTION("""COMPUTED_VALUE"""),"De Techo")</f>
        <v>De Techo</v>
      </c>
      <c r="AX1292" s="97" t="str">
        <f>IFERROR(__xludf.DUMMYFUNCTION("""COMPUTED_VALUE"""),"Interior")</f>
        <v>Interior</v>
      </c>
      <c r="AY1292" s="97" t="str">
        <f>IFERROR(__xludf.DUMMYFUNCTION("""COMPUTED_VALUE"""),"Pocket")</f>
        <v>Pocket</v>
      </c>
      <c r="AZ1292" s="97"/>
      <c r="BA1292" s="97"/>
      <c r="BB1292" s="97"/>
      <c r="BC1292" s="97"/>
      <c r="BD1292" s="97" t="str">
        <f>IFERROR(__xludf.DUMMYFUNCTION("""COMPUTED_VALUE"""),"POCKET III")</f>
        <v>POCKET III</v>
      </c>
      <c r="BE1292" s="97" t="str">
        <f>IFERROR(__xludf.DUMMYFUNCTION("""COMPUTED_VALUE"""),"Falta TR")</f>
        <v>Falta TR</v>
      </c>
      <c r="BF1292" s="97">
        <f>IFERROR(__xludf.DUMMYFUNCTION("""COMPUTED_VALUE"""),7723.0)</f>
        <v>7723</v>
      </c>
      <c r="BG1292" s="97" t="str">
        <f>IFERROR(__xludf.DUMMYFUNCTION("""COMPUTED_VALUE"""),"En Salida")</f>
        <v>En Salida</v>
      </c>
    </row>
    <row r="1293">
      <c r="A1293" s="97">
        <f>IFERROR(__xludf.DUMMYFUNCTION("""COMPUTED_VALUE"""),7282.0)</f>
        <v>7282</v>
      </c>
      <c r="B1293" s="97" t="str">
        <f>IFERROR(__xludf.DUMMYFUNCTION("""COMPUTED_VALUE"""),"POCKET III NGNG 2700K")</f>
        <v>POCKET III NGNG 2700K</v>
      </c>
      <c r="C1293" s="97" t="str">
        <f>IFERROR(__xludf.DUMMYFUNCTION("""COMPUTED_VALUE"""),"EMPOTRABLE POCKET III NGNG 2700K 5W 2700K 305LM CRI&gt;90 IP20 LEUK")</f>
        <v>EMPOTRABLE POCKET III NGNG 2700K 5W 2700K 305LM CRI&gt;90 IP20 LEUK</v>
      </c>
      <c r="D1293" s="97">
        <f>IFERROR(__xludf.DUMMYFUNCTION("""COMPUTED_VALUE"""),7.798413228229E12)</f>
        <v>7798413228229</v>
      </c>
      <c r="E1293" s="97" t="str">
        <f>IFERROR(__xludf.DUMMYFUNCTION("""COMPUTED_VALUE"""),"F82")</f>
        <v>F82</v>
      </c>
      <c r="F1293" s="97" t="str">
        <f>IFERROR(__xludf.DUMMYFUNCTION("""COMPUTED_VALUE"""),"LED SMD")</f>
        <v>LED SMD</v>
      </c>
      <c r="G1293" s="97" t="str">
        <f>IFERROR(__xludf.DUMMYFUNCTION("""COMPUTED_VALUE"""),"Bridgelux")</f>
        <v>Bridgelux</v>
      </c>
      <c r="H1293" s="97" t="str">
        <f>IFERROR(__xludf.DUMMYFUNCTION("""COMPUTED_VALUE"""),"Eaglerise")</f>
        <v>Eaglerise</v>
      </c>
      <c r="I1293" s="97" t="str">
        <f>IFERROR(__xludf.DUMMYFUNCTION("""COMPUTED_VALUE"""),"Si")</f>
        <v>Si</v>
      </c>
      <c r="J1293" s="97" t="str">
        <f>IFERROR(__xludf.DUMMYFUNCTION("""COMPUTED_VALUE"""),"Modelo: LS-6-500 SI E
In: 220-240Vac 0.11A 50/60Hz
Out: 5-12Vdc 500mA 6W
Pf 0.5 Tc 50°C Ta 80°C")</f>
        <v>Modelo: LS-6-500 SI E
In: 220-240Vac 0.11A 50/60Hz
Out: 5-12Vdc 500mA 6W
Pf 0.5 Tc 50°C Ta 80°C</v>
      </c>
      <c r="K1293" s="97" t="str">
        <f>IFERROR(__xludf.DUMMYFUNCTION("""COMPUTED_VALUE"""),"ON/OFF")</f>
        <v>ON/OFF</v>
      </c>
      <c r="L1293" s="97" t="str">
        <f>IFERROR(__xludf.DUMMYFUNCTION("""COMPUTED_VALUE"""),"200-240")</f>
        <v>200-240</v>
      </c>
      <c r="M1293" s="97" t="str">
        <f>IFERROR(__xludf.DUMMYFUNCTION("""COMPUTED_VALUE"""),"50/60")</f>
        <v>50/60</v>
      </c>
      <c r="N1293" s="97" t="str">
        <f>IFERROR(__xludf.DUMMYFUNCTION("""COMPUTED_VALUE"""),"Directa")</f>
        <v>Directa</v>
      </c>
      <c r="O1293" s="97">
        <f>IFERROR(__xludf.DUMMYFUNCTION("""COMPUTED_VALUE"""),5.0)</f>
        <v>5</v>
      </c>
      <c r="P1293" s="97"/>
      <c r="Q1293" s="97">
        <f>IFERROR(__xludf.DUMMYFUNCTION("""COMPUTED_VALUE"""),0.5)</f>
        <v>0.5</v>
      </c>
      <c r="R1293" s="97" t="str">
        <f>IFERROR(__xludf.DUMMYFUNCTION("""COMPUTED_VALUE"""),"-")</f>
        <v>-</v>
      </c>
      <c r="S1293" s="97" t="str">
        <f>IFERROR(__xludf.DUMMYFUNCTION("""COMPUTED_VALUE"""),"-")</f>
        <v>-</v>
      </c>
      <c r="T1293" s="97">
        <f>IFERROR(__xludf.DUMMYFUNCTION("""COMPUTED_VALUE"""),305.0)</f>
        <v>305</v>
      </c>
      <c r="U1293" s="97">
        <f>IFERROR(__xludf.DUMMYFUNCTION("""COMPUTED_VALUE"""),61.0)</f>
        <v>61</v>
      </c>
      <c r="V1293" s="97">
        <f>IFERROR(__xludf.DUMMYFUNCTION("""COMPUTED_VALUE"""),36.0)</f>
        <v>36</v>
      </c>
      <c r="W1293" s="97" t="str">
        <f>IFERROR(__xludf.DUMMYFUNCTION("""COMPUTED_VALUE"""),"&lt; 14")</f>
        <v>&lt; 14</v>
      </c>
      <c r="X1293" s="97">
        <f>IFERROR(__xludf.DUMMYFUNCTION("""COMPUTED_VALUE"""),2700.0)</f>
        <v>2700</v>
      </c>
      <c r="Y1293" s="97" t="str">
        <f>IFERROR(__xludf.DUMMYFUNCTION("""COMPUTED_VALUE"""),"&gt;90")</f>
        <v>&gt;90</v>
      </c>
      <c r="Z1293" s="97"/>
      <c r="AA1293" s="97"/>
      <c r="AB1293" s="97" t="str">
        <f>IFERROR(__xludf.DUMMYFUNCTION("""COMPUTED_VALUE"""),"&lt; 5")</f>
        <v>&lt; 5</v>
      </c>
      <c r="AC1293" s="97"/>
      <c r="AD1293" s="97" t="str">
        <f>IFERROR(__xludf.DUMMYFUNCTION("""COMPUTED_VALUE"""),"IP20")</f>
        <v>IP20</v>
      </c>
      <c r="AE1293" s="97" t="str">
        <f>IFERROR(__xludf.DUMMYFUNCTION("""COMPUTED_VALUE"""),"Clase l")</f>
        <v>Clase l</v>
      </c>
      <c r="AF1293" s="97" t="str">
        <f>IFERROR(__xludf.DUMMYFUNCTION("""COMPUTED_VALUE"""),"Embutir")</f>
        <v>Embutir</v>
      </c>
      <c r="AG1293" s="97" t="str">
        <f>IFERROR(__xludf.DUMMYFUNCTION("""COMPUTED_VALUE"""),"69 x 31 x 40")</f>
        <v>69 x 31 x 40</v>
      </c>
      <c r="AH1293" s="97" t="str">
        <f>IFERROR(__xludf.DUMMYFUNCTION("""COMPUTED_VALUE"""),"65 x 27")</f>
        <v>65 x 27</v>
      </c>
      <c r="AI1293" s="97">
        <f>IFERROR(__xludf.DUMMYFUNCTION("""COMPUTED_VALUE"""),55.0)</f>
        <v>55</v>
      </c>
      <c r="AJ1293" s="97" t="str">
        <f>IFERROR(__xludf.DUMMYFUNCTION("""COMPUTED_VALUE"""),"Policarbonato (PC)")</f>
        <v>Policarbonato (PC)</v>
      </c>
      <c r="AK1293" s="97" t="str">
        <f>IFERROR(__xludf.DUMMYFUNCTION("""COMPUTED_VALUE"""),"Aluminio")</f>
        <v>Aluminio</v>
      </c>
      <c r="AL1293" s="97" t="str">
        <f>IFERROR(__xludf.DUMMYFUNCTION("""COMPUTED_VALUE"""),"Negro Satinado")</f>
        <v>Negro Satinado</v>
      </c>
      <c r="AM1293" s="97" t="str">
        <f>IFERROR(__xludf.DUMMYFUNCTION("""COMPUTED_VALUE"""),"-")</f>
        <v>-</v>
      </c>
      <c r="AN1293" s="97" t="str">
        <f>IFERROR(__xludf.DUMMYFUNCTION("""COMPUTED_VALUE"""),"40.000hs (L70)")</f>
        <v>40.000hs (L70)</v>
      </c>
      <c r="AO1293" s="97" t="str">
        <f>IFERROR(__xludf.DUMMYFUNCTION("""COMPUTED_VALUE"""),"4 Años")</f>
        <v>4 Años</v>
      </c>
      <c r="AP1293" s="97" t="str">
        <f>IFERROR(__xludf.DUMMYFUNCTION("""COMPUTED_VALUE"""),"Falta")</f>
        <v>Falta</v>
      </c>
      <c r="AQ1293" s="97" t="str">
        <f>IFERROR(__xludf.DUMMYFUNCTION("""COMPUTED_VALUE"""),"Falta")</f>
        <v>Falta</v>
      </c>
      <c r="AR1293" s="97" t="str">
        <f>IFERROR(__xludf.DUMMYFUNCTION("""COMPUTED_VALUE"""),"En revisión")</f>
        <v>En revisión</v>
      </c>
      <c r="AS1293" s="97" t="str">
        <f>IFERROR(__xludf.DUMMYFUNCTION("""COMPUTED_VALUE"""),"Falta")</f>
        <v>Falta</v>
      </c>
      <c r="AT1293" s="97" t="str">
        <f>IFERROR(__xludf.DUMMYFUNCTION("""COMPUTED_VALUE"""),"Falta")</f>
        <v>Falta</v>
      </c>
      <c r="AU1293" s="97" t="str">
        <f>IFERROR(__xludf.DUMMYFUNCTION("""COMPUTED_VALUE"""),"Falta")</f>
        <v>Falta</v>
      </c>
      <c r="AV1293" s="97" t="str">
        <f>IFERROR(__xludf.DUMMYFUNCTION("""COMPUTED_VALUE"""),"Empotrable")</f>
        <v>Empotrable</v>
      </c>
      <c r="AW1293" s="97" t="str">
        <f>IFERROR(__xludf.DUMMYFUNCTION("""COMPUTED_VALUE"""),"De Techo")</f>
        <v>De Techo</v>
      </c>
      <c r="AX1293" s="97" t="str">
        <f>IFERROR(__xludf.DUMMYFUNCTION("""COMPUTED_VALUE"""),"Interior")</f>
        <v>Interior</v>
      </c>
      <c r="AY1293" s="97" t="str">
        <f>IFERROR(__xludf.DUMMYFUNCTION("""COMPUTED_VALUE"""),"Pocket")</f>
        <v>Pocket</v>
      </c>
      <c r="AZ1293" s="97"/>
      <c r="BA1293" s="97"/>
      <c r="BB1293" s="97"/>
      <c r="BC1293" s="97"/>
      <c r="BD1293" s="97" t="str">
        <f>IFERROR(__xludf.DUMMYFUNCTION("""COMPUTED_VALUE"""),"POCKET III")</f>
        <v>POCKET III</v>
      </c>
      <c r="BE1293" s="97" t="str">
        <f>IFERROR(__xludf.DUMMYFUNCTION("""COMPUTED_VALUE"""),"Falta TR")</f>
        <v>Falta TR</v>
      </c>
      <c r="BF1293" s="97">
        <f>IFERROR(__xludf.DUMMYFUNCTION("""COMPUTED_VALUE"""),7725.0)</f>
        <v>7725</v>
      </c>
      <c r="BG1293" s="97" t="str">
        <f>IFERROR(__xludf.DUMMYFUNCTION("""COMPUTED_VALUE"""),"En Salida")</f>
        <v>En Salida</v>
      </c>
    </row>
    <row r="1294">
      <c r="A1294" s="97">
        <f>IFERROR(__xludf.DUMMYFUNCTION("""COMPUTED_VALUE"""),7283.0)</f>
        <v>7283</v>
      </c>
      <c r="B1294" s="97" t="str">
        <f>IFERROR(__xludf.DUMMYFUNCTION("""COMPUTED_VALUE"""),"POCKET III NGNG 3000K")</f>
        <v>POCKET III NGNG 3000K</v>
      </c>
      <c r="C1294" s="97" t="str">
        <f>IFERROR(__xludf.DUMMYFUNCTION("""COMPUTED_VALUE"""),"EMPOTRABLE POCKET III NGNG 3000K 5W 3000K 305LM CRI&gt;90 IP20 LEUK")</f>
        <v>EMPOTRABLE POCKET III NGNG 3000K 5W 3000K 305LM CRI&gt;90 IP20 LEUK</v>
      </c>
      <c r="D1294" s="97">
        <f>IFERROR(__xludf.DUMMYFUNCTION("""COMPUTED_VALUE"""),7.798413228236E12)</f>
        <v>7798413228236</v>
      </c>
      <c r="E1294" s="97" t="str">
        <f>IFERROR(__xludf.DUMMYFUNCTION("""COMPUTED_VALUE"""),"F82")</f>
        <v>F82</v>
      </c>
      <c r="F1294" s="97" t="str">
        <f>IFERROR(__xludf.DUMMYFUNCTION("""COMPUTED_VALUE"""),"LED SMD")</f>
        <v>LED SMD</v>
      </c>
      <c r="G1294" s="97" t="str">
        <f>IFERROR(__xludf.DUMMYFUNCTION("""COMPUTED_VALUE"""),"Bridgelux")</f>
        <v>Bridgelux</v>
      </c>
      <c r="H1294" s="97" t="str">
        <f>IFERROR(__xludf.DUMMYFUNCTION("""COMPUTED_VALUE"""),"Eaglerise")</f>
        <v>Eaglerise</v>
      </c>
      <c r="I1294" s="97" t="str">
        <f>IFERROR(__xludf.DUMMYFUNCTION("""COMPUTED_VALUE"""),"Si")</f>
        <v>Si</v>
      </c>
      <c r="J1294" s="97" t="str">
        <f>IFERROR(__xludf.DUMMYFUNCTION("""COMPUTED_VALUE"""),"Modelo: LS-6-500 SI E
In: 220-240Vac 0.11A 50/60Hz
Out: 5-12Vdc 500mA 6W
Pf 0.5 Tc 50°C Ta 80°C")</f>
        <v>Modelo: LS-6-500 SI E
In: 220-240Vac 0.11A 50/60Hz
Out: 5-12Vdc 500mA 6W
Pf 0.5 Tc 50°C Ta 80°C</v>
      </c>
      <c r="K1294" s="97" t="str">
        <f>IFERROR(__xludf.DUMMYFUNCTION("""COMPUTED_VALUE"""),"ON/OFF")</f>
        <v>ON/OFF</v>
      </c>
      <c r="L1294" s="97" t="str">
        <f>IFERROR(__xludf.DUMMYFUNCTION("""COMPUTED_VALUE"""),"200-240")</f>
        <v>200-240</v>
      </c>
      <c r="M1294" s="97" t="str">
        <f>IFERROR(__xludf.DUMMYFUNCTION("""COMPUTED_VALUE"""),"50/60")</f>
        <v>50/60</v>
      </c>
      <c r="N1294" s="97" t="str">
        <f>IFERROR(__xludf.DUMMYFUNCTION("""COMPUTED_VALUE"""),"Directa")</f>
        <v>Directa</v>
      </c>
      <c r="O1294" s="97">
        <f>IFERROR(__xludf.DUMMYFUNCTION("""COMPUTED_VALUE"""),5.0)</f>
        <v>5</v>
      </c>
      <c r="P1294" s="97"/>
      <c r="Q1294" s="97">
        <f>IFERROR(__xludf.DUMMYFUNCTION("""COMPUTED_VALUE"""),0.5)</f>
        <v>0.5</v>
      </c>
      <c r="R1294" s="97" t="str">
        <f>IFERROR(__xludf.DUMMYFUNCTION("""COMPUTED_VALUE"""),"-")</f>
        <v>-</v>
      </c>
      <c r="S1294" s="97" t="str">
        <f>IFERROR(__xludf.DUMMYFUNCTION("""COMPUTED_VALUE"""),"-")</f>
        <v>-</v>
      </c>
      <c r="T1294" s="97">
        <f>IFERROR(__xludf.DUMMYFUNCTION("""COMPUTED_VALUE"""),305.0)</f>
        <v>305</v>
      </c>
      <c r="U1294" s="97">
        <f>IFERROR(__xludf.DUMMYFUNCTION("""COMPUTED_VALUE"""),61.0)</f>
        <v>61</v>
      </c>
      <c r="V1294" s="97">
        <f>IFERROR(__xludf.DUMMYFUNCTION("""COMPUTED_VALUE"""),36.0)</f>
        <v>36</v>
      </c>
      <c r="W1294" s="97" t="str">
        <f>IFERROR(__xludf.DUMMYFUNCTION("""COMPUTED_VALUE"""),"&lt; 14")</f>
        <v>&lt; 14</v>
      </c>
      <c r="X1294" s="97">
        <f>IFERROR(__xludf.DUMMYFUNCTION("""COMPUTED_VALUE"""),3000.0)</f>
        <v>3000</v>
      </c>
      <c r="Y1294" s="97" t="str">
        <f>IFERROR(__xludf.DUMMYFUNCTION("""COMPUTED_VALUE"""),"&gt;90")</f>
        <v>&gt;90</v>
      </c>
      <c r="Z1294" s="97"/>
      <c r="AA1294" s="97"/>
      <c r="AB1294" s="97" t="str">
        <f>IFERROR(__xludf.DUMMYFUNCTION("""COMPUTED_VALUE"""),"&lt; 5")</f>
        <v>&lt; 5</v>
      </c>
      <c r="AC1294" s="97"/>
      <c r="AD1294" s="97" t="str">
        <f>IFERROR(__xludf.DUMMYFUNCTION("""COMPUTED_VALUE"""),"IP20")</f>
        <v>IP20</v>
      </c>
      <c r="AE1294" s="97" t="str">
        <f>IFERROR(__xludf.DUMMYFUNCTION("""COMPUTED_VALUE"""),"Clase l")</f>
        <v>Clase l</v>
      </c>
      <c r="AF1294" s="97" t="str">
        <f>IFERROR(__xludf.DUMMYFUNCTION("""COMPUTED_VALUE"""),"Embutir")</f>
        <v>Embutir</v>
      </c>
      <c r="AG1294" s="97" t="str">
        <f>IFERROR(__xludf.DUMMYFUNCTION("""COMPUTED_VALUE"""),"69 x 31 x 40")</f>
        <v>69 x 31 x 40</v>
      </c>
      <c r="AH1294" s="97" t="str">
        <f>IFERROR(__xludf.DUMMYFUNCTION("""COMPUTED_VALUE"""),"65 x 27")</f>
        <v>65 x 27</v>
      </c>
      <c r="AI1294" s="97">
        <f>IFERROR(__xludf.DUMMYFUNCTION("""COMPUTED_VALUE"""),55.0)</f>
        <v>55</v>
      </c>
      <c r="AJ1294" s="97" t="str">
        <f>IFERROR(__xludf.DUMMYFUNCTION("""COMPUTED_VALUE"""),"Policarbonato (PC)")</f>
        <v>Policarbonato (PC)</v>
      </c>
      <c r="AK1294" s="97" t="str">
        <f>IFERROR(__xludf.DUMMYFUNCTION("""COMPUTED_VALUE"""),"Aluminio")</f>
        <v>Aluminio</v>
      </c>
      <c r="AL1294" s="97" t="str">
        <f>IFERROR(__xludf.DUMMYFUNCTION("""COMPUTED_VALUE"""),"Negro Satinado")</f>
        <v>Negro Satinado</v>
      </c>
      <c r="AM1294" s="97" t="str">
        <f>IFERROR(__xludf.DUMMYFUNCTION("""COMPUTED_VALUE"""),"-")</f>
        <v>-</v>
      </c>
      <c r="AN1294" s="97" t="str">
        <f>IFERROR(__xludf.DUMMYFUNCTION("""COMPUTED_VALUE"""),"40.000hs (L70)")</f>
        <v>40.000hs (L70)</v>
      </c>
      <c r="AO1294" s="97" t="str">
        <f>IFERROR(__xludf.DUMMYFUNCTION("""COMPUTED_VALUE"""),"4 Años")</f>
        <v>4 Años</v>
      </c>
      <c r="AP1294" s="97" t="str">
        <f>IFERROR(__xludf.DUMMYFUNCTION("""COMPUTED_VALUE"""),"Falta")</f>
        <v>Falta</v>
      </c>
      <c r="AQ1294" s="97" t="str">
        <f>IFERROR(__xludf.DUMMYFUNCTION("""COMPUTED_VALUE"""),"Falta")</f>
        <v>Falta</v>
      </c>
      <c r="AR1294" s="97" t="str">
        <f>IFERROR(__xludf.DUMMYFUNCTION("""COMPUTED_VALUE"""),"En revisión")</f>
        <v>En revisión</v>
      </c>
      <c r="AS1294" s="97" t="str">
        <f>IFERROR(__xludf.DUMMYFUNCTION("""COMPUTED_VALUE"""),"Falta")</f>
        <v>Falta</v>
      </c>
      <c r="AT1294" s="97" t="str">
        <f>IFERROR(__xludf.DUMMYFUNCTION("""COMPUTED_VALUE"""),"Falta")</f>
        <v>Falta</v>
      </c>
      <c r="AU1294" s="97" t="str">
        <f>IFERROR(__xludf.DUMMYFUNCTION("""COMPUTED_VALUE"""),"Falta")</f>
        <v>Falta</v>
      </c>
      <c r="AV1294" s="97" t="str">
        <f>IFERROR(__xludf.DUMMYFUNCTION("""COMPUTED_VALUE"""),"Empotrable")</f>
        <v>Empotrable</v>
      </c>
      <c r="AW1294" s="97" t="str">
        <f>IFERROR(__xludf.DUMMYFUNCTION("""COMPUTED_VALUE"""),"De Techo")</f>
        <v>De Techo</v>
      </c>
      <c r="AX1294" s="97" t="str">
        <f>IFERROR(__xludf.DUMMYFUNCTION("""COMPUTED_VALUE"""),"Interior")</f>
        <v>Interior</v>
      </c>
      <c r="AY1294" s="97" t="str">
        <f>IFERROR(__xludf.DUMMYFUNCTION("""COMPUTED_VALUE"""),"Pocket")</f>
        <v>Pocket</v>
      </c>
      <c r="AZ1294" s="97"/>
      <c r="BA1294" s="97"/>
      <c r="BB1294" s="97"/>
      <c r="BC1294" s="97"/>
      <c r="BD1294" s="97" t="str">
        <f>IFERROR(__xludf.DUMMYFUNCTION("""COMPUTED_VALUE"""),"POCKET III")</f>
        <v>POCKET III</v>
      </c>
      <c r="BE1294" s="97" t="str">
        <f>IFERROR(__xludf.DUMMYFUNCTION("""COMPUTED_VALUE"""),"Falta TR")</f>
        <v>Falta TR</v>
      </c>
      <c r="BF1294" s="97">
        <f>IFERROR(__xludf.DUMMYFUNCTION("""COMPUTED_VALUE"""),7725.0)</f>
        <v>7725</v>
      </c>
      <c r="BG1294" s="97" t="str">
        <f>IFERROR(__xludf.DUMMYFUNCTION("""COMPUTED_VALUE"""),"En Salida")</f>
        <v>En Salida</v>
      </c>
    </row>
    <row r="1295">
      <c r="A1295" s="97">
        <f>IFERROR(__xludf.DUMMYFUNCTION("""COMPUTED_VALUE"""),7284.0)</f>
        <v>7284</v>
      </c>
      <c r="B1295" s="97" t="str">
        <f>IFERROR(__xludf.DUMMYFUNCTION("""COMPUTED_VALUE"""),"POCKET IV BLBL 3000k")</f>
        <v>POCKET IV BLBL 3000k</v>
      </c>
      <c r="C1295" s="97" t="str">
        <f>IFERROR(__xludf.DUMMYFUNCTION("""COMPUTED_VALUE"""),"EMPOTRABLE POCKET IV BLBL 3000K 7W 3000K 480LM CRI&gt;90 IP20 LEUK")</f>
        <v>EMPOTRABLE POCKET IV BLBL 3000K 7W 3000K 480LM CRI&gt;90 IP20 LEUK</v>
      </c>
      <c r="D1295" s="97">
        <f>IFERROR(__xludf.DUMMYFUNCTION("""COMPUTED_VALUE"""),7.798413228243E12)</f>
        <v>7798413228243</v>
      </c>
      <c r="E1295" s="97" t="str">
        <f>IFERROR(__xludf.DUMMYFUNCTION("""COMPUTED_VALUE"""),"F75")</f>
        <v>F75</v>
      </c>
      <c r="F1295" s="97" t="str">
        <f>IFERROR(__xludf.DUMMYFUNCTION("""COMPUTED_VALUE"""),"LED SMD")</f>
        <v>LED SMD</v>
      </c>
      <c r="G1295" s="97" t="str">
        <f>IFERROR(__xludf.DUMMYFUNCTION("""COMPUTED_VALUE"""),"Bridgelux")</f>
        <v>Bridgelux</v>
      </c>
      <c r="H1295" s="97" t="str">
        <f>IFERROR(__xludf.DUMMYFUNCTION("""COMPUTED_VALUE"""),"Eaglerise")</f>
        <v>Eaglerise</v>
      </c>
      <c r="I1295" s="97" t="str">
        <f>IFERROR(__xludf.DUMMYFUNCTION("""COMPUTED_VALUE"""),"Si")</f>
        <v>Si</v>
      </c>
      <c r="J1295" s="97" t="str">
        <f>IFERROR(__xludf.DUMMYFUNCTION("""COMPUTED_VALUE"""),"Modelo: LS-6-500 SI E
In: 220-240Vac 0.11A 50/60Hz
Out: 5-12Vdc 500mA 6W
Pf 0.5 Tc 50°C Ta 80°C")</f>
        <v>Modelo: LS-6-500 SI E
In: 220-240Vac 0.11A 50/60Hz
Out: 5-12Vdc 500mA 6W
Pf 0.5 Tc 50°C Ta 80°C</v>
      </c>
      <c r="K1295" s="97" t="str">
        <f>IFERROR(__xludf.DUMMYFUNCTION("""COMPUTED_VALUE"""),"ON/OFF")</f>
        <v>ON/OFF</v>
      </c>
      <c r="L1295" s="97" t="str">
        <f>IFERROR(__xludf.DUMMYFUNCTION("""COMPUTED_VALUE"""),"200-240")</f>
        <v>200-240</v>
      </c>
      <c r="M1295" s="97" t="str">
        <f>IFERROR(__xludf.DUMMYFUNCTION("""COMPUTED_VALUE"""),"50/60")</f>
        <v>50/60</v>
      </c>
      <c r="N1295" s="97" t="str">
        <f>IFERROR(__xludf.DUMMYFUNCTION("""COMPUTED_VALUE"""),"Directa")</f>
        <v>Directa</v>
      </c>
      <c r="O1295" s="97">
        <f>IFERROR(__xludf.DUMMYFUNCTION("""COMPUTED_VALUE"""),7.0)</f>
        <v>7</v>
      </c>
      <c r="P1295" s="97"/>
      <c r="Q1295" s="97">
        <f>IFERROR(__xludf.DUMMYFUNCTION("""COMPUTED_VALUE"""),0.5)</f>
        <v>0.5</v>
      </c>
      <c r="R1295" s="97" t="str">
        <f>IFERROR(__xludf.DUMMYFUNCTION("""COMPUTED_VALUE"""),"-")</f>
        <v>-</v>
      </c>
      <c r="S1295" s="97" t="str">
        <f>IFERROR(__xludf.DUMMYFUNCTION("""COMPUTED_VALUE"""),"-")</f>
        <v>-</v>
      </c>
      <c r="T1295" s="97">
        <f>IFERROR(__xludf.DUMMYFUNCTION("""COMPUTED_VALUE"""),480.0)</f>
        <v>480</v>
      </c>
      <c r="U1295" s="99">
        <f>IFERROR(__xludf.DUMMYFUNCTION("""COMPUTED_VALUE"""),68.57142857142857)</f>
        <v>68.57142857</v>
      </c>
      <c r="V1295" s="97">
        <f>IFERROR(__xludf.DUMMYFUNCTION("""COMPUTED_VALUE"""),36.0)</f>
        <v>36</v>
      </c>
      <c r="W1295" s="97" t="str">
        <f>IFERROR(__xludf.DUMMYFUNCTION("""COMPUTED_VALUE"""),"&lt; 14")</f>
        <v>&lt; 14</v>
      </c>
      <c r="X1295" s="97">
        <f>IFERROR(__xludf.DUMMYFUNCTION("""COMPUTED_VALUE"""),3000.0)</f>
        <v>3000</v>
      </c>
      <c r="Y1295" s="97" t="str">
        <f>IFERROR(__xludf.DUMMYFUNCTION("""COMPUTED_VALUE"""),"&gt;90")</f>
        <v>&gt;90</v>
      </c>
      <c r="Z1295" s="97"/>
      <c r="AA1295" s="97"/>
      <c r="AB1295" s="97" t="str">
        <f>IFERROR(__xludf.DUMMYFUNCTION("""COMPUTED_VALUE"""),"&lt; 5")</f>
        <v>&lt; 5</v>
      </c>
      <c r="AC1295" s="97"/>
      <c r="AD1295" s="97" t="str">
        <f>IFERROR(__xludf.DUMMYFUNCTION("""COMPUTED_VALUE"""),"IP20")</f>
        <v>IP20</v>
      </c>
      <c r="AE1295" s="97" t="str">
        <f>IFERROR(__xludf.DUMMYFUNCTION("""COMPUTED_VALUE"""),"Clase l")</f>
        <v>Clase l</v>
      </c>
      <c r="AF1295" s="97" t="str">
        <f>IFERROR(__xludf.DUMMYFUNCTION("""COMPUTED_VALUE"""),"Embutir")</f>
        <v>Embutir</v>
      </c>
      <c r="AG1295" s="97" t="str">
        <f>IFERROR(__xludf.DUMMYFUNCTION("""COMPUTED_VALUE"""),"52 x 52 x 40")</f>
        <v>52 x 52 x 40</v>
      </c>
      <c r="AH1295" s="97" t="str">
        <f>IFERROR(__xludf.DUMMYFUNCTION("""COMPUTED_VALUE"""),"48 x 48")</f>
        <v>48 x 48</v>
      </c>
      <c r="AI1295" s="97">
        <f>IFERROR(__xludf.DUMMYFUNCTION("""COMPUTED_VALUE"""),55.0)</f>
        <v>55</v>
      </c>
      <c r="AJ1295" s="97" t="str">
        <f>IFERROR(__xludf.DUMMYFUNCTION("""COMPUTED_VALUE"""),"Policarbonato (PC)")</f>
        <v>Policarbonato (PC)</v>
      </c>
      <c r="AK1295" s="97" t="str">
        <f>IFERROR(__xludf.DUMMYFUNCTION("""COMPUTED_VALUE"""),"Aluminio")</f>
        <v>Aluminio</v>
      </c>
      <c r="AL1295" s="97" t="str">
        <f>IFERROR(__xludf.DUMMYFUNCTION("""COMPUTED_VALUE"""),"Blanco Satinado")</f>
        <v>Blanco Satinado</v>
      </c>
      <c r="AM1295" s="97" t="str">
        <f>IFERROR(__xludf.DUMMYFUNCTION("""COMPUTED_VALUE"""),"-")</f>
        <v>-</v>
      </c>
      <c r="AN1295" s="97" t="str">
        <f>IFERROR(__xludf.DUMMYFUNCTION("""COMPUTED_VALUE"""),"40.000hs (L70)")</f>
        <v>40.000hs (L70)</v>
      </c>
      <c r="AO1295" s="97" t="str">
        <f>IFERROR(__xludf.DUMMYFUNCTION("""COMPUTED_VALUE"""),"4 Años")</f>
        <v>4 Años</v>
      </c>
      <c r="AP1295" s="97" t="str">
        <f>IFERROR(__xludf.DUMMYFUNCTION("""COMPUTED_VALUE"""),"Falta")</f>
        <v>Falta</v>
      </c>
      <c r="AQ1295" s="97" t="str">
        <f>IFERROR(__xludf.DUMMYFUNCTION("""COMPUTED_VALUE"""),"Falta")</f>
        <v>Falta</v>
      </c>
      <c r="AR1295" s="97" t="str">
        <f>IFERROR(__xludf.DUMMYFUNCTION("""COMPUTED_VALUE"""),"En revisión")</f>
        <v>En revisión</v>
      </c>
      <c r="AS1295" s="97" t="str">
        <f>IFERROR(__xludf.DUMMYFUNCTION("""COMPUTED_VALUE"""),"Falta")</f>
        <v>Falta</v>
      </c>
      <c r="AT1295" s="97" t="str">
        <f>IFERROR(__xludf.DUMMYFUNCTION("""COMPUTED_VALUE"""),"Falta")</f>
        <v>Falta</v>
      </c>
      <c r="AU1295" s="97" t="str">
        <f>IFERROR(__xludf.DUMMYFUNCTION("""COMPUTED_VALUE"""),"Falta")</f>
        <v>Falta</v>
      </c>
      <c r="AV1295" s="97" t="str">
        <f>IFERROR(__xludf.DUMMYFUNCTION("""COMPUTED_VALUE"""),"Empotrable")</f>
        <v>Empotrable</v>
      </c>
      <c r="AW1295" s="97" t="str">
        <f>IFERROR(__xludf.DUMMYFUNCTION("""COMPUTED_VALUE"""),"De Techo")</f>
        <v>De Techo</v>
      </c>
      <c r="AX1295" s="97" t="str">
        <f>IFERROR(__xludf.DUMMYFUNCTION("""COMPUTED_VALUE"""),"Interior")</f>
        <v>Interior</v>
      </c>
      <c r="AY1295" s="97" t="str">
        <f>IFERROR(__xludf.DUMMYFUNCTION("""COMPUTED_VALUE"""),"Pocket")</f>
        <v>Pocket</v>
      </c>
      <c r="AZ1295" s="97"/>
      <c r="BA1295" s="97"/>
      <c r="BB1295" s="97"/>
      <c r="BC1295" s="97"/>
      <c r="BD1295" s="97" t="str">
        <f>IFERROR(__xludf.DUMMYFUNCTION("""COMPUTED_VALUE"""),"POCKET IV")</f>
        <v>POCKET IV</v>
      </c>
      <c r="BE1295" s="97" t="str">
        <f>IFERROR(__xludf.DUMMYFUNCTION("""COMPUTED_VALUE"""),"Falta TR")</f>
        <v>Falta TR</v>
      </c>
      <c r="BF1295" s="97">
        <f>IFERROR(__xludf.DUMMYFUNCTION("""COMPUTED_VALUE"""),7726.0)</f>
        <v>7726</v>
      </c>
      <c r="BG1295" s="97" t="str">
        <f>IFERROR(__xludf.DUMMYFUNCTION("""COMPUTED_VALUE"""),"En Salida")</f>
        <v>En Salida</v>
      </c>
    </row>
    <row r="1296">
      <c r="A1296" s="97">
        <f>IFERROR(__xludf.DUMMYFUNCTION("""COMPUTED_VALUE"""),7285.0)</f>
        <v>7285</v>
      </c>
      <c r="B1296" s="97" t="str">
        <f>IFERROR(__xludf.DUMMYFUNCTION("""COMPUTED_VALUE"""),"POCKET IV NGNG 2700K")</f>
        <v>POCKET IV NGNG 2700K</v>
      </c>
      <c r="C1296" s="97" t="str">
        <f>IFERROR(__xludf.DUMMYFUNCTION("""COMPUTED_VALUE"""),"EMPOTRABLE POCKET IV NGNG 2700K 7W 2700K 480LM CRI&gt;90 IP20 LEUK")</f>
        <v>EMPOTRABLE POCKET IV NGNG 2700K 7W 2700K 480LM CRI&gt;90 IP20 LEUK</v>
      </c>
      <c r="D1296" s="97">
        <f>IFERROR(__xludf.DUMMYFUNCTION("""COMPUTED_VALUE"""),7.79841322825E12)</f>
        <v>7798413228250</v>
      </c>
      <c r="E1296" s="97" t="str">
        <f>IFERROR(__xludf.DUMMYFUNCTION("""COMPUTED_VALUE"""),"F75")</f>
        <v>F75</v>
      </c>
      <c r="F1296" s="97" t="str">
        <f>IFERROR(__xludf.DUMMYFUNCTION("""COMPUTED_VALUE"""),"LED SMD")</f>
        <v>LED SMD</v>
      </c>
      <c r="G1296" s="97" t="str">
        <f>IFERROR(__xludf.DUMMYFUNCTION("""COMPUTED_VALUE"""),"Bridgelux")</f>
        <v>Bridgelux</v>
      </c>
      <c r="H1296" s="97" t="str">
        <f>IFERROR(__xludf.DUMMYFUNCTION("""COMPUTED_VALUE"""),"Eaglerise")</f>
        <v>Eaglerise</v>
      </c>
      <c r="I1296" s="97" t="str">
        <f>IFERROR(__xludf.DUMMYFUNCTION("""COMPUTED_VALUE"""),"Si")</f>
        <v>Si</v>
      </c>
      <c r="J1296" s="97" t="str">
        <f>IFERROR(__xludf.DUMMYFUNCTION("""COMPUTED_VALUE"""),"Modelo: LS-6-500 SI E
In: 220-240Vac 0.11A 50/60Hz
Out: 5-12Vdc 500mA 6W
Pf 0.5 Tc 50°C Ta 80°C")</f>
        <v>Modelo: LS-6-500 SI E
In: 220-240Vac 0.11A 50/60Hz
Out: 5-12Vdc 500mA 6W
Pf 0.5 Tc 50°C Ta 80°C</v>
      </c>
      <c r="K1296" s="97" t="str">
        <f>IFERROR(__xludf.DUMMYFUNCTION("""COMPUTED_VALUE"""),"ON/OFF")</f>
        <v>ON/OFF</v>
      </c>
      <c r="L1296" s="97" t="str">
        <f>IFERROR(__xludf.DUMMYFUNCTION("""COMPUTED_VALUE"""),"200-240")</f>
        <v>200-240</v>
      </c>
      <c r="M1296" s="97" t="str">
        <f>IFERROR(__xludf.DUMMYFUNCTION("""COMPUTED_VALUE"""),"50/60")</f>
        <v>50/60</v>
      </c>
      <c r="N1296" s="97" t="str">
        <f>IFERROR(__xludf.DUMMYFUNCTION("""COMPUTED_VALUE"""),"Directa")</f>
        <v>Directa</v>
      </c>
      <c r="O1296" s="97">
        <f>IFERROR(__xludf.DUMMYFUNCTION("""COMPUTED_VALUE"""),7.0)</f>
        <v>7</v>
      </c>
      <c r="P1296" s="97"/>
      <c r="Q1296" s="97">
        <f>IFERROR(__xludf.DUMMYFUNCTION("""COMPUTED_VALUE"""),0.5)</f>
        <v>0.5</v>
      </c>
      <c r="R1296" s="97" t="str">
        <f>IFERROR(__xludf.DUMMYFUNCTION("""COMPUTED_VALUE"""),"-")</f>
        <v>-</v>
      </c>
      <c r="S1296" s="97" t="str">
        <f>IFERROR(__xludf.DUMMYFUNCTION("""COMPUTED_VALUE"""),"-")</f>
        <v>-</v>
      </c>
      <c r="T1296" s="97">
        <f>IFERROR(__xludf.DUMMYFUNCTION("""COMPUTED_VALUE"""),480.0)</f>
        <v>480</v>
      </c>
      <c r="U1296" s="99">
        <f>IFERROR(__xludf.DUMMYFUNCTION("""COMPUTED_VALUE"""),68.57142857142857)</f>
        <v>68.57142857</v>
      </c>
      <c r="V1296" s="97">
        <f>IFERROR(__xludf.DUMMYFUNCTION("""COMPUTED_VALUE"""),36.0)</f>
        <v>36</v>
      </c>
      <c r="W1296" s="97" t="str">
        <f>IFERROR(__xludf.DUMMYFUNCTION("""COMPUTED_VALUE"""),"&lt; 14")</f>
        <v>&lt; 14</v>
      </c>
      <c r="X1296" s="97">
        <f>IFERROR(__xludf.DUMMYFUNCTION("""COMPUTED_VALUE"""),2700.0)</f>
        <v>2700</v>
      </c>
      <c r="Y1296" s="97" t="str">
        <f>IFERROR(__xludf.DUMMYFUNCTION("""COMPUTED_VALUE"""),"&gt;90")</f>
        <v>&gt;90</v>
      </c>
      <c r="Z1296" s="97"/>
      <c r="AA1296" s="97"/>
      <c r="AB1296" s="97" t="str">
        <f>IFERROR(__xludf.DUMMYFUNCTION("""COMPUTED_VALUE"""),"&lt; 5")</f>
        <v>&lt; 5</v>
      </c>
      <c r="AC1296" s="97"/>
      <c r="AD1296" s="97" t="str">
        <f>IFERROR(__xludf.DUMMYFUNCTION("""COMPUTED_VALUE"""),"IP20")</f>
        <v>IP20</v>
      </c>
      <c r="AE1296" s="97" t="str">
        <f>IFERROR(__xludf.DUMMYFUNCTION("""COMPUTED_VALUE"""),"Clase l")</f>
        <v>Clase l</v>
      </c>
      <c r="AF1296" s="97" t="str">
        <f>IFERROR(__xludf.DUMMYFUNCTION("""COMPUTED_VALUE"""),"Embutir")</f>
        <v>Embutir</v>
      </c>
      <c r="AG1296" s="97" t="str">
        <f>IFERROR(__xludf.DUMMYFUNCTION("""COMPUTED_VALUE"""),"52 x 52 x 40")</f>
        <v>52 x 52 x 40</v>
      </c>
      <c r="AH1296" s="97" t="str">
        <f>IFERROR(__xludf.DUMMYFUNCTION("""COMPUTED_VALUE"""),"48 x 48")</f>
        <v>48 x 48</v>
      </c>
      <c r="AI1296" s="97">
        <f>IFERROR(__xludf.DUMMYFUNCTION("""COMPUTED_VALUE"""),55.0)</f>
        <v>55</v>
      </c>
      <c r="AJ1296" s="97" t="str">
        <f>IFERROR(__xludf.DUMMYFUNCTION("""COMPUTED_VALUE"""),"Policarbonato (PC)")</f>
        <v>Policarbonato (PC)</v>
      </c>
      <c r="AK1296" s="97" t="str">
        <f>IFERROR(__xludf.DUMMYFUNCTION("""COMPUTED_VALUE"""),"Aluminio")</f>
        <v>Aluminio</v>
      </c>
      <c r="AL1296" s="97" t="str">
        <f>IFERROR(__xludf.DUMMYFUNCTION("""COMPUTED_VALUE"""),"Negro Satinado")</f>
        <v>Negro Satinado</v>
      </c>
      <c r="AM1296" s="97" t="str">
        <f>IFERROR(__xludf.DUMMYFUNCTION("""COMPUTED_VALUE"""),"-")</f>
        <v>-</v>
      </c>
      <c r="AN1296" s="97" t="str">
        <f>IFERROR(__xludf.DUMMYFUNCTION("""COMPUTED_VALUE"""),"40.000hs (L70)")</f>
        <v>40.000hs (L70)</v>
      </c>
      <c r="AO1296" s="97" t="str">
        <f>IFERROR(__xludf.DUMMYFUNCTION("""COMPUTED_VALUE"""),"4 Años")</f>
        <v>4 Años</v>
      </c>
      <c r="AP1296" s="97" t="str">
        <f>IFERROR(__xludf.DUMMYFUNCTION("""COMPUTED_VALUE"""),"Falta")</f>
        <v>Falta</v>
      </c>
      <c r="AQ1296" s="97" t="str">
        <f>IFERROR(__xludf.DUMMYFUNCTION("""COMPUTED_VALUE"""),"Falta")</f>
        <v>Falta</v>
      </c>
      <c r="AR1296" s="97" t="str">
        <f>IFERROR(__xludf.DUMMYFUNCTION("""COMPUTED_VALUE"""),"En revisión")</f>
        <v>En revisión</v>
      </c>
      <c r="AS1296" s="97" t="str">
        <f>IFERROR(__xludf.DUMMYFUNCTION("""COMPUTED_VALUE"""),"Falta")</f>
        <v>Falta</v>
      </c>
      <c r="AT1296" s="97" t="str">
        <f>IFERROR(__xludf.DUMMYFUNCTION("""COMPUTED_VALUE"""),"Falta")</f>
        <v>Falta</v>
      </c>
      <c r="AU1296" s="97" t="str">
        <f>IFERROR(__xludf.DUMMYFUNCTION("""COMPUTED_VALUE"""),"Falta")</f>
        <v>Falta</v>
      </c>
      <c r="AV1296" s="97" t="str">
        <f>IFERROR(__xludf.DUMMYFUNCTION("""COMPUTED_VALUE"""),"Empotrable")</f>
        <v>Empotrable</v>
      </c>
      <c r="AW1296" s="97" t="str">
        <f>IFERROR(__xludf.DUMMYFUNCTION("""COMPUTED_VALUE"""),"De Techo")</f>
        <v>De Techo</v>
      </c>
      <c r="AX1296" s="97" t="str">
        <f>IFERROR(__xludf.DUMMYFUNCTION("""COMPUTED_VALUE"""),"Interior")</f>
        <v>Interior</v>
      </c>
      <c r="AY1296" s="97" t="str">
        <f>IFERROR(__xludf.DUMMYFUNCTION("""COMPUTED_VALUE"""),"Pocket")</f>
        <v>Pocket</v>
      </c>
      <c r="AZ1296" s="97"/>
      <c r="BA1296" s="97"/>
      <c r="BB1296" s="97"/>
      <c r="BC1296" s="97"/>
      <c r="BD1296" s="97" t="str">
        <f>IFERROR(__xludf.DUMMYFUNCTION("""COMPUTED_VALUE"""),"POCKET IV")</f>
        <v>POCKET IV</v>
      </c>
      <c r="BE1296" s="97" t="str">
        <f>IFERROR(__xludf.DUMMYFUNCTION("""COMPUTED_VALUE"""),"Falta TR")</f>
        <v>Falta TR</v>
      </c>
      <c r="BF1296" s="97">
        <f>IFERROR(__xludf.DUMMYFUNCTION("""COMPUTED_VALUE"""),7728.0)</f>
        <v>7728</v>
      </c>
      <c r="BG1296" s="97" t="str">
        <f>IFERROR(__xludf.DUMMYFUNCTION("""COMPUTED_VALUE"""),"En Salida")</f>
        <v>En Salida</v>
      </c>
    </row>
    <row r="1297">
      <c r="A1297" s="97">
        <f>IFERROR(__xludf.DUMMYFUNCTION("""COMPUTED_VALUE"""),7286.0)</f>
        <v>7286</v>
      </c>
      <c r="B1297" s="97" t="str">
        <f>IFERROR(__xludf.DUMMYFUNCTION("""COMPUTED_VALUE"""),"POCKET IV NGNG 3000K")</f>
        <v>POCKET IV NGNG 3000K</v>
      </c>
      <c r="C1297" s="97" t="str">
        <f>IFERROR(__xludf.DUMMYFUNCTION("""COMPUTED_VALUE"""),"EMPOTRABLE POCKET IV NGNG 3000K 7W 3000K 480LM CRI&gt;90 IP20 LEUK")</f>
        <v>EMPOTRABLE POCKET IV NGNG 3000K 7W 3000K 480LM CRI&gt;90 IP20 LEUK</v>
      </c>
      <c r="D1297" s="97">
        <f>IFERROR(__xludf.DUMMYFUNCTION("""COMPUTED_VALUE"""),7.798413228267E12)</f>
        <v>7798413228267</v>
      </c>
      <c r="E1297" s="97" t="str">
        <f>IFERROR(__xludf.DUMMYFUNCTION("""COMPUTED_VALUE"""),"F75")</f>
        <v>F75</v>
      </c>
      <c r="F1297" s="97" t="str">
        <f>IFERROR(__xludf.DUMMYFUNCTION("""COMPUTED_VALUE"""),"LED SMD")</f>
        <v>LED SMD</v>
      </c>
      <c r="G1297" s="97" t="str">
        <f>IFERROR(__xludf.DUMMYFUNCTION("""COMPUTED_VALUE"""),"Bridgelux")</f>
        <v>Bridgelux</v>
      </c>
      <c r="H1297" s="97" t="str">
        <f>IFERROR(__xludf.DUMMYFUNCTION("""COMPUTED_VALUE"""),"Eaglerise")</f>
        <v>Eaglerise</v>
      </c>
      <c r="I1297" s="97" t="str">
        <f>IFERROR(__xludf.DUMMYFUNCTION("""COMPUTED_VALUE"""),"Si")</f>
        <v>Si</v>
      </c>
      <c r="J1297" s="97" t="str">
        <f>IFERROR(__xludf.DUMMYFUNCTION("""COMPUTED_VALUE"""),"Modelo: LS-6-500 SI E
In: 220-240Vac 0.11A 50/60Hz
Out: 5-12Vdc 500mA 6W
Pf 0.5 Tc 50°C Ta 80°C")</f>
        <v>Modelo: LS-6-500 SI E
In: 220-240Vac 0.11A 50/60Hz
Out: 5-12Vdc 500mA 6W
Pf 0.5 Tc 50°C Ta 80°C</v>
      </c>
      <c r="K1297" s="97" t="str">
        <f>IFERROR(__xludf.DUMMYFUNCTION("""COMPUTED_VALUE"""),"ON/OFF")</f>
        <v>ON/OFF</v>
      </c>
      <c r="L1297" s="97" t="str">
        <f>IFERROR(__xludf.DUMMYFUNCTION("""COMPUTED_VALUE"""),"200-240")</f>
        <v>200-240</v>
      </c>
      <c r="M1297" s="97" t="str">
        <f>IFERROR(__xludf.DUMMYFUNCTION("""COMPUTED_VALUE"""),"50/60")</f>
        <v>50/60</v>
      </c>
      <c r="N1297" s="97" t="str">
        <f>IFERROR(__xludf.DUMMYFUNCTION("""COMPUTED_VALUE"""),"Directa")</f>
        <v>Directa</v>
      </c>
      <c r="O1297" s="97">
        <f>IFERROR(__xludf.DUMMYFUNCTION("""COMPUTED_VALUE"""),7.0)</f>
        <v>7</v>
      </c>
      <c r="P1297" s="97"/>
      <c r="Q1297" s="97">
        <f>IFERROR(__xludf.DUMMYFUNCTION("""COMPUTED_VALUE"""),0.5)</f>
        <v>0.5</v>
      </c>
      <c r="R1297" s="97" t="str">
        <f>IFERROR(__xludf.DUMMYFUNCTION("""COMPUTED_VALUE"""),"-")</f>
        <v>-</v>
      </c>
      <c r="S1297" s="97" t="str">
        <f>IFERROR(__xludf.DUMMYFUNCTION("""COMPUTED_VALUE"""),"-")</f>
        <v>-</v>
      </c>
      <c r="T1297" s="97">
        <f>IFERROR(__xludf.DUMMYFUNCTION("""COMPUTED_VALUE"""),480.0)</f>
        <v>480</v>
      </c>
      <c r="U1297" s="99">
        <f>IFERROR(__xludf.DUMMYFUNCTION("""COMPUTED_VALUE"""),68.57142857142857)</f>
        <v>68.57142857</v>
      </c>
      <c r="V1297" s="97">
        <f>IFERROR(__xludf.DUMMYFUNCTION("""COMPUTED_VALUE"""),36.0)</f>
        <v>36</v>
      </c>
      <c r="W1297" s="97" t="str">
        <f>IFERROR(__xludf.DUMMYFUNCTION("""COMPUTED_VALUE"""),"&lt; 14")</f>
        <v>&lt; 14</v>
      </c>
      <c r="X1297" s="97">
        <f>IFERROR(__xludf.DUMMYFUNCTION("""COMPUTED_VALUE"""),3000.0)</f>
        <v>3000</v>
      </c>
      <c r="Y1297" s="97" t="str">
        <f>IFERROR(__xludf.DUMMYFUNCTION("""COMPUTED_VALUE"""),"&gt;90")</f>
        <v>&gt;90</v>
      </c>
      <c r="Z1297" s="97"/>
      <c r="AA1297" s="97"/>
      <c r="AB1297" s="97" t="str">
        <f>IFERROR(__xludf.DUMMYFUNCTION("""COMPUTED_VALUE"""),"&lt; 5")</f>
        <v>&lt; 5</v>
      </c>
      <c r="AC1297" s="97"/>
      <c r="AD1297" s="97" t="str">
        <f>IFERROR(__xludf.DUMMYFUNCTION("""COMPUTED_VALUE"""),"IP20")</f>
        <v>IP20</v>
      </c>
      <c r="AE1297" s="97" t="str">
        <f>IFERROR(__xludf.DUMMYFUNCTION("""COMPUTED_VALUE"""),"Clase l")</f>
        <v>Clase l</v>
      </c>
      <c r="AF1297" s="97" t="str">
        <f>IFERROR(__xludf.DUMMYFUNCTION("""COMPUTED_VALUE"""),"Embutir")</f>
        <v>Embutir</v>
      </c>
      <c r="AG1297" s="97" t="str">
        <f>IFERROR(__xludf.DUMMYFUNCTION("""COMPUTED_VALUE"""),"52 x 52 x 40")</f>
        <v>52 x 52 x 40</v>
      </c>
      <c r="AH1297" s="97" t="str">
        <f>IFERROR(__xludf.DUMMYFUNCTION("""COMPUTED_VALUE"""),"48 x 48")</f>
        <v>48 x 48</v>
      </c>
      <c r="AI1297" s="97">
        <f>IFERROR(__xludf.DUMMYFUNCTION("""COMPUTED_VALUE"""),55.0)</f>
        <v>55</v>
      </c>
      <c r="AJ1297" s="97" t="str">
        <f>IFERROR(__xludf.DUMMYFUNCTION("""COMPUTED_VALUE"""),"Policarbonato (PC)")</f>
        <v>Policarbonato (PC)</v>
      </c>
      <c r="AK1297" s="97" t="str">
        <f>IFERROR(__xludf.DUMMYFUNCTION("""COMPUTED_VALUE"""),"Aluminio")</f>
        <v>Aluminio</v>
      </c>
      <c r="AL1297" s="97" t="str">
        <f>IFERROR(__xludf.DUMMYFUNCTION("""COMPUTED_VALUE"""),"Negro Satinado")</f>
        <v>Negro Satinado</v>
      </c>
      <c r="AM1297" s="97" t="str">
        <f>IFERROR(__xludf.DUMMYFUNCTION("""COMPUTED_VALUE"""),"-")</f>
        <v>-</v>
      </c>
      <c r="AN1297" s="97" t="str">
        <f>IFERROR(__xludf.DUMMYFUNCTION("""COMPUTED_VALUE"""),"40.000hs (L70)")</f>
        <v>40.000hs (L70)</v>
      </c>
      <c r="AO1297" s="97" t="str">
        <f>IFERROR(__xludf.DUMMYFUNCTION("""COMPUTED_VALUE"""),"4 Años")</f>
        <v>4 Años</v>
      </c>
      <c r="AP1297" s="97" t="str">
        <f>IFERROR(__xludf.DUMMYFUNCTION("""COMPUTED_VALUE"""),"Falta")</f>
        <v>Falta</v>
      </c>
      <c r="AQ1297" s="97" t="str">
        <f>IFERROR(__xludf.DUMMYFUNCTION("""COMPUTED_VALUE"""),"Falta")</f>
        <v>Falta</v>
      </c>
      <c r="AR1297" s="97" t="str">
        <f>IFERROR(__xludf.DUMMYFUNCTION("""COMPUTED_VALUE"""),"En revisión")</f>
        <v>En revisión</v>
      </c>
      <c r="AS1297" s="97" t="str">
        <f>IFERROR(__xludf.DUMMYFUNCTION("""COMPUTED_VALUE"""),"Falta")</f>
        <v>Falta</v>
      </c>
      <c r="AT1297" s="97" t="str">
        <f>IFERROR(__xludf.DUMMYFUNCTION("""COMPUTED_VALUE"""),"Falta")</f>
        <v>Falta</v>
      </c>
      <c r="AU1297" s="97" t="str">
        <f>IFERROR(__xludf.DUMMYFUNCTION("""COMPUTED_VALUE"""),"Falta")</f>
        <v>Falta</v>
      </c>
      <c r="AV1297" s="97" t="str">
        <f>IFERROR(__xludf.DUMMYFUNCTION("""COMPUTED_VALUE"""),"Empotrable")</f>
        <v>Empotrable</v>
      </c>
      <c r="AW1297" s="97" t="str">
        <f>IFERROR(__xludf.DUMMYFUNCTION("""COMPUTED_VALUE"""),"De Techo")</f>
        <v>De Techo</v>
      </c>
      <c r="AX1297" s="97" t="str">
        <f>IFERROR(__xludf.DUMMYFUNCTION("""COMPUTED_VALUE"""),"Interior")</f>
        <v>Interior</v>
      </c>
      <c r="AY1297" s="97" t="str">
        <f>IFERROR(__xludf.DUMMYFUNCTION("""COMPUTED_VALUE"""),"Pocket")</f>
        <v>Pocket</v>
      </c>
      <c r="AZ1297" s="97"/>
      <c r="BA1297" s="97"/>
      <c r="BB1297" s="97"/>
      <c r="BC1297" s="97"/>
      <c r="BD1297" s="97" t="str">
        <f>IFERROR(__xludf.DUMMYFUNCTION("""COMPUTED_VALUE"""),"POCKET IV")</f>
        <v>POCKET IV</v>
      </c>
      <c r="BE1297" s="97" t="str">
        <f>IFERROR(__xludf.DUMMYFUNCTION("""COMPUTED_VALUE"""),"Falta TR")</f>
        <v>Falta TR</v>
      </c>
      <c r="BF1297" s="97">
        <f>IFERROR(__xludf.DUMMYFUNCTION("""COMPUTED_VALUE"""),7728.0)</f>
        <v>7728</v>
      </c>
      <c r="BG1297" s="97" t="str">
        <f>IFERROR(__xludf.DUMMYFUNCTION("""COMPUTED_VALUE"""),"En Salida")</f>
        <v>En Salida</v>
      </c>
    </row>
    <row r="1298">
      <c r="A1298" s="97">
        <f>IFERROR(__xludf.DUMMYFUNCTION("""COMPUTED_VALUE"""),7287.0)</f>
        <v>7287</v>
      </c>
      <c r="B1298" s="97" t="str">
        <f>IFERROR(__xludf.DUMMYFUNCTION("""COMPUTED_VALUE"""),"POCKET VI NGNG 2700K TRIAC")</f>
        <v>POCKET VI NGNG 2700K TRIAC</v>
      </c>
      <c r="C1298" s="97" t="str">
        <f>IFERROR(__xludf.DUMMYFUNCTION("""COMPUTED_VALUE"""),"EMPOTRABLE POCKET VI NGNG 2700K TRIAC 10W 2700K 875LM CRI&gt;90 IP20 LEUK")</f>
        <v>EMPOTRABLE POCKET VI NGNG 2700K TRIAC 10W 2700K 875LM CRI&gt;90 IP20 LEUK</v>
      </c>
      <c r="D1298" s="97">
        <f>IFERROR(__xludf.DUMMYFUNCTION("""COMPUTED_VALUE"""),7.798413228274E12)</f>
        <v>7798413228274</v>
      </c>
      <c r="E1298" s="97" t="str">
        <f>IFERROR(__xludf.DUMMYFUNCTION("""COMPUTED_VALUE"""),"F69")</f>
        <v>F69</v>
      </c>
      <c r="F1298" s="97" t="str">
        <f>IFERROR(__xludf.DUMMYFUNCTION("""COMPUTED_VALUE"""),"LED SMD")</f>
        <v>LED SMD</v>
      </c>
      <c r="G1298" s="97" t="str">
        <f>IFERROR(__xludf.DUMMYFUNCTION("""COMPUTED_VALUE"""),"Bridgelux")</f>
        <v>Bridgelux</v>
      </c>
      <c r="H1298" s="97" t="str">
        <f>IFERROR(__xludf.DUMMYFUNCTION("""COMPUTED_VALUE"""),"AiDimming")</f>
        <v>AiDimming</v>
      </c>
      <c r="I1298" s="97" t="str">
        <f>IFERROR(__xludf.DUMMYFUNCTION("""COMPUTED_VALUE"""),"Si")</f>
        <v>Si</v>
      </c>
      <c r="J1298" s="97" t="str">
        <f>IFERROR(__xludf.DUMMYFUNCTION("""COMPUTED_VALUE"""),"Modelo: PE594M2450
In: 200-250Vac 0.07A 50/60Hz
Out: 12-24Vdc 450mA 10.8W
Pf 0.94 Tc 85°C Ta 45°C
FlickerFree")</f>
        <v>Modelo: PE594M2450
In: 200-250Vac 0.07A 50/60Hz
Out: 12-24Vdc 450mA 10.8W
Pf 0.94 Tc 85°C Ta 45°C
FlickerFree</v>
      </c>
      <c r="K1298" s="97" t="str">
        <f>IFERROR(__xludf.DUMMYFUNCTION("""COMPUTED_VALUE"""),"TRIAC")</f>
        <v>TRIAC</v>
      </c>
      <c r="L1298" s="97" t="str">
        <f>IFERROR(__xludf.DUMMYFUNCTION("""COMPUTED_VALUE"""),"200-240")</f>
        <v>200-240</v>
      </c>
      <c r="M1298" s="97" t="str">
        <f>IFERROR(__xludf.DUMMYFUNCTION("""COMPUTED_VALUE"""),"50/60")</f>
        <v>50/60</v>
      </c>
      <c r="N1298" s="97" t="str">
        <f>IFERROR(__xludf.DUMMYFUNCTION("""COMPUTED_VALUE"""),"Directa")</f>
        <v>Directa</v>
      </c>
      <c r="O1298" s="97">
        <f>IFERROR(__xludf.DUMMYFUNCTION("""COMPUTED_VALUE"""),10.0)</f>
        <v>10</v>
      </c>
      <c r="P1298" s="97"/>
      <c r="Q1298" s="97">
        <f>IFERROR(__xludf.DUMMYFUNCTION("""COMPUTED_VALUE"""),0.95)</f>
        <v>0.95</v>
      </c>
      <c r="R1298" s="97" t="str">
        <f>IFERROR(__xludf.DUMMYFUNCTION("""COMPUTED_VALUE"""),"-")</f>
        <v>-</v>
      </c>
      <c r="S1298" s="97" t="str">
        <f>IFERROR(__xludf.DUMMYFUNCTION("""COMPUTED_VALUE"""),"-")</f>
        <v>-</v>
      </c>
      <c r="T1298" s="97">
        <f>IFERROR(__xludf.DUMMYFUNCTION("""COMPUTED_VALUE"""),875.0)</f>
        <v>875</v>
      </c>
      <c r="U1298" s="99">
        <f>IFERROR(__xludf.DUMMYFUNCTION("""COMPUTED_VALUE"""),87.5)</f>
        <v>87.5</v>
      </c>
      <c r="V1298" s="97">
        <f>IFERROR(__xludf.DUMMYFUNCTION("""COMPUTED_VALUE"""),36.0)</f>
        <v>36</v>
      </c>
      <c r="W1298" s="97" t="str">
        <f>IFERROR(__xludf.DUMMYFUNCTION("""COMPUTED_VALUE"""),"&lt; 14")</f>
        <v>&lt; 14</v>
      </c>
      <c r="X1298" s="97">
        <f>IFERROR(__xludf.DUMMYFUNCTION("""COMPUTED_VALUE"""),2700.0)</f>
        <v>2700</v>
      </c>
      <c r="Y1298" s="97" t="str">
        <f>IFERROR(__xludf.DUMMYFUNCTION("""COMPUTED_VALUE"""),"&gt;90")</f>
        <v>&gt;90</v>
      </c>
      <c r="Z1298" s="97"/>
      <c r="AA1298" s="97"/>
      <c r="AB1298" s="97" t="str">
        <f>IFERROR(__xludf.DUMMYFUNCTION("""COMPUTED_VALUE"""),"&lt; 5")</f>
        <v>&lt; 5</v>
      </c>
      <c r="AC1298" s="97"/>
      <c r="AD1298" s="97" t="str">
        <f>IFERROR(__xludf.DUMMYFUNCTION("""COMPUTED_VALUE"""),"IP20")</f>
        <v>IP20</v>
      </c>
      <c r="AE1298" s="97" t="str">
        <f>IFERROR(__xludf.DUMMYFUNCTION("""COMPUTED_VALUE"""),"Clase l")</f>
        <v>Clase l</v>
      </c>
      <c r="AF1298" s="97" t="str">
        <f>IFERROR(__xludf.DUMMYFUNCTION("""COMPUTED_VALUE"""),"Embutir")</f>
        <v>Embutir</v>
      </c>
      <c r="AG1298" s="97" t="str">
        <f>IFERROR(__xludf.DUMMYFUNCTION("""COMPUTED_VALUE"""),"126 x 31 x 40")</f>
        <v>126 x 31 x 40</v>
      </c>
      <c r="AH1298" s="97" t="str">
        <f>IFERROR(__xludf.DUMMYFUNCTION("""COMPUTED_VALUE"""),"122 x 27")</f>
        <v>122 x 27</v>
      </c>
      <c r="AI1298" s="97">
        <f>IFERROR(__xludf.DUMMYFUNCTION("""COMPUTED_VALUE"""),55.0)</f>
        <v>55</v>
      </c>
      <c r="AJ1298" s="97" t="str">
        <f>IFERROR(__xludf.DUMMYFUNCTION("""COMPUTED_VALUE"""),"Policarbonato (PC)")</f>
        <v>Policarbonato (PC)</v>
      </c>
      <c r="AK1298" s="97" t="str">
        <f>IFERROR(__xludf.DUMMYFUNCTION("""COMPUTED_VALUE"""),"Aluminio")</f>
        <v>Aluminio</v>
      </c>
      <c r="AL1298" s="97" t="str">
        <f>IFERROR(__xludf.DUMMYFUNCTION("""COMPUTED_VALUE"""),"Negro Satinado")</f>
        <v>Negro Satinado</v>
      </c>
      <c r="AM1298" s="97" t="str">
        <f>IFERROR(__xludf.DUMMYFUNCTION("""COMPUTED_VALUE"""),"-")</f>
        <v>-</v>
      </c>
      <c r="AN1298" s="97" t="str">
        <f>IFERROR(__xludf.DUMMYFUNCTION("""COMPUTED_VALUE"""),"40.000hs (L70)")</f>
        <v>40.000hs (L70)</v>
      </c>
      <c r="AO1298" s="97" t="str">
        <f>IFERROR(__xludf.DUMMYFUNCTION("""COMPUTED_VALUE"""),"4 Años")</f>
        <v>4 Años</v>
      </c>
      <c r="AP1298" s="97" t="str">
        <f>IFERROR(__xludf.DUMMYFUNCTION("""COMPUTED_VALUE"""),"Falta")</f>
        <v>Falta</v>
      </c>
      <c r="AQ1298" s="97" t="str">
        <f>IFERROR(__xludf.DUMMYFUNCTION("""COMPUTED_VALUE"""),"Falta")</f>
        <v>Falta</v>
      </c>
      <c r="AR1298" s="97" t="str">
        <f>IFERROR(__xludf.DUMMYFUNCTION("""COMPUTED_VALUE"""),"En revisión")</f>
        <v>En revisión</v>
      </c>
      <c r="AS1298" s="97" t="str">
        <f>IFERROR(__xludf.DUMMYFUNCTION("""COMPUTED_VALUE"""),"Falta")</f>
        <v>Falta</v>
      </c>
      <c r="AT1298" s="97" t="str">
        <f>IFERROR(__xludf.DUMMYFUNCTION("""COMPUTED_VALUE"""),"Falta")</f>
        <v>Falta</v>
      </c>
      <c r="AU1298" s="97" t="str">
        <f>IFERROR(__xludf.DUMMYFUNCTION("""COMPUTED_VALUE"""),"Falta")</f>
        <v>Falta</v>
      </c>
      <c r="AV1298" s="97" t="str">
        <f>IFERROR(__xludf.DUMMYFUNCTION("""COMPUTED_VALUE"""),"Empotrable")</f>
        <v>Empotrable</v>
      </c>
      <c r="AW1298" s="97" t="str">
        <f>IFERROR(__xludf.DUMMYFUNCTION("""COMPUTED_VALUE"""),"De Techo")</f>
        <v>De Techo</v>
      </c>
      <c r="AX1298" s="97" t="str">
        <f>IFERROR(__xludf.DUMMYFUNCTION("""COMPUTED_VALUE"""),"Interior")</f>
        <v>Interior</v>
      </c>
      <c r="AY1298" s="97" t="str">
        <f>IFERROR(__xludf.DUMMYFUNCTION("""COMPUTED_VALUE"""),"Pocket")</f>
        <v>Pocket</v>
      </c>
      <c r="AZ1298" s="97"/>
      <c r="BA1298" s="97"/>
      <c r="BB1298" s="97"/>
      <c r="BC1298" s="97"/>
      <c r="BD1298" s="97" t="str">
        <f>IFERROR(__xludf.DUMMYFUNCTION("""COMPUTED_VALUE"""),"POCKET VI")</f>
        <v>POCKET VI</v>
      </c>
      <c r="BE1298" s="97" t="str">
        <f>IFERROR(__xludf.DUMMYFUNCTION("""COMPUTED_VALUE"""),"Falta TR")</f>
        <v>Falta TR</v>
      </c>
      <c r="BF1298" s="97">
        <f>IFERROR(__xludf.DUMMYFUNCTION("""COMPUTED_VALUE"""),7743.0)</f>
        <v>7743</v>
      </c>
      <c r="BG1298" s="97" t="str">
        <f>IFERROR(__xludf.DUMMYFUNCTION("""COMPUTED_VALUE"""),"En Salida")</f>
        <v>En Salida</v>
      </c>
    </row>
    <row r="1299">
      <c r="A1299" s="97">
        <f>IFERROR(__xludf.DUMMYFUNCTION("""COMPUTED_VALUE"""),7288.0)</f>
        <v>7288</v>
      </c>
      <c r="B1299" s="97" t="str">
        <f>IFERROR(__xludf.DUMMYFUNCTION("""COMPUTED_VALUE"""),"POCKET VI NGNG 3000K TRIAC")</f>
        <v>POCKET VI NGNG 3000K TRIAC</v>
      </c>
      <c r="C1299" s="97" t="str">
        <f>IFERROR(__xludf.DUMMYFUNCTION("""COMPUTED_VALUE"""),"EMPOTRABLE POCKET VI NGNG 3000K TRIAC 10W 3000K 875LM CRI&gt;90 IP20 LEUK")</f>
        <v>EMPOTRABLE POCKET VI NGNG 3000K TRIAC 10W 3000K 875LM CRI&gt;90 IP20 LEUK</v>
      </c>
      <c r="D1299" s="97">
        <f>IFERROR(__xludf.DUMMYFUNCTION("""COMPUTED_VALUE"""),7.798413228281E12)</f>
        <v>7798413228281</v>
      </c>
      <c r="E1299" s="97" t="str">
        <f>IFERROR(__xludf.DUMMYFUNCTION("""COMPUTED_VALUE"""),"F69")</f>
        <v>F69</v>
      </c>
      <c r="F1299" s="97" t="str">
        <f>IFERROR(__xludf.DUMMYFUNCTION("""COMPUTED_VALUE"""),"LED SMD")</f>
        <v>LED SMD</v>
      </c>
      <c r="G1299" s="97" t="str">
        <f>IFERROR(__xludf.DUMMYFUNCTION("""COMPUTED_VALUE"""),"Bridgelux")</f>
        <v>Bridgelux</v>
      </c>
      <c r="H1299" s="97" t="str">
        <f>IFERROR(__xludf.DUMMYFUNCTION("""COMPUTED_VALUE"""),"AiDimming")</f>
        <v>AiDimming</v>
      </c>
      <c r="I1299" s="97" t="str">
        <f>IFERROR(__xludf.DUMMYFUNCTION("""COMPUTED_VALUE"""),"Si")</f>
        <v>Si</v>
      </c>
      <c r="J1299" s="97" t="str">
        <f>IFERROR(__xludf.DUMMYFUNCTION("""COMPUTED_VALUE"""),"Modelo: PE594M2450
In: 200-250Vac 0.07A 50/60Hz
Out: 12-24Vdc 450mA 10.8W
Pf 0.94 Tc 85°C Ta 45°C
FlickerFree")</f>
        <v>Modelo: PE594M2450
In: 200-250Vac 0.07A 50/60Hz
Out: 12-24Vdc 450mA 10.8W
Pf 0.94 Tc 85°C Ta 45°C
FlickerFree</v>
      </c>
      <c r="K1299" s="97" t="str">
        <f>IFERROR(__xludf.DUMMYFUNCTION("""COMPUTED_VALUE"""),"TRIAC")</f>
        <v>TRIAC</v>
      </c>
      <c r="L1299" s="97" t="str">
        <f>IFERROR(__xludf.DUMMYFUNCTION("""COMPUTED_VALUE"""),"200-240")</f>
        <v>200-240</v>
      </c>
      <c r="M1299" s="97" t="str">
        <f>IFERROR(__xludf.DUMMYFUNCTION("""COMPUTED_VALUE"""),"50/60")</f>
        <v>50/60</v>
      </c>
      <c r="N1299" s="97" t="str">
        <f>IFERROR(__xludf.DUMMYFUNCTION("""COMPUTED_VALUE"""),"Directa")</f>
        <v>Directa</v>
      </c>
      <c r="O1299" s="97">
        <f>IFERROR(__xludf.DUMMYFUNCTION("""COMPUTED_VALUE"""),10.0)</f>
        <v>10</v>
      </c>
      <c r="P1299" s="97"/>
      <c r="Q1299" s="97">
        <f>IFERROR(__xludf.DUMMYFUNCTION("""COMPUTED_VALUE"""),0.95)</f>
        <v>0.95</v>
      </c>
      <c r="R1299" s="97" t="str">
        <f>IFERROR(__xludf.DUMMYFUNCTION("""COMPUTED_VALUE"""),"-")</f>
        <v>-</v>
      </c>
      <c r="S1299" s="97" t="str">
        <f>IFERROR(__xludf.DUMMYFUNCTION("""COMPUTED_VALUE"""),"-")</f>
        <v>-</v>
      </c>
      <c r="T1299" s="97">
        <f>IFERROR(__xludf.DUMMYFUNCTION("""COMPUTED_VALUE"""),875.0)</f>
        <v>875</v>
      </c>
      <c r="U1299" s="99">
        <f>IFERROR(__xludf.DUMMYFUNCTION("""COMPUTED_VALUE"""),87.5)</f>
        <v>87.5</v>
      </c>
      <c r="V1299" s="97">
        <f>IFERROR(__xludf.DUMMYFUNCTION("""COMPUTED_VALUE"""),36.0)</f>
        <v>36</v>
      </c>
      <c r="W1299" s="97" t="str">
        <f>IFERROR(__xludf.DUMMYFUNCTION("""COMPUTED_VALUE"""),"&lt; 14")</f>
        <v>&lt; 14</v>
      </c>
      <c r="X1299" s="97">
        <f>IFERROR(__xludf.DUMMYFUNCTION("""COMPUTED_VALUE"""),3000.0)</f>
        <v>3000</v>
      </c>
      <c r="Y1299" s="97" t="str">
        <f>IFERROR(__xludf.DUMMYFUNCTION("""COMPUTED_VALUE"""),"&gt;90")</f>
        <v>&gt;90</v>
      </c>
      <c r="Z1299" s="97"/>
      <c r="AA1299" s="97"/>
      <c r="AB1299" s="97" t="str">
        <f>IFERROR(__xludf.DUMMYFUNCTION("""COMPUTED_VALUE"""),"&lt; 5")</f>
        <v>&lt; 5</v>
      </c>
      <c r="AC1299" s="97"/>
      <c r="AD1299" s="97" t="str">
        <f>IFERROR(__xludf.DUMMYFUNCTION("""COMPUTED_VALUE"""),"IP20")</f>
        <v>IP20</v>
      </c>
      <c r="AE1299" s="97" t="str">
        <f>IFERROR(__xludf.DUMMYFUNCTION("""COMPUTED_VALUE"""),"Clase l")</f>
        <v>Clase l</v>
      </c>
      <c r="AF1299" s="97" t="str">
        <f>IFERROR(__xludf.DUMMYFUNCTION("""COMPUTED_VALUE"""),"Embutir")</f>
        <v>Embutir</v>
      </c>
      <c r="AG1299" s="97" t="str">
        <f>IFERROR(__xludf.DUMMYFUNCTION("""COMPUTED_VALUE"""),"126 x 31 x 40")</f>
        <v>126 x 31 x 40</v>
      </c>
      <c r="AH1299" s="97" t="str">
        <f>IFERROR(__xludf.DUMMYFUNCTION("""COMPUTED_VALUE"""),"122 x 27")</f>
        <v>122 x 27</v>
      </c>
      <c r="AI1299" s="97">
        <f>IFERROR(__xludf.DUMMYFUNCTION("""COMPUTED_VALUE"""),55.0)</f>
        <v>55</v>
      </c>
      <c r="AJ1299" s="97" t="str">
        <f>IFERROR(__xludf.DUMMYFUNCTION("""COMPUTED_VALUE"""),"Policarbonato (PC)")</f>
        <v>Policarbonato (PC)</v>
      </c>
      <c r="AK1299" s="97" t="str">
        <f>IFERROR(__xludf.DUMMYFUNCTION("""COMPUTED_VALUE"""),"Aluminio")</f>
        <v>Aluminio</v>
      </c>
      <c r="AL1299" s="97" t="str">
        <f>IFERROR(__xludf.DUMMYFUNCTION("""COMPUTED_VALUE"""),"Negro Satinado")</f>
        <v>Negro Satinado</v>
      </c>
      <c r="AM1299" s="97" t="str">
        <f>IFERROR(__xludf.DUMMYFUNCTION("""COMPUTED_VALUE"""),"-")</f>
        <v>-</v>
      </c>
      <c r="AN1299" s="97" t="str">
        <f>IFERROR(__xludf.DUMMYFUNCTION("""COMPUTED_VALUE"""),"40.000hs (L70)")</f>
        <v>40.000hs (L70)</v>
      </c>
      <c r="AO1299" s="97" t="str">
        <f>IFERROR(__xludf.DUMMYFUNCTION("""COMPUTED_VALUE"""),"4 Años")</f>
        <v>4 Años</v>
      </c>
      <c r="AP1299" s="97" t="str">
        <f>IFERROR(__xludf.DUMMYFUNCTION("""COMPUTED_VALUE"""),"Falta")</f>
        <v>Falta</v>
      </c>
      <c r="AQ1299" s="97" t="str">
        <f>IFERROR(__xludf.DUMMYFUNCTION("""COMPUTED_VALUE"""),"Falta")</f>
        <v>Falta</v>
      </c>
      <c r="AR1299" s="97" t="str">
        <f>IFERROR(__xludf.DUMMYFUNCTION("""COMPUTED_VALUE"""),"En revisión")</f>
        <v>En revisión</v>
      </c>
      <c r="AS1299" s="97" t="str">
        <f>IFERROR(__xludf.DUMMYFUNCTION("""COMPUTED_VALUE"""),"Falta")</f>
        <v>Falta</v>
      </c>
      <c r="AT1299" s="97" t="str">
        <f>IFERROR(__xludf.DUMMYFUNCTION("""COMPUTED_VALUE"""),"Falta")</f>
        <v>Falta</v>
      </c>
      <c r="AU1299" s="97" t="str">
        <f>IFERROR(__xludf.DUMMYFUNCTION("""COMPUTED_VALUE"""),"Falta")</f>
        <v>Falta</v>
      </c>
      <c r="AV1299" s="97" t="str">
        <f>IFERROR(__xludf.DUMMYFUNCTION("""COMPUTED_VALUE"""),"Empotrable")</f>
        <v>Empotrable</v>
      </c>
      <c r="AW1299" s="97" t="str">
        <f>IFERROR(__xludf.DUMMYFUNCTION("""COMPUTED_VALUE"""),"De Techo")</f>
        <v>De Techo</v>
      </c>
      <c r="AX1299" s="97" t="str">
        <f>IFERROR(__xludf.DUMMYFUNCTION("""COMPUTED_VALUE"""),"Interior")</f>
        <v>Interior</v>
      </c>
      <c r="AY1299" s="97" t="str">
        <f>IFERROR(__xludf.DUMMYFUNCTION("""COMPUTED_VALUE"""),"Pocket")</f>
        <v>Pocket</v>
      </c>
      <c r="AZ1299" s="97"/>
      <c r="BA1299" s="97"/>
      <c r="BB1299" s="97"/>
      <c r="BC1299" s="97"/>
      <c r="BD1299" s="97" t="str">
        <f>IFERROR(__xludf.DUMMYFUNCTION("""COMPUTED_VALUE"""),"POCKET VI")</f>
        <v>POCKET VI</v>
      </c>
      <c r="BE1299" s="97" t="str">
        <f>IFERROR(__xludf.DUMMYFUNCTION("""COMPUTED_VALUE"""),"Falta TR")</f>
        <v>Falta TR</v>
      </c>
      <c r="BF1299" s="97">
        <f>IFERROR(__xludf.DUMMYFUNCTION("""COMPUTED_VALUE"""),7743.0)</f>
        <v>7743</v>
      </c>
      <c r="BG1299" s="97" t="str">
        <f>IFERROR(__xludf.DUMMYFUNCTION("""COMPUTED_VALUE"""),"En Salida")</f>
        <v>En Salida</v>
      </c>
    </row>
    <row r="1300">
      <c r="A1300" s="97">
        <f>IFERROR(__xludf.DUMMYFUNCTION("""COMPUTED_VALUE"""),7289.0)</f>
        <v>7289</v>
      </c>
      <c r="B1300" s="97" t="str">
        <f>IFERROR(__xludf.DUMMYFUNCTION("""COMPUTED_VALUE"""),"POCKET VI BLBL 3000k")</f>
        <v>POCKET VI BLBL 3000k</v>
      </c>
      <c r="C1300" s="97" t="str">
        <f>IFERROR(__xludf.DUMMYFUNCTION("""COMPUTED_VALUE"""),"EMPOTRABLE POCKET VI BLBL 3000K 10W 3000K 875LM CRI&gt;90 IP20 LEUK")</f>
        <v>EMPOTRABLE POCKET VI BLBL 3000K 10W 3000K 875LM CRI&gt;90 IP20 LEUK</v>
      </c>
      <c r="D1300" s="97">
        <f>IFERROR(__xludf.DUMMYFUNCTION("""COMPUTED_VALUE"""),7.798413228298E12)</f>
        <v>7798413228298</v>
      </c>
      <c r="E1300" s="97" t="str">
        <f>IFERROR(__xludf.DUMMYFUNCTION("""COMPUTED_VALUE"""),"F69")</f>
        <v>F69</v>
      </c>
      <c r="F1300" s="97" t="str">
        <f>IFERROR(__xludf.DUMMYFUNCTION("""COMPUTED_VALUE"""),"LED SMD")</f>
        <v>LED SMD</v>
      </c>
      <c r="G1300" s="97" t="str">
        <f>IFERROR(__xludf.DUMMYFUNCTION("""COMPUTED_VALUE"""),"Bridgelux")</f>
        <v>Bridgelux</v>
      </c>
      <c r="H1300" s="97" t="str">
        <f>IFERROR(__xludf.DUMMYFUNCTION("""COMPUTED_VALUE"""),"Eaglerise")</f>
        <v>Eaglerise</v>
      </c>
      <c r="I1300" s="97" t="str">
        <f>IFERROR(__xludf.DUMMYFUNCTION("""COMPUTED_VALUE"""),"Si")</f>
        <v>Si</v>
      </c>
      <c r="J1300" s="97" t="str">
        <f>IFERROR(__xludf.DUMMYFUNCTION("""COMPUTED_VALUE"""),"Modelo: LS-12-500 SI2 E
In: 220-240Vac 0.16A 50/60Hz
Out: 18-24Vdc 500mA 12W
Pf 0.6 Tc 85°C Ta 45°C")</f>
        <v>Modelo: LS-12-500 SI2 E
In: 220-240Vac 0.16A 50/60Hz
Out: 18-24Vdc 500mA 12W
Pf 0.6 Tc 85°C Ta 45°C</v>
      </c>
      <c r="K1300" s="97" t="str">
        <f>IFERROR(__xludf.DUMMYFUNCTION("""COMPUTED_VALUE"""),"ON/OFF")</f>
        <v>ON/OFF</v>
      </c>
      <c r="L1300" s="97" t="str">
        <f>IFERROR(__xludf.DUMMYFUNCTION("""COMPUTED_VALUE"""),"200-240")</f>
        <v>200-240</v>
      </c>
      <c r="M1300" s="97" t="str">
        <f>IFERROR(__xludf.DUMMYFUNCTION("""COMPUTED_VALUE"""),"50/60")</f>
        <v>50/60</v>
      </c>
      <c r="N1300" s="97" t="str">
        <f>IFERROR(__xludf.DUMMYFUNCTION("""COMPUTED_VALUE"""),"Directa")</f>
        <v>Directa</v>
      </c>
      <c r="O1300" s="97">
        <f>IFERROR(__xludf.DUMMYFUNCTION("""COMPUTED_VALUE"""),10.0)</f>
        <v>10</v>
      </c>
      <c r="P1300" s="97"/>
      <c r="Q1300" s="97">
        <f>IFERROR(__xludf.DUMMYFUNCTION("""COMPUTED_VALUE"""),0.6)</f>
        <v>0.6</v>
      </c>
      <c r="R1300" s="97" t="str">
        <f>IFERROR(__xludf.DUMMYFUNCTION("""COMPUTED_VALUE"""),"-")</f>
        <v>-</v>
      </c>
      <c r="S1300" s="97" t="str">
        <f>IFERROR(__xludf.DUMMYFUNCTION("""COMPUTED_VALUE"""),"-")</f>
        <v>-</v>
      </c>
      <c r="T1300" s="97">
        <f>IFERROR(__xludf.DUMMYFUNCTION("""COMPUTED_VALUE"""),875.0)</f>
        <v>875</v>
      </c>
      <c r="U1300" s="99">
        <f>IFERROR(__xludf.DUMMYFUNCTION("""COMPUTED_VALUE"""),87.5)</f>
        <v>87.5</v>
      </c>
      <c r="V1300" s="97">
        <f>IFERROR(__xludf.DUMMYFUNCTION("""COMPUTED_VALUE"""),36.0)</f>
        <v>36</v>
      </c>
      <c r="W1300" s="97" t="str">
        <f>IFERROR(__xludf.DUMMYFUNCTION("""COMPUTED_VALUE"""),"&lt; 14")</f>
        <v>&lt; 14</v>
      </c>
      <c r="X1300" s="97">
        <f>IFERROR(__xludf.DUMMYFUNCTION("""COMPUTED_VALUE"""),3000.0)</f>
        <v>3000</v>
      </c>
      <c r="Y1300" s="97" t="str">
        <f>IFERROR(__xludf.DUMMYFUNCTION("""COMPUTED_VALUE"""),"&gt;90")</f>
        <v>&gt;90</v>
      </c>
      <c r="Z1300" s="97"/>
      <c r="AA1300" s="97"/>
      <c r="AB1300" s="97" t="str">
        <f>IFERROR(__xludf.DUMMYFUNCTION("""COMPUTED_VALUE"""),"&lt; 5")</f>
        <v>&lt; 5</v>
      </c>
      <c r="AC1300" s="97"/>
      <c r="AD1300" s="97" t="str">
        <f>IFERROR(__xludf.DUMMYFUNCTION("""COMPUTED_VALUE"""),"IP20")</f>
        <v>IP20</v>
      </c>
      <c r="AE1300" s="97" t="str">
        <f>IFERROR(__xludf.DUMMYFUNCTION("""COMPUTED_VALUE"""),"Clase l")</f>
        <v>Clase l</v>
      </c>
      <c r="AF1300" s="97" t="str">
        <f>IFERROR(__xludf.DUMMYFUNCTION("""COMPUTED_VALUE"""),"Embutir")</f>
        <v>Embutir</v>
      </c>
      <c r="AG1300" s="97" t="str">
        <f>IFERROR(__xludf.DUMMYFUNCTION("""COMPUTED_VALUE"""),"126 x 31 x 40")</f>
        <v>126 x 31 x 40</v>
      </c>
      <c r="AH1300" s="97" t="str">
        <f>IFERROR(__xludf.DUMMYFUNCTION("""COMPUTED_VALUE"""),"122 x 27")</f>
        <v>122 x 27</v>
      </c>
      <c r="AI1300" s="97">
        <f>IFERROR(__xludf.DUMMYFUNCTION("""COMPUTED_VALUE"""),55.0)</f>
        <v>55</v>
      </c>
      <c r="AJ1300" s="97" t="str">
        <f>IFERROR(__xludf.DUMMYFUNCTION("""COMPUTED_VALUE"""),"Policarbonato (PC)")</f>
        <v>Policarbonato (PC)</v>
      </c>
      <c r="AK1300" s="97" t="str">
        <f>IFERROR(__xludf.DUMMYFUNCTION("""COMPUTED_VALUE"""),"Aluminio")</f>
        <v>Aluminio</v>
      </c>
      <c r="AL1300" s="97" t="str">
        <f>IFERROR(__xludf.DUMMYFUNCTION("""COMPUTED_VALUE"""),"Blanco Satinado")</f>
        <v>Blanco Satinado</v>
      </c>
      <c r="AM1300" s="97" t="str">
        <f>IFERROR(__xludf.DUMMYFUNCTION("""COMPUTED_VALUE"""),"-")</f>
        <v>-</v>
      </c>
      <c r="AN1300" s="97" t="str">
        <f>IFERROR(__xludf.DUMMYFUNCTION("""COMPUTED_VALUE"""),"40.000hs (L70)")</f>
        <v>40.000hs (L70)</v>
      </c>
      <c r="AO1300" s="97" t="str">
        <f>IFERROR(__xludf.DUMMYFUNCTION("""COMPUTED_VALUE"""),"4 Años")</f>
        <v>4 Años</v>
      </c>
      <c r="AP1300" s="97" t="str">
        <f>IFERROR(__xludf.DUMMYFUNCTION("""COMPUTED_VALUE"""),"Falta")</f>
        <v>Falta</v>
      </c>
      <c r="AQ1300" s="97" t="str">
        <f>IFERROR(__xludf.DUMMYFUNCTION("""COMPUTED_VALUE"""),"Falta")</f>
        <v>Falta</v>
      </c>
      <c r="AR1300" s="97" t="str">
        <f>IFERROR(__xludf.DUMMYFUNCTION("""COMPUTED_VALUE"""),"En revisión")</f>
        <v>En revisión</v>
      </c>
      <c r="AS1300" s="97" t="str">
        <f>IFERROR(__xludf.DUMMYFUNCTION("""COMPUTED_VALUE"""),"Falta")</f>
        <v>Falta</v>
      </c>
      <c r="AT1300" s="97" t="str">
        <f>IFERROR(__xludf.DUMMYFUNCTION("""COMPUTED_VALUE"""),"Falta")</f>
        <v>Falta</v>
      </c>
      <c r="AU1300" s="97" t="str">
        <f>IFERROR(__xludf.DUMMYFUNCTION("""COMPUTED_VALUE"""),"Falta")</f>
        <v>Falta</v>
      </c>
      <c r="AV1300" s="97" t="str">
        <f>IFERROR(__xludf.DUMMYFUNCTION("""COMPUTED_VALUE"""),"Empotrable")</f>
        <v>Empotrable</v>
      </c>
      <c r="AW1300" s="97" t="str">
        <f>IFERROR(__xludf.DUMMYFUNCTION("""COMPUTED_VALUE"""),"De Techo")</f>
        <v>De Techo</v>
      </c>
      <c r="AX1300" s="97" t="str">
        <f>IFERROR(__xludf.DUMMYFUNCTION("""COMPUTED_VALUE"""),"Interior")</f>
        <v>Interior</v>
      </c>
      <c r="AY1300" s="97" t="str">
        <f>IFERROR(__xludf.DUMMYFUNCTION("""COMPUTED_VALUE"""),"Pocket")</f>
        <v>Pocket</v>
      </c>
      <c r="AZ1300" s="97"/>
      <c r="BA1300" s="97"/>
      <c r="BB1300" s="97"/>
      <c r="BC1300" s="97"/>
      <c r="BD1300" s="97" t="str">
        <f>IFERROR(__xludf.DUMMYFUNCTION("""COMPUTED_VALUE"""),"POCKET VI")</f>
        <v>POCKET VI</v>
      </c>
      <c r="BE1300" s="97" t="str">
        <f>IFERROR(__xludf.DUMMYFUNCTION("""COMPUTED_VALUE"""),"Falta TR")</f>
        <v>Falta TR</v>
      </c>
      <c r="BF1300" s="97">
        <f>IFERROR(__xludf.DUMMYFUNCTION("""COMPUTED_VALUE"""),7729.0)</f>
        <v>7729</v>
      </c>
      <c r="BG1300" s="97" t="str">
        <f>IFERROR(__xludf.DUMMYFUNCTION("""COMPUTED_VALUE"""),"En Salida")</f>
        <v>En Salida</v>
      </c>
    </row>
    <row r="1301">
      <c r="A1301" s="97">
        <f>IFERROR(__xludf.DUMMYFUNCTION("""COMPUTED_VALUE"""),7290.0)</f>
        <v>7290</v>
      </c>
      <c r="B1301" s="97" t="str">
        <f>IFERROR(__xludf.DUMMYFUNCTION("""COMPUTED_VALUE"""),"POCKET VI NGNG 2700K")</f>
        <v>POCKET VI NGNG 2700K</v>
      </c>
      <c r="C1301" s="97" t="str">
        <f>IFERROR(__xludf.DUMMYFUNCTION("""COMPUTED_VALUE"""),"EMPOTRABLE POCKET VI NGNG 2700K 10W 2700K 875LM CRI&gt;90 IP20 LEUK")</f>
        <v>EMPOTRABLE POCKET VI NGNG 2700K 10W 2700K 875LM CRI&gt;90 IP20 LEUK</v>
      </c>
      <c r="D1301" s="97">
        <f>IFERROR(__xludf.DUMMYFUNCTION("""COMPUTED_VALUE"""),7.798413228304E12)</f>
        <v>7798413228304</v>
      </c>
      <c r="E1301" s="97" t="str">
        <f>IFERROR(__xludf.DUMMYFUNCTION("""COMPUTED_VALUE"""),"F69")</f>
        <v>F69</v>
      </c>
      <c r="F1301" s="97" t="str">
        <f>IFERROR(__xludf.DUMMYFUNCTION("""COMPUTED_VALUE"""),"LED SMD")</f>
        <v>LED SMD</v>
      </c>
      <c r="G1301" s="97" t="str">
        <f>IFERROR(__xludf.DUMMYFUNCTION("""COMPUTED_VALUE"""),"Bridgelux")</f>
        <v>Bridgelux</v>
      </c>
      <c r="H1301" s="97" t="str">
        <f>IFERROR(__xludf.DUMMYFUNCTION("""COMPUTED_VALUE"""),"Eaglerise")</f>
        <v>Eaglerise</v>
      </c>
      <c r="I1301" s="97" t="str">
        <f>IFERROR(__xludf.DUMMYFUNCTION("""COMPUTED_VALUE"""),"Si")</f>
        <v>Si</v>
      </c>
      <c r="J1301" s="97" t="str">
        <f>IFERROR(__xludf.DUMMYFUNCTION("""COMPUTED_VALUE"""),"Modelo: LS-12-500 SI2 E
In: 220-240Vac 0.16A 50/60Hz
Out: 18-24Vdc 500mA 12W
Pf 0.6 Tc 85°C Ta 45°C")</f>
        <v>Modelo: LS-12-500 SI2 E
In: 220-240Vac 0.16A 50/60Hz
Out: 18-24Vdc 500mA 12W
Pf 0.6 Tc 85°C Ta 45°C</v>
      </c>
      <c r="K1301" s="97" t="str">
        <f>IFERROR(__xludf.DUMMYFUNCTION("""COMPUTED_VALUE"""),"ON/OFF")</f>
        <v>ON/OFF</v>
      </c>
      <c r="L1301" s="97" t="str">
        <f>IFERROR(__xludf.DUMMYFUNCTION("""COMPUTED_VALUE"""),"200-240")</f>
        <v>200-240</v>
      </c>
      <c r="M1301" s="97" t="str">
        <f>IFERROR(__xludf.DUMMYFUNCTION("""COMPUTED_VALUE"""),"50/60")</f>
        <v>50/60</v>
      </c>
      <c r="N1301" s="97" t="str">
        <f>IFERROR(__xludf.DUMMYFUNCTION("""COMPUTED_VALUE"""),"Directa")</f>
        <v>Directa</v>
      </c>
      <c r="O1301" s="97">
        <f>IFERROR(__xludf.DUMMYFUNCTION("""COMPUTED_VALUE"""),10.0)</f>
        <v>10</v>
      </c>
      <c r="P1301" s="97"/>
      <c r="Q1301" s="97">
        <f>IFERROR(__xludf.DUMMYFUNCTION("""COMPUTED_VALUE"""),0.6)</f>
        <v>0.6</v>
      </c>
      <c r="R1301" s="97" t="str">
        <f>IFERROR(__xludf.DUMMYFUNCTION("""COMPUTED_VALUE"""),"-")</f>
        <v>-</v>
      </c>
      <c r="S1301" s="97" t="str">
        <f>IFERROR(__xludf.DUMMYFUNCTION("""COMPUTED_VALUE"""),"-")</f>
        <v>-</v>
      </c>
      <c r="T1301" s="97">
        <f>IFERROR(__xludf.DUMMYFUNCTION("""COMPUTED_VALUE"""),875.0)</f>
        <v>875</v>
      </c>
      <c r="U1301" s="99">
        <f>IFERROR(__xludf.DUMMYFUNCTION("""COMPUTED_VALUE"""),87.5)</f>
        <v>87.5</v>
      </c>
      <c r="V1301" s="97">
        <f>IFERROR(__xludf.DUMMYFUNCTION("""COMPUTED_VALUE"""),36.0)</f>
        <v>36</v>
      </c>
      <c r="W1301" s="97" t="str">
        <f>IFERROR(__xludf.DUMMYFUNCTION("""COMPUTED_VALUE"""),"&lt; 14")</f>
        <v>&lt; 14</v>
      </c>
      <c r="X1301" s="97">
        <f>IFERROR(__xludf.DUMMYFUNCTION("""COMPUTED_VALUE"""),2700.0)</f>
        <v>2700</v>
      </c>
      <c r="Y1301" s="97" t="str">
        <f>IFERROR(__xludf.DUMMYFUNCTION("""COMPUTED_VALUE"""),"&gt;90")</f>
        <v>&gt;90</v>
      </c>
      <c r="Z1301" s="97"/>
      <c r="AA1301" s="97"/>
      <c r="AB1301" s="97" t="str">
        <f>IFERROR(__xludf.DUMMYFUNCTION("""COMPUTED_VALUE"""),"&lt; 5")</f>
        <v>&lt; 5</v>
      </c>
      <c r="AC1301" s="97"/>
      <c r="AD1301" s="97" t="str">
        <f>IFERROR(__xludf.DUMMYFUNCTION("""COMPUTED_VALUE"""),"IP20")</f>
        <v>IP20</v>
      </c>
      <c r="AE1301" s="97" t="str">
        <f>IFERROR(__xludf.DUMMYFUNCTION("""COMPUTED_VALUE"""),"Clase l")</f>
        <v>Clase l</v>
      </c>
      <c r="AF1301" s="97" t="str">
        <f>IFERROR(__xludf.DUMMYFUNCTION("""COMPUTED_VALUE"""),"Embutir")</f>
        <v>Embutir</v>
      </c>
      <c r="AG1301" s="97" t="str">
        <f>IFERROR(__xludf.DUMMYFUNCTION("""COMPUTED_VALUE"""),"126 x 31 x 40")</f>
        <v>126 x 31 x 40</v>
      </c>
      <c r="AH1301" s="97" t="str">
        <f>IFERROR(__xludf.DUMMYFUNCTION("""COMPUTED_VALUE"""),"122 x 27")</f>
        <v>122 x 27</v>
      </c>
      <c r="AI1301" s="97">
        <f>IFERROR(__xludf.DUMMYFUNCTION("""COMPUTED_VALUE"""),55.0)</f>
        <v>55</v>
      </c>
      <c r="AJ1301" s="97" t="str">
        <f>IFERROR(__xludf.DUMMYFUNCTION("""COMPUTED_VALUE"""),"Policarbonato (PC)")</f>
        <v>Policarbonato (PC)</v>
      </c>
      <c r="AK1301" s="97" t="str">
        <f>IFERROR(__xludf.DUMMYFUNCTION("""COMPUTED_VALUE"""),"Aluminio")</f>
        <v>Aluminio</v>
      </c>
      <c r="AL1301" s="97" t="str">
        <f>IFERROR(__xludf.DUMMYFUNCTION("""COMPUTED_VALUE"""),"Negro Satinado")</f>
        <v>Negro Satinado</v>
      </c>
      <c r="AM1301" s="97" t="str">
        <f>IFERROR(__xludf.DUMMYFUNCTION("""COMPUTED_VALUE"""),"-")</f>
        <v>-</v>
      </c>
      <c r="AN1301" s="97" t="str">
        <f>IFERROR(__xludf.DUMMYFUNCTION("""COMPUTED_VALUE"""),"40.000hs (L70)")</f>
        <v>40.000hs (L70)</v>
      </c>
      <c r="AO1301" s="97" t="str">
        <f>IFERROR(__xludf.DUMMYFUNCTION("""COMPUTED_VALUE"""),"4 Años")</f>
        <v>4 Años</v>
      </c>
      <c r="AP1301" s="97" t="str">
        <f>IFERROR(__xludf.DUMMYFUNCTION("""COMPUTED_VALUE"""),"Falta")</f>
        <v>Falta</v>
      </c>
      <c r="AQ1301" s="97" t="str">
        <f>IFERROR(__xludf.DUMMYFUNCTION("""COMPUTED_VALUE"""),"Falta")</f>
        <v>Falta</v>
      </c>
      <c r="AR1301" s="97" t="str">
        <f>IFERROR(__xludf.DUMMYFUNCTION("""COMPUTED_VALUE"""),"En revisión")</f>
        <v>En revisión</v>
      </c>
      <c r="AS1301" s="97" t="str">
        <f>IFERROR(__xludf.DUMMYFUNCTION("""COMPUTED_VALUE"""),"Falta")</f>
        <v>Falta</v>
      </c>
      <c r="AT1301" s="97" t="str">
        <f>IFERROR(__xludf.DUMMYFUNCTION("""COMPUTED_VALUE"""),"Falta")</f>
        <v>Falta</v>
      </c>
      <c r="AU1301" s="97" t="str">
        <f>IFERROR(__xludf.DUMMYFUNCTION("""COMPUTED_VALUE"""),"Falta")</f>
        <v>Falta</v>
      </c>
      <c r="AV1301" s="97" t="str">
        <f>IFERROR(__xludf.DUMMYFUNCTION("""COMPUTED_VALUE"""),"Empotrable")</f>
        <v>Empotrable</v>
      </c>
      <c r="AW1301" s="97" t="str">
        <f>IFERROR(__xludf.DUMMYFUNCTION("""COMPUTED_VALUE"""),"De Techo")</f>
        <v>De Techo</v>
      </c>
      <c r="AX1301" s="97" t="str">
        <f>IFERROR(__xludf.DUMMYFUNCTION("""COMPUTED_VALUE"""),"Interior")</f>
        <v>Interior</v>
      </c>
      <c r="AY1301" s="97" t="str">
        <f>IFERROR(__xludf.DUMMYFUNCTION("""COMPUTED_VALUE"""),"Pocket")</f>
        <v>Pocket</v>
      </c>
      <c r="AZ1301" s="97"/>
      <c r="BA1301" s="97"/>
      <c r="BB1301" s="97"/>
      <c r="BC1301" s="97"/>
      <c r="BD1301" s="97" t="str">
        <f>IFERROR(__xludf.DUMMYFUNCTION("""COMPUTED_VALUE"""),"POCKET VI")</f>
        <v>POCKET VI</v>
      </c>
      <c r="BE1301" s="97" t="str">
        <f>IFERROR(__xludf.DUMMYFUNCTION("""COMPUTED_VALUE"""),"Falta TR")</f>
        <v>Falta TR</v>
      </c>
      <c r="BF1301" s="97">
        <f>IFERROR(__xludf.DUMMYFUNCTION("""COMPUTED_VALUE"""),7731.0)</f>
        <v>7731</v>
      </c>
      <c r="BG1301" s="97" t="str">
        <f>IFERROR(__xludf.DUMMYFUNCTION("""COMPUTED_VALUE"""),"En Salida")</f>
        <v>En Salida</v>
      </c>
    </row>
    <row r="1302">
      <c r="A1302" s="97">
        <f>IFERROR(__xludf.DUMMYFUNCTION("""COMPUTED_VALUE"""),7291.0)</f>
        <v>7291</v>
      </c>
      <c r="B1302" s="97" t="str">
        <f>IFERROR(__xludf.DUMMYFUNCTION("""COMPUTED_VALUE"""),"POCKET VI NGNG 3000K")</f>
        <v>POCKET VI NGNG 3000K</v>
      </c>
      <c r="C1302" s="97" t="str">
        <f>IFERROR(__xludf.DUMMYFUNCTION("""COMPUTED_VALUE"""),"EMPOTRABLE POCKET VI NGNG 3000K 10W 3000K 875LM CRI&gt;90 IP20 LEUK")</f>
        <v>EMPOTRABLE POCKET VI NGNG 3000K 10W 3000K 875LM CRI&gt;90 IP20 LEUK</v>
      </c>
      <c r="D1302" s="97">
        <f>IFERROR(__xludf.DUMMYFUNCTION("""COMPUTED_VALUE"""),7.798413228311E12)</f>
        <v>7798413228311</v>
      </c>
      <c r="E1302" s="97" t="str">
        <f>IFERROR(__xludf.DUMMYFUNCTION("""COMPUTED_VALUE"""),"F69")</f>
        <v>F69</v>
      </c>
      <c r="F1302" s="97" t="str">
        <f>IFERROR(__xludf.DUMMYFUNCTION("""COMPUTED_VALUE"""),"LED SMD")</f>
        <v>LED SMD</v>
      </c>
      <c r="G1302" s="97" t="str">
        <f>IFERROR(__xludf.DUMMYFUNCTION("""COMPUTED_VALUE"""),"Bridgelux")</f>
        <v>Bridgelux</v>
      </c>
      <c r="H1302" s="97" t="str">
        <f>IFERROR(__xludf.DUMMYFUNCTION("""COMPUTED_VALUE"""),"Eaglerise")</f>
        <v>Eaglerise</v>
      </c>
      <c r="I1302" s="97" t="str">
        <f>IFERROR(__xludf.DUMMYFUNCTION("""COMPUTED_VALUE"""),"Si")</f>
        <v>Si</v>
      </c>
      <c r="J1302" s="97" t="str">
        <f>IFERROR(__xludf.DUMMYFUNCTION("""COMPUTED_VALUE"""),"Modelo: LS-12-500 SI2 E
In: 220-240Vac 0.16A 50/60Hz
Out: 18-24Vdc 500mA 12W
Pf 0.6 Tc 85°C Ta 45°C")</f>
        <v>Modelo: LS-12-500 SI2 E
In: 220-240Vac 0.16A 50/60Hz
Out: 18-24Vdc 500mA 12W
Pf 0.6 Tc 85°C Ta 45°C</v>
      </c>
      <c r="K1302" s="97" t="str">
        <f>IFERROR(__xludf.DUMMYFUNCTION("""COMPUTED_VALUE"""),"ON/OFF")</f>
        <v>ON/OFF</v>
      </c>
      <c r="L1302" s="97" t="str">
        <f>IFERROR(__xludf.DUMMYFUNCTION("""COMPUTED_VALUE"""),"200-240")</f>
        <v>200-240</v>
      </c>
      <c r="M1302" s="97" t="str">
        <f>IFERROR(__xludf.DUMMYFUNCTION("""COMPUTED_VALUE"""),"50/60")</f>
        <v>50/60</v>
      </c>
      <c r="N1302" s="97" t="str">
        <f>IFERROR(__xludf.DUMMYFUNCTION("""COMPUTED_VALUE"""),"Directa")</f>
        <v>Directa</v>
      </c>
      <c r="O1302" s="97">
        <f>IFERROR(__xludf.DUMMYFUNCTION("""COMPUTED_VALUE"""),10.0)</f>
        <v>10</v>
      </c>
      <c r="P1302" s="97"/>
      <c r="Q1302" s="97">
        <f>IFERROR(__xludf.DUMMYFUNCTION("""COMPUTED_VALUE"""),0.6)</f>
        <v>0.6</v>
      </c>
      <c r="R1302" s="97" t="str">
        <f>IFERROR(__xludf.DUMMYFUNCTION("""COMPUTED_VALUE"""),"-")</f>
        <v>-</v>
      </c>
      <c r="S1302" s="97" t="str">
        <f>IFERROR(__xludf.DUMMYFUNCTION("""COMPUTED_VALUE"""),"-")</f>
        <v>-</v>
      </c>
      <c r="T1302" s="97">
        <f>IFERROR(__xludf.DUMMYFUNCTION("""COMPUTED_VALUE"""),875.0)</f>
        <v>875</v>
      </c>
      <c r="U1302" s="99">
        <f>IFERROR(__xludf.DUMMYFUNCTION("""COMPUTED_VALUE"""),87.5)</f>
        <v>87.5</v>
      </c>
      <c r="V1302" s="97">
        <f>IFERROR(__xludf.DUMMYFUNCTION("""COMPUTED_VALUE"""),36.0)</f>
        <v>36</v>
      </c>
      <c r="W1302" s="97" t="str">
        <f>IFERROR(__xludf.DUMMYFUNCTION("""COMPUTED_VALUE"""),"&lt; 14")</f>
        <v>&lt; 14</v>
      </c>
      <c r="X1302" s="97">
        <f>IFERROR(__xludf.DUMMYFUNCTION("""COMPUTED_VALUE"""),3000.0)</f>
        <v>3000</v>
      </c>
      <c r="Y1302" s="97" t="str">
        <f>IFERROR(__xludf.DUMMYFUNCTION("""COMPUTED_VALUE"""),"&gt;90")</f>
        <v>&gt;90</v>
      </c>
      <c r="Z1302" s="97"/>
      <c r="AA1302" s="97"/>
      <c r="AB1302" s="97" t="str">
        <f>IFERROR(__xludf.DUMMYFUNCTION("""COMPUTED_VALUE"""),"&lt; 5")</f>
        <v>&lt; 5</v>
      </c>
      <c r="AC1302" s="97"/>
      <c r="AD1302" s="97" t="str">
        <f>IFERROR(__xludf.DUMMYFUNCTION("""COMPUTED_VALUE"""),"IP20")</f>
        <v>IP20</v>
      </c>
      <c r="AE1302" s="97" t="str">
        <f>IFERROR(__xludf.DUMMYFUNCTION("""COMPUTED_VALUE"""),"Clase l")</f>
        <v>Clase l</v>
      </c>
      <c r="AF1302" s="97" t="str">
        <f>IFERROR(__xludf.DUMMYFUNCTION("""COMPUTED_VALUE"""),"Embutir")</f>
        <v>Embutir</v>
      </c>
      <c r="AG1302" s="97" t="str">
        <f>IFERROR(__xludf.DUMMYFUNCTION("""COMPUTED_VALUE"""),"126 x 31 x 40")</f>
        <v>126 x 31 x 40</v>
      </c>
      <c r="AH1302" s="97" t="str">
        <f>IFERROR(__xludf.DUMMYFUNCTION("""COMPUTED_VALUE"""),"122 x 27")</f>
        <v>122 x 27</v>
      </c>
      <c r="AI1302" s="97">
        <f>IFERROR(__xludf.DUMMYFUNCTION("""COMPUTED_VALUE"""),55.0)</f>
        <v>55</v>
      </c>
      <c r="AJ1302" s="97" t="str">
        <f>IFERROR(__xludf.DUMMYFUNCTION("""COMPUTED_VALUE"""),"Policarbonato (PC)")</f>
        <v>Policarbonato (PC)</v>
      </c>
      <c r="AK1302" s="97" t="str">
        <f>IFERROR(__xludf.DUMMYFUNCTION("""COMPUTED_VALUE"""),"Aluminio")</f>
        <v>Aluminio</v>
      </c>
      <c r="AL1302" s="97" t="str">
        <f>IFERROR(__xludf.DUMMYFUNCTION("""COMPUTED_VALUE"""),"Negro Satinado")</f>
        <v>Negro Satinado</v>
      </c>
      <c r="AM1302" s="97" t="str">
        <f>IFERROR(__xludf.DUMMYFUNCTION("""COMPUTED_VALUE"""),"-")</f>
        <v>-</v>
      </c>
      <c r="AN1302" s="97" t="str">
        <f>IFERROR(__xludf.DUMMYFUNCTION("""COMPUTED_VALUE"""),"40.000hs (L70)")</f>
        <v>40.000hs (L70)</v>
      </c>
      <c r="AO1302" s="97" t="str">
        <f>IFERROR(__xludf.DUMMYFUNCTION("""COMPUTED_VALUE"""),"4 Años")</f>
        <v>4 Años</v>
      </c>
      <c r="AP1302" s="97" t="str">
        <f>IFERROR(__xludf.DUMMYFUNCTION("""COMPUTED_VALUE"""),"Falta")</f>
        <v>Falta</v>
      </c>
      <c r="AQ1302" s="97" t="str">
        <f>IFERROR(__xludf.DUMMYFUNCTION("""COMPUTED_VALUE"""),"Falta")</f>
        <v>Falta</v>
      </c>
      <c r="AR1302" s="97" t="str">
        <f>IFERROR(__xludf.DUMMYFUNCTION("""COMPUTED_VALUE"""),"En revisión")</f>
        <v>En revisión</v>
      </c>
      <c r="AS1302" s="97" t="str">
        <f>IFERROR(__xludf.DUMMYFUNCTION("""COMPUTED_VALUE"""),"Falta")</f>
        <v>Falta</v>
      </c>
      <c r="AT1302" s="97" t="str">
        <f>IFERROR(__xludf.DUMMYFUNCTION("""COMPUTED_VALUE"""),"Falta")</f>
        <v>Falta</v>
      </c>
      <c r="AU1302" s="97" t="str">
        <f>IFERROR(__xludf.DUMMYFUNCTION("""COMPUTED_VALUE"""),"Falta")</f>
        <v>Falta</v>
      </c>
      <c r="AV1302" s="97" t="str">
        <f>IFERROR(__xludf.DUMMYFUNCTION("""COMPUTED_VALUE"""),"Empotrable")</f>
        <v>Empotrable</v>
      </c>
      <c r="AW1302" s="97" t="str">
        <f>IFERROR(__xludf.DUMMYFUNCTION("""COMPUTED_VALUE"""),"De Techo")</f>
        <v>De Techo</v>
      </c>
      <c r="AX1302" s="97" t="str">
        <f>IFERROR(__xludf.DUMMYFUNCTION("""COMPUTED_VALUE"""),"Interior")</f>
        <v>Interior</v>
      </c>
      <c r="AY1302" s="97" t="str">
        <f>IFERROR(__xludf.DUMMYFUNCTION("""COMPUTED_VALUE"""),"Pocket")</f>
        <v>Pocket</v>
      </c>
      <c r="AZ1302" s="97"/>
      <c r="BA1302" s="97"/>
      <c r="BB1302" s="97"/>
      <c r="BC1302" s="97"/>
      <c r="BD1302" s="97" t="str">
        <f>IFERROR(__xludf.DUMMYFUNCTION("""COMPUTED_VALUE"""),"POCKET VI")</f>
        <v>POCKET VI</v>
      </c>
      <c r="BE1302" s="97" t="str">
        <f>IFERROR(__xludf.DUMMYFUNCTION("""COMPUTED_VALUE"""),"Falta TR")</f>
        <v>Falta TR</v>
      </c>
      <c r="BF1302" s="97">
        <f>IFERROR(__xludf.DUMMYFUNCTION("""COMPUTED_VALUE"""),7731.0)</f>
        <v>7731</v>
      </c>
      <c r="BG1302" s="97" t="str">
        <f>IFERROR(__xludf.DUMMYFUNCTION("""COMPUTED_VALUE"""),"En Salida")</f>
        <v>En Salida</v>
      </c>
    </row>
    <row r="1303">
      <c r="A1303" s="97">
        <f>IFERROR(__xludf.DUMMYFUNCTION("""COMPUTED_VALUE"""),7292.0)</f>
        <v>7292</v>
      </c>
      <c r="B1303" s="97" t="str">
        <f>IFERROR(__xludf.DUMMYFUNCTION("""COMPUTED_VALUE"""),"POCKET XII NGNG 2700K TRIAC")</f>
        <v>POCKET XII NGNG 2700K TRIAC</v>
      </c>
      <c r="C1303" s="97" t="str">
        <f>IFERROR(__xludf.DUMMYFUNCTION("""COMPUTED_VALUE"""),"EMPOTRABLE POCKET XII NGNG 2700K TRIAC 20W 2700K 1785LM CRI&gt;90 IP20 LEUK")</f>
        <v>EMPOTRABLE POCKET XII NGNG 2700K TRIAC 20W 2700K 1785LM CRI&gt;90 IP20 LEUK</v>
      </c>
      <c r="D1303" s="97">
        <f>IFERROR(__xludf.DUMMYFUNCTION("""COMPUTED_VALUE"""),7.798413228328E12)</f>
        <v>7798413228328</v>
      </c>
      <c r="E1303" s="97" t="str">
        <f>IFERROR(__xludf.DUMMYFUNCTION("""COMPUTED_VALUE"""),"F46")</f>
        <v>F46</v>
      </c>
      <c r="F1303" s="97" t="str">
        <f>IFERROR(__xludf.DUMMYFUNCTION("""COMPUTED_VALUE"""),"LED SMD")</f>
        <v>LED SMD</v>
      </c>
      <c r="G1303" s="97" t="str">
        <f>IFERROR(__xludf.DUMMYFUNCTION("""COMPUTED_VALUE"""),"Bridgelux")</f>
        <v>Bridgelux</v>
      </c>
      <c r="H1303" s="97" t="str">
        <f>IFERROR(__xludf.DUMMYFUNCTION("""COMPUTED_VALUE"""),"AiDimming")</f>
        <v>AiDimming</v>
      </c>
      <c r="I1303" s="97" t="str">
        <f>IFERROR(__xludf.DUMMYFUNCTION("""COMPUTED_VALUE"""),"Si")</f>
        <v>Si</v>
      </c>
      <c r="J1303" s="97" t="str">
        <f>IFERROR(__xludf.DUMMYFUNCTION("""COMPUTED_VALUE"""),"Modelo: PE-M20TA42
In: 200-250Vac 0.14A 50/60Hz
Out: 26-42Vdc 400a550(450)mA 23.1W
Pf 0.94 Tc 85°C Ta 45°C FlickerFree")</f>
        <v>Modelo: PE-M20TA42
In: 200-250Vac 0.14A 50/60Hz
Out: 26-42Vdc 400a550(450)mA 23.1W
Pf 0.94 Tc 85°C Ta 45°C FlickerFree</v>
      </c>
      <c r="K1303" s="97" t="str">
        <f>IFERROR(__xludf.DUMMYFUNCTION("""COMPUTED_VALUE"""),"TRIAC")</f>
        <v>TRIAC</v>
      </c>
      <c r="L1303" s="97" t="str">
        <f>IFERROR(__xludf.DUMMYFUNCTION("""COMPUTED_VALUE"""),"200-240")</f>
        <v>200-240</v>
      </c>
      <c r="M1303" s="97" t="str">
        <f>IFERROR(__xludf.DUMMYFUNCTION("""COMPUTED_VALUE"""),"50/60")</f>
        <v>50/60</v>
      </c>
      <c r="N1303" s="97" t="str">
        <f>IFERROR(__xludf.DUMMYFUNCTION("""COMPUTED_VALUE"""),"Directa")</f>
        <v>Directa</v>
      </c>
      <c r="O1303" s="97">
        <f>IFERROR(__xludf.DUMMYFUNCTION("""COMPUTED_VALUE"""),20.0)</f>
        <v>20</v>
      </c>
      <c r="P1303" s="97"/>
      <c r="Q1303" s="97">
        <f>IFERROR(__xludf.DUMMYFUNCTION("""COMPUTED_VALUE"""),0.95)</f>
        <v>0.95</v>
      </c>
      <c r="R1303" s="97" t="str">
        <f>IFERROR(__xludf.DUMMYFUNCTION("""COMPUTED_VALUE"""),"-")</f>
        <v>-</v>
      </c>
      <c r="S1303" s="97" t="str">
        <f>IFERROR(__xludf.DUMMYFUNCTION("""COMPUTED_VALUE"""),"-")</f>
        <v>-</v>
      </c>
      <c r="T1303" s="97">
        <f>IFERROR(__xludf.DUMMYFUNCTION("""COMPUTED_VALUE"""),1785.0)</f>
        <v>1785</v>
      </c>
      <c r="U1303" s="99">
        <f>IFERROR(__xludf.DUMMYFUNCTION("""COMPUTED_VALUE"""),89.25)</f>
        <v>89.25</v>
      </c>
      <c r="V1303" s="97">
        <f>IFERROR(__xludf.DUMMYFUNCTION("""COMPUTED_VALUE"""),36.0)</f>
        <v>36</v>
      </c>
      <c r="W1303" s="97" t="str">
        <f>IFERROR(__xludf.DUMMYFUNCTION("""COMPUTED_VALUE"""),"&lt; 16")</f>
        <v>&lt; 16</v>
      </c>
      <c r="X1303" s="97">
        <f>IFERROR(__xludf.DUMMYFUNCTION("""COMPUTED_VALUE"""),2700.0)</f>
        <v>2700</v>
      </c>
      <c r="Y1303" s="97" t="str">
        <f>IFERROR(__xludf.DUMMYFUNCTION("""COMPUTED_VALUE"""),"&gt;90")</f>
        <v>&gt;90</v>
      </c>
      <c r="Z1303" s="97"/>
      <c r="AA1303" s="97"/>
      <c r="AB1303" s="97" t="str">
        <f>IFERROR(__xludf.DUMMYFUNCTION("""COMPUTED_VALUE"""),"&lt; 5")</f>
        <v>&lt; 5</v>
      </c>
      <c r="AC1303" s="97"/>
      <c r="AD1303" s="97" t="str">
        <f>IFERROR(__xludf.DUMMYFUNCTION("""COMPUTED_VALUE"""),"IP20")</f>
        <v>IP20</v>
      </c>
      <c r="AE1303" s="97" t="str">
        <f>IFERROR(__xludf.DUMMYFUNCTION("""COMPUTED_VALUE"""),"Clase l")</f>
        <v>Clase l</v>
      </c>
      <c r="AF1303" s="97" t="str">
        <f>IFERROR(__xludf.DUMMYFUNCTION("""COMPUTED_VALUE"""),"Embutir")</f>
        <v>Embutir</v>
      </c>
      <c r="AG1303" s="97" t="str">
        <f>IFERROR(__xludf.DUMMYFUNCTION("""COMPUTED_VALUE"""),"240 x 31 x 40")</f>
        <v>240 x 31 x 40</v>
      </c>
      <c r="AH1303" s="97" t="str">
        <f>IFERROR(__xludf.DUMMYFUNCTION("""COMPUTED_VALUE"""),"236 x 27")</f>
        <v>236 x 27</v>
      </c>
      <c r="AI1303" s="97">
        <f>IFERROR(__xludf.DUMMYFUNCTION("""COMPUTED_VALUE"""),60.0)</f>
        <v>60</v>
      </c>
      <c r="AJ1303" s="97" t="str">
        <f>IFERROR(__xludf.DUMMYFUNCTION("""COMPUTED_VALUE"""),"Policarbonato (PC)")</f>
        <v>Policarbonato (PC)</v>
      </c>
      <c r="AK1303" s="97" t="str">
        <f>IFERROR(__xludf.DUMMYFUNCTION("""COMPUTED_VALUE"""),"Aluminio")</f>
        <v>Aluminio</v>
      </c>
      <c r="AL1303" s="97" t="str">
        <f>IFERROR(__xludf.DUMMYFUNCTION("""COMPUTED_VALUE"""),"Negro Satinado")</f>
        <v>Negro Satinado</v>
      </c>
      <c r="AM1303" s="97" t="str">
        <f>IFERROR(__xludf.DUMMYFUNCTION("""COMPUTED_VALUE"""),"-")</f>
        <v>-</v>
      </c>
      <c r="AN1303" s="97" t="str">
        <f>IFERROR(__xludf.DUMMYFUNCTION("""COMPUTED_VALUE"""),"40.000hs (L70)")</f>
        <v>40.000hs (L70)</v>
      </c>
      <c r="AO1303" s="97" t="str">
        <f>IFERROR(__xludf.DUMMYFUNCTION("""COMPUTED_VALUE"""),"4 Años")</f>
        <v>4 Años</v>
      </c>
      <c r="AP1303" s="97" t="str">
        <f>IFERROR(__xludf.DUMMYFUNCTION("""COMPUTED_VALUE"""),"Falta")</f>
        <v>Falta</v>
      </c>
      <c r="AQ1303" s="97" t="str">
        <f>IFERROR(__xludf.DUMMYFUNCTION("""COMPUTED_VALUE"""),"Falta")</f>
        <v>Falta</v>
      </c>
      <c r="AR1303" s="97" t="str">
        <f>IFERROR(__xludf.DUMMYFUNCTION("""COMPUTED_VALUE"""),"En revisión")</f>
        <v>En revisión</v>
      </c>
      <c r="AS1303" s="97" t="str">
        <f>IFERROR(__xludf.DUMMYFUNCTION("""COMPUTED_VALUE"""),"Falta")</f>
        <v>Falta</v>
      </c>
      <c r="AT1303" s="97" t="str">
        <f>IFERROR(__xludf.DUMMYFUNCTION("""COMPUTED_VALUE"""),"Falta")</f>
        <v>Falta</v>
      </c>
      <c r="AU1303" s="97" t="str">
        <f>IFERROR(__xludf.DUMMYFUNCTION("""COMPUTED_VALUE"""),"Falta")</f>
        <v>Falta</v>
      </c>
      <c r="AV1303" s="97" t="str">
        <f>IFERROR(__xludf.DUMMYFUNCTION("""COMPUTED_VALUE"""),"Empotrable")</f>
        <v>Empotrable</v>
      </c>
      <c r="AW1303" s="97" t="str">
        <f>IFERROR(__xludf.DUMMYFUNCTION("""COMPUTED_VALUE"""),"De Techo")</f>
        <v>De Techo</v>
      </c>
      <c r="AX1303" s="97" t="str">
        <f>IFERROR(__xludf.DUMMYFUNCTION("""COMPUTED_VALUE"""),"Interior")</f>
        <v>Interior</v>
      </c>
      <c r="AY1303" s="97" t="str">
        <f>IFERROR(__xludf.DUMMYFUNCTION("""COMPUTED_VALUE"""),"Pocket")</f>
        <v>Pocket</v>
      </c>
      <c r="AZ1303" s="97"/>
      <c r="BA1303" s="97"/>
      <c r="BB1303" s="97"/>
      <c r="BC1303" s="97"/>
      <c r="BD1303" s="97" t="str">
        <f>IFERROR(__xludf.DUMMYFUNCTION("""COMPUTED_VALUE"""),"POCKET XII")</f>
        <v>POCKET XII</v>
      </c>
      <c r="BE1303" s="97" t="str">
        <f>IFERROR(__xludf.DUMMYFUNCTION("""COMPUTED_VALUE"""),"Falta TR")</f>
        <v>Falta TR</v>
      </c>
      <c r="BF1303" s="97">
        <f>IFERROR(__xludf.DUMMYFUNCTION("""COMPUTED_VALUE"""),7746.0)</f>
        <v>7746</v>
      </c>
      <c r="BG1303" s="97" t="str">
        <f>IFERROR(__xludf.DUMMYFUNCTION("""COMPUTED_VALUE"""),"En Salida")</f>
        <v>En Salida</v>
      </c>
    </row>
    <row r="1304">
      <c r="A1304" s="97">
        <f>IFERROR(__xludf.DUMMYFUNCTION("""COMPUTED_VALUE"""),7293.0)</f>
        <v>7293</v>
      </c>
      <c r="B1304" s="97" t="str">
        <f>IFERROR(__xludf.DUMMYFUNCTION("""COMPUTED_VALUE"""),"POCKET XII NGNG 3000K TRIAC")</f>
        <v>POCKET XII NGNG 3000K TRIAC</v>
      </c>
      <c r="C1304" s="97" t="str">
        <f>IFERROR(__xludf.DUMMYFUNCTION("""COMPUTED_VALUE"""),"EMPOTRABLE POCKET XII NGNG 3000K TRIAC 20W 3000K 1785LM CRI&gt;90 IP20 LEUK")</f>
        <v>EMPOTRABLE POCKET XII NGNG 3000K TRIAC 20W 3000K 1785LM CRI&gt;90 IP20 LEUK</v>
      </c>
      <c r="D1304" s="97">
        <f>IFERROR(__xludf.DUMMYFUNCTION("""COMPUTED_VALUE"""),7.798413228335E12)</f>
        <v>7798413228335</v>
      </c>
      <c r="E1304" s="97" t="str">
        <f>IFERROR(__xludf.DUMMYFUNCTION("""COMPUTED_VALUE"""),"F46")</f>
        <v>F46</v>
      </c>
      <c r="F1304" s="97" t="str">
        <f>IFERROR(__xludf.DUMMYFUNCTION("""COMPUTED_VALUE"""),"LED SMD")</f>
        <v>LED SMD</v>
      </c>
      <c r="G1304" s="97" t="str">
        <f>IFERROR(__xludf.DUMMYFUNCTION("""COMPUTED_VALUE"""),"Bridgelux")</f>
        <v>Bridgelux</v>
      </c>
      <c r="H1304" s="97" t="str">
        <f>IFERROR(__xludf.DUMMYFUNCTION("""COMPUTED_VALUE"""),"AiDimming")</f>
        <v>AiDimming</v>
      </c>
      <c r="I1304" s="97" t="str">
        <f>IFERROR(__xludf.DUMMYFUNCTION("""COMPUTED_VALUE"""),"Si")</f>
        <v>Si</v>
      </c>
      <c r="J1304" s="97" t="str">
        <f>IFERROR(__xludf.DUMMYFUNCTION("""COMPUTED_VALUE"""),"Modelo: PE-M20TA42
In: 200-250Vac 0.14A 50/60Hz
Out: 26-42Vdc 400a550(450)mA 23.1W
Pf 0.94 Tc 85°C Ta 45°C FlickerFree")</f>
        <v>Modelo: PE-M20TA42
In: 200-250Vac 0.14A 50/60Hz
Out: 26-42Vdc 400a550(450)mA 23.1W
Pf 0.94 Tc 85°C Ta 45°C FlickerFree</v>
      </c>
      <c r="K1304" s="97" t="str">
        <f>IFERROR(__xludf.DUMMYFUNCTION("""COMPUTED_VALUE"""),"TRIAC")</f>
        <v>TRIAC</v>
      </c>
      <c r="L1304" s="97" t="str">
        <f>IFERROR(__xludf.DUMMYFUNCTION("""COMPUTED_VALUE"""),"200-240")</f>
        <v>200-240</v>
      </c>
      <c r="M1304" s="97" t="str">
        <f>IFERROR(__xludf.DUMMYFUNCTION("""COMPUTED_VALUE"""),"50/60")</f>
        <v>50/60</v>
      </c>
      <c r="N1304" s="97" t="str">
        <f>IFERROR(__xludf.DUMMYFUNCTION("""COMPUTED_VALUE"""),"Directa")</f>
        <v>Directa</v>
      </c>
      <c r="O1304" s="97">
        <f>IFERROR(__xludf.DUMMYFUNCTION("""COMPUTED_VALUE"""),20.0)</f>
        <v>20</v>
      </c>
      <c r="P1304" s="97"/>
      <c r="Q1304" s="97">
        <f>IFERROR(__xludf.DUMMYFUNCTION("""COMPUTED_VALUE"""),0.95)</f>
        <v>0.95</v>
      </c>
      <c r="R1304" s="97" t="str">
        <f>IFERROR(__xludf.DUMMYFUNCTION("""COMPUTED_VALUE"""),"-")</f>
        <v>-</v>
      </c>
      <c r="S1304" s="97" t="str">
        <f>IFERROR(__xludf.DUMMYFUNCTION("""COMPUTED_VALUE"""),"-")</f>
        <v>-</v>
      </c>
      <c r="T1304" s="97">
        <f>IFERROR(__xludf.DUMMYFUNCTION("""COMPUTED_VALUE"""),1785.0)</f>
        <v>1785</v>
      </c>
      <c r="U1304" s="99">
        <f>IFERROR(__xludf.DUMMYFUNCTION("""COMPUTED_VALUE"""),89.25)</f>
        <v>89.25</v>
      </c>
      <c r="V1304" s="97">
        <f>IFERROR(__xludf.DUMMYFUNCTION("""COMPUTED_VALUE"""),36.0)</f>
        <v>36</v>
      </c>
      <c r="W1304" s="97" t="str">
        <f>IFERROR(__xludf.DUMMYFUNCTION("""COMPUTED_VALUE"""),"&lt; 16")</f>
        <v>&lt; 16</v>
      </c>
      <c r="X1304" s="97">
        <f>IFERROR(__xludf.DUMMYFUNCTION("""COMPUTED_VALUE"""),3000.0)</f>
        <v>3000</v>
      </c>
      <c r="Y1304" s="97" t="str">
        <f>IFERROR(__xludf.DUMMYFUNCTION("""COMPUTED_VALUE"""),"&gt;90")</f>
        <v>&gt;90</v>
      </c>
      <c r="Z1304" s="97"/>
      <c r="AA1304" s="97"/>
      <c r="AB1304" s="97" t="str">
        <f>IFERROR(__xludf.DUMMYFUNCTION("""COMPUTED_VALUE"""),"&lt; 5")</f>
        <v>&lt; 5</v>
      </c>
      <c r="AC1304" s="97"/>
      <c r="AD1304" s="97" t="str">
        <f>IFERROR(__xludf.DUMMYFUNCTION("""COMPUTED_VALUE"""),"IP20")</f>
        <v>IP20</v>
      </c>
      <c r="AE1304" s="97" t="str">
        <f>IFERROR(__xludf.DUMMYFUNCTION("""COMPUTED_VALUE"""),"Clase l")</f>
        <v>Clase l</v>
      </c>
      <c r="AF1304" s="97" t="str">
        <f>IFERROR(__xludf.DUMMYFUNCTION("""COMPUTED_VALUE"""),"Embutir")</f>
        <v>Embutir</v>
      </c>
      <c r="AG1304" s="97" t="str">
        <f>IFERROR(__xludf.DUMMYFUNCTION("""COMPUTED_VALUE"""),"240 x 31 x 40")</f>
        <v>240 x 31 x 40</v>
      </c>
      <c r="AH1304" s="97" t="str">
        <f>IFERROR(__xludf.DUMMYFUNCTION("""COMPUTED_VALUE"""),"236 x 27")</f>
        <v>236 x 27</v>
      </c>
      <c r="AI1304" s="97">
        <f>IFERROR(__xludf.DUMMYFUNCTION("""COMPUTED_VALUE"""),60.0)</f>
        <v>60</v>
      </c>
      <c r="AJ1304" s="97" t="str">
        <f>IFERROR(__xludf.DUMMYFUNCTION("""COMPUTED_VALUE"""),"Policarbonato (PC)")</f>
        <v>Policarbonato (PC)</v>
      </c>
      <c r="AK1304" s="97" t="str">
        <f>IFERROR(__xludf.DUMMYFUNCTION("""COMPUTED_VALUE"""),"Aluminio")</f>
        <v>Aluminio</v>
      </c>
      <c r="AL1304" s="97" t="str">
        <f>IFERROR(__xludf.DUMMYFUNCTION("""COMPUTED_VALUE"""),"Negro Satinado")</f>
        <v>Negro Satinado</v>
      </c>
      <c r="AM1304" s="97" t="str">
        <f>IFERROR(__xludf.DUMMYFUNCTION("""COMPUTED_VALUE"""),"-")</f>
        <v>-</v>
      </c>
      <c r="AN1304" s="97" t="str">
        <f>IFERROR(__xludf.DUMMYFUNCTION("""COMPUTED_VALUE"""),"40.000hs (L70)")</f>
        <v>40.000hs (L70)</v>
      </c>
      <c r="AO1304" s="97" t="str">
        <f>IFERROR(__xludf.DUMMYFUNCTION("""COMPUTED_VALUE"""),"4 Años")</f>
        <v>4 Años</v>
      </c>
      <c r="AP1304" s="97" t="str">
        <f>IFERROR(__xludf.DUMMYFUNCTION("""COMPUTED_VALUE"""),"Falta")</f>
        <v>Falta</v>
      </c>
      <c r="AQ1304" s="97" t="str">
        <f>IFERROR(__xludf.DUMMYFUNCTION("""COMPUTED_VALUE"""),"Falta")</f>
        <v>Falta</v>
      </c>
      <c r="AR1304" s="97" t="str">
        <f>IFERROR(__xludf.DUMMYFUNCTION("""COMPUTED_VALUE"""),"En revisión")</f>
        <v>En revisión</v>
      </c>
      <c r="AS1304" s="97" t="str">
        <f>IFERROR(__xludf.DUMMYFUNCTION("""COMPUTED_VALUE"""),"Falta")</f>
        <v>Falta</v>
      </c>
      <c r="AT1304" s="97" t="str">
        <f>IFERROR(__xludf.DUMMYFUNCTION("""COMPUTED_VALUE"""),"Falta")</f>
        <v>Falta</v>
      </c>
      <c r="AU1304" s="97" t="str">
        <f>IFERROR(__xludf.DUMMYFUNCTION("""COMPUTED_VALUE"""),"Falta")</f>
        <v>Falta</v>
      </c>
      <c r="AV1304" s="97" t="str">
        <f>IFERROR(__xludf.DUMMYFUNCTION("""COMPUTED_VALUE"""),"Empotrable")</f>
        <v>Empotrable</v>
      </c>
      <c r="AW1304" s="97" t="str">
        <f>IFERROR(__xludf.DUMMYFUNCTION("""COMPUTED_VALUE"""),"De Techo")</f>
        <v>De Techo</v>
      </c>
      <c r="AX1304" s="97" t="str">
        <f>IFERROR(__xludf.DUMMYFUNCTION("""COMPUTED_VALUE"""),"Interior")</f>
        <v>Interior</v>
      </c>
      <c r="AY1304" s="97" t="str">
        <f>IFERROR(__xludf.DUMMYFUNCTION("""COMPUTED_VALUE"""),"Pocket")</f>
        <v>Pocket</v>
      </c>
      <c r="AZ1304" s="97"/>
      <c r="BA1304" s="97"/>
      <c r="BB1304" s="97"/>
      <c r="BC1304" s="97"/>
      <c r="BD1304" s="97" t="str">
        <f>IFERROR(__xludf.DUMMYFUNCTION("""COMPUTED_VALUE"""),"POCKET XII")</f>
        <v>POCKET XII</v>
      </c>
      <c r="BE1304" s="97" t="str">
        <f>IFERROR(__xludf.DUMMYFUNCTION("""COMPUTED_VALUE"""),"Falta TR")</f>
        <v>Falta TR</v>
      </c>
      <c r="BF1304" s="97">
        <f>IFERROR(__xludf.DUMMYFUNCTION("""COMPUTED_VALUE"""),7746.0)</f>
        <v>7746</v>
      </c>
      <c r="BG1304" s="97" t="str">
        <f>IFERROR(__xludf.DUMMYFUNCTION("""COMPUTED_VALUE"""),"En Salida")</f>
        <v>En Salida</v>
      </c>
    </row>
    <row r="1305">
      <c r="A1305" s="97">
        <f>IFERROR(__xludf.DUMMYFUNCTION("""COMPUTED_VALUE"""),7294.0)</f>
        <v>7294</v>
      </c>
      <c r="B1305" s="97" t="str">
        <f>IFERROR(__xludf.DUMMYFUNCTION("""COMPUTED_VALUE"""),"POCKET XII BLBL 3000K")</f>
        <v>POCKET XII BLBL 3000K</v>
      </c>
      <c r="C1305" s="97" t="str">
        <f>IFERROR(__xludf.DUMMYFUNCTION("""COMPUTED_VALUE"""),"EMPOTRABLE POCKET XII BLBL 3000K 20W 3000K 1785LM CRI&gt;90 IP20 LEUK")</f>
        <v>EMPOTRABLE POCKET XII BLBL 3000K 20W 3000K 1785LM CRI&gt;90 IP20 LEUK</v>
      </c>
      <c r="D1305" s="97">
        <f>IFERROR(__xludf.DUMMYFUNCTION("""COMPUTED_VALUE"""),7.798413228342E12)</f>
        <v>7798413228342</v>
      </c>
      <c r="E1305" s="97" t="str">
        <f>IFERROR(__xludf.DUMMYFUNCTION("""COMPUTED_VALUE"""),"F46")</f>
        <v>F46</v>
      </c>
      <c r="F1305" s="97" t="str">
        <f>IFERROR(__xludf.DUMMYFUNCTION("""COMPUTED_VALUE"""),"LED SMD")</f>
        <v>LED SMD</v>
      </c>
      <c r="G1305" s="97" t="str">
        <f>IFERROR(__xludf.DUMMYFUNCTION("""COMPUTED_VALUE"""),"Bridgelux")</f>
        <v>Bridgelux</v>
      </c>
      <c r="H1305" s="97" t="str">
        <f>IFERROR(__xludf.DUMMYFUNCTION("""COMPUTED_VALUE"""),"Lifud")</f>
        <v>Lifud</v>
      </c>
      <c r="I1305" s="97" t="str">
        <f>IFERROR(__xludf.DUMMYFUNCTION("""COMPUTED_VALUE"""),"Si")</f>
        <v>Si</v>
      </c>
      <c r="J1305" s="97" t="str">
        <f>IFERROR(__xludf.DUMMYFUNCTION("""COMPUTED_VALUE"""),"Modelo: LF-GIR024YS0500H
In: 220-240Vac 0.25A 50/60Hz
Out: 25-42Vdc 500mA 21W
Pf 0.5 Tc 90°C Ta 50°C")</f>
        <v>Modelo: LF-GIR024YS0500H
In: 220-240Vac 0.25A 50/60Hz
Out: 25-42Vdc 500mA 21W
Pf 0.5 Tc 90°C Ta 50°C</v>
      </c>
      <c r="K1305" s="97" t="str">
        <f>IFERROR(__xludf.DUMMYFUNCTION("""COMPUTED_VALUE"""),"ON/OFF")</f>
        <v>ON/OFF</v>
      </c>
      <c r="L1305" s="97" t="str">
        <f>IFERROR(__xludf.DUMMYFUNCTION("""COMPUTED_VALUE"""),"200-240")</f>
        <v>200-240</v>
      </c>
      <c r="M1305" s="97" t="str">
        <f>IFERROR(__xludf.DUMMYFUNCTION("""COMPUTED_VALUE"""),"50/60")</f>
        <v>50/60</v>
      </c>
      <c r="N1305" s="97" t="str">
        <f>IFERROR(__xludf.DUMMYFUNCTION("""COMPUTED_VALUE"""),"Directa")</f>
        <v>Directa</v>
      </c>
      <c r="O1305" s="97">
        <f>IFERROR(__xludf.DUMMYFUNCTION("""COMPUTED_VALUE"""),20.0)</f>
        <v>20</v>
      </c>
      <c r="P1305" s="97"/>
      <c r="Q1305" s="97">
        <f>IFERROR(__xludf.DUMMYFUNCTION("""COMPUTED_VALUE"""),0.5)</f>
        <v>0.5</v>
      </c>
      <c r="R1305" s="97" t="str">
        <f>IFERROR(__xludf.DUMMYFUNCTION("""COMPUTED_VALUE"""),"-")</f>
        <v>-</v>
      </c>
      <c r="S1305" s="97" t="str">
        <f>IFERROR(__xludf.DUMMYFUNCTION("""COMPUTED_VALUE"""),"-")</f>
        <v>-</v>
      </c>
      <c r="T1305" s="97">
        <f>IFERROR(__xludf.DUMMYFUNCTION("""COMPUTED_VALUE"""),1785.0)</f>
        <v>1785</v>
      </c>
      <c r="U1305" s="99">
        <f>IFERROR(__xludf.DUMMYFUNCTION("""COMPUTED_VALUE"""),89.25)</f>
        <v>89.25</v>
      </c>
      <c r="V1305" s="97">
        <f>IFERROR(__xludf.DUMMYFUNCTION("""COMPUTED_VALUE"""),36.0)</f>
        <v>36</v>
      </c>
      <c r="W1305" s="97" t="str">
        <f>IFERROR(__xludf.DUMMYFUNCTION("""COMPUTED_VALUE"""),"&lt; 16")</f>
        <v>&lt; 16</v>
      </c>
      <c r="X1305" s="97">
        <f>IFERROR(__xludf.DUMMYFUNCTION("""COMPUTED_VALUE"""),3000.0)</f>
        <v>3000</v>
      </c>
      <c r="Y1305" s="97" t="str">
        <f>IFERROR(__xludf.DUMMYFUNCTION("""COMPUTED_VALUE"""),"&gt;90")</f>
        <v>&gt;90</v>
      </c>
      <c r="Z1305" s="97"/>
      <c r="AA1305" s="97"/>
      <c r="AB1305" s="97" t="str">
        <f>IFERROR(__xludf.DUMMYFUNCTION("""COMPUTED_VALUE"""),"&lt; 5")</f>
        <v>&lt; 5</v>
      </c>
      <c r="AC1305" s="97"/>
      <c r="AD1305" s="97" t="str">
        <f>IFERROR(__xludf.DUMMYFUNCTION("""COMPUTED_VALUE"""),"IP20")</f>
        <v>IP20</v>
      </c>
      <c r="AE1305" s="97" t="str">
        <f>IFERROR(__xludf.DUMMYFUNCTION("""COMPUTED_VALUE"""),"Clase l")</f>
        <v>Clase l</v>
      </c>
      <c r="AF1305" s="97" t="str">
        <f>IFERROR(__xludf.DUMMYFUNCTION("""COMPUTED_VALUE"""),"Embutir")</f>
        <v>Embutir</v>
      </c>
      <c r="AG1305" s="97" t="str">
        <f>IFERROR(__xludf.DUMMYFUNCTION("""COMPUTED_VALUE"""),"240 x 31 x 40")</f>
        <v>240 x 31 x 40</v>
      </c>
      <c r="AH1305" s="97" t="str">
        <f>IFERROR(__xludf.DUMMYFUNCTION("""COMPUTED_VALUE"""),"236 x 27")</f>
        <v>236 x 27</v>
      </c>
      <c r="AI1305" s="97">
        <f>IFERROR(__xludf.DUMMYFUNCTION("""COMPUTED_VALUE"""),60.0)</f>
        <v>60</v>
      </c>
      <c r="AJ1305" s="97" t="str">
        <f>IFERROR(__xludf.DUMMYFUNCTION("""COMPUTED_VALUE"""),"Policarbonato (PC)")</f>
        <v>Policarbonato (PC)</v>
      </c>
      <c r="AK1305" s="97" t="str">
        <f>IFERROR(__xludf.DUMMYFUNCTION("""COMPUTED_VALUE"""),"Aluminio")</f>
        <v>Aluminio</v>
      </c>
      <c r="AL1305" s="97" t="str">
        <f>IFERROR(__xludf.DUMMYFUNCTION("""COMPUTED_VALUE"""),"Blanco Satinado")</f>
        <v>Blanco Satinado</v>
      </c>
      <c r="AM1305" s="97" t="str">
        <f>IFERROR(__xludf.DUMMYFUNCTION("""COMPUTED_VALUE"""),"-")</f>
        <v>-</v>
      </c>
      <c r="AN1305" s="97" t="str">
        <f>IFERROR(__xludf.DUMMYFUNCTION("""COMPUTED_VALUE"""),"40.000hs (L70)")</f>
        <v>40.000hs (L70)</v>
      </c>
      <c r="AO1305" s="97" t="str">
        <f>IFERROR(__xludf.DUMMYFUNCTION("""COMPUTED_VALUE"""),"4 Años")</f>
        <v>4 Años</v>
      </c>
      <c r="AP1305" s="97" t="str">
        <f>IFERROR(__xludf.DUMMYFUNCTION("""COMPUTED_VALUE"""),"Falta")</f>
        <v>Falta</v>
      </c>
      <c r="AQ1305" s="97" t="str">
        <f>IFERROR(__xludf.DUMMYFUNCTION("""COMPUTED_VALUE"""),"Falta")</f>
        <v>Falta</v>
      </c>
      <c r="AR1305" s="97" t="str">
        <f>IFERROR(__xludf.DUMMYFUNCTION("""COMPUTED_VALUE"""),"En revisión")</f>
        <v>En revisión</v>
      </c>
      <c r="AS1305" s="97" t="str">
        <f>IFERROR(__xludf.DUMMYFUNCTION("""COMPUTED_VALUE"""),"Falta")</f>
        <v>Falta</v>
      </c>
      <c r="AT1305" s="97" t="str">
        <f>IFERROR(__xludf.DUMMYFUNCTION("""COMPUTED_VALUE"""),"Falta")</f>
        <v>Falta</v>
      </c>
      <c r="AU1305" s="97" t="str">
        <f>IFERROR(__xludf.DUMMYFUNCTION("""COMPUTED_VALUE"""),"Falta")</f>
        <v>Falta</v>
      </c>
      <c r="AV1305" s="97" t="str">
        <f>IFERROR(__xludf.DUMMYFUNCTION("""COMPUTED_VALUE"""),"Empotrable")</f>
        <v>Empotrable</v>
      </c>
      <c r="AW1305" s="97" t="str">
        <f>IFERROR(__xludf.DUMMYFUNCTION("""COMPUTED_VALUE"""),"De Techo")</f>
        <v>De Techo</v>
      </c>
      <c r="AX1305" s="97" t="str">
        <f>IFERROR(__xludf.DUMMYFUNCTION("""COMPUTED_VALUE"""),"Interior")</f>
        <v>Interior</v>
      </c>
      <c r="AY1305" s="97" t="str">
        <f>IFERROR(__xludf.DUMMYFUNCTION("""COMPUTED_VALUE"""),"Pocket")</f>
        <v>Pocket</v>
      </c>
      <c r="AZ1305" s="97"/>
      <c r="BA1305" s="97"/>
      <c r="BB1305" s="97"/>
      <c r="BC1305" s="97"/>
      <c r="BD1305" s="97" t="str">
        <f>IFERROR(__xludf.DUMMYFUNCTION("""COMPUTED_VALUE"""),"POCKET XII")</f>
        <v>POCKET XII</v>
      </c>
      <c r="BE1305" s="97" t="str">
        <f>IFERROR(__xludf.DUMMYFUNCTION("""COMPUTED_VALUE"""),"Falta TR")</f>
        <v>Falta TR</v>
      </c>
      <c r="BF1305" s="97">
        <f>IFERROR(__xludf.DUMMYFUNCTION("""COMPUTED_VALUE"""),7732.0)</f>
        <v>7732</v>
      </c>
      <c r="BG1305" s="97" t="str">
        <f>IFERROR(__xludf.DUMMYFUNCTION("""COMPUTED_VALUE"""),"En Salida")</f>
        <v>En Salida</v>
      </c>
    </row>
    <row r="1306">
      <c r="A1306" s="97">
        <f>IFERROR(__xludf.DUMMYFUNCTION("""COMPUTED_VALUE"""),7295.0)</f>
        <v>7295</v>
      </c>
      <c r="B1306" s="97" t="str">
        <f>IFERROR(__xludf.DUMMYFUNCTION("""COMPUTED_VALUE"""),"POCKET XII NGNG 2700K")</f>
        <v>POCKET XII NGNG 2700K</v>
      </c>
      <c r="C1306" s="97" t="str">
        <f>IFERROR(__xludf.DUMMYFUNCTION("""COMPUTED_VALUE"""),"EMPOTRABLE POCKET XII NGNG 2700K 20W 2700K 1785LM CRI&gt;90 IP20 LEUK")</f>
        <v>EMPOTRABLE POCKET XII NGNG 2700K 20W 2700K 1785LM CRI&gt;90 IP20 LEUK</v>
      </c>
      <c r="D1306" s="97">
        <f>IFERROR(__xludf.DUMMYFUNCTION("""COMPUTED_VALUE"""),7.798413228359E12)</f>
        <v>7798413228359</v>
      </c>
      <c r="E1306" s="97" t="str">
        <f>IFERROR(__xludf.DUMMYFUNCTION("""COMPUTED_VALUE"""),"F46")</f>
        <v>F46</v>
      </c>
      <c r="F1306" s="97" t="str">
        <f>IFERROR(__xludf.DUMMYFUNCTION("""COMPUTED_VALUE"""),"LED SMD")</f>
        <v>LED SMD</v>
      </c>
      <c r="G1306" s="97" t="str">
        <f>IFERROR(__xludf.DUMMYFUNCTION("""COMPUTED_VALUE"""),"Bridgelux")</f>
        <v>Bridgelux</v>
      </c>
      <c r="H1306" s="97" t="str">
        <f>IFERROR(__xludf.DUMMYFUNCTION("""COMPUTED_VALUE"""),"Lifud")</f>
        <v>Lifud</v>
      </c>
      <c r="I1306" s="97" t="str">
        <f>IFERROR(__xludf.DUMMYFUNCTION("""COMPUTED_VALUE"""),"Si")</f>
        <v>Si</v>
      </c>
      <c r="J1306" s="97" t="str">
        <f>IFERROR(__xludf.DUMMYFUNCTION("""COMPUTED_VALUE"""),"Modelo: LF-GIR024YS0500H
In: 220-240Vac 0.25A 50/60Hz
Out: 25-42Vdc 500mA 21W
Pf 0.5 Tc 90°C Ta 50°C")</f>
        <v>Modelo: LF-GIR024YS0500H
In: 220-240Vac 0.25A 50/60Hz
Out: 25-42Vdc 500mA 21W
Pf 0.5 Tc 90°C Ta 50°C</v>
      </c>
      <c r="K1306" s="97" t="str">
        <f>IFERROR(__xludf.DUMMYFUNCTION("""COMPUTED_VALUE"""),"ON/OFF")</f>
        <v>ON/OFF</v>
      </c>
      <c r="L1306" s="97" t="str">
        <f>IFERROR(__xludf.DUMMYFUNCTION("""COMPUTED_VALUE"""),"200-240")</f>
        <v>200-240</v>
      </c>
      <c r="M1306" s="97" t="str">
        <f>IFERROR(__xludf.DUMMYFUNCTION("""COMPUTED_VALUE"""),"50/60")</f>
        <v>50/60</v>
      </c>
      <c r="N1306" s="97" t="str">
        <f>IFERROR(__xludf.DUMMYFUNCTION("""COMPUTED_VALUE"""),"Directa")</f>
        <v>Directa</v>
      </c>
      <c r="O1306" s="97">
        <f>IFERROR(__xludf.DUMMYFUNCTION("""COMPUTED_VALUE"""),20.0)</f>
        <v>20</v>
      </c>
      <c r="P1306" s="97"/>
      <c r="Q1306" s="97">
        <f>IFERROR(__xludf.DUMMYFUNCTION("""COMPUTED_VALUE"""),0.5)</f>
        <v>0.5</v>
      </c>
      <c r="R1306" s="97" t="str">
        <f>IFERROR(__xludf.DUMMYFUNCTION("""COMPUTED_VALUE"""),"-")</f>
        <v>-</v>
      </c>
      <c r="S1306" s="97" t="str">
        <f>IFERROR(__xludf.DUMMYFUNCTION("""COMPUTED_VALUE"""),"-")</f>
        <v>-</v>
      </c>
      <c r="T1306" s="97">
        <f>IFERROR(__xludf.DUMMYFUNCTION("""COMPUTED_VALUE"""),1785.0)</f>
        <v>1785</v>
      </c>
      <c r="U1306" s="99">
        <f>IFERROR(__xludf.DUMMYFUNCTION("""COMPUTED_VALUE"""),89.25)</f>
        <v>89.25</v>
      </c>
      <c r="V1306" s="97">
        <f>IFERROR(__xludf.DUMMYFUNCTION("""COMPUTED_VALUE"""),36.0)</f>
        <v>36</v>
      </c>
      <c r="W1306" s="97" t="str">
        <f>IFERROR(__xludf.DUMMYFUNCTION("""COMPUTED_VALUE"""),"&lt; 16")</f>
        <v>&lt; 16</v>
      </c>
      <c r="X1306" s="97">
        <f>IFERROR(__xludf.DUMMYFUNCTION("""COMPUTED_VALUE"""),2700.0)</f>
        <v>2700</v>
      </c>
      <c r="Y1306" s="97" t="str">
        <f>IFERROR(__xludf.DUMMYFUNCTION("""COMPUTED_VALUE"""),"&gt;90")</f>
        <v>&gt;90</v>
      </c>
      <c r="Z1306" s="97"/>
      <c r="AA1306" s="97"/>
      <c r="AB1306" s="97" t="str">
        <f>IFERROR(__xludf.DUMMYFUNCTION("""COMPUTED_VALUE"""),"&lt; 5")</f>
        <v>&lt; 5</v>
      </c>
      <c r="AC1306" s="97"/>
      <c r="AD1306" s="97" t="str">
        <f>IFERROR(__xludf.DUMMYFUNCTION("""COMPUTED_VALUE"""),"IP20")</f>
        <v>IP20</v>
      </c>
      <c r="AE1306" s="97" t="str">
        <f>IFERROR(__xludf.DUMMYFUNCTION("""COMPUTED_VALUE"""),"Clase l")</f>
        <v>Clase l</v>
      </c>
      <c r="AF1306" s="97" t="str">
        <f>IFERROR(__xludf.DUMMYFUNCTION("""COMPUTED_VALUE"""),"Embutir")</f>
        <v>Embutir</v>
      </c>
      <c r="AG1306" s="97" t="str">
        <f>IFERROR(__xludf.DUMMYFUNCTION("""COMPUTED_VALUE"""),"240 x 31 x 40")</f>
        <v>240 x 31 x 40</v>
      </c>
      <c r="AH1306" s="97" t="str">
        <f>IFERROR(__xludf.DUMMYFUNCTION("""COMPUTED_VALUE"""),"236 x 27")</f>
        <v>236 x 27</v>
      </c>
      <c r="AI1306" s="97">
        <f>IFERROR(__xludf.DUMMYFUNCTION("""COMPUTED_VALUE"""),60.0)</f>
        <v>60</v>
      </c>
      <c r="AJ1306" s="97" t="str">
        <f>IFERROR(__xludf.DUMMYFUNCTION("""COMPUTED_VALUE"""),"Policarbonato (PC)")</f>
        <v>Policarbonato (PC)</v>
      </c>
      <c r="AK1306" s="97" t="str">
        <f>IFERROR(__xludf.DUMMYFUNCTION("""COMPUTED_VALUE"""),"Aluminio")</f>
        <v>Aluminio</v>
      </c>
      <c r="AL1306" s="97" t="str">
        <f>IFERROR(__xludf.DUMMYFUNCTION("""COMPUTED_VALUE"""),"Negro Satinado")</f>
        <v>Negro Satinado</v>
      </c>
      <c r="AM1306" s="97" t="str">
        <f>IFERROR(__xludf.DUMMYFUNCTION("""COMPUTED_VALUE"""),"-")</f>
        <v>-</v>
      </c>
      <c r="AN1306" s="97" t="str">
        <f>IFERROR(__xludf.DUMMYFUNCTION("""COMPUTED_VALUE"""),"40.000hs (L70)")</f>
        <v>40.000hs (L70)</v>
      </c>
      <c r="AO1306" s="97" t="str">
        <f>IFERROR(__xludf.DUMMYFUNCTION("""COMPUTED_VALUE"""),"4 Años")</f>
        <v>4 Años</v>
      </c>
      <c r="AP1306" s="97" t="str">
        <f>IFERROR(__xludf.DUMMYFUNCTION("""COMPUTED_VALUE"""),"Falta")</f>
        <v>Falta</v>
      </c>
      <c r="AQ1306" s="97" t="str">
        <f>IFERROR(__xludf.DUMMYFUNCTION("""COMPUTED_VALUE"""),"Falta")</f>
        <v>Falta</v>
      </c>
      <c r="AR1306" s="97" t="str">
        <f>IFERROR(__xludf.DUMMYFUNCTION("""COMPUTED_VALUE"""),"En revisión")</f>
        <v>En revisión</v>
      </c>
      <c r="AS1306" s="97" t="str">
        <f>IFERROR(__xludf.DUMMYFUNCTION("""COMPUTED_VALUE"""),"Falta")</f>
        <v>Falta</v>
      </c>
      <c r="AT1306" s="97" t="str">
        <f>IFERROR(__xludf.DUMMYFUNCTION("""COMPUTED_VALUE"""),"Falta")</f>
        <v>Falta</v>
      </c>
      <c r="AU1306" s="97" t="str">
        <f>IFERROR(__xludf.DUMMYFUNCTION("""COMPUTED_VALUE"""),"Falta")</f>
        <v>Falta</v>
      </c>
      <c r="AV1306" s="97" t="str">
        <f>IFERROR(__xludf.DUMMYFUNCTION("""COMPUTED_VALUE"""),"Empotrable")</f>
        <v>Empotrable</v>
      </c>
      <c r="AW1306" s="97" t="str">
        <f>IFERROR(__xludf.DUMMYFUNCTION("""COMPUTED_VALUE"""),"De Techo")</f>
        <v>De Techo</v>
      </c>
      <c r="AX1306" s="97" t="str">
        <f>IFERROR(__xludf.DUMMYFUNCTION("""COMPUTED_VALUE"""),"Interior")</f>
        <v>Interior</v>
      </c>
      <c r="AY1306" s="97" t="str">
        <f>IFERROR(__xludf.DUMMYFUNCTION("""COMPUTED_VALUE"""),"Pocket")</f>
        <v>Pocket</v>
      </c>
      <c r="AZ1306" s="97"/>
      <c r="BA1306" s="97"/>
      <c r="BB1306" s="97"/>
      <c r="BC1306" s="97"/>
      <c r="BD1306" s="97" t="str">
        <f>IFERROR(__xludf.DUMMYFUNCTION("""COMPUTED_VALUE"""),"POCKET XII")</f>
        <v>POCKET XII</v>
      </c>
      <c r="BE1306" s="97" t="str">
        <f>IFERROR(__xludf.DUMMYFUNCTION("""COMPUTED_VALUE"""),"Falta TR")</f>
        <v>Falta TR</v>
      </c>
      <c r="BF1306" s="97">
        <f>IFERROR(__xludf.DUMMYFUNCTION("""COMPUTED_VALUE"""),7734.0)</f>
        <v>7734</v>
      </c>
      <c r="BG1306" s="97" t="str">
        <f>IFERROR(__xludf.DUMMYFUNCTION("""COMPUTED_VALUE"""),"En Salida")</f>
        <v>En Salida</v>
      </c>
    </row>
    <row r="1307">
      <c r="A1307" s="97">
        <f>IFERROR(__xludf.DUMMYFUNCTION("""COMPUTED_VALUE"""),7296.0)</f>
        <v>7296</v>
      </c>
      <c r="B1307" s="97" t="str">
        <f>IFERROR(__xludf.DUMMYFUNCTION("""COMPUTED_VALUE"""),"POCKET XII NGNG 3000K")</f>
        <v>POCKET XII NGNG 3000K</v>
      </c>
      <c r="C1307" s="97" t="str">
        <f>IFERROR(__xludf.DUMMYFUNCTION("""COMPUTED_VALUE"""),"EMPOTRABLE POCKET XII NGNG 3000K 20W 3000K 1785LM CRI&gt;90 IP20 LEUK")</f>
        <v>EMPOTRABLE POCKET XII NGNG 3000K 20W 3000K 1785LM CRI&gt;90 IP20 LEUK</v>
      </c>
      <c r="D1307" s="97">
        <f>IFERROR(__xludf.DUMMYFUNCTION("""COMPUTED_VALUE"""),7.798413228366E12)</f>
        <v>7798413228366</v>
      </c>
      <c r="E1307" s="97" t="str">
        <f>IFERROR(__xludf.DUMMYFUNCTION("""COMPUTED_VALUE"""),"F46")</f>
        <v>F46</v>
      </c>
      <c r="F1307" s="97" t="str">
        <f>IFERROR(__xludf.DUMMYFUNCTION("""COMPUTED_VALUE"""),"LED SMD")</f>
        <v>LED SMD</v>
      </c>
      <c r="G1307" s="97" t="str">
        <f>IFERROR(__xludf.DUMMYFUNCTION("""COMPUTED_VALUE"""),"Bridgelux")</f>
        <v>Bridgelux</v>
      </c>
      <c r="H1307" s="97" t="str">
        <f>IFERROR(__xludf.DUMMYFUNCTION("""COMPUTED_VALUE"""),"Lifud")</f>
        <v>Lifud</v>
      </c>
      <c r="I1307" s="97" t="str">
        <f>IFERROR(__xludf.DUMMYFUNCTION("""COMPUTED_VALUE"""),"Si")</f>
        <v>Si</v>
      </c>
      <c r="J1307" s="97" t="str">
        <f>IFERROR(__xludf.DUMMYFUNCTION("""COMPUTED_VALUE"""),"Modelo: LF-GIR024YS0500H
In: 220-240Vac 0.25A 50/60Hz
Out: 25-42Vdc 500mA 21W
Pf 0.5 Tc 90°C Ta 50°C")</f>
        <v>Modelo: LF-GIR024YS0500H
In: 220-240Vac 0.25A 50/60Hz
Out: 25-42Vdc 500mA 21W
Pf 0.5 Tc 90°C Ta 50°C</v>
      </c>
      <c r="K1307" s="97" t="str">
        <f>IFERROR(__xludf.DUMMYFUNCTION("""COMPUTED_VALUE"""),"ON/OFF")</f>
        <v>ON/OFF</v>
      </c>
      <c r="L1307" s="97" t="str">
        <f>IFERROR(__xludf.DUMMYFUNCTION("""COMPUTED_VALUE"""),"200-240")</f>
        <v>200-240</v>
      </c>
      <c r="M1307" s="97" t="str">
        <f>IFERROR(__xludf.DUMMYFUNCTION("""COMPUTED_VALUE"""),"50/60")</f>
        <v>50/60</v>
      </c>
      <c r="N1307" s="97" t="str">
        <f>IFERROR(__xludf.DUMMYFUNCTION("""COMPUTED_VALUE"""),"Directa")</f>
        <v>Directa</v>
      </c>
      <c r="O1307" s="97">
        <f>IFERROR(__xludf.DUMMYFUNCTION("""COMPUTED_VALUE"""),20.0)</f>
        <v>20</v>
      </c>
      <c r="P1307" s="97"/>
      <c r="Q1307" s="97">
        <f>IFERROR(__xludf.DUMMYFUNCTION("""COMPUTED_VALUE"""),0.5)</f>
        <v>0.5</v>
      </c>
      <c r="R1307" s="97" t="str">
        <f>IFERROR(__xludf.DUMMYFUNCTION("""COMPUTED_VALUE"""),"-")</f>
        <v>-</v>
      </c>
      <c r="S1307" s="97" t="str">
        <f>IFERROR(__xludf.DUMMYFUNCTION("""COMPUTED_VALUE"""),"-")</f>
        <v>-</v>
      </c>
      <c r="T1307" s="97">
        <f>IFERROR(__xludf.DUMMYFUNCTION("""COMPUTED_VALUE"""),1785.0)</f>
        <v>1785</v>
      </c>
      <c r="U1307" s="99">
        <f>IFERROR(__xludf.DUMMYFUNCTION("""COMPUTED_VALUE"""),89.25)</f>
        <v>89.25</v>
      </c>
      <c r="V1307" s="97">
        <f>IFERROR(__xludf.DUMMYFUNCTION("""COMPUTED_VALUE"""),36.0)</f>
        <v>36</v>
      </c>
      <c r="W1307" s="97" t="str">
        <f>IFERROR(__xludf.DUMMYFUNCTION("""COMPUTED_VALUE"""),"&lt; 16")</f>
        <v>&lt; 16</v>
      </c>
      <c r="X1307" s="97">
        <f>IFERROR(__xludf.DUMMYFUNCTION("""COMPUTED_VALUE"""),3000.0)</f>
        <v>3000</v>
      </c>
      <c r="Y1307" s="97" t="str">
        <f>IFERROR(__xludf.DUMMYFUNCTION("""COMPUTED_VALUE"""),"&gt;90")</f>
        <v>&gt;90</v>
      </c>
      <c r="Z1307" s="97"/>
      <c r="AA1307" s="97"/>
      <c r="AB1307" s="97" t="str">
        <f>IFERROR(__xludf.DUMMYFUNCTION("""COMPUTED_VALUE"""),"&lt; 5")</f>
        <v>&lt; 5</v>
      </c>
      <c r="AC1307" s="97"/>
      <c r="AD1307" s="97" t="str">
        <f>IFERROR(__xludf.DUMMYFUNCTION("""COMPUTED_VALUE"""),"IP20")</f>
        <v>IP20</v>
      </c>
      <c r="AE1307" s="97" t="str">
        <f>IFERROR(__xludf.DUMMYFUNCTION("""COMPUTED_VALUE"""),"Clase l")</f>
        <v>Clase l</v>
      </c>
      <c r="AF1307" s="97" t="str">
        <f>IFERROR(__xludf.DUMMYFUNCTION("""COMPUTED_VALUE"""),"Embutir")</f>
        <v>Embutir</v>
      </c>
      <c r="AG1307" s="97" t="str">
        <f>IFERROR(__xludf.DUMMYFUNCTION("""COMPUTED_VALUE"""),"240 x 31 x 40")</f>
        <v>240 x 31 x 40</v>
      </c>
      <c r="AH1307" s="97" t="str">
        <f>IFERROR(__xludf.DUMMYFUNCTION("""COMPUTED_VALUE"""),"236 x 27")</f>
        <v>236 x 27</v>
      </c>
      <c r="AI1307" s="97">
        <f>IFERROR(__xludf.DUMMYFUNCTION("""COMPUTED_VALUE"""),60.0)</f>
        <v>60</v>
      </c>
      <c r="AJ1307" s="97" t="str">
        <f>IFERROR(__xludf.DUMMYFUNCTION("""COMPUTED_VALUE"""),"Policarbonato (PC)")</f>
        <v>Policarbonato (PC)</v>
      </c>
      <c r="AK1307" s="97" t="str">
        <f>IFERROR(__xludf.DUMMYFUNCTION("""COMPUTED_VALUE"""),"Aluminio")</f>
        <v>Aluminio</v>
      </c>
      <c r="AL1307" s="97" t="str">
        <f>IFERROR(__xludf.DUMMYFUNCTION("""COMPUTED_VALUE"""),"Negro Satinado")</f>
        <v>Negro Satinado</v>
      </c>
      <c r="AM1307" s="97" t="str">
        <f>IFERROR(__xludf.DUMMYFUNCTION("""COMPUTED_VALUE"""),"-")</f>
        <v>-</v>
      </c>
      <c r="AN1307" s="97" t="str">
        <f>IFERROR(__xludf.DUMMYFUNCTION("""COMPUTED_VALUE"""),"40.000hs (L70)")</f>
        <v>40.000hs (L70)</v>
      </c>
      <c r="AO1307" s="97" t="str">
        <f>IFERROR(__xludf.DUMMYFUNCTION("""COMPUTED_VALUE"""),"4 Años")</f>
        <v>4 Años</v>
      </c>
      <c r="AP1307" s="97" t="str">
        <f>IFERROR(__xludf.DUMMYFUNCTION("""COMPUTED_VALUE"""),"Falta")</f>
        <v>Falta</v>
      </c>
      <c r="AQ1307" s="97" t="str">
        <f>IFERROR(__xludf.DUMMYFUNCTION("""COMPUTED_VALUE"""),"Falta")</f>
        <v>Falta</v>
      </c>
      <c r="AR1307" s="97" t="str">
        <f>IFERROR(__xludf.DUMMYFUNCTION("""COMPUTED_VALUE"""),"En revisión")</f>
        <v>En revisión</v>
      </c>
      <c r="AS1307" s="97" t="str">
        <f>IFERROR(__xludf.DUMMYFUNCTION("""COMPUTED_VALUE"""),"Falta")</f>
        <v>Falta</v>
      </c>
      <c r="AT1307" s="97" t="str">
        <f>IFERROR(__xludf.DUMMYFUNCTION("""COMPUTED_VALUE"""),"Falta")</f>
        <v>Falta</v>
      </c>
      <c r="AU1307" s="97" t="str">
        <f>IFERROR(__xludf.DUMMYFUNCTION("""COMPUTED_VALUE"""),"Falta")</f>
        <v>Falta</v>
      </c>
      <c r="AV1307" s="97" t="str">
        <f>IFERROR(__xludf.DUMMYFUNCTION("""COMPUTED_VALUE"""),"Empotrable")</f>
        <v>Empotrable</v>
      </c>
      <c r="AW1307" s="97" t="str">
        <f>IFERROR(__xludf.DUMMYFUNCTION("""COMPUTED_VALUE"""),"De Techo")</f>
        <v>De Techo</v>
      </c>
      <c r="AX1307" s="97" t="str">
        <f>IFERROR(__xludf.DUMMYFUNCTION("""COMPUTED_VALUE"""),"Interior")</f>
        <v>Interior</v>
      </c>
      <c r="AY1307" s="97" t="str">
        <f>IFERROR(__xludf.DUMMYFUNCTION("""COMPUTED_VALUE"""),"Pocket")</f>
        <v>Pocket</v>
      </c>
      <c r="AZ1307" s="97"/>
      <c r="BA1307" s="97"/>
      <c r="BB1307" s="97"/>
      <c r="BC1307" s="97"/>
      <c r="BD1307" s="97" t="str">
        <f>IFERROR(__xludf.DUMMYFUNCTION("""COMPUTED_VALUE"""),"POCKET XII")</f>
        <v>POCKET XII</v>
      </c>
      <c r="BE1307" s="97" t="str">
        <f>IFERROR(__xludf.DUMMYFUNCTION("""COMPUTED_VALUE"""),"Falta TR")</f>
        <v>Falta TR</v>
      </c>
      <c r="BF1307" s="97">
        <f>IFERROR(__xludf.DUMMYFUNCTION("""COMPUTED_VALUE"""),7734.0)</f>
        <v>7734</v>
      </c>
      <c r="BG1307" s="97" t="str">
        <f>IFERROR(__xludf.DUMMYFUNCTION("""COMPUTED_VALUE"""),"En Salida")</f>
        <v>En Salida</v>
      </c>
    </row>
    <row r="1308">
      <c r="A1308" s="97">
        <f>IFERROR(__xludf.DUMMYFUNCTION("""COMPUTED_VALUE"""),7297.0)</f>
        <v>7297</v>
      </c>
      <c r="B1308" s="97" t="str">
        <f>IFERROR(__xludf.DUMMYFUNCTION("""COMPUTED_VALUE"""),"POCKET VI AP BLBL 3000k")</f>
        <v>POCKET VI AP BLBL 3000k</v>
      </c>
      <c r="C1308" s="97" t="str">
        <f>IFERROR(__xludf.DUMMYFUNCTION("""COMPUTED_VALUE"""),"APLIQUE POCKET VI AP BLBL 3000K 7W 3000K 655LM CRI&gt;90 IP20 LEUK")</f>
        <v>APLIQUE POCKET VI AP BLBL 3000K 7W 3000K 655LM CRI&gt;90 IP20 LEUK</v>
      </c>
      <c r="D1308" s="97">
        <f>IFERROR(__xludf.DUMMYFUNCTION("""COMPUTED_VALUE"""),7.798413228373E12)</f>
        <v>7798413228373</v>
      </c>
      <c r="E1308" s="97" t="str">
        <f>IFERROR(__xludf.DUMMYFUNCTION("""COMPUTED_VALUE"""),"F74")</f>
        <v>F74</v>
      </c>
      <c r="F1308" s="97" t="str">
        <f>IFERROR(__xludf.DUMMYFUNCTION("""COMPUTED_VALUE"""),"LED SMD")</f>
        <v>LED SMD</v>
      </c>
      <c r="G1308" s="97" t="str">
        <f>IFERROR(__xludf.DUMMYFUNCTION("""COMPUTED_VALUE"""),"Bridgelux")</f>
        <v>Bridgelux</v>
      </c>
      <c r="H1308" s="97" t="str">
        <f>IFERROR(__xludf.DUMMYFUNCTION("""COMPUTED_VALUE"""),"-")</f>
        <v>-</v>
      </c>
      <c r="I1308" s="97"/>
      <c r="J1308" s="97" t="str">
        <f>IFERROR(__xludf.DUMMYFUNCTION("""COMPUTED_VALUE"""),"Modelo: OT-GDK009W400
In: 100-240Vac 50/60Hz
Out: 12-24Vdc - 400mA 9W")</f>
        <v>Modelo: OT-GDK009W400
In: 100-240Vac 50/60Hz
Out: 12-24Vdc - 400mA 9W</v>
      </c>
      <c r="K1308" s="97" t="str">
        <f>IFERROR(__xludf.DUMMYFUNCTION("""COMPUTED_VALUE"""),"ON/OFF")</f>
        <v>ON/OFF</v>
      </c>
      <c r="L1308" s="97" t="str">
        <f>IFERROR(__xludf.DUMMYFUNCTION("""COMPUTED_VALUE"""),"200-240")</f>
        <v>200-240</v>
      </c>
      <c r="M1308" s="97" t="str">
        <f>IFERROR(__xludf.DUMMYFUNCTION("""COMPUTED_VALUE"""),"50/60")</f>
        <v>50/60</v>
      </c>
      <c r="N1308" s="97" t="str">
        <f>IFERROR(__xludf.DUMMYFUNCTION("""COMPUTED_VALUE"""),"Directa")</f>
        <v>Directa</v>
      </c>
      <c r="O1308" s="97">
        <f>IFERROR(__xludf.DUMMYFUNCTION("""COMPUTED_VALUE"""),7.0)</f>
        <v>7</v>
      </c>
      <c r="P1308" s="97"/>
      <c r="Q1308" s="97">
        <f>IFERROR(__xludf.DUMMYFUNCTION("""COMPUTED_VALUE"""),0.45)</f>
        <v>0.45</v>
      </c>
      <c r="R1308" s="97" t="str">
        <f>IFERROR(__xludf.DUMMYFUNCTION("""COMPUTED_VALUE"""),"-")</f>
        <v>-</v>
      </c>
      <c r="S1308" s="97" t="str">
        <f>IFERROR(__xludf.DUMMYFUNCTION("""COMPUTED_VALUE"""),"-")</f>
        <v>-</v>
      </c>
      <c r="T1308" s="97">
        <f>IFERROR(__xludf.DUMMYFUNCTION("""COMPUTED_VALUE"""),655.0)</f>
        <v>655</v>
      </c>
      <c r="U1308" s="99">
        <f>IFERROR(__xludf.DUMMYFUNCTION("""COMPUTED_VALUE"""),93.57142857142857)</f>
        <v>93.57142857</v>
      </c>
      <c r="V1308" s="97">
        <f>IFERROR(__xludf.DUMMYFUNCTION("""COMPUTED_VALUE"""),36.0)</f>
        <v>36</v>
      </c>
      <c r="W1308" s="97" t="str">
        <f>IFERROR(__xludf.DUMMYFUNCTION("""COMPUTED_VALUE"""),"&lt; 16")</f>
        <v>&lt; 16</v>
      </c>
      <c r="X1308" s="97">
        <f>IFERROR(__xludf.DUMMYFUNCTION("""COMPUTED_VALUE"""),3000.0)</f>
        <v>3000</v>
      </c>
      <c r="Y1308" s="97" t="str">
        <f>IFERROR(__xludf.DUMMYFUNCTION("""COMPUTED_VALUE"""),"&gt;90")</f>
        <v>&gt;90</v>
      </c>
      <c r="Z1308" s="97" t="str">
        <f>IFERROR(__xludf.DUMMYFUNCTION("""COMPUTED_VALUE"""),"&gt;90")</f>
        <v>&gt;90</v>
      </c>
      <c r="AA1308" s="97" t="str">
        <f>IFERROR(__xludf.DUMMYFUNCTION("""COMPUTED_VALUE"""),"100 (Fidelidad neutra)")</f>
        <v>100 (Fidelidad neutra)</v>
      </c>
      <c r="AB1308" s="97" t="str">
        <f>IFERROR(__xludf.DUMMYFUNCTION("""COMPUTED_VALUE"""),"&lt; 3")</f>
        <v>&lt; 3</v>
      </c>
      <c r="AC1308" s="100" t="str">
        <f>IFERROR(__xludf.DUMMYFUNCTION("""COMPUTED_VALUE"""),"0.0001")</f>
        <v>0.0001</v>
      </c>
      <c r="AD1308" s="97" t="str">
        <f>IFERROR(__xludf.DUMMYFUNCTION("""COMPUTED_VALUE"""),"IP20")</f>
        <v>IP20</v>
      </c>
      <c r="AE1308" s="97" t="str">
        <f>IFERROR(__xludf.DUMMYFUNCTION("""COMPUTED_VALUE"""),"Clase l")</f>
        <v>Clase l</v>
      </c>
      <c r="AF1308" s="97" t="str">
        <f>IFERROR(__xludf.DUMMYFUNCTION("""COMPUTED_VALUE"""),"Aplicar")</f>
        <v>Aplicar</v>
      </c>
      <c r="AG1308" s="97" t="str">
        <f>IFERROR(__xludf.DUMMYFUNCTION("""COMPUTED_VALUE"""),"119.5 x 24.5 x 42")</f>
        <v>119.5 x 24.5 x 42</v>
      </c>
      <c r="AH1308" s="97" t="str">
        <f>IFERROR(__xludf.DUMMYFUNCTION("""COMPUTED_VALUE"""),"N/A")</f>
        <v>N/A</v>
      </c>
      <c r="AI1308" s="97" t="str">
        <f>IFERROR(__xludf.DUMMYFUNCTION("""COMPUTED_VALUE"""),"N/A")</f>
        <v>N/A</v>
      </c>
      <c r="AJ1308" s="97" t="str">
        <f>IFERROR(__xludf.DUMMYFUNCTION("""COMPUTED_VALUE"""),"Policarbonato (PC)")</f>
        <v>Policarbonato (PC)</v>
      </c>
      <c r="AK1308" s="97" t="str">
        <f>IFERROR(__xludf.DUMMYFUNCTION("""COMPUTED_VALUE"""),"Aluminio")</f>
        <v>Aluminio</v>
      </c>
      <c r="AL1308" s="97" t="str">
        <f>IFERROR(__xludf.DUMMYFUNCTION("""COMPUTED_VALUE"""),"Blanco Satinado")</f>
        <v>Blanco Satinado</v>
      </c>
      <c r="AM1308" s="97" t="str">
        <f>IFERROR(__xludf.DUMMYFUNCTION("""COMPUTED_VALUE"""),"-")</f>
        <v>-</v>
      </c>
      <c r="AN1308" s="97" t="str">
        <f>IFERROR(__xludf.DUMMYFUNCTION("""COMPUTED_VALUE"""),"40.000hs (L70)")</f>
        <v>40.000hs (L70)</v>
      </c>
      <c r="AO1308" s="97" t="str">
        <f>IFERROR(__xludf.DUMMYFUNCTION("""COMPUTED_VALUE"""),"4 Años")</f>
        <v>4 Años</v>
      </c>
      <c r="AP1308" s="97" t="str">
        <f>IFERROR(__xludf.DUMMYFUNCTION("""COMPUTED_VALUE"""),"Falta")</f>
        <v>Falta</v>
      </c>
      <c r="AQ1308" s="97" t="str">
        <f>IFERROR(__xludf.DUMMYFUNCTION("""COMPUTED_VALUE"""),"Falta")</f>
        <v>Falta</v>
      </c>
      <c r="AR1308" s="97" t="str">
        <f>IFERROR(__xludf.DUMMYFUNCTION("""COMPUTED_VALUE"""),"En revisión")</f>
        <v>En revisión</v>
      </c>
      <c r="AS1308" s="97" t="str">
        <f>IFERROR(__xludf.DUMMYFUNCTION("""COMPUTED_VALUE"""),"Falta")</f>
        <v>Falta</v>
      </c>
      <c r="AT1308" s="97" t="str">
        <f>IFERROR(__xludf.DUMMYFUNCTION("""COMPUTED_VALUE"""),"Falta")</f>
        <v>Falta</v>
      </c>
      <c r="AU1308" s="97" t="str">
        <f>IFERROR(__xludf.DUMMYFUNCTION("""COMPUTED_VALUE"""),"Falta")</f>
        <v>Falta</v>
      </c>
      <c r="AV1308" s="97" t="str">
        <f>IFERROR(__xludf.DUMMYFUNCTION("""COMPUTED_VALUE"""),"Aplique")</f>
        <v>Aplique</v>
      </c>
      <c r="AW1308" s="97" t="str">
        <f>IFERROR(__xludf.DUMMYFUNCTION("""COMPUTED_VALUE"""),"De Techo")</f>
        <v>De Techo</v>
      </c>
      <c r="AX1308" s="97" t="str">
        <f>IFERROR(__xludf.DUMMYFUNCTION("""COMPUTED_VALUE"""),"Interior")</f>
        <v>Interior</v>
      </c>
      <c r="AY1308" s="97" t="str">
        <f>IFERROR(__xludf.DUMMYFUNCTION("""COMPUTED_VALUE"""),"Pocket")</f>
        <v>Pocket</v>
      </c>
      <c r="AZ1308" s="97" t="str">
        <f>IFERROR(__xludf.DUMMYFUNCTION("""COMPUTED_VALUE"""),"Driver dentro de la luminaria.")</f>
        <v>Driver dentro de la luminaria.</v>
      </c>
      <c r="BA1308" s="97"/>
      <c r="BB1308" s="97"/>
      <c r="BC1308" s="97"/>
      <c r="BD1308" s="97" t="str">
        <f>IFERROR(__xludf.DUMMYFUNCTION("""COMPUTED_VALUE"""),"POCKET VI AP")</f>
        <v>POCKET VI AP</v>
      </c>
      <c r="BE1308" s="97" t="str">
        <f>IFERROR(__xludf.DUMMYFUNCTION("""COMPUTED_VALUE"""),"Solicitada")</f>
        <v>Solicitada</v>
      </c>
      <c r="BF1308" s="97"/>
      <c r="BG1308" s="97" t="str">
        <f>IFERROR(__xludf.DUMMYFUNCTION("""COMPUTED_VALUE"""),"Nuevo")</f>
        <v>Nuevo</v>
      </c>
    </row>
    <row r="1309">
      <c r="A1309" s="97">
        <f>IFERROR(__xludf.DUMMYFUNCTION("""COMPUTED_VALUE"""),7298.0)</f>
        <v>7298</v>
      </c>
      <c r="B1309" s="97" t="str">
        <f>IFERROR(__xludf.DUMMYFUNCTION("""COMPUTED_VALUE"""),"POCKET VI AP NGNG 2700K")</f>
        <v>POCKET VI AP NGNG 2700K</v>
      </c>
      <c r="C1309" s="97" t="str">
        <f>IFERROR(__xludf.DUMMYFUNCTION("""COMPUTED_VALUE"""),"APLIQUE POCKET VI AP NGNG 2700K 7W 2700K 655LM CRI&gt;90 IP20 LEUK")</f>
        <v>APLIQUE POCKET VI AP NGNG 2700K 7W 2700K 655LM CRI&gt;90 IP20 LEUK</v>
      </c>
      <c r="D1309" s="97">
        <f>IFERROR(__xludf.DUMMYFUNCTION("""COMPUTED_VALUE"""),7.79841322838E12)</f>
        <v>7798413228380</v>
      </c>
      <c r="E1309" s="97" t="str">
        <f>IFERROR(__xludf.DUMMYFUNCTION("""COMPUTED_VALUE"""),"F74")</f>
        <v>F74</v>
      </c>
      <c r="F1309" s="97" t="str">
        <f>IFERROR(__xludf.DUMMYFUNCTION("""COMPUTED_VALUE"""),"LED SMD")</f>
        <v>LED SMD</v>
      </c>
      <c r="G1309" s="97" t="str">
        <f>IFERROR(__xludf.DUMMYFUNCTION("""COMPUTED_VALUE"""),"Bridgelux")</f>
        <v>Bridgelux</v>
      </c>
      <c r="H1309" s="97" t="str">
        <f>IFERROR(__xludf.DUMMYFUNCTION("""COMPUTED_VALUE"""),"-")</f>
        <v>-</v>
      </c>
      <c r="I1309" s="97"/>
      <c r="J1309" s="97" t="str">
        <f>IFERROR(__xludf.DUMMYFUNCTION("""COMPUTED_VALUE"""),"Modelo: OT-GDK009W400
In: 100-240Vac 50/60Hz
Out: 12-24Vdc - 400mA 9W")</f>
        <v>Modelo: OT-GDK009W400
In: 100-240Vac 50/60Hz
Out: 12-24Vdc - 400mA 9W</v>
      </c>
      <c r="K1309" s="97" t="str">
        <f>IFERROR(__xludf.DUMMYFUNCTION("""COMPUTED_VALUE"""),"ON/OFF")</f>
        <v>ON/OFF</v>
      </c>
      <c r="L1309" s="97" t="str">
        <f>IFERROR(__xludf.DUMMYFUNCTION("""COMPUTED_VALUE"""),"200-240")</f>
        <v>200-240</v>
      </c>
      <c r="M1309" s="97" t="str">
        <f>IFERROR(__xludf.DUMMYFUNCTION("""COMPUTED_VALUE"""),"50/60")</f>
        <v>50/60</v>
      </c>
      <c r="N1309" s="97" t="str">
        <f>IFERROR(__xludf.DUMMYFUNCTION("""COMPUTED_VALUE"""),"Directa")</f>
        <v>Directa</v>
      </c>
      <c r="O1309" s="97">
        <f>IFERROR(__xludf.DUMMYFUNCTION("""COMPUTED_VALUE"""),7.0)</f>
        <v>7</v>
      </c>
      <c r="P1309" s="97"/>
      <c r="Q1309" s="97">
        <f>IFERROR(__xludf.DUMMYFUNCTION("""COMPUTED_VALUE"""),0.45)</f>
        <v>0.45</v>
      </c>
      <c r="R1309" s="97" t="str">
        <f>IFERROR(__xludf.DUMMYFUNCTION("""COMPUTED_VALUE"""),"-")</f>
        <v>-</v>
      </c>
      <c r="S1309" s="97" t="str">
        <f>IFERROR(__xludf.DUMMYFUNCTION("""COMPUTED_VALUE"""),"-")</f>
        <v>-</v>
      </c>
      <c r="T1309" s="97">
        <f>IFERROR(__xludf.DUMMYFUNCTION("""COMPUTED_VALUE"""),655.0)</f>
        <v>655</v>
      </c>
      <c r="U1309" s="99">
        <f>IFERROR(__xludf.DUMMYFUNCTION("""COMPUTED_VALUE"""),93.57142857142857)</f>
        <v>93.57142857</v>
      </c>
      <c r="V1309" s="97">
        <f>IFERROR(__xludf.DUMMYFUNCTION("""COMPUTED_VALUE"""),36.0)</f>
        <v>36</v>
      </c>
      <c r="W1309" s="97" t="str">
        <f>IFERROR(__xludf.DUMMYFUNCTION("""COMPUTED_VALUE"""),"&lt; 16")</f>
        <v>&lt; 16</v>
      </c>
      <c r="X1309" s="97">
        <f>IFERROR(__xludf.DUMMYFUNCTION("""COMPUTED_VALUE"""),2700.0)</f>
        <v>2700</v>
      </c>
      <c r="Y1309" s="97" t="str">
        <f>IFERROR(__xludf.DUMMYFUNCTION("""COMPUTED_VALUE"""),"&gt;90")</f>
        <v>&gt;90</v>
      </c>
      <c r="Z1309" s="97" t="str">
        <f>IFERROR(__xludf.DUMMYFUNCTION("""COMPUTED_VALUE"""),"&gt;90")</f>
        <v>&gt;90</v>
      </c>
      <c r="AA1309" s="97" t="str">
        <f>IFERROR(__xludf.DUMMYFUNCTION("""COMPUTED_VALUE"""),"100 (Fidelidad neutra)")</f>
        <v>100 (Fidelidad neutra)</v>
      </c>
      <c r="AB1309" s="97" t="str">
        <f>IFERROR(__xludf.DUMMYFUNCTION("""COMPUTED_VALUE"""),"&lt; 3")</f>
        <v>&lt; 3</v>
      </c>
      <c r="AC1309" s="100" t="str">
        <f>IFERROR(__xludf.DUMMYFUNCTION("""COMPUTED_VALUE"""),"-0.0010")</f>
        <v>-0.0010</v>
      </c>
      <c r="AD1309" s="97" t="str">
        <f>IFERROR(__xludf.DUMMYFUNCTION("""COMPUTED_VALUE"""),"IP20")</f>
        <v>IP20</v>
      </c>
      <c r="AE1309" s="97" t="str">
        <f>IFERROR(__xludf.DUMMYFUNCTION("""COMPUTED_VALUE"""),"Clase l")</f>
        <v>Clase l</v>
      </c>
      <c r="AF1309" s="97" t="str">
        <f>IFERROR(__xludf.DUMMYFUNCTION("""COMPUTED_VALUE"""),"Aplicar")</f>
        <v>Aplicar</v>
      </c>
      <c r="AG1309" s="97" t="str">
        <f>IFERROR(__xludf.DUMMYFUNCTION("""COMPUTED_VALUE"""),"119.5 x 24.5 x 42")</f>
        <v>119.5 x 24.5 x 42</v>
      </c>
      <c r="AH1309" s="97" t="str">
        <f>IFERROR(__xludf.DUMMYFUNCTION("""COMPUTED_VALUE"""),"N/A")</f>
        <v>N/A</v>
      </c>
      <c r="AI1309" s="97" t="str">
        <f>IFERROR(__xludf.DUMMYFUNCTION("""COMPUTED_VALUE"""),"N/A")</f>
        <v>N/A</v>
      </c>
      <c r="AJ1309" s="97" t="str">
        <f>IFERROR(__xludf.DUMMYFUNCTION("""COMPUTED_VALUE"""),"Policarbonato (PC)")</f>
        <v>Policarbonato (PC)</v>
      </c>
      <c r="AK1309" s="97" t="str">
        <f>IFERROR(__xludf.DUMMYFUNCTION("""COMPUTED_VALUE"""),"Aluminio")</f>
        <v>Aluminio</v>
      </c>
      <c r="AL1309" s="97" t="str">
        <f>IFERROR(__xludf.DUMMYFUNCTION("""COMPUTED_VALUE"""),"Negro Satinado")</f>
        <v>Negro Satinado</v>
      </c>
      <c r="AM1309" s="97" t="str">
        <f>IFERROR(__xludf.DUMMYFUNCTION("""COMPUTED_VALUE"""),"-")</f>
        <v>-</v>
      </c>
      <c r="AN1309" s="97" t="str">
        <f>IFERROR(__xludf.DUMMYFUNCTION("""COMPUTED_VALUE"""),"40.000hs (L70)")</f>
        <v>40.000hs (L70)</v>
      </c>
      <c r="AO1309" s="97" t="str">
        <f>IFERROR(__xludf.DUMMYFUNCTION("""COMPUTED_VALUE"""),"4 Años")</f>
        <v>4 Años</v>
      </c>
      <c r="AP1309" s="97" t="str">
        <f>IFERROR(__xludf.DUMMYFUNCTION("""COMPUTED_VALUE"""),"Falta")</f>
        <v>Falta</v>
      </c>
      <c r="AQ1309" s="97" t="str">
        <f>IFERROR(__xludf.DUMMYFUNCTION("""COMPUTED_VALUE"""),"Falta")</f>
        <v>Falta</v>
      </c>
      <c r="AR1309" s="97" t="str">
        <f>IFERROR(__xludf.DUMMYFUNCTION("""COMPUTED_VALUE"""),"En revisión")</f>
        <v>En revisión</v>
      </c>
      <c r="AS1309" s="97" t="str">
        <f>IFERROR(__xludf.DUMMYFUNCTION("""COMPUTED_VALUE"""),"Falta")</f>
        <v>Falta</v>
      </c>
      <c r="AT1309" s="97" t="str">
        <f>IFERROR(__xludf.DUMMYFUNCTION("""COMPUTED_VALUE"""),"Falta")</f>
        <v>Falta</v>
      </c>
      <c r="AU1309" s="97" t="str">
        <f>IFERROR(__xludf.DUMMYFUNCTION("""COMPUTED_VALUE"""),"Falta")</f>
        <v>Falta</v>
      </c>
      <c r="AV1309" s="97" t="str">
        <f>IFERROR(__xludf.DUMMYFUNCTION("""COMPUTED_VALUE"""),"Aplique")</f>
        <v>Aplique</v>
      </c>
      <c r="AW1309" s="97" t="str">
        <f>IFERROR(__xludf.DUMMYFUNCTION("""COMPUTED_VALUE"""),"De Techo")</f>
        <v>De Techo</v>
      </c>
      <c r="AX1309" s="97" t="str">
        <f>IFERROR(__xludf.DUMMYFUNCTION("""COMPUTED_VALUE"""),"Interior")</f>
        <v>Interior</v>
      </c>
      <c r="AY1309" s="97" t="str">
        <f>IFERROR(__xludf.DUMMYFUNCTION("""COMPUTED_VALUE"""),"Pocket")</f>
        <v>Pocket</v>
      </c>
      <c r="AZ1309" s="97" t="str">
        <f>IFERROR(__xludf.DUMMYFUNCTION("""COMPUTED_VALUE"""),"Driver dentro de la luminaria.")</f>
        <v>Driver dentro de la luminaria.</v>
      </c>
      <c r="BA1309" s="97"/>
      <c r="BB1309" s="97"/>
      <c r="BC1309" s="97"/>
      <c r="BD1309" s="97" t="str">
        <f>IFERROR(__xludf.DUMMYFUNCTION("""COMPUTED_VALUE"""),"POCKET VI AP")</f>
        <v>POCKET VI AP</v>
      </c>
      <c r="BE1309" s="97" t="str">
        <f>IFERROR(__xludf.DUMMYFUNCTION("""COMPUTED_VALUE"""),"Solicitada")</f>
        <v>Solicitada</v>
      </c>
      <c r="BF1309" s="97"/>
      <c r="BG1309" s="97" t="str">
        <f>IFERROR(__xludf.DUMMYFUNCTION("""COMPUTED_VALUE"""),"Nuevo")</f>
        <v>Nuevo</v>
      </c>
    </row>
    <row r="1310">
      <c r="A1310" s="97">
        <f>IFERROR(__xludf.DUMMYFUNCTION("""COMPUTED_VALUE"""),7299.0)</f>
        <v>7299</v>
      </c>
      <c r="B1310" s="97" t="str">
        <f>IFERROR(__xludf.DUMMYFUNCTION("""COMPUTED_VALUE"""),"POCKET VI AP NGNG 3000K")</f>
        <v>POCKET VI AP NGNG 3000K</v>
      </c>
      <c r="C1310" s="97" t="str">
        <f>IFERROR(__xludf.DUMMYFUNCTION("""COMPUTED_VALUE"""),"APLIQUE POCKET VI AP NGNG 3000K 7W 3000K 655LM CRI&gt;90 IP20 LEUK")</f>
        <v>APLIQUE POCKET VI AP NGNG 3000K 7W 3000K 655LM CRI&gt;90 IP20 LEUK</v>
      </c>
      <c r="D1310" s="97">
        <f>IFERROR(__xludf.DUMMYFUNCTION("""COMPUTED_VALUE"""),7.798413228397E12)</f>
        <v>7798413228397</v>
      </c>
      <c r="E1310" s="97" t="str">
        <f>IFERROR(__xludf.DUMMYFUNCTION("""COMPUTED_VALUE"""),"F74")</f>
        <v>F74</v>
      </c>
      <c r="F1310" s="97" t="str">
        <f>IFERROR(__xludf.DUMMYFUNCTION("""COMPUTED_VALUE"""),"LED SMD")</f>
        <v>LED SMD</v>
      </c>
      <c r="G1310" s="97" t="str">
        <f>IFERROR(__xludf.DUMMYFUNCTION("""COMPUTED_VALUE"""),"Bridgelux")</f>
        <v>Bridgelux</v>
      </c>
      <c r="H1310" s="97" t="str">
        <f>IFERROR(__xludf.DUMMYFUNCTION("""COMPUTED_VALUE"""),"-")</f>
        <v>-</v>
      </c>
      <c r="I1310" s="97"/>
      <c r="J1310" s="97" t="str">
        <f>IFERROR(__xludf.DUMMYFUNCTION("""COMPUTED_VALUE"""),"Modelo: OT-GDK009W400
In: 100-240Vac 50/60Hz
Out: 12-24Vdc - 400mA 9W")</f>
        <v>Modelo: OT-GDK009W400
In: 100-240Vac 50/60Hz
Out: 12-24Vdc - 400mA 9W</v>
      </c>
      <c r="K1310" s="97" t="str">
        <f>IFERROR(__xludf.DUMMYFUNCTION("""COMPUTED_VALUE"""),"ON/OFF")</f>
        <v>ON/OFF</v>
      </c>
      <c r="L1310" s="97" t="str">
        <f>IFERROR(__xludf.DUMMYFUNCTION("""COMPUTED_VALUE"""),"200-240")</f>
        <v>200-240</v>
      </c>
      <c r="M1310" s="97" t="str">
        <f>IFERROR(__xludf.DUMMYFUNCTION("""COMPUTED_VALUE"""),"50/60")</f>
        <v>50/60</v>
      </c>
      <c r="N1310" s="97" t="str">
        <f>IFERROR(__xludf.DUMMYFUNCTION("""COMPUTED_VALUE"""),"Directa")</f>
        <v>Directa</v>
      </c>
      <c r="O1310" s="97">
        <f>IFERROR(__xludf.DUMMYFUNCTION("""COMPUTED_VALUE"""),7.0)</f>
        <v>7</v>
      </c>
      <c r="P1310" s="97"/>
      <c r="Q1310" s="97">
        <f>IFERROR(__xludf.DUMMYFUNCTION("""COMPUTED_VALUE"""),0.45)</f>
        <v>0.45</v>
      </c>
      <c r="R1310" s="97" t="str">
        <f>IFERROR(__xludf.DUMMYFUNCTION("""COMPUTED_VALUE"""),"-")</f>
        <v>-</v>
      </c>
      <c r="S1310" s="97" t="str">
        <f>IFERROR(__xludf.DUMMYFUNCTION("""COMPUTED_VALUE"""),"-")</f>
        <v>-</v>
      </c>
      <c r="T1310" s="97">
        <f>IFERROR(__xludf.DUMMYFUNCTION("""COMPUTED_VALUE"""),655.0)</f>
        <v>655</v>
      </c>
      <c r="U1310" s="99">
        <f>IFERROR(__xludf.DUMMYFUNCTION("""COMPUTED_VALUE"""),93.57142857142857)</f>
        <v>93.57142857</v>
      </c>
      <c r="V1310" s="97">
        <f>IFERROR(__xludf.DUMMYFUNCTION("""COMPUTED_VALUE"""),36.0)</f>
        <v>36</v>
      </c>
      <c r="W1310" s="97" t="str">
        <f>IFERROR(__xludf.DUMMYFUNCTION("""COMPUTED_VALUE"""),"&lt; 16")</f>
        <v>&lt; 16</v>
      </c>
      <c r="X1310" s="97">
        <f>IFERROR(__xludf.DUMMYFUNCTION("""COMPUTED_VALUE"""),3000.0)</f>
        <v>3000</v>
      </c>
      <c r="Y1310" s="97" t="str">
        <f>IFERROR(__xludf.DUMMYFUNCTION("""COMPUTED_VALUE"""),"&gt;90")</f>
        <v>&gt;90</v>
      </c>
      <c r="Z1310" s="97" t="str">
        <f>IFERROR(__xludf.DUMMYFUNCTION("""COMPUTED_VALUE"""),"&gt;90")</f>
        <v>&gt;90</v>
      </c>
      <c r="AA1310" s="97" t="str">
        <f>IFERROR(__xludf.DUMMYFUNCTION("""COMPUTED_VALUE"""),"100 (Fidelidad neutra)")</f>
        <v>100 (Fidelidad neutra)</v>
      </c>
      <c r="AB1310" s="97" t="str">
        <f>IFERROR(__xludf.DUMMYFUNCTION("""COMPUTED_VALUE"""),"&lt; 3")</f>
        <v>&lt; 3</v>
      </c>
      <c r="AC1310" s="100" t="str">
        <f>IFERROR(__xludf.DUMMYFUNCTION("""COMPUTED_VALUE"""),"0.0001")</f>
        <v>0.0001</v>
      </c>
      <c r="AD1310" s="97" t="str">
        <f>IFERROR(__xludf.DUMMYFUNCTION("""COMPUTED_VALUE"""),"IP20")</f>
        <v>IP20</v>
      </c>
      <c r="AE1310" s="97" t="str">
        <f>IFERROR(__xludf.DUMMYFUNCTION("""COMPUTED_VALUE"""),"Clase l")</f>
        <v>Clase l</v>
      </c>
      <c r="AF1310" s="97" t="str">
        <f>IFERROR(__xludf.DUMMYFUNCTION("""COMPUTED_VALUE"""),"Aplicar")</f>
        <v>Aplicar</v>
      </c>
      <c r="AG1310" s="97" t="str">
        <f>IFERROR(__xludf.DUMMYFUNCTION("""COMPUTED_VALUE"""),"119.5 x 24.5 x 42")</f>
        <v>119.5 x 24.5 x 42</v>
      </c>
      <c r="AH1310" s="97" t="str">
        <f>IFERROR(__xludf.DUMMYFUNCTION("""COMPUTED_VALUE"""),"N/A")</f>
        <v>N/A</v>
      </c>
      <c r="AI1310" s="97" t="str">
        <f>IFERROR(__xludf.DUMMYFUNCTION("""COMPUTED_VALUE"""),"N/A")</f>
        <v>N/A</v>
      </c>
      <c r="AJ1310" s="97" t="str">
        <f>IFERROR(__xludf.DUMMYFUNCTION("""COMPUTED_VALUE"""),"Policarbonato (PC)")</f>
        <v>Policarbonato (PC)</v>
      </c>
      <c r="AK1310" s="97" t="str">
        <f>IFERROR(__xludf.DUMMYFUNCTION("""COMPUTED_VALUE"""),"Aluminio")</f>
        <v>Aluminio</v>
      </c>
      <c r="AL1310" s="97" t="str">
        <f>IFERROR(__xludf.DUMMYFUNCTION("""COMPUTED_VALUE"""),"Negro Satinado")</f>
        <v>Negro Satinado</v>
      </c>
      <c r="AM1310" s="97" t="str">
        <f>IFERROR(__xludf.DUMMYFUNCTION("""COMPUTED_VALUE"""),"-")</f>
        <v>-</v>
      </c>
      <c r="AN1310" s="97" t="str">
        <f>IFERROR(__xludf.DUMMYFUNCTION("""COMPUTED_VALUE"""),"40.000hs (L70)")</f>
        <v>40.000hs (L70)</v>
      </c>
      <c r="AO1310" s="97" t="str">
        <f>IFERROR(__xludf.DUMMYFUNCTION("""COMPUTED_VALUE"""),"4 Años")</f>
        <v>4 Años</v>
      </c>
      <c r="AP1310" s="97" t="str">
        <f>IFERROR(__xludf.DUMMYFUNCTION("""COMPUTED_VALUE"""),"Falta")</f>
        <v>Falta</v>
      </c>
      <c r="AQ1310" s="97" t="str">
        <f>IFERROR(__xludf.DUMMYFUNCTION("""COMPUTED_VALUE"""),"Falta")</f>
        <v>Falta</v>
      </c>
      <c r="AR1310" s="97" t="str">
        <f>IFERROR(__xludf.DUMMYFUNCTION("""COMPUTED_VALUE"""),"En revisión")</f>
        <v>En revisión</v>
      </c>
      <c r="AS1310" s="97" t="str">
        <f>IFERROR(__xludf.DUMMYFUNCTION("""COMPUTED_VALUE"""),"Falta")</f>
        <v>Falta</v>
      </c>
      <c r="AT1310" s="97" t="str">
        <f>IFERROR(__xludf.DUMMYFUNCTION("""COMPUTED_VALUE"""),"Falta")</f>
        <v>Falta</v>
      </c>
      <c r="AU1310" s="97" t="str">
        <f>IFERROR(__xludf.DUMMYFUNCTION("""COMPUTED_VALUE"""),"Falta")</f>
        <v>Falta</v>
      </c>
      <c r="AV1310" s="97" t="str">
        <f>IFERROR(__xludf.DUMMYFUNCTION("""COMPUTED_VALUE"""),"Aplique")</f>
        <v>Aplique</v>
      </c>
      <c r="AW1310" s="97" t="str">
        <f>IFERROR(__xludf.DUMMYFUNCTION("""COMPUTED_VALUE"""),"De Techo")</f>
        <v>De Techo</v>
      </c>
      <c r="AX1310" s="97" t="str">
        <f>IFERROR(__xludf.DUMMYFUNCTION("""COMPUTED_VALUE"""),"Interior")</f>
        <v>Interior</v>
      </c>
      <c r="AY1310" s="97" t="str">
        <f>IFERROR(__xludf.DUMMYFUNCTION("""COMPUTED_VALUE"""),"Pocket")</f>
        <v>Pocket</v>
      </c>
      <c r="AZ1310" s="97" t="str">
        <f>IFERROR(__xludf.DUMMYFUNCTION("""COMPUTED_VALUE"""),"Driver dentro de la luminaria.")</f>
        <v>Driver dentro de la luminaria.</v>
      </c>
      <c r="BA1310" s="97"/>
      <c r="BB1310" s="97"/>
      <c r="BC1310" s="97"/>
      <c r="BD1310" s="97" t="str">
        <f>IFERROR(__xludf.DUMMYFUNCTION("""COMPUTED_VALUE"""),"POCKET VI AP")</f>
        <v>POCKET VI AP</v>
      </c>
      <c r="BE1310" s="97" t="str">
        <f>IFERROR(__xludf.DUMMYFUNCTION("""COMPUTED_VALUE"""),"Solicitada")</f>
        <v>Solicitada</v>
      </c>
      <c r="BF1310" s="97"/>
      <c r="BG1310" s="97" t="str">
        <f>IFERROR(__xludf.DUMMYFUNCTION("""COMPUTED_VALUE"""),"Nuevo")</f>
        <v>Nuevo</v>
      </c>
    </row>
    <row r="1311">
      <c r="A1311" s="97">
        <f>IFERROR(__xludf.DUMMYFUNCTION("""COMPUTED_VALUE"""),7300.0)</f>
        <v>7300</v>
      </c>
      <c r="B1311" s="97" t="str">
        <f>IFERROR(__xludf.DUMMYFUNCTION("""COMPUTED_VALUE"""),"POCKET XII AP BLBL 3000K")</f>
        <v>POCKET XII AP BLBL 3000K</v>
      </c>
      <c r="C1311" s="97" t="str">
        <f>IFERROR(__xludf.DUMMYFUNCTION("""COMPUTED_VALUE"""),"APLIQUE POCKET XII AP BLBL 3000K 15W 3000K 1610LM CRI&gt;90 IP20 LEUK")</f>
        <v>APLIQUE POCKET XII AP BLBL 3000K 15W 3000K 1610LM CRI&gt;90 IP20 LEUK</v>
      </c>
      <c r="D1311" s="97">
        <f>IFERROR(__xludf.DUMMYFUNCTION("""COMPUTED_VALUE"""),7.798413228403E12)</f>
        <v>7798413228403</v>
      </c>
      <c r="E1311" s="97" t="str">
        <f>IFERROR(__xludf.DUMMYFUNCTION("""COMPUTED_VALUE"""),"F53")</f>
        <v>F53</v>
      </c>
      <c r="F1311" s="97" t="str">
        <f>IFERROR(__xludf.DUMMYFUNCTION("""COMPUTED_VALUE"""),"LED SMD")</f>
        <v>LED SMD</v>
      </c>
      <c r="G1311" s="97" t="str">
        <f>IFERROR(__xludf.DUMMYFUNCTION("""COMPUTED_VALUE"""),"Bridgelux")</f>
        <v>Bridgelux</v>
      </c>
      <c r="H1311" s="97" t="str">
        <f>IFERROR(__xludf.DUMMYFUNCTION("""COMPUTED_VALUE"""),"-")</f>
        <v>-</v>
      </c>
      <c r="I1311" s="97"/>
      <c r="J1311" s="97" t="str">
        <f>IFERROR(__xludf.DUMMYFUNCTION("""COMPUTED_VALUE"""),"Modelo: OT-GDK018W450
In: 100-240Vac 50/60Hz
Out: 24-42Vdc - 450mA 18W")</f>
        <v>Modelo: OT-GDK018W450
In: 100-240Vac 50/60Hz
Out: 24-42Vdc - 450mA 18W</v>
      </c>
      <c r="K1311" s="97" t="str">
        <f>IFERROR(__xludf.DUMMYFUNCTION("""COMPUTED_VALUE"""),"ON/OFF")</f>
        <v>ON/OFF</v>
      </c>
      <c r="L1311" s="97" t="str">
        <f>IFERROR(__xludf.DUMMYFUNCTION("""COMPUTED_VALUE"""),"200-240")</f>
        <v>200-240</v>
      </c>
      <c r="M1311" s="97" t="str">
        <f>IFERROR(__xludf.DUMMYFUNCTION("""COMPUTED_VALUE"""),"50/60")</f>
        <v>50/60</v>
      </c>
      <c r="N1311" s="97" t="str">
        <f>IFERROR(__xludf.DUMMYFUNCTION("""COMPUTED_VALUE"""),"Directa")</f>
        <v>Directa</v>
      </c>
      <c r="O1311" s="97">
        <f>IFERROR(__xludf.DUMMYFUNCTION("""COMPUTED_VALUE"""),15.0)</f>
        <v>15</v>
      </c>
      <c r="P1311" s="97"/>
      <c r="Q1311" s="97">
        <f>IFERROR(__xludf.DUMMYFUNCTION("""COMPUTED_VALUE"""),0.5)</f>
        <v>0.5</v>
      </c>
      <c r="R1311" s="97" t="str">
        <f>IFERROR(__xludf.DUMMYFUNCTION("""COMPUTED_VALUE"""),"-")</f>
        <v>-</v>
      </c>
      <c r="S1311" s="97" t="str">
        <f>IFERROR(__xludf.DUMMYFUNCTION("""COMPUTED_VALUE"""),"-")</f>
        <v>-</v>
      </c>
      <c r="T1311" s="97">
        <f>IFERROR(__xludf.DUMMYFUNCTION("""COMPUTED_VALUE"""),1610.0)</f>
        <v>1610</v>
      </c>
      <c r="U1311" s="99">
        <f>IFERROR(__xludf.DUMMYFUNCTION("""COMPUTED_VALUE"""),107.33333333333333)</f>
        <v>107.3333333</v>
      </c>
      <c r="V1311" s="97">
        <f>IFERROR(__xludf.DUMMYFUNCTION("""COMPUTED_VALUE"""),36.0)</f>
        <v>36</v>
      </c>
      <c r="W1311" s="97" t="str">
        <f>IFERROR(__xludf.DUMMYFUNCTION("""COMPUTED_VALUE"""),"&lt; 20")</f>
        <v>&lt; 20</v>
      </c>
      <c r="X1311" s="97">
        <f>IFERROR(__xludf.DUMMYFUNCTION("""COMPUTED_VALUE"""),3000.0)</f>
        <v>3000</v>
      </c>
      <c r="Y1311" s="97" t="str">
        <f>IFERROR(__xludf.DUMMYFUNCTION("""COMPUTED_VALUE"""),"&gt;90")</f>
        <v>&gt;90</v>
      </c>
      <c r="Z1311" s="97" t="str">
        <f>IFERROR(__xludf.DUMMYFUNCTION("""COMPUTED_VALUE"""),"&gt;90")</f>
        <v>&gt;90</v>
      </c>
      <c r="AA1311" s="97" t="str">
        <f>IFERROR(__xludf.DUMMYFUNCTION("""COMPUTED_VALUE"""),"100 (Fidelidad neutra)")</f>
        <v>100 (Fidelidad neutra)</v>
      </c>
      <c r="AB1311" s="97" t="str">
        <f>IFERROR(__xludf.DUMMYFUNCTION("""COMPUTED_VALUE"""),"&lt; 3")</f>
        <v>&lt; 3</v>
      </c>
      <c r="AC1311" s="100" t="str">
        <f>IFERROR(__xludf.DUMMYFUNCTION("""COMPUTED_VALUE"""),"-0.0003")</f>
        <v>-0.0003</v>
      </c>
      <c r="AD1311" s="97" t="str">
        <f>IFERROR(__xludf.DUMMYFUNCTION("""COMPUTED_VALUE"""),"IP20")</f>
        <v>IP20</v>
      </c>
      <c r="AE1311" s="97" t="str">
        <f>IFERROR(__xludf.DUMMYFUNCTION("""COMPUTED_VALUE"""),"Clase l")</f>
        <v>Clase l</v>
      </c>
      <c r="AF1311" s="97" t="str">
        <f>IFERROR(__xludf.DUMMYFUNCTION("""COMPUTED_VALUE"""),"Aplicar")</f>
        <v>Aplicar</v>
      </c>
      <c r="AG1311" s="97" t="str">
        <f>IFERROR(__xludf.DUMMYFUNCTION("""COMPUTED_VALUE"""),"233.5 x 24.5 x 42")</f>
        <v>233.5 x 24.5 x 42</v>
      </c>
      <c r="AH1311" s="97" t="str">
        <f>IFERROR(__xludf.DUMMYFUNCTION("""COMPUTED_VALUE"""),"N/A")</f>
        <v>N/A</v>
      </c>
      <c r="AI1311" s="97" t="str">
        <f>IFERROR(__xludf.DUMMYFUNCTION("""COMPUTED_VALUE"""),"N/A")</f>
        <v>N/A</v>
      </c>
      <c r="AJ1311" s="97" t="str">
        <f>IFERROR(__xludf.DUMMYFUNCTION("""COMPUTED_VALUE"""),"Policarbonato (PC)")</f>
        <v>Policarbonato (PC)</v>
      </c>
      <c r="AK1311" s="97" t="str">
        <f>IFERROR(__xludf.DUMMYFUNCTION("""COMPUTED_VALUE"""),"Aluminio")</f>
        <v>Aluminio</v>
      </c>
      <c r="AL1311" s="97" t="str">
        <f>IFERROR(__xludf.DUMMYFUNCTION("""COMPUTED_VALUE"""),"Blanco Satinado")</f>
        <v>Blanco Satinado</v>
      </c>
      <c r="AM1311" s="97" t="str">
        <f>IFERROR(__xludf.DUMMYFUNCTION("""COMPUTED_VALUE"""),"-")</f>
        <v>-</v>
      </c>
      <c r="AN1311" s="97" t="str">
        <f>IFERROR(__xludf.DUMMYFUNCTION("""COMPUTED_VALUE"""),"40.000hs (L70)")</f>
        <v>40.000hs (L70)</v>
      </c>
      <c r="AO1311" s="97" t="str">
        <f>IFERROR(__xludf.DUMMYFUNCTION("""COMPUTED_VALUE"""),"4 Años")</f>
        <v>4 Años</v>
      </c>
      <c r="AP1311" s="97" t="str">
        <f>IFERROR(__xludf.DUMMYFUNCTION("""COMPUTED_VALUE"""),"Falta")</f>
        <v>Falta</v>
      </c>
      <c r="AQ1311" s="97" t="str">
        <f>IFERROR(__xludf.DUMMYFUNCTION("""COMPUTED_VALUE"""),"Falta")</f>
        <v>Falta</v>
      </c>
      <c r="AR1311" s="97" t="str">
        <f>IFERROR(__xludf.DUMMYFUNCTION("""COMPUTED_VALUE"""),"En revisión")</f>
        <v>En revisión</v>
      </c>
      <c r="AS1311" s="97" t="str">
        <f>IFERROR(__xludf.DUMMYFUNCTION("""COMPUTED_VALUE"""),"Falta")</f>
        <v>Falta</v>
      </c>
      <c r="AT1311" s="97" t="str">
        <f>IFERROR(__xludf.DUMMYFUNCTION("""COMPUTED_VALUE"""),"Falta")</f>
        <v>Falta</v>
      </c>
      <c r="AU1311" s="97" t="str">
        <f>IFERROR(__xludf.DUMMYFUNCTION("""COMPUTED_VALUE"""),"Falta")</f>
        <v>Falta</v>
      </c>
      <c r="AV1311" s="97" t="str">
        <f>IFERROR(__xludf.DUMMYFUNCTION("""COMPUTED_VALUE"""),"Aplique")</f>
        <v>Aplique</v>
      </c>
      <c r="AW1311" s="97" t="str">
        <f>IFERROR(__xludf.DUMMYFUNCTION("""COMPUTED_VALUE"""),"De Techo")</f>
        <v>De Techo</v>
      </c>
      <c r="AX1311" s="97" t="str">
        <f>IFERROR(__xludf.DUMMYFUNCTION("""COMPUTED_VALUE"""),"Interior")</f>
        <v>Interior</v>
      </c>
      <c r="AY1311" s="97" t="str">
        <f>IFERROR(__xludf.DUMMYFUNCTION("""COMPUTED_VALUE"""),"Pocket")</f>
        <v>Pocket</v>
      </c>
      <c r="AZ1311" s="97" t="str">
        <f>IFERROR(__xludf.DUMMYFUNCTION("""COMPUTED_VALUE"""),"Driver dentro de la luminaria.")</f>
        <v>Driver dentro de la luminaria.</v>
      </c>
      <c r="BA1311" s="97"/>
      <c r="BB1311" s="97"/>
      <c r="BC1311" s="97"/>
      <c r="BD1311" s="97" t="str">
        <f>IFERROR(__xludf.DUMMYFUNCTION("""COMPUTED_VALUE"""),"POCKET XII AP")</f>
        <v>POCKET XII AP</v>
      </c>
      <c r="BE1311" s="97" t="str">
        <f>IFERROR(__xludf.DUMMYFUNCTION("""COMPUTED_VALUE"""),"Solicitada")</f>
        <v>Solicitada</v>
      </c>
      <c r="BF1311" s="97"/>
      <c r="BG1311" s="97" t="str">
        <f>IFERROR(__xludf.DUMMYFUNCTION("""COMPUTED_VALUE"""),"Nuevo")</f>
        <v>Nuevo</v>
      </c>
    </row>
    <row r="1312">
      <c r="A1312" s="97">
        <f>IFERROR(__xludf.DUMMYFUNCTION("""COMPUTED_VALUE"""),7301.0)</f>
        <v>7301</v>
      </c>
      <c r="B1312" s="97" t="str">
        <f>IFERROR(__xludf.DUMMYFUNCTION("""COMPUTED_VALUE"""),"POCKET XII AP NGNG 2700K")</f>
        <v>POCKET XII AP NGNG 2700K</v>
      </c>
      <c r="C1312" s="97" t="str">
        <f>IFERROR(__xludf.DUMMYFUNCTION("""COMPUTED_VALUE"""),"APLIQUE POCKET XII AP NGNG 2700K 15W 2700K 1610LM CRI&gt;90 IP20 LEUK")</f>
        <v>APLIQUE POCKET XII AP NGNG 2700K 15W 2700K 1610LM CRI&gt;90 IP20 LEUK</v>
      </c>
      <c r="D1312" s="97">
        <f>IFERROR(__xludf.DUMMYFUNCTION("""COMPUTED_VALUE"""),7.79841322841E12)</f>
        <v>7798413228410</v>
      </c>
      <c r="E1312" s="97" t="str">
        <f>IFERROR(__xludf.DUMMYFUNCTION("""COMPUTED_VALUE"""),"F53")</f>
        <v>F53</v>
      </c>
      <c r="F1312" s="97" t="str">
        <f>IFERROR(__xludf.DUMMYFUNCTION("""COMPUTED_VALUE"""),"LED SMD")</f>
        <v>LED SMD</v>
      </c>
      <c r="G1312" s="97" t="str">
        <f>IFERROR(__xludf.DUMMYFUNCTION("""COMPUTED_VALUE"""),"Bridgelux")</f>
        <v>Bridgelux</v>
      </c>
      <c r="H1312" s="97" t="str">
        <f>IFERROR(__xludf.DUMMYFUNCTION("""COMPUTED_VALUE"""),"-")</f>
        <v>-</v>
      </c>
      <c r="I1312" s="97"/>
      <c r="J1312" s="97" t="str">
        <f>IFERROR(__xludf.DUMMYFUNCTION("""COMPUTED_VALUE"""),"Modelo: OT-GDK018W450
In: 100-240Vac 50/60Hz
Out: 24-42Vdc - 450mA 18W")</f>
        <v>Modelo: OT-GDK018W450
In: 100-240Vac 50/60Hz
Out: 24-42Vdc - 450mA 18W</v>
      </c>
      <c r="K1312" s="97" t="str">
        <f>IFERROR(__xludf.DUMMYFUNCTION("""COMPUTED_VALUE"""),"ON/OFF")</f>
        <v>ON/OFF</v>
      </c>
      <c r="L1312" s="97" t="str">
        <f>IFERROR(__xludf.DUMMYFUNCTION("""COMPUTED_VALUE"""),"200-240")</f>
        <v>200-240</v>
      </c>
      <c r="M1312" s="97" t="str">
        <f>IFERROR(__xludf.DUMMYFUNCTION("""COMPUTED_VALUE"""),"50/60")</f>
        <v>50/60</v>
      </c>
      <c r="N1312" s="97" t="str">
        <f>IFERROR(__xludf.DUMMYFUNCTION("""COMPUTED_VALUE"""),"Directa")</f>
        <v>Directa</v>
      </c>
      <c r="O1312" s="97">
        <f>IFERROR(__xludf.DUMMYFUNCTION("""COMPUTED_VALUE"""),15.0)</f>
        <v>15</v>
      </c>
      <c r="P1312" s="97"/>
      <c r="Q1312" s="97">
        <f>IFERROR(__xludf.DUMMYFUNCTION("""COMPUTED_VALUE"""),0.5)</f>
        <v>0.5</v>
      </c>
      <c r="R1312" s="97" t="str">
        <f>IFERROR(__xludf.DUMMYFUNCTION("""COMPUTED_VALUE"""),"-")</f>
        <v>-</v>
      </c>
      <c r="S1312" s="97" t="str">
        <f>IFERROR(__xludf.DUMMYFUNCTION("""COMPUTED_VALUE"""),"-")</f>
        <v>-</v>
      </c>
      <c r="T1312" s="97">
        <f>IFERROR(__xludf.DUMMYFUNCTION("""COMPUTED_VALUE"""),1610.0)</f>
        <v>1610</v>
      </c>
      <c r="U1312" s="99">
        <f>IFERROR(__xludf.DUMMYFUNCTION("""COMPUTED_VALUE"""),107.33333333333333)</f>
        <v>107.3333333</v>
      </c>
      <c r="V1312" s="97">
        <f>IFERROR(__xludf.DUMMYFUNCTION("""COMPUTED_VALUE"""),36.0)</f>
        <v>36</v>
      </c>
      <c r="W1312" s="97" t="str">
        <f>IFERROR(__xludf.DUMMYFUNCTION("""COMPUTED_VALUE"""),"&lt; 20")</f>
        <v>&lt; 20</v>
      </c>
      <c r="X1312" s="97">
        <f>IFERROR(__xludf.DUMMYFUNCTION("""COMPUTED_VALUE"""),2700.0)</f>
        <v>2700</v>
      </c>
      <c r="Y1312" s="97" t="str">
        <f>IFERROR(__xludf.DUMMYFUNCTION("""COMPUTED_VALUE"""),"&gt;90")</f>
        <v>&gt;90</v>
      </c>
      <c r="Z1312" s="97" t="str">
        <f>IFERROR(__xludf.DUMMYFUNCTION("""COMPUTED_VALUE"""),"&gt;90")</f>
        <v>&gt;90</v>
      </c>
      <c r="AA1312" s="97" t="str">
        <f>IFERROR(__xludf.DUMMYFUNCTION("""COMPUTED_VALUE"""),"100 (Fidelidad neutra)")</f>
        <v>100 (Fidelidad neutra)</v>
      </c>
      <c r="AB1312" s="97" t="str">
        <f>IFERROR(__xludf.DUMMYFUNCTION("""COMPUTED_VALUE"""),"&lt; 3")</f>
        <v>&lt; 3</v>
      </c>
      <c r="AC1312" s="100" t="str">
        <f>IFERROR(__xludf.DUMMYFUNCTION("""COMPUTED_VALUE"""),"-0.0010")</f>
        <v>-0.0010</v>
      </c>
      <c r="AD1312" s="97" t="str">
        <f>IFERROR(__xludf.DUMMYFUNCTION("""COMPUTED_VALUE"""),"IP20")</f>
        <v>IP20</v>
      </c>
      <c r="AE1312" s="97" t="str">
        <f>IFERROR(__xludf.DUMMYFUNCTION("""COMPUTED_VALUE"""),"Clase l")</f>
        <v>Clase l</v>
      </c>
      <c r="AF1312" s="97" t="str">
        <f>IFERROR(__xludf.DUMMYFUNCTION("""COMPUTED_VALUE"""),"Aplicar")</f>
        <v>Aplicar</v>
      </c>
      <c r="AG1312" s="97" t="str">
        <f>IFERROR(__xludf.DUMMYFUNCTION("""COMPUTED_VALUE"""),"233.5 x 24.5 x 42")</f>
        <v>233.5 x 24.5 x 42</v>
      </c>
      <c r="AH1312" s="97" t="str">
        <f>IFERROR(__xludf.DUMMYFUNCTION("""COMPUTED_VALUE"""),"N/A")</f>
        <v>N/A</v>
      </c>
      <c r="AI1312" s="97" t="str">
        <f>IFERROR(__xludf.DUMMYFUNCTION("""COMPUTED_VALUE"""),"N/A")</f>
        <v>N/A</v>
      </c>
      <c r="AJ1312" s="97" t="str">
        <f>IFERROR(__xludf.DUMMYFUNCTION("""COMPUTED_VALUE"""),"Policarbonato (PC)")</f>
        <v>Policarbonato (PC)</v>
      </c>
      <c r="AK1312" s="97" t="str">
        <f>IFERROR(__xludf.DUMMYFUNCTION("""COMPUTED_VALUE"""),"Aluminio")</f>
        <v>Aluminio</v>
      </c>
      <c r="AL1312" s="97" t="str">
        <f>IFERROR(__xludf.DUMMYFUNCTION("""COMPUTED_VALUE"""),"Negro Satinado")</f>
        <v>Negro Satinado</v>
      </c>
      <c r="AM1312" s="97" t="str">
        <f>IFERROR(__xludf.DUMMYFUNCTION("""COMPUTED_VALUE"""),"-")</f>
        <v>-</v>
      </c>
      <c r="AN1312" s="97" t="str">
        <f>IFERROR(__xludf.DUMMYFUNCTION("""COMPUTED_VALUE"""),"40.000hs (L70)")</f>
        <v>40.000hs (L70)</v>
      </c>
      <c r="AO1312" s="97" t="str">
        <f>IFERROR(__xludf.DUMMYFUNCTION("""COMPUTED_VALUE"""),"4 Años")</f>
        <v>4 Años</v>
      </c>
      <c r="AP1312" s="97" t="str">
        <f>IFERROR(__xludf.DUMMYFUNCTION("""COMPUTED_VALUE"""),"Falta")</f>
        <v>Falta</v>
      </c>
      <c r="AQ1312" s="97" t="str">
        <f>IFERROR(__xludf.DUMMYFUNCTION("""COMPUTED_VALUE"""),"Falta")</f>
        <v>Falta</v>
      </c>
      <c r="AR1312" s="97" t="str">
        <f>IFERROR(__xludf.DUMMYFUNCTION("""COMPUTED_VALUE"""),"En revisión")</f>
        <v>En revisión</v>
      </c>
      <c r="AS1312" s="97" t="str">
        <f>IFERROR(__xludf.DUMMYFUNCTION("""COMPUTED_VALUE"""),"Falta")</f>
        <v>Falta</v>
      </c>
      <c r="AT1312" s="97" t="str">
        <f>IFERROR(__xludf.DUMMYFUNCTION("""COMPUTED_VALUE"""),"Falta")</f>
        <v>Falta</v>
      </c>
      <c r="AU1312" s="97" t="str">
        <f>IFERROR(__xludf.DUMMYFUNCTION("""COMPUTED_VALUE"""),"Falta")</f>
        <v>Falta</v>
      </c>
      <c r="AV1312" s="97" t="str">
        <f>IFERROR(__xludf.DUMMYFUNCTION("""COMPUTED_VALUE"""),"Aplique")</f>
        <v>Aplique</v>
      </c>
      <c r="AW1312" s="97" t="str">
        <f>IFERROR(__xludf.DUMMYFUNCTION("""COMPUTED_VALUE"""),"De Techo")</f>
        <v>De Techo</v>
      </c>
      <c r="AX1312" s="97" t="str">
        <f>IFERROR(__xludf.DUMMYFUNCTION("""COMPUTED_VALUE"""),"Interior")</f>
        <v>Interior</v>
      </c>
      <c r="AY1312" s="97" t="str">
        <f>IFERROR(__xludf.DUMMYFUNCTION("""COMPUTED_VALUE"""),"Pocket")</f>
        <v>Pocket</v>
      </c>
      <c r="AZ1312" s="97" t="str">
        <f>IFERROR(__xludf.DUMMYFUNCTION("""COMPUTED_VALUE"""),"Driver dentro de la luminaria.")</f>
        <v>Driver dentro de la luminaria.</v>
      </c>
      <c r="BA1312" s="97"/>
      <c r="BB1312" s="97"/>
      <c r="BC1312" s="97"/>
      <c r="BD1312" s="97" t="str">
        <f>IFERROR(__xludf.DUMMYFUNCTION("""COMPUTED_VALUE"""),"POCKET XII AP")</f>
        <v>POCKET XII AP</v>
      </c>
      <c r="BE1312" s="97" t="str">
        <f>IFERROR(__xludf.DUMMYFUNCTION("""COMPUTED_VALUE"""),"Solicitada")</f>
        <v>Solicitada</v>
      </c>
      <c r="BF1312" s="97"/>
      <c r="BG1312" s="97" t="str">
        <f>IFERROR(__xludf.DUMMYFUNCTION("""COMPUTED_VALUE"""),"Nuevo")</f>
        <v>Nuevo</v>
      </c>
    </row>
    <row r="1313">
      <c r="A1313" s="97">
        <f>IFERROR(__xludf.DUMMYFUNCTION("""COMPUTED_VALUE"""),7302.0)</f>
        <v>7302</v>
      </c>
      <c r="B1313" s="97" t="str">
        <f>IFERROR(__xludf.DUMMYFUNCTION("""COMPUTED_VALUE"""),"POCKET XII AP NGNG 3000K")</f>
        <v>POCKET XII AP NGNG 3000K</v>
      </c>
      <c r="C1313" s="97" t="str">
        <f>IFERROR(__xludf.DUMMYFUNCTION("""COMPUTED_VALUE"""),"APLIQUE POCKET XII AP NGNG 3000K 15W 3000K 1610LM CRI&gt;90 IP20 LEUK")</f>
        <v>APLIQUE POCKET XII AP NGNG 3000K 15W 3000K 1610LM CRI&gt;90 IP20 LEUK</v>
      </c>
      <c r="D1313" s="97">
        <f>IFERROR(__xludf.DUMMYFUNCTION("""COMPUTED_VALUE"""),7.798413228427E12)</f>
        <v>7798413228427</v>
      </c>
      <c r="E1313" s="97" t="str">
        <f>IFERROR(__xludf.DUMMYFUNCTION("""COMPUTED_VALUE"""),"F53")</f>
        <v>F53</v>
      </c>
      <c r="F1313" s="97" t="str">
        <f>IFERROR(__xludf.DUMMYFUNCTION("""COMPUTED_VALUE"""),"LED SMD")</f>
        <v>LED SMD</v>
      </c>
      <c r="G1313" s="97" t="str">
        <f>IFERROR(__xludf.DUMMYFUNCTION("""COMPUTED_VALUE"""),"Bridgelux")</f>
        <v>Bridgelux</v>
      </c>
      <c r="H1313" s="97" t="str">
        <f>IFERROR(__xludf.DUMMYFUNCTION("""COMPUTED_VALUE"""),"-")</f>
        <v>-</v>
      </c>
      <c r="I1313" s="97"/>
      <c r="J1313" s="97" t="str">
        <f>IFERROR(__xludf.DUMMYFUNCTION("""COMPUTED_VALUE"""),"Modelo: OT-GDK018W450
In: 100-240Vac 50/60Hz
Out: 24-42Vdc - 450mA 18W")</f>
        <v>Modelo: OT-GDK018W450
In: 100-240Vac 50/60Hz
Out: 24-42Vdc - 450mA 18W</v>
      </c>
      <c r="K1313" s="97" t="str">
        <f>IFERROR(__xludf.DUMMYFUNCTION("""COMPUTED_VALUE"""),"ON/OFF")</f>
        <v>ON/OFF</v>
      </c>
      <c r="L1313" s="97" t="str">
        <f>IFERROR(__xludf.DUMMYFUNCTION("""COMPUTED_VALUE"""),"200-240")</f>
        <v>200-240</v>
      </c>
      <c r="M1313" s="97" t="str">
        <f>IFERROR(__xludf.DUMMYFUNCTION("""COMPUTED_VALUE"""),"50/60")</f>
        <v>50/60</v>
      </c>
      <c r="N1313" s="97" t="str">
        <f>IFERROR(__xludf.DUMMYFUNCTION("""COMPUTED_VALUE"""),"Directa")</f>
        <v>Directa</v>
      </c>
      <c r="O1313" s="97">
        <f>IFERROR(__xludf.DUMMYFUNCTION("""COMPUTED_VALUE"""),15.0)</f>
        <v>15</v>
      </c>
      <c r="P1313" s="97"/>
      <c r="Q1313" s="97">
        <f>IFERROR(__xludf.DUMMYFUNCTION("""COMPUTED_VALUE"""),0.5)</f>
        <v>0.5</v>
      </c>
      <c r="R1313" s="97" t="str">
        <f>IFERROR(__xludf.DUMMYFUNCTION("""COMPUTED_VALUE"""),"-")</f>
        <v>-</v>
      </c>
      <c r="S1313" s="97" t="str">
        <f>IFERROR(__xludf.DUMMYFUNCTION("""COMPUTED_VALUE"""),"-")</f>
        <v>-</v>
      </c>
      <c r="T1313" s="97">
        <f>IFERROR(__xludf.DUMMYFUNCTION("""COMPUTED_VALUE"""),1610.0)</f>
        <v>1610</v>
      </c>
      <c r="U1313" s="99">
        <f>IFERROR(__xludf.DUMMYFUNCTION("""COMPUTED_VALUE"""),107.33333333333333)</f>
        <v>107.3333333</v>
      </c>
      <c r="V1313" s="97">
        <f>IFERROR(__xludf.DUMMYFUNCTION("""COMPUTED_VALUE"""),36.0)</f>
        <v>36</v>
      </c>
      <c r="W1313" s="97" t="str">
        <f>IFERROR(__xludf.DUMMYFUNCTION("""COMPUTED_VALUE"""),"&lt; 20")</f>
        <v>&lt; 20</v>
      </c>
      <c r="X1313" s="97">
        <f>IFERROR(__xludf.DUMMYFUNCTION("""COMPUTED_VALUE"""),3000.0)</f>
        <v>3000</v>
      </c>
      <c r="Y1313" s="97" t="str">
        <f>IFERROR(__xludf.DUMMYFUNCTION("""COMPUTED_VALUE"""),"&gt;90")</f>
        <v>&gt;90</v>
      </c>
      <c r="Z1313" s="97" t="str">
        <f>IFERROR(__xludf.DUMMYFUNCTION("""COMPUTED_VALUE"""),"&gt;90")</f>
        <v>&gt;90</v>
      </c>
      <c r="AA1313" s="97" t="str">
        <f>IFERROR(__xludf.DUMMYFUNCTION("""COMPUTED_VALUE"""),"100 (Fidelidad neutra)")</f>
        <v>100 (Fidelidad neutra)</v>
      </c>
      <c r="AB1313" s="97" t="str">
        <f>IFERROR(__xludf.DUMMYFUNCTION("""COMPUTED_VALUE"""),"&lt; 3")</f>
        <v>&lt; 3</v>
      </c>
      <c r="AC1313" s="100" t="str">
        <f>IFERROR(__xludf.DUMMYFUNCTION("""COMPUTED_VALUE"""),"-0.0003")</f>
        <v>-0.0003</v>
      </c>
      <c r="AD1313" s="97" t="str">
        <f>IFERROR(__xludf.DUMMYFUNCTION("""COMPUTED_VALUE"""),"IP20")</f>
        <v>IP20</v>
      </c>
      <c r="AE1313" s="97" t="str">
        <f>IFERROR(__xludf.DUMMYFUNCTION("""COMPUTED_VALUE"""),"Clase l")</f>
        <v>Clase l</v>
      </c>
      <c r="AF1313" s="97" t="str">
        <f>IFERROR(__xludf.DUMMYFUNCTION("""COMPUTED_VALUE"""),"Aplicar")</f>
        <v>Aplicar</v>
      </c>
      <c r="AG1313" s="97" t="str">
        <f>IFERROR(__xludf.DUMMYFUNCTION("""COMPUTED_VALUE"""),"233.5 x 24.5 x 42")</f>
        <v>233.5 x 24.5 x 42</v>
      </c>
      <c r="AH1313" s="97" t="str">
        <f>IFERROR(__xludf.DUMMYFUNCTION("""COMPUTED_VALUE"""),"N/A")</f>
        <v>N/A</v>
      </c>
      <c r="AI1313" s="97" t="str">
        <f>IFERROR(__xludf.DUMMYFUNCTION("""COMPUTED_VALUE"""),"N/A")</f>
        <v>N/A</v>
      </c>
      <c r="AJ1313" s="97" t="str">
        <f>IFERROR(__xludf.DUMMYFUNCTION("""COMPUTED_VALUE"""),"Policarbonato (PC)")</f>
        <v>Policarbonato (PC)</v>
      </c>
      <c r="AK1313" s="97" t="str">
        <f>IFERROR(__xludf.DUMMYFUNCTION("""COMPUTED_VALUE"""),"Aluminio")</f>
        <v>Aluminio</v>
      </c>
      <c r="AL1313" s="97" t="str">
        <f>IFERROR(__xludf.DUMMYFUNCTION("""COMPUTED_VALUE"""),"Negro Satinado")</f>
        <v>Negro Satinado</v>
      </c>
      <c r="AM1313" s="97" t="str">
        <f>IFERROR(__xludf.DUMMYFUNCTION("""COMPUTED_VALUE"""),"-")</f>
        <v>-</v>
      </c>
      <c r="AN1313" s="97" t="str">
        <f>IFERROR(__xludf.DUMMYFUNCTION("""COMPUTED_VALUE"""),"40.000hs (L70)")</f>
        <v>40.000hs (L70)</v>
      </c>
      <c r="AO1313" s="97" t="str">
        <f>IFERROR(__xludf.DUMMYFUNCTION("""COMPUTED_VALUE"""),"4 Años")</f>
        <v>4 Años</v>
      </c>
      <c r="AP1313" s="97" t="str">
        <f>IFERROR(__xludf.DUMMYFUNCTION("""COMPUTED_VALUE"""),"Falta")</f>
        <v>Falta</v>
      </c>
      <c r="AQ1313" s="97" t="str">
        <f>IFERROR(__xludf.DUMMYFUNCTION("""COMPUTED_VALUE"""),"Falta")</f>
        <v>Falta</v>
      </c>
      <c r="AR1313" s="97" t="str">
        <f>IFERROR(__xludf.DUMMYFUNCTION("""COMPUTED_VALUE"""),"En revisión")</f>
        <v>En revisión</v>
      </c>
      <c r="AS1313" s="97" t="str">
        <f>IFERROR(__xludf.DUMMYFUNCTION("""COMPUTED_VALUE"""),"Falta")</f>
        <v>Falta</v>
      </c>
      <c r="AT1313" s="97" t="str">
        <f>IFERROR(__xludf.DUMMYFUNCTION("""COMPUTED_VALUE"""),"Falta")</f>
        <v>Falta</v>
      </c>
      <c r="AU1313" s="97" t="str">
        <f>IFERROR(__xludf.DUMMYFUNCTION("""COMPUTED_VALUE"""),"Falta")</f>
        <v>Falta</v>
      </c>
      <c r="AV1313" s="97" t="str">
        <f>IFERROR(__xludf.DUMMYFUNCTION("""COMPUTED_VALUE"""),"Aplique")</f>
        <v>Aplique</v>
      </c>
      <c r="AW1313" s="97" t="str">
        <f>IFERROR(__xludf.DUMMYFUNCTION("""COMPUTED_VALUE"""),"De Techo")</f>
        <v>De Techo</v>
      </c>
      <c r="AX1313" s="97" t="str">
        <f>IFERROR(__xludf.DUMMYFUNCTION("""COMPUTED_VALUE"""),"Interior")</f>
        <v>Interior</v>
      </c>
      <c r="AY1313" s="97" t="str">
        <f>IFERROR(__xludf.DUMMYFUNCTION("""COMPUTED_VALUE"""),"Pocket")</f>
        <v>Pocket</v>
      </c>
      <c r="AZ1313" s="97" t="str">
        <f>IFERROR(__xludf.DUMMYFUNCTION("""COMPUTED_VALUE"""),"Driver dentro de la luminaria.")</f>
        <v>Driver dentro de la luminaria.</v>
      </c>
      <c r="BA1313" s="97"/>
      <c r="BB1313" s="97"/>
      <c r="BC1313" s="97"/>
      <c r="BD1313" s="97" t="str">
        <f>IFERROR(__xludf.DUMMYFUNCTION("""COMPUTED_VALUE"""),"POCKET XII AP")</f>
        <v>POCKET XII AP</v>
      </c>
      <c r="BE1313" s="97" t="str">
        <f>IFERROR(__xludf.DUMMYFUNCTION("""COMPUTED_VALUE"""),"Solicitada")</f>
        <v>Solicitada</v>
      </c>
      <c r="BF1313" s="97"/>
      <c r="BG1313" s="97" t="str">
        <f>IFERROR(__xludf.DUMMYFUNCTION("""COMPUTED_VALUE"""),"Nuevo")</f>
        <v>Nuevo</v>
      </c>
    </row>
    <row r="1314">
      <c r="A1314" s="97">
        <f>IFERROR(__xludf.DUMMYFUNCTION("""COMPUTED_VALUE"""),7303.0)</f>
        <v>7303</v>
      </c>
      <c r="B1314" s="97" t="str">
        <f>IFERROR(__xludf.DUMMYFUNCTION("""COMPUTED_VALUE"""),"CHILL 5W 220V 2200K")</f>
        <v>CHILL 5W 220V 2200K</v>
      </c>
      <c r="C1314" s="97" t="str">
        <f>IFERROR(__xludf.DUMMYFUNCTION("""COMPUTED_VALUE"""),"PROYECTOR CHILL 5W 220V 2200K 5W 2200K 280LM CRI&gt;90 IP65 LEUK")</f>
        <v>PROYECTOR CHILL 5W 220V 2200K 5W 2200K 280LM CRI&gt;90 IP65 LEUK</v>
      </c>
      <c r="D1314" s="97">
        <f>IFERROR(__xludf.DUMMYFUNCTION("""COMPUTED_VALUE"""),7.798413228496E12)</f>
        <v>7798413228496</v>
      </c>
      <c r="E1314" s="97"/>
      <c r="F1314" s="97" t="str">
        <f>IFERROR(__xludf.DUMMYFUNCTION("""COMPUTED_VALUE"""),"LED integrado")</f>
        <v>LED integrado</v>
      </c>
      <c r="G1314" s="97" t="str">
        <f>IFERROR(__xludf.DUMMYFUNCTION("""COMPUTED_VALUE"""),"Bridgelux")</f>
        <v>Bridgelux</v>
      </c>
      <c r="H1314" s="97" t="str">
        <f>IFERROR(__xludf.DUMMYFUNCTION("""COMPUTED_VALUE"""),"-")</f>
        <v>-</v>
      </c>
      <c r="I1314" s="97"/>
      <c r="J1314" s="97"/>
      <c r="K1314" s="97" t="str">
        <f>IFERROR(__xludf.DUMMYFUNCTION("""COMPUTED_VALUE"""),"ON/OFF")</f>
        <v>ON/OFF</v>
      </c>
      <c r="L1314" s="97" t="str">
        <f>IFERROR(__xludf.DUMMYFUNCTION("""COMPUTED_VALUE"""),"220-240")</f>
        <v>220-240</v>
      </c>
      <c r="M1314" s="97" t="str">
        <f>IFERROR(__xludf.DUMMYFUNCTION("""COMPUTED_VALUE"""),"50/60")</f>
        <v>50/60</v>
      </c>
      <c r="N1314" s="97" t="str">
        <f>IFERROR(__xludf.DUMMYFUNCTION("""COMPUTED_VALUE"""),"Directa")</f>
        <v>Directa</v>
      </c>
      <c r="O1314" s="97">
        <f>IFERROR(__xludf.DUMMYFUNCTION("""COMPUTED_VALUE"""),5.0)</f>
        <v>5</v>
      </c>
      <c r="P1314" s="97"/>
      <c r="Q1314" s="97">
        <f>IFERROR(__xludf.DUMMYFUNCTION("""COMPUTED_VALUE"""),0.5)</f>
        <v>0.5</v>
      </c>
      <c r="R1314" s="97" t="str">
        <f>IFERROR(__xludf.DUMMYFUNCTION("""COMPUTED_VALUE"""),"-")</f>
        <v>-</v>
      </c>
      <c r="S1314" s="97" t="str">
        <f>IFERROR(__xludf.DUMMYFUNCTION("""COMPUTED_VALUE"""),"-")</f>
        <v>-</v>
      </c>
      <c r="T1314" s="97">
        <f>IFERROR(__xludf.DUMMYFUNCTION("""COMPUTED_VALUE"""),280.0)</f>
        <v>280</v>
      </c>
      <c r="U1314" s="99">
        <f>IFERROR(__xludf.DUMMYFUNCTION("""COMPUTED_VALUE"""),56.0)</f>
        <v>56</v>
      </c>
      <c r="V1314" s="97" t="str">
        <f>IFERROR(__xludf.DUMMYFUNCTION("""COMPUTED_VALUE"""),"15 / 24 / 36")</f>
        <v>15 / 24 / 36</v>
      </c>
      <c r="W1314" s="97" t="str">
        <f>IFERROR(__xludf.DUMMYFUNCTION("""COMPUTED_VALUE"""),"&lt; 14")</f>
        <v>&lt; 14</v>
      </c>
      <c r="X1314" s="97">
        <f>IFERROR(__xludf.DUMMYFUNCTION("""COMPUTED_VALUE"""),2200.0)</f>
        <v>2200</v>
      </c>
      <c r="Y1314" s="97" t="str">
        <f>IFERROR(__xludf.DUMMYFUNCTION("""COMPUTED_VALUE"""),"&gt;90")</f>
        <v>&gt;90</v>
      </c>
      <c r="Z1314" s="97"/>
      <c r="AA1314" s="97"/>
      <c r="AB1314" s="97"/>
      <c r="AC1314" s="97"/>
      <c r="AD1314" s="97" t="str">
        <f>IFERROR(__xludf.DUMMYFUNCTION("""COMPUTED_VALUE"""),"IP65")</f>
        <v>IP65</v>
      </c>
      <c r="AE1314" s="97" t="str">
        <f>IFERROR(__xludf.DUMMYFUNCTION("""COMPUTED_VALUE"""),"Clase l")</f>
        <v>Clase l</v>
      </c>
      <c r="AF1314" s="97" t="str">
        <f>IFERROR(__xludf.DUMMYFUNCTION("""COMPUTED_VALUE"""),"Aplicar, Estaca")</f>
        <v>Aplicar, Estaca</v>
      </c>
      <c r="AG1314" s="97" t="str">
        <f>IFERROR(__xludf.DUMMYFUNCTION("""COMPUTED_VALUE"""),"Ø40 x 100")</f>
        <v>Ø40 x 100</v>
      </c>
      <c r="AH1314" s="97" t="str">
        <f>IFERROR(__xludf.DUMMYFUNCTION("""COMPUTED_VALUE"""),"N/A")</f>
        <v>N/A</v>
      </c>
      <c r="AI1314" s="97" t="str">
        <f>IFERROR(__xludf.DUMMYFUNCTION("""COMPUTED_VALUE"""),"N/A")</f>
        <v>N/A</v>
      </c>
      <c r="AJ1314" s="97" t="str">
        <f>IFERROR(__xludf.DUMMYFUNCTION("""COMPUTED_VALUE"""),"Vidrio y Acrílico")</f>
        <v>Vidrio y Acrílico</v>
      </c>
      <c r="AK1314" s="97" t="str">
        <f>IFERROR(__xludf.DUMMYFUNCTION("""COMPUTED_VALUE"""),"Aluminio")</f>
        <v>Aluminio</v>
      </c>
      <c r="AL1314" s="97" t="str">
        <f>IFERROR(__xludf.DUMMYFUNCTION("""COMPUTED_VALUE"""),"Negro Satinado")</f>
        <v>Negro Satinado</v>
      </c>
      <c r="AM1314" s="97" t="str">
        <f>IFERROR(__xludf.DUMMYFUNCTION("""COMPUTED_VALUE"""),"-")</f>
        <v>-</v>
      </c>
      <c r="AN1314" s="97" t="str">
        <f>IFERROR(__xludf.DUMMYFUNCTION("""COMPUTED_VALUE"""),"25.000hs (L70)")</f>
        <v>25.000hs (L70)</v>
      </c>
      <c r="AO1314" s="97" t="str">
        <f>IFERROR(__xludf.DUMMYFUNCTION("""COMPUTED_VALUE"""),"2 Años")</f>
        <v>2 Años</v>
      </c>
      <c r="AP1314" s="97" t="str">
        <f>IFERROR(__xludf.DUMMYFUNCTION("""COMPUTED_VALUE"""),"Disponible")</f>
        <v>Disponible</v>
      </c>
      <c r="AQ1314" s="97" t="str">
        <f>IFERROR(__xludf.DUMMYFUNCTION("""COMPUTED_VALUE"""),"Disponible")</f>
        <v>Disponible</v>
      </c>
      <c r="AR1314" s="97" t="str">
        <f>IFERROR(__xludf.DUMMYFUNCTION("""COMPUTED_VALUE"""),"Disponible")</f>
        <v>Disponible</v>
      </c>
      <c r="AS1314" s="97" t="str">
        <f>IFERROR(__xludf.DUMMYFUNCTION("""COMPUTED_VALUE"""),"Disponible")</f>
        <v>Disponible</v>
      </c>
      <c r="AT1314" s="97" t="str">
        <f>IFERROR(__xludf.DUMMYFUNCTION("""COMPUTED_VALUE"""),"Disponible")</f>
        <v>Disponible</v>
      </c>
      <c r="AU1314" s="97" t="str">
        <f>IFERROR(__xludf.DUMMYFUNCTION("""COMPUTED_VALUE"""),"Disponible")</f>
        <v>Disponible</v>
      </c>
      <c r="AV1314" s="97" t="str">
        <f>IFERROR(__xludf.DUMMYFUNCTION("""COMPUTED_VALUE"""),"Proyector")</f>
        <v>Proyector</v>
      </c>
      <c r="AW1314" s="97" t="str">
        <f>IFERROR(__xludf.DUMMYFUNCTION("""COMPUTED_VALUE"""),"De Piso")</f>
        <v>De Piso</v>
      </c>
      <c r="AX1314" s="97" t="str">
        <f>IFERROR(__xludf.DUMMYFUNCTION("""COMPUTED_VALUE"""),"Exterior")</f>
        <v>Exterior</v>
      </c>
      <c r="AY1314" s="97" t="str">
        <f>IFERROR(__xludf.DUMMYFUNCTION("""COMPUTED_VALUE"""),"Chill")</f>
        <v>Chill</v>
      </c>
      <c r="AZ1314" s="97" t="str">
        <f>IFERROR(__xludf.DUMMYFUNCTION("""COMPUTED_VALUE"""),"Incluye estaca y lente 36° + 2 lentes intercambiables: 15° y 24°")</f>
        <v>Incluye estaca y lente 36° + 2 lentes intercambiables: 15° y 24°</v>
      </c>
      <c r="BA1314" s="97"/>
      <c r="BB1314" s="97" t="str">
        <f>IFERROR(__xludf.DUMMYFUNCTION("""COMPUTED_VALUE"""),"-")</f>
        <v>-</v>
      </c>
      <c r="BC1314" s="97" t="str">
        <f>IFERROR(__xludf.DUMMYFUNCTION("""COMPUTED_VALUE"""),"-")</f>
        <v>-</v>
      </c>
      <c r="BD1314" s="97" t="str">
        <f>IFERROR(__xludf.DUMMYFUNCTION("""COMPUTED_VALUE"""),"CHILL")</f>
        <v>CHILL</v>
      </c>
      <c r="BE1314" s="97" t="str">
        <f>IFERROR(__xludf.DUMMYFUNCTION("""COMPUTED_VALUE"""),"Solicitada")</f>
        <v>Solicitada</v>
      </c>
      <c r="BF1314" s="97"/>
      <c r="BG1314" s="97" t="str">
        <f>IFERROR(__xludf.DUMMYFUNCTION("""COMPUTED_VALUE"""),"REPO 6")</f>
        <v>REPO 6</v>
      </c>
    </row>
    <row r="1315">
      <c r="A1315" s="97">
        <f>IFERROR(__xludf.DUMMYFUNCTION("""COMPUTED_VALUE"""),7304.0)</f>
        <v>7304</v>
      </c>
      <c r="B1315" s="97" t="str">
        <f>IFERROR(__xludf.DUMMYFUNCTION("""COMPUTED_VALUE"""),"CHILL 5W 24V 2200K")</f>
        <v>CHILL 5W 24V 2200K</v>
      </c>
      <c r="C1315" s="97" t="str">
        <f>IFERROR(__xludf.DUMMYFUNCTION("""COMPUTED_VALUE"""),"PROYECTOR CHILL 5W 24V 2200K 5W 2200K 280LM CRI&gt;90 IP65 LEUK")</f>
        <v>PROYECTOR CHILL 5W 24V 2200K 5W 2200K 280LM CRI&gt;90 IP65 LEUK</v>
      </c>
      <c r="D1315" s="97">
        <f>IFERROR(__xludf.DUMMYFUNCTION("""COMPUTED_VALUE"""),7.798413228502E12)</f>
        <v>7798413228502</v>
      </c>
      <c r="E1315" s="97" t="str">
        <f>IFERROR(__xludf.DUMMYFUNCTION("""COMPUTED_VALUE"""),"N/A")</f>
        <v>N/A</v>
      </c>
      <c r="F1315" s="97" t="str">
        <f>IFERROR(__xludf.DUMMYFUNCTION("""COMPUTED_VALUE"""),"LED integrado")</f>
        <v>LED integrado</v>
      </c>
      <c r="G1315" s="97" t="str">
        <f>IFERROR(__xludf.DUMMYFUNCTION("""COMPUTED_VALUE"""),"Bridgelux")</f>
        <v>Bridgelux</v>
      </c>
      <c r="H1315" s="97" t="str">
        <f>IFERROR(__xludf.DUMMYFUNCTION("""COMPUTED_VALUE"""),"-")</f>
        <v>-</v>
      </c>
      <c r="I1315" s="97" t="str">
        <f>IFERROR(__xludf.DUMMYFUNCTION("""COMPUTED_VALUE"""),"N/A")</f>
        <v>N/A</v>
      </c>
      <c r="J1315" s="97" t="str">
        <f>IFERROR(__xludf.DUMMYFUNCTION("""COMPUTED_VALUE"""),"N/A")</f>
        <v>N/A</v>
      </c>
      <c r="K1315" s="97" t="str">
        <f>IFERROR(__xludf.DUMMYFUNCTION("""COMPUTED_VALUE"""),"ON/OFF")</f>
        <v>ON/OFF</v>
      </c>
      <c r="L1315" s="97" t="str">
        <f>IFERROR(__xludf.DUMMYFUNCTION("""COMPUTED_VALUE"""),"24Vdc")</f>
        <v>24Vdc</v>
      </c>
      <c r="M1315" s="97" t="str">
        <f>IFERROR(__xludf.DUMMYFUNCTION("""COMPUTED_VALUE"""),"N/A")</f>
        <v>N/A</v>
      </c>
      <c r="N1315" s="97" t="str">
        <f>IFERROR(__xludf.DUMMYFUNCTION("""COMPUTED_VALUE"""),"Directa")</f>
        <v>Directa</v>
      </c>
      <c r="O1315" s="97">
        <f>IFERROR(__xludf.DUMMYFUNCTION("""COMPUTED_VALUE"""),5.0)</f>
        <v>5</v>
      </c>
      <c r="P1315" s="97"/>
      <c r="Q1315" s="97" t="str">
        <f>IFERROR(__xludf.DUMMYFUNCTION("""COMPUTED_VALUE"""),"N/A")</f>
        <v>N/A</v>
      </c>
      <c r="R1315" s="97" t="str">
        <f>IFERROR(__xludf.DUMMYFUNCTION("""COMPUTED_VALUE"""),"-")</f>
        <v>-</v>
      </c>
      <c r="S1315" s="97" t="str">
        <f>IFERROR(__xludf.DUMMYFUNCTION("""COMPUTED_VALUE"""),"-")</f>
        <v>-</v>
      </c>
      <c r="T1315" s="97">
        <f>IFERROR(__xludf.DUMMYFUNCTION("""COMPUTED_VALUE"""),280.0)</f>
        <v>280</v>
      </c>
      <c r="U1315" s="99">
        <f>IFERROR(__xludf.DUMMYFUNCTION("""COMPUTED_VALUE"""),56.0)</f>
        <v>56</v>
      </c>
      <c r="V1315" s="97" t="str">
        <f>IFERROR(__xludf.DUMMYFUNCTION("""COMPUTED_VALUE"""),"15 / 24 / 36")</f>
        <v>15 / 24 / 36</v>
      </c>
      <c r="W1315" s="97" t="str">
        <f>IFERROR(__xludf.DUMMYFUNCTION("""COMPUTED_VALUE"""),"&lt; 14")</f>
        <v>&lt; 14</v>
      </c>
      <c r="X1315" s="97">
        <f>IFERROR(__xludf.DUMMYFUNCTION("""COMPUTED_VALUE"""),2200.0)</f>
        <v>2200</v>
      </c>
      <c r="Y1315" s="97" t="str">
        <f>IFERROR(__xludf.DUMMYFUNCTION("""COMPUTED_VALUE"""),"&gt;90")</f>
        <v>&gt;90</v>
      </c>
      <c r="Z1315" s="97"/>
      <c r="AA1315" s="97"/>
      <c r="AB1315" s="97"/>
      <c r="AC1315" s="97"/>
      <c r="AD1315" s="97" t="str">
        <f>IFERROR(__xludf.DUMMYFUNCTION("""COMPUTED_VALUE"""),"IP65")</f>
        <v>IP65</v>
      </c>
      <c r="AE1315" s="97" t="str">
        <f>IFERROR(__xludf.DUMMYFUNCTION("""COMPUTED_VALUE"""),"Clase lll")</f>
        <v>Clase lll</v>
      </c>
      <c r="AF1315" s="97" t="str">
        <f>IFERROR(__xludf.DUMMYFUNCTION("""COMPUTED_VALUE"""),"Aplicar, Estaca")</f>
        <v>Aplicar, Estaca</v>
      </c>
      <c r="AG1315" s="97" t="str">
        <f>IFERROR(__xludf.DUMMYFUNCTION("""COMPUTED_VALUE"""),"Ø40 x 100")</f>
        <v>Ø40 x 100</v>
      </c>
      <c r="AH1315" s="97" t="str">
        <f>IFERROR(__xludf.DUMMYFUNCTION("""COMPUTED_VALUE"""),"N/A")</f>
        <v>N/A</v>
      </c>
      <c r="AI1315" s="97" t="str">
        <f>IFERROR(__xludf.DUMMYFUNCTION("""COMPUTED_VALUE"""),"N/A")</f>
        <v>N/A</v>
      </c>
      <c r="AJ1315" s="97" t="str">
        <f>IFERROR(__xludf.DUMMYFUNCTION("""COMPUTED_VALUE"""),"Vidrio y Acrílico")</f>
        <v>Vidrio y Acrílico</v>
      </c>
      <c r="AK1315" s="97" t="str">
        <f>IFERROR(__xludf.DUMMYFUNCTION("""COMPUTED_VALUE"""),"Aluminio")</f>
        <v>Aluminio</v>
      </c>
      <c r="AL1315" s="97" t="str">
        <f>IFERROR(__xludf.DUMMYFUNCTION("""COMPUTED_VALUE"""),"Negro Satinado")</f>
        <v>Negro Satinado</v>
      </c>
      <c r="AM1315" s="97" t="str">
        <f>IFERROR(__xludf.DUMMYFUNCTION("""COMPUTED_VALUE"""),"-")</f>
        <v>-</v>
      </c>
      <c r="AN1315" s="97" t="str">
        <f>IFERROR(__xludf.DUMMYFUNCTION("""COMPUTED_VALUE"""),"25.000hs (L70)")</f>
        <v>25.000hs (L70)</v>
      </c>
      <c r="AO1315" s="97" t="str">
        <f>IFERROR(__xludf.DUMMYFUNCTION("""COMPUTED_VALUE"""),"2 Años")</f>
        <v>2 Años</v>
      </c>
      <c r="AP1315" s="97" t="str">
        <f>IFERROR(__xludf.DUMMYFUNCTION("""COMPUTED_VALUE"""),"Disponible")</f>
        <v>Disponible</v>
      </c>
      <c r="AQ1315" s="97" t="str">
        <f>IFERROR(__xludf.DUMMYFUNCTION("""COMPUTED_VALUE"""),"Disponible")</f>
        <v>Disponible</v>
      </c>
      <c r="AR1315" s="97" t="str">
        <f>IFERROR(__xludf.DUMMYFUNCTION("""COMPUTED_VALUE"""),"Disponible")</f>
        <v>Disponible</v>
      </c>
      <c r="AS1315" s="97" t="str">
        <f>IFERROR(__xludf.DUMMYFUNCTION("""COMPUTED_VALUE"""),"Disponible")</f>
        <v>Disponible</v>
      </c>
      <c r="AT1315" s="97" t="str">
        <f>IFERROR(__xludf.DUMMYFUNCTION("""COMPUTED_VALUE"""),"Disponible")</f>
        <v>Disponible</v>
      </c>
      <c r="AU1315" s="97" t="str">
        <f>IFERROR(__xludf.DUMMYFUNCTION("""COMPUTED_VALUE"""),"Disponible")</f>
        <v>Disponible</v>
      </c>
      <c r="AV1315" s="97" t="str">
        <f>IFERROR(__xludf.DUMMYFUNCTION("""COMPUTED_VALUE"""),"Proyector")</f>
        <v>Proyector</v>
      </c>
      <c r="AW1315" s="97" t="str">
        <f>IFERROR(__xludf.DUMMYFUNCTION("""COMPUTED_VALUE"""),"De Piso")</f>
        <v>De Piso</v>
      </c>
      <c r="AX1315" s="97" t="str">
        <f>IFERROR(__xludf.DUMMYFUNCTION("""COMPUTED_VALUE"""),"Exterior")</f>
        <v>Exterior</v>
      </c>
      <c r="AY1315" s="97" t="str">
        <f>IFERROR(__xludf.DUMMYFUNCTION("""COMPUTED_VALUE"""),"Chill")</f>
        <v>Chill</v>
      </c>
      <c r="AZ1315" s="97" t="str">
        <f>IFERROR(__xludf.DUMMYFUNCTION("""COMPUTED_VALUE"""),"Incluye estaca y lente 36° + 2 lentes intercambiables: 15° y 24°")</f>
        <v>Incluye estaca y lente 36° + 2 lentes intercambiables: 15° y 24°</v>
      </c>
      <c r="BA1315" s="97"/>
      <c r="BB1315" s="97" t="str">
        <f>IFERROR(__xludf.DUMMYFUNCTION("""COMPUTED_VALUE"""),"-")</f>
        <v>-</v>
      </c>
      <c r="BC1315" s="97" t="str">
        <f>IFERROR(__xludf.DUMMYFUNCTION("""COMPUTED_VALUE"""),"-")</f>
        <v>-</v>
      </c>
      <c r="BD1315" s="97" t="str">
        <f>IFERROR(__xludf.DUMMYFUNCTION("""COMPUTED_VALUE"""),"CHILL")</f>
        <v>CHILL</v>
      </c>
      <c r="BE1315" s="97" t="str">
        <f>IFERROR(__xludf.DUMMYFUNCTION("""COMPUTED_VALUE"""),"Solicitada")</f>
        <v>Solicitada</v>
      </c>
      <c r="BF1315" s="97"/>
      <c r="BG1315" s="97" t="str">
        <f>IFERROR(__xludf.DUMMYFUNCTION("""COMPUTED_VALUE"""),"REPO 6")</f>
        <v>REPO 6</v>
      </c>
    </row>
    <row r="1316">
      <c r="A1316" s="97">
        <f>IFERROR(__xludf.DUMMYFUNCTION("""COMPUTED_VALUE"""),7305.0)</f>
        <v>7305</v>
      </c>
      <c r="B1316" s="97" t="str">
        <f>IFERROR(__xludf.DUMMYFUNCTION("""COMPUTED_VALUE"""),"CHILL 10W 220V 2200K")</f>
        <v>CHILL 10W 220V 2200K</v>
      </c>
      <c r="C1316" s="97" t="str">
        <f>IFERROR(__xludf.DUMMYFUNCTION("""COMPUTED_VALUE"""),"PROYECTOR CHILL 10W 220V 2200K 10W 2200K 675LM CRI&gt;90 IP65 LEUK")</f>
        <v>PROYECTOR CHILL 10W 220V 2200K 10W 2200K 675LM CRI&gt;90 IP65 LEUK</v>
      </c>
      <c r="D1316" s="97">
        <f>IFERROR(__xludf.DUMMYFUNCTION("""COMPUTED_VALUE"""),7.798413228519E12)</f>
        <v>7798413228519</v>
      </c>
      <c r="E1316" s="97"/>
      <c r="F1316" s="97" t="str">
        <f>IFERROR(__xludf.DUMMYFUNCTION("""COMPUTED_VALUE"""),"LED integrado")</f>
        <v>LED integrado</v>
      </c>
      <c r="G1316" s="97" t="str">
        <f>IFERROR(__xludf.DUMMYFUNCTION("""COMPUTED_VALUE"""),"Bridgelux")</f>
        <v>Bridgelux</v>
      </c>
      <c r="H1316" s="97" t="str">
        <f>IFERROR(__xludf.DUMMYFUNCTION("""COMPUTED_VALUE"""),"-")</f>
        <v>-</v>
      </c>
      <c r="I1316" s="97"/>
      <c r="J1316" s="97"/>
      <c r="K1316" s="97" t="str">
        <f>IFERROR(__xludf.DUMMYFUNCTION("""COMPUTED_VALUE"""),"ON/OFF")</f>
        <v>ON/OFF</v>
      </c>
      <c r="L1316" s="97" t="str">
        <f>IFERROR(__xludf.DUMMYFUNCTION("""COMPUTED_VALUE"""),"220-240")</f>
        <v>220-240</v>
      </c>
      <c r="M1316" s="97" t="str">
        <f>IFERROR(__xludf.DUMMYFUNCTION("""COMPUTED_VALUE"""),"50/60")</f>
        <v>50/60</v>
      </c>
      <c r="N1316" s="97" t="str">
        <f>IFERROR(__xludf.DUMMYFUNCTION("""COMPUTED_VALUE"""),"Directa")</f>
        <v>Directa</v>
      </c>
      <c r="O1316" s="97">
        <f>IFERROR(__xludf.DUMMYFUNCTION("""COMPUTED_VALUE"""),10.0)</f>
        <v>10</v>
      </c>
      <c r="P1316" s="97"/>
      <c r="Q1316" s="97">
        <f>IFERROR(__xludf.DUMMYFUNCTION("""COMPUTED_VALUE"""),0.5)</f>
        <v>0.5</v>
      </c>
      <c r="R1316" s="97" t="str">
        <f>IFERROR(__xludf.DUMMYFUNCTION("""COMPUTED_VALUE"""),"-")</f>
        <v>-</v>
      </c>
      <c r="S1316" s="97" t="str">
        <f>IFERROR(__xludf.DUMMYFUNCTION("""COMPUTED_VALUE"""),"-")</f>
        <v>-</v>
      </c>
      <c r="T1316" s="97">
        <f>IFERROR(__xludf.DUMMYFUNCTION("""COMPUTED_VALUE"""),675.0)</f>
        <v>675</v>
      </c>
      <c r="U1316" s="99">
        <f>IFERROR(__xludf.DUMMYFUNCTION("""COMPUTED_VALUE"""),67.5)</f>
        <v>67.5</v>
      </c>
      <c r="V1316" s="97" t="str">
        <f>IFERROR(__xludf.DUMMYFUNCTION("""COMPUTED_VALUE"""),"15 / 24 / 36")</f>
        <v>15 / 24 / 36</v>
      </c>
      <c r="W1316" s="97" t="str">
        <f>IFERROR(__xludf.DUMMYFUNCTION("""COMPUTED_VALUE"""),"&lt; 16")</f>
        <v>&lt; 16</v>
      </c>
      <c r="X1316" s="97">
        <f>IFERROR(__xludf.DUMMYFUNCTION("""COMPUTED_VALUE"""),2200.0)</f>
        <v>2200</v>
      </c>
      <c r="Y1316" s="97" t="str">
        <f>IFERROR(__xludf.DUMMYFUNCTION("""COMPUTED_VALUE"""),"&gt;90")</f>
        <v>&gt;90</v>
      </c>
      <c r="Z1316" s="97"/>
      <c r="AA1316" s="97"/>
      <c r="AB1316" s="97"/>
      <c r="AC1316" s="97"/>
      <c r="AD1316" s="97" t="str">
        <f>IFERROR(__xludf.DUMMYFUNCTION("""COMPUTED_VALUE"""),"IP65")</f>
        <v>IP65</v>
      </c>
      <c r="AE1316" s="97" t="str">
        <f>IFERROR(__xludf.DUMMYFUNCTION("""COMPUTED_VALUE"""),"Clase l")</f>
        <v>Clase l</v>
      </c>
      <c r="AF1316" s="97" t="str">
        <f>IFERROR(__xludf.DUMMYFUNCTION("""COMPUTED_VALUE"""),"Aplicar, Estaca")</f>
        <v>Aplicar, Estaca</v>
      </c>
      <c r="AG1316" s="97" t="str">
        <f>IFERROR(__xludf.DUMMYFUNCTION("""COMPUTED_VALUE"""),"Ø60 x 135")</f>
        <v>Ø60 x 135</v>
      </c>
      <c r="AH1316" s="97" t="str">
        <f>IFERROR(__xludf.DUMMYFUNCTION("""COMPUTED_VALUE"""),"N/A")</f>
        <v>N/A</v>
      </c>
      <c r="AI1316" s="97" t="str">
        <f>IFERROR(__xludf.DUMMYFUNCTION("""COMPUTED_VALUE"""),"N/A")</f>
        <v>N/A</v>
      </c>
      <c r="AJ1316" s="97" t="str">
        <f>IFERROR(__xludf.DUMMYFUNCTION("""COMPUTED_VALUE"""),"Vidrio y Acrílico")</f>
        <v>Vidrio y Acrílico</v>
      </c>
      <c r="AK1316" s="97" t="str">
        <f>IFERROR(__xludf.DUMMYFUNCTION("""COMPUTED_VALUE"""),"Aluminio")</f>
        <v>Aluminio</v>
      </c>
      <c r="AL1316" s="97" t="str">
        <f>IFERROR(__xludf.DUMMYFUNCTION("""COMPUTED_VALUE"""),"Negro Satinado")</f>
        <v>Negro Satinado</v>
      </c>
      <c r="AM1316" s="97" t="str">
        <f>IFERROR(__xludf.DUMMYFUNCTION("""COMPUTED_VALUE"""),"-")</f>
        <v>-</v>
      </c>
      <c r="AN1316" s="97" t="str">
        <f>IFERROR(__xludf.DUMMYFUNCTION("""COMPUTED_VALUE"""),"25.000hs (L70)")</f>
        <v>25.000hs (L70)</v>
      </c>
      <c r="AO1316" s="97" t="str">
        <f>IFERROR(__xludf.DUMMYFUNCTION("""COMPUTED_VALUE"""),"2 Años")</f>
        <v>2 Años</v>
      </c>
      <c r="AP1316" s="97" t="str">
        <f>IFERROR(__xludf.DUMMYFUNCTION("""COMPUTED_VALUE"""),"Disponible")</f>
        <v>Disponible</v>
      </c>
      <c r="AQ1316" s="97" t="str">
        <f>IFERROR(__xludf.DUMMYFUNCTION("""COMPUTED_VALUE"""),"Disponible")</f>
        <v>Disponible</v>
      </c>
      <c r="AR1316" s="97" t="str">
        <f>IFERROR(__xludf.DUMMYFUNCTION("""COMPUTED_VALUE"""),"Disponible")</f>
        <v>Disponible</v>
      </c>
      <c r="AS1316" s="97" t="str">
        <f>IFERROR(__xludf.DUMMYFUNCTION("""COMPUTED_VALUE"""),"Disponible")</f>
        <v>Disponible</v>
      </c>
      <c r="AT1316" s="97" t="str">
        <f>IFERROR(__xludf.DUMMYFUNCTION("""COMPUTED_VALUE"""),"Disponible")</f>
        <v>Disponible</v>
      </c>
      <c r="AU1316" s="97" t="str">
        <f>IFERROR(__xludf.DUMMYFUNCTION("""COMPUTED_VALUE"""),"Disponible")</f>
        <v>Disponible</v>
      </c>
      <c r="AV1316" s="97" t="str">
        <f>IFERROR(__xludf.DUMMYFUNCTION("""COMPUTED_VALUE"""),"Proyector")</f>
        <v>Proyector</v>
      </c>
      <c r="AW1316" s="97" t="str">
        <f>IFERROR(__xludf.DUMMYFUNCTION("""COMPUTED_VALUE"""),"De Piso")</f>
        <v>De Piso</v>
      </c>
      <c r="AX1316" s="97" t="str">
        <f>IFERROR(__xludf.DUMMYFUNCTION("""COMPUTED_VALUE"""),"Exterior")</f>
        <v>Exterior</v>
      </c>
      <c r="AY1316" s="97" t="str">
        <f>IFERROR(__xludf.DUMMYFUNCTION("""COMPUTED_VALUE"""),"Chill")</f>
        <v>Chill</v>
      </c>
      <c r="AZ1316" s="97" t="str">
        <f>IFERROR(__xludf.DUMMYFUNCTION("""COMPUTED_VALUE"""),"Incluye estaca y lente 36° + 2 lentes intercambiables: 15° y 24°")</f>
        <v>Incluye estaca y lente 36° + 2 lentes intercambiables: 15° y 24°</v>
      </c>
      <c r="BA1316" s="97"/>
      <c r="BB1316" s="97" t="str">
        <f>IFERROR(__xludf.DUMMYFUNCTION("""COMPUTED_VALUE"""),"-")</f>
        <v>-</v>
      </c>
      <c r="BC1316" s="97" t="str">
        <f>IFERROR(__xludf.DUMMYFUNCTION("""COMPUTED_VALUE"""),"-")</f>
        <v>-</v>
      </c>
      <c r="BD1316" s="97" t="str">
        <f>IFERROR(__xludf.DUMMYFUNCTION("""COMPUTED_VALUE"""),"CHILL")</f>
        <v>CHILL</v>
      </c>
      <c r="BE1316" s="97" t="str">
        <f>IFERROR(__xludf.DUMMYFUNCTION("""COMPUTED_VALUE"""),"Solicitada")</f>
        <v>Solicitada</v>
      </c>
      <c r="BF1316" s="97"/>
      <c r="BG1316" s="97" t="str">
        <f>IFERROR(__xludf.DUMMYFUNCTION("""COMPUTED_VALUE"""),"REPO 6")</f>
        <v>REPO 6</v>
      </c>
    </row>
    <row r="1317">
      <c r="A1317" s="97">
        <f>IFERROR(__xludf.DUMMYFUNCTION("""COMPUTED_VALUE"""),7306.0)</f>
        <v>7306</v>
      </c>
      <c r="B1317" s="97" t="str">
        <f>IFERROR(__xludf.DUMMYFUNCTION("""COMPUTED_VALUE"""),"CHILL 10W 24V 2200K")</f>
        <v>CHILL 10W 24V 2200K</v>
      </c>
      <c r="C1317" s="97" t="str">
        <f>IFERROR(__xludf.DUMMYFUNCTION("""COMPUTED_VALUE"""),"PROYECTOR CHILL 10W 24V 2200K 10W 2200K 675LM CRI&gt;90 IP65 LEUK")</f>
        <v>PROYECTOR CHILL 10W 24V 2200K 10W 2200K 675LM CRI&gt;90 IP65 LEUK</v>
      </c>
      <c r="D1317" s="97">
        <f>IFERROR(__xludf.DUMMYFUNCTION("""COMPUTED_VALUE"""),7.798413228526E12)</f>
        <v>7798413228526</v>
      </c>
      <c r="E1317" s="97" t="str">
        <f>IFERROR(__xludf.DUMMYFUNCTION("""COMPUTED_VALUE"""),"N/A")</f>
        <v>N/A</v>
      </c>
      <c r="F1317" s="97" t="str">
        <f>IFERROR(__xludf.DUMMYFUNCTION("""COMPUTED_VALUE"""),"LED integrado")</f>
        <v>LED integrado</v>
      </c>
      <c r="G1317" s="97" t="str">
        <f>IFERROR(__xludf.DUMMYFUNCTION("""COMPUTED_VALUE"""),"Bridgelux")</f>
        <v>Bridgelux</v>
      </c>
      <c r="H1317" s="97" t="str">
        <f>IFERROR(__xludf.DUMMYFUNCTION("""COMPUTED_VALUE"""),"-")</f>
        <v>-</v>
      </c>
      <c r="I1317" s="97" t="str">
        <f>IFERROR(__xludf.DUMMYFUNCTION("""COMPUTED_VALUE"""),"N/A")</f>
        <v>N/A</v>
      </c>
      <c r="J1317" s="97" t="str">
        <f>IFERROR(__xludf.DUMMYFUNCTION("""COMPUTED_VALUE"""),"N/A")</f>
        <v>N/A</v>
      </c>
      <c r="K1317" s="97" t="str">
        <f>IFERROR(__xludf.DUMMYFUNCTION("""COMPUTED_VALUE"""),"ON/OFF")</f>
        <v>ON/OFF</v>
      </c>
      <c r="L1317" s="97" t="str">
        <f>IFERROR(__xludf.DUMMYFUNCTION("""COMPUTED_VALUE"""),"24Vdc")</f>
        <v>24Vdc</v>
      </c>
      <c r="M1317" s="97" t="str">
        <f>IFERROR(__xludf.DUMMYFUNCTION("""COMPUTED_VALUE"""),"N/A")</f>
        <v>N/A</v>
      </c>
      <c r="N1317" s="97" t="str">
        <f>IFERROR(__xludf.DUMMYFUNCTION("""COMPUTED_VALUE"""),"Directa")</f>
        <v>Directa</v>
      </c>
      <c r="O1317" s="97">
        <f>IFERROR(__xludf.DUMMYFUNCTION("""COMPUTED_VALUE"""),10.0)</f>
        <v>10</v>
      </c>
      <c r="P1317" s="97"/>
      <c r="Q1317" s="97" t="str">
        <f>IFERROR(__xludf.DUMMYFUNCTION("""COMPUTED_VALUE"""),"N/A")</f>
        <v>N/A</v>
      </c>
      <c r="R1317" s="97" t="str">
        <f>IFERROR(__xludf.DUMMYFUNCTION("""COMPUTED_VALUE"""),"-")</f>
        <v>-</v>
      </c>
      <c r="S1317" s="97" t="str">
        <f>IFERROR(__xludf.DUMMYFUNCTION("""COMPUTED_VALUE"""),"-")</f>
        <v>-</v>
      </c>
      <c r="T1317" s="97">
        <f>IFERROR(__xludf.DUMMYFUNCTION("""COMPUTED_VALUE"""),675.0)</f>
        <v>675</v>
      </c>
      <c r="U1317" s="99">
        <f>IFERROR(__xludf.DUMMYFUNCTION("""COMPUTED_VALUE"""),67.5)</f>
        <v>67.5</v>
      </c>
      <c r="V1317" s="97" t="str">
        <f>IFERROR(__xludf.DUMMYFUNCTION("""COMPUTED_VALUE"""),"15 / 24 / 36")</f>
        <v>15 / 24 / 36</v>
      </c>
      <c r="W1317" s="97" t="str">
        <f>IFERROR(__xludf.DUMMYFUNCTION("""COMPUTED_VALUE"""),"&lt; 16")</f>
        <v>&lt; 16</v>
      </c>
      <c r="X1317" s="97">
        <f>IFERROR(__xludf.DUMMYFUNCTION("""COMPUTED_VALUE"""),2200.0)</f>
        <v>2200</v>
      </c>
      <c r="Y1317" s="97" t="str">
        <f>IFERROR(__xludf.DUMMYFUNCTION("""COMPUTED_VALUE"""),"&gt;90")</f>
        <v>&gt;90</v>
      </c>
      <c r="Z1317" s="97"/>
      <c r="AA1317" s="97"/>
      <c r="AB1317" s="97"/>
      <c r="AC1317" s="97"/>
      <c r="AD1317" s="97" t="str">
        <f>IFERROR(__xludf.DUMMYFUNCTION("""COMPUTED_VALUE"""),"IP65")</f>
        <v>IP65</v>
      </c>
      <c r="AE1317" s="97" t="str">
        <f>IFERROR(__xludf.DUMMYFUNCTION("""COMPUTED_VALUE"""),"Clase lll")</f>
        <v>Clase lll</v>
      </c>
      <c r="AF1317" s="97" t="str">
        <f>IFERROR(__xludf.DUMMYFUNCTION("""COMPUTED_VALUE"""),"Aplicar, Estaca")</f>
        <v>Aplicar, Estaca</v>
      </c>
      <c r="AG1317" s="97" t="str">
        <f>IFERROR(__xludf.DUMMYFUNCTION("""COMPUTED_VALUE"""),"Ø60 x 135")</f>
        <v>Ø60 x 135</v>
      </c>
      <c r="AH1317" s="97" t="str">
        <f>IFERROR(__xludf.DUMMYFUNCTION("""COMPUTED_VALUE"""),"N/A")</f>
        <v>N/A</v>
      </c>
      <c r="AI1317" s="97" t="str">
        <f>IFERROR(__xludf.DUMMYFUNCTION("""COMPUTED_VALUE"""),"N/A")</f>
        <v>N/A</v>
      </c>
      <c r="AJ1317" s="97" t="str">
        <f>IFERROR(__xludf.DUMMYFUNCTION("""COMPUTED_VALUE"""),"Vidrio y Acrílico")</f>
        <v>Vidrio y Acrílico</v>
      </c>
      <c r="AK1317" s="97" t="str">
        <f>IFERROR(__xludf.DUMMYFUNCTION("""COMPUTED_VALUE"""),"Aluminio")</f>
        <v>Aluminio</v>
      </c>
      <c r="AL1317" s="97" t="str">
        <f>IFERROR(__xludf.DUMMYFUNCTION("""COMPUTED_VALUE"""),"Negro Satinado")</f>
        <v>Negro Satinado</v>
      </c>
      <c r="AM1317" s="97" t="str">
        <f>IFERROR(__xludf.DUMMYFUNCTION("""COMPUTED_VALUE"""),"-")</f>
        <v>-</v>
      </c>
      <c r="AN1317" s="97" t="str">
        <f>IFERROR(__xludf.DUMMYFUNCTION("""COMPUTED_VALUE"""),"25.000hs (L70)")</f>
        <v>25.000hs (L70)</v>
      </c>
      <c r="AO1317" s="97" t="str">
        <f>IFERROR(__xludf.DUMMYFUNCTION("""COMPUTED_VALUE"""),"2 Años")</f>
        <v>2 Años</v>
      </c>
      <c r="AP1317" s="97" t="str">
        <f>IFERROR(__xludf.DUMMYFUNCTION("""COMPUTED_VALUE"""),"Disponible")</f>
        <v>Disponible</v>
      </c>
      <c r="AQ1317" s="97" t="str">
        <f>IFERROR(__xludf.DUMMYFUNCTION("""COMPUTED_VALUE"""),"Disponible")</f>
        <v>Disponible</v>
      </c>
      <c r="AR1317" s="97" t="str">
        <f>IFERROR(__xludf.DUMMYFUNCTION("""COMPUTED_VALUE"""),"Disponible")</f>
        <v>Disponible</v>
      </c>
      <c r="AS1317" s="97" t="str">
        <f>IFERROR(__xludf.DUMMYFUNCTION("""COMPUTED_VALUE"""),"Disponible")</f>
        <v>Disponible</v>
      </c>
      <c r="AT1317" s="97" t="str">
        <f>IFERROR(__xludf.DUMMYFUNCTION("""COMPUTED_VALUE"""),"Disponible")</f>
        <v>Disponible</v>
      </c>
      <c r="AU1317" s="97" t="str">
        <f>IFERROR(__xludf.DUMMYFUNCTION("""COMPUTED_VALUE"""),"Disponible")</f>
        <v>Disponible</v>
      </c>
      <c r="AV1317" s="97" t="str">
        <f>IFERROR(__xludf.DUMMYFUNCTION("""COMPUTED_VALUE"""),"Proyector")</f>
        <v>Proyector</v>
      </c>
      <c r="AW1317" s="97" t="str">
        <f>IFERROR(__xludf.DUMMYFUNCTION("""COMPUTED_VALUE"""),"De Piso")</f>
        <v>De Piso</v>
      </c>
      <c r="AX1317" s="97" t="str">
        <f>IFERROR(__xludf.DUMMYFUNCTION("""COMPUTED_VALUE"""),"Exterior")</f>
        <v>Exterior</v>
      </c>
      <c r="AY1317" s="97" t="str">
        <f>IFERROR(__xludf.DUMMYFUNCTION("""COMPUTED_VALUE"""),"Chill")</f>
        <v>Chill</v>
      </c>
      <c r="AZ1317" s="97" t="str">
        <f>IFERROR(__xludf.DUMMYFUNCTION("""COMPUTED_VALUE"""),"Incluye estaca y lente 36° + 2 lentes intercambiables: 15° y 24°")</f>
        <v>Incluye estaca y lente 36° + 2 lentes intercambiables: 15° y 24°</v>
      </c>
      <c r="BA1317" s="97"/>
      <c r="BB1317" s="97" t="str">
        <f>IFERROR(__xludf.DUMMYFUNCTION("""COMPUTED_VALUE"""),"-")</f>
        <v>-</v>
      </c>
      <c r="BC1317" s="97" t="str">
        <f>IFERROR(__xludf.DUMMYFUNCTION("""COMPUTED_VALUE"""),"-")</f>
        <v>-</v>
      </c>
      <c r="BD1317" s="97" t="str">
        <f>IFERROR(__xludf.DUMMYFUNCTION("""COMPUTED_VALUE"""),"CHILL")</f>
        <v>CHILL</v>
      </c>
      <c r="BE1317" s="97" t="str">
        <f>IFERROR(__xludf.DUMMYFUNCTION("""COMPUTED_VALUE"""),"Solicitada")</f>
        <v>Solicitada</v>
      </c>
      <c r="BF1317" s="97"/>
      <c r="BG1317" s="97" t="str">
        <f>IFERROR(__xludf.DUMMYFUNCTION("""COMPUTED_VALUE"""),"REPO 6")</f>
        <v>REPO 6</v>
      </c>
    </row>
    <row r="1318">
      <c r="A1318" s="97">
        <f>IFERROR(__xludf.DUMMYFUNCTION("""COMPUTED_VALUE"""),7307.0)</f>
        <v>7307</v>
      </c>
      <c r="B1318" s="97" t="str">
        <f>IFERROR(__xludf.DUMMYFUNCTION("""COMPUTED_VALUE"""),"CHILL 20W 220V 2200K")</f>
        <v>CHILL 20W 220V 2200K</v>
      </c>
      <c r="C1318" s="97" t="str">
        <f>IFERROR(__xludf.DUMMYFUNCTION("""COMPUTED_VALUE"""),"PROYECTOR CHILL 20W 220V 2200K 20W 2200K 1075LM CRI&gt;90 IP65 LEUK")</f>
        <v>PROYECTOR CHILL 20W 220V 2200K 20W 2200K 1075LM CRI&gt;90 IP65 LEUK</v>
      </c>
      <c r="D1318" s="97">
        <f>IFERROR(__xludf.DUMMYFUNCTION("""COMPUTED_VALUE"""),7.798413228533E12)</f>
        <v>7798413228533</v>
      </c>
      <c r="E1318" s="97"/>
      <c r="F1318" s="97" t="str">
        <f>IFERROR(__xludf.DUMMYFUNCTION("""COMPUTED_VALUE"""),"LED integrado")</f>
        <v>LED integrado</v>
      </c>
      <c r="G1318" s="97" t="str">
        <f>IFERROR(__xludf.DUMMYFUNCTION("""COMPUTED_VALUE"""),"Bridgelux")</f>
        <v>Bridgelux</v>
      </c>
      <c r="H1318" s="97" t="str">
        <f>IFERROR(__xludf.DUMMYFUNCTION("""COMPUTED_VALUE"""),"-")</f>
        <v>-</v>
      </c>
      <c r="I1318" s="97"/>
      <c r="J1318" s="97"/>
      <c r="K1318" s="97" t="str">
        <f>IFERROR(__xludf.DUMMYFUNCTION("""COMPUTED_VALUE"""),"ON/OFF")</f>
        <v>ON/OFF</v>
      </c>
      <c r="L1318" s="97" t="str">
        <f>IFERROR(__xludf.DUMMYFUNCTION("""COMPUTED_VALUE"""),"220-240")</f>
        <v>220-240</v>
      </c>
      <c r="M1318" s="97" t="str">
        <f>IFERROR(__xludf.DUMMYFUNCTION("""COMPUTED_VALUE"""),"50/60")</f>
        <v>50/60</v>
      </c>
      <c r="N1318" s="97" t="str">
        <f>IFERROR(__xludf.DUMMYFUNCTION("""COMPUTED_VALUE"""),"Directa")</f>
        <v>Directa</v>
      </c>
      <c r="O1318" s="97">
        <f>IFERROR(__xludf.DUMMYFUNCTION("""COMPUTED_VALUE"""),20.0)</f>
        <v>20</v>
      </c>
      <c r="P1318" s="97"/>
      <c r="Q1318" s="97">
        <f>IFERROR(__xludf.DUMMYFUNCTION("""COMPUTED_VALUE"""),0.5)</f>
        <v>0.5</v>
      </c>
      <c r="R1318" s="97" t="str">
        <f>IFERROR(__xludf.DUMMYFUNCTION("""COMPUTED_VALUE"""),"-")</f>
        <v>-</v>
      </c>
      <c r="S1318" s="97" t="str">
        <f>IFERROR(__xludf.DUMMYFUNCTION("""COMPUTED_VALUE"""),"-")</f>
        <v>-</v>
      </c>
      <c r="T1318" s="97">
        <f>IFERROR(__xludf.DUMMYFUNCTION("""COMPUTED_VALUE"""),1075.0)</f>
        <v>1075</v>
      </c>
      <c r="U1318" s="99">
        <f>IFERROR(__xludf.DUMMYFUNCTION("""COMPUTED_VALUE"""),53.75)</f>
        <v>53.75</v>
      </c>
      <c r="V1318" s="97" t="str">
        <f>IFERROR(__xludf.DUMMYFUNCTION("""COMPUTED_VALUE"""),"15 / 24 / 36")</f>
        <v>15 / 24 / 36</v>
      </c>
      <c r="W1318" s="97" t="str">
        <f>IFERROR(__xludf.DUMMYFUNCTION("""COMPUTED_VALUE"""),"&lt; 16")</f>
        <v>&lt; 16</v>
      </c>
      <c r="X1318" s="97">
        <f>IFERROR(__xludf.DUMMYFUNCTION("""COMPUTED_VALUE"""),2200.0)</f>
        <v>2200</v>
      </c>
      <c r="Y1318" s="97" t="str">
        <f>IFERROR(__xludf.DUMMYFUNCTION("""COMPUTED_VALUE"""),"&gt;90")</f>
        <v>&gt;90</v>
      </c>
      <c r="Z1318" s="97"/>
      <c r="AA1318" s="97"/>
      <c r="AB1318" s="97"/>
      <c r="AC1318" s="97"/>
      <c r="AD1318" s="97" t="str">
        <f>IFERROR(__xludf.DUMMYFUNCTION("""COMPUTED_VALUE"""),"IP65")</f>
        <v>IP65</v>
      </c>
      <c r="AE1318" s="97" t="str">
        <f>IFERROR(__xludf.DUMMYFUNCTION("""COMPUTED_VALUE"""),"Clase l")</f>
        <v>Clase l</v>
      </c>
      <c r="AF1318" s="97" t="str">
        <f>IFERROR(__xludf.DUMMYFUNCTION("""COMPUTED_VALUE"""),"Aplicar, Estaca")</f>
        <v>Aplicar, Estaca</v>
      </c>
      <c r="AG1318" s="97" t="str">
        <f>IFERROR(__xludf.DUMMYFUNCTION("""COMPUTED_VALUE"""),"Ø75 x 165")</f>
        <v>Ø75 x 165</v>
      </c>
      <c r="AH1318" s="97" t="str">
        <f>IFERROR(__xludf.DUMMYFUNCTION("""COMPUTED_VALUE"""),"N/A")</f>
        <v>N/A</v>
      </c>
      <c r="AI1318" s="97" t="str">
        <f>IFERROR(__xludf.DUMMYFUNCTION("""COMPUTED_VALUE"""),"N/A")</f>
        <v>N/A</v>
      </c>
      <c r="AJ1318" s="97" t="str">
        <f>IFERROR(__xludf.DUMMYFUNCTION("""COMPUTED_VALUE"""),"Vidrio y Acrílico")</f>
        <v>Vidrio y Acrílico</v>
      </c>
      <c r="AK1318" s="97" t="str">
        <f>IFERROR(__xludf.DUMMYFUNCTION("""COMPUTED_VALUE"""),"Aluminio")</f>
        <v>Aluminio</v>
      </c>
      <c r="AL1318" s="97" t="str">
        <f>IFERROR(__xludf.DUMMYFUNCTION("""COMPUTED_VALUE"""),"Negro Satinado")</f>
        <v>Negro Satinado</v>
      </c>
      <c r="AM1318" s="97" t="str">
        <f>IFERROR(__xludf.DUMMYFUNCTION("""COMPUTED_VALUE"""),"-")</f>
        <v>-</v>
      </c>
      <c r="AN1318" s="97" t="str">
        <f>IFERROR(__xludf.DUMMYFUNCTION("""COMPUTED_VALUE"""),"25.000hs (L70)")</f>
        <v>25.000hs (L70)</v>
      </c>
      <c r="AO1318" s="97" t="str">
        <f>IFERROR(__xludf.DUMMYFUNCTION("""COMPUTED_VALUE"""),"2 Años")</f>
        <v>2 Años</v>
      </c>
      <c r="AP1318" s="97" t="str">
        <f>IFERROR(__xludf.DUMMYFUNCTION("""COMPUTED_VALUE"""),"Disponible")</f>
        <v>Disponible</v>
      </c>
      <c r="AQ1318" s="97" t="str">
        <f>IFERROR(__xludf.DUMMYFUNCTION("""COMPUTED_VALUE"""),"Disponible")</f>
        <v>Disponible</v>
      </c>
      <c r="AR1318" s="97" t="str">
        <f>IFERROR(__xludf.DUMMYFUNCTION("""COMPUTED_VALUE"""),"Disponible")</f>
        <v>Disponible</v>
      </c>
      <c r="AS1318" s="97" t="str">
        <f>IFERROR(__xludf.DUMMYFUNCTION("""COMPUTED_VALUE"""),"Disponible")</f>
        <v>Disponible</v>
      </c>
      <c r="AT1318" s="97" t="str">
        <f>IFERROR(__xludf.DUMMYFUNCTION("""COMPUTED_VALUE"""),"Disponible")</f>
        <v>Disponible</v>
      </c>
      <c r="AU1318" s="97" t="str">
        <f>IFERROR(__xludf.DUMMYFUNCTION("""COMPUTED_VALUE"""),"Disponible")</f>
        <v>Disponible</v>
      </c>
      <c r="AV1318" s="97" t="str">
        <f>IFERROR(__xludf.DUMMYFUNCTION("""COMPUTED_VALUE"""),"Proyector")</f>
        <v>Proyector</v>
      </c>
      <c r="AW1318" s="97" t="str">
        <f>IFERROR(__xludf.DUMMYFUNCTION("""COMPUTED_VALUE"""),"De Piso")</f>
        <v>De Piso</v>
      </c>
      <c r="AX1318" s="97" t="str">
        <f>IFERROR(__xludf.DUMMYFUNCTION("""COMPUTED_VALUE"""),"Exterior")</f>
        <v>Exterior</v>
      </c>
      <c r="AY1318" s="97" t="str">
        <f>IFERROR(__xludf.DUMMYFUNCTION("""COMPUTED_VALUE"""),"Chill")</f>
        <v>Chill</v>
      </c>
      <c r="AZ1318" s="97" t="str">
        <f>IFERROR(__xludf.DUMMYFUNCTION("""COMPUTED_VALUE"""),"Incluye estaca y lente 36° + 2 lentes intercambiables: 15° y 24°")</f>
        <v>Incluye estaca y lente 36° + 2 lentes intercambiables: 15° y 24°</v>
      </c>
      <c r="BA1318" s="97"/>
      <c r="BB1318" s="97" t="str">
        <f>IFERROR(__xludf.DUMMYFUNCTION("""COMPUTED_VALUE"""),"-")</f>
        <v>-</v>
      </c>
      <c r="BC1318" s="97" t="str">
        <f>IFERROR(__xludf.DUMMYFUNCTION("""COMPUTED_VALUE"""),"-")</f>
        <v>-</v>
      </c>
      <c r="BD1318" s="97" t="str">
        <f>IFERROR(__xludf.DUMMYFUNCTION("""COMPUTED_VALUE"""),"CHILL")</f>
        <v>CHILL</v>
      </c>
      <c r="BE1318" s="97" t="str">
        <f>IFERROR(__xludf.DUMMYFUNCTION("""COMPUTED_VALUE"""),"Solicitada")</f>
        <v>Solicitada</v>
      </c>
      <c r="BF1318" s="97"/>
      <c r="BG1318" s="97" t="str">
        <f>IFERROR(__xludf.DUMMYFUNCTION("""COMPUTED_VALUE"""),"REPO 6")</f>
        <v>REPO 6</v>
      </c>
    </row>
    <row r="1319">
      <c r="A1319" s="97">
        <f>IFERROR(__xludf.DUMMYFUNCTION("""COMPUTED_VALUE"""),7308.0)</f>
        <v>7308</v>
      </c>
      <c r="B1319" s="97" t="str">
        <f>IFERROR(__xludf.DUMMYFUNCTION("""COMPUTED_VALUE"""),"CHILL 20W 24V 2200K")</f>
        <v>CHILL 20W 24V 2200K</v>
      </c>
      <c r="C1319" s="97" t="str">
        <f>IFERROR(__xludf.DUMMYFUNCTION("""COMPUTED_VALUE"""),"PROYECTOR CHILL 20W 24V 2200K 20W 2200K 1075LM CRI&gt;90 IP65 LEUK")</f>
        <v>PROYECTOR CHILL 20W 24V 2200K 20W 2200K 1075LM CRI&gt;90 IP65 LEUK</v>
      </c>
      <c r="D1319" s="97">
        <f>IFERROR(__xludf.DUMMYFUNCTION("""COMPUTED_VALUE"""),7.79841322854E12)</f>
        <v>7798413228540</v>
      </c>
      <c r="E1319" s="97" t="str">
        <f>IFERROR(__xludf.DUMMYFUNCTION("""COMPUTED_VALUE"""),"N/A")</f>
        <v>N/A</v>
      </c>
      <c r="F1319" s="97" t="str">
        <f>IFERROR(__xludf.DUMMYFUNCTION("""COMPUTED_VALUE"""),"LED integrado")</f>
        <v>LED integrado</v>
      </c>
      <c r="G1319" s="97" t="str">
        <f>IFERROR(__xludf.DUMMYFUNCTION("""COMPUTED_VALUE"""),"Bridgelux")</f>
        <v>Bridgelux</v>
      </c>
      <c r="H1319" s="97" t="str">
        <f>IFERROR(__xludf.DUMMYFUNCTION("""COMPUTED_VALUE"""),"-")</f>
        <v>-</v>
      </c>
      <c r="I1319" s="97" t="str">
        <f>IFERROR(__xludf.DUMMYFUNCTION("""COMPUTED_VALUE"""),"N/A")</f>
        <v>N/A</v>
      </c>
      <c r="J1319" s="97" t="str">
        <f>IFERROR(__xludf.DUMMYFUNCTION("""COMPUTED_VALUE"""),"N/A")</f>
        <v>N/A</v>
      </c>
      <c r="K1319" s="97" t="str">
        <f>IFERROR(__xludf.DUMMYFUNCTION("""COMPUTED_VALUE"""),"ON/OFF")</f>
        <v>ON/OFF</v>
      </c>
      <c r="L1319" s="97" t="str">
        <f>IFERROR(__xludf.DUMMYFUNCTION("""COMPUTED_VALUE"""),"24Vdc")</f>
        <v>24Vdc</v>
      </c>
      <c r="M1319" s="97" t="str">
        <f>IFERROR(__xludf.DUMMYFUNCTION("""COMPUTED_VALUE"""),"N/A")</f>
        <v>N/A</v>
      </c>
      <c r="N1319" s="97" t="str">
        <f>IFERROR(__xludf.DUMMYFUNCTION("""COMPUTED_VALUE"""),"Directa")</f>
        <v>Directa</v>
      </c>
      <c r="O1319" s="97">
        <f>IFERROR(__xludf.DUMMYFUNCTION("""COMPUTED_VALUE"""),20.0)</f>
        <v>20</v>
      </c>
      <c r="P1319" s="97"/>
      <c r="Q1319" s="97" t="str">
        <f>IFERROR(__xludf.DUMMYFUNCTION("""COMPUTED_VALUE"""),"N/A")</f>
        <v>N/A</v>
      </c>
      <c r="R1319" s="97" t="str">
        <f>IFERROR(__xludf.DUMMYFUNCTION("""COMPUTED_VALUE"""),"-")</f>
        <v>-</v>
      </c>
      <c r="S1319" s="97" t="str">
        <f>IFERROR(__xludf.DUMMYFUNCTION("""COMPUTED_VALUE"""),"-")</f>
        <v>-</v>
      </c>
      <c r="T1319" s="97">
        <f>IFERROR(__xludf.DUMMYFUNCTION("""COMPUTED_VALUE"""),1075.0)</f>
        <v>1075</v>
      </c>
      <c r="U1319" s="99">
        <f>IFERROR(__xludf.DUMMYFUNCTION("""COMPUTED_VALUE"""),53.75)</f>
        <v>53.75</v>
      </c>
      <c r="V1319" s="97" t="str">
        <f>IFERROR(__xludf.DUMMYFUNCTION("""COMPUTED_VALUE"""),"15 / 24 / 36")</f>
        <v>15 / 24 / 36</v>
      </c>
      <c r="W1319" s="97" t="str">
        <f>IFERROR(__xludf.DUMMYFUNCTION("""COMPUTED_VALUE"""),"&lt; 16")</f>
        <v>&lt; 16</v>
      </c>
      <c r="X1319" s="97">
        <f>IFERROR(__xludf.DUMMYFUNCTION("""COMPUTED_VALUE"""),2200.0)</f>
        <v>2200</v>
      </c>
      <c r="Y1319" s="97" t="str">
        <f>IFERROR(__xludf.DUMMYFUNCTION("""COMPUTED_VALUE"""),"&gt;90")</f>
        <v>&gt;90</v>
      </c>
      <c r="Z1319" s="97"/>
      <c r="AA1319" s="97"/>
      <c r="AB1319" s="97"/>
      <c r="AC1319" s="97"/>
      <c r="AD1319" s="97" t="str">
        <f>IFERROR(__xludf.DUMMYFUNCTION("""COMPUTED_VALUE"""),"IP65")</f>
        <v>IP65</v>
      </c>
      <c r="AE1319" s="97" t="str">
        <f>IFERROR(__xludf.DUMMYFUNCTION("""COMPUTED_VALUE"""),"Clase lll")</f>
        <v>Clase lll</v>
      </c>
      <c r="AF1319" s="97" t="str">
        <f>IFERROR(__xludf.DUMMYFUNCTION("""COMPUTED_VALUE"""),"Aplicar, Estaca")</f>
        <v>Aplicar, Estaca</v>
      </c>
      <c r="AG1319" s="97" t="str">
        <f>IFERROR(__xludf.DUMMYFUNCTION("""COMPUTED_VALUE"""),"Ø75 x 165")</f>
        <v>Ø75 x 165</v>
      </c>
      <c r="AH1319" s="97" t="str">
        <f>IFERROR(__xludf.DUMMYFUNCTION("""COMPUTED_VALUE"""),"N/A")</f>
        <v>N/A</v>
      </c>
      <c r="AI1319" s="97" t="str">
        <f>IFERROR(__xludf.DUMMYFUNCTION("""COMPUTED_VALUE"""),"N/A")</f>
        <v>N/A</v>
      </c>
      <c r="AJ1319" s="97" t="str">
        <f>IFERROR(__xludf.DUMMYFUNCTION("""COMPUTED_VALUE"""),"Vidrio y Acrílico")</f>
        <v>Vidrio y Acrílico</v>
      </c>
      <c r="AK1319" s="97" t="str">
        <f>IFERROR(__xludf.DUMMYFUNCTION("""COMPUTED_VALUE"""),"Aluminio")</f>
        <v>Aluminio</v>
      </c>
      <c r="AL1319" s="97" t="str">
        <f>IFERROR(__xludf.DUMMYFUNCTION("""COMPUTED_VALUE"""),"Negro Satinado")</f>
        <v>Negro Satinado</v>
      </c>
      <c r="AM1319" s="97" t="str">
        <f>IFERROR(__xludf.DUMMYFUNCTION("""COMPUTED_VALUE"""),"-")</f>
        <v>-</v>
      </c>
      <c r="AN1319" s="97" t="str">
        <f>IFERROR(__xludf.DUMMYFUNCTION("""COMPUTED_VALUE"""),"25.000hs (L70)")</f>
        <v>25.000hs (L70)</v>
      </c>
      <c r="AO1319" s="97" t="str">
        <f>IFERROR(__xludf.DUMMYFUNCTION("""COMPUTED_VALUE"""),"2 Años")</f>
        <v>2 Años</v>
      </c>
      <c r="AP1319" s="97" t="str">
        <f>IFERROR(__xludf.DUMMYFUNCTION("""COMPUTED_VALUE"""),"Disponible")</f>
        <v>Disponible</v>
      </c>
      <c r="AQ1319" s="97" t="str">
        <f>IFERROR(__xludf.DUMMYFUNCTION("""COMPUTED_VALUE"""),"Disponible")</f>
        <v>Disponible</v>
      </c>
      <c r="AR1319" s="97" t="str">
        <f>IFERROR(__xludf.DUMMYFUNCTION("""COMPUTED_VALUE"""),"Disponible")</f>
        <v>Disponible</v>
      </c>
      <c r="AS1319" s="97" t="str">
        <f>IFERROR(__xludf.DUMMYFUNCTION("""COMPUTED_VALUE"""),"Disponible")</f>
        <v>Disponible</v>
      </c>
      <c r="AT1319" s="97" t="str">
        <f>IFERROR(__xludf.DUMMYFUNCTION("""COMPUTED_VALUE"""),"Disponible")</f>
        <v>Disponible</v>
      </c>
      <c r="AU1319" s="97" t="str">
        <f>IFERROR(__xludf.DUMMYFUNCTION("""COMPUTED_VALUE"""),"Disponible")</f>
        <v>Disponible</v>
      </c>
      <c r="AV1319" s="97" t="str">
        <f>IFERROR(__xludf.DUMMYFUNCTION("""COMPUTED_VALUE"""),"Proyector")</f>
        <v>Proyector</v>
      </c>
      <c r="AW1319" s="97" t="str">
        <f>IFERROR(__xludf.DUMMYFUNCTION("""COMPUTED_VALUE"""),"De Piso")</f>
        <v>De Piso</v>
      </c>
      <c r="AX1319" s="97" t="str">
        <f>IFERROR(__xludf.DUMMYFUNCTION("""COMPUTED_VALUE"""),"Exterior")</f>
        <v>Exterior</v>
      </c>
      <c r="AY1319" s="97" t="str">
        <f>IFERROR(__xludf.DUMMYFUNCTION("""COMPUTED_VALUE"""),"Chill")</f>
        <v>Chill</v>
      </c>
      <c r="AZ1319" s="97" t="str">
        <f>IFERROR(__xludf.DUMMYFUNCTION("""COMPUTED_VALUE"""),"Incluye estaca y lente 36° + 2 lentes intercambiables: 15° y 24°")</f>
        <v>Incluye estaca y lente 36° + 2 lentes intercambiables: 15° y 24°</v>
      </c>
      <c r="BA1319" s="97"/>
      <c r="BB1319" s="97" t="str">
        <f>IFERROR(__xludf.DUMMYFUNCTION("""COMPUTED_VALUE"""),"-")</f>
        <v>-</v>
      </c>
      <c r="BC1319" s="97" t="str">
        <f>IFERROR(__xludf.DUMMYFUNCTION("""COMPUTED_VALUE"""),"-")</f>
        <v>-</v>
      </c>
      <c r="BD1319" s="97" t="str">
        <f>IFERROR(__xludf.DUMMYFUNCTION("""COMPUTED_VALUE"""),"CHILL")</f>
        <v>CHILL</v>
      </c>
      <c r="BE1319" s="97" t="str">
        <f>IFERROR(__xludf.DUMMYFUNCTION("""COMPUTED_VALUE"""),"Solicitada")</f>
        <v>Solicitada</v>
      </c>
      <c r="BF1319" s="97"/>
      <c r="BG1319" s="97" t="str">
        <f>IFERROR(__xludf.DUMMYFUNCTION("""COMPUTED_VALUE"""),"REPO 6")</f>
        <v>REPO 6</v>
      </c>
    </row>
    <row r="1320">
      <c r="A1320" s="97">
        <f>IFERROR(__xludf.DUMMYFUNCTION("""COMPUTED_VALUE"""),7309.0)</f>
        <v>7309</v>
      </c>
      <c r="B1320" s="97" t="str">
        <f>IFERROR(__xludf.DUMMYFUNCTION("""COMPUTED_VALUE"""),"LUVA NG")</f>
        <v>LUVA NG</v>
      </c>
      <c r="C1320" s="97" t="str">
        <f>IFERROR(__xludf.DUMMYFUNCTION("""COMPUTED_VALUE"""),"APLIQUE LUVA NG 30W 3000K 3400LM CRI&gt;90 IP20 LEUK")</f>
        <v>APLIQUE LUVA NG 30W 3000K 3400LM CRI&gt;90 IP20 LEUK</v>
      </c>
      <c r="D1320" s="97">
        <f>IFERROR(__xludf.DUMMYFUNCTION("""COMPUTED_VALUE"""),7.798413228472E12)</f>
        <v>7798413228472</v>
      </c>
      <c r="E1320" s="97" t="str">
        <f>IFERROR(__xludf.DUMMYFUNCTION("""COMPUTED_VALUE"""),"A131")</f>
        <v>A131</v>
      </c>
      <c r="F1320" s="97" t="str">
        <f>IFERROR(__xludf.DUMMYFUNCTION("""COMPUTED_VALUE"""),"LED SMD3030")</f>
        <v>LED SMD3030</v>
      </c>
      <c r="G1320" s="97" t="str">
        <f>IFERROR(__xludf.DUMMYFUNCTION("""COMPUTED_VALUE"""),"Lumileds")</f>
        <v>Lumileds</v>
      </c>
      <c r="H1320" s="97" t="str">
        <f>IFERROR(__xludf.DUMMYFUNCTION("""COMPUTED_VALUE"""),"AcTEC")</f>
        <v>AcTEC</v>
      </c>
      <c r="I1320" s="97" t="str">
        <f>IFERROR(__xludf.DUMMYFUNCTION("""COMPUTED_VALUE"""),"Si")</f>
        <v>Si</v>
      </c>
      <c r="J1320" s="97" t="str">
        <f>IFERROR(__xludf.DUMMYFUNCTION("""COMPUTED_VALUE"""),"700mA - 39V")</f>
        <v>700mA - 39V</v>
      </c>
      <c r="K1320" s="97" t="str">
        <f>IFERROR(__xludf.DUMMYFUNCTION("""COMPUTED_VALUE"""),"TRIAC")</f>
        <v>TRIAC</v>
      </c>
      <c r="L1320" s="97" t="str">
        <f>IFERROR(__xludf.DUMMYFUNCTION("""COMPUTED_VALUE"""),"220-240")</f>
        <v>220-240</v>
      </c>
      <c r="M1320" s="97" t="str">
        <f>IFERROR(__xludf.DUMMYFUNCTION("""COMPUTED_VALUE"""),"50/60")</f>
        <v>50/60</v>
      </c>
      <c r="N1320" s="97" t="str">
        <f>IFERROR(__xludf.DUMMYFUNCTION("""COMPUTED_VALUE"""),"Indirecta")</f>
        <v>Indirecta</v>
      </c>
      <c r="O1320" s="97">
        <f>IFERROR(__xludf.DUMMYFUNCTION("""COMPUTED_VALUE"""),30.0)</f>
        <v>30</v>
      </c>
      <c r="P1320" s="97">
        <f>IFERROR(__xludf.DUMMYFUNCTION("""COMPUTED_VALUE"""),31.02)</f>
        <v>31.02</v>
      </c>
      <c r="Q1320" s="97">
        <f>IFERROR(__xludf.DUMMYFUNCTION("""COMPUTED_VALUE"""),0.95)</f>
        <v>0.95</v>
      </c>
      <c r="R1320" s="97" t="str">
        <f>IFERROR(__xludf.DUMMYFUNCTION("""COMPUTED_VALUE"""),"-")</f>
        <v>-</v>
      </c>
      <c r="S1320" s="97" t="str">
        <f>IFERROR(__xludf.DUMMYFUNCTION("""COMPUTED_VALUE"""),"-")</f>
        <v>-</v>
      </c>
      <c r="T1320" s="97">
        <f>IFERROR(__xludf.DUMMYFUNCTION("""COMPUTED_VALUE"""),3400.0)</f>
        <v>3400</v>
      </c>
      <c r="U1320" s="99">
        <f>IFERROR(__xludf.DUMMYFUNCTION("""COMPUTED_VALUE"""),113.33333333333333)</f>
        <v>113.3333333</v>
      </c>
      <c r="V1320" s="97">
        <f>IFERROR(__xludf.DUMMYFUNCTION("""COMPUTED_VALUE"""),165.0)</f>
        <v>165</v>
      </c>
      <c r="W1320" s="97" t="str">
        <f>IFERROR(__xludf.DUMMYFUNCTION("""COMPUTED_VALUE"""),"N/A")</f>
        <v>N/A</v>
      </c>
      <c r="X1320" s="97">
        <f>IFERROR(__xludf.DUMMYFUNCTION("""COMPUTED_VALUE"""),3000.0)</f>
        <v>3000</v>
      </c>
      <c r="Y1320" s="97" t="str">
        <f>IFERROR(__xludf.DUMMYFUNCTION("""COMPUTED_VALUE"""),"&gt;90")</f>
        <v>&gt;90</v>
      </c>
      <c r="Z1320" s="97" t="str">
        <f>IFERROR(__xludf.DUMMYFUNCTION("""COMPUTED_VALUE"""),"-")</f>
        <v>-</v>
      </c>
      <c r="AA1320" s="97" t="str">
        <f>IFERROR(__xludf.DUMMYFUNCTION("""COMPUTED_VALUE"""),"-")</f>
        <v>-</v>
      </c>
      <c r="AB1320" s="97" t="str">
        <f>IFERROR(__xludf.DUMMYFUNCTION("""COMPUTED_VALUE"""),"&lt; 3")</f>
        <v>&lt; 3</v>
      </c>
      <c r="AC1320" s="102">
        <f>IFERROR(__xludf.DUMMYFUNCTION("""COMPUTED_VALUE"""),-0.0018)</f>
        <v>-0.0018</v>
      </c>
      <c r="AD1320" s="97" t="str">
        <f>IFERROR(__xludf.DUMMYFUNCTION("""COMPUTED_VALUE"""),"IP20")</f>
        <v>IP20</v>
      </c>
      <c r="AE1320" s="97" t="str">
        <f>IFERROR(__xludf.DUMMYFUNCTION("""COMPUTED_VALUE"""),"Clase l")</f>
        <v>Clase l</v>
      </c>
      <c r="AF1320" s="97" t="str">
        <f>IFERROR(__xludf.DUMMYFUNCTION("""COMPUTED_VALUE"""),"Aplicar")</f>
        <v>Aplicar</v>
      </c>
      <c r="AG1320" s="97" t="str">
        <f>IFERROR(__xludf.DUMMYFUNCTION("""COMPUTED_VALUE"""),"Ø500 x 500")</f>
        <v>Ø500 x 500</v>
      </c>
      <c r="AH1320" s="97" t="str">
        <f>IFERROR(__xludf.DUMMYFUNCTION("""COMPUTED_VALUE"""),"N/A")</f>
        <v>N/A</v>
      </c>
      <c r="AI1320" s="97" t="str">
        <f>IFERROR(__xludf.DUMMYFUNCTION("""COMPUTED_VALUE"""),"N/A")</f>
        <v>N/A</v>
      </c>
      <c r="AJ1320" s="97" t="str">
        <f>IFERROR(__xludf.DUMMYFUNCTION("""COMPUTED_VALUE"""),"Policarbonato (PC)")</f>
        <v>Policarbonato (PC)</v>
      </c>
      <c r="AK1320" s="97" t="str">
        <f>IFERROR(__xludf.DUMMYFUNCTION("""COMPUTED_VALUE"""),"Aluminio")</f>
        <v>Aluminio</v>
      </c>
      <c r="AL1320" s="97" t="str">
        <f>IFERROR(__xludf.DUMMYFUNCTION("""COMPUTED_VALUE"""),"Negro Satinado")</f>
        <v>Negro Satinado</v>
      </c>
      <c r="AM1320" s="97" t="str">
        <f>IFERROR(__xludf.DUMMYFUNCTION("""COMPUTED_VALUE"""),"-")</f>
        <v>-</v>
      </c>
      <c r="AN1320" s="97" t="str">
        <f>IFERROR(__xludf.DUMMYFUNCTION("""COMPUTED_VALUE"""),"30.000hs (L70)")</f>
        <v>30.000hs (L70)</v>
      </c>
      <c r="AO1320" s="97" t="str">
        <f>IFERROR(__xludf.DUMMYFUNCTION("""COMPUTED_VALUE"""),"3 Años")</f>
        <v>3 Años</v>
      </c>
      <c r="AP1320" s="97" t="str">
        <f>IFERROR(__xludf.DUMMYFUNCTION("""COMPUTED_VALUE"""),"Disponible")</f>
        <v>Disponible</v>
      </c>
      <c r="AQ1320" s="97" t="str">
        <f>IFERROR(__xludf.DUMMYFUNCTION("""COMPUTED_VALUE"""),"Disponible")</f>
        <v>Disponible</v>
      </c>
      <c r="AR1320" s="97" t="str">
        <f>IFERROR(__xludf.DUMMYFUNCTION("""COMPUTED_VALUE"""),"Disponible")</f>
        <v>Disponible</v>
      </c>
      <c r="AS1320" s="97" t="str">
        <f>IFERROR(__xludf.DUMMYFUNCTION("""COMPUTED_VALUE"""),"Disponible")</f>
        <v>Disponible</v>
      </c>
      <c r="AT1320" s="97" t="str">
        <f>IFERROR(__xludf.DUMMYFUNCTION("""COMPUTED_VALUE"""),"Disponible")</f>
        <v>Disponible</v>
      </c>
      <c r="AU1320" s="97" t="str">
        <f>IFERROR(__xludf.DUMMYFUNCTION("""COMPUTED_VALUE"""),"Disponible")</f>
        <v>Disponible</v>
      </c>
      <c r="AV1320" s="97" t="str">
        <f>IFERROR(__xludf.DUMMYFUNCTION("""COMPUTED_VALUE"""),"Aplique")</f>
        <v>Aplique</v>
      </c>
      <c r="AW1320" s="97" t="str">
        <f>IFERROR(__xludf.DUMMYFUNCTION("""COMPUTED_VALUE"""),"De Techo")</f>
        <v>De Techo</v>
      </c>
      <c r="AX1320" s="97" t="str">
        <f>IFERROR(__xludf.DUMMYFUNCTION("""COMPUTED_VALUE"""),"Interior")</f>
        <v>Interior</v>
      </c>
      <c r="AY1320" s="97" t="str">
        <f>IFERROR(__xludf.DUMMYFUNCTION("""COMPUTED_VALUE"""),"-")</f>
        <v>-</v>
      </c>
      <c r="AZ1320" s="97"/>
      <c r="BA1320" s="97"/>
      <c r="BB1320" s="97" t="str">
        <f>IFERROR(__xludf.DUMMYFUNCTION("""COMPUTED_VALUE"""),"-")</f>
        <v>-</v>
      </c>
      <c r="BC1320" s="97" t="str">
        <f>IFERROR(__xludf.DUMMYFUNCTION("""COMPUTED_VALUE"""),"-")</f>
        <v>-</v>
      </c>
      <c r="BD1320" s="97" t="str">
        <f>IFERROR(__xludf.DUMMYFUNCTION("""COMPUTED_VALUE"""),"LUVA")</f>
        <v>LUVA</v>
      </c>
      <c r="BE1320" s="97" t="str">
        <f>IFERROR(__xludf.DUMMYFUNCTION("""COMPUTED_VALUE"""),"Solicitada")</f>
        <v>Solicitada</v>
      </c>
      <c r="BF1320" s="97"/>
      <c r="BG1320" s="97" t="str">
        <f>IFERROR(__xludf.DUMMYFUNCTION("""COMPUTED_VALUE"""),"REPO 6")</f>
        <v>REPO 6</v>
      </c>
    </row>
    <row r="1321">
      <c r="A1321" s="97">
        <f>IFERROR(__xludf.DUMMYFUNCTION("""COMPUTED_VALUE"""),7310.0)</f>
        <v>7310</v>
      </c>
      <c r="B1321" s="97" t="str">
        <f>IFERROR(__xludf.DUMMYFUNCTION("""COMPUTED_VALUE"""),"LUVA BL")</f>
        <v>LUVA BL</v>
      </c>
      <c r="C1321" s="97" t="str">
        <f>IFERROR(__xludf.DUMMYFUNCTION("""COMPUTED_VALUE"""),"APLIQUE LUVA BL 30W 3000K 3400LM CRI&gt;90 IP20 LEUK")</f>
        <v>APLIQUE LUVA BL 30W 3000K 3400LM CRI&gt;90 IP20 LEUK</v>
      </c>
      <c r="D1321" s="97">
        <f>IFERROR(__xludf.DUMMYFUNCTION("""COMPUTED_VALUE"""),7.798413228489E12)</f>
        <v>7798413228489</v>
      </c>
      <c r="E1321" s="97" t="str">
        <f>IFERROR(__xludf.DUMMYFUNCTION("""COMPUTED_VALUE"""),"A131")</f>
        <v>A131</v>
      </c>
      <c r="F1321" s="97" t="str">
        <f>IFERROR(__xludf.DUMMYFUNCTION("""COMPUTED_VALUE"""),"LED SMD2835")</f>
        <v>LED SMD2835</v>
      </c>
      <c r="G1321" s="97" t="str">
        <f>IFERROR(__xludf.DUMMYFUNCTION("""COMPUTED_VALUE"""),"Lumileds")</f>
        <v>Lumileds</v>
      </c>
      <c r="H1321" s="97" t="str">
        <f>IFERROR(__xludf.DUMMYFUNCTION("""COMPUTED_VALUE"""),"AcTEC")</f>
        <v>AcTEC</v>
      </c>
      <c r="I1321" s="97" t="str">
        <f>IFERROR(__xludf.DUMMYFUNCTION("""COMPUTED_VALUE"""),"Si")</f>
        <v>Si</v>
      </c>
      <c r="J1321" s="97" t="str">
        <f>IFERROR(__xludf.DUMMYFUNCTION("""COMPUTED_VALUE"""),"700mA - 39V")</f>
        <v>700mA - 39V</v>
      </c>
      <c r="K1321" s="97" t="str">
        <f>IFERROR(__xludf.DUMMYFUNCTION("""COMPUTED_VALUE"""),"TRIAC")</f>
        <v>TRIAC</v>
      </c>
      <c r="L1321" s="97" t="str">
        <f>IFERROR(__xludf.DUMMYFUNCTION("""COMPUTED_VALUE"""),"220-240")</f>
        <v>220-240</v>
      </c>
      <c r="M1321" s="97" t="str">
        <f>IFERROR(__xludf.DUMMYFUNCTION("""COMPUTED_VALUE"""),"50/60")</f>
        <v>50/60</v>
      </c>
      <c r="N1321" s="97" t="str">
        <f>IFERROR(__xludf.DUMMYFUNCTION("""COMPUTED_VALUE"""),"Indirecta")</f>
        <v>Indirecta</v>
      </c>
      <c r="O1321" s="97">
        <f>IFERROR(__xludf.DUMMYFUNCTION("""COMPUTED_VALUE"""),30.0)</f>
        <v>30</v>
      </c>
      <c r="P1321" s="97">
        <f>IFERROR(__xludf.DUMMYFUNCTION("""COMPUTED_VALUE"""),30.43)</f>
        <v>30.43</v>
      </c>
      <c r="Q1321" s="97">
        <f>IFERROR(__xludf.DUMMYFUNCTION("""COMPUTED_VALUE"""),0.95)</f>
        <v>0.95</v>
      </c>
      <c r="R1321" s="97" t="str">
        <f>IFERROR(__xludf.DUMMYFUNCTION("""COMPUTED_VALUE"""),"-")</f>
        <v>-</v>
      </c>
      <c r="S1321" s="97" t="str">
        <f>IFERROR(__xludf.DUMMYFUNCTION("""COMPUTED_VALUE"""),"-")</f>
        <v>-</v>
      </c>
      <c r="T1321" s="97">
        <f>IFERROR(__xludf.DUMMYFUNCTION("""COMPUTED_VALUE"""),3400.0)</f>
        <v>3400</v>
      </c>
      <c r="U1321" s="99">
        <f>IFERROR(__xludf.DUMMYFUNCTION("""COMPUTED_VALUE"""),113.33333333333333)</f>
        <v>113.3333333</v>
      </c>
      <c r="V1321" s="97">
        <f>IFERROR(__xludf.DUMMYFUNCTION("""COMPUTED_VALUE"""),165.0)</f>
        <v>165</v>
      </c>
      <c r="W1321" s="97" t="str">
        <f>IFERROR(__xludf.DUMMYFUNCTION("""COMPUTED_VALUE"""),"N/A")</f>
        <v>N/A</v>
      </c>
      <c r="X1321" s="97">
        <f>IFERROR(__xludf.DUMMYFUNCTION("""COMPUTED_VALUE"""),3000.0)</f>
        <v>3000</v>
      </c>
      <c r="Y1321" s="97" t="str">
        <f>IFERROR(__xludf.DUMMYFUNCTION("""COMPUTED_VALUE"""),"&gt;90")</f>
        <v>&gt;90</v>
      </c>
      <c r="Z1321" s="97" t="str">
        <f>IFERROR(__xludf.DUMMYFUNCTION("""COMPUTED_VALUE"""),"-")</f>
        <v>-</v>
      </c>
      <c r="AA1321" s="97" t="str">
        <f>IFERROR(__xludf.DUMMYFUNCTION("""COMPUTED_VALUE"""),"-")</f>
        <v>-</v>
      </c>
      <c r="AB1321" s="97" t="str">
        <f>IFERROR(__xludf.DUMMYFUNCTION("""COMPUTED_VALUE"""),"&lt; 3")</f>
        <v>&lt; 3</v>
      </c>
      <c r="AC1321" s="102">
        <f>IFERROR(__xludf.DUMMYFUNCTION("""COMPUTED_VALUE"""),0.0014)</f>
        <v>0.0014</v>
      </c>
      <c r="AD1321" s="97" t="str">
        <f>IFERROR(__xludf.DUMMYFUNCTION("""COMPUTED_VALUE"""),"IP20")</f>
        <v>IP20</v>
      </c>
      <c r="AE1321" s="97" t="str">
        <f>IFERROR(__xludf.DUMMYFUNCTION("""COMPUTED_VALUE"""),"Clase l")</f>
        <v>Clase l</v>
      </c>
      <c r="AF1321" s="97" t="str">
        <f>IFERROR(__xludf.DUMMYFUNCTION("""COMPUTED_VALUE"""),"Aplicar")</f>
        <v>Aplicar</v>
      </c>
      <c r="AG1321" s="97" t="str">
        <f>IFERROR(__xludf.DUMMYFUNCTION("""COMPUTED_VALUE"""),"Ø500 x 500")</f>
        <v>Ø500 x 500</v>
      </c>
      <c r="AH1321" s="97" t="str">
        <f>IFERROR(__xludf.DUMMYFUNCTION("""COMPUTED_VALUE"""),"N/A")</f>
        <v>N/A</v>
      </c>
      <c r="AI1321" s="97" t="str">
        <f>IFERROR(__xludf.DUMMYFUNCTION("""COMPUTED_VALUE"""),"N/A")</f>
        <v>N/A</v>
      </c>
      <c r="AJ1321" s="97" t="str">
        <f>IFERROR(__xludf.DUMMYFUNCTION("""COMPUTED_VALUE"""),"Policarbonato (PC)")</f>
        <v>Policarbonato (PC)</v>
      </c>
      <c r="AK1321" s="97" t="str">
        <f>IFERROR(__xludf.DUMMYFUNCTION("""COMPUTED_VALUE"""),"Aluminio")</f>
        <v>Aluminio</v>
      </c>
      <c r="AL1321" s="97" t="str">
        <f>IFERROR(__xludf.DUMMYFUNCTION("""COMPUTED_VALUE"""),"Blanco Satinado")</f>
        <v>Blanco Satinado</v>
      </c>
      <c r="AM1321" s="97" t="str">
        <f>IFERROR(__xludf.DUMMYFUNCTION("""COMPUTED_VALUE"""),"-")</f>
        <v>-</v>
      </c>
      <c r="AN1321" s="97" t="str">
        <f>IFERROR(__xludf.DUMMYFUNCTION("""COMPUTED_VALUE"""),"30.000hs (L70)")</f>
        <v>30.000hs (L70)</v>
      </c>
      <c r="AO1321" s="97" t="str">
        <f>IFERROR(__xludf.DUMMYFUNCTION("""COMPUTED_VALUE"""),"3 Años")</f>
        <v>3 Años</v>
      </c>
      <c r="AP1321" s="97" t="str">
        <f>IFERROR(__xludf.DUMMYFUNCTION("""COMPUTED_VALUE"""),"Disponible")</f>
        <v>Disponible</v>
      </c>
      <c r="AQ1321" s="97" t="str">
        <f>IFERROR(__xludf.DUMMYFUNCTION("""COMPUTED_VALUE"""),"Disponible")</f>
        <v>Disponible</v>
      </c>
      <c r="AR1321" s="97" t="str">
        <f>IFERROR(__xludf.DUMMYFUNCTION("""COMPUTED_VALUE"""),"Disponible")</f>
        <v>Disponible</v>
      </c>
      <c r="AS1321" s="97" t="str">
        <f>IFERROR(__xludf.DUMMYFUNCTION("""COMPUTED_VALUE"""),"Disponible")</f>
        <v>Disponible</v>
      </c>
      <c r="AT1321" s="97" t="str">
        <f>IFERROR(__xludf.DUMMYFUNCTION("""COMPUTED_VALUE"""),"Disponible")</f>
        <v>Disponible</v>
      </c>
      <c r="AU1321" s="97" t="str">
        <f>IFERROR(__xludf.DUMMYFUNCTION("""COMPUTED_VALUE"""),"Disponible")</f>
        <v>Disponible</v>
      </c>
      <c r="AV1321" s="97" t="str">
        <f>IFERROR(__xludf.DUMMYFUNCTION("""COMPUTED_VALUE"""),"Aplique")</f>
        <v>Aplique</v>
      </c>
      <c r="AW1321" s="97" t="str">
        <f>IFERROR(__xludf.DUMMYFUNCTION("""COMPUTED_VALUE"""),"De Techo")</f>
        <v>De Techo</v>
      </c>
      <c r="AX1321" s="97" t="str">
        <f>IFERROR(__xludf.DUMMYFUNCTION("""COMPUTED_VALUE"""),"Interior")</f>
        <v>Interior</v>
      </c>
      <c r="AY1321" s="97" t="str">
        <f>IFERROR(__xludf.DUMMYFUNCTION("""COMPUTED_VALUE"""),"-")</f>
        <v>-</v>
      </c>
      <c r="AZ1321" s="97"/>
      <c r="BA1321" s="97"/>
      <c r="BB1321" s="97" t="str">
        <f>IFERROR(__xludf.DUMMYFUNCTION("""COMPUTED_VALUE"""),"-")</f>
        <v>-</v>
      </c>
      <c r="BC1321" s="97" t="str">
        <f>IFERROR(__xludf.DUMMYFUNCTION("""COMPUTED_VALUE"""),"-")</f>
        <v>-</v>
      </c>
      <c r="BD1321" s="97" t="str">
        <f>IFERROR(__xludf.DUMMYFUNCTION("""COMPUTED_VALUE"""),"LUVA")</f>
        <v>LUVA</v>
      </c>
      <c r="BE1321" s="97" t="str">
        <f>IFERROR(__xludf.DUMMYFUNCTION("""COMPUTED_VALUE"""),"Solicitada")</f>
        <v>Solicitada</v>
      </c>
      <c r="BF1321" s="97"/>
      <c r="BG1321" s="97" t="str">
        <f>IFERROR(__xludf.DUMMYFUNCTION("""COMPUTED_VALUE"""),"REPO 6")</f>
        <v>REPO 6</v>
      </c>
    </row>
    <row r="1322">
      <c r="A1322" s="97">
        <f>IFERROR(__xludf.DUMMYFUNCTION("""COMPUTED_VALUE"""),7317.0)</f>
        <v>7317</v>
      </c>
      <c r="B1322" s="97" t="str">
        <f>IFERROR(__xludf.DUMMYFUNCTION("""COMPUTED_VALUE"""),"POCKET III NGNG 2700K TRIAC")</f>
        <v>POCKET III NGNG 2700K TRIAC</v>
      </c>
      <c r="C1322" s="97" t="str">
        <f>IFERROR(__xludf.DUMMYFUNCTION("""COMPUTED_VALUE"""),"EMPOTRABLE POCKET III NGNG 2700K TRIAC 5W 2700K 305LM CRI&gt;90 IP20 LEUK")</f>
        <v>EMPOTRABLE POCKET III NGNG 2700K TRIAC 5W 2700K 305LM CRI&gt;90 IP20 LEUK</v>
      </c>
      <c r="D1322" s="97">
        <f>IFERROR(__xludf.DUMMYFUNCTION("""COMPUTED_VALUE"""),7.798413228199E12)</f>
        <v>7798413228199</v>
      </c>
      <c r="E1322" s="97" t="str">
        <f>IFERROR(__xludf.DUMMYFUNCTION("""COMPUTED_VALUE"""),"F82")</f>
        <v>F82</v>
      </c>
      <c r="F1322" s="97" t="str">
        <f>IFERROR(__xludf.DUMMYFUNCTION("""COMPUTED_VALUE"""),"LED SMD")</f>
        <v>LED SMD</v>
      </c>
      <c r="G1322" s="97" t="str">
        <f>IFERROR(__xludf.DUMMYFUNCTION("""COMPUTED_VALUE"""),"Bridgelux")</f>
        <v>Bridgelux</v>
      </c>
      <c r="H1322" s="97" t="str">
        <f>IFERROR(__xludf.DUMMYFUNCTION("""COMPUTED_VALUE"""),"AiDimming")</f>
        <v>AiDimming</v>
      </c>
      <c r="I1322" s="97" t="str">
        <f>IFERROR(__xludf.DUMMYFUNCTION("""COMPUTED_VALUE"""),"Si")</f>
        <v>Si</v>
      </c>
      <c r="J1322" s="97" t="str">
        <f>IFERROR(__xludf.DUMMYFUNCTION("""COMPUTED_VALUE"""),"Modelo: PE594M1550
In: 200-250Vac 0.05A 50/60Hz
Out: 6-15Vdc 500mA 7.5W
Pf 0.94 Tc 85°C Ta 45°C
FlickerFree")</f>
        <v>Modelo: PE594M1550
In: 200-250Vac 0.05A 50/60Hz
Out: 6-15Vdc 500mA 7.5W
Pf 0.94 Tc 85°C Ta 45°C
FlickerFree</v>
      </c>
      <c r="K1322" s="97" t="str">
        <f>IFERROR(__xludf.DUMMYFUNCTION("""COMPUTED_VALUE"""),"TRIAC")</f>
        <v>TRIAC</v>
      </c>
      <c r="L1322" s="97" t="str">
        <f>IFERROR(__xludf.DUMMYFUNCTION("""COMPUTED_VALUE"""),"200-240")</f>
        <v>200-240</v>
      </c>
      <c r="M1322" s="97" t="str">
        <f>IFERROR(__xludf.DUMMYFUNCTION("""COMPUTED_VALUE"""),"50/60")</f>
        <v>50/60</v>
      </c>
      <c r="N1322" s="97" t="str">
        <f>IFERROR(__xludf.DUMMYFUNCTION("""COMPUTED_VALUE"""),"Directa")</f>
        <v>Directa</v>
      </c>
      <c r="O1322" s="97">
        <f>IFERROR(__xludf.DUMMYFUNCTION("""COMPUTED_VALUE"""),5.0)</f>
        <v>5</v>
      </c>
      <c r="P1322" s="97"/>
      <c r="Q1322" s="97">
        <f>IFERROR(__xludf.DUMMYFUNCTION("""COMPUTED_VALUE"""),0.95)</f>
        <v>0.95</v>
      </c>
      <c r="R1322" s="97" t="str">
        <f>IFERROR(__xludf.DUMMYFUNCTION("""COMPUTED_VALUE"""),"-")</f>
        <v>-</v>
      </c>
      <c r="S1322" s="97" t="str">
        <f>IFERROR(__xludf.DUMMYFUNCTION("""COMPUTED_VALUE"""),"-")</f>
        <v>-</v>
      </c>
      <c r="T1322" s="97">
        <f>IFERROR(__xludf.DUMMYFUNCTION("""COMPUTED_VALUE"""),305.0)</f>
        <v>305</v>
      </c>
      <c r="U1322" s="97">
        <f>IFERROR(__xludf.DUMMYFUNCTION("""COMPUTED_VALUE"""),61.0)</f>
        <v>61</v>
      </c>
      <c r="V1322" s="97">
        <f>IFERROR(__xludf.DUMMYFUNCTION("""COMPUTED_VALUE"""),36.0)</f>
        <v>36</v>
      </c>
      <c r="W1322" s="97" t="str">
        <f>IFERROR(__xludf.DUMMYFUNCTION("""COMPUTED_VALUE"""),"&lt; 14")</f>
        <v>&lt; 14</v>
      </c>
      <c r="X1322" s="97">
        <f>IFERROR(__xludf.DUMMYFUNCTION("""COMPUTED_VALUE"""),2700.0)</f>
        <v>2700</v>
      </c>
      <c r="Y1322" s="97" t="str">
        <f>IFERROR(__xludf.DUMMYFUNCTION("""COMPUTED_VALUE"""),"&gt;90")</f>
        <v>&gt;90</v>
      </c>
      <c r="Z1322" s="97"/>
      <c r="AA1322" s="97"/>
      <c r="AB1322" s="97" t="str">
        <f>IFERROR(__xludf.DUMMYFUNCTION("""COMPUTED_VALUE"""),"&lt; 5")</f>
        <v>&lt; 5</v>
      </c>
      <c r="AC1322" s="97"/>
      <c r="AD1322" s="97" t="str">
        <f>IFERROR(__xludf.DUMMYFUNCTION("""COMPUTED_VALUE"""),"IP20")</f>
        <v>IP20</v>
      </c>
      <c r="AE1322" s="97" t="str">
        <f>IFERROR(__xludf.DUMMYFUNCTION("""COMPUTED_VALUE"""),"Clase l")</f>
        <v>Clase l</v>
      </c>
      <c r="AF1322" s="97" t="str">
        <f>IFERROR(__xludf.DUMMYFUNCTION("""COMPUTED_VALUE"""),"Embutir")</f>
        <v>Embutir</v>
      </c>
      <c r="AG1322" s="97" t="str">
        <f>IFERROR(__xludf.DUMMYFUNCTION("""COMPUTED_VALUE"""),"69 x 31 x 40")</f>
        <v>69 x 31 x 40</v>
      </c>
      <c r="AH1322" s="97" t="str">
        <f>IFERROR(__xludf.DUMMYFUNCTION("""COMPUTED_VALUE"""),"65 x 27")</f>
        <v>65 x 27</v>
      </c>
      <c r="AI1322" s="97">
        <f>IFERROR(__xludf.DUMMYFUNCTION("""COMPUTED_VALUE"""),55.0)</f>
        <v>55</v>
      </c>
      <c r="AJ1322" s="97" t="str">
        <f>IFERROR(__xludf.DUMMYFUNCTION("""COMPUTED_VALUE"""),"Policarbonato (PC)")</f>
        <v>Policarbonato (PC)</v>
      </c>
      <c r="AK1322" s="97" t="str">
        <f>IFERROR(__xludf.DUMMYFUNCTION("""COMPUTED_VALUE"""),"Aluminio")</f>
        <v>Aluminio</v>
      </c>
      <c r="AL1322" s="97" t="str">
        <f>IFERROR(__xludf.DUMMYFUNCTION("""COMPUTED_VALUE"""),"Negro Satinado")</f>
        <v>Negro Satinado</v>
      </c>
      <c r="AM1322" s="97" t="str">
        <f>IFERROR(__xludf.DUMMYFUNCTION("""COMPUTED_VALUE"""),"-")</f>
        <v>-</v>
      </c>
      <c r="AN1322" s="97" t="str">
        <f>IFERROR(__xludf.DUMMYFUNCTION("""COMPUTED_VALUE"""),"40.000hs (L70)")</f>
        <v>40.000hs (L70)</v>
      </c>
      <c r="AO1322" s="97" t="str">
        <f>IFERROR(__xludf.DUMMYFUNCTION("""COMPUTED_VALUE"""),"4 Años")</f>
        <v>4 Años</v>
      </c>
      <c r="AP1322" s="97" t="str">
        <f>IFERROR(__xludf.DUMMYFUNCTION("""COMPUTED_VALUE"""),"Falta")</f>
        <v>Falta</v>
      </c>
      <c r="AQ1322" s="97" t="str">
        <f>IFERROR(__xludf.DUMMYFUNCTION("""COMPUTED_VALUE"""),"Falta")</f>
        <v>Falta</v>
      </c>
      <c r="AR1322" s="97" t="str">
        <f>IFERROR(__xludf.DUMMYFUNCTION("""COMPUTED_VALUE"""),"En revisión")</f>
        <v>En revisión</v>
      </c>
      <c r="AS1322" s="97" t="str">
        <f>IFERROR(__xludf.DUMMYFUNCTION("""COMPUTED_VALUE"""),"Falta")</f>
        <v>Falta</v>
      </c>
      <c r="AT1322" s="97" t="str">
        <f>IFERROR(__xludf.DUMMYFUNCTION("""COMPUTED_VALUE"""),"Falta")</f>
        <v>Falta</v>
      </c>
      <c r="AU1322" s="97" t="str">
        <f>IFERROR(__xludf.DUMMYFUNCTION("""COMPUTED_VALUE"""),"Falta")</f>
        <v>Falta</v>
      </c>
      <c r="AV1322" s="97" t="str">
        <f>IFERROR(__xludf.DUMMYFUNCTION("""COMPUTED_VALUE"""),"Empotrable")</f>
        <v>Empotrable</v>
      </c>
      <c r="AW1322" s="97" t="str">
        <f>IFERROR(__xludf.DUMMYFUNCTION("""COMPUTED_VALUE"""),"De Techo")</f>
        <v>De Techo</v>
      </c>
      <c r="AX1322" s="97" t="str">
        <f>IFERROR(__xludf.DUMMYFUNCTION("""COMPUTED_VALUE"""),"Interior")</f>
        <v>Interior</v>
      </c>
      <c r="AY1322" s="97" t="str">
        <f>IFERROR(__xludf.DUMMYFUNCTION("""COMPUTED_VALUE"""),"Pocket")</f>
        <v>Pocket</v>
      </c>
      <c r="AZ1322" s="97"/>
      <c r="BA1322" s="97"/>
      <c r="BB1322" s="97"/>
      <c r="BC1322" s="97"/>
      <c r="BD1322" s="97" t="str">
        <f>IFERROR(__xludf.DUMMYFUNCTION("""COMPUTED_VALUE"""),"POCKET III")</f>
        <v>POCKET III</v>
      </c>
      <c r="BE1322" s="97" t="str">
        <f>IFERROR(__xludf.DUMMYFUNCTION("""COMPUTED_VALUE"""),"Falta TR")</f>
        <v>Falta TR</v>
      </c>
      <c r="BF1322" s="97">
        <f>IFERROR(__xludf.DUMMYFUNCTION("""COMPUTED_VALUE"""),7737.0)</f>
        <v>7737</v>
      </c>
      <c r="BG1322" s="97" t="str">
        <f>IFERROR(__xludf.DUMMYFUNCTION("""COMPUTED_VALUE"""),"En Salida")</f>
        <v>En Salida</v>
      </c>
    </row>
    <row r="1323">
      <c r="A1323" s="97">
        <f>IFERROR(__xludf.DUMMYFUNCTION("""COMPUTED_VALUE"""),7423.0)</f>
        <v>7423</v>
      </c>
      <c r="B1323" s="97" t="str">
        <f>IFERROR(__xludf.DUMMYFUNCTION("""COMPUTED_VALUE"""),"DYNA FIELTRO 120 NG")</f>
        <v>DYNA FIELTRO 120 NG</v>
      </c>
      <c r="C1323" s="97" t="str">
        <f>IFERROR(__xludf.DUMMYFUNCTION("""COMPUTED_VALUE"""),"COLGANTE DYNA FIELTRO 120 NG 25W 2700/3300/4000K 2235LM CRI&gt;90 IP20 LEUK")</f>
        <v>COLGANTE DYNA FIELTRO 120 NG 25W 2700/3300/4000K 2235LM CRI&gt;90 IP20 LEUK</v>
      </c>
      <c r="D1323" s="97">
        <f>IFERROR(__xludf.DUMMYFUNCTION("""COMPUTED_VALUE"""),7.79841322896E12)</f>
        <v>7798413228960</v>
      </c>
      <c r="E1323" s="97" t="str">
        <f>IFERROR(__xludf.DUMMYFUNCTION("""COMPUTED_VALUE"""),"i4")</f>
        <v>i4</v>
      </c>
      <c r="F1323" s="97" t="str">
        <f>IFERROR(__xludf.DUMMYFUNCTION("""COMPUTED_VALUE"""),"LED integrado")</f>
        <v>LED integrado</v>
      </c>
      <c r="G1323" s="97" t="str">
        <f>IFERROR(__xludf.DUMMYFUNCTION("""COMPUTED_VALUE"""),"-")</f>
        <v>-</v>
      </c>
      <c r="H1323" s="97" t="str">
        <f>IFERROR(__xludf.DUMMYFUNCTION("""COMPUTED_VALUE"""),"Lifud")</f>
        <v>Lifud</v>
      </c>
      <c r="I1323" s="97"/>
      <c r="J1323" s="97" t="str">
        <f>IFERROR(__xludf.DUMMYFUNCTION("""COMPUTED_VALUE"""),"Modelo: LSXXXXCT x2")</f>
        <v>Modelo: LSXXXXCT x2</v>
      </c>
      <c r="K1323" s="97" t="str">
        <f>IFERROR(__xludf.DUMMYFUNCTION("""COMPUTED_VALUE"""),"ON/OFF")</f>
        <v>ON/OFF</v>
      </c>
      <c r="L1323" s="97" t="str">
        <f>IFERROR(__xludf.DUMMYFUNCTION("""COMPUTED_VALUE"""),"200-240")</f>
        <v>200-240</v>
      </c>
      <c r="M1323" s="97" t="str">
        <f>IFERROR(__xludf.DUMMYFUNCTION("""COMPUTED_VALUE"""),"50/60")</f>
        <v>50/60</v>
      </c>
      <c r="N1323" s="97" t="str">
        <f>IFERROR(__xludf.DUMMYFUNCTION("""COMPUTED_VALUE"""),"Directa")</f>
        <v>Directa</v>
      </c>
      <c r="O1323" s="97">
        <f>IFERROR(__xludf.DUMMYFUNCTION("""COMPUTED_VALUE"""),25.0)</f>
        <v>25</v>
      </c>
      <c r="P1323" s="97">
        <f>IFERROR(__xludf.DUMMYFUNCTION("""COMPUTED_VALUE"""),26.78)</f>
        <v>26.78</v>
      </c>
      <c r="Q1323" s="97">
        <f>IFERROR(__xludf.DUMMYFUNCTION("""COMPUTED_VALUE"""),0.95)</f>
        <v>0.95</v>
      </c>
      <c r="R1323" s="97" t="str">
        <f>IFERROR(__xludf.DUMMYFUNCTION("""COMPUTED_VALUE"""),"-")</f>
        <v>-</v>
      </c>
      <c r="S1323" s="97" t="str">
        <f>IFERROR(__xludf.DUMMYFUNCTION("""COMPUTED_VALUE"""),"-")</f>
        <v>-</v>
      </c>
      <c r="T1323" s="97">
        <f>IFERROR(__xludf.DUMMYFUNCTION("""COMPUTED_VALUE"""),2235.0)</f>
        <v>2235</v>
      </c>
      <c r="U1323" s="99">
        <f>IFERROR(__xludf.DUMMYFUNCTION("""COMPUTED_VALUE"""),89.4)</f>
        <v>89.4</v>
      </c>
      <c r="V1323" s="97">
        <f>IFERROR(__xludf.DUMMYFUNCTION("""COMPUTED_VALUE"""),100.0)</f>
        <v>100</v>
      </c>
      <c r="W1323" s="97" t="str">
        <f>IFERROR(__xludf.DUMMYFUNCTION("""COMPUTED_VALUE"""),"&lt; 25")</f>
        <v>&lt; 25</v>
      </c>
      <c r="X1323" s="97" t="str">
        <f>IFERROR(__xludf.DUMMYFUNCTION("""COMPUTED_VALUE"""),"2700/3300/4000")</f>
        <v>2700/3300/4000</v>
      </c>
      <c r="Y1323" s="97" t="str">
        <f>IFERROR(__xludf.DUMMYFUNCTION("""COMPUTED_VALUE"""),"&gt;90")</f>
        <v>&gt;90</v>
      </c>
      <c r="Z1323" s="97" t="str">
        <f>IFERROR(__xludf.DUMMYFUNCTION("""COMPUTED_VALUE"""),"&gt;90")</f>
        <v>&gt;90</v>
      </c>
      <c r="AA1323" s="97" t="str">
        <f>IFERROR(__xludf.DUMMYFUNCTION("""COMPUTED_VALUE"""),"90-99 (Leve desaturación)")</f>
        <v>90-99 (Leve desaturación)</v>
      </c>
      <c r="AB1323" s="97" t="str">
        <f>IFERROR(__xludf.DUMMYFUNCTION("""COMPUTED_VALUE"""),"&lt; 4")</f>
        <v>&lt; 4</v>
      </c>
      <c r="AC1323" s="97" t="str">
        <f>IFERROR(__xludf.DUMMYFUNCTION("""COMPUTED_VALUE"""),"0,001 / -0,001 / 0")</f>
        <v>0,001 / -0,001 / 0</v>
      </c>
      <c r="AD1323" s="97" t="str">
        <f>IFERROR(__xludf.DUMMYFUNCTION("""COMPUTED_VALUE"""),"IP20")</f>
        <v>IP20</v>
      </c>
      <c r="AE1323" s="97" t="str">
        <f>IFERROR(__xludf.DUMMYFUNCTION("""COMPUTED_VALUE"""),"Clase l")</f>
        <v>Clase l</v>
      </c>
      <c r="AF1323" s="97" t="str">
        <f>IFERROR(__xludf.DUMMYFUNCTION("""COMPUTED_VALUE"""),"Suspender")</f>
        <v>Suspender</v>
      </c>
      <c r="AG1323" s="97"/>
      <c r="AH1323" s="97" t="str">
        <f>IFERROR(__xludf.DUMMYFUNCTION("""COMPUTED_VALUE"""),"N/A")</f>
        <v>N/A</v>
      </c>
      <c r="AI1323" s="97" t="str">
        <f>IFERROR(__xludf.DUMMYFUNCTION("""COMPUTED_VALUE"""),"N/A")</f>
        <v>N/A</v>
      </c>
      <c r="AJ1323" s="97" t="str">
        <f>IFERROR(__xludf.DUMMYFUNCTION("""COMPUTED_VALUE"""),"Policarbonato (PC)")</f>
        <v>Policarbonato (PC)</v>
      </c>
      <c r="AK1323" s="97" t="str">
        <f>IFERROR(__xludf.DUMMYFUNCTION("""COMPUTED_VALUE"""),"Fieltro y Aluminio")</f>
        <v>Fieltro y Aluminio</v>
      </c>
      <c r="AL1323" s="97" t="str">
        <f>IFERROR(__xludf.DUMMYFUNCTION("""COMPUTED_VALUE"""),"Negro Mate")</f>
        <v>Negro Mate</v>
      </c>
      <c r="AM1323" s="97"/>
      <c r="AN1323" s="97" t="str">
        <f>IFERROR(__xludf.DUMMYFUNCTION("""COMPUTED_VALUE"""),"50.000hs (L80)")</f>
        <v>50.000hs (L80)</v>
      </c>
      <c r="AO1323" s="97" t="str">
        <f>IFERROR(__xludf.DUMMYFUNCTION("""COMPUTED_VALUE"""),"3 Años")</f>
        <v>3 Años</v>
      </c>
      <c r="AP1323" s="97" t="str">
        <f>IFERROR(__xludf.DUMMYFUNCTION("""COMPUTED_VALUE"""),"Disponible")</f>
        <v>Disponible</v>
      </c>
      <c r="AQ1323" s="97" t="str">
        <f>IFERROR(__xludf.DUMMYFUNCTION("""COMPUTED_VALUE"""),"Disponible")</f>
        <v>Disponible</v>
      </c>
      <c r="AR1323" s="97" t="str">
        <f>IFERROR(__xludf.DUMMYFUNCTION("""COMPUTED_VALUE"""),"Falta")</f>
        <v>Falta</v>
      </c>
      <c r="AS1323" s="97" t="str">
        <f>IFERROR(__xludf.DUMMYFUNCTION("""COMPUTED_VALUE"""),"Falta")</f>
        <v>Falta</v>
      </c>
      <c r="AT1323" s="97" t="str">
        <f>IFERROR(__xludf.DUMMYFUNCTION("""COMPUTED_VALUE"""),"Falta")</f>
        <v>Falta</v>
      </c>
      <c r="AU1323" s="97" t="str">
        <f>IFERROR(__xludf.DUMMYFUNCTION("""COMPUTED_VALUE"""),"Falta")</f>
        <v>Falta</v>
      </c>
      <c r="AV1323" s="97" t="str">
        <f>IFERROR(__xludf.DUMMYFUNCTION("""COMPUTED_VALUE"""),"Colgante")</f>
        <v>Colgante</v>
      </c>
      <c r="AW1323" s="97" t="str">
        <f>IFERROR(__xludf.DUMMYFUNCTION("""COMPUTED_VALUE"""),"De Techo")</f>
        <v>De Techo</v>
      </c>
      <c r="AX1323" s="97" t="str">
        <f>IFERROR(__xludf.DUMMYFUNCTION("""COMPUTED_VALUE"""),"Interior")</f>
        <v>Interior</v>
      </c>
      <c r="AY1323" s="97" t="str">
        <f>IFERROR(__xludf.DUMMYFUNCTION("""COMPUTED_VALUE"""),"Fieltro")</f>
        <v>Fieltro</v>
      </c>
      <c r="AZ1323" s="97" t="str">
        <f>IFERROR(__xludf.DUMMYFUNCTION("""COMPUTED_VALUE"""),"Corriente: 600mA??")</f>
        <v>Corriente: 600mA??</v>
      </c>
      <c r="BA1323" s="97"/>
      <c r="BB1323" s="97"/>
      <c r="BC1323" s="97"/>
      <c r="BD1323" s="97" t="str">
        <f>IFERROR(__xludf.DUMMYFUNCTION("""COMPUTED_VALUE"""),"DYNA FIELTRO")</f>
        <v>DYNA FIELTRO</v>
      </c>
      <c r="BE1323" s="97" t="str">
        <f>IFERROR(__xludf.DUMMYFUNCTION("""COMPUTED_VALUE"""),"Solicitada")</f>
        <v>Solicitada</v>
      </c>
      <c r="BF1323" s="97"/>
      <c r="BG1323" s="97" t="str">
        <f>IFERROR(__xludf.DUMMYFUNCTION("""COMPUTED_VALUE"""),"REPO 7")</f>
        <v>REPO 7</v>
      </c>
    </row>
    <row r="1324">
      <c r="A1324" s="97">
        <f>IFERROR(__xludf.DUMMYFUNCTION("""COMPUTED_VALUE"""),7424.0)</f>
        <v>7424</v>
      </c>
      <c r="B1324" s="97" t="str">
        <f>IFERROR(__xludf.DUMMYFUNCTION("""COMPUTED_VALUE"""),"DYNA FIELTRO 120 BG")</f>
        <v>DYNA FIELTRO 120 BG</v>
      </c>
      <c r="C1324" s="97" t="str">
        <f>IFERROR(__xludf.DUMMYFUNCTION("""COMPUTED_VALUE"""),"COLGANTE DYNA FIELTRO 120 BG 25W 2700/3300/4000K 2235LM CRI&gt;90 IP20 LEUK")</f>
        <v>COLGANTE DYNA FIELTRO 120 BG 25W 2700/3300/4000K 2235LM CRI&gt;90 IP20 LEUK</v>
      </c>
      <c r="D1324" s="97">
        <f>IFERROR(__xludf.DUMMYFUNCTION("""COMPUTED_VALUE"""),7.798413228977E12)</f>
        <v>7798413228977</v>
      </c>
      <c r="E1324" s="97" t="str">
        <f>IFERROR(__xludf.DUMMYFUNCTION("""COMPUTED_VALUE"""),"i4")</f>
        <v>i4</v>
      </c>
      <c r="F1324" s="97" t="str">
        <f>IFERROR(__xludf.DUMMYFUNCTION("""COMPUTED_VALUE"""),"LED integrado")</f>
        <v>LED integrado</v>
      </c>
      <c r="G1324" s="97" t="str">
        <f>IFERROR(__xludf.DUMMYFUNCTION("""COMPUTED_VALUE"""),"-")</f>
        <v>-</v>
      </c>
      <c r="H1324" s="97" t="str">
        <f>IFERROR(__xludf.DUMMYFUNCTION("""COMPUTED_VALUE"""),"Lifud")</f>
        <v>Lifud</v>
      </c>
      <c r="I1324" s="97"/>
      <c r="J1324" s="97" t="str">
        <f>IFERROR(__xludf.DUMMYFUNCTION("""COMPUTED_VALUE"""),"Modelo: LSXXXXCT x2")</f>
        <v>Modelo: LSXXXXCT x2</v>
      </c>
      <c r="K1324" s="97" t="str">
        <f>IFERROR(__xludf.DUMMYFUNCTION("""COMPUTED_VALUE"""),"ON/OFF")</f>
        <v>ON/OFF</v>
      </c>
      <c r="L1324" s="97" t="str">
        <f>IFERROR(__xludf.DUMMYFUNCTION("""COMPUTED_VALUE"""),"200-240")</f>
        <v>200-240</v>
      </c>
      <c r="M1324" s="97" t="str">
        <f>IFERROR(__xludf.DUMMYFUNCTION("""COMPUTED_VALUE"""),"50/60")</f>
        <v>50/60</v>
      </c>
      <c r="N1324" s="97" t="str">
        <f>IFERROR(__xludf.DUMMYFUNCTION("""COMPUTED_VALUE"""),"Directa")</f>
        <v>Directa</v>
      </c>
      <c r="O1324" s="97">
        <f>IFERROR(__xludf.DUMMYFUNCTION("""COMPUTED_VALUE"""),25.0)</f>
        <v>25</v>
      </c>
      <c r="P1324" s="97">
        <f>IFERROR(__xludf.DUMMYFUNCTION("""COMPUTED_VALUE"""),26.78)</f>
        <v>26.78</v>
      </c>
      <c r="Q1324" s="97">
        <f>IFERROR(__xludf.DUMMYFUNCTION("""COMPUTED_VALUE"""),0.95)</f>
        <v>0.95</v>
      </c>
      <c r="R1324" s="97" t="str">
        <f>IFERROR(__xludf.DUMMYFUNCTION("""COMPUTED_VALUE"""),"-")</f>
        <v>-</v>
      </c>
      <c r="S1324" s="97" t="str">
        <f>IFERROR(__xludf.DUMMYFUNCTION("""COMPUTED_VALUE"""),"-")</f>
        <v>-</v>
      </c>
      <c r="T1324" s="97">
        <f>IFERROR(__xludf.DUMMYFUNCTION("""COMPUTED_VALUE"""),2235.0)</f>
        <v>2235</v>
      </c>
      <c r="U1324" s="99">
        <f>IFERROR(__xludf.DUMMYFUNCTION("""COMPUTED_VALUE"""),89.4)</f>
        <v>89.4</v>
      </c>
      <c r="V1324" s="97">
        <f>IFERROR(__xludf.DUMMYFUNCTION("""COMPUTED_VALUE"""),100.0)</f>
        <v>100</v>
      </c>
      <c r="W1324" s="97" t="str">
        <f>IFERROR(__xludf.DUMMYFUNCTION("""COMPUTED_VALUE"""),"&lt; 25")</f>
        <v>&lt; 25</v>
      </c>
      <c r="X1324" s="97" t="str">
        <f>IFERROR(__xludf.DUMMYFUNCTION("""COMPUTED_VALUE"""),"2700/3300/4000")</f>
        <v>2700/3300/4000</v>
      </c>
      <c r="Y1324" s="97" t="str">
        <f>IFERROR(__xludf.DUMMYFUNCTION("""COMPUTED_VALUE"""),"&gt;90")</f>
        <v>&gt;90</v>
      </c>
      <c r="Z1324" s="97" t="str">
        <f>IFERROR(__xludf.DUMMYFUNCTION("""COMPUTED_VALUE"""),"&gt;90")</f>
        <v>&gt;90</v>
      </c>
      <c r="AA1324" s="97" t="str">
        <f>IFERROR(__xludf.DUMMYFUNCTION("""COMPUTED_VALUE"""),"90-99 (Leve desaturación)")</f>
        <v>90-99 (Leve desaturación)</v>
      </c>
      <c r="AB1324" s="97" t="str">
        <f>IFERROR(__xludf.DUMMYFUNCTION("""COMPUTED_VALUE"""),"&lt; 4")</f>
        <v>&lt; 4</v>
      </c>
      <c r="AC1324" s="97" t="str">
        <f>IFERROR(__xludf.DUMMYFUNCTION("""COMPUTED_VALUE"""),"0,001 / -0,001 / 0")</f>
        <v>0,001 / -0,001 / 0</v>
      </c>
      <c r="AD1324" s="97" t="str">
        <f>IFERROR(__xludf.DUMMYFUNCTION("""COMPUTED_VALUE"""),"IP20")</f>
        <v>IP20</v>
      </c>
      <c r="AE1324" s="97" t="str">
        <f>IFERROR(__xludf.DUMMYFUNCTION("""COMPUTED_VALUE"""),"Clase l")</f>
        <v>Clase l</v>
      </c>
      <c r="AF1324" s="97" t="str">
        <f>IFERROR(__xludf.DUMMYFUNCTION("""COMPUTED_VALUE"""),"Suspender")</f>
        <v>Suspender</v>
      </c>
      <c r="AG1324" s="97"/>
      <c r="AH1324" s="97" t="str">
        <f>IFERROR(__xludf.DUMMYFUNCTION("""COMPUTED_VALUE"""),"N/A")</f>
        <v>N/A</v>
      </c>
      <c r="AI1324" s="97" t="str">
        <f>IFERROR(__xludf.DUMMYFUNCTION("""COMPUTED_VALUE"""),"N/A")</f>
        <v>N/A</v>
      </c>
      <c r="AJ1324" s="97" t="str">
        <f>IFERROR(__xludf.DUMMYFUNCTION("""COMPUTED_VALUE"""),"Policarbonato (PC)")</f>
        <v>Policarbonato (PC)</v>
      </c>
      <c r="AK1324" s="97" t="str">
        <f>IFERROR(__xludf.DUMMYFUNCTION("""COMPUTED_VALUE"""),"Fieltro y Aluminio")</f>
        <v>Fieltro y Aluminio</v>
      </c>
      <c r="AL1324" s="97" t="str">
        <f>IFERROR(__xludf.DUMMYFUNCTION("""COMPUTED_VALUE"""),"Beige")</f>
        <v>Beige</v>
      </c>
      <c r="AM1324" s="97"/>
      <c r="AN1324" s="97" t="str">
        <f>IFERROR(__xludf.DUMMYFUNCTION("""COMPUTED_VALUE"""),"50.000hs (L80)")</f>
        <v>50.000hs (L80)</v>
      </c>
      <c r="AO1324" s="97" t="str">
        <f>IFERROR(__xludf.DUMMYFUNCTION("""COMPUTED_VALUE"""),"3 Años")</f>
        <v>3 Años</v>
      </c>
      <c r="AP1324" s="97" t="str">
        <f>IFERROR(__xludf.DUMMYFUNCTION("""COMPUTED_VALUE"""),"Disponible")</f>
        <v>Disponible</v>
      </c>
      <c r="AQ1324" s="97" t="str">
        <f>IFERROR(__xludf.DUMMYFUNCTION("""COMPUTED_VALUE"""),"Disponible")</f>
        <v>Disponible</v>
      </c>
      <c r="AR1324" s="97" t="str">
        <f>IFERROR(__xludf.DUMMYFUNCTION("""COMPUTED_VALUE"""),"Falta")</f>
        <v>Falta</v>
      </c>
      <c r="AS1324" s="97" t="str">
        <f>IFERROR(__xludf.DUMMYFUNCTION("""COMPUTED_VALUE"""),"Falta")</f>
        <v>Falta</v>
      </c>
      <c r="AT1324" s="97" t="str">
        <f>IFERROR(__xludf.DUMMYFUNCTION("""COMPUTED_VALUE"""),"Falta")</f>
        <v>Falta</v>
      </c>
      <c r="AU1324" s="97" t="str">
        <f>IFERROR(__xludf.DUMMYFUNCTION("""COMPUTED_VALUE"""),"Falta")</f>
        <v>Falta</v>
      </c>
      <c r="AV1324" s="97" t="str">
        <f>IFERROR(__xludf.DUMMYFUNCTION("""COMPUTED_VALUE"""),"Colgante")</f>
        <v>Colgante</v>
      </c>
      <c r="AW1324" s="97" t="str">
        <f>IFERROR(__xludf.DUMMYFUNCTION("""COMPUTED_VALUE"""),"De Techo")</f>
        <v>De Techo</v>
      </c>
      <c r="AX1324" s="97" t="str">
        <f>IFERROR(__xludf.DUMMYFUNCTION("""COMPUTED_VALUE"""),"Interior")</f>
        <v>Interior</v>
      </c>
      <c r="AY1324" s="97" t="str">
        <f>IFERROR(__xludf.DUMMYFUNCTION("""COMPUTED_VALUE"""),"Fieltro")</f>
        <v>Fieltro</v>
      </c>
      <c r="AZ1324" s="97" t="str">
        <f>IFERROR(__xludf.DUMMYFUNCTION("""COMPUTED_VALUE"""),"Corriente: 600mA??")</f>
        <v>Corriente: 600mA??</v>
      </c>
      <c r="BA1324" s="97"/>
      <c r="BB1324" s="97"/>
      <c r="BC1324" s="97"/>
      <c r="BD1324" s="97" t="str">
        <f>IFERROR(__xludf.DUMMYFUNCTION("""COMPUTED_VALUE"""),"DYNA FIELTRO")</f>
        <v>DYNA FIELTRO</v>
      </c>
      <c r="BE1324" s="97" t="str">
        <f>IFERROR(__xludf.DUMMYFUNCTION("""COMPUTED_VALUE"""),"Solicitada")</f>
        <v>Solicitada</v>
      </c>
      <c r="BF1324" s="97"/>
      <c r="BG1324" s="97" t="str">
        <f>IFERROR(__xludf.DUMMYFUNCTION("""COMPUTED_VALUE"""),"REPO 7")</f>
        <v>REPO 7</v>
      </c>
    </row>
    <row r="1325">
      <c r="A1325" s="97">
        <f>IFERROR(__xludf.DUMMYFUNCTION("""COMPUTED_VALUE"""),7425.0)</f>
        <v>7425</v>
      </c>
      <c r="B1325" s="97" t="str">
        <f>IFERROR(__xludf.DUMMYFUNCTION("""COMPUTED_VALUE"""),"EKO VR")</f>
        <v>EKO VR</v>
      </c>
      <c r="C1325" s="97" t="str">
        <f>IFERROR(__xludf.DUMMYFUNCTION("""COMPUTED_VALUE"""),"APLIQUE EKO VR 5W 3000K 85LM CRI&gt;95 IP20 LEUK")</f>
        <v>APLIQUE EKO VR 5W 3000K 85LM CRI&gt;95 IP20 LEUK</v>
      </c>
      <c r="D1325" s="97">
        <f>IFERROR(__xludf.DUMMYFUNCTION("""COMPUTED_VALUE"""),7.798413228984E12)</f>
        <v>7798413228984</v>
      </c>
      <c r="E1325" s="97" t="str">
        <f>IFERROR(__xludf.DUMMYFUNCTION("""COMPUTED_VALUE"""),"F87")</f>
        <v>F87</v>
      </c>
      <c r="F1325" s="97" t="str">
        <f>IFERROR(__xludf.DUMMYFUNCTION("""COMPUTED_VALUE"""),"LED COB")</f>
        <v>LED COB</v>
      </c>
      <c r="G1325" s="97" t="str">
        <f>IFERROR(__xludf.DUMMYFUNCTION("""COMPUTED_VALUE"""),"CREE")</f>
        <v>CREE</v>
      </c>
      <c r="H1325" s="97" t="str">
        <f>IFERROR(__xludf.DUMMYFUNCTION("""COMPUTED_VALUE"""),"Eaglerise")</f>
        <v>Eaglerise</v>
      </c>
      <c r="I1325" s="97" t="str">
        <f>IFERROR(__xludf.DUMMYFUNCTION("""COMPUTED_VALUE"""),"Si")</f>
        <v>Si</v>
      </c>
      <c r="J1325" s="97" t="str">
        <f>IFERROR(__xludf.DUMMYFUNCTION("""COMPUTED_VALUE"""),"500mA - 9V")</f>
        <v>500mA - 9V</v>
      </c>
      <c r="K1325" s="97" t="str">
        <f>IFERROR(__xludf.DUMMYFUNCTION("""COMPUTED_VALUE"""),"ON/OFF")</f>
        <v>ON/OFF</v>
      </c>
      <c r="L1325" s="97" t="str">
        <f>IFERROR(__xludf.DUMMYFUNCTION("""COMPUTED_VALUE"""),"220-240")</f>
        <v>220-240</v>
      </c>
      <c r="M1325" s="97" t="str">
        <f>IFERROR(__xludf.DUMMYFUNCTION("""COMPUTED_VALUE"""),"50/60")</f>
        <v>50/60</v>
      </c>
      <c r="N1325" s="97" t="str">
        <f>IFERROR(__xludf.DUMMYFUNCTION("""COMPUTED_VALUE"""),"Indirecta")</f>
        <v>Indirecta</v>
      </c>
      <c r="O1325" s="97">
        <f>IFERROR(__xludf.DUMMYFUNCTION("""COMPUTED_VALUE"""),5.0)</f>
        <v>5</v>
      </c>
      <c r="P1325" s="97">
        <f>IFERROR(__xludf.DUMMYFUNCTION("""COMPUTED_VALUE"""),5.91)</f>
        <v>5.91</v>
      </c>
      <c r="Q1325" s="97">
        <f>IFERROR(__xludf.DUMMYFUNCTION("""COMPUTED_VALUE"""),0.6)</f>
        <v>0.6</v>
      </c>
      <c r="R1325" s="97" t="str">
        <f>IFERROR(__xludf.DUMMYFUNCTION("""COMPUTED_VALUE"""),"-")</f>
        <v>-</v>
      </c>
      <c r="S1325" s="97" t="str">
        <f>IFERROR(__xludf.DUMMYFUNCTION("""COMPUTED_VALUE"""),"-")</f>
        <v>-</v>
      </c>
      <c r="T1325" s="97">
        <f>IFERROR(__xludf.DUMMYFUNCTION("""COMPUTED_VALUE"""),85.0)</f>
        <v>85</v>
      </c>
      <c r="U1325" s="97">
        <f>IFERROR(__xludf.DUMMYFUNCTION("""COMPUTED_VALUE"""),17.0)</f>
        <v>17</v>
      </c>
      <c r="V1325" s="97">
        <f>IFERROR(__xludf.DUMMYFUNCTION("""COMPUTED_VALUE"""),175.0)</f>
        <v>175</v>
      </c>
      <c r="W1325" s="97" t="str">
        <f>IFERROR(__xludf.DUMMYFUNCTION("""COMPUTED_VALUE"""),"N/A")</f>
        <v>N/A</v>
      </c>
      <c r="X1325" s="97">
        <f>IFERROR(__xludf.DUMMYFUNCTION("""COMPUTED_VALUE"""),3000.0)</f>
        <v>3000</v>
      </c>
      <c r="Y1325" s="97" t="str">
        <f>IFERROR(__xludf.DUMMYFUNCTION("""COMPUTED_VALUE"""),"&gt;95")</f>
        <v>&gt;95</v>
      </c>
      <c r="Z1325" s="97" t="str">
        <f>IFERROR(__xludf.DUMMYFUNCTION("""COMPUTED_VALUE"""),"-")</f>
        <v>-</v>
      </c>
      <c r="AA1325" s="97" t="str">
        <f>IFERROR(__xludf.DUMMYFUNCTION("""COMPUTED_VALUE"""),"-")</f>
        <v>-</v>
      </c>
      <c r="AB1325" s="97" t="str">
        <f>IFERROR(__xludf.DUMMYFUNCTION("""COMPUTED_VALUE"""),"&lt; 3")</f>
        <v>&lt; 3</v>
      </c>
      <c r="AC1325" s="97">
        <f>IFERROR(__xludf.DUMMYFUNCTION("""COMPUTED_VALUE"""),0.003)</f>
        <v>0.003</v>
      </c>
      <c r="AD1325" s="97" t="str">
        <f>IFERROR(__xludf.DUMMYFUNCTION("""COMPUTED_VALUE"""),"IP20")</f>
        <v>IP20</v>
      </c>
      <c r="AE1325" s="97" t="str">
        <f>IFERROR(__xludf.DUMMYFUNCTION("""COMPUTED_VALUE"""),"Clase l")</f>
        <v>Clase l</v>
      </c>
      <c r="AF1325" s="97" t="str">
        <f>IFERROR(__xludf.DUMMYFUNCTION("""COMPUTED_VALUE"""),"Aplicar")</f>
        <v>Aplicar</v>
      </c>
      <c r="AG1325" s="97" t="str">
        <f>IFERROR(__xludf.DUMMYFUNCTION("""COMPUTED_VALUE"""),"Ø450 x 100")</f>
        <v>Ø450 x 100</v>
      </c>
      <c r="AH1325" s="97" t="str">
        <f>IFERROR(__xludf.DUMMYFUNCTION("""COMPUTED_VALUE"""),"N/A")</f>
        <v>N/A</v>
      </c>
      <c r="AI1325" s="97" t="str">
        <f>IFERROR(__xludf.DUMMYFUNCTION("""COMPUTED_VALUE"""),"N/A")</f>
        <v>N/A</v>
      </c>
      <c r="AJ1325" s="97" t="str">
        <f>IFERROR(__xludf.DUMMYFUNCTION("""COMPUTED_VALUE"""),"Policarbonato (PC)")</f>
        <v>Policarbonato (PC)</v>
      </c>
      <c r="AK1325" s="97" t="str">
        <f>IFERROR(__xludf.DUMMYFUNCTION("""COMPUTED_VALUE"""),"Fieltro y Aluminio")</f>
        <v>Fieltro y Aluminio</v>
      </c>
      <c r="AL1325" s="97" t="str">
        <f>IFERROR(__xludf.DUMMYFUNCTION("""COMPUTED_VALUE"""),"Verde Oliva")</f>
        <v>Verde Oliva</v>
      </c>
      <c r="AM1325" s="97" t="str">
        <f>IFERROR(__xludf.DUMMYFUNCTION("""COMPUTED_VALUE"""),"-")</f>
        <v>-</v>
      </c>
      <c r="AN1325" s="97" t="str">
        <f>IFERROR(__xludf.DUMMYFUNCTION("""COMPUTED_VALUE"""),"30.000hs (L70)")</f>
        <v>30.000hs (L70)</v>
      </c>
      <c r="AO1325" s="97" t="str">
        <f>IFERROR(__xludf.DUMMYFUNCTION("""COMPUTED_VALUE"""),"3 Años")</f>
        <v>3 Años</v>
      </c>
      <c r="AP1325" s="97" t="str">
        <f>IFERROR(__xludf.DUMMYFUNCTION("""COMPUTED_VALUE"""),"Disponible")</f>
        <v>Disponible</v>
      </c>
      <c r="AQ1325" s="97" t="str">
        <f>IFERROR(__xludf.DUMMYFUNCTION("""COMPUTED_VALUE"""),"Disponible")</f>
        <v>Disponible</v>
      </c>
      <c r="AR1325" s="97" t="str">
        <f>IFERROR(__xludf.DUMMYFUNCTION("""COMPUTED_VALUE"""),"Disponible")</f>
        <v>Disponible</v>
      </c>
      <c r="AS1325" s="97" t="str">
        <f>IFERROR(__xludf.DUMMYFUNCTION("""COMPUTED_VALUE"""),"En revisión")</f>
        <v>En revisión</v>
      </c>
      <c r="AT1325" s="97" t="str">
        <f>IFERROR(__xludf.DUMMYFUNCTION("""COMPUTED_VALUE"""),"Falta")</f>
        <v>Falta</v>
      </c>
      <c r="AU1325" s="97" t="str">
        <f>IFERROR(__xludf.DUMMYFUNCTION("""COMPUTED_VALUE"""),"Disponible")</f>
        <v>Disponible</v>
      </c>
      <c r="AV1325" s="97" t="str">
        <f>IFERROR(__xludf.DUMMYFUNCTION("""COMPUTED_VALUE"""),"Aplique")</f>
        <v>Aplique</v>
      </c>
      <c r="AW1325" s="97" t="str">
        <f>IFERROR(__xludf.DUMMYFUNCTION("""COMPUTED_VALUE"""),"De Pared")</f>
        <v>De Pared</v>
      </c>
      <c r="AX1325" s="97" t="str">
        <f>IFERROR(__xludf.DUMMYFUNCTION("""COMPUTED_VALUE"""),"Interior")</f>
        <v>Interior</v>
      </c>
      <c r="AY1325" s="97" t="str">
        <f>IFERROR(__xludf.DUMMYFUNCTION("""COMPUTED_VALUE"""),"Fieltro")</f>
        <v>Fieltro</v>
      </c>
      <c r="AZ1325" s="97"/>
      <c r="BA1325" s="97"/>
      <c r="BB1325" s="97" t="str">
        <f>IFERROR(__xludf.DUMMYFUNCTION("""COMPUTED_VALUE"""),"-")</f>
        <v>-</v>
      </c>
      <c r="BC1325" s="97" t="str">
        <f>IFERROR(__xludf.DUMMYFUNCTION("""COMPUTED_VALUE"""),"-")</f>
        <v>-</v>
      </c>
      <c r="BD1325" s="97" t="str">
        <f>IFERROR(__xludf.DUMMYFUNCTION("""COMPUTED_VALUE"""),"EKO")</f>
        <v>EKO</v>
      </c>
      <c r="BE1325" s="97" t="str">
        <f>IFERROR(__xludf.DUMMYFUNCTION("""COMPUTED_VALUE"""),"Solicitada")</f>
        <v>Solicitada</v>
      </c>
      <c r="BF1325" s="97"/>
      <c r="BG1325" s="97" t="str">
        <f>IFERROR(__xludf.DUMMYFUNCTION("""COMPUTED_VALUE"""),"REPO 6")</f>
        <v>REPO 6</v>
      </c>
    </row>
    <row r="1326">
      <c r="A1326" s="97">
        <f>IFERROR(__xludf.DUMMYFUNCTION("""COMPUTED_VALUE"""),7426.0)</f>
        <v>7426</v>
      </c>
      <c r="B1326" s="97" t="str">
        <f>IFERROR(__xludf.DUMMYFUNCTION("""COMPUTED_VALUE"""),"AXIS BL")</f>
        <v>AXIS BL</v>
      </c>
      <c r="C1326" s="97" t="str">
        <f>IFERROR(__xludf.DUMMYFUNCTION("""COMPUTED_VALUE"""),"COLGANTE AXIS BL 10W 3000K 735LM CRI&gt;95 IP20 LEUK")</f>
        <v>COLGANTE AXIS BL 10W 3000K 735LM CRI&gt;95 IP20 LEUK</v>
      </c>
      <c r="D1326" s="97">
        <f>IFERROR(__xludf.DUMMYFUNCTION("""COMPUTED_VALUE"""),7.798413228991E12)</f>
        <v>7798413228991</v>
      </c>
      <c r="E1326" s="97" t="str">
        <f>IFERROR(__xludf.DUMMYFUNCTION("""COMPUTED_VALUE"""),"A156")</f>
        <v>A156</v>
      </c>
      <c r="F1326" s="97" t="str">
        <f>IFERROR(__xludf.DUMMYFUNCTION("""COMPUTED_VALUE"""),"LED COB")</f>
        <v>LED COB</v>
      </c>
      <c r="G1326" s="97" t="str">
        <f>IFERROR(__xludf.DUMMYFUNCTION("""COMPUTED_VALUE"""),"CREE")</f>
        <v>CREE</v>
      </c>
      <c r="H1326" s="97" t="str">
        <f>IFERROR(__xludf.DUMMYFUNCTION("""COMPUTED_VALUE"""),"AcTEC")</f>
        <v>AcTEC</v>
      </c>
      <c r="I1326" s="97" t="str">
        <f>IFERROR(__xludf.DUMMYFUNCTION("""COMPUTED_VALUE"""),"Si")</f>
        <v>Si</v>
      </c>
      <c r="J1326" s="97" t="str">
        <f>IFERROR(__xludf.DUMMYFUNCTION("""COMPUTED_VALUE"""),"230mA - 36V")</f>
        <v>230mA - 36V</v>
      </c>
      <c r="K1326" s="97" t="str">
        <f>IFERROR(__xludf.DUMMYFUNCTION("""COMPUTED_VALUE"""),"TRIAC")</f>
        <v>TRIAC</v>
      </c>
      <c r="L1326" s="97" t="str">
        <f>IFERROR(__xludf.DUMMYFUNCTION("""COMPUTED_VALUE"""),"220-240")</f>
        <v>220-240</v>
      </c>
      <c r="M1326" s="97" t="str">
        <f>IFERROR(__xludf.DUMMYFUNCTION("""COMPUTED_VALUE"""),"50/60")</f>
        <v>50/60</v>
      </c>
      <c r="N1326" s="97" t="str">
        <f>IFERROR(__xludf.DUMMYFUNCTION("""COMPUTED_VALUE"""),"Directa")</f>
        <v>Directa</v>
      </c>
      <c r="O1326" s="97">
        <f>IFERROR(__xludf.DUMMYFUNCTION("""COMPUTED_VALUE"""),10.0)</f>
        <v>10</v>
      </c>
      <c r="P1326" s="97">
        <f>IFERROR(__xludf.DUMMYFUNCTION("""COMPUTED_VALUE"""),10.45)</f>
        <v>10.45</v>
      </c>
      <c r="Q1326" s="97">
        <f>IFERROR(__xludf.DUMMYFUNCTION("""COMPUTED_VALUE"""),0.95)</f>
        <v>0.95</v>
      </c>
      <c r="R1326" s="97" t="str">
        <f>IFERROR(__xludf.DUMMYFUNCTION("""COMPUTED_VALUE"""),"-")</f>
        <v>-</v>
      </c>
      <c r="S1326" s="97" t="str">
        <f>IFERROR(__xludf.DUMMYFUNCTION("""COMPUTED_VALUE"""),"-")</f>
        <v>-</v>
      </c>
      <c r="T1326" s="97">
        <f>IFERROR(__xludf.DUMMYFUNCTION("""COMPUTED_VALUE"""),735.0)</f>
        <v>735</v>
      </c>
      <c r="U1326" s="99">
        <f>IFERROR(__xludf.DUMMYFUNCTION("""COMPUTED_VALUE"""),73.5)</f>
        <v>73.5</v>
      </c>
      <c r="V1326" s="97">
        <f>IFERROR(__xludf.DUMMYFUNCTION("""COMPUTED_VALUE"""),38.0)</f>
        <v>38</v>
      </c>
      <c r="W1326" s="97" t="str">
        <f>IFERROR(__xludf.DUMMYFUNCTION("""COMPUTED_VALUE"""),"&lt; 16")</f>
        <v>&lt; 16</v>
      </c>
      <c r="X1326" s="97">
        <f>IFERROR(__xludf.DUMMYFUNCTION("""COMPUTED_VALUE"""),3000.0)</f>
        <v>3000</v>
      </c>
      <c r="Y1326" s="97" t="str">
        <f>IFERROR(__xludf.DUMMYFUNCTION("""COMPUTED_VALUE"""),"&gt;95")</f>
        <v>&gt;95</v>
      </c>
      <c r="Z1326" s="97" t="str">
        <f>IFERROR(__xludf.DUMMYFUNCTION("""COMPUTED_VALUE"""),"-")</f>
        <v>-</v>
      </c>
      <c r="AA1326" s="97" t="str">
        <f>IFERROR(__xludf.DUMMYFUNCTION("""COMPUTED_VALUE"""),"-")</f>
        <v>-</v>
      </c>
      <c r="AB1326" s="97" t="str">
        <f>IFERROR(__xludf.DUMMYFUNCTION("""COMPUTED_VALUE"""),"&lt; 4")</f>
        <v>&lt; 4</v>
      </c>
      <c r="AC1326" s="97">
        <f>IFERROR(__xludf.DUMMYFUNCTION("""COMPUTED_VALUE"""),0.0021)</f>
        <v>0.0021</v>
      </c>
      <c r="AD1326" s="97" t="str">
        <f>IFERROR(__xludf.DUMMYFUNCTION("""COMPUTED_VALUE"""),"IP20")</f>
        <v>IP20</v>
      </c>
      <c r="AE1326" s="97" t="str">
        <f>IFERROR(__xludf.DUMMYFUNCTION("""COMPUTED_VALUE"""),"Clase l")</f>
        <v>Clase l</v>
      </c>
      <c r="AF1326" s="97" t="str">
        <f>IFERROR(__xludf.DUMMYFUNCTION("""COMPUTED_VALUE"""),"Suspender")</f>
        <v>Suspender</v>
      </c>
      <c r="AG1326" s="97" t="str">
        <f>IFERROR(__xludf.DUMMYFUNCTION("""COMPUTED_VALUE"""),"Ø57 x 400")</f>
        <v>Ø57 x 400</v>
      </c>
      <c r="AH1326" s="97" t="str">
        <f>IFERROR(__xludf.DUMMYFUNCTION("""COMPUTED_VALUE"""),"N/A")</f>
        <v>N/A</v>
      </c>
      <c r="AI1326" s="97" t="str">
        <f>IFERROR(__xludf.DUMMYFUNCTION("""COMPUTED_VALUE"""),"N/A")</f>
        <v>N/A</v>
      </c>
      <c r="AJ1326" s="97" t="str">
        <f>IFERROR(__xludf.DUMMYFUNCTION("""COMPUTED_VALUE"""),"PMMA")</f>
        <v>PMMA</v>
      </c>
      <c r="AK1326" s="97" t="str">
        <f>IFERROR(__xludf.DUMMYFUNCTION("""COMPUTED_VALUE"""),"Aluminio")</f>
        <v>Aluminio</v>
      </c>
      <c r="AL1326" s="97" t="str">
        <f>IFERROR(__xludf.DUMMYFUNCTION("""COMPUTED_VALUE"""),"Blanco Mate")</f>
        <v>Blanco Mate</v>
      </c>
      <c r="AM1326" s="97" t="str">
        <f>IFERROR(__xludf.DUMMYFUNCTION("""COMPUTED_VALUE"""),"-")</f>
        <v>-</v>
      </c>
      <c r="AN1326" s="97" t="str">
        <f>IFERROR(__xludf.DUMMYFUNCTION("""COMPUTED_VALUE"""),"30.000hs (L70)")</f>
        <v>30.000hs (L70)</v>
      </c>
      <c r="AO1326" s="97" t="str">
        <f>IFERROR(__xludf.DUMMYFUNCTION("""COMPUTED_VALUE"""),"3 Años")</f>
        <v>3 Años</v>
      </c>
      <c r="AP1326" s="97" t="str">
        <f>IFERROR(__xludf.DUMMYFUNCTION("""COMPUTED_VALUE"""),"Disponible")</f>
        <v>Disponible</v>
      </c>
      <c r="AQ1326" s="97" t="str">
        <f>IFERROR(__xludf.DUMMYFUNCTION("""COMPUTED_VALUE"""),"Disponible")</f>
        <v>Disponible</v>
      </c>
      <c r="AR1326" s="97" t="str">
        <f>IFERROR(__xludf.DUMMYFUNCTION("""COMPUTED_VALUE"""),"Disponible")</f>
        <v>Disponible</v>
      </c>
      <c r="AS1326" s="97" t="str">
        <f>IFERROR(__xludf.DUMMYFUNCTION("""COMPUTED_VALUE"""),"En revisión")</f>
        <v>En revisión</v>
      </c>
      <c r="AT1326" s="97" t="str">
        <f>IFERROR(__xludf.DUMMYFUNCTION("""COMPUTED_VALUE"""),"Disponible")</f>
        <v>Disponible</v>
      </c>
      <c r="AU1326" s="97" t="str">
        <f>IFERROR(__xludf.DUMMYFUNCTION("""COMPUTED_VALUE"""),"Disponible")</f>
        <v>Disponible</v>
      </c>
      <c r="AV1326" s="97" t="str">
        <f>IFERROR(__xludf.DUMMYFUNCTION("""COMPUTED_VALUE"""),"Colgante")</f>
        <v>Colgante</v>
      </c>
      <c r="AW1326" s="97" t="str">
        <f>IFERROR(__xludf.DUMMYFUNCTION("""COMPUTED_VALUE"""),"De Techo")</f>
        <v>De Techo</v>
      </c>
      <c r="AX1326" s="97" t="str">
        <f>IFERROR(__xludf.DUMMYFUNCTION("""COMPUTED_VALUE"""),"Interior")</f>
        <v>Interior</v>
      </c>
      <c r="AY1326" s="97" t="str">
        <f>IFERROR(__xludf.DUMMYFUNCTION("""COMPUTED_VALUE"""),"-")</f>
        <v>-</v>
      </c>
      <c r="AZ1326" s="97"/>
      <c r="BA1326" s="97"/>
      <c r="BB1326" s="97" t="str">
        <f>IFERROR(__xludf.DUMMYFUNCTION("""COMPUTED_VALUE"""),"-")</f>
        <v>-</v>
      </c>
      <c r="BC1326" s="97" t="str">
        <f>IFERROR(__xludf.DUMMYFUNCTION("""COMPUTED_VALUE"""),"-")</f>
        <v>-</v>
      </c>
      <c r="BD1326" s="97" t="str">
        <f>IFERROR(__xludf.DUMMYFUNCTION("""COMPUTED_VALUE"""),"AXIS")</f>
        <v>AXIS</v>
      </c>
      <c r="BE1326" s="97" t="str">
        <f>IFERROR(__xludf.DUMMYFUNCTION("""COMPUTED_VALUE"""),"Solicitada")</f>
        <v>Solicitada</v>
      </c>
      <c r="BF1326" s="97"/>
      <c r="BG1326" s="97" t="str">
        <f>IFERROR(__xludf.DUMMYFUNCTION("""COMPUTED_VALUE"""),"REPO 6")</f>
        <v>REPO 6</v>
      </c>
    </row>
    <row r="1327">
      <c r="A1327" s="97">
        <f>IFERROR(__xludf.DUMMYFUNCTION("""COMPUTED_VALUE"""),7427.0)</f>
        <v>7427</v>
      </c>
      <c r="B1327" s="97" t="str">
        <f>IFERROR(__xludf.DUMMYFUNCTION("""COMPUTED_VALUE"""),"AXIS II BL")</f>
        <v>AXIS II BL</v>
      </c>
      <c r="C1327" s="97" t="str">
        <f>IFERROR(__xludf.DUMMYFUNCTION("""COMPUTED_VALUE"""),"COLGANTE AXIS II BL 10W 3000K 785LM CRI&gt;95 IP20 LEUK")</f>
        <v>COLGANTE AXIS II BL 10W 3000K 785LM CRI&gt;95 IP20 LEUK</v>
      </c>
      <c r="D1327" s="97">
        <f>IFERROR(__xludf.DUMMYFUNCTION("""COMPUTED_VALUE"""),7.798413229004E12)</f>
        <v>7798413229004</v>
      </c>
      <c r="E1327" s="97" t="str">
        <f>IFERROR(__xludf.DUMMYFUNCTION("""COMPUTED_VALUE"""),"A156")</f>
        <v>A156</v>
      </c>
      <c r="F1327" s="97" t="str">
        <f>IFERROR(__xludf.DUMMYFUNCTION("""COMPUTED_VALUE"""),"LED COB")</f>
        <v>LED COB</v>
      </c>
      <c r="G1327" s="97" t="str">
        <f>IFERROR(__xludf.DUMMYFUNCTION("""COMPUTED_VALUE"""),"CREE")</f>
        <v>CREE</v>
      </c>
      <c r="H1327" s="97" t="str">
        <f>IFERROR(__xludf.DUMMYFUNCTION("""COMPUTED_VALUE"""),"AcTEC")</f>
        <v>AcTEC</v>
      </c>
      <c r="I1327" s="97" t="str">
        <f>IFERROR(__xludf.DUMMYFUNCTION("""COMPUTED_VALUE"""),"Si")</f>
        <v>Si</v>
      </c>
      <c r="J1327" s="97" t="str">
        <f>IFERROR(__xludf.DUMMYFUNCTION("""COMPUTED_VALUE"""),"230mA - 36V")</f>
        <v>230mA - 36V</v>
      </c>
      <c r="K1327" s="97" t="str">
        <f>IFERROR(__xludf.DUMMYFUNCTION("""COMPUTED_VALUE"""),"TRIAC")</f>
        <v>TRIAC</v>
      </c>
      <c r="L1327" s="97" t="str">
        <f>IFERROR(__xludf.DUMMYFUNCTION("""COMPUTED_VALUE"""),"220-240")</f>
        <v>220-240</v>
      </c>
      <c r="M1327" s="97" t="str">
        <f>IFERROR(__xludf.DUMMYFUNCTION("""COMPUTED_VALUE"""),"50/60")</f>
        <v>50/60</v>
      </c>
      <c r="N1327" s="97" t="str">
        <f>IFERROR(__xludf.DUMMYFUNCTION("""COMPUTED_VALUE"""),"Directa")</f>
        <v>Directa</v>
      </c>
      <c r="O1327" s="97">
        <f>IFERROR(__xludf.DUMMYFUNCTION("""COMPUTED_VALUE"""),10.0)</f>
        <v>10</v>
      </c>
      <c r="P1327" s="97">
        <f>IFERROR(__xludf.DUMMYFUNCTION("""COMPUTED_VALUE"""),10.64)</f>
        <v>10.64</v>
      </c>
      <c r="Q1327" s="97">
        <f>IFERROR(__xludf.DUMMYFUNCTION("""COMPUTED_VALUE"""),0.95)</f>
        <v>0.95</v>
      </c>
      <c r="R1327" s="97" t="str">
        <f>IFERROR(__xludf.DUMMYFUNCTION("""COMPUTED_VALUE"""),"-")</f>
        <v>-</v>
      </c>
      <c r="S1327" s="97" t="str">
        <f>IFERROR(__xludf.DUMMYFUNCTION("""COMPUTED_VALUE"""),"-")</f>
        <v>-</v>
      </c>
      <c r="T1327" s="97">
        <f>IFERROR(__xludf.DUMMYFUNCTION("""COMPUTED_VALUE"""),785.0)</f>
        <v>785</v>
      </c>
      <c r="U1327" s="99">
        <f>IFERROR(__xludf.DUMMYFUNCTION("""COMPUTED_VALUE"""),78.5)</f>
        <v>78.5</v>
      </c>
      <c r="V1327" s="97">
        <f>IFERROR(__xludf.DUMMYFUNCTION("""COMPUTED_VALUE"""),38.0)</f>
        <v>38</v>
      </c>
      <c r="W1327" s="97" t="str">
        <f>IFERROR(__xludf.DUMMYFUNCTION("""COMPUTED_VALUE"""),"&lt; 16")</f>
        <v>&lt; 16</v>
      </c>
      <c r="X1327" s="97">
        <f>IFERROR(__xludf.DUMMYFUNCTION("""COMPUTED_VALUE"""),3000.0)</f>
        <v>3000</v>
      </c>
      <c r="Y1327" s="97" t="str">
        <f>IFERROR(__xludf.DUMMYFUNCTION("""COMPUTED_VALUE"""),"&gt;95")</f>
        <v>&gt;95</v>
      </c>
      <c r="Z1327" s="97" t="str">
        <f>IFERROR(__xludf.DUMMYFUNCTION("""COMPUTED_VALUE"""),"-")</f>
        <v>-</v>
      </c>
      <c r="AA1327" s="97" t="str">
        <f>IFERROR(__xludf.DUMMYFUNCTION("""COMPUTED_VALUE"""),"-")</f>
        <v>-</v>
      </c>
      <c r="AB1327" s="97" t="str">
        <f>IFERROR(__xludf.DUMMYFUNCTION("""COMPUTED_VALUE"""),"&lt; 4")</f>
        <v>&lt; 4</v>
      </c>
      <c r="AC1327" s="97">
        <f>IFERROR(__xludf.DUMMYFUNCTION("""COMPUTED_VALUE"""),0.0022)</f>
        <v>0.0022</v>
      </c>
      <c r="AD1327" s="97" t="str">
        <f>IFERROR(__xludf.DUMMYFUNCTION("""COMPUTED_VALUE"""),"IP20")</f>
        <v>IP20</v>
      </c>
      <c r="AE1327" s="97" t="str">
        <f>IFERROR(__xludf.DUMMYFUNCTION("""COMPUTED_VALUE"""),"Clase l")</f>
        <v>Clase l</v>
      </c>
      <c r="AF1327" s="97" t="str">
        <f>IFERROR(__xludf.DUMMYFUNCTION("""COMPUTED_VALUE"""),"Suspender")</f>
        <v>Suspender</v>
      </c>
      <c r="AG1327" s="97" t="str">
        <f>IFERROR(__xludf.DUMMYFUNCTION("""COMPUTED_VALUE"""),"Ø76 x 600")</f>
        <v>Ø76 x 600</v>
      </c>
      <c r="AH1327" s="97" t="str">
        <f>IFERROR(__xludf.DUMMYFUNCTION("""COMPUTED_VALUE"""),"N/A")</f>
        <v>N/A</v>
      </c>
      <c r="AI1327" s="97" t="str">
        <f>IFERROR(__xludf.DUMMYFUNCTION("""COMPUTED_VALUE"""),"N/A")</f>
        <v>N/A</v>
      </c>
      <c r="AJ1327" s="97" t="str">
        <f>IFERROR(__xludf.DUMMYFUNCTION("""COMPUTED_VALUE"""),"PMMA")</f>
        <v>PMMA</v>
      </c>
      <c r="AK1327" s="97" t="str">
        <f>IFERROR(__xludf.DUMMYFUNCTION("""COMPUTED_VALUE"""),"Aluminio")</f>
        <v>Aluminio</v>
      </c>
      <c r="AL1327" s="97" t="str">
        <f>IFERROR(__xludf.DUMMYFUNCTION("""COMPUTED_VALUE"""),"Blanco Mate")</f>
        <v>Blanco Mate</v>
      </c>
      <c r="AM1327" s="97" t="str">
        <f>IFERROR(__xludf.DUMMYFUNCTION("""COMPUTED_VALUE"""),"-")</f>
        <v>-</v>
      </c>
      <c r="AN1327" s="97" t="str">
        <f>IFERROR(__xludf.DUMMYFUNCTION("""COMPUTED_VALUE"""),"30.000hs (L70)")</f>
        <v>30.000hs (L70)</v>
      </c>
      <c r="AO1327" s="97" t="str">
        <f>IFERROR(__xludf.DUMMYFUNCTION("""COMPUTED_VALUE"""),"3 Años")</f>
        <v>3 Años</v>
      </c>
      <c r="AP1327" s="97" t="str">
        <f>IFERROR(__xludf.DUMMYFUNCTION("""COMPUTED_VALUE"""),"Disponible")</f>
        <v>Disponible</v>
      </c>
      <c r="AQ1327" s="97" t="str">
        <f>IFERROR(__xludf.DUMMYFUNCTION("""COMPUTED_VALUE"""),"Disponible")</f>
        <v>Disponible</v>
      </c>
      <c r="AR1327" s="97" t="str">
        <f>IFERROR(__xludf.DUMMYFUNCTION("""COMPUTED_VALUE"""),"Disponible")</f>
        <v>Disponible</v>
      </c>
      <c r="AS1327" s="97" t="str">
        <f>IFERROR(__xludf.DUMMYFUNCTION("""COMPUTED_VALUE"""),"En revisión")</f>
        <v>En revisión</v>
      </c>
      <c r="AT1327" s="97" t="str">
        <f>IFERROR(__xludf.DUMMYFUNCTION("""COMPUTED_VALUE"""),"Disponible")</f>
        <v>Disponible</v>
      </c>
      <c r="AU1327" s="97" t="str">
        <f>IFERROR(__xludf.DUMMYFUNCTION("""COMPUTED_VALUE"""),"Disponible")</f>
        <v>Disponible</v>
      </c>
      <c r="AV1327" s="97" t="str">
        <f>IFERROR(__xludf.DUMMYFUNCTION("""COMPUTED_VALUE"""),"Colgante")</f>
        <v>Colgante</v>
      </c>
      <c r="AW1327" s="97" t="str">
        <f>IFERROR(__xludf.DUMMYFUNCTION("""COMPUTED_VALUE"""),"De Techo")</f>
        <v>De Techo</v>
      </c>
      <c r="AX1327" s="97" t="str">
        <f>IFERROR(__xludf.DUMMYFUNCTION("""COMPUTED_VALUE"""),"Interior")</f>
        <v>Interior</v>
      </c>
      <c r="AY1327" s="97" t="str">
        <f>IFERROR(__xludf.DUMMYFUNCTION("""COMPUTED_VALUE"""),"-")</f>
        <v>-</v>
      </c>
      <c r="AZ1327" s="97"/>
      <c r="BA1327" s="97"/>
      <c r="BB1327" s="97" t="str">
        <f>IFERROR(__xludf.DUMMYFUNCTION("""COMPUTED_VALUE"""),"-")</f>
        <v>-</v>
      </c>
      <c r="BC1327" s="97" t="str">
        <f>IFERROR(__xludf.DUMMYFUNCTION("""COMPUTED_VALUE"""),"-")</f>
        <v>-</v>
      </c>
      <c r="BD1327" s="97" t="str">
        <f>IFERROR(__xludf.DUMMYFUNCTION("""COMPUTED_VALUE"""),"AXIS")</f>
        <v>AXIS</v>
      </c>
      <c r="BE1327" s="97" t="str">
        <f>IFERROR(__xludf.DUMMYFUNCTION("""COMPUTED_VALUE"""),"Solicitada")</f>
        <v>Solicitada</v>
      </c>
      <c r="BF1327" s="97"/>
      <c r="BG1327" s="97" t="str">
        <f>IFERROR(__xludf.DUMMYFUNCTION("""COMPUTED_VALUE"""),"REPO 6")</f>
        <v>REPO 6</v>
      </c>
    </row>
    <row r="1328">
      <c r="A1328" s="97">
        <f>IFERROR(__xludf.DUMMYFUNCTION("""COMPUTED_VALUE"""),7428.0)</f>
        <v>7428</v>
      </c>
      <c r="B1328" s="97" t="str">
        <f>IFERROR(__xludf.DUMMYFUNCTION("""COMPUTED_VALUE"""),"LOOP BL 3000k")</f>
        <v>LOOP BL 3000k</v>
      </c>
      <c r="C1328" s="97" t="str">
        <f>IFERROR(__xludf.DUMMYFUNCTION("""COMPUTED_VALUE"""),"APLIQUE LOOP BL 3000K 12W 3000K 725LM CRI&gt;90 IP44 LEUK")</f>
        <v>APLIQUE LOOP BL 3000K 12W 3000K 725LM CRI&gt;90 IP44 LEUK</v>
      </c>
      <c r="D1328" s="97">
        <f>IFERROR(__xludf.DUMMYFUNCTION("""COMPUTED_VALUE"""),7.798413229011E12)</f>
        <v>7798413229011</v>
      </c>
      <c r="E1328" s="97" t="str">
        <f>IFERROR(__xludf.DUMMYFUNCTION("""COMPUTED_VALUE"""),"R130")</f>
        <v>R130</v>
      </c>
      <c r="F1328" s="97" t="str">
        <f>IFERROR(__xludf.DUMMYFUNCTION("""COMPUTED_VALUE"""),"LED COB")</f>
        <v>LED COB</v>
      </c>
      <c r="G1328" s="97" t="str">
        <f>IFERROR(__xludf.DUMMYFUNCTION("""COMPUTED_VALUE"""),"Bridgelux")</f>
        <v>Bridgelux</v>
      </c>
      <c r="H1328" s="97" t="str">
        <f>IFERROR(__xludf.DUMMYFUNCTION("""COMPUTED_VALUE"""),"Eaglerise")</f>
        <v>Eaglerise</v>
      </c>
      <c r="I1328" s="97" t="str">
        <f>IFERROR(__xludf.DUMMYFUNCTION("""COMPUTED_VALUE"""),"Si")</f>
        <v>Si</v>
      </c>
      <c r="J1328" s="97" t="str">
        <f>IFERROR(__xludf.DUMMYFUNCTION("""COMPUTED_VALUE"""),"Modelo: LS-15-300 TRIAC LI1
15W | 220-240VAC | 300mA
28-40VDC | 82% | 0.95 | 102*38*25mm")</f>
        <v>Modelo: LS-15-300 TRIAC LI1
15W | 220-240VAC | 300mA
28-40VDC | 82% | 0.95 | 102*38*25mm</v>
      </c>
      <c r="K1328" s="97" t="str">
        <f>IFERROR(__xludf.DUMMYFUNCTION("""COMPUTED_VALUE"""),"TRIAC")</f>
        <v>TRIAC</v>
      </c>
      <c r="L1328" s="97" t="str">
        <f>IFERROR(__xludf.DUMMYFUNCTION("""COMPUTED_VALUE"""),"200-240")</f>
        <v>200-240</v>
      </c>
      <c r="M1328" s="97" t="str">
        <f>IFERROR(__xludf.DUMMYFUNCTION("""COMPUTED_VALUE"""),"50/60")</f>
        <v>50/60</v>
      </c>
      <c r="N1328" s="97" t="str">
        <f>IFERROR(__xludf.DUMMYFUNCTION("""COMPUTED_VALUE"""),"Directa")</f>
        <v>Directa</v>
      </c>
      <c r="O1328" s="97">
        <f>IFERROR(__xludf.DUMMYFUNCTION("""COMPUTED_VALUE"""),12.0)</f>
        <v>12</v>
      </c>
      <c r="P1328" s="97">
        <f>IFERROR(__xludf.DUMMYFUNCTION("""COMPUTED_VALUE"""),12.34)</f>
        <v>12.34</v>
      </c>
      <c r="Q1328" s="97">
        <f>IFERROR(__xludf.DUMMYFUNCTION("""COMPUTED_VALUE"""),0.95)</f>
        <v>0.95</v>
      </c>
      <c r="R1328" s="97" t="str">
        <f>IFERROR(__xludf.DUMMYFUNCTION("""COMPUTED_VALUE"""),"-")</f>
        <v>-</v>
      </c>
      <c r="S1328" s="97" t="str">
        <f>IFERROR(__xludf.DUMMYFUNCTION("""COMPUTED_VALUE"""),"-")</f>
        <v>-</v>
      </c>
      <c r="T1328" s="97">
        <f>IFERROR(__xludf.DUMMYFUNCTION("""COMPUTED_VALUE"""),725.0)</f>
        <v>725</v>
      </c>
      <c r="U1328" s="99">
        <f>IFERROR(__xludf.DUMMYFUNCTION("""COMPUTED_VALUE"""),60.416666666666664)</f>
        <v>60.41666667</v>
      </c>
      <c r="V1328" s="97">
        <f>IFERROR(__xludf.DUMMYFUNCTION("""COMPUTED_VALUE"""),36.0)</f>
        <v>36</v>
      </c>
      <c r="W1328" s="97" t="str">
        <f>IFERROR(__xludf.DUMMYFUNCTION("""COMPUTED_VALUE"""),"&lt; 10")</f>
        <v>&lt; 10</v>
      </c>
      <c r="X1328" s="97">
        <f>IFERROR(__xludf.DUMMYFUNCTION("""COMPUTED_VALUE"""),3000.0)</f>
        <v>3000</v>
      </c>
      <c r="Y1328" s="97" t="str">
        <f>IFERROR(__xludf.DUMMYFUNCTION("""COMPUTED_VALUE"""),"&gt;90")</f>
        <v>&gt;90</v>
      </c>
      <c r="Z1328" s="97" t="str">
        <f>IFERROR(__xludf.DUMMYFUNCTION("""COMPUTED_VALUE"""),"&gt;90")</f>
        <v>&gt;90</v>
      </c>
      <c r="AA1328" s="97" t="str">
        <f>IFERROR(__xludf.DUMMYFUNCTION("""COMPUTED_VALUE"""),"101-110 (Vivido)")</f>
        <v>101-110 (Vivido)</v>
      </c>
      <c r="AB1328" s="97" t="str">
        <f>IFERROR(__xludf.DUMMYFUNCTION("""COMPUTED_VALUE"""),"&lt; 2")</f>
        <v>&lt; 2</v>
      </c>
      <c r="AC1328" s="97">
        <f>IFERROR(__xludf.DUMMYFUNCTION("""COMPUTED_VALUE"""),-9.6E-4)</f>
        <v>-0.00096</v>
      </c>
      <c r="AD1328" s="97" t="str">
        <f>IFERROR(__xludf.DUMMYFUNCTION("""COMPUTED_VALUE"""),"IP44")</f>
        <v>IP44</v>
      </c>
      <c r="AE1328" s="97"/>
      <c r="AF1328" s="97" t="str">
        <f>IFERROR(__xludf.DUMMYFUNCTION("""COMPUTED_VALUE"""),"Aplicar")</f>
        <v>Aplicar</v>
      </c>
      <c r="AG1328" s="97" t="str">
        <f>IFERROR(__xludf.DUMMYFUNCTION("""COMPUTED_VALUE"""),"Ø96 x 80")</f>
        <v>Ø96 x 80</v>
      </c>
      <c r="AH1328" s="97" t="str">
        <f>IFERROR(__xludf.DUMMYFUNCTION("""COMPUTED_VALUE"""),"N/A")</f>
        <v>N/A</v>
      </c>
      <c r="AI1328" s="97" t="str">
        <f>IFERROR(__xludf.DUMMYFUNCTION("""COMPUTED_VALUE"""),"N/A")</f>
        <v>N/A</v>
      </c>
      <c r="AJ1328" s="97"/>
      <c r="AK1328" s="97" t="str">
        <f>IFERROR(__xludf.DUMMYFUNCTION("""COMPUTED_VALUE"""),"Aluminio")</f>
        <v>Aluminio</v>
      </c>
      <c r="AL1328" s="97" t="str">
        <f>IFERROR(__xludf.DUMMYFUNCTION("""COMPUTED_VALUE"""),"Blanco Satinado")</f>
        <v>Blanco Satinado</v>
      </c>
      <c r="AM1328" s="97"/>
      <c r="AN1328" s="97" t="str">
        <f>IFERROR(__xludf.DUMMYFUNCTION("""COMPUTED_VALUE"""),"30.000hs (L70)")</f>
        <v>30.000hs (L70)</v>
      </c>
      <c r="AO1328" s="97" t="str">
        <f>IFERROR(__xludf.DUMMYFUNCTION("""COMPUTED_VALUE"""),"3 Años")</f>
        <v>3 Años</v>
      </c>
      <c r="AP1328" s="97" t="str">
        <f>IFERROR(__xludf.DUMMYFUNCTION("""COMPUTED_VALUE"""),"Disponible")</f>
        <v>Disponible</v>
      </c>
      <c r="AQ1328" s="97" t="str">
        <f>IFERROR(__xludf.DUMMYFUNCTION("""COMPUTED_VALUE"""),"Disponible")</f>
        <v>Disponible</v>
      </c>
      <c r="AR1328" s="97" t="str">
        <f>IFERROR(__xludf.DUMMYFUNCTION("""COMPUTED_VALUE"""),"Disponible")</f>
        <v>Disponible</v>
      </c>
      <c r="AS1328" s="97" t="str">
        <f>IFERROR(__xludf.DUMMYFUNCTION("""COMPUTED_VALUE"""),"Disponible")</f>
        <v>Disponible</v>
      </c>
      <c r="AT1328" s="97" t="str">
        <f>IFERROR(__xludf.DUMMYFUNCTION("""COMPUTED_VALUE"""),"Disponible")</f>
        <v>Disponible</v>
      </c>
      <c r="AU1328" s="97" t="str">
        <f>IFERROR(__xludf.DUMMYFUNCTION("""COMPUTED_VALUE"""),"Disponible")</f>
        <v>Disponible</v>
      </c>
      <c r="AV1328" s="97" t="str">
        <f>IFERROR(__xludf.DUMMYFUNCTION("""COMPUTED_VALUE"""),"Aplique")</f>
        <v>Aplique</v>
      </c>
      <c r="AW1328" s="97" t="str">
        <f>IFERROR(__xludf.DUMMYFUNCTION("""COMPUTED_VALUE"""),"De Techo")</f>
        <v>De Techo</v>
      </c>
      <c r="AX1328" s="97" t="str">
        <f>IFERROR(__xludf.DUMMYFUNCTION("""COMPUTED_VALUE"""),"Exterior")</f>
        <v>Exterior</v>
      </c>
      <c r="AY1328" s="97" t="str">
        <f>IFERROR(__xludf.DUMMYFUNCTION("""COMPUTED_VALUE"""),"Confort Visual")</f>
        <v>Confort Visual</v>
      </c>
      <c r="AZ1328" s="97" t="str">
        <f>IFERROR(__xludf.DUMMYFUNCTION("""COMPUTED_VALUE"""),"Con lente HoneyComb. Angulo de mov. 355°")</f>
        <v>Con lente HoneyComb. Angulo de mov. 355°</v>
      </c>
      <c r="BA1328" s="97"/>
      <c r="BB1328" s="97"/>
      <c r="BC1328" s="97"/>
      <c r="BD1328" s="97" t="str">
        <f>IFERROR(__xludf.DUMMYFUNCTION("""COMPUTED_VALUE"""),"LOOP")</f>
        <v>LOOP</v>
      </c>
      <c r="BE1328" s="97" t="str">
        <f>IFERROR(__xludf.DUMMYFUNCTION("""COMPUTED_VALUE"""),"Solicitada")</f>
        <v>Solicitada</v>
      </c>
      <c r="BF1328" s="97"/>
      <c r="BG1328" s="97" t="str">
        <f>IFERROR(__xludf.DUMMYFUNCTION("""COMPUTED_VALUE"""),"REPO 7")</f>
        <v>REPO 7</v>
      </c>
    </row>
    <row r="1329">
      <c r="A1329" s="97">
        <f>IFERROR(__xludf.DUMMYFUNCTION("""COMPUTED_VALUE"""),7429.0)</f>
        <v>7429</v>
      </c>
      <c r="B1329" s="97" t="str">
        <f>IFERROR(__xludf.DUMMYFUNCTION("""COMPUTED_VALUE"""),"LOOP NG 3000k")</f>
        <v>LOOP NG 3000k</v>
      </c>
      <c r="C1329" s="97" t="str">
        <f>IFERROR(__xludf.DUMMYFUNCTION("""COMPUTED_VALUE"""),"APLIQUE LOOP NG 3000K 12W 3000K 725LM CRI&gt;90 IP44 LEUK")</f>
        <v>APLIQUE LOOP NG 3000K 12W 3000K 725LM CRI&gt;90 IP44 LEUK</v>
      </c>
      <c r="D1329" s="97">
        <f>IFERROR(__xludf.DUMMYFUNCTION("""COMPUTED_VALUE"""),7.798413229028E12)</f>
        <v>7798413229028</v>
      </c>
      <c r="E1329" s="97" t="str">
        <f>IFERROR(__xludf.DUMMYFUNCTION("""COMPUTED_VALUE"""),"R130")</f>
        <v>R130</v>
      </c>
      <c r="F1329" s="97" t="str">
        <f>IFERROR(__xludf.DUMMYFUNCTION("""COMPUTED_VALUE"""),"LED COB")</f>
        <v>LED COB</v>
      </c>
      <c r="G1329" s="97" t="str">
        <f>IFERROR(__xludf.DUMMYFUNCTION("""COMPUTED_VALUE"""),"Bridgelux")</f>
        <v>Bridgelux</v>
      </c>
      <c r="H1329" s="97" t="str">
        <f>IFERROR(__xludf.DUMMYFUNCTION("""COMPUTED_VALUE"""),"Eaglerise")</f>
        <v>Eaglerise</v>
      </c>
      <c r="I1329" s="97" t="str">
        <f>IFERROR(__xludf.DUMMYFUNCTION("""COMPUTED_VALUE"""),"Si")</f>
        <v>Si</v>
      </c>
      <c r="J1329" s="97" t="str">
        <f>IFERROR(__xludf.DUMMYFUNCTION("""COMPUTED_VALUE"""),"Modelo: LS-15-300 TRIAC LI1
15W | 220-240VAC | 300mA
28-40VDC | 82% | 0.95 | 102*38*25mm")</f>
        <v>Modelo: LS-15-300 TRIAC LI1
15W | 220-240VAC | 300mA
28-40VDC | 82% | 0.95 | 102*38*25mm</v>
      </c>
      <c r="K1329" s="97" t="str">
        <f>IFERROR(__xludf.DUMMYFUNCTION("""COMPUTED_VALUE"""),"TRIAC")</f>
        <v>TRIAC</v>
      </c>
      <c r="L1329" s="97" t="str">
        <f>IFERROR(__xludf.DUMMYFUNCTION("""COMPUTED_VALUE"""),"200-240")</f>
        <v>200-240</v>
      </c>
      <c r="M1329" s="97" t="str">
        <f>IFERROR(__xludf.DUMMYFUNCTION("""COMPUTED_VALUE"""),"50/60")</f>
        <v>50/60</v>
      </c>
      <c r="N1329" s="97" t="str">
        <f>IFERROR(__xludf.DUMMYFUNCTION("""COMPUTED_VALUE"""),"Directa")</f>
        <v>Directa</v>
      </c>
      <c r="O1329" s="97">
        <f>IFERROR(__xludf.DUMMYFUNCTION("""COMPUTED_VALUE"""),12.0)</f>
        <v>12</v>
      </c>
      <c r="P1329" s="97">
        <f>IFERROR(__xludf.DUMMYFUNCTION("""COMPUTED_VALUE"""),12.34)</f>
        <v>12.34</v>
      </c>
      <c r="Q1329" s="97">
        <f>IFERROR(__xludf.DUMMYFUNCTION("""COMPUTED_VALUE"""),0.95)</f>
        <v>0.95</v>
      </c>
      <c r="R1329" s="97" t="str">
        <f>IFERROR(__xludf.DUMMYFUNCTION("""COMPUTED_VALUE"""),"-")</f>
        <v>-</v>
      </c>
      <c r="S1329" s="97" t="str">
        <f>IFERROR(__xludf.DUMMYFUNCTION("""COMPUTED_VALUE"""),"-")</f>
        <v>-</v>
      </c>
      <c r="T1329" s="97">
        <f>IFERROR(__xludf.DUMMYFUNCTION("""COMPUTED_VALUE"""),725.0)</f>
        <v>725</v>
      </c>
      <c r="U1329" s="99">
        <f>IFERROR(__xludf.DUMMYFUNCTION("""COMPUTED_VALUE"""),60.416666666666664)</f>
        <v>60.41666667</v>
      </c>
      <c r="V1329" s="97">
        <f>IFERROR(__xludf.DUMMYFUNCTION("""COMPUTED_VALUE"""),36.0)</f>
        <v>36</v>
      </c>
      <c r="W1329" s="97" t="str">
        <f>IFERROR(__xludf.DUMMYFUNCTION("""COMPUTED_VALUE"""),"&lt; 10")</f>
        <v>&lt; 10</v>
      </c>
      <c r="X1329" s="97">
        <f>IFERROR(__xludf.DUMMYFUNCTION("""COMPUTED_VALUE"""),3000.0)</f>
        <v>3000</v>
      </c>
      <c r="Y1329" s="97" t="str">
        <f>IFERROR(__xludf.DUMMYFUNCTION("""COMPUTED_VALUE"""),"&gt;90")</f>
        <v>&gt;90</v>
      </c>
      <c r="Z1329" s="97" t="str">
        <f>IFERROR(__xludf.DUMMYFUNCTION("""COMPUTED_VALUE"""),"&gt;90")</f>
        <v>&gt;90</v>
      </c>
      <c r="AA1329" s="97" t="str">
        <f>IFERROR(__xludf.DUMMYFUNCTION("""COMPUTED_VALUE"""),"101-110 (Vivido)")</f>
        <v>101-110 (Vivido)</v>
      </c>
      <c r="AB1329" s="97" t="str">
        <f>IFERROR(__xludf.DUMMYFUNCTION("""COMPUTED_VALUE"""),"&lt; 2")</f>
        <v>&lt; 2</v>
      </c>
      <c r="AC1329" s="97">
        <f>IFERROR(__xludf.DUMMYFUNCTION("""COMPUTED_VALUE"""),-9.6E-4)</f>
        <v>-0.00096</v>
      </c>
      <c r="AD1329" s="97" t="str">
        <f>IFERROR(__xludf.DUMMYFUNCTION("""COMPUTED_VALUE"""),"IP44")</f>
        <v>IP44</v>
      </c>
      <c r="AE1329" s="97"/>
      <c r="AF1329" s="97" t="str">
        <f>IFERROR(__xludf.DUMMYFUNCTION("""COMPUTED_VALUE"""),"Aplicar")</f>
        <v>Aplicar</v>
      </c>
      <c r="AG1329" s="97" t="str">
        <f>IFERROR(__xludf.DUMMYFUNCTION("""COMPUTED_VALUE"""),"Ø96 x 80")</f>
        <v>Ø96 x 80</v>
      </c>
      <c r="AH1329" s="97" t="str">
        <f>IFERROR(__xludf.DUMMYFUNCTION("""COMPUTED_VALUE"""),"N/A")</f>
        <v>N/A</v>
      </c>
      <c r="AI1329" s="97" t="str">
        <f>IFERROR(__xludf.DUMMYFUNCTION("""COMPUTED_VALUE"""),"N/A")</f>
        <v>N/A</v>
      </c>
      <c r="AJ1329" s="97"/>
      <c r="AK1329" s="97" t="str">
        <f>IFERROR(__xludf.DUMMYFUNCTION("""COMPUTED_VALUE"""),"Aluminio")</f>
        <v>Aluminio</v>
      </c>
      <c r="AL1329" s="97" t="str">
        <f>IFERROR(__xludf.DUMMYFUNCTION("""COMPUTED_VALUE"""),"Negro Satinado")</f>
        <v>Negro Satinado</v>
      </c>
      <c r="AM1329" s="97"/>
      <c r="AN1329" s="97" t="str">
        <f>IFERROR(__xludf.DUMMYFUNCTION("""COMPUTED_VALUE"""),"30.000hs (L70)")</f>
        <v>30.000hs (L70)</v>
      </c>
      <c r="AO1329" s="97" t="str">
        <f>IFERROR(__xludf.DUMMYFUNCTION("""COMPUTED_VALUE"""),"3 Años")</f>
        <v>3 Años</v>
      </c>
      <c r="AP1329" s="97" t="str">
        <f>IFERROR(__xludf.DUMMYFUNCTION("""COMPUTED_VALUE"""),"Disponible")</f>
        <v>Disponible</v>
      </c>
      <c r="AQ1329" s="97" t="str">
        <f>IFERROR(__xludf.DUMMYFUNCTION("""COMPUTED_VALUE"""),"Disponible")</f>
        <v>Disponible</v>
      </c>
      <c r="AR1329" s="97" t="str">
        <f>IFERROR(__xludf.DUMMYFUNCTION("""COMPUTED_VALUE"""),"Disponible")</f>
        <v>Disponible</v>
      </c>
      <c r="AS1329" s="97" t="str">
        <f>IFERROR(__xludf.DUMMYFUNCTION("""COMPUTED_VALUE"""),"Disponible")</f>
        <v>Disponible</v>
      </c>
      <c r="AT1329" s="97" t="str">
        <f>IFERROR(__xludf.DUMMYFUNCTION("""COMPUTED_VALUE"""),"Disponible")</f>
        <v>Disponible</v>
      </c>
      <c r="AU1329" s="97" t="str">
        <f>IFERROR(__xludf.DUMMYFUNCTION("""COMPUTED_VALUE"""),"Disponible")</f>
        <v>Disponible</v>
      </c>
      <c r="AV1329" s="97" t="str">
        <f>IFERROR(__xludf.DUMMYFUNCTION("""COMPUTED_VALUE"""),"Aplique")</f>
        <v>Aplique</v>
      </c>
      <c r="AW1329" s="97" t="str">
        <f>IFERROR(__xludf.DUMMYFUNCTION("""COMPUTED_VALUE"""),"De Techo")</f>
        <v>De Techo</v>
      </c>
      <c r="AX1329" s="97" t="str">
        <f>IFERROR(__xludf.DUMMYFUNCTION("""COMPUTED_VALUE"""),"Exterior")</f>
        <v>Exterior</v>
      </c>
      <c r="AY1329" s="97" t="str">
        <f>IFERROR(__xludf.DUMMYFUNCTION("""COMPUTED_VALUE"""),"Confort Visual")</f>
        <v>Confort Visual</v>
      </c>
      <c r="AZ1329" s="97" t="str">
        <f>IFERROR(__xludf.DUMMYFUNCTION("""COMPUTED_VALUE"""),"Con lente HoneyComb. Angulo de mov. 355°")</f>
        <v>Con lente HoneyComb. Angulo de mov. 355°</v>
      </c>
      <c r="BA1329" s="97"/>
      <c r="BB1329" s="97"/>
      <c r="BC1329" s="97"/>
      <c r="BD1329" s="97" t="str">
        <f>IFERROR(__xludf.DUMMYFUNCTION("""COMPUTED_VALUE"""),"LOOP")</f>
        <v>LOOP</v>
      </c>
      <c r="BE1329" s="97" t="str">
        <f>IFERROR(__xludf.DUMMYFUNCTION("""COMPUTED_VALUE"""),"Solicitada")</f>
        <v>Solicitada</v>
      </c>
      <c r="BF1329" s="97"/>
      <c r="BG1329" s="97" t="str">
        <f>IFERROR(__xludf.DUMMYFUNCTION("""COMPUTED_VALUE"""),"REPO 7")</f>
        <v>REPO 7</v>
      </c>
    </row>
    <row r="1330">
      <c r="A1330" s="97">
        <f>IFERROR(__xludf.DUMMYFUNCTION("""COMPUTED_VALUE"""),7430.0)</f>
        <v>7430</v>
      </c>
      <c r="B1330" s="97" t="str">
        <f>IFERROR(__xludf.DUMMYFUNCTION("""COMPUTED_VALUE"""),"LOOP BL 2700k")</f>
        <v>LOOP BL 2700k</v>
      </c>
      <c r="C1330" s="97" t="str">
        <f>IFERROR(__xludf.DUMMYFUNCTION("""COMPUTED_VALUE"""),"APLIQUE LOOP BL 2700K 12W 2700K 725LM CRI&gt;90 IP44 LEUK")</f>
        <v>APLIQUE LOOP BL 2700K 12W 2700K 725LM CRI&gt;90 IP44 LEUK</v>
      </c>
      <c r="D1330" s="97">
        <f>IFERROR(__xludf.DUMMYFUNCTION("""COMPUTED_VALUE"""),7.798413229035E12)</f>
        <v>7798413229035</v>
      </c>
      <c r="E1330" s="97" t="str">
        <f>IFERROR(__xludf.DUMMYFUNCTION("""COMPUTED_VALUE"""),"R131")</f>
        <v>R131</v>
      </c>
      <c r="F1330" s="97" t="str">
        <f>IFERROR(__xludf.DUMMYFUNCTION("""COMPUTED_VALUE"""),"LED COB")</f>
        <v>LED COB</v>
      </c>
      <c r="G1330" s="97" t="str">
        <f>IFERROR(__xludf.DUMMYFUNCTION("""COMPUTED_VALUE"""),"Bridgelux")</f>
        <v>Bridgelux</v>
      </c>
      <c r="H1330" s="97" t="str">
        <f>IFERROR(__xludf.DUMMYFUNCTION("""COMPUTED_VALUE"""),"Eaglerise")</f>
        <v>Eaglerise</v>
      </c>
      <c r="I1330" s="97" t="str">
        <f>IFERROR(__xludf.DUMMYFUNCTION("""COMPUTED_VALUE"""),"Si")</f>
        <v>Si</v>
      </c>
      <c r="J1330" s="97" t="str">
        <f>IFERROR(__xludf.DUMMYFUNCTION("""COMPUTED_VALUE"""),"Modelo: LS-15-300 TRIAC LI1
15W | 220-240VAC | 300mA
28-40VDC | 82% | 0.95 | 102*38*25mm")</f>
        <v>Modelo: LS-15-300 TRIAC LI1
15W | 220-240VAC | 300mA
28-40VDC | 82% | 0.95 | 102*38*25mm</v>
      </c>
      <c r="K1330" s="97" t="str">
        <f>IFERROR(__xludf.DUMMYFUNCTION("""COMPUTED_VALUE"""),"TRIAC")</f>
        <v>TRIAC</v>
      </c>
      <c r="L1330" s="97" t="str">
        <f>IFERROR(__xludf.DUMMYFUNCTION("""COMPUTED_VALUE"""),"200-240")</f>
        <v>200-240</v>
      </c>
      <c r="M1330" s="97" t="str">
        <f>IFERROR(__xludf.DUMMYFUNCTION("""COMPUTED_VALUE"""),"50/60")</f>
        <v>50/60</v>
      </c>
      <c r="N1330" s="97" t="str">
        <f>IFERROR(__xludf.DUMMYFUNCTION("""COMPUTED_VALUE"""),"Directa")</f>
        <v>Directa</v>
      </c>
      <c r="O1330" s="97">
        <f>IFERROR(__xludf.DUMMYFUNCTION("""COMPUTED_VALUE"""),12.0)</f>
        <v>12</v>
      </c>
      <c r="P1330" s="97">
        <f>IFERROR(__xludf.DUMMYFUNCTION("""COMPUTED_VALUE"""),12.34)</f>
        <v>12.34</v>
      </c>
      <c r="Q1330" s="97">
        <f>IFERROR(__xludf.DUMMYFUNCTION("""COMPUTED_VALUE"""),0.95)</f>
        <v>0.95</v>
      </c>
      <c r="R1330" s="97" t="str">
        <f>IFERROR(__xludf.DUMMYFUNCTION("""COMPUTED_VALUE"""),"-")</f>
        <v>-</v>
      </c>
      <c r="S1330" s="97" t="str">
        <f>IFERROR(__xludf.DUMMYFUNCTION("""COMPUTED_VALUE"""),"-")</f>
        <v>-</v>
      </c>
      <c r="T1330" s="97">
        <f>IFERROR(__xludf.DUMMYFUNCTION("""COMPUTED_VALUE"""),725.0)</f>
        <v>725</v>
      </c>
      <c r="U1330" s="99">
        <f>IFERROR(__xludf.DUMMYFUNCTION("""COMPUTED_VALUE"""),60.416666666666664)</f>
        <v>60.41666667</v>
      </c>
      <c r="V1330" s="97">
        <f>IFERROR(__xludf.DUMMYFUNCTION("""COMPUTED_VALUE"""),36.0)</f>
        <v>36</v>
      </c>
      <c r="W1330" s="97" t="str">
        <f>IFERROR(__xludf.DUMMYFUNCTION("""COMPUTED_VALUE"""),"&lt; 10")</f>
        <v>&lt; 10</v>
      </c>
      <c r="X1330" s="97">
        <f>IFERROR(__xludf.DUMMYFUNCTION("""COMPUTED_VALUE"""),2700.0)</f>
        <v>2700</v>
      </c>
      <c r="Y1330" s="97" t="str">
        <f>IFERROR(__xludf.DUMMYFUNCTION("""COMPUTED_VALUE"""),"&gt;90")</f>
        <v>&gt;90</v>
      </c>
      <c r="Z1330" s="97" t="str">
        <f>IFERROR(__xludf.DUMMYFUNCTION("""COMPUTED_VALUE"""),"&gt;90")</f>
        <v>&gt;90</v>
      </c>
      <c r="AA1330" s="97" t="str">
        <f>IFERROR(__xludf.DUMMYFUNCTION("""COMPUTED_VALUE"""),"101-110 (Vivido)")</f>
        <v>101-110 (Vivido)</v>
      </c>
      <c r="AB1330" s="97" t="str">
        <f>IFERROR(__xludf.DUMMYFUNCTION("""COMPUTED_VALUE"""),"&lt; 2")</f>
        <v>&lt; 2</v>
      </c>
      <c r="AC1330" s="97">
        <f>IFERROR(__xludf.DUMMYFUNCTION("""COMPUTED_VALUE"""),-3.2E-4)</f>
        <v>-0.00032</v>
      </c>
      <c r="AD1330" s="97" t="str">
        <f>IFERROR(__xludf.DUMMYFUNCTION("""COMPUTED_VALUE"""),"IP44")</f>
        <v>IP44</v>
      </c>
      <c r="AE1330" s="97"/>
      <c r="AF1330" s="97" t="str">
        <f>IFERROR(__xludf.DUMMYFUNCTION("""COMPUTED_VALUE"""),"Aplicar")</f>
        <v>Aplicar</v>
      </c>
      <c r="AG1330" s="97" t="str">
        <f>IFERROR(__xludf.DUMMYFUNCTION("""COMPUTED_VALUE"""),"Ø96 x 80")</f>
        <v>Ø96 x 80</v>
      </c>
      <c r="AH1330" s="97" t="str">
        <f>IFERROR(__xludf.DUMMYFUNCTION("""COMPUTED_VALUE"""),"N/A")</f>
        <v>N/A</v>
      </c>
      <c r="AI1330" s="97" t="str">
        <f>IFERROR(__xludf.DUMMYFUNCTION("""COMPUTED_VALUE"""),"N/A")</f>
        <v>N/A</v>
      </c>
      <c r="AJ1330" s="97"/>
      <c r="AK1330" s="97" t="str">
        <f>IFERROR(__xludf.DUMMYFUNCTION("""COMPUTED_VALUE"""),"Aluminio")</f>
        <v>Aluminio</v>
      </c>
      <c r="AL1330" s="97" t="str">
        <f>IFERROR(__xludf.DUMMYFUNCTION("""COMPUTED_VALUE"""),"Blanco Satinado")</f>
        <v>Blanco Satinado</v>
      </c>
      <c r="AM1330" s="97"/>
      <c r="AN1330" s="97" t="str">
        <f>IFERROR(__xludf.DUMMYFUNCTION("""COMPUTED_VALUE"""),"30.000hs (L70)")</f>
        <v>30.000hs (L70)</v>
      </c>
      <c r="AO1330" s="97" t="str">
        <f>IFERROR(__xludf.DUMMYFUNCTION("""COMPUTED_VALUE"""),"3 Años")</f>
        <v>3 Años</v>
      </c>
      <c r="AP1330" s="97" t="str">
        <f>IFERROR(__xludf.DUMMYFUNCTION("""COMPUTED_VALUE"""),"Disponible")</f>
        <v>Disponible</v>
      </c>
      <c r="AQ1330" s="97" t="str">
        <f>IFERROR(__xludf.DUMMYFUNCTION("""COMPUTED_VALUE"""),"Disponible")</f>
        <v>Disponible</v>
      </c>
      <c r="AR1330" s="97" t="str">
        <f>IFERROR(__xludf.DUMMYFUNCTION("""COMPUTED_VALUE"""),"Disponible")</f>
        <v>Disponible</v>
      </c>
      <c r="AS1330" s="97" t="str">
        <f>IFERROR(__xludf.DUMMYFUNCTION("""COMPUTED_VALUE"""),"Disponible")</f>
        <v>Disponible</v>
      </c>
      <c r="AT1330" s="97" t="str">
        <f>IFERROR(__xludf.DUMMYFUNCTION("""COMPUTED_VALUE"""),"Disponible")</f>
        <v>Disponible</v>
      </c>
      <c r="AU1330" s="97" t="str">
        <f>IFERROR(__xludf.DUMMYFUNCTION("""COMPUTED_VALUE"""),"Disponible")</f>
        <v>Disponible</v>
      </c>
      <c r="AV1330" s="97" t="str">
        <f>IFERROR(__xludf.DUMMYFUNCTION("""COMPUTED_VALUE"""),"Aplique")</f>
        <v>Aplique</v>
      </c>
      <c r="AW1330" s="97" t="str">
        <f>IFERROR(__xludf.DUMMYFUNCTION("""COMPUTED_VALUE"""),"De Techo")</f>
        <v>De Techo</v>
      </c>
      <c r="AX1330" s="97" t="str">
        <f>IFERROR(__xludf.DUMMYFUNCTION("""COMPUTED_VALUE"""),"Exterior")</f>
        <v>Exterior</v>
      </c>
      <c r="AY1330" s="97" t="str">
        <f>IFERROR(__xludf.DUMMYFUNCTION("""COMPUTED_VALUE"""),"Confort Visual")</f>
        <v>Confort Visual</v>
      </c>
      <c r="AZ1330" s="97" t="str">
        <f>IFERROR(__xludf.DUMMYFUNCTION("""COMPUTED_VALUE"""),"Con lente HoneyComb. Angulo de mov. 355°")</f>
        <v>Con lente HoneyComb. Angulo de mov. 355°</v>
      </c>
      <c r="BA1330" s="97"/>
      <c r="BB1330" s="97"/>
      <c r="BC1330" s="97"/>
      <c r="BD1330" s="97" t="str">
        <f>IFERROR(__xludf.DUMMYFUNCTION("""COMPUTED_VALUE"""),"LOOP")</f>
        <v>LOOP</v>
      </c>
      <c r="BE1330" s="97" t="str">
        <f>IFERROR(__xludf.DUMMYFUNCTION("""COMPUTED_VALUE"""),"Solicitada")</f>
        <v>Solicitada</v>
      </c>
      <c r="BF1330" s="97"/>
      <c r="BG1330" s="97" t="str">
        <f>IFERROR(__xludf.DUMMYFUNCTION("""COMPUTED_VALUE"""),"REPO 7")</f>
        <v>REPO 7</v>
      </c>
    </row>
    <row r="1331">
      <c r="A1331" s="97">
        <f>IFERROR(__xludf.DUMMYFUNCTION("""COMPUTED_VALUE"""),7431.0)</f>
        <v>7431</v>
      </c>
      <c r="B1331" s="97" t="str">
        <f>IFERROR(__xludf.DUMMYFUNCTION("""COMPUTED_VALUE"""),"LOOP NG 2700k")</f>
        <v>LOOP NG 2700k</v>
      </c>
      <c r="C1331" s="97" t="str">
        <f>IFERROR(__xludf.DUMMYFUNCTION("""COMPUTED_VALUE"""),"APLIQUE LOOP NG 2700K 12W 2700K 725LM CRI&gt;90 IP44 LEUK")</f>
        <v>APLIQUE LOOP NG 2700K 12W 2700K 725LM CRI&gt;90 IP44 LEUK</v>
      </c>
      <c r="D1331" s="97">
        <f>IFERROR(__xludf.DUMMYFUNCTION("""COMPUTED_VALUE"""),7.798413229042E12)</f>
        <v>7798413229042</v>
      </c>
      <c r="E1331" s="97" t="str">
        <f>IFERROR(__xludf.DUMMYFUNCTION("""COMPUTED_VALUE"""),"R131")</f>
        <v>R131</v>
      </c>
      <c r="F1331" s="97" t="str">
        <f>IFERROR(__xludf.DUMMYFUNCTION("""COMPUTED_VALUE"""),"LED COB")</f>
        <v>LED COB</v>
      </c>
      <c r="G1331" s="97" t="str">
        <f>IFERROR(__xludf.DUMMYFUNCTION("""COMPUTED_VALUE"""),"Bridgelux")</f>
        <v>Bridgelux</v>
      </c>
      <c r="H1331" s="97" t="str">
        <f>IFERROR(__xludf.DUMMYFUNCTION("""COMPUTED_VALUE"""),"Eaglerise")</f>
        <v>Eaglerise</v>
      </c>
      <c r="I1331" s="97" t="str">
        <f>IFERROR(__xludf.DUMMYFUNCTION("""COMPUTED_VALUE"""),"Si")</f>
        <v>Si</v>
      </c>
      <c r="J1331" s="97" t="str">
        <f>IFERROR(__xludf.DUMMYFUNCTION("""COMPUTED_VALUE"""),"Modelo: LS-15-300 TRIAC LI1
15W | 220-240VAC | 300mA
28-40VDC | 82% | 0.95 | 102*38*25mm")</f>
        <v>Modelo: LS-15-300 TRIAC LI1
15W | 220-240VAC | 300mA
28-40VDC | 82% | 0.95 | 102*38*25mm</v>
      </c>
      <c r="K1331" s="97" t="str">
        <f>IFERROR(__xludf.DUMMYFUNCTION("""COMPUTED_VALUE"""),"TRIAC")</f>
        <v>TRIAC</v>
      </c>
      <c r="L1331" s="97" t="str">
        <f>IFERROR(__xludf.DUMMYFUNCTION("""COMPUTED_VALUE"""),"200-240")</f>
        <v>200-240</v>
      </c>
      <c r="M1331" s="97" t="str">
        <f>IFERROR(__xludf.DUMMYFUNCTION("""COMPUTED_VALUE"""),"50/60")</f>
        <v>50/60</v>
      </c>
      <c r="N1331" s="97" t="str">
        <f>IFERROR(__xludf.DUMMYFUNCTION("""COMPUTED_VALUE"""),"Directa")</f>
        <v>Directa</v>
      </c>
      <c r="O1331" s="97">
        <f>IFERROR(__xludf.DUMMYFUNCTION("""COMPUTED_VALUE"""),12.0)</f>
        <v>12</v>
      </c>
      <c r="P1331" s="97">
        <f>IFERROR(__xludf.DUMMYFUNCTION("""COMPUTED_VALUE"""),12.34)</f>
        <v>12.34</v>
      </c>
      <c r="Q1331" s="97">
        <f>IFERROR(__xludf.DUMMYFUNCTION("""COMPUTED_VALUE"""),0.95)</f>
        <v>0.95</v>
      </c>
      <c r="R1331" s="97" t="str">
        <f>IFERROR(__xludf.DUMMYFUNCTION("""COMPUTED_VALUE"""),"-")</f>
        <v>-</v>
      </c>
      <c r="S1331" s="97" t="str">
        <f>IFERROR(__xludf.DUMMYFUNCTION("""COMPUTED_VALUE"""),"-")</f>
        <v>-</v>
      </c>
      <c r="T1331" s="97">
        <f>IFERROR(__xludf.DUMMYFUNCTION("""COMPUTED_VALUE"""),725.0)</f>
        <v>725</v>
      </c>
      <c r="U1331" s="99">
        <f>IFERROR(__xludf.DUMMYFUNCTION("""COMPUTED_VALUE"""),60.416666666666664)</f>
        <v>60.41666667</v>
      </c>
      <c r="V1331" s="97">
        <f>IFERROR(__xludf.DUMMYFUNCTION("""COMPUTED_VALUE"""),36.0)</f>
        <v>36</v>
      </c>
      <c r="W1331" s="97" t="str">
        <f>IFERROR(__xludf.DUMMYFUNCTION("""COMPUTED_VALUE"""),"&lt; 10")</f>
        <v>&lt; 10</v>
      </c>
      <c r="X1331" s="97">
        <f>IFERROR(__xludf.DUMMYFUNCTION("""COMPUTED_VALUE"""),2700.0)</f>
        <v>2700</v>
      </c>
      <c r="Y1331" s="97" t="str">
        <f>IFERROR(__xludf.DUMMYFUNCTION("""COMPUTED_VALUE"""),"&gt;90")</f>
        <v>&gt;90</v>
      </c>
      <c r="Z1331" s="97" t="str">
        <f>IFERROR(__xludf.DUMMYFUNCTION("""COMPUTED_VALUE"""),"&gt;90")</f>
        <v>&gt;90</v>
      </c>
      <c r="AA1331" s="97" t="str">
        <f>IFERROR(__xludf.DUMMYFUNCTION("""COMPUTED_VALUE"""),"101-110 (Vivido)")</f>
        <v>101-110 (Vivido)</v>
      </c>
      <c r="AB1331" s="97" t="str">
        <f>IFERROR(__xludf.DUMMYFUNCTION("""COMPUTED_VALUE"""),"&lt; 2")</f>
        <v>&lt; 2</v>
      </c>
      <c r="AC1331" s="97">
        <f>IFERROR(__xludf.DUMMYFUNCTION("""COMPUTED_VALUE"""),-3.2E-4)</f>
        <v>-0.00032</v>
      </c>
      <c r="AD1331" s="97" t="str">
        <f>IFERROR(__xludf.DUMMYFUNCTION("""COMPUTED_VALUE"""),"IP44")</f>
        <v>IP44</v>
      </c>
      <c r="AE1331" s="97"/>
      <c r="AF1331" s="97" t="str">
        <f>IFERROR(__xludf.DUMMYFUNCTION("""COMPUTED_VALUE"""),"Aplicar")</f>
        <v>Aplicar</v>
      </c>
      <c r="AG1331" s="97" t="str">
        <f>IFERROR(__xludf.DUMMYFUNCTION("""COMPUTED_VALUE"""),"Ø96 x 80")</f>
        <v>Ø96 x 80</v>
      </c>
      <c r="AH1331" s="97" t="str">
        <f>IFERROR(__xludf.DUMMYFUNCTION("""COMPUTED_VALUE"""),"N/A")</f>
        <v>N/A</v>
      </c>
      <c r="AI1331" s="97" t="str">
        <f>IFERROR(__xludf.DUMMYFUNCTION("""COMPUTED_VALUE"""),"N/A")</f>
        <v>N/A</v>
      </c>
      <c r="AJ1331" s="97"/>
      <c r="AK1331" s="97" t="str">
        <f>IFERROR(__xludf.DUMMYFUNCTION("""COMPUTED_VALUE"""),"Aluminio")</f>
        <v>Aluminio</v>
      </c>
      <c r="AL1331" s="97" t="str">
        <f>IFERROR(__xludf.DUMMYFUNCTION("""COMPUTED_VALUE"""),"Negro Satinado")</f>
        <v>Negro Satinado</v>
      </c>
      <c r="AM1331" s="97"/>
      <c r="AN1331" s="97" t="str">
        <f>IFERROR(__xludf.DUMMYFUNCTION("""COMPUTED_VALUE"""),"30.000hs (L70)")</f>
        <v>30.000hs (L70)</v>
      </c>
      <c r="AO1331" s="97" t="str">
        <f>IFERROR(__xludf.DUMMYFUNCTION("""COMPUTED_VALUE"""),"3 Años")</f>
        <v>3 Años</v>
      </c>
      <c r="AP1331" s="97" t="str">
        <f>IFERROR(__xludf.DUMMYFUNCTION("""COMPUTED_VALUE"""),"Disponible")</f>
        <v>Disponible</v>
      </c>
      <c r="AQ1331" s="97" t="str">
        <f>IFERROR(__xludf.DUMMYFUNCTION("""COMPUTED_VALUE"""),"Disponible")</f>
        <v>Disponible</v>
      </c>
      <c r="AR1331" s="97" t="str">
        <f>IFERROR(__xludf.DUMMYFUNCTION("""COMPUTED_VALUE"""),"Disponible")</f>
        <v>Disponible</v>
      </c>
      <c r="AS1331" s="97" t="str">
        <f>IFERROR(__xludf.DUMMYFUNCTION("""COMPUTED_VALUE"""),"Disponible")</f>
        <v>Disponible</v>
      </c>
      <c r="AT1331" s="97" t="str">
        <f>IFERROR(__xludf.DUMMYFUNCTION("""COMPUTED_VALUE"""),"Disponible")</f>
        <v>Disponible</v>
      </c>
      <c r="AU1331" s="97" t="str">
        <f>IFERROR(__xludf.DUMMYFUNCTION("""COMPUTED_VALUE"""),"Disponible")</f>
        <v>Disponible</v>
      </c>
      <c r="AV1331" s="97" t="str">
        <f>IFERROR(__xludf.DUMMYFUNCTION("""COMPUTED_VALUE"""),"Aplique")</f>
        <v>Aplique</v>
      </c>
      <c r="AW1331" s="97" t="str">
        <f>IFERROR(__xludf.DUMMYFUNCTION("""COMPUTED_VALUE"""),"De Techo")</f>
        <v>De Techo</v>
      </c>
      <c r="AX1331" s="97" t="str">
        <f>IFERROR(__xludf.DUMMYFUNCTION("""COMPUTED_VALUE"""),"Exterior")</f>
        <v>Exterior</v>
      </c>
      <c r="AY1331" s="97" t="str">
        <f>IFERROR(__xludf.DUMMYFUNCTION("""COMPUTED_VALUE"""),"Confort Visual")</f>
        <v>Confort Visual</v>
      </c>
      <c r="AZ1331" s="97" t="str">
        <f>IFERROR(__xludf.DUMMYFUNCTION("""COMPUTED_VALUE"""),"Con lente HoneyComb. Angulo de mov. 355°")</f>
        <v>Con lente HoneyComb. Angulo de mov. 355°</v>
      </c>
      <c r="BA1331" s="97"/>
      <c r="BB1331" s="97"/>
      <c r="BC1331" s="97"/>
      <c r="BD1331" s="97" t="str">
        <f>IFERROR(__xludf.DUMMYFUNCTION("""COMPUTED_VALUE"""),"LOOP")</f>
        <v>LOOP</v>
      </c>
      <c r="BE1331" s="97" t="str">
        <f>IFERROR(__xludf.DUMMYFUNCTION("""COMPUTED_VALUE"""),"Solicitada")</f>
        <v>Solicitada</v>
      </c>
      <c r="BF1331" s="97"/>
      <c r="BG1331" s="97" t="str">
        <f>IFERROR(__xludf.DUMMYFUNCTION("""COMPUTED_VALUE"""),"REPO 7")</f>
        <v>REPO 7</v>
      </c>
    </row>
    <row r="1332">
      <c r="A1332" s="97">
        <f>IFERROR(__xludf.DUMMYFUNCTION("""COMPUTED_VALUE"""),7432.0)</f>
        <v>7432</v>
      </c>
      <c r="B1332" s="97" t="str">
        <f>IFERROR(__xludf.DUMMYFUNCTION("""COMPUTED_VALUE"""),"LOOP EM BL 3000k")</f>
        <v>LOOP EM BL 3000k</v>
      </c>
      <c r="C1332" s="97" t="str">
        <f>IFERROR(__xludf.DUMMYFUNCTION("""COMPUTED_VALUE"""),"EMPOTRABLE LOOP EM BL 3000K 12W 3000K 765LM CRI&gt;90 IP20 LEUK")</f>
        <v>EMPOTRABLE LOOP EM BL 3000K 12W 3000K 765LM CRI&gt;90 IP20 LEUK</v>
      </c>
      <c r="D1332" s="97">
        <f>IFERROR(__xludf.DUMMYFUNCTION("""COMPUTED_VALUE"""),7.798413229059E12)</f>
        <v>7798413229059</v>
      </c>
      <c r="E1332" s="97" t="str">
        <f>IFERROR(__xludf.DUMMYFUNCTION("""COMPUTED_VALUE"""),"F56")</f>
        <v>F56</v>
      </c>
      <c r="F1332" s="97" t="str">
        <f>IFERROR(__xludf.DUMMYFUNCTION("""COMPUTED_VALUE"""),"LED COB")</f>
        <v>LED COB</v>
      </c>
      <c r="G1332" s="97" t="str">
        <f>IFERROR(__xludf.DUMMYFUNCTION("""COMPUTED_VALUE"""),"Bridgelux")</f>
        <v>Bridgelux</v>
      </c>
      <c r="H1332" s="97" t="str">
        <f>IFERROR(__xludf.DUMMYFUNCTION("""COMPUTED_VALUE"""),"Eaglerise")</f>
        <v>Eaglerise</v>
      </c>
      <c r="I1332" s="97" t="str">
        <f>IFERROR(__xludf.DUMMYFUNCTION("""COMPUTED_VALUE"""),"Si")</f>
        <v>Si</v>
      </c>
      <c r="J1332" s="97" t="str">
        <f>IFERROR(__xludf.DUMMYFUNCTION("""COMPUTED_VALUE"""),"Modelo: LS-15-300 TRIAC LI1
15W | 220-240VAC | 300mA
28-40VDC | 82% | 0.95 | 102*38*25mm")</f>
        <v>Modelo: LS-15-300 TRIAC LI1
15W | 220-240VAC | 300mA
28-40VDC | 82% | 0.95 | 102*38*25mm</v>
      </c>
      <c r="K1332" s="97" t="str">
        <f>IFERROR(__xludf.DUMMYFUNCTION("""COMPUTED_VALUE"""),"TRIAC")</f>
        <v>TRIAC</v>
      </c>
      <c r="L1332" s="97" t="str">
        <f>IFERROR(__xludf.DUMMYFUNCTION("""COMPUTED_VALUE"""),"200-240")</f>
        <v>200-240</v>
      </c>
      <c r="M1332" s="97" t="str">
        <f>IFERROR(__xludf.DUMMYFUNCTION("""COMPUTED_VALUE"""),"50/60")</f>
        <v>50/60</v>
      </c>
      <c r="N1332" s="97" t="str">
        <f>IFERROR(__xludf.DUMMYFUNCTION("""COMPUTED_VALUE"""),"Directa")</f>
        <v>Directa</v>
      </c>
      <c r="O1332" s="97">
        <f>IFERROR(__xludf.DUMMYFUNCTION("""COMPUTED_VALUE"""),12.0)</f>
        <v>12</v>
      </c>
      <c r="P1332" s="97">
        <f>IFERROR(__xludf.DUMMYFUNCTION("""COMPUTED_VALUE"""),12.73)</f>
        <v>12.73</v>
      </c>
      <c r="Q1332" s="97">
        <f>IFERROR(__xludf.DUMMYFUNCTION("""COMPUTED_VALUE"""),0.95)</f>
        <v>0.95</v>
      </c>
      <c r="R1332" s="97" t="str">
        <f>IFERROR(__xludf.DUMMYFUNCTION("""COMPUTED_VALUE"""),"-")</f>
        <v>-</v>
      </c>
      <c r="S1332" s="97" t="str">
        <f>IFERROR(__xludf.DUMMYFUNCTION("""COMPUTED_VALUE"""),"-")</f>
        <v>-</v>
      </c>
      <c r="T1332" s="97">
        <f>IFERROR(__xludf.DUMMYFUNCTION("""COMPUTED_VALUE"""),765.0)</f>
        <v>765</v>
      </c>
      <c r="U1332" s="99">
        <f>IFERROR(__xludf.DUMMYFUNCTION("""COMPUTED_VALUE"""),63.75)</f>
        <v>63.75</v>
      </c>
      <c r="V1332" s="97">
        <f>IFERROR(__xludf.DUMMYFUNCTION("""COMPUTED_VALUE"""),36.0)</f>
        <v>36</v>
      </c>
      <c r="W1332" s="97" t="str">
        <f>IFERROR(__xludf.DUMMYFUNCTION("""COMPUTED_VALUE"""),"&lt; 10")</f>
        <v>&lt; 10</v>
      </c>
      <c r="X1332" s="97">
        <f>IFERROR(__xludf.DUMMYFUNCTION("""COMPUTED_VALUE"""),3000.0)</f>
        <v>3000</v>
      </c>
      <c r="Y1332" s="97" t="str">
        <f>IFERROR(__xludf.DUMMYFUNCTION("""COMPUTED_VALUE"""),"&gt;90")</f>
        <v>&gt;90</v>
      </c>
      <c r="Z1332" s="97" t="str">
        <f>IFERROR(__xludf.DUMMYFUNCTION("""COMPUTED_VALUE"""),"&gt;90")</f>
        <v>&gt;90</v>
      </c>
      <c r="AA1332" s="97" t="str">
        <f>IFERROR(__xludf.DUMMYFUNCTION("""COMPUTED_VALUE"""),"101-110 (Vivido)")</f>
        <v>101-110 (Vivido)</v>
      </c>
      <c r="AB1332" s="97" t="str">
        <f>IFERROR(__xludf.DUMMYFUNCTION("""COMPUTED_VALUE"""),"&lt; 2")</f>
        <v>&lt; 2</v>
      </c>
      <c r="AC1332" s="97">
        <f>IFERROR(__xludf.DUMMYFUNCTION("""COMPUTED_VALUE"""),-9.6E-4)</f>
        <v>-0.00096</v>
      </c>
      <c r="AD1332" s="97" t="str">
        <f>IFERROR(__xludf.DUMMYFUNCTION("""COMPUTED_VALUE"""),"IP20")</f>
        <v>IP20</v>
      </c>
      <c r="AE1332" s="97"/>
      <c r="AF1332" s="97" t="str">
        <f>IFERROR(__xludf.DUMMYFUNCTION("""COMPUTED_VALUE"""),"Embutir")</f>
        <v>Embutir</v>
      </c>
      <c r="AG1332" s="97" t="str">
        <f>IFERROR(__xludf.DUMMYFUNCTION("""COMPUTED_VALUE"""),"Ø111 x 53")</f>
        <v>Ø111 x 53</v>
      </c>
      <c r="AH1332" s="97" t="str">
        <f>IFERROR(__xludf.DUMMYFUNCTION("""COMPUTED_VALUE"""),"Ø95")</f>
        <v>Ø95</v>
      </c>
      <c r="AI1332" s="97"/>
      <c r="AJ1332" s="97"/>
      <c r="AK1332" s="97" t="str">
        <f>IFERROR(__xludf.DUMMYFUNCTION("""COMPUTED_VALUE"""),"Aluminio")</f>
        <v>Aluminio</v>
      </c>
      <c r="AL1332" s="97" t="str">
        <f>IFERROR(__xludf.DUMMYFUNCTION("""COMPUTED_VALUE"""),"Blanco Satinado")</f>
        <v>Blanco Satinado</v>
      </c>
      <c r="AM1332" s="97"/>
      <c r="AN1332" s="97" t="str">
        <f>IFERROR(__xludf.DUMMYFUNCTION("""COMPUTED_VALUE"""),"30.000hs (L70)")</f>
        <v>30.000hs (L70)</v>
      </c>
      <c r="AO1332" s="97" t="str">
        <f>IFERROR(__xludf.DUMMYFUNCTION("""COMPUTED_VALUE"""),"3 Años")</f>
        <v>3 Años</v>
      </c>
      <c r="AP1332" s="97" t="str">
        <f>IFERROR(__xludf.DUMMYFUNCTION("""COMPUTED_VALUE"""),"Disponible")</f>
        <v>Disponible</v>
      </c>
      <c r="AQ1332" s="97" t="str">
        <f>IFERROR(__xludf.DUMMYFUNCTION("""COMPUTED_VALUE"""),"Disponible")</f>
        <v>Disponible</v>
      </c>
      <c r="AR1332" s="97" t="str">
        <f>IFERROR(__xludf.DUMMYFUNCTION("""COMPUTED_VALUE"""),"Disponible")</f>
        <v>Disponible</v>
      </c>
      <c r="AS1332" s="97" t="str">
        <f>IFERROR(__xludf.DUMMYFUNCTION("""COMPUTED_VALUE"""),"Disponible")</f>
        <v>Disponible</v>
      </c>
      <c r="AT1332" s="97" t="str">
        <f>IFERROR(__xludf.DUMMYFUNCTION("""COMPUTED_VALUE"""),"Disponible")</f>
        <v>Disponible</v>
      </c>
      <c r="AU1332" s="97" t="str">
        <f>IFERROR(__xludf.DUMMYFUNCTION("""COMPUTED_VALUE"""),"Disponible")</f>
        <v>Disponible</v>
      </c>
      <c r="AV1332" s="97" t="str">
        <f>IFERROR(__xludf.DUMMYFUNCTION("""COMPUTED_VALUE"""),"Empotrable")</f>
        <v>Empotrable</v>
      </c>
      <c r="AW1332" s="97" t="str">
        <f>IFERROR(__xludf.DUMMYFUNCTION("""COMPUTED_VALUE"""),"De Techo")</f>
        <v>De Techo</v>
      </c>
      <c r="AX1332" s="97" t="str">
        <f>IFERROR(__xludf.DUMMYFUNCTION("""COMPUTED_VALUE"""),"Interior")</f>
        <v>Interior</v>
      </c>
      <c r="AY1332" s="97" t="str">
        <f>IFERROR(__xludf.DUMMYFUNCTION("""COMPUTED_VALUE"""),"Confort Visual")</f>
        <v>Confort Visual</v>
      </c>
      <c r="AZ1332" s="97" t="str">
        <f>IFERROR(__xludf.DUMMYFUNCTION("""COMPUTED_VALUE"""),"Con lente HoneyComb. Angulo de mov. 355°")</f>
        <v>Con lente HoneyComb. Angulo de mov. 355°</v>
      </c>
      <c r="BA1332" s="97"/>
      <c r="BB1332" s="97"/>
      <c r="BC1332" s="97"/>
      <c r="BD1332" s="97" t="str">
        <f>IFERROR(__xludf.DUMMYFUNCTION("""COMPUTED_VALUE"""),"LOOP")</f>
        <v>LOOP</v>
      </c>
      <c r="BE1332" s="97" t="str">
        <f>IFERROR(__xludf.DUMMYFUNCTION("""COMPUTED_VALUE"""),"Solicitada")</f>
        <v>Solicitada</v>
      </c>
      <c r="BF1332" s="97"/>
      <c r="BG1332" s="97" t="str">
        <f>IFERROR(__xludf.DUMMYFUNCTION("""COMPUTED_VALUE"""),"REPO 7")</f>
        <v>REPO 7</v>
      </c>
    </row>
    <row r="1333">
      <c r="A1333" s="97">
        <f>IFERROR(__xludf.DUMMYFUNCTION("""COMPUTED_VALUE"""),7433.0)</f>
        <v>7433</v>
      </c>
      <c r="B1333" s="97" t="str">
        <f>IFERROR(__xludf.DUMMYFUNCTION("""COMPUTED_VALUE"""),"LOOP EM NG 3000k")</f>
        <v>LOOP EM NG 3000k</v>
      </c>
      <c r="C1333" s="97" t="str">
        <f>IFERROR(__xludf.DUMMYFUNCTION("""COMPUTED_VALUE"""),"EMPOTRABLE LOOP EM NG 3000K 12W 3000K 765LM CRI&gt;90 IP20 LEUK")</f>
        <v>EMPOTRABLE LOOP EM NG 3000K 12W 3000K 765LM CRI&gt;90 IP20 LEUK</v>
      </c>
      <c r="D1333" s="97">
        <f>IFERROR(__xludf.DUMMYFUNCTION("""COMPUTED_VALUE"""),7.798413229066E12)</f>
        <v>7798413229066</v>
      </c>
      <c r="E1333" s="97" t="str">
        <f>IFERROR(__xludf.DUMMYFUNCTION("""COMPUTED_VALUE"""),"F56")</f>
        <v>F56</v>
      </c>
      <c r="F1333" s="97" t="str">
        <f>IFERROR(__xludf.DUMMYFUNCTION("""COMPUTED_VALUE"""),"LED COB")</f>
        <v>LED COB</v>
      </c>
      <c r="G1333" s="97" t="str">
        <f>IFERROR(__xludf.DUMMYFUNCTION("""COMPUTED_VALUE"""),"Bridgelux")</f>
        <v>Bridgelux</v>
      </c>
      <c r="H1333" s="97" t="str">
        <f>IFERROR(__xludf.DUMMYFUNCTION("""COMPUTED_VALUE"""),"Eaglerise")</f>
        <v>Eaglerise</v>
      </c>
      <c r="I1333" s="97" t="str">
        <f>IFERROR(__xludf.DUMMYFUNCTION("""COMPUTED_VALUE"""),"Si")</f>
        <v>Si</v>
      </c>
      <c r="J1333" s="97" t="str">
        <f>IFERROR(__xludf.DUMMYFUNCTION("""COMPUTED_VALUE"""),"Modelo: LS-15-300 TRIAC LI1
15W | 220-240VAC | 300mA
28-40VDC | 82% | 0.95 | 102*38*25mm")</f>
        <v>Modelo: LS-15-300 TRIAC LI1
15W | 220-240VAC | 300mA
28-40VDC | 82% | 0.95 | 102*38*25mm</v>
      </c>
      <c r="K1333" s="97" t="str">
        <f>IFERROR(__xludf.DUMMYFUNCTION("""COMPUTED_VALUE"""),"TRIAC")</f>
        <v>TRIAC</v>
      </c>
      <c r="L1333" s="97" t="str">
        <f>IFERROR(__xludf.DUMMYFUNCTION("""COMPUTED_VALUE"""),"200-240")</f>
        <v>200-240</v>
      </c>
      <c r="M1333" s="97" t="str">
        <f>IFERROR(__xludf.DUMMYFUNCTION("""COMPUTED_VALUE"""),"50/60")</f>
        <v>50/60</v>
      </c>
      <c r="N1333" s="97" t="str">
        <f>IFERROR(__xludf.DUMMYFUNCTION("""COMPUTED_VALUE"""),"Directa")</f>
        <v>Directa</v>
      </c>
      <c r="O1333" s="97">
        <f>IFERROR(__xludf.DUMMYFUNCTION("""COMPUTED_VALUE"""),12.0)</f>
        <v>12</v>
      </c>
      <c r="P1333" s="97">
        <f>IFERROR(__xludf.DUMMYFUNCTION("""COMPUTED_VALUE"""),12.73)</f>
        <v>12.73</v>
      </c>
      <c r="Q1333" s="97">
        <f>IFERROR(__xludf.DUMMYFUNCTION("""COMPUTED_VALUE"""),0.95)</f>
        <v>0.95</v>
      </c>
      <c r="R1333" s="97" t="str">
        <f>IFERROR(__xludf.DUMMYFUNCTION("""COMPUTED_VALUE"""),"-")</f>
        <v>-</v>
      </c>
      <c r="S1333" s="97" t="str">
        <f>IFERROR(__xludf.DUMMYFUNCTION("""COMPUTED_VALUE"""),"-")</f>
        <v>-</v>
      </c>
      <c r="T1333" s="97">
        <f>IFERROR(__xludf.DUMMYFUNCTION("""COMPUTED_VALUE"""),765.0)</f>
        <v>765</v>
      </c>
      <c r="U1333" s="99">
        <f>IFERROR(__xludf.DUMMYFUNCTION("""COMPUTED_VALUE"""),63.75)</f>
        <v>63.75</v>
      </c>
      <c r="V1333" s="97">
        <f>IFERROR(__xludf.DUMMYFUNCTION("""COMPUTED_VALUE"""),36.0)</f>
        <v>36</v>
      </c>
      <c r="W1333" s="97" t="str">
        <f>IFERROR(__xludf.DUMMYFUNCTION("""COMPUTED_VALUE"""),"&lt; 10")</f>
        <v>&lt; 10</v>
      </c>
      <c r="X1333" s="97">
        <f>IFERROR(__xludf.DUMMYFUNCTION("""COMPUTED_VALUE"""),3000.0)</f>
        <v>3000</v>
      </c>
      <c r="Y1333" s="97" t="str">
        <f>IFERROR(__xludf.DUMMYFUNCTION("""COMPUTED_VALUE"""),"&gt;90")</f>
        <v>&gt;90</v>
      </c>
      <c r="Z1333" s="97" t="str">
        <f>IFERROR(__xludf.DUMMYFUNCTION("""COMPUTED_VALUE"""),"&gt;90")</f>
        <v>&gt;90</v>
      </c>
      <c r="AA1333" s="97" t="str">
        <f>IFERROR(__xludf.DUMMYFUNCTION("""COMPUTED_VALUE"""),"101-110 (Vivido)")</f>
        <v>101-110 (Vivido)</v>
      </c>
      <c r="AB1333" s="97" t="str">
        <f>IFERROR(__xludf.DUMMYFUNCTION("""COMPUTED_VALUE"""),"&lt; 2")</f>
        <v>&lt; 2</v>
      </c>
      <c r="AC1333" s="97">
        <f>IFERROR(__xludf.DUMMYFUNCTION("""COMPUTED_VALUE"""),-9.6E-4)</f>
        <v>-0.00096</v>
      </c>
      <c r="AD1333" s="97" t="str">
        <f>IFERROR(__xludf.DUMMYFUNCTION("""COMPUTED_VALUE"""),"IP20")</f>
        <v>IP20</v>
      </c>
      <c r="AE1333" s="97"/>
      <c r="AF1333" s="97" t="str">
        <f>IFERROR(__xludf.DUMMYFUNCTION("""COMPUTED_VALUE"""),"Embutir")</f>
        <v>Embutir</v>
      </c>
      <c r="AG1333" s="97" t="str">
        <f>IFERROR(__xludf.DUMMYFUNCTION("""COMPUTED_VALUE"""),"Ø111 x 53")</f>
        <v>Ø111 x 53</v>
      </c>
      <c r="AH1333" s="97" t="str">
        <f>IFERROR(__xludf.DUMMYFUNCTION("""COMPUTED_VALUE"""),"Ø95")</f>
        <v>Ø95</v>
      </c>
      <c r="AI1333" s="97"/>
      <c r="AJ1333" s="97"/>
      <c r="AK1333" s="97" t="str">
        <f>IFERROR(__xludf.DUMMYFUNCTION("""COMPUTED_VALUE"""),"Aluminio")</f>
        <v>Aluminio</v>
      </c>
      <c r="AL1333" s="97" t="str">
        <f>IFERROR(__xludf.DUMMYFUNCTION("""COMPUTED_VALUE"""),"Negro Satinado")</f>
        <v>Negro Satinado</v>
      </c>
      <c r="AM1333" s="97"/>
      <c r="AN1333" s="97" t="str">
        <f>IFERROR(__xludf.DUMMYFUNCTION("""COMPUTED_VALUE"""),"30.000hs (L70)")</f>
        <v>30.000hs (L70)</v>
      </c>
      <c r="AO1333" s="97" t="str">
        <f>IFERROR(__xludf.DUMMYFUNCTION("""COMPUTED_VALUE"""),"3 Años")</f>
        <v>3 Años</v>
      </c>
      <c r="AP1333" s="97" t="str">
        <f>IFERROR(__xludf.DUMMYFUNCTION("""COMPUTED_VALUE"""),"Disponible")</f>
        <v>Disponible</v>
      </c>
      <c r="AQ1333" s="97" t="str">
        <f>IFERROR(__xludf.DUMMYFUNCTION("""COMPUTED_VALUE"""),"Disponible")</f>
        <v>Disponible</v>
      </c>
      <c r="AR1333" s="97" t="str">
        <f>IFERROR(__xludf.DUMMYFUNCTION("""COMPUTED_VALUE"""),"Disponible")</f>
        <v>Disponible</v>
      </c>
      <c r="AS1333" s="97" t="str">
        <f>IFERROR(__xludf.DUMMYFUNCTION("""COMPUTED_VALUE"""),"Disponible")</f>
        <v>Disponible</v>
      </c>
      <c r="AT1333" s="97" t="str">
        <f>IFERROR(__xludf.DUMMYFUNCTION("""COMPUTED_VALUE"""),"Disponible")</f>
        <v>Disponible</v>
      </c>
      <c r="AU1333" s="97" t="str">
        <f>IFERROR(__xludf.DUMMYFUNCTION("""COMPUTED_VALUE"""),"Disponible")</f>
        <v>Disponible</v>
      </c>
      <c r="AV1333" s="97" t="str">
        <f>IFERROR(__xludf.DUMMYFUNCTION("""COMPUTED_VALUE"""),"Empotrable")</f>
        <v>Empotrable</v>
      </c>
      <c r="AW1333" s="97" t="str">
        <f>IFERROR(__xludf.DUMMYFUNCTION("""COMPUTED_VALUE"""),"De Techo")</f>
        <v>De Techo</v>
      </c>
      <c r="AX1333" s="97" t="str">
        <f>IFERROR(__xludf.DUMMYFUNCTION("""COMPUTED_VALUE"""),"Interior")</f>
        <v>Interior</v>
      </c>
      <c r="AY1333" s="97" t="str">
        <f>IFERROR(__xludf.DUMMYFUNCTION("""COMPUTED_VALUE"""),"Confort Visual")</f>
        <v>Confort Visual</v>
      </c>
      <c r="AZ1333" s="97" t="str">
        <f>IFERROR(__xludf.DUMMYFUNCTION("""COMPUTED_VALUE"""),"Con lente HoneyComb. Angulo de mov. 355°")</f>
        <v>Con lente HoneyComb. Angulo de mov. 355°</v>
      </c>
      <c r="BA1333" s="97"/>
      <c r="BB1333" s="97"/>
      <c r="BC1333" s="97"/>
      <c r="BD1333" s="97" t="str">
        <f>IFERROR(__xludf.DUMMYFUNCTION("""COMPUTED_VALUE"""),"LOOP")</f>
        <v>LOOP</v>
      </c>
      <c r="BE1333" s="97" t="str">
        <f>IFERROR(__xludf.DUMMYFUNCTION("""COMPUTED_VALUE"""),"Solicitada")</f>
        <v>Solicitada</v>
      </c>
      <c r="BF1333" s="97"/>
      <c r="BG1333" s="97" t="str">
        <f>IFERROR(__xludf.DUMMYFUNCTION("""COMPUTED_VALUE"""),"REPO 7")</f>
        <v>REPO 7</v>
      </c>
    </row>
    <row r="1334">
      <c r="A1334" s="97">
        <f>IFERROR(__xludf.DUMMYFUNCTION("""COMPUTED_VALUE"""),7434.0)</f>
        <v>7434</v>
      </c>
      <c r="B1334" s="97" t="str">
        <f>IFERROR(__xludf.DUMMYFUNCTION("""COMPUTED_VALUE"""),"LOOP EM BL 2700k")</f>
        <v>LOOP EM BL 2700k</v>
      </c>
      <c r="C1334" s="97" t="str">
        <f>IFERROR(__xludf.DUMMYFUNCTION("""COMPUTED_VALUE"""),"EMPOTRABLE LOOP EM BL 2700K 12W 2700K 765LM CRI&gt;90 IP20 LEUK")</f>
        <v>EMPOTRABLE LOOP EM BL 2700K 12W 2700K 765LM CRI&gt;90 IP20 LEUK</v>
      </c>
      <c r="D1334" s="97">
        <f>IFERROR(__xludf.DUMMYFUNCTION("""COMPUTED_VALUE"""),7.798413229073E12)</f>
        <v>7798413229073</v>
      </c>
      <c r="E1334" s="97" t="str">
        <f>IFERROR(__xludf.DUMMYFUNCTION("""COMPUTED_VALUE"""),"F57")</f>
        <v>F57</v>
      </c>
      <c r="F1334" s="97" t="str">
        <f>IFERROR(__xludf.DUMMYFUNCTION("""COMPUTED_VALUE"""),"LED COB")</f>
        <v>LED COB</v>
      </c>
      <c r="G1334" s="97" t="str">
        <f>IFERROR(__xludf.DUMMYFUNCTION("""COMPUTED_VALUE"""),"Bridgelux")</f>
        <v>Bridgelux</v>
      </c>
      <c r="H1334" s="97" t="str">
        <f>IFERROR(__xludf.DUMMYFUNCTION("""COMPUTED_VALUE"""),"Eaglerise")</f>
        <v>Eaglerise</v>
      </c>
      <c r="I1334" s="97" t="str">
        <f>IFERROR(__xludf.DUMMYFUNCTION("""COMPUTED_VALUE"""),"Si")</f>
        <v>Si</v>
      </c>
      <c r="J1334" s="97" t="str">
        <f>IFERROR(__xludf.DUMMYFUNCTION("""COMPUTED_VALUE"""),"Modelo: LS-15-300 TRIAC LI1
15W | 220-240VAC | 300mA
28-40VDC | 82% | 0.95 | 102*38*25mm")</f>
        <v>Modelo: LS-15-300 TRIAC LI1
15W | 220-240VAC | 300mA
28-40VDC | 82% | 0.95 | 102*38*25mm</v>
      </c>
      <c r="K1334" s="97" t="str">
        <f>IFERROR(__xludf.DUMMYFUNCTION("""COMPUTED_VALUE"""),"TRIAC")</f>
        <v>TRIAC</v>
      </c>
      <c r="L1334" s="97" t="str">
        <f>IFERROR(__xludf.DUMMYFUNCTION("""COMPUTED_VALUE"""),"200-240")</f>
        <v>200-240</v>
      </c>
      <c r="M1334" s="97" t="str">
        <f>IFERROR(__xludf.DUMMYFUNCTION("""COMPUTED_VALUE"""),"50/60")</f>
        <v>50/60</v>
      </c>
      <c r="N1334" s="97" t="str">
        <f>IFERROR(__xludf.DUMMYFUNCTION("""COMPUTED_VALUE"""),"Directa")</f>
        <v>Directa</v>
      </c>
      <c r="O1334" s="97">
        <f>IFERROR(__xludf.DUMMYFUNCTION("""COMPUTED_VALUE"""),12.0)</f>
        <v>12</v>
      </c>
      <c r="P1334" s="97">
        <f>IFERROR(__xludf.DUMMYFUNCTION("""COMPUTED_VALUE"""),12.73)</f>
        <v>12.73</v>
      </c>
      <c r="Q1334" s="97">
        <f>IFERROR(__xludf.DUMMYFUNCTION("""COMPUTED_VALUE"""),0.95)</f>
        <v>0.95</v>
      </c>
      <c r="R1334" s="97" t="str">
        <f>IFERROR(__xludf.DUMMYFUNCTION("""COMPUTED_VALUE"""),"-")</f>
        <v>-</v>
      </c>
      <c r="S1334" s="97" t="str">
        <f>IFERROR(__xludf.DUMMYFUNCTION("""COMPUTED_VALUE"""),"-")</f>
        <v>-</v>
      </c>
      <c r="T1334" s="97">
        <f>IFERROR(__xludf.DUMMYFUNCTION("""COMPUTED_VALUE"""),765.0)</f>
        <v>765</v>
      </c>
      <c r="U1334" s="99">
        <f>IFERROR(__xludf.DUMMYFUNCTION("""COMPUTED_VALUE"""),63.75)</f>
        <v>63.75</v>
      </c>
      <c r="V1334" s="97">
        <f>IFERROR(__xludf.DUMMYFUNCTION("""COMPUTED_VALUE"""),36.0)</f>
        <v>36</v>
      </c>
      <c r="W1334" s="97" t="str">
        <f>IFERROR(__xludf.DUMMYFUNCTION("""COMPUTED_VALUE"""),"&lt; 10")</f>
        <v>&lt; 10</v>
      </c>
      <c r="X1334" s="97">
        <f>IFERROR(__xludf.DUMMYFUNCTION("""COMPUTED_VALUE"""),2700.0)</f>
        <v>2700</v>
      </c>
      <c r="Y1334" s="97" t="str">
        <f>IFERROR(__xludf.DUMMYFUNCTION("""COMPUTED_VALUE"""),"&gt;90")</f>
        <v>&gt;90</v>
      </c>
      <c r="Z1334" s="97" t="str">
        <f>IFERROR(__xludf.DUMMYFUNCTION("""COMPUTED_VALUE"""),"&gt;90")</f>
        <v>&gt;90</v>
      </c>
      <c r="AA1334" s="97" t="str">
        <f>IFERROR(__xludf.DUMMYFUNCTION("""COMPUTED_VALUE"""),"101-110 (Vivido)")</f>
        <v>101-110 (Vivido)</v>
      </c>
      <c r="AB1334" s="97" t="str">
        <f>IFERROR(__xludf.DUMMYFUNCTION("""COMPUTED_VALUE"""),"&lt; 2")</f>
        <v>&lt; 2</v>
      </c>
      <c r="AC1334" s="97">
        <f>IFERROR(__xludf.DUMMYFUNCTION("""COMPUTED_VALUE"""),-3.2E-4)</f>
        <v>-0.00032</v>
      </c>
      <c r="AD1334" s="97" t="str">
        <f>IFERROR(__xludf.DUMMYFUNCTION("""COMPUTED_VALUE"""),"IP20")</f>
        <v>IP20</v>
      </c>
      <c r="AE1334" s="97"/>
      <c r="AF1334" s="97" t="str">
        <f>IFERROR(__xludf.DUMMYFUNCTION("""COMPUTED_VALUE"""),"Embutir")</f>
        <v>Embutir</v>
      </c>
      <c r="AG1334" s="97" t="str">
        <f>IFERROR(__xludf.DUMMYFUNCTION("""COMPUTED_VALUE"""),"Ø111 x 53")</f>
        <v>Ø111 x 53</v>
      </c>
      <c r="AH1334" s="97" t="str">
        <f>IFERROR(__xludf.DUMMYFUNCTION("""COMPUTED_VALUE"""),"Ø95")</f>
        <v>Ø95</v>
      </c>
      <c r="AI1334" s="97"/>
      <c r="AJ1334" s="97"/>
      <c r="AK1334" s="97" t="str">
        <f>IFERROR(__xludf.DUMMYFUNCTION("""COMPUTED_VALUE"""),"Aluminio")</f>
        <v>Aluminio</v>
      </c>
      <c r="AL1334" s="97" t="str">
        <f>IFERROR(__xludf.DUMMYFUNCTION("""COMPUTED_VALUE"""),"Blanco Satinado")</f>
        <v>Blanco Satinado</v>
      </c>
      <c r="AM1334" s="97"/>
      <c r="AN1334" s="97" t="str">
        <f>IFERROR(__xludf.DUMMYFUNCTION("""COMPUTED_VALUE"""),"30.000hs (L70)")</f>
        <v>30.000hs (L70)</v>
      </c>
      <c r="AO1334" s="97" t="str">
        <f>IFERROR(__xludf.DUMMYFUNCTION("""COMPUTED_VALUE"""),"3 Años")</f>
        <v>3 Años</v>
      </c>
      <c r="AP1334" s="97" t="str">
        <f>IFERROR(__xludf.DUMMYFUNCTION("""COMPUTED_VALUE"""),"Disponible")</f>
        <v>Disponible</v>
      </c>
      <c r="AQ1334" s="97" t="str">
        <f>IFERROR(__xludf.DUMMYFUNCTION("""COMPUTED_VALUE"""),"Disponible")</f>
        <v>Disponible</v>
      </c>
      <c r="AR1334" s="97" t="str">
        <f>IFERROR(__xludf.DUMMYFUNCTION("""COMPUTED_VALUE"""),"Disponible")</f>
        <v>Disponible</v>
      </c>
      <c r="AS1334" s="97" t="str">
        <f>IFERROR(__xludf.DUMMYFUNCTION("""COMPUTED_VALUE"""),"Disponible")</f>
        <v>Disponible</v>
      </c>
      <c r="AT1334" s="97" t="str">
        <f>IFERROR(__xludf.DUMMYFUNCTION("""COMPUTED_VALUE"""),"Disponible")</f>
        <v>Disponible</v>
      </c>
      <c r="AU1334" s="97" t="str">
        <f>IFERROR(__xludf.DUMMYFUNCTION("""COMPUTED_VALUE"""),"Disponible")</f>
        <v>Disponible</v>
      </c>
      <c r="AV1334" s="97" t="str">
        <f>IFERROR(__xludf.DUMMYFUNCTION("""COMPUTED_VALUE"""),"Empotrable")</f>
        <v>Empotrable</v>
      </c>
      <c r="AW1334" s="97" t="str">
        <f>IFERROR(__xludf.DUMMYFUNCTION("""COMPUTED_VALUE"""),"De Techo")</f>
        <v>De Techo</v>
      </c>
      <c r="AX1334" s="97" t="str">
        <f>IFERROR(__xludf.DUMMYFUNCTION("""COMPUTED_VALUE"""),"Interior")</f>
        <v>Interior</v>
      </c>
      <c r="AY1334" s="97" t="str">
        <f>IFERROR(__xludf.DUMMYFUNCTION("""COMPUTED_VALUE"""),"Confort Visual")</f>
        <v>Confort Visual</v>
      </c>
      <c r="AZ1334" s="97" t="str">
        <f>IFERROR(__xludf.DUMMYFUNCTION("""COMPUTED_VALUE"""),"Con lente HoneyComb. Angulo de mov. 355°")</f>
        <v>Con lente HoneyComb. Angulo de mov. 355°</v>
      </c>
      <c r="BA1334" s="97"/>
      <c r="BB1334" s="97"/>
      <c r="BC1334" s="97"/>
      <c r="BD1334" s="97" t="str">
        <f>IFERROR(__xludf.DUMMYFUNCTION("""COMPUTED_VALUE"""),"LOOP")</f>
        <v>LOOP</v>
      </c>
      <c r="BE1334" s="97" t="str">
        <f>IFERROR(__xludf.DUMMYFUNCTION("""COMPUTED_VALUE"""),"Solicitada")</f>
        <v>Solicitada</v>
      </c>
      <c r="BF1334" s="97"/>
      <c r="BG1334" s="97" t="str">
        <f>IFERROR(__xludf.DUMMYFUNCTION("""COMPUTED_VALUE"""),"REPO 7")</f>
        <v>REPO 7</v>
      </c>
    </row>
    <row r="1335">
      <c r="A1335" s="97">
        <f>IFERROR(__xludf.DUMMYFUNCTION("""COMPUTED_VALUE"""),7435.0)</f>
        <v>7435</v>
      </c>
      <c r="B1335" s="97" t="str">
        <f>IFERROR(__xludf.DUMMYFUNCTION("""COMPUTED_VALUE"""),"LOOP EM NG 2700k")</f>
        <v>LOOP EM NG 2700k</v>
      </c>
      <c r="C1335" s="97" t="str">
        <f>IFERROR(__xludf.DUMMYFUNCTION("""COMPUTED_VALUE"""),"EMPOTRABLE LOOP EM NG 2700K 12W 2700K 765LM CRI&gt;90 IP20 LEUK")</f>
        <v>EMPOTRABLE LOOP EM NG 2700K 12W 2700K 765LM CRI&gt;90 IP20 LEUK</v>
      </c>
      <c r="D1335" s="97">
        <f>IFERROR(__xludf.DUMMYFUNCTION("""COMPUTED_VALUE"""),7.79841322908E12)</f>
        <v>7798413229080</v>
      </c>
      <c r="E1335" s="97" t="str">
        <f>IFERROR(__xludf.DUMMYFUNCTION("""COMPUTED_VALUE"""),"F57")</f>
        <v>F57</v>
      </c>
      <c r="F1335" s="97" t="str">
        <f>IFERROR(__xludf.DUMMYFUNCTION("""COMPUTED_VALUE"""),"LED COB")</f>
        <v>LED COB</v>
      </c>
      <c r="G1335" s="97" t="str">
        <f>IFERROR(__xludf.DUMMYFUNCTION("""COMPUTED_VALUE"""),"Bridgelux")</f>
        <v>Bridgelux</v>
      </c>
      <c r="H1335" s="97" t="str">
        <f>IFERROR(__xludf.DUMMYFUNCTION("""COMPUTED_VALUE"""),"Eaglerise")</f>
        <v>Eaglerise</v>
      </c>
      <c r="I1335" s="97" t="str">
        <f>IFERROR(__xludf.DUMMYFUNCTION("""COMPUTED_VALUE"""),"Si")</f>
        <v>Si</v>
      </c>
      <c r="J1335" s="97" t="str">
        <f>IFERROR(__xludf.DUMMYFUNCTION("""COMPUTED_VALUE"""),"Modelo: LS-15-300 TRIAC LI1
15W | 220-240VAC | 300mA
28-40VDC | 82% | 0.95 | 102*38*25mm")</f>
        <v>Modelo: LS-15-300 TRIAC LI1
15W | 220-240VAC | 300mA
28-40VDC | 82% | 0.95 | 102*38*25mm</v>
      </c>
      <c r="K1335" s="97" t="str">
        <f>IFERROR(__xludf.DUMMYFUNCTION("""COMPUTED_VALUE"""),"TRIAC")</f>
        <v>TRIAC</v>
      </c>
      <c r="L1335" s="97" t="str">
        <f>IFERROR(__xludf.DUMMYFUNCTION("""COMPUTED_VALUE"""),"200-240")</f>
        <v>200-240</v>
      </c>
      <c r="M1335" s="97" t="str">
        <f>IFERROR(__xludf.DUMMYFUNCTION("""COMPUTED_VALUE"""),"50/60")</f>
        <v>50/60</v>
      </c>
      <c r="N1335" s="97" t="str">
        <f>IFERROR(__xludf.DUMMYFUNCTION("""COMPUTED_VALUE"""),"Directa")</f>
        <v>Directa</v>
      </c>
      <c r="O1335" s="97">
        <f>IFERROR(__xludf.DUMMYFUNCTION("""COMPUTED_VALUE"""),12.0)</f>
        <v>12</v>
      </c>
      <c r="P1335" s="97">
        <f>IFERROR(__xludf.DUMMYFUNCTION("""COMPUTED_VALUE"""),12.73)</f>
        <v>12.73</v>
      </c>
      <c r="Q1335" s="97">
        <f>IFERROR(__xludf.DUMMYFUNCTION("""COMPUTED_VALUE"""),0.95)</f>
        <v>0.95</v>
      </c>
      <c r="R1335" s="97" t="str">
        <f>IFERROR(__xludf.DUMMYFUNCTION("""COMPUTED_VALUE"""),"-")</f>
        <v>-</v>
      </c>
      <c r="S1335" s="97" t="str">
        <f>IFERROR(__xludf.DUMMYFUNCTION("""COMPUTED_VALUE"""),"-")</f>
        <v>-</v>
      </c>
      <c r="T1335" s="97">
        <f>IFERROR(__xludf.DUMMYFUNCTION("""COMPUTED_VALUE"""),765.0)</f>
        <v>765</v>
      </c>
      <c r="U1335" s="99">
        <f>IFERROR(__xludf.DUMMYFUNCTION("""COMPUTED_VALUE"""),63.75)</f>
        <v>63.75</v>
      </c>
      <c r="V1335" s="97">
        <f>IFERROR(__xludf.DUMMYFUNCTION("""COMPUTED_VALUE"""),36.0)</f>
        <v>36</v>
      </c>
      <c r="W1335" s="97" t="str">
        <f>IFERROR(__xludf.DUMMYFUNCTION("""COMPUTED_VALUE"""),"&lt; 10")</f>
        <v>&lt; 10</v>
      </c>
      <c r="X1335" s="97">
        <f>IFERROR(__xludf.DUMMYFUNCTION("""COMPUTED_VALUE"""),2700.0)</f>
        <v>2700</v>
      </c>
      <c r="Y1335" s="97" t="str">
        <f>IFERROR(__xludf.DUMMYFUNCTION("""COMPUTED_VALUE"""),"&gt;90")</f>
        <v>&gt;90</v>
      </c>
      <c r="Z1335" s="97" t="str">
        <f>IFERROR(__xludf.DUMMYFUNCTION("""COMPUTED_VALUE"""),"&gt;90")</f>
        <v>&gt;90</v>
      </c>
      <c r="AA1335" s="97" t="str">
        <f>IFERROR(__xludf.DUMMYFUNCTION("""COMPUTED_VALUE"""),"101-110 (Vivido)")</f>
        <v>101-110 (Vivido)</v>
      </c>
      <c r="AB1335" s="97" t="str">
        <f>IFERROR(__xludf.DUMMYFUNCTION("""COMPUTED_VALUE"""),"&lt; 2")</f>
        <v>&lt; 2</v>
      </c>
      <c r="AC1335" s="97">
        <f>IFERROR(__xludf.DUMMYFUNCTION("""COMPUTED_VALUE"""),-3.2E-4)</f>
        <v>-0.00032</v>
      </c>
      <c r="AD1335" s="97" t="str">
        <f>IFERROR(__xludf.DUMMYFUNCTION("""COMPUTED_VALUE"""),"IP20")</f>
        <v>IP20</v>
      </c>
      <c r="AE1335" s="97"/>
      <c r="AF1335" s="97" t="str">
        <f>IFERROR(__xludf.DUMMYFUNCTION("""COMPUTED_VALUE"""),"Embutir")</f>
        <v>Embutir</v>
      </c>
      <c r="AG1335" s="97" t="str">
        <f>IFERROR(__xludf.DUMMYFUNCTION("""COMPUTED_VALUE"""),"Ø111 x 53")</f>
        <v>Ø111 x 53</v>
      </c>
      <c r="AH1335" s="97" t="str">
        <f>IFERROR(__xludf.DUMMYFUNCTION("""COMPUTED_VALUE"""),"Ø95")</f>
        <v>Ø95</v>
      </c>
      <c r="AI1335" s="97"/>
      <c r="AJ1335" s="97"/>
      <c r="AK1335" s="97" t="str">
        <f>IFERROR(__xludf.DUMMYFUNCTION("""COMPUTED_VALUE"""),"Aluminio")</f>
        <v>Aluminio</v>
      </c>
      <c r="AL1335" s="97" t="str">
        <f>IFERROR(__xludf.DUMMYFUNCTION("""COMPUTED_VALUE"""),"Negro Satinado")</f>
        <v>Negro Satinado</v>
      </c>
      <c r="AM1335" s="97"/>
      <c r="AN1335" s="97" t="str">
        <f>IFERROR(__xludf.DUMMYFUNCTION("""COMPUTED_VALUE"""),"30.000hs (L70)")</f>
        <v>30.000hs (L70)</v>
      </c>
      <c r="AO1335" s="97" t="str">
        <f>IFERROR(__xludf.DUMMYFUNCTION("""COMPUTED_VALUE"""),"3 Años")</f>
        <v>3 Años</v>
      </c>
      <c r="AP1335" s="97" t="str">
        <f>IFERROR(__xludf.DUMMYFUNCTION("""COMPUTED_VALUE"""),"Disponible")</f>
        <v>Disponible</v>
      </c>
      <c r="AQ1335" s="97" t="str">
        <f>IFERROR(__xludf.DUMMYFUNCTION("""COMPUTED_VALUE"""),"Disponible")</f>
        <v>Disponible</v>
      </c>
      <c r="AR1335" s="97" t="str">
        <f>IFERROR(__xludf.DUMMYFUNCTION("""COMPUTED_VALUE"""),"Disponible")</f>
        <v>Disponible</v>
      </c>
      <c r="AS1335" s="97" t="str">
        <f>IFERROR(__xludf.DUMMYFUNCTION("""COMPUTED_VALUE"""),"Disponible")</f>
        <v>Disponible</v>
      </c>
      <c r="AT1335" s="97" t="str">
        <f>IFERROR(__xludf.DUMMYFUNCTION("""COMPUTED_VALUE"""),"Disponible")</f>
        <v>Disponible</v>
      </c>
      <c r="AU1335" s="97" t="str">
        <f>IFERROR(__xludf.DUMMYFUNCTION("""COMPUTED_VALUE"""),"Disponible")</f>
        <v>Disponible</v>
      </c>
      <c r="AV1335" s="97" t="str">
        <f>IFERROR(__xludf.DUMMYFUNCTION("""COMPUTED_VALUE"""),"Empotrable")</f>
        <v>Empotrable</v>
      </c>
      <c r="AW1335" s="97" t="str">
        <f>IFERROR(__xludf.DUMMYFUNCTION("""COMPUTED_VALUE"""),"De Techo")</f>
        <v>De Techo</v>
      </c>
      <c r="AX1335" s="97" t="str">
        <f>IFERROR(__xludf.DUMMYFUNCTION("""COMPUTED_VALUE"""),"Interior")</f>
        <v>Interior</v>
      </c>
      <c r="AY1335" s="97" t="str">
        <f>IFERROR(__xludf.DUMMYFUNCTION("""COMPUTED_VALUE"""),"Confort Visual")</f>
        <v>Confort Visual</v>
      </c>
      <c r="AZ1335" s="97" t="str">
        <f>IFERROR(__xludf.DUMMYFUNCTION("""COMPUTED_VALUE"""),"Con lente HoneyComb. Angulo de mov. 355°")</f>
        <v>Con lente HoneyComb. Angulo de mov. 355°</v>
      </c>
      <c r="BA1335" s="97"/>
      <c r="BB1335" s="97"/>
      <c r="BC1335" s="97"/>
      <c r="BD1335" s="97" t="str">
        <f>IFERROR(__xludf.DUMMYFUNCTION("""COMPUTED_VALUE"""),"LOOP")</f>
        <v>LOOP</v>
      </c>
      <c r="BE1335" s="97" t="str">
        <f>IFERROR(__xludf.DUMMYFUNCTION("""COMPUTED_VALUE"""),"Solicitada")</f>
        <v>Solicitada</v>
      </c>
      <c r="BF1335" s="97"/>
      <c r="BG1335" s="97" t="str">
        <f>IFERROR(__xludf.DUMMYFUNCTION("""COMPUTED_VALUE"""),"REPO 7")</f>
        <v>REPO 7</v>
      </c>
    </row>
    <row r="1336">
      <c r="A1336" s="97">
        <f>IFERROR(__xludf.DUMMYFUNCTION("""COMPUTED_VALUE"""),7436.0)</f>
        <v>7436</v>
      </c>
      <c r="B1336" s="97" t="str">
        <f>IFERROR(__xludf.DUMMYFUNCTION("""COMPUTED_VALUE"""),"BILUNE I BL")</f>
        <v>BILUNE I BL</v>
      </c>
      <c r="C1336" s="97" t="str">
        <f>IFERROR(__xludf.DUMMYFUNCTION("""COMPUTED_VALUE"""),"APLIQUE BILUNE I BL 24 (18+6)W 2800/4000/6000K LM CRI&gt;90 IP44 LEUK")</f>
        <v>APLIQUE BILUNE I BL 24 (18+6)W 2800/4000/6000K LM CRI&gt;90 IP44 LEUK</v>
      </c>
      <c r="D1336" s="97">
        <f>IFERROR(__xludf.DUMMYFUNCTION("""COMPUTED_VALUE"""),7.798485461197E12)</f>
        <v>7798485461197</v>
      </c>
      <c r="E1336" s="97" t="str">
        <f>IFERROR(__xludf.DUMMYFUNCTION("""COMPUTED_VALUE"""),"R185")</f>
        <v>R185</v>
      </c>
      <c r="F1336" s="97"/>
      <c r="G1336" s="97"/>
      <c r="H1336" s="97"/>
      <c r="I1336" s="97"/>
      <c r="J1336" s="97"/>
      <c r="K1336" s="97"/>
      <c r="L1336" s="97" t="str">
        <f>IFERROR(__xludf.DUMMYFUNCTION("""COMPUTED_VALUE"""),"200-240")</f>
        <v>200-240</v>
      </c>
      <c r="M1336" s="97" t="str">
        <f>IFERROR(__xludf.DUMMYFUNCTION("""COMPUTED_VALUE"""),"50/60")</f>
        <v>50/60</v>
      </c>
      <c r="N1336" s="97"/>
      <c r="O1336" s="97" t="str">
        <f>IFERROR(__xludf.DUMMYFUNCTION("""COMPUTED_VALUE"""),"24 (18+6)")</f>
        <v>24 (18+6)</v>
      </c>
      <c r="P1336" s="97"/>
      <c r="Q1336" s="97"/>
      <c r="R1336" s="97">
        <f>IFERROR(__xludf.DUMMYFUNCTION("""COMPUTED_VALUE"""),2200.0)</f>
        <v>2200</v>
      </c>
      <c r="S1336" s="97"/>
      <c r="T1336" s="97"/>
      <c r="U1336" s="97"/>
      <c r="V1336" s="97"/>
      <c r="W1336" s="97"/>
      <c r="X1336" s="97" t="str">
        <f>IFERROR(__xludf.DUMMYFUNCTION("""COMPUTED_VALUE"""),"2800/4000/6000")</f>
        <v>2800/4000/6000</v>
      </c>
      <c r="Y1336" s="97" t="str">
        <f>IFERROR(__xludf.DUMMYFUNCTION("""COMPUTED_VALUE"""),"&gt;90")</f>
        <v>&gt;90</v>
      </c>
      <c r="Z1336" s="97"/>
      <c r="AA1336" s="97"/>
      <c r="AB1336" s="97"/>
      <c r="AC1336" s="97"/>
      <c r="AD1336" s="97" t="str">
        <f>IFERROR(__xludf.DUMMYFUNCTION("""COMPUTED_VALUE"""),"IP44")</f>
        <v>IP44</v>
      </c>
      <c r="AE1336" s="97" t="str">
        <f>IFERROR(__xludf.DUMMYFUNCTION("""COMPUTED_VALUE"""),"Clase ll")</f>
        <v>Clase ll</v>
      </c>
      <c r="AF1336" s="97" t="str">
        <f>IFERROR(__xludf.DUMMYFUNCTION("""COMPUTED_VALUE"""),"Aplicar, Suspender")</f>
        <v>Aplicar, Suspender</v>
      </c>
      <c r="AG1336" s="97" t="str">
        <f>IFERROR(__xludf.DUMMYFUNCTION("""COMPUTED_VALUE"""),"Ø230 x 65")</f>
        <v>Ø230 x 65</v>
      </c>
      <c r="AH1336" s="97" t="str">
        <f>IFERROR(__xludf.DUMMYFUNCTION("""COMPUTED_VALUE"""),"N/A")</f>
        <v>N/A</v>
      </c>
      <c r="AI1336" s="97" t="str">
        <f>IFERROR(__xludf.DUMMYFUNCTION("""COMPUTED_VALUE"""),"N/A")</f>
        <v>N/A</v>
      </c>
      <c r="AJ1336" s="97" t="str">
        <f>IFERROR(__xludf.DUMMYFUNCTION("""COMPUTED_VALUE"""),"Policarbonato (PC)")</f>
        <v>Policarbonato (PC)</v>
      </c>
      <c r="AK1336" s="97" t="str">
        <f>IFERROR(__xludf.DUMMYFUNCTION("""COMPUTED_VALUE"""),"ABS")</f>
        <v>ABS</v>
      </c>
      <c r="AL1336" s="97" t="str">
        <f>IFERROR(__xludf.DUMMYFUNCTION("""COMPUTED_VALUE"""),"Blanco")</f>
        <v>Blanco</v>
      </c>
      <c r="AM1336" s="97"/>
      <c r="AN1336" s="97"/>
      <c r="AO1336" s="97"/>
      <c r="AP1336" s="97" t="str">
        <f>IFERROR(__xludf.DUMMYFUNCTION("""COMPUTED_VALUE"""),"Falta")</f>
        <v>Falta</v>
      </c>
      <c r="AQ1336" s="97" t="str">
        <f>IFERROR(__xludf.DUMMYFUNCTION("""COMPUTED_VALUE"""),"Falta")</f>
        <v>Falta</v>
      </c>
      <c r="AR1336" s="97" t="str">
        <f>IFERROR(__xludf.DUMMYFUNCTION("""COMPUTED_VALUE"""),"Falta")</f>
        <v>Falta</v>
      </c>
      <c r="AS1336" s="97" t="str">
        <f>IFERROR(__xludf.DUMMYFUNCTION("""COMPUTED_VALUE"""),"Falta")</f>
        <v>Falta</v>
      </c>
      <c r="AT1336" s="97" t="str">
        <f>IFERROR(__xludf.DUMMYFUNCTION("""COMPUTED_VALUE"""),"Falta")</f>
        <v>Falta</v>
      </c>
      <c r="AU1336" s="97" t="str">
        <f>IFERROR(__xludf.DUMMYFUNCTION("""COMPUTED_VALUE"""),"Disponible")</f>
        <v>Disponible</v>
      </c>
      <c r="AV1336" s="97" t="str">
        <f>IFERROR(__xludf.DUMMYFUNCTION("""COMPUTED_VALUE"""),"Aplique")</f>
        <v>Aplique</v>
      </c>
      <c r="AW1336" s="97" t="str">
        <f>IFERROR(__xludf.DUMMYFUNCTION("""COMPUTED_VALUE"""),"De Techo")</f>
        <v>De Techo</v>
      </c>
      <c r="AX1336" s="97" t="str">
        <f>IFERROR(__xludf.DUMMYFUNCTION("""COMPUTED_VALUE"""),"Exterior")</f>
        <v>Exterior</v>
      </c>
      <c r="AY1336" s="97" t="str">
        <f>IFERROR(__xludf.DUMMYFUNCTION("""COMPUTED_VALUE"""),"-")</f>
        <v>-</v>
      </c>
      <c r="AZ1336" s="97" t="str">
        <f>IFERROR(__xludf.DUMMYFUNCTION("""COMPUTED_VALUE"""),"Con switch, luces independientes?")</f>
        <v>Con switch, luces independientes?</v>
      </c>
      <c r="BA1336" s="97"/>
      <c r="BB1336" s="97"/>
      <c r="BC1336" s="97"/>
      <c r="BD1336" s="97" t="str">
        <f>IFERROR(__xludf.DUMMYFUNCTION("""COMPUTED_VALUE"""),"BILUNE")</f>
        <v>BILUNE</v>
      </c>
      <c r="BE1336" s="97"/>
      <c r="BF1336" s="97"/>
      <c r="BG1336" s="97" t="str">
        <f>IFERROR(__xludf.DUMMYFUNCTION("""COMPUTED_VALUE"""),"REPO 7")</f>
        <v>REPO 7</v>
      </c>
    </row>
    <row r="1337">
      <c r="A1337" s="97">
        <f>IFERROR(__xludf.DUMMYFUNCTION("""COMPUTED_VALUE"""),7437.0)</f>
        <v>7437</v>
      </c>
      <c r="B1337" s="97" t="str">
        <f>IFERROR(__xludf.DUMMYFUNCTION("""COMPUTED_VALUE"""),"BILUNE I NG")</f>
        <v>BILUNE I NG</v>
      </c>
      <c r="C1337" s="97" t="str">
        <f>IFERROR(__xludf.DUMMYFUNCTION("""COMPUTED_VALUE"""),"APLIQUE BILUNE I NG 24 (18+6)W 2800/4000/6000K LM CRI&gt;90 IP44 LEUK")</f>
        <v>APLIQUE BILUNE I NG 24 (18+6)W 2800/4000/6000K LM CRI&gt;90 IP44 LEUK</v>
      </c>
      <c r="D1337" s="97">
        <f>IFERROR(__xludf.DUMMYFUNCTION("""COMPUTED_VALUE"""),7.798485461203E12)</f>
        <v>7798485461203</v>
      </c>
      <c r="E1337" s="97" t="str">
        <f>IFERROR(__xludf.DUMMYFUNCTION("""COMPUTED_VALUE"""),"R185")</f>
        <v>R185</v>
      </c>
      <c r="F1337" s="97"/>
      <c r="G1337" s="97"/>
      <c r="H1337" s="97"/>
      <c r="I1337" s="97"/>
      <c r="J1337" s="97"/>
      <c r="K1337" s="97"/>
      <c r="L1337" s="97" t="str">
        <f>IFERROR(__xludf.DUMMYFUNCTION("""COMPUTED_VALUE"""),"200-240")</f>
        <v>200-240</v>
      </c>
      <c r="M1337" s="97" t="str">
        <f>IFERROR(__xludf.DUMMYFUNCTION("""COMPUTED_VALUE"""),"50/60")</f>
        <v>50/60</v>
      </c>
      <c r="N1337" s="97"/>
      <c r="O1337" s="97" t="str">
        <f>IFERROR(__xludf.DUMMYFUNCTION("""COMPUTED_VALUE"""),"24 (18+6)")</f>
        <v>24 (18+6)</v>
      </c>
      <c r="P1337" s="97"/>
      <c r="Q1337" s="97"/>
      <c r="R1337" s="97">
        <f>IFERROR(__xludf.DUMMYFUNCTION("""COMPUTED_VALUE"""),2200.0)</f>
        <v>2200</v>
      </c>
      <c r="S1337" s="97"/>
      <c r="T1337" s="97"/>
      <c r="U1337" s="97"/>
      <c r="V1337" s="97"/>
      <c r="W1337" s="97"/>
      <c r="X1337" s="97" t="str">
        <f>IFERROR(__xludf.DUMMYFUNCTION("""COMPUTED_VALUE"""),"2800/4000/6000")</f>
        <v>2800/4000/6000</v>
      </c>
      <c r="Y1337" s="97" t="str">
        <f>IFERROR(__xludf.DUMMYFUNCTION("""COMPUTED_VALUE"""),"&gt;90")</f>
        <v>&gt;90</v>
      </c>
      <c r="Z1337" s="97"/>
      <c r="AA1337" s="97"/>
      <c r="AB1337" s="97"/>
      <c r="AC1337" s="97"/>
      <c r="AD1337" s="97" t="str">
        <f>IFERROR(__xludf.DUMMYFUNCTION("""COMPUTED_VALUE"""),"IP44")</f>
        <v>IP44</v>
      </c>
      <c r="AE1337" s="97" t="str">
        <f>IFERROR(__xludf.DUMMYFUNCTION("""COMPUTED_VALUE"""),"Clase ll")</f>
        <v>Clase ll</v>
      </c>
      <c r="AF1337" s="97" t="str">
        <f>IFERROR(__xludf.DUMMYFUNCTION("""COMPUTED_VALUE"""),"Aplicar, Suspender")</f>
        <v>Aplicar, Suspender</v>
      </c>
      <c r="AG1337" s="97" t="str">
        <f>IFERROR(__xludf.DUMMYFUNCTION("""COMPUTED_VALUE"""),"Ø230 x 65")</f>
        <v>Ø230 x 65</v>
      </c>
      <c r="AH1337" s="97" t="str">
        <f>IFERROR(__xludf.DUMMYFUNCTION("""COMPUTED_VALUE"""),"N/A")</f>
        <v>N/A</v>
      </c>
      <c r="AI1337" s="97" t="str">
        <f>IFERROR(__xludf.DUMMYFUNCTION("""COMPUTED_VALUE"""),"N/A")</f>
        <v>N/A</v>
      </c>
      <c r="AJ1337" s="97" t="str">
        <f>IFERROR(__xludf.DUMMYFUNCTION("""COMPUTED_VALUE"""),"Policarbonato (PC)")</f>
        <v>Policarbonato (PC)</v>
      </c>
      <c r="AK1337" s="97" t="str">
        <f>IFERROR(__xludf.DUMMYFUNCTION("""COMPUTED_VALUE"""),"ABS")</f>
        <v>ABS</v>
      </c>
      <c r="AL1337" s="97" t="str">
        <f>IFERROR(__xludf.DUMMYFUNCTION("""COMPUTED_VALUE"""),"Negro")</f>
        <v>Negro</v>
      </c>
      <c r="AM1337" s="97"/>
      <c r="AN1337" s="97"/>
      <c r="AO1337" s="97"/>
      <c r="AP1337" s="97" t="str">
        <f>IFERROR(__xludf.DUMMYFUNCTION("""COMPUTED_VALUE"""),"Falta")</f>
        <v>Falta</v>
      </c>
      <c r="AQ1337" s="97" t="str">
        <f>IFERROR(__xludf.DUMMYFUNCTION("""COMPUTED_VALUE"""),"Falta")</f>
        <v>Falta</v>
      </c>
      <c r="AR1337" s="97" t="str">
        <f>IFERROR(__xludf.DUMMYFUNCTION("""COMPUTED_VALUE"""),"Falta")</f>
        <v>Falta</v>
      </c>
      <c r="AS1337" s="97" t="str">
        <f>IFERROR(__xludf.DUMMYFUNCTION("""COMPUTED_VALUE"""),"Falta")</f>
        <v>Falta</v>
      </c>
      <c r="AT1337" s="97" t="str">
        <f>IFERROR(__xludf.DUMMYFUNCTION("""COMPUTED_VALUE"""),"Falta")</f>
        <v>Falta</v>
      </c>
      <c r="AU1337" s="97" t="str">
        <f>IFERROR(__xludf.DUMMYFUNCTION("""COMPUTED_VALUE"""),"Disponible")</f>
        <v>Disponible</v>
      </c>
      <c r="AV1337" s="97" t="str">
        <f>IFERROR(__xludf.DUMMYFUNCTION("""COMPUTED_VALUE"""),"Aplique")</f>
        <v>Aplique</v>
      </c>
      <c r="AW1337" s="97" t="str">
        <f>IFERROR(__xludf.DUMMYFUNCTION("""COMPUTED_VALUE"""),"De Techo")</f>
        <v>De Techo</v>
      </c>
      <c r="AX1337" s="97" t="str">
        <f>IFERROR(__xludf.DUMMYFUNCTION("""COMPUTED_VALUE"""),"Exterior")</f>
        <v>Exterior</v>
      </c>
      <c r="AY1337" s="97" t="str">
        <f>IFERROR(__xludf.DUMMYFUNCTION("""COMPUTED_VALUE"""),"-")</f>
        <v>-</v>
      </c>
      <c r="AZ1337" s="97" t="str">
        <f>IFERROR(__xludf.DUMMYFUNCTION("""COMPUTED_VALUE"""),"Con switch, luces independientes?")</f>
        <v>Con switch, luces independientes?</v>
      </c>
      <c r="BA1337" s="97"/>
      <c r="BB1337" s="97"/>
      <c r="BC1337" s="97"/>
      <c r="BD1337" s="97" t="str">
        <f>IFERROR(__xludf.DUMMYFUNCTION("""COMPUTED_VALUE"""),"BILUNE")</f>
        <v>BILUNE</v>
      </c>
      <c r="BE1337" s="97"/>
      <c r="BF1337" s="97"/>
      <c r="BG1337" s="97" t="str">
        <f>IFERROR(__xludf.DUMMYFUNCTION("""COMPUTED_VALUE"""),"REPO 7")</f>
        <v>REPO 7</v>
      </c>
    </row>
    <row r="1338">
      <c r="A1338" s="97">
        <f>IFERROR(__xludf.DUMMYFUNCTION("""COMPUTED_VALUE"""),7438.0)</f>
        <v>7438</v>
      </c>
      <c r="B1338" s="97" t="str">
        <f>IFERROR(__xludf.DUMMYFUNCTION("""COMPUTED_VALUE"""),"BILUNE II BL")</f>
        <v>BILUNE II BL</v>
      </c>
      <c r="C1338" s="97" t="str">
        <f>IFERROR(__xludf.DUMMYFUNCTION("""COMPUTED_VALUE"""),"APLIQUE BILUNE II BL 30 (24+6)W 2800/4000/6000K LM CRI&gt;90 IP44 LEUK")</f>
        <v>APLIQUE BILUNE II BL 30 (24+6)W 2800/4000/6000K LM CRI&gt;90 IP44 LEUK</v>
      </c>
      <c r="D1338" s="97">
        <f>IFERROR(__xludf.DUMMYFUNCTION("""COMPUTED_VALUE"""),7.79848546121E12)</f>
        <v>7798485461210</v>
      </c>
      <c r="E1338" s="97" t="str">
        <f>IFERROR(__xludf.DUMMYFUNCTION("""COMPUTED_VALUE"""),"R206")</f>
        <v>R206</v>
      </c>
      <c r="F1338" s="97"/>
      <c r="G1338" s="97"/>
      <c r="H1338" s="97"/>
      <c r="I1338" s="97"/>
      <c r="J1338" s="97"/>
      <c r="K1338" s="97"/>
      <c r="L1338" s="97" t="str">
        <f>IFERROR(__xludf.DUMMYFUNCTION("""COMPUTED_VALUE"""),"200-240")</f>
        <v>200-240</v>
      </c>
      <c r="M1338" s="97" t="str">
        <f>IFERROR(__xludf.DUMMYFUNCTION("""COMPUTED_VALUE"""),"50/60")</f>
        <v>50/60</v>
      </c>
      <c r="N1338" s="97"/>
      <c r="O1338" s="97" t="str">
        <f>IFERROR(__xludf.DUMMYFUNCTION("""COMPUTED_VALUE"""),"30 (24+6)")</f>
        <v>30 (24+6)</v>
      </c>
      <c r="P1338" s="97"/>
      <c r="Q1338" s="97"/>
      <c r="R1338" s="97">
        <f>IFERROR(__xludf.DUMMYFUNCTION("""COMPUTED_VALUE"""),3000.0)</f>
        <v>3000</v>
      </c>
      <c r="S1338" s="97"/>
      <c r="T1338" s="97"/>
      <c r="U1338" s="97"/>
      <c r="V1338" s="97"/>
      <c r="W1338" s="97"/>
      <c r="X1338" s="97" t="str">
        <f>IFERROR(__xludf.DUMMYFUNCTION("""COMPUTED_VALUE"""),"2800/4000/6000")</f>
        <v>2800/4000/6000</v>
      </c>
      <c r="Y1338" s="97" t="str">
        <f>IFERROR(__xludf.DUMMYFUNCTION("""COMPUTED_VALUE"""),"&gt;90")</f>
        <v>&gt;90</v>
      </c>
      <c r="Z1338" s="97"/>
      <c r="AA1338" s="97"/>
      <c r="AB1338" s="97"/>
      <c r="AC1338" s="97"/>
      <c r="AD1338" s="97" t="str">
        <f>IFERROR(__xludf.DUMMYFUNCTION("""COMPUTED_VALUE"""),"IP44")</f>
        <v>IP44</v>
      </c>
      <c r="AE1338" s="97" t="str">
        <f>IFERROR(__xludf.DUMMYFUNCTION("""COMPUTED_VALUE"""),"Clase ll")</f>
        <v>Clase ll</v>
      </c>
      <c r="AF1338" s="97" t="str">
        <f>IFERROR(__xludf.DUMMYFUNCTION("""COMPUTED_VALUE"""),"Aplicar, Suspender")</f>
        <v>Aplicar, Suspender</v>
      </c>
      <c r="AG1338" s="97" t="str">
        <f>IFERROR(__xludf.DUMMYFUNCTION("""COMPUTED_VALUE"""),"Ø300 x 65")</f>
        <v>Ø300 x 65</v>
      </c>
      <c r="AH1338" s="97" t="str">
        <f>IFERROR(__xludf.DUMMYFUNCTION("""COMPUTED_VALUE"""),"N/A")</f>
        <v>N/A</v>
      </c>
      <c r="AI1338" s="97" t="str">
        <f>IFERROR(__xludf.DUMMYFUNCTION("""COMPUTED_VALUE"""),"N/A")</f>
        <v>N/A</v>
      </c>
      <c r="AJ1338" s="97" t="str">
        <f>IFERROR(__xludf.DUMMYFUNCTION("""COMPUTED_VALUE"""),"Policarbonato (PC)")</f>
        <v>Policarbonato (PC)</v>
      </c>
      <c r="AK1338" s="97" t="str">
        <f>IFERROR(__xludf.DUMMYFUNCTION("""COMPUTED_VALUE"""),"ABS")</f>
        <v>ABS</v>
      </c>
      <c r="AL1338" s="97" t="str">
        <f>IFERROR(__xludf.DUMMYFUNCTION("""COMPUTED_VALUE"""),"Blanco")</f>
        <v>Blanco</v>
      </c>
      <c r="AM1338" s="97"/>
      <c r="AN1338" s="97"/>
      <c r="AO1338" s="97"/>
      <c r="AP1338" s="97" t="str">
        <f>IFERROR(__xludf.DUMMYFUNCTION("""COMPUTED_VALUE"""),"Falta")</f>
        <v>Falta</v>
      </c>
      <c r="AQ1338" s="97" t="str">
        <f>IFERROR(__xludf.DUMMYFUNCTION("""COMPUTED_VALUE"""),"Falta")</f>
        <v>Falta</v>
      </c>
      <c r="AR1338" s="97" t="str">
        <f>IFERROR(__xludf.DUMMYFUNCTION("""COMPUTED_VALUE"""),"Falta")</f>
        <v>Falta</v>
      </c>
      <c r="AS1338" s="97" t="str">
        <f>IFERROR(__xludf.DUMMYFUNCTION("""COMPUTED_VALUE"""),"Falta")</f>
        <v>Falta</v>
      </c>
      <c r="AT1338" s="97" t="str">
        <f>IFERROR(__xludf.DUMMYFUNCTION("""COMPUTED_VALUE"""),"Falta")</f>
        <v>Falta</v>
      </c>
      <c r="AU1338" s="97" t="str">
        <f>IFERROR(__xludf.DUMMYFUNCTION("""COMPUTED_VALUE"""),"Disponible")</f>
        <v>Disponible</v>
      </c>
      <c r="AV1338" s="97" t="str">
        <f>IFERROR(__xludf.DUMMYFUNCTION("""COMPUTED_VALUE"""),"Aplique")</f>
        <v>Aplique</v>
      </c>
      <c r="AW1338" s="97" t="str">
        <f>IFERROR(__xludf.DUMMYFUNCTION("""COMPUTED_VALUE"""),"De Techo")</f>
        <v>De Techo</v>
      </c>
      <c r="AX1338" s="97" t="str">
        <f>IFERROR(__xludf.DUMMYFUNCTION("""COMPUTED_VALUE"""),"Exterior")</f>
        <v>Exterior</v>
      </c>
      <c r="AY1338" s="97" t="str">
        <f>IFERROR(__xludf.DUMMYFUNCTION("""COMPUTED_VALUE"""),"-")</f>
        <v>-</v>
      </c>
      <c r="AZ1338" s="97" t="str">
        <f>IFERROR(__xludf.DUMMYFUNCTION("""COMPUTED_VALUE"""),"Con switch, luces independientes?")</f>
        <v>Con switch, luces independientes?</v>
      </c>
      <c r="BA1338" s="97"/>
      <c r="BB1338" s="97"/>
      <c r="BC1338" s="97"/>
      <c r="BD1338" s="97" t="str">
        <f>IFERROR(__xludf.DUMMYFUNCTION("""COMPUTED_VALUE"""),"BILUNE")</f>
        <v>BILUNE</v>
      </c>
      <c r="BE1338" s="97"/>
      <c r="BF1338" s="97"/>
      <c r="BG1338" s="97" t="str">
        <f>IFERROR(__xludf.DUMMYFUNCTION("""COMPUTED_VALUE"""),"REPO 7")</f>
        <v>REPO 7</v>
      </c>
    </row>
    <row r="1339">
      <c r="A1339" s="97">
        <f>IFERROR(__xludf.DUMMYFUNCTION("""COMPUTED_VALUE"""),7439.0)</f>
        <v>7439</v>
      </c>
      <c r="B1339" s="97" t="str">
        <f>IFERROR(__xludf.DUMMYFUNCTION("""COMPUTED_VALUE"""),"BILUNE II NG")</f>
        <v>BILUNE II NG</v>
      </c>
      <c r="C1339" s="97" t="str">
        <f>IFERROR(__xludf.DUMMYFUNCTION("""COMPUTED_VALUE"""),"APLIQUE BILUNE II NG 30 (24+6)W 2800/4000/6000K LM CRI&gt;90 IP44 LEUK")</f>
        <v>APLIQUE BILUNE II NG 30 (24+6)W 2800/4000/6000K LM CRI&gt;90 IP44 LEUK</v>
      </c>
      <c r="D1339" s="97">
        <f>IFERROR(__xludf.DUMMYFUNCTION("""COMPUTED_VALUE"""),7.798485461227E12)</f>
        <v>7798485461227</v>
      </c>
      <c r="E1339" s="97" t="str">
        <f>IFERROR(__xludf.DUMMYFUNCTION("""COMPUTED_VALUE"""),"R206")</f>
        <v>R206</v>
      </c>
      <c r="F1339" s="97"/>
      <c r="G1339" s="97"/>
      <c r="H1339" s="97"/>
      <c r="I1339" s="97"/>
      <c r="J1339" s="97"/>
      <c r="K1339" s="97"/>
      <c r="L1339" s="97" t="str">
        <f>IFERROR(__xludf.DUMMYFUNCTION("""COMPUTED_VALUE"""),"200-240")</f>
        <v>200-240</v>
      </c>
      <c r="M1339" s="97" t="str">
        <f>IFERROR(__xludf.DUMMYFUNCTION("""COMPUTED_VALUE"""),"50/60")</f>
        <v>50/60</v>
      </c>
      <c r="N1339" s="97"/>
      <c r="O1339" s="97" t="str">
        <f>IFERROR(__xludf.DUMMYFUNCTION("""COMPUTED_VALUE"""),"30 (24+6)")</f>
        <v>30 (24+6)</v>
      </c>
      <c r="P1339" s="97"/>
      <c r="Q1339" s="97"/>
      <c r="R1339" s="97">
        <f>IFERROR(__xludf.DUMMYFUNCTION("""COMPUTED_VALUE"""),3000.0)</f>
        <v>3000</v>
      </c>
      <c r="S1339" s="97"/>
      <c r="T1339" s="97"/>
      <c r="U1339" s="97"/>
      <c r="V1339" s="97"/>
      <c r="W1339" s="97"/>
      <c r="X1339" s="97" t="str">
        <f>IFERROR(__xludf.DUMMYFUNCTION("""COMPUTED_VALUE"""),"2800/4000/6000")</f>
        <v>2800/4000/6000</v>
      </c>
      <c r="Y1339" s="97" t="str">
        <f>IFERROR(__xludf.DUMMYFUNCTION("""COMPUTED_VALUE"""),"&gt;90")</f>
        <v>&gt;90</v>
      </c>
      <c r="Z1339" s="97"/>
      <c r="AA1339" s="97"/>
      <c r="AB1339" s="97"/>
      <c r="AC1339" s="97"/>
      <c r="AD1339" s="97" t="str">
        <f>IFERROR(__xludf.DUMMYFUNCTION("""COMPUTED_VALUE"""),"IP44")</f>
        <v>IP44</v>
      </c>
      <c r="AE1339" s="97" t="str">
        <f>IFERROR(__xludf.DUMMYFUNCTION("""COMPUTED_VALUE"""),"Clase ll")</f>
        <v>Clase ll</v>
      </c>
      <c r="AF1339" s="97" t="str">
        <f>IFERROR(__xludf.DUMMYFUNCTION("""COMPUTED_VALUE"""),"Aplicar, Suspender")</f>
        <v>Aplicar, Suspender</v>
      </c>
      <c r="AG1339" s="97" t="str">
        <f>IFERROR(__xludf.DUMMYFUNCTION("""COMPUTED_VALUE"""),"Ø300 x 65")</f>
        <v>Ø300 x 65</v>
      </c>
      <c r="AH1339" s="97" t="str">
        <f>IFERROR(__xludf.DUMMYFUNCTION("""COMPUTED_VALUE"""),"N/A")</f>
        <v>N/A</v>
      </c>
      <c r="AI1339" s="97" t="str">
        <f>IFERROR(__xludf.DUMMYFUNCTION("""COMPUTED_VALUE"""),"N/A")</f>
        <v>N/A</v>
      </c>
      <c r="AJ1339" s="97" t="str">
        <f>IFERROR(__xludf.DUMMYFUNCTION("""COMPUTED_VALUE"""),"Policarbonato (PC)")</f>
        <v>Policarbonato (PC)</v>
      </c>
      <c r="AK1339" s="97" t="str">
        <f>IFERROR(__xludf.DUMMYFUNCTION("""COMPUTED_VALUE"""),"ABS")</f>
        <v>ABS</v>
      </c>
      <c r="AL1339" s="97" t="str">
        <f>IFERROR(__xludf.DUMMYFUNCTION("""COMPUTED_VALUE"""),"Negro")</f>
        <v>Negro</v>
      </c>
      <c r="AM1339" s="97"/>
      <c r="AN1339" s="97"/>
      <c r="AO1339" s="97"/>
      <c r="AP1339" s="97" t="str">
        <f>IFERROR(__xludf.DUMMYFUNCTION("""COMPUTED_VALUE"""),"Falta")</f>
        <v>Falta</v>
      </c>
      <c r="AQ1339" s="97" t="str">
        <f>IFERROR(__xludf.DUMMYFUNCTION("""COMPUTED_VALUE"""),"Falta")</f>
        <v>Falta</v>
      </c>
      <c r="AR1339" s="97" t="str">
        <f>IFERROR(__xludf.DUMMYFUNCTION("""COMPUTED_VALUE"""),"Falta")</f>
        <v>Falta</v>
      </c>
      <c r="AS1339" s="97" t="str">
        <f>IFERROR(__xludf.DUMMYFUNCTION("""COMPUTED_VALUE"""),"Falta")</f>
        <v>Falta</v>
      </c>
      <c r="AT1339" s="97" t="str">
        <f>IFERROR(__xludf.DUMMYFUNCTION("""COMPUTED_VALUE"""),"Falta")</f>
        <v>Falta</v>
      </c>
      <c r="AU1339" s="97" t="str">
        <f>IFERROR(__xludf.DUMMYFUNCTION("""COMPUTED_VALUE"""),"Disponible")</f>
        <v>Disponible</v>
      </c>
      <c r="AV1339" s="97" t="str">
        <f>IFERROR(__xludf.DUMMYFUNCTION("""COMPUTED_VALUE"""),"Aplique")</f>
        <v>Aplique</v>
      </c>
      <c r="AW1339" s="97" t="str">
        <f>IFERROR(__xludf.DUMMYFUNCTION("""COMPUTED_VALUE"""),"De Techo")</f>
        <v>De Techo</v>
      </c>
      <c r="AX1339" s="97" t="str">
        <f>IFERROR(__xludf.DUMMYFUNCTION("""COMPUTED_VALUE"""),"Exterior")</f>
        <v>Exterior</v>
      </c>
      <c r="AY1339" s="97" t="str">
        <f>IFERROR(__xludf.DUMMYFUNCTION("""COMPUTED_VALUE"""),"-")</f>
        <v>-</v>
      </c>
      <c r="AZ1339" s="97" t="str">
        <f>IFERROR(__xludf.DUMMYFUNCTION("""COMPUTED_VALUE"""),"Con switch, luces independientes?")</f>
        <v>Con switch, luces independientes?</v>
      </c>
      <c r="BA1339" s="97"/>
      <c r="BB1339" s="97"/>
      <c r="BC1339" s="97"/>
      <c r="BD1339" s="97" t="str">
        <f>IFERROR(__xludf.DUMMYFUNCTION("""COMPUTED_VALUE"""),"BILUNE")</f>
        <v>BILUNE</v>
      </c>
      <c r="BE1339" s="97"/>
      <c r="BF1339" s="97"/>
      <c r="BG1339" s="97" t="str">
        <f>IFERROR(__xludf.DUMMYFUNCTION("""COMPUTED_VALUE"""),"REPO 7")</f>
        <v>REPO 7</v>
      </c>
    </row>
    <row r="1340">
      <c r="A1340" s="97">
        <f>IFERROR(__xludf.DUMMYFUNCTION("""COMPUTED_VALUE"""),7440.0)</f>
        <v>7440</v>
      </c>
      <c r="B1340" s="97" t="str">
        <f>IFERROR(__xludf.DUMMYFUNCTION("""COMPUTED_VALUE"""),"BILUNE III BL")</f>
        <v>BILUNE III BL</v>
      </c>
      <c r="C1340" s="97" t="str">
        <f>IFERROR(__xludf.DUMMYFUNCTION("""COMPUTED_VALUE"""),"APLIQUE BILUNE III BL 50 (42+8)W 2800/4000/6000K LM CRI&gt;90 IP44 LEUK")</f>
        <v>APLIQUE BILUNE III BL 50 (42+8)W 2800/4000/6000K LM CRI&gt;90 IP44 LEUK</v>
      </c>
      <c r="D1340" s="97">
        <f>IFERROR(__xludf.DUMMYFUNCTION("""COMPUTED_VALUE"""),7.798485461234E12)</f>
        <v>7798485461234</v>
      </c>
      <c r="E1340" s="97" t="str">
        <f>IFERROR(__xludf.DUMMYFUNCTION("""COMPUTED_VALUE"""),"R281")</f>
        <v>R281</v>
      </c>
      <c r="F1340" s="97"/>
      <c r="G1340" s="97"/>
      <c r="H1340" s="97"/>
      <c r="I1340" s="97"/>
      <c r="J1340" s="97"/>
      <c r="K1340" s="97"/>
      <c r="L1340" s="97" t="str">
        <f>IFERROR(__xludf.DUMMYFUNCTION("""COMPUTED_VALUE"""),"200-240")</f>
        <v>200-240</v>
      </c>
      <c r="M1340" s="97" t="str">
        <f>IFERROR(__xludf.DUMMYFUNCTION("""COMPUTED_VALUE"""),"50/60")</f>
        <v>50/60</v>
      </c>
      <c r="N1340" s="97"/>
      <c r="O1340" s="97" t="str">
        <f>IFERROR(__xludf.DUMMYFUNCTION("""COMPUTED_VALUE"""),"50 (42+8)")</f>
        <v>50 (42+8)</v>
      </c>
      <c r="P1340" s="97"/>
      <c r="Q1340" s="97"/>
      <c r="R1340" s="97">
        <f>IFERROR(__xludf.DUMMYFUNCTION("""COMPUTED_VALUE"""),5000.0)</f>
        <v>5000</v>
      </c>
      <c r="S1340" s="97"/>
      <c r="T1340" s="97"/>
      <c r="U1340" s="97"/>
      <c r="V1340" s="97"/>
      <c r="W1340" s="97"/>
      <c r="X1340" s="97" t="str">
        <f>IFERROR(__xludf.DUMMYFUNCTION("""COMPUTED_VALUE"""),"2800/4000/6000")</f>
        <v>2800/4000/6000</v>
      </c>
      <c r="Y1340" s="97" t="str">
        <f>IFERROR(__xludf.DUMMYFUNCTION("""COMPUTED_VALUE"""),"&gt;90")</f>
        <v>&gt;90</v>
      </c>
      <c r="Z1340" s="97"/>
      <c r="AA1340" s="97"/>
      <c r="AB1340" s="97"/>
      <c r="AC1340" s="97"/>
      <c r="AD1340" s="97" t="str">
        <f>IFERROR(__xludf.DUMMYFUNCTION("""COMPUTED_VALUE"""),"IP44")</f>
        <v>IP44</v>
      </c>
      <c r="AE1340" s="97" t="str">
        <f>IFERROR(__xludf.DUMMYFUNCTION("""COMPUTED_VALUE"""),"Clase ll")</f>
        <v>Clase ll</v>
      </c>
      <c r="AF1340" s="97" t="str">
        <f>IFERROR(__xludf.DUMMYFUNCTION("""COMPUTED_VALUE"""),"Aplicar, Suspender")</f>
        <v>Aplicar, Suspender</v>
      </c>
      <c r="AG1340" s="97" t="str">
        <f>IFERROR(__xludf.DUMMYFUNCTION("""COMPUTED_VALUE"""),"Ø480 x 65")</f>
        <v>Ø480 x 65</v>
      </c>
      <c r="AH1340" s="97" t="str">
        <f>IFERROR(__xludf.DUMMYFUNCTION("""COMPUTED_VALUE"""),"N/A")</f>
        <v>N/A</v>
      </c>
      <c r="AI1340" s="97" t="str">
        <f>IFERROR(__xludf.DUMMYFUNCTION("""COMPUTED_VALUE"""),"N/A")</f>
        <v>N/A</v>
      </c>
      <c r="AJ1340" s="97" t="str">
        <f>IFERROR(__xludf.DUMMYFUNCTION("""COMPUTED_VALUE"""),"Policarbonato (PC)")</f>
        <v>Policarbonato (PC)</v>
      </c>
      <c r="AK1340" s="97" t="str">
        <f>IFERROR(__xludf.DUMMYFUNCTION("""COMPUTED_VALUE"""),"ABS")</f>
        <v>ABS</v>
      </c>
      <c r="AL1340" s="97" t="str">
        <f>IFERROR(__xludf.DUMMYFUNCTION("""COMPUTED_VALUE"""),"Blanco")</f>
        <v>Blanco</v>
      </c>
      <c r="AM1340" s="97"/>
      <c r="AN1340" s="97"/>
      <c r="AO1340" s="97"/>
      <c r="AP1340" s="97" t="str">
        <f>IFERROR(__xludf.DUMMYFUNCTION("""COMPUTED_VALUE"""),"Falta")</f>
        <v>Falta</v>
      </c>
      <c r="AQ1340" s="97" t="str">
        <f>IFERROR(__xludf.DUMMYFUNCTION("""COMPUTED_VALUE"""),"Falta")</f>
        <v>Falta</v>
      </c>
      <c r="AR1340" s="97" t="str">
        <f>IFERROR(__xludf.DUMMYFUNCTION("""COMPUTED_VALUE"""),"Falta")</f>
        <v>Falta</v>
      </c>
      <c r="AS1340" s="97" t="str">
        <f>IFERROR(__xludf.DUMMYFUNCTION("""COMPUTED_VALUE"""),"Falta")</f>
        <v>Falta</v>
      </c>
      <c r="AT1340" s="97" t="str">
        <f>IFERROR(__xludf.DUMMYFUNCTION("""COMPUTED_VALUE"""),"Falta")</f>
        <v>Falta</v>
      </c>
      <c r="AU1340" s="97" t="str">
        <f>IFERROR(__xludf.DUMMYFUNCTION("""COMPUTED_VALUE"""),"Disponible")</f>
        <v>Disponible</v>
      </c>
      <c r="AV1340" s="97" t="str">
        <f>IFERROR(__xludf.DUMMYFUNCTION("""COMPUTED_VALUE"""),"Aplique")</f>
        <v>Aplique</v>
      </c>
      <c r="AW1340" s="97" t="str">
        <f>IFERROR(__xludf.DUMMYFUNCTION("""COMPUTED_VALUE"""),"De Techo")</f>
        <v>De Techo</v>
      </c>
      <c r="AX1340" s="97" t="str">
        <f>IFERROR(__xludf.DUMMYFUNCTION("""COMPUTED_VALUE"""),"Exterior")</f>
        <v>Exterior</v>
      </c>
      <c r="AY1340" s="97" t="str">
        <f>IFERROR(__xludf.DUMMYFUNCTION("""COMPUTED_VALUE"""),"-")</f>
        <v>-</v>
      </c>
      <c r="AZ1340" s="97" t="str">
        <f>IFERROR(__xludf.DUMMYFUNCTION("""COMPUTED_VALUE"""),"Con switch, luces independientes?")</f>
        <v>Con switch, luces independientes?</v>
      </c>
      <c r="BA1340" s="97"/>
      <c r="BB1340" s="97"/>
      <c r="BC1340" s="97"/>
      <c r="BD1340" s="97" t="str">
        <f>IFERROR(__xludf.DUMMYFUNCTION("""COMPUTED_VALUE"""),"BILUNE")</f>
        <v>BILUNE</v>
      </c>
      <c r="BE1340" s="97"/>
      <c r="BF1340" s="97"/>
      <c r="BG1340" s="97" t="str">
        <f>IFERROR(__xludf.DUMMYFUNCTION("""COMPUTED_VALUE"""),"REPO 7")</f>
        <v>REPO 7</v>
      </c>
    </row>
    <row r="1341">
      <c r="A1341" s="97">
        <f>IFERROR(__xludf.DUMMYFUNCTION("""COMPUTED_VALUE"""),7441.0)</f>
        <v>7441</v>
      </c>
      <c r="B1341" s="97" t="str">
        <f>IFERROR(__xludf.DUMMYFUNCTION("""COMPUTED_VALUE"""),"BILUNE III NG")</f>
        <v>BILUNE III NG</v>
      </c>
      <c r="C1341" s="97" t="str">
        <f>IFERROR(__xludf.DUMMYFUNCTION("""COMPUTED_VALUE"""),"APLIQUE BILUNE III NG 50 (42+8)W 2800/4000/6000K LM CRI&gt;90 IP44 LEUK")</f>
        <v>APLIQUE BILUNE III NG 50 (42+8)W 2800/4000/6000K LM CRI&gt;90 IP44 LEUK</v>
      </c>
      <c r="D1341" s="97">
        <f>IFERROR(__xludf.DUMMYFUNCTION("""COMPUTED_VALUE"""),7.798485461241E12)</f>
        <v>7798485461241</v>
      </c>
      <c r="E1341" s="97" t="str">
        <f>IFERROR(__xludf.DUMMYFUNCTION("""COMPUTED_VALUE"""),"R281")</f>
        <v>R281</v>
      </c>
      <c r="F1341" s="97"/>
      <c r="G1341" s="97"/>
      <c r="H1341" s="97"/>
      <c r="I1341" s="97"/>
      <c r="J1341" s="97"/>
      <c r="K1341" s="97"/>
      <c r="L1341" s="97" t="str">
        <f>IFERROR(__xludf.DUMMYFUNCTION("""COMPUTED_VALUE"""),"200-240")</f>
        <v>200-240</v>
      </c>
      <c r="M1341" s="97" t="str">
        <f>IFERROR(__xludf.DUMMYFUNCTION("""COMPUTED_VALUE"""),"50/60")</f>
        <v>50/60</v>
      </c>
      <c r="N1341" s="97"/>
      <c r="O1341" s="97" t="str">
        <f>IFERROR(__xludf.DUMMYFUNCTION("""COMPUTED_VALUE"""),"50 (42+8)")</f>
        <v>50 (42+8)</v>
      </c>
      <c r="P1341" s="97"/>
      <c r="Q1341" s="97"/>
      <c r="R1341" s="97">
        <f>IFERROR(__xludf.DUMMYFUNCTION("""COMPUTED_VALUE"""),5000.0)</f>
        <v>5000</v>
      </c>
      <c r="S1341" s="97"/>
      <c r="T1341" s="97"/>
      <c r="U1341" s="97"/>
      <c r="V1341" s="97"/>
      <c r="W1341" s="97"/>
      <c r="X1341" s="97" t="str">
        <f>IFERROR(__xludf.DUMMYFUNCTION("""COMPUTED_VALUE"""),"2800/4000/6000")</f>
        <v>2800/4000/6000</v>
      </c>
      <c r="Y1341" s="97" t="str">
        <f>IFERROR(__xludf.DUMMYFUNCTION("""COMPUTED_VALUE"""),"&gt;90")</f>
        <v>&gt;90</v>
      </c>
      <c r="Z1341" s="97"/>
      <c r="AA1341" s="97"/>
      <c r="AB1341" s="97"/>
      <c r="AC1341" s="97"/>
      <c r="AD1341" s="97" t="str">
        <f>IFERROR(__xludf.DUMMYFUNCTION("""COMPUTED_VALUE"""),"IP44")</f>
        <v>IP44</v>
      </c>
      <c r="AE1341" s="97" t="str">
        <f>IFERROR(__xludf.DUMMYFUNCTION("""COMPUTED_VALUE"""),"Clase ll")</f>
        <v>Clase ll</v>
      </c>
      <c r="AF1341" s="97" t="str">
        <f>IFERROR(__xludf.DUMMYFUNCTION("""COMPUTED_VALUE"""),"Aplicar, Suspender")</f>
        <v>Aplicar, Suspender</v>
      </c>
      <c r="AG1341" s="97" t="str">
        <f>IFERROR(__xludf.DUMMYFUNCTION("""COMPUTED_VALUE"""),"Ø480 x 65")</f>
        <v>Ø480 x 65</v>
      </c>
      <c r="AH1341" s="97" t="str">
        <f>IFERROR(__xludf.DUMMYFUNCTION("""COMPUTED_VALUE"""),"N/A")</f>
        <v>N/A</v>
      </c>
      <c r="AI1341" s="97" t="str">
        <f>IFERROR(__xludf.DUMMYFUNCTION("""COMPUTED_VALUE"""),"N/A")</f>
        <v>N/A</v>
      </c>
      <c r="AJ1341" s="97" t="str">
        <f>IFERROR(__xludf.DUMMYFUNCTION("""COMPUTED_VALUE"""),"Policarbonato (PC)")</f>
        <v>Policarbonato (PC)</v>
      </c>
      <c r="AK1341" s="97" t="str">
        <f>IFERROR(__xludf.DUMMYFUNCTION("""COMPUTED_VALUE"""),"ABS")</f>
        <v>ABS</v>
      </c>
      <c r="AL1341" s="97" t="str">
        <f>IFERROR(__xludf.DUMMYFUNCTION("""COMPUTED_VALUE"""),"Negro")</f>
        <v>Negro</v>
      </c>
      <c r="AM1341" s="97"/>
      <c r="AN1341" s="97"/>
      <c r="AO1341" s="97"/>
      <c r="AP1341" s="97" t="str">
        <f>IFERROR(__xludf.DUMMYFUNCTION("""COMPUTED_VALUE"""),"Falta")</f>
        <v>Falta</v>
      </c>
      <c r="AQ1341" s="97" t="str">
        <f>IFERROR(__xludf.DUMMYFUNCTION("""COMPUTED_VALUE"""),"Falta")</f>
        <v>Falta</v>
      </c>
      <c r="AR1341" s="97" t="str">
        <f>IFERROR(__xludf.DUMMYFUNCTION("""COMPUTED_VALUE"""),"Falta")</f>
        <v>Falta</v>
      </c>
      <c r="AS1341" s="97" t="str">
        <f>IFERROR(__xludf.DUMMYFUNCTION("""COMPUTED_VALUE"""),"Falta")</f>
        <v>Falta</v>
      </c>
      <c r="AT1341" s="97" t="str">
        <f>IFERROR(__xludf.DUMMYFUNCTION("""COMPUTED_VALUE"""),"Falta")</f>
        <v>Falta</v>
      </c>
      <c r="AU1341" s="97" t="str">
        <f>IFERROR(__xludf.DUMMYFUNCTION("""COMPUTED_VALUE"""),"Disponible")</f>
        <v>Disponible</v>
      </c>
      <c r="AV1341" s="97" t="str">
        <f>IFERROR(__xludf.DUMMYFUNCTION("""COMPUTED_VALUE"""),"Aplique")</f>
        <v>Aplique</v>
      </c>
      <c r="AW1341" s="97" t="str">
        <f>IFERROR(__xludf.DUMMYFUNCTION("""COMPUTED_VALUE"""),"De Techo")</f>
        <v>De Techo</v>
      </c>
      <c r="AX1341" s="97" t="str">
        <f>IFERROR(__xludf.DUMMYFUNCTION("""COMPUTED_VALUE"""),"Exterior")</f>
        <v>Exterior</v>
      </c>
      <c r="AY1341" s="97" t="str">
        <f>IFERROR(__xludf.DUMMYFUNCTION("""COMPUTED_VALUE"""),"-")</f>
        <v>-</v>
      </c>
      <c r="AZ1341" s="97" t="str">
        <f>IFERROR(__xludf.DUMMYFUNCTION("""COMPUTED_VALUE"""),"Con switch, luces independientes?")</f>
        <v>Con switch, luces independientes?</v>
      </c>
      <c r="BA1341" s="97"/>
      <c r="BB1341" s="97"/>
      <c r="BC1341" s="97"/>
      <c r="BD1341" s="97" t="str">
        <f>IFERROR(__xludf.DUMMYFUNCTION("""COMPUTED_VALUE"""),"BILUNE")</f>
        <v>BILUNE</v>
      </c>
      <c r="BE1341" s="97"/>
      <c r="BF1341" s="97"/>
      <c r="BG1341" s="97" t="str">
        <f>IFERROR(__xludf.DUMMYFUNCTION("""COMPUTED_VALUE"""),"REPO 7")</f>
        <v>REPO 7</v>
      </c>
    </row>
    <row r="1342">
      <c r="A1342" s="97">
        <f>IFERROR(__xludf.DUMMYFUNCTION("""COMPUTED_VALUE"""),7442.0)</f>
        <v>7442</v>
      </c>
      <c r="B1342" s="97" t="str">
        <f>IFERROR(__xludf.DUMMYFUNCTION("""COMPUTED_VALUE"""),"CATEN 30 CR 3CCT IP44")</f>
        <v>CATEN 30 CR 3CCT IP44</v>
      </c>
      <c r="C1342" s="97" t="str">
        <f>IFERROR(__xludf.DUMMYFUNCTION("""COMPUTED_VALUE"""),"APLIQUE CATEN 30 CR 3CCT IP44 12W 2700/3300/4000K 1105LM CRI&gt;90 IP44 LEUK")</f>
        <v>APLIQUE CATEN 30 CR 3CCT IP44 12W 2700/3300/4000K 1105LM CRI&gt;90 IP44 LEUK</v>
      </c>
      <c r="D1342" s="97">
        <f>IFERROR(__xludf.DUMMYFUNCTION("""COMPUTED_VALUE"""),7.798413229158E12)</f>
        <v>7798413229158</v>
      </c>
      <c r="E1342" s="97" t="str">
        <f>IFERROR(__xludf.DUMMYFUNCTION("""COMPUTED_VALUE"""),"R142")</f>
        <v>R142</v>
      </c>
      <c r="F1342" s="97" t="str">
        <f>IFERROR(__xludf.DUMMYFUNCTION("""COMPUTED_VALUE"""),"LED SMD2835")</f>
        <v>LED SMD2835</v>
      </c>
      <c r="G1342" s="97" t="str">
        <f>IFERROR(__xludf.DUMMYFUNCTION("""COMPUTED_VALUE"""),"OSRAM")</f>
        <v>OSRAM</v>
      </c>
      <c r="H1342" s="97" t="str">
        <f>IFERROR(__xludf.DUMMYFUNCTION("""COMPUTED_VALUE"""),"Eaglerise")</f>
        <v>Eaglerise</v>
      </c>
      <c r="I1342" s="97" t="str">
        <f>IFERROR(__xludf.DUMMYFUNCTION("""COMPUTED_VALUE"""),"Si")</f>
        <v>Si</v>
      </c>
      <c r="J1342" s="97" t="str">
        <f>IFERROR(__xludf.DUMMYFUNCTION("""COMPUTED_VALUE"""),"Eaglerise LS-12-350 CCT  SI E")</f>
        <v>Eaglerise LS-12-350 CCT  SI E</v>
      </c>
      <c r="K1342" s="97" t="str">
        <f>IFERROR(__xludf.DUMMYFUNCTION("""COMPUTED_VALUE"""),"ON/OFF")</f>
        <v>ON/OFF</v>
      </c>
      <c r="L1342" s="97" t="str">
        <f>IFERROR(__xludf.DUMMYFUNCTION("""COMPUTED_VALUE"""),"200-240")</f>
        <v>200-240</v>
      </c>
      <c r="M1342" s="97" t="str">
        <f>IFERROR(__xludf.DUMMYFUNCTION("""COMPUTED_VALUE"""),"50/60")</f>
        <v>50/60</v>
      </c>
      <c r="N1342" s="97"/>
      <c r="O1342" s="97">
        <f>IFERROR(__xludf.DUMMYFUNCTION("""COMPUTED_VALUE"""),12.0)</f>
        <v>12</v>
      </c>
      <c r="P1342" s="97">
        <f>IFERROR(__xludf.DUMMYFUNCTION("""COMPUTED_VALUE"""),13.07)</f>
        <v>13.07</v>
      </c>
      <c r="Q1342" s="97">
        <f>IFERROR(__xludf.DUMMYFUNCTION("""COMPUTED_VALUE"""),0.6)</f>
        <v>0.6</v>
      </c>
      <c r="R1342" s="97" t="str">
        <f>IFERROR(__xludf.DUMMYFUNCTION("""COMPUTED_VALUE"""),"-")</f>
        <v>-</v>
      </c>
      <c r="S1342" s="97" t="str">
        <f>IFERROR(__xludf.DUMMYFUNCTION("""COMPUTED_VALUE"""),"-")</f>
        <v>-</v>
      </c>
      <c r="T1342" s="97">
        <f>IFERROR(__xludf.DUMMYFUNCTION("""COMPUTED_VALUE"""),1105.0)</f>
        <v>1105</v>
      </c>
      <c r="U1342" s="99">
        <f>IFERROR(__xludf.DUMMYFUNCTION("""COMPUTED_VALUE"""),92.08333333333333)</f>
        <v>92.08333333</v>
      </c>
      <c r="V1342" s="97">
        <f>IFERROR(__xludf.DUMMYFUNCTION("""COMPUTED_VALUE"""),100.0)</f>
        <v>100</v>
      </c>
      <c r="W1342" s="97" t="str">
        <f>IFERROR(__xludf.DUMMYFUNCTION("""COMPUTED_VALUE"""),"-")</f>
        <v>-</v>
      </c>
      <c r="X1342" s="97" t="str">
        <f>IFERROR(__xludf.DUMMYFUNCTION("""COMPUTED_VALUE"""),"2700/3300/4000")</f>
        <v>2700/3300/4000</v>
      </c>
      <c r="Y1342" s="97" t="str">
        <f>IFERROR(__xludf.DUMMYFUNCTION("""COMPUTED_VALUE"""),"&gt;90")</f>
        <v>&gt;90</v>
      </c>
      <c r="Z1342" s="97" t="str">
        <f>IFERROR(__xludf.DUMMYFUNCTION("""COMPUTED_VALUE"""),"&gt;90")</f>
        <v>&gt;90</v>
      </c>
      <c r="AA1342" s="97" t="str">
        <f>IFERROR(__xludf.DUMMYFUNCTION("""COMPUTED_VALUE"""),"90-99 (Leve desaturación)")</f>
        <v>90-99 (Leve desaturación)</v>
      </c>
      <c r="AB1342" s="97" t="str">
        <f>IFERROR(__xludf.DUMMYFUNCTION("""COMPUTED_VALUE"""),"&lt; 3")</f>
        <v>&lt; 3</v>
      </c>
      <c r="AC1342" s="97" t="str">
        <f>IFERROR(__xludf.DUMMYFUNCTION("""COMPUTED_VALUE"""),"0,00071 / -0,00161 / 0,00088")</f>
        <v>0,00071 / -0,00161 / 0,00088</v>
      </c>
      <c r="AD1342" s="97" t="str">
        <f>IFERROR(__xludf.DUMMYFUNCTION("""COMPUTED_VALUE"""),"IP44")</f>
        <v>IP44</v>
      </c>
      <c r="AE1342" s="97"/>
      <c r="AF1342" s="97" t="str">
        <f>IFERROR(__xludf.DUMMYFUNCTION("""COMPUTED_VALUE"""),"Aplicar")</f>
        <v>Aplicar</v>
      </c>
      <c r="AG1342" s="97" t="str">
        <f>IFERROR(__xludf.DUMMYFUNCTION("""COMPUTED_VALUE"""),"165 x 115 x 300")</f>
        <v>165 x 115 x 300</v>
      </c>
      <c r="AH1342" s="97" t="str">
        <f>IFERROR(__xludf.DUMMYFUNCTION("""COMPUTED_VALUE"""),"N/A")</f>
        <v>N/A</v>
      </c>
      <c r="AI1342" s="97" t="str">
        <f>IFERROR(__xludf.DUMMYFUNCTION("""COMPUTED_VALUE"""),"N/A")</f>
        <v>N/A</v>
      </c>
      <c r="AJ1342" s="97" t="str">
        <f>IFERROR(__xludf.DUMMYFUNCTION("""COMPUTED_VALUE"""),"Vidrio y Policarbonato (PC)")</f>
        <v>Vidrio y Policarbonato (PC)</v>
      </c>
      <c r="AK1342" s="97" t="str">
        <f>IFERROR(__xludf.DUMMYFUNCTION("""COMPUTED_VALUE"""),"Acero Inox y Aluminio")</f>
        <v>Acero Inox y Aluminio</v>
      </c>
      <c r="AL1342" s="97" t="str">
        <f>IFERROR(__xludf.DUMMYFUNCTION("""COMPUTED_VALUE"""),"Cromo")</f>
        <v>Cromo</v>
      </c>
      <c r="AM1342" s="97" t="str">
        <f>IFERROR(__xludf.DUMMYFUNCTION("""COMPUTED_VALUE"""),"-")</f>
        <v>-</v>
      </c>
      <c r="AN1342" s="97" t="str">
        <f>IFERROR(__xludf.DUMMYFUNCTION("""COMPUTED_VALUE"""),"25.000hs (L70)")</f>
        <v>25.000hs (L70)</v>
      </c>
      <c r="AO1342" s="97" t="str">
        <f>IFERROR(__xludf.DUMMYFUNCTION("""COMPUTED_VALUE"""),"2 Años")</f>
        <v>2 Años</v>
      </c>
      <c r="AP1342" s="97" t="str">
        <f>IFERROR(__xludf.DUMMYFUNCTION("""COMPUTED_VALUE"""),"Disponible")</f>
        <v>Disponible</v>
      </c>
      <c r="AQ1342" s="97" t="str">
        <f>IFERROR(__xludf.DUMMYFUNCTION("""COMPUTED_VALUE"""),"Disponible")</f>
        <v>Disponible</v>
      </c>
      <c r="AR1342" s="97" t="str">
        <f>IFERROR(__xludf.DUMMYFUNCTION("""COMPUTED_VALUE"""),"Disponible")</f>
        <v>Disponible</v>
      </c>
      <c r="AS1342" s="97" t="str">
        <f>IFERROR(__xludf.DUMMYFUNCTION("""COMPUTED_VALUE"""),"Disponible")</f>
        <v>Disponible</v>
      </c>
      <c r="AT1342" s="97" t="str">
        <f>IFERROR(__xludf.DUMMYFUNCTION("""COMPUTED_VALUE"""),"Disponible")</f>
        <v>Disponible</v>
      </c>
      <c r="AU1342" s="97" t="str">
        <f>IFERROR(__xludf.DUMMYFUNCTION("""COMPUTED_VALUE"""),"Disponible")</f>
        <v>Disponible</v>
      </c>
      <c r="AV1342" s="97" t="str">
        <f>IFERROR(__xludf.DUMMYFUNCTION("""COMPUTED_VALUE"""),"Aplique")</f>
        <v>Aplique</v>
      </c>
      <c r="AW1342" s="97" t="str">
        <f>IFERROR(__xludf.DUMMYFUNCTION("""COMPUTED_VALUE"""),"De Pared")</f>
        <v>De Pared</v>
      </c>
      <c r="AX1342" s="97" t="str">
        <f>IFERROR(__xludf.DUMMYFUNCTION("""COMPUTED_VALUE"""),"Exterior")</f>
        <v>Exterior</v>
      </c>
      <c r="AY1342" s="97" t="str">
        <f>IFERROR(__xludf.DUMMYFUNCTION("""COMPUTED_VALUE"""),"-")</f>
        <v>-</v>
      </c>
      <c r="AZ1342" s="97"/>
      <c r="BA1342" s="97"/>
      <c r="BB1342" s="97"/>
      <c r="BC1342" s="97"/>
      <c r="BD1342" s="97" t="str">
        <f>IFERROR(__xludf.DUMMYFUNCTION("""COMPUTED_VALUE"""),"CATEN")</f>
        <v>CATEN</v>
      </c>
      <c r="BE1342" s="97" t="str">
        <f>IFERROR(__xludf.DUMMYFUNCTION("""COMPUTED_VALUE"""),"Solicitada")</f>
        <v>Solicitada</v>
      </c>
      <c r="BF1342" s="97"/>
      <c r="BG1342" s="97" t="str">
        <f>IFERROR(__xludf.DUMMYFUNCTION("""COMPUTED_VALUE"""),"REPO 7")</f>
        <v>REPO 7</v>
      </c>
    </row>
    <row r="1343">
      <c r="A1343" s="97">
        <f>IFERROR(__xludf.DUMMYFUNCTION("""COMPUTED_VALUE"""),7443.0)</f>
        <v>7443</v>
      </c>
      <c r="B1343" s="97" t="str">
        <f>IFERROR(__xludf.DUMMYFUNCTION("""COMPUTED_VALUE"""),"CATEN 30 DR 3CCT IP44")</f>
        <v>CATEN 30 DR 3CCT IP44</v>
      </c>
      <c r="C1343" s="97" t="str">
        <f>IFERROR(__xludf.DUMMYFUNCTION("""COMPUTED_VALUE"""),"APLIQUE CATEN 30 DR 3CCT IP44 12W 2700/3300/4000K 1105LM CRI&gt;90 IP44 LEUK")</f>
        <v>APLIQUE CATEN 30 DR 3CCT IP44 12W 2700/3300/4000K 1105LM CRI&gt;90 IP44 LEUK</v>
      </c>
      <c r="D1343" s="97">
        <f>IFERROR(__xludf.DUMMYFUNCTION("""COMPUTED_VALUE"""),7.798413229165E12)</f>
        <v>7798413229165</v>
      </c>
      <c r="E1343" s="97" t="str">
        <f>IFERROR(__xludf.DUMMYFUNCTION("""COMPUTED_VALUE"""),"R142")</f>
        <v>R142</v>
      </c>
      <c r="F1343" s="97" t="str">
        <f>IFERROR(__xludf.DUMMYFUNCTION("""COMPUTED_VALUE"""),"LED SMD2835")</f>
        <v>LED SMD2835</v>
      </c>
      <c r="G1343" s="97" t="str">
        <f>IFERROR(__xludf.DUMMYFUNCTION("""COMPUTED_VALUE"""),"OSRAM")</f>
        <v>OSRAM</v>
      </c>
      <c r="H1343" s="97" t="str">
        <f>IFERROR(__xludf.DUMMYFUNCTION("""COMPUTED_VALUE"""),"Eaglerise")</f>
        <v>Eaglerise</v>
      </c>
      <c r="I1343" s="97" t="str">
        <f>IFERROR(__xludf.DUMMYFUNCTION("""COMPUTED_VALUE"""),"Si")</f>
        <v>Si</v>
      </c>
      <c r="J1343" s="97" t="str">
        <f>IFERROR(__xludf.DUMMYFUNCTION("""COMPUTED_VALUE"""),"Eaglerise LS-12-350 CCT  SI E")</f>
        <v>Eaglerise LS-12-350 CCT  SI E</v>
      </c>
      <c r="K1343" s="97" t="str">
        <f>IFERROR(__xludf.DUMMYFUNCTION("""COMPUTED_VALUE"""),"ON/OFF")</f>
        <v>ON/OFF</v>
      </c>
      <c r="L1343" s="97" t="str">
        <f>IFERROR(__xludf.DUMMYFUNCTION("""COMPUTED_VALUE"""),"200-240")</f>
        <v>200-240</v>
      </c>
      <c r="M1343" s="97" t="str">
        <f>IFERROR(__xludf.DUMMYFUNCTION("""COMPUTED_VALUE"""),"50/60")</f>
        <v>50/60</v>
      </c>
      <c r="N1343" s="97"/>
      <c r="O1343" s="97">
        <f>IFERROR(__xludf.DUMMYFUNCTION("""COMPUTED_VALUE"""),12.0)</f>
        <v>12</v>
      </c>
      <c r="P1343" s="97">
        <f>IFERROR(__xludf.DUMMYFUNCTION("""COMPUTED_VALUE"""),13.07)</f>
        <v>13.07</v>
      </c>
      <c r="Q1343" s="97">
        <f>IFERROR(__xludf.DUMMYFUNCTION("""COMPUTED_VALUE"""),0.6)</f>
        <v>0.6</v>
      </c>
      <c r="R1343" s="97" t="str">
        <f>IFERROR(__xludf.DUMMYFUNCTION("""COMPUTED_VALUE"""),"-")</f>
        <v>-</v>
      </c>
      <c r="S1343" s="97" t="str">
        <f>IFERROR(__xludf.DUMMYFUNCTION("""COMPUTED_VALUE"""),"-")</f>
        <v>-</v>
      </c>
      <c r="T1343" s="97">
        <f>IFERROR(__xludf.DUMMYFUNCTION("""COMPUTED_VALUE"""),1105.0)</f>
        <v>1105</v>
      </c>
      <c r="U1343" s="99">
        <f>IFERROR(__xludf.DUMMYFUNCTION("""COMPUTED_VALUE"""),92.08333333333333)</f>
        <v>92.08333333</v>
      </c>
      <c r="V1343" s="97">
        <f>IFERROR(__xludf.DUMMYFUNCTION("""COMPUTED_VALUE"""),100.0)</f>
        <v>100</v>
      </c>
      <c r="W1343" s="97" t="str">
        <f>IFERROR(__xludf.DUMMYFUNCTION("""COMPUTED_VALUE"""),"-")</f>
        <v>-</v>
      </c>
      <c r="X1343" s="97" t="str">
        <f>IFERROR(__xludf.DUMMYFUNCTION("""COMPUTED_VALUE"""),"2700/3300/4000")</f>
        <v>2700/3300/4000</v>
      </c>
      <c r="Y1343" s="97" t="str">
        <f>IFERROR(__xludf.DUMMYFUNCTION("""COMPUTED_VALUE"""),"&gt;90")</f>
        <v>&gt;90</v>
      </c>
      <c r="Z1343" s="97" t="str">
        <f>IFERROR(__xludf.DUMMYFUNCTION("""COMPUTED_VALUE"""),"&gt;90")</f>
        <v>&gt;90</v>
      </c>
      <c r="AA1343" s="97" t="str">
        <f>IFERROR(__xludf.DUMMYFUNCTION("""COMPUTED_VALUE"""),"90-99 (Leve desaturación)")</f>
        <v>90-99 (Leve desaturación)</v>
      </c>
      <c r="AB1343" s="97" t="str">
        <f>IFERROR(__xludf.DUMMYFUNCTION("""COMPUTED_VALUE"""),"&lt; 3")</f>
        <v>&lt; 3</v>
      </c>
      <c r="AC1343" s="97" t="str">
        <f>IFERROR(__xludf.DUMMYFUNCTION("""COMPUTED_VALUE"""),"0,00091 / -0,00129 / 0,00118")</f>
        <v>0,00091 / -0,00129 / 0,00118</v>
      </c>
      <c r="AD1343" s="97" t="str">
        <f>IFERROR(__xludf.DUMMYFUNCTION("""COMPUTED_VALUE"""),"IP44")</f>
        <v>IP44</v>
      </c>
      <c r="AE1343" s="97"/>
      <c r="AF1343" s="97" t="str">
        <f>IFERROR(__xludf.DUMMYFUNCTION("""COMPUTED_VALUE"""),"Aplicar")</f>
        <v>Aplicar</v>
      </c>
      <c r="AG1343" s="97" t="str">
        <f>IFERROR(__xludf.DUMMYFUNCTION("""COMPUTED_VALUE"""),"165 x 115 x 300")</f>
        <v>165 x 115 x 300</v>
      </c>
      <c r="AH1343" s="97" t="str">
        <f>IFERROR(__xludf.DUMMYFUNCTION("""COMPUTED_VALUE"""),"N/A")</f>
        <v>N/A</v>
      </c>
      <c r="AI1343" s="97" t="str">
        <f>IFERROR(__xludf.DUMMYFUNCTION("""COMPUTED_VALUE"""),"N/A")</f>
        <v>N/A</v>
      </c>
      <c r="AJ1343" s="97" t="str">
        <f>IFERROR(__xludf.DUMMYFUNCTION("""COMPUTED_VALUE"""),"Vidrio y Policarbonato (PC)")</f>
        <v>Vidrio y Policarbonato (PC)</v>
      </c>
      <c r="AK1343" s="97" t="str">
        <f>IFERROR(__xludf.DUMMYFUNCTION("""COMPUTED_VALUE"""),"Acero Inox y Aluminio")</f>
        <v>Acero Inox y Aluminio</v>
      </c>
      <c r="AL1343" s="97" t="str">
        <f>IFERROR(__xludf.DUMMYFUNCTION("""COMPUTED_VALUE"""),"Dorado")</f>
        <v>Dorado</v>
      </c>
      <c r="AM1343" s="97" t="str">
        <f>IFERROR(__xludf.DUMMYFUNCTION("""COMPUTED_VALUE"""),"-")</f>
        <v>-</v>
      </c>
      <c r="AN1343" s="97" t="str">
        <f>IFERROR(__xludf.DUMMYFUNCTION("""COMPUTED_VALUE"""),"25.000hs (L70)")</f>
        <v>25.000hs (L70)</v>
      </c>
      <c r="AO1343" s="97" t="str">
        <f>IFERROR(__xludf.DUMMYFUNCTION("""COMPUTED_VALUE"""),"2 Años")</f>
        <v>2 Años</v>
      </c>
      <c r="AP1343" s="97" t="str">
        <f>IFERROR(__xludf.DUMMYFUNCTION("""COMPUTED_VALUE"""),"Disponible")</f>
        <v>Disponible</v>
      </c>
      <c r="AQ1343" s="97" t="str">
        <f>IFERROR(__xludf.DUMMYFUNCTION("""COMPUTED_VALUE"""),"Disponible")</f>
        <v>Disponible</v>
      </c>
      <c r="AR1343" s="97" t="str">
        <f>IFERROR(__xludf.DUMMYFUNCTION("""COMPUTED_VALUE"""),"Disponible")</f>
        <v>Disponible</v>
      </c>
      <c r="AS1343" s="97" t="str">
        <f>IFERROR(__xludf.DUMMYFUNCTION("""COMPUTED_VALUE"""),"Disponible")</f>
        <v>Disponible</v>
      </c>
      <c r="AT1343" s="97" t="str">
        <f>IFERROR(__xludf.DUMMYFUNCTION("""COMPUTED_VALUE"""),"Disponible")</f>
        <v>Disponible</v>
      </c>
      <c r="AU1343" s="97" t="str">
        <f>IFERROR(__xludf.DUMMYFUNCTION("""COMPUTED_VALUE"""),"Disponible")</f>
        <v>Disponible</v>
      </c>
      <c r="AV1343" s="97" t="str">
        <f>IFERROR(__xludf.DUMMYFUNCTION("""COMPUTED_VALUE"""),"Aplique")</f>
        <v>Aplique</v>
      </c>
      <c r="AW1343" s="97" t="str">
        <f>IFERROR(__xludf.DUMMYFUNCTION("""COMPUTED_VALUE"""),"De Pared")</f>
        <v>De Pared</v>
      </c>
      <c r="AX1343" s="97" t="str">
        <f>IFERROR(__xludf.DUMMYFUNCTION("""COMPUTED_VALUE"""),"Exterior")</f>
        <v>Exterior</v>
      </c>
      <c r="AY1343" s="97" t="str">
        <f>IFERROR(__xludf.DUMMYFUNCTION("""COMPUTED_VALUE"""),"-")</f>
        <v>-</v>
      </c>
      <c r="AZ1343" s="97"/>
      <c r="BA1343" s="97"/>
      <c r="BB1343" s="97"/>
      <c r="BC1343" s="97"/>
      <c r="BD1343" s="97" t="str">
        <f>IFERROR(__xludf.DUMMYFUNCTION("""COMPUTED_VALUE"""),"CATEN")</f>
        <v>CATEN</v>
      </c>
      <c r="BE1343" s="97" t="str">
        <f>IFERROR(__xludf.DUMMYFUNCTION("""COMPUTED_VALUE"""),"Solicitada")</f>
        <v>Solicitada</v>
      </c>
      <c r="BF1343" s="97"/>
      <c r="BG1343" s="97" t="str">
        <f>IFERROR(__xludf.DUMMYFUNCTION("""COMPUTED_VALUE"""),"REPO 7")</f>
        <v>REPO 7</v>
      </c>
    </row>
    <row r="1344">
      <c r="A1344" s="97">
        <f>IFERROR(__xludf.DUMMYFUNCTION("""COMPUTED_VALUE"""),7444.0)</f>
        <v>7444</v>
      </c>
      <c r="B1344" s="97" t="str">
        <f>IFERROR(__xludf.DUMMYFUNCTION("""COMPUTED_VALUE"""),"CATEN 60 CR 3CCT IP44")</f>
        <v>CATEN 60 CR 3CCT IP44</v>
      </c>
      <c r="C1344" s="97" t="str">
        <f>IFERROR(__xludf.DUMMYFUNCTION("""COMPUTED_VALUE"""),"APLIQUE CATEN 60 CR 3CCT IP44 28W 2700/3300/4000K 2750LM CRI&gt;90 IP44 LEUK")</f>
        <v>APLIQUE CATEN 60 CR 3CCT IP44 28W 2700/3300/4000K 2750LM CRI&gt;90 IP44 LEUK</v>
      </c>
      <c r="D1344" s="97">
        <f>IFERROR(__xludf.DUMMYFUNCTION("""COMPUTED_VALUE"""),7.798413229172E12)</f>
        <v>7798413229172</v>
      </c>
      <c r="E1344" s="97" t="str">
        <f>IFERROR(__xludf.DUMMYFUNCTION("""COMPUTED_VALUE"""),"R191")</f>
        <v>R191</v>
      </c>
      <c r="F1344" s="97" t="str">
        <f>IFERROR(__xludf.DUMMYFUNCTION("""COMPUTED_VALUE"""),"LED SMD2835")</f>
        <v>LED SMD2835</v>
      </c>
      <c r="G1344" s="97" t="str">
        <f>IFERROR(__xludf.DUMMYFUNCTION("""COMPUTED_VALUE"""),"OSRAM")</f>
        <v>OSRAM</v>
      </c>
      <c r="H1344" s="97" t="str">
        <f>IFERROR(__xludf.DUMMYFUNCTION("""COMPUTED_VALUE"""),"Eaglerise")</f>
        <v>Eaglerise</v>
      </c>
      <c r="I1344" s="97" t="str">
        <f>IFERROR(__xludf.DUMMYFUNCTION("""COMPUTED_VALUE"""),"Si")</f>
        <v>Si</v>
      </c>
      <c r="J1344" s="97" t="str">
        <f>IFERROR(__xludf.DUMMYFUNCTION("""COMPUTED_VALUE"""),"Eaglerise LS-30-750 CCT LI EXC")</f>
        <v>Eaglerise LS-30-750 CCT LI EXC</v>
      </c>
      <c r="K1344" s="97" t="str">
        <f>IFERROR(__xludf.DUMMYFUNCTION("""COMPUTED_VALUE"""),"ON/OFF")</f>
        <v>ON/OFF</v>
      </c>
      <c r="L1344" s="97" t="str">
        <f>IFERROR(__xludf.DUMMYFUNCTION("""COMPUTED_VALUE"""),"200-240")</f>
        <v>200-240</v>
      </c>
      <c r="M1344" s="97" t="str">
        <f>IFERROR(__xludf.DUMMYFUNCTION("""COMPUTED_VALUE"""),"50/60")</f>
        <v>50/60</v>
      </c>
      <c r="N1344" s="97"/>
      <c r="O1344" s="97">
        <f>IFERROR(__xludf.DUMMYFUNCTION("""COMPUTED_VALUE"""),28.0)</f>
        <v>28</v>
      </c>
      <c r="P1344" s="97">
        <f>IFERROR(__xludf.DUMMYFUNCTION("""COMPUTED_VALUE"""),28.07)</f>
        <v>28.07</v>
      </c>
      <c r="Q1344" s="97">
        <f>IFERROR(__xludf.DUMMYFUNCTION("""COMPUTED_VALUE"""),0.95)</f>
        <v>0.95</v>
      </c>
      <c r="R1344" s="97" t="str">
        <f>IFERROR(__xludf.DUMMYFUNCTION("""COMPUTED_VALUE"""),"-")</f>
        <v>-</v>
      </c>
      <c r="S1344" s="97" t="str">
        <f>IFERROR(__xludf.DUMMYFUNCTION("""COMPUTED_VALUE"""),"-")</f>
        <v>-</v>
      </c>
      <c r="T1344" s="97">
        <f>IFERROR(__xludf.DUMMYFUNCTION("""COMPUTED_VALUE"""),2750.0)</f>
        <v>2750</v>
      </c>
      <c r="U1344" s="99">
        <f>IFERROR(__xludf.DUMMYFUNCTION("""COMPUTED_VALUE"""),98.21428571428571)</f>
        <v>98.21428571</v>
      </c>
      <c r="V1344" s="97">
        <f>IFERROR(__xludf.DUMMYFUNCTION("""COMPUTED_VALUE"""),175.0)</f>
        <v>175</v>
      </c>
      <c r="W1344" s="97" t="str">
        <f>IFERROR(__xludf.DUMMYFUNCTION("""COMPUTED_VALUE"""),"-")</f>
        <v>-</v>
      </c>
      <c r="X1344" s="97" t="str">
        <f>IFERROR(__xludf.DUMMYFUNCTION("""COMPUTED_VALUE"""),"2700/3300/4000")</f>
        <v>2700/3300/4000</v>
      </c>
      <c r="Y1344" s="97" t="str">
        <f>IFERROR(__xludf.DUMMYFUNCTION("""COMPUTED_VALUE"""),"&gt;90")</f>
        <v>&gt;90</v>
      </c>
      <c r="Z1344" s="97" t="str">
        <f>IFERROR(__xludf.DUMMYFUNCTION("""COMPUTED_VALUE"""),"&gt;90")</f>
        <v>&gt;90</v>
      </c>
      <c r="AA1344" s="97" t="str">
        <f>IFERROR(__xludf.DUMMYFUNCTION("""COMPUTED_VALUE"""),"90-99 (Leve desaturación)")</f>
        <v>90-99 (Leve desaturación)</v>
      </c>
      <c r="AB1344" s="97" t="str">
        <f>IFERROR(__xludf.DUMMYFUNCTION("""COMPUTED_VALUE"""),"&lt; 3")</f>
        <v>&lt; 3</v>
      </c>
      <c r="AC1344" s="97" t="str">
        <f>IFERROR(__xludf.DUMMYFUNCTION("""COMPUTED_VALUE"""),"-0,00069 / -0,00226 / 0,0011")</f>
        <v>-0,00069 / -0,00226 / 0,0011</v>
      </c>
      <c r="AD1344" s="97" t="str">
        <f>IFERROR(__xludf.DUMMYFUNCTION("""COMPUTED_VALUE"""),"IP44")</f>
        <v>IP44</v>
      </c>
      <c r="AE1344" s="97"/>
      <c r="AF1344" s="97" t="str">
        <f>IFERROR(__xludf.DUMMYFUNCTION("""COMPUTED_VALUE"""),"Aplicar")</f>
        <v>Aplicar</v>
      </c>
      <c r="AG1344" s="97" t="str">
        <f>IFERROR(__xludf.DUMMYFUNCTION("""COMPUTED_VALUE"""),"165 x 115 x 600")</f>
        <v>165 x 115 x 600</v>
      </c>
      <c r="AH1344" s="97" t="str">
        <f>IFERROR(__xludf.DUMMYFUNCTION("""COMPUTED_VALUE"""),"N/A")</f>
        <v>N/A</v>
      </c>
      <c r="AI1344" s="97" t="str">
        <f>IFERROR(__xludf.DUMMYFUNCTION("""COMPUTED_VALUE"""),"N/A")</f>
        <v>N/A</v>
      </c>
      <c r="AJ1344" s="97" t="str">
        <f>IFERROR(__xludf.DUMMYFUNCTION("""COMPUTED_VALUE"""),"Vidrio y Policarbonato (PC)")</f>
        <v>Vidrio y Policarbonato (PC)</v>
      </c>
      <c r="AK1344" s="97" t="str">
        <f>IFERROR(__xludf.DUMMYFUNCTION("""COMPUTED_VALUE"""),"Acero Inox y Aluminio")</f>
        <v>Acero Inox y Aluminio</v>
      </c>
      <c r="AL1344" s="97" t="str">
        <f>IFERROR(__xludf.DUMMYFUNCTION("""COMPUTED_VALUE"""),"Plateado")</f>
        <v>Plateado</v>
      </c>
      <c r="AM1344" s="97" t="str">
        <f>IFERROR(__xludf.DUMMYFUNCTION("""COMPUTED_VALUE"""),"-")</f>
        <v>-</v>
      </c>
      <c r="AN1344" s="97" t="str">
        <f>IFERROR(__xludf.DUMMYFUNCTION("""COMPUTED_VALUE"""),"25.000hs (L70)")</f>
        <v>25.000hs (L70)</v>
      </c>
      <c r="AO1344" s="97" t="str">
        <f>IFERROR(__xludf.DUMMYFUNCTION("""COMPUTED_VALUE"""),"2 Años")</f>
        <v>2 Años</v>
      </c>
      <c r="AP1344" s="97" t="str">
        <f>IFERROR(__xludf.DUMMYFUNCTION("""COMPUTED_VALUE"""),"Disponible")</f>
        <v>Disponible</v>
      </c>
      <c r="AQ1344" s="97" t="str">
        <f>IFERROR(__xludf.DUMMYFUNCTION("""COMPUTED_VALUE"""),"Disponible")</f>
        <v>Disponible</v>
      </c>
      <c r="AR1344" s="97" t="str">
        <f>IFERROR(__xludf.DUMMYFUNCTION("""COMPUTED_VALUE"""),"Disponible")</f>
        <v>Disponible</v>
      </c>
      <c r="AS1344" s="97" t="str">
        <f>IFERROR(__xludf.DUMMYFUNCTION("""COMPUTED_VALUE"""),"Disponible")</f>
        <v>Disponible</v>
      </c>
      <c r="AT1344" s="97" t="str">
        <f>IFERROR(__xludf.DUMMYFUNCTION("""COMPUTED_VALUE"""),"Disponible")</f>
        <v>Disponible</v>
      </c>
      <c r="AU1344" s="97" t="str">
        <f>IFERROR(__xludf.DUMMYFUNCTION("""COMPUTED_VALUE"""),"Disponible")</f>
        <v>Disponible</v>
      </c>
      <c r="AV1344" s="97" t="str">
        <f>IFERROR(__xludf.DUMMYFUNCTION("""COMPUTED_VALUE"""),"Aplique")</f>
        <v>Aplique</v>
      </c>
      <c r="AW1344" s="97" t="str">
        <f>IFERROR(__xludf.DUMMYFUNCTION("""COMPUTED_VALUE"""),"De Pared")</f>
        <v>De Pared</v>
      </c>
      <c r="AX1344" s="97" t="str">
        <f>IFERROR(__xludf.DUMMYFUNCTION("""COMPUTED_VALUE"""),"Exterior")</f>
        <v>Exterior</v>
      </c>
      <c r="AY1344" s="97" t="str">
        <f>IFERROR(__xludf.DUMMYFUNCTION("""COMPUTED_VALUE"""),"-")</f>
        <v>-</v>
      </c>
      <c r="AZ1344" s="97"/>
      <c r="BA1344" s="97"/>
      <c r="BB1344" s="97"/>
      <c r="BC1344" s="97"/>
      <c r="BD1344" s="97" t="str">
        <f>IFERROR(__xludf.DUMMYFUNCTION("""COMPUTED_VALUE"""),"CATEN")</f>
        <v>CATEN</v>
      </c>
      <c r="BE1344" s="97" t="str">
        <f>IFERROR(__xludf.DUMMYFUNCTION("""COMPUTED_VALUE"""),"Solicitada")</f>
        <v>Solicitada</v>
      </c>
      <c r="BF1344" s="97"/>
      <c r="BG1344" s="97" t="str">
        <f>IFERROR(__xludf.DUMMYFUNCTION("""COMPUTED_VALUE"""),"REPO 7")</f>
        <v>REPO 7</v>
      </c>
    </row>
    <row r="1345">
      <c r="A1345" s="97">
        <f>IFERROR(__xludf.DUMMYFUNCTION("""COMPUTED_VALUE"""),7445.0)</f>
        <v>7445</v>
      </c>
      <c r="B1345" s="97" t="str">
        <f>IFERROR(__xludf.DUMMYFUNCTION("""COMPUTED_VALUE"""),"SLIM CATEN 30 BL 3CCT IP44")</f>
        <v>SLIM CATEN 30 BL 3CCT IP44</v>
      </c>
      <c r="C1345" s="97" t="str">
        <f>IFERROR(__xludf.DUMMYFUNCTION("""COMPUTED_VALUE"""),"APLIQUE SLIM CATEN 30 BL 3CCT IP44 12W 2700/3300/4000K 1205LM CRI&gt;90 IP44 LEUK")</f>
        <v>APLIQUE SLIM CATEN 30 BL 3CCT IP44 12W 2700/3300/4000K 1205LM CRI&gt;90 IP44 LEUK</v>
      </c>
      <c r="D1345" s="97">
        <f>IFERROR(__xludf.DUMMYFUNCTION("""COMPUTED_VALUE"""),7.798413229189E12)</f>
        <v>7798413229189</v>
      </c>
      <c r="E1345" s="97" t="str">
        <f>IFERROR(__xludf.DUMMYFUNCTION("""COMPUTED_VALUE"""),"R141")</f>
        <v>R141</v>
      </c>
      <c r="F1345" s="97" t="str">
        <f>IFERROR(__xludf.DUMMYFUNCTION("""COMPUTED_VALUE"""),"LED SMD2835")</f>
        <v>LED SMD2835</v>
      </c>
      <c r="G1345" s="97" t="str">
        <f>IFERROR(__xludf.DUMMYFUNCTION("""COMPUTED_VALUE"""),"OSRAM")</f>
        <v>OSRAM</v>
      </c>
      <c r="H1345" s="97" t="str">
        <f>IFERROR(__xludf.DUMMYFUNCTION("""COMPUTED_VALUE"""),"Eaglerise")</f>
        <v>Eaglerise</v>
      </c>
      <c r="I1345" s="97" t="str">
        <f>IFERROR(__xludf.DUMMYFUNCTION("""COMPUTED_VALUE"""),"Si")</f>
        <v>Si</v>
      </c>
      <c r="J1345" s="97" t="str">
        <f>IFERROR(__xludf.DUMMYFUNCTION("""COMPUTED_VALUE"""),"Eaglerise LS-12-350 CCT  SI E")</f>
        <v>Eaglerise LS-12-350 CCT  SI E</v>
      </c>
      <c r="K1345" s="97" t="str">
        <f>IFERROR(__xludf.DUMMYFUNCTION("""COMPUTED_VALUE"""),"ON/OFF")</f>
        <v>ON/OFF</v>
      </c>
      <c r="L1345" s="97" t="str">
        <f>IFERROR(__xludf.DUMMYFUNCTION("""COMPUTED_VALUE"""),"200-240")</f>
        <v>200-240</v>
      </c>
      <c r="M1345" s="97" t="str">
        <f>IFERROR(__xludf.DUMMYFUNCTION("""COMPUTED_VALUE"""),"50/60")</f>
        <v>50/60</v>
      </c>
      <c r="N1345" s="97"/>
      <c r="O1345" s="97">
        <f>IFERROR(__xludf.DUMMYFUNCTION("""COMPUTED_VALUE"""),12.0)</f>
        <v>12</v>
      </c>
      <c r="P1345" s="97">
        <f>IFERROR(__xludf.DUMMYFUNCTION("""COMPUTED_VALUE"""),13.07)</f>
        <v>13.07</v>
      </c>
      <c r="Q1345" s="97">
        <f>IFERROR(__xludf.DUMMYFUNCTION("""COMPUTED_VALUE"""),0.6)</f>
        <v>0.6</v>
      </c>
      <c r="R1345" s="97" t="str">
        <f>IFERROR(__xludf.DUMMYFUNCTION("""COMPUTED_VALUE"""),"-")</f>
        <v>-</v>
      </c>
      <c r="S1345" s="97" t="str">
        <f>IFERROR(__xludf.DUMMYFUNCTION("""COMPUTED_VALUE"""),"-")</f>
        <v>-</v>
      </c>
      <c r="T1345" s="97">
        <f>IFERROR(__xludf.DUMMYFUNCTION("""COMPUTED_VALUE"""),1205.0)</f>
        <v>1205</v>
      </c>
      <c r="U1345" s="99">
        <f>IFERROR(__xludf.DUMMYFUNCTION("""COMPUTED_VALUE"""),100.41666666666667)</f>
        <v>100.4166667</v>
      </c>
      <c r="V1345" s="97">
        <f>IFERROR(__xludf.DUMMYFUNCTION("""COMPUTED_VALUE"""),245.0)</f>
        <v>245</v>
      </c>
      <c r="W1345" s="97" t="str">
        <f>IFERROR(__xludf.DUMMYFUNCTION("""COMPUTED_VALUE"""),"-")</f>
        <v>-</v>
      </c>
      <c r="X1345" s="97" t="str">
        <f>IFERROR(__xludf.DUMMYFUNCTION("""COMPUTED_VALUE"""),"2700/3300/4000")</f>
        <v>2700/3300/4000</v>
      </c>
      <c r="Y1345" s="97" t="str">
        <f>IFERROR(__xludf.DUMMYFUNCTION("""COMPUTED_VALUE"""),"&gt;90")</f>
        <v>&gt;90</v>
      </c>
      <c r="Z1345" s="97" t="str">
        <f>IFERROR(__xludf.DUMMYFUNCTION("""COMPUTED_VALUE"""),"&gt;90")</f>
        <v>&gt;90</v>
      </c>
      <c r="AA1345" s="97" t="str">
        <f>IFERROR(__xludf.DUMMYFUNCTION("""COMPUTED_VALUE"""),"90-99 (Leve desaturación)")</f>
        <v>90-99 (Leve desaturación)</v>
      </c>
      <c r="AB1345" s="97" t="str">
        <f>IFERROR(__xludf.DUMMYFUNCTION("""COMPUTED_VALUE"""),"&lt; 3")</f>
        <v>&lt; 3</v>
      </c>
      <c r="AC1345" s="97" t="str">
        <f>IFERROR(__xludf.DUMMYFUNCTION("""COMPUTED_VALUE"""),"-0,00008 / -0,00238 / 0,00012")</f>
        <v>-0,00008 / -0,00238 / 0,00012</v>
      </c>
      <c r="AD1345" s="97" t="str">
        <f>IFERROR(__xludf.DUMMYFUNCTION("""COMPUTED_VALUE"""),"IP44")</f>
        <v>IP44</v>
      </c>
      <c r="AE1345" s="97"/>
      <c r="AF1345" s="97" t="str">
        <f>IFERROR(__xludf.DUMMYFUNCTION("""COMPUTED_VALUE"""),"Aplicar")</f>
        <v>Aplicar</v>
      </c>
      <c r="AG1345" s="97" t="str">
        <f>IFERROR(__xludf.DUMMYFUNCTION("""COMPUTED_VALUE"""),"100 x 100 x 300")</f>
        <v>100 x 100 x 300</v>
      </c>
      <c r="AH1345" s="97" t="str">
        <f>IFERROR(__xludf.DUMMYFUNCTION("""COMPUTED_VALUE"""),"N/A")</f>
        <v>N/A</v>
      </c>
      <c r="AI1345" s="97" t="str">
        <f>IFERROR(__xludf.DUMMYFUNCTION("""COMPUTED_VALUE"""),"N/A")</f>
        <v>N/A</v>
      </c>
      <c r="AJ1345" s="97" t="str">
        <f>IFERROR(__xludf.DUMMYFUNCTION("""COMPUTED_VALUE"""),"Vidrio y Policarbonato (PC)")</f>
        <v>Vidrio y Policarbonato (PC)</v>
      </c>
      <c r="AK1345" s="97" t="str">
        <f>IFERROR(__xludf.DUMMYFUNCTION("""COMPUTED_VALUE"""),"Acero Inox y Aluminio")</f>
        <v>Acero Inox y Aluminio</v>
      </c>
      <c r="AL1345" s="97" t="str">
        <f>IFERROR(__xludf.DUMMYFUNCTION("""COMPUTED_VALUE"""),"Blanco")</f>
        <v>Blanco</v>
      </c>
      <c r="AM1345" s="97" t="str">
        <f>IFERROR(__xludf.DUMMYFUNCTION("""COMPUTED_VALUE"""),"-")</f>
        <v>-</v>
      </c>
      <c r="AN1345" s="97" t="str">
        <f>IFERROR(__xludf.DUMMYFUNCTION("""COMPUTED_VALUE"""),"25.000hs (L70)")</f>
        <v>25.000hs (L70)</v>
      </c>
      <c r="AO1345" s="97" t="str">
        <f>IFERROR(__xludf.DUMMYFUNCTION("""COMPUTED_VALUE"""),"2 Años")</f>
        <v>2 Años</v>
      </c>
      <c r="AP1345" s="97" t="str">
        <f>IFERROR(__xludf.DUMMYFUNCTION("""COMPUTED_VALUE"""),"Disponible")</f>
        <v>Disponible</v>
      </c>
      <c r="AQ1345" s="97" t="str">
        <f>IFERROR(__xludf.DUMMYFUNCTION("""COMPUTED_VALUE"""),"Disponible")</f>
        <v>Disponible</v>
      </c>
      <c r="AR1345" s="97" t="str">
        <f>IFERROR(__xludf.DUMMYFUNCTION("""COMPUTED_VALUE"""),"Disponible")</f>
        <v>Disponible</v>
      </c>
      <c r="AS1345" s="97" t="str">
        <f>IFERROR(__xludf.DUMMYFUNCTION("""COMPUTED_VALUE"""),"Disponible")</f>
        <v>Disponible</v>
      </c>
      <c r="AT1345" s="97" t="str">
        <f>IFERROR(__xludf.DUMMYFUNCTION("""COMPUTED_VALUE"""),"Disponible")</f>
        <v>Disponible</v>
      </c>
      <c r="AU1345" s="97" t="str">
        <f>IFERROR(__xludf.DUMMYFUNCTION("""COMPUTED_VALUE"""),"Disponible")</f>
        <v>Disponible</v>
      </c>
      <c r="AV1345" s="97" t="str">
        <f>IFERROR(__xludf.DUMMYFUNCTION("""COMPUTED_VALUE"""),"Aplique")</f>
        <v>Aplique</v>
      </c>
      <c r="AW1345" s="97" t="str">
        <f>IFERROR(__xludf.DUMMYFUNCTION("""COMPUTED_VALUE"""),"De Pared")</f>
        <v>De Pared</v>
      </c>
      <c r="AX1345" s="97" t="str">
        <f>IFERROR(__xludf.DUMMYFUNCTION("""COMPUTED_VALUE"""),"Exterior")</f>
        <v>Exterior</v>
      </c>
      <c r="AY1345" s="97" t="str">
        <f>IFERROR(__xludf.DUMMYFUNCTION("""COMPUTED_VALUE"""),"-")</f>
        <v>-</v>
      </c>
      <c r="AZ1345" s="97"/>
      <c r="BA1345" s="97"/>
      <c r="BB1345" s="97"/>
      <c r="BC1345" s="97"/>
      <c r="BD1345" s="97" t="str">
        <f>IFERROR(__xludf.DUMMYFUNCTION("""COMPUTED_VALUE"""),"CATEN")</f>
        <v>CATEN</v>
      </c>
      <c r="BE1345" s="97" t="str">
        <f>IFERROR(__xludf.DUMMYFUNCTION("""COMPUTED_VALUE"""),"Solicitada")</f>
        <v>Solicitada</v>
      </c>
      <c r="BF1345" s="97"/>
      <c r="BG1345" s="97" t="str">
        <f>IFERROR(__xludf.DUMMYFUNCTION("""COMPUTED_VALUE"""),"REPO 7")</f>
        <v>REPO 7</v>
      </c>
    </row>
    <row r="1346">
      <c r="A1346" s="97">
        <f>IFERROR(__xludf.DUMMYFUNCTION("""COMPUTED_VALUE"""),7446.0)</f>
        <v>7446</v>
      </c>
      <c r="B1346" s="97" t="str">
        <f>IFERROR(__xludf.DUMMYFUNCTION("""COMPUTED_VALUE"""),"SLIM CATEN 30 CR 3CCT IP44")</f>
        <v>SLIM CATEN 30 CR 3CCT IP44</v>
      </c>
      <c r="C1346" s="97" t="str">
        <f>IFERROR(__xludf.DUMMYFUNCTION("""COMPUTED_VALUE"""),"APLIQUE SLIM CATEN 30 CR 3CCT IP44 12W 2700/3300/4000K 1205LM CRI&gt;90 IP44 LEUK")</f>
        <v>APLIQUE SLIM CATEN 30 CR 3CCT IP44 12W 2700/3300/4000K 1205LM CRI&gt;90 IP44 LEUK</v>
      </c>
      <c r="D1346" s="97">
        <f>IFERROR(__xludf.DUMMYFUNCTION("""COMPUTED_VALUE"""),7.798413229196E12)</f>
        <v>7798413229196</v>
      </c>
      <c r="E1346" s="97" t="str">
        <f>IFERROR(__xludf.DUMMYFUNCTION("""COMPUTED_VALUE"""),"R141")</f>
        <v>R141</v>
      </c>
      <c r="F1346" s="97" t="str">
        <f>IFERROR(__xludf.DUMMYFUNCTION("""COMPUTED_VALUE"""),"LED SMD2835")</f>
        <v>LED SMD2835</v>
      </c>
      <c r="G1346" s="97" t="str">
        <f>IFERROR(__xludf.DUMMYFUNCTION("""COMPUTED_VALUE"""),"OSRAM")</f>
        <v>OSRAM</v>
      </c>
      <c r="H1346" s="97" t="str">
        <f>IFERROR(__xludf.DUMMYFUNCTION("""COMPUTED_VALUE"""),"Eaglerise")</f>
        <v>Eaglerise</v>
      </c>
      <c r="I1346" s="97" t="str">
        <f>IFERROR(__xludf.DUMMYFUNCTION("""COMPUTED_VALUE"""),"Si")</f>
        <v>Si</v>
      </c>
      <c r="J1346" s="97" t="str">
        <f>IFERROR(__xludf.DUMMYFUNCTION("""COMPUTED_VALUE"""),"Eaglerise LS-12-350 CCT  SI E")</f>
        <v>Eaglerise LS-12-350 CCT  SI E</v>
      </c>
      <c r="K1346" s="97" t="str">
        <f>IFERROR(__xludf.DUMMYFUNCTION("""COMPUTED_VALUE"""),"ON/OFF")</f>
        <v>ON/OFF</v>
      </c>
      <c r="L1346" s="97" t="str">
        <f>IFERROR(__xludf.DUMMYFUNCTION("""COMPUTED_VALUE"""),"200-240")</f>
        <v>200-240</v>
      </c>
      <c r="M1346" s="97" t="str">
        <f>IFERROR(__xludf.DUMMYFUNCTION("""COMPUTED_VALUE"""),"50/60")</f>
        <v>50/60</v>
      </c>
      <c r="N1346" s="97"/>
      <c r="O1346" s="97">
        <f>IFERROR(__xludf.DUMMYFUNCTION("""COMPUTED_VALUE"""),12.0)</f>
        <v>12</v>
      </c>
      <c r="P1346" s="97">
        <f>IFERROR(__xludf.DUMMYFUNCTION("""COMPUTED_VALUE"""),13.07)</f>
        <v>13.07</v>
      </c>
      <c r="Q1346" s="97">
        <f>IFERROR(__xludf.DUMMYFUNCTION("""COMPUTED_VALUE"""),0.6)</f>
        <v>0.6</v>
      </c>
      <c r="R1346" s="97" t="str">
        <f>IFERROR(__xludf.DUMMYFUNCTION("""COMPUTED_VALUE"""),"-")</f>
        <v>-</v>
      </c>
      <c r="S1346" s="97" t="str">
        <f>IFERROR(__xludf.DUMMYFUNCTION("""COMPUTED_VALUE"""),"-")</f>
        <v>-</v>
      </c>
      <c r="T1346" s="97">
        <f>IFERROR(__xludf.DUMMYFUNCTION("""COMPUTED_VALUE"""),1205.0)</f>
        <v>1205</v>
      </c>
      <c r="U1346" s="99">
        <f>IFERROR(__xludf.DUMMYFUNCTION("""COMPUTED_VALUE"""),100.41666666666667)</f>
        <v>100.4166667</v>
      </c>
      <c r="V1346" s="97">
        <f>IFERROR(__xludf.DUMMYFUNCTION("""COMPUTED_VALUE"""),245.0)</f>
        <v>245</v>
      </c>
      <c r="W1346" s="97" t="str">
        <f>IFERROR(__xludf.DUMMYFUNCTION("""COMPUTED_VALUE"""),"-")</f>
        <v>-</v>
      </c>
      <c r="X1346" s="97" t="str">
        <f>IFERROR(__xludf.DUMMYFUNCTION("""COMPUTED_VALUE"""),"2700/3300/4000")</f>
        <v>2700/3300/4000</v>
      </c>
      <c r="Y1346" s="97" t="str">
        <f>IFERROR(__xludf.DUMMYFUNCTION("""COMPUTED_VALUE"""),"&gt;90")</f>
        <v>&gt;90</v>
      </c>
      <c r="Z1346" s="97" t="str">
        <f>IFERROR(__xludf.DUMMYFUNCTION("""COMPUTED_VALUE"""),"&gt;90")</f>
        <v>&gt;90</v>
      </c>
      <c r="AA1346" s="97" t="str">
        <f>IFERROR(__xludf.DUMMYFUNCTION("""COMPUTED_VALUE"""),"90-99 (Leve desaturación)")</f>
        <v>90-99 (Leve desaturación)</v>
      </c>
      <c r="AB1346" s="97" t="str">
        <f>IFERROR(__xludf.DUMMYFUNCTION("""COMPUTED_VALUE"""),"&lt; 3")</f>
        <v>&lt; 3</v>
      </c>
      <c r="AC1346" s="97" t="str">
        <f>IFERROR(__xludf.DUMMYFUNCTION("""COMPUTED_VALUE"""),"-0,00018 / -0,00278 / -0,00049")</f>
        <v>-0,00018 / -0,00278 / -0,00049</v>
      </c>
      <c r="AD1346" s="97" t="str">
        <f>IFERROR(__xludf.DUMMYFUNCTION("""COMPUTED_VALUE"""),"IP44")</f>
        <v>IP44</v>
      </c>
      <c r="AE1346" s="97"/>
      <c r="AF1346" s="97" t="str">
        <f>IFERROR(__xludf.DUMMYFUNCTION("""COMPUTED_VALUE"""),"Aplicar")</f>
        <v>Aplicar</v>
      </c>
      <c r="AG1346" s="97" t="str">
        <f>IFERROR(__xludf.DUMMYFUNCTION("""COMPUTED_VALUE"""),"100 x 100 x 300")</f>
        <v>100 x 100 x 300</v>
      </c>
      <c r="AH1346" s="97" t="str">
        <f>IFERROR(__xludf.DUMMYFUNCTION("""COMPUTED_VALUE"""),"N/A")</f>
        <v>N/A</v>
      </c>
      <c r="AI1346" s="97" t="str">
        <f>IFERROR(__xludf.DUMMYFUNCTION("""COMPUTED_VALUE"""),"N/A")</f>
        <v>N/A</v>
      </c>
      <c r="AJ1346" s="97" t="str">
        <f>IFERROR(__xludf.DUMMYFUNCTION("""COMPUTED_VALUE"""),"Vidrio y Policarbonato (PC)")</f>
        <v>Vidrio y Policarbonato (PC)</v>
      </c>
      <c r="AK1346" s="97" t="str">
        <f>IFERROR(__xludf.DUMMYFUNCTION("""COMPUTED_VALUE"""),"Acero Inox y Aluminio")</f>
        <v>Acero Inox y Aluminio</v>
      </c>
      <c r="AL1346" s="97" t="str">
        <f>IFERROR(__xludf.DUMMYFUNCTION("""COMPUTED_VALUE"""),"Plateado")</f>
        <v>Plateado</v>
      </c>
      <c r="AM1346" s="97" t="str">
        <f>IFERROR(__xludf.DUMMYFUNCTION("""COMPUTED_VALUE"""),"-")</f>
        <v>-</v>
      </c>
      <c r="AN1346" s="97" t="str">
        <f>IFERROR(__xludf.DUMMYFUNCTION("""COMPUTED_VALUE"""),"25.000hs (L70)")</f>
        <v>25.000hs (L70)</v>
      </c>
      <c r="AO1346" s="97" t="str">
        <f>IFERROR(__xludf.DUMMYFUNCTION("""COMPUTED_VALUE"""),"2 Años")</f>
        <v>2 Años</v>
      </c>
      <c r="AP1346" s="97" t="str">
        <f>IFERROR(__xludf.DUMMYFUNCTION("""COMPUTED_VALUE"""),"Disponible")</f>
        <v>Disponible</v>
      </c>
      <c r="AQ1346" s="97" t="str">
        <f>IFERROR(__xludf.DUMMYFUNCTION("""COMPUTED_VALUE"""),"Disponible")</f>
        <v>Disponible</v>
      </c>
      <c r="AR1346" s="97" t="str">
        <f>IFERROR(__xludf.DUMMYFUNCTION("""COMPUTED_VALUE"""),"Disponible")</f>
        <v>Disponible</v>
      </c>
      <c r="AS1346" s="97" t="str">
        <f>IFERROR(__xludf.DUMMYFUNCTION("""COMPUTED_VALUE"""),"Disponible")</f>
        <v>Disponible</v>
      </c>
      <c r="AT1346" s="97" t="str">
        <f>IFERROR(__xludf.DUMMYFUNCTION("""COMPUTED_VALUE"""),"Disponible")</f>
        <v>Disponible</v>
      </c>
      <c r="AU1346" s="97" t="str">
        <f>IFERROR(__xludf.DUMMYFUNCTION("""COMPUTED_VALUE"""),"Disponible")</f>
        <v>Disponible</v>
      </c>
      <c r="AV1346" s="97" t="str">
        <f>IFERROR(__xludf.DUMMYFUNCTION("""COMPUTED_VALUE"""),"Aplique")</f>
        <v>Aplique</v>
      </c>
      <c r="AW1346" s="97" t="str">
        <f>IFERROR(__xludf.DUMMYFUNCTION("""COMPUTED_VALUE"""),"De Pared")</f>
        <v>De Pared</v>
      </c>
      <c r="AX1346" s="97" t="str">
        <f>IFERROR(__xludf.DUMMYFUNCTION("""COMPUTED_VALUE"""),"Exterior")</f>
        <v>Exterior</v>
      </c>
      <c r="AY1346" s="97" t="str">
        <f>IFERROR(__xludf.DUMMYFUNCTION("""COMPUTED_VALUE"""),"-")</f>
        <v>-</v>
      </c>
      <c r="AZ1346" s="97"/>
      <c r="BA1346" s="97"/>
      <c r="BB1346" s="97"/>
      <c r="BC1346" s="97"/>
      <c r="BD1346" s="97" t="str">
        <f>IFERROR(__xludf.DUMMYFUNCTION("""COMPUTED_VALUE"""),"CATEN")</f>
        <v>CATEN</v>
      </c>
      <c r="BE1346" s="97" t="str">
        <f>IFERROR(__xludf.DUMMYFUNCTION("""COMPUTED_VALUE"""),"Solicitada")</f>
        <v>Solicitada</v>
      </c>
      <c r="BF1346" s="97"/>
      <c r="BG1346" s="97" t="str">
        <f>IFERROR(__xludf.DUMMYFUNCTION("""COMPUTED_VALUE"""),"REPO 7")</f>
        <v>REPO 7</v>
      </c>
    </row>
    <row r="1347">
      <c r="A1347" s="97">
        <f>IFERROR(__xludf.DUMMYFUNCTION("""COMPUTED_VALUE"""),7447.0)</f>
        <v>7447</v>
      </c>
      <c r="B1347" s="97" t="str">
        <f>IFERROR(__xludf.DUMMYFUNCTION("""COMPUTED_VALUE"""),"SLIM CATEN 30 DR 3CCT IP44")</f>
        <v>SLIM CATEN 30 DR 3CCT IP44</v>
      </c>
      <c r="C1347" s="97" t="str">
        <f>IFERROR(__xludf.DUMMYFUNCTION("""COMPUTED_VALUE"""),"APLIQUE SLIM CATEN 30 DR 3CCT IP44 12W 2700/3300/4000K 1205LM CRI&gt;90 IP44 LEUK")</f>
        <v>APLIQUE SLIM CATEN 30 DR 3CCT IP44 12W 2700/3300/4000K 1205LM CRI&gt;90 IP44 LEUK</v>
      </c>
      <c r="D1347" s="97">
        <f>IFERROR(__xludf.DUMMYFUNCTION("""COMPUTED_VALUE"""),7.798413229202E12)</f>
        <v>7798413229202</v>
      </c>
      <c r="E1347" s="97" t="str">
        <f>IFERROR(__xludf.DUMMYFUNCTION("""COMPUTED_VALUE"""),"R141")</f>
        <v>R141</v>
      </c>
      <c r="F1347" s="97" t="str">
        <f>IFERROR(__xludf.DUMMYFUNCTION("""COMPUTED_VALUE"""),"LED SMD2835")</f>
        <v>LED SMD2835</v>
      </c>
      <c r="G1347" s="97" t="str">
        <f>IFERROR(__xludf.DUMMYFUNCTION("""COMPUTED_VALUE"""),"OSRAM")</f>
        <v>OSRAM</v>
      </c>
      <c r="H1347" s="97" t="str">
        <f>IFERROR(__xludf.DUMMYFUNCTION("""COMPUTED_VALUE"""),"Eaglerise")</f>
        <v>Eaglerise</v>
      </c>
      <c r="I1347" s="97" t="str">
        <f>IFERROR(__xludf.DUMMYFUNCTION("""COMPUTED_VALUE"""),"Si")</f>
        <v>Si</v>
      </c>
      <c r="J1347" s="97" t="str">
        <f>IFERROR(__xludf.DUMMYFUNCTION("""COMPUTED_VALUE"""),"Eaglerise LS-12-350 CCT  SI E")</f>
        <v>Eaglerise LS-12-350 CCT  SI E</v>
      </c>
      <c r="K1347" s="97" t="str">
        <f>IFERROR(__xludf.DUMMYFUNCTION("""COMPUTED_VALUE"""),"ON/OFF")</f>
        <v>ON/OFF</v>
      </c>
      <c r="L1347" s="97" t="str">
        <f>IFERROR(__xludf.DUMMYFUNCTION("""COMPUTED_VALUE"""),"200-240")</f>
        <v>200-240</v>
      </c>
      <c r="M1347" s="97" t="str">
        <f>IFERROR(__xludf.DUMMYFUNCTION("""COMPUTED_VALUE"""),"50/60")</f>
        <v>50/60</v>
      </c>
      <c r="N1347" s="97"/>
      <c r="O1347" s="97">
        <f>IFERROR(__xludf.DUMMYFUNCTION("""COMPUTED_VALUE"""),12.0)</f>
        <v>12</v>
      </c>
      <c r="P1347" s="97">
        <f>IFERROR(__xludf.DUMMYFUNCTION("""COMPUTED_VALUE"""),13.07)</f>
        <v>13.07</v>
      </c>
      <c r="Q1347" s="97">
        <f>IFERROR(__xludf.DUMMYFUNCTION("""COMPUTED_VALUE"""),0.6)</f>
        <v>0.6</v>
      </c>
      <c r="R1347" s="97" t="str">
        <f>IFERROR(__xludf.DUMMYFUNCTION("""COMPUTED_VALUE"""),"-")</f>
        <v>-</v>
      </c>
      <c r="S1347" s="97" t="str">
        <f>IFERROR(__xludf.DUMMYFUNCTION("""COMPUTED_VALUE"""),"-")</f>
        <v>-</v>
      </c>
      <c r="T1347" s="97">
        <f>IFERROR(__xludf.DUMMYFUNCTION("""COMPUTED_VALUE"""),1205.0)</f>
        <v>1205</v>
      </c>
      <c r="U1347" s="99">
        <f>IFERROR(__xludf.DUMMYFUNCTION("""COMPUTED_VALUE"""),100.41666666666667)</f>
        <v>100.4166667</v>
      </c>
      <c r="V1347" s="97">
        <f>IFERROR(__xludf.DUMMYFUNCTION("""COMPUTED_VALUE"""),245.0)</f>
        <v>245</v>
      </c>
      <c r="W1347" s="97" t="str">
        <f>IFERROR(__xludf.DUMMYFUNCTION("""COMPUTED_VALUE"""),"-")</f>
        <v>-</v>
      </c>
      <c r="X1347" s="97" t="str">
        <f>IFERROR(__xludf.DUMMYFUNCTION("""COMPUTED_VALUE"""),"2700/3300/4000")</f>
        <v>2700/3300/4000</v>
      </c>
      <c r="Y1347" s="97" t="str">
        <f>IFERROR(__xludf.DUMMYFUNCTION("""COMPUTED_VALUE"""),"&gt;90")</f>
        <v>&gt;90</v>
      </c>
      <c r="Z1347" s="97" t="str">
        <f>IFERROR(__xludf.DUMMYFUNCTION("""COMPUTED_VALUE"""),"&gt;90")</f>
        <v>&gt;90</v>
      </c>
      <c r="AA1347" s="97" t="str">
        <f>IFERROR(__xludf.DUMMYFUNCTION("""COMPUTED_VALUE"""),"90-99 (Leve desaturación)")</f>
        <v>90-99 (Leve desaturación)</v>
      </c>
      <c r="AB1347" s="97" t="str">
        <f>IFERROR(__xludf.DUMMYFUNCTION("""COMPUTED_VALUE"""),"&lt; 3")</f>
        <v>&lt; 3</v>
      </c>
      <c r="AC1347" s="97" t="str">
        <f>IFERROR(__xludf.DUMMYFUNCTION("""COMPUTED_VALUE"""),"-0,00006 / -0,00264 / -0,0003")</f>
        <v>-0,00006 / -0,00264 / -0,0003</v>
      </c>
      <c r="AD1347" s="97" t="str">
        <f>IFERROR(__xludf.DUMMYFUNCTION("""COMPUTED_VALUE"""),"IP44")</f>
        <v>IP44</v>
      </c>
      <c r="AE1347" s="97"/>
      <c r="AF1347" s="97" t="str">
        <f>IFERROR(__xludf.DUMMYFUNCTION("""COMPUTED_VALUE"""),"Aplicar")</f>
        <v>Aplicar</v>
      </c>
      <c r="AG1347" s="97" t="str">
        <f>IFERROR(__xludf.DUMMYFUNCTION("""COMPUTED_VALUE"""),"100 x 100 x 300")</f>
        <v>100 x 100 x 300</v>
      </c>
      <c r="AH1347" s="97" t="str">
        <f>IFERROR(__xludf.DUMMYFUNCTION("""COMPUTED_VALUE"""),"N/A")</f>
        <v>N/A</v>
      </c>
      <c r="AI1347" s="97" t="str">
        <f>IFERROR(__xludf.DUMMYFUNCTION("""COMPUTED_VALUE"""),"N/A")</f>
        <v>N/A</v>
      </c>
      <c r="AJ1347" s="97" t="str">
        <f>IFERROR(__xludf.DUMMYFUNCTION("""COMPUTED_VALUE"""),"Vidrio y Policarbonato (PC)")</f>
        <v>Vidrio y Policarbonato (PC)</v>
      </c>
      <c r="AK1347" s="97" t="str">
        <f>IFERROR(__xludf.DUMMYFUNCTION("""COMPUTED_VALUE"""),"Acero Inox y Aluminio")</f>
        <v>Acero Inox y Aluminio</v>
      </c>
      <c r="AL1347" s="97" t="str">
        <f>IFERROR(__xludf.DUMMYFUNCTION("""COMPUTED_VALUE"""),"Dorado")</f>
        <v>Dorado</v>
      </c>
      <c r="AM1347" s="97" t="str">
        <f>IFERROR(__xludf.DUMMYFUNCTION("""COMPUTED_VALUE"""),"-")</f>
        <v>-</v>
      </c>
      <c r="AN1347" s="97" t="str">
        <f>IFERROR(__xludf.DUMMYFUNCTION("""COMPUTED_VALUE"""),"25.000hs (L70)")</f>
        <v>25.000hs (L70)</v>
      </c>
      <c r="AO1347" s="97" t="str">
        <f>IFERROR(__xludf.DUMMYFUNCTION("""COMPUTED_VALUE"""),"2 Años")</f>
        <v>2 Años</v>
      </c>
      <c r="AP1347" s="97" t="str">
        <f>IFERROR(__xludf.DUMMYFUNCTION("""COMPUTED_VALUE"""),"Disponible")</f>
        <v>Disponible</v>
      </c>
      <c r="AQ1347" s="97" t="str">
        <f>IFERROR(__xludf.DUMMYFUNCTION("""COMPUTED_VALUE"""),"Disponible")</f>
        <v>Disponible</v>
      </c>
      <c r="AR1347" s="97" t="str">
        <f>IFERROR(__xludf.DUMMYFUNCTION("""COMPUTED_VALUE"""),"Disponible")</f>
        <v>Disponible</v>
      </c>
      <c r="AS1347" s="97" t="str">
        <f>IFERROR(__xludf.DUMMYFUNCTION("""COMPUTED_VALUE"""),"Disponible")</f>
        <v>Disponible</v>
      </c>
      <c r="AT1347" s="97" t="str">
        <f>IFERROR(__xludf.DUMMYFUNCTION("""COMPUTED_VALUE"""),"Disponible")</f>
        <v>Disponible</v>
      </c>
      <c r="AU1347" s="97" t="str">
        <f>IFERROR(__xludf.DUMMYFUNCTION("""COMPUTED_VALUE"""),"Disponible")</f>
        <v>Disponible</v>
      </c>
      <c r="AV1347" s="97" t="str">
        <f>IFERROR(__xludf.DUMMYFUNCTION("""COMPUTED_VALUE"""),"Aplique")</f>
        <v>Aplique</v>
      </c>
      <c r="AW1347" s="97" t="str">
        <f>IFERROR(__xludf.DUMMYFUNCTION("""COMPUTED_VALUE"""),"De Pared")</f>
        <v>De Pared</v>
      </c>
      <c r="AX1347" s="97" t="str">
        <f>IFERROR(__xludf.DUMMYFUNCTION("""COMPUTED_VALUE"""),"Exterior")</f>
        <v>Exterior</v>
      </c>
      <c r="AY1347" s="97" t="str">
        <f>IFERROR(__xludf.DUMMYFUNCTION("""COMPUTED_VALUE"""),"-")</f>
        <v>-</v>
      </c>
      <c r="AZ1347" s="97"/>
      <c r="BA1347" s="97"/>
      <c r="BB1347" s="97"/>
      <c r="BC1347" s="97"/>
      <c r="BD1347" s="97" t="str">
        <f>IFERROR(__xludf.DUMMYFUNCTION("""COMPUTED_VALUE"""),"CATEN")</f>
        <v>CATEN</v>
      </c>
      <c r="BE1347" s="97" t="str">
        <f>IFERROR(__xludf.DUMMYFUNCTION("""COMPUTED_VALUE"""),"Solicitada")</f>
        <v>Solicitada</v>
      </c>
      <c r="BF1347" s="97"/>
      <c r="BG1347" s="97" t="str">
        <f>IFERROR(__xludf.DUMMYFUNCTION("""COMPUTED_VALUE"""),"REPO 7")</f>
        <v>REPO 7</v>
      </c>
    </row>
    <row r="1348">
      <c r="A1348" s="97">
        <f>IFERROR(__xludf.DUMMYFUNCTION("""COMPUTED_VALUE"""),7448.0)</f>
        <v>7448</v>
      </c>
      <c r="B1348" s="97" t="str">
        <f>IFERROR(__xludf.DUMMYFUNCTION("""COMPUTED_VALUE"""),"POCKET MODULO III BLBL 2CCT")</f>
        <v>POCKET MODULO III BLBL 2CCT</v>
      </c>
      <c r="C1348" s="97" t="str">
        <f>IFERROR(__xludf.DUMMYFUNCTION("""COMPUTED_VALUE"""),"EMPOTRABLE POCKET MODULO III BLBL 2CCT 5W 2700/3000K LM CRI&gt;90 IP20 LEUK")</f>
        <v>EMPOTRABLE POCKET MODULO III BLBL 2CCT 5W 2700/3000K LM CRI&gt;90 IP20 LEUK</v>
      </c>
      <c r="D1348" s="97">
        <f>IFERROR(__xludf.DUMMYFUNCTION("""COMPUTED_VALUE"""),7.798413229219E12)</f>
        <v>7798413229219</v>
      </c>
      <c r="E1348" s="97" t="str">
        <f>IFERROR(__xludf.DUMMYFUNCTION("""COMPUTED_VALUE"""),"F82")</f>
        <v>F82</v>
      </c>
      <c r="F1348" s="97" t="str">
        <f>IFERROR(__xludf.DUMMYFUNCTION("""COMPUTED_VALUE"""),"LED SMD")</f>
        <v>LED SMD</v>
      </c>
      <c r="G1348" s="97" t="str">
        <f>IFERROR(__xludf.DUMMYFUNCTION("""COMPUTED_VALUE"""),"-")</f>
        <v>-</v>
      </c>
      <c r="H1348" s="97" t="str">
        <f>IFERROR(__xludf.DUMMYFUNCTION("""COMPUTED_VALUE"""),"N/A")</f>
        <v>N/A</v>
      </c>
      <c r="I1348" s="97" t="str">
        <f>IFERROR(__xludf.DUMMYFUNCTION("""COMPUTED_VALUE"""),"N/A")</f>
        <v>N/A</v>
      </c>
      <c r="J1348" s="97" t="str">
        <f>IFERROR(__xludf.DUMMYFUNCTION("""COMPUTED_VALUE"""),"N/A")</f>
        <v>N/A</v>
      </c>
      <c r="K1348" s="97" t="str">
        <f>IFERROR(__xludf.DUMMYFUNCTION("""COMPUTED_VALUE"""),"N/A")</f>
        <v>N/A</v>
      </c>
      <c r="L1348" s="97" t="str">
        <f>IFERROR(__xludf.DUMMYFUNCTION("""COMPUTED_VALUE"""),"200-240")</f>
        <v>200-240</v>
      </c>
      <c r="M1348" s="97" t="str">
        <f>IFERROR(__xludf.DUMMYFUNCTION("""COMPUTED_VALUE"""),"50/60")</f>
        <v>50/60</v>
      </c>
      <c r="N1348" s="97" t="str">
        <f>IFERROR(__xludf.DUMMYFUNCTION("""COMPUTED_VALUE"""),"Directa")</f>
        <v>Directa</v>
      </c>
      <c r="O1348" s="97">
        <f>IFERROR(__xludf.DUMMYFUNCTION("""COMPUTED_VALUE"""),5.0)</f>
        <v>5</v>
      </c>
      <c r="P1348" s="97"/>
      <c r="Q1348" s="97"/>
      <c r="R1348" s="97" t="str">
        <f>IFERROR(__xludf.DUMMYFUNCTION("""COMPUTED_VALUE"""),"-")</f>
        <v>-</v>
      </c>
      <c r="S1348" s="97" t="str">
        <f>IFERROR(__xludf.DUMMYFUNCTION("""COMPUTED_VALUE"""),"-")</f>
        <v>-</v>
      </c>
      <c r="T1348" s="97"/>
      <c r="U1348" s="97">
        <f>IFERROR(__xludf.DUMMYFUNCTION("""COMPUTED_VALUE"""),0.0)</f>
        <v>0</v>
      </c>
      <c r="V1348" s="97">
        <f>IFERROR(__xludf.DUMMYFUNCTION("""COMPUTED_VALUE"""),38.0)</f>
        <v>38</v>
      </c>
      <c r="W1348" s="97" t="str">
        <f>IFERROR(__xludf.DUMMYFUNCTION("""COMPUTED_VALUE"""),"&lt; 14")</f>
        <v>&lt; 14</v>
      </c>
      <c r="X1348" s="97" t="str">
        <f>IFERROR(__xludf.DUMMYFUNCTION("""COMPUTED_VALUE"""),"2700/3000")</f>
        <v>2700/3000</v>
      </c>
      <c r="Y1348" s="97" t="str">
        <f>IFERROR(__xludf.DUMMYFUNCTION("""COMPUTED_VALUE"""),"&gt;90")</f>
        <v>&gt;90</v>
      </c>
      <c r="Z1348" s="97" t="str">
        <f>IFERROR(__xludf.DUMMYFUNCTION("""COMPUTED_VALUE"""),"&gt;90")</f>
        <v>&gt;90</v>
      </c>
      <c r="AA1348" s="97" t="str">
        <f>IFERROR(__xludf.DUMMYFUNCTION("""COMPUTED_VALUE"""),"100 (Fidelidad neutra)")</f>
        <v>100 (Fidelidad neutra)</v>
      </c>
      <c r="AB1348" s="97" t="str">
        <f>IFERROR(__xludf.DUMMYFUNCTION("""COMPUTED_VALUE"""),"&lt; 3")</f>
        <v>&lt; 3</v>
      </c>
      <c r="AC1348" s="97">
        <f>IFERROR(__xludf.DUMMYFUNCTION("""COMPUTED_VALUE"""),1.0E-4)</f>
        <v>0.0001</v>
      </c>
      <c r="AD1348" s="97" t="str">
        <f>IFERROR(__xludf.DUMMYFUNCTION("""COMPUTED_VALUE"""),"IP20")</f>
        <v>IP20</v>
      </c>
      <c r="AE1348" s="97" t="str">
        <f>IFERROR(__xludf.DUMMYFUNCTION("""COMPUTED_VALUE"""),"Clase l")</f>
        <v>Clase l</v>
      </c>
      <c r="AF1348" s="97" t="str">
        <f>IFERROR(__xludf.DUMMYFUNCTION("""COMPUTED_VALUE"""),"Embutir")</f>
        <v>Embutir</v>
      </c>
      <c r="AG1348" s="97" t="str">
        <f>IFERROR(__xludf.DUMMYFUNCTION("""COMPUTED_VALUE"""),"69 x 31 x 40")</f>
        <v>69 x 31 x 40</v>
      </c>
      <c r="AH1348" s="97" t="str">
        <f>IFERROR(__xludf.DUMMYFUNCTION("""COMPUTED_VALUE"""),"65 x 27")</f>
        <v>65 x 27</v>
      </c>
      <c r="AI1348" s="97"/>
      <c r="AJ1348" s="97" t="str">
        <f>IFERROR(__xludf.DUMMYFUNCTION("""COMPUTED_VALUE"""),"Policarbonato (PC)")</f>
        <v>Policarbonato (PC)</v>
      </c>
      <c r="AK1348" s="97" t="str">
        <f>IFERROR(__xludf.DUMMYFUNCTION("""COMPUTED_VALUE"""),"Aluminio")</f>
        <v>Aluminio</v>
      </c>
      <c r="AL1348" s="97" t="str">
        <f>IFERROR(__xludf.DUMMYFUNCTION("""COMPUTED_VALUE"""),"Blanco Satinado")</f>
        <v>Blanco Satinado</v>
      </c>
      <c r="AM1348" s="97"/>
      <c r="AN1348" s="97" t="str">
        <f>IFERROR(__xludf.DUMMYFUNCTION("""COMPUTED_VALUE"""),"40.000hs (L70)")</f>
        <v>40.000hs (L70)</v>
      </c>
      <c r="AO1348" s="97" t="str">
        <f>IFERROR(__xludf.DUMMYFUNCTION("""COMPUTED_VALUE"""),"4 Años")</f>
        <v>4 Años</v>
      </c>
      <c r="AP1348" s="97" t="str">
        <f>IFERROR(__xludf.DUMMYFUNCTION("""COMPUTED_VALUE"""),"Falta")</f>
        <v>Falta</v>
      </c>
      <c r="AQ1348" s="97" t="str">
        <f>IFERROR(__xludf.DUMMYFUNCTION("""COMPUTED_VALUE"""),"Falta")</f>
        <v>Falta</v>
      </c>
      <c r="AR1348" s="97" t="str">
        <f>IFERROR(__xludf.DUMMYFUNCTION("""COMPUTED_VALUE"""),"En revisión")</f>
        <v>En revisión</v>
      </c>
      <c r="AS1348" s="97" t="str">
        <f>IFERROR(__xludf.DUMMYFUNCTION("""COMPUTED_VALUE"""),"Falta")</f>
        <v>Falta</v>
      </c>
      <c r="AT1348" s="97" t="str">
        <f>IFERROR(__xludf.DUMMYFUNCTION("""COMPUTED_VALUE"""),"Falta")</f>
        <v>Falta</v>
      </c>
      <c r="AU1348" s="97" t="str">
        <f>IFERROR(__xludf.DUMMYFUNCTION("""COMPUTED_VALUE"""),"Falta")</f>
        <v>Falta</v>
      </c>
      <c r="AV1348" s="97" t="str">
        <f>IFERROR(__xludf.DUMMYFUNCTION("""COMPUTED_VALUE"""),"Empotrable")</f>
        <v>Empotrable</v>
      </c>
      <c r="AW1348" s="97" t="str">
        <f>IFERROR(__xludf.DUMMYFUNCTION("""COMPUTED_VALUE"""),"De Techo")</f>
        <v>De Techo</v>
      </c>
      <c r="AX1348" s="97" t="str">
        <f>IFERROR(__xludf.DUMMYFUNCTION("""COMPUTED_VALUE"""),"Interior")</f>
        <v>Interior</v>
      </c>
      <c r="AY1348" s="97" t="str">
        <f>IFERROR(__xludf.DUMMYFUNCTION("""COMPUTED_VALUE"""),"Pocket")</f>
        <v>Pocket</v>
      </c>
      <c r="AZ1348" s="97"/>
      <c r="BA1348" s="97"/>
      <c r="BB1348" s="97"/>
      <c r="BC1348" s="97"/>
      <c r="BD1348" s="97"/>
      <c r="BE1348" s="97" t="str">
        <f>IFERROR(__xludf.DUMMYFUNCTION("""COMPUTED_VALUE"""),"Sin Ficha")</f>
        <v>Sin Ficha</v>
      </c>
      <c r="BF1348" s="97"/>
      <c r="BG1348" s="97" t="str">
        <f>IFERROR(__xludf.DUMMYFUNCTION("""COMPUTED_VALUE"""),"REPO 7")</f>
        <v>REPO 7</v>
      </c>
    </row>
    <row r="1349">
      <c r="A1349" s="97">
        <f>IFERROR(__xludf.DUMMYFUNCTION("""COMPUTED_VALUE"""),7449.0)</f>
        <v>7449</v>
      </c>
      <c r="B1349" s="97" t="str">
        <f>IFERROR(__xludf.DUMMYFUNCTION("""COMPUTED_VALUE"""),"POCKET MODULO III BLNG 2CCT")</f>
        <v>POCKET MODULO III BLNG 2CCT</v>
      </c>
      <c r="C1349" s="97" t="str">
        <f>IFERROR(__xludf.DUMMYFUNCTION("""COMPUTED_VALUE"""),"EMPOTRABLE POCKET MODULO III BLNG 2CCT 5W 2700/3000K LM CRI&gt;90 IP20 LEUK")</f>
        <v>EMPOTRABLE POCKET MODULO III BLNG 2CCT 5W 2700/3000K LM CRI&gt;90 IP20 LEUK</v>
      </c>
      <c r="D1349" s="97">
        <f>IFERROR(__xludf.DUMMYFUNCTION("""COMPUTED_VALUE"""),7.798413229226E12)</f>
        <v>7798413229226</v>
      </c>
      <c r="E1349" s="97" t="str">
        <f>IFERROR(__xludf.DUMMYFUNCTION("""COMPUTED_VALUE"""),"F82")</f>
        <v>F82</v>
      </c>
      <c r="F1349" s="97" t="str">
        <f>IFERROR(__xludf.DUMMYFUNCTION("""COMPUTED_VALUE"""),"LED SMD")</f>
        <v>LED SMD</v>
      </c>
      <c r="G1349" s="97" t="str">
        <f>IFERROR(__xludf.DUMMYFUNCTION("""COMPUTED_VALUE"""),"-")</f>
        <v>-</v>
      </c>
      <c r="H1349" s="97" t="str">
        <f>IFERROR(__xludf.DUMMYFUNCTION("""COMPUTED_VALUE"""),"N/A")</f>
        <v>N/A</v>
      </c>
      <c r="I1349" s="97" t="str">
        <f>IFERROR(__xludf.DUMMYFUNCTION("""COMPUTED_VALUE"""),"N/A")</f>
        <v>N/A</v>
      </c>
      <c r="J1349" s="97" t="str">
        <f>IFERROR(__xludf.DUMMYFUNCTION("""COMPUTED_VALUE"""),"N/A")</f>
        <v>N/A</v>
      </c>
      <c r="K1349" s="97" t="str">
        <f>IFERROR(__xludf.DUMMYFUNCTION("""COMPUTED_VALUE"""),"N/A")</f>
        <v>N/A</v>
      </c>
      <c r="L1349" s="97" t="str">
        <f>IFERROR(__xludf.DUMMYFUNCTION("""COMPUTED_VALUE"""),"200-240")</f>
        <v>200-240</v>
      </c>
      <c r="M1349" s="97" t="str">
        <f>IFERROR(__xludf.DUMMYFUNCTION("""COMPUTED_VALUE"""),"50/60")</f>
        <v>50/60</v>
      </c>
      <c r="N1349" s="97" t="str">
        <f>IFERROR(__xludf.DUMMYFUNCTION("""COMPUTED_VALUE"""),"Directa")</f>
        <v>Directa</v>
      </c>
      <c r="O1349" s="97">
        <f>IFERROR(__xludf.DUMMYFUNCTION("""COMPUTED_VALUE"""),5.0)</f>
        <v>5</v>
      </c>
      <c r="P1349" s="97"/>
      <c r="Q1349" s="97"/>
      <c r="R1349" s="97" t="str">
        <f>IFERROR(__xludf.DUMMYFUNCTION("""COMPUTED_VALUE"""),"-")</f>
        <v>-</v>
      </c>
      <c r="S1349" s="97" t="str">
        <f>IFERROR(__xludf.DUMMYFUNCTION("""COMPUTED_VALUE"""),"-")</f>
        <v>-</v>
      </c>
      <c r="T1349" s="97"/>
      <c r="U1349" s="97">
        <f>IFERROR(__xludf.DUMMYFUNCTION("""COMPUTED_VALUE"""),0.0)</f>
        <v>0</v>
      </c>
      <c r="V1349" s="97">
        <f>IFERROR(__xludf.DUMMYFUNCTION("""COMPUTED_VALUE"""),38.0)</f>
        <v>38</v>
      </c>
      <c r="W1349" s="97" t="str">
        <f>IFERROR(__xludf.DUMMYFUNCTION("""COMPUTED_VALUE"""),"&lt; 14")</f>
        <v>&lt; 14</v>
      </c>
      <c r="X1349" s="97" t="str">
        <f>IFERROR(__xludf.DUMMYFUNCTION("""COMPUTED_VALUE"""),"2700/3000")</f>
        <v>2700/3000</v>
      </c>
      <c r="Y1349" s="97" t="str">
        <f>IFERROR(__xludf.DUMMYFUNCTION("""COMPUTED_VALUE"""),"&gt;90")</f>
        <v>&gt;90</v>
      </c>
      <c r="Z1349" s="97" t="str">
        <f>IFERROR(__xludf.DUMMYFUNCTION("""COMPUTED_VALUE"""),"&gt;90")</f>
        <v>&gt;90</v>
      </c>
      <c r="AA1349" s="97" t="str">
        <f>IFERROR(__xludf.DUMMYFUNCTION("""COMPUTED_VALUE"""),"100 (Fidelidad neutra)")</f>
        <v>100 (Fidelidad neutra)</v>
      </c>
      <c r="AB1349" s="97" t="str">
        <f>IFERROR(__xludf.DUMMYFUNCTION("""COMPUTED_VALUE"""),"&lt; 3")</f>
        <v>&lt; 3</v>
      </c>
      <c r="AC1349" s="97">
        <f>IFERROR(__xludf.DUMMYFUNCTION("""COMPUTED_VALUE"""),1.0E-4)</f>
        <v>0.0001</v>
      </c>
      <c r="AD1349" s="97" t="str">
        <f>IFERROR(__xludf.DUMMYFUNCTION("""COMPUTED_VALUE"""),"IP20")</f>
        <v>IP20</v>
      </c>
      <c r="AE1349" s="97" t="str">
        <f>IFERROR(__xludf.DUMMYFUNCTION("""COMPUTED_VALUE"""),"Clase l")</f>
        <v>Clase l</v>
      </c>
      <c r="AF1349" s="97" t="str">
        <f>IFERROR(__xludf.DUMMYFUNCTION("""COMPUTED_VALUE"""),"Embutir")</f>
        <v>Embutir</v>
      </c>
      <c r="AG1349" s="97" t="str">
        <f>IFERROR(__xludf.DUMMYFUNCTION("""COMPUTED_VALUE"""),"69 x 31 x 40")</f>
        <v>69 x 31 x 40</v>
      </c>
      <c r="AH1349" s="97" t="str">
        <f>IFERROR(__xludf.DUMMYFUNCTION("""COMPUTED_VALUE"""),"65 x 27")</f>
        <v>65 x 27</v>
      </c>
      <c r="AI1349" s="97"/>
      <c r="AJ1349" s="97" t="str">
        <f>IFERROR(__xludf.DUMMYFUNCTION("""COMPUTED_VALUE"""),"Policarbonato (PC)")</f>
        <v>Policarbonato (PC)</v>
      </c>
      <c r="AK1349" s="97" t="str">
        <f>IFERROR(__xludf.DUMMYFUNCTION("""COMPUTED_VALUE"""),"Aluminio")</f>
        <v>Aluminio</v>
      </c>
      <c r="AL1349" s="97" t="str">
        <f>IFERROR(__xludf.DUMMYFUNCTION("""COMPUTED_VALUE"""),"Blanco y Negro")</f>
        <v>Blanco y Negro</v>
      </c>
      <c r="AM1349" s="97"/>
      <c r="AN1349" s="97" t="str">
        <f>IFERROR(__xludf.DUMMYFUNCTION("""COMPUTED_VALUE"""),"40.000hs (L70)")</f>
        <v>40.000hs (L70)</v>
      </c>
      <c r="AO1349" s="97" t="str">
        <f>IFERROR(__xludf.DUMMYFUNCTION("""COMPUTED_VALUE"""),"4 Años")</f>
        <v>4 Años</v>
      </c>
      <c r="AP1349" s="97" t="str">
        <f>IFERROR(__xludf.DUMMYFUNCTION("""COMPUTED_VALUE"""),"Falta")</f>
        <v>Falta</v>
      </c>
      <c r="AQ1349" s="97" t="str">
        <f>IFERROR(__xludf.DUMMYFUNCTION("""COMPUTED_VALUE"""),"Falta")</f>
        <v>Falta</v>
      </c>
      <c r="AR1349" s="97" t="str">
        <f>IFERROR(__xludf.DUMMYFUNCTION("""COMPUTED_VALUE"""),"En revisión")</f>
        <v>En revisión</v>
      </c>
      <c r="AS1349" s="97" t="str">
        <f>IFERROR(__xludf.DUMMYFUNCTION("""COMPUTED_VALUE"""),"Falta")</f>
        <v>Falta</v>
      </c>
      <c r="AT1349" s="97" t="str">
        <f>IFERROR(__xludf.DUMMYFUNCTION("""COMPUTED_VALUE"""),"Falta")</f>
        <v>Falta</v>
      </c>
      <c r="AU1349" s="97" t="str">
        <f>IFERROR(__xludf.DUMMYFUNCTION("""COMPUTED_VALUE"""),"Falta")</f>
        <v>Falta</v>
      </c>
      <c r="AV1349" s="97" t="str">
        <f>IFERROR(__xludf.DUMMYFUNCTION("""COMPUTED_VALUE"""),"Empotrable")</f>
        <v>Empotrable</v>
      </c>
      <c r="AW1349" s="97" t="str">
        <f>IFERROR(__xludf.DUMMYFUNCTION("""COMPUTED_VALUE"""),"De Techo")</f>
        <v>De Techo</v>
      </c>
      <c r="AX1349" s="97" t="str">
        <f>IFERROR(__xludf.DUMMYFUNCTION("""COMPUTED_VALUE"""),"Interior")</f>
        <v>Interior</v>
      </c>
      <c r="AY1349" s="97" t="str">
        <f>IFERROR(__xludf.DUMMYFUNCTION("""COMPUTED_VALUE"""),"Pocket")</f>
        <v>Pocket</v>
      </c>
      <c r="AZ1349" s="97"/>
      <c r="BA1349" s="97"/>
      <c r="BB1349" s="97"/>
      <c r="BC1349" s="97"/>
      <c r="BD1349" s="97"/>
      <c r="BE1349" s="97" t="str">
        <f>IFERROR(__xludf.DUMMYFUNCTION("""COMPUTED_VALUE"""),"Sin Ficha")</f>
        <v>Sin Ficha</v>
      </c>
      <c r="BF1349" s="97"/>
      <c r="BG1349" s="97" t="str">
        <f>IFERROR(__xludf.DUMMYFUNCTION("""COMPUTED_VALUE"""),"REPO 7")</f>
        <v>REPO 7</v>
      </c>
    </row>
    <row r="1350">
      <c r="A1350" s="97">
        <f>IFERROR(__xludf.DUMMYFUNCTION("""COMPUTED_VALUE"""),7450.0)</f>
        <v>7450</v>
      </c>
      <c r="B1350" s="97" t="str">
        <f>IFERROR(__xludf.DUMMYFUNCTION("""COMPUTED_VALUE"""),"POCKET MODULO III NGNG 2CCT")</f>
        <v>POCKET MODULO III NGNG 2CCT</v>
      </c>
      <c r="C1350" s="97" t="str">
        <f>IFERROR(__xludf.DUMMYFUNCTION("""COMPUTED_VALUE"""),"EMPOTRABLE POCKET MODULO III NGNG 2CCT 5W 2700/3000K LM CRI&gt;90 IP20 LEUK")</f>
        <v>EMPOTRABLE POCKET MODULO III NGNG 2CCT 5W 2700/3000K LM CRI&gt;90 IP20 LEUK</v>
      </c>
      <c r="D1350" s="97">
        <f>IFERROR(__xludf.DUMMYFUNCTION("""COMPUTED_VALUE"""),7.798413229233E12)</f>
        <v>7798413229233</v>
      </c>
      <c r="E1350" s="97" t="str">
        <f>IFERROR(__xludf.DUMMYFUNCTION("""COMPUTED_VALUE"""),"F82")</f>
        <v>F82</v>
      </c>
      <c r="F1350" s="97" t="str">
        <f>IFERROR(__xludf.DUMMYFUNCTION("""COMPUTED_VALUE"""),"LED SMD")</f>
        <v>LED SMD</v>
      </c>
      <c r="G1350" s="97" t="str">
        <f>IFERROR(__xludf.DUMMYFUNCTION("""COMPUTED_VALUE"""),"-")</f>
        <v>-</v>
      </c>
      <c r="H1350" s="97" t="str">
        <f>IFERROR(__xludf.DUMMYFUNCTION("""COMPUTED_VALUE"""),"N/A")</f>
        <v>N/A</v>
      </c>
      <c r="I1350" s="97" t="str">
        <f>IFERROR(__xludf.DUMMYFUNCTION("""COMPUTED_VALUE"""),"N/A")</f>
        <v>N/A</v>
      </c>
      <c r="J1350" s="97" t="str">
        <f>IFERROR(__xludf.DUMMYFUNCTION("""COMPUTED_VALUE"""),"N/A")</f>
        <v>N/A</v>
      </c>
      <c r="K1350" s="97" t="str">
        <f>IFERROR(__xludf.DUMMYFUNCTION("""COMPUTED_VALUE"""),"N/A")</f>
        <v>N/A</v>
      </c>
      <c r="L1350" s="97" t="str">
        <f>IFERROR(__xludf.DUMMYFUNCTION("""COMPUTED_VALUE"""),"200-240")</f>
        <v>200-240</v>
      </c>
      <c r="M1350" s="97" t="str">
        <f>IFERROR(__xludf.DUMMYFUNCTION("""COMPUTED_VALUE"""),"50/60")</f>
        <v>50/60</v>
      </c>
      <c r="N1350" s="97" t="str">
        <f>IFERROR(__xludf.DUMMYFUNCTION("""COMPUTED_VALUE"""),"Directa")</f>
        <v>Directa</v>
      </c>
      <c r="O1350" s="97">
        <f>IFERROR(__xludf.DUMMYFUNCTION("""COMPUTED_VALUE"""),5.0)</f>
        <v>5</v>
      </c>
      <c r="P1350" s="97"/>
      <c r="Q1350" s="97"/>
      <c r="R1350" s="97" t="str">
        <f>IFERROR(__xludf.DUMMYFUNCTION("""COMPUTED_VALUE"""),"-")</f>
        <v>-</v>
      </c>
      <c r="S1350" s="97" t="str">
        <f>IFERROR(__xludf.DUMMYFUNCTION("""COMPUTED_VALUE"""),"-")</f>
        <v>-</v>
      </c>
      <c r="T1350" s="97"/>
      <c r="U1350" s="97">
        <f>IFERROR(__xludf.DUMMYFUNCTION("""COMPUTED_VALUE"""),0.0)</f>
        <v>0</v>
      </c>
      <c r="V1350" s="97">
        <f>IFERROR(__xludf.DUMMYFUNCTION("""COMPUTED_VALUE"""),38.0)</f>
        <v>38</v>
      </c>
      <c r="W1350" s="97" t="str">
        <f>IFERROR(__xludf.DUMMYFUNCTION("""COMPUTED_VALUE"""),"&lt; 14")</f>
        <v>&lt; 14</v>
      </c>
      <c r="X1350" s="97" t="str">
        <f>IFERROR(__xludf.DUMMYFUNCTION("""COMPUTED_VALUE"""),"2700/3000")</f>
        <v>2700/3000</v>
      </c>
      <c r="Y1350" s="97" t="str">
        <f>IFERROR(__xludf.DUMMYFUNCTION("""COMPUTED_VALUE"""),"&gt;90")</f>
        <v>&gt;90</v>
      </c>
      <c r="Z1350" s="97" t="str">
        <f>IFERROR(__xludf.DUMMYFUNCTION("""COMPUTED_VALUE"""),"&gt;90")</f>
        <v>&gt;90</v>
      </c>
      <c r="AA1350" s="97" t="str">
        <f>IFERROR(__xludf.DUMMYFUNCTION("""COMPUTED_VALUE"""),"100 (Fidelidad neutra)")</f>
        <v>100 (Fidelidad neutra)</v>
      </c>
      <c r="AB1350" s="97" t="str">
        <f>IFERROR(__xludf.DUMMYFUNCTION("""COMPUTED_VALUE"""),"&lt; 3")</f>
        <v>&lt; 3</v>
      </c>
      <c r="AC1350" s="97">
        <f>IFERROR(__xludf.DUMMYFUNCTION("""COMPUTED_VALUE"""),1.0E-4)</f>
        <v>0.0001</v>
      </c>
      <c r="AD1350" s="97" t="str">
        <f>IFERROR(__xludf.DUMMYFUNCTION("""COMPUTED_VALUE"""),"IP20")</f>
        <v>IP20</v>
      </c>
      <c r="AE1350" s="97" t="str">
        <f>IFERROR(__xludf.DUMMYFUNCTION("""COMPUTED_VALUE"""),"Clase l")</f>
        <v>Clase l</v>
      </c>
      <c r="AF1350" s="97" t="str">
        <f>IFERROR(__xludf.DUMMYFUNCTION("""COMPUTED_VALUE"""),"Embutir")</f>
        <v>Embutir</v>
      </c>
      <c r="AG1350" s="97" t="str">
        <f>IFERROR(__xludf.DUMMYFUNCTION("""COMPUTED_VALUE"""),"69 x 31 x 40")</f>
        <v>69 x 31 x 40</v>
      </c>
      <c r="AH1350" s="97" t="str">
        <f>IFERROR(__xludf.DUMMYFUNCTION("""COMPUTED_VALUE"""),"65 x 27")</f>
        <v>65 x 27</v>
      </c>
      <c r="AI1350" s="97"/>
      <c r="AJ1350" s="97" t="str">
        <f>IFERROR(__xludf.DUMMYFUNCTION("""COMPUTED_VALUE"""),"Policarbonato (PC)")</f>
        <v>Policarbonato (PC)</v>
      </c>
      <c r="AK1350" s="97" t="str">
        <f>IFERROR(__xludf.DUMMYFUNCTION("""COMPUTED_VALUE"""),"Aluminio")</f>
        <v>Aluminio</v>
      </c>
      <c r="AL1350" s="97" t="str">
        <f>IFERROR(__xludf.DUMMYFUNCTION("""COMPUTED_VALUE"""),"Negro Satinado")</f>
        <v>Negro Satinado</v>
      </c>
      <c r="AM1350" s="97"/>
      <c r="AN1350" s="97" t="str">
        <f>IFERROR(__xludf.DUMMYFUNCTION("""COMPUTED_VALUE"""),"40.000hs (L70)")</f>
        <v>40.000hs (L70)</v>
      </c>
      <c r="AO1350" s="97" t="str">
        <f>IFERROR(__xludf.DUMMYFUNCTION("""COMPUTED_VALUE"""),"4 Años")</f>
        <v>4 Años</v>
      </c>
      <c r="AP1350" s="97" t="str">
        <f>IFERROR(__xludf.DUMMYFUNCTION("""COMPUTED_VALUE"""),"Falta")</f>
        <v>Falta</v>
      </c>
      <c r="AQ1350" s="97" t="str">
        <f>IFERROR(__xludf.DUMMYFUNCTION("""COMPUTED_VALUE"""),"Falta")</f>
        <v>Falta</v>
      </c>
      <c r="AR1350" s="97" t="str">
        <f>IFERROR(__xludf.DUMMYFUNCTION("""COMPUTED_VALUE"""),"En revisión")</f>
        <v>En revisión</v>
      </c>
      <c r="AS1350" s="97" t="str">
        <f>IFERROR(__xludf.DUMMYFUNCTION("""COMPUTED_VALUE"""),"Falta")</f>
        <v>Falta</v>
      </c>
      <c r="AT1350" s="97" t="str">
        <f>IFERROR(__xludf.DUMMYFUNCTION("""COMPUTED_VALUE"""),"Falta")</f>
        <v>Falta</v>
      </c>
      <c r="AU1350" s="97" t="str">
        <f>IFERROR(__xludf.DUMMYFUNCTION("""COMPUTED_VALUE"""),"Falta")</f>
        <v>Falta</v>
      </c>
      <c r="AV1350" s="97" t="str">
        <f>IFERROR(__xludf.DUMMYFUNCTION("""COMPUTED_VALUE"""),"Empotrable")</f>
        <v>Empotrable</v>
      </c>
      <c r="AW1350" s="97" t="str">
        <f>IFERROR(__xludf.DUMMYFUNCTION("""COMPUTED_VALUE"""),"De Techo")</f>
        <v>De Techo</v>
      </c>
      <c r="AX1350" s="97" t="str">
        <f>IFERROR(__xludf.DUMMYFUNCTION("""COMPUTED_VALUE"""),"Interior")</f>
        <v>Interior</v>
      </c>
      <c r="AY1350" s="97" t="str">
        <f>IFERROR(__xludf.DUMMYFUNCTION("""COMPUTED_VALUE"""),"Pocket")</f>
        <v>Pocket</v>
      </c>
      <c r="AZ1350" s="97"/>
      <c r="BA1350" s="97"/>
      <c r="BB1350" s="97"/>
      <c r="BC1350" s="97"/>
      <c r="BD1350" s="97"/>
      <c r="BE1350" s="97" t="str">
        <f>IFERROR(__xludf.DUMMYFUNCTION("""COMPUTED_VALUE"""),"Sin Ficha")</f>
        <v>Sin Ficha</v>
      </c>
      <c r="BF1350" s="97"/>
      <c r="BG1350" s="97" t="str">
        <f>IFERROR(__xludf.DUMMYFUNCTION("""COMPUTED_VALUE"""),"REPO 7")</f>
        <v>REPO 7</v>
      </c>
    </row>
    <row r="1351">
      <c r="A1351" s="97">
        <f>IFERROR(__xludf.DUMMYFUNCTION("""COMPUTED_VALUE"""),7451.0)</f>
        <v>7451</v>
      </c>
      <c r="B1351" s="97" t="str">
        <f>IFERROR(__xludf.DUMMYFUNCTION("""COMPUTED_VALUE"""),"POCKET MODULO IV BLBL 2CCT")</f>
        <v>POCKET MODULO IV BLBL 2CCT</v>
      </c>
      <c r="C1351" s="97" t="str">
        <f>IFERROR(__xludf.DUMMYFUNCTION("""COMPUTED_VALUE"""),"EMPOTRABLE POCKET MODULO IV BLBL 2CCT 7W 2700/3000K 415LM CRI&gt;90 IP20 LEUK")</f>
        <v>EMPOTRABLE POCKET MODULO IV BLBL 2CCT 7W 2700/3000K 415LM CRI&gt;90 IP20 LEUK</v>
      </c>
      <c r="D1351" s="97">
        <f>IFERROR(__xludf.DUMMYFUNCTION("""COMPUTED_VALUE"""),7.79841322924E12)</f>
        <v>7798413229240</v>
      </c>
      <c r="E1351" s="97" t="str">
        <f>IFERROR(__xludf.DUMMYFUNCTION("""COMPUTED_VALUE"""),"F75")</f>
        <v>F75</v>
      </c>
      <c r="F1351" s="97" t="str">
        <f>IFERROR(__xludf.DUMMYFUNCTION("""COMPUTED_VALUE"""),"LED SMD")</f>
        <v>LED SMD</v>
      </c>
      <c r="G1351" s="97" t="str">
        <f>IFERROR(__xludf.DUMMYFUNCTION("""COMPUTED_VALUE"""),"-")</f>
        <v>-</v>
      </c>
      <c r="H1351" s="97" t="str">
        <f>IFERROR(__xludf.DUMMYFUNCTION("""COMPUTED_VALUE"""),"N/A")</f>
        <v>N/A</v>
      </c>
      <c r="I1351" s="97" t="str">
        <f>IFERROR(__xludf.DUMMYFUNCTION("""COMPUTED_VALUE"""),"N/A")</f>
        <v>N/A</v>
      </c>
      <c r="J1351" s="97" t="str">
        <f>IFERROR(__xludf.DUMMYFUNCTION("""COMPUTED_VALUE"""),"N/A")</f>
        <v>N/A</v>
      </c>
      <c r="K1351" s="97" t="str">
        <f>IFERROR(__xludf.DUMMYFUNCTION("""COMPUTED_VALUE"""),"N/A")</f>
        <v>N/A</v>
      </c>
      <c r="L1351" s="97" t="str">
        <f>IFERROR(__xludf.DUMMYFUNCTION("""COMPUTED_VALUE"""),"200-240")</f>
        <v>200-240</v>
      </c>
      <c r="M1351" s="97" t="str">
        <f>IFERROR(__xludf.DUMMYFUNCTION("""COMPUTED_VALUE"""),"50/60")</f>
        <v>50/60</v>
      </c>
      <c r="N1351" s="97" t="str">
        <f>IFERROR(__xludf.DUMMYFUNCTION("""COMPUTED_VALUE"""),"Directa")</f>
        <v>Directa</v>
      </c>
      <c r="O1351" s="97">
        <f>IFERROR(__xludf.DUMMYFUNCTION("""COMPUTED_VALUE"""),7.0)</f>
        <v>7</v>
      </c>
      <c r="P1351" s="97">
        <f>IFERROR(__xludf.DUMMYFUNCTION("""COMPUTED_VALUE"""),7.1)</f>
        <v>7.1</v>
      </c>
      <c r="Q1351" s="97"/>
      <c r="R1351" s="97" t="str">
        <f>IFERROR(__xludf.DUMMYFUNCTION("""COMPUTED_VALUE"""),"-")</f>
        <v>-</v>
      </c>
      <c r="S1351" s="97" t="str">
        <f>IFERROR(__xludf.DUMMYFUNCTION("""COMPUTED_VALUE"""),"-")</f>
        <v>-</v>
      </c>
      <c r="T1351" s="97">
        <f>IFERROR(__xludf.DUMMYFUNCTION("""COMPUTED_VALUE"""),415.0)</f>
        <v>415</v>
      </c>
      <c r="U1351" s="99">
        <f>IFERROR(__xludf.DUMMYFUNCTION("""COMPUTED_VALUE"""),59.285714285714285)</f>
        <v>59.28571429</v>
      </c>
      <c r="V1351" s="97">
        <f>IFERROR(__xludf.DUMMYFUNCTION("""COMPUTED_VALUE"""),38.0)</f>
        <v>38</v>
      </c>
      <c r="W1351" s="97" t="str">
        <f>IFERROR(__xludf.DUMMYFUNCTION("""COMPUTED_VALUE"""),"&lt; 14")</f>
        <v>&lt; 14</v>
      </c>
      <c r="X1351" s="97" t="str">
        <f>IFERROR(__xludf.DUMMYFUNCTION("""COMPUTED_VALUE"""),"2700/3000")</f>
        <v>2700/3000</v>
      </c>
      <c r="Y1351" s="97" t="str">
        <f>IFERROR(__xludf.DUMMYFUNCTION("""COMPUTED_VALUE"""),"&gt;90")</f>
        <v>&gt;90</v>
      </c>
      <c r="Z1351" s="97" t="str">
        <f>IFERROR(__xludf.DUMMYFUNCTION("""COMPUTED_VALUE"""),"&gt;90")</f>
        <v>&gt;90</v>
      </c>
      <c r="AA1351" s="97" t="str">
        <f>IFERROR(__xludf.DUMMYFUNCTION("""COMPUTED_VALUE"""),"100 (Fidelidad neutra)")</f>
        <v>100 (Fidelidad neutra)</v>
      </c>
      <c r="AB1351" s="97" t="str">
        <f>IFERROR(__xludf.DUMMYFUNCTION("""COMPUTED_VALUE"""),"&lt; 3")</f>
        <v>&lt; 3</v>
      </c>
      <c r="AC1351" s="97">
        <f>IFERROR(__xludf.DUMMYFUNCTION("""COMPUTED_VALUE"""),0.0028)</f>
        <v>0.0028</v>
      </c>
      <c r="AD1351" s="97" t="str">
        <f>IFERROR(__xludf.DUMMYFUNCTION("""COMPUTED_VALUE"""),"IP20")</f>
        <v>IP20</v>
      </c>
      <c r="AE1351" s="97" t="str">
        <f>IFERROR(__xludf.DUMMYFUNCTION("""COMPUTED_VALUE"""),"Clase l")</f>
        <v>Clase l</v>
      </c>
      <c r="AF1351" s="97" t="str">
        <f>IFERROR(__xludf.DUMMYFUNCTION("""COMPUTED_VALUE"""),"Embutir")</f>
        <v>Embutir</v>
      </c>
      <c r="AG1351" s="97" t="str">
        <f>IFERROR(__xludf.DUMMYFUNCTION("""COMPUTED_VALUE"""),"52 x 52 x 40")</f>
        <v>52 x 52 x 40</v>
      </c>
      <c r="AH1351" s="97" t="str">
        <f>IFERROR(__xludf.DUMMYFUNCTION("""COMPUTED_VALUE"""),"48 x 48")</f>
        <v>48 x 48</v>
      </c>
      <c r="AI1351" s="97"/>
      <c r="AJ1351" s="97" t="str">
        <f>IFERROR(__xludf.DUMMYFUNCTION("""COMPUTED_VALUE"""),"Policarbonato (PC)")</f>
        <v>Policarbonato (PC)</v>
      </c>
      <c r="AK1351" s="97" t="str">
        <f>IFERROR(__xludf.DUMMYFUNCTION("""COMPUTED_VALUE"""),"Aluminio")</f>
        <v>Aluminio</v>
      </c>
      <c r="AL1351" s="97" t="str">
        <f>IFERROR(__xludf.DUMMYFUNCTION("""COMPUTED_VALUE"""),"Blanco Satinado")</f>
        <v>Blanco Satinado</v>
      </c>
      <c r="AM1351" s="97"/>
      <c r="AN1351" s="97" t="str">
        <f>IFERROR(__xludf.DUMMYFUNCTION("""COMPUTED_VALUE"""),"40.000hs (L70)")</f>
        <v>40.000hs (L70)</v>
      </c>
      <c r="AO1351" s="97" t="str">
        <f>IFERROR(__xludf.DUMMYFUNCTION("""COMPUTED_VALUE"""),"4 Años")</f>
        <v>4 Años</v>
      </c>
      <c r="AP1351" s="97" t="str">
        <f>IFERROR(__xludf.DUMMYFUNCTION("""COMPUTED_VALUE"""),"Falta")</f>
        <v>Falta</v>
      </c>
      <c r="AQ1351" s="97" t="str">
        <f>IFERROR(__xludf.DUMMYFUNCTION("""COMPUTED_VALUE"""),"Falta")</f>
        <v>Falta</v>
      </c>
      <c r="AR1351" s="97" t="str">
        <f>IFERROR(__xludf.DUMMYFUNCTION("""COMPUTED_VALUE"""),"En revisión")</f>
        <v>En revisión</v>
      </c>
      <c r="AS1351" s="97" t="str">
        <f>IFERROR(__xludf.DUMMYFUNCTION("""COMPUTED_VALUE"""),"Falta")</f>
        <v>Falta</v>
      </c>
      <c r="AT1351" s="97" t="str">
        <f>IFERROR(__xludf.DUMMYFUNCTION("""COMPUTED_VALUE"""),"Falta")</f>
        <v>Falta</v>
      </c>
      <c r="AU1351" s="97" t="str">
        <f>IFERROR(__xludf.DUMMYFUNCTION("""COMPUTED_VALUE"""),"Falta")</f>
        <v>Falta</v>
      </c>
      <c r="AV1351" s="97" t="str">
        <f>IFERROR(__xludf.DUMMYFUNCTION("""COMPUTED_VALUE"""),"Empotrable")</f>
        <v>Empotrable</v>
      </c>
      <c r="AW1351" s="97" t="str">
        <f>IFERROR(__xludf.DUMMYFUNCTION("""COMPUTED_VALUE"""),"De Techo")</f>
        <v>De Techo</v>
      </c>
      <c r="AX1351" s="97" t="str">
        <f>IFERROR(__xludf.DUMMYFUNCTION("""COMPUTED_VALUE"""),"Interior")</f>
        <v>Interior</v>
      </c>
      <c r="AY1351" s="97" t="str">
        <f>IFERROR(__xludf.DUMMYFUNCTION("""COMPUTED_VALUE"""),"Pocket")</f>
        <v>Pocket</v>
      </c>
      <c r="AZ1351" s="97"/>
      <c r="BA1351" s="97"/>
      <c r="BB1351" s="97"/>
      <c r="BC1351" s="97"/>
      <c r="BD1351" s="97"/>
      <c r="BE1351" s="97" t="str">
        <f>IFERROR(__xludf.DUMMYFUNCTION("""COMPUTED_VALUE"""),"Sin Ficha")</f>
        <v>Sin Ficha</v>
      </c>
      <c r="BF1351" s="97"/>
      <c r="BG1351" s="97" t="str">
        <f>IFERROR(__xludf.DUMMYFUNCTION("""COMPUTED_VALUE"""),"REPO 7")</f>
        <v>REPO 7</v>
      </c>
    </row>
    <row r="1352">
      <c r="A1352" s="97">
        <f>IFERROR(__xludf.DUMMYFUNCTION("""COMPUTED_VALUE"""),7452.0)</f>
        <v>7452</v>
      </c>
      <c r="B1352" s="97" t="str">
        <f>IFERROR(__xludf.DUMMYFUNCTION("""COMPUTED_VALUE"""),"POCKET MODULO IV BLNG 2CCT")</f>
        <v>POCKET MODULO IV BLNG 2CCT</v>
      </c>
      <c r="C1352" s="97" t="str">
        <f>IFERROR(__xludf.DUMMYFUNCTION("""COMPUTED_VALUE"""),"EMPOTRABLE POCKET MODULO IV BLNG 2CCT 7W 2700/3000K 415LM CRI&gt;90 IP20 LEUK")</f>
        <v>EMPOTRABLE POCKET MODULO IV BLNG 2CCT 7W 2700/3000K 415LM CRI&gt;90 IP20 LEUK</v>
      </c>
      <c r="D1352" s="97">
        <f>IFERROR(__xludf.DUMMYFUNCTION("""COMPUTED_VALUE"""),7.798413229257E12)</f>
        <v>7798413229257</v>
      </c>
      <c r="E1352" s="97" t="str">
        <f>IFERROR(__xludf.DUMMYFUNCTION("""COMPUTED_VALUE"""),"F75")</f>
        <v>F75</v>
      </c>
      <c r="F1352" s="97" t="str">
        <f>IFERROR(__xludf.DUMMYFUNCTION("""COMPUTED_VALUE"""),"LED SMD")</f>
        <v>LED SMD</v>
      </c>
      <c r="G1352" s="97" t="str">
        <f>IFERROR(__xludf.DUMMYFUNCTION("""COMPUTED_VALUE"""),"-")</f>
        <v>-</v>
      </c>
      <c r="H1352" s="97" t="str">
        <f>IFERROR(__xludf.DUMMYFUNCTION("""COMPUTED_VALUE"""),"N/A")</f>
        <v>N/A</v>
      </c>
      <c r="I1352" s="97" t="str">
        <f>IFERROR(__xludf.DUMMYFUNCTION("""COMPUTED_VALUE"""),"N/A")</f>
        <v>N/A</v>
      </c>
      <c r="J1352" s="97" t="str">
        <f>IFERROR(__xludf.DUMMYFUNCTION("""COMPUTED_VALUE"""),"N/A")</f>
        <v>N/A</v>
      </c>
      <c r="K1352" s="97" t="str">
        <f>IFERROR(__xludf.DUMMYFUNCTION("""COMPUTED_VALUE"""),"N/A")</f>
        <v>N/A</v>
      </c>
      <c r="L1352" s="97" t="str">
        <f>IFERROR(__xludf.DUMMYFUNCTION("""COMPUTED_VALUE"""),"200-240")</f>
        <v>200-240</v>
      </c>
      <c r="M1352" s="97" t="str">
        <f>IFERROR(__xludf.DUMMYFUNCTION("""COMPUTED_VALUE"""),"50/60")</f>
        <v>50/60</v>
      </c>
      <c r="N1352" s="97" t="str">
        <f>IFERROR(__xludf.DUMMYFUNCTION("""COMPUTED_VALUE"""),"Directa")</f>
        <v>Directa</v>
      </c>
      <c r="O1352" s="97">
        <f>IFERROR(__xludf.DUMMYFUNCTION("""COMPUTED_VALUE"""),7.0)</f>
        <v>7</v>
      </c>
      <c r="P1352" s="97">
        <f>IFERROR(__xludf.DUMMYFUNCTION("""COMPUTED_VALUE"""),7.1)</f>
        <v>7.1</v>
      </c>
      <c r="Q1352" s="97"/>
      <c r="R1352" s="97" t="str">
        <f>IFERROR(__xludf.DUMMYFUNCTION("""COMPUTED_VALUE"""),"-")</f>
        <v>-</v>
      </c>
      <c r="S1352" s="97" t="str">
        <f>IFERROR(__xludf.DUMMYFUNCTION("""COMPUTED_VALUE"""),"-")</f>
        <v>-</v>
      </c>
      <c r="T1352" s="97">
        <f>IFERROR(__xludf.DUMMYFUNCTION("""COMPUTED_VALUE"""),415.0)</f>
        <v>415</v>
      </c>
      <c r="U1352" s="99">
        <f>IFERROR(__xludf.DUMMYFUNCTION("""COMPUTED_VALUE"""),59.285714285714285)</f>
        <v>59.28571429</v>
      </c>
      <c r="V1352" s="97">
        <f>IFERROR(__xludf.DUMMYFUNCTION("""COMPUTED_VALUE"""),38.0)</f>
        <v>38</v>
      </c>
      <c r="W1352" s="97" t="str">
        <f>IFERROR(__xludf.DUMMYFUNCTION("""COMPUTED_VALUE"""),"&lt; 14")</f>
        <v>&lt; 14</v>
      </c>
      <c r="X1352" s="97" t="str">
        <f>IFERROR(__xludf.DUMMYFUNCTION("""COMPUTED_VALUE"""),"2700/3000")</f>
        <v>2700/3000</v>
      </c>
      <c r="Y1352" s="97" t="str">
        <f>IFERROR(__xludf.DUMMYFUNCTION("""COMPUTED_VALUE"""),"&gt;90")</f>
        <v>&gt;90</v>
      </c>
      <c r="Z1352" s="97" t="str">
        <f>IFERROR(__xludf.DUMMYFUNCTION("""COMPUTED_VALUE"""),"&gt;90")</f>
        <v>&gt;90</v>
      </c>
      <c r="AA1352" s="97" t="str">
        <f>IFERROR(__xludf.DUMMYFUNCTION("""COMPUTED_VALUE"""),"100 (Fidelidad neutra)")</f>
        <v>100 (Fidelidad neutra)</v>
      </c>
      <c r="AB1352" s="97" t="str">
        <f>IFERROR(__xludf.DUMMYFUNCTION("""COMPUTED_VALUE"""),"&lt; 3")</f>
        <v>&lt; 3</v>
      </c>
      <c r="AC1352" s="97">
        <f>IFERROR(__xludf.DUMMYFUNCTION("""COMPUTED_VALUE"""),0.0013)</f>
        <v>0.0013</v>
      </c>
      <c r="AD1352" s="97" t="str">
        <f>IFERROR(__xludf.DUMMYFUNCTION("""COMPUTED_VALUE"""),"IP20")</f>
        <v>IP20</v>
      </c>
      <c r="AE1352" s="97" t="str">
        <f>IFERROR(__xludf.DUMMYFUNCTION("""COMPUTED_VALUE"""),"Clase l")</f>
        <v>Clase l</v>
      </c>
      <c r="AF1352" s="97" t="str">
        <f>IFERROR(__xludf.DUMMYFUNCTION("""COMPUTED_VALUE"""),"Embutir")</f>
        <v>Embutir</v>
      </c>
      <c r="AG1352" s="97" t="str">
        <f>IFERROR(__xludf.DUMMYFUNCTION("""COMPUTED_VALUE"""),"52 x 52 x 40")</f>
        <v>52 x 52 x 40</v>
      </c>
      <c r="AH1352" s="97" t="str">
        <f>IFERROR(__xludf.DUMMYFUNCTION("""COMPUTED_VALUE"""),"48 x 48")</f>
        <v>48 x 48</v>
      </c>
      <c r="AI1352" s="97"/>
      <c r="AJ1352" s="97" t="str">
        <f>IFERROR(__xludf.DUMMYFUNCTION("""COMPUTED_VALUE"""),"Policarbonato (PC)")</f>
        <v>Policarbonato (PC)</v>
      </c>
      <c r="AK1352" s="97" t="str">
        <f>IFERROR(__xludf.DUMMYFUNCTION("""COMPUTED_VALUE"""),"Aluminio")</f>
        <v>Aluminio</v>
      </c>
      <c r="AL1352" s="97" t="str">
        <f>IFERROR(__xludf.DUMMYFUNCTION("""COMPUTED_VALUE"""),"Blanco y Negro")</f>
        <v>Blanco y Negro</v>
      </c>
      <c r="AM1352" s="97"/>
      <c r="AN1352" s="97" t="str">
        <f>IFERROR(__xludf.DUMMYFUNCTION("""COMPUTED_VALUE"""),"40.000hs (L70)")</f>
        <v>40.000hs (L70)</v>
      </c>
      <c r="AO1352" s="97" t="str">
        <f>IFERROR(__xludf.DUMMYFUNCTION("""COMPUTED_VALUE"""),"4 Años")</f>
        <v>4 Años</v>
      </c>
      <c r="AP1352" s="97" t="str">
        <f>IFERROR(__xludf.DUMMYFUNCTION("""COMPUTED_VALUE"""),"Falta")</f>
        <v>Falta</v>
      </c>
      <c r="AQ1352" s="97" t="str">
        <f>IFERROR(__xludf.DUMMYFUNCTION("""COMPUTED_VALUE"""),"Falta")</f>
        <v>Falta</v>
      </c>
      <c r="AR1352" s="97" t="str">
        <f>IFERROR(__xludf.DUMMYFUNCTION("""COMPUTED_VALUE"""),"En revisión")</f>
        <v>En revisión</v>
      </c>
      <c r="AS1352" s="97" t="str">
        <f>IFERROR(__xludf.DUMMYFUNCTION("""COMPUTED_VALUE"""),"Falta")</f>
        <v>Falta</v>
      </c>
      <c r="AT1352" s="97" t="str">
        <f>IFERROR(__xludf.DUMMYFUNCTION("""COMPUTED_VALUE"""),"Falta")</f>
        <v>Falta</v>
      </c>
      <c r="AU1352" s="97" t="str">
        <f>IFERROR(__xludf.DUMMYFUNCTION("""COMPUTED_VALUE"""),"Falta")</f>
        <v>Falta</v>
      </c>
      <c r="AV1352" s="97" t="str">
        <f>IFERROR(__xludf.DUMMYFUNCTION("""COMPUTED_VALUE"""),"Empotrable")</f>
        <v>Empotrable</v>
      </c>
      <c r="AW1352" s="97" t="str">
        <f>IFERROR(__xludf.DUMMYFUNCTION("""COMPUTED_VALUE"""),"De Techo")</f>
        <v>De Techo</v>
      </c>
      <c r="AX1352" s="97" t="str">
        <f>IFERROR(__xludf.DUMMYFUNCTION("""COMPUTED_VALUE"""),"Interior")</f>
        <v>Interior</v>
      </c>
      <c r="AY1352" s="97" t="str">
        <f>IFERROR(__xludf.DUMMYFUNCTION("""COMPUTED_VALUE"""),"Pocket")</f>
        <v>Pocket</v>
      </c>
      <c r="AZ1352" s="97"/>
      <c r="BA1352" s="97"/>
      <c r="BB1352" s="97"/>
      <c r="BC1352" s="97"/>
      <c r="BD1352" s="97"/>
      <c r="BE1352" s="97" t="str">
        <f>IFERROR(__xludf.DUMMYFUNCTION("""COMPUTED_VALUE"""),"Sin Ficha")</f>
        <v>Sin Ficha</v>
      </c>
      <c r="BF1352" s="97"/>
      <c r="BG1352" s="97" t="str">
        <f>IFERROR(__xludf.DUMMYFUNCTION("""COMPUTED_VALUE"""),"REPO 7")</f>
        <v>REPO 7</v>
      </c>
    </row>
    <row r="1353">
      <c r="A1353" s="97">
        <f>IFERROR(__xludf.DUMMYFUNCTION("""COMPUTED_VALUE"""),7453.0)</f>
        <v>7453</v>
      </c>
      <c r="B1353" s="97" t="str">
        <f>IFERROR(__xludf.DUMMYFUNCTION("""COMPUTED_VALUE"""),"POCKET MODULO IV NGNG 2CCT")</f>
        <v>POCKET MODULO IV NGNG 2CCT</v>
      </c>
      <c r="C1353" s="97" t="str">
        <f>IFERROR(__xludf.DUMMYFUNCTION("""COMPUTED_VALUE"""),"EMPOTRABLE POCKET MODULO IV NGNG 2CCT 7W 2700/3000K 415LM CRI&gt;90 IP20 LEUK")</f>
        <v>EMPOTRABLE POCKET MODULO IV NGNG 2CCT 7W 2700/3000K 415LM CRI&gt;90 IP20 LEUK</v>
      </c>
      <c r="D1353" s="97">
        <f>IFERROR(__xludf.DUMMYFUNCTION("""COMPUTED_VALUE"""),7.798413229264E12)</f>
        <v>7798413229264</v>
      </c>
      <c r="E1353" s="97" t="str">
        <f>IFERROR(__xludf.DUMMYFUNCTION("""COMPUTED_VALUE"""),"F75")</f>
        <v>F75</v>
      </c>
      <c r="F1353" s="97" t="str">
        <f>IFERROR(__xludf.DUMMYFUNCTION("""COMPUTED_VALUE"""),"LED SMD")</f>
        <v>LED SMD</v>
      </c>
      <c r="G1353" s="97" t="str">
        <f>IFERROR(__xludf.DUMMYFUNCTION("""COMPUTED_VALUE"""),"-")</f>
        <v>-</v>
      </c>
      <c r="H1353" s="97" t="str">
        <f>IFERROR(__xludf.DUMMYFUNCTION("""COMPUTED_VALUE"""),"N/A")</f>
        <v>N/A</v>
      </c>
      <c r="I1353" s="97" t="str">
        <f>IFERROR(__xludf.DUMMYFUNCTION("""COMPUTED_VALUE"""),"N/A")</f>
        <v>N/A</v>
      </c>
      <c r="J1353" s="97" t="str">
        <f>IFERROR(__xludf.DUMMYFUNCTION("""COMPUTED_VALUE"""),"N/A")</f>
        <v>N/A</v>
      </c>
      <c r="K1353" s="97" t="str">
        <f>IFERROR(__xludf.DUMMYFUNCTION("""COMPUTED_VALUE"""),"N/A")</f>
        <v>N/A</v>
      </c>
      <c r="L1353" s="97" t="str">
        <f>IFERROR(__xludf.DUMMYFUNCTION("""COMPUTED_VALUE"""),"200-240")</f>
        <v>200-240</v>
      </c>
      <c r="M1353" s="97" t="str">
        <f>IFERROR(__xludf.DUMMYFUNCTION("""COMPUTED_VALUE"""),"50/60")</f>
        <v>50/60</v>
      </c>
      <c r="N1353" s="97" t="str">
        <f>IFERROR(__xludf.DUMMYFUNCTION("""COMPUTED_VALUE"""),"Directa")</f>
        <v>Directa</v>
      </c>
      <c r="O1353" s="97">
        <f>IFERROR(__xludf.DUMMYFUNCTION("""COMPUTED_VALUE"""),7.0)</f>
        <v>7</v>
      </c>
      <c r="P1353" s="97">
        <f>IFERROR(__xludf.DUMMYFUNCTION("""COMPUTED_VALUE"""),7.1)</f>
        <v>7.1</v>
      </c>
      <c r="Q1353" s="97"/>
      <c r="R1353" s="97" t="str">
        <f>IFERROR(__xludf.DUMMYFUNCTION("""COMPUTED_VALUE"""),"-")</f>
        <v>-</v>
      </c>
      <c r="S1353" s="97" t="str">
        <f>IFERROR(__xludf.DUMMYFUNCTION("""COMPUTED_VALUE"""),"-")</f>
        <v>-</v>
      </c>
      <c r="T1353" s="97">
        <f>IFERROR(__xludf.DUMMYFUNCTION("""COMPUTED_VALUE"""),415.0)</f>
        <v>415</v>
      </c>
      <c r="U1353" s="99">
        <f>IFERROR(__xludf.DUMMYFUNCTION("""COMPUTED_VALUE"""),59.285714285714285)</f>
        <v>59.28571429</v>
      </c>
      <c r="V1353" s="97">
        <f>IFERROR(__xludf.DUMMYFUNCTION("""COMPUTED_VALUE"""),38.0)</f>
        <v>38</v>
      </c>
      <c r="W1353" s="97" t="str">
        <f>IFERROR(__xludf.DUMMYFUNCTION("""COMPUTED_VALUE"""),"&lt; 14")</f>
        <v>&lt; 14</v>
      </c>
      <c r="X1353" s="97" t="str">
        <f>IFERROR(__xludf.DUMMYFUNCTION("""COMPUTED_VALUE"""),"2700/3000")</f>
        <v>2700/3000</v>
      </c>
      <c r="Y1353" s="97" t="str">
        <f>IFERROR(__xludf.DUMMYFUNCTION("""COMPUTED_VALUE"""),"&gt;90")</f>
        <v>&gt;90</v>
      </c>
      <c r="Z1353" s="97" t="str">
        <f>IFERROR(__xludf.DUMMYFUNCTION("""COMPUTED_VALUE"""),"&gt;90")</f>
        <v>&gt;90</v>
      </c>
      <c r="AA1353" s="97" t="str">
        <f>IFERROR(__xludf.DUMMYFUNCTION("""COMPUTED_VALUE"""),"100 (Fidelidad neutra)")</f>
        <v>100 (Fidelidad neutra)</v>
      </c>
      <c r="AB1353" s="97" t="str">
        <f>IFERROR(__xludf.DUMMYFUNCTION("""COMPUTED_VALUE"""),"&lt; 3")</f>
        <v>&lt; 3</v>
      </c>
      <c r="AC1353" s="97">
        <f>IFERROR(__xludf.DUMMYFUNCTION("""COMPUTED_VALUE"""),0.002)</f>
        <v>0.002</v>
      </c>
      <c r="AD1353" s="97" t="str">
        <f>IFERROR(__xludf.DUMMYFUNCTION("""COMPUTED_VALUE"""),"IP20")</f>
        <v>IP20</v>
      </c>
      <c r="AE1353" s="97" t="str">
        <f>IFERROR(__xludf.DUMMYFUNCTION("""COMPUTED_VALUE"""),"Clase l")</f>
        <v>Clase l</v>
      </c>
      <c r="AF1353" s="97" t="str">
        <f>IFERROR(__xludf.DUMMYFUNCTION("""COMPUTED_VALUE"""),"Embutir")</f>
        <v>Embutir</v>
      </c>
      <c r="AG1353" s="97" t="str">
        <f>IFERROR(__xludf.DUMMYFUNCTION("""COMPUTED_VALUE"""),"52 x 52 x 40")</f>
        <v>52 x 52 x 40</v>
      </c>
      <c r="AH1353" s="97" t="str">
        <f>IFERROR(__xludf.DUMMYFUNCTION("""COMPUTED_VALUE"""),"48 x 48")</f>
        <v>48 x 48</v>
      </c>
      <c r="AI1353" s="97"/>
      <c r="AJ1353" s="97" t="str">
        <f>IFERROR(__xludf.DUMMYFUNCTION("""COMPUTED_VALUE"""),"Policarbonato (PC)")</f>
        <v>Policarbonato (PC)</v>
      </c>
      <c r="AK1353" s="97" t="str">
        <f>IFERROR(__xludf.DUMMYFUNCTION("""COMPUTED_VALUE"""),"Aluminio")</f>
        <v>Aluminio</v>
      </c>
      <c r="AL1353" s="97" t="str">
        <f>IFERROR(__xludf.DUMMYFUNCTION("""COMPUTED_VALUE"""),"Negro Satinado")</f>
        <v>Negro Satinado</v>
      </c>
      <c r="AM1353" s="97"/>
      <c r="AN1353" s="97" t="str">
        <f>IFERROR(__xludf.DUMMYFUNCTION("""COMPUTED_VALUE"""),"40.000hs (L70)")</f>
        <v>40.000hs (L70)</v>
      </c>
      <c r="AO1353" s="97" t="str">
        <f>IFERROR(__xludf.DUMMYFUNCTION("""COMPUTED_VALUE"""),"4 Años")</f>
        <v>4 Años</v>
      </c>
      <c r="AP1353" s="97" t="str">
        <f>IFERROR(__xludf.DUMMYFUNCTION("""COMPUTED_VALUE"""),"Falta")</f>
        <v>Falta</v>
      </c>
      <c r="AQ1353" s="97" t="str">
        <f>IFERROR(__xludf.DUMMYFUNCTION("""COMPUTED_VALUE"""),"Falta")</f>
        <v>Falta</v>
      </c>
      <c r="AR1353" s="97" t="str">
        <f>IFERROR(__xludf.DUMMYFUNCTION("""COMPUTED_VALUE"""),"En revisión")</f>
        <v>En revisión</v>
      </c>
      <c r="AS1353" s="97" t="str">
        <f>IFERROR(__xludf.DUMMYFUNCTION("""COMPUTED_VALUE"""),"Falta")</f>
        <v>Falta</v>
      </c>
      <c r="AT1353" s="97" t="str">
        <f>IFERROR(__xludf.DUMMYFUNCTION("""COMPUTED_VALUE"""),"Falta")</f>
        <v>Falta</v>
      </c>
      <c r="AU1353" s="97" t="str">
        <f>IFERROR(__xludf.DUMMYFUNCTION("""COMPUTED_VALUE"""),"Falta")</f>
        <v>Falta</v>
      </c>
      <c r="AV1353" s="97" t="str">
        <f>IFERROR(__xludf.DUMMYFUNCTION("""COMPUTED_VALUE"""),"Empotrable")</f>
        <v>Empotrable</v>
      </c>
      <c r="AW1353" s="97" t="str">
        <f>IFERROR(__xludf.DUMMYFUNCTION("""COMPUTED_VALUE"""),"De Techo")</f>
        <v>De Techo</v>
      </c>
      <c r="AX1353" s="97" t="str">
        <f>IFERROR(__xludf.DUMMYFUNCTION("""COMPUTED_VALUE"""),"Interior")</f>
        <v>Interior</v>
      </c>
      <c r="AY1353" s="97" t="str">
        <f>IFERROR(__xludf.DUMMYFUNCTION("""COMPUTED_VALUE"""),"Pocket")</f>
        <v>Pocket</v>
      </c>
      <c r="AZ1353" s="97"/>
      <c r="BA1353" s="97"/>
      <c r="BB1353" s="97"/>
      <c r="BC1353" s="97"/>
      <c r="BD1353" s="97"/>
      <c r="BE1353" s="97" t="str">
        <f>IFERROR(__xludf.DUMMYFUNCTION("""COMPUTED_VALUE"""),"Sin Ficha")</f>
        <v>Sin Ficha</v>
      </c>
      <c r="BF1353" s="97"/>
      <c r="BG1353" s="97" t="str">
        <f>IFERROR(__xludf.DUMMYFUNCTION("""COMPUTED_VALUE"""),"REPO 7")</f>
        <v>REPO 7</v>
      </c>
    </row>
    <row r="1354">
      <c r="A1354" s="97">
        <f>IFERROR(__xludf.DUMMYFUNCTION("""COMPUTED_VALUE"""),7454.0)</f>
        <v>7454</v>
      </c>
      <c r="B1354" s="97" t="str">
        <f>IFERROR(__xludf.DUMMYFUNCTION("""COMPUTED_VALUE"""),"POCKET IV AP BLBL 2700k")</f>
        <v>POCKET IV AP BLBL 2700k</v>
      </c>
      <c r="C1354" s="97" t="str">
        <f>IFERROR(__xludf.DUMMYFUNCTION("""COMPUTED_VALUE"""),"APLIQUE POCKET IV AP BLBL 2700K 7W 2700K LM CRI&gt;90 IP20 LEUK")</f>
        <v>APLIQUE POCKET IV AP BLBL 2700K 7W 2700K LM CRI&gt;90 IP20 LEUK</v>
      </c>
      <c r="D1354" s="97">
        <f>IFERROR(__xludf.DUMMYFUNCTION("""COMPUTED_VALUE"""),7.798413229271E12)</f>
        <v>7798413229271</v>
      </c>
      <c r="E1354" s="97" t="str">
        <f>IFERROR(__xludf.DUMMYFUNCTION("""COMPUTED_VALUE"""),"F75")</f>
        <v>F75</v>
      </c>
      <c r="F1354" s="97" t="str">
        <f>IFERROR(__xludf.DUMMYFUNCTION("""COMPUTED_VALUE"""),"LED SMD")</f>
        <v>LED SMD</v>
      </c>
      <c r="G1354" s="97" t="str">
        <f>IFERROR(__xludf.DUMMYFUNCTION("""COMPUTED_VALUE"""),"Bridgelux")</f>
        <v>Bridgelux</v>
      </c>
      <c r="H1354" s="97" t="str">
        <f>IFERROR(__xludf.DUMMYFUNCTION("""COMPUTED_VALUE"""),"-")</f>
        <v>-</v>
      </c>
      <c r="I1354" s="97"/>
      <c r="J1354" s="97"/>
      <c r="K1354" s="97" t="str">
        <f>IFERROR(__xludf.DUMMYFUNCTION("""COMPUTED_VALUE"""),"ON/OFF")</f>
        <v>ON/OFF</v>
      </c>
      <c r="L1354" s="97" t="str">
        <f>IFERROR(__xludf.DUMMYFUNCTION("""COMPUTED_VALUE"""),"200-240")</f>
        <v>200-240</v>
      </c>
      <c r="M1354" s="97" t="str">
        <f>IFERROR(__xludf.DUMMYFUNCTION("""COMPUTED_VALUE"""),"50/60")</f>
        <v>50/60</v>
      </c>
      <c r="N1354" s="97" t="str">
        <f>IFERROR(__xludf.DUMMYFUNCTION("""COMPUTED_VALUE"""),"Directa")</f>
        <v>Directa</v>
      </c>
      <c r="O1354" s="97">
        <f>IFERROR(__xludf.DUMMYFUNCTION("""COMPUTED_VALUE"""),7.0)</f>
        <v>7</v>
      </c>
      <c r="P1354" s="97"/>
      <c r="Q1354" s="97">
        <f>IFERROR(__xludf.DUMMYFUNCTION("""COMPUTED_VALUE"""),0.5)</f>
        <v>0.5</v>
      </c>
      <c r="R1354" s="97" t="str">
        <f>IFERROR(__xludf.DUMMYFUNCTION("""COMPUTED_VALUE"""),"-")</f>
        <v>-</v>
      </c>
      <c r="S1354" s="97" t="str">
        <f>IFERROR(__xludf.DUMMYFUNCTION("""COMPUTED_VALUE"""),"-")</f>
        <v>-</v>
      </c>
      <c r="T1354" s="97"/>
      <c r="U1354" s="99">
        <f>IFERROR(__xludf.DUMMYFUNCTION("""COMPUTED_VALUE"""),0.0)</f>
        <v>0</v>
      </c>
      <c r="V1354" s="97">
        <f>IFERROR(__xludf.DUMMYFUNCTION("""COMPUTED_VALUE"""),36.0)</f>
        <v>36</v>
      </c>
      <c r="W1354" s="97" t="str">
        <f>IFERROR(__xludf.DUMMYFUNCTION("""COMPUTED_VALUE"""),"&lt; 16")</f>
        <v>&lt; 16</v>
      </c>
      <c r="X1354" s="97">
        <f>IFERROR(__xludf.DUMMYFUNCTION("""COMPUTED_VALUE"""),2700.0)</f>
        <v>2700</v>
      </c>
      <c r="Y1354" s="97" t="str">
        <f>IFERROR(__xludf.DUMMYFUNCTION("""COMPUTED_VALUE"""),"&gt;90")</f>
        <v>&gt;90</v>
      </c>
      <c r="Z1354" s="97" t="str">
        <f>IFERROR(__xludf.DUMMYFUNCTION("""COMPUTED_VALUE"""),"&gt;90")</f>
        <v>&gt;90</v>
      </c>
      <c r="AA1354" s="97" t="str">
        <f>IFERROR(__xludf.DUMMYFUNCTION("""COMPUTED_VALUE"""),"100 (Fidelidad neutra)")</f>
        <v>100 (Fidelidad neutra)</v>
      </c>
      <c r="AB1354" s="97" t="str">
        <f>IFERROR(__xludf.DUMMYFUNCTION("""COMPUTED_VALUE"""),"&lt; 3")</f>
        <v>&lt; 3</v>
      </c>
      <c r="AC1354" s="100" t="str">
        <f>IFERROR(__xludf.DUMMYFUNCTION("""COMPUTED_VALUE"""),"-0,0016")</f>
        <v>-0,0016</v>
      </c>
      <c r="AD1354" s="97" t="str">
        <f>IFERROR(__xludf.DUMMYFUNCTION("""COMPUTED_VALUE"""),"IP20")</f>
        <v>IP20</v>
      </c>
      <c r="AE1354" s="97" t="str">
        <f>IFERROR(__xludf.DUMMYFUNCTION("""COMPUTED_VALUE"""),"Clase l")</f>
        <v>Clase l</v>
      </c>
      <c r="AF1354" s="97" t="str">
        <f>IFERROR(__xludf.DUMMYFUNCTION("""COMPUTED_VALUE"""),"Aplicar")</f>
        <v>Aplicar</v>
      </c>
      <c r="AG1354" s="97" t="str">
        <f>IFERROR(__xludf.DUMMYFUNCTION("""COMPUTED_VALUE"""),"45.5 x 45.55 x 44")</f>
        <v>45.5 x 45.55 x 44</v>
      </c>
      <c r="AH1354" s="97" t="str">
        <f>IFERROR(__xludf.DUMMYFUNCTION("""COMPUTED_VALUE"""),"N/A")</f>
        <v>N/A</v>
      </c>
      <c r="AI1354" s="97" t="str">
        <f>IFERROR(__xludf.DUMMYFUNCTION("""COMPUTED_VALUE"""),"N/A")</f>
        <v>N/A</v>
      </c>
      <c r="AJ1354" s="97" t="str">
        <f>IFERROR(__xludf.DUMMYFUNCTION("""COMPUTED_VALUE"""),"Policarbonato (PC)")</f>
        <v>Policarbonato (PC)</v>
      </c>
      <c r="AK1354" s="97" t="str">
        <f>IFERROR(__xludf.DUMMYFUNCTION("""COMPUTED_VALUE"""),"Aluminio")</f>
        <v>Aluminio</v>
      </c>
      <c r="AL1354" s="97" t="str">
        <f>IFERROR(__xludf.DUMMYFUNCTION("""COMPUTED_VALUE"""),"Blanco Satinado")</f>
        <v>Blanco Satinado</v>
      </c>
      <c r="AM1354" s="97" t="str">
        <f>IFERROR(__xludf.DUMMYFUNCTION("""COMPUTED_VALUE"""),"-")</f>
        <v>-</v>
      </c>
      <c r="AN1354" s="97" t="str">
        <f>IFERROR(__xludf.DUMMYFUNCTION("""COMPUTED_VALUE"""),"40.000hs (L70)")</f>
        <v>40.000hs (L70)</v>
      </c>
      <c r="AO1354" s="97" t="str">
        <f>IFERROR(__xludf.DUMMYFUNCTION("""COMPUTED_VALUE"""),"4 Años")</f>
        <v>4 Años</v>
      </c>
      <c r="AP1354" s="97" t="str">
        <f>IFERROR(__xludf.DUMMYFUNCTION("""COMPUTED_VALUE"""),"Falta")</f>
        <v>Falta</v>
      </c>
      <c r="AQ1354" s="97" t="str">
        <f>IFERROR(__xludf.DUMMYFUNCTION("""COMPUTED_VALUE"""),"Falta")</f>
        <v>Falta</v>
      </c>
      <c r="AR1354" s="97" t="str">
        <f>IFERROR(__xludf.DUMMYFUNCTION("""COMPUTED_VALUE"""),"Falta")</f>
        <v>Falta</v>
      </c>
      <c r="AS1354" s="97" t="str">
        <f>IFERROR(__xludf.DUMMYFUNCTION("""COMPUTED_VALUE"""),"Falta")</f>
        <v>Falta</v>
      </c>
      <c r="AT1354" s="97" t="str">
        <f>IFERROR(__xludf.DUMMYFUNCTION("""COMPUTED_VALUE"""),"Falta")</f>
        <v>Falta</v>
      </c>
      <c r="AU1354" s="97" t="str">
        <f>IFERROR(__xludf.DUMMYFUNCTION("""COMPUTED_VALUE"""),"Falta")</f>
        <v>Falta</v>
      </c>
      <c r="AV1354" s="97" t="str">
        <f>IFERROR(__xludf.DUMMYFUNCTION("""COMPUTED_VALUE"""),"Aplique")</f>
        <v>Aplique</v>
      </c>
      <c r="AW1354" s="97" t="str">
        <f>IFERROR(__xludf.DUMMYFUNCTION("""COMPUTED_VALUE"""),"De Techo")</f>
        <v>De Techo</v>
      </c>
      <c r="AX1354" s="97" t="str">
        <f>IFERROR(__xludf.DUMMYFUNCTION("""COMPUTED_VALUE"""),"Interior")</f>
        <v>Interior</v>
      </c>
      <c r="AY1354" s="97" t="str">
        <f>IFERROR(__xludf.DUMMYFUNCTION("""COMPUTED_VALUE"""),"Pocket")</f>
        <v>Pocket</v>
      </c>
      <c r="AZ1354" s="97" t="str">
        <f>IFERROR(__xludf.DUMMYFUNCTION("""COMPUTED_VALUE"""),"Driver dentro de la luminaria.")</f>
        <v>Driver dentro de la luminaria.</v>
      </c>
      <c r="BA1354" s="97"/>
      <c r="BB1354" s="97"/>
      <c r="BC1354" s="97"/>
      <c r="BD1354" s="97" t="str">
        <f>IFERROR(__xludf.DUMMYFUNCTION("""COMPUTED_VALUE"""),"POCKET IV AP")</f>
        <v>POCKET IV AP</v>
      </c>
      <c r="BE1354" s="97" t="str">
        <f>IFERROR(__xludf.DUMMYFUNCTION("""COMPUTED_VALUE"""),"Solicitada")</f>
        <v>Solicitada</v>
      </c>
      <c r="BF1354" s="97"/>
      <c r="BG1354" s="97" t="str">
        <f>IFERROR(__xludf.DUMMYFUNCTION("""COMPUTED_VALUE"""),"REPO 7")</f>
        <v>REPO 7</v>
      </c>
    </row>
    <row r="1355">
      <c r="A1355" s="97">
        <f>IFERROR(__xludf.DUMMYFUNCTION("""COMPUTED_VALUE"""),7455.0)</f>
        <v>7455</v>
      </c>
      <c r="B1355" s="97" t="str">
        <f>IFERROR(__xludf.DUMMYFUNCTION("""COMPUTED_VALUE"""),"POCKET IV AP BLBL 3000k")</f>
        <v>POCKET IV AP BLBL 3000k</v>
      </c>
      <c r="C1355" s="97" t="str">
        <f>IFERROR(__xludf.DUMMYFUNCTION("""COMPUTED_VALUE"""),"APLIQUE POCKET IV AP BLBL 3000K 7W 3000K LM CRI&gt;90 IP20 LEUK")</f>
        <v>APLIQUE POCKET IV AP BLBL 3000K 7W 3000K LM CRI&gt;90 IP20 LEUK</v>
      </c>
      <c r="D1355" s="97">
        <f>IFERROR(__xludf.DUMMYFUNCTION("""COMPUTED_VALUE"""),7.798413229288E12)</f>
        <v>7798413229288</v>
      </c>
      <c r="E1355" s="97" t="str">
        <f>IFERROR(__xludf.DUMMYFUNCTION("""COMPUTED_VALUE"""),"F75")</f>
        <v>F75</v>
      </c>
      <c r="F1355" s="97" t="str">
        <f>IFERROR(__xludf.DUMMYFUNCTION("""COMPUTED_VALUE"""),"LED SMD")</f>
        <v>LED SMD</v>
      </c>
      <c r="G1355" s="97" t="str">
        <f>IFERROR(__xludf.DUMMYFUNCTION("""COMPUTED_VALUE"""),"Bridgelux")</f>
        <v>Bridgelux</v>
      </c>
      <c r="H1355" s="97" t="str">
        <f>IFERROR(__xludf.DUMMYFUNCTION("""COMPUTED_VALUE"""),"-")</f>
        <v>-</v>
      </c>
      <c r="I1355" s="97"/>
      <c r="J1355" s="97"/>
      <c r="K1355" s="97" t="str">
        <f>IFERROR(__xludf.DUMMYFUNCTION("""COMPUTED_VALUE"""),"ON/OFF")</f>
        <v>ON/OFF</v>
      </c>
      <c r="L1355" s="97" t="str">
        <f>IFERROR(__xludf.DUMMYFUNCTION("""COMPUTED_VALUE"""),"200-240")</f>
        <v>200-240</v>
      </c>
      <c r="M1355" s="97" t="str">
        <f>IFERROR(__xludf.DUMMYFUNCTION("""COMPUTED_VALUE"""),"50/60")</f>
        <v>50/60</v>
      </c>
      <c r="N1355" s="97" t="str">
        <f>IFERROR(__xludf.DUMMYFUNCTION("""COMPUTED_VALUE"""),"Directa")</f>
        <v>Directa</v>
      </c>
      <c r="O1355" s="97">
        <f>IFERROR(__xludf.DUMMYFUNCTION("""COMPUTED_VALUE"""),7.0)</f>
        <v>7</v>
      </c>
      <c r="P1355" s="97"/>
      <c r="Q1355" s="97">
        <f>IFERROR(__xludf.DUMMYFUNCTION("""COMPUTED_VALUE"""),0.5)</f>
        <v>0.5</v>
      </c>
      <c r="R1355" s="97" t="str">
        <f>IFERROR(__xludf.DUMMYFUNCTION("""COMPUTED_VALUE"""),"-")</f>
        <v>-</v>
      </c>
      <c r="S1355" s="97" t="str">
        <f>IFERROR(__xludf.DUMMYFUNCTION("""COMPUTED_VALUE"""),"-")</f>
        <v>-</v>
      </c>
      <c r="T1355" s="97"/>
      <c r="U1355" s="99">
        <f>IFERROR(__xludf.DUMMYFUNCTION("""COMPUTED_VALUE"""),0.0)</f>
        <v>0</v>
      </c>
      <c r="V1355" s="97">
        <f>IFERROR(__xludf.DUMMYFUNCTION("""COMPUTED_VALUE"""),36.0)</f>
        <v>36</v>
      </c>
      <c r="W1355" s="97" t="str">
        <f>IFERROR(__xludf.DUMMYFUNCTION("""COMPUTED_VALUE"""),"&lt; 16")</f>
        <v>&lt; 16</v>
      </c>
      <c r="X1355" s="97">
        <f>IFERROR(__xludf.DUMMYFUNCTION("""COMPUTED_VALUE"""),3000.0)</f>
        <v>3000</v>
      </c>
      <c r="Y1355" s="97" t="str">
        <f>IFERROR(__xludf.DUMMYFUNCTION("""COMPUTED_VALUE"""),"&gt;90")</f>
        <v>&gt;90</v>
      </c>
      <c r="Z1355" s="97" t="str">
        <f>IFERROR(__xludf.DUMMYFUNCTION("""COMPUTED_VALUE"""),"&gt;90")</f>
        <v>&gt;90</v>
      </c>
      <c r="AA1355" s="97" t="str">
        <f>IFERROR(__xludf.DUMMYFUNCTION("""COMPUTED_VALUE"""),"100 (Fidelidad neutra)")</f>
        <v>100 (Fidelidad neutra)</v>
      </c>
      <c r="AB1355" s="97" t="str">
        <f>IFERROR(__xludf.DUMMYFUNCTION("""COMPUTED_VALUE"""),"&lt; 3")</f>
        <v>&lt; 3</v>
      </c>
      <c r="AC1355" s="100" t="str">
        <f>IFERROR(__xludf.DUMMYFUNCTION("""COMPUTED_VALUE"""),"0,0003")</f>
        <v>0,0003</v>
      </c>
      <c r="AD1355" s="97" t="str">
        <f>IFERROR(__xludf.DUMMYFUNCTION("""COMPUTED_VALUE"""),"IP20")</f>
        <v>IP20</v>
      </c>
      <c r="AE1355" s="97" t="str">
        <f>IFERROR(__xludf.DUMMYFUNCTION("""COMPUTED_VALUE"""),"Clase l")</f>
        <v>Clase l</v>
      </c>
      <c r="AF1355" s="97" t="str">
        <f>IFERROR(__xludf.DUMMYFUNCTION("""COMPUTED_VALUE"""),"Aplicar")</f>
        <v>Aplicar</v>
      </c>
      <c r="AG1355" s="97" t="str">
        <f>IFERROR(__xludf.DUMMYFUNCTION("""COMPUTED_VALUE"""),"45.5 x 45.55 x 44")</f>
        <v>45.5 x 45.55 x 44</v>
      </c>
      <c r="AH1355" s="97" t="str">
        <f>IFERROR(__xludf.DUMMYFUNCTION("""COMPUTED_VALUE"""),"N/A")</f>
        <v>N/A</v>
      </c>
      <c r="AI1355" s="97" t="str">
        <f>IFERROR(__xludf.DUMMYFUNCTION("""COMPUTED_VALUE"""),"N/A")</f>
        <v>N/A</v>
      </c>
      <c r="AJ1355" s="97" t="str">
        <f>IFERROR(__xludf.DUMMYFUNCTION("""COMPUTED_VALUE"""),"Policarbonato (PC)")</f>
        <v>Policarbonato (PC)</v>
      </c>
      <c r="AK1355" s="97" t="str">
        <f>IFERROR(__xludf.DUMMYFUNCTION("""COMPUTED_VALUE"""),"Aluminio")</f>
        <v>Aluminio</v>
      </c>
      <c r="AL1355" s="97" t="str">
        <f>IFERROR(__xludf.DUMMYFUNCTION("""COMPUTED_VALUE"""),"Blanco Satinado")</f>
        <v>Blanco Satinado</v>
      </c>
      <c r="AM1355" s="97" t="str">
        <f>IFERROR(__xludf.DUMMYFUNCTION("""COMPUTED_VALUE"""),"-")</f>
        <v>-</v>
      </c>
      <c r="AN1355" s="97" t="str">
        <f>IFERROR(__xludf.DUMMYFUNCTION("""COMPUTED_VALUE"""),"40.000hs (L70)")</f>
        <v>40.000hs (L70)</v>
      </c>
      <c r="AO1355" s="97" t="str">
        <f>IFERROR(__xludf.DUMMYFUNCTION("""COMPUTED_VALUE"""),"4 Años")</f>
        <v>4 Años</v>
      </c>
      <c r="AP1355" s="97" t="str">
        <f>IFERROR(__xludf.DUMMYFUNCTION("""COMPUTED_VALUE"""),"Falta")</f>
        <v>Falta</v>
      </c>
      <c r="AQ1355" s="97" t="str">
        <f>IFERROR(__xludf.DUMMYFUNCTION("""COMPUTED_VALUE"""),"Falta")</f>
        <v>Falta</v>
      </c>
      <c r="AR1355" s="97" t="str">
        <f>IFERROR(__xludf.DUMMYFUNCTION("""COMPUTED_VALUE"""),"Falta")</f>
        <v>Falta</v>
      </c>
      <c r="AS1355" s="97" t="str">
        <f>IFERROR(__xludf.DUMMYFUNCTION("""COMPUTED_VALUE"""),"Falta")</f>
        <v>Falta</v>
      </c>
      <c r="AT1355" s="97" t="str">
        <f>IFERROR(__xludf.DUMMYFUNCTION("""COMPUTED_VALUE"""),"Falta")</f>
        <v>Falta</v>
      </c>
      <c r="AU1355" s="97" t="str">
        <f>IFERROR(__xludf.DUMMYFUNCTION("""COMPUTED_VALUE"""),"Falta")</f>
        <v>Falta</v>
      </c>
      <c r="AV1355" s="97" t="str">
        <f>IFERROR(__xludf.DUMMYFUNCTION("""COMPUTED_VALUE"""),"Aplique")</f>
        <v>Aplique</v>
      </c>
      <c r="AW1355" s="97" t="str">
        <f>IFERROR(__xludf.DUMMYFUNCTION("""COMPUTED_VALUE"""),"De Techo")</f>
        <v>De Techo</v>
      </c>
      <c r="AX1355" s="97" t="str">
        <f>IFERROR(__xludf.DUMMYFUNCTION("""COMPUTED_VALUE"""),"Interior")</f>
        <v>Interior</v>
      </c>
      <c r="AY1355" s="97" t="str">
        <f>IFERROR(__xludf.DUMMYFUNCTION("""COMPUTED_VALUE"""),"Pocket")</f>
        <v>Pocket</v>
      </c>
      <c r="AZ1355" s="97" t="str">
        <f>IFERROR(__xludf.DUMMYFUNCTION("""COMPUTED_VALUE"""),"Driver dentro de la luminaria.")</f>
        <v>Driver dentro de la luminaria.</v>
      </c>
      <c r="BA1355" s="97"/>
      <c r="BB1355" s="97"/>
      <c r="BC1355" s="97"/>
      <c r="BD1355" s="97" t="str">
        <f>IFERROR(__xludf.DUMMYFUNCTION("""COMPUTED_VALUE"""),"POCKET IV AP")</f>
        <v>POCKET IV AP</v>
      </c>
      <c r="BE1355" s="97" t="str">
        <f>IFERROR(__xludf.DUMMYFUNCTION("""COMPUTED_VALUE"""),"Solicitada")</f>
        <v>Solicitada</v>
      </c>
      <c r="BF1355" s="97"/>
      <c r="BG1355" s="97" t="str">
        <f>IFERROR(__xludf.DUMMYFUNCTION("""COMPUTED_VALUE"""),"REPO 7")</f>
        <v>REPO 7</v>
      </c>
    </row>
    <row r="1356">
      <c r="A1356" s="97">
        <f>IFERROR(__xludf.DUMMYFUNCTION("""COMPUTED_VALUE"""),7456.0)</f>
        <v>7456</v>
      </c>
      <c r="B1356" s="97" t="str">
        <f>IFERROR(__xludf.DUMMYFUNCTION("""COMPUTED_VALUE"""),"POCKET IV AP BLNG 2700k")</f>
        <v>POCKET IV AP BLNG 2700k</v>
      </c>
      <c r="C1356" s="97" t="str">
        <f>IFERROR(__xludf.DUMMYFUNCTION("""COMPUTED_VALUE"""),"APLIQUE POCKET IV AP BLNG 2700K 7W 2700K LM CRI&gt;90 IP20 LEUK")</f>
        <v>APLIQUE POCKET IV AP BLNG 2700K 7W 2700K LM CRI&gt;90 IP20 LEUK</v>
      </c>
      <c r="D1356" s="97">
        <f>IFERROR(__xludf.DUMMYFUNCTION("""COMPUTED_VALUE"""),7.798413229295E12)</f>
        <v>7798413229295</v>
      </c>
      <c r="E1356" s="97" t="str">
        <f>IFERROR(__xludf.DUMMYFUNCTION("""COMPUTED_VALUE"""),"F75")</f>
        <v>F75</v>
      </c>
      <c r="F1356" s="97" t="str">
        <f>IFERROR(__xludf.DUMMYFUNCTION("""COMPUTED_VALUE"""),"LED SMD")</f>
        <v>LED SMD</v>
      </c>
      <c r="G1356" s="97" t="str">
        <f>IFERROR(__xludf.DUMMYFUNCTION("""COMPUTED_VALUE"""),"Bridgelux")</f>
        <v>Bridgelux</v>
      </c>
      <c r="H1356" s="97" t="str">
        <f>IFERROR(__xludf.DUMMYFUNCTION("""COMPUTED_VALUE"""),"-")</f>
        <v>-</v>
      </c>
      <c r="I1356" s="97"/>
      <c r="J1356" s="97"/>
      <c r="K1356" s="97" t="str">
        <f>IFERROR(__xludf.DUMMYFUNCTION("""COMPUTED_VALUE"""),"ON/OFF")</f>
        <v>ON/OFF</v>
      </c>
      <c r="L1356" s="97" t="str">
        <f>IFERROR(__xludf.DUMMYFUNCTION("""COMPUTED_VALUE"""),"200-240")</f>
        <v>200-240</v>
      </c>
      <c r="M1356" s="97" t="str">
        <f>IFERROR(__xludf.DUMMYFUNCTION("""COMPUTED_VALUE"""),"50/60")</f>
        <v>50/60</v>
      </c>
      <c r="N1356" s="97" t="str">
        <f>IFERROR(__xludf.DUMMYFUNCTION("""COMPUTED_VALUE"""),"Directa")</f>
        <v>Directa</v>
      </c>
      <c r="O1356" s="97">
        <f>IFERROR(__xludf.DUMMYFUNCTION("""COMPUTED_VALUE"""),7.0)</f>
        <v>7</v>
      </c>
      <c r="P1356" s="97"/>
      <c r="Q1356" s="97">
        <f>IFERROR(__xludf.DUMMYFUNCTION("""COMPUTED_VALUE"""),0.5)</f>
        <v>0.5</v>
      </c>
      <c r="R1356" s="97" t="str">
        <f>IFERROR(__xludf.DUMMYFUNCTION("""COMPUTED_VALUE"""),"-")</f>
        <v>-</v>
      </c>
      <c r="S1356" s="97" t="str">
        <f>IFERROR(__xludf.DUMMYFUNCTION("""COMPUTED_VALUE"""),"-")</f>
        <v>-</v>
      </c>
      <c r="T1356" s="97"/>
      <c r="U1356" s="99">
        <f>IFERROR(__xludf.DUMMYFUNCTION("""COMPUTED_VALUE"""),0.0)</f>
        <v>0</v>
      </c>
      <c r="V1356" s="97">
        <f>IFERROR(__xludf.DUMMYFUNCTION("""COMPUTED_VALUE"""),36.0)</f>
        <v>36</v>
      </c>
      <c r="W1356" s="97" t="str">
        <f>IFERROR(__xludf.DUMMYFUNCTION("""COMPUTED_VALUE"""),"&lt; 16")</f>
        <v>&lt; 16</v>
      </c>
      <c r="X1356" s="97">
        <f>IFERROR(__xludf.DUMMYFUNCTION("""COMPUTED_VALUE"""),2700.0)</f>
        <v>2700</v>
      </c>
      <c r="Y1356" s="97" t="str">
        <f>IFERROR(__xludf.DUMMYFUNCTION("""COMPUTED_VALUE"""),"&gt;90")</f>
        <v>&gt;90</v>
      </c>
      <c r="Z1356" s="97" t="str">
        <f>IFERROR(__xludf.DUMMYFUNCTION("""COMPUTED_VALUE"""),"&gt;90")</f>
        <v>&gt;90</v>
      </c>
      <c r="AA1356" s="97" t="str">
        <f>IFERROR(__xludf.DUMMYFUNCTION("""COMPUTED_VALUE"""),"100 (Fidelidad neutra)")</f>
        <v>100 (Fidelidad neutra)</v>
      </c>
      <c r="AB1356" s="97" t="str">
        <f>IFERROR(__xludf.DUMMYFUNCTION("""COMPUTED_VALUE"""),"&lt; 3")</f>
        <v>&lt; 3</v>
      </c>
      <c r="AC1356" s="100" t="str">
        <f>IFERROR(__xludf.DUMMYFUNCTION("""COMPUTED_VALUE"""),"-0,0011")</f>
        <v>-0,0011</v>
      </c>
      <c r="AD1356" s="97" t="str">
        <f>IFERROR(__xludf.DUMMYFUNCTION("""COMPUTED_VALUE"""),"IP20")</f>
        <v>IP20</v>
      </c>
      <c r="AE1356" s="97" t="str">
        <f>IFERROR(__xludf.DUMMYFUNCTION("""COMPUTED_VALUE"""),"Clase l")</f>
        <v>Clase l</v>
      </c>
      <c r="AF1356" s="97" t="str">
        <f>IFERROR(__xludf.DUMMYFUNCTION("""COMPUTED_VALUE"""),"Aplicar")</f>
        <v>Aplicar</v>
      </c>
      <c r="AG1356" s="97" t="str">
        <f>IFERROR(__xludf.DUMMYFUNCTION("""COMPUTED_VALUE"""),"45.5 x 45.55 x 44")</f>
        <v>45.5 x 45.55 x 44</v>
      </c>
      <c r="AH1356" s="97" t="str">
        <f>IFERROR(__xludf.DUMMYFUNCTION("""COMPUTED_VALUE"""),"N/A")</f>
        <v>N/A</v>
      </c>
      <c r="AI1356" s="97" t="str">
        <f>IFERROR(__xludf.DUMMYFUNCTION("""COMPUTED_VALUE"""),"N/A")</f>
        <v>N/A</v>
      </c>
      <c r="AJ1356" s="97" t="str">
        <f>IFERROR(__xludf.DUMMYFUNCTION("""COMPUTED_VALUE"""),"Policarbonato (PC)")</f>
        <v>Policarbonato (PC)</v>
      </c>
      <c r="AK1356" s="97" t="str">
        <f>IFERROR(__xludf.DUMMYFUNCTION("""COMPUTED_VALUE"""),"Aluminio")</f>
        <v>Aluminio</v>
      </c>
      <c r="AL1356" s="97" t="str">
        <f>IFERROR(__xludf.DUMMYFUNCTION("""COMPUTED_VALUE"""),"Blanco y Negro")</f>
        <v>Blanco y Negro</v>
      </c>
      <c r="AM1356" s="97" t="str">
        <f>IFERROR(__xludf.DUMMYFUNCTION("""COMPUTED_VALUE"""),"-")</f>
        <v>-</v>
      </c>
      <c r="AN1356" s="97" t="str">
        <f>IFERROR(__xludf.DUMMYFUNCTION("""COMPUTED_VALUE"""),"40.000hs (L70)")</f>
        <v>40.000hs (L70)</v>
      </c>
      <c r="AO1356" s="97" t="str">
        <f>IFERROR(__xludf.DUMMYFUNCTION("""COMPUTED_VALUE"""),"4 Años")</f>
        <v>4 Años</v>
      </c>
      <c r="AP1356" s="97" t="str">
        <f>IFERROR(__xludf.DUMMYFUNCTION("""COMPUTED_VALUE"""),"Falta")</f>
        <v>Falta</v>
      </c>
      <c r="AQ1356" s="97" t="str">
        <f>IFERROR(__xludf.DUMMYFUNCTION("""COMPUTED_VALUE"""),"Falta")</f>
        <v>Falta</v>
      </c>
      <c r="AR1356" s="97" t="str">
        <f>IFERROR(__xludf.DUMMYFUNCTION("""COMPUTED_VALUE"""),"Falta")</f>
        <v>Falta</v>
      </c>
      <c r="AS1356" s="97" t="str">
        <f>IFERROR(__xludf.DUMMYFUNCTION("""COMPUTED_VALUE"""),"Falta")</f>
        <v>Falta</v>
      </c>
      <c r="AT1356" s="97" t="str">
        <f>IFERROR(__xludf.DUMMYFUNCTION("""COMPUTED_VALUE"""),"Falta")</f>
        <v>Falta</v>
      </c>
      <c r="AU1356" s="97" t="str">
        <f>IFERROR(__xludf.DUMMYFUNCTION("""COMPUTED_VALUE"""),"Falta")</f>
        <v>Falta</v>
      </c>
      <c r="AV1356" s="97" t="str">
        <f>IFERROR(__xludf.DUMMYFUNCTION("""COMPUTED_VALUE"""),"Aplique")</f>
        <v>Aplique</v>
      </c>
      <c r="AW1356" s="97" t="str">
        <f>IFERROR(__xludf.DUMMYFUNCTION("""COMPUTED_VALUE"""),"De Techo")</f>
        <v>De Techo</v>
      </c>
      <c r="AX1356" s="97" t="str">
        <f>IFERROR(__xludf.DUMMYFUNCTION("""COMPUTED_VALUE"""),"Interior")</f>
        <v>Interior</v>
      </c>
      <c r="AY1356" s="97" t="str">
        <f>IFERROR(__xludf.DUMMYFUNCTION("""COMPUTED_VALUE"""),"Pocket")</f>
        <v>Pocket</v>
      </c>
      <c r="AZ1356" s="97" t="str">
        <f>IFERROR(__xludf.DUMMYFUNCTION("""COMPUTED_VALUE"""),"Driver dentro de la luminaria.")</f>
        <v>Driver dentro de la luminaria.</v>
      </c>
      <c r="BA1356" s="97"/>
      <c r="BB1356" s="97"/>
      <c r="BC1356" s="97"/>
      <c r="BD1356" s="97" t="str">
        <f>IFERROR(__xludf.DUMMYFUNCTION("""COMPUTED_VALUE"""),"POCKET IV AP")</f>
        <v>POCKET IV AP</v>
      </c>
      <c r="BE1356" s="97" t="str">
        <f>IFERROR(__xludf.DUMMYFUNCTION("""COMPUTED_VALUE"""),"Solicitada")</f>
        <v>Solicitada</v>
      </c>
      <c r="BF1356" s="97"/>
      <c r="BG1356" s="97" t="str">
        <f>IFERROR(__xludf.DUMMYFUNCTION("""COMPUTED_VALUE"""),"REPO 7")</f>
        <v>REPO 7</v>
      </c>
    </row>
    <row r="1357">
      <c r="A1357" s="97">
        <f>IFERROR(__xludf.DUMMYFUNCTION("""COMPUTED_VALUE"""),7457.0)</f>
        <v>7457</v>
      </c>
      <c r="B1357" s="97" t="str">
        <f>IFERROR(__xludf.DUMMYFUNCTION("""COMPUTED_VALUE"""),"POCKET IV AP BLNG 3000k")</f>
        <v>POCKET IV AP BLNG 3000k</v>
      </c>
      <c r="C1357" s="97" t="str">
        <f>IFERROR(__xludf.DUMMYFUNCTION("""COMPUTED_VALUE"""),"APLIQUE POCKET IV AP BLNG 3000K 7W 3000K LM CRI&gt;90 IP20 LEUK")</f>
        <v>APLIQUE POCKET IV AP BLNG 3000K 7W 3000K LM CRI&gt;90 IP20 LEUK</v>
      </c>
      <c r="D1357" s="97">
        <f>IFERROR(__xludf.DUMMYFUNCTION("""COMPUTED_VALUE"""),7.798413229301E12)</f>
        <v>7798413229301</v>
      </c>
      <c r="E1357" s="97" t="str">
        <f>IFERROR(__xludf.DUMMYFUNCTION("""COMPUTED_VALUE"""),"F75")</f>
        <v>F75</v>
      </c>
      <c r="F1357" s="97" t="str">
        <f>IFERROR(__xludf.DUMMYFUNCTION("""COMPUTED_VALUE"""),"LED SMD")</f>
        <v>LED SMD</v>
      </c>
      <c r="G1357" s="97" t="str">
        <f>IFERROR(__xludf.DUMMYFUNCTION("""COMPUTED_VALUE"""),"Bridgelux")</f>
        <v>Bridgelux</v>
      </c>
      <c r="H1357" s="97" t="str">
        <f>IFERROR(__xludf.DUMMYFUNCTION("""COMPUTED_VALUE"""),"-")</f>
        <v>-</v>
      </c>
      <c r="I1357" s="97"/>
      <c r="J1357" s="97"/>
      <c r="K1357" s="97" t="str">
        <f>IFERROR(__xludf.DUMMYFUNCTION("""COMPUTED_VALUE"""),"ON/OFF")</f>
        <v>ON/OFF</v>
      </c>
      <c r="L1357" s="97" t="str">
        <f>IFERROR(__xludf.DUMMYFUNCTION("""COMPUTED_VALUE"""),"200-240")</f>
        <v>200-240</v>
      </c>
      <c r="M1357" s="97" t="str">
        <f>IFERROR(__xludf.DUMMYFUNCTION("""COMPUTED_VALUE"""),"50/60")</f>
        <v>50/60</v>
      </c>
      <c r="N1357" s="97" t="str">
        <f>IFERROR(__xludf.DUMMYFUNCTION("""COMPUTED_VALUE"""),"Directa")</f>
        <v>Directa</v>
      </c>
      <c r="O1357" s="97">
        <f>IFERROR(__xludf.DUMMYFUNCTION("""COMPUTED_VALUE"""),7.0)</f>
        <v>7</v>
      </c>
      <c r="P1357" s="97"/>
      <c r="Q1357" s="97">
        <f>IFERROR(__xludf.DUMMYFUNCTION("""COMPUTED_VALUE"""),0.5)</f>
        <v>0.5</v>
      </c>
      <c r="R1357" s="97" t="str">
        <f>IFERROR(__xludf.DUMMYFUNCTION("""COMPUTED_VALUE"""),"-")</f>
        <v>-</v>
      </c>
      <c r="S1357" s="97" t="str">
        <f>IFERROR(__xludf.DUMMYFUNCTION("""COMPUTED_VALUE"""),"-")</f>
        <v>-</v>
      </c>
      <c r="T1357" s="97"/>
      <c r="U1357" s="99">
        <f>IFERROR(__xludf.DUMMYFUNCTION("""COMPUTED_VALUE"""),0.0)</f>
        <v>0</v>
      </c>
      <c r="V1357" s="97">
        <f>IFERROR(__xludf.DUMMYFUNCTION("""COMPUTED_VALUE"""),36.0)</f>
        <v>36</v>
      </c>
      <c r="W1357" s="97" t="str">
        <f>IFERROR(__xludf.DUMMYFUNCTION("""COMPUTED_VALUE"""),"&lt; 16")</f>
        <v>&lt; 16</v>
      </c>
      <c r="X1357" s="97">
        <f>IFERROR(__xludf.DUMMYFUNCTION("""COMPUTED_VALUE"""),3000.0)</f>
        <v>3000</v>
      </c>
      <c r="Y1357" s="97" t="str">
        <f>IFERROR(__xludf.DUMMYFUNCTION("""COMPUTED_VALUE"""),"&gt;90")</f>
        <v>&gt;90</v>
      </c>
      <c r="Z1357" s="97" t="str">
        <f>IFERROR(__xludf.DUMMYFUNCTION("""COMPUTED_VALUE"""),"&gt;90")</f>
        <v>&gt;90</v>
      </c>
      <c r="AA1357" s="97" t="str">
        <f>IFERROR(__xludf.DUMMYFUNCTION("""COMPUTED_VALUE"""),"100 (Fidelidad neutra)")</f>
        <v>100 (Fidelidad neutra)</v>
      </c>
      <c r="AB1357" s="97" t="str">
        <f>IFERROR(__xludf.DUMMYFUNCTION("""COMPUTED_VALUE"""),"&lt; 3")</f>
        <v>&lt; 3</v>
      </c>
      <c r="AC1357" s="100" t="str">
        <f>IFERROR(__xludf.DUMMYFUNCTION("""COMPUTED_VALUE"""),"0,0002")</f>
        <v>0,0002</v>
      </c>
      <c r="AD1357" s="97" t="str">
        <f>IFERROR(__xludf.DUMMYFUNCTION("""COMPUTED_VALUE"""),"IP20")</f>
        <v>IP20</v>
      </c>
      <c r="AE1357" s="97" t="str">
        <f>IFERROR(__xludf.DUMMYFUNCTION("""COMPUTED_VALUE"""),"Clase l")</f>
        <v>Clase l</v>
      </c>
      <c r="AF1357" s="97" t="str">
        <f>IFERROR(__xludf.DUMMYFUNCTION("""COMPUTED_VALUE"""),"Aplicar")</f>
        <v>Aplicar</v>
      </c>
      <c r="AG1357" s="97" t="str">
        <f>IFERROR(__xludf.DUMMYFUNCTION("""COMPUTED_VALUE"""),"45.5 x 45.55 x 44")</f>
        <v>45.5 x 45.55 x 44</v>
      </c>
      <c r="AH1357" s="97" t="str">
        <f>IFERROR(__xludf.DUMMYFUNCTION("""COMPUTED_VALUE"""),"N/A")</f>
        <v>N/A</v>
      </c>
      <c r="AI1357" s="97" t="str">
        <f>IFERROR(__xludf.DUMMYFUNCTION("""COMPUTED_VALUE"""),"N/A")</f>
        <v>N/A</v>
      </c>
      <c r="AJ1357" s="97" t="str">
        <f>IFERROR(__xludf.DUMMYFUNCTION("""COMPUTED_VALUE"""),"Policarbonato (PC)")</f>
        <v>Policarbonato (PC)</v>
      </c>
      <c r="AK1357" s="97" t="str">
        <f>IFERROR(__xludf.DUMMYFUNCTION("""COMPUTED_VALUE"""),"Aluminio")</f>
        <v>Aluminio</v>
      </c>
      <c r="AL1357" s="97" t="str">
        <f>IFERROR(__xludf.DUMMYFUNCTION("""COMPUTED_VALUE"""),"Blanco y Negro")</f>
        <v>Blanco y Negro</v>
      </c>
      <c r="AM1357" s="97" t="str">
        <f>IFERROR(__xludf.DUMMYFUNCTION("""COMPUTED_VALUE"""),"-")</f>
        <v>-</v>
      </c>
      <c r="AN1357" s="97" t="str">
        <f>IFERROR(__xludf.DUMMYFUNCTION("""COMPUTED_VALUE"""),"40.000hs (L70)")</f>
        <v>40.000hs (L70)</v>
      </c>
      <c r="AO1357" s="97" t="str">
        <f>IFERROR(__xludf.DUMMYFUNCTION("""COMPUTED_VALUE"""),"4 Años")</f>
        <v>4 Años</v>
      </c>
      <c r="AP1357" s="97" t="str">
        <f>IFERROR(__xludf.DUMMYFUNCTION("""COMPUTED_VALUE"""),"Falta")</f>
        <v>Falta</v>
      </c>
      <c r="AQ1357" s="97" t="str">
        <f>IFERROR(__xludf.DUMMYFUNCTION("""COMPUTED_VALUE"""),"Falta")</f>
        <v>Falta</v>
      </c>
      <c r="AR1357" s="97" t="str">
        <f>IFERROR(__xludf.DUMMYFUNCTION("""COMPUTED_VALUE"""),"Falta")</f>
        <v>Falta</v>
      </c>
      <c r="AS1357" s="97" t="str">
        <f>IFERROR(__xludf.DUMMYFUNCTION("""COMPUTED_VALUE"""),"Falta")</f>
        <v>Falta</v>
      </c>
      <c r="AT1357" s="97" t="str">
        <f>IFERROR(__xludf.DUMMYFUNCTION("""COMPUTED_VALUE"""),"Falta")</f>
        <v>Falta</v>
      </c>
      <c r="AU1357" s="97" t="str">
        <f>IFERROR(__xludf.DUMMYFUNCTION("""COMPUTED_VALUE"""),"Falta")</f>
        <v>Falta</v>
      </c>
      <c r="AV1357" s="97" t="str">
        <f>IFERROR(__xludf.DUMMYFUNCTION("""COMPUTED_VALUE"""),"Aplique")</f>
        <v>Aplique</v>
      </c>
      <c r="AW1357" s="97" t="str">
        <f>IFERROR(__xludf.DUMMYFUNCTION("""COMPUTED_VALUE"""),"De Techo")</f>
        <v>De Techo</v>
      </c>
      <c r="AX1357" s="97" t="str">
        <f>IFERROR(__xludf.DUMMYFUNCTION("""COMPUTED_VALUE"""),"Interior")</f>
        <v>Interior</v>
      </c>
      <c r="AY1357" s="97" t="str">
        <f>IFERROR(__xludf.DUMMYFUNCTION("""COMPUTED_VALUE"""),"Pocket")</f>
        <v>Pocket</v>
      </c>
      <c r="AZ1357" s="97" t="str">
        <f>IFERROR(__xludf.DUMMYFUNCTION("""COMPUTED_VALUE"""),"Driver dentro de la luminaria.")</f>
        <v>Driver dentro de la luminaria.</v>
      </c>
      <c r="BA1357" s="97"/>
      <c r="BB1357" s="97"/>
      <c r="BC1357" s="97"/>
      <c r="BD1357" s="97" t="str">
        <f>IFERROR(__xludf.DUMMYFUNCTION("""COMPUTED_VALUE"""),"POCKET IV AP")</f>
        <v>POCKET IV AP</v>
      </c>
      <c r="BE1357" s="97" t="str">
        <f>IFERROR(__xludf.DUMMYFUNCTION("""COMPUTED_VALUE"""),"Solicitada")</f>
        <v>Solicitada</v>
      </c>
      <c r="BF1357" s="97"/>
      <c r="BG1357" s="97" t="str">
        <f>IFERROR(__xludf.DUMMYFUNCTION("""COMPUTED_VALUE"""),"REPO 7")</f>
        <v>REPO 7</v>
      </c>
    </row>
    <row r="1358">
      <c r="A1358" s="97">
        <f>IFERROR(__xludf.DUMMYFUNCTION("""COMPUTED_VALUE"""),7458.0)</f>
        <v>7458</v>
      </c>
      <c r="B1358" s="97" t="str">
        <f>IFERROR(__xludf.DUMMYFUNCTION("""COMPUTED_VALUE"""),"POCKET IV AP NGNG 2700k")</f>
        <v>POCKET IV AP NGNG 2700k</v>
      </c>
      <c r="C1358" s="97" t="str">
        <f>IFERROR(__xludf.DUMMYFUNCTION("""COMPUTED_VALUE"""),"APLIQUE POCKET IV AP NGNG 2700K 7W 2700K LM CRI&gt;90 IP20 LEUK")</f>
        <v>APLIQUE POCKET IV AP NGNG 2700K 7W 2700K LM CRI&gt;90 IP20 LEUK</v>
      </c>
      <c r="D1358" s="97">
        <f>IFERROR(__xludf.DUMMYFUNCTION("""COMPUTED_VALUE"""),7.798413229318E12)</f>
        <v>7798413229318</v>
      </c>
      <c r="E1358" s="97" t="str">
        <f>IFERROR(__xludf.DUMMYFUNCTION("""COMPUTED_VALUE"""),"F75")</f>
        <v>F75</v>
      </c>
      <c r="F1358" s="97" t="str">
        <f>IFERROR(__xludf.DUMMYFUNCTION("""COMPUTED_VALUE"""),"LED SMD")</f>
        <v>LED SMD</v>
      </c>
      <c r="G1358" s="97" t="str">
        <f>IFERROR(__xludf.DUMMYFUNCTION("""COMPUTED_VALUE"""),"Bridgelux")</f>
        <v>Bridgelux</v>
      </c>
      <c r="H1358" s="97" t="str">
        <f>IFERROR(__xludf.DUMMYFUNCTION("""COMPUTED_VALUE"""),"-")</f>
        <v>-</v>
      </c>
      <c r="I1358" s="97"/>
      <c r="J1358" s="97"/>
      <c r="K1358" s="97" t="str">
        <f>IFERROR(__xludf.DUMMYFUNCTION("""COMPUTED_VALUE"""),"ON/OFF")</f>
        <v>ON/OFF</v>
      </c>
      <c r="L1358" s="97" t="str">
        <f>IFERROR(__xludf.DUMMYFUNCTION("""COMPUTED_VALUE"""),"200-240")</f>
        <v>200-240</v>
      </c>
      <c r="M1358" s="97" t="str">
        <f>IFERROR(__xludf.DUMMYFUNCTION("""COMPUTED_VALUE"""),"50/60")</f>
        <v>50/60</v>
      </c>
      <c r="N1358" s="97" t="str">
        <f>IFERROR(__xludf.DUMMYFUNCTION("""COMPUTED_VALUE"""),"Directa")</f>
        <v>Directa</v>
      </c>
      <c r="O1358" s="97">
        <f>IFERROR(__xludf.DUMMYFUNCTION("""COMPUTED_VALUE"""),7.0)</f>
        <v>7</v>
      </c>
      <c r="P1358" s="97"/>
      <c r="Q1358" s="97">
        <f>IFERROR(__xludf.DUMMYFUNCTION("""COMPUTED_VALUE"""),0.5)</f>
        <v>0.5</v>
      </c>
      <c r="R1358" s="97" t="str">
        <f>IFERROR(__xludf.DUMMYFUNCTION("""COMPUTED_VALUE"""),"-")</f>
        <v>-</v>
      </c>
      <c r="S1358" s="97" t="str">
        <f>IFERROR(__xludf.DUMMYFUNCTION("""COMPUTED_VALUE"""),"-")</f>
        <v>-</v>
      </c>
      <c r="T1358" s="97"/>
      <c r="U1358" s="99">
        <f>IFERROR(__xludf.DUMMYFUNCTION("""COMPUTED_VALUE"""),0.0)</f>
        <v>0</v>
      </c>
      <c r="V1358" s="97">
        <f>IFERROR(__xludf.DUMMYFUNCTION("""COMPUTED_VALUE"""),36.0)</f>
        <v>36</v>
      </c>
      <c r="W1358" s="97" t="str">
        <f>IFERROR(__xludf.DUMMYFUNCTION("""COMPUTED_VALUE"""),"&lt; 16")</f>
        <v>&lt; 16</v>
      </c>
      <c r="X1358" s="97">
        <f>IFERROR(__xludf.DUMMYFUNCTION("""COMPUTED_VALUE"""),2700.0)</f>
        <v>2700</v>
      </c>
      <c r="Y1358" s="97" t="str">
        <f>IFERROR(__xludf.DUMMYFUNCTION("""COMPUTED_VALUE"""),"&gt;90")</f>
        <v>&gt;90</v>
      </c>
      <c r="Z1358" s="97" t="str">
        <f>IFERROR(__xludf.DUMMYFUNCTION("""COMPUTED_VALUE"""),"&gt;90")</f>
        <v>&gt;90</v>
      </c>
      <c r="AA1358" s="97" t="str">
        <f>IFERROR(__xludf.DUMMYFUNCTION("""COMPUTED_VALUE"""),"100 (Fidelidad neutra)")</f>
        <v>100 (Fidelidad neutra)</v>
      </c>
      <c r="AB1358" s="97" t="str">
        <f>IFERROR(__xludf.DUMMYFUNCTION("""COMPUTED_VALUE"""),"&lt; 3")</f>
        <v>&lt; 3</v>
      </c>
      <c r="AC1358" s="100" t="str">
        <f>IFERROR(__xludf.DUMMYFUNCTION("""COMPUTED_VALUE"""),"-0,0013")</f>
        <v>-0,0013</v>
      </c>
      <c r="AD1358" s="97" t="str">
        <f>IFERROR(__xludf.DUMMYFUNCTION("""COMPUTED_VALUE"""),"IP20")</f>
        <v>IP20</v>
      </c>
      <c r="AE1358" s="97" t="str">
        <f>IFERROR(__xludf.DUMMYFUNCTION("""COMPUTED_VALUE"""),"Clase l")</f>
        <v>Clase l</v>
      </c>
      <c r="AF1358" s="97" t="str">
        <f>IFERROR(__xludf.DUMMYFUNCTION("""COMPUTED_VALUE"""),"Aplicar")</f>
        <v>Aplicar</v>
      </c>
      <c r="AG1358" s="97" t="str">
        <f>IFERROR(__xludf.DUMMYFUNCTION("""COMPUTED_VALUE"""),"45.5 x 45.55 x 44")</f>
        <v>45.5 x 45.55 x 44</v>
      </c>
      <c r="AH1358" s="97" t="str">
        <f>IFERROR(__xludf.DUMMYFUNCTION("""COMPUTED_VALUE"""),"N/A")</f>
        <v>N/A</v>
      </c>
      <c r="AI1358" s="97" t="str">
        <f>IFERROR(__xludf.DUMMYFUNCTION("""COMPUTED_VALUE"""),"N/A")</f>
        <v>N/A</v>
      </c>
      <c r="AJ1358" s="97" t="str">
        <f>IFERROR(__xludf.DUMMYFUNCTION("""COMPUTED_VALUE"""),"Policarbonato (PC)")</f>
        <v>Policarbonato (PC)</v>
      </c>
      <c r="AK1358" s="97" t="str">
        <f>IFERROR(__xludf.DUMMYFUNCTION("""COMPUTED_VALUE"""),"Aluminio")</f>
        <v>Aluminio</v>
      </c>
      <c r="AL1358" s="97" t="str">
        <f>IFERROR(__xludf.DUMMYFUNCTION("""COMPUTED_VALUE"""),"Negro Satinado")</f>
        <v>Negro Satinado</v>
      </c>
      <c r="AM1358" s="97" t="str">
        <f>IFERROR(__xludf.DUMMYFUNCTION("""COMPUTED_VALUE"""),"-")</f>
        <v>-</v>
      </c>
      <c r="AN1358" s="97" t="str">
        <f>IFERROR(__xludf.DUMMYFUNCTION("""COMPUTED_VALUE"""),"40.000hs (L70)")</f>
        <v>40.000hs (L70)</v>
      </c>
      <c r="AO1358" s="97" t="str">
        <f>IFERROR(__xludf.DUMMYFUNCTION("""COMPUTED_VALUE"""),"4 Años")</f>
        <v>4 Años</v>
      </c>
      <c r="AP1358" s="97" t="str">
        <f>IFERROR(__xludf.DUMMYFUNCTION("""COMPUTED_VALUE"""),"Falta")</f>
        <v>Falta</v>
      </c>
      <c r="AQ1358" s="97" t="str">
        <f>IFERROR(__xludf.DUMMYFUNCTION("""COMPUTED_VALUE"""),"Falta")</f>
        <v>Falta</v>
      </c>
      <c r="AR1358" s="97" t="str">
        <f>IFERROR(__xludf.DUMMYFUNCTION("""COMPUTED_VALUE"""),"Falta")</f>
        <v>Falta</v>
      </c>
      <c r="AS1358" s="97" t="str">
        <f>IFERROR(__xludf.DUMMYFUNCTION("""COMPUTED_VALUE"""),"Falta")</f>
        <v>Falta</v>
      </c>
      <c r="AT1358" s="97" t="str">
        <f>IFERROR(__xludf.DUMMYFUNCTION("""COMPUTED_VALUE"""),"Falta")</f>
        <v>Falta</v>
      </c>
      <c r="AU1358" s="97" t="str">
        <f>IFERROR(__xludf.DUMMYFUNCTION("""COMPUTED_VALUE"""),"Falta")</f>
        <v>Falta</v>
      </c>
      <c r="AV1358" s="97" t="str">
        <f>IFERROR(__xludf.DUMMYFUNCTION("""COMPUTED_VALUE"""),"Aplique")</f>
        <v>Aplique</v>
      </c>
      <c r="AW1358" s="97" t="str">
        <f>IFERROR(__xludf.DUMMYFUNCTION("""COMPUTED_VALUE"""),"De Techo")</f>
        <v>De Techo</v>
      </c>
      <c r="AX1358" s="97" t="str">
        <f>IFERROR(__xludf.DUMMYFUNCTION("""COMPUTED_VALUE"""),"Interior")</f>
        <v>Interior</v>
      </c>
      <c r="AY1358" s="97" t="str">
        <f>IFERROR(__xludf.DUMMYFUNCTION("""COMPUTED_VALUE"""),"Pocket")</f>
        <v>Pocket</v>
      </c>
      <c r="AZ1358" s="97" t="str">
        <f>IFERROR(__xludf.DUMMYFUNCTION("""COMPUTED_VALUE"""),"Driver dentro de la luminaria.")</f>
        <v>Driver dentro de la luminaria.</v>
      </c>
      <c r="BA1358" s="97"/>
      <c r="BB1358" s="97"/>
      <c r="BC1358" s="97"/>
      <c r="BD1358" s="97" t="str">
        <f>IFERROR(__xludf.DUMMYFUNCTION("""COMPUTED_VALUE"""),"POCKET IV AP")</f>
        <v>POCKET IV AP</v>
      </c>
      <c r="BE1358" s="97" t="str">
        <f>IFERROR(__xludf.DUMMYFUNCTION("""COMPUTED_VALUE"""),"Solicitada")</f>
        <v>Solicitada</v>
      </c>
      <c r="BF1358" s="97"/>
      <c r="BG1358" s="97" t="str">
        <f>IFERROR(__xludf.DUMMYFUNCTION("""COMPUTED_VALUE"""),"REPO 7")</f>
        <v>REPO 7</v>
      </c>
    </row>
    <row r="1359">
      <c r="A1359" s="97">
        <f>IFERROR(__xludf.DUMMYFUNCTION("""COMPUTED_VALUE"""),7459.0)</f>
        <v>7459</v>
      </c>
      <c r="B1359" s="97" t="str">
        <f>IFERROR(__xludf.DUMMYFUNCTION("""COMPUTED_VALUE"""),"POCKET IV AP NGNG 3000k")</f>
        <v>POCKET IV AP NGNG 3000k</v>
      </c>
      <c r="C1359" s="97" t="str">
        <f>IFERROR(__xludf.DUMMYFUNCTION("""COMPUTED_VALUE"""),"APLIQUE POCKET IV AP NGNG 3000K 7W 3000K LM CRI&gt;90 IP20 LEUK")</f>
        <v>APLIQUE POCKET IV AP NGNG 3000K 7W 3000K LM CRI&gt;90 IP20 LEUK</v>
      </c>
      <c r="D1359" s="97">
        <f>IFERROR(__xludf.DUMMYFUNCTION("""COMPUTED_VALUE"""),7.798413229325E12)</f>
        <v>7798413229325</v>
      </c>
      <c r="E1359" s="97" t="str">
        <f>IFERROR(__xludf.DUMMYFUNCTION("""COMPUTED_VALUE"""),"F75")</f>
        <v>F75</v>
      </c>
      <c r="F1359" s="97" t="str">
        <f>IFERROR(__xludf.DUMMYFUNCTION("""COMPUTED_VALUE"""),"LED SMD")</f>
        <v>LED SMD</v>
      </c>
      <c r="G1359" s="97" t="str">
        <f>IFERROR(__xludf.DUMMYFUNCTION("""COMPUTED_VALUE"""),"Bridgelux")</f>
        <v>Bridgelux</v>
      </c>
      <c r="H1359" s="97" t="str">
        <f>IFERROR(__xludf.DUMMYFUNCTION("""COMPUTED_VALUE"""),"-")</f>
        <v>-</v>
      </c>
      <c r="I1359" s="97"/>
      <c r="J1359" s="97"/>
      <c r="K1359" s="97" t="str">
        <f>IFERROR(__xludf.DUMMYFUNCTION("""COMPUTED_VALUE"""),"ON/OFF")</f>
        <v>ON/OFF</v>
      </c>
      <c r="L1359" s="97" t="str">
        <f>IFERROR(__xludf.DUMMYFUNCTION("""COMPUTED_VALUE"""),"200-240")</f>
        <v>200-240</v>
      </c>
      <c r="M1359" s="97" t="str">
        <f>IFERROR(__xludf.DUMMYFUNCTION("""COMPUTED_VALUE"""),"50/60")</f>
        <v>50/60</v>
      </c>
      <c r="N1359" s="97" t="str">
        <f>IFERROR(__xludf.DUMMYFUNCTION("""COMPUTED_VALUE"""),"Directa")</f>
        <v>Directa</v>
      </c>
      <c r="O1359" s="97">
        <f>IFERROR(__xludf.DUMMYFUNCTION("""COMPUTED_VALUE"""),7.0)</f>
        <v>7</v>
      </c>
      <c r="P1359" s="97"/>
      <c r="Q1359" s="97">
        <f>IFERROR(__xludf.DUMMYFUNCTION("""COMPUTED_VALUE"""),0.5)</f>
        <v>0.5</v>
      </c>
      <c r="R1359" s="97" t="str">
        <f>IFERROR(__xludf.DUMMYFUNCTION("""COMPUTED_VALUE"""),"-")</f>
        <v>-</v>
      </c>
      <c r="S1359" s="97" t="str">
        <f>IFERROR(__xludf.DUMMYFUNCTION("""COMPUTED_VALUE"""),"-")</f>
        <v>-</v>
      </c>
      <c r="T1359" s="97"/>
      <c r="U1359" s="99">
        <f>IFERROR(__xludf.DUMMYFUNCTION("""COMPUTED_VALUE"""),0.0)</f>
        <v>0</v>
      </c>
      <c r="V1359" s="97">
        <f>IFERROR(__xludf.DUMMYFUNCTION("""COMPUTED_VALUE"""),36.0)</f>
        <v>36</v>
      </c>
      <c r="W1359" s="97" t="str">
        <f>IFERROR(__xludf.DUMMYFUNCTION("""COMPUTED_VALUE"""),"&lt; 16")</f>
        <v>&lt; 16</v>
      </c>
      <c r="X1359" s="97">
        <f>IFERROR(__xludf.DUMMYFUNCTION("""COMPUTED_VALUE"""),3000.0)</f>
        <v>3000</v>
      </c>
      <c r="Y1359" s="97" t="str">
        <f>IFERROR(__xludf.DUMMYFUNCTION("""COMPUTED_VALUE"""),"&gt;90")</f>
        <v>&gt;90</v>
      </c>
      <c r="Z1359" s="97" t="str">
        <f>IFERROR(__xludf.DUMMYFUNCTION("""COMPUTED_VALUE"""),"&gt;90")</f>
        <v>&gt;90</v>
      </c>
      <c r="AA1359" s="97" t="str">
        <f>IFERROR(__xludf.DUMMYFUNCTION("""COMPUTED_VALUE"""),"100 (Fidelidad neutra)")</f>
        <v>100 (Fidelidad neutra)</v>
      </c>
      <c r="AB1359" s="97" t="str">
        <f>IFERROR(__xludf.DUMMYFUNCTION("""COMPUTED_VALUE"""),"&lt; 3")</f>
        <v>&lt; 3</v>
      </c>
      <c r="AC1359" s="100" t="str">
        <f>IFERROR(__xludf.DUMMYFUNCTION("""COMPUTED_VALUE"""),"0")</f>
        <v>0</v>
      </c>
      <c r="AD1359" s="97" t="str">
        <f>IFERROR(__xludf.DUMMYFUNCTION("""COMPUTED_VALUE"""),"IP20")</f>
        <v>IP20</v>
      </c>
      <c r="AE1359" s="97" t="str">
        <f>IFERROR(__xludf.DUMMYFUNCTION("""COMPUTED_VALUE"""),"Clase l")</f>
        <v>Clase l</v>
      </c>
      <c r="AF1359" s="97" t="str">
        <f>IFERROR(__xludf.DUMMYFUNCTION("""COMPUTED_VALUE"""),"Aplicar")</f>
        <v>Aplicar</v>
      </c>
      <c r="AG1359" s="97" t="str">
        <f>IFERROR(__xludf.DUMMYFUNCTION("""COMPUTED_VALUE"""),"45.5 x 45.55 x 44")</f>
        <v>45.5 x 45.55 x 44</v>
      </c>
      <c r="AH1359" s="97" t="str">
        <f>IFERROR(__xludf.DUMMYFUNCTION("""COMPUTED_VALUE"""),"N/A")</f>
        <v>N/A</v>
      </c>
      <c r="AI1359" s="97" t="str">
        <f>IFERROR(__xludf.DUMMYFUNCTION("""COMPUTED_VALUE"""),"N/A")</f>
        <v>N/A</v>
      </c>
      <c r="AJ1359" s="97" t="str">
        <f>IFERROR(__xludf.DUMMYFUNCTION("""COMPUTED_VALUE"""),"Policarbonato (PC)")</f>
        <v>Policarbonato (PC)</v>
      </c>
      <c r="AK1359" s="97" t="str">
        <f>IFERROR(__xludf.DUMMYFUNCTION("""COMPUTED_VALUE"""),"Aluminio")</f>
        <v>Aluminio</v>
      </c>
      <c r="AL1359" s="97" t="str">
        <f>IFERROR(__xludf.DUMMYFUNCTION("""COMPUTED_VALUE"""),"Negro Satinado")</f>
        <v>Negro Satinado</v>
      </c>
      <c r="AM1359" s="97" t="str">
        <f>IFERROR(__xludf.DUMMYFUNCTION("""COMPUTED_VALUE"""),"-")</f>
        <v>-</v>
      </c>
      <c r="AN1359" s="97" t="str">
        <f>IFERROR(__xludf.DUMMYFUNCTION("""COMPUTED_VALUE"""),"40.000hs (L70)")</f>
        <v>40.000hs (L70)</v>
      </c>
      <c r="AO1359" s="97" t="str">
        <f>IFERROR(__xludf.DUMMYFUNCTION("""COMPUTED_VALUE"""),"4 Años")</f>
        <v>4 Años</v>
      </c>
      <c r="AP1359" s="97" t="str">
        <f>IFERROR(__xludf.DUMMYFUNCTION("""COMPUTED_VALUE"""),"Falta")</f>
        <v>Falta</v>
      </c>
      <c r="AQ1359" s="97" t="str">
        <f>IFERROR(__xludf.DUMMYFUNCTION("""COMPUTED_VALUE"""),"Falta")</f>
        <v>Falta</v>
      </c>
      <c r="AR1359" s="97" t="str">
        <f>IFERROR(__xludf.DUMMYFUNCTION("""COMPUTED_VALUE"""),"Falta")</f>
        <v>Falta</v>
      </c>
      <c r="AS1359" s="97" t="str">
        <f>IFERROR(__xludf.DUMMYFUNCTION("""COMPUTED_VALUE"""),"Falta")</f>
        <v>Falta</v>
      </c>
      <c r="AT1359" s="97" t="str">
        <f>IFERROR(__xludf.DUMMYFUNCTION("""COMPUTED_VALUE"""),"Falta")</f>
        <v>Falta</v>
      </c>
      <c r="AU1359" s="97" t="str">
        <f>IFERROR(__xludf.DUMMYFUNCTION("""COMPUTED_VALUE"""),"Falta")</f>
        <v>Falta</v>
      </c>
      <c r="AV1359" s="97" t="str">
        <f>IFERROR(__xludf.DUMMYFUNCTION("""COMPUTED_VALUE"""),"Aplique")</f>
        <v>Aplique</v>
      </c>
      <c r="AW1359" s="97" t="str">
        <f>IFERROR(__xludf.DUMMYFUNCTION("""COMPUTED_VALUE"""),"De Techo")</f>
        <v>De Techo</v>
      </c>
      <c r="AX1359" s="97" t="str">
        <f>IFERROR(__xludf.DUMMYFUNCTION("""COMPUTED_VALUE"""),"Interior")</f>
        <v>Interior</v>
      </c>
      <c r="AY1359" s="97" t="str">
        <f>IFERROR(__xludf.DUMMYFUNCTION("""COMPUTED_VALUE"""),"Pocket")</f>
        <v>Pocket</v>
      </c>
      <c r="AZ1359" s="97" t="str">
        <f>IFERROR(__xludf.DUMMYFUNCTION("""COMPUTED_VALUE"""),"Driver dentro de la luminaria.")</f>
        <v>Driver dentro de la luminaria.</v>
      </c>
      <c r="BA1359" s="97"/>
      <c r="BB1359" s="97"/>
      <c r="BC1359" s="97"/>
      <c r="BD1359" s="97" t="str">
        <f>IFERROR(__xludf.DUMMYFUNCTION("""COMPUTED_VALUE"""),"POCKET IV AP")</f>
        <v>POCKET IV AP</v>
      </c>
      <c r="BE1359" s="97" t="str">
        <f>IFERROR(__xludf.DUMMYFUNCTION("""COMPUTED_VALUE"""),"Solicitada")</f>
        <v>Solicitada</v>
      </c>
      <c r="BF1359" s="97"/>
      <c r="BG1359" s="97" t="str">
        <f>IFERROR(__xludf.DUMMYFUNCTION("""COMPUTED_VALUE"""),"REPO 7")</f>
        <v>REPO 7</v>
      </c>
    </row>
    <row r="1360">
      <c r="A1360" s="97">
        <f>IFERROR(__xludf.DUMMYFUNCTION("""COMPUTED_VALUE"""),7460.0)</f>
        <v>7460</v>
      </c>
      <c r="B1360" s="97" t="str">
        <f>IFERROR(__xludf.DUMMYFUNCTION("""COMPUTED_VALUE"""),"POCKET MODULO VI BLBL 2CCT")</f>
        <v>POCKET MODULO VI BLBL 2CCT</v>
      </c>
      <c r="C1360" s="97" t="str">
        <f>IFERROR(__xludf.DUMMYFUNCTION("""COMPUTED_VALUE"""),"EMPOTRABLE POCKET MODULO VI BLBL 2CCT 10W 2700/3000K 600LM CRI&gt;90 IP20 LEUK")</f>
        <v>EMPOTRABLE POCKET MODULO VI BLBL 2CCT 10W 2700/3000K 600LM CRI&gt;90 IP20 LEUK</v>
      </c>
      <c r="D1360" s="97">
        <f>IFERROR(__xludf.DUMMYFUNCTION("""COMPUTED_VALUE"""),7.798413229332E12)</f>
        <v>7798413229332</v>
      </c>
      <c r="E1360" s="97" t="str">
        <f>IFERROR(__xludf.DUMMYFUNCTION("""COMPUTED_VALUE"""),"F69")</f>
        <v>F69</v>
      </c>
      <c r="F1360" s="97" t="str">
        <f>IFERROR(__xludf.DUMMYFUNCTION("""COMPUTED_VALUE"""),"LED SMD")</f>
        <v>LED SMD</v>
      </c>
      <c r="G1360" s="97" t="str">
        <f>IFERROR(__xludf.DUMMYFUNCTION("""COMPUTED_VALUE"""),"-")</f>
        <v>-</v>
      </c>
      <c r="H1360" s="97" t="str">
        <f>IFERROR(__xludf.DUMMYFUNCTION("""COMPUTED_VALUE"""),"N/A")</f>
        <v>N/A</v>
      </c>
      <c r="I1360" s="97" t="str">
        <f>IFERROR(__xludf.DUMMYFUNCTION("""COMPUTED_VALUE"""),"N/A")</f>
        <v>N/A</v>
      </c>
      <c r="J1360" s="97" t="str">
        <f>IFERROR(__xludf.DUMMYFUNCTION("""COMPUTED_VALUE"""),"N/A")</f>
        <v>N/A</v>
      </c>
      <c r="K1360" s="97" t="str">
        <f>IFERROR(__xludf.DUMMYFUNCTION("""COMPUTED_VALUE"""),"N/A")</f>
        <v>N/A</v>
      </c>
      <c r="L1360" s="97" t="str">
        <f>IFERROR(__xludf.DUMMYFUNCTION("""COMPUTED_VALUE"""),"200-240")</f>
        <v>200-240</v>
      </c>
      <c r="M1360" s="97" t="str">
        <f>IFERROR(__xludf.DUMMYFUNCTION("""COMPUTED_VALUE"""),"50/60")</f>
        <v>50/60</v>
      </c>
      <c r="N1360" s="97" t="str">
        <f>IFERROR(__xludf.DUMMYFUNCTION("""COMPUTED_VALUE"""),"Directa")</f>
        <v>Directa</v>
      </c>
      <c r="O1360" s="97">
        <f>IFERROR(__xludf.DUMMYFUNCTION("""COMPUTED_VALUE"""),10.0)</f>
        <v>10</v>
      </c>
      <c r="P1360" s="97">
        <f>IFERROR(__xludf.DUMMYFUNCTION("""COMPUTED_VALUE"""),9.3)</f>
        <v>9.3</v>
      </c>
      <c r="Q1360" s="97"/>
      <c r="R1360" s="97" t="str">
        <f>IFERROR(__xludf.DUMMYFUNCTION("""COMPUTED_VALUE"""),"-")</f>
        <v>-</v>
      </c>
      <c r="S1360" s="97" t="str">
        <f>IFERROR(__xludf.DUMMYFUNCTION("""COMPUTED_VALUE"""),"-")</f>
        <v>-</v>
      </c>
      <c r="T1360" s="97">
        <f>IFERROR(__xludf.DUMMYFUNCTION("""COMPUTED_VALUE"""),600.0)</f>
        <v>600</v>
      </c>
      <c r="U1360" s="97">
        <f>IFERROR(__xludf.DUMMYFUNCTION("""COMPUTED_VALUE"""),60.0)</f>
        <v>60</v>
      </c>
      <c r="V1360" s="97">
        <f>IFERROR(__xludf.DUMMYFUNCTION("""COMPUTED_VALUE"""),38.0)</f>
        <v>38</v>
      </c>
      <c r="W1360" s="97" t="str">
        <f>IFERROR(__xludf.DUMMYFUNCTION("""COMPUTED_VALUE"""),"&lt; 14")</f>
        <v>&lt; 14</v>
      </c>
      <c r="X1360" s="97" t="str">
        <f>IFERROR(__xludf.DUMMYFUNCTION("""COMPUTED_VALUE"""),"2700/3000")</f>
        <v>2700/3000</v>
      </c>
      <c r="Y1360" s="97" t="str">
        <f>IFERROR(__xludf.DUMMYFUNCTION("""COMPUTED_VALUE"""),"&gt;90")</f>
        <v>&gt;90</v>
      </c>
      <c r="Z1360" s="97" t="str">
        <f>IFERROR(__xludf.DUMMYFUNCTION("""COMPUTED_VALUE"""),"&gt;90")</f>
        <v>&gt;90</v>
      </c>
      <c r="AA1360" s="97" t="str">
        <f>IFERROR(__xludf.DUMMYFUNCTION("""COMPUTED_VALUE"""),"100 (Fidelidad neutra)")</f>
        <v>100 (Fidelidad neutra)</v>
      </c>
      <c r="AB1360" s="97" t="str">
        <f>IFERROR(__xludf.DUMMYFUNCTION("""COMPUTED_VALUE"""),"&lt; 3")</f>
        <v>&lt; 3</v>
      </c>
      <c r="AC1360" s="97">
        <f>IFERROR(__xludf.DUMMYFUNCTION("""COMPUTED_VALUE"""),-3.0E-4)</f>
        <v>-0.0003</v>
      </c>
      <c r="AD1360" s="97" t="str">
        <f>IFERROR(__xludf.DUMMYFUNCTION("""COMPUTED_VALUE"""),"IP20")</f>
        <v>IP20</v>
      </c>
      <c r="AE1360" s="97" t="str">
        <f>IFERROR(__xludf.DUMMYFUNCTION("""COMPUTED_VALUE"""),"Clase l")</f>
        <v>Clase l</v>
      </c>
      <c r="AF1360" s="97" t="str">
        <f>IFERROR(__xludf.DUMMYFUNCTION("""COMPUTED_VALUE"""),"Embutir")</f>
        <v>Embutir</v>
      </c>
      <c r="AG1360" s="97" t="str">
        <f>IFERROR(__xludf.DUMMYFUNCTION("""COMPUTED_VALUE"""),"126 x 31 x 40")</f>
        <v>126 x 31 x 40</v>
      </c>
      <c r="AH1360" s="97" t="str">
        <f>IFERROR(__xludf.DUMMYFUNCTION("""COMPUTED_VALUE"""),"122 x 27")</f>
        <v>122 x 27</v>
      </c>
      <c r="AI1360" s="97"/>
      <c r="AJ1360" s="97" t="str">
        <f>IFERROR(__xludf.DUMMYFUNCTION("""COMPUTED_VALUE"""),"Policarbonato (PC)")</f>
        <v>Policarbonato (PC)</v>
      </c>
      <c r="AK1360" s="97" t="str">
        <f>IFERROR(__xludf.DUMMYFUNCTION("""COMPUTED_VALUE"""),"Aluminio")</f>
        <v>Aluminio</v>
      </c>
      <c r="AL1360" s="97" t="str">
        <f>IFERROR(__xludf.DUMMYFUNCTION("""COMPUTED_VALUE"""),"Blanco Satinado")</f>
        <v>Blanco Satinado</v>
      </c>
      <c r="AM1360" s="97"/>
      <c r="AN1360" s="97" t="str">
        <f>IFERROR(__xludf.DUMMYFUNCTION("""COMPUTED_VALUE"""),"40.000hs (L70)")</f>
        <v>40.000hs (L70)</v>
      </c>
      <c r="AO1360" s="97" t="str">
        <f>IFERROR(__xludf.DUMMYFUNCTION("""COMPUTED_VALUE"""),"4 Años")</f>
        <v>4 Años</v>
      </c>
      <c r="AP1360" s="97" t="str">
        <f>IFERROR(__xludf.DUMMYFUNCTION("""COMPUTED_VALUE"""),"Falta")</f>
        <v>Falta</v>
      </c>
      <c r="AQ1360" s="97" t="str">
        <f>IFERROR(__xludf.DUMMYFUNCTION("""COMPUTED_VALUE"""),"Falta")</f>
        <v>Falta</v>
      </c>
      <c r="AR1360" s="97" t="str">
        <f>IFERROR(__xludf.DUMMYFUNCTION("""COMPUTED_VALUE"""),"En revisión")</f>
        <v>En revisión</v>
      </c>
      <c r="AS1360" s="97" t="str">
        <f>IFERROR(__xludf.DUMMYFUNCTION("""COMPUTED_VALUE"""),"Falta")</f>
        <v>Falta</v>
      </c>
      <c r="AT1360" s="97" t="str">
        <f>IFERROR(__xludf.DUMMYFUNCTION("""COMPUTED_VALUE"""),"Falta")</f>
        <v>Falta</v>
      </c>
      <c r="AU1360" s="97" t="str">
        <f>IFERROR(__xludf.DUMMYFUNCTION("""COMPUTED_VALUE"""),"Falta")</f>
        <v>Falta</v>
      </c>
      <c r="AV1360" s="97" t="str">
        <f>IFERROR(__xludf.DUMMYFUNCTION("""COMPUTED_VALUE"""),"Empotrable")</f>
        <v>Empotrable</v>
      </c>
      <c r="AW1360" s="97" t="str">
        <f>IFERROR(__xludf.DUMMYFUNCTION("""COMPUTED_VALUE"""),"De Techo")</f>
        <v>De Techo</v>
      </c>
      <c r="AX1360" s="97" t="str">
        <f>IFERROR(__xludf.DUMMYFUNCTION("""COMPUTED_VALUE"""),"Interior")</f>
        <v>Interior</v>
      </c>
      <c r="AY1360" s="97" t="str">
        <f>IFERROR(__xludf.DUMMYFUNCTION("""COMPUTED_VALUE"""),"Pocket")</f>
        <v>Pocket</v>
      </c>
      <c r="AZ1360" s="97"/>
      <c r="BA1360" s="97"/>
      <c r="BB1360" s="97"/>
      <c r="BC1360" s="97"/>
      <c r="BD1360" s="97"/>
      <c r="BE1360" s="97" t="str">
        <f>IFERROR(__xludf.DUMMYFUNCTION("""COMPUTED_VALUE"""),"Sin Ficha")</f>
        <v>Sin Ficha</v>
      </c>
      <c r="BF1360" s="97"/>
      <c r="BG1360" s="97" t="str">
        <f>IFERROR(__xludf.DUMMYFUNCTION("""COMPUTED_VALUE"""),"REPO 7")</f>
        <v>REPO 7</v>
      </c>
    </row>
    <row r="1361">
      <c r="A1361" s="97">
        <f>IFERROR(__xludf.DUMMYFUNCTION("""COMPUTED_VALUE"""),7461.0)</f>
        <v>7461</v>
      </c>
      <c r="B1361" s="97" t="str">
        <f>IFERROR(__xludf.DUMMYFUNCTION("""COMPUTED_VALUE"""),"POCKET MODULO VI BLNG 2CCT")</f>
        <v>POCKET MODULO VI BLNG 2CCT</v>
      </c>
      <c r="C1361" s="97" t="str">
        <f>IFERROR(__xludf.DUMMYFUNCTION("""COMPUTED_VALUE"""),"EMPOTRABLE POCKET MODULO VI BLNG 2CCT 10W 2700/3000K 600LM CRI&gt;90 IP20 LEUK")</f>
        <v>EMPOTRABLE POCKET MODULO VI BLNG 2CCT 10W 2700/3000K 600LM CRI&gt;90 IP20 LEUK</v>
      </c>
      <c r="D1361" s="97">
        <f>IFERROR(__xludf.DUMMYFUNCTION("""COMPUTED_VALUE"""),7.798413229349E12)</f>
        <v>7798413229349</v>
      </c>
      <c r="E1361" s="97" t="str">
        <f>IFERROR(__xludf.DUMMYFUNCTION("""COMPUTED_VALUE"""),"F69")</f>
        <v>F69</v>
      </c>
      <c r="F1361" s="97" t="str">
        <f>IFERROR(__xludf.DUMMYFUNCTION("""COMPUTED_VALUE"""),"LED SMD")</f>
        <v>LED SMD</v>
      </c>
      <c r="G1361" s="97" t="str">
        <f>IFERROR(__xludf.DUMMYFUNCTION("""COMPUTED_VALUE"""),"-")</f>
        <v>-</v>
      </c>
      <c r="H1361" s="97" t="str">
        <f>IFERROR(__xludf.DUMMYFUNCTION("""COMPUTED_VALUE"""),"N/A")</f>
        <v>N/A</v>
      </c>
      <c r="I1361" s="97" t="str">
        <f>IFERROR(__xludf.DUMMYFUNCTION("""COMPUTED_VALUE"""),"N/A")</f>
        <v>N/A</v>
      </c>
      <c r="J1361" s="97" t="str">
        <f>IFERROR(__xludf.DUMMYFUNCTION("""COMPUTED_VALUE"""),"N/A")</f>
        <v>N/A</v>
      </c>
      <c r="K1361" s="97" t="str">
        <f>IFERROR(__xludf.DUMMYFUNCTION("""COMPUTED_VALUE"""),"N/A")</f>
        <v>N/A</v>
      </c>
      <c r="L1361" s="97" t="str">
        <f>IFERROR(__xludf.DUMMYFUNCTION("""COMPUTED_VALUE"""),"200-240")</f>
        <v>200-240</v>
      </c>
      <c r="M1361" s="97" t="str">
        <f>IFERROR(__xludf.DUMMYFUNCTION("""COMPUTED_VALUE"""),"50/60")</f>
        <v>50/60</v>
      </c>
      <c r="N1361" s="97" t="str">
        <f>IFERROR(__xludf.DUMMYFUNCTION("""COMPUTED_VALUE"""),"Directa")</f>
        <v>Directa</v>
      </c>
      <c r="O1361" s="97">
        <f>IFERROR(__xludf.DUMMYFUNCTION("""COMPUTED_VALUE"""),10.0)</f>
        <v>10</v>
      </c>
      <c r="P1361" s="97">
        <f>IFERROR(__xludf.DUMMYFUNCTION("""COMPUTED_VALUE"""),9.3)</f>
        <v>9.3</v>
      </c>
      <c r="Q1361" s="97"/>
      <c r="R1361" s="97" t="str">
        <f>IFERROR(__xludf.DUMMYFUNCTION("""COMPUTED_VALUE"""),"-")</f>
        <v>-</v>
      </c>
      <c r="S1361" s="97" t="str">
        <f>IFERROR(__xludf.DUMMYFUNCTION("""COMPUTED_VALUE"""),"-")</f>
        <v>-</v>
      </c>
      <c r="T1361" s="97">
        <f>IFERROR(__xludf.DUMMYFUNCTION("""COMPUTED_VALUE"""),600.0)</f>
        <v>600</v>
      </c>
      <c r="U1361" s="97">
        <f>IFERROR(__xludf.DUMMYFUNCTION("""COMPUTED_VALUE"""),60.0)</f>
        <v>60</v>
      </c>
      <c r="V1361" s="97">
        <f>IFERROR(__xludf.DUMMYFUNCTION("""COMPUTED_VALUE"""),38.0)</f>
        <v>38</v>
      </c>
      <c r="W1361" s="97" t="str">
        <f>IFERROR(__xludf.DUMMYFUNCTION("""COMPUTED_VALUE"""),"&lt; 14")</f>
        <v>&lt; 14</v>
      </c>
      <c r="X1361" s="97" t="str">
        <f>IFERROR(__xludf.DUMMYFUNCTION("""COMPUTED_VALUE"""),"2700/3000")</f>
        <v>2700/3000</v>
      </c>
      <c r="Y1361" s="97" t="str">
        <f>IFERROR(__xludf.DUMMYFUNCTION("""COMPUTED_VALUE"""),"&gt;90")</f>
        <v>&gt;90</v>
      </c>
      <c r="Z1361" s="97" t="str">
        <f>IFERROR(__xludf.DUMMYFUNCTION("""COMPUTED_VALUE"""),"&gt;90")</f>
        <v>&gt;90</v>
      </c>
      <c r="AA1361" s="97" t="str">
        <f>IFERROR(__xludf.DUMMYFUNCTION("""COMPUTED_VALUE"""),"100 (Fidelidad neutra)")</f>
        <v>100 (Fidelidad neutra)</v>
      </c>
      <c r="AB1361" s="97" t="str">
        <f>IFERROR(__xludf.DUMMYFUNCTION("""COMPUTED_VALUE"""),"&lt; 3")</f>
        <v>&lt; 3</v>
      </c>
      <c r="AC1361" s="97">
        <f>IFERROR(__xludf.DUMMYFUNCTION("""COMPUTED_VALUE"""),-3.0E-4)</f>
        <v>-0.0003</v>
      </c>
      <c r="AD1361" s="97" t="str">
        <f>IFERROR(__xludf.DUMMYFUNCTION("""COMPUTED_VALUE"""),"IP20")</f>
        <v>IP20</v>
      </c>
      <c r="AE1361" s="97" t="str">
        <f>IFERROR(__xludf.DUMMYFUNCTION("""COMPUTED_VALUE"""),"Clase l")</f>
        <v>Clase l</v>
      </c>
      <c r="AF1361" s="97" t="str">
        <f>IFERROR(__xludf.DUMMYFUNCTION("""COMPUTED_VALUE"""),"Embutir")</f>
        <v>Embutir</v>
      </c>
      <c r="AG1361" s="97" t="str">
        <f>IFERROR(__xludf.DUMMYFUNCTION("""COMPUTED_VALUE"""),"126 x 31 x 40")</f>
        <v>126 x 31 x 40</v>
      </c>
      <c r="AH1361" s="97" t="str">
        <f>IFERROR(__xludf.DUMMYFUNCTION("""COMPUTED_VALUE"""),"122 x 27")</f>
        <v>122 x 27</v>
      </c>
      <c r="AI1361" s="97"/>
      <c r="AJ1361" s="97" t="str">
        <f>IFERROR(__xludf.DUMMYFUNCTION("""COMPUTED_VALUE"""),"Policarbonato (PC)")</f>
        <v>Policarbonato (PC)</v>
      </c>
      <c r="AK1361" s="97" t="str">
        <f>IFERROR(__xludf.DUMMYFUNCTION("""COMPUTED_VALUE"""),"Aluminio")</f>
        <v>Aluminio</v>
      </c>
      <c r="AL1361" s="97" t="str">
        <f>IFERROR(__xludf.DUMMYFUNCTION("""COMPUTED_VALUE"""),"Blanco y Negro")</f>
        <v>Blanco y Negro</v>
      </c>
      <c r="AM1361" s="97"/>
      <c r="AN1361" s="97" t="str">
        <f>IFERROR(__xludf.DUMMYFUNCTION("""COMPUTED_VALUE"""),"40.000hs (L70)")</f>
        <v>40.000hs (L70)</v>
      </c>
      <c r="AO1361" s="97" t="str">
        <f>IFERROR(__xludf.DUMMYFUNCTION("""COMPUTED_VALUE"""),"4 Años")</f>
        <v>4 Años</v>
      </c>
      <c r="AP1361" s="97" t="str">
        <f>IFERROR(__xludf.DUMMYFUNCTION("""COMPUTED_VALUE"""),"Falta")</f>
        <v>Falta</v>
      </c>
      <c r="AQ1361" s="97" t="str">
        <f>IFERROR(__xludf.DUMMYFUNCTION("""COMPUTED_VALUE"""),"Falta")</f>
        <v>Falta</v>
      </c>
      <c r="AR1361" s="97" t="str">
        <f>IFERROR(__xludf.DUMMYFUNCTION("""COMPUTED_VALUE"""),"En revisión")</f>
        <v>En revisión</v>
      </c>
      <c r="AS1361" s="97" t="str">
        <f>IFERROR(__xludf.DUMMYFUNCTION("""COMPUTED_VALUE"""),"Falta")</f>
        <v>Falta</v>
      </c>
      <c r="AT1361" s="97" t="str">
        <f>IFERROR(__xludf.DUMMYFUNCTION("""COMPUTED_VALUE"""),"Falta")</f>
        <v>Falta</v>
      </c>
      <c r="AU1361" s="97" t="str">
        <f>IFERROR(__xludf.DUMMYFUNCTION("""COMPUTED_VALUE"""),"Falta")</f>
        <v>Falta</v>
      </c>
      <c r="AV1361" s="97" t="str">
        <f>IFERROR(__xludf.DUMMYFUNCTION("""COMPUTED_VALUE"""),"Empotrable")</f>
        <v>Empotrable</v>
      </c>
      <c r="AW1361" s="97" t="str">
        <f>IFERROR(__xludf.DUMMYFUNCTION("""COMPUTED_VALUE"""),"De Techo")</f>
        <v>De Techo</v>
      </c>
      <c r="AX1361" s="97" t="str">
        <f>IFERROR(__xludf.DUMMYFUNCTION("""COMPUTED_VALUE"""),"Interior")</f>
        <v>Interior</v>
      </c>
      <c r="AY1361" s="97" t="str">
        <f>IFERROR(__xludf.DUMMYFUNCTION("""COMPUTED_VALUE"""),"Pocket")</f>
        <v>Pocket</v>
      </c>
      <c r="AZ1361" s="97"/>
      <c r="BA1361" s="97"/>
      <c r="BB1361" s="97"/>
      <c r="BC1361" s="97"/>
      <c r="BD1361" s="97"/>
      <c r="BE1361" s="97" t="str">
        <f>IFERROR(__xludf.DUMMYFUNCTION("""COMPUTED_VALUE"""),"Sin Ficha")</f>
        <v>Sin Ficha</v>
      </c>
      <c r="BF1361" s="97"/>
      <c r="BG1361" s="97" t="str">
        <f>IFERROR(__xludf.DUMMYFUNCTION("""COMPUTED_VALUE"""),"REPO 7")</f>
        <v>REPO 7</v>
      </c>
    </row>
    <row r="1362">
      <c r="A1362" s="97">
        <f>IFERROR(__xludf.DUMMYFUNCTION("""COMPUTED_VALUE"""),7462.0)</f>
        <v>7462</v>
      </c>
      <c r="B1362" s="97" t="str">
        <f>IFERROR(__xludf.DUMMYFUNCTION("""COMPUTED_VALUE"""),"POCKET MODULO VI NGNG 2CCT")</f>
        <v>POCKET MODULO VI NGNG 2CCT</v>
      </c>
      <c r="C1362" s="97" t="str">
        <f>IFERROR(__xludf.DUMMYFUNCTION("""COMPUTED_VALUE"""),"EMPOTRABLE POCKET MODULO VI NGNG 2CCT 10W 2700/3000K 600LM CRI&gt;90 IP20 LEUK")</f>
        <v>EMPOTRABLE POCKET MODULO VI NGNG 2CCT 10W 2700/3000K 600LM CRI&gt;90 IP20 LEUK</v>
      </c>
      <c r="D1362" s="97">
        <f>IFERROR(__xludf.DUMMYFUNCTION("""COMPUTED_VALUE"""),7.798413229356E12)</f>
        <v>7798413229356</v>
      </c>
      <c r="E1362" s="97" t="str">
        <f>IFERROR(__xludf.DUMMYFUNCTION("""COMPUTED_VALUE"""),"F69")</f>
        <v>F69</v>
      </c>
      <c r="F1362" s="97" t="str">
        <f>IFERROR(__xludf.DUMMYFUNCTION("""COMPUTED_VALUE"""),"LED SMD")</f>
        <v>LED SMD</v>
      </c>
      <c r="G1362" s="97" t="str">
        <f>IFERROR(__xludf.DUMMYFUNCTION("""COMPUTED_VALUE"""),"-")</f>
        <v>-</v>
      </c>
      <c r="H1362" s="97" t="str">
        <f>IFERROR(__xludf.DUMMYFUNCTION("""COMPUTED_VALUE"""),"N/A")</f>
        <v>N/A</v>
      </c>
      <c r="I1362" s="97" t="str">
        <f>IFERROR(__xludf.DUMMYFUNCTION("""COMPUTED_VALUE"""),"N/A")</f>
        <v>N/A</v>
      </c>
      <c r="J1362" s="97" t="str">
        <f>IFERROR(__xludf.DUMMYFUNCTION("""COMPUTED_VALUE"""),"N/A")</f>
        <v>N/A</v>
      </c>
      <c r="K1362" s="97" t="str">
        <f>IFERROR(__xludf.DUMMYFUNCTION("""COMPUTED_VALUE"""),"N/A")</f>
        <v>N/A</v>
      </c>
      <c r="L1362" s="97" t="str">
        <f>IFERROR(__xludf.DUMMYFUNCTION("""COMPUTED_VALUE"""),"200-240")</f>
        <v>200-240</v>
      </c>
      <c r="M1362" s="97" t="str">
        <f>IFERROR(__xludf.DUMMYFUNCTION("""COMPUTED_VALUE"""),"50/60")</f>
        <v>50/60</v>
      </c>
      <c r="N1362" s="97" t="str">
        <f>IFERROR(__xludf.DUMMYFUNCTION("""COMPUTED_VALUE"""),"Directa")</f>
        <v>Directa</v>
      </c>
      <c r="O1362" s="97">
        <f>IFERROR(__xludf.DUMMYFUNCTION("""COMPUTED_VALUE"""),10.0)</f>
        <v>10</v>
      </c>
      <c r="P1362" s="97">
        <f>IFERROR(__xludf.DUMMYFUNCTION("""COMPUTED_VALUE"""),9.3)</f>
        <v>9.3</v>
      </c>
      <c r="Q1362" s="97"/>
      <c r="R1362" s="97" t="str">
        <f>IFERROR(__xludf.DUMMYFUNCTION("""COMPUTED_VALUE"""),"-")</f>
        <v>-</v>
      </c>
      <c r="S1362" s="97" t="str">
        <f>IFERROR(__xludf.DUMMYFUNCTION("""COMPUTED_VALUE"""),"-")</f>
        <v>-</v>
      </c>
      <c r="T1362" s="97">
        <f>IFERROR(__xludf.DUMMYFUNCTION("""COMPUTED_VALUE"""),600.0)</f>
        <v>600</v>
      </c>
      <c r="U1362" s="97">
        <f>IFERROR(__xludf.DUMMYFUNCTION("""COMPUTED_VALUE"""),60.0)</f>
        <v>60</v>
      </c>
      <c r="V1362" s="97">
        <f>IFERROR(__xludf.DUMMYFUNCTION("""COMPUTED_VALUE"""),38.0)</f>
        <v>38</v>
      </c>
      <c r="W1362" s="97" t="str">
        <f>IFERROR(__xludf.DUMMYFUNCTION("""COMPUTED_VALUE"""),"&lt; 14")</f>
        <v>&lt; 14</v>
      </c>
      <c r="X1362" s="97" t="str">
        <f>IFERROR(__xludf.DUMMYFUNCTION("""COMPUTED_VALUE"""),"2700/3000")</f>
        <v>2700/3000</v>
      </c>
      <c r="Y1362" s="97" t="str">
        <f>IFERROR(__xludf.DUMMYFUNCTION("""COMPUTED_VALUE"""),"&gt;90")</f>
        <v>&gt;90</v>
      </c>
      <c r="Z1362" s="97" t="str">
        <f>IFERROR(__xludf.DUMMYFUNCTION("""COMPUTED_VALUE"""),"&gt;90")</f>
        <v>&gt;90</v>
      </c>
      <c r="AA1362" s="97" t="str">
        <f>IFERROR(__xludf.DUMMYFUNCTION("""COMPUTED_VALUE"""),"100 (Fidelidad neutra)")</f>
        <v>100 (Fidelidad neutra)</v>
      </c>
      <c r="AB1362" s="97" t="str">
        <f>IFERROR(__xludf.DUMMYFUNCTION("""COMPUTED_VALUE"""),"&lt; 3")</f>
        <v>&lt; 3</v>
      </c>
      <c r="AC1362" s="97">
        <f>IFERROR(__xludf.DUMMYFUNCTION("""COMPUTED_VALUE"""),-1.0E-4)</f>
        <v>-0.0001</v>
      </c>
      <c r="AD1362" s="97" t="str">
        <f>IFERROR(__xludf.DUMMYFUNCTION("""COMPUTED_VALUE"""),"IP20")</f>
        <v>IP20</v>
      </c>
      <c r="AE1362" s="97" t="str">
        <f>IFERROR(__xludf.DUMMYFUNCTION("""COMPUTED_VALUE"""),"Clase l")</f>
        <v>Clase l</v>
      </c>
      <c r="AF1362" s="97" t="str">
        <f>IFERROR(__xludf.DUMMYFUNCTION("""COMPUTED_VALUE"""),"Embutir")</f>
        <v>Embutir</v>
      </c>
      <c r="AG1362" s="97" t="str">
        <f>IFERROR(__xludf.DUMMYFUNCTION("""COMPUTED_VALUE"""),"126 x 31 x 40")</f>
        <v>126 x 31 x 40</v>
      </c>
      <c r="AH1362" s="97" t="str">
        <f>IFERROR(__xludf.DUMMYFUNCTION("""COMPUTED_VALUE"""),"122 x 27")</f>
        <v>122 x 27</v>
      </c>
      <c r="AI1362" s="97"/>
      <c r="AJ1362" s="97" t="str">
        <f>IFERROR(__xludf.DUMMYFUNCTION("""COMPUTED_VALUE"""),"Policarbonato (PC)")</f>
        <v>Policarbonato (PC)</v>
      </c>
      <c r="AK1362" s="97" t="str">
        <f>IFERROR(__xludf.DUMMYFUNCTION("""COMPUTED_VALUE"""),"Aluminio")</f>
        <v>Aluminio</v>
      </c>
      <c r="AL1362" s="97" t="str">
        <f>IFERROR(__xludf.DUMMYFUNCTION("""COMPUTED_VALUE"""),"Negro Satinado")</f>
        <v>Negro Satinado</v>
      </c>
      <c r="AM1362" s="97"/>
      <c r="AN1362" s="97" t="str">
        <f>IFERROR(__xludf.DUMMYFUNCTION("""COMPUTED_VALUE"""),"40.000hs (L70)")</f>
        <v>40.000hs (L70)</v>
      </c>
      <c r="AO1362" s="97" t="str">
        <f>IFERROR(__xludf.DUMMYFUNCTION("""COMPUTED_VALUE"""),"4 Años")</f>
        <v>4 Años</v>
      </c>
      <c r="AP1362" s="97" t="str">
        <f>IFERROR(__xludf.DUMMYFUNCTION("""COMPUTED_VALUE"""),"Falta")</f>
        <v>Falta</v>
      </c>
      <c r="AQ1362" s="97" t="str">
        <f>IFERROR(__xludf.DUMMYFUNCTION("""COMPUTED_VALUE"""),"Falta")</f>
        <v>Falta</v>
      </c>
      <c r="AR1362" s="97" t="str">
        <f>IFERROR(__xludf.DUMMYFUNCTION("""COMPUTED_VALUE"""),"En revisión")</f>
        <v>En revisión</v>
      </c>
      <c r="AS1362" s="97" t="str">
        <f>IFERROR(__xludf.DUMMYFUNCTION("""COMPUTED_VALUE"""),"Falta")</f>
        <v>Falta</v>
      </c>
      <c r="AT1362" s="97" t="str">
        <f>IFERROR(__xludf.DUMMYFUNCTION("""COMPUTED_VALUE"""),"Falta")</f>
        <v>Falta</v>
      </c>
      <c r="AU1362" s="97" t="str">
        <f>IFERROR(__xludf.DUMMYFUNCTION("""COMPUTED_VALUE"""),"Falta")</f>
        <v>Falta</v>
      </c>
      <c r="AV1362" s="97" t="str">
        <f>IFERROR(__xludf.DUMMYFUNCTION("""COMPUTED_VALUE"""),"Empotrable")</f>
        <v>Empotrable</v>
      </c>
      <c r="AW1362" s="97" t="str">
        <f>IFERROR(__xludf.DUMMYFUNCTION("""COMPUTED_VALUE"""),"De Techo")</f>
        <v>De Techo</v>
      </c>
      <c r="AX1362" s="97" t="str">
        <f>IFERROR(__xludf.DUMMYFUNCTION("""COMPUTED_VALUE"""),"Interior")</f>
        <v>Interior</v>
      </c>
      <c r="AY1362" s="97" t="str">
        <f>IFERROR(__xludf.DUMMYFUNCTION("""COMPUTED_VALUE"""),"Pocket")</f>
        <v>Pocket</v>
      </c>
      <c r="AZ1362" s="97"/>
      <c r="BA1362" s="97"/>
      <c r="BB1362" s="97"/>
      <c r="BC1362" s="97"/>
      <c r="BD1362" s="97"/>
      <c r="BE1362" s="97" t="str">
        <f>IFERROR(__xludf.DUMMYFUNCTION("""COMPUTED_VALUE"""),"Sin Ficha")</f>
        <v>Sin Ficha</v>
      </c>
      <c r="BF1362" s="97"/>
      <c r="BG1362" s="97" t="str">
        <f>IFERROR(__xludf.DUMMYFUNCTION("""COMPUTED_VALUE"""),"REPO 7")</f>
        <v>REPO 7</v>
      </c>
    </row>
    <row r="1363">
      <c r="A1363" s="97">
        <f>IFERROR(__xludf.DUMMYFUNCTION("""COMPUTED_VALUE"""),7463.0)</f>
        <v>7463</v>
      </c>
      <c r="B1363" s="97" t="str">
        <f>IFERROR(__xludf.DUMMYFUNCTION("""COMPUTED_VALUE"""),"POCKET MODULO XII BLBL 2CCT")</f>
        <v>POCKET MODULO XII BLBL 2CCT</v>
      </c>
      <c r="C1363" s="97" t="str">
        <f>IFERROR(__xludf.DUMMYFUNCTION("""COMPUTED_VALUE"""),"EMPOTRABLE POCKET MODULO XII BLBL 2CCT 20W 2700/3000K 1350LM CRI&gt;90 IP20 LEUK")</f>
        <v>EMPOTRABLE POCKET MODULO XII BLBL 2CCT 20W 2700/3000K 1350LM CRI&gt;90 IP20 LEUK</v>
      </c>
      <c r="D1363" s="97">
        <f>IFERROR(__xludf.DUMMYFUNCTION("""COMPUTED_VALUE"""),7.798413229363E12)</f>
        <v>7798413229363</v>
      </c>
      <c r="E1363" s="97" t="str">
        <f>IFERROR(__xludf.DUMMYFUNCTION("""COMPUTED_VALUE"""),"F46")</f>
        <v>F46</v>
      </c>
      <c r="F1363" s="97" t="str">
        <f>IFERROR(__xludf.DUMMYFUNCTION("""COMPUTED_VALUE"""),"LED SMD")</f>
        <v>LED SMD</v>
      </c>
      <c r="G1363" s="97" t="str">
        <f>IFERROR(__xludf.DUMMYFUNCTION("""COMPUTED_VALUE"""),"-")</f>
        <v>-</v>
      </c>
      <c r="H1363" s="97" t="str">
        <f>IFERROR(__xludf.DUMMYFUNCTION("""COMPUTED_VALUE"""),"N/A")</f>
        <v>N/A</v>
      </c>
      <c r="I1363" s="97" t="str">
        <f>IFERROR(__xludf.DUMMYFUNCTION("""COMPUTED_VALUE"""),"N/A")</f>
        <v>N/A</v>
      </c>
      <c r="J1363" s="97" t="str">
        <f>IFERROR(__xludf.DUMMYFUNCTION("""COMPUTED_VALUE"""),"N/A")</f>
        <v>N/A</v>
      </c>
      <c r="K1363" s="97" t="str">
        <f>IFERROR(__xludf.DUMMYFUNCTION("""COMPUTED_VALUE"""),"N/A")</f>
        <v>N/A</v>
      </c>
      <c r="L1363" s="97" t="str">
        <f>IFERROR(__xludf.DUMMYFUNCTION("""COMPUTED_VALUE"""),"200-240")</f>
        <v>200-240</v>
      </c>
      <c r="M1363" s="97" t="str">
        <f>IFERROR(__xludf.DUMMYFUNCTION("""COMPUTED_VALUE"""),"50/60")</f>
        <v>50/60</v>
      </c>
      <c r="N1363" s="97" t="str">
        <f>IFERROR(__xludf.DUMMYFUNCTION("""COMPUTED_VALUE"""),"Directa")</f>
        <v>Directa</v>
      </c>
      <c r="O1363" s="97">
        <f>IFERROR(__xludf.DUMMYFUNCTION("""COMPUTED_VALUE"""),20.0)</f>
        <v>20</v>
      </c>
      <c r="P1363" s="97">
        <f>IFERROR(__xludf.DUMMYFUNCTION("""COMPUTED_VALUE"""),19.3)</f>
        <v>19.3</v>
      </c>
      <c r="Q1363" s="97"/>
      <c r="R1363" s="97" t="str">
        <f>IFERROR(__xludf.DUMMYFUNCTION("""COMPUTED_VALUE"""),"-")</f>
        <v>-</v>
      </c>
      <c r="S1363" s="97" t="str">
        <f>IFERROR(__xludf.DUMMYFUNCTION("""COMPUTED_VALUE"""),"-")</f>
        <v>-</v>
      </c>
      <c r="T1363" s="97">
        <f>IFERROR(__xludf.DUMMYFUNCTION("""COMPUTED_VALUE"""),1350.0)</f>
        <v>1350</v>
      </c>
      <c r="U1363" s="99">
        <f>IFERROR(__xludf.DUMMYFUNCTION("""COMPUTED_VALUE"""),67.5)</f>
        <v>67.5</v>
      </c>
      <c r="V1363" s="97">
        <f>IFERROR(__xludf.DUMMYFUNCTION("""COMPUTED_VALUE"""),38.0)</f>
        <v>38</v>
      </c>
      <c r="W1363" s="97" t="str">
        <f>IFERROR(__xludf.DUMMYFUNCTION("""COMPUTED_VALUE"""),"&lt; 14")</f>
        <v>&lt; 14</v>
      </c>
      <c r="X1363" s="97" t="str">
        <f>IFERROR(__xludf.DUMMYFUNCTION("""COMPUTED_VALUE"""),"2700/3000")</f>
        <v>2700/3000</v>
      </c>
      <c r="Y1363" s="97" t="str">
        <f>IFERROR(__xludf.DUMMYFUNCTION("""COMPUTED_VALUE"""),"&gt;90")</f>
        <v>&gt;90</v>
      </c>
      <c r="Z1363" s="97" t="str">
        <f>IFERROR(__xludf.DUMMYFUNCTION("""COMPUTED_VALUE"""),"&gt;90")</f>
        <v>&gt;90</v>
      </c>
      <c r="AA1363" s="97" t="str">
        <f>IFERROR(__xludf.DUMMYFUNCTION("""COMPUTED_VALUE"""),"100 (Fidelidad neutra)")</f>
        <v>100 (Fidelidad neutra)</v>
      </c>
      <c r="AB1363" s="97" t="str">
        <f>IFERROR(__xludf.DUMMYFUNCTION("""COMPUTED_VALUE"""),"&lt; 3")</f>
        <v>&lt; 3</v>
      </c>
      <c r="AC1363" s="97">
        <f>IFERROR(__xludf.DUMMYFUNCTION("""COMPUTED_VALUE"""),-1.0E-4)</f>
        <v>-0.0001</v>
      </c>
      <c r="AD1363" s="97" t="str">
        <f>IFERROR(__xludf.DUMMYFUNCTION("""COMPUTED_VALUE"""),"IP20")</f>
        <v>IP20</v>
      </c>
      <c r="AE1363" s="97" t="str">
        <f>IFERROR(__xludf.DUMMYFUNCTION("""COMPUTED_VALUE"""),"Clase l")</f>
        <v>Clase l</v>
      </c>
      <c r="AF1363" s="97" t="str">
        <f>IFERROR(__xludf.DUMMYFUNCTION("""COMPUTED_VALUE"""),"Embutir")</f>
        <v>Embutir</v>
      </c>
      <c r="AG1363" s="97" t="str">
        <f>IFERROR(__xludf.DUMMYFUNCTION("""COMPUTED_VALUE"""),"240 x 31 x 40")</f>
        <v>240 x 31 x 40</v>
      </c>
      <c r="AH1363" s="97" t="str">
        <f>IFERROR(__xludf.DUMMYFUNCTION("""COMPUTED_VALUE"""),"236 x 27")</f>
        <v>236 x 27</v>
      </c>
      <c r="AI1363" s="97"/>
      <c r="AJ1363" s="97" t="str">
        <f>IFERROR(__xludf.DUMMYFUNCTION("""COMPUTED_VALUE"""),"Policarbonato (PC)")</f>
        <v>Policarbonato (PC)</v>
      </c>
      <c r="AK1363" s="97" t="str">
        <f>IFERROR(__xludf.DUMMYFUNCTION("""COMPUTED_VALUE"""),"Aluminio")</f>
        <v>Aluminio</v>
      </c>
      <c r="AL1363" s="97" t="str">
        <f>IFERROR(__xludf.DUMMYFUNCTION("""COMPUTED_VALUE"""),"Blanco Satinado")</f>
        <v>Blanco Satinado</v>
      </c>
      <c r="AM1363" s="97"/>
      <c r="AN1363" s="97" t="str">
        <f>IFERROR(__xludf.DUMMYFUNCTION("""COMPUTED_VALUE"""),"40.000hs (L70)")</f>
        <v>40.000hs (L70)</v>
      </c>
      <c r="AO1363" s="97" t="str">
        <f>IFERROR(__xludf.DUMMYFUNCTION("""COMPUTED_VALUE"""),"4 Años")</f>
        <v>4 Años</v>
      </c>
      <c r="AP1363" s="97" t="str">
        <f>IFERROR(__xludf.DUMMYFUNCTION("""COMPUTED_VALUE"""),"Falta")</f>
        <v>Falta</v>
      </c>
      <c r="AQ1363" s="97" t="str">
        <f>IFERROR(__xludf.DUMMYFUNCTION("""COMPUTED_VALUE"""),"Falta")</f>
        <v>Falta</v>
      </c>
      <c r="AR1363" s="97" t="str">
        <f>IFERROR(__xludf.DUMMYFUNCTION("""COMPUTED_VALUE"""),"En revisión")</f>
        <v>En revisión</v>
      </c>
      <c r="AS1363" s="97" t="str">
        <f>IFERROR(__xludf.DUMMYFUNCTION("""COMPUTED_VALUE"""),"Falta")</f>
        <v>Falta</v>
      </c>
      <c r="AT1363" s="97" t="str">
        <f>IFERROR(__xludf.DUMMYFUNCTION("""COMPUTED_VALUE"""),"Falta")</f>
        <v>Falta</v>
      </c>
      <c r="AU1363" s="97" t="str">
        <f>IFERROR(__xludf.DUMMYFUNCTION("""COMPUTED_VALUE"""),"Falta")</f>
        <v>Falta</v>
      </c>
      <c r="AV1363" s="97" t="str">
        <f>IFERROR(__xludf.DUMMYFUNCTION("""COMPUTED_VALUE"""),"Empotrable")</f>
        <v>Empotrable</v>
      </c>
      <c r="AW1363" s="97" t="str">
        <f>IFERROR(__xludf.DUMMYFUNCTION("""COMPUTED_VALUE"""),"De Techo")</f>
        <v>De Techo</v>
      </c>
      <c r="AX1363" s="97" t="str">
        <f>IFERROR(__xludf.DUMMYFUNCTION("""COMPUTED_VALUE"""),"Interior")</f>
        <v>Interior</v>
      </c>
      <c r="AY1363" s="97" t="str">
        <f>IFERROR(__xludf.DUMMYFUNCTION("""COMPUTED_VALUE"""),"Pocket")</f>
        <v>Pocket</v>
      </c>
      <c r="AZ1363" s="97"/>
      <c r="BA1363" s="97"/>
      <c r="BB1363" s="97"/>
      <c r="BC1363" s="97"/>
      <c r="BD1363" s="97"/>
      <c r="BE1363" s="97" t="str">
        <f>IFERROR(__xludf.DUMMYFUNCTION("""COMPUTED_VALUE"""),"Sin Ficha")</f>
        <v>Sin Ficha</v>
      </c>
      <c r="BF1363" s="97"/>
      <c r="BG1363" s="97" t="str">
        <f>IFERROR(__xludf.DUMMYFUNCTION("""COMPUTED_VALUE"""),"REPO 7")</f>
        <v>REPO 7</v>
      </c>
    </row>
    <row r="1364">
      <c r="A1364" s="97">
        <f>IFERROR(__xludf.DUMMYFUNCTION("""COMPUTED_VALUE"""),7464.0)</f>
        <v>7464</v>
      </c>
      <c r="B1364" s="97" t="str">
        <f>IFERROR(__xludf.DUMMYFUNCTION("""COMPUTED_VALUE"""),"POCKET MODULO XII BLNG 2CCT")</f>
        <v>POCKET MODULO XII BLNG 2CCT</v>
      </c>
      <c r="C1364" s="97" t="str">
        <f>IFERROR(__xludf.DUMMYFUNCTION("""COMPUTED_VALUE"""),"EMPOTRABLE POCKET MODULO XII BLNG 2CCT 20W 2700/3000K 1350LM CRI&gt;90 IP20 LEUK")</f>
        <v>EMPOTRABLE POCKET MODULO XII BLNG 2CCT 20W 2700/3000K 1350LM CRI&gt;90 IP20 LEUK</v>
      </c>
      <c r="D1364" s="97">
        <f>IFERROR(__xludf.DUMMYFUNCTION("""COMPUTED_VALUE"""),7.79841322937E12)</f>
        <v>7798413229370</v>
      </c>
      <c r="E1364" s="97" t="str">
        <f>IFERROR(__xludf.DUMMYFUNCTION("""COMPUTED_VALUE"""),"F46")</f>
        <v>F46</v>
      </c>
      <c r="F1364" s="97" t="str">
        <f>IFERROR(__xludf.DUMMYFUNCTION("""COMPUTED_VALUE"""),"LED SMD")</f>
        <v>LED SMD</v>
      </c>
      <c r="G1364" s="97" t="str">
        <f>IFERROR(__xludf.DUMMYFUNCTION("""COMPUTED_VALUE"""),"-")</f>
        <v>-</v>
      </c>
      <c r="H1364" s="97" t="str">
        <f>IFERROR(__xludf.DUMMYFUNCTION("""COMPUTED_VALUE"""),"N/A")</f>
        <v>N/A</v>
      </c>
      <c r="I1364" s="97" t="str">
        <f>IFERROR(__xludf.DUMMYFUNCTION("""COMPUTED_VALUE"""),"N/A")</f>
        <v>N/A</v>
      </c>
      <c r="J1364" s="97" t="str">
        <f>IFERROR(__xludf.DUMMYFUNCTION("""COMPUTED_VALUE"""),"N/A")</f>
        <v>N/A</v>
      </c>
      <c r="K1364" s="97" t="str">
        <f>IFERROR(__xludf.DUMMYFUNCTION("""COMPUTED_VALUE"""),"N/A")</f>
        <v>N/A</v>
      </c>
      <c r="L1364" s="97" t="str">
        <f>IFERROR(__xludf.DUMMYFUNCTION("""COMPUTED_VALUE"""),"200-240")</f>
        <v>200-240</v>
      </c>
      <c r="M1364" s="97" t="str">
        <f>IFERROR(__xludf.DUMMYFUNCTION("""COMPUTED_VALUE"""),"50/60")</f>
        <v>50/60</v>
      </c>
      <c r="N1364" s="97" t="str">
        <f>IFERROR(__xludf.DUMMYFUNCTION("""COMPUTED_VALUE"""),"Directa")</f>
        <v>Directa</v>
      </c>
      <c r="O1364" s="97">
        <f>IFERROR(__xludf.DUMMYFUNCTION("""COMPUTED_VALUE"""),20.0)</f>
        <v>20</v>
      </c>
      <c r="P1364" s="97">
        <f>IFERROR(__xludf.DUMMYFUNCTION("""COMPUTED_VALUE"""),19.3)</f>
        <v>19.3</v>
      </c>
      <c r="Q1364" s="97"/>
      <c r="R1364" s="97" t="str">
        <f>IFERROR(__xludf.DUMMYFUNCTION("""COMPUTED_VALUE"""),"-")</f>
        <v>-</v>
      </c>
      <c r="S1364" s="97" t="str">
        <f>IFERROR(__xludf.DUMMYFUNCTION("""COMPUTED_VALUE"""),"-")</f>
        <v>-</v>
      </c>
      <c r="T1364" s="97">
        <f>IFERROR(__xludf.DUMMYFUNCTION("""COMPUTED_VALUE"""),1350.0)</f>
        <v>1350</v>
      </c>
      <c r="U1364" s="99">
        <f>IFERROR(__xludf.DUMMYFUNCTION("""COMPUTED_VALUE"""),67.5)</f>
        <v>67.5</v>
      </c>
      <c r="V1364" s="97">
        <f>IFERROR(__xludf.DUMMYFUNCTION("""COMPUTED_VALUE"""),38.0)</f>
        <v>38</v>
      </c>
      <c r="W1364" s="97" t="str">
        <f>IFERROR(__xludf.DUMMYFUNCTION("""COMPUTED_VALUE"""),"&lt; 14")</f>
        <v>&lt; 14</v>
      </c>
      <c r="X1364" s="97" t="str">
        <f>IFERROR(__xludf.DUMMYFUNCTION("""COMPUTED_VALUE"""),"2700/3000")</f>
        <v>2700/3000</v>
      </c>
      <c r="Y1364" s="97" t="str">
        <f>IFERROR(__xludf.DUMMYFUNCTION("""COMPUTED_VALUE"""),"&gt;90")</f>
        <v>&gt;90</v>
      </c>
      <c r="Z1364" s="97" t="str">
        <f>IFERROR(__xludf.DUMMYFUNCTION("""COMPUTED_VALUE"""),"&gt;90")</f>
        <v>&gt;90</v>
      </c>
      <c r="AA1364" s="97" t="str">
        <f>IFERROR(__xludf.DUMMYFUNCTION("""COMPUTED_VALUE"""),"100 (Fidelidad neutra)")</f>
        <v>100 (Fidelidad neutra)</v>
      </c>
      <c r="AB1364" s="97" t="str">
        <f>IFERROR(__xludf.DUMMYFUNCTION("""COMPUTED_VALUE"""),"&lt; 3")</f>
        <v>&lt; 3</v>
      </c>
      <c r="AC1364" s="97">
        <f>IFERROR(__xludf.DUMMYFUNCTION("""COMPUTED_VALUE"""),2.0E-4)</f>
        <v>0.0002</v>
      </c>
      <c r="AD1364" s="97" t="str">
        <f>IFERROR(__xludf.DUMMYFUNCTION("""COMPUTED_VALUE"""),"IP20")</f>
        <v>IP20</v>
      </c>
      <c r="AE1364" s="97" t="str">
        <f>IFERROR(__xludf.DUMMYFUNCTION("""COMPUTED_VALUE"""),"Clase l")</f>
        <v>Clase l</v>
      </c>
      <c r="AF1364" s="97" t="str">
        <f>IFERROR(__xludf.DUMMYFUNCTION("""COMPUTED_VALUE"""),"Embutir")</f>
        <v>Embutir</v>
      </c>
      <c r="AG1364" s="97" t="str">
        <f>IFERROR(__xludf.DUMMYFUNCTION("""COMPUTED_VALUE"""),"240 x 31 x 40")</f>
        <v>240 x 31 x 40</v>
      </c>
      <c r="AH1364" s="97" t="str">
        <f>IFERROR(__xludf.DUMMYFUNCTION("""COMPUTED_VALUE"""),"236 x 27")</f>
        <v>236 x 27</v>
      </c>
      <c r="AI1364" s="97"/>
      <c r="AJ1364" s="97" t="str">
        <f>IFERROR(__xludf.DUMMYFUNCTION("""COMPUTED_VALUE"""),"Policarbonato (PC)")</f>
        <v>Policarbonato (PC)</v>
      </c>
      <c r="AK1364" s="97" t="str">
        <f>IFERROR(__xludf.DUMMYFUNCTION("""COMPUTED_VALUE"""),"Aluminio")</f>
        <v>Aluminio</v>
      </c>
      <c r="AL1364" s="97" t="str">
        <f>IFERROR(__xludf.DUMMYFUNCTION("""COMPUTED_VALUE"""),"Blanco y Negro")</f>
        <v>Blanco y Negro</v>
      </c>
      <c r="AM1364" s="97"/>
      <c r="AN1364" s="97" t="str">
        <f>IFERROR(__xludf.DUMMYFUNCTION("""COMPUTED_VALUE"""),"40.000hs (L70)")</f>
        <v>40.000hs (L70)</v>
      </c>
      <c r="AO1364" s="97" t="str">
        <f>IFERROR(__xludf.DUMMYFUNCTION("""COMPUTED_VALUE"""),"4 Años")</f>
        <v>4 Años</v>
      </c>
      <c r="AP1364" s="97" t="str">
        <f>IFERROR(__xludf.DUMMYFUNCTION("""COMPUTED_VALUE"""),"Falta")</f>
        <v>Falta</v>
      </c>
      <c r="AQ1364" s="97" t="str">
        <f>IFERROR(__xludf.DUMMYFUNCTION("""COMPUTED_VALUE"""),"Falta")</f>
        <v>Falta</v>
      </c>
      <c r="AR1364" s="97" t="str">
        <f>IFERROR(__xludf.DUMMYFUNCTION("""COMPUTED_VALUE"""),"En revisión")</f>
        <v>En revisión</v>
      </c>
      <c r="AS1364" s="97" t="str">
        <f>IFERROR(__xludf.DUMMYFUNCTION("""COMPUTED_VALUE"""),"Falta")</f>
        <v>Falta</v>
      </c>
      <c r="AT1364" s="97" t="str">
        <f>IFERROR(__xludf.DUMMYFUNCTION("""COMPUTED_VALUE"""),"Falta")</f>
        <v>Falta</v>
      </c>
      <c r="AU1364" s="97" t="str">
        <f>IFERROR(__xludf.DUMMYFUNCTION("""COMPUTED_VALUE"""),"Falta")</f>
        <v>Falta</v>
      </c>
      <c r="AV1364" s="97" t="str">
        <f>IFERROR(__xludf.DUMMYFUNCTION("""COMPUTED_VALUE"""),"Empotrable")</f>
        <v>Empotrable</v>
      </c>
      <c r="AW1364" s="97" t="str">
        <f>IFERROR(__xludf.DUMMYFUNCTION("""COMPUTED_VALUE"""),"De Techo")</f>
        <v>De Techo</v>
      </c>
      <c r="AX1364" s="97" t="str">
        <f>IFERROR(__xludf.DUMMYFUNCTION("""COMPUTED_VALUE"""),"Interior")</f>
        <v>Interior</v>
      </c>
      <c r="AY1364" s="97" t="str">
        <f>IFERROR(__xludf.DUMMYFUNCTION("""COMPUTED_VALUE"""),"Pocket")</f>
        <v>Pocket</v>
      </c>
      <c r="AZ1364" s="97"/>
      <c r="BA1364" s="97"/>
      <c r="BB1364" s="97"/>
      <c r="BC1364" s="97"/>
      <c r="BD1364" s="97"/>
      <c r="BE1364" s="97" t="str">
        <f>IFERROR(__xludf.DUMMYFUNCTION("""COMPUTED_VALUE"""),"Sin Ficha")</f>
        <v>Sin Ficha</v>
      </c>
      <c r="BF1364" s="97"/>
      <c r="BG1364" s="97" t="str">
        <f>IFERROR(__xludf.DUMMYFUNCTION("""COMPUTED_VALUE"""),"REPO 7")</f>
        <v>REPO 7</v>
      </c>
    </row>
    <row r="1365">
      <c r="A1365" s="97">
        <f>IFERROR(__xludf.DUMMYFUNCTION("""COMPUTED_VALUE"""),7465.0)</f>
        <v>7465</v>
      </c>
      <c r="B1365" s="97" t="str">
        <f>IFERROR(__xludf.DUMMYFUNCTION("""COMPUTED_VALUE"""),"POCKET MODULO XII NGNG 2CCT")</f>
        <v>POCKET MODULO XII NGNG 2CCT</v>
      </c>
      <c r="C1365" s="97" t="str">
        <f>IFERROR(__xludf.DUMMYFUNCTION("""COMPUTED_VALUE"""),"EMPOTRABLE POCKET MODULO XII NGNG 2CCT 20W 2700/3000K 1350LM CRI&gt;90 IP20 LEUK")</f>
        <v>EMPOTRABLE POCKET MODULO XII NGNG 2CCT 20W 2700/3000K 1350LM CRI&gt;90 IP20 LEUK</v>
      </c>
      <c r="D1365" s="97">
        <f>IFERROR(__xludf.DUMMYFUNCTION("""COMPUTED_VALUE"""),7.798413229387E12)</f>
        <v>7798413229387</v>
      </c>
      <c r="E1365" s="97" t="str">
        <f>IFERROR(__xludf.DUMMYFUNCTION("""COMPUTED_VALUE"""),"F46")</f>
        <v>F46</v>
      </c>
      <c r="F1365" s="97" t="str">
        <f>IFERROR(__xludf.DUMMYFUNCTION("""COMPUTED_VALUE"""),"LED SMD")</f>
        <v>LED SMD</v>
      </c>
      <c r="G1365" s="97" t="str">
        <f>IFERROR(__xludf.DUMMYFUNCTION("""COMPUTED_VALUE"""),"-")</f>
        <v>-</v>
      </c>
      <c r="H1365" s="97" t="str">
        <f>IFERROR(__xludf.DUMMYFUNCTION("""COMPUTED_VALUE"""),"N/A")</f>
        <v>N/A</v>
      </c>
      <c r="I1365" s="97" t="str">
        <f>IFERROR(__xludf.DUMMYFUNCTION("""COMPUTED_VALUE"""),"N/A")</f>
        <v>N/A</v>
      </c>
      <c r="J1365" s="97" t="str">
        <f>IFERROR(__xludf.DUMMYFUNCTION("""COMPUTED_VALUE"""),"N/A")</f>
        <v>N/A</v>
      </c>
      <c r="K1365" s="97" t="str">
        <f>IFERROR(__xludf.DUMMYFUNCTION("""COMPUTED_VALUE"""),"N/A")</f>
        <v>N/A</v>
      </c>
      <c r="L1365" s="97" t="str">
        <f>IFERROR(__xludf.DUMMYFUNCTION("""COMPUTED_VALUE"""),"200-240")</f>
        <v>200-240</v>
      </c>
      <c r="M1365" s="97" t="str">
        <f>IFERROR(__xludf.DUMMYFUNCTION("""COMPUTED_VALUE"""),"50/60")</f>
        <v>50/60</v>
      </c>
      <c r="N1365" s="97" t="str">
        <f>IFERROR(__xludf.DUMMYFUNCTION("""COMPUTED_VALUE"""),"Directa")</f>
        <v>Directa</v>
      </c>
      <c r="O1365" s="97">
        <f>IFERROR(__xludf.DUMMYFUNCTION("""COMPUTED_VALUE"""),20.0)</f>
        <v>20</v>
      </c>
      <c r="P1365" s="97">
        <f>IFERROR(__xludf.DUMMYFUNCTION("""COMPUTED_VALUE"""),19.3)</f>
        <v>19.3</v>
      </c>
      <c r="Q1365" s="97"/>
      <c r="R1365" s="97" t="str">
        <f>IFERROR(__xludf.DUMMYFUNCTION("""COMPUTED_VALUE"""),"-")</f>
        <v>-</v>
      </c>
      <c r="S1365" s="97" t="str">
        <f>IFERROR(__xludf.DUMMYFUNCTION("""COMPUTED_VALUE"""),"-")</f>
        <v>-</v>
      </c>
      <c r="T1365" s="97">
        <f>IFERROR(__xludf.DUMMYFUNCTION("""COMPUTED_VALUE"""),1350.0)</f>
        <v>1350</v>
      </c>
      <c r="U1365" s="99">
        <f>IFERROR(__xludf.DUMMYFUNCTION("""COMPUTED_VALUE"""),67.5)</f>
        <v>67.5</v>
      </c>
      <c r="V1365" s="97">
        <f>IFERROR(__xludf.DUMMYFUNCTION("""COMPUTED_VALUE"""),38.0)</f>
        <v>38</v>
      </c>
      <c r="W1365" s="97" t="str">
        <f>IFERROR(__xludf.DUMMYFUNCTION("""COMPUTED_VALUE"""),"&lt; 14")</f>
        <v>&lt; 14</v>
      </c>
      <c r="X1365" s="97" t="str">
        <f>IFERROR(__xludf.DUMMYFUNCTION("""COMPUTED_VALUE"""),"2700/3000")</f>
        <v>2700/3000</v>
      </c>
      <c r="Y1365" s="97" t="str">
        <f>IFERROR(__xludf.DUMMYFUNCTION("""COMPUTED_VALUE"""),"&gt;90")</f>
        <v>&gt;90</v>
      </c>
      <c r="Z1365" s="97" t="str">
        <f>IFERROR(__xludf.DUMMYFUNCTION("""COMPUTED_VALUE"""),"&gt;90")</f>
        <v>&gt;90</v>
      </c>
      <c r="AA1365" s="97" t="str">
        <f>IFERROR(__xludf.DUMMYFUNCTION("""COMPUTED_VALUE"""),"100 (Fidelidad neutra)")</f>
        <v>100 (Fidelidad neutra)</v>
      </c>
      <c r="AB1365" s="97" t="str">
        <f>IFERROR(__xludf.DUMMYFUNCTION("""COMPUTED_VALUE"""),"&lt; 3")</f>
        <v>&lt; 3</v>
      </c>
      <c r="AC1365" s="97">
        <f>IFERROR(__xludf.DUMMYFUNCTION("""COMPUTED_VALUE"""),2.0E-4)</f>
        <v>0.0002</v>
      </c>
      <c r="AD1365" s="97" t="str">
        <f>IFERROR(__xludf.DUMMYFUNCTION("""COMPUTED_VALUE"""),"IP20")</f>
        <v>IP20</v>
      </c>
      <c r="AE1365" s="97" t="str">
        <f>IFERROR(__xludf.DUMMYFUNCTION("""COMPUTED_VALUE"""),"Clase l")</f>
        <v>Clase l</v>
      </c>
      <c r="AF1365" s="97" t="str">
        <f>IFERROR(__xludf.DUMMYFUNCTION("""COMPUTED_VALUE"""),"Embutir")</f>
        <v>Embutir</v>
      </c>
      <c r="AG1365" s="97" t="str">
        <f>IFERROR(__xludf.DUMMYFUNCTION("""COMPUTED_VALUE"""),"240 x 31 x 40")</f>
        <v>240 x 31 x 40</v>
      </c>
      <c r="AH1365" s="97" t="str">
        <f>IFERROR(__xludf.DUMMYFUNCTION("""COMPUTED_VALUE"""),"236 x 27")</f>
        <v>236 x 27</v>
      </c>
      <c r="AI1365" s="97"/>
      <c r="AJ1365" s="97" t="str">
        <f>IFERROR(__xludf.DUMMYFUNCTION("""COMPUTED_VALUE"""),"Policarbonato (PC)")</f>
        <v>Policarbonato (PC)</v>
      </c>
      <c r="AK1365" s="97" t="str">
        <f>IFERROR(__xludf.DUMMYFUNCTION("""COMPUTED_VALUE"""),"Aluminio")</f>
        <v>Aluminio</v>
      </c>
      <c r="AL1365" s="97" t="str">
        <f>IFERROR(__xludf.DUMMYFUNCTION("""COMPUTED_VALUE"""),"Negro Satinado")</f>
        <v>Negro Satinado</v>
      </c>
      <c r="AM1365" s="97"/>
      <c r="AN1365" s="97" t="str">
        <f>IFERROR(__xludf.DUMMYFUNCTION("""COMPUTED_VALUE"""),"40.000hs (L70)")</f>
        <v>40.000hs (L70)</v>
      </c>
      <c r="AO1365" s="97" t="str">
        <f>IFERROR(__xludf.DUMMYFUNCTION("""COMPUTED_VALUE"""),"4 Años")</f>
        <v>4 Años</v>
      </c>
      <c r="AP1365" s="97" t="str">
        <f>IFERROR(__xludf.DUMMYFUNCTION("""COMPUTED_VALUE"""),"Falta")</f>
        <v>Falta</v>
      </c>
      <c r="AQ1365" s="97" t="str">
        <f>IFERROR(__xludf.DUMMYFUNCTION("""COMPUTED_VALUE"""),"Falta")</f>
        <v>Falta</v>
      </c>
      <c r="AR1365" s="97" t="str">
        <f>IFERROR(__xludf.DUMMYFUNCTION("""COMPUTED_VALUE"""),"En revisión")</f>
        <v>En revisión</v>
      </c>
      <c r="AS1365" s="97" t="str">
        <f>IFERROR(__xludf.DUMMYFUNCTION("""COMPUTED_VALUE"""),"Falta")</f>
        <v>Falta</v>
      </c>
      <c r="AT1365" s="97" t="str">
        <f>IFERROR(__xludf.DUMMYFUNCTION("""COMPUTED_VALUE"""),"Falta")</f>
        <v>Falta</v>
      </c>
      <c r="AU1365" s="97" t="str">
        <f>IFERROR(__xludf.DUMMYFUNCTION("""COMPUTED_VALUE"""),"Falta")</f>
        <v>Falta</v>
      </c>
      <c r="AV1365" s="97" t="str">
        <f>IFERROR(__xludf.DUMMYFUNCTION("""COMPUTED_VALUE"""),"Empotrable")</f>
        <v>Empotrable</v>
      </c>
      <c r="AW1365" s="97" t="str">
        <f>IFERROR(__xludf.DUMMYFUNCTION("""COMPUTED_VALUE"""),"De Techo")</f>
        <v>De Techo</v>
      </c>
      <c r="AX1365" s="97" t="str">
        <f>IFERROR(__xludf.DUMMYFUNCTION("""COMPUTED_VALUE"""),"Interior")</f>
        <v>Interior</v>
      </c>
      <c r="AY1365" s="97" t="str">
        <f>IFERROR(__xludf.DUMMYFUNCTION("""COMPUTED_VALUE"""),"Pocket")</f>
        <v>Pocket</v>
      </c>
      <c r="AZ1365" s="97"/>
      <c r="BA1365" s="97"/>
      <c r="BB1365" s="97"/>
      <c r="BC1365" s="97"/>
      <c r="BD1365" s="97"/>
      <c r="BE1365" s="97" t="str">
        <f>IFERROR(__xludf.DUMMYFUNCTION("""COMPUTED_VALUE"""),"Sin Ficha")</f>
        <v>Sin Ficha</v>
      </c>
      <c r="BF1365" s="97"/>
      <c r="BG1365" s="97" t="str">
        <f>IFERROR(__xludf.DUMMYFUNCTION("""COMPUTED_VALUE"""),"REPO 7")</f>
        <v>REPO 7</v>
      </c>
    </row>
    <row r="1366">
      <c r="A1366" s="97">
        <f>IFERROR(__xludf.DUMMYFUNCTION("""COMPUTED_VALUE"""),7466.0)</f>
        <v>7466</v>
      </c>
      <c r="B1366" s="97" t="str">
        <f>IFERROR(__xludf.DUMMYFUNCTION("""COMPUTED_VALUE"""),"GALIA GR")</f>
        <v>GALIA GR</v>
      </c>
      <c r="C1366" s="97" t="str">
        <f>IFERROR(__xludf.DUMMYFUNCTION("""COMPUTED_VALUE"""),"COLGANTE GALIA GR 12W 3000K 725LM CRI&gt;90 IP20 LEUK")</f>
        <v>COLGANTE GALIA GR 12W 3000K 725LM CRI&gt;90 IP20 LEUK</v>
      </c>
      <c r="D1366" s="97">
        <f>IFERROR(__xludf.DUMMYFUNCTION("""COMPUTED_VALUE"""),7.798413229394E12)</f>
        <v>7798413229394</v>
      </c>
      <c r="E1366" s="97" t="str">
        <f>IFERROR(__xludf.DUMMYFUNCTION("""COMPUTED_VALUE"""),"A170")</f>
        <v>A170</v>
      </c>
      <c r="F1366" s="97" t="str">
        <f>IFERROR(__xludf.DUMMYFUNCTION("""COMPUTED_VALUE"""),"LED SMD2835")</f>
        <v>LED SMD2835</v>
      </c>
      <c r="G1366" s="97" t="str">
        <f>IFERROR(__xludf.DUMMYFUNCTION("""COMPUTED_VALUE"""),"Edison")</f>
        <v>Edison</v>
      </c>
      <c r="H1366" s="97"/>
      <c r="I1366" s="97"/>
      <c r="J1366" s="97"/>
      <c r="K1366" s="97" t="str">
        <f>IFERROR(__xludf.DUMMYFUNCTION("""COMPUTED_VALUE"""),"TRIAC")</f>
        <v>TRIAC</v>
      </c>
      <c r="L1366" s="97" t="str">
        <f>IFERROR(__xludf.DUMMYFUNCTION("""COMPUTED_VALUE"""),"220-240")</f>
        <v>220-240</v>
      </c>
      <c r="M1366" s="97" t="str">
        <f>IFERROR(__xludf.DUMMYFUNCTION("""COMPUTED_VALUE"""),"50/60")</f>
        <v>50/60</v>
      </c>
      <c r="N1366" s="97" t="str">
        <f>IFERROR(__xludf.DUMMYFUNCTION("""COMPUTED_VALUE"""),"Semi directa")</f>
        <v>Semi directa</v>
      </c>
      <c r="O1366" s="97">
        <f>IFERROR(__xludf.DUMMYFUNCTION("""COMPUTED_VALUE"""),12.0)</f>
        <v>12</v>
      </c>
      <c r="P1366" s="97">
        <f>IFERROR(__xludf.DUMMYFUNCTION("""COMPUTED_VALUE"""),11.5)</f>
        <v>11.5</v>
      </c>
      <c r="Q1366" s="97"/>
      <c r="R1366" s="97" t="str">
        <f>IFERROR(__xludf.DUMMYFUNCTION("""COMPUTED_VALUE"""),"-")</f>
        <v>-</v>
      </c>
      <c r="S1366" s="97" t="str">
        <f>IFERROR(__xludf.DUMMYFUNCTION("""COMPUTED_VALUE"""),"-")</f>
        <v>-</v>
      </c>
      <c r="T1366" s="99">
        <f>IFERROR(__xludf.DUMMYFUNCTION("""COMPUTED_VALUE"""),725.0)</f>
        <v>725</v>
      </c>
      <c r="U1366" s="99">
        <f>IFERROR(__xludf.DUMMYFUNCTION("""COMPUTED_VALUE"""),60.416666666666664)</f>
        <v>60.41666667</v>
      </c>
      <c r="V1366" s="97">
        <f>IFERROR(__xludf.DUMMYFUNCTION("""COMPUTED_VALUE"""),38.0)</f>
        <v>38</v>
      </c>
      <c r="W1366" s="97" t="str">
        <f>IFERROR(__xludf.DUMMYFUNCTION("""COMPUTED_VALUE"""),"&lt; 16")</f>
        <v>&lt; 16</v>
      </c>
      <c r="X1366" s="97">
        <f>IFERROR(__xludf.DUMMYFUNCTION("""COMPUTED_VALUE"""),3000.0)</f>
        <v>3000</v>
      </c>
      <c r="Y1366" s="97" t="str">
        <f>IFERROR(__xludf.DUMMYFUNCTION("""COMPUTED_VALUE"""),"&gt;90")</f>
        <v>&gt;90</v>
      </c>
      <c r="Z1366" s="97" t="str">
        <f>IFERROR(__xludf.DUMMYFUNCTION("""COMPUTED_VALUE"""),"&gt;90")</f>
        <v>&gt;90</v>
      </c>
      <c r="AA1366" s="97" t="str">
        <f>IFERROR(__xludf.DUMMYFUNCTION("""COMPUTED_VALUE"""),"90-99 (Leve desaturación)")</f>
        <v>90-99 (Leve desaturación)</v>
      </c>
      <c r="AB1366" s="97" t="str">
        <f>IFERROR(__xludf.DUMMYFUNCTION("""COMPUTED_VALUE"""),"&lt; 3")</f>
        <v>&lt; 3</v>
      </c>
      <c r="AC1366" s="97">
        <f>IFERROR(__xludf.DUMMYFUNCTION("""COMPUTED_VALUE"""),-0.00153)</f>
        <v>-0.00153</v>
      </c>
      <c r="AD1366" s="97" t="str">
        <f>IFERROR(__xludf.DUMMYFUNCTION("""COMPUTED_VALUE"""),"IP20")</f>
        <v>IP20</v>
      </c>
      <c r="AE1366" s="97"/>
      <c r="AF1366" s="97" t="str">
        <f>IFERROR(__xludf.DUMMYFUNCTION("""COMPUTED_VALUE"""),"Suspender")</f>
        <v>Suspender</v>
      </c>
      <c r="AG1366" s="97" t="str">
        <f>IFERROR(__xludf.DUMMYFUNCTION("""COMPUTED_VALUE"""),"Ø550 x 1800")</f>
        <v>Ø550 x 1800</v>
      </c>
      <c r="AH1366" s="97" t="str">
        <f>IFERROR(__xludf.DUMMYFUNCTION("""COMPUTED_VALUE"""),"N/A")</f>
        <v>N/A</v>
      </c>
      <c r="AI1366" s="97" t="str">
        <f>IFERROR(__xludf.DUMMYFUNCTION("""COMPUTED_VALUE"""),"N/A")</f>
        <v>N/A</v>
      </c>
      <c r="AJ1366" s="97"/>
      <c r="AK1366" s="97" t="str">
        <f>IFERROR(__xludf.DUMMYFUNCTION("""COMPUTED_VALUE"""),"Aluminio, Hierro y Acrílico")</f>
        <v>Aluminio, Hierro y Acrílico</v>
      </c>
      <c r="AL1366" s="97" t="str">
        <f>IFERROR(__xludf.DUMMYFUNCTION("""COMPUTED_VALUE"""),"Gris")</f>
        <v>Gris</v>
      </c>
      <c r="AM1366" s="97"/>
      <c r="AN1366" s="97" t="str">
        <f>IFERROR(__xludf.DUMMYFUNCTION("""COMPUTED_VALUE"""),"50.000hs (L80)")</f>
        <v>50.000hs (L80)</v>
      </c>
      <c r="AO1366" s="97" t="str">
        <f>IFERROR(__xludf.DUMMYFUNCTION("""COMPUTED_VALUE"""),"3 Años")</f>
        <v>3 Años</v>
      </c>
      <c r="AP1366" s="97" t="str">
        <f>IFERROR(__xludf.DUMMYFUNCTION("""COMPUTED_VALUE"""),"Disponible")</f>
        <v>Disponible</v>
      </c>
      <c r="AQ1366" s="97" t="str">
        <f>IFERROR(__xludf.DUMMYFUNCTION("""COMPUTED_VALUE"""),"Disponible")</f>
        <v>Disponible</v>
      </c>
      <c r="AR1366" s="97" t="str">
        <f>IFERROR(__xludf.DUMMYFUNCTION("""COMPUTED_VALUE"""),"Disponible")</f>
        <v>Disponible</v>
      </c>
      <c r="AS1366" s="97" t="str">
        <f>IFERROR(__xludf.DUMMYFUNCTION("""COMPUTED_VALUE"""),"Falta")</f>
        <v>Falta</v>
      </c>
      <c r="AT1366" s="97" t="str">
        <f>IFERROR(__xludf.DUMMYFUNCTION("""COMPUTED_VALUE"""),"Falta")</f>
        <v>Falta</v>
      </c>
      <c r="AU1366" s="97" t="str">
        <f>IFERROR(__xludf.DUMMYFUNCTION("""COMPUTED_VALUE"""),"Disponible")</f>
        <v>Disponible</v>
      </c>
      <c r="AV1366" s="97" t="str">
        <f>IFERROR(__xludf.DUMMYFUNCTION("""COMPUTED_VALUE"""),"Colgante")</f>
        <v>Colgante</v>
      </c>
      <c r="AW1366" s="97" t="str">
        <f>IFERROR(__xludf.DUMMYFUNCTION("""COMPUTED_VALUE"""),"De Techo")</f>
        <v>De Techo</v>
      </c>
      <c r="AX1366" s="97" t="str">
        <f>IFERROR(__xludf.DUMMYFUNCTION("""COMPUTED_VALUE"""),"Interior")</f>
        <v>Interior</v>
      </c>
      <c r="AY1366" s="97" t="str">
        <f>IFERROR(__xludf.DUMMYFUNCTION("""COMPUTED_VALUE"""),"-")</f>
        <v>-</v>
      </c>
      <c r="AZ1366" s="97"/>
      <c r="BA1366" s="97"/>
      <c r="BB1366" s="97"/>
      <c r="BC1366" s="97"/>
      <c r="BD1366" s="97" t="str">
        <f>IFERROR(__xludf.DUMMYFUNCTION("""COMPUTED_VALUE"""),"GALIA")</f>
        <v>GALIA</v>
      </c>
      <c r="BE1366" s="97" t="str">
        <f>IFERROR(__xludf.DUMMYFUNCTION("""COMPUTED_VALUE"""),"Solicitada")</f>
        <v>Solicitada</v>
      </c>
      <c r="BF1366" s="97"/>
      <c r="BG1366" s="97" t="str">
        <f>IFERROR(__xludf.DUMMYFUNCTION("""COMPUTED_VALUE"""),"REPO 7")</f>
        <v>REPO 7</v>
      </c>
    </row>
    <row r="1367">
      <c r="A1367" s="97">
        <f>IFERROR(__xludf.DUMMYFUNCTION("""COMPUTED_VALUE"""),7467.0)</f>
        <v>7467</v>
      </c>
      <c r="B1367" s="97" t="str">
        <f>IFERROR(__xludf.DUMMYFUNCTION("""COMPUTED_VALUE"""),"SUNSET NG")</f>
        <v>SUNSET NG</v>
      </c>
      <c r="C1367" s="97" t="str">
        <f>IFERROR(__xludf.DUMMYFUNCTION("""COMPUTED_VALUE"""),"PIE SUNSET NG 5W 1600K 200LM CRIN/A IP20 LEUK")</f>
        <v>PIE SUNSET NG 5W 1600K 200LM CRIN/A IP20 LEUK</v>
      </c>
      <c r="D1367" s="97">
        <f>IFERROR(__xludf.DUMMYFUNCTION("""COMPUTED_VALUE"""),7.7984132294E12)</f>
        <v>7798413229400</v>
      </c>
      <c r="E1367" s="97" t="str">
        <f>IFERROR(__xludf.DUMMYFUNCTION("""COMPUTED_VALUE"""),"P12")</f>
        <v>P12</v>
      </c>
      <c r="F1367" s="97" t="str">
        <f>IFERROR(__xludf.DUMMYFUNCTION("""COMPUTED_VALUE"""),"LED SMD2835")</f>
        <v>LED SMD2835</v>
      </c>
      <c r="G1367" s="97" t="str">
        <f>IFERROR(__xludf.DUMMYFUNCTION("""COMPUTED_VALUE"""),"Edison")</f>
        <v>Edison</v>
      </c>
      <c r="H1367" s="97"/>
      <c r="I1367" s="97"/>
      <c r="J1367" s="97"/>
      <c r="K1367" s="97" t="str">
        <f>IFERROR(__xludf.DUMMYFUNCTION("""COMPUTED_VALUE"""),"PWM")</f>
        <v>PWM</v>
      </c>
      <c r="L1367" s="97" t="str">
        <f>IFERROR(__xludf.DUMMYFUNCTION("""COMPUTED_VALUE"""),"200-240")</f>
        <v>200-240</v>
      </c>
      <c r="M1367" s="97" t="str">
        <f>IFERROR(__xludf.DUMMYFUNCTION("""COMPUTED_VALUE"""),"50/60")</f>
        <v>50/60</v>
      </c>
      <c r="N1367" s="97" t="str">
        <f>IFERROR(__xludf.DUMMYFUNCTION("""COMPUTED_VALUE"""),"Directa")</f>
        <v>Directa</v>
      </c>
      <c r="O1367" s="97">
        <f>IFERROR(__xludf.DUMMYFUNCTION("""COMPUTED_VALUE"""),5.0)</f>
        <v>5</v>
      </c>
      <c r="P1367" s="97">
        <f>IFERROR(__xludf.DUMMYFUNCTION("""COMPUTED_VALUE"""),3.97)</f>
        <v>3.97</v>
      </c>
      <c r="Q1367" s="97"/>
      <c r="R1367" s="97" t="str">
        <f>IFERROR(__xludf.DUMMYFUNCTION("""COMPUTED_VALUE"""),"-")</f>
        <v>-</v>
      </c>
      <c r="S1367" s="97" t="str">
        <f>IFERROR(__xludf.DUMMYFUNCTION("""COMPUTED_VALUE"""),"-")</f>
        <v>-</v>
      </c>
      <c r="T1367" s="99">
        <f>IFERROR(__xludf.DUMMYFUNCTION("""COMPUTED_VALUE"""),200.0)</f>
        <v>200</v>
      </c>
      <c r="U1367" s="99">
        <f>IFERROR(__xludf.DUMMYFUNCTION("""COMPUTED_VALUE"""),40.0)</f>
        <v>40</v>
      </c>
      <c r="V1367" s="99">
        <f>IFERROR(__xludf.DUMMYFUNCTION("""COMPUTED_VALUE"""),70.0)</f>
        <v>70</v>
      </c>
      <c r="W1367" s="97" t="str">
        <f>IFERROR(__xludf.DUMMYFUNCTION("""COMPUTED_VALUE"""),"&lt; 22")</f>
        <v>&lt; 22</v>
      </c>
      <c r="X1367" s="97">
        <f>IFERROR(__xludf.DUMMYFUNCTION("""COMPUTED_VALUE"""),1600.0)</f>
        <v>1600</v>
      </c>
      <c r="Y1367" s="97" t="str">
        <f>IFERROR(__xludf.DUMMYFUNCTION("""COMPUTED_VALUE"""),"N/A")</f>
        <v>N/A</v>
      </c>
      <c r="Z1367" s="97" t="str">
        <f>IFERROR(__xludf.DUMMYFUNCTION("""COMPUTED_VALUE"""),"N/A")</f>
        <v>N/A</v>
      </c>
      <c r="AA1367" s="97" t="str">
        <f>IFERROR(__xludf.DUMMYFUNCTION("""COMPUTED_VALUE"""),"N/A")</f>
        <v>N/A</v>
      </c>
      <c r="AB1367" s="97" t="str">
        <f>IFERROR(__xludf.DUMMYFUNCTION("""COMPUTED_VALUE"""),"N/A")</f>
        <v>N/A</v>
      </c>
      <c r="AC1367" s="97">
        <f>IFERROR(__xludf.DUMMYFUNCTION("""COMPUTED_VALUE"""),0.00241)</f>
        <v>0.00241</v>
      </c>
      <c r="AD1367" s="97" t="str">
        <f>IFERROR(__xludf.DUMMYFUNCTION("""COMPUTED_VALUE"""),"IP20")</f>
        <v>IP20</v>
      </c>
      <c r="AE1367" s="97"/>
      <c r="AF1367" s="97" t="str">
        <f>IFERROR(__xludf.DUMMYFUNCTION("""COMPUTED_VALUE"""),"Autoportante")</f>
        <v>Autoportante</v>
      </c>
      <c r="AG1367" s="97" t="str">
        <f>IFERROR(__xludf.DUMMYFUNCTION("""COMPUTED_VALUE"""),"Ø180 x 1500")</f>
        <v>Ø180 x 1500</v>
      </c>
      <c r="AH1367" s="97" t="str">
        <f>IFERROR(__xludf.DUMMYFUNCTION("""COMPUTED_VALUE"""),"N/A")</f>
        <v>N/A</v>
      </c>
      <c r="AI1367" s="97" t="str">
        <f>IFERROR(__xludf.DUMMYFUNCTION("""COMPUTED_VALUE"""),"N/A")</f>
        <v>N/A</v>
      </c>
      <c r="AJ1367" s="97"/>
      <c r="AK1367" s="97" t="str">
        <f>IFERROR(__xludf.DUMMYFUNCTION("""COMPUTED_VALUE"""),"Acero")</f>
        <v>Acero</v>
      </c>
      <c r="AL1367" s="97" t="str">
        <f>IFERROR(__xludf.DUMMYFUNCTION("""COMPUTED_VALUE"""),"Negro")</f>
        <v>Negro</v>
      </c>
      <c r="AM1367" s="97"/>
      <c r="AN1367" s="97" t="str">
        <f>IFERROR(__xludf.DUMMYFUNCTION("""COMPUTED_VALUE"""),"50.000hs (L80)")</f>
        <v>50.000hs (L80)</v>
      </c>
      <c r="AO1367" s="97" t="str">
        <f>IFERROR(__xludf.DUMMYFUNCTION("""COMPUTED_VALUE"""),"3 Años")</f>
        <v>3 Años</v>
      </c>
      <c r="AP1367" s="97" t="str">
        <f>IFERROR(__xludf.DUMMYFUNCTION("""COMPUTED_VALUE"""),"Disponible")</f>
        <v>Disponible</v>
      </c>
      <c r="AQ1367" s="97" t="str">
        <f>IFERROR(__xludf.DUMMYFUNCTION("""COMPUTED_VALUE"""),"Disponible")</f>
        <v>Disponible</v>
      </c>
      <c r="AR1367" s="97" t="str">
        <f>IFERROR(__xludf.DUMMYFUNCTION("""COMPUTED_VALUE"""),"Disponible")</f>
        <v>Disponible</v>
      </c>
      <c r="AS1367" s="97" t="str">
        <f>IFERROR(__xludf.DUMMYFUNCTION("""COMPUTED_VALUE"""),"Falta")</f>
        <v>Falta</v>
      </c>
      <c r="AT1367" s="97" t="str">
        <f>IFERROR(__xludf.DUMMYFUNCTION("""COMPUTED_VALUE"""),"Falta")</f>
        <v>Falta</v>
      </c>
      <c r="AU1367" s="97" t="str">
        <f>IFERROR(__xludf.DUMMYFUNCTION("""COMPUTED_VALUE"""),"Disponible")</f>
        <v>Disponible</v>
      </c>
      <c r="AV1367" s="97" t="str">
        <f>IFERROR(__xludf.DUMMYFUNCTION("""COMPUTED_VALUE"""),"Pie")</f>
        <v>Pie</v>
      </c>
      <c r="AW1367" s="97" t="str">
        <f>IFERROR(__xludf.DUMMYFUNCTION("""COMPUTED_VALUE"""),"De Apoyo")</f>
        <v>De Apoyo</v>
      </c>
      <c r="AX1367" s="97" t="str">
        <f>IFERROR(__xludf.DUMMYFUNCTION("""COMPUTED_VALUE"""),"Interior")</f>
        <v>Interior</v>
      </c>
      <c r="AY1367" s="97" t="str">
        <f>IFERROR(__xludf.DUMMYFUNCTION("""COMPUTED_VALUE"""),"-")</f>
        <v>-</v>
      </c>
      <c r="AZ1367" s="97"/>
      <c r="BA1367" s="97"/>
      <c r="BB1367" s="97"/>
      <c r="BC1367" s="97"/>
      <c r="BD1367" s="97" t="str">
        <f>IFERROR(__xludf.DUMMYFUNCTION("""COMPUTED_VALUE"""),"SUNSET")</f>
        <v>SUNSET</v>
      </c>
      <c r="BE1367" s="97" t="str">
        <f>IFERROR(__xludf.DUMMYFUNCTION("""COMPUTED_VALUE"""),"Solicitada")</f>
        <v>Solicitada</v>
      </c>
      <c r="BF1367" s="97"/>
      <c r="BG1367" s="97" t="str">
        <f>IFERROR(__xludf.DUMMYFUNCTION("""COMPUTED_VALUE"""),"REPO 7")</f>
        <v>REPO 7</v>
      </c>
    </row>
    <row r="1368">
      <c r="A1368" s="97">
        <f>IFERROR(__xludf.DUMMYFUNCTION("""COMPUTED_VALUE"""),7468.0)</f>
        <v>7468</v>
      </c>
      <c r="B1368" s="97" t="str">
        <f>IFERROR(__xludf.DUMMYFUNCTION("""COMPUTED_VALUE"""),"SUNSET BL")</f>
        <v>SUNSET BL</v>
      </c>
      <c r="C1368" s="97" t="str">
        <f>IFERROR(__xludf.DUMMYFUNCTION("""COMPUTED_VALUE"""),"PIE SUNSET BL 5W 1600K 200LM CRIN/A IP20 LEUK")</f>
        <v>PIE SUNSET BL 5W 1600K 200LM CRIN/A IP20 LEUK</v>
      </c>
      <c r="D1368" s="97">
        <f>IFERROR(__xludf.DUMMYFUNCTION("""COMPUTED_VALUE"""),7.798413229417E12)</f>
        <v>7798413229417</v>
      </c>
      <c r="E1368" s="97" t="str">
        <f>IFERROR(__xludf.DUMMYFUNCTION("""COMPUTED_VALUE"""),"P12")</f>
        <v>P12</v>
      </c>
      <c r="F1368" s="97" t="str">
        <f>IFERROR(__xludf.DUMMYFUNCTION("""COMPUTED_VALUE"""),"LED SMD2835")</f>
        <v>LED SMD2835</v>
      </c>
      <c r="G1368" s="97" t="str">
        <f>IFERROR(__xludf.DUMMYFUNCTION("""COMPUTED_VALUE"""),"Edison")</f>
        <v>Edison</v>
      </c>
      <c r="H1368" s="97"/>
      <c r="I1368" s="97"/>
      <c r="J1368" s="97"/>
      <c r="K1368" s="97" t="str">
        <f>IFERROR(__xludf.DUMMYFUNCTION("""COMPUTED_VALUE"""),"PWM")</f>
        <v>PWM</v>
      </c>
      <c r="L1368" s="97" t="str">
        <f>IFERROR(__xludf.DUMMYFUNCTION("""COMPUTED_VALUE"""),"200-240")</f>
        <v>200-240</v>
      </c>
      <c r="M1368" s="97" t="str">
        <f>IFERROR(__xludf.DUMMYFUNCTION("""COMPUTED_VALUE"""),"50/60")</f>
        <v>50/60</v>
      </c>
      <c r="N1368" s="97" t="str">
        <f>IFERROR(__xludf.DUMMYFUNCTION("""COMPUTED_VALUE"""),"Directa")</f>
        <v>Directa</v>
      </c>
      <c r="O1368" s="97">
        <f>IFERROR(__xludf.DUMMYFUNCTION("""COMPUTED_VALUE"""),5.0)</f>
        <v>5</v>
      </c>
      <c r="P1368" s="97">
        <f>IFERROR(__xludf.DUMMYFUNCTION("""COMPUTED_VALUE"""),3.97)</f>
        <v>3.97</v>
      </c>
      <c r="Q1368" s="97"/>
      <c r="R1368" s="97" t="str">
        <f>IFERROR(__xludf.DUMMYFUNCTION("""COMPUTED_VALUE"""),"-")</f>
        <v>-</v>
      </c>
      <c r="S1368" s="97" t="str">
        <f>IFERROR(__xludf.DUMMYFUNCTION("""COMPUTED_VALUE"""),"-")</f>
        <v>-</v>
      </c>
      <c r="T1368" s="99">
        <f>IFERROR(__xludf.DUMMYFUNCTION("""COMPUTED_VALUE"""),200.0)</f>
        <v>200</v>
      </c>
      <c r="U1368" s="99">
        <f>IFERROR(__xludf.DUMMYFUNCTION("""COMPUTED_VALUE"""),40.0)</f>
        <v>40</v>
      </c>
      <c r="V1368" s="99">
        <f>IFERROR(__xludf.DUMMYFUNCTION("""COMPUTED_VALUE"""),70.0)</f>
        <v>70</v>
      </c>
      <c r="W1368" s="97" t="str">
        <f>IFERROR(__xludf.DUMMYFUNCTION("""COMPUTED_VALUE"""),"&lt; 22")</f>
        <v>&lt; 22</v>
      </c>
      <c r="X1368" s="97">
        <f>IFERROR(__xludf.DUMMYFUNCTION("""COMPUTED_VALUE"""),1600.0)</f>
        <v>1600</v>
      </c>
      <c r="Y1368" s="97" t="str">
        <f>IFERROR(__xludf.DUMMYFUNCTION("""COMPUTED_VALUE"""),"N/A")</f>
        <v>N/A</v>
      </c>
      <c r="Z1368" s="97" t="str">
        <f>IFERROR(__xludf.DUMMYFUNCTION("""COMPUTED_VALUE"""),"N/A")</f>
        <v>N/A</v>
      </c>
      <c r="AA1368" s="97" t="str">
        <f>IFERROR(__xludf.DUMMYFUNCTION("""COMPUTED_VALUE"""),"N/A")</f>
        <v>N/A</v>
      </c>
      <c r="AB1368" s="97" t="str">
        <f>IFERROR(__xludf.DUMMYFUNCTION("""COMPUTED_VALUE"""),"N/A")</f>
        <v>N/A</v>
      </c>
      <c r="AC1368" s="97">
        <f>IFERROR(__xludf.DUMMYFUNCTION("""COMPUTED_VALUE"""),0.00241)</f>
        <v>0.00241</v>
      </c>
      <c r="AD1368" s="97" t="str">
        <f>IFERROR(__xludf.DUMMYFUNCTION("""COMPUTED_VALUE"""),"IP20")</f>
        <v>IP20</v>
      </c>
      <c r="AE1368" s="97"/>
      <c r="AF1368" s="97" t="str">
        <f>IFERROR(__xludf.DUMMYFUNCTION("""COMPUTED_VALUE"""),"Autoportante")</f>
        <v>Autoportante</v>
      </c>
      <c r="AG1368" s="97" t="str">
        <f>IFERROR(__xludf.DUMMYFUNCTION("""COMPUTED_VALUE"""),"Ø180 x 1500")</f>
        <v>Ø180 x 1500</v>
      </c>
      <c r="AH1368" s="97" t="str">
        <f>IFERROR(__xludf.DUMMYFUNCTION("""COMPUTED_VALUE"""),"N/A")</f>
        <v>N/A</v>
      </c>
      <c r="AI1368" s="97" t="str">
        <f>IFERROR(__xludf.DUMMYFUNCTION("""COMPUTED_VALUE"""),"N/A")</f>
        <v>N/A</v>
      </c>
      <c r="AJ1368" s="97"/>
      <c r="AK1368" s="97" t="str">
        <f>IFERROR(__xludf.DUMMYFUNCTION("""COMPUTED_VALUE"""),"Acero")</f>
        <v>Acero</v>
      </c>
      <c r="AL1368" s="97" t="str">
        <f>IFERROR(__xludf.DUMMYFUNCTION("""COMPUTED_VALUE"""),"Blanco")</f>
        <v>Blanco</v>
      </c>
      <c r="AM1368" s="97"/>
      <c r="AN1368" s="97" t="str">
        <f>IFERROR(__xludf.DUMMYFUNCTION("""COMPUTED_VALUE"""),"50.000hs (L80)")</f>
        <v>50.000hs (L80)</v>
      </c>
      <c r="AO1368" s="97" t="str">
        <f>IFERROR(__xludf.DUMMYFUNCTION("""COMPUTED_VALUE"""),"3 Años")</f>
        <v>3 Años</v>
      </c>
      <c r="AP1368" s="97" t="str">
        <f>IFERROR(__xludf.DUMMYFUNCTION("""COMPUTED_VALUE"""),"Disponible")</f>
        <v>Disponible</v>
      </c>
      <c r="AQ1368" s="97" t="str">
        <f>IFERROR(__xludf.DUMMYFUNCTION("""COMPUTED_VALUE"""),"Disponible")</f>
        <v>Disponible</v>
      </c>
      <c r="AR1368" s="97" t="str">
        <f>IFERROR(__xludf.DUMMYFUNCTION("""COMPUTED_VALUE"""),"Disponible")</f>
        <v>Disponible</v>
      </c>
      <c r="AS1368" s="97" t="str">
        <f>IFERROR(__xludf.DUMMYFUNCTION("""COMPUTED_VALUE"""),"Falta")</f>
        <v>Falta</v>
      </c>
      <c r="AT1368" s="97" t="str">
        <f>IFERROR(__xludf.DUMMYFUNCTION("""COMPUTED_VALUE"""),"Falta")</f>
        <v>Falta</v>
      </c>
      <c r="AU1368" s="97" t="str">
        <f>IFERROR(__xludf.DUMMYFUNCTION("""COMPUTED_VALUE"""),"Disponible")</f>
        <v>Disponible</v>
      </c>
      <c r="AV1368" s="97" t="str">
        <f>IFERROR(__xludf.DUMMYFUNCTION("""COMPUTED_VALUE"""),"Pie")</f>
        <v>Pie</v>
      </c>
      <c r="AW1368" s="97" t="str">
        <f>IFERROR(__xludf.DUMMYFUNCTION("""COMPUTED_VALUE"""),"De Apoyo")</f>
        <v>De Apoyo</v>
      </c>
      <c r="AX1368" s="97" t="str">
        <f>IFERROR(__xludf.DUMMYFUNCTION("""COMPUTED_VALUE"""),"Interior")</f>
        <v>Interior</v>
      </c>
      <c r="AY1368" s="97" t="str">
        <f>IFERROR(__xludf.DUMMYFUNCTION("""COMPUTED_VALUE"""),"-")</f>
        <v>-</v>
      </c>
      <c r="AZ1368" s="97"/>
      <c r="BA1368" s="97"/>
      <c r="BB1368" s="97"/>
      <c r="BC1368" s="97"/>
      <c r="BD1368" s="97" t="str">
        <f>IFERROR(__xludf.DUMMYFUNCTION("""COMPUTED_VALUE"""),"SUNSET")</f>
        <v>SUNSET</v>
      </c>
      <c r="BE1368" s="97" t="str">
        <f>IFERROR(__xludf.DUMMYFUNCTION("""COMPUTED_VALUE"""),"Solicitada")</f>
        <v>Solicitada</v>
      </c>
      <c r="BF1368" s="97"/>
      <c r="BG1368" s="97" t="str">
        <f>IFERROR(__xludf.DUMMYFUNCTION("""COMPUTED_VALUE"""),"REPO 7")</f>
        <v>REPO 7</v>
      </c>
    </row>
    <row r="1369">
      <c r="A1369" s="97">
        <f>IFERROR(__xludf.DUMMYFUNCTION("""COMPUTED_VALUE"""),7469.0)</f>
        <v>7469</v>
      </c>
      <c r="B1369" s="97" t="str">
        <f>IFERROR(__xludf.DUMMYFUNCTION("""COMPUTED_VALUE"""),"LAIVA AP MD")</f>
        <v>LAIVA AP MD</v>
      </c>
      <c r="C1369" s="97" t="str">
        <f>IFERROR(__xludf.DUMMYFUNCTION("""COMPUTED_VALUE"""),"APLIQUE LAIVA AP MD 5W 2700K 60LM CRI&gt;90 IP20 LEUK")</f>
        <v>APLIQUE LAIVA AP MD 5W 2700K 60LM CRI&gt;90 IP20 LEUK</v>
      </c>
      <c r="D1369" s="97">
        <f>IFERROR(__xludf.DUMMYFUNCTION("""COMPUTED_VALUE"""),7.798413229424E12)</f>
        <v>7798413229424</v>
      </c>
      <c r="E1369" s="97" t="str">
        <f>IFERROR(__xludf.DUMMYFUNCTION("""COMPUTED_VALUE"""),"F86")</f>
        <v>F86</v>
      </c>
      <c r="F1369" s="97" t="str">
        <f>IFERROR(__xludf.DUMMYFUNCTION("""COMPUTED_VALUE"""),"LED SMD2835")</f>
        <v>LED SMD2835</v>
      </c>
      <c r="G1369" s="97" t="str">
        <f>IFERROR(__xludf.DUMMYFUNCTION("""COMPUTED_VALUE"""),"Edison")</f>
        <v>Edison</v>
      </c>
      <c r="H1369" s="97"/>
      <c r="I1369" s="97"/>
      <c r="J1369" s="97"/>
      <c r="K1369" s="97" t="str">
        <f>IFERROR(__xludf.DUMMYFUNCTION("""COMPUTED_VALUE"""),"ON/OFF")</f>
        <v>ON/OFF</v>
      </c>
      <c r="L1369" s="97" t="str">
        <f>IFERROR(__xludf.DUMMYFUNCTION("""COMPUTED_VALUE"""),"200-240")</f>
        <v>200-240</v>
      </c>
      <c r="M1369" s="97" t="str">
        <f>IFERROR(__xludf.DUMMYFUNCTION("""COMPUTED_VALUE"""),"50/60")</f>
        <v>50/60</v>
      </c>
      <c r="N1369" s="97" t="str">
        <f>IFERROR(__xludf.DUMMYFUNCTION("""COMPUTED_VALUE"""),"Indirecta")</f>
        <v>Indirecta</v>
      </c>
      <c r="O1369" s="97">
        <f>IFERROR(__xludf.DUMMYFUNCTION("""COMPUTED_VALUE"""),5.0)</f>
        <v>5</v>
      </c>
      <c r="P1369" s="97">
        <f>IFERROR(__xludf.DUMMYFUNCTION("""COMPUTED_VALUE"""),4.22)</f>
        <v>4.22</v>
      </c>
      <c r="Q1369" s="97"/>
      <c r="R1369" s="97" t="str">
        <f>IFERROR(__xludf.DUMMYFUNCTION("""COMPUTED_VALUE"""),"-")</f>
        <v>-</v>
      </c>
      <c r="S1369" s="97" t="str">
        <f>IFERROR(__xludf.DUMMYFUNCTION("""COMPUTED_VALUE"""),"-")</f>
        <v>-</v>
      </c>
      <c r="T1369" s="99">
        <f>IFERROR(__xludf.DUMMYFUNCTION("""COMPUTED_VALUE"""),60.0)</f>
        <v>60</v>
      </c>
      <c r="U1369" s="99">
        <f>IFERROR(__xludf.DUMMYFUNCTION("""COMPUTED_VALUE"""),12.0)</f>
        <v>12</v>
      </c>
      <c r="V1369" s="99">
        <f>IFERROR(__xludf.DUMMYFUNCTION("""COMPUTED_VALUE"""),28.1)</f>
        <v>28.1</v>
      </c>
      <c r="W1369" s="97" t="str">
        <f>IFERROR(__xludf.DUMMYFUNCTION("""COMPUTED_VALUE"""),"N/A")</f>
        <v>N/A</v>
      </c>
      <c r="X1369" s="97">
        <f>IFERROR(__xludf.DUMMYFUNCTION("""COMPUTED_VALUE"""),2700.0)</f>
        <v>2700</v>
      </c>
      <c r="Y1369" s="97" t="str">
        <f>IFERROR(__xludf.DUMMYFUNCTION("""COMPUTED_VALUE"""),"&gt;90")</f>
        <v>&gt;90</v>
      </c>
      <c r="Z1369" s="97" t="str">
        <f>IFERROR(__xludf.DUMMYFUNCTION("""COMPUTED_VALUE"""),"&gt;90")</f>
        <v>&gt;90</v>
      </c>
      <c r="AA1369" s="97" t="str">
        <f>IFERROR(__xludf.DUMMYFUNCTION("""COMPUTED_VALUE"""),"100 (Fidelidad neutra)")</f>
        <v>100 (Fidelidad neutra)</v>
      </c>
      <c r="AB1369" s="97" t="str">
        <f>IFERROR(__xludf.DUMMYFUNCTION("""COMPUTED_VALUE"""),"&lt; 5")</f>
        <v>&lt; 5</v>
      </c>
      <c r="AC1369" s="97">
        <f>IFERROR(__xludf.DUMMYFUNCTION("""COMPUTED_VALUE"""),-2.5E-4)</f>
        <v>-0.00025</v>
      </c>
      <c r="AD1369" s="97" t="str">
        <f>IFERROR(__xludf.DUMMYFUNCTION("""COMPUTED_VALUE"""),"IP20")</f>
        <v>IP20</v>
      </c>
      <c r="AE1369" s="97"/>
      <c r="AF1369" s="97" t="str">
        <f>IFERROR(__xludf.DUMMYFUNCTION("""COMPUTED_VALUE"""),"Aplicar")</f>
        <v>Aplicar</v>
      </c>
      <c r="AG1369" s="97" t="str">
        <f>IFERROR(__xludf.DUMMYFUNCTION("""COMPUTED_VALUE"""),"310 x 100 x 60")</f>
        <v>310 x 100 x 60</v>
      </c>
      <c r="AH1369" s="97" t="str">
        <f>IFERROR(__xludf.DUMMYFUNCTION("""COMPUTED_VALUE"""),"N/A")</f>
        <v>N/A</v>
      </c>
      <c r="AI1369" s="97" t="str">
        <f>IFERROR(__xludf.DUMMYFUNCTION("""COMPUTED_VALUE"""),"N/A")</f>
        <v>N/A</v>
      </c>
      <c r="AJ1369" s="97"/>
      <c r="AK1369" s="97" t="str">
        <f>IFERROR(__xludf.DUMMYFUNCTION("""COMPUTED_VALUE"""),"Aluminio y Madera")</f>
        <v>Aluminio y Madera</v>
      </c>
      <c r="AL1369" s="97" t="str">
        <f>IFERROR(__xludf.DUMMYFUNCTION("""COMPUTED_VALUE"""),"Negro y Madera")</f>
        <v>Negro y Madera</v>
      </c>
      <c r="AM1369" s="97" t="str">
        <f>IFERROR(__xludf.DUMMYFUNCTION("""COMPUTED_VALUE"""),"-")</f>
        <v>-</v>
      </c>
      <c r="AN1369" s="97" t="str">
        <f>IFERROR(__xludf.DUMMYFUNCTION("""COMPUTED_VALUE"""),"50.000hs (L80)")</f>
        <v>50.000hs (L80)</v>
      </c>
      <c r="AO1369" s="97" t="str">
        <f>IFERROR(__xludf.DUMMYFUNCTION("""COMPUTED_VALUE"""),"3 Años")</f>
        <v>3 Años</v>
      </c>
      <c r="AP1369" s="97" t="str">
        <f>IFERROR(__xludf.DUMMYFUNCTION("""COMPUTED_VALUE"""),"Disponible")</f>
        <v>Disponible</v>
      </c>
      <c r="AQ1369" s="97" t="str">
        <f>IFERROR(__xludf.DUMMYFUNCTION("""COMPUTED_VALUE"""),"Disponible")</f>
        <v>Disponible</v>
      </c>
      <c r="AR1369" s="97" t="str">
        <f>IFERROR(__xludf.DUMMYFUNCTION("""COMPUTED_VALUE"""),"Disponible")</f>
        <v>Disponible</v>
      </c>
      <c r="AS1369" s="97" t="str">
        <f>IFERROR(__xludf.DUMMYFUNCTION("""COMPUTED_VALUE"""),"Falta")</f>
        <v>Falta</v>
      </c>
      <c r="AT1369" s="97" t="str">
        <f>IFERROR(__xludf.DUMMYFUNCTION("""COMPUTED_VALUE"""),"Falta")</f>
        <v>Falta</v>
      </c>
      <c r="AU1369" s="97" t="str">
        <f>IFERROR(__xludf.DUMMYFUNCTION("""COMPUTED_VALUE"""),"Disponible")</f>
        <v>Disponible</v>
      </c>
      <c r="AV1369" s="97" t="str">
        <f>IFERROR(__xludf.DUMMYFUNCTION("""COMPUTED_VALUE"""),"Aplique")</f>
        <v>Aplique</v>
      </c>
      <c r="AW1369" s="97" t="str">
        <f>IFERROR(__xludf.DUMMYFUNCTION("""COMPUTED_VALUE"""),"De Pared")</f>
        <v>De Pared</v>
      </c>
      <c r="AX1369" s="97" t="str">
        <f>IFERROR(__xludf.DUMMYFUNCTION("""COMPUTED_VALUE"""),"Interior")</f>
        <v>Interior</v>
      </c>
      <c r="AY1369" s="97" t="str">
        <f>IFERROR(__xludf.DUMMYFUNCTION("""COMPUTED_VALUE"""),"Confort Visual")</f>
        <v>Confort Visual</v>
      </c>
      <c r="AZ1369" s="97"/>
      <c r="BA1369" s="97"/>
      <c r="BB1369" s="97"/>
      <c r="BC1369" s="97"/>
      <c r="BD1369" s="97" t="str">
        <f>IFERROR(__xludf.DUMMYFUNCTION("""COMPUTED_VALUE"""),"LAIVA AP")</f>
        <v>LAIVA AP</v>
      </c>
      <c r="BE1369" s="97" t="str">
        <f>IFERROR(__xludf.DUMMYFUNCTION("""COMPUTED_VALUE"""),"Solicitada")</f>
        <v>Solicitada</v>
      </c>
      <c r="BF1369" s="97"/>
      <c r="BG1369" s="97" t="str">
        <f>IFERROR(__xludf.DUMMYFUNCTION("""COMPUTED_VALUE"""),"REPO 7")</f>
        <v>REPO 7</v>
      </c>
    </row>
    <row r="1370">
      <c r="A1370" s="97">
        <f>IFERROR(__xludf.DUMMYFUNCTION("""COMPUTED_VALUE"""),7470.0)</f>
        <v>7470</v>
      </c>
      <c r="B1370" s="97" t="str">
        <f>IFERROR(__xludf.DUMMYFUNCTION("""COMPUTED_VALUE"""),"LAIVA NGNG 3000K")</f>
        <v>LAIVA NGNG 3000K</v>
      </c>
      <c r="C1370" s="97" t="str">
        <f>IFERROR(__xludf.DUMMYFUNCTION("""COMPUTED_VALUE"""),"COLGANTE LAIVA NGNG 3000K 41W 3000K 3195LM CRI&gt;90 IP20 LEUK")</f>
        <v>COLGANTE LAIVA NGNG 3000K 41W 3000K 3195LM CRI&gt;90 IP20 LEUK</v>
      </c>
      <c r="D1370" s="97">
        <f>IFERROR(__xludf.DUMMYFUNCTION("""COMPUTED_VALUE"""),7.798413229431E12)</f>
        <v>7798413229431</v>
      </c>
      <c r="E1370" s="97" t="str">
        <f>IFERROR(__xludf.DUMMYFUNCTION("""COMPUTED_VALUE"""),"A110")</f>
        <v>A110</v>
      </c>
      <c r="F1370" s="97" t="str">
        <f>IFERROR(__xludf.DUMMYFUNCTION("""COMPUTED_VALUE"""),"LED SMD2835")</f>
        <v>LED SMD2835</v>
      </c>
      <c r="G1370" s="97" t="str">
        <f>IFERROR(__xludf.DUMMYFUNCTION("""COMPUTED_VALUE"""),"Edison")</f>
        <v>Edison</v>
      </c>
      <c r="H1370" s="97" t="str">
        <f>IFERROR(__xludf.DUMMYFUNCTION("""COMPUTED_VALUE"""),"Eaglerise")</f>
        <v>Eaglerise</v>
      </c>
      <c r="I1370" s="97" t="str">
        <f>IFERROR(__xludf.DUMMYFUNCTION("""COMPUTED_VALUE"""),"Si")</f>
        <v>Si</v>
      </c>
      <c r="J1370" s="97"/>
      <c r="K1370" s="97" t="str">
        <f>IFERROR(__xludf.DUMMYFUNCTION("""COMPUTED_VALUE"""),"TRIAC")</f>
        <v>TRIAC</v>
      </c>
      <c r="L1370" s="97" t="str">
        <f>IFERROR(__xludf.DUMMYFUNCTION("""COMPUTED_VALUE"""),"220-240")</f>
        <v>220-240</v>
      </c>
      <c r="M1370" s="97" t="str">
        <f>IFERROR(__xludf.DUMMYFUNCTION("""COMPUTED_VALUE"""),"50/60")</f>
        <v>50/60</v>
      </c>
      <c r="N1370" s="97" t="str">
        <f>IFERROR(__xludf.DUMMYFUNCTION("""COMPUTED_VALUE"""),"Directa")</f>
        <v>Directa</v>
      </c>
      <c r="O1370" s="97">
        <f>IFERROR(__xludf.DUMMYFUNCTION("""COMPUTED_VALUE"""),41.0)</f>
        <v>41</v>
      </c>
      <c r="P1370" s="97"/>
      <c r="Q1370" s="97"/>
      <c r="R1370" s="97" t="str">
        <f>IFERROR(__xludf.DUMMYFUNCTION("""COMPUTED_VALUE"""),"-")</f>
        <v>-</v>
      </c>
      <c r="S1370" s="97" t="str">
        <f>IFERROR(__xludf.DUMMYFUNCTION("""COMPUTED_VALUE"""),"-")</f>
        <v>-</v>
      </c>
      <c r="T1370" s="97">
        <f>IFERROR(__xludf.DUMMYFUNCTION("""COMPUTED_VALUE"""),3195.0)</f>
        <v>3195</v>
      </c>
      <c r="U1370" s="99">
        <f>IFERROR(__xludf.DUMMYFUNCTION("""COMPUTED_VALUE"""),77.92682926829268)</f>
        <v>77.92682927</v>
      </c>
      <c r="V1370" s="97">
        <f>IFERROR(__xludf.DUMMYFUNCTION("""COMPUTED_VALUE"""),26.0)</f>
        <v>26</v>
      </c>
      <c r="W1370" s="97" t="str">
        <f>IFERROR(__xludf.DUMMYFUNCTION("""COMPUTED_VALUE"""),"&lt; 14")</f>
        <v>&lt; 14</v>
      </c>
      <c r="X1370" s="97">
        <f>IFERROR(__xludf.DUMMYFUNCTION("""COMPUTED_VALUE"""),3000.0)</f>
        <v>3000</v>
      </c>
      <c r="Y1370" s="97" t="str">
        <f>IFERROR(__xludf.DUMMYFUNCTION("""COMPUTED_VALUE"""),"&gt;90")</f>
        <v>&gt;90</v>
      </c>
      <c r="Z1370" s="97" t="str">
        <f>IFERROR(__xludf.DUMMYFUNCTION("""COMPUTED_VALUE"""),"&gt;90")</f>
        <v>&gt;90</v>
      </c>
      <c r="AA1370" s="97" t="str">
        <f>IFERROR(__xludf.DUMMYFUNCTION("""COMPUTED_VALUE"""),"90-99 (Leve desaturación)")</f>
        <v>90-99 (Leve desaturación)</v>
      </c>
      <c r="AB1370" s="97" t="str">
        <f>IFERROR(__xludf.DUMMYFUNCTION("""COMPUTED_VALUE"""),"&lt; 2")</f>
        <v>&lt; 2</v>
      </c>
      <c r="AC1370" s="100" t="str">
        <f>IFERROR(__xludf.DUMMYFUNCTION("""COMPUTED_VALUE"""),"-0.00089")</f>
        <v>-0.00089</v>
      </c>
      <c r="AD1370" s="97" t="str">
        <f>IFERROR(__xludf.DUMMYFUNCTION("""COMPUTED_VALUE"""),"IP20")</f>
        <v>IP20</v>
      </c>
      <c r="AE1370" s="97" t="str">
        <f>IFERROR(__xludf.DUMMYFUNCTION("""COMPUTED_VALUE"""),"Clase l")</f>
        <v>Clase l</v>
      </c>
      <c r="AF1370" s="97" t="str">
        <f>IFERROR(__xludf.DUMMYFUNCTION("""COMPUTED_VALUE"""),"Suspender")</f>
        <v>Suspender</v>
      </c>
      <c r="AG1370" s="97" t="str">
        <f>IFERROR(__xludf.DUMMYFUNCTION("""COMPUTED_VALUE"""),"1600 x 105 x 58")</f>
        <v>1600 x 105 x 58</v>
      </c>
      <c r="AH1370" s="97" t="str">
        <f>IFERROR(__xludf.DUMMYFUNCTION("""COMPUTED_VALUE"""),"N/A")</f>
        <v>N/A</v>
      </c>
      <c r="AI1370" s="97" t="str">
        <f>IFERROR(__xludf.DUMMYFUNCTION("""COMPUTED_VALUE"""),"N/A")</f>
        <v>N/A</v>
      </c>
      <c r="AJ1370" s="97" t="str">
        <f>IFERROR(__xludf.DUMMYFUNCTION("""COMPUTED_VALUE"""),"PMMA")</f>
        <v>PMMA</v>
      </c>
      <c r="AK1370" s="97" t="str">
        <f>IFERROR(__xludf.DUMMYFUNCTION("""COMPUTED_VALUE"""),"Madera y Acero")</f>
        <v>Madera y Acero</v>
      </c>
      <c r="AL1370" s="97" t="str">
        <f>IFERROR(__xludf.DUMMYFUNCTION("""COMPUTED_VALUE"""),"Negro Mate")</f>
        <v>Negro Mate</v>
      </c>
      <c r="AM1370" s="97" t="str">
        <f>IFERROR(__xludf.DUMMYFUNCTION("""COMPUTED_VALUE"""),"-")</f>
        <v>-</v>
      </c>
      <c r="AN1370" s="97" t="str">
        <f>IFERROR(__xludf.DUMMYFUNCTION("""COMPUTED_VALUE"""),"50.000hs (L80)")</f>
        <v>50.000hs (L80)</v>
      </c>
      <c r="AO1370" s="97" t="str">
        <f>IFERROR(__xludf.DUMMYFUNCTION("""COMPUTED_VALUE"""),"3 Años")</f>
        <v>3 Años</v>
      </c>
      <c r="AP1370" s="97" t="str">
        <f>IFERROR(__xludf.DUMMYFUNCTION("""COMPUTED_VALUE"""),"Disponible")</f>
        <v>Disponible</v>
      </c>
      <c r="AQ1370" s="97" t="str">
        <f>IFERROR(__xludf.DUMMYFUNCTION("""COMPUTED_VALUE"""),"Disponible")</f>
        <v>Disponible</v>
      </c>
      <c r="AR1370" s="97" t="str">
        <f>IFERROR(__xludf.DUMMYFUNCTION("""COMPUTED_VALUE"""),"Disponible")</f>
        <v>Disponible</v>
      </c>
      <c r="AS1370" s="97" t="str">
        <f>IFERROR(__xludf.DUMMYFUNCTION("""COMPUTED_VALUE"""),"Disponible")</f>
        <v>Disponible</v>
      </c>
      <c r="AT1370" s="97" t="str">
        <f>IFERROR(__xludf.DUMMYFUNCTION("""COMPUTED_VALUE"""),"Disponible")</f>
        <v>Disponible</v>
      </c>
      <c r="AU1370" s="97" t="str">
        <f>IFERROR(__xludf.DUMMYFUNCTION("""COMPUTED_VALUE"""),"Disponible")</f>
        <v>Disponible</v>
      </c>
      <c r="AV1370" s="97" t="str">
        <f>IFERROR(__xludf.DUMMYFUNCTION("""COMPUTED_VALUE"""),"Colgante")</f>
        <v>Colgante</v>
      </c>
      <c r="AW1370" s="97" t="str">
        <f>IFERROR(__xludf.DUMMYFUNCTION("""COMPUTED_VALUE"""),"De Techo")</f>
        <v>De Techo</v>
      </c>
      <c r="AX1370" s="97" t="str">
        <f>IFERROR(__xludf.DUMMYFUNCTION("""COMPUTED_VALUE"""),"Interior")</f>
        <v>Interior</v>
      </c>
      <c r="AY1370" s="97" t="str">
        <f>IFERROR(__xludf.DUMMYFUNCTION("""COMPUTED_VALUE"""),"Confort Visual")</f>
        <v>Confort Visual</v>
      </c>
      <c r="AZ1370" s="97" t="str">
        <f>IFERROR(__xludf.DUMMYFUNCTION("""COMPUTED_VALUE"""),"Colgante de 2000mm. Florón: 650x50x20mm. Madera natural de fresno.")</f>
        <v>Colgante de 2000mm. Florón: 650x50x20mm. Madera natural de fresno.</v>
      </c>
      <c r="BA1370" s="97">
        <f>IFERROR(__xludf.DUMMYFUNCTION("""COMPUTED_VALUE"""),1.0)</f>
        <v>1</v>
      </c>
      <c r="BB1370" s="97" t="str">
        <f>IFERROR(__xludf.DUMMYFUNCTION("""COMPUTED_VALUE"""),"-")</f>
        <v>-</v>
      </c>
      <c r="BC1370" s="97" t="str">
        <f>IFERROR(__xludf.DUMMYFUNCTION("""COMPUTED_VALUE"""),"-")</f>
        <v>-</v>
      </c>
      <c r="BD1370" s="97" t="str">
        <f>IFERROR(__xludf.DUMMYFUNCTION("""COMPUTED_VALUE"""),"LAIVA")</f>
        <v>LAIVA</v>
      </c>
      <c r="BE1370" s="97" t="str">
        <f>IFERROR(__xludf.DUMMYFUNCTION("""COMPUTED_VALUE"""),"Solicitada")</f>
        <v>Solicitada</v>
      </c>
      <c r="BF1370" s="97"/>
      <c r="BG1370" s="97" t="str">
        <f>IFERROR(__xludf.DUMMYFUNCTION("""COMPUTED_VALUE"""),"REPO 7")</f>
        <v>REPO 7</v>
      </c>
    </row>
    <row r="1371">
      <c r="A1371" s="97">
        <f>IFERROR(__xludf.DUMMYFUNCTION("""COMPUTED_VALUE"""),7471.0)</f>
        <v>7471</v>
      </c>
      <c r="B1371" s="97" t="str">
        <f>IFERROR(__xludf.DUMMYFUNCTION("""COMPUTED_VALUE"""),"LAIVA NG 3000K")</f>
        <v>LAIVA NG 3000K</v>
      </c>
      <c r="C1371" s="97" t="str">
        <f>IFERROR(__xludf.DUMMYFUNCTION("""COMPUTED_VALUE"""),"COLGANTE LAIVA NG 3000K 41W 3000K 3195LM CRI&gt;90 IP20 LEUK")</f>
        <v>COLGANTE LAIVA NG 3000K 41W 3000K 3195LM CRI&gt;90 IP20 LEUK</v>
      </c>
      <c r="D1371" s="97">
        <f>IFERROR(__xludf.DUMMYFUNCTION("""COMPUTED_VALUE"""),7.798413229448E12)</f>
        <v>7798413229448</v>
      </c>
      <c r="E1371" s="97" t="str">
        <f>IFERROR(__xludf.DUMMYFUNCTION("""COMPUTED_VALUE"""),"A110")</f>
        <v>A110</v>
      </c>
      <c r="F1371" s="97" t="str">
        <f>IFERROR(__xludf.DUMMYFUNCTION("""COMPUTED_VALUE"""),"LED SMD2835")</f>
        <v>LED SMD2835</v>
      </c>
      <c r="G1371" s="97" t="str">
        <f>IFERROR(__xludf.DUMMYFUNCTION("""COMPUTED_VALUE"""),"Edison")</f>
        <v>Edison</v>
      </c>
      <c r="H1371" s="97" t="str">
        <f>IFERROR(__xludf.DUMMYFUNCTION("""COMPUTED_VALUE"""),"Eaglerise")</f>
        <v>Eaglerise</v>
      </c>
      <c r="I1371" s="97" t="str">
        <f>IFERROR(__xludf.DUMMYFUNCTION("""COMPUTED_VALUE"""),"Si")</f>
        <v>Si</v>
      </c>
      <c r="J1371" s="97"/>
      <c r="K1371" s="97" t="str">
        <f>IFERROR(__xludf.DUMMYFUNCTION("""COMPUTED_VALUE"""),"TRIAC")</f>
        <v>TRIAC</v>
      </c>
      <c r="L1371" s="97" t="str">
        <f>IFERROR(__xludf.DUMMYFUNCTION("""COMPUTED_VALUE"""),"220-240")</f>
        <v>220-240</v>
      </c>
      <c r="M1371" s="97" t="str">
        <f>IFERROR(__xludf.DUMMYFUNCTION("""COMPUTED_VALUE"""),"50/60")</f>
        <v>50/60</v>
      </c>
      <c r="N1371" s="97" t="str">
        <f>IFERROR(__xludf.DUMMYFUNCTION("""COMPUTED_VALUE"""),"Directa")</f>
        <v>Directa</v>
      </c>
      <c r="O1371" s="97">
        <f>IFERROR(__xludf.DUMMYFUNCTION("""COMPUTED_VALUE"""),41.0)</f>
        <v>41</v>
      </c>
      <c r="P1371" s="97"/>
      <c r="Q1371" s="97"/>
      <c r="R1371" s="97" t="str">
        <f>IFERROR(__xludf.DUMMYFUNCTION("""COMPUTED_VALUE"""),"-")</f>
        <v>-</v>
      </c>
      <c r="S1371" s="97" t="str">
        <f>IFERROR(__xludf.DUMMYFUNCTION("""COMPUTED_VALUE"""),"-")</f>
        <v>-</v>
      </c>
      <c r="T1371" s="97">
        <f>IFERROR(__xludf.DUMMYFUNCTION("""COMPUTED_VALUE"""),3195.0)</f>
        <v>3195</v>
      </c>
      <c r="U1371" s="99">
        <f>IFERROR(__xludf.DUMMYFUNCTION("""COMPUTED_VALUE"""),77.92682926829268)</f>
        <v>77.92682927</v>
      </c>
      <c r="V1371" s="97">
        <f>IFERROR(__xludf.DUMMYFUNCTION("""COMPUTED_VALUE"""),26.0)</f>
        <v>26</v>
      </c>
      <c r="W1371" s="97" t="str">
        <f>IFERROR(__xludf.DUMMYFUNCTION("""COMPUTED_VALUE"""),"&lt; 14")</f>
        <v>&lt; 14</v>
      </c>
      <c r="X1371" s="97">
        <f>IFERROR(__xludf.DUMMYFUNCTION("""COMPUTED_VALUE"""),3000.0)</f>
        <v>3000</v>
      </c>
      <c r="Y1371" s="97" t="str">
        <f>IFERROR(__xludf.DUMMYFUNCTION("""COMPUTED_VALUE"""),"&gt;90")</f>
        <v>&gt;90</v>
      </c>
      <c r="Z1371" s="97" t="str">
        <f>IFERROR(__xludf.DUMMYFUNCTION("""COMPUTED_VALUE"""),"&gt;90")</f>
        <v>&gt;90</v>
      </c>
      <c r="AA1371" s="97" t="str">
        <f>IFERROR(__xludf.DUMMYFUNCTION("""COMPUTED_VALUE"""),"90-99 (Leve desaturación)")</f>
        <v>90-99 (Leve desaturación)</v>
      </c>
      <c r="AB1371" s="97" t="str">
        <f>IFERROR(__xludf.DUMMYFUNCTION("""COMPUTED_VALUE"""),"&lt; 2")</f>
        <v>&lt; 2</v>
      </c>
      <c r="AC1371" s="100" t="str">
        <f>IFERROR(__xludf.DUMMYFUNCTION("""COMPUTED_VALUE"""),"-0.00089")</f>
        <v>-0.00089</v>
      </c>
      <c r="AD1371" s="97" t="str">
        <f>IFERROR(__xludf.DUMMYFUNCTION("""COMPUTED_VALUE"""),"IP20")</f>
        <v>IP20</v>
      </c>
      <c r="AE1371" s="97" t="str">
        <f>IFERROR(__xludf.DUMMYFUNCTION("""COMPUTED_VALUE"""),"Clase l")</f>
        <v>Clase l</v>
      </c>
      <c r="AF1371" s="97" t="str">
        <f>IFERROR(__xludf.DUMMYFUNCTION("""COMPUTED_VALUE"""),"Suspender")</f>
        <v>Suspender</v>
      </c>
      <c r="AG1371" s="97" t="str">
        <f>IFERROR(__xludf.DUMMYFUNCTION("""COMPUTED_VALUE"""),"1600 x 105 x 58")</f>
        <v>1600 x 105 x 58</v>
      </c>
      <c r="AH1371" s="97" t="str">
        <f>IFERROR(__xludf.DUMMYFUNCTION("""COMPUTED_VALUE"""),"N/A")</f>
        <v>N/A</v>
      </c>
      <c r="AI1371" s="97" t="str">
        <f>IFERROR(__xludf.DUMMYFUNCTION("""COMPUTED_VALUE"""),"N/A")</f>
        <v>N/A</v>
      </c>
      <c r="AJ1371" s="97" t="str">
        <f>IFERROR(__xludf.DUMMYFUNCTION("""COMPUTED_VALUE"""),"PMMA")</f>
        <v>PMMA</v>
      </c>
      <c r="AK1371" s="97" t="str">
        <f>IFERROR(__xludf.DUMMYFUNCTION("""COMPUTED_VALUE"""),"Madera y Acero")</f>
        <v>Madera y Acero</v>
      </c>
      <c r="AL1371" s="97" t="str">
        <f>IFERROR(__xludf.DUMMYFUNCTION("""COMPUTED_VALUE"""),"Negro y Madera")</f>
        <v>Negro y Madera</v>
      </c>
      <c r="AM1371" s="97" t="str">
        <f>IFERROR(__xludf.DUMMYFUNCTION("""COMPUTED_VALUE"""),"-")</f>
        <v>-</v>
      </c>
      <c r="AN1371" s="97" t="str">
        <f>IFERROR(__xludf.DUMMYFUNCTION("""COMPUTED_VALUE"""),"50.000hs (L80)")</f>
        <v>50.000hs (L80)</v>
      </c>
      <c r="AO1371" s="97" t="str">
        <f>IFERROR(__xludf.DUMMYFUNCTION("""COMPUTED_VALUE"""),"3 Años")</f>
        <v>3 Años</v>
      </c>
      <c r="AP1371" s="97" t="str">
        <f>IFERROR(__xludf.DUMMYFUNCTION("""COMPUTED_VALUE"""),"Disponible")</f>
        <v>Disponible</v>
      </c>
      <c r="AQ1371" s="97" t="str">
        <f>IFERROR(__xludf.DUMMYFUNCTION("""COMPUTED_VALUE"""),"Disponible")</f>
        <v>Disponible</v>
      </c>
      <c r="AR1371" s="97" t="str">
        <f>IFERROR(__xludf.DUMMYFUNCTION("""COMPUTED_VALUE"""),"Disponible")</f>
        <v>Disponible</v>
      </c>
      <c r="AS1371" s="97" t="str">
        <f>IFERROR(__xludf.DUMMYFUNCTION("""COMPUTED_VALUE"""),"Disponible")</f>
        <v>Disponible</v>
      </c>
      <c r="AT1371" s="97" t="str">
        <f>IFERROR(__xludf.DUMMYFUNCTION("""COMPUTED_VALUE"""),"Disponible")</f>
        <v>Disponible</v>
      </c>
      <c r="AU1371" s="97" t="str">
        <f>IFERROR(__xludf.DUMMYFUNCTION("""COMPUTED_VALUE"""),"Disponible")</f>
        <v>Disponible</v>
      </c>
      <c r="AV1371" s="97" t="str">
        <f>IFERROR(__xludf.DUMMYFUNCTION("""COMPUTED_VALUE"""),"Colgante")</f>
        <v>Colgante</v>
      </c>
      <c r="AW1371" s="97" t="str">
        <f>IFERROR(__xludf.DUMMYFUNCTION("""COMPUTED_VALUE"""),"De Techo")</f>
        <v>De Techo</v>
      </c>
      <c r="AX1371" s="97" t="str">
        <f>IFERROR(__xludf.DUMMYFUNCTION("""COMPUTED_VALUE"""),"Interior")</f>
        <v>Interior</v>
      </c>
      <c r="AY1371" s="97" t="str">
        <f>IFERROR(__xludf.DUMMYFUNCTION("""COMPUTED_VALUE"""),"Confort Visual")</f>
        <v>Confort Visual</v>
      </c>
      <c r="AZ1371" s="97" t="str">
        <f>IFERROR(__xludf.DUMMYFUNCTION("""COMPUTED_VALUE"""),"Colgante de 2000mm. Florón: 650x50x20mm. Madera natural de fresno.")</f>
        <v>Colgante de 2000mm. Florón: 650x50x20mm. Madera natural de fresno.</v>
      </c>
      <c r="BA1371" s="97">
        <f>IFERROR(__xludf.DUMMYFUNCTION("""COMPUTED_VALUE"""),1.0)</f>
        <v>1</v>
      </c>
      <c r="BB1371" s="97" t="str">
        <f>IFERROR(__xludf.DUMMYFUNCTION("""COMPUTED_VALUE"""),"-")</f>
        <v>-</v>
      </c>
      <c r="BC1371" s="97" t="str">
        <f>IFERROR(__xludf.DUMMYFUNCTION("""COMPUTED_VALUE"""),"-")</f>
        <v>-</v>
      </c>
      <c r="BD1371" s="97" t="str">
        <f>IFERROR(__xludf.DUMMYFUNCTION("""COMPUTED_VALUE"""),"LAIVA")</f>
        <v>LAIVA</v>
      </c>
      <c r="BE1371" s="97" t="str">
        <f>IFERROR(__xludf.DUMMYFUNCTION("""COMPUTED_VALUE"""),"Solicitada")</f>
        <v>Solicitada</v>
      </c>
      <c r="BF1371" s="97"/>
      <c r="BG1371" s="97" t="str">
        <f>IFERROR(__xludf.DUMMYFUNCTION("""COMPUTED_VALUE"""),"REPO 7")</f>
        <v>REPO 7</v>
      </c>
    </row>
    <row r="1372">
      <c r="A1372" s="97">
        <f>IFERROR(__xludf.DUMMYFUNCTION("""COMPUTED_VALUE"""),7472.0)</f>
        <v>7472</v>
      </c>
      <c r="B1372" s="97" t="str">
        <f>IFERROR(__xludf.DUMMYFUNCTION("""COMPUTED_VALUE"""),"LAIVA NG 2700K")</f>
        <v>LAIVA NG 2700K</v>
      </c>
      <c r="C1372" s="97" t="str">
        <f>IFERROR(__xludf.DUMMYFUNCTION("""COMPUTED_VALUE"""),"COLGANTE LAIVA NG 2700K 41W 2700K 3195LM CRI&gt;90 IP20 LEUK")</f>
        <v>COLGANTE LAIVA NG 2700K 41W 2700K 3195LM CRI&gt;90 IP20 LEUK</v>
      </c>
      <c r="D1372" s="97">
        <f>IFERROR(__xludf.DUMMYFUNCTION("""COMPUTED_VALUE"""),7.798413229455E12)</f>
        <v>7798413229455</v>
      </c>
      <c r="E1372" s="97" t="str">
        <f>IFERROR(__xludf.DUMMYFUNCTION("""COMPUTED_VALUE"""),"A110")</f>
        <v>A110</v>
      </c>
      <c r="F1372" s="97" t="str">
        <f>IFERROR(__xludf.DUMMYFUNCTION("""COMPUTED_VALUE"""),"LED SMD2835")</f>
        <v>LED SMD2835</v>
      </c>
      <c r="G1372" s="97" t="str">
        <f>IFERROR(__xludf.DUMMYFUNCTION("""COMPUTED_VALUE"""),"Edison")</f>
        <v>Edison</v>
      </c>
      <c r="H1372" s="97" t="str">
        <f>IFERROR(__xludf.DUMMYFUNCTION("""COMPUTED_VALUE"""),"Eaglerise")</f>
        <v>Eaglerise</v>
      </c>
      <c r="I1372" s="97" t="str">
        <f>IFERROR(__xludf.DUMMYFUNCTION("""COMPUTED_VALUE"""),"Si")</f>
        <v>Si</v>
      </c>
      <c r="J1372" s="97"/>
      <c r="K1372" s="97" t="str">
        <f>IFERROR(__xludf.DUMMYFUNCTION("""COMPUTED_VALUE"""),"TRIAC")</f>
        <v>TRIAC</v>
      </c>
      <c r="L1372" s="97" t="str">
        <f>IFERROR(__xludf.DUMMYFUNCTION("""COMPUTED_VALUE"""),"220-240")</f>
        <v>220-240</v>
      </c>
      <c r="M1372" s="97" t="str">
        <f>IFERROR(__xludf.DUMMYFUNCTION("""COMPUTED_VALUE"""),"50/60")</f>
        <v>50/60</v>
      </c>
      <c r="N1372" s="97" t="str">
        <f>IFERROR(__xludf.DUMMYFUNCTION("""COMPUTED_VALUE"""),"Directa")</f>
        <v>Directa</v>
      </c>
      <c r="O1372" s="97">
        <f>IFERROR(__xludf.DUMMYFUNCTION("""COMPUTED_VALUE"""),41.0)</f>
        <v>41</v>
      </c>
      <c r="P1372" s="97"/>
      <c r="Q1372" s="97"/>
      <c r="R1372" s="97" t="str">
        <f>IFERROR(__xludf.DUMMYFUNCTION("""COMPUTED_VALUE"""),"-")</f>
        <v>-</v>
      </c>
      <c r="S1372" s="97" t="str">
        <f>IFERROR(__xludf.DUMMYFUNCTION("""COMPUTED_VALUE"""),"-")</f>
        <v>-</v>
      </c>
      <c r="T1372" s="97">
        <f>IFERROR(__xludf.DUMMYFUNCTION("""COMPUTED_VALUE"""),3195.0)</f>
        <v>3195</v>
      </c>
      <c r="U1372" s="99">
        <f>IFERROR(__xludf.DUMMYFUNCTION("""COMPUTED_VALUE"""),77.92682926829268)</f>
        <v>77.92682927</v>
      </c>
      <c r="V1372" s="97">
        <f>IFERROR(__xludf.DUMMYFUNCTION("""COMPUTED_VALUE"""),26.0)</f>
        <v>26</v>
      </c>
      <c r="W1372" s="97" t="str">
        <f>IFERROR(__xludf.DUMMYFUNCTION("""COMPUTED_VALUE"""),"&lt; 14")</f>
        <v>&lt; 14</v>
      </c>
      <c r="X1372" s="97">
        <f>IFERROR(__xludf.DUMMYFUNCTION("""COMPUTED_VALUE"""),2700.0)</f>
        <v>2700</v>
      </c>
      <c r="Y1372" s="97" t="str">
        <f>IFERROR(__xludf.DUMMYFUNCTION("""COMPUTED_VALUE"""),"&gt;90")</f>
        <v>&gt;90</v>
      </c>
      <c r="Z1372" s="97" t="str">
        <f>IFERROR(__xludf.DUMMYFUNCTION("""COMPUTED_VALUE"""),"&gt;90")</f>
        <v>&gt;90</v>
      </c>
      <c r="AA1372" s="97" t="str">
        <f>IFERROR(__xludf.DUMMYFUNCTION("""COMPUTED_VALUE"""),"90-99 (Leve desaturación)")</f>
        <v>90-99 (Leve desaturación)</v>
      </c>
      <c r="AB1372" s="97" t="str">
        <f>IFERROR(__xludf.DUMMYFUNCTION("""COMPUTED_VALUE"""),"&lt; 2")</f>
        <v>&lt; 2</v>
      </c>
      <c r="AC1372" s="100" t="str">
        <f>IFERROR(__xludf.DUMMYFUNCTION("""COMPUTED_VALUE"""),"-0.00089")</f>
        <v>-0.00089</v>
      </c>
      <c r="AD1372" s="97" t="str">
        <f>IFERROR(__xludf.DUMMYFUNCTION("""COMPUTED_VALUE"""),"IP20")</f>
        <v>IP20</v>
      </c>
      <c r="AE1372" s="97" t="str">
        <f>IFERROR(__xludf.DUMMYFUNCTION("""COMPUTED_VALUE"""),"Clase l")</f>
        <v>Clase l</v>
      </c>
      <c r="AF1372" s="97" t="str">
        <f>IFERROR(__xludf.DUMMYFUNCTION("""COMPUTED_VALUE"""),"Suspender")</f>
        <v>Suspender</v>
      </c>
      <c r="AG1372" s="97" t="str">
        <f>IFERROR(__xludf.DUMMYFUNCTION("""COMPUTED_VALUE"""),"1600 x 105 x 58")</f>
        <v>1600 x 105 x 58</v>
      </c>
      <c r="AH1372" s="97" t="str">
        <f>IFERROR(__xludf.DUMMYFUNCTION("""COMPUTED_VALUE"""),"N/A")</f>
        <v>N/A</v>
      </c>
      <c r="AI1372" s="97" t="str">
        <f>IFERROR(__xludf.DUMMYFUNCTION("""COMPUTED_VALUE"""),"N/A")</f>
        <v>N/A</v>
      </c>
      <c r="AJ1372" s="97" t="str">
        <f>IFERROR(__xludf.DUMMYFUNCTION("""COMPUTED_VALUE"""),"PMMA")</f>
        <v>PMMA</v>
      </c>
      <c r="AK1372" s="97" t="str">
        <f>IFERROR(__xludf.DUMMYFUNCTION("""COMPUTED_VALUE"""),"Madera y Acero")</f>
        <v>Madera y Acero</v>
      </c>
      <c r="AL1372" s="97" t="str">
        <f>IFERROR(__xludf.DUMMYFUNCTION("""COMPUTED_VALUE"""),"Negro y Madera")</f>
        <v>Negro y Madera</v>
      </c>
      <c r="AM1372" s="97" t="str">
        <f>IFERROR(__xludf.DUMMYFUNCTION("""COMPUTED_VALUE"""),"-")</f>
        <v>-</v>
      </c>
      <c r="AN1372" s="97" t="str">
        <f>IFERROR(__xludf.DUMMYFUNCTION("""COMPUTED_VALUE"""),"50.000hs (L80)")</f>
        <v>50.000hs (L80)</v>
      </c>
      <c r="AO1372" s="97" t="str">
        <f>IFERROR(__xludf.DUMMYFUNCTION("""COMPUTED_VALUE"""),"3 Años")</f>
        <v>3 Años</v>
      </c>
      <c r="AP1372" s="97" t="str">
        <f>IFERROR(__xludf.DUMMYFUNCTION("""COMPUTED_VALUE"""),"Disponible")</f>
        <v>Disponible</v>
      </c>
      <c r="AQ1372" s="97" t="str">
        <f>IFERROR(__xludf.DUMMYFUNCTION("""COMPUTED_VALUE"""),"Disponible")</f>
        <v>Disponible</v>
      </c>
      <c r="AR1372" s="97" t="str">
        <f>IFERROR(__xludf.DUMMYFUNCTION("""COMPUTED_VALUE"""),"Disponible")</f>
        <v>Disponible</v>
      </c>
      <c r="AS1372" s="97" t="str">
        <f>IFERROR(__xludf.DUMMYFUNCTION("""COMPUTED_VALUE"""),"Disponible")</f>
        <v>Disponible</v>
      </c>
      <c r="AT1372" s="97" t="str">
        <f>IFERROR(__xludf.DUMMYFUNCTION("""COMPUTED_VALUE"""),"Disponible")</f>
        <v>Disponible</v>
      </c>
      <c r="AU1372" s="97" t="str">
        <f>IFERROR(__xludf.DUMMYFUNCTION("""COMPUTED_VALUE"""),"Disponible")</f>
        <v>Disponible</v>
      </c>
      <c r="AV1372" s="97" t="str">
        <f>IFERROR(__xludf.DUMMYFUNCTION("""COMPUTED_VALUE"""),"Colgante")</f>
        <v>Colgante</v>
      </c>
      <c r="AW1372" s="97" t="str">
        <f>IFERROR(__xludf.DUMMYFUNCTION("""COMPUTED_VALUE"""),"De Techo")</f>
        <v>De Techo</v>
      </c>
      <c r="AX1372" s="97" t="str">
        <f>IFERROR(__xludf.DUMMYFUNCTION("""COMPUTED_VALUE"""),"Interior")</f>
        <v>Interior</v>
      </c>
      <c r="AY1372" s="97" t="str">
        <f>IFERROR(__xludf.DUMMYFUNCTION("""COMPUTED_VALUE"""),"Confort Visual")</f>
        <v>Confort Visual</v>
      </c>
      <c r="AZ1372" s="97" t="str">
        <f>IFERROR(__xludf.DUMMYFUNCTION("""COMPUTED_VALUE"""),"Colgante de 2000mm. Florón: 650x50x20mm. Madera natural de fresno.")</f>
        <v>Colgante de 2000mm. Florón: 650x50x20mm. Madera natural de fresno.</v>
      </c>
      <c r="BA1372" s="97">
        <f>IFERROR(__xludf.DUMMYFUNCTION("""COMPUTED_VALUE"""),1.0)</f>
        <v>1</v>
      </c>
      <c r="BB1372" s="97" t="str">
        <f>IFERROR(__xludf.DUMMYFUNCTION("""COMPUTED_VALUE"""),"-")</f>
        <v>-</v>
      </c>
      <c r="BC1372" s="97" t="str">
        <f>IFERROR(__xludf.DUMMYFUNCTION("""COMPUTED_VALUE"""),"-")</f>
        <v>-</v>
      </c>
      <c r="BD1372" s="97" t="str">
        <f>IFERROR(__xludf.DUMMYFUNCTION("""COMPUTED_VALUE"""),"LAIVA")</f>
        <v>LAIVA</v>
      </c>
      <c r="BE1372" s="97" t="str">
        <f>IFERROR(__xludf.DUMMYFUNCTION("""COMPUTED_VALUE"""),"Solicitada")</f>
        <v>Solicitada</v>
      </c>
      <c r="BF1372" s="97"/>
      <c r="BG1372" s="97" t="str">
        <f>IFERROR(__xludf.DUMMYFUNCTION("""COMPUTED_VALUE"""),"REPO 7")</f>
        <v>REPO 7</v>
      </c>
    </row>
    <row r="1373">
      <c r="A1373" s="97">
        <f>IFERROR(__xludf.DUMMYFUNCTION("""COMPUTED_VALUE"""),7473.0)</f>
        <v>7473</v>
      </c>
      <c r="B1373" s="97" t="str">
        <f>IFERROR(__xludf.DUMMYFUNCTION("""COMPUTED_VALUE"""),"TRAZO BL")</f>
        <v>TRAZO BL</v>
      </c>
      <c r="C1373" s="97" t="str">
        <f>IFERROR(__xludf.DUMMYFUNCTION("""COMPUTED_VALUE"""),"COLGANTE TRAZO BL 40W 3000K 2940LM CRI&gt;90 IP20 LEUK")</f>
        <v>COLGANTE TRAZO BL 40W 3000K 2940LM CRI&gt;90 IP20 LEUK</v>
      </c>
      <c r="D1373" s="97">
        <f>IFERROR(__xludf.DUMMYFUNCTION("""COMPUTED_VALUE"""),7.798413229462E12)</f>
        <v>7798413229462</v>
      </c>
      <c r="E1373" s="97" t="str">
        <f>IFERROR(__xludf.DUMMYFUNCTION("""COMPUTED_VALUE"""),"A111")</f>
        <v>A111</v>
      </c>
      <c r="F1373" s="97" t="str">
        <f>IFERROR(__xludf.DUMMYFUNCTION("""COMPUTED_VALUE"""),"LED SMD")</f>
        <v>LED SMD</v>
      </c>
      <c r="G1373" s="97" t="str">
        <f>IFERROR(__xludf.DUMMYFUNCTION("""COMPUTED_VALUE"""),"-")</f>
        <v>-</v>
      </c>
      <c r="H1373" s="97"/>
      <c r="I1373" s="97"/>
      <c r="J1373" s="97"/>
      <c r="K1373" s="97"/>
      <c r="L1373" s="97" t="str">
        <f>IFERROR(__xludf.DUMMYFUNCTION("""COMPUTED_VALUE"""),"220-240")</f>
        <v>220-240</v>
      </c>
      <c r="M1373" s="97" t="str">
        <f>IFERROR(__xludf.DUMMYFUNCTION("""COMPUTED_VALUE"""),"50/60")</f>
        <v>50/60</v>
      </c>
      <c r="N1373" s="97" t="str">
        <f>IFERROR(__xludf.DUMMYFUNCTION("""COMPUTED_VALUE"""),"Directa")</f>
        <v>Directa</v>
      </c>
      <c r="O1373" s="97">
        <f>IFERROR(__xludf.DUMMYFUNCTION("""COMPUTED_VALUE"""),40.0)</f>
        <v>40</v>
      </c>
      <c r="P1373" s="97">
        <f>IFERROR(__xludf.DUMMYFUNCTION("""COMPUTED_VALUE"""),37.77)</f>
        <v>37.77</v>
      </c>
      <c r="Q1373" s="97">
        <f>IFERROR(__xludf.DUMMYFUNCTION("""COMPUTED_VALUE"""),0.95)</f>
        <v>0.95</v>
      </c>
      <c r="R1373" s="97" t="str">
        <f>IFERROR(__xludf.DUMMYFUNCTION("""COMPUTED_VALUE"""),"-")</f>
        <v>-</v>
      </c>
      <c r="S1373" s="97" t="str">
        <f>IFERROR(__xludf.DUMMYFUNCTION("""COMPUTED_VALUE"""),"-")</f>
        <v>-</v>
      </c>
      <c r="T1373" s="97">
        <f>IFERROR(__xludf.DUMMYFUNCTION("""COMPUTED_VALUE"""),2940.0)</f>
        <v>2940</v>
      </c>
      <c r="U1373" s="99">
        <f>IFERROR(__xludf.DUMMYFUNCTION("""COMPUTED_VALUE"""),77.93)</f>
        <v>77.93</v>
      </c>
      <c r="V1373" s="97">
        <f>IFERROR(__xludf.DUMMYFUNCTION("""COMPUTED_VALUE"""),36.0)</f>
        <v>36</v>
      </c>
      <c r="W1373" s="97" t="str">
        <f>IFERROR(__xludf.DUMMYFUNCTION("""COMPUTED_VALUE"""),"&lt; 10")</f>
        <v>&lt; 10</v>
      </c>
      <c r="X1373" s="97">
        <f>IFERROR(__xludf.DUMMYFUNCTION("""COMPUTED_VALUE"""),3000.0)</f>
        <v>3000</v>
      </c>
      <c r="Y1373" s="97" t="str">
        <f>IFERROR(__xludf.DUMMYFUNCTION("""COMPUTED_VALUE"""),"&gt;90")</f>
        <v>&gt;90</v>
      </c>
      <c r="Z1373" s="97"/>
      <c r="AA1373" s="97"/>
      <c r="AB1373" s="97"/>
      <c r="AC1373" s="97"/>
      <c r="AD1373" s="97" t="str">
        <f>IFERROR(__xludf.DUMMYFUNCTION("""COMPUTED_VALUE"""),"IP20")</f>
        <v>IP20</v>
      </c>
      <c r="AE1373" s="97"/>
      <c r="AF1373" s="97" t="str">
        <f>IFERROR(__xludf.DUMMYFUNCTION("""COMPUTED_VALUE"""),"Suspender")</f>
        <v>Suspender</v>
      </c>
      <c r="AG1373" s="97" t="str">
        <f>IFERROR(__xludf.DUMMYFUNCTION("""COMPUTED_VALUE"""),"120 x 18 x 1200")</f>
        <v>120 x 18 x 1200</v>
      </c>
      <c r="AH1373" s="97" t="str">
        <f>IFERROR(__xludf.DUMMYFUNCTION("""COMPUTED_VALUE"""),"N/A")</f>
        <v>N/A</v>
      </c>
      <c r="AI1373" s="97" t="str">
        <f>IFERROR(__xludf.DUMMYFUNCTION("""COMPUTED_VALUE"""),"N/A")</f>
        <v>N/A</v>
      </c>
      <c r="AJ1373" s="97"/>
      <c r="AK1373" s="97" t="str">
        <f>IFERROR(__xludf.DUMMYFUNCTION("""COMPUTED_VALUE"""),"Aluminio")</f>
        <v>Aluminio</v>
      </c>
      <c r="AL1373" s="97" t="str">
        <f>IFERROR(__xludf.DUMMYFUNCTION("""COMPUTED_VALUE"""),"Blanco Mate")</f>
        <v>Blanco Mate</v>
      </c>
      <c r="AM1373" s="97"/>
      <c r="AN1373" s="97"/>
      <c r="AO1373" s="97" t="str">
        <f>IFERROR(__xludf.DUMMYFUNCTION("""COMPUTED_VALUE"""),"3 Años")</f>
        <v>3 Años</v>
      </c>
      <c r="AP1373" s="97" t="str">
        <f>IFERROR(__xludf.DUMMYFUNCTION("""COMPUTED_VALUE"""),"Disponible")</f>
        <v>Disponible</v>
      </c>
      <c r="AQ1373" s="97" t="str">
        <f>IFERROR(__xludf.DUMMYFUNCTION("""COMPUTED_VALUE"""),"Disponible")</f>
        <v>Disponible</v>
      </c>
      <c r="AR1373" s="97" t="str">
        <f>IFERROR(__xludf.DUMMYFUNCTION("""COMPUTED_VALUE"""),"Disponible")</f>
        <v>Disponible</v>
      </c>
      <c r="AS1373" s="97" t="str">
        <f>IFERROR(__xludf.DUMMYFUNCTION("""COMPUTED_VALUE"""),"Falta")</f>
        <v>Falta</v>
      </c>
      <c r="AT1373" s="97" t="str">
        <f>IFERROR(__xludf.DUMMYFUNCTION("""COMPUTED_VALUE"""),"Falta")</f>
        <v>Falta</v>
      </c>
      <c r="AU1373" s="97" t="str">
        <f>IFERROR(__xludf.DUMMYFUNCTION("""COMPUTED_VALUE"""),"Falta")</f>
        <v>Falta</v>
      </c>
      <c r="AV1373" s="97" t="str">
        <f>IFERROR(__xludf.DUMMYFUNCTION("""COMPUTED_VALUE"""),"Colgante")</f>
        <v>Colgante</v>
      </c>
      <c r="AW1373" s="97" t="str">
        <f>IFERROR(__xludf.DUMMYFUNCTION("""COMPUTED_VALUE"""),"De Techo")</f>
        <v>De Techo</v>
      </c>
      <c r="AX1373" s="97" t="str">
        <f>IFERROR(__xludf.DUMMYFUNCTION("""COMPUTED_VALUE"""),"Interior")</f>
        <v>Interior</v>
      </c>
      <c r="AY1373" s="97" t="str">
        <f>IFERROR(__xludf.DUMMYFUNCTION("""COMPUTED_VALUE"""),"-")</f>
        <v>-</v>
      </c>
      <c r="AZ1373" s="97" t="str">
        <f>IFERROR(__xludf.DUMMYFUNCTION("""COMPUTED_VALUE"""),"Florón redondo | 2mts colgante")</f>
        <v>Florón redondo | 2mts colgante</v>
      </c>
      <c r="BA1373" s="97"/>
      <c r="BB1373" s="97"/>
      <c r="BC1373" s="97"/>
      <c r="BD1373" s="97" t="str">
        <f>IFERROR(__xludf.DUMMYFUNCTION("""COMPUTED_VALUE"""),"TRAZO")</f>
        <v>TRAZO</v>
      </c>
      <c r="BE1373" s="97"/>
      <c r="BF1373" s="97"/>
      <c r="BG1373" s="97" t="str">
        <f>IFERROR(__xludf.DUMMYFUNCTION("""COMPUTED_VALUE"""),"REPO 7")</f>
        <v>REPO 7</v>
      </c>
    </row>
    <row r="1374">
      <c r="A1374" s="97">
        <f>IFERROR(__xludf.DUMMYFUNCTION("""COMPUTED_VALUE"""),7474.0)</f>
        <v>7474</v>
      </c>
      <c r="B1374" s="97" t="str">
        <f>IFERROR(__xludf.DUMMYFUNCTION("""COMPUTED_VALUE"""),"TRAZO NG")</f>
        <v>TRAZO NG</v>
      </c>
      <c r="C1374" s="97" t="str">
        <f>IFERROR(__xludf.DUMMYFUNCTION("""COMPUTED_VALUE"""),"COLGANTE TRAZO NG 40W 3000K 2940LM CRI&gt;90 IP20 LEUK")</f>
        <v>COLGANTE TRAZO NG 40W 3000K 2940LM CRI&gt;90 IP20 LEUK</v>
      </c>
      <c r="D1374" s="97">
        <f>IFERROR(__xludf.DUMMYFUNCTION("""COMPUTED_VALUE"""),7.798413229479E12)</f>
        <v>7798413229479</v>
      </c>
      <c r="E1374" s="97" t="str">
        <f>IFERROR(__xludf.DUMMYFUNCTION("""COMPUTED_VALUE"""),"A111")</f>
        <v>A111</v>
      </c>
      <c r="F1374" s="97" t="str">
        <f>IFERROR(__xludf.DUMMYFUNCTION("""COMPUTED_VALUE"""),"LED SMD")</f>
        <v>LED SMD</v>
      </c>
      <c r="G1374" s="97" t="str">
        <f>IFERROR(__xludf.DUMMYFUNCTION("""COMPUTED_VALUE"""),"-")</f>
        <v>-</v>
      </c>
      <c r="H1374" s="97"/>
      <c r="I1374" s="97"/>
      <c r="J1374" s="97"/>
      <c r="K1374" s="97"/>
      <c r="L1374" s="97" t="str">
        <f>IFERROR(__xludf.DUMMYFUNCTION("""COMPUTED_VALUE"""),"220-240")</f>
        <v>220-240</v>
      </c>
      <c r="M1374" s="97" t="str">
        <f>IFERROR(__xludf.DUMMYFUNCTION("""COMPUTED_VALUE"""),"50/60")</f>
        <v>50/60</v>
      </c>
      <c r="N1374" s="97" t="str">
        <f>IFERROR(__xludf.DUMMYFUNCTION("""COMPUTED_VALUE"""),"Directa")</f>
        <v>Directa</v>
      </c>
      <c r="O1374" s="97">
        <f>IFERROR(__xludf.DUMMYFUNCTION("""COMPUTED_VALUE"""),40.0)</f>
        <v>40</v>
      </c>
      <c r="P1374" s="97">
        <f>IFERROR(__xludf.DUMMYFUNCTION("""COMPUTED_VALUE"""),37.77)</f>
        <v>37.77</v>
      </c>
      <c r="Q1374" s="97">
        <f>IFERROR(__xludf.DUMMYFUNCTION("""COMPUTED_VALUE"""),0.95)</f>
        <v>0.95</v>
      </c>
      <c r="R1374" s="97" t="str">
        <f>IFERROR(__xludf.DUMMYFUNCTION("""COMPUTED_VALUE"""),"-")</f>
        <v>-</v>
      </c>
      <c r="S1374" s="97" t="str">
        <f>IFERROR(__xludf.DUMMYFUNCTION("""COMPUTED_VALUE"""),"-")</f>
        <v>-</v>
      </c>
      <c r="T1374" s="97">
        <f>IFERROR(__xludf.DUMMYFUNCTION("""COMPUTED_VALUE"""),2940.0)</f>
        <v>2940</v>
      </c>
      <c r="U1374" s="99">
        <f>IFERROR(__xludf.DUMMYFUNCTION("""COMPUTED_VALUE"""),77.93)</f>
        <v>77.93</v>
      </c>
      <c r="V1374" s="97">
        <f>IFERROR(__xludf.DUMMYFUNCTION("""COMPUTED_VALUE"""),36.0)</f>
        <v>36</v>
      </c>
      <c r="W1374" s="97" t="str">
        <f>IFERROR(__xludf.DUMMYFUNCTION("""COMPUTED_VALUE"""),"&lt; 10")</f>
        <v>&lt; 10</v>
      </c>
      <c r="X1374" s="97">
        <f>IFERROR(__xludf.DUMMYFUNCTION("""COMPUTED_VALUE"""),3000.0)</f>
        <v>3000</v>
      </c>
      <c r="Y1374" s="97" t="str">
        <f>IFERROR(__xludf.DUMMYFUNCTION("""COMPUTED_VALUE"""),"&gt;90")</f>
        <v>&gt;90</v>
      </c>
      <c r="Z1374" s="97"/>
      <c r="AA1374" s="97"/>
      <c r="AB1374" s="97"/>
      <c r="AC1374" s="97"/>
      <c r="AD1374" s="97" t="str">
        <f>IFERROR(__xludf.DUMMYFUNCTION("""COMPUTED_VALUE"""),"IP20")</f>
        <v>IP20</v>
      </c>
      <c r="AE1374" s="97"/>
      <c r="AF1374" s="97" t="str">
        <f>IFERROR(__xludf.DUMMYFUNCTION("""COMPUTED_VALUE"""),"Suspender")</f>
        <v>Suspender</v>
      </c>
      <c r="AG1374" s="97" t="str">
        <f>IFERROR(__xludf.DUMMYFUNCTION("""COMPUTED_VALUE"""),"120 x 18 x 1200")</f>
        <v>120 x 18 x 1200</v>
      </c>
      <c r="AH1374" s="97" t="str">
        <f>IFERROR(__xludf.DUMMYFUNCTION("""COMPUTED_VALUE"""),"N/A")</f>
        <v>N/A</v>
      </c>
      <c r="AI1374" s="97" t="str">
        <f>IFERROR(__xludf.DUMMYFUNCTION("""COMPUTED_VALUE"""),"N/A")</f>
        <v>N/A</v>
      </c>
      <c r="AJ1374" s="97"/>
      <c r="AK1374" s="97" t="str">
        <f>IFERROR(__xludf.DUMMYFUNCTION("""COMPUTED_VALUE"""),"Aluminio")</f>
        <v>Aluminio</v>
      </c>
      <c r="AL1374" s="97" t="str">
        <f>IFERROR(__xludf.DUMMYFUNCTION("""COMPUTED_VALUE"""),"Negro Mate")</f>
        <v>Negro Mate</v>
      </c>
      <c r="AM1374" s="97"/>
      <c r="AN1374" s="97"/>
      <c r="AO1374" s="97" t="str">
        <f>IFERROR(__xludf.DUMMYFUNCTION("""COMPUTED_VALUE"""),"3 Años")</f>
        <v>3 Años</v>
      </c>
      <c r="AP1374" s="97" t="str">
        <f>IFERROR(__xludf.DUMMYFUNCTION("""COMPUTED_VALUE"""),"Disponible")</f>
        <v>Disponible</v>
      </c>
      <c r="AQ1374" s="97" t="str">
        <f>IFERROR(__xludf.DUMMYFUNCTION("""COMPUTED_VALUE"""),"Disponible")</f>
        <v>Disponible</v>
      </c>
      <c r="AR1374" s="97" t="str">
        <f>IFERROR(__xludf.DUMMYFUNCTION("""COMPUTED_VALUE"""),"Disponible")</f>
        <v>Disponible</v>
      </c>
      <c r="AS1374" s="97" t="str">
        <f>IFERROR(__xludf.DUMMYFUNCTION("""COMPUTED_VALUE"""),"Falta")</f>
        <v>Falta</v>
      </c>
      <c r="AT1374" s="97" t="str">
        <f>IFERROR(__xludf.DUMMYFUNCTION("""COMPUTED_VALUE"""),"Falta")</f>
        <v>Falta</v>
      </c>
      <c r="AU1374" s="97" t="str">
        <f>IFERROR(__xludf.DUMMYFUNCTION("""COMPUTED_VALUE"""),"Falta")</f>
        <v>Falta</v>
      </c>
      <c r="AV1374" s="97" t="str">
        <f>IFERROR(__xludf.DUMMYFUNCTION("""COMPUTED_VALUE"""),"Colgante")</f>
        <v>Colgante</v>
      </c>
      <c r="AW1374" s="97" t="str">
        <f>IFERROR(__xludf.DUMMYFUNCTION("""COMPUTED_VALUE"""),"De Techo")</f>
        <v>De Techo</v>
      </c>
      <c r="AX1374" s="97" t="str">
        <f>IFERROR(__xludf.DUMMYFUNCTION("""COMPUTED_VALUE"""),"Interior")</f>
        <v>Interior</v>
      </c>
      <c r="AY1374" s="97" t="str">
        <f>IFERROR(__xludf.DUMMYFUNCTION("""COMPUTED_VALUE"""),"-")</f>
        <v>-</v>
      </c>
      <c r="AZ1374" s="97" t="str">
        <f>IFERROR(__xludf.DUMMYFUNCTION("""COMPUTED_VALUE"""),"Florón redondo | 2mts colgante")</f>
        <v>Florón redondo | 2mts colgante</v>
      </c>
      <c r="BA1374" s="97"/>
      <c r="BB1374" s="97"/>
      <c r="BC1374" s="97"/>
      <c r="BD1374" s="97" t="str">
        <f>IFERROR(__xludf.DUMMYFUNCTION("""COMPUTED_VALUE"""),"TRAZO")</f>
        <v>TRAZO</v>
      </c>
      <c r="BE1374" s="97"/>
      <c r="BF1374" s="97"/>
      <c r="BG1374" s="97" t="str">
        <f>IFERROR(__xludf.DUMMYFUNCTION("""COMPUTED_VALUE"""),"REPO 7")</f>
        <v>REPO 7</v>
      </c>
    </row>
    <row r="1375">
      <c r="A1375" s="97">
        <f>IFERROR(__xludf.DUMMYFUNCTION("""COMPUTED_VALUE"""),7475.0)</f>
        <v>7475</v>
      </c>
      <c r="B1375" s="97" t="str">
        <f>IFERROR(__xludf.DUMMYFUNCTION("""COMPUTED_VALUE"""),"FORTE BL 7W 2700K")</f>
        <v>FORTE BL 7W 2700K</v>
      </c>
      <c r="C1375" s="97" t="str">
        <f>IFERROR(__xludf.DUMMYFUNCTION("""COMPUTED_VALUE"""),"APLIQUE FORTE BL 7W 2700K 7+3W 2700K 630LM CRI&gt;90 IP20 LEUK")</f>
        <v>APLIQUE FORTE BL 7W 2700K 7+3W 2700K 630LM CRI&gt;90 IP20 LEUK</v>
      </c>
      <c r="D1375" s="97">
        <f>IFERROR(__xludf.DUMMYFUNCTION("""COMPUTED_VALUE"""),7.798413229486E12)</f>
        <v>7798413229486</v>
      </c>
      <c r="E1375" s="97" t="str">
        <f>IFERROR(__xludf.DUMMYFUNCTION("""COMPUTED_VALUE"""),"F69")</f>
        <v>F69</v>
      </c>
      <c r="F1375" s="97" t="str">
        <f>IFERROR(__xludf.DUMMYFUNCTION("""COMPUTED_VALUE"""),"LED SMD2835")</f>
        <v>LED SMD2835</v>
      </c>
      <c r="G1375" s="97" t="str">
        <f>IFERROR(__xludf.DUMMYFUNCTION("""COMPUTED_VALUE"""),"Epistar")</f>
        <v>Epistar</v>
      </c>
      <c r="H1375" s="97"/>
      <c r="I1375" s="97"/>
      <c r="J1375" s="97"/>
      <c r="K1375" s="97" t="str">
        <f>IFERROR(__xludf.DUMMYFUNCTION("""COMPUTED_VALUE"""),"ON/OFF")</f>
        <v>ON/OFF</v>
      </c>
      <c r="L1375" s="97" t="str">
        <f>IFERROR(__xludf.DUMMYFUNCTION("""COMPUTED_VALUE"""),"200-240")</f>
        <v>200-240</v>
      </c>
      <c r="M1375" s="97" t="str">
        <f>IFERROR(__xludf.DUMMYFUNCTION("""COMPUTED_VALUE"""),"50/60")</f>
        <v>50/60</v>
      </c>
      <c r="N1375" s="97" t="str">
        <f>IFERROR(__xludf.DUMMYFUNCTION("""COMPUTED_VALUE"""),"Semi directa")</f>
        <v>Semi directa</v>
      </c>
      <c r="O1375" s="97" t="str">
        <f>IFERROR(__xludf.DUMMYFUNCTION("""COMPUTED_VALUE"""),"7+3")</f>
        <v>7+3</v>
      </c>
      <c r="P1375" s="97">
        <f>IFERROR(__xludf.DUMMYFUNCTION("""COMPUTED_VALUE"""),8.4)</f>
        <v>8.4</v>
      </c>
      <c r="Q1375" s="97">
        <f>IFERROR(__xludf.DUMMYFUNCTION("""COMPUTED_VALUE"""),0.5)</f>
        <v>0.5</v>
      </c>
      <c r="R1375" s="97" t="str">
        <f>IFERROR(__xludf.DUMMYFUNCTION("""COMPUTED_VALUE"""),"-")</f>
        <v>-</v>
      </c>
      <c r="S1375" s="97" t="str">
        <f>IFERROR(__xludf.DUMMYFUNCTION("""COMPUTED_VALUE"""),"-")</f>
        <v>-</v>
      </c>
      <c r="T1375" s="97">
        <f>IFERROR(__xludf.DUMMYFUNCTION("""COMPUTED_VALUE"""),630.0)</f>
        <v>630</v>
      </c>
      <c r="U1375" s="99">
        <f>IFERROR(__xludf.DUMMYFUNCTION("""COMPUTED_VALUE"""),63.0)</f>
        <v>63</v>
      </c>
      <c r="V1375" s="97">
        <f>IFERROR(__xludf.DUMMYFUNCTION("""COMPUTED_VALUE"""),110.0)</f>
        <v>110</v>
      </c>
      <c r="W1375" s="97" t="str">
        <f>IFERROR(__xludf.DUMMYFUNCTION("""COMPUTED_VALUE"""),"-")</f>
        <v>-</v>
      </c>
      <c r="X1375" s="97">
        <f>IFERROR(__xludf.DUMMYFUNCTION("""COMPUTED_VALUE"""),2700.0)</f>
        <v>2700</v>
      </c>
      <c r="Y1375" s="97" t="str">
        <f>IFERROR(__xludf.DUMMYFUNCTION("""COMPUTED_VALUE"""),"&gt;90")</f>
        <v>&gt;90</v>
      </c>
      <c r="Z1375" s="97" t="str">
        <f>IFERROR(__xludf.DUMMYFUNCTION("""COMPUTED_VALUE"""),"-")</f>
        <v>-</v>
      </c>
      <c r="AA1375" s="97" t="str">
        <f>IFERROR(__xludf.DUMMYFUNCTION("""COMPUTED_VALUE"""),"-")</f>
        <v>-</v>
      </c>
      <c r="AB1375" s="97" t="str">
        <f>IFERROR(__xludf.DUMMYFUNCTION("""COMPUTED_VALUE"""),"-")</f>
        <v>-</v>
      </c>
      <c r="AC1375" s="97">
        <f>IFERROR(__xludf.DUMMYFUNCTION("""COMPUTED_VALUE"""),0.001)</f>
        <v>0.001</v>
      </c>
      <c r="AD1375" s="97" t="str">
        <f>IFERROR(__xludf.DUMMYFUNCTION("""COMPUTED_VALUE"""),"IP20")</f>
        <v>IP20</v>
      </c>
      <c r="AE1375" s="97" t="str">
        <f>IFERROR(__xludf.DUMMYFUNCTION("""COMPUTED_VALUE"""),"Clase l")</f>
        <v>Clase l</v>
      </c>
      <c r="AF1375" s="97" t="str">
        <f>IFERROR(__xludf.DUMMYFUNCTION("""COMPUTED_VALUE"""),"Aplicar")</f>
        <v>Aplicar</v>
      </c>
      <c r="AG1375" s="97" t="str">
        <f>IFERROR(__xludf.DUMMYFUNCTION("""COMPUTED_VALUE"""),"Ø80 x 74")</f>
        <v>Ø80 x 74</v>
      </c>
      <c r="AH1375" s="97" t="str">
        <f>IFERROR(__xludf.DUMMYFUNCTION("""COMPUTED_VALUE"""),"N/A")</f>
        <v>N/A</v>
      </c>
      <c r="AI1375" s="97" t="str">
        <f>IFERROR(__xludf.DUMMYFUNCTION("""COMPUTED_VALUE"""),"N/A")</f>
        <v>N/A</v>
      </c>
      <c r="AJ1375" s="97" t="str">
        <f>IFERROR(__xludf.DUMMYFUNCTION("""COMPUTED_VALUE"""),"Policarbonato (PC)")</f>
        <v>Policarbonato (PC)</v>
      </c>
      <c r="AK1375" s="97" t="str">
        <f>IFERROR(__xludf.DUMMYFUNCTION("""COMPUTED_VALUE"""),"Aluminio")</f>
        <v>Aluminio</v>
      </c>
      <c r="AL1375" s="97" t="str">
        <f>IFERROR(__xludf.DUMMYFUNCTION("""COMPUTED_VALUE"""),"Blanco")</f>
        <v>Blanco</v>
      </c>
      <c r="AM1375" s="97"/>
      <c r="AN1375" s="97" t="str">
        <f>IFERROR(__xludf.DUMMYFUNCTION("""COMPUTED_VALUE"""),"30.000hs (L70)")</f>
        <v>30.000hs (L70)</v>
      </c>
      <c r="AO1375" s="97" t="str">
        <f>IFERROR(__xludf.DUMMYFUNCTION("""COMPUTED_VALUE"""),"3 Años")</f>
        <v>3 Años</v>
      </c>
      <c r="AP1375" s="97" t="str">
        <f>IFERROR(__xludf.DUMMYFUNCTION("""COMPUTED_VALUE"""),"Disponible")</f>
        <v>Disponible</v>
      </c>
      <c r="AQ1375" s="97" t="str">
        <f>IFERROR(__xludf.DUMMYFUNCTION("""COMPUTED_VALUE"""),"Disponible")</f>
        <v>Disponible</v>
      </c>
      <c r="AR1375" s="97" t="str">
        <f>IFERROR(__xludf.DUMMYFUNCTION("""COMPUTED_VALUE"""),"Disponible")</f>
        <v>Disponible</v>
      </c>
      <c r="AS1375" s="97" t="str">
        <f>IFERROR(__xludf.DUMMYFUNCTION("""COMPUTED_VALUE"""),"Disponible")</f>
        <v>Disponible</v>
      </c>
      <c r="AT1375" s="97" t="str">
        <f>IFERROR(__xludf.DUMMYFUNCTION("""COMPUTED_VALUE"""),"Disponible")</f>
        <v>Disponible</v>
      </c>
      <c r="AU1375" s="97" t="str">
        <f>IFERROR(__xludf.DUMMYFUNCTION("""COMPUTED_VALUE"""),"Disponible")</f>
        <v>Disponible</v>
      </c>
      <c r="AV1375" s="97" t="str">
        <f>IFERROR(__xludf.DUMMYFUNCTION("""COMPUTED_VALUE"""),"Aplique")</f>
        <v>Aplique</v>
      </c>
      <c r="AW1375" s="97" t="str">
        <f>IFERROR(__xludf.DUMMYFUNCTION("""COMPUTED_VALUE"""),"De Techo")</f>
        <v>De Techo</v>
      </c>
      <c r="AX1375" s="97" t="str">
        <f>IFERROR(__xludf.DUMMYFUNCTION("""COMPUTED_VALUE"""),"Interior")</f>
        <v>Interior</v>
      </c>
      <c r="AY1375" s="97" t="str">
        <f>IFERROR(__xludf.DUMMYFUNCTION("""COMPUTED_VALUE"""),"-")</f>
        <v>-</v>
      </c>
      <c r="AZ1375" s="97"/>
      <c r="BA1375" s="97"/>
      <c r="BB1375" s="97"/>
      <c r="BC1375" s="97"/>
      <c r="BD1375" s="97" t="str">
        <f>IFERROR(__xludf.DUMMYFUNCTION("""COMPUTED_VALUE"""),"FORTE")</f>
        <v>FORTE</v>
      </c>
      <c r="BE1375" s="97" t="str">
        <f>IFERROR(__xludf.DUMMYFUNCTION("""COMPUTED_VALUE"""),"Solicitada")</f>
        <v>Solicitada</v>
      </c>
      <c r="BF1375" s="97"/>
      <c r="BG1375" s="97" t="str">
        <f>IFERROR(__xludf.DUMMYFUNCTION("""COMPUTED_VALUE"""),"REPO 7")</f>
        <v>REPO 7</v>
      </c>
    </row>
    <row r="1376">
      <c r="A1376" s="97">
        <f>IFERROR(__xludf.DUMMYFUNCTION("""COMPUTED_VALUE"""),7476.0)</f>
        <v>7476</v>
      </c>
      <c r="B1376" s="97" t="str">
        <f>IFERROR(__xludf.DUMMYFUNCTION("""COMPUTED_VALUE"""),"FORTE BL 7W 3000K")</f>
        <v>FORTE BL 7W 3000K</v>
      </c>
      <c r="C1376" s="97" t="str">
        <f>IFERROR(__xludf.DUMMYFUNCTION("""COMPUTED_VALUE"""),"APLIQUE FORTE BL 7W 3000K 7+3W 3000K 630LM CRI&gt;90 IP20 LEUK")</f>
        <v>APLIQUE FORTE BL 7W 3000K 7+3W 3000K 630LM CRI&gt;90 IP20 LEUK</v>
      </c>
      <c r="D1376" s="97">
        <f>IFERROR(__xludf.DUMMYFUNCTION("""COMPUTED_VALUE"""),7.798413229493E12)</f>
        <v>7798413229493</v>
      </c>
      <c r="E1376" s="97" t="str">
        <f>IFERROR(__xludf.DUMMYFUNCTION("""COMPUTED_VALUE"""),"F69")</f>
        <v>F69</v>
      </c>
      <c r="F1376" s="97" t="str">
        <f>IFERROR(__xludf.DUMMYFUNCTION("""COMPUTED_VALUE"""),"LED SMD2835")</f>
        <v>LED SMD2835</v>
      </c>
      <c r="G1376" s="97" t="str">
        <f>IFERROR(__xludf.DUMMYFUNCTION("""COMPUTED_VALUE"""),"Epistar")</f>
        <v>Epistar</v>
      </c>
      <c r="H1376" s="97"/>
      <c r="I1376" s="97"/>
      <c r="J1376" s="97"/>
      <c r="K1376" s="97" t="str">
        <f>IFERROR(__xludf.DUMMYFUNCTION("""COMPUTED_VALUE"""),"ON/OFF")</f>
        <v>ON/OFF</v>
      </c>
      <c r="L1376" s="97" t="str">
        <f>IFERROR(__xludf.DUMMYFUNCTION("""COMPUTED_VALUE"""),"200-240")</f>
        <v>200-240</v>
      </c>
      <c r="M1376" s="97" t="str">
        <f>IFERROR(__xludf.DUMMYFUNCTION("""COMPUTED_VALUE"""),"50/60")</f>
        <v>50/60</v>
      </c>
      <c r="N1376" s="97" t="str">
        <f>IFERROR(__xludf.DUMMYFUNCTION("""COMPUTED_VALUE"""),"Semi directa")</f>
        <v>Semi directa</v>
      </c>
      <c r="O1376" s="97" t="str">
        <f>IFERROR(__xludf.DUMMYFUNCTION("""COMPUTED_VALUE"""),"7+3")</f>
        <v>7+3</v>
      </c>
      <c r="P1376" s="97">
        <f>IFERROR(__xludf.DUMMYFUNCTION("""COMPUTED_VALUE"""),8.4)</f>
        <v>8.4</v>
      </c>
      <c r="Q1376" s="97">
        <f>IFERROR(__xludf.DUMMYFUNCTION("""COMPUTED_VALUE"""),0.5)</f>
        <v>0.5</v>
      </c>
      <c r="R1376" s="97" t="str">
        <f>IFERROR(__xludf.DUMMYFUNCTION("""COMPUTED_VALUE"""),"-")</f>
        <v>-</v>
      </c>
      <c r="S1376" s="97" t="str">
        <f>IFERROR(__xludf.DUMMYFUNCTION("""COMPUTED_VALUE"""),"-")</f>
        <v>-</v>
      </c>
      <c r="T1376" s="97">
        <f>IFERROR(__xludf.DUMMYFUNCTION("""COMPUTED_VALUE"""),630.0)</f>
        <v>630</v>
      </c>
      <c r="U1376" s="99">
        <f>IFERROR(__xludf.DUMMYFUNCTION("""COMPUTED_VALUE"""),63.0)</f>
        <v>63</v>
      </c>
      <c r="V1376" s="97">
        <f>IFERROR(__xludf.DUMMYFUNCTION("""COMPUTED_VALUE"""),110.0)</f>
        <v>110</v>
      </c>
      <c r="W1376" s="97" t="str">
        <f>IFERROR(__xludf.DUMMYFUNCTION("""COMPUTED_VALUE"""),"-")</f>
        <v>-</v>
      </c>
      <c r="X1376" s="97">
        <f>IFERROR(__xludf.DUMMYFUNCTION("""COMPUTED_VALUE"""),3000.0)</f>
        <v>3000</v>
      </c>
      <c r="Y1376" s="97" t="str">
        <f>IFERROR(__xludf.DUMMYFUNCTION("""COMPUTED_VALUE"""),"&gt;90")</f>
        <v>&gt;90</v>
      </c>
      <c r="Z1376" s="97" t="str">
        <f>IFERROR(__xludf.DUMMYFUNCTION("""COMPUTED_VALUE"""),"-")</f>
        <v>-</v>
      </c>
      <c r="AA1376" s="97" t="str">
        <f>IFERROR(__xludf.DUMMYFUNCTION("""COMPUTED_VALUE"""),"-")</f>
        <v>-</v>
      </c>
      <c r="AB1376" s="97" t="str">
        <f>IFERROR(__xludf.DUMMYFUNCTION("""COMPUTED_VALUE"""),"-")</f>
        <v>-</v>
      </c>
      <c r="AC1376" s="97">
        <f>IFERROR(__xludf.DUMMYFUNCTION("""COMPUTED_VALUE"""),8.0E-4)</f>
        <v>0.0008</v>
      </c>
      <c r="AD1376" s="97" t="str">
        <f>IFERROR(__xludf.DUMMYFUNCTION("""COMPUTED_VALUE"""),"IP20")</f>
        <v>IP20</v>
      </c>
      <c r="AE1376" s="97" t="str">
        <f>IFERROR(__xludf.DUMMYFUNCTION("""COMPUTED_VALUE"""),"Clase l")</f>
        <v>Clase l</v>
      </c>
      <c r="AF1376" s="97" t="str">
        <f>IFERROR(__xludf.DUMMYFUNCTION("""COMPUTED_VALUE"""),"Aplicar")</f>
        <v>Aplicar</v>
      </c>
      <c r="AG1376" s="97" t="str">
        <f>IFERROR(__xludf.DUMMYFUNCTION("""COMPUTED_VALUE"""),"Ø80 x 74")</f>
        <v>Ø80 x 74</v>
      </c>
      <c r="AH1376" s="97" t="str">
        <f>IFERROR(__xludf.DUMMYFUNCTION("""COMPUTED_VALUE"""),"N/A")</f>
        <v>N/A</v>
      </c>
      <c r="AI1376" s="97" t="str">
        <f>IFERROR(__xludf.DUMMYFUNCTION("""COMPUTED_VALUE"""),"N/A")</f>
        <v>N/A</v>
      </c>
      <c r="AJ1376" s="97" t="str">
        <f>IFERROR(__xludf.DUMMYFUNCTION("""COMPUTED_VALUE"""),"Policarbonato (PC)")</f>
        <v>Policarbonato (PC)</v>
      </c>
      <c r="AK1376" s="97" t="str">
        <f>IFERROR(__xludf.DUMMYFUNCTION("""COMPUTED_VALUE"""),"Aluminio")</f>
        <v>Aluminio</v>
      </c>
      <c r="AL1376" s="97" t="str">
        <f>IFERROR(__xludf.DUMMYFUNCTION("""COMPUTED_VALUE"""),"Blanco")</f>
        <v>Blanco</v>
      </c>
      <c r="AM1376" s="97"/>
      <c r="AN1376" s="97" t="str">
        <f>IFERROR(__xludf.DUMMYFUNCTION("""COMPUTED_VALUE"""),"30.000hs (L70)")</f>
        <v>30.000hs (L70)</v>
      </c>
      <c r="AO1376" s="97" t="str">
        <f>IFERROR(__xludf.DUMMYFUNCTION("""COMPUTED_VALUE"""),"3 Años")</f>
        <v>3 Años</v>
      </c>
      <c r="AP1376" s="97" t="str">
        <f>IFERROR(__xludf.DUMMYFUNCTION("""COMPUTED_VALUE"""),"Disponible")</f>
        <v>Disponible</v>
      </c>
      <c r="AQ1376" s="97" t="str">
        <f>IFERROR(__xludf.DUMMYFUNCTION("""COMPUTED_VALUE"""),"Disponible")</f>
        <v>Disponible</v>
      </c>
      <c r="AR1376" s="97" t="str">
        <f>IFERROR(__xludf.DUMMYFUNCTION("""COMPUTED_VALUE"""),"Disponible")</f>
        <v>Disponible</v>
      </c>
      <c r="AS1376" s="97" t="str">
        <f>IFERROR(__xludf.DUMMYFUNCTION("""COMPUTED_VALUE"""),"Disponible")</f>
        <v>Disponible</v>
      </c>
      <c r="AT1376" s="97" t="str">
        <f>IFERROR(__xludf.DUMMYFUNCTION("""COMPUTED_VALUE"""),"Disponible")</f>
        <v>Disponible</v>
      </c>
      <c r="AU1376" s="97" t="str">
        <f>IFERROR(__xludf.DUMMYFUNCTION("""COMPUTED_VALUE"""),"Disponible")</f>
        <v>Disponible</v>
      </c>
      <c r="AV1376" s="97" t="str">
        <f>IFERROR(__xludf.DUMMYFUNCTION("""COMPUTED_VALUE"""),"Aplique")</f>
        <v>Aplique</v>
      </c>
      <c r="AW1376" s="97" t="str">
        <f>IFERROR(__xludf.DUMMYFUNCTION("""COMPUTED_VALUE"""),"De Techo")</f>
        <v>De Techo</v>
      </c>
      <c r="AX1376" s="97" t="str">
        <f>IFERROR(__xludf.DUMMYFUNCTION("""COMPUTED_VALUE"""),"Interior")</f>
        <v>Interior</v>
      </c>
      <c r="AY1376" s="97" t="str">
        <f>IFERROR(__xludf.DUMMYFUNCTION("""COMPUTED_VALUE"""),"-")</f>
        <v>-</v>
      </c>
      <c r="AZ1376" s="97"/>
      <c r="BA1376" s="97"/>
      <c r="BB1376" s="97"/>
      <c r="BC1376" s="97"/>
      <c r="BD1376" s="97" t="str">
        <f>IFERROR(__xludf.DUMMYFUNCTION("""COMPUTED_VALUE"""),"FORTE")</f>
        <v>FORTE</v>
      </c>
      <c r="BE1376" s="97" t="str">
        <f>IFERROR(__xludf.DUMMYFUNCTION("""COMPUTED_VALUE"""),"Solicitada")</f>
        <v>Solicitada</v>
      </c>
      <c r="BF1376" s="97"/>
      <c r="BG1376" s="97" t="str">
        <f>IFERROR(__xludf.DUMMYFUNCTION("""COMPUTED_VALUE"""),"REPO 7")</f>
        <v>REPO 7</v>
      </c>
    </row>
    <row r="1377">
      <c r="A1377" s="97">
        <f>IFERROR(__xludf.DUMMYFUNCTION("""COMPUTED_VALUE"""),7477.0)</f>
        <v>7477</v>
      </c>
      <c r="B1377" s="97" t="str">
        <f>IFERROR(__xludf.DUMMYFUNCTION("""COMPUTED_VALUE"""),"FORTE NG 7W 2700K")</f>
        <v>FORTE NG 7W 2700K</v>
      </c>
      <c r="C1377" s="97" t="str">
        <f>IFERROR(__xludf.DUMMYFUNCTION("""COMPUTED_VALUE"""),"APLIQUE FORTE NG 7W 2700K 7+3W 2700K 630LM CRI&gt;90 IP20 LEUK")</f>
        <v>APLIQUE FORTE NG 7W 2700K 7+3W 2700K 630LM CRI&gt;90 IP20 LEUK</v>
      </c>
      <c r="D1377" s="97">
        <f>IFERROR(__xludf.DUMMYFUNCTION("""COMPUTED_VALUE"""),7.798413229509E12)</f>
        <v>7798413229509</v>
      </c>
      <c r="E1377" s="97" t="str">
        <f>IFERROR(__xludf.DUMMYFUNCTION("""COMPUTED_VALUE"""),"F69")</f>
        <v>F69</v>
      </c>
      <c r="F1377" s="97" t="str">
        <f>IFERROR(__xludf.DUMMYFUNCTION("""COMPUTED_VALUE"""),"LED SMD2835")</f>
        <v>LED SMD2835</v>
      </c>
      <c r="G1377" s="97" t="str">
        <f>IFERROR(__xludf.DUMMYFUNCTION("""COMPUTED_VALUE"""),"Epistar")</f>
        <v>Epistar</v>
      </c>
      <c r="H1377" s="97"/>
      <c r="I1377" s="97"/>
      <c r="J1377" s="97"/>
      <c r="K1377" s="97" t="str">
        <f>IFERROR(__xludf.DUMMYFUNCTION("""COMPUTED_VALUE"""),"ON/OFF")</f>
        <v>ON/OFF</v>
      </c>
      <c r="L1377" s="97" t="str">
        <f>IFERROR(__xludf.DUMMYFUNCTION("""COMPUTED_VALUE"""),"200-240")</f>
        <v>200-240</v>
      </c>
      <c r="M1377" s="97" t="str">
        <f>IFERROR(__xludf.DUMMYFUNCTION("""COMPUTED_VALUE"""),"50/60")</f>
        <v>50/60</v>
      </c>
      <c r="N1377" s="97" t="str">
        <f>IFERROR(__xludf.DUMMYFUNCTION("""COMPUTED_VALUE"""),"Semi directa")</f>
        <v>Semi directa</v>
      </c>
      <c r="O1377" s="97" t="str">
        <f>IFERROR(__xludf.DUMMYFUNCTION("""COMPUTED_VALUE"""),"7+3")</f>
        <v>7+3</v>
      </c>
      <c r="P1377" s="97">
        <f>IFERROR(__xludf.DUMMYFUNCTION("""COMPUTED_VALUE"""),8.4)</f>
        <v>8.4</v>
      </c>
      <c r="Q1377" s="97">
        <f>IFERROR(__xludf.DUMMYFUNCTION("""COMPUTED_VALUE"""),0.5)</f>
        <v>0.5</v>
      </c>
      <c r="R1377" s="97" t="str">
        <f>IFERROR(__xludf.DUMMYFUNCTION("""COMPUTED_VALUE"""),"-")</f>
        <v>-</v>
      </c>
      <c r="S1377" s="97" t="str">
        <f>IFERROR(__xludf.DUMMYFUNCTION("""COMPUTED_VALUE"""),"-")</f>
        <v>-</v>
      </c>
      <c r="T1377" s="97">
        <f>IFERROR(__xludf.DUMMYFUNCTION("""COMPUTED_VALUE"""),630.0)</f>
        <v>630</v>
      </c>
      <c r="U1377" s="99">
        <f>IFERROR(__xludf.DUMMYFUNCTION("""COMPUTED_VALUE"""),63.0)</f>
        <v>63</v>
      </c>
      <c r="V1377" s="97">
        <f>IFERROR(__xludf.DUMMYFUNCTION("""COMPUTED_VALUE"""),110.0)</f>
        <v>110</v>
      </c>
      <c r="W1377" s="97" t="str">
        <f>IFERROR(__xludf.DUMMYFUNCTION("""COMPUTED_VALUE"""),"-")</f>
        <v>-</v>
      </c>
      <c r="X1377" s="97">
        <f>IFERROR(__xludf.DUMMYFUNCTION("""COMPUTED_VALUE"""),2700.0)</f>
        <v>2700</v>
      </c>
      <c r="Y1377" s="97" t="str">
        <f>IFERROR(__xludf.DUMMYFUNCTION("""COMPUTED_VALUE"""),"&gt;90")</f>
        <v>&gt;90</v>
      </c>
      <c r="Z1377" s="97" t="str">
        <f>IFERROR(__xludf.DUMMYFUNCTION("""COMPUTED_VALUE"""),"-")</f>
        <v>-</v>
      </c>
      <c r="AA1377" s="97" t="str">
        <f>IFERROR(__xludf.DUMMYFUNCTION("""COMPUTED_VALUE"""),"-")</f>
        <v>-</v>
      </c>
      <c r="AB1377" s="97" t="str">
        <f>IFERROR(__xludf.DUMMYFUNCTION("""COMPUTED_VALUE"""),"-")</f>
        <v>-</v>
      </c>
      <c r="AC1377" s="97">
        <f>IFERROR(__xludf.DUMMYFUNCTION("""COMPUTED_VALUE"""),0.001)</f>
        <v>0.001</v>
      </c>
      <c r="AD1377" s="97" t="str">
        <f>IFERROR(__xludf.DUMMYFUNCTION("""COMPUTED_VALUE"""),"IP20")</f>
        <v>IP20</v>
      </c>
      <c r="AE1377" s="97" t="str">
        <f>IFERROR(__xludf.DUMMYFUNCTION("""COMPUTED_VALUE"""),"Clase l")</f>
        <v>Clase l</v>
      </c>
      <c r="AF1377" s="97" t="str">
        <f>IFERROR(__xludf.DUMMYFUNCTION("""COMPUTED_VALUE"""),"Aplicar")</f>
        <v>Aplicar</v>
      </c>
      <c r="AG1377" s="97" t="str">
        <f>IFERROR(__xludf.DUMMYFUNCTION("""COMPUTED_VALUE"""),"Ø80 x 74")</f>
        <v>Ø80 x 74</v>
      </c>
      <c r="AH1377" s="97" t="str">
        <f>IFERROR(__xludf.DUMMYFUNCTION("""COMPUTED_VALUE"""),"N/A")</f>
        <v>N/A</v>
      </c>
      <c r="AI1377" s="97" t="str">
        <f>IFERROR(__xludf.DUMMYFUNCTION("""COMPUTED_VALUE"""),"N/A")</f>
        <v>N/A</v>
      </c>
      <c r="AJ1377" s="97" t="str">
        <f>IFERROR(__xludf.DUMMYFUNCTION("""COMPUTED_VALUE"""),"Policarbonato (PC)")</f>
        <v>Policarbonato (PC)</v>
      </c>
      <c r="AK1377" s="97" t="str">
        <f>IFERROR(__xludf.DUMMYFUNCTION("""COMPUTED_VALUE"""),"Aluminio")</f>
        <v>Aluminio</v>
      </c>
      <c r="AL1377" s="97" t="str">
        <f>IFERROR(__xludf.DUMMYFUNCTION("""COMPUTED_VALUE"""),"Negro")</f>
        <v>Negro</v>
      </c>
      <c r="AM1377" s="97"/>
      <c r="AN1377" s="97" t="str">
        <f>IFERROR(__xludf.DUMMYFUNCTION("""COMPUTED_VALUE"""),"30.000hs (L70)")</f>
        <v>30.000hs (L70)</v>
      </c>
      <c r="AO1377" s="97" t="str">
        <f>IFERROR(__xludf.DUMMYFUNCTION("""COMPUTED_VALUE"""),"3 Años")</f>
        <v>3 Años</v>
      </c>
      <c r="AP1377" s="97" t="str">
        <f>IFERROR(__xludf.DUMMYFUNCTION("""COMPUTED_VALUE"""),"Disponible")</f>
        <v>Disponible</v>
      </c>
      <c r="AQ1377" s="97" t="str">
        <f>IFERROR(__xludf.DUMMYFUNCTION("""COMPUTED_VALUE"""),"Disponible")</f>
        <v>Disponible</v>
      </c>
      <c r="AR1377" s="97" t="str">
        <f>IFERROR(__xludf.DUMMYFUNCTION("""COMPUTED_VALUE"""),"Disponible")</f>
        <v>Disponible</v>
      </c>
      <c r="AS1377" s="97" t="str">
        <f>IFERROR(__xludf.DUMMYFUNCTION("""COMPUTED_VALUE"""),"Disponible")</f>
        <v>Disponible</v>
      </c>
      <c r="AT1377" s="97" t="str">
        <f>IFERROR(__xludf.DUMMYFUNCTION("""COMPUTED_VALUE"""),"Disponible")</f>
        <v>Disponible</v>
      </c>
      <c r="AU1377" s="97" t="str">
        <f>IFERROR(__xludf.DUMMYFUNCTION("""COMPUTED_VALUE"""),"Disponible")</f>
        <v>Disponible</v>
      </c>
      <c r="AV1377" s="97" t="str">
        <f>IFERROR(__xludf.DUMMYFUNCTION("""COMPUTED_VALUE"""),"Aplique")</f>
        <v>Aplique</v>
      </c>
      <c r="AW1377" s="97" t="str">
        <f>IFERROR(__xludf.DUMMYFUNCTION("""COMPUTED_VALUE"""),"De Techo")</f>
        <v>De Techo</v>
      </c>
      <c r="AX1377" s="97" t="str">
        <f>IFERROR(__xludf.DUMMYFUNCTION("""COMPUTED_VALUE"""),"Interior")</f>
        <v>Interior</v>
      </c>
      <c r="AY1377" s="97" t="str">
        <f>IFERROR(__xludf.DUMMYFUNCTION("""COMPUTED_VALUE"""),"-")</f>
        <v>-</v>
      </c>
      <c r="AZ1377" s="97"/>
      <c r="BA1377" s="97"/>
      <c r="BB1377" s="97"/>
      <c r="BC1377" s="97"/>
      <c r="BD1377" s="97" t="str">
        <f>IFERROR(__xludf.DUMMYFUNCTION("""COMPUTED_VALUE"""),"FORTE")</f>
        <v>FORTE</v>
      </c>
      <c r="BE1377" s="97" t="str">
        <f>IFERROR(__xludf.DUMMYFUNCTION("""COMPUTED_VALUE"""),"Solicitada")</f>
        <v>Solicitada</v>
      </c>
      <c r="BF1377" s="97"/>
      <c r="BG1377" s="97" t="str">
        <f>IFERROR(__xludf.DUMMYFUNCTION("""COMPUTED_VALUE"""),"REPO 7")</f>
        <v>REPO 7</v>
      </c>
    </row>
    <row r="1378">
      <c r="A1378" s="97">
        <f>IFERROR(__xludf.DUMMYFUNCTION("""COMPUTED_VALUE"""),7478.0)</f>
        <v>7478</v>
      </c>
      <c r="B1378" s="97" t="str">
        <f>IFERROR(__xludf.DUMMYFUNCTION("""COMPUTED_VALUE"""),"FORTE NG 7W 3000K")</f>
        <v>FORTE NG 7W 3000K</v>
      </c>
      <c r="C1378" s="97" t="str">
        <f>IFERROR(__xludf.DUMMYFUNCTION("""COMPUTED_VALUE"""),"APLIQUE FORTE NG 7W 3000K 7+3W 3000K 630LM CRI&gt;90 IP20 LEUK")</f>
        <v>APLIQUE FORTE NG 7W 3000K 7+3W 3000K 630LM CRI&gt;90 IP20 LEUK</v>
      </c>
      <c r="D1378" s="97">
        <f>IFERROR(__xludf.DUMMYFUNCTION("""COMPUTED_VALUE"""),7.798413229516E12)</f>
        <v>7798413229516</v>
      </c>
      <c r="E1378" s="97" t="str">
        <f>IFERROR(__xludf.DUMMYFUNCTION("""COMPUTED_VALUE"""),"F69")</f>
        <v>F69</v>
      </c>
      <c r="F1378" s="97" t="str">
        <f>IFERROR(__xludf.DUMMYFUNCTION("""COMPUTED_VALUE"""),"LED SMD2835")</f>
        <v>LED SMD2835</v>
      </c>
      <c r="G1378" s="97" t="str">
        <f>IFERROR(__xludf.DUMMYFUNCTION("""COMPUTED_VALUE"""),"Epistar")</f>
        <v>Epistar</v>
      </c>
      <c r="H1378" s="97"/>
      <c r="I1378" s="97"/>
      <c r="J1378" s="97"/>
      <c r="K1378" s="97" t="str">
        <f>IFERROR(__xludf.DUMMYFUNCTION("""COMPUTED_VALUE"""),"ON/OFF")</f>
        <v>ON/OFF</v>
      </c>
      <c r="L1378" s="97" t="str">
        <f>IFERROR(__xludf.DUMMYFUNCTION("""COMPUTED_VALUE"""),"200-240")</f>
        <v>200-240</v>
      </c>
      <c r="M1378" s="97" t="str">
        <f>IFERROR(__xludf.DUMMYFUNCTION("""COMPUTED_VALUE"""),"50/60")</f>
        <v>50/60</v>
      </c>
      <c r="N1378" s="97" t="str">
        <f>IFERROR(__xludf.DUMMYFUNCTION("""COMPUTED_VALUE"""),"Semi directa")</f>
        <v>Semi directa</v>
      </c>
      <c r="O1378" s="97" t="str">
        <f>IFERROR(__xludf.DUMMYFUNCTION("""COMPUTED_VALUE"""),"7+3")</f>
        <v>7+3</v>
      </c>
      <c r="P1378" s="97">
        <f>IFERROR(__xludf.DUMMYFUNCTION("""COMPUTED_VALUE"""),8.4)</f>
        <v>8.4</v>
      </c>
      <c r="Q1378" s="97">
        <f>IFERROR(__xludf.DUMMYFUNCTION("""COMPUTED_VALUE"""),0.5)</f>
        <v>0.5</v>
      </c>
      <c r="R1378" s="97" t="str">
        <f>IFERROR(__xludf.DUMMYFUNCTION("""COMPUTED_VALUE"""),"-")</f>
        <v>-</v>
      </c>
      <c r="S1378" s="97" t="str">
        <f>IFERROR(__xludf.DUMMYFUNCTION("""COMPUTED_VALUE"""),"-")</f>
        <v>-</v>
      </c>
      <c r="T1378" s="97">
        <f>IFERROR(__xludf.DUMMYFUNCTION("""COMPUTED_VALUE"""),630.0)</f>
        <v>630</v>
      </c>
      <c r="U1378" s="99">
        <f>IFERROR(__xludf.DUMMYFUNCTION("""COMPUTED_VALUE"""),63.0)</f>
        <v>63</v>
      </c>
      <c r="V1378" s="97">
        <f>IFERROR(__xludf.DUMMYFUNCTION("""COMPUTED_VALUE"""),110.0)</f>
        <v>110</v>
      </c>
      <c r="W1378" s="97" t="str">
        <f>IFERROR(__xludf.DUMMYFUNCTION("""COMPUTED_VALUE"""),"-")</f>
        <v>-</v>
      </c>
      <c r="X1378" s="97">
        <f>IFERROR(__xludf.DUMMYFUNCTION("""COMPUTED_VALUE"""),3000.0)</f>
        <v>3000</v>
      </c>
      <c r="Y1378" s="97" t="str">
        <f>IFERROR(__xludf.DUMMYFUNCTION("""COMPUTED_VALUE"""),"&gt;90")</f>
        <v>&gt;90</v>
      </c>
      <c r="Z1378" s="97" t="str">
        <f>IFERROR(__xludf.DUMMYFUNCTION("""COMPUTED_VALUE"""),"-")</f>
        <v>-</v>
      </c>
      <c r="AA1378" s="97" t="str">
        <f>IFERROR(__xludf.DUMMYFUNCTION("""COMPUTED_VALUE"""),"-")</f>
        <v>-</v>
      </c>
      <c r="AB1378" s="97" t="str">
        <f>IFERROR(__xludf.DUMMYFUNCTION("""COMPUTED_VALUE"""),"-")</f>
        <v>-</v>
      </c>
      <c r="AC1378" s="97">
        <f>IFERROR(__xludf.DUMMYFUNCTION("""COMPUTED_VALUE"""),8.0E-4)</f>
        <v>0.0008</v>
      </c>
      <c r="AD1378" s="97" t="str">
        <f>IFERROR(__xludf.DUMMYFUNCTION("""COMPUTED_VALUE"""),"IP20")</f>
        <v>IP20</v>
      </c>
      <c r="AE1378" s="97" t="str">
        <f>IFERROR(__xludf.DUMMYFUNCTION("""COMPUTED_VALUE"""),"Clase l")</f>
        <v>Clase l</v>
      </c>
      <c r="AF1378" s="97" t="str">
        <f>IFERROR(__xludf.DUMMYFUNCTION("""COMPUTED_VALUE"""),"Aplicar")</f>
        <v>Aplicar</v>
      </c>
      <c r="AG1378" s="97" t="str">
        <f>IFERROR(__xludf.DUMMYFUNCTION("""COMPUTED_VALUE"""),"Ø80 x 74")</f>
        <v>Ø80 x 74</v>
      </c>
      <c r="AH1378" s="97" t="str">
        <f>IFERROR(__xludf.DUMMYFUNCTION("""COMPUTED_VALUE"""),"N/A")</f>
        <v>N/A</v>
      </c>
      <c r="AI1378" s="97" t="str">
        <f>IFERROR(__xludf.DUMMYFUNCTION("""COMPUTED_VALUE"""),"N/A")</f>
        <v>N/A</v>
      </c>
      <c r="AJ1378" s="97" t="str">
        <f>IFERROR(__xludf.DUMMYFUNCTION("""COMPUTED_VALUE"""),"Policarbonato (PC)")</f>
        <v>Policarbonato (PC)</v>
      </c>
      <c r="AK1378" s="97" t="str">
        <f>IFERROR(__xludf.DUMMYFUNCTION("""COMPUTED_VALUE"""),"Aluminio")</f>
        <v>Aluminio</v>
      </c>
      <c r="AL1378" s="97" t="str">
        <f>IFERROR(__xludf.DUMMYFUNCTION("""COMPUTED_VALUE"""),"Negro")</f>
        <v>Negro</v>
      </c>
      <c r="AM1378" s="97"/>
      <c r="AN1378" s="97" t="str">
        <f>IFERROR(__xludf.DUMMYFUNCTION("""COMPUTED_VALUE"""),"30.000hs (L70)")</f>
        <v>30.000hs (L70)</v>
      </c>
      <c r="AO1378" s="97" t="str">
        <f>IFERROR(__xludf.DUMMYFUNCTION("""COMPUTED_VALUE"""),"3 Años")</f>
        <v>3 Años</v>
      </c>
      <c r="AP1378" s="97" t="str">
        <f>IFERROR(__xludf.DUMMYFUNCTION("""COMPUTED_VALUE"""),"Disponible")</f>
        <v>Disponible</v>
      </c>
      <c r="AQ1378" s="97" t="str">
        <f>IFERROR(__xludf.DUMMYFUNCTION("""COMPUTED_VALUE"""),"Disponible")</f>
        <v>Disponible</v>
      </c>
      <c r="AR1378" s="97" t="str">
        <f>IFERROR(__xludf.DUMMYFUNCTION("""COMPUTED_VALUE"""),"Disponible")</f>
        <v>Disponible</v>
      </c>
      <c r="AS1378" s="97" t="str">
        <f>IFERROR(__xludf.DUMMYFUNCTION("""COMPUTED_VALUE"""),"Disponible")</f>
        <v>Disponible</v>
      </c>
      <c r="AT1378" s="97" t="str">
        <f>IFERROR(__xludf.DUMMYFUNCTION("""COMPUTED_VALUE"""),"Disponible")</f>
        <v>Disponible</v>
      </c>
      <c r="AU1378" s="97" t="str">
        <f>IFERROR(__xludf.DUMMYFUNCTION("""COMPUTED_VALUE"""),"Disponible")</f>
        <v>Disponible</v>
      </c>
      <c r="AV1378" s="97" t="str">
        <f>IFERROR(__xludf.DUMMYFUNCTION("""COMPUTED_VALUE"""),"Aplique")</f>
        <v>Aplique</v>
      </c>
      <c r="AW1378" s="97" t="str">
        <f>IFERROR(__xludf.DUMMYFUNCTION("""COMPUTED_VALUE"""),"De Techo")</f>
        <v>De Techo</v>
      </c>
      <c r="AX1378" s="97" t="str">
        <f>IFERROR(__xludf.DUMMYFUNCTION("""COMPUTED_VALUE"""),"Interior")</f>
        <v>Interior</v>
      </c>
      <c r="AY1378" s="97" t="str">
        <f>IFERROR(__xludf.DUMMYFUNCTION("""COMPUTED_VALUE"""),"-")</f>
        <v>-</v>
      </c>
      <c r="AZ1378" s="97"/>
      <c r="BA1378" s="97"/>
      <c r="BB1378" s="97"/>
      <c r="BC1378" s="97"/>
      <c r="BD1378" s="97" t="str">
        <f>IFERROR(__xludf.DUMMYFUNCTION("""COMPUTED_VALUE"""),"FORTE")</f>
        <v>FORTE</v>
      </c>
      <c r="BE1378" s="97" t="str">
        <f>IFERROR(__xludf.DUMMYFUNCTION("""COMPUTED_VALUE"""),"Solicitada")</f>
        <v>Solicitada</v>
      </c>
      <c r="BF1378" s="97"/>
      <c r="BG1378" s="97" t="str">
        <f>IFERROR(__xludf.DUMMYFUNCTION("""COMPUTED_VALUE"""),"REPO 7")</f>
        <v>REPO 7</v>
      </c>
    </row>
    <row r="1379">
      <c r="A1379" s="97">
        <f>IFERROR(__xludf.DUMMYFUNCTION("""COMPUTED_VALUE"""),7479.0)</f>
        <v>7479</v>
      </c>
      <c r="B1379" s="97" t="str">
        <f>IFERROR(__xludf.DUMMYFUNCTION("""COMPUTED_VALUE"""),"FORTE BL 12W 2700K")</f>
        <v>FORTE BL 12W 2700K</v>
      </c>
      <c r="C1379" s="97" t="str">
        <f>IFERROR(__xludf.DUMMYFUNCTION("""COMPUTED_VALUE"""),"APLIQUE FORTE BL 12W 2700K 12+3W 2700K 1435LM CRI&gt;90 IP20 LEUK")</f>
        <v>APLIQUE FORTE BL 12W 2700K 12+3W 2700K 1435LM CRI&gt;90 IP20 LEUK</v>
      </c>
      <c r="D1379" s="97">
        <f>IFERROR(__xludf.DUMMYFUNCTION("""COMPUTED_VALUE"""),7.798413229523E12)</f>
        <v>7798413229523</v>
      </c>
      <c r="E1379" s="97" t="str">
        <f>IFERROR(__xludf.DUMMYFUNCTION("""COMPUTED_VALUE"""),"F55")</f>
        <v>F55</v>
      </c>
      <c r="F1379" s="97" t="str">
        <f>IFERROR(__xludf.DUMMYFUNCTION("""COMPUTED_VALUE"""),"LED SMD2835")</f>
        <v>LED SMD2835</v>
      </c>
      <c r="G1379" s="97" t="str">
        <f>IFERROR(__xludf.DUMMYFUNCTION("""COMPUTED_VALUE"""),"Epistar")</f>
        <v>Epistar</v>
      </c>
      <c r="H1379" s="97"/>
      <c r="I1379" s="97"/>
      <c r="J1379" s="97"/>
      <c r="K1379" s="97" t="str">
        <f>IFERROR(__xludf.DUMMYFUNCTION("""COMPUTED_VALUE"""),"ON/OFF")</f>
        <v>ON/OFF</v>
      </c>
      <c r="L1379" s="97" t="str">
        <f>IFERROR(__xludf.DUMMYFUNCTION("""COMPUTED_VALUE"""),"200-240")</f>
        <v>200-240</v>
      </c>
      <c r="M1379" s="97" t="str">
        <f>IFERROR(__xludf.DUMMYFUNCTION("""COMPUTED_VALUE"""),"50/60")</f>
        <v>50/60</v>
      </c>
      <c r="N1379" s="97" t="str">
        <f>IFERROR(__xludf.DUMMYFUNCTION("""COMPUTED_VALUE"""),"Semi directa")</f>
        <v>Semi directa</v>
      </c>
      <c r="O1379" s="97" t="str">
        <f>IFERROR(__xludf.DUMMYFUNCTION("""COMPUTED_VALUE"""),"12+3")</f>
        <v>12+3</v>
      </c>
      <c r="P1379" s="97">
        <f>IFERROR(__xludf.DUMMYFUNCTION("""COMPUTED_VALUE"""),14.37)</f>
        <v>14.37</v>
      </c>
      <c r="Q1379" s="97">
        <f>IFERROR(__xludf.DUMMYFUNCTION("""COMPUTED_VALUE"""),0.5)</f>
        <v>0.5</v>
      </c>
      <c r="R1379" s="97" t="str">
        <f>IFERROR(__xludf.DUMMYFUNCTION("""COMPUTED_VALUE"""),"-")</f>
        <v>-</v>
      </c>
      <c r="S1379" s="97" t="str">
        <f>IFERROR(__xludf.DUMMYFUNCTION("""COMPUTED_VALUE"""),"-")</f>
        <v>-</v>
      </c>
      <c r="T1379" s="97">
        <f>IFERROR(__xludf.DUMMYFUNCTION("""COMPUTED_VALUE"""),1435.0)</f>
        <v>1435</v>
      </c>
      <c r="U1379" s="99">
        <f>IFERROR(__xludf.DUMMYFUNCTION("""COMPUTED_VALUE"""),95.66666666666667)</f>
        <v>95.66666667</v>
      </c>
      <c r="V1379" s="97">
        <f>IFERROR(__xludf.DUMMYFUNCTION("""COMPUTED_VALUE"""),110.0)</f>
        <v>110</v>
      </c>
      <c r="W1379" s="97" t="str">
        <f>IFERROR(__xludf.DUMMYFUNCTION("""COMPUTED_VALUE"""),"-")</f>
        <v>-</v>
      </c>
      <c r="X1379" s="97">
        <f>IFERROR(__xludf.DUMMYFUNCTION("""COMPUTED_VALUE"""),2700.0)</f>
        <v>2700</v>
      </c>
      <c r="Y1379" s="97" t="str">
        <f>IFERROR(__xludf.DUMMYFUNCTION("""COMPUTED_VALUE"""),"&gt;90")</f>
        <v>&gt;90</v>
      </c>
      <c r="Z1379" s="97" t="str">
        <f>IFERROR(__xludf.DUMMYFUNCTION("""COMPUTED_VALUE"""),"-")</f>
        <v>-</v>
      </c>
      <c r="AA1379" s="97" t="str">
        <f>IFERROR(__xludf.DUMMYFUNCTION("""COMPUTED_VALUE"""),"-")</f>
        <v>-</v>
      </c>
      <c r="AB1379" s="97" t="str">
        <f>IFERROR(__xludf.DUMMYFUNCTION("""COMPUTED_VALUE"""),"-")</f>
        <v>-</v>
      </c>
      <c r="AC1379" s="97">
        <f>IFERROR(__xludf.DUMMYFUNCTION("""COMPUTED_VALUE"""),5.0E-4)</f>
        <v>0.0005</v>
      </c>
      <c r="AD1379" s="97" t="str">
        <f>IFERROR(__xludf.DUMMYFUNCTION("""COMPUTED_VALUE"""),"IP20")</f>
        <v>IP20</v>
      </c>
      <c r="AE1379" s="97" t="str">
        <f>IFERROR(__xludf.DUMMYFUNCTION("""COMPUTED_VALUE"""),"Clase l")</f>
        <v>Clase l</v>
      </c>
      <c r="AF1379" s="97" t="str">
        <f>IFERROR(__xludf.DUMMYFUNCTION("""COMPUTED_VALUE"""),"Aplicar")</f>
        <v>Aplicar</v>
      </c>
      <c r="AG1379" s="97" t="str">
        <f>IFERROR(__xludf.DUMMYFUNCTION("""COMPUTED_VALUE"""),"Ø115 x 74")</f>
        <v>Ø115 x 74</v>
      </c>
      <c r="AH1379" s="97" t="str">
        <f>IFERROR(__xludf.DUMMYFUNCTION("""COMPUTED_VALUE"""),"N/A")</f>
        <v>N/A</v>
      </c>
      <c r="AI1379" s="97" t="str">
        <f>IFERROR(__xludf.DUMMYFUNCTION("""COMPUTED_VALUE"""),"N/A")</f>
        <v>N/A</v>
      </c>
      <c r="AJ1379" s="97" t="str">
        <f>IFERROR(__xludf.DUMMYFUNCTION("""COMPUTED_VALUE"""),"Policarbonato (PC)")</f>
        <v>Policarbonato (PC)</v>
      </c>
      <c r="AK1379" s="97" t="str">
        <f>IFERROR(__xludf.DUMMYFUNCTION("""COMPUTED_VALUE"""),"Aluminio")</f>
        <v>Aluminio</v>
      </c>
      <c r="AL1379" s="97" t="str">
        <f>IFERROR(__xludf.DUMMYFUNCTION("""COMPUTED_VALUE"""),"Blanco")</f>
        <v>Blanco</v>
      </c>
      <c r="AM1379" s="97"/>
      <c r="AN1379" s="97" t="str">
        <f>IFERROR(__xludf.DUMMYFUNCTION("""COMPUTED_VALUE"""),"30.000hs (L70)")</f>
        <v>30.000hs (L70)</v>
      </c>
      <c r="AO1379" s="97" t="str">
        <f>IFERROR(__xludf.DUMMYFUNCTION("""COMPUTED_VALUE"""),"3 Años")</f>
        <v>3 Años</v>
      </c>
      <c r="AP1379" s="97" t="str">
        <f>IFERROR(__xludf.DUMMYFUNCTION("""COMPUTED_VALUE"""),"Disponible")</f>
        <v>Disponible</v>
      </c>
      <c r="AQ1379" s="97" t="str">
        <f>IFERROR(__xludf.DUMMYFUNCTION("""COMPUTED_VALUE"""),"Disponible")</f>
        <v>Disponible</v>
      </c>
      <c r="AR1379" s="97" t="str">
        <f>IFERROR(__xludf.DUMMYFUNCTION("""COMPUTED_VALUE"""),"Disponible")</f>
        <v>Disponible</v>
      </c>
      <c r="AS1379" s="97" t="str">
        <f>IFERROR(__xludf.DUMMYFUNCTION("""COMPUTED_VALUE"""),"Disponible")</f>
        <v>Disponible</v>
      </c>
      <c r="AT1379" s="97" t="str">
        <f>IFERROR(__xludf.DUMMYFUNCTION("""COMPUTED_VALUE"""),"Disponible")</f>
        <v>Disponible</v>
      </c>
      <c r="AU1379" s="97" t="str">
        <f>IFERROR(__xludf.DUMMYFUNCTION("""COMPUTED_VALUE"""),"Disponible")</f>
        <v>Disponible</v>
      </c>
      <c r="AV1379" s="97" t="str">
        <f>IFERROR(__xludf.DUMMYFUNCTION("""COMPUTED_VALUE"""),"Aplique")</f>
        <v>Aplique</v>
      </c>
      <c r="AW1379" s="97" t="str">
        <f>IFERROR(__xludf.DUMMYFUNCTION("""COMPUTED_VALUE"""),"De Techo")</f>
        <v>De Techo</v>
      </c>
      <c r="AX1379" s="97" t="str">
        <f>IFERROR(__xludf.DUMMYFUNCTION("""COMPUTED_VALUE"""),"Interior")</f>
        <v>Interior</v>
      </c>
      <c r="AY1379" s="97" t="str">
        <f>IFERROR(__xludf.DUMMYFUNCTION("""COMPUTED_VALUE"""),"-")</f>
        <v>-</v>
      </c>
      <c r="AZ1379" s="97"/>
      <c r="BA1379" s="97"/>
      <c r="BB1379" s="97"/>
      <c r="BC1379" s="97"/>
      <c r="BD1379" s="97" t="str">
        <f>IFERROR(__xludf.DUMMYFUNCTION("""COMPUTED_VALUE"""),"FORTE")</f>
        <v>FORTE</v>
      </c>
      <c r="BE1379" s="97" t="str">
        <f>IFERROR(__xludf.DUMMYFUNCTION("""COMPUTED_VALUE"""),"Solicitada")</f>
        <v>Solicitada</v>
      </c>
      <c r="BF1379" s="97"/>
      <c r="BG1379" s="97" t="str">
        <f>IFERROR(__xludf.DUMMYFUNCTION("""COMPUTED_VALUE"""),"REPO 7")</f>
        <v>REPO 7</v>
      </c>
    </row>
    <row r="1380">
      <c r="A1380" s="97">
        <f>IFERROR(__xludf.DUMMYFUNCTION("""COMPUTED_VALUE"""),7480.0)</f>
        <v>7480</v>
      </c>
      <c r="B1380" s="97" t="str">
        <f>IFERROR(__xludf.DUMMYFUNCTION("""COMPUTED_VALUE"""),"FORTE BL 12W 3000K")</f>
        <v>FORTE BL 12W 3000K</v>
      </c>
      <c r="C1380" s="97" t="str">
        <f>IFERROR(__xludf.DUMMYFUNCTION("""COMPUTED_VALUE"""),"APLIQUE FORTE BL 12W 3000K 12+3W 3000K 1435LM CRI&gt;90 IP20 LEUK")</f>
        <v>APLIQUE FORTE BL 12W 3000K 12+3W 3000K 1435LM CRI&gt;90 IP20 LEUK</v>
      </c>
      <c r="D1380" s="97">
        <f>IFERROR(__xludf.DUMMYFUNCTION("""COMPUTED_VALUE"""),7.79841322953E12)</f>
        <v>7798413229530</v>
      </c>
      <c r="E1380" s="97" t="str">
        <f>IFERROR(__xludf.DUMMYFUNCTION("""COMPUTED_VALUE"""),"F55")</f>
        <v>F55</v>
      </c>
      <c r="F1380" s="97" t="str">
        <f>IFERROR(__xludf.DUMMYFUNCTION("""COMPUTED_VALUE"""),"LED SMD2835")</f>
        <v>LED SMD2835</v>
      </c>
      <c r="G1380" s="97" t="str">
        <f>IFERROR(__xludf.DUMMYFUNCTION("""COMPUTED_VALUE"""),"Epistar")</f>
        <v>Epistar</v>
      </c>
      <c r="H1380" s="97"/>
      <c r="I1380" s="97"/>
      <c r="J1380" s="97"/>
      <c r="K1380" s="97" t="str">
        <f>IFERROR(__xludf.DUMMYFUNCTION("""COMPUTED_VALUE"""),"ON/OFF")</f>
        <v>ON/OFF</v>
      </c>
      <c r="L1380" s="97" t="str">
        <f>IFERROR(__xludf.DUMMYFUNCTION("""COMPUTED_VALUE"""),"200-240")</f>
        <v>200-240</v>
      </c>
      <c r="M1380" s="97" t="str">
        <f>IFERROR(__xludf.DUMMYFUNCTION("""COMPUTED_VALUE"""),"50/60")</f>
        <v>50/60</v>
      </c>
      <c r="N1380" s="97" t="str">
        <f>IFERROR(__xludf.DUMMYFUNCTION("""COMPUTED_VALUE"""),"Semi directa")</f>
        <v>Semi directa</v>
      </c>
      <c r="O1380" s="97" t="str">
        <f>IFERROR(__xludf.DUMMYFUNCTION("""COMPUTED_VALUE"""),"12+3")</f>
        <v>12+3</v>
      </c>
      <c r="P1380" s="97">
        <f>IFERROR(__xludf.DUMMYFUNCTION("""COMPUTED_VALUE"""),14.37)</f>
        <v>14.37</v>
      </c>
      <c r="Q1380" s="97">
        <f>IFERROR(__xludf.DUMMYFUNCTION("""COMPUTED_VALUE"""),0.5)</f>
        <v>0.5</v>
      </c>
      <c r="R1380" s="97" t="str">
        <f>IFERROR(__xludf.DUMMYFUNCTION("""COMPUTED_VALUE"""),"-")</f>
        <v>-</v>
      </c>
      <c r="S1380" s="97" t="str">
        <f>IFERROR(__xludf.DUMMYFUNCTION("""COMPUTED_VALUE"""),"-")</f>
        <v>-</v>
      </c>
      <c r="T1380" s="97">
        <f>IFERROR(__xludf.DUMMYFUNCTION("""COMPUTED_VALUE"""),1435.0)</f>
        <v>1435</v>
      </c>
      <c r="U1380" s="99">
        <f>IFERROR(__xludf.DUMMYFUNCTION("""COMPUTED_VALUE"""),95.66666666666667)</f>
        <v>95.66666667</v>
      </c>
      <c r="V1380" s="97">
        <f>IFERROR(__xludf.DUMMYFUNCTION("""COMPUTED_VALUE"""),110.0)</f>
        <v>110</v>
      </c>
      <c r="W1380" s="97" t="str">
        <f>IFERROR(__xludf.DUMMYFUNCTION("""COMPUTED_VALUE"""),"-")</f>
        <v>-</v>
      </c>
      <c r="X1380" s="97">
        <f>IFERROR(__xludf.DUMMYFUNCTION("""COMPUTED_VALUE"""),3000.0)</f>
        <v>3000</v>
      </c>
      <c r="Y1380" s="97" t="str">
        <f>IFERROR(__xludf.DUMMYFUNCTION("""COMPUTED_VALUE"""),"&gt;90")</f>
        <v>&gt;90</v>
      </c>
      <c r="Z1380" s="97" t="str">
        <f>IFERROR(__xludf.DUMMYFUNCTION("""COMPUTED_VALUE"""),"-")</f>
        <v>-</v>
      </c>
      <c r="AA1380" s="97" t="str">
        <f>IFERROR(__xludf.DUMMYFUNCTION("""COMPUTED_VALUE"""),"-")</f>
        <v>-</v>
      </c>
      <c r="AB1380" s="97" t="str">
        <f>IFERROR(__xludf.DUMMYFUNCTION("""COMPUTED_VALUE"""),"-")</f>
        <v>-</v>
      </c>
      <c r="AC1380" s="97">
        <f>IFERROR(__xludf.DUMMYFUNCTION("""COMPUTED_VALUE"""),5.0E-4)</f>
        <v>0.0005</v>
      </c>
      <c r="AD1380" s="97" t="str">
        <f>IFERROR(__xludf.DUMMYFUNCTION("""COMPUTED_VALUE"""),"IP20")</f>
        <v>IP20</v>
      </c>
      <c r="AE1380" s="97" t="str">
        <f>IFERROR(__xludf.DUMMYFUNCTION("""COMPUTED_VALUE"""),"Clase l")</f>
        <v>Clase l</v>
      </c>
      <c r="AF1380" s="97" t="str">
        <f>IFERROR(__xludf.DUMMYFUNCTION("""COMPUTED_VALUE"""),"Aplicar")</f>
        <v>Aplicar</v>
      </c>
      <c r="AG1380" s="97" t="str">
        <f>IFERROR(__xludf.DUMMYFUNCTION("""COMPUTED_VALUE"""),"Ø115 x 74")</f>
        <v>Ø115 x 74</v>
      </c>
      <c r="AH1380" s="97" t="str">
        <f>IFERROR(__xludf.DUMMYFUNCTION("""COMPUTED_VALUE"""),"N/A")</f>
        <v>N/A</v>
      </c>
      <c r="AI1380" s="97" t="str">
        <f>IFERROR(__xludf.DUMMYFUNCTION("""COMPUTED_VALUE"""),"N/A")</f>
        <v>N/A</v>
      </c>
      <c r="AJ1380" s="97" t="str">
        <f>IFERROR(__xludf.DUMMYFUNCTION("""COMPUTED_VALUE"""),"Policarbonato (PC)")</f>
        <v>Policarbonato (PC)</v>
      </c>
      <c r="AK1380" s="97" t="str">
        <f>IFERROR(__xludf.DUMMYFUNCTION("""COMPUTED_VALUE"""),"Aluminio")</f>
        <v>Aluminio</v>
      </c>
      <c r="AL1380" s="97" t="str">
        <f>IFERROR(__xludf.DUMMYFUNCTION("""COMPUTED_VALUE"""),"Blanco")</f>
        <v>Blanco</v>
      </c>
      <c r="AM1380" s="97"/>
      <c r="AN1380" s="97" t="str">
        <f>IFERROR(__xludf.DUMMYFUNCTION("""COMPUTED_VALUE"""),"30.000hs (L70)")</f>
        <v>30.000hs (L70)</v>
      </c>
      <c r="AO1380" s="97" t="str">
        <f>IFERROR(__xludf.DUMMYFUNCTION("""COMPUTED_VALUE"""),"3 Años")</f>
        <v>3 Años</v>
      </c>
      <c r="AP1380" s="97" t="str">
        <f>IFERROR(__xludf.DUMMYFUNCTION("""COMPUTED_VALUE"""),"Disponible")</f>
        <v>Disponible</v>
      </c>
      <c r="AQ1380" s="97" t="str">
        <f>IFERROR(__xludf.DUMMYFUNCTION("""COMPUTED_VALUE"""),"Disponible")</f>
        <v>Disponible</v>
      </c>
      <c r="AR1380" s="97" t="str">
        <f>IFERROR(__xludf.DUMMYFUNCTION("""COMPUTED_VALUE"""),"Disponible")</f>
        <v>Disponible</v>
      </c>
      <c r="AS1380" s="97" t="str">
        <f>IFERROR(__xludf.DUMMYFUNCTION("""COMPUTED_VALUE"""),"Disponible")</f>
        <v>Disponible</v>
      </c>
      <c r="AT1380" s="97" t="str">
        <f>IFERROR(__xludf.DUMMYFUNCTION("""COMPUTED_VALUE"""),"Disponible")</f>
        <v>Disponible</v>
      </c>
      <c r="AU1380" s="97" t="str">
        <f>IFERROR(__xludf.DUMMYFUNCTION("""COMPUTED_VALUE"""),"Disponible")</f>
        <v>Disponible</v>
      </c>
      <c r="AV1380" s="97" t="str">
        <f>IFERROR(__xludf.DUMMYFUNCTION("""COMPUTED_VALUE"""),"Aplique")</f>
        <v>Aplique</v>
      </c>
      <c r="AW1380" s="97" t="str">
        <f>IFERROR(__xludf.DUMMYFUNCTION("""COMPUTED_VALUE"""),"De Techo")</f>
        <v>De Techo</v>
      </c>
      <c r="AX1380" s="97" t="str">
        <f>IFERROR(__xludf.DUMMYFUNCTION("""COMPUTED_VALUE"""),"Interior")</f>
        <v>Interior</v>
      </c>
      <c r="AY1380" s="97" t="str">
        <f>IFERROR(__xludf.DUMMYFUNCTION("""COMPUTED_VALUE"""),"-")</f>
        <v>-</v>
      </c>
      <c r="AZ1380" s="97"/>
      <c r="BA1380" s="97"/>
      <c r="BB1380" s="97"/>
      <c r="BC1380" s="97"/>
      <c r="BD1380" s="97" t="str">
        <f>IFERROR(__xludf.DUMMYFUNCTION("""COMPUTED_VALUE"""),"FORTE")</f>
        <v>FORTE</v>
      </c>
      <c r="BE1380" s="97" t="str">
        <f>IFERROR(__xludf.DUMMYFUNCTION("""COMPUTED_VALUE"""),"Solicitada")</f>
        <v>Solicitada</v>
      </c>
      <c r="BF1380" s="97"/>
      <c r="BG1380" s="97" t="str">
        <f>IFERROR(__xludf.DUMMYFUNCTION("""COMPUTED_VALUE"""),"REPO 7")</f>
        <v>REPO 7</v>
      </c>
    </row>
    <row r="1381">
      <c r="A1381" s="97">
        <f>IFERROR(__xludf.DUMMYFUNCTION("""COMPUTED_VALUE"""),7481.0)</f>
        <v>7481</v>
      </c>
      <c r="B1381" s="97" t="str">
        <f>IFERROR(__xludf.DUMMYFUNCTION("""COMPUTED_VALUE"""),"FORTE NG 12W 2700K")</f>
        <v>FORTE NG 12W 2700K</v>
      </c>
      <c r="C1381" s="97" t="str">
        <f>IFERROR(__xludf.DUMMYFUNCTION("""COMPUTED_VALUE"""),"APLIQUE FORTE NG 12W 2700K 12+3W 2700K 1435LM CRI&gt;90 IP20 LEUK")</f>
        <v>APLIQUE FORTE NG 12W 2700K 12+3W 2700K 1435LM CRI&gt;90 IP20 LEUK</v>
      </c>
      <c r="D1381" s="97">
        <f>IFERROR(__xludf.DUMMYFUNCTION("""COMPUTED_VALUE"""),7.798413229547E12)</f>
        <v>7798413229547</v>
      </c>
      <c r="E1381" s="97" t="str">
        <f>IFERROR(__xludf.DUMMYFUNCTION("""COMPUTED_VALUE"""),"F55")</f>
        <v>F55</v>
      </c>
      <c r="F1381" s="97" t="str">
        <f>IFERROR(__xludf.DUMMYFUNCTION("""COMPUTED_VALUE"""),"LED SMD2835")</f>
        <v>LED SMD2835</v>
      </c>
      <c r="G1381" s="97" t="str">
        <f>IFERROR(__xludf.DUMMYFUNCTION("""COMPUTED_VALUE"""),"Epistar")</f>
        <v>Epistar</v>
      </c>
      <c r="H1381" s="97"/>
      <c r="I1381" s="97"/>
      <c r="J1381" s="97"/>
      <c r="K1381" s="97" t="str">
        <f>IFERROR(__xludf.DUMMYFUNCTION("""COMPUTED_VALUE"""),"ON/OFF")</f>
        <v>ON/OFF</v>
      </c>
      <c r="L1381" s="97" t="str">
        <f>IFERROR(__xludf.DUMMYFUNCTION("""COMPUTED_VALUE"""),"200-240")</f>
        <v>200-240</v>
      </c>
      <c r="M1381" s="97" t="str">
        <f>IFERROR(__xludf.DUMMYFUNCTION("""COMPUTED_VALUE"""),"50/60")</f>
        <v>50/60</v>
      </c>
      <c r="N1381" s="97" t="str">
        <f>IFERROR(__xludf.DUMMYFUNCTION("""COMPUTED_VALUE"""),"Semi directa")</f>
        <v>Semi directa</v>
      </c>
      <c r="O1381" s="97" t="str">
        <f>IFERROR(__xludf.DUMMYFUNCTION("""COMPUTED_VALUE"""),"12+3")</f>
        <v>12+3</v>
      </c>
      <c r="P1381" s="97">
        <f>IFERROR(__xludf.DUMMYFUNCTION("""COMPUTED_VALUE"""),14.37)</f>
        <v>14.37</v>
      </c>
      <c r="Q1381" s="97">
        <f>IFERROR(__xludf.DUMMYFUNCTION("""COMPUTED_VALUE"""),0.5)</f>
        <v>0.5</v>
      </c>
      <c r="R1381" s="97" t="str">
        <f>IFERROR(__xludf.DUMMYFUNCTION("""COMPUTED_VALUE"""),"-")</f>
        <v>-</v>
      </c>
      <c r="S1381" s="97" t="str">
        <f>IFERROR(__xludf.DUMMYFUNCTION("""COMPUTED_VALUE"""),"-")</f>
        <v>-</v>
      </c>
      <c r="T1381" s="97">
        <f>IFERROR(__xludf.DUMMYFUNCTION("""COMPUTED_VALUE"""),1435.0)</f>
        <v>1435</v>
      </c>
      <c r="U1381" s="99">
        <f>IFERROR(__xludf.DUMMYFUNCTION("""COMPUTED_VALUE"""),95.66666666666667)</f>
        <v>95.66666667</v>
      </c>
      <c r="V1381" s="97">
        <f>IFERROR(__xludf.DUMMYFUNCTION("""COMPUTED_VALUE"""),110.0)</f>
        <v>110</v>
      </c>
      <c r="W1381" s="97" t="str">
        <f>IFERROR(__xludf.DUMMYFUNCTION("""COMPUTED_VALUE"""),"-")</f>
        <v>-</v>
      </c>
      <c r="X1381" s="97">
        <f>IFERROR(__xludf.DUMMYFUNCTION("""COMPUTED_VALUE"""),2700.0)</f>
        <v>2700</v>
      </c>
      <c r="Y1381" s="97" t="str">
        <f>IFERROR(__xludf.DUMMYFUNCTION("""COMPUTED_VALUE"""),"&gt;90")</f>
        <v>&gt;90</v>
      </c>
      <c r="Z1381" s="97" t="str">
        <f>IFERROR(__xludf.DUMMYFUNCTION("""COMPUTED_VALUE"""),"-")</f>
        <v>-</v>
      </c>
      <c r="AA1381" s="97" t="str">
        <f>IFERROR(__xludf.DUMMYFUNCTION("""COMPUTED_VALUE"""),"-")</f>
        <v>-</v>
      </c>
      <c r="AB1381" s="97" t="str">
        <f>IFERROR(__xludf.DUMMYFUNCTION("""COMPUTED_VALUE"""),"-")</f>
        <v>-</v>
      </c>
      <c r="AC1381" s="97">
        <f>IFERROR(__xludf.DUMMYFUNCTION("""COMPUTED_VALUE"""),5.0E-4)</f>
        <v>0.0005</v>
      </c>
      <c r="AD1381" s="97" t="str">
        <f>IFERROR(__xludf.DUMMYFUNCTION("""COMPUTED_VALUE"""),"IP20")</f>
        <v>IP20</v>
      </c>
      <c r="AE1381" s="97" t="str">
        <f>IFERROR(__xludf.DUMMYFUNCTION("""COMPUTED_VALUE"""),"Clase l")</f>
        <v>Clase l</v>
      </c>
      <c r="AF1381" s="97" t="str">
        <f>IFERROR(__xludf.DUMMYFUNCTION("""COMPUTED_VALUE"""),"Aplicar")</f>
        <v>Aplicar</v>
      </c>
      <c r="AG1381" s="97" t="str">
        <f>IFERROR(__xludf.DUMMYFUNCTION("""COMPUTED_VALUE"""),"Ø115 x 74")</f>
        <v>Ø115 x 74</v>
      </c>
      <c r="AH1381" s="97" t="str">
        <f>IFERROR(__xludf.DUMMYFUNCTION("""COMPUTED_VALUE"""),"N/A")</f>
        <v>N/A</v>
      </c>
      <c r="AI1381" s="97" t="str">
        <f>IFERROR(__xludf.DUMMYFUNCTION("""COMPUTED_VALUE"""),"N/A")</f>
        <v>N/A</v>
      </c>
      <c r="AJ1381" s="97" t="str">
        <f>IFERROR(__xludf.DUMMYFUNCTION("""COMPUTED_VALUE"""),"Policarbonato (PC)")</f>
        <v>Policarbonato (PC)</v>
      </c>
      <c r="AK1381" s="97" t="str">
        <f>IFERROR(__xludf.DUMMYFUNCTION("""COMPUTED_VALUE"""),"Aluminio")</f>
        <v>Aluminio</v>
      </c>
      <c r="AL1381" s="97" t="str">
        <f>IFERROR(__xludf.DUMMYFUNCTION("""COMPUTED_VALUE"""),"Negro")</f>
        <v>Negro</v>
      </c>
      <c r="AM1381" s="97"/>
      <c r="AN1381" s="97" t="str">
        <f>IFERROR(__xludf.DUMMYFUNCTION("""COMPUTED_VALUE"""),"30.000hs (L70)")</f>
        <v>30.000hs (L70)</v>
      </c>
      <c r="AO1381" s="97" t="str">
        <f>IFERROR(__xludf.DUMMYFUNCTION("""COMPUTED_VALUE"""),"3 Años")</f>
        <v>3 Años</v>
      </c>
      <c r="AP1381" s="97" t="str">
        <f>IFERROR(__xludf.DUMMYFUNCTION("""COMPUTED_VALUE"""),"Disponible")</f>
        <v>Disponible</v>
      </c>
      <c r="AQ1381" s="97" t="str">
        <f>IFERROR(__xludf.DUMMYFUNCTION("""COMPUTED_VALUE"""),"Disponible")</f>
        <v>Disponible</v>
      </c>
      <c r="AR1381" s="97" t="str">
        <f>IFERROR(__xludf.DUMMYFUNCTION("""COMPUTED_VALUE"""),"Disponible")</f>
        <v>Disponible</v>
      </c>
      <c r="AS1381" s="97" t="str">
        <f>IFERROR(__xludf.DUMMYFUNCTION("""COMPUTED_VALUE"""),"Disponible")</f>
        <v>Disponible</v>
      </c>
      <c r="AT1381" s="97" t="str">
        <f>IFERROR(__xludf.DUMMYFUNCTION("""COMPUTED_VALUE"""),"Disponible")</f>
        <v>Disponible</v>
      </c>
      <c r="AU1381" s="97" t="str">
        <f>IFERROR(__xludf.DUMMYFUNCTION("""COMPUTED_VALUE"""),"Disponible")</f>
        <v>Disponible</v>
      </c>
      <c r="AV1381" s="97" t="str">
        <f>IFERROR(__xludf.DUMMYFUNCTION("""COMPUTED_VALUE"""),"Aplique")</f>
        <v>Aplique</v>
      </c>
      <c r="AW1381" s="97" t="str">
        <f>IFERROR(__xludf.DUMMYFUNCTION("""COMPUTED_VALUE"""),"De Techo")</f>
        <v>De Techo</v>
      </c>
      <c r="AX1381" s="97" t="str">
        <f>IFERROR(__xludf.DUMMYFUNCTION("""COMPUTED_VALUE"""),"Interior")</f>
        <v>Interior</v>
      </c>
      <c r="AY1381" s="97" t="str">
        <f>IFERROR(__xludf.DUMMYFUNCTION("""COMPUTED_VALUE"""),"-")</f>
        <v>-</v>
      </c>
      <c r="AZ1381" s="97"/>
      <c r="BA1381" s="97"/>
      <c r="BB1381" s="97"/>
      <c r="BC1381" s="97"/>
      <c r="BD1381" s="97" t="str">
        <f>IFERROR(__xludf.DUMMYFUNCTION("""COMPUTED_VALUE"""),"FORTE")</f>
        <v>FORTE</v>
      </c>
      <c r="BE1381" s="97" t="str">
        <f>IFERROR(__xludf.DUMMYFUNCTION("""COMPUTED_VALUE"""),"Solicitada")</f>
        <v>Solicitada</v>
      </c>
      <c r="BF1381" s="97"/>
      <c r="BG1381" s="97" t="str">
        <f>IFERROR(__xludf.DUMMYFUNCTION("""COMPUTED_VALUE"""),"REPO 7")</f>
        <v>REPO 7</v>
      </c>
    </row>
    <row r="1382">
      <c r="A1382" s="97">
        <f>IFERROR(__xludf.DUMMYFUNCTION("""COMPUTED_VALUE"""),7482.0)</f>
        <v>7482</v>
      </c>
      <c r="B1382" s="97" t="str">
        <f>IFERROR(__xludf.DUMMYFUNCTION("""COMPUTED_VALUE"""),"FORTE NG 12W 3000K")</f>
        <v>FORTE NG 12W 3000K</v>
      </c>
      <c r="C1382" s="97" t="str">
        <f>IFERROR(__xludf.DUMMYFUNCTION("""COMPUTED_VALUE"""),"APLIQUE FORTE NG 12W 3000K 12+3W 3000K 1435LM CRI&gt;90 IP20 LEUK")</f>
        <v>APLIQUE FORTE NG 12W 3000K 12+3W 3000K 1435LM CRI&gt;90 IP20 LEUK</v>
      </c>
      <c r="D1382" s="97">
        <f>IFERROR(__xludf.DUMMYFUNCTION("""COMPUTED_VALUE"""),7.798413229554E12)</f>
        <v>7798413229554</v>
      </c>
      <c r="E1382" s="97" t="str">
        <f>IFERROR(__xludf.DUMMYFUNCTION("""COMPUTED_VALUE"""),"F55")</f>
        <v>F55</v>
      </c>
      <c r="F1382" s="97" t="str">
        <f>IFERROR(__xludf.DUMMYFUNCTION("""COMPUTED_VALUE"""),"LED SMD2835")</f>
        <v>LED SMD2835</v>
      </c>
      <c r="G1382" s="97" t="str">
        <f>IFERROR(__xludf.DUMMYFUNCTION("""COMPUTED_VALUE"""),"Epistar")</f>
        <v>Epistar</v>
      </c>
      <c r="H1382" s="97"/>
      <c r="I1382" s="97"/>
      <c r="J1382" s="97"/>
      <c r="K1382" s="97" t="str">
        <f>IFERROR(__xludf.DUMMYFUNCTION("""COMPUTED_VALUE"""),"ON/OFF")</f>
        <v>ON/OFF</v>
      </c>
      <c r="L1382" s="97" t="str">
        <f>IFERROR(__xludf.DUMMYFUNCTION("""COMPUTED_VALUE"""),"200-240")</f>
        <v>200-240</v>
      </c>
      <c r="M1382" s="97" t="str">
        <f>IFERROR(__xludf.DUMMYFUNCTION("""COMPUTED_VALUE"""),"50/60")</f>
        <v>50/60</v>
      </c>
      <c r="N1382" s="97" t="str">
        <f>IFERROR(__xludf.DUMMYFUNCTION("""COMPUTED_VALUE"""),"Semi directa")</f>
        <v>Semi directa</v>
      </c>
      <c r="O1382" s="97" t="str">
        <f>IFERROR(__xludf.DUMMYFUNCTION("""COMPUTED_VALUE"""),"12+3")</f>
        <v>12+3</v>
      </c>
      <c r="P1382" s="97">
        <f>IFERROR(__xludf.DUMMYFUNCTION("""COMPUTED_VALUE"""),14.37)</f>
        <v>14.37</v>
      </c>
      <c r="Q1382" s="97">
        <f>IFERROR(__xludf.DUMMYFUNCTION("""COMPUTED_VALUE"""),0.5)</f>
        <v>0.5</v>
      </c>
      <c r="R1382" s="97" t="str">
        <f>IFERROR(__xludf.DUMMYFUNCTION("""COMPUTED_VALUE"""),"-")</f>
        <v>-</v>
      </c>
      <c r="S1382" s="97" t="str">
        <f>IFERROR(__xludf.DUMMYFUNCTION("""COMPUTED_VALUE"""),"-")</f>
        <v>-</v>
      </c>
      <c r="T1382" s="97">
        <f>IFERROR(__xludf.DUMMYFUNCTION("""COMPUTED_VALUE"""),1435.0)</f>
        <v>1435</v>
      </c>
      <c r="U1382" s="99">
        <f>IFERROR(__xludf.DUMMYFUNCTION("""COMPUTED_VALUE"""),95.66666666666667)</f>
        <v>95.66666667</v>
      </c>
      <c r="V1382" s="97">
        <f>IFERROR(__xludf.DUMMYFUNCTION("""COMPUTED_VALUE"""),110.0)</f>
        <v>110</v>
      </c>
      <c r="W1382" s="97" t="str">
        <f>IFERROR(__xludf.DUMMYFUNCTION("""COMPUTED_VALUE"""),"-")</f>
        <v>-</v>
      </c>
      <c r="X1382" s="97">
        <f>IFERROR(__xludf.DUMMYFUNCTION("""COMPUTED_VALUE"""),3000.0)</f>
        <v>3000</v>
      </c>
      <c r="Y1382" s="97" t="str">
        <f>IFERROR(__xludf.DUMMYFUNCTION("""COMPUTED_VALUE"""),"&gt;90")</f>
        <v>&gt;90</v>
      </c>
      <c r="Z1382" s="97" t="str">
        <f>IFERROR(__xludf.DUMMYFUNCTION("""COMPUTED_VALUE"""),"-")</f>
        <v>-</v>
      </c>
      <c r="AA1382" s="97" t="str">
        <f>IFERROR(__xludf.DUMMYFUNCTION("""COMPUTED_VALUE"""),"-")</f>
        <v>-</v>
      </c>
      <c r="AB1382" s="97" t="str">
        <f>IFERROR(__xludf.DUMMYFUNCTION("""COMPUTED_VALUE"""),"-")</f>
        <v>-</v>
      </c>
      <c r="AC1382" s="97">
        <f>IFERROR(__xludf.DUMMYFUNCTION("""COMPUTED_VALUE"""),5.0E-4)</f>
        <v>0.0005</v>
      </c>
      <c r="AD1382" s="97" t="str">
        <f>IFERROR(__xludf.DUMMYFUNCTION("""COMPUTED_VALUE"""),"IP20")</f>
        <v>IP20</v>
      </c>
      <c r="AE1382" s="97" t="str">
        <f>IFERROR(__xludf.DUMMYFUNCTION("""COMPUTED_VALUE"""),"Clase l")</f>
        <v>Clase l</v>
      </c>
      <c r="AF1382" s="97" t="str">
        <f>IFERROR(__xludf.DUMMYFUNCTION("""COMPUTED_VALUE"""),"Aplicar")</f>
        <v>Aplicar</v>
      </c>
      <c r="AG1382" s="97" t="str">
        <f>IFERROR(__xludf.DUMMYFUNCTION("""COMPUTED_VALUE"""),"Ø115 x 74")</f>
        <v>Ø115 x 74</v>
      </c>
      <c r="AH1382" s="97" t="str">
        <f>IFERROR(__xludf.DUMMYFUNCTION("""COMPUTED_VALUE"""),"N/A")</f>
        <v>N/A</v>
      </c>
      <c r="AI1382" s="97" t="str">
        <f>IFERROR(__xludf.DUMMYFUNCTION("""COMPUTED_VALUE"""),"N/A")</f>
        <v>N/A</v>
      </c>
      <c r="AJ1382" s="97" t="str">
        <f>IFERROR(__xludf.DUMMYFUNCTION("""COMPUTED_VALUE"""),"Policarbonato (PC)")</f>
        <v>Policarbonato (PC)</v>
      </c>
      <c r="AK1382" s="97" t="str">
        <f>IFERROR(__xludf.DUMMYFUNCTION("""COMPUTED_VALUE"""),"Aluminio")</f>
        <v>Aluminio</v>
      </c>
      <c r="AL1382" s="97" t="str">
        <f>IFERROR(__xludf.DUMMYFUNCTION("""COMPUTED_VALUE"""),"Negro")</f>
        <v>Negro</v>
      </c>
      <c r="AM1382" s="97"/>
      <c r="AN1382" s="97" t="str">
        <f>IFERROR(__xludf.DUMMYFUNCTION("""COMPUTED_VALUE"""),"30.000hs (L70)")</f>
        <v>30.000hs (L70)</v>
      </c>
      <c r="AO1382" s="97" t="str">
        <f>IFERROR(__xludf.DUMMYFUNCTION("""COMPUTED_VALUE"""),"3 Años")</f>
        <v>3 Años</v>
      </c>
      <c r="AP1382" s="97" t="str">
        <f>IFERROR(__xludf.DUMMYFUNCTION("""COMPUTED_VALUE"""),"Disponible")</f>
        <v>Disponible</v>
      </c>
      <c r="AQ1382" s="97" t="str">
        <f>IFERROR(__xludf.DUMMYFUNCTION("""COMPUTED_VALUE"""),"Disponible")</f>
        <v>Disponible</v>
      </c>
      <c r="AR1382" s="97" t="str">
        <f>IFERROR(__xludf.DUMMYFUNCTION("""COMPUTED_VALUE"""),"Disponible")</f>
        <v>Disponible</v>
      </c>
      <c r="AS1382" s="97" t="str">
        <f>IFERROR(__xludf.DUMMYFUNCTION("""COMPUTED_VALUE"""),"Disponible")</f>
        <v>Disponible</v>
      </c>
      <c r="AT1382" s="97" t="str">
        <f>IFERROR(__xludf.DUMMYFUNCTION("""COMPUTED_VALUE"""),"Disponible")</f>
        <v>Disponible</v>
      </c>
      <c r="AU1382" s="97" t="str">
        <f>IFERROR(__xludf.DUMMYFUNCTION("""COMPUTED_VALUE"""),"Disponible")</f>
        <v>Disponible</v>
      </c>
      <c r="AV1382" s="97" t="str">
        <f>IFERROR(__xludf.DUMMYFUNCTION("""COMPUTED_VALUE"""),"Aplique")</f>
        <v>Aplique</v>
      </c>
      <c r="AW1382" s="97" t="str">
        <f>IFERROR(__xludf.DUMMYFUNCTION("""COMPUTED_VALUE"""),"De Techo")</f>
        <v>De Techo</v>
      </c>
      <c r="AX1382" s="97" t="str">
        <f>IFERROR(__xludf.DUMMYFUNCTION("""COMPUTED_VALUE"""),"Interior")</f>
        <v>Interior</v>
      </c>
      <c r="AY1382" s="97" t="str">
        <f>IFERROR(__xludf.DUMMYFUNCTION("""COMPUTED_VALUE"""),"-")</f>
        <v>-</v>
      </c>
      <c r="AZ1382" s="97"/>
      <c r="BA1382" s="97"/>
      <c r="BB1382" s="97"/>
      <c r="BC1382" s="97"/>
      <c r="BD1382" s="97" t="str">
        <f>IFERROR(__xludf.DUMMYFUNCTION("""COMPUTED_VALUE"""),"FORTE")</f>
        <v>FORTE</v>
      </c>
      <c r="BE1382" s="97" t="str">
        <f>IFERROR(__xludf.DUMMYFUNCTION("""COMPUTED_VALUE"""),"Solicitada")</f>
        <v>Solicitada</v>
      </c>
      <c r="BF1382" s="97"/>
      <c r="BG1382" s="97" t="str">
        <f>IFERROR(__xludf.DUMMYFUNCTION("""COMPUTED_VALUE"""),"REPO 7")</f>
        <v>REPO 7</v>
      </c>
    </row>
    <row r="1383">
      <c r="A1383" s="97">
        <f>IFERROR(__xludf.DUMMYFUNCTION("""COMPUTED_VALUE"""),7483.0)</f>
        <v>7483</v>
      </c>
      <c r="B1383" s="97" t="str">
        <f>IFERROR(__xludf.DUMMYFUNCTION("""COMPUTED_VALUE"""),"FORTE BL 18W 2700K")</f>
        <v>FORTE BL 18W 2700K</v>
      </c>
      <c r="C1383" s="97" t="str">
        <f>IFERROR(__xludf.DUMMYFUNCTION("""COMPUTED_VALUE"""),"APLIQUE FORTE BL 18W 2700K 18+6W 2700K 2215LM CRI&gt;90 IP20 LEUK")</f>
        <v>APLIQUE FORTE BL 18W 2700K 18+6W 2700K 2215LM CRI&gt;90 IP20 LEUK</v>
      </c>
      <c r="D1383" s="97">
        <f>IFERROR(__xludf.DUMMYFUNCTION("""COMPUTED_VALUE"""),7.798413229561E12)</f>
        <v>7798413229561</v>
      </c>
      <c r="E1383" s="97" t="str">
        <f>IFERROR(__xludf.DUMMYFUNCTION("""COMPUTED_VALUE"""),"F135")</f>
        <v>F135</v>
      </c>
      <c r="F1383" s="97" t="str">
        <f>IFERROR(__xludf.DUMMYFUNCTION("""COMPUTED_VALUE"""),"LED SMD2835")</f>
        <v>LED SMD2835</v>
      </c>
      <c r="G1383" s="97" t="str">
        <f>IFERROR(__xludf.DUMMYFUNCTION("""COMPUTED_VALUE"""),"Epistar")</f>
        <v>Epistar</v>
      </c>
      <c r="H1383" s="97"/>
      <c r="I1383" s="97"/>
      <c r="J1383" s="97"/>
      <c r="K1383" s="97" t="str">
        <f>IFERROR(__xludf.DUMMYFUNCTION("""COMPUTED_VALUE"""),"ON/OFF")</f>
        <v>ON/OFF</v>
      </c>
      <c r="L1383" s="97" t="str">
        <f>IFERROR(__xludf.DUMMYFUNCTION("""COMPUTED_VALUE"""),"200-240")</f>
        <v>200-240</v>
      </c>
      <c r="M1383" s="97" t="str">
        <f>IFERROR(__xludf.DUMMYFUNCTION("""COMPUTED_VALUE"""),"50/60")</f>
        <v>50/60</v>
      </c>
      <c r="N1383" s="97" t="str">
        <f>IFERROR(__xludf.DUMMYFUNCTION("""COMPUTED_VALUE"""),"Semi directa")</f>
        <v>Semi directa</v>
      </c>
      <c r="O1383" s="97" t="str">
        <f>IFERROR(__xludf.DUMMYFUNCTION("""COMPUTED_VALUE"""),"18+6")</f>
        <v>18+6</v>
      </c>
      <c r="P1383" s="97">
        <f>IFERROR(__xludf.DUMMYFUNCTION("""COMPUTED_VALUE"""),21.52)</f>
        <v>21.52</v>
      </c>
      <c r="Q1383" s="97">
        <f>IFERROR(__xludf.DUMMYFUNCTION("""COMPUTED_VALUE"""),0.5)</f>
        <v>0.5</v>
      </c>
      <c r="R1383" s="97" t="str">
        <f>IFERROR(__xludf.DUMMYFUNCTION("""COMPUTED_VALUE"""),"-")</f>
        <v>-</v>
      </c>
      <c r="S1383" s="97" t="str">
        <f>IFERROR(__xludf.DUMMYFUNCTION("""COMPUTED_VALUE"""),"-")</f>
        <v>-</v>
      </c>
      <c r="T1383" s="97">
        <f>IFERROR(__xludf.DUMMYFUNCTION("""COMPUTED_VALUE"""),2215.0)</f>
        <v>2215</v>
      </c>
      <c r="U1383" s="99">
        <f>IFERROR(__xludf.DUMMYFUNCTION("""COMPUTED_VALUE"""),92.29166666666667)</f>
        <v>92.29166667</v>
      </c>
      <c r="V1383" s="97">
        <f>IFERROR(__xludf.DUMMYFUNCTION("""COMPUTED_VALUE"""),110.0)</f>
        <v>110</v>
      </c>
      <c r="W1383" s="97" t="str">
        <f>IFERROR(__xludf.DUMMYFUNCTION("""COMPUTED_VALUE"""),"-")</f>
        <v>-</v>
      </c>
      <c r="X1383" s="97">
        <f>IFERROR(__xludf.DUMMYFUNCTION("""COMPUTED_VALUE"""),2700.0)</f>
        <v>2700</v>
      </c>
      <c r="Y1383" s="97" t="str">
        <f>IFERROR(__xludf.DUMMYFUNCTION("""COMPUTED_VALUE"""),"&gt;90")</f>
        <v>&gt;90</v>
      </c>
      <c r="Z1383" s="97" t="str">
        <f>IFERROR(__xludf.DUMMYFUNCTION("""COMPUTED_VALUE"""),"-")</f>
        <v>-</v>
      </c>
      <c r="AA1383" s="97" t="str">
        <f>IFERROR(__xludf.DUMMYFUNCTION("""COMPUTED_VALUE"""),"-")</f>
        <v>-</v>
      </c>
      <c r="AB1383" s="97" t="str">
        <f>IFERROR(__xludf.DUMMYFUNCTION("""COMPUTED_VALUE"""),"-")</f>
        <v>-</v>
      </c>
      <c r="AC1383" s="97">
        <f>IFERROR(__xludf.DUMMYFUNCTION("""COMPUTED_VALUE"""),0.006)</f>
        <v>0.006</v>
      </c>
      <c r="AD1383" s="97" t="str">
        <f>IFERROR(__xludf.DUMMYFUNCTION("""COMPUTED_VALUE"""),"IP20")</f>
        <v>IP20</v>
      </c>
      <c r="AE1383" s="97" t="str">
        <f>IFERROR(__xludf.DUMMYFUNCTION("""COMPUTED_VALUE"""),"Clase l")</f>
        <v>Clase l</v>
      </c>
      <c r="AF1383" s="97" t="str">
        <f>IFERROR(__xludf.DUMMYFUNCTION("""COMPUTED_VALUE"""),"Aplicar")</f>
        <v>Aplicar</v>
      </c>
      <c r="AG1383" s="97" t="str">
        <f>IFERROR(__xludf.DUMMYFUNCTION("""COMPUTED_VALUE"""),"Ø140 x 85")</f>
        <v>Ø140 x 85</v>
      </c>
      <c r="AH1383" s="97" t="str">
        <f>IFERROR(__xludf.DUMMYFUNCTION("""COMPUTED_VALUE"""),"N/A")</f>
        <v>N/A</v>
      </c>
      <c r="AI1383" s="97" t="str">
        <f>IFERROR(__xludf.DUMMYFUNCTION("""COMPUTED_VALUE"""),"N/A")</f>
        <v>N/A</v>
      </c>
      <c r="AJ1383" s="97" t="str">
        <f>IFERROR(__xludf.DUMMYFUNCTION("""COMPUTED_VALUE"""),"Policarbonato (PC)")</f>
        <v>Policarbonato (PC)</v>
      </c>
      <c r="AK1383" s="97" t="str">
        <f>IFERROR(__xludf.DUMMYFUNCTION("""COMPUTED_VALUE"""),"Aluminio")</f>
        <v>Aluminio</v>
      </c>
      <c r="AL1383" s="97" t="str">
        <f>IFERROR(__xludf.DUMMYFUNCTION("""COMPUTED_VALUE"""),"Blanco")</f>
        <v>Blanco</v>
      </c>
      <c r="AM1383" s="97"/>
      <c r="AN1383" s="97" t="str">
        <f>IFERROR(__xludf.DUMMYFUNCTION("""COMPUTED_VALUE"""),"30.000hs (L70)")</f>
        <v>30.000hs (L70)</v>
      </c>
      <c r="AO1383" s="97" t="str">
        <f>IFERROR(__xludf.DUMMYFUNCTION("""COMPUTED_VALUE"""),"3 Años")</f>
        <v>3 Años</v>
      </c>
      <c r="AP1383" s="97" t="str">
        <f>IFERROR(__xludf.DUMMYFUNCTION("""COMPUTED_VALUE"""),"Disponible")</f>
        <v>Disponible</v>
      </c>
      <c r="AQ1383" s="97" t="str">
        <f>IFERROR(__xludf.DUMMYFUNCTION("""COMPUTED_VALUE"""),"Disponible")</f>
        <v>Disponible</v>
      </c>
      <c r="AR1383" s="97" t="str">
        <f>IFERROR(__xludf.DUMMYFUNCTION("""COMPUTED_VALUE"""),"Disponible")</f>
        <v>Disponible</v>
      </c>
      <c r="AS1383" s="97" t="str">
        <f>IFERROR(__xludf.DUMMYFUNCTION("""COMPUTED_VALUE"""),"Disponible")</f>
        <v>Disponible</v>
      </c>
      <c r="AT1383" s="97" t="str">
        <f>IFERROR(__xludf.DUMMYFUNCTION("""COMPUTED_VALUE"""),"Disponible")</f>
        <v>Disponible</v>
      </c>
      <c r="AU1383" s="97" t="str">
        <f>IFERROR(__xludf.DUMMYFUNCTION("""COMPUTED_VALUE"""),"Disponible")</f>
        <v>Disponible</v>
      </c>
      <c r="AV1383" s="97" t="str">
        <f>IFERROR(__xludf.DUMMYFUNCTION("""COMPUTED_VALUE"""),"Aplique")</f>
        <v>Aplique</v>
      </c>
      <c r="AW1383" s="97" t="str">
        <f>IFERROR(__xludf.DUMMYFUNCTION("""COMPUTED_VALUE"""),"De Techo")</f>
        <v>De Techo</v>
      </c>
      <c r="AX1383" s="97" t="str">
        <f>IFERROR(__xludf.DUMMYFUNCTION("""COMPUTED_VALUE"""),"Interior")</f>
        <v>Interior</v>
      </c>
      <c r="AY1383" s="97" t="str">
        <f>IFERROR(__xludf.DUMMYFUNCTION("""COMPUTED_VALUE"""),"-")</f>
        <v>-</v>
      </c>
      <c r="AZ1383" s="97"/>
      <c r="BA1383" s="97"/>
      <c r="BB1383" s="97"/>
      <c r="BC1383" s="97"/>
      <c r="BD1383" s="97" t="str">
        <f>IFERROR(__xludf.DUMMYFUNCTION("""COMPUTED_VALUE"""),"FORTE")</f>
        <v>FORTE</v>
      </c>
      <c r="BE1383" s="97" t="str">
        <f>IFERROR(__xludf.DUMMYFUNCTION("""COMPUTED_VALUE"""),"Solicitada")</f>
        <v>Solicitada</v>
      </c>
      <c r="BF1383" s="97"/>
      <c r="BG1383" s="97" t="str">
        <f>IFERROR(__xludf.DUMMYFUNCTION("""COMPUTED_VALUE"""),"REPO 7")</f>
        <v>REPO 7</v>
      </c>
    </row>
    <row r="1384">
      <c r="A1384" s="97">
        <f>IFERROR(__xludf.DUMMYFUNCTION("""COMPUTED_VALUE"""),7484.0)</f>
        <v>7484</v>
      </c>
      <c r="B1384" s="97" t="str">
        <f>IFERROR(__xludf.DUMMYFUNCTION("""COMPUTED_VALUE"""),"FORTE BL 18W 3000K")</f>
        <v>FORTE BL 18W 3000K</v>
      </c>
      <c r="C1384" s="97" t="str">
        <f>IFERROR(__xludf.DUMMYFUNCTION("""COMPUTED_VALUE"""),"APLIQUE FORTE BL 18W 3000K 18+6W 3000K 2215LM CRI&gt;90 IP20 LEUK")</f>
        <v>APLIQUE FORTE BL 18W 3000K 18+6W 3000K 2215LM CRI&gt;90 IP20 LEUK</v>
      </c>
      <c r="D1384" s="97">
        <f>IFERROR(__xludf.DUMMYFUNCTION("""COMPUTED_VALUE"""),7.798413229578E12)</f>
        <v>7798413229578</v>
      </c>
      <c r="E1384" s="97" t="str">
        <f>IFERROR(__xludf.DUMMYFUNCTION("""COMPUTED_VALUE"""),"F135")</f>
        <v>F135</v>
      </c>
      <c r="F1384" s="97" t="str">
        <f>IFERROR(__xludf.DUMMYFUNCTION("""COMPUTED_VALUE"""),"LED SMD2835")</f>
        <v>LED SMD2835</v>
      </c>
      <c r="G1384" s="97" t="str">
        <f>IFERROR(__xludf.DUMMYFUNCTION("""COMPUTED_VALUE"""),"Epistar")</f>
        <v>Epistar</v>
      </c>
      <c r="H1384" s="97"/>
      <c r="I1384" s="97"/>
      <c r="J1384" s="97"/>
      <c r="K1384" s="97" t="str">
        <f>IFERROR(__xludf.DUMMYFUNCTION("""COMPUTED_VALUE"""),"ON/OFF")</f>
        <v>ON/OFF</v>
      </c>
      <c r="L1384" s="97" t="str">
        <f>IFERROR(__xludf.DUMMYFUNCTION("""COMPUTED_VALUE"""),"200-240")</f>
        <v>200-240</v>
      </c>
      <c r="M1384" s="97" t="str">
        <f>IFERROR(__xludf.DUMMYFUNCTION("""COMPUTED_VALUE"""),"50/60")</f>
        <v>50/60</v>
      </c>
      <c r="N1384" s="97" t="str">
        <f>IFERROR(__xludf.DUMMYFUNCTION("""COMPUTED_VALUE"""),"Semi directa")</f>
        <v>Semi directa</v>
      </c>
      <c r="O1384" s="97" t="str">
        <f>IFERROR(__xludf.DUMMYFUNCTION("""COMPUTED_VALUE"""),"18+6")</f>
        <v>18+6</v>
      </c>
      <c r="P1384" s="97">
        <f>IFERROR(__xludf.DUMMYFUNCTION("""COMPUTED_VALUE"""),21.52)</f>
        <v>21.52</v>
      </c>
      <c r="Q1384" s="97">
        <f>IFERROR(__xludf.DUMMYFUNCTION("""COMPUTED_VALUE"""),0.5)</f>
        <v>0.5</v>
      </c>
      <c r="R1384" s="97" t="str">
        <f>IFERROR(__xludf.DUMMYFUNCTION("""COMPUTED_VALUE"""),"-")</f>
        <v>-</v>
      </c>
      <c r="S1384" s="97" t="str">
        <f>IFERROR(__xludf.DUMMYFUNCTION("""COMPUTED_VALUE"""),"-")</f>
        <v>-</v>
      </c>
      <c r="T1384" s="97">
        <f>IFERROR(__xludf.DUMMYFUNCTION("""COMPUTED_VALUE"""),2215.0)</f>
        <v>2215</v>
      </c>
      <c r="U1384" s="99">
        <f>IFERROR(__xludf.DUMMYFUNCTION("""COMPUTED_VALUE"""),92.29166666666667)</f>
        <v>92.29166667</v>
      </c>
      <c r="V1384" s="97">
        <f>IFERROR(__xludf.DUMMYFUNCTION("""COMPUTED_VALUE"""),110.0)</f>
        <v>110</v>
      </c>
      <c r="W1384" s="97" t="str">
        <f>IFERROR(__xludf.DUMMYFUNCTION("""COMPUTED_VALUE"""),"-")</f>
        <v>-</v>
      </c>
      <c r="X1384" s="97">
        <f>IFERROR(__xludf.DUMMYFUNCTION("""COMPUTED_VALUE"""),3000.0)</f>
        <v>3000</v>
      </c>
      <c r="Y1384" s="97" t="str">
        <f>IFERROR(__xludf.DUMMYFUNCTION("""COMPUTED_VALUE"""),"&gt;90")</f>
        <v>&gt;90</v>
      </c>
      <c r="Z1384" s="97" t="str">
        <f>IFERROR(__xludf.DUMMYFUNCTION("""COMPUTED_VALUE"""),"-")</f>
        <v>-</v>
      </c>
      <c r="AA1384" s="97" t="str">
        <f>IFERROR(__xludf.DUMMYFUNCTION("""COMPUTED_VALUE"""),"-")</f>
        <v>-</v>
      </c>
      <c r="AB1384" s="97" t="str">
        <f>IFERROR(__xludf.DUMMYFUNCTION("""COMPUTED_VALUE"""),"-")</f>
        <v>-</v>
      </c>
      <c r="AC1384" s="97">
        <f>IFERROR(__xludf.DUMMYFUNCTION("""COMPUTED_VALUE"""),0.006)</f>
        <v>0.006</v>
      </c>
      <c r="AD1384" s="97" t="str">
        <f>IFERROR(__xludf.DUMMYFUNCTION("""COMPUTED_VALUE"""),"IP20")</f>
        <v>IP20</v>
      </c>
      <c r="AE1384" s="97" t="str">
        <f>IFERROR(__xludf.DUMMYFUNCTION("""COMPUTED_VALUE"""),"Clase l")</f>
        <v>Clase l</v>
      </c>
      <c r="AF1384" s="97" t="str">
        <f>IFERROR(__xludf.DUMMYFUNCTION("""COMPUTED_VALUE"""),"Aplicar")</f>
        <v>Aplicar</v>
      </c>
      <c r="AG1384" s="97" t="str">
        <f>IFERROR(__xludf.DUMMYFUNCTION("""COMPUTED_VALUE"""),"Ø140 x 85")</f>
        <v>Ø140 x 85</v>
      </c>
      <c r="AH1384" s="97" t="str">
        <f>IFERROR(__xludf.DUMMYFUNCTION("""COMPUTED_VALUE"""),"N/A")</f>
        <v>N/A</v>
      </c>
      <c r="AI1384" s="97" t="str">
        <f>IFERROR(__xludf.DUMMYFUNCTION("""COMPUTED_VALUE"""),"N/A")</f>
        <v>N/A</v>
      </c>
      <c r="AJ1384" s="97" t="str">
        <f>IFERROR(__xludf.DUMMYFUNCTION("""COMPUTED_VALUE"""),"Policarbonato (PC)")</f>
        <v>Policarbonato (PC)</v>
      </c>
      <c r="AK1384" s="97" t="str">
        <f>IFERROR(__xludf.DUMMYFUNCTION("""COMPUTED_VALUE"""),"Aluminio")</f>
        <v>Aluminio</v>
      </c>
      <c r="AL1384" s="97" t="str">
        <f>IFERROR(__xludf.DUMMYFUNCTION("""COMPUTED_VALUE"""),"Blanco")</f>
        <v>Blanco</v>
      </c>
      <c r="AM1384" s="97"/>
      <c r="AN1384" s="97" t="str">
        <f>IFERROR(__xludf.DUMMYFUNCTION("""COMPUTED_VALUE"""),"30.000hs (L70)")</f>
        <v>30.000hs (L70)</v>
      </c>
      <c r="AO1384" s="97" t="str">
        <f>IFERROR(__xludf.DUMMYFUNCTION("""COMPUTED_VALUE"""),"3 Años")</f>
        <v>3 Años</v>
      </c>
      <c r="AP1384" s="97" t="str">
        <f>IFERROR(__xludf.DUMMYFUNCTION("""COMPUTED_VALUE"""),"Disponible")</f>
        <v>Disponible</v>
      </c>
      <c r="AQ1384" s="97" t="str">
        <f>IFERROR(__xludf.DUMMYFUNCTION("""COMPUTED_VALUE"""),"Disponible")</f>
        <v>Disponible</v>
      </c>
      <c r="AR1384" s="97" t="str">
        <f>IFERROR(__xludf.DUMMYFUNCTION("""COMPUTED_VALUE"""),"Disponible")</f>
        <v>Disponible</v>
      </c>
      <c r="AS1384" s="97" t="str">
        <f>IFERROR(__xludf.DUMMYFUNCTION("""COMPUTED_VALUE"""),"Disponible")</f>
        <v>Disponible</v>
      </c>
      <c r="AT1384" s="97" t="str">
        <f>IFERROR(__xludf.DUMMYFUNCTION("""COMPUTED_VALUE"""),"Disponible")</f>
        <v>Disponible</v>
      </c>
      <c r="AU1384" s="97" t="str">
        <f>IFERROR(__xludf.DUMMYFUNCTION("""COMPUTED_VALUE"""),"Disponible")</f>
        <v>Disponible</v>
      </c>
      <c r="AV1384" s="97" t="str">
        <f>IFERROR(__xludf.DUMMYFUNCTION("""COMPUTED_VALUE"""),"Aplique")</f>
        <v>Aplique</v>
      </c>
      <c r="AW1384" s="97" t="str">
        <f>IFERROR(__xludf.DUMMYFUNCTION("""COMPUTED_VALUE"""),"De Techo")</f>
        <v>De Techo</v>
      </c>
      <c r="AX1384" s="97" t="str">
        <f>IFERROR(__xludf.DUMMYFUNCTION("""COMPUTED_VALUE"""),"Interior")</f>
        <v>Interior</v>
      </c>
      <c r="AY1384" s="97" t="str">
        <f>IFERROR(__xludf.DUMMYFUNCTION("""COMPUTED_VALUE"""),"-")</f>
        <v>-</v>
      </c>
      <c r="AZ1384" s="97"/>
      <c r="BA1384" s="97"/>
      <c r="BB1384" s="97"/>
      <c r="BC1384" s="97"/>
      <c r="BD1384" s="97" t="str">
        <f>IFERROR(__xludf.DUMMYFUNCTION("""COMPUTED_VALUE"""),"FORTE")</f>
        <v>FORTE</v>
      </c>
      <c r="BE1384" s="97" t="str">
        <f>IFERROR(__xludf.DUMMYFUNCTION("""COMPUTED_VALUE"""),"Solicitada")</f>
        <v>Solicitada</v>
      </c>
      <c r="BF1384" s="97"/>
      <c r="BG1384" s="97" t="str">
        <f>IFERROR(__xludf.DUMMYFUNCTION("""COMPUTED_VALUE"""),"REPO 7")</f>
        <v>REPO 7</v>
      </c>
    </row>
    <row r="1385">
      <c r="A1385" s="97">
        <f>IFERROR(__xludf.DUMMYFUNCTION("""COMPUTED_VALUE"""),7485.0)</f>
        <v>7485</v>
      </c>
      <c r="B1385" s="97" t="str">
        <f>IFERROR(__xludf.DUMMYFUNCTION("""COMPUTED_VALUE"""),"FORTE NG 18W 2700K")</f>
        <v>FORTE NG 18W 2700K</v>
      </c>
      <c r="C1385" s="97" t="str">
        <f>IFERROR(__xludf.DUMMYFUNCTION("""COMPUTED_VALUE"""),"APLIQUE FORTE NG 18W 2700K 18+6W 2700K 2215LM CRI&gt;90 IP20 LEUK")</f>
        <v>APLIQUE FORTE NG 18W 2700K 18+6W 2700K 2215LM CRI&gt;90 IP20 LEUK</v>
      </c>
      <c r="D1385" s="97">
        <f>IFERROR(__xludf.DUMMYFUNCTION("""COMPUTED_VALUE"""),7.798413229585E12)</f>
        <v>7798413229585</v>
      </c>
      <c r="E1385" s="97" t="str">
        <f>IFERROR(__xludf.DUMMYFUNCTION("""COMPUTED_VALUE"""),"F135")</f>
        <v>F135</v>
      </c>
      <c r="F1385" s="97" t="str">
        <f>IFERROR(__xludf.DUMMYFUNCTION("""COMPUTED_VALUE"""),"LED SMD2835")</f>
        <v>LED SMD2835</v>
      </c>
      <c r="G1385" s="97" t="str">
        <f>IFERROR(__xludf.DUMMYFUNCTION("""COMPUTED_VALUE"""),"Epistar")</f>
        <v>Epistar</v>
      </c>
      <c r="H1385" s="97"/>
      <c r="I1385" s="97"/>
      <c r="J1385" s="97"/>
      <c r="K1385" s="97" t="str">
        <f>IFERROR(__xludf.DUMMYFUNCTION("""COMPUTED_VALUE"""),"ON/OFF")</f>
        <v>ON/OFF</v>
      </c>
      <c r="L1385" s="97" t="str">
        <f>IFERROR(__xludf.DUMMYFUNCTION("""COMPUTED_VALUE"""),"200-240")</f>
        <v>200-240</v>
      </c>
      <c r="M1385" s="97" t="str">
        <f>IFERROR(__xludf.DUMMYFUNCTION("""COMPUTED_VALUE"""),"50/60")</f>
        <v>50/60</v>
      </c>
      <c r="N1385" s="97" t="str">
        <f>IFERROR(__xludf.DUMMYFUNCTION("""COMPUTED_VALUE"""),"Semi directa")</f>
        <v>Semi directa</v>
      </c>
      <c r="O1385" s="97" t="str">
        <f>IFERROR(__xludf.DUMMYFUNCTION("""COMPUTED_VALUE"""),"18+6")</f>
        <v>18+6</v>
      </c>
      <c r="P1385" s="97">
        <f>IFERROR(__xludf.DUMMYFUNCTION("""COMPUTED_VALUE"""),21.52)</f>
        <v>21.52</v>
      </c>
      <c r="Q1385" s="97">
        <f>IFERROR(__xludf.DUMMYFUNCTION("""COMPUTED_VALUE"""),0.5)</f>
        <v>0.5</v>
      </c>
      <c r="R1385" s="97" t="str">
        <f>IFERROR(__xludf.DUMMYFUNCTION("""COMPUTED_VALUE"""),"-")</f>
        <v>-</v>
      </c>
      <c r="S1385" s="97" t="str">
        <f>IFERROR(__xludf.DUMMYFUNCTION("""COMPUTED_VALUE"""),"-")</f>
        <v>-</v>
      </c>
      <c r="T1385" s="97">
        <f>IFERROR(__xludf.DUMMYFUNCTION("""COMPUTED_VALUE"""),2215.0)</f>
        <v>2215</v>
      </c>
      <c r="U1385" s="99">
        <f>IFERROR(__xludf.DUMMYFUNCTION("""COMPUTED_VALUE"""),92.29166666666667)</f>
        <v>92.29166667</v>
      </c>
      <c r="V1385" s="97">
        <f>IFERROR(__xludf.DUMMYFUNCTION("""COMPUTED_VALUE"""),110.0)</f>
        <v>110</v>
      </c>
      <c r="W1385" s="97" t="str">
        <f>IFERROR(__xludf.DUMMYFUNCTION("""COMPUTED_VALUE"""),"-")</f>
        <v>-</v>
      </c>
      <c r="X1385" s="97">
        <f>IFERROR(__xludf.DUMMYFUNCTION("""COMPUTED_VALUE"""),2700.0)</f>
        <v>2700</v>
      </c>
      <c r="Y1385" s="97" t="str">
        <f>IFERROR(__xludf.DUMMYFUNCTION("""COMPUTED_VALUE"""),"&gt;90")</f>
        <v>&gt;90</v>
      </c>
      <c r="Z1385" s="97" t="str">
        <f>IFERROR(__xludf.DUMMYFUNCTION("""COMPUTED_VALUE"""),"-")</f>
        <v>-</v>
      </c>
      <c r="AA1385" s="97" t="str">
        <f>IFERROR(__xludf.DUMMYFUNCTION("""COMPUTED_VALUE"""),"-")</f>
        <v>-</v>
      </c>
      <c r="AB1385" s="97" t="str">
        <f>IFERROR(__xludf.DUMMYFUNCTION("""COMPUTED_VALUE"""),"-")</f>
        <v>-</v>
      </c>
      <c r="AC1385" s="97">
        <f>IFERROR(__xludf.DUMMYFUNCTION("""COMPUTED_VALUE"""),0.006)</f>
        <v>0.006</v>
      </c>
      <c r="AD1385" s="97" t="str">
        <f>IFERROR(__xludf.DUMMYFUNCTION("""COMPUTED_VALUE"""),"IP20")</f>
        <v>IP20</v>
      </c>
      <c r="AE1385" s="97" t="str">
        <f>IFERROR(__xludf.DUMMYFUNCTION("""COMPUTED_VALUE"""),"Clase l")</f>
        <v>Clase l</v>
      </c>
      <c r="AF1385" s="97" t="str">
        <f>IFERROR(__xludf.DUMMYFUNCTION("""COMPUTED_VALUE"""),"Aplicar")</f>
        <v>Aplicar</v>
      </c>
      <c r="AG1385" s="97" t="str">
        <f>IFERROR(__xludf.DUMMYFUNCTION("""COMPUTED_VALUE"""),"Ø140 x 85")</f>
        <v>Ø140 x 85</v>
      </c>
      <c r="AH1385" s="97" t="str">
        <f>IFERROR(__xludf.DUMMYFUNCTION("""COMPUTED_VALUE"""),"N/A")</f>
        <v>N/A</v>
      </c>
      <c r="AI1385" s="97" t="str">
        <f>IFERROR(__xludf.DUMMYFUNCTION("""COMPUTED_VALUE"""),"N/A")</f>
        <v>N/A</v>
      </c>
      <c r="AJ1385" s="97" t="str">
        <f>IFERROR(__xludf.DUMMYFUNCTION("""COMPUTED_VALUE"""),"Policarbonato (PC)")</f>
        <v>Policarbonato (PC)</v>
      </c>
      <c r="AK1385" s="97" t="str">
        <f>IFERROR(__xludf.DUMMYFUNCTION("""COMPUTED_VALUE"""),"Aluminio")</f>
        <v>Aluminio</v>
      </c>
      <c r="AL1385" s="97" t="str">
        <f>IFERROR(__xludf.DUMMYFUNCTION("""COMPUTED_VALUE"""),"Negro")</f>
        <v>Negro</v>
      </c>
      <c r="AM1385" s="97"/>
      <c r="AN1385" s="97" t="str">
        <f>IFERROR(__xludf.DUMMYFUNCTION("""COMPUTED_VALUE"""),"30.000hs (L70)")</f>
        <v>30.000hs (L70)</v>
      </c>
      <c r="AO1385" s="97" t="str">
        <f>IFERROR(__xludf.DUMMYFUNCTION("""COMPUTED_VALUE"""),"3 Años")</f>
        <v>3 Años</v>
      </c>
      <c r="AP1385" s="97" t="str">
        <f>IFERROR(__xludf.DUMMYFUNCTION("""COMPUTED_VALUE"""),"Disponible")</f>
        <v>Disponible</v>
      </c>
      <c r="AQ1385" s="97" t="str">
        <f>IFERROR(__xludf.DUMMYFUNCTION("""COMPUTED_VALUE"""),"Disponible")</f>
        <v>Disponible</v>
      </c>
      <c r="AR1385" s="97" t="str">
        <f>IFERROR(__xludf.DUMMYFUNCTION("""COMPUTED_VALUE"""),"Disponible")</f>
        <v>Disponible</v>
      </c>
      <c r="AS1385" s="97" t="str">
        <f>IFERROR(__xludf.DUMMYFUNCTION("""COMPUTED_VALUE"""),"Disponible")</f>
        <v>Disponible</v>
      </c>
      <c r="AT1385" s="97" t="str">
        <f>IFERROR(__xludf.DUMMYFUNCTION("""COMPUTED_VALUE"""),"Disponible")</f>
        <v>Disponible</v>
      </c>
      <c r="AU1385" s="97" t="str">
        <f>IFERROR(__xludf.DUMMYFUNCTION("""COMPUTED_VALUE"""),"Disponible")</f>
        <v>Disponible</v>
      </c>
      <c r="AV1385" s="97" t="str">
        <f>IFERROR(__xludf.DUMMYFUNCTION("""COMPUTED_VALUE"""),"Aplique")</f>
        <v>Aplique</v>
      </c>
      <c r="AW1385" s="97" t="str">
        <f>IFERROR(__xludf.DUMMYFUNCTION("""COMPUTED_VALUE"""),"De Techo")</f>
        <v>De Techo</v>
      </c>
      <c r="AX1385" s="97" t="str">
        <f>IFERROR(__xludf.DUMMYFUNCTION("""COMPUTED_VALUE"""),"Interior")</f>
        <v>Interior</v>
      </c>
      <c r="AY1385" s="97" t="str">
        <f>IFERROR(__xludf.DUMMYFUNCTION("""COMPUTED_VALUE"""),"-")</f>
        <v>-</v>
      </c>
      <c r="AZ1385" s="97"/>
      <c r="BA1385" s="97"/>
      <c r="BB1385" s="97"/>
      <c r="BC1385" s="97"/>
      <c r="BD1385" s="97" t="str">
        <f>IFERROR(__xludf.DUMMYFUNCTION("""COMPUTED_VALUE"""),"FORTE")</f>
        <v>FORTE</v>
      </c>
      <c r="BE1385" s="97" t="str">
        <f>IFERROR(__xludf.DUMMYFUNCTION("""COMPUTED_VALUE"""),"Solicitada")</f>
        <v>Solicitada</v>
      </c>
      <c r="BF1385" s="97"/>
      <c r="BG1385" s="97" t="str">
        <f>IFERROR(__xludf.DUMMYFUNCTION("""COMPUTED_VALUE"""),"REPO 7")</f>
        <v>REPO 7</v>
      </c>
    </row>
    <row r="1386">
      <c r="A1386" s="97">
        <f>IFERROR(__xludf.DUMMYFUNCTION("""COMPUTED_VALUE"""),7486.0)</f>
        <v>7486</v>
      </c>
      <c r="B1386" s="97" t="str">
        <f>IFERROR(__xludf.DUMMYFUNCTION("""COMPUTED_VALUE"""),"FORTE NG 18W 3000K")</f>
        <v>FORTE NG 18W 3000K</v>
      </c>
      <c r="C1386" s="97" t="str">
        <f>IFERROR(__xludf.DUMMYFUNCTION("""COMPUTED_VALUE"""),"APLIQUE FORTE NG 18W 3000K 18+6W 3000K 2215LM CRI&gt;90 IP20 LEUK")</f>
        <v>APLIQUE FORTE NG 18W 3000K 18+6W 3000K 2215LM CRI&gt;90 IP20 LEUK</v>
      </c>
      <c r="D1386" s="97">
        <f>IFERROR(__xludf.DUMMYFUNCTION("""COMPUTED_VALUE"""),7.798413229592E12)</f>
        <v>7798413229592</v>
      </c>
      <c r="E1386" s="97" t="str">
        <f>IFERROR(__xludf.DUMMYFUNCTION("""COMPUTED_VALUE"""),"F135")</f>
        <v>F135</v>
      </c>
      <c r="F1386" s="97" t="str">
        <f>IFERROR(__xludf.DUMMYFUNCTION("""COMPUTED_VALUE"""),"LED SMD2835")</f>
        <v>LED SMD2835</v>
      </c>
      <c r="G1386" s="97" t="str">
        <f>IFERROR(__xludf.DUMMYFUNCTION("""COMPUTED_VALUE"""),"Epistar")</f>
        <v>Epistar</v>
      </c>
      <c r="H1386" s="97"/>
      <c r="I1386" s="97"/>
      <c r="J1386" s="97"/>
      <c r="K1386" s="97" t="str">
        <f>IFERROR(__xludf.DUMMYFUNCTION("""COMPUTED_VALUE"""),"ON/OFF")</f>
        <v>ON/OFF</v>
      </c>
      <c r="L1386" s="97" t="str">
        <f>IFERROR(__xludf.DUMMYFUNCTION("""COMPUTED_VALUE"""),"200-240")</f>
        <v>200-240</v>
      </c>
      <c r="M1386" s="97" t="str">
        <f>IFERROR(__xludf.DUMMYFUNCTION("""COMPUTED_VALUE"""),"50/60")</f>
        <v>50/60</v>
      </c>
      <c r="N1386" s="97" t="str">
        <f>IFERROR(__xludf.DUMMYFUNCTION("""COMPUTED_VALUE"""),"Semi directa")</f>
        <v>Semi directa</v>
      </c>
      <c r="O1386" s="97" t="str">
        <f>IFERROR(__xludf.DUMMYFUNCTION("""COMPUTED_VALUE"""),"18+6")</f>
        <v>18+6</v>
      </c>
      <c r="P1386" s="97">
        <f>IFERROR(__xludf.DUMMYFUNCTION("""COMPUTED_VALUE"""),21.52)</f>
        <v>21.52</v>
      </c>
      <c r="Q1386" s="97">
        <f>IFERROR(__xludf.DUMMYFUNCTION("""COMPUTED_VALUE"""),0.5)</f>
        <v>0.5</v>
      </c>
      <c r="R1386" s="97" t="str">
        <f>IFERROR(__xludf.DUMMYFUNCTION("""COMPUTED_VALUE"""),"-")</f>
        <v>-</v>
      </c>
      <c r="S1386" s="97" t="str">
        <f>IFERROR(__xludf.DUMMYFUNCTION("""COMPUTED_VALUE"""),"-")</f>
        <v>-</v>
      </c>
      <c r="T1386" s="97">
        <f>IFERROR(__xludf.DUMMYFUNCTION("""COMPUTED_VALUE"""),2215.0)</f>
        <v>2215</v>
      </c>
      <c r="U1386" s="99">
        <f>IFERROR(__xludf.DUMMYFUNCTION("""COMPUTED_VALUE"""),92.29166666666667)</f>
        <v>92.29166667</v>
      </c>
      <c r="V1386" s="97">
        <f>IFERROR(__xludf.DUMMYFUNCTION("""COMPUTED_VALUE"""),110.0)</f>
        <v>110</v>
      </c>
      <c r="W1386" s="97" t="str">
        <f>IFERROR(__xludf.DUMMYFUNCTION("""COMPUTED_VALUE"""),"-")</f>
        <v>-</v>
      </c>
      <c r="X1386" s="97">
        <f>IFERROR(__xludf.DUMMYFUNCTION("""COMPUTED_VALUE"""),3000.0)</f>
        <v>3000</v>
      </c>
      <c r="Y1386" s="97" t="str">
        <f>IFERROR(__xludf.DUMMYFUNCTION("""COMPUTED_VALUE"""),"&gt;90")</f>
        <v>&gt;90</v>
      </c>
      <c r="Z1386" s="97" t="str">
        <f>IFERROR(__xludf.DUMMYFUNCTION("""COMPUTED_VALUE"""),"-")</f>
        <v>-</v>
      </c>
      <c r="AA1386" s="97" t="str">
        <f>IFERROR(__xludf.DUMMYFUNCTION("""COMPUTED_VALUE"""),"-")</f>
        <v>-</v>
      </c>
      <c r="AB1386" s="97" t="str">
        <f>IFERROR(__xludf.DUMMYFUNCTION("""COMPUTED_VALUE"""),"-")</f>
        <v>-</v>
      </c>
      <c r="AC1386" s="97">
        <f>IFERROR(__xludf.DUMMYFUNCTION("""COMPUTED_VALUE"""),0.006)</f>
        <v>0.006</v>
      </c>
      <c r="AD1386" s="97" t="str">
        <f>IFERROR(__xludf.DUMMYFUNCTION("""COMPUTED_VALUE"""),"IP20")</f>
        <v>IP20</v>
      </c>
      <c r="AE1386" s="97" t="str">
        <f>IFERROR(__xludf.DUMMYFUNCTION("""COMPUTED_VALUE"""),"Clase l")</f>
        <v>Clase l</v>
      </c>
      <c r="AF1386" s="97" t="str">
        <f>IFERROR(__xludf.DUMMYFUNCTION("""COMPUTED_VALUE"""),"Aplicar")</f>
        <v>Aplicar</v>
      </c>
      <c r="AG1386" s="97" t="str">
        <f>IFERROR(__xludf.DUMMYFUNCTION("""COMPUTED_VALUE"""),"Ø140 x 85")</f>
        <v>Ø140 x 85</v>
      </c>
      <c r="AH1386" s="97" t="str">
        <f>IFERROR(__xludf.DUMMYFUNCTION("""COMPUTED_VALUE"""),"N/A")</f>
        <v>N/A</v>
      </c>
      <c r="AI1386" s="97" t="str">
        <f>IFERROR(__xludf.DUMMYFUNCTION("""COMPUTED_VALUE"""),"N/A")</f>
        <v>N/A</v>
      </c>
      <c r="AJ1386" s="97" t="str">
        <f>IFERROR(__xludf.DUMMYFUNCTION("""COMPUTED_VALUE"""),"Policarbonato (PC)")</f>
        <v>Policarbonato (PC)</v>
      </c>
      <c r="AK1386" s="97" t="str">
        <f>IFERROR(__xludf.DUMMYFUNCTION("""COMPUTED_VALUE"""),"Aluminio")</f>
        <v>Aluminio</v>
      </c>
      <c r="AL1386" s="97" t="str">
        <f>IFERROR(__xludf.DUMMYFUNCTION("""COMPUTED_VALUE"""),"Negro")</f>
        <v>Negro</v>
      </c>
      <c r="AM1386" s="97"/>
      <c r="AN1386" s="97" t="str">
        <f>IFERROR(__xludf.DUMMYFUNCTION("""COMPUTED_VALUE"""),"30.000hs (L70)")</f>
        <v>30.000hs (L70)</v>
      </c>
      <c r="AO1386" s="97" t="str">
        <f>IFERROR(__xludf.DUMMYFUNCTION("""COMPUTED_VALUE"""),"3 Años")</f>
        <v>3 Años</v>
      </c>
      <c r="AP1386" s="97" t="str">
        <f>IFERROR(__xludf.DUMMYFUNCTION("""COMPUTED_VALUE"""),"Disponible")</f>
        <v>Disponible</v>
      </c>
      <c r="AQ1386" s="97" t="str">
        <f>IFERROR(__xludf.DUMMYFUNCTION("""COMPUTED_VALUE"""),"Disponible")</f>
        <v>Disponible</v>
      </c>
      <c r="AR1386" s="97" t="str">
        <f>IFERROR(__xludf.DUMMYFUNCTION("""COMPUTED_VALUE"""),"Disponible")</f>
        <v>Disponible</v>
      </c>
      <c r="AS1386" s="97" t="str">
        <f>IFERROR(__xludf.DUMMYFUNCTION("""COMPUTED_VALUE"""),"Disponible")</f>
        <v>Disponible</v>
      </c>
      <c r="AT1386" s="97" t="str">
        <f>IFERROR(__xludf.DUMMYFUNCTION("""COMPUTED_VALUE"""),"Disponible")</f>
        <v>Disponible</v>
      </c>
      <c r="AU1386" s="97" t="str">
        <f>IFERROR(__xludf.DUMMYFUNCTION("""COMPUTED_VALUE"""),"Disponible")</f>
        <v>Disponible</v>
      </c>
      <c r="AV1386" s="97" t="str">
        <f>IFERROR(__xludf.DUMMYFUNCTION("""COMPUTED_VALUE"""),"Aplique")</f>
        <v>Aplique</v>
      </c>
      <c r="AW1386" s="97" t="str">
        <f>IFERROR(__xludf.DUMMYFUNCTION("""COMPUTED_VALUE"""),"De Techo")</f>
        <v>De Techo</v>
      </c>
      <c r="AX1386" s="97" t="str">
        <f>IFERROR(__xludf.DUMMYFUNCTION("""COMPUTED_VALUE"""),"Interior")</f>
        <v>Interior</v>
      </c>
      <c r="AY1386" s="97" t="str">
        <f>IFERROR(__xludf.DUMMYFUNCTION("""COMPUTED_VALUE"""),"-")</f>
        <v>-</v>
      </c>
      <c r="AZ1386" s="97"/>
      <c r="BA1386" s="97"/>
      <c r="BB1386" s="97"/>
      <c r="BC1386" s="97"/>
      <c r="BD1386" s="97" t="str">
        <f>IFERROR(__xludf.DUMMYFUNCTION("""COMPUTED_VALUE"""),"FORTE")</f>
        <v>FORTE</v>
      </c>
      <c r="BE1386" s="97" t="str">
        <f>IFERROR(__xludf.DUMMYFUNCTION("""COMPUTED_VALUE"""),"Solicitada")</f>
        <v>Solicitada</v>
      </c>
      <c r="BF1386" s="97"/>
      <c r="BG1386" s="97" t="str">
        <f>IFERROR(__xludf.DUMMYFUNCTION("""COMPUTED_VALUE"""),"REPO 7")</f>
        <v>REPO 7</v>
      </c>
    </row>
    <row r="1387">
      <c r="A1387" s="97">
        <f>IFERROR(__xludf.DUMMYFUNCTION("""COMPUTED_VALUE"""),7487.0)</f>
        <v>7487</v>
      </c>
      <c r="B1387" s="97" t="str">
        <f>IFERROR(__xludf.DUMMYFUNCTION("""COMPUTED_VALUE"""),"WINSOR")</f>
        <v>WINSOR</v>
      </c>
      <c r="C1387" s="97" t="str">
        <f>IFERROR(__xludf.DUMMYFUNCTION("""COMPUTED_VALUE"""),"COLGANTE WINSOR 72+42W 3000K 6665LM CRI&gt;90 IP20 LEUK")</f>
        <v>COLGANTE WINSOR 72+42W 3000K 6665LM CRI&gt;90 IP20 LEUK</v>
      </c>
      <c r="D1387" s="97">
        <f>IFERROR(__xludf.DUMMYFUNCTION("""COMPUTED_VALUE"""),7.798413229608E12)</f>
        <v>7798413229608</v>
      </c>
      <c r="E1387" s="97" t="str">
        <f>IFERROR(__xludf.DUMMYFUNCTION("""COMPUTED_VALUE"""),"A37")</f>
        <v>A37</v>
      </c>
      <c r="F1387" s="97" t="str">
        <f>IFERROR(__xludf.DUMMYFUNCTION("""COMPUTED_VALUE"""),"LED SMD3030")</f>
        <v>LED SMD3030</v>
      </c>
      <c r="G1387" s="97" t="str">
        <f>IFERROR(__xludf.DUMMYFUNCTION("""COMPUTED_VALUE"""),"-")</f>
        <v>-</v>
      </c>
      <c r="H1387" s="97" t="str">
        <f>IFERROR(__xludf.DUMMYFUNCTION("""COMPUTED_VALUE"""),"-")</f>
        <v>-</v>
      </c>
      <c r="I1387" s="97"/>
      <c r="J1387" s="97"/>
      <c r="K1387" s="97" t="str">
        <f>IFERROR(__xludf.DUMMYFUNCTION("""COMPUTED_VALUE"""),"TRIAC")</f>
        <v>TRIAC</v>
      </c>
      <c r="L1387" s="97" t="str">
        <f>IFERROR(__xludf.DUMMYFUNCTION("""COMPUTED_VALUE"""),"220-240")</f>
        <v>220-240</v>
      </c>
      <c r="M1387" s="97" t="str">
        <f>IFERROR(__xludf.DUMMYFUNCTION("""COMPUTED_VALUE"""),"50/60")</f>
        <v>50/60</v>
      </c>
      <c r="N1387" s="97" t="str">
        <f>IFERROR(__xludf.DUMMYFUNCTION("""COMPUTED_VALUE"""),"Directa-Indirecta")</f>
        <v>Directa-Indirecta</v>
      </c>
      <c r="O1387" s="97" t="str">
        <f>IFERROR(__xludf.DUMMYFUNCTION("""COMPUTED_VALUE"""),"72+42")</f>
        <v>72+42</v>
      </c>
      <c r="P1387" s="97">
        <f>IFERROR(__xludf.DUMMYFUNCTION("""COMPUTED_VALUE"""),85.2)</f>
        <v>85.2</v>
      </c>
      <c r="Q1387" s="97">
        <f>IFERROR(__xludf.DUMMYFUNCTION("""COMPUTED_VALUE"""),0.5)</f>
        <v>0.5</v>
      </c>
      <c r="R1387" s="97" t="str">
        <f>IFERROR(__xludf.DUMMYFUNCTION("""COMPUTED_VALUE"""),"-")</f>
        <v>-</v>
      </c>
      <c r="S1387" s="97" t="str">
        <f>IFERROR(__xludf.DUMMYFUNCTION("""COMPUTED_VALUE"""),"-")</f>
        <v>-</v>
      </c>
      <c r="T1387" s="99">
        <f>IFERROR(__xludf.DUMMYFUNCTION("""COMPUTED_VALUE"""),6665.0)</f>
        <v>6665</v>
      </c>
      <c r="U1387" s="99">
        <f>IFERROR(__xludf.DUMMYFUNCTION("""COMPUTED_VALUE"""),58.46491228070175)</f>
        <v>58.46491228</v>
      </c>
      <c r="V1387" s="97">
        <f>IFERROR(__xludf.DUMMYFUNCTION("""COMPUTED_VALUE"""),22.0)</f>
        <v>22</v>
      </c>
      <c r="W1387" s="97" t="str">
        <f>IFERROR(__xludf.DUMMYFUNCTION("""COMPUTED_VALUE"""),"&lt; 10")</f>
        <v>&lt; 10</v>
      </c>
      <c r="X1387" s="97">
        <f>IFERROR(__xludf.DUMMYFUNCTION("""COMPUTED_VALUE"""),3000.0)</f>
        <v>3000</v>
      </c>
      <c r="Y1387" s="97" t="str">
        <f>IFERROR(__xludf.DUMMYFUNCTION("""COMPUTED_VALUE"""),"&gt;90")</f>
        <v>&gt;90</v>
      </c>
      <c r="Z1387" s="97" t="str">
        <f>IFERROR(__xludf.DUMMYFUNCTION("""COMPUTED_VALUE"""),"&gt;90")</f>
        <v>&gt;90</v>
      </c>
      <c r="AA1387" s="97" t="str">
        <f>IFERROR(__xludf.DUMMYFUNCTION("""COMPUTED_VALUE"""),"90-99 (Leve desaturación)")</f>
        <v>90-99 (Leve desaturación)</v>
      </c>
      <c r="AB1387" s="97" t="str">
        <f>IFERROR(__xludf.DUMMYFUNCTION("""COMPUTED_VALUE"""),"&lt; 2")</f>
        <v>&lt; 2</v>
      </c>
      <c r="AC1387" s="97">
        <f>IFERROR(__xludf.DUMMYFUNCTION("""COMPUTED_VALUE"""),-0.00199)</f>
        <v>-0.00199</v>
      </c>
      <c r="AD1387" s="97" t="str">
        <f>IFERROR(__xludf.DUMMYFUNCTION("""COMPUTED_VALUE"""),"IP20")</f>
        <v>IP20</v>
      </c>
      <c r="AE1387" s="97"/>
      <c r="AF1387" s="97" t="str">
        <f>IFERROR(__xludf.DUMMYFUNCTION("""COMPUTED_VALUE"""),"Suspender")</f>
        <v>Suspender</v>
      </c>
      <c r="AG1387" s="97" t="str">
        <f>IFERROR(__xludf.DUMMYFUNCTION("""COMPUTED_VALUE"""),"1500 x 1500")</f>
        <v>1500 x 1500</v>
      </c>
      <c r="AH1387" s="97" t="str">
        <f>IFERROR(__xludf.DUMMYFUNCTION("""COMPUTED_VALUE"""),"N/A")</f>
        <v>N/A</v>
      </c>
      <c r="AI1387" s="97" t="str">
        <f>IFERROR(__xludf.DUMMYFUNCTION("""COMPUTED_VALUE"""),"N/A")</f>
        <v>N/A</v>
      </c>
      <c r="AJ1387" s="97" t="str">
        <f>IFERROR(__xludf.DUMMYFUNCTION("""COMPUTED_VALUE"""),"PMMA")</f>
        <v>PMMA</v>
      </c>
      <c r="AK1387" s="97" t="str">
        <f>IFERROR(__xludf.DUMMYFUNCTION("""COMPUTED_VALUE"""),"Aluminio y Vidrio")</f>
        <v>Aluminio y Vidrio</v>
      </c>
      <c r="AL1387" s="97" t="str">
        <f>IFERROR(__xludf.DUMMYFUNCTION("""COMPUTED_VALUE"""),"Negro y Gris")</f>
        <v>Negro y Gris</v>
      </c>
      <c r="AM1387" s="97"/>
      <c r="AN1387" s="97" t="str">
        <f>IFERROR(__xludf.DUMMYFUNCTION("""COMPUTED_VALUE"""),"30.000hs (L70)")</f>
        <v>30.000hs (L70)</v>
      </c>
      <c r="AO1387" s="97" t="str">
        <f>IFERROR(__xludf.DUMMYFUNCTION("""COMPUTED_VALUE"""),"3 Años")</f>
        <v>3 Años</v>
      </c>
      <c r="AP1387" s="97" t="str">
        <f>IFERROR(__xludf.DUMMYFUNCTION("""COMPUTED_VALUE"""),"Disponible")</f>
        <v>Disponible</v>
      </c>
      <c r="AQ1387" s="97" t="str">
        <f>IFERROR(__xludf.DUMMYFUNCTION("""COMPUTED_VALUE"""),"Disponible")</f>
        <v>Disponible</v>
      </c>
      <c r="AR1387" s="97" t="str">
        <f>IFERROR(__xludf.DUMMYFUNCTION("""COMPUTED_VALUE"""),"Disponible")</f>
        <v>Disponible</v>
      </c>
      <c r="AS1387" s="97" t="str">
        <f>IFERROR(__xludf.DUMMYFUNCTION("""COMPUTED_VALUE"""),"Falta")</f>
        <v>Falta</v>
      </c>
      <c r="AT1387" s="97" t="str">
        <f>IFERROR(__xludf.DUMMYFUNCTION("""COMPUTED_VALUE"""),"Falta")</f>
        <v>Falta</v>
      </c>
      <c r="AU1387" s="97" t="str">
        <f>IFERROR(__xludf.DUMMYFUNCTION("""COMPUTED_VALUE"""),"Disponible")</f>
        <v>Disponible</v>
      </c>
      <c r="AV1387" s="97" t="str">
        <f>IFERROR(__xludf.DUMMYFUNCTION("""COMPUTED_VALUE"""),"Colgante")</f>
        <v>Colgante</v>
      </c>
      <c r="AW1387" s="97" t="str">
        <f>IFERROR(__xludf.DUMMYFUNCTION("""COMPUTED_VALUE"""),"De Techo")</f>
        <v>De Techo</v>
      </c>
      <c r="AX1387" s="97" t="str">
        <f>IFERROR(__xludf.DUMMYFUNCTION("""COMPUTED_VALUE"""),"Interior")</f>
        <v>Interior</v>
      </c>
      <c r="AY1387" s="97" t="str">
        <f>IFERROR(__xludf.DUMMYFUNCTION("""COMPUTED_VALUE"""),"Confort Visual")</f>
        <v>Confort Visual</v>
      </c>
      <c r="AZ1387" s="97" t="str">
        <f>IFERROR(__xludf.DUMMYFUNCTION("""COMPUTED_VALUE"""),"Sensor infrarrojo de activación por movimiento. Pase la mano para encender o apagar. Mantenga la mano sobre el sensor para regular la intensidad.")</f>
        <v>Sensor infrarrojo de activación por movimiento. Pase la mano para encender o apagar. Mantenga la mano sobre el sensor para regular la intensidad.</v>
      </c>
      <c r="BA1387" s="97"/>
      <c r="BB1387" s="97"/>
      <c r="BC1387" s="97"/>
      <c r="BD1387" s="97" t="str">
        <f>IFERROR(__xludf.DUMMYFUNCTION("""COMPUTED_VALUE"""),"WINSOR")</f>
        <v>WINSOR</v>
      </c>
      <c r="BE1387" s="97" t="str">
        <f>IFERROR(__xludf.DUMMYFUNCTION("""COMPUTED_VALUE"""),"Solicitada")</f>
        <v>Solicitada</v>
      </c>
      <c r="BF1387" s="97"/>
      <c r="BG1387" s="97" t="str">
        <f>IFERROR(__xludf.DUMMYFUNCTION("""COMPUTED_VALUE"""),"REPO 7")</f>
        <v>REPO 7</v>
      </c>
    </row>
    <row r="1388">
      <c r="A1388" s="97">
        <f>IFERROR(__xludf.DUMMYFUNCTION("""COMPUTED_VALUE"""),7488.0)</f>
        <v>7488</v>
      </c>
      <c r="B1388" s="97" t="str">
        <f>IFERROR(__xludf.DUMMYFUNCTION("""COMPUTED_VALUE"""),"AURA")</f>
        <v>AURA</v>
      </c>
      <c r="C1388" s="97" t="str">
        <f>IFERROR(__xludf.DUMMYFUNCTION("""COMPUTED_VALUE"""),"COLGANTE AURA 15W 3000K 1065LM CRI&gt;95 IP20 LEUK")</f>
        <v>COLGANTE AURA 15W 3000K 1065LM CRI&gt;95 IP20 LEUK</v>
      </c>
      <c r="D1388" s="97">
        <f>IFERROR(__xludf.DUMMYFUNCTION("""COMPUTED_VALUE"""),7.798413229615E12)</f>
        <v>7798413229615</v>
      </c>
      <c r="E1388" s="97" t="str">
        <f>IFERROR(__xludf.DUMMYFUNCTION("""COMPUTED_VALUE"""),"A182")</f>
        <v>A182</v>
      </c>
      <c r="F1388" s="97" t="str">
        <f>IFERROR(__xludf.DUMMYFUNCTION("""COMPUTED_VALUE"""),"LED SMD")</f>
        <v>LED SMD</v>
      </c>
      <c r="G1388" s="97" t="str">
        <f>IFERROR(__xludf.DUMMYFUNCTION("""COMPUTED_VALUE"""),"Bridgelux")</f>
        <v>Bridgelux</v>
      </c>
      <c r="H1388" s="97" t="str">
        <f>IFERROR(__xludf.DUMMYFUNCTION("""COMPUTED_VALUE"""),"-")</f>
        <v>-</v>
      </c>
      <c r="I1388" s="97"/>
      <c r="J1388" s="97"/>
      <c r="K1388" s="97" t="str">
        <f>IFERROR(__xludf.DUMMYFUNCTION("""COMPUTED_VALUE"""),"ON/OFF")</f>
        <v>ON/OFF</v>
      </c>
      <c r="L1388" s="97" t="str">
        <f>IFERROR(__xludf.DUMMYFUNCTION("""COMPUTED_VALUE"""),"220-240")</f>
        <v>220-240</v>
      </c>
      <c r="M1388" s="97" t="str">
        <f>IFERROR(__xludf.DUMMYFUNCTION("""COMPUTED_VALUE"""),"50/60")</f>
        <v>50/60</v>
      </c>
      <c r="N1388" s="97" t="str">
        <f>IFERROR(__xludf.DUMMYFUNCTION("""COMPUTED_VALUE"""),"Directa")</f>
        <v>Directa</v>
      </c>
      <c r="O1388" s="97">
        <f>IFERROR(__xludf.DUMMYFUNCTION("""COMPUTED_VALUE"""),15.0)</f>
        <v>15</v>
      </c>
      <c r="P1388" s="97">
        <f>IFERROR(__xludf.DUMMYFUNCTION("""COMPUTED_VALUE"""),12.94)</f>
        <v>12.94</v>
      </c>
      <c r="Q1388" s="97">
        <f>IFERROR(__xludf.DUMMYFUNCTION("""COMPUTED_VALUE"""),0.5)</f>
        <v>0.5</v>
      </c>
      <c r="R1388" s="97" t="str">
        <f>IFERROR(__xludf.DUMMYFUNCTION("""COMPUTED_VALUE"""),"-")</f>
        <v>-</v>
      </c>
      <c r="S1388" s="97" t="str">
        <f>IFERROR(__xludf.DUMMYFUNCTION("""COMPUTED_VALUE"""),"-")</f>
        <v>-</v>
      </c>
      <c r="T1388" s="99">
        <f>IFERROR(__xludf.DUMMYFUNCTION("""COMPUTED_VALUE"""),1065.0)</f>
        <v>1065</v>
      </c>
      <c r="U1388" s="97">
        <f>IFERROR(__xludf.DUMMYFUNCTION("""COMPUTED_VALUE"""),71.0)</f>
        <v>71</v>
      </c>
      <c r="V1388" s="97">
        <f>IFERROR(__xludf.DUMMYFUNCTION("""COMPUTED_VALUE"""),26.0)</f>
        <v>26</v>
      </c>
      <c r="W1388" s="97" t="str">
        <f>IFERROR(__xludf.DUMMYFUNCTION("""COMPUTED_VALUE"""),"-")</f>
        <v>-</v>
      </c>
      <c r="X1388" s="97">
        <f>IFERROR(__xludf.DUMMYFUNCTION("""COMPUTED_VALUE"""),3000.0)</f>
        <v>3000</v>
      </c>
      <c r="Y1388" s="97" t="str">
        <f>IFERROR(__xludf.DUMMYFUNCTION("""COMPUTED_VALUE"""),"&gt;95")</f>
        <v>&gt;95</v>
      </c>
      <c r="Z1388" s="97" t="str">
        <f>IFERROR(__xludf.DUMMYFUNCTION("""COMPUTED_VALUE"""),"&gt;95")</f>
        <v>&gt;95</v>
      </c>
      <c r="AA1388" s="97" t="str">
        <f>IFERROR(__xludf.DUMMYFUNCTION("""COMPUTED_VALUE"""),"101-110 (Vivido)")</f>
        <v>101-110 (Vivido)</v>
      </c>
      <c r="AB1388" s="97" t="str">
        <f>IFERROR(__xludf.DUMMYFUNCTION("""COMPUTED_VALUE"""),"&lt; 3")</f>
        <v>&lt; 3</v>
      </c>
      <c r="AC1388" s="97">
        <f>IFERROR(__xludf.DUMMYFUNCTION("""COMPUTED_VALUE"""),-0.00258)</f>
        <v>-0.00258</v>
      </c>
      <c r="AD1388" s="97" t="str">
        <f>IFERROR(__xludf.DUMMYFUNCTION("""COMPUTED_VALUE"""),"IP20")</f>
        <v>IP20</v>
      </c>
      <c r="AE1388" s="97"/>
      <c r="AF1388" s="97" t="str">
        <f>IFERROR(__xludf.DUMMYFUNCTION("""COMPUTED_VALUE"""),"Suspender")</f>
        <v>Suspender</v>
      </c>
      <c r="AG1388" s="97" t="str">
        <f>IFERROR(__xludf.DUMMYFUNCTION("""COMPUTED_VALUE"""),"Ø400 x 1200")</f>
        <v>Ø400 x 1200</v>
      </c>
      <c r="AH1388" s="97" t="str">
        <f>IFERROR(__xludf.DUMMYFUNCTION("""COMPUTED_VALUE"""),"N/A")</f>
        <v>N/A</v>
      </c>
      <c r="AI1388" s="97" t="str">
        <f>IFERROR(__xludf.DUMMYFUNCTION("""COMPUTED_VALUE"""),"N/A")</f>
        <v>N/A</v>
      </c>
      <c r="AJ1388" s="97" t="str">
        <f>IFERROR(__xludf.DUMMYFUNCTION("""COMPUTED_VALUE"""),"Alabastro")</f>
        <v>Alabastro</v>
      </c>
      <c r="AK1388" s="97" t="str">
        <f>IFERROR(__xludf.DUMMYFUNCTION("""COMPUTED_VALUE"""),"Aluminio y Alabastro")</f>
        <v>Aluminio y Alabastro</v>
      </c>
      <c r="AL1388" s="97" t="str">
        <f>IFERROR(__xludf.DUMMYFUNCTION("""COMPUTED_VALUE"""),"Gris")</f>
        <v>Gris</v>
      </c>
      <c r="AM1388" s="97"/>
      <c r="AN1388" s="97" t="str">
        <f>IFERROR(__xludf.DUMMYFUNCTION("""COMPUTED_VALUE"""),"25.000hs (L70)")</f>
        <v>25.000hs (L70)</v>
      </c>
      <c r="AO1388" s="97" t="str">
        <f>IFERROR(__xludf.DUMMYFUNCTION("""COMPUTED_VALUE"""),"2 Años")</f>
        <v>2 Años</v>
      </c>
      <c r="AP1388" s="97" t="str">
        <f>IFERROR(__xludf.DUMMYFUNCTION("""COMPUTED_VALUE"""),"Disponible")</f>
        <v>Disponible</v>
      </c>
      <c r="AQ1388" s="97" t="str">
        <f>IFERROR(__xludf.DUMMYFUNCTION("""COMPUTED_VALUE"""),"Disponible")</f>
        <v>Disponible</v>
      </c>
      <c r="AR1388" s="97" t="str">
        <f>IFERROR(__xludf.DUMMYFUNCTION("""COMPUTED_VALUE"""),"Disponible")</f>
        <v>Disponible</v>
      </c>
      <c r="AS1388" s="97" t="str">
        <f>IFERROR(__xludf.DUMMYFUNCTION("""COMPUTED_VALUE"""),"Falta")</f>
        <v>Falta</v>
      </c>
      <c r="AT1388" s="97" t="str">
        <f>IFERROR(__xludf.DUMMYFUNCTION("""COMPUTED_VALUE"""),"Falta")</f>
        <v>Falta</v>
      </c>
      <c r="AU1388" s="97" t="str">
        <f>IFERROR(__xludf.DUMMYFUNCTION("""COMPUTED_VALUE"""),"Disponible")</f>
        <v>Disponible</v>
      </c>
      <c r="AV1388" s="97" t="str">
        <f>IFERROR(__xludf.DUMMYFUNCTION("""COMPUTED_VALUE"""),"Colgante")</f>
        <v>Colgante</v>
      </c>
      <c r="AW1388" s="97" t="str">
        <f>IFERROR(__xludf.DUMMYFUNCTION("""COMPUTED_VALUE"""),"De Techo")</f>
        <v>De Techo</v>
      </c>
      <c r="AX1388" s="97" t="str">
        <f>IFERROR(__xludf.DUMMYFUNCTION("""COMPUTED_VALUE"""),"Interior")</f>
        <v>Interior</v>
      </c>
      <c r="AY1388" s="97" t="str">
        <f>IFERROR(__xludf.DUMMYFUNCTION("""COMPUTED_VALUE"""),"-")</f>
        <v>-</v>
      </c>
      <c r="AZ1388" s="97" t="str">
        <f>IFERROR(__xludf.DUMMYFUNCTION("""COMPUTED_VALUE"""),"Florón: D10 x 11,5. Cable 2mts")</f>
        <v>Florón: D10 x 11,5. Cable 2mts</v>
      </c>
      <c r="BA1388" s="97"/>
      <c r="BB1388" s="97"/>
      <c r="BC1388" s="97"/>
      <c r="BD1388" s="97" t="str">
        <f>IFERROR(__xludf.DUMMYFUNCTION("""COMPUTED_VALUE"""),"AURA")</f>
        <v>AURA</v>
      </c>
      <c r="BE1388" s="97" t="str">
        <f>IFERROR(__xludf.DUMMYFUNCTION("""COMPUTED_VALUE"""),"Solicitada")</f>
        <v>Solicitada</v>
      </c>
      <c r="BF1388" s="97"/>
      <c r="BG1388" s="97" t="str">
        <f>IFERROR(__xludf.DUMMYFUNCTION("""COMPUTED_VALUE"""),"REPO 7")</f>
        <v>REPO 7</v>
      </c>
    </row>
    <row r="1389">
      <c r="A1389" s="97">
        <f>IFERROR(__xludf.DUMMYFUNCTION("""COMPUTED_VALUE"""),7489.0)</f>
        <v>7489</v>
      </c>
      <c r="B1389" s="97" t="str">
        <f>IFERROR(__xludf.DUMMYFUNCTION("""COMPUTED_VALUE"""),"DROP")</f>
        <v>DROP</v>
      </c>
      <c r="C1389" s="97" t="str">
        <f>IFERROR(__xludf.DUMMYFUNCTION("""COMPUTED_VALUE"""),"MESA DROP 9W 3000K 40LM CRI&gt;80 IP20 LEUK")</f>
        <v>MESA DROP 9W 3000K 40LM CRI&gt;80 IP20 LEUK</v>
      </c>
      <c r="D1389" s="97">
        <f>IFERROR(__xludf.DUMMYFUNCTION("""COMPUTED_VALUE"""),7.798413229622E12)</f>
        <v>7798413229622</v>
      </c>
      <c r="E1389" s="97" t="str">
        <f>IFERROR(__xludf.DUMMYFUNCTION("""COMPUTED_VALUE"""),"-")</f>
        <v>-</v>
      </c>
      <c r="F1389" s="97" t="str">
        <f>IFERROR(__xludf.DUMMYFUNCTION("""COMPUTED_VALUE"""),"LED SMD2835")</f>
        <v>LED SMD2835</v>
      </c>
      <c r="G1389" s="97" t="str">
        <f>IFERROR(__xludf.DUMMYFUNCTION("""COMPUTED_VALUE"""),"-")</f>
        <v>-</v>
      </c>
      <c r="H1389" s="97" t="str">
        <f>IFERROR(__xludf.DUMMYFUNCTION("""COMPUTED_VALUE"""),"-")</f>
        <v>-</v>
      </c>
      <c r="I1389" s="97"/>
      <c r="J1389" s="97"/>
      <c r="K1389" s="97" t="str">
        <f>IFERROR(__xludf.DUMMYFUNCTION("""COMPUTED_VALUE"""),"ON/OFF")</f>
        <v>ON/OFF</v>
      </c>
      <c r="L1389" s="97" t="str">
        <f>IFERROR(__xludf.DUMMYFUNCTION("""COMPUTED_VALUE"""),"5Vdc 2A")</f>
        <v>5Vdc 2A</v>
      </c>
      <c r="M1389" s="97" t="str">
        <f>IFERROR(__xludf.DUMMYFUNCTION("""COMPUTED_VALUE"""),"N/A")</f>
        <v>N/A</v>
      </c>
      <c r="N1389" s="97" t="str">
        <f>IFERROR(__xludf.DUMMYFUNCTION("""COMPUTED_VALUE"""),"Difusa")</f>
        <v>Difusa</v>
      </c>
      <c r="O1389" s="97">
        <f>IFERROR(__xludf.DUMMYFUNCTION("""COMPUTED_VALUE"""),9.0)</f>
        <v>9</v>
      </c>
      <c r="P1389" s="97" t="str">
        <f>IFERROR(__xludf.DUMMYFUNCTION("""COMPUTED_VALUE"""),"-")</f>
        <v>-</v>
      </c>
      <c r="Q1389" s="97"/>
      <c r="R1389" s="97" t="str">
        <f>IFERROR(__xludf.DUMMYFUNCTION("""COMPUTED_VALUE"""),"-")</f>
        <v>-</v>
      </c>
      <c r="S1389" s="97" t="str">
        <f>IFERROR(__xludf.DUMMYFUNCTION("""COMPUTED_VALUE"""),"-")</f>
        <v>-</v>
      </c>
      <c r="T1389" s="99">
        <f>IFERROR(__xludf.DUMMYFUNCTION("""COMPUTED_VALUE"""),40.0)</f>
        <v>40</v>
      </c>
      <c r="U1389" s="99">
        <f>IFERROR(__xludf.DUMMYFUNCTION("""COMPUTED_VALUE"""),4.444444444444445)</f>
        <v>4.444444444</v>
      </c>
      <c r="V1389" s="97">
        <f>IFERROR(__xludf.DUMMYFUNCTION("""COMPUTED_VALUE"""),215.0)</f>
        <v>215</v>
      </c>
      <c r="W1389" s="97" t="str">
        <f>IFERROR(__xludf.DUMMYFUNCTION("""COMPUTED_VALUE"""),"N/A")</f>
        <v>N/A</v>
      </c>
      <c r="X1389" s="97">
        <f>IFERROR(__xludf.DUMMYFUNCTION("""COMPUTED_VALUE"""),3000.0)</f>
        <v>3000</v>
      </c>
      <c r="Y1389" s="97" t="str">
        <f>IFERROR(__xludf.DUMMYFUNCTION("""COMPUTED_VALUE"""),"&gt;80")</f>
        <v>&gt;80</v>
      </c>
      <c r="Z1389" s="97" t="str">
        <f>IFERROR(__xludf.DUMMYFUNCTION("""COMPUTED_VALUE"""),"&gt;80")</f>
        <v>&gt;80</v>
      </c>
      <c r="AA1389" s="97" t="str">
        <f>IFERROR(__xludf.DUMMYFUNCTION("""COMPUTED_VALUE"""),"90-99 (Leve desaturación)")</f>
        <v>90-99 (Leve desaturación)</v>
      </c>
      <c r="AB1389" s="97" t="str">
        <f>IFERROR(__xludf.DUMMYFUNCTION("""COMPUTED_VALUE"""),"-")</f>
        <v>-</v>
      </c>
      <c r="AC1389" s="97">
        <f>IFERROR(__xludf.DUMMYFUNCTION("""COMPUTED_VALUE"""),1.4E-4)</f>
        <v>0.00014</v>
      </c>
      <c r="AD1389" s="97" t="str">
        <f>IFERROR(__xludf.DUMMYFUNCTION("""COMPUTED_VALUE"""),"IP20")</f>
        <v>IP20</v>
      </c>
      <c r="AE1389" s="97"/>
      <c r="AF1389" s="97" t="str">
        <f>IFERROR(__xludf.DUMMYFUNCTION("""COMPUTED_VALUE"""),"Autoportante")</f>
        <v>Autoportante</v>
      </c>
      <c r="AG1389" s="97" t="str">
        <f>IFERROR(__xludf.DUMMYFUNCTION("""COMPUTED_VALUE"""),"Ø67 x 215")</f>
        <v>Ø67 x 215</v>
      </c>
      <c r="AH1389" s="97" t="str">
        <f>IFERROR(__xludf.DUMMYFUNCTION("""COMPUTED_VALUE"""),"N/A")</f>
        <v>N/A</v>
      </c>
      <c r="AI1389" s="97" t="str">
        <f>IFERROR(__xludf.DUMMYFUNCTION("""COMPUTED_VALUE"""),"N/A")</f>
        <v>N/A</v>
      </c>
      <c r="AJ1389" s="97" t="str">
        <f>IFERROR(__xludf.DUMMYFUNCTION("""COMPUTED_VALUE"""),"Alabastro")</f>
        <v>Alabastro</v>
      </c>
      <c r="AK1389" s="97" t="str">
        <f>IFERROR(__xludf.DUMMYFUNCTION("""COMPUTED_VALUE"""),"Aluminio y Alabastro")</f>
        <v>Aluminio y Alabastro</v>
      </c>
      <c r="AL1389" s="97" t="str">
        <f>IFERROR(__xludf.DUMMYFUNCTION("""COMPUTED_VALUE"""),"Café")</f>
        <v>Café</v>
      </c>
      <c r="AM1389" s="97"/>
      <c r="AN1389" s="97" t="str">
        <f>IFERROR(__xludf.DUMMYFUNCTION("""COMPUTED_VALUE"""),"25.000hs (L70)")</f>
        <v>25.000hs (L70)</v>
      </c>
      <c r="AO1389" s="97" t="str">
        <f>IFERROR(__xludf.DUMMYFUNCTION("""COMPUTED_VALUE"""),"2 Años")</f>
        <v>2 Años</v>
      </c>
      <c r="AP1389" s="97" t="str">
        <f>IFERROR(__xludf.DUMMYFUNCTION("""COMPUTED_VALUE"""),"Disponible")</f>
        <v>Disponible</v>
      </c>
      <c r="AQ1389" s="97" t="str">
        <f>IFERROR(__xludf.DUMMYFUNCTION("""COMPUTED_VALUE"""),"Disponible")</f>
        <v>Disponible</v>
      </c>
      <c r="AR1389" s="97" t="str">
        <f>IFERROR(__xludf.DUMMYFUNCTION("""COMPUTED_VALUE"""),"Disponible")</f>
        <v>Disponible</v>
      </c>
      <c r="AS1389" s="97" t="str">
        <f>IFERROR(__xludf.DUMMYFUNCTION("""COMPUTED_VALUE"""),"Falta")</f>
        <v>Falta</v>
      </c>
      <c r="AT1389" s="97" t="str">
        <f>IFERROR(__xludf.DUMMYFUNCTION("""COMPUTED_VALUE"""),"Falta")</f>
        <v>Falta</v>
      </c>
      <c r="AU1389" s="97" t="str">
        <f>IFERROR(__xludf.DUMMYFUNCTION("""COMPUTED_VALUE"""),"En revisión")</f>
        <v>En revisión</v>
      </c>
      <c r="AV1389" s="97" t="str">
        <f>IFERROR(__xludf.DUMMYFUNCTION("""COMPUTED_VALUE"""),"Mesa")</f>
        <v>Mesa</v>
      </c>
      <c r="AW1389" s="97" t="str">
        <f>IFERROR(__xludf.DUMMYFUNCTION("""COMPUTED_VALUE"""),"De Apoyo")</f>
        <v>De Apoyo</v>
      </c>
      <c r="AX1389" s="97" t="str">
        <f>IFERROR(__xludf.DUMMYFUNCTION("""COMPUTED_VALUE"""),"Interior")</f>
        <v>Interior</v>
      </c>
      <c r="AY1389" s="97" t="str">
        <f>IFERROR(__xludf.DUMMYFUNCTION("""COMPUTED_VALUE"""),"-")</f>
        <v>-</v>
      </c>
      <c r="AZ1389" s="97" t="str">
        <f>IFERROR(__xludf.DUMMYFUNCTION("""COMPUTED_VALUE"""),"No incluye cargador. Batería: 5v - 21700mhA")</f>
        <v>No incluye cargador. Batería: 5v - 21700mhA</v>
      </c>
      <c r="BA1389" s="97"/>
      <c r="BB1389" s="97"/>
      <c r="BC1389" s="97"/>
      <c r="BD1389" s="97" t="str">
        <f>IFERROR(__xludf.DUMMYFUNCTION("""COMPUTED_VALUE"""),"DROP")</f>
        <v>DROP</v>
      </c>
      <c r="BE1389" s="97" t="str">
        <f>IFERROR(__xludf.DUMMYFUNCTION("""COMPUTED_VALUE"""),"Solicitada")</f>
        <v>Solicitada</v>
      </c>
      <c r="BF1389" s="97"/>
      <c r="BG1389" s="97" t="str">
        <f>IFERROR(__xludf.DUMMYFUNCTION("""COMPUTED_VALUE"""),"REPO 7")</f>
        <v>REPO 7</v>
      </c>
    </row>
    <row r="1390">
      <c r="A1390" s="97">
        <f>IFERROR(__xludf.DUMMYFUNCTION("""COMPUTED_VALUE"""),7490.0)</f>
        <v>7490</v>
      </c>
      <c r="B1390" s="97" t="str">
        <f>IFERROR(__xludf.DUMMYFUNCTION("""COMPUTED_VALUE"""),"NUMA POINT BLNG 3000K")</f>
        <v>NUMA POINT BLNG 3000K</v>
      </c>
      <c r="C1390" s="97" t="str">
        <f>IFERROR(__xludf.DUMMYFUNCTION("""COMPUTED_VALUE"""),"EMPOTRABLE NUMA POINT BLNG 3000K 5W 3000K 235LM CRI&gt;95 IP20 LEUK")</f>
        <v>EMPOTRABLE NUMA POINT BLNG 3000K 5W 3000K 235LM CRI&gt;95 IP20 LEUK</v>
      </c>
      <c r="D1390" s="97">
        <f>IFERROR(__xludf.DUMMYFUNCTION("""COMPUTED_VALUE"""),7.798413228823E12)</f>
        <v>7798413228823</v>
      </c>
      <c r="E1390" s="97" t="str">
        <f>IFERROR(__xludf.DUMMYFUNCTION("""COMPUTED_VALUE"""),"F86")</f>
        <v>F86</v>
      </c>
      <c r="F1390" s="97" t="str">
        <f>IFERROR(__xludf.DUMMYFUNCTION("""COMPUTED_VALUE"""),"LED integrado")</f>
        <v>LED integrado</v>
      </c>
      <c r="G1390" s="97" t="str">
        <f>IFERROR(__xludf.DUMMYFUNCTION("""COMPUTED_VALUE"""),"Bridgelux")</f>
        <v>Bridgelux</v>
      </c>
      <c r="H1390" s="97" t="str">
        <f>IFERROR(__xludf.DUMMYFUNCTION("""COMPUTED_VALUE"""),"Lifud")</f>
        <v>Lifud</v>
      </c>
      <c r="I1390" s="97"/>
      <c r="J1390" s="97"/>
      <c r="K1390" s="97" t="str">
        <f>IFERROR(__xludf.DUMMYFUNCTION("""COMPUTED_VALUE"""),"TRIAC")</f>
        <v>TRIAC</v>
      </c>
      <c r="L1390" s="97" t="str">
        <f>IFERROR(__xludf.DUMMYFUNCTION("""COMPUTED_VALUE"""),"200-240")</f>
        <v>200-240</v>
      </c>
      <c r="M1390" s="97" t="str">
        <f>IFERROR(__xludf.DUMMYFUNCTION("""COMPUTED_VALUE"""),"50/60")</f>
        <v>50/60</v>
      </c>
      <c r="N1390" s="97" t="str">
        <f>IFERROR(__xludf.DUMMYFUNCTION("""COMPUTED_VALUE"""),"Directa")</f>
        <v>Directa</v>
      </c>
      <c r="O1390" s="97">
        <f>IFERROR(__xludf.DUMMYFUNCTION("""COMPUTED_VALUE"""),5.0)</f>
        <v>5</v>
      </c>
      <c r="P1390" s="97">
        <f>IFERROR(__xludf.DUMMYFUNCTION("""COMPUTED_VALUE"""),5.07)</f>
        <v>5.07</v>
      </c>
      <c r="Q1390" s="97">
        <f>IFERROR(__xludf.DUMMYFUNCTION("""COMPUTED_VALUE"""),0.9)</f>
        <v>0.9</v>
      </c>
      <c r="R1390" s="97" t="str">
        <f>IFERROR(__xludf.DUMMYFUNCTION("""COMPUTED_VALUE"""),"-")</f>
        <v>-</v>
      </c>
      <c r="S1390" s="97" t="str">
        <f>IFERROR(__xludf.DUMMYFUNCTION("""COMPUTED_VALUE"""),"-")</f>
        <v>-</v>
      </c>
      <c r="T1390" s="99">
        <f>IFERROR(__xludf.DUMMYFUNCTION("""COMPUTED_VALUE"""),235.0)</f>
        <v>235</v>
      </c>
      <c r="U1390" s="99">
        <f>IFERROR(__xludf.DUMMYFUNCTION("""COMPUTED_VALUE"""),47.0)</f>
        <v>47</v>
      </c>
      <c r="V1390" s="97">
        <f>IFERROR(__xludf.DUMMYFUNCTION("""COMPUTED_VALUE"""),8.0)</f>
        <v>8</v>
      </c>
      <c r="W1390" s="97" t="str">
        <f>IFERROR(__xludf.DUMMYFUNCTION("""COMPUTED_VALUE"""),"&lt; 10")</f>
        <v>&lt; 10</v>
      </c>
      <c r="X1390" s="97">
        <f>IFERROR(__xludf.DUMMYFUNCTION("""COMPUTED_VALUE"""),3000.0)</f>
        <v>3000</v>
      </c>
      <c r="Y1390" s="97" t="str">
        <f>IFERROR(__xludf.DUMMYFUNCTION("""COMPUTED_VALUE"""),"&gt;95")</f>
        <v>&gt;95</v>
      </c>
      <c r="Z1390" s="97" t="str">
        <f>IFERROR(__xludf.DUMMYFUNCTION("""COMPUTED_VALUE"""),"-")</f>
        <v>-</v>
      </c>
      <c r="AA1390" s="97" t="str">
        <f>IFERROR(__xludf.DUMMYFUNCTION("""COMPUTED_VALUE"""),"-")</f>
        <v>-</v>
      </c>
      <c r="AB1390" s="97" t="str">
        <f>IFERROR(__xludf.DUMMYFUNCTION("""COMPUTED_VALUE"""),"&lt; 2")</f>
        <v>&lt; 2</v>
      </c>
      <c r="AC1390" s="97">
        <f>IFERROR(__xludf.DUMMYFUNCTION("""COMPUTED_VALUE"""),0.00238)</f>
        <v>0.00238</v>
      </c>
      <c r="AD1390" s="97" t="str">
        <f>IFERROR(__xludf.DUMMYFUNCTION("""COMPUTED_VALUE"""),"IP20")</f>
        <v>IP20</v>
      </c>
      <c r="AE1390" s="97"/>
      <c r="AF1390" s="97" t="str">
        <f>IFERROR(__xludf.DUMMYFUNCTION("""COMPUTED_VALUE"""),"Embutir")</f>
        <v>Embutir</v>
      </c>
      <c r="AG1390" s="97" t="str">
        <f>IFERROR(__xludf.DUMMYFUNCTION("""COMPUTED_VALUE"""),"Ø82 x 50")</f>
        <v>Ø82 x 50</v>
      </c>
      <c r="AH1390" s="97" t="str">
        <f>IFERROR(__xludf.DUMMYFUNCTION("""COMPUTED_VALUE"""),"Ø75")</f>
        <v>Ø75</v>
      </c>
      <c r="AI1390" s="97"/>
      <c r="AJ1390" s="97" t="str">
        <f>IFERROR(__xludf.DUMMYFUNCTION("""COMPUTED_VALUE"""),"PMMA")</f>
        <v>PMMA</v>
      </c>
      <c r="AK1390" s="97" t="str">
        <f>IFERROR(__xludf.DUMMYFUNCTION("""COMPUTED_VALUE"""),"Aluminio")</f>
        <v>Aluminio</v>
      </c>
      <c r="AL1390" s="97" t="str">
        <f>IFERROR(__xludf.DUMMYFUNCTION("""COMPUTED_VALUE"""),"Blanco y Negro")</f>
        <v>Blanco y Negro</v>
      </c>
      <c r="AM1390" s="97" t="str">
        <f>IFERROR(__xludf.DUMMYFUNCTION("""COMPUTED_VALUE"""),"-")</f>
        <v>-</v>
      </c>
      <c r="AN1390" s="97" t="str">
        <f>IFERROR(__xludf.DUMMYFUNCTION("""COMPUTED_VALUE"""),"25.000hs (L70)")</f>
        <v>25.000hs (L70)</v>
      </c>
      <c r="AO1390" s="97" t="str">
        <f>IFERROR(__xludf.DUMMYFUNCTION("""COMPUTED_VALUE"""),"2 Años")</f>
        <v>2 Años</v>
      </c>
      <c r="AP1390" s="97" t="str">
        <f>IFERROR(__xludf.DUMMYFUNCTION("""COMPUTED_VALUE"""),"Disponible")</f>
        <v>Disponible</v>
      </c>
      <c r="AQ1390" s="97" t="str">
        <f>IFERROR(__xludf.DUMMYFUNCTION("""COMPUTED_VALUE"""),"Disponible")</f>
        <v>Disponible</v>
      </c>
      <c r="AR1390" s="97" t="str">
        <f>IFERROR(__xludf.DUMMYFUNCTION("""COMPUTED_VALUE"""),"Disponible")</f>
        <v>Disponible</v>
      </c>
      <c r="AS1390" s="97" t="str">
        <f>IFERROR(__xludf.DUMMYFUNCTION("""COMPUTED_VALUE"""),"Disponible")</f>
        <v>Disponible</v>
      </c>
      <c r="AT1390" s="97" t="str">
        <f>IFERROR(__xludf.DUMMYFUNCTION("""COMPUTED_VALUE"""),"Disponible")</f>
        <v>Disponible</v>
      </c>
      <c r="AU1390" s="97" t="str">
        <f>IFERROR(__xludf.DUMMYFUNCTION("""COMPUTED_VALUE"""),"Falta")</f>
        <v>Falta</v>
      </c>
      <c r="AV1390" s="97" t="str">
        <f>IFERROR(__xludf.DUMMYFUNCTION("""COMPUTED_VALUE"""),"Empotrable")</f>
        <v>Empotrable</v>
      </c>
      <c r="AW1390" s="97" t="str">
        <f>IFERROR(__xludf.DUMMYFUNCTION("""COMPUTED_VALUE"""),"De Techo")</f>
        <v>De Techo</v>
      </c>
      <c r="AX1390" s="97" t="str">
        <f>IFERROR(__xludf.DUMMYFUNCTION("""COMPUTED_VALUE"""),"Interior")</f>
        <v>Interior</v>
      </c>
      <c r="AY1390" s="97" t="str">
        <f>IFERROR(__xludf.DUMMYFUNCTION("""COMPUTED_VALUE"""),"-")</f>
        <v>-</v>
      </c>
      <c r="AZ1390" s="97"/>
      <c r="BA1390" s="97"/>
      <c r="BB1390" s="97"/>
      <c r="BC1390" s="97"/>
      <c r="BD1390" s="97" t="str">
        <f>IFERROR(__xludf.DUMMYFUNCTION("""COMPUTED_VALUE"""),"NUMA POINT")</f>
        <v>NUMA POINT</v>
      </c>
      <c r="BE1390" s="97" t="str">
        <f>IFERROR(__xludf.DUMMYFUNCTION("""COMPUTED_VALUE"""),"Solicitada")</f>
        <v>Solicitada</v>
      </c>
      <c r="BF1390" s="97"/>
      <c r="BG1390" s="97" t="str">
        <f>IFERROR(__xludf.DUMMYFUNCTION("""COMPUTED_VALUE"""),"REPO 7")</f>
        <v>REPO 7</v>
      </c>
    </row>
    <row r="1391">
      <c r="A1391" s="97">
        <f>IFERROR(__xludf.DUMMYFUNCTION("""COMPUTED_VALUE"""),7491.0)</f>
        <v>7491</v>
      </c>
      <c r="B1391" s="97" t="str">
        <f>IFERROR(__xludf.DUMMYFUNCTION("""COMPUTED_VALUE"""),"NUMA POINT BLNG 2700K")</f>
        <v>NUMA POINT BLNG 2700K</v>
      </c>
      <c r="C1391" s="97" t="str">
        <f>IFERROR(__xludf.DUMMYFUNCTION("""COMPUTED_VALUE"""),"EMPOTRABLE NUMA POINT BLNG 2700K 5W 2700K 235LM CRI&gt;95 IP20 LEUK")</f>
        <v>EMPOTRABLE NUMA POINT BLNG 2700K 5W 2700K 235LM CRI&gt;95 IP20 LEUK</v>
      </c>
      <c r="D1391" s="97">
        <f>IFERROR(__xludf.DUMMYFUNCTION("""COMPUTED_VALUE"""),7.79841322883E12)</f>
        <v>7798413228830</v>
      </c>
      <c r="E1391" s="97" t="str">
        <f>IFERROR(__xludf.DUMMYFUNCTION("""COMPUTED_VALUE"""),"F86")</f>
        <v>F86</v>
      </c>
      <c r="F1391" s="97" t="str">
        <f>IFERROR(__xludf.DUMMYFUNCTION("""COMPUTED_VALUE"""),"LED integrado")</f>
        <v>LED integrado</v>
      </c>
      <c r="G1391" s="97" t="str">
        <f>IFERROR(__xludf.DUMMYFUNCTION("""COMPUTED_VALUE"""),"Bridgelux")</f>
        <v>Bridgelux</v>
      </c>
      <c r="H1391" s="97" t="str">
        <f>IFERROR(__xludf.DUMMYFUNCTION("""COMPUTED_VALUE"""),"Lifud")</f>
        <v>Lifud</v>
      </c>
      <c r="I1391" s="97"/>
      <c r="J1391" s="97"/>
      <c r="K1391" s="97" t="str">
        <f>IFERROR(__xludf.DUMMYFUNCTION("""COMPUTED_VALUE"""),"TRIAC")</f>
        <v>TRIAC</v>
      </c>
      <c r="L1391" s="97" t="str">
        <f>IFERROR(__xludf.DUMMYFUNCTION("""COMPUTED_VALUE"""),"200-240")</f>
        <v>200-240</v>
      </c>
      <c r="M1391" s="97" t="str">
        <f>IFERROR(__xludf.DUMMYFUNCTION("""COMPUTED_VALUE"""),"50/60")</f>
        <v>50/60</v>
      </c>
      <c r="N1391" s="97" t="str">
        <f>IFERROR(__xludf.DUMMYFUNCTION("""COMPUTED_VALUE"""),"Directa")</f>
        <v>Directa</v>
      </c>
      <c r="O1391" s="97">
        <f>IFERROR(__xludf.DUMMYFUNCTION("""COMPUTED_VALUE"""),5.0)</f>
        <v>5</v>
      </c>
      <c r="P1391" s="97">
        <f>IFERROR(__xludf.DUMMYFUNCTION("""COMPUTED_VALUE"""),5.07)</f>
        <v>5.07</v>
      </c>
      <c r="Q1391" s="97">
        <f>IFERROR(__xludf.DUMMYFUNCTION("""COMPUTED_VALUE"""),0.9)</f>
        <v>0.9</v>
      </c>
      <c r="R1391" s="97" t="str">
        <f>IFERROR(__xludf.DUMMYFUNCTION("""COMPUTED_VALUE"""),"-")</f>
        <v>-</v>
      </c>
      <c r="S1391" s="97" t="str">
        <f>IFERROR(__xludf.DUMMYFUNCTION("""COMPUTED_VALUE"""),"-")</f>
        <v>-</v>
      </c>
      <c r="T1391" s="99">
        <f>IFERROR(__xludf.DUMMYFUNCTION("""COMPUTED_VALUE"""),235.0)</f>
        <v>235</v>
      </c>
      <c r="U1391" s="99">
        <f>IFERROR(__xludf.DUMMYFUNCTION("""COMPUTED_VALUE"""),47.0)</f>
        <v>47</v>
      </c>
      <c r="V1391" s="97">
        <f>IFERROR(__xludf.DUMMYFUNCTION("""COMPUTED_VALUE"""),8.0)</f>
        <v>8</v>
      </c>
      <c r="W1391" s="97" t="str">
        <f>IFERROR(__xludf.DUMMYFUNCTION("""COMPUTED_VALUE"""),"&lt; 10")</f>
        <v>&lt; 10</v>
      </c>
      <c r="X1391" s="97">
        <f>IFERROR(__xludf.DUMMYFUNCTION("""COMPUTED_VALUE"""),2700.0)</f>
        <v>2700</v>
      </c>
      <c r="Y1391" s="97" t="str">
        <f>IFERROR(__xludf.DUMMYFUNCTION("""COMPUTED_VALUE"""),"&gt;95")</f>
        <v>&gt;95</v>
      </c>
      <c r="Z1391" s="97" t="str">
        <f>IFERROR(__xludf.DUMMYFUNCTION("""COMPUTED_VALUE"""),"-")</f>
        <v>-</v>
      </c>
      <c r="AA1391" s="97" t="str">
        <f>IFERROR(__xludf.DUMMYFUNCTION("""COMPUTED_VALUE"""),"-")</f>
        <v>-</v>
      </c>
      <c r="AB1391" s="97" t="str">
        <f>IFERROR(__xludf.DUMMYFUNCTION("""COMPUTED_VALUE"""),"&lt; 2")</f>
        <v>&lt; 2</v>
      </c>
      <c r="AC1391" s="97">
        <f>IFERROR(__xludf.DUMMYFUNCTION("""COMPUTED_VALUE"""),1.5E-4)</f>
        <v>0.00015</v>
      </c>
      <c r="AD1391" s="97" t="str">
        <f>IFERROR(__xludf.DUMMYFUNCTION("""COMPUTED_VALUE"""),"IP20")</f>
        <v>IP20</v>
      </c>
      <c r="AE1391" s="97"/>
      <c r="AF1391" s="97" t="str">
        <f>IFERROR(__xludf.DUMMYFUNCTION("""COMPUTED_VALUE"""),"Embutir")</f>
        <v>Embutir</v>
      </c>
      <c r="AG1391" s="97" t="str">
        <f>IFERROR(__xludf.DUMMYFUNCTION("""COMPUTED_VALUE"""),"Ø82 x 50")</f>
        <v>Ø82 x 50</v>
      </c>
      <c r="AH1391" s="97" t="str">
        <f>IFERROR(__xludf.DUMMYFUNCTION("""COMPUTED_VALUE"""),"Ø75")</f>
        <v>Ø75</v>
      </c>
      <c r="AI1391" s="97"/>
      <c r="AJ1391" s="97" t="str">
        <f>IFERROR(__xludf.DUMMYFUNCTION("""COMPUTED_VALUE"""),"PMMA")</f>
        <v>PMMA</v>
      </c>
      <c r="AK1391" s="97" t="str">
        <f>IFERROR(__xludf.DUMMYFUNCTION("""COMPUTED_VALUE"""),"Aluminio")</f>
        <v>Aluminio</v>
      </c>
      <c r="AL1391" s="97" t="str">
        <f>IFERROR(__xludf.DUMMYFUNCTION("""COMPUTED_VALUE"""),"Blanco y Negro")</f>
        <v>Blanco y Negro</v>
      </c>
      <c r="AM1391" s="97" t="str">
        <f>IFERROR(__xludf.DUMMYFUNCTION("""COMPUTED_VALUE"""),"-")</f>
        <v>-</v>
      </c>
      <c r="AN1391" s="97" t="str">
        <f>IFERROR(__xludf.DUMMYFUNCTION("""COMPUTED_VALUE"""),"25.000hs (L70)")</f>
        <v>25.000hs (L70)</v>
      </c>
      <c r="AO1391" s="97" t="str">
        <f>IFERROR(__xludf.DUMMYFUNCTION("""COMPUTED_VALUE"""),"2 Años")</f>
        <v>2 Años</v>
      </c>
      <c r="AP1391" s="97" t="str">
        <f>IFERROR(__xludf.DUMMYFUNCTION("""COMPUTED_VALUE"""),"Disponible")</f>
        <v>Disponible</v>
      </c>
      <c r="AQ1391" s="97" t="str">
        <f>IFERROR(__xludf.DUMMYFUNCTION("""COMPUTED_VALUE"""),"Disponible")</f>
        <v>Disponible</v>
      </c>
      <c r="AR1391" s="97" t="str">
        <f>IFERROR(__xludf.DUMMYFUNCTION("""COMPUTED_VALUE"""),"Disponible")</f>
        <v>Disponible</v>
      </c>
      <c r="AS1391" s="97" t="str">
        <f>IFERROR(__xludf.DUMMYFUNCTION("""COMPUTED_VALUE"""),"Disponible")</f>
        <v>Disponible</v>
      </c>
      <c r="AT1391" s="97" t="str">
        <f>IFERROR(__xludf.DUMMYFUNCTION("""COMPUTED_VALUE"""),"Disponible")</f>
        <v>Disponible</v>
      </c>
      <c r="AU1391" s="97" t="str">
        <f>IFERROR(__xludf.DUMMYFUNCTION("""COMPUTED_VALUE"""),"Falta")</f>
        <v>Falta</v>
      </c>
      <c r="AV1391" s="97" t="str">
        <f>IFERROR(__xludf.DUMMYFUNCTION("""COMPUTED_VALUE"""),"Empotrable")</f>
        <v>Empotrable</v>
      </c>
      <c r="AW1391" s="97" t="str">
        <f>IFERROR(__xludf.DUMMYFUNCTION("""COMPUTED_VALUE"""),"De Techo")</f>
        <v>De Techo</v>
      </c>
      <c r="AX1391" s="97" t="str">
        <f>IFERROR(__xludf.DUMMYFUNCTION("""COMPUTED_VALUE"""),"Interior")</f>
        <v>Interior</v>
      </c>
      <c r="AY1391" s="97" t="str">
        <f>IFERROR(__xludf.DUMMYFUNCTION("""COMPUTED_VALUE"""),"-")</f>
        <v>-</v>
      </c>
      <c r="AZ1391" s="97"/>
      <c r="BA1391" s="97"/>
      <c r="BB1391" s="97"/>
      <c r="BC1391" s="97"/>
      <c r="BD1391" s="97" t="str">
        <f>IFERROR(__xludf.DUMMYFUNCTION("""COMPUTED_VALUE"""),"NUMA POINT")</f>
        <v>NUMA POINT</v>
      </c>
      <c r="BE1391" s="97" t="str">
        <f>IFERROR(__xludf.DUMMYFUNCTION("""COMPUTED_VALUE"""),"Solicitada")</f>
        <v>Solicitada</v>
      </c>
      <c r="BF1391" s="97"/>
      <c r="BG1391" s="97" t="str">
        <f>IFERROR(__xludf.DUMMYFUNCTION("""COMPUTED_VALUE"""),"REPO 7")</f>
        <v>REPO 7</v>
      </c>
    </row>
    <row r="1392">
      <c r="A1392" s="97">
        <f>IFERROR(__xludf.DUMMYFUNCTION("""COMPUTED_VALUE"""),7492.0)</f>
        <v>7492</v>
      </c>
      <c r="B1392" s="97" t="str">
        <f>IFERROR(__xludf.DUMMYFUNCTION("""COMPUTED_VALUE"""),"MINI POCKET VI BLNG 3000K")</f>
        <v>MINI POCKET VI BLNG 3000K</v>
      </c>
      <c r="C1392" s="97" t="str">
        <f>IFERROR(__xludf.DUMMYFUNCTION("""COMPUTED_VALUE"""),"EMPOTRABLE MINI POCKET VI BLNG 3000K 5W 3000K 220LM CRI&gt;90 IP20 LEUK")</f>
        <v>EMPOTRABLE MINI POCKET VI BLNG 3000K 5W 3000K 220LM CRI&gt;90 IP20 LEUK</v>
      </c>
      <c r="D1392" s="97">
        <f>IFERROR(__xludf.DUMMYFUNCTION("""COMPUTED_VALUE"""),7.798413228847E12)</f>
        <v>7798413228847</v>
      </c>
      <c r="E1392" s="97" t="str">
        <f>IFERROR(__xludf.DUMMYFUNCTION("""COMPUTED_VALUE"""),"F76")</f>
        <v>F76</v>
      </c>
      <c r="F1392" s="97" t="str">
        <f>IFERROR(__xludf.DUMMYFUNCTION("""COMPUTED_VALUE"""),"LED integrado")</f>
        <v>LED integrado</v>
      </c>
      <c r="G1392" s="97" t="str">
        <f>IFERROR(__xludf.DUMMYFUNCTION("""COMPUTED_VALUE"""),"-")</f>
        <v>-</v>
      </c>
      <c r="H1392" s="97"/>
      <c r="I1392" s="97"/>
      <c r="J1392" s="97"/>
      <c r="K1392" s="97" t="str">
        <f>IFERROR(__xludf.DUMMYFUNCTION("""COMPUTED_VALUE"""),"ON/OFF")</f>
        <v>ON/OFF</v>
      </c>
      <c r="L1392" s="97" t="str">
        <f>IFERROR(__xludf.DUMMYFUNCTION("""COMPUTED_VALUE"""),"200-240")</f>
        <v>200-240</v>
      </c>
      <c r="M1392" s="97" t="str">
        <f>IFERROR(__xludf.DUMMYFUNCTION("""COMPUTED_VALUE"""),"50/60")</f>
        <v>50/60</v>
      </c>
      <c r="N1392" s="97" t="str">
        <f>IFERROR(__xludf.DUMMYFUNCTION("""COMPUTED_VALUE"""),"Directa")</f>
        <v>Directa</v>
      </c>
      <c r="O1392" s="97">
        <f>IFERROR(__xludf.DUMMYFUNCTION("""COMPUTED_VALUE"""),5.0)</f>
        <v>5</v>
      </c>
      <c r="P1392" s="97">
        <f>IFERROR(__xludf.DUMMYFUNCTION("""COMPUTED_VALUE"""),5.08)</f>
        <v>5.08</v>
      </c>
      <c r="Q1392" s="97">
        <f>IFERROR(__xludf.DUMMYFUNCTION("""COMPUTED_VALUE"""),0.5)</f>
        <v>0.5</v>
      </c>
      <c r="R1392" s="97" t="str">
        <f>IFERROR(__xludf.DUMMYFUNCTION("""COMPUTED_VALUE"""),"-")</f>
        <v>-</v>
      </c>
      <c r="S1392" s="97" t="str">
        <f>IFERROR(__xludf.DUMMYFUNCTION("""COMPUTED_VALUE"""),"-")</f>
        <v>-</v>
      </c>
      <c r="T1392" s="99">
        <f>IFERROR(__xludf.DUMMYFUNCTION("""COMPUTED_VALUE"""),220.0)</f>
        <v>220</v>
      </c>
      <c r="U1392" s="97">
        <f>IFERROR(__xludf.DUMMYFUNCTION("""COMPUTED_VALUE"""),44.0)</f>
        <v>44</v>
      </c>
      <c r="V1392" s="97">
        <f>IFERROR(__xludf.DUMMYFUNCTION("""COMPUTED_VALUE"""),35.0)</f>
        <v>35</v>
      </c>
      <c r="W1392" s="97" t="str">
        <f>IFERROR(__xludf.DUMMYFUNCTION("""COMPUTED_VALUE"""),"&lt; 16")</f>
        <v>&lt; 16</v>
      </c>
      <c r="X1392" s="97">
        <f>IFERROR(__xludf.DUMMYFUNCTION("""COMPUTED_VALUE"""),3000.0)</f>
        <v>3000</v>
      </c>
      <c r="Y1392" s="97" t="str">
        <f>IFERROR(__xludf.DUMMYFUNCTION("""COMPUTED_VALUE"""),"&gt;90")</f>
        <v>&gt;90</v>
      </c>
      <c r="Z1392" s="97" t="str">
        <f>IFERROR(__xludf.DUMMYFUNCTION("""COMPUTED_VALUE"""),"-")</f>
        <v>-</v>
      </c>
      <c r="AA1392" s="97" t="str">
        <f>IFERROR(__xludf.DUMMYFUNCTION("""COMPUTED_VALUE"""),"-")</f>
        <v>-</v>
      </c>
      <c r="AB1392" s="97" t="str">
        <f>IFERROR(__xludf.DUMMYFUNCTION("""COMPUTED_VALUE"""),"&lt; 3")</f>
        <v>&lt; 3</v>
      </c>
      <c r="AC1392" s="97">
        <f>IFERROR(__xludf.DUMMYFUNCTION("""COMPUTED_VALUE"""),-0.00285)</f>
        <v>-0.00285</v>
      </c>
      <c r="AD1392" s="97" t="str">
        <f>IFERROR(__xludf.DUMMYFUNCTION("""COMPUTED_VALUE"""),"IP20")</f>
        <v>IP20</v>
      </c>
      <c r="AE1392" s="97"/>
      <c r="AF1392" s="97" t="str">
        <f>IFERROR(__xludf.DUMMYFUNCTION("""COMPUTED_VALUE"""),"Embutir")</f>
        <v>Embutir</v>
      </c>
      <c r="AG1392" s="97" t="str">
        <f>IFERROR(__xludf.DUMMYFUNCTION("""COMPUTED_VALUE"""),"109 x 20 x 19")</f>
        <v>109 x 20 x 19</v>
      </c>
      <c r="AH1392" s="97" t="str">
        <f>IFERROR(__xludf.DUMMYFUNCTION("""COMPUTED_VALUE"""),"102 x 15")</f>
        <v>102 x 15</v>
      </c>
      <c r="AI1392" s="97"/>
      <c r="AJ1392" s="97" t="str">
        <f>IFERROR(__xludf.DUMMYFUNCTION("""COMPUTED_VALUE"""),"PMMA")</f>
        <v>PMMA</v>
      </c>
      <c r="AK1392" s="97" t="str">
        <f>IFERROR(__xludf.DUMMYFUNCTION("""COMPUTED_VALUE"""),"Aluminio")</f>
        <v>Aluminio</v>
      </c>
      <c r="AL1392" s="97" t="str">
        <f>IFERROR(__xludf.DUMMYFUNCTION("""COMPUTED_VALUE"""),"Blanco y Negro")</f>
        <v>Blanco y Negro</v>
      </c>
      <c r="AM1392" s="97"/>
      <c r="AN1392" s="97" t="str">
        <f>IFERROR(__xludf.DUMMYFUNCTION("""COMPUTED_VALUE"""),"25.000hs (L70)")</f>
        <v>25.000hs (L70)</v>
      </c>
      <c r="AO1392" s="97" t="str">
        <f>IFERROR(__xludf.DUMMYFUNCTION("""COMPUTED_VALUE"""),"2 Años")</f>
        <v>2 Años</v>
      </c>
      <c r="AP1392" s="97" t="str">
        <f>IFERROR(__xludf.DUMMYFUNCTION("""COMPUTED_VALUE"""),"Disponible")</f>
        <v>Disponible</v>
      </c>
      <c r="AQ1392" s="97" t="str">
        <f>IFERROR(__xludf.DUMMYFUNCTION("""COMPUTED_VALUE"""),"Disponible")</f>
        <v>Disponible</v>
      </c>
      <c r="AR1392" s="97" t="str">
        <f>IFERROR(__xludf.DUMMYFUNCTION("""COMPUTED_VALUE"""),"Disponible")</f>
        <v>Disponible</v>
      </c>
      <c r="AS1392" s="97" t="str">
        <f>IFERROR(__xludf.DUMMYFUNCTION("""COMPUTED_VALUE"""),"Falta")</f>
        <v>Falta</v>
      </c>
      <c r="AT1392" s="97" t="str">
        <f>IFERROR(__xludf.DUMMYFUNCTION("""COMPUTED_VALUE"""),"Falta")</f>
        <v>Falta</v>
      </c>
      <c r="AU1392" s="97" t="str">
        <f>IFERROR(__xludf.DUMMYFUNCTION("""COMPUTED_VALUE"""),"Falta")</f>
        <v>Falta</v>
      </c>
      <c r="AV1392" s="97" t="str">
        <f>IFERROR(__xludf.DUMMYFUNCTION("""COMPUTED_VALUE"""),"Empotrable")</f>
        <v>Empotrable</v>
      </c>
      <c r="AW1392" s="97" t="str">
        <f>IFERROR(__xludf.DUMMYFUNCTION("""COMPUTED_VALUE"""),"De Techo")</f>
        <v>De Techo</v>
      </c>
      <c r="AX1392" s="97" t="str">
        <f>IFERROR(__xludf.DUMMYFUNCTION("""COMPUTED_VALUE"""),"Interior")</f>
        <v>Interior</v>
      </c>
      <c r="AY1392" s="97" t="str">
        <f>IFERROR(__xludf.DUMMYFUNCTION("""COMPUTED_VALUE"""),"Pocket")</f>
        <v>Pocket</v>
      </c>
      <c r="AZ1392" s="97"/>
      <c r="BA1392" s="97"/>
      <c r="BB1392" s="97"/>
      <c r="BC1392" s="97"/>
      <c r="BD1392" s="97" t="str">
        <f>IFERROR(__xludf.DUMMYFUNCTION("""COMPUTED_VALUE"""),"MINI POCKET")</f>
        <v>MINI POCKET</v>
      </c>
      <c r="BE1392" s="97" t="str">
        <f>IFERROR(__xludf.DUMMYFUNCTION("""COMPUTED_VALUE"""),"Solicitada")</f>
        <v>Solicitada</v>
      </c>
      <c r="BF1392" s="97"/>
      <c r="BG1392" s="97" t="str">
        <f>IFERROR(__xludf.DUMMYFUNCTION("""COMPUTED_VALUE"""),"REPO 7")</f>
        <v>REPO 7</v>
      </c>
    </row>
    <row r="1393">
      <c r="A1393" s="97">
        <f>IFERROR(__xludf.DUMMYFUNCTION("""COMPUTED_VALUE"""),7493.0)</f>
        <v>7493</v>
      </c>
      <c r="B1393" s="97" t="str">
        <f>IFERROR(__xludf.DUMMYFUNCTION("""COMPUTED_VALUE"""),"MINI POCKET VI BLBL 3000K")</f>
        <v>MINI POCKET VI BLBL 3000K</v>
      </c>
      <c r="C1393" s="97" t="str">
        <f>IFERROR(__xludf.DUMMYFUNCTION("""COMPUTED_VALUE"""),"EMPOTRABLE MINI POCKET VI BLBL 3000K 5W 3000K 220LM CRI&gt;90 IP20 LEUK")</f>
        <v>EMPOTRABLE MINI POCKET VI BLBL 3000K 5W 3000K 220LM CRI&gt;90 IP20 LEUK</v>
      </c>
      <c r="D1393" s="97">
        <f>IFERROR(__xludf.DUMMYFUNCTION("""COMPUTED_VALUE"""),7.798413228854E12)</f>
        <v>7798413228854</v>
      </c>
      <c r="E1393" s="97" t="str">
        <f>IFERROR(__xludf.DUMMYFUNCTION("""COMPUTED_VALUE"""),"F76")</f>
        <v>F76</v>
      </c>
      <c r="F1393" s="97" t="str">
        <f>IFERROR(__xludf.DUMMYFUNCTION("""COMPUTED_VALUE"""),"LED integrado")</f>
        <v>LED integrado</v>
      </c>
      <c r="G1393" s="97" t="str">
        <f>IFERROR(__xludf.DUMMYFUNCTION("""COMPUTED_VALUE"""),"-")</f>
        <v>-</v>
      </c>
      <c r="H1393" s="97"/>
      <c r="I1393" s="97"/>
      <c r="J1393" s="97"/>
      <c r="K1393" s="97" t="str">
        <f>IFERROR(__xludf.DUMMYFUNCTION("""COMPUTED_VALUE"""),"ON/OFF")</f>
        <v>ON/OFF</v>
      </c>
      <c r="L1393" s="97" t="str">
        <f>IFERROR(__xludf.DUMMYFUNCTION("""COMPUTED_VALUE"""),"200-240")</f>
        <v>200-240</v>
      </c>
      <c r="M1393" s="97" t="str">
        <f>IFERROR(__xludf.DUMMYFUNCTION("""COMPUTED_VALUE"""),"50/60")</f>
        <v>50/60</v>
      </c>
      <c r="N1393" s="97" t="str">
        <f>IFERROR(__xludf.DUMMYFUNCTION("""COMPUTED_VALUE"""),"Directa")</f>
        <v>Directa</v>
      </c>
      <c r="O1393" s="97">
        <f>IFERROR(__xludf.DUMMYFUNCTION("""COMPUTED_VALUE"""),5.0)</f>
        <v>5</v>
      </c>
      <c r="P1393" s="97">
        <f>IFERROR(__xludf.DUMMYFUNCTION("""COMPUTED_VALUE"""),5.08)</f>
        <v>5.08</v>
      </c>
      <c r="Q1393" s="97">
        <f>IFERROR(__xludf.DUMMYFUNCTION("""COMPUTED_VALUE"""),0.5)</f>
        <v>0.5</v>
      </c>
      <c r="R1393" s="97" t="str">
        <f>IFERROR(__xludf.DUMMYFUNCTION("""COMPUTED_VALUE"""),"-")</f>
        <v>-</v>
      </c>
      <c r="S1393" s="97" t="str">
        <f>IFERROR(__xludf.DUMMYFUNCTION("""COMPUTED_VALUE"""),"-")</f>
        <v>-</v>
      </c>
      <c r="T1393" s="99">
        <f>IFERROR(__xludf.DUMMYFUNCTION("""COMPUTED_VALUE"""),220.0)</f>
        <v>220</v>
      </c>
      <c r="U1393" s="97">
        <f>IFERROR(__xludf.DUMMYFUNCTION("""COMPUTED_VALUE"""),44.0)</f>
        <v>44</v>
      </c>
      <c r="V1393" s="97">
        <f>IFERROR(__xludf.DUMMYFUNCTION("""COMPUTED_VALUE"""),35.0)</f>
        <v>35</v>
      </c>
      <c r="W1393" s="97" t="str">
        <f>IFERROR(__xludf.DUMMYFUNCTION("""COMPUTED_VALUE"""),"&lt; 16")</f>
        <v>&lt; 16</v>
      </c>
      <c r="X1393" s="97">
        <f>IFERROR(__xludf.DUMMYFUNCTION("""COMPUTED_VALUE"""),3000.0)</f>
        <v>3000</v>
      </c>
      <c r="Y1393" s="97" t="str">
        <f>IFERROR(__xludf.DUMMYFUNCTION("""COMPUTED_VALUE"""),"&gt;90")</f>
        <v>&gt;90</v>
      </c>
      <c r="Z1393" s="97" t="str">
        <f>IFERROR(__xludf.DUMMYFUNCTION("""COMPUTED_VALUE"""),"-")</f>
        <v>-</v>
      </c>
      <c r="AA1393" s="97" t="str">
        <f>IFERROR(__xludf.DUMMYFUNCTION("""COMPUTED_VALUE"""),"-")</f>
        <v>-</v>
      </c>
      <c r="AB1393" s="97" t="str">
        <f>IFERROR(__xludf.DUMMYFUNCTION("""COMPUTED_VALUE"""),"&lt; 3")</f>
        <v>&lt; 3</v>
      </c>
      <c r="AC1393" s="97">
        <f>IFERROR(__xludf.DUMMYFUNCTION("""COMPUTED_VALUE"""),-0.00353)</f>
        <v>-0.00353</v>
      </c>
      <c r="AD1393" s="97" t="str">
        <f>IFERROR(__xludf.DUMMYFUNCTION("""COMPUTED_VALUE"""),"IP20")</f>
        <v>IP20</v>
      </c>
      <c r="AE1393" s="97"/>
      <c r="AF1393" s="97" t="str">
        <f>IFERROR(__xludf.DUMMYFUNCTION("""COMPUTED_VALUE"""),"Embutir")</f>
        <v>Embutir</v>
      </c>
      <c r="AG1393" s="97" t="str">
        <f>IFERROR(__xludf.DUMMYFUNCTION("""COMPUTED_VALUE"""),"109 x 20 x 19")</f>
        <v>109 x 20 x 19</v>
      </c>
      <c r="AH1393" s="97" t="str">
        <f>IFERROR(__xludf.DUMMYFUNCTION("""COMPUTED_VALUE"""),"102 x 15")</f>
        <v>102 x 15</v>
      </c>
      <c r="AI1393" s="97"/>
      <c r="AJ1393" s="97" t="str">
        <f>IFERROR(__xludf.DUMMYFUNCTION("""COMPUTED_VALUE"""),"PMMA")</f>
        <v>PMMA</v>
      </c>
      <c r="AK1393" s="97" t="str">
        <f>IFERROR(__xludf.DUMMYFUNCTION("""COMPUTED_VALUE"""),"Aluminio")</f>
        <v>Aluminio</v>
      </c>
      <c r="AL1393" s="97" t="str">
        <f>IFERROR(__xludf.DUMMYFUNCTION("""COMPUTED_VALUE"""),"Blanco Satinado")</f>
        <v>Blanco Satinado</v>
      </c>
      <c r="AM1393" s="97"/>
      <c r="AN1393" s="97" t="str">
        <f>IFERROR(__xludf.DUMMYFUNCTION("""COMPUTED_VALUE"""),"25.000hs (L70)")</f>
        <v>25.000hs (L70)</v>
      </c>
      <c r="AO1393" s="97" t="str">
        <f>IFERROR(__xludf.DUMMYFUNCTION("""COMPUTED_VALUE"""),"2 Años")</f>
        <v>2 Años</v>
      </c>
      <c r="AP1393" s="97" t="str">
        <f>IFERROR(__xludf.DUMMYFUNCTION("""COMPUTED_VALUE"""),"Disponible")</f>
        <v>Disponible</v>
      </c>
      <c r="AQ1393" s="97" t="str">
        <f>IFERROR(__xludf.DUMMYFUNCTION("""COMPUTED_VALUE"""),"Disponible")</f>
        <v>Disponible</v>
      </c>
      <c r="AR1393" s="97" t="str">
        <f>IFERROR(__xludf.DUMMYFUNCTION("""COMPUTED_VALUE"""),"Disponible")</f>
        <v>Disponible</v>
      </c>
      <c r="AS1393" s="97" t="str">
        <f>IFERROR(__xludf.DUMMYFUNCTION("""COMPUTED_VALUE"""),"Falta")</f>
        <v>Falta</v>
      </c>
      <c r="AT1393" s="97" t="str">
        <f>IFERROR(__xludf.DUMMYFUNCTION("""COMPUTED_VALUE"""),"Falta")</f>
        <v>Falta</v>
      </c>
      <c r="AU1393" s="97" t="str">
        <f>IFERROR(__xludf.DUMMYFUNCTION("""COMPUTED_VALUE"""),"Falta")</f>
        <v>Falta</v>
      </c>
      <c r="AV1393" s="97" t="str">
        <f>IFERROR(__xludf.DUMMYFUNCTION("""COMPUTED_VALUE"""),"Empotrable")</f>
        <v>Empotrable</v>
      </c>
      <c r="AW1393" s="97" t="str">
        <f>IFERROR(__xludf.DUMMYFUNCTION("""COMPUTED_VALUE"""),"De Techo")</f>
        <v>De Techo</v>
      </c>
      <c r="AX1393" s="97" t="str">
        <f>IFERROR(__xludf.DUMMYFUNCTION("""COMPUTED_VALUE"""),"Interior")</f>
        <v>Interior</v>
      </c>
      <c r="AY1393" s="97" t="str">
        <f>IFERROR(__xludf.DUMMYFUNCTION("""COMPUTED_VALUE"""),"Pocket")</f>
        <v>Pocket</v>
      </c>
      <c r="AZ1393" s="97"/>
      <c r="BA1393" s="97"/>
      <c r="BB1393" s="97"/>
      <c r="BC1393" s="97"/>
      <c r="BD1393" s="97" t="str">
        <f>IFERROR(__xludf.DUMMYFUNCTION("""COMPUTED_VALUE"""),"MINI POCKET")</f>
        <v>MINI POCKET</v>
      </c>
      <c r="BE1393" s="97" t="str">
        <f>IFERROR(__xludf.DUMMYFUNCTION("""COMPUTED_VALUE"""),"Solicitada")</f>
        <v>Solicitada</v>
      </c>
      <c r="BF1393" s="97"/>
      <c r="BG1393" s="97" t="str">
        <f>IFERROR(__xludf.DUMMYFUNCTION("""COMPUTED_VALUE"""),"REPO 7")</f>
        <v>REPO 7</v>
      </c>
    </row>
    <row r="1394">
      <c r="A1394" s="97">
        <f>IFERROR(__xludf.DUMMYFUNCTION("""COMPUTED_VALUE"""),7494.0)</f>
        <v>7494</v>
      </c>
      <c r="B1394" s="97" t="str">
        <f>IFERROR(__xludf.DUMMYFUNCTION("""COMPUTED_VALUE"""),"MINI POCKET VI BLNG 2700K")</f>
        <v>MINI POCKET VI BLNG 2700K</v>
      </c>
      <c r="C1394" s="97" t="str">
        <f>IFERROR(__xludf.DUMMYFUNCTION("""COMPUTED_VALUE"""),"EMPOTRABLE MINI POCKET VI BLNG 2700K 5W 2700K 220LM CRI&gt;90 IP20 LEUK")</f>
        <v>EMPOTRABLE MINI POCKET VI BLNG 2700K 5W 2700K 220LM CRI&gt;90 IP20 LEUK</v>
      </c>
      <c r="D1394" s="97">
        <f>IFERROR(__xludf.DUMMYFUNCTION("""COMPUTED_VALUE"""),7.798413228861E12)</f>
        <v>7798413228861</v>
      </c>
      <c r="E1394" s="97" t="str">
        <f>IFERROR(__xludf.DUMMYFUNCTION("""COMPUTED_VALUE"""),"F76")</f>
        <v>F76</v>
      </c>
      <c r="F1394" s="97" t="str">
        <f>IFERROR(__xludf.DUMMYFUNCTION("""COMPUTED_VALUE"""),"LED integrado")</f>
        <v>LED integrado</v>
      </c>
      <c r="G1394" s="97" t="str">
        <f>IFERROR(__xludf.DUMMYFUNCTION("""COMPUTED_VALUE"""),"-")</f>
        <v>-</v>
      </c>
      <c r="H1394" s="97"/>
      <c r="I1394" s="97"/>
      <c r="J1394" s="97"/>
      <c r="K1394" s="97" t="str">
        <f>IFERROR(__xludf.DUMMYFUNCTION("""COMPUTED_VALUE"""),"ON/OFF")</f>
        <v>ON/OFF</v>
      </c>
      <c r="L1394" s="97" t="str">
        <f>IFERROR(__xludf.DUMMYFUNCTION("""COMPUTED_VALUE"""),"200-240")</f>
        <v>200-240</v>
      </c>
      <c r="M1394" s="97" t="str">
        <f>IFERROR(__xludf.DUMMYFUNCTION("""COMPUTED_VALUE"""),"50/60")</f>
        <v>50/60</v>
      </c>
      <c r="N1394" s="97" t="str">
        <f>IFERROR(__xludf.DUMMYFUNCTION("""COMPUTED_VALUE"""),"Directa")</f>
        <v>Directa</v>
      </c>
      <c r="O1394" s="97">
        <f>IFERROR(__xludf.DUMMYFUNCTION("""COMPUTED_VALUE"""),5.0)</f>
        <v>5</v>
      </c>
      <c r="P1394" s="97">
        <f>IFERROR(__xludf.DUMMYFUNCTION("""COMPUTED_VALUE"""),5.08)</f>
        <v>5.08</v>
      </c>
      <c r="Q1394" s="97">
        <f>IFERROR(__xludf.DUMMYFUNCTION("""COMPUTED_VALUE"""),0.5)</f>
        <v>0.5</v>
      </c>
      <c r="R1394" s="97" t="str">
        <f>IFERROR(__xludf.DUMMYFUNCTION("""COMPUTED_VALUE"""),"-")</f>
        <v>-</v>
      </c>
      <c r="S1394" s="97" t="str">
        <f>IFERROR(__xludf.DUMMYFUNCTION("""COMPUTED_VALUE"""),"-")</f>
        <v>-</v>
      </c>
      <c r="T1394" s="99">
        <f>IFERROR(__xludf.DUMMYFUNCTION("""COMPUTED_VALUE"""),220.0)</f>
        <v>220</v>
      </c>
      <c r="U1394" s="97">
        <f>IFERROR(__xludf.DUMMYFUNCTION("""COMPUTED_VALUE"""),44.0)</f>
        <v>44</v>
      </c>
      <c r="V1394" s="97">
        <f>IFERROR(__xludf.DUMMYFUNCTION("""COMPUTED_VALUE"""),35.0)</f>
        <v>35</v>
      </c>
      <c r="W1394" s="97" t="str">
        <f>IFERROR(__xludf.DUMMYFUNCTION("""COMPUTED_VALUE"""),"&lt; 16")</f>
        <v>&lt; 16</v>
      </c>
      <c r="X1394" s="97">
        <f>IFERROR(__xludf.DUMMYFUNCTION("""COMPUTED_VALUE"""),2700.0)</f>
        <v>2700</v>
      </c>
      <c r="Y1394" s="97" t="str">
        <f>IFERROR(__xludf.DUMMYFUNCTION("""COMPUTED_VALUE"""),"&gt;90")</f>
        <v>&gt;90</v>
      </c>
      <c r="Z1394" s="97" t="str">
        <f>IFERROR(__xludf.DUMMYFUNCTION("""COMPUTED_VALUE"""),"-")</f>
        <v>-</v>
      </c>
      <c r="AA1394" s="97" t="str">
        <f>IFERROR(__xludf.DUMMYFUNCTION("""COMPUTED_VALUE"""),"-")</f>
        <v>-</v>
      </c>
      <c r="AB1394" s="97" t="str">
        <f>IFERROR(__xludf.DUMMYFUNCTION("""COMPUTED_VALUE"""),"&lt; 3")</f>
        <v>&lt; 3</v>
      </c>
      <c r="AC1394" s="97">
        <f>IFERROR(__xludf.DUMMYFUNCTION("""COMPUTED_VALUE"""),5.0E-5)</f>
        <v>0.00005</v>
      </c>
      <c r="AD1394" s="97" t="str">
        <f>IFERROR(__xludf.DUMMYFUNCTION("""COMPUTED_VALUE"""),"IP20")</f>
        <v>IP20</v>
      </c>
      <c r="AE1394" s="97"/>
      <c r="AF1394" s="97" t="str">
        <f>IFERROR(__xludf.DUMMYFUNCTION("""COMPUTED_VALUE"""),"Embutir")</f>
        <v>Embutir</v>
      </c>
      <c r="AG1394" s="97" t="str">
        <f>IFERROR(__xludf.DUMMYFUNCTION("""COMPUTED_VALUE"""),"109 x 20 x 19")</f>
        <v>109 x 20 x 19</v>
      </c>
      <c r="AH1394" s="97" t="str">
        <f>IFERROR(__xludf.DUMMYFUNCTION("""COMPUTED_VALUE"""),"102 x 15")</f>
        <v>102 x 15</v>
      </c>
      <c r="AI1394" s="97"/>
      <c r="AJ1394" s="97" t="str">
        <f>IFERROR(__xludf.DUMMYFUNCTION("""COMPUTED_VALUE"""),"PMMA")</f>
        <v>PMMA</v>
      </c>
      <c r="AK1394" s="97" t="str">
        <f>IFERROR(__xludf.DUMMYFUNCTION("""COMPUTED_VALUE"""),"Aluminio")</f>
        <v>Aluminio</v>
      </c>
      <c r="AL1394" s="97" t="str">
        <f>IFERROR(__xludf.DUMMYFUNCTION("""COMPUTED_VALUE"""),"Blanco y Negro")</f>
        <v>Blanco y Negro</v>
      </c>
      <c r="AM1394" s="97"/>
      <c r="AN1394" s="97" t="str">
        <f>IFERROR(__xludf.DUMMYFUNCTION("""COMPUTED_VALUE"""),"25.000hs (L70)")</f>
        <v>25.000hs (L70)</v>
      </c>
      <c r="AO1394" s="97" t="str">
        <f>IFERROR(__xludf.DUMMYFUNCTION("""COMPUTED_VALUE"""),"2 Años")</f>
        <v>2 Años</v>
      </c>
      <c r="AP1394" s="97" t="str">
        <f>IFERROR(__xludf.DUMMYFUNCTION("""COMPUTED_VALUE"""),"Disponible")</f>
        <v>Disponible</v>
      </c>
      <c r="AQ1394" s="97" t="str">
        <f>IFERROR(__xludf.DUMMYFUNCTION("""COMPUTED_VALUE"""),"Disponible")</f>
        <v>Disponible</v>
      </c>
      <c r="AR1394" s="97" t="str">
        <f>IFERROR(__xludf.DUMMYFUNCTION("""COMPUTED_VALUE"""),"Disponible")</f>
        <v>Disponible</v>
      </c>
      <c r="AS1394" s="97" t="str">
        <f>IFERROR(__xludf.DUMMYFUNCTION("""COMPUTED_VALUE"""),"Falta")</f>
        <v>Falta</v>
      </c>
      <c r="AT1394" s="97" t="str">
        <f>IFERROR(__xludf.DUMMYFUNCTION("""COMPUTED_VALUE"""),"Falta")</f>
        <v>Falta</v>
      </c>
      <c r="AU1394" s="97" t="str">
        <f>IFERROR(__xludf.DUMMYFUNCTION("""COMPUTED_VALUE"""),"Falta")</f>
        <v>Falta</v>
      </c>
      <c r="AV1394" s="97" t="str">
        <f>IFERROR(__xludf.DUMMYFUNCTION("""COMPUTED_VALUE"""),"Empotrable")</f>
        <v>Empotrable</v>
      </c>
      <c r="AW1394" s="97" t="str">
        <f>IFERROR(__xludf.DUMMYFUNCTION("""COMPUTED_VALUE"""),"De Techo")</f>
        <v>De Techo</v>
      </c>
      <c r="AX1394" s="97" t="str">
        <f>IFERROR(__xludf.DUMMYFUNCTION("""COMPUTED_VALUE"""),"Interior")</f>
        <v>Interior</v>
      </c>
      <c r="AY1394" s="97" t="str">
        <f>IFERROR(__xludf.DUMMYFUNCTION("""COMPUTED_VALUE"""),"Pocket")</f>
        <v>Pocket</v>
      </c>
      <c r="AZ1394" s="97"/>
      <c r="BA1394" s="97"/>
      <c r="BB1394" s="97"/>
      <c r="BC1394" s="97"/>
      <c r="BD1394" s="97" t="str">
        <f>IFERROR(__xludf.DUMMYFUNCTION("""COMPUTED_VALUE"""),"MINI POCKET")</f>
        <v>MINI POCKET</v>
      </c>
      <c r="BE1394" s="97" t="str">
        <f>IFERROR(__xludf.DUMMYFUNCTION("""COMPUTED_VALUE"""),"Solicitada")</f>
        <v>Solicitada</v>
      </c>
      <c r="BF1394" s="97"/>
      <c r="BG1394" s="97" t="str">
        <f>IFERROR(__xludf.DUMMYFUNCTION("""COMPUTED_VALUE"""),"REPO 7")</f>
        <v>REPO 7</v>
      </c>
    </row>
    <row r="1395">
      <c r="A1395" s="97">
        <f>IFERROR(__xludf.DUMMYFUNCTION("""COMPUTED_VALUE"""),7495.0)</f>
        <v>7495</v>
      </c>
      <c r="B1395" s="97" t="str">
        <f>IFERROR(__xludf.DUMMYFUNCTION("""COMPUTED_VALUE"""),"MINI POCKET VI BLBL 2700K")</f>
        <v>MINI POCKET VI BLBL 2700K</v>
      </c>
      <c r="C1395" s="97" t="str">
        <f>IFERROR(__xludf.DUMMYFUNCTION("""COMPUTED_VALUE"""),"EMPOTRABLE MINI POCKET VI BLBL 2700K 5W 2700K 220LM CRI&gt;90 IP20 LEUK")</f>
        <v>EMPOTRABLE MINI POCKET VI BLBL 2700K 5W 2700K 220LM CRI&gt;90 IP20 LEUK</v>
      </c>
      <c r="D1395" s="97">
        <f>IFERROR(__xludf.DUMMYFUNCTION("""COMPUTED_VALUE"""),7.798413228878E12)</f>
        <v>7798413228878</v>
      </c>
      <c r="E1395" s="97" t="str">
        <f>IFERROR(__xludf.DUMMYFUNCTION("""COMPUTED_VALUE"""),"F76")</f>
        <v>F76</v>
      </c>
      <c r="F1395" s="97" t="str">
        <f>IFERROR(__xludf.DUMMYFUNCTION("""COMPUTED_VALUE"""),"LED integrado")</f>
        <v>LED integrado</v>
      </c>
      <c r="G1395" s="97" t="str">
        <f>IFERROR(__xludf.DUMMYFUNCTION("""COMPUTED_VALUE"""),"-")</f>
        <v>-</v>
      </c>
      <c r="H1395" s="97"/>
      <c r="I1395" s="97"/>
      <c r="J1395" s="97"/>
      <c r="K1395" s="97" t="str">
        <f>IFERROR(__xludf.DUMMYFUNCTION("""COMPUTED_VALUE"""),"ON/OFF")</f>
        <v>ON/OFF</v>
      </c>
      <c r="L1395" s="97" t="str">
        <f>IFERROR(__xludf.DUMMYFUNCTION("""COMPUTED_VALUE"""),"200-240")</f>
        <v>200-240</v>
      </c>
      <c r="M1395" s="97" t="str">
        <f>IFERROR(__xludf.DUMMYFUNCTION("""COMPUTED_VALUE"""),"50/60")</f>
        <v>50/60</v>
      </c>
      <c r="N1395" s="97" t="str">
        <f>IFERROR(__xludf.DUMMYFUNCTION("""COMPUTED_VALUE"""),"Directa")</f>
        <v>Directa</v>
      </c>
      <c r="O1395" s="97">
        <f>IFERROR(__xludf.DUMMYFUNCTION("""COMPUTED_VALUE"""),5.0)</f>
        <v>5</v>
      </c>
      <c r="P1395" s="97">
        <f>IFERROR(__xludf.DUMMYFUNCTION("""COMPUTED_VALUE"""),5.08)</f>
        <v>5.08</v>
      </c>
      <c r="Q1395" s="97">
        <f>IFERROR(__xludf.DUMMYFUNCTION("""COMPUTED_VALUE"""),0.5)</f>
        <v>0.5</v>
      </c>
      <c r="R1395" s="97" t="str">
        <f>IFERROR(__xludf.DUMMYFUNCTION("""COMPUTED_VALUE"""),"-")</f>
        <v>-</v>
      </c>
      <c r="S1395" s="97" t="str">
        <f>IFERROR(__xludf.DUMMYFUNCTION("""COMPUTED_VALUE"""),"-")</f>
        <v>-</v>
      </c>
      <c r="T1395" s="99">
        <f>IFERROR(__xludf.DUMMYFUNCTION("""COMPUTED_VALUE"""),220.0)</f>
        <v>220</v>
      </c>
      <c r="U1395" s="97">
        <f>IFERROR(__xludf.DUMMYFUNCTION("""COMPUTED_VALUE"""),44.0)</f>
        <v>44</v>
      </c>
      <c r="V1395" s="97">
        <f>IFERROR(__xludf.DUMMYFUNCTION("""COMPUTED_VALUE"""),35.0)</f>
        <v>35</v>
      </c>
      <c r="W1395" s="97" t="str">
        <f>IFERROR(__xludf.DUMMYFUNCTION("""COMPUTED_VALUE"""),"&lt; 16")</f>
        <v>&lt; 16</v>
      </c>
      <c r="X1395" s="97">
        <f>IFERROR(__xludf.DUMMYFUNCTION("""COMPUTED_VALUE"""),2700.0)</f>
        <v>2700</v>
      </c>
      <c r="Y1395" s="97" t="str">
        <f>IFERROR(__xludf.DUMMYFUNCTION("""COMPUTED_VALUE"""),"&gt;90")</f>
        <v>&gt;90</v>
      </c>
      <c r="Z1395" s="97" t="str">
        <f>IFERROR(__xludf.DUMMYFUNCTION("""COMPUTED_VALUE"""),"-")</f>
        <v>-</v>
      </c>
      <c r="AA1395" s="97" t="str">
        <f>IFERROR(__xludf.DUMMYFUNCTION("""COMPUTED_VALUE"""),"-")</f>
        <v>-</v>
      </c>
      <c r="AB1395" s="97" t="str">
        <f>IFERROR(__xludf.DUMMYFUNCTION("""COMPUTED_VALUE"""),"&lt; 3")</f>
        <v>&lt; 3</v>
      </c>
      <c r="AC1395" s="97">
        <f>IFERROR(__xludf.DUMMYFUNCTION("""COMPUTED_VALUE"""),3.9E-4)</f>
        <v>0.00039</v>
      </c>
      <c r="AD1395" s="97" t="str">
        <f>IFERROR(__xludf.DUMMYFUNCTION("""COMPUTED_VALUE"""),"IP20")</f>
        <v>IP20</v>
      </c>
      <c r="AE1395" s="97"/>
      <c r="AF1395" s="97" t="str">
        <f>IFERROR(__xludf.DUMMYFUNCTION("""COMPUTED_VALUE"""),"Embutir")</f>
        <v>Embutir</v>
      </c>
      <c r="AG1395" s="97" t="str">
        <f>IFERROR(__xludf.DUMMYFUNCTION("""COMPUTED_VALUE"""),"109 x 20 x 19")</f>
        <v>109 x 20 x 19</v>
      </c>
      <c r="AH1395" s="97" t="str">
        <f>IFERROR(__xludf.DUMMYFUNCTION("""COMPUTED_VALUE"""),"102 x 15")</f>
        <v>102 x 15</v>
      </c>
      <c r="AI1395" s="97"/>
      <c r="AJ1395" s="97" t="str">
        <f>IFERROR(__xludf.DUMMYFUNCTION("""COMPUTED_VALUE"""),"PMMA")</f>
        <v>PMMA</v>
      </c>
      <c r="AK1395" s="97" t="str">
        <f>IFERROR(__xludf.DUMMYFUNCTION("""COMPUTED_VALUE"""),"Aluminio")</f>
        <v>Aluminio</v>
      </c>
      <c r="AL1395" s="97" t="str">
        <f>IFERROR(__xludf.DUMMYFUNCTION("""COMPUTED_VALUE"""),"Blanco Satinado")</f>
        <v>Blanco Satinado</v>
      </c>
      <c r="AM1395" s="97"/>
      <c r="AN1395" s="97" t="str">
        <f>IFERROR(__xludf.DUMMYFUNCTION("""COMPUTED_VALUE"""),"25.000hs (L70)")</f>
        <v>25.000hs (L70)</v>
      </c>
      <c r="AO1395" s="97" t="str">
        <f>IFERROR(__xludf.DUMMYFUNCTION("""COMPUTED_VALUE"""),"2 Años")</f>
        <v>2 Años</v>
      </c>
      <c r="AP1395" s="97" t="str">
        <f>IFERROR(__xludf.DUMMYFUNCTION("""COMPUTED_VALUE"""),"Disponible")</f>
        <v>Disponible</v>
      </c>
      <c r="AQ1395" s="97" t="str">
        <f>IFERROR(__xludf.DUMMYFUNCTION("""COMPUTED_VALUE"""),"Disponible")</f>
        <v>Disponible</v>
      </c>
      <c r="AR1395" s="97" t="str">
        <f>IFERROR(__xludf.DUMMYFUNCTION("""COMPUTED_VALUE"""),"Disponible")</f>
        <v>Disponible</v>
      </c>
      <c r="AS1395" s="97" t="str">
        <f>IFERROR(__xludf.DUMMYFUNCTION("""COMPUTED_VALUE"""),"Falta")</f>
        <v>Falta</v>
      </c>
      <c r="AT1395" s="97" t="str">
        <f>IFERROR(__xludf.DUMMYFUNCTION("""COMPUTED_VALUE"""),"Falta")</f>
        <v>Falta</v>
      </c>
      <c r="AU1395" s="97" t="str">
        <f>IFERROR(__xludf.DUMMYFUNCTION("""COMPUTED_VALUE"""),"Falta")</f>
        <v>Falta</v>
      </c>
      <c r="AV1395" s="97" t="str">
        <f>IFERROR(__xludf.DUMMYFUNCTION("""COMPUTED_VALUE"""),"Empotrable")</f>
        <v>Empotrable</v>
      </c>
      <c r="AW1395" s="97" t="str">
        <f>IFERROR(__xludf.DUMMYFUNCTION("""COMPUTED_VALUE"""),"De Techo")</f>
        <v>De Techo</v>
      </c>
      <c r="AX1395" s="97" t="str">
        <f>IFERROR(__xludf.DUMMYFUNCTION("""COMPUTED_VALUE"""),"Interior")</f>
        <v>Interior</v>
      </c>
      <c r="AY1395" s="97" t="str">
        <f>IFERROR(__xludf.DUMMYFUNCTION("""COMPUTED_VALUE"""),"Pocket")</f>
        <v>Pocket</v>
      </c>
      <c r="AZ1395" s="97"/>
      <c r="BA1395" s="97"/>
      <c r="BB1395" s="97"/>
      <c r="BC1395" s="97"/>
      <c r="BD1395" s="97" t="str">
        <f>IFERROR(__xludf.DUMMYFUNCTION("""COMPUTED_VALUE"""),"MINI POCKET")</f>
        <v>MINI POCKET</v>
      </c>
      <c r="BE1395" s="97" t="str">
        <f>IFERROR(__xludf.DUMMYFUNCTION("""COMPUTED_VALUE"""),"Solicitada")</f>
        <v>Solicitada</v>
      </c>
      <c r="BF1395" s="97"/>
      <c r="BG1395" s="97" t="str">
        <f>IFERROR(__xludf.DUMMYFUNCTION("""COMPUTED_VALUE"""),"REPO 7")</f>
        <v>REPO 7</v>
      </c>
    </row>
    <row r="1396">
      <c r="A1396" s="97">
        <f>IFERROR(__xludf.DUMMYFUNCTION("""COMPUTED_VALUE"""),7496.0)</f>
        <v>7496</v>
      </c>
      <c r="B1396" s="97" t="str">
        <f>IFERROR(__xludf.DUMMYFUNCTION("""COMPUTED_VALUE"""),"MINI POCKET XII BLNG 3000K")</f>
        <v>MINI POCKET XII BLNG 3000K</v>
      </c>
      <c r="C1396" s="97" t="str">
        <f>IFERROR(__xludf.DUMMYFUNCTION("""COMPUTED_VALUE"""),"EMPOTRABLE MINI POCKET XII BLNG 3000K 10W 3000K 445LM CRI&gt;90 IP20 LEUK")</f>
        <v>EMPOTRABLE MINI POCKET XII BLNG 3000K 10W 3000K 445LM CRI&gt;90 IP20 LEUK</v>
      </c>
      <c r="D1396" s="97">
        <f>IFERROR(__xludf.DUMMYFUNCTION("""COMPUTED_VALUE"""),7.798413228885E12)</f>
        <v>7798413228885</v>
      </c>
      <c r="E1396" s="97" t="str">
        <f>IFERROR(__xludf.DUMMYFUNCTION("""COMPUTED_VALUE"""),"F62")</f>
        <v>F62</v>
      </c>
      <c r="F1396" s="97" t="str">
        <f>IFERROR(__xludf.DUMMYFUNCTION("""COMPUTED_VALUE"""),"LED integrado")</f>
        <v>LED integrado</v>
      </c>
      <c r="G1396" s="97" t="str">
        <f>IFERROR(__xludf.DUMMYFUNCTION("""COMPUTED_VALUE"""),"-")</f>
        <v>-</v>
      </c>
      <c r="H1396" s="97"/>
      <c r="I1396" s="97"/>
      <c r="J1396" s="97"/>
      <c r="K1396" s="97" t="str">
        <f>IFERROR(__xludf.DUMMYFUNCTION("""COMPUTED_VALUE"""),"ON/OFF")</f>
        <v>ON/OFF</v>
      </c>
      <c r="L1396" s="97" t="str">
        <f>IFERROR(__xludf.DUMMYFUNCTION("""COMPUTED_VALUE"""),"200-240")</f>
        <v>200-240</v>
      </c>
      <c r="M1396" s="97" t="str">
        <f>IFERROR(__xludf.DUMMYFUNCTION("""COMPUTED_VALUE"""),"50/60")</f>
        <v>50/60</v>
      </c>
      <c r="N1396" s="97" t="str">
        <f>IFERROR(__xludf.DUMMYFUNCTION("""COMPUTED_VALUE"""),"Directa")</f>
        <v>Directa</v>
      </c>
      <c r="O1396" s="97">
        <f>IFERROR(__xludf.DUMMYFUNCTION("""COMPUTED_VALUE"""),10.0)</f>
        <v>10</v>
      </c>
      <c r="P1396" s="97">
        <f>IFERROR(__xludf.DUMMYFUNCTION("""COMPUTED_VALUE"""),9.62)</f>
        <v>9.62</v>
      </c>
      <c r="Q1396" s="97">
        <f>IFERROR(__xludf.DUMMYFUNCTION("""COMPUTED_VALUE"""),0.5)</f>
        <v>0.5</v>
      </c>
      <c r="R1396" s="97" t="str">
        <f>IFERROR(__xludf.DUMMYFUNCTION("""COMPUTED_VALUE"""),"-")</f>
        <v>-</v>
      </c>
      <c r="S1396" s="97" t="str">
        <f>IFERROR(__xludf.DUMMYFUNCTION("""COMPUTED_VALUE"""),"-")</f>
        <v>-</v>
      </c>
      <c r="T1396" s="99">
        <f>IFERROR(__xludf.DUMMYFUNCTION("""COMPUTED_VALUE"""),445.0)</f>
        <v>445</v>
      </c>
      <c r="U1396" s="99">
        <f>IFERROR(__xludf.DUMMYFUNCTION("""COMPUTED_VALUE"""),44.5)</f>
        <v>44.5</v>
      </c>
      <c r="V1396" s="97">
        <f>IFERROR(__xludf.DUMMYFUNCTION("""COMPUTED_VALUE"""),35.0)</f>
        <v>35</v>
      </c>
      <c r="W1396" s="97" t="str">
        <f>IFERROR(__xludf.DUMMYFUNCTION("""COMPUTED_VALUE"""),"&lt; 16")</f>
        <v>&lt; 16</v>
      </c>
      <c r="X1396" s="97">
        <f>IFERROR(__xludf.DUMMYFUNCTION("""COMPUTED_VALUE"""),3000.0)</f>
        <v>3000</v>
      </c>
      <c r="Y1396" s="97" t="str">
        <f>IFERROR(__xludf.DUMMYFUNCTION("""COMPUTED_VALUE"""),"&gt;90")</f>
        <v>&gt;90</v>
      </c>
      <c r="Z1396" s="97" t="str">
        <f>IFERROR(__xludf.DUMMYFUNCTION("""COMPUTED_VALUE"""),"-")</f>
        <v>-</v>
      </c>
      <c r="AA1396" s="97" t="str">
        <f>IFERROR(__xludf.DUMMYFUNCTION("""COMPUTED_VALUE"""),"-")</f>
        <v>-</v>
      </c>
      <c r="AB1396" s="97" t="str">
        <f>IFERROR(__xludf.DUMMYFUNCTION("""COMPUTED_VALUE"""),"&lt; 3")</f>
        <v>&lt; 3</v>
      </c>
      <c r="AC1396" s="97">
        <f>IFERROR(__xludf.DUMMYFUNCTION("""COMPUTED_VALUE"""),-0.00337)</f>
        <v>-0.00337</v>
      </c>
      <c r="AD1396" s="97" t="str">
        <f>IFERROR(__xludf.DUMMYFUNCTION("""COMPUTED_VALUE"""),"IP20")</f>
        <v>IP20</v>
      </c>
      <c r="AE1396" s="97"/>
      <c r="AF1396" s="97" t="str">
        <f>IFERROR(__xludf.DUMMYFUNCTION("""COMPUTED_VALUE"""),"Embutir")</f>
        <v>Embutir</v>
      </c>
      <c r="AG1396" s="97" t="str">
        <f>IFERROR(__xludf.DUMMYFUNCTION("""COMPUTED_VALUE"""),"204 x 20 x 19")</f>
        <v>204 x 20 x 19</v>
      </c>
      <c r="AH1396" s="97" t="str">
        <f>IFERROR(__xludf.DUMMYFUNCTION("""COMPUTED_VALUE"""),"195 x 15")</f>
        <v>195 x 15</v>
      </c>
      <c r="AI1396" s="97"/>
      <c r="AJ1396" s="97" t="str">
        <f>IFERROR(__xludf.DUMMYFUNCTION("""COMPUTED_VALUE"""),"PMMA")</f>
        <v>PMMA</v>
      </c>
      <c r="AK1396" s="97" t="str">
        <f>IFERROR(__xludf.DUMMYFUNCTION("""COMPUTED_VALUE"""),"Aluminio")</f>
        <v>Aluminio</v>
      </c>
      <c r="AL1396" s="97" t="str">
        <f>IFERROR(__xludf.DUMMYFUNCTION("""COMPUTED_VALUE"""),"Blanco y Negro")</f>
        <v>Blanco y Negro</v>
      </c>
      <c r="AM1396" s="97"/>
      <c r="AN1396" s="97" t="str">
        <f>IFERROR(__xludf.DUMMYFUNCTION("""COMPUTED_VALUE"""),"25.000hs (L70)")</f>
        <v>25.000hs (L70)</v>
      </c>
      <c r="AO1396" s="97" t="str">
        <f>IFERROR(__xludf.DUMMYFUNCTION("""COMPUTED_VALUE"""),"2 Años")</f>
        <v>2 Años</v>
      </c>
      <c r="AP1396" s="97" t="str">
        <f>IFERROR(__xludf.DUMMYFUNCTION("""COMPUTED_VALUE"""),"Disponible")</f>
        <v>Disponible</v>
      </c>
      <c r="AQ1396" s="97" t="str">
        <f>IFERROR(__xludf.DUMMYFUNCTION("""COMPUTED_VALUE"""),"Disponible")</f>
        <v>Disponible</v>
      </c>
      <c r="AR1396" s="97" t="str">
        <f>IFERROR(__xludf.DUMMYFUNCTION("""COMPUTED_VALUE"""),"Disponible")</f>
        <v>Disponible</v>
      </c>
      <c r="AS1396" s="97" t="str">
        <f>IFERROR(__xludf.DUMMYFUNCTION("""COMPUTED_VALUE"""),"Falta")</f>
        <v>Falta</v>
      </c>
      <c r="AT1396" s="97" t="str">
        <f>IFERROR(__xludf.DUMMYFUNCTION("""COMPUTED_VALUE"""),"Falta")</f>
        <v>Falta</v>
      </c>
      <c r="AU1396" s="97" t="str">
        <f>IFERROR(__xludf.DUMMYFUNCTION("""COMPUTED_VALUE"""),"Falta")</f>
        <v>Falta</v>
      </c>
      <c r="AV1396" s="97" t="str">
        <f>IFERROR(__xludf.DUMMYFUNCTION("""COMPUTED_VALUE"""),"Empotrable")</f>
        <v>Empotrable</v>
      </c>
      <c r="AW1396" s="97" t="str">
        <f>IFERROR(__xludf.DUMMYFUNCTION("""COMPUTED_VALUE"""),"De Techo")</f>
        <v>De Techo</v>
      </c>
      <c r="AX1396" s="97" t="str">
        <f>IFERROR(__xludf.DUMMYFUNCTION("""COMPUTED_VALUE"""),"Interior")</f>
        <v>Interior</v>
      </c>
      <c r="AY1396" s="97" t="str">
        <f>IFERROR(__xludf.DUMMYFUNCTION("""COMPUTED_VALUE"""),"Pocket")</f>
        <v>Pocket</v>
      </c>
      <c r="AZ1396" s="97"/>
      <c r="BA1396" s="97"/>
      <c r="BB1396" s="97"/>
      <c r="BC1396" s="97"/>
      <c r="BD1396" s="97" t="str">
        <f>IFERROR(__xludf.DUMMYFUNCTION("""COMPUTED_VALUE"""),"MINI POCKET")</f>
        <v>MINI POCKET</v>
      </c>
      <c r="BE1396" s="97" t="str">
        <f>IFERROR(__xludf.DUMMYFUNCTION("""COMPUTED_VALUE"""),"Solicitada")</f>
        <v>Solicitada</v>
      </c>
      <c r="BF1396" s="97"/>
      <c r="BG1396" s="97" t="str">
        <f>IFERROR(__xludf.DUMMYFUNCTION("""COMPUTED_VALUE"""),"REPO 7")</f>
        <v>REPO 7</v>
      </c>
    </row>
    <row r="1397">
      <c r="A1397" s="97">
        <f>IFERROR(__xludf.DUMMYFUNCTION("""COMPUTED_VALUE"""),7497.0)</f>
        <v>7497</v>
      </c>
      <c r="B1397" s="97" t="str">
        <f>IFERROR(__xludf.DUMMYFUNCTION("""COMPUTED_VALUE"""),"MINI POCKET XII BLBL 3000K")</f>
        <v>MINI POCKET XII BLBL 3000K</v>
      </c>
      <c r="C1397" s="97" t="str">
        <f>IFERROR(__xludf.DUMMYFUNCTION("""COMPUTED_VALUE"""),"EMPOTRABLE MINI POCKET XII BLBL 3000K 10W 3000K 445LM CRI&gt;90 IP20 LEUK")</f>
        <v>EMPOTRABLE MINI POCKET XII BLBL 3000K 10W 3000K 445LM CRI&gt;90 IP20 LEUK</v>
      </c>
      <c r="D1397" s="97">
        <f>IFERROR(__xludf.DUMMYFUNCTION("""COMPUTED_VALUE"""),7.798413228892E12)</f>
        <v>7798413228892</v>
      </c>
      <c r="E1397" s="97" t="str">
        <f>IFERROR(__xludf.DUMMYFUNCTION("""COMPUTED_VALUE"""),"F62")</f>
        <v>F62</v>
      </c>
      <c r="F1397" s="97" t="str">
        <f>IFERROR(__xludf.DUMMYFUNCTION("""COMPUTED_VALUE"""),"LED integrado")</f>
        <v>LED integrado</v>
      </c>
      <c r="G1397" s="97" t="str">
        <f>IFERROR(__xludf.DUMMYFUNCTION("""COMPUTED_VALUE"""),"-")</f>
        <v>-</v>
      </c>
      <c r="H1397" s="97"/>
      <c r="I1397" s="97"/>
      <c r="J1397" s="97"/>
      <c r="K1397" s="97" t="str">
        <f>IFERROR(__xludf.DUMMYFUNCTION("""COMPUTED_VALUE"""),"ON/OFF")</f>
        <v>ON/OFF</v>
      </c>
      <c r="L1397" s="97" t="str">
        <f>IFERROR(__xludf.DUMMYFUNCTION("""COMPUTED_VALUE"""),"200-240")</f>
        <v>200-240</v>
      </c>
      <c r="M1397" s="97" t="str">
        <f>IFERROR(__xludf.DUMMYFUNCTION("""COMPUTED_VALUE"""),"50/60")</f>
        <v>50/60</v>
      </c>
      <c r="N1397" s="97" t="str">
        <f>IFERROR(__xludf.DUMMYFUNCTION("""COMPUTED_VALUE"""),"Directa")</f>
        <v>Directa</v>
      </c>
      <c r="O1397" s="97">
        <f>IFERROR(__xludf.DUMMYFUNCTION("""COMPUTED_VALUE"""),10.0)</f>
        <v>10</v>
      </c>
      <c r="P1397" s="97">
        <f>IFERROR(__xludf.DUMMYFUNCTION("""COMPUTED_VALUE"""),9.62)</f>
        <v>9.62</v>
      </c>
      <c r="Q1397" s="97">
        <f>IFERROR(__xludf.DUMMYFUNCTION("""COMPUTED_VALUE"""),0.5)</f>
        <v>0.5</v>
      </c>
      <c r="R1397" s="97" t="str">
        <f>IFERROR(__xludf.DUMMYFUNCTION("""COMPUTED_VALUE"""),"-")</f>
        <v>-</v>
      </c>
      <c r="S1397" s="97" t="str">
        <f>IFERROR(__xludf.DUMMYFUNCTION("""COMPUTED_VALUE"""),"-")</f>
        <v>-</v>
      </c>
      <c r="T1397" s="99">
        <f>IFERROR(__xludf.DUMMYFUNCTION("""COMPUTED_VALUE"""),445.0)</f>
        <v>445</v>
      </c>
      <c r="U1397" s="99">
        <f>IFERROR(__xludf.DUMMYFUNCTION("""COMPUTED_VALUE"""),44.5)</f>
        <v>44.5</v>
      </c>
      <c r="V1397" s="97">
        <f>IFERROR(__xludf.DUMMYFUNCTION("""COMPUTED_VALUE"""),35.0)</f>
        <v>35</v>
      </c>
      <c r="W1397" s="97" t="str">
        <f>IFERROR(__xludf.DUMMYFUNCTION("""COMPUTED_VALUE"""),"&lt; 16")</f>
        <v>&lt; 16</v>
      </c>
      <c r="X1397" s="97">
        <f>IFERROR(__xludf.DUMMYFUNCTION("""COMPUTED_VALUE"""),3000.0)</f>
        <v>3000</v>
      </c>
      <c r="Y1397" s="97" t="str">
        <f>IFERROR(__xludf.DUMMYFUNCTION("""COMPUTED_VALUE"""),"&gt;90")</f>
        <v>&gt;90</v>
      </c>
      <c r="Z1397" s="97" t="str">
        <f>IFERROR(__xludf.DUMMYFUNCTION("""COMPUTED_VALUE"""),"-")</f>
        <v>-</v>
      </c>
      <c r="AA1397" s="97" t="str">
        <f>IFERROR(__xludf.DUMMYFUNCTION("""COMPUTED_VALUE"""),"-")</f>
        <v>-</v>
      </c>
      <c r="AB1397" s="97" t="str">
        <f>IFERROR(__xludf.DUMMYFUNCTION("""COMPUTED_VALUE"""),"&lt; 3")</f>
        <v>&lt; 3</v>
      </c>
      <c r="AC1397" s="97">
        <f>IFERROR(__xludf.DUMMYFUNCTION("""COMPUTED_VALUE"""),-0.00288)</f>
        <v>-0.00288</v>
      </c>
      <c r="AD1397" s="97" t="str">
        <f>IFERROR(__xludf.DUMMYFUNCTION("""COMPUTED_VALUE"""),"IP20")</f>
        <v>IP20</v>
      </c>
      <c r="AE1397" s="97"/>
      <c r="AF1397" s="97" t="str">
        <f>IFERROR(__xludf.DUMMYFUNCTION("""COMPUTED_VALUE"""),"Embutir")</f>
        <v>Embutir</v>
      </c>
      <c r="AG1397" s="97" t="str">
        <f>IFERROR(__xludf.DUMMYFUNCTION("""COMPUTED_VALUE"""),"204 x 20 x 19")</f>
        <v>204 x 20 x 19</v>
      </c>
      <c r="AH1397" s="97" t="str">
        <f>IFERROR(__xludf.DUMMYFUNCTION("""COMPUTED_VALUE"""),"195 x 15")</f>
        <v>195 x 15</v>
      </c>
      <c r="AI1397" s="97"/>
      <c r="AJ1397" s="97" t="str">
        <f>IFERROR(__xludf.DUMMYFUNCTION("""COMPUTED_VALUE"""),"PMMA")</f>
        <v>PMMA</v>
      </c>
      <c r="AK1397" s="97" t="str">
        <f>IFERROR(__xludf.DUMMYFUNCTION("""COMPUTED_VALUE"""),"Aluminio")</f>
        <v>Aluminio</v>
      </c>
      <c r="AL1397" s="97" t="str">
        <f>IFERROR(__xludf.DUMMYFUNCTION("""COMPUTED_VALUE"""),"Blanco Satinado")</f>
        <v>Blanco Satinado</v>
      </c>
      <c r="AM1397" s="97"/>
      <c r="AN1397" s="97" t="str">
        <f>IFERROR(__xludf.DUMMYFUNCTION("""COMPUTED_VALUE"""),"25.000hs (L70)")</f>
        <v>25.000hs (L70)</v>
      </c>
      <c r="AO1397" s="97" t="str">
        <f>IFERROR(__xludf.DUMMYFUNCTION("""COMPUTED_VALUE"""),"2 Años")</f>
        <v>2 Años</v>
      </c>
      <c r="AP1397" s="97" t="str">
        <f>IFERROR(__xludf.DUMMYFUNCTION("""COMPUTED_VALUE"""),"Disponible")</f>
        <v>Disponible</v>
      </c>
      <c r="AQ1397" s="97" t="str">
        <f>IFERROR(__xludf.DUMMYFUNCTION("""COMPUTED_VALUE"""),"Disponible")</f>
        <v>Disponible</v>
      </c>
      <c r="AR1397" s="97" t="str">
        <f>IFERROR(__xludf.DUMMYFUNCTION("""COMPUTED_VALUE"""),"Disponible")</f>
        <v>Disponible</v>
      </c>
      <c r="AS1397" s="97" t="str">
        <f>IFERROR(__xludf.DUMMYFUNCTION("""COMPUTED_VALUE"""),"Falta")</f>
        <v>Falta</v>
      </c>
      <c r="AT1397" s="97" t="str">
        <f>IFERROR(__xludf.DUMMYFUNCTION("""COMPUTED_VALUE"""),"Falta")</f>
        <v>Falta</v>
      </c>
      <c r="AU1397" s="97" t="str">
        <f>IFERROR(__xludf.DUMMYFUNCTION("""COMPUTED_VALUE"""),"Falta")</f>
        <v>Falta</v>
      </c>
      <c r="AV1397" s="97" t="str">
        <f>IFERROR(__xludf.DUMMYFUNCTION("""COMPUTED_VALUE"""),"Empotrable")</f>
        <v>Empotrable</v>
      </c>
      <c r="AW1397" s="97" t="str">
        <f>IFERROR(__xludf.DUMMYFUNCTION("""COMPUTED_VALUE"""),"De Techo")</f>
        <v>De Techo</v>
      </c>
      <c r="AX1397" s="97" t="str">
        <f>IFERROR(__xludf.DUMMYFUNCTION("""COMPUTED_VALUE"""),"Interior")</f>
        <v>Interior</v>
      </c>
      <c r="AY1397" s="97" t="str">
        <f>IFERROR(__xludf.DUMMYFUNCTION("""COMPUTED_VALUE"""),"Pocket")</f>
        <v>Pocket</v>
      </c>
      <c r="AZ1397" s="97"/>
      <c r="BA1397" s="97"/>
      <c r="BB1397" s="97"/>
      <c r="BC1397" s="97"/>
      <c r="BD1397" s="97" t="str">
        <f>IFERROR(__xludf.DUMMYFUNCTION("""COMPUTED_VALUE"""),"MINI POCKET")</f>
        <v>MINI POCKET</v>
      </c>
      <c r="BE1397" s="97" t="str">
        <f>IFERROR(__xludf.DUMMYFUNCTION("""COMPUTED_VALUE"""),"Solicitada")</f>
        <v>Solicitada</v>
      </c>
      <c r="BF1397" s="97"/>
      <c r="BG1397" s="97" t="str">
        <f>IFERROR(__xludf.DUMMYFUNCTION("""COMPUTED_VALUE"""),"REPO 7")</f>
        <v>REPO 7</v>
      </c>
    </row>
    <row r="1398">
      <c r="A1398" s="97">
        <f>IFERROR(__xludf.DUMMYFUNCTION("""COMPUTED_VALUE"""),7498.0)</f>
        <v>7498</v>
      </c>
      <c r="B1398" s="97" t="str">
        <f>IFERROR(__xludf.DUMMYFUNCTION("""COMPUTED_VALUE"""),"MINI POCKET XII BLNG 2700K")</f>
        <v>MINI POCKET XII BLNG 2700K</v>
      </c>
      <c r="C1398" s="97" t="str">
        <f>IFERROR(__xludf.DUMMYFUNCTION("""COMPUTED_VALUE"""),"EMPOTRABLE MINI POCKET XII BLNG 2700K 10W 2700K 445LM CRI&gt;90 IP20 LEUK")</f>
        <v>EMPOTRABLE MINI POCKET XII BLNG 2700K 10W 2700K 445LM CRI&gt;90 IP20 LEUK</v>
      </c>
      <c r="D1398" s="97">
        <f>IFERROR(__xludf.DUMMYFUNCTION("""COMPUTED_VALUE"""),7.798413228908E12)</f>
        <v>7798413228908</v>
      </c>
      <c r="E1398" s="97" t="str">
        <f>IFERROR(__xludf.DUMMYFUNCTION("""COMPUTED_VALUE"""),"F62")</f>
        <v>F62</v>
      </c>
      <c r="F1398" s="97" t="str">
        <f>IFERROR(__xludf.DUMMYFUNCTION("""COMPUTED_VALUE"""),"LED integrado")</f>
        <v>LED integrado</v>
      </c>
      <c r="G1398" s="97" t="str">
        <f>IFERROR(__xludf.DUMMYFUNCTION("""COMPUTED_VALUE"""),"-")</f>
        <v>-</v>
      </c>
      <c r="H1398" s="97"/>
      <c r="I1398" s="97"/>
      <c r="J1398" s="97"/>
      <c r="K1398" s="97" t="str">
        <f>IFERROR(__xludf.DUMMYFUNCTION("""COMPUTED_VALUE"""),"ON/OFF")</f>
        <v>ON/OFF</v>
      </c>
      <c r="L1398" s="97" t="str">
        <f>IFERROR(__xludf.DUMMYFUNCTION("""COMPUTED_VALUE"""),"200-240")</f>
        <v>200-240</v>
      </c>
      <c r="M1398" s="97" t="str">
        <f>IFERROR(__xludf.DUMMYFUNCTION("""COMPUTED_VALUE"""),"50/60")</f>
        <v>50/60</v>
      </c>
      <c r="N1398" s="97" t="str">
        <f>IFERROR(__xludf.DUMMYFUNCTION("""COMPUTED_VALUE"""),"Directa")</f>
        <v>Directa</v>
      </c>
      <c r="O1398" s="97">
        <f>IFERROR(__xludf.DUMMYFUNCTION("""COMPUTED_VALUE"""),10.0)</f>
        <v>10</v>
      </c>
      <c r="P1398" s="97">
        <f>IFERROR(__xludf.DUMMYFUNCTION("""COMPUTED_VALUE"""),9.62)</f>
        <v>9.62</v>
      </c>
      <c r="Q1398" s="97">
        <f>IFERROR(__xludf.DUMMYFUNCTION("""COMPUTED_VALUE"""),0.5)</f>
        <v>0.5</v>
      </c>
      <c r="R1398" s="97" t="str">
        <f>IFERROR(__xludf.DUMMYFUNCTION("""COMPUTED_VALUE"""),"-")</f>
        <v>-</v>
      </c>
      <c r="S1398" s="97" t="str">
        <f>IFERROR(__xludf.DUMMYFUNCTION("""COMPUTED_VALUE"""),"-")</f>
        <v>-</v>
      </c>
      <c r="T1398" s="99">
        <f>IFERROR(__xludf.DUMMYFUNCTION("""COMPUTED_VALUE"""),445.0)</f>
        <v>445</v>
      </c>
      <c r="U1398" s="99">
        <f>IFERROR(__xludf.DUMMYFUNCTION("""COMPUTED_VALUE"""),44.5)</f>
        <v>44.5</v>
      </c>
      <c r="V1398" s="97">
        <f>IFERROR(__xludf.DUMMYFUNCTION("""COMPUTED_VALUE"""),35.0)</f>
        <v>35</v>
      </c>
      <c r="W1398" s="97" t="str">
        <f>IFERROR(__xludf.DUMMYFUNCTION("""COMPUTED_VALUE"""),"&lt; 16")</f>
        <v>&lt; 16</v>
      </c>
      <c r="X1398" s="97">
        <f>IFERROR(__xludf.DUMMYFUNCTION("""COMPUTED_VALUE"""),2700.0)</f>
        <v>2700</v>
      </c>
      <c r="Y1398" s="97" t="str">
        <f>IFERROR(__xludf.DUMMYFUNCTION("""COMPUTED_VALUE"""),"&gt;90")</f>
        <v>&gt;90</v>
      </c>
      <c r="Z1398" s="97" t="str">
        <f>IFERROR(__xludf.DUMMYFUNCTION("""COMPUTED_VALUE"""),"-")</f>
        <v>-</v>
      </c>
      <c r="AA1398" s="97" t="str">
        <f>IFERROR(__xludf.DUMMYFUNCTION("""COMPUTED_VALUE"""),"-")</f>
        <v>-</v>
      </c>
      <c r="AB1398" s="97" t="str">
        <f>IFERROR(__xludf.DUMMYFUNCTION("""COMPUTED_VALUE"""),"&lt; 3")</f>
        <v>&lt; 3</v>
      </c>
      <c r="AC1398" s="97">
        <f>IFERROR(__xludf.DUMMYFUNCTION("""COMPUTED_VALUE"""),-1.0E-5)</f>
        <v>-0.00001</v>
      </c>
      <c r="AD1398" s="97" t="str">
        <f>IFERROR(__xludf.DUMMYFUNCTION("""COMPUTED_VALUE"""),"IP20")</f>
        <v>IP20</v>
      </c>
      <c r="AE1398" s="97"/>
      <c r="AF1398" s="97" t="str">
        <f>IFERROR(__xludf.DUMMYFUNCTION("""COMPUTED_VALUE"""),"Embutir")</f>
        <v>Embutir</v>
      </c>
      <c r="AG1398" s="97" t="str">
        <f>IFERROR(__xludf.DUMMYFUNCTION("""COMPUTED_VALUE"""),"204 x 20 x 19")</f>
        <v>204 x 20 x 19</v>
      </c>
      <c r="AH1398" s="97" t="str">
        <f>IFERROR(__xludf.DUMMYFUNCTION("""COMPUTED_VALUE"""),"195 x 15")</f>
        <v>195 x 15</v>
      </c>
      <c r="AI1398" s="97"/>
      <c r="AJ1398" s="97" t="str">
        <f>IFERROR(__xludf.DUMMYFUNCTION("""COMPUTED_VALUE"""),"PMMA")</f>
        <v>PMMA</v>
      </c>
      <c r="AK1398" s="97" t="str">
        <f>IFERROR(__xludf.DUMMYFUNCTION("""COMPUTED_VALUE"""),"Aluminio")</f>
        <v>Aluminio</v>
      </c>
      <c r="AL1398" s="97" t="str">
        <f>IFERROR(__xludf.DUMMYFUNCTION("""COMPUTED_VALUE"""),"Blanco y Negro")</f>
        <v>Blanco y Negro</v>
      </c>
      <c r="AM1398" s="97"/>
      <c r="AN1398" s="97" t="str">
        <f>IFERROR(__xludf.DUMMYFUNCTION("""COMPUTED_VALUE"""),"25.000hs (L70)")</f>
        <v>25.000hs (L70)</v>
      </c>
      <c r="AO1398" s="97" t="str">
        <f>IFERROR(__xludf.DUMMYFUNCTION("""COMPUTED_VALUE"""),"2 Años")</f>
        <v>2 Años</v>
      </c>
      <c r="AP1398" s="97" t="str">
        <f>IFERROR(__xludf.DUMMYFUNCTION("""COMPUTED_VALUE"""),"Disponible")</f>
        <v>Disponible</v>
      </c>
      <c r="AQ1398" s="97" t="str">
        <f>IFERROR(__xludf.DUMMYFUNCTION("""COMPUTED_VALUE"""),"Disponible")</f>
        <v>Disponible</v>
      </c>
      <c r="AR1398" s="97" t="str">
        <f>IFERROR(__xludf.DUMMYFUNCTION("""COMPUTED_VALUE"""),"Disponible")</f>
        <v>Disponible</v>
      </c>
      <c r="AS1398" s="97" t="str">
        <f>IFERROR(__xludf.DUMMYFUNCTION("""COMPUTED_VALUE"""),"Falta")</f>
        <v>Falta</v>
      </c>
      <c r="AT1398" s="97" t="str">
        <f>IFERROR(__xludf.DUMMYFUNCTION("""COMPUTED_VALUE"""),"Falta")</f>
        <v>Falta</v>
      </c>
      <c r="AU1398" s="97" t="str">
        <f>IFERROR(__xludf.DUMMYFUNCTION("""COMPUTED_VALUE"""),"Falta")</f>
        <v>Falta</v>
      </c>
      <c r="AV1398" s="97" t="str">
        <f>IFERROR(__xludf.DUMMYFUNCTION("""COMPUTED_VALUE"""),"Empotrable")</f>
        <v>Empotrable</v>
      </c>
      <c r="AW1398" s="97" t="str">
        <f>IFERROR(__xludf.DUMMYFUNCTION("""COMPUTED_VALUE"""),"De Techo")</f>
        <v>De Techo</v>
      </c>
      <c r="AX1398" s="97" t="str">
        <f>IFERROR(__xludf.DUMMYFUNCTION("""COMPUTED_VALUE"""),"Interior")</f>
        <v>Interior</v>
      </c>
      <c r="AY1398" s="97" t="str">
        <f>IFERROR(__xludf.DUMMYFUNCTION("""COMPUTED_VALUE"""),"Pocket")</f>
        <v>Pocket</v>
      </c>
      <c r="AZ1398" s="97"/>
      <c r="BA1398" s="97"/>
      <c r="BB1398" s="97"/>
      <c r="BC1398" s="97"/>
      <c r="BD1398" s="97" t="str">
        <f>IFERROR(__xludf.DUMMYFUNCTION("""COMPUTED_VALUE"""),"MINI POCKET")</f>
        <v>MINI POCKET</v>
      </c>
      <c r="BE1398" s="97" t="str">
        <f>IFERROR(__xludf.DUMMYFUNCTION("""COMPUTED_VALUE"""),"Solicitada")</f>
        <v>Solicitada</v>
      </c>
      <c r="BF1398" s="97"/>
      <c r="BG1398" s="97" t="str">
        <f>IFERROR(__xludf.DUMMYFUNCTION("""COMPUTED_VALUE"""),"REPO 7")</f>
        <v>REPO 7</v>
      </c>
    </row>
    <row r="1399">
      <c r="A1399" s="97">
        <f>IFERROR(__xludf.DUMMYFUNCTION("""COMPUTED_VALUE"""),7499.0)</f>
        <v>7499</v>
      </c>
      <c r="B1399" s="97" t="str">
        <f>IFERROR(__xludf.DUMMYFUNCTION("""COMPUTED_VALUE"""),"MINI POCKET XII BLBL 2700K")</f>
        <v>MINI POCKET XII BLBL 2700K</v>
      </c>
      <c r="C1399" s="97" t="str">
        <f>IFERROR(__xludf.DUMMYFUNCTION("""COMPUTED_VALUE"""),"EMPOTRABLE MINI POCKET XII BLBL 2700K 10W 2700K 445LM CRI&gt;90 IP20 LEUK")</f>
        <v>EMPOTRABLE MINI POCKET XII BLBL 2700K 10W 2700K 445LM CRI&gt;90 IP20 LEUK</v>
      </c>
      <c r="D1399" s="97">
        <f>IFERROR(__xludf.DUMMYFUNCTION("""COMPUTED_VALUE"""),7.798413228915E12)</f>
        <v>7798413228915</v>
      </c>
      <c r="E1399" s="97" t="str">
        <f>IFERROR(__xludf.DUMMYFUNCTION("""COMPUTED_VALUE"""),"F62")</f>
        <v>F62</v>
      </c>
      <c r="F1399" s="97" t="str">
        <f>IFERROR(__xludf.DUMMYFUNCTION("""COMPUTED_VALUE"""),"LED integrado")</f>
        <v>LED integrado</v>
      </c>
      <c r="G1399" s="97" t="str">
        <f>IFERROR(__xludf.DUMMYFUNCTION("""COMPUTED_VALUE"""),"-")</f>
        <v>-</v>
      </c>
      <c r="H1399" s="97"/>
      <c r="I1399" s="97"/>
      <c r="J1399" s="97"/>
      <c r="K1399" s="97" t="str">
        <f>IFERROR(__xludf.DUMMYFUNCTION("""COMPUTED_VALUE"""),"ON/OFF")</f>
        <v>ON/OFF</v>
      </c>
      <c r="L1399" s="97" t="str">
        <f>IFERROR(__xludf.DUMMYFUNCTION("""COMPUTED_VALUE"""),"200-240")</f>
        <v>200-240</v>
      </c>
      <c r="M1399" s="97" t="str">
        <f>IFERROR(__xludf.DUMMYFUNCTION("""COMPUTED_VALUE"""),"50/60")</f>
        <v>50/60</v>
      </c>
      <c r="N1399" s="97" t="str">
        <f>IFERROR(__xludf.DUMMYFUNCTION("""COMPUTED_VALUE"""),"Directa")</f>
        <v>Directa</v>
      </c>
      <c r="O1399" s="97">
        <f>IFERROR(__xludf.DUMMYFUNCTION("""COMPUTED_VALUE"""),10.0)</f>
        <v>10</v>
      </c>
      <c r="P1399" s="97">
        <f>IFERROR(__xludf.DUMMYFUNCTION("""COMPUTED_VALUE"""),9.62)</f>
        <v>9.62</v>
      </c>
      <c r="Q1399" s="97">
        <f>IFERROR(__xludf.DUMMYFUNCTION("""COMPUTED_VALUE"""),0.5)</f>
        <v>0.5</v>
      </c>
      <c r="R1399" s="97" t="str">
        <f>IFERROR(__xludf.DUMMYFUNCTION("""COMPUTED_VALUE"""),"-")</f>
        <v>-</v>
      </c>
      <c r="S1399" s="97" t="str">
        <f>IFERROR(__xludf.DUMMYFUNCTION("""COMPUTED_VALUE"""),"-")</f>
        <v>-</v>
      </c>
      <c r="T1399" s="99">
        <f>IFERROR(__xludf.DUMMYFUNCTION("""COMPUTED_VALUE"""),445.0)</f>
        <v>445</v>
      </c>
      <c r="U1399" s="99">
        <f>IFERROR(__xludf.DUMMYFUNCTION("""COMPUTED_VALUE"""),44.5)</f>
        <v>44.5</v>
      </c>
      <c r="V1399" s="97">
        <f>IFERROR(__xludf.DUMMYFUNCTION("""COMPUTED_VALUE"""),35.0)</f>
        <v>35</v>
      </c>
      <c r="W1399" s="97" t="str">
        <f>IFERROR(__xludf.DUMMYFUNCTION("""COMPUTED_VALUE"""),"&lt; 16")</f>
        <v>&lt; 16</v>
      </c>
      <c r="X1399" s="97">
        <f>IFERROR(__xludf.DUMMYFUNCTION("""COMPUTED_VALUE"""),2700.0)</f>
        <v>2700</v>
      </c>
      <c r="Y1399" s="97" t="str">
        <f>IFERROR(__xludf.DUMMYFUNCTION("""COMPUTED_VALUE"""),"&gt;90")</f>
        <v>&gt;90</v>
      </c>
      <c r="Z1399" s="97" t="str">
        <f>IFERROR(__xludf.DUMMYFUNCTION("""COMPUTED_VALUE"""),"-")</f>
        <v>-</v>
      </c>
      <c r="AA1399" s="97" t="str">
        <f>IFERROR(__xludf.DUMMYFUNCTION("""COMPUTED_VALUE"""),"-")</f>
        <v>-</v>
      </c>
      <c r="AB1399" s="97" t="str">
        <f>IFERROR(__xludf.DUMMYFUNCTION("""COMPUTED_VALUE"""),"&lt; 3")</f>
        <v>&lt; 3</v>
      </c>
      <c r="AC1399" s="97">
        <f>IFERROR(__xludf.DUMMYFUNCTION("""COMPUTED_VALUE"""),6.0E-5)</f>
        <v>0.00006</v>
      </c>
      <c r="AD1399" s="97" t="str">
        <f>IFERROR(__xludf.DUMMYFUNCTION("""COMPUTED_VALUE"""),"IP20")</f>
        <v>IP20</v>
      </c>
      <c r="AE1399" s="97"/>
      <c r="AF1399" s="97" t="str">
        <f>IFERROR(__xludf.DUMMYFUNCTION("""COMPUTED_VALUE"""),"Embutir")</f>
        <v>Embutir</v>
      </c>
      <c r="AG1399" s="97" t="str">
        <f>IFERROR(__xludf.DUMMYFUNCTION("""COMPUTED_VALUE"""),"204 x 20 x 19")</f>
        <v>204 x 20 x 19</v>
      </c>
      <c r="AH1399" s="97" t="str">
        <f>IFERROR(__xludf.DUMMYFUNCTION("""COMPUTED_VALUE"""),"195 x 15")</f>
        <v>195 x 15</v>
      </c>
      <c r="AI1399" s="97"/>
      <c r="AJ1399" s="97" t="str">
        <f>IFERROR(__xludf.DUMMYFUNCTION("""COMPUTED_VALUE"""),"PMMA")</f>
        <v>PMMA</v>
      </c>
      <c r="AK1399" s="97" t="str">
        <f>IFERROR(__xludf.DUMMYFUNCTION("""COMPUTED_VALUE"""),"Aluminio")</f>
        <v>Aluminio</v>
      </c>
      <c r="AL1399" s="97" t="str">
        <f>IFERROR(__xludf.DUMMYFUNCTION("""COMPUTED_VALUE"""),"Blanco Satinado")</f>
        <v>Blanco Satinado</v>
      </c>
      <c r="AM1399" s="97"/>
      <c r="AN1399" s="97" t="str">
        <f>IFERROR(__xludf.DUMMYFUNCTION("""COMPUTED_VALUE"""),"25.000hs (L70)")</f>
        <v>25.000hs (L70)</v>
      </c>
      <c r="AO1399" s="97" t="str">
        <f>IFERROR(__xludf.DUMMYFUNCTION("""COMPUTED_VALUE"""),"2 Años")</f>
        <v>2 Años</v>
      </c>
      <c r="AP1399" s="97" t="str">
        <f>IFERROR(__xludf.DUMMYFUNCTION("""COMPUTED_VALUE"""),"Disponible")</f>
        <v>Disponible</v>
      </c>
      <c r="AQ1399" s="97" t="str">
        <f>IFERROR(__xludf.DUMMYFUNCTION("""COMPUTED_VALUE"""),"Disponible")</f>
        <v>Disponible</v>
      </c>
      <c r="AR1399" s="97" t="str">
        <f>IFERROR(__xludf.DUMMYFUNCTION("""COMPUTED_VALUE"""),"Disponible")</f>
        <v>Disponible</v>
      </c>
      <c r="AS1399" s="97" t="str">
        <f>IFERROR(__xludf.DUMMYFUNCTION("""COMPUTED_VALUE"""),"Falta")</f>
        <v>Falta</v>
      </c>
      <c r="AT1399" s="97" t="str">
        <f>IFERROR(__xludf.DUMMYFUNCTION("""COMPUTED_VALUE"""),"Falta")</f>
        <v>Falta</v>
      </c>
      <c r="AU1399" s="97" t="str">
        <f>IFERROR(__xludf.DUMMYFUNCTION("""COMPUTED_VALUE"""),"Falta")</f>
        <v>Falta</v>
      </c>
      <c r="AV1399" s="97" t="str">
        <f>IFERROR(__xludf.DUMMYFUNCTION("""COMPUTED_VALUE"""),"Empotrable")</f>
        <v>Empotrable</v>
      </c>
      <c r="AW1399" s="97" t="str">
        <f>IFERROR(__xludf.DUMMYFUNCTION("""COMPUTED_VALUE"""),"De Techo")</f>
        <v>De Techo</v>
      </c>
      <c r="AX1399" s="97" t="str">
        <f>IFERROR(__xludf.DUMMYFUNCTION("""COMPUTED_VALUE"""),"Interior")</f>
        <v>Interior</v>
      </c>
      <c r="AY1399" s="97" t="str">
        <f>IFERROR(__xludf.DUMMYFUNCTION("""COMPUTED_VALUE"""),"Pocket")</f>
        <v>Pocket</v>
      </c>
      <c r="AZ1399" s="97"/>
      <c r="BA1399" s="97"/>
      <c r="BB1399" s="97"/>
      <c r="BC1399" s="97"/>
      <c r="BD1399" s="97" t="str">
        <f>IFERROR(__xludf.DUMMYFUNCTION("""COMPUTED_VALUE"""),"MINI POCKET")</f>
        <v>MINI POCKET</v>
      </c>
      <c r="BE1399" s="97" t="str">
        <f>IFERROR(__xludf.DUMMYFUNCTION("""COMPUTED_VALUE"""),"Solicitada")</f>
        <v>Solicitada</v>
      </c>
      <c r="BF1399" s="97"/>
      <c r="BG1399" s="97" t="str">
        <f>IFERROR(__xludf.DUMMYFUNCTION("""COMPUTED_VALUE"""),"REPO 7")</f>
        <v>REPO 7</v>
      </c>
    </row>
    <row r="1400">
      <c r="A1400" s="97">
        <f>IFERROR(__xludf.DUMMYFUNCTION("""COMPUTED_VALUE"""),7500.0)</f>
        <v>7500</v>
      </c>
      <c r="B1400" s="97" t="str">
        <f>IFERROR(__xludf.DUMMYFUNCTION("""COMPUTED_VALUE"""),"PIN NG")</f>
        <v>PIN NG</v>
      </c>
      <c r="C1400" s="97" t="str">
        <f>IFERROR(__xludf.DUMMYFUNCTION("""COMPUTED_VALUE"""),"COLGANTE PIN NG 6W 3000K 320LM CRI&gt;90 IP20 LEUK")</f>
        <v>COLGANTE PIN NG 6W 3000K 320LM CRI&gt;90 IP20 LEUK</v>
      </c>
      <c r="D1400" s="97">
        <f>IFERROR(__xludf.DUMMYFUNCTION("""COMPUTED_VALUE"""),7.798413229639E12)</f>
        <v>7798413229639</v>
      </c>
      <c r="E1400" s="97" t="str">
        <f>IFERROR(__xludf.DUMMYFUNCTION("""COMPUTED_VALUE"""),"A157")</f>
        <v>A157</v>
      </c>
      <c r="F1400" s="97" t="str">
        <f>IFERROR(__xludf.DUMMYFUNCTION("""COMPUTED_VALUE"""),"LED integrado")</f>
        <v>LED integrado</v>
      </c>
      <c r="G1400" s="97" t="str">
        <f>IFERROR(__xludf.DUMMYFUNCTION("""COMPUTED_VALUE"""),"-")</f>
        <v>-</v>
      </c>
      <c r="H1400" s="97" t="str">
        <f>IFERROR(__xludf.DUMMYFUNCTION("""COMPUTED_VALUE"""),"-")</f>
        <v>-</v>
      </c>
      <c r="I1400" s="97" t="str">
        <f>IFERROR(__xludf.DUMMYFUNCTION("""COMPUTED_VALUE"""),"Si")</f>
        <v>Si</v>
      </c>
      <c r="J1400" s="97"/>
      <c r="K1400" s="97" t="str">
        <f>IFERROR(__xludf.DUMMYFUNCTION("""COMPUTED_VALUE"""),"ON/OFF")</f>
        <v>ON/OFF</v>
      </c>
      <c r="L1400" s="97" t="str">
        <f>IFERROR(__xludf.DUMMYFUNCTION("""COMPUTED_VALUE"""),"220-240")</f>
        <v>220-240</v>
      </c>
      <c r="M1400" s="97" t="str">
        <f>IFERROR(__xludf.DUMMYFUNCTION("""COMPUTED_VALUE"""),"50/60")</f>
        <v>50/60</v>
      </c>
      <c r="N1400" s="97" t="str">
        <f>IFERROR(__xludf.DUMMYFUNCTION("""COMPUTED_VALUE"""),"Directa")</f>
        <v>Directa</v>
      </c>
      <c r="O1400" s="97">
        <f>IFERROR(__xludf.DUMMYFUNCTION("""COMPUTED_VALUE"""),6.0)</f>
        <v>6</v>
      </c>
      <c r="P1400" s="97">
        <f>IFERROR(__xludf.DUMMYFUNCTION("""COMPUTED_VALUE"""),6.4)</f>
        <v>6.4</v>
      </c>
      <c r="Q1400" s="97">
        <f>IFERROR(__xludf.DUMMYFUNCTION("""COMPUTED_VALUE"""),0.8)</f>
        <v>0.8</v>
      </c>
      <c r="R1400" s="97" t="str">
        <f>IFERROR(__xludf.DUMMYFUNCTION("""COMPUTED_VALUE"""),"-")</f>
        <v>-</v>
      </c>
      <c r="S1400" s="97" t="str">
        <f>IFERROR(__xludf.DUMMYFUNCTION("""COMPUTED_VALUE"""),"-")</f>
        <v>-</v>
      </c>
      <c r="T1400" s="97">
        <f>IFERROR(__xludf.DUMMYFUNCTION("""COMPUTED_VALUE"""),320.0)</f>
        <v>320</v>
      </c>
      <c r="U1400" s="99">
        <f>IFERROR(__xludf.DUMMYFUNCTION("""COMPUTED_VALUE"""),53.333333333333336)</f>
        <v>53.33333333</v>
      </c>
      <c r="V1400" s="97">
        <f>IFERROR(__xludf.DUMMYFUNCTION("""COMPUTED_VALUE"""),18.0)</f>
        <v>18</v>
      </c>
      <c r="W1400" s="97" t="str">
        <f>IFERROR(__xludf.DUMMYFUNCTION("""COMPUTED_VALUE"""),"&lt; 10")</f>
        <v>&lt; 10</v>
      </c>
      <c r="X1400" s="97">
        <f>IFERROR(__xludf.DUMMYFUNCTION("""COMPUTED_VALUE"""),3000.0)</f>
        <v>3000</v>
      </c>
      <c r="Y1400" s="97" t="str">
        <f>IFERROR(__xludf.DUMMYFUNCTION("""COMPUTED_VALUE"""),"&gt;90")</f>
        <v>&gt;90</v>
      </c>
      <c r="Z1400" s="97" t="str">
        <f>IFERROR(__xludf.DUMMYFUNCTION("""COMPUTED_VALUE"""),"&gt;90")</f>
        <v>&gt;90</v>
      </c>
      <c r="AA1400" s="97" t="str">
        <f>IFERROR(__xludf.DUMMYFUNCTION("""COMPUTED_VALUE"""),"101-110 (Vivido)")</f>
        <v>101-110 (Vivido)</v>
      </c>
      <c r="AB1400" s="97" t="str">
        <f>IFERROR(__xludf.DUMMYFUNCTION("""COMPUTED_VALUE"""),"&lt; 4")</f>
        <v>&lt; 4</v>
      </c>
      <c r="AC1400" s="97">
        <f>IFERROR(__xludf.DUMMYFUNCTION("""COMPUTED_VALUE"""),-0.0033)</f>
        <v>-0.0033</v>
      </c>
      <c r="AD1400" s="97" t="str">
        <f>IFERROR(__xludf.DUMMYFUNCTION("""COMPUTED_VALUE"""),"IP20")</f>
        <v>IP20</v>
      </c>
      <c r="AE1400" s="97" t="str">
        <f>IFERROR(__xludf.DUMMYFUNCTION("""COMPUTED_VALUE"""),"Clase l")</f>
        <v>Clase l</v>
      </c>
      <c r="AF1400" s="97" t="str">
        <f>IFERROR(__xludf.DUMMYFUNCTION("""COMPUTED_VALUE"""),"Suspender")</f>
        <v>Suspender</v>
      </c>
      <c r="AG1400" s="97" t="str">
        <f>IFERROR(__xludf.DUMMYFUNCTION("""COMPUTED_VALUE"""),"Ø100 x 365")</f>
        <v>Ø100 x 365</v>
      </c>
      <c r="AH1400" s="97" t="str">
        <f>IFERROR(__xludf.DUMMYFUNCTION("""COMPUTED_VALUE"""),"N/A")</f>
        <v>N/A</v>
      </c>
      <c r="AI1400" s="97" t="str">
        <f>IFERROR(__xludf.DUMMYFUNCTION("""COMPUTED_VALUE"""),"N/A")</f>
        <v>N/A</v>
      </c>
      <c r="AJ1400" s="97"/>
      <c r="AK1400" s="97" t="str">
        <f>IFERROR(__xludf.DUMMYFUNCTION("""COMPUTED_VALUE"""),"Travertino")</f>
        <v>Travertino</v>
      </c>
      <c r="AL1400" s="97" t="str">
        <f>IFERROR(__xludf.DUMMYFUNCTION("""COMPUTED_VALUE"""),"Negro Mate")</f>
        <v>Negro Mate</v>
      </c>
      <c r="AM1400" s="97"/>
      <c r="AN1400" s="97" t="str">
        <f>IFERROR(__xludf.DUMMYFUNCTION("""COMPUTED_VALUE"""),"25.000hs (L70)")</f>
        <v>25.000hs (L70)</v>
      </c>
      <c r="AO1400" s="97" t="str">
        <f>IFERROR(__xludf.DUMMYFUNCTION("""COMPUTED_VALUE"""),"2 Años")</f>
        <v>2 Años</v>
      </c>
      <c r="AP1400" s="97" t="str">
        <f>IFERROR(__xludf.DUMMYFUNCTION("""COMPUTED_VALUE"""),"Disponible")</f>
        <v>Disponible</v>
      </c>
      <c r="AQ1400" s="97" t="str">
        <f>IFERROR(__xludf.DUMMYFUNCTION("""COMPUTED_VALUE"""),"Disponible")</f>
        <v>Disponible</v>
      </c>
      <c r="AR1400" s="97" t="str">
        <f>IFERROR(__xludf.DUMMYFUNCTION("""COMPUTED_VALUE"""),"Disponible")</f>
        <v>Disponible</v>
      </c>
      <c r="AS1400" s="97" t="str">
        <f>IFERROR(__xludf.DUMMYFUNCTION("""COMPUTED_VALUE"""),"Disponible")</f>
        <v>Disponible</v>
      </c>
      <c r="AT1400" s="97" t="str">
        <f>IFERROR(__xludf.DUMMYFUNCTION("""COMPUTED_VALUE"""),"Disponible")</f>
        <v>Disponible</v>
      </c>
      <c r="AU1400" s="97" t="str">
        <f>IFERROR(__xludf.DUMMYFUNCTION("""COMPUTED_VALUE"""),"Disponible")</f>
        <v>Disponible</v>
      </c>
      <c r="AV1400" s="97" t="str">
        <f>IFERROR(__xludf.DUMMYFUNCTION("""COMPUTED_VALUE"""),"Colgante")</f>
        <v>Colgante</v>
      </c>
      <c r="AW1400" s="97" t="str">
        <f>IFERROR(__xludf.DUMMYFUNCTION("""COMPUTED_VALUE"""),"De Techo")</f>
        <v>De Techo</v>
      </c>
      <c r="AX1400" s="97" t="str">
        <f>IFERROR(__xludf.DUMMYFUNCTION("""COMPUTED_VALUE"""),"Interior")</f>
        <v>Interior</v>
      </c>
      <c r="AY1400" s="97" t="str">
        <f>IFERROR(__xludf.DUMMYFUNCTION("""COMPUTED_VALUE"""),"-")</f>
        <v>-</v>
      </c>
      <c r="AZ1400" s="97" t="str">
        <f>IFERROR(__xludf.DUMMYFUNCTION("""COMPUTED_VALUE"""),"Floron: D70x100 - (Ø40+Ø100)*H370*H2000mm")</f>
        <v>Floron: D70x100 - (Ø40+Ø100)*H370*H2000mm</v>
      </c>
      <c r="BA1400" s="97"/>
      <c r="BB1400" s="97"/>
      <c r="BC1400" s="97"/>
      <c r="BD1400" s="97" t="str">
        <f>IFERROR(__xludf.DUMMYFUNCTION("""COMPUTED_VALUE"""),"PIN")</f>
        <v>PIN</v>
      </c>
      <c r="BE1400" s="97" t="str">
        <f>IFERROR(__xludf.DUMMYFUNCTION("""COMPUTED_VALUE"""),"Solicitada")</f>
        <v>Solicitada</v>
      </c>
      <c r="BF1400" s="97"/>
      <c r="BG1400" s="97" t="str">
        <f>IFERROR(__xludf.DUMMYFUNCTION("""COMPUTED_VALUE"""),"REPO 7")</f>
        <v>REPO 7</v>
      </c>
    </row>
    <row r="1401">
      <c r="A1401" s="97">
        <f>IFERROR(__xludf.DUMMYFUNCTION("""COMPUTED_VALUE"""),7501.0)</f>
        <v>7501</v>
      </c>
      <c r="B1401" s="97" t="str">
        <f>IFERROR(__xludf.DUMMYFUNCTION("""COMPUTED_VALUE"""),"PETRA LINE BG")</f>
        <v>PETRA LINE BG</v>
      </c>
      <c r="C1401" s="97" t="str">
        <f>IFERROR(__xludf.DUMMYFUNCTION("""COMPUTED_VALUE"""),"COLGANTE PETRA LINE BG 36W 3000K 2120LM CRI&gt;90 IP20 LEUK")</f>
        <v>COLGANTE PETRA LINE BG 36W 3000K 2120LM CRI&gt;90 IP20 LEUK</v>
      </c>
      <c r="D1401" s="97">
        <f>IFERROR(__xludf.DUMMYFUNCTION("""COMPUTED_VALUE"""),7.798413229646E12)</f>
        <v>7798413229646</v>
      </c>
      <c r="E1401" s="97" t="str">
        <f>IFERROR(__xludf.DUMMYFUNCTION("""COMPUTED_VALUE"""),"A115")</f>
        <v>A115</v>
      </c>
      <c r="F1401" s="97" t="str">
        <f>IFERROR(__xludf.DUMMYFUNCTION("""COMPUTED_VALUE"""),"LED integrado")</f>
        <v>LED integrado</v>
      </c>
      <c r="G1401" s="97" t="str">
        <f>IFERROR(__xludf.DUMMYFUNCTION("""COMPUTED_VALUE"""),"-")</f>
        <v>-</v>
      </c>
      <c r="H1401" s="97" t="str">
        <f>IFERROR(__xludf.DUMMYFUNCTION("""COMPUTED_VALUE"""),"Eaglerise")</f>
        <v>Eaglerise</v>
      </c>
      <c r="I1401" s="97" t="str">
        <f>IFERROR(__xludf.DUMMYFUNCTION("""COMPUTED_VALUE"""),"Si")</f>
        <v>Si</v>
      </c>
      <c r="J1401" s="97"/>
      <c r="K1401" s="97" t="str">
        <f>IFERROR(__xludf.DUMMYFUNCTION("""COMPUTED_VALUE"""),"ON/OFF")</f>
        <v>ON/OFF</v>
      </c>
      <c r="L1401" s="97" t="str">
        <f>IFERROR(__xludf.DUMMYFUNCTION("""COMPUTED_VALUE"""),"220-240")</f>
        <v>220-240</v>
      </c>
      <c r="M1401" s="97" t="str">
        <f>IFERROR(__xludf.DUMMYFUNCTION("""COMPUTED_VALUE"""),"50/60")</f>
        <v>50/60</v>
      </c>
      <c r="N1401" s="97" t="str">
        <f>IFERROR(__xludf.DUMMYFUNCTION("""COMPUTED_VALUE"""),"Directa")</f>
        <v>Directa</v>
      </c>
      <c r="O1401" s="97">
        <f>IFERROR(__xludf.DUMMYFUNCTION("""COMPUTED_VALUE"""),36.0)</f>
        <v>36</v>
      </c>
      <c r="P1401" s="97">
        <f>IFERROR(__xludf.DUMMYFUNCTION("""COMPUTED_VALUE"""),33.28)</f>
        <v>33.28</v>
      </c>
      <c r="Q1401" s="97">
        <f>IFERROR(__xludf.DUMMYFUNCTION("""COMPUTED_VALUE"""),0.95)</f>
        <v>0.95</v>
      </c>
      <c r="R1401" s="97" t="str">
        <f>IFERROR(__xludf.DUMMYFUNCTION("""COMPUTED_VALUE"""),"-")</f>
        <v>-</v>
      </c>
      <c r="S1401" s="97" t="str">
        <f>IFERROR(__xludf.DUMMYFUNCTION("""COMPUTED_VALUE"""),"-")</f>
        <v>-</v>
      </c>
      <c r="T1401" s="97">
        <f>IFERROR(__xludf.DUMMYFUNCTION("""COMPUTED_VALUE"""),2120.0)</f>
        <v>2120</v>
      </c>
      <c r="U1401" s="99">
        <f>IFERROR(__xludf.DUMMYFUNCTION("""COMPUTED_VALUE"""),58.888888888888886)</f>
        <v>58.88888889</v>
      </c>
      <c r="V1401" s="97">
        <f>IFERROR(__xludf.DUMMYFUNCTION("""COMPUTED_VALUE"""),30.0)</f>
        <v>30</v>
      </c>
      <c r="W1401" s="97" t="str">
        <f>IFERROR(__xludf.DUMMYFUNCTION("""COMPUTED_VALUE"""),"&lt; 10")</f>
        <v>&lt; 10</v>
      </c>
      <c r="X1401" s="97">
        <f>IFERROR(__xludf.DUMMYFUNCTION("""COMPUTED_VALUE"""),3000.0)</f>
        <v>3000</v>
      </c>
      <c r="Y1401" s="97" t="str">
        <f>IFERROR(__xludf.DUMMYFUNCTION("""COMPUTED_VALUE"""),"&gt;90")</f>
        <v>&gt;90</v>
      </c>
      <c r="Z1401" s="97"/>
      <c r="AA1401" s="97"/>
      <c r="AB1401" s="97"/>
      <c r="AC1401" s="97"/>
      <c r="AD1401" s="97" t="str">
        <f>IFERROR(__xludf.DUMMYFUNCTION("""COMPUTED_VALUE"""),"IP20")</f>
        <v>IP20</v>
      </c>
      <c r="AE1401" s="97" t="str">
        <f>IFERROR(__xludf.DUMMYFUNCTION("""COMPUTED_VALUE"""),"Clase l")</f>
        <v>Clase l</v>
      </c>
      <c r="AF1401" s="97" t="str">
        <f>IFERROR(__xludf.DUMMYFUNCTION("""COMPUTED_VALUE"""),"Suspender")</f>
        <v>Suspender</v>
      </c>
      <c r="AG1401" s="97" t="str">
        <f>IFERROR(__xludf.DUMMYFUNCTION("""COMPUTED_VALUE"""),"1560 x 38 x 78")</f>
        <v>1560 x 38 x 78</v>
      </c>
      <c r="AH1401" s="97" t="str">
        <f>IFERROR(__xludf.DUMMYFUNCTION("""COMPUTED_VALUE"""),"N/A")</f>
        <v>N/A</v>
      </c>
      <c r="AI1401" s="97" t="str">
        <f>IFERROR(__xludf.DUMMYFUNCTION("""COMPUTED_VALUE"""),"N/A")</f>
        <v>N/A</v>
      </c>
      <c r="AJ1401" s="97"/>
      <c r="AK1401" s="97" t="str">
        <f>IFERROR(__xludf.DUMMYFUNCTION("""COMPUTED_VALUE"""),"Travertino")</f>
        <v>Travertino</v>
      </c>
      <c r="AL1401" s="97" t="str">
        <f>IFERROR(__xludf.DUMMYFUNCTION("""COMPUTED_VALUE"""),"Beige")</f>
        <v>Beige</v>
      </c>
      <c r="AM1401" s="97"/>
      <c r="AN1401" s="97" t="str">
        <f>IFERROR(__xludf.DUMMYFUNCTION("""COMPUTED_VALUE"""),"25.000hs (L70)")</f>
        <v>25.000hs (L70)</v>
      </c>
      <c r="AO1401" s="97" t="str">
        <f>IFERROR(__xludf.DUMMYFUNCTION("""COMPUTED_VALUE"""),"2 Años")</f>
        <v>2 Años</v>
      </c>
      <c r="AP1401" s="97" t="str">
        <f>IFERROR(__xludf.DUMMYFUNCTION("""COMPUTED_VALUE"""),"Disponible")</f>
        <v>Disponible</v>
      </c>
      <c r="AQ1401" s="97" t="str">
        <f>IFERROR(__xludf.DUMMYFUNCTION("""COMPUTED_VALUE"""),"Disponible")</f>
        <v>Disponible</v>
      </c>
      <c r="AR1401" s="97" t="str">
        <f>IFERROR(__xludf.DUMMYFUNCTION("""COMPUTED_VALUE"""),"Disponible")</f>
        <v>Disponible</v>
      </c>
      <c r="AS1401" s="97" t="str">
        <f>IFERROR(__xludf.DUMMYFUNCTION("""COMPUTED_VALUE"""),"Disponible")</f>
        <v>Disponible</v>
      </c>
      <c r="AT1401" s="97" t="str">
        <f>IFERROR(__xludf.DUMMYFUNCTION("""COMPUTED_VALUE"""),"Falta")</f>
        <v>Falta</v>
      </c>
      <c r="AU1401" s="97" t="str">
        <f>IFERROR(__xludf.DUMMYFUNCTION("""COMPUTED_VALUE"""),"Disponible")</f>
        <v>Disponible</v>
      </c>
      <c r="AV1401" s="97" t="str">
        <f>IFERROR(__xludf.DUMMYFUNCTION("""COMPUTED_VALUE"""),"Colgante")</f>
        <v>Colgante</v>
      </c>
      <c r="AW1401" s="97" t="str">
        <f>IFERROR(__xludf.DUMMYFUNCTION("""COMPUTED_VALUE"""),"De Techo")</f>
        <v>De Techo</v>
      </c>
      <c r="AX1401" s="97" t="str">
        <f>IFERROR(__xludf.DUMMYFUNCTION("""COMPUTED_VALUE"""),"Interior")</f>
        <v>Interior</v>
      </c>
      <c r="AY1401" s="97" t="str">
        <f>IFERROR(__xludf.DUMMYFUNCTION("""COMPUTED_VALUE"""),"-")</f>
        <v>-</v>
      </c>
      <c r="AZ1401" s="97" t="str">
        <f>IFERROR(__xludf.DUMMYFUNCTION("""COMPUTED_VALUE"""),"Floron: 650x50x55 - 2000mm cable")</f>
        <v>Floron: 650x50x55 - 2000mm cable</v>
      </c>
      <c r="BA1401" s="97"/>
      <c r="BB1401" s="97"/>
      <c r="BC1401" s="97"/>
      <c r="BD1401" s="97" t="str">
        <f>IFERROR(__xludf.DUMMYFUNCTION("""COMPUTED_VALUE"""),"PETRA LINE")</f>
        <v>PETRA LINE</v>
      </c>
      <c r="BE1401" s="97" t="str">
        <f>IFERROR(__xludf.DUMMYFUNCTION("""COMPUTED_VALUE"""),"Solicitada")</f>
        <v>Solicitada</v>
      </c>
      <c r="BF1401" s="97"/>
      <c r="BG1401" s="97" t="str">
        <f>IFERROR(__xludf.DUMMYFUNCTION("""COMPUTED_VALUE"""),"REPO 7")</f>
        <v>REPO 7</v>
      </c>
    </row>
    <row r="1402">
      <c r="A1402" s="97">
        <f>IFERROR(__xludf.DUMMYFUNCTION("""COMPUTED_VALUE"""),7502.0)</f>
        <v>7502</v>
      </c>
      <c r="B1402" s="97" t="str">
        <f>IFERROR(__xludf.DUMMYFUNCTION("""COMPUTED_VALUE"""),"PETRA LINE NG")</f>
        <v>PETRA LINE NG</v>
      </c>
      <c r="C1402" s="97" t="str">
        <f>IFERROR(__xludf.DUMMYFUNCTION("""COMPUTED_VALUE"""),"COLGANTE PETRA LINE NG 36W 3000K 2120LM CRI&gt;90 IP20 LEUK")</f>
        <v>COLGANTE PETRA LINE NG 36W 3000K 2120LM CRI&gt;90 IP20 LEUK</v>
      </c>
      <c r="D1402" s="97">
        <f>IFERROR(__xludf.DUMMYFUNCTION("""COMPUTED_VALUE"""),7.798413229653E12)</f>
        <v>7798413229653</v>
      </c>
      <c r="E1402" s="97" t="str">
        <f>IFERROR(__xludf.DUMMYFUNCTION("""COMPUTED_VALUE"""),"A115")</f>
        <v>A115</v>
      </c>
      <c r="F1402" s="97" t="str">
        <f>IFERROR(__xludf.DUMMYFUNCTION("""COMPUTED_VALUE"""),"LED integrado")</f>
        <v>LED integrado</v>
      </c>
      <c r="G1402" s="97" t="str">
        <f>IFERROR(__xludf.DUMMYFUNCTION("""COMPUTED_VALUE"""),"-")</f>
        <v>-</v>
      </c>
      <c r="H1402" s="97" t="str">
        <f>IFERROR(__xludf.DUMMYFUNCTION("""COMPUTED_VALUE"""),"Eaglerise")</f>
        <v>Eaglerise</v>
      </c>
      <c r="I1402" s="97" t="str">
        <f>IFERROR(__xludf.DUMMYFUNCTION("""COMPUTED_VALUE"""),"Si")</f>
        <v>Si</v>
      </c>
      <c r="J1402" s="97"/>
      <c r="K1402" s="97" t="str">
        <f>IFERROR(__xludf.DUMMYFUNCTION("""COMPUTED_VALUE"""),"ON/OFF")</f>
        <v>ON/OFF</v>
      </c>
      <c r="L1402" s="97" t="str">
        <f>IFERROR(__xludf.DUMMYFUNCTION("""COMPUTED_VALUE"""),"220-240")</f>
        <v>220-240</v>
      </c>
      <c r="M1402" s="97" t="str">
        <f>IFERROR(__xludf.DUMMYFUNCTION("""COMPUTED_VALUE"""),"50/60")</f>
        <v>50/60</v>
      </c>
      <c r="N1402" s="97" t="str">
        <f>IFERROR(__xludf.DUMMYFUNCTION("""COMPUTED_VALUE"""),"Directa")</f>
        <v>Directa</v>
      </c>
      <c r="O1402" s="97">
        <f>IFERROR(__xludf.DUMMYFUNCTION("""COMPUTED_VALUE"""),36.0)</f>
        <v>36</v>
      </c>
      <c r="P1402" s="97">
        <f>IFERROR(__xludf.DUMMYFUNCTION("""COMPUTED_VALUE"""),33.28)</f>
        <v>33.28</v>
      </c>
      <c r="Q1402" s="97">
        <f>IFERROR(__xludf.DUMMYFUNCTION("""COMPUTED_VALUE"""),0.95)</f>
        <v>0.95</v>
      </c>
      <c r="R1402" s="97" t="str">
        <f>IFERROR(__xludf.DUMMYFUNCTION("""COMPUTED_VALUE"""),"-")</f>
        <v>-</v>
      </c>
      <c r="S1402" s="97" t="str">
        <f>IFERROR(__xludf.DUMMYFUNCTION("""COMPUTED_VALUE"""),"-")</f>
        <v>-</v>
      </c>
      <c r="T1402" s="97">
        <f>IFERROR(__xludf.DUMMYFUNCTION("""COMPUTED_VALUE"""),2120.0)</f>
        <v>2120</v>
      </c>
      <c r="U1402" s="99">
        <f>IFERROR(__xludf.DUMMYFUNCTION("""COMPUTED_VALUE"""),58.888888888888886)</f>
        <v>58.88888889</v>
      </c>
      <c r="V1402" s="97">
        <f>IFERROR(__xludf.DUMMYFUNCTION("""COMPUTED_VALUE"""),30.0)</f>
        <v>30</v>
      </c>
      <c r="W1402" s="97" t="str">
        <f>IFERROR(__xludf.DUMMYFUNCTION("""COMPUTED_VALUE"""),"&lt; 10")</f>
        <v>&lt; 10</v>
      </c>
      <c r="X1402" s="97">
        <f>IFERROR(__xludf.DUMMYFUNCTION("""COMPUTED_VALUE"""),3000.0)</f>
        <v>3000</v>
      </c>
      <c r="Y1402" s="97" t="str">
        <f>IFERROR(__xludf.DUMMYFUNCTION("""COMPUTED_VALUE"""),"&gt;90")</f>
        <v>&gt;90</v>
      </c>
      <c r="Z1402" s="97"/>
      <c r="AA1402" s="97"/>
      <c r="AB1402" s="97"/>
      <c r="AC1402" s="97"/>
      <c r="AD1402" s="97" t="str">
        <f>IFERROR(__xludf.DUMMYFUNCTION("""COMPUTED_VALUE"""),"IP20")</f>
        <v>IP20</v>
      </c>
      <c r="AE1402" s="97" t="str">
        <f>IFERROR(__xludf.DUMMYFUNCTION("""COMPUTED_VALUE"""),"Clase l")</f>
        <v>Clase l</v>
      </c>
      <c r="AF1402" s="97" t="str">
        <f>IFERROR(__xludf.DUMMYFUNCTION("""COMPUTED_VALUE"""),"Suspender")</f>
        <v>Suspender</v>
      </c>
      <c r="AG1402" s="97" t="str">
        <f>IFERROR(__xludf.DUMMYFUNCTION("""COMPUTED_VALUE"""),"1560 x 38 x 78")</f>
        <v>1560 x 38 x 78</v>
      </c>
      <c r="AH1402" s="97" t="str">
        <f>IFERROR(__xludf.DUMMYFUNCTION("""COMPUTED_VALUE"""),"N/A")</f>
        <v>N/A</v>
      </c>
      <c r="AI1402" s="97" t="str">
        <f>IFERROR(__xludf.DUMMYFUNCTION("""COMPUTED_VALUE"""),"N/A")</f>
        <v>N/A</v>
      </c>
      <c r="AJ1402" s="97"/>
      <c r="AK1402" s="97" t="str">
        <f>IFERROR(__xludf.DUMMYFUNCTION("""COMPUTED_VALUE"""),"Travertino")</f>
        <v>Travertino</v>
      </c>
      <c r="AL1402" s="97" t="str">
        <f>IFERROR(__xludf.DUMMYFUNCTION("""COMPUTED_VALUE"""),"Negro Satinado")</f>
        <v>Negro Satinado</v>
      </c>
      <c r="AM1402" s="97"/>
      <c r="AN1402" s="97" t="str">
        <f>IFERROR(__xludf.DUMMYFUNCTION("""COMPUTED_VALUE"""),"25.000hs (L70)")</f>
        <v>25.000hs (L70)</v>
      </c>
      <c r="AO1402" s="97" t="str">
        <f>IFERROR(__xludf.DUMMYFUNCTION("""COMPUTED_VALUE"""),"2 Años")</f>
        <v>2 Años</v>
      </c>
      <c r="AP1402" s="97" t="str">
        <f>IFERROR(__xludf.DUMMYFUNCTION("""COMPUTED_VALUE"""),"Disponible")</f>
        <v>Disponible</v>
      </c>
      <c r="AQ1402" s="97" t="str">
        <f>IFERROR(__xludf.DUMMYFUNCTION("""COMPUTED_VALUE"""),"Disponible")</f>
        <v>Disponible</v>
      </c>
      <c r="AR1402" s="97" t="str">
        <f>IFERROR(__xludf.DUMMYFUNCTION("""COMPUTED_VALUE"""),"Disponible")</f>
        <v>Disponible</v>
      </c>
      <c r="AS1402" s="97" t="str">
        <f>IFERROR(__xludf.DUMMYFUNCTION("""COMPUTED_VALUE"""),"Disponible")</f>
        <v>Disponible</v>
      </c>
      <c r="AT1402" s="97" t="str">
        <f>IFERROR(__xludf.DUMMYFUNCTION("""COMPUTED_VALUE"""),"Falta")</f>
        <v>Falta</v>
      </c>
      <c r="AU1402" s="97" t="str">
        <f>IFERROR(__xludf.DUMMYFUNCTION("""COMPUTED_VALUE"""),"Disponible")</f>
        <v>Disponible</v>
      </c>
      <c r="AV1402" s="97" t="str">
        <f>IFERROR(__xludf.DUMMYFUNCTION("""COMPUTED_VALUE"""),"Colgante")</f>
        <v>Colgante</v>
      </c>
      <c r="AW1402" s="97" t="str">
        <f>IFERROR(__xludf.DUMMYFUNCTION("""COMPUTED_VALUE"""),"De Techo")</f>
        <v>De Techo</v>
      </c>
      <c r="AX1402" s="97" t="str">
        <f>IFERROR(__xludf.DUMMYFUNCTION("""COMPUTED_VALUE"""),"Interior")</f>
        <v>Interior</v>
      </c>
      <c r="AY1402" s="97" t="str">
        <f>IFERROR(__xludf.DUMMYFUNCTION("""COMPUTED_VALUE"""),"-")</f>
        <v>-</v>
      </c>
      <c r="AZ1402" s="97" t="str">
        <f>IFERROR(__xludf.DUMMYFUNCTION("""COMPUTED_VALUE"""),"Floron: 650x50x55 - 2000mm cable")</f>
        <v>Floron: 650x50x55 - 2000mm cable</v>
      </c>
      <c r="BA1402" s="97"/>
      <c r="BB1402" s="97"/>
      <c r="BC1402" s="97"/>
      <c r="BD1402" s="97" t="str">
        <f>IFERROR(__xludf.DUMMYFUNCTION("""COMPUTED_VALUE"""),"PETRA LINE")</f>
        <v>PETRA LINE</v>
      </c>
      <c r="BE1402" s="97" t="str">
        <f>IFERROR(__xludf.DUMMYFUNCTION("""COMPUTED_VALUE"""),"Solicitada")</f>
        <v>Solicitada</v>
      </c>
      <c r="BF1402" s="97"/>
      <c r="BG1402" s="97" t="str">
        <f>IFERROR(__xludf.DUMMYFUNCTION("""COMPUTED_VALUE"""),"REPO 7")</f>
        <v>REPO 7</v>
      </c>
    </row>
    <row r="1403">
      <c r="A1403" s="97">
        <f>IFERROR(__xludf.DUMMYFUNCTION("""COMPUTED_VALUE"""),7503.0)</f>
        <v>7503</v>
      </c>
      <c r="B1403" s="97" t="str">
        <f>IFERROR(__xludf.DUMMYFUNCTION("""COMPUTED_VALUE"""),"DOT BG")</f>
        <v>DOT BG</v>
      </c>
      <c r="C1403" s="97" t="str">
        <f>IFERROR(__xludf.DUMMYFUNCTION("""COMPUTED_VALUE"""),"APLIQUE DOT BG 7W 3000K 505LM CRI&gt;90 IP20 LEUK")</f>
        <v>APLIQUE DOT BG 7W 3000K 505LM CRI&gt;90 IP20 LEUK</v>
      </c>
      <c r="D1403" s="97">
        <f>IFERROR(__xludf.DUMMYFUNCTION("""COMPUTED_VALUE"""),7.79841322966E12)</f>
        <v>7798413229660</v>
      </c>
      <c r="E1403" s="97" t="str">
        <f>IFERROR(__xludf.DUMMYFUNCTION("""COMPUTED_VALUE"""),"F70")</f>
        <v>F70</v>
      </c>
      <c r="F1403" s="97" t="str">
        <f>IFERROR(__xludf.DUMMYFUNCTION("""COMPUTED_VALUE"""),"LED integrado")</f>
        <v>LED integrado</v>
      </c>
      <c r="G1403" s="97" t="str">
        <f>IFERROR(__xludf.DUMMYFUNCTION("""COMPUTED_VALUE"""),"-")</f>
        <v>-</v>
      </c>
      <c r="H1403" s="97" t="str">
        <f>IFERROR(__xludf.DUMMYFUNCTION("""COMPUTED_VALUE"""),"-")</f>
        <v>-</v>
      </c>
      <c r="I1403" s="97" t="str">
        <f>IFERROR(__xludf.DUMMYFUNCTION("""COMPUTED_VALUE"""),"Si")</f>
        <v>Si</v>
      </c>
      <c r="J1403" s="97"/>
      <c r="K1403" s="97" t="str">
        <f>IFERROR(__xludf.DUMMYFUNCTION("""COMPUTED_VALUE"""),"ON/OFF")</f>
        <v>ON/OFF</v>
      </c>
      <c r="L1403" s="97" t="str">
        <f>IFERROR(__xludf.DUMMYFUNCTION("""COMPUTED_VALUE"""),"200-240")</f>
        <v>200-240</v>
      </c>
      <c r="M1403" s="97" t="str">
        <f>IFERROR(__xludf.DUMMYFUNCTION("""COMPUTED_VALUE"""),"50/60")</f>
        <v>50/60</v>
      </c>
      <c r="N1403" s="97" t="str">
        <f>IFERROR(__xludf.DUMMYFUNCTION("""COMPUTED_VALUE"""),"Indirecta")</f>
        <v>Indirecta</v>
      </c>
      <c r="O1403" s="97">
        <f>IFERROR(__xludf.DUMMYFUNCTION("""COMPUTED_VALUE"""),7.0)</f>
        <v>7</v>
      </c>
      <c r="P1403" s="97">
        <f>IFERROR(__xludf.DUMMYFUNCTION("""COMPUTED_VALUE"""),6.58)</f>
        <v>6.58</v>
      </c>
      <c r="Q1403" s="97">
        <f>IFERROR(__xludf.DUMMYFUNCTION("""COMPUTED_VALUE"""),0.6)</f>
        <v>0.6</v>
      </c>
      <c r="R1403" s="97" t="str">
        <f>IFERROR(__xludf.DUMMYFUNCTION("""COMPUTED_VALUE"""),"-")</f>
        <v>-</v>
      </c>
      <c r="S1403" s="97" t="str">
        <f>IFERROR(__xludf.DUMMYFUNCTION("""COMPUTED_VALUE"""),"-")</f>
        <v>-</v>
      </c>
      <c r="T1403" s="97">
        <f>IFERROR(__xludf.DUMMYFUNCTION("""COMPUTED_VALUE"""),505.0)</f>
        <v>505</v>
      </c>
      <c r="U1403" s="99">
        <f>IFERROR(__xludf.DUMMYFUNCTION("""COMPUTED_VALUE"""),72.14285714285714)</f>
        <v>72.14285714</v>
      </c>
      <c r="V1403" s="97">
        <f>IFERROR(__xludf.DUMMYFUNCTION("""COMPUTED_VALUE"""),120.0)</f>
        <v>120</v>
      </c>
      <c r="W1403" s="97" t="str">
        <f>IFERROR(__xludf.DUMMYFUNCTION("""COMPUTED_VALUE"""),"N/A")</f>
        <v>N/A</v>
      </c>
      <c r="X1403" s="97">
        <f>IFERROR(__xludf.DUMMYFUNCTION("""COMPUTED_VALUE"""),3000.0)</f>
        <v>3000</v>
      </c>
      <c r="Y1403" s="97" t="str">
        <f>IFERROR(__xludf.DUMMYFUNCTION("""COMPUTED_VALUE"""),"&gt;90")</f>
        <v>&gt;90</v>
      </c>
      <c r="Z1403" s="97" t="str">
        <f>IFERROR(__xludf.DUMMYFUNCTION("""COMPUTED_VALUE"""),"&gt;90")</f>
        <v>&gt;90</v>
      </c>
      <c r="AA1403" s="97" t="str">
        <f>IFERROR(__xludf.DUMMYFUNCTION("""COMPUTED_VALUE"""),"100 (Fidelidad neutra)")</f>
        <v>100 (Fidelidad neutra)</v>
      </c>
      <c r="AB1403" s="97" t="str">
        <f>IFERROR(__xludf.DUMMYFUNCTION("""COMPUTED_VALUE"""),"&lt; 2")</f>
        <v>&lt; 2</v>
      </c>
      <c r="AC1403" s="97">
        <f>IFERROR(__xludf.DUMMYFUNCTION("""COMPUTED_VALUE"""),1.2E-4)</f>
        <v>0.00012</v>
      </c>
      <c r="AD1403" s="97" t="str">
        <f>IFERROR(__xludf.DUMMYFUNCTION("""COMPUTED_VALUE"""),"IP20")</f>
        <v>IP20</v>
      </c>
      <c r="AE1403" s="97" t="str">
        <f>IFERROR(__xludf.DUMMYFUNCTION("""COMPUTED_VALUE"""),"Clase l")</f>
        <v>Clase l</v>
      </c>
      <c r="AF1403" s="97" t="str">
        <f>IFERROR(__xludf.DUMMYFUNCTION("""COMPUTED_VALUE"""),"Aplicar")</f>
        <v>Aplicar</v>
      </c>
      <c r="AG1403" s="97" t="str">
        <f>IFERROR(__xludf.DUMMYFUNCTION("""COMPUTED_VALUE"""),"Ø184 x 70")</f>
        <v>Ø184 x 70</v>
      </c>
      <c r="AH1403" s="97" t="str">
        <f>IFERROR(__xludf.DUMMYFUNCTION("""COMPUTED_VALUE"""),"N/A")</f>
        <v>N/A</v>
      </c>
      <c r="AI1403" s="97" t="str">
        <f>IFERROR(__xludf.DUMMYFUNCTION("""COMPUTED_VALUE"""),"N/A")</f>
        <v>N/A</v>
      </c>
      <c r="AJ1403" s="97"/>
      <c r="AK1403" s="97" t="str">
        <f>IFERROR(__xludf.DUMMYFUNCTION("""COMPUTED_VALUE"""),"Travertino y Piedra")</f>
        <v>Travertino y Piedra</v>
      </c>
      <c r="AL1403" s="97" t="str">
        <f>IFERROR(__xludf.DUMMYFUNCTION("""COMPUTED_VALUE"""),"Beige")</f>
        <v>Beige</v>
      </c>
      <c r="AM1403" s="97"/>
      <c r="AN1403" s="97" t="str">
        <f>IFERROR(__xludf.DUMMYFUNCTION("""COMPUTED_VALUE"""),"25.000hs (L70)")</f>
        <v>25.000hs (L70)</v>
      </c>
      <c r="AO1403" s="97" t="str">
        <f>IFERROR(__xludf.DUMMYFUNCTION("""COMPUTED_VALUE"""),"2 Años")</f>
        <v>2 Años</v>
      </c>
      <c r="AP1403" s="97" t="str">
        <f>IFERROR(__xludf.DUMMYFUNCTION("""COMPUTED_VALUE"""),"Disponible")</f>
        <v>Disponible</v>
      </c>
      <c r="AQ1403" s="97" t="str">
        <f>IFERROR(__xludf.DUMMYFUNCTION("""COMPUTED_VALUE"""),"Disponible")</f>
        <v>Disponible</v>
      </c>
      <c r="AR1403" s="97" t="str">
        <f>IFERROR(__xludf.DUMMYFUNCTION("""COMPUTED_VALUE"""),"Disponible")</f>
        <v>Disponible</v>
      </c>
      <c r="AS1403" s="97" t="str">
        <f>IFERROR(__xludf.DUMMYFUNCTION("""COMPUTED_VALUE"""),"Disponible")</f>
        <v>Disponible</v>
      </c>
      <c r="AT1403" s="97" t="str">
        <f>IFERROR(__xludf.DUMMYFUNCTION("""COMPUTED_VALUE"""),"Disponible")</f>
        <v>Disponible</v>
      </c>
      <c r="AU1403" s="97" t="str">
        <f>IFERROR(__xludf.DUMMYFUNCTION("""COMPUTED_VALUE"""),"Disponible")</f>
        <v>Disponible</v>
      </c>
      <c r="AV1403" s="97" t="str">
        <f>IFERROR(__xludf.DUMMYFUNCTION("""COMPUTED_VALUE"""),"Aplique")</f>
        <v>Aplique</v>
      </c>
      <c r="AW1403" s="97" t="str">
        <f>IFERROR(__xludf.DUMMYFUNCTION("""COMPUTED_VALUE"""),"De Pared")</f>
        <v>De Pared</v>
      </c>
      <c r="AX1403" s="97" t="str">
        <f>IFERROR(__xludf.DUMMYFUNCTION("""COMPUTED_VALUE"""),"Interior")</f>
        <v>Interior</v>
      </c>
      <c r="AY1403" s="97" t="str">
        <f>IFERROR(__xludf.DUMMYFUNCTION("""COMPUTED_VALUE"""),"-")</f>
        <v>-</v>
      </c>
      <c r="AZ1403" s="97" t="str">
        <f>IFERROR(__xludf.DUMMYFUNCTION("""COMPUTED_VALUE"""),"D80 Aplique. Movimiento?")</f>
        <v>D80 Aplique. Movimiento?</v>
      </c>
      <c r="BA1403" s="97"/>
      <c r="BB1403" s="97"/>
      <c r="BC1403" s="97"/>
      <c r="BD1403" s="97" t="str">
        <f>IFERROR(__xludf.DUMMYFUNCTION("""COMPUTED_VALUE"""),"DOT")</f>
        <v>DOT</v>
      </c>
      <c r="BE1403" s="97" t="str">
        <f>IFERROR(__xludf.DUMMYFUNCTION("""COMPUTED_VALUE"""),"Solicitada")</f>
        <v>Solicitada</v>
      </c>
      <c r="BF1403" s="97"/>
      <c r="BG1403" s="97" t="str">
        <f>IFERROR(__xludf.DUMMYFUNCTION("""COMPUTED_VALUE"""),"REPO 7")</f>
        <v>REPO 7</v>
      </c>
    </row>
    <row r="1404">
      <c r="A1404" s="97">
        <f>IFERROR(__xludf.DUMMYFUNCTION("""COMPUTED_VALUE"""),7504.0)</f>
        <v>7504</v>
      </c>
      <c r="B1404" s="97" t="str">
        <f>IFERROR(__xludf.DUMMYFUNCTION("""COMPUTED_VALUE"""),"DOT NG")</f>
        <v>DOT NG</v>
      </c>
      <c r="C1404" s="97" t="str">
        <f>IFERROR(__xludf.DUMMYFUNCTION("""COMPUTED_VALUE"""),"APLIQUE DOT NG 7W 3000K 505LM CRI&gt;90 IP20 LEUK")</f>
        <v>APLIQUE DOT NG 7W 3000K 505LM CRI&gt;90 IP20 LEUK</v>
      </c>
      <c r="D1404" s="97">
        <f>IFERROR(__xludf.DUMMYFUNCTION("""COMPUTED_VALUE"""),7.798413229677E12)</f>
        <v>7798413229677</v>
      </c>
      <c r="E1404" s="97" t="str">
        <f>IFERROR(__xludf.DUMMYFUNCTION("""COMPUTED_VALUE"""),"F70")</f>
        <v>F70</v>
      </c>
      <c r="F1404" s="97" t="str">
        <f>IFERROR(__xludf.DUMMYFUNCTION("""COMPUTED_VALUE"""),"LED integrado")</f>
        <v>LED integrado</v>
      </c>
      <c r="G1404" s="97" t="str">
        <f>IFERROR(__xludf.DUMMYFUNCTION("""COMPUTED_VALUE"""),"-")</f>
        <v>-</v>
      </c>
      <c r="H1404" s="97" t="str">
        <f>IFERROR(__xludf.DUMMYFUNCTION("""COMPUTED_VALUE"""),"-")</f>
        <v>-</v>
      </c>
      <c r="I1404" s="97" t="str">
        <f>IFERROR(__xludf.DUMMYFUNCTION("""COMPUTED_VALUE"""),"Si")</f>
        <v>Si</v>
      </c>
      <c r="J1404" s="97"/>
      <c r="K1404" s="97" t="str">
        <f>IFERROR(__xludf.DUMMYFUNCTION("""COMPUTED_VALUE"""),"ON/OFF")</f>
        <v>ON/OFF</v>
      </c>
      <c r="L1404" s="97" t="str">
        <f>IFERROR(__xludf.DUMMYFUNCTION("""COMPUTED_VALUE"""),"200-240")</f>
        <v>200-240</v>
      </c>
      <c r="M1404" s="97" t="str">
        <f>IFERROR(__xludf.DUMMYFUNCTION("""COMPUTED_VALUE"""),"50/60")</f>
        <v>50/60</v>
      </c>
      <c r="N1404" s="97" t="str">
        <f>IFERROR(__xludf.DUMMYFUNCTION("""COMPUTED_VALUE"""),"Indirecta")</f>
        <v>Indirecta</v>
      </c>
      <c r="O1404" s="97">
        <f>IFERROR(__xludf.DUMMYFUNCTION("""COMPUTED_VALUE"""),7.0)</f>
        <v>7</v>
      </c>
      <c r="P1404" s="97">
        <f>IFERROR(__xludf.DUMMYFUNCTION("""COMPUTED_VALUE"""),6.42)</f>
        <v>6.42</v>
      </c>
      <c r="Q1404" s="97">
        <f>IFERROR(__xludf.DUMMYFUNCTION("""COMPUTED_VALUE"""),0.6)</f>
        <v>0.6</v>
      </c>
      <c r="R1404" s="97" t="str">
        <f>IFERROR(__xludf.DUMMYFUNCTION("""COMPUTED_VALUE"""),"-")</f>
        <v>-</v>
      </c>
      <c r="S1404" s="97" t="str">
        <f>IFERROR(__xludf.DUMMYFUNCTION("""COMPUTED_VALUE"""),"-")</f>
        <v>-</v>
      </c>
      <c r="T1404" s="97">
        <f>IFERROR(__xludf.DUMMYFUNCTION("""COMPUTED_VALUE"""),505.0)</f>
        <v>505</v>
      </c>
      <c r="U1404" s="99">
        <f>IFERROR(__xludf.DUMMYFUNCTION("""COMPUTED_VALUE"""),72.14285714285714)</f>
        <v>72.14285714</v>
      </c>
      <c r="V1404" s="97">
        <f>IFERROR(__xludf.DUMMYFUNCTION("""COMPUTED_VALUE"""),120.0)</f>
        <v>120</v>
      </c>
      <c r="W1404" s="97" t="str">
        <f>IFERROR(__xludf.DUMMYFUNCTION("""COMPUTED_VALUE"""),"N/A")</f>
        <v>N/A</v>
      </c>
      <c r="X1404" s="97">
        <f>IFERROR(__xludf.DUMMYFUNCTION("""COMPUTED_VALUE"""),3000.0)</f>
        <v>3000</v>
      </c>
      <c r="Y1404" s="97" t="str">
        <f>IFERROR(__xludf.DUMMYFUNCTION("""COMPUTED_VALUE"""),"&gt;90")</f>
        <v>&gt;90</v>
      </c>
      <c r="Z1404" s="97" t="str">
        <f>IFERROR(__xludf.DUMMYFUNCTION("""COMPUTED_VALUE"""),"&gt;90")</f>
        <v>&gt;90</v>
      </c>
      <c r="AA1404" s="97" t="str">
        <f>IFERROR(__xludf.DUMMYFUNCTION("""COMPUTED_VALUE"""),"100 (Fidelidad neutra)")</f>
        <v>100 (Fidelidad neutra)</v>
      </c>
      <c r="AB1404" s="97" t="str">
        <f>IFERROR(__xludf.DUMMYFUNCTION("""COMPUTED_VALUE"""),"&lt; 2")</f>
        <v>&lt; 2</v>
      </c>
      <c r="AC1404" s="97">
        <f>IFERROR(__xludf.DUMMYFUNCTION("""COMPUTED_VALUE"""),-1.4E-4)</f>
        <v>-0.00014</v>
      </c>
      <c r="AD1404" s="97" t="str">
        <f>IFERROR(__xludf.DUMMYFUNCTION("""COMPUTED_VALUE"""),"IP20")</f>
        <v>IP20</v>
      </c>
      <c r="AE1404" s="97" t="str">
        <f>IFERROR(__xludf.DUMMYFUNCTION("""COMPUTED_VALUE"""),"Clase l")</f>
        <v>Clase l</v>
      </c>
      <c r="AF1404" s="97" t="str">
        <f>IFERROR(__xludf.DUMMYFUNCTION("""COMPUTED_VALUE"""),"Aplicar")</f>
        <v>Aplicar</v>
      </c>
      <c r="AG1404" s="97" t="str">
        <f>IFERROR(__xludf.DUMMYFUNCTION("""COMPUTED_VALUE"""),"Ø184 x 70")</f>
        <v>Ø184 x 70</v>
      </c>
      <c r="AH1404" s="97" t="str">
        <f>IFERROR(__xludf.DUMMYFUNCTION("""COMPUTED_VALUE"""),"N/A")</f>
        <v>N/A</v>
      </c>
      <c r="AI1404" s="97" t="str">
        <f>IFERROR(__xludf.DUMMYFUNCTION("""COMPUTED_VALUE"""),"N/A")</f>
        <v>N/A</v>
      </c>
      <c r="AJ1404" s="97"/>
      <c r="AK1404" s="97" t="str">
        <f>IFERROR(__xludf.DUMMYFUNCTION("""COMPUTED_VALUE"""),"Travertino y Piedra")</f>
        <v>Travertino y Piedra</v>
      </c>
      <c r="AL1404" s="97" t="str">
        <f>IFERROR(__xludf.DUMMYFUNCTION("""COMPUTED_VALUE"""),"Negro Mate")</f>
        <v>Negro Mate</v>
      </c>
      <c r="AM1404" s="97"/>
      <c r="AN1404" s="97" t="str">
        <f>IFERROR(__xludf.DUMMYFUNCTION("""COMPUTED_VALUE"""),"25.000hs (L70)")</f>
        <v>25.000hs (L70)</v>
      </c>
      <c r="AO1404" s="97" t="str">
        <f>IFERROR(__xludf.DUMMYFUNCTION("""COMPUTED_VALUE"""),"2 Años")</f>
        <v>2 Años</v>
      </c>
      <c r="AP1404" s="97" t="str">
        <f>IFERROR(__xludf.DUMMYFUNCTION("""COMPUTED_VALUE"""),"Disponible")</f>
        <v>Disponible</v>
      </c>
      <c r="AQ1404" s="97" t="str">
        <f>IFERROR(__xludf.DUMMYFUNCTION("""COMPUTED_VALUE"""),"Disponible")</f>
        <v>Disponible</v>
      </c>
      <c r="AR1404" s="97" t="str">
        <f>IFERROR(__xludf.DUMMYFUNCTION("""COMPUTED_VALUE"""),"Disponible")</f>
        <v>Disponible</v>
      </c>
      <c r="AS1404" s="97" t="str">
        <f>IFERROR(__xludf.DUMMYFUNCTION("""COMPUTED_VALUE"""),"Disponible")</f>
        <v>Disponible</v>
      </c>
      <c r="AT1404" s="97" t="str">
        <f>IFERROR(__xludf.DUMMYFUNCTION("""COMPUTED_VALUE"""),"Disponible")</f>
        <v>Disponible</v>
      </c>
      <c r="AU1404" s="97" t="str">
        <f>IFERROR(__xludf.DUMMYFUNCTION("""COMPUTED_VALUE"""),"Disponible")</f>
        <v>Disponible</v>
      </c>
      <c r="AV1404" s="97" t="str">
        <f>IFERROR(__xludf.DUMMYFUNCTION("""COMPUTED_VALUE"""),"Aplique")</f>
        <v>Aplique</v>
      </c>
      <c r="AW1404" s="97" t="str">
        <f>IFERROR(__xludf.DUMMYFUNCTION("""COMPUTED_VALUE"""),"De Pared")</f>
        <v>De Pared</v>
      </c>
      <c r="AX1404" s="97" t="str">
        <f>IFERROR(__xludf.DUMMYFUNCTION("""COMPUTED_VALUE"""),"Interior")</f>
        <v>Interior</v>
      </c>
      <c r="AY1404" s="97" t="str">
        <f>IFERROR(__xludf.DUMMYFUNCTION("""COMPUTED_VALUE"""),"-")</f>
        <v>-</v>
      </c>
      <c r="AZ1404" s="97" t="str">
        <f>IFERROR(__xludf.DUMMYFUNCTION("""COMPUTED_VALUE"""),"D80 Aplique. Movimiento?")</f>
        <v>D80 Aplique. Movimiento?</v>
      </c>
      <c r="BA1404" s="97"/>
      <c r="BB1404" s="97"/>
      <c r="BC1404" s="97"/>
      <c r="BD1404" s="97" t="str">
        <f>IFERROR(__xludf.DUMMYFUNCTION("""COMPUTED_VALUE"""),"DOT")</f>
        <v>DOT</v>
      </c>
      <c r="BE1404" s="97" t="str">
        <f>IFERROR(__xludf.DUMMYFUNCTION("""COMPUTED_VALUE"""),"Solicitada")</f>
        <v>Solicitada</v>
      </c>
      <c r="BF1404" s="97"/>
      <c r="BG1404" s="97" t="str">
        <f>IFERROR(__xludf.DUMMYFUNCTION("""COMPUTED_VALUE"""),"REPO 7")</f>
        <v>REPO 7</v>
      </c>
    </row>
    <row r="1405">
      <c r="A1405" s="97">
        <f>IFERROR(__xludf.DUMMYFUNCTION("""COMPUTED_VALUE"""),7505.0)</f>
        <v>7505</v>
      </c>
      <c r="B1405" s="97" t="str">
        <f>IFERROR(__xludf.DUMMYFUNCTION("""COMPUTED_VALUE"""),"ORBIS NG")</f>
        <v>ORBIS NG</v>
      </c>
      <c r="C1405" s="97" t="str">
        <f>IFERROR(__xludf.DUMMYFUNCTION("""COMPUTED_VALUE"""),"COLGANTE ORBIS NG 12+8W 3000K 1030LM CRI&gt;90 IP20 LEUK")</f>
        <v>COLGANTE ORBIS NG 12+8W 3000K 1030LM CRI&gt;90 IP20 LEUK</v>
      </c>
      <c r="D1405" s="97">
        <f>IFERROR(__xludf.DUMMYFUNCTION("""COMPUTED_VALUE"""),7.798413229684E12)</f>
        <v>7798413229684</v>
      </c>
      <c r="E1405" s="97" t="str">
        <f>IFERROR(__xludf.DUMMYFUNCTION("""COMPUTED_VALUE"""),"A131")</f>
        <v>A131</v>
      </c>
      <c r="F1405" s="97" t="str">
        <f>IFERROR(__xludf.DUMMYFUNCTION("""COMPUTED_VALUE"""),"LED integrado")</f>
        <v>LED integrado</v>
      </c>
      <c r="G1405" s="97" t="str">
        <f>IFERROR(__xludf.DUMMYFUNCTION("""COMPUTED_VALUE"""),"-")</f>
        <v>-</v>
      </c>
      <c r="H1405" s="97" t="str">
        <f>IFERROR(__xludf.DUMMYFUNCTION("""COMPUTED_VALUE"""),"Eaglerise")</f>
        <v>Eaglerise</v>
      </c>
      <c r="I1405" s="97" t="str">
        <f>IFERROR(__xludf.DUMMYFUNCTION("""COMPUTED_VALUE"""),"Si")</f>
        <v>Si</v>
      </c>
      <c r="J1405" s="97"/>
      <c r="K1405" s="97" t="str">
        <f>IFERROR(__xludf.DUMMYFUNCTION("""COMPUTED_VALUE"""),"ON/OFF")</f>
        <v>ON/OFF</v>
      </c>
      <c r="L1405" s="97" t="str">
        <f>IFERROR(__xludf.DUMMYFUNCTION("""COMPUTED_VALUE"""),"220-240")</f>
        <v>220-240</v>
      </c>
      <c r="M1405" s="97" t="str">
        <f>IFERROR(__xludf.DUMMYFUNCTION("""COMPUTED_VALUE"""),"50/60")</f>
        <v>50/60</v>
      </c>
      <c r="N1405" s="97" t="str">
        <f>IFERROR(__xludf.DUMMYFUNCTION("""COMPUTED_VALUE"""),"Difusa")</f>
        <v>Difusa</v>
      </c>
      <c r="O1405" s="97" t="str">
        <f>IFERROR(__xludf.DUMMYFUNCTION("""COMPUTED_VALUE"""),"12+8")</f>
        <v>12+8</v>
      </c>
      <c r="P1405" s="97">
        <f>IFERROR(__xludf.DUMMYFUNCTION("""COMPUTED_VALUE"""),19.01)</f>
        <v>19.01</v>
      </c>
      <c r="Q1405" s="97">
        <f>IFERROR(__xludf.DUMMYFUNCTION("""COMPUTED_VALUE"""),0.6)</f>
        <v>0.6</v>
      </c>
      <c r="R1405" s="97" t="str">
        <f>IFERROR(__xludf.DUMMYFUNCTION("""COMPUTED_VALUE"""),"-")</f>
        <v>-</v>
      </c>
      <c r="S1405" s="97" t="str">
        <f>IFERROR(__xludf.DUMMYFUNCTION("""COMPUTED_VALUE"""),"-")</f>
        <v>-</v>
      </c>
      <c r="T1405" s="97">
        <f>IFERROR(__xludf.DUMMYFUNCTION("""COMPUTED_VALUE"""),1030.0)</f>
        <v>1030</v>
      </c>
      <c r="U1405" s="99">
        <f>IFERROR(__xludf.DUMMYFUNCTION("""COMPUTED_VALUE"""),85.83333333333333)</f>
        <v>85.83333333</v>
      </c>
      <c r="V1405" s="97">
        <f>IFERROR(__xludf.DUMMYFUNCTION("""COMPUTED_VALUE"""),335.0)</f>
        <v>335</v>
      </c>
      <c r="W1405" s="97" t="str">
        <f>IFERROR(__xludf.DUMMYFUNCTION("""COMPUTED_VALUE"""),"&lt; 19")</f>
        <v>&lt; 19</v>
      </c>
      <c r="X1405" s="97">
        <f>IFERROR(__xludf.DUMMYFUNCTION("""COMPUTED_VALUE"""),3000.0)</f>
        <v>3000</v>
      </c>
      <c r="Y1405" s="97" t="str">
        <f>IFERROR(__xludf.DUMMYFUNCTION("""COMPUTED_VALUE"""),"&gt;90")</f>
        <v>&gt;90</v>
      </c>
      <c r="Z1405" s="97" t="str">
        <f>IFERROR(__xludf.DUMMYFUNCTION("""COMPUTED_VALUE"""),"&gt;90")</f>
        <v>&gt;90</v>
      </c>
      <c r="AA1405" s="97" t="str">
        <f>IFERROR(__xludf.DUMMYFUNCTION("""COMPUTED_VALUE"""),"90-99 (Leve desaturación)")</f>
        <v>90-99 (Leve desaturación)</v>
      </c>
      <c r="AB1405" s="97" t="str">
        <f>IFERROR(__xludf.DUMMYFUNCTION("""COMPUTED_VALUE"""),"&lt; 4")</f>
        <v>&lt; 4</v>
      </c>
      <c r="AC1405" s="97">
        <f>IFERROR(__xludf.DUMMYFUNCTION("""COMPUTED_VALUE"""),6.6E-4)</f>
        <v>0.00066</v>
      </c>
      <c r="AD1405" s="97" t="str">
        <f>IFERROR(__xludf.DUMMYFUNCTION("""COMPUTED_VALUE"""),"IP20")</f>
        <v>IP20</v>
      </c>
      <c r="AE1405" s="97" t="str">
        <f>IFERROR(__xludf.DUMMYFUNCTION("""COMPUTED_VALUE"""),"Clase l")</f>
        <v>Clase l</v>
      </c>
      <c r="AF1405" s="97" t="str">
        <f>IFERROR(__xludf.DUMMYFUNCTION("""COMPUTED_VALUE"""),"Suspender")</f>
        <v>Suspender</v>
      </c>
      <c r="AG1405" s="97" t="str">
        <f>IFERROR(__xludf.DUMMYFUNCTION("""COMPUTED_VALUE"""),"Ø400 x 975 o 600")</f>
        <v>Ø400 x 975 o 600</v>
      </c>
      <c r="AH1405" s="97" t="str">
        <f>IFERROR(__xludf.DUMMYFUNCTION("""COMPUTED_VALUE"""),"N/A")</f>
        <v>N/A</v>
      </c>
      <c r="AI1405" s="97" t="str">
        <f>IFERROR(__xludf.DUMMYFUNCTION("""COMPUTED_VALUE"""),"N/A")</f>
        <v>N/A</v>
      </c>
      <c r="AJ1405" s="97"/>
      <c r="AK1405" s="97" t="str">
        <f>IFERROR(__xludf.DUMMYFUNCTION("""COMPUTED_VALUE"""),"Alabastro")</f>
        <v>Alabastro</v>
      </c>
      <c r="AL1405" s="97" t="str">
        <f>IFERROR(__xludf.DUMMYFUNCTION("""COMPUTED_VALUE"""),"Negro Mate")</f>
        <v>Negro Mate</v>
      </c>
      <c r="AM1405" s="97"/>
      <c r="AN1405" s="97" t="str">
        <f>IFERROR(__xludf.DUMMYFUNCTION("""COMPUTED_VALUE"""),"25.000hs (L70)")</f>
        <v>25.000hs (L70)</v>
      </c>
      <c r="AO1405" s="97" t="str">
        <f>IFERROR(__xludf.DUMMYFUNCTION("""COMPUTED_VALUE"""),"2 Años")</f>
        <v>2 Años</v>
      </c>
      <c r="AP1405" s="97" t="str">
        <f>IFERROR(__xludf.DUMMYFUNCTION("""COMPUTED_VALUE"""),"Disponible")</f>
        <v>Disponible</v>
      </c>
      <c r="AQ1405" s="97" t="str">
        <f>IFERROR(__xludf.DUMMYFUNCTION("""COMPUTED_VALUE"""),"Disponible")</f>
        <v>Disponible</v>
      </c>
      <c r="AR1405" s="97" t="str">
        <f>IFERROR(__xludf.DUMMYFUNCTION("""COMPUTED_VALUE"""),"Disponible")</f>
        <v>Disponible</v>
      </c>
      <c r="AS1405" s="97" t="str">
        <f>IFERROR(__xludf.DUMMYFUNCTION("""COMPUTED_VALUE"""),"Disponible")</f>
        <v>Disponible</v>
      </c>
      <c r="AT1405" s="97" t="str">
        <f>IFERROR(__xludf.DUMMYFUNCTION("""COMPUTED_VALUE"""),"Disponible")</f>
        <v>Disponible</v>
      </c>
      <c r="AU1405" s="97" t="str">
        <f>IFERROR(__xludf.DUMMYFUNCTION("""COMPUTED_VALUE"""),"Disponible")</f>
        <v>Disponible</v>
      </c>
      <c r="AV1405" s="97" t="str">
        <f>IFERROR(__xludf.DUMMYFUNCTION("""COMPUTED_VALUE"""),"Colgante")</f>
        <v>Colgante</v>
      </c>
      <c r="AW1405" s="97" t="str">
        <f>IFERROR(__xludf.DUMMYFUNCTION("""COMPUTED_VALUE"""),"De Techo")</f>
        <v>De Techo</v>
      </c>
      <c r="AX1405" s="97" t="str">
        <f>IFERROR(__xludf.DUMMYFUNCTION("""COMPUTED_VALUE"""),"Interior")</f>
        <v>Interior</v>
      </c>
      <c r="AY1405" s="97" t="str">
        <f>IFERROR(__xludf.DUMMYFUNCTION("""COMPUTED_VALUE"""),"-")</f>
        <v>-</v>
      </c>
      <c r="AZ1405" s="97" t="str">
        <f>IFERROR(__xludf.DUMMYFUNCTION("""COMPUTED_VALUE"""),"Floron: D70x100")</f>
        <v>Floron: D70x100</v>
      </c>
      <c r="BA1405" s="97"/>
      <c r="BB1405" s="97"/>
      <c r="BC1405" s="97"/>
      <c r="BD1405" s="97" t="str">
        <f>IFERROR(__xludf.DUMMYFUNCTION("""COMPUTED_VALUE"""),"ORBIS")</f>
        <v>ORBIS</v>
      </c>
      <c r="BE1405" s="97" t="str">
        <f>IFERROR(__xludf.DUMMYFUNCTION("""COMPUTED_VALUE"""),"Solicitada")</f>
        <v>Solicitada</v>
      </c>
      <c r="BF1405" s="97"/>
      <c r="BG1405" s="97" t="str">
        <f>IFERROR(__xludf.DUMMYFUNCTION("""COMPUTED_VALUE"""),"REPO 7")</f>
        <v>REPO 7</v>
      </c>
    </row>
    <row r="1406">
      <c r="A1406" s="97">
        <f>IFERROR(__xludf.DUMMYFUNCTION("""COMPUTED_VALUE"""),7506.0)</f>
        <v>7506</v>
      </c>
      <c r="B1406" s="97" t="str">
        <f>IFERROR(__xludf.DUMMYFUNCTION("""COMPUTED_VALUE"""),"ORBIS BL")</f>
        <v>ORBIS BL</v>
      </c>
      <c r="C1406" s="97" t="str">
        <f>IFERROR(__xludf.DUMMYFUNCTION("""COMPUTED_VALUE"""),"COLGANTE ORBIS BL 12+8W 3000K 1030LM CRI&gt;90 IP20 LEUK")</f>
        <v>COLGANTE ORBIS BL 12+8W 3000K 1030LM CRI&gt;90 IP20 LEUK</v>
      </c>
      <c r="D1406" s="97">
        <f>IFERROR(__xludf.DUMMYFUNCTION("""COMPUTED_VALUE"""),7.798413229691E12)</f>
        <v>7798413229691</v>
      </c>
      <c r="E1406" s="97" t="str">
        <f>IFERROR(__xludf.DUMMYFUNCTION("""COMPUTED_VALUE"""),"A131")</f>
        <v>A131</v>
      </c>
      <c r="F1406" s="97" t="str">
        <f>IFERROR(__xludf.DUMMYFUNCTION("""COMPUTED_VALUE"""),"LED integrado")</f>
        <v>LED integrado</v>
      </c>
      <c r="G1406" s="97" t="str">
        <f>IFERROR(__xludf.DUMMYFUNCTION("""COMPUTED_VALUE"""),"-")</f>
        <v>-</v>
      </c>
      <c r="H1406" s="97" t="str">
        <f>IFERROR(__xludf.DUMMYFUNCTION("""COMPUTED_VALUE"""),"Eaglerise")</f>
        <v>Eaglerise</v>
      </c>
      <c r="I1406" s="97" t="str">
        <f>IFERROR(__xludf.DUMMYFUNCTION("""COMPUTED_VALUE"""),"Si")</f>
        <v>Si</v>
      </c>
      <c r="J1406" s="97"/>
      <c r="K1406" s="97" t="str">
        <f>IFERROR(__xludf.DUMMYFUNCTION("""COMPUTED_VALUE"""),"ON/OFF")</f>
        <v>ON/OFF</v>
      </c>
      <c r="L1406" s="97" t="str">
        <f>IFERROR(__xludf.DUMMYFUNCTION("""COMPUTED_VALUE"""),"220-240")</f>
        <v>220-240</v>
      </c>
      <c r="M1406" s="97" t="str">
        <f>IFERROR(__xludf.DUMMYFUNCTION("""COMPUTED_VALUE"""),"50/60")</f>
        <v>50/60</v>
      </c>
      <c r="N1406" s="97" t="str">
        <f>IFERROR(__xludf.DUMMYFUNCTION("""COMPUTED_VALUE"""),"Difusa")</f>
        <v>Difusa</v>
      </c>
      <c r="O1406" s="97" t="str">
        <f>IFERROR(__xludf.DUMMYFUNCTION("""COMPUTED_VALUE"""),"12+8")</f>
        <v>12+8</v>
      </c>
      <c r="P1406" s="97">
        <f>IFERROR(__xludf.DUMMYFUNCTION("""COMPUTED_VALUE"""),19.01)</f>
        <v>19.01</v>
      </c>
      <c r="Q1406" s="97">
        <f>IFERROR(__xludf.DUMMYFUNCTION("""COMPUTED_VALUE"""),0.6)</f>
        <v>0.6</v>
      </c>
      <c r="R1406" s="97" t="str">
        <f>IFERROR(__xludf.DUMMYFUNCTION("""COMPUTED_VALUE"""),"-")</f>
        <v>-</v>
      </c>
      <c r="S1406" s="97" t="str">
        <f>IFERROR(__xludf.DUMMYFUNCTION("""COMPUTED_VALUE"""),"-")</f>
        <v>-</v>
      </c>
      <c r="T1406" s="97">
        <f>IFERROR(__xludf.DUMMYFUNCTION("""COMPUTED_VALUE"""),1030.0)</f>
        <v>1030</v>
      </c>
      <c r="U1406" s="99">
        <f>IFERROR(__xludf.DUMMYFUNCTION("""COMPUTED_VALUE"""),85.83333333333333)</f>
        <v>85.83333333</v>
      </c>
      <c r="V1406" s="97">
        <f>IFERROR(__xludf.DUMMYFUNCTION("""COMPUTED_VALUE"""),335.0)</f>
        <v>335</v>
      </c>
      <c r="W1406" s="97" t="str">
        <f>IFERROR(__xludf.DUMMYFUNCTION("""COMPUTED_VALUE"""),"&lt; 19")</f>
        <v>&lt; 19</v>
      </c>
      <c r="X1406" s="97">
        <f>IFERROR(__xludf.DUMMYFUNCTION("""COMPUTED_VALUE"""),3000.0)</f>
        <v>3000</v>
      </c>
      <c r="Y1406" s="97" t="str">
        <f>IFERROR(__xludf.DUMMYFUNCTION("""COMPUTED_VALUE"""),"&gt;90")</f>
        <v>&gt;90</v>
      </c>
      <c r="Z1406" s="97" t="str">
        <f>IFERROR(__xludf.DUMMYFUNCTION("""COMPUTED_VALUE"""),"&gt;90")</f>
        <v>&gt;90</v>
      </c>
      <c r="AA1406" s="97" t="str">
        <f>IFERROR(__xludf.DUMMYFUNCTION("""COMPUTED_VALUE"""),"90-99 (Leve desaturación)")</f>
        <v>90-99 (Leve desaturación)</v>
      </c>
      <c r="AB1406" s="97" t="str">
        <f>IFERROR(__xludf.DUMMYFUNCTION("""COMPUTED_VALUE"""),"&lt; 4")</f>
        <v>&lt; 4</v>
      </c>
      <c r="AC1406" s="97">
        <f>IFERROR(__xludf.DUMMYFUNCTION("""COMPUTED_VALUE"""),6.6E-4)</f>
        <v>0.00066</v>
      </c>
      <c r="AD1406" s="97" t="str">
        <f>IFERROR(__xludf.DUMMYFUNCTION("""COMPUTED_VALUE"""),"IP20")</f>
        <v>IP20</v>
      </c>
      <c r="AE1406" s="97" t="str">
        <f>IFERROR(__xludf.DUMMYFUNCTION("""COMPUTED_VALUE"""),"Clase l")</f>
        <v>Clase l</v>
      </c>
      <c r="AF1406" s="97" t="str">
        <f>IFERROR(__xludf.DUMMYFUNCTION("""COMPUTED_VALUE"""),"Suspender")</f>
        <v>Suspender</v>
      </c>
      <c r="AG1406" s="97" t="str">
        <f>IFERROR(__xludf.DUMMYFUNCTION("""COMPUTED_VALUE"""),"Ø400 x 975 o 600")</f>
        <v>Ø400 x 975 o 600</v>
      </c>
      <c r="AH1406" s="97" t="str">
        <f>IFERROR(__xludf.DUMMYFUNCTION("""COMPUTED_VALUE"""),"N/A")</f>
        <v>N/A</v>
      </c>
      <c r="AI1406" s="97" t="str">
        <f>IFERROR(__xludf.DUMMYFUNCTION("""COMPUTED_VALUE"""),"N/A")</f>
        <v>N/A</v>
      </c>
      <c r="AJ1406" s="97"/>
      <c r="AK1406" s="97" t="str">
        <f>IFERROR(__xludf.DUMMYFUNCTION("""COMPUTED_VALUE"""),"Alabastro")</f>
        <v>Alabastro</v>
      </c>
      <c r="AL1406" s="97" t="str">
        <f>IFERROR(__xludf.DUMMYFUNCTION("""COMPUTED_VALUE"""),"Blanco Mate")</f>
        <v>Blanco Mate</v>
      </c>
      <c r="AM1406" s="97"/>
      <c r="AN1406" s="97" t="str">
        <f>IFERROR(__xludf.DUMMYFUNCTION("""COMPUTED_VALUE"""),"25.000hs (L70)")</f>
        <v>25.000hs (L70)</v>
      </c>
      <c r="AO1406" s="97" t="str">
        <f>IFERROR(__xludf.DUMMYFUNCTION("""COMPUTED_VALUE"""),"2 Años")</f>
        <v>2 Años</v>
      </c>
      <c r="AP1406" s="97" t="str">
        <f>IFERROR(__xludf.DUMMYFUNCTION("""COMPUTED_VALUE"""),"Disponible")</f>
        <v>Disponible</v>
      </c>
      <c r="AQ1406" s="97" t="str">
        <f>IFERROR(__xludf.DUMMYFUNCTION("""COMPUTED_VALUE"""),"Disponible")</f>
        <v>Disponible</v>
      </c>
      <c r="AR1406" s="97" t="str">
        <f>IFERROR(__xludf.DUMMYFUNCTION("""COMPUTED_VALUE"""),"Disponible")</f>
        <v>Disponible</v>
      </c>
      <c r="AS1406" s="97" t="str">
        <f>IFERROR(__xludf.DUMMYFUNCTION("""COMPUTED_VALUE"""),"Disponible")</f>
        <v>Disponible</v>
      </c>
      <c r="AT1406" s="97" t="str">
        <f>IFERROR(__xludf.DUMMYFUNCTION("""COMPUTED_VALUE"""),"Disponible")</f>
        <v>Disponible</v>
      </c>
      <c r="AU1406" s="97" t="str">
        <f>IFERROR(__xludf.DUMMYFUNCTION("""COMPUTED_VALUE"""),"Disponible")</f>
        <v>Disponible</v>
      </c>
      <c r="AV1406" s="97" t="str">
        <f>IFERROR(__xludf.DUMMYFUNCTION("""COMPUTED_VALUE"""),"Colgante")</f>
        <v>Colgante</v>
      </c>
      <c r="AW1406" s="97" t="str">
        <f>IFERROR(__xludf.DUMMYFUNCTION("""COMPUTED_VALUE"""),"De Techo")</f>
        <v>De Techo</v>
      </c>
      <c r="AX1406" s="97" t="str">
        <f>IFERROR(__xludf.DUMMYFUNCTION("""COMPUTED_VALUE"""),"Interior")</f>
        <v>Interior</v>
      </c>
      <c r="AY1406" s="97" t="str">
        <f>IFERROR(__xludf.DUMMYFUNCTION("""COMPUTED_VALUE"""),"-")</f>
        <v>-</v>
      </c>
      <c r="AZ1406" s="97" t="str">
        <f>IFERROR(__xludf.DUMMYFUNCTION("""COMPUTED_VALUE"""),"Floron: D70x100")</f>
        <v>Floron: D70x100</v>
      </c>
      <c r="BA1406" s="97"/>
      <c r="BB1406" s="97"/>
      <c r="BC1406" s="97"/>
      <c r="BD1406" s="97" t="str">
        <f>IFERROR(__xludf.DUMMYFUNCTION("""COMPUTED_VALUE"""),"ORBIS")</f>
        <v>ORBIS</v>
      </c>
      <c r="BE1406" s="97" t="str">
        <f>IFERROR(__xludf.DUMMYFUNCTION("""COMPUTED_VALUE"""),"Solicitada")</f>
        <v>Solicitada</v>
      </c>
      <c r="BF1406" s="97"/>
      <c r="BG1406" s="97" t="str">
        <f>IFERROR(__xludf.DUMMYFUNCTION("""COMPUTED_VALUE"""),"REPO 7")</f>
        <v>REPO 7</v>
      </c>
    </row>
    <row r="1407">
      <c r="A1407" s="97">
        <f>IFERROR(__xludf.DUMMYFUNCTION("""COMPUTED_VALUE"""),7508.0)</f>
        <v>7508</v>
      </c>
      <c r="B1407" s="97" t="str">
        <f>IFERROR(__xludf.DUMMYFUNCTION("""COMPUTED_VALUE"""),"NODO")</f>
        <v>NODO</v>
      </c>
      <c r="C1407" s="97" t="str">
        <f>IFERROR(__xludf.DUMMYFUNCTION("""COMPUTED_VALUE"""),"MESA NODO 1W 3000K 50LM CRI&gt;90 IP20 LEUK")</f>
        <v>MESA NODO 1W 3000K 50LM CRI&gt;90 IP20 LEUK</v>
      </c>
      <c r="D1407" s="97">
        <f>IFERROR(__xludf.DUMMYFUNCTION("""COMPUTED_VALUE"""),7.798413229707E12)</f>
        <v>7798413229707</v>
      </c>
      <c r="E1407" s="97" t="str">
        <f>IFERROR(__xludf.DUMMYFUNCTION("""COMPUTED_VALUE"""),"-")</f>
        <v>-</v>
      </c>
      <c r="F1407" s="97" t="str">
        <f>IFERROR(__xludf.DUMMYFUNCTION("""COMPUTED_VALUE"""),"LED integrado")</f>
        <v>LED integrado</v>
      </c>
      <c r="G1407" s="97" t="str">
        <f>IFERROR(__xludf.DUMMYFUNCTION("""COMPUTED_VALUE"""),"-")</f>
        <v>-</v>
      </c>
      <c r="H1407" s="97" t="str">
        <f>IFERROR(__xludf.DUMMYFUNCTION("""COMPUTED_VALUE"""),"-")</f>
        <v>-</v>
      </c>
      <c r="I1407" s="97"/>
      <c r="J1407" s="97"/>
      <c r="K1407" s="97" t="str">
        <f>IFERROR(__xludf.DUMMYFUNCTION("""COMPUTED_VALUE"""),"PWM")</f>
        <v>PWM</v>
      </c>
      <c r="L1407" s="97" t="str">
        <f>IFERROR(__xludf.DUMMYFUNCTION("""COMPUTED_VALUE"""),"5Vdc 1A")</f>
        <v>5Vdc 1A</v>
      </c>
      <c r="M1407" s="97" t="str">
        <f>IFERROR(__xludf.DUMMYFUNCTION("""COMPUTED_VALUE"""),"N/A")</f>
        <v>N/A</v>
      </c>
      <c r="N1407" s="97" t="str">
        <f>IFERROR(__xludf.DUMMYFUNCTION("""COMPUTED_VALUE"""),"Difusa")</f>
        <v>Difusa</v>
      </c>
      <c r="O1407" s="97">
        <f>IFERROR(__xludf.DUMMYFUNCTION("""COMPUTED_VALUE"""),1.0)</f>
        <v>1</v>
      </c>
      <c r="P1407" s="97" t="str">
        <f>IFERROR(__xludf.DUMMYFUNCTION("""COMPUTED_VALUE"""),"-")</f>
        <v>-</v>
      </c>
      <c r="Q1407" s="97"/>
      <c r="R1407" s="97" t="str">
        <f>IFERROR(__xludf.DUMMYFUNCTION("""COMPUTED_VALUE"""),"-")</f>
        <v>-</v>
      </c>
      <c r="S1407" s="97" t="str">
        <f>IFERROR(__xludf.DUMMYFUNCTION("""COMPUTED_VALUE"""),"-")</f>
        <v>-</v>
      </c>
      <c r="T1407" s="97">
        <f>IFERROR(__xludf.DUMMYFUNCTION("""COMPUTED_VALUE"""),50.0)</f>
        <v>50</v>
      </c>
      <c r="U1407" s="99">
        <f>IFERROR(__xludf.DUMMYFUNCTION("""COMPUTED_VALUE"""),50.0)</f>
        <v>50</v>
      </c>
      <c r="V1407" s="97"/>
      <c r="W1407" s="97" t="str">
        <f>IFERROR(__xludf.DUMMYFUNCTION("""COMPUTED_VALUE"""),"&lt; 10")</f>
        <v>&lt; 10</v>
      </c>
      <c r="X1407" s="97">
        <f>IFERROR(__xludf.DUMMYFUNCTION("""COMPUTED_VALUE"""),3000.0)</f>
        <v>3000</v>
      </c>
      <c r="Y1407" s="97" t="str">
        <f>IFERROR(__xludf.DUMMYFUNCTION("""COMPUTED_VALUE"""),"&gt;90")</f>
        <v>&gt;90</v>
      </c>
      <c r="Z1407" s="97" t="str">
        <f>IFERROR(__xludf.DUMMYFUNCTION("""COMPUTED_VALUE"""),"&gt;90")</f>
        <v>&gt;90</v>
      </c>
      <c r="AA1407" s="97" t="str">
        <f>IFERROR(__xludf.DUMMYFUNCTION("""COMPUTED_VALUE"""),"100 (Fidelidad neutra)")</f>
        <v>100 (Fidelidad neutra)</v>
      </c>
      <c r="AB1407" s="97" t="str">
        <f>IFERROR(__xludf.DUMMYFUNCTION("""COMPUTED_VALUE"""),"&lt; 2")</f>
        <v>&lt; 2</v>
      </c>
      <c r="AC1407" s="100" t="str">
        <f>IFERROR(__xludf.DUMMYFUNCTION("""COMPUTED_VALUE"""),"-0.001")</f>
        <v>-0.001</v>
      </c>
      <c r="AD1407" s="97" t="str">
        <f>IFERROR(__xludf.DUMMYFUNCTION("""COMPUTED_VALUE"""),"IP20")</f>
        <v>IP20</v>
      </c>
      <c r="AE1407" s="97"/>
      <c r="AF1407" s="97" t="str">
        <f>IFERROR(__xludf.DUMMYFUNCTION("""COMPUTED_VALUE"""),"Autoportante")</f>
        <v>Autoportante</v>
      </c>
      <c r="AG1407" s="97" t="str">
        <f>IFERROR(__xludf.DUMMYFUNCTION("""COMPUTED_VALUE"""),"Ø120 x 110")</f>
        <v>Ø120 x 110</v>
      </c>
      <c r="AH1407" s="97" t="str">
        <f>IFERROR(__xludf.DUMMYFUNCTION("""COMPUTED_VALUE"""),"N/A")</f>
        <v>N/A</v>
      </c>
      <c r="AI1407" s="97" t="str">
        <f>IFERROR(__xludf.DUMMYFUNCTION("""COMPUTED_VALUE"""),"N/A")</f>
        <v>N/A</v>
      </c>
      <c r="AJ1407" s="97"/>
      <c r="AK1407" s="97" t="str">
        <f>IFERROR(__xludf.DUMMYFUNCTION("""COMPUTED_VALUE"""),"Aluminio y Alabastro")</f>
        <v>Aluminio y Alabastro</v>
      </c>
      <c r="AL1407" s="97" t="str">
        <f>IFERROR(__xludf.DUMMYFUNCTION("""COMPUTED_VALUE"""),"Natural")</f>
        <v>Natural</v>
      </c>
      <c r="AM1407" s="97"/>
      <c r="AN1407" s="97" t="str">
        <f>IFERROR(__xludf.DUMMYFUNCTION("""COMPUTED_VALUE"""),"25.000hs (L70)")</f>
        <v>25.000hs (L70)</v>
      </c>
      <c r="AO1407" s="97" t="str">
        <f>IFERROR(__xludf.DUMMYFUNCTION("""COMPUTED_VALUE"""),"2 Años")</f>
        <v>2 Años</v>
      </c>
      <c r="AP1407" s="97" t="str">
        <f>IFERROR(__xludf.DUMMYFUNCTION("""COMPUTED_VALUE"""),"No Aplica")</f>
        <v>No Aplica</v>
      </c>
      <c r="AQ1407" s="97" t="str">
        <f>IFERROR(__xludf.DUMMYFUNCTION("""COMPUTED_VALUE"""),"No Aplica")</f>
        <v>No Aplica</v>
      </c>
      <c r="AR1407" s="97" t="str">
        <f>IFERROR(__xludf.DUMMYFUNCTION("""COMPUTED_VALUE"""),"No Aplica")</f>
        <v>No Aplica</v>
      </c>
      <c r="AS1407" s="97" t="str">
        <f>IFERROR(__xludf.DUMMYFUNCTION("""COMPUTED_VALUE"""),"Falta")</f>
        <v>Falta</v>
      </c>
      <c r="AT1407" s="97" t="str">
        <f>IFERROR(__xludf.DUMMYFUNCTION("""COMPUTED_VALUE"""),"Falta")</f>
        <v>Falta</v>
      </c>
      <c r="AU1407" s="97" t="str">
        <f>IFERROR(__xludf.DUMMYFUNCTION("""COMPUTED_VALUE"""),"Disponible")</f>
        <v>Disponible</v>
      </c>
      <c r="AV1407" s="97" t="str">
        <f>IFERROR(__xludf.DUMMYFUNCTION("""COMPUTED_VALUE"""),"Mesa")</f>
        <v>Mesa</v>
      </c>
      <c r="AW1407" s="97" t="str">
        <f>IFERROR(__xludf.DUMMYFUNCTION("""COMPUTED_VALUE"""),"De Apoyo")</f>
        <v>De Apoyo</v>
      </c>
      <c r="AX1407" s="97" t="str">
        <f>IFERROR(__xludf.DUMMYFUNCTION("""COMPUTED_VALUE"""),"Interior")</f>
        <v>Interior</v>
      </c>
      <c r="AY1407" s="97" t="str">
        <f>IFERROR(__xludf.DUMMYFUNCTION("""COMPUTED_VALUE"""),"-")</f>
        <v>-</v>
      </c>
      <c r="AZ1407" s="97" t="str">
        <f>IFERROR(__xludf.DUMMYFUNCTION("""COMPUTED_VALUE"""),"Battery: 600mAh | 5V/1A | Incluye cable USB Tipo C | No incluye cargador | Duración de batería según intensidad: 100% - 10hs . 10% - 32hs")</f>
        <v>Battery: 600mAh | 5V/1A | Incluye cable USB Tipo C | No incluye cargador | Duración de batería según intensidad: 100% - 10hs . 10% - 32hs</v>
      </c>
      <c r="BA1407" s="97"/>
      <c r="BB1407" s="97"/>
      <c r="BC1407" s="97"/>
      <c r="BD1407" s="97" t="str">
        <f>IFERROR(__xludf.DUMMYFUNCTION("""COMPUTED_VALUE"""),"NODO")</f>
        <v>NODO</v>
      </c>
      <c r="BE1407" s="97" t="str">
        <f>IFERROR(__xludf.DUMMYFUNCTION("""COMPUTED_VALUE"""),"Solicitada")</f>
        <v>Solicitada</v>
      </c>
      <c r="BF1407" s="97"/>
      <c r="BG1407" s="97" t="str">
        <f>IFERROR(__xludf.DUMMYFUNCTION("""COMPUTED_VALUE"""),"REPO 7")</f>
        <v>REPO 7</v>
      </c>
    </row>
    <row r="1408">
      <c r="A1408" s="97">
        <f>IFERROR(__xludf.DUMMYFUNCTION("""COMPUTED_VALUE"""),7509.0)</f>
        <v>7509</v>
      </c>
      <c r="B1408" s="97" t="str">
        <f>IFERROR(__xludf.DUMMYFUNCTION("""COMPUTED_VALUE"""),"KOKO")</f>
        <v>KOKO</v>
      </c>
      <c r="C1408" s="97" t="str">
        <f>IFERROR(__xludf.DUMMYFUNCTION("""COMPUTED_VALUE"""),"MESA KOKO 1,5W 3000K 40LM CRI&gt;90 IP20 LEUK")</f>
        <v>MESA KOKO 1,5W 3000K 40LM CRI&gt;90 IP20 LEUK</v>
      </c>
      <c r="D1408" s="97">
        <f>IFERROR(__xludf.DUMMYFUNCTION("""COMPUTED_VALUE"""),7.798413229714E12)</f>
        <v>7798413229714</v>
      </c>
      <c r="E1408" s="97" t="str">
        <f>IFERROR(__xludf.DUMMYFUNCTION("""COMPUTED_VALUE"""),"-")</f>
        <v>-</v>
      </c>
      <c r="F1408" s="97" t="str">
        <f>IFERROR(__xludf.DUMMYFUNCTION("""COMPUTED_VALUE"""),"LED integrado")</f>
        <v>LED integrado</v>
      </c>
      <c r="G1408" s="97" t="str">
        <f>IFERROR(__xludf.DUMMYFUNCTION("""COMPUTED_VALUE"""),"-")</f>
        <v>-</v>
      </c>
      <c r="H1408" s="97" t="str">
        <f>IFERROR(__xludf.DUMMYFUNCTION("""COMPUTED_VALUE"""),"-")</f>
        <v>-</v>
      </c>
      <c r="I1408" s="97"/>
      <c r="J1408" s="97"/>
      <c r="K1408" s="97" t="str">
        <f>IFERROR(__xludf.DUMMYFUNCTION("""COMPUTED_VALUE"""),"PWM")</f>
        <v>PWM</v>
      </c>
      <c r="L1408" s="97" t="str">
        <f>IFERROR(__xludf.DUMMYFUNCTION("""COMPUTED_VALUE"""),"5Vdc 1A")</f>
        <v>5Vdc 1A</v>
      </c>
      <c r="M1408" s="97" t="str">
        <f>IFERROR(__xludf.DUMMYFUNCTION("""COMPUTED_VALUE"""),"N/A")</f>
        <v>N/A</v>
      </c>
      <c r="N1408" s="97" t="str">
        <f>IFERROR(__xludf.DUMMYFUNCTION("""COMPUTED_VALUE"""),"Indirecta")</f>
        <v>Indirecta</v>
      </c>
      <c r="O1408" s="97">
        <f>IFERROR(__xludf.DUMMYFUNCTION("""COMPUTED_VALUE"""),1.5)</f>
        <v>1.5</v>
      </c>
      <c r="P1408" s="97" t="str">
        <f>IFERROR(__xludf.DUMMYFUNCTION("""COMPUTED_VALUE"""),"-")</f>
        <v>-</v>
      </c>
      <c r="Q1408" s="97"/>
      <c r="R1408" s="97" t="str">
        <f>IFERROR(__xludf.DUMMYFUNCTION("""COMPUTED_VALUE"""),"-")</f>
        <v>-</v>
      </c>
      <c r="S1408" s="97" t="str">
        <f>IFERROR(__xludf.DUMMYFUNCTION("""COMPUTED_VALUE"""),"-")</f>
        <v>-</v>
      </c>
      <c r="T1408" s="97">
        <f>IFERROR(__xludf.DUMMYFUNCTION("""COMPUTED_VALUE"""),40.0)</f>
        <v>40</v>
      </c>
      <c r="U1408" s="99">
        <f>IFERROR(__xludf.DUMMYFUNCTION("""COMPUTED_VALUE"""),26.666666666666668)</f>
        <v>26.66666667</v>
      </c>
      <c r="V1408" s="97"/>
      <c r="W1408" s="97" t="str">
        <f>IFERROR(__xludf.DUMMYFUNCTION("""COMPUTED_VALUE"""),"N/A")</f>
        <v>N/A</v>
      </c>
      <c r="X1408" s="97">
        <f>IFERROR(__xludf.DUMMYFUNCTION("""COMPUTED_VALUE"""),3000.0)</f>
        <v>3000</v>
      </c>
      <c r="Y1408" s="97" t="str">
        <f>IFERROR(__xludf.DUMMYFUNCTION("""COMPUTED_VALUE"""),"&gt;90")</f>
        <v>&gt;90</v>
      </c>
      <c r="Z1408" s="97" t="str">
        <f>IFERROR(__xludf.DUMMYFUNCTION("""COMPUTED_VALUE"""),"&gt;90")</f>
        <v>&gt;90</v>
      </c>
      <c r="AA1408" s="97" t="str">
        <f>IFERROR(__xludf.DUMMYFUNCTION("""COMPUTED_VALUE"""),"100 (Fidelidad neutra)")</f>
        <v>100 (Fidelidad neutra)</v>
      </c>
      <c r="AB1408" s="97" t="str">
        <f>IFERROR(__xludf.DUMMYFUNCTION("""COMPUTED_VALUE"""),"-")</f>
        <v>-</v>
      </c>
      <c r="AC1408" s="100" t="str">
        <f>IFERROR(__xludf.DUMMYFUNCTION("""COMPUTED_VALUE"""),"-0.00442")</f>
        <v>-0.00442</v>
      </c>
      <c r="AD1408" s="97" t="str">
        <f>IFERROR(__xludf.DUMMYFUNCTION("""COMPUTED_VALUE"""),"IP20")</f>
        <v>IP20</v>
      </c>
      <c r="AE1408" s="97"/>
      <c r="AF1408" s="97" t="str">
        <f>IFERROR(__xludf.DUMMYFUNCTION("""COMPUTED_VALUE"""),"Autoportante")</f>
        <v>Autoportante</v>
      </c>
      <c r="AG1408" s="97" t="str">
        <f>IFERROR(__xludf.DUMMYFUNCTION("""COMPUTED_VALUE"""),"Ø140 x 190")</f>
        <v>Ø140 x 190</v>
      </c>
      <c r="AH1408" s="97" t="str">
        <f>IFERROR(__xludf.DUMMYFUNCTION("""COMPUTED_VALUE"""),"N/A")</f>
        <v>N/A</v>
      </c>
      <c r="AI1408" s="97" t="str">
        <f>IFERROR(__xludf.DUMMYFUNCTION("""COMPUTED_VALUE"""),"N/A")</f>
        <v>N/A</v>
      </c>
      <c r="AJ1408" s="97"/>
      <c r="AK1408" s="97" t="str">
        <f>IFERROR(__xludf.DUMMYFUNCTION("""COMPUTED_VALUE"""),"Aluminio y Mármol")</f>
        <v>Aluminio y Mármol</v>
      </c>
      <c r="AL1408" s="97" t="str">
        <f>IFERROR(__xludf.DUMMYFUNCTION("""COMPUTED_VALUE"""),"Natural")</f>
        <v>Natural</v>
      </c>
      <c r="AM1408" s="97"/>
      <c r="AN1408" s="97" t="str">
        <f>IFERROR(__xludf.DUMMYFUNCTION("""COMPUTED_VALUE"""),"25.000hs (L70)")</f>
        <v>25.000hs (L70)</v>
      </c>
      <c r="AO1408" s="97" t="str">
        <f>IFERROR(__xludf.DUMMYFUNCTION("""COMPUTED_VALUE"""),"2 Años")</f>
        <v>2 Años</v>
      </c>
      <c r="AP1408" s="97" t="str">
        <f>IFERROR(__xludf.DUMMYFUNCTION("""COMPUTED_VALUE"""),"No Aplica")</f>
        <v>No Aplica</v>
      </c>
      <c r="AQ1408" s="97" t="str">
        <f>IFERROR(__xludf.DUMMYFUNCTION("""COMPUTED_VALUE"""),"No Aplica")</f>
        <v>No Aplica</v>
      </c>
      <c r="AR1408" s="97" t="str">
        <f>IFERROR(__xludf.DUMMYFUNCTION("""COMPUTED_VALUE"""),"No Aplica")</f>
        <v>No Aplica</v>
      </c>
      <c r="AS1408" s="97" t="str">
        <f>IFERROR(__xludf.DUMMYFUNCTION("""COMPUTED_VALUE"""),"Falta")</f>
        <v>Falta</v>
      </c>
      <c r="AT1408" s="97" t="str">
        <f>IFERROR(__xludf.DUMMYFUNCTION("""COMPUTED_VALUE"""),"Falta")</f>
        <v>Falta</v>
      </c>
      <c r="AU1408" s="97" t="str">
        <f>IFERROR(__xludf.DUMMYFUNCTION("""COMPUTED_VALUE"""),"Disponible")</f>
        <v>Disponible</v>
      </c>
      <c r="AV1408" s="97" t="str">
        <f>IFERROR(__xludf.DUMMYFUNCTION("""COMPUTED_VALUE"""),"Mesa")</f>
        <v>Mesa</v>
      </c>
      <c r="AW1408" s="97" t="str">
        <f>IFERROR(__xludf.DUMMYFUNCTION("""COMPUTED_VALUE"""),"De Apoyo")</f>
        <v>De Apoyo</v>
      </c>
      <c r="AX1408" s="97" t="str">
        <f>IFERROR(__xludf.DUMMYFUNCTION("""COMPUTED_VALUE"""),"Interior")</f>
        <v>Interior</v>
      </c>
      <c r="AY1408" s="97" t="str">
        <f>IFERROR(__xludf.DUMMYFUNCTION("""COMPUTED_VALUE"""),"-")</f>
        <v>-</v>
      </c>
      <c r="AZ1408" s="97" t="str">
        <f>IFERROR(__xludf.DUMMYFUNCTION("""COMPUTED_VALUE"""),"Battery: 2000mAh | 5V/1A | Incluye cable USB Tipo C | No incluye cargador | Duración de batería según intensidad: 100% - 10hs . 10% - 32hs")</f>
        <v>Battery: 2000mAh | 5V/1A | Incluye cable USB Tipo C | No incluye cargador | Duración de batería según intensidad: 100% - 10hs . 10% - 32hs</v>
      </c>
      <c r="BA1408" s="97"/>
      <c r="BB1408" s="97"/>
      <c r="BC1408" s="97"/>
      <c r="BD1408" s="97" t="str">
        <f>IFERROR(__xludf.DUMMYFUNCTION("""COMPUTED_VALUE"""),"KOKO")</f>
        <v>KOKO</v>
      </c>
      <c r="BE1408" s="97" t="str">
        <f>IFERROR(__xludf.DUMMYFUNCTION("""COMPUTED_VALUE"""),"Solicitada")</f>
        <v>Solicitada</v>
      </c>
      <c r="BF1408" s="97"/>
      <c r="BG1408" s="97" t="str">
        <f>IFERROR(__xludf.DUMMYFUNCTION("""COMPUTED_VALUE"""),"REPO 7")</f>
        <v>REPO 7</v>
      </c>
    </row>
    <row r="1409">
      <c r="A1409" s="97">
        <f>IFERROR(__xludf.DUMMYFUNCTION("""COMPUTED_VALUE"""),7510.0)</f>
        <v>7510</v>
      </c>
      <c r="B1409" s="97" t="str">
        <f>IFERROR(__xludf.DUMMYFUNCTION("""COMPUTED_VALUE"""),"MINI SPY BL")</f>
        <v>MINI SPY BL</v>
      </c>
      <c r="C1409" s="97" t="str">
        <f>IFERROR(__xludf.DUMMYFUNCTION("""COMPUTED_VALUE"""),"EMPOTRABLE MINI SPY BL 1W 3000K 55LM CRI&gt;90 IP20 LEUK")</f>
        <v>EMPOTRABLE MINI SPY BL 1W 3000K 55LM CRI&gt;90 IP20 LEUK</v>
      </c>
      <c r="D1409" s="97">
        <f>IFERROR(__xludf.DUMMYFUNCTION("""COMPUTED_VALUE"""),7.798413229721E12)</f>
        <v>7798413229721</v>
      </c>
      <c r="E1409" s="97" t="str">
        <f>IFERROR(__xludf.DUMMYFUNCTION("""COMPUTED_VALUE"""),"-")</f>
        <v>-</v>
      </c>
      <c r="F1409" s="97" t="str">
        <f>IFERROR(__xludf.DUMMYFUNCTION("""COMPUTED_VALUE"""),"LED SMD")</f>
        <v>LED SMD</v>
      </c>
      <c r="G1409" s="97" t="str">
        <f>IFERROR(__xludf.DUMMYFUNCTION("""COMPUTED_VALUE"""),"-")</f>
        <v>-</v>
      </c>
      <c r="H1409" s="97" t="str">
        <f>IFERROR(__xludf.DUMMYFUNCTION("""COMPUTED_VALUE"""),"N/A")</f>
        <v>N/A</v>
      </c>
      <c r="I1409" s="97" t="str">
        <f>IFERROR(__xludf.DUMMYFUNCTION("""COMPUTED_VALUE"""),"N/A")</f>
        <v>N/A</v>
      </c>
      <c r="J1409" s="97" t="str">
        <f>IFERROR(__xludf.DUMMYFUNCTION("""COMPUTED_VALUE"""),"N/A")</f>
        <v>N/A</v>
      </c>
      <c r="K1409" s="97"/>
      <c r="L1409" s="97" t="str">
        <f>IFERROR(__xludf.DUMMYFUNCTION("""COMPUTED_VALUE"""),"24Vdc")</f>
        <v>24Vdc</v>
      </c>
      <c r="M1409" s="97" t="str">
        <f>IFERROR(__xludf.DUMMYFUNCTION("""COMPUTED_VALUE"""),"N/A")</f>
        <v>N/A</v>
      </c>
      <c r="N1409" s="97" t="str">
        <f>IFERROR(__xludf.DUMMYFUNCTION("""COMPUTED_VALUE"""),"Directa")</f>
        <v>Directa</v>
      </c>
      <c r="O1409" s="97">
        <f>IFERROR(__xludf.DUMMYFUNCTION("""COMPUTED_VALUE"""),1.0)</f>
        <v>1</v>
      </c>
      <c r="P1409" s="97">
        <f>IFERROR(__xludf.DUMMYFUNCTION("""COMPUTED_VALUE"""),0.75)</f>
        <v>0.75</v>
      </c>
      <c r="Q1409" s="97" t="str">
        <f>IFERROR(__xludf.DUMMYFUNCTION("""COMPUTED_VALUE"""),"N/A")</f>
        <v>N/A</v>
      </c>
      <c r="R1409" s="97" t="str">
        <f>IFERROR(__xludf.DUMMYFUNCTION("""COMPUTED_VALUE"""),"-")</f>
        <v>-</v>
      </c>
      <c r="S1409" s="97" t="str">
        <f>IFERROR(__xludf.DUMMYFUNCTION("""COMPUTED_VALUE"""),"-")</f>
        <v>-</v>
      </c>
      <c r="T1409" s="97">
        <f>IFERROR(__xludf.DUMMYFUNCTION("""COMPUTED_VALUE"""),55.0)</f>
        <v>55</v>
      </c>
      <c r="U1409" s="99">
        <f>IFERROR(__xludf.DUMMYFUNCTION("""COMPUTED_VALUE"""),55.0)</f>
        <v>55</v>
      </c>
      <c r="V1409" s="97">
        <f>IFERROR(__xludf.DUMMYFUNCTION("""COMPUTED_VALUE"""),38.0)</f>
        <v>38</v>
      </c>
      <c r="W1409" s="97" t="str">
        <f>IFERROR(__xludf.DUMMYFUNCTION("""COMPUTED_VALUE"""),"&lt; 10")</f>
        <v>&lt; 10</v>
      </c>
      <c r="X1409" s="97">
        <f>IFERROR(__xludf.DUMMYFUNCTION("""COMPUTED_VALUE"""),3000.0)</f>
        <v>3000</v>
      </c>
      <c r="Y1409" s="97" t="str">
        <f>IFERROR(__xludf.DUMMYFUNCTION("""COMPUTED_VALUE"""),"&gt;90")</f>
        <v>&gt;90</v>
      </c>
      <c r="Z1409" s="97" t="str">
        <f>IFERROR(__xludf.DUMMYFUNCTION("""COMPUTED_VALUE"""),"-")</f>
        <v>-</v>
      </c>
      <c r="AA1409" s="97" t="str">
        <f>IFERROR(__xludf.DUMMYFUNCTION("""COMPUTED_VALUE"""),"-")</f>
        <v>-</v>
      </c>
      <c r="AB1409" s="97" t="str">
        <f>IFERROR(__xludf.DUMMYFUNCTION("""COMPUTED_VALUE"""),"&lt; 2")</f>
        <v>&lt; 2</v>
      </c>
      <c r="AC1409" s="97">
        <f>IFERROR(__xludf.DUMMYFUNCTION("""COMPUTED_VALUE"""),-0.0013)</f>
        <v>-0.0013</v>
      </c>
      <c r="AD1409" s="97" t="str">
        <f>IFERROR(__xludf.DUMMYFUNCTION("""COMPUTED_VALUE"""),"IP20")</f>
        <v>IP20</v>
      </c>
      <c r="AE1409" s="97" t="str">
        <f>IFERROR(__xludf.DUMMYFUNCTION("""COMPUTED_VALUE"""),"Clase lll")</f>
        <v>Clase lll</v>
      </c>
      <c r="AF1409" s="97" t="str">
        <f>IFERROR(__xludf.DUMMYFUNCTION("""COMPUTED_VALUE"""),"Embutir")</f>
        <v>Embutir</v>
      </c>
      <c r="AG1409" s="97" t="str">
        <f>IFERROR(__xludf.DUMMYFUNCTION("""COMPUTED_VALUE"""),"Ø20 x 20")</f>
        <v>Ø20 x 20</v>
      </c>
      <c r="AH1409" s="97" t="str">
        <f>IFERROR(__xludf.DUMMYFUNCTION("""COMPUTED_VALUE"""),"Ø16")</f>
        <v>Ø16</v>
      </c>
      <c r="AI1409" s="97"/>
      <c r="AJ1409" s="97"/>
      <c r="AK1409" s="97" t="str">
        <f>IFERROR(__xludf.DUMMYFUNCTION("""COMPUTED_VALUE"""),"Aluminio")</f>
        <v>Aluminio</v>
      </c>
      <c r="AL1409" s="97" t="str">
        <f>IFERROR(__xludf.DUMMYFUNCTION("""COMPUTED_VALUE"""),"Blanco")</f>
        <v>Blanco</v>
      </c>
      <c r="AM1409" s="97" t="str">
        <f>IFERROR(__xludf.DUMMYFUNCTION("""COMPUTED_VALUE"""),"-25℃ a 50℃")</f>
        <v>-25℃ a 50℃</v>
      </c>
      <c r="AN1409" s="97" t="str">
        <f>IFERROR(__xludf.DUMMYFUNCTION("""COMPUTED_VALUE"""),"25.000hs (L70)")</f>
        <v>25.000hs (L70)</v>
      </c>
      <c r="AO1409" s="97" t="str">
        <f>IFERROR(__xludf.DUMMYFUNCTION("""COMPUTED_VALUE"""),"2 Años")</f>
        <v>2 Años</v>
      </c>
      <c r="AP1409" s="97" t="str">
        <f>IFERROR(__xludf.DUMMYFUNCTION("""COMPUTED_VALUE"""),"Disponible")</f>
        <v>Disponible</v>
      </c>
      <c r="AQ1409" s="97" t="str">
        <f>IFERROR(__xludf.DUMMYFUNCTION("""COMPUTED_VALUE"""),"Disponible")</f>
        <v>Disponible</v>
      </c>
      <c r="AR1409" s="97" t="str">
        <f>IFERROR(__xludf.DUMMYFUNCTION("""COMPUTED_VALUE"""),"Disponible")</f>
        <v>Disponible</v>
      </c>
      <c r="AS1409" s="97" t="str">
        <f>IFERROR(__xludf.DUMMYFUNCTION("""COMPUTED_VALUE"""),"Falta")</f>
        <v>Falta</v>
      </c>
      <c r="AT1409" s="97" t="str">
        <f>IFERROR(__xludf.DUMMYFUNCTION("""COMPUTED_VALUE"""),"Falta")</f>
        <v>Falta</v>
      </c>
      <c r="AU1409" s="97" t="str">
        <f>IFERROR(__xludf.DUMMYFUNCTION("""COMPUTED_VALUE"""),"Disponible")</f>
        <v>Disponible</v>
      </c>
      <c r="AV1409" s="97" t="str">
        <f>IFERROR(__xludf.DUMMYFUNCTION("""COMPUTED_VALUE"""),"Empotrable")</f>
        <v>Empotrable</v>
      </c>
      <c r="AW1409" s="97" t="str">
        <f>IFERROR(__xludf.DUMMYFUNCTION("""COMPUTED_VALUE"""),"De Techo")</f>
        <v>De Techo</v>
      </c>
      <c r="AX1409" s="97" t="str">
        <f>IFERROR(__xludf.DUMMYFUNCTION("""COMPUTED_VALUE"""),"Interior")</f>
        <v>Interior</v>
      </c>
      <c r="AY1409" s="97" t="str">
        <f>IFERROR(__xludf.DUMMYFUNCTION("""COMPUTED_VALUE"""),"-")</f>
        <v>-</v>
      </c>
      <c r="AZ1409" s="97"/>
      <c r="BA1409" s="97">
        <f>IFERROR(__xludf.DUMMYFUNCTION("""COMPUTED_VALUE"""),100.0)</f>
        <v>100</v>
      </c>
      <c r="BB1409" s="97" t="str">
        <f>IFERROR(__xludf.DUMMYFUNCTION("""COMPUTED_VALUE"""),"10g")</f>
        <v>10g</v>
      </c>
      <c r="BC1409" s="97"/>
      <c r="BD1409" s="97" t="str">
        <f>IFERROR(__xludf.DUMMYFUNCTION("""COMPUTED_VALUE"""),"MINI SPY")</f>
        <v>MINI SPY</v>
      </c>
      <c r="BE1409" s="97" t="str">
        <f>IFERROR(__xludf.DUMMYFUNCTION("""COMPUTED_VALUE"""),"Solicitada")</f>
        <v>Solicitada</v>
      </c>
      <c r="BF1409" s="97"/>
      <c r="BG1409" s="97" t="str">
        <f>IFERROR(__xludf.DUMMYFUNCTION("""COMPUTED_VALUE"""),"REPO 7")</f>
        <v>REPO 7</v>
      </c>
    </row>
    <row r="1410">
      <c r="A1410" s="97">
        <f>IFERROR(__xludf.DUMMYFUNCTION("""COMPUTED_VALUE"""),7511.0)</f>
        <v>7511</v>
      </c>
      <c r="B1410" s="97" t="str">
        <f>IFERROR(__xludf.DUMMYFUNCTION("""COMPUTED_VALUE"""),"MINI SPY NG")</f>
        <v>MINI SPY NG</v>
      </c>
      <c r="C1410" s="97" t="str">
        <f>IFERROR(__xludf.DUMMYFUNCTION("""COMPUTED_VALUE"""),"EMPOTRABLE MINI SPY NG 1W 3000K 55LM CRI&gt;90 IP20 LEUK")</f>
        <v>EMPOTRABLE MINI SPY NG 1W 3000K 55LM CRI&gt;90 IP20 LEUK</v>
      </c>
      <c r="D1410" s="97">
        <f>IFERROR(__xludf.DUMMYFUNCTION("""COMPUTED_VALUE"""),7.798413229738E12)</f>
        <v>7798413229738</v>
      </c>
      <c r="E1410" s="97" t="str">
        <f>IFERROR(__xludf.DUMMYFUNCTION("""COMPUTED_VALUE"""),"-")</f>
        <v>-</v>
      </c>
      <c r="F1410" s="97" t="str">
        <f>IFERROR(__xludf.DUMMYFUNCTION("""COMPUTED_VALUE"""),"LED SMD")</f>
        <v>LED SMD</v>
      </c>
      <c r="G1410" s="97" t="str">
        <f>IFERROR(__xludf.DUMMYFUNCTION("""COMPUTED_VALUE"""),"-")</f>
        <v>-</v>
      </c>
      <c r="H1410" s="97" t="str">
        <f>IFERROR(__xludf.DUMMYFUNCTION("""COMPUTED_VALUE"""),"N/A")</f>
        <v>N/A</v>
      </c>
      <c r="I1410" s="97" t="str">
        <f>IFERROR(__xludf.DUMMYFUNCTION("""COMPUTED_VALUE"""),"N/A")</f>
        <v>N/A</v>
      </c>
      <c r="J1410" s="97" t="str">
        <f>IFERROR(__xludf.DUMMYFUNCTION("""COMPUTED_VALUE"""),"N/A")</f>
        <v>N/A</v>
      </c>
      <c r="K1410" s="97"/>
      <c r="L1410" s="97" t="str">
        <f>IFERROR(__xludf.DUMMYFUNCTION("""COMPUTED_VALUE"""),"24Vdc")</f>
        <v>24Vdc</v>
      </c>
      <c r="M1410" s="97" t="str">
        <f>IFERROR(__xludf.DUMMYFUNCTION("""COMPUTED_VALUE"""),"N/A")</f>
        <v>N/A</v>
      </c>
      <c r="N1410" s="97" t="str">
        <f>IFERROR(__xludf.DUMMYFUNCTION("""COMPUTED_VALUE"""),"Directa")</f>
        <v>Directa</v>
      </c>
      <c r="O1410" s="97">
        <f>IFERROR(__xludf.DUMMYFUNCTION("""COMPUTED_VALUE"""),1.0)</f>
        <v>1</v>
      </c>
      <c r="P1410" s="97">
        <f>IFERROR(__xludf.DUMMYFUNCTION("""COMPUTED_VALUE"""),0.75)</f>
        <v>0.75</v>
      </c>
      <c r="Q1410" s="97" t="str">
        <f>IFERROR(__xludf.DUMMYFUNCTION("""COMPUTED_VALUE"""),"N/A")</f>
        <v>N/A</v>
      </c>
      <c r="R1410" s="97" t="str">
        <f>IFERROR(__xludf.DUMMYFUNCTION("""COMPUTED_VALUE"""),"-")</f>
        <v>-</v>
      </c>
      <c r="S1410" s="97" t="str">
        <f>IFERROR(__xludf.DUMMYFUNCTION("""COMPUTED_VALUE"""),"-")</f>
        <v>-</v>
      </c>
      <c r="T1410" s="97">
        <f>IFERROR(__xludf.DUMMYFUNCTION("""COMPUTED_VALUE"""),55.0)</f>
        <v>55</v>
      </c>
      <c r="U1410" s="99">
        <f>IFERROR(__xludf.DUMMYFUNCTION("""COMPUTED_VALUE"""),55.0)</f>
        <v>55</v>
      </c>
      <c r="V1410" s="97">
        <f>IFERROR(__xludf.DUMMYFUNCTION("""COMPUTED_VALUE"""),38.0)</f>
        <v>38</v>
      </c>
      <c r="W1410" s="97" t="str">
        <f>IFERROR(__xludf.DUMMYFUNCTION("""COMPUTED_VALUE"""),"&lt; 10")</f>
        <v>&lt; 10</v>
      </c>
      <c r="X1410" s="97">
        <f>IFERROR(__xludf.DUMMYFUNCTION("""COMPUTED_VALUE"""),3000.0)</f>
        <v>3000</v>
      </c>
      <c r="Y1410" s="97" t="str">
        <f>IFERROR(__xludf.DUMMYFUNCTION("""COMPUTED_VALUE"""),"&gt;90")</f>
        <v>&gt;90</v>
      </c>
      <c r="Z1410" s="97" t="str">
        <f>IFERROR(__xludf.DUMMYFUNCTION("""COMPUTED_VALUE"""),"-")</f>
        <v>-</v>
      </c>
      <c r="AA1410" s="97" t="str">
        <f>IFERROR(__xludf.DUMMYFUNCTION("""COMPUTED_VALUE"""),"-")</f>
        <v>-</v>
      </c>
      <c r="AB1410" s="97" t="str">
        <f>IFERROR(__xludf.DUMMYFUNCTION("""COMPUTED_VALUE"""),"&lt; 2")</f>
        <v>&lt; 2</v>
      </c>
      <c r="AC1410" s="97">
        <f>IFERROR(__xludf.DUMMYFUNCTION("""COMPUTED_VALUE"""),-0.0019)</f>
        <v>-0.0019</v>
      </c>
      <c r="AD1410" s="97" t="str">
        <f>IFERROR(__xludf.DUMMYFUNCTION("""COMPUTED_VALUE"""),"IP20")</f>
        <v>IP20</v>
      </c>
      <c r="AE1410" s="97" t="str">
        <f>IFERROR(__xludf.DUMMYFUNCTION("""COMPUTED_VALUE"""),"Clase lll")</f>
        <v>Clase lll</v>
      </c>
      <c r="AF1410" s="97" t="str">
        <f>IFERROR(__xludf.DUMMYFUNCTION("""COMPUTED_VALUE"""),"Embutir")</f>
        <v>Embutir</v>
      </c>
      <c r="AG1410" s="97" t="str">
        <f>IFERROR(__xludf.DUMMYFUNCTION("""COMPUTED_VALUE"""),"Ø20 x 20")</f>
        <v>Ø20 x 20</v>
      </c>
      <c r="AH1410" s="97" t="str">
        <f>IFERROR(__xludf.DUMMYFUNCTION("""COMPUTED_VALUE"""),"Ø16")</f>
        <v>Ø16</v>
      </c>
      <c r="AI1410" s="97"/>
      <c r="AJ1410" s="97"/>
      <c r="AK1410" s="97" t="str">
        <f>IFERROR(__xludf.DUMMYFUNCTION("""COMPUTED_VALUE"""),"Aluminio")</f>
        <v>Aluminio</v>
      </c>
      <c r="AL1410" s="97" t="str">
        <f>IFERROR(__xludf.DUMMYFUNCTION("""COMPUTED_VALUE"""),"Negro")</f>
        <v>Negro</v>
      </c>
      <c r="AM1410" s="97" t="str">
        <f>IFERROR(__xludf.DUMMYFUNCTION("""COMPUTED_VALUE"""),"-25℃ a 50℃")</f>
        <v>-25℃ a 50℃</v>
      </c>
      <c r="AN1410" s="97" t="str">
        <f>IFERROR(__xludf.DUMMYFUNCTION("""COMPUTED_VALUE"""),"25.000hs (L70)")</f>
        <v>25.000hs (L70)</v>
      </c>
      <c r="AO1410" s="97" t="str">
        <f>IFERROR(__xludf.DUMMYFUNCTION("""COMPUTED_VALUE"""),"2 Años")</f>
        <v>2 Años</v>
      </c>
      <c r="AP1410" s="97" t="str">
        <f>IFERROR(__xludf.DUMMYFUNCTION("""COMPUTED_VALUE"""),"Disponible")</f>
        <v>Disponible</v>
      </c>
      <c r="AQ1410" s="97" t="str">
        <f>IFERROR(__xludf.DUMMYFUNCTION("""COMPUTED_VALUE"""),"Disponible")</f>
        <v>Disponible</v>
      </c>
      <c r="AR1410" s="97" t="str">
        <f>IFERROR(__xludf.DUMMYFUNCTION("""COMPUTED_VALUE"""),"Disponible")</f>
        <v>Disponible</v>
      </c>
      <c r="AS1410" s="97" t="str">
        <f>IFERROR(__xludf.DUMMYFUNCTION("""COMPUTED_VALUE"""),"Falta")</f>
        <v>Falta</v>
      </c>
      <c r="AT1410" s="97" t="str">
        <f>IFERROR(__xludf.DUMMYFUNCTION("""COMPUTED_VALUE"""),"Falta")</f>
        <v>Falta</v>
      </c>
      <c r="AU1410" s="97" t="str">
        <f>IFERROR(__xludf.DUMMYFUNCTION("""COMPUTED_VALUE"""),"Disponible")</f>
        <v>Disponible</v>
      </c>
      <c r="AV1410" s="97" t="str">
        <f>IFERROR(__xludf.DUMMYFUNCTION("""COMPUTED_VALUE"""),"Empotrable")</f>
        <v>Empotrable</v>
      </c>
      <c r="AW1410" s="97" t="str">
        <f>IFERROR(__xludf.DUMMYFUNCTION("""COMPUTED_VALUE"""),"De Techo")</f>
        <v>De Techo</v>
      </c>
      <c r="AX1410" s="97" t="str">
        <f>IFERROR(__xludf.DUMMYFUNCTION("""COMPUTED_VALUE"""),"Interior")</f>
        <v>Interior</v>
      </c>
      <c r="AY1410" s="97" t="str">
        <f>IFERROR(__xludf.DUMMYFUNCTION("""COMPUTED_VALUE"""),"-")</f>
        <v>-</v>
      </c>
      <c r="AZ1410" s="97"/>
      <c r="BA1410" s="97">
        <f>IFERROR(__xludf.DUMMYFUNCTION("""COMPUTED_VALUE"""),100.0)</f>
        <v>100</v>
      </c>
      <c r="BB1410" s="97" t="str">
        <f>IFERROR(__xludf.DUMMYFUNCTION("""COMPUTED_VALUE"""),"10g")</f>
        <v>10g</v>
      </c>
      <c r="BC1410" s="97"/>
      <c r="BD1410" s="97" t="str">
        <f>IFERROR(__xludf.DUMMYFUNCTION("""COMPUTED_VALUE"""),"MINI SPY")</f>
        <v>MINI SPY</v>
      </c>
      <c r="BE1410" s="97" t="str">
        <f>IFERROR(__xludf.DUMMYFUNCTION("""COMPUTED_VALUE"""),"Solicitada")</f>
        <v>Solicitada</v>
      </c>
      <c r="BF1410" s="97"/>
      <c r="BG1410" s="97" t="str">
        <f>IFERROR(__xludf.DUMMYFUNCTION("""COMPUTED_VALUE"""),"REPO 7")</f>
        <v>REPO 7</v>
      </c>
    </row>
    <row r="1411">
      <c r="A1411" s="97">
        <f>IFERROR(__xludf.DUMMYFUNCTION("""COMPUTED_VALUE"""),7512.0)</f>
        <v>7512</v>
      </c>
      <c r="B1411" s="97" t="str">
        <f>IFERROR(__xludf.DUMMYFUNCTION("""COMPUTED_VALUE"""),"SPY BLNG")</f>
        <v>SPY BLNG</v>
      </c>
      <c r="C1411" s="97" t="str">
        <f>IFERROR(__xludf.DUMMYFUNCTION("""COMPUTED_VALUE"""),"EMPOTRABLE SPY BLNG 3W 3000K 125LM CRI&gt;90 IP20 LEUK")</f>
        <v>EMPOTRABLE SPY BLNG 3W 3000K 125LM CRI&gt;90 IP20 LEUK</v>
      </c>
      <c r="D1411" s="97">
        <f>IFERROR(__xludf.DUMMYFUNCTION("""COMPUTED_VALUE"""),7.798413229745E12)</f>
        <v>7798413229745</v>
      </c>
      <c r="E1411" s="97" t="str">
        <f>IFERROR(__xludf.DUMMYFUNCTION("""COMPUTED_VALUE"""),"F95")</f>
        <v>F95</v>
      </c>
      <c r="F1411" s="97" t="str">
        <f>IFERROR(__xludf.DUMMYFUNCTION("""COMPUTED_VALUE"""),"LED SMD")</f>
        <v>LED SMD</v>
      </c>
      <c r="G1411" s="97" t="str">
        <f>IFERROR(__xludf.DUMMYFUNCTION("""COMPUTED_VALUE"""),"-")</f>
        <v>-</v>
      </c>
      <c r="H1411" s="97" t="str">
        <f>IFERROR(__xludf.DUMMYFUNCTION("""COMPUTED_VALUE"""),"-")</f>
        <v>-</v>
      </c>
      <c r="I1411" s="97"/>
      <c r="J1411" s="97" t="str">
        <f>IFERROR(__xludf.DUMMYFUNCTION("""COMPUTED_VALUE"""),"Non-isolated - 85～265VAC - 50/60Hz
&gt;0.5 - 2-4V 600MA±5")</f>
        <v>Non-isolated - 85～265VAC - 50/60Hz
&gt;0.5 - 2-4V 600MA±5</v>
      </c>
      <c r="K1411" s="97"/>
      <c r="L1411" s="97" t="str">
        <f>IFERROR(__xludf.DUMMYFUNCTION("""COMPUTED_VALUE"""),"200-240")</f>
        <v>200-240</v>
      </c>
      <c r="M1411" s="97" t="str">
        <f>IFERROR(__xludf.DUMMYFUNCTION("""COMPUTED_VALUE"""),"50/60")</f>
        <v>50/60</v>
      </c>
      <c r="N1411" s="97" t="str">
        <f>IFERROR(__xludf.DUMMYFUNCTION("""COMPUTED_VALUE"""),"Directa")</f>
        <v>Directa</v>
      </c>
      <c r="O1411" s="97">
        <f>IFERROR(__xludf.DUMMYFUNCTION("""COMPUTED_VALUE"""),3.0)</f>
        <v>3</v>
      </c>
      <c r="P1411" s="97">
        <f>IFERROR(__xludf.DUMMYFUNCTION("""COMPUTED_VALUE"""),2.5)</f>
        <v>2.5</v>
      </c>
      <c r="Q1411" s="97">
        <f>IFERROR(__xludf.DUMMYFUNCTION("""COMPUTED_VALUE"""),0.5)</f>
        <v>0.5</v>
      </c>
      <c r="R1411" s="97" t="str">
        <f>IFERROR(__xludf.DUMMYFUNCTION("""COMPUTED_VALUE"""),"-")</f>
        <v>-</v>
      </c>
      <c r="S1411" s="97" t="str">
        <f>IFERROR(__xludf.DUMMYFUNCTION("""COMPUTED_VALUE"""),"-")</f>
        <v>-</v>
      </c>
      <c r="T1411" s="97">
        <f>IFERROR(__xludf.DUMMYFUNCTION("""COMPUTED_VALUE"""),125.0)</f>
        <v>125</v>
      </c>
      <c r="U1411" s="99">
        <f>IFERROR(__xludf.DUMMYFUNCTION("""COMPUTED_VALUE"""),41.666666666666664)</f>
        <v>41.66666667</v>
      </c>
      <c r="V1411" s="97" t="str">
        <f>IFERROR(__xludf.DUMMYFUNCTION("""COMPUTED_VALUE"""),"24 / 40/TR40,7")</f>
        <v>24 / 40/TR40,7</v>
      </c>
      <c r="W1411" s="97" t="str">
        <f>IFERROR(__xludf.DUMMYFUNCTION("""COMPUTED_VALUE"""),"&lt; 10")</f>
        <v>&lt; 10</v>
      </c>
      <c r="X1411" s="97">
        <f>IFERROR(__xludf.DUMMYFUNCTION("""COMPUTED_VALUE"""),3000.0)</f>
        <v>3000</v>
      </c>
      <c r="Y1411" s="97" t="str">
        <f>IFERROR(__xludf.DUMMYFUNCTION("""COMPUTED_VALUE"""),"&gt;90")</f>
        <v>&gt;90</v>
      </c>
      <c r="Z1411" s="97" t="str">
        <f>IFERROR(__xludf.DUMMYFUNCTION("""COMPUTED_VALUE"""),"-")</f>
        <v>-</v>
      </c>
      <c r="AA1411" s="97" t="str">
        <f>IFERROR(__xludf.DUMMYFUNCTION("""COMPUTED_VALUE"""),"-")</f>
        <v>-</v>
      </c>
      <c r="AB1411" s="97" t="str">
        <f>IFERROR(__xludf.DUMMYFUNCTION("""COMPUTED_VALUE"""),"-")</f>
        <v>-</v>
      </c>
      <c r="AC1411" s="97">
        <f>IFERROR(__xludf.DUMMYFUNCTION("""COMPUTED_VALUE"""),-1.0E-4)</f>
        <v>-0.0001</v>
      </c>
      <c r="AD1411" s="97" t="str">
        <f>IFERROR(__xludf.DUMMYFUNCTION("""COMPUTED_VALUE"""),"IP20")</f>
        <v>IP20</v>
      </c>
      <c r="AE1411" s="97" t="str">
        <f>IFERROR(__xludf.DUMMYFUNCTION("""COMPUTED_VALUE"""),"Clase ll")</f>
        <v>Clase ll</v>
      </c>
      <c r="AF1411" s="97" t="str">
        <f>IFERROR(__xludf.DUMMYFUNCTION("""COMPUTED_VALUE"""),"Embutir")</f>
        <v>Embutir</v>
      </c>
      <c r="AG1411" s="97" t="str">
        <f>IFERROR(__xludf.DUMMYFUNCTION("""COMPUTED_VALUE"""),"Ø32 x 43")</f>
        <v>Ø32 x 43</v>
      </c>
      <c r="AH1411" s="97" t="str">
        <f>IFERROR(__xludf.DUMMYFUNCTION("""COMPUTED_VALUE"""),"Ø25")</f>
        <v>Ø25</v>
      </c>
      <c r="AI1411" s="97"/>
      <c r="AJ1411" s="97"/>
      <c r="AK1411" s="97" t="str">
        <f>IFERROR(__xludf.DUMMYFUNCTION("""COMPUTED_VALUE"""),"Aluminio")</f>
        <v>Aluminio</v>
      </c>
      <c r="AL1411" s="97" t="str">
        <f>IFERROR(__xludf.DUMMYFUNCTION("""COMPUTED_VALUE"""),"Blanco y Negro")</f>
        <v>Blanco y Negro</v>
      </c>
      <c r="AM1411" s="97" t="str">
        <f>IFERROR(__xludf.DUMMYFUNCTION("""COMPUTED_VALUE"""),"-25℃ a 50℃")</f>
        <v>-25℃ a 50℃</v>
      </c>
      <c r="AN1411" s="97" t="str">
        <f>IFERROR(__xludf.DUMMYFUNCTION("""COMPUTED_VALUE"""),"25.000hs (L70)")</f>
        <v>25.000hs (L70)</v>
      </c>
      <c r="AO1411" s="97" t="str">
        <f>IFERROR(__xludf.DUMMYFUNCTION("""COMPUTED_VALUE"""),"2 Años")</f>
        <v>2 Años</v>
      </c>
      <c r="AP1411" s="97" t="str">
        <f>IFERROR(__xludf.DUMMYFUNCTION("""COMPUTED_VALUE"""),"Disponible")</f>
        <v>Disponible</v>
      </c>
      <c r="AQ1411" s="97" t="str">
        <f>IFERROR(__xludf.DUMMYFUNCTION("""COMPUTED_VALUE"""),"Disponible")</f>
        <v>Disponible</v>
      </c>
      <c r="AR1411" s="97" t="str">
        <f>IFERROR(__xludf.DUMMYFUNCTION("""COMPUTED_VALUE"""),"Falta")</f>
        <v>Falta</v>
      </c>
      <c r="AS1411" s="97" t="str">
        <f>IFERROR(__xludf.DUMMYFUNCTION("""COMPUTED_VALUE"""),"Falta")</f>
        <v>Falta</v>
      </c>
      <c r="AT1411" s="97" t="str">
        <f>IFERROR(__xludf.DUMMYFUNCTION("""COMPUTED_VALUE"""),"Falta")</f>
        <v>Falta</v>
      </c>
      <c r="AU1411" s="97" t="str">
        <f>IFERROR(__xludf.DUMMYFUNCTION("""COMPUTED_VALUE"""),"Disponible")</f>
        <v>Disponible</v>
      </c>
      <c r="AV1411" s="97" t="str">
        <f>IFERROR(__xludf.DUMMYFUNCTION("""COMPUTED_VALUE"""),"Empotrable")</f>
        <v>Empotrable</v>
      </c>
      <c r="AW1411" s="97" t="str">
        <f>IFERROR(__xludf.DUMMYFUNCTION("""COMPUTED_VALUE"""),"De Techo")</f>
        <v>De Techo</v>
      </c>
      <c r="AX1411" s="97" t="str">
        <f>IFERROR(__xludf.DUMMYFUNCTION("""COMPUTED_VALUE"""),"Interior")</f>
        <v>Interior</v>
      </c>
      <c r="AY1411" s="97" t="str">
        <f>IFERROR(__xludf.DUMMYFUNCTION("""COMPUTED_VALUE"""),"-")</f>
        <v>-</v>
      </c>
      <c r="AZ1411" s="97"/>
      <c r="BA1411" s="97">
        <f>IFERROR(__xludf.DUMMYFUNCTION("""COMPUTED_VALUE"""),100.0)</f>
        <v>100</v>
      </c>
      <c r="BB1411" s="97" t="str">
        <f>IFERROR(__xludf.DUMMYFUNCTION("""COMPUTED_VALUE"""),"34g")</f>
        <v>34g</v>
      </c>
      <c r="BC1411" s="97"/>
      <c r="BD1411" s="97" t="str">
        <f>IFERROR(__xludf.DUMMYFUNCTION("""COMPUTED_VALUE"""),"SPY")</f>
        <v>SPY</v>
      </c>
      <c r="BE1411" s="97"/>
      <c r="BF1411" s="97"/>
      <c r="BG1411" s="97" t="str">
        <f>IFERROR(__xludf.DUMMYFUNCTION("""COMPUTED_VALUE"""),"REPO 7")</f>
        <v>REPO 7</v>
      </c>
    </row>
    <row r="1412">
      <c r="A1412" s="97">
        <f>IFERROR(__xludf.DUMMYFUNCTION("""COMPUTED_VALUE"""),7513.0)</f>
        <v>7513</v>
      </c>
      <c r="B1412" s="97" t="str">
        <f>IFERROR(__xludf.DUMMYFUNCTION("""COMPUTED_VALUE"""),"SPY NGNG")</f>
        <v>SPY NGNG</v>
      </c>
      <c r="C1412" s="97" t="str">
        <f>IFERROR(__xludf.DUMMYFUNCTION("""COMPUTED_VALUE"""),"EMPOTRABLE SPY NGNG 3W 3000K 125LM CRI&gt;90 IP20 LEUK")</f>
        <v>EMPOTRABLE SPY NGNG 3W 3000K 125LM CRI&gt;90 IP20 LEUK</v>
      </c>
      <c r="D1412" s="97">
        <f>IFERROR(__xludf.DUMMYFUNCTION("""COMPUTED_VALUE"""),7.798413229752E12)</f>
        <v>7798413229752</v>
      </c>
      <c r="E1412" s="97" t="str">
        <f>IFERROR(__xludf.DUMMYFUNCTION("""COMPUTED_VALUE"""),"F95")</f>
        <v>F95</v>
      </c>
      <c r="F1412" s="97" t="str">
        <f>IFERROR(__xludf.DUMMYFUNCTION("""COMPUTED_VALUE"""),"LED SMD")</f>
        <v>LED SMD</v>
      </c>
      <c r="G1412" s="97" t="str">
        <f>IFERROR(__xludf.DUMMYFUNCTION("""COMPUTED_VALUE"""),"-")</f>
        <v>-</v>
      </c>
      <c r="H1412" s="97" t="str">
        <f>IFERROR(__xludf.DUMMYFUNCTION("""COMPUTED_VALUE"""),"-")</f>
        <v>-</v>
      </c>
      <c r="I1412" s="97"/>
      <c r="J1412" s="97" t="str">
        <f>IFERROR(__xludf.DUMMYFUNCTION("""COMPUTED_VALUE"""),"Non-isolated - 85～265VAC - 50/60Hz
&gt;0.5 - 2-4V 600MA±5")</f>
        <v>Non-isolated - 85～265VAC - 50/60Hz
&gt;0.5 - 2-4V 600MA±5</v>
      </c>
      <c r="K1412" s="97"/>
      <c r="L1412" s="97" t="str">
        <f>IFERROR(__xludf.DUMMYFUNCTION("""COMPUTED_VALUE"""),"200-240")</f>
        <v>200-240</v>
      </c>
      <c r="M1412" s="97" t="str">
        <f>IFERROR(__xludf.DUMMYFUNCTION("""COMPUTED_VALUE"""),"50/60")</f>
        <v>50/60</v>
      </c>
      <c r="N1412" s="97" t="str">
        <f>IFERROR(__xludf.DUMMYFUNCTION("""COMPUTED_VALUE"""),"Directa")</f>
        <v>Directa</v>
      </c>
      <c r="O1412" s="97">
        <f>IFERROR(__xludf.DUMMYFUNCTION("""COMPUTED_VALUE"""),3.0)</f>
        <v>3</v>
      </c>
      <c r="P1412" s="97">
        <f>IFERROR(__xludf.DUMMYFUNCTION("""COMPUTED_VALUE"""),2.5)</f>
        <v>2.5</v>
      </c>
      <c r="Q1412" s="97">
        <f>IFERROR(__xludf.DUMMYFUNCTION("""COMPUTED_VALUE"""),0.5)</f>
        <v>0.5</v>
      </c>
      <c r="R1412" s="97" t="str">
        <f>IFERROR(__xludf.DUMMYFUNCTION("""COMPUTED_VALUE"""),"-")</f>
        <v>-</v>
      </c>
      <c r="S1412" s="97" t="str">
        <f>IFERROR(__xludf.DUMMYFUNCTION("""COMPUTED_VALUE"""),"-")</f>
        <v>-</v>
      </c>
      <c r="T1412" s="97">
        <f>IFERROR(__xludf.DUMMYFUNCTION("""COMPUTED_VALUE"""),125.0)</f>
        <v>125</v>
      </c>
      <c r="U1412" s="99">
        <f>IFERROR(__xludf.DUMMYFUNCTION("""COMPUTED_VALUE"""),41.666666666666664)</f>
        <v>41.66666667</v>
      </c>
      <c r="V1412" s="97" t="str">
        <f>IFERROR(__xludf.DUMMYFUNCTION("""COMPUTED_VALUE"""),"24 / 40/TR40,7")</f>
        <v>24 / 40/TR40,7</v>
      </c>
      <c r="W1412" s="97" t="str">
        <f>IFERROR(__xludf.DUMMYFUNCTION("""COMPUTED_VALUE"""),"&lt; 10")</f>
        <v>&lt; 10</v>
      </c>
      <c r="X1412" s="97">
        <f>IFERROR(__xludf.DUMMYFUNCTION("""COMPUTED_VALUE"""),3000.0)</f>
        <v>3000</v>
      </c>
      <c r="Y1412" s="97" t="str">
        <f>IFERROR(__xludf.DUMMYFUNCTION("""COMPUTED_VALUE"""),"&gt;90")</f>
        <v>&gt;90</v>
      </c>
      <c r="Z1412" s="97" t="str">
        <f>IFERROR(__xludf.DUMMYFUNCTION("""COMPUTED_VALUE"""),"-")</f>
        <v>-</v>
      </c>
      <c r="AA1412" s="97" t="str">
        <f>IFERROR(__xludf.DUMMYFUNCTION("""COMPUTED_VALUE"""),"-")</f>
        <v>-</v>
      </c>
      <c r="AB1412" s="97" t="str">
        <f>IFERROR(__xludf.DUMMYFUNCTION("""COMPUTED_VALUE"""),"-")</f>
        <v>-</v>
      </c>
      <c r="AC1412" s="97">
        <f>IFERROR(__xludf.DUMMYFUNCTION("""COMPUTED_VALUE"""),-2.0E-4)</f>
        <v>-0.0002</v>
      </c>
      <c r="AD1412" s="97" t="str">
        <f>IFERROR(__xludf.DUMMYFUNCTION("""COMPUTED_VALUE"""),"IP20")</f>
        <v>IP20</v>
      </c>
      <c r="AE1412" s="97" t="str">
        <f>IFERROR(__xludf.DUMMYFUNCTION("""COMPUTED_VALUE"""),"Clase ll")</f>
        <v>Clase ll</v>
      </c>
      <c r="AF1412" s="97" t="str">
        <f>IFERROR(__xludf.DUMMYFUNCTION("""COMPUTED_VALUE"""),"Embutir")</f>
        <v>Embutir</v>
      </c>
      <c r="AG1412" s="97" t="str">
        <f>IFERROR(__xludf.DUMMYFUNCTION("""COMPUTED_VALUE"""),"Ø32 x 43")</f>
        <v>Ø32 x 43</v>
      </c>
      <c r="AH1412" s="97" t="str">
        <f>IFERROR(__xludf.DUMMYFUNCTION("""COMPUTED_VALUE"""),"Ø25")</f>
        <v>Ø25</v>
      </c>
      <c r="AI1412" s="97"/>
      <c r="AJ1412" s="97"/>
      <c r="AK1412" s="97" t="str">
        <f>IFERROR(__xludf.DUMMYFUNCTION("""COMPUTED_VALUE"""),"Aluminio")</f>
        <v>Aluminio</v>
      </c>
      <c r="AL1412" s="97" t="str">
        <f>IFERROR(__xludf.DUMMYFUNCTION("""COMPUTED_VALUE"""),"Negro")</f>
        <v>Negro</v>
      </c>
      <c r="AM1412" s="97" t="str">
        <f>IFERROR(__xludf.DUMMYFUNCTION("""COMPUTED_VALUE"""),"-25℃ a 50℃")</f>
        <v>-25℃ a 50℃</v>
      </c>
      <c r="AN1412" s="97" t="str">
        <f>IFERROR(__xludf.DUMMYFUNCTION("""COMPUTED_VALUE"""),"25.000hs (L70)")</f>
        <v>25.000hs (L70)</v>
      </c>
      <c r="AO1412" s="97" t="str">
        <f>IFERROR(__xludf.DUMMYFUNCTION("""COMPUTED_VALUE"""),"2 Años")</f>
        <v>2 Años</v>
      </c>
      <c r="AP1412" s="97" t="str">
        <f>IFERROR(__xludf.DUMMYFUNCTION("""COMPUTED_VALUE"""),"Disponible")</f>
        <v>Disponible</v>
      </c>
      <c r="AQ1412" s="97" t="str">
        <f>IFERROR(__xludf.DUMMYFUNCTION("""COMPUTED_VALUE"""),"Disponible")</f>
        <v>Disponible</v>
      </c>
      <c r="AR1412" s="97" t="str">
        <f>IFERROR(__xludf.DUMMYFUNCTION("""COMPUTED_VALUE"""),"Falta")</f>
        <v>Falta</v>
      </c>
      <c r="AS1412" s="97" t="str">
        <f>IFERROR(__xludf.DUMMYFUNCTION("""COMPUTED_VALUE"""),"Falta")</f>
        <v>Falta</v>
      </c>
      <c r="AT1412" s="97" t="str">
        <f>IFERROR(__xludf.DUMMYFUNCTION("""COMPUTED_VALUE"""),"Falta")</f>
        <v>Falta</v>
      </c>
      <c r="AU1412" s="97" t="str">
        <f>IFERROR(__xludf.DUMMYFUNCTION("""COMPUTED_VALUE"""),"Disponible")</f>
        <v>Disponible</v>
      </c>
      <c r="AV1412" s="97" t="str">
        <f>IFERROR(__xludf.DUMMYFUNCTION("""COMPUTED_VALUE"""),"Empotrable")</f>
        <v>Empotrable</v>
      </c>
      <c r="AW1412" s="97" t="str">
        <f>IFERROR(__xludf.DUMMYFUNCTION("""COMPUTED_VALUE"""),"De Techo")</f>
        <v>De Techo</v>
      </c>
      <c r="AX1412" s="97" t="str">
        <f>IFERROR(__xludf.DUMMYFUNCTION("""COMPUTED_VALUE"""),"Interior")</f>
        <v>Interior</v>
      </c>
      <c r="AY1412" s="97" t="str">
        <f>IFERROR(__xludf.DUMMYFUNCTION("""COMPUTED_VALUE"""),"-")</f>
        <v>-</v>
      </c>
      <c r="AZ1412" s="97"/>
      <c r="BA1412" s="97">
        <f>IFERROR(__xludf.DUMMYFUNCTION("""COMPUTED_VALUE"""),100.0)</f>
        <v>100</v>
      </c>
      <c r="BB1412" s="97" t="str">
        <f>IFERROR(__xludf.DUMMYFUNCTION("""COMPUTED_VALUE"""),"34g")</f>
        <v>34g</v>
      </c>
      <c r="BC1412" s="97"/>
      <c r="BD1412" s="97" t="str">
        <f>IFERROR(__xludf.DUMMYFUNCTION("""COMPUTED_VALUE"""),"SPY")</f>
        <v>SPY</v>
      </c>
      <c r="BE1412" s="97"/>
      <c r="BF1412" s="97"/>
      <c r="BG1412" s="97" t="str">
        <f>IFERROR(__xludf.DUMMYFUNCTION("""COMPUTED_VALUE"""),"REPO 7")</f>
        <v>REPO 7</v>
      </c>
    </row>
    <row r="1413">
      <c r="A1413" s="97">
        <f>IFERROR(__xludf.DUMMYFUNCTION("""COMPUTED_VALUE"""),7514.0)</f>
        <v>7514</v>
      </c>
      <c r="B1413" s="97" t="str">
        <f>IFERROR(__xludf.DUMMYFUNCTION("""COMPUTED_VALUE"""),"CABEZAL SPY AP NG")</f>
        <v>CABEZAL SPY AP NG</v>
      </c>
      <c r="C1413" s="97" t="str">
        <f>IFERROR(__xludf.DUMMYFUNCTION("""COMPUTED_VALUE"""),"APLIQUE CABEZAL SPY AP NG 1W 3000K 46LM CRI&gt;80 IP20 LEUK")</f>
        <v>APLIQUE CABEZAL SPY AP NG 1W 3000K 46LM CRI&gt;80 IP20 LEUK</v>
      </c>
      <c r="D1413" s="97">
        <f>IFERROR(__xludf.DUMMYFUNCTION("""COMPUTED_VALUE"""),7.798413229769E12)</f>
        <v>7798413229769</v>
      </c>
      <c r="E1413" s="97" t="str">
        <f>IFERROR(__xludf.DUMMYFUNCTION("""COMPUTED_VALUE"""),"-")</f>
        <v>-</v>
      </c>
      <c r="F1413" s="97" t="str">
        <f>IFERROR(__xludf.DUMMYFUNCTION("""COMPUTED_VALUE"""),"LED integrado")</f>
        <v>LED integrado</v>
      </c>
      <c r="G1413" s="97" t="str">
        <f>IFERROR(__xludf.DUMMYFUNCTION("""COMPUTED_VALUE"""),"-")</f>
        <v>-</v>
      </c>
      <c r="H1413" s="97" t="str">
        <f>IFERROR(__xludf.DUMMYFUNCTION("""COMPUTED_VALUE"""),"N/A")</f>
        <v>N/A</v>
      </c>
      <c r="I1413" s="97" t="str">
        <f>IFERROR(__xludf.DUMMYFUNCTION("""COMPUTED_VALUE"""),"N/A")</f>
        <v>N/A</v>
      </c>
      <c r="J1413" s="97" t="str">
        <f>IFERROR(__xludf.DUMMYFUNCTION("""COMPUTED_VALUE"""),"N/A")</f>
        <v>N/A</v>
      </c>
      <c r="K1413" s="97" t="str">
        <f>IFERROR(__xludf.DUMMYFUNCTION("""COMPUTED_VALUE"""),"N/A")</f>
        <v>N/A</v>
      </c>
      <c r="L1413" s="97" t="str">
        <f>IFERROR(__xludf.DUMMYFUNCTION("""COMPUTED_VALUE"""),"24Vdc")</f>
        <v>24Vdc</v>
      </c>
      <c r="M1413" s="97" t="str">
        <f>IFERROR(__xludf.DUMMYFUNCTION("""COMPUTED_VALUE"""),"N/A")</f>
        <v>N/A</v>
      </c>
      <c r="N1413" s="97" t="str">
        <f>IFERROR(__xludf.DUMMYFUNCTION("""COMPUTED_VALUE"""),"Directa")</f>
        <v>Directa</v>
      </c>
      <c r="O1413" s="97">
        <f>IFERROR(__xludf.DUMMYFUNCTION("""COMPUTED_VALUE"""),1.0)</f>
        <v>1</v>
      </c>
      <c r="P1413" s="97">
        <f>IFERROR(__xludf.DUMMYFUNCTION("""COMPUTED_VALUE"""),0.96)</f>
        <v>0.96</v>
      </c>
      <c r="Q1413" s="97" t="str">
        <f>IFERROR(__xludf.DUMMYFUNCTION("""COMPUTED_VALUE"""),"N/A")</f>
        <v>N/A</v>
      </c>
      <c r="R1413" s="97" t="str">
        <f>IFERROR(__xludf.DUMMYFUNCTION("""COMPUTED_VALUE"""),"-")</f>
        <v>-</v>
      </c>
      <c r="S1413" s="97" t="str">
        <f>IFERROR(__xludf.DUMMYFUNCTION("""COMPUTED_VALUE"""),"-")</f>
        <v>-</v>
      </c>
      <c r="T1413" s="97">
        <f>IFERROR(__xludf.DUMMYFUNCTION("""COMPUTED_VALUE"""),46.0)</f>
        <v>46</v>
      </c>
      <c r="U1413" s="99">
        <f>IFERROR(__xludf.DUMMYFUNCTION("""COMPUTED_VALUE"""),46.0)</f>
        <v>46</v>
      </c>
      <c r="V1413" s="97">
        <f>IFERROR(__xludf.DUMMYFUNCTION("""COMPUTED_VALUE"""),38.0)</f>
        <v>38</v>
      </c>
      <c r="W1413" s="97" t="str">
        <f>IFERROR(__xludf.DUMMYFUNCTION("""COMPUTED_VALUE"""),"&lt; 10")</f>
        <v>&lt; 10</v>
      </c>
      <c r="X1413" s="97">
        <f>IFERROR(__xludf.DUMMYFUNCTION("""COMPUTED_VALUE"""),3000.0)</f>
        <v>3000</v>
      </c>
      <c r="Y1413" s="97" t="str">
        <f>IFERROR(__xludf.DUMMYFUNCTION("""COMPUTED_VALUE"""),"&gt;80")</f>
        <v>&gt;80</v>
      </c>
      <c r="Z1413" s="97" t="str">
        <f>IFERROR(__xludf.DUMMYFUNCTION("""COMPUTED_VALUE"""),"-")</f>
        <v>-</v>
      </c>
      <c r="AA1413" s="97" t="str">
        <f>IFERROR(__xludf.DUMMYFUNCTION("""COMPUTED_VALUE"""),"-")</f>
        <v>-</v>
      </c>
      <c r="AB1413" s="97" t="str">
        <f>IFERROR(__xludf.DUMMYFUNCTION("""COMPUTED_VALUE"""),"-")</f>
        <v>-</v>
      </c>
      <c r="AC1413" s="97">
        <f>IFERROR(__xludf.DUMMYFUNCTION("""COMPUTED_VALUE"""),-0.0011)</f>
        <v>-0.0011</v>
      </c>
      <c r="AD1413" s="97" t="str">
        <f>IFERROR(__xludf.DUMMYFUNCTION("""COMPUTED_VALUE"""),"IP20")</f>
        <v>IP20</v>
      </c>
      <c r="AE1413" s="97" t="str">
        <f>IFERROR(__xludf.DUMMYFUNCTION("""COMPUTED_VALUE"""),"Clase lll")</f>
        <v>Clase lll</v>
      </c>
      <c r="AF1413" s="97" t="str">
        <f>IFERROR(__xludf.DUMMYFUNCTION("""COMPUTED_VALUE"""),"Aplicar")</f>
        <v>Aplicar</v>
      </c>
      <c r="AG1413" s="97" t="str">
        <f>IFERROR(__xludf.DUMMYFUNCTION("""COMPUTED_VALUE"""),"Ø13 x 25 x 25")</f>
        <v>Ø13 x 25 x 25</v>
      </c>
      <c r="AH1413" s="97" t="str">
        <f>IFERROR(__xludf.DUMMYFUNCTION("""COMPUTED_VALUE"""),"N/A")</f>
        <v>N/A</v>
      </c>
      <c r="AI1413" s="97" t="str">
        <f>IFERROR(__xludf.DUMMYFUNCTION("""COMPUTED_VALUE"""),"N/A")</f>
        <v>N/A</v>
      </c>
      <c r="AJ1413" s="97"/>
      <c r="AK1413" s="97" t="str">
        <f>IFERROR(__xludf.DUMMYFUNCTION("""COMPUTED_VALUE"""),"Aluminio")</f>
        <v>Aluminio</v>
      </c>
      <c r="AL1413" s="97" t="str">
        <f>IFERROR(__xludf.DUMMYFUNCTION("""COMPUTED_VALUE"""),"Negro")</f>
        <v>Negro</v>
      </c>
      <c r="AM1413" s="97" t="str">
        <f>IFERROR(__xludf.DUMMYFUNCTION("""COMPUTED_VALUE"""),"-25℃ a 50℃")</f>
        <v>-25℃ a 50℃</v>
      </c>
      <c r="AN1413" s="97" t="str">
        <f>IFERROR(__xludf.DUMMYFUNCTION("""COMPUTED_VALUE"""),"25.000hs (L70)")</f>
        <v>25.000hs (L70)</v>
      </c>
      <c r="AO1413" s="97" t="str">
        <f>IFERROR(__xludf.DUMMYFUNCTION("""COMPUTED_VALUE"""),"2 Años")</f>
        <v>2 Años</v>
      </c>
      <c r="AP1413" s="97" t="str">
        <f>IFERROR(__xludf.DUMMYFUNCTION("""COMPUTED_VALUE"""),"Disponible")</f>
        <v>Disponible</v>
      </c>
      <c r="AQ1413" s="97" t="str">
        <f>IFERROR(__xludf.DUMMYFUNCTION("""COMPUTED_VALUE"""),"Disponible")</f>
        <v>Disponible</v>
      </c>
      <c r="AR1413" s="97" t="str">
        <f>IFERROR(__xludf.DUMMYFUNCTION("""COMPUTED_VALUE"""),"Disponible")</f>
        <v>Disponible</v>
      </c>
      <c r="AS1413" s="97" t="str">
        <f>IFERROR(__xludf.DUMMYFUNCTION("""COMPUTED_VALUE"""),"Falta")</f>
        <v>Falta</v>
      </c>
      <c r="AT1413" s="97" t="str">
        <f>IFERROR(__xludf.DUMMYFUNCTION("""COMPUTED_VALUE"""),"Falta")</f>
        <v>Falta</v>
      </c>
      <c r="AU1413" s="97" t="str">
        <f>IFERROR(__xludf.DUMMYFUNCTION("""COMPUTED_VALUE"""),"Disponible")</f>
        <v>Disponible</v>
      </c>
      <c r="AV1413" s="97" t="str">
        <f>IFERROR(__xludf.DUMMYFUNCTION("""COMPUTED_VALUE"""),"Aplique")</f>
        <v>Aplique</v>
      </c>
      <c r="AW1413" s="97" t="str">
        <f>IFERROR(__xludf.DUMMYFUNCTION("""COMPUTED_VALUE"""),"De Techo")</f>
        <v>De Techo</v>
      </c>
      <c r="AX1413" s="97" t="str">
        <f>IFERROR(__xludf.DUMMYFUNCTION("""COMPUTED_VALUE"""),"Interior")</f>
        <v>Interior</v>
      </c>
      <c r="AY1413" s="97" t="str">
        <f>IFERROR(__xludf.DUMMYFUNCTION("""COMPUTED_VALUE"""),"-")</f>
        <v>-</v>
      </c>
      <c r="AZ1413" s="97" t="str">
        <f>IFERROR(__xludf.DUMMYFUNCTION("""COMPUTED_VALUE"""),"Movimiento 90°")</f>
        <v>Movimiento 90°</v>
      </c>
      <c r="BA1413" s="97">
        <f>IFERROR(__xludf.DUMMYFUNCTION("""COMPUTED_VALUE"""),100.0)</f>
        <v>100</v>
      </c>
      <c r="BB1413" s="97" t="str">
        <f>IFERROR(__xludf.DUMMYFUNCTION("""COMPUTED_VALUE"""),"10g")</f>
        <v>10g</v>
      </c>
      <c r="BC1413" s="97"/>
      <c r="BD1413" s="97" t="str">
        <f>IFERROR(__xludf.DUMMYFUNCTION("""COMPUTED_VALUE"""),"SPY AP")</f>
        <v>SPY AP</v>
      </c>
      <c r="BE1413" s="97" t="str">
        <f>IFERROR(__xludf.DUMMYFUNCTION("""COMPUTED_VALUE"""),"Solicitada")</f>
        <v>Solicitada</v>
      </c>
      <c r="BF1413" s="97"/>
      <c r="BG1413" s="97" t="str">
        <f>IFERROR(__xludf.DUMMYFUNCTION("""COMPUTED_VALUE"""),"REPO 7")</f>
        <v>REPO 7</v>
      </c>
    </row>
    <row r="1414">
      <c r="A1414" s="97">
        <f>IFERROR(__xludf.DUMMYFUNCTION("""COMPUTED_VALUE"""),7515.0)</f>
        <v>7515</v>
      </c>
      <c r="B1414" s="97" t="str">
        <f>IFERROR(__xludf.DUMMYFUNCTION("""COMPUTED_VALUE"""),"CABEZAL SPY AP BL")</f>
        <v>CABEZAL SPY AP BL</v>
      </c>
      <c r="C1414" s="97" t="str">
        <f>IFERROR(__xludf.DUMMYFUNCTION("""COMPUTED_VALUE"""),"APLIQUE CABEZAL SPY AP BL 1W 3000K 46LM CRI&gt;80 IP20 LEUK")</f>
        <v>APLIQUE CABEZAL SPY AP BL 1W 3000K 46LM CRI&gt;80 IP20 LEUK</v>
      </c>
      <c r="D1414" s="97">
        <f>IFERROR(__xludf.DUMMYFUNCTION("""COMPUTED_VALUE"""),7.798413229776E12)</f>
        <v>7798413229776</v>
      </c>
      <c r="E1414" s="97" t="str">
        <f>IFERROR(__xludf.DUMMYFUNCTION("""COMPUTED_VALUE"""),"-")</f>
        <v>-</v>
      </c>
      <c r="F1414" s="97" t="str">
        <f>IFERROR(__xludf.DUMMYFUNCTION("""COMPUTED_VALUE"""),"LED integrado")</f>
        <v>LED integrado</v>
      </c>
      <c r="G1414" s="97" t="str">
        <f>IFERROR(__xludf.DUMMYFUNCTION("""COMPUTED_VALUE"""),"-")</f>
        <v>-</v>
      </c>
      <c r="H1414" s="97" t="str">
        <f>IFERROR(__xludf.DUMMYFUNCTION("""COMPUTED_VALUE"""),"N/A")</f>
        <v>N/A</v>
      </c>
      <c r="I1414" s="97" t="str">
        <f>IFERROR(__xludf.DUMMYFUNCTION("""COMPUTED_VALUE"""),"N/A")</f>
        <v>N/A</v>
      </c>
      <c r="J1414" s="97" t="str">
        <f>IFERROR(__xludf.DUMMYFUNCTION("""COMPUTED_VALUE"""),"N/A")</f>
        <v>N/A</v>
      </c>
      <c r="K1414" s="97" t="str">
        <f>IFERROR(__xludf.DUMMYFUNCTION("""COMPUTED_VALUE"""),"N/A")</f>
        <v>N/A</v>
      </c>
      <c r="L1414" s="97" t="str">
        <f>IFERROR(__xludf.DUMMYFUNCTION("""COMPUTED_VALUE"""),"24Vdc")</f>
        <v>24Vdc</v>
      </c>
      <c r="M1414" s="97" t="str">
        <f>IFERROR(__xludf.DUMMYFUNCTION("""COMPUTED_VALUE"""),"N/A")</f>
        <v>N/A</v>
      </c>
      <c r="N1414" s="97" t="str">
        <f>IFERROR(__xludf.DUMMYFUNCTION("""COMPUTED_VALUE"""),"Directa")</f>
        <v>Directa</v>
      </c>
      <c r="O1414" s="97">
        <f>IFERROR(__xludf.DUMMYFUNCTION("""COMPUTED_VALUE"""),1.0)</f>
        <v>1</v>
      </c>
      <c r="P1414" s="97">
        <f>IFERROR(__xludf.DUMMYFUNCTION("""COMPUTED_VALUE"""),0.96)</f>
        <v>0.96</v>
      </c>
      <c r="Q1414" s="97" t="str">
        <f>IFERROR(__xludf.DUMMYFUNCTION("""COMPUTED_VALUE"""),"N/A")</f>
        <v>N/A</v>
      </c>
      <c r="R1414" s="97" t="str">
        <f>IFERROR(__xludf.DUMMYFUNCTION("""COMPUTED_VALUE"""),"-")</f>
        <v>-</v>
      </c>
      <c r="S1414" s="97" t="str">
        <f>IFERROR(__xludf.DUMMYFUNCTION("""COMPUTED_VALUE"""),"-")</f>
        <v>-</v>
      </c>
      <c r="T1414" s="97">
        <f>IFERROR(__xludf.DUMMYFUNCTION("""COMPUTED_VALUE"""),46.0)</f>
        <v>46</v>
      </c>
      <c r="U1414" s="99">
        <f>IFERROR(__xludf.DUMMYFUNCTION("""COMPUTED_VALUE"""),46.0)</f>
        <v>46</v>
      </c>
      <c r="V1414" s="97">
        <f>IFERROR(__xludf.DUMMYFUNCTION("""COMPUTED_VALUE"""),38.0)</f>
        <v>38</v>
      </c>
      <c r="W1414" s="97" t="str">
        <f>IFERROR(__xludf.DUMMYFUNCTION("""COMPUTED_VALUE"""),"&lt; 10")</f>
        <v>&lt; 10</v>
      </c>
      <c r="X1414" s="97">
        <f>IFERROR(__xludf.DUMMYFUNCTION("""COMPUTED_VALUE"""),3000.0)</f>
        <v>3000</v>
      </c>
      <c r="Y1414" s="97" t="str">
        <f>IFERROR(__xludf.DUMMYFUNCTION("""COMPUTED_VALUE"""),"&gt;80")</f>
        <v>&gt;80</v>
      </c>
      <c r="Z1414" s="97" t="str">
        <f>IFERROR(__xludf.DUMMYFUNCTION("""COMPUTED_VALUE"""),"-")</f>
        <v>-</v>
      </c>
      <c r="AA1414" s="97" t="str">
        <f>IFERROR(__xludf.DUMMYFUNCTION("""COMPUTED_VALUE"""),"-")</f>
        <v>-</v>
      </c>
      <c r="AB1414" s="97" t="str">
        <f>IFERROR(__xludf.DUMMYFUNCTION("""COMPUTED_VALUE"""),"-")</f>
        <v>-</v>
      </c>
      <c r="AC1414" s="97">
        <f>IFERROR(__xludf.DUMMYFUNCTION("""COMPUTED_VALUE"""),4.0E-4)</f>
        <v>0.0004</v>
      </c>
      <c r="AD1414" s="97" t="str">
        <f>IFERROR(__xludf.DUMMYFUNCTION("""COMPUTED_VALUE"""),"IP20")</f>
        <v>IP20</v>
      </c>
      <c r="AE1414" s="97" t="str">
        <f>IFERROR(__xludf.DUMMYFUNCTION("""COMPUTED_VALUE"""),"Clase lll")</f>
        <v>Clase lll</v>
      </c>
      <c r="AF1414" s="97" t="str">
        <f>IFERROR(__xludf.DUMMYFUNCTION("""COMPUTED_VALUE"""),"Aplicar")</f>
        <v>Aplicar</v>
      </c>
      <c r="AG1414" s="97" t="str">
        <f>IFERROR(__xludf.DUMMYFUNCTION("""COMPUTED_VALUE"""),"Ø13 x 25 x 25")</f>
        <v>Ø13 x 25 x 25</v>
      </c>
      <c r="AH1414" s="97" t="str">
        <f>IFERROR(__xludf.DUMMYFUNCTION("""COMPUTED_VALUE"""),"N/A")</f>
        <v>N/A</v>
      </c>
      <c r="AI1414" s="97" t="str">
        <f>IFERROR(__xludf.DUMMYFUNCTION("""COMPUTED_VALUE"""),"N/A")</f>
        <v>N/A</v>
      </c>
      <c r="AJ1414" s="97"/>
      <c r="AK1414" s="97" t="str">
        <f>IFERROR(__xludf.DUMMYFUNCTION("""COMPUTED_VALUE"""),"Aluminio")</f>
        <v>Aluminio</v>
      </c>
      <c r="AL1414" s="97" t="str">
        <f>IFERROR(__xludf.DUMMYFUNCTION("""COMPUTED_VALUE"""),"Blanco")</f>
        <v>Blanco</v>
      </c>
      <c r="AM1414" s="97" t="str">
        <f>IFERROR(__xludf.DUMMYFUNCTION("""COMPUTED_VALUE"""),"-25℃ a 50℃")</f>
        <v>-25℃ a 50℃</v>
      </c>
      <c r="AN1414" s="97" t="str">
        <f>IFERROR(__xludf.DUMMYFUNCTION("""COMPUTED_VALUE"""),"25.000hs (L70)")</f>
        <v>25.000hs (L70)</v>
      </c>
      <c r="AO1414" s="97" t="str">
        <f>IFERROR(__xludf.DUMMYFUNCTION("""COMPUTED_VALUE"""),"2 Años")</f>
        <v>2 Años</v>
      </c>
      <c r="AP1414" s="97" t="str">
        <f>IFERROR(__xludf.DUMMYFUNCTION("""COMPUTED_VALUE"""),"Disponible")</f>
        <v>Disponible</v>
      </c>
      <c r="AQ1414" s="97" t="str">
        <f>IFERROR(__xludf.DUMMYFUNCTION("""COMPUTED_VALUE"""),"Disponible")</f>
        <v>Disponible</v>
      </c>
      <c r="AR1414" s="97" t="str">
        <f>IFERROR(__xludf.DUMMYFUNCTION("""COMPUTED_VALUE"""),"Disponible")</f>
        <v>Disponible</v>
      </c>
      <c r="AS1414" s="97" t="str">
        <f>IFERROR(__xludf.DUMMYFUNCTION("""COMPUTED_VALUE"""),"Falta")</f>
        <v>Falta</v>
      </c>
      <c r="AT1414" s="97" t="str">
        <f>IFERROR(__xludf.DUMMYFUNCTION("""COMPUTED_VALUE"""),"Falta")</f>
        <v>Falta</v>
      </c>
      <c r="AU1414" s="97" t="str">
        <f>IFERROR(__xludf.DUMMYFUNCTION("""COMPUTED_VALUE"""),"Disponible")</f>
        <v>Disponible</v>
      </c>
      <c r="AV1414" s="97" t="str">
        <f>IFERROR(__xludf.DUMMYFUNCTION("""COMPUTED_VALUE"""),"Aplique")</f>
        <v>Aplique</v>
      </c>
      <c r="AW1414" s="97" t="str">
        <f>IFERROR(__xludf.DUMMYFUNCTION("""COMPUTED_VALUE"""),"De Techo")</f>
        <v>De Techo</v>
      </c>
      <c r="AX1414" s="97" t="str">
        <f>IFERROR(__xludf.DUMMYFUNCTION("""COMPUTED_VALUE"""),"Interior")</f>
        <v>Interior</v>
      </c>
      <c r="AY1414" s="97" t="str">
        <f>IFERROR(__xludf.DUMMYFUNCTION("""COMPUTED_VALUE"""),"-")</f>
        <v>-</v>
      </c>
      <c r="AZ1414" s="97" t="str">
        <f>IFERROR(__xludf.DUMMYFUNCTION("""COMPUTED_VALUE"""),"Movimiento 90°")</f>
        <v>Movimiento 90°</v>
      </c>
      <c r="BA1414" s="97">
        <f>IFERROR(__xludf.DUMMYFUNCTION("""COMPUTED_VALUE"""),100.0)</f>
        <v>100</v>
      </c>
      <c r="BB1414" s="97" t="str">
        <f>IFERROR(__xludf.DUMMYFUNCTION("""COMPUTED_VALUE"""),"10g")</f>
        <v>10g</v>
      </c>
      <c r="BC1414" s="97"/>
      <c r="BD1414" s="97" t="str">
        <f>IFERROR(__xludf.DUMMYFUNCTION("""COMPUTED_VALUE"""),"SPY AP")</f>
        <v>SPY AP</v>
      </c>
      <c r="BE1414" s="97" t="str">
        <f>IFERROR(__xludf.DUMMYFUNCTION("""COMPUTED_VALUE"""),"Solicitada")</f>
        <v>Solicitada</v>
      </c>
      <c r="BF1414" s="97"/>
      <c r="BG1414" s="97" t="str">
        <f>IFERROR(__xludf.DUMMYFUNCTION("""COMPUTED_VALUE"""),"REPO 7")</f>
        <v>REPO 7</v>
      </c>
    </row>
    <row r="1415">
      <c r="A1415" s="97">
        <f>IFERROR(__xludf.DUMMYFUNCTION("""COMPUTED_VALUE"""),7516.0)</f>
        <v>7516</v>
      </c>
      <c r="B1415" s="97" t="str">
        <f>IFERROR(__xludf.DUMMYFUNCTION("""COMPUTED_VALUE"""),"CABEZAL SPY EM NG")</f>
        <v>CABEZAL SPY EM NG</v>
      </c>
      <c r="C1415" s="97" t="str">
        <f>IFERROR(__xludf.DUMMYFUNCTION("""COMPUTED_VALUE"""),"EMPOTRABLE CABEZAL SPY EM NG 3W 3000K 120LM CRI&gt;90 IP20 LEUK")</f>
        <v>EMPOTRABLE CABEZAL SPY EM NG 3W 3000K 120LM CRI&gt;90 IP20 LEUK</v>
      </c>
      <c r="D1415" s="97">
        <f>IFERROR(__xludf.DUMMYFUNCTION("""COMPUTED_VALUE"""),7.798413229783E12)</f>
        <v>7798413229783</v>
      </c>
      <c r="E1415" s="97" t="str">
        <f>IFERROR(__xludf.DUMMYFUNCTION("""COMPUTED_VALUE"""),"F94")</f>
        <v>F94</v>
      </c>
      <c r="F1415" s="97" t="str">
        <f>IFERROR(__xludf.DUMMYFUNCTION("""COMPUTED_VALUE"""),"LED SMD3535")</f>
        <v>LED SMD3535</v>
      </c>
      <c r="G1415" s="97" t="str">
        <f>IFERROR(__xludf.DUMMYFUNCTION("""COMPUTED_VALUE"""),"-")</f>
        <v>-</v>
      </c>
      <c r="H1415" s="97" t="str">
        <f>IFERROR(__xludf.DUMMYFUNCTION("""COMPUTED_VALUE"""),"-")</f>
        <v>-</v>
      </c>
      <c r="I1415" s="97"/>
      <c r="J1415" s="97" t="str">
        <f>IFERROR(__xludf.DUMMYFUNCTION("""COMPUTED_VALUE"""),"Isolated - 100～240VAC - 50/60Hz
&gt;0.5 - 3-4V 450mA")</f>
        <v>Isolated - 100～240VAC - 50/60Hz
&gt;0.5 - 3-4V 450mA</v>
      </c>
      <c r="K1415" s="97"/>
      <c r="L1415" s="97" t="str">
        <f>IFERROR(__xludf.DUMMYFUNCTION("""COMPUTED_VALUE"""),"200-240")</f>
        <v>200-240</v>
      </c>
      <c r="M1415" s="97" t="str">
        <f>IFERROR(__xludf.DUMMYFUNCTION("""COMPUTED_VALUE"""),"50/60")</f>
        <v>50/60</v>
      </c>
      <c r="N1415" s="97" t="str">
        <f>IFERROR(__xludf.DUMMYFUNCTION("""COMPUTED_VALUE"""),"Directa")</f>
        <v>Directa</v>
      </c>
      <c r="O1415" s="97">
        <f>IFERROR(__xludf.DUMMYFUNCTION("""COMPUTED_VALUE"""),3.0)</f>
        <v>3</v>
      </c>
      <c r="P1415" s="97">
        <f>IFERROR(__xludf.DUMMYFUNCTION("""COMPUTED_VALUE"""),2.11)</f>
        <v>2.11</v>
      </c>
      <c r="Q1415" s="97">
        <f>IFERROR(__xludf.DUMMYFUNCTION("""COMPUTED_VALUE"""),0.5)</f>
        <v>0.5</v>
      </c>
      <c r="R1415" s="97" t="str">
        <f>IFERROR(__xludf.DUMMYFUNCTION("""COMPUTED_VALUE"""),"-")</f>
        <v>-</v>
      </c>
      <c r="S1415" s="97" t="str">
        <f>IFERROR(__xludf.DUMMYFUNCTION("""COMPUTED_VALUE"""),"-")</f>
        <v>-</v>
      </c>
      <c r="T1415" s="97">
        <f>IFERROR(__xludf.DUMMYFUNCTION("""COMPUTED_VALUE"""),120.0)</f>
        <v>120</v>
      </c>
      <c r="U1415" s="99">
        <f>IFERROR(__xludf.DUMMYFUNCTION("""COMPUTED_VALUE"""),40.0)</f>
        <v>40</v>
      </c>
      <c r="V1415" s="97">
        <f>IFERROR(__xludf.DUMMYFUNCTION("""COMPUTED_VALUE"""),35.0)</f>
        <v>35</v>
      </c>
      <c r="W1415" s="97" t="str">
        <f>IFERROR(__xludf.DUMMYFUNCTION("""COMPUTED_VALUE"""),"&lt; 10")</f>
        <v>&lt; 10</v>
      </c>
      <c r="X1415" s="97">
        <f>IFERROR(__xludf.DUMMYFUNCTION("""COMPUTED_VALUE"""),3000.0)</f>
        <v>3000</v>
      </c>
      <c r="Y1415" s="97" t="str">
        <f>IFERROR(__xludf.DUMMYFUNCTION("""COMPUTED_VALUE"""),"&gt;90")</f>
        <v>&gt;90</v>
      </c>
      <c r="Z1415" s="97" t="str">
        <f>IFERROR(__xludf.DUMMYFUNCTION("""COMPUTED_VALUE"""),"-")</f>
        <v>-</v>
      </c>
      <c r="AA1415" s="97" t="str">
        <f>IFERROR(__xludf.DUMMYFUNCTION("""COMPUTED_VALUE"""),"-")</f>
        <v>-</v>
      </c>
      <c r="AB1415" s="97" t="str">
        <f>IFERROR(__xludf.DUMMYFUNCTION("""COMPUTED_VALUE"""),"-")</f>
        <v>-</v>
      </c>
      <c r="AC1415" s="97">
        <f>IFERROR(__xludf.DUMMYFUNCTION("""COMPUTED_VALUE"""),0.0)</f>
        <v>0</v>
      </c>
      <c r="AD1415" s="97" t="str">
        <f>IFERROR(__xludf.DUMMYFUNCTION("""COMPUTED_VALUE"""),"IP20")</f>
        <v>IP20</v>
      </c>
      <c r="AE1415" s="97" t="str">
        <f>IFERROR(__xludf.DUMMYFUNCTION("""COMPUTED_VALUE"""),"Clase ll")</f>
        <v>Clase ll</v>
      </c>
      <c r="AF1415" s="97" t="str">
        <f>IFERROR(__xludf.DUMMYFUNCTION("""COMPUTED_VALUE"""),"Embutir")</f>
        <v>Embutir</v>
      </c>
      <c r="AG1415" s="97" t="str">
        <f>IFERROR(__xludf.DUMMYFUNCTION("""COMPUTED_VALUE"""),"Ø32 x 43 / Ø33 x 58")</f>
        <v>Ø32 x 43 / Ø33 x 58</v>
      </c>
      <c r="AH1415" s="97" t="str">
        <f>IFERROR(__xludf.DUMMYFUNCTION("""COMPUTED_VALUE"""),"Ø27")</f>
        <v>Ø27</v>
      </c>
      <c r="AI1415" s="97">
        <f>IFERROR(__xludf.DUMMYFUNCTION("""COMPUTED_VALUE"""),90.0)</f>
        <v>90</v>
      </c>
      <c r="AJ1415" s="97"/>
      <c r="AK1415" s="97" t="str">
        <f>IFERROR(__xludf.DUMMYFUNCTION("""COMPUTED_VALUE"""),"Aluminio y ABS")</f>
        <v>Aluminio y ABS</v>
      </c>
      <c r="AL1415" s="97" t="str">
        <f>IFERROR(__xludf.DUMMYFUNCTION("""COMPUTED_VALUE"""),"Negro")</f>
        <v>Negro</v>
      </c>
      <c r="AM1415" s="97" t="str">
        <f>IFERROR(__xludf.DUMMYFUNCTION("""COMPUTED_VALUE"""),"-25℃ a 50℃")</f>
        <v>-25℃ a 50℃</v>
      </c>
      <c r="AN1415" s="97" t="str">
        <f>IFERROR(__xludf.DUMMYFUNCTION("""COMPUTED_VALUE"""),"25.000hs (L70)")</f>
        <v>25.000hs (L70)</v>
      </c>
      <c r="AO1415" s="97" t="str">
        <f>IFERROR(__xludf.DUMMYFUNCTION("""COMPUTED_VALUE"""),"2 Años")</f>
        <v>2 Años</v>
      </c>
      <c r="AP1415" s="97" t="str">
        <f>IFERROR(__xludf.DUMMYFUNCTION("""COMPUTED_VALUE"""),"Disponible")</f>
        <v>Disponible</v>
      </c>
      <c r="AQ1415" s="97" t="str">
        <f>IFERROR(__xludf.DUMMYFUNCTION("""COMPUTED_VALUE"""),"Disponible")</f>
        <v>Disponible</v>
      </c>
      <c r="AR1415" s="97" t="str">
        <f>IFERROR(__xludf.DUMMYFUNCTION("""COMPUTED_VALUE"""),"Disponible")</f>
        <v>Disponible</v>
      </c>
      <c r="AS1415" s="97" t="str">
        <f>IFERROR(__xludf.DUMMYFUNCTION("""COMPUTED_VALUE"""),"Falta")</f>
        <v>Falta</v>
      </c>
      <c r="AT1415" s="97" t="str">
        <f>IFERROR(__xludf.DUMMYFUNCTION("""COMPUTED_VALUE"""),"Falta")</f>
        <v>Falta</v>
      </c>
      <c r="AU1415" s="97" t="str">
        <f>IFERROR(__xludf.DUMMYFUNCTION("""COMPUTED_VALUE"""),"Disponible")</f>
        <v>Disponible</v>
      </c>
      <c r="AV1415" s="97" t="str">
        <f>IFERROR(__xludf.DUMMYFUNCTION("""COMPUTED_VALUE"""),"Empotrable")</f>
        <v>Empotrable</v>
      </c>
      <c r="AW1415" s="97" t="str">
        <f>IFERROR(__xludf.DUMMYFUNCTION("""COMPUTED_VALUE"""),"De Techo")</f>
        <v>De Techo</v>
      </c>
      <c r="AX1415" s="97" t="str">
        <f>IFERROR(__xludf.DUMMYFUNCTION("""COMPUTED_VALUE"""),"Interior")</f>
        <v>Interior</v>
      </c>
      <c r="AY1415" s="97" t="str">
        <f>IFERROR(__xludf.DUMMYFUNCTION("""COMPUTED_VALUE"""),"-")</f>
        <v>-</v>
      </c>
      <c r="AZ1415" s="97"/>
      <c r="BA1415" s="97">
        <f>IFERROR(__xludf.DUMMYFUNCTION("""COMPUTED_VALUE"""),100.0)</f>
        <v>100</v>
      </c>
      <c r="BB1415" s="97" t="str">
        <f>IFERROR(__xludf.DUMMYFUNCTION("""COMPUTED_VALUE"""),"60g")</f>
        <v>60g</v>
      </c>
      <c r="BC1415" s="97"/>
      <c r="BD1415" s="97" t="str">
        <f>IFERROR(__xludf.DUMMYFUNCTION("""COMPUTED_VALUE"""),"SPY EM")</f>
        <v>SPY EM</v>
      </c>
      <c r="BE1415" s="97" t="str">
        <f>IFERROR(__xludf.DUMMYFUNCTION("""COMPUTED_VALUE"""),"Solicitada")</f>
        <v>Solicitada</v>
      </c>
      <c r="BF1415" s="97"/>
      <c r="BG1415" s="97" t="str">
        <f>IFERROR(__xludf.DUMMYFUNCTION("""COMPUTED_VALUE"""),"REPO 7")</f>
        <v>REPO 7</v>
      </c>
    </row>
    <row r="1416">
      <c r="A1416" s="97">
        <f>IFERROR(__xludf.DUMMYFUNCTION("""COMPUTED_VALUE"""),7517.0)</f>
        <v>7517</v>
      </c>
      <c r="B1416" s="97" t="str">
        <f>IFERROR(__xludf.DUMMYFUNCTION("""COMPUTED_VALUE"""),"CABEZAL SPY EM BL")</f>
        <v>CABEZAL SPY EM BL</v>
      </c>
      <c r="C1416" s="97" t="str">
        <f>IFERROR(__xludf.DUMMYFUNCTION("""COMPUTED_VALUE"""),"EMPOTRABLE CABEZAL SPY EM BL 3W 3000K 120LM CRI&gt;90 IP20 LEUK")</f>
        <v>EMPOTRABLE CABEZAL SPY EM BL 3W 3000K 120LM CRI&gt;90 IP20 LEUK</v>
      </c>
      <c r="D1416" s="97">
        <f>IFERROR(__xludf.DUMMYFUNCTION("""COMPUTED_VALUE"""),7.79841322979E12)</f>
        <v>7798413229790</v>
      </c>
      <c r="E1416" s="97" t="str">
        <f>IFERROR(__xludf.DUMMYFUNCTION("""COMPUTED_VALUE"""),"F94")</f>
        <v>F94</v>
      </c>
      <c r="F1416" s="97" t="str">
        <f>IFERROR(__xludf.DUMMYFUNCTION("""COMPUTED_VALUE"""),"LED SMD3535")</f>
        <v>LED SMD3535</v>
      </c>
      <c r="G1416" s="97" t="str">
        <f>IFERROR(__xludf.DUMMYFUNCTION("""COMPUTED_VALUE"""),"-")</f>
        <v>-</v>
      </c>
      <c r="H1416" s="97" t="str">
        <f>IFERROR(__xludf.DUMMYFUNCTION("""COMPUTED_VALUE"""),"-")</f>
        <v>-</v>
      </c>
      <c r="I1416" s="97"/>
      <c r="J1416" s="97" t="str">
        <f>IFERROR(__xludf.DUMMYFUNCTION("""COMPUTED_VALUE"""),"Isolated - 100～240VAC - 50/60Hz
&gt;0.5 - 3-4V 450mA")</f>
        <v>Isolated - 100～240VAC - 50/60Hz
&gt;0.5 - 3-4V 450mA</v>
      </c>
      <c r="K1416" s="97"/>
      <c r="L1416" s="97" t="str">
        <f>IFERROR(__xludf.DUMMYFUNCTION("""COMPUTED_VALUE"""),"200-240")</f>
        <v>200-240</v>
      </c>
      <c r="M1416" s="97" t="str">
        <f>IFERROR(__xludf.DUMMYFUNCTION("""COMPUTED_VALUE"""),"50/60")</f>
        <v>50/60</v>
      </c>
      <c r="N1416" s="97" t="str">
        <f>IFERROR(__xludf.DUMMYFUNCTION("""COMPUTED_VALUE"""),"Directa")</f>
        <v>Directa</v>
      </c>
      <c r="O1416" s="97">
        <f>IFERROR(__xludf.DUMMYFUNCTION("""COMPUTED_VALUE"""),3.0)</f>
        <v>3</v>
      </c>
      <c r="P1416" s="97">
        <f>IFERROR(__xludf.DUMMYFUNCTION("""COMPUTED_VALUE"""),2.11)</f>
        <v>2.11</v>
      </c>
      <c r="Q1416" s="97">
        <f>IFERROR(__xludf.DUMMYFUNCTION("""COMPUTED_VALUE"""),0.5)</f>
        <v>0.5</v>
      </c>
      <c r="R1416" s="97" t="str">
        <f>IFERROR(__xludf.DUMMYFUNCTION("""COMPUTED_VALUE"""),"-")</f>
        <v>-</v>
      </c>
      <c r="S1416" s="97" t="str">
        <f>IFERROR(__xludf.DUMMYFUNCTION("""COMPUTED_VALUE"""),"-")</f>
        <v>-</v>
      </c>
      <c r="T1416" s="97">
        <f>IFERROR(__xludf.DUMMYFUNCTION("""COMPUTED_VALUE"""),120.0)</f>
        <v>120</v>
      </c>
      <c r="U1416" s="99">
        <f>IFERROR(__xludf.DUMMYFUNCTION("""COMPUTED_VALUE"""),40.0)</f>
        <v>40</v>
      </c>
      <c r="V1416" s="97">
        <f>IFERROR(__xludf.DUMMYFUNCTION("""COMPUTED_VALUE"""),35.0)</f>
        <v>35</v>
      </c>
      <c r="W1416" s="97" t="str">
        <f>IFERROR(__xludf.DUMMYFUNCTION("""COMPUTED_VALUE"""),"&lt; 10")</f>
        <v>&lt; 10</v>
      </c>
      <c r="X1416" s="97">
        <f>IFERROR(__xludf.DUMMYFUNCTION("""COMPUTED_VALUE"""),3000.0)</f>
        <v>3000</v>
      </c>
      <c r="Y1416" s="97" t="str">
        <f>IFERROR(__xludf.DUMMYFUNCTION("""COMPUTED_VALUE"""),"&gt;90")</f>
        <v>&gt;90</v>
      </c>
      <c r="Z1416" s="97" t="str">
        <f>IFERROR(__xludf.DUMMYFUNCTION("""COMPUTED_VALUE"""),"-")</f>
        <v>-</v>
      </c>
      <c r="AA1416" s="97" t="str">
        <f>IFERROR(__xludf.DUMMYFUNCTION("""COMPUTED_VALUE"""),"-")</f>
        <v>-</v>
      </c>
      <c r="AB1416" s="97" t="str">
        <f>IFERROR(__xludf.DUMMYFUNCTION("""COMPUTED_VALUE"""),"-")</f>
        <v>-</v>
      </c>
      <c r="AC1416" s="97">
        <f>IFERROR(__xludf.DUMMYFUNCTION("""COMPUTED_VALUE"""),-0.0029)</f>
        <v>-0.0029</v>
      </c>
      <c r="AD1416" s="97" t="str">
        <f>IFERROR(__xludf.DUMMYFUNCTION("""COMPUTED_VALUE"""),"IP20")</f>
        <v>IP20</v>
      </c>
      <c r="AE1416" s="97" t="str">
        <f>IFERROR(__xludf.DUMMYFUNCTION("""COMPUTED_VALUE"""),"Clase ll")</f>
        <v>Clase ll</v>
      </c>
      <c r="AF1416" s="97" t="str">
        <f>IFERROR(__xludf.DUMMYFUNCTION("""COMPUTED_VALUE"""),"Embutir")</f>
        <v>Embutir</v>
      </c>
      <c r="AG1416" s="97" t="str">
        <f>IFERROR(__xludf.DUMMYFUNCTION("""COMPUTED_VALUE"""),"Ø32 x 43 / Ø33 x 58")</f>
        <v>Ø32 x 43 / Ø33 x 58</v>
      </c>
      <c r="AH1416" s="97" t="str">
        <f>IFERROR(__xludf.DUMMYFUNCTION("""COMPUTED_VALUE"""),"Ø27")</f>
        <v>Ø27</v>
      </c>
      <c r="AI1416" s="97">
        <f>IFERROR(__xludf.DUMMYFUNCTION("""COMPUTED_VALUE"""),90.0)</f>
        <v>90</v>
      </c>
      <c r="AJ1416" s="97"/>
      <c r="AK1416" s="97" t="str">
        <f>IFERROR(__xludf.DUMMYFUNCTION("""COMPUTED_VALUE"""),"Aluminio y ABS")</f>
        <v>Aluminio y ABS</v>
      </c>
      <c r="AL1416" s="97" t="str">
        <f>IFERROR(__xludf.DUMMYFUNCTION("""COMPUTED_VALUE"""),"Blanco")</f>
        <v>Blanco</v>
      </c>
      <c r="AM1416" s="97" t="str">
        <f>IFERROR(__xludf.DUMMYFUNCTION("""COMPUTED_VALUE"""),"-25℃ a 50℃")</f>
        <v>-25℃ a 50℃</v>
      </c>
      <c r="AN1416" s="97" t="str">
        <f>IFERROR(__xludf.DUMMYFUNCTION("""COMPUTED_VALUE"""),"25.000hs (L70)")</f>
        <v>25.000hs (L70)</v>
      </c>
      <c r="AO1416" s="97" t="str">
        <f>IFERROR(__xludf.DUMMYFUNCTION("""COMPUTED_VALUE"""),"2 Años")</f>
        <v>2 Años</v>
      </c>
      <c r="AP1416" s="97" t="str">
        <f>IFERROR(__xludf.DUMMYFUNCTION("""COMPUTED_VALUE"""),"Disponible")</f>
        <v>Disponible</v>
      </c>
      <c r="AQ1416" s="97" t="str">
        <f>IFERROR(__xludf.DUMMYFUNCTION("""COMPUTED_VALUE"""),"Disponible")</f>
        <v>Disponible</v>
      </c>
      <c r="AR1416" s="97" t="str">
        <f>IFERROR(__xludf.DUMMYFUNCTION("""COMPUTED_VALUE"""),"Disponible")</f>
        <v>Disponible</v>
      </c>
      <c r="AS1416" s="97" t="str">
        <f>IFERROR(__xludf.DUMMYFUNCTION("""COMPUTED_VALUE"""),"Falta")</f>
        <v>Falta</v>
      </c>
      <c r="AT1416" s="97" t="str">
        <f>IFERROR(__xludf.DUMMYFUNCTION("""COMPUTED_VALUE"""),"Falta")</f>
        <v>Falta</v>
      </c>
      <c r="AU1416" s="97" t="str">
        <f>IFERROR(__xludf.DUMMYFUNCTION("""COMPUTED_VALUE"""),"Disponible")</f>
        <v>Disponible</v>
      </c>
      <c r="AV1416" s="97" t="str">
        <f>IFERROR(__xludf.DUMMYFUNCTION("""COMPUTED_VALUE"""),"Empotrable")</f>
        <v>Empotrable</v>
      </c>
      <c r="AW1416" s="97" t="str">
        <f>IFERROR(__xludf.DUMMYFUNCTION("""COMPUTED_VALUE"""),"De Techo")</f>
        <v>De Techo</v>
      </c>
      <c r="AX1416" s="97" t="str">
        <f>IFERROR(__xludf.DUMMYFUNCTION("""COMPUTED_VALUE"""),"Interior")</f>
        <v>Interior</v>
      </c>
      <c r="AY1416" s="97" t="str">
        <f>IFERROR(__xludf.DUMMYFUNCTION("""COMPUTED_VALUE"""),"-")</f>
        <v>-</v>
      </c>
      <c r="AZ1416" s="97"/>
      <c r="BA1416" s="97">
        <f>IFERROR(__xludf.DUMMYFUNCTION("""COMPUTED_VALUE"""),100.0)</f>
        <v>100</v>
      </c>
      <c r="BB1416" s="97" t="str">
        <f>IFERROR(__xludf.DUMMYFUNCTION("""COMPUTED_VALUE"""),"60g")</f>
        <v>60g</v>
      </c>
      <c r="BC1416" s="97"/>
      <c r="BD1416" s="97" t="str">
        <f>IFERROR(__xludf.DUMMYFUNCTION("""COMPUTED_VALUE"""),"SPY EM")</f>
        <v>SPY EM</v>
      </c>
      <c r="BE1416" s="97" t="str">
        <f>IFERROR(__xludf.DUMMYFUNCTION("""COMPUTED_VALUE"""),"Solicitada")</f>
        <v>Solicitada</v>
      </c>
      <c r="BF1416" s="97"/>
      <c r="BG1416" s="97" t="str">
        <f>IFERROR(__xludf.DUMMYFUNCTION("""COMPUTED_VALUE"""),"REPO 7")</f>
        <v>REPO 7</v>
      </c>
    </row>
    <row r="1417">
      <c r="A1417" s="97">
        <f>IFERROR(__xludf.DUMMYFUNCTION("""COMPUTED_VALUE"""),7518.0)</f>
        <v>7518</v>
      </c>
      <c r="B1417" s="97" t="str">
        <f>IFERROR(__xludf.DUMMYFUNCTION("""COMPUTED_VALUE"""),"NANO CHILL")</f>
        <v>NANO CHILL</v>
      </c>
      <c r="C1417" s="97" t="str">
        <f>IFERROR(__xludf.DUMMYFUNCTION("""COMPUTED_VALUE"""),"PROYECTOR NANO CHILL 2W 3000K 70LM CRI&gt;80 IP65 LEUK")</f>
        <v>PROYECTOR NANO CHILL 2W 3000K 70LM CRI&gt;80 IP65 LEUK</v>
      </c>
      <c r="D1417" s="97">
        <f>IFERROR(__xludf.DUMMYFUNCTION("""COMPUTED_VALUE"""),7.798413229806E12)</f>
        <v>7798413229806</v>
      </c>
      <c r="E1417" s="97" t="str">
        <f>IFERROR(__xludf.DUMMYFUNCTION("""COMPUTED_VALUE"""),"C145")</f>
        <v>C145</v>
      </c>
      <c r="F1417" s="97" t="str">
        <f>IFERROR(__xludf.DUMMYFUNCTION("""COMPUTED_VALUE"""),"LED SMD")</f>
        <v>LED SMD</v>
      </c>
      <c r="G1417" s="97" t="str">
        <f>IFERROR(__xludf.DUMMYFUNCTION("""COMPUTED_VALUE"""),"-")</f>
        <v>-</v>
      </c>
      <c r="H1417" s="97" t="str">
        <f>IFERROR(__xludf.DUMMYFUNCTION("""COMPUTED_VALUE"""),"-")</f>
        <v>-</v>
      </c>
      <c r="I1417" s="97"/>
      <c r="J1417" s="97" t="str">
        <f>IFERROR(__xludf.DUMMYFUNCTION("""COMPUTED_VALUE"""),"Non-isolated - 100～240VAC - 50/60Hz
&gt;0.5 - 25-39V 50mA")</f>
        <v>Non-isolated - 100～240VAC - 50/60Hz
&gt;0.5 - 25-39V 50mA</v>
      </c>
      <c r="K1417" s="97"/>
      <c r="L1417" s="97" t="str">
        <f>IFERROR(__xludf.DUMMYFUNCTION("""COMPUTED_VALUE"""),"220-240")</f>
        <v>220-240</v>
      </c>
      <c r="M1417" s="97" t="str">
        <f>IFERROR(__xludf.DUMMYFUNCTION("""COMPUTED_VALUE"""),"50/60")</f>
        <v>50/60</v>
      </c>
      <c r="N1417" s="97" t="str">
        <f>IFERROR(__xludf.DUMMYFUNCTION("""COMPUTED_VALUE"""),"Directa")</f>
        <v>Directa</v>
      </c>
      <c r="O1417" s="97">
        <f>IFERROR(__xludf.DUMMYFUNCTION("""COMPUTED_VALUE"""),2.0)</f>
        <v>2</v>
      </c>
      <c r="P1417" s="97">
        <f>IFERROR(__xludf.DUMMYFUNCTION("""COMPUTED_VALUE"""),2.0)</f>
        <v>2</v>
      </c>
      <c r="Q1417" s="97">
        <f>IFERROR(__xludf.DUMMYFUNCTION("""COMPUTED_VALUE"""),0.5)</f>
        <v>0.5</v>
      </c>
      <c r="R1417" s="97" t="str">
        <f>IFERROR(__xludf.DUMMYFUNCTION("""COMPUTED_VALUE"""),"-")</f>
        <v>-</v>
      </c>
      <c r="S1417" s="97" t="str">
        <f>IFERROR(__xludf.DUMMYFUNCTION("""COMPUTED_VALUE"""),"-")</f>
        <v>-</v>
      </c>
      <c r="T1417" s="97">
        <f>IFERROR(__xludf.DUMMYFUNCTION("""COMPUTED_VALUE"""),70.0)</f>
        <v>70</v>
      </c>
      <c r="U1417" s="99">
        <f>IFERROR(__xludf.DUMMYFUNCTION("""COMPUTED_VALUE"""),35.0)</f>
        <v>35</v>
      </c>
      <c r="V1417" s="97">
        <f>IFERROR(__xludf.DUMMYFUNCTION("""COMPUTED_VALUE"""),35.0)</f>
        <v>35</v>
      </c>
      <c r="W1417" s="97" t="str">
        <f>IFERROR(__xludf.DUMMYFUNCTION("""COMPUTED_VALUE"""),"&lt; 10")</f>
        <v>&lt; 10</v>
      </c>
      <c r="X1417" s="97">
        <f>IFERROR(__xludf.DUMMYFUNCTION("""COMPUTED_VALUE"""),3000.0)</f>
        <v>3000</v>
      </c>
      <c r="Y1417" s="97" t="str">
        <f>IFERROR(__xludf.DUMMYFUNCTION("""COMPUTED_VALUE"""),"&gt;80")</f>
        <v>&gt;80</v>
      </c>
      <c r="Z1417" s="97" t="str">
        <f>IFERROR(__xludf.DUMMYFUNCTION("""COMPUTED_VALUE"""),"-")</f>
        <v>-</v>
      </c>
      <c r="AA1417" s="97" t="str">
        <f>IFERROR(__xludf.DUMMYFUNCTION("""COMPUTED_VALUE"""),"-")</f>
        <v>-</v>
      </c>
      <c r="AB1417" s="97" t="str">
        <f>IFERROR(__xludf.DUMMYFUNCTION("""COMPUTED_VALUE"""),"-")</f>
        <v>-</v>
      </c>
      <c r="AC1417" s="97">
        <f>IFERROR(__xludf.DUMMYFUNCTION("""COMPUTED_VALUE"""),0.0019)</f>
        <v>0.0019</v>
      </c>
      <c r="AD1417" s="97" t="str">
        <f>IFERROR(__xludf.DUMMYFUNCTION("""COMPUTED_VALUE"""),"IP65")</f>
        <v>IP65</v>
      </c>
      <c r="AE1417" s="97" t="str">
        <f>IFERROR(__xludf.DUMMYFUNCTION("""COMPUTED_VALUE"""),"Clase l")</f>
        <v>Clase l</v>
      </c>
      <c r="AF1417" s="97" t="str">
        <f>IFERROR(__xludf.DUMMYFUNCTION("""COMPUTED_VALUE"""),"Estaca")</f>
        <v>Estaca</v>
      </c>
      <c r="AG1417" s="97" t="str">
        <f>IFERROR(__xludf.DUMMYFUNCTION("""COMPUTED_VALUE"""),"Ø18 x 68 x 240")</f>
        <v>Ø18 x 68 x 240</v>
      </c>
      <c r="AH1417" s="97" t="str">
        <f>IFERROR(__xludf.DUMMYFUNCTION("""COMPUTED_VALUE"""),"N/A")</f>
        <v>N/A</v>
      </c>
      <c r="AI1417" s="97" t="str">
        <f>IFERROR(__xludf.DUMMYFUNCTION("""COMPUTED_VALUE"""),"N/A")</f>
        <v>N/A</v>
      </c>
      <c r="AJ1417" s="97"/>
      <c r="AK1417" s="97" t="str">
        <f>IFERROR(__xludf.DUMMYFUNCTION("""COMPUTED_VALUE"""),"Aluminio")</f>
        <v>Aluminio</v>
      </c>
      <c r="AL1417" s="97" t="str">
        <f>IFERROR(__xludf.DUMMYFUNCTION("""COMPUTED_VALUE"""),"Negro Satinado")</f>
        <v>Negro Satinado</v>
      </c>
      <c r="AM1417" s="97" t="str">
        <f>IFERROR(__xludf.DUMMYFUNCTION("""COMPUTED_VALUE"""),"-25℃ a 50℃")</f>
        <v>-25℃ a 50℃</v>
      </c>
      <c r="AN1417" s="97" t="str">
        <f>IFERROR(__xludf.DUMMYFUNCTION("""COMPUTED_VALUE"""),"25.000hs (L70)")</f>
        <v>25.000hs (L70)</v>
      </c>
      <c r="AO1417" s="97" t="str">
        <f>IFERROR(__xludf.DUMMYFUNCTION("""COMPUTED_VALUE"""),"2 Años")</f>
        <v>2 Años</v>
      </c>
      <c r="AP1417" s="97" t="str">
        <f>IFERROR(__xludf.DUMMYFUNCTION("""COMPUTED_VALUE"""),"Disponible")</f>
        <v>Disponible</v>
      </c>
      <c r="AQ1417" s="97" t="str">
        <f>IFERROR(__xludf.DUMMYFUNCTION("""COMPUTED_VALUE"""),"Disponible")</f>
        <v>Disponible</v>
      </c>
      <c r="AR1417" s="97" t="str">
        <f>IFERROR(__xludf.DUMMYFUNCTION("""COMPUTED_VALUE"""),"Disponible")</f>
        <v>Disponible</v>
      </c>
      <c r="AS1417" s="97" t="str">
        <f>IFERROR(__xludf.DUMMYFUNCTION("""COMPUTED_VALUE"""),"Disponible")</f>
        <v>Disponible</v>
      </c>
      <c r="AT1417" s="97" t="str">
        <f>IFERROR(__xludf.DUMMYFUNCTION("""COMPUTED_VALUE"""),"Disponible")</f>
        <v>Disponible</v>
      </c>
      <c r="AU1417" s="97" t="str">
        <f>IFERROR(__xludf.DUMMYFUNCTION("""COMPUTED_VALUE"""),"Disponible")</f>
        <v>Disponible</v>
      </c>
      <c r="AV1417" s="97" t="str">
        <f>IFERROR(__xludf.DUMMYFUNCTION("""COMPUTED_VALUE"""),"Proyector")</f>
        <v>Proyector</v>
      </c>
      <c r="AW1417" s="97" t="str">
        <f>IFERROR(__xludf.DUMMYFUNCTION("""COMPUTED_VALUE"""),"De Piso")</f>
        <v>De Piso</v>
      </c>
      <c r="AX1417" s="97" t="str">
        <f>IFERROR(__xludf.DUMMYFUNCTION("""COMPUTED_VALUE"""),"Exterior")</f>
        <v>Exterior</v>
      </c>
      <c r="AY1417" s="97" t="str">
        <f>IFERROR(__xludf.DUMMYFUNCTION("""COMPUTED_VALUE"""),"-")</f>
        <v>-</v>
      </c>
      <c r="AZ1417" s="97"/>
      <c r="BA1417" s="97">
        <f>IFERROR(__xludf.DUMMYFUNCTION("""COMPUTED_VALUE"""),100.0)</f>
        <v>100</v>
      </c>
      <c r="BB1417" s="97" t="str">
        <f>IFERROR(__xludf.DUMMYFUNCTION("""COMPUTED_VALUE"""),"71g")</f>
        <v>71g</v>
      </c>
      <c r="BC1417" s="97"/>
      <c r="BD1417" s="97" t="str">
        <f>IFERROR(__xludf.DUMMYFUNCTION("""COMPUTED_VALUE"""),"NANO CHILL")</f>
        <v>NANO CHILL</v>
      </c>
      <c r="BE1417" s="97" t="str">
        <f>IFERROR(__xludf.DUMMYFUNCTION("""COMPUTED_VALUE"""),"Solicitada")</f>
        <v>Solicitada</v>
      </c>
      <c r="BF1417" s="97"/>
      <c r="BG1417" s="97" t="str">
        <f>IFERROR(__xludf.DUMMYFUNCTION("""COMPUTED_VALUE"""),"REPO 7")</f>
        <v>REPO 7</v>
      </c>
    </row>
    <row r="1418">
      <c r="A1418" s="97">
        <f>IFERROR(__xludf.DUMMYFUNCTION("""COMPUTED_VALUE"""),7519.0)</f>
        <v>7519</v>
      </c>
      <c r="B1418" s="97" t="str">
        <f>IFERROR(__xludf.DUMMYFUNCTION("""COMPUTED_VALUE"""),"NUMA R BL/BL")</f>
        <v>NUMA R BL/BL</v>
      </c>
      <c r="C1418" s="97" t="str">
        <f>IFERROR(__xludf.DUMMYFUNCTION("""COMPUTED_VALUE"""),"EMPOTRABLE NUMA R BL/BL LEUK")</f>
        <v>EMPOTRABLE NUMA R BL/BL LEUK</v>
      </c>
      <c r="D1418" s="97">
        <f>IFERROR(__xludf.DUMMYFUNCTION("""COMPUTED_VALUE"""),7.798413228694E12)</f>
        <v>7798413228694</v>
      </c>
      <c r="E1418" s="97" t="str">
        <f>IFERROR(__xludf.DUMMYFUNCTION("""COMPUTED_VALUE"""),"-")</f>
        <v>-</v>
      </c>
      <c r="F1418" s="97" t="str">
        <f>IFERROR(__xludf.DUMMYFUNCTION("""COMPUTED_VALUE"""),"N/A")</f>
        <v>N/A</v>
      </c>
      <c r="G1418" s="97" t="str">
        <f>IFERROR(__xludf.DUMMYFUNCTION("""COMPUTED_VALUE"""),"N/A")</f>
        <v>N/A</v>
      </c>
      <c r="H1418" s="97" t="str">
        <f>IFERROR(__xludf.DUMMYFUNCTION("""COMPUTED_VALUE"""),"N/A")</f>
        <v>N/A</v>
      </c>
      <c r="I1418" s="97" t="str">
        <f>IFERROR(__xludf.DUMMYFUNCTION("""COMPUTED_VALUE"""),"N/A")</f>
        <v>N/A</v>
      </c>
      <c r="J1418" s="97" t="str">
        <f>IFERROR(__xludf.DUMMYFUNCTION("""COMPUTED_VALUE"""),"N/A")</f>
        <v>N/A</v>
      </c>
      <c r="K1418" s="97" t="str">
        <f>IFERROR(__xludf.DUMMYFUNCTION("""COMPUTED_VALUE"""),"N/A")</f>
        <v>N/A</v>
      </c>
      <c r="L1418" s="97" t="str">
        <f>IFERROR(__xludf.DUMMYFUNCTION("""COMPUTED_VALUE"""),"N/A")</f>
        <v>N/A</v>
      </c>
      <c r="M1418" s="97" t="str">
        <f>IFERROR(__xludf.DUMMYFUNCTION("""COMPUTED_VALUE"""),"N/A")</f>
        <v>N/A</v>
      </c>
      <c r="N1418" s="97" t="str">
        <f>IFERROR(__xludf.DUMMYFUNCTION("""COMPUTED_VALUE"""),"N/A")</f>
        <v>N/A</v>
      </c>
      <c r="O1418" s="97" t="str">
        <f>IFERROR(__xludf.DUMMYFUNCTION("""COMPUTED_VALUE"""),"-")</f>
        <v>-</v>
      </c>
      <c r="P1418" s="97" t="str">
        <f>IFERROR(__xludf.DUMMYFUNCTION("""COMPUTED_VALUE"""),"-")</f>
        <v>-</v>
      </c>
      <c r="Q1418" s="97" t="str">
        <f>IFERROR(__xludf.DUMMYFUNCTION("""COMPUTED_VALUE"""),"-")</f>
        <v>-</v>
      </c>
      <c r="R1418" s="97" t="str">
        <f>IFERROR(__xludf.DUMMYFUNCTION("""COMPUTED_VALUE"""),"-")</f>
        <v>-</v>
      </c>
      <c r="S1418" s="97" t="str">
        <f>IFERROR(__xludf.DUMMYFUNCTION("""COMPUTED_VALUE"""),"-")</f>
        <v>-</v>
      </c>
      <c r="T1418" s="97" t="str">
        <f>IFERROR(__xludf.DUMMYFUNCTION("""COMPUTED_VALUE"""),"-")</f>
        <v>-</v>
      </c>
      <c r="U1418" s="97" t="str">
        <f>IFERROR(__xludf.DUMMYFUNCTION("""COMPUTED_VALUE"""),"-")</f>
        <v>-</v>
      </c>
      <c r="V1418" s="97" t="str">
        <f>IFERROR(__xludf.DUMMYFUNCTION("""COMPUTED_VALUE"""),"N/A")</f>
        <v>N/A</v>
      </c>
      <c r="W1418" s="97" t="str">
        <f>IFERROR(__xludf.DUMMYFUNCTION("""COMPUTED_VALUE"""),"N/A")</f>
        <v>N/A</v>
      </c>
      <c r="X1418" s="97" t="str">
        <f>IFERROR(__xludf.DUMMYFUNCTION("""COMPUTED_VALUE"""),"-")</f>
        <v>-</v>
      </c>
      <c r="Y1418" s="97" t="str">
        <f>IFERROR(__xludf.DUMMYFUNCTION("""COMPUTED_VALUE"""),"N/A")</f>
        <v>N/A</v>
      </c>
      <c r="Z1418" s="97" t="str">
        <f>IFERROR(__xludf.DUMMYFUNCTION("""COMPUTED_VALUE"""),"N/A")</f>
        <v>N/A</v>
      </c>
      <c r="AA1418" s="97" t="str">
        <f>IFERROR(__xludf.DUMMYFUNCTION("""COMPUTED_VALUE"""),"N/A")</f>
        <v>N/A</v>
      </c>
      <c r="AB1418" s="97" t="str">
        <f>IFERROR(__xludf.DUMMYFUNCTION("""COMPUTED_VALUE"""),"N/A")</f>
        <v>N/A</v>
      </c>
      <c r="AC1418" s="97" t="str">
        <f>IFERROR(__xludf.DUMMYFUNCTION("""COMPUTED_VALUE"""),"N/A")</f>
        <v>N/A</v>
      </c>
      <c r="AD1418" s="97" t="str">
        <f>IFERROR(__xludf.DUMMYFUNCTION("""COMPUTED_VALUE"""),"IP20")</f>
        <v>IP20</v>
      </c>
      <c r="AE1418" s="97" t="str">
        <f>IFERROR(__xludf.DUMMYFUNCTION("""COMPUTED_VALUE"""),"N/A")</f>
        <v>N/A</v>
      </c>
      <c r="AF1418" s="97" t="str">
        <f>IFERROR(__xludf.DUMMYFUNCTION("""COMPUTED_VALUE"""),"Embutir")</f>
        <v>Embutir</v>
      </c>
      <c r="AG1418" s="97" t="str">
        <f>IFERROR(__xludf.DUMMYFUNCTION("""COMPUTED_VALUE"""),"Ø83 x 57")</f>
        <v>Ø83 x 57</v>
      </c>
      <c r="AH1418" s="97" t="str">
        <f>IFERROR(__xludf.DUMMYFUNCTION("""COMPUTED_VALUE"""),"Ø75")</f>
        <v>Ø75</v>
      </c>
      <c r="AI1418" s="97"/>
      <c r="AJ1418" s="97" t="str">
        <f>IFERROR(__xludf.DUMMYFUNCTION("""COMPUTED_VALUE"""),"N/A")</f>
        <v>N/A</v>
      </c>
      <c r="AK1418" s="97" t="str">
        <f>IFERROR(__xludf.DUMMYFUNCTION("""COMPUTED_VALUE"""),"Policarbonato (PC)")</f>
        <v>Policarbonato (PC)</v>
      </c>
      <c r="AL1418" s="97" t="str">
        <f>IFERROR(__xludf.DUMMYFUNCTION("""COMPUTED_VALUE"""),"Blanco")</f>
        <v>Blanco</v>
      </c>
      <c r="AM1418" s="97" t="str">
        <f>IFERROR(__xludf.DUMMYFUNCTION("""COMPUTED_VALUE"""),"-")</f>
        <v>-</v>
      </c>
      <c r="AN1418" s="97" t="str">
        <f>IFERROR(__xludf.DUMMYFUNCTION("""COMPUTED_VALUE"""),"N/A")</f>
        <v>N/A</v>
      </c>
      <c r="AO1418" s="97" t="str">
        <f>IFERROR(__xludf.DUMMYFUNCTION("""COMPUTED_VALUE"""),"2 Años")</f>
        <v>2 Años</v>
      </c>
      <c r="AP1418" s="97" t="str">
        <f>IFERROR(__xludf.DUMMYFUNCTION("""COMPUTED_VALUE"""),"No Aplica")</f>
        <v>No Aplica</v>
      </c>
      <c r="AQ1418" s="97" t="str">
        <f>IFERROR(__xludf.DUMMYFUNCTION("""COMPUTED_VALUE"""),"No Aplica")</f>
        <v>No Aplica</v>
      </c>
      <c r="AR1418" s="97" t="str">
        <f>IFERROR(__xludf.DUMMYFUNCTION("""COMPUTED_VALUE"""),"No Aplica")</f>
        <v>No Aplica</v>
      </c>
      <c r="AS1418" s="97" t="str">
        <f>IFERROR(__xludf.DUMMYFUNCTION("""COMPUTED_VALUE"""),"Disponible")</f>
        <v>Disponible</v>
      </c>
      <c r="AT1418" s="97" t="str">
        <f>IFERROR(__xludf.DUMMYFUNCTION("""COMPUTED_VALUE"""),"Disponible")</f>
        <v>Disponible</v>
      </c>
      <c r="AU1418" s="97" t="str">
        <f>IFERROR(__xludf.DUMMYFUNCTION("""COMPUTED_VALUE"""),"Falta")</f>
        <v>Falta</v>
      </c>
      <c r="AV1418" s="97" t="str">
        <f>IFERROR(__xludf.DUMMYFUNCTION("""COMPUTED_VALUE"""),"Empotrable")</f>
        <v>Empotrable</v>
      </c>
      <c r="AW1418" s="97" t="str">
        <f>IFERROR(__xludf.DUMMYFUNCTION("""COMPUTED_VALUE"""),"De Techo")</f>
        <v>De Techo</v>
      </c>
      <c r="AX1418" s="97" t="str">
        <f>IFERROR(__xludf.DUMMYFUNCTION("""COMPUTED_VALUE"""),"Interior")</f>
        <v>Interior</v>
      </c>
      <c r="AY1418" s="97" t="str">
        <f>IFERROR(__xludf.DUMMYFUNCTION("""COMPUTED_VALUE"""),"-")</f>
        <v>-</v>
      </c>
      <c r="AZ1418" s="97" t="str">
        <f>IFERROR(__xludf.DUMMYFUNCTION("""COMPUTED_VALUE"""),"Para MR16. No incluye zocalo.")</f>
        <v>Para MR16. No incluye zocalo.</v>
      </c>
      <c r="BA1418" s="97"/>
      <c r="BB1418" s="97"/>
      <c r="BC1418" s="97"/>
      <c r="BD1418" s="97" t="str">
        <f>IFERROR(__xludf.DUMMYFUNCTION("""COMPUTED_VALUE"""),"NUMA")</f>
        <v>NUMA</v>
      </c>
      <c r="BE1418" s="97" t="str">
        <f>IFERROR(__xludf.DUMMYFUNCTION("""COMPUTED_VALUE"""),"Solicitada")</f>
        <v>Solicitada</v>
      </c>
      <c r="BF1418" s="97"/>
      <c r="BG1418" s="97" t="str">
        <f>IFERROR(__xludf.DUMMYFUNCTION("""COMPUTED_VALUE"""),"REPO 7")</f>
        <v>REPO 7</v>
      </c>
    </row>
    <row r="1419">
      <c r="A1419" s="97">
        <f>IFERROR(__xludf.DUMMYFUNCTION("""COMPUTED_VALUE"""),7520.0)</f>
        <v>7520</v>
      </c>
      <c r="B1419" s="97" t="str">
        <f>IFERROR(__xludf.DUMMYFUNCTION("""COMPUTED_VALUE"""),"NUMA REFLECTOR R NG")</f>
        <v>NUMA REFLECTOR R NG</v>
      </c>
      <c r="C1419" s="97" t="str">
        <f>IFERROR(__xludf.DUMMYFUNCTION("""COMPUTED_VALUE"""),"ACCESORIO NUMA REFLECTOR R NG LEUK")</f>
        <v>ACCESORIO NUMA REFLECTOR R NG LEUK</v>
      </c>
      <c r="D1419" s="97">
        <f>IFERROR(__xludf.DUMMYFUNCTION("""COMPUTED_VALUE"""),7.7984132287E12)</f>
        <v>7798413228700</v>
      </c>
      <c r="E1419" s="97" t="str">
        <f>IFERROR(__xludf.DUMMYFUNCTION("""COMPUTED_VALUE"""),"-")</f>
        <v>-</v>
      </c>
      <c r="F1419" s="97" t="str">
        <f>IFERROR(__xludf.DUMMYFUNCTION("""COMPUTED_VALUE"""),"N/A")</f>
        <v>N/A</v>
      </c>
      <c r="G1419" s="97" t="str">
        <f>IFERROR(__xludf.DUMMYFUNCTION("""COMPUTED_VALUE"""),"N/A")</f>
        <v>N/A</v>
      </c>
      <c r="H1419" s="97" t="str">
        <f>IFERROR(__xludf.DUMMYFUNCTION("""COMPUTED_VALUE"""),"N/A")</f>
        <v>N/A</v>
      </c>
      <c r="I1419" s="97" t="str">
        <f>IFERROR(__xludf.DUMMYFUNCTION("""COMPUTED_VALUE"""),"N/A")</f>
        <v>N/A</v>
      </c>
      <c r="J1419" s="97" t="str">
        <f>IFERROR(__xludf.DUMMYFUNCTION("""COMPUTED_VALUE"""),"N/A")</f>
        <v>N/A</v>
      </c>
      <c r="K1419" s="97" t="str">
        <f>IFERROR(__xludf.DUMMYFUNCTION("""COMPUTED_VALUE"""),"N/A")</f>
        <v>N/A</v>
      </c>
      <c r="L1419" s="97" t="str">
        <f>IFERROR(__xludf.DUMMYFUNCTION("""COMPUTED_VALUE"""),"N/A")</f>
        <v>N/A</v>
      </c>
      <c r="M1419" s="97" t="str">
        <f>IFERROR(__xludf.DUMMYFUNCTION("""COMPUTED_VALUE"""),"N/A")</f>
        <v>N/A</v>
      </c>
      <c r="N1419" s="97" t="str">
        <f>IFERROR(__xludf.DUMMYFUNCTION("""COMPUTED_VALUE"""),"N/A")</f>
        <v>N/A</v>
      </c>
      <c r="O1419" s="97" t="str">
        <f>IFERROR(__xludf.DUMMYFUNCTION("""COMPUTED_VALUE"""),"-")</f>
        <v>-</v>
      </c>
      <c r="P1419" s="97" t="str">
        <f>IFERROR(__xludf.DUMMYFUNCTION("""COMPUTED_VALUE"""),"-")</f>
        <v>-</v>
      </c>
      <c r="Q1419" s="97" t="str">
        <f>IFERROR(__xludf.DUMMYFUNCTION("""COMPUTED_VALUE"""),"-")</f>
        <v>-</v>
      </c>
      <c r="R1419" s="97" t="str">
        <f>IFERROR(__xludf.DUMMYFUNCTION("""COMPUTED_VALUE"""),"-")</f>
        <v>-</v>
      </c>
      <c r="S1419" s="97" t="str">
        <f>IFERROR(__xludf.DUMMYFUNCTION("""COMPUTED_VALUE"""),"-")</f>
        <v>-</v>
      </c>
      <c r="T1419" s="97" t="str">
        <f>IFERROR(__xludf.DUMMYFUNCTION("""COMPUTED_VALUE"""),"-")</f>
        <v>-</v>
      </c>
      <c r="U1419" s="97" t="str">
        <f>IFERROR(__xludf.DUMMYFUNCTION("""COMPUTED_VALUE"""),"-")</f>
        <v>-</v>
      </c>
      <c r="V1419" s="97" t="str">
        <f>IFERROR(__xludf.DUMMYFUNCTION("""COMPUTED_VALUE"""),"N/A")</f>
        <v>N/A</v>
      </c>
      <c r="W1419" s="97" t="str">
        <f>IFERROR(__xludf.DUMMYFUNCTION("""COMPUTED_VALUE"""),"N/A")</f>
        <v>N/A</v>
      </c>
      <c r="X1419" s="97" t="str">
        <f>IFERROR(__xludf.DUMMYFUNCTION("""COMPUTED_VALUE"""),"-")</f>
        <v>-</v>
      </c>
      <c r="Y1419" s="97" t="str">
        <f>IFERROR(__xludf.DUMMYFUNCTION("""COMPUTED_VALUE"""),"N/A")</f>
        <v>N/A</v>
      </c>
      <c r="Z1419" s="97" t="str">
        <f>IFERROR(__xludf.DUMMYFUNCTION("""COMPUTED_VALUE"""),"N/A")</f>
        <v>N/A</v>
      </c>
      <c r="AA1419" s="97" t="str">
        <f>IFERROR(__xludf.DUMMYFUNCTION("""COMPUTED_VALUE"""),"N/A")</f>
        <v>N/A</v>
      </c>
      <c r="AB1419" s="97" t="str">
        <f>IFERROR(__xludf.DUMMYFUNCTION("""COMPUTED_VALUE"""),"N/A")</f>
        <v>N/A</v>
      </c>
      <c r="AC1419" s="97" t="str">
        <f>IFERROR(__xludf.DUMMYFUNCTION("""COMPUTED_VALUE"""),"N/A")</f>
        <v>N/A</v>
      </c>
      <c r="AD1419" s="97" t="str">
        <f>IFERROR(__xludf.DUMMYFUNCTION("""COMPUTED_VALUE"""),"N/A")</f>
        <v>N/A</v>
      </c>
      <c r="AE1419" s="97" t="str">
        <f>IFERROR(__xludf.DUMMYFUNCTION("""COMPUTED_VALUE"""),"N/A")</f>
        <v>N/A</v>
      </c>
      <c r="AF1419" s="97" t="str">
        <f>IFERROR(__xludf.DUMMYFUNCTION("""COMPUTED_VALUE"""),"N/A")</f>
        <v>N/A</v>
      </c>
      <c r="AG1419" s="97"/>
      <c r="AH1419" s="97" t="str">
        <f>IFERROR(__xludf.DUMMYFUNCTION("""COMPUTED_VALUE"""),"N/A")</f>
        <v>N/A</v>
      </c>
      <c r="AI1419" s="97" t="str">
        <f>IFERROR(__xludf.DUMMYFUNCTION("""COMPUTED_VALUE"""),"N/A")</f>
        <v>N/A</v>
      </c>
      <c r="AJ1419" s="97" t="str">
        <f>IFERROR(__xludf.DUMMYFUNCTION("""COMPUTED_VALUE"""),"N/A")</f>
        <v>N/A</v>
      </c>
      <c r="AK1419" s="97" t="str">
        <f>IFERROR(__xludf.DUMMYFUNCTION("""COMPUTED_VALUE"""),"Policarbonato (PC)")</f>
        <v>Policarbonato (PC)</v>
      </c>
      <c r="AL1419" s="97" t="str">
        <f>IFERROR(__xludf.DUMMYFUNCTION("""COMPUTED_VALUE"""),"Negro")</f>
        <v>Negro</v>
      </c>
      <c r="AM1419" s="97" t="str">
        <f>IFERROR(__xludf.DUMMYFUNCTION("""COMPUTED_VALUE"""),"-")</f>
        <v>-</v>
      </c>
      <c r="AN1419" s="97" t="str">
        <f>IFERROR(__xludf.DUMMYFUNCTION("""COMPUTED_VALUE"""),"N/A")</f>
        <v>N/A</v>
      </c>
      <c r="AO1419" s="97" t="str">
        <f>IFERROR(__xludf.DUMMYFUNCTION("""COMPUTED_VALUE"""),"2 Años")</f>
        <v>2 Años</v>
      </c>
      <c r="AP1419" s="97" t="str">
        <f>IFERROR(__xludf.DUMMYFUNCTION("""COMPUTED_VALUE"""),"No Aplica")</f>
        <v>No Aplica</v>
      </c>
      <c r="AQ1419" s="97" t="str">
        <f>IFERROR(__xludf.DUMMYFUNCTION("""COMPUTED_VALUE"""),"No Aplica")</f>
        <v>No Aplica</v>
      </c>
      <c r="AR1419" s="97" t="str">
        <f>IFERROR(__xludf.DUMMYFUNCTION("""COMPUTED_VALUE"""),"No Aplica")</f>
        <v>No Aplica</v>
      </c>
      <c r="AS1419" s="97" t="str">
        <f>IFERROR(__xludf.DUMMYFUNCTION("""COMPUTED_VALUE"""),"No Aplica")</f>
        <v>No Aplica</v>
      </c>
      <c r="AT1419" s="97" t="str">
        <f>IFERROR(__xludf.DUMMYFUNCTION("""COMPUTED_VALUE"""),"No Aplica")</f>
        <v>No Aplica</v>
      </c>
      <c r="AU1419" s="97" t="str">
        <f>IFERROR(__xludf.DUMMYFUNCTION("""COMPUTED_VALUE"""),"Falta")</f>
        <v>Falta</v>
      </c>
      <c r="AV1419" s="97" t="str">
        <f>IFERROR(__xludf.DUMMYFUNCTION("""COMPUTED_VALUE"""),"Accesorio")</f>
        <v>Accesorio</v>
      </c>
      <c r="AW1419" s="97" t="str">
        <f>IFERROR(__xludf.DUMMYFUNCTION("""COMPUTED_VALUE"""),"De Techo")</f>
        <v>De Techo</v>
      </c>
      <c r="AX1419" s="97" t="str">
        <f>IFERROR(__xludf.DUMMYFUNCTION("""COMPUTED_VALUE"""),"Interior")</f>
        <v>Interior</v>
      </c>
      <c r="AY1419" s="97" t="str">
        <f>IFERROR(__xludf.DUMMYFUNCTION("""COMPUTED_VALUE"""),"-")</f>
        <v>-</v>
      </c>
      <c r="AZ1419" s="97" t="str">
        <f>IFERROR(__xludf.DUMMYFUNCTION("""COMPUTED_VALUE"""),"Cajas de a 10 unidades.")</f>
        <v>Cajas de a 10 unidades.</v>
      </c>
      <c r="BA1419" s="97"/>
      <c r="BB1419" s="97"/>
      <c r="BC1419" s="97"/>
      <c r="BD1419" s="97" t="str">
        <f>IFERROR(__xludf.DUMMYFUNCTION("""COMPUTED_VALUE"""),"NUMA")</f>
        <v>NUMA</v>
      </c>
      <c r="BE1419" s="97" t="str">
        <f>IFERROR(__xludf.DUMMYFUNCTION("""COMPUTED_VALUE"""),"Solicitada")</f>
        <v>Solicitada</v>
      </c>
      <c r="BF1419" s="97"/>
      <c r="BG1419" s="97" t="str">
        <f>IFERROR(__xludf.DUMMYFUNCTION("""COMPUTED_VALUE"""),"REPO 7")</f>
        <v>REPO 7</v>
      </c>
    </row>
    <row r="1420">
      <c r="A1420" s="97">
        <f>IFERROR(__xludf.DUMMYFUNCTION("""COMPUTED_VALUE"""),7521.0)</f>
        <v>7521</v>
      </c>
      <c r="B1420" s="97" t="str">
        <f>IFERROR(__xludf.DUMMYFUNCTION("""COMPUTED_VALUE"""),"NUMA R NG/BL")</f>
        <v>NUMA R NG/BL</v>
      </c>
      <c r="C1420" s="97" t="str">
        <f>IFERROR(__xludf.DUMMYFUNCTION("""COMPUTED_VALUE"""),"EMPOTRABLE NUMA R NG/BL LEUK")</f>
        <v>EMPOTRABLE NUMA R NG/BL LEUK</v>
      </c>
      <c r="D1420" s="97">
        <f>IFERROR(__xludf.DUMMYFUNCTION("""COMPUTED_VALUE"""),7.798413228717E12)</f>
        <v>7798413228717</v>
      </c>
      <c r="E1420" s="97" t="str">
        <f>IFERROR(__xludf.DUMMYFUNCTION("""COMPUTED_VALUE"""),"-")</f>
        <v>-</v>
      </c>
      <c r="F1420" s="97" t="str">
        <f>IFERROR(__xludf.DUMMYFUNCTION("""COMPUTED_VALUE"""),"N/A")</f>
        <v>N/A</v>
      </c>
      <c r="G1420" s="97" t="str">
        <f>IFERROR(__xludf.DUMMYFUNCTION("""COMPUTED_VALUE"""),"N/A")</f>
        <v>N/A</v>
      </c>
      <c r="H1420" s="97" t="str">
        <f>IFERROR(__xludf.DUMMYFUNCTION("""COMPUTED_VALUE"""),"N/A")</f>
        <v>N/A</v>
      </c>
      <c r="I1420" s="97" t="str">
        <f>IFERROR(__xludf.DUMMYFUNCTION("""COMPUTED_VALUE"""),"N/A")</f>
        <v>N/A</v>
      </c>
      <c r="J1420" s="97" t="str">
        <f>IFERROR(__xludf.DUMMYFUNCTION("""COMPUTED_VALUE"""),"N/A")</f>
        <v>N/A</v>
      </c>
      <c r="K1420" s="97" t="str">
        <f>IFERROR(__xludf.DUMMYFUNCTION("""COMPUTED_VALUE"""),"N/A")</f>
        <v>N/A</v>
      </c>
      <c r="L1420" s="97" t="str">
        <f>IFERROR(__xludf.DUMMYFUNCTION("""COMPUTED_VALUE"""),"N/A")</f>
        <v>N/A</v>
      </c>
      <c r="M1420" s="97" t="str">
        <f>IFERROR(__xludf.DUMMYFUNCTION("""COMPUTED_VALUE"""),"N/A")</f>
        <v>N/A</v>
      </c>
      <c r="N1420" s="97" t="str">
        <f>IFERROR(__xludf.DUMMYFUNCTION("""COMPUTED_VALUE"""),"N/A")</f>
        <v>N/A</v>
      </c>
      <c r="O1420" s="97" t="str">
        <f>IFERROR(__xludf.DUMMYFUNCTION("""COMPUTED_VALUE"""),"-")</f>
        <v>-</v>
      </c>
      <c r="P1420" s="97" t="str">
        <f>IFERROR(__xludf.DUMMYFUNCTION("""COMPUTED_VALUE"""),"-")</f>
        <v>-</v>
      </c>
      <c r="Q1420" s="97" t="str">
        <f>IFERROR(__xludf.DUMMYFUNCTION("""COMPUTED_VALUE"""),"-")</f>
        <v>-</v>
      </c>
      <c r="R1420" s="97" t="str">
        <f>IFERROR(__xludf.DUMMYFUNCTION("""COMPUTED_VALUE"""),"-")</f>
        <v>-</v>
      </c>
      <c r="S1420" s="97" t="str">
        <f>IFERROR(__xludf.DUMMYFUNCTION("""COMPUTED_VALUE"""),"-")</f>
        <v>-</v>
      </c>
      <c r="T1420" s="97" t="str">
        <f>IFERROR(__xludf.DUMMYFUNCTION("""COMPUTED_VALUE"""),"-")</f>
        <v>-</v>
      </c>
      <c r="U1420" s="97" t="str">
        <f>IFERROR(__xludf.DUMMYFUNCTION("""COMPUTED_VALUE"""),"-")</f>
        <v>-</v>
      </c>
      <c r="V1420" s="97" t="str">
        <f>IFERROR(__xludf.DUMMYFUNCTION("""COMPUTED_VALUE"""),"N/A")</f>
        <v>N/A</v>
      </c>
      <c r="W1420" s="97" t="str">
        <f>IFERROR(__xludf.DUMMYFUNCTION("""COMPUTED_VALUE"""),"N/A")</f>
        <v>N/A</v>
      </c>
      <c r="X1420" s="97" t="str">
        <f>IFERROR(__xludf.DUMMYFUNCTION("""COMPUTED_VALUE"""),"-")</f>
        <v>-</v>
      </c>
      <c r="Y1420" s="97" t="str">
        <f>IFERROR(__xludf.DUMMYFUNCTION("""COMPUTED_VALUE"""),"N/A")</f>
        <v>N/A</v>
      </c>
      <c r="Z1420" s="97" t="str">
        <f>IFERROR(__xludf.DUMMYFUNCTION("""COMPUTED_VALUE"""),"N/A")</f>
        <v>N/A</v>
      </c>
      <c r="AA1420" s="97" t="str">
        <f>IFERROR(__xludf.DUMMYFUNCTION("""COMPUTED_VALUE"""),"N/A")</f>
        <v>N/A</v>
      </c>
      <c r="AB1420" s="97" t="str">
        <f>IFERROR(__xludf.DUMMYFUNCTION("""COMPUTED_VALUE"""),"N/A")</f>
        <v>N/A</v>
      </c>
      <c r="AC1420" s="97" t="str">
        <f>IFERROR(__xludf.DUMMYFUNCTION("""COMPUTED_VALUE"""),"N/A")</f>
        <v>N/A</v>
      </c>
      <c r="AD1420" s="97" t="str">
        <f>IFERROR(__xludf.DUMMYFUNCTION("""COMPUTED_VALUE"""),"IP20")</f>
        <v>IP20</v>
      </c>
      <c r="AE1420" s="97" t="str">
        <f>IFERROR(__xludf.DUMMYFUNCTION("""COMPUTED_VALUE"""),"N/A")</f>
        <v>N/A</v>
      </c>
      <c r="AF1420" s="97" t="str">
        <f>IFERROR(__xludf.DUMMYFUNCTION("""COMPUTED_VALUE"""),"Embutir")</f>
        <v>Embutir</v>
      </c>
      <c r="AG1420" s="97" t="str">
        <f>IFERROR(__xludf.DUMMYFUNCTION("""COMPUTED_VALUE"""),"Ø83 x 57")</f>
        <v>Ø83 x 57</v>
      </c>
      <c r="AH1420" s="97" t="str">
        <f>IFERROR(__xludf.DUMMYFUNCTION("""COMPUTED_VALUE"""),"Ø75")</f>
        <v>Ø75</v>
      </c>
      <c r="AI1420" s="97"/>
      <c r="AJ1420" s="97" t="str">
        <f>IFERROR(__xludf.DUMMYFUNCTION("""COMPUTED_VALUE"""),"N/A")</f>
        <v>N/A</v>
      </c>
      <c r="AK1420" s="97" t="str">
        <f>IFERROR(__xludf.DUMMYFUNCTION("""COMPUTED_VALUE"""),"Policarbonato (PC)")</f>
        <v>Policarbonato (PC)</v>
      </c>
      <c r="AL1420" s="97" t="str">
        <f>IFERROR(__xludf.DUMMYFUNCTION("""COMPUTED_VALUE"""),"Negro y Blanco")</f>
        <v>Negro y Blanco</v>
      </c>
      <c r="AM1420" s="97" t="str">
        <f>IFERROR(__xludf.DUMMYFUNCTION("""COMPUTED_VALUE"""),"-")</f>
        <v>-</v>
      </c>
      <c r="AN1420" s="97" t="str">
        <f>IFERROR(__xludf.DUMMYFUNCTION("""COMPUTED_VALUE"""),"N/A")</f>
        <v>N/A</v>
      </c>
      <c r="AO1420" s="97" t="str">
        <f>IFERROR(__xludf.DUMMYFUNCTION("""COMPUTED_VALUE"""),"2 Años")</f>
        <v>2 Años</v>
      </c>
      <c r="AP1420" s="97" t="str">
        <f>IFERROR(__xludf.DUMMYFUNCTION("""COMPUTED_VALUE"""),"No Aplica")</f>
        <v>No Aplica</v>
      </c>
      <c r="AQ1420" s="97" t="str">
        <f>IFERROR(__xludf.DUMMYFUNCTION("""COMPUTED_VALUE"""),"No Aplica")</f>
        <v>No Aplica</v>
      </c>
      <c r="AR1420" s="97" t="str">
        <f>IFERROR(__xludf.DUMMYFUNCTION("""COMPUTED_VALUE"""),"No Aplica")</f>
        <v>No Aplica</v>
      </c>
      <c r="AS1420" s="97" t="str">
        <f>IFERROR(__xludf.DUMMYFUNCTION("""COMPUTED_VALUE"""),"Disponible")</f>
        <v>Disponible</v>
      </c>
      <c r="AT1420" s="97" t="str">
        <f>IFERROR(__xludf.DUMMYFUNCTION("""COMPUTED_VALUE"""),"Disponible")</f>
        <v>Disponible</v>
      </c>
      <c r="AU1420" s="97" t="str">
        <f>IFERROR(__xludf.DUMMYFUNCTION("""COMPUTED_VALUE"""),"Falta")</f>
        <v>Falta</v>
      </c>
      <c r="AV1420" s="97" t="str">
        <f>IFERROR(__xludf.DUMMYFUNCTION("""COMPUTED_VALUE"""),"Empotrable")</f>
        <v>Empotrable</v>
      </c>
      <c r="AW1420" s="97" t="str">
        <f>IFERROR(__xludf.DUMMYFUNCTION("""COMPUTED_VALUE"""),"De Techo")</f>
        <v>De Techo</v>
      </c>
      <c r="AX1420" s="97" t="str">
        <f>IFERROR(__xludf.DUMMYFUNCTION("""COMPUTED_VALUE"""),"Interior")</f>
        <v>Interior</v>
      </c>
      <c r="AY1420" s="97" t="str">
        <f>IFERROR(__xludf.DUMMYFUNCTION("""COMPUTED_VALUE"""),"-")</f>
        <v>-</v>
      </c>
      <c r="AZ1420" s="97" t="str">
        <f>IFERROR(__xludf.DUMMYFUNCTION("""COMPUTED_VALUE"""),"Para MR16. No incluye zocalo.")</f>
        <v>Para MR16. No incluye zocalo.</v>
      </c>
      <c r="BA1420" s="97"/>
      <c r="BB1420" s="97"/>
      <c r="BC1420" s="97"/>
      <c r="BD1420" s="97" t="str">
        <f>IFERROR(__xludf.DUMMYFUNCTION("""COMPUTED_VALUE"""),"NUMA")</f>
        <v>NUMA</v>
      </c>
      <c r="BE1420" s="97" t="str">
        <f>IFERROR(__xludf.DUMMYFUNCTION("""COMPUTED_VALUE"""),"Solicitada")</f>
        <v>Solicitada</v>
      </c>
      <c r="BF1420" s="97"/>
      <c r="BG1420" s="97" t="str">
        <f>IFERROR(__xludf.DUMMYFUNCTION("""COMPUTED_VALUE"""),"REPO 7")</f>
        <v>REPO 7</v>
      </c>
    </row>
    <row r="1421">
      <c r="A1421" s="97">
        <f>IFERROR(__xludf.DUMMYFUNCTION("""COMPUTED_VALUE"""),7522.0)</f>
        <v>7522</v>
      </c>
      <c r="B1421" s="97" t="str">
        <f>IFERROR(__xludf.DUMMYFUNCTION("""COMPUTED_VALUE"""),"NUMA C BL/BL")</f>
        <v>NUMA C BL/BL</v>
      </c>
      <c r="C1421" s="97" t="str">
        <f>IFERROR(__xludf.DUMMYFUNCTION("""COMPUTED_VALUE"""),"EMPOTRABLE NUMA C BL/BL LEUK")</f>
        <v>EMPOTRABLE NUMA C BL/BL LEUK</v>
      </c>
      <c r="D1421" s="97">
        <f>IFERROR(__xludf.DUMMYFUNCTION("""COMPUTED_VALUE"""),7.798413228724E12)</f>
        <v>7798413228724</v>
      </c>
      <c r="E1421" s="97" t="str">
        <f>IFERROR(__xludf.DUMMYFUNCTION("""COMPUTED_VALUE"""),"-")</f>
        <v>-</v>
      </c>
      <c r="F1421" s="97" t="str">
        <f>IFERROR(__xludf.DUMMYFUNCTION("""COMPUTED_VALUE"""),"N/A")</f>
        <v>N/A</v>
      </c>
      <c r="G1421" s="97" t="str">
        <f>IFERROR(__xludf.DUMMYFUNCTION("""COMPUTED_VALUE"""),"N/A")</f>
        <v>N/A</v>
      </c>
      <c r="H1421" s="97" t="str">
        <f>IFERROR(__xludf.DUMMYFUNCTION("""COMPUTED_VALUE"""),"N/A")</f>
        <v>N/A</v>
      </c>
      <c r="I1421" s="97" t="str">
        <f>IFERROR(__xludf.DUMMYFUNCTION("""COMPUTED_VALUE"""),"N/A")</f>
        <v>N/A</v>
      </c>
      <c r="J1421" s="97" t="str">
        <f>IFERROR(__xludf.DUMMYFUNCTION("""COMPUTED_VALUE"""),"N/A")</f>
        <v>N/A</v>
      </c>
      <c r="K1421" s="97" t="str">
        <f>IFERROR(__xludf.DUMMYFUNCTION("""COMPUTED_VALUE"""),"N/A")</f>
        <v>N/A</v>
      </c>
      <c r="L1421" s="97" t="str">
        <f>IFERROR(__xludf.DUMMYFUNCTION("""COMPUTED_VALUE"""),"N/A")</f>
        <v>N/A</v>
      </c>
      <c r="M1421" s="97" t="str">
        <f>IFERROR(__xludf.DUMMYFUNCTION("""COMPUTED_VALUE"""),"N/A")</f>
        <v>N/A</v>
      </c>
      <c r="N1421" s="97" t="str">
        <f>IFERROR(__xludf.DUMMYFUNCTION("""COMPUTED_VALUE"""),"N/A")</f>
        <v>N/A</v>
      </c>
      <c r="O1421" s="97" t="str">
        <f>IFERROR(__xludf.DUMMYFUNCTION("""COMPUTED_VALUE"""),"-")</f>
        <v>-</v>
      </c>
      <c r="P1421" s="97" t="str">
        <f>IFERROR(__xludf.DUMMYFUNCTION("""COMPUTED_VALUE"""),"-")</f>
        <v>-</v>
      </c>
      <c r="Q1421" s="97" t="str">
        <f>IFERROR(__xludf.DUMMYFUNCTION("""COMPUTED_VALUE"""),"-")</f>
        <v>-</v>
      </c>
      <c r="R1421" s="97" t="str">
        <f>IFERROR(__xludf.DUMMYFUNCTION("""COMPUTED_VALUE"""),"-")</f>
        <v>-</v>
      </c>
      <c r="S1421" s="97" t="str">
        <f>IFERROR(__xludf.DUMMYFUNCTION("""COMPUTED_VALUE"""),"-")</f>
        <v>-</v>
      </c>
      <c r="T1421" s="97" t="str">
        <f>IFERROR(__xludf.DUMMYFUNCTION("""COMPUTED_VALUE"""),"-")</f>
        <v>-</v>
      </c>
      <c r="U1421" s="97" t="str">
        <f>IFERROR(__xludf.DUMMYFUNCTION("""COMPUTED_VALUE"""),"-")</f>
        <v>-</v>
      </c>
      <c r="V1421" s="97" t="str">
        <f>IFERROR(__xludf.DUMMYFUNCTION("""COMPUTED_VALUE"""),"N/A")</f>
        <v>N/A</v>
      </c>
      <c r="W1421" s="97" t="str">
        <f>IFERROR(__xludf.DUMMYFUNCTION("""COMPUTED_VALUE"""),"N/A")</f>
        <v>N/A</v>
      </c>
      <c r="X1421" s="97" t="str">
        <f>IFERROR(__xludf.DUMMYFUNCTION("""COMPUTED_VALUE"""),"-")</f>
        <v>-</v>
      </c>
      <c r="Y1421" s="97" t="str">
        <f>IFERROR(__xludf.DUMMYFUNCTION("""COMPUTED_VALUE"""),"N/A")</f>
        <v>N/A</v>
      </c>
      <c r="Z1421" s="97" t="str">
        <f>IFERROR(__xludf.DUMMYFUNCTION("""COMPUTED_VALUE"""),"N/A")</f>
        <v>N/A</v>
      </c>
      <c r="AA1421" s="97" t="str">
        <f>IFERROR(__xludf.DUMMYFUNCTION("""COMPUTED_VALUE"""),"N/A")</f>
        <v>N/A</v>
      </c>
      <c r="AB1421" s="97" t="str">
        <f>IFERROR(__xludf.DUMMYFUNCTION("""COMPUTED_VALUE"""),"N/A")</f>
        <v>N/A</v>
      </c>
      <c r="AC1421" s="97" t="str">
        <f>IFERROR(__xludf.DUMMYFUNCTION("""COMPUTED_VALUE"""),"N/A")</f>
        <v>N/A</v>
      </c>
      <c r="AD1421" s="97" t="str">
        <f>IFERROR(__xludf.DUMMYFUNCTION("""COMPUTED_VALUE"""),"IP20")</f>
        <v>IP20</v>
      </c>
      <c r="AE1421" s="97" t="str">
        <f>IFERROR(__xludf.DUMMYFUNCTION("""COMPUTED_VALUE"""),"N/A")</f>
        <v>N/A</v>
      </c>
      <c r="AF1421" s="97" t="str">
        <f>IFERROR(__xludf.DUMMYFUNCTION("""COMPUTED_VALUE"""),"Embutir")</f>
        <v>Embutir</v>
      </c>
      <c r="AG1421" s="97" t="str">
        <f>IFERROR(__xludf.DUMMYFUNCTION("""COMPUTED_VALUE"""),"83 x 83 x 56")</f>
        <v>83 x 83 x 56</v>
      </c>
      <c r="AH1421" s="97" t="str">
        <f>IFERROR(__xludf.DUMMYFUNCTION("""COMPUTED_VALUE"""),"75 x 75")</f>
        <v>75 x 75</v>
      </c>
      <c r="AI1421" s="97"/>
      <c r="AJ1421" s="97" t="str">
        <f>IFERROR(__xludf.DUMMYFUNCTION("""COMPUTED_VALUE"""),"N/A")</f>
        <v>N/A</v>
      </c>
      <c r="AK1421" s="97" t="str">
        <f>IFERROR(__xludf.DUMMYFUNCTION("""COMPUTED_VALUE"""),"Policarbonato (PC)")</f>
        <v>Policarbonato (PC)</v>
      </c>
      <c r="AL1421" s="97" t="str">
        <f>IFERROR(__xludf.DUMMYFUNCTION("""COMPUTED_VALUE"""),"Blanco")</f>
        <v>Blanco</v>
      </c>
      <c r="AM1421" s="97" t="str">
        <f>IFERROR(__xludf.DUMMYFUNCTION("""COMPUTED_VALUE"""),"-")</f>
        <v>-</v>
      </c>
      <c r="AN1421" s="97" t="str">
        <f>IFERROR(__xludf.DUMMYFUNCTION("""COMPUTED_VALUE"""),"N/A")</f>
        <v>N/A</v>
      </c>
      <c r="AO1421" s="97" t="str">
        <f>IFERROR(__xludf.DUMMYFUNCTION("""COMPUTED_VALUE"""),"2 Años")</f>
        <v>2 Años</v>
      </c>
      <c r="AP1421" s="97" t="str">
        <f>IFERROR(__xludf.DUMMYFUNCTION("""COMPUTED_VALUE"""),"No Aplica")</f>
        <v>No Aplica</v>
      </c>
      <c r="AQ1421" s="97" t="str">
        <f>IFERROR(__xludf.DUMMYFUNCTION("""COMPUTED_VALUE"""),"No Aplica")</f>
        <v>No Aplica</v>
      </c>
      <c r="AR1421" s="97" t="str">
        <f>IFERROR(__xludf.DUMMYFUNCTION("""COMPUTED_VALUE"""),"No Aplica")</f>
        <v>No Aplica</v>
      </c>
      <c r="AS1421" s="97" t="str">
        <f>IFERROR(__xludf.DUMMYFUNCTION("""COMPUTED_VALUE"""),"Disponible")</f>
        <v>Disponible</v>
      </c>
      <c r="AT1421" s="97" t="str">
        <f>IFERROR(__xludf.DUMMYFUNCTION("""COMPUTED_VALUE"""),"Disponible")</f>
        <v>Disponible</v>
      </c>
      <c r="AU1421" s="97" t="str">
        <f>IFERROR(__xludf.DUMMYFUNCTION("""COMPUTED_VALUE"""),"Falta")</f>
        <v>Falta</v>
      </c>
      <c r="AV1421" s="97" t="str">
        <f>IFERROR(__xludf.DUMMYFUNCTION("""COMPUTED_VALUE"""),"Empotrable")</f>
        <v>Empotrable</v>
      </c>
      <c r="AW1421" s="97" t="str">
        <f>IFERROR(__xludf.DUMMYFUNCTION("""COMPUTED_VALUE"""),"De Techo")</f>
        <v>De Techo</v>
      </c>
      <c r="AX1421" s="97" t="str">
        <f>IFERROR(__xludf.DUMMYFUNCTION("""COMPUTED_VALUE"""),"Interior")</f>
        <v>Interior</v>
      </c>
      <c r="AY1421" s="97" t="str">
        <f>IFERROR(__xludf.DUMMYFUNCTION("""COMPUTED_VALUE"""),"-")</f>
        <v>-</v>
      </c>
      <c r="AZ1421" s="97" t="str">
        <f>IFERROR(__xludf.DUMMYFUNCTION("""COMPUTED_VALUE"""),"Para MR16. No incluye zocalo.")</f>
        <v>Para MR16. No incluye zocalo.</v>
      </c>
      <c r="BA1421" s="97"/>
      <c r="BB1421" s="97"/>
      <c r="BC1421" s="97"/>
      <c r="BD1421" s="97" t="str">
        <f>IFERROR(__xludf.DUMMYFUNCTION("""COMPUTED_VALUE"""),"NUMA")</f>
        <v>NUMA</v>
      </c>
      <c r="BE1421" s="97" t="str">
        <f>IFERROR(__xludf.DUMMYFUNCTION("""COMPUTED_VALUE"""),"Solicitada")</f>
        <v>Solicitada</v>
      </c>
      <c r="BF1421" s="97"/>
      <c r="BG1421" s="97" t="str">
        <f>IFERROR(__xludf.DUMMYFUNCTION("""COMPUTED_VALUE"""),"REPO 7")</f>
        <v>REPO 7</v>
      </c>
    </row>
    <row r="1422">
      <c r="A1422" s="97">
        <f>IFERROR(__xludf.DUMMYFUNCTION("""COMPUTED_VALUE"""),7523.0)</f>
        <v>7523</v>
      </c>
      <c r="B1422" s="97" t="str">
        <f>IFERROR(__xludf.DUMMYFUNCTION("""COMPUTED_VALUE"""),"NUMA REFLECTOR C NG")</f>
        <v>NUMA REFLECTOR C NG</v>
      </c>
      <c r="C1422" s="97" t="str">
        <f>IFERROR(__xludf.DUMMYFUNCTION("""COMPUTED_VALUE"""),"ACCESORIO NUMA REFLECTOR C NG LEUK")</f>
        <v>ACCESORIO NUMA REFLECTOR C NG LEUK</v>
      </c>
      <c r="D1422" s="97">
        <f>IFERROR(__xludf.DUMMYFUNCTION("""COMPUTED_VALUE"""),7.798413228731E12)</f>
        <v>7798413228731</v>
      </c>
      <c r="E1422" s="97" t="str">
        <f>IFERROR(__xludf.DUMMYFUNCTION("""COMPUTED_VALUE"""),"-")</f>
        <v>-</v>
      </c>
      <c r="F1422" s="97" t="str">
        <f>IFERROR(__xludf.DUMMYFUNCTION("""COMPUTED_VALUE"""),"N/A")</f>
        <v>N/A</v>
      </c>
      <c r="G1422" s="97" t="str">
        <f>IFERROR(__xludf.DUMMYFUNCTION("""COMPUTED_VALUE"""),"N/A")</f>
        <v>N/A</v>
      </c>
      <c r="H1422" s="97" t="str">
        <f>IFERROR(__xludf.DUMMYFUNCTION("""COMPUTED_VALUE"""),"N/A")</f>
        <v>N/A</v>
      </c>
      <c r="I1422" s="97" t="str">
        <f>IFERROR(__xludf.DUMMYFUNCTION("""COMPUTED_VALUE"""),"N/A")</f>
        <v>N/A</v>
      </c>
      <c r="J1422" s="97" t="str">
        <f>IFERROR(__xludf.DUMMYFUNCTION("""COMPUTED_VALUE"""),"N/A")</f>
        <v>N/A</v>
      </c>
      <c r="K1422" s="97" t="str">
        <f>IFERROR(__xludf.DUMMYFUNCTION("""COMPUTED_VALUE"""),"N/A")</f>
        <v>N/A</v>
      </c>
      <c r="L1422" s="97" t="str">
        <f>IFERROR(__xludf.DUMMYFUNCTION("""COMPUTED_VALUE"""),"N/A")</f>
        <v>N/A</v>
      </c>
      <c r="M1422" s="97" t="str">
        <f>IFERROR(__xludf.DUMMYFUNCTION("""COMPUTED_VALUE"""),"N/A")</f>
        <v>N/A</v>
      </c>
      <c r="N1422" s="97" t="str">
        <f>IFERROR(__xludf.DUMMYFUNCTION("""COMPUTED_VALUE"""),"N/A")</f>
        <v>N/A</v>
      </c>
      <c r="O1422" s="97" t="str">
        <f>IFERROR(__xludf.DUMMYFUNCTION("""COMPUTED_VALUE"""),"-")</f>
        <v>-</v>
      </c>
      <c r="P1422" s="97" t="str">
        <f>IFERROR(__xludf.DUMMYFUNCTION("""COMPUTED_VALUE"""),"-")</f>
        <v>-</v>
      </c>
      <c r="Q1422" s="97" t="str">
        <f>IFERROR(__xludf.DUMMYFUNCTION("""COMPUTED_VALUE"""),"-")</f>
        <v>-</v>
      </c>
      <c r="R1422" s="97" t="str">
        <f>IFERROR(__xludf.DUMMYFUNCTION("""COMPUTED_VALUE"""),"-")</f>
        <v>-</v>
      </c>
      <c r="S1422" s="97" t="str">
        <f>IFERROR(__xludf.DUMMYFUNCTION("""COMPUTED_VALUE"""),"-")</f>
        <v>-</v>
      </c>
      <c r="T1422" s="97" t="str">
        <f>IFERROR(__xludf.DUMMYFUNCTION("""COMPUTED_VALUE"""),"-")</f>
        <v>-</v>
      </c>
      <c r="U1422" s="97" t="str">
        <f>IFERROR(__xludf.DUMMYFUNCTION("""COMPUTED_VALUE"""),"-")</f>
        <v>-</v>
      </c>
      <c r="V1422" s="97" t="str">
        <f>IFERROR(__xludf.DUMMYFUNCTION("""COMPUTED_VALUE"""),"N/A")</f>
        <v>N/A</v>
      </c>
      <c r="W1422" s="97" t="str">
        <f>IFERROR(__xludf.DUMMYFUNCTION("""COMPUTED_VALUE"""),"N/A")</f>
        <v>N/A</v>
      </c>
      <c r="X1422" s="97" t="str">
        <f>IFERROR(__xludf.DUMMYFUNCTION("""COMPUTED_VALUE"""),"-")</f>
        <v>-</v>
      </c>
      <c r="Y1422" s="97" t="str">
        <f>IFERROR(__xludf.DUMMYFUNCTION("""COMPUTED_VALUE"""),"N/A")</f>
        <v>N/A</v>
      </c>
      <c r="Z1422" s="97" t="str">
        <f>IFERROR(__xludf.DUMMYFUNCTION("""COMPUTED_VALUE"""),"N/A")</f>
        <v>N/A</v>
      </c>
      <c r="AA1422" s="97" t="str">
        <f>IFERROR(__xludf.DUMMYFUNCTION("""COMPUTED_VALUE"""),"N/A")</f>
        <v>N/A</v>
      </c>
      <c r="AB1422" s="97" t="str">
        <f>IFERROR(__xludf.DUMMYFUNCTION("""COMPUTED_VALUE"""),"N/A")</f>
        <v>N/A</v>
      </c>
      <c r="AC1422" s="97" t="str">
        <f>IFERROR(__xludf.DUMMYFUNCTION("""COMPUTED_VALUE"""),"N/A")</f>
        <v>N/A</v>
      </c>
      <c r="AD1422" s="97" t="str">
        <f>IFERROR(__xludf.DUMMYFUNCTION("""COMPUTED_VALUE"""),"N/A")</f>
        <v>N/A</v>
      </c>
      <c r="AE1422" s="97" t="str">
        <f>IFERROR(__xludf.DUMMYFUNCTION("""COMPUTED_VALUE"""),"N/A")</f>
        <v>N/A</v>
      </c>
      <c r="AF1422" s="97" t="str">
        <f>IFERROR(__xludf.DUMMYFUNCTION("""COMPUTED_VALUE"""),"N/A")</f>
        <v>N/A</v>
      </c>
      <c r="AG1422" s="97"/>
      <c r="AH1422" s="97" t="str">
        <f>IFERROR(__xludf.DUMMYFUNCTION("""COMPUTED_VALUE"""),"N/A")</f>
        <v>N/A</v>
      </c>
      <c r="AI1422" s="97" t="str">
        <f>IFERROR(__xludf.DUMMYFUNCTION("""COMPUTED_VALUE"""),"N/A")</f>
        <v>N/A</v>
      </c>
      <c r="AJ1422" s="97" t="str">
        <f>IFERROR(__xludf.DUMMYFUNCTION("""COMPUTED_VALUE"""),"N/A")</f>
        <v>N/A</v>
      </c>
      <c r="AK1422" s="97" t="str">
        <f>IFERROR(__xludf.DUMMYFUNCTION("""COMPUTED_VALUE"""),"Policarbonato (PC)")</f>
        <v>Policarbonato (PC)</v>
      </c>
      <c r="AL1422" s="97" t="str">
        <f>IFERROR(__xludf.DUMMYFUNCTION("""COMPUTED_VALUE"""),"Negro")</f>
        <v>Negro</v>
      </c>
      <c r="AM1422" s="97" t="str">
        <f>IFERROR(__xludf.DUMMYFUNCTION("""COMPUTED_VALUE"""),"-")</f>
        <v>-</v>
      </c>
      <c r="AN1422" s="97" t="str">
        <f>IFERROR(__xludf.DUMMYFUNCTION("""COMPUTED_VALUE"""),"N/A")</f>
        <v>N/A</v>
      </c>
      <c r="AO1422" s="97" t="str">
        <f>IFERROR(__xludf.DUMMYFUNCTION("""COMPUTED_VALUE"""),"2 Años")</f>
        <v>2 Años</v>
      </c>
      <c r="AP1422" s="97" t="str">
        <f>IFERROR(__xludf.DUMMYFUNCTION("""COMPUTED_VALUE"""),"No Aplica")</f>
        <v>No Aplica</v>
      </c>
      <c r="AQ1422" s="97" t="str">
        <f>IFERROR(__xludf.DUMMYFUNCTION("""COMPUTED_VALUE"""),"No Aplica")</f>
        <v>No Aplica</v>
      </c>
      <c r="AR1422" s="97" t="str">
        <f>IFERROR(__xludf.DUMMYFUNCTION("""COMPUTED_VALUE"""),"No Aplica")</f>
        <v>No Aplica</v>
      </c>
      <c r="AS1422" s="97" t="str">
        <f>IFERROR(__xludf.DUMMYFUNCTION("""COMPUTED_VALUE"""),"No Aplica")</f>
        <v>No Aplica</v>
      </c>
      <c r="AT1422" s="97" t="str">
        <f>IFERROR(__xludf.DUMMYFUNCTION("""COMPUTED_VALUE"""),"No Aplica")</f>
        <v>No Aplica</v>
      </c>
      <c r="AU1422" s="97" t="str">
        <f>IFERROR(__xludf.DUMMYFUNCTION("""COMPUTED_VALUE"""),"Falta")</f>
        <v>Falta</v>
      </c>
      <c r="AV1422" s="97" t="str">
        <f>IFERROR(__xludf.DUMMYFUNCTION("""COMPUTED_VALUE"""),"Accesorio")</f>
        <v>Accesorio</v>
      </c>
      <c r="AW1422" s="97" t="str">
        <f>IFERROR(__xludf.DUMMYFUNCTION("""COMPUTED_VALUE"""),"De Techo")</f>
        <v>De Techo</v>
      </c>
      <c r="AX1422" s="97" t="str">
        <f>IFERROR(__xludf.DUMMYFUNCTION("""COMPUTED_VALUE"""),"Interior")</f>
        <v>Interior</v>
      </c>
      <c r="AY1422" s="97" t="str">
        <f>IFERROR(__xludf.DUMMYFUNCTION("""COMPUTED_VALUE"""),"-")</f>
        <v>-</v>
      </c>
      <c r="AZ1422" s="97" t="str">
        <f>IFERROR(__xludf.DUMMYFUNCTION("""COMPUTED_VALUE"""),"Cajas de a 10 unidades.")</f>
        <v>Cajas de a 10 unidades.</v>
      </c>
      <c r="BA1422" s="97"/>
      <c r="BB1422" s="97"/>
      <c r="BC1422" s="97"/>
      <c r="BD1422" s="97" t="str">
        <f>IFERROR(__xludf.DUMMYFUNCTION("""COMPUTED_VALUE"""),"NUMA")</f>
        <v>NUMA</v>
      </c>
      <c r="BE1422" s="97" t="str">
        <f>IFERROR(__xludf.DUMMYFUNCTION("""COMPUTED_VALUE"""),"Solicitada")</f>
        <v>Solicitada</v>
      </c>
      <c r="BF1422" s="97"/>
      <c r="BG1422" s="97" t="str">
        <f>IFERROR(__xludf.DUMMYFUNCTION("""COMPUTED_VALUE"""),"REPO 7")</f>
        <v>REPO 7</v>
      </c>
    </row>
    <row r="1423">
      <c r="A1423" s="97">
        <f>IFERROR(__xludf.DUMMYFUNCTION("""COMPUTED_VALUE"""),7524.0)</f>
        <v>7524</v>
      </c>
      <c r="B1423" s="97" t="str">
        <f>IFERROR(__xludf.DUMMYFUNCTION("""COMPUTED_VALUE"""),"NUMA C NG/BL")</f>
        <v>NUMA C NG/BL</v>
      </c>
      <c r="C1423" s="97" t="str">
        <f>IFERROR(__xludf.DUMMYFUNCTION("""COMPUTED_VALUE"""),"EMPOTRABLE NUMA C NG/BL LEUK")</f>
        <v>EMPOTRABLE NUMA C NG/BL LEUK</v>
      </c>
      <c r="D1423" s="97">
        <f>IFERROR(__xludf.DUMMYFUNCTION("""COMPUTED_VALUE"""),7.798413228748E12)</f>
        <v>7798413228748</v>
      </c>
      <c r="E1423" s="97" t="str">
        <f>IFERROR(__xludf.DUMMYFUNCTION("""COMPUTED_VALUE"""),"-")</f>
        <v>-</v>
      </c>
      <c r="F1423" s="97" t="str">
        <f>IFERROR(__xludf.DUMMYFUNCTION("""COMPUTED_VALUE"""),"N/A")</f>
        <v>N/A</v>
      </c>
      <c r="G1423" s="97" t="str">
        <f>IFERROR(__xludf.DUMMYFUNCTION("""COMPUTED_VALUE"""),"N/A")</f>
        <v>N/A</v>
      </c>
      <c r="H1423" s="97" t="str">
        <f>IFERROR(__xludf.DUMMYFUNCTION("""COMPUTED_VALUE"""),"N/A")</f>
        <v>N/A</v>
      </c>
      <c r="I1423" s="97" t="str">
        <f>IFERROR(__xludf.DUMMYFUNCTION("""COMPUTED_VALUE"""),"N/A")</f>
        <v>N/A</v>
      </c>
      <c r="J1423" s="97" t="str">
        <f>IFERROR(__xludf.DUMMYFUNCTION("""COMPUTED_VALUE"""),"N/A")</f>
        <v>N/A</v>
      </c>
      <c r="K1423" s="97" t="str">
        <f>IFERROR(__xludf.DUMMYFUNCTION("""COMPUTED_VALUE"""),"N/A")</f>
        <v>N/A</v>
      </c>
      <c r="L1423" s="97" t="str">
        <f>IFERROR(__xludf.DUMMYFUNCTION("""COMPUTED_VALUE"""),"N/A")</f>
        <v>N/A</v>
      </c>
      <c r="M1423" s="97" t="str">
        <f>IFERROR(__xludf.DUMMYFUNCTION("""COMPUTED_VALUE"""),"N/A")</f>
        <v>N/A</v>
      </c>
      <c r="N1423" s="97" t="str">
        <f>IFERROR(__xludf.DUMMYFUNCTION("""COMPUTED_VALUE"""),"N/A")</f>
        <v>N/A</v>
      </c>
      <c r="O1423" s="97" t="str">
        <f>IFERROR(__xludf.DUMMYFUNCTION("""COMPUTED_VALUE"""),"-")</f>
        <v>-</v>
      </c>
      <c r="P1423" s="97" t="str">
        <f>IFERROR(__xludf.DUMMYFUNCTION("""COMPUTED_VALUE"""),"-")</f>
        <v>-</v>
      </c>
      <c r="Q1423" s="97" t="str">
        <f>IFERROR(__xludf.DUMMYFUNCTION("""COMPUTED_VALUE"""),"-")</f>
        <v>-</v>
      </c>
      <c r="R1423" s="97" t="str">
        <f>IFERROR(__xludf.DUMMYFUNCTION("""COMPUTED_VALUE"""),"-")</f>
        <v>-</v>
      </c>
      <c r="S1423" s="97" t="str">
        <f>IFERROR(__xludf.DUMMYFUNCTION("""COMPUTED_VALUE"""),"-")</f>
        <v>-</v>
      </c>
      <c r="T1423" s="97" t="str">
        <f>IFERROR(__xludf.DUMMYFUNCTION("""COMPUTED_VALUE"""),"-")</f>
        <v>-</v>
      </c>
      <c r="U1423" s="97" t="str">
        <f>IFERROR(__xludf.DUMMYFUNCTION("""COMPUTED_VALUE"""),"-")</f>
        <v>-</v>
      </c>
      <c r="V1423" s="97" t="str">
        <f>IFERROR(__xludf.DUMMYFUNCTION("""COMPUTED_VALUE"""),"N/A")</f>
        <v>N/A</v>
      </c>
      <c r="W1423" s="97" t="str">
        <f>IFERROR(__xludf.DUMMYFUNCTION("""COMPUTED_VALUE"""),"N/A")</f>
        <v>N/A</v>
      </c>
      <c r="X1423" s="97" t="str">
        <f>IFERROR(__xludf.DUMMYFUNCTION("""COMPUTED_VALUE"""),"-")</f>
        <v>-</v>
      </c>
      <c r="Y1423" s="97" t="str">
        <f>IFERROR(__xludf.DUMMYFUNCTION("""COMPUTED_VALUE"""),"N/A")</f>
        <v>N/A</v>
      </c>
      <c r="Z1423" s="97" t="str">
        <f>IFERROR(__xludf.DUMMYFUNCTION("""COMPUTED_VALUE"""),"N/A")</f>
        <v>N/A</v>
      </c>
      <c r="AA1423" s="97" t="str">
        <f>IFERROR(__xludf.DUMMYFUNCTION("""COMPUTED_VALUE"""),"N/A")</f>
        <v>N/A</v>
      </c>
      <c r="AB1423" s="97" t="str">
        <f>IFERROR(__xludf.DUMMYFUNCTION("""COMPUTED_VALUE"""),"N/A")</f>
        <v>N/A</v>
      </c>
      <c r="AC1423" s="97" t="str">
        <f>IFERROR(__xludf.DUMMYFUNCTION("""COMPUTED_VALUE"""),"N/A")</f>
        <v>N/A</v>
      </c>
      <c r="AD1423" s="97" t="str">
        <f>IFERROR(__xludf.DUMMYFUNCTION("""COMPUTED_VALUE"""),"IP20")</f>
        <v>IP20</v>
      </c>
      <c r="AE1423" s="97" t="str">
        <f>IFERROR(__xludf.DUMMYFUNCTION("""COMPUTED_VALUE"""),"N/A")</f>
        <v>N/A</v>
      </c>
      <c r="AF1423" s="97" t="str">
        <f>IFERROR(__xludf.DUMMYFUNCTION("""COMPUTED_VALUE"""),"Embutir")</f>
        <v>Embutir</v>
      </c>
      <c r="AG1423" s="97" t="str">
        <f>IFERROR(__xludf.DUMMYFUNCTION("""COMPUTED_VALUE"""),"83 x 83 x 56")</f>
        <v>83 x 83 x 56</v>
      </c>
      <c r="AH1423" s="97" t="str">
        <f>IFERROR(__xludf.DUMMYFUNCTION("""COMPUTED_VALUE"""),"75 x 75")</f>
        <v>75 x 75</v>
      </c>
      <c r="AI1423" s="97"/>
      <c r="AJ1423" s="97" t="str">
        <f>IFERROR(__xludf.DUMMYFUNCTION("""COMPUTED_VALUE"""),"N/A")</f>
        <v>N/A</v>
      </c>
      <c r="AK1423" s="97" t="str">
        <f>IFERROR(__xludf.DUMMYFUNCTION("""COMPUTED_VALUE"""),"Policarbonato (PC)")</f>
        <v>Policarbonato (PC)</v>
      </c>
      <c r="AL1423" s="97" t="str">
        <f>IFERROR(__xludf.DUMMYFUNCTION("""COMPUTED_VALUE"""),"Negro y Blanco")</f>
        <v>Negro y Blanco</v>
      </c>
      <c r="AM1423" s="97" t="str">
        <f>IFERROR(__xludf.DUMMYFUNCTION("""COMPUTED_VALUE"""),"-")</f>
        <v>-</v>
      </c>
      <c r="AN1423" s="97" t="str">
        <f>IFERROR(__xludf.DUMMYFUNCTION("""COMPUTED_VALUE"""),"N/A")</f>
        <v>N/A</v>
      </c>
      <c r="AO1423" s="97" t="str">
        <f>IFERROR(__xludf.DUMMYFUNCTION("""COMPUTED_VALUE"""),"2 Años")</f>
        <v>2 Años</v>
      </c>
      <c r="AP1423" s="97" t="str">
        <f>IFERROR(__xludf.DUMMYFUNCTION("""COMPUTED_VALUE"""),"No Aplica")</f>
        <v>No Aplica</v>
      </c>
      <c r="AQ1423" s="97" t="str">
        <f>IFERROR(__xludf.DUMMYFUNCTION("""COMPUTED_VALUE"""),"No Aplica")</f>
        <v>No Aplica</v>
      </c>
      <c r="AR1423" s="97" t="str">
        <f>IFERROR(__xludf.DUMMYFUNCTION("""COMPUTED_VALUE"""),"No Aplica")</f>
        <v>No Aplica</v>
      </c>
      <c r="AS1423" s="97" t="str">
        <f>IFERROR(__xludf.DUMMYFUNCTION("""COMPUTED_VALUE"""),"Disponible")</f>
        <v>Disponible</v>
      </c>
      <c r="AT1423" s="97" t="str">
        <f>IFERROR(__xludf.DUMMYFUNCTION("""COMPUTED_VALUE"""),"Disponible")</f>
        <v>Disponible</v>
      </c>
      <c r="AU1423" s="97" t="str">
        <f>IFERROR(__xludf.DUMMYFUNCTION("""COMPUTED_VALUE"""),"Falta")</f>
        <v>Falta</v>
      </c>
      <c r="AV1423" s="97" t="str">
        <f>IFERROR(__xludf.DUMMYFUNCTION("""COMPUTED_VALUE"""),"Empotrable")</f>
        <v>Empotrable</v>
      </c>
      <c r="AW1423" s="97" t="str">
        <f>IFERROR(__xludf.DUMMYFUNCTION("""COMPUTED_VALUE"""),"De Techo")</f>
        <v>De Techo</v>
      </c>
      <c r="AX1423" s="97" t="str">
        <f>IFERROR(__xludf.DUMMYFUNCTION("""COMPUTED_VALUE"""),"Interior")</f>
        <v>Interior</v>
      </c>
      <c r="AY1423" s="97" t="str">
        <f>IFERROR(__xludf.DUMMYFUNCTION("""COMPUTED_VALUE"""),"-")</f>
        <v>-</v>
      </c>
      <c r="AZ1423" s="97" t="str">
        <f>IFERROR(__xludf.DUMMYFUNCTION("""COMPUTED_VALUE"""),"Para MR16. No incluye zocalo.")</f>
        <v>Para MR16. No incluye zocalo.</v>
      </c>
      <c r="BA1423" s="97"/>
      <c r="BB1423" s="97"/>
      <c r="BC1423" s="97"/>
      <c r="BD1423" s="97" t="str">
        <f>IFERROR(__xludf.DUMMYFUNCTION("""COMPUTED_VALUE"""),"NUMA")</f>
        <v>NUMA</v>
      </c>
      <c r="BE1423" s="97" t="str">
        <f>IFERROR(__xludf.DUMMYFUNCTION("""COMPUTED_VALUE"""),"Solicitada")</f>
        <v>Solicitada</v>
      </c>
      <c r="BF1423" s="97"/>
      <c r="BG1423" s="97" t="str">
        <f>IFERROR(__xludf.DUMMYFUNCTION("""COMPUTED_VALUE"""),"REPO 7")</f>
        <v>REPO 7</v>
      </c>
    </row>
    <row r="1424">
      <c r="A1424" s="97">
        <f>IFERROR(__xludf.DUMMYFUNCTION("""COMPUTED_VALUE"""),7525.0)</f>
        <v>7525</v>
      </c>
      <c r="B1424" s="97" t="str">
        <f>IFERROR(__xludf.DUMMYFUNCTION("""COMPUTED_VALUE"""),"NUMA HONEY")</f>
        <v>NUMA HONEY</v>
      </c>
      <c r="C1424" s="97" t="str">
        <f>IFERROR(__xludf.DUMMYFUNCTION("""COMPUTED_VALUE"""),"ACCESORIO NUMA HONEY LEUK")</f>
        <v>ACCESORIO NUMA HONEY LEUK</v>
      </c>
      <c r="D1424" s="97">
        <f>IFERROR(__xludf.DUMMYFUNCTION("""COMPUTED_VALUE"""),7.798413228755E12)</f>
        <v>7798413228755</v>
      </c>
      <c r="E1424" s="97" t="str">
        <f>IFERROR(__xludf.DUMMYFUNCTION("""COMPUTED_VALUE"""),"-")</f>
        <v>-</v>
      </c>
      <c r="F1424" s="97" t="str">
        <f>IFERROR(__xludf.DUMMYFUNCTION("""COMPUTED_VALUE"""),"N/A")</f>
        <v>N/A</v>
      </c>
      <c r="G1424" s="97" t="str">
        <f>IFERROR(__xludf.DUMMYFUNCTION("""COMPUTED_VALUE"""),"N/A")</f>
        <v>N/A</v>
      </c>
      <c r="H1424" s="97" t="str">
        <f>IFERROR(__xludf.DUMMYFUNCTION("""COMPUTED_VALUE"""),"N/A")</f>
        <v>N/A</v>
      </c>
      <c r="I1424" s="97" t="str">
        <f>IFERROR(__xludf.DUMMYFUNCTION("""COMPUTED_VALUE"""),"N/A")</f>
        <v>N/A</v>
      </c>
      <c r="J1424" s="97" t="str">
        <f>IFERROR(__xludf.DUMMYFUNCTION("""COMPUTED_VALUE"""),"N/A")</f>
        <v>N/A</v>
      </c>
      <c r="K1424" s="97" t="str">
        <f>IFERROR(__xludf.DUMMYFUNCTION("""COMPUTED_VALUE"""),"N/A")</f>
        <v>N/A</v>
      </c>
      <c r="L1424" s="97" t="str">
        <f>IFERROR(__xludf.DUMMYFUNCTION("""COMPUTED_VALUE"""),"N/A")</f>
        <v>N/A</v>
      </c>
      <c r="M1424" s="97" t="str">
        <f>IFERROR(__xludf.DUMMYFUNCTION("""COMPUTED_VALUE"""),"N/A")</f>
        <v>N/A</v>
      </c>
      <c r="N1424" s="97" t="str">
        <f>IFERROR(__xludf.DUMMYFUNCTION("""COMPUTED_VALUE"""),"N/A")</f>
        <v>N/A</v>
      </c>
      <c r="O1424" s="97" t="str">
        <f>IFERROR(__xludf.DUMMYFUNCTION("""COMPUTED_VALUE"""),"-")</f>
        <v>-</v>
      </c>
      <c r="P1424" s="97" t="str">
        <f>IFERROR(__xludf.DUMMYFUNCTION("""COMPUTED_VALUE"""),"-")</f>
        <v>-</v>
      </c>
      <c r="Q1424" s="97" t="str">
        <f>IFERROR(__xludf.DUMMYFUNCTION("""COMPUTED_VALUE"""),"-")</f>
        <v>-</v>
      </c>
      <c r="R1424" s="97" t="str">
        <f>IFERROR(__xludf.DUMMYFUNCTION("""COMPUTED_VALUE"""),"-")</f>
        <v>-</v>
      </c>
      <c r="S1424" s="97" t="str">
        <f>IFERROR(__xludf.DUMMYFUNCTION("""COMPUTED_VALUE"""),"-")</f>
        <v>-</v>
      </c>
      <c r="T1424" s="97" t="str">
        <f>IFERROR(__xludf.DUMMYFUNCTION("""COMPUTED_VALUE"""),"-")</f>
        <v>-</v>
      </c>
      <c r="U1424" s="97" t="str">
        <f>IFERROR(__xludf.DUMMYFUNCTION("""COMPUTED_VALUE"""),"-")</f>
        <v>-</v>
      </c>
      <c r="V1424" s="97" t="str">
        <f>IFERROR(__xludf.DUMMYFUNCTION("""COMPUTED_VALUE"""),"N/A")</f>
        <v>N/A</v>
      </c>
      <c r="W1424" s="97" t="str">
        <f>IFERROR(__xludf.DUMMYFUNCTION("""COMPUTED_VALUE"""),"N/A")</f>
        <v>N/A</v>
      </c>
      <c r="X1424" s="97" t="str">
        <f>IFERROR(__xludf.DUMMYFUNCTION("""COMPUTED_VALUE"""),"-")</f>
        <v>-</v>
      </c>
      <c r="Y1424" s="97" t="str">
        <f>IFERROR(__xludf.DUMMYFUNCTION("""COMPUTED_VALUE"""),"N/A")</f>
        <v>N/A</v>
      </c>
      <c r="Z1424" s="97" t="str">
        <f>IFERROR(__xludf.DUMMYFUNCTION("""COMPUTED_VALUE"""),"N/A")</f>
        <v>N/A</v>
      </c>
      <c r="AA1424" s="97" t="str">
        <f>IFERROR(__xludf.DUMMYFUNCTION("""COMPUTED_VALUE"""),"N/A")</f>
        <v>N/A</v>
      </c>
      <c r="AB1424" s="97" t="str">
        <f>IFERROR(__xludf.DUMMYFUNCTION("""COMPUTED_VALUE"""),"N/A")</f>
        <v>N/A</v>
      </c>
      <c r="AC1424" s="97" t="str">
        <f>IFERROR(__xludf.DUMMYFUNCTION("""COMPUTED_VALUE"""),"N/A")</f>
        <v>N/A</v>
      </c>
      <c r="AD1424" s="97" t="str">
        <f>IFERROR(__xludf.DUMMYFUNCTION("""COMPUTED_VALUE"""),"N/A")</f>
        <v>N/A</v>
      </c>
      <c r="AE1424" s="97" t="str">
        <f>IFERROR(__xludf.DUMMYFUNCTION("""COMPUTED_VALUE"""),"N/A")</f>
        <v>N/A</v>
      </c>
      <c r="AF1424" s="97" t="str">
        <f>IFERROR(__xludf.DUMMYFUNCTION("""COMPUTED_VALUE"""),"N/A")</f>
        <v>N/A</v>
      </c>
      <c r="AG1424" s="97" t="str">
        <f>IFERROR(__xludf.DUMMYFUNCTION("""COMPUTED_VALUE"""),"Ø35")</f>
        <v>Ø35</v>
      </c>
      <c r="AH1424" s="97" t="str">
        <f>IFERROR(__xludf.DUMMYFUNCTION("""COMPUTED_VALUE"""),"N/A")</f>
        <v>N/A</v>
      </c>
      <c r="AI1424" s="97" t="str">
        <f>IFERROR(__xludf.DUMMYFUNCTION("""COMPUTED_VALUE"""),"N/A")</f>
        <v>N/A</v>
      </c>
      <c r="AJ1424" s="97" t="str">
        <f>IFERROR(__xludf.DUMMYFUNCTION("""COMPUTED_VALUE"""),"N/A")</f>
        <v>N/A</v>
      </c>
      <c r="AK1424" s="97" t="str">
        <f>IFERROR(__xludf.DUMMYFUNCTION("""COMPUTED_VALUE"""),"Acero")</f>
        <v>Acero</v>
      </c>
      <c r="AL1424" s="97" t="str">
        <f>IFERROR(__xludf.DUMMYFUNCTION("""COMPUTED_VALUE"""),"Negro")</f>
        <v>Negro</v>
      </c>
      <c r="AM1424" s="97" t="str">
        <f>IFERROR(__xludf.DUMMYFUNCTION("""COMPUTED_VALUE"""),"-")</f>
        <v>-</v>
      </c>
      <c r="AN1424" s="97" t="str">
        <f>IFERROR(__xludf.DUMMYFUNCTION("""COMPUTED_VALUE"""),"N/A")</f>
        <v>N/A</v>
      </c>
      <c r="AO1424" s="97" t="str">
        <f>IFERROR(__xludf.DUMMYFUNCTION("""COMPUTED_VALUE"""),"2 Años")</f>
        <v>2 Años</v>
      </c>
      <c r="AP1424" s="97" t="str">
        <f>IFERROR(__xludf.DUMMYFUNCTION("""COMPUTED_VALUE"""),"No Aplica")</f>
        <v>No Aplica</v>
      </c>
      <c r="AQ1424" s="97" t="str">
        <f>IFERROR(__xludf.DUMMYFUNCTION("""COMPUTED_VALUE"""),"No Aplica")</f>
        <v>No Aplica</v>
      </c>
      <c r="AR1424" s="97" t="str">
        <f>IFERROR(__xludf.DUMMYFUNCTION("""COMPUTED_VALUE"""),"No Aplica")</f>
        <v>No Aplica</v>
      </c>
      <c r="AS1424" s="97" t="str">
        <f>IFERROR(__xludf.DUMMYFUNCTION("""COMPUTED_VALUE"""),"No Aplica")</f>
        <v>No Aplica</v>
      </c>
      <c r="AT1424" s="97" t="str">
        <f>IFERROR(__xludf.DUMMYFUNCTION("""COMPUTED_VALUE"""),"No Aplica")</f>
        <v>No Aplica</v>
      </c>
      <c r="AU1424" s="97" t="str">
        <f>IFERROR(__xludf.DUMMYFUNCTION("""COMPUTED_VALUE"""),"Falta")</f>
        <v>Falta</v>
      </c>
      <c r="AV1424" s="97" t="str">
        <f>IFERROR(__xludf.DUMMYFUNCTION("""COMPUTED_VALUE"""),"Accesorio")</f>
        <v>Accesorio</v>
      </c>
      <c r="AW1424" s="97" t="str">
        <f>IFERROR(__xludf.DUMMYFUNCTION("""COMPUTED_VALUE"""),"De Techo")</f>
        <v>De Techo</v>
      </c>
      <c r="AX1424" s="97" t="str">
        <f>IFERROR(__xludf.DUMMYFUNCTION("""COMPUTED_VALUE"""),"Interior")</f>
        <v>Interior</v>
      </c>
      <c r="AY1424" s="97" t="str">
        <f>IFERROR(__xludf.DUMMYFUNCTION("""COMPUTED_VALUE"""),"-")</f>
        <v>-</v>
      </c>
      <c r="AZ1424" s="97" t="str">
        <f>IFERROR(__xludf.DUMMYFUNCTION("""COMPUTED_VALUE"""),"Cajas de a 10 unidades.")</f>
        <v>Cajas de a 10 unidades.</v>
      </c>
      <c r="BA1424" s="97"/>
      <c r="BB1424" s="97"/>
      <c r="BC1424" s="97"/>
      <c r="BD1424" s="97" t="str">
        <f>IFERROR(__xludf.DUMMYFUNCTION("""COMPUTED_VALUE"""),"NUMA")</f>
        <v>NUMA</v>
      </c>
      <c r="BE1424" s="97" t="str">
        <f>IFERROR(__xludf.DUMMYFUNCTION("""COMPUTED_VALUE"""),"Solicitada")</f>
        <v>Solicitada</v>
      </c>
      <c r="BF1424" s="97"/>
      <c r="BG1424" s="97" t="str">
        <f>IFERROR(__xludf.DUMMYFUNCTION("""COMPUTED_VALUE"""),"REPO 7")</f>
        <v>REPO 7</v>
      </c>
    </row>
    <row r="1425">
      <c r="A1425" s="97">
        <f>IFERROR(__xludf.DUMMYFUNCTION("""COMPUTED_VALUE"""),7526.0)</f>
        <v>7526</v>
      </c>
      <c r="B1425" s="97" t="str">
        <f>IFERROR(__xludf.DUMMYFUNCTION("""COMPUTED_VALUE"""),"NUMA MODULO 8W 3000K")</f>
        <v>NUMA MODULO 8W 3000K</v>
      </c>
      <c r="C1425" s="97" t="str">
        <f>IFERROR(__xludf.DUMMYFUNCTION("""COMPUTED_VALUE"""),"ACCESORIO NUMA MODULO 8W 3000K LEUK")</f>
        <v>ACCESORIO NUMA MODULO 8W 3000K LEUK</v>
      </c>
      <c r="D1425" s="97">
        <f>IFERROR(__xludf.DUMMYFUNCTION("""COMPUTED_VALUE"""),7.798413229813E12)</f>
        <v>7798413229813</v>
      </c>
      <c r="E1425" s="97" t="str">
        <f>IFERROR(__xludf.DUMMYFUNCTION("""COMPUTED_VALUE"""),"C47")</f>
        <v>C47</v>
      </c>
      <c r="F1425" s="97" t="str">
        <f>IFERROR(__xludf.DUMMYFUNCTION("""COMPUTED_VALUE"""),"LED integrado")</f>
        <v>LED integrado</v>
      </c>
      <c r="G1425" s="97" t="str">
        <f>IFERROR(__xludf.DUMMYFUNCTION("""COMPUTED_VALUE"""),"OSRAM")</f>
        <v>OSRAM</v>
      </c>
      <c r="H1425" s="97" t="str">
        <f>IFERROR(__xludf.DUMMYFUNCTION("""COMPUTED_VALUE"""),"Lifud")</f>
        <v>Lifud</v>
      </c>
      <c r="I1425" s="97"/>
      <c r="J1425" s="97"/>
      <c r="K1425" s="97" t="str">
        <f>IFERROR(__xludf.DUMMYFUNCTION("""COMPUTED_VALUE"""),"TRIAC")</f>
        <v>TRIAC</v>
      </c>
      <c r="L1425" s="97" t="str">
        <f>IFERROR(__xludf.DUMMYFUNCTION("""COMPUTED_VALUE"""),"220-240")</f>
        <v>220-240</v>
      </c>
      <c r="M1425" s="97" t="str">
        <f>IFERROR(__xludf.DUMMYFUNCTION("""COMPUTED_VALUE"""),"50/60")</f>
        <v>50/60</v>
      </c>
      <c r="N1425" s="97" t="str">
        <f>IFERROR(__xludf.DUMMYFUNCTION("""COMPUTED_VALUE"""),"Directa")</f>
        <v>Directa</v>
      </c>
      <c r="O1425" s="97">
        <f>IFERROR(__xludf.DUMMYFUNCTION("""COMPUTED_VALUE"""),8.0)</f>
        <v>8</v>
      </c>
      <c r="P1425" s="97">
        <f>IFERROR(__xludf.DUMMYFUNCTION("""COMPUTED_VALUE"""),8.75)</f>
        <v>8.75</v>
      </c>
      <c r="Q1425" s="97">
        <f>IFERROR(__xludf.DUMMYFUNCTION("""COMPUTED_VALUE"""),0.9)</f>
        <v>0.9</v>
      </c>
      <c r="R1425" s="97" t="str">
        <f>IFERROR(__xludf.DUMMYFUNCTION("""COMPUTED_VALUE"""),"-")</f>
        <v>-</v>
      </c>
      <c r="S1425" s="97" t="str">
        <f>IFERROR(__xludf.DUMMYFUNCTION("""COMPUTED_VALUE"""),"-")</f>
        <v>-</v>
      </c>
      <c r="T1425" s="97">
        <f>IFERROR(__xludf.DUMMYFUNCTION("""COMPUTED_VALUE"""),650.0)</f>
        <v>650</v>
      </c>
      <c r="U1425" s="99">
        <f>IFERROR(__xludf.DUMMYFUNCTION("""COMPUTED_VALUE"""),81.25)</f>
        <v>81.25</v>
      </c>
      <c r="V1425" s="97">
        <f>IFERROR(__xludf.DUMMYFUNCTION("""COMPUTED_VALUE"""),36.0)</f>
        <v>36</v>
      </c>
      <c r="W1425" s="97" t="str">
        <f>IFERROR(__xludf.DUMMYFUNCTION("""COMPUTED_VALUE"""),"&lt; 14")</f>
        <v>&lt; 14</v>
      </c>
      <c r="X1425" s="97">
        <f>IFERROR(__xludf.DUMMYFUNCTION("""COMPUTED_VALUE"""),3000.0)</f>
        <v>3000</v>
      </c>
      <c r="Y1425" s="97" t="str">
        <f>IFERROR(__xludf.DUMMYFUNCTION("""COMPUTED_VALUE"""),"&gt;90")</f>
        <v>&gt;90</v>
      </c>
      <c r="Z1425" s="97" t="str">
        <f>IFERROR(__xludf.DUMMYFUNCTION("""COMPUTED_VALUE"""),"-")</f>
        <v>-</v>
      </c>
      <c r="AA1425" s="97" t="str">
        <f>IFERROR(__xludf.DUMMYFUNCTION("""COMPUTED_VALUE"""),"-")</f>
        <v>-</v>
      </c>
      <c r="AB1425" s="97" t="str">
        <f>IFERROR(__xludf.DUMMYFUNCTION("""COMPUTED_VALUE"""),"&lt; 2")</f>
        <v>&lt; 2</v>
      </c>
      <c r="AC1425" s="97">
        <f>IFERROR(__xludf.DUMMYFUNCTION("""COMPUTED_VALUE"""),-4.8E-4)</f>
        <v>-0.00048</v>
      </c>
      <c r="AD1425" s="97" t="str">
        <f>IFERROR(__xludf.DUMMYFUNCTION("""COMPUTED_VALUE"""),"IP65")</f>
        <v>IP65</v>
      </c>
      <c r="AE1425" s="97"/>
      <c r="AF1425" s="97" t="str">
        <f>IFERROR(__xludf.DUMMYFUNCTION("""COMPUTED_VALUE"""),"N/A")</f>
        <v>N/A</v>
      </c>
      <c r="AG1425" s="97" t="str">
        <f>IFERROR(__xludf.DUMMYFUNCTION("""COMPUTED_VALUE"""),"Ø50 x 45")</f>
        <v>Ø50 x 45</v>
      </c>
      <c r="AH1425" s="97" t="str">
        <f>IFERROR(__xludf.DUMMYFUNCTION("""COMPUTED_VALUE"""),"N/A")</f>
        <v>N/A</v>
      </c>
      <c r="AI1425" s="97" t="str">
        <f>IFERROR(__xludf.DUMMYFUNCTION("""COMPUTED_VALUE"""),"N/A")</f>
        <v>N/A</v>
      </c>
      <c r="AJ1425" s="97" t="str">
        <f>IFERROR(__xludf.DUMMYFUNCTION("""COMPUTED_VALUE"""),"PMMA")</f>
        <v>PMMA</v>
      </c>
      <c r="AK1425" s="97" t="str">
        <f>IFERROR(__xludf.DUMMYFUNCTION("""COMPUTED_VALUE"""),"Aluminio")</f>
        <v>Aluminio</v>
      </c>
      <c r="AL1425" s="97" t="str">
        <f>IFERROR(__xludf.DUMMYFUNCTION("""COMPUTED_VALUE"""),"Negro")</f>
        <v>Negro</v>
      </c>
      <c r="AM1425" s="97" t="str">
        <f>IFERROR(__xludf.DUMMYFUNCTION("""COMPUTED_VALUE"""),"-")</f>
        <v>-</v>
      </c>
      <c r="AN1425" s="97" t="str">
        <f>IFERROR(__xludf.DUMMYFUNCTION("""COMPUTED_VALUE"""),"25.000hs (L70)")</f>
        <v>25.000hs (L70)</v>
      </c>
      <c r="AO1425" s="97" t="str">
        <f>IFERROR(__xludf.DUMMYFUNCTION("""COMPUTED_VALUE"""),"2 Años")</f>
        <v>2 Años</v>
      </c>
      <c r="AP1425" s="97" t="str">
        <f>IFERROR(__xludf.DUMMYFUNCTION("""COMPUTED_VALUE"""),"Disponible")</f>
        <v>Disponible</v>
      </c>
      <c r="AQ1425" s="97" t="str">
        <f>IFERROR(__xludf.DUMMYFUNCTION("""COMPUTED_VALUE"""),"Disponible")</f>
        <v>Disponible</v>
      </c>
      <c r="AR1425" s="97" t="str">
        <f>IFERROR(__xludf.DUMMYFUNCTION("""COMPUTED_VALUE"""),"Disponible")</f>
        <v>Disponible</v>
      </c>
      <c r="AS1425" s="97" t="str">
        <f>IFERROR(__xludf.DUMMYFUNCTION("""COMPUTED_VALUE"""),"Disponible")</f>
        <v>Disponible</v>
      </c>
      <c r="AT1425" s="97" t="str">
        <f>IFERROR(__xludf.DUMMYFUNCTION("""COMPUTED_VALUE"""),"Disponible")</f>
        <v>Disponible</v>
      </c>
      <c r="AU1425" s="97" t="str">
        <f>IFERROR(__xludf.DUMMYFUNCTION("""COMPUTED_VALUE"""),"Falta")</f>
        <v>Falta</v>
      </c>
      <c r="AV1425" s="97" t="str">
        <f>IFERROR(__xludf.DUMMYFUNCTION("""COMPUTED_VALUE"""),"Accesorio")</f>
        <v>Accesorio</v>
      </c>
      <c r="AW1425" s="97" t="str">
        <f>IFERROR(__xludf.DUMMYFUNCTION("""COMPUTED_VALUE"""),"De Techo")</f>
        <v>De Techo</v>
      </c>
      <c r="AX1425" s="97" t="str">
        <f>IFERROR(__xludf.DUMMYFUNCTION("""COMPUTED_VALUE"""),"Interior")</f>
        <v>Interior</v>
      </c>
      <c r="AY1425" s="97" t="str">
        <f>IFERROR(__xludf.DUMMYFUNCTION("""COMPUTED_VALUE"""),"-")</f>
        <v>-</v>
      </c>
      <c r="AZ1425" s="97"/>
      <c r="BA1425" s="97"/>
      <c r="BB1425" s="97"/>
      <c r="BC1425" s="97"/>
      <c r="BD1425" s="97" t="str">
        <f>IFERROR(__xludf.DUMMYFUNCTION("""COMPUTED_VALUE"""),"NUMA MODULO")</f>
        <v>NUMA MODULO</v>
      </c>
      <c r="BE1425" s="97" t="str">
        <f>IFERROR(__xludf.DUMMYFUNCTION("""COMPUTED_VALUE"""),"Solicitada")</f>
        <v>Solicitada</v>
      </c>
      <c r="BF1425" s="97"/>
      <c r="BG1425" s="97" t="str">
        <f>IFERROR(__xludf.DUMMYFUNCTION("""COMPUTED_VALUE"""),"REPO 7")</f>
        <v>REPO 7</v>
      </c>
    </row>
    <row r="1426">
      <c r="A1426" s="97">
        <f>IFERROR(__xludf.DUMMYFUNCTION("""COMPUTED_VALUE"""),7527.0)</f>
        <v>7527</v>
      </c>
      <c r="B1426" s="97" t="str">
        <f>IFERROR(__xludf.DUMMYFUNCTION("""COMPUTED_VALUE"""),"NUMA MODULO 8W 2700K")</f>
        <v>NUMA MODULO 8W 2700K</v>
      </c>
      <c r="C1426" s="97" t="str">
        <f>IFERROR(__xludf.DUMMYFUNCTION("""COMPUTED_VALUE"""),"ACCESORIO NUMA MODULO 8W 2700K LEUK")</f>
        <v>ACCESORIO NUMA MODULO 8W 2700K LEUK</v>
      </c>
      <c r="D1426" s="97">
        <f>IFERROR(__xludf.DUMMYFUNCTION("""COMPUTED_VALUE"""),7.79841322982E12)</f>
        <v>7798413229820</v>
      </c>
      <c r="E1426" s="97" t="str">
        <f>IFERROR(__xludf.DUMMYFUNCTION("""COMPUTED_VALUE"""),"C47")</f>
        <v>C47</v>
      </c>
      <c r="F1426" s="97" t="str">
        <f>IFERROR(__xludf.DUMMYFUNCTION("""COMPUTED_VALUE"""),"LED integrado")</f>
        <v>LED integrado</v>
      </c>
      <c r="G1426" s="97" t="str">
        <f>IFERROR(__xludf.DUMMYFUNCTION("""COMPUTED_VALUE"""),"OSRAM")</f>
        <v>OSRAM</v>
      </c>
      <c r="H1426" s="97" t="str">
        <f>IFERROR(__xludf.DUMMYFUNCTION("""COMPUTED_VALUE"""),"Lifud")</f>
        <v>Lifud</v>
      </c>
      <c r="I1426" s="97"/>
      <c r="J1426" s="97"/>
      <c r="K1426" s="97" t="str">
        <f>IFERROR(__xludf.DUMMYFUNCTION("""COMPUTED_VALUE"""),"TRIAC")</f>
        <v>TRIAC</v>
      </c>
      <c r="L1426" s="97" t="str">
        <f>IFERROR(__xludf.DUMMYFUNCTION("""COMPUTED_VALUE"""),"220-240")</f>
        <v>220-240</v>
      </c>
      <c r="M1426" s="97" t="str">
        <f>IFERROR(__xludf.DUMMYFUNCTION("""COMPUTED_VALUE"""),"50/60")</f>
        <v>50/60</v>
      </c>
      <c r="N1426" s="97" t="str">
        <f>IFERROR(__xludf.DUMMYFUNCTION("""COMPUTED_VALUE"""),"Directa")</f>
        <v>Directa</v>
      </c>
      <c r="O1426" s="97">
        <f>IFERROR(__xludf.DUMMYFUNCTION("""COMPUTED_VALUE"""),8.0)</f>
        <v>8</v>
      </c>
      <c r="P1426" s="97">
        <f>IFERROR(__xludf.DUMMYFUNCTION("""COMPUTED_VALUE"""),8.75)</f>
        <v>8.75</v>
      </c>
      <c r="Q1426" s="97">
        <f>IFERROR(__xludf.DUMMYFUNCTION("""COMPUTED_VALUE"""),0.9)</f>
        <v>0.9</v>
      </c>
      <c r="R1426" s="97" t="str">
        <f>IFERROR(__xludf.DUMMYFUNCTION("""COMPUTED_VALUE"""),"-")</f>
        <v>-</v>
      </c>
      <c r="S1426" s="97" t="str">
        <f>IFERROR(__xludf.DUMMYFUNCTION("""COMPUTED_VALUE"""),"-")</f>
        <v>-</v>
      </c>
      <c r="T1426" s="97">
        <f>IFERROR(__xludf.DUMMYFUNCTION("""COMPUTED_VALUE"""),650.0)</f>
        <v>650</v>
      </c>
      <c r="U1426" s="99">
        <f>IFERROR(__xludf.DUMMYFUNCTION("""COMPUTED_VALUE"""),81.25)</f>
        <v>81.25</v>
      </c>
      <c r="V1426" s="97">
        <f>IFERROR(__xludf.DUMMYFUNCTION("""COMPUTED_VALUE"""),36.0)</f>
        <v>36</v>
      </c>
      <c r="W1426" s="97" t="str">
        <f>IFERROR(__xludf.DUMMYFUNCTION("""COMPUTED_VALUE"""),"&lt; 14")</f>
        <v>&lt; 14</v>
      </c>
      <c r="X1426" s="97">
        <f>IFERROR(__xludf.DUMMYFUNCTION("""COMPUTED_VALUE"""),2700.0)</f>
        <v>2700</v>
      </c>
      <c r="Y1426" s="97" t="str">
        <f>IFERROR(__xludf.DUMMYFUNCTION("""COMPUTED_VALUE"""),"&gt;90")</f>
        <v>&gt;90</v>
      </c>
      <c r="Z1426" s="97" t="str">
        <f>IFERROR(__xludf.DUMMYFUNCTION("""COMPUTED_VALUE"""),"-")</f>
        <v>-</v>
      </c>
      <c r="AA1426" s="97" t="str">
        <f>IFERROR(__xludf.DUMMYFUNCTION("""COMPUTED_VALUE"""),"-")</f>
        <v>-</v>
      </c>
      <c r="AB1426" s="97" t="str">
        <f>IFERROR(__xludf.DUMMYFUNCTION("""COMPUTED_VALUE"""),"&lt; 2")</f>
        <v>&lt; 2</v>
      </c>
      <c r="AC1426" s="97">
        <f>IFERROR(__xludf.DUMMYFUNCTION("""COMPUTED_VALUE"""),-2.4E-4)</f>
        <v>-0.00024</v>
      </c>
      <c r="AD1426" s="97" t="str">
        <f>IFERROR(__xludf.DUMMYFUNCTION("""COMPUTED_VALUE"""),"IP65")</f>
        <v>IP65</v>
      </c>
      <c r="AE1426" s="97"/>
      <c r="AF1426" s="97" t="str">
        <f>IFERROR(__xludf.DUMMYFUNCTION("""COMPUTED_VALUE"""),"N/A")</f>
        <v>N/A</v>
      </c>
      <c r="AG1426" s="97" t="str">
        <f>IFERROR(__xludf.DUMMYFUNCTION("""COMPUTED_VALUE"""),"Ø50 x 45")</f>
        <v>Ø50 x 45</v>
      </c>
      <c r="AH1426" s="97" t="str">
        <f>IFERROR(__xludf.DUMMYFUNCTION("""COMPUTED_VALUE"""),"N/A")</f>
        <v>N/A</v>
      </c>
      <c r="AI1426" s="97" t="str">
        <f>IFERROR(__xludf.DUMMYFUNCTION("""COMPUTED_VALUE"""),"N/A")</f>
        <v>N/A</v>
      </c>
      <c r="AJ1426" s="97" t="str">
        <f>IFERROR(__xludf.DUMMYFUNCTION("""COMPUTED_VALUE"""),"PMMA")</f>
        <v>PMMA</v>
      </c>
      <c r="AK1426" s="97" t="str">
        <f>IFERROR(__xludf.DUMMYFUNCTION("""COMPUTED_VALUE"""),"Aluminio")</f>
        <v>Aluminio</v>
      </c>
      <c r="AL1426" s="97" t="str">
        <f>IFERROR(__xludf.DUMMYFUNCTION("""COMPUTED_VALUE"""),"Negro")</f>
        <v>Negro</v>
      </c>
      <c r="AM1426" s="97" t="str">
        <f>IFERROR(__xludf.DUMMYFUNCTION("""COMPUTED_VALUE"""),"-")</f>
        <v>-</v>
      </c>
      <c r="AN1426" s="97" t="str">
        <f>IFERROR(__xludf.DUMMYFUNCTION("""COMPUTED_VALUE"""),"25.000hs (L70)")</f>
        <v>25.000hs (L70)</v>
      </c>
      <c r="AO1426" s="97" t="str">
        <f>IFERROR(__xludf.DUMMYFUNCTION("""COMPUTED_VALUE"""),"2 Años")</f>
        <v>2 Años</v>
      </c>
      <c r="AP1426" s="97" t="str">
        <f>IFERROR(__xludf.DUMMYFUNCTION("""COMPUTED_VALUE"""),"Disponible")</f>
        <v>Disponible</v>
      </c>
      <c r="AQ1426" s="97" t="str">
        <f>IFERROR(__xludf.DUMMYFUNCTION("""COMPUTED_VALUE"""),"Disponible")</f>
        <v>Disponible</v>
      </c>
      <c r="AR1426" s="97" t="str">
        <f>IFERROR(__xludf.DUMMYFUNCTION("""COMPUTED_VALUE"""),"Disponible")</f>
        <v>Disponible</v>
      </c>
      <c r="AS1426" s="97" t="str">
        <f>IFERROR(__xludf.DUMMYFUNCTION("""COMPUTED_VALUE"""),"Disponible")</f>
        <v>Disponible</v>
      </c>
      <c r="AT1426" s="97" t="str">
        <f>IFERROR(__xludf.DUMMYFUNCTION("""COMPUTED_VALUE"""),"Disponible")</f>
        <v>Disponible</v>
      </c>
      <c r="AU1426" s="97" t="str">
        <f>IFERROR(__xludf.DUMMYFUNCTION("""COMPUTED_VALUE"""),"Falta")</f>
        <v>Falta</v>
      </c>
      <c r="AV1426" s="97" t="str">
        <f>IFERROR(__xludf.DUMMYFUNCTION("""COMPUTED_VALUE"""),"Accesorio")</f>
        <v>Accesorio</v>
      </c>
      <c r="AW1426" s="97" t="str">
        <f>IFERROR(__xludf.DUMMYFUNCTION("""COMPUTED_VALUE"""),"De Techo")</f>
        <v>De Techo</v>
      </c>
      <c r="AX1426" s="97" t="str">
        <f>IFERROR(__xludf.DUMMYFUNCTION("""COMPUTED_VALUE"""),"Interior")</f>
        <v>Interior</v>
      </c>
      <c r="AY1426" s="97" t="str">
        <f>IFERROR(__xludf.DUMMYFUNCTION("""COMPUTED_VALUE"""),"-")</f>
        <v>-</v>
      </c>
      <c r="AZ1426" s="97"/>
      <c r="BA1426" s="97"/>
      <c r="BB1426" s="97"/>
      <c r="BC1426" s="97"/>
      <c r="BD1426" s="97" t="str">
        <f>IFERROR(__xludf.DUMMYFUNCTION("""COMPUTED_VALUE"""),"NUMA MODULO")</f>
        <v>NUMA MODULO</v>
      </c>
      <c r="BE1426" s="97" t="str">
        <f>IFERROR(__xludf.DUMMYFUNCTION("""COMPUTED_VALUE"""),"Solicitada")</f>
        <v>Solicitada</v>
      </c>
      <c r="BF1426" s="97"/>
      <c r="BG1426" s="97" t="str">
        <f>IFERROR(__xludf.DUMMYFUNCTION("""COMPUTED_VALUE"""),"REPO 7")</f>
        <v>REPO 7</v>
      </c>
    </row>
    <row r="1427">
      <c r="A1427" s="97">
        <f>IFERROR(__xludf.DUMMYFUNCTION("""COMPUTED_VALUE"""),7528.0)</f>
        <v>7528</v>
      </c>
      <c r="B1427" s="97" t="str">
        <f>IFERROR(__xludf.DUMMYFUNCTION("""COMPUTED_VALUE"""),"NUMA LENTE 8W 15°")</f>
        <v>NUMA LENTE 8W 15°</v>
      </c>
      <c r="C1427" s="97" t="str">
        <f>IFERROR(__xludf.DUMMYFUNCTION("""COMPUTED_VALUE"""),"ACCESORIO NUMA LENTE 8W 15° LEUK")</f>
        <v>ACCESORIO NUMA LENTE 8W 15° LEUK</v>
      </c>
      <c r="D1427" s="97">
        <f>IFERROR(__xludf.DUMMYFUNCTION("""COMPUTED_VALUE"""),7.798413228922E12)</f>
        <v>7798413228922</v>
      </c>
      <c r="E1427" s="97" t="str">
        <f>IFERROR(__xludf.DUMMYFUNCTION("""COMPUTED_VALUE"""),"-")</f>
        <v>-</v>
      </c>
      <c r="F1427" s="97" t="str">
        <f>IFERROR(__xludf.DUMMYFUNCTION("""COMPUTED_VALUE"""),"N/A")</f>
        <v>N/A</v>
      </c>
      <c r="G1427" s="97" t="str">
        <f>IFERROR(__xludf.DUMMYFUNCTION("""COMPUTED_VALUE"""),"N/A")</f>
        <v>N/A</v>
      </c>
      <c r="H1427" s="97" t="str">
        <f>IFERROR(__xludf.DUMMYFUNCTION("""COMPUTED_VALUE"""),"N/A")</f>
        <v>N/A</v>
      </c>
      <c r="I1427" s="97" t="str">
        <f>IFERROR(__xludf.DUMMYFUNCTION("""COMPUTED_VALUE"""),"N/A")</f>
        <v>N/A</v>
      </c>
      <c r="J1427" s="97" t="str">
        <f>IFERROR(__xludf.DUMMYFUNCTION("""COMPUTED_VALUE"""),"N/A")</f>
        <v>N/A</v>
      </c>
      <c r="K1427" s="97" t="str">
        <f>IFERROR(__xludf.DUMMYFUNCTION("""COMPUTED_VALUE"""),"N/A")</f>
        <v>N/A</v>
      </c>
      <c r="L1427" s="97" t="str">
        <f>IFERROR(__xludf.DUMMYFUNCTION("""COMPUTED_VALUE"""),"N/A")</f>
        <v>N/A</v>
      </c>
      <c r="M1427" s="97" t="str">
        <f>IFERROR(__xludf.DUMMYFUNCTION("""COMPUTED_VALUE"""),"N/A")</f>
        <v>N/A</v>
      </c>
      <c r="N1427" s="97" t="str">
        <f>IFERROR(__xludf.DUMMYFUNCTION("""COMPUTED_VALUE"""),"N/A")</f>
        <v>N/A</v>
      </c>
      <c r="O1427" s="97" t="str">
        <f>IFERROR(__xludf.DUMMYFUNCTION("""COMPUTED_VALUE"""),"-")</f>
        <v>-</v>
      </c>
      <c r="P1427" s="97" t="str">
        <f>IFERROR(__xludf.DUMMYFUNCTION("""COMPUTED_VALUE"""),"-")</f>
        <v>-</v>
      </c>
      <c r="Q1427" s="97" t="str">
        <f>IFERROR(__xludf.DUMMYFUNCTION("""COMPUTED_VALUE"""),"-")</f>
        <v>-</v>
      </c>
      <c r="R1427" s="97" t="str">
        <f>IFERROR(__xludf.DUMMYFUNCTION("""COMPUTED_VALUE"""),"-")</f>
        <v>-</v>
      </c>
      <c r="S1427" s="97" t="str">
        <f>IFERROR(__xludf.DUMMYFUNCTION("""COMPUTED_VALUE"""),"-")</f>
        <v>-</v>
      </c>
      <c r="T1427" s="97" t="str">
        <f>IFERROR(__xludf.DUMMYFUNCTION("""COMPUTED_VALUE"""),"-")</f>
        <v>-</v>
      </c>
      <c r="U1427" s="97" t="str">
        <f>IFERROR(__xludf.DUMMYFUNCTION("""COMPUTED_VALUE"""),"-")</f>
        <v>-</v>
      </c>
      <c r="V1427" s="97">
        <f>IFERROR(__xludf.DUMMYFUNCTION("""COMPUTED_VALUE"""),15.0)</f>
        <v>15</v>
      </c>
      <c r="W1427" s="97" t="str">
        <f>IFERROR(__xludf.DUMMYFUNCTION("""COMPUTED_VALUE"""),"N/A")</f>
        <v>N/A</v>
      </c>
      <c r="X1427" s="97" t="str">
        <f>IFERROR(__xludf.DUMMYFUNCTION("""COMPUTED_VALUE"""),"-")</f>
        <v>-</v>
      </c>
      <c r="Y1427" s="97" t="str">
        <f>IFERROR(__xludf.DUMMYFUNCTION("""COMPUTED_VALUE"""),"N/A")</f>
        <v>N/A</v>
      </c>
      <c r="Z1427" s="97" t="str">
        <f>IFERROR(__xludf.DUMMYFUNCTION("""COMPUTED_VALUE"""),"N/A")</f>
        <v>N/A</v>
      </c>
      <c r="AA1427" s="97" t="str">
        <f>IFERROR(__xludf.DUMMYFUNCTION("""COMPUTED_VALUE"""),"N/A")</f>
        <v>N/A</v>
      </c>
      <c r="AB1427" s="97" t="str">
        <f>IFERROR(__xludf.DUMMYFUNCTION("""COMPUTED_VALUE"""),"N/A")</f>
        <v>N/A</v>
      </c>
      <c r="AC1427" s="97" t="str">
        <f>IFERROR(__xludf.DUMMYFUNCTION("""COMPUTED_VALUE"""),"N/A")</f>
        <v>N/A</v>
      </c>
      <c r="AD1427" s="97" t="str">
        <f>IFERROR(__xludf.DUMMYFUNCTION("""COMPUTED_VALUE"""),"N/A")</f>
        <v>N/A</v>
      </c>
      <c r="AE1427" s="97" t="str">
        <f>IFERROR(__xludf.DUMMYFUNCTION("""COMPUTED_VALUE"""),"N/A")</f>
        <v>N/A</v>
      </c>
      <c r="AF1427" s="97" t="str">
        <f>IFERROR(__xludf.DUMMYFUNCTION("""COMPUTED_VALUE"""),"N/A")</f>
        <v>N/A</v>
      </c>
      <c r="AG1427" s="97" t="str">
        <f>IFERROR(__xludf.DUMMYFUNCTION("""COMPUTED_VALUE"""),"Ø35")</f>
        <v>Ø35</v>
      </c>
      <c r="AH1427" s="97" t="str">
        <f>IFERROR(__xludf.DUMMYFUNCTION("""COMPUTED_VALUE"""),"N/A")</f>
        <v>N/A</v>
      </c>
      <c r="AI1427" s="97" t="str">
        <f>IFERROR(__xludf.DUMMYFUNCTION("""COMPUTED_VALUE"""),"N/A")</f>
        <v>N/A</v>
      </c>
      <c r="AJ1427" s="97" t="str">
        <f>IFERROR(__xludf.DUMMYFUNCTION("""COMPUTED_VALUE"""),"N/A")</f>
        <v>N/A</v>
      </c>
      <c r="AK1427" s="97" t="str">
        <f>IFERROR(__xludf.DUMMYFUNCTION("""COMPUTED_VALUE"""),"Policarbonato (PC)")</f>
        <v>Policarbonato (PC)</v>
      </c>
      <c r="AL1427" s="97" t="str">
        <f>IFERROR(__xludf.DUMMYFUNCTION("""COMPUTED_VALUE"""),"N/A")</f>
        <v>N/A</v>
      </c>
      <c r="AM1427" s="97" t="str">
        <f>IFERROR(__xludf.DUMMYFUNCTION("""COMPUTED_VALUE"""),"-")</f>
        <v>-</v>
      </c>
      <c r="AN1427" s="97" t="str">
        <f>IFERROR(__xludf.DUMMYFUNCTION("""COMPUTED_VALUE"""),"N/A")</f>
        <v>N/A</v>
      </c>
      <c r="AO1427" s="97" t="str">
        <f>IFERROR(__xludf.DUMMYFUNCTION("""COMPUTED_VALUE"""),"2 Años")</f>
        <v>2 Años</v>
      </c>
      <c r="AP1427" s="97" t="str">
        <f>IFERROR(__xludf.DUMMYFUNCTION("""COMPUTED_VALUE"""),"Disponible")</f>
        <v>Disponible</v>
      </c>
      <c r="AQ1427" s="97" t="str">
        <f>IFERROR(__xludf.DUMMYFUNCTION("""COMPUTED_VALUE"""),"Disponible")</f>
        <v>Disponible</v>
      </c>
      <c r="AR1427" s="97" t="str">
        <f>IFERROR(__xludf.DUMMYFUNCTION("""COMPUTED_VALUE"""),"Disponible")</f>
        <v>Disponible</v>
      </c>
      <c r="AS1427" s="97" t="str">
        <f>IFERROR(__xludf.DUMMYFUNCTION("""COMPUTED_VALUE"""),"No Aplica")</f>
        <v>No Aplica</v>
      </c>
      <c r="AT1427" s="97" t="str">
        <f>IFERROR(__xludf.DUMMYFUNCTION("""COMPUTED_VALUE"""),"No Aplica")</f>
        <v>No Aplica</v>
      </c>
      <c r="AU1427" s="97" t="str">
        <f>IFERROR(__xludf.DUMMYFUNCTION("""COMPUTED_VALUE"""),"Falta")</f>
        <v>Falta</v>
      </c>
      <c r="AV1427" s="97" t="str">
        <f>IFERROR(__xludf.DUMMYFUNCTION("""COMPUTED_VALUE"""),"Accesorio")</f>
        <v>Accesorio</v>
      </c>
      <c r="AW1427" s="97" t="str">
        <f>IFERROR(__xludf.DUMMYFUNCTION("""COMPUTED_VALUE"""),"De Techo")</f>
        <v>De Techo</v>
      </c>
      <c r="AX1427" s="97" t="str">
        <f>IFERROR(__xludf.DUMMYFUNCTION("""COMPUTED_VALUE"""),"Interior")</f>
        <v>Interior</v>
      </c>
      <c r="AY1427" s="97" t="str">
        <f>IFERROR(__xludf.DUMMYFUNCTION("""COMPUTED_VALUE"""),"-")</f>
        <v>-</v>
      </c>
      <c r="AZ1427" s="97" t="str">
        <f>IFERROR(__xludf.DUMMYFUNCTION("""COMPUTED_VALUE"""),"Cajas de a 10 unidades.")</f>
        <v>Cajas de a 10 unidades.</v>
      </c>
      <c r="BA1427" s="97"/>
      <c r="BB1427" s="97"/>
      <c r="BC1427" s="97"/>
      <c r="BD1427" s="97" t="str">
        <f>IFERROR(__xludf.DUMMYFUNCTION("""COMPUTED_VALUE"""),"NUMA")</f>
        <v>NUMA</v>
      </c>
      <c r="BE1427" s="97" t="str">
        <f>IFERROR(__xludf.DUMMYFUNCTION("""COMPUTED_VALUE"""),"Solicitada")</f>
        <v>Solicitada</v>
      </c>
      <c r="BF1427" s="97"/>
      <c r="BG1427" s="97" t="str">
        <f>IFERROR(__xludf.DUMMYFUNCTION("""COMPUTED_VALUE"""),"REPO 7")</f>
        <v>REPO 7</v>
      </c>
    </row>
    <row r="1428">
      <c r="A1428" s="97">
        <f>IFERROR(__xludf.DUMMYFUNCTION("""COMPUTED_VALUE"""),7529.0)</f>
        <v>7529</v>
      </c>
      <c r="B1428" s="97" t="str">
        <f>IFERROR(__xludf.DUMMYFUNCTION("""COMPUTED_VALUE"""),"NUMA LENTE 8W 24°")</f>
        <v>NUMA LENTE 8W 24°</v>
      </c>
      <c r="C1428" s="97" t="str">
        <f>IFERROR(__xludf.DUMMYFUNCTION("""COMPUTED_VALUE"""),"ACCESORIO NUMA LENTE 8W 24° LEUK")</f>
        <v>ACCESORIO NUMA LENTE 8W 24° LEUK</v>
      </c>
      <c r="D1428" s="97">
        <f>IFERROR(__xludf.DUMMYFUNCTION("""COMPUTED_VALUE"""),7.798413228939E12)</f>
        <v>7798413228939</v>
      </c>
      <c r="E1428" s="97" t="str">
        <f>IFERROR(__xludf.DUMMYFUNCTION("""COMPUTED_VALUE"""),"-")</f>
        <v>-</v>
      </c>
      <c r="F1428" s="97" t="str">
        <f>IFERROR(__xludf.DUMMYFUNCTION("""COMPUTED_VALUE"""),"N/A")</f>
        <v>N/A</v>
      </c>
      <c r="G1428" s="97" t="str">
        <f>IFERROR(__xludf.DUMMYFUNCTION("""COMPUTED_VALUE"""),"N/A")</f>
        <v>N/A</v>
      </c>
      <c r="H1428" s="97" t="str">
        <f>IFERROR(__xludf.DUMMYFUNCTION("""COMPUTED_VALUE"""),"N/A")</f>
        <v>N/A</v>
      </c>
      <c r="I1428" s="97" t="str">
        <f>IFERROR(__xludf.DUMMYFUNCTION("""COMPUTED_VALUE"""),"N/A")</f>
        <v>N/A</v>
      </c>
      <c r="J1428" s="97" t="str">
        <f>IFERROR(__xludf.DUMMYFUNCTION("""COMPUTED_VALUE"""),"N/A")</f>
        <v>N/A</v>
      </c>
      <c r="K1428" s="97" t="str">
        <f>IFERROR(__xludf.DUMMYFUNCTION("""COMPUTED_VALUE"""),"N/A")</f>
        <v>N/A</v>
      </c>
      <c r="L1428" s="97" t="str">
        <f>IFERROR(__xludf.DUMMYFUNCTION("""COMPUTED_VALUE"""),"N/A")</f>
        <v>N/A</v>
      </c>
      <c r="M1428" s="97" t="str">
        <f>IFERROR(__xludf.DUMMYFUNCTION("""COMPUTED_VALUE"""),"N/A")</f>
        <v>N/A</v>
      </c>
      <c r="N1428" s="97" t="str">
        <f>IFERROR(__xludf.DUMMYFUNCTION("""COMPUTED_VALUE"""),"N/A")</f>
        <v>N/A</v>
      </c>
      <c r="O1428" s="97" t="str">
        <f>IFERROR(__xludf.DUMMYFUNCTION("""COMPUTED_VALUE"""),"-")</f>
        <v>-</v>
      </c>
      <c r="P1428" s="97" t="str">
        <f>IFERROR(__xludf.DUMMYFUNCTION("""COMPUTED_VALUE"""),"-")</f>
        <v>-</v>
      </c>
      <c r="Q1428" s="97" t="str">
        <f>IFERROR(__xludf.DUMMYFUNCTION("""COMPUTED_VALUE"""),"-")</f>
        <v>-</v>
      </c>
      <c r="R1428" s="97" t="str">
        <f>IFERROR(__xludf.DUMMYFUNCTION("""COMPUTED_VALUE"""),"-")</f>
        <v>-</v>
      </c>
      <c r="S1428" s="97" t="str">
        <f>IFERROR(__xludf.DUMMYFUNCTION("""COMPUTED_VALUE"""),"-")</f>
        <v>-</v>
      </c>
      <c r="T1428" s="97" t="str">
        <f>IFERROR(__xludf.DUMMYFUNCTION("""COMPUTED_VALUE"""),"-")</f>
        <v>-</v>
      </c>
      <c r="U1428" s="97" t="str">
        <f>IFERROR(__xludf.DUMMYFUNCTION("""COMPUTED_VALUE"""),"-")</f>
        <v>-</v>
      </c>
      <c r="V1428" s="97">
        <f>IFERROR(__xludf.DUMMYFUNCTION("""COMPUTED_VALUE"""),24.0)</f>
        <v>24</v>
      </c>
      <c r="W1428" s="97" t="str">
        <f>IFERROR(__xludf.DUMMYFUNCTION("""COMPUTED_VALUE"""),"N/A")</f>
        <v>N/A</v>
      </c>
      <c r="X1428" s="97" t="str">
        <f>IFERROR(__xludf.DUMMYFUNCTION("""COMPUTED_VALUE"""),"-")</f>
        <v>-</v>
      </c>
      <c r="Y1428" s="97" t="str">
        <f>IFERROR(__xludf.DUMMYFUNCTION("""COMPUTED_VALUE"""),"N/A")</f>
        <v>N/A</v>
      </c>
      <c r="Z1428" s="97" t="str">
        <f>IFERROR(__xludf.DUMMYFUNCTION("""COMPUTED_VALUE"""),"N/A")</f>
        <v>N/A</v>
      </c>
      <c r="AA1428" s="97" t="str">
        <f>IFERROR(__xludf.DUMMYFUNCTION("""COMPUTED_VALUE"""),"N/A")</f>
        <v>N/A</v>
      </c>
      <c r="AB1428" s="97" t="str">
        <f>IFERROR(__xludf.DUMMYFUNCTION("""COMPUTED_VALUE"""),"N/A")</f>
        <v>N/A</v>
      </c>
      <c r="AC1428" s="97" t="str">
        <f>IFERROR(__xludf.DUMMYFUNCTION("""COMPUTED_VALUE"""),"N/A")</f>
        <v>N/A</v>
      </c>
      <c r="AD1428" s="97" t="str">
        <f>IFERROR(__xludf.DUMMYFUNCTION("""COMPUTED_VALUE"""),"N/A")</f>
        <v>N/A</v>
      </c>
      <c r="AE1428" s="97" t="str">
        <f>IFERROR(__xludf.DUMMYFUNCTION("""COMPUTED_VALUE"""),"N/A")</f>
        <v>N/A</v>
      </c>
      <c r="AF1428" s="97" t="str">
        <f>IFERROR(__xludf.DUMMYFUNCTION("""COMPUTED_VALUE"""),"N/A")</f>
        <v>N/A</v>
      </c>
      <c r="AG1428" s="97" t="str">
        <f>IFERROR(__xludf.DUMMYFUNCTION("""COMPUTED_VALUE"""),"Ø35")</f>
        <v>Ø35</v>
      </c>
      <c r="AH1428" s="97" t="str">
        <f>IFERROR(__xludf.DUMMYFUNCTION("""COMPUTED_VALUE"""),"N/A")</f>
        <v>N/A</v>
      </c>
      <c r="AI1428" s="97" t="str">
        <f>IFERROR(__xludf.DUMMYFUNCTION("""COMPUTED_VALUE"""),"N/A")</f>
        <v>N/A</v>
      </c>
      <c r="AJ1428" s="97" t="str">
        <f>IFERROR(__xludf.DUMMYFUNCTION("""COMPUTED_VALUE"""),"N/A")</f>
        <v>N/A</v>
      </c>
      <c r="AK1428" s="97" t="str">
        <f>IFERROR(__xludf.DUMMYFUNCTION("""COMPUTED_VALUE"""),"Policarbonato (PC)")</f>
        <v>Policarbonato (PC)</v>
      </c>
      <c r="AL1428" s="97" t="str">
        <f>IFERROR(__xludf.DUMMYFUNCTION("""COMPUTED_VALUE"""),"N/A")</f>
        <v>N/A</v>
      </c>
      <c r="AM1428" s="97" t="str">
        <f>IFERROR(__xludf.DUMMYFUNCTION("""COMPUTED_VALUE"""),"-")</f>
        <v>-</v>
      </c>
      <c r="AN1428" s="97" t="str">
        <f>IFERROR(__xludf.DUMMYFUNCTION("""COMPUTED_VALUE"""),"N/A")</f>
        <v>N/A</v>
      </c>
      <c r="AO1428" s="97" t="str">
        <f>IFERROR(__xludf.DUMMYFUNCTION("""COMPUTED_VALUE"""),"2 Años")</f>
        <v>2 Años</v>
      </c>
      <c r="AP1428" s="97" t="str">
        <f>IFERROR(__xludf.DUMMYFUNCTION("""COMPUTED_VALUE"""),"Disponible")</f>
        <v>Disponible</v>
      </c>
      <c r="AQ1428" s="97" t="str">
        <f>IFERROR(__xludf.DUMMYFUNCTION("""COMPUTED_VALUE"""),"Disponible")</f>
        <v>Disponible</v>
      </c>
      <c r="AR1428" s="97" t="str">
        <f>IFERROR(__xludf.DUMMYFUNCTION("""COMPUTED_VALUE"""),"Disponible")</f>
        <v>Disponible</v>
      </c>
      <c r="AS1428" s="97" t="str">
        <f>IFERROR(__xludf.DUMMYFUNCTION("""COMPUTED_VALUE"""),"No Aplica")</f>
        <v>No Aplica</v>
      </c>
      <c r="AT1428" s="97" t="str">
        <f>IFERROR(__xludf.DUMMYFUNCTION("""COMPUTED_VALUE"""),"No Aplica")</f>
        <v>No Aplica</v>
      </c>
      <c r="AU1428" s="97" t="str">
        <f>IFERROR(__xludf.DUMMYFUNCTION("""COMPUTED_VALUE"""),"Falta")</f>
        <v>Falta</v>
      </c>
      <c r="AV1428" s="97" t="str">
        <f>IFERROR(__xludf.DUMMYFUNCTION("""COMPUTED_VALUE"""),"Accesorio")</f>
        <v>Accesorio</v>
      </c>
      <c r="AW1428" s="97" t="str">
        <f>IFERROR(__xludf.DUMMYFUNCTION("""COMPUTED_VALUE"""),"De Techo")</f>
        <v>De Techo</v>
      </c>
      <c r="AX1428" s="97" t="str">
        <f>IFERROR(__xludf.DUMMYFUNCTION("""COMPUTED_VALUE"""),"Interior")</f>
        <v>Interior</v>
      </c>
      <c r="AY1428" s="97" t="str">
        <f>IFERROR(__xludf.DUMMYFUNCTION("""COMPUTED_VALUE"""),"-")</f>
        <v>-</v>
      </c>
      <c r="AZ1428" s="97" t="str">
        <f>IFERROR(__xludf.DUMMYFUNCTION("""COMPUTED_VALUE"""),"Cajas de a 10 unidades.")</f>
        <v>Cajas de a 10 unidades.</v>
      </c>
      <c r="BA1428" s="97"/>
      <c r="BB1428" s="97"/>
      <c r="BC1428" s="97"/>
      <c r="BD1428" s="97" t="str">
        <f>IFERROR(__xludf.DUMMYFUNCTION("""COMPUTED_VALUE"""),"NUMA")</f>
        <v>NUMA</v>
      </c>
      <c r="BE1428" s="97" t="str">
        <f>IFERROR(__xludf.DUMMYFUNCTION("""COMPUTED_VALUE"""),"Solicitada")</f>
        <v>Solicitada</v>
      </c>
      <c r="BF1428" s="97"/>
      <c r="BG1428" s="97" t="str">
        <f>IFERROR(__xludf.DUMMYFUNCTION("""COMPUTED_VALUE"""),"REPO 7")</f>
        <v>REPO 7</v>
      </c>
    </row>
    <row r="1429">
      <c r="A1429" s="97">
        <f>IFERROR(__xludf.DUMMYFUNCTION("""COMPUTED_VALUE"""),7530.0)</f>
        <v>7530</v>
      </c>
      <c r="B1429" s="97" t="str">
        <f>IFERROR(__xludf.DUMMYFUNCTION("""COMPUTED_VALUE"""),"NUMA MODULO 15W 3000K")</f>
        <v>NUMA MODULO 15W 3000K</v>
      </c>
      <c r="C1429" s="97" t="str">
        <f>IFERROR(__xludf.DUMMYFUNCTION("""COMPUTED_VALUE"""),"ACCESORIO NUMA MODULO 15W 3000K LEUK")</f>
        <v>ACCESORIO NUMA MODULO 15W 3000K LEUK</v>
      </c>
      <c r="D1429" s="97">
        <f>IFERROR(__xludf.DUMMYFUNCTION("""COMPUTED_VALUE"""),7.798413228786E12)</f>
        <v>7798413228786</v>
      </c>
      <c r="E1429" s="97" t="str">
        <f>IFERROR(__xludf.DUMMYFUNCTION("""COMPUTED_VALUE"""),"C17")</f>
        <v>C17</v>
      </c>
      <c r="F1429" s="97" t="str">
        <f>IFERROR(__xludf.DUMMYFUNCTION("""COMPUTED_VALUE"""),"LED integrado")</f>
        <v>LED integrado</v>
      </c>
      <c r="G1429" s="97" t="str">
        <f>IFERROR(__xludf.DUMMYFUNCTION("""COMPUTED_VALUE"""),"OSRAM")</f>
        <v>OSRAM</v>
      </c>
      <c r="H1429" s="97" t="str">
        <f>IFERROR(__xludf.DUMMYFUNCTION("""COMPUTED_VALUE"""),"Lifud")</f>
        <v>Lifud</v>
      </c>
      <c r="I1429" s="97"/>
      <c r="J1429" s="97"/>
      <c r="K1429" s="97" t="str">
        <f>IFERROR(__xludf.DUMMYFUNCTION("""COMPUTED_VALUE"""),"TRIAC")</f>
        <v>TRIAC</v>
      </c>
      <c r="L1429" s="97" t="str">
        <f>IFERROR(__xludf.DUMMYFUNCTION("""COMPUTED_VALUE"""),"220-240")</f>
        <v>220-240</v>
      </c>
      <c r="M1429" s="97" t="str">
        <f>IFERROR(__xludf.DUMMYFUNCTION("""COMPUTED_VALUE"""),"50/60")</f>
        <v>50/60</v>
      </c>
      <c r="N1429" s="97" t="str">
        <f>IFERROR(__xludf.DUMMYFUNCTION("""COMPUTED_VALUE"""),"Directa")</f>
        <v>Directa</v>
      </c>
      <c r="O1429" s="97">
        <f>IFERROR(__xludf.DUMMYFUNCTION("""COMPUTED_VALUE"""),15.0)</f>
        <v>15</v>
      </c>
      <c r="P1429" s="97">
        <f>IFERROR(__xludf.DUMMYFUNCTION("""COMPUTED_VALUE"""),15.77)</f>
        <v>15.77</v>
      </c>
      <c r="Q1429" s="97">
        <f>IFERROR(__xludf.DUMMYFUNCTION("""COMPUTED_VALUE"""),0.9)</f>
        <v>0.9</v>
      </c>
      <c r="R1429" s="97" t="str">
        <f>IFERROR(__xludf.DUMMYFUNCTION("""COMPUTED_VALUE"""),"-")</f>
        <v>-</v>
      </c>
      <c r="S1429" s="97" t="str">
        <f>IFERROR(__xludf.DUMMYFUNCTION("""COMPUTED_VALUE"""),"-")</f>
        <v>-</v>
      </c>
      <c r="T1429" s="97">
        <f>IFERROR(__xludf.DUMMYFUNCTION("""COMPUTED_VALUE"""),1130.0)</f>
        <v>1130</v>
      </c>
      <c r="U1429" s="99">
        <f>IFERROR(__xludf.DUMMYFUNCTION("""COMPUTED_VALUE"""),75.33333333333333)</f>
        <v>75.33333333</v>
      </c>
      <c r="V1429" s="97">
        <f>IFERROR(__xludf.DUMMYFUNCTION("""COMPUTED_VALUE"""),36.0)</f>
        <v>36</v>
      </c>
      <c r="W1429" s="97" t="str">
        <f>IFERROR(__xludf.DUMMYFUNCTION("""COMPUTED_VALUE"""),"&lt; 18")</f>
        <v>&lt; 18</v>
      </c>
      <c r="X1429" s="97">
        <f>IFERROR(__xludf.DUMMYFUNCTION("""COMPUTED_VALUE"""),3000.0)</f>
        <v>3000</v>
      </c>
      <c r="Y1429" s="97" t="str">
        <f>IFERROR(__xludf.DUMMYFUNCTION("""COMPUTED_VALUE"""),"&gt;90")</f>
        <v>&gt;90</v>
      </c>
      <c r="Z1429" s="97" t="str">
        <f>IFERROR(__xludf.DUMMYFUNCTION("""COMPUTED_VALUE"""),"-")</f>
        <v>-</v>
      </c>
      <c r="AA1429" s="97" t="str">
        <f>IFERROR(__xludf.DUMMYFUNCTION("""COMPUTED_VALUE"""),"-")</f>
        <v>-</v>
      </c>
      <c r="AB1429" s="97" t="str">
        <f>IFERROR(__xludf.DUMMYFUNCTION("""COMPUTED_VALUE"""),"&lt; 2")</f>
        <v>&lt; 2</v>
      </c>
      <c r="AC1429" s="97">
        <f>IFERROR(__xludf.DUMMYFUNCTION("""COMPUTED_VALUE"""),8.9E-4)</f>
        <v>0.00089</v>
      </c>
      <c r="AD1429" s="97" t="str">
        <f>IFERROR(__xludf.DUMMYFUNCTION("""COMPUTED_VALUE"""),"IP65")</f>
        <v>IP65</v>
      </c>
      <c r="AE1429" s="97"/>
      <c r="AF1429" s="97" t="str">
        <f>IFERROR(__xludf.DUMMYFUNCTION("""COMPUTED_VALUE"""),"N/A")</f>
        <v>N/A</v>
      </c>
      <c r="AG1429" s="97" t="str">
        <f>IFERROR(__xludf.DUMMYFUNCTION("""COMPUTED_VALUE"""),"Ø62.5 x 51")</f>
        <v>Ø62.5 x 51</v>
      </c>
      <c r="AH1429" s="97" t="str">
        <f>IFERROR(__xludf.DUMMYFUNCTION("""COMPUTED_VALUE"""),"N/A")</f>
        <v>N/A</v>
      </c>
      <c r="AI1429" s="97" t="str">
        <f>IFERROR(__xludf.DUMMYFUNCTION("""COMPUTED_VALUE"""),"N/A")</f>
        <v>N/A</v>
      </c>
      <c r="AJ1429" s="97" t="str">
        <f>IFERROR(__xludf.DUMMYFUNCTION("""COMPUTED_VALUE"""),"PMMA")</f>
        <v>PMMA</v>
      </c>
      <c r="AK1429" s="97" t="str">
        <f>IFERROR(__xludf.DUMMYFUNCTION("""COMPUTED_VALUE"""),"Aluminio")</f>
        <v>Aluminio</v>
      </c>
      <c r="AL1429" s="97" t="str">
        <f>IFERROR(__xludf.DUMMYFUNCTION("""COMPUTED_VALUE"""),"Negro")</f>
        <v>Negro</v>
      </c>
      <c r="AM1429" s="97" t="str">
        <f>IFERROR(__xludf.DUMMYFUNCTION("""COMPUTED_VALUE"""),"-")</f>
        <v>-</v>
      </c>
      <c r="AN1429" s="97" t="str">
        <f>IFERROR(__xludf.DUMMYFUNCTION("""COMPUTED_VALUE"""),"25.000hs (L70)")</f>
        <v>25.000hs (L70)</v>
      </c>
      <c r="AO1429" s="97" t="str">
        <f>IFERROR(__xludf.DUMMYFUNCTION("""COMPUTED_VALUE"""),"2 Años")</f>
        <v>2 Años</v>
      </c>
      <c r="AP1429" s="97" t="str">
        <f>IFERROR(__xludf.DUMMYFUNCTION("""COMPUTED_VALUE"""),"Disponible")</f>
        <v>Disponible</v>
      </c>
      <c r="AQ1429" s="97" t="str">
        <f>IFERROR(__xludf.DUMMYFUNCTION("""COMPUTED_VALUE"""),"Disponible")</f>
        <v>Disponible</v>
      </c>
      <c r="AR1429" s="97" t="str">
        <f>IFERROR(__xludf.DUMMYFUNCTION("""COMPUTED_VALUE"""),"Disponible")</f>
        <v>Disponible</v>
      </c>
      <c r="AS1429" s="97" t="str">
        <f>IFERROR(__xludf.DUMMYFUNCTION("""COMPUTED_VALUE"""),"Disponible")</f>
        <v>Disponible</v>
      </c>
      <c r="AT1429" s="97" t="str">
        <f>IFERROR(__xludf.DUMMYFUNCTION("""COMPUTED_VALUE"""),"Disponible")</f>
        <v>Disponible</v>
      </c>
      <c r="AU1429" s="97" t="str">
        <f>IFERROR(__xludf.DUMMYFUNCTION("""COMPUTED_VALUE"""),"Falta")</f>
        <v>Falta</v>
      </c>
      <c r="AV1429" s="97" t="str">
        <f>IFERROR(__xludf.DUMMYFUNCTION("""COMPUTED_VALUE"""),"Accesorio")</f>
        <v>Accesorio</v>
      </c>
      <c r="AW1429" s="97" t="str">
        <f>IFERROR(__xludf.DUMMYFUNCTION("""COMPUTED_VALUE"""),"De Techo")</f>
        <v>De Techo</v>
      </c>
      <c r="AX1429" s="97" t="str">
        <f>IFERROR(__xludf.DUMMYFUNCTION("""COMPUTED_VALUE"""),"Interior")</f>
        <v>Interior</v>
      </c>
      <c r="AY1429" s="97" t="str">
        <f>IFERROR(__xludf.DUMMYFUNCTION("""COMPUTED_VALUE"""),"-")</f>
        <v>-</v>
      </c>
      <c r="AZ1429" s="97"/>
      <c r="BA1429" s="97"/>
      <c r="BB1429" s="97"/>
      <c r="BC1429" s="97"/>
      <c r="BD1429" s="97" t="str">
        <f>IFERROR(__xludf.DUMMYFUNCTION("""COMPUTED_VALUE"""),"NUMA MODULO")</f>
        <v>NUMA MODULO</v>
      </c>
      <c r="BE1429" s="97" t="str">
        <f>IFERROR(__xludf.DUMMYFUNCTION("""COMPUTED_VALUE"""),"Solicitada")</f>
        <v>Solicitada</v>
      </c>
      <c r="BF1429" s="97"/>
      <c r="BG1429" s="97" t="str">
        <f>IFERROR(__xludf.DUMMYFUNCTION("""COMPUTED_VALUE"""),"REPO 7")</f>
        <v>REPO 7</v>
      </c>
    </row>
    <row r="1430">
      <c r="A1430" s="97">
        <f>IFERROR(__xludf.DUMMYFUNCTION("""COMPUTED_VALUE"""),7531.0)</f>
        <v>7531</v>
      </c>
      <c r="B1430" s="97" t="str">
        <f>IFERROR(__xludf.DUMMYFUNCTION("""COMPUTED_VALUE"""),"NUMA MODULO 15W 2700K")</f>
        <v>NUMA MODULO 15W 2700K</v>
      </c>
      <c r="C1430" s="97" t="str">
        <f>IFERROR(__xludf.DUMMYFUNCTION("""COMPUTED_VALUE"""),"ACCESORIO NUMA MODULO 15W 2700K LEUK")</f>
        <v>ACCESORIO NUMA MODULO 15W 2700K LEUK</v>
      </c>
      <c r="D1430" s="97">
        <f>IFERROR(__xludf.DUMMYFUNCTION("""COMPUTED_VALUE"""),7.798413228793E12)</f>
        <v>7798413228793</v>
      </c>
      <c r="E1430" s="97" t="str">
        <f>IFERROR(__xludf.DUMMYFUNCTION("""COMPUTED_VALUE"""),"C17")</f>
        <v>C17</v>
      </c>
      <c r="F1430" s="97" t="str">
        <f>IFERROR(__xludf.DUMMYFUNCTION("""COMPUTED_VALUE"""),"LED integrado")</f>
        <v>LED integrado</v>
      </c>
      <c r="G1430" s="97" t="str">
        <f>IFERROR(__xludf.DUMMYFUNCTION("""COMPUTED_VALUE"""),"OSRAM")</f>
        <v>OSRAM</v>
      </c>
      <c r="H1430" s="97" t="str">
        <f>IFERROR(__xludf.DUMMYFUNCTION("""COMPUTED_VALUE"""),"Lifud")</f>
        <v>Lifud</v>
      </c>
      <c r="I1430" s="97"/>
      <c r="J1430" s="97"/>
      <c r="K1430" s="97" t="str">
        <f>IFERROR(__xludf.DUMMYFUNCTION("""COMPUTED_VALUE"""),"TRIAC")</f>
        <v>TRIAC</v>
      </c>
      <c r="L1430" s="97" t="str">
        <f>IFERROR(__xludf.DUMMYFUNCTION("""COMPUTED_VALUE"""),"220-240")</f>
        <v>220-240</v>
      </c>
      <c r="M1430" s="97" t="str">
        <f>IFERROR(__xludf.DUMMYFUNCTION("""COMPUTED_VALUE"""),"50/60")</f>
        <v>50/60</v>
      </c>
      <c r="N1430" s="97" t="str">
        <f>IFERROR(__xludf.DUMMYFUNCTION("""COMPUTED_VALUE"""),"Directa")</f>
        <v>Directa</v>
      </c>
      <c r="O1430" s="97">
        <f>IFERROR(__xludf.DUMMYFUNCTION("""COMPUTED_VALUE"""),15.0)</f>
        <v>15</v>
      </c>
      <c r="P1430" s="97">
        <f>IFERROR(__xludf.DUMMYFUNCTION("""COMPUTED_VALUE"""),15.77)</f>
        <v>15.77</v>
      </c>
      <c r="Q1430" s="97">
        <f>IFERROR(__xludf.DUMMYFUNCTION("""COMPUTED_VALUE"""),0.9)</f>
        <v>0.9</v>
      </c>
      <c r="R1430" s="97" t="str">
        <f>IFERROR(__xludf.DUMMYFUNCTION("""COMPUTED_VALUE"""),"-")</f>
        <v>-</v>
      </c>
      <c r="S1430" s="97" t="str">
        <f>IFERROR(__xludf.DUMMYFUNCTION("""COMPUTED_VALUE"""),"-")</f>
        <v>-</v>
      </c>
      <c r="T1430" s="97">
        <f>IFERROR(__xludf.DUMMYFUNCTION("""COMPUTED_VALUE"""),1130.0)</f>
        <v>1130</v>
      </c>
      <c r="U1430" s="99">
        <f>IFERROR(__xludf.DUMMYFUNCTION("""COMPUTED_VALUE"""),75.33333333333333)</f>
        <v>75.33333333</v>
      </c>
      <c r="V1430" s="97">
        <f>IFERROR(__xludf.DUMMYFUNCTION("""COMPUTED_VALUE"""),36.0)</f>
        <v>36</v>
      </c>
      <c r="W1430" s="97" t="str">
        <f>IFERROR(__xludf.DUMMYFUNCTION("""COMPUTED_VALUE"""),"&lt; 18")</f>
        <v>&lt; 18</v>
      </c>
      <c r="X1430" s="97">
        <f>IFERROR(__xludf.DUMMYFUNCTION("""COMPUTED_VALUE"""),2700.0)</f>
        <v>2700</v>
      </c>
      <c r="Y1430" s="97" t="str">
        <f>IFERROR(__xludf.DUMMYFUNCTION("""COMPUTED_VALUE"""),"&gt;90")</f>
        <v>&gt;90</v>
      </c>
      <c r="Z1430" s="97" t="str">
        <f>IFERROR(__xludf.DUMMYFUNCTION("""COMPUTED_VALUE"""),"-")</f>
        <v>-</v>
      </c>
      <c r="AA1430" s="97" t="str">
        <f>IFERROR(__xludf.DUMMYFUNCTION("""COMPUTED_VALUE"""),"-")</f>
        <v>-</v>
      </c>
      <c r="AB1430" s="97" t="str">
        <f>IFERROR(__xludf.DUMMYFUNCTION("""COMPUTED_VALUE"""),"&lt; 2")</f>
        <v>&lt; 2</v>
      </c>
      <c r="AC1430" s="97">
        <f>IFERROR(__xludf.DUMMYFUNCTION("""COMPUTED_VALUE"""),-8.0E-5)</f>
        <v>-0.00008</v>
      </c>
      <c r="AD1430" s="97" t="str">
        <f>IFERROR(__xludf.DUMMYFUNCTION("""COMPUTED_VALUE"""),"IP65")</f>
        <v>IP65</v>
      </c>
      <c r="AE1430" s="97"/>
      <c r="AF1430" s="97" t="str">
        <f>IFERROR(__xludf.DUMMYFUNCTION("""COMPUTED_VALUE"""),"N/A")</f>
        <v>N/A</v>
      </c>
      <c r="AG1430" s="97" t="str">
        <f>IFERROR(__xludf.DUMMYFUNCTION("""COMPUTED_VALUE"""),"Ø62.5 x 51")</f>
        <v>Ø62.5 x 51</v>
      </c>
      <c r="AH1430" s="97" t="str">
        <f>IFERROR(__xludf.DUMMYFUNCTION("""COMPUTED_VALUE"""),"N/A")</f>
        <v>N/A</v>
      </c>
      <c r="AI1430" s="97" t="str">
        <f>IFERROR(__xludf.DUMMYFUNCTION("""COMPUTED_VALUE"""),"N/A")</f>
        <v>N/A</v>
      </c>
      <c r="AJ1430" s="97" t="str">
        <f>IFERROR(__xludf.DUMMYFUNCTION("""COMPUTED_VALUE"""),"PMMA")</f>
        <v>PMMA</v>
      </c>
      <c r="AK1430" s="97" t="str">
        <f>IFERROR(__xludf.DUMMYFUNCTION("""COMPUTED_VALUE"""),"Aluminio")</f>
        <v>Aluminio</v>
      </c>
      <c r="AL1430" s="97" t="str">
        <f>IFERROR(__xludf.DUMMYFUNCTION("""COMPUTED_VALUE"""),"Negro")</f>
        <v>Negro</v>
      </c>
      <c r="AM1430" s="97" t="str">
        <f>IFERROR(__xludf.DUMMYFUNCTION("""COMPUTED_VALUE"""),"-")</f>
        <v>-</v>
      </c>
      <c r="AN1430" s="97" t="str">
        <f>IFERROR(__xludf.DUMMYFUNCTION("""COMPUTED_VALUE"""),"25.000hs (L70)")</f>
        <v>25.000hs (L70)</v>
      </c>
      <c r="AO1430" s="97" t="str">
        <f>IFERROR(__xludf.DUMMYFUNCTION("""COMPUTED_VALUE"""),"2 Años")</f>
        <v>2 Años</v>
      </c>
      <c r="AP1430" s="97" t="str">
        <f>IFERROR(__xludf.DUMMYFUNCTION("""COMPUTED_VALUE"""),"Disponible")</f>
        <v>Disponible</v>
      </c>
      <c r="AQ1430" s="97" t="str">
        <f>IFERROR(__xludf.DUMMYFUNCTION("""COMPUTED_VALUE"""),"Disponible")</f>
        <v>Disponible</v>
      </c>
      <c r="AR1430" s="97" t="str">
        <f>IFERROR(__xludf.DUMMYFUNCTION("""COMPUTED_VALUE"""),"Disponible")</f>
        <v>Disponible</v>
      </c>
      <c r="AS1430" s="97" t="str">
        <f>IFERROR(__xludf.DUMMYFUNCTION("""COMPUTED_VALUE"""),"Disponible")</f>
        <v>Disponible</v>
      </c>
      <c r="AT1430" s="97" t="str">
        <f>IFERROR(__xludf.DUMMYFUNCTION("""COMPUTED_VALUE"""),"Disponible")</f>
        <v>Disponible</v>
      </c>
      <c r="AU1430" s="97" t="str">
        <f>IFERROR(__xludf.DUMMYFUNCTION("""COMPUTED_VALUE"""),"Falta")</f>
        <v>Falta</v>
      </c>
      <c r="AV1430" s="97" t="str">
        <f>IFERROR(__xludf.DUMMYFUNCTION("""COMPUTED_VALUE"""),"Accesorio")</f>
        <v>Accesorio</v>
      </c>
      <c r="AW1430" s="97" t="str">
        <f>IFERROR(__xludf.DUMMYFUNCTION("""COMPUTED_VALUE"""),"De Techo")</f>
        <v>De Techo</v>
      </c>
      <c r="AX1430" s="97" t="str">
        <f>IFERROR(__xludf.DUMMYFUNCTION("""COMPUTED_VALUE"""),"Interior")</f>
        <v>Interior</v>
      </c>
      <c r="AY1430" s="97" t="str">
        <f>IFERROR(__xludf.DUMMYFUNCTION("""COMPUTED_VALUE"""),"-")</f>
        <v>-</v>
      </c>
      <c r="AZ1430" s="97"/>
      <c r="BA1430" s="97"/>
      <c r="BB1430" s="97"/>
      <c r="BC1430" s="97"/>
      <c r="BD1430" s="97" t="str">
        <f>IFERROR(__xludf.DUMMYFUNCTION("""COMPUTED_VALUE"""),"NUMA MODULO")</f>
        <v>NUMA MODULO</v>
      </c>
      <c r="BE1430" s="97" t="str">
        <f>IFERROR(__xludf.DUMMYFUNCTION("""COMPUTED_VALUE"""),"Solicitada")</f>
        <v>Solicitada</v>
      </c>
      <c r="BF1430" s="97"/>
      <c r="BG1430" s="97" t="str">
        <f>IFERROR(__xludf.DUMMYFUNCTION("""COMPUTED_VALUE"""),"REPO 7")</f>
        <v>REPO 7</v>
      </c>
    </row>
    <row r="1431">
      <c r="A1431" s="97">
        <f>IFERROR(__xludf.DUMMYFUNCTION("""COMPUTED_VALUE"""),7532.0)</f>
        <v>7532</v>
      </c>
      <c r="B1431" s="97" t="str">
        <f>IFERROR(__xludf.DUMMYFUNCTION("""COMPUTED_VALUE"""),"NUMA LENTE 15W 15°")</f>
        <v>NUMA LENTE 15W 15°</v>
      </c>
      <c r="C1431" s="97" t="str">
        <f>IFERROR(__xludf.DUMMYFUNCTION("""COMPUTED_VALUE"""),"ACCESORIO NUMA LENTE 15W 15° LEUK")</f>
        <v>ACCESORIO NUMA LENTE 15W 15° LEUK</v>
      </c>
      <c r="D1431" s="97">
        <f>IFERROR(__xludf.DUMMYFUNCTION("""COMPUTED_VALUE"""),7.798413228946E12)</f>
        <v>7798413228946</v>
      </c>
      <c r="E1431" s="97" t="str">
        <f>IFERROR(__xludf.DUMMYFUNCTION("""COMPUTED_VALUE"""),"-")</f>
        <v>-</v>
      </c>
      <c r="F1431" s="97" t="str">
        <f>IFERROR(__xludf.DUMMYFUNCTION("""COMPUTED_VALUE"""),"N/A")</f>
        <v>N/A</v>
      </c>
      <c r="G1431" s="97" t="str">
        <f>IFERROR(__xludf.DUMMYFUNCTION("""COMPUTED_VALUE"""),"N/A")</f>
        <v>N/A</v>
      </c>
      <c r="H1431" s="97" t="str">
        <f>IFERROR(__xludf.DUMMYFUNCTION("""COMPUTED_VALUE"""),"N/A")</f>
        <v>N/A</v>
      </c>
      <c r="I1431" s="97" t="str">
        <f>IFERROR(__xludf.DUMMYFUNCTION("""COMPUTED_VALUE"""),"N/A")</f>
        <v>N/A</v>
      </c>
      <c r="J1431" s="97" t="str">
        <f>IFERROR(__xludf.DUMMYFUNCTION("""COMPUTED_VALUE"""),"N/A")</f>
        <v>N/A</v>
      </c>
      <c r="K1431" s="97" t="str">
        <f>IFERROR(__xludf.DUMMYFUNCTION("""COMPUTED_VALUE"""),"N/A")</f>
        <v>N/A</v>
      </c>
      <c r="L1431" s="97" t="str">
        <f>IFERROR(__xludf.DUMMYFUNCTION("""COMPUTED_VALUE"""),"N/A")</f>
        <v>N/A</v>
      </c>
      <c r="M1431" s="97" t="str">
        <f>IFERROR(__xludf.DUMMYFUNCTION("""COMPUTED_VALUE"""),"N/A")</f>
        <v>N/A</v>
      </c>
      <c r="N1431" s="97" t="str">
        <f>IFERROR(__xludf.DUMMYFUNCTION("""COMPUTED_VALUE"""),"N/A")</f>
        <v>N/A</v>
      </c>
      <c r="O1431" s="97" t="str">
        <f>IFERROR(__xludf.DUMMYFUNCTION("""COMPUTED_VALUE"""),"-")</f>
        <v>-</v>
      </c>
      <c r="P1431" s="97" t="str">
        <f>IFERROR(__xludf.DUMMYFUNCTION("""COMPUTED_VALUE"""),"-")</f>
        <v>-</v>
      </c>
      <c r="Q1431" s="97" t="str">
        <f>IFERROR(__xludf.DUMMYFUNCTION("""COMPUTED_VALUE"""),"-")</f>
        <v>-</v>
      </c>
      <c r="R1431" s="97" t="str">
        <f>IFERROR(__xludf.DUMMYFUNCTION("""COMPUTED_VALUE"""),"-")</f>
        <v>-</v>
      </c>
      <c r="S1431" s="97" t="str">
        <f>IFERROR(__xludf.DUMMYFUNCTION("""COMPUTED_VALUE"""),"-")</f>
        <v>-</v>
      </c>
      <c r="T1431" s="97" t="str">
        <f>IFERROR(__xludf.DUMMYFUNCTION("""COMPUTED_VALUE"""),"-")</f>
        <v>-</v>
      </c>
      <c r="U1431" s="97" t="str">
        <f>IFERROR(__xludf.DUMMYFUNCTION("""COMPUTED_VALUE"""),"-")</f>
        <v>-</v>
      </c>
      <c r="V1431" s="97">
        <f>IFERROR(__xludf.DUMMYFUNCTION("""COMPUTED_VALUE"""),15.0)</f>
        <v>15</v>
      </c>
      <c r="W1431" s="97" t="str">
        <f>IFERROR(__xludf.DUMMYFUNCTION("""COMPUTED_VALUE"""),"N/A")</f>
        <v>N/A</v>
      </c>
      <c r="X1431" s="97" t="str">
        <f>IFERROR(__xludf.DUMMYFUNCTION("""COMPUTED_VALUE"""),"-")</f>
        <v>-</v>
      </c>
      <c r="Y1431" s="97" t="str">
        <f>IFERROR(__xludf.DUMMYFUNCTION("""COMPUTED_VALUE"""),"N/A")</f>
        <v>N/A</v>
      </c>
      <c r="Z1431" s="97" t="str">
        <f>IFERROR(__xludf.DUMMYFUNCTION("""COMPUTED_VALUE"""),"N/A")</f>
        <v>N/A</v>
      </c>
      <c r="AA1431" s="97" t="str">
        <f>IFERROR(__xludf.DUMMYFUNCTION("""COMPUTED_VALUE"""),"N/A")</f>
        <v>N/A</v>
      </c>
      <c r="AB1431" s="97" t="str">
        <f>IFERROR(__xludf.DUMMYFUNCTION("""COMPUTED_VALUE"""),"N/A")</f>
        <v>N/A</v>
      </c>
      <c r="AC1431" s="97" t="str">
        <f>IFERROR(__xludf.DUMMYFUNCTION("""COMPUTED_VALUE"""),"N/A")</f>
        <v>N/A</v>
      </c>
      <c r="AD1431" s="97" t="str">
        <f>IFERROR(__xludf.DUMMYFUNCTION("""COMPUTED_VALUE"""),"N/A")</f>
        <v>N/A</v>
      </c>
      <c r="AE1431" s="97" t="str">
        <f>IFERROR(__xludf.DUMMYFUNCTION("""COMPUTED_VALUE"""),"N/A")</f>
        <v>N/A</v>
      </c>
      <c r="AF1431" s="97" t="str">
        <f>IFERROR(__xludf.DUMMYFUNCTION("""COMPUTED_VALUE"""),"N/A")</f>
        <v>N/A</v>
      </c>
      <c r="AG1431" s="97" t="str">
        <f>IFERROR(__xludf.DUMMYFUNCTION("""COMPUTED_VALUE"""),"Ø35")</f>
        <v>Ø35</v>
      </c>
      <c r="AH1431" s="97" t="str">
        <f>IFERROR(__xludf.DUMMYFUNCTION("""COMPUTED_VALUE"""),"N/A")</f>
        <v>N/A</v>
      </c>
      <c r="AI1431" s="97" t="str">
        <f>IFERROR(__xludf.DUMMYFUNCTION("""COMPUTED_VALUE"""),"N/A")</f>
        <v>N/A</v>
      </c>
      <c r="AJ1431" s="97" t="str">
        <f>IFERROR(__xludf.DUMMYFUNCTION("""COMPUTED_VALUE"""),"N/A")</f>
        <v>N/A</v>
      </c>
      <c r="AK1431" s="97" t="str">
        <f>IFERROR(__xludf.DUMMYFUNCTION("""COMPUTED_VALUE"""),"Policarbonato (PC)")</f>
        <v>Policarbonato (PC)</v>
      </c>
      <c r="AL1431" s="97" t="str">
        <f>IFERROR(__xludf.DUMMYFUNCTION("""COMPUTED_VALUE"""),"N/A")</f>
        <v>N/A</v>
      </c>
      <c r="AM1431" s="97" t="str">
        <f>IFERROR(__xludf.DUMMYFUNCTION("""COMPUTED_VALUE"""),"-")</f>
        <v>-</v>
      </c>
      <c r="AN1431" s="97" t="str">
        <f>IFERROR(__xludf.DUMMYFUNCTION("""COMPUTED_VALUE"""),"N/A")</f>
        <v>N/A</v>
      </c>
      <c r="AO1431" s="97" t="str">
        <f>IFERROR(__xludf.DUMMYFUNCTION("""COMPUTED_VALUE"""),"2 Años")</f>
        <v>2 Años</v>
      </c>
      <c r="AP1431" s="97" t="str">
        <f>IFERROR(__xludf.DUMMYFUNCTION("""COMPUTED_VALUE"""),"Disponible")</f>
        <v>Disponible</v>
      </c>
      <c r="AQ1431" s="97" t="str">
        <f>IFERROR(__xludf.DUMMYFUNCTION("""COMPUTED_VALUE"""),"Disponible")</f>
        <v>Disponible</v>
      </c>
      <c r="AR1431" s="97" t="str">
        <f>IFERROR(__xludf.DUMMYFUNCTION("""COMPUTED_VALUE"""),"Disponible")</f>
        <v>Disponible</v>
      </c>
      <c r="AS1431" s="97" t="str">
        <f>IFERROR(__xludf.DUMMYFUNCTION("""COMPUTED_VALUE"""),"No Aplica")</f>
        <v>No Aplica</v>
      </c>
      <c r="AT1431" s="97" t="str">
        <f>IFERROR(__xludf.DUMMYFUNCTION("""COMPUTED_VALUE"""),"No Aplica")</f>
        <v>No Aplica</v>
      </c>
      <c r="AU1431" s="97" t="str">
        <f>IFERROR(__xludf.DUMMYFUNCTION("""COMPUTED_VALUE"""),"Falta")</f>
        <v>Falta</v>
      </c>
      <c r="AV1431" s="97" t="str">
        <f>IFERROR(__xludf.DUMMYFUNCTION("""COMPUTED_VALUE"""),"Accesorio")</f>
        <v>Accesorio</v>
      </c>
      <c r="AW1431" s="97" t="str">
        <f>IFERROR(__xludf.DUMMYFUNCTION("""COMPUTED_VALUE"""),"De Techo")</f>
        <v>De Techo</v>
      </c>
      <c r="AX1431" s="97" t="str">
        <f>IFERROR(__xludf.DUMMYFUNCTION("""COMPUTED_VALUE"""),"Interior")</f>
        <v>Interior</v>
      </c>
      <c r="AY1431" s="97" t="str">
        <f>IFERROR(__xludf.DUMMYFUNCTION("""COMPUTED_VALUE"""),"-")</f>
        <v>-</v>
      </c>
      <c r="AZ1431" s="97" t="str">
        <f>IFERROR(__xludf.DUMMYFUNCTION("""COMPUTED_VALUE"""),"Cajas de a 10 unidades.")</f>
        <v>Cajas de a 10 unidades.</v>
      </c>
      <c r="BA1431" s="97"/>
      <c r="BB1431" s="97"/>
      <c r="BC1431" s="97"/>
      <c r="BD1431" s="97" t="str">
        <f>IFERROR(__xludf.DUMMYFUNCTION("""COMPUTED_VALUE"""),"NUMA")</f>
        <v>NUMA</v>
      </c>
      <c r="BE1431" s="97" t="str">
        <f>IFERROR(__xludf.DUMMYFUNCTION("""COMPUTED_VALUE"""),"Solicitada")</f>
        <v>Solicitada</v>
      </c>
      <c r="BF1431" s="97"/>
      <c r="BG1431" s="97" t="str">
        <f>IFERROR(__xludf.DUMMYFUNCTION("""COMPUTED_VALUE"""),"REPO 7")</f>
        <v>REPO 7</v>
      </c>
    </row>
    <row r="1432">
      <c r="A1432" s="97">
        <f>IFERROR(__xludf.DUMMYFUNCTION("""COMPUTED_VALUE"""),7533.0)</f>
        <v>7533</v>
      </c>
      <c r="B1432" s="97" t="str">
        <f>IFERROR(__xludf.DUMMYFUNCTION("""COMPUTED_VALUE"""),"NUMA LENTE 15W 24°")</f>
        <v>NUMA LENTE 15W 24°</v>
      </c>
      <c r="C1432" s="97" t="str">
        <f>IFERROR(__xludf.DUMMYFUNCTION("""COMPUTED_VALUE"""),"ACCESORIO NUMA LENTE 15W 24° LEUK")</f>
        <v>ACCESORIO NUMA LENTE 15W 24° LEUK</v>
      </c>
      <c r="D1432" s="97">
        <f>IFERROR(__xludf.DUMMYFUNCTION("""COMPUTED_VALUE"""),7.798413228953E12)</f>
        <v>7798413228953</v>
      </c>
      <c r="E1432" s="97" t="str">
        <f>IFERROR(__xludf.DUMMYFUNCTION("""COMPUTED_VALUE"""),"-")</f>
        <v>-</v>
      </c>
      <c r="F1432" s="97" t="str">
        <f>IFERROR(__xludf.DUMMYFUNCTION("""COMPUTED_VALUE"""),"N/A")</f>
        <v>N/A</v>
      </c>
      <c r="G1432" s="97" t="str">
        <f>IFERROR(__xludf.DUMMYFUNCTION("""COMPUTED_VALUE"""),"N/A")</f>
        <v>N/A</v>
      </c>
      <c r="H1432" s="97" t="str">
        <f>IFERROR(__xludf.DUMMYFUNCTION("""COMPUTED_VALUE"""),"N/A")</f>
        <v>N/A</v>
      </c>
      <c r="I1432" s="97" t="str">
        <f>IFERROR(__xludf.DUMMYFUNCTION("""COMPUTED_VALUE"""),"N/A")</f>
        <v>N/A</v>
      </c>
      <c r="J1432" s="97" t="str">
        <f>IFERROR(__xludf.DUMMYFUNCTION("""COMPUTED_VALUE"""),"N/A")</f>
        <v>N/A</v>
      </c>
      <c r="K1432" s="97" t="str">
        <f>IFERROR(__xludf.DUMMYFUNCTION("""COMPUTED_VALUE"""),"N/A")</f>
        <v>N/A</v>
      </c>
      <c r="L1432" s="97" t="str">
        <f>IFERROR(__xludf.DUMMYFUNCTION("""COMPUTED_VALUE"""),"N/A")</f>
        <v>N/A</v>
      </c>
      <c r="M1432" s="97" t="str">
        <f>IFERROR(__xludf.DUMMYFUNCTION("""COMPUTED_VALUE"""),"N/A")</f>
        <v>N/A</v>
      </c>
      <c r="N1432" s="97" t="str">
        <f>IFERROR(__xludf.DUMMYFUNCTION("""COMPUTED_VALUE"""),"N/A")</f>
        <v>N/A</v>
      </c>
      <c r="O1432" s="97" t="str">
        <f>IFERROR(__xludf.DUMMYFUNCTION("""COMPUTED_VALUE"""),"-")</f>
        <v>-</v>
      </c>
      <c r="P1432" s="97" t="str">
        <f>IFERROR(__xludf.DUMMYFUNCTION("""COMPUTED_VALUE"""),"-")</f>
        <v>-</v>
      </c>
      <c r="Q1432" s="97" t="str">
        <f>IFERROR(__xludf.DUMMYFUNCTION("""COMPUTED_VALUE"""),"-")</f>
        <v>-</v>
      </c>
      <c r="R1432" s="97" t="str">
        <f>IFERROR(__xludf.DUMMYFUNCTION("""COMPUTED_VALUE"""),"-")</f>
        <v>-</v>
      </c>
      <c r="S1432" s="97" t="str">
        <f>IFERROR(__xludf.DUMMYFUNCTION("""COMPUTED_VALUE"""),"-")</f>
        <v>-</v>
      </c>
      <c r="T1432" s="97" t="str">
        <f>IFERROR(__xludf.DUMMYFUNCTION("""COMPUTED_VALUE"""),"-")</f>
        <v>-</v>
      </c>
      <c r="U1432" s="97" t="str">
        <f>IFERROR(__xludf.DUMMYFUNCTION("""COMPUTED_VALUE"""),"-")</f>
        <v>-</v>
      </c>
      <c r="V1432" s="97">
        <f>IFERROR(__xludf.DUMMYFUNCTION("""COMPUTED_VALUE"""),24.0)</f>
        <v>24</v>
      </c>
      <c r="W1432" s="97" t="str">
        <f>IFERROR(__xludf.DUMMYFUNCTION("""COMPUTED_VALUE"""),"N/A")</f>
        <v>N/A</v>
      </c>
      <c r="X1432" s="97" t="str">
        <f>IFERROR(__xludf.DUMMYFUNCTION("""COMPUTED_VALUE"""),"-")</f>
        <v>-</v>
      </c>
      <c r="Y1432" s="97" t="str">
        <f>IFERROR(__xludf.DUMMYFUNCTION("""COMPUTED_VALUE"""),"N/A")</f>
        <v>N/A</v>
      </c>
      <c r="Z1432" s="97" t="str">
        <f>IFERROR(__xludf.DUMMYFUNCTION("""COMPUTED_VALUE"""),"N/A")</f>
        <v>N/A</v>
      </c>
      <c r="AA1432" s="97" t="str">
        <f>IFERROR(__xludf.DUMMYFUNCTION("""COMPUTED_VALUE"""),"N/A")</f>
        <v>N/A</v>
      </c>
      <c r="AB1432" s="97" t="str">
        <f>IFERROR(__xludf.DUMMYFUNCTION("""COMPUTED_VALUE"""),"N/A")</f>
        <v>N/A</v>
      </c>
      <c r="AC1432" s="97" t="str">
        <f>IFERROR(__xludf.DUMMYFUNCTION("""COMPUTED_VALUE"""),"N/A")</f>
        <v>N/A</v>
      </c>
      <c r="AD1432" s="97" t="str">
        <f>IFERROR(__xludf.DUMMYFUNCTION("""COMPUTED_VALUE"""),"N/A")</f>
        <v>N/A</v>
      </c>
      <c r="AE1432" s="97" t="str">
        <f>IFERROR(__xludf.DUMMYFUNCTION("""COMPUTED_VALUE"""),"N/A")</f>
        <v>N/A</v>
      </c>
      <c r="AF1432" s="97" t="str">
        <f>IFERROR(__xludf.DUMMYFUNCTION("""COMPUTED_VALUE"""),"N/A")</f>
        <v>N/A</v>
      </c>
      <c r="AG1432" s="97" t="str">
        <f>IFERROR(__xludf.DUMMYFUNCTION("""COMPUTED_VALUE"""),"Ø35")</f>
        <v>Ø35</v>
      </c>
      <c r="AH1432" s="97" t="str">
        <f>IFERROR(__xludf.DUMMYFUNCTION("""COMPUTED_VALUE"""),"N/A")</f>
        <v>N/A</v>
      </c>
      <c r="AI1432" s="97" t="str">
        <f>IFERROR(__xludf.DUMMYFUNCTION("""COMPUTED_VALUE"""),"N/A")</f>
        <v>N/A</v>
      </c>
      <c r="AJ1432" s="97" t="str">
        <f>IFERROR(__xludf.DUMMYFUNCTION("""COMPUTED_VALUE"""),"N/A")</f>
        <v>N/A</v>
      </c>
      <c r="AK1432" s="97" t="str">
        <f>IFERROR(__xludf.DUMMYFUNCTION("""COMPUTED_VALUE"""),"Policarbonato (PC)")</f>
        <v>Policarbonato (PC)</v>
      </c>
      <c r="AL1432" s="97" t="str">
        <f>IFERROR(__xludf.DUMMYFUNCTION("""COMPUTED_VALUE"""),"N/A")</f>
        <v>N/A</v>
      </c>
      <c r="AM1432" s="97" t="str">
        <f>IFERROR(__xludf.DUMMYFUNCTION("""COMPUTED_VALUE"""),"-")</f>
        <v>-</v>
      </c>
      <c r="AN1432" s="97" t="str">
        <f>IFERROR(__xludf.DUMMYFUNCTION("""COMPUTED_VALUE"""),"N/A")</f>
        <v>N/A</v>
      </c>
      <c r="AO1432" s="97" t="str">
        <f>IFERROR(__xludf.DUMMYFUNCTION("""COMPUTED_VALUE"""),"2 Años")</f>
        <v>2 Años</v>
      </c>
      <c r="AP1432" s="97" t="str">
        <f>IFERROR(__xludf.DUMMYFUNCTION("""COMPUTED_VALUE"""),"Disponible")</f>
        <v>Disponible</v>
      </c>
      <c r="AQ1432" s="97" t="str">
        <f>IFERROR(__xludf.DUMMYFUNCTION("""COMPUTED_VALUE"""),"Disponible")</f>
        <v>Disponible</v>
      </c>
      <c r="AR1432" s="97" t="str">
        <f>IFERROR(__xludf.DUMMYFUNCTION("""COMPUTED_VALUE"""),"Disponible")</f>
        <v>Disponible</v>
      </c>
      <c r="AS1432" s="97" t="str">
        <f>IFERROR(__xludf.DUMMYFUNCTION("""COMPUTED_VALUE"""),"No Aplica")</f>
        <v>No Aplica</v>
      </c>
      <c r="AT1432" s="97" t="str">
        <f>IFERROR(__xludf.DUMMYFUNCTION("""COMPUTED_VALUE"""),"No Aplica")</f>
        <v>No Aplica</v>
      </c>
      <c r="AU1432" s="97" t="str">
        <f>IFERROR(__xludf.DUMMYFUNCTION("""COMPUTED_VALUE"""),"Falta")</f>
        <v>Falta</v>
      </c>
      <c r="AV1432" s="97" t="str">
        <f>IFERROR(__xludf.DUMMYFUNCTION("""COMPUTED_VALUE"""),"Accesorio")</f>
        <v>Accesorio</v>
      </c>
      <c r="AW1432" s="97" t="str">
        <f>IFERROR(__xludf.DUMMYFUNCTION("""COMPUTED_VALUE"""),"De Techo")</f>
        <v>De Techo</v>
      </c>
      <c r="AX1432" s="97" t="str">
        <f>IFERROR(__xludf.DUMMYFUNCTION("""COMPUTED_VALUE"""),"Interior")</f>
        <v>Interior</v>
      </c>
      <c r="AY1432" s="97" t="str">
        <f>IFERROR(__xludf.DUMMYFUNCTION("""COMPUTED_VALUE"""),"-")</f>
        <v>-</v>
      </c>
      <c r="AZ1432" s="97" t="str">
        <f>IFERROR(__xludf.DUMMYFUNCTION("""COMPUTED_VALUE"""),"Cajas de a 10 unidades.")</f>
        <v>Cajas de a 10 unidades.</v>
      </c>
      <c r="BA1432" s="97"/>
      <c r="BB1432" s="97"/>
      <c r="BC1432" s="97"/>
      <c r="BD1432" s="97" t="str">
        <f>IFERROR(__xludf.DUMMYFUNCTION("""COMPUTED_VALUE"""),"NUMA")</f>
        <v>NUMA</v>
      </c>
      <c r="BE1432" s="97" t="str">
        <f>IFERROR(__xludf.DUMMYFUNCTION("""COMPUTED_VALUE"""),"Solicitada")</f>
        <v>Solicitada</v>
      </c>
      <c r="BF1432" s="97"/>
      <c r="BG1432" s="97" t="str">
        <f>IFERROR(__xludf.DUMMYFUNCTION("""COMPUTED_VALUE"""),"REPO 7")</f>
        <v>REPO 7</v>
      </c>
    </row>
    <row r="1433">
      <c r="A1433" s="97">
        <f>IFERROR(__xludf.DUMMYFUNCTION("""COMPUTED_VALUE"""),7535.0)</f>
        <v>7535</v>
      </c>
      <c r="B1433" s="97" t="str">
        <f>IFERROR(__xludf.DUMMYFUNCTION("""COMPUTED_VALUE"""),"POLAR TRACK 2M AP NG")</f>
        <v>POLAR TRACK 2M AP NG</v>
      </c>
      <c r="C1433" s="97" t="str">
        <f>IFERROR(__xludf.DUMMYFUNCTION("""COMPUTED_VALUE"""),"RIEL POLAR TRACK 2M AP NG LEUK")</f>
        <v>RIEL POLAR TRACK 2M AP NG LEUK</v>
      </c>
      <c r="D1433" s="97">
        <f>IFERROR(__xludf.DUMMYFUNCTION("""COMPUTED_VALUE"""),7.798413229837E12)</f>
        <v>7798413229837</v>
      </c>
      <c r="E1433" s="97" t="str">
        <f>IFERROR(__xludf.DUMMYFUNCTION("""COMPUTED_VALUE"""),"RM1")</f>
        <v>RM1</v>
      </c>
      <c r="F1433" s="97" t="str">
        <f>IFERROR(__xludf.DUMMYFUNCTION("""COMPUTED_VALUE"""),"N/A")</f>
        <v>N/A</v>
      </c>
      <c r="G1433" s="97" t="str">
        <f>IFERROR(__xludf.DUMMYFUNCTION("""COMPUTED_VALUE"""),"N/A")</f>
        <v>N/A</v>
      </c>
      <c r="H1433" s="97" t="str">
        <f>IFERROR(__xludf.DUMMYFUNCTION("""COMPUTED_VALUE"""),"N/A")</f>
        <v>N/A</v>
      </c>
      <c r="I1433" s="97" t="str">
        <f>IFERROR(__xludf.DUMMYFUNCTION("""COMPUTED_VALUE"""),"N/A")</f>
        <v>N/A</v>
      </c>
      <c r="J1433" s="97" t="str">
        <f>IFERROR(__xludf.DUMMYFUNCTION("""COMPUTED_VALUE"""),"N/A")</f>
        <v>N/A</v>
      </c>
      <c r="K1433" s="97" t="str">
        <f>IFERROR(__xludf.DUMMYFUNCTION("""COMPUTED_VALUE"""),"N/A")</f>
        <v>N/A</v>
      </c>
      <c r="L1433" s="97" t="str">
        <f>IFERROR(__xludf.DUMMYFUNCTION("""COMPUTED_VALUE"""),"48Vdc")</f>
        <v>48Vdc</v>
      </c>
      <c r="M1433" s="97" t="str">
        <f>IFERROR(__xludf.DUMMYFUNCTION("""COMPUTED_VALUE"""),"N/A")</f>
        <v>N/A</v>
      </c>
      <c r="N1433" s="97" t="str">
        <f>IFERROR(__xludf.DUMMYFUNCTION("""COMPUTED_VALUE"""),"N/A")</f>
        <v>N/A</v>
      </c>
      <c r="O1433" s="97" t="str">
        <f>IFERROR(__xludf.DUMMYFUNCTION("""COMPUTED_VALUE"""),"200 Max.")</f>
        <v>200 Max.</v>
      </c>
      <c r="P1433" s="97" t="str">
        <f>IFERROR(__xludf.DUMMYFUNCTION("""COMPUTED_VALUE"""),"N/A")</f>
        <v>N/A</v>
      </c>
      <c r="Q1433" s="97" t="str">
        <f>IFERROR(__xludf.DUMMYFUNCTION("""COMPUTED_VALUE"""),"N/A")</f>
        <v>N/A</v>
      </c>
      <c r="R1433" s="97" t="str">
        <f>IFERROR(__xludf.DUMMYFUNCTION("""COMPUTED_VALUE"""),"N/A")</f>
        <v>N/A</v>
      </c>
      <c r="S1433" s="97" t="str">
        <f>IFERROR(__xludf.DUMMYFUNCTION("""COMPUTED_VALUE"""),"N/A")</f>
        <v>N/A</v>
      </c>
      <c r="T1433" s="97" t="str">
        <f>IFERROR(__xludf.DUMMYFUNCTION("""COMPUTED_VALUE"""),"N/A")</f>
        <v>N/A</v>
      </c>
      <c r="U1433" s="97" t="str">
        <f>IFERROR(__xludf.DUMMYFUNCTION("""COMPUTED_VALUE"""),"N/A")</f>
        <v>N/A</v>
      </c>
      <c r="V1433" s="97" t="str">
        <f>IFERROR(__xludf.DUMMYFUNCTION("""COMPUTED_VALUE"""),"N/A")</f>
        <v>N/A</v>
      </c>
      <c r="W1433" s="97" t="str">
        <f>IFERROR(__xludf.DUMMYFUNCTION("""COMPUTED_VALUE"""),"N/A")</f>
        <v>N/A</v>
      </c>
      <c r="X1433" s="97" t="str">
        <f>IFERROR(__xludf.DUMMYFUNCTION("""COMPUTED_VALUE"""),"N/A")</f>
        <v>N/A</v>
      </c>
      <c r="Y1433" s="97" t="str">
        <f>IFERROR(__xludf.DUMMYFUNCTION("""COMPUTED_VALUE"""),"N/A")</f>
        <v>N/A</v>
      </c>
      <c r="Z1433" s="97" t="str">
        <f>IFERROR(__xludf.DUMMYFUNCTION("""COMPUTED_VALUE"""),"N/A")</f>
        <v>N/A</v>
      </c>
      <c r="AA1433" s="97" t="str">
        <f>IFERROR(__xludf.DUMMYFUNCTION("""COMPUTED_VALUE"""),"N/A")</f>
        <v>N/A</v>
      </c>
      <c r="AB1433" s="97" t="str">
        <f>IFERROR(__xludf.DUMMYFUNCTION("""COMPUTED_VALUE"""),"N/A")</f>
        <v>N/A</v>
      </c>
      <c r="AC1433" s="97" t="str">
        <f>IFERROR(__xludf.DUMMYFUNCTION("""COMPUTED_VALUE"""),"N/A")</f>
        <v>N/A</v>
      </c>
      <c r="AD1433" s="97" t="str">
        <f>IFERROR(__xludf.DUMMYFUNCTION("""COMPUTED_VALUE"""),"IP20")</f>
        <v>IP20</v>
      </c>
      <c r="AE1433" s="97" t="str">
        <f>IFERROR(__xludf.DUMMYFUNCTION("""COMPUTED_VALUE"""),"Clase lll")</f>
        <v>Clase lll</v>
      </c>
      <c r="AF1433" s="97" t="str">
        <f>IFERROR(__xludf.DUMMYFUNCTION("""COMPUTED_VALUE"""),"Aplicar, Suspender")</f>
        <v>Aplicar, Suspender</v>
      </c>
      <c r="AG1433" s="97" t="str">
        <f>IFERROR(__xludf.DUMMYFUNCTION("""COMPUTED_VALUE"""),"2000 x 48 x 26.2")</f>
        <v>2000 x 48 x 26.2</v>
      </c>
      <c r="AH1433" s="97" t="str">
        <f>IFERROR(__xludf.DUMMYFUNCTION("""COMPUTED_VALUE"""),"N/A")</f>
        <v>N/A</v>
      </c>
      <c r="AI1433" s="97" t="str">
        <f>IFERROR(__xludf.DUMMYFUNCTION("""COMPUTED_VALUE"""),"N/A")</f>
        <v>N/A</v>
      </c>
      <c r="AJ1433" s="97" t="str">
        <f>IFERROR(__xludf.DUMMYFUNCTION("""COMPUTED_VALUE"""),"N/A")</f>
        <v>N/A</v>
      </c>
      <c r="AK1433" s="97" t="str">
        <f>IFERROR(__xludf.DUMMYFUNCTION("""COMPUTED_VALUE"""),"Aluminio")</f>
        <v>Aluminio</v>
      </c>
      <c r="AL1433" s="97" t="str">
        <f>IFERROR(__xludf.DUMMYFUNCTION("""COMPUTED_VALUE"""),"Negro")</f>
        <v>Negro</v>
      </c>
      <c r="AM1433" s="97" t="str">
        <f>IFERROR(__xludf.DUMMYFUNCTION("""COMPUTED_VALUE"""),"-")</f>
        <v>-</v>
      </c>
      <c r="AN1433" s="97" t="str">
        <f>IFERROR(__xludf.DUMMYFUNCTION("""COMPUTED_VALUE"""),"N/A")</f>
        <v>N/A</v>
      </c>
      <c r="AO1433" s="97" t="str">
        <f>IFERROR(__xludf.DUMMYFUNCTION("""COMPUTED_VALUE"""),"2 Años")</f>
        <v>2 Años</v>
      </c>
      <c r="AP1433" s="97" t="str">
        <f>IFERROR(__xludf.DUMMYFUNCTION("""COMPUTED_VALUE"""),"No Aplica")</f>
        <v>No Aplica</v>
      </c>
      <c r="AQ1433" s="97" t="str">
        <f>IFERROR(__xludf.DUMMYFUNCTION("""COMPUTED_VALUE"""),"No Aplica")</f>
        <v>No Aplica</v>
      </c>
      <c r="AR1433" s="97" t="str">
        <f>IFERROR(__xludf.DUMMYFUNCTION("""COMPUTED_VALUE"""),"No Aplica")</f>
        <v>No Aplica</v>
      </c>
      <c r="AS1433" s="97" t="str">
        <f>IFERROR(__xludf.DUMMYFUNCTION("""COMPUTED_VALUE"""),"Falta")</f>
        <v>Falta</v>
      </c>
      <c r="AT1433" s="97" t="str">
        <f>IFERROR(__xludf.DUMMYFUNCTION("""COMPUTED_VALUE"""),"Falta")</f>
        <v>Falta</v>
      </c>
      <c r="AU1433" s="97" t="str">
        <f>IFERROR(__xludf.DUMMYFUNCTION("""COMPUTED_VALUE"""),"Disponible")</f>
        <v>Disponible</v>
      </c>
      <c r="AV1433" s="97" t="str">
        <f>IFERROR(__xludf.DUMMYFUNCTION("""COMPUTED_VALUE"""),"Riel")</f>
        <v>Riel</v>
      </c>
      <c r="AW1433" s="97" t="str">
        <f>IFERROR(__xludf.DUMMYFUNCTION("""COMPUTED_VALUE"""),"Rieles")</f>
        <v>Rieles</v>
      </c>
      <c r="AX1433" s="97" t="str">
        <f>IFERROR(__xludf.DUMMYFUNCTION("""COMPUTED_VALUE"""),"Interior")</f>
        <v>Interior</v>
      </c>
      <c r="AY1433" s="97" t="str">
        <f>IFERROR(__xludf.DUMMYFUNCTION("""COMPUTED_VALUE"""),"-")</f>
        <v>-</v>
      </c>
      <c r="AZ1433" s="97" t="str">
        <f>IFERROR(__xludf.DUMMYFUNCTION("""COMPUTED_VALUE"""),"-")</f>
        <v>-</v>
      </c>
      <c r="BA1433" s="97"/>
      <c r="BB1433" s="97"/>
      <c r="BC1433" s="97"/>
      <c r="BD1433" s="97" t="str">
        <f>IFERROR(__xludf.DUMMYFUNCTION("""COMPUTED_VALUE"""),"POLAR")</f>
        <v>POLAR</v>
      </c>
      <c r="BE1433" s="97"/>
      <c r="BF1433" s="97"/>
      <c r="BG1433" s="97" t="str">
        <f>IFERROR(__xludf.DUMMYFUNCTION("""COMPUTED_VALUE"""),"REPO 7")</f>
        <v>REPO 7</v>
      </c>
    </row>
    <row r="1434">
      <c r="A1434" s="97">
        <f>IFERROR(__xludf.DUMMYFUNCTION("""COMPUTED_VALUE"""),7536.0)</f>
        <v>7536</v>
      </c>
      <c r="B1434" s="97" t="str">
        <f>IFERROR(__xludf.DUMMYFUNCTION("""COMPUTED_VALUE"""),"POLAR TRACK 2M AP BL")</f>
        <v>POLAR TRACK 2M AP BL</v>
      </c>
      <c r="C1434" s="97" t="str">
        <f>IFERROR(__xludf.DUMMYFUNCTION("""COMPUTED_VALUE"""),"RIEL POLAR TRACK 2M AP BL LEUK")</f>
        <v>RIEL POLAR TRACK 2M AP BL LEUK</v>
      </c>
      <c r="D1434" s="97">
        <f>IFERROR(__xludf.DUMMYFUNCTION("""COMPUTED_VALUE"""),7.798413229844E12)</f>
        <v>7798413229844</v>
      </c>
      <c r="E1434" s="97" t="str">
        <f>IFERROR(__xludf.DUMMYFUNCTION("""COMPUTED_VALUE"""),"RM1")</f>
        <v>RM1</v>
      </c>
      <c r="F1434" s="97" t="str">
        <f>IFERROR(__xludf.DUMMYFUNCTION("""COMPUTED_VALUE"""),"N/A")</f>
        <v>N/A</v>
      </c>
      <c r="G1434" s="97" t="str">
        <f>IFERROR(__xludf.DUMMYFUNCTION("""COMPUTED_VALUE"""),"N/A")</f>
        <v>N/A</v>
      </c>
      <c r="H1434" s="97" t="str">
        <f>IFERROR(__xludf.DUMMYFUNCTION("""COMPUTED_VALUE"""),"N/A")</f>
        <v>N/A</v>
      </c>
      <c r="I1434" s="97" t="str">
        <f>IFERROR(__xludf.DUMMYFUNCTION("""COMPUTED_VALUE"""),"N/A")</f>
        <v>N/A</v>
      </c>
      <c r="J1434" s="97" t="str">
        <f>IFERROR(__xludf.DUMMYFUNCTION("""COMPUTED_VALUE"""),"N/A")</f>
        <v>N/A</v>
      </c>
      <c r="K1434" s="97" t="str">
        <f>IFERROR(__xludf.DUMMYFUNCTION("""COMPUTED_VALUE"""),"N/A")</f>
        <v>N/A</v>
      </c>
      <c r="L1434" s="97" t="str">
        <f>IFERROR(__xludf.DUMMYFUNCTION("""COMPUTED_VALUE"""),"48Vdc")</f>
        <v>48Vdc</v>
      </c>
      <c r="M1434" s="97" t="str">
        <f>IFERROR(__xludf.DUMMYFUNCTION("""COMPUTED_VALUE"""),"N/A")</f>
        <v>N/A</v>
      </c>
      <c r="N1434" s="97" t="str">
        <f>IFERROR(__xludf.DUMMYFUNCTION("""COMPUTED_VALUE"""),"N/A")</f>
        <v>N/A</v>
      </c>
      <c r="O1434" s="97" t="str">
        <f>IFERROR(__xludf.DUMMYFUNCTION("""COMPUTED_VALUE"""),"200 Max.")</f>
        <v>200 Max.</v>
      </c>
      <c r="P1434" s="97" t="str">
        <f>IFERROR(__xludf.DUMMYFUNCTION("""COMPUTED_VALUE"""),"N/A")</f>
        <v>N/A</v>
      </c>
      <c r="Q1434" s="97" t="str">
        <f>IFERROR(__xludf.DUMMYFUNCTION("""COMPUTED_VALUE"""),"N/A")</f>
        <v>N/A</v>
      </c>
      <c r="R1434" s="97" t="str">
        <f>IFERROR(__xludf.DUMMYFUNCTION("""COMPUTED_VALUE"""),"N/A")</f>
        <v>N/A</v>
      </c>
      <c r="S1434" s="97" t="str">
        <f>IFERROR(__xludf.DUMMYFUNCTION("""COMPUTED_VALUE"""),"N/A")</f>
        <v>N/A</v>
      </c>
      <c r="T1434" s="97" t="str">
        <f>IFERROR(__xludf.DUMMYFUNCTION("""COMPUTED_VALUE"""),"N/A")</f>
        <v>N/A</v>
      </c>
      <c r="U1434" s="97" t="str">
        <f>IFERROR(__xludf.DUMMYFUNCTION("""COMPUTED_VALUE"""),"N/A")</f>
        <v>N/A</v>
      </c>
      <c r="V1434" s="97" t="str">
        <f>IFERROR(__xludf.DUMMYFUNCTION("""COMPUTED_VALUE"""),"N/A")</f>
        <v>N/A</v>
      </c>
      <c r="W1434" s="97" t="str">
        <f>IFERROR(__xludf.DUMMYFUNCTION("""COMPUTED_VALUE"""),"N/A")</f>
        <v>N/A</v>
      </c>
      <c r="X1434" s="97" t="str">
        <f>IFERROR(__xludf.DUMMYFUNCTION("""COMPUTED_VALUE"""),"N/A")</f>
        <v>N/A</v>
      </c>
      <c r="Y1434" s="97" t="str">
        <f>IFERROR(__xludf.DUMMYFUNCTION("""COMPUTED_VALUE"""),"N/A")</f>
        <v>N/A</v>
      </c>
      <c r="Z1434" s="97" t="str">
        <f>IFERROR(__xludf.DUMMYFUNCTION("""COMPUTED_VALUE"""),"N/A")</f>
        <v>N/A</v>
      </c>
      <c r="AA1434" s="97" t="str">
        <f>IFERROR(__xludf.DUMMYFUNCTION("""COMPUTED_VALUE"""),"N/A")</f>
        <v>N/A</v>
      </c>
      <c r="AB1434" s="97" t="str">
        <f>IFERROR(__xludf.DUMMYFUNCTION("""COMPUTED_VALUE"""),"N/A")</f>
        <v>N/A</v>
      </c>
      <c r="AC1434" s="97" t="str">
        <f>IFERROR(__xludf.DUMMYFUNCTION("""COMPUTED_VALUE"""),"N/A")</f>
        <v>N/A</v>
      </c>
      <c r="AD1434" s="97" t="str">
        <f>IFERROR(__xludf.DUMMYFUNCTION("""COMPUTED_VALUE"""),"IP20")</f>
        <v>IP20</v>
      </c>
      <c r="AE1434" s="97" t="str">
        <f>IFERROR(__xludf.DUMMYFUNCTION("""COMPUTED_VALUE"""),"Clase lll")</f>
        <v>Clase lll</v>
      </c>
      <c r="AF1434" s="97" t="str">
        <f>IFERROR(__xludf.DUMMYFUNCTION("""COMPUTED_VALUE"""),"Aplicar, Suspender")</f>
        <v>Aplicar, Suspender</v>
      </c>
      <c r="AG1434" s="97" t="str">
        <f>IFERROR(__xludf.DUMMYFUNCTION("""COMPUTED_VALUE"""),"2000 x 48 x 26.2")</f>
        <v>2000 x 48 x 26.2</v>
      </c>
      <c r="AH1434" s="97" t="str">
        <f>IFERROR(__xludf.DUMMYFUNCTION("""COMPUTED_VALUE"""),"N/A")</f>
        <v>N/A</v>
      </c>
      <c r="AI1434" s="97" t="str">
        <f>IFERROR(__xludf.DUMMYFUNCTION("""COMPUTED_VALUE"""),"N/A")</f>
        <v>N/A</v>
      </c>
      <c r="AJ1434" s="97" t="str">
        <f>IFERROR(__xludf.DUMMYFUNCTION("""COMPUTED_VALUE"""),"N/A")</f>
        <v>N/A</v>
      </c>
      <c r="AK1434" s="97" t="str">
        <f>IFERROR(__xludf.DUMMYFUNCTION("""COMPUTED_VALUE"""),"Aluminio")</f>
        <v>Aluminio</v>
      </c>
      <c r="AL1434" s="97" t="str">
        <f>IFERROR(__xludf.DUMMYFUNCTION("""COMPUTED_VALUE"""),"Blanco")</f>
        <v>Blanco</v>
      </c>
      <c r="AM1434" s="97" t="str">
        <f>IFERROR(__xludf.DUMMYFUNCTION("""COMPUTED_VALUE"""),"-")</f>
        <v>-</v>
      </c>
      <c r="AN1434" s="97" t="str">
        <f>IFERROR(__xludf.DUMMYFUNCTION("""COMPUTED_VALUE"""),"N/A")</f>
        <v>N/A</v>
      </c>
      <c r="AO1434" s="97" t="str">
        <f>IFERROR(__xludf.DUMMYFUNCTION("""COMPUTED_VALUE"""),"2 Años")</f>
        <v>2 Años</v>
      </c>
      <c r="AP1434" s="97" t="str">
        <f>IFERROR(__xludf.DUMMYFUNCTION("""COMPUTED_VALUE"""),"No Aplica")</f>
        <v>No Aplica</v>
      </c>
      <c r="AQ1434" s="97" t="str">
        <f>IFERROR(__xludf.DUMMYFUNCTION("""COMPUTED_VALUE"""),"No Aplica")</f>
        <v>No Aplica</v>
      </c>
      <c r="AR1434" s="97" t="str">
        <f>IFERROR(__xludf.DUMMYFUNCTION("""COMPUTED_VALUE"""),"No Aplica")</f>
        <v>No Aplica</v>
      </c>
      <c r="AS1434" s="97" t="str">
        <f>IFERROR(__xludf.DUMMYFUNCTION("""COMPUTED_VALUE"""),"Falta")</f>
        <v>Falta</v>
      </c>
      <c r="AT1434" s="97" t="str">
        <f>IFERROR(__xludf.DUMMYFUNCTION("""COMPUTED_VALUE"""),"Falta")</f>
        <v>Falta</v>
      </c>
      <c r="AU1434" s="97" t="str">
        <f>IFERROR(__xludf.DUMMYFUNCTION("""COMPUTED_VALUE"""),"Disponible")</f>
        <v>Disponible</v>
      </c>
      <c r="AV1434" s="97" t="str">
        <f>IFERROR(__xludf.DUMMYFUNCTION("""COMPUTED_VALUE"""),"Riel")</f>
        <v>Riel</v>
      </c>
      <c r="AW1434" s="97" t="str">
        <f>IFERROR(__xludf.DUMMYFUNCTION("""COMPUTED_VALUE"""),"Rieles")</f>
        <v>Rieles</v>
      </c>
      <c r="AX1434" s="97" t="str">
        <f>IFERROR(__xludf.DUMMYFUNCTION("""COMPUTED_VALUE"""),"Interior")</f>
        <v>Interior</v>
      </c>
      <c r="AY1434" s="97" t="str">
        <f>IFERROR(__xludf.DUMMYFUNCTION("""COMPUTED_VALUE"""),"-")</f>
        <v>-</v>
      </c>
      <c r="AZ1434" s="97" t="str">
        <f>IFERROR(__xludf.DUMMYFUNCTION("""COMPUTED_VALUE"""),"-")</f>
        <v>-</v>
      </c>
      <c r="BA1434" s="97"/>
      <c r="BB1434" s="97"/>
      <c r="BC1434" s="97"/>
      <c r="BD1434" s="97" t="str">
        <f>IFERROR(__xludf.DUMMYFUNCTION("""COMPUTED_VALUE"""),"POLAR")</f>
        <v>POLAR</v>
      </c>
      <c r="BE1434" s="97"/>
      <c r="BF1434" s="97"/>
      <c r="BG1434" s="97" t="str">
        <f>IFERROR(__xludf.DUMMYFUNCTION("""COMPUTED_VALUE"""),"REPO 7")</f>
        <v>REPO 7</v>
      </c>
    </row>
    <row r="1435">
      <c r="A1435" s="97">
        <f>IFERROR(__xludf.DUMMYFUNCTION("""COMPUTED_VALUE"""),7537.0)</f>
        <v>7537</v>
      </c>
      <c r="B1435" s="97" t="str">
        <f>IFERROR(__xludf.DUMMYFUNCTION("""COMPUTED_VALUE"""),"POLAR TRACK 3M AP NG")</f>
        <v>POLAR TRACK 3M AP NG</v>
      </c>
      <c r="C1435" s="97" t="str">
        <f>IFERROR(__xludf.DUMMYFUNCTION("""COMPUTED_VALUE"""),"RIEL POLAR TRACK 3M AP NG LEUK")</f>
        <v>RIEL POLAR TRACK 3M AP NG LEUK</v>
      </c>
      <c r="D1435" s="97">
        <f>IFERROR(__xludf.DUMMYFUNCTION("""COMPUTED_VALUE"""),7.798413229851E12)</f>
        <v>7798413229851</v>
      </c>
      <c r="E1435" s="97" t="str">
        <f>IFERROR(__xludf.DUMMYFUNCTION("""COMPUTED_VALUE"""),"RM2")</f>
        <v>RM2</v>
      </c>
      <c r="F1435" s="97" t="str">
        <f>IFERROR(__xludf.DUMMYFUNCTION("""COMPUTED_VALUE"""),"N/A")</f>
        <v>N/A</v>
      </c>
      <c r="G1435" s="97" t="str">
        <f>IFERROR(__xludf.DUMMYFUNCTION("""COMPUTED_VALUE"""),"N/A")</f>
        <v>N/A</v>
      </c>
      <c r="H1435" s="97" t="str">
        <f>IFERROR(__xludf.DUMMYFUNCTION("""COMPUTED_VALUE"""),"N/A")</f>
        <v>N/A</v>
      </c>
      <c r="I1435" s="97" t="str">
        <f>IFERROR(__xludf.DUMMYFUNCTION("""COMPUTED_VALUE"""),"N/A")</f>
        <v>N/A</v>
      </c>
      <c r="J1435" s="97" t="str">
        <f>IFERROR(__xludf.DUMMYFUNCTION("""COMPUTED_VALUE"""),"N/A")</f>
        <v>N/A</v>
      </c>
      <c r="K1435" s="97" t="str">
        <f>IFERROR(__xludf.DUMMYFUNCTION("""COMPUTED_VALUE"""),"N/A")</f>
        <v>N/A</v>
      </c>
      <c r="L1435" s="97" t="str">
        <f>IFERROR(__xludf.DUMMYFUNCTION("""COMPUTED_VALUE"""),"48Vdc")</f>
        <v>48Vdc</v>
      </c>
      <c r="M1435" s="97" t="str">
        <f>IFERROR(__xludf.DUMMYFUNCTION("""COMPUTED_VALUE"""),"N/A")</f>
        <v>N/A</v>
      </c>
      <c r="N1435" s="97" t="str">
        <f>IFERROR(__xludf.DUMMYFUNCTION("""COMPUTED_VALUE"""),"N/A")</f>
        <v>N/A</v>
      </c>
      <c r="O1435" s="97" t="str">
        <f>IFERROR(__xludf.DUMMYFUNCTION("""COMPUTED_VALUE"""),"200 Max.")</f>
        <v>200 Max.</v>
      </c>
      <c r="P1435" s="97" t="str">
        <f>IFERROR(__xludf.DUMMYFUNCTION("""COMPUTED_VALUE"""),"N/A")</f>
        <v>N/A</v>
      </c>
      <c r="Q1435" s="97" t="str">
        <f>IFERROR(__xludf.DUMMYFUNCTION("""COMPUTED_VALUE"""),"N/A")</f>
        <v>N/A</v>
      </c>
      <c r="R1435" s="97" t="str">
        <f>IFERROR(__xludf.DUMMYFUNCTION("""COMPUTED_VALUE"""),"N/A")</f>
        <v>N/A</v>
      </c>
      <c r="S1435" s="97" t="str">
        <f>IFERROR(__xludf.DUMMYFUNCTION("""COMPUTED_VALUE"""),"N/A")</f>
        <v>N/A</v>
      </c>
      <c r="T1435" s="97" t="str">
        <f>IFERROR(__xludf.DUMMYFUNCTION("""COMPUTED_VALUE"""),"N/A")</f>
        <v>N/A</v>
      </c>
      <c r="U1435" s="97" t="str">
        <f>IFERROR(__xludf.DUMMYFUNCTION("""COMPUTED_VALUE"""),"N/A")</f>
        <v>N/A</v>
      </c>
      <c r="V1435" s="97" t="str">
        <f>IFERROR(__xludf.DUMMYFUNCTION("""COMPUTED_VALUE"""),"N/A")</f>
        <v>N/A</v>
      </c>
      <c r="W1435" s="97" t="str">
        <f>IFERROR(__xludf.DUMMYFUNCTION("""COMPUTED_VALUE"""),"N/A")</f>
        <v>N/A</v>
      </c>
      <c r="X1435" s="97" t="str">
        <f>IFERROR(__xludf.DUMMYFUNCTION("""COMPUTED_VALUE"""),"N/A")</f>
        <v>N/A</v>
      </c>
      <c r="Y1435" s="97" t="str">
        <f>IFERROR(__xludf.DUMMYFUNCTION("""COMPUTED_VALUE"""),"N/A")</f>
        <v>N/A</v>
      </c>
      <c r="Z1435" s="97" t="str">
        <f>IFERROR(__xludf.DUMMYFUNCTION("""COMPUTED_VALUE"""),"N/A")</f>
        <v>N/A</v>
      </c>
      <c r="AA1435" s="97" t="str">
        <f>IFERROR(__xludf.DUMMYFUNCTION("""COMPUTED_VALUE"""),"N/A")</f>
        <v>N/A</v>
      </c>
      <c r="AB1435" s="97" t="str">
        <f>IFERROR(__xludf.DUMMYFUNCTION("""COMPUTED_VALUE"""),"N/A")</f>
        <v>N/A</v>
      </c>
      <c r="AC1435" s="97" t="str">
        <f>IFERROR(__xludf.DUMMYFUNCTION("""COMPUTED_VALUE"""),"N/A")</f>
        <v>N/A</v>
      </c>
      <c r="AD1435" s="97" t="str">
        <f>IFERROR(__xludf.DUMMYFUNCTION("""COMPUTED_VALUE"""),"IP20")</f>
        <v>IP20</v>
      </c>
      <c r="AE1435" s="97" t="str">
        <f>IFERROR(__xludf.DUMMYFUNCTION("""COMPUTED_VALUE"""),"Clase lll")</f>
        <v>Clase lll</v>
      </c>
      <c r="AF1435" s="97" t="str">
        <f>IFERROR(__xludf.DUMMYFUNCTION("""COMPUTED_VALUE"""),"Aplicar, Suspender")</f>
        <v>Aplicar, Suspender</v>
      </c>
      <c r="AG1435" s="97" t="str">
        <f>IFERROR(__xludf.DUMMYFUNCTION("""COMPUTED_VALUE"""),"3000 x 48 x 26.2")</f>
        <v>3000 x 48 x 26.2</v>
      </c>
      <c r="AH1435" s="97" t="str">
        <f>IFERROR(__xludf.DUMMYFUNCTION("""COMPUTED_VALUE"""),"N/A")</f>
        <v>N/A</v>
      </c>
      <c r="AI1435" s="97" t="str">
        <f>IFERROR(__xludf.DUMMYFUNCTION("""COMPUTED_VALUE"""),"N/A")</f>
        <v>N/A</v>
      </c>
      <c r="AJ1435" s="97" t="str">
        <f>IFERROR(__xludf.DUMMYFUNCTION("""COMPUTED_VALUE"""),"N/A")</f>
        <v>N/A</v>
      </c>
      <c r="AK1435" s="97" t="str">
        <f>IFERROR(__xludf.DUMMYFUNCTION("""COMPUTED_VALUE"""),"Aluminio")</f>
        <v>Aluminio</v>
      </c>
      <c r="AL1435" s="97" t="str">
        <f>IFERROR(__xludf.DUMMYFUNCTION("""COMPUTED_VALUE"""),"Negro")</f>
        <v>Negro</v>
      </c>
      <c r="AM1435" s="97" t="str">
        <f>IFERROR(__xludf.DUMMYFUNCTION("""COMPUTED_VALUE"""),"-")</f>
        <v>-</v>
      </c>
      <c r="AN1435" s="97" t="str">
        <f>IFERROR(__xludf.DUMMYFUNCTION("""COMPUTED_VALUE"""),"N/A")</f>
        <v>N/A</v>
      </c>
      <c r="AO1435" s="97" t="str">
        <f>IFERROR(__xludf.DUMMYFUNCTION("""COMPUTED_VALUE"""),"2 Años")</f>
        <v>2 Años</v>
      </c>
      <c r="AP1435" s="97" t="str">
        <f>IFERROR(__xludf.DUMMYFUNCTION("""COMPUTED_VALUE"""),"No Aplica")</f>
        <v>No Aplica</v>
      </c>
      <c r="AQ1435" s="97" t="str">
        <f>IFERROR(__xludf.DUMMYFUNCTION("""COMPUTED_VALUE"""),"No Aplica")</f>
        <v>No Aplica</v>
      </c>
      <c r="AR1435" s="97" t="str">
        <f>IFERROR(__xludf.DUMMYFUNCTION("""COMPUTED_VALUE"""),"No Aplica")</f>
        <v>No Aplica</v>
      </c>
      <c r="AS1435" s="97" t="str">
        <f>IFERROR(__xludf.DUMMYFUNCTION("""COMPUTED_VALUE"""),"Falta")</f>
        <v>Falta</v>
      </c>
      <c r="AT1435" s="97" t="str">
        <f>IFERROR(__xludf.DUMMYFUNCTION("""COMPUTED_VALUE"""),"Falta")</f>
        <v>Falta</v>
      </c>
      <c r="AU1435" s="97" t="str">
        <f>IFERROR(__xludf.DUMMYFUNCTION("""COMPUTED_VALUE"""),"Disponible")</f>
        <v>Disponible</v>
      </c>
      <c r="AV1435" s="97" t="str">
        <f>IFERROR(__xludf.DUMMYFUNCTION("""COMPUTED_VALUE"""),"Riel")</f>
        <v>Riel</v>
      </c>
      <c r="AW1435" s="97" t="str">
        <f>IFERROR(__xludf.DUMMYFUNCTION("""COMPUTED_VALUE"""),"Rieles")</f>
        <v>Rieles</v>
      </c>
      <c r="AX1435" s="97" t="str">
        <f>IFERROR(__xludf.DUMMYFUNCTION("""COMPUTED_VALUE"""),"Interior")</f>
        <v>Interior</v>
      </c>
      <c r="AY1435" s="97" t="str">
        <f>IFERROR(__xludf.DUMMYFUNCTION("""COMPUTED_VALUE"""),"-")</f>
        <v>-</v>
      </c>
      <c r="AZ1435" s="97" t="str">
        <f>IFERROR(__xludf.DUMMYFUNCTION("""COMPUTED_VALUE"""),"-")</f>
        <v>-</v>
      </c>
      <c r="BA1435" s="97"/>
      <c r="BB1435" s="97"/>
      <c r="BC1435" s="97"/>
      <c r="BD1435" s="97" t="str">
        <f>IFERROR(__xludf.DUMMYFUNCTION("""COMPUTED_VALUE"""),"POLAR")</f>
        <v>POLAR</v>
      </c>
      <c r="BE1435" s="97"/>
      <c r="BF1435" s="97"/>
      <c r="BG1435" s="97" t="str">
        <f>IFERROR(__xludf.DUMMYFUNCTION("""COMPUTED_VALUE"""),"REPO 7")</f>
        <v>REPO 7</v>
      </c>
    </row>
    <row r="1436">
      <c r="A1436" s="97">
        <f>IFERROR(__xludf.DUMMYFUNCTION("""COMPUTED_VALUE"""),7538.0)</f>
        <v>7538</v>
      </c>
      <c r="B1436" s="97" t="str">
        <f>IFERROR(__xludf.DUMMYFUNCTION("""COMPUTED_VALUE"""),"POLAR TRACK 3M AP BL")</f>
        <v>POLAR TRACK 3M AP BL</v>
      </c>
      <c r="C1436" s="97" t="str">
        <f>IFERROR(__xludf.DUMMYFUNCTION("""COMPUTED_VALUE"""),"RIEL POLAR TRACK 3M AP BL LEUK")</f>
        <v>RIEL POLAR TRACK 3M AP BL LEUK</v>
      </c>
      <c r="D1436" s="97">
        <f>IFERROR(__xludf.DUMMYFUNCTION("""COMPUTED_VALUE"""),7.798413229868E12)</f>
        <v>7798413229868</v>
      </c>
      <c r="E1436" s="97" t="str">
        <f>IFERROR(__xludf.DUMMYFUNCTION("""COMPUTED_VALUE"""),"RM2")</f>
        <v>RM2</v>
      </c>
      <c r="F1436" s="97" t="str">
        <f>IFERROR(__xludf.DUMMYFUNCTION("""COMPUTED_VALUE"""),"N/A")</f>
        <v>N/A</v>
      </c>
      <c r="G1436" s="97" t="str">
        <f>IFERROR(__xludf.DUMMYFUNCTION("""COMPUTED_VALUE"""),"N/A")</f>
        <v>N/A</v>
      </c>
      <c r="H1436" s="97" t="str">
        <f>IFERROR(__xludf.DUMMYFUNCTION("""COMPUTED_VALUE"""),"N/A")</f>
        <v>N/A</v>
      </c>
      <c r="I1436" s="97" t="str">
        <f>IFERROR(__xludf.DUMMYFUNCTION("""COMPUTED_VALUE"""),"N/A")</f>
        <v>N/A</v>
      </c>
      <c r="J1436" s="97" t="str">
        <f>IFERROR(__xludf.DUMMYFUNCTION("""COMPUTED_VALUE"""),"N/A")</f>
        <v>N/A</v>
      </c>
      <c r="K1436" s="97" t="str">
        <f>IFERROR(__xludf.DUMMYFUNCTION("""COMPUTED_VALUE"""),"N/A")</f>
        <v>N/A</v>
      </c>
      <c r="L1436" s="97" t="str">
        <f>IFERROR(__xludf.DUMMYFUNCTION("""COMPUTED_VALUE"""),"48Vdc")</f>
        <v>48Vdc</v>
      </c>
      <c r="M1436" s="97" t="str">
        <f>IFERROR(__xludf.DUMMYFUNCTION("""COMPUTED_VALUE"""),"N/A")</f>
        <v>N/A</v>
      </c>
      <c r="N1436" s="97" t="str">
        <f>IFERROR(__xludf.DUMMYFUNCTION("""COMPUTED_VALUE"""),"N/A")</f>
        <v>N/A</v>
      </c>
      <c r="O1436" s="97" t="str">
        <f>IFERROR(__xludf.DUMMYFUNCTION("""COMPUTED_VALUE"""),"200 Max.")</f>
        <v>200 Max.</v>
      </c>
      <c r="P1436" s="97" t="str">
        <f>IFERROR(__xludf.DUMMYFUNCTION("""COMPUTED_VALUE"""),"N/A")</f>
        <v>N/A</v>
      </c>
      <c r="Q1436" s="97" t="str">
        <f>IFERROR(__xludf.DUMMYFUNCTION("""COMPUTED_VALUE"""),"N/A")</f>
        <v>N/A</v>
      </c>
      <c r="R1436" s="97" t="str">
        <f>IFERROR(__xludf.DUMMYFUNCTION("""COMPUTED_VALUE"""),"N/A")</f>
        <v>N/A</v>
      </c>
      <c r="S1436" s="97" t="str">
        <f>IFERROR(__xludf.DUMMYFUNCTION("""COMPUTED_VALUE"""),"N/A")</f>
        <v>N/A</v>
      </c>
      <c r="T1436" s="97" t="str">
        <f>IFERROR(__xludf.DUMMYFUNCTION("""COMPUTED_VALUE"""),"N/A")</f>
        <v>N/A</v>
      </c>
      <c r="U1436" s="97" t="str">
        <f>IFERROR(__xludf.DUMMYFUNCTION("""COMPUTED_VALUE"""),"N/A")</f>
        <v>N/A</v>
      </c>
      <c r="V1436" s="97" t="str">
        <f>IFERROR(__xludf.DUMMYFUNCTION("""COMPUTED_VALUE"""),"N/A")</f>
        <v>N/A</v>
      </c>
      <c r="W1436" s="97" t="str">
        <f>IFERROR(__xludf.DUMMYFUNCTION("""COMPUTED_VALUE"""),"N/A")</f>
        <v>N/A</v>
      </c>
      <c r="X1436" s="97" t="str">
        <f>IFERROR(__xludf.DUMMYFUNCTION("""COMPUTED_VALUE"""),"N/A")</f>
        <v>N/A</v>
      </c>
      <c r="Y1436" s="97" t="str">
        <f>IFERROR(__xludf.DUMMYFUNCTION("""COMPUTED_VALUE"""),"N/A")</f>
        <v>N/A</v>
      </c>
      <c r="Z1436" s="97" t="str">
        <f>IFERROR(__xludf.DUMMYFUNCTION("""COMPUTED_VALUE"""),"N/A")</f>
        <v>N/A</v>
      </c>
      <c r="AA1436" s="97" t="str">
        <f>IFERROR(__xludf.DUMMYFUNCTION("""COMPUTED_VALUE"""),"N/A")</f>
        <v>N/A</v>
      </c>
      <c r="AB1436" s="97" t="str">
        <f>IFERROR(__xludf.DUMMYFUNCTION("""COMPUTED_VALUE"""),"N/A")</f>
        <v>N/A</v>
      </c>
      <c r="AC1436" s="97" t="str">
        <f>IFERROR(__xludf.DUMMYFUNCTION("""COMPUTED_VALUE"""),"N/A")</f>
        <v>N/A</v>
      </c>
      <c r="AD1436" s="97" t="str">
        <f>IFERROR(__xludf.DUMMYFUNCTION("""COMPUTED_VALUE"""),"IP20")</f>
        <v>IP20</v>
      </c>
      <c r="AE1436" s="97" t="str">
        <f>IFERROR(__xludf.DUMMYFUNCTION("""COMPUTED_VALUE"""),"Clase lll")</f>
        <v>Clase lll</v>
      </c>
      <c r="AF1436" s="97" t="str">
        <f>IFERROR(__xludf.DUMMYFUNCTION("""COMPUTED_VALUE"""),"Aplicar, Suspender")</f>
        <v>Aplicar, Suspender</v>
      </c>
      <c r="AG1436" s="97" t="str">
        <f>IFERROR(__xludf.DUMMYFUNCTION("""COMPUTED_VALUE"""),"3000 x 48 x 26.2")</f>
        <v>3000 x 48 x 26.2</v>
      </c>
      <c r="AH1436" s="97" t="str">
        <f>IFERROR(__xludf.DUMMYFUNCTION("""COMPUTED_VALUE"""),"N/A")</f>
        <v>N/A</v>
      </c>
      <c r="AI1436" s="97" t="str">
        <f>IFERROR(__xludf.DUMMYFUNCTION("""COMPUTED_VALUE"""),"N/A")</f>
        <v>N/A</v>
      </c>
      <c r="AJ1436" s="97" t="str">
        <f>IFERROR(__xludf.DUMMYFUNCTION("""COMPUTED_VALUE"""),"N/A")</f>
        <v>N/A</v>
      </c>
      <c r="AK1436" s="97" t="str">
        <f>IFERROR(__xludf.DUMMYFUNCTION("""COMPUTED_VALUE"""),"Aluminio")</f>
        <v>Aluminio</v>
      </c>
      <c r="AL1436" s="97" t="str">
        <f>IFERROR(__xludf.DUMMYFUNCTION("""COMPUTED_VALUE"""),"Blanco")</f>
        <v>Blanco</v>
      </c>
      <c r="AM1436" s="97" t="str">
        <f>IFERROR(__xludf.DUMMYFUNCTION("""COMPUTED_VALUE"""),"-")</f>
        <v>-</v>
      </c>
      <c r="AN1436" s="97" t="str">
        <f>IFERROR(__xludf.DUMMYFUNCTION("""COMPUTED_VALUE"""),"N/A")</f>
        <v>N/A</v>
      </c>
      <c r="AO1436" s="97" t="str">
        <f>IFERROR(__xludf.DUMMYFUNCTION("""COMPUTED_VALUE"""),"2 Años")</f>
        <v>2 Años</v>
      </c>
      <c r="AP1436" s="97" t="str">
        <f>IFERROR(__xludf.DUMMYFUNCTION("""COMPUTED_VALUE"""),"No Aplica")</f>
        <v>No Aplica</v>
      </c>
      <c r="AQ1436" s="97" t="str">
        <f>IFERROR(__xludf.DUMMYFUNCTION("""COMPUTED_VALUE"""),"No Aplica")</f>
        <v>No Aplica</v>
      </c>
      <c r="AR1436" s="97" t="str">
        <f>IFERROR(__xludf.DUMMYFUNCTION("""COMPUTED_VALUE"""),"No Aplica")</f>
        <v>No Aplica</v>
      </c>
      <c r="AS1436" s="97" t="str">
        <f>IFERROR(__xludf.DUMMYFUNCTION("""COMPUTED_VALUE"""),"Falta")</f>
        <v>Falta</v>
      </c>
      <c r="AT1436" s="97" t="str">
        <f>IFERROR(__xludf.DUMMYFUNCTION("""COMPUTED_VALUE"""),"Falta")</f>
        <v>Falta</v>
      </c>
      <c r="AU1436" s="97" t="str">
        <f>IFERROR(__xludf.DUMMYFUNCTION("""COMPUTED_VALUE"""),"Disponible")</f>
        <v>Disponible</v>
      </c>
      <c r="AV1436" s="97" t="str">
        <f>IFERROR(__xludf.DUMMYFUNCTION("""COMPUTED_VALUE"""),"Riel")</f>
        <v>Riel</v>
      </c>
      <c r="AW1436" s="97" t="str">
        <f>IFERROR(__xludf.DUMMYFUNCTION("""COMPUTED_VALUE"""),"Rieles")</f>
        <v>Rieles</v>
      </c>
      <c r="AX1436" s="97" t="str">
        <f>IFERROR(__xludf.DUMMYFUNCTION("""COMPUTED_VALUE"""),"Interior")</f>
        <v>Interior</v>
      </c>
      <c r="AY1436" s="97" t="str">
        <f>IFERROR(__xludf.DUMMYFUNCTION("""COMPUTED_VALUE"""),"-")</f>
        <v>-</v>
      </c>
      <c r="AZ1436" s="97" t="str">
        <f>IFERROR(__xludf.DUMMYFUNCTION("""COMPUTED_VALUE"""),"-")</f>
        <v>-</v>
      </c>
      <c r="BA1436" s="97"/>
      <c r="BB1436" s="97"/>
      <c r="BC1436" s="97"/>
      <c r="BD1436" s="97" t="str">
        <f>IFERROR(__xludf.DUMMYFUNCTION("""COMPUTED_VALUE"""),"POLAR")</f>
        <v>POLAR</v>
      </c>
      <c r="BE1436" s="97"/>
      <c r="BF1436" s="97"/>
      <c r="BG1436" s="97" t="str">
        <f>IFERROR(__xludf.DUMMYFUNCTION("""COMPUTED_VALUE"""),"REPO 7")</f>
        <v>REPO 7</v>
      </c>
    </row>
    <row r="1437">
      <c r="A1437" s="97">
        <f>IFERROR(__xludf.DUMMYFUNCTION("""COMPUTED_VALUE"""),7539.0)</f>
        <v>7539</v>
      </c>
      <c r="B1437" s="97" t="str">
        <f>IFERROR(__xludf.DUMMYFUNCTION("""COMPUTED_VALUE"""),"POLAR TRACK 2M NG")</f>
        <v>POLAR TRACK 2M NG</v>
      </c>
      <c r="C1437" s="97" t="str">
        <f>IFERROR(__xludf.DUMMYFUNCTION("""COMPUTED_VALUE"""),"RIEL POLAR TRACK 2M NG LEUK")</f>
        <v>RIEL POLAR TRACK 2M NG LEUK</v>
      </c>
      <c r="D1437" s="97">
        <f>IFERROR(__xludf.DUMMYFUNCTION("""COMPUTED_VALUE"""),7.798413229875E12)</f>
        <v>7798413229875</v>
      </c>
      <c r="E1437" s="97" t="str">
        <f>IFERROR(__xludf.DUMMYFUNCTION("""COMPUTED_VALUE"""),"RM3")</f>
        <v>RM3</v>
      </c>
      <c r="F1437" s="97" t="str">
        <f>IFERROR(__xludf.DUMMYFUNCTION("""COMPUTED_VALUE"""),"N/A")</f>
        <v>N/A</v>
      </c>
      <c r="G1437" s="97" t="str">
        <f>IFERROR(__xludf.DUMMYFUNCTION("""COMPUTED_VALUE"""),"N/A")</f>
        <v>N/A</v>
      </c>
      <c r="H1437" s="97" t="str">
        <f>IFERROR(__xludf.DUMMYFUNCTION("""COMPUTED_VALUE"""),"N/A")</f>
        <v>N/A</v>
      </c>
      <c r="I1437" s="97" t="str">
        <f>IFERROR(__xludf.DUMMYFUNCTION("""COMPUTED_VALUE"""),"N/A")</f>
        <v>N/A</v>
      </c>
      <c r="J1437" s="97" t="str">
        <f>IFERROR(__xludf.DUMMYFUNCTION("""COMPUTED_VALUE"""),"N/A")</f>
        <v>N/A</v>
      </c>
      <c r="K1437" s="97" t="str">
        <f>IFERROR(__xludf.DUMMYFUNCTION("""COMPUTED_VALUE"""),"N/A")</f>
        <v>N/A</v>
      </c>
      <c r="L1437" s="97" t="str">
        <f>IFERROR(__xludf.DUMMYFUNCTION("""COMPUTED_VALUE"""),"48Vdc")</f>
        <v>48Vdc</v>
      </c>
      <c r="M1437" s="97" t="str">
        <f>IFERROR(__xludf.DUMMYFUNCTION("""COMPUTED_VALUE"""),"N/A")</f>
        <v>N/A</v>
      </c>
      <c r="N1437" s="97" t="str">
        <f>IFERROR(__xludf.DUMMYFUNCTION("""COMPUTED_VALUE"""),"N/A")</f>
        <v>N/A</v>
      </c>
      <c r="O1437" s="97" t="str">
        <f>IFERROR(__xludf.DUMMYFUNCTION("""COMPUTED_VALUE"""),"200 Max.")</f>
        <v>200 Max.</v>
      </c>
      <c r="P1437" s="97" t="str">
        <f>IFERROR(__xludf.DUMMYFUNCTION("""COMPUTED_VALUE"""),"N/A")</f>
        <v>N/A</v>
      </c>
      <c r="Q1437" s="97" t="str">
        <f>IFERROR(__xludf.DUMMYFUNCTION("""COMPUTED_VALUE"""),"N/A")</f>
        <v>N/A</v>
      </c>
      <c r="R1437" s="97" t="str">
        <f>IFERROR(__xludf.DUMMYFUNCTION("""COMPUTED_VALUE"""),"N/A")</f>
        <v>N/A</v>
      </c>
      <c r="S1437" s="97" t="str">
        <f>IFERROR(__xludf.DUMMYFUNCTION("""COMPUTED_VALUE"""),"N/A")</f>
        <v>N/A</v>
      </c>
      <c r="T1437" s="97" t="str">
        <f>IFERROR(__xludf.DUMMYFUNCTION("""COMPUTED_VALUE"""),"N/A")</f>
        <v>N/A</v>
      </c>
      <c r="U1437" s="97" t="str">
        <f>IFERROR(__xludf.DUMMYFUNCTION("""COMPUTED_VALUE"""),"N/A")</f>
        <v>N/A</v>
      </c>
      <c r="V1437" s="97" t="str">
        <f>IFERROR(__xludf.DUMMYFUNCTION("""COMPUTED_VALUE"""),"N/A")</f>
        <v>N/A</v>
      </c>
      <c r="W1437" s="97" t="str">
        <f>IFERROR(__xludf.DUMMYFUNCTION("""COMPUTED_VALUE"""),"N/A")</f>
        <v>N/A</v>
      </c>
      <c r="X1437" s="97" t="str">
        <f>IFERROR(__xludf.DUMMYFUNCTION("""COMPUTED_VALUE"""),"N/A")</f>
        <v>N/A</v>
      </c>
      <c r="Y1437" s="97" t="str">
        <f>IFERROR(__xludf.DUMMYFUNCTION("""COMPUTED_VALUE"""),"N/A")</f>
        <v>N/A</v>
      </c>
      <c r="Z1437" s="97" t="str">
        <f>IFERROR(__xludf.DUMMYFUNCTION("""COMPUTED_VALUE"""),"N/A")</f>
        <v>N/A</v>
      </c>
      <c r="AA1437" s="97" t="str">
        <f>IFERROR(__xludf.DUMMYFUNCTION("""COMPUTED_VALUE"""),"N/A")</f>
        <v>N/A</v>
      </c>
      <c r="AB1437" s="97" t="str">
        <f>IFERROR(__xludf.DUMMYFUNCTION("""COMPUTED_VALUE"""),"N/A")</f>
        <v>N/A</v>
      </c>
      <c r="AC1437" s="97" t="str">
        <f>IFERROR(__xludf.DUMMYFUNCTION("""COMPUTED_VALUE"""),"N/A")</f>
        <v>N/A</v>
      </c>
      <c r="AD1437" s="97" t="str">
        <f>IFERROR(__xludf.DUMMYFUNCTION("""COMPUTED_VALUE"""),"IP20")</f>
        <v>IP20</v>
      </c>
      <c r="AE1437" s="97" t="str">
        <f>IFERROR(__xludf.DUMMYFUNCTION("""COMPUTED_VALUE"""),"Clase lll")</f>
        <v>Clase lll</v>
      </c>
      <c r="AF1437" s="97" t="str">
        <f>IFERROR(__xludf.DUMMYFUNCTION("""COMPUTED_VALUE"""),"Embutir")</f>
        <v>Embutir</v>
      </c>
      <c r="AG1437" s="97" t="str">
        <f>IFERROR(__xludf.DUMMYFUNCTION("""COMPUTED_VALUE"""),"2000 x 48 x 26.2")</f>
        <v>2000 x 48 x 26.2</v>
      </c>
      <c r="AH1437" s="97"/>
      <c r="AI1437" s="97"/>
      <c r="AJ1437" s="97" t="str">
        <f>IFERROR(__xludf.DUMMYFUNCTION("""COMPUTED_VALUE"""),"N/A")</f>
        <v>N/A</v>
      </c>
      <c r="AK1437" s="97" t="str">
        <f>IFERROR(__xludf.DUMMYFUNCTION("""COMPUTED_VALUE"""),"Aluminio")</f>
        <v>Aluminio</v>
      </c>
      <c r="AL1437" s="97" t="str">
        <f>IFERROR(__xludf.DUMMYFUNCTION("""COMPUTED_VALUE"""),"Negro")</f>
        <v>Negro</v>
      </c>
      <c r="AM1437" s="97" t="str">
        <f>IFERROR(__xludf.DUMMYFUNCTION("""COMPUTED_VALUE"""),"-")</f>
        <v>-</v>
      </c>
      <c r="AN1437" s="97" t="str">
        <f>IFERROR(__xludf.DUMMYFUNCTION("""COMPUTED_VALUE"""),"N/A")</f>
        <v>N/A</v>
      </c>
      <c r="AO1437" s="97" t="str">
        <f>IFERROR(__xludf.DUMMYFUNCTION("""COMPUTED_VALUE"""),"2 Años")</f>
        <v>2 Años</v>
      </c>
      <c r="AP1437" s="97" t="str">
        <f>IFERROR(__xludf.DUMMYFUNCTION("""COMPUTED_VALUE"""),"No Aplica")</f>
        <v>No Aplica</v>
      </c>
      <c r="AQ1437" s="97" t="str">
        <f>IFERROR(__xludf.DUMMYFUNCTION("""COMPUTED_VALUE"""),"No Aplica")</f>
        <v>No Aplica</v>
      </c>
      <c r="AR1437" s="97" t="str">
        <f>IFERROR(__xludf.DUMMYFUNCTION("""COMPUTED_VALUE"""),"No Aplica")</f>
        <v>No Aplica</v>
      </c>
      <c r="AS1437" s="97" t="str">
        <f>IFERROR(__xludf.DUMMYFUNCTION("""COMPUTED_VALUE"""),"Falta")</f>
        <v>Falta</v>
      </c>
      <c r="AT1437" s="97" t="str">
        <f>IFERROR(__xludf.DUMMYFUNCTION("""COMPUTED_VALUE"""),"Falta")</f>
        <v>Falta</v>
      </c>
      <c r="AU1437" s="97" t="str">
        <f>IFERROR(__xludf.DUMMYFUNCTION("""COMPUTED_VALUE"""),"Disponible")</f>
        <v>Disponible</v>
      </c>
      <c r="AV1437" s="97" t="str">
        <f>IFERROR(__xludf.DUMMYFUNCTION("""COMPUTED_VALUE"""),"Riel")</f>
        <v>Riel</v>
      </c>
      <c r="AW1437" s="97" t="str">
        <f>IFERROR(__xludf.DUMMYFUNCTION("""COMPUTED_VALUE"""),"Rieles")</f>
        <v>Rieles</v>
      </c>
      <c r="AX1437" s="97" t="str">
        <f>IFERROR(__xludf.DUMMYFUNCTION("""COMPUTED_VALUE"""),"Interior")</f>
        <v>Interior</v>
      </c>
      <c r="AY1437" s="97" t="str">
        <f>IFERROR(__xludf.DUMMYFUNCTION("""COMPUTED_VALUE"""),"-")</f>
        <v>-</v>
      </c>
      <c r="AZ1437" s="97" t="str">
        <f>IFERROR(__xludf.DUMMYFUNCTION("""COMPUTED_VALUE"""),"-")</f>
        <v>-</v>
      </c>
      <c r="BA1437" s="97"/>
      <c r="BB1437" s="97"/>
      <c r="BC1437" s="97"/>
      <c r="BD1437" s="97" t="str">
        <f>IFERROR(__xludf.DUMMYFUNCTION("""COMPUTED_VALUE"""),"POLAR")</f>
        <v>POLAR</v>
      </c>
      <c r="BE1437" s="97"/>
      <c r="BF1437" s="97"/>
      <c r="BG1437" s="97" t="str">
        <f>IFERROR(__xludf.DUMMYFUNCTION("""COMPUTED_VALUE"""),"REPO 7")</f>
        <v>REPO 7</v>
      </c>
    </row>
    <row r="1438">
      <c r="A1438" s="97">
        <f>IFERROR(__xludf.DUMMYFUNCTION("""COMPUTED_VALUE"""),7540.0)</f>
        <v>7540</v>
      </c>
      <c r="B1438" s="97" t="str">
        <f>IFERROR(__xludf.DUMMYFUNCTION("""COMPUTED_VALUE"""),"POLAR TRACK 2M BL")</f>
        <v>POLAR TRACK 2M BL</v>
      </c>
      <c r="C1438" s="97" t="str">
        <f>IFERROR(__xludf.DUMMYFUNCTION("""COMPUTED_VALUE"""),"RIEL POLAR TRACK 2M BL LEUK")</f>
        <v>RIEL POLAR TRACK 2M BL LEUK</v>
      </c>
      <c r="D1438" s="97">
        <f>IFERROR(__xludf.DUMMYFUNCTION("""COMPUTED_VALUE"""),7.798413229882E12)</f>
        <v>7798413229882</v>
      </c>
      <c r="E1438" s="97" t="str">
        <f>IFERROR(__xludf.DUMMYFUNCTION("""COMPUTED_VALUE"""),"RM3")</f>
        <v>RM3</v>
      </c>
      <c r="F1438" s="97" t="str">
        <f>IFERROR(__xludf.DUMMYFUNCTION("""COMPUTED_VALUE"""),"N/A")</f>
        <v>N/A</v>
      </c>
      <c r="G1438" s="97" t="str">
        <f>IFERROR(__xludf.DUMMYFUNCTION("""COMPUTED_VALUE"""),"N/A")</f>
        <v>N/A</v>
      </c>
      <c r="H1438" s="97" t="str">
        <f>IFERROR(__xludf.DUMMYFUNCTION("""COMPUTED_VALUE"""),"N/A")</f>
        <v>N/A</v>
      </c>
      <c r="I1438" s="97" t="str">
        <f>IFERROR(__xludf.DUMMYFUNCTION("""COMPUTED_VALUE"""),"N/A")</f>
        <v>N/A</v>
      </c>
      <c r="J1438" s="97" t="str">
        <f>IFERROR(__xludf.DUMMYFUNCTION("""COMPUTED_VALUE"""),"N/A")</f>
        <v>N/A</v>
      </c>
      <c r="K1438" s="97" t="str">
        <f>IFERROR(__xludf.DUMMYFUNCTION("""COMPUTED_VALUE"""),"N/A")</f>
        <v>N/A</v>
      </c>
      <c r="L1438" s="97" t="str">
        <f>IFERROR(__xludf.DUMMYFUNCTION("""COMPUTED_VALUE"""),"48Vdc")</f>
        <v>48Vdc</v>
      </c>
      <c r="M1438" s="97" t="str">
        <f>IFERROR(__xludf.DUMMYFUNCTION("""COMPUTED_VALUE"""),"N/A")</f>
        <v>N/A</v>
      </c>
      <c r="N1438" s="97" t="str">
        <f>IFERROR(__xludf.DUMMYFUNCTION("""COMPUTED_VALUE"""),"N/A")</f>
        <v>N/A</v>
      </c>
      <c r="O1438" s="97" t="str">
        <f>IFERROR(__xludf.DUMMYFUNCTION("""COMPUTED_VALUE"""),"200 Max.")</f>
        <v>200 Max.</v>
      </c>
      <c r="P1438" s="97" t="str">
        <f>IFERROR(__xludf.DUMMYFUNCTION("""COMPUTED_VALUE"""),"N/A")</f>
        <v>N/A</v>
      </c>
      <c r="Q1438" s="97" t="str">
        <f>IFERROR(__xludf.DUMMYFUNCTION("""COMPUTED_VALUE"""),"N/A")</f>
        <v>N/A</v>
      </c>
      <c r="R1438" s="97" t="str">
        <f>IFERROR(__xludf.DUMMYFUNCTION("""COMPUTED_VALUE"""),"N/A")</f>
        <v>N/A</v>
      </c>
      <c r="S1438" s="97" t="str">
        <f>IFERROR(__xludf.DUMMYFUNCTION("""COMPUTED_VALUE"""),"N/A")</f>
        <v>N/A</v>
      </c>
      <c r="T1438" s="97" t="str">
        <f>IFERROR(__xludf.DUMMYFUNCTION("""COMPUTED_VALUE"""),"N/A")</f>
        <v>N/A</v>
      </c>
      <c r="U1438" s="97" t="str">
        <f>IFERROR(__xludf.DUMMYFUNCTION("""COMPUTED_VALUE"""),"N/A")</f>
        <v>N/A</v>
      </c>
      <c r="V1438" s="97" t="str">
        <f>IFERROR(__xludf.DUMMYFUNCTION("""COMPUTED_VALUE"""),"N/A")</f>
        <v>N/A</v>
      </c>
      <c r="W1438" s="97" t="str">
        <f>IFERROR(__xludf.DUMMYFUNCTION("""COMPUTED_VALUE"""),"N/A")</f>
        <v>N/A</v>
      </c>
      <c r="X1438" s="97" t="str">
        <f>IFERROR(__xludf.DUMMYFUNCTION("""COMPUTED_VALUE"""),"N/A")</f>
        <v>N/A</v>
      </c>
      <c r="Y1438" s="97" t="str">
        <f>IFERROR(__xludf.DUMMYFUNCTION("""COMPUTED_VALUE"""),"N/A")</f>
        <v>N/A</v>
      </c>
      <c r="Z1438" s="97" t="str">
        <f>IFERROR(__xludf.DUMMYFUNCTION("""COMPUTED_VALUE"""),"N/A")</f>
        <v>N/A</v>
      </c>
      <c r="AA1438" s="97" t="str">
        <f>IFERROR(__xludf.DUMMYFUNCTION("""COMPUTED_VALUE"""),"N/A")</f>
        <v>N/A</v>
      </c>
      <c r="AB1438" s="97" t="str">
        <f>IFERROR(__xludf.DUMMYFUNCTION("""COMPUTED_VALUE"""),"N/A")</f>
        <v>N/A</v>
      </c>
      <c r="AC1438" s="97" t="str">
        <f>IFERROR(__xludf.DUMMYFUNCTION("""COMPUTED_VALUE"""),"N/A")</f>
        <v>N/A</v>
      </c>
      <c r="AD1438" s="97" t="str">
        <f>IFERROR(__xludf.DUMMYFUNCTION("""COMPUTED_VALUE"""),"IP20")</f>
        <v>IP20</v>
      </c>
      <c r="AE1438" s="97" t="str">
        <f>IFERROR(__xludf.DUMMYFUNCTION("""COMPUTED_VALUE"""),"Clase lll")</f>
        <v>Clase lll</v>
      </c>
      <c r="AF1438" s="97" t="str">
        <f>IFERROR(__xludf.DUMMYFUNCTION("""COMPUTED_VALUE"""),"Embutir")</f>
        <v>Embutir</v>
      </c>
      <c r="AG1438" s="97" t="str">
        <f>IFERROR(__xludf.DUMMYFUNCTION("""COMPUTED_VALUE"""),"2000 x 48 x 26.2")</f>
        <v>2000 x 48 x 26.2</v>
      </c>
      <c r="AH1438" s="97"/>
      <c r="AI1438" s="97"/>
      <c r="AJ1438" s="97" t="str">
        <f>IFERROR(__xludf.DUMMYFUNCTION("""COMPUTED_VALUE"""),"N/A")</f>
        <v>N/A</v>
      </c>
      <c r="AK1438" s="97" t="str">
        <f>IFERROR(__xludf.DUMMYFUNCTION("""COMPUTED_VALUE"""),"Aluminio")</f>
        <v>Aluminio</v>
      </c>
      <c r="AL1438" s="97" t="str">
        <f>IFERROR(__xludf.DUMMYFUNCTION("""COMPUTED_VALUE"""),"Blanco")</f>
        <v>Blanco</v>
      </c>
      <c r="AM1438" s="97" t="str">
        <f>IFERROR(__xludf.DUMMYFUNCTION("""COMPUTED_VALUE"""),"-")</f>
        <v>-</v>
      </c>
      <c r="AN1438" s="97" t="str">
        <f>IFERROR(__xludf.DUMMYFUNCTION("""COMPUTED_VALUE"""),"N/A")</f>
        <v>N/A</v>
      </c>
      <c r="AO1438" s="97" t="str">
        <f>IFERROR(__xludf.DUMMYFUNCTION("""COMPUTED_VALUE"""),"2 Años")</f>
        <v>2 Años</v>
      </c>
      <c r="AP1438" s="97" t="str">
        <f>IFERROR(__xludf.DUMMYFUNCTION("""COMPUTED_VALUE"""),"No Aplica")</f>
        <v>No Aplica</v>
      </c>
      <c r="AQ1438" s="97" t="str">
        <f>IFERROR(__xludf.DUMMYFUNCTION("""COMPUTED_VALUE"""),"No Aplica")</f>
        <v>No Aplica</v>
      </c>
      <c r="AR1438" s="97" t="str">
        <f>IFERROR(__xludf.DUMMYFUNCTION("""COMPUTED_VALUE"""),"No Aplica")</f>
        <v>No Aplica</v>
      </c>
      <c r="AS1438" s="97" t="str">
        <f>IFERROR(__xludf.DUMMYFUNCTION("""COMPUTED_VALUE"""),"Falta")</f>
        <v>Falta</v>
      </c>
      <c r="AT1438" s="97" t="str">
        <f>IFERROR(__xludf.DUMMYFUNCTION("""COMPUTED_VALUE"""),"Falta")</f>
        <v>Falta</v>
      </c>
      <c r="AU1438" s="97" t="str">
        <f>IFERROR(__xludf.DUMMYFUNCTION("""COMPUTED_VALUE"""),"Disponible")</f>
        <v>Disponible</v>
      </c>
      <c r="AV1438" s="97" t="str">
        <f>IFERROR(__xludf.DUMMYFUNCTION("""COMPUTED_VALUE"""),"Riel")</f>
        <v>Riel</v>
      </c>
      <c r="AW1438" s="97" t="str">
        <f>IFERROR(__xludf.DUMMYFUNCTION("""COMPUTED_VALUE"""),"Rieles")</f>
        <v>Rieles</v>
      </c>
      <c r="AX1438" s="97" t="str">
        <f>IFERROR(__xludf.DUMMYFUNCTION("""COMPUTED_VALUE"""),"Interior")</f>
        <v>Interior</v>
      </c>
      <c r="AY1438" s="97" t="str">
        <f>IFERROR(__xludf.DUMMYFUNCTION("""COMPUTED_VALUE"""),"-")</f>
        <v>-</v>
      </c>
      <c r="AZ1438" s="97" t="str">
        <f>IFERROR(__xludf.DUMMYFUNCTION("""COMPUTED_VALUE"""),"-")</f>
        <v>-</v>
      </c>
      <c r="BA1438" s="97"/>
      <c r="BB1438" s="97"/>
      <c r="BC1438" s="97"/>
      <c r="BD1438" s="97" t="str">
        <f>IFERROR(__xludf.DUMMYFUNCTION("""COMPUTED_VALUE"""),"POLAR")</f>
        <v>POLAR</v>
      </c>
      <c r="BE1438" s="97"/>
      <c r="BF1438" s="97"/>
      <c r="BG1438" s="97" t="str">
        <f>IFERROR(__xludf.DUMMYFUNCTION("""COMPUTED_VALUE"""),"REPO 7")</f>
        <v>REPO 7</v>
      </c>
    </row>
    <row r="1439">
      <c r="A1439" s="97">
        <f>IFERROR(__xludf.DUMMYFUNCTION("""COMPUTED_VALUE"""),7541.0)</f>
        <v>7541</v>
      </c>
      <c r="B1439" s="97" t="str">
        <f>IFERROR(__xludf.DUMMYFUNCTION("""COMPUTED_VALUE"""),"POLAR TRACK 3M NG")</f>
        <v>POLAR TRACK 3M NG</v>
      </c>
      <c r="C1439" s="97" t="str">
        <f>IFERROR(__xludf.DUMMYFUNCTION("""COMPUTED_VALUE"""),"RIEL POLAR TRACK 3M NG LEUK")</f>
        <v>RIEL POLAR TRACK 3M NG LEUK</v>
      </c>
      <c r="D1439" s="97">
        <f>IFERROR(__xludf.DUMMYFUNCTION("""COMPUTED_VALUE"""),7.798413229899E12)</f>
        <v>7798413229899</v>
      </c>
      <c r="E1439" s="97" t="str">
        <f>IFERROR(__xludf.DUMMYFUNCTION("""COMPUTED_VALUE"""),"RM4")</f>
        <v>RM4</v>
      </c>
      <c r="F1439" s="97" t="str">
        <f>IFERROR(__xludf.DUMMYFUNCTION("""COMPUTED_VALUE"""),"N/A")</f>
        <v>N/A</v>
      </c>
      <c r="G1439" s="97" t="str">
        <f>IFERROR(__xludf.DUMMYFUNCTION("""COMPUTED_VALUE"""),"N/A")</f>
        <v>N/A</v>
      </c>
      <c r="H1439" s="97" t="str">
        <f>IFERROR(__xludf.DUMMYFUNCTION("""COMPUTED_VALUE"""),"N/A")</f>
        <v>N/A</v>
      </c>
      <c r="I1439" s="97" t="str">
        <f>IFERROR(__xludf.DUMMYFUNCTION("""COMPUTED_VALUE"""),"N/A")</f>
        <v>N/A</v>
      </c>
      <c r="J1439" s="97" t="str">
        <f>IFERROR(__xludf.DUMMYFUNCTION("""COMPUTED_VALUE"""),"N/A")</f>
        <v>N/A</v>
      </c>
      <c r="K1439" s="97" t="str">
        <f>IFERROR(__xludf.DUMMYFUNCTION("""COMPUTED_VALUE"""),"N/A")</f>
        <v>N/A</v>
      </c>
      <c r="L1439" s="97" t="str">
        <f>IFERROR(__xludf.DUMMYFUNCTION("""COMPUTED_VALUE"""),"48Vdc")</f>
        <v>48Vdc</v>
      </c>
      <c r="M1439" s="97" t="str">
        <f>IFERROR(__xludf.DUMMYFUNCTION("""COMPUTED_VALUE"""),"N/A")</f>
        <v>N/A</v>
      </c>
      <c r="N1439" s="97" t="str">
        <f>IFERROR(__xludf.DUMMYFUNCTION("""COMPUTED_VALUE"""),"N/A")</f>
        <v>N/A</v>
      </c>
      <c r="O1439" s="97" t="str">
        <f>IFERROR(__xludf.DUMMYFUNCTION("""COMPUTED_VALUE"""),"200 Max.")</f>
        <v>200 Max.</v>
      </c>
      <c r="P1439" s="97" t="str">
        <f>IFERROR(__xludf.DUMMYFUNCTION("""COMPUTED_VALUE"""),"N/A")</f>
        <v>N/A</v>
      </c>
      <c r="Q1439" s="97" t="str">
        <f>IFERROR(__xludf.DUMMYFUNCTION("""COMPUTED_VALUE"""),"N/A")</f>
        <v>N/A</v>
      </c>
      <c r="R1439" s="97" t="str">
        <f>IFERROR(__xludf.DUMMYFUNCTION("""COMPUTED_VALUE"""),"N/A")</f>
        <v>N/A</v>
      </c>
      <c r="S1439" s="97" t="str">
        <f>IFERROR(__xludf.DUMMYFUNCTION("""COMPUTED_VALUE"""),"N/A")</f>
        <v>N/A</v>
      </c>
      <c r="T1439" s="97" t="str">
        <f>IFERROR(__xludf.DUMMYFUNCTION("""COMPUTED_VALUE"""),"N/A")</f>
        <v>N/A</v>
      </c>
      <c r="U1439" s="97" t="str">
        <f>IFERROR(__xludf.DUMMYFUNCTION("""COMPUTED_VALUE"""),"N/A")</f>
        <v>N/A</v>
      </c>
      <c r="V1439" s="97" t="str">
        <f>IFERROR(__xludf.DUMMYFUNCTION("""COMPUTED_VALUE"""),"N/A")</f>
        <v>N/A</v>
      </c>
      <c r="W1439" s="97" t="str">
        <f>IFERROR(__xludf.DUMMYFUNCTION("""COMPUTED_VALUE"""),"N/A")</f>
        <v>N/A</v>
      </c>
      <c r="X1439" s="97" t="str">
        <f>IFERROR(__xludf.DUMMYFUNCTION("""COMPUTED_VALUE"""),"N/A")</f>
        <v>N/A</v>
      </c>
      <c r="Y1439" s="97" t="str">
        <f>IFERROR(__xludf.DUMMYFUNCTION("""COMPUTED_VALUE"""),"N/A")</f>
        <v>N/A</v>
      </c>
      <c r="Z1439" s="97" t="str">
        <f>IFERROR(__xludf.DUMMYFUNCTION("""COMPUTED_VALUE"""),"N/A")</f>
        <v>N/A</v>
      </c>
      <c r="AA1439" s="97" t="str">
        <f>IFERROR(__xludf.DUMMYFUNCTION("""COMPUTED_VALUE"""),"N/A")</f>
        <v>N/A</v>
      </c>
      <c r="AB1439" s="97" t="str">
        <f>IFERROR(__xludf.DUMMYFUNCTION("""COMPUTED_VALUE"""),"N/A")</f>
        <v>N/A</v>
      </c>
      <c r="AC1439" s="97" t="str">
        <f>IFERROR(__xludf.DUMMYFUNCTION("""COMPUTED_VALUE"""),"N/A")</f>
        <v>N/A</v>
      </c>
      <c r="AD1439" s="97" t="str">
        <f>IFERROR(__xludf.DUMMYFUNCTION("""COMPUTED_VALUE"""),"IP20")</f>
        <v>IP20</v>
      </c>
      <c r="AE1439" s="97" t="str">
        <f>IFERROR(__xludf.DUMMYFUNCTION("""COMPUTED_VALUE"""),"Clase lll")</f>
        <v>Clase lll</v>
      </c>
      <c r="AF1439" s="97" t="str">
        <f>IFERROR(__xludf.DUMMYFUNCTION("""COMPUTED_VALUE"""),"Embutir")</f>
        <v>Embutir</v>
      </c>
      <c r="AG1439" s="97" t="str">
        <f>IFERROR(__xludf.DUMMYFUNCTION("""COMPUTED_VALUE"""),"3000 x 48 x 26.2")</f>
        <v>3000 x 48 x 26.2</v>
      </c>
      <c r="AH1439" s="97"/>
      <c r="AI1439" s="97"/>
      <c r="AJ1439" s="97" t="str">
        <f>IFERROR(__xludf.DUMMYFUNCTION("""COMPUTED_VALUE"""),"N/A")</f>
        <v>N/A</v>
      </c>
      <c r="AK1439" s="97" t="str">
        <f>IFERROR(__xludf.DUMMYFUNCTION("""COMPUTED_VALUE"""),"Aluminio")</f>
        <v>Aluminio</v>
      </c>
      <c r="AL1439" s="97" t="str">
        <f>IFERROR(__xludf.DUMMYFUNCTION("""COMPUTED_VALUE"""),"Negro")</f>
        <v>Negro</v>
      </c>
      <c r="AM1439" s="97" t="str">
        <f>IFERROR(__xludf.DUMMYFUNCTION("""COMPUTED_VALUE"""),"-")</f>
        <v>-</v>
      </c>
      <c r="AN1439" s="97" t="str">
        <f>IFERROR(__xludf.DUMMYFUNCTION("""COMPUTED_VALUE"""),"N/A")</f>
        <v>N/A</v>
      </c>
      <c r="AO1439" s="97" t="str">
        <f>IFERROR(__xludf.DUMMYFUNCTION("""COMPUTED_VALUE"""),"2 Años")</f>
        <v>2 Años</v>
      </c>
      <c r="AP1439" s="97" t="str">
        <f>IFERROR(__xludf.DUMMYFUNCTION("""COMPUTED_VALUE"""),"No Aplica")</f>
        <v>No Aplica</v>
      </c>
      <c r="AQ1439" s="97" t="str">
        <f>IFERROR(__xludf.DUMMYFUNCTION("""COMPUTED_VALUE"""),"No Aplica")</f>
        <v>No Aplica</v>
      </c>
      <c r="AR1439" s="97" t="str">
        <f>IFERROR(__xludf.DUMMYFUNCTION("""COMPUTED_VALUE"""),"No Aplica")</f>
        <v>No Aplica</v>
      </c>
      <c r="AS1439" s="97" t="str">
        <f>IFERROR(__xludf.DUMMYFUNCTION("""COMPUTED_VALUE"""),"Falta")</f>
        <v>Falta</v>
      </c>
      <c r="AT1439" s="97" t="str">
        <f>IFERROR(__xludf.DUMMYFUNCTION("""COMPUTED_VALUE"""),"Falta")</f>
        <v>Falta</v>
      </c>
      <c r="AU1439" s="97" t="str">
        <f>IFERROR(__xludf.DUMMYFUNCTION("""COMPUTED_VALUE"""),"Disponible")</f>
        <v>Disponible</v>
      </c>
      <c r="AV1439" s="97" t="str">
        <f>IFERROR(__xludf.DUMMYFUNCTION("""COMPUTED_VALUE"""),"Riel")</f>
        <v>Riel</v>
      </c>
      <c r="AW1439" s="97" t="str">
        <f>IFERROR(__xludf.DUMMYFUNCTION("""COMPUTED_VALUE"""),"Rieles")</f>
        <v>Rieles</v>
      </c>
      <c r="AX1439" s="97" t="str">
        <f>IFERROR(__xludf.DUMMYFUNCTION("""COMPUTED_VALUE"""),"Interior")</f>
        <v>Interior</v>
      </c>
      <c r="AY1439" s="97" t="str">
        <f>IFERROR(__xludf.DUMMYFUNCTION("""COMPUTED_VALUE"""),"-")</f>
        <v>-</v>
      </c>
      <c r="AZ1439" s="97" t="str">
        <f>IFERROR(__xludf.DUMMYFUNCTION("""COMPUTED_VALUE"""),"-")</f>
        <v>-</v>
      </c>
      <c r="BA1439" s="97"/>
      <c r="BB1439" s="97"/>
      <c r="BC1439" s="97"/>
      <c r="BD1439" s="97" t="str">
        <f>IFERROR(__xludf.DUMMYFUNCTION("""COMPUTED_VALUE"""),"POLAR")</f>
        <v>POLAR</v>
      </c>
      <c r="BE1439" s="97"/>
      <c r="BF1439" s="97"/>
      <c r="BG1439" s="97" t="str">
        <f>IFERROR(__xludf.DUMMYFUNCTION("""COMPUTED_VALUE"""),"REPO 7")</f>
        <v>REPO 7</v>
      </c>
    </row>
    <row r="1440">
      <c r="A1440" s="97">
        <f>IFERROR(__xludf.DUMMYFUNCTION("""COMPUTED_VALUE"""),7542.0)</f>
        <v>7542</v>
      </c>
      <c r="B1440" s="97" t="str">
        <f>IFERROR(__xludf.DUMMYFUNCTION("""COMPUTED_VALUE"""),"POLAR TRACK 3M BL")</f>
        <v>POLAR TRACK 3M BL</v>
      </c>
      <c r="C1440" s="97" t="str">
        <f>IFERROR(__xludf.DUMMYFUNCTION("""COMPUTED_VALUE"""),"RIEL POLAR TRACK 3M BL LEUK")</f>
        <v>RIEL POLAR TRACK 3M BL LEUK</v>
      </c>
      <c r="D1440" s="97">
        <f>IFERROR(__xludf.DUMMYFUNCTION("""COMPUTED_VALUE"""),7.798413229905E12)</f>
        <v>7798413229905</v>
      </c>
      <c r="E1440" s="97" t="str">
        <f>IFERROR(__xludf.DUMMYFUNCTION("""COMPUTED_VALUE"""),"RM4")</f>
        <v>RM4</v>
      </c>
      <c r="F1440" s="97" t="str">
        <f>IFERROR(__xludf.DUMMYFUNCTION("""COMPUTED_VALUE"""),"N/A")</f>
        <v>N/A</v>
      </c>
      <c r="G1440" s="97" t="str">
        <f>IFERROR(__xludf.DUMMYFUNCTION("""COMPUTED_VALUE"""),"N/A")</f>
        <v>N/A</v>
      </c>
      <c r="H1440" s="97" t="str">
        <f>IFERROR(__xludf.DUMMYFUNCTION("""COMPUTED_VALUE"""),"N/A")</f>
        <v>N/A</v>
      </c>
      <c r="I1440" s="97" t="str">
        <f>IFERROR(__xludf.DUMMYFUNCTION("""COMPUTED_VALUE"""),"N/A")</f>
        <v>N/A</v>
      </c>
      <c r="J1440" s="97" t="str">
        <f>IFERROR(__xludf.DUMMYFUNCTION("""COMPUTED_VALUE"""),"N/A")</f>
        <v>N/A</v>
      </c>
      <c r="K1440" s="97" t="str">
        <f>IFERROR(__xludf.DUMMYFUNCTION("""COMPUTED_VALUE"""),"N/A")</f>
        <v>N/A</v>
      </c>
      <c r="L1440" s="97" t="str">
        <f>IFERROR(__xludf.DUMMYFUNCTION("""COMPUTED_VALUE"""),"48Vdc")</f>
        <v>48Vdc</v>
      </c>
      <c r="M1440" s="97" t="str">
        <f>IFERROR(__xludf.DUMMYFUNCTION("""COMPUTED_VALUE"""),"N/A")</f>
        <v>N/A</v>
      </c>
      <c r="N1440" s="97" t="str">
        <f>IFERROR(__xludf.DUMMYFUNCTION("""COMPUTED_VALUE"""),"N/A")</f>
        <v>N/A</v>
      </c>
      <c r="O1440" s="97" t="str">
        <f>IFERROR(__xludf.DUMMYFUNCTION("""COMPUTED_VALUE"""),"200 Max.")</f>
        <v>200 Max.</v>
      </c>
      <c r="P1440" s="97" t="str">
        <f>IFERROR(__xludf.DUMMYFUNCTION("""COMPUTED_VALUE"""),"N/A")</f>
        <v>N/A</v>
      </c>
      <c r="Q1440" s="97" t="str">
        <f>IFERROR(__xludf.DUMMYFUNCTION("""COMPUTED_VALUE"""),"N/A")</f>
        <v>N/A</v>
      </c>
      <c r="R1440" s="97" t="str">
        <f>IFERROR(__xludf.DUMMYFUNCTION("""COMPUTED_VALUE"""),"N/A")</f>
        <v>N/A</v>
      </c>
      <c r="S1440" s="97" t="str">
        <f>IFERROR(__xludf.DUMMYFUNCTION("""COMPUTED_VALUE"""),"N/A")</f>
        <v>N/A</v>
      </c>
      <c r="T1440" s="97" t="str">
        <f>IFERROR(__xludf.DUMMYFUNCTION("""COMPUTED_VALUE"""),"N/A")</f>
        <v>N/A</v>
      </c>
      <c r="U1440" s="97" t="str">
        <f>IFERROR(__xludf.DUMMYFUNCTION("""COMPUTED_VALUE"""),"N/A")</f>
        <v>N/A</v>
      </c>
      <c r="V1440" s="97" t="str">
        <f>IFERROR(__xludf.DUMMYFUNCTION("""COMPUTED_VALUE"""),"N/A")</f>
        <v>N/A</v>
      </c>
      <c r="W1440" s="97" t="str">
        <f>IFERROR(__xludf.DUMMYFUNCTION("""COMPUTED_VALUE"""),"N/A")</f>
        <v>N/A</v>
      </c>
      <c r="X1440" s="97" t="str">
        <f>IFERROR(__xludf.DUMMYFUNCTION("""COMPUTED_VALUE"""),"N/A")</f>
        <v>N/A</v>
      </c>
      <c r="Y1440" s="97" t="str">
        <f>IFERROR(__xludf.DUMMYFUNCTION("""COMPUTED_VALUE"""),"N/A")</f>
        <v>N/A</v>
      </c>
      <c r="Z1440" s="97" t="str">
        <f>IFERROR(__xludf.DUMMYFUNCTION("""COMPUTED_VALUE"""),"N/A")</f>
        <v>N/A</v>
      </c>
      <c r="AA1440" s="97" t="str">
        <f>IFERROR(__xludf.DUMMYFUNCTION("""COMPUTED_VALUE"""),"N/A")</f>
        <v>N/A</v>
      </c>
      <c r="AB1440" s="97" t="str">
        <f>IFERROR(__xludf.DUMMYFUNCTION("""COMPUTED_VALUE"""),"N/A")</f>
        <v>N/A</v>
      </c>
      <c r="AC1440" s="97" t="str">
        <f>IFERROR(__xludf.DUMMYFUNCTION("""COMPUTED_VALUE"""),"N/A")</f>
        <v>N/A</v>
      </c>
      <c r="AD1440" s="97" t="str">
        <f>IFERROR(__xludf.DUMMYFUNCTION("""COMPUTED_VALUE"""),"IP20")</f>
        <v>IP20</v>
      </c>
      <c r="AE1440" s="97" t="str">
        <f>IFERROR(__xludf.DUMMYFUNCTION("""COMPUTED_VALUE"""),"Clase lll")</f>
        <v>Clase lll</v>
      </c>
      <c r="AF1440" s="97" t="str">
        <f>IFERROR(__xludf.DUMMYFUNCTION("""COMPUTED_VALUE"""),"Embutir")</f>
        <v>Embutir</v>
      </c>
      <c r="AG1440" s="97" t="str">
        <f>IFERROR(__xludf.DUMMYFUNCTION("""COMPUTED_VALUE"""),"3000 x 48 x 26.2")</f>
        <v>3000 x 48 x 26.2</v>
      </c>
      <c r="AH1440" s="97"/>
      <c r="AI1440" s="97"/>
      <c r="AJ1440" s="97" t="str">
        <f>IFERROR(__xludf.DUMMYFUNCTION("""COMPUTED_VALUE"""),"N/A")</f>
        <v>N/A</v>
      </c>
      <c r="AK1440" s="97" t="str">
        <f>IFERROR(__xludf.DUMMYFUNCTION("""COMPUTED_VALUE"""),"Aluminio")</f>
        <v>Aluminio</v>
      </c>
      <c r="AL1440" s="97" t="str">
        <f>IFERROR(__xludf.DUMMYFUNCTION("""COMPUTED_VALUE"""),"Blanco")</f>
        <v>Blanco</v>
      </c>
      <c r="AM1440" s="97" t="str">
        <f>IFERROR(__xludf.DUMMYFUNCTION("""COMPUTED_VALUE"""),"-")</f>
        <v>-</v>
      </c>
      <c r="AN1440" s="97" t="str">
        <f>IFERROR(__xludf.DUMMYFUNCTION("""COMPUTED_VALUE"""),"N/A")</f>
        <v>N/A</v>
      </c>
      <c r="AO1440" s="97" t="str">
        <f>IFERROR(__xludf.DUMMYFUNCTION("""COMPUTED_VALUE"""),"2 Años")</f>
        <v>2 Años</v>
      </c>
      <c r="AP1440" s="97" t="str">
        <f>IFERROR(__xludf.DUMMYFUNCTION("""COMPUTED_VALUE"""),"No Aplica")</f>
        <v>No Aplica</v>
      </c>
      <c r="AQ1440" s="97" t="str">
        <f>IFERROR(__xludf.DUMMYFUNCTION("""COMPUTED_VALUE"""),"No Aplica")</f>
        <v>No Aplica</v>
      </c>
      <c r="AR1440" s="97" t="str">
        <f>IFERROR(__xludf.DUMMYFUNCTION("""COMPUTED_VALUE"""),"No Aplica")</f>
        <v>No Aplica</v>
      </c>
      <c r="AS1440" s="97" t="str">
        <f>IFERROR(__xludf.DUMMYFUNCTION("""COMPUTED_VALUE"""),"Falta")</f>
        <v>Falta</v>
      </c>
      <c r="AT1440" s="97" t="str">
        <f>IFERROR(__xludf.DUMMYFUNCTION("""COMPUTED_VALUE"""),"Falta")</f>
        <v>Falta</v>
      </c>
      <c r="AU1440" s="97" t="str">
        <f>IFERROR(__xludf.DUMMYFUNCTION("""COMPUTED_VALUE"""),"Disponible")</f>
        <v>Disponible</v>
      </c>
      <c r="AV1440" s="97" t="str">
        <f>IFERROR(__xludf.DUMMYFUNCTION("""COMPUTED_VALUE"""),"Riel")</f>
        <v>Riel</v>
      </c>
      <c r="AW1440" s="97" t="str">
        <f>IFERROR(__xludf.DUMMYFUNCTION("""COMPUTED_VALUE"""),"Rieles")</f>
        <v>Rieles</v>
      </c>
      <c r="AX1440" s="97" t="str">
        <f>IFERROR(__xludf.DUMMYFUNCTION("""COMPUTED_VALUE"""),"Interior")</f>
        <v>Interior</v>
      </c>
      <c r="AY1440" s="97" t="str">
        <f>IFERROR(__xludf.DUMMYFUNCTION("""COMPUTED_VALUE"""),"-")</f>
        <v>-</v>
      </c>
      <c r="AZ1440" s="97" t="str">
        <f>IFERROR(__xludf.DUMMYFUNCTION("""COMPUTED_VALUE"""),"-")</f>
        <v>-</v>
      </c>
      <c r="BA1440" s="97"/>
      <c r="BB1440" s="97"/>
      <c r="BC1440" s="97"/>
      <c r="BD1440" s="97" t="str">
        <f>IFERROR(__xludf.DUMMYFUNCTION("""COMPUTED_VALUE"""),"POLAR")</f>
        <v>POLAR</v>
      </c>
      <c r="BE1440" s="97"/>
      <c r="BF1440" s="97"/>
      <c r="BG1440" s="97" t="str">
        <f>IFERROR(__xludf.DUMMYFUNCTION("""COMPUTED_VALUE"""),"REPO 7")</f>
        <v>REPO 7</v>
      </c>
    </row>
    <row r="1441">
      <c r="A1441" s="97">
        <f>IFERROR(__xludf.DUMMYFUNCTION("""COMPUTED_VALUE"""),7545.0)</f>
        <v>7545</v>
      </c>
      <c r="B1441" s="97" t="str">
        <f>IFERROR(__xludf.DUMMYFUNCTION("""COMPUTED_VALUE"""),"POLAR CONECTOR LINEAL NG")</f>
        <v>POLAR CONECTOR LINEAL NG</v>
      </c>
      <c r="C1441" s="97" t="str">
        <f>IFERROR(__xludf.DUMMYFUNCTION("""COMPUTED_VALUE"""),"ACCESORIO POLAR CONECTOR LINEAL NG LEUK")</f>
        <v>ACCESORIO POLAR CONECTOR LINEAL NG LEUK</v>
      </c>
      <c r="D1441" s="97">
        <f>IFERROR(__xludf.DUMMYFUNCTION("""COMPUTED_VALUE"""),7.798485460015E12)</f>
        <v>7798485460015</v>
      </c>
      <c r="E1441" s="97" t="str">
        <f>IFERROR(__xludf.DUMMYFUNCTION("""COMPUTED_VALUE"""),"RM12")</f>
        <v>RM12</v>
      </c>
      <c r="F1441" s="97" t="str">
        <f>IFERROR(__xludf.DUMMYFUNCTION("""COMPUTED_VALUE"""),"N/A")</f>
        <v>N/A</v>
      </c>
      <c r="G1441" s="97" t="str">
        <f>IFERROR(__xludf.DUMMYFUNCTION("""COMPUTED_VALUE"""),"N/A")</f>
        <v>N/A</v>
      </c>
      <c r="H1441" s="97" t="str">
        <f>IFERROR(__xludf.DUMMYFUNCTION("""COMPUTED_VALUE"""),"N/A")</f>
        <v>N/A</v>
      </c>
      <c r="I1441" s="97" t="str">
        <f>IFERROR(__xludf.DUMMYFUNCTION("""COMPUTED_VALUE"""),"N/A")</f>
        <v>N/A</v>
      </c>
      <c r="J1441" s="97" t="str">
        <f>IFERROR(__xludf.DUMMYFUNCTION("""COMPUTED_VALUE"""),"N/A")</f>
        <v>N/A</v>
      </c>
      <c r="K1441" s="97" t="str">
        <f>IFERROR(__xludf.DUMMYFUNCTION("""COMPUTED_VALUE"""),"N/A")</f>
        <v>N/A</v>
      </c>
      <c r="L1441" s="97" t="str">
        <f>IFERROR(__xludf.DUMMYFUNCTION("""COMPUTED_VALUE"""),"48Vdc")</f>
        <v>48Vdc</v>
      </c>
      <c r="M1441" s="97" t="str">
        <f>IFERROR(__xludf.DUMMYFUNCTION("""COMPUTED_VALUE"""),"N/A")</f>
        <v>N/A</v>
      </c>
      <c r="N1441" s="97" t="str">
        <f>IFERROR(__xludf.DUMMYFUNCTION("""COMPUTED_VALUE"""),"N/A")</f>
        <v>N/A</v>
      </c>
      <c r="O1441" s="97" t="str">
        <f>IFERROR(__xludf.DUMMYFUNCTION("""COMPUTED_VALUE"""),"200 Max.")</f>
        <v>200 Max.</v>
      </c>
      <c r="P1441" s="97" t="str">
        <f>IFERROR(__xludf.DUMMYFUNCTION("""COMPUTED_VALUE"""),"N/A")</f>
        <v>N/A</v>
      </c>
      <c r="Q1441" s="97" t="str">
        <f>IFERROR(__xludf.DUMMYFUNCTION("""COMPUTED_VALUE"""),"N/A")</f>
        <v>N/A</v>
      </c>
      <c r="R1441" s="97" t="str">
        <f>IFERROR(__xludf.DUMMYFUNCTION("""COMPUTED_VALUE"""),"N/A")</f>
        <v>N/A</v>
      </c>
      <c r="S1441" s="97" t="str">
        <f>IFERROR(__xludf.DUMMYFUNCTION("""COMPUTED_VALUE"""),"N/A")</f>
        <v>N/A</v>
      </c>
      <c r="T1441" s="97" t="str">
        <f>IFERROR(__xludf.DUMMYFUNCTION("""COMPUTED_VALUE"""),"N/A")</f>
        <v>N/A</v>
      </c>
      <c r="U1441" s="97" t="str">
        <f>IFERROR(__xludf.DUMMYFUNCTION("""COMPUTED_VALUE"""),"N/A")</f>
        <v>N/A</v>
      </c>
      <c r="V1441" s="97" t="str">
        <f>IFERROR(__xludf.DUMMYFUNCTION("""COMPUTED_VALUE"""),"N/A")</f>
        <v>N/A</v>
      </c>
      <c r="W1441" s="97" t="str">
        <f>IFERROR(__xludf.DUMMYFUNCTION("""COMPUTED_VALUE"""),"N/A")</f>
        <v>N/A</v>
      </c>
      <c r="X1441" s="97" t="str">
        <f>IFERROR(__xludf.DUMMYFUNCTION("""COMPUTED_VALUE"""),"N/A")</f>
        <v>N/A</v>
      </c>
      <c r="Y1441" s="97" t="str">
        <f>IFERROR(__xludf.DUMMYFUNCTION("""COMPUTED_VALUE"""),"N/A")</f>
        <v>N/A</v>
      </c>
      <c r="Z1441" s="97" t="str">
        <f>IFERROR(__xludf.DUMMYFUNCTION("""COMPUTED_VALUE"""),"N/A")</f>
        <v>N/A</v>
      </c>
      <c r="AA1441" s="97" t="str">
        <f>IFERROR(__xludf.DUMMYFUNCTION("""COMPUTED_VALUE"""),"N/A")</f>
        <v>N/A</v>
      </c>
      <c r="AB1441" s="97" t="str">
        <f>IFERROR(__xludf.DUMMYFUNCTION("""COMPUTED_VALUE"""),"N/A")</f>
        <v>N/A</v>
      </c>
      <c r="AC1441" s="97" t="str">
        <f>IFERROR(__xludf.DUMMYFUNCTION("""COMPUTED_VALUE"""),"N/A")</f>
        <v>N/A</v>
      </c>
      <c r="AD1441" s="97" t="str">
        <f>IFERROR(__xludf.DUMMYFUNCTION("""COMPUTED_VALUE"""),"IP20")</f>
        <v>IP20</v>
      </c>
      <c r="AE1441" s="97" t="str">
        <f>IFERROR(__xludf.DUMMYFUNCTION("""COMPUTED_VALUE"""),"Clase lll")</f>
        <v>Clase lll</v>
      </c>
      <c r="AF1441" s="97" t="str">
        <f>IFERROR(__xludf.DUMMYFUNCTION("""COMPUTED_VALUE"""),"N/A")</f>
        <v>N/A</v>
      </c>
      <c r="AG1441" s="97"/>
      <c r="AH1441" s="97" t="str">
        <f>IFERROR(__xludf.DUMMYFUNCTION("""COMPUTED_VALUE"""),"N/A")</f>
        <v>N/A</v>
      </c>
      <c r="AI1441" s="97" t="str">
        <f>IFERROR(__xludf.DUMMYFUNCTION("""COMPUTED_VALUE"""),"N/A")</f>
        <v>N/A</v>
      </c>
      <c r="AJ1441" s="97" t="str">
        <f>IFERROR(__xludf.DUMMYFUNCTION("""COMPUTED_VALUE"""),"N/A")</f>
        <v>N/A</v>
      </c>
      <c r="AK1441" s="97" t="str">
        <f>IFERROR(__xludf.DUMMYFUNCTION("""COMPUTED_VALUE"""),"Policarbonato (PC)")</f>
        <v>Policarbonato (PC)</v>
      </c>
      <c r="AL1441" s="97" t="str">
        <f>IFERROR(__xludf.DUMMYFUNCTION("""COMPUTED_VALUE"""),"Negro")</f>
        <v>Negro</v>
      </c>
      <c r="AM1441" s="97" t="str">
        <f>IFERROR(__xludf.DUMMYFUNCTION("""COMPUTED_VALUE"""),"-")</f>
        <v>-</v>
      </c>
      <c r="AN1441" s="97" t="str">
        <f>IFERROR(__xludf.DUMMYFUNCTION("""COMPUTED_VALUE"""),"N/A")</f>
        <v>N/A</v>
      </c>
      <c r="AO1441" s="97" t="str">
        <f>IFERROR(__xludf.DUMMYFUNCTION("""COMPUTED_VALUE"""),"2 Años")</f>
        <v>2 Años</v>
      </c>
      <c r="AP1441" s="97" t="str">
        <f>IFERROR(__xludf.DUMMYFUNCTION("""COMPUTED_VALUE"""),"No Aplica")</f>
        <v>No Aplica</v>
      </c>
      <c r="AQ1441" s="97" t="str">
        <f>IFERROR(__xludf.DUMMYFUNCTION("""COMPUTED_VALUE"""),"No Aplica")</f>
        <v>No Aplica</v>
      </c>
      <c r="AR1441" s="97" t="str">
        <f>IFERROR(__xludf.DUMMYFUNCTION("""COMPUTED_VALUE"""),"No Aplica")</f>
        <v>No Aplica</v>
      </c>
      <c r="AS1441" s="97" t="str">
        <f>IFERROR(__xludf.DUMMYFUNCTION("""COMPUTED_VALUE"""),"Falta")</f>
        <v>Falta</v>
      </c>
      <c r="AT1441" s="97" t="str">
        <f>IFERROR(__xludf.DUMMYFUNCTION("""COMPUTED_VALUE"""),"Falta")</f>
        <v>Falta</v>
      </c>
      <c r="AU1441" s="97" t="str">
        <f>IFERROR(__xludf.DUMMYFUNCTION("""COMPUTED_VALUE"""),"Disponible")</f>
        <v>Disponible</v>
      </c>
      <c r="AV1441" s="97" t="str">
        <f>IFERROR(__xludf.DUMMYFUNCTION("""COMPUTED_VALUE"""),"Accesorio")</f>
        <v>Accesorio</v>
      </c>
      <c r="AW1441" s="97" t="str">
        <f>IFERROR(__xludf.DUMMYFUNCTION("""COMPUTED_VALUE"""),"Rieles")</f>
        <v>Rieles</v>
      </c>
      <c r="AX1441" s="97" t="str">
        <f>IFERROR(__xludf.DUMMYFUNCTION("""COMPUTED_VALUE"""),"Interior")</f>
        <v>Interior</v>
      </c>
      <c r="AY1441" s="97" t="str">
        <f>IFERROR(__xludf.DUMMYFUNCTION("""COMPUTED_VALUE"""),"-")</f>
        <v>-</v>
      </c>
      <c r="AZ1441" s="97" t="str">
        <f>IFERROR(__xludf.DUMMYFUNCTION("""COMPUTED_VALUE"""),"-")</f>
        <v>-</v>
      </c>
      <c r="BA1441" s="97"/>
      <c r="BB1441" s="97"/>
      <c r="BC1441" s="97"/>
      <c r="BD1441" s="97" t="str">
        <f>IFERROR(__xludf.DUMMYFUNCTION("""COMPUTED_VALUE"""),"POLAR")</f>
        <v>POLAR</v>
      </c>
      <c r="BE1441" s="97"/>
      <c r="BF1441" s="97"/>
      <c r="BG1441" s="97" t="str">
        <f>IFERROR(__xludf.DUMMYFUNCTION("""COMPUTED_VALUE"""),"REPO 7")</f>
        <v>REPO 7</v>
      </c>
    </row>
    <row r="1442">
      <c r="A1442" s="97">
        <f>IFERROR(__xludf.DUMMYFUNCTION("""COMPUTED_VALUE"""),7546.0)</f>
        <v>7546</v>
      </c>
      <c r="B1442" s="97" t="str">
        <f>IFERROR(__xludf.DUMMYFUNCTION("""COMPUTED_VALUE"""),"POLAR CONECTOR LINEAL BL")</f>
        <v>POLAR CONECTOR LINEAL BL</v>
      </c>
      <c r="C1442" s="97" t="str">
        <f>IFERROR(__xludf.DUMMYFUNCTION("""COMPUTED_VALUE"""),"ACCESORIO POLAR CONECTOR LINEAL BL LEUK")</f>
        <v>ACCESORIO POLAR CONECTOR LINEAL BL LEUK</v>
      </c>
      <c r="D1442" s="97">
        <f>IFERROR(__xludf.DUMMYFUNCTION("""COMPUTED_VALUE"""),7.798485460022E12)</f>
        <v>7798485460022</v>
      </c>
      <c r="E1442" s="97" t="str">
        <f>IFERROR(__xludf.DUMMYFUNCTION("""COMPUTED_VALUE"""),"RM12")</f>
        <v>RM12</v>
      </c>
      <c r="F1442" s="97" t="str">
        <f>IFERROR(__xludf.DUMMYFUNCTION("""COMPUTED_VALUE"""),"N/A")</f>
        <v>N/A</v>
      </c>
      <c r="G1442" s="97" t="str">
        <f>IFERROR(__xludf.DUMMYFUNCTION("""COMPUTED_VALUE"""),"N/A")</f>
        <v>N/A</v>
      </c>
      <c r="H1442" s="97" t="str">
        <f>IFERROR(__xludf.DUMMYFUNCTION("""COMPUTED_VALUE"""),"N/A")</f>
        <v>N/A</v>
      </c>
      <c r="I1442" s="97" t="str">
        <f>IFERROR(__xludf.DUMMYFUNCTION("""COMPUTED_VALUE"""),"N/A")</f>
        <v>N/A</v>
      </c>
      <c r="J1442" s="97" t="str">
        <f>IFERROR(__xludf.DUMMYFUNCTION("""COMPUTED_VALUE"""),"N/A")</f>
        <v>N/A</v>
      </c>
      <c r="K1442" s="97" t="str">
        <f>IFERROR(__xludf.DUMMYFUNCTION("""COMPUTED_VALUE"""),"N/A")</f>
        <v>N/A</v>
      </c>
      <c r="L1442" s="97" t="str">
        <f>IFERROR(__xludf.DUMMYFUNCTION("""COMPUTED_VALUE"""),"48Vdc")</f>
        <v>48Vdc</v>
      </c>
      <c r="M1442" s="97" t="str">
        <f>IFERROR(__xludf.DUMMYFUNCTION("""COMPUTED_VALUE"""),"N/A")</f>
        <v>N/A</v>
      </c>
      <c r="N1442" s="97" t="str">
        <f>IFERROR(__xludf.DUMMYFUNCTION("""COMPUTED_VALUE"""),"N/A")</f>
        <v>N/A</v>
      </c>
      <c r="O1442" s="97" t="str">
        <f>IFERROR(__xludf.DUMMYFUNCTION("""COMPUTED_VALUE"""),"200 Max.")</f>
        <v>200 Max.</v>
      </c>
      <c r="P1442" s="97" t="str">
        <f>IFERROR(__xludf.DUMMYFUNCTION("""COMPUTED_VALUE"""),"N/A")</f>
        <v>N/A</v>
      </c>
      <c r="Q1442" s="97" t="str">
        <f>IFERROR(__xludf.DUMMYFUNCTION("""COMPUTED_VALUE"""),"N/A")</f>
        <v>N/A</v>
      </c>
      <c r="R1442" s="97" t="str">
        <f>IFERROR(__xludf.DUMMYFUNCTION("""COMPUTED_VALUE"""),"N/A")</f>
        <v>N/A</v>
      </c>
      <c r="S1442" s="97" t="str">
        <f>IFERROR(__xludf.DUMMYFUNCTION("""COMPUTED_VALUE"""),"N/A")</f>
        <v>N/A</v>
      </c>
      <c r="T1442" s="97" t="str">
        <f>IFERROR(__xludf.DUMMYFUNCTION("""COMPUTED_VALUE"""),"N/A")</f>
        <v>N/A</v>
      </c>
      <c r="U1442" s="97" t="str">
        <f>IFERROR(__xludf.DUMMYFUNCTION("""COMPUTED_VALUE"""),"N/A")</f>
        <v>N/A</v>
      </c>
      <c r="V1442" s="97" t="str">
        <f>IFERROR(__xludf.DUMMYFUNCTION("""COMPUTED_VALUE"""),"N/A")</f>
        <v>N/A</v>
      </c>
      <c r="W1442" s="97" t="str">
        <f>IFERROR(__xludf.DUMMYFUNCTION("""COMPUTED_VALUE"""),"N/A")</f>
        <v>N/A</v>
      </c>
      <c r="X1442" s="97" t="str">
        <f>IFERROR(__xludf.DUMMYFUNCTION("""COMPUTED_VALUE"""),"N/A")</f>
        <v>N/A</v>
      </c>
      <c r="Y1442" s="97" t="str">
        <f>IFERROR(__xludf.DUMMYFUNCTION("""COMPUTED_VALUE"""),"N/A")</f>
        <v>N/A</v>
      </c>
      <c r="Z1442" s="97" t="str">
        <f>IFERROR(__xludf.DUMMYFUNCTION("""COMPUTED_VALUE"""),"N/A")</f>
        <v>N/A</v>
      </c>
      <c r="AA1442" s="97" t="str">
        <f>IFERROR(__xludf.DUMMYFUNCTION("""COMPUTED_VALUE"""),"N/A")</f>
        <v>N/A</v>
      </c>
      <c r="AB1442" s="97" t="str">
        <f>IFERROR(__xludf.DUMMYFUNCTION("""COMPUTED_VALUE"""),"N/A")</f>
        <v>N/A</v>
      </c>
      <c r="AC1442" s="97" t="str">
        <f>IFERROR(__xludf.DUMMYFUNCTION("""COMPUTED_VALUE"""),"N/A")</f>
        <v>N/A</v>
      </c>
      <c r="AD1442" s="97" t="str">
        <f>IFERROR(__xludf.DUMMYFUNCTION("""COMPUTED_VALUE"""),"IP20")</f>
        <v>IP20</v>
      </c>
      <c r="AE1442" s="97" t="str">
        <f>IFERROR(__xludf.DUMMYFUNCTION("""COMPUTED_VALUE"""),"Clase lll")</f>
        <v>Clase lll</v>
      </c>
      <c r="AF1442" s="97" t="str">
        <f>IFERROR(__xludf.DUMMYFUNCTION("""COMPUTED_VALUE"""),"N/A")</f>
        <v>N/A</v>
      </c>
      <c r="AG1442" s="97"/>
      <c r="AH1442" s="97" t="str">
        <f>IFERROR(__xludf.DUMMYFUNCTION("""COMPUTED_VALUE"""),"N/A")</f>
        <v>N/A</v>
      </c>
      <c r="AI1442" s="97" t="str">
        <f>IFERROR(__xludf.DUMMYFUNCTION("""COMPUTED_VALUE"""),"N/A")</f>
        <v>N/A</v>
      </c>
      <c r="AJ1442" s="97" t="str">
        <f>IFERROR(__xludf.DUMMYFUNCTION("""COMPUTED_VALUE"""),"N/A")</f>
        <v>N/A</v>
      </c>
      <c r="AK1442" s="97" t="str">
        <f>IFERROR(__xludf.DUMMYFUNCTION("""COMPUTED_VALUE"""),"Policarbonato (PC)")</f>
        <v>Policarbonato (PC)</v>
      </c>
      <c r="AL1442" s="97" t="str">
        <f>IFERROR(__xludf.DUMMYFUNCTION("""COMPUTED_VALUE"""),"Blanco")</f>
        <v>Blanco</v>
      </c>
      <c r="AM1442" s="97" t="str">
        <f>IFERROR(__xludf.DUMMYFUNCTION("""COMPUTED_VALUE"""),"-")</f>
        <v>-</v>
      </c>
      <c r="AN1442" s="97" t="str">
        <f>IFERROR(__xludf.DUMMYFUNCTION("""COMPUTED_VALUE"""),"N/A")</f>
        <v>N/A</v>
      </c>
      <c r="AO1442" s="97" t="str">
        <f>IFERROR(__xludf.DUMMYFUNCTION("""COMPUTED_VALUE"""),"2 Años")</f>
        <v>2 Años</v>
      </c>
      <c r="AP1442" s="97" t="str">
        <f>IFERROR(__xludf.DUMMYFUNCTION("""COMPUTED_VALUE"""),"No Aplica")</f>
        <v>No Aplica</v>
      </c>
      <c r="AQ1442" s="97" t="str">
        <f>IFERROR(__xludf.DUMMYFUNCTION("""COMPUTED_VALUE"""),"No Aplica")</f>
        <v>No Aplica</v>
      </c>
      <c r="AR1442" s="97" t="str">
        <f>IFERROR(__xludf.DUMMYFUNCTION("""COMPUTED_VALUE"""),"No Aplica")</f>
        <v>No Aplica</v>
      </c>
      <c r="AS1442" s="97" t="str">
        <f>IFERROR(__xludf.DUMMYFUNCTION("""COMPUTED_VALUE"""),"Falta")</f>
        <v>Falta</v>
      </c>
      <c r="AT1442" s="97" t="str">
        <f>IFERROR(__xludf.DUMMYFUNCTION("""COMPUTED_VALUE"""),"Falta")</f>
        <v>Falta</v>
      </c>
      <c r="AU1442" s="97" t="str">
        <f>IFERROR(__xludf.DUMMYFUNCTION("""COMPUTED_VALUE"""),"Disponible")</f>
        <v>Disponible</v>
      </c>
      <c r="AV1442" s="97" t="str">
        <f>IFERROR(__xludf.DUMMYFUNCTION("""COMPUTED_VALUE"""),"Accesorio")</f>
        <v>Accesorio</v>
      </c>
      <c r="AW1442" s="97" t="str">
        <f>IFERROR(__xludf.DUMMYFUNCTION("""COMPUTED_VALUE"""),"Rieles")</f>
        <v>Rieles</v>
      </c>
      <c r="AX1442" s="97" t="str">
        <f>IFERROR(__xludf.DUMMYFUNCTION("""COMPUTED_VALUE"""),"Interior")</f>
        <v>Interior</v>
      </c>
      <c r="AY1442" s="97" t="str">
        <f>IFERROR(__xludf.DUMMYFUNCTION("""COMPUTED_VALUE"""),"-")</f>
        <v>-</v>
      </c>
      <c r="AZ1442" s="97" t="str">
        <f>IFERROR(__xludf.DUMMYFUNCTION("""COMPUTED_VALUE"""),"-")</f>
        <v>-</v>
      </c>
      <c r="BA1442" s="97"/>
      <c r="BB1442" s="97"/>
      <c r="BC1442" s="97"/>
      <c r="BD1442" s="97" t="str">
        <f>IFERROR(__xludf.DUMMYFUNCTION("""COMPUTED_VALUE"""),"POLAR")</f>
        <v>POLAR</v>
      </c>
      <c r="BE1442" s="97"/>
      <c r="BF1442" s="97"/>
      <c r="BG1442" s="97" t="str">
        <f>IFERROR(__xludf.DUMMYFUNCTION("""COMPUTED_VALUE"""),"REPO 7")</f>
        <v>REPO 7</v>
      </c>
    </row>
    <row r="1443">
      <c r="A1443" s="97">
        <f>IFERROR(__xludf.DUMMYFUNCTION("""COMPUTED_VALUE"""),7547.0)</f>
        <v>7547</v>
      </c>
      <c r="B1443" s="97" t="str">
        <f>IFERROR(__xludf.DUMMYFUNCTION("""COMPUTED_VALUE"""),"POLAR CONECTOR FLEX NG")</f>
        <v>POLAR CONECTOR FLEX NG</v>
      </c>
      <c r="C1443" s="97" t="str">
        <f>IFERROR(__xludf.DUMMYFUNCTION("""COMPUTED_VALUE"""),"ACCESORIO POLAR CONECTOR FLEX NG LEUK")</f>
        <v>ACCESORIO POLAR CONECTOR FLEX NG LEUK</v>
      </c>
      <c r="D1443" s="97">
        <f>IFERROR(__xludf.DUMMYFUNCTION("""COMPUTED_VALUE"""),7.798485460039E12)</f>
        <v>7798485460039</v>
      </c>
      <c r="E1443" s="97" t="str">
        <f>IFERROR(__xludf.DUMMYFUNCTION("""COMPUTED_VALUE"""),"RM13")</f>
        <v>RM13</v>
      </c>
      <c r="F1443" s="97" t="str">
        <f>IFERROR(__xludf.DUMMYFUNCTION("""COMPUTED_VALUE"""),"N/A")</f>
        <v>N/A</v>
      </c>
      <c r="G1443" s="97" t="str">
        <f>IFERROR(__xludf.DUMMYFUNCTION("""COMPUTED_VALUE"""),"N/A")</f>
        <v>N/A</v>
      </c>
      <c r="H1443" s="97" t="str">
        <f>IFERROR(__xludf.DUMMYFUNCTION("""COMPUTED_VALUE"""),"N/A")</f>
        <v>N/A</v>
      </c>
      <c r="I1443" s="97" t="str">
        <f>IFERROR(__xludf.DUMMYFUNCTION("""COMPUTED_VALUE"""),"N/A")</f>
        <v>N/A</v>
      </c>
      <c r="J1443" s="97" t="str">
        <f>IFERROR(__xludf.DUMMYFUNCTION("""COMPUTED_VALUE"""),"N/A")</f>
        <v>N/A</v>
      </c>
      <c r="K1443" s="97" t="str">
        <f>IFERROR(__xludf.DUMMYFUNCTION("""COMPUTED_VALUE"""),"N/A")</f>
        <v>N/A</v>
      </c>
      <c r="L1443" s="97" t="str">
        <f>IFERROR(__xludf.DUMMYFUNCTION("""COMPUTED_VALUE"""),"48Vdc")</f>
        <v>48Vdc</v>
      </c>
      <c r="M1443" s="97" t="str">
        <f>IFERROR(__xludf.DUMMYFUNCTION("""COMPUTED_VALUE"""),"N/A")</f>
        <v>N/A</v>
      </c>
      <c r="N1443" s="97" t="str">
        <f>IFERROR(__xludf.DUMMYFUNCTION("""COMPUTED_VALUE"""),"N/A")</f>
        <v>N/A</v>
      </c>
      <c r="O1443" s="97" t="str">
        <f>IFERROR(__xludf.DUMMYFUNCTION("""COMPUTED_VALUE"""),"200 Max.")</f>
        <v>200 Max.</v>
      </c>
      <c r="P1443" s="97" t="str">
        <f>IFERROR(__xludf.DUMMYFUNCTION("""COMPUTED_VALUE"""),"N/A")</f>
        <v>N/A</v>
      </c>
      <c r="Q1443" s="97" t="str">
        <f>IFERROR(__xludf.DUMMYFUNCTION("""COMPUTED_VALUE"""),"N/A")</f>
        <v>N/A</v>
      </c>
      <c r="R1443" s="97" t="str">
        <f>IFERROR(__xludf.DUMMYFUNCTION("""COMPUTED_VALUE"""),"N/A")</f>
        <v>N/A</v>
      </c>
      <c r="S1443" s="97" t="str">
        <f>IFERROR(__xludf.DUMMYFUNCTION("""COMPUTED_VALUE"""),"N/A")</f>
        <v>N/A</v>
      </c>
      <c r="T1443" s="97" t="str">
        <f>IFERROR(__xludf.DUMMYFUNCTION("""COMPUTED_VALUE"""),"N/A")</f>
        <v>N/A</v>
      </c>
      <c r="U1443" s="97" t="str">
        <f>IFERROR(__xludf.DUMMYFUNCTION("""COMPUTED_VALUE"""),"N/A")</f>
        <v>N/A</v>
      </c>
      <c r="V1443" s="97" t="str">
        <f>IFERROR(__xludf.DUMMYFUNCTION("""COMPUTED_VALUE"""),"N/A")</f>
        <v>N/A</v>
      </c>
      <c r="W1443" s="97" t="str">
        <f>IFERROR(__xludf.DUMMYFUNCTION("""COMPUTED_VALUE"""),"N/A")</f>
        <v>N/A</v>
      </c>
      <c r="X1443" s="97" t="str">
        <f>IFERROR(__xludf.DUMMYFUNCTION("""COMPUTED_VALUE"""),"N/A")</f>
        <v>N/A</v>
      </c>
      <c r="Y1443" s="97" t="str">
        <f>IFERROR(__xludf.DUMMYFUNCTION("""COMPUTED_VALUE"""),"N/A")</f>
        <v>N/A</v>
      </c>
      <c r="Z1443" s="97" t="str">
        <f>IFERROR(__xludf.DUMMYFUNCTION("""COMPUTED_VALUE"""),"N/A")</f>
        <v>N/A</v>
      </c>
      <c r="AA1443" s="97" t="str">
        <f>IFERROR(__xludf.DUMMYFUNCTION("""COMPUTED_VALUE"""),"N/A")</f>
        <v>N/A</v>
      </c>
      <c r="AB1443" s="97" t="str">
        <f>IFERROR(__xludf.DUMMYFUNCTION("""COMPUTED_VALUE"""),"N/A")</f>
        <v>N/A</v>
      </c>
      <c r="AC1443" s="97" t="str">
        <f>IFERROR(__xludf.DUMMYFUNCTION("""COMPUTED_VALUE"""),"N/A")</f>
        <v>N/A</v>
      </c>
      <c r="AD1443" s="97" t="str">
        <f>IFERROR(__xludf.DUMMYFUNCTION("""COMPUTED_VALUE"""),"IP20")</f>
        <v>IP20</v>
      </c>
      <c r="AE1443" s="97" t="str">
        <f>IFERROR(__xludf.DUMMYFUNCTION("""COMPUTED_VALUE"""),"Clase lll")</f>
        <v>Clase lll</v>
      </c>
      <c r="AF1443" s="97" t="str">
        <f>IFERROR(__xludf.DUMMYFUNCTION("""COMPUTED_VALUE"""),"N/A")</f>
        <v>N/A</v>
      </c>
      <c r="AG1443" s="97"/>
      <c r="AH1443" s="97" t="str">
        <f>IFERROR(__xludf.DUMMYFUNCTION("""COMPUTED_VALUE"""),"N/A")</f>
        <v>N/A</v>
      </c>
      <c r="AI1443" s="97" t="str">
        <f>IFERROR(__xludf.DUMMYFUNCTION("""COMPUTED_VALUE"""),"N/A")</f>
        <v>N/A</v>
      </c>
      <c r="AJ1443" s="97" t="str">
        <f>IFERROR(__xludf.DUMMYFUNCTION("""COMPUTED_VALUE"""),"N/A")</f>
        <v>N/A</v>
      </c>
      <c r="AK1443" s="97" t="str">
        <f>IFERROR(__xludf.DUMMYFUNCTION("""COMPUTED_VALUE"""),"Policarbonato (PC)")</f>
        <v>Policarbonato (PC)</v>
      </c>
      <c r="AL1443" s="97" t="str">
        <f>IFERROR(__xludf.DUMMYFUNCTION("""COMPUTED_VALUE"""),"Negro")</f>
        <v>Negro</v>
      </c>
      <c r="AM1443" s="97" t="str">
        <f>IFERROR(__xludf.DUMMYFUNCTION("""COMPUTED_VALUE"""),"-")</f>
        <v>-</v>
      </c>
      <c r="AN1443" s="97" t="str">
        <f>IFERROR(__xludf.DUMMYFUNCTION("""COMPUTED_VALUE"""),"N/A")</f>
        <v>N/A</v>
      </c>
      <c r="AO1443" s="97" t="str">
        <f>IFERROR(__xludf.DUMMYFUNCTION("""COMPUTED_VALUE"""),"2 Años")</f>
        <v>2 Años</v>
      </c>
      <c r="AP1443" s="97" t="str">
        <f>IFERROR(__xludf.DUMMYFUNCTION("""COMPUTED_VALUE"""),"No Aplica")</f>
        <v>No Aplica</v>
      </c>
      <c r="AQ1443" s="97" t="str">
        <f>IFERROR(__xludf.DUMMYFUNCTION("""COMPUTED_VALUE"""),"No Aplica")</f>
        <v>No Aplica</v>
      </c>
      <c r="AR1443" s="97" t="str">
        <f>IFERROR(__xludf.DUMMYFUNCTION("""COMPUTED_VALUE"""),"No Aplica")</f>
        <v>No Aplica</v>
      </c>
      <c r="AS1443" s="97" t="str">
        <f>IFERROR(__xludf.DUMMYFUNCTION("""COMPUTED_VALUE"""),"Falta")</f>
        <v>Falta</v>
      </c>
      <c r="AT1443" s="97" t="str">
        <f>IFERROR(__xludf.DUMMYFUNCTION("""COMPUTED_VALUE"""),"Falta")</f>
        <v>Falta</v>
      </c>
      <c r="AU1443" s="97" t="str">
        <f>IFERROR(__xludf.DUMMYFUNCTION("""COMPUTED_VALUE"""),"Disponible")</f>
        <v>Disponible</v>
      </c>
      <c r="AV1443" s="97" t="str">
        <f>IFERROR(__xludf.DUMMYFUNCTION("""COMPUTED_VALUE"""),"Accesorio")</f>
        <v>Accesorio</v>
      </c>
      <c r="AW1443" s="97" t="str">
        <f>IFERROR(__xludf.DUMMYFUNCTION("""COMPUTED_VALUE"""),"Rieles")</f>
        <v>Rieles</v>
      </c>
      <c r="AX1443" s="97" t="str">
        <f>IFERROR(__xludf.DUMMYFUNCTION("""COMPUTED_VALUE"""),"Interior")</f>
        <v>Interior</v>
      </c>
      <c r="AY1443" s="97" t="str">
        <f>IFERROR(__xludf.DUMMYFUNCTION("""COMPUTED_VALUE"""),"-")</f>
        <v>-</v>
      </c>
      <c r="AZ1443" s="97" t="str">
        <f>IFERROR(__xludf.DUMMYFUNCTION("""COMPUTED_VALUE"""),"-")</f>
        <v>-</v>
      </c>
      <c r="BA1443" s="97"/>
      <c r="BB1443" s="97"/>
      <c r="BC1443" s="97"/>
      <c r="BD1443" s="97" t="str">
        <f>IFERROR(__xludf.DUMMYFUNCTION("""COMPUTED_VALUE"""),"POLAR")</f>
        <v>POLAR</v>
      </c>
      <c r="BE1443" s="97"/>
      <c r="BF1443" s="97"/>
      <c r="BG1443" s="97" t="str">
        <f>IFERROR(__xludf.DUMMYFUNCTION("""COMPUTED_VALUE"""),"REPO 7")</f>
        <v>REPO 7</v>
      </c>
    </row>
    <row r="1444">
      <c r="A1444" s="97">
        <f>IFERROR(__xludf.DUMMYFUNCTION("""COMPUTED_VALUE"""),7548.0)</f>
        <v>7548</v>
      </c>
      <c r="B1444" s="97" t="str">
        <f>IFERROR(__xludf.DUMMYFUNCTION("""COMPUTED_VALUE"""),"POLAR CONECTOR FLEX BL")</f>
        <v>POLAR CONECTOR FLEX BL</v>
      </c>
      <c r="C1444" s="97" t="str">
        <f>IFERROR(__xludf.DUMMYFUNCTION("""COMPUTED_VALUE"""),"ACCESORIO POLAR CONECTOR FLEX BL LEUK")</f>
        <v>ACCESORIO POLAR CONECTOR FLEX BL LEUK</v>
      </c>
      <c r="D1444" s="97">
        <f>IFERROR(__xludf.DUMMYFUNCTION("""COMPUTED_VALUE"""),7.798485460046E12)</f>
        <v>7798485460046</v>
      </c>
      <c r="E1444" s="97" t="str">
        <f>IFERROR(__xludf.DUMMYFUNCTION("""COMPUTED_VALUE"""),"RM13")</f>
        <v>RM13</v>
      </c>
      <c r="F1444" s="97" t="str">
        <f>IFERROR(__xludf.DUMMYFUNCTION("""COMPUTED_VALUE"""),"N/A")</f>
        <v>N/A</v>
      </c>
      <c r="G1444" s="97" t="str">
        <f>IFERROR(__xludf.DUMMYFUNCTION("""COMPUTED_VALUE"""),"N/A")</f>
        <v>N/A</v>
      </c>
      <c r="H1444" s="97" t="str">
        <f>IFERROR(__xludf.DUMMYFUNCTION("""COMPUTED_VALUE"""),"N/A")</f>
        <v>N/A</v>
      </c>
      <c r="I1444" s="97" t="str">
        <f>IFERROR(__xludf.DUMMYFUNCTION("""COMPUTED_VALUE"""),"N/A")</f>
        <v>N/A</v>
      </c>
      <c r="J1444" s="97" t="str">
        <f>IFERROR(__xludf.DUMMYFUNCTION("""COMPUTED_VALUE"""),"N/A")</f>
        <v>N/A</v>
      </c>
      <c r="K1444" s="97" t="str">
        <f>IFERROR(__xludf.DUMMYFUNCTION("""COMPUTED_VALUE"""),"N/A")</f>
        <v>N/A</v>
      </c>
      <c r="L1444" s="97" t="str">
        <f>IFERROR(__xludf.DUMMYFUNCTION("""COMPUTED_VALUE"""),"48Vdc")</f>
        <v>48Vdc</v>
      </c>
      <c r="M1444" s="97" t="str">
        <f>IFERROR(__xludf.DUMMYFUNCTION("""COMPUTED_VALUE"""),"N/A")</f>
        <v>N/A</v>
      </c>
      <c r="N1444" s="97" t="str">
        <f>IFERROR(__xludf.DUMMYFUNCTION("""COMPUTED_VALUE"""),"N/A")</f>
        <v>N/A</v>
      </c>
      <c r="O1444" s="97" t="str">
        <f>IFERROR(__xludf.DUMMYFUNCTION("""COMPUTED_VALUE"""),"200 Max.")</f>
        <v>200 Max.</v>
      </c>
      <c r="P1444" s="97" t="str">
        <f>IFERROR(__xludf.DUMMYFUNCTION("""COMPUTED_VALUE"""),"N/A")</f>
        <v>N/A</v>
      </c>
      <c r="Q1444" s="97" t="str">
        <f>IFERROR(__xludf.DUMMYFUNCTION("""COMPUTED_VALUE"""),"N/A")</f>
        <v>N/A</v>
      </c>
      <c r="R1444" s="97" t="str">
        <f>IFERROR(__xludf.DUMMYFUNCTION("""COMPUTED_VALUE"""),"N/A")</f>
        <v>N/A</v>
      </c>
      <c r="S1444" s="97" t="str">
        <f>IFERROR(__xludf.DUMMYFUNCTION("""COMPUTED_VALUE"""),"N/A")</f>
        <v>N/A</v>
      </c>
      <c r="T1444" s="97" t="str">
        <f>IFERROR(__xludf.DUMMYFUNCTION("""COMPUTED_VALUE"""),"N/A")</f>
        <v>N/A</v>
      </c>
      <c r="U1444" s="97" t="str">
        <f>IFERROR(__xludf.DUMMYFUNCTION("""COMPUTED_VALUE"""),"N/A")</f>
        <v>N/A</v>
      </c>
      <c r="V1444" s="97" t="str">
        <f>IFERROR(__xludf.DUMMYFUNCTION("""COMPUTED_VALUE"""),"N/A")</f>
        <v>N/A</v>
      </c>
      <c r="W1444" s="97" t="str">
        <f>IFERROR(__xludf.DUMMYFUNCTION("""COMPUTED_VALUE"""),"N/A")</f>
        <v>N/A</v>
      </c>
      <c r="X1444" s="97" t="str">
        <f>IFERROR(__xludf.DUMMYFUNCTION("""COMPUTED_VALUE"""),"N/A")</f>
        <v>N/A</v>
      </c>
      <c r="Y1444" s="97" t="str">
        <f>IFERROR(__xludf.DUMMYFUNCTION("""COMPUTED_VALUE"""),"N/A")</f>
        <v>N/A</v>
      </c>
      <c r="Z1444" s="97" t="str">
        <f>IFERROR(__xludf.DUMMYFUNCTION("""COMPUTED_VALUE"""),"N/A")</f>
        <v>N/A</v>
      </c>
      <c r="AA1444" s="97" t="str">
        <f>IFERROR(__xludf.DUMMYFUNCTION("""COMPUTED_VALUE"""),"N/A")</f>
        <v>N/A</v>
      </c>
      <c r="AB1444" s="97" t="str">
        <f>IFERROR(__xludf.DUMMYFUNCTION("""COMPUTED_VALUE"""),"N/A")</f>
        <v>N/A</v>
      </c>
      <c r="AC1444" s="97" t="str">
        <f>IFERROR(__xludf.DUMMYFUNCTION("""COMPUTED_VALUE"""),"N/A")</f>
        <v>N/A</v>
      </c>
      <c r="AD1444" s="97" t="str">
        <f>IFERROR(__xludf.DUMMYFUNCTION("""COMPUTED_VALUE"""),"IP20")</f>
        <v>IP20</v>
      </c>
      <c r="AE1444" s="97" t="str">
        <f>IFERROR(__xludf.DUMMYFUNCTION("""COMPUTED_VALUE"""),"Clase lll")</f>
        <v>Clase lll</v>
      </c>
      <c r="AF1444" s="97" t="str">
        <f>IFERROR(__xludf.DUMMYFUNCTION("""COMPUTED_VALUE"""),"N/A")</f>
        <v>N/A</v>
      </c>
      <c r="AG1444" s="97"/>
      <c r="AH1444" s="97" t="str">
        <f>IFERROR(__xludf.DUMMYFUNCTION("""COMPUTED_VALUE"""),"N/A")</f>
        <v>N/A</v>
      </c>
      <c r="AI1444" s="97" t="str">
        <f>IFERROR(__xludf.DUMMYFUNCTION("""COMPUTED_VALUE"""),"N/A")</f>
        <v>N/A</v>
      </c>
      <c r="AJ1444" s="97" t="str">
        <f>IFERROR(__xludf.DUMMYFUNCTION("""COMPUTED_VALUE"""),"N/A")</f>
        <v>N/A</v>
      </c>
      <c r="AK1444" s="97" t="str">
        <f>IFERROR(__xludf.DUMMYFUNCTION("""COMPUTED_VALUE"""),"Policarbonato (PC)")</f>
        <v>Policarbonato (PC)</v>
      </c>
      <c r="AL1444" s="97" t="str">
        <f>IFERROR(__xludf.DUMMYFUNCTION("""COMPUTED_VALUE"""),"Blanco")</f>
        <v>Blanco</v>
      </c>
      <c r="AM1444" s="97" t="str">
        <f>IFERROR(__xludf.DUMMYFUNCTION("""COMPUTED_VALUE"""),"-")</f>
        <v>-</v>
      </c>
      <c r="AN1444" s="97" t="str">
        <f>IFERROR(__xludf.DUMMYFUNCTION("""COMPUTED_VALUE"""),"N/A")</f>
        <v>N/A</v>
      </c>
      <c r="AO1444" s="97" t="str">
        <f>IFERROR(__xludf.DUMMYFUNCTION("""COMPUTED_VALUE"""),"2 Años")</f>
        <v>2 Años</v>
      </c>
      <c r="AP1444" s="97" t="str">
        <f>IFERROR(__xludf.DUMMYFUNCTION("""COMPUTED_VALUE"""),"No Aplica")</f>
        <v>No Aplica</v>
      </c>
      <c r="AQ1444" s="97" t="str">
        <f>IFERROR(__xludf.DUMMYFUNCTION("""COMPUTED_VALUE"""),"No Aplica")</f>
        <v>No Aplica</v>
      </c>
      <c r="AR1444" s="97" t="str">
        <f>IFERROR(__xludf.DUMMYFUNCTION("""COMPUTED_VALUE"""),"No Aplica")</f>
        <v>No Aplica</v>
      </c>
      <c r="AS1444" s="97" t="str">
        <f>IFERROR(__xludf.DUMMYFUNCTION("""COMPUTED_VALUE"""),"Falta")</f>
        <v>Falta</v>
      </c>
      <c r="AT1444" s="97" t="str">
        <f>IFERROR(__xludf.DUMMYFUNCTION("""COMPUTED_VALUE"""),"Falta")</f>
        <v>Falta</v>
      </c>
      <c r="AU1444" s="97" t="str">
        <f>IFERROR(__xludf.DUMMYFUNCTION("""COMPUTED_VALUE"""),"Disponible")</f>
        <v>Disponible</v>
      </c>
      <c r="AV1444" s="97" t="str">
        <f>IFERROR(__xludf.DUMMYFUNCTION("""COMPUTED_VALUE"""),"Accesorio")</f>
        <v>Accesorio</v>
      </c>
      <c r="AW1444" s="97" t="str">
        <f>IFERROR(__xludf.DUMMYFUNCTION("""COMPUTED_VALUE"""),"Rieles")</f>
        <v>Rieles</v>
      </c>
      <c r="AX1444" s="97" t="str">
        <f>IFERROR(__xludf.DUMMYFUNCTION("""COMPUTED_VALUE"""),"Interior")</f>
        <v>Interior</v>
      </c>
      <c r="AY1444" s="97" t="str">
        <f>IFERROR(__xludf.DUMMYFUNCTION("""COMPUTED_VALUE"""),"-")</f>
        <v>-</v>
      </c>
      <c r="AZ1444" s="97" t="str">
        <f>IFERROR(__xludf.DUMMYFUNCTION("""COMPUTED_VALUE"""),"-")</f>
        <v>-</v>
      </c>
      <c r="BA1444" s="97"/>
      <c r="BB1444" s="97"/>
      <c r="BC1444" s="97"/>
      <c r="BD1444" s="97" t="str">
        <f>IFERROR(__xludf.DUMMYFUNCTION("""COMPUTED_VALUE"""),"POLAR")</f>
        <v>POLAR</v>
      </c>
      <c r="BE1444" s="97"/>
      <c r="BF1444" s="97"/>
      <c r="BG1444" s="97" t="str">
        <f>IFERROR(__xludf.DUMMYFUNCTION("""COMPUTED_VALUE"""),"REPO 7")</f>
        <v>REPO 7</v>
      </c>
    </row>
    <row r="1445">
      <c r="A1445" s="97">
        <f>IFERROR(__xludf.DUMMYFUNCTION("""COMPUTED_VALUE"""),7549.0)</f>
        <v>7549</v>
      </c>
      <c r="B1445" s="97" t="str">
        <f>IFERROR(__xludf.DUMMYFUNCTION("""COMPUTED_VALUE"""),"POLAR UNION L NG")</f>
        <v>POLAR UNION L NG</v>
      </c>
      <c r="C1445" s="97" t="str">
        <f>IFERROR(__xludf.DUMMYFUNCTION("""COMPUTED_VALUE"""),"UNIÓN POLAR UNION L NG LEUK")</f>
        <v>UNIÓN POLAR UNION L NG LEUK</v>
      </c>
      <c r="D1445" s="97">
        <f>IFERROR(__xludf.DUMMYFUNCTION("""COMPUTED_VALUE"""),7.798485460053E12)</f>
        <v>7798485460053</v>
      </c>
      <c r="E1445" s="97" t="str">
        <f>IFERROR(__xludf.DUMMYFUNCTION("""COMPUTED_VALUE"""),"RM14")</f>
        <v>RM14</v>
      </c>
      <c r="F1445" s="97" t="str">
        <f>IFERROR(__xludf.DUMMYFUNCTION("""COMPUTED_VALUE"""),"N/A")</f>
        <v>N/A</v>
      </c>
      <c r="G1445" s="97" t="str">
        <f>IFERROR(__xludf.DUMMYFUNCTION("""COMPUTED_VALUE"""),"N/A")</f>
        <v>N/A</v>
      </c>
      <c r="H1445" s="97" t="str">
        <f>IFERROR(__xludf.DUMMYFUNCTION("""COMPUTED_VALUE"""),"N/A")</f>
        <v>N/A</v>
      </c>
      <c r="I1445" s="97" t="str">
        <f>IFERROR(__xludf.DUMMYFUNCTION("""COMPUTED_VALUE"""),"N/A")</f>
        <v>N/A</v>
      </c>
      <c r="J1445" s="97" t="str">
        <f>IFERROR(__xludf.DUMMYFUNCTION("""COMPUTED_VALUE"""),"N/A")</f>
        <v>N/A</v>
      </c>
      <c r="K1445" s="97" t="str">
        <f>IFERROR(__xludf.DUMMYFUNCTION("""COMPUTED_VALUE"""),"N/A")</f>
        <v>N/A</v>
      </c>
      <c r="L1445" s="97" t="str">
        <f>IFERROR(__xludf.DUMMYFUNCTION("""COMPUTED_VALUE"""),"48Vdc")</f>
        <v>48Vdc</v>
      </c>
      <c r="M1445" s="97" t="str">
        <f>IFERROR(__xludf.DUMMYFUNCTION("""COMPUTED_VALUE"""),"N/A")</f>
        <v>N/A</v>
      </c>
      <c r="N1445" s="97" t="str">
        <f>IFERROR(__xludf.DUMMYFUNCTION("""COMPUTED_VALUE"""),"N/A")</f>
        <v>N/A</v>
      </c>
      <c r="O1445" s="97" t="str">
        <f>IFERROR(__xludf.DUMMYFUNCTION("""COMPUTED_VALUE"""),"200 Max.")</f>
        <v>200 Max.</v>
      </c>
      <c r="P1445" s="97" t="str">
        <f>IFERROR(__xludf.DUMMYFUNCTION("""COMPUTED_VALUE"""),"N/A")</f>
        <v>N/A</v>
      </c>
      <c r="Q1445" s="97" t="str">
        <f>IFERROR(__xludf.DUMMYFUNCTION("""COMPUTED_VALUE"""),"N/A")</f>
        <v>N/A</v>
      </c>
      <c r="R1445" s="97" t="str">
        <f>IFERROR(__xludf.DUMMYFUNCTION("""COMPUTED_VALUE"""),"N/A")</f>
        <v>N/A</v>
      </c>
      <c r="S1445" s="97" t="str">
        <f>IFERROR(__xludf.DUMMYFUNCTION("""COMPUTED_VALUE"""),"N/A")</f>
        <v>N/A</v>
      </c>
      <c r="T1445" s="97" t="str">
        <f>IFERROR(__xludf.DUMMYFUNCTION("""COMPUTED_VALUE"""),"N/A")</f>
        <v>N/A</v>
      </c>
      <c r="U1445" s="97" t="str">
        <f>IFERROR(__xludf.DUMMYFUNCTION("""COMPUTED_VALUE"""),"N/A")</f>
        <v>N/A</v>
      </c>
      <c r="V1445" s="97" t="str">
        <f>IFERROR(__xludf.DUMMYFUNCTION("""COMPUTED_VALUE"""),"N/A")</f>
        <v>N/A</v>
      </c>
      <c r="W1445" s="97" t="str">
        <f>IFERROR(__xludf.DUMMYFUNCTION("""COMPUTED_VALUE"""),"N/A")</f>
        <v>N/A</v>
      </c>
      <c r="X1445" s="97" t="str">
        <f>IFERROR(__xludf.DUMMYFUNCTION("""COMPUTED_VALUE"""),"N/A")</f>
        <v>N/A</v>
      </c>
      <c r="Y1445" s="97" t="str">
        <f>IFERROR(__xludf.DUMMYFUNCTION("""COMPUTED_VALUE"""),"N/A")</f>
        <v>N/A</v>
      </c>
      <c r="Z1445" s="97" t="str">
        <f>IFERROR(__xludf.DUMMYFUNCTION("""COMPUTED_VALUE"""),"N/A")</f>
        <v>N/A</v>
      </c>
      <c r="AA1445" s="97" t="str">
        <f>IFERROR(__xludf.DUMMYFUNCTION("""COMPUTED_VALUE"""),"N/A")</f>
        <v>N/A</v>
      </c>
      <c r="AB1445" s="97" t="str">
        <f>IFERROR(__xludf.DUMMYFUNCTION("""COMPUTED_VALUE"""),"N/A")</f>
        <v>N/A</v>
      </c>
      <c r="AC1445" s="97" t="str">
        <f>IFERROR(__xludf.DUMMYFUNCTION("""COMPUTED_VALUE"""),"N/A")</f>
        <v>N/A</v>
      </c>
      <c r="AD1445" s="97" t="str">
        <f>IFERROR(__xludf.DUMMYFUNCTION("""COMPUTED_VALUE"""),"IP20")</f>
        <v>IP20</v>
      </c>
      <c r="AE1445" s="97" t="str">
        <f>IFERROR(__xludf.DUMMYFUNCTION("""COMPUTED_VALUE"""),"Clase lll")</f>
        <v>Clase lll</v>
      </c>
      <c r="AF1445" s="97" t="str">
        <f>IFERROR(__xludf.DUMMYFUNCTION("""COMPUTED_VALUE"""),"N/A")</f>
        <v>N/A</v>
      </c>
      <c r="AG1445" s="97"/>
      <c r="AH1445" s="97" t="str">
        <f>IFERROR(__xludf.DUMMYFUNCTION("""COMPUTED_VALUE"""),"N/A")</f>
        <v>N/A</v>
      </c>
      <c r="AI1445" s="97" t="str">
        <f>IFERROR(__xludf.DUMMYFUNCTION("""COMPUTED_VALUE"""),"N/A")</f>
        <v>N/A</v>
      </c>
      <c r="AJ1445" s="97" t="str">
        <f>IFERROR(__xludf.DUMMYFUNCTION("""COMPUTED_VALUE"""),"N/A")</f>
        <v>N/A</v>
      </c>
      <c r="AK1445" s="97" t="str">
        <f>IFERROR(__xludf.DUMMYFUNCTION("""COMPUTED_VALUE"""),"Aluminio")</f>
        <v>Aluminio</v>
      </c>
      <c r="AL1445" s="97" t="str">
        <f>IFERROR(__xludf.DUMMYFUNCTION("""COMPUTED_VALUE"""),"Negro")</f>
        <v>Negro</v>
      </c>
      <c r="AM1445" s="97" t="str">
        <f>IFERROR(__xludf.DUMMYFUNCTION("""COMPUTED_VALUE"""),"-")</f>
        <v>-</v>
      </c>
      <c r="AN1445" s="97" t="str">
        <f>IFERROR(__xludf.DUMMYFUNCTION("""COMPUTED_VALUE"""),"N/A")</f>
        <v>N/A</v>
      </c>
      <c r="AO1445" s="97" t="str">
        <f>IFERROR(__xludf.DUMMYFUNCTION("""COMPUTED_VALUE"""),"2 Años")</f>
        <v>2 Años</v>
      </c>
      <c r="AP1445" s="97" t="str">
        <f>IFERROR(__xludf.DUMMYFUNCTION("""COMPUTED_VALUE"""),"No Aplica")</f>
        <v>No Aplica</v>
      </c>
      <c r="AQ1445" s="97" t="str">
        <f>IFERROR(__xludf.DUMMYFUNCTION("""COMPUTED_VALUE"""),"No Aplica")</f>
        <v>No Aplica</v>
      </c>
      <c r="AR1445" s="97" t="str">
        <f>IFERROR(__xludf.DUMMYFUNCTION("""COMPUTED_VALUE"""),"No Aplica")</f>
        <v>No Aplica</v>
      </c>
      <c r="AS1445" s="97" t="str">
        <f>IFERROR(__xludf.DUMMYFUNCTION("""COMPUTED_VALUE"""),"Falta")</f>
        <v>Falta</v>
      </c>
      <c r="AT1445" s="97" t="str">
        <f>IFERROR(__xludf.DUMMYFUNCTION("""COMPUTED_VALUE"""),"Falta")</f>
        <v>Falta</v>
      </c>
      <c r="AU1445" s="97" t="str">
        <f>IFERROR(__xludf.DUMMYFUNCTION("""COMPUTED_VALUE"""),"Disponible")</f>
        <v>Disponible</v>
      </c>
      <c r="AV1445" s="97" t="str">
        <f>IFERROR(__xludf.DUMMYFUNCTION("""COMPUTED_VALUE"""),"Unión")</f>
        <v>Unión</v>
      </c>
      <c r="AW1445" s="97" t="str">
        <f>IFERROR(__xludf.DUMMYFUNCTION("""COMPUTED_VALUE"""),"Rieles")</f>
        <v>Rieles</v>
      </c>
      <c r="AX1445" s="97" t="str">
        <f>IFERROR(__xludf.DUMMYFUNCTION("""COMPUTED_VALUE"""),"Interior")</f>
        <v>Interior</v>
      </c>
      <c r="AY1445" s="97" t="str">
        <f>IFERROR(__xludf.DUMMYFUNCTION("""COMPUTED_VALUE"""),"-")</f>
        <v>-</v>
      </c>
      <c r="AZ1445" s="97" t="str">
        <f>IFERROR(__xludf.DUMMYFUNCTION("""COMPUTED_VALUE"""),"-")</f>
        <v>-</v>
      </c>
      <c r="BA1445" s="97"/>
      <c r="BB1445" s="97"/>
      <c r="BC1445" s="97"/>
      <c r="BD1445" s="97" t="str">
        <f>IFERROR(__xludf.DUMMYFUNCTION("""COMPUTED_VALUE"""),"POLAR")</f>
        <v>POLAR</v>
      </c>
      <c r="BE1445" s="97"/>
      <c r="BF1445" s="97"/>
      <c r="BG1445" s="97" t="str">
        <f>IFERROR(__xludf.DUMMYFUNCTION("""COMPUTED_VALUE"""),"REPO 7")</f>
        <v>REPO 7</v>
      </c>
    </row>
    <row r="1446">
      <c r="A1446" s="97">
        <f>IFERROR(__xludf.DUMMYFUNCTION("""COMPUTED_VALUE"""),7550.0)</f>
        <v>7550</v>
      </c>
      <c r="B1446" s="97" t="str">
        <f>IFERROR(__xludf.DUMMYFUNCTION("""COMPUTED_VALUE"""),"POLAR UNION L BL")</f>
        <v>POLAR UNION L BL</v>
      </c>
      <c r="C1446" s="97" t="str">
        <f>IFERROR(__xludf.DUMMYFUNCTION("""COMPUTED_VALUE"""),"UNIÓN POLAR UNION L BL LEUK")</f>
        <v>UNIÓN POLAR UNION L BL LEUK</v>
      </c>
      <c r="D1446" s="97">
        <f>IFERROR(__xludf.DUMMYFUNCTION("""COMPUTED_VALUE"""),7.79848546006E12)</f>
        <v>7798485460060</v>
      </c>
      <c r="E1446" s="97" t="str">
        <f>IFERROR(__xludf.DUMMYFUNCTION("""COMPUTED_VALUE"""),"RM14")</f>
        <v>RM14</v>
      </c>
      <c r="F1446" s="97" t="str">
        <f>IFERROR(__xludf.DUMMYFUNCTION("""COMPUTED_VALUE"""),"N/A")</f>
        <v>N/A</v>
      </c>
      <c r="G1446" s="97" t="str">
        <f>IFERROR(__xludf.DUMMYFUNCTION("""COMPUTED_VALUE"""),"N/A")</f>
        <v>N/A</v>
      </c>
      <c r="H1446" s="97" t="str">
        <f>IFERROR(__xludf.DUMMYFUNCTION("""COMPUTED_VALUE"""),"N/A")</f>
        <v>N/A</v>
      </c>
      <c r="I1446" s="97" t="str">
        <f>IFERROR(__xludf.DUMMYFUNCTION("""COMPUTED_VALUE"""),"N/A")</f>
        <v>N/A</v>
      </c>
      <c r="J1446" s="97" t="str">
        <f>IFERROR(__xludf.DUMMYFUNCTION("""COMPUTED_VALUE"""),"N/A")</f>
        <v>N/A</v>
      </c>
      <c r="K1446" s="97" t="str">
        <f>IFERROR(__xludf.DUMMYFUNCTION("""COMPUTED_VALUE"""),"N/A")</f>
        <v>N/A</v>
      </c>
      <c r="L1446" s="97" t="str">
        <f>IFERROR(__xludf.DUMMYFUNCTION("""COMPUTED_VALUE"""),"48Vdc")</f>
        <v>48Vdc</v>
      </c>
      <c r="M1446" s="97" t="str">
        <f>IFERROR(__xludf.DUMMYFUNCTION("""COMPUTED_VALUE"""),"N/A")</f>
        <v>N/A</v>
      </c>
      <c r="N1446" s="97" t="str">
        <f>IFERROR(__xludf.DUMMYFUNCTION("""COMPUTED_VALUE"""),"N/A")</f>
        <v>N/A</v>
      </c>
      <c r="O1446" s="97" t="str">
        <f>IFERROR(__xludf.DUMMYFUNCTION("""COMPUTED_VALUE"""),"200 Max.")</f>
        <v>200 Max.</v>
      </c>
      <c r="P1446" s="97" t="str">
        <f>IFERROR(__xludf.DUMMYFUNCTION("""COMPUTED_VALUE"""),"N/A")</f>
        <v>N/A</v>
      </c>
      <c r="Q1446" s="97" t="str">
        <f>IFERROR(__xludf.DUMMYFUNCTION("""COMPUTED_VALUE"""),"N/A")</f>
        <v>N/A</v>
      </c>
      <c r="R1446" s="97" t="str">
        <f>IFERROR(__xludf.DUMMYFUNCTION("""COMPUTED_VALUE"""),"N/A")</f>
        <v>N/A</v>
      </c>
      <c r="S1446" s="97" t="str">
        <f>IFERROR(__xludf.DUMMYFUNCTION("""COMPUTED_VALUE"""),"N/A")</f>
        <v>N/A</v>
      </c>
      <c r="T1446" s="97" t="str">
        <f>IFERROR(__xludf.DUMMYFUNCTION("""COMPUTED_VALUE"""),"N/A")</f>
        <v>N/A</v>
      </c>
      <c r="U1446" s="97" t="str">
        <f>IFERROR(__xludf.DUMMYFUNCTION("""COMPUTED_VALUE"""),"N/A")</f>
        <v>N/A</v>
      </c>
      <c r="V1446" s="97" t="str">
        <f>IFERROR(__xludf.DUMMYFUNCTION("""COMPUTED_VALUE"""),"N/A")</f>
        <v>N/A</v>
      </c>
      <c r="W1446" s="97" t="str">
        <f>IFERROR(__xludf.DUMMYFUNCTION("""COMPUTED_VALUE"""),"N/A")</f>
        <v>N/A</v>
      </c>
      <c r="X1446" s="97" t="str">
        <f>IFERROR(__xludf.DUMMYFUNCTION("""COMPUTED_VALUE"""),"N/A")</f>
        <v>N/A</v>
      </c>
      <c r="Y1446" s="97" t="str">
        <f>IFERROR(__xludf.DUMMYFUNCTION("""COMPUTED_VALUE"""),"N/A")</f>
        <v>N/A</v>
      </c>
      <c r="Z1446" s="97" t="str">
        <f>IFERROR(__xludf.DUMMYFUNCTION("""COMPUTED_VALUE"""),"N/A")</f>
        <v>N/A</v>
      </c>
      <c r="AA1446" s="97" t="str">
        <f>IFERROR(__xludf.DUMMYFUNCTION("""COMPUTED_VALUE"""),"N/A")</f>
        <v>N/A</v>
      </c>
      <c r="AB1446" s="97" t="str">
        <f>IFERROR(__xludf.DUMMYFUNCTION("""COMPUTED_VALUE"""),"N/A")</f>
        <v>N/A</v>
      </c>
      <c r="AC1446" s="97" t="str">
        <f>IFERROR(__xludf.DUMMYFUNCTION("""COMPUTED_VALUE"""),"N/A")</f>
        <v>N/A</v>
      </c>
      <c r="AD1446" s="97" t="str">
        <f>IFERROR(__xludf.DUMMYFUNCTION("""COMPUTED_VALUE"""),"IP20")</f>
        <v>IP20</v>
      </c>
      <c r="AE1446" s="97" t="str">
        <f>IFERROR(__xludf.DUMMYFUNCTION("""COMPUTED_VALUE"""),"Clase lll")</f>
        <v>Clase lll</v>
      </c>
      <c r="AF1446" s="97" t="str">
        <f>IFERROR(__xludf.DUMMYFUNCTION("""COMPUTED_VALUE"""),"N/A")</f>
        <v>N/A</v>
      </c>
      <c r="AG1446" s="97"/>
      <c r="AH1446" s="97" t="str">
        <f>IFERROR(__xludf.DUMMYFUNCTION("""COMPUTED_VALUE"""),"N/A")</f>
        <v>N/A</v>
      </c>
      <c r="AI1446" s="97" t="str">
        <f>IFERROR(__xludf.DUMMYFUNCTION("""COMPUTED_VALUE"""),"N/A")</f>
        <v>N/A</v>
      </c>
      <c r="AJ1446" s="97" t="str">
        <f>IFERROR(__xludf.DUMMYFUNCTION("""COMPUTED_VALUE"""),"N/A")</f>
        <v>N/A</v>
      </c>
      <c r="AK1446" s="97" t="str">
        <f>IFERROR(__xludf.DUMMYFUNCTION("""COMPUTED_VALUE"""),"Aluminio")</f>
        <v>Aluminio</v>
      </c>
      <c r="AL1446" s="97" t="str">
        <f>IFERROR(__xludf.DUMMYFUNCTION("""COMPUTED_VALUE"""),"Blanco")</f>
        <v>Blanco</v>
      </c>
      <c r="AM1446" s="97" t="str">
        <f>IFERROR(__xludf.DUMMYFUNCTION("""COMPUTED_VALUE"""),"-")</f>
        <v>-</v>
      </c>
      <c r="AN1446" s="97" t="str">
        <f>IFERROR(__xludf.DUMMYFUNCTION("""COMPUTED_VALUE"""),"N/A")</f>
        <v>N/A</v>
      </c>
      <c r="AO1446" s="97" t="str">
        <f>IFERROR(__xludf.DUMMYFUNCTION("""COMPUTED_VALUE"""),"2 Años")</f>
        <v>2 Años</v>
      </c>
      <c r="AP1446" s="97" t="str">
        <f>IFERROR(__xludf.DUMMYFUNCTION("""COMPUTED_VALUE"""),"No Aplica")</f>
        <v>No Aplica</v>
      </c>
      <c r="AQ1446" s="97" t="str">
        <f>IFERROR(__xludf.DUMMYFUNCTION("""COMPUTED_VALUE"""),"No Aplica")</f>
        <v>No Aplica</v>
      </c>
      <c r="AR1446" s="97" t="str">
        <f>IFERROR(__xludf.DUMMYFUNCTION("""COMPUTED_VALUE"""),"No Aplica")</f>
        <v>No Aplica</v>
      </c>
      <c r="AS1446" s="97" t="str">
        <f>IFERROR(__xludf.DUMMYFUNCTION("""COMPUTED_VALUE"""),"Falta")</f>
        <v>Falta</v>
      </c>
      <c r="AT1446" s="97" t="str">
        <f>IFERROR(__xludf.DUMMYFUNCTION("""COMPUTED_VALUE"""),"Falta")</f>
        <v>Falta</v>
      </c>
      <c r="AU1446" s="97" t="str">
        <f>IFERROR(__xludf.DUMMYFUNCTION("""COMPUTED_VALUE"""),"Disponible")</f>
        <v>Disponible</v>
      </c>
      <c r="AV1446" s="97" t="str">
        <f>IFERROR(__xludf.DUMMYFUNCTION("""COMPUTED_VALUE"""),"Unión")</f>
        <v>Unión</v>
      </c>
      <c r="AW1446" s="97" t="str">
        <f>IFERROR(__xludf.DUMMYFUNCTION("""COMPUTED_VALUE"""),"Rieles")</f>
        <v>Rieles</v>
      </c>
      <c r="AX1446" s="97" t="str">
        <f>IFERROR(__xludf.DUMMYFUNCTION("""COMPUTED_VALUE"""),"Interior")</f>
        <v>Interior</v>
      </c>
      <c r="AY1446" s="97" t="str">
        <f>IFERROR(__xludf.DUMMYFUNCTION("""COMPUTED_VALUE"""),"-")</f>
        <v>-</v>
      </c>
      <c r="AZ1446" s="97" t="str">
        <f>IFERROR(__xludf.DUMMYFUNCTION("""COMPUTED_VALUE"""),"-")</f>
        <v>-</v>
      </c>
      <c r="BA1446" s="97"/>
      <c r="BB1446" s="97"/>
      <c r="BC1446" s="97"/>
      <c r="BD1446" s="97" t="str">
        <f>IFERROR(__xludf.DUMMYFUNCTION("""COMPUTED_VALUE"""),"POLAR")</f>
        <v>POLAR</v>
      </c>
      <c r="BE1446" s="97"/>
      <c r="BF1446" s="97"/>
      <c r="BG1446" s="97" t="str">
        <f>IFERROR(__xludf.DUMMYFUNCTION("""COMPUTED_VALUE"""),"REPO 7")</f>
        <v>REPO 7</v>
      </c>
    </row>
    <row r="1447">
      <c r="A1447" s="97">
        <f>IFERROR(__xludf.DUMMYFUNCTION("""COMPUTED_VALUE"""),7551.0)</f>
        <v>7551</v>
      </c>
      <c r="B1447" s="97" t="str">
        <f>IFERROR(__xludf.DUMMYFUNCTION("""COMPUTED_VALUE"""),"POLAR UNION T.P. NG")</f>
        <v>POLAR UNION T.P. NG</v>
      </c>
      <c r="C1447" s="97" t="str">
        <f>IFERROR(__xludf.DUMMYFUNCTION("""COMPUTED_VALUE"""),"UNIÓN POLAR UNION T.P. NG LEUK")</f>
        <v>UNIÓN POLAR UNION T.P. NG LEUK</v>
      </c>
      <c r="D1447" s="97">
        <f>IFERROR(__xludf.DUMMYFUNCTION("""COMPUTED_VALUE"""),7.798485460077E12)</f>
        <v>7798485460077</v>
      </c>
      <c r="E1447" s="97" t="str">
        <f>IFERROR(__xludf.DUMMYFUNCTION("""COMPUTED_VALUE"""),"RM15")</f>
        <v>RM15</v>
      </c>
      <c r="F1447" s="97" t="str">
        <f>IFERROR(__xludf.DUMMYFUNCTION("""COMPUTED_VALUE"""),"N/A")</f>
        <v>N/A</v>
      </c>
      <c r="G1447" s="97" t="str">
        <f>IFERROR(__xludf.DUMMYFUNCTION("""COMPUTED_VALUE"""),"N/A")</f>
        <v>N/A</v>
      </c>
      <c r="H1447" s="97" t="str">
        <f>IFERROR(__xludf.DUMMYFUNCTION("""COMPUTED_VALUE"""),"N/A")</f>
        <v>N/A</v>
      </c>
      <c r="I1447" s="97" t="str">
        <f>IFERROR(__xludf.DUMMYFUNCTION("""COMPUTED_VALUE"""),"N/A")</f>
        <v>N/A</v>
      </c>
      <c r="J1447" s="97" t="str">
        <f>IFERROR(__xludf.DUMMYFUNCTION("""COMPUTED_VALUE"""),"N/A")</f>
        <v>N/A</v>
      </c>
      <c r="K1447" s="97" t="str">
        <f>IFERROR(__xludf.DUMMYFUNCTION("""COMPUTED_VALUE"""),"N/A")</f>
        <v>N/A</v>
      </c>
      <c r="L1447" s="97" t="str">
        <f>IFERROR(__xludf.DUMMYFUNCTION("""COMPUTED_VALUE"""),"48Vdc")</f>
        <v>48Vdc</v>
      </c>
      <c r="M1447" s="97" t="str">
        <f>IFERROR(__xludf.DUMMYFUNCTION("""COMPUTED_VALUE"""),"N/A")</f>
        <v>N/A</v>
      </c>
      <c r="N1447" s="97" t="str">
        <f>IFERROR(__xludf.DUMMYFUNCTION("""COMPUTED_VALUE"""),"N/A")</f>
        <v>N/A</v>
      </c>
      <c r="O1447" s="97" t="str">
        <f>IFERROR(__xludf.DUMMYFUNCTION("""COMPUTED_VALUE"""),"200 Max.")</f>
        <v>200 Max.</v>
      </c>
      <c r="P1447" s="97" t="str">
        <f>IFERROR(__xludf.DUMMYFUNCTION("""COMPUTED_VALUE"""),"N/A")</f>
        <v>N/A</v>
      </c>
      <c r="Q1447" s="97" t="str">
        <f>IFERROR(__xludf.DUMMYFUNCTION("""COMPUTED_VALUE"""),"N/A")</f>
        <v>N/A</v>
      </c>
      <c r="R1447" s="97" t="str">
        <f>IFERROR(__xludf.DUMMYFUNCTION("""COMPUTED_VALUE"""),"N/A")</f>
        <v>N/A</v>
      </c>
      <c r="S1447" s="97" t="str">
        <f>IFERROR(__xludf.DUMMYFUNCTION("""COMPUTED_VALUE"""),"N/A")</f>
        <v>N/A</v>
      </c>
      <c r="T1447" s="97" t="str">
        <f>IFERROR(__xludf.DUMMYFUNCTION("""COMPUTED_VALUE"""),"N/A")</f>
        <v>N/A</v>
      </c>
      <c r="U1447" s="97" t="str">
        <f>IFERROR(__xludf.DUMMYFUNCTION("""COMPUTED_VALUE"""),"N/A")</f>
        <v>N/A</v>
      </c>
      <c r="V1447" s="97" t="str">
        <f>IFERROR(__xludf.DUMMYFUNCTION("""COMPUTED_VALUE"""),"N/A")</f>
        <v>N/A</v>
      </c>
      <c r="W1447" s="97" t="str">
        <f>IFERROR(__xludf.DUMMYFUNCTION("""COMPUTED_VALUE"""),"N/A")</f>
        <v>N/A</v>
      </c>
      <c r="X1447" s="97" t="str">
        <f>IFERROR(__xludf.DUMMYFUNCTION("""COMPUTED_VALUE"""),"N/A")</f>
        <v>N/A</v>
      </c>
      <c r="Y1447" s="97" t="str">
        <f>IFERROR(__xludf.DUMMYFUNCTION("""COMPUTED_VALUE"""),"N/A")</f>
        <v>N/A</v>
      </c>
      <c r="Z1447" s="97" t="str">
        <f>IFERROR(__xludf.DUMMYFUNCTION("""COMPUTED_VALUE"""),"N/A")</f>
        <v>N/A</v>
      </c>
      <c r="AA1447" s="97" t="str">
        <f>IFERROR(__xludf.DUMMYFUNCTION("""COMPUTED_VALUE"""),"N/A")</f>
        <v>N/A</v>
      </c>
      <c r="AB1447" s="97" t="str">
        <f>IFERROR(__xludf.DUMMYFUNCTION("""COMPUTED_VALUE"""),"N/A")</f>
        <v>N/A</v>
      </c>
      <c r="AC1447" s="97" t="str">
        <f>IFERROR(__xludf.DUMMYFUNCTION("""COMPUTED_VALUE"""),"N/A")</f>
        <v>N/A</v>
      </c>
      <c r="AD1447" s="97" t="str">
        <f>IFERROR(__xludf.DUMMYFUNCTION("""COMPUTED_VALUE"""),"IP20")</f>
        <v>IP20</v>
      </c>
      <c r="AE1447" s="97" t="str">
        <f>IFERROR(__xludf.DUMMYFUNCTION("""COMPUTED_VALUE"""),"Clase lll")</f>
        <v>Clase lll</v>
      </c>
      <c r="AF1447" s="97" t="str">
        <f>IFERROR(__xludf.DUMMYFUNCTION("""COMPUTED_VALUE"""),"N/A")</f>
        <v>N/A</v>
      </c>
      <c r="AG1447" s="97"/>
      <c r="AH1447" s="97" t="str">
        <f>IFERROR(__xludf.DUMMYFUNCTION("""COMPUTED_VALUE"""),"N/A")</f>
        <v>N/A</v>
      </c>
      <c r="AI1447" s="97" t="str">
        <f>IFERROR(__xludf.DUMMYFUNCTION("""COMPUTED_VALUE"""),"N/A")</f>
        <v>N/A</v>
      </c>
      <c r="AJ1447" s="97" t="str">
        <f>IFERROR(__xludf.DUMMYFUNCTION("""COMPUTED_VALUE"""),"N/A")</f>
        <v>N/A</v>
      </c>
      <c r="AK1447" s="97" t="str">
        <f>IFERROR(__xludf.DUMMYFUNCTION("""COMPUTED_VALUE"""),"Aluminio")</f>
        <v>Aluminio</v>
      </c>
      <c r="AL1447" s="97" t="str">
        <f>IFERROR(__xludf.DUMMYFUNCTION("""COMPUTED_VALUE"""),"Negro")</f>
        <v>Negro</v>
      </c>
      <c r="AM1447" s="97" t="str">
        <f>IFERROR(__xludf.DUMMYFUNCTION("""COMPUTED_VALUE"""),"-")</f>
        <v>-</v>
      </c>
      <c r="AN1447" s="97" t="str">
        <f>IFERROR(__xludf.DUMMYFUNCTION("""COMPUTED_VALUE"""),"N/A")</f>
        <v>N/A</v>
      </c>
      <c r="AO1447" s="97" t="str">
        <f>IFERROR(__xludf.DUMMYFUNCTION("""COMPUTED_VALUE"""),"2 Años")</f>
        <v>2 Años</v>
      </c>
      <c r="AP1447" s="97" t="str">
        <f>IFERROR(__xludf.DUMMYFUNCTION("""COMPUTED_VALUE"""),"No Aplica")</f>
        <v>No Aplica</v>
      </c>
      <c r="AQ1447" s="97" t="str">
        <f>IFERROR(__xludf.DUMMYFUNCTION("""COMPUTED_VALUE"""),"No Aplica")</f>
        <v>No Aplica</v>
      </c>
      <c r="AR1447" s="97" t="str">
        <f>IFERROR(__xludf.DUMMYFUNCTION("""COMPUTED_VALUE"""),"No Aplica")</f>
        <v>No Aplica</v>
      </c>
      <c r="AS1447" s="97" t="str">
        <f>IFERROR(__xludf.DUMMYFUNCTION("""COMPUTED_VALUE"""),"Falta")</f>
        <v>Falta</v>
      </c>
      <c r="AT1447" s="97" t="str">
        <f>IFERROR(__xludf.DUMMYFUNCTION("""COMPUTED_VALUE"""),"Falta")</f>
        <v>Falta</v>
      </c>
      <c r="AU1447" s="97" t="str">
        <f>IFERROR(__xludf.DUMMYFUNCTION("""COMPUTED_VALUE"""),"Disponible")</f>
        <v>Disponible</v>
      </c>
      <c r="AV1447" s="97" t="str">
        <f>IFERROR(__xludf.DUMMYFUNCTION("""COMPUTED_VALUE"""),"Unión")</f>
        <v>Unión</v>
      </c>
      <c r="AW1447" s="97" t="str">
        <f>IFERROR(__xludf.DUMMYFUNCTION("""COMPUTED_VALUE"""),"Rieles")</f>
        <v>Rieles</v>
      </c>
      <c r="AX1447" s="97" t="str">
        <f>IFERROR(__xludf.DUMMYFUNCTION("""COMPUTED_VALUE"""),"Interior")</f>
        <v>Interior</v>
      </c>
      <c r="AY1447" s="97" t="str">
        <f>IFERROR(__xludf.DUMMYFUNCTION("""COMPUTED_VALUE"""),"-")</f>
        <v>-</v>
      </c>
      <c r="AZ1447" s="97" t="str">
        <f>IFERROR(__xludf.DUMMYFUNCTION("""COMPUTED_VALUE"""),"-")</f>
        <v>-</v>
      </c>
      <c r="BA1447" s="97"/>
      <c r="BB1447" s="97"/>
      <c r="BC1447" s="97"/>
      <c r="BD1447" s="97" t="str">
        <f>IFERROR(__xludf.DUMMYFUNCTION("""COMPUTED_VALUE"""),"POLAR")</f>
        <v>POLAR</v>
      </c>
      <c r="BE1447" s="97"/>
      <c r="BF1447" s="97"/>
      <c r="BG1447" s="97" t="str">
        <f>IFERROR(__xludf.DUMMYFUNCTION("""COMPUTED_VALUE"""),"REPO 7")</f>
        <v>REPO 7</v>
      </c>
    </row>
    <row r="1448">
      <c r="A1448" s="97">
        <f>IFERROR(__xludf.DUMMYFUNCTION("""COMPUTED_VALUE"""),7552.0)</f>
        <v>7552</v>
      </c>
      <c r="B1448" s="97" t="str">
        <f>IFERROR(__xludf.DUMMYFUNCTION("""COMPUTED_VALUE"""),"POLAR UNION T.P. BL")</f>
        <v>POLAR UNION T.P. BL</v>
      </c>
      <c r="C1448" s="97" t="str">
        <f>IFERROR(__xludf.DUMMYFUNCTION("""COMPUTED_VALUE"""),"UNIÓN POLAR UNION T.P. BL LEUK")</f>
        <v>UNIÓN POLAR UNION T.P. BL LEUK</v>
      </c>
      <c r="D1448" s="97">
        <f>IFERROR(__xludf.DUMMYFUNCTION("""COMPUTED_VALUE"""),7.798485460084E12)</f>
        <v>7798485460084</v>
      </c>
      <c r="E1448" s="97" t="str">
        <f>IFERROR(__xludf.DUMMYFUNCTION("""COMPUTED_VALUE"""),"RM15")</f>
        <v>RM15</v>
      </c>
      <c r="F1448" s="97" t="str">
        <f>IFERROR(__xludf.DUMMYFUNCTION("""COMPUTED_VALUE"""),"N/A")</f>
        <v>N/A</v>
      </c>
      <c r="G1448" s="97" t="str">
        <f>IFERROR(__xludf.DUMMYFUNCTION("""COMPUTED_VALUE"""),"N/A")</f>
        <v>N/A</v>
      </c>
      <c r="H1448" s="97" t="str">
        <f>IFERROR(__xludf.DUMMYFUNCTION("""COMPUTED_VALUE"""),"N/A")</f>
        <v>N/A</v>
      </c>
      <c r="I1448" s="97" t="str">
        <f>IFERROR(__xludf.DUMMYFUNCTION("""COMPUTED_VALUE"""),"N/A")</f>
        <v>N/A</v>
      </c>
      <c r="J1448" s="97" t="str">
        <f>IFERROR(__xludf.DUMMYFUNCTION("""COMPUTED_VALUE"""),"N/A")</f>
        <v>N/A</v>
      </c>
      <c r="K1448" s="97" t="str">
        <f>IFERROR(__xludf.DUMMYFUNCTION("""COMPUTED_VALUE"""),"N/A")</f>
        <v>N/A</v>
      </c>
      <c r="L1448" s="97" t="str">
        <f>IFERROR(__xludf.DUMMYFUNCTION("""COMPUTED_VALUE"""),"48Vdc")</f>
        <v>48Vdc</v>
      </c>
      <c r="M1448" s="97" t="str">
        <f>IFERROR(__xludf.DUMMYFUNCTION("""COMPUTED_VALUE"""),"N/A")</f>
        <v>N/A</v>
      </c>
      <c r="N1448" s="97" t="str">
        <f>IFERROR(__xludf.DUMMYFUNCTION("""COMPUTED_VALUE"""),"N/A")</f>
        <v>N/A</v>
      </c>
      <c r="O1448" s="97" t="str">
        <f>IFERROR(__xludf.DUMMYFUNCTION("""COMPUTED_VALUE"""),"200 Max.")</f>
        <v>200 Max.</v>
      </c>
      <c r="P1448" s="97" t="str">
        <f>IFERROR(__xludf.DUMMYFUNCTION("""COMPUTED_VALUE"""),"N/A")</f>
        <v>N/A</v>
      </c>
      <c r="Q1448" s="97" t="str">
        <f>IFERROR(__xludf.DUMMYFUNCTION("""COMPUTED_VALUE"""),"N/A")</f>
        <v>N/A</v>
      </c>
      <c r="R1448" s="97" t="str">
        <f>IFERROR(__xludf.DUMMYFUNCTION("""COMPUTED_VALUE"""),"N/A")</f>
        <v>N/A</v>
      </c>
      <c r="S1448" s="97" t="str">
        <f>IFERROR(__xludf.DUMMYFUNCTION("""COMPUTED_VALUE"""),"N/A")</f>
        <v>N/A</v>
      </c>
      <c r="T1448" s="97" t="str">
        <f>IFERROR(__xludf.DUMMYFUNCTION("""COMPUTED_VALUE"""),"N/A")</f>
        <v>N/A</v>
      </c>
      <c r="U1448" s="97" t="str">
        <f>IFERROR(__xludf.DUMMYFUNCTION("""COMPUTED_VALUE"""),"N/A")</f>
        <v>N/A</v>
      </c>
      <c r="V1448" s="97" t="str">
        <f>IFERROR(__xludf.DUMMYFUNCTION("""COMPUTED_VALUE"""),"N/A")</f>
        <v>N/A</v>
      </c>
      <c r="W1448" s="97" t="str">
        <f>IFERROR(__xludf.DUMMYFUNCTION("""COMPUTED_VALUE"""),"N/A")</f>
        <v>N/A</v>
      </c>
      <c r="X1448" s="97" t="str">
        <f>IFERROR(__xludf.DUMMYFUNCTION("""COMPUTED_VALUE"""),"N/A")</f>
        <v>N/A</v>
      </c>
      <c r="Y1448" s="97" t="str">
        <f>IFERROR(__xludf.DUMMYFUNCTION("""COMPUTED_VALUE"""),"N/A")</f>
        <v>N/A</v>
      </c>
      <c r="Z1448" s="97" t="str">
        <f>IFERROR(__xludf.DUMMYFUNCTION("""COMPUTED_VALUE"""),"N/A")</f>
        <v>N/A</v>
      </c>
      <c r="AA1448" s="97" t="str">
        <f>IFERROR(__xludf.DUMMYFUNCTION("""COMPUTED_VALUE"""),"N/A")</f>
        <v>N/A</v>
      </c>
      <c r="AB1448" s="97" t="str">
        <f>IFERROR(__xludf.DUMMYFUNCTION("""COMPUTED_VALUE"""),"N/A")</f>
        <v>N/A</v>
      </c>
      <c r="AC1448" s="97" t="str">
        <f>IFERROR(__xludf.DUMMYFUNCTION("""COMPUTED_VALUE"""),"N/A")</f>
        <v>N/A</v>
      </c>
      <c r="AD1448" s="97" t="str">
        <f>IFERROR(__xludf.DUMMYFUNCTION("""COMPUTED_VALUE"""),"IP20")</f>
        <v>IP20</v>
      </c>
      <c r="AE1448" s="97" t="str">
        <f>IFERROR(__xludf.DUMMYFUNCTION("""COMPUTED_VALUE"""),"Clase lll")</f>
        <v>Clase lll</v>
      </c>
      <c r="AF1448" s="97" t="str">
        <f>IFERROR(__xludf.DUMMYFUNCTION("""COMPUTED_VALUE"""),"N/A")</f>
        <v>N/A</v>
      </c>
      <c r="AG1448" s="97"/>
      <c r="AH1448" s="97" t="str">
        <f>IFERROR(__xludf.DUMMYFUNCTION("""COMPUTED_VALUE"""),"N/A")</f>
        <v>N/A</v>
      </c>
      <c r="AI1448" s="97" t="str">
        <f>IFERROR(__xludf.DUMMYFUNCTION("""COMPUTED_VALUE"""),"N/A")</f>
        <v>N/A</v>
      </c>
      <c r="AJ1448" s="97" t="str">
        <f>IFERROR(__xludf.DUMMYFUNCTION("""COMPUTED_VALUE"""),"N/A")</f>
        <v>N/A</v>
      </c>
      <c r="AK1448" s="97" t="str">
        <f>IFERROR(__xludf.DUMMYFUNCTION("""COMPUTED_VALUE"""),"Aluminio")</f>
        <v>Aluminio</v>
      </c>
      <c r="AL1448" s="97" t="str">
        <f>IFERROR(__xludf.DUMMYFUNCTION("""COMPUTED_VALUE"""),"Blanco")</f>
        <v>Blanco</v>
      </c>
      <c r="AM1448" s="97" t="str">
        <f>IFERROR(__xludf.DUMMYFUNCTION("""COMPUTED_VALUE"""),"-")</f>
        <v>-</v>
      </c>
      <c r="AN1448" s="97" t="str">
        <f>IFERROR(__xludf.DUMMYFUNCTION("""COMPUTED_VALUE"""),"N/A")</f>
        <v>N/A</v>
      </c>
      <c r="AO1448" s="97" t="str">
        <f>IFERROR(__xludf.DUMMYFUNCTION("""COMPUTED_VALUE"""),"2 Años")</f>
        <v>2 Años</v>
      </c>
      <c r="AP1448" s="97" t="str">
        <f>IFERROR(__xludf.DUMMYFUNCTION("""COMPUTED_VALUE"""),"No Aplica")</f>
        <v>No Aplica</v>
      </c>
      <c r="AQ1448" s="97" t="str">
        <f>IFERROR(__xludf.DUMMYFUNCTION("""COMPUTED_VALUE"""),"No Aplica")</f>
        <v>No Aplica</v>
      </c>
      <c r="AR1448" s="97" t="str">
        <f>IFERROR(__xludf.DUMMYFUNCTION("""COMPUTED_VALUE"""),"No Aplica")</f>
        <v>No Aplica</v>
      </c>
      <c r="AS1448" s="97" t="str">
        <f>IFERROR(__xludf.DUMMYFUNCTION("""COMPUTED_VALUE"""),"Falta")</f>
        <v>Falta</v>
      </c>
      <c r="AT1448" s="97" t="str">
        <f>IFERROR(__xludf.DUMMYFUNCTION("""COMPUTED_VALUE"""),"Falta")</f>
        <v>Falta</v>
      </c>
      <c r="AU1448" s="97" t="str">
        <f>IFERROR(__xludf.DUMMYFUNCTION("""COMPUTED_VALUE"""),"Disponible")</f>
        <v>Disponible</v>
      </c>
      <c r="AV1448" s="97" t="str">
        <f>IFERROR(__xludf.DUMMYFUNCTION("""COMPUTED_VALUE"""),"Unión")</f>
        <v>Unión</v>
      </c>
      <c r="AW1448" s="97" t="str">
        <f>IFERROR(__xludf.DUMMYFUNCTION("""COMPUTED_VALUE"""),"Rieles")</f>
        <v>Rieles</v>
      </c>
      <c r="AX1448" s="97" t="str">
        <f>IFERROR(__xludf.DUMMYFUNCTION("""COMPUTED_VALUE"""),"Interior")</f>
        <v>Interior</v>
      </c>
      <c r="AY1448" s="97" t="str">
        <f>IFERROR(__xludf.DUMMYFUNCTION("""COMPUTED_VALUE"""),"-")</f>
        <v>-</v>
      </c>
      <c r="AZ1448" s="97" t="str">
        <f>IFERROR(__xludf.DUMMYFUNCTION("""COMPUTED_VALUE"""),"-")</f>
        <v>-</v>
      </c>
      <c r="BA1448" s="97"/>
      <c r="BB1448" s="97"/>
      <c r="BC1448" s="97"/>
      <c r="BD1448" s="97" t="str">
        <f>IFERROR(__xludf.DUMMYFUNCTION("""COMPUTED_VALUE"""),"POLAR")</f>
        <v>POLAR</v>
      </c>
      <c r="BE1448" s="97"/>
      <c r="BF1448" s="97"/>
      <c r="BG1448" s="97" t="str">
        <f>IFERROR(__xludf.DUMMYFUNCTION("""COMPUTED_VALUE"""),"REPO 7")</f>
        <v>REPO 7</v>
      </c>
    </row>
    <row r="1449">
      <c r="A1449" s="97">
        <f>IFERROR(__xludf.DUMMYFUNCTION("""COMPUTED_VALUE"""),7553.0)</f>
        <v>7553</v>
      </c>
      <c r="B1449" s="97" t="str">
        <f>IFERROR(__xludf.DUMMYFUNCTION("""COMPUTED_VALUE"""),"POLAR UNION T NG")</f>
        <v>POLAR UNION T NG</v>
      </c>
      <c r="C1449" s="97" t="str">
        <f>IFERROR(__xludf.DUMMYFUNCTION("""COMPUTED_VALUE"""),"UNIÓN POLAR UNION T NG LEUK")</f>
        <v>UNIÓN POLAR UNION T NG LEUK</v>
      </c>
      <c r="D1449" s="97">
        <f>IFERROR(__xludf.DUMMYFUNCTION("""COMPUTED_VALUE"""),7.798485460091E12)</f>
        <v>7798485460091</v>
      </c>
      <c r="E1449" s="97" t="str">
        <f>IFERROR(__xludf.DUMMYFUNCTION("""COMPUTED_VALUE"""),"RM16")</f>
        <v>RM16</v>
      </c>
      <c r="F1449" s="97" t="str">
        <f>IFERROR(__xludf.DUMMYFUNCTION("""COMPUTED_VALUE"""),"N/A")</f>
        <v>N/A</v>
      </c>
      <c r="G1449" s="97" t="str">
        <f>IFERROR(__xludf.DUMMYFUNCTION("""COMPUTED_VALUE"""),"N/A")</f>
        <v>N/A</v>
      </c>
      <c r="H1449" s="97" t="str">
        <f>IFERROR(__xludf.DUMMYFUNCTION("""COMPUTED_VALUE"""),"N/A")</f>
        <v>N/A</v>
      </c>
      <c r="I1449" s="97" t="str">
        <f>IFERROR(__xludf.DUMMYFUNCTION("""COMPUTED_VALUE"""),"N/A")</f>
        <v>N/A</v>
      </c>
      <c r="J1449" s="97" t="str">
        <f>IFERROR(__xludf.DUMMYFUNCTION("""COMPUTED_VALUE"""),"N/A")</f>
        <v>N/A</v>
      </c>
      <c r="K1449" s="97" t="str">
        <f>IFERROR(__xludf.DUMMYFUNCTION("""COMPUTED_VALUE"""),"N/A")</f>
        <v>N/A</v>
      </c>
      <c r="L1449" s="97" t="str">
        <f>IFERROR(__xludf.DUMMYFUNCTION("""COMPUTED_VALUE"""),"48Vdc")</f>
        <v>48Vdc</v>
      </c>
      <c r="M1449" s="97" t="str">
        <f>IFERROR(__xludf.DUMMYFUNCTION("""COMPUTED_VALUE"""),"N/A")</f>
        <v>N/A</v>
      </c>
      <c r="N1449" s="97" t="str">
        <f>IFERROR(__xludf.DUMMYFUNCTION("""COMPUTED_VALUE"""),"N/A")</f>
        <v>N/A</v>
      </c>
      <c r="O1449" s="97" t="str">
        <f>IFERROR(__xludf.DUMMYFUNCTION("""COMPUTED_VALUE"""),"200 Max.")</f>
        <v>200 Max.</v>
      </c>
      <c r="P1449" s="97" t="str">
        <f>IFERROR(__xludf.DUMMYFUNCTION("""COMPUTED_VALUE"""),"N/A")</f>
        <v>N/A</v>
      </c>
      <c r="Q1449" s="97" t="str">
        <f>IFERROR(__xludf.DUMMYFUNCTION("""COMPUTED_VALUE"""),"N/A")</f>
        <v>N/A</v>
      </c>
      <c r="R1449" s="97" t="str">
        <f>IFERROR(__xludf.DUMMYFUNCTION("""COMPUTED_VALUE"""),"N/A")</f>
        <v>N/A</v>
      </c>
      <c r="S1449" s="97" t="str">
        <f>IFERROR(__xludf.DUMMYFUNCTION("""COMPUTED_VALUE"""),"N/A")</f>
        <v>N/A</v>
      </c>
      <c r="T1449" s="97" t="str">
        <f>IFERROR(__xludf.DUMMYFUNCTION("""COMPUTED_VALUE"""),"N/A")</f>
        <v>N/A</v>
      </c>
      <c r="U1449" s="97" t="str">
        <f>IFERROR(__xludf.DUMMYFUNCTION("""COMPUTED_VALUE"""),"N/A")</f>
        <v>N/A</v>
      </c>
      <c r="V1449" s="97" t="str">
        <f>IFERROR(__xludf.DUMMYFUNCTION("""COMPUTED_VALUE"""),"N/A")</f>
        <v>N/A</v>
      </c>
      <c r="W1449" s="97" t="str">
        <f>IFERROR(__xludf.DUMMYFUNCTION("""COMPUTED_VALUE"""),"N/A")</f>
        <v>N/A</v>
      </c>
      <c r="X1449" s="97" t="str">
        <f>IFERROR(__xludf.DUMMYFUNCTION("""COMPUTED_VALUE"""),"N/A")</f>
        <v>N/A</v>
      </c>
      <c r="Y1449" s="97" t="str">
        <f>IFERROR(__xludf.DUMMYFUNCTION("""COMPUTED_VALUE"""),"N/A")</f>
        <v>N/A</v>
      </c>
      <c r="Z1449" s="97" t="str">
        <f>IFERROR(__xludf.DUMMYFUNCTION("""COMPUTED_VALUE"""),"N/A")</f>
        <v>N/A</v>
      </c>
      <c r="AA1449" s="97" t="str">
        <f>IFERROR(__xludf.DUMMYFUNCTION("""COMPUTED_VALUE"""),"N/A")</f>
        <v>N/A</v>
      </c>
      <c r="AB1449" s="97" t="str">
        <f>IFERROR(__xludf.DUMMYFUNCTION("""COMPUTED_VALUE"""),"N/A")</f>
        <v>N/A</v>
      </c>
      <c r="AC1449" s="97" t="str">
        <f>IFERROR(__xludf.DUMMYFUNCTION("""COMPUTED_VALUE"""),"N/A")</f>
        <v>N/A</v>
      </c>
      <c r="AD1449" s="97" t="str">
        <f>IFERROR(__xludf.DUMMYFUNCTION("""COMPUTED_VALUE"""),"IP20")</f>
        <v>IP20</v>
      </c>
      <c r="AE1449" s="97" t="str">
        <f>IFERROR(__xludf.DUMMYFUNCTION("""COMPUTED_VALUE"""),"Clase lll")</f>
        <v>Clase lll</v>
      </c>
      <c r="AF1449" s="97" t="str">
        <f>IFERROR(__xludf.DUMMYFUNCTION("""COMPUTED_VALUE"""),"N/A")</f>
        <v>N/A</v>
      </c>
      <c r="AG1449" s="97"/>
      <c r="AH1449" s="97" t="str">
        <f>IFERROR(__xludf.DUMMYFUNCTION("""COMPUTED_VALUE"""),"N/A")</f>
        <v>N/A</v>
      </c>
      <c r="AI1449" s="97" t="str">
        <f>IFERROR(__xludf.DUMMYFUNCTION("""COMPUTED_VALUE"""),"N/A")</f>
        <v>N/A</v>
      </c>
      <c r="AJ1449" s="97" t="str">
        <f>IFERROR(__xludf.DUMMYFUNCTION("""COMPUTED_VALUE"""),"N/A")</f>
        <v>N/A</v>
      </c>
      <c r="AK1449" s="97" t="str">
        <f>IFERROR(__xludf.DUMMYFUNCTION("""COMPUTED_VALUE"""),"Aluminio")</f>
        <v>Aluminio</v>
      </c>
      <c r="AL1449" s="97" t="str">
        <f>IFERROR(__xludf.DUMMYFUNCTION("""COMPUTED_VALUE"""),"Negro")</f>
        <v>Negro</v>
      </c>
      <c r="AM1449" s="97" t="str">
        <f>IFERROR(__xludf.DUMMYFUNCTION("""COMPUTED_VALUE"""),"-")</f>
        <v>-</v>
      </c>
      <c r="AN1449" s="97" t="str">
        <f>IFERROR(__xludf.DUMMYFUNCTION("""COMPUTED_VALUE"""),"N/A")</f>
        <v>N/A</v>
      </c>
      <c r="AO1449" s="97" t="str">
        <f>IFERROR(__xludf.DUMMYFUNCTION("""COMPUTED_VALUE"""),"2 Años")</f>
        <v>2 Años</v>
      </c>
      <c r="AP1449" s="97" t="str">
        <f>IFERROR(__xludf.DUMMYFUNCTION("""COMPUTED_VALUE"""),"No Aplica")</f>
        <v>No Aplica</v>
      </c>
      <c r="AQ1449" s="97" t="str">
        <f>IFERROR(__xludf.DUMMYFUNCTION("""COMPUTED_VALUE"""),"No Aplica")</f>
        <v>No Aplica</v>
      </c>
      <c r="AR1449" s="97" t="str">
        <f>IFERROR(__xludf.DUMMYFUNCTION("""COMPUTED_VALUE"""),"No Aplica")</f>
        <v>No Aplica</v>
      </c>
      <c r="AS1449" s="97" t="str">
        <f>IFERROR(__xludf.DUMMYFUNCTION("""COMPUTED_VALUE"""),"Falta")</f>
        <v>Falta</v>
      </c>
      <c r="AT1449" s="97" t="str">
        <f>IFERROR(__xludf.DUMMYFUNCTION("""COMPUTED_VALUE"""),"Falta")</f>
        <v>Falta</v>
      </c>
      <c r="AU1449" s="97" t="str">
        <f>IFERROR(__xludf.DUMMYFUNCTION("""COMPUTED_VALUE"""),"Disponible")</f>
        <v>Disponible</v>
      </c>
      <c r="AV1449" s="97" t="str">
        <f>IFERROR(__xludf.DUMMYFUNCTION("""COMPUTED_VALUE"""),"Unión")</f>
        <v>Unión</v>
      </c>
      <c r="AW1449" s="97" t="str">
        <f>IFERROR(__xludf.DUMMYFUNCTION("""COMPUTED_VALUE"""),"Rieles")</f>
        <v>Rieles</v>
      </c>
      <c r="AX1449" s="97" t="str">
        <f>IFERROR(__xludf.DUMMYFUNCTION("""COMPUTED_VALUE"""),"Interior")</f>
        <v>Interior</v>
      </c>
      <c r="AY1449" s="97" t="str">
        <f>IFERROR(__xludf.DUMMYFUNCTION("""COMPUTED_VALUE"""),"-")</f>
        <v>-</v>
      </c>
      <c r="AZ1449" s="97" t="str">
        <f>IFERROR(__xludf.DUMMYFUNCTION("""COMPUTED_VALUE"""),"-")</f>
        <v>-</v>
      </c>
      <c r="BA1449" s="97"/>
      <c r="BB1449" s="97"/>
      <c r="BC1449" s="97"/>
      <c r="BD1449" s="97" t="str">
        <f>IFERROR(__xludf.DUMMYFUNCTION("""COMPUTED_VALUE"""),"POLAR")</f>
        <v>POLAR</v>
      </c>
      <c r="BE1449" s="97"/>
      <c r="BF1449" s="97"/>
      <c r="BG1449" s="97" t="str">
        <f>IFERROR(__xludf.DUMMYFUNCTION("""COMPUTED_VALUE"""),"REPO 7")</f>
        <v>REPO 7</v>
      </c>
    </row>
    <row r="1450">
      <c r="A1450" s="97">
        <f>IFERROR(__xludf.DUMMYFUNCTION("""COMPUTED_VALUE"""),7554.0)</f>
        <v>7554</v>
      </c>
      <c r="B1450" s="97" t="str">
        <f>IFERROR(__xludf.DUMMYFUNCTION("""COMPUTED_VALUE"""),"POLAR UNION T BL")</f>
        <v>POLAR UNION T BL</v>
      </c>
      <c r="C1450" s="97" t="str">
        <f>IFERROR(__xludf.DUMMYFUNCTION("""COMPUTED_VALUE"""),"UNIÓN POLAR UNION T BL LEUK")</f>
        <v>UNIÓN POLAR UNION T BL LEUK</v>
      </c>
      <c r="D1450" s="97">
        <f>IFERROR(__xludf.DUMMYFUNCTION("""COMPUTED_VALUE"""),7.798485460107E12)</f>
        <v>7798485460107</v>
      </c>
      <c r="E1450" s="97" t="str">
        <f>IFERROR(__xludf.DUMMYFUNCTION("""COMPUTED_VALUE"""),"RM16")</f>
        <v>RM16</v>
      </c>
      <c r="F1450" s="97" t="str">
        <f>IFERROR(__xludf.DUMMYFUNCTION("""COMPUTED_VALUE"""),"N/A")</f>
        <v>N/A</v>
      </c>
      <c r="G1450" s="97" t="str">
        <f>IFERROR(__xludf.DUMMYFUNCTION("""COMPUTED_VALUE"""),"N/A")</f>
        <v>N/A</v>
      </c>
      <c r="H1450" s="97" t="str">
        <f>IFERROR(__xludf.DUMMYFUNCTION("""COMPUTED_VALUE"""),"N/A")</f>
        <v>N/A</v>
      </c>
      <c r="I1450" s="97" t="str">
        <f>IFERROR(__xludf.DUMMYFUNCTION("""COMPUTED_VALUE"""),"N/A")</f>
        <v>N/A</v>
      </c>
      <c r="J1450" s="97" t="str">
        <f>IFERROR(__xludf.DUMMYFUNCTION("""COMPUTED_VALUE"""),"N/A")</f>
        <v>N/A</v>
      </c>
      <c r="K1450" s="97" t="str">
        <f>IFERROR(__xludf.DUMMYFUNCTION("""COMPUTED_VALUE"""),"N/A")</f>
        <v>N/A</v>
      </c>
      <c r="L1450" s="97" t="str">
        <f>IFERROR(__xludf.DUMMYFUNCTION("""COMPUTED_VALUE"""),"48Vdc")</f>
        <v>48Vdc</v>
      </c>
      <c r="M1450" s="97" t="str">
        <f>IFERROR(__xludf.DUMMYFUNCTION("""COMPUTED_VALUE"""),"N/A")</f>
        <v>N/A</v>
      </c>
      <c r="N1450" s="97" t="str">
        <f>IFERROR(__xludf.DUMMYFUNCTION("""COMPUTED_VALUE"""),"N/A")</f>
        <v>N/A</v>
      </c>
      <c r="O1450" s="97" t="str">
        <f>IFERROR(__xludf.DUMMYFUNCTION("""COMPUTED_VALUE"""),"200 Max.")</f>
        <v>200 Max.</v>
      </c>
      <c r="P1450" s="97" t="str">
        <f>IFERROR(__xludf.DUMMYFUNCTION("""COMPUTED_VALUE"""),"N/A")</f>
        <v>N/A</v>
      </c>
      <c r="Q1450" s="97" t="str">
        <f>IFERROR(__xludf.DUMMYFUNCTION("""COMPUTED_VALUE"""),"N/A")</f>
        <v>N/A</v>
      </c>
      <c r="R1450" s="97" t="str">
        <f>IFERROR(__xludf.DUMMYFUNCTION("""COMPUTED_VALUE"""),"N/A")</f>
        <v>N/A</v>
      </c>
      <c r="S1450" s="97" t="str">
        <f>IFERROR(__xludf.DUMMYFUNCTION("""COMPUTED_VALUE"""),"N/A")</f>
        <v>N/A</v>
      </c>
      <c r="T1450" s="97" t="str">
        <f>IFERROR(__xludf.DUMMYFUNCTION("""COMPUTED_VALUE"""),"N/A")</f>
        <v>N/A</v>
      </c>
      <c r="U1450" s="97" t="str">
        <f>IFERROR(__xludf.DUMMYFUNCTION("""COMPUTED_VALUE"""),"N/A")</f>
        <v>N/A</v>
      </c>
      <c r="V1450" s="97" t="str">
        <f>IFERROR(__xludf.DUMMYFUNCTION("""COMPUTED_VALUE"""),"N/A")</f>
        <v>N/A</v>
      </c>
      <c r="W1450" s="97" t="str">
        <f>IFERROR(__xludf.DUMMYFUNCTION("""COMPUTED_VALUE"""),"N/A")</f>
        <v>N/A</v>
      </c>
      <c r="X1450" s="97" t="str">
        <f>IFERROR(__xludf.DUMMYFUNCTION("""COMPUTED_VALUE"""),"N/A")</f>
        <v>N/A</v>
      </c>
      <c r="Y1450" s="97" t="str">
        <f>IFERROR(__xludf.DUMMYFUNCTION("""COMPUTED_VALUE"""),"N/A")</f>
        <v>N/A</v>
      </c>
      <c r="Z1450" s="97" t="str">
        <f>IFERROR(__xludf.DUMMYFUNCTION("""COMPUTED_VALUE"""),"N/A")</f>
        <v>N/A</v>
      </c>
      <c r="AA1450" s="97" t="str">
        <f>IFERROR(__xludf.DUMMYFUNCTION("""COMPUTED_VALUE"""),"N/A")</f>
        <v>N/A</v>
      </c>
      <c r="AB1450" s="97" t="str">
        <f>IFERROR(__xludf.DUMMYFUNCTION("""COMPUTED_VALUE"""),"N/A")</f>
        <v>N/A</v>
      </c>
      <c r="AC1450" s="97" t="str">
        <f>IFERROR(__xludf.DUMMYFUNCTION("""COMPUTED_VALUE"""),"N/A")</f>
        <v>N/A</v>
      </c>
      <c r="AD1450" s="97" t="str">
        <f>IFERROR(__xludf.DUMMYFUNCTION("""COMPUTED_VALUE"""),"IP20")</f>
        <v>IP20</v>
      </c>
      <c r="AE1450" s="97" t="str">
        <f>IFERROR(__xludf.DUMMYFUNCTION("""COMPUTED_VALUE"""),"Clase lll")</f>
        <v>Clase lll</v>
      </c>
      <c r="AF1450" s="97" t="str">
        <f>IFERROR(__xludf.DUMMYFUNCTION("""COMPUTED_VALUE"""),"N/A")</f>
        <v>N/A</v>
      </c>
      <c r="AG1450" s="97"/>
      <c r="AH1450" s="97" t="str">
        <f>IFERROR(__xludf.DUMMYFUNCTION("""COMPUTED_VALUE"""),"N/A")</f>
        <v>N/A</v>
      </c>
      <c r="AI1450" s="97" t="str">
        <f>IFERROR(__xludf.DUMMYFUNCTION("""COMPUTED_VALUE"""),"N/A")</f>
        <v>N/A</v>
      </c>
      <c r="AJ1450" s="97" t="str">
        <f>IFERROR(__xludf.DUMMYFUNCTION("""COMPUTED_VALUE"""),"N/A")</f>
        <v>N/A</v>
      </c>
      <c r="AK1450" s="97" t="str">
        <f>IFERROR(__xludf.DUMMYFUNCTION("""COMPUTED_VALUE"""),"Aluminio")</f>
        <v>Aluminio</v>
      </c>
      <c r="AL1450" s="97" t="str">
        <f>IFERROR(__xludf.DUMMYFUNCTION("""COMPUTED_VALUE"""),"Blanco")</f>
        <v>Blanco</v>
      </c>
      <c r="AM1450" s="97" t="str">
        <f>IFERROR(__xludf.DUMMYFUNCTION("""COMPUTED_VALUE"""),"-")</f>
        <v>-</v>
      </c>
      <c r="AN1450" s="97" t="str">
        <f>IFERROR(__xludf.DUMMYFUNCTION("""COMPUTED_VALUE"""),"N/A")</f>
        <v>N/A</v>
      </c>
      <c r="AO1450" s="97" t="str">
        <f>IFERROR(__xludf.DUMMYFUNCTION("""COMPUTED_VALUE"""),"2 Años")</f>
        <v>2 Años</v>
      </c>
      <c r="AP1450" s="97" t="str">
        <f>IFERROR(__xludf.DUMMYFUNCTION("""COMPUTED_VALUE"""),"No Aplica")</f>
        <v>No Aplica</v>
      </c>
      <c r="AQ1450" s="97" t="str">
        <f>IFERROR(__xludf.DUMMYFUNCTION("""COMPUTED_VALUE"""),"No Aplica")</f>
        <v>No Aplica</v>
      </c>
      <c r="AR1450" s="97" t="str">
        <f>IFERROR(__xludf.DUMMYFUNCTION("""COMPUTED_VALUE"""),"No Aplica")</f>
        <v>No Aplica</v>
      </c>
      <c r="AS1450" s="97" t="str">
        <f>IFERROR(__xludf.DUMMYFUNCTION("""COMPUTED_VALUE"""),"Falta")</f>
        <v>Falta</v>
      </c>
      <c r="AT1450" s="97" t="str">
        <f>IFERROR(__xludf.DUMMYFUNCTION("""COMPUTED_VALUE"""),"Falta")</f>
        <v>Falta</v>
      </c>
      <c r="AU1450" s="97" t="str">
        <f>IFERROR(__xludf.DUMMYFUNCTION("""COMPUTED_VALUE"""),"Disponible")</f>
        <v>Disponible</v>
      </c>
      <c r="AV1450" s="97" t="str">
        <f>IFERROR(__xludf.DUMMYFUNCTION("""COMPUTED_VALUE"""),"Unión")</f>
        <v>Unión</v>
      </c>
      <c r="AW1450" s="97" t="str">
        <f>IFERROR(__xludf.DUMMYFUNCTION("""COMPUTED_VALUE"""),"Rieles")</f>
        <v>Rieles</v>
      </c>
      <c r="AX1450" s="97" t="str">
        <f>IFERROR(__xludf.DUMMYFUNCTION("""COMPUTED_VALUE"""),"Interior")</f>
        <v>Interior</v>
      </c>
      <c r="AY1450" s="97" t="str">
        <f>IFERROR(__xludf.DUMMYFUNCTION("""COMPUTED_VALUE"""),"-")</f>
        <v>-</v>
      </c>
      <c r="AZ1450" s="97" t="str">
        <f>IFERROR(__xludf.DUMMYFUNCTION("""COMPUTED_VALUE"""),"-")</f>
        <v>-</v>
      </c>
      <c r="BA1450" s="97"/>
      <c r="BB1450" s="97"/>
      <c r="BC1450" s="97"/>
      <c r="BD1450" s="97" t="str">
        <f>IFERROR(__xludf.DUMMYFUNCTION("""COMPUTED_VALUE"""),"POLAR")</f>
        <v>POLAR</v>
      </c>
      <c r="BE1450" s="97"/>
      <c r="BF1450" s="97"/>
      <c r="BG1450" s="97" t="str">
        <f>IFERROR(__xludf.DUMMYFUNCTION("""COMPUTED_VALUE"""),"REPO 7")</f>
        <v>REPO 7</v>
      </c>
    </row>
    <row r="1451">
      <c r="A1451" s="97">
        <f>IFERROR(__xludf.DUMMYFUNCTION("""COMPUTED_VALUE"""),7555.0)</f>
        <v>7555</v>
      </c>
      <c r="B1451" s="97" t="str">
        <f>IFERROR(__xludf.DUMMYFUNCTION("""COMPUTED_VALUE"""),"POLAR DRIVER 100W NG")</f>
        <v>POLAR DRIVER 100W NG</v>
      </c>
      <c r="C1451" s="97" t="str">
        <f>IFERROR(__xludf.DUMMYFUNCTION("""COMPUTED_VALUE"""),"ACCESORIO POLAR DRIVER 100W NG LEUK")</f>
        <v>ACCESORIO POLAR DRIVER 100W NG LEUK</v>
      </c>
      <c r="D1451" s="97">
        <f>IFERROR(__xludf.DUMMYFUNCTION("""COMPUTED_VALUE"""),7.798485460114E12)</f>
        <v>7798485460114</v>
      </c>
      <c r="E1451" s="97" t="str">
        <f>IFERROR(__xludf.DUMMYFUNCTION("""COMPUTED_VALUE"""),"DV1")</f>
        <v>DV1</v>
      </c>
      <c r="F1451" s="97" t="str">
        <f>IFERROR(__xludf.DUMMYFUNCTION("""COMPUTED_VALUE"""),"N/A")</f>
        <v>N/A</v>
      </c>
      <c r="G1451" s="97" t="str">
        <f>IFERROR(__xludf.DUMMYFUNCTION("""COMPUTED_VALUE"""),"N/A")</f>
        <v>N/A</v>
      </c>
      <c r="H1451" s="97" t="str">
        <f>IFERROR(__xludf.DUMMYFUNCTION("""COMPUTED_VALUE"""),"N/A")</f>
        <v>N/A</v>
      </c>
      <c r="I1451" s="97" t="str">
        <f>IFERROR(__xludf.DUMMYFUNCTION("""COMPUTED_VALUE"""),"N/A")</f>
        <v>N/A</v>
      </c>
      <c r="J1451" s="97"/>
      <c r="K1451" s="97" t="str">
        <f>IFERROR(__xludf.DUMMYFUNCTION("""COMPUTED_VALUE"""),"ON/OFF")</f>
        <v>ON/OFF</v>
      </c>
      <c r="L1451" s="97" t="str">
        <f>IFERROR(__xludf.DUMMYFUNCTION("""COMPUTED_VALUE"""),"Entrada: 220-240Vac Salida: 48Vdc 2,1A")</f>
        <v>Entrada: 220-240Vac Salida: 48Vdc 2,1A</v>
      </c>
      <c r="M1451" s="97" t="str">
        <f>IFERROR(__xludf.DUMMYFUNCTION("""COMPUTED_VALUE"""),"50/60")</f>
        <v>50/60</v>
      </c>
      <c r="N1451" s="97" t="str">
        <f>IFERROR(__xludf.DUMMYFUNCTION("""COMPUTED_VALUE"""),"N/A")</f>
        <v>N/A</v>
      </c>
      <c r="O1451" s="97">
        <f>IFERROR(__xludf.DUMMYFUNCTION("""COMPUTED_VALUE"""),100.0)</f>
        <v>100</v>
      </c>
      <c r="P1451" s="97"/>
      <c r="Q1451" s="97"/>
      <c r="R1451" s="97" t="str">
        <f>IFERROR(__xludf.DUMMYFUNCTION("""COMPUTED_VALUE"""),"N/A")</f>
        <v>N/A</v>
      </c>
      <c r="S1451" s="97" t="str">
        <f>IFERROR(__xludf.DUMMYFUNCTION("""COMPUTED_VALUE"""),"N/A")</f>
        <v>N/A</v>
      </c>
      <c r="T1451" s="97" t="str">
        <f>IFERROR(__xludf.DUMMYFUNCTION("""COMPUTED_VALUE"""),"N/A")</f>
        <v>N/A</v>
      </c>
      <c r="U1451" s="97" t="str">
        <f>IFERROR(__xludf.DUMMYFUNCTION("""COMPUTED_VALUE"""),"N/A")</f>
        <v>N/A</v>
      </c>
      <c r="V1451" s="97" t="str">
        <f>IFERROR(__xludf.DUMMYFUNCTION("""COMPUTED_VALUE"""),"N/A")</f>
        <v>N/A</v>
      </c>
      <c r="W1451" s="97" t="str">
        <f>IFERROR(__xludf.DUMMYFUNCTION("""COMPUTED_VALUE"""),"N/A")</f>
        <v>N/A</v>
      </c>
      <c r="X1451" s="97" t="str">
        <f>IFERROR(__xludf.DUMMYFUNCTION("""COMPUTED_VALUE"""),"N/A")</f>
        <v>N/A</v>
      </c>
      <c r="Y1451" s="97" t="str">
        <f>IFERROR(__xludf.DUMMYFUNCTION("""COMPUTED_VALUE"""),"N/A")</f>
        <v>N/A</v>
      </c>
      <c r="Z1451" s="97" t="str">
        <f>IFERROR(__xludf.DUMMYFUNCTION("""COMPUTED_VALUE"""),"N/A")</f>
        <v>N/A</v>
      </c>
      <c r="AA1451" s="97" t="str">
        <f>IFERROR(__xludf.DUMMYFUNCTION("""COMPUTED_VALUE"""),"N/A")</f>
        <v>N/A</v>
      </c>
      <c r="AB1451" s="97" t="str">
        <f>IFERROR(__xludf.DUMMYFUNCTION("""COMPUTED_VALUE"""),"N/A")</f>
        <v>N/A</v>
      </c>
      <c r="AC1451" s="97" t="str">
        <f>IFERROR(__xludf.DUMMYFUNCTION("""COMPUTED_VALUE"""),"N/A")</f>
        <v>N/A</v>
      </c>
      <c r="AD1451" s="97" t="str">
        <f>IFERROR(__xludf.DUMMYFUNCTION("""COMPUTED_VALUE"""),"IP20")</f>
        <v>IP20</v>
      </c>
      <c r="AE1451" s="97"/>
      <c r="AF1451" s="97" t="str">
        <f>IFERROR(__xludf.DUMMYFUNCTION("""COMPUTED_VALUE"""),"N/A")</f>
        <v>N/A</v>
      </c>
      <c r="AG1451" s="97"/>
      <c r="AH1451" s="97" t="str">
        <f>IFERROR(__xludf.DUMMYFUNCTION("""COMPUTED_VALUE"""),"N/A")</f>
        <v>N/A</v>
      </c>
      <c r="AI1451" s="97" t="str">
        <f>IFERROR(__xludf.DUMMYFUNCTION("""COMPUTED_VALUE"""),"N/A")</f>
        <v>N/A</v>
      </c>
      <c r="AJ1451" s="97" t="str">
        <f>IFERROR(__xludf.DUMMYFUNCTION("""COMPUTED_VALUE"""),"N/A")</f>
        <v>N/A</v>
      </c>
      <c r="AK1451" s="97" t="str">
        <f>IFERROR(__xludf.DUMMYFUNCTION("""COMPUTED_VALUE"""),"Aluminio")</f>
        <v>Aluminio</v>
      </c>
      <c r="AL1451" s="97" t="str">
        <f>IFERROR(__xludf.DUMMYFUNCTION("""COMPUTED_VALUE"""),"Negro")</f>
        <v>Negro</v>
      </c>
      <c r="AM1451" s="97" t="str">
        <f>IFERROR(__xludf.DUMMYFUNCTION("""COMPUTED_VALUE"""),"-")</f>
        <v>-</v>
      </c>
      <c r="AN1451" s="97" t="str">
        <f>IFERROR(__xludf.DUMMYFUNCTION("""COMPUTED_VALUE"""),"N/A")</f>
        <v>N/A</v>
      </c>
      <c r="AO1451" s="97" t="str">
        <f>IFERROR(__xludf.DUMMYFUNCTION("""COMPUTED_VALUE"""),"2 Años")</f>
        <v>2 Años</v>
      </c>
      <c r="AP1451" s="97" t="str">
        <f>IFERROR(__xludf.DUMMYFUNCTION("""COMPUTED_VALUE"""),"No Aplica")</f>
        <v>No Aplica</v>
      </c>
      <c r="AQ1451" s="97" t="str">
        <f>IFERROR(__xludf.DUMMYFUNCTION("""COMPUTED_VALUE"""),"No Aplica")</f>
        <v>No Aplica</v>
      </c>
      <c r="AR1451" s="97" t="str">
        <f>IFERROR(__xludf.DUMMYFUNCTION("""COMPUTED_VALUE"""),"No Aplica")</f>
        <v>No Aplica</v>
      </c>
      <c r="AS1451" s="97" t="str">
        <f>IFERROR(__xludf.DUMMYFUNCTION("""COMPUTED_VALUE"""),"Falta")</f>
        <v>Falta</v>
      </c>
      <c r="AT1451" s="97" t="str">
        <f>IFERROR(__xludf.DUMMYFUNCTION("""COMPUTED_VALUE"""),"Falta")</f>
        <v>Falta</v>
      </c>
      <c r="AU1451" s="97" t="str">
        <f>IFERROR(__xludf.DUMMYFUNCTION("""COMPUTED_VALUE"""),"Disponible")</f>
        <v>Disponible</v>
      </c>
      <c r="AV1451" s="97" t="str">
        <f>IFERROR(__xludf.DUMMYFUNCTION("""COMPUTED_VALUE"""),"Accesorio")</f>
        <v>Accesorio</v>
      </c>
      <c r="AW1451" s="97" t="str">
        <f>IFERROR(__xludf.DUMMYFUNCTION("""COMPUTED_VALUE"""),"Rieles")</f>
        <v>Rieles</v>
      </c>
      <c r="AX1451" s="97" t="str">
        <f>IFERROR(__xludf.DUMMYFUNCTION("""COMPUTED_VALUE"""),"Interior")</f>
        <v>Interior</v>
      </c>
      <c r="AY1451" s="97" t="str">
        <f>IFERROR(__xludf.DUMMYFUNCTION("""COMPUTED_VALUE"""),"-")</f>
        <v>-</v>
      </c>
      <c r="AZ1451" s="97" t="str">
        <f>IFERROR(__xludf.DUMMYFUNCTION("""COMPUTED_VALUE"""),"-")</f>
        <v>-</v>
      </c>
      <c r="BA1451" s="97"/>
      <c r="BB1451" s="97"/>
      <c r="BC1451" s="97"/>
      <c r="BD1451" s="97" t="str">
        <f>IFERROR(__xludf.DUMMYFUNCTION("""COMPUTED_VALUE"""),"POLAR")</f>
        <v>POLAR</v>
      </c>
      <c r="BE1451" s="97"/>
      <c r="BF1451" s="97"/>
      <c r="BG1451" s="97" t="str">
        <f>IFERROR(__xludf.DUMMYFUNCTION("""COMPUTED_VALUE"""),"REPO 7")</f>
        <v>REPO 7</v>
      </c>
    </row>
    <row r="1452">
      <c r="A1452" s="97">
        <f>IFERROR(__xludf.DUMMYFUNCTION("""COMPUTED_VALUE"""),7556.0)</f>
        <v>7556</v>
      </c>
      <c r="B1452" s="97" t="str">
        <f>IFERROR(__xludf.DUMMYFUNCTION("""COMPUTED_VALUE"""),"POLAR DRIVER 100W BL")</f>
        <v>POLAR DRIVER 100W BL</v>
      </c>
      <c r="C1452" s="97" t="str">
        <f>IFERROR(__xludf.DUMMYFUNCTION("""COMPUTED_VALUE"""),"ACCESORIO POLAR DRIVER 100W BL LEUK")</f>
        <v>ACCESORIO POLAR DRIVER 100W BL LEUK</v>
      </c>
      <c r="D1452" s="97">
        <f>IFERROR(__xludf.DUMMYFUNCTION("""COMPUTED_VALUE"""),7.798485460121E12)</f>
        <v>7798485460121</v>
      </c>
      <c r="E1452" s="97" t="str">
        <f>IFERROR(__xludf.DUMMYFUNCTION("""COMPUTED_VALUE"""),"DV1")</f>
        <v>DV1</v>
      </c>
      <c r="F1452" s="97" t="str">
        <f>IFERROR(__xludf.DUMMYFUNCTION("""COMPUTED_VALUE"""),"N/A")</f>
        <v>N/A</v>
      </c>
      <c r="G1452" s="97" t="str">
        <f>IFERROR(__xludf.DUMMYFUNCTION("""COMPUTED_VALUE"""),"N/A")</f>
        <v>N/A</v>
      </c>
      <c r="H1452" s="97" t="str">
        <f>IFERROR(__xludf.DUMMYFUNCTION("""COMPUTED_VALUE"""),"N/A")</f>
        <v>N/A</v>
      </c>
      <c r="I1452" s="97" t="str">
        <f>IFERROR(__xludf.DUMMYFUNCTION("""COMPUTED_VALUE"""),"N/A")</f>
        <v>N/A</v>
      </c>
      <c r="J1452" s="97"/>
      <c r="K1452" s="97" t="str">
        <f>IFERROR(__xludf.DUMMYFUNCTION("""COMPUTED_VALUE"""),"ON/OFF")</f>
        <v>ON/OFF</v>
      </c>
      <c r="L1452" s="97" t="str">
        <f>IFERROR(__xludf.DUMMYFUNCTION("""COMPUTED_VALUE"""),"Entrada: 220-240Vac Salida: 48Vdc 2,1A")</f>
        <v>Entrada: 220-240Vac Salida: 48Vdc 2,1A</v>
      </c>
      <c r="M1452" s="97" t="str">
        <f>IFERROR(__xludf.DUMMYFUNCTION("""COMPUTED_VALUE"""),"50/60")</f>
        <v>50/60</v>
      </c>
      <c r="N1452" s="97" t="str">
        <f>IFERROR(__xludf.DUMMYFUNCTION("""COMPUTED_VALUE"""),"N/A")</f>
        <v>N/A</v>
      </c>
      <c r="O1452" s="97">
        <f>IFERROR(__xludf.DUMMYFUNCTION("""COMPUTED_VALUE"""),100.0)</f>
        <v>100</v>
      </c>
      <c r="P1452" s="97"/>
      <c r="Q1452" s="97"/>
      <c r="R1452" s="97" t="str">
        <f>IFERROR(__xludf.DUMMYFUNCTION("""COMPUTED_VALUE"""),"N/A")</f>
        <v>N/A</v>
      </c>
      <c r="S1452" s="97" t="str">
        <f>IFERROR(__xludf.DUMMYFUNCTION("""COMPUTED_VALUE"""),"N/A")</f>
        <v>N/A</v>
      </c>
      <c r="T1452" s="97" t="str">
        <f>IFERROR(__xludf.DUMMYFUNCTION("""COMPUTED_VALUE"""),"N/A")</f>
        <v>N/A</v>
      </c>
      <c r="U1452" s="97" t="str">
        <f>IFERROR(__xludf.DUMMYFUNCTION("""COMPUTED_VALUE"""),"N/A")</f>
        <v>N/A</v>
      </c>
      <c r="V1452" s="97" t="str">
        <f>IFERROR(__xludf.DUMMYFUNCTION("""COMPUTED_VALUE"""),"N/A")</f>
        <v>N/A</v>
      </c>
      <c r="W1452" s="97" t="str">
        <f>IFERROR(__xludf.DUMMYFUNCTION("""COMPUTED_VALUE"""),"N/A")</f>
        <v>N/A</v>
      </c>
      <c r="X1452" s="97" t="str">
        <f>IFERROR(__xludf.DUMMYFUNCTION("""COMPUTED_VALUE"""),"N/A")</f>
        <v>N/A</v>
      </c>
      <c r="Y1452" s="97" t="str">
        <f>IFERROR(__xludf.DUMMYFUNCTION("""COMPUTED_VALUE"""),"N/A")</f>
        <v>N/A</v>
      </c>
      <c r="Z1452" s="97" t="str">
        <f>IFERROR(__xludf.DUMMYFUNCTION("""COMPUTED_VALUE"""),"N/A")</f>
        <v>N/A</v>
      </c>
      <c r="AA1452" s="97" t="str">
        <f>IFERROR(__xludf.DUMMYFUNCTION("""COMPUTED_VALUE"""),"N/A")</f>
        <v>N/A</v>
      </c>
      <c r="AB1452" s="97" t="str">
        <f>IFERROR(__xludf.DUMMYFUNCTION("""COMPUTED_VALUE"""),"N/A")</f>
        <v>N/A</v>
      </c>
      <c r="AC1452" s="97" t="str">
        <f>IFERROR(__xludf.DUMMYFUNCTION("""COMPUTED_VALUE"""),"N/A")</f>
        <v>N/A</v>
      </c>
      <c r="AD1452" s="97" t="str">
        <f>IFERROR(__xludf.DUMMYFUNCTION("""COMPUTED_VALUE"""),"IP20")</f>
        <v>IP20</v>
      </c>
      <c r="AE1452" s="97"/>
      <c r="AF1452" s="97" t="str">
        <f>IFERROR(__xludf.DUMMYFUNCTION("""COMPUTED_VALUE"""),"N/A")</f>
        <v>N/A</v>
      </c>
      <c r="AG1452" s="97"/>
      <c r="AH1452" s="97" t="str">
        <f>IFERROR(__xludf.DUMMYFUNCTION("""COMPUTED_VALUE"""),"N/A")</f>
        <v>N/A</v>
      </c>
      <c r="AI1452" s="97" t="str">
        <f>IFERROR(__xludf.DUMMYFUNCTION("""COMPUTED_VALUE"""),"N/A")</f>
        <v>N/A</v>
      </c>
      <c r="AJ1452" s="97" t="str">
        <f>IFERROR(__xludf.DUMMYFUNCTION("""COMPUTED_VALUE"""),"N/A")</f>
        <v>N/A</v>
      </c>
      <c r="AK1452" s="97" t="str">
        <f>IFERROR(__xludf.DUMMYFUNCTION("""COMPUTED_VALUE"""),"Aluminio")</f>
        <v>Aluminio</v>
      </c>
      <c r="AL1452" s="97" t="str">
        <f>IFERROR(__xludf.DUMMYFUNCTION("""COMPUTED_VALUE"""),"Blanco")</f>
        <v>Blanco</v>
      </c>
      <c r="AM1452" s="97" t="str">
        <f>IFERROR(__xludf.DUMMYFUNCTION("""COMPUTED_VALUE"""),"-")</f>
        <v>-</v>
      </c>
      <c r="AN1452" s="97" t="str">
        <f>IFERROR(__xludf.DUMMYFUNCTION("""COMPUTED_VALUE"""),"N/A")</f>
        <v>N/A</v>
      </c>
      <c r="AO1452" s="97" t="str">
        <f>IFERROR(__xludf.DUMMYFUNCTION("""COMPUTED_VALUE"""),"2 Años")</f>
        <v>2 Años</v>
      </c>
      <c r="AP1452" s="97" t="str">
        <f>IFERROR(__xludf.DUMMYFUNCTION("""COMPUTED_VALUE"""),"No Aplica")</f>
        <v>No Aplica</v>
      </c>
      <c r="AQ1452" s="97" t="str">
        <f>IFERROR(__xludf.DUMMYFUNCTION("""COMPUTED_VALUE"""),"No Aplica")</f>
        <v>No Aplica</v>
      </c>
      <c r="AR1452" s="97" t="str">
        <f>IFERROR(__xludf.DUMMYFUNCTION("""COMPUTED_VALUE"""),"No Aplica")</f>
        <v>No Aplica</v>
      </c>
      <c r="AS1452" s="97" t="str">
        <f>IFERROR(__xludf.DUMMYFUNCTION("""COMPUTED_VALUE"""),"Falta")</f>
        <v>Falta</v>
      </c>
      <c r="AT1452" s="97" t="str">
        <f>IFERROR(__xludf.DUMMYFUNCTION("""COMPUTED_VALUE"""),"Falta")</f>
        <v>Falta</v>
      </c>
      <c r="AU1452" s="97" t="str">
        <f>IFERROR(__xludf.DUMMYFUNCTION("""COMPUTED_VALUE"""),"Disponible")</f>
        <v>Disponible</v>
      </c>
      <c r="AV1452" s="97" t="str">
        <f>IFERROR(__xludf.DUMMYFUNCTION("""COMPUTED_VALUE"""),"Accesorio")</f>
        <v>Accesorio</v>
      </c>
      <c r="AW1452" s="97" t="str">
        <f>IFERROR(__xludf.DUMMYFUNCTION("""COMPUTED_VALUE"""),"Rieles")</f>
        <v>Rieles</v>
      </c>
      <c r="AX1452" s="97" t="str">
        <f>IFERROR(__xludf.DUMMYFUNCTION("""COMPUTED_VALUE"""),"Interior")</f>
        <v>Interior</v>
      </c>
      <c r="AY1452" s="97" t="str">
        <f>IFERROR(__xludf.DUMMYFUNCTION("""COMPUTED_VALUE"""),"-")</f>
        <v>-</v>
      </c>
      <c r="AZ1452" s="97" t="str">
        <f>IFERROR(__xludf.DUMMYFUNCTION("""COMPUTED_VALUE"""),"-")</f>
        <v>-</v>
      </c>
      <c r="BA1452" s="97"/>
      <c r="BB1452" s="97"/>
      <c r="BC1452" s="97"/>
      <c r="BD1452" s="97" t="str">
        <f>IFERROR(__xludf.DUMMYFUNCTION("""COMPUTED_VALUE"""),"POLAR")</f>
        <v>POLAR</v>
      </c>
      <c r="BE1452" s="97"/>
      <c r="BF1452" s="97"/>
      <c r="BG1452" s="97" t="str">
        <f>IFERROR(__xludf.DUMMYFUNCTION("""COMPUTED_VALUE"""),"REPO 7")</f>
        <v>REPO 7</v>
      </c>
    </row>
    <row r="1453">
      <c r="A1453" s="97">
        <f>IFERROR(__xludf.DUMMYFUNCTION("""COMPUTED_VALUE"""),7557.0)</f>
        <v>7557</v>
      </c>
      <c r="B1453" s="97" t="str">
        <f>IFERROR(__xludf.DUMMYFUNCTION("""COMPUTED_VALUE"""),"POLAR DRIVER 200W NG")</f>
        <v>POLAR DRIVER 200W NG</v>
      </c>
      <c r="C1453" s="97" t="str">
        <f>IFERROR(__xludf.DUMMYFUNCTION("""COMPUTED_VALUE"""),"ACCESORIO POLAR DRIVER 200W NG LEUK")</f>
        <v>ACCESORIO POLAR DRIVER 200W NG LEUK</v>
      </c>
      <c r="D1453" s="97">
        <f>IFERROR(__xludf.DUMMYFUNCTION("""COMPUTED_VALUE"""),7.798485460138E12)</f>
        <v>7798485460138</v>
      </c>
      <c r="E1453" s="97" t="str">
        <f>IFERROR(__xludf.DUMMYFUNCTION("""COMPUTED_VALUE"""),"DV2")</f>
        <v>DV2</v>
      </c>
      <c r="F1453" s="97" t="str">
        <f>IFERROR(__xludf.DUMMYFUNCTION("""COMPUTED_VALUE"""),"N/A")</f>
        <v>N/A</v>
      </c>
      <c r="G1453" s="97" t="str">
        <f>IFERROR(__xludf.DUMMYFUNCTION("""COMPUTED_VALUE"""),"N/A")</f>
        <v>N/A</v>
      </c>
      <c r="H1453" s="97" t="str">
        <f>IFERROR(__xludf.DUMMYFUNCTION("""COMPUTED_VALUE"""),"N/A")</f>
        <v>N/A</v>
      </c>
      <c r="I1453" s="97" t="str">
        <f>IFERROR(__xludf.DUMMYFUNCTION("""COMPUTED_VALUE"""),"N/A")</f>
        <v>N/A</v>
      </c>
      <c r="J1453" s="97"/>
      <c r="K1453" s="97" t="str">
        <f>IFERROR(__xludf.DUMMYFUNCTION("""COMPUTED_VALUE"""),"ON/OFF")</f>
        <v>ON/OFF</v>
      </c>
      <c r="L1453" s="97" t="str">
        <f>IFERROR(__xludf.DUMMYFUNCTION("""COMPUTED_VALUE"""),"Entrada: 220-240Vac Salida: 48Vdc 4,2A")</f>
        <v>Entrada: 220-240Vac Salida: 48Vdc 4,2A</v>
      </c>
      <c r="M1453" s="97" t="str">
        <f>IFERROR(__xludf.DUMMYFUNCTION("""COMPUTED_VALUE"""),"50/60")</f>
        <v>50/60</v>
      </c>
      <c r="N1453" s="97" t="str">
        <f>IFERROR(__xludf.DUMMYFUNCTION("""COMPUTED_VALUE"""),"N/A")</f>
        <v>N/A</v>
      </c>
      <c r="O1453" s="97">
        <f>IFERROR(__xludf.DUMMYFUNCTION("""COMPUTED_VALUE"""),200.0)</f>
        <v>200</v>
      </c>
      <c r="P1453" s="97"/>
      <c r="Q1453" s="97"/>
      <c r="R1453" s="97" t="str">
        <f>IFERROR(__xludf.DUMMYFUNCTION("""COMPUTED_VALUE"""),"N/A")</f>
        <v>N/A</v>
      </c>
      <c r="S1453" s="97" t="str">
        <f>IFERROR(__xludf.DUMMYFUNCTION("""COMPUTED_VALUE"""),"N/A")</f>
        <v>N/A</v>
      </c>
      <c r="T1453" s="97" t="str">
        <f>IFERROR(__xludf.DUMMYFUNCTION("""COMPUTED_VALUE"""),"N/A")</f>
        <v>N/A</v>
      </c>
      <c r="U1453" s="97" t="str">
        <f>IFERROR(__xludf.DUMMYFUNCTION("""COMPUTED_VALUE"""),"N/A")</f>
        <v>N/A</v>
      </c>
      <c r="V1453" s="97" t="str">
        <f>IFERROR(__xludf.DUMMYFUNCTION("""COMPUTED_VALUE"""),"N/A")</f>
        <v>N/A</v>
      </c>
      <c r="W1453" s="97" t="str">
        <f>IFERROR(__xludf.DUMMYFUNCTION("""COMPUTED_VALUE"""),"N/A")</f>
        <v>N/A</v>
      </c>
      <c r="X1453" s="97" t="str">
        <f>IFERROR(__xludf.DUMMYFUNCTION("""COMPUTED_VALUE"""),"N/A")</f>
        <v>N/A</v>
      </c>
      <c r="Y1453" s="97" t="str">
        <f>IFERROR(__xludf.DUMMYFUNCTION("""COMPUTED_VALUE"""),"N/A")</f>
        <v>N/A</v>
      </c>
      <c r="Z1453" s="97" t="str">
        <f>IFERROR(__xludf.DUMMYFUNCTION("""COMPUTED_VALUE"""),"N/A")</f>
        <v>N/A</v>
      </c>
      <c r="AA1453" s="97" t="str">
        <f>IFERROR(__xludf.DUMMYFUNCTION("""COMPUTED_VALUE"""),"N/A")</f>
        <v>N/A</v>
      </c>
      <c r="AB1453" s="97" t="str">
        <f>IFERROR(__xludf.DUMMYFUNCTION("""COMPUTED_VALUE"""),"N/A")</f>
        <v>N/A</v>
      </c>
      <c r="AC1453" s="97" t="str">
        <f>IFERROR(__xludf.DUMMYFUNCTION("""COMPUTED_VALUE"""),"N/A")</f>
        <v>N/A</v>
      </c>
      <c r="AD1453" s="97" t="str">
        <f>IFERROR(__xludf.DUMMYFUNCTION("""COMPUTED_VALUE"""),"IP20")</f>
        <v>IP20</v>
      </c>
      <c r="AE1453" s="97"/>
      <c r="AF1453" s="97" t="str">
        <f>IFERROR(__xludf.DUMMYFUNCTION("""COMPUTED_VALUE"""),"N/A")</f>
        <v>N/A</v>
      </c>
      <c r="AG1453" s="97"/>
      <c r="AH1453" s="97" t="str">
        <f>IFERROR(__xludf.DUMMYFUNCTION("""COMPUTED_VALUE"""),"N/A")</f>
        <v>N/A</v>
      </c>
      <c r="AI1453" s="97" t="str">
        <f>IFERROR(__xludf.DUMMYFUNCTION("""COMPUTED_VALUE"""),"N/A")</f>
        <v>N/A</v>
      </c>
      <c r="AJ1453" s="97" t="str">
        <f>IFERROR(__xludf.DUMMYFUNCTION("""COMPUTED_VALUE"""),"N/A")</f>
        <v>N/A</v>
      </c>
      <c r="AK1453" s="97" t="str">
        <f>IFERROR(__xludf.DUMMYFUNCTION("""COMPUTED_VALUE"""),"Aluminio")</f>
        <v>Aluminio</v>
      </c>
      <c r="AL1453" s="97" t="str">
        <f>IFERROR(__xludf.DUMMYFUNCTION("""COMPUTED_VALUE"""),"Negro")</f>
        <v>Negro</v>
      </c>
      <c r="AM1453" s="97" t="str">
        <f>IFERROR(__xludf.DUMMYFUNCTION("""COMPUTED_VALUE"""),"-")</f>
        <v>-</v>
      </c>
      <c r="AN1453" s="97" t="str">
        <f>IFERROR(__xludf.DUMMYFUNCTION("""COMPUTED_VALUE"""),"N/A")</f>
        <v>N/A</v>
      </c>
      <c r="AO1453" s="97" t="str">
        <f>IFERROR(__xludf.DUMMYFUNCTION("""COMPUTED_VALUE"""),"2 Años")</f>
        <v>2 Años</v>
      </c>
      <c r="AP1453" s="97" t="str">
        <f>IFERROR(__xludf.DUMMYFUNCTION("""COMPUTED_VALUE"""),"No Aplica")</f>
        <v>No Aplica</v>
      </c>
      <c r="AQ1453" s="97" t="str">
        <f>IFERROR(__xludf.DUMMYFUNCTION("""COMPUTED_VALUE"""),"No Aplica")</f>
        <v>No Aplica</v>
      </c>
      <c r="AR1453" s="97" t="str">
        <f>IFERROR(__xludf.DUMMYFUNCTION("""COMPUTED_VALUE"""),"No Aplica")</f>
        <v>No Aplica</v>
      </c>
      <c r="AS1453" s="97" t="str">
        <f>IFERROR(__xludf.DUMMYFUNCTION("""COMPUTED_VALUE"""),"Falta")</f>
        <v>Falta</v>
      </c>
      <c r="AT1453" s="97" t="str">
        <f>IFERROR(__xludf.DUMMYFUNCTION("""COMPUTED_VALUE"""),"Falta")</f>
        <v>Falta</v>
      </c>
      <c r="AU1453" s="97" t="str">
        <f>IFERROR(__xludf.DUMMYFUNCTION("""COMPUTED_VALUE"""),"Disponible")</f>
        <v>Disponible</v>
      </c>
      <c r="AV1453" s="97" t="str">
        <f>IFERROR(__xludf.DUMMYFUNCTION("""COMPUTED_VALUE"""),"Accesorio")</f>
        <v>Accesorio</v>
      </c>
      <c r="AW1453" s="97" t="str">
        <f>IFERROR(__xludf.DUMMYFUNCTION("""COMPUTED_VALUE"""),"Rieles")</f>
        <v>Rieles</v>
      </c>
      <c r="AX1453" s="97" t="str">
        <f>IFERROR(__xludf.DUMMYFUNCTION("""COMPUTED_VALUE"""),"Interior")</f>
        <v>Interior</v>
      </c>
      <c r="AY1453" s="97" t="str">
        <f>IFERROR(__xludf.DUMMYFUNCTION("""COMPUTED_VALUE"""),"-")</f>
        <v>-</v>
      </c>
      <c r="AZ1453" s="97" t="str">
        <f>IFERROR(__xludf.DUMMYFUNCTION("""COMPUTED_VALUE"""),"-")</f>
        <v>-</v>
      </c>
      <c r="BA1453" s="97"/>
      <c r="BB1453" s="97"/>
      <c r="BC1453" s="97"/>
      <c r="BD1453" s="97" t="str">
        <f>IFERROR(__xludf.DUMMYFUNCTION("""COMPUTED_VALUE"""),"POLAR")</f>
        <v>POLAR</v>
      </c>
      <c r="BE1453" s="97"/>
      <c r="BF1453" s="97"/>
      <c r="BG1453" s="97" t="str">
        <f>IFERROR(__xludf.DUMMYFUNCTION("""COMPUTED_VALUE"""),"REPO 7")</f>
        <v>REPO 7</v>
      </c>
    </row>
    <row r="1454">
      <c r="A1454" s="97">
        <f>IFERROR(__xludf.DUMMYFUNCTION("""COMPUTED_VALUE"""),7558.0)</f>
        <v>7558</v>
      </c>
      <c r="B1454" s="97" t="str">
        <f>IFERROR(__xludf.DUMMYFUNCTION("""COMPUTED_VALUE"""),"POLAR DRIVER 200W BL")</f>
        <v>POLAR DRIVER 200W BL</v>
      </c>
      <c r="C1454" s="97" t="str">
        <f>IFERROR(__xludf.DUMMYFUNCTION("""COMPUTED_VALUE"""),"ACCESORIO POLAR DRIVER 200W BL LEUK")</f>
        <v>ACCESORIO POLAR DRIVER 200W BL LEUK</v>
      </c>
      <c r="D1454" s="97">
        <f>IFERROR(__xludf.DUMMYFUNCTION("""COMPUTED_VALUE"""),7.798485460145E12)</f>
        <v>7798485460145</v>
      </c>
      <c r="E1454" s="97" t="str">
        <f>IFERROR(__xludf.DUMMYFUNCTION("""COMPUTED_VALUE"""),"DV2")</f>
        <v>DV2</v>
      </c>
      <c r="F1454" s="97" t="str">
        <f>IFERROR(__xludf.DUMMYFUNCTION("""COMPUTED_VALUE"""),"N/A")</f>
        <v>N/A</v>
      </c>
      <c r="G1454" s="97" t="str">
        <f>IFERROR(__xludf.DUMMYFUNCTION("""COMPUTED_VALUE"""),"N/A")</f>
        <v>N/A</v>
      </c>
      <c r="H1454" s="97" t="str">
        <f>IFERROR(__xludf.DUMMYFUNCTION("""COMPUTED_VALUE"""),"N/A")</f>
        <v>N/A</v>
      </c>
      <c r="I1454" s="97" t="str">
        <f>IFERROR(__xludf.DUMMYFUNCTION("""COMPUTED_VALUE"""),"N/A")</f>
        <v>N/A</v>
      </c>
      <c r="J1454" s="97"/>
      <c r="K1454" s="97" t="str">
        <f>IFERROR(__xludf.DUMMYFUNCTION("""COMPUTED_VALUE"""),"ON/OFF")</f>
        <v>ON/OFF</v>
      </c>
      <c r="L1454" s="97" t="str">
        <f>IFERROR(__xludf.DUMMYFUNCTION("""COMPUTED_VALUE"""),"Entrada: 220-240Vac Salida: 48Vdc 4,2A")</f>
        <v>Entrada: 220-240Vac Salida: 48Vdc 4,2A</v>
      </c>
      <c r="M1454" s="97" t="str">
        <f>IFERROR(__xludf.DUMMYFUNCTION("""COMPUTED_VALUE"""),"50/60")</f>
        <v>50/60</v>
      </c>
      <c r="N1454" s="97" t="str">
        <f>IFERROR(__xludf.DUMMYFUNCTION("""COMPUTED_VALUE"""),"N/A")</f>
        <v>N/A</v>
      </c>
      <c r="O1454" s="97">
        <f>IFERROR(__xludf.DUMMYFUNCTION("""COMPUTED_VALUE"""),200.0)</f>
        <v>200</v>
      </c>
      <c r="P1454" s="97"/>
      <c r="Q1454" s="97"/>
      <c r="R1454" s="97" t="str">
        <f>IFERROR(__xludf.DUMMYFUNCTION("""COMPUTED_VALUE"""),"N/A")</f>
        <v>N/A</v>
      </c>
      <c r="S1454" s="97" t="str">
        <f>IFERROR(__xludf.DUMMYFUNCTION("""COMPUTED_VALUE"""),"N/A")</f>
        <v>N/A</v>
      </c>
      <c r="T1454" s="97" t="str">
        <f>IFERROR(__xludf.DUMMYFUNCTION("""COMPUTED_VALUE"""),"N/A")</f>
        <v>N/A</v>
      </c>
      <c r="U1454" s="97" t="str">
        <f>IFERROR(__xludf.DUMMYFUNCTION("""COMPUTED_VALUE"""),"N/A")</f>
        <v>N/A</v>
      </c>
      <c r="V1454" s="97" t="str">
        <f>IFERROR(__xludf.DUMMYFUNCTION("""COMPUTED_VALUE"""),"N/A")</f>
        <v>N/A</v>
      </c>
      <c r="W1454" s="97" t="str">
        <f>IFERROR(__xludf.DUMMYFUNCTION("""COMPUTED_VALUE"""),"N/A")</f>
        <v>N/A</v>
      </c>
      <c r="X1454" s="97" t="str">
        <f>IFERROR(__xludf.DUMMYFUNCTION("""COMPUTED_VALUE"""),"N/A")</f>
        <v>N/A</v>
      </c>
      <c r="Y1454" s="97" t="str">
        <f>IFERROR(__xludf.DUMMYFUNCTION("""COMPUTED_VALUE"""),"N/A")</f>
        <v>N/A</v>
      </c>
      <c r="Z1454" s="97" t="str">
        <f>IFERROR(__xludf.DUMMYFUNCTION("""COMPUTED_VALUE"""),"N/A")</f>
        <v>N/A</v>
      </c>
      <c r="AA1454" s="97" t="str">
        <f>IFERROR(__xludf.DUMMYFUNCTION("""COMPUTED_VALUE"""),"N/A")</f>
        <v>N/A</v>
      </c>
      <c r="AB1454" s="97" t="str">
        <f>IFERROR(__xludf.DUMMYFUNCTION("""COMPUTED_VALUE"""),"N/A")</f>
        <v>N/A</v>
      </c>
      <c r="AC1454" s="97" t="str">
        <f>IFERROR(__xludf.DUMMYFUNCTION("""COMPUTED_VALUE"""),"N/A")</f>
        <v>N/A</v>
      </c>
      <c r="AD1454" s="97" t="str">
        <f>IFERROR(__xludf.DUMMYFUNCTION("""COMPUTED_VALUE"""),"IP20")</f>
        <v>IP20</v>
      </c>
      <c r="AE1454" s="97"/>
      <c r="AF1454" s="97" t="str">
        <f>IFERROR(__xludf.DUMMYFUNCTION("""COMPUTED_VALUE"""),"N/A")</f>
        <v>N/A</v>
      </c>
      <c r="AG1454" s="97"/>
      <c r="AH1454" s="97" t="str">
        <f>IFERROR(__xludf.DUMMYFUNCTION("""COMPUTED_VALUE"""),"N/A")</f>
        <v>N/A</v>
      </c>
      <c r="AI1454" s="97" t="str">
        <f>IFERROR(__xludf.DUMMYFUNCTION("""COMPUTED_VALUE"""),"N/A")</f>
        <v>N/A</v>
      </c>
      <c r="AJ1454" s="97" t="str">
        <f>IFERROR(__xludf.DUMMYFUNCTION("""COMPUTED_VALUE"""),"N/A")</f>
        <v>N/A</v>
      </c>
      <c r="AK1454" s="97" t="str">
        <f>IFERROR(__xludf.DUMMYFUNCTION("""COMPUTED_VALUE"""),"Aluminio")</f>
        <v>Aluminio</v>
      </c>
      <c r="AL1454" s="97" t="str">
        <f>IFERROR(__xludf.DUMMYFUNCTION("""COMPUTED_VALUE"""),"Blanco")</f>
        <v>Blanco</v>
      </c>
      <c r="AM1454" s="97" t="str">
        <f>IFERROR(__xludf.DUMMYFUNCTION("""COMPUTED_VALUE"""),"-")</f>
        <v>-</v>
      </c>
      <c r="AN1454" s="97" t="str">
        <f>IFERROR(__xludf.DUMMYFUNCTION("""COMPUTED_VALUE"""),"N/A")</f>
        <v>N/A</v>
      </c>
      <c r="AO1454" s="97" t="str">
        <f>IFERROR(__xludf.DUMMYFUNCTION("""COMPUTED_VALUE"""),"2 Años")</f>
        <v>2 Años</v>
      </c>
      <c r="AP1454" s="97" t="str">
        <f>IFERROR(__xludf.DUMMYFUNCTION("""COMPUTED_VALUE"""),"No Aplica")</f>
        <v>No Aplica</v>
      </c>
      <c r="AQ1454" s="97" t="str">
        <f>IFERROR(__xludf.DUMMYFUNCTION("""COMPUTED_VALUE"""),"No Aplica")</f>
        <v>No Aplica</v>
      </c>
      <c r="AR1454" s="97" t="str">
        <f>IFERROR(__xludf.DUMMYFUNCTION("""COMPUTED_VALUE"""),"No Aplica")</f>
        <v>No Aplica</v>
      </c>
      <c r="AS1454" s="97" t="str">
        <f>IFERROR(__xludf.DUMMYFUNCTION("""COMPUTED_VALUE"""),"Falta")</f>
        <v>Falta</v>
      </c>
      <c r="AT1454" s="97" t="str">
        <f>IFERROR(__xludf.DUMMYFUNCTION("""COMPUTED_VALUE"""),"Falta")</f>
        <v>Falta</v>
      </c>
      <c r="AU1454" s="97" t="str">
        <f>IFERROR(__xludf.DUMMYFUNCTION("""COMPUTED_VALUE"""),"Disponible")</f>
        <v>Disponible</v>
      </c>
      <c r="AV1454" s="97" t="str">
        <f>IFERROR(__xludf.DUMMYFUNCTION("""COMPUTED_VALUE"""),"Accesorio")</f>
        <v>Accesorio</v>
      </c>
      <c r="AW1454" s="97" t="str">
        <f>IFERROR(__xludf.DUMMYFUNCTION("""COMPUTED_VALUE"""),"Rieles")</f>
        <v>Rieles</v>
      </c>
      <c r="AX1454" s="97" t="str">
        <f>IFERROR(__xludf.DUMMYFUNCTION("""COMPUTED_VALUE"""),"Interior")</f>
        <v>Interior</v>
      </c>
      <c r="AY1454" s="97" t="str">
        <f>IFERROR(__xludf.DUMMYFUNCTION("""COMPUTED_VALUE"""),"-")</f>
        <v>-</v>
      </c>
      <c r="AZ1454" s="97" t="str">
        <f>IFERROR(__xludf.DUMMYFUNCTION("""COMPUTED_VALUE"""),"-")</f>
        <v>-</v>
      </c>
      <c r="BA1454" s="97"/>
      <c r="BB1454" s="97"/>
      <c r="BC1454" s="97"/>
      <c r="BD1454" s="97" t="str">
        <f>IFERROR(__xludf.DUMMYFUNCTION("""COMPUTED_VALUE"""),"POLAR")</f>
        <v>POLAR</v>
      </c>
      <c r="BE1454" s="97"/>
      <c r="BF1454" s="97"/>
      <c r="BG1454" s="97" t="str">
        <f>IFERROR(__xludf.DUMMYFUNCTION("""COMPUTED_VALUE"""),"REPO 7")</f>
        <v>REPO 7</v>
      </c>
    </row>
    <row r="1455">
      <c r="A1455" s="97">
        <f>IFERROR(__xludf.DUMMYFUNCTION("""COMPUTED_VALUE"""),7559.0)</f>
        <v>7559</v>
      </c>
      <c r="B1455" s="97" t="str">
        <f>IFERROR(__xludf.DUMMYFUNCTION("""COMPUTED_VALUE"""),"POLAR DRIVER TUYA 100W NG")</f>
        <v>POLAR DRIVER TUYA 100W NG</v>
      </c>
      <c r="C1455" s="97" t="str">
        <f>IFERROR(__xludf.DUMMYFUNCTION("""COMPUTED_VALUE"""),"ACCESORIO POLAR DRIVER TUYA 100W NG LEUK")</f>
        <v>ACCESORIO POLAR DRIVER TUYA 100W NG LEUK</v>
      </c>
      <c r="D1455" s="97">
        <f>IFERROR(__xludf.DUMMYFUNCTION("""COMPUTED_VALUE"""),7.798485460152E12)</f>
        <v>7798485460152</v>
      </c>
      <c r="E1455" s="97" t="str">
        <f>IFERROR(__xludf.DUMMYFUNCTION("""COMPUTED_VALUE"""),"DV3")</f>
        <v>DV3</v>
      </c>
      <c r="F1455" s="97" t="str">
        <f>IFERROR(__xludf.DUMMYFUNCTION("""COMPUTED_VALUE"""),"N/A")</f>
        <v>N/A</v>
      </c>
      <c r="G1455" s="97" t="str">
        <f>IFERROR(__xludf.DUMMYFUNCTION("""COMPUTED_VALUE"""),"N/A")</f>
        <v>N/A</v>
      </c>
      <c r="H1455" s="97" t="str">
        <f>IFERROR(__xludf.DUMMYFUNCTION("""COMPUTED_VALUE"""),"N/A")</f>
        <v>N/A</v>
      </c>
      <c r="I1455" s="97" t="str">
        <f>IFERROR(__xludf.DUMMYFUNCTION("""COMPUTED_VALUE"""),"N/A")</f>
        <v>N/A</v>
      </c>
      <c r="J1455" s="97" t="str">
        <f>IFERROR(__xludf.DUMMYFUNCTION("""COMPUTED_VALUE"""),"Modelo: MPS100W
In: 110W | AC 175-265V | 0.75-1.2A
Out: 100W | DC 48V +- 0.5V | 2.1A")</f>
        <v>Modelo: MPS100W
In: 110W | AC 175-265V | 0.75-1.2A
Out: 100W | DC 48V +- 0.5V | 2.1A</v>
      </c>
      <c r="K1455" s="97" t="str">
        <f>IFERROR(__xludf.DUMMYFUNCTION("""COMPUTED_VALUE"""),"Smart / App")</f>
        <v>Smart / App</v>
      </c>
      <c r="L1455" s="97" t="str">
        <f>IFERROR(__xludf.DUMMYFUNCTION("""COMPUTED_VALUE"""),"Entrada: 220-240Vac Salida: 48Vdc 2,1A")</f>
        <v>Entrada: 220-240Vac Salida: 48Vdc 2,1A</v>
      </c>
      <c r="M1455" s="97" t="str">
        <f>IFERROR(__xludf.DUMMYFUNCTION("""COMPUTED_VALUE"""),"50/60")</f>
        <v>50/60</v>
      </c>
      <c r="N1455" s="97" t="str">
        <f>IFERROR(__xludf.DUMMYFUNCTION("""COMPUTED_VALUE"""),"N/A")</f>
        <v>N/A</v>
      </c>
      <c r="O1455" s="97">
        <f>IFERROR(__xludf.DUMMYFUNCTION("""COMPUTED_VALUE"""),100.0)</f>
        <v>100</v>
      </c>
      <c r="P1455" s="97"/>
      <c r="Q1455" s="97"/>
      <c r="R1455" s="97" t="str">
        <f>IFERROR(__xludf.DUMMYFUNCTION("""COMPUTED_VALUE"""),"N/A")</f>
        <v>N/A</v>
      </c>
      <c r="S1455" s="97" t="str">
        <f>IFERROR(__xludf.DUMMYFUNCTION("""COMPUTED_VALUE"""),"N/A")</f>
        <v>N/A</v>
      </c>
      <c r="T1455" s="97" t="str">
        <f>IFERROR(__xludf.DUMMYFUNCTION("""COMPUTED_VALUE"""),"N/A")</f>
        <v>N/A</v>
      </c>
      <c r="U1455" s="97" t="str">
        <f>IFERROR(__xludf.DUMMYFUNCTION("""COMPUTED_VALUE"""),"N/A")</f>
        <v>N/A</v>
      </c>
      <c r="V1455" s="97" t="str">
        <f>IFERROR(__xludf.DUMMYFUNCTION("""COMPUTED_VALUE"""),"N/A")</f>
        <v>N/A</v>
      </c>
      <c r="W1455" s="97" t="str">
        <f>IFERROR(__xludf.DUMMYFUNCTION("""COMPUTED_VALUE"""),"N/A")</f>
        <v>N/A</v>
      </c>
      <c r="X1455" s="97" t="str">
        <f>IFERROR(__xludf.DUMMYFUNCTION("""COMPUTED_VALUE"""),"N/A")</f>
        <v>N/A</v>
      </c>
      <c r="Y1455" s="97" t="str">
        <f>IFERROR(__xludf.DUMMYFUNCTION("""COMPUTED_VALUE"""),"N/A")</f>
        <v>N/A</v>
      </c>
      <c r="Z1455" s="97" t="str">
        <f>IFERROR(__xludf.DUMMYFUNCTION("""COMPUTED_VALUE"""),"N/A")</f>
        <v>N/A</v>
      </c>
      <c r="AA1455" s="97" t="str">
        <f>IFERROR(__xludf.DUMMYFUNCTION("""COMPUTED_VALUE"""),"N/A")</f>
        <v>N/A</v>
      </c>
      <c r="AB1455" s="97" t="str">
        <f>IFERROR(__xludf.DUMMYFUNCTION("""COMPUTED_VALUE"""),"N/A")</f>
        <v>N/A</v>
      </c>
      <c r="AC1455" s="97" t="str">
        <f>IFERROR(__xludf.DUMMYFUNCTION("""COMPUTED_VALUE"""),"N/A")</f>
        <v>N/A</v>
      </c>
      <c r="AD1455" s="97" t="str">
        <f>IFERROR(__xludf.DUMMYFUNCTION("""COMPUTED_VALUE"""),"IP20")</f>
        <v>IP20</v>
      </c>
      <c r="AE1455" s="97"/>
      <c r="AF1455" s="97" t="str">
        <f>IFERROR(__xludf.DUMMYFUNCTION("""COMPUTED_VALUE"""),"N/A")</f>
        <v>N/A</v>
      </c>
      <c r="AG1455" s="97"/>
      <c r="AH1455" s="97" t="str">
        <f>IFERROR(__xludf.DUMMYFUNCTION("""COMPUTED_VALUE"""),"N/A")</f>
        <v>N/A</v>
      </c>
      <c r="AI1455" s="97" t="str">
        <f>IFERROR(__xludf.DUMMYFUNCTION("""COMPUTED_VALUE"""),"N/A")</f>
        <v>N/A</v>
      </c>
      <c r="AJ1455" s="97" t="str">
        <f>IFERROR(__xludf.DUMMYFUNCTION("""COMPUTED_VALUE"""),"N/A")</f>
        <v>N/A</v>
      </c>
      <c r="AK1455" s="97" t="str">
        <f>IFERROR(__xludf.DUMMYFUNCTION("""COMPUTED_VALUE"""),"Aluminio")</f>
        <v>Aluminio</v>
      </c>
      <c r="AL1455" s="97" t="str">
        <f>IFERROR(__xludf.DUMMYFUNCTION("""COMPUTED_VALUE"""),"Negro")</f>
        <v>Negro</v>
      </c>
      <c r="AM1455" s="97" t="str">
        <f>IFERROR(__xludf.DUMMYFUNCTION("""COMPUTED_VALUE"""),"-")</f>
        <v>-</v>
      </c>
      <c r="AN1455" s="97" t="str">
        <f>IFERROR(__xludf.DUMMYFUNCTION("""COMPUTED_VALUE"""),"N/A")</f>
        <v>N/A</v>
      </c>
      <c r="AO1455" s="97" t="str">
        <f>IFERROR(__xludf.DUMMYFUNCTION("""COMPUTED_VALUE"""),"2 Años")</f>
        <v>2 Años</v>
      </c>
      <c r="AP1455" s="97" t="str">
        <f>IFERROR(__xludf.DUMMYFUNCTION("""COMPUTED_VALUE"""),"No Aplica")</f>
        <v>No Aplica</v>
      </c>
      <c r="AQ1455" s="97" t="str">
        <f>IFERROR(__xludf.DUMMYFUNCTION("""COMPUTED_VALUE"""),"No Aplica")</f>
        <v>No Aplica</v>
      </c>
      <c r="AR1455" s="97" t="str">
        <f>IFERROR(__xludf.DUMMYFUNCTION("""COMPUTED_VALUE"""),"No Aplica")</f>
        <v>No Aplica</v>
      </c>
      <c r="AS1455" s="97" t="str">
        <f>IFERROR(__xludf.DUMMYFUNCTION("""COMPUTED_VALUE"""),"Falta")</f>
        <v>Falta</v>
      </c>
      <c r="AT1455" s="97" t="str">
        <f>IFERROR(__xludf.DUMMYFUNCTION("""COMPUTED_VALUE"""),"Falta")</f>
        <v>Falta</v>
      </c>
      <c r="AU1455" s="97" t="str">
        <f>IFERROR(__xludf.DUMMYFUNCTION("""COMPUTED_VALUE"""),"Disponible")</f>
        <v>Disponible</v>
      </c>
      <c r="AV1455" s="97" t="str">
        <f>IFERROR(__xludf.DUMMYFUNCTION("""COMPUTED_VALUE"""),"Accesorio")</f>
        <v>Accesorio</v>
      </c>
      <c r="AW1455" s="97" t="str">
        <f>IFERROR(__xludf.DUMMYFUNCTION("""COMPUTED_VALUE"""),"Rieles")</f>
        <v>Rieles</v>
      </c>
      <c r="AX1455" s="97" t="str">
        <f>IFERROR(__xludf.DUMMYFUNCTION("""COMPUTED_VALUE"""),"Interior")</f>
        <v>Interior</v>
      </c>
      <c r="AY1455" s="97" t="str">
        <f>IFERROR(__xludf.DUMMYFUNCTION("""COMPUTED_VALUE"""),"-")</f>
        <v>-</v>
      </c>
      <c r="AZ1455" s="97" t="str">
        <f>IFERROR(__xludf.DUMMYFUNCTION("""COMPUTED_VALUE"""),"Driver con Bluetooth TUYA integrado | El control de regulación y escena se gestiona directamente desde el driver, no desde la luminaria. Todas las luminarias del circuito se controlan de manera agrupada/simultánea.")</f>
        <v>Driver con Bluetooth TUYA integrado | El control de regulación y escena se gestiona directamente desde el driver, no desde la luminaria. Todas las luminarias del circuito se controlan de manera agrupada/simultánea.</v>
      </c>
      <c r="BA1455" s="97"/>
      <c r="BB1455" s="97"/>
      <c r="BC1455" s="97"/>
      <c r="BD1455" s="97" t="str">
        <f>IFERROR(__xludf.DUMMYFUNCTION("""COMPUTED_VALUE"""),"POLAR")</f>
        <v>POLAR</v>
      </c>
      <c r="BE1455" s="97"/>
      <c r="BF1455" s="97"/>
      <c r="BG1455" s="97" t="str">
        <f>IFERROR(__xludf.DUMMYFUNCTION("""COMPUTED_VALUE"""),"REPO 7")</f>
        <v>REPO 7</v>
      </c>
    </row>
    <row r="1456">
      <c r="A1456" s="97">
        <f>IFERROR(__xludf.DUMMYFUNCTION("""COMPUTED_VALUE"""),7560.0)</f>
        <v>7560</v>
      </c>
      <c r="B1456" s="97" t="str">
        <f>IFERROR(__xludf.DUMMYFUNCTION("""COMPUTED_VALUE"""),"POLAR DRIVER TUYA 100W BL")</f>
        <v>POLAR DRIVER TUYA 100W BL</v>
      </c>
      <c r="C1456" s="97" t="str">
        <f>IFERROR(__xludf.DUMMYFUNCTION("""COMPUTED_VALUE"""),"ACCESORIO POLAR DRIVER TUYA 100W BL LEUK")</f>
        <v>ACCESORIO POLAR DRIVER TUYA 100W BL LEUK</v>
      </c>
      <c r="D1456" s="97">
        <f>IFERROR(__xludf.DUMMYFUNCTION("""COMPUTED_VALUE"""),7.798485460169E12)</f>
        <v>7798485460169</v>
      </c>
      <c r="E1456" s="97" t="str">
        <f>IFERROR(__xludf.DUMMYFUNCTION("""COMPUTED_VALUE"""),"DV3")</f>
        <v>DV3</v>
      </c>
      <c r="F1456" s="97" t="str">
        <f>IFERROR(__xludf.DUMMYFUNCTION("""COMPUTED_VALUE"""),"N/A")</f>
        <v>N/A</v>
      </c>
      <c r="G1456" s="97" t="str">
        <f>IFERROR(__xludf.DUMMYFUNCTION("""COMPUTED_VALUE"""),"N/A")</f>
        <v>N/A</v>
      </c>
      <c r="H1456" s="97" t="str">
        <f>IFERROR(__xludf.DUMMYFUNCTION("""COMPUTED_VALUE"""),"N/A")</f>
        <v>N/A</v>
      </c>
      <c r="I1456" s="97" t="str">
        <f>IFERROR(__xludf.DUMMYFUNCTION("""COMPUTED_VALUE"""),"N/A")</f>
        <v>N/A</v>
      </c>
      <c r="J1456" s="97" t="str">
        <f>IFERROR(__xludf.DUMMYFUNCTION("""COMPUTED_VALUE"""),"Modelo: MPS100W
In: 110W | AC 175-265V | 0.75-1.2A
Out: 100W | DC 48V +- 0.5V | 2.1A")</f>
        <v>Modelo: MPS100W
In: 110W | AC 175-265V | 0.75-1.2A
Out: 100W | DC 48V +- 0.5V | 2.1A</v>
      </c>
      <c r="K1456" s="97" t="str">
        <f>IFERROR(__xludf.DUMMYFUNCTION("""COMPUTED_VALUE"""),"Smart / App")</f>
        <v>Smart / App</v>
      </c>
      <c r="L1456" s="97" t="str">
        <f>IFERROR(__xludf.DUMMYFUNCTION("""COMPUTED_VALUE"""),"Entrada: 220-240Vac Salida: 48Vdc 4,1A")</f>
        <v>Entrada: 220-240Vac Salida: 48Vdc 4,1A</v>
      </c>
      <c r="M1456" s="97" t="str">
        <f>IFERROR(__xludf.DUMMYFUNCTION("""COMPUTED_VALUE"""),"50/60")</f>
        <v>50/60</v>
      </c>
      <c r="N1456" s="97" t="str">
        <f>IFERROR(__xludf.DUMMYFUNCTION("""COMPUTED_VALUE"""),"N/A")</f>
        <v>N/A</v>
      </c>
      <c r="O1456" s="97">
        <f>IFERROR(__xludf.DUMMYFUNCTION("""COMPUTED_VALUE"""),100.0)</f>
        <v>100</v>
      </c>
      <c r="P1456" s="97"/>
      <c r="Q1456" s="97"/>
      <c r="R1456" s="97" t="str">
        <f>IFERROR(__xludf.DUMMYFUNCTION("""COMPUTED_VALUE"""),"N/A")</f>
        <v>N/A</v>
      </c>
      <c r="S1456" s="97" t="str">
        <f>IFERROR(__xludf.DUMMYFUNCTION("""COMPUTED_VALUE"""),"N/A")</f>
        <v>N/A</v>
      </c>
      <c r="T1456" s="97" t="str">
        <f>IFERROR(__xludf.DUMMYFUNCTION("""COMPUTED_VALUE"""),"N/A")</f>
        <v>N/A</v>
      </c>
      <c r="U1456" s="97" t="str">
        <f>IFERROR(__xludf.DUMMYFUNCTION("""COMPUTED_VALUE"""),"N/A")</f>
        <v>N/A</v>
      </c>
      <c r="V1456" s="97" t="str">
        <f>IFERROR(__xludf.DUMMYFUNCTION("""COMPUTED_VALUE"""),"N/A")</f>
        <v>N/A</v>
      </c>
      <c r="W1456" s="97" t="str">
        <f>IFERROR(__xludf.DUMMYFUNCTION("""COMPUTED_VALUE"""),"N/A")</f>
        <v>N/A</v>
      </c>
      <c r="X1456" s="97" t="str">
        <f>IFERROR(__xludf.DUMMYFUNCTION("""COMPUTED_VALUE"""),"N/A")</f>
        <v>N/A</v>
      </c>
      <c r="Y1456" s="97" t="str">
        <f>IFERROR(__xludf.DUMMYFUNCTION("""COMPUTED_VALUE"""),"N/A")</f>
        <v>N/A</v>
      </c>
      <c r="Z1456" s="97" t="str">
        <f>IFERROR(__xludf.DUMMYFUNCTION("""COMPUTED_VALUE"""),"N/A")</f>
        <v>N/A</v>
      </c>
      <c r="AA1456" s="97" t="str">
        <f>IFERROR(__xludf.DUMMYFUNCTION("""COMPUTED_VALUE"""),"N/A")</f>
        <v>N/A</v>
      </c>
      <c r="AB1456" s="97" t="str">
        <f>IFERROR(__xludf.DUMMYFUNCTION("""COMPUTED_VALUE"""),"N/A")</f>
        <v>N/A</v>
      </c>
      <c r="AC1456" s="97" t="str">
        <f>IFERROR(__xludf.DUMMYFUNCTION("""COMPUTED_VALUE"""),"N/A")</f>
        <v>N/A</v>
      </c>
      <c r="AD1456" s="97" t="str">
        <f>IFERROR(__xludf.DUMMYFUNCTION("""COMPUTED_VALUE"""),"IP20")</f>
        <v>IP20</v>
      </c>
      <c r="AE1456" s="97"/>
      <c r="AF1456" s="97" t="str">
        <f>IFERROR(__xludf.DUMMYFUNCTION("""COMPUTED_VALUE"""),"N/A")</f>
        <v>N/A</v>
      </c>
      <c r="AG1456" s="97"/>
      <c r="AH1456" s="97" t="str">
        <f>IFERROR(__xludf.DUMMYFUNCTION("""COMPUTED_VALUE"""),"N/A")</f>
        <v>N/A</v>
      </c>
      <c r="AI1456" s="97" t="str">
        <f>IFERROR(__xludf.DUMMYFUNCTION("""COMPUTED_VALUE"""),"N/A")</f>
        <v>N/A</v>
      </c>
      <c r="AJ1456" s="97" t="str">
        <f>IFERROR(__xludf.DUMMYFUNCTION("""COMPUTED_VALUE"""),"N/A")</f>
        <v>N/A</v>
      </c>
      <c r="AK1456" s="97" t="str">
        <f>IFERROR(__xludf.DUMMYFUNCTION("""COMPUTED_VALUE"""),"Aluminio")</f>
        <v>Aluminio</v>
      </c>
      <c r="AL1456" s="97" t="str">
        <f>IFERROR(__xludf.DUMMYFUNCTION("""COMPUTED_VALUE"""),"Blanco")</f>
        <v>Blanco</v>
      </c>
      <c r="AM1456" s="97" t="str">
        <f>IFERROR(__xludf.DUMMYFUNCTION("""COMPUTED_VALUE"""),"-")</f>
        <v>-</v>
      </c>
      <c r="AN1456" s="97" t="str">
        <f>IFERROR(__xludf.DUMMYFUNCTION("""COMPUTED_VALUE"""),"N/A")</f>
        <v>N/A</v>
      </c>
      <c r="AO1456" s="97" t="str">
        <f>IFERROR(__xludf.DUMMYFUNCTION("""COMPUTED_VALUE"""),"2 Años")</f>
        <v>2 Años</v>
      </c>
      <c r="AP1456" s="97" t="str">
        <f>IFERROR(__xludf.DUMMYFUNCTION("""COMPUTED_VALUE"""),"No Aplica")</f>
        <v>No Aplica</v>
      </c>
      <c r="AQ1456" s="97" t="str">
        <f>IFERROR(__xludf.DUMMYFUNCTION("""COMPUTED_VALUE"""),"No Aplica")</f>
        <v>No Aplica</v>
      </c>
      <c r="AR1456" s="97" t="str">
        <f>IFERROR(__xludf.DUMMYFUNCTION("""COMPUTED_VALUE"""),"No Aplica")</f>
        <v>No Aplica</v>
      </c>
      <c r="AS1456" s="97" t="str">
        <f>IFERROR(__xludf.DUMMYFUNCTION("""COMPUTED_VALUE"""),"Falta")</f>
        <v>Falta</v>
      </c>
      <c r="AT1456" s="97" t="str">
        <f>IFERROR(__xludf.DUMMYFUNCTION("""COMPUTED_VALUE"""),"Falta")</f>
        <v>Falta</v>
      </c>
      <c r="AU1456" s="97" t="str">
        <f>IFERROR(__xludf.DUMMYFUNCTION("""COMPUTED_VALUE"""),"Disponible")</f>
        <v>Disponible</v>
      </c>
      <c r="AV1456" s="97" t="str">
        <f>IFERROR(__xludf.DUMMYFUNCTION("""COMPUTED_VALUE"""),"Accesorio")</f>
        <v>Accesorio</v>
      </c>
      <c r="AW1456" s="97" t="str">
        <f>IFERROR(__xludf.DUMMYFUNCTION("""COMPUTED_VALUE"""),"Rieles")</f>
        <v>Rieles</v>
      </c>
      <c r="AX1456" s="97" t="str">
        <f>IFERROR(__xludf.DUMMYFUNCTION("""COMPUTED_VALUE"""),"Interior")</f>
        <v>Interior</v>
      </c>
      <c r="AY1456" s="97" t="str">
        <f>IFERROR(__xludf.DUMMYFUNCTION("""COMPUTED_VALUE"""),"-")</f>
        <v>-</v>
      </c>
      <c r="AZ1456" s="97" t="str">
        <f>IFERROR(__xludf.DUMMYFUNCTION("""COMPUTED_VALUE"""),"Driver con Bluetooth TUYA integrado | El control de regulación y escena se gestiona directamente desde el driver, no desde la luminaria. Todas las luminarias del circuito se controlan de manera agrupada/simultánea.")</f>
        <v>Driver con Bluetooth TUYA integrado | El control de regulación y escena se gestiona directamente desde el driver, no desde la luminaria. Todas las luminarias del circuito se controlan de manera agrupada/simultánea.</v>
      </c>
      <c r="BA1456" s="97"/>
      <c r="BB1456" s="97"/>
      <c r="BC1456" s="97"/>
      <c r="BD1456" s="97" t="str">
        <f>IFERROR(__xludf.DUMMYFUNCTION("""COMPUTED_VALUE"""),"POLAR")</f>
        <v>POLAR</v>
      </c>
      <c r="BE1456" s="97"/>
      <c r="BF1456" s="97"/>
      <c r="BG1456" s="97" t="str">
        <f>IFERROR(__xludf.DUMMYFUNCTION("""COMPUTED_VALUE"""),"REPO 7")</f>
        <v>REPO 7</v>
      </c>
    </row>
    <row r="1457">
      <c r="A1457" s="97">
        <f>IFERROR(__xludf.DUMMYFUNCTION("""COMPUTED_VALUE"""),7561.0)</f>
        <v>7561</v>
      </c>
      <c r="B1457" s="97" t="str">
        <f>IFERROR(__xludf.DUMMYFUNCTION("""COMPUTED_VALUE"""),"POLAR DRIVER TUYA 200W NG")</f>
        <v>POLAR DRIVER TUYA 200W NG</v>
      </c>
      <c r="C1457" s="97" t="str">
        <f>IFERROR(__xludf.DUMMYFUNCTION("""COMPUTED_VALUE"""),"ACCESORIO POLAR DRIVER TUYA 200W NG LEUK")</f>
        <v>ACCESORIO POLAR DRIVER TUYA 200W NG LEUK</v>
      </c>
      <c r="D1457" s="97">
        <f>IFERROR(__xludf.DUMMYFUNCTION("""COMPUTED_VALUE"""),7.798485460176E12)</f>
        <v>7798485460176</v>
      </c>
      <c r="E1457" s="97" t="str">
        <f>IFERROR(__xludf.DUMMYFUNCTION("""COMPUTED_VALUE"""),"DV4")</f>
        <v>DV4</v>
      </c>
      <c r="F1457" s="97" t="str">
        <f>IFERROR(__xludf.DUMMYFUNCTION("""COMPUTED_VALUE"""),"N/A")</f>
        <v>N/A</v>
      </c>
      <c r="G1457" s="97" t="str">
        <f>IFERROR(__xludf.DUMMYFUNCTION("""COMPUTED_VALUE"""),"N/A")</f>
        <v>N/A</v>
      </c>
      <c r="H1457" s="97" t="str">
        <f>IFERROR(__xludf.DUMMYFUNCTION("""COMPUTED_VALUE"""),"N/A")</f>
        <v>N/A</v>
      </c>
      <c r="I1457" s="97" t="str">
        <f>IFERROR(__xludf.DUMMYFUNCTION("""COMPUTED_VALUE"""),"N/A")</f>
        <v>N/A</v>
      </c>
      <c r="J1457" s="97"/>
      <c r="K1457" s="97" t="str">
        <f>IFERROR(__xludf.DUMMYFUNCTION("""COMPUTED_VALUE"""),"Smart / App")</f>
        <v>Smart / App</v>
      </c>
      <c r="L1457" s="97" t="str">
        <f>IFERROR(__xludf.DUMMYFUNCTION("""COMPUTED_VALUE"""),"Entrada: 220-240Vac Salida: 48Vdc 4,2A")</f>
        <v>Entrada: 220-240Vac Salida: 48Vdc 4,2A</v>
      </c>
      <c r="M1457" s="97" t="str">
        <f>IFERROR(__xludf.DUMMYFUNCTION("""COMPUTED_VALUE"""),"50/60")</f>
        <v>50/60</v>
      </c>
      <c r="N1457" s="97" t="str">
        <f>IFERROR(__xludf.DUMMYFUNCTION("""COMPUTED_VALUE"""),"N/A")</f>
        <v>N/A</v>
      </c>
      <c r="O1457" s="97">
        <f>IFERROR(__xludf.DUMMYFUNCTION("""COMPUTED_VALUE"""),200.0)</f>
        <v>200</v>
      </c>
      <c r="P1457" s="97"/>
      <c r="Q1457" s="97"/>
      <c r="R1457" s="97" t="str">
        <f>IFERROR(__xludf.DUMMYFUNCTION("""COMPUTED_VALUE"""),"N/A")</f>
        <v>N/A</v>
      </c>
      <c r="S1457" s="97" t="str">
        <f>IFERROR(__xludf.DUMMYFUNCTION("""COMPUTED_VALUE"""),"N/A")</f>
        <v>N/A</v>
      </c>
      <c r="T1457" s="97" t="str">
        <f>IFERROR(__xludf.DUMMYFUNCTION("""COMPUTED_VALUE"""),"N/A")</f>
        <v>N/A</v>
      </c>
      <c r="U1457" s="97" t="str">
        <f>IFERROR(__xludf.DUMMYFUNCTION("""COMPUTED_VALUE"""),"N/A")</f>
        <v>N/A</v>
      </c>
      <c r="V1457" s="97" t="str">
        <f>IFERROR(__xludf.DUMMYFUNCTION("""COMPUTED_VALUE"""),"N/A")</f>
        <v>N/A</v>
      </c>
      <c r="W1457" s="97" t="str">
        <f>IFERROR(__xludf.DUMMYFUNCTION("""COMPUTED_VALUE"""),"N/A")</f>
        <v>N/A</v>
      </c>
      <c r="X1457" s="97" t="str">
        <f>IFERROR(__xludf.DUMMYFUNCTION("""COMPUTED_VALUE"""),"N/A")</f>
        <v>N/A</v>
      </c>
      <c r="Y1457" s="97" t="str">
        <f>IFERROR(__xludf.DUMMYFUNCTION("""COMPUTED_VALUE"""),"N/A")</f>
        <v>N/A</v>
      </c>
      <c r="Z1457" s="97" t="str">
        <f>IFERROR(__xludf.DUMMYFUNCTION("""COMPUTED_VALUE"""),"N/A")</f>
        <v>N/A</v>
      </c>
      <c r="AA1457" s="97" t="str">
        <f>IFERROR(__xludf.DUMMYFUNCTION("""COMPUTED_VALUE"""),"N/A")</f>
        <v>N/A</v>
      </c>
      <c r="AB1457" s="97" t="str">
        <f>IFERROR(__xludf.DUMMYFUNCTION("""COMPUTED_VALUE"""),"N/A")</f>
        <v>N/A</v>
      </c>
      <c r="AC1457" s="97" t="str">
        <f>IFERROR(__xludf.DUMMYFUNCTION("""COMPUTED_VALUE"""),"N/A")</f>
        <v>N/A</v>
      </c>
      <c r="AD1457" s="97" t="str">
        <f>IFERROR(__xludf.DUMMYFUNCTION("""COMPUTED_VALUE"""),"IP20")</f>
        <v>IP20</v>
      </c>
      <c r="AE1457" s="97"/>
      <c r="AF1457" s="97" t="str">
        <f>IFERROR(__xludf.DUMMYFUNCTION("""COMPUTED_VALUE"""),"N/A")</f>
        <v>N/A</v>
      </c>
      <c r="AG1457" s="97"/>
      <c r="AH1457" s="97" t="str">
        <f>IFERROR(__xludf.DUMMYFUNCTION("""COMPUTED_VALUE"""),"N/A")</f>
        <v>N/A</v>
      </c>
      <c r="AI1457" s="97" t="str">
        <f>IFERROR(__xludf.DUMMYFUNCTION("""COMPUTED_VALUE"""),"N/A")</f>
        <v>N/A</v>
      </c>
      <c r="AJ1457" s="97" t="str">
        <f>IFERROR(__xludf.DUMMYFUNCTION("""COMPUTED_VALUE"""),"N/A")</f>
        <v>N/A</v>
      </c>
      <c r="AK1457" s="97" t="str">
        <f>IFERROR(__xludf.DUMMYFUNCTION("""COMPUTED_VALUE"""),"Aluminio")</f>
        <v>Aluminio</v>
      </c>
      <c r="AL1457" s="97" t="str">
        <f>IFERROR(__xludf.DUMMYFUNCTION("""COMPUTED_VALUE"""),"Negro")</f>
        <v>Negro</v>
      </c>
      <c r="AM1457" s="97" t="str">
        <f>IFERROR(__xludf.DUMMYFUNCTION("""COMPUTED_VALUE"""),"-")</f>
        <v>-</v>
      </c>
      <c r="AN1457" s="97" t="str">
        <f>IFERROR(__xludf.DUMMYFUNCTION("""COMPUTED_VALUE"""),"N/A")</f>
        <v>N/A</v>
      </c>
      <c r="AO1457" s="97" t="str">
        <f>IFERROR(__xludf.DUMMYFUNCTION("""COMPUTED_VALUE"""),"2 Años")</f>
        <v>2 Años</v>
      </c>
      <c r="AP1457" s="97" t="str">
        <f>IFERROR(__xludf.DUMMYFUNCTION("""COMPUTED_VALUE"""),"No Aplica")</f>
        <v>No Aplica</v>
      </c>
      <c r="AQ1457" s="97" t="str">
        <f>IFERROR(__xludf.DUMMYFUNCTION("""COMPUTED_VALUE"""),"No Aplica")</f>
        <v>No Aplica</v>
      </c>
      <c r="AR1457" s="97" t="str">
        <f>IFERROR(__xludf.DUMMYFUNCTION("""COMPUTED_VALUE"""),"No Aplica")</f>
        <v>No Aplica</v>
      </c>
      <c r="AS1457" s="97" t="str">
        <f>IFERROR(__xludf.DUMMYFUNCTION("""COMPUTED_VALUE"""),"Falta")</f>
        <v>Falta</v>
      </c>
      <c r="AT1457" s="97" t="str">
        <f>IFERROR(__xludf.DUMMYFUNCTION("""COMPUTED_VALUE"""),"Falta")</f>
        <v>Falta</v>
      </c>
      <c r="AU1457" s="97" t="str">
        <f>IFERROR(__xludf.DUMMYFUNCTION("""COMPUTED_VALUE"""),"Disponible")</f>
        <v>Disponible</v>
      </c>
      <c r="AV1457" s="97" t="str">
        <f>IFERROR(__xludf.DUMMYFUNCTION("""COMPUTED_VALUE"""),"Accesorio")</f>
        <v>Accesorio</v>
      </c>
      <c r="AW1457" s="97" t="str">
        <f>IFERROR(__xludf.DUMMYFUNCTION("""COMPUTED_VALUE"""),"Rieles")</f>
        <v>Rieles</v>
      </c>
      <c r="AX1457" s="97" t="str">
        <f>IFERROR(__xludf.DUMMYFUNCTION("""COMPUTED_VALUE"""),"Interior")</f>
        <v>Interior</v>
      </c>
      <c r="AY1457" s="97" t="str">
        <f>IFERROR(__xludf.DUMMYFUNCTION("""COMPUTED_VALUE"""),"-")</f>
        <v>-</v>
      </c>
      <c r="AZ1457" s="97" t="str">
        <f>IFERROR(__xludf.DUMMYFUNCTION("""COMPUTED_VALUE"""),"Driver con Bluetooth TUYA integrado | El control de regulación y escena se gestiona directamente desde el driver, no desde la luminaria. Todas las luminarias del circuito se controlan de manera agrupada/simultánea.")</f>
        <v>Driver con Bluetooth TUYA integrado | El control de regulación y escena se gestiona directamente desde el driver, no desde la luminaria. Todas las luminarias del circuito se controlan de manera agrupada/simultánea.</v>
      </c>
      <c r="BA1457" s="97"/>
      <c r="BB1457" s="97"/>
      <c r="BC1457" s="97"/>
      <c r="BD1457" s="97" t="str">
        <f>IFERROR(__xludf.DUMMYFUNCTION("""COMPUTED_VALUE"""),"POLAR")</f>
        <v>POLAR</v>
      </c>
      <c r="BE1457" s="97"/>
      <c r="BF1457" s="97"/>
      <c r="BG1457" s="97" t="str">
        <f>IFERROR(__xludf.DUMMYFUNCTION("""COMPUTED_VALUE"""),"REPO 7")</f>
        <v>REPO 7</v>
      </c>
    </row>
    <row r="1458">
      <c r="A1458" s="97">
        <f>IFERROR(__xludf.DUMMYFUNCTION("""COMPUTED_VALUE"""),7562.0)</f>
        <v>7562</v>
      </c>
      <c r="B1458" s="97" t="str">
        <f>IFERROR(__xludf.DUMMYFUNCTION("""COMPUTED_VALUE"""),"POLAR DRIVER TUYA 200W BL")</f>
        <v>POLAR DRIVER TUYA 200W BL</v>
      </c>
      <c r="C1458" s="97" t="str">
        <f>IFERROR(__xludf.DUMMYFUNCTION("""COMPUTED_VALUE"""),"ACCESORIO POLAR DRIVER TUYA 200W BL LEUK")</f>
        <v>ACCESORIO POLAR DRIVER TUYA 200W BL LEUK</v>
      </c>
      <c r="D1458" s="97">
        <f>IFERROR(__xludf.DUMMYFUNCTION("""COMPUTED_VALUE"""),7.798485460183E12)</f>
        <v>7798485460183</v>
      </c>
      <c r="E1458" s="97" t="str">
        <f>IFERROR(__xludf.DUMMYFUNCTION("""COMPUTED_VALUE"""),"DV4")</f>
        <v>DV4</v>
      </c>
      <c r="F1458" s="97" t="str">
        <f>IFERROR(__xludf.DUMMYFUNCTION("""COMPUTED_VALUE"""),"N/A")</f>
        <v>N/A</v>
      </c>
      <c r="G1458" s="97" t="str">
        <f>IFERROR(__xludf.DUMMYFUNCTION("""COMPUTED_VALUE"""),"N/A")</f>
        <v>N/A</v>
      </c>
      <c r="H1458" s="97" t="str">
        <f>IFERROR(__xludf.DUMMYFUNCTION("""COMPUTED_VALUE"""),"N/A")</f>
        <v>N/A</v>
      </c>
      <c r="I1458" s="97" t="str">
        <f>IFERROR(__xludf.DUMMYFUNCTION("""COMPUTED_VALUE"""),"N/A")</f>
        <v>N/A</v>
      </c>
      <c r="J1458" s="97"/>
      <c r="K1458" s="97" t="str">
        <f>IFERROR(__xludf.DUMMYFUNCTION("""COMPUTED_VALUE"""),"Smart / App")</f>
        <v>Smart / App</v>
      </c>
      <c r="L1458" s="97" t="str">
        <f>IFERROR(__xludf.DUMMYFUNCTION("""COMPUTED_VALUE"""),"Entrada: 220-240Vac Salida: 48Vdc 4,2A")</f>
        <v>Entrada: 220-240Vac Salida: 48Vdc 4,2A</v>
      </c>
      <c r="M1458" s="97" t="str">
        <f>IFERROR(__xludf.DUMMYFUNCTION("""COMPUTED_VALUE"""),"50/60")</f>
        <v>50/60</v>
      </c>
      <c r="N1458" s="97" t="str">
        <f>IFERROR(__xludf.DUMMYFUNCTION("""COMPUTED_VALUE"""),"N/A")</f>
        <v>N/A</v>
      </c>
      <c r="O1458" s="97">
        <f>IFERROR(__xludf.DUMMYFUNCTION("""COMPUTED_VALUE"""),200.0)</f>
        <v>200</v>
      </c>
      <c r="P1458" s="97"/>
      <c r="Q1458" s="97"/>
      <c r="R1458" s="97" t="str">
        <f>IFERROR(__xludf.DUMMYFUNCTION("""COMPUTED_VALUE"""),"N/A")</f>
        <v>N/A</v>
      </c>
      <c r="S1458" s="97" t="str">
        <f>IFERROR(__xludf.DUMMYFUNCTION("""COMPUTED_VALUE"""),"N/A")</f>
        <v>N/A</v>
      </c>
      <c r="T1458" s="97" t="str">
        <f>IFERROR(__xludf.DUMMYFUNCTION("""COMPUTED_VALUE"""),"N/A")</f>
        <v>N/A</v>
      </c>
      <c r="U1458" s="97" t="str">
        <f>IFERROR(__xludf.DUMMYFUNCTION("""COMPUTED_VALUE"""),"N/A")</f>
        <v>N/A</v>
      </c>
      <c r="V1458" s="97" t="str">
        <f>IFERROR(__xludf.DUMMYFUNCTION("""COMPUTED_VALUE"""),"N/A")</f>
        <v>N/A</v>
      </c>
      <c r="W1458" s="97" t="str">
        <f>IFERROR(__xludf.DUMMYFUNCTION("""COMPUTED_VALUE"""),"N/A")</f>
        <v>N/A</v>
      </c>
      <c r="X1458" s="97" t="str">
        <f>IFERROR(__xludf.DUMMYFUNCTION("""COMPUTED_VALUE"""),"N/A")</f>
        <v>N/A</v>
      </c>
      <c r="Y1458" s="97" t="str">
        <f>IFERROR(__xludf.DUMMYFUNCTION("""COMPUTED_VALUE"""),"N/A")</f>
        <v>N/A</v>
      </c>
      <c r="Z1458" s="97" t="str">
        <f>IFERROR(__xludf.DUMMYFUNCTION("""COMPUTED_VALUE"""),"N/A")</f>
        <v>N/A</v>
      </c>
      <c r="AA1458" s="97" t="str">
        <f>IFERROR(__xludf.DUMMYFUNCTION("""COMPUTED_VALUE"""),"N/A")</f>
        <v>N/A</v>
      </c>
      <c r="AB1458" s="97" t="str">
        <f>IFERROR(__xludf.DUMMYFUNCTION("""COMPUTED_VALUE"""),"N/A")</f>
        <v>N/A</v>
      </c>
      <c r="AC1458" s="97" t="str">
        <f>IFERROR(__xludf.DUMMYFUNCTION("""COMPUTED_VALUE"""),"N/A")</f>
        <v>N/A</v>
      </c>
      <c r="AD1458" s="97" t="str">
        <f>IFERROR(__xludf.DUMMYFUNCTION("""COMPUTED_VALUE"""),"IP20")</f>
        <v>IP20</v>
      </c>
      <c r="AE1458" s="97"/>
      <c r="AF1458" s="97" t="str">
        <f>IFERROR(__xludf.DUMMYFUNCTION("""COMPUTED_VALUE"""),"N/A")</f>
        <v>N/A</v>
      </c>
      <c r="AG1458" s="97"/>
      <c r="AH1458" s="97" t="str">
        <f>IFERROR(__xludf.DUMMYFUNCTION("""COMPUTED_VALUE"""),"N/A")</f>
        <v>N/A</v>
      </c>
      <c r="AI1458" s="97" t="str">
        <f>IFERROR(__xludf.DUMMYFUNCTION("""COMPUTED_VALUE"""),"N/A")</f>
        <v>N/A</v>
      </c>
      <c r="AJ1458" s="97" t="str">
        <f>IFERROR(__xludf.DUMMYFUNCTION("""COMPUTED_VALUE"""),"N/A")</f>
        <v>N/A</v>
      </c>
      <c r="AK1458" s="97" t="str">
        <f>IFERROR(__xludf.DUMMYFUNCTION("""COMPUTED_VALUE"""),"Aluminio")</f>
        <v>Aluminio</v>
      </c>
      <c r="AL1458" s="97" t="str">
        <f>IFERROR(__xludf.DUMMYFUNCTION("""COMPUTED_VALUE"""),"Blanco")</f>
        <v>Blanco</v>
      </c>
      <c r="AM1458" s="97" t="str">
        <f>IFERROR(__xludf.DUMMYFUNCTION("""COMPUTED_VALUE"""),"-")</f>
        <v>-</v>
      </c>
      <c r="AN1458" s="97" t="str">
        <f>IFERROR(__xludf.DUMMYFUNCTION("""COMPUTED_VALUE"""),"N/A")</f>
        <v>N/A</v>
      </c>
      <c r="AO1458" s="97" t="str">
        <f>IFERROR(__xludf.DUMMYFUNCTION("""COMPUTED_VALUE"""),"2 Años")</f>
        <v>2 Años</v>
      </c>
      <c r="AP1458" s="97" t="str">
        <f>IFERROR(__xludf.DUMMYFUNCTION("""COMPUTED_VALUE"""),"No Aplica")</f>
        <v>No Aplica</v>
      </c>
      <c r="AQ1458" s="97" t="str">
        <f>IFERROR(__xludf.DUMMYFUNCTION("""COMPUTED_VALUE"""),"No Aplica")</f>
        <v>No Aplica</v>
      </c>
      <c r="AR1458" s="97" t="str">
        <f>IFERROR(__xludf.DUMMYFUNCTION("""COMPUTED_VALUE"""),"No Aplica")</f>
        <v>No Aplica</v>
      </c>
      <c r="AS1458" s="97" t="str">
        <f>IFERROR(__xludf.DUMMYFUNCTION("""COMPUTED_VALUE"""),"Falta")</f>
        <v>Falta</v>
      </c>
      <c r="AT1458" s="97" t="str">
        <f>IFERROR(__xludf.DUMMYFUNCTION("""COMPUTED_VALUE"""),"Falta")</f>
        <v>Falta</v>
      </c>
      <c r="AU1458" s="97" t="str">
        <f>IFERROR(__xludf.DUMMYFUNCTION("""COMPUTED_VALUE"""),"Disponible")</f>
        <v>Disponible</v>
      </c>
      <c r="AV1458" s="97" t="str">
        <f>IFERROR(__xludf.DUMMYFUNCTION("""COMPUTED_VALUE"""),"Accesorio")</f>
        <v>Accesorio</v>
      </c>
      <c r="AW1458" s="97" t="str">
        <f>IFERROR(__xludf.DUMMYFUNCTION("""COMPUTED_VALUE"""),"Rieles")</f>
        <v>Rieles</v>
      </c>
      <c r="AX1458" s="97" t="str">
        <f>IFERROR(__xludf.DUMMYFUNCTION("""COMPUTED_VALUE"""),"Interior")</f>
        <v>Interior</v>
      </c>
      <c r="AY1458" s="97" t="str">
        <f>IFERROR(__xludf.DUMMYFUNCTION("""COMPUTED_VALUE"""),"-")</f>
        <v>-</v>
      </c>
      <c r="AZ1458" s="97" t="str">
        <f>IFERROR(__xludf.DUMMYFUNCTION("""COMPUTED_VALUE"""),"Driver con Bluetooth TUYA integrado | El control de regulación y escena se gestiona directamente desde el driver, no desde la luminaria. Todas las luminarias del circuito se controlan de manera agrupada/simultánea.")</f>
        <v>Driver con Bluetooth TUYA integrado | El control de regulación y escena se gestiona directamente desde el driver, no desde la luminaria. Todas las luminarias del circuito se controlan de manera agrupada/simultánea.</v>
      </c>
      <c r="BA1458" s="97"/>
      <c r="BB1458" s="97"/>
      <c r="BC1458" s="97"/>
      <c r="BD1458" s="97" t="str">
        <f>IFERROR(__xludf.DUMMYFUNCTION("""COMPUTED_VALUE"""),"POLAR")</f>
        <v>POLAR</v>
      </c>
      <c r="BE1458" s="97"/>
      <c r="BF1458" s="97"/>
      <c r="BG1458" s="97" t="str">
        <f>IFERROR(__xludf.DUMMYFUNCTION("""COMPUTED_VALUE"""),"REPO 7")</f>
        <v>REPO 7</v>
      </c>
    </row>
    <row r="1459">
      <c r="A1459" s="97">
        <f>IFERROR(__xludf.DUMMYFUNCTION("""COMPUTED_VALUE"""),7563.0)</f>
        <v>7563</v>
      </c>
      <c r="B1459" s="97" t="str">
        <f>IFERROR(__xludf.DUMMYFUNCTION("""COMPUTED_VALUE"""),"CONTROL BT TUYA")</f>
        <v>CONTROL BT TUYA</v>
      </c>
      <c r="C1459" s="97" t="str">
        <f>IFERROR(__xludf.DUMMYFUNCTION("""COMPUTED_VALUE"""),"ACCESORIO CONTROL BT TUYA LEUK")</f>
        <v>ACCESORIO CONTROL BT TUYA LEUK</v>
      </c>
      <c r="D1459" s="97">
        <f>IFERROR(__xludf.DUMMYFUNCTION("""COMPUTED_VALUE"""),7.79848546019E12)</f>
        <v>7798485460190</v>
      </c>
      <c r="E1459" s="97" t="str">
        <f>IFERROR(__xludf.DUMMYFUNCTION("""COMPUTED_VALUE"""),"RM17")</f>
        <v>RM17</v>
      </c>
      <c r="F1459" s="97" t="str">
        <f>IFERROR(__xludf.DUMMYFUNCTION("""COMPUTED_VALUE"""),"N/A")</f>
        <v>N/A</v>
      </c>
      <c r="G1459" s="97" t="str">
        <f>IFERROR(__xludf.DUMMYFUNCTION("""COMPUTED_VALUE"""),"N/A")</f>
        <v>N/A</v>
      </c>
      <c r="H1459" s="97" t="str">
        <f>IFERROR(__xludf.DUMMYFUNCTION("""COMPUTED_VALUE"""),"N/A")</f>
        <v>N/A</v>
      </c>
      <c r="I1459" s="97" t="str">
        <f>IFERROR(__xludf.DUMMYFUNCTION("""COMPUTED_VALUE"""),"N/A")</f>
        <v>N/A</v>
      </c>
      <c r="J1459" s="97"/>
      <c r="K1459" s="97" t="str">
        <f>IFERROR(__xludf.DUMMYFUNCTION("""COMPUTED_VALUE"""),"Smart / App")</f>
        <v>Smart / App</v>
      </c>
      <c r="L1459" s="97"/>
      <c r="M1459" s="97"/>
      <c r="N1459" s="97" t="str">
        <f>IFERROR(__xludf.DUMMYFUNCTION("""COMPUTED_VALUE"""),"N/A")</f>
        <v>N/A</v>
      </c>
      <c r="O1459" s="97"/>
      <c r="P1459" s="97"/>
      <c r="Q1459" s="97" t="str">
        <f>IFERROR(__xludf.DUMMYFUNCTION("""COMPUTED_VALUE"""),"N/A")</f>
        <v>N/A</v>
      </c>
      <c r="R1459" s="97" t="str">
        <f>IFERROR(__xludf.DUMMYFUNCTION("""COMPUTED_VALUE"""),"N/A")</f>
        <v>N/A</v>
      </c>
      <c r="S1459" s="97" t="str">
        <f>IFERROR(__xludf.DUMMYFUNCTION("""COMPUTED_VALUE"""),"N/A")</f>
        <v>N/A</v>
      </c>
      <c r="T1459" s="97" t="str">
        <f>IFERROR(__xludf.DUMMYFUNCTION("""COMPUTED_VALUE"""),"N/A")</f>
        <v>N/A</v>
      </c>
      <c r="U1459" s="97" t="str">
        <f>IFERROR(__xludf.DUMMYFUNCTION("""COMPUTED_VALUE"""),"N/A")</f>
        <v>N/A</v>
      </c>
      <c r="V1459" s="97" t="str">
        <f>IFERROR(__xludf.DUMMYFUNCTION("""COMPUTED_VALUE"""),"N/A")</f>
        <v>N/A</v>
      </c>
      <c r="W1459" s="97" t="str">
        <f>IFERROR(__xludf.DUMMYFUNCTION("""COMPUTED_VALUE"""),"N/A")</f>
        <v>N/A</v>
      </c>
      <c r="X1459" s="97"/>
      <c r="Y1459" s="97" t="str">
        <f>IFERROR(__xludf.DUMMYFUNCTION("""COMPUTED_VALUE"""),"N/A")</f>
        <v>N/A</v>
      </c>
      <c r="Z1459" s="97" t="str">
        <f>IFERROR(__xludf.DUMMYFUNCTION("""COMPUTED_VALUE"""),"N/A")</f>
        <v>N/A</v>
      </c>
      <c r="AA1459" s="97" t="str">
        <f>IFERROR(__xludf.DUMMYFUNCTION("""COMPUTED_VALUE"""),"N/A")</f>
        <v>N/A</v>
      </c>
      <c r="AB1459" s="97" t="str">
        <f>IFERROR(__xludf.DUMMYFUNCTION("""COMPUTED_VALUE"""),"N/A")</f>
        <v>N/A</v>
      </c>
      <c r="AC1459" s="97" t="str">
        <f>IFERROR(__xludf.DUMMYFUNCTION("""COMPUTED_VALUE"""),"N/A")</f>
        <v>N/A</v>
      </c>
      <c r="AD1459" s="97" t="str">
        <f>IFERROR(__xludf.DUMMYFUNCTION("""COMPUTED_VALUE"""),"IP20")</f>
        <v>IP20</v>
      </c>
      <c r="AE1459" s="97"/>
      <c r="AF1459" s="97" t="str">
        <f>IFERROR(__xludf.DUMMYFUNCTION("""COMPUTED_VALUE"""),"N/A")</f>
        <v>N/A</v>
      </c>
      <c r="AG1459" s="97" t="str">
        <f>IFERROR(__xludf.DUMMYFUNCTION("""COMPUTED_VALUE"""),"150 x 40 x 15")</f>
        <v>150 x 40 x 15</v>
      </c>
      <c r="AH1459" s="97" t="str">
        <f>IFERROR(__xludf.DUMMYFUNCTION("""COMPUTED_VALUE"""),"N/A")</f>
        <v>N/A</v>
      </c>
      <c r="AI1459" s="97" t="str">
        <f>IFERROR(__xludf.DUMMYFUNCTION("""COMPUTED_VALUE"""),"N/A")</f>
        <v>N/A</v>
      </c>
      <c r="AJ1459" s="97" t="str">
        <f>IFERROR(__xludf.DUMMYFUNCTION("""COMPUTED_VALUE"""),"N/A")</f>
        <v>N/A</v>
      </c>
      <c r="AK1459" s="97" t="str">
        <f>IFERROR(__xludf.DUMMYFUNCTION("""COMPUTED_VALUE"""),"ABS")</f>
        <v>ABS</v>
      </c>
      <c r="AL1459" s="97" t="str">
        <f>IFERROR(__xludf.DUMMYFUNCTION("""COMPUTED_VALUE"""),"Negro")</f>
        <v>Negro</v>
      </c>
      <c r="AM1459" s="97"/>
      <c r="AN1459" s="97" t="str">
        <f>IFERROR(__xludf.DUMMYFUNCTION("""COMPUTED_VALUE"""),"N/A")</f>
        <v>N/A</v>
      </c>
      <c r="AO1459" s="97"/>
      <c r="AP1459" s="97" t="str">
        <f>IFERROR(__xludf.DUMMYFUNCTION("""COMPUTED_VALUE"""),"No Aplica")</f>
        <v>No Aplica</v>
      </c>
      <c r="AQ1459" s="97" t="str">
        <f>IFERROR(__xludf.DUMMYFUNCTION("""COMPUTED_VALUE"""),"No Aplica")</f>
        <v>No Aplica</v>
      </c>
      <c r="AR1459" s="97" t="str">
        <f>IFERROR(__xludf.DUMMYFUNCTION("""COMPUTED_VALUE"""),"No Aplica")</f>
        <v>No Aplica</v>
      </c>
      <c r="AS1459" s="97" t="str">
        <f>IFERROR(__xludf.DUMMYFUNCTION("""COMPUTED_VALUE"""),"Falta")</f>
        <v>Falta</v>
      </c>
      <c r="AT1459" s="97" t="str">
        <f>IFERROR(__xludf.DUMMYFUNCTION("""COMPUTED_VALUE"""),"Falta")</f>
        <v>Falta</v>
      </c>
      <c r="AU1459" s="97" t="str">
        <f>IFERROR(__xludf.DUMMYFUNCTION("""COMPUTED_VALUE"""),"Disponible")</f>
        <v>Disponible</v>
      </c>
      <c r="AV1459" s="97" t="str">
        <f>IFERROR(__xludf.DUMMYFUNCTION("""COMPUTED_VALUE"""),"Accesorio")</f>
        <v>Accesorio</v>
      </c>
      <c r="AW1459" s="97" t="str">
        <f>IFERROR(__xludf.DUMMYFUNCTION("""COMPUTED_VALUE"""),"Rieles")</f>
        <v>Rieles</v>
      </c>
      <c r="AX1459" s="97" t="str">
        <f>IFERROR(__xludf.DUMMYFUNCTION("""COMPUTED_VALUE"""),"Interior")</f>
        <v>Interior</v>
      </c>
      <c r="AY1459" s="97" t="str">
        <f>IFERROR(__xludf.DUMMYFUNCTION("""COMPUTED_VALUE"""),"-")</f>
        <v>-</v>
      </c>
      <c r="AZ1459" s="97" t="str">
        <f>IFERROR(__xludf.DUMMYFUNCTION("""COMPUTED_VALUE"""),"Control remoto Tuya Bluetooth Mesh")</f>
        <v>Control remoto Tuya Bluetooth Mesh</v>
      </c>
      <c r="BA1459" s="97"/>
      <c r="BB1459" s="97"/>
      <c r="BC1459" s="97"/>
      <c r="BD1459" s="97" t="str">
        <f>IFERROR(__xludf.DUMMYFUNCTION("""COMPUTED_VALUE"""),"POLAR y REN")</f>
        <v>POLAR y REN</v>
      </c>
      <c r="BE1459" s="97"/>
      <c r="BF1459" s="97"/>
      <c r="BG1459" s="97" t="str">
        <f>IFERROR(__xludf.DUMMYFUNCTION("""COMPUTED_VALUE"""),"REPO 7")</f>
        <v>REPO 7</v>
      </c>
    </row>
    <row r="1460">
      <c r="A1460" s="97">
        <f>IFERROR(__xludf.DUMMYFUNCTION("""COMPUTED_VALUE"""),7565.0)</f>
        <v>7565</v>
      </c>
      <c r="B1460" s="97" t="str">
        <f>IFERROR(__xludf.DUMMYFUNCTION("""COMPUTED_VALUE"""),"POLAR LINE 10W NG 3CCT")</f>
        <v>POLAR LINE 10W NG 3CCT</v>
      </c>
      <c r="C1460" s="97" t="str">
        <f>IFERROR(__xludf.DUMMYFUNCTION("""COMPUTED_VALUE"""),"CABEZAL POLAR LINE 10W NG 3CCT 10W 2700/3300/4000K 600LM CRI&gt;90 IP20 LEUK")</f>
        <v>CABEZAL POLAR LINE 10W NG 3CCT 10W 2700/3300/4000K 600LM CRI&gt;90 IP20 LEUK</v>
      </c>
      <c r="D1460" s="97">
        <f>IFERROR(__xludf.DUMMYFUNCTION("""COMPUTED_VALUE"""),7.798485460213E12)</f>
        <v>7798485460213</v>
      </c>
      <c r="E1460" s="97" t="str">
        <f>IFERROR(__xludf.DUMMYFUNCTION("""COMPUTED_VALUE"""),"-")</f>
        <v>-</v>
      </c>
      <c r="F1460" s="97" t="str">
        <f>IFERROR(__xludf.DUMMYFUNCTION("""COMPUTED_VALUE"""),"LED integrado")</f>
        <v>LED integrado</v>
      </c>
      <c r="G1460" s="97" t="str">
        <f>IFERROR(__xludf.DUMMYFUNCTION("""COMPUTED_VALUE"""),"-")</f>
        <v>-</v>
      </c>
      <c r="H1460" s="97" t="str">
        <f>IFERROR(__xludf.DUMMYFUNCTION("""COMPUTED_VALUE"""),"N/A")</f>
        <v>N/A</v>
      </c>
      <c r="I1460" s="97" t="str">
        <f>IFERROR(__xludf.DUMMYFUNCTION("""COMPUTED_VALUE"""),"N/A")</f>
        <v>N/A</v>
      </c>
      <c r="J1460" s="97" t="str">
        <f>IFERROR(__xludf.DUMMYFUNCTION("""COMPUTED_VALUE"""),"N/A")</f>
        <v>N/A</v>
      </c>
      <c r="K1460" s="97" t="str">
        <f>IFERROR(__xludf.DUMMYFUNCTION("""COMPUTED_VALUE"""),"Smart / App")</f>
        <v>Smart / App</v>
      </c>
      <c r="L1460" s="97" t="str">
        <f>IFERROR(__xludf.DUMMYFUNCTION("""COMPUTED_VALUE"""),"48Vdc")</f>
        <v>48Vdc</v>
      </c>
      <c r="M1460" s="97" t="str">
        <f>IFERROR(__xludf.DUMMYFUNCTION("""COMPUTED_VALUE"""),"N/A")</f>
        <v>N/A</v>
      </c>
      <c r="N1460" s="97"/>
      <c r="O1460" s="97">
        <f>IFERROR(__xludf.DUMMYFUNCTION("""COMPUTED_VALUE"""),10.0)</f>
        <v>10</v>
      </c>
      <c r="P1460" s="97">
        <f>IFERROR(__xludf.DUMMYFUNCTION("""COMPUTED_VALUE"""),11.71)</f>
        <v>11.71</v>
      </c>
      <c r="Q1460" s="97" t="str">
        <f>IFERROR(__xludf.DUMMYFUNCTION("""COMPUTED_VALUE"""),"N/A")</f>
        <v>N/A</v>
      </c>
      <c r="R1460" s="97" t="str">
        <f>IFERROR(__xludf.DUMMYFUNCTION("""COMPUTED_VALUE"""),"-")</f>
        <v>-</v>
      </c>
      <c r="S1460" s="97" t="str">
        <f>IFERROR(__xludf.DUMMYFUNCTION("""COMPUTED_VALUE"""),"-")</f>
        <v>-</v>
      </c>
      <c r="T1460" s="97">
        <f>IFERROR(__xludf.DUMMYFUNCTION("""COMPUTED_VALUE"""),600.0)</f>
        <v>600</v>
      </c>
      <c r="U1460" s="99">
        <f>IFERROR(__xludf.DUMMYFUNCTION("""COMPUTED_VALUE"""),60.0)</f>
        <v>60</v>
      </c>
      <c r="V1460" s="97">
        <f>IFERROR(__xludf.DUMMYFUNCTION("""COMPUTED_VALUE"""),105.0)</f>
        <v>105</v>
      </c>
      <c r="W1460" s="97" t="str">
        <f>IFERROR(__xludf.DUMMYFUNCTION("""COMPUTED_VALUE"""),"&lt; 25")</f>
        <v>&lt; 25</v>
      </c>
      <c r="X1460" s="97" t="str">
        <f>IFERROR(__xludf.DUMMYFUNCTION("""COMPUTED_VALUE"""),"2700/3300/4000")</f>
        <v>2700/3300/4000</v>
      </c>
      <c r="Y1460" s="97" t="str">
        <f>IFERROR(__xludf.DUMMYFUNCTION("""COMPUTED_VALUE"""),"&gt;90")</f>
        <v>&gt;90</v>
      </c>
      <c r="Z1460" s="97" t="str">
        <f>IFERROR(__xludf.DUMMYFUNCTION("""COMPUTED_VALUE"""),"&gt;90")</f>
        <v>&gt;90</v>
      </c>
      <c r="AA1460" s="97" t="str">
        <f>IFERROR(__xludf.DUMMYFUNCTION("""COMPUTED_VALUE"""),"90-99 (Leve desaturación)")</f>
        <v>90-99 (Leve desaturación)</v>
      </c>
      <c r="AB1460" s="97" t="str">
        <f>IFERROR(__xludf.DUMMYFUNCTION("""COMPUTED_VALUE"""),"&lt; 3")</f>
        <v>&lt; 3</v>
      </c>
      <c r="AC1460" s="97" t="str">
        <f>IFERROR(__xludf.DUMMYFUNCTION("""COMPUTED_VALUE"""),"0,001 / -0,001 / 0,001")</f>
        <v>0,001 / -0,001 / 0,001</v>
      </c>
      <c r="AD1460" s="97" t="str">
        <f>IFERROR(__xludf.DUMMYFUNCTION("""COMPUTED_VALUE"""),"IP20")</f>
        <v>IP20</v>
      </c>
      <c r="AE1460" s="97" t="str">
        <f>IFERROR(__xludf.DUMMYFUNCTION("""COMPUTED_VALUE"""),"Clase lll")</f>
        <v>Clase lll</v>
      </c>
      <c r="AF1460" s="97" t="str">
        <f>IFERROR(__xludf.DUMMYFUNCTION("""COMPUTED_VALUE"""),"Riel")</f>
        <v>Riel</v>
      </c>
      <c r="AG1460" s="97" t="str">
        <f>IFERROR(__xludf.DUMMYFUNCTION("""COMPUTED_VALUE"""),"300 x 22 x 44")</f>
        <v>300 x 22 x 44</v>
      </c>
      <c r="AH1460" s="97" t="str">
        <f>IFERROR(__xludf.DUMMYFUNCTION("""COMPUTED_VALUE"""),"N/A")</f>
        <v>N/A</v>
      </c>
      <c r="AI1460" s="97" t="str">
        <f>IFERROR(__xludf.DUMMYFUNCTION("""COMPUTED_VALUE"""),"N/A")</f>
        <v>N/A</v>
      </c>
      <c r="AJ1460" s="97" t="str">
        <f>IFERROR(__xludf.DUMMYFUNCTION("""COMPUTED_VALUE"""),"Poliestireno (PS)")</f>
        <v>Poliestireno (PS)</v>
      </c>
      <c r="AK1460" s="97" t="str">
        <f>IFERROR(__xludf.DUMMYFUNCTION("""COMPUTED_VALUE"""),"Aluminio")</f>
        <v>Aluminio</v>
      </c>
      <c r="AL1460" s="97" t="str">
        <f>IFERROR(__xludf.DUMMYFUNCTION("""COMPUTED_VALUE"""),"Negro Satinado")</f>
        <v>Negro Satinado</v>
      </c>
      <c r="AM1460" s="97" t="str">
        <f>IFERROR(__xludf.DUMMYFUNCTION("""COMPUTED_VALUE"""),"-")</f>
        <v>-</v>
      </c>
      <c r="AN1460" s="97" t="str">
        <f>IFERROR(__xludf.DUMMYFUNCTION("""COMPUTED_VALUE"""),"25.000hs (L70)")</f>
        <v>25.000hs (L70)</v>
      </c>
      <c r="AO1460" s="97" t="str">
        <f>IFERROR(__xludf.DUMMYFUNCTION("""COMPUTED_VALUE"""),"2 Años")</f>
        <v>2 Años</v>
      </c>
      <c r="AP1460" s="97" t="str">
        <f>IFERROR(__xludf.DUMMYFUNCTION("""COMPUTED_VALUE"""),"Disponible")</f>
        <v>Disponible</v>
      </c>
      <c r="AQ1460" s="97" t="str">
        <f>IFERROR(__xludf.DUMMYFUNCTION("""COMPUTED_VALUE"""),"Disponible")</f>
        <v>Disponible</v>
      </c>
      <c r="AR1460" s="97" t="str">
        <f>IFERROR(__xludf.DUMMYFUNCTION("""COMPUTED_VALUE"""),"Disponible")</f>
        <v>Disponible</v>
      </c>
      <c r="AS1460" s="97" t="str">
        <f>IFERROR(__xludf.DUMMYFUNCTION("""COMPUTED_VALUE"""),"Falta")</f>
        <v>Falta</v>
      </c>
      <c r="AT1460" s="97" t="str">
        <f>IFERROR(__xludf.DUMMYFUNCTION("""COMPUTED_VALUE"""),"Falta")</f>
        <v>Falta</v>
      </c>
      <c r="AU1460" s="97" t="str">
        <f>IFERROR(__xludf.DUMMYFUNCTION("""COMPUTED_VALUE"""),"Disponible")</f>
        <v>Disponible</v>
      </c>
      <c r="AV1460" s="97" t="str">
        <f>IFERROR(__xludf.DUMMYFUNCTION("""COMPUTED_VALUE"""),"Cabezal")</f>
        <v>Cabezal</v>
      </c>
      <c r="AW1460" s="97" t="str">
        <f>IFERROR(__xludf.DUMMYFUNCTION("""COMPUTED_VALUE"""),"Rieles")</f>
        <v>Rieles</v>
      </c>
      <c r="AX1460" s="97" t="str">
        <f>IFERROR(__xludf.DUMMYFUNCTION("""COMPUTED_VALUE"""),"Interior")</f>
        <v>Interior</v>
      </c>
      <c r="AY1460" s="97" t="str">
        <f>IFERROR(__xludf.DUMMYFUNCTION("""COMPUTED_VALUE"""),"-")</f>
        <v>-</v>
      </c>
      <c r="AZ1460" s="97" t="str">
        <f>IFERROR(__xludf.DUMMYFUNCTION("""COMPUTED_VALUE"""),"-")</f>
        <v>-</v>
      </c>
      <c r="BA1460" s="97"/>
      <c r="BB1460" s="97"/>
      <c r="BC1460" s="97"/>
      <c r="BD1460" s="97" t="str">
        <f>IFERROR(__xludf.DUMMYFUNCTION("""COMPUTED_VALUE"""),"POLAR LINE")</f>
        <v>POLAR LINE</v>
      </c>
      <c r="BE1460" s="97"/>
      <c r="BF1460" s="97"/>
      <c r="BG1460" s="97" t="str">
        <f>IFERROR(__xludf.DUMMYFUNCTION("""COMPUTED_VALUE"""),"REPO 7")</f>
        <v>REPO 7</v>
      </c>
    </row>
    <row r="1461">
      <c r="A1461" s="97">
        <f>IFERROR(__xludf.DUMMYFUNCTION("""COMPUTED_VALUE"""),7566.0)</f>
        <v>7566</v>
      </c>
      <c r="B1461" s="97" t="str">
        <f>IFERROR(__xludf.DUMMYFUNCTION("""COMPUTED_VALUE"""),"POLAR LINE 10W BL 3CCT")</f>
        <v>POLAR LINE 10W BL 3CCT</v>
      </c>
      <c r="C1461" s="97" t="str">
        <f>IFERROR(__xludf.DUMMYFUNCTION("""COMPUTED_VALUE"""),"CABEZAL POLAR LINE 10W BL 3CCT 10W 2700/3300/4000K 600LM CRI&gt;90 IP20 LEUK")</f>
        <v>CABEZAL POLAR LINE 10W BL 3CCT 10W 2700/3300/4000K 600LM CRI&gt;90 IP20 LEUK</v>
      </c>
      <c r="D1461" s="97">
        <f>IFERROR(__xludf.DUMMYFUNCTION("""COMPUTED_VALUE"""),7.79848546022E12)</f>
        <v>7798485460220</v>
      </c>
      <c r="E1461" s="97" t="str">
        <f>IFERROR(__xludf.DUMMYFUNCTION("""COMPUTED_VALUE"""),"-")</f>
        <v>-</v>
      </c>
      <c r="F1461" s="97" t="str">
        <f>IFERROR(__xludf.DUMMYFUNCTION("""COMPUTED_VALUE"""),"LED integrado")</f>
        <v>LED integrado</v>
      </c>
      <c r="G1461" s="97" t="str">
        <f>IFERROR(__xludf.DUMMYFUNCTION("""COMPUTED_VALUE"""),"-")</f>
        <v>-</v>
      </c>
      <c r="H1461" s="97" t="str">
        <f>IFERROR(__xludf.DUMMYFUNCTION("""COMPUTED_VALUE"""),"N/A")</f>
        <v>N/A</v>
      </c>
      <c r="I1461" s="97" t="str">
        <f>IFERROR(__xludf.DUMMYFUNCTION("""COMPUTED_VALUE"""),"N/A")</f>
        <v>N/A</v>
      </c>
      <c r="J1461" s="97" t="str">
        <f>IFERROR(__xludf.DUMMYFUNCTION("""COMPUTED_VALUE"""),"N/A")</f>
        <v>N/A</v>
      </c>
      <c r="K1461" s="97" t="str">
        <f>IFERROR(__xludf.DUMMYFUNCTION("""COMPUTED_VALUE"""),"Smart / App")</f>
        <v>Smart / App</v>
      </c>
      <c r="L1461" s="97" t="str">
        <f>IFERROR(__xludf.DUMMYFUNCTION("""COMPUTED_VALUE"""),"48Vdc")</f>
        <v>48Vdc</v>
      </c>
      <c r="M1461" s="97" t="str">
        <f>IFERROR(__xludf.DUMMYFUNCTION("""COMPUTED_VALUE"""),"N/A")</f>
        <v>N/A</v>
      </c>
      <c r="N1461" s="97"/>
      <c r="O1461" s="97">
        <f>IFERROR(__xludf.DUMMYFUNCTION("""COMPUTED_VALUE"""),10.0)</f>
        <v>10</v>
      </c>
      <c r="P1461" s="97">
        <f>IFERROR(__xludf.DUMMYFUNCTION("""COMPUTED_VALUE"""),11.71)</f>
        <v>11.71</v>
      </c>
      <c r="Q1461" s="97" t="str">
        <f>IFERROR(__xludf.DUMMYFUNCTION("""COMPUTED_VALUE"""),"N/A")</f>
        <v>N/A</v>
      </c>
      <c r="R1461" s="97" t="str">
        <f>IFERROR(__xludf.DUMMYFUNCTION("""COMPUTED_VALUE"""),"-")</f>
        <v>-</v>
      </c>
      <c r="S1461" s="97" t="str">
        <f>IFERROR(__xludf.DUMMYFUNCTION("""COMPUTED_VALUE"""),"-")</f>
        <v>-</v>
      </c>
      <c r="T1461" s="97">
        <f>IFERROR(__xludf.DUMMYFUNCTION("""COMPUTED_VALUE"""),600.0)</f>
        <v>600</v>
      </c>
      <c r="U1461" s="99">
        <f>IFERROR(__xludf.DUMMYFUNCTION("""COMPUTED_VALUE"""),60.0)</f>
        <v>60</v>
      </c>
      <c r="V1461" s="97">
        <f>IFERROR(__xludf.DUMMYFUNCTION("""COMPUTED_VALUE"""),105.0)</f>
        <v>105</v>
      </c>
      <c r="W1461" s="97" t="str">
        <f>IFERROR(__xludf.DUMMYFUNCTION("""COMPUTED_VALUE"""),"&lt; 25")</f>
        <v>&lt; 25</v>
      </c>
      <c r="X1461" s="97" t="str">
        <f>IFERROR(__xludf.DUMMYFUNCTION("""COMPUTED_VALUE"""),"2700/3300/4000")</f>
        <v>2700/3300/4000</v>
      </c>
      <c r="Y1461" s="97" t="str">
        <f>IFERROR(__xludf.DUMMYFUNCTION("""COMPUTED_VALUE"""),"&gt;90")</f>
        <v>&gt;90</v>
      </c>
      <c r="Z1461" s="97" t="str">
        <f>IFERROR(__xludf.DUMMYFUNCTION("""COMPUTED_VALUE"""),"&gt;90")</f>
        <v>&gt;90</v>
      </c>
      <c r="AA1461" s="97" t="str">
        <f>IFERROR(__xludf.DUMMYFUNCTION("""COMPUTED_VALUE"""),"90-99 (Leve desaturación)")</f>
        <v>90-99 (Leve desaturación)</v>
      </c>
      <c r="AB1461" s="97" t="str">
        <f>IFERROR(__xludf.DUMMYFUNCTION("""COMPUTED_VALUE"""),"&lt; 3")</f>
        <v>&lt; 3</v>
      </c>
      <c r="AC1461" s="97" t="str">
        <f>IFERROR(__xludf.DUMMYFUNCTION("""COMPUTED_VALUE"""),"0,001 / -0,001 / 0,001")</f>
        <v>0,001 / -0,001 / 0,001</v>
      </c>
      <c r="AD1461" s="97" t="str">
        <f>IFERROR(__xludf.DUMMYFUNCTION("""COMPUTED_VALUE"""),"IP20")</f>
        <v>IP20</v>
      </c>
      <c r="AE1461" s="97" t="str">
        <f>IFERROR(__xludf.DUMMYFUNCTION("""COMPUTED_VALUE"""),"Clase lll")</f>
        <v>Clase lll</v>
      </c>
      <c r="AF1461" s="97" t="str">
        <f>IFERROR(__xludf.DUMMYFUNCTION("""COMPUTED_VALUE"""),"Riel")</f>
        <v>Riel</v>
      </c>
      <c r="AG1461" s="97" t="str">
        <f>IFERROR(__xludf.DUMMYFUNCTION("""COMPUTED_VALUE"""),"300 x 22 x 44")</f>
        <v>300 x 22 x 44</v>
      </c>
      <c r="AH1461" s="97" t="str">
        <f>IFERROR(__xludf.DUMMYFUNCTION("""COMPUTED_VALUE"""),"N/A")</f>
        <v>N/A</v>
      </c>
      <c r="AI1461" s="97" t="str">
        <f>IFERROR(__xludf.DUMMYFUNCTION("""COMPUTED_VALUE"""),"N/A")</f>
        <v>N/A</v>
      </c>
      <c r="AJ1461" s="97" t="str">
        <f>IFERROR(__xludf.DUMMYFUNCTION("""COMPUTED_VALUE"""),"Poliestireno (PS)")</f>
        <v>Poliestireno (PS)</v>
      </c>
      <c r="AK1461" s="97" t="str">
        <f>IFERROR(__xludf.DUMMYFUNCTION("""COMPUTED_VALUE"""),"Aluminio")</f>
        <v>Aluminio</v>
      </c>
      <c r="AL1461" s="97" t="str">
        <f>IFERROR(__xludf.DUMMYFUNCTION("""COMPUTED_VALUE"""),"Blanco Satinado")</f>
        <v>Blanco Satinado</v>
      </c>
      <c r="AM1461" s="97" t="str">
        <f>IFERROR(__xludf.DUMMYFUNCTION("""COMPUTED_VALUE"""),"-")</f>
        <v>-</v>
      </c>
      <c r="AN1461" s="97" t="str">
        <f>IFERROR(__xludf.DUMMYFUNCTION("""COMPUTED_VALUE"""),"25.000hs (L70)")</f>
        <v>25.000hs (L70)</v>
      </c>
      <c r="AO1461" s="97" t="str">
        <f>IFERROR(__xludf.DUMMYFUNCTION("""COMPUTED_VALUE"""),"2 Años")</f>
        <v>2 Años</v>
      </c>
      <c r="AP1461" s="97" t="str">
        <f>IFERROR(__xludf.DUMMYFUNCTION("""COMPUTED_VALUE"""),"Disponible")</f>
        <v>Disponible</v>
      </c>
      <c r="AQ1461" s="97" t="str">
        <f>IFERROR(__xludf.DUMMYFUNCTION("""COMPUTED_VALUE"""),"Disponible")</f>
        <v>Disponible</v>
      </c>
      <c r="AR1461" s="97" t="str">
        <f>IFERROR(__xludf.DUMMYFUNCTION("""COMPUTED_VALUE"""),"Disponible")</f>
        <v>Disponible</v>
      </c>
      <c r="AS1461" s="97" t="str">
        <f>IFERROR(__xludf.DUMMYFUNCTION("""COMPUTED_VALUE"""),"Falta")</f>
        <v>Falta</v>
      </c>
      <c r="AT1461" s="97" t="str">
        <f>IFERROR(__xludf.DUMMYFUNCTION("""COMPUTED_VALUE"""),"Falta")</f>
        <v>Falta</v>
      </c>
      <c r="AU1461" s="97" t="str">
        <f>IFERROR(__xludf.DUMMYFUNCTION("""COMPUTED_VALUE"""),"Disponible")</f>
        <v>Disponible</v>
      </c>
      <c r="AV1461" s="97" t="str">
        <f>IFERROR(__xludf.DUMMYFUNCTION("""COMPUTED_VALUE"""),"Cabezal")</f>
        <v>Cabezal</v>
      </c>
      <c r="AW1461" s="97" t="str">
        <f>IFERROR(__xludf.DUMMYFUNCTION("""COMPUTED_VALUE"""),"Rieles")</f>
        <v>Rieles</v>
      </c>
      <c r="AX1461" s="97" t="str">
        <f>IFERROR(__xludf.DUMMYFUNCTION("""COMPUTED_VALUE"""),"Interior")</f>
        <v>Interior</v>
      </c>
      <c r="AY1461" s="97" t="str">
        <f>IFERROR(__xludf.DUMMYFUNCTION("""COMPUTED_VALUE"""),"-")</f>
        <v>-</v>
      </c>
      <c r="AZ1461" s="97" t="str">
        <f>IFERROR(__xludf.DUMMYFUNCTION("""COMPUTED_VALUE"""),"-")</f>
        <v>-</v>
      </c>
      <c r="BA1461" s="97"/>
      <c r="BB1461" s="97"/>
      <c r="BC1461" s="97"/>
      <c r="BD1461" s="97" t="str">
        <f>IFERROR(__xludf.DUMMYFUNCTION("""COMPUTED_VALUE"""),"POLAR LINE")</f>
        <v>POLAR LINE</v>
      </c>
      <c r="BE1461" s="97"/>
      <c r="BF1461" s="97"/>
      <c r="BG1461" s="97" t="str">
        <f>IFERROR(__xludf.DUMMYFUNCTION("""COMPUTED_VALUE"""),"REPO 7")</f>
        <v>REPO 7</v>
      </c>
    </row>
    <row r="1462">
      <c r="A1462" s="97">
        <f>IFERROR(__xludf.DUMMYFUNCTION("""COMPUTED_VALUE"""),7567.0)</f>
        <v>7567</v>
      </c>
      <c r="B1462" s="97" t="str">
        <f>IFERROR(__xludf.DUMMYFUNCTION("""COMPUTED_VALUE"""),"POLAR LINE 20W NG 3CCT")</f>
        <v>POLAR LINE 20W NG 3CCT</v>
      </c>
      <c r="C1462" s="97" t="str">
        <f>IFERROR(__xludf.DUMMYFUNCTION("""COMPUTED_VALUE"""),"CABEZAL POLAR LINE 20W NG 3CCT 20W 2700/3300/4000K 1165LM CRI&gt;90 IP20 LEUK")</f>
        <v>CABEZAL POLAR LINE 20W NG 3CCT 20W 2700/3300/4000K 1165LM CRI&gt;90 IP20 LEUK</v>
      </c>
      <c r="D1462" s="97">
        <f>IFERROR(__xludf.DUMMYFUNCTION("""COMPUTED_VALUE"""),7.798485460237E12)</f>
        <v>7798485460237</v>
      </c>
      <c r="E1462" s="97" t="str">
        <f>IFERROR(__xludf.DUMMYFUNCTION("""COMPUTED_VALUE"""),"-")</f>
        <v>-</v>
      </c>
      <c r="F1462" s="97" t="str">
        <f>IFERROR(__xludf.DUMMYFUNCTION("""COMPUTED_VALUE"""),"LED integrado")</f>
        <v>LED integrado</v>
      </c>
      <c r="G1462" s="97" t="str">
        <f>IFERROR(__xludf.DUMMYFUNCTION("""COMPUTED_VALUE"""),"-")</f>
        <v>-</v>
      </c>
      <c r="H1462" s="97" t="str">
        <f>IFERROR(__xludf.DUMMYFUNCTION("""COMPUTED_VALUE"""),"N/A")</f>
        <v>N/A</v>
      </c>
      <c r="I1462" s="97" t="str">
        <f>IFERROR(__xludf.DUMMYFUNCTION("""COMPUTED_VALUE"""),"N/A")</f>
        <v>N/A</v>
      </c>
      <c r="J1462" s="97" t="str">
        <f>IFERROR(__xludf.DUMMYFUNCTION("""COMPUTED_VALUE"""),"N/A")</f>
        <v>N/A</v>
      </c>
      <c r="K1462" s="97" t="str">
        <f>IFERROR(__xludf.DUMMYFUNCTION("""COMPUTED_VALUE"""),"Smart / App")</f>
        <v>Smart / App</v>
      </c>
      <c r="L1462" s="97" t="str">
        <f>IFERROR(__xludf.DUMMYFUNCTION("""COMPUTED_VALUE"""),"48Vdc")</f>
        <v>48Vdc</v>
      </c>
      <c r="M1462" s="97" t="str">
        <f>IFERROR(__xludf.DUMMYFUNCTION("""COMPUTED_VALUE"""),"N/A")</f>
        <v>N/A</v>
      </c>
      <c r="N1462" s="97"/>
      <c r="O1462" s="97">
        <f>IFERROR(__xludf.DUMMYFUNCTION("""COMPUTED_VALUE"""),20.0)</f>
        <v>20</v>
      </c>
      <c r="P1462" s="97">
        <f>IFERROR(__xludf.DUMMYFUNCTION("""COMPUTED_VALUE"""),22.12)</f>
        <v>22.12</v>
      </c>
      <c r="Q1462" s="97" t="str">
        <f>IFERROR(__xludf.DUMMYFUNCTION("""COMPUTED_VALUE"""),"N/A")</f>
        <v>N/A</v>
      </c>
      <c r="R1462" s="97" t="str">
        <f>IFERROR(__xludf.DUMMYFUNCTION("""COMPUTED_VALUE"""),"-")</f>
        <v>-</v>
      </c>
      <c r="S1462" s="97" t="str">
        <f>IFERROR(__xludf.DUMMYFUNCTION("""COMPUTED_VALUE"""),"-")</f>
        <v>-</v>
      </c>
      <c r="T1462" s="97">
        <f>IFERROR(__xludf.DUMMYFUNCTION("""COMPUTED_VALUE"""),1165.0)</f>
        <v>1165</v>
      </c>
      <c r="U1462" s="99">
        <f>IFERROR(__xludf.DUMMYFUNCTION("""COMPUTED_VALUE"""),58.25)</f>
        <v>58.25</v>
      </c>
      <c r="V1462" s="97">
        <f>IFERROR(__xludf.DUMMYFUNCTION("""COMPUTED_VALUE"""),105.0)</f>
        <v>105</v>
      </c>
      <c r="W1462" s="97" t="str">
        <f>IFERROR(__xludf.DUMMYFUNCTION("""COMPUTED_VALUE"""),"&lt; 25")</f>
        <v>&lt; 25</v>
      </c>
      <c r="X1462" s="97" t="str">
        <f>IFERROR(__xludf.DUMMYFUNCTION("""COMPUTED_VALUE"""),"2700/3300/4000")</f>
        <v>2700/3300/4000</v>
      </c>
      <c r="Y1462" s="97" t="str">
        <f>IFERROR(__xludf.DUMMYFUNCTION("""COMPUTED_VALUE"""),"&gt;90")</f>
        <v>&gt;90</v>
      </c>
      <c r="Z1462" s="97" t="str">
        <f>IFERROR(__xludf.DUMMYFUNCTION("""COMPUTED_VALUE"""),"&gt;90")</f>
        <v>&gt;90</v>
      </c>
      <c r="AA1462" s="97" t="str">
        <f>IFERROR(__xludf.DUMMYFUNCTION("""COMPUTED_VALUE"""),"90-99 (Leve desaturación)")</f>
        <v>90-99 (Leve desaturación)</v>
      </c>
      <c r="AB1462" s="97" t="str">
        <f>IFERROR(__xludf.DUMMYFUNCTION("""COMPUTED_VALUE"""),"&lt; 3")</f>
        <v>&lt; 3</v>
      </c>
      <c r="AC1462" s="97" t="str">
        <f>IFERROR(__xludf.DUMMYFUNCTION("""COMPUTED_VALUE"""),"-0,00037 / -0,00278 / -0,00166")</f>
        <v>-0,00037 / -0,00278 / -0,00166</v>
      </c>
      <c r="AD1462" s="97" t="str">
        <f>IFERROR(__xludf.DUMMYFUNCTION("""COMPUTED_VALUE"""),"IP20")</f>
        <v>IP20</v>
      </c>
      <c r="AE1462" s="97" t="str">
        <f>IFERROR(__xludf.DUMMYFUNCTION("""COMPUTED_VALUE"""),"Clase lll")</f>
        <v>Clase lll</v>
      </c>
      <c r="AF1462" s="97" t="str">
        <f>IFERROR(__xludf.DUMMYFUNCTION("""COMPUTED_VALUE"""),"Riel")</f>
        <v>Riel</v>
      </c>
      <c r="AG1462" s="97" t="str">
        <f>IFERROR(__xludf.DUMMYFUNCTION("""COMPUTED_VALUE"""),"600 x 22 x 44")</f>
        <v>600 x 22 x 44</v>
      </c>
      <c r="AH1462" s="97" t="str">
        <f>IFERROR(__xludf.DUMMYFUNCTION("""COMPUTED_VALUE"""),"N/A")</f>
        <v>N/A</v>
      </c>
      <c r="AI1462" s="97" t="str">
        <f>IFERROR(__xludf.DUMMYFUNCTION("""COMPUTED_VALUE"""),"N/A")</f>
        <v>N/A</v>
      </c>
      <c r="AJ1462" s="97" t="str">
        <f>IFERROR(__xludf.DUMMYFUNCTION("""COMPUTED_VALUE"""),"Poliestireno (PS)")</f>
        <v>Poliestireno (PS)</v>
      </c>
      <c r="AK1462" s="97" t="str">
        <f>IFERROR(__xludf.DUMMYFUNCTION("""COMPUTED_VALUE"""),"Aluminio")</f>
        <v>Aluminio</v>
      </c>
      <c r="AL1462" s="97" t="str">
        <f>IFERROR(__xludf.DUMMYFUNCTION("""COMPUTED_VALUE"""),"Negro Satinado")</f>
        <v>Negro Satinado</v>
      </c>
      <c r="AM1462" s="97" t="str">
        <f>IFERROR(__xludf.DUMMYFUNCTION("""COMPUTED_VALUE"""),"-")</f>
        <v>-</v>
      </c>
      <c r="AN1462" s="97" t="str">
        <f>IFERROR(__xludf.DUMMYFUNCTION("""COMPUTED_VALUE"""),"25.000hs (L70)")</f>
        <v>25.000hs (L70)</v>
      </c>
      <c r="AO1462" s="97" t="str">
        <f>IFERROR(__xludf.DUMMYFUNCTION("""COMPUTED_VALUE"""),"2 Años")</f>
        <v>2 Años</v>
      </c>
      <c r="AP1462" s="97" t="str">
        <f>IFERROR(__xludf.DUMMYFUNCTION("""COMPUTED_VALUE"""),"Disponible")</f>
        <v>Disponible</v>
      </c>
      <c r="AQ1462" s="97" t="str">
        <f>IFERROR(__xludf.DUMMYFUNCTION("""COMPUTED_VALUE"""),"Disponible")</f>
        <v>Disponible</v>
      </c>
      <c r="AR1462" s="97" t="str">
        <f>IFERROR(__xludf.DUMMYFUNCTION("""COMPUTED_VALUE"""),"Disponible")</f>
        <v>Disponible</v>
      </c>
      <c r="AS1462" s="97" t="str">
        <f>IFERROR(__xludf.DUMMYFUNCTION("""COMPUTED_VALUE"""),"Falta")</f>
        <v>Falta</v>
      </c>
      <c r="AT1462" s="97" t="str">
        <f>IFERROR(__xludf.DUMMYFUNCTION("""COMPUTED_VALUE"""),"Falta")</f>
        <v>Falta</v>
      </c>
      <c r="AU1462" s="97" t="str">
        <f>IFERROR(__xludf.DUMMYFUNCTION("""COMPUTED_VALUE"""),"Disponible")</f>
        <v>Disponible</v>
      </c>
      <c r="AV1462" s="97" t="str">
        <f>IFERROR(__xludf.DUMMYFUNCTION("""COMPUTED_VALUE"""),"Cabezal")</f>
        <v>Cabezal</v>
      </c>
      <c r="AW1462" s="97" t="str">
        <f>IFERROR(__xludf.DUMMYFUNCTION("""COMPUTED_VALUE"""),"Rieles")</f>
        <v>Rieles</v>
      </c>
      <c r="AX1462" s="97" t="str">
        <f>IFERROR(__xludf.DUMMYFUNCTION("""COMPUTED_VALUE"""),"Interior")</f>
        <v>Interior</v>
      </c>
      <c r="AY1462" s="97" t="str">
        <f>IFERROR(__xludf.DUMMYFUNCTION("""COMPUTED_VALUE"""),"-")</f>
        <v>-</v>
      </c>
      <c r="AZ1462" s="97" t="str">
        <f>IFERROR(__xludf.DUMMYFUNCTION("""COMPUTED_VALUE"""),"-")</f>
        <v>-</v>
      </c>
      <c r="BA1462" s="97"/>
      <c r="BB1462" s="97"/>
      <c r="BC1462" s="97"/>
      <c r="BD1462" s="97" t="str">
        <f>IFERROR(__xludf.DUMMYFUNCTION("""COMPUTED_VALUE"""),"POLAR LINE")</f>
        <v>POLAR LINE</v>
      </c>
      <c r="BE1462" s="97"/>
      <c r="BF1462" s="97"/>
      <c r="BG1462" s="97" t="str">
        <f>IFERROR(__xludf.DUMMYFUNCTION("""COMPUTED_VALUE"""),"REPO 7")</f>
        <v>REPO 7</v>
      </c>
    </row>
    <row r="1463">
      <c r="A1463" s="97">
        <f>IFERROR(__xludf.DUMMYFUNCTION("""COMPUTED_VALUE"""),7568.0)</f>
        <v>7568</v>
      </c>
      <c r="B1463" s="97" t="str">
        <f>IFERROR(__xludf.DUMMYFUNCTION("""COMPUTED_VALUE"""),"POLAR LINE 20W BL 3CCT")</f>
        <v>POLAR LINE 20W BL 3CCT</v>
      </c>
      <c r="C1463" s="97" t="str">
        <f>IFERROR(__xludf.DUMMYFUNCTION("""COMPUTED_VALUE"""),"CABEZAL POLAR LINE 20W BL 3CCT 20W 2700/3300/4000K 1165LM CRI&gt;90 IP20 LEUK")</f>
        <v>CABEZAL POLAR LINE 20W BL 3CCT 20W 2700/3300/4000K 1165LM CRI&gt;90 IP20 LEUK</v>
      </c>
      <c r="D1463" s="97">
        <f>IFERROR(__xludf.DUMMYFUNCTION("""COMPUTED_VALUE"""),7.798485460244E12)</f>
        <v>7798485460244</v>
      </c>
      <c r="E1463" s="97" t="str">
        <f>IFERROR(__xludf.DUMMYFUNCTION("""COMPUTED_VALUE"""),"-")</f>
        <v>-</v>
      </c>
      <c r="F1463" s="97" t="str">
        <f>IFERROR(__xludf.DUMMYFUNCTION("""COMPUTED_VALUE"""),"LED integrado")</f>
        <v>LED integrado</v>
      </c>
      <c r="G1463" s="97" t="str">
        <f>IFERROR(__xludf.DUMMYFUNCTION("""COMPUTED_VALUE"""),"-")</f>
        <v>-</v>
      </c>
      <c r="H1463" s="97" t="str">
        <f>IFERROR(__xludf.DUMMYFUNCTION("""COMPUTED_VALUE"""),"N/A")</f>
        <v>N/A</v>
      </c>
      <c r="I1463" s="97" t="str">
        <f>IFERROR(__xludf.DUMMYFUNCTION("""COMPUTED_VALUE"""),"N/A")</f>
        <v>N/A</v>
      </c>
      <c r="J1463" s="97" t="str">
        <f>IFERROR(__xludf.DUMMYFUNCTION("""COMPUTED_VALUE"""),"N/A")</f>
        <v>N/A</v>
      </c>
      <c r="K1463" s="97" t="str">
        <f>IFERROR(__xludf.DUMMYFUNCTION("""COMPUTED_VALUE"""),"Smart / App")</f>
        <v>Smart / App</v>
      </c>
      <c r="L1463" s="97" t="str">
        <f>IFERROR(__xludf.DUMMYFUNCTION("""COMPUTED_VALUE"""),"48Vdc")</f>
        <v>48Vdc</v>
      </c>
      <c r="M1463" s="97" t="str">
        <f>IFERROR(__xludf.DUMMYFUNCTION("""COMPUTED_VALUE"""),"N/A")</f>
        <v>N/A</v>
      </c>
      <c r="N1463" s="97"/>
      <c r="O1463" s="97">
        <f>IFERROR(__xludf.DUMMYFUNCTION("""COMPUTED_VALUE"""),20.0)</f>
        <v>20</v>
      </c>
      <c r="P1463" s="97">
        <f>IFERROR(__xludf.DUMMYFUNCTION("""COMPUTED_VALUE"""),22.12)</f>
        <v>22.12</v>
      </c>
      <c r="Q1463" s="97" t="str">
        <f>IFERROR(__xludf.DUMMYFUNCTION("""COMPUTED_VALUE"""),"N/A")</f>
        <v>N/A</v>
      </c>
      <c r="R1463" s="97" t="str">
        <f>IFERROR(__xludf.DUMMYFUNCTION("""COMPUTED_VALUE"""),"-")</f>
        <v>-</v>
      </c>
      <c r="S1463" s="97" t="str">
        <f>IFERROR(__xludf.DUMMYFUNCTION("""COMPUTED_VALUE"""),"-")</f>
        <v>-</v>
      </c>
      <c r="T1463" s="97">
        <f>IFERROR(__xludf.DUMMYFUNCTION("""COMPUTED_VALUE"""),1165.0)</f>
        <v>1165</v>
      </c>
      <c r="U1463" s="99">
        <f>IFERROR(__xludf.DUMMYFUNCTION("""COMPUTED_VALUE"""),58.25)</f>
        <v>58.25</v>
      </c>
      <c r="V1463" s="97">
        <f>IFERROR(__xludf.DUMMYFUNCTION("""COMPUTED_VALUE"""),105.0)</f>
        <v>105</v>
      </c>
      <c r="W1463" s="97" t="str">
        <f>IFERROR(__xludf.DUMMYFUNCTION("""COMPUTED_VALUE"""),"&lt; 25")</f>
        <v>&lt; 25</v>
      </c>
      <c r="X1463" s="97" t="str">
        <f>IFERROR(__xludf.DUMMYFUNCTION("""COMPUTED_VALUE"""),"2700/3300/4000")</f>
        <v>2700/3300/4000</v>
      </c>
      <c r="Y1463" s="97" t="str">
        <f>IFERROR(__xludf.DUMMYFUNCTION("""COMPUTED_VALUE"""),"&gt;90")</f>
        <v>&gt;90</v>
      </c>
      <c r="Z1463" s="97" t="str">
        <f>IFERROR(__xludf.DUMMYFUNCTION("""COMPUTED_VALUE"""),"&gt;90")</f>
        <v>&gt;90</v>
      </c>
      <c r="AA1463" s="97" t="str">
        <f>IFERROR(__xludf.DUMMYFUNCTION("""COMPUTED_VALUE"""),"90-99 (Leve desaturación)")</f>
        <v>90-99 (Leve desaturación)</v>
      </c>
      <c r="AB1463" s="97" t="str">
        <f>IFERROR(__xludf.DUMMYFUNCTION("""COMPUTED_VALUE"""),"&lt; 3")</f>
        <v>&lt; 3</v>
      </c>
      <c r="AC1463" s="97" t="str">
        <f>IFERROR(__xludf.DUMMYFUNCTION("""COMPUTED_VALUE"""),"-0,00037 / -0,00278 / -0,00166")</f>
        <v>-0,00037 / -0,00278 / -0,00166</v>
      </c>
      <c r="AD1463" s="97" t="str">
        <f>IFERROR(__xludf.DUMMYFUNCTION("""COMPUTED_VALUE"""),"IP20")</f>
        <v>IP20</v>
      </c>
      <c r="AE1463" s="97" t="str">
        <f>IFERROR(__xludf.DUMMYFUNCTION("""COMPUTED_VALUE"""),"Clase lll")</f>
        <v>Clase lll</v>
      </c>
      <c r="AF1463" s="97" t="str">
        <f>IFERROR(__xludf.DUMMYFUNCTION("""COMPUTED_VALUE"""),"Riel")</f>
        <v>Riel</v>
      </c>
      <c r="AG1463" s="97" t="str">
        <f>IFERROR(__xludf.DUMMYFUNCTION("""COMPUTED_VALUE"""),"600 x 22 x 44")</f>
        <v>600 x 22 x 44</v>
      </c>
      <c r="AH1463" s="97" t="str">
        <f>IFERROR(__xludf.DUMMYFUNCTION("""COMPUTED_VALUE"""),"N/A")</f>
        <v>N/A</v>
      </c>
      <c r="AI1463" s="97" t="str">
        <f>IFERROR(__xludf.DUMMYFUNCTION("""COMPUTED_VALUE"""),"N/A")</f>
        <v>N/A</v>
      </c>
      <c r="AJ1463" s="97" t="str">
        <f>IFERROR(__xludf.DUMMYFUNCTION("""COMPUTED_VALUE"""),"Poliestireno (PS)")</f>
        <v>Poliestireno (PS)</v>
      </c>
      <c r="AK1463" s="97" t="str">
        <f>IFERROR(__xludf.DUMMYFUNCTION("""COMPUTED_VALUE"""),"Aluminio")</f>
        <v>Aluminio</v>
      </c>
      <c r="AL1463" s="97" t="str">
        <f>IFERROR(__xludf.DUMMYFUNCTION("""COMPUTED_VALUE"""),"Blanco Satinado")</f>
        <v>Blanco Satinado</v>
      </c>
      <c r="AM1463" s="97" t="str">
        <f>IFERROR(__xludf.DUMMYFUNCTION("""COMPUTED_VALUE"""),"-")</f>
        <v>-</v>
      </c>
      <c r="AN1463" s="97" t="str">
        <f>IFERROR(__xludf.DUMMYFUNCTION("""COMPUTED_VALUE"""),"25.000hs (L70)")</f>
        <v>25.000hs (L70)</v>
      </c>
      <c r="AO1463" s="97" t="str">
        <f>IFERROR(__xludf.DUMMYFUNCTION("""COMPUTED_VALUE"""),"2 Años")</f>
        <v>2 Años</v>
      </c>
      <c r="AP1463" s="97" t="str">
        <f>IFERROR(__xludf.DUMMYFUNCTION("""COMPUTED_VALUE"""),"Disponible")</f>
        <v>Disponible</v>
      </c>
      <c r="AQ1463" s="97" t="str">
        <f>IFERROR(__xludf.DUMMYFUNCTION("""COMPUTED_VALUE"""),"Disponible")</f>
        <v>Disponible</v>
      </c>
      <c r="AR1463" s="97" t="str">
        <f>IFERROR(__xludf.DUMMYFUNCTION("""COMPUTED_VALUE"""),"Disponible")</f>
        <v>Disponible</v>
      </c>
      <c r="AS1463" s="97" t="str">
        <f>IFERROR(__xludf.DUMMYFUNCTION("""COMPUTED_VALUE"""),"Falta")</f>
        <v>Falta</v>
      </c>
      <c r="AT1463" s="97" t="str">
        <f>IFERROR(__xludf.DUMMYFUNCTION("""COMPUTED_VALUE"""),"Falta")</f>
        <v>Falta</v>
      </c>
      <c r="AU1463" s="97" t="str">
        <f>IFERROR(__xludf.DUMMYFUNCTION("""COMPUTED_VALUE"""),"Disponible")</f>
        <v>Disponible</v>
      </c>
      <c r="AV1463" s="97" t="str">
        <f>IFERROR(__xludf.DUMMYFUNCTION("""COMPUTED_VALUE"""),"Cabezal")</f>
        <v>Cabezal</v>
      </c>
      <c r="AW1463" s="97" t="str">
        <f>IFERROR(__xludf.DUMMYFUNCTION("""COMPUTED_VALUE"""),"Rieles")</f>
        <v>Rieles</v>
      </c>
      <c r="AX1463" s="97" t="str">
        <f>IFERROR(__xludf.DUMMYFUNCTION("""COMPUTED_VALUE"""),"Interior")</f>
        <v>Interior</v>
      </c>
      <c r="AY1463" s="97" t="str">
        <f>IFERROR(__xludf.DUMMYFUNCTION("""COMPUTED_VALUE"""),"-")</f>
        <v>-</v>
      </c>
      <c r="AZ1463" s="97" t="str">
        <f>IFERROR(__xludf.DUMMYFUNCTION("""COMPUTED_VALUE"""),"-")</f>
        <v>-</v>
      </c>
      <c r="BA1463" s="97"/>
      <c r="BB1463" s="97"/>
      <c r="BC1463" s="97"/>
      <c r="BD1463" s="97" t="str">
        <f>IFERROR(__xludf.DUMMYFUNCTION("""COMPUTED_VALUE"""),"POLAR LINE")</f>
        <v>POLAR LINE</v>
      </c>
      <c r="BE1463" s="97"/>
      <c r="BF1463" s="97"/>
      <c r="BG1463" s="97" t="str">
        <f>IFERROR(__xludf.DUMMYFUNCTION("""COMPUTED_VALUE"""),"REPO 7")</f>
        <v>REPO 7</v>
      </c>
    </row>
    <row r="1464">
      <c r="A1464" s="97">
        <f>IFERROR(__xludf.DUMMYFUNCTION("""COMPUTED_VALUE"""),7569.0)</f>
        <v>7569</v>
      </c>
      <c r="B1464" s="97" t="str">
        <f>IFERROR(__xludf.DUMMYFUNCTION("""COMPUTED_VALUE"""),"POLAR GRID 6W NG 3CCT")</f>
        <v>POLAR GRID 6W NG 3CCT</v>
      </c>
      <c r="C1464" s="97" t="str">
        <f>IFERROR(__xludf.DUMMYFUNCTION("""COMPUTED_VALUE"""),"CABEZAL POLAR GRID 6W NG 3CCT 6W 2700/3300/4000K 420LM CRI&gt;90 IP20 LEUK")</f>
        <v>CABEZAL POLAR GRID 6W NG 3CCT 6W 2700/3300/4000K 420LM CRI&gt;90 IP20 LEUK</v>
      </c>
      <c r="D1464" s="97">
        <f>IFERROR(__xludf.DUMMYFUNCTION("""COMPUTED_VALUE"""),7.798485460251E12)</f>
        <v>7798485460251</v>
      </c>
      <c r="E1464" s="97" t="str">
        <f>IFERROR(__xludf.DUMMYFUNCTION("""COMPUTED_VALUE"""),"-")</f>
        <v>-</v>
      </c>
      <c r="F1464" s="97" t="str">
        <f>IFERROR(__xludf.DUMMYFUNCTION("""COMPUTED_VALUE"""),"LED integrado")</f>
        <v>LED integrado</v>
      </c>
      <c r="G1464" s="97" t="str">
        <f>IFERROR(__xludf.DUMMYFUNCTION("""COMPUTED_VALUE"""),"-")</f>
        <v>-</v>
      </c>
      <c r="H1464" s="97" t="str">
        <f>IFERROR(__xludf.DUMMYFUNCTION("""COMPUTED_VALUE"""),"N/A")</f>
        <v>N/A</v>
      </c>
      <c r="I1464" s="97" t="str">
        <f>IFERROR(__xludf.DUMMYFUNCTION("""COMPUTED_VALUE"""),"N/A")</f>
        <v>N/A</v>
      </c>
      <c r="J1464" s="97" t="str">
        <f>IFERROR(__xludf.DUMMYFUNCTION("""COMPUTED_VALUE"""),"N/A")</f>
        <v>N/A</v>
      </c>
      <c r="K1464" s="97" t="str">
        <f>IFERROR(__xludf.DUMMYFUNCTION("""COMPUTED_VALUE"""),"Smart / App")</f>
        <v>Smart / App</v>
      </c>
      <c r="L1464" s="97" t="str">
        <f>IFERROR(__xludf.DUMMYFUNCTION("""COMPUTED_VALUE"""),"48Vdc")</f>
        <v>48Vdc</v>
      </c>
      <c r="M1464" s="97" t="str">
        <f>IFERROR(__xludf.DUMMYFUNCTION("""COMPUTED_VALUE"""),"N/A")</f>
        <v>N/A</v>
      </c>
      <c r="N1464" s="97"/>
      <c r="O1464" s="97">
        <f>IFERROR(__xludf.DUMMYFUNCTION("""COMPUTED_VALUE"""),6.0)</f>
        <v>6</v>
      </c>
      <c r="P1464" s="97">
        <f>IFERROR(__xludf.DUMMYFUNCTION("""COMPUTED_VALUE"""),6.25)</f>
        <v>6.25</v>
      </c>
      <c r="Q1464" s="97" t="str">
        <f>IFERROR(__xludf.DUMMYFUNCTION("""COMPUTED_VALUE"""),"N/A")</f>
        <v>N/A</v>
      </c>
      <c r="R1464" s="97" t="str">
        <f>IFERROR(__xludf.DUMMYFUNCTION("""COMPUTED_VALUE"""),"-")</f>
        <v>-</v>
      </c>
      <c r="S1464" s="97" t="str">
        <f>IFERROR(__xludf.DUMMYFUNCTION("""COMPUTED_VALUE"""),"-")</f>
        <v>-</v>
      </c>
      <c r="T1464" s="97">
        <f>IFERROR(__xludf.DUMMYFUNCTION("""COMPUTED_VALUE"""),420.0)</f>
        <v>420</v>
      </c>
      <c r="U1464" s="99">
        <f>IFERROR(__xludf.DUMMYFUNCTION("""COMPUTED_VALUE"""),70.0)</f>
        <v>70</v>
      </c>
      <c r="V1464" s="97">
        <f>IFERROR(__xludf.DUMMYFUNCTION("""COMPUTED_VALUE"""),28.0)</f>
        <v>28</v>
      </c>
      <c r="W1464" s="97" t="str">
        <f>IFERROR(__xludf.DUMMYFUNCTION("""COMPUTED_VALUE"""),"&lt; 10")</f>
        <v>&lt; 10</v>
      </c>
      <c r="X1464" s="97" t="str">
        <f>IFERROR(__xludf.DUMMYFUNCTION("""COMPUTED_VALUE"""),"2700/3300/4000")</f>
        <v>2700/3300/4000</v>
      </c>
      <c r="Y1464" s="97" t="str">
        <f>IFERROR(__xludf.DUMMYFUNCTION("""COMPUTED_VALUE"""),"&gt;90")</f>
        <v>&gt;90</v>
      </c>
      <c r="Z1464" s="97" t="str">
        <f>IFERROR(__xludf.DUMMYFUNCTION("""COMPUTED_VALUE"""),"&gt;90")</f>
        <v>&gt;90</v>
      </c>
      <c r="AA1464" s="97" t="str">
        <f>IFERROR(__xludf.DUMMYFUNCTION("""COMPUTED_VALUE"""),"90-99 (Leve desaturación)")</f>
        <v>90-99 (Leve desaturación)</v>
      </c>
      <c r="AB1464" s="97" t="str">
        <f>IFERROR(__xludf.DUMMYFUNCTION("""COMPUTED_VALUE"""),"&lt; 5")</f>
        <v>&lt; 5</v>
      </c>
      <c r="AC1464" s="97" t="str">
        <f>IFERROR(__xludf.DUMMYFUNCTION("""COMPUTED_VALUE"""),"-0,00213 / -0,00473 / -0,0032")</f>
        <v>-0,00213 / -0,00473 / -0,0032</v>
      </c>
      <c r="AD1464" s="97" t="str">
        <f>IFERROR(__xludf.DUMMYFUNCTION("""COMPUTED_VALUE"""),"IP20")</f>
        <v>IP20</v>
      </c>
      <c r="AE1464" s="97" t="str">
        <f>IFERROR(__xludf.DUMMYFUNCTION("""COMPUTED_VALUE"""),"Clase lll")</f>
        <v>Clase lll</v>
      </c>
      <c r="AF1464" s="97" t="str">
        <f>IFERROR(__xludf.DUMMYFUNCTION("""COMPUTED_VALUE"""),"Riel")</f>
        <v>Riel</v>
      </c>
      <c r="AG1464" s="97" t="str">
        <f>IFERROR(__xludf.DUMMYFUNCTION("""COMPUTED_VALUE"""),"112 x 22 x 44")</f>
        <v>112 x 22 x 44</v>
      </c>
      <c r="AH1464" s="97" t="str">
        <f>IFERROR(__xludf.DUMMYFUNCTION("""COMPUTED_VALUE"""),"N/A")</f>
        <v>N/A</v>
      </c>
      <c r="AI1464" s="97" t="str">
        <f>IFERROR(__xludf.DUMMYFUNCTION("""COMPUTED_VALUE"""),"N/A")</f>
        <v>N/A</v>
      </c>
      <c r="AJ1464" s="97" t="str">
        <f>IFERROR(__xludf.DUMMYFUNCTION("""COMPUTED_VALUE"""),"Policarbonato (PC)")</f>
        <v>Policarbonato (PC)</v>
      </c>
      <c r="AK1464" s="97" t="str">
        <f>IFERROR(__xludf.DUMMYFUNCTION("""COMPUTED_VALUE"""),"Aluminio")</f>
        <v>Aluminio</v>
      </c>
      <c r="AL1464" s="97" t="str">
        <f>IFERROR(__xludf.DUMMYFUNCTION("""COMPUTED_VALUE"""),"Negro Satinado")</f>
        <v>Negro Satinado</v>
      </c>
      <c r="AM1464" s="97" t="str">
        <f>IFERROR(__xludf.DUMMYFUNCTION("""COMPUTED_VALUE"""),"-")</f>
        <v>-</v>
      </c>
      <c r="AN1464" s="97" t="str">
        <f>IFERROR(__xludf.DUMMYFUNCTION("""COMPUTED_VALUE"""),"25.000hs (L70)")</f>
        <v>25.000hs (L70)</v>
      </c>
      <c r="AO1464" s="97" t="str">
        <f>IFERROR(__xludf.DUMMYFUNCTION("""COMPUTED_VALUE"""),"2 Años")</f>
        <v>2 Años</v>
      </c>
      <c r="AP1464" s="97" t="str">
        <f>IFERROR(__xludf.DUMMYFUNCTION("""COMPUTED_VALUE"""),"Disponible")</f>
        <v>Disponible</v>
      </c>
      <c r="AQ1464" s="97" t="str">
        <f>IFERROR(__xludf.DUMMYFUNCTION("""COMPUTED_VALUE"""),"Disponible")</f>
        <v>Disponible</v>
      </c>
      <c r="AR1464" s="97" t="str">
        <f>IFERROR(__xludf.DUMMYFUNCTION("""COMPUTED_VALUE"""),"Disponible")</f>
        <v>Disponible</v>
      </c>
      <c r="AS1464" s="97" t="str">
        <f>IFERROR(__xludf.DUMMYFUNCTION("""COMPUTED_VALUE"""),"Disponible")</f>
        <v>Disponible</v>
      </c>
      <c r="AT1464" s="97" t="str">
        <f>IFERROR(__xludf.DUMMYFUNCTION("""COMPUTED_VALUE"""),"Falta")</f>
        <v>Falta</v>
      </c>
      <c r="AU1464" s="97" t="str">
        <f>IFERROR(__xludf.DUMMYFUNCTION("""COMPUTED_VALUE"""),"Disponible")</f>
        <v>Disponible</v>
      </c>
      <c r="AV1464" s="97" t="str">
        <f>IFERROR(__xludf.DUMMYFUNCTION("""COMPUTED_VALUE"""),"Cabezal")</f>
        <v>Cabezal</v>
      </c>
      <c r="AW1464" s="97" t="str">
        <f>IFERROR(__xludf.DUMMYFUNCTION("""COMPUTED_VALUE"""),"Rieles")</f>
        <v>Rieles</v>
      </c>
      <c r="AX1464" s="97" t="str">
        <f>IFERROR(__xludf.DUMMYFUNCTION("""COMPUTED_VALUE"""),"Interior")</f>
        <v>Interior</v>
      </c>
      <c r="AY1464" s="97" t="str">
        <f>IFERROR(__xludf.DUMMYFUNCTION("""COMPUTED_VALUE"""),"-")</f>
        <v>-</v>
      </c>
      <c r="AZ1464" s="97" t="str">
        <f>IFERROR(__xludf.DUMMYFUNCTION("""COMPUTED_VALUE"""),"-")</f>
        <v>-</v>
      </c>
      <c r="BA1464" s="97"/>
      <c r="BB1464" s="97"/>
      <c r="BC1464" s="97"/>
      <c r="BD1464" s="97" t="str">
        <f>IFERROR(__xludf.DUMMYFUNCTION("""COMPUTED_VALUE"""),"POLAR GRID")</f>
        <v>POLAR GRID</v>
      </c>
      <c r="BE1464" s="97"/>
      <c r="BF1464" s="97"/>
      <c r="BG1464" s="97" t="str">
        <f>IFERROR(__xludf.DUMMYFUNCTION("""COMPUTED_VALUE"""),"REPO 7")</f>
        <v>REPO 7</v>
      </c>
    </row>
    <row r="1465">
      <c r="A1465" s="97">
        <f>IFERROR(__xludf.DUMMYFUNCTION("""COMPUTED_VALUE"""),7570.0)</f>
        <v>7570</v>
      </c>
      <c r="B1465" s="97" t="str">
        <f>IFERROR(__xludf.DUMMYFUNCTION("""COMPUTED_VALUE"""),"POLAR GRID 6W BL 3CCT")</f>
        <v>POLAR GRID 6W BL 3CCT</v>
      </c>
      <c r="C1465" s="97" t="str">
        <f>IFERROR(__xludf.DUMMYFUNCTION("""COMPUTED_VALUE"""),"CABEZAL POLAR GRID 6W BL 3CCT 6W 2700/3300/4000K 420LM CRI&gt;90 IP20 LEUK")</f>
        <v>CABEZAL POLAR GRID 6W BL 3CCT 6W 2700/3300/4000K 420LM CRI&gt;90 IP20 LEUK</v>
      </c>
      <c r="D1465" s="97">
        <f>IFERROR(__xludf.DUMMYFUNCTION("""COMPUTED_VALUE"""),7.798485460268E12)</f>
        <v>7798485460268</v>
      </c>
      <c r="E1465" s="97" t="str">
        <f>IFERROR(__xludf.DUMMYFUNCTION("""COMPUTED_VALUE"""),"-")</f>
        <v>-</v>
      </c>
      <c r="F1465" s="97" t="str">
        <f>IFERROR(__xludf.DUMMYFUNCTION("""COMPUTED_VALUE"""),"LED integrado")</f>
        <v>LED integrado</v>
      </c>
      <c r="G1465" s="97" t="str">
        <f>IFERROR(__xludf.DUMMYFUNCTION("""COMPUTED_VALUE"""),"-")</f>
        <v>-</v>
      </c>
      <c r="H1465" s="97" t="str">
        <f>IFERROR(__xludf.DUMMYFUNCTION("""COMPUTED_VALUE"""),"N/A")</f>
        <v>N/A</v>
      </c>
      <c r="I1465" s="97" t="str">
        <f>IFERROR(__xludf.DUMMYFUNCTION("""COMPUTED_VALUE"""),"N/A")</f>
        <v>N/A</v>
      </c>
      <c r="J1465" s="97" t="str">
        <f>IFERROR(__xludf.DUMMYFUNCTION("""COMPUTED_VALUE"""),"N/A")</f>
        <v>N/A</v>
      </c>
      <c r="K1465" s="97" t="str">
        <f>IFERROR(__xludf.DUMMYFUNCTION("""COMPUTED_VALUE"""),"Smart / App")</f>
        <v>Smart / App</v>
      </c>
      <c r="L1465" s="97" t="str">
        <f>IFERROR(__xludf.DUMMYFUNCTION("""COMPUTED_VALUE"""),"48Vdc")</f>
        <v>48Vdc</v>
      </c>
      <c r="M1465" s="97" t="str">
        <f>IFERROR(__xludf.DUMMYFUNCTION("""COMPUTED_VALUE"""),"N/A")</f>
        <v>N/A</v>
      </c>
      <c r="N1465" s="97"/>
      <c r="O1465" s="97">
        <f>IFERROR(__xludf.DUMMYFUNCTION("""COMPUTED_VALUE"""),6.0)</f>
        <v>6</v>
      </c>
      <c r="P1465" s="97">
        <f>IFERROR(__xludf.DUMMYFUNCTION("""COMPUTED_VALUE"""),6.25)</f>
        <v>6.25</v>
      </c>
      <c r="Q1465" s="97" t="str">
        <f>IFERROR(__xludf.DUMMYFUNCTION("""COMPUTED_VALUE"""),"N/A")</f>
        <v>N/A</v>
      </c>
      <c r="R1465" s="97" t="str">
        <f>IFERROR(__xludf.DUMMYFUNCTION("""COMPUTED_VALUE"""),"-")</f>
        <v>-</v>
      </c>
      <c r="S1465" s="97" t="str">
        <f>IFERROR(__xludf.DUMMYFUNCTION("""COMPUTED_VALUE"""),"-")</f>
        <v>-</v>
      </c>
      <c r="T1465" s="97">
        <f>IFERROR(__xludf.DUMMYFUNCTION("""COMPUTED_VALUE"""),420.0)</f>
        <v>420</v>
      </c>
      <c r="U1465" s="99">
        <f>IFERROR(__xludf.DUMMYFUNCTION("""COMPUTED_VALUE"""),70.0)</f>
        <v>70</v>
      </c>
      <c r="V1465" s="97">
        <f>IFERROR(__xludf.DUMMYFUNCTION("""COMPUTED_VALUE"""),28.0)</f>
        <v>28</v>
      </c>
      <c r="W1465" s="97" t="str">
        <f>IFERROR(__xludf.DUMMYFUNCTION("""COMPUTED_VALUE"""),"&lt; 10")</f>
        <v>&lt; 10</v>
      </c>
      <c r="X1465" s="97" t="str">
        <f>IFERROR(__xludf.DUMMYFUNCTION("""COMPUTED_VALUE"""),"2700/3300/4000")</f>
        <v>2700/3300/4000</v>
      </c>
      <c r="Y1465" s="97" t="str">
        <f>IFERROR(__xludf.DUMMYFUNCTION("""COMPUTED_VALUE"""),"&gt;90")</f>
        <v>&gt;90</v>
      </c>
      <c r="Z1465" s="97" t="str">
        <f>IFERROR(__xludf.DUMMYFUNCTION("""COMPUTED_VALUE"""),"&gt;90")</f>
        <v>&gt;90</v>
      </c>
      <c r="AA1465" s="97" t="str">
        <f>IFERROR(__xludf.DUMMYFUNCTION("""COMPUTED_VALUE"""),"90-99 (Leve desaturación)")</f>
        <v>90-99 (Leve desaturación)</v>
      </c>
      <c r="AB1465" s="97" t="str">
        <f>IFERROR(__xludf.DUMMYFUNCTION("""COMPUTED_VALUE"""),"&lt; 5")</f>
        <v>&lt; 5</v>
      </c>
      <c r="AC1465" s="97" t="str">
        <f>IFERROR(__xludf.DUMMYFUNCTION("""COMPUTED_VALUE"""),"-0,00213 / -0,00473 / -0,0032")</f>
        <v>-0,00213 / -0,00473 / -0,0032</v>
      </c>
      <c r="AD1465" s="97" t="str">
        <f>IFERROR(__xludf.DUMMYFUNCTION("""COMPUTED_VALUE"""),"IP20")</f>
        <v>IP20</v>
      </c>
      <c r="AE1465" s="97" t="str">
        <f>IFERROR(__xludf.DUMMYFUNCTION("""COMPUTED_VALUE"""),"Clase lll")</f>
        <v>Clase lll</v>
      </c>
      <c r="AF1465" s="97" t="str">
        <f>IFERROR(__xludf.DUMMYFUNCTION("""COMPUTED_VALUE"""),"Riel")</f>
        <v>Riel</v>
      </c>
      <c r="AG1465" s="97" t="str">
        <f>IFERROR(__xludf.DUMMYFUNCTION("""COMPUTED_VALUE"""),"112 x 22 x 44")</f>
        <v>112 x 22 x 44</v>
      </c>
      <c r="AH1465" s="97" t="str">
        <f>IFERROR(__xludf.DUMMYFUNCTION("""COMPUTED_VALUE"""),"N/A")</f>
        <v>N/A</v>
      </c>
      <c r="AI1465" s="97" t="str">
        <f>IFERROR(__xludf.DUMMYFUNCTION("""COMPUTED_VALUE"""),"N/A")</f>
        <v>N/A</v>
      </c>
      <c r="AJ1465" s="97" t="str">
        <f>IFERROR(__xludf.DUMMYFUNCTION("""COMPUTED_VALUE"""),"Policarbonato (PC)")</f>
        <v>Policarbonato (PC)</v>
      </c>
      <c r="AK1465" s="97" t="str">
        <f>IFERROR(__xludf.DUMMYFUNCTION("""COMPUTED_VALUE"""),"Aluminio")</f>
        <v>Aluminio</v>
      </c>
      <c r="AL1465" s="97" t="str">
        <f>IFERROR(__xludf.DUMMYFUNCTION("""COMPUTED_VALUE"""),"Blanco Satinado")</f>
        <v>Blanco Satinado</v>
      </c>
      <c r="AM1465" s="97" t="str">
        <f>IFERROR(__xludf.DUMMYFUNCTION("""COMPUTED_VALUE"""),"-")</f>
        <v>-</v>
      </c>
      <c r="AN1465" s="97" t="str">
        <f>IFERROR(__xludf.DUMMYFUNCTION("""COMPUTED_VALUE"""),"25.000hs (L70)")</f>
        <v>25.000hs (L70)</v>
      </c>
      <c r="AO1465" s="97" t="str">
        <f>IFERROR(__xludf.DUMMYFUNCTION("""COMPUTED_VALUE"""),"2 Años")</f>
        <v>2 Años</v>
      </c>
      <c r="AP1465" s="97" t="str">
        <f>IFERROR(__xludf.DUMMYFUNCTION("""COMPUTED_VALUE"""),"Disponible")</f>
        <v>Disponible</v>
      </c>
      <c r="AQ1465" s="97" t="str">
        <f>IFERROR(__xludf.DUMMYFUNCTION("""COMPUTED_VALUE"""),"Disponible")</f>
        <v>Disponible</v>
      </c>
      <c r="AR1465" s="97" t="str">
        <f>IFERROR(__xludf.DUMMYFUNCTION("""COMPUTED_VALUE"""),"Disponible")</f>
        <v>Disponible</v>
      </c>
      <c r="AS1465" s="97" t="str">
        <f>IFERROR(__xludf.DUMMYFUNCTION("""COMPUTED_VALUE"""),"Disponible")</f>
        <v>Disponible</v>
      </c>
      <c r="AT1465" s="97" t="str">
        <f>IFERROR(__xludf.DUMMYFUNCTION("""COMPUTED_VALUE"""),"Falta")</f>
        <v>Falta</v>
      </c>
      <c r="AU1465" s="97" t="str">
        <f>IFERROR(__xludf.DUMMYFUNCTION("""COMPUTED_VALUE"""),"Disponible")</f>
        <v>Disponible</v>
      </c>
      <c r="AV1465" s="97" t="str">
        <f>IFERROR(__xludf.DUMMYFUNCTION("""COMPUTED_VALUE"""),"Cabezal")</f>
        <v>Cabezal</v>
      </c>
      <c r="AW1465" s="97" t="str">
        <f>IFERROR(__xludf.DUMMYFUNCTION("""COMPUTED_VALUE"""),"Rieles")</f>
        <v>Rieles</v>
      </c>
      <c r="AX1465" s="97" t="str">
        <f>IFERROR(__xludf.DUMMYFUNCTION("""COMPUTED_VALUE"""),"Interior")</f>
        <v>Interior</v>
      </c>
      <c r="AY1465" s="97" t="str">
        <f>IFERROR(__xludf.DUMMYFUNCTION("""COMPUTED_VALUE"""),"-")</f>
        <v>-</v>
      </c>
      <c r="AZ1465" s="97" t="str">
        <f>IFERROR(__xludf.DUMMYFUNCTION("""COMPUTED_VALUE"""),"-")</f>
        <v>-</v>
      </c>
      <c r="BA1465" s="97"/>
      <c r="BB1465" s="97"/>
      <c r="BC1465" s="97"/>
      <c r="BD1465" s="97" t="str">
        <f>IFERROR(__xludf.DUMMYFUNCTION("""COMPUTED_VALUE"""),"POLAR GRID")</f>
        <v>POLAR GRID</v>
      </c>
      <c r="BE1465" s="97"/>
      <c r="BF1465" s="97"/>
      <c r="BG1465" s="97" t="str">
        <f>IFERROR(__xludf.DUMMYFUNCTION("""COMPUTED_VALUE"""),"REPO 7")</f>
        <v>REPO 7</v>
      </c>
    </row>
    <row r="1466">
      <c r="A1466" s="97">
        <f>IFERROR(__xludf.DUMMYFUNCTION("""COMPUTED_VALUE"""),7571.0)</f>
        <v>7571</v>
      </c>
      <c r="B1466" s="97" t="str">
        <f>IFERROR(__xludf.DUMMYFUNCTION("""COMPUTED_VALUE"""),"POLAR GRID 12W NG 3CCT")</f>
        <v>POLAR GRID 12W NG 3CCT</v>
      </c>
      <c r="C1466" s="97" t="str">
        <f>IFERROR(__xludf.DUMMYFUNCTION("""COMPUTED_VALUE"""),"CABEZAL POLAR GRID 12W NG 3CCT 12W 2700/3300/4000K 800LM CRI&gt;90 IP20 LEUK")</f>
        <v>CABEZAL POLAR GRID 12W NG 3CCT 12W 2700/3300/4000K 800LM CRI&gt;90 IP20 LEUK</v>
      </c>
      <c r="D1466" s="97">
        <f>IFERROR(__xludf.DUMMYFUNCTION("""COMPUTED_VALUE"""),7.798485460275E12)</f>
        <v>7798485460275</v>
      </c>
      <c r="E1466" s="97" t="str">
        <f>IFERROR(__xludf.DUMMYFUNCTION("""COMPUTED_VALUE"""),"-")</f>
        <v>-</v>
      </c>
      <c r="F1466" s="97" t="str">
        <f>IFERROR(__xludf.DUMMYFUNCTION("""COMPUTED_VALUE"""),"LED integrado")</f>
        <v>LED integrado</v>
      </c>
      <c r="G1466" s="97" t="str">
        <f>IFERROR(__xludf.DUMMYFUNCTION("""COMPUTED_VALUE"""),"-")</f>
        <v>-</v>
      </c>
      <c r="H1466" s="97" t="str">
        <f>IFERROR(__xludf.DUMMYFUNCTION("""COMPUTED_VALUE"""),"N/A")</f>
        <v>N/A</v>
      </c>
      <c r="I1466" s="97" t="str">
        <f>IFERROR(__xludf.DUMMYFUNCTION("""COMPUTED_VALUE"""),"N/A")</f>
        <v>N/A</v>
      </c>
      <c r="J1466" s="97" t="str">
        <f>IFERROR(__xludf.DUMMYFUNCTION("""COMPUTED_VALUE"""),"N/A")</f>
        <v>N/A</v>
      </c>
      <c r="K1466" s="97" t="str">
        <f>IFERROR(__xludf.DUMMYFUNCTION("""COMPUTED_VALUE"""),"Smart / App")</f>
        <v>Smart / App</v>
      </c>
      <c r="L1466" s="97" t="str">
        <f>IFERROR(__xludf.DUMMYFUNCTION("""COMPUTED_VALUE"""),"48Vdc")</f>
        <v>48Vdc</v>
      </c>
      <c r="M1466" s="97" t="str">
        <f>IFERROR(__xludf.DUMMYFUNCTION("""COMPUTED_VALUE"""),"N/A")</f>
        <v>N/A</v>
      </c>
      <c r="N1466" s="97"/>
      <c r="O1466" s="97">
        <f>IFERROR(__xludf.DUMMYFUNCTION("""COMPUTED_VALUE"""),12.0)</f>
        <v>12</v>
      </c>
      <c r="P1466" s="97">
        <f>IFERROR(__xludf.DUMMYFUNCTION("""COMPUTED_VALUE"""),11.76)</f>
        <v>11.76</v>
      </c>
      <c r="Q1466" s="97" t="str">
        <f>IFERROR(__xludf.DUMMYFUNCTION("""COMPUTED_VALUE"""),"N/A")</f>
        <v>N/A</v>
      </c>
      <c r="R1466" s="97" t="str">
        <f>IFERROR(__xludf.DUMMYFUNCTION("""COMPUTED_VALUE"""),"-")</f>
        <v>-</v>
      </c>
      <c r="S1466" s="97" t="str">
        <f>IFERROR(__xludf.DUMMYFUNCTION("""COMPUTED_VALUE"""),"-")</f>
        <v>-</v>
      </c>
      <c r="T1466" s="97">
        <f>IFERROR(__xludf.DUMMYFUNCTION("""COMPUTED_VALUE"""),800.0)</f>
        <v>800</v>
      </c>
      <c r="U1466" s="99">
        <f>IFERROR(__xludf.DUMMYFUNCTION("""COMPUTED_VALUE"""),66.66666666666667)</f>
        <v>66.66666667</v>
      </c>
      <c r="V1466" s="97">
        <f>IFERROR(__xludf.DUMMYFUNCTION("""COMPUTED_VALUE"""),28.0)</f>
        <v>28</v>
      </c>
      <c r="W1466" s="97" t="str">
        <f>IFERROR(__xludf.DUMMYFUNCTION("""COMPUTED_VALUE"""),"&lt; 10")</f>
        <v>&lt; 10</v>
      </c>
      <c r="X1466" s="97" t="str">
        <f>IFERROR(__xludf.DUMMYFUNCTION("""COMPUTED_VALUE"""),"2700/3300/4000")</f>
        <v>2700/3300/4000</v>
      </c>
      <c r="Y1466" s="97" t="str">
        <f>IFERROR(__xludf.DUMMYFUNCTION("""COMPUTED_VALUE"""),"&gt;90")</f>
        <v>&gt;90</v>
      </c>
      <c r="Z1466" s="97" t="str">
        <f>IFERROR(__xludf.DUMMYFUNCTION("""COMPUTED_VALUE"""),"&gt;90")</f>
        <v>&gt;90</v>
      </c>
      <c r="AA1466" s="97" t="str">
        <f>IFERROR(__xludf.DUMMYFUNCTION("""COMPUTED_VALUE"""),"90-99 (Leve desaturación)")</f>
        <v>90-99 (Leve desaturación)</v>
      </c>
      <c r="AB1466" s="97" t="str">
        <f>IFERROR(__xludf.DUMMYFUNCTION("""COMPUTED_VALUE"""),"&lt; 5")</f>
        <v>&lt; 5</v>
      </c>
      <c r="AC1466" s="97" t="str">
        <f>IFERROR(__xludf.DUMMYFUNCTION("""COMPUTED_VALUE"""),"0,002 / -0,001 / 0,001")</f>
        <v>0,002 / -0,001 / 0,001</v>
      </c>
      <c r="AD1466" s="97" t="str">
        <f>IFERROR(__xludf.DUMMYFUNCTION("""COMPUTED_VALUE"""),"IP20")</f>
        <v>IP20</v>
      </c>
      <c r="AE1466" s="97" t="str">
        <f>IFERROR(__xludf.DUMMYFUNCTION("""COMPUTED_VALUE"""),"Clase lll")</f>
        <v>Clase lll</v>
      </c>
      <c r="AF1466" s="97" t="str">
        <f>IFERROR(__xludf.DUMMYFUNCTION("""COMPUTED_VALUE"""),"Riel")</f>
        <v>Riel</v>
      </c>
      <c r="AG1466" s="97" t="str">
        <f>IFERROR(__xludf.DUMMYFUNCTION("""COMPUTED_VALUE"""),"220 x 22 x 44")</f>
        <v>220 x 22 x 44</v>
      </c>
      <c r="AH1466" s="97" t="str">
        <f>IFERROR(__xludf.DUMMYFUNCTION("""COMPUTED_VALUE"""),"N/A")</f>
        <v>N/A</v>
      </c>
      <c r="AI1466" s="97" t="str">
        <f>IFERROR(__xludf.DUMMYFUNCTION("""COMPUTED_VALUE"""),"N/A")</f>
        <v>N/A</v>
      </c>
      <c r="AJ1466" s="97" t="str">
        <f>IFERROR(__xludf.DUMMYFUNCTION("""COMPUTED_VALUE"""),"Policarbonato (PC)")</f>
        <v>Policarbonato (PC)</v>
      </c>
      <c r="AK1466" s="97" t="str">
        <f>IFERROR(__xludf.DUMMYFUNCTION("""COMPUTED_VALUE"""),"Aluminio")</f>
        <v>Aluminio</v>
      </c>
      <c r="AL1466" s="97" t="str">
        <f>IFERROR(__xludf.DUMMYFUNCTION("""COMPUTED_VALUE"""),"Negro Satinado")</f>
        <v>Negro Satinado</v>
      </c>
      <c r="AM1466" s="97" t="str">
        <f>IFERROR(__xludf.DUMMYFUNCTION("""COMPUTED_VALUE"""),"-")</f>
        <v>-</v>
      </c>
      <c r="AN1466" s="97" t="str">
        <f>IFERROR(__xludf.DUMMYFUNCTION("""COMPUTED_VALUE"""),"25.000hs (L70)")</f>
        <v>25.000hs (L70)</v>
      </c>
      <c r="AO1466" s="97" t="str">
        <f>IFERROR(__xludf.DUMMYFUNCTION("""COMPUTED_VALUE"""),"2 Años")</f>
        <v>2 Años</v>
      </c>
      <c r="AP1466" s="97" t="str">
        <f>IFERROR(__xludf.DUMMYFUNCTION("""COMPUTED_VALUE"""),"Disponible")</f>
        <v>Disponible</v>
      </c>
      <c r="AQ1466" s="97" t="str">
        <f>IFERROR(__xludf.DUMMYFUNCTION("""COMPUTED_VALUE"""),"Disponible")</f>
        <v>Disponible</v>
      </c>
      <c r="AR1466" s="97" t="str">
        <f>IFERROR(__xludf.DUMMYFUNCTION("""COMPUTED_VALUE"""),"Disponible")</f>
        <v>Disponible</v>
      </c>
      <c r="AS1466" s="97" t="str">
        <f>IFERROR(__xludf.DUMMYFUNCTION("""COMPUTED_VALUE"""),"Disponible")</f>
        <v>Disponible</v>
      </c>
      <c r="AT1466" s="97" t="str">
        <f>IFERROR(__xludf.DUMMYFUNCTION("""COMPUTED_VALUE"""),"Falta")</f>
        <v>Falta</v>
      </c>
      <c r="AU1466" s="97" t="str">
        <f>IFERROR(__xludf.DUMMYFUNCTION("""COMPUTED_VALUE"""),"Disponible")</f>
        <v>Disponible</v>
      </c>
      <c r="AV1466" s="97" t="str">
        <f>IFERROR(__xludf.DUMMYFUNCTION("""COMPUTED_VALUE"""),"Cabezal")</f>
        <v>Cabezal</v>
      </c>
      <c r="AW1466" s="97" t="str">
        <f>IFERROR(__xludf.DUMMYFUNCTION("""COMPUTED_VALUE"""),"Rieles")</f>
        <v>Rieles</v>
      </c>
      <c r="AX1466" s="97" t="str">
        <f>IFERROR(__xludf.DUMMYFUNCTION("""COMPUTED_VALUE"""),"Interior")</f>
        <v>Interior</v>
      </c>
      <c r="AY1466" s="97" t="str">
        <f>IFERROR(__xludf.DUMMYFUNCTION("""COMPUTED_VALUE"""),"-")</f>
        <v>-</v>
      </c>
      <c r="AZ1466" s="97" t="str">
        <f>IFERROR(__xludf.DUMMYFUNCTION("""COMPUTED_VALUE"""),"-")</f>
        <v>-</v>
      </c>
      <c r="BA1466" s="97"/>
      <c r="BB1466" s="97"/>
      <c r="BC1466" s="97"/>
      <c r="BD1466" s="97" t="str">
        <f>IFERROR(__xludf.DUMMYFUNCTION("""COMPUTED_VALUE"""),"POLAR GRID")</f>
        <v>POLAR GRID</v>
      </c>
      <c r="BE1466" s="97"/>
      <c r="BF1466" s="97"/>
      <c r="BG1466" s="97" t="str">
        <f>IFERROR(__xludf.DUMMYFUNCTION("""COMPUTED_VALUE"""),"REPO 7")</f>
        <v>REPO 7</v>
      </c>
    </row>
    <row r="1467">
      <c r="A1467" s="97">
        <f>IFERROR(__xludf.DUMMYFUNCTION("""COMPUTED_VALUE"""),7572.0)</f>
        <v>7572</v>
      </c>
      <c r="B1467" s="97" t="str">
        <f>IFERROR(__xludf.DUMMYFUNCTION("""COMPUTED_VALUE"""),"POLAR GRID 12W BL 3CCT")</f>
        <v>POLAR GRID 12W BL 3CCT</v>
      </c>
      <c r="C1467" s="97" t="str">
        <f>IFERROR(__xludf.DUMMYFUNCTION("""COMPUTED_VALUE"""),"CABEZAL POLAR GRID 12W BL 3CCT 12W 2700/3300/4000K 800LM CRI&gt;90 IP20 LEUK")</f>
        <v>CABEZAL POLAR GRID 12W BL 3CCT 12W 2700/3300/4000K 800LM CRI&gt;90 IP20 LEUK</v>
      </c>
      <c r="D1467" s="97">
        <f>IFERROR(__xludf.DUMMYFUNCTION("""COMPUTED_VALUE"""),7.798485460282E12)</f>
        <v>7798485460282</v>
      </c>
      <c r="E1467" s="97" t="str">
        <f>IFERROR(__xludf.DUMMYFUNCTION("""COMPUTED_VALUE"""),"-")</f>
        <v>-</v>
      </c>
      <c r="F1467" s="97" t="str">
        <f>IFERROR(__xludf.DUMMYFUNCTION("""COMPUTED_VALUE"""),"LED integrado")</f>
        <v>LED integrado</v>
      </c>
      <c r="G1467" s="97" t="str">
        <f>IFERROR(__xludf.DUMMYFUNCTION("""COMPUTED_VALUE"""),"-")</f>
        <v>-</v>
      </c>
      <c r="H1467" s="97" t="str">
        <f>IFERROR(__xludf.DUMMYFUNCTION("""COMPUTED_VALUE"""),"N/A")</f>
        <v>N/A</v>
      </c>
      <c r="I1467" s="97" t="str">
        <f>IFERROR(__xludf.DUMMYFUNCTION("""COMPUTED_VALUE"""),"N/A")</f>
        <v>N/A</v>
      </c>
      <c r="J1467" s="97" t="str">
        <f>IFERROR(__xludf.DUMMYFUNCTION("""COMPUTED_VALUE"""),"N/A")</f>
        <v>N/A</v>
      </c>
      <c r="K1467" s="97" t="str">
        <f>IFERROR(__xludf.DUMMYFUNCTION("""COMPUTED_VALUE"""),"Smart / App")</f>
        <v>Smart / App</v>
      </c>
      <c r="L1467" s="97" t="str">
        <f>IFERROR(__xludf.DUMMYFUNCTION("""COMPUTED_VALUE"""),"48Vdc")</f>
        <v>48Vdc</v>
      </c>
      <c r="M1467" s="97" t="str">
        <f>IFERROR(__xludf.DUMMYFUNCTION("""COMPUTED_VALUE"""),"N/A")</f>
        <v>N/A</v>
      </c>
      <c r="N1467" s="97"/>
      <c r="O1467" s="97">
        <f>IFERROR(__xludf.DUMMYFUNCTION("""COMPUTED_VALUE"""),12.0)</f>
        <v>12</v>
      </c>
      <c r="P1467" s="97">
        <f>IFERROR(__xludf.DUMMYFUNCTION("""COMPUTED_VALUE"""),11.76)</f>
        <v>11.76</v>
      </c>
      <c r="Q1467" s="97" t="str">
        <f>IFERROR(__xludf.DUMMYFUNCTION("""COMPUTED_VALUE"""),"N/A")</f>
        <v>N/A</v>
      </c>
      <c r="R1467" s="97" t="str">
        <f>IFERROR(__xludf.DUMMYFUNCTION("""COMPUTED_VALUE"""),"-")</f>
        <v>-</v>
      </c>
      <c r="S1467" s="97" t="str">
        <f>IFERROR(__xludf.DUMMYFUNCTION("""COMPUTED_VALUE"""),"-")</f>
        <v>-</v>
      </c>
      <c r="T1467" s="97">
        <f>IFERROR(__xludf.DUMMYFUNCTION("""COMPUTED_VALUE"""),800.0)</f>
        <v>800</v>
      </c>
      <c r="U1467" s="99">
        <f>IFERROR(__xludf.DUMMYFUNCTION("""COMPUTED_VALUE"""),66.66666666666667)</f>
        <v>66.66666667</v>
      </c>
      <c r="V1467" s="97">
        <f>IFERROR(__xludf.DUMMYFUNCTION("""COMPUTED_VALUE"""),28.0)</f>
        <v>28</v>
      </c>
      <c r="W1467" s="97" t="str">
        <f>IFERROR(__xludf.DUMMYFUNCTION("""COMPUTED_VALUE"""),"&lt; 10")</f>
        <v>&lt; 10</v>
      </c>
      <c r="X1467" s="97" t="str">
        <f>IFERROR(__xludf.DUMMYFUNCTION("""COMPUTED_VALUE"""),"2700/3300/4000")</f>
        <v>2700/3300/4000</v>
      </c>
      <c r="Y1467" s="97" t="str">
        <f>IFERROR(__xludf.DUMMYFUNCTION("""COMPUTED_VALUE"""),"&gt;90")</f>
        <v>&gt;90</v>
      </c>
      <c r="Z1467" s="97" t="str">
        <f>IFERROR(__xludf.DUMMYFUNCTION("""COMPUTED_VALUE"""),"&gt;90")</f>
        <v>&gt;90</v>
      </c>
      <c r="AA1467" s="97" t="str">
        <f>IFERROR(__xludf.DUMMYFUNCTION("""COMPUTED_VALUE"""),"90-99 (Leve desaturación)")</f>
        <v>90-99 (Leve desaturación)</v>
      </c>
      <c r="AB1467" s="97" t="str">
        <f>IFERROR(__xludf.DUMMYFUNCTION("""COMPUTED_VALUE"""),"&lt; 5")</f>
        <v>&lt; 5</v>
      </c>
      <c r="AC1467" s="97" t="str">
        <f>IFERROR(__xludf.DUMMYFUNCTION("""COMPUTED_VALUE"""),"0,002 / -0,001 / 0,001")</f>
        <v>0,002 / -0,001 / 0,001</v>
      </c>
      <c r="AD1467" s="97" t="str">
        <f>IFERROR(__xludf.DUMMYFUNCTION("""COMPUTED_VALUE"""),"IP20")</f>
        <v>IP20</v>
      </c>
      <c r="AE1467" s="97" t="str">
        <f>IFERROR(__xludf.DUMMYFUNCTION("""COMPUTED_VALUE"""),"Clase lll")</f>
        <v>Clase lll</v>
      </c>
      <c r="AF1467" s="97" t="str">
        <f>IFERROR(__xludf.DUMMYFUNCTION("""COMPUTED_VALUE"""),"Riel")</f>
        <v>Riel</v>
      </c>
      <c r="AG1467" s="97" t="str">
        <f>IFERROR(__xludf.DUMMYFUNCTION("""COMPUTED_VALUE"""),"220 x 22 x 44")</f>
        <v>220 x 22 x 44</v>
      </c>
      <c r="AH1467" s="97" t="str">
        <f>IFERROR(__xludf.DUMMYFUNCTION("""COMPUTED_VALUE"""),"N/A")</f>
        <v>N/A</v>
      </c>
      <c r="AI1467" s="97" t="str">
        <f>IFERROR(__xludf.DUMMYFUNCTION("""COMPUTED_VALUE"""),"N/A")</f>
        <v>N/A</v>
      </c>
      <c r="AJ1467" s="97" t="str">
        <f>IFERROR(__xludf.DUMMYFUNCTION("""COMPUTED_VALUE"""),"Policarbonato (PC)")</f>
        <v>Policarbonato (PC)</v>
      </c>
      <c r="AK1467" s="97" t="str">
        <f>IFERROR(__xludf.DUMMYFUNCTION("""COMPUTED_VALUE"""),"Aluminio")</f>
        <v>Aluminio</v>
      </c>
      <c r="AL1467" s="97" t="str">
        <f>IFERROR(__xludf.DUMMYFUNCTION("""COMPUTED_VALUE"""),"Blanco Satinado")</f>
        <v>Blanco Satinado</v>
      </c>
      <c r="AM1467" s="97" t="str">
        <f>IFERROR(__xludf.DUMMYFUNCTION("""COMPUTED_VALUE"""),"-")</f>
        <v>-</v>
      </c>
      <c r="AN1467" s="97" t="str">
        <f>IFERROR(__xludf.DUMMYFUNCTION("""COMPUTED_VALUE"""),"25.000hs (L70)")</f>
        <v>25.000hs (L70)</v>
      </c>
      <c r="AO1467" s="97" t="str">
        <f>IFERROR(__xludf.DUMMYFUNCTION("""COMPUTED_VALUE"""),"2 Años")</f>
        <v>2 Años</v>
      </c>
      <c r="AP1467" s="97" t="str">
        <f>IFERROR(__xludf.DUMMYFUNCTION("""COMPUTED_VALUE"""),"Disponible")</f>
        <v>Disponible</v>
      </c>
      <c r="AQ1467" s="97" t="str">
        <f>IFERROR(__xludf.DUMMYFUNCTION("""COMPUTED_VALUE"""),"Disponible")</f>
        <v>Disponible</v>
      </c>
      <c r="AR1467" s="97" t="str">
        <f>IFERROR(__xludf.DUMMYFUNCTION("""COMPUTED_VALUE"""),"Disponible")</f>
        <v>Disponible</v>
      </c>
      <c r="AS1467" s="97" t="str">
        <f>IFERROR(__xludf.DUMMYFUNCTION("""COMPUTED_VALUE"""),"Disponible")</f>
        <v>Disponible</v>
      </c>
      <c r="AT1467" s="97" t="str">
        <f>IFERROR(__xludf.DUMMYFUNCTION("""COMPUTED_VALUE"""),"Falta")</f>
        <v>Falta</v>
      </c>
      <c r="AU1467" s="97" t="str">
        <f>IFERROR(__xludf.DUMMYFUNCTION("""COMPUTED_VALUE"""),"Disponible")</f>
        <v>Disponible</v>
      </c>
      <c r="AV1467" s="97" t="str">
        <f>IFERROR(__xludf.DUMMYFUNCTION("""COMPUTED_VALUE"""),"Cabezal")</f>
        <v>Cabezal</v>
      </c>
      <c r="AW1467" s="97" t="str">
        <f>IFERROR(__xludf.DUMMYFUNCTION("""COMPUTED_VALUE"""),"Rieles")</f>
        <v>Rieles</v>
      </c>
      <c r="AX1467" s="97" t="str">
        <f>IFERROR(__xludf.DUMMYFUNCTION("""COMPUTED_VALUE"""),"Interior")</f>
        <v>Interior</v>
      </c>
      <c r="AY1467" s="97" t="str">
        <f>IFERROR(__xludf.DUMMYFUNCTION("""COMPUTED_VALUE"""),"-")</f>
        <v>-</v>
      </c>
      <c r="AZ1467" s="97" t="str">
        <f>IFERROR(__xludf.DUMMYFUNCTION("""COMPUTED_VALUE"""),"-")</f>
        <v>-</v>
      </c>
      <c r="BA1467" s="97"/>
      <c r="BB1467" s="97"/>
      <c r="BC1467" s="97"/>
      <c r="BD1467" s="97" t="str">
        <f>IFERROR(__xludf.DUMMYFUNCTION("""COMPUTED_VALUE"""),"POLAR GRID")</f>
        <v>POLAR GRID</v>
      </c>
      <c r="BE1467" s="97"/>
      <c r="BF1467" s="97"/>
      <c r="BG1467" s="97" t="str">
        <f>IFERROR(__xludf.DUMMYFUNCTION("""COMPUTED_VALUE"""),"REPO 7")</f>
        <v>REPO 7</v>
      </c>
    </row>
    <row r="1468">
      <c r="A1468" s="97">
        <f>IFERROR(__xludf.DUMMYFUNCTION("""COMPUTED_VALUE"""),7573.0)</f>
        <v>7573</v>
      </c>
      <c r="B1468" s="97" t="str">
        <f>IFERROR(__xludf.DUMMYFUNCTION("""COMPUTED_VALUE"""),"POLAR GRID MOVIL 6W NG 3CCT")</f>
        <v>POLAR GRID MOVIL 6W NG 3CCT</v>
      </c>
      <c r="C1468" s="97" t="str">
        <f>IFERROR(__xludf.DUMMYFUNCTION("""COMPUTED_VALUE"""),"CABEZAL POLAR GRID MOVIL 6W NG 3CCT 6W 2700/3300/4000K 420LM CRI&gt;90 IP20 LEUK")</f>
        <v>CABEZAL POLAR GRID MOVIL 6W NG 3CCT 6W 2700/3300/4000K 420LM CRI&gt;90 IP20 LEUK</v>
      </c>
      <c r="D1468" s="97">
        <f>IFERROR(__xludf.DUMMYFUNCTION("""COMPUTED_VALUE"""),7.798485460299E12)</f>
        <v>7798485460299</v>
      </c>
      <c r="E1468" s="97" t="str">
        <f>IFERROR(__xludf.DUMMYFUNCTION("""COMPUTED_VALUE"""),"-")</f>
        <v>-</v>
      </c>
      <c r="F1468" s="97" t="str">
        <f>IFERROR(__xludf.DUMMYFUNCTION("""COMPUTED_VALUE"""),"LED integrado")</f>
        <v>LED integrado</v>
      </c>
      <c r="G1468" s="97" t="str">
        <f>IFERROR(__xludf.DUMMYFUNCTION("""COMPUTED_VALUE"""),"-")</f>
        <v>-</v>
      </c>
      <c r="H1468" s="97" t="str">
        <f>IFERROR(__xludf.DUMMYFUNCTION("""COMPUTED_VALUE"""),"N/A")</f>
        <v>N/A</v>
      </c>
      <c r="I1468" s="97" t="str">
        <f>IFERROR(__xludf.DUMMYFUNCTION("""COMPUTED_VALUE"""),"N/A")</f>
        <v>N/A</v>
      </c>
      <c r="J1468" s="97" t="str">
        <f>IFERROR(__xludf.DUMMYFUNCTION("""COMPUTED_VALUE"""),"N/A")</f>
        <v>N/A</v>
      </c>
      <c r="K1468" s="97" t="str">
        <f>IFERROR(__xludf.DUMMYFUNCTION("""COMPUTED_VALUE"""),"Smart / App")</f>
        <v>Smart / App</v>
      </c>
      <c r="L1468" s="97" t="str">
        <f>IFERROR(__xludf.DUMMYFUNCTION("""COMPUTED_VALUE"""),"48Vdc")</f>
        <v>48Vdc</v>
      </c>
      <c r="M1468" s="97" t="str">
        <f>IFERROR(__xludf.DUMMYFUNCTION("""COMPUTED_VALUE"""),"N/A")</f>
        <v>N/A</v>
      </c>
      <c r="N1468" s="97"/>
      <c r="O1468" s="97">
        <f>IFERROR(__xludf.DUMMYFUNCTION("""COMPUTED_VALUE"""),6.0)</f>
        <v>6</v>
      </c>
      <c r="P1468" s="97">
        <f>IFERROR(__xludf.DUMMYFUNCTION("""COMPUTED_VALUE"""),6.25)</f>
        <v>6.25</v>
      </c>
      <c r="Q1468" s="97" t="str">
        <f>IFERROR(__xludf.DUMMYFUNCTION("""COMPUTED_VALUE"""),"N/A")</f>
        <v>N/A</v>
      </c>
      <c r="R1468" s="97" t="str">
        <f>IFERROR(__xludf.DUMMYFUNCTION("""COMPUTED_VALUE"""),"-")</f>
        <v>-</v>
      </c>
      <c r="S1468" s="97" t="str">
        <f>IFERROR(__xludf.DUMMYFUNCTION("""COMPUTED_VALUE"""),"-")</f>
        <v>-</v>
      </c>
      <c r="T1468" s="97">
        <f>IFERROR(__xludf.DUMMYFUNCTION("""COMPUTED_VALUE"""),420.0)</f>
        <v>420</v>
      </c>
      <c r="U1468" s="99">
        <f>IFERROR(__xludf.DUMMYFUNCTION("""COMPUTED_VALUE"""),70.0)</f>
        <v>70</v>
      </c>
      <c r="V1468" s="97">
        <f>IFERROR(__xludf.DUMMYFUNCTION("""COMPUTED_VALUE"""),28.0)</f>
        <v>28</v>
      </c>
      <c r="W1468" s="97" t="str">
        <f>IFERROR(__xludf.DUMMYFUNCTION("""COMPUTED_VALUE"""),"&lt; 10")</f>
        <v>&lt; 10</v>
      </c>
      <c r="X1468" s="97" t="str">
        <f>IFERROR(__xludf.DUMMYFUNCTION("""COMPUTED_VALUE"""),"2700/3300/4000")</f>
        <v>2700/3300/4000</v>
      </c>
      <c r="Y1468" s="97" t="str">
        <f>IFERROR(__xludf.DUMMYFUNCTION("""COMPUTED_VALUE"""),"&gt;90")</f>
        <v>&gt;90</v>
      </c>
      <c r="Z1468" s="97" t="str">
        <f>IFERROR(__xludf.DUMMYFUNCTION("""COMPUTED_VALUE"""),"&gt;90")</f>
        <v>&gt;90</v>
      </c>
      <c r="AA1468" s="97" t="str">
        <f>IFERROR(__xludf.DUMMYFUNCTION("""COMPUTED_VALUE"""),"90-99 (Leve desaturación)")</f>
        <v>90-99 (Leve desaturación)</v>
      </c>
      <c r="AB1468" s="97" t="str">
        <f>IFERROR(__xludf.DUMMYFUNCTION("""COMPUTED_VALUE"""),"&lt; 5")</f>
        <v>&lt; 5</v>
      </c>
      <c r="AC1468" s="97" t="str">
        <f>IFERROR(__xludf.DUMMYFUNCTION("""COMPUTED_VALUE"""),"-0,00185 / -0,0039 / -0,00168")</f>
        <v>-0,00185 / -0,0039 / -0,00168</v>
      </c>
      <c r="AD1468" s="97" t="str">
        <f>IFERROR(__xludf.DUMMYFUNCTION("""COMPUTED_VALUE"""),"IP20")</f>
        <v>IP20</v>
      </c>
      <c r="AE1468" s="97" t="str">
        <f>IFERROR(__xludf.DUMMYFUNCTION("""COMPUTED_VALUE"""),"Clase lll")</f>
        <v>Clase lll</v>
      </c>
      <c r="AF1468" s="97" t="str">
        <f>IFERROR(__xludf.DUMMYFUNCTION("""COMPUTED_VALUE"""),"Riel")</f>
        <v>Riel</v>
      </c>
      <c r="AG1468" s="97" t="str">
        <f>IFERROR(__xludf.DUMMYFUNCTION("""COMPUTED_VALUE"""),"112 x 22 x 103")</f>
        <v>112 x 22 x 103</v>
      </c>
      <c r="AH1468" s="97" t="str">
        <f>IFERROR(__xludf.DUMMYFUNCTION("""COMPUTED_VALUE"""),"N/A")</f>
        <v>N/A</v>
      </c>
      <c r="AI1468" s="97" t="str">
        <f>IFERROR(__xludf.DUMMYFUNCTION("""COMPUTED_VALUE"""),"N/A")</f>
        <v>N/A</v>
      </c>
      <c r="AJ1468" s="97" t="str">
        <f>IFERROR(__xludf.DUMMYFUNCTION("""COMPUTED_VALUE"""),"Policarbonato (PC)")</f>
        <v>Policarbonato (PC)</v>
      </c>
      <c r="AK1468" s="97" t="str">
        <f>IFERROR(__xludf.DUMMYFUNCTION("""COMPUTED_VALUE"""),"Aluminio")</f>
        <v>Aluminio</v>
      </c>
      <c r="AL1468" s="97" t="str">
        <f>IFERROR(__xludf.DUMMYFUNCTION("""COMPUTED_VALUE"""),"Negro Satinado")</f>
        <v>Negro Satinado</v>
      </c>
      <c r="AM1468" s="97" t="str">
        <f>IFERROR(__xludf.DUMMYFUNCTION("""COMPUTED_VALUE"""),"-")</f>
        <v>-</v>
      </c>
      <c r="AN1468" s="97" t="str">
        <f>IFERROR(__xludf.DUMMYFUNCTION("""COMPUTED_VALUE"""),"25.000hs (L70)")</f>
        <v>25.000hs (L70)</v>
      </c>
      <c r="AO1468" s="97" t="str">
        <f>IFERROR(__xludf.DUMMYFUNCTION("""COMPUTED_VALUE"""),"2 Años")</f>
        <v>2 Años</v>
      </c>
      <c r="AP1468" s="97" t="str">
        <f>IFERROR(__xludf.DUMMYFUNCTION("""COMPUTED_VALUE"""),"Disponible")</f>
        <v>Disponible</v>
      </c>
      <c r="AQ1468" s="97" t="str">
        <f>IFERROR(__xludf.DUMMYFUNCTION("""COMPUTED_VALUE"""),"Disponible")</f>
        <v>Disponible</v>
      </c>
      <c r="AR1468" s="97" t="str">
        <f>IFERROR(__xludf.DUMMYFUNCTION("""COMPUTED_VALUE"""),"Disponible")</f>
        <v>Disponible</v>
      </c>
      <c r="AS1468" s="97" t="str">
        <f>IFERROR(__xludf.DUMMYFUNCTION("""COMPUTED_VALUE"""),"Falta")</f>
        <v>Falta</v>
      </c>
      <c r="AT1468" s="97" t="str">
        <f>IFERROR(__xludf.DUMMYFUNCTION("""COMPUTED_VALUE"""),"Falta")</f>
        <v>Falta</v>
      </c>
      <c r="AU1468" s="97" t="str">
        <f>IFERROR(__xludf.DUMMYFUNCTION("""COMPUTED_VALUE"""),"Disponible")</f>
        <v>Disponible</v>
      </c>
      <c r="AV1468" s="97" t="str">
        <f>IFERROR(__xludf.DUMMYFUNCTION("""COMPUTED_VALUE"""),"Cabezal")</f>
        <v>Cabezal</v>
      </c>
      <c r="AW1468" s="97" t="str">
        <f>IFERROR(__xludf.DUMMYFUNCTION("""COMPUTED_VALUE"""),"Rieles")</f>
        <v>Rieles</v>
      </c>
      <c r="AX1468" s="97" t="str">
        <f>IFERROR(__xludf.DUMMYFUNCTION("""COMPUTED_VALUE"""),"Interior")</f>
        <v>Interior</v>
      </c>
      <c r="AY1468" s="97" t="str">
        <f>IFERROR(__xludf.DUMMYFUNCTION("""COMPUTED_VALUE"""),"-")</f>
        <v>-</v>
      </c>
      <c r="AZ1468" s="97" t="str">
        <f>IFERROR(__xludf.DUMMYFUNCTION("""COMPUTED_VALUE"""),"-")</f>
        <v>-</v>
      </c>
      <c r="BA1468" s="97"/>
      <c r="BB1468" s="97"/>
      <c r="BC1468" s="97"/>
      <c r="BD1468" s="97" t="str">
        <f>IFERROR(__xludf.DUMMYFUNCTION("""COMPUTED_VALUE"""),"POLAR GRID MOVIL")</f>
        <v>POLAR GRID MOVIL</v>
      </c>
      <c r="BE1468" s="97"/>
      <c r="BF1468" s="97"/>
      <c r="BG1468" s="97" t="str">
        <f>IFERROR(__xludf.DUMMYFUNCTION("""COMPUTED_VALUE"""),"REPO 7")</f>
        <v>REPO 7</v>
      </c>
    </row>
    <row r="1469">
      <c r="A1469" s="97">
        <f>IFERROR(__xludf.DUMMYFUNCTION("""COMPUTED_VALUE"""),7574.0)</f>
        <v>7574</v>
      </c>
      <c r="B1469" s="97" t="str">
        <f>IFERROR(__xludf.DUMMYFUNCTION("""COMPUTED_VALUE"""),"POLAR GRID MOVIL 6W BL 3CCT")</f>
        <v>POLAR GRID MOVIL 6W BL 3CCT</v>
      </c>
      <c r="C1469" s="97" t="str">
        <f>IFERROR(__xludf.DUMMYFUNCTION("""COMPUTED_VALUE"""),"CABEZAL POLAR GRID MOVIL 6W BL 3CCT 6W 2700/3300/4000K 420LM CRI&gt;90 IP20 LEUK")</f>
        <v>CABEZAL POLAR GRID MOVIL 6W BL 3CCT 6W 2700/3300/4000K 420LM CRI&gt;90 IP20 LEUK</v>
      </c>
      <c r="D1469" s="97">
        <f>IFERROR(__xludf.DUMMYFUNCTION("""COMPUTED_VALUE"""),7.798485460305E12)</f>
        <v>7798485460305</v>
      </c>
      <c r="E1469" s="97" t="str">
        <f>IFERROR(__xludf.DUMMYFUNCTION("""COMPUTED_VALUE"""),"-")</f>
        <v>-</v>
      </c>
      <c r="F1469" s="97" t="str">
        <f>IFERROR(__xludf.DUMMYFUNCTION("""COMPUTED_VALUE"""),"LED integrado")</f>
        <v>LED integrado</v>
      </c>
      <c r="G1469" s="97" t="str">
        <f>IFERROR(__xludf.DUMMYFUNCTION("""COMPUTED_VALUE"""),"-")</f>
        <v>-</v>
      </c>
      <c r="H1469" s="97" t="str">
        <f>IFERROR(__xludf.DUMMYFUNCTION("""COMPUTED_VALUE"""),"N/A")</f>
        <v>N/A</v>
      </c>
      <c r="I1469" s="97" t="str">
        <f>IFERROR(__xludf.DUMMYFUNCTION("""COMPUTED_VALUE"""),"N/A")</f>
        <v>N/A</v>
      </c>
      <c r="J1469" s="97" t="str">
        <f>IFERROR(__xludf.DUMMYFUNCTION("""COMPUTED_VALUE"""),"N/A")</f>
        <v>N/A</v>
      </c>
      <c r="K1469" s="97" t="str">
        <f>IFERROR(__xludf.DUMMYFUNCTION("""COMPUTED_VALUE"""),"Smart / App")</f>
        <v>Smart / App</v>
      </c>
      <c r="L1469" s="97" t="str">
        <f>IFERROR(__xludf.DUMMYFUNCTION("""COMPUTED_VALUE"""),"48Vdc")</f>
        <v>48Vdc</v>
      </c>
      <c r="M1469" s="97" t="str">
        <f>IFERROR(__xludf.DUMMYFUNCTION("""COMPUTED_VALUE"""),"N/A")</f>
        <v>N/A</v>
      </c>
      <c r="N1469" s="97"/>
      <c r="O1469" s="97">
        <f>IFERROR(__xludf.DUMMYFUNCTION("""COMPUTED_VALUE"""),6.0)</f>
        <v>6</v>
      </c>
      <c r="P1469" s="97">
        <f>IFERROR(__xludf.DUMMYFUNCTION("""COMPUTED_VALUE"""),6.25)</f>
        <v>6.25</v>
      </c>
      <c r="Q1469" s="97" t="str">
        <f>IFERROR(__xludf.DUMMYFUNCTION("""COMPUTED_VALUE"""),"N/A")</f>
        <v>N/A</v>
      </c>
      <c r="R1469" s="97" t="str">
        <f>IFERROR(__xludf.DUMMYFUNCTION("""COMPUTED_VALUE"""),"-")</f>
        <v>-</v>
      </c>
      <c r="S1469" s="97" t="str">
        <f>IFERROR(__xludf.DUMMYFUNCTION("""COMPUTED_VALUE"""),"-")</f>
        <v>-</v>
      </c>
      <c r="T1469" s="97">
        <f>IFERROR(__xludf.DUMMYFUNCTION("""COMPUTED_VALUE"""),420.0)</f>
        <v>420</v>
      </c>
      <c r="U1469" s="99">
        <f>IFERROR(__xludf.DUMMYFUNCTION("""COMPUTED_VALUE"""),70.0)</f>
        <v>70</v>
      </c>
      <c r="V1469" s="97">
        <f>IFERROR(__xludf.DUMMYFUNCTION("""COMPUTED_VALUE"""),28.0)</f>
        <v>28</v>
      </c>
      <c r="W1469" s="97" t="str">
        <f>IFERROR(__xludf.DUMMYFUNCTION("""COMPUTED_VALUE"""),"&lt; 10")</f>
        <v>&lt; 10</v>
      </c>
      <c r="X1469" s="97" t="str">
        <f>IFERROR(__xludf.DUMMYFUNCTION("""COMPUTED_VALUE"""),"2700/3300/4000")</f>
        <v>2700/3300/4000</v>
      </c>
      <c r="Y1469" s="97" t="str">
        <f>IFERROR(__xludf.DUMMYFUNCTION("""COMPUTED_VALUE"""),"&gt;90")</f>
        <v>&gt;90</v>
      </c>
      <c r="Z1469" s="97" t="str">
        <f>IFERROR(__xludf.DUMMYFUNCTION("""COMPUTED_VALUE"""),"&gt;90")</f>
        <v>&gt;90</v>
      </c>
      <c r="AA1469" s="97" t="str">
        <f>IFERROR(__xludf.DUMMYFUNCTION("""COMPUTED_VALUE"""),"90-99 (Leve desaturación)")</f>
        <v>90-99 (Leve desaturación)</v>
      </c>
      <c r="AB1469" s="97" t="str">
        <f>IFERROR(__xludf.DUMMYFUNCTION("""COMPUTED_VALUE"""),"&lt; 5")</f>
        <v>&lt; 5</v>
      </c>
      <c r="AC1469" s="97" t="str">
        <f>IFERROR(__xludf.DUMMYFUNCTION("""COMPUTED_VALUE"""),"-0,00185 / -0,0039 / -0,00168")</f>
        <v>-0,00185 / -0,0039 / -0,00168</v>
      </c>
      <c r="AD1469" s="97" t="str">
        <f>IFERROR(__xludf.DUMMYFUNCTION("""COMPUTED_VALUE"""),"IP20")</f>
        <v>IP20</v>
      </c>
      <c r="AE1469" s="97" t="str">
        <f>IFERROR(__xludf.DUMMYFUNCTION("""COMPUTED_VALUE"""),"Clase lll")</f>
        <v>Clase lll</v>
      </c>
      <c r="AF1469" s="97" t="str">
        <f>IFERROR(__xludf.DUMMYFUNCTION("""COMPUTED_VALUE"""),"Riel")</f>
        <v>Riel</v>
      </c>
      <c r="AG1469" s="97" t="str">
        <f>IFERROR(__xludf.DUMMYFUNCTION("""COMPUTED_VALUE"""),"112 x 22 x 103")</f>
        <v>112 x 22 x 103</v>
      </c>
      <c r="AH1469" s="97" t="str">
        <f>IFERROR(__xludf.DUMMYFUNCTION("""COMPUTED_VALUE"""),"N/A")</f>
        <v>N/A</v>
      </c>
      <c r="AI1469" s="97" t="str">
        <f>IFERROR(__xludf.DUMMYFUNCTION("""COMPUTED_VALUE"""),"N/A")</f>
        <v>N/A</v>
      </c>
      <c r="AJ1469" s="97" t="str">
        <f>IFERROR(__xludf.DUMMYFUNCTION("""COMPUTED_VALUE"""),"Policarbonato (PC)")</f>
        <v>Policarbonato (PC)</v>
      </c>
      <c r="AK1469" s="97" t="str">
        <f>IFERROR(__xludf.DUMMYFUNCTION("""COMPUTED_VALUE"""),"Aluminio")</f>
        <v>Aluminio</v>
      </c>
      <c r="AL1469" s="97" t="str">
        <f>IFERROR(__xludf.DUMMYFUNCTION("""COMPUTED_VALUE"""),"Blanco Satinado")</f>
        <v>Blanco Satinado</v>
      </c>
      <c r="AM1469" s="97" t="str">
        <f>IFERROR(__xludf.DUMMYFUNCTION("""COMPUTED_VALUE"""),"-")</f>
        <v>-</v>
      </c>
      <c r="AN1469" s="97" t="str">
        <f>IFERROR(__xludf.DUMMYFUNCTION("""COMPUTED_VALUE"""),"25.000hs (L70)")</f>
        <v>25.000hs (L70)</v>
      </c>
      <c r="AO1469" s="97" t="str">
        <f>IFERROR(__xludf.DUMMYFUNCTION("""COMPUTED_VALUE"""),"2 Años")</f>
        <v>2 Años</v>
      </c>
      <c r="AP1469" s="97" t="str">
        <f>IFERROR(__xludf.DUMMYFUNCTION("""COMPUTED_VALUE"""),"Disponible")</f>
        <v>Disponible</v>
      </c>
      <c r="AQ1469" s="97" t="str">
        <f>IFERROR(__xludf.DUMMYFUNCTION("""COMPUTED_VALUE"""),"Disponible")</f>
        <v>Disponible</v>
      </c>
      <c r="AR1469" s="97" t="str">
        <f>IFERROR(__xludf.DUMMYFUNCTION("""COMPUTED_VALUE"""),"Disponible")</f>
        <v>Disponible</v>
      </c>
      <c r="AS1469" s="97" t="str">
        <f>IFERROR(__xludf.DUMMYFUNCTION("""COMPUTED_VALUE"""),"Falta")</f>
        <v>Falta</v>
      </c>
      <c r="AT1469" s="97" t="str">
        <f>IFERROR(__xludf.DUMMYFUNCTION("""COMPUTED_VALUE"""),"Falta")</f>
        <v>Falta</v>
      </c>
      <c r="AU1469" s="97" t="str">
        <f>IFERROR(__xludf.DUMMYFUNCTION("""COMPUTED_VALUE"""),"Disponible")</f>
        <v>Disponible</v>
      </c>
      <c r="AV1469" s="97" t="str">
        <f>IFERROR(__xludf.DUMMYFUNCTION("""COMPUTED_VALUE"""),"Cabezal")</f>
        <v>Cabezal</v>
      </c>
      <c r="AW1469" s="97" t="str">
        <f>IFERROR(__xludf.DUMMYFUNCTION("""COMPUTED_VALUE"""),"Rieles")</f>
        <v>Rieles</v>
      </c>
      <c r="AX1469" s="97" t="str">
        <f>IFERROR(__xludf.DUMMYFUNCTION("""COMPUTED_VALUE"""),"Interior")</f>
        <v>Interior</v>
      </c>
      <c r="AY1469" s="97" t="str">
        <f>IFERROR(__xludf.DUMMYFUNCTION("""COMPUTED_VALUE"""),"-")</f>
        <v>-</v>
      </c>
      <c r="AZ1469" s="97" t="str">
        <f>IFERROR(__xludf.DUMMYFUNCTION("""COMPUTED_VALUE"""),"-")</f>
        <v>-</v>
      </c>
      <c r="BA1469" s="97"/>
      <c r="BB1469" s="97"/>
      <c r="BC1469" s="97"/>
      <c r="BD1469" s="97" t="str">
        <f>IFERROR(__xludf.DUMMYFUNCTION("""COMPUTED_VALUE"""),"POLAR GRID MOVIL")</f>
        <v>POLAR GRID MOVIL</v>
      </c>
      <c r="BE1469" s="97"/>
      <c r="BF1469" s="97"/>
      <c r="BG1469" s="97" t="str">
        <f>IFERROR(__xludf.DUMMYFUNCTION("""COMPUTED_VALUE"""),"REPO 7")</f>
        <v>REPO 7</v>
      </c>
    </row>
    <row r="1470">
      <c r="A1470" s="97">
        <f>IFERROR(__xludf.DUMMYFUNCTION("""COMPUTED_VALUE"""),7575.0)</f>
        <v>7575</v>
      </c>
      <c r="B1470" s="97" t="str">
        <f>IFERROR(__xludf.DUMMYFUNCTION("""COMPUTED_VALUE"""),"POLAR GRID MOVIL 12W NG 3CCT")</f>
        <v>POLAR GRID MOVIL 12W NG 3CCT</v>
      </c>
      <c r="C1470" s="97" t="str">
        <f>IFERROR(__xludf.DUMMYFUNCTION("""COMPUTED_VALUE"""),"CABEZAL POLAR GRID MOVIL 12W NG 3CCT 12W 2700/3300/4000K 800LM CRI&gt;90 IP20 LEUK")</f>
        <v>CABEZAL POLAR GRID MOVIL 12W NG 3CCT 12W 2700/3300/4000K 800LM CRI&gt;90 IP20 LEUK</v>
      </c>
      <c r="D1470" s="97">
        <f>IFERROR(__xludf.DUMMYFUNCTION("""COMPUTED_VALUE"""),7.798485460312E12)</f>
        <v>7798485460312</v>
      </c>
      <c r="E1470" s="97" t="str">
        <f>IFERROR(__xludf.DUMMYFUNCTION("""COMPUTED_VALUE"""),"-")</f>
        <v>-</v>
      </c>
      <c r="F1470" s="97" t="str">
        <f>IFERROR(__xludf.DUMMYFUNCTION("""COMPUTED_VALUE"""),"LED integrado")</f>
        <v>LED integrado</v>
      </c>
      <c r="G1470" s="97" t="str">
        <f>IFERROR(__xludf.DUMMYFUNCTION("""COMPUTED_VALUE"""),"-")</f>
        <v>-</v>
      </c>
      <c r="H1470" s="97" t="str">
        <f>IFERROR(__xludf.DUMMYFUNCTION("""COMPUTED_VALUE"""),"N/A")</f>
        <v>N/A</v>
      </c>
      <c r="I1470" s="97" t="str">
        <f>IFERROR(__xludf.DUMMYFUNCTION("""COMPUTED_VALUE"""),"N/A")</f>
        <v>N/A</v>
      </c>
      <c r="J1470" s="97" t="str">
        <f>IFERROR(__xludf.DUMMYFUNCTION("""COMPUTED_VALUE"""),"N/A")</f>
        <v>N/A</v>
      </c>
      <c r="K1470" s="97" t="str">
        <f>IFERROR(__xludf.DUMMYFUNCTION("""COMPUTED_VALUE"""),"Smart / App")</f>
        <v>Smart / App</v>
      </c>
      <c r="L1470" s="97" t="str">
        <f>IFERROR(__xludf.DUMMYFUNCTION("""COMPUTED_VALUE"""),"48Vdc")</f>
        <v>48Vdc</v>
      </c>
      <c r="M1470" s="97" t="str">
        <f>IFERROR(__xludf.DUMMYFUNCTION("""COMPUTED_VALUE"""),"N/A")</f>
        <v>N/A</v>
      </c>
      <c r="N1470" s="97"/>
      <c r="O1470" s="97">
        <f>IFERROR(__xludf.DUMMYFUNCTION("""COMPUTED_VALUE"""),12.0)</f>
        <v>12</v>
      </c>
      <c r="P1470" s="97">
        <f>IFERROR(__xludf.DUMMYFUNCTION("""COMPUTED_VALUE"""),11.77)</f>
        <v>11.77</v>
      </c>
      <c r="Q1470" s="97" t="str">
        <f>IFERROR(__xludf.DUMMYFUNCTION("""COMPUTED_VALUE"""),"N/A")</f>
        <v>N/A</v>
      </c>
      <c r="R1470" s="97" t="str">
        <f>IFERROR(__xludf.DUMMYFUNCTION("""COMPUTED_VALUE"""),"-")</f>
        <v>-</v>
      </c>
      <c r="S1470" s="97" t="str">
        <f>IFERROR(__xludf.DUMMYFUNCTION("""COMPUTED_VALUE"""),"-")</f>
        <v>-</v>
      </c>
      <c r="T1470" s="97">
        <f>IFERROR(__xludf.DUMMYFUNCTION("""COMPUTED_VALUE"""),800.0)</f>
        <v>800</v>
      </c>
      <c r="U1470" s="99">
        <f>IFERROR(__xludf.DUMMYFUNCTION("""COMPUTED_VALUE"""),66.66666666666667)</f>
        <v>66.66666667</v>
      </c>
      <c r="V1470" s="97">
        <f>IFERROR(__xludf.DUMMYFUNCTION("""COMPUTED_VALUE"""),28.0)</f>
        <v>28</v>
      </c>
      <c r="W1470" s="97" t="str">
        <f>IFERROR(__xludf.DUMMYFUNCTION("""COMPUTED_VALUE"""),"&lt; 10")</f>
        <v>&lt; 10</v>
      </c>
      <c r="X1470" s="97" t="str">
        <f>IFERROR(__xludf.DUMMYFUNCTION("""COMPUTED_VALUE"""),"2700/3300/4000")</f>
        <v>2700/3300/4000</v>
      </c>
      <c r="Y1470" s="97" t="str">
        <f>IFERROR(__xludf.DUMMYFUNCTION("""COMPUTED_VALUE"""),"&gt;90")</f>
        <v>&gt;90</v>
      </c>
      <c r="Z1470" s="97" t="str">
        <f>IFERROR(__xludf.DUMMYFUNCTION("""COMPUTED_VALUE"""),"&gt;90")</f>
        <v>&gt;90</v>
      </c>
      <c r="AA1470" s="97" t="str">
        <f>IFERROR(__xludf.DUMMYFUNCTION("""COMPUTED_VALUE"""),"90-99 (Leve desaturación)")</f>
        <v>90-99 (Leve desaturación)</v>
      </c>
      <c r="AB1470" s="97" t="str">
        <f>IFERROR(__xludf.DUMMYFUNCTION("""COMPUTED_VALUE"""),"&lt; 5")</f>
        <v>&lt; 5</v>
      </c>
      <c r="AC1470" s="97" t="str">
        <f>IFERROR(__xludf.DUMMYFUNCTION("""COMPUTED_VALUE"""),"-0,00275 / -0,00463 / -0,0029")</f>
        <v>-0,00275 / -0,00463 / -0,0029</v>
      </c>
      <c r="AD1470" s="97" t="str">
        <f>IFERROR(__xludf.DUMMYFUNCTION("""COMPUTED_VALUE"""),"IP20")</f>
        <v>IP20</v>
      </c>
      <c r="AE1470" s="97" t="str">
        <f>IFERROR(__xludf.DUMMYFUNCTION("""COMPUTED_VALUE"""),"Clase lll")</f>
        <v>Clase lll</v>
      </c>
      <c r="AF1470" s="97" t="str">
        <f>IFERROR(__xludf.DUMMYFUNCTION("""COMPUTED_VALUE"""),"Riel")</f>
        <v>Riel</v>
      </c>
      <c r="AG1470" s="97" t="str">
        <f>IFERROR(__xludf.DUMMYFUNCTION("""COMPUTED_VALUE"""),"222 x 22 x 103")</f>
        <v>222 x 22 x 103</v>
      </c>
      <c r="AH1470" s="97" t="str">
        <f>IFERROR(__xludf.DUMMYFUNCTION("""COMPUTED_VALUE"""),"N/A")</f>
        <v>N/A</v>
      </c>
      <c r="AI1470" s="97" t="str">
        <f>IFERROR(__xludf.DUMMYFUNCTION("""COMPUTED_VALUE"""),"N/A")</f>
        <v>N/A</v>
      </c>
      <c r="AJ1470" s="97" t="str">
        <f>IFERROR(__xludf.DUMMYFUNCTION("""COMPUTED_VALUE"""),"Policarbonato (PC)")</f>
        <v>Policarbonato (PC)</v>
      </c>
      <c r="AK1470" s="97" t="str">
        <f>IFERROR(__xludf.DUMMYFUNCTION("""COMPUTED_VALUE"""),"Aluminio")</f>
        <v>Aluminio</v>
      </c>
      <c r="AL1470" s="97" t="str">
        <f>IFERROR(__xludf.DUMMYFUNCTION("""COMPUTED_VALUE"""),"Negro Satinado")</f>
        <v>Negro Satinado</v>
      </c>
      <c r="AM1470" s="97" t="str">
        <f>IFERROR(__xludf.DUMMYFUNCTION("""COMPUTED_VALUE"""),"-")</f>
        <v>-</v>
      </c>
      <c r="AN1470" s="97" t="str">
        <f>IFERROR(__xludf.DUMMYFUNCTION("""COMPUTED_VALUE"""),"25.000hs (L70)")</f>
        <v>25.000hs (L70)</v>
      </c>
      <c r="AO1470" s="97" t="str">
        <f>IFERROR(__xludf.DUMMYFUNCTION("""COMPUTED_VALUE"""),"2 Años")</f>
        <v>2 Años</v>
      </c>
      <c r="AP1470" s="97" t="str">
        <f>IFERROR(__xludf.DUMMYFUNCTION("""COMPUTED_VALUE"""),"Disponible")</f>
        <v>Disponible</v>
      </c>
      <c r="AQ1470" s="97" t="str">
        <f>IFERROR(__xludf.DUMMYFUNCTION("""COMPUTED_VALUE"""),"Disponible")</f>
        <v>Disponible</v>
      </c>
      <c r="AR1470" s="97" t="str">
        <f>IFERROR(__xludf.DUMMYFUNCTION("""COMPUTED_VALUE"""),"Disponible")</f>
        <v>Disponible</v>
      </c>
      <c r="AS1470" s="97" t="str">
        <f>IFERROR(__xludf.DUMMYFUNCTION("""COMPUTED_VALUE"""),"Falta")</f>
        <v>Falta</v>
      </c>
      <c r="AT1470" s="97" t="str">
        <f>IFERROR(__xludf.DUMMYFUNCTION("""COMPUTED_VALUE"""),"Falta")</f>
        <v>Falta</v>
      </c>
      <c r="AU1470" s="97" t="str">
        <f>IFERROR(__xludf.DUMMYFUNCTION("""COMPUTED_VALUE"""),"Disponible")</f>
        <v>Disponible</v>
      </c>
      <c r="AV1470" s="97" t="str">
        <f>IFERROR(__xludf.DUMMYFUNCTION("""COMPUTED_VALUE"""),"Cabezal")</f>
        <v>Cabezal</v>
      </c>
      <c r="AW1470" s="97" t="str">
        <f>IFERROR(__xludf.DUMMYFUNCTION("""COMPUTED_VALUE"""),"Rieles")</f>
        <v>Rieles</v>
      </c>
      <c r="AX1470" s="97" t="str">
        <f>IFERROR(__xludf.DUMMYFUNCTION("""COMPUTED_VALUE"""),"Interior")</f>
        <v>Interior</v>
      </c>
      <c r="AY1470" s="97" t="str">
        <f>IFERROR(__xludf.DUMMYFUNCTION("""COMPUTED_VALUE"""),"-")</f>
        <v>-</v>
      </c>
      <c r="AZ1470" s="97" t="str">
        <f>IFERROR(__xludf.DUMMYFUNCTION("""COMPUTED_VALUE"""),"-")</f>
        <v>-</v>
      </c>
      <c r="BA1470" s="97"/>
      <c r="BB1470" s="97"/>
      <c r="BC1470" s="97"/>
      <c r="BD1470" s="97" t="str">
        <f>IFERROR(__xludf.DUMMYFUNCTION("""COMPUTED_VALUE"""),"POLAR GRID MOVIL")</f>
        <v>POLAR GRID MOVIL</v>
      </c>
      <c r="BE1470" s="97"/>
      <c r="BF1470" s="97"/>
      <c r="BG1470" s="97" t="str">
        <f>IFERROR(__xludf.DUMMYFUNCTION("""COMPUTED_VALUE"""),"REPO 7")</f>
        <v>REPO 7</v>
      </c>
    </row>
    <row r="1471">
      <c r="A1471" s="97">
        <f>IFERROR(__xludf.DUMMYFUNCTION("""COMPUTED_VALUE"""),7576.0)</f>
        <v>7576</v>
      </c>
      <c r="B1471" s="97" t="str">
        <f>IFERROR(__xludf.DUMMYFUNCTION("""COMPUTED_VALUE"""),"POLAR GRID MOVIL 12W BL 3CCT")</f>
        <v>POLAR GRID MOVIL 12W BL 3CCT</v>
      </c>
      <c r="C1471" s="97" t="str">
        <f>IFERROR(__xludf.DUMMYFUNCTION("""COMPUTED_VALUE"""),"CABEZAL POLAR GRID MOVIL 12W BL 3CCT 12W 2700/3300/4000K 800LM CRI&gt;90 IP20 LEUK")</f>
        <v>CABEZAL POLAR GRID MOVIL 12W BL 3CCT 12W 2700/3300/4000K 800LM CRI&gt;90 IP20 LEUK</v>
      </c>
      <c r="D1471" s="97">
        <f>IFERROR(__xludf.DUMMYFUNCTION("""COMPUTED_VALUE"""),7.798485460329E12)</f>
        <v>7798485460329</v>
      </c>
      <c r="E1471" s="97" t="str">
        <f>IFERROR(__xludf.DUMMYFUNCTION("""COMPUTED_VALUE"""),"-")</f>
        <v>-</v>
      </c>
      <c r="F1471" s="97" t="str">
        <f>IFERROR(__xludf.DUMMYFUNCTION("""COMPUTED_VALUE"""),"LED integrado")</f>
        <v>LED integrado</v>
      </c>
      <c r="G1471" s="97" t="str">
        <f>IFERROR(__xludf.DUMMYFUNCTION("""COMPUTED_VALUE"""),"-")</f>
        <v>-</v>
      </c>
      <c r="H1471" s="97" t="str">
        <f>IFERROR(__xludf.DUMMYFUNCTION("""COMPUTED_VALUE"""),"N/A")</f>
        <v>N/A</v>
      </c>
      <c r="I1471" s="97" t="str">
        <f>IFERROR(__xludf.DUMMYFUNCTION("""COMPUTED_VALUE"""),"N/A")</f>
        <v>N/A</v>
      </c>
      <c r="J1471" s="97" t="str">
        <f>IFERROR(__xludf.DUMMYFUNCTION("""COMPUTED_VALUE"""),"N/A")</f>
        <v>N/A</v>
      </c>
      <c r="K1471" s="97" t="str">
        <f>IFERROR(__xludf.DUMMYFUNCTION("""COMPUTED_VALUE"""),"Smart / App")</f>
        <v>Smart / App</v>
      </c>
      <c r="L1471" s="97" t="str">
        <f>IFERROR(__xludf.DUMMYFUNCTION("""COMPUTED_VALUE"""),"48Vdc")</f>
        <v>48Vdc</v>
      </c>
      <c r="M1471" s="97" t="str">
        <f>IFERROR(__xludf.DUMMYFUNCTION("""COMPUTED_VALUE"""),"N/A")</f>
        <v>N/A</v>
      </c>
      <c r="N1471" s="97"/>
      <c r="O1471" s="97">
        <f>IFERROR(__xludf.DUMMYFUNCTION("""COMPUTED_VALUE"""),12.0)</f>
        <v>12</v>
      </c>
      <c r="P1471" s="97">
        <f>IFERROR(__xludf.DUMMYFUNCTION("""COMPUTED_VALUE"""),11.77)</f>
        <v>11.77</v>
      </c>
      <c r="Q1471" s="97" t="str">
        <f>IFERROR(__xludf.DUMMYFUNCTION("""COMPUTED_VALUE"""),"N/A")</f>
        <v>N/A</v>
      </c>
      <c r="R1471" s="97" t="str">
        <f>IFERROR(__xludf.DUMMYFUNCTION("""COMPUTED_VALUE"""),"-")</f>
        <v>-</v>
      </c>
      <c r="S1471" s="97" t="str">
        <f>IFERROR(__xludf.DUMMYFUNCTION("""COMPUTED_VALUE"""),"-")</f>
        <v>-</v>
      </c>
      <c r="T1471" s="97">
        <f>IFERROR(__xludf.DUMMYFUNCTION("""COMPUTED_VALUE"""),800.0)</f>
        <v>800</v>
      </c>
      <c r="U1471" s="99">
        <f>IFERROR(__xludf.DUMMYFUNCTION("""COMPUTED_VALUE"""),66.66666666666667)</f>
        <v>66.66666667</v>
      </c>
      <c r="V1471" s="97">
        <f>IFERROR(__xludf.DUMMYFUNCTION("""COMPUTED_VALUE"""),28.0)</f>
        <v>28</v>
      </c>
      <c r="W1471" s="97" t="str">
        <f>IFERROR(__xludf.DUMMYFUNCTION("""COMPUTED_VALUE"""),"&lt; 10")</f>
        <v>&lt; 10</v>
      </c>
      <c r="X1471" s="97" t="str">
        <f>IFERROR(__xludf.DUMMYFUNCTION("""COMPUTED_VALUE"""),"2700/3300/4000")</f>
        <v>2700/3300/4000</v>
      </c>
      <c r="Y1471" s="97" t="str">
        <f>IFERROR(__xludf.DUMMYFUNCTION("""COMPUTED_VALUE"""),"&gt;90")</f>
        <v>&gt;90</v>
      </c>
      <c r="Z1471" s="97" t="str">
        <f>IFERROR(__xludf.DUMMYFUNCTION("""COMPUTED_VALUE"""),"&gt;90")</f>
        <v>&gt;90</v>
      </c>
      <c r="AA1471" s="97" t="str">
        <f>IFERROR(__xludf.DUMMYFUNCTION("""COMPUTED_VALUE"""),"90-99 (Leve desaturación)")</f>
        <v>90-99 (Leve desaturación)</v>
      </c>
      <c r="AB1471" s="97" t="str">
        <f>IFERROR(__xludf.DUMMYFUNCTION("""COMPUTED_VALUE"""),"&lt; 5")</f>
        <v>&lt; 5</v>
      </c>
      <c r="AC1471" s="97" t="str">
        <f>IFERROR(__xludf.DUMMYFUNCTION("""COMPUTED_VALUE"""),"-0,00275 / -0,00463 / -0,0029")</f>
        <v>-0,00275 / -0,00463 / -0,0029</v>
      </c>
      <c r="AD1471" s="97" t="str">
        <f>IFERROR(__xludf.DUMMYFUNCTION("""COMPUTED_VALUE"""),"IP20")</f>
        <v>IP20</v>
      </c>
      <c r="AE1471" s="97" t="str">
        <f>IFERROR(__xludf.DUMMYFUNCTION("""COMPUTED_VALUE"""),"Clase lll")</f>
        <v>Clase lll</v>
      </c>
      <c r="AF1471" s="97" t="str">
        <f>IFERROR(__xludf.DUMMYFUNCTION("""COMPUTED_VALUE"""),"Riel")</f>
        <v>Riel</v>
      </c>
      <c r="AG1471" s="97" t="str">
        <f>IFERROR(__xludf.DUMMYFUNCTION("""COMPUTED_VALUE"""),"222 x 22 x 103")</f>
        <v>222 x 22 x 103</v>
      </c>
      <c r="AH1471" s="97" t="str">
        <f>IFERROR(__xludf.DUMMYFUNCTION("""COMPUTED_VALUE"""),"N/A")</f>
        <v>N/A</v>
      </c>
      <c r="AI1471" s="97" t="str">
        <f>IFERROR(__xludf.DUMMYFUNCTION("""COMPUTED_VALUE"""),"N/A")</f>
        <v>N/A</v>
      </c>
      <c r="AJ1471" s="97" t="str">
        <f>IFERROR(__xludf.DUMMYFUNCTION("""COMPUTED_VALUE"""),"Policarbonato (PC)")</f>
        <v>Policarbonato (PC)</v>
      </c>
      <c r="AK1471" s="97" t="str">
        <f>IFERROR(__xludf.DUMMYFUNCTION("""COMPUTED_VALUE"""),"Aluminio")</f>
        <v>Aluminio</v>
      </c>
      <c r="AL1471" s="97" t="str">
        <f>IFERROR(__xludf.DUMMYFUNCTION("""COMPUTED_VALUE"""),"Blanco Satinado")</f>
        <v>Blanco Satinado</v>
      </c>
      <c r="AM1471" s="97" t="str">
        <f>IFERROR(__xludf.DUMMYFUNCTION("""COMPUTED_VALUE"""),"-")</f>
        <v>-</v>
      </c>
      <c r="AN1471" s="97" t="str">
        <f>IFERROR(__xludf.DUMMYFUNCTION("""COMPUTED_VALUE"""),"25.000hs (L70)")</f>
        <v>25.000hs (L70)</v>
      </c>
      <c r="AO1471" s="97" t="str">
        <f>IFERROR(__xludf.DUMMYFUNCTION("""COMPUTED_VALUE"""),"2 Años")</f>
        <v>2 Años</v>
      </c>
      <c r="AP1471" s="97" t="str">
        <f>IFERROR(__xludf.DUMMYFUNCTION("""COMPUTED_VALUE"""),"Disponible")</f>
        <v>Disponible</v>
      </c>
      <c r="AQ1471" s="97" t="str">
        <f>IFERROR(__xludf.DUMMYFUNCTION("""COMPUTED_VALUE"""),"Disponible")</f>
        <v>Disponible</v>
      </c>
      <c r="AR1471" s="97" t="str">
        <f>IFERROR(__xludf.DUMMYFUNCTION("""COMPUTED_VALUE"""),"Disponible")</f>
        <v>Disponible</v>
      </c>
      <c r="AS1471" s="97" t="str">
        <f>IFERROR(__xludf.DUMMYFUNCTION("""COMPUTED_VALUE"""),"Falta")</f>
        <v>Falta</v>
      </c>
      <c r="AT1471" s="97" t="str">
        <f>IFERROR(__xludf.DUMMYFUNCTION("""COMPUTED_VALUE"""),"Falta")</f>
        <v>Falta</v>
      </c>
      <c r="AU1471" s="97" t="str">
        <f>IFERROR(__xludf.DUMMYFUNCTION("""COMPUTED_VALUE"""),"Disponible")</f>
        <v>Disponible</v>
      </c>
      <c r="AV1471" s="97" t="str">
        <f>IFERROR(__xludf.DUMMYFUNCTION("""COMPUTED_VALUE"""),"Cabezal")</f>
        <v>Cabezal</v>
      </c>
      <c r="AW1471" s="97" t="str">
        <f>IFERROR(__xludf.DUMMYFUNCTION("""COMPUTED_VALUE"""),"Rieles")</f>
        <v>Rieles</v>
      </c>
      <c r="AX1471" s="97" t="str">
        <f>IFERROR(__xludf.DUMMYFUNCTION("""COMPUTED_VALUE"""),"Interior")</f>
        <v>Interior</v>
      </c>
      <c r="AY1471" s="97" t="str">
        <f>IFERROR(__xludf.DUMMYFUNCTION("""COMPUTED_VALUE"""),"-")</f>
        <v>-</v>
      </c>
      <c r="AZ1471" s="97" t="str">
        <f>IFERROR(__xludf.DUMMYFUNCTION("""COMPUTED_VALUE"""),"-")</f>
        <v>-</v>
      </c>
      <c r="BA1471" s="97"/>
      <c r="BB1471" s="97"/>
      <c r="BC1471" s="97"/>
      <c r="BD1471" s="97" t="str">
        <f>IFERROR(__xludf.DUMMYFUNCTION("""COMPUTED_VALUE"""),"POLAR GRID MOVIL")</f>
        <v>POLAR GRID MOVIL</v>
      </c>
      <c r="BE1471" s="97"/>
      <c r="BF1471" s="97"/>
      <c r="BG1471" s="97" t="str">
        <f>IFERROR(__xludf.DUMMYFUNCTION("""COMPUTED_VALUE"""),"REPO 7")</f>
        <v>REPO 7</v>
      </c>
    </row>
    <row r="1472">
      <c r="A1472" s="97">
        <f>IFERROR(__xludf.DUMMYFUNCTION("""COMPUTED_VALUE"""),7577.0)</f>
        <v>7577</v>
      </c>
      <c r="B1472" s="97" t="str">
        <f>IFERROR(__xludf.DUMMYFUNCTION("""COMPUTED_VALUE"""),"POLAR MEX 7W NG 3CCT")</f>
        <v>POLAR MEX 7W NG 3CCT</v>
      </c>
      <c r="C1472" s="97" t="str">
        <f>IFERROR(__xludf.DUMMYFUNCTION("""COMPUTED_VALUE"""),"CABEZAL POLAR MEX 7W NG 3CCT 7W 2700/3300/4000K 500LM CRI&gt;90 IP20 LEUK")</f>
        <v>CABEZAL POLAR MEX 7W NG 3CCT 7W 2700/3300/4000K 500LM CRI&gt;90 IP20 LEUK</v>
      </c>
      <c r="D1472" s="97">
        <f>IFERROR(__xludf.DUMMYFUNCTION("""COMPUTED_VALUE"""),7.798485460336E12)</f>
        <v>7798485460336</v>
      </c>
      <c r="E1472" s="97" t="str">
        <f>IFERROR(__xludf.DUMMYFUNCTION("""COMPUTED_VALUE"""),"-")</f>
        <v>-</v>
      </c>
      <c r="F1472" s="97" t="str">
        <f>IFERROR(__xludf.DUMMYFUNCTION("""COMPUTED_VALUE"""),"LED integrado")</f>
        <v>LED integrado</v>
      </c>
      <c r="G1472" s="97" t="str">
        <f>IFERROR(__xludf.DUMMYFUNCTION("""COMPUTED_VALUE"""),"-")</f>
        <v>-</v>
      </c>
      <c r="H1472" s="97" t="str">
        <f>IFERROR(__xludf.DUMMYFUNCTION("""COMPUTED_VALUE"""),"N/A")</f>
        <v>N/A</v>
      </c>
      <c r="I1472" s="97" t="str">
        <f>IFERROR(__xludf.DUMMYFUNCTION("""COMPUTED_VALUE"""),"N/A")</f>
        <v>N/A</v>
      </c>
      <c r="J1472" s="97" t="str">
        <f>IFERROR(__xludf.DUMMYFUNCTION("""COMPUTED_VALUE"""),"N/A")</f>
        <v>N/A</v>
      </c>
      <c r="K1472" s="97" t="str">
        <f>IFERROR(__xludf.DUMMYFUNCTION("""COMPUTED_VALUE"""),"Smart / App")</f>
        <v>Smart / App</v>
      </c>
      <c r="L1472" s="97" t="str">
        <f>IFERROR(__xludf.DUMMYFUNCTION("""COMPUTED_VALUE"""),"48Vdc")</f>
        <v>48Vdc</v>
      </c>
      <c r="M1472" s="97" t="str">
        <f>IFERROR(__xludf.DUMMYFUNCTION("""COMPUTED_VALUE"""),"N/A")</f>
        <v>N/A</v>
      </c>
      <c r="N1472" s="97"/>
      <c r="O1472" s="97">
        <f>IFERROR(__xludf.DUMMYFUNCTION("""COMPUTED_VALUE"""),7.0)</f>
        <v>7</v>
      </c>
      <c r="P1472" s="97">
        <f>IFERROR(__xludf.DUMMYFUNCTION("""COMPUTED_VALUE"""),8.0)</f>
        <v>8</v>
      </c>
      <c r="Q1472" s="97" t="str">
        <f>IFERROR(__xludf.DUMMYFUNCTION("""COMPUTED_VALUE"""),"N/A")</f>
        <v>N/A</v>
      </c>
      <c r="R1472" s="97" t="str">
        <f>IFERROR(__xludf.DUMMYFUNCTION("""COMPUTED_VALUE"""),"-")</f>
        <v>-</v>
      </c>
      <c r="S1472" s="97" t="str">
        <f>IFERROR(__xludf.DUMMYFUNCTION("""COMPUTED_VALUE"""),"-")</f>
        <v>-</v>
      </c>
      <c r="T1472" s="97">
        <f>IFERROR(__xludf.DUMMYFUNCTION("""COMPUTED_VALUE"""),500.0)</f>
        <v>500</v>
      </c>
      <c r="U1472" s="99">
        <f>IFERROR(__xludf.DUMMYFUNCTION("""COMPUTED_VALUE"""),71.42857142857143)</f>
        <v>71.42857143</v>
      </c>
      <c r="V1472" s="97">
        <f>IFERROR(__xludf.DUMMYFUNCTION("""COMPUTED_VALUE"""),26.0)</f>
        <v>26</v>
      </c>
      <c r="W1472" s="97" t="str">
        <f>IFERROR(__xludf.DUMMYFUNCTION("""COMPUTED_VALUE"""),"&lt; 15")</f>
        <v>&lt; 15</v>
      </c>
      <c r="X1472" s="97" t="str">
        <f>IFERROR(__xludf.DUMMYFUNCTION("""COMPUTED_VALUE"""),"2700/3300/4000")</f>
        <v>2700/3300/4000</v>
      </c>
      <c r="Y1472" s="97" t="str">
        <f>IFERROR(__xludf.DUMMYFUNCTION("""COMPUTED_VALUE"""),"&gt;90")</f>
        <v>&gt;90</v>
      </c>
      <c r="Z1472" s="97" t="str">
        <f>IFERROR(__xludf.DUMMYFUNCTION("""COMPUTED_VALUE"""),"&gt;90")</f>
        <v>&gt;90</v>
      </c>
      <c r="AA1472" s="97" t="str">
        <f>IFERROR(__xludf.DUMMYFUNCTION("""COMPUTED_VALUE"""),"90-99 (Leve desaturación)")</f>
        <v>90-99 (Leve desaturación)</v>
      </c>
      <c r="AB1472" s="97" t="str">
        <f>IFERROR(__xludf.DUMMYFUNCTION("""COMPUTED_VALUE"""),"&lt; 5")</f>
        <v>&lt; 5</v>
      </c>
      <c r="AC1472" s="97" t="str">
        <f>IFERROR(__xludf.DUMMYFUNCTION("""COMPUTED_VALUE"""),"0,001 / -0,001 / 0,001")</f>
        <v>0,001 / -0,001 / 0,001</v>
      </c>
      <c r="AD1472" s="97" t="str">
        <f>IFERROR(__xludf.DUMMYFUNCTION("""COMPUTED_VALUE"""),"IP20")</f>
        <v>IP20</v>
      </c>
      <c r="AE1472" s="97" t="str">
        <f>IFERROR(__xludf.DUMMYFUNCTION("""COMPUTED_VALUE"""),"Clase lll")</f>
        <v>Clase lll</v>
      </c>
      <c r="AF1472" s="97" t="str">
        <f>IFERROR(__xludf.DUMMYFUNCTION("""COMPUTED_VALUE"""),"Riel")</f>
        <v>Riel</v>
      </c>
      <c r="AG1472" s="97" t="str">
        <f>IFERROR(__xludf.DUMMYFUNCTION("""COMPUTED_VALUE"""),"Ø47 x 120")</f>
        <v>Ø47 x 120</v>
      </c>
      <c r="AH1472" s="97" t="str">
        <f>IFERROR(__xludf.DUMMYFUNCTION("""COMPUTED_VALUE"""),"N/A")</f>
        <v>N/A</v>
      </c>
      <c r="AI1472" s="97" t="str">
        <f>IFERROR(__xludf.DUMMYFUNCTION("""COMPUTED_VALUE"""),"N/A")</f>
        <v>N/A</v>
      </c>
      <c r="AJ1472" s="97" t="str">
        <f>IFERROR(__xludf.DUMMYFUNCTION("""COMPUTED_VALUE"""),"PMMA")</f>
        <v>PMMA</v>
      </c>
      <c r="AK1472" s="97" t="str">
        <f>IFERROR(__xludf.DUMMYFUNCTION("""COMPUTED_VALUE"""),"Aluminio")</f>
        <v>Aluminio</v>
      </c>
      <c r="AL1472" s="97" t="str">
        <f>IFERROR(__xludf.DUMMYFUNCTION("""COMPUTED_VALUE"""),"Negro Satinado")</f>
        <v>Negro Satinado</v>
      </c>
      <c r="AM1472" s="97" t="str">
        <f>IFERROR(__xludf.DUMMYFUNCTION("""COMPUTED_VALUE"""),"-")</f>
        <v>-</v>
      </c>
      <c r="AN1472" s="97" t="str">
        <f>IFERROR(__xludf.DUMMYFUNCTION("""COMPUTED_VALUE"""),"25.000hs (L70)")</f>
        <v>25.000hs (L70)</v>
      </c>
      <c r="AO1472" s="97" t="str">
        <f>IFERROR(__xludf.DUMMYFUNCTION("""COMPUTED_VALUE"""),"2 Años")</f>
        <v>2 Años</v>
      </c>
      <c r="AP1472" s="97" t="str">
        <f>IFERROR(__xludf.DUMMYFUNCTION("""COMPUTED_VALUE"""),"Disponible")</f>
        <v>Disponible</v>
      </c>
      <c r="AQ1472" s="97" t="str">
        <f>IFERROR(__xludf.DUMMYFUNCTION("""COMPUTED_VALUE"""),"Disponible")</f>
        <v>Disponible</v>
      </c>
      <c r="AR1472" s="97" t="str">
        <f>IFERROR(__xludf.DUMMYFUNCTION("""COMPUTED_VALUE"""),"Disponible")</f>
        <v>Disponible</v>
      </c>
      <c r="AS1472" s="97" t="str">
        <f>IFERROR(__xludf.DUMMYFUNCTION("""COMPUTED_VALUE"""),"Falta")</f>
        <v>Falta</v>
      </c>
      <c r="AT1472" s="97" t="str">
        <f>IFERROR(__xludf.DUMMYFUNCTION("""COMPUTED_VALUE"""),"Falta")</f>
        <v>Falta</v>
      </c>
      <c r="AU1472" s="97" t="str">
        <f>IFERROR(__xludf.DUMMYFUNCTION("""COMPUTED_VALUE"""),"Disponible")</f>
        <v>Disponible</v>
      </c>
      <c r="AV1472" s="97" t="str">
        <f>IFERROR(__xludf.DUMMYFUNCTION("""COMPUTED_VALUE"""),"Cabezal")</f>
        <v>Cabezal</v>
      </c>
      <c r="AW1472" s="97" t="str">
        <f>IFERROR(__xludf.DUMMYFUNCTION("""COMPUTED_VALUE"""),"Rieles")</f>
        <v>Rieles</v>
      </c>
      <c r="AX1472" s="97" t="str">
        <f>IFERROR(__xludf.DUMMYFUNCTION("""COMPUTED_VALUE"""),"Interior")</f>
        <v>Interior</v>
      </c>
      <c r="AY1472" s="97" t="str">
        <f>IFERROR(__xludf.DUMMYFUNCTION("""COMPUTED_VALUE"""),"-")</f>
        <v>-</v>
      </c>
      <c r="AZ1472" s="97" t="str">
        <f>IFERROR(__xludf.DUMMYFUNCTION("""COMPUTED_VALUE"""),"-")</f>
        <v>-</v>
      </c>
      <c r="BA1472" s="97"/>
      <c r="BB1472" s="97"/>
      <c r="BC1472" s="97"/>
      <c r="BD1472" s="97" t="str">
        <f>IFERROR(__xludf.DUMMYFUNCTION("""COMPUTED_VALUE"""),"POLAR MEX")</f>
        <v>POLAR MEX</v>
      </c>
      <c r="BE1472" s="97"/>
      <c r="BF1472" s="97"/>
      <c r="BG1472" s="97" t="str">
        <f>IFERROR(__xludf.DUMMYFUNCTION("""COMPUTED_VALUE"""),"REPO 7")</f>
        <v>REPO 7</v>
      </c>
    </row>
    <row r="1473">
      <c r="A1473" s="97">
        <f>IFERROR(__xludf.DUMMYFUNCTION("""COMPUTED_VALUE"""),7578.0)</f>
        <v>7578</v>
      </c>
      <c r="B1473" s="97" t="str">
        <f>IFERROR(__xludf.DUMMYFUNCTION("""COMPUTED_VALUE"""),"POLAR MEX 7W BL 3CCT")</f>
        <v>POLAR MEX 7W BL 3CCT</v>
      </c>
      <c r="C1473" s="97" t="str">
        <f>IFERROR(__xludf.DUMMYFUNCTION("""COMPUTED_VALUE"""),"CABEZAL POLAR MEX 7W BL 3CCT 7W 2700/3300/4000K 500LM CRI&gt;90 IP20 LEUK")</f>
        <v>CABEZAL POLAR MEX 7W BL 3CCT 7W 2700/3300/4000K 500LM CRI&gt;90 IP20 LEUK</v>
      </c>
      <c r="D1473" s="97">
        <f>IFERROR(__xludf.DUMMYFUNCTION("""COMPUTED_VALUE"""),7.798485460343E12)</f>
        <v>7798485460343</v>
      </c>
      <c r="E1473" s="97" t="str">
        <f>IFERROR(__xludf.DUMMYFUNCTION("""COMPUTED_VALUE"""),"-")</f>
        <v>-</v>
      </c>
      <c r="F1473" s="97" t="str">
        <f>IFERROR(__xludf.DUMMYFUNCTION("""COMPUTED_VALUE"""),"LED integrado")</f>
        <v>LED integrado</v>
      </c>
      <c r="G1473" s="97" t="str">
        <f>IFERROR(__xludf.DUMMYFUNCTION("""COMPUTED_VALUE"""),"-")</f>
        <v>-</v>
      </c>
      <c r="H1473" s="97" t="str">
        <f>IFERROR(__xludf.DUMMYFUNCTION("""COMPUTED_VALUE"""),"N/A")</f>
        <v>N/A</v>
      </c>
      <c r="I1473" s="97" t="str">
        <f>IFERROR(__xludf.DUMMYFUNCTION("""COMPUTED_VALUE"""),"N/A")</f>
        <v>N/A</v>
      </c>
      <c r="J1473" s="97" t="str">
        <f>IFERROR(__xludf.DUMMYFUNCTION("""COMPUTED_VALUE"""),"N/A")</f>
        <v>N/A</v>
      </c>
      <c r="K1473" s="97" t="str">
        <f>IFERROR(__xludf.DUMMYFUNCTION("""COMPUTED_VALUE"""),"Smart / App")</f>
        <v>Smart / App</v>
      </c>
      <c r="L1473" s="97" t="str">
        <f>IFERROR(__xludf.DUMMYFUNCTION("""COMPUTED_VALUE"""),"48Vdc")</f>
        <v>48Vdc</v>
      </c>
      <c r="M1473" s="97" t="str">
        <f>IFERROR(__xludf.DUMMYFUNCTION("""COMPUTED_VALUE"""),"N/A")</f>
        <v>N/A</v>
      </c>
      <c r="N1473" s="97"/>
      <c r="O1473" s="97">
        <f>IFERROR(__xludf.DUMMYFUNCTION("""COMPUTED_VALUE"""),7.0)</f>
        <v>7</v>
      </c>
      <c r="P1473" s="97">
        <f>IFERROR(__xludf.DUMMYFUNCTION("""COMPUTED_VALUE"""),8.0)</f>
        <v>8</v>
      </c>
      <c r="Q1473" s="97" t="str">
        <f>IFERROR(__xludf.DUMMYFUNCTION("""COMPUTED_VALUE"""),"N/A")</f>
        <v>N/A</v>
      </c>
      <c r="R1473" s="97" t="str">
        <f>IFERROR(__xludf.DUMMYFUNCTION("""COMPUTED_VALUE"""),"-")</f>
        <v>-</v>
      </c>
      <c r="S1473" s="97" t="str">
        <f>IFERROR(__xludf.DUMMYFUNCTION("""COMPUTED_VALUE"""),"-")</f>
        <v>-</v>
      </c>
      <c r="T1473" s="97">
        <f>IFERROR(__xludf.DUMMYFUNCTION("""COMPUTED_VALUE"""),500.0)</f>
        <v>500</v>
      </c>
      <c r="U1473" s="99">
        <f>IFERROR(__xludf.DUMMYFUNCTION("""COMPUTED_VALUE"""),71.42857142857143)</f>
        <v>71.42857143</v>
      </c>
      <c r="V1473" s="97">
        <f>IFERROR(__xludf.DUMMYFUNCTION("""COMPUTED_VALUE"""),26.0)</f>
        <v>26</v>
      </c>
      <c r="W1473" s="97" t="str">
        <f>IFERROR(__xludf.DUMMYFUNCTION("""COMPUTED_VALUE"""),"&lt; 15")</f>
        <v>&lt; 15</v>
      </c>
      <c r="X1473" s="97" t="str">
        <f>IFERROR(__xludf.DUMMYFUNCTION("""COMPUTED_VALUE"""),"2700/3300/4000")</f>
        <v>2700/3300/4000</v>
      </c>
      <c r="Y1473" s="97" t="str">
        <f>IFERROR(__xludf.DUMMYFUNCTION("""COMPUTED_VALUE"""),"&gt;90")</f>
        <v>&gt;90</v>
      </c>
      <c r="Z1473" s="97" t="str">
        <f>IFERROR(__xludf.DUMMYFUNCTION("""COMPUTED_VALUE"""),"&gt;90")</f>
        <v>&gt;90</v>
      </c>
      <c r="AA1473" s="97" t="str">
        <f>IFERROR(__xludf.DUMMYFUNCTION("""COMPUTED_VALUE"""),"90-99 (Leve desaturación)")</f>
        <v>90-99 (Leve desaturación)</v>
      </c>
      <c r="AB1473" s="97" t="str">
        <f>IFERROR(__xludf.DUMMYFUNCTION("""COMPUTED_VALUE"""),"&lt; 5")</f>
        <v>&lt; 5</v>
      </c>
      <c r="AC1473" s="97" t="str">
        <f>IFERROR(__xludf.DUMMYFUNCTION("""COMPUTED_VALUE"""),"0,001 / -0,001 / 0,001")</f>
        <v>0,001 / -0,001 / 0,001</v>
      </c>
      <c r="AD1473" s="97" t="str">
        <f>IFERROR(__xludf.DUMMYFUNCTION("""COMPUTED_VALUE"""),"IP20")</f>
        <v>IP20</v>
      </c>
      <c r="AE1473" s="97" t="str">
        <f>IFERROR(__xludf.DUMMYFUNCTION("""COMPUTED_VALUE"""),"Clase lll")</f>
        <v>Clase lll</v>
      </c>
      <c r="AF1473" s="97" t="str">
        <f>IFERROR(__xludf.DUMMYFUNCTION("""COMPUTED_VALUE"""),"Riel")</f>
        <v>Riel</v>
      </c>
      <c r="AG1473" s="97" t="str">
        <f>IFERROR(__xludf.DUMMYFUNCTION("""COMPUTED_VALUE"""),"Ø47 x 120")</f>
        <v>Ø47 x 120</v>
      </c>
      <c r="AH1473" s="97" t="str">
        <f>IFERROR(__xludf.DUMMYFUNCTION("""COMPUTED_VALUE"""),"N/A")</f>
        <v>N/A</v>
      </c>
      <c r="AI1473" s="97" t="str">
        <f>IFERROR(__xludf.DUMMYFUNCTION("""COMPUTED_VALUE"""),"N/A")</f>
        <v>N/A</v>
      </c>
      <c r="AJ1473" s="97" t="str">
        <f>IFERROR(__xludf.DUMMYFUNCTION("""COMPUTED_VALUE"""),"PMMA")</f>
        <v>PMMA</v>
      </c>
      <c r="AK1473" s="97" t="str">
        <f>IFERROR(__xludf.DUMMYFUNCTION("""COMPUTED_VALUE"""),"Aluminio")</f>
        <v>Aluminio</v>
      </c>
      <c r="AL1473" s="97" t="str">
        <f>IFERROR(__xludf.DUMMYFUNCTION("""COMPUTED_VALUE"""),"Blanco Satinado")</f>
        <v>Blanco Satinado</v>
      </c>
      <c r="AM1473" s="97" t="str">
        <f>IFERROR(__xludf.DUMMYFUNCTION("""COMPUTED_VALUE"""),"-")</f>
        <v>-</v>
      </c>
      <c r="AN1473" s="97" t="str">
        <f>IFERROR(__xludf.DUMMYFUNCTION("""COMPUTED_VALUE"""),"25.000hs (L70)")</f>
        <v>25.000hs (L70)</v>
      </c>
      <c r="AO1473" s="97" t="str">
        <f>IFERROR(__xludf.DUMMYFUNCTION("""COMPUTED_VALUE"""),"2 Años")</f>
        <v>2 Años</v>
      </c>
      <c r="AP1473" s="97" t="str">
        <f>IFERROR(__xludf.DUMMYFUNCTION("""COMPUTED_VALUE"""),"Disponible")</f>
        <v>Disponible</v>
      </c>
      <c r="AQ1473" s="97" t="str">
        <f>IFERROR(__xludf.DUMMYFUNCTION("""COMPUTED_VALUE"""),"Disponible")</f>
        <v>Disponible</v>
      </c>
      <c r="AR1473" s="97" t="str">
        <f>IFERROR(__xludf.DUMMYFUNCTION("""COMPUTED_VALUE"""),"Disponible")</f>
        <v>Disponible</v>
      </c>
      <c r="AS1473" s="97" t="str">
        <f>IFERROR(__xludf.DUMMYFUNCTION("""COMPUTED_VALUE"""),"Falta")</f>
        <v>Falta</v>
      </c>
      <c r="AT1473" s="97" t="str">
        <f>IFERROR(__xludf.DUMMYFUNCTION("""COMPUTED_VALUE"""),"Falta")</f>
        <v>Falta</v>
      </c>
      <c r="AU1473" s="97" t="str">
        <f>IFERROR(__xludf.DUMMYFUNCTION("""COMPUTED_VALUE"""),"Disponible")</f>
        <v>Disponible</v>
      </c>
      <c r="AV1473" s="97" t="str">
        <f>IFERROR(__xludf.DUMMYFUNCTION("""COMPUTED_VALUE"""),"Cabezal")</f>
        <v>Cabezal</v>
      </c>
      <c r="AW1473" s="97" t="str">
        <f>IFERROR(__xludf.DUMMYFUNCTION("""COMPUTED_VALUE"""),"Rieles")</f>
        <v>Rieles</v>
      </c>
      <c r="AX1473" s="97" t="str">
        <f>IFERROR(__xludf.DUMMYFUNCTION("""COMPUTED_VALUE"""),"Interior")</f>
        <v>Interior</v>
      </c>
      <c r="AY1473" s="97" t="str">
        <f>IFERROR(__xludf.DUMMYFUNCTION("""COMPUTED_VALUE"""),"-")</f>
        <v>-</v>
      </c>
      <c r="AZ1473" s="97" t="str">
        <f>IFERROR(__xludf.DUMMYFUNCTION("""COMPUTED_VALUE"""),"-")</f>
        <v>-</v>
      </c>
      <c r="BA1473" s="97"/>
      <c r="BB1473" s="97"/>
      <c r="BC1473" s="97"/>
      <c r="BD1473" s="97" t="str">
        <f>IFERROR(__xludf.DUMMYFUNCTION("""COMPUTED_VALUE"""),"POLAR MEX")</f>
        <v>POLAR MEX</v>
      </c>
      <c r="BE1473" s="97"/>
      <c r="BF1473" s="97"/>
      <c r="BG1473" s="97" t="str">
        <f>IFERROR(__xludf.DUMMYFUNCTION("""COMPUTED_VALUE"""),"REPO 7")</f>
        <v>REPO 7</v>
      </c>
    </row>
    <row r="1474">
      <c r="A1474" s="97">
        <f>IFERROR(__xludf.DUMMYFUNCTION("""COMPUTED_VALUE"""),7579.0)</f>
        <v>7579</v>
      </c>
      <c r="B1474" s="97" t="str">
        <f>IFERROR(__xludf.DUMMYFUNCTION("""COMPUTED_VALUE"""),"POLAR MEX 15W NG 3CCT")</f>
        <v>POLAR MEX 15W NG 3CCT</v>
      </c>
      <c r="C1474" s="97" t="str">
        <f>IFERROR(__xludf.DUMMYFUNCTION("""COMPUTED_VALUE"""),"CABEZAL POLAR MEX 15W NG 3CCT 15W 2700/3300/4000K 1000LM CRI&gt;90 IP20 LEUK")</f>
        <v>CABEZAL POLAR MEX 15W NG 3CCT 15W 2700/3300/4000K 1000LM CRI&gt;90 IP20 LEUK</v>
      </c>
      <c r="D1474" s="97">
        <f>IFERROR(__xludf.DUMMYFUNCTION("""COMPUTED_VALUE"""),7.79848546035E12)</f>
        <v>7798485460350</v>
      </c>
      <c r="E1474" s="97" t="str">
        <f>IFERROR(__xludf.DUMMYFUNCTION("""COMPUTED_VALUE"""),"-")</f>
        <v>-</v>
      </c>
      <c r="F1474" s="97" t="str">
        <f>IFERROR(__xludf.DUMMYFUNCTION("""COMPUTED_VALUE"""),"LED integrado")</f>
        <v>LED integrado</v>
      </c>
      <c r="G1474" s="97" t="str">
        <f>IFERROR(__xludf.DUMMYFUNCTION("""COMPUTED_VALUE"""),"-")</f>
        <v>-</v>
      </c>
      <c r="H1474" s="97" t="str">
        <f>IFERROR(__xludf.DUMMYFUNCTION("""COMPUTED_VALUE"""),"N/A")</f>
        <v>N/A</v>
      </c>
      <c r="I1474" s="97" t="str">
        <f>IFERROR(__xludf.DUMMYFUNCTION("""COMPUTED_VALUE"""),"N/A")</f>
        <v>N/A</v>
      </c>
      <c r="J1474" s="97" t="str">
        <f>IFERROR(__xludf.DUMMYFUNCTION("""COMPUTED_VALUE"""),"N/A")</f>
        <v>N/A</v>
      </c>
      <c r="K1474" s="97" t="str">
        <f>IFERROR(__xludf.DUMMYFUNCTION("""COMPUTED_VALUE"""),"Smart / App")</f>
        <v>Smart / App</v>
      </c>
      <c r="L1474" s="97" t="str">
        <f>IFERROR(__xludf.DUMMYFUNCTION("""COMPUTED_VALUE"""),"48Vdc")</f>
        <v>48Vdc</v>
      </c>
      <c r="M1474" s="97" t="str">
        <f>IFERROR(__xludf.DUMMYFUNCTION("""COMPUTED_VALUE"""),"N/A")</f>
        <v>N/A</v>
      </c>
      <c r="N1474" s="97"/>
      <c r="O1474" s="97">
        <f>IFERROR(__xludf.DUMMYFUNCTION("""COMPUTED_VALUE"""),15.0)</f>
        <v>15</v>
      </c>
      <c r="P1474" s="97">
        <f>IFERROR(__xludf.DUMMYFUNCTION("""COMPUTED_VALUE"""),16.1)</f>
        <v>16.1</v>
      </c>
      <c r="Q1474" s="97" t="str">
        <f>IFERROR(__xludf.DUMMYFUNCTION("""COMPUTED_VALUE"""),"N/A")</f>
        <v>N/A</v>
      </c>
      <c r="R1474" s="97" t="str">
        <f>IFERROR(__xludf.DUMMYFUNCTION("""COMPUTED_VALUE"""),"-")</f>
        <v>-</v>
      </c>
      <c r="S1474" s="97" t="str">
        <f>IFERROR(__xludf.DUMMYFUNCTION("""COMPUTED_VALUE"""),"-")</f>
        <v>-</v>
      </c>
      <c r="T1474" s="97">
        <f>IFERROR(__xludf.DUMMYFUNCTION("""COMPUTED_VALUE"""),1000.0)</f>
        <v>1000</v>
      </c>
      <c r="U1474" s="99">
        <f>IFERROR(__xludf.DUMMYFUNCTION("""COMPUTED_VALUE"""),66.66666666666667)</f>
        <v>66.66666667</v>
      </c>
      <c r="V1474" s="97">
        <f>IFERROR(__xludf.DUMMYFUNCTION("""COMPUTED_VALUE"""),26.0)</f>
        <v>26</v>
      </c>
      <c r="W1474" s="97" t="str">
        <f>IFERROR(__xludf.DUMMYFUNCTION("""COMPUTED_VALUE"""),"&lt; 15")</f>
        <v>&lt; 15</v>
      </c>
      <c r="X1474" s="97" t="str">
        <f>IFERROR(__xludf.DUMMYFUNCTION("""COMPUTED_VALUE"""),"2700/3300/4000")</f>
        <v>2700/3300/4000</v>
      </c>
      <c r="Y1474" s="97" t="str">
        <f>IFERROR(__xludf.DUMMYFUNCTION("""COMPUTED_VALUE"""),"&gt;90")</f>
        <v>&gt;90</v>
      </c>
      <c r="Z1474" s="97" t="str">
        <f>IFERROR(__xludf.DUMMYFUNCTION("""COMPUTED_VALUE"""),"&gt;90")</f>
        <v>&gt;90</v>
      </c>
      <c r="AA1474" s="97" t="str">
        <f>IFERROR(__xludf.DUMMYFUNCTION("""COMPUTED_VALUE"""),"90-99 (Leve desaturación)")</f>
        <v>90-99 (Leve desaturación)</v>
      </c>
      <c r="AB1474" s="97" t="str">
        <f>IFERROR(__xludf.DUMMYFUNCTION("""COMPUTED_VALUE"""),"&lt; 5")</f>
        <v>&lt; 5</v>
      </c>
      <c r="AC1474" s="97" t="str">
        <f>IFERROR(__xludf.DUMMYFUNCTION("""COMPUTED_VALUE"""),"0,001 / -0,001 / 0,001")</f>
        <v>0,001 / -0,001 / 0,001</v>
      </c>
      <c r="AD1474" s="97" t="str">
        <f>IFERROR(__xludf.DUMMYFUNCTION("""COMPUTED_VALUE"""),"IP20")</f>
        <v>IP20</v>
      </c>
      <c r="AE1474" s="97" t="str">
        <f>IFERROR(__xludf.DUMMYFUNCTION("""COMPUTED_VALUE"""),"Clase lll")</f>
        <v>Clase lll</v>
      </c>
      <c r="AF1474" s="97" t="str">
        <f>IFERROR(__xludf.DUMMYFUNCTION("""COMPUTED_VALUE"""),"Riel")</f>
        <v>Riel</v>
      </c>
      <c r="AG1474" s="97" t="str">
        <f>IFERROR(__xludf.DUMMYFUNCTION("""COMPUTED_VALUE"""),"Ø60 x 135")</f>
        <v>Ø60 x 135</v>
      </c>
      <c r="AH1474" s="97" t="str">
        <f>IFERROR(__xludf.DUMMYFUNCTION("""COMPUTED_VALUE"""),"N/A")</f>
        <v>N/A</v>
      </c>
      <c r="AI1474" s="97" t="str">
        <f>IFERROR(__xludf.DUMMYFUNCTION("""COMPUTED_VALUE"""),"N/A")</f>
        <v>N/A</v>
      </c>
      <c r="AJ1474" s="97" t="str">
        <f>IFERROR(__xludf.DUMMYFUNCTION("""COMPUTED_VALUE"""),"PMMA")</f>
        <v>PMMA</v>
      </c>
      <c r="AK1474" s="97" t="str">
        <f>IFERROR(__xludf.DUMMYFUNCTION("""COMPUTED_VALUE"""),"Aluminio")</f>
        <v>Aluminio</v>
      </c>
      <c r="AL1474" s="97" t="str">
        <f>IFERROR(__xludf.DUMMYFUNCTION("""COMPUTED_VALUE"""),"Negro Satinado")</f>
        <v>Negro Satinado</v>
      </c>
      <c r="AM1474" s="97" t="str">
        <f>IFERROR(__xludf.DUMMYFUNCTION("""COMPUTED_VALUE"""),"-")</f>
        <v>-</v>
      </c>
      <c r="AN1474" s="97" t="str">
        <f>IFERROR(__xludf.DUMMYFUNCTION("""COMPUTED_VALUE"""),"25.000hs (L70)")</f>
        <v>25.000hs (L70)</v>
      </c>
      <c r="AO1474" s="97" t="str">
        <f>IFERROR(__xludf.DUMMYFUNCTION("""COMPUTED_VALUE"""),"2 Años")</f>
        <v>2 Años</v>
      </c>
      <c r="AP1474" s="97" t="str">
        <f>IFERROR(__xludf.DUMMYFUNCTION("""COMPUTED_VALUE"""),"Disponible")</f>
        <v>Disponible</v>
      </c>
      <c r="AQ1474" s="97" t="str">
        <f>IFERROR(__xludf.DUMMYFUNCTION("""COMPUTED_VALUE"""),"Disponible")</f>
        <v>Disponible</v>
      </c>
      <c r="AR1474" s="97" t="str">
        <f>IFERROR(__xludf.DUMMYFUNCTION("""COMPUTED_VALUE"""),"Disponible")</f>
        <v>Disponible</v>
      </c>
      <c r="AS1474" s="97" t="str">
        <f>IFERROR(__xludf.DUMMYFUNCTION("""COMPUTED_VALUE"""),"Disponible")</f>
        <v>Disponible</v>
      </c>
      <c r="AT1474" s="97" t="str">
        <f>IFERROR(__xludf.DUMMYFUNCTION("""COMPUTED_VALUE"""),"Falta")</f>
        <v>Falta</v>
      </c>
      <c r="AU1474" s="97" t="str">
        <f>IFERROR(__xludf.DUMMYFUNCTION("""COMPUTED_VALUE"""),"Disponible")</f>
        <v>Disponible</v>
      </c>
      <c r="AV1474" s="97" t="str">
        <f>IFERROR(__xludf.DUMMYFUNCTION("""COMPUTED_VALUE"""),"Cabezal")</f>
        <v>Cabezal</v>
      </c>
      <c r="AW1474" s="97" t="str">
        <f>IFERROR(__xludf.DUMMYFUNCTION("""COMPUTED_VALUE"""),"Rieles")</f>
        <v>Rieles</v>
      </c>
      <c r="AX1474" s="97" t="str">
        <f>IFERROR(__xludf.DUMMYFUNCTION("""COMPUTED_VALUE"""),"Interior")</f>
        <v>Interior</v>
      </c>
      <c r="AY1474" s="97" t="str">
        <f>IFERROR(__xludf.DUMMYFUNCTION("""COMPUTED_VALUE"""),"-")</f>
        <v>-</v>
      </c>
      <c r="AZ1474" s="97" t="str">
        <f>IFERROR(__xludf.DUMMYFUNCTION("""COMPUTED_VALUE"""),"-")</f>
        <v>-</v>
      </c>
      <c r="BA1474" s="97"/>
      <c r="BB1474" s="97"/>
      <c r="BC1474" s="97"/>
      <c r="BD1474" s="97" t="str">
        <f>IFERROR(__xludf.DUMMYFUNCTION("""COMPUTED_VALUE"""),"POLAR MEX")</f>
        <v>POLAR MEX</v>
      </c>
      <c r="BE1474" s="97"/>
      <c r="BF1474" s="97"/>
      <c r="BG1474" s="97" t="str">
        <f>IFERROR(__xludf.DUMMYFUNCTION("""COMPUTED_VALUE"""),"REPO 7")</f>
        <v>REPO 7</v>
      </c>
    </row>
    <row r="1475">
      <c r="A1475" s="97">
        <f>IFERROR(__xludf.DUMMYFUNCTION("""COMPUTED_VALUE"""),7580.0)</f>
        <v>7580</v>
      </c>
      <c r="B1475" s="97" t="str">
        <f>IFERROR(__xludf.DUMMYFUNCTION("""COMPUTED_VALUE"""),"POLAR MEX 15W BL 3CCT")</f>
        <v>POLAR MEX 15W BL 3CCT</v>
      </c>
      <c r="C1475" s="97" t="str">
        <f>IFERROR(__xludf.DUMMYFUNCTION("""COMPUTED_VALUE"""),"CABEZAL POLAR MEX 15W BL 3CCT 15W 2700/3300/4000K 1000LM CRI&gt;90 IP20 LEUK")</f>
        <v>CABEZAL POLAR MEX 15W BL 3CCT 15W 2700/3300/4000K 1000LM CRI&gt;90 IP20 LEUK</v>
      </c>
      <c r="D1475" s="97">
        <f>IFERROR(__xludf.DUMMYFUNCTION("""COMPUTED_VALUE"""),7.798485460367E12)</f>
        <v>7798485460367</v>
      </c>
      <c r="E1475" s="97" t="str">
        <f>IFERROR(__xludf.DUMMYFUNCTION("""COMPUTED_VALUE"""),"-")</f>
        <v>-</v>
      </c>
      <c r="F1475" s="97" t="str">
        <f>IFERROR(__xludf.DUMMYFUNCTION("""COMPUTED_VALUE"""),"LED integrado")</f>
        <v>LED integrado</v>
      </c>
      <c r="G1475" s="97" t="str">
        <f>IFERROR(__xludf.DUMMYFUNCTION("""COMPUTED_VALUE"""),"-")</f>
        <v>-</v>
      </c>
      <c r="H1475" s="97" t="str">
        <f>IFERROR(__xludf.DUMMYFUNCTION("""COMPUTED_VALUE"""),"N/A")</f>
        <v>N/A</v>
      </c>
      <c r="I1475" s="97" t="str">
        <f>IFERROR(__xludf.DUMMYFUNCTION("""COMPUTED_VALUE"""),"N/A")</f>
        <v>N/A</v>
      </c>
      <c r="J1475" s="97" t="str">
        <f>IFERROR(__xludf.DUMMYFUNCTION("""COMPUTED_VALUE"""),"N/A")</f>
        <v>N/A</v>
      </c>
      <c r="K1475" s="97" t="str">
        <f>IFERROR(__xludf.DUMMYFUNCTION("""COMPUTED_VALUE"""),"Smart / App")</f>
        <v>Smart / App</v>
      </c>
      <c r="L1475" s="97" t="str">
        <f>IFERROR(__xludf.DUMMYFUNCTION("""COMPUTED_VALUE"""),"48Vdc")</f>
        <v>48Vdc</v>
      </c>
      <c r="M1475" s="97" t="str">
        <f>IFERROR(__xludf.DUMMYFUNCTION("""COMPUTED_VALUE"""),"N/A")</f>
        <v>N/A</v>
      </c>
      <c r="N1475" s="97"/>
      <c r="O1475" s="97">
        <f>IFERROR(__xludf.DUMMYFUNCTION("""COMPUTED_VALUE"""),15.0)</f>
        <v>15</v>
      </c>
      <c r="P1475" s="97">
        <f>IFERROR(__xludf.DUMMYFUNCTION("""COMPUTED_VALUE"""),16.1)</f>
        <v>16.1</v>
      </c>
      <c r="Q1475" s="97" t="str">
        <f>IFERROR(__xludf.DUMMYFUNCTION("""COMPUTED_VALUE"""),"N/A")</f>
        <v>N/A</v>
      </c>
      <c r="R1475" s="97" t="str">
        <f>IFERROR(__xludf.DUMMYFUNCTION("""COMPUTED_VALUE"""),"-")</f>
        <v>-</v>
      </c>
      <c r="S1475" s="97" t="str">
        <f>IFERROR(__xludf.DUMMYFUNCTION("""COMPUTED_VALUE"""),"-")</f>
        <v>-</v>
      </c>
      <c r="T1475" s="97">
        <f>IFERROR(__xludf.DUMMYFUNCTION("""COMPUTED_VALUE"""),1000.0)</f>
        <v>1000</v>
      </c>
      <c r="U1475" s="99">
        <f>IFERROR(__xludf.DUMMYFUNCTION("""COMPUTED_VALUE"""),66.66666666666667)</f>
        <v>66.66666667</v>
      </c>
      <c r="V1475" s="97">
        <f>IFERROR(__xludf.DUMMYFUNCTION("""COMPUTED_VALUE"""),26.0)</f>
        <v>26</v>
      </c>
      <c r="W1475" s="97" t="str">
        <f>IFERROR(__xludf.DUMMYFUNCTION("""COMPUTED_VALUE"""),"&lt; 15")</f>
        <v>&lt; 15</v>
      </c>
      <c r="X1475" s="97" t="str">
        <f>IFERROR(__xludf.DUMMYFUNCTION("""COMPUTED_VALUE"""),"2700/3300/4000")</f>
        <v>2700/3300/4000</v>
      </c>
      <c r="Y1475" s="97" t="str">
        <f>IFERROR(__xludf.DUMMYFUNCTION("""COMPUTED_VALUE"""),"&gt;90")</f>
        <v>&gt;90</v>
      </c>
      <c r="Z1475" s="97" t="str">
        <f>IFERROR(__xludf.DUMMYFUNCTION("""COMPUTED_VALUE"""),"&gt;90")</f>
        <v>&gt;90</v>
      </c>
      <c r="AA1475" s="97" t="str">
        <f>IFERROR(__xludf.DUMMYFUNCTION("""COMPUTED_VALUE"""),"90-99 (Leve desaturación)")</f>
        <v>90-99 (Leve desaturación)</v>
      </c>
      <c r="AB1475" s="97" t="str">
        <f>IFERROR(__xludf.DUMMYFUNCTION("""COMPUTED_VALUE"""),"&lt; 5")</f>
        <v>&lt; 5</v>
      </c>
      <c r="AC1475" s="97" t="str">
        <f>IFERROR(__xludf.DUMMYFUNCTION("""COMPUTED_VALUE"""),"0,001 / -0,001 / 0,001")</f>
        <v>0,001 / -0,001 / 0,001</v>
      </c>
      <c r="AD1475" s="97" t="str">
        <f>IFERROR(__xludf.DUMMYFUNCTION("""COMPUTED_VALUE"""),"IP20")</f>
        <v>IP20</v>
      </c>
      <c r="AE1475" s="97" t="str">
        <f>IFERROR(__xludf.DUMMYFUNCTION("""COMPUTED_VALUE"""),"Clase lll")</f>
        <v>Clase lll</v>
      </c>
      <c r="AF1475" s="97" t="str">
        <f>IFERROR(__xludf.DUMMYFUNCTION("""COMPUTED_VALUE"""),"Riel")</f>
        <v>Riel</v>
      </c>
      <c r="AG1475" s="97" t="str">
        <f>IFERROR(__xludf.DUMMYFUNCTION("""COMPUTED_VALUE"""),"Ø60 x 135")</f>
        <v>Ø60 x 135</v>
      </c>
      <c r="AH1475" s="97" t="str">
        <f>IFERROR(__xludf.DUMMYFUNCTION("""COMPUTED_VALUE"""),"N/A")</f>
        <v>N/A</v>
      </c>
      <c r="AI1475" s="97" t="str">
        <f>IFERROR(__xludf.DUMMYFUNCTION("""COMPUTED_VALUE"""),"N/A")</f>
        <v>N/A</v>
      </c>
      <c r="AJ1475" s="97" t="str">
        <f>IFERROR(__xludf.DUMMYFUNCTION("""COMPUTED_VALUE"""),"PMMA")</f>
        <v>PMMA</v>
      </c>
      <c r="AK1475" s="97" t="str">
        <f>IFERROR(__xludf.DUMMYFUNCTION("""COMPUTED_VALUE"""),"Aluminio")</f>
        <v>Aluminio</v>
      </c>
      <c r="AL1475" s="97" t="str">
        <f>IFERROR(__xludf.DUMMYFUNCTION("""COMPUTED_VALUE"""),"Blanco Satinado")</f>
        <v>Blanco Satinado</v>
      </c>
      <c r="AM1475" s="97" t="str">
        <f>IFERROR(__xludf.DUMMYFUNCTION("""COMPUTED_VALUE"""),"-")</f>
        <v>-</v>
      </c>
      <c r="AN1475" s="97" t="str">
        <f>IFERROR(__xludf.DUMMYFUNCTION("""COMPUTED_VALUE"""),"25.000hs (L70)")</f>
        <v>25.000hs (L70)</v>
      </c>
      <c r="AO1475" s="97" t="str">
        <f>IFERROR(__xludf.DUMMYFUNCTION("""COMPUTED_VALUE"""),"2 Años")</f>
        <v>2 Años</v>
      </c>
      <c r="AP1475" s="97" t="str">
        <f>IFERROR(__xludf.DUMMYFUNCTION("""COMPUTED_VALUE"""),"Disponible")</f>
        <v>Disponible</v>
      </c>
      <c r="AQ1475" s="97" t="str">
        <f>IFERROR(__xludf.DUMMYFUNCTION("""COMPUTED_VALUE"""),"Disponible")</f>
        <v>Disponible</v>
      </c>
      <c r="AR1475" s="97" t="str">
        <f>IFERROR(__xludf.DUMMYFUNCTION("""COMPUTED_VALUE"""),"Disponible")</f>
        <v>Disponible</v>
      </c>
      <c r="AS1475" s="97" t="str">
        <f>IFERROR(__xludf.DUMMYFUNCTION("""COMPUTED_VALUE"""),"Disponible")</f>
        <v>Disponible</v>
      </c>
      <c r="AT1475" s="97" t="str">
        <f>IFERROR(__xludf.DUMMYFUNCTION("""COMPUTED_VALUE"""),"Falta")</f>
        <v>Falta</v>
      </c>
      <c r="AU1475" s="97" t="str">
        <f>IFERROR(__xludf.DUMMYFUNCTION("""COMPUTED_VALUE"""),"Disponible")</f>
        <v>Disponible</v>
      </c>
      <c r="AV1475" s="97" t="str">
        <f>IFERROR(__xludf.DUMMYFUNCTION("""COMPUTED_VALUE"""),"Cabezal")</f>
        <v>Cabezal</v>
      </c>
      <c r="AW1475" s="97" t="str">
        <f>IFERROR(__xludf.DUMMYFUNCTION("""COMPUTED_VALUE"""),"Rieles")</f>
        <v>Rieles</v>
      </c>
      <c r="AX1475" s="97" t="str">
        <f>IFERROR(__xludf.DUMMYFUNCTION("""COMPUTED_VALUE"""),"Interior")</f>
        <v>Interior</v>
      </c>
      <c r="AY1475" s="97" t="str">
        <f>IFERROR(__xludf.DUMMYFUNCTION("""COMPUTED_VALUE"""),"-")</f>
        <v>-</v>
      </c>
      <c r="AZ1475" s="97" t="str">
        <f>IFERROR(__xludf.DUMMYFUNCTION("""COMPUTED_VALUE"""),"-")</f>
        <v>-</v>
      </c>
      <c r="BA1475" s="97"/>
      <c r="BB1475" s="97"/>
      <c r="BC1475" s="97"/>
      <c r="BD1475" s="97" t="str">
        <f>IFERROR(__xludf.DUMMYFUNCTION("""COMPUTED_VALUE"""),"POLAR MEX")</f>
        <v>POLAR MEX</v>
      </c>
      <c r="BE1475" s="97"/>
      <c r="BF1475" s="97"/>
      <c r="BG1475" s="97" t="str">
        <f>IFERROR(__xludf.DUMMYFUNCTION("""COMPUTED_VALUE"""),"REPO 7")</f>
        <v>REPO 7</v>
      </c>
    </row>
    <row r="1476">
      <c r="A1476" s="97">
        <f>IFERROR(__xludf.DUMMYFUNCTION("""COMPUTED_VALUE"""),7581.0)</f>
        <v>7581</v>
      </c>
      <c r="B1476" s="97" t="str">
        <f>IFERROR(__xludf.DUMMYFUNCTION("""COMPUTED_VALUE"""),"POLAR BEAM 10W NG 3CCT")</f>
        <v>POLAR BEAM 10W NG 3CCT</v>
      </c>
      <c r="C1476" s="97" t="str">
        <f>IFERROR(__xludf.DUMMYFUNCTION("""COMPUTED_VALUE"""),"COLGANTE POLAR BEAM 10W NG 3CCT 10W 2700/3300/4000K 780LM CRI&gt;90 IP20 LEUK")</f>
        <v>COLGANTE POLAR BEAM 10W NG 3CCT 10W 2700/3300/4000K 780LM CRI&gt;90 IP20 LEUK</v>
      </c>
      <c r="D1476" s="97">
        <f>IFERROR(__xludf.DUMMYFUNCTION("""COMPUTED_VALUE"""),7.798485460374E12)</f>
        <v>7798485460374</v>
      </c>
      <c r="E1476" s="97" t="str">
        <f>IFERROR(__xludf.DUMMYFUNCTION("""COMPUTED_VALUE"""),"-")</f>
        <v>-</v>
      </c>
      <c r="F1476" s="97" t="str">
        <f>IFERROR(__xludf.DUMMYFUNCTION("""COMPUTED_VALUE"""),"LED integrado")</f>
        <v>LED integrado</v>
      </c>
      <c r="G1476" s="97" t="str">
        <f>IFERROR(__xludf.DUMMYFUNCTION("""COMPUTED_VALUE"""),"-")</f>
        <v>-</v>
      </c>
      <c r="H1476" s="97" t="str">
        <f>IFERROR(__xludf.DUMMYFUNCTION("""COMPUTED_VALUE"""),"N/A")</f>
        <v>N/A</v>
      </c>
      <c r="I1476" s="97" t="str">
        <f>IFERROR(__xludf.DUMMYFUNCTION("""COMPUTED_VALUE"""),"N/A")</f>
        <v>N/A</v>
      </c>
      <c r="J1476" s="97" t="str">
        <f>IFERROR(__xludf.DUMMYFUNCTION("""COMPUTED_VALUE"""),"N/A")</f>
        <v>N/A</v>
      </c>
      <c r="K1476" s="97" t="str">
        <f>IFERROR(__xludf.DUMMYFUNCTION("""COMPUTED_VALUE"""),"Smart / App")</f>
        <v>Smart / App</v>
      </c>
      <c r="L1476" s="97" t="str">
        <f>IFERROR(__xludf.DUMMYFUNCTION("""COMPUTED_VALUE"""),"48Vdc")</f>
        <v>48Vdc</v>
      </c>
      <c r="M1476" s="97" t="str">
        <f>IFERROR(__xludf.DUMMYFUNCTION("""COMPUTED_VALUE"""),"N/A")</f>
        <v>N/A</v>
      </c>
      <c r="N1476" s="97"/>
      <c r="O1476" s="97">
        <f>IFERROR(__xludf.DUMMYFUNCTION("""COMPUTED_VALUE"""),10.0)</f>
        <v>10</v>
      </c>
      <c r="P1476" s="97">
        <f>IFERROR(__xludf.DUMMYFUNCTION("""COMPUTED_VALUE"""),10.6)</f>
        <v>10.6</v>
      </c>
      <c r="Q1476" s="97" t="str">
        <f>IFERROR(__xludf.DUMMYFUNCTION("""COMPUTED_VALUE"""),"N/A")</f>
        <v>N/A</v>
      </c>
      <c r="R1476" s="97" t="str">
        <f>IFERROR(__xludf.DUMMYFUNCTION("""COMPUTED_VALUE"""),"-")</f>
        <v>-</v>
      </c>
      <c r="S1476" s="97" t="str">
        <f>IFERROR(__xludf.DUMMYFUNCTION("""COMPUTED_VALUE"""),"-")</f>
        <v>-</v>
      </c>
      <c r="T1476" s="97">
        <f>IFERROR(__xludf.DUMMYFUNCTION("""COMPUTED_VALUE"""),780.0)</f>
        <v>780</v>
      </c>
      <c r="U1476" s="97">
        <f>IFERROR(__xludf.DUMMYFUNCTION("""COMPUTED_VALUE"""),78.0)</f>
        <v>78</v>
      </c>
      <c r="V1476" s="97">
        <f>IFERROR(__xludf.DUMMYFUNCTION("""COMPUTED_VALUE"""),38.0)</f>
        <v>38</v>
      </c>
      <c r="W1476" s="97" t="str">
        <f>IFERROR(__xludf.DUMMYFUNCTION("""COMPUTED_VALUE"""),"&lt; 25")</f>
        <v>&lt; 25</v>
      </c>
      <c r="X1476" s="97" t="str">
        <f>IFERROR(__xludf.DUMMYFUNCTION("""COMPUTED_VALUE"""),"2700/3300/4000")</f>
        <v>2700/3300/4000</v>
      </c>
      <c r="Y1476" s="97" t="str">
        <f>IFERROR(__xludf.DUMMYFUNCTION("""COMPUTED_VALUE"""),"&gt;90")</f>
        <v>&gt;90</v>
      </c>
      <c r="Z1476" s="97" t="str">
        <f>IFERROR(__xludf.DUMMYFUNCTION("""COMPUTED_VALUE"""),"&gt;90")</f>
        <v>&gt;90</v>
      </c>
      <c r="AA1476" s="97" t="str">
        <f>IFERROR(__xludf.DUMMYFUNCTION("""COMPUTED_VALUE"""),"90-99 (Leve desaturación)")</f>
        <v>90-99 (Leve desaturación)</v>
      </c>
      <c r="AB1476" s="97" t="str">
        <f>IFERROR(__xludf.DUMMYFUNCTION("""COMPUTED_VALUE"""),"-")</f>
        <v>-</v>
      </c>
      <c r="AC1476" s="97" t="str">
        <f>IFERROR(__xludf.DUMMYFUNCTION("""COMPUTED_VALUE"""),"0,00083 / -0,00152 / 0,00024")</f>
        <v>0,00083 / -0,00152 / 0,00024</v>
      </c>
      <c r="AD1476" s="97" t="str">
        <f>IFERROR(__xludf.DUMMYFUNCTION("""COMPUTED_VALUE"""),"IP20")</f>
        <v>IP20</v>
      </c>
      <c r="AE1476" s="97" t="str">
        <f>IFERROR(__xludf.DUMMYFUNCTION("""COMPUTED_VALUE"""),"Clase lll")</f>
        <v>Clase lll</v>
      </c>
      <c r="AF1476" s="97" t="str">
        <f>IFERROR(__xludf.DUMMYFUNCTION("""COMPUTED_VALUE"""),"Riel")</f>
        <v>Riel</v>
      </c>
      <c r="AG1476" s="97" t="str">
        <f>IFERROR(__xludf.DUMMYFUNCTION("""COMPUTED_VALUE"""),"Ø40 x 300")</f>
        <v>Ø40 x 300</v>
      </c>
      <c r="AH1476" s="97" t="str">
        <f>IFERROR(__xludf.DUMMYFUNCTION("""COMPUTED_VALUE"""),"N/A")</f>
        <v>N/A</v>
      </c>
      <c r="AI1476" s="97" t="str">
        <f>IFERROR(__xludf.DUMMYFUNCTION("""COMPUTED_VALUE"""),"N/A")</f>
        <v>N/A</v>
      </c>
      <c r="AJ1476" s="97" t="str">
        <f>IFERROR(__xludf.DUMMYFUNCTION("""COMPUTED_VALUE"""),"PMMA")</f>
        <v>PMMA</v>
      </c>
      <c r="AK1476" s="97" t="str">
        <f>IFERROR(__xludf.DUMMYFUNCTION("""COMPUTED_VALUE"""),"Aluminio")</f>
        <v>Aluminio</v>
      </c>
      <c r="AL1476" s="97" t="str">
        <f>IFERROR(__xludf.DUMMYFUNCTION("""COMPUTED_VALUE"""),"Negro Satinado")</f>
        <v>Negro Satinado</v>
      </c>
      <c r="AM1476" s="97" t="str">
        <f>IFERROR(__xludf.DUMMYFUNCTION("""COMPUTED_VALUE"""),"-")</f>
        <v>-</v>
      </c>
      <c r="AN1476" s="97" t="str">
        <f>IFERROR(__xludf.DUMMYFUNCTION("""COMPUTED_VALUE"""),"25.000hs (L70)")</f>
        <v>25.000hs (L70)</v>
      </c>
      <c r="AO1476" s="97" t="str">
        <f>IFERROR(__xludf.DUMMYFUNCTION("""COMPUTED_VALUE"""),"2 Años")</f>
        <v>2 Años</v>
      </c>
      <c r="AP1476" s="97" t="str">
        <f>IFERROR(__xludf.DUMMYFUNCTION("""COMPUTED_VALUE"""),"Disponible")</f>
        <v>Disponible</v>
      </c>
      <c r="AQ1476" s="97" t="str">
        <f>IFERROR(__xludf.DUMMYFUNCTION("""COMPUTED_VALUE"""),"Disponible")</f>
        <v>Disponible</v>
      </c>
      <c r="AR1476" s="97" t="str">
        <f>IFERROR(__xludf.DUMMYFUNCTION("""COMPUTED_VALUE"""),"Disponible")</f>
        <v>Disponible</v>
      </c>
      <c r="AS1476" s="97" t="str">
        <f>IFERROR(__xludf.DUMMYFUNCTION("""COMPUTED_VALUE"""),"Falta")</f>
        <v>Falta</v>
      </c>
      <c r="AT1476" s="97" t="str">
        <f>IFERROR(__xludf.DUMMYFUNCTION("""COMPUTED_VALUE"""),"Falta")</f>
        <v>Falta</v>
      </c>
      <c r="AU1476" s="97" t="str">
        <f>IFERROR(__xludf.DUMMYFUNCTION("""COMPUTED_VALUE"""),"Disponible")</f>
        <v>Disponible</v>
      </c>
      <c r="AV1476" s="97" t="str">
        <f>IFERROR(__xludf.DUMMYFUNCTION("""COMPUTED_VALUE"""),"Colgante")</f>
        <v>Colgante</v>
      </c>
      <c r="AW1476" s="97" t="str">
        <f>IFERROR(__xludf.DUMMYFUNCTION("""COMPUTED_VALUE"""),"Rieles")</f>
        <v>Rieles</v>
      </c>
      <c r="AX1476" s="97" t="str">
        <f>IFERROR(__xludf.DUMMYFUNCTION("""COMPUTED_VALUE"""),"Interior")</f>
        <v>Interior</v>
      </c>
      <c r="AY1476" s="97" t="str">
        <f>IFERROR(__xludf.DUMMYFUNCTION("""COMPUTED_VALUE"""),"-")</f>
        <v>-</v>
      </c>
      <c r="AZ1476" s="97" t="str">
        <f>IFERROR(__xludf.DUMMYFUNCTION("""COMPUTED_VALUE"""),"-")</f>
        <v>-</v>
      </c>
      <c r="BA1476" s="97"/>
      <c r="BB1476" s="97"/>
      <c r="BC1476" s="97"/>
      <c r="BD1476" s="97" t="str">
        <f>IFERROR(__xludf.DUMMYFUNCTION("""COMPUTED_VALUE"""),"POLAR BEAM")</f>
        <v>POLAR BEAM</v>
      </c>
      <c r="BE1476" s="97"/>
      <c r="BF1476" s="97"/>
      <c r="BG1476" s="97" t="str">
        <f>IFERROR(__xludf.DUMMYFUNCTION("""COMPUTED_VALUE"""),"REPO 7")</f>
        <v>REPO 7</v>
      </c>
    </row>
    <row r="1477">
      <c r="A1477" s="97">
        <f>IFERROR(__xludf.DUMMYFUNCTION("""COMPUTED_VALUE"""),7582.0)</f>
        <v>7582</v>
      </c>
      <c r="B1477" s="97" t="str">
        <f>IFERROR(__xludf.DUMMYFUNCTION("""COMPUTED_VALUE"""),"POLAR BEAM 10W BL 3CCT")</f>
        <v>POLAR BEAM 10W BL 3CCT</v>
      </c>
      <c r="C1477" s="97" t="str">
        <f>IFERROR(__xludf.DUMMYFUNCTION("""COMPUTED_VALUE"""),"COLGANTE POLAR BEAM 10W BL 3CCT 10W 2700/3300/4000K 780LM CRI&gt;90 IP20 LEUK")</f>
        <v>COLGANTE POLAR BEAM 10W BL 3CCT 10W 2700/3300/4000K 780LM CRI&gt;90 IP20 LEUK</v>
      </c>
      <c r="D1477" s="97">
        <f>IFERROR(__xludf.DUMMYFUNCTION("""COMPUTED_VALUE"""),7.798485460381E12)</f>
        <v>7798485460381</v>
      </c>
      <c r="E1477" s="97" t="str">
        <f>IFERROR(__xludf.DUMMYFUNCTION("""COMPUTED_VALUE"""),"-")</f>
        <v>-</v>
      </c>
      <c r="F1477" s="97" t="str">
        <f>IFERROR(__xludf.DUMMYFUNCTION("""COMPUTED_VALUE"""),"LED integrado")</f>
        <v>LED integrado</v>
      </c>
      <c r="G1477" s="97" t="str">
        <f>IFERROR(__xludf.DUMMYFUNCTION("""COMPUTED_VALUE"""),"-")</f>
        <v>-</v>
      </c>
      <c r="H1477" s="97" t="str">
        <f>IFERROR(__xludf.DUMMYFUNCTION("""COMPUTED_VALUE"""),"N/A")</f>
        <v>N/A</v>
      </c>
      <c r="I1477" s="97" t="str">
        <f>IFERROR(__xludf.DUMMYFUNCTION("""COMPUTED_VALUE"""),"N/A")</f>
        <v>N/A</v>
      </c>
      <c r="J1477" s="97" t="str">
        <f>IFERROR(__xludf.DUMMYFUNCTION("""COMPUTED_VALUE"""),"N/A")</f>
        <v>N/A</v>
      </c>
      <c r="K1477" s="97" t="str">
        <f>IFERROR(__xludf.DUMMYFUNCTION("""COMPUTED_VALUE"""),"Smart / App")</f>
        <v>Smart / App</v>
      </c>
      <c r="L1477" s="97" t="str">
        <f>IFERROR(__xludf.DUMMYFUNCTION("""COMPUTED_VALUE"""),"48Vdc")</f>
        <v>48Vdc</v>
      </c>
      <c r="M1477" s="97" t="str">
        <f>IFERROR(__xludf.DUMMYFUNCTION("""COMPUTED_VALUE"""),"N/A")</f>
        <v>N/A</v>
      </c>
      <c r="N1477" s="97"/>
      <c r="O1477" s="97">
        <f>IFERROR(__xludf.DUMMYFUNCTION("""COMPUTED_VALUE"""),10.0)</f>
        <v>10</v>
      </c>
      <c r="P1477" s="97">
        <f>IFERROR(__xludf.DUMMYFUNCTION("""COMPUTED_VALUE"""),10.6)</f>
        <v>10.6</v>
      </c>
      <c r="Q1477" s="97" t="str">
        <f>IFERROR(__xludf.DUMMYFUNCTION("""COMPUTED_VALUE"""),"N/A")</f>
        <v>N/A</v>
      </c>
      <c r="R1477" s="97" t="str">
        <f>IFERROR(__xludf.DUMMYFUNCTION("""COMPUTED_VALUE"""),"-")</f>
        <v>-</v>
      </c>
      <c r="S1477" s="97" t="str">
        <f>IFERROR(__xludf.DUMMYFUNCTION("""COMPUTED_VALUE"""),"-")</f>
        <v>-</v>
      </c>
      <c r="T1477" s="97">
        <f>IFERROR(__xludf.DUMMYFUNCTION("""COMPUTED_VALUE"""),780.0)</f>
        <v>780</v>
      </c>
      <c r="U1477" s="97">
        <f>IFERROR(__xludf.DUMMYFUNCTION("""COMPUTED_VALUE"""),78.0)</f>
        <v>78</v>
      </c>
      <c r="V1477" s="97">
        <f>IFERROR(__xludf.DUMMYFUNCTION("""COMPUTED_VALUE"""),38.0)</f>
        <v>38</v>
      </c>
      <c r="W1477" s="97" t="str">
        <f>IFERROR(__xludf.DUMMYFUNCTION("""COMPUTED_VALUE"""),"&lt; 25")</f>
        <v>&lt; 25</v>
      </c>
      <c r="X1477" s="97" t="str">
        <f>IFERROR(__xludf.DUMMYFUNCTION("""COMPUTED_VALUE"""),"2700/3300/4000")</f>
        <v>2700/3300/4000</v>
      </c>
      <c r="Y1477" s="97" t="str">
        <f>IFERROR(__xludf.DUMMYFUNCTION("""COMPUTED_VALUE"""),"&gt;90")</f>
        <v>&gt;90</v>
      </c>
      <c r="Z1477" s="97" t="str">
        <f>IFERROR(__xludf.DUMMYFUNCTION("""COMPUTED_VALUE"""),"&gt;90")</f>
        <v>&gt;90</v>
      </c>
      <c r="AA1477" s="97" t="str">
        <f>IFERROR(__xludf.DUMMYFUNCTION("""COMPUTED_VALUE"""),"90-99 (Leve desaturación)")</f>
        <v>90-99 (Leve desaturación)</v>
      </c>
      <c r="AB1477" s="97" t="str">
        <f>IFERROR(__xludf.DUMMYFUNCTION("""COMPUTED_VALUE"""),"-")</f>
        <v>-</v>
      </c>
      <c r="AC1477" s="97" t="str">
        <f>IFERROR(__xludf.DUMMYFUNCTION("""COMPUTED_VALUE"""),"0,00083 / -0,00152 / 0,00024")</f>
        <v>0,00083 / -0,00152 / 0,00024</v>
      </c>
      <c r="AD1477" s="97" t="str">
        <f>IFERROR(__xludf.DUMMYFUNCTION("""COMPUTED_VALUE"""),"IP20")</f>
        <v>IP20</v>
      </c>
      <c r="AE1477" s="97" t="str">
        <f>IFERROR(__xludf.DUMMYFUNCTION("""COMPUTED_VALUE"""),"Clase lll")</f>
        <v>Clase lll</v>
      </c>
      <c r="AF1477" s="97" t="str">
        <f>IFERROR(__xludf.DUMMYFUNCTION("""COMPUTED_VALUE"""),"Riel")</f>
        <v>Riel</v>
      </c>
      <c r="AG1477" s="97" t="str">
        <f>IFERROR(__xludf.DUMMYFUNCTION("""COMPUTED_VALUE"""),"Ø40 x 300")</f>
        <v>Ø40 x 300</v>
      </c>
      <c r="AH1477" s="97" t="str">
        <f>IFERROR(__xludf.DUMMYFUNCTION("""COMPUTED_VALUE"""),"N/A")</f>
        <v>N/A</v>
      </c>
      <c r="AI1477" s="97" t="str">
        <f>IFERROR(__xludf.DUMMYFUNCTION("""COMPUTED_VALUE"""),"N/A")</f>
        <v>N/A</v>
      </c>
      <c r="AJ1477" s="97" t="str">
        <f>IFERROR(__xludf.DUMMYFUNCTION("""COMPUTED_VALUE"""),"PMMA")</f>
        <v>PMMA</v>
      </c>
      <c r="AK1477" s="97" t="str">
        <f>IFERROR(__xludf.DUMMYFUNCTION("""COMPUTED_VALUE"""),"Aluminio")</f>
        <v>Aluminio</v>
      </c>
      <c r="AL1477" s="97" t="str">
        <f>IFERROR(__xludf.DUMMYFUNCTION("""COMPUTED_VALUE"""),"Blanco Satinado")</f>
        <v>Blanco Satinado</v>
      </c>
      <c r="AM1477" s="97" t="str">
        <f>IFERROR(__xludf.DUMMYFUNCTION("""COMPUTED_VALUE"""),"-")</f>
        <v>-</v>
      </c>
      <c r="AN1477" s="97" t="str">
        <f>IFERROR(__xludf.DUMMYFUNCTION("""COMPUTED_VALUE"""),"25.000hs (L70)")</f>
        <v>25.000hs (L70)</v>
      </c>
      <c r="AO1477" s="97" t="str">
        <f>IFERROR(__xludf.DUMMYFUNCTION("""COMPUTED_VALUE"""),"2 Años")</f>
        <v>2 Años</v>
      </c>
      <c r="AP1477" s="97" t="str">
        <f>IFERROR(__xludf.DUMMYFUNCTION("""COMPUTED_VALUE"""),"Disponible")</f>
        <v>Disponible</v>
      </c>
      <c r="AQ1477" s="97" t="str">
        <f>IFERROR(__xludf.DUMMYFUNCTION("""COMPUTED_VALUE"""),"Disponible")</f>
        <v>Disponible</v>
      </c>
      <c r="AR1477" s="97" t="str">
        <f>IFERROR(__xludf.DUMMYFUNCTION("""COMPUTED_VALUE"""),"Disponible")</f>
        <v>Disponible</v>
      </c>
      <c r="AS1477" s="97" t="str">
        <f>IFERROR(__xludf.DUMMYFUNCTION("""COMPUTED_VALUE"""),"Falta")</f>
        <v>Falta</v>
      </c>
      <c r="AT1477" s="97" t="str">
        <f>IFERROR(__xludf.DUMMYFUNCTION("""COMPUTED_VALUE"""),"Falta")</f>
        <v>Falta</v>
      </c>
      <c r="AU1477" s="97" t="str">
        <f>IFERROR(__xludf.DUMMYFUNCTION("""COMPUTED_VALUE"""),"Disponible")</f>
        <v>Disponible</v>
      </c>
      <c r="AV1477" s="97" t="str">
        <f>IFERROR(__xludf.DUMMYFUNCTION("""COMPUTED_VALUE"""),"Colgante")</f>
        <v>Colgante</v>
      </c>
      <c r="AW1477" s="97" t="str">
        <f>IFERROR(__xludf.DUMMYFUNCTION("""COMPUTED_VALUE"""),"Rieles")</f>
        <v>Rieles</v>
      </c>
      <c r="AX1477" s="97" t="str">
        <f>IFERROR(__xludf.DUMMYFUNCTION("""COMPUTED_VALUE"""),"Interior")</f>
        <v>Interior</v>
      </c>
      <c r="AY1477" s="97" t="str">
        <f>IFERROR(__xludf.DUMMYFUNCTION("""COMPUTED_VALUE"""),"-")</f>
        <v>-</v>
      </c>
      <c r="AZ1477" s="97" t="str">
        <f>IFERROR(__xludf.DUMMYFUNCTION("""COMPUTED_VALUE"""),"-")</f>
        <v>-</v>
      </c>
      <c r="BA1477" s="97"/>
      <c r="BB1477" s="97"/>
      <c r="BC1477" s="97"/>
      <c r="BD1477" s="97" t="str">
        <f>IFERROR(__xludf.DUMMYFUNCTION("""COMPUTED_VALUE"""),"POLAR BEAM")</f>
        <v>POLAR BEAM</v>
      </c>
      <c r="BE1477" s="97"/>
      <c r="BF1477" s="97"/>
      <c r="BG1477" s="97" t="str">
        <f>IFERROR(__xludf.DUMMYFUNCTION("""COMPUTED_VALUE"""),"REPO 7")</f>
        <v>REPO 7</v>
      </c>
    </row>
    <row r="1478">
      <c r="A1478" s="97">
        <f>IFERROR(__xludf.DUMMYFUNCTION("""COMPUTED_VALUE"""),7583.0)</f>
        <v>7583</v>
      </c>
      <c r="B1478" s="97" t="str">
        <f>IFERROR(__xludf.DUMMYFUNCTION("""COMPUTED_VALUE"""),"POLAR LINE 10W NG 3000K")</f>
        <v>POLAR LINE 10W NG 3000K</v>
      </c>
      <c r="C1478" s="97" t="str">
        <f>IFERROR(__xludf.DUMMYFUNCTION("""COMPUTED_VALUE"""),"CABEZAL POLAR LINE 10W NG 3000K 10W 3000K 600LM CRI&gt;90 IP20 LEUK")</f>
        <v>CABEZAL POLAR LINE 10W NG 3000K 10W 3000K 600LM CRI&gt;90 IP20 LEUK</v>
      </c>
      <c r="D1478" s="97">
        <f>IFERROR(__xludf.DUMMYFUNCTION("""COMPUTED_VALUE"""),7.798485460398E12)</f>
        <v>7798485460398</v>
      </c>
      <c r="E1478" s="97" t="str">
        <f>IFERROR(__xludf.DUMMYFUNCTION("""COMPUTED_VALUE"""),"-")</f>
        <v>-</v>
      </c>
      <c r="F1478" s="97" t="str">
        <f>IFERROR(__xludf.DUMMYFUNCTION("""COMPUTED_VALUE"""),"LED integrado")</f>
        <v>LED integrado</v>
      </c>
      <c r="G1478" s="97" t="str">
        <f>IFERROR(__xludf.DUMMYFUNCTION("""COMPUTED_VALUE"""),"-")</f>
        <v>-</v>
      </c>
      <c r="H1478" s="97" t="str">
        <f>IFERROR(__xludf.DUMMYFUNCTION("""COMPUTED_VALUE"""),"N/A")</f>
        <v>N/A</v>
      </c>
      <c r="I1478" s="97" t="str">
        <f>IFERROR(__xludf.DUMMYFUNCTION("""COMPUTED_VALUE"""),"N/A")</f>
        <v>N/A</v>
      </c>
      <c r="J1478" s="97" t="str">
        <f>IFERROR(__xludf.DUMMYFUNCTION("""COMPUTED_VALUE"""),"N/A")</f>
        <v>N/A</v>
      </c>
      <c r="K1478" s="97" t="str">
        <f>IFERROR(__xludf.DUMMYFUNCTION("""COMPUTED_VALUE"""),"ON/OFF")</f>
        <v>ON/OFF</v>
      </c>
      <c r="L1478" s="97" t="str">
        <f>IFERROR(__xludf.DUMMYFUNCTION("""COMPUTED_VALUE"""),"48Vdc")</f>
        <v>48Vdc</v>
      </c>
      <c r="M1478" s="97" t="str">
        <f>IFERROR(__xludf.DUMMYFUNCTION("""COMPUTED_VALUE"""),"N/A")</f>
        <v>N/A</v>
      </c>
      <c r="N1478" s="97"/>
      <c r="O1478" s="97">
        <f>IFERROR(__xludf.DUMMYFUNCTION("""COMPUTED_VALUE"""),10.0)</f>
        <v>10</v>
      </c>
      <c r="P1478" s="97">
        <f>IFERROR(__xludf.DUMMYFUNCTION("""COMPUTED_VALUE"""),10.3)</f>
        <v>10.3</v>
      </c>
      <c r="Q1478" s="97" t="str">
        <f>IFERROR(__xludf.DUMMYFUNCTION("""COMPUTED_VALUE"""),"N/A")</f>
        <v>N/A</v>
      </c>
      <c r="R1478" s="97" t="str">
        <f>IFERROR(__xludf.DUMMYFUNCTION("""COMPUTED_VALUE"""),"-")</f>
        <v>-</v>
      </c>
      <c r="S1478" s="97" t="str">
        <f>IFERROR(__xludf.DUMMYFUNCTION("""COMPUTED_VALUE"""),"-")</f>
        <v>-</v>
      </c>
      <c r="T1478" s="97">
        <f>IFERROR(__xludf.DUMMYFUNCTION("""COMPUTED_VALUE"""),600.0)</f>
        <v>600</v>
      </c>
      <c r="U1478" s="99">
        <f>IFERROR(__xludf.DUMMYFUNCTION("""COMPUTED_VALUE"""),60.0)</f>
        <v>60</v>
      </c>
      <c r="V1478" s="97">
        <f>IFERROR(__xludf.DUMMYFUNCTION("""COMPUTED_VALUE"""),105.0)</f>
        <v>105</v>
      </c>
      <c r="W1478" s="97" t="str">
        <f>IFERROR(__xludf.DUMMYFUNCTION("""COMPUTED_VALUE"""),"&lt; 25")</f>
        <v>&lt; 25</v>
      </c>
      <c r="X1478" s="97">
        <f>IFERROR(__xludf.DUMMYFUNCTION("""COMPUTED_VALUE"""),3000.0)</f>
        <v>3000</v>
      </c>
      <c r="Y1478" s="97" t="str">
        <f>IFERROR(__xludf.DUMMYFUNCTION("""COMPUTED_VALUE"""),"&gt;90")</f>
        <v>&gt;90</v>
      </c>
      <c r="Z1478" s="97" t="str">
        <f>IFERROR(__xludf.DUMMYFUNCTION("""COMPUTED_VALUE"""),"&gt;90")</f>
        <v>&gt;90</v>
      </c>
      <c r="AA1478" s="97" t="str">
        <f>IFERROR(__xludf.DUMMYFUNCTION("""COMPUTED_VALUE"""),"90-99 (Leve desaturación)")</f>
        <v>90-99 (Leve desaturación)</v>
      </c>
      <c r="AB1478" s="97" t="str">
        <f>IFERROR(__xludf.DUMMYFUNCTION("""COMPUTED_VALUE"""),"&lt; 5")</f>
        <v>&lt; 5</v>
      </c>
      <c r="AC1478" s="97">
        <f>IFERROR(__xludf.DUMMYFUNCTION("""COMPUTED_VALUE"""),9.0E-4)</f>
        <v>0.0009</v>
      </c>
      <c r="AD1478" s="97" t="str">
        <f>IFERROR(__xludf.DUMMYFUNCTION("""COMPUTED_VALUE"""),"IP20")</f>
        <v>IP20</v>
      </c>
      <c r="AE1478" s="97" t="str">
        <f>IFERROR(__xludf.DUMMYFUNCTION("""COMPUTED_VALUE"""),"Clase lll")</f>
        <v>Clase lll</v>
      </c>
      <c r="AF1478" s="97" t="str">
        <f>IFERROR(__xludf.DUMMYFUNCTION("""COMPUTED_VALUE"""),"Riel")</f>
        <v>Riel</v>
      </c>
      <c r="AG1478" s="97" t="str">
        <f>IFERROR(__xludf.DUMMYFUNCTION("""COMPUTED_VALUE"""),"300 x 22 x 44")</f>
        <v>300 x 22 x 44</v>
      </c>
      <c r="AH1478" s="97" t="str">
        <f>IFERROR(__xludf.DUMMYFUNCTION("""COMPUTED_VALUE"""),"N/A")</f>
        <v>N/A</v>
      </c>
      <c r="AI1478" s="97" t="str">
        <f>IFERROR(__xludf.DUMMYFUNCTION("""COMPUTED_VALUE"""),"N/A")</f>
        <v>N/A</v>
      </c>
      <c r="AJ1478" s="97" t="str">
        <f>IFERROR(__xludf.DUMMYFUNCTION("""COMPUTED_VALUE"""),"Poliestireno (PS)")</f>
        <v>Poliestireno (PS)</v>
      </c>
      <c r="AK1478" s="97" t="str">
        <f>IFERROR(__xludf.DUMMYFUNCTION("""COMPUTED_VALUE"""),"Aluminio")</f>
        <v>Aluminio</v>
      </c>
      <c r="AL1478" s="97" t="str">
        <f>IFERROR(__xludf.DUMMYFUNCTION("""COMPUTED_VALUE"""),"Negro Satinado")</f>
        <v>Negro Satinado</v>
      </c>
      <c r="AM1478" s="97" t="str">
        <f>IFERROR(__xludf.DUMMYFUNCTION("""COMPUTED_VALUE"""),"-")</f>
        <v>-</v>
      </c>
      <c r="AN1478" s="97" t="str">
        <f>IFERROR(__xludf.DUMMYFUNCTION("""COMPUTED_VALUE"""),"25.000hs (L70)")</f>
        <v>25.000hs (L70)</v>
      </c>
      <c r="AO1478" s="97" t="str">
        <f>IFERROR(__xludf.DUMMYFUNCTION("""COMPUTED_VALUE"""),"2 Años")</f>
        <v>2 Años</v>
      </c>
      <c r="AP1478" s="97" t="str">
        <f>IFERROR(__xludf.DUMMYFUNCTION("""COMPUTED_VALUE"""),"Disponible")</f>
        <v>Disponible</v>
      </c>
      <c r="AQ1478" s="97" t="str">
        <f>IFERROR(__xludf.DUMMYFUNCTION("""COMPUTED_VALUE"""),"Disponible")</f>
        <v>Disponible</v>
      </c>
      <c r="AR1478" s="97" t="str">
        <f>IFERROR(__xludf.DUMMYFUNCTION("""COMPUTED_VALUE"""),"Disponible")</f>
        <v>Disponible</v>
      </c>
      <c r="AS1478" s="97" t="str">
        <f>IFERROR(__xludf.DUMMYFUNCTION("""COMPUTED_VALUE"""),"Falta")</f>
        <v>Falta</v>
      </c>
      <c r="AT1478" s="97" t="str">
        <f>IFERROR(__xludf.DUMMYFUNCTION("""COMPUTED_VALUE"""),"Falta")</f>
        <v>Falta</v>
      </c>
      <c r="AU1478" s="97" t="str">
        <f>IFERROR(__xludf.DUMMYFUNCTION("""COMPUTED_VALUE"""),"Disponible")</f>
        <v>Disponible</v>
      </c>
      <c r="AV1478" s="97" t="str">
        <f>IFERROR(__xludf.DUMMYFUNCTION("""COMPUTED_VALUE"""),"Cabezal")</f>
        <v>Cabezal</v>
      </c>
      <c r="AW1478" s="97" t="str">
        <f>IFERROR(__xludf.DUMMYFUNCTION("""COMPUTED_VALUE"""),"Rieles")</f>
        <v>Rieles</v>
      </c>
      <c r="AX1478" s="97" t="str">
        <f>IFERROR(__xludf.DUMMYFUNCTION("""COMPUTED_VALUE"""),"Interior")</f>
        <v>Interior</v>
      </c>
      <c r="AY1478" s="97" t="str">
        <f>IFERROR(__xludf.DUMMYFUNCTION("""COMPUTED_VALUE"""),"-")</f>
        <v>-</v>
      </c>
      <c r="AZ1478" s="97" t="str">
        <f>IFERROR(__xludf.DUMMYFUNCTION("""COMPUTED_VALUE"""),"-")</f>
        <v>-</v>
      </c>
      <c r="BA1478" s="97"/>
      <c r="BB1478" s="97"/>
      <c r="BC1478" s="97"/>
      <c r="BD1478" s="97" t="str">
        <f>IFERROR(__xludf.DUMMYFUNCTION("""COMPUTED_VALUE"""),"POLAR LINE")</f>
        <v>POLAR LINE</v>
      </c>
      <c r="BE1478" s="97"/>
      <c r="BF1478" s="97"/>
      <c r="BG1478" s="97" t="str">
        <f>IFERROR(__xludf.DUMMYFUNCTION("""COMPUTED_VALUE"""),"REPO 7")</f>
        <v>REPO 7</v>
      </c>
    </row>
    <row r="1479">
      <c r="A1479" s="97">
        <f>IFERROR(__xludf.DUMMYFUNCTION("""COMPUTED_VALUE"""),7584.0)</f>
        <v>7584</v>
      </c>
      <c r="B1479" s="97" t="str">
        <f>IFERROR(__xludf.DUMMYFUNCTION("""COMPUTED_VALUE"""),"POLAR LINE 10W BL 3000K")</f>
        <v>POLAR LINE 10W BL 3000K</v>
      </c>
      <c r="C1479" s="97" t="str">
        <f>IFERROR(__xludf.DUMMYFUNCTION("""COMPUTED_VALUE"""),"CABEZAL POLAR LINE 10W BL 3000K 10W 3000K 600LM CRI&gt;90 IP20 LEUK")</f>
        <v>CABEZAL POLAR LINE 10W BL 3000K 10W 3000K 600LM CRI&gt;90 IP20 LEUK</v>
      </c>
      <c r="D1479" s="97">
        <f>IFERROR(__xludf.DUMMYFUNCTION("""COMPUTED_VALUE"""),7.798485460404E12)</f>
        <v>7798485460404</v>
      </c>
      <c r="E1479" s="97" t="str">
        <f>IFERROR(__xludf.DUMMYFUNCTION("""COMPUTED_VALUE"""),"-")</f>
        <v>-</v>
      </c>
      <c r="F1479" s="97" t="str">
        <f>IFERROR(__xludf.DUMMYFUNCTION("""COMPUTED_VALUE"""),"LED integrado")</f>
        <v>LED integrado</v>
      </c>
      <c r="G1479" s="97" t="str">
        <f>IFERROR(__xludf.DUMMYFUNCTION("""COMPUTED_VALUE"""),"-")</f>
        <v>-</v>
      </c>
      <c r="H1479" s="97" t="str">
        <f>IFERROR(__xludf.DUMMYFUNCTION("""COMPUTED_VALUE"""),"N/A")</f>
        <v>N/A</v>
      </c>
      <c r="I1479" s="97" t="str">
        <f>IFERROR(__xludf.DUMMYFUNCTION("""COMPUTED_VALUE"""),"N/A")</f>
        <v>N/A</v>
      </c>
      <c r="J1479" s="97" t="str">
        <f>IFERROR(__xludf.DUMMYFUNCTION("""COMPUTED_VALUE"""),"N/A")</f>
        <v>N/A</v>
      </c>
      <c r="K1479" s="97" t="str">
        <f>IFERROR(__xludf.DUMMYFUNCTION("""COMPUTED_VALUE"""),"ON/OFF")</f>
        <v>ON/OFF</v>
      </c>
      <c r="L1479" s="97" t="str">
        <f>IFERROR(__xludf.DUMMYFUNCTION("""COMPUTED_VALUE"""),"48Vdc")</f>
        <v>48Vdc</v>
      </c>
      <c r="M1479" s="97" t="str">
        <f>IFERROR(__xludf.DUMMYFUNCTION("""COMPUTED_VALUE"""),"N/A")</f>
        <v>N/A</v>
      </c>
      <c r="N1479" s="97"/>
      <c r="O1479" s="97">
        <f>IFERROR(__xludf.DUMMYFUNCTION("""COMPUTED_VALUE"""),10.0)</f>
        <v>10</v>
      </c>
      <c r="P1479" s="97">
        <f>IFERROR(__xludf.DUMMYFUNCTION("""COMPUTED_VALUE"""),10.3)</f>
        <v>10.3</v>
      </c>
      <c r="Q1479" s="97" t="str">
        <f>IFERROR(__xludf.DUMMYFUNCTION("""COMPUTED_VALUE"""),"N/A")</f>
        <v>N/A</v>
      </c>
      <c r="R1479" s="97" t="str">
        <f>IFERROR(__xludf.DUMMYFUNCTION("""COMPUTED_VALUE"""),"-")</f>
        <v>-</v>
      </c>
      <c r="S1479" s="97" t="str">
        <f>IFERROR(__xludf.DUMMYFUNCTION("""COMPUTED_VALUE"""),"-")</f>
        <v>-</v>
      </c>
      <c r="T1479" s="97">
        <f>IFERROR(__xludf.DUMMYFUNCTION("""COMPUTED_VALUE"""),600.0)</f>
        <v>600</v>
      </c>
      <c r="U1479" s="99">
        <f>IFERROR(__xludf.DUMMYFUNCTION("""COMPUTED_VALUE"""),60.0)</f>
        <v>60</v>
      </c>
      <c r="V1479" s="97">
        <f>IFERROR(__xludf.DUMMYFUNCTION("""COMPUTED_VALUE"""),105.0)</f>
        <v>105</v>
      </c>
      <c r="W1479" s="97" t="str">
        <f>IFERROR(__xludf.DUMMYFUNCTION("""COMPUTED_VALUE"""),"&lt; 25")</f>
        <v>&lt; 25</v>
      </c>
      <c r="X1479" s="97">
        <f>IFERROR(__xludf.DUMMYFUNCTION("""COMPUTED_VALUE"""),3000.0)</f>
        <v>3000</v>
      </c>
      <c r="Y1479" s="97" t="str">
        <f>IFERROR(__xludf.DUMMYFUNCTION("""COMPUTED_VALUE"""),"&gt;90")</f>
        <v>&gt;90</v>
      </c>
      <c r="Z1479" s="97" t="str">
        <f>IFERROR(__xludf.DUMMYFUNCTION("""COMPUTED_VALUE"""),"&gt;90")</f>
        <v>&gt;90</v>
      </c>
      <c r="AA1479" s="97" t="str">
        <f>IFERROR(__xludf.DUMMYFUNCTION("""COMPUTED_VALUE"""),"90-99 (Leve desaturación)")</f>
        <v>90-99 (Leve desaturación)</v>
      </c>
      <c r="AB1479" s="97" t="str">
        <f>IFERROR(__xludf.DUMMYFUNCTION("""COMPUTED_VALUE"""),"&lt; 5")</f>
        <v>&lt; 5</v>
      </c>
      <c r="AC1479" s="97">
        <f>IFERROR(__xludf.DUMMYFUNCTION("""COMPUTED_VALUE"""),9.0E-4)</f>
        <v>0.0009</v>
      </c>
      <c r="AD1479" s="97" t="str">
        <f>IFERROR(__xludf.DUMMYFUNCTION("""COMPUTED_VALUE"""),"IP20")</f>
        <v>IP20</v>
      </c>
      <c r="AE1479" s="97" t="str">
        <f>IFERROR(__xludf.DUMMYFUNCTION("""COMPUTED_VALUE"""),"Clase lll")</f>
        <v>Clase lll</v>
      </c>
      <c r="AF1479" s="97" t="str">
        <f>IFERROR(__xludf.DUMMYFUNCTION("""COMPUTED_VALUE"""),"Riel")</f>
        <v>Riel</v>
      </c>
      <c r="AG1479" s="97" t="str">
        <f>IFERROR(__xludf.DUMMYFUNCTION("""COMPUTED_VALUE"""),"300 x 22 x 44")</f>
        <v>300 x 22 x 44</v>
      </c>
      <c r="AH1479" s="97" t="str">
        <f>IFERROR(__xludf.DUMMYFUNCTION("""COMPUTED_VALUE"""),"N/A")</f>
        <v>N/A</v>
      </c>
      <c r="AI1479" s="97" t="str">
        <f>IFERROR(__xludf.DUMMYFUNCTION("""COMPUTED_VALUE"""),"N/A")</f>
        <v>N/A</v>
      </c>
      <c r="AJ1479" s="97" t="str">
        <f>IFERROR(__xludf.DUMMYFUNCTION("""COMPUTED_VALUE"""),"Poliestireno (PS)")</f>
        <v>Poliestireno (PS)</v>
      </c>
      <c r="AK1479" s="97" t="str">
        <f>IFERROR(__xludf.DUMMYFUNCTION("""COMPUTED_VALUE"""),"Aluminio")</f>
        <v>Aluminio</v>
      </c>
      <c r="AL1479" s="97" t="str">
        <f>IFERROR(__xludf.DUMMYFUNCTION("""COMPUTED_VALUE"""),"Blanco Satinado")</f>
        <v>Blanco Satinado</v>
      </c>
      <c r="AM1479" s="97" t="str">
        <f>IFERROR(__xludf.DUMMYFUNCTION("""COMPUTED_VALUE"""),"-")</f>
        <v>-</v>
      </c>
      <c r="AN1479" s="97" t="str">
        <f>IFERROR(__xludf.DUMMYFUNCTION("""COMPUTED_VALUE"""),"25.000hs (L70)")</f>
        <v>25.000hs (L70)</v>
      </c>
      <c r="AO1479" s="97" t="str">
        <f>IFERROR(__xludf.DUMMYFUNCTION("""COMPUTED_VALUE"""),"2 Años")</f>
        <v>2 Años</v>
      </c>
      <c r="AP1479" s="97" t="str">
        <f>IFERROR(__xludf.DUMMYFUNCTION("""COMPUTED_VALUE"""),"Disponible")</f>
        <v>Disponible</v>
      </c>
      <c r="AQ1479" s="97" t="str">
        <f>IFERROR(__xludf.DUMMYFUNCTION("""COMPUTED_VALUE"""),"Disponible")</f>
        <v>Disponible</v>
      </c>
      <c r="AR1479" s="97" t="str">
        <f>IFERROR(__xludf.DUMMYFUNCTION("""COMPUTED_VALUE"""),"Disponible")</f>
        <v>Disponible</v>
      </c>
      <c r="AS1479" s="97" t="str">
        <f>IFERROR(__xludf.DUMMYFUNCTION("""COMPUTED_VALUE"""),"Falta")</f>
        <v>Falta</v>
      </c>
      <c r="AT1479" s="97" t="str">
        <f>IFERROR(__xludf.DUMMYFUNCTION("""COMPUTED_VALUE"""),"Falta")</f>
        <v>Falta</v>
      </c>
      <c r="AU1479" s="97" t="str">
        <f>IFERROR(__xludf.DUMMYFUNCTION("""COMPUTED_VALUE"""),"Disponible")</f>
        <v>Disponible</v>
      </c>
      <c r="AV1479" s="97" t="str">
        <f>IFERROR(__xludf.DUMMYFUNCTION("""COMPUTED_VALUE"""),"Cabezal")</f>
        <v>Cabezal</v>
      </c>
      <c r="AW1479" s="97" t="str">
        <f>IFERROR(__xludf.DUMMYFUNCTION("""COMPUTED_VALUE"""),"Rieles")</f>
        <v>Rieles</v>
      </c>
      <c r="AX1479" s="97" t="str">
        <f>IFERROR(__xludf.DUMMYFUNCTION("""COMPUTED_VALUE"""),"Interior")</f>
        <v>Interior</v>
      </c>
      <c r="AY1479" s="97" t="str">
        <f>IFERROR(__xludf.DUMMYFUNCTION("""COMPUTED_VALUE"""),"-")</f>
        <v>-</v>
      </c>
      <c r="AZ1479" s="97" t="str">
        <f>IFERROR(__xludf.DUMMYFUNCTION("""COMPUTED_VALUE"""),"-")</f>
        <v>-</v>
      </c>
      <c r="BA1479" s="97"/>
      <c r="BB1479" s="97"/>
      <c r="BC1479" s="97"/>
      <c r="BD1479" s="97" t="str">
        <f>IFERROR(__xludf.DUMMYFUNCTION("""COMPUTED_VALUE"""),"POLAR LINE")</f>
        <v>POLAR LINE</v>
      </c>
      <c r="BE1479" s="97"/>
      <c r="BF1479" s="97"/>
      <c r="BG1479" s="97" t="str">
        <f>IFERROR(__xludf.DUMMYFUNCTION("""COMPUTED_VALUE"""),"REPO 7")</f>
        <v>REPO 7</v>
      </c>
    </row>
    <row r="1480">
      <c r="A1480" s="97">
        <f>IFERROR(__xludf.DUMMYFUNCTION("""COMPUTED_VALUE"""),7585.0)</f>
        <v>7585</v>
      </c>
      <c r="B1480" s="97" t="str">
        <f>IFERROR(__xludf.DUMMYFUNCTION("""COMPUTED_VALUE"""),"POLAR LINE 20W NG 3000K")</f>
        <v>POLAR LINE 20W NG 3000K</v>
      </c>
      <c r="C1480" s="97" t="str">
        <f>IFERROR(__xludf.DUMMYFUNCTION("""COMPUTED_VALUE"""),"CABEZAL POLAR LINE 20W NG 3000K 20W 3000K 1165LM CRI&gt;90 IP20 LEUK")</f>
        <v>CABEZAL POLAR LINE 20W NG 3000K 20W 3000K 1165LM CRI&gt;90 IP20 LEUK</v>
      </c>
      <c r="D1480" s="97">
        <f>IFERROR(__xludf.DUMMYFUNCTION("""COMPUTED_VALUE"""),7.798485460411E12)</f>
        <v>7798485460411</v>
      </c>
      <c r="E1480" s="97" t="str">
        <f>IFERROR(__xludf.DUMMYFUNCTION("""COMPUTED_VALUE"""),"-")</f>
        <v>-</v>
      </c>
      <c r="F1480" s="97" t="str">
        <f>IFERROR(__xludf.DUMMYFUNCTION("""COMPUTED_VALUE"""),"LED integrado")</f>
        <v>LED integrado</v>
      </c>
      <c r="G1480" s="97" t="str">
        <f>IFERROR(__xludf.DUMMYFUNCTION("""COMPUTED_VALUE"""),"-")</f>
        <v>-</v>
      </c>
      <c r="H1480" s="97" t="str">
        <f>IFERROR(__xludf.DUMMYFUNCTION("""COMPUTED_VALUE"""),"N/A")</f>
        <v>N/A</v>
      </c>
      <c r="I1480" s="97" t="str">
        <f>IFERROR(__xludf.DUMMYFUNCTION("""COMPUTED_VALUE"""),"N/A")</f>
        <v>N/A</v>
      </c>
      <c r="J1480" s="97" t="str">
        <f>IFERROR(__xludf.DUMMYFUNCTION("""COMPUTED_VALUE"""),"N/A")</f>
        <v>N/A</v>
      </c>
      <c r="K1480" s="97" t="str">
        <f>IFERROR(__xludf.DUMMYFUNCTION("""COMPUTED_VALUE"""),"ON/OFF")</f>
        <v>ON/OFF</v>
      </c>
      <c r="L1480" s="97" t="str">
        <f>IFERROR(__xludf.DUMMYFUNCTION("""COMPUTED_VALUE"""),"48Vdc")</f>
        <v>48Vdc</v>
      </c>
      <c r="M1480" s="97" t="str">
        <f>IFERROR(__xludf.DUMMYFUNCTION("""COMPUTED_VALUE"""),"N/A")</f>
        <v>N/A</v>
      </c>
      <c r="N1480" s="97"/>
      <c r="O1480" s="97">
        <f>IFERROR(__xludf.DUMMYFUNCTION("""COMPUTED_VALUE"""),20.0)</f>
        <v>20</v>
      </c>
      <c r="P1480" s="97">
        <f>IFERROR(__xludf.DUMMYFUNCTION("""COMPUTED_VALUE"""),20.33)</f>
        <v>20.33</v>
      </c>
      <c r="Q1480" s="97" t="str">
        <f>IFERROR(__xludf.DUMMYFUNCTION("""COMPUTED_VALUE"""),"N/A")</f>
        <v>N/A</v>
      </c>
      <c r="R1480" s="97" t="str">
        <f>IFERROR(__xludf.DUMMYFUNCTION("""COMPUTED_VALUE"""),"-")</f>
        <v>-</v>
      </c>
      <c r="S1480" s="97" t="str">
        <f>IFERROR(__xludf.DUMMYFUNCTION("""COMPUTED_VALUE"""),"-")</f>
        <v>-</v>
      </c>
      <c r="T1480" s="97">
        <f>IFERROR(__xludf.DUMMYFUNCTION("""COMPUTED_VALUE"""),1165.0)</f>
        <v>1165</v>
      </c>
      <c r="U1480" s="99">
        <f>IFERROR(__xludf.DUMMYFUNCTION("""COMPUTED_VALUE"""),58.25)</f>
        <v>58.25</v>
      </c>
      <c r="V1480" s="97">
        <f>IFERROR(__xludf.DUMMYFUNCTION("""COMPUTED_VALUE"""),105.0)</f>
        <v>105</v>
      </c>
      <c r="W1480" s="97" t="str">
        <f>IFERROR(__xludf.DUMMYFUNCTION("""COMPUTED_VALUE"""),"&lt; 25")</f>
        <v>&lt; 25</v>
      </c>
      <c r="X1480" s="97">
        <f>IFERROR(__xludf.DUMMYFUNCTION("""COMPUTED_VALUE"""),3000.0)</f>
        <v>3000</v>
      </c>
      <c r="Y1480" s="97" t="str">
        <f>IFERROR(__xludf.DUMMYFUNCTION("""COMPUTED_VALUE"""),"&gt;90")</f>
        <v>&gt;90</v>
      </c>
      <c r="Z1480" s="97" t="str">
        <f>IFERROR(__xludf.DUMMYFUNCTION("""COMPUTED_VALUE"""),"&gt;90")</f>
        <v>&gt;90</v>
      </c>
      <c r="AA1480" s="97" t="str">
        <f>IFERROR(__xludf.DUMMYFUNCTION("""COMPUTED_VALUE"""),"90-99 (Leve desaturación)")</f>
        <v>90-99 (Leve desaturación)</v>
      </c>
      <c r="AB1480" s="97" t="str">
        <f>IFERROR(__xludf.DUMMYFUNCTION("""COMPUTED_VALUE"""),"&lt; 5")</f>
        <v>&lt; 5</v>
      </c>
      <c r="AC1480" s="97">
        <f>IFERROR(__xludf.DUMMYFUNCTION("""COMPUTED_VALUE"""),-3.7E-4)</f>
        <v>-0.00037</v>
      </c>
      <c r="AD1480" s="97" t="str">
        <f>IFERROR(__xludf.DUMMYFUNCTION("""COMPUTED_VALUE"""),"IP20")</f>
        <v>IP20</v>
      </c>
      <c r="AE1480" s="97" t="str">
        <f>IFERROR(__xludf.DUMMYFUNCTION("""COMPUTED_VALUE"""),"Clase lll")</f>
        <v>Clase lll</v>
      </c>
      <c r="AF1480" s="97" t="str">
        <f>IFERROR(__xludf.DUMMYFUNCTION("""COMPUTED_VALUE"""),"Riel")</f>
        <v>Riel</v>
      </c>
      <c r="AG1480" s="97" t="str">
        <f>IFERROR(__xludf.DUMMYFUNCTION("""COMPUTED_VALUE"""),"600 x 22 x 44")</f>
        <v>600 x 22 x 44</v>
      </c>
      <c r="AH1480" s="97" t="str">
        <f>IFERROR(__xludf.DUMMYFUNCTION("""COMPUTED_VALUE"""),"N/A")</f>
        <v>N/A</v>
      </c>
      <c r="AI1480" s="97" t="str">
        <f>IFERROR(__xludf.DUMMYFUNCTION("""COMPUTED_VALUE"""),"N/A")</f>
        <v>N/A</v>
      </c>
      <c r="AJ1480" s="97" t="str">
        <f>IFERROR(__xludf.DUMMYFUNCTION("""COMPUTED_VALUE"""),"Poliestireno (PS)")</f>
        <v>Poliestireno (PS)</v>
      </c>
      <c r="AK1480" s="97" t="str">
        <f>IFERROR(__xludf.DUMMYFUNCTION("""COMPUTED_VALUE"""),"Aluminio")</f>
        <v>Aluminio</v>
      </c>
      <c r="AL1480" s="97" t="str">
        <f>IFERROR(__xludf.DUMMYFUNCTION("""COMPUTED_VALUE"""),"Negro Satinado")</f>
        <v>Negro Satinado</v>
      </c>
      <c r="AM1480" s="97" t="str">
        <f>IFERROR(__xludf.DUMMYFUNCTION("""COMPUTED_VALUE"""),"-")</f>
        <v>-</v>
      </c>
      <c r="AN1480" s="97" t="str">
        <f>IFERROR(__xludf.DUMMYFUNCTION("""COMPUTED_VALUE"""),"25.000hs (L70)")</f>
        <v>25.000hs (L70)</v>
      </c>
      <c r="AO1480" s="97" t="str">
        <f>IFERROR(__xludf.DUMMYFUNCTION("""COMPUTED_VALUE"""),"2 Años")</f>
        <v>2 Años</v>
      </c>
      <c r="AP1480" s="97" t="str">
        <f>IFERROR(__xludf.DUMMYFUNCTION("""COMPUTED_VALUE"""),"Disponible")</f>
        <v>Disponible</v>
      </c>
      <c r="AQ1480" s="97" t="str">
        <f>IFERROR(__xludf.DUMMYFUNCTION("""COMPUTED_VALUE"""),"Disponible")</f>
        <v>Disponible</v>
      </c>
      <c r="AR1480" s="97" t="str">
        <f>IFERROR(__xludf.DUMMYFUNCTION("""COMPUTED_VALUE"""),"Disponible")</f>
        <v>Disponible</v>
      </c>
      <c r="AS1480" s="97" t="str">
        <f>IFERROR(__xludf.DUMMYFUNCTION("""COMPUTED_VALUE"""),"Falta")</f>
        <v>Falta</v>
      </c>
      <c r="AT1480" s="97" t="str">
        <f>IFERROR(__xludf.DUMMYFUNCTION("""COMPUTED_VALUE"""),"Falta")</f>
        <v>Falta</v>
      </c>
      <c r="AU1480" s="97" t="str">
        <f>IFERROR(__xludf.DUMMYFUNCTION("""COMPUTED_VALUE"""),"Disponible")</f>
        <v>Disponible</v>
      </c>
      <c r="AV1480" s="97" t="str">
        <f>IFERROR(__xludf.DUMMYFUNCTION("""COMPUTED_VALUE"""),"Cabezal")</f>
        <v>Cabezal</v>
      </c>
      <c r="AW1480" s="97" t="str">
        <f>IFERROR(__xludf.DUMMYFUNCTION("""COMPUTED_VALUE"""),"Rieles")</f>
        <v>Rieles</v>
      </c>
      <c r="AX1480" s="97" t="str">
        <f>IFERROR(__xludf.DUMMYFUNCTION("""COMPUTED_VALUE"""),"Interior")</f>
        <v>Interior</v>
      </c>
      <c r="AY1480" s="97" t="str">
        <f>IFERROR(__xludf.DUMMYFUNCTION("""COMPUTED_VALUE"""),"-")</f>
        <v>-</v>
      </c>
      <c r="AZ1480" s="97" t="str">
        <f>IFERROR(__xludf.DUMMYFUNCTION("""COMPUTED_VALUE"""),"-")</f>
        <v>-</v>
      </c>
      <c r="BA1480" s="97"/>
      <c r="BB1480" s="97"/>
      <c r="BC1480" s="97"/>
      <c r="BD1480" s="97" t="str">
        <f>IFERROR(__xludf.DUMMYFUNCTION("""COMPUTED_VALUE"""),"POLAR LINE")</f>
        <v>POLAR LINE</v>
      </c>
      <c r="BE1480" s="97"/>
      <c r="BF1480" s="97"/>
      <c r="BG1480" s="97" t="str">
        <f>IFERROR(__xludf.DUMMYFUNCTION("""COMPUTED_VALUE"""),"REPO 7")</f>
        <v>REPO 7</v>
      </c>
    </row>
    <row r="1481">
      <c r="A1481" s="97">
        <f>IFERROR(__xludf.DUMMYFUNCTION("""COMPUTED_VALUE"""),7586.0)</f>
        <v>7586</v>
      </c>
      <c r="B1481" s="97" t="str">
        <f>IFERROR(__xludf.DUMMYFUNCTION("""COMPUTED_VALUE"""),"POLAR LINE 20W BL 3000K")</f>
        <v>POLAR LINE 20W BL 3000K</v>
      </c>
      <c r="C1481" s="97" t="str">
        <f>IFERROR(__xludf.DUMMYFUNCTION("""COMPUTED_VALUE"""),"CABEZAL POLAR LINE 20W BL 3000K 20W 3000K 1165LM CRI&gt;90 IP20 LEUK")</f>
        <v>CABEZAL POLAR LINE 20W BL 3000K 20W 3000K 1165LM CRI&gt;90 IP20 LEUK</v>
      </c>
      <c r="D1481" s="97">
        <f>IFERROR(__xludf.DUMMYFUNCTION("""COMPUTED_VALUE"""),7.798485460428E12)</f>
        <v>7798485460428</v>
      </c>
      <c r="E1481" s="97" t="str">
        <f>IFERROR(__xludf.DUMMYFUNCTION("""COMPUTED_VALUE"""),"-")</f>
        <v>-</v>
      </c>
      <c r="F1481" s="97" t="str">
        <f>IFERROR(__xludf.DUMMYFUNCTION("""COMPUTED_VALUE"""),"LED integrado")</f>
        <v>LED integrado</v>
      </c>
      <c r="G1481" s="97" t="str">
        <f>IFERROR(__xludf.DUMMYFUNCTION("""COMPUTED_VALUE"""),"-")</f>
        <v>-</v>
      </c>
      <c r="H1481" s="97" t="str">
        <f>IFERROR(__xludf.DUMMYFUNCTION("""COMPUTED_VALUE"""),"N/A")</f>
        <v>N/A</v>
      </c>
      <c r="I1481" s="97" t="str">
        <f>IFERROR(__xludf.DUMMYFUNCTION("""COMPUTED_VALUE"""),"N/A")</f>
        <v>N/A</v>
      </c>
      <c r="J1481" s="97" t="str">
        <f>IFERROR(__xludf.DUMMYFUNCTION("""COMPUTED_VALUE"""),"N/A")</f>
        <v>N/A</v>
      </c>
      <c r="K1481" s="97" t="str">
        <f>IFERROR(__xludf.DUMMYFUNCTION("""COMPUTED_VALUE"""),"ON/OFF")</f>
        <v>ON/OFF</v>
      </c>
      <c r="L1481" s="97" t="str">
        <f>IFERROR(__xludf.DUMMYFUNCTION("""COMPUTED_VALUE"""),"48Vdc")</f>
        <v>48Vdc</v>
      </c>
      <c r="M1481" s="97" t="str">
        <f>IFERROR(__xludf.DUMMYFUNCTION("""COMPUTED_VALUE"""),"N/A")</f>
        <v>N/A</v>
      </c>
      <c r="N1481" s="97"/>
      <c r="O1481" s="97">
        <f>IFERROR(__xludf.DUMMYFUNCTION("""COMPUTED_VALUE"""),20.0)</f>
        <v>20</v>
      </c>
      <c r="P1481" s="97">
        <f>IFERROR(__xludf.DUMMYFUNCTION("""COMPUTED_VALUE"""),20.33)</f>
        <v>20.33</v>
      </c>
      <c r="Q1481" s="97" t="str">
        <f>IFERROR(__xludf.DUMMYFUNCTION("""COMPUTED_VALUE"""),"N/A")</f>
        <v>N/A</v>
      </c>
      <c r="R1481" s="97" t="str">
        <f>IFERROR(__xludf.DUMMYFUNCTION("""COMPUTED_VALUE"""),"-")</f>
        <v>-</v>
      </c>
      <c r="S1481" s="97" t="str">
        <f>IFERROR(__xludf.DUMMYFUNCTION("""COMPUTED_VALUE"""),"-")</f>
        <v>-</v>
      </c>
      <c r="T1481" s="97">
        <f>IFERROR(__xludf.DUMMYFUNCTION("""COMPUTED_VALUE"""),1165.0)</f>
        <v>1165</v>
      </c>
      <c r="U1481" s="99">
        <f>IFERROR(__xludf.DUMMYFUNCTION("""COMPUTED_VALUE"""),58.25)</f>
        <v>58.25</v>
      </c>
      <c r="V1481" s="97">
        <f>IFERROR(__xludf.DUMMYFUNCTION("""COMPUTED_VALUE"""),105.0)</f>
        <v>105</v>
      </c>
      <c r="W1481" s="97" t="str">
        <f>IFERROR(__xludf.DUMMYFUNCTION("""COMPUTED_VALUE"""),"&lt; 25")</f>
        <v>&lt; 25</v>
      </c>
      <c r="X1481" s="97">
        <f>IFERROR(__xludf.DUMMYFUNCTION("""COMPUTED_VALUE"""),3000.0)</f>
        <v>3000</v>
      </c>
      <c r="Y1481" s="97" t="str">
        <f>IFERROR(__xludf.DUMMYFUNCTION("""COMPUTED_VALUE"""),"&gt;90")</f>
        <v>&gt;90</v>
      </c>
      <c r="Z1481" s="97" t="str">
        <f>IFERROR(__xludf.DUMMYFUNCTION("""COMPUTED_VALUE"""),"&gt;90")</f>
        <v>&gt;90</v>
      </c>
      <c r="AA1481" s="97" t="str">
        <f>IFERROR(__xludf.DUMMYFUNCTION("""COMPUTED_VALUE"""),"90-99 (Leve desaturación)")</f>
        <v>90-99 (Leve desaturación)</v>
      </c>
      <c r="AB1481" s="97" t="str">
        <f>IFERROR(__xludf.DUMMYFUNCTION("""COMPUTED_VALUE"""),"&lt; 5")</f>
        <v>&lt; 5</v>
      </c>
      <c r="AC1481" s="97">
        <f>IFERROR(__xludf.DUMMYFUNCTION("""COMPUTED_VALUE"""),-3.7E-4)</f>
        <v>-0.00037</v>
      </c>
      <c r="AD1481" s="97" t="str">
        <f>IFERROR(__xludf.DUMMYFUNCTION("""COMPUTED_VALUE"""),"IP20")</f>
        <v>IP20</v>
      </c>
      <c r="AE1481" s="97" t="str">
        <f>IFERROR(__xludf.DUMMYFUNCTION("""COMPUTED_VALUE"""),"Clase lll")</f>
        <v>Clase lll</v>
      </c>
      <c r="AF1481" s="97" t="str">
        <f>IFERROR(__xludf.DUMMYFUNCTION("""COMPUTED_VALUE"""),"Riel")</f>
        <v>Riel</v>
      </c>
      <c r="AG1481" s="97" t="str">
        <f>IFERROR(__xludf.DUMMYFUNCTION("""COMPUTED_VALUE"""),"600 x 22 x 44")</f>
        <v>600 x 22 x 44</v>
      </c>
      <c r="AH1481" s="97" t="str">
        <f>IFERROR(__xludf.DUMMYFUNCTION("""COMPUTED_VALUE"""),"N/A")</f>
        <v>N/A</v>
      </c>
      <c r="AI1481" s="97" t="str">
        <f>IFERROR(__xludf.DUMMYFUNCTION("""COMPUTED_VALUE"""),"N/A")</f>
        <v>N/A</v>
      </c>
      <c r="AJ1481" s="97" t="str">
        <f>IFERROR(__xludf.DUMMYFUNCTION("""COMPUTED_VALUE"""),"Poliestireno (PS)")</f>
        <v>Poliestireno (PS)</v>
      </c>
      <c r="AK1481" s="97" t="str">
        <f>IFERROR(__xludf.DUMMYFUNCTION("""COMPUTED_VALUE"""),"Aluminio")</f>
        <v>Aluminio</v>
      </c>
      <c r="AL1481" s="97" t="str">
        <f>IFERROR(__xludf.DUMMYFUNCTION("""COMPUTED_VALUE"""),"Blanco Satinado")</f>
        <v>Blanco Satinado</v>
      </c>
      <c r="AM1481" s="97" t="str">
        <f>IFERROR(__xludf.DUMMYFUNCTION("""COMPUTED_VALUE"""),"-")</f>
        <v>-</v>
      </c>
      <c r="AN1481" s="97" t="str">
        <f>IFERROR(__xludf.DUMMYFUNCTION("""COMPUTED_VALUE"""),"25.000hs (L70)")</f>
        <v>25.000hs (L70)</v>
      </c>
      <c r="AO1481" s="97" t="str">
        <f>IFERROR(__xludf.DUMMYFUNCTION("""COMPUTED_VALUE"""),"2 Años")</f>
        <v>2 Años</v>
      </c>
      <c r="AP1481" s="97" t="str">
        <f>IFERROR(__xludf.DUMMYFUNCTION("""COMPUTED_VALUE"""),"Disponible")</f>
        <v>Disponible</v>
      </c>
      <c r="AQ1481" s="97" t="str">
        <f>IFERROR(__xludf.DUMMYFUNCTION("""COMPUTED_VALUE"""),"Disponible")</f>
        <v>Disponible</v>
      </c>
      <c r="AR1481" s="97" t="str">
        <f>IFERROR(__xludf.DUMMYFUNCTION("""COMPUTED_VALUE"""),"Disponible")</f>
        <v>Disponible</v>
      </c>
      <c r="AS1481" s="97" t="str">
        <f>IFERROR(__xludf.DUMMYFUNCTION("""COMPUTED_VALUE"""),"Falta")</f>
        <v>Falta</v>
      </c>
      <c r="AT1481" s="97" t="str">
        <f>IFERROR(__xludf.DUMMYFUNCTION("""COMPUTED_VALUE"""),"Falta")</f>
        <v>Falta</v>
      </c>
      <c r="AU1481" s="97" t="str">
        <f>IFERROR(__xludf.DUMMYFUNCTION("""COMPUTED_VALUE"""),"Disponible")</f>
        <v>Disponible</v>
      </c>
      <c r="AV1481" s="97" t="str">
        <f>IFERROR(__xludf.DUMMYFUNCTION("""COMPUTED_VALUE"""),"Cabezal")</f>
        <v>Cabezal</v>
      </c>
      <c r="AW1481" s="97" t="str">
        <f>IFERROR(__xludf.DUMMYFUNCTION("""COMPUTED_VALUE"""),"Rieles")</f>
        <v>Rieles</v>
      </c>
      <c r="AX1481" s="97" t="str">
        <f>IFERROR(__xludf.DUMMYFUNCTION("""COMPUTED_VALUE"""),"Interior")</f>
        <v>Interior</v>
      </c>
      <c r="AY1481" s="97" t="str">
        <f>IFERROR(__xludf.DUMMYFUNCTION("""COMPUTED_VALUE"""),"-")</f>
        <v>-</v>
      </c>
      <c r="AZ1481" s="97" t="str">
        <f>IFERROR(__xludf.DUMMYFUNCTION("""COMPUTED_VALUE"""),"-")</f>
        <v>-</v>
      </c>
      <c r="BA1481" s="97"/>
      <c r="BB1481" s="97"/>
      <c r="BC1481" s="97"/>
      <c r="BD1481" s="97" t="str">
        <f>IFERROR(__xludf.DUMMYFUNCTION("""COMPUTED_VALUE"""),"POLAR LINE")</f>
        <v>POLAR LINE</v>
      </c>
      <c r="BE1481" s="97"/>
      <c r="BF1481" s="97"/>
      <c r="BG1481" s="97" t="str">
        <f>IFERROR(__xludf.DUMMYFUNCTION("""COMPUTED_VALUE"""),"REPO 7")</f>
        <v>REPO 7</v>
      </c>
    </row>
    <row r="1482">
      <c r="A1482" s="97">
        <f>IFERROR(__xludf.DUMMYFUNCTION("""COMPUTED_VALUE"""),7587.0)</f>
        <v>7587</v>
      </c>
      <c r="B1482" s="97" t="str">
        <f>IFERROR(__xludf.DUMMYFUNCTION("""COMPUTED_VALUE"""),"POLAR GRID 6W NG 3000K")</f>
        <v>POLAR GRID 6W NG 3000K</v>
      </c>
      <c r="C1482" s="97" t="str">
        <f>IFERROR(__xludf.DUMMYFUNCTION("""COMPUTED_VALUE"""),"CABEZAL POLAR GRID 6W NG 3000K 6W 3000K 420LM CRI&gt;90 IP20 LEUK")</f>
        <v>CABEZAL POLAR GRID 6W NG 3000K 6W 3000K 420LM CRI&gt;90 IP20 LEUK</v>
      </c>
      <c r="D1482" s="97">
        <f>IFERROR(__xludf.DUMMYFUNCTION("""COMPUTED_VALUE"""),7.798485460435E12)</f>
        <v>7798485460435</v>
      </c>
      <c r="E1482" s="97" t="str">
        <f>IFERROR(__xludf.DUMMYFUNCTION("""COMPUTED_VALUE"""),"-")</f>
        <v>-</v>
      </c>
      <c r="F1482" s="97" t="str">
        <f>IFERROR(__xludf.DUMMYFUNCTION("""COMPUTED_VALUE"""),"LED integrado")</f>
        <v>LED integrado</v>
      </c>
      <c r="G1482" s="97" t="str">
        <f>IFERROR(__xludf.DUMMYFUNCTION("""COMPUTED_VALUE"""),"-")</f>
        <v>-</v>
      </c>
      <c r="H1482" s="97" t="str">
        <f>IFERROR(__xludf.DUMMYFUNCTION("""COMPUTED_VALUE"""),"N/A")</f>
        <v>N/A</v>
      </c>
      <c r="I1482" s="97" t="str">
        <f>IFERROR(__xludf.DUMMYFUNCTION("""COMPUTED_VALUE"""),"N/A")</f>
        <v>N/A</v>
      </c>
      <c r="J1482" s="97" t="str">
        <f>IFERROR(__xludf.DUMMYFUNCTION("""COMPUTED_VALUE"""),"N/A")</f>
        <v>N/A</v>
      </c>
      <c r="K1482" s="97" t="str">
        <f>IFERROR(__xludf.DUMMYFUNCTION("""COMPUTED_VALUE"""),"ON/OFF")</f>
        <v>ON/OFF</v>
      </c>
      <c r="L1482" s="97" t="str">
        <f>IFERROR(__xludf.DUMMYFUNCTION("""COMPUTED_VALUE"""),"48Vdc")</f>
        <v>48Vdc</v>
      </c>
      <c r="M1482" s="97" t="str">
        <f>IFERROR(__xludf.DUMMYFUNCTION("""COMPUTED_VALUE"""),"N/A")</f>
        <v>N/A</v>
      </c>
      <c r="N1482" s="97"/>
      <c r="O1482" s="97">
        <f>IFERROR(__xludf.DUMMYFUNCTION("""COMPUTED_VALUE"""),6.0)</f>
        <v>6</v>
      </c>
      <c r="P1482" s="97">
        <f>IFERROR(__xludf.DUMMYFUNCTION("""COMPUTED_VALUE"""),7.46)</f>
        <v>7.46</v>
      </c>
      <c r="Q1482" s="97" t="str">
        <f>IFERROR(__xludf.DUMMYFUNCTION("""COMPUTED_VALUE"""),"N/A")</f>
        <v>N/A</v>
      </c>
      <c r="R1482" s="97" t="str">
        <f>IFERROR(__xludf.DUMMYFUNCTION("""COMPUTED_VALUE"""),"-")</f>
        <v>-</v>
      </c>
      <c r="S1482" s="97" t="str">
        <f>IFERROR(__xludf.DUMMYFUNCTION("""COMPUTED_VALUE"""),"-")</f>
        <v>-</v>
      </c>
      <c r="T1482" s="97">
        <f>IFERROR(__xludf.DUMMYFUNCTION("""COMPUTED_VALUE"""),420.0)</f>
        <v>420</v>
      </c>
      <c r="U1482" s="99">
        <f>IFERROR(__xludf.DUMMYFUNCTION("""COMPUTED_VALUE"""),70.0)</f>
        <v>70</v>
      </c>
      <c r="V1482" s="97">
        <f>IFERROR(__xludf.DUMMYFUNCTION("""COMPUTED_VALUE"""),28.0)</f>
        <v>28</v>
      </c>
      <c r="W1482" s="97" t="str">
        <f>IFERROR(__xludf.DUMMYFUNCTION("""COMPUTED_VALUE"""),"&lt; 10")</f>
        <v>&lt; 10</v>
      </c>
      <c r="X1482" s="97">
        <f>IFERROR(__xludf.DUMMYFUNCTION("""COMPUTED_VALUE"""),3000.0)</f>
        <v>3000</v>
      </c>
      <c r="Y1482" s="97" t="str">
        <f>IFERROR(__xludf.DUMMYFUNCTION("""COMPUTED_VALUE"""),"&gt;90")</f>
        <v>&gt;90</v>
      </c>
      <c r="Z1482" s="97" t="str">
        <f>IFERROR(__xludf.DUMMYFUNCTION("""COMPUTED_VALUE"""),"&gt;90")</f>
        <v>&gt;90</v>
      </c>
      <c r="AA1482" s="97" t="str">
        <f>IFERROR(__xludf.DUMMYFUNCTION("""COMPUTED_VALUE"""),"90-99 (Leve desaturación)")</f>
        <v>90-99 (Leve desaturación)</v>
      </c>
      <c r="AB1482" s="97" t="str">
        <f>IFERROR(__xludf.DUMMYFUNCTION("""COMPUTED_VALUE"""),"-")</f>
        <v>-</v>
      </c>
      <c r="AC1482" s="97">
        <f>IFERROR(__xludf.DUMMYFUNCTION("""COMPUTED_VALUE"""),0.0013)</f>
        <v>0.0013</v>
      </c>
      <c r="AD1482" s="97" t="str">
        <f>IFERROR(__xludf.DUMMYFUNCTION("""COMPUTED_VALUE"""),"IP20")</f>
        <v>IP20</v>
      </c>
      <c r="AE1482" s="97" t="str">
        <f>IFERROR(__xludf.DUMMYFUNCTION("""COMPUTED_VALUE"""),"Clase lll")</f>
        <v>Clase lll</v>
      </c>
      <c r="AF1482" s="97" t="str">
        <f>IFERROR(__xludf.DUMMYFUNCTION("""COMPUTED_VALUE"""),"Riel")</f>
        <v>Riel</v>
      </c>
      <c r="AG1482" s="97" t="str">
        <f>IFERROR(__xludf.DUMMYFUNCTION("""COMPUTED_VALUE"""),"112 x 22 x 44")</f>
        <v>112 x 22 x 44</v>
      </c>
      <c r="AH1482" s="97" t="str">
        <f>IFERROR(__xludf.DUMMYFUNCTION("""COMPUTED_VALUE"""),"N/A")</f>
        <v>N/A</v>
      </c>
      <c r="AI1482" s="97" t="str">
        <f>IFERROR(__xludf.DUMMYFUNCTION("""COMPUTED_VALUE"""),"N/A")</f>
        <v>N/A</v>
      </c>
      <c r="AJ1482" s="97" t="str">
        <f>IFERROR(__xludf.DUMMYFUNCTION("""COMPUTED_VALUE"""),"Policarbonato (PC)")</f>
        <v>Policarbonato (PC)</v>
      </c>
      <c r="AK1482" s="97" t="str">
        <f>IFERROR(__xludf.DUMMYFUNCTION("""COMPUTED_VALUE"""),"Aluminio")</f>
        <v>Aluminio</v>
      </c>
      <c r="AL1482" s="97" t="str">
        <f>IFERROR(__xludf.DUMMYFUNCTION("""COMPUTED_VALUE"""),"Negro Satinado")</f>
        <v>Negro Satinado</v>
      </c>
      <c r="AM1482" s="97" t="str">
        <f>IFERROR(__xludf.DUMMYFUNCTION("""COMPUTED_VALUE"""),"-")</f>
        <v>-</v>
      </c>
      <c r="AN1482" s="97" t="str">
        <f>IFERROR(__xludf.DUMMYFUNCTION("""COMPUTED_VALUE"""),"25.000hs (L70)")</f>
        <v>25.000hs (L70)</v>
      </c>
      <c r="AO1482" s="97" t="str">
        <f>IFERROR(__xludf.DUMMYFUNCTION("""COMPUTED_VALUE"""),"2 Años")</f>
        <v>2 Años</v>
      </c>
      <c r="AP1482" s="97" t="str">
        <f>IFERROR(__xludf.DUMMYFUNCTION("""COMPUTED_VALUE"""),"Disponible")</f>
        <v>Disponible</v>
      </c>
      <c r="AQ1482" s="97" t="str">
        <f>IFERROR(__xludf.DUMMYFUNCTION("""COMPUTED_VALUE"""),"Disponible")</f>
        <v>Disponible</v>
      </c>
      <c r="AR1482" s="97" t="str">
        <f>IFERROR(__xludf.DUMMYFUNCTION("""COMPUTED_VALUE"""),"Disponible")</f>
        <v>Disponible</v>
      </c>
      <c r="AS1482" s="97" t="str">
        <f>IFERROR(__xludf.DUMMYFUNCTION("""COMPUTED_VALUE"""),"Disponible")</f>
        <v>Disponible</v>
      </c>
      <c r="AT1482" s="97" t="str">
        <f>IFERROR(__xludf.DUMMYFUNCTION("""COMPUTED_VALUE"""),"Falta")</f>
        <v>Falta</v>
      </c>
      <c r="AU1482" s="97" t="str">
        <f>IFERROR(__xludf.DUMMYFUNCTION("""COMPUTED_VALUE"""),"Disponible")</f>
        <v>Disponible</v>
      </c>
      <c r="AV1482" s="97" t="str">
        <f>IFERROR(__xludf.DUMMYFUNCTION("""COMPUTED_VALUE"""),"Cabezal")</f>
        <v>Cabezal</v>
      </c>
      <c r="AW1482" s="97" t="str">
        <f>IFERROR(__xludf.DUMMYFUNCTION("""COMPUTED_VALUE"""),"Rieles")</f>
        <v>Rieles</v>
      </c>
      <c r="AX1482" s="97" t="str">
        <f>IFERROR(__xludf.DUMMYFUNCTION("""COMPUTED_VALUE"""),"Interior")</f>
        <v>Interior</v>
      </c>
      <c r="AY1482" s="97" t="str">
        <f>IFERROR(__xludf.DUMMYFUNCTION("""COMPUTED_VALUE"""),"-")</f>
        <v>-</v>
      </c>
      <c r="AZ1482" s="97" t="str">
        <f>IFERROR(__xludf.DUMMYFUNCTION("""COMPUTED_VALUE"""),"-")</f>
        <v>-</v>
      </c>
      <c r="BA1482" s="97"/>
      <c r="BB1482" s="97"/>
      <c r="BC1482" s="97"/>
      <c r="BD1482" s="97" t="str">
        <f>IFERROR(__xludf.DUMMYFUNCTION("""COMPUTED_VALUE"""),"POLAR GRID")</f>
        <v>POLAR GRID</v>
      </c>
      <c r="BE1482" s="97"/>
      <c r="BF1482" s="97"/>
      <c r="BG1482" s="97" t="str">
        <f>IFERROR(__xludf.DUMMYFUNCTION("""COMPUTED_VALUE"""),"REPO 7")</f>
        <v>REPO 7</v>
      </c>
    </row>
    <row r="1483">
      <c r="A1483" s="97">
        <f>IFERROR(__xludf.DUMMYFUNCTION("""COMPUTED_VALUE"""),7588.0)</f>
        <v>7588</v>
      </c>
      <c r="B1483" s="97" t="str">
        <f>IFERROR(__xludf.DUMMYFUNCTION("""COMPUTED_VALUE"""),"POLAR GRID 6W BL 3000K")</f>
        <v>POLAR GRID 6W BL 3000K</v>
      </c>
      <c r="C1483" s="97" t="str">
        <f>IFERROR(__xludf.DUMMYFUNCTION("""COMPUTED_VALUE"""),"CABEZAL POLAR GRID 6W BL 3000K 6W 3000K 420LM CRI&gt;90 IP20 LEUK")</f>
        <v>CABEZAL POLAR GRID 6W BL 3000K 6W 3000K 420LM CRI&gt;90 IP20 LEUK</v>
      </c>
      <c r="D1483" s="97">
        <f>IFERROR(__xludf.DUMMYFUNCTION("""COMPUTED_VALUE"""),7.798485460442E12)</f>
        <v>7798485460442</v>
      </c>
      <c r="E1483" s="97" t="str">
        <f>IFERROR(__xludf.DUMMYFUNCTION("""COMPUTED_VALUE"""),"-")</f>
        <v>-</v>
      </c>
      <c r="F1483" s="97" t="str">
        <f>IFERROR(__xludf.DUMMYFUNCTION("""COMPUTED_VALUE"""),"LED integrado")</f>
        <v>LED integrado</v>
      </c>
      <c r="G1483" s="97" t="str">
        <f>IFERROR(__xludf.DUMMYFUNCTION("""COMPUTED_VALUE"""),"-")</f>
        <v>-</v>
      </c>
      <c r="H1483" s="97" t="str">
        <f>IFERROR(__xludf.DUMMYFUNCTION("""COMPUTED_VALUE"""),"N/A")</f>
        <v>N/A</v>
      </c>
      <c r="I1483" s="97" t="str">
        <f>IFERROR(__xludf.DUMMYFUNCTION("""COMPUTED_VALUE"""),"N/A")</f>
        <v>N/A</v>
      </c>
      <c r="J1483" s="97" t="str">
        <f>IFERROR(__xludf.DUMMYFUNCTION("""COMPUTED_VALUE"""),"N/A")</f>
        <v>N/A</v>
      </c>
      <c r="K1483" s="97" t="str">
        <f>IFERROR(__xludf.DUMMYFUNCTION("""COMPUTED_VALUE"""),"ON/OFF")</f>
        <v>ON/OFF</v>
      </c>
      <c r="L1483" s="97" t="str">
        <f>IFERROR(__xludf.DUMMYFUNCTION("""COMPUTED_VALUE"""),"48Vdc")</f>
        <v>48Vdc</v>
      </c>
      <c r="M1483" s="97" t="str">
        <f>IFERROR(__xludf.DUMMYFUNCTION("""COMPUTED_VALUE"""),"N/A")</f>
        <v>N/A</v>
      </c>
      <c r="N1483" s="97"/>
      <c r="O1483" s="97">
        <f>IFERROR(__xludf.DUMMYFUNCTION("""COMPUTED_VALUE"""),6.0)</f>
        <v>6</v>
      </c>
      <c r="P1483" s="97">
        <f>IFERROR(__xludf.DUMMYFUNCTION("""COMPUTED_VALUE"""),7.46)</f>
        <v>7.46</v>
      </c>
      <c r="Q1483" s="97" t="str">
        <f>IFERROR(__xludf.DUMMYFUNCTION("""COMPUTED_VALUE"""),"N/A")</f>
        <v>N/A</v>
      </c>
      <c r="R1483" s="97" t="str">
        <f>IFERROR(__xludf.DUMMYFUNCTION("""COMPUTED_VALUE"""),"-")</f>
        <v>-</v>
      </c>
      <c r="S1483" s="97" t="str">
        <f>IFERROR(__xludf.DUMMYFUNCTION("""COMPUTED_VALUE"""),"-")</f>
        <v>-</v>
      </c>
      <c r="T1483" s="97">
        <f>IFERROR(__xludf.DUMMYFUNCTION("""COMPUTED_VALUE"""),420.0)</f>
        <v>420</v>
      </c>
      <c r="U1483" s="99">
        <f>IFERROR(__xludf.DUMMYFUNCTION("""COMPUTED_VALUE"""),70.0)</f>
        <v>70</v>
      </c>
      <c r="V1483" s="97">
        <f>IFERROR(__xludf.DUMMYFUNCTION("""COMPUTED_VALUE"""),28.0)</f>
        <v>28</v>
      </c>
      <c r="W1483" s="97" t="str">
        <f>IFERROR(__xludf.DUMMYFUNCTION("""COMPUTED_VALUE"""),"&lt; 10")</f>
        <v>&lt; 10</v>
      </c>
      <c r="X1483" s="97">
        <f>IFERROR(__xludf.DUMMYFUNCTION("""COMPUTED_VALUE"""),3000.0)</f>
        <v>3000</v>
      </c>
      <c r="Y1483" s="97" t="str">
        <f>IFERROR(__xludf.DUMMYFUNCTION("""COMPUTED_VALUE"""),"&gt;90")</f>
        <v>&gt;90</v>
      </c>
      <c r="Z1483" s="97" t="str">
        <f>IFERROR(__xludf.DUMMYFUNCTION("""COMPUTED_VALUE"""),"&gt;90")</f>
        <v>&gt;90</v>
      </c>
      <c r="AA1483" s="97" t="str">
        <f>IFERROR(__xludf.DUMMYFUNCTION("""COMPUTED_VALUE"""),"90-99 (Leve desaturación)")</f>
        <v>90-99 (Leve desaturación)</v>
      </c>
      <c r="AB1483" s="97" t="str">
        <f>IFERROR(__xludf.DUMMYFUNCTION("""COMPUTED_VALUE"""),"-")</f>
        <v>-</v>
      </c>
      <c r="AC1483" s="97">
        <f>IFERROR(__xludf.DUMMYFUNCTION("""COMPUTED_VALUE"""),0.0013)</f>
        <v>0.0013</v>
      </c>
      <c r="AD1483" s="97" t="str">
        <f>IFERROR(__xludf.DUMMYFUNCTION("""COMPUTED_VALUE"""),"IP20")</f>
        <v>IP20</v>
      </c>
      <c r="AE1483" s="97" t="str">
        <f>IFERROR(__xludf.DUMMYFUNCTION("""COMPUTED_VALUE"""),"Clase lll")</f>
        <v>Clase lll</v>
      </c>
      <c r="AF1483" s="97" t="str">
        <f>IFERROR(__xludf.DUMMYFUNCTION("""COMPUTED_VALUE"""),"Riel")</f>
        <v>Riel</v>
      </c>
      <c r="AG1483" s="97" t="str">
        <f>IFERROR(__xludf.DUMMYFUNCTION("""COMPUTED_VALUE"""),"112 x 22 x 44")</f>
        <v>112 x 22 x 44</v>
      </c>
      <c r="AH1483" s="97" t="str">
        <f>IFERROR(__xludf.DUMMYFUNCTION("""COMPUTED_VALUE"""),"N/A")</f>
        <v>N/A</v>
      </c>
      <c r="AI1483" s="97" t="str">
        <f>IFERROR(__xludf.DUMMYFUNCTION("""COMPUTED_VALUE"""),"N/A")</f>
        <v>N/A</v>
      </c>
      <c r="AJ1483" s="97" t="str">
        <f>IFERROR(__xludf.DUMMYFUNCTION("""COMPUTED_VALUE"""),"Policarbonato (PC)")</f>
        <v>Policarbonato (PC)</v>
      </c>
      <c r="AK1483" s="97" t="str">
        <f>IFERROR(__xludf.DUMMYFUNCTION("""COMPUTED_VALUE"""),"Aluminio")</f>
        <v>Aluminio</v>
      </c>
      <c r="AL1483" s="97" t="str">
        <f>IFERROR(__xludf.DUMMYFUNCTION("""COMPUTED_VALUE"""),"Blanco Satinado")</f>
        <v>Blanco Satinado</v>
      </c>
      <c r="AM1483" s="97" t="str">
        <f>IFERROR(__xludf.DUMMYFUNCTION("""COMPUTED_VALUE"""),"-")</f>
        <v>-</v>
      </c>
      <c r="AN1483" s="97" t="str">
        <f>IFERROR(__xludf.DUMMYFUNCTION("""COMPUTED_VALUE"""),"25.000hs (L70)")</f>
        <v>25.000hs (L70)</v>
      </c>
      <c r="AO1483" s="97" t="str">
        <f>IFERROR(__xludf.DUMMYFUNCTION("""COMPUTED_VALUE"""),"2 Años")</f>
        <v>2 Años</v>
      </c>
      <c r="AP1483" s="97" t="str">
        <f>IFERROR(__xludf.DUMMYFUNCTION("""COMPUTED_VALUE"""),"Disponible")</f>
        <v>Disponible</v>
      </c>
      <c r="AQ1483" s="97" t="str">
        <f>IFERROR(__xludf.DUMMYFUNCTION("""COMPUTED_VALUE"""),"Disponible")</f>
        <v>Disponible</v>
      </c>
      <c r="AR1483" s="97" t="str">
        <f>IFERROR(__xludf.DUMMYFUNCTION("""COMPUTED_VALUE"""),"Disponible")</f>
        <v>Disponible</v>
      </c>
      <c r="AS1483" s="97" t="str">
        <f>IFERROR(__xludf.DUMMYFUNCTION("""COMPUTED_VALUE"""),"Disponible")</f>
        <v>Disponible</v>
      </c>
      <c r="AT1483" s="97" t="str">
        <f>IFERROR(__xludf.DUMMYFUNCTION("""COMPUTED_VALUE"""),"Falta")</f>
        <v>Falta</v>
      </c>
      <c r="AU1483" s="97" t="str">
        <f>IFERROR(__xludf.DUMMYFUNCTION("""COMPUTED_VALUE"""),"Disponible")</f>
        <v>Disponible</v>
      </c>
      <c r="AV1483" s="97" t="str">
        <f>IFERROR(__xludf.DUMMYFUNCTION("""COMPUTED_VALUE"""),"Cabezal")</f>
        <v>Cabezal</v>
      </c>
      <c r="AW1483" s="97" t="str">
        <f>IFERROR(__xludf.DUMMYFUNCTION("""COMPUTED_VALUE"""),"Rieles")</f>
        <v>Rieles</v>
      </c>
      <c r="AX1483" s="97" t="str">
        <f>IFERROR(__xludf.DUMMYFUNCTION("""COMPUTED_VALUE"""),"Interior")</f>
        <v>Interior</v>
      </c>
      <c r="AY1483" s="97" t="str">
        <f>IFERROR(__xludf.DUMMYFUNCTION("""COMPUTED_VALUE"""),"-")</f>
        <v>-</v>
      </c>
      <c r="AZ1483" s="97" t="str">
        <f>IFERROR(__xludf.DUMMYFUNCTION("""COMPUTED_VALUE"""),"-")</f>
        <v>-</v>
      </c>
      <c r="BA1483" s="97"/>
      <c r="BB1483" s="97"/>
      <c r="BC1483" s="97"/>
      <c r="BD1483" s="97" t="str">
        <f>IFERROR(__xludf.DUMMYFUNCTION("""COMPUTED_VALUE"""),"POLAR GRID")</f>
        <v>POLAR GRID</v>
      </c>
      <c r="BE1483" s="97"/>
      <c r="BF1483" s="97"/>
      <c r="BG1483" s="97" t="str">
        <f>IFERROR(__xludf.DUMMYFUNCTION("""COMPUTED_VALUE"""),"REPO 7")</f>
        <v>REPO 7</v>
      </c>
    </row>
    <row r="1484">
      <c r="A1484" s="97">
        <f>IFERROR(__xludf.DUMMYFUNCTION("""COMPUTED_VALUE"""),7589.0)</f>
        <v>7589</v>
      </c>
      <c r="B1484" s="97" t="str">
        <f>IFERROR(__xludf.DUMMYFUNCTION("""COMPUTED_VALUE"""),"POLAR GRID 12W NG 3000K")</f>
        <v>POLAR GRID 12W NG 3000K</v>
      </c>
      <c r="C1484" s="97" t="str">
        <f>IFERROR(__xludf.DUMMYFUNCTION("""COMPUTED_VALUE"""),"CABEZAL POLAR GRID 12W NG 3000K 12W 3000K 800LM CRI&gt;90 IP20 LEUK")</f>
        <v>CABEZAL POLAR GRID 12W NG 3000K 12W 3000K 800LM CRI&gt;90 IP20 LEUK</v>
      </c>
      <c r="D1484" s="97">
        <f>IFERROR(__xludf.DUMMYFUNCTION("""COMPUTED_VALUE"""),7.798485460459E12)</f>
        <v>7798485460459</v>
      </c>
      <c r="E1484" s="97" t="str">
        <f>IFERROR(__xludf.DUMMYFUNCTION("""COMPUTED_VALUE"""),"-")</f>
        <v>-</v>
      </c>
      <c r="F1484" s="97" t="str">
        <f>IFERROR(__xludf.DUMMYFUNCTION("""COMPUTED_VALUE"""),"LED integrado")</f>
        <v>LED integrado</v>
      </c>
      <c r="G1484" s="97" t="str">
        <f>IFERROR(__xludf.DUMMYFUNCTION("""COMPUTED_VALUE"""),"-")</f>
        <v>-</v>
      </c>
      <c r="H1484" s="97" t="str">
        <f>IFERROR(__xludf.DUMMYFUNCTION("""COMPUTED_VALUE"""),"N/A")</f>
        <v>N/A</v>
      </c>
      <c r="I1484" s="97" t="str">
        <f>IFERROR(__xludf.DUMMYFUNCTION("""COMPUTED_VALUE"""),"N/A")</f>
        <v>N/A</v>
      </c>
      <c r="J1484" s="97" t="str">
        <f>IFERROR(__xludf.DUMMYFUNCTION("""COMPUTED_VALUE"""),"N/A")</f>
        <v>N/A</v>
      </c>
      <c r="K1484" s="97" t="str">
        <f>IFERROR(__xludf.DUMMYFUNCTION("""COMPUTED_VALUE"""),"ON/OFF")</f>
        <v>ON/OFF</v>
      </c>
      <c r="L1484" s="97" t="str">
        <f>IFERROR(__xludf.DUMMYFUNCTION("""COMPUTED_VALUE"""),"48Vdc")</f>
        <v>48Vdc</v>
      </c>
      <c r="M1484" s="97" t="str">
        <f>IFERROR(__xludf.DUMMYFUNCTION("""COMPUTED_VALUE"""),"N/A")</f>
        <v>N/A</v>
      </c>
      <c r="N1484" s="97"/>
      <c r="O1484" s="97">
        <f>IFERROR(__xludf.DUMMYFUNCTION("""COMPUTED_VALUE"""),12.0)</f>
        <v>12</v>
      </c>
      <c r="P1484" s="97">
        <f>IFERROR(__xludf.DUMMYFUNCTION("""COMPUTED_VALUE"""),13.02)</f>
        <v>13.02</v>
      </c>
      <c r="Q1484" s="97" t="str">
        <f>IFERROR(__xludf.DUMMYFUNCTION("""COMPUTED_VALUE"""),"N/A")</f>
        <v>N/A</v>
      </c>
      <c r="R1484" s="97" t="str">
        <f>IFERROR(__xludf.DUMMYFUNCTION("""COMPUTED_VALUE"""),"-")</f>
        <v>-</v>
      </c>
      <c r="S1484" s="97" t="str">
        <f>IFERROR(__xludf.DUMMYFUNCTION("""COMPUTED_VALUE"""),"-")</f>
        <v>-</v>
      </c>
      <c r="T1484" s="97">
        <f>IFERROR(__xludf.DUMMYFUNCTION("""COMPUTED_VALUE"""),800.0)</f>
        <v>800</v>
      </c>
      <c r="U1484" s="99">
        <f>IFERROR(__xludf.DUMMYFUNCTION("""COMPUTED_VALUE"""),66.66666666666667)</f>
        <v>66.66666667</v>
      </c>
      <c r="V1484" s="97">
        <f>IFERROR(__xludf.DUMMYFUNCTION("""COMPUTED_VALUE"""),28.0)</f>
        <v>28</v>
      </c>
      <c r="W1484" s="97" t="str">
        <f>IFERROR(__xludf.DUMMYFUNCTION("""COMPUTED_VALUE"""),"&lt; 10")</f>
        <v>&lt; 10</v>
      </c>
      <c r="X1484" s="97">
        <f>IFERROR(__xludf.DUMMYFUNCTION("""COMPUTED_VALUE"""),3000.0)</f>
        <v>3000</v>
      </c>
      <c r="Y1484" s="97" t="str">
        <f>IFERROR(__xludf.DUMMYFUNCTION("""COMPUTED_VALUE"""),"&gt;90")</f>
        <v>&gt;90</v>
      </c>
      <c r="Z1484" s="97" t="str">
        <f>IFERROR(__xludf.DUMMYFUNCTION("""COMPUTED_VALUE"""),"&gt;90")</f>
        <v>&gt;90</v>
      </c>
      <c r="AA1484" s="97" t="str">
        <f>IFERROR(__xludf.DUMMYFUNCTION("""COMPUTED_VALUE"""),"90-99 (Leve desaturación)")</f>
        <v>90-99 (Leve desaturación)</v>
      </c>
      <c r="AB1484" s="97" t="str">
        <f>IFERROR(__xludf.DUMMYFUNCTION("""COMPUTED_VALUE"""),"-")</f>
        <v>-</v>
      </c>
      <c r="AC1484" s="97">
        <f>IFERROR(__xludf.DUMMYFUNCTION("""COMPUTED_VALUE"""),-4.0E-4)</f>
        <v>-0.0004</v>
      </c>
      <c r="AD1484" s="97" t="str">
        <f>IFERROR(__xludf.DUMMYFUNCTION("""COMPUTED_VALUE"""),"IP20")</f>
        <v>IP20</v>
      </c>
      <c r="AE1484" s="97" t="str">
        <f>IFERROR(__xludf.DUMMYFUNCTION("""COMPUTED_VALUE"""),"Clase lll")</f>
        <v>Clase lll</v>
      </c>
      <c r="AF1484" s="97" t="str">
        <f>IFERROR(__xludf.DUMMYFUNCTION("""COMPUTED_VALUE"""),"Riel")</f>
        <v>Riel</v>
      </c>
      <c r="AG1484" s="97" t="str">
        <f>IFERROR(__xludf.DUMMYFUNCTION("""COMPUTED_VALUE"""),"220 x 22 x 44")</f>
        <v>220 x 22 x 44</v>
      </c>
      <c r="AH1484" s="97" t="str">
        <f>IFERROR(__xludf.DUMMYFUNCTION("""COMPUTED_VALUE"""),"N/A")</f>
        <v>N/A</v>
      </c>
      <c r="AI1484" s="97" t="str">
        <f>IFERROR(__xludf.DUMMYFUNCTION("""COMPUTED_VALUE"""),"N/A")</f>
        <v>N/A</v>
      </c>
      <c r="AJ1484" s="97" t="str">
        <f>IFERROR(__xludf.DUMMYFUNCTION("""COMPUTED_VALUE"""),"Policarbonato (PC)")</f>
        <v>Policarbonato (PC)</v>
      </c>
      <c r="AK1484" s="97" t="str">
        <f>IFERROR(__xludf.DUMMYFUNCTION("""COMPUTED_VALUE"""),"Aluminio")</f>
        <v>Aluminio</v>
      </c>
      <c r="AL1484" s="97" t="str">
        <f>IFERROR(__xludf.DUMMYFUNCTION("""COMPUTED_VALUE"""),"Negro Satinado")</f>
        <v>Negro Satinado</v>
      </c>
      <c r="AM1484" s="97" t="str">
        <f>IFERROR(__xludf.DUMMYFUNCTION("""COMPUTED_VALUE"""),"-")</f>
        <v>-</v>
      </c>
      <c r="AN1484" s="97" t="str">
        <f>IFERROR(__xludf.DUMMYFUNCTION("""COMPUTED_VALUE"""),"25.000hs (L70)")</f>
        <v>25.000hs (L70)</v>
      </c>
      <c r="AO1484" s="97" t="str">
        <f>IFERROR(__xludf.DUMMYFUNCTION("""COMPUTED_VALUE"""),"2 Años")</f>
        <v>2 Años</v>
      </c>
      <c r="AP1484" s="97" t="str">
        <f>IFERROR(__xludf.DUMMYFUNCTION("""COMPUTED_VALUE"""),"Disponible")</f>
        <v>Disponible</v>
      </c>
      <c r="AQ1484" s="97" t="str">
        <f>IFERROR(__xludf.DUMMYFUNCTION("""COMPUTED_VALUE"""),"Disponible")</f>
        <v>Disponible</v>
      </c>
      <c r="AR1484" s="97" t="str">
        <f>IFERROR(__xludf.DUMMYFUNCTION("""COMPUTED_VALUE"""),"Disponible")</f>
        <v>Disponible</v>
      </c>
      <c r="AS1484" s="97" t="str">
        <f>IFERROR(__xludf.DUMMYFUNCTION("""COMPUTED_VALUE"""),"Disponible")</f>
        <v>Disponible</v>
      </c>
      <c r="AT1484" s="97" t="str">
        <f>IFERROR(__xludf.DUMMYFUNCTION("""COMPUTED_VALUE"""),"Falta")</f>
        <v>Falta</v>
      </c>
      <c r="AU1484" s="97" t="str">
        <f>IFERROR(__xludf.DUMMYFUNCTION("""COMPUTED_VALUE"""),"Disponible")</f>
        <v>Disponible</v>
      </c>
      <c r="AV1484" s="97" t="str">
        <f>IFERROR(__xludf.DUMMYFUNCTION("""COMPUTED_VALUE"""),"Cabezal")</f>
        <v>Cabezal</v>
      </c>
      <c r="AW1484" s="97" t="str">
        <f>IFERROR(__xludf.DUMMYFUNCTION("""COMPUTED_VALUE"""),"Rieles")</f>
        <v>Rieles</v>
      </c>
      <c r="AX1484" s="97" t="str">
        <f>IFERROR(__xludf.DUMMYFUNCTION("""COMPUTED_VALUE"""),"Interior")</f>
        <v>Interior</v>
      </c>
      <c r="AY1484" s="97" t="str">
        <f>IFERROR(__xludf.DUMMYFUNCTION("""COMPUTED_VALUE"""),"-")</f>
        <v>-</v>
      </c>
      <c r="AZ1484" s="97" t="str">
        <f>IFERROR(__xludf.DUMMYFUNCTION("""COMPUTED_VALUE"""),"-")</f>
        <v>-</v>
      </c>
      <c r="BA1484" s="97"/>
      <c r="BB1484" s="97"/>
      <c r="BC1484" s="97"/>
      <c r="BD1484" s="97" t="str">
        <f>IFERROR(__xludf.DUMMYFUNCTION("""COMPUTED_VALUE"""),"POLAR GRID")</f>
        <v>POLAR GRID</v>
      </c>
      <c r="BE1484" s="97"/>
      <c r="BF1484" s="97"/>
      <c r="BG1484" s="97" t="str">
        <f>IFERROR(__xludf.DUMMYFUNCTION("""COMPUTED_VALUE"""),"REPO 7")</f>
        <v>REPO 7</v>
      </c>
    </row>
    <row r="1485">
      <c r="A1485" s="97">
        <f>IFERROR(__xludf.DUMMYFUNCTION("""COMPUTED_VALUE"""),7590.0)</f>
        <v>7590</v>
      </c>
      <c r="B1485" s="97" t="str">
        <f>IFERROR(__xludf.DUMMYFUNCTION("""COMPUTED_VALUE"""),"POLAR GRID 12W BL 3000K")</f>
        <v>POLAR GRID 12W BL 3000K</v>
      </c>
      <c r="C1485" s="97" t="str">
        <f>IFERROR(__xludf.DUMMYFUNCTION("""COMPUTED_VALUE"""),"CABEZAL POLAR GRID 12W BL 3000K 12W 3000K 800LM CRI&gt;90 IP20 LEUK")</f>
        <v>CABEZAL POLAR GRID 12W BL 3000K 12W 3000K 800LM CRI&gt;90 IP20 LEUK</v>
      </c>
      <c r="D1485" s="97">
        <f>IFERROR(__xludf.DUMMYFUNCTION("""COMPUTED_VALUE"""),7.798485460466E12)</f>
        <v>7798485460466</v>
      </c>
      <c r="E1485" s="97" t="str">
        <f>IFERROR(__xludf.DUMMYFUNCTION("""COMPUTED_VALUE"""),"-")</f>
        <v>-</v>
      </c>
      <c r="F1485" s="97" t="str">
        <f>IFERROR(__xludf.DUMMYFUNCTION("""COMPUTED_VALUE"""),"LED integrado")</f>
        <v>LED integrado</v>
      </c>
      <c r="G1485" s="97" t="str">
        <f>IFERROR(__xludf.DUMMYFUNCTION("""COMPUTED_VALUE"""),"-")</f>
        <v>-</v>
      </c>
      <c r="H1485" s="97" t="str">
        <f>IFERROR(__xludf.DUMMYFUNCTION("""COMPUTED_VALUE"""),"N/A")</f>
        <v>N/A</v>
      </c>
      <c r="I1485" s="97" t="str">
        <f>IFERROR(__xludf.DUMMYFUNCTION("""COMPUTED_VALUE"""),"N/A")</f>
        <v>N/A</v>
      </c>
      <c r="J1485" s="97" t="str">
        <f>IFERROR(__xludf.DUMMYFUNCTION("""COMPUTED_VALUE"""),"N/A")</f>
        <v>N/A</v>
      </c>
      <c r="K1485" s="97" t="str">
        <f>IFERROR(__xludf.DUMMYFUNCTION("""COMPUTED_VALUE"""),"ON/OFF")</f>
        <v>ON/OFF</v>
      </c>
      <c r="L1485" s="97" t="str">
        <f>IFERROR(__xludf.DUMMYFUNCTION("""COMPUTED_VALUE"""),"48Vdc")</f>
        <v>48Vdc</v>
      </c>
      <c r="M1485" s="97" t="str">
        <f>IFERROR(__xludf.DUMMYFUNCTION("""COMPUTED_VALUE"""),"N/A")</f>
        <v>N/A</v>
      </c>
      <c r="N1485" s="97"/>
      <c r="O1485" s="97">
        <f>IFERROR(__xludf.DUMMYFUNCTION("""COMPUTED_VALUE"""),12.0)</f>
        <v>12</v>
      </c>
      <c r="P1485" s="97">
        <f>IFERROR(__xludf.DUMMYFUNCTION("""COMPUTED_VALUE"""),13.02)</f>
        <v>13.02</v>
      </c>
      <c r="Q1485" s="97" t="str">
        <f>IFERROR(__xludf.DUMMYFUNCTION("""COMPUTED_VALUE"""),"N/A")</f>
        <v>N/A</v>
      </c>
      <c r="R1485" s="97" t="str">
        <f>IFERROR(__xludf.DUMMYFUNCTION("""COMPUTED_VALUE"""),"-")</f>
        <v>-</v>
      </c>
      <c r="S1485" s="97" t="str">
        <f>IFERROR(__xludf.DUMMYFUNCTION("""COMPUTED_VALUE"""),"-")</f>
        <v>-</v>
      </c>
      <c r="T1485" s="97">
        <f>IFERROR(__xludf.DUMMYFUNCTION("""COMPUTED_VALUE"""),800.0)</f>
        <v>800</v>
      </c>
      <c r="U1485" s="99">
        <f>IFERROR(__xludf.DUMMYFUNCTION("""COMPUTED_VALUE"""),66.66666666666667)</f>
        <v>66.66666667</v>
      </c>
      <c r="V1485" s="97">
        <f>IFERROR(__xludf.DUMMYFUNCTION("""COMPUTED_VALUE"""),28.0)</f>
        <v>28</v>
      </c>
      <c r="W1485" s="97" t="str">
        <f>IFERROR(__xludf.DUMMYFUNCTION("""COMPUTED_VALUE"""),"&lt; 10")</f>
        <v>&lt; 10</v>
      </c>
      <c r="X1485" s="97">
        <f>IFERROR(__xludf.DUMMYFUNCTION("""COMPUTED_VALUE"""),3000.0)</f>
        <v>3000</v>
      </c>
      <c r="Y1485" s="97" t="str">
        <f>IFERROR(__xludf.DUMMYFUNCTION("""COMPUTED_VALUE"""),"&gt;90")</f>
        <v>&gt;90</v>
      </c>
      <c r="Z1485" s="97" t="str">
        <f>IFERROR(__xludf.DUMMYFUNCTION("""COMPUTED_VALUE"""),"&gt;90")</f>
        <v>&gt;90</v>
      </c>
      <c r="AA1485" s="97" t="str">
        <f>IFERROR(__xludf.DUMMYFUNCTION("""COMPUTED_VALUE"""),"90-99 (Leve desaturación)")</f>
        <v>90-99 (Leve desaturación)</v>
      </c>
      <c r="AB1485" s="97" t="str">
        <f>IFERROR(__xludf.DUMMYFUNCTION("""COMPUTED_VALUE"""),"-")</f>
        <v>-</v>
      </c>
      <c r="AC1485" s="97">
        <f>IFERROR(__xludf.DUMMYFUNCTION("""COMPUTED_VALUE"""),-4.0E-4)</f>
        <v>-0.0004</v>
      </c>
      <c r="AD1485" s="97" t="str">
        <f>IFERROR(__xludf.DUMMYFUNCTION("""COMPUTED_VALUE"""),"IP20")</f>
        <v>IP20</v>
      </c>
      <c r="AE1485" s="97" t="str">
        <f>IFERROR(__xludf.DUMMYFUNCTION("""COMPUTED_VALUE"""),"Clase lll")</f>
        <v>Clase lll</v>
      </c>
      <c r="AF1485" s="97" t="str">
        <f>IFERROR(__xludf.DUMMYFUNCTION("""COMPUTED_VALUE"""),"Riel")</f>
        <v>Riel</v>
      </c>
      <c r="AG1485" s="97" t="str">
        <f>IFERROR(__xludf.DUMMYFUNCTION("""COMPUTED_VALUE"""),"220 x 22 x 44")</f>
        <v>220 x 22 x 44</v>
      </c>
      <c r="AH1485" s="97" t="str">
        <f>IFERROR(__xludf.DUMMYFUNCTION("""COMPUTED_VALUE"""),"N/A")</f>
        <v>N/A</v>
      </c>
      <c r="AI1485" s="97" t="str">
        <f>IFERROR(__xludf.DUMMYFUNCTION("""COMPUTED_VALUE"""),"N/A")</f>
        <v>N/A</v>
      </c>
      <c r="AJ1485" s="97" t="str">
        <f>IFERROR(__xludf.DUMMYFUNCTION("""COMPUTED_VALUE"""),"Policarbonato (PC)")</f>
        <v>Policarbonato (PC)</v>
      </c>
      <c r="AK1485" s="97" t="str">
        <f>IFERROR(__xludf.DUMMYFUNCTION("""COMPUTED_VALUE"""),"Aluminio")</f>
        <v>Aluminio</v>
      </c>
      <c r="AL1485" s="97" t="str">
        <f>IFERROR(__xludf.DUMMYFUNCTION("""COMPUTED_VALUE"""),"Blanco Satinado")</f>
        <v>Blanco Satinado</v>
      </c>
      <c r="AM1485" s="97" t="str">
        <f>IFERROR(__xludf.DUMMYFUNCTION("""COMPUTED_VALUE"""),"-")</f>
        <v>-</v>
      </c>
      <c r="AN1485" s="97" t="str">
        <f>IFERROR(__xludf.DUMMYFUNCTION("""COMPUTED_VALUE"""),"25.000hs (L70)")</f>
        <v>25.000hs (L70)</v>
      </c>
      <c r="AO1485" s="97" t="str">
        <f>IFERROR(__xludf.DUMMYFUNCTION("""COMPUTED_VALUE"""),"2 Años")</f>
        <v>2 Años</v>
      </c>
      <c r="AP1485" s="97" t="str">
        <f>IFERROR(__xludf.DUMMYFUNCTION("""COMPUTED_VALUE"""),"Disponible")</f>
        <v>Disponible</v>
      </c>
      <c r="AQ1485" s="97" t="str">
        <f>IFERROR(__xludf.DUMMYFUNCTION("""COMPUTED_VALUE"""),"Disponible")</f>
        <v>Disponible</v>
      </c>
      <c r="AR1485" s="97" t="str">
        <f>IFERROR(__xludf.DUMMYFUNCTION("""COMPUTED_VALUE"""),"Disponible")</f>
        <v>Disponible</v>
      </c>
      <c r="AS1485" s="97" t="str">
        <f>IFERROR(__xludf.DUMMYFUNCTION("""COMPUTED_VALUE"""),"Disponible")</f>
        <v>Disponible</v>
      </c>
      <c r="AT1485" s="97" t="str">
        <f>IFERROR(__xludf.DUMMYFUNCTION("""COMPUTED_VALUE"""),"Falta")</f>
        <v>Falta</v>
      </c>
      <c r="AU1485" s="97" t="str">
        <f>IFERROR(__xludf.DUMMYFUNCTION("""COMPUTED_VALUE"""),"Disponible")</f>
        <v>Disponible</v>
      </c>
      <c r="AV1485" s="97" t="str">
        <f>IFERROR(__xludf.DUMMYFUNCTION("""COMPUTED_VALUE"""),"Cabezal")</f>
        <v>Cabezal</v>
      </c>
      <c r="AW1485" s="97" t="str">
        <f>IFERROR(__xludf.DUMMYFUNCTION("""COMPUTED_VALUE"""),"Rieles")</f>
        <v>Rieles</v>
      </c>
      <c r="AX1485" s="97" t="str">
        <f>IFERROR(__xludf.DUMMYFUNCTION("""COMPUTED_VALUE"""),"Interior")</f>
        <v>Interior</v>
      </c>
      <c r="AY1485" s="97" t="str">
        <f>IFERROR(__xludf.DUMMYFUNCTION("""COMPUTED_VALUE"""),"-")</f>
        <v>-</v>
      </c>
      <c r="AZ1485" s="97" t="str">
        <f>IFERROR(__xludf.DUMMYFUNCTION("""COMPUTED_VALUE"""),"-")</f>
        <v>-</v>
      </c>
      <c r="BA1485" s="97"/>
      <c r="BB1485" s="97"/>
      <c r="BC1485" s="97"/>
      <c r="BD1485" s="97" t="str">
        <f>IFERROR(__xludf.DUMMYFUNCTION("""COMPUTED_VALUE"""),"POLAR GRID")</f>
        <v>POLAR GRID</v>
      </c>
      <c r="BE1485" s="97"/>
      <c r="BF1485" s="97"/>
      <c r="BG1485" s="97" t="str">
        <f>IFERROR(__xludf.DUMMYFUNCTION("""COMPUTED_VALUE"""),"REPO 7")</f>
        <v>REPO 7</v>
      </c>
    </row>
    <row r="1486">
      <c r="A1486" s="97">
        <f>IFERROR(__xludf.DUMMYFUNCTION("""COMPUTED_VALUE"""),7591.0)</f>
        <v>7591</v>
      </c>
      <c r="B1486" s="97" t="str">
        <f>IFERROR(__xludf.DUMMYFUNCTION("""COMPUTED_VALUE"""),"POLAR GRID MOVIL 6W NG 3000K")</f>
        <v>POLAR GRID MOVIL 6W NG 3000K</v>
      </c>
      <c r="C1486" s="97" t="str">
        <f>IFERROR(__xludf.DUMMYFUNCTION("""COMPUTED_VALUE"""),"CABEZAL POLAR GRID MOVIL 6W NG 3000K 6W 3000K 420LM CRI&gt;90 IP20 LEUK")</f>
        <v>CABEZAL POLAR GRID MOVIL 6W NG 3000K 6W 3000K 420LM CRI&gt;90 IP20 LEUK</v>
      </c>
      <c r="D1486" s="97">
        <f>IFERROR(__xludf.DUMMYFUNCTION("""COMPUTED_VALUE"""),7.798485460473E12)</f>
        <v>7798485460473</v>
      </c>
      <c r="E1486" s="97" t="str">
        <f>IFERROR(__xludf.DUMMYFUNCTION("""COMPUTED_VALUE"""),"-")</f>
        <v>-</v>
      </c>
      <c r="F1486" s="97" t="str">
        <f>IFERROR(__xludf.DUMMYFUNCTION("""COMPUTED_VALUE"""),"LED integrado")</f>
        <v>LED integrado</v>
      </c>
      <c r="G1486" s="97" t="str">
        <f>IFERROR(__xludf.DUMMYFUNCTION("""COMPUTED_VALUE"""),"-")</f>
        <v>-</v>
      </c>
      <c r="H1486" s="97" t="str">
        <f>IFERROR(__xludf.DUMMYFUNCTION("""COMPUTED_VALUE"""),"N/A")</f>
        <v>N/A</v>
      </c>
      <c r="I1486" s="97" t="str">
        <f>IFERROR(__xludf.DUMMYFUNCTION("""COMPUTED_VALUE"""),"N/A")</f>
        <v>N/A</v>
      </c>
      <c r="J1486" s="97" t="str">
        <f>IFERROR(__xludf.DUMMYFUNCTION("""COMPUTED_VALUE"""),"N/A")</f>
        <v>N/A</v>
      </c>
      <c r="K1486" s="97" t="str">
        <f>IFERROR(__xludf.DUMMYFUNCTION("""COMPUTED_VALUE"""),"ON/OFF")</f>
        <v>ON/OFF</v>
      </c>
      <c r="L1486" s="97" t="str">
        <f>IFERROR(__xludf.DUMMYFUNCTION("""COMPUTED_VALUE"""),"48Vdc")</f>
        <v>48Vdc</v>
      </c>
      <c r="M1486" s="97" t="str">
        <f>IFERROR(__xludf.DUMMYFUNCTION("""COMPUTED_VALUE"""),"N/A")</f>
        <v>N/A</v>
      </c>
      <c r="N1486" s="97"/>
      <c r="O1486" s="97">
        <f>IFERROR(__xludf.DUMMYFUNCTION("""COMPUTED_VALUE"""),6.0)</f>
        <v>6</v>
      </c>
      <c r="P1486" s="97">
        <f>IFERROR(__xludf.DUMMYFUNCTION("""COMPUTED_VALUE"""),7.24)</f>
        <v>7.24</v>
      </c>
      <c r="Q1486" s="97" t="str">
        <f>IFERROR(__xludf.DUMMYFUNCTION("""COMPUTED_VALUE"""),"N/A")</f>
        <v>N/A</v>
      </c>
      <c r="R1486" s="97" t="str">
        <f>IFERROR(__xludf.DUMMYFUNCTION("""COMPUTED_VALUE"""),"-")</f>
        <v>-</v>
      </c>
      <c r="S1486" s="97" t="str">
        <f>IFERROR(__xludf.DUMMYFUNCTION("""COMPUTED_VALUE"""),"-")</f>
        <v>-</v>
      </c>
      <c r="T1486" s="97">
        <f>IFERROR(__xludf.DUMMYFUNCTION("""COMPUTED_VALUE"""),420.0)</f>
        <v>420</v>
      </c>
      <c r="U1486" s="99">
        <f>IFERROR(__xludf.DUMMYFUNCTION("""COMPUTED_VALUE"""),70.0)</f>
        <v>70</v>
      </c>
      <c r="V1486" s="97">
        <f>IFERROR(__xludf.DUMMYFUNCTION("""COMPUTED_VALUE"""),28.0)</f>
        <v>28</v>
      </c>
      <c r="W1486" s="97" t="str">
        <f>IFERROR(__xludf.DUMMYFUNCTION("""COMPUTED_VALUE"""),"&lt; 10")</f>
        <v>&lt; 10</v>
      </c>
      <c r="X1486" s="97">
        <f>IFERROR(__xludf.DUMMYFUNCTION("""COMPUTED_VALUE"""),3000.0)</f>
        <v>3000</v>
      </c>
      <c r="Y1486" s="97" t="str">
        <f>IFERROR(__xludf.DUMMYFUNCTION("""COMPUTED_VALUE"""),"&gt;90")</f>
        <v>&gt;90</v>
      </c>
      <c r="Z1486" s="97" t="str">
        <f>IFERROR(__xludf.DUMMYFUNCTION("""COMPUTED_VALUE"""),"&gt;90")</f>
        <v>&gt;90</v>
      </c>
      <c r="AA1486" s="97" t="str">
        <f>IFERROR(__xludf.DUMMYFUNCTION("""COMPUTED_VALUE"""),"90-99 (Leve desaturación)")</f>
        <v>90-99 (Leve desaturación)</v>
      </c>
      <c r="AB1486" s="97" t="str">
        <f>IFERROR(__xludf.DUMMYFUNCTION("""COMPUTED_VALUE"""),"-")</f>
        <v>-</v>
      </c>
      <c r="AC1486" s="97">
        <f>IFERROR(__xludf.DUMMYFUNCTION("""COMPUTED_VALUE"""),0.00164)</f>
        <v>0.00164</v>
      </c>
      <c r="AD1486" s="97" t="str">
        <f>IFERROR(__xludf.DUMMYFUNCTION("""COMPUTED_VALUE"""),"IP20")</f>
        <v>IP20</v>
      </c>
      <c r="AE1486" s="97" t="str">
        <f>IFERROR(__xludf.DUMMYFUNCTION("""COMPUTED_VALUE"""),"Clase lll")</f>
        <v>Clase lll</v>
      </c>
      <c r="AF1486" s="97" t="str">
        <f>IFERROR(__xludf.DUMMYFUNCTION("""COMPUTED_VALUE"""),"Riel")</f>
        <v>Riel</v>
      </c>
      <c r="AG1486" s="97" t="str">
        <f>IFERROR(__xludf.DUMMYFUNCTION("""COMPUTED_VALUE"""),"112 x 22 x 103")</f>
        <v>112 x 22 x 103</v>
      </c>
      <c r="AH1486" s="97" t="str">
        <f>IFERROR(__xludf.DUMMYFUNCTION("""COMPUTED_VALUE"""),"N/A")</f>
        <v>N/A</v>
      </c>
      <c r="AI1486" s="97" t="str">
        <f>IFERROR(__xludf.DUMMYFUNCTION("""COMPUTED_VALUE"""),"N/A")</f>
        <v>N/A</v>
      </c>
      <c r="AJ1486" s="97" t="str">
        <f>IFERROR(__xludf.DUMMYFUNCTION("""COMPUTED_VALUE"""),"Policarbonato (PC)")</f>
        <v>Policarbonato (PC)</v>
      </c>
      <c r="AK1486" s="97" t="str">
        <f>IFERROR(__xludf.DUMMYFUNCTION("""COMPUTED_VALUE"""),"Aluminio")</f>
        <v>Aluminio</v>
      </c>
      <c r="AL1486" s="97" t="str">
        <f>IFERROR(__xludf.DUMMYFUNCTION("""COMPUTED_VALUE"""),"Negro Satinado")</f>
        <v>Negro Satinado</v>
      </c>
      <c r="AM1486" s="97" t="str">
        <f>IFERROR(__xludf.DUMMYFUNCTION("""COMPUTED_VALUE"""),"-")</f>
        <v>-</v>
      </c>
      <c r="AN1486" s="97" t="str">
        <f>IFERROR(__xludf.DUMMYFUNCTION("""COMPUTED_VALUE"""),"25.000hs (L70)")</f>
        <v>25.000hs (L70)</v>
      </c>
      <c r="AO1486" s="97" t="str">
        <f>IFERROR(__xludf.DUMMYFUNCTION("""COMPUTED_VALUE"""),"2 Años")</f>
        <v>2 Años</v>
      </c>
      <c r="AP1486" s="97" t="str">
        <f>IFERROR(__xludf.DUMMYFUNCTION("""COMPUTED_VALUE"""),"Disponible")</f>
        <v>Disponible</v>
      </c>
      <c r="AQ1486" s="97" t="str">
        <f>IFERROR(__xludf.DUMMYFUNCTION("""COMPUTED_VALUE"""),"Disponible")</f>
        <v>Disponible</v>
      </c>
      <c r="AR1486" s="97" t="str">
        <f>IFERROR(__xludf.DUMMYFUNCTION("""COMPUTED_VALUE"""),"Disponible")</f>
        <v>Disponible</v>
      </c>
      <c r="AS1486" s="97" t="str">
        <f>IFERROR(__xludf.DUMMYFUNCTION("""COMPUTED_VALUE"""),"Falta")</f>
        <v>Falta</v>
      </c>
      <c r="AT1486" s="97" t="str">
        <f>IFERROR(__xludf.DUMMYFUNCTION("""COMPUTED_VALUE"""),"Falta")</f>
        <v>Falta</v>
      </c>
      <c r="AU1486" s="97" t="str">
        <f>IFERROR(__xludf.DUMMYFUNCTION("""COMPUTED_VALUE"""),"Disponible")</f>
        <v>Disponible</v>
      </c>
      <c r="AV1486" s="97" t="str">
        <f>IFERROR(__xludf.DUMMYFUNCTION("""COMPUTED_VALUE"""),"Cabezal")</f>
        <v>Cabezal</v>
      </c>
      <c r="AW1486" s="97" t="str">
        <f>IFERROR(__xludf.DUMMYFUNCTION("""COMPUTED_VALUE"""),"Rieles")</f>
        <v>Rieles</v>
      </c>
      <c r="AX1486" s="97" t="str">
        <f>IFERROR(__xludf.DUMMYFUNCTION("""COMPUTED_VALUE"""),"Interior")</f>
        <v>Interior</v>
      </c>
      <c r="AY1486" s="97" t="str">
        <f>IFERROR(__xludf.DUMMYFUNCTION("""COMPUTED_VALUE"""),"-")</f>
        <v>-</v>
      </c>
      <c r="AZ1486" s="97" t="str">
        <f>IFERROR(__xludf.DUMMYFUNCTION("""COMPUTED_VALUE"""),"-")</f>
        <v>-</v>
      </c>
      <c r="BA1486" s="97"/>
      <c r="BB1486" s="97"/>
      <c r="BC1486" s="97"/>
      <c r="BD1486" s="97" t="str">
        <f>IFERROR(__xludf.DUMMYFUNCTION("""COMPUTED_VALUE"""),"POLAR GRID")</f>
        <v>POLAR GRID</v>
      </c>
      <c r="BE1486" s="97"/>
      <c r="BF1486" s="97"/>
      <c r="BG1486" s="97" t="str">
        <f>IFERROR(__xludf.DUMMYFUNCTION("""COMPUTED_VALUE"""),"REPO 7")</f>
        <v>REPO 7</v>
      </c>
    </row>
    <row r="1487">
      <c r="A1487" s="97">
        <f>IFERROR(__xludf.DUMMYFUNCTION("""COMPUTED_VALUE"""),7592.0)</f>
        <v>7592</v>
      </c>
      <c r="B1487" s="97" t="str">
        <f>IFERROR(__xludf.DUMMYFUNCTION("""COMPUTED_VALUE"""),"POLAR GRID MOVIL 6W BL 3000K")</f>
        <v>POLAR GRID MOVIL 6W BL 3000K</v>
      </c>
      <c r="C1487" s="97" t="str">
        <f>IFERROR(__xludf.DUMMYFUNCTION("""COMPUTED_VALUE"""),"CABEZAL POLAR GRID MOVIL 6W BL 3000K 6W 3000K 420LM CRI&gt;90 IP20 LEUK")</f>
        <v>CABEZAL POLAR GRID MOVIL 6W BL 3000K 6W 3000K 420LM CRI&gt;90 IP20 LEUK</v>
      </c>
      <c r="D1487" s="97">
        <f>IFERROR(__xludf.DUMMYFUNCTION("""COMPUTED_VALUE"""),7.79848546048E12)</f>
        <v>7798485460480</v>
      </c>
      <c r="E1487" s="97" t="str">
        <f>IFERROR(__xludf.DUMMYFUNCTION("""COMPUTED_VALUE"""),"-")</f>
        <v>-</v>
      </c>
      <c r="F1487" s="97" t="str">
        <f>IFERROR(__xludf.DUMMYFUNCTION("""COMPUTED_VALUE"""),"LED integrado")</f>
        <v>LED integrado</v>
      </c>
      <c r="G1487" s="97" t="str">
        <f>IFERROR(__xludf.DUMMYFUNCTION("""COMPUTED_VALUE"""),"-")</f>
        <v>-</v>
      </c>
      <c r="H1487" s="97" t="str">
        <f>IFERROR(__xludf.DUMMYFUNCTION("""COMPUTED_VALUE"""),"N/A")</f>
        <v>N/A</v>
      </c>
      <c r="I1487" s="97" t="str">
        <f>IFERROR(__xludf.DUMMYFUNCTION("""COMPUTED_VALUE"""),"N/A")</f>
        <v>N/A</v>
      </c>
      <c r="J1487" s="97" t="str">
        <f>IFERROR(__xludf.DUMMYFUNCTION("""COMPUTED_VALUE"""),"N/A")</f>
        <v>N/A</v>
      </c>
      <c r="K1487" s="97" t="str">
        <f>IFERROR(__xludf.DUMMYFUNCTION("""COMPUTED_VALUE"""),"ON/OFF")</f>
        <v>ON/OFF</v>
      </c>
      <c r="L1487" s="97" t="str">
        <f>IFERROR(__xludf.DUMMYFUNCTION("""COMPUTED_VALUE"""),"48Vdc")</f>
        <v>48Vdc</v>
      </c>
      <c r="M1487" s="97" t="str">
        <f>IFERROR(__xludf.DUMMYFUNCTION("""COMPUTED_VALUE"""),"N/A")</f>
        <v>N/A</v>
      </c>
      <c r="N1487" s="97"/>
      <c r="O1487" s="97">
        <f>IFERROR(__xludf.DUMMYFUNCTION("""COMPUTED_VALUE"""),6.0)</f>
        <v>6</v>
      </c>
      <c r="P1487" s="97">
        <f>IFERROR(__xludf.DUMMYFUNCTION("""COMPUTED_VALUE"""),7.24)</f>
        <v>7.24</v>
      </c>
      <c r="Q1487" s="97" t="str">
        <f>IFERROR(__xludf.DUMMYFUNCTION("""COMPUTED_VALUE"""),"N/A")</f>
        <v>N/A</v>
      </c>
      <c r="R1487" s="97" t="str">
        <f>IFERROR(__xludf.DUMMYFUNCTION("""COMPUTED_VALUE"""),"-")</f>
        <v>-</v>
      </c>
      <c r="S1487" s="97" t="str">
        <f>IFERROR(__xludf.DUMMYFUNCTION("""COMPUTED_VALUE"""),"-")</f>
        <v>-</v>
      </c>
      <c r="T1487" s="97">
        <f>IFERROR(__xludf.DUMMYFUNCTION("""COMPUTED_VALUE"""),420.0)</f>
        <v>420</v>
      </c>
      <c r="U1487" s="99">
        <f>IFERROR(__xludf.DUMMYFUNCTION("""COMPUTED_VALUE"""),70.0)</f>
        <v>70</v>
      </c>
      <c r="V1487" s="97">
        <f>IFERROR(__xludf.DUMMYFUNCTION("""COMPUTED_VALUE"""),28.0)</f>
        <v>28</v>
      </c>
      <c r="W1487" s="97" t="str">
        <f>IFERROR(__xludf.DUMMYFUNCTION("""COMPUTED_VALUE"""),"&lt; 10")</f>
        <v>&lt; 10</v>
      </c>
      <c r="X1487" s="97">
        <f>IFERROR(__xludf.DUMMYFUNCTION("""COMPUTED_VALUE"""),3000.0)</f>
        <v>3000</v>
      </c>
      <c r="Y1487" s="97" t="str">
        <f>IFERROR(__xludf.DUMMYFUNCTION("""COMPUTED_VALUE"""),"&gt;90")</f>
        <v>&gt;90</v>
      </c>
      <c r="Z1487" s="97" t="str">
        <f>IFERROR(__xludf.DUMMYFUNCTION("""COMPUTED_VALUE"""),"&gt;90")</f>
        <v>&gt;90</v>
      </c>
      <c r="AA1487" s="97" t="str">
        <f>IFERROR(__xludf.DUMMYFUNCTION("""COMPUTED_VALUE"""),"90-99 (Leve desaturación)")</f>
        <v>90-99 (Leve desaturación)</v>
      </c>
      <c r="AB1487" s="97" t="str">
        <f>IFERROR(__xludf.DUMMYFUNCTION("""COMPUTED_VALUE"""),"-")</f>
        <v>-</v>
      </c>
      <c r="AC1487" s="97">
        <f>IFERROR(__xludf.DUMMYFUNCTION("""COMPUTED_VALUE"""),0.00164)</f>
        <v>0.00164</v>
      </c>
      <c r="AD1487" s="97" t="str">
        <f>IFERROR(__xludf.DUMMYFUNCTION("""COMPUTED_VALUE"""),"IP20")</f>
        <v>IP20</v>
      </c>
      <c r="AE1487" s="97" t="str">
        <f>IFERROR(__xludf.DUMMYFUNCTION("""COMPUTED_VALUE"""),"Clase lll")</f>
        <v>Clase lll</v>
      </c>
      <c r="AF1487" s="97" t="str">
        <f>IFERROR(__xludf.DUMMYFUNCTION("""COMPUTED_VALUE"""),"Riel")</f>
        <v>Riel</v>
      </c>
      <c r="AG1487" s="97" t="str">
        <f>IFERROR(__xludf.DUMMYFUNCTION("""COMPUTED_VALUE"""),"112 x 22 x 103")</f>
        <v>112 x 22 x 103</v>
      </c>
      <c r="AH1487" s="97" t="str">
        <f>IFERROR(__xludf.DUMMYFUNCTION("""COMPUTED_VALUE"""),"N/A")</f>
        <v>N/A</v>
      </c>
      <c r="AI1487" s="97" t="str">
        <f>IFERROR(__xludf.DUMMYFUNCTION("""COMPUTED_VALUE"""),"N/A")</f>
        <v>N/A</v>
      </c>
      <c r="AJ1487" s="97" t="str">
        <f>IFERROR(__xludf.DUMMYFUNCTION("""COMPUTED_VALUE"""),"Policarbonato (PC)")</f>
        <v>Policarbonato (PC)</v>
      </c>
      <c r="AK1487" s="97" t="str">
        <f>IFERROR(__xludf.DUMMYFUNCTION("""COMPUTED_VALUE"""),"Aluminio")</f>
        <v>Aluminio</v>
      </c>
      <c r="AL1487" s="97" t="str">
        <f>IFERROR(__xludf.DUMMYFUNCTION("""COMPUTED_VALUE"""),"Blanco Satinado")</f>
        <v>Blanco Satinado</v>
      </c>
      <c r="AM1487" s="97" t="str">
        <f>IFERROR(__xludf.DUMMYFUNCTION("""COMPUTED_VALUE"""),"-")</f>
        <v>-</v>
      </c>
      <c r="AN1487" s="97" t="str">
        <f>IFERROR(__xludf.DUMMYFUNCTION("""COMPUTED_VALUE"""),"25.000hs (L70)")</f>
        <v>25.000hs (L70)</v>
      </c>
      <c r="AO1487" s="97" t="str">
        <f>IFERROR(__xludf.DUMMYFUNCTION("""COMPUTED_VALUE"""),"2 Años")</f>
        <v>2 Años</v>
      </c>
      <c r="AP1487" s="97" t="str">
        <f>IFERROR(__xludf.DUMMYFUNCTION("""COMPUTED_VALUE"""),"Disponible")</f>
        <v>Disponible</v>
      </c>
      <c r="AQ1487" s="97" t="str">
        <f>IFERROR(__xludf.DUMMYFUNCTION("""COMPUTED_VALUE"""),"Disponible")</f>
        <v>Disponible</v>
      </c>
      <c r="AR1487" s="97" t="str">
        <f>IFERROR(__xludf.DUMMYFUNCTION("""COMPUTED_VALUE"""),"Disponible")</f>
        <v>Disponible</v>
      </c>
      <c r="AS1487" s="97" t="str">
        <f>IFERROR(__xludf.DUMMYFUNCTION("""COMPUTED_VALUE"""),"Falta")</f>
        <v>Falta</v>
      </c>
      <c r="AT1487" s="97" t="str">
        <f>IFERROR(__xludf.DUMMYFUNCTION("""COMPUTED_VALUE"""),"Falta")</f>
        <v>Falta</v>
      </c>
      <c r="AU1487" s="97" t="str">
        <f>IFERROR(__xludf.DUMMYFUNCTION("""COMPUTED_VALUE"""),"Disponible")</f>
        <v>Disponible</v>
      </c>
      <c r="AV1487" s="97" t="str">
        <f>IFERROR(__xludf.DUMMYFUNCTION("""COMPUTED_VALUE"""),"Cabezal")</f>
        <v>Cabezal</v>
      </c>
      <c r="AW1487" s="97" t="str">
        <f>IFERROR(__xludf.DUMMYFUNCTION("""COMPUTED_VALUE"""),"Rieles")</f>
        <v>Rieles</v>
      </c>
      <c r="AX1487" s="97" t="str">
        <f>IFERROR(__xludf.DUMMYFUNCTION("""COMPUTED_VALUE"""),"Interior")</f>
        <v>Interior</v>
      </c>
      <c r="AY1487" s="97" t="str">
        <f>IFERROR(__xludf.DUMMYFUNCTION("""COMPUTED_VALUE"""),"-")</f>
        <v>-</v>
      </c>
      <c r="AZ1487" s="97" t="str">
        <f>IFERROR(__xludf.DUMMYFUNCTION("""COMPUTED_VALUE"""),"-")</f>
        <v>-</v>
      </c>
      <c r="BA1487" s="97"/>
      <c r="BB1487" s="97"/>
      <c r="BC1487" s="97"/>
      <c r="BD1487" s="97" t="str">
        <f>IFERROR(__xludf.DUMMYFUNCTION("""COMPUTED_VALUE"""),"POLAR GRID")</f>
        <v>POLAR GRID</v>
      </c>
      <c r="BE1487" s="97"/>
      <c r="BF1487" s="97"/>
      <c r="BG1487" s="97" t="str">
        <f>IFERROR(__xludf.DUMMYFUNCTION("""COMPUTED_VALUE"""),"REPO 7")</f>
        <v>REPO 7</v>
      </c>
    </row>
    <row r="1488">
      <c r="A1488" s="97">
        <f>IFERROR(__xludf.DUMMYFUNCTION("""COMPUTED_VALUE"""),7593.0)</f>
        <v>7593</v>
      </c>
      <c r="B1488" s="97" t="str">
        <f>IFERROR(__xludf.DUMMYFUNCTION("""COMPUTED_VALUE"""),"POLAR GRID MOVIL 12W NG 3000K")</f>
        <v>POLAR GRID MOVIL 12W NG 3000K</v>
      </c>
      <c r="C1488" s="97" t="str">
        <f>IFERROR(__xludf.DUMMYFUNCTION("""COMPUTED_VALUE"""),"CABEZAL POLAR GRID MOVIL 12W NG 3000K 12W 3000K 800LM CRI&gt;90 IP20 LEUK")</f>
        <v>CABEZAL POLAR GRID MOVIL 12W NG 3000K 12W 3000K 800LM CRI&gt;90 IP20 LEUK</v>
      </c>
      <c r="D1488" s="97">
        <f>IFERROR(__xludf.DUMMYFUNCTION("""COMPUTED_VALUE"""),7.798485460497E12)</f>
        <v>7798485460497</v>
      </c>
      <c r="E1488" s="97" t="str">
        <f>IFERROR(__xludf.DUMMYFUNCTION("""COMPUTED_VALUE"""),"-")</f>
        <v>-</v>
      </c>
      <c r="F1488" s="97" t="str">
        <f>IFERROR(__xludf.DUMMYFUNCTION("""COMPUTED_VALUE"""),"LED integrado")</f>
        <v>LED integrado</v>
      </c>
      <c r="G1488" s="97" t="str">
        <f>IFERROR(__xludf.DUMMYFUNCTION("""COMPUTED_VALUE"""),"-")</f>
        <v>-</v>
      </c>
      <c r="H1488" s="97" t="str">
        <f>IFERROR(__xludf.DUMMYFUNCTION("""COMPUTED_VALUE"""),"N/A")</f>
        <v>N/A</v>
      </c>
      <c r="I1488" s="97" t="str">
        <f>IFERROR(__xludf.DUMMYFUNCTION("""COMPUTED_VALUE"""),"N/A")</f>
        <v>N/A</v>
      </c>
      <c r="J1488" s="97" t="str">
        <f>IFERROR(__xludf.DUMMYFUNCTION("""COMPUTED_VALUE"""),"N/A")</f>
        <v>N/A</v>
      </c>
      <c r="K1488" s="97" t="str">
        <f>IFERROR(__xludf.DUMMYFUNCTION("""COMPUTED_VALUE"""),"ON/OFF")</f>
        <v>ON/OFF</v>
      </c>
      <c r="L1488" s="97" t="str">
        <f>IFERROR(__xludf.DUMMYFUNCTION("""COMPUTED_VALUE"""),"48Vdc")</f>
        <v>48Vdc</v>
      </c>
      <c r="M1488" s="97" t="str">
        <f>IFERROR(__xludf.DUMMYFUNCTION("""COMPUTED_VALUE"""),"N/A")</f>
        <v>N/A</v>
      </c>
      <c r="N1488" s="97"/>
      <c r="O1488" s="97">
        <f>IFERROR(__xludf.DUMMYFUNCTION("""COMPUTED_VALUE"""),12.0)</f>
        <v>12</v>
      </c>
      <c r="P1488" s="97">
        <f>IFERROR(__xludf.DUMMYFUNCTION("""COMPUTED_VALUE"""),13.19)</f>
        <v>13.19</v>
      </c>
      <c r="Q1488" s="97" t="str">
        <f>IFERROR(__xludf.DUMMYFUNCTION("""COMPUTED_VALUE"""),"N/A")</f>
        <v>N/A</v>
      </c>
      <c r="R1488" s="97" t="str">
        <f>IFERROR(__xludf.DUMMYFUNCTION("""COMPUTED_VALUE"""),"-")</f>
        <v>-</v>
      </c>
      <c r="S1488" s="97" t="str">
        <f>IFERROR(__xludf.DUMMYFUNCTION("""COMPUTED_VALUE"""),"-")</f>
        <v>-</v>
      </c>
      <c r="T1488" s="97">
        <f>IFERROR(__xludf.DUMMYFUNCTION("""COMPUTED_VALUE"""),800.0)</f>
        <v>800</v>
      </c>
      <c r="U1488" s="99">
        <f>IFERROR(__xludf.DUMMYFUNCTION("""COMPUTED_VALUE"""),66.66666666666667)</f>
        <v>66.66666667</v>
      </c>
      <c r="V1488" s="97">
        <f>IFERROR(__xludf.DUMMYFUNCTION("""COMPUTED_VALUE"""),28.0)</f>
        <v>28</v>
      </c>
      <c r="W1488" s="97" t="str">
        <f>IFERROR(__xludf.DUMMYFUNCTION("""COMPUTED_VALUE"""),"&lt; 10")</f>
        <v>&lt; 10</v>
      </c>
      <c r="X1488" s="97">
        <f>IFERROR(__xludf.DUMMYFUNCTION("""COMPUTED_VALUE"""),3000.0)</f>
        <v>3000</v>
      </c>
      <c r="Y1488" s="97" t="str">
        <f>IFERROR(__xludf.DUMMYFUNCTION("""COMPUTED_VALUE"""),"&gt;90")</f>
        <v>&gt;90</v>
      </c>
      <c r="Z1488" s="97" t="str">
        <f>IFERROR(__xludf.DUMMYFUNCTION("""COMPUTED_VALUE"""),"&gt;90")</f>
        <v>&gt;90</v>
      </c>
      <c r="AA1488" s="97" t="str">
        <f>IFERROR(__xludf.DUMMYFUNCTION("""COMPUTED_VALUE"""),"90-99 (Leve desaturación)")</f>
        <v>90-99 (Leve desaturación)</v>
      </c>
      <c r="AB1488" s="97" t="str">
        <f>IFERROR(__xludf.DUMMYFUNCTION("""COMPUTED_VALUE"""),"-")</f>
        <v>-</v>
      </c>
      <c r="AC1488" s="97">
        <f>IFERROR(__xludf.DUMMYFUNCTION("""COMPUTED_VALUE"""),-3.5E-4)</f>
        <v>-0.00035</v>
      </c>
      <c r="AD1488" s="97" t="str">
        <f>IFERROR(__xludf.DUMMYFUNCTION("""COMPUTED_VALUE"""),"IP20")</f>
        <v>IP20</v>
      </c>
      <c r="AE1488" s="97" t="str">
        <f>IFERROR(__xludf.DUMMYFUNCTION("""COMPUTED_VALUE"""),"Clase lll")</f>
        <v>Clase lll</v>
      </c>
      <c r="AF1488" s="97" t="str">
        <f>IFERROR(__xludf.DUMMYFUNCTION("""COMPUTED_VALUE"""),"Riel")</f>
        <v>Riel</v>
      </c>
      <c r="AG1488" s="97" t="str">
        <f>IFERROR(__xludf.DUMMYFUNCTION("""COMPUTED_VALUE"""),"222 x 22 x 103")</f>
        <v>222 x 22 x 103</v>
      </c>
      <c r="AH1488" s="97" t="str">
        <f>IFERROR(__xludf.DUMMYFUNCTION("""COMPUTED_VALUE"""),"N/A")</f>
        <v>N/A</v>
      </c>
      <c r="AI1488" s="97" t="str">
        <f>IFERROR(__xludf.DUMMYFUNCTION("""COMPUTED_VALUE"""),"N/A")</f>
        <v>N/A</v>
      </c>
      <c r="AJ1488" s="97" t="str">
        <f>IFERROR(__xludf.DUMMYFUNCTION("""COMPUTED_VALUE"""),"Policarbonato (PC)")</f>
        <v>Policarbonato (PC)</v>
      </c>
      <c r="AK1488" s="97" t="str">
        <f>IFERROR(__xludf.DUMMYFUNCTION("""COMPUTED_VALUE"""),"Aluminio")</f>
        <v>Aluminio</v>
      </c>
      <c r="AL1488" s="97" t="str">
        <f>IFERROR(__xludf.DUMMYFUNCTION("""COMPUTED_VALUE"""),"Negro Satinado")</f>
        <v>Negro Satinado</v>
      </c>
      <c r="AM1488" s="97" t="str">
        <f>IFERROR(__xludf.DUMMYFUNCTION("""COMPUTED_VALUE"""),"-")</f>
        <v>-</v>
      </c>
      <c r="AN1488" s="97" t="str">
        <f>IFERROR(__xludf.DUMMYFUNCTION("""COMPUTED_VALUE"""),"25.000hs (L70)")</f>
        <v>25.000hs (L70)</v>
      </c>
      <c r="AO1488" s="97" t="str">
        <f>IFERROR(__xludf.DUMMYFUNCTION("""COMPUTED_VALUE"""),"2 Años")</f>
        <v>2 Años</v>
      </c>
      <c r="AP1488" s="97" t="str">
        <f>IFERROR(__xludf.DUMMYFUNCTION("""COMPUTED_VALUE"""),"Disponible")</f>
        <v>Disponible</v>
      </c>
      <c r="AQ1488" s="97" t="str">
        <f>IFERROR(__xludf.DUMMYFUNCTION("""COMPUTED_VALUE"""),"Disponible")</f>
        <v>Disponible</v>
      </c>
      <c r="AR1488" s="97" t="str">
        <f>IFERROR(__xludf.DUMMYFUNCTION("""COMPUTED_VALUE"""),"Disponible")</f>
        <v>Disponible</v>
      </c>
      <c r="AS1488" s="97" t="str">
        <f>IFERROR(__xludf.DUMMYFUNCTION("""COMPUTED_VALUE"""),"Falta")</f>
        <v>Falta</v>
      </c>
      <c r="AT1488" s="97" t="str">
        <f>IFERROR(__xludf.DUMMYFUNCTION("""COMPUTED_VALUE"""),"Falta")</f>
        <v>Falta</v>
      </c>
      <c r="AU1488" s="97" t="str">
        <f>IFERROR(__xludf.DUMMYFUNCTION("""COMPUTED_VALUE"""),"Disponible")</f>
        <v>Disponible</v>
      </c>
      <c r="AV1488" s="97" t="str">
        <f>IFERROR(__xludf.DUMMYFUNCTION("""COMPUTED_VALUE"""),"Cabezal")</f>
        <v>Cabezal</v>
      </c>
      <c r="AW1488" s="97" t="str">
        <f>IFERROR(__xludf.DUMMYFUNCTION("""COMPUTED_VALUE"""),"Rieles")</f>
        <v>Rieles</v>
      </c>
      <c r="AX1488" s="97" t="str">
        <f>IFERROR(__xludf.DUMMYFUNCTION("""COMPUTED_VALUE"""),"Interior")</f>
        <v>Interior</v>
      </c>
      <c r="AY1488" s="97" t="str">
        <f>IFERROR(__xludf.DUMMYFUNCTION("""COMPUTED_VALUE"""),"-")</f>
        <v>-</v>
      </c>
      <c r="AZ1488" s="97" t="str">
        <f>IFERROR(__xludf.DUMMYFUNCTION("""COMPUTED_VALUE"""),"-")</f>
        <v>-</v>
      </c>
      <c r="BA1488" s="97"/>
      <c r="BB1488" s="97"/>
      <c r="BC1488" s="97"/>
      <c r="BD1488" s="97" t="str">
        <f>IFERROR(__xludf.DUMMYFUNCTION("""COMPUTED_VALUE"""),"POLAR GRID")</f>
        <v>POLAR GRID</v>
      </c>
      <c r="BE1488" s="97"/>
      <c r="BF1488" s="97"/>
      <c r="BG1488" s="97" t="str">
        <f>IFERROR(__xludf.DUMMYFUNCTION("""COMPUTED_VALUE"""),"REPO 7")</f>
        <v>REPO 7</v>
      </c>
    </row>
    <row r="1489">
      <c r="A1489" s="97">
        <f>IFERROR(__xludf.DUMMYFUNCTION("""COMPUTED_VALUE"""),7594.0)</f>
        <v>7594</v>
      </c>
      <c r="B1489" s="97" t="str">
        <f>IFERROR(__xludf.DUMMYFUNCTION("""COMPUTED_VALUE"""),"POLAR GRID MOVIL 12W BL 3000K")</f>
        <v>POLAR GRID MOVIL 12W BL 3000K</v>
      </c>
      <c r="C1489" s="97" t="str">
        <f>IFERROR(__xludf.DUMMYFUNCTION("""COMPUTED_VALUE"""),"CABEZAL POLAR GRID MOVIL 12W BL 3000K 12W 3000K 800LM CRI&gt;90 IP20 LEUK")</f>
        <v>CABEZAL POLAR GRID MOVIL 12W BL 3000K 12W 3000K 800LM CRI&gt;90 IP20 LEUK</v>
      </c>
      <c r="D1489" s="97">
        <f>IFERROR(__xludf.DUMMYFUNCTION("""COMPUTED_VALUE"""),7.798485460503E12)</f>
        <v>7798485460503</v>
      </c>
      <c r="E1489" s="97" t="str">
        <f>IFERROR(__xludf.DUMMYFUNCTION("""COMPUTED_VALUE"""),"-")</f>
        <v>-</v>
      </c>
      <c r="F1489" s="97" t="str">
        <f>IFERROR(__xludf.DUMMYFUNCTION("""COMPUTED_VALUE"""),"LED integrado")</f>
        <v>LED integrado</v>
      </c>
      <c r="G1489" s="97" t="str">
        <f>IFERROR(__xludf.DUMMYFUNCTION("""COMPUTED_VALUE"""),"-")</f>
        <v>-</v>
      </c>
      <c r="H1489" s="97" t="str">
        <f>IFERROR(__xludf.DUMMYFUNCTION("""COMPUTED_VALUE"""),"N/A")</f>
        <v>N/A</v>
      </c>
      <c r="I1489" s="97" t="str">
        <f>IFERROR(__xludf.DUMMYFUNCTION("""COMPUTED_VALUE"""),"N/A")</f>
        <v>N/A</v>
      </c>
      <c r="J1489" s="97" t="str">
        <f>IFERROR(__xludf.DUMMYFUNCTION("""COMPUTED_VALUE"""),"N/A")</f>
        <v>N/A</v>
      </c>
      <c r="K1489" s="97" t="str">
        <f>IFERROR(__xludf.DUMMYFUNCTION("""COMPUTED_VALUE"""),"ON/OFF")</f>
        <v>ON/OFF</v>
      </c>
      <c r="L1489" s="97" t="str">
        <f>IFERROR(__xludf.DUMMYFUNCTION("""COMPUTED_VALUE"""),"48Vdc")</f>
        <v>48Vdc</v>
      </c>
      <c r="M1489" s="97" t="str">
        <f>IFERROR(__xludf.DUMMYFUNCTION("""COMPUTED_VALUE"""),"N/A")</f>
        <v>N/A</v>
      </c>
      <c r="N1489" s="97"/>
      <c r="O1489" s="97">
        <f>IFERROR(__xludf.DUMMYFUNCTION("""COMPUTED_VALUE"""),12.0)</f>
        <v>12</v>
      </c>
      <c r="P1489" s="97">
        <f>IFERROR(__xludf.DUMMYFUNCTION("""COMPUTED_VALUE"""),13.19)</f>
        <v>13.19</v>
      </c>
      <c r="Q1489" s="97" t="str">
        <f>IFERROR(__xludf.DUMMYFUNCTION("""COMPUTED_VALUE"""),"N/A")</f>
        <v>N/A</v>
      </c>
      <c r="R1489" s="97" t="str">
        <f>IFERROR(__xludf.DUMMYFUNCTION("""COMPUTED_VALUE"""),"-")</f>
        <v>-</v>
      </c>
      <c r="S1489" s="97" t="str">
        <f>IFERROR(__xludf.DUMMYFUNCTION("""COMPUTED_VALUE"""),"-")</f>
        <v>-</v>
      </c>
      <c r="T1489" s="97">
        <f>IFERROR(__xludf.DUMMYFUNCTION("""COMPUTED_VALUE"""),800.0)</f>
        <v>800</v>
      </c>
      <c r="U1489" s="99">
        <f>IFERROR(__xludf.DUMMYFUNCTION("""COMPUTED_VALUE"""),66.66666666666667)</f>
        <v>66.66666667</v>
      </c>
      <c r="V1489" s="97">
        <f>IFERROR(__xludf.DUMMYFUNCTION("""COMPUTED_VALUE"""),28.0)</f>
        <v>28</v>
      </c>
      <c r="W1489" s="97" t="str">
        <f>IFERROR(__xludf.DUMMYFUNCTION("""COMPUTED_VALUE"""),"&lt; 10")</f>
        <v>&lt; 10</v>
      </c>
      <c r="X1489" s="97">
        <f>IFERROR(__xludf.DUMMYFUNCTION("""COMPUTED_VALUE"""),3000.0)</f>
        <v>3000</v>
      </c>
      <c r="Y1489" s="97" t="str">
        <f>IFERROR(__xludf.DUMMYFUNCTION("""COMPUTED_VALUE"""),"&gt;90")</f>
        <v>&gt;90</v>
      </c>
      <c r="Z1489" s="97" t="str">
        <f>IFERROR(__xludf.DUMMYFUNCTION("""COMPUTED_VALUE"""),"&gt;90")</f>
        <v>&gt;90</v>
      </c>
      <c r="AA1489" s="97" t="str">
        <f>IFERROR(__xludf.DUMMYFUNCTION("""COMPUTED_VALUE"""),"90-99 (Leve desaturación)")</f>
        <v>90-99 (Leve desaturación)</v>
      </c>
      <c r="AB1489" s="97" t="str">
        <f>IFERROR(__xludf.DUMMYFUNCTION("""COMPUTED_VALUE"""),"-")</f>
        <v>-</v>
      </c>
      <c r="AC1489" s="97">
        <f>IFERROR(__xludf.DUMMYFUNCTION("""COMPUTED_VALUE"""),-3.5E-4)</f>
        <v>-0.00035</v>
      </c>
      <c r="AD1489" s="97" t="str">
        <f>IFERROR(__xludf.DUMMYFUNCTION("""COMPUTED_VALUE"""),"IP20")</f>
        <v>IP20</v>
      </c>
      <c r="AE1489" s="97" t="str">
        <f>IFERROR(__xludf.DUMMYFUNCTION("""COMPUTED_VALUE"""),"Clase lll")</f>
        <v>Clase lll</v>
      </c>
      <c r="AF1489" s="97" t="str">
        <f>IFERROR(__xludf.DUMMYFUNCTION("""COMPUTED_VALUE"""),"Riel")</f>
        <v>Riel</v>
      </c>
      <c r="AG1489" s="97" t="str">
        <f>IFERROR(__xludf.DUMMYFUNCTION("""COMPUTED_VALUE"""),"222 x 22 x 103")</f>
        <v>222 x 22 x 103</v>
      </c>
      <c r="AH1489" s="97" t="str">
        <f>IFERROR(__xludf.DUMMYFUNCTION("""COMPUTED_VALUE"""),"N/A")</f>
        <v>N/A</v>
      </c>
      <c r="AI1489" s="97" t="str">
        <f>IFERROR(__xludf.DUMMYFUNCTION("""COMPUTED_VALUE"""),"N/A")</f>
        <v>N/A</v>
      </c>
      <c r="AJ1489" s="97" t="str">
        <f>IFERROR(__xludf.DUMMYFUNCTION("""COMPUTED_VALUE"""),"Policarbonato (PC)")</f>
        <v>Policarbonato (PC)</v>
      </c>
      <c r="AK1489" s="97" t="str">
        <f>IFERROR(__xludf.DUMMYFUNCTION("""COMPUTED_VALUE"""),"Aluminio")</f>
        <v>Aluminio</v>
      </c>
      <c r="AL1489" s="97" t="str">
        <f>IFERROR(__xludf.DUMMYFUNCTION("""COMPUTED_VALUE"""),"Blanco Satinado")</f>
        <v>Blanco Satinado</v>
      </c>
      <c r="AM1489" s="97" t="str">
        <f>IFERROR(__xludf.DUMMYFUNCTION("""COMPUTED_VALUE"""),"-")</f>
        <v>-</v>
      </c>
      <c r="AN1489" s="97" t="str">
        <f>IFERROR(__xludf.DUMMYFUNCTION("""COMPUTED_VALUE"""),"25.000hs (L70)")</f>
        <v>25.000hs (L70)</v>
      </c>
      <c r="AO1489" s="97" t="str">
        <f>IFERROR(__xludf.DUMMYFUNCTION("""COMPUTED_VALUE"""),"2 Años")</f>
        <v>2 Años</v>
      </c>
      <c r="AP1489" s="97" t="str">
        <f>IFERROR(__xludf.DUMMYFUNCTION("""COMPUTED_VALUE"""),"Disponible")</f>
        <v>Disponible</v>
      </c>
      <c r="AQ1489" s="97" t="str">
        <f>IFERROR(__xludf.DUMMYFUNCTION("""COMPUTED_VALUE"""),"Disponible")</f>
        <v>Disponible</v>
      </c>
      <c r="AR1489" s="97" t="str">
        <f>IFERROR(__xludf.DUMMYFUNCTION("""COMPUTED_VALUE"""),"Disponible")</f>
        <v>Disponible</v>
      </c>
      <c r="AS1489" s="97" t="str">
        <f>IFERROR(__xludf.DUMMYFUNCTION("""COMPUTED_VALUE"""),"Falta")</f>
        <v>Falta</v>
      </c>
      <c r="AT1489" s="97" t="str">
        <f>IFERROR(__xludf.DUMMYFUNCTION("""COMPUTED_VALUE"""),"Falta")</f>
        <v>Falta</v>
      </c>
      <c r="AU1489" s="97" t="str">
        <f>IFERROR(__xludf.DUMMYFUNCTION("""COMPUTED_VALUE"""),"Disponible")</f>
        <v>Disponible</v>
      </c>
      <c r="AV1489" s="97" t="str">
        <f>IFERROR(__xludf.DUMMYFUNCTION("""COMPUTED_VALUE"""),"Cabezal")</f>
        <v>Cabezal</v>
      </c>
      <c r="AW1489" s="97" t="str">
        <f>IFERROR(__xludf.DUMMYFUNCTION("""COMPUTED_VALUE"""),"Rieles")</f>
        <v>Rieles</v>
      </c>
      <c r="AX1489" s="97" t="str">
        <f>IFERROR(__xludf.DUMMYFUNCTION("""COMPUTED_VALUE"""),"Interior")</f>
        <v>Interior</v>
      </c>
      <c r="AY1489" s="97" t="str">
        <f>IFERROR(__xludf.DUMMYFUNCTION("""COMPUTED_VALUE"""),"-")</f>
        <v>-</v>
      </c>
      <c r="AZ1489" s="97" t="str">
        <f>IFERROR(__xludf.DUMMYFUNCTION("""COMPUTED_VALUE"""),"-")</f>
        <v>-</v>
      </c>
      <c r="BA1489" s="97"/>
      <c r="BB1489" s="97"/>
      <c r="BC1489" s="97"/>
      <c r="BD1489" s="97" t="str">
        <f>IFERROR(__xludf.DUMMYFUNCTION("""COMPUTED_VALUE"""),"POLAR GRID")</f>
        <v>POLAR GRID</v>
      </c>
      <c r="BE1489" s="97"/>
      <c r="BF1489" s="97"/>
      <c r="BG1489" s="97" t="str">
        <f>IFERROR(__xludf.DUMMYFUNCTION("""COMPUTED_VALUE"""),"REPO 7")</f>
        <v>REPO 7</v>
      </c>
    </row>
    <row r="1490">
      <c r="A1490" s="97">
        <f>IFERROR(__xludf.DUMMYFUNCTION("""COMPUTED_VALUE"""),7595.0)</f>
        <v>7595</v>
      </c>
      <c r="B1490" s="97" t="str">
        <f>IFERROR(__xludf.DUMMYFUNCTION("""COMPUTED_VALUE"""),"POLAR MEX 7W NG 3000K")</f>
        <v>POLAR MEX 7W NG 3000K</v>
      </c>
      <c r="C1490" s="97" t="str">
        <f>IFERROR(__xludf.DUMMYFUNCTION("""COMPUTED_VALUE"""),"CABEZAL POLAR MEX 7W NG 3000K 7W 3000K 500LM CRI&gt;90 IP20 LEUK")</f>
        <v>CABEZAL POLAR MEX 7W NG 3000K 7W 3000K 500LM CRI&gt;90 IP20 LEUK</v>
      </c>
      <c r="D1490" s="97">
        <f>IFERROR(__xludf.DUMMYFUNCTION("""COMPUTED_VALUE"""),7.79848546051E12)</f>
        <v>7798485460510</v>
      </c>
      <c r="E1490" s="97" t="str">
        <f>IFERROR(__xludf.DUMMYFUNCTION("""COMPUTED_VALUE"""),"-")</f>
        <v>-</v>
      </c>
      <c r="F1490" s="97" t="str">
        <f>IFERROR(__xludf.DUMMYFUNCTION("""COMPUTED_VALUE"""),"LED integrado")</f>
        <v>LED integrado</v>
      </c>
      <c r="G1490" s="97" t="str">
        <f>IFERROR(__xludf.DUMMYFUNCTION("""COMPUTED_VALUE"""),"-")</f>
        <v>-</v>
      </c>
      <c r="H1490" s="97" t="str">
        <f>IFERROR(__xludf.DUMMYFUNCTION("""COMPUTED_VALUE"""),"N/A")</f>
        <v>N/A</v>
      </c>
      <c r="I1490" s="97" t="str">
        <f>IFERROR(__xludf.DUMMYFUNCTION("""COMPUTED_VALUE"""),"N/A")</f>
        <v>N/A</v>
      </c>
      <c r="J1490" s="97" t="str">
        <f>IFERROR(__xludf.DUMMYFUNCTION("""COMPUTED_VALUE"""),"N/A")</f>
        <v>N/A</v>
      </c>
      <c r="K1490" s="97" t="str">
        <f>IFERROR(__xludf.DUMMYFUNCTION("""COMPUTED_VALUE"""),"ON/OFF")</f>
        <v>ON/OFF</v>
      </c>
      <c r="L1490" s="97" t="str">
        <f>IFERROR(__xludf.DUMMYFUNCTION("""COMPUTED_VALUE"""),"48Vdc")</f>
        <v>48Vdc</v>
      </c>
      <c r="M1490" s="97" t="str">
        <f>IFERROR(__xludf.DUMMYFUNCTION("""COMPUTED_VALUE"""),"N/A")</f>
        <v>N/A</v>
      </c>
      <c r="N1490" s="97"/>
      <c r="O1490" s="97">
        <f>IFERROR(__xludf.DUMMYFUNCTION("""COMPUTED_VALUE"""),7.0)</f>
        <v>7</v>
      </c>
      <c r="P1490" s="97">
        <f>IFERROR(__xludf.DUMMYFUNCTION("""COMPUTED_VALUE"""),6.82)</f>
        <v>6.82</v>
      </c>
      <c r="Q1490" s="97" t="str">
        <f>IFERROR(__xludf.DUMMYFUNCTION("""COMPUTED_VALUE"""),"N/A")</f>
        <v>N/A</v>
      </c>
      <c r="R1490" s="97" t="str">
        <f>IFERROR(__xludf.DUMMYFUNCTION("""COMPUTED_VALUE"""),"-")</f>
        <v>-</v>
      </c>
      <c r="S1490" s="97" t="str">
        <f>IFERROR(__xludf.DUMMYFUNCTION("""COMPUTED_VALUE"""),"-")</f>
        <v>-</v>
      </c>
      <c r="T1490" s="97">
        <f>IFERROR(__xludf.DUMMYFUNCTION("""COMPUTED_VALUE"""),500.0)</f>
        <v>500</v>
      </c>
      <c r="U1490" s="99">
        <f>IFERROR(__xludf.DUMMYFUNCTION("""COMPUTED_VALUE"""),71.42857142857143)</f>
        <v>71.42857143</v>
      </c>
      <c r="V1490" s="97">
        <f>IFERROR(__xludf.DUMMYFUNCTION("""COMPUTED_VALUE"""),26.0)</f>
        <v>26</v>
      </c>
      <c r="W1490" s="97" t="str">
        <f>IFERROR(__xludf.DUMMYFUNCTION("""COMPUTED_VALUE"""),"&lt; 15")</f>
        <v>&lt; 15</v>
      </c>
      <c r="X1490" s="97">
        <f>IFERROR(__xludf.DUMMYFUNCTION("""COMPUTED_VALUE"""),3000.0)</f>
        <v>3000</v>
      </c>
      <c r="Y1490" s="97" t="str">
        <f>IFERROR(__xludf.DUMMYFUNCTION("""COMPUTED_VALUE"""),"&gt;90")</f>
        <v>&gt;90</v>
      </c>
      <c r="Z1490" s="97" t="str">
        <f>IFERROR(__xludf.DUMMYFUNCTION("""COMPUTED_VALUE"""),"&gt;90")</f>
        <v>&gt;90</v>
      </c>
      <c r="AA1490" s="97" t="str">
        <f>IFERROR(__xludf.DUMMYFUNCTION("""COMPUTED_VALUE"""),"90-99 (Leve desaturación)")</f>
        <v>90-99 (Leve desaturación)</v>
      </c>
      <c r="AB1490" s="97" t="str">
        <f>IFERROR(__xludf.DUMMYFUNCTION("""COMPUTED_VALUE"""),"&lt; 3")</f>
        <v>&lt; 3</v>
      </c>
      <c r="AC1490" s="97">
        <f>IFERROR(__xludf.DUMMYFUNCTION("""COMPUTED_VALUE"""),-0.0014)</f>
        <v>-0.0014</v>
      </c>
      <c r="AD1490" s="97" t="str">
        <f>IFERROR(__xludf.DUMMYFUNCTION("""COMPUTED_VALUE"""),"IP20")</f>
        <v>IP20</v>
      </c>
      <c r="AE1490" s="97" t="str">
        <f>IFERROR(__xludf.DUMMYFUNCTION("""COMPUTED_VALUE"""),"Clase lll")</f>
        <v>Clase lll</v>
      </c>
      <c r="AF1490" s="97" t="str">
        <f>IFERROR(__xludf.DUMMYFUNCTION("""COMPUTED_VALUE"""),"Riel")</f>
        <v>Riel</v>
      </c>
      <c r="AG1490" s="97" t="str">
        <f>IFERROR(__xludf.DUMMYFUNCTION("""COMPUTED_VALUE"""),"Ø47 x 120")</f>
        <v>Ø47 x 120</v>
      </c>
      <c r="AH1490" s="97" t="str">
        <f>IFERROR(__xludf.DUMMYFUNCTION("""COMPUTED_VALUE"""),"N/A")</f>
        <v>N/A</v>
      </c>
      <c r="AI1490" s="97" t="str">
        <f>IFERROR(__xludf.DUMMYFUNCTION("""COMPUTED_VALUE"""),"N/A")</f>
        <v>N/A</v>
      </c>
      <c r="AJ1490" s="97" t="str">
        <f>IFERROR(__xludf.DUMMYFUNCTION("""COMPUTED_VALUE"""),"PMMA")</f>
        <v>PMMA</v>
      </c>
      <c r="AK1490" s="97" t="str">
        <f>IFERROR(__xludf.DUMMYFUNCTION("""COMPUTED_VALUE"""),"Aluminio")</f>
        <v>Aluminio</v>
      </c>
      <c r="AL1490" s="97" t="str">
        <f>IFERROR(__xludf.DUMMYFUNCTION("""COMPUTED_VALUE"""),"Negro Satinado")</f>
        <v>Negro Satinado</v>
      </c>
      <c r="AM1490" s="97" t="str">
        <f>IFERROR(__xludf.DUMMYFUNCTION("""COMPUTED_VALUE"""),"-")</f>
        <v>-</v>
      </c>
      <c r="AN1490" s="97" t="str">
        <f>IFERROR(__xludf.DUMMYFUNCTION("""COMPUTED_VALUE"""),"25.000hs (L70)")</f>
        <v>25.000hs (L70)</v>
      </c>
      <c r="AO1490" s="97" t="str">
        <f>IFERROR(__xludf.DUMMYFUNCTION("""COMPUTED_VALUE"""),"2 Años")</f>
        <v>2 Años</v>
      </c>
      <c r="AP1490" s="97" t="str">
        <f>IFERROR(__xludf.DUMMYFUNCTION("""COMPUTED_VALUE"""),"Disponible")</f>
        <v>Disponible</v>
      </c>
      <c r="AQ1490" s="97" t="str">
        <f>IFERROR(__xludf.DUMMYFUNCTION("""COMPUTED_VALUE"""),"Disponible")</f>
        <v>Disponible</v>
      </c>
      <c r="AR1490" s="97" t="str">
        <f>IFERROR(__xludf.DUMMYFUNCTION("""COMPUTED_VALUE"""),"Disponible")</f>
        <v>Disponible</v>
      </c>
      <c r="AS1490" s="97" t="str">
        <f>IFERROR(__xludf.DUMMYFUNCTION("""COMPUTED_VALUE"""),"Falta")</f>
        <v>Falta</v>
      </c>
      <c r="AT1490" s="97" t="str">
        <f>IFERROR(__xludf.DUMMYFUNCTION("""COMPUTED_VALUE"""),"Falta")</f>
        <v>Falta</v>
      </c>
      <c r="AU1490" s="97" t="str">
        <f>IFERROR(__xludf.DUMMYFUNCTION("""COMPUTED_VALUE"""),"Disponible")</f>
        <v>Disponible</v>
      </c>
      <c r="AV1490" s="97" t="str">
        <f>IFERROR(__xludf.DUMMYFUNCTION("""COMPUTED_VALUE"""),"Cabezal")</f>
        <v>Cabezal</v>
      </c>
      <c r="AW1490" s="97" t="str">
        <f>IFERROR(__xludf.DUMMYFUNCTION("""COMPUTED_VALUE"""),"Rieles")</f>
        <v>Rieles</v>
      </c>
      <c r="AX1490" s="97" t="str">
        <f>IFERROR(__xludf.DUMMYFUNCTION("""COMPUTED_VALUE"""),"Interior")</f>
        <v>Interior</v>
      </c>
      <c r="AY1490" s="97" t="str">
        <f>IFERROR(__xludf.DUMMYFUNCTION("""COMPUTED_VALUE"""),"-")</f>
        <v>-</v>
      </c>
      <c r="AZ1490" s="97" t="str">
        <f>IFERROR(__xludf.DUMMYFUNCTION("""COMPUTED_VALUE"""),"-")</f>
        <v>-</v>
      </c>
      <c r="BA1490" s="97"/>
      <c r="BB1490" s="97"/>
      <c r="BC1490" s="97"/>
      <c r="BD1490" s="97" t="str">
        <f>IFERROR(__xludf.DUMMYFUNCTION("""COMPUTED_VALUE"""),"POLAR MEX")</f>
        <v>POLAR MEX</v>
      </c>
      <c r="BE1490" s="97"/>
      <c r="BF1490" s="97"/>
      <c r="BG1490" s="97" t="str">
        <f>IFERROR(__xludf.DUMMYFUNCTION("""COMPUTED_VALUE"""),"REPO 7")</f>
        <v>REPO 7</v>
      </c>
    </row>
    <row r="1491">
      <c r="A1491" s="97">
        <f>IFERROR(__xludf.DUMMYFUNCTION("""COMPUTED_VALUE"""),7596.0)</f>
        <v>7596</v>
      </c>
      <c r="B1491" s="97" t="str">
        <f>IFERROR(__xludf.DUMMYFUNCTION("""COMPUTED_VALUE"""),"POLAR MEX 7W BL 3000K")</f>
        <v>POLAR MEX 7W BL 3000K</v>
      </c>
      <c r="C1491" s="97" t="str">
        <f>IFERROR(__xludf.DUMMYFUNCTION("""COMPUTED_VALUE"""),"CABEZAL POLAR MEX 7W BL 3000K 7W 3000K 500LM CRI&gt;90 IP20 LEUK")</f>
        <v>CABEZAL POLAR MEX 7W BL 3000K 7W 3000K 500LM CRI&gt;90 IP20 LEUK</v>
      </c>
      <c r="D1491" s="97">
        <f>IFERROR(__xludf.DUMMYFUNCTION("""COMPUTED_VALUE"""),7.798485460527E12)</f>
        <v>7798485460527</v>
      </c>
      <c r="E1491" s="97" t="str">
        <f>IFERROR(__xludf.DUMMYFUNCTION("""COMPUTED_VALUE"""),"-")</f>
        <v>-</v>
      </c>
      <c r="F1491" s="97" t="str">
        <f>IFERROR(__xludf.DUMMYFUNCTION("""COMPUTED_VALUE"""),"LED integrado")</f>
        <v>LED integrado</v>
      </c>
      <c r="G1491" s="97" t="str">
        <f>IFERROR(__xludf.DUMMYFUNCTION("""COMPUTED_VALUE"""),"-")</f>
        <v>-</v>
      </c>
      <c r="H1491" s="97" t="str">
        <f>IFERROR(__xludf.DUMMYFUNCTION("""COMPUTED_VALUE"""),"N/A")</f>
        <v>N/A</v>
      </c>
      <c r="I1491" s="97" t="str">
        <f>IFERROR(__xludf.DUMMYFUNCTION("""COMPUTED_VALUE"""),"N/A")</f>
        <v>N/A</v>
      </c>
      <c r="J1491" s="97" t="str">
        <f>IFERROR(__xludf.DUMMYFUNCTION("""COMPUTED_VALUE"""),"N/A")</f>
        <v>N/A</v>
      </c>
      <c r="K1491" s="97" t="str">
        <f>IFERROR(__xludf.DUMMYFUNCTION("""COMPUTED_VALUE"""),"ON/OFF")</f>
        <v>ON/OFF</v>
      </c>
      <c r="L1491" s="97" t="str">
        <f>IFERROR(__xludf.DUMMYFUNCTION("""COMPUTED_VALUE"""),"48Vdc")</f>
        <v>48Vdc</v>
      </c>
      <c r="M1491" s="97" t="str">
        <f>IFERROR(__xludf.DUMMYFUNCTION("""COMPUTED_VALUE"""),"N/A")</f>
        <v>N/A</v>
      </c>
      <c r="N1491" s="97"/>
      <c r="O1491" s="97">
        <f>IFERROR(__xludf.DUMMYFUNCTION("""COMPUTED_VALUE"""),7.0)</f>
        <v>7</v>
      </c>
      <c r="P1491" s="97">
        <f>IFERROR(__xludf.DUMMYFUNCTION("""COMPUTED_VALUE"""),6.82)</f>
        <v>6.82</v>
      </c>
      <c r="Q1491" s="97" t="str">
        <f>IFERROR(__xludf.DUMMYFUNCTION("""COMPUTED_VALUE"""),"N/A")</f>
        <v>N/A</v>
      </c>
      <c r="R1491" s="97" t="str">
        <f>IFERROR(__xludf.DUMMYFUNCTION("""COMPUTED_VALUE"""),"-")</f>
        <v>-</v>
      </c>
      <c r="S1491" s="97" t="str">
        <f>IFERROR(__xludf.DUMMYFUNCTION("""COMPUTED_VALUE"""),"-")</f>
        <v>-</v>
      </c>
      <c r="T1491" s="97">
        <f>IFERROR(__xludf.DUMMYFUNCTION("""COMPUTED_VALUE"""),500.0)</f>
        <v>500</v>
      </c>
      <c r="U1491" s="99">
        <f>IFERROR(__xludf.DUMMYFUNCTION("""COMPUTED_VALUE"""),71.42857142857143)</f>
        <v>71.42857143</v>
      </c>
      <c r="V1491" s="97">
        <f>IFERROR(__xludf.DUMMYFUNCTION("""COMPUTED_VALUE"""),26.0)</f>
        <v>26</v>
      </c>
      <c r="W1491" s="97" t="str">
        <f>IFERROR(__xludf.DUMMYFUNCTION("""COMPUTED_VALUE"""),"&lt; 15")</f>
        <v>&lt; 15</v>
      </c>
      <c r="X1491" s="97">
        <f>IFERROR(__xludf.DUMMYFUNCTION("""COMPUTED_VALUE"""),3000.0)</f>
        <v>3000</v>
      </c>
      <c r="Y1491" s="97" t="str">
        <f>IFERROR(__xludf.DUMMYFUNCTION("""COMPUTED_VALUE"""),"&gt;90")</f>
        <v>&gt;90</v>
      </c>
      <c r="Z1491" s="97" t="str">
        <f>IFERROR(__xludf.DUMMYFUNCTION("""COMPUTED_VALUE"""),"&gt;90")</f>
        <v>&gt;90</v>
      </c>
      <c r="AA1491" s="97" t="str">
        <f>IFERROR(__xludf.DUMMYFUNCTION("""COMPUTED_VALUE"""),"90-99 (Leve desaturación)")</f>
        <v>90-99 (Leve desaturación)</v>
      </c>
      <c r="AB1491" s="97" t="str">
        <f>IFERROR(__xludf.DUMMYFUNCTION("""COMPUTED_VALUE"""),"&lt; 3")</f>
        <v>&lt; 3</v>
      </c>
      <c r="AC1491" s="97">
        <f>IFERROR(__xludf.DUMMYFUNCTION("""COMPUTED_VALUE"""),-0.0014)</f>
        <v>-0.0014</v>
      </c>
      <c r="AD1491" s="97" t="str">
        <f>IFERROR(__xludf.DUMMYFUNCTION("""COMPUTED_VALUE"""),"IP20")</f>
        <v>IP20</v>
      </c>
      <c r="AE1491" s="97" t="str">
        <f>IFERROR(__xludf.DUMMYFUNCTION("""COMPUTED_VALUE"""),"Clase lll")</f>
        <v>Clase lll</v>
      </c>
      <c r="AF1491" s="97" t="str">
        <f>IFERROR(__xludf.DUMMYFUNCTION("""COMPUTED_VALUE"""),"Riel")</f>
        <v>Riel</v>
      </c>
      <c r="AG1491" s="97" t="str">
        <f>IFERROR(__xludf.DUMMYFUNCTION("""COMPUTED_VALUE"""),"Ø47 x 120")</f>
        <v>Ø47 x 120</v>
      </c>
      <c r="AH1491" s="97" t="str">
        <f>IFERROR(__xludf.DUMMYFUNCTION("""COMPUTED_VALUE"""),"N/A")</f>
        <v>N/A</v>
      </c>
      <c r="AI1491" s="97" t="str">
        <f>IFERROR(__xludf.DUMMYFUNCTION("""COMPUTED_VALUE"""),"N/A")</f>
        <v>N/A</v>
      </c>
      <c r="AJ1491" s="97" t="str">
        <f>IFERROR(__xludf.DUMMYFUNCTION("""COMPUTED_VALUE"""),"PMMA")</f>
        <v>PMMA</v>
      </c>
      <c r="AK1491" s="97" t="str">
        <f>IFERROR(__xludf.DUMMYFUNCTION("""COMPUTED_VALUE"""),"Aluminio")</f>
        <v>Aluminio</v>
      </c>
      <c r="AL1491" s="97" t="str">
        <f>IFERROR(__xludf.DUMMYFUNCTION("""COMPUTED_VALUE"""),"Blanco Satinado")</f>
        <v>Blanco Satinado</v>
      </c>
      <c r="AM1491" s="97" t="str">
        <f>IFERROR(__xludf.DUMMYFUNCTION("""COMPUTED_VALUE"""),"-")</f>
        <v>-</v>
      </c>
      <c r="AN1491" s="97" t="str">
        <f>IFERROR(__xludf.DUMMYFUNCTION("""COMPUTED_VALUE"""),"25.000hs (L70)")</f>
        <v>25.000hs (L70)</v>
      </c>
      <c r="AO1491" s="97" t="str">
        <f>IFERROR(__xludf.DUMMYFUNCTION("""COMPUTED_VALUE"""),"2 Años")</f>
        <v>2 Años</v>
      </c>
      <c r="AP1491" s="97" t="str">
        <f>IFERROR(__xludf.DUMMYFUNCTION("""COMPUTED_VALUE"""),"Disponible")</f>
        <v>Disponible</v>
      </c>
      <c r="AQ1491" s="97" t="str">
        <f>IFERROR(__xludf.DUMMYFUNCTION("""COMPUTED_VALUE"""),"Disponible")</f>
        <v>Disponible</v>
      </c>
      <c r="AR1491" s="97" t="str">
        <f>IFERROR(__xludf.DUMMYFUNCTION("""COMPUTED_VALUE"""),"Disponible")</f>
        <v>Disponible</v>
      </c>
      <c r="AS1491" s="97" t="str">
        <f>IFERROR(__xludf.DUMMYFUNCTION("""COMPUTED_VALUE"""),"Falta")</f>
        <v>Falta</v>
      </c>
      <c r="AT1491" s="97" t="str">
        <f>IFERROR(__xludf.DUMMYFUNCTION("""COMPUTED_VALUE"""),"Falta")</f>
        <v>Falta</v>
      </c>
      <c r="AU1491" s="97" t="str">
        <f>IFERROR(__xludf.DUMMYFUNCTION("""COMPUTED_VALUE"""),"Disponible")</f>
        <v>Disponible</v>
      </c>
      <c r="AV1491" s="97" t="str">
        <f>IFERROR(__xludf.DUMMYFUNCTION("""COMPUTED_VALUE"""),"Cabezal")</f>
        <v>Cabezal</v>
      </c>
      <c r="AW1491" s="97" t="str">
        <f>IFERROR(__xludf.DUMMYFUNCTION("""COMPUTED_VALUE"""),"Rieles")</f>
        <v>Rieles</v>
      </c>
      <c r="AX1491" s="97" t="str">
        <f>IFERROR(__xludf.DUMMYFUNCTION("""COMPUTED_VALUE"""),"Interior")</f>
        <v>Interior</v>
      </c>
      <c r="AY1491" s="97" t="str">
        <f>IFERROR(__xludf.DUMMYFUNCTION("""COMPUTED_VALUE"""),"-")</f>
        <v>-</v>
      </c>
      <c r="AZ1491" s="97" t="str">
        <f>IFERROR(__xludf.DUMMYFUNCTION("""COMPUTED_VALUE"""),"-")</f>
        <v>-</v>
      </c>
      <c r="BA1491" s="97"/>
      <c r="BB1491" s="97"/>
      <c r="BC1491" s="97"/>
      <c r="BD1491" s="97" t="str">
        <f>IFERROR(__xludf.DUMMYFUNCTION("""COMPUTED_VALUE"""),"POLAR MEX")</f>
        <v>POLAR MEX</v>
      </c>
      <c r="BE1491" s="97"/>
      <c r="BF1491" s="97"/>
      <c r="BG1491" s="97" t="str">
        <f>IFERROR(__xludf.DUMMYFUNCTION("""COMPUTED_VALUE"""),"REPO 7")</f>
        <v>REPO 7</v>
      </c>
    </row>
    <row r="1492">
      <c r="A1492" s="97">
        <f>IFERROR(__xludf.DUMMYFUNCTION("""COMPUTED_VALUE"""),7597.0)</f>
        <v>7597</v>
      </c>
      <c r="B1492" s="97" t="str">
        <f>IFERROR(__xludf.DUMMYFUNCTION("""COMPUTED_VALUE"""),"POLAR MEX 15W NG 3000K")</f>
        <v>POLAR MEX 15W NG 3000K</v>
      </c>
      <c r="C1492" s="97" t="str">
        <f>IFERROR(__xludf.DUMMYFUNCTION("""COMPUTED_VALUE"""),"CABEZAL POLAR MEX 15W NG 3000K 15W 3000K 1000LM CRI&gt;90 IP20 LEUK")</f>
        <v>CABEZAL POLAR MEX 15W NG 3000K 15W 3000K 1000LM CRI&gt;90 IP20 LEUK</v>
      </c>
      <c r="D1492" s="97">
        <f>IFERROR(__xludf.DUMMYFUNCTION("""COMPUTED_VALUE"""),7.798485460534E12)</f>
        <v>7798485460534</v>
      </c>
      <c r="E1492" s="97" t="str">
        <f>IFERROR(__xludf.DUMMYFUNCTION("""COMPUTED_VALUE"""),"-")</f>
        <v>-</v>
      </c>
      <c r="F1492" s="97" t="str">
        <f>IFERROR(__xludf.DUMMYFUNCTION("""COMPUTED_VALUE"""),"LED integrado")</f>
        <v>LED integrado</v>
      </c>
      <c r="G1492" s="97" t="str">
        <f>IFERROR(__xludf.DUMMYFUNCTION("""COMPUTED_VALUE"""),"-")</f>
        <v>-</v>
      </c>
      <c r="H1492" s="97" t="str">
        <f>IFERROR(__xludf.DUMMYFUNCTION("""COMPUTED_VALUE"""),"N/A")</f>
        <v>N/A</v>
      </c>
      <c r="I1492" s="97" t="str">
        <f>IFERROR(__xludf.DUMMYFUNCTION("""COMPUTED_VALUE"""),"N/A")</f>
        <v>N/A</v>
      </c>
      <c r="J1492" s="97" t="str">
        <f>IFERROR(__xludf.DUMMYFUNCTION("""COMPUTED_VALUE"""),"N/A")</f>
        <v>N/A</v>
      </c>
      <c r="K1492" s="97" t="str">
        <f>IFERROR(__xludf.DUMMYFUNCTION("""COMPUTED_VALUE"""),"ON/OFF")</f>
        <v>ON/OFF</v>
      </c>
      <c r="L1492" s="97" t="str">
        <f>IFERROR(__xludf.DUMMYFUNCTION("""COMPUTED_VALUE"""),"48Vdc")</f>
        <v>48Vdc</v>
      </c>
      <c r="M1492" s="97" t="str">
        <f>IFERROR(__xludf.DUMMYFUNCTION("""COMPUTED_VALUE"""),"N/A")</f>
        <v>N/A</v>
      </c>
      <c r="N1492" s="97"/>
      <c r="O1492" s="97">
        <f>IFERROR(__xludf.DUMMYFUNCTION("""COMPUTED_VALUE"""),15.0)</f>
        <v>15</v>
      </c>
      <c r="P1492" s="97">
        <f>IFERROR(__xludf.DUMMYFUNCTION("""COMPUTED_VALUE"""),14.49)</f>
        <v>14.49</v>
      </c>
      <c r="Q1492" s="97" t="str">
        <f>IFERROR(__xludf.DUMMYFUNCTION("""COMPUTED_VALUE"""),"N/A")</f>
        <v>N/A</v>
      </c>
      <c r="R1492" s="97" t="str">
        <f>IFERROR(__xludf.DUMMYFUNCTION("""COMPUTED_VALUE"""),"-")</f>
        <v>-</v>
      </c>
      <c r="S1492" s="97" t="str">
        <f>IFERROR(__xludf.DUMMYFUNCTION("""COMPUTED_VALUE"""),"-")</f>
        <v>-</v>
      </c>
      <c r="T1492" s="97">
        <f>IFERROR(__xludf.DUMMYFUNCTION("""COMPUTED_VALUE"""),1000.0)</f>
        <v>1000</v>
      </c>
      <c r="U1492" s="99">
        <f>IFERROR(__xludf.DUMMYFUNCTION("""COMPUTED_VALUE"""),66.66666666666667)</f>
        <v>66.66666667</v>
      </c>
      <c r="V1492" s="97">
        <f>IFERROR(__xludf.DUMMYFUNCTION("""COMPUTED_VALUE"""),26.0)</f>
        <v>26</v>
      </c>
      <c r="W1492" s="97" t="str">
        <f>IFERROR(__xludf.DUMMYFUNCTION("""COMPUTED_VALUE"""),"&lt; 15")</f>
        <v>&lt; 15</v>
      </c>
      <c r="X1492" s="97">
        <f>IFERROR(__xludf.DUMMYFUNCTION("""COMPUTED_VALUE"""),3000.0)</f>
        <v>3000</v>
      </c>
      <c r="Y1492" s="97" t="str">
        <f>IFERROR(__xludf.DUMMYFUNCTION("""COMPUTED_VALUE"""),"&gt;90")</f>
        <v>&gt;90</v>
      </c>
      <c r="Z1492" s="97" t="str">
        <f>IFERROR(__xludf.DUMMYFUNCTION("""COMPUTED_VALUE"""),"&gt;90")</f>
        <v>&gt;90</v>
      </c>
      <c r="AA1492" s="97" t="str">
        <f>IFERROR(__xludf.DUMMYFUNCTION("""COMPUTED_VALUE"""),"90-99 (Leve desaturación)")</f>
        <v>90-99 (Leve desaturación)</v>
      </c>
      <c r="AB1492" s="97" t="str">
        <f>IFERROR(__xludf.DUMMYFUNCTION("""COMPUTED_VALUE"""),"&lt; 3")</f>
        <v>&lt; 3</v>
      </c>
      <c r="AC1492" s="97">
        <f>IFERROR(__xludf.DUMMYFUNCTION("""COMPUTED_VALUE"""),3.0E-4)</f>
        <v>0.0003</v>
      </c>
      <c r="AD1492" s="97" t="str">
        <f>IFERROR(__xludf.DUMMYFUNCTION("""COMPUTED_VALUE"""),"IP20")</f>
        <v>IP20</v>
      </c>
      <c r="AE1492" s="97" t="str">
        <f>IFERROR(__xludf.DUMMYFUNCTION("""COMPUTED_VALUE"""),"Clase lll")</f>
        <v>Clase lll</v>
      </c>
      <c r="AF1492" s="97" t="str">
        <f>IFERROR(__xludf.DUMMYFUNCTION("""COMPUTED_VALUE"""),"Riel")</f>
        <v>Riel</v>
      </c>
      <c r="AG1492" s="97" t="str">
        <f>IFERROR(__xludf.DUMMYFUNCTION("""COMPUTED_VALUE"""),"Ø60 x 135")</f>
        <v>Ø60 x 135</v>
      </c>
      <c r="AH1492" s="97" t="str">
        <f>IFERROR(__xludf.DUMMYFUNCTION("""COMPUTED_VALUE"""),"N/A")</f>
        <v>N/A</v>
      </c>
      <c r="AI1492" s="97" t="str">
        <f>IFERROR(__xludf.DUMMYFUNCTION("""COMPUTED_VALUE"""),"N/A")</f>
        <v>N/A</v>
      </c>
      <c r="AJ1492" s="97" t="str">
        <f>IFERROR(__xludf.DUMMYFUNCTION("""COMPUTED_VALUE"""),"PMMA")</f>
        <v>PMMA</v>
      </c>
      <c r="AK1492" s="97" t="str">
        <f>IFERROR(__xludf.DUMMYFUNCTION("""COMPUTED_VALUE"""),"Aluminio")</f>
        <v>Aluminio</v>
      </c>
      <c r="AL1492" s="97" t="str">
        <f>IFERROR(__xludf.DUMMYFUNCTION("""COMPUTED_VALUE"""),"Negro Satinado")</f>
        <v>Negro Satinado</v>
      </c>
      <c r="AM1492" s="97" t="str">
        <f>IFERROR(__xludf.DUMMYFUNCTION("""COMPUTED_VALUE"""),"-")</f>
        <v>-</v>
      </c>
      <c r="AN1492" s="97" t="str">
        <f>IFERROR(__xludf.DUMMYFUNCTION("""COMPUTED_VALUE"""),"25.000hs (L70)")</f>
        <v>25.000hs (L70)</v>
      </c>
      <c r="AO1492" s="97" t="str">
        <f>IFERROR(__xludf.DUMMYFUNCTION("""COMPUTED_VALUE"""),"2 Años")</f>
        <v>2 Años</v>
      </c>
      <c r="AP1492" s="97" t="str">
        <f>IFERROR(__xludf.DUMMYFUNCTION("""COMPUTED_VALUE"""),"Disponible")</f>
        <v>Disponible</v>
      </c>
      <c r="AQ1492" s="97" t="str">
        <f>IFERROR(__xludf.DUMMYFUNCTION("""COMPUTED_VALUE"""),"Disponible")</f>
        <v>Disponible</v>
      </c>
      <c r="AR1492" s="97" t="str">
        <f>IFERROR(__xludf.DUMMYFUNCTION("""COMPUTED_VALUE"""),"Disponible")</f>
        <v>Disponible</v>
      </c>
      <c r="AS1492" s="97" t="str">
        <f>IFERROR(__xludf.DUMMYFUNCTION("""COMPUTED_VALUE"""),"Disponible")</f>
        <v>Disponible</v>
      </c>
      <c r="AT1492" s="97" t="str">
        <f>IFERROR(__xludf.DUMMYFUNCTION("""COMPUTED_VALUE"""),"Falta")</f>
        <v>Falta</v>
      </c>
      <c r="AU1492" s="97" t="str">
        <f>IFERROR(__xludf.DUMMYFUNCTION("""COMPUTED_VALUE"""),"Disponible")</f>
        <v>Disponible</v>
      </c>
      <c r="AV1492" s="97" t="str">
        <f>IFERROR(__xludf.DUMMYFUNCTION("""COMPUTED_VALUE"""),"Cabezal")</f>
        <v>Cabezal</v>
      </c>
      <c r="AW1492" s="97" t="str">
        <f>IFERROR(__xludf.DUMMYFUNCTION("""COMPUTED_VALUE"""),"Rieles")</f>
        <v>Rieles</v>
      </c>
      <c r="AX1492" s="97" t="str">
        <f>IFERROR(__xludf.DUMMYFUNCTION("""COMPUTED_VALUE"""),"Interior")</f>
        <v>Interior</v>
      </c>
      <c r="AY1492" s="97" t="str">
        <f>IFERROR(__xludf.DUMMYFUNCTION("""COMPUTED_VALUE"""),"-")</f>
        <v>-</v>
      </c>
      <c r="AZ1492" s="97" t="str">
        <f>IFERROR(__xludf.DUMMYFUNCTION("""COMPUTED_VALUE"""),"-")</f>
        <v>-</v>
      </c>
      <c r="BA1492" s="97"/>
      <c r="BB1492" s="97"/>
      <c r="BC1492" s="97"/>
      <c r="BD1492" s="97" t="str">
        <f>IFERROR(__xludf.DUMMYFUNCTION("""COMPUTED_VALUE"""),"POLAR MEX")</f>
        <v>POLAR MEX</v>
      </c>
      <c r="BE1492" s="97"/>
      <c r="BF1492" s="97"/>
      <c r="BG1492" s="97" t="str">
        <f>IFERROR(__xludf.DUMMYFUNCTION("""COMPUTED_VALUE"""),"REPO 7")</f>
        <v>REPO 7</v>
      </c>
    </row>
    <row r="1493">
      <c r="A1493" s="97">
        <f>IFERROR(__xludf.DUMMYFUNCTION("""COMPUTED_VALUE"""),7598.0)</f>
        <v>7598</v>
      </c>
      <c r="B1493" s="97" t="str">
        <f>IFERROR(__xludf.DUMMYFUNCTION("""COMPUTED_VALUE"""),"POLAR MEX 15W BL 3000K")</f>
        <v>POLAR MEX 15W BL 3000K</v>
      </c>
      <c r="C1493" s="97" t="str">
        <f>IFERROR(__xludf.DUMMYFUNCTION("""COMPUTED_VALUE"""),"CABEZAL POLAR MEX 15W BL 3000K 15W 3000K 1000LM CRI&gt;90 IP20 LEUK")</f>
        <v>CABEZAL POLAR MEX 15W BL 3000K 15W 3000K 1000LM CRI&gt;90 IP20 LEUK</v>
      </c>
      <c r="D1493" s="97">
        <f>IFERROR(__xludf.DUMMYFUNCTION("""COMPUTED_VALUE"""),7.798485460541E12)</f>
        <v>7798485460541</v>
      </c>
      <c r="E1493" s="97" t="str">
        <f>IFERROR(__xludf.DUMMYFUNCTION("""COMPUTED_VALUE"""),"-")</f>
        <v>-</v>
      </c>
      <c r="F1493" s="97" t="str">
        <f>IFERROR(__xludf.DUMMYFUNCTION("""COMPUTED_VALUE"""),"LED integrado")</f>
        <v>LED integrado</v>
      </c>
      <c r="G1493" s="97" t="str">
        <f>IFERROR(__xludf.DUMMYFUNCTION("""COMPUTED_VALUE"""),"-")</f>
        <v>-</v>
      </c>
      <c r="H1493" s="97" t="str">
        <f>IFERROR(__xludf.DUMMYFUNCTION("""COMPUTED_VALUE"""),"N/A")</f>
        <v>N/A</v>
      </c>
      <c r="I1493" s="97" t="str">
        <f>IFERROR(__xludf.DUMMYFUNCTION("""COMPUTED_VALUE"""),"N/A")</f>
        <v>N/A</v>
      </c>
      <c r="J1493" s="97" t="str">
        <f>IFERROR(__xludf.DUMMYFUNCTION("""COMPUTED_VALUE"""),"N/A")</f>
        <v>N/A</v>
      </c>
      <c r="K1493" s="97" t="str">
        <f>IFERROR(__xludf.DUMMYFUNCTION("""COMPUTED_VALUE"""),"ON/OFF")</f>
        <v>ON/OFF</v>
      </c>
      <c r="L1493" s="97" t="str">
        <f>IFERROR(__xludf.DUMMYFUNCTION("""COMPUTED_VALUE"""),"48Vdc")</f>
        <v>48Vdc</v>
      </c>
      <c r="M1493" s="97" t="str">
        <f>IFERROR(__xludf.DUMMYFUNCTION("""COMPUTED_VALUE"""),"N/A")</f>
        <v>N/A</v>
      </c>
      <c r="N1493" s="97"/>
      <c r="O1493" s="97">
        <f>IFERROR(__xludf.DUMMYFUNCTION("""COMPUTED_VALUE"""),15.0)</f>
        <v>15</v>
      </c>
      <c r="P1493" s="97">
        <f>IFERROR(__xludf.DUMMYFUNCTION("""COMPUTED_VALUE"""),14.49)</f>
        <v>14.49</v>
      </c>
      <c r="Q1493" s="97" t="str">
        <f>IFERROR(__xludf.DUMMYFUNCTION("""COMPUTED_VALUE"""),"N/A")</f>
        <v>N/A</v>
      </c>
      <c r="R1493" s="97" t="str">
        <f>IFERROR(__xludf.DUMMYFUNCTION("""COMPUTED_VALUE"""),"-")</f>
        <v>-</v>
      </c>
      <c r="S1493" s="97" t="str">
        <f>IFERROR(__xludf.DUMMYFUNCTION("""COMPUTED_VALUE"""),"-")</f>
        <v>-</v>
      </c>
      <c r="T1493" s="97">
        <f>IFERROR(__xludf.DUMMYFUNCTION("""COMPUTED_VALUE"""),1000.0)</f>
        <v>1000</v>
      </c>
      <c r="U1493" s="99">
        <f>IFERROR(__xludf.DUMMYFUNCTION("""COMPUTED_VALUE"""),66.66666666666667)</f>
        <v>66.66666667</v>
      </c>
      <c r="V1493" s="97">
        <f>IFERROR(__xludf.DUMMYFUNCTION("""COMPUTED_VALUE"""),26.0)</f>
        <v>26</v>
      </c>
      <c r="W1493" s="97" t="str">
        <f>IFERROR(__xludf.DUMMYFUNCTION("""COMPUTED_VALUE"""),"&lt; 15")</f>
        <v>&lt; 15</v>
      </c>
      <c r="X1493" s="97">
        <f>IFERROR(__xludf.DUMMYFUNCTION("""COMPUTED_VALUE"""),3000.0)</f>
        <v>3000</v>
      </c>
      <c r="Y1493" s="97" t="str">
        <f>IFERROR(__xludf.DUMMYFUNCTION("""COMPUTED_VALUE"""),"&gt;90")</f>
        <v>&gt;90</v>
      </c>
      <c r="Z1493" s="97" t="str">
        <f>IFERROR(__xludf.DUMMYFUNCTION("""COMPUTED_VALUE"""),"&gt;90")</f>
        <v>&gt;90</v>
      </c>
      <c r="AA1493" s="97" t="str">
        <f>IFERROR(__xludf.DUMMYFUNCTION("""COMPUTED_VALUE"""),"90-99 (Leve desaturación)")</f>
        <v>90-99 (Leve desaturación)</v>
      </c>
      <c r="AB1493" s="97" t="str">
        <f>IFERROR(__xludf.DUMMYFUNCTION("""COMPUTED_VALUE"""),"&lt; 3")</f>
        <v>&lt; 3</v>
      </c>
      <c r="AC1493" s="97">
        <f>IFERROR(__xludf.DUMMYFUNCTION("""COMPUTED_VALUE"""),3.0E-4)</f>
        <v>0.0003</v>
      </c>
      <c r="AD1493" s="97" t="str">
        <f>IFERROR(__xludf.DUMMYFUNCTION("""COMPUTED_VALUE"""),"IP20")</f>
        <v>IP20</v>
      </c>
      <c r="AE1493" s="97" t="str">
        <f>IFERROR(__xludf.DUMMYFUNCTION("""COMPUTED_VALUE"""),"Clase lll")</f>
        <v>Clase lll</v>
      </c>
      <c r="AF1493" s="97" t="str">
        <f>IFERROR(__xludf.DUMMYFUNCTION("""COMPUTED_VALUE"""),"Riel")</f>
        <v>Riel</v>
      </c>
      <c r="AG1493" s="97" t="str">
        <f>IFERROR(__xludf.DUMMYFUNCTION("""COMPUTED_VALUE"""),"Ø60 x 135")</f>
        <v>Ø60 x 135</v>
      </c>
      <c r="AH1493" s="97" t="str">
        <f>IFERROR(__xludf.DUMMYFUNCTION("""COMPUTED_VALUE"""),"N/A")</f>
        <v>N/A</v>
      </c>
      <c r="AI1493" s="97" t="str">
        <f>IFERROR(__xludf.DUMMYFUNCTION("""COMPUTED_VALUE"""),"N/A")</f>
        <v>N/A</v>
      </c>
      <c r="AJ1493" s="97" t="str">
        <f>IFERROR(__xludf.DUMMYFUNCTION("""COMPUTED_VALUE"""),"PMMA")</f>
        <v>PMMA</v>
      </c>
      <c r="AK1493" s="97" t="str">
        <f>IFERROR(__xludf.DUMMYFUNCTION("""COMPUTED_VALUE"""),"Aluminio")</f>
        <v>Aluminio</v>
      </c>
      <c r="AL1493" s="97" t="str">
        <f>IFERROR(__xludf.DUMMYFUNCTION("""COMPUTED_VALUE"""),"Blanco Satinado")</f>
        <v>Blanco Satinado</v>
      </c>
      <c r="AM1493" s="97" t="str">
        <f>IFERROR(__xludf.DUMMYFUNCTION("""COMPUTED_VALUE"""),"-")</f>
        <v>-</v>
      </c>
      <c r="AN1493" s="97" t="str">
        <f>IFERROR(__xludf.DUMMYFUNCTION("""COMPUTED_VALUE"""),"25.000hs (L70)")</f>
        <v>25.000hs (L70)</v>
      </c>
      <c r="AO1493" s="97" t="str">
        <f>IFERROR(__xludf.DUMMYFUNCTION("""COMPUTED_VALUE"""),"2 Años")</f>
        <v>2 Años</v>
      </c>
      <c r="AP1493" s="97" t="str">
        <f>IFERROR(__xludf.DUMMYFUNCTION("""COMPUTED_VALUE"""),"Disponible")</f>
        <v>Disponible</v>
      </c>
      <c r="AQ1493" s="97" t="str">
        <f>IFERROR(__xludf.DUMMYFUNCTION("""COMPUTED_VALUE"""),"Disponible")</f>
        <v>Disponible</v>
      </c>
      <c r="AR1493" s="97" t="str">
        <f>IFERROR(__xludf.DUMMYFUNCTION("""COMPUTED_VALUE"""),"Disponible")</f>
        <v>Disponible</v>
      </c>
      <c r="AS1493" s="97" t="str">
        <f>IFERROR(__xludf.DUMMYFUNCTION("""COMPUTED_VALUE"""),"Disponible")</f>
        <v>Disponible</v>
      </c>
      <c r="AT1493" s="97" t="str">
        <f>IFERROR(__xludf.DUMMYFUNCTION("""COMPUTED_VALUE"""),"Falta")</f>
        <v>Falta</v>
      </c>
      <c r="AU1493" s="97" t="str">
        <f>IFERROR(__xludf.DUMMYFUNCTION("""COMPUTED_VALUE"""),"Disponible")</f>
        <v>Disponible</v>
      </c>
      <c r="AV1493" s="97" t="str">
        <f>IFERROR(__xludf.DUMMYFUNCTION("""COMPUTED_VALUE"""),"Cabezal")</f>
        <v>Cabezal</v>
      </c>
      <c r="AW1493" s="97" t="str">
        <f>IFERROR(__xludf.DUMMYFUNCTION("""COMPUTED_VALUE"""),"Rieles")</f>
        <v>Rieles</v>
      </c>
      <c r="AX1493" s="97" t="str">
        <f>IFERROR(__xludf.DUMMYFUNCTION("""COMPUTED_VALUE"""),"Interior")</f>
        <v>Interior</v>
      </c>
      <c r="AY1493" s="97" t="str">
        <f>IFERROR(__xludf.DUMMYFUNCTION("""COMPUTED_VALUE"""),"-")</f>
        <v>-</v>
      </c>
      <c r="AZ1493" s="97" t="str">
        <f>IFERROR(__xludf.DUMMYFUNCTION("""COMPUTED_VALUE"""),"-")</f>
        <v>-</v>
      </c>
      <c r="BA1493" s="97"/>
      <c r="BB1493" s="97"/>
      <c r="BC1493" s="97"/>
      <c r="BD1493" s="97" t="str">
        <f>IFERROR(__xludf.DUMMYFUNCTION("""COMPUTED_VALUE"""),"POLAR MEX")</f>
        <v>POLAR MEX</v>
      </c>
      <c r="BE1493" s="97"/>
      <c r="BF1493" s="97"/>
      <c r="BG1493" s="97" t="str">
        <f>IFERROR(__xludf.DUMMYFUNCTION("""COMPUTED_VALUE"""),"REPO 7")</f>
        <v>REPO 7</v>
      </c>
    </row>
    <row r="1494">
      <c r="A1494" s="97">
        <f>IFERROR(__xludf.DUMMYFUNCTION("""COMPUTED_VALUE"""),7599.0)</f>
        <v>7599</v>
      </c>
      <c r="B1494" s="97" t="str">
        <f>IFERROR(__xludf.DUMMYFUNCTION("""COMPUTED_VALUE"""),"POLAR BEAM 10W NG 3000K")</f>
        <v>POLAR BEAM 10W NG 3000K</v>
      </c>
      <c r="C1494" s="97" t="str">
        <f>IFERROR(__xludf.DUMMYFUNCTION("""COMPUTED_VALUE"""),"COLGANTE POLAR BEAM 10W NG 3000K 10W 3000K 780LM CRI&gt;90 IP20 LEUK")</f>
        <v>COLGANTE POLAR BEAM 10W NG 3000K 10W 3000K 780LM CRI&gt;90 IP20 LEUK</v>
      </c>
      <c r="D1494" s="97">
        <f>IFERROR(__xludf.DUMMYFUNCTION("""COMPUTED_VALUE"""),7.798485460558E12)</f>
        <v>7798485460558</v>
      </c>
      <c r="E1494" s="97" t="str">
        <f>IFERROR(__xludf.DUMMYFUNCTION("""COMPUTED_VALUE"""),"-")</f>
        <v>-</v>
      </c>
      <c r="F1494" s="97" t="str">
        <f>IFERROR(__xludf.DUMMYFUNCTION("""COMPUTED_VALUE"""),"LED integrado")</f>
        <v>LED integrado</v>
      </c>
      <c r="G1494" s="97" t="str">
        <f>IFERROR(__xludf.DUMMYFUNCTION("""COMPUTED_VALUE"""),"-")</f>
        <v>-</v>
      </c>
      <c r="H1494" s="97" t="str">
        <f>IFERROR(__xludf.DUMMYFUNCTION("""COMPUTED_VALUE"""),"N/A")</f>
        <v>N/A</v>
      </c>
      <c r="I1494" s="97" t="str">
        <f>IFERROR(__xludf.DUMMYFUNCTION("""COMPUTED_VALUE"""),"N/A")</f>
        <v>N/A</v>
      </c>
      <c r="J1494" s="97" t="str">
        <f>IFERROR(__xludf.DUMMYFUNCTION("""COMPUTED_VALUE"""),"N/A")</f>
        <v>N/A</v>
      </c>
      <c r="K1494" s="97" t="str">
        <f>IFERROR(__xludf.DUMMYFUNCTION("""COMPUTED_VALUE"""),"ON/OFF")</f>
        <v>ON/OFF</v>
      </c>
      <c r="L1494" s="97" t="str">
        <f>IFERROR(__xludf.DUMMYFUNCTION("""COMPUTED_VALUE"""),"48Vdc")</f>
        <v>48Vdc</v>
      </c>
      <c r="M1494" s="97" t="str">
        <f>IFERROR(__xludf.DUMMYFUNCTION("""COMPUTED_VALUE"""),"N/A")</f>
        <v>N/A</v>
      </c>
      <c r="N1494" s="97"/>
      <c r="O1494" s="97">
        <f>IFERROR(__xludf.DUMMYFUNCTION("""COMPUTED_VALUE"""),10.0)</f>
        <v>10</v>
      </c>
      <c r="P1494" s="97">
        <f>IFERROR(__xludf.DUMMYFUNCTION("""COMPUTED_VALUE"""),11.06)</f>
        <v>11.06</v>
      </c>
      <c r="Q1494" s="97" t="str">
        <f>IFERROR(__xludf.DUMMYFUNCTION("""COMPUTED_VALUE"""),"N/A")</f>
        <v>N/A</v>
      </c>
      <c r="R1494" s="97" t="str">
        <f>IFERROR(__xludf.DUMMYFUNCTION("""COMPUTED_VALUE"""),"-")</f>
        <v>-</v>
      </c>
      <c r="S1494" s="97" t="str">
        <f>IFERROR(__xludf.DUMMYFUNCTION("""COMPUTED_VALUE"""),"-")</f>
        <v>-</v>
      </c>
      <c r="T1494" s="97">
        <f>IFERROR(__xludf.DUMMYFUNCTION("""COMPUTED_VALUE"""),780.0)</f>
        <v>780</v>
      </c>
      <c r="U1494" s="97">
        <f>IFERROR(__xludf.DUMMYFUNCTION("""COMPUTED_VALUE"""),78.0)</f>
        <v>78</v>
      </c>
      <c r="V1494" s="97">
        <f>IFERROR(__xludf.DUMMYFUNCTION("""COMPUTED_VALUE"""),38.0)</f>
        <v>38</v>
      </c>
      <c r="W1494" s="97" t="str">
        <f>IFERROR(__xludf.DUMMYFUNCTION("""COMPUTED_VALUE"""),"&lt; 25")</f>
        <v>&lt; 25</v>
      </c>
      <c r="X1494" s="97">
        <f>IFERROR(__xludf.DUMMYFUNCTION("""COMPUTED_VALUE"""),3000.0)</f>
        <v>3000</v>
      </c>
      <c r="Y1494" s="97" t="str">
        <f>IFERROR(__xludf.DUMMYFUNCTION("""COMPUTED_VALUE"""),"&gt;90")</f>
        <v>&gt;90</v>
      </c>
      <c r="Z1494" s="97" t="str">
        <f>IFERROR(__xludf.DUMMYFUNCTION("""COMPUTED_VALUE"""),"&gt;90")</f>
        <v>&gt;90</v>
      </c>
      <c r="AA1494" s="97" t="str">
        <f>IFERROR(__xludf.DUMMYFUNCTION("""COMPUTED_VALUE"""),"90-99 (Leve desaturación)")</f>
        <v>90-99 (Leve desaturación)</v>
      </c>
      <c r="AB1494" s="97" t="str">
        <f>IFERROR(__xludf.DUMMYFUNCTION("""COMPUTED_VALUE"""),"&lt; 5")</f>
        <v>&lt; 5</v>
      </c>
      <c r="AC1494" s="97">
        <f>IFERROR(__xludf.DUMMYFUNCTION("""COMPUTED_VALUE"""),-9.6E-4)</f>
        <v>-0.00096</v>
      </c>
      <c r="AD1494" s="97" t="str">
        <f>IFERROR(__xludf.DUMMYFUNCTION("""COMPUTED_VALUE"""),"IP20")</f>
        <v>IP20</v>
      </c>
      <c r="AE1494" s="97" t="str">
        <f>IFERROR(__xludf.DUMMYFUNCTION("""COMPUTED_VALUE"""),"Clase lll")</f>
        <v>Clase lll</v>
      </c>
      <c r="AF1494" s="97" t="str">
        <f>IFERROR(__xludf.DUMMYFUNCTION("""COMPUTED_VALUE"""),"Riel")</f>
        <v>Riel</v>
      </c>
      <c r="AG1494" s="97" t="str">
        <f>IFERROR(__xludf.DUMMYFUNCTION("""COMPUTED_VALUE"""),"Ø40 x 300")</f>
        <v>Ø40 x 300</v>
      </c>
      <c r="AH1494" s="97" t="str">
        <f>IFERROR(__xludf.DUMMYFUNCTION("""COMPUTED_VALUE"""),"N/A")</f>
        <v>N/A</v>
      </c>
      <c r="AI1494" s="97" t="str">
        <f>IFERROR(__xludf.DUMMYFUNCTION("""COMPUTED_VALUE"""),"N/A")</f>
        <v>N/A</v>
      </c>
      <c r="AJ1494" s="97" t="str">
        <f>IFERROR(__xludf.DUMMYFUNCTION("""COMPUTED_VALUE"""),"PMMA")</f>
        <v>PMMA</v>
      </c>
      <c r="AK1494" s="97" t="str">
        <f>IFERROR(__xludf.DUMMYFUNCTION("""COMPUTED_VALUE"""),"Aluminio")</f>
        <v>Aluminio</v>
      </c>
      <c r="AL1494" s="97" t="str">
        <f>IFERROR(__xludf.DUMMYFUNCTION("""COMPUTED_VALUE"""),"Negro Satinado")</f>
        <v>Negro Satinado</v>
      </c>
      <c r="AM1494" s="97" t="str">
        <f>IFERROR(__xludf.DUMMYFUNCTION("""COMPUTED_VALUE"""),"-")</f>
        <v>-</v>
      </c>
      <c r="AN1494" s="97" t="str">
        <f>IFERROR(__xludf.DUMMYFUNCTION("""COMPUTED_VALUE"""),"25.000hs (L70)")</f>
        <v>25.000hs (L70)</v>
      </c>
      <c r="AO1494" s="97" t="str">
        <f>IFERROR(__xludf.DUMMYFUNCTION("""COMPUTED_VALUE"""),"2 Años")</f>
        <v>2 Años</v>
      </c>
      <c r="AP1494" s="97" t="str">
        <f>IFERROR(__xludf.DUMMYFUNCTION("""COMPUTED_VALUE"""),"Disponible")</f>
        <v>Disponible</v>
      </c>
      <c r="AQ1494" s="97" t="str">
        <f>IFERROR(__xludf.DUMMYFUNCTION("""COMPUTED_VALUE"""),"Disponible")</f>
        <v>Disponible</v>
      </c>
      <c r="AR1494" s="97" t="str">
        <f>IFERROR(__xludf.DUMMYFUNCTION("""COMPUTED_VALUE"""),"Disponible")</f>
        <v>Disponible</v>
      </c>
      <c r="AS1494" s="97" t="str">
        <f>IFERROR(__xludf.DUMMYFUNCTION("""COMPUTED_VALUE"""),"Falta")</f>
        <v>Falta</v>
      </c>
      <c r="AT1494" s="97" t="str">
        <f>IFERROR(__xludf.DUMMYFUNCTION("""COMPUTED_VALUE"""),"Falta")</f>
        <v>Falta</v>
      </c>
      <c r="AU1494" s="97" t="str">
        <f>IFERROR(__xludf.DUMMYFUNCTION("""COMPUTED_VALUE"""),"Disponible")</f>
        <v>Disponible</v>
      </c>
      <c r="AV1494" s="97" t="str">
        <f>IFERROR(__xludf.DUMMYFUNCTION("""COMPUTED_VALUE"""),"Colgante")</f>
        <v>Colgante</v>
      </c>
      <c r="AW1494" s="97" t="str">
        <f>IFERROR(__xludf.DUMMYFUNCTION("""COMPUTED_VALUE"""),"Rieles")</f>
        <v>Rieles</v>
      </c>
      <c r="AX1494" s="97" t="str">
        <f>IFERROR(__xludf.DUMMYFUNCTION("""COMPUTED_VALUE"""),"Interior")</f>
        <v>Interior</v>
      </c>
      <c r="AY1494" s="97" t="str">
        <f>IFERROR(__xludf.DUMMYFUNCTION("""COMPUTED_VALUE"""),"-")</f>
        <v>-</v>
      </c>
      <c r="AZ1494" s="97" t="str">
        <f>IFERROR(__xludf.DUMMYFUNCTION("""COMPUTED_VALUE"""),"-")</f>
        <v>-</v>
      </c>
      <c r="BA1494" s="97"/>
      <c r="BB1494" s="97"/>
      <c r="BC1494" s="97"/>
      <c r="BD1494" s="97" t="str">
        <f>IFERROR(__xludf.DUMMYFUNCTION("""COMPUTED_VALUE"""),"POLAR BEAM")</f>
        <v>POLAR BEAM</v>
      </c>
      <c r="BE1494" s="97"/>
      <c r="BF1494" s="97"/>
      <c r="BG1494" s="97" t="str">
        <f>IFERROR(__xludf.DUMMYFUNCTION("""COMPUTED_VALUE"""),"REPO 7")</f>
        <v>REPO 7</v>
      </c>
    </row>
    <row r="1495">
      <c r="A1495" s="97">
        <f>IFERROR(__xludf.DUMMYFUNCTION("""COMPUTED_VALUE"""),7600.0)</f>
        <v>7600</v>
      </c>
      <c r="B1495" s="97" t="str">
        <f>IFERROR(__xludf.DUMMYFUNCTION("""COMPUTED_VALUE"""),"POLAR BEAM 10W BL 3000K")</f>
        <v>POLAR BEAM 10W BL 3000K</v>
      </c>
      <c r="C1495" s="97" t="str">
        <f>IFERROR(__xludf.DUMMYFUNCTION("""COMPUTED_VALUE"""),"COLGANTE POLAR BEAM 10W BL 3000K 10W 3000K 780LM CRI&gt;90 IP20 LEUK")</f>
        <v>COLGANTE POLAR BEAM 10W BL 3000K 10W 3000K 780LM CRI&gt;90 IP20 LEUK</v>
      </c>
      <c r="D1495" s="97">
        <f>IFERROR(__xludf.DUMMYFUNCTION("""COMPUTED_VALUE"""),7.798485460565E12)</f>
        <v>7798485460565</v>
      </c>
      <c r="E1495" s="97" t="str">
        <f>IFERROR(__xludf.DUMMYFUNCTION("""COMPUTED_VALUE"""),"-")</f>
        <v>-</v>
      </c>
      <c r="F1495" s="97" t="str">
        <f>IFERROR(__xludf.DUMMYFUNCTION("""COMPUTED_VALUE"""),"LED integrado")</f>
        <v>LED integrado</v>
      </c>
      <c r="G1495" s="97" t="str">
        <f>IFERROR(__xludf.DUMMYFUNCTION("""COMPUTED_VALUE"""),"-")</f>
        <v>-</v>
      </c>
      <c r="H1495" s="97" t="str">
        <f>IFERROR(__xludf.DUMMYFUNCTION("""COMPUTED_VALUE"""),"N/A")</f>
        <v>N/A</v>
      </c>
      <c r="I1495" s="97" t="str">
        <f>IFERROR(__xludf.DUMMYFUNCTION("""COMPUTED_VALUE"""),"N/A")</f>
        <v>N/A</v>
      </c>
      <c r="J1495" s="97" t="str">
        <f>IFERROR(__xludf.DUMMYFUNCTION("""COMPUTED_VALUE"""),"N/A")</f>
        <v>N/A</v>
      </c>
      <c r="K1495" s="97" t="str">
        <f>IFERROR(__xludf.DUMMYFUNCTION("""COMPUTED_VALUE"""),"ON/OFF")</f>
        <v>ON/OFF</v>
      </c>
      <c r="L1495" s="97" t="str">
        <f>IFERROR(__xludf.DUMMYFUNCTION("""COMPUTED_VALUE"""),"48Vdc")</f>
        <v>48Vdc</v>
      </c>
      <c r="M1495" s="97" t="str">
        <f>IFERROR(__xludf.DUMMYFUNCTION("""COMPUTED_VALUE"""),"N/A")</f>
        <v>N/A</v>
      </c>
      <c r="N1495" s="97"/>
      <c r="O1495" s="97">
        <f>IFERROR(__xludf.DUMMYFUNCTION("""COMPUTED_VALUE"""),10.0)</f>
        <v>10</v>
      </c>
      <c r="P1495" s="97">
        <f>IFERROR(__xludf.DUMMYFUNCTION("""COMPUTED_VALUE"""),11.06)</f>
        <v>11.06</v>
      </c>
      <c r="Q1495" s="97" t="str">
        <f>IFERROR(__xludf.DUMMYFUNCTION("""COMPUTED_VALUE"""),"N/A")</f>
        <v>N/A</v>
      </c>
      <c r="R1495" s="97" t="str">
        <f>IFERROR(__xludf.DUMMYFUNCTION("""COMPUTED_VALUE"""),"-")</f>
        <v>-</v>
      </c>
      <c r="S1495" s="97" t="str">
        <f>IFERROR(__xludf.DUMMYFUNCTION("""COMPUTED_VALUE"""),"-")</f>
        <v>-</v>
      </c>
      <c r="T1495" s="97">
        <f>IFERROR(__xludf.DUMMYFUNCTION("""COMPUTED_VALUE"""),780.0)</f>
        <v>780</v>
      </c>
      <c r="U1495" s="97">
        <f>IFERROR(__xludf.DUMMYFUNCTION("""COMPUTED_VALUE"""),78.0)</f>
        <v>78</v>
      </c>
      <c r="V1495" s="97">
        <f>IFERROR(__xludf.DUMMYFUNCTION("""COMPUTED_VALUE"""),38.0)</f>
        <v>38</v>
      </c>
      <c r="W1495" s="97" t="str">
        <f>IFERROR(__xludf.DUMMYFUNCTION("""COMPUTED_VALUE"""),"&lt; 25")</f>
        <v>&lt; 25</v>
      </c>
      <c r="X1495" s="97">
        <f>IFERROR(__xludf.DUMMYFUNCTION("""COMPUTED_VALUE"""),3000.0)</f>
        <v>3000</v>
      </c>
      <c r="Y1495" s="97" t="str">
        <f>IFERROR(__xludf.DUMMYFUNCTION("""COMPUTED_VALUE"""),"&gt;90")</f>
        <v>&gt;90</v>
      </c>
      <c r="Z1495" s="97" t="str">
        <f>IFERROR(__xludf.DUMMYFUNCTION("""COMPUTED_VALUE"""),"&gt;90")</f>
        <v>&gt;90</v>
      </c>
      <c r="AA1495" s="97" t="str">
        <f>IFERROR(__xludf.DUMMYFUNCTION("""COMPUTED_VALUE"""),"90-99 (Leve desaturación)")</f>
        <v>90-99 (Leve desaturación)</v>
      </c>
      <c r="AB1495" s="97" t="str">
        <f>IFERROR(__xludf.DUMMYFUNCTION("""COMPUTED_VALUE"""),"&lt; 5")</f>
        <v>&lt; 5</v>
      </c>
      <c r="AC1495" s="97">
        <f>IFERROR(__xludf.DUMMYFUNCTION("""COMPUTED_VALUE"""),-9.6E-4)</f>
        <v>-0.00096</v>
      </c>
      <c r="AD1495" s="97" t="str">
        <f>IFERROR(__xludf.DUMMYFUNCTION("""COMPUTED_VALUE"""),"IP20")</f>
        <v>IP20</v>
      </c>
      <c r="AE1495" s="97" t="str">
        <f>IFERROR(__xludf.DUMMYFUNCTION("""COMPUTED_VALUE"""),"Clase lll")</f>
        <v>Clase lll</v>
      </c>
      <c r="AF1495" s="97" t="str">
        <f>IFERROR(__xludf.DUMMYFUNCTION("""COMPUTED_VALUE"""),"Riel")</f>
        <v>Riel</v>
      </c>
      <c r="AG1495" s="97" t="str">
        <f>IFERROR(__xludf.DUMMYFUNCTION("""COMPUTED_VALUE"""),"Ø40 x 300")</f>
        <v>Ø40 x 300</v>
      </c>
      <c r="AH1495" s="97" t="str">
        <f>IFERROR(__xludf.DUMMYFUNCTION("""COMPUTED_VALUE"""),"N/A")</f>
        <v>N/A</v>
      </c>
      <c r="AI1495" s="97" t="str">
        <f>IFERROR(__xludf.DUMMYFUNCTION("""COMPUTED_VALUE"""),"N/A")</f>
        <v>N/A</v>
      </c>
      <c r="AJ1495" s="97" t="str">
        <f>IFERROR(__xludf.DUMMYFUNCTION("""COMPUTED_VALUE"""),"PMMA")</f>
        <v>PMMA</v>
      </c>
      <c r="AK1495" s="97" t="str">
        <f>IFERROR(__xludf.DUMMYFUNCTION("""COMPUTED_VALUE"""),"Aluminio")</f>
        <v>Aluminio</v>
      </c>
      <c r="AL1495" s="97" t="str">
        <f>IFERROR(__xludf.DUMMYFUNCTION("""COMPUTED_VALUE"""),"Blanco Satinado")</f>
        <v>Blanco Satinado</v>
      </c>
      <c r="AM1495" s="97" t="str">
        <f>IFERROR(__xludf.DUMMYFUNCTION("""COMPUTED_VALUE"""),"-")</f>
        <v>-</v>
      </c>
      <c r="AN1495" s="97" t="str">
        <f>IFERROR(__xludf.DUMMYFUNCTION("""COMPUTED_VALUE"""),"25.000hs (L70)")</f>
        <v>25.000hs (L70)</v>
      </c>
      <c r="AO1495" s="97" t="str">
        <f>IFERROR(__xludf.DUMMYFUNCTION("""COMPUTED_VALUE"""),"2 Años")</f>
        <v>2 Años</v>
      </c>
      <c r="AP1495" s="97" t="str">
        <f>IFERROR(__xludf.DUMMYFUNCTION("""COMPUTED_VALUE"""),"Disponible")</f>
        <v>Disponible</v>
      </c>
      <c r="AQ1495" s="97" t="str">
        <f>IFERROR(__xludf.DUMMYFUNCTION("""COMPUTED_VALUE"""),"Disponible")</f>
        <v>Disponible</v>
      </c>
      <c r="AR1495" s="97" t="str">
        <f>IFERROR(__xludf.DUMMYFUNCTION("""COMPUTED_VALUE"""),"Disponible")</f>
        <v>Disponible</v>
      </c>
      <c r="AS1495" s="97" t="str">
        <f>IFERROR(__xludf.DUMMYFUNCTION("""COMPUTED_VALUE"""),"Falta")</f>
        <v>Falta</v>
      </c>
      <c r="AT1495" s="97" t="str">
        <f>IFERROR(__xludf.DUMMYFUNCTION("""COMPUTED_VALUE"""),"Falta")</f>
        <v>Falta</v>
      </c>
      <c r="AU1495" s="97" t="str">
        <f>IFERROR(__xludf.DUMMYFUNCTION("""COMPUTED_VALUE"""),"Disponible")</f>
        <v>Disponible</v>
      </c>
      <c r="AV1495" s="97" t="str">
        <f>IFERROR(__xludf.DUMMYFUNCTION("""COMPUTED_VALUE"""),"Colgante")</f>
        <v>Colgante</v>
      </c>
      <c r="AW1495" s="97" t="str">
        <f>IFERROR(__xludf.DUMMYFUNCTION("""COMPUTED_VALUE"""),"Rieles")</f>
        <v>Rieles</v>
      </c>
      <c r="AX1495" s="97" t="str">
        <f>IFERROR(__xludf.DUMMYFUNCTION("""COMPUTED_VALUE"""),"Interior")</f>
        <v>Interior</v>
      </c>
      <c r="AY1495" s="97" t="str">
        <f>IFERROR(__xludf.DUMMYFUNCTION("""COMPUTED_VALUE"""),"-")</f>
        <v>-</v>
      </c>
      <c r="AZ1495" s="97" t="str">
        <f>IFERROR(__xludf.DUMMYFUNCTION("""COMPUTED_VALUE"""),"-")</f>
        <v>-</v>
      </c>
      <c r="BA1495" s="97"/>
      <c r="BB1495" s="97"/>
      <c r="BC1495" s="97"/>
      <c r="BD1495" s="97" t="str">
        <f>IFERROR(__xludf.DUMMYFUNCTION("""COMPUTED_VALUE"""),"POLAR BEAM")</f>
        <v>POLAR BEAM</v>
      </c>
      <c r="BE1495" s="97"/>
      <c r="BF1495" s="97"/>
      <c r="BG1495" s="97" t="str">
        <f>IFERROR(__xludf.DUMMYFUNCTION("""COMPUTED_VALUE"""),"REPO 7")</f>
        <v>REPO 7</v>
      </c>
    </row>
    <row r="1496">
      <c r="A1496" s="97">
        <f>IFERROR(__xludf.DUMMYFUNCTION("""COMPUTED_VALUE"""),7601.0)</f>
        <v>7601</v>
      </c>
      <c r="B1496" s="97" t="str">
        <f>IFERROR(__xludf.DUMMYFUNCTION("""COMPUTED_VALUE"""),"POLAR SOUND NG")</f>
        <v>POLAR SOUND NG</v>
      </c>
      <c r="C1496" s="97" t="str">
        <f>IFERROR(__xludf.DUMMYFUNCTION("""COMPUTED_VALUE"""),"CABEZAL POLAR SOUND NG 5W IP20 LEUK")</f>
        <v>CABEZAL POLAR SOUND NG 5W IP20 LEUK</v>
      </c>
      <c r="D1496" s="97">
        <f>IFERROR(__xludf.DUMMYFUNCTION("""COMPUTED_VALUE"""),7.798485460572E12)</f>
        <v>7798485460572</v>
      </c>
      <c r="E1496" s="97" t="str">
        <f>IFERROR(__xludf.DUMMYFUNCTION("""COMPUTED_VALUE"""),"-")</f>
        <v>-</v>
      </c>
      <c r="F1496" s="97" t="str">
        <f>IFERROR(__xludf.DUMMYFUNCTION("""COMPUTED_VALUE"""),"N/A")</f>
        <v>N/A</v>
      </c>
      <c r="G1496" s="97" t="str">
        <f>IFERROR(__xludf.DUMMYFUNCTION("""COMPUTED_VALUE"""),"N/A")</f>
        <v>N/A</v>
      </c>
      <c r="H1496" s="97" t="str">
        <f>IFERROR(__xludf.DUMMYFUNCTION("""COMPUTED_VALUE"""),"N/A")</f>
        <v>N/A</v>
      </c>
      <c r="I1496" s="97" t="str">
        <f>IFERROR(__xludf.DUMMYFUNCTION("""COMPUTED_VALUE"""),"N/A")</f>
        <v>N/A</v>
      </c>
      <c r="J1496" s="97" t="str">
        <f>IFERROR(__xludf.DUMMYFUNCTION("""COMPUTED_VALUE"""),"N/A")</f>
        <v>N/A</v>
      </c>
      <c r="K1496" s="97" t="str">
        <f>IFERROR(__xludf.DUMMYFUNCTION("""COMPUTED_VALUE"""),"Bluetooth")</f>
        <v>Bluetooth</v>
      </c>
      <c r="L1496" s="97" t="str">
        <f>IFERROR(__xludf.DUMMYFUNCTION("""COMPUTED_VALUE"""),"48Vdc")</f>
        <v>48Vdc</v>
      </c>
      <c r="M1496" s="97" t="str">
        <f>IFERROR(__xludf.DUMMYFUNCTION("""COMPUTED_VALUE"""),"N/A")</f>
        <v>N/A</v>
      </c>
      <c r="N1496" s="97" t="str">
        <f>IFERROR(__xludf.DUMMYFUNCTION("""COMPUTED_VALUE"""),"N/A")</f>
        <v>N/A</v>
      </c>
      <c r="O1496" s="97">
        <f>IFERROR(__xludf.DUMMYFUNCTION("""COMPUTED_VALUE"""),5.0)</f>
        <v>5</v>
      </c>
      <c r="P1496" s="97"/>
      <c r="Q1496" s="97" t="str">
        <f>IFERROR(__xludf.DUMMYFUNCTION("""COMPUTED_VALUE"""),"N/A")</f>
        <v>N/A</v>
      </c>
      <c r="R1496" s="97" t="str">
        <f>IFERROR(__xludf.DUMMYFUNCTION("""COMPUTED_VALUE"""),"N/A")</f>
        <v>N/A</v>
      </c>
      <c r="S1496" s="97" t="str">
        <f>IFERROR(__xludf.DUMMYFUNCTION("""COMPUTED_VALUE"""),"N/A")</f>
        <v>N/A</v>
      </c>
      <c r="T1496" s="97" t="str">
        <f>IFERROR(__xludf.DUMMYFUNCTION("""COMPUTED_VALUE"""),"N/A")</f>
        <v>N/A</v>
      </c>
      <c r="U1496" s="97" t="str">
        <f>IFERROR(__xludf.DUMMYFUNCTION("""COMPUTED_VALUE"""),"N/A")</f>
        <v>N/A</v>
      </c>
      <c r="V1496" s="97" t="str">
        <f>IFERROR(__xludf.DUMMYFUNCTION("""COMPUTED_VALUE"""),"N/A")</f>
        <v>N/A</v>
      </c>
      <c r="W1496" s="97" t="str">
        <f>IFERROR(__xludf.DUMMYFUNCTION("""COMPUTED_VALUE"""),"N/A")</f>
        <v>N/A</v>
      </c>
      <c r="X1496" s="97" t="str">
        <f>IFERROR(__xludf.DUMMYFUNCTION("""COMPUTED_VALUE"""),"N/A")</f>
        <v>N/A</v>
      </c>
      <c r="Y1496" s="97" t="str">
        <f>IFERROR(__xludf.DUMMYFUNCTION("""COMPUTED_VALUE"""),"N/A")</f>
        <v>N/A</v>
      </c>
      <c r="Z1496" s="97" t="str">
        <f>IFERROR(__xludf.DUMMYFUNCTION("""COMPUTED_VALUE"""),"N/A")</f>
        <v>N/A</v>
      </c>
      <c r="AA1496" s="97" t="str">
        <f>IFERROR(__xludf.DUMMYFUNCTION("""COMPUTED_VALUE"""),"N/A")</f>
        <v>N/A</v>
      </c>
      <c r="AB1496" s="97" t="str">
        <f>IFERROR(__xludf.DUMMYFUNCTION("""COMPUTED_VALUE"""),"N/A")</f>
        <v>N/A</v>
      </c>
      <c r="AC1496" s="97" t="str">
        <f>IFERROR(__xludf.DUMMYFUNCTION("""COMPUTED_VALUE"""),"N/A")</f>
        <v>N/A</v>
      </c>
      <c r="AD1496" s="97" t="str">
        <f>IFERROR(__xludf.DUMMYFUNCTION("""COMPUTED_VALUE"""),"IP20")</f>
        <v>IP20</v>
      </c>
      <c r="AE1496" s="97" t="str">
        <f>IFERROR(__xludf.DUMMYFUNCTION("""COMPUTED_VALUE"""),"Clase lll")</f>
        <v>Clase lll</v>
      </c>
      <c r="AF1496" s="97" t="str">
        <f>IFERROR(__xludf.DUMMYFUNCTION("""COMPUTED_VALUE"""),"Riel")</f>
        <v>Riel</v>
      </c>
      <c r="AG1496" s="97" t="str">
        <f>IFERROR(__xludf.DUMMYFUNCTION("""COMPUTED_VALUE"""),"Ø65 x 80 (50 x 50)")</f>
        <v>Ø65 x 80 (50 x 50)</v>
      </c>
      <c r="AH1496" s="97" t="str">
        <f>IFERROR(__xludf.DUMMYFUNCTION("""COMPUTED_VALUE"""),"N/A")</f>
        <v>N/A</v>
      </c>
      <c r="AI1496" s="97" t="str">
        <f>IFERROR(__xludf.DUMMYFUNCTION("""COMPUTED_VALUE"""),"N/A")</f>
        <v>N/A</v>
      </c>
      <c r="AJ1496" s="97" t="str">
        <f>IFERROR(__xludf.DUMMYFUNCTION("""COMPUTED_VALUE"""),"N/A")</f>
        <v>N/A</v>
      </c>
      <c r="AK1496" s="97" t="str">
        <f>IFERROR(__xludf.DUMMYFUNCTION("""COMPUTED_VALUE"""),"Aluminio")</f>
        <v>Aluminio</v>
      </c>
      <c r="AL1496" s="97" t="str">
        <f>IFERROR(__xludf.DUMMYFUNCTION("""COMPUTED_VALUE"""),"Negro Satinado")</f>
        <v>Negro Satinado</v>
      </c>
      <c r="AM1496" s="97" t="str">
        <f>IFERROR(__xludf.DUMMYFUNCTION("""COMPUTED_VALUE"""),"-")</f>
        <v>-</v>
      </c>
      <c r="AN1496" s="97" t="str">
        <f>IFERROR(__xludf.DUMMYFUNCTION("""COMPUTED_VALUE"""),"25.000hs (L70)")</f>
        <v>25.000hs (L70)</v>
      </c>
      <c r="AO1496" s="97" t="str">
        <f>IFERROR(__xludf.DUMMYFUNCTION("""COMPUTED_VALUE"""),"2 Años")</f>
        <v>2 Años</v>
      </c>
      <c r="AP1496" s="97" t="str">
        <f>IFERROR(__xludf.DUMMYFUNCTION("""COMPUTED_VALUE"""),"No Aplica")</f>
        <v>No Aplica</v>
      </c>
      <c r="AQ1496" s="97" t="str">
        <f>IFERROR(__xludf.DUMMYFUNCTION("""COMPUTED_VALUE"""),"No Aplica")</f>
        <v>No Aplica</v>
      </c>
      <c r="AR1496" s="97" t="str">
        <f>IFERROR(__xludf.DUMMYFUNCTION("""COMPUTED_VALUE"""),"No Aplica")</f>
        <v>No Aplica</v>
      </c>
      <c r="AS1496" s="97" t="str">
        <f>IFERROR(__xludf.DUMMYFUNCTION("""COMPUTED_VALUE"""),"Falta")</f>
        <v>Falta</v>
      </c>
      <c r="AT1496" s="97" t="str">
        <f>IFERROR(__xludf.DUMMYFUNCTION("""COMPUTED_VALUE"""),"Falta")</f>
        <v>Falta</v>
      </c>
      <c r="AU1496" s="97" t="str">
        <f>IFERROR(__xludf.DUMMYFUNCTION("""COMPUTED_VALUE"""),"Disponible")</f>
        <v>Disponible</v>
      </c>
      <c r="AV1496" s="97" t="str">
        <f>IFERROR(__xludf.DUMMYFUNCTION("""COMPUTED_VALUE"""),"Cabezal")</f>
        <v>Cabezal</v>
      </c>
      <c r="AW1496" s="97" t="str">
        <f>IFERROR(__xludf.DUMMYFUNCTION("""COMPUTED_VALUE"""),"Rieles")</f>
        <v>Rieles</v>
      </c>
      <c r="AX1496" s="97" t="str">
        <f>IFERROR(__xludf.DUMMYFUNCTION("""COMPUTED_VALUE"""),"Interior")</f>
        <v>Interior</v>
      </c>
      <c r="AY1496" s="97" t="str">
        <f>IFERROR(__xludf.DUMMYFUNCTION("""COMPUTED_VALUE"""),"-")</f>
        <v>-</v>
      </c>
      <c r="AZ1496" s="97" t="str">
        <f>IFERROR(__xludf.DUMMYFUNCTION("""COMPUTED_VALUE"""),"Permiten configurar una unidad como Maestro (Main) y vincular hasta 5 unidades Esclavo.
Especificaciones del Parlante:
Impedancia y Potencia: 4 Ω, 5 W nominal (Máximo 6 W)
Respuesta en frecuencia: 150 Hz – 18 kHz
Sensibilidad: 80 ± 3 dB (1W / 1m)
Tipo: Ra"&amp;"ngo completo Monofónico
Bobina móvil: Hilo de cobre con soporte resistente al calor KSV")</f>
        <v>Permiten configurar una unidad como Maestro (Main) y vincular hasta 5 unidades Esclavo.
Especificaciones del Parlante:
Impedancia y Potencia: 4 Ω, 5 W nominal (Máximo 6 W)
Respuesta en frecuencia: 150 Hz – 18 kHz
Sensibilidad: 80 ± 3 dB (1W / 1m)
Tipo: Rango completo Monofónico
Bobina móvil: Hilo de cobre con soporte resistente al calor KSV</v>
      </c>
      <c r="BA1496" s="97"/>
      <c r="BB1496" s="97"/>
      <c r="BC1496" s="97"/>
      <c r="BD1496" s="97" t="str">
        <f>IFERROR(__xludf.DUMMYFUNCTION("""COMPUTED_VALUE"""),"POLAR SOUND")</f>
        <v>POLAR SOUND</v>
      </c>
      <c r="BE1496" s="97"/>
      <c r="BF1496" s="97"/>
      <c r="BG1496" s="97" t="str">
        <f>IFERROR(__xludf.DUMMYFUNCTION("""COMPUTED_VALUE"""),"REPO 7")</f>
        <v>REPO 7</v>
      </c>
    </row>
    <row r="1497">
      <c r="A1497" s="97">
        <f>IFERROR(__xludf.DUMMYFUNCTION("""COMPUTED_VALUE"""),7602.0)</f>
        <v>7602</v>
      </c>
      <c r="B1497" s="97" t="str">
        <f>IFERROR(__xludf.DUMMYFUNCTION("""COMPUTED_VALUE"""),"POLAR SOUND BL")</f>
        <v>POLAR SOUND BL</v>
      </c>
      <c r="C1497" s="97" t="str">
        <f>IFERROR(__xludf.DUMMYFUNCTION("""COMPUTED_VALUE"""),"CABEZAL POLAR SOUND BL 5W IP20 LEUK")</f>
        <v>CABEZAL POLAR SOUND BL 5W IP20 LEUK</v>
      </c>
      <c r="D1497" s="97">
        <f>IFERROR(__xludf.DUMMYFUNCTION("""COMPUTED_VALUE"""),7.798485460589E12)</f>
        <v>7798485460589</v>
      </c>
      <c r="E1497" s="97" t="str">
        <f>IFERROR(__xludf.DUMMYFUNCTION("""COMPUTED_VALUE"""),"-")</f>
        <v>-</v>
      </c>
      <c r="F1497" s="97" t="str">
        <f>IFERROR(__xludf.DUMMYFUNCTION("""COMPUTED_VALUE"""),"N/A")</f>
        <v>N/A</v>
      </c>
      <c r="G1497" s="97" t="str">
        <f>IFERROR(__xludf.DUMMYFUNCTION("""COMPUTED_VALUE"""),"N/A")</f>
        <v>N/A</v>
      </c>
      <c r="H1497" s="97" t="str">
        <f>IFERROR(__xludf.DUMMYFUNCTION("""COMPUTED_VALUE"""),"N/A")</f>
        <v>N/A</v>
      </c>
      <c r="I1497" s="97" t="str">
        <f>IFERROR(__xludf.DUMMYFUNCTION("""COMPUTED_VALUE"""),"N/A")</f>
        <v>N/A</v>
      </c>
      <c r="J1497" s="97" t="str">
        <f>IFERROR(__xludf.DUMMYFUNCTION("""COMPUTED_VALUE"""),"N/A")</f>
        <v>N/A</v>
      </c>
      <c r="K1497" s="97" t="str">
        <f>IFERROR(__xludf.DUMMYFUNCTION("""COMPUTED_VALUE"""),"Bluetooth")</f>
        <v>Bluetooth</v>
      </c>
      <c r="L1497" s="97" t="str">
        <f>IFERROR(__xludf.DUMMYFUNCTION("""COMPUTED_VALUE"""),"48Vdc")</f>
        <v>48Vdc</v>
      </c>
      <c r="M1497" s="97" t="str">
        <f>IFERROR(__xludf.DUMMYFUNCTION("""COMPUTED_VALUE"""),"N/A")</f>
        <v>N/A</v>
      </c>
      <c r="N1497" s="97" t="str">
        <f>IFERROR(__xludf.DUMMYFUNCTION("""COMPUTED_VALUE"""),"N/A")</f>
        <v>N/A</v>
      </c>
      <c r="O1497" s="97">
        <f>IFERROR(__xludf.DUMMYFUNCTION("""COMPUTED_VALUE"""),5.0)</f>
        <v>5</v>
      </c>
      <c r="P1497" s="97"/>
      <c r="Q1497" s="97" t="str">
        <f>IFERROR(__xludf.DUMMYFUNCTION("""COMPUTED_VALUE"""),"N/A")</f>
        <v>N/A</v>
      </c>
      <c r="R1497" s="97" t="str">
        <f>IFERROR(__xludf.DUMMYFUNCTION("""COMPUTED_VALUE"""),"N/A")</f>
        <v>N/A</v>
      </c>
      <c r="S1497" s="97" t="str">
        <f>IFERROR(__xludf.DUMMYFUNCTION("""COMPUTED_VALUE"""),"N/A")</f>
        <v>N/A</v>
      </c>
      <c r="T1497" s="97" t="str">
        <f>IFERROR(__xludf.DUMMYFUNCTION("""COMPUTED_VALUE"""),"N/A")</f>
        <v>N/A</v>
      </c>
      <c r="U1497" s="97" t="str">
        <f>IFERROR(__xludf.DUMMYFUNCTION("""COMPUTED_VALUE"""),"N/A")</f>
        <v>N/A</v>
      </c>
      <c r="V1497" s="97" t="str">
        <f>IFERROR(__xludf.DUMMYFUNCTION("""COMPUTED_VALUE"""),"N/A")</f>
        <v>N/A</v>
      </c>
      <c r="W1497" s="97" t="str">
        <f>IFERROR(__xludf.DUMMYFUNCTION("""COMPUTED_VALUE"""),"N/A")</f>
        <v>N/A</v>
      </c>
      <c r="X1497" s="97" t="str">
        <f>IFERROR(__xludf.DUMMYFUNCTION("""COMPUTED_VALUE"""),"N/A")</f>
        <v>N/A</v>
      </c>
      <c r="Y1497" s="97" t="str">
        <f>IFERROR(__xludf.DUMMYFUNCTION("""COMPUTED_VALUE"""),"N/A")</f>
        <v>N/A</v>
      </c>
      <c r="Z1497" s="97" t="str">
        <f>IFERROR(__xludf.DUMMYFUNCTION("""COMPUTED_VALUE"""),"N/A")</f>
        <v>N/A</v>
      </c>
      <c r="AA1497" s="97" t="str">
        <f>IFERROR(__xludf.DUMMYFUNCTION("""COMPUTED_VALUE"""),"N/A")</f>
        <v>N/A</v>
      </c>
      <c r="AB1497" s="97" t="str">
        <f>IFERROR(__xludf.DUMMYFUNCTION("""COMPUTED_VALUE"""),"N/A")</f>
        <v>N/A</v>
      </c>
      <c r="AC1497" s="97" t="str">
        <f>IFERROR(__xludf.DUMMYFUNCTION("""COMPUTED_VALUE"""),"N/A")</f>
        <v>N/A</v>
      </c>
      <c r="AD1497" s="97" t="str">
        <f>IFERROR(__xludf.DUMMYFUNCTION("""COMPUTED_VALUE"""),"IP20")</f>
        <v>IP20</v>
      </c>
      <c r="AE1497" s="97" t="str">
        <f>IFERROR(__xludf.DUMMYFUNCTION("""COMPUTED_VALUE"""),"Clase lll")</f>
        <v>Clase lll</v>
      </c>
      <c r="AF1497" s="97" t="str">
        <f>IFERROR(__xludf.DUMMYFUNCTION("""COMPUTED_VALUE"""),"Riel")</f>
        <v>Riel</v>
      </c>
      <c r="AG1497" s="97" t="str">
        <f>IFERROR(__xludf.DUMMYFUNCTION("""COMPUTED_VALUE"""),"Ø65 x 80 (50 x 50)")</f>
        <v>Ø65 x 80 (50 x 50)</v>
      </c>
      <c r="AH1497" s="97" t="str">
        <f>IFERROR(__xludf.DUMMYFUNCTION("""COMPUTED_VALUE"""),"N/A")</f>
        <v>N/A</v>
      </c>
      <c r="AI1497" s="97" t="str">
        <f>IFERROR(__xludf.DUMMYFUNCTION("""COMPUTED_VALUE"""),"N/A")</f>
        <v>N/A</v>
      </c>
      <c r="AJ1497" s="97" t="str">
        <f>IFERROR(__xludf.DUMMYFUNCTION("""COMPUTED_VALUE"""),"N/A")</f>
        <v>N/A</v>
      </c>
      <c r="AK1497" s="97" t="str">
        <f>IFERROR(__xludf.DUMMYFUNCTION("""COMPUTED_VALUE"""),"Aluminio")</f>
        <v>Aluminio</v>
      </c>
      <c r="AL1497" s="97" t="str">
        <f>IFERROR(__xludf.DUMMYFUNCTION("""COMPUTED_VALUE"""),"Blanco Satinado")</f>
        <v>Blanco Satinado</v>
      </c>
      <c r="AM1497" s="97" t="str">
        <f>IFERROR(__xludf.DUMMYFUNCTION("""COMPUTED_VALUE"""),"-")</f>
        <v>-</v>
      </c>
      <c r="AN1497" s="97" t="str">
        <f>IFERROR(__xludf.DUMMYFUNCTION("""COMPUTED_VALUE"""),"25.000hs (L70)")</f>
        <v>25.000hs (L70)</v>
      </c>
      <c r="AO1497" s="97" t="str">
        <f>IFERROR(__xludf.DUMMYFUNCTION("""COMPUTED_VALUE"""),"2 Años")</f>
        <v>2 Años</v>
      </c>
      <c r="AP1497" s="97" t="str">
        <f>IFERROR(__xludf.DUMMYFUNCTION("""COMPUTED_VALUE"""),"No Aplica")</f>
        <v>No Aplica</v>
      </c>
      <c r="AQ1497" s="97" t="str">
        <f>IFERROR(__xludf.DUMMYFUNCTION("""COMPUTED_VALUE"""),"No Aplica")</f>
        <v>No Aplica</v>
      </c>
      <c r="AR1497" s="97" t="str">
        <f>IFERROR(__xludf.DUMMYFUNCTION("""COMPUTED_VALUE"""),"No Aplica")</f>
        <v>No Aplica</v>
      </c>
      <c r="AS1497" s="97" t="str">
        <f>IFERROR(__xludf.DUMMYFUNCTION("""COMPUTED_VALUE"""),"Falta")</f>
        <v>Falta</v>
      </c>
      <c r="AT1497" s="97" t="str">
        <f>IFERROR(__xludf.DUMMYFUNCTION("""COMPUTED_VALUE"""),"Falta")</f>
        <v>Falta</v>
      </c>
      <c r="AU1497" s="97" t="str">
        <f>IFERROR(__xludf.DUMMYFUNCTION("""COMPUTED_VALUE"""),"Disponible")</f>
        <v>Disponible</v>
      </c>
      <c r="AV1497" s="97" t="str">
        <f>IFERROR(__xludf.DUMMYFUNCTION("""COMPUTED_VALUE"""),"Cabezal")</f>
        <v>Cabezal</v>
      </c>
      <c r="AW1497" s="97" t="str">
        <f>IFERROR(__xludf.DUMMYFUNCTION("""COMPUTED_VALUE"""),"Rieles")</f>
        <v>Rieles</v>
      </c>
      <c r="AX1497" s="97" t="str">
        <f>IFERROR(__xludf.DUMMYFUNCTION("""COMPUTED_VALUE"""),"Interior")</f>
        <v>Interior</v>
      </c>
      <c r="AY1497" s="97" t="str">
        <f>IFERROR(__xludf.DUMMYFUNCTION("""COMPUTED_VALUE"""),"-")</f>
        <v>-</v>
      </c>
      <c r="AZ1497" s="97" t="str">
        <f>IFERROR(__xludf.DUMMYFUNCTION("""COMPUTED_VALUE"""),"Permiten configurar una unidad como Maestro (Main) y vincular hasta 5 unidades Esclavo.
Especificaciones del Parlante:
Impedancia y Potencia: 4 Ω, 5 W nominal (Máximo 6 W)
Respuesta en frecuencia: 150 Hz – 18 kHz
Sensibilidad: 80 ± 3 dB (1W / 1m)
Tipo: Ra"&amp;"ngo completo Monofónico
Bobina móvil: Hilo de cobre con soporte resistente al calor KSV")</f>
        <v>Permiten configurar una unidad como Maestro (Main) y vincular hasta 5 unidades Esclavo.
Especificaciones del Parlante:
Impedancia y Potencia: 4 Ω, 5 W nominal (Máximo 6 W)
Respuesta en frecuencia: 150 Hz – 18 kHz
Sensibilidad: 80 ± 3 dB (1W / 1m)
Tipo: Rango completo Monofónico
Bobina móvil: Hilo de cobre con soporte resistente al calor KSV</v>
      </c>
      <c r="BA1497" s="97"/>
      <c r="BB1497" s="97"/>
      <c r="BC1497" s="97"/>
      <c r="BD1497" s="97" t="str">
        <f>IFERROR(__xludf.DUMMYFUNCTION("""COMPUTED_VALUE"""),"POLAR SOUND")</f>
        <v>POLAR SOUND</v>
      </c>
      <c r="BE1497" s="97"/>
      <c r="BF1497" s="97"/>
      <c r="BG1497" s="97" t="str">
        <f>IFERROR(__xludf.DUMMYFUNCTION("""COMPUTED_VALUE"""),"REPO 7")</f>
        <v>REPO 7</v>
      </c>
    </row>
    <row r="1498">
      <c r="A1498" s="97">
        <f>IFERROR(__xludf.DUMMYFUNCTION("""COMPUTED_VALUE"""),7603.0)</f>
        <v>7603</v>
      </c>
      <c r="B1498" s="97" t="str">
        <f>IFERROR(__xludf.DUMMYFUNCTION("""COMPUTED_VALUE"""),"POLAR FOCUS 10W NG 3CCT")</f>
        <v>POLAR FOCUS 10W NG 3CCT</v>
      </c>
      <c r="C1498" s="97" t="str">
        <f>IFERROR(__xludf.DUMMYFUNCTION("""COMPUTED_VALUE"""),"CABEZAL POLAR FOCUS 10W NG 3CCT 10W 2700/3300/4000K 1020LM CRI&gt;90 IP20 LEUK")</f>
        <v>CABEZAL POLAR FOCUS 10W NG 3CCT 10W 2700/3300/4000K 1020LM CRI&gt;90 IP20 LEUK</v>
      </c>
      <c r="D1498" s="97">
        <f>IFERROR(__xludf.DUMMYFUNCTION("""COMPUTED_VALUE"""),7.798485460596E12)</f>
        <v>7798485460596</v>
      </c>
      <c r="E1498" s="97" t="str">
        <f>IFERROR(__xludf.DUMMYFUNCTION("""COMPUTED_VALUE"""),"-")</f>
        <v>-</v>
      </c>
      <c r="F1498" s="97" t="str">
        <f>IFERROR(__xludf.DUMMYFUNCTION("""COMPUTED_VALUE"""),"LED COB")</f>
        <v>LED COB</v>
      </c>
      <c r="G1498" s="97" t="str">
        <f>IFERROR(__xludf.DUMMYFUNCTION("""COMPUTED_VALUE"""),"Bridgelux")</f>
        <v>Bridgelux</v>
      </c>
      <c r="H1498" s="97" t="str">
        <f>IFERROR(__xludf.DUMMYFUNCTION("""COMPUTED_VALUE"""),"N/A")</f>
        <v>N/A</v>
      </c>
      <c r="I1498" s="97" t="str">
        <f>IFERROR(__xludf.DUMMYFUNCTION("""COMPUTED_VALUE"""),"N/A")</f>
        <v>N/A</v>
      </c>
      <c r="J1498" s="97" t="str">
        <f>IFERROR(__xludf.DUMMYFUNCTION("""COMPUTED_VALUE"""),"N/A")</f>
        <v>N/A</v>
      </c>
      <c r="K1498" s="97" t="str">
        <f>IFERROR(__xludf.DUMMYFUNCTION("""COMPUTED_VALUE"""),"Smart / App")</f>
        <v>Smart / App</v>
      </c>
      <c r="L1498" s="97" t="str">
        <f>IFERROR(__xludf.DUMMYFUNCTION("""COMPUTED_VALUE"""),"48Vdc")</f>
        <v>48Vdc</v>
      </c>
      <c r="M1498" s="97" t="str">
        <f>IFERROR(__xludf.DUMMYFUNCTION("""COMPUTED_VALUE"""),"N/A")</f>
        <v>N/A</v>
      </c>
      <c r="N1498" s="97" t="str">
        <f>IFERROR(__xludf.DUMMYFUNCTION("""COMPUTED_VALUE"""),"Directa")</f>
        <v>Directa</v>
      </c>
      <c r="O1498" s="97">
        <f>IFERROR(__xludf.DUMMYFUNCTION("""COMPUTED_VALUE"""),10.0)</f>
        <v>10</v>
      </c>
      <c r="P1498" s="97">
        <f>IFERROR(__xludf.DUMMYFUNCTION("""COMPUTED_VALUE"""),10.73)</f>
        <v>10.73</v>
      </c>
      <c r="Q1498" s="97" t="str">
        <f>IFERROR(__xludf.DUMMYFUNCTION("""COMPUTED_VALUE"""),"N/A")</f>
        <v>N/A</v>
      </c>
      <c r="R1498" s="97" t="str">
        <f>IFERROR(__xludf.DUMMYFUNCTION("""COMPUTED_VALUE"""),"-")</f>
        <v>-</v>
      </c>
      <c r="S1498" s="97" t="str">
        <f>IFERROR(__xludf.DUMMYFUNCTION("""COMPUTED_VALUE"""),"-")</f>
        <v>-</v>
      </c>
      <c r="T1498" s="97">
        <f>IFERROR(__xludf.DUMMYFUNCTION("""COMPUTED_VALUE"""),1020.0)</f>
        <v>1020</v>
      </c>
      <c r="U1498" s="97">
        <f>IFERROR(__xludf.DUMMYFUNCTION("""COMPUTED_VALUE"""),102.0)</f>
        <v>102</v>
      </c>
      <c r="V1498" s="97">
        <f>IFERROR(__xludf.DUMMYFUNCTION("""COMPUTED_VALUE"""),22.0)</f>
        <v>22</v>
      </c>
      <c r="W1498" s="97" t="str">
        <f>IFERROR(__xludf.DUMMYFUNCTION("""COMPUTED_VALUE"""),"&lt; 20")</f>
        <v>&lt; 20</v>
      </c>
      <c r="X1498" s="97" t="str">
        <f>IFERROR(__xludf.DUMMYFUNCTION("""COMPUTED_VALUE"""),"2700/3300/4000")</f>
        <v>2700/3300/4000</v>
      </c>
      <c r="Y1498" s="97" t="str">
        <f>IFERROR(__xludf.DUMMYFUNCTION("""COMPUTED_VALUE"""),"&gt;90")</f>
        <v>&gt;90</v>
      </c>
      <c r="Z1498" s="97" t="str">
        <f>IFERROR(__xludf.DUMMYFUNCTION("""COMPUTED_VALUE"""),"&gt;90")</f>
        <v>&gt;90</v>
      </c>
      <c r="AA1498" s="97" t="str">
        <f>IFERROR(__xludf.DUMMYFUNCTION("""COMPUTED_VALUE"""),"90-99 (Leve desaturación)")</f>
        <v>90-99 (Leve desaturación)</v>
      </c>
      <c r="AB1498" s="97" t="str">
        <f>IFERROR(__xludf.DUMMYFUNCTION("""COMPUTED_VALUE"""),"-")</f>
        <v>-</v>
      </c>
      <c r="AC1498" s="97">
        <f>IFERROR(__xludf.DUMMYFUNCTION("""COMPUTED_VALUE"""),0.0013)</f>
        <v>0.0013</v>
      </c>
      <c r="AD1498" s="97" t="str">
        <f>IFERROR(__xludf.DUMMYFUNCTION("""COMPUTED_VALUE"""),"IP20")</f>
        <v>IP20</v>
      </c>
      <c r="AE1498" s="97" t="str">
        <f>IFERROR(__xludf.DUMMYFUNCTION("""COMPUTED_VALUE"""),"Clase lll")</f>
        <v>Clase lll</v>
      </c>
      <c r="AF1498" s="97" t="str">
        <f>IFERROR(__xludf.DUMMYFUNCTION("""COMPUTED_VALUE"""),"Riel")</f>
        <v>Riel</v>
      </c>
      <c r="AG1498" s="97" t="str">
        <f>IFERROR(__xludf.DUMMYFUNCTION("""COMPUTED_VALUE"""),"Ø80 x 108")</f>
        <v>Ø80 x 108</v>
      </c>
      <c r="AH1498" s="97" t="str">
        <f>IFERROR(__xludf.DUMMYFUNCTION("""COMPUTED_VALUE"""),"N/A")</f>
        <v>N/A</v>
      </c>
      <c r="AI1498" s="97" t="str">
        <f>IFERROR(__xludf.DUMMYFUNCTION("""COMPUTED_VALUE"""),"N/A")</f>
        <v>N/A</v>
      </c>
      <c r="AJ1498" s="97" t="str">
        <f>IFERROR(__xludf.DUMMYFUNCTION("""COMPUTED_VALUE"""),"PMMA")</f>
        <v>PMMA</v>
      </c>
      <c r="AK1498" s="97" t="str">
        <f>IFERROR(__xludf.DUMMYFUNCTION("""COMPUTED_VALUE"""),"Aluminio")</f>
        <v>Aluminio</v>
      </c>
      <c r="AL1498" s="97" t="str">
        <f>IFERROR(__xludf.DUMMYFUNCTION("""COMPUTED_VALUE"""),"Negro Satinado")</f>
        <v>Negro Satinado</v>
      </c>
      <c r="AM1498" s="97" t="str">
        <f>IFERROR(__xludf.DUMMYFUNCTION("""COMPUTED_VALUE"""),"-")</f>
        <v>-</v>
      </c>
      <c r="AN1498" s="97" t="str">
        <f>IFERROR(__xludf.DUMMYFUNCTION("""COMPUTED_VALUE"""),"25.000hs (L70)")</f>
        <v>25.000hs (L70)</v>
      </c>
      <c r="AO1498" s="97" t="str">
        <f>IFERROR(__xludf.DUMMYFUNCTION("""COMPUTED_VALUE"""),"2 Años")</f>
        <v>2 Años</v>
      </c>
      <c r="AP1498" s="97" t="str">
        <f>IFERROR(__xludf.DUMMYFUNCTION("""COMPUTED_VALUE"""),"Disponible")</f>
        <v>Disponible</v>
      </c>
      <c r="AQ1498" s="97" t="str">
        <f>IFERROR(__xludf.DUMMYFUNCTION("""COMPUTED_VALUE"""),"Disponible")</f>
        <v>Disponible</v>
      </c>
      <c r="AR1498" s="97" t="str">
        <f>IFERROR(__xludf.DUMMYFUNCTION("""COMPUTED_VALUE"""),"Disponible")</f>
        <v>Disponible</v>
      </c>
      <c r="AS1498" s="97" t="str">
        <f>IFERROR(__xludf.DUMMYFUNCTION("""COMPUTED_VALUE"""),"Falta")</f>
        <v>Falta</v>
      </c>
      <c r="AT1498" s="97" t="str">
        <f>IFERROR(__xludf.DUMMYFUNCTION("""COMPUTED_VALUE"""),"Falta")</f>
        <v>Falta</v>
      </c>
      <c r="AU1498" s="97" t="str">
        <f>IFERROR(__xludf.DUMMYFUNCTION("""COMPUTED_VALUE"""),"Disponible")</f>
        <v>Disponible</v>
      </c>
      <c r="AV1498" s="97" t="str">
        <f>IFERROR(__xludf.DUMMYFUNCTION("""COMPUTED_VALUE"""),"Cabezal")</f>
        <v>Cabezal</v>
      </c>
      <c r="AW1498" s="97" t="str">
        <f>IFERROR(__xludf.DUMMYFUNCTION("""COMPUTED_VALUE"""),"Rieles")</f>
        <v>Rieles</v>
      </c>
      <c r="AX1498" s="97" t="str">
        <f>IFERROR(__xludf.DUMMYFUNCTION("""COMPUTED_VALUE"""),"Interior")</f>
        <v>Interior</v>
      </c>
      <c r="AY1498" s="97" t="str">
        <f>IFERROR(__xludf.DUMMYFUNCTION("""COMPUTED_VALUE"""),"-")</f>
        <v>-</v>
      </c>
      <c r="AZ1498" s="97" t="str">
        <f>IFERROR(__xludf.DUMMYFUNCTION("""COMPUTED_VALUE"""),"Apto únicamente para POLAR TRACK AP")</f>
        <v>Apto únicamente para POLAR TRACK AP</v>
      </c>
      <c r="BA1498" s="97"/>
      <c r="BB1498" s="97"/>
      <c r="BC1498" s="97"/>
      <c r="BD1498" s="97" t="str">
        <f>IFERROR(__xludf.DUMMYFUNCTION("""COMPUTED_VALUE"""),"POLAR FOCUS")</f>
        <v>POLAR FOCUS</v>
      </c>
      <c r="BE1498" s="97" t="str">
        <f>IFERROR(__xludf.DUMMYFUNCTION("""COMPUTED_VALUE"""),"Solicitada")</f>
        <v>Solicitada</v>
      </c>
      <c r="BF1498" s="97"/>
      <c r="BG1498" s="97" t="str">
        <f>IFERROR(__xludf.DUMMYFUNCTION("""COMPUTED_VALUE"""),"REPO 7")</f>
        <v>REPO 7</v>
      </c>
    </row>
    <row r="1499">
      <c r="A1499" s="97">
        <f>IFERROR(__xludf.DUMMYFUNCTION("""COMPUTED_VALUE"""),7604.0)</f>
        <v>7604</v>
      </c>
      <c r="B1499" s="97" t="str">
        <f>IFERROR(__xludf.DUMMYFUNCTION("""COMPUTED_VALUE"""),"POLAR FOCUS 10W BL 3CCT")</f>
        <v>POLAR FOCUS 10W BL 3CCT</v>
      </c>
      <c r="C1499" s="97" t="str">
        <f>IFERROR(__xludf.DUMMYFUNCTION("""COMPUTED_VALUE"""),"CABEZAL POLAR FOCUS 10W BL 3CCT 10W 2700/3300/4000K 1020LM CRI&gt;90 IP20 LEUK")</f>
        <v>CABEZAL POLAR FOCUS 10W BL 3CCT 10W 2700/3300/4000K 1020LM CRI&gt;90 IP20 LEUK</v>
      </c>
      <c r="D1499" s="97">
        <f>IFERROR(__xludf.DUMMYFUNCTION("""COMPUTED_VALUE"""),7.798485460602E12)</f>
        <v>7798485460602</v>
      </c>
      <c r="E1499" s="97" t="str">
        <f>IFERROR(__xludf.DUMMYFUNCTION("""COMPUTED_VALUE"""),"-")</f>
        <v>-</v>
      </c>
      <c r="F1499" s="97" t="str">
        <f>IFERROR(__xludf.DUMMYFUNCTION("""COMPUTED_VALUE"""),"LED COB")</f>
        <v>LED COB</v>
      </c>
      <c r="G1499" s="97" t="str">
        <f>IFERROR(__xludf.DUMMYFUNCTION("""COMPUTED_VALUE"""),"Bridgelux")</f>
        <v>Bridgelux</v>
      </c>
      <c r="H1499" s="97" t="str">
        <f>IFERROR(__xludf.DUMMYFUNCTION("""COMPUTED_VALUE"""),"N/A")</f>
        <v>N/A</v>
      </c>
      <c r="I1499" s="97" t="str">
        <f>IFERROR(__xludf.DUMMYFUNCTION("""COMPUTED_VALUE"""),"N/A")</f>
        <v>N/A</v>
      </c>
      <c r="J1499" s="97" t="str">
        <f>IFERROR(__xludf.DUMMYFUNCTION("""COMPUTED_VALUE"""),"N/A")</f>
        <v>N/A</v>
      </c>
      <c r="K1499" s="97" t="str">
        <f>IFERROR(__xludf.DUMMYFUNCTION("""COMPUTED_VALUE"""),"Smart / App")</f>
        <v>Smart / App</v>
      </c>
      <c r="L1499" s="97" t="str">
        <f>IFERROR(__xludf.DUMMYFUNCTION("""COMPUTED_VALUE"""),"48Vdc")</f>
        <v>48Vdc</v>
      </c>
      <c r="M1499" s="97" t="str">
        <f>IFERROR(__xludf.DUMMYFUNCTION("""COMPUTED_VALUE"""),"N/A")</f>
        <v>N/A</v>
      </c>
      <c r="N1499" s="97" t="str">
        <f>IFERROR(__xludf.DUMMYFUNCTION("""COMPUTED_VALUE"""),"Directa")</f>
        <v>Directa</v>
      </c>
      <c r="O1499" s="97">
        <f>IFERROR(__xludf.DUMMYFUNCTION("""COMPUTED_VALUE"""),10.0)</f>
        <v>10</v>
      </c>
      <c r="P1499" s="97">
        <f>IFERROR(__xludf.DUMMYFUNCTION("""COMPUTED_VALUE"""),10.73)</f>
        <v>10.73</v>
      </c>
      <c r="Q1499" s="97" t="str">
        <f>IFERROR(__xludf.DUMMYFUNCTION("""COMPUTED_VALUE"""),"N/A")</f>
        <v>N/A</v>
      </c>
      <c r="R1499" s="97" t="str">
        <f>IFERROR(__xludf.DUMMYFUNCTION("""COMPUTED_VALUE"""),"-")</f>
        <v>-</v>
      </c>
      <c r="S1499" s="97" t="str">
        <f>IFERROR(__xludf.DUMMYFUNCTION("""COMPUTED_VALUE"""),"-")</f>
        <v>-</v>
      </c>
      <c r="T1499" s="97">
        <f>IFERROR(__xludf.DUMMYFUNCTION("""COMPUTED_VALUE"""),1020.0)</f>
        <v>1020</v>
      </c>
      <c r="U1499" s="97">
        <f>IFERROR(__xludf.DUMMYFUNCTION("""COMPUTED_VALUE"""),102.0)</f>
        <v>102</v>
      </c>
      <c r="V1499" s="97">
        <f>IFERROR(__xludf.DUMMYFUNCTION("""COMPUTED_VALUE"""),22.0)</f>
        <v>22</v>
      </c>
      <c r="W1499" s="97" t="str">
        <f>IFERROR(__xludf.DUMMYFUNCTION("""COMPUTED_VALUE"""),"&lt; 20")</f>
        <v>&lt; 20</v>
      </c>
      <c r="X1499" s="97" t="str">
        <f>IFERROR(__xludf.DUMMYFUNCTION("""COMPUTED_VALUE"""),"2700/3300/4000")</f>
        <v>2700/3300/4000</v>
      </c>
      <c r="Y1499" s="97" t="str">
        <f>IFERROR(__xludf.DUMMYFUNCTION("""COMPUTED_VALUE"""),"&gt;90")</f>
        <v>&gt;90</v>
      </c>
      <c r="Z1499" s="97" t="str">
        <f>IFERROR(__xludf.DUMMYFUNCTION("""COMPUTED_VALUE"""),"&gt;90")</f>
        <v>&gt;90</v>
      </c>
      <c r="AA1499" s="97" t="str">
        <f>IFERROR(__xludf.DUMMYFUNCTION("""COMPUTED_VALUE"""),"90-99 (Leve desaturación)")</f>
        <v>90-99 (Leve desaturación)</v>
      </c>
      <c r="AB1499" s="97" t="str">
        <f>IFERROR(__xludf.DUMMYFUNCTION("""COMPUTED_VALUE"""),"-")</f>
        <v>-</v>
      </c>
      <c r="AC1499" s="97">
        <f>IFERROR(__xludf.DUMMYFUNCTION("""COMPUTED_VALUE"""),0.0013)</f>
        <v>0.0013</v>
      </c>
      <c r="AD1499" s="97" t="str">
        <f>IFERROR(__xludf.DUMMYFUNCTION("""COMPUTED_VALUE"""),"IP20")</f>
        <v>IP20</v>
      </c>
      <c r="AE1499" s="97" t="str">
        <f>IFERROR(__xludf.DUMMYFUNCTION("""COMPUTED_VALUE"""),"Clase lll")</f>
        <v>Clase lll</v>
      </c>
      <c r="AF1499" s="97" t="str">
        <f>IFERROR(__xludf.DUMMYFUNCTION("""COMPUTED_VALUE"""),"Riel")</f>
        <v>Riel</v>
      </c>
      <c r="AG1499" s="97" t="str">
        <f>IFERROR(__xludf.DUMMYFUNCTION("""COMPUTED_VALUE"""),"Ø80 x 108")</f>
        <v>Ø80 x 108</v>
      </c>
      <c r="AH1499" s="97" t="str">
        <f>IFERROR(__xludf.DUMMYFUNCTION("""COMPUTED_VALUE"""),"N/A")</f>
        <v>N/A</v>
      </c>
      <c r="AI1499" s="97" t="str">
        <f>IFERROR(__xludf.DUMMYFUNCTION("""COMPUTED_VALUE"""),"N/A")</f>
        <v>N/A</v>
      </c>
      <c r="AJ1499" s="97" t="str">
        <f>IFERROR(__xludf.DUMMYFUNCTION("""COMPUTED_VALUE"""),"PMMA")</f>
        <v>PMMA</v>
      </c>
      <c r="AK1499" s="97" t="str">
        <f>IFERROR(__xludf.DUMMYFUNCTION("""COMPUTED_VALUE"""),"Aluminio")</f>
        <v>Aluminio</v>
      </c>
      <c r="AL1499" s="97" t="str">
        <f>IFERROR(__xludf.DUMMYFUNCTION("""COMPUTED_VALUE"""),"Blanco Satinado")</f>
        <v>Blanco Satinado</v>
      </c>
      <c r="AM1499" s="97" t="str">
        <f>IFERROR(__xludf.DUMMYFUNCTION("""COMPUTED_VALUE"""),"-")</f>
        <v>-</v>
      </c>
      <c r="AN1499" s="97" t="str">
        <f>IFERROR(__xludf.DUMMYFUNCTION("""COMPUTED_VALUE"""),"25.000hs (L70)")</f>
        <v>25.000hs (L70)</v>
      </c>
      <c r="AO1499" s="97" t="str">
        <f>IFERROR(__xludf.DUMMYFUNCTION("""COMPUTED_VALUE"""),"2 Años")</f>
        <v>2 Años</v>
      </c>
      <c r="AP1499" s="97" t="str">
        <f>IFERROR(__xludf.DUMMYFUNCTION("""COMPUTED_VALUE"""),"Disponible")</f>
        <v>Disponible</v>
      </c>
      <c r="AQ1499" s="97" t="str">
        <f>IFERROR(__xludf.DUMMYFUNCTION("""COMPUTED_VALUE"""),"Disponible")</f>
        <v>Disponible</v>
      </c>
      <c r="AR1499" s="97" t="str">
        <f>IFERROR(__xludf.DUMMYFUNCTION("""COMPUTED_VALUE"""),"Disponible")</f>
        <v>Disponible</v>
      </c>
      <c r="AS1499" s="97" t="str">
        <f>IFERROR(__xludf.DUMMYFUNCTION("""COMPUTED_VALUE"""),"Falta")</f>
        <v>Falta</v>
      </c>
      <c r="AT1499" s="97" t="str">
        <f>IFERROR(__xludf.DUMMYFUNCTION("""COMPUTED_VALUE"""),"Falta")</f>
        <v>Falta</v>
      </c>
      <c r="AU1499" s="97" t="str">
        <f>IFERROR(__xludf.DUMMYFUNCTION("""COMPUTED_VALUE"""),"Disponible")</f>
        <v>Disponible</v>
      </c>
      <c r="AV1499" s="97" t="str">
        <f>IFERROR(__xludf.DUMMYFUNCTION("""COMPUTED_VALUE"""),"Cabezal")</f>
        <v>Cabezal</v>
      </c>
      <c r="AW1499" s="97" t="str">
        <f>IFERROR(__xludf.DUMMYFUNCTION("""COMPUTED_VALUE"""),"Rieles")</f>
        <v>Rieles</v>
      </c>
      <c r="AX1499" s="97" t="str">
        <f>IFERROR(__xludf.DUMMYFUNCTION("""COMPUTED_VALUE"""),"Interior")</f>
        <v>Interior</v>
      </c>
      <c r="AY1499" s="97" t="str">
        <f>IFERROR(__xludf.DUMMYFUNCTION("""COMPUTED_VALUE"""),"-")</f>
        <v>-</v>
      </c>
      <c r="AZ1499" s="97" t="str">
        <f>IFERROR(__xludf.DUMMYFUNCTION("""COMPUTED_VALUE"""),"Apto únicamente para POLAR TRACK AP")</f>
        <v>Apto únicamente para POLAR TRACK AP</v>
      </c>
      <c r="BA1499" s="97"/>
      <c r="BB1499" s="97"/>
      <c r="BC1499" s="97"/>
      <c r="BD1499" s="97" t="str">
        <f>IFERROR(__xludf.DUMMYFUNCTION("""COMPUTED_VALUE"""),"POLAR FOCUS")</f>
        <v>POLAR FOCUS</v>
      </c>
      <c r="BE1499" s="97" t="str">
        <f>IFERROR(__xludf.DUMMYFUNCTION("""COMPUTED_VALUE"""),"Solicitada")</f>
        <v>Solicitada</v>
      </c>
      <c r="BF1499" s="97"/>
      <c r="BG1499" s="97" t="str">
        <f>IFERROR(__xludf.DUMMYFUNCTION("""COMPUTED_VALUE"""),"REPO 7")</f>
        <v>REPO 7</v>
      </c>
    </row>
    <row r="1500">
      <c r="A1500" s="97">
        <f>IFERROR(__xludf.DUMMYFUNCTION("""COMPUTED_VALUE"""),7606.0)</f>
        <v>7606</v>
      </c>
      <c r="B1500" s="97" t="str">
        <f>IFERROR(__xludf.DUMMYFUNCTION("""COMPUTED_VALUE"""),"ALIMENTACION CENTRAL 1EF II BL")</f>
        <v>ALIMENTACION CENTRAL 1EF II BL</v>
      </c>
      <c r="C1500" s="97" t="str">
        <f>IFERROR(__xludf.DUMMYFUNCTION("""COMPUTED_VALUE"""),"ACCESORIO ALIMENTACION CENTRAL 1EF II BL LEUK")</f>
        <v>ACCESORIO ALIMENTACION CENTRAL 1EF II BL LEUK</v>
      </c>
      <c r="D1500" s="97">
        <f>IFERROR(__xludf.DUMMYFUNCTION("""COMPUTED_VALUE"""),7.798485460619E12)</f>
        <v>7798485460619</v>
      </c>
      <c r="E1500" s="97" t="str">
        <f>IFERROR(__xludf.DUMMYFUNCTION("""COMPUTED_VALUE"""),"i44")</f>
        <v>i44</v>
      </c>
      <c r="F1500" s="97" t="str">
        <f>IFERROR(__xludf.DUMMYFUNCTION("""COMPUTED_VALUE"""),"N/A")</f>
        <v>N/A</v>
      </c>
      <c r="G1500" s="97" t="str">
        <f>IFERROR(__xludf.DUMMYFUNCTION("""COMPUTED_VALUE"""),"N/A")</f>
        <v>N/A</v>
      </c>
      <c r="H1500" s="97" t="str">
        <f>IFERROR(__xludf.DUMMYFUNCTION("""COMPUTED_VALUE"""),"N/A")</f>
        <v>N/A</v>
      </c>
      <c r="I1500" s="97" t="str">
        <f>IFERROR(__xludf.DUMMYFUNCTION("""COMPUTED_VALUE"""),"N/A")</f>
        <v>N/A</v>
      </c>
      <c r="J1500" s="97" t="str">
        <f>IFERROR(__xludf.DUMMYFUNCTION("""COMPUTED_VALUE"""),"N/A")</f>
        <v>N/A</v>
      </c>
      <c r="K1500" s="97" t="str">
        <f>IFERROR(__xludf.DUMMYFUNCTION("""COMPUTED_VALUE"""),"N/A")</f>
        <v>N/A</v>
      </c>
      <c r="L1500" s="97">
        <f>IFERROR(__xludf.DUMMYFUNCTION("""COMPUTED_VALUE"""),220.0)</f>
        <v>220</v>
      </c>
      <c r="M1500" s="97">
        <f>IFERROR(__xludf.DUMMYFUNCTION("""COMPUTED_VALUE"""),50.0)</f>
        <v>50</v>
      </c>
      <c r="N1500" s="97" t="str">
        <f>IFERROR(__xludf.DUMMYFUNCTION("""COMPUTED_VALUE"""),"N/A")</f>
        <v>N/A</v>
      </c>
      <c r="O1500" s="97" t="str">
        <f>IFERROR(__xludf.DUMMYFUNCTION("""COMPUTED_VALUE"""),"-")</f>
        <v>-</v>
      </c>
      <c r="P1500" s="97" t="str">
        <f>IFERROR(__xludf.DUMMYFUNCTION("""COMPUTED_VALUE"""),"-")</f>
        <v>-</v>
      </c>
      <c r="Q1500" s="97" t="str">
        <f>IFERROR(__xludf.DUMMYFUNCTION("""COMPUTED_VALUE"""),"-")</f>
        <v>-</v>
      </c>
      <c r="R1500" s="97" t="str">
        <f>IFERROR(__xludf.DUMMYFUNCTION("""COMPUTED_VALUE"""),"-")</f>
        <v>-</v>
      </c>
      <c r="S1500" s="97" t="str">
        <f>IFERROR(__xludf.DUMMYFUNCTION("""COMPUTED_VALUE"""),"-")</f>
        <v>-</v>
      </c>
      <c r="T1500" s="97" t="str">
        <f>IFERROR(__xludf.DUMMYFUNCTION("""COMPUTED_VALUE"""),"-")</f>
        <v>-</v>
      </c>
      <c r="U1500" s="97" t="str">
        <f>IFERROR(__xludf.DUMMYFUNCTION("""COMPUTED_VALUE"""),"-")</f>
        <v>-</v>
      </c>
      <c r="V1500" s="97" t="str">
        <f>IFERROR(__xludf.DUMMYFUNCTION("""COMPUTED_VALUE"""),"N/A")</f>
        <v>N/A</v>
      </c>
      <c r="W1500" s="97" t="str">
        <f>IFERROR(__xludf.DUMMYFUNCTION("""COMPUTED_VALUE"""),"N/A")</f>
        <v>N/A</v>
      </c>
      <c r="X1500" s="97" t="str">
        <f>IFERROR(__xludf.DUMMYFUNCTION("""COMPUTED_VALUE"""),"-")</f>
        <v>-</v>
      </c>
      <c r="Y1500" s="97" t="str">
        <f>IFERROR(__xludf.DUMMYFUNCTION("""COMPUTED_VALUE"""),"N/A")</f>
        <v>N/A</v>
      </c>
      <c r="Z1500" s="97" t="str">
        <f>IFERROR(__xludf.DUMMYFUNCTION("""COMPUTED_VALUE"""),"N/A")</f>
        <v>N/A</v>
      </c>
      <c r="AA1500" s="97" t="str">
        <f>IFERROR(__xludf.DUMMYFUNCTION("""COMPUTED_VALUE"""),"N/A")</f>
        <v>N/A</v>
      </c>
      <c r="AB1500" s="97" t="str">
        <f>IFERROR(__xludf.DUMMYFUNCTION("""COMPUTED_VALUE"""),"N/A")</f>
        <v>N/A</v>
      </c>
      <c r="AC1500" s="97" t="str">
        <f>IFERROR(__xludf.DUMMYFUNCTION("""COMPUTED_VALUE"""),"N/A")</f>
        <v>N/A</v>
      </c>
      <c r="AD1500" s="97" t="str">
        <f>IFERROR(__xludf.DUMMYFUNCTION("""COMPUTED_VALUE"""),"IP20")</f>
        <v>IP20</v>
      </c>
      <c r="AE1500" s="97" t="str">
        <f>IFERROR(__xludf.DUMMYFUNCTION("""COMPUTED_VALUE"""),"Clase l")</f>
        <v>Clase l</v>
      </c>
      <c r="AF1500" s="97" t="str">
        <f>IFERROR(__xludf.DUMMYFUNCTION("""COMPUTED_VALUE"""),"N/A")</f>
        <v>N/A</v>
      </c>
      <c r="AG1500" s="97" t="str">
        <f>IFERROR(__xludf.DUMMYFUNCTION("""COMPUTED_VALUE"""),"80 x 35 x 22")</f>
        <v>80 x 35 x 22</v>
      </c>
      <c r="AH1500" s="97" t="str">
        <f>IFERROR(__xludf.DUMMYFUNCTION("""COMPUTED_VALUE"""),"N/A")</f>
        <v>N/A</v>
      </c>
      <c r="AI1500" s="97" t="str">
        <f>IFERROR(__xludf.DUMMYFUNCTION("""COMPUTED_VALUE"""),"N/A")</f>
        <v>N/A</v>
      </c>
      <c r="AJ1500" s="97" t="str">
        <f>IFERROR(__xludf.DUMMYFUNCTION("""COMPUTED_VALUE"""),"N/A")</f>
        <v>N/A</v>
      </c>
      <c r="AK1500" s="97" t="str">
        <f>IFERROR(__xludf.DUMMYFUNCTION("""COMPUTED_VALUE"""),"Policarbonato (PC)")</f>
        <v>Policarbonato (PC)</v>
      </c>
      <c r="AL1500" s="97" t="str">
        <f>IFERROR(__xludf.DUMMYFUNCTION("""COMPUTED_VALUE"""),"Blanco Mate")</f>
        <v>Blanco Mate</v>
      </c>
      <c r="AM1500" s="97" t="str">
        <f>IFERROR(__xludf.DUMMYFUNCTION("""COMPUTED_VALUE"""),"-")</f>
        <v>-</v>
      </c>
      <c r="AN1500" s="97" t="str">
        <f>IFERROR(__xludf.DUMMYFUNCTION("""COMPUTED_VALUE"""),"N/A")</f>
        <v>N/A</v>
      </c>
      <c r="AO1500" s="97" t="str">
        <f>IFERROR(__xludf.DUMMYFUNCTION("""COMPUTED_VALUE"""),"3 Años")</f>
        <v>3 Años</v>
      </c>
      <c r="AP1500" s="97" t="str">
        <f>IFERROR(__xludf.DUMMYFUNCTION("""COMPUTED_VALUE"""),"No Aplica")</f>
        <v>No Aplica</v>
      </c>
      <c r="AQ1500" s="97" t="str">
        <f>IFERROR(__xludf.DUMMYFUNCTION("""COMPUTED_VALUE"""),"No Aplica")</f>
        <v>No Aplica</v>
      </c>
      <c r="AR1500" s="97" t="str">
        <f>IFERROR(__xludf.DUMMYFUNCTION("""COMPUTED_VALUE"""),"No Aplica")</f>
        <v>No Aplica</v>
      </c>
      <c r="AS1500" s="97" t="str">
        <f>IFERROR(__xludf.DUMMYFUNCTION("""COMPUTED_VALUE"""),"Falta")</f>
        <v>Falta</v>
      </c>
      <c r="AT1500" s="97" t="str">
        <f>IFERROR(__xludf.DUMMYFUNCTION("""COMPUTED_VALUE"""),"Falta")</f>
        <v>Falta</v>
      </c>
      <c r="AU1500" s="97" t="str">
        <f>IFERROR(__xludf.DUMMYFUNCTION("""COMPUTED_VALUE"""),"Falta")</f>
        <v>Falta</v>
      </c>
      <c r="AV1500" s="97" t="str">
        <f>IFERROR(__xludf.DUMMYFUNCTION("""COMPUTED_VALUE"""),"Accesorio")</f>
        <v>Accesorio</v>
      </c>
      <c r="AW1500" s="97" t="str">
        <f>IFERROR(__xludf.DUMMYFUNCTION("""COMPUTED_VALUE"""),"Rieles")</f>
        <v>Rieles</v>
      </c>
      <c r="AX1500" s="97" t="str">
        <f>IFERROR(__xludf.DUMMYFUNCTION("""COMPUTED_VALUE"""),"Interior")</f>
        <v>Interior</v>
      </c>
      <c r="AY1500" s="97" t="str">
        <f>IFERROR(__xludf.DUMMYFUNCTION("""COMPUTED_VALUE"""),"-")</f>
        <v>-</v>
      </c>
      <c r="AZ1500" s="97" t="str">
        <f>IFERROR(__xludf.DUMMYFUNCTION("""COMPUTED_VALUE"""),"Soporta 10A. Con entrada de alimentación 220 Vac.")</f>
        <v>Soporta 10A. Con entrada de alimentación 220 Vac.</v>
      </c>
      <c r="BA1500" s="97">
        <f>IFERROR(__xludf.DUMMYFUNCTION("""COMPUTED_VALUE"""),150.0)</f>
        <v>150</v>
      </c>
      <c r="BB1500" s="97" t="str">
        <f>IFERROR(__xludf.DUMMYFUNCTION("""COMPUTED_VALUE"""),"-")</f>
        <v>-</v>
      </c>
      <c r="BC1500" s="97" t="str">
        <f>IFERROR(__xludf.DUMMYFUNCTION("""COMPUTED_VALUE"""),"-")</f>
        <v>-</v>
      </c>
      <c r="BD1500" s="97" t="str">
        <f>IFERROR(__xludf.DUMMYFUNCTION("""COMPUTED_VALUE"""),"RIELES 1EF")</f>
        <v>RIELES 1EF</v>
      </c>
      <c r="BE1500" s="97"/>
      <c r="BF1500" s="97"/>
      <c r="BG1500" s="97" t="str">
        <f>IFERROR(__xludf.DUMMYFUNCTION("""COMPUTED_VALUE"""),"REPO 7")</f>
        <v>REPO 7</v>
      </c>
    </row>
    <row r="1501">
      <c r="A1501" s="97">
        <f>IFERROR(__xludf.DUMMYFUNCTION("""COMPUTED_VALUE"""),7607.0)</f>
        <v>7607</v>
      </c>
      <c r="B1501" s="97" t="str">
        <f>IFERROR(__xludf.DUMMYFUNCTION("""COMPUTED_VALUE"""),"ALIMENTACION CENTRAL 1EF II NG")</f>
        <v>ALIMENTACION CENTRAL 1EF II NG</v>
      </c>
      <c r="C1501" s="97" t="str">
        <f>IFERROR(__xludf.DUMMYFUNCTION("""COMPUTED_VALUE"""),"ACCESORIO ALIMENTACION CENTRAL 1EF II NG LEUK")</f>
        <v>ACCESORIO ALIMENTACION CENTRAL 1EF II NG LEUK</v>
      </c>
      <c r="D1501" s="97">
        <f>IFERROR(__xludf.DUMMYFUNCTION("""COMPUTED_VALUE"""),7.798485460626E12)</f>
        <v>7798485460626</v>
      </c>
      <c r="E1501" s="97" t="str">
        <f>IFERROR(__xludf.DUMMYFUNCTION("""COMPUTED_VALUE"""),"i43")</f>
        <v>i43</v>
      </c>
      <c r="F1501" s="97" t="str">
        <f>IFERROR(__xludf.DUMMYFUNCTION("""COMPUTED_VALUE"""),"N/A")</f>
        <v>N/A</v>
      </c>
      <c r="G1501" s="97" t="str">
        <f>IFERROR(__xludf.DUMMYFUNCTION("""COMPUTED_VALUE"""),"N/A")</f>
        <v>N/A</v>
      </c>
      <c r="H1501" s="97" t="str">
        <f>IFERROR(__xludf.DUMMYFUNCTION("""COMPUTED_VALUE"""),"N/A")</f>
        <v>N/A</v>
      </c>
      <c r="I1501" s="97" t="str">
        <f>IFERROR(__xludf.DUMMYFUNCTION("""COMPUTED_VALUE"""),"N/A")</f>
        <v>N/A</v>
      </c>
      <c r="J1501" s="97" t="str">
        <f>IFERROR(__xludf.DUMMYFUNCTION("""COMPUTED_VALUE"""),"N/A")</f>
        <v>N/A</v>
      </c>
      <c r="K1501" s="97" t="str">
        <f>IFERROR(__xludf.DUMMYFUNCTION("""COMPUTED_VALUE"""),"N/A")</f>
        <v>N/A</v>
      </c>
      <c r="L1501" s="97">
        <f>IFERROR(__xludf.DUMMYFUNCTION("""COMPUTED_VALUE"""),220.0)</f>
        <v>220</v>
      </c>
      <c r="M1501" s="97">
        <f>IFERROR(__xludf.DUMMYFUNCTION("""COMPUTED_VALUE"""),50.0)</f>
        <v>50</v>
      </c>
      <c r="N1501" s="97" t="str">
        <f>IFERROR(__xludf.DUMMYFUNCTION("""COMPUTED_VALUE"""),"N/A")</f>
        <v>N/A</v>
      </c>
      <c r="O1501" s="97" t="str">
        <f>IFERROR(__xludf.DUMMYFUNCTION("""COMPUTED_VALUE"""),"-")</f>
        <v>-</v>
      </c>
      <c r="P1501" s="97" t="str">
        <f>IFERROR(__xludf.DUMMYFUNCTION("""COMPUTED_VALUE"""),"-")</f>
        <v>-</v>
      </c>
      <c r="Q1501" s="97" t="str">
        <f>IFERROR(__xludf.DUMMYFUNCTION("""COMPUTED_VALUE"""),"-")</f>
        <v>-</v>
      </c>
      <c r="R1501" s="97" t="str">
        <f>IFERROR(__xludf.DUMMYFUNCTION("""COMPUTED_VALUE"""),"-")</f>
        <v>-</v>
      </c>
      <c r="S1501" s="97" t="str">
        <f>IFERROR(__xludf.DUMMYFUNCTION("""COMPUTED_VALUE"""),"-")</f>
        <v>-</v>
      </c>
      <c r="T1501" s="97" t="str">
        <f>IFERROR(__xludf.DUMMYFUNCTION("""COMPUTED_VALUE"""),"-")</f>
        <v>-</v>
      </c>
      <c r="U1501" s="97" t="str">
        <f>IFERROR(__xludf.DUMMYFUNCTION("""COMPUTED_VALUE"""),"-")</f>
        <v>-</v>
      </c>
      <c r="V1501" s="97" t="str">
        <f>IFERROR(__xludf.DUMMYFUNCTION("""COMPUTED_VALUE"""),"N/A")</f>
        <v>N/A</v>
      </c>
      <c r="W1501" s="97" t="str">
        <f>IFERROR(__xludf.DUMMYFUNCTION("""COMPUTED_VALUE"""),"N/A")</f>
        <v>N/A</v>
      </c>
      <c r="X1501" s="97" t="str">
        <f>IFERROR(__xludf.DUMMYFUNCTION("""COMPUTED_VALUE"""),"-")</f>
        <v>-</v>
      </c>
      <c r="Y1501" s="97" t="str">
        <f>IFERROR(__xludf.DUMMYFUNCTION("""COMPUTED_VALUE"""),"N/A")</f>
        <v>N/A</v>
      </c>
      <c r="Z1501" s="97" t="str">
        <f>IFERROR(__xludf.DUMMYFUNCTION("""COMPUTED_VALUE"""),"N/A")</f>
        <v>N/A</v>
      </c>
      <c r="AA1501" s="97" t="str">
        <f>IFERROR(__xludf.DUMMYFUNCTION("""COMPUTED_VALUE"""),"N/A")</f>
        <v>N/A</v>
      </c>
      <c r="AB1501" s="97" t="str">
        <f>IFERROR(__xludf.DUMMYFUNCTION("""COMPUTED_VALUE"""),"N/A")</f>
        <v>N/A</v>
      </c>
      <c r="AC1501" s="97" t="str">
        <f>IFERROR(__xludf.DUMMYFUNCTION("""COMPUTED_VALUE"""),"N/A")</f>
        <v>N/A</v>
      </c>
      <c r="AD1501" s="97" t="str">
        <f>IFERROR(__xludf.DUMMYFUNCTION("""COMPUTED_VALUE"""),"IP20")</f>
        <v>IP20</v>
      </c>
      <c r="AE1501" s="97" t="str">
        <f>IFERROR(__xludf.DUMMYFUNCTION("""COMPUTED_VALUE"""),"Clase l")</f>
        <v>Clase l</v>
      </c>
      <c r="AF1501" s="97" t="str">
        <f>IFERROR(__xludf.DUMMYFUNCTION("""COMPUTED_VALUE"""),"N/A")</f>
        <v>N/A</v>
      </c>
      <c r="AG1501" s="97" t="str">
        <f>IFERROR(__xludf.DUMMYFUNCTION("""COMPUTED_VALUE"""),"80 x 35 x 22")</f>
        <v>80 x 35 x 22</v>
      </c>
      <c r="AH1501" s="97" t="str">
        <f>IFERROR(__xludf.DUMMYFUNCTION("""COMPUTED_VALUE"""),"N/A")</f>
        <v>N/A</v>
      </c>
      <c r="AI1501" s="97" t="str">
        <f>IFERROR(__xludf.DUMMYFUNCTION("""COMPUTED_VALUE"""),"N/A")</f>
        <v>N/A</v>
      </c>
      <c r="AJ1501" s="97" t="str">
        <f>IFERROR(__xludf.DUMMYFUNCTION("""COMPUTED_VALUE"""),"N/A")</f>
        <v>N/A</v>
      </c>
      <c r="AK1501" s="97" t="str">
        <f>IFERROR(__xludf.DUMMYFUNCTION("""COMPUTED_VALUE"""),"Policarbonato (PC)")</f>
        <v>Policarbonato (PC)</v>
      </c>
      <c r="AL1501" s="97" t="str">
        <f>IFERROR(__xludf.DUMMYFUNCTION("""COMPUTED_VALUE"""),"Negro Mate")</f>
        <v>Negro Mate</v>
      </c>
      <c r="AM1501" s="97" t="str">
        <f>IFERROR(__xludf.DUMMYFUNCTION("""COMPUTED_VALUE"""),"-")</f>
        <v>-</v>
      </c>
      <c r="AN1501" s="97" t="str">
        <f>IFERROR(__xludf.DUMMYFUNCTION("""COMPUTED_VALUE"""),"N/A")</f>
        <v>N/A</v>
      </c>
      <c r="AO1501" s="97" t="str">
        <f>IFERROR(__xludf.DUMMYFUNCTION("""COMPUTED_VALUE"""),"3 Años")</f>
        <v>3 Años</v>
      </c>
      <c r="AP1501" s="97" t="str">
        <f>IFERROR(__xludf.DUMMYFUNCTION("""COMPUTED_VALUE"""),"No Aplica")</f>
        <v>No Aplica</v>
      </c>
      <c r="AQ1501" s="97" t="str">
        <f>IFERROR(__xludf.DUMMYFUNCTION("""COMPUTED_VALUE"""),"No Aplica")</f>
        <v>No Aplica</v>
      </c>
      <c r="AR1501" s="97" t="str">
        <f>IFERROR(__xludf.DUMMYFUNCTION("""COMPUTED_VALUE"""),"No Aplica")</f>
        <v>No Aplica</v>
      </c>
      <c r="AS1501" s="97" t="str">
        <f>IFERROR(__xludf.DUMMYFUNCTION("""COMPUTED_VALUE"""),"Falta")</f>
        <v>Falta</v>
      </c>
      <c r="AT1501" s="97" t="str">
        <f>IFERROR(__xludf.DUMMYFUNCTION("""COMPUTED_VALUE"""),"Falta")</f>
        <v>Falta</v>
      </c>
      <c r="AU1501" s="97" t="str">
        <f>IFERROR(__xludf.DUMMYFUNCTION("""COMPUTED_VALUE"""),"Falta")</f>
        <v>Falta</v>
      </c>
      <c r="AV1501" s="97" t="str">
        <f>IFERROR(__xludf.DUMMYFUNCTION("""COMPUTED_VALUE"""),"Accesorio")</f>
        <v>Accesorio</v>
      </c>
      <c r="AW1501" s="97" t="str">
        <f>IFERROR(__xludf.DUMMYFUNCTION("""COMPUTED_VALUE"""),"Rieles")</f>
        <v>Rieles</v>
      </c>
      <c r="AX1501" s="97" t="str">
        <f>IFERROR(__xludf.DUMMYFUNCTION("""COMPUTED_VALUE"""),"Interior")</f>
        <v>Interior</v>
      </c>
      <c r="AY1501" s="97" t="str">
        <f>IFERROR(__xludf.DUMMYFUNCTION("""COMPUTED_VALUE"""),"-")</f>
        <v>-</v>
      </c>
      <c r="AZ1501" s="97" t="str">
        <f>IFERROR(__xludf.DUMMYFUNCTION("""COMPUTED_VALUE"""),"Soporta 10A. Con entrada de alimentación 220 Vac.")</f>
        <v>Soporta 10A. Con entrada de alimentación 220 Vac.</v>
      </c>
      <c r="BA1501" s="97">
        <f>IFERROR(__xludf.DUMMYFUNCTION("""COMPUTED_VALUE"""),150.0)</f>
        <v>150</v>
      </c>
      <c r="BB1501" s="97" t="str">
        <f>IFERROR(__xludf.DUMMYFUNCTION("""COMPUTED_VALUE"""),"-")</f>
        <v>-</v>
      </c>
      <c r="BC1501" s="97" t="str">
        <f>IFERROR(__xludf.DUMMYFUNCTION("""COMPUTED_VALUE"""),"-")</f>
        <v>-</v>
      </c>
      <c r="BD1501" s="97" t="str">
        <f>IFERROR(__xludf.DUMMYFUNCTION("""COMPUTED_VALUE"""),"RIELES 1EF")</f>
        <v>RIELES 1EF</v>
      </c>
      <c r="BE1501" s="97"/>
      <c r="BF1501" s="97"/>
      <c r="BG1501" s="97" t="str">
        <f>IFERROR(__xludf.DUMMYFUNCTION("""COMPUTED_VALUE"""),"REPO 7")</f>
        <v>REPO 7</v>
      </c>
    </row>
    <row r="1502">
      <c r="A1502" s="97">
        <f>IFERROR(__xludf.DUMMYFUNCTION("""COMPUTED_VALUE"""),7608.0)</f>
        <v>7608</v>
      </c>
      <c r="B1502" s="97" t="str">
        <f>IFERROR(__xludf.DUMMYFUNCTION("""COMPUTED_VALUE"""),"SONA CUBO NG")</f>
        <v>SONA CUBO NG</v>
      </c>
      <c r="C1502" s="97" t="str">
        <f>IFERROR(__xludf.DUMMYFUNCTION("""COMPUTED_VALUE"""),"ACCESORIO SONA CUBO NG LEUK")</f>
        <v>ACCESORIO SONA CUBO NG LEUK</v>
      </c>
      <c r="D1502" s="97">
        <f>IFERROR(__xludf.DUMMYFUNCTION("""COMPUTED_VALUE"""),7.798485460633E12)</f>
        <v>7798485460633</v>
      </c>
      <c r="E1502" s="97" t="str">
        <f>IFERROR(__xludf.DUMMYFUNCTION("""COMPUTED_VALUE"""),"-")</f>
        <v>-</v>
      </c>
      <c r="F1502" s="97" t="str">
        <f>IFERROR(__xludf.DUMMYFUNCTION("""COMPUTED_VALUE"""),"N/A")</f>
        <v>N/A</v>
      </c>
      <c r="G1502" s="97" t="str">
        <f>IFERROR(__xludf.DUMMYFUNCTION("""COMPUTED_VALUE"""),"N/A")</f>
        <v>N/A</v>
      </c>
      <c r="H1502" s="97" t="str">
        <f>IFERROR(__xludf.DUMMYFUNCTION("""COMPUTED_VALUE"""),"N/A")</f>
        <v>N/A</v>
      </c>
      <c r="I1502" s="97" t="str">
        <f>IFERROR(__xludf.DUMMYFUNCTION("""COMPUTED_VALUE"""),"N/A")</f>
        <v>N/A</v>
      </c>
      <c r="J1502" s="97" t="str">
        <f>IFERROR(__xludf.DUMMYFUNCTION("""COMPUTED_VALUE"""),"N/A")</f>
        <v>N/A</v>
      </c>
      <c r="K1502" s="97" t="str">
        <f>IFERROR(__xludf.DUMMYFUNCTION("""COMPUTED_VALUE"""),"N/A")</f>
        <v>N/A</v>
      </c>
      <c r="L1502" s="97" t="str">
        <f>IFERROR(__xludf.DUMMYFUNCTION("""COMPUTED_VALUE"""),"N/A")</f>
        <v>N/A</v>
      </c>
      <c r="M1502" s="97" t="str">
        <f>IFERROR(__xludf.DUMMYFUNCTION("""COMPUTED_VALUE"""),"N/A")</f>
        <v>N/A</v>
      </c>
      <c r="N1502" s="97" t="str">
        <f>IFERROR(__xludf.DUMMYFUNCTION("""COMPUTED_VALUE"""),"N/A")</f>
        <v>N/A</v>
      </c>
      <c r="O1502" s="97" t="str">
        <f>IFERROR(__xludf.DUMMYFUNCTION("""COMPUTED_VALUE"""),"N/A")</f>
        <v>N/A</v>
      </c>
      <c r="P1502" s="97" t="str">
        <f>IFERROR(__xludf.DUMMYFUNCTION("""COMPUTED_VALUE"""),"N/A")</f>
        <v>N/A</v>
      </c>
      <c r="Q1502" s="97" t="str">
        <f>IFERROR(__xludf.DUMMYFUNCTION("""COMPUTED_VALUE"""),"N/A")</f>
        <v>N/A</v>
      </c>
      <c r="R1502" s="97" t="str">
        <f>IFERROR(__xludf.DUMMYFUNCTION("""COMPUTED_VALUE"""),"N/A")</f>
        <v>N/A</v>
      </c>
      <c r="S1502" s="97" t="str">
        <f>IFERROR(__xludf.DUMMYFUNCTION("""COMPUTED_VALUE"""),"N/A")</f>
        <v>N/A</v>
      </c>
      <c r="T1502" s="97" t="str">
        <f>IFERROR(__xludf.DUMMYFUNCTION("""COMPUTED_VALUE"""),"N/A")</f>
        <v>N/A</v>
      </c>
      <c r="U1502" s="97" t="str">
        <f>IFERROR(__xludf.DUMMYFUNCTION("""COMPUTED_VALUE"""),"N/A")</f>
        <v>N/A</v>
      </c>
      <c r="V1502" s="97" t="str">
        <f>IFERROR(__xludf.DUMMYFUNCTION("""COMPUTED_VALUE"""),"N/A")</f>
        <v>N/A</v>
      </c>
      <c r="W1502" s="97" t="str">
        <f>IFERROR(__xludf.DUMMYFUNCTION("""COMPUTED_VALUE"""),"N/A")</f>
        <v>N/A</v>
      </c>
      <c r="X1502" s="97" t="str">
        <f>IFERROR(__xludf.DUMMYFUNCTION("""COMPUTED_VALUE"""),"N/A")</f>
        <v>N/A</v>
      </c>
      <c r="Y1502" s="97" t="str">
        <f>IFERROR(__xludf.DUMMYFUNCTION("""COMPUTED_VALUE"""),"N/A")</f>
        <v>N/A</v>
      </c>
      <c r="Z1502" s="97" t="str">
        <f>IFERROR(__xludf.DUMMYFUNCTION("""COMPUTED_VALUE"""),"N/A")</f>
        <v>N/A</v>
      </c>
      <c r="AA1502" s="97" t="str">
        <f>IFERROR(__xludf.DUMMYFUNCTION("""COMPUTED_VALUE"""),"N/A")</f>
        <v>N/A</v>
      </c>
      <c r="AB1502" s="97" t="str">
        <f>IFERROR(__xludf.DUMMYFUNCTION("""COMPUTED_VALUE"""),"N/A")</f>
        <v>N/A</v>
      </c>
      <c r="AC1502" s="97" t="str">
        <f>IFERROR(__xludf.DUMMYFUNCTION("""COMPUTED_VALUE"""),"N/A")</f>
        <v>N/A</v>
      </c>
      <c r="AD1502" s="97" t="str">
        <f>IFERROR(__xludf.DUMMYFUNCTION("""COMPUTED_VALUE"""),"IP20")</f>
        <v>IP20</v>
      </c>
      <c r="AE1502" s="97" t="str">
        <f>IFERROR(__xludf.DUMMYFUNCTION("""COMPUTED_VALUE"""),"N/A")</f>
        <v>N/A</v>
      </c>
      <c r="AF1502" s="97" t="str">
        <f>IFERROR(__xludf.DUMMYFUNCTION("""COMPUTED_VALUE"""),"Aplicar")</f>
        <v>Aplicar</v>
      </c>
      <c r="AG1502" s="97" t="str">
        <f>IFERROR(__xludf.DUMMYFUNCTION("""COMPUTED_VALUE"""),"605 x 605 x 50")</f>
        <v>605 x 605 x 50</v>
      </c>
      <c r="AH1502" s="97" t="str">
        <f>IFERROR(__xludf.DUMMYFUNCTION("""COMPUTED_VALUE"""),"N/A")</f>
        <v>N/A</v>
      </c>
      <c r="AI1502" s="97" t="str">
        <f>IFERROR(__xludf.DUMMYFUNCTION("""COMPUTED_VALUE"""),"N/A")</f>
        <v>N/A</v>
      </c>
      <c r="AJ1502" s="97" t="str">
        <f>IFERROR(__xludf.DUMMYFUNCTION("""COMPUTED_VALUE"""),"N/A")</f>
        <v>N/A</v>
      </c>
      <c r="AK1502" s="97" t="str">
        <f>IFERROR(__xludf.DUMMYFUNCTION("""COMPUTED_VALUE"""),"Fieltro")</f>
        <v>Fieltro</v>
      </c>
      <c r="AL1502" s="97" t="str">
        <f>IFERROR(__xludf.DUMMYFUNCTION("""COMPUTED_VALUE"""),"Negro Mate")</f>
        <v>Negro Mate</v>
      </c>
      <c r="AM1502" s="97" t="str">
        <f>IFERROR(__xludf.DUMMYFUNCTION("""COMPUTED_VALUE"""),"N/A")</f>
        <v>N/A</v>
      </c>
      <c r="AN1502" s="97" t="str">
        <f>IFERROR(__xludf.DUMMYFUNCTION("""COMPUTED_VALUE"""),"N/A")</f>
        <v>N/A</v>
      </c>
      <c r="AO1502" s="97" t="str">
        <f>IFERROR(__xludf.DUMMYFUNCTION("""COMPUTED_VALUE"""),"3 Años")</f>
        <v>3 Años</v>
      </c>
      <c r="AP1502" s="97" t="str">
        <f>IFERROR(__xludf.DUMMYFUNCTION("""COMPUTED_VALUE"""),"No Aplica")</f>
        <v>No Aplica</v>
      </c>
      <c r="AQ1502" s="97" t="str">
        <f>IFERROR(__xludf.DUMMYFUNCTION("""COMPUTED_VALUE"""),"No Aplica")</f>
        <v>No Aplica</v>
      </c>
      <c r="AR1502" s="97" t="str">
        <f>IFERROR(__xludf.DUMMYFUNCTION("""COMPUTED_VALUE"""),"No Aplica")</f>
        <v>No Aplica</v>
      </c>
      <c r="AS1502" s="97" t="str">
        <f>IFERROR(__xludf.DUMMYFUNCTION("""COMPUTED_VALUE"""),"En revisión")</f>
        <v>En revisión</v>
      </c>
      <c r="AT1502" s="97" t="str">
        <f>IFERROR(__xludf.DUMMYFUNCTION("""COMPUTED_VALUE"""),"Falta")</f>
        <v>Falta</v>
      </c>
      <c r="AU1502" s="97" t="str">
        <f>IFERROR(__xludf.DUMMYFUNCTION("""COMPUTED_VALUE"""),"Falta")</f>
        <v>Falta</v>
      </c>
      <c r="AV1502" s="97" t="str">
        <f>IFERROR(__xludf.DUMMYFUNCTION("""COMPUTED_VALUE"""),"Accesorio")</f>
        <v>Accesorio</v>
      </c>
      <c r="AW1502" s="97" t="str">
        <f>IFERROR(__xludf.DUMMYFUNCTION("""COMPUTED_VALUE"""),"De Techo")</f>
        <v>De Techo</v>
      </c>
      <c r="AX1502" s="97" t="str">
        <f>IFERROR(__xludf.DUMMYFUNCTION("""COMPUTED_VALUE"""),"Interior")</f>
        <v>Interior</v>
      </c>
      <c r="AY1502" s="97" t="str">
        <f>IFERROR(__xludf.DUMMYFUNCTION("""COMPUTED_VALUE"""),"-")</f>
        <v>-</v>
      </c>
      <c r="AZ1502" s="97"/>
      <c r="BA1502" s="97"/>
      <c r="BB1502" s="97" t="str">
        <f>IFERROR(__xludf.DUMMYFUNCTION("""COMPUTED_VALUE"""),"-")</f>
        <v>-</v>
      </c>
      <c r="BC1502" s="97" t="str">
        <f>IFERROR(__xludf.DUMMYFUNCTION("""COMPUTED_VALUE"""),"-")</f>
        <v>-</v>
      </c>
      <c r="BD1502" s="97" t="str">
        <f>IFERROR(__xludf.DUMMYFUNCTION("""COMPUTED_VALUE"""),"SONA")</f>
        <v>SONA</v>
      </c>
      <c r="BE1502" s="97" t="str">
        <f>IFERROR(__xludf.DUMMYFUNCTION("""COMPUTED_VALUE"""),"Sin Ficha")</f>
        <v>Sin Ficha</v>
      </c>
      <c r="BF1502" s="97"/>
      <c r="BG1502" s="97" t="str">
        <f>IFERROR(__xludf.DUMMYFUNCTION("""COMPUTED_VALUE"""),"REPO 6")</f>
        <v>REPO 6</v>
      </c>
    </row>
    <row r="1503">
      <c r="A1503" s="97">
        <f>IFERROR(__xludf.DUMMYFUNCTION("""COMPUTED_VALUE"""),7609.0)</f>
        <v>7609</v>
      </c>
      <c r="B1503" s="97" t="str">
        <f>IFERROR(__xludf.DUMMYFUNCTION("""COMPUTED_VALUE"""),"SONA HALO NG")</f>
        <v>SONA HALO NG</v>
      </c>
      <c r="C1503" s="97" t="str">
        <f>IFERROR(__xludf.DUMMYFUNCTION("""COMPUTED_VALUE"""),"ACCESORIO SONA HALO NG LEUK")</f>
        <v>ACCESORIO SONA HALO NG LEUK</v>
      </c>
      <c r="D1503" s="97">
        <f>IFERROR(__xludf.DUMMYFUNCTION("""COMPUTED_VALUE"""),7.79848546064E12)</f>
        <v>7798485460640</v>
      </c>
      <c r="E1503" s="97" t="str">
        <f>IFERROR(__xludf.DUMMYFUNCTION("""COMPUTED_VALUE"""),"-")</f>
        <v>-</v>
      </c>
      <c r="F1503" s="97" t="str">
        <f>IFERROR(__xludf.DUMMYFUNCTION("""COMPUTED_VALUE"""),"N/A")</f>
        <v>N/A</v>
      </c>
      <c r="G1503" s="97" t="str">
        <f>IFERROR(__xludf.DUMMYFUNCTION("""COMPUTED_VALUE"""),"N/A")</f>
        <v>N/A</v>
      </c>
      <c r="H1503" s="97" t="str">
        <f>IFERROR(__xludf.DUMMYFUNCTION("""COMPUTED_VALUE"""),"N/A")</f>
        <v>N/A</v>
      </c>
      <c r="I1503" s="97" t="str">
        <f>IFERROR(__xludf.DUMMYFUNCTION("""COMPUTED_VALUE"""),"N/A")</f>
        <v>N/A</v>
      </c>
      <c r="J1503" s="97" t="str">
        <f>IFERROR(__xludf.DUMMYFUNCTION("""COMPUTED_VALUE"""),"N/A")</f>
        <v>N/A</v>
      </c>
      <c r="K1503" s="97" t="str">
        <f>IFERROR(__xludf.DUMMYFUNCTION("""COMPUTED_VALUE"""),"N/A")</f>
        <v>N/A</v>
      </c>
      <c r="L1503" s="97" t="str">
        <f>IFERROR(__xludf.DUMMYFUNCTION("""COMPUTED_VALUE"""),"N/A")</f>
        <v>N/A</v>
      </c>
      <c r="M1503" s="97" t="str">
        <f>IFERROR(__xludf.DUMMYFUNCTION("""COMPUTED_VALUE"""),"N/A")</f>
        <v>N/A</v>
      </c>
      <c r="N1503" s="97" t="str">
        <f>IFERROR(__xludf.DUMMYFUNCTION("""COMPUTED_VALUE"""),"N/A")</f>
        <v>N/A</v>
      </c>
      <c r="O1503" s="97" t="str">
        <f>IFERROR(__xludf.DUMMYFUNCTION("""COMPUTED_VALUE"""),"N/A")</f>
        <v>N/A</v>
      </c>
      <c r="P1503" s="97" t="str">
        <f>IFERROR(__xludf.DUMMYFUNCTION("""COMPUTED_VALUE"""),"N/A")</f>
        <v>N/A</v>
      </c>
      <c r="Q1503" s="97" t="str">
        <f>IFERROR(__xludf.DUMMYFUNCTION("""COMPUTED_VALUE"""),"N/A")</f>
        <v>N/A</v>
      </c>
      <c r="R1503" s="97" t="str">
        <f>IFERROR(__xludf.DUMMYFUNCTION("""COMPUTED_VALUE"""),"N/A")</f>
        <v>N/A</v>
      </c>
      <c r="S1503" s="97" t="str">
        <f>IFERROR(__xludf.DUMMYFUNCTION("""COMPUTED_VALUE"""),"N/A")</f>
        <v>N/A</v>
      </c>
      <c r="T1503" s="97" t="str">
        <f>IFERROR(__xludf.DUMMYFUNCTION("""COMPUTED_VALUE"""),"N/A")</f>
        <v>N/A</v>
      </c>
      <c r="U1503" s="97" t="str">
        <f>IFERROR(__xludf.DUMMYFUNCTION("""COMPUTED_VALUE"""),"N/A")</f>
        <v>N/A</v>
      </c>
      <c r="V1503" s="97" t="str">
        <f>IFERROR(__xludf.DUMMYFUNCTION("""COMPUTED_VALUE"""),"N/A")</f>
        <v>N/A</v>
      </c>
      <c r="W1503" s="97" t="str">
        <f>IFERROR(__xludf.DUMMYFUNCTION("""COMPUTED_VALUE"""),"N/A")</f>
        <v>N/A</v>
      </c>
      <c r="X1503" s="97" t="str">
        <f>IFERROR(__xludf.DUMMYFUNCTION("""COMPUTED_VALUE"""),"N/A")</f>
        <v>N/A</v>
      </c>
      <c r="Y1503" s="97" t="str">
        <f>IFERROR(__xludf.DUMMYFUNCTION("""COMPUTED_VALUE"""),"N/A")</f>
        <v>N/A</v>
      </c>
      <c r="Z1503" s="97" t="str">
        <f>IFERROR(__xludf.DUMMYFUNCTION("""COMPUTED_VALUE"""),"N/A")</f>
        <v>N/A</v>
      </c>
      <c r="AA1503" s="97" t="str">
        <f>IFERROR(__xludf.DUMMYFUNCTION("""COMPUTED_VALUE"""),"N/A")</f>
        <v>N/A</v>
      </c>
      <c r="AB1503" s="97" t="str">
        <f>IFERROR(__xludf.DUMMYFUNCTION("""COMPUTED_VALUE"""),"N/A")</f>
        <v>N/A</v>
      </c>
      <c r="AC1503" s="97" t="str">
        <f>IFERROR(__xludf.DUMMYFUNCTION("""COMPUTED_VALUE"""),"N/A")</f>
        <v>N/A</v>
      </c>
      <c r="AD1503" s="97" t="str">
        <f>IFERROR(__xludf.DUMMYFUNCTION("""COMPUTED_VALUE"""),"IP20")</f>
        <v>IP20</v>
      </c>
      <c r="AE1503" s="97" t="str">
        <f>IFERROR(__xludf.DUMMYFUNCTION("""COMPUTED_VALUE"""),"N/A")</f>
        <v>N/A</v>
      </c>
      <c r="AF1503" s="97" t="str">
        <f>IFERROR(__xludf.DUMMYFUNCTION("""COMPUTED_VALUE"""),"Aplicar")</f>
        <v>Aplicar</v>
      </c>
      <c r="AG1503" s="97" t="str">
        <f>IFERROR(__xludf.DUMMYFUNCTION("""COMPUTED_VALUE"""),"605 x 605 x 138")</f>
        <v>605 x 605 x 138</v>
      </c>
      <c r="AH1503" s="97" t="str">
        <f>IFERROR(__xludf.DUMMYFUNCTION("""COMPUTED_VALUE"""),"N/A")</f>
        <v>N/A</v>
      </c>
      <c r="AI1503" s="97" t="str">
        <f>IFERROR(__xludf.DUMMYFUNCTION("""COMPUTED_VALUE"""),"N/A")</f>
        <v>N/A</v>
      </c>
      <c r="AJ1503" s="97" t="str">
        <f>IFERROR(__xludf.DUMMYFUNCTION("""COMPUTED_VALUE"""),"N/A")</f>
        <v>N/A</v>
      </c>
      <c r="AK1503" s="97" t="str">
        <f>IFERROR(__xludf.DUMMYFUNCTION("""COMPUTED_VALUE"""),"Fieltro")</f>
        <v>Fieltro</v>
      </c>
      <c r="AL1503" s="97" t="str">
        <f>IFERROR(__xludf.DUMMYFUNCTION("""COMPUTED_VALUE"""),"Negro Mate")</f>
        <v>Negro Mate</v>
      </c>
      <c r="AM1503" s="97" t="str">
        <f>IFERROR(__xludf.DUMMYFUNCTION("""COMPUTED_VALUE"""),"N/A")</f>
        <v>N/A</v>
      </c>
      <c r="AN1503" s="97" t="str">
        <f>IFERROR(__xludf.DUMMYFUNCTION("""COMPUTED_VALUE"""),"N/A")</f>
        <v>N/A</v>
      </c>
      <c r="AO1503" s="97" t="str">
        <f>IFERROR(__xludf.DUMMYFUNCTION("""COMPUTED_VALUE"""),"3 Años")</f>
        <v>3 Años</v>
      </c>
      <c r="AP1503" s="97" t="str">
        <f>IFERROR(__xludf.DUMMYFUNCTION("""COMPUTED_VALUE"""),"No Aplica")</f>
        <v>No Aplica</v>
      </c>
      <c r="AQ1503" s="97" t="str">
        <f>IFERROR(__xludf.DUMMYFUNCTION("""COMPUTED_VALUE"""),"No Aplica")</f>
        <v>No Aplica</v>
      </c>
      <c r="AR1503" s="97" t="str">
        <f>IFERROR(__xludf.DUMMYFUNCTION("""COMPUTED_VALUE"""),"No Aplica")</f>
        <v>No Aplica</v>
      </c>
      <c r="AS1503" s="97" t="str">
        <f>IFERROR(__xludf.DUMMYFUNCTION("""COMPUTED_VALUE"""),"En revisión")</f>
        <v>En revisión</v>
      </c>
      <c r="AT1503" s="97" t="str">
        <f>IFERROR(__xludf.DUMMYFUNCTION("""COMPUTED_VALUE"""),"Falta")</f>
        <v>Falta</v>
      </c>
      <c r="AU1503" s="97" t="str">
        <f>IFERROR(__xludf.DUMMYFUNCTION("""COMPUTED_VALUE"""),"Falta")</f>
        <v>Falta</v>
      </c>
      <c r="AV1503" s="97" t="str">
        <f>IFERROR(__xludf.DUMMYFUNCTION("""COMPUTED_VALUE"""),"Accesorio")</f>
        <v>Accesorio</v>
      </c>
      <c r="AW1503" s="97" t="str">
        <f>IFERROR(__xludf.DUMMYFUNCTION("""COMPUTED_VALUE"""),"De Techo")</f>
        <v>De Techo</v>
      </c>
      <c r="AX1503" s="97" t="str">
        <f>IFERROR(__xludf.DUMMYFUNCTION("""COMPUTED_VALUE"""),"Interior")</f>
        <v>Interior</v>
      </c>
      <c r="AY1503" s="97" t="str">
        <f>IFERROR(__xludf.DUMMYFUNCTION("""COMPUTED_VALUE"""),"-")</f>
        <v>-</v>
      </c>
      <c r="AZ1503" s="97"/>
      <c r="BA1503" s="97"/>
      <c r="BB1503" s="97" t="str">
        <f>IFERROR(__xludf.DUMMYFUNCTION("""COMPUTED_VALUE"""),"-")</f>
        <v>-</v>
      </c>
      <c r="BC1503" s="97" t="str">
        <f>IFERROR(__xludf.DUMMYFUNCTION("""COMPUTED_VALUE"""),"-")</f>
        <v>-</v>
      </c>
      <c r="BD1503" s="97" t="str">
        <f>IFERROR(__xludf.DUMMYFUNCTION("""COMPUTED_VALUE"""),"SONA")</f>
        <v>SONA</v>
      </c>
      <c r="BE1503" s="97" t="str">
        <f>IFERROR(__xludf.DUMMYFUNCTION("""COMPUTED_VALUE"""),"Sin Ficha")</f>
        <v>Sin Ficha</v>
      </c>
      <c r="BF1503" s="97"/>
      <c r="BG1503" s="97" t="str">
        <f>IFERROR(__xludf.DUMMYFUNCTION("""COMPUTED_VALUE"""),"REPO 6")</f>
        <v>REPO 6</v>
      </c>
    </row>
    <row r="1504">
      <c r="A1504" s="97">
        <f>IFERROR(__xludf.DUMMYFUNCTION("""COMPUTED_VALUE"""),7610.0)</f>
        <v>7610</v>
      </c>
      <c r="B1504" s="97" t="str">
        <f>IFERROR(__xludf.DUMMYFUNCTION("""COMPUTED_VALUE"""),"KIT BILUNE BL")</f>
        <v>KIT BILUNE BL</v>
      </c>
      <c r="C1504" s="97" t="str">
        <f>IFERROR(__xludf.DUMMYFUNCTION("""COMPUTED_VALUE"""),"ACCESORIO KIT BILUNE BL LEUK")</f>
        <v>ACCESORIO KIT BILUNE BL LEUK</v>
      </c>
      <c r="D1504" s="97">
        <f>IFERROR(__xludf.DUMMYFUNCTION("""COMPUTED_VALUE"""),7.798485460657E12)</f>
        <v>7798485460657</v>
      </c>
      <c r="E1504" s="97" t="str">
        <f>IFERROR(__xludf.DUMMYFUNCTION("""COMPUTED_VALUE"""),"KB1")</f>
        <v>KB1</v>
      </c>
      <c r="F1504" s="97" t="str">
        <f>IFERROR(__xludf.DUMMYFUNCTION("""COMPUTED_VALUE"""),"N/A")</f>
        <v>N/A</v>
      </c>
      <c r="G1504" s="97" t="str">
        <f>IFERROR(__xludf.DUMMYFUNCTION("""COMPUTED_VALUE"""),"N/A")</f>
        <v>N/A</v>
      </c>
      <c r="H1504" s="97" t="str">
        <f>IFERROR(__xludf.DUMMYFUNCTION("""COMPUTED_VALUE"""),"N/A")</f>
        <v>N/A</v>
      </c>
      <c r="I1504" s="97" t="str">
        <f>IFERROR(__xludf.DUMMYFUNCTION("""COMPUTED_VALUE"""),"N/A")</f>
        <v>N/A</v>
      </c>
      <c r="J1504" s="97"/>
      <c r="K1504" s="97" t="str">
        <f>IFERROR(__xludf.DUMMYFUNCTION("""COMPUTED_VALUE"""),"N/A")</f>
        <v>N/A</v>
      </c>
      <c r="L1504" s="97" t="str">
        <f>IFERROR(__xludf.DUMMYFUNCTION("""COMPUTED_VALUE"""),"200-240")</f>
        <v>200-240</v>
      </c>
      <c r="M1504" s="97" t="str">
        <f>IFERROR(__xludf.DUMMYFUNCTION("""COMPUTED_VALUE"""),"50/60")</f>
        <v>50/60</v>
      </c>
      <c r="N1504" s="97" t="str">
        <f>IFERROR(__xludf.DUMMYFUNCTION("""COMPUTED_VALUE"""),"N/A")</f>
        <v>N/A</v>
      </c>
      <c r="O1504" s="97">
        <f>IFERROR(__xludf.DUMMYFUNCTION("""COMPUTED_VALUE"""),45.0)</f>
        <v>45</v>
      </c>
      <c r="P1504" s="97"/>
      <c r="Q1504" s="97"/>
      <c r="R1504" s="97" t="str">
        <f>IFERROR(__xludf.DUMMYFUNCTION("""COMPUTED_VALUE"""),"-")</f>
        <v>-</v>
      </c>
      <c r="S1504" s="97" t="str">
        <f>IFERROR(__xludf.DUMMYFUNCTION("""COMPUTED_VALUE"""),"-")</f>
        <v>-</v>
      </c>
      <c r="T1504" s="97"/>
      <c r="U1504" s="97"/>
      <c r="V1504" s="97" t="str">
        <f>IFERROR(__xludf.DUMMYFUNCTION("""COMPUTED_VALUE"""),"N/A")</f>
        <v>N/A</v>
      </c>
      <c r="W1504" s="97" t="str">
        <f>IFERROR(__xludf.DUMMYFUNCTION("""COMPUTED_VALUE"""),"N/A")</f>
        <v>N/A</v>
      </c>
      <c r="X1504" s="97"/>
      <c r="Y1504" s="97" t="str">
        <f>IFERROR(__xludf.DUMMYFUNCTION("""COMPUTED_VALUE"""),"N/A")</f>
        <v>N/A</v>
      </c>
      <c r="Z1504" s="97" t="str">
        <f>IFERROR(__xludf.DUMMYFUNCTION("""COMPUTED_VALUE"""),"N/A")</f>
        <v>N/A</v>
      </c>
      <c r="AA1504" s="97" t="str">
        <f>IFERROR(__xludf.DUMMYFUNCTION("""COMPUTED_VALUE"""),"N/A")</f>
        <v>N/A</v>
      </c>
      <c r="AB1504" s="97" t="str">
        <f>IFERROR(__xludf.DUMMYFUNCTION("""COMPUTED_VALUE"""),"N/A")</f>
        <v>N/A</v>
      </c>
      <c r="AC1504" s="97" t="str">
        <f>IFERROR(__xludf.DUMMYFUNCTION("""COMPUTED_VALUE"""),"N/A")</f>
        <v>N/A</v>
      </c>
      <c r="AD1504" s="97" t="str">
        <f>IFERROR(__xludf.DUMMYFUNCTION("""COMPUTED_VALUE"""),"IP44")</f>
        <v>IP44</v>
      </c>
      <c r="AE1504" s="97"/>
      <c r="AF1504" s="97" t="str">
        <f>IFERROR(__xludf.DUMMYFUNCTION("""COMPUTED_VALUE"""),"N/A")</f>
        <v>N/A</v>
      </c>
      <c r="AG1504" s="97" t="str">
        <f>IFERROR(__xludf.DUMMYFUNCTION("""COMPUTED_VALUE"""),"Ø150 x 1200")</f>
        <v>Ø150 x 1200</v>
      </c>
      <c r="AH1504" s="97" t="str">
        <f>IFERROR(__xludf.DUMMYFUNCTION("""COMPUTED_VALUE"""),"N/A")</f>
        <v>N/A</v>
      </c>
      <c r="AI1504" s="97" t="str">
        <f>IFERROR(__xludf.DUMMYFUNCTION("""COMPUTED_VALUE"""),"N/A")</f>
        <v>N/A</v>
      </c>
      <c r="AJ1504" s="97"/>
      <c r="AK1504" s="97"/>
      <c r="AL1504" s="97" t="str">
        <f>IFERROR(__xludf.DUMMYFUNCTION("""COMPUTED_VALUE"""),"Blanco")</f>
        <v>Blanco</v>
      </c>
      <c r="AM1504" s="97"/>
      <c r="AN1504" s="97"/>
      <c r="AO1504" s="97"/>
      <c r="AP1504" s="97" t="str">
        <f>IFERROR(__xludf.DUMMYFUNCTION("""COMPUTED_VALUE"""),"No Aplica")</f>
        <v>No Aplica</v>
      </c>
      <c r="AQ1504" s="97" t="str">
        <f>IFERROR(__xludf.DUMMYFUNCTION("""COMPUTED_VALUE"""),"No Aplica")</f>
        <v>No Aplica</v>
      </c>
      <c r="AR1504" s="97" t="str">
        <f>IFERROR(__xludf.DUMMYFUNCTION("""COMPUTED_VALUE"""),"No Aplica")</f>
        <v>No Aplica</v>
      </c>
      <c r="AS1504" s="97" t="str">
        <f>IFERROR(__xludf.DUMMYFUNCTION("""COMPUTED_VALUE"""),"No Aplica")</f>
        <v>No Aplica</v>
      </c>
      <c r="AT1504" s="97" t="str">
        <f>IFERROR(__xludf.DUMMYFUNCTION("""COMPUTED_VALUE"""),"No Aplica")</f>
        <v>No Aplica</v>
      </c>
      <c r="AU1504" s="97" t="str">
        <f>IFERROR(__xludf.DUMMYFUNCTION("""COMPUTED_VALUE"""),"Falta")</f>
        <v>Falta</v>
      </c>
      <c r="AV1504" s="97" t="str">
        <f>IFERROR(__xludf.DUMMYFUNCTION("""COMPUTED_VALUE"""),"Accesorio")</f>
        <v>Accesorio</v>
      </c>
      <c r="AW1504" s="97" t="str">
        <f>IFERROR(__xludf.DUMMYFUNCTION("""COMPUTED_VALUE"""),"De Techo")</f>
        <v>De Techo</v>
      </c>
      <c r="AX1504" s="97" t="str">
        <f>IFERROR(__xludf.DUMMYFUNCTION("""COMPUTED_VALUE"""),"Exterior")</f>
        <v>Exterior</v>
      </c>
      <c r="AY1504" s="97" t="str">
        <f>IFERROR(__xludf.DUMMYFUNCTION("""COMPUTED_VALUE"""),"-")</f>
        <v>-</v>
      </c>
      <c r="AZ1504" s="97" t="str">
        <f>IFERROR(__xludf.DUMMYFUNCTION("""COMPUTED_VALUE"""),"Viene con conector IP44")</f>
        <v>Viene con conector IP44</v>
      </c>
      <c r="BA1504" s="97"/>
      <c r="BB1504" s="97"/>
      <c r="BC1504" s="97"/>
      <c r="BD1504" s="97" t="str">
        <f>IFERROR(__xludf.DUMMYFUNCTION("""COMPUTED_VALUE"""),"BILUNE")</f>
        <v>BILUNE</v>
      </c>
      <c r="BE1504" s="97"/>
      <c r="BF1504" s="97"/>
      <c r="BG1504" s="97" t="str">
        <f>IFERROR(__xludf.DUMMYFUNCTION("""COMPUTED_VALUE"""),"REPO 7")</f>
        <v>REPO 7</v>
      </c>
    </row>
    <row r="1505">
      <c r="A1505" s="97">
        <f>IFERROR(__xludf.DUMMYFUNCTION("""COMPUTED_VALUE"""),7611.0)</f>
        <v>7611</v>
      </c>
      <c r="B1505" s="97" t="str">
        <f>IFERROR(__xludf.DUMMYFUNCTION("""COMPUTED_VALUE"""),"KIT BILUNE NG")</f>
        <v>KIT BILUNE NG</v>
      </c>
      <c r="C1505" s="97" t="str">
        <f>IFERROR(__xludf.DUMMYFUNCTION("""COMPUTED_VALUE"""),"ACCESORIO KIT BILUNE NG LEUK")</f>
        <v>ACCESORIO KIT BILUNE NG LEUK</v>
      </c>
      <c r="D1505" s="97">
        <f>IFERROR(__xludf.DUMMYFUNCTION("""COMPUTED_VALUE"""),7.798485460664E12)</f>
        <v>7798485460664</v>
      </c>
      <c r="E1505" s="97" t="str">
        <f>IFERROR(__xludf.DUMMYFUNCTION("""COMPUTED_VALUE"""),"KN1")</f>
        <v>KN1</v>
      </c>
      <c r="F1505" s="97" t="str">
        <f>IFERROR(__xludf.DUMMYFUNCTION("""COMPUTED_VALUE"""),"N/A")</f>
        <v>N/A</v>
      </c>
      <c r="G1505" s="97" t="str">
        <f>IFERROR(__xludf.DUMMYFUNCTION("""COMPUTED_VALUE"""),"N/A")</f>
        <v>N/A</v>
      </c>
      <c r="H1505" s="97" t="str">
        <f>IFERROR(__xludf.DUMMYFUNCTION("""COMPUTED_VALUE"""),"N/A")</f>
        <v>N/A</v>
      </c>
      <c r="I1505" s="97" t="str">
        <f>IFERROR(__xludf.DUMMYFUNCTION("""COMPUTED_VALUE"""),"N/A")</f>
        <v>N/A</v>
      </c>
      <c r="J1505" s="97"/>
      <c r="K1505" s="97" t="str">
        <f>IFERROR(__xludf.DUMMYFUNCTION("""COMPUTED_VALUE"""),"N/A")</f>
        <v>N/A</v>
      </c>
      <c r="L1505" s="97" t="str">
        <f>IFERROR(__xludf.DUMMYFUNCTION("""COMPUTED_VALUE"""),"200-240")</f>
        <v>200-240</v>
      </c>
      <c r="M1505" s="97" t="str">
        <f>IFERROR(__xludf.DUMMYFUNCTION("""COMPUTED_VALUE"""),"50/60")</f>
        <v>50/60</v>
      </c>
      <c r="N1505" s="97" t="str">
        <f>IFERROR(__xludf.DUMMYFUNCTION("""COMPUTED_VALUE"""),"N/A")</f>
        <v>N/A</v>
      </c>
      <c r="O1505" s="97">
        <f>IFERROR(__xludf.DUMMYFUNCTION("""COMPUTED_VALUE"""),45.0)</f>
        <v>45</v>
      </c>
      <c r="P1505" s="97"/>
      <c r="Q1505" s="97"/>
      <c r="R1505" s="97" t="str">
        <f>IFERROR(__xludf.DUMMYFUNCTION("""COMPUTED_VALUE"""),"-")</f>
        <v>-</v>
      </c>
      <c r="S1505" s="97" t="str">
        <f>IFERROR(__xludf.DUMMYFUNCTION("""COMPUTED_VALUE"""),"-")</f>
        <v>-</v>
      </c>
      <c r="T1505" s="97"/>
      <c r="U1505" s="97"/>
      <c r="V1505" s="97" t="str">
        <f>IFERROR(__xludf.DUMMYFUNCTION("""COMPUTED_VALUE"""),"N/A")</f>
        <v>N/A</v>
      </c>
      <c r="W1505" s="97" t="str">
        <f>IFERROR(__xludf.DUMMYFUNCTION("""COMPUTED_VALUE"""),"N/A")</f>
        <v>N/A</v>
      </c>
      <c r="X1505" s="97"/>
      <c r="Y1505" s="97" t="str">
        <f>IFERROR(__xludf.DUMMYFUNCTION("""COMPUTED_VALUE"""),"N/A")</f>
        <v>N/A</v>
      </c>
      <c r="Z1505" s="97" t="str">
        <f>IFERROR(__xludf.DUMMYFUNCTION("""COMPUTED_VALUE"""),"N/A")</f>
        <v>N/A</v>
      </c>
      <c r="AA1505" s="97" t="str">
        <f>IFERROR(__xludf.DUMMYFUNCTION("""COMPUTED_VALUE"""),"N/A")</f>
        <v>N/A</v>
      </c>
      <c r="AB1505" s="97" t="str">
        <f>IFERROR(__xludf.DUMMYFUNCTION("""COMPUTED_VALUE"""),"N/A")</f>
        <v>N/A</v>
      </c>
      <c r="AC1505" s="97" t="str">
        <f>IFERROR(__xludf.DUMMYFUNCTION("""COMPUTED_VALUE"""),"N/A")</f>
        <v>N/A</v>
      </c>
      <c r="AD1505" s="97" t="str">
        <f>IFERROR(__xludf.DUMMYFUNCTION("""COMPUTED_VALUE"""),"IP44")</f>
        <v>IP44</v>
      </c>
      <c r="AE1505" s="97"/>
      <c r="AF1505" s="97" t="str">
        <f>IFERROR(__xludf.DUMMYFUNCTION("""COMPUTED_VALUE"""),"N/A")</f>
        <v>N/A</v>
      </c>
      <c r="AG1505" s="97" t="str">
        <f>IFERROR(__xludf.DUMMYFUNCTION("""COMPUTED_VALUE"""),"Ø150 x 1200")</f>
        <v>Ø150 x 1200</v>
      </c>
      <c r="AH1505" s="97" t="str">
        <f>IFERROR(__xludf.DUMMYFUNCTION("""COMPUTED_VALUE"""),"N/A")</f>
        <v>N/A</v>
      </c>
      <c r="AI1505" s="97" t="str">
        <f>IFERROR(__xludf.DUMMYFUNCTION("""COMPUTED_VALUE"""),"N/A")</f>
        <v>N/A</v>
      </c>
      <c r="AJ1505" s="97"/>
      <c r="AK1505" s="97"/>
      <c r="AL1505" s="97" t="str">
        <f>IFERROR(__xludf.DUMMYFUNCTION("""COMPUTED_VALUE"""),"Negro")</f>
        <v>Negro</v>
      </c>
      <c r="AM1505" s="97"/>
      <c r="AN1505" s="97"/>
      <c r="AO1505" s="97"/>
      <c r="AP1505" s="97" t="str">
        <f>IFERROR(__xludf.DUMMYFUNCTION("""COMPUTED_VALUE"""),"No Aplica")</f>
        <v>No Aplica</v>
      </c>
      <c r="AQ1505" s="97" t="str">
        <f>IFERROR(__xludf.DUMMYFUNCTION("""COMPUTED_VALUE"""),"No Aplica")</f>
        <v>No Aplica</v>
      </c>
      <c r="AR1505" s="97" t="str">
        <f>IFERROR(__xludf.DUMMYFUNCTION("""COMPUTED_VALUE"""),"No Aplica")</f>
        <v>No Aplica</v>
      </c>
      <c r="AS1505" s="97" t="str">
        <f>IFERROR(__xludf.DUMMYFUNCTION("""COMPUTED_VALUE"""),"No Aplica")</f>
        <v>No Aplica</v>
      </c>
      <c r="AT1505" s="97" t="str">
        <f>IFERROR(__xludf.DUMMYFUNCTION("""COMPUTED_VALUE"""),"No Aplica")</f>
        <v>No Aplica</v>
      </c>
      <c r="AU1505" s="97" t="str">
        <f>IFERROR(__xludf.DUMMYFUNCTION("""COMPUTED_VALUE"""),"Falta")</f>
        <v>Falta</v>
      </c>
      <c r="AV1505" s="97" t="str">
        <f>IFERROR(__xludf.DUMMYFUNCTION("""COMPUTED_VALUE"""),"Accesorio")</f>
        <v>Accesorio</v>
      </c>
      <c r="AW1505" s="97" t="str">
        <f>IFERROR(__xludf.DUMMYFUNCTION("""COMPUTED_VALUE"""),"De Techo")</f>
        <v>De Techo</v>
      </c>
      <c r="AX1505" s="97" t="str">
        <f>IFERROR(__xludf.DUMMYFUNCTION("""COMPUTED_VALUE"""),"Exterior")</f>
        <v>Exterior</v>
      </c>
      <c r="AY1505" s="97" t="str">
        <f>IFERROR(__xludf.DUMMYFUNCTION("""COMPUTED_VALUE"""),"-")</f>
        <v>-</v>
      </c>
      <c r="AZ1505" s="97" t="str">
        <f>IFERROR(__xludf.DUMMYFUNCTION("""COMPUTED_VALUE"""),"Viene con conector IP44")</f>
        <v>Viene con conector IP44</v>
      </c>
      <c r="BA1505" s="97"/>
      <c r="BB1505" s="97"/>
      <c r="BC1505" s="97"/>
      <c r="BD1505" s="97" t="str">
        <f>IFERROR(__xludf.DUMMYFUNCTION("""COMPUTED_VALUE"""),"BILUNE")</f>
        <v>BILUNE</v>
      </c>
      <c r="BE1505" s="97"/>
      <c r="BF1505" s="97"/>
      <c r="BG1505" s="97" t="str">
        <f>IFERROR(__xludf.DUMMYFUNCTION("""COMPUTED_VALUE"""),"REPO 7")</f>
        <v>REPO 7</v>
      </c>
    </row>
    <row r="1506">
      <c r="A1506" s="97">
        <f>IFERROR(__xludf.DUMMYFUNCTION("""COMPUTED_VALUE"""),7622.0)</f>
        <v>7622</v>
      </c>
      <c r="B1506" s="97" t="str">
        <f>IFERROR(__xludf.DUMMYFUNCTION("""COMPUTED_VALUE"""),"LIV XL 30W 3000k")</f>
        <v>LIV XL 30W 3000k</v>
      </c>
      <c r="C1506" s="97" t="str">
        <f>IFERROR(__xludf.DUMMYFUNCTION("""COMPUTED_VALUE"""),"EMPOTRABLE LIV XL 30W 3000K 30W 3000K LM CRI&gt;90 IP20 LEUK")</f>
        <v>EMPOTRABLE LIV XL 30W 3000K 30W 3000K LM CRI&gt;90 IP20 LEUK</v>
      </c>
      <c r="D1506" s="97">
        <f>IFERROR(__xludf.DUMMYFUNCTION("""COMPUTED_VALUE"""),7.79848546077E12)</f>
        <v>7798485460770</v>
      </c>
      <c r="E1506" s="97" t="str">
        <f>IFERROR(__xludf.DUMMYFUNCTION("""COMPUTED_VALUE"""),"F152")</f>
        <v>F152</v>
      </c>
      <c r="F1506" s="97"/>
      <c r="G1506" s="97"/>
      <c r="H1506" s="97"/>
      <c r="I1506" s="97"/>
      <c r="J1506" s="97"/>
      <c r="K1506" s="97" t="str">
        <f>IFERROR(__xludf.DUMMYFUNCTION("""COMPUTED_VALUE"""),"ON/OFF")</f>
        <v>ON/OFF</v>
      </c>
      <c r="L1506" s="97" t="str">
        <f>IFERROR(__xludf.DUMMYFUNCTION("""COMPUTED_VALUE"""),"200-240")</f>
        <v>200-240</v>
      </c>
      <c r="M1506" s="97" t="str">
        <f>IFERROR(__xludf.DUMMYFUNCTION("""COMPUTED_VALUE"""),"50/60")</f>
        <v>50/60</v>
      </c>
      <c r="N1506" s="97" t="str">
        <f>IFERROR(__xludf.DUMMYFUNCTION("""COMPUTED_VALUE"""),"Directa")</f>
        <v>Directa</v>
      </c>
      <c r="O1506" s="97">
        <f>IFERROR(__xludf.DUMMYFUNCTION("""COMPUTED_VALUE"""),30.0)</f>
        <v>30</v>
      </c>
      <c r="P1506" s="97"/>
      <c r="Q1506" s="97"/>
      <c r="R1506" s="97" t="str">
        <f>IFERROR(__xludf.DUMMYFUNCTION("""COMPUTED_VALUE"""),"-")</f>
        <v>-</v>
      </c>
      <c r="S1506" s="97" t="str">
        <f>IFERROR(__xludf.DUMMYFUNCTION("""COMPUTED_VALUE"""),"-")</f>
        <v>-</v>
      </c>
      <c r="T1506" s="97"/>
      <c r="U1506" s="97"/>
      <c r="V1506" s="97">
        <f>IFERROR(__xludf.DUMMYFUNCTION("""COMPUTED_VALUE"""),110.0)</f>
        <v>110</v>
      </c>
      <c r="W1506" s="97"/>
      <c r="X1506" s="97">
        <f>IFERROR(__xludf.DUMMYFUNCTION("""COMPUTED_VALUE"""),3000.0)</f>
        <v>3000</v>
      </c>
      <c r="Y1506" s="97" t="str">
        <f>IFERROR(__xludf.DUMMYFUNCTION("""COMPUTED_VALUE"""),"&gt;90")</f>
        <v>&gt;90</v>
      </c>
      <c r="Z1506" s="97"/>
      <c r="AA1506" s="97"/>
      <c r="AB1506" s="97" t="str">
        <f>IFERROR(__xludf.DUMMYFUNCTION("""COMPUTED_VALUE"""),"&lt; 2")</f>
        <v>&lt; 2</v>
      </c>
      <c r="AC1506" s="97">
        <f>IFERROR(__xludf.DUMMYFUNCTION("""COMPUTED_VALUE"""),-0.0012)</f>
        <v>-0.0012</v>
      </c>
      <c r="AD1506" s="97" t="str">
        <f>IFERROR(__xludf.DUMMYFUNCTION("""COMPUTED_VALUE"""),"IP20")</f>
        <v>IP20</v>
      </c>
      <c r="AE1506" s="97"/>
      <c r="AF1506" s="97" t="str">
        <f>IFERROR(__xludf.DUMMYFUNCTION("""COMPUTED_VALUE"""),"Embutir")</f>
        <v>Embutir</v>
      </c>
      <c r="AG1506" s="97" t="str">
        <f>IFERROR(__xludf.DUMMYFUNCTION("""COMPUTED_VALUE"""),"Ø240 x 40")</f>
        <v>Ø240 x 40</v>
      </c>
      <c r="AH1506" s="97" t="str">
        <f>IFERROR(__xludf.DUMMYFUNCTION("""COMPUTED_VALUE"""),"Ø210")</f>
        <v>Ø210</v>
      </c>
      <c r="AI1506" s="97"/>
      <c r="AJ1506" s="97"/>
      <c r="AK1506" s="97" t="str">
        <f>IFERROR(__xludf.DUMMYFUNCTION("""COMPUTED_VALUE"""),"Aluminio")</f>
        <v>Aluminio</v>
      </c>
      <c r="AL1506" s="97" t="str">
        <f>IFERROR(__xludf.DUMMYFUNCTION("""COMPUTED_VALUE"""),"Blanco")</f>
        <v>Blanco</v>
      </c>
      <c r="AM1506" s="97"/>
      <c r="AN1506" s="97"/>
      <c r="AO1506" s="97" t="str">
        <f>IFERROR(__xludf.DUMMYFUNCTION("""COMPUTED_VALUE"""),"4 Años")</f>
        <v>4 Años</v>
      </c>
      <c r="AP1506" s="97" t="str">
        <f>IFERROR(__xludf.DUMMYFUNCTION("""COMPUTED_VALUE"""),"Falta")</f>
        <v>Falta</v>
      </c>
      <c r="AQ1506" s="97" t="str">
        <f>IFERROR(__xludf.DUMMYFUNCTION("""COMPUTED_VALUE"""),"Falta")</f>
        <v>Falta</v>
      </c>
      <c r="AR1506" s="97" t="str">
        <f>IFERROR(__xludf.DUMMYFUNCTION("""COMPUTED_VALUE"""),"Falta")</f>
        <v>Falta</v>
      </c>
      <c r="AS1506" s="97" t="str">
        <f>IFERROR(__xludf.DUMMYFUNCTION("""COMPUTED_VALUE"""),"Falta")</f>
        <v>Falta</v>
      </c>
      <c r="AT1506" s="97" t="str">
        <f>IFERROR(__xludf.DUMMYFUNCTION("""COMPUTED_VALUE"""),"Falta")</f>
        <v>Falta</v>
      </c>
      <c r="AU1506" s="97" t="str">
        <f>IFERROR(__xludf.DUMMYFUNCTION("""COMPUTED_VALUE"""),"Falta")</f>
        <v>Falta</v>
      </c>
      <c r="AV1506" s="97" t="str">
        <f>IFERROR(__xludf.DUMMYFUNCTION("""COMPUTED_VALUE"""),"Empotrable")</f>
        <v>Empotrable</v>
      </c>
      <c r="AW1506" s="97" t="str">
        <f>IFERROR(__xludf.DUMMYFUNCTION("""COMPUTED_VALUE"""),"De Techo")</f>
        <v>De Techo</v>
      </c>
      <c r="AX1506" s="97" t="str">
        <f>IFERROR(__xludf.DUMMYFUNCTION("""COMPUTED_VALUE"""),"Interior")</f>
        <v>Interior</v>
      </c>
      <c r="AY1506" s="97" t="str">
        <f>IFERROR(__xludf.DUMMYFUNCTION("""COMPUTED_VALUE"""),"-")</f>
        <v>-</v>
      </c>
      <c r="AZ1506" s="97"/>
      <c r="BA1506" s="97"/>
      <c r="BB1506" s="97"/>
      <c r="BC1506" s="97"/>
      <c r="BD1506" s="97" t="str">
        <f>IFERROR(__xludf.DUMMYFUNCTION("""COMPUTED_VALUE"""),"LIV")</f>
        <v>LIV</v>
      </c>
      <c r="BE1506" s="97"/>
      <c r="BF1506" s="97"/>
      <c r="BG1506" s="97" t="str">
        <f>IFERROR(__xludf.DUMMYFUNCTION("""COMPUTED_VALUE"""),"REPO 7")</f>
        <v>REPO 7</v>
      </c>
    </row>
    <row r="1507">
      <c r="A1507" s="97">
        <f>IFERROR(__xludf.DUMMYFUNCTION("""COMPUTED_VALUE"""),7623.0)</f>
        <v>7623</v>
      </c>
      <c r="B1507" s="97" t="str">
        <f>IFERROR(__xludf.DUMMYFUNCTION("""COMPUTED_VALUE"""),"LIV XL 40W 3000K")</f>
        <v>LIV XL 40W 3000K</v>
      </c>
      <c r="C1507" s="97" t="str">
        <f>IFERROR(__xludf.DUMMYFUNCTION("""COMPUTED_VALUE"""),"EMPOTRABLE LIV XL 40W 3000K 40W 3000K LM CRI&gt;90 IP20 LEUK")</f>
        <v>EMPOTRABLE LIV XL 40W 3000K 40W 3000K LM CRI&gt;90 IP20 LEUK</v>
      </c>
      <c r="D1507" s="97">
        <f>IFERROR(__xludf.DUMMYFUNCTION("""COMPUTED_VALUE"""),7.798485460787E12)</f>
        <v>7798485460787</v>
      </c>
      <c r="E1507" s="97" t="str">
        <f>IFERROR(__xludf.DUMMYFUNCTION("""COMPUTED_VALUE"""),"F153")</f>
        <v>F153</v>
      </c>
      <c r="F1507" s="97"/>
      <c r="G1507" s="97"/>
      <c r="H1507" s="97"/>
      <c r="I1507" s="97"/>
      <c r="J1507" s="97"/>
      <c r="K1507" s="97" t="str">
        <f>IFERROR(__xludf.DUMMYFUNCTION("""COMPUTED_VALUE"""),"ON/OFF")</f>
        <v>ON/OFF</v>
      </c>
      <c r="L1507" s="97" t="str">
        <f>IFERROR(__xludf.DUMMYFUNCTION("""COMPUTED_VALUE"""),"200-240")</f>
        <v>200-240</v>
      </c>
      <c r="M1507" s="97" t="str">
        <f>IFERROR(__xludf.DUMMYFUNCTION("""COMPUTED_VALUE"""),"50/60")</f>
        <v>50/60</v>
      </c>
      <c r="N1507" s="97" t="str">
        <f>IFERROR(__xludf.DUMMYFUNCTION("""COMPUTED_VALUE"""),"Directa")</f>
        <v>Directa</v>
      </c>
      <c r="O1507" s="97">
        <f>IFERROR(__xludf.DUMMYFUNCTION("""COMPUTED_VALUE"""),40.0)</f>
        <v>40</v>
      </c>
      <c r="P1507" s="97"/>
      <c r="Q1507" s="97"/>
      <c r="R1507" s="97" t="str">
        <f>IFERROR(__xludf.DUMMYFUNCTION("""COMPUTED_VALUE"""),"-")</f>
        <v>-</v>
      </c>
      <c r="S1507" s="97" t="str">
        <f>IFERROR(__xludf.DUMMYFUNCTION("""COMPUTED_VALUE"""),"-")</f>
        <v>-</v>
      </c>
      <c r="T1507" s="97"/>
      <c r="U1507" s="97"/>
      <c r="V1507" s="97">
        <f>IFERROR(__xludf.DUMMYFUNCTION("""COMPUTED_VALUE"""),110.0)</f>
        <v>110</v>
      </c>
      <c r="W1507" s="97"/>
      <c r="X1507" s="97">
        <f>IFERROR(__xludf.DUMMYFUNCTION("""COMPUTED_VALUE"""),3000.0)</f>
        <v>3000</v>
      </c>
      <c r="Y1507" s="97" t="str">
        <f>IFERROR(__xludf.DUMMYFUNCTION("""COMPUTED_VALUE"""),"&gt;90")</f>
        <v>&gt;90</v>
      </c>
      <c r="Z1507" s="97"/>
      <c r="AA1507" s="97"/>
      <c r="AB1507" s="97" t="str">
        <f>IFERROR(__xludf.DUMMYFUNCTION("""COMPUTED_VALUE"""),"&lt; 2")</f>
        <v>&lt; 2</v>
      </c>
      <c r="AC1507" s="97">
        <f>IFERROR(__xludf.DUMMYFUNCTION("""COMPUTED_VALUE"""),-0.0012)</f>
        <v>-0.0012</v>
      </c>
      <c r="AD1507" s="97" t="str">
        <f>IFERROR(__xludf.DUMMYFUNCTION("""COMPUTED_VALUE"""),"IP20")</f>
        <v>IP20</v>
      </c>
      <c r="AE1507" s="97"/>
      <c r="AF1507" s="97" t="str">
        <f>IFERROR(__xludf.DUMMYFUNCTION("""COMPUTED_VALUE"""),"Embutir")</f>
        <v>Embutir</v>
      </c>
      <c r="AG1507" s="97" t="str">
        <f>IFERROR(__xludf.DUMMYFUNCTION("""COMPUTED_VALUE"""),"Ø240 x 40")</f>
        <v>Ø240 x 40</v>
      </c>
      <c r="AH1507" s="97" t="str">
        <f>IFERROR(__xludf.DUMMYFUNCTION("""COMPUTED_VALUE"""),"Ø210")</f>
        <v>Ø210</v>
      </c>
      <c r="AI1507" s="97"/>
      <c r="AJ1507" s="97"/>
      <c r="AK1507" s="97" t="str">
        <f>IFERROR(__xludf.DUMMYFUNCTION("""COMPUTED_VALUE"""),"Aluminio")</f>
        <v>Aluminio</v>
      </c>
      <c r="AL1507" s="97" t="str">
        <f>IFERROR(__xludf.DUMMYFUNCTION("""COMPUTED_VALUE"""),"Blanco")</f>
        <v>Blanco</v>
      </c>
      <c r="AM1507" s="97"/>
      <c r="AN1507" s="97"/>
      <c r="AO1507" s="97" t="str">
        <f>IFERROR(__xludf.DUMMYFUNCTION("""COMPUTED_VALUE"""),"4 Años")</f>
        <v>4 Años</v>
      </c>
      <c r="AP1507" s="97" t="str">
        <f>IFERROR(__xludf.DUMMYFUNCTION("""COMPUTED_VALUE"""),"Falta")</f>
        <v>Falta</v>
      </c>
      <c r="AQ1507" s="97" t="str">
        <f>IFERROR(__xludf.DUMMYFUNCTION("""COMPUTED_VALUE"""),"Falta")</f>
        <v>Falta</v>
      </c>
      <c r="AR1507" s="97" t="str">
        <f>IFERROR(__xludf.DUMMYFUNCTION("""COMPUTED_VALUE"""),"Falta")</f>
        <v>Falta</v>
      </c>
      <c r="AS1507" s="97" t="str">
        <f>IFERROR(__xludf.DUMMYFUNCTION("""COMPUTED_VALUE"""),"Falta")</f>
        <v>Falta</v>
      </c>
      <c r="AT1507" s="97" t="str">
        <f>IFERROR(__xludf.DUMMYFUNCTION("""COMPUTED_VALUE"""),"Falta")</f>
        <v>Falta</v>
      </c>
      <c r="AU1507" s="97" t="str">
        <f>IFERROR(__xludf.DUMMYFUNCTION("""COMPUTED_VALUE"""),"Falta")</f>
        <v>Falta</v>
      </c>
      <c r="AV1507" s="97" t="str">
        <f>IFERROR(__xludf.DUMMYFUNCTION("""COMPUTED_VALUE"""),"Empotrable")</f>
        <v>Empotrable</v>
      </c>
      <c r="AW1507" s="97" t="str">
        <f>IFERROR(__xludf.DUMMYFUNCTION("""COMPUTED_VALUE"""),"De Techo")</f>
        <v>De Techo</v>
      </c>
      <c r="AX1507" s="97" t="str">
        <f>IFERROR(__xludf.DUMMYFUNCTION("""COMPUTED_VALUE"""),"Interior")</f>
        <v>Interior</v>
      </c>
      <c r="AY1507" s="97" t="str">
        <f>IFERROR(__xludf.DUMMYFUNCTION("""COMPUTED_VALUE"""),"-")</f>
        <v>-</v>
      </c>
      <c r="AZ1507" s="97"/>
      <c r="BA1507" s="97"/>
      <c r="BB1507" s="97"/>
      <c r="BC1507" s="97"/>
      <c r="BD1507" s="97" t="str">
        <f>IFERROR(__xludf.DUMMYFUNCTION("""COMPUTED_VALUE"""),"LIV")</f>
        <v>LIV</v>
      </c>
      <c r="BE1507" s="97"/>
      <c r="BF1507" s="97"/>
      <c r="BG1507" s="97" t="str">
        <f>IFERROR(__xludf.DUMMYFUNCTION("""COMPUTED_VALUE"""),"REPO 7")</f>
        <v>REPO 7</v>
      </c>
    </row>
    <row r="1508">
      <c r="A1508" s="97">
        <f>IFERROR(__xludf.DUMMYFUNCTION("""COMPUTED_VALUE"""),7624.0)</f>
        <v>7624</v>
      </c>
      <c r="B1508" s="97" t="str">
        <f>IFERROR(__xludf.DUMMYFUNCTION("""COMPUTED_VALUE"""),"LIV XL 30W 4000k")</f>
        <v>LIV XL 30W 4000k</v>
      </c>
      <c r="C1508" s="97" t="str">
        <f>IFERROR(__xludf.DUMMYFUNCTION("""COMPUTED_VALUE"""),"EMPOTRABLE LIV XL 30W 4000K 30W 4000K LM CRI&gt;90 IP20 LEUK")</f>
        <v>EMPOTRABLE LIV XL 30W 4000K 30W 4000K LM CRI&gt;90 IP20 LEUK</v>
      </c>
      <c r="D1508" s="97">
        <f>IFERROR(__xludf.DUMMYFUNCTION("""COMPUTED_VALUE"""),7.798485460794E12)</f>
        <v>7798485460794</v>
      </c>
      <c r="E1508" s="97" t="str">
        <f>IFERROR(__xludf.DUMMYFUNCTION("""COMPUTED_VALUE"""),"F152")</f>
        <v>F152</v>
      </c>
      <c r="F1508" s="97"/>
      <c r="G1508" s="97"/>
      <c r="H1508" s="97"/>
      <c r="I1508" s="97"/>
      <c r="J1508" s="97"/>
      <c r="K1508" s="97" t="str">
        <f>IFERROR(__xludf.DUMMYFUNCTION("""COMPUTED_VALUE"""),"ON/OFF")</f>
        <v>ON/OFF</v>
      </c>
      <c r="L1508" s="97" t="str">
        <f>IFERROR(__xludf.DUMMYFUNCTION("""COMPUTED_VALUE"""),"200-240")</f>
        <v>200-240</v>
      </c>
      <c r="M1508" s="97" t="str">
        <f>IFERROR(__xludf.DUMMYFUNCTION("""COMPUTED_VALUE"""),"50/60")</f>
        <v>50/60</v>
      </c>
      <c r="N1508" s="97" t="str">
        <f>IFERROR(__xludf.DUMMYFUNCTION("""COMPUTED_VALUE"""),"Directa")</f>
        <v>Directa</v>
      </c>
      <c r="O1508" s="97">
        <f>IFERROR(__xludf.DUMMYFUNCTION("""COMPUTED_VALUE"""),30.0)</f>
        <v>30</v>
      </c>
      <c r="P1508" s="97"/>
      <c r="Q1508" s="97"/>
      <c r="R1508" s="97" t="str">
        <f>IFERROR(__xludf.DUMMYFUNCTION("""COMPUTED_VALUE"""),"-")</f>
        <v>-</v>
      </c>
      <c r="S1508" s="97" t="str">
        <f>IFERROR(__xludf.DUMMYFUNCTION("""COMPUTED_VALUE"""),"-")</f>
        <v>-</v>
      </c>
      <c r="T1508" s="97"/>
      <c r="U1508" s="97"/>
      <c r="V1508" s="97">
        <f>IFERROR(__xludf.DUMMYFUNCTION("""COMPUTED_VALUE"""),110.0)</f>
        <v>110</v>
      </c>
      <c r="W1508" s="97"/>
      <c r="X1508" s="97">
        <f>IFERROR(__xludf.DUMMYFUNCTION("""COMPUTED_VALUE"""),4000.0)</f>
        <v>4000</v>
      </c>
      <c r="Y1508" s="97" t="str">
        <f>IFERROR(__xludf.DUMMYFUNCTION("""COMPUTED_VALUE"""),"&gt;90")</f>
        <v>&gt;90</v>
      </c>
      <c r="Z1508" s="97"/>
      <c r="AA1508" s="97"/>
      <c r="AB1508" s="97" t="str">
        <f>IFERROR(__xludf.DUMMYFUNCTION("""COMPUTED_VALUE"""),"&lt; 2")</f>
        <v>&lt; 2</v>
      </c>
      <c r="AC1508" s="97">
        <f>IFERROR(__xludf.DUMMYFUNCTION("""COMPUTED_VALUE"""),2.0E-4)</f>
        <v>0.0002</v>
      </c>
      <c r="AD1508" s="97" t="str">
        <f>IFERROR(__xludf.DUMMYFUNCTION("""COMPUTED_VALUE"""),"IP20")</f>
        <v>IP20</v>
      </c>
      <c r="AE1508" s="97"/>
      <c r="AF1508" s="97" t="str">
        <f>IFERROR(__xludf.DUMMYFUNCTION("""COMPUTED_VALUE"""),"Embutir")</f>
        <v>Embutir</v>
      </c>
      <c r="AG1508" s="97" t="str">
        <f>IFERROR(__xludf.DUMMYFUNCTION("""COMPUTED_VALUE"""),"Ø240 x 40")</f>
        <v>Ø240 x 40</v>
      </c>
      <c r="AH1508" s="97" t="str">
        <f>IFERROR(__xludf.DUMMYFUNCTION("""COMPUTED_VALUE"""),"Ø210")</f>
        <v>Ø210</v>
      </c>
      <c r="AI1508" s="97"/>
      <c r="AJ1508" s="97"/>
      <c r="AK1508" s="97" t="str">
        <f>IFERROR(__xludf.DUMMYFUNCTION("""COMPUTED_VALUE"""),"Aluminio")</f>
        <v>Aluminio</v>
      </c>
      <c r="AL1508" s="97" t="str">
        <f>IFERROR(__xludf.DUMMYFUNCTION("""COMPUTED_VALUE"""),"Blanco")</f>
        <v>Blanco</v>
      </c>
      <c r="AM1508" s="97"/>
      <c r="AN1508" s="97"/>
      <c r="AO1508" s="97" t="str">
        <f>IFERROR(__xludf.DUMMYFUNCTION("""COMPUTED_VALUE"""),"4 Años")</f>
        <v>4 Años</v>
      </c>
      <c r="AP1508" s="97" t="str">
        <f>IFERROR(__xludf.DUMMYFUNCTION("""COMPUTED_VALUE"""),"Falta")</f>
        <v>Falta</v>
      </c>
      <c r="AQ1508" s="97" t="str">
        <f>IFERROR(__xludf.DUMMYFUNCTION("""COMPUTED_VALUE"""),"Falta")</f>
        <v>Falta</v>
      </c>
      <c r="AR1508" s="97" t="str">
        <f>IFERROR(__xludf.DUMMYFUNCTION("""COMPUTED_VALUE"""),"Falta")</f>
        <v>Falta</v>
      </c>
      <c r="AS1508" s="97" t="str">
        <f>IFERROR(__xludf.DUMMYFUNCTION("""COMPUTED_VALUE"""),"Falta")</f>
        <v>Falta</v>
      </c>
      <c r="AT1508" s="97" t="str">
        <f>IFERROR(__xludf.DUMMYFUNCTION("""COMPUTED_VALUE"""),"Falta")</f>
        <v>Falta</v>
      </c>
      <c r="AU1508" s="97" t="str">
        <f>IFERROR(__xludf.DUMMYFUNCTION("""COMPUTED_VALUE"""),"Falta")</f>
        <v>Falta</v>
      </c>
      <c r="AV1508" s="97" t="str">
        <f>IFERROR(__xludf.DUMMYFUNCTION("""COMPUTED_VALUE"""),"Empotrable")</f>
        <v>Empotrable</v>
      </c>
      <c r="AW1508" s="97" t="str">
        <f>IFERROR(__xludf.DUMMYFUNCTION("""COMPUTED_VALUE"""),"De Techo")</f>
        <v>De Techo</v>
      </c>
      <c r="AX1508" s="97" t="str">
        <f>IFERROR(__xludf.DUMMYFUNCTION("""COMPUTED_VALUE"""),"Interior")</f>
        <v>Interior</v>
      </c>
      <c r="AY1508" s="97" t="str">
        <f>IFERROR(__xludf.DUMMYFUNCTION("""COMPUTED_VALUE"""),"-")</f>
        <v>-</v>
      </c>
      <c r="AZ1508" s="97"/>
      <c r="BA1508" s="97"/>
      <c r="BB1508" s="97"/>
      <c r="BC1508" s="97"/>
      <c r="BD1508" s="97" t="str">
        <f>IFERROR(__xludf.DUMMYFUNCTION("""COMPUTED_VALUE"""),"LIV")</f>
        <v>LIV</v>
      </c>
      <c r="BE1508" s="97"/>
      <c r="BF1508" s="97"/>
      <c r="BG1508" s="97" t="str">
        <f>IFERROR(__xludf.DUMMYFUNCTION("""COMPUTED_VALUE"""),"REPO 7")</f>
        <v>REPO 7</v>
      </c>
    </row>
    <row r="1509">
      <c r="A1509" s="97">
        <f>IFERROR(__xludf.DUMMYFUNCTION("""COMPUTED_VALUE"""),7625.0)</f>
        <v>7625</v>
      </c>
      <c r="B1509" s="97" t="str">
        <f>IFERROR(__xludf.DUMMYFUNCTION("""COMPUTED_VALUE"""),"LIV XL 40W 4000K")</f>
        <v>LIV XL 40W 4000K</v>
      </c>
      <c r="C1509" s="97" t="str">
        <f>IFERROR(__xludf.DUMMYFUNCTION("""COMPUTED_VALUE"""),"EMPOTRABLE LIV XL 40W 4000K 40W 4000K LM CRI&gt;90 IP20 LEUK")</f>
        <v>EMPOTRABLE LIV XL 40W 4000K 40W 4000K LM CRI&gt;90 IP20 LEUK</v>
      </c>
      <c r="D1509" s="97">
        <f>IFERROR(__xludf.DUMMYFUNCTION("""COMPUTED_VALUE"""),7.7984854608E12)</f>
        <v>7798485460800</v>
      </c>
      <c r="E1509" s="97" t="str">
        <f>IFERROR(__xludf.DUMMYFUNCTION("""COMPUTED_VALUE"""),"F153")</f>
        <v>F153</v>
      </c>
      <c r="F1509" s="97"/>
      <c r="G1509" s="97"/>
      <c r="H1509" s="97"/>
      <c r="I1509" s="97"/>
      <c r="J1509" s="97"/>
      <c r="K1509" s="97" t="str">
        <f>IFERROR(__xludf.DUMMYFUNCTION("""COMPUTED_VALUE"""),"ON/OFF")</f>
        <v>ON/OFF</v>
      </c>
      <c r="L1509" s="97" t="str">
        <f>IFERROR(__xludf.DUMMYFUNCTION("""COMPUTED_VALUE"""),"200-240")</f>
        <v>200-240</v>
      </c>
      <c r="M1509" s="97" t="str">
        <f>IFERROR(__xludf.DUMMYFUNCTION("""COMPUTED_VALUE"""),"50/60")</f>
        <v>50/60</v>
      </c>
      <c r="N1509" s="97" t="str">
        <f>IFERROR(__xludf.DUMMYFUNCTION("""COMPUTED_VALUE"""),"Directa")</f>
        <v>Directa</v>
      </c>
      <c r="O1509" s="97">
        <f>IFERROR(__xludf.DUMMYFUNCTION("""COMPUTED_VALUE"""),40.0)</f>
        <v>40</v>
      </c>
      <c r="P1509" s="97"/>
      <c r="Q1509" s="97"/>
      <c r="R1509" s="97" t="str">
        <f>IFERROR(__xludf.DUMMYFUNCTION("""COMPUTED_VALUE"""),"-")</f>
        <v>-</v>
      </c>
      <c r="S1509" s="97" t="str">
        <f>IFERROR(__xludf.DUMMYFUNCTION("""COMPUTED_VALUE"""),"-")</f>
        <v>-</v>
      </c>
      <c r="T1509" s="97"/>
      <c r="U1509" s="97"/>
      <c r="V1509" s="97">
        <f>IFERROR(__xludf.DUMMYFUNCTION("""COMPUTED_VALUE"""),110.0)</f>
        <v>110</v>
      </c>
      <c r="W1509" s="97"/>
      <c r="X1509" s="97">
        <f>IFERROR(__xludf.DUMMYFUNCTION("""COMPUTED_VALUE"""),4000.0)</f>
        <v>4000</v>
      </c>
      <c r="Y1509" s="97" t="str">
        <f>IFERROR(__xludf.DUMMYFUNCTION("""COMPUTED_VALUE"""),"&gt;90")</f>
        <v>&gt;90</v>
      </c>
      <c r="Z1509" s="97"/>
      <c r="AA1509" s="97"/>
      <c r="AB1509" s="97" t="str">
        <f>IFERROR(__xludf.DUMMYFUNCTION("""COMPUTED_VALUE"""),"&lt; 2")</f>
        <v>&lt; 2</v>
      </c>
      <c r="AC1509" s="97">
        <f>IFERROR(__xludf.DUMMYFUNCTION("""COMPUTED_VALUE"""),1.0E-4)</f>
        <v>0.0001</v>
      </c>
      <c r="AD1509" s="97" t="str">
        <f>IFERROR(__xludf.DUMMYFUNCTION("""COMPUTED_VALUE"""),"IP20")</f>
        <v>IP20</v>
      </c>
      <c r="AE1509" s="97"/>
      <c r="AF1509" s="97" t="str">
        <f>IFERROR(__xludf.DUMMYFUNCTION("""COMPUTED_VALUE"""),"Embutir")</f>
        <v>Embutir</v>
      </c>
      <c r="AG1509" s="97" t="str">
        <f>IFERROR(__xludf.DUMMYFUNCTION("""COMPUTED_VALUE"""),"Ø240 x 40")</f>
        <v>Ø240 x 40</v>
      </c>
      <c r="AH1509" s="97" t="str">
        <f>IFERROR(__xludf.DUMMYFUNCTION("""COMPUTED_VALUE"""),"Ø210")</f>
        <v>Ø210</v>
      </c>
      <c r="AI1509" s="97"/>
      <c r="AJ1509" s="97"/>
      <c r="AK1509" s="97" t="str">
        <f>IFERROR(__xludf.DUMMYFUNCTION("""COMPUTED_VALUE"""),"Aluminio")</f>
        <v>Aluminio</v>
      </c>
      <c r="AL1509" s="97" t="str">
        <f>IFERROR(__xludf.DUMMYFUNCTION("""COMPUTED_VALUE"""),"Blanco")</f>
        <v>Blanco</v>
      </c>
      <c r="AM1509" s="97"/>
      <c r="AN1509" s="97"/>
      <c r="AO1509" s="97" t="str">
        <f>IFERROR(__xludf.DUMMYFUNCTION("""COMPUTED_VALUE"""),"4 Años")</f>
        <v>4 Años</v>
      </c>
      <c r="AP1509" s="97" t="str">
        <f>IFERROR(__xludf.DUMMYFUNCTION("""COMPUTED_VALUE"""),"Falta")</f>
        <v>Falta</v>
      </c>
      <c r="AQ1509" s="97" t="str">
        <f>IFERROR(__xludf.DUMMYFUNCTION("""COMPUTED_VALUE"""),"Falta")</f>
        <v>Falta</v>
      </c>
      <c r="AR1509" s="97" t="str">
        <f>IFERROR(__xludf.DUMMYFUNCTION("""COMPUTED_VALUE"""),"Falta")</f>
        <v>Falta</v>
      </c>
      <c r="AS1509" s="97" t="str">
        <f>IFERROR(__xludf.DUMMYFUNCTION("""COMPUTED_VALUE"""),"Falta")</f>
        <v>Falta</v>
      </c>
      <c r="AT1509" s="97" t="str">
        <f>IFERROR(__xludf.DUMMYFUNCTION("""COMPUTED_VALUE"""),"Falta")</f>
        <v>Falta</v>
      </c>
      <c r="AU1509" s="97" t="str">
        <f>IFERROR(__xludf.DUMMYFUNCTION("""COMPUTED_VALUE"""),"Falta")</f>
        <v>Falta</v>
      </c>
      <c r="AV1509" s="97" t="str">
        <f>IFERROR(__xludf.DUMMYFUNCTION("""COMPUTED_VALUE"""),"Empotrable")</f>
        <v>Empotrable</v>
      </c>
      <c r="AW1509" s="97" t="str">
        <f>IFERROR(__xludf.DUMMYFUNCTION("""COMPUTED_VALUE"""),"De Techo")</f>
        <v>De Techo</v>
      </c>
      <c r="AX1509" s="97" t="str">
        <f>IFERROR(__xludf.DUMMYFUNCTION("""COMPUTED_VALUE"""),"Interior")</f>
        <v>Interior</v>
      </c>
      <c r="AY1509" s="97" t="str">
        <f>IFERROR(__xludf.DUMMYFUNCTION("""COMPUTED_VALUE"""),"-")</f>
        <v>-</v>
      </c>
      <c r="AZ1509" s="97"/>
      <c r="BA1509" s="97"/>
      <c r="BB1509" s="97"/>
      <c r="BC1509" s="97"/>
      <c r="BD1509" s="97" t="str">
        <f>IFERROR(__xludf.DUMMYFUNCTION("""COMPUTED_VALUE"""),"LIV")</f>
        <v>LIV</v>
      </c>
      <c r="BE1509" s="97"/>
      <c r="BF1509" s="97"/>
      <c r="BG1509" s="97" t="str">
        <f>IFERROR(__xludf.DUMMYFUNCTION("""COMPUTED_VALUE"""),"REPO 7")</f>
        <v>REPO 7</v>
      </c>
    </row>
    <row r="1510">
      <c r="A1510" s="97">
        <f>IFERROR(__xludf.DUMMYFUNCTION("""COMPUTED_VALUE"""),7626.0)</f>
        <v>7626</v>
      </c>
      <c r="B1510" s="97" t="str">
        <f>IFERROR(__xludf.DUMMYFUNCTION("""COMPUTED_VALUE"""),"TERRA TRACK 2M NG")</f>
        <v>TERRA TRACK 2M NG</v>
      </c>
      <c r="C1510" s="97" t="str">
        <f>IFERROR(__xludf.DUMMYFUNCTION("""COMPUTED_VALUE"""),"RIEL TERRA TRACK 2M NG LEUK")</f>
        <v>RIEL TERRA TRACK 2M NG LEUK</v>
      </c>
      <c r="D1510" s="97">
        <f>IFERROR(__xludf.DUMMYFUNCTION("""COMPUTED_VALUE"""),7.798485460817E12)</f>
        <v>7798485460817</v>
      </c>
      <c r="E1510" s="97" t="str">
        <f>IFERROR(__xludf.DUMMYFUNCTION("""COMPUTED_VALUE"""),"RME2")</f>
        <v>RME2</v>
      </c>
      <c r="F1510" s="97" t="str">
        <f>IFERROR(__xludf.DUMMYFUNCTION("""COMPUTED_VALUE"""),"N/A")</f>
        <v>N/A</v>
      </c>
      <c r="G1510" s="97" t="str">
        <f>IFERROR(__xludf.DUMMYFUNCTION("""COMPUTED_VALUE"""),"N/A")</f>
        <v>N/A</v>
      </c>
      <c r="H1510" s="97" t="str">
        <f>IFERROR(__xludf.DUMMYFUNCTION("""COMPUTED_VALUE"""),"N/A")</f>
        <v>N/A</v>
      </c>
      <c r="I1510" s="97" t="str">
        <f>IFERROR(__xludf.DUMMYFUNCTION("""COMPUTED_VALUE"""),"N/A")</f>
        <v>N/A</v>
      </c>
      <c r="J1510" s="97" t="str">
        <f>IFERROR(__xludf.DUMMYFUNCTION("""COMPUTED_VALUE"""),"N/A")</f>
        <v>N/A</v>
      </c>
      <c r="K1510" s="97" t="str">
        <f>IFERROR(__xludf.DUMMYFUNCTION("""COMPUTED_VALUE"""),"N/A")</f>
        <v>N/A</v>
      </c>
      <c r="L1510" s="97" t="str">
        <f>IFERROR(__xludf.DUMMYFUNCTION("""COMPUTED_VALUE"""),"N/A")</f>
        <v>N/A</v>
      </c>
      <c r="M1510" s="97" t="str">
        <f>IFERROR(__xludf.DUMMYFUNCTION("""COMPUTED_VALUE"""),"N/A")</f>
        <v>N/A</v>
      </c>
      <c r="N1510" s="97" t="str">
        <f>IFERROR(__xludf.DUMMYFUNCTION("""COMPUTED_VALUE"""),"N/A")</f>
        <v>N/A</v>
      </c>
      <c r="O1510" s="97" t="str">
        <f>IFERROR(__xludf.DUMMYFUNCTION("""COMPUTED_VALUE"""),"N/A")</f>
        <v>N/A</v>
      </c>
      <c r="P1510" s="97" t="str">
        <f>IFERROR(__xludf.DUMMYFUNCTION("""COMPUTED_VALUE"""),"N/A")</f>
        <v>N/A</v>
      </c>
      <c r="Q1510" s="97" t="str">
        <f>IFERROR(__xludf.DUMMYFUNCTION("""COMPUTED_VALUE"""),"N/A")</f>
        <v>N/A</v>
      </c>
      <c r="R1510" s="97" t="str">
        <f>IFERROR(__xludf.DUMMYFUNCTION("""COMPUTED_VALUE"""),"N/A")</f>
        <v>N/A</v>
      </c>
      <c r="S1510" s="97" t="str">
        <f>IFERROR(__xludf.DUMMYFUNCTION("""COMPUTED_VALUE"""),"N/A")</f>
        <v>N/A</v>
      </c>
      <c r="T1510" s="97" t="str">
        <f>IFERROR(__xludf.DUMMYFUNCTION("""COMPUTED_VALUE"""),"N/A")</f>
        <v>N/A</v>
      </c>
      <c r="U1510" s="97" t="str">
        <f>IFERROR(__xludf.DUMMYFUNCTION("""COMPUTED_VALUE"""),"N/A")</f>
        <v>N/A</v>
      </c>
      <c r="V1510" s="97" t="str">
        <f>IFERROR(__xludf.DUMMYFUNCTION("""COMPUTED_VALUE"""),"N/A")</f>
        <v>N/A</v>
      </c>
      <c r="W1510" s="97" t="str">
        <f>IFERROR(__xludf.DUMMYFUNCTION("""COMPUTED_VALUE"""),"N/A")</f>
        <v>N/A</v>
      </c>
      <c r="X1510" s="97" t="str">
        <f>IFERROR(__xludf.DUMMYFUNCTION("""COMPUTED_VALUE"""),"N/A")</f>
        <v>N/A</v>
      </c>
      <c r="Y1510" s="97" t="str">
        <f>IFERROR(__xludf.DUMMYFUNCTION("""COMPUTED_VALUE"""),"N/A")</f>
        <v>N/A</v>
      </c>
      <c r="Z1510" s="97" t="str">
        <f>IFERROR(__xludf.DUMMYFUNCTION("""COMPUTED_VALUE"""),"N/A")</f>
        <v>N/A</v>
      </c>
      <c r="AA1510" s="97" t="str">
        <f>IFERROR(__xludf.DUMMYFUNCTION("""COMPUTED_VALUE"""),"N/A")</f>
        <v>N/A</v>
      </c>
      <c r="AB1510" s="97" t="str">
        <f>IFERROR(__xludf.DUMMYFUNCTION("""COMPUTED_VALUE"""),"N/A")</f>
        <v>N/A</v>
      </c>
      <c r="AC1510" s="97" t="str">
        <f>IFERROR(__xludf.DUMMYFUNCTION("""COMPUTED_VALUE"""),"N/A")</f>
        <v>N/A</v>
      </c>
      <c r="AD1510" s="97" t="str">
        <f>IFERROR(__xludf.DUMMYFUNCTION("""COMPUTED_VALUE"""),"IP65")</f>
        <v>IP65</v>
      </c>
      <c r="AE1510" s="97" t="str">
        <f>IFERROR(__xludf.DUMMYFUNCTION("""COMPUTED_VALUE"""),"Clase lll")</f>
        <v>Clase lll</v>
      </c>
      <c r="AF1510" s="97" t="str">
        <f>IFERROR(__xludf.DUMMYFUNCTION("""COMPUTED_VALUE"""),"Aplicar")</f>
        <v>Aplicar</v>
      </c>
      <c r="AG1510" s="97" t="str">
        <f>IFERROR(__xludf.DUMMYFUNCTION("""COMPUTED_VALUE"""),"Ø21.5 x 2000")</f>
        <v>Ø21.5 x 2000</v>
      </c>
      <c r="AH1510" s="97" t="str">
        <f>IFERROR(__xludf.DUMMYFUNCTION("""COMPUTED_VALUE"""),"N/A")</f>
        <v>N/A</v>
      </c>
      <c r="AI1510" s="97" t="str">
        <f>IFERROR(__xludf.DUMMYFUNCTION("""COMPUTED_VALUE"""),"N/A")</f>
        <v>N/A</v>
      </c>
      <c r="AJ1510" s="97" t="str">
        <f>IFERROR(__xludf.DUMMYFUNCTION("""COMPUTED_VALUE"""),"N/A")</f>
        <v>N/A</v>
      </c>
      <c r="AK1510" s="97" t="str">
        <f>IFERROR(__xludf.DUMMYFUNCTION("""COMPUTED_VALUE"""),"Aluminio")</f>
        <v>Aluminio</v>
      </c>
      <c r="AL1510" s="97" t="str">
        <f>IFERROR(__xludf.DUMMYFUNCTION("""COMPUTED_VALUE"""),"Negro Satinado")</f>
        <v>Negro Satinado</v>
      </c>
      <c r="AM1510" s="97"/>
      <c r="AN1510" s="97"/>
      <c r="AO1510" s="97" t="str">
        <f>IFERROR(__xludf.DUMMYFUNCTION("""COMPUTED_VALUE"""),"2 Años")</f>
        <v>2 Años</v>
      </c>
      <c r="AP1510" s="97" t="str">
        <f>IFERROR(__xludf.DUMMYFUNCTION("""COMPUTED_VALUE"""),"No Aplica")</f>
        <v>No Aplica</v>
      </c>
      <c r="AQ1510" s="97" t="str">
        <f>IFERROR(__xludf.DUMMYFUNCTION("""COMPUTED_VALUE"""),"No Aplica")</f>
        <v>No Aplica</v>
      </c>
      <c r="AR1510" s="97" t="str">
        <f>IFERROR(__xludf.DUMMYFUNCTION("""COMPUTED_VALUE"""),"No Aplica")</f>
        <v>No Aplica</v>
      </c>
      <c r="AS1510" s="97" t="str">
        <f>IFERROR(__xludf.DUMMYFUNCTION("""COMPUTED_VALUE"""),"Falta")</f>
        <v>Falta</v>
      </c>
      <c r="AT1510" s="97" t="str">
        <f>IFERROR(__xludf.DUMMYFUNCTION("""COMPUTED_VALUE"""),"Falta")</f>
        <v>Falta</v>
      </c>
      <c r="AU1510" s="97" t="str">
        <f>IFERROR(__xludf.DUMMYFUNCTION("""COMPUTED_VALUE"""),"Disponible")</f>
        <v>Disponible</v>
      </c>
      <c r="AV1510" s="97" t="str">
        <f>IFERROR(__xludf.DUMMYFUNCTION("""COMPUTED_VALUE"""),"Riel")</f>
        <v>Riel</v>
      </c>
      <c r="AW1510" s="97" t="str">
        <f>IFERROR(__xludf.DUMMYFUNCTION("""COMPUTED_VALUE"""),"Rieles")</f>
        <v>Rieles</v>
      </c>
      <c r="AX1510" s="97" t="str">
        <f>IFERROR(__xludf.DUMMYFUNCTION("""COMPUTED_VALUE"""),"Exterior")</f>
        <v>Exterior</v>
      </c>
      <c r="AY1510" s="97" t="str">
        <f>IFERROR(__xludf.DUMMYFUNCTION("""COMPUTED_VALUE"""),"-")</f>
        <v>-</v>
      </c>
      <c r="AZ1510" s="97"/>
      <c r="BA1510" s="97"/>
      <c r="BB1510" s="97"/>
      <c r="BC1510" s="97"/>
      <c r="BD1510" s="97" t="str">
        <f>IFERROR(__xludf.DUMMYFUNCTION("""COMPUTED_VALUE"""),"TERRA")</f>
        <v>TERRA</v>
      </c>
      <c r="BE1510" s="97"/>
      <c r="BF1510" s="97"/>
      <c r="BG1510" s="97" t="str">
        <f>IFERROR(__xludf.DUMMYFUNCTION("""COMPUTED_VALUE"""),"REPO 7")</f>
        <v>REPO 7</v>
      </c>
    </row>
    <row r="1511">
      <c r="A1511" s="97">
        <f>IFERROR(__xludf.DUMMYFUNCTION("""COMPUTED_VALUE"""),7627.0)</f>
        <v>7627</v>
      </c>
      <c r="B1511" s="97" t="str">
        <f>IFERROR(__xludf.DUMMYFUNCTION("""COMPUTED_VALUE"""),"TERRA TRACK 3M NG")</f>
        <v>TERRA TRACK 3M NG</v>
      </c>
      <c r="C1511" s="97" t="str">
        <f>IFERROR(__xludf.DUMMYFUNCTION("""COMPUTED_VALUE"""),"RIEL TERRA TRACK 3M NG LEUK")</f>
        <v>RIEL TERRA TRACK 3M NG LEUK</v>
      </c>
      <c r="D1511" s="97">
        <f>IFERROR(__xludf.DUMMYFUNCTION("""COMPUTED_VALUE"""),7.798485460824E12)</f>
        <v>7798485460824</v>
      </c>
      <c r="E1511" s="97" t="str">
        <f>IFERROR(__xludf.DUMMYFUNCTION("""COMPUTED_VALUE"""),"RME3")</f>
        <v>RME3</v>
      </c>
      <c r="F1511" s="97" t="str">
        <f>IFERROR(__xludf.DUMMYFUNCTION("""COMPUTED_VALUE"""),"N/A")</f>
        <v>N/A</v>
      </c>
      <c r="G1511" s="97" t="str">
        <f>IFERROR(__xludf.DUMMYFUNCTION("""COMPUTED_VALUE"""),"N/A")</f>
        <v>N/A</v>
      </c>
      <c r="H1511" s="97" t="str">
        <f>IFERROR(__xludf.DUMMYFUNCTION("""COMPUTED_VALUE"""),"N/A")</f>
        <v>N/A</v>
      </c>
      <c r="I1511" s="97" t="str">
        <f>IFERROR(__xludf.DUMMYFUNCTION("""COMPUTED_VALUE"""),"N/A")</f>
        <v>N/A</v>
      </c>
      <c r="J1511" s="97" t="str">
        <f>IFERROR(__xludf.DUMMYFUNCTION("""COMPUTED_VALUE"""),"N/A")</f>
        <v>N/A</v>
      </c>
      <c r="K1511" s="97" t="str">
        <f>IFERROR(__xludf.DUMMYFUNCTION("""COMPUTED_VALUE"""),"N/A")</f>
        <v>N/A</v>
      </c>
      <c r="L1511" s="97" t="str">
        <f>IFERROR(__xludf.DUMMYFUNCTION("""COMPUTED_VALUE"""),"N/A")</f>
        <v>N/A</v>
      </c>
      <c r="M1511" s="97" t="str">
        <f>IFERROR(__xludf.DUMMYFUNCTION("""COMPUTED_VALUE"""),"N/A")</f>
        <v>N/A</v>
      </c>
      <c r="N1511" s="97" t="str">
        <f>IFERROR(__xludf.DUMMYFUNCTION("""COMPUTED_VALUE"""),"N/A")</f>
        <v>N/A</v>
      </c>
      <c r="O1511" s="97" t="str">
        <f>IFERROR(__xludf.DUMMYFUNCTION("""COMPUTED_VALUE"""),"N/A")</f>
        <v>N/A</v>
      </c>
      <c r="P1511" s="97" t="str">
        <f>IFERROR(__xludf.DUMMYFUNCTION("""COMPUTED_VALUE"""),"N/A")</f>
        <v>N/A</v>
      </c>
      <c r="Q1511" s="97" t="str">
        <f>IFERROR(__xludf.DUMMYFUNCTION("""COMPUTED_VALUE"""),"N/A")</f>
        <v>N/A</v>
      </c>
      <c r="R1511" s="97" t="str">
        <f>IFERROR(__xludf.DUMMYFUNCTION("""COMPUTED_VALUE"""),"N/A")</f>
        <v>N/A</v>
      </c>
      <c r="S1511" s="97" t="str">
        <f>IFERROR(__xludf.DUMMYFUNCTION("""COMPUTED_VALUE"""),"N/A")</f>
        <v>N/A</v>
      </c>
      <c r="T1511" s="97" t="str">
        <f>IFERROR(__xludf.DUMMYFUNCTION("""COMPUTED_VALUE"""),"N/A")</f>
        <v>N/A</v>
      </c>
      <c r="U1511" s="97" t="str">
        <f>IFERROR(__xludf.DUMMYFUNCTION("""COMPUTED_VALUE"""),"N/A")</f>
        <v>N/A</v>
      </c>
      <c r="V1511" s="97" t="str">
        <f>IFERROR(__xludf.DUMMYFUNCTION("""COMPUTED_VALUE"""),"N/A")</f>
        <v>N/A</v>
      </c>
      <c r="W1511" s="97" t="str">
        <f>IFERROR(__xludf.DUMMYFUNCTION("""COMPUTED_VALUE"""),"N/A")</f>
        <v>N/A</v>
      </c>
      <c r="X1511" s="97" t="str">
        <f>IFERROR(__xludf.DUMMYFUNCTION("""COMPUTED_VALUE"""),"N/A")</f>
        <v>N/A</v>
      </c>
      <c r="Y1511" s="97" t="str">
        <f>IFERROR(__xludf.DUMMYFUNCTION("""COMPUTED_VALUE"""),"N/A")</f>
        <v>N/A</v>
      </c>
      <c r="Z1511" s="97" t="str">
        <f>IFERROR(__xludf.DUMMYFUNCTION("""COMPUTED_VALUE"""),"N/A")</f>
        <v>N/A</v>
      </c>
      <c r="AA1511" s="97" t="str">
        <f>IFERROR(__xludf.DUMMYFUNCTION("""COMPUTED_VALUE"""),"N/A")</f>
        <v>N/A</v>
      </c>
      <c r="AB1511" s="97" t="str">
        <f>IFERROR(__xludf.DUMMYFUNCTION("""COMPUTED_VALUE"""),"N/A")</f>
        <v>N/A</v>
      </c>
      <c r="AC1511" s="97" t="str">
        <f>IFERROR(__xludf.DUMMYFUNCTION("""COMPUTED_VALUE"""),"N/A")</f>
        <v>N/A</v>
      </c>
      <c r="AD1511" s="97" t="str">
        <f>IFERROR(__xludf.DUMMYFUNCTION("""COMPUTED_VALUE"""),"IP65")</f>
        <v>IP65</v>
      </c>
      <c r="AE1511" s="97" t="str">
        <f>IFERROR(__xludf.DUMMYFUNCTION("""COMPUTED_VALUE"""),"Clase lll")</f>
        <v>Clase lll</v>
      </c>
      <c r="AF1511" s="97" t="str">
        <f>IFERROR(__xludf.DUMMYFUNCTION("""COMPUTED_VALUE"""),"Aplicar")</f>
        <v>Aplicar</v>
      </c>
      <c r="AG1511" s="97" t="str">
        <f>IFERROR(__xludf.DUMMYFUNCTION("""COMPUTED_VALUE"""),"Ø21.5 x 3000")</f>
        <v>Ø21.5 x 3000</v>
      </c>
      <c r="AH1511" s="97" t="str">
        <f>IFERROR(__xludf.DUMMYFUNCTION("""COMPUTED_VALUE"""),"N/A")</f>
        <v>N/A</v>
      </c>
      <c r="AI1511" s="97" t="str">
        <f>IFERROR(__xludf.DUMMYFUNCTION("""COMPUTED_VALUE"""),"N/A")</f>
        <v>N/A</v>
      </c>
      <c r="AJ1511" s="97" t="str">
        <f>IFERROR(__xludf.DUMMYFUNCTION("""COMPUTED_VALUE"""),"N/A")</f>
        <v>N/A</v>
      </c>
      <c r="AK1511" s="97" t="str">
        <f>IFERROR(__xludf.DUMMYFUNCTION("""COMPUTED_VALUE"""),"Aluminio")</f>
        <v>Aluminio</v>
      </c>
      <c r="AL1511" s="97" t="str">
        <f>IFERROR(__xludf.DUMMYFUNCTION("""COMPUTED_VALUE"""),"Negro Satinado")</f>
        <v>Negro Satinado</v>
      </c>
      <c r="AM1511" s="97"/>
      <c r="AN1511" s="97"/>
      <c r="AO1511" s="97" t="str">
        <f>IFERROR(__xludf.DUMMYFUNCTION("""COMPUTED_VALUE"""),"2 Años")</f>
        <v>2 Años</v>
      </c>
      <c r="AP1511" s="97" t="str">
        <f>IFERROR(__xludf.DUMMYFUNCTION("""COMPUTED_VALUE"""),"No Aplica")</f>
        <v>No Aplica</v>
      </c>
      <c r="AQ1511" s="97" t="str">
        <f>IFERROR(__xludf.DUMMYFUNCTION("""COMPUTED_VALUE"""),"No Aplica")</f>
        <v>No Aplica</v>
      </c>
      <c r="AR1511" s="97" t="str">
        <f>IFERROR(__xludf.DUMMYFUNCTION("""COMPUTED_VALUE"""),"No Aplica")</f>
        <v>No Aplica</v>
      </c>
      <c r="AS1511" s="97" t="str">
        <f>IFERROR(__xludf.DUMMYFUNCTION("""COMPUTED_VALUE"""),"Falta")</f>
        <v>Falta</v>
      </c>
      <c r="AT1511" s="97" t="str">
        <f>IFERROR(__xludf.DUMMYFUNCTION("""COMPUTED_VALUE"""),"Falta")</f>
        <v>Falta</v>
      </c>
      <c r="AU1511" s="97" t="str">
        <f>IFERROR(__xludf.DUMMYFUNCTION("""COMPUTED_VALUE"""),"Disponible")</f>
        <v>Disponible</v>
      </c>
      <c r="AV1511" s="97" t="str">
        <f>IFERROR(__xludf.DUMMYFUNCTION("""COMPUTED_VALUE"""),"Riel")</f>
        <v>Riel</v>
      </c>
      <c r="AW1511" s="97" t="str">
        <f>IFERROR(__xludf.DUMMYFUNCTION("""COMPUTED_VALUE"""),"Rieles")</f>
        <v>Rieles</v>
      </c>
      <c r="AX1511" s="97" t="str">
        <f>IFERROR(__xludf.DUMMYFUNCTION("""COMPUTED_VALUE"""),"Exterior")</f>
        <v>Exterior</v>
      </c>
      <c r="AY1511" s="97" t="str">
        <f>IFERROR(__xludf.DUMMYFUNCTION("""COMPUTED_VALUE"""),"-")</f>
        <v>-</v>
      </c>
      <c r="AZ1511" s="97"/>
      <c r="BA1511" s="97"/>
      <c r="BB1511" s="97"/>
      <c r="BC1511" s="97"/>
      <c r="BD1511" s="97" t="str">
        <f>IFERROR(__xludf.DUMMYFUNCTION("""COMPUTED_VALUE"""),"TERRA")</f>
        <v>TERRA</v>
      </c>
      <c r="BE1511" s="97"/>
      <c r="BF1511" s="97"/>
      <c r="BG1511" s="97" t="str">
        <f>IFERROR(__xludf.DUMMYFUNCTION("""COMPUTED_VALUE"""),"REPO 7")</f>
        <v>REPO 7</v>
      </c>
    </row>
    <row r="1512">
      <c r="A1512" s="97">
        <f>IFERROR(__xludf.DUMMYFUNCTION("""COMPUTED_VALUE"""),7628.0)</f>
        <v>7628</v>
      </c>
      <c r="B1512" s="97" t="str">
        <f>IFERROR(__xludf.DUMMYFUNCTION("""COMPUTED_VALUE"""),"TERRA BASE NG")</f>
        <v>TERRA BASE NG</v>
      </c>
      <c r="C1512" s="97" t="str">
        <f>IFERROR(__xludf.DUMMYFUNCTION("""COMPUTED_VALUE"""),"UNIÓN TERRA BASE NG LEUK")</f>
        <v>UNIÓN TERRA BASE NG LEUK</v>
      </c>
      <c r="D1512" s="97">
        <f>IFERROR(__xludf.DUMMYFUNCTION("""COMPUTED_VALUE"""),7.798485460831E12)</f>
        <v>7798485460831</v>
      </c>
      <c r="E1512" s="97" t="str">
        <f>IFERROR(__xludf.DUMMYFUNCTION("""COMPUTED_VALUE"""),"-")</f>
        <v>-</v>
      </c>
      <c r="F1512" s="97" t="str">
        <f>IFERROR(__xludf.DUMMYFUNCTION("""COMPUTED_VALUE"""),"N/A")</f>
        <v>N/A</v>
      </c>
      <c r="G1512" s="97" t="str">
        <f>IFERROR(__xludf.DUMMYFUNCTION("""COMPUTED_VALUE"""),"N/A")</f>
        <v>N/A</v>
      </c>
      <c r="H1512" s="97" t="str">
        <f>IFERROR(__xludf.DUMMYFUNCTION("""COMPUTED_VALUE"""),"N/A")</f>
        <v>N/A</v>
      </c>
      <c r="I1512" s="97" t="str">
        <f>IFERROR(__xludf.DUMMYFUNCTION("""COMPUTED_VALUE"""),"N/A")</f>
        <v>N/A</v>
      </c>
      <c r="J1512" s="97" t="str">
        <f>IFERROR(__xludf.DUMMYFUNCTION("""COMPUTED_VALUE"""),"N/A")</f>
        <v>N/A</v>
      </c>
      <c r="K1512" s="97" t="str">
        <f>IFERROR(__xludf.DUMMYFUNCTION("""COMPUTED_VALUE"""),"N/A")</f>
        <v>N/A</v>
      </c>
      <c r="L1512" s="97" t="str">
        <f>IFERROR(__xludf.DUMMYFUNCTION("""COMPUTED_VALUE"""),"N/A")</f>
        <v>N/A</v>
      </c>
      <c r="M1512" s="97" t="str">
        <f>IFERROR(__xludf.DUMMYFUNCTION("""COMPUTED_VALUE"""),"N/A")</f>
        <v>N/A</v>
      </c>
      <c r="N1512" s="97" t="str">
        <f>IFERROR(__xludf.DUMMYFUNCTION("""COMPUTED_VALUE"""),"N/A")</f>
        <v>N/A</v>
      </c>
      <c r="O1512" s="97" t="str">
        <f>IFERROR(__xludf.DUMMYFUNCTION("""COMPUTED_VALUE"""),"N/A")</f>
        <v>N/A</v>
      </c>
      <c r="P1512" s="97" t="str">
        <f>IFERROR(__xludf.DUMMYFUNCTION("""COMPUTED_VALUE"""),"N/A")</f>
        <v>N/A</v>
      </c>
      <c r="Q1512" s="97" t="str">
        <f>IFERROR(__xludf.DUMMYFUNCTION("""COMPUTED_VALUE"""),"N/A")</f>
        <v>N/A</v>
      </c>
      <c r="R1512" s="97" t="str">
        <f>IFERROR(__xludf.DUMMYFUNCTION("""COMPUTED_VALUE"""),"N/A")</f>
        <v>N/A</v>
      </c>
      <c r="S1512" s="97" t="str">
        <f>IFERROR(__xludf.DUMMYFUNCTION("""COMPUTED_VALUE"""),"N/A")</f>
        <v>N/A</v>
      </c>
      <c r="T1512" s="97" t="str">
        <f>IFERROR(__xludf.DUMMYFUNCTION("""COMPUTED_VALUE"""),"N/A")</f>
        <v>N/A</v>
      </c>
      <c r="U1512" s="97" t="str">
        <f>IFERROR(__xludf.DUMMYFUNCTION("""COMPUTED_VALUE"""),"N/A")</f>
        <v>N/A</v>
      </c>
      <c r="V1512" s="97" t="str">
        <f>IFERROR(__xludf.DUMMYFUNCTION("""COMPUTED_VALUE"""),"N/A")</f>
        <v>N/A</v>
      </c>
      <c r="W1512" s="97" t="str">
        <f>IFERROR(__xludf.DUMMYFUNCTION("""COMPUTED_VALUE"""),"N/A")</f>
        <v>N/A</v>
      </c>
      <c r="X1512" s="97" t="str">
        <f>IFERROR(__xludf.DUMMYFUNCTION("""COMPUTED_VALUE"""),"N/A")</f>
        <v>N/A</v>
      </c>
      <c r="Y1512" s="97" t="str">
        <f>IFERROR(__xludf.DUMMYFUNCTION("""COMPUTED_VALUE"""),"N/A")</f>
        <v>N/A</v>
      </c>
      <c r="Z1512" s="97" t="str">
        <f>IFERROR(__xludf.DUMMYFUNCTION("""COMPUTED_VALUE"""),"N/A")</f>
        <v>N/A</v>
      </c>
      <c r="AA1512" s="97" t="str">
        <f>IFERROR(__xludf.DUMMYFUNCTION("""COMPUTED_VALUE"""),"N/A")</f>
        <v>N/A</v>
      </c>
      <c r="AB1512" s="97" t="str">
        <f>IFERROR(__xludf.DUMMYFUNCTION("""COMPUTED_VALUE"""),"N/A")</f>
        <v>N/A</v>
      </c>
      <c r="AC1512" s="97" t="str">
        <f>IFERROR(__xludf.DUMMYFUNCTION("""COMPUTED_VALUE"""),"N/A")</f>
        <v>N/A</v>
      </c>
      <c r="AD1512" s="97" t="str">
        <f>IFERROR(__xludf.DUMMYFUNCTION("""COMPUTED_VALUE"""),"IP65")</f>
        <v>IP65</v>
      </c>
      <c r="AE1512" s="97" t="str">
        <f>IFERROR(__xludf.DUMMYFUNCTION("""COMPUTED_VALUE"""),"N/A")</f>
        <v>N/A</v>
      </c>
      <c r="AF1512" s="97" t="str">
        <f>IFERROR(__xludf.DUMMYFUNCTION("""COMPUTED_VALUE"""),"Aplicar")</f>
        <v>Aplicar</v>
      </c>
      <c r="AG1512" s="97" t="str">
        <f>IFERROR(__xludf.DUMMYFUNCTION("""COMPUTED_VALUE"""),"Ø45 x 95")</f>
        <v>Ø45 x 95</v>
      </c>
      <c r="AH1512" s="97" t="str">
        <f>IFERROR(__xludf.DUMMYFUNCTION("""COMPUTED_VALUE"""),"N/A")</f>
        <v>N/A</v>
      </c>
      <c r="AI1512" s="97" t="str">
        <f>IFERROR(__xludf.DUMMYFUNCTION("""COMPUTED_VALUE"""),"N/A")</f>
        <v>N/A</v>
      </c>
      <c r="AJ1512" s="97" t="str">
        <f>IFERROR(__xludf.DUMMYFUNCTION("""COMPUTED_VALUE"""),"N/A")</f>
        <v>N/A</v>
      </c>
      <c r="AK1512" s="97" t="str">
        <f>IFERROR(__xludf.DUMMYFUNCTION("""COMPUTED_VALUE"""),"Aluminio")</f>
        <v>Aluminio</v>
      </c>
      <c r="AL1512" s="97" t="str">
        <f>IFERROR(__xludf.DUMMYFUNCTION("""COMPUTED_VALUE"""),"Negro Satinado")</f>
        <v>Negro Satinado</v>
      </c>
      <c r="AM1512" s="97"/>
      <c r="AN1512" s="97"/>
      <c r="AO1512" s="97" t="str">
        <f>IFERROR(__xludf.DUMMYFUNCTION("""COMPUTED_VALUE"""),"2 Años")</f>
        <v>2 Años</v>
      </c>
      <c r="AP1512" s="97" t="str">
        <f>IFERROR(__xludf.DUMMYFUNCTION("""COMPUTED_VALUE"""),"No Aplica")</f>
        <v>No Aplica</v>
      </c>
      <c r="AQ1512" s="97" t="str">
        <f>IFERROR(__xludf.DUMMYFUNCTION("""COMPUTED_VALUE"""),"No Aplica")</f>
        <v>No Aplica</v>
      </c>
      <c r="AR1512" s="97" t="str">
        <f>IFERROR(__xludf.DUMMYFUNCTION("""COMPUTED_VALUE"""),"No Aplica")</f>
        <v>No Aplica</v>
      </c>
      <c r="AS1512" s="97" t="str">
        <f>IFERROR(__xludf.DUMMYFUNCTION("""COMPUTED_VALUE"""),"Falta")</f>
        <v>Falta</v>
      </c>
      <c r="AT1512" s="97" t="str">
        <f>IFERROR(__xludf.DUMMYFUNCTION("""COMPUTED_VALUE"""),"Falta")</f>
        <v>Falta</v>
      </c>
      <c r="AU1512" s="97" t="str">
        <f>IFERROR(__xludf.DUMMYFUNCTION("""COMPUTED_VALUE"""),"Disponible")</f>
        <v>Disponible</v>
      </c>
      <c r="AV1512" s="97" t="str">
        <f>IFERROR(__xludf.DUMMYFUNCTION("""COMPUTED_VALUE"""),"Unión")</f>
        <v>Unión</v>
      </c>
      <c r="AW1512" s="97" t="str">
        <f>IFERROR(__xludf.DUMMYFUNCTION("""COMPUTED_VALUE"""),"Rieles")</f>
        <v>Rieles</v>
      </c>
      <c r="AX1512" s="97" t="str">
        <f>IFERROR(__xludf.DUMMYFUNCTION("""COMPUTED_VALUE"""),"Exterior")</f>
        <v>Exterior</v>
      </c>
      <c r="AY1512" s="97" t="str">
        <f>IFERROR(__xludf.DUMMYFUNCTION("""COMPUTED_VALUE"""),"-")</f>
        <v>-</v>
      </c>
      <c r="AZ1512" s="97"/>
      <c r="BA1512" s="97"/>
      <c r="BB1512" s="97"/>
      <c r="BC1512" s="97"/>
      <c r="BD1512" s="97" t="str">
        <f>IFERROR(__xludf.DUMMYFUNCTION("""COMPUTED_VALUE"""),"TERRA")</f>
        <v>TERRA</v>
      </c>
      <c r="BE1512" s="97"/>
      <c r="BF1512" s="97"/>
      <c r="BG1512" s="97" t="str">
        <f>IFERROR(__xludf.DUMMYFUNCTION("""COMPUTED_VALUE"""),"REPO 7")</f>
        <v>REPO 7</v>
      </c>
    </row>
    <row r="1513">
      <c r="A1513" s="97">
        <f>IFERROR(__xludf.DUMMYFUNCTION("""COMPUTED_VALUE"""),7629.0)</f>
        <v>7629</v>
      </c>
      <c r="B1513" s="97" t="str">
        <f>IFERROR(__xludf.DUMMYFUNCTION("""COMPUTED_VALUE"""),"TERRA NODO NG")</f>
        <v>TERRA NODO NG</v>
      </c>
      <c r="C1513" s="97" t="str">
        <f>IFERROR(__xludf.DUMMYFUNCTION("""COMPUTED_VALUE"""),"UNIÓN TERRA NODO NG LEUK")</f>
        <v>UNIÓN TERRA NODO NG LEUK</v>
      </c>
      <c r="D1513" s="97">
        <f>IFERROR(__xludf.DUMMYFUNCTION("""COMPUTED_VALUE"""),7.798485460848E12)</f>
        <v>7798485460848</v>
      </c>
      <c r="E1513" s="97" t="str">
        <f>IFERROR(__xludf.DUMMYFUNCTION("""COMPUTED_VALUE"""),"-")</f>
        <v>-</v>
      </c>
      <c r="F1513" s="97" t="str">
        <f>IFERROR(__xludf.DUMMYFUNCTION("""COMPUTED_VALUE"""),"N/A")</f>
        <v>N/A</v>
      </c>
      <c r="G1513" s="97" t="str">
        <f>IFERROR(__xludf.DUMMYFUNCTION("""COMPUTED_VALUE"""),"N/A")</f>
        <v>N/A</v>
      </c>
      <c r="H1513" s="97" t="str">
        <f>IFERROR(__xludf.DUMMYFUNCTION("""COMPUTED_VALUE"""),"N/A")</f>
        <v>N/A</v>
      </c>
      <c r="I1513" s="97" t="str">
        <f>IFERROR(__xludf.DUMMYFUNCTION("""COMPUTED_VALUE"""),"N/A")</f>
        <v>N/A</v>
      </c>
      <c r="J1513" s="97" t="str">
        <f>IFERROR(__xludf.DUMMYFUNCTION("""COMPUTED_VALUE"""),"N/A")</f>
        <v>N/A</v>
      </c>
      <c r="K1513" s="97" t="str">
        <f>IFERROR(__xludf.DUMMYFUNCTION("""COMPUTED_VALUE"""),"N/A")</f>
        <v>N/A</v>
      </c>
      <c r="L1513" s="97" t="str">
        <f>IFERROR(__xludf.DUMMYFUNCTION("""COMPUTED_VALUE"""),"48Vdc")</f>
        <v>48Vdc</v>
      </c>
      <c r="M1513" s="97" t="str">
        <f>IFERROR(__xludf.DUMMYFUNCTION("""COMPUTED_VALUE"""),"N/A")</f>
        <v>N/A</v>
      </c>
      <c r="N1513" s="97" t="str">
        <f>IFERROR(__xludf.DUMMYFUNCTION("""COMPUTED_VALUE"""),"N/A")</f>
        <v>N/A</v>
      </c>
      <c r="O1513" s="97" t="str">
        <f>IFERROR(__xludf.DUMMYFUNCTION("""COMPUTED_VALUE"""),"N/A")</f>
        <v>N/A</v>
      </c>
      <c r="P1513" s="97" t="str">
        <f>IFERROR(__xludf.DUMMYFUNCTION("""COMPUTED_VALUE"""),"N/A")</f>
        <v>N/A</v>
      </c>
      <c r="Q1513" s="97" t="str">
        <f>IFERROR(__xludf.DUMMYFUNCTION("""COMPUTED_VALUE"""),"N/A")</f>
        <v>N/A</v>
      </c>
      <c r="R1513" s="97" t="str">
        <f>IFERROR(__xludf.DUMMYFUNCTION("""COMPUTED_VALUE"""),"N/A")</f>
        <v>N/A</v>
      </c>
      <c r="S1513" s="97" t="str">
        <f>IFERROR(__xludf.DUMMYFUNCTION("""COMPUTED_VALUE"""),"N/A")</f>
        <v>N/A</v>
      </c>
      <c r="T1513" s="97" t="str">
        <f>IFERROR(__xludf.DUMMYFUNCTION("""COMPUTED_VALUE"""),"N/A")</f>
        <v>N/A</v>
      </c>
      <c r="U1513" s="97" t="str">
        <f>IFERROR(__xludf.DUMMYFUNCTION("""COMPUTED_VALUE"""),"N/A")</f>
        <v>N/A</v>
      </c>
      <c r="V1513" s="97" t="str">
        <f>IFERROR(__xludf.DUMMYFUNCTION("""COMPUTED_VALUE"""),"N/A")</f>
        <v>N/A</v>
      </c>
      <c r="W1513" s="97" t="str">
        <f>IFERROR(__xludf.DUMMYFUNCTION("""COMPUTED_VALUE"""),"N/A")</f>
        <v>N/A</v>
      </c>
      <c r="X1513" s="97" t="str">
        <f>IFERROR(__xludf.DUMMYFUNCTION("""COMPUTED_VALUE"""),"N/A")</f>
        <v>N/A</v>
      </c>
      <c r="Y1513" s="97" t="str">
        <f>IFERROR(__xludf.DUMMYFUNCTION("""COMPUTED_VALUE"""),"N/A")</f>
        <v>N/A</v>
      </c>
      <c r="Z1513" s="97" t="str">
        <f>IFERROR(__xludf.DUMMYFUNCTION("""COMPUTED_VALUE"""),"N/A")</f>
        <v>N/A</v>
      </c>
      <c r="AA1513" s="97" t="str">
        <f>IFERROR(__xludf.DUMMYFUNCTION("""COMPUTED_VALUE"""),"N/A")</f>
        <v>N/A</v>
      </c>
      <c r="AB1513" s="97" t="str">
        <f>IFERROR(__xludf.DUMMYFUNCTION("""COMPUTED_VALUE"""),"N/A")</f>
        <v>N/A</v>
      </c>
      <c r="AC1513" s="97" t="str">
        <f>IFERROR(__xludf.DUMMYFUNCTION("""COMPUTED_VALUE"""),"N/A")</f>
        <v>N/A</v>
      </c>
      <c r="AD1513" s="97" t="str">
        <f>IFERROR(__xludf.DUMMYFUNCTION("""COMPUTED_VALUE"""),"IP65")</f>
        <v>IP65</v>
      </c>
      <c r="AE1513" s="97" t="str">
        <f>IFERROR(__xludf.DUMMYFUNCTION("""COMPUTED_VALUE"""),"N/A")</f>
        <v>N/A</v>
      </c>
      <c r="AF1513" s="97" t="str">
        <f>IFERROR(__xludf.DUMMYFUNCTION("""COMPUTED_VALUE"""),"Riel")</f>
        <v>Riel</v>
      </c>
      <c r="AG1513" s="97" t="str">
        <f>IFERROR(__xludf.DUMMYFUNCTION("""COMPUTED_VALUE"""),"Ø45 x 50")</f>
        <v>Ø45 x 50</v>
      </c>
      <c r="AH1513" s="97" t="str">
        <f>IFERROR(__xludf.DUMMYFUNCTION("""COMPUTED_VALUE"""),"N/A")</f>
        <v>N/A</v>
      </c>
      <c r="AI1513" s="97" t="str">
        <f>IFERROR(__xludf.DUMMYFUNCTION("""COMPUTED_VALUE"""),"N/A")</f>
        <v>N/A</v>
      </c>
      <c r="AJ1513" s="97" t="str">
        <f>IFERROR(__xludf.DUMMYFUNCTION("""COMPUTED_VALUE"""),"N/A")</f>
        <v>N/A</v>
      </c>
      <c r="AK1513" s="97" t="str">
        <f>IFERROR(__xludf.DUMMYFUNCTION("""COMPUTED_VALUE"""),"Aluminio")</f>
        <v>Aluminio</v>
      </c>
      <c r="AL1513" s="97" t="str">
        <f>IFERROR(__xludf.DUMMYFUNCTION("""COMPUTED_VALUE"""),"Negro Satinado")</f>
        <v>Negro Satinado</v>
      </c>
      <c r="AM1513" s="97"/>
      <c r="AN1513" s="97"/>
      <c r="AO1513" s="97" t="str">
        <f>IFERROR(__xludf.DUMMYFUNCTION("""COMPUTED_VALUE"""),"2 Años")</f>
        <v>2 Años</v>
      </c>
      <c r="AP1513" s="97" t="str">
        <f>IFERROR(__xludf.DUMMYFUNCTION("""COMPUTED_VALUE"""),"No Aplica")</f>
        <v>No Aplica</v>
      </c>
      <c r="AQ1513" s="97" t="str">
        <f>IFERROR(__xludf.DUMMYFUNCTION("""COMPUTED_VALUE"""),"No Aplica")</f>
        <v>No Aplica</v>
      </c>
      <c r="AR1513" s="97" t="str">
        <f>IFERROR(__xludf.DUMMYFUNCTION("""COMPUTED_VALUE"""),"No Aplica")</f>
        <v>No Aplica</v>
      </c>
      <c r="AS1513" s="97" t="str">
        <f>IFERROR(__xludf.DUMMYFUNCTION("""COMPUTED_VALUE"""),"Falta")</f>
        <v>Falta</v>
      </c>
      <c r="AT1513" s="97" t="str">
        <f>IFERROR(__xludf.DUMMYFUNCTION("""COMPUTED_VALUE"""),"Falta")</f>
        <v>Falta</v>
      </c>
      <c r="AU1513" s="97" t="str">
        <f>IFERROR(__xludf.DUMMYFUNCTION("""COMPUTED_VALUE"""),"Disponible")</f>
        <v>Disponible</v>
      </c>
      <c r="AV1513" s="97" t="str">
        <f>IFERROR(__xludf.DUMMYFUNCTION("""COMPUTED_VALUE"""),"Unión")</f>
        <v>Unión</v>
      </c>
      <c r="AW1513" s="97" t="str">
        <f>IFERROR(__xludf.DUMMYFUNCTION("""COMPUTED_VALUE"""),"Rieles")</f>
        <v>Rieles</v>
      </c>
      <c r="AX1513" s="97" t="str">
        <f>IFERROR(__xludf.DUMMYFUNCTION("""COMPUTED_VALUE"""),"Exterior")</f>
        <v>Exterior</v>
      </c>
      <c r="AY1513" s="97" t="str">
        <f>IFERROR(__xludf.DUMMYFUNCTION("""COMPUTED_VALUE"""),"-")</f>
        <v>-</v>
      </c>
      <c r="AZ1513" s="97"/>
      <c r="BA1513" s="97"/>
      <c r="BB1513" s="97"/>
      <c r="BC1513" s="97"/>
      <c r="BD1513" s="97" t="str">
        <f>IFERROR(__xludf.DUMMYFUNCTION("""COMPUTED_VALUE"""),"TERRA")</f>
        <v>TERRA</v>
      </c>
      <c r="BE1513" s="97"/>
      <c r="BF1513" s="97"/>
      <c r="BG1513" s="97" t="str">
        <f>IFERROR(__xludf.DUMMYFUNCTION("""COMPUTED_VALUE"""),"REPO 7")</f>
        <v>REPO 7</v>
      </c>
    </row>
    <row r="1514">
      <c r="A1514" s="97">
        <f>IFERROR(__xludf.DUMMYFUNCTION("""COMPUTED_VALUE"""),7630.0)</f>
        <v>7630</v>
      </c>
      <c r="B1514" s="97" t="str">
        <f>IFERROR(__xludf.DUMMYFUNCTION("""COMPUTED_VALUE"""),"TERRA UNION L NG")</f>
        <v>TERRA UNION L NG</v>
      </c>
      <c r="C1514" s="97" t="str">
        <f>IFERROR(__xludf.DUMMYFUNCTION("""COMPUTED_VALUE"""),"UNIÓN TERRA UNION L NG LEUK")</f>
        <v>UNIÓN TERRA UNION L NG LEUK</v>
      </c>
      <c r="D1514" s="97">
        <f>IFERROR(__xludf.DUMMYFUNCTION("""COMPUTED_VALUE"""),7.798485460855E12)</f>
        <v>7798485460855</v>
      </c>
      <c r="E1514" s="97" t="str">
        <f>IFERROR(__xludf.DUMMYFUNCTION("""COMPUTED_VALUE"""),"-")</f>
        <v>-</v>
      </c>
      <c r="F1514" s="97" t="str">
        <f>IFERROR(__xludf.DUMMYFUNCTION("""COMPUTED_VALUE"""),"N/A")</f>
        <v>N/A</v>
      </c>
      <c r="G1514" s="97" t="str">
        <f>IFERROR(__xludf.DUMMYFUNCTION("""COMPUTED_VALUE"""),"N/A")</f>
        <v>N/A</v>
      </c>
      <c r="H1514" s="97" t="str">
        <f>IFERROR(__xludf.DUMMYFUNCTION("""COMPUTED_VALUE"""),"N/A")</f>
        <v>N/A</v>
      </c>
      <c r="I1514" s="97" t="str">
        <f>IFERROR(__xludf.DUMMYFUNCTION("""COMPUTED_VALUE"""),"N/A")</f>
        <v>N/A</v>
      </c>
      <c r="J1514" s="97" t="str">
        <f>IFERROR(__xludf.DUMMYFUNCTION("""COMPUTED_VALUE"""),"N/A")</f>
        <v>N/A</v>
      </c>
      <c r="K1514" s="97" t="str">
        <f>IFERROR(__xludf.DUMMYFUNCTION("""COMPUTED_VALUE"""),"N/A")</f>
        <v>N/A</v>
      </c>
      <c r="L1514" s="97" t="str">
        <f>IFERROR(__xludf.DUMMYFUNCTION("""COMPUTED_VALUE"""),"N/A")</f>
        <v>N/A</v>
      </c>
      <c r="M1514" s="97" t="str">
        <f>IFERROR(__xludf.DUMMYFUNCTION("""COMPUTED_VALUE"""),"N/A")</f>
        <v>N/A</v>
      </c>
      <c r="N1514" s="97" t="str">
        <f>IFERROR(__xludf.DUMMYFUNCTION("""COMPUTED_VALUE"""),"N/A")</f>
        <v>N/A</v>
      </c>
      <c r="O1514" s="97" t="str">
        <f>IFERROR(__xludf.DUMMYFUNCTION("""COMPUTED_VALUE"""),"N/A")</f>
        <v>N/A</v>
      </c>
      <c r="P1514" s="97" t="str">
        <f>IFERROR(__xludf.DUMMYFUNCTION("""COMPUTED_VALUE"""),"N/A")</f>
        <v>N/A</v>
      </c>
      <c r="Q1514" s="97" t="str">
        <f>IFERROR(__xludf.DUMMYFUNCTION("""COMPUTED_VALUE"""),"N/A")</f>
        <v>N/A</v>
      </c>
      <c r="R1514" s="97" t="str">
        <f>IFERROR(__xludf.DUMMYFUNCTION("""COMPUTED_VALUE"""),"N/A")</f>
        <v>N/A</v>
      </c>
      <c r="S1514" s="97" t="str">
        <f>IFERROR(__xludf.DUMMYFUNCTION("""COMPUTED_VALUE"""),"N/A")</f>
        <v>N/A</v>
      </c>
      <c r="T1514" s="97" t="str">
        <f>IFERROR(__xludf.DUMMYFUNCTION("""COMPUTED_VALUE"""),"N/A")</f>
        <v>N/A</v>
      </c>
      <c r="U1514" s="97" t="str">
        <f>IFERROR(__xludf.DUMMYFUNCTION("""COMPUTED_VALUE"""),"N/A")</f>
        <v>N/A</v>
      </c>
      <c r="V1514" s="97" t="str">
        <f>IFERROR(__xludf.DUMMYFUNCTION("""COMPUTED_VALUE"""),"N/A")</f>
        <v>N/A</v>
      </c>
      <c r="W1514" s="97" t="str">
        <f>IFERROR(__xludf.DUMMYFUNCTION("""COMPUTED_VALUE"""),"N/A")</f>
        <v>N/A</v>
      </c>
      <c r="X1514" s="97" t="str">
        <f>IFERROR(__xludf.DUMMYFUNCTION("""COMPUTED_VALUE"""),"N/A")</f>
        <v>N/A</v>
      </c>
      <c r="Y1514" s="97" t="str">
        <f>IFERROR(__xludf.DUMMYFUNCTION("""COMPUTED_VALUE"""),"N/A")</f>
        <v>N/A</v>
      </c>
      <c r="Z1514" s="97" t="str">
        <f>IFERROR(__xludf.DUMMYFUNCTION("""COMPUTED_VALUE"""),"N/A")</f>
        <v>N/A</v>
      </c>
      <c r="AA1514" s="97" t="str">
        <f>IFERROR(__xludf.DUMMYFUNCTION("""COMPUTED_VALUE"""),"N/A")</f>
        <v>N/A</v>
      </c>
      <c r="AB1514" s="97" t="str">
        <f>IFERROR(__xludf.DUMMYFUNCTION("""COMPUTED_VALUE"""),"N/A")</f>
        <v>N/A</v>
      </c>
      <c r="AC1514" s="97" t="str">
        <f>IFERROR(__xludf.DUMMYFUNCTION("""COMPUTED_VALUE"""),"N/A")</f>
        <v>N/A</v>
      </c>
      <c r="AD1514" s="97" t="str">
        <f>IFERROR(__xludf.DUMMYFUNCTION("""COMPUTED_VALUE"""),"IP65")</f>
        <v>IP65</v>
      </c>
      <c r="AE1514" s="97" t="str">
        <f>IFERROR(__xludf.DUMMYFUNCTION("""COMPUTED_VALUE"""),"N/A")</f>
        <v>N/A</v>
      </c>
      <c r="AF1514" s="97" t="str">
        <f>IFERROR(__xludf.DUMMYFUNCTION("""COMPUTED_VALUE"""),"Riel")</f>
        <v>Riel</v>
      </c>
      <c r="AG1514" s="97" t="str">
        <f>IFERROR(__xludf.DUMMYFUNCTION("""COMPUTED_VALUE"""),"70 x 70 x 24")</f>
        <v>70 x 70 x 24</v>
      </c>
      <c r="AH1514" s="97" t="str">
        <f>IFERROR(__xludf.DUMMYFUNCTION("""COMPUTED_VALUE"""),"N/A")</f>
        <v>N/A</v>
      </c>
      <c r="AI1514" s="97" t="str">
        <f>IFERROR(__xludf.DUMMYFUNCTION("""COMPUTED_VALUE"""),"N/A")</f>
        <v>N/A</v>
      </c>
      <c r="AJ1514" s="97" t="str">
        <f>IFERROR(__xludf.DUMMYFUNCTION("""COMPUTED_VALUE"""),"N/A")</f>
        <v>N/A</v>
      </c>
      <c r="AK1514" s="97"/>
      <c r="AL1514" s="97" t="str">
        <f>IFERROR(__xludf.DUMMYFUNCTION("""COMPUTED_VALUE"""),"Negro Satinado")</f>
        <v>Negro Satinado</v>
      </c>
      <c r="AM1514" s="97"/>
      <c r="AN1514" s="97"/>
      <c r="AO1514" s="97" t="str">
        <f>IFERROR(__xludf.DUMMYFUNCTION("""COMPUTED_VALUE"""),"2 Años")</f>
        <v>2 Años</v>
      </c>
      <c r="AP1514" s="97" t="str">
        <f>IFERROR(__xludf.DUMMYFUNCTION("""COMPUTED_VALUE"""),"No Aplica")</f>
        <v>No Aplica</v>
      </c>
      <c r="AQ1514" s="97" t="str">
        <f>IFERROR(__xludf.DUMMYFUNCTION("""COMPUTED_VALUE"""),"No Aplica")</f>
        <v>No Aplica</v>
      </c>
      <c r="AR1514" s="97" t="str">
        <f>IFERROR(__xludf.DUMMYFUNCTION("""COMPUTED_VALUE"""),"No Aplica")</f>
        <v>No Aplica</v>
      </c>
      <c r="AS1514" s="97" t="str">
        <f>IFERROR(__xludf.DUMMYFUNCTION("""COMPUTED_VALUE"""),"Falta")</f>
        <v>Falta</v>
      </c>
      <c r="AT1514" s="97" t="str">
        <f>IFERROR(__xludf.DUMMYFUNCTION("""COMPUTED_VALUE"""),"Falta")</f>
        <v>Falta</v>
      </c>
      <c r="AU1514" s="97" t="str">
        <f>IFERROR(__xludf.DUMMYFUNCTION("""COMPUTED_VALUE"""),"Disponible")</f>
        <v>Disponible</v>
      </c>
      <c r="AV1514" s="97" t="str">
        <f>IFERROR(__xludf.DUMMYFUNCTION("""COMPUTED_VALUE"""),"Unión")</f>
        <v>Unión</v>
      </c>
      <c r="AW1514" s="97" t="str">
        <f>IFERROR(__xludf.DUMMYFUNCTION("""COMPUTED_VALUE"""),"Rieles")</f>
        <v>Rieles</v>
      </c>
      <c r="AX1514" s="97" t="str">
        <f>IFERROR(__xludf.DUMMYFUNCTION("""COMPUTED_VALUE"""),"Exterior")</f>
        <v>Exterior</v>
      </c>
      <c r="AY1514" s="97" t="str">
        <f>IFERROR(__xludf.DUMMYFUNCTION("""COMPUTED_VALUE"""),"-")</f>
        <v>-</v>
      </c>
      <c r="AZ1514" s="97"/>
      <c r="BA1514" s="97"/>
      <c r="BB1514" s="97"/>
      <c r="BC1514" s="97"/>
      <c r="BD1514" s="97" t="str">
        <f>IFERROR(__xludf.DUMMYFUNCTION("""COMPUTED_VALUE"""),"TERRA")</f>
        <v>TERRA</v>
      </c>
      <c r="BE1514" s="97"/>
      <c r="BF1514" s="97"/>
      <c r="BG1514" s="97" t="str">
        <f>IFERROR(__xludf.DUMMYFUNCTION("""COMPUTED_VALUE"""),"REPO 7")</f>
        <v>REPO 7</v>
      </c>
    </row>
    <row r="1515">
      <c r="A1515" s="97">
        <f>IFERROR(__xludf.DUMMYFUNCTION("""COMPUTED_VALUE"""),7631.0)</f>
        <v>7631</v>
      </c>
      <c r="B1515" s="97" t="str">
        <f>IFERROR(__xludf.DUMMYFUNCTION("""COMPUTED_VALUE"""),"TERRA UNION LINEAL NG")</f>
        <v>TERRA UNION LINEAL NG</v>
      </c>
      <c r="C1515" s="97" t="str">
        <f>IFERROR(__xludf.DUMMYFUNCTION("""COMPUTED_VALUE"""),"UNIÓN TERRA UNION LINEAL NG LEUK")</f>
        <v>UNIÓN TERRA UNION LINEAL NG LEUK</v>
      </c>
      <c r="D1515" s="97">
        <f>IFERROR(__xludf.DUMMYFUNCTION("""COMPUTED_VALUE"""),7.798485460862E12)</f>
        <v>7798485460862</v>
      </c>
      <c r="E1515" s="97" t="str">
        <f>IFERROR(__xludf.DUMMYFUNCTION("""COMPUTED_VALUE"""),"-")</f>
        <v>-</v>
      </c>
      <c r="F1515" s="97" t="str">
        <f>IFERROR(__xludf.DUMMYFUNCTION("""COMPUTED_VALUE"""),"N/A")</f>
        <v>N/A</v>
      </c>
      <c r="G1515" s="97" t="str">
        <f>IFERROR(__xludf.DUMMYFUNCTION("""COMPUTED_VALUE"""),"N/A")</f>
        <v>N/A</v>
      </c>
      <c r="H1515" s="97" t="str">
        <f>IFERROR(__xludf.DUMMYFUNCTION("""COMPUTED_VALUE"""),"N/A")</f>
        <v>N/A</v>
      </c>
      <c r="I1515" s="97" t="str">
        <f>IFERROR(__xludf.DUMMYFUNCTION("""COMPUTED_VALUE"""),"N/A")</f>
        <v>N/A</v>
      </c>
      <c r="J1515" s="97" t="str">
        <f>IFERROR(__xludf.DUMMYFUNCTION("""COMPUTED_VALUE"""),"N/A")</f>
        <v>N/A</v>
      </c>
      <c r="K1515" s="97" t="str">
        <f>IFERROR(__xludf.DUMMYFUNCTION("""COMPUTED_VALUE"""),"N/A")</f>
        <v>N/A</v>
      </c>
      <c r="L1515" s="97" t="str">
        <f>IFERROR(__xludf.DUMMYFUNCTION("""COMPUTED_VALUE"""),"N/A")</f>
        <v>N/A</v>
      </c>
      <c r="M1515" s="97" t="str">
        <f>IFERROR(__xludf.DUMMYFUNCTION("""COMPUTED_VALUE"""),"N/A")</f>
        <v>N/A</v>
      </c>
      <c r="N1515" s="97" t="str">
        <f>IFERROR(__xludf.DUMMYFUNCTION("""COMPUTED_VALUE"""),"N/A")</f>
        <v>N/A</v>
      </c>
      <c r="O1515" s="97" t="str">
        <f>IFERROR(__xludf.DUMMYFUNCTION("""COMPUTED_VALUE"""),"N/A")</f>
        <v>N/A</v>
      </c>
      <c r="P1515" s="97" t="str">
        <f>IFERROR(__xludf.DUMMYFUNCTION("""COMPUTED_VALUE"""),"N/A")</f>
        <v>N/A</v>
      </c>
      <c r="Q1515" s="97" t="str">
        <f>IFERROR(__xludf.DUMMYFUNCTION("""COMPUTED_VALUE"""),"N/A")</f>
        <v>N/A</v>
      </c>
      <c r="R1515" s="97" t="str">
        <f>IFERROR(__xludf.DUMMYFUNCTION("""COMPUTED_VALUE"""),"N/A")</f>
        <v>N/A</v>
      </c>
      <c r="S1515" s="97" t="str">
        <f>IFERROR(__xludf.DUMMYFUNCTION("""COMPUTED_VALUE"""),"N/A")</f>
        <v>N/A</v>
      </c>
      <c r="T1515" s="97" t="str">
        <f>IFERROR(__xludf.DUMMYFUNCTION("""COMPUTED_VALUE"""),"N/A")</f>
        <v>N/A</v>
      </c>
      <c r="U1515" s="97" t="str">
        <f>IFERROR(__xludf.DUMMYFUNCTION("""COMPUTED_VALUE"""),"N/A")</f>
        <v>N/A</v>
      </c>
      <c r="V1515" s="97" t="str">
        <f>IFERROR(__xludf.DUMMYFUNCTION("""COMPUTED_VALUE"""),"N/A")</f>
        <v>N/A</v>
      </c>
      <c r="W1515" s="97" t="str">
        <f>IFERROR(__xludf.DUMMYFUNCTION("""COMPUTED_VALUE"""),"N/A")</f>
        <v>N/A</v>
      </c>
      <c r="X1515" s="97" t="str">
        <f>IFERROR(__xludf.DUMMYFUNCTION("""COMPUTED_VALUE"""),"N/A")</f>
        <v>N/A</v>
      </c>
      <c r="Y1515" s="97" t="str">
        <f>IFERROR(__xludf.DUMMYFUNCTION("""COMPUTED_VALUE"""),"N/A")</f>
        <v>N/A</v>
      </c>
      <c r="Z1515" s="97" t="str">
        <f>IFERROR(__xludf.DUMMYFUNCTION("""COMPUTED_VALUE"""),"N/A")</f>
        <v>N/A</v>
      </c>
      <c r="AA1515" s="97" t="str">
        <f>IFERROR(__xludf.DUMMYFUNCTION("""COMPUTED_VALUE"""),"N/A")</f>
        <v>N/A</v>
      </c>
      <c r="AB1515" s="97" t="str">
        <f>IFERROR(__xludf.DUMMYFUNCTION("""COMPUTED_VALUE"""),"N/A")</f>
        <v>N/A</v>
      </c>
      <c r="AC1515" s="97" t="str">
        <f>IFERROR(__xludf.DUMMYFUNCTION("""COMPUTED_VALUE"""),"N/A")</f>
        <v>N/A</v>
      </c>
      <c r="AD1515" s="97" t="str">
        <f>IFERROR(__xludf.DUMMYFUNCTION("""COMPUTED_VALUE"""),"IP65")</f>
        <v>IP65</v>
      </c>
      <c r="AE1515" s="97" t="str">
        <f>IFERROR(__xludf.DUMMYFUNCTION("""COMPUTED_VALUE"""),"N/A")</f>
        <v>N/A</v>
      </c>
      <c r="AF1515" s="97" t="str">
        <f>IFERROR(__xludf.DUMMYFUNCTION("""COMPUTED_VALUE"""),"Riel")</f>
        <v>Riel</v>
      </c>
      <c r="AG1515" s="97" t="str">
        <f>IFERROR(__xludf.DUMMYFUNCTION("""COMPUTED_VALUE"""),"Ø29 x 100")</f>
        <v>Ø29 x 100</v>
      </c>
      <c r="AH1515" s="97" t="str">
        <f>IFERROR(__xludf.DUMMYFUNCTION("""COMPUTED_VALUE"""),"N/A")</f>
        <v>N/A</v>
      </c>
      <c r="AI1515" s="97" t="str">
        <f>IFERROR(__xludf.DUMMYFUNCTION("""COMPUTED_VALUE"""),"N/A")</f>
        <v>N/A</v>
      </c>
      <c r="AJ1515" s="97" t="str">
        <f>IFERROR(__xludf.DUMMYFUNCTION("""COMPUTED_VALUE"""),"N/A")</f>
        <v>N/A</v>
      </c>
      <c r="AK1515" s="97"/>
      <c r="AL1515" s="97" t="str">
        <f>IFERROR(__xludf.DUMMYFUNCTION("""COMPUTED_VALUE"""),"Negro Satinado")</f>
        <v>Negro Satinado</v>
      </c>
      <c r="AM1515" s="97"/>
      <c r="AN1515" s="97"/>
      <c r="AO1515" s="97" t="str">
        <f>IFERROR(__xludf.DUMMYFUNCTION("""COMPUTED_VALUE"""),"2 Años")</f>
        <v>2 Años</v>
      </c>
      <c r="AP1515" s="97" t="str">
        <f>IFERROR(__xludf.DUMMYFUNCTION("""COMPUTED_VALUE"""),"No Aplica")</f>
        <v>No Aplica</v>
      </c>
      <c r="AQ1515" s="97" t="str">
        <f>IFERROR(__xludf.DUMMYFUNCTION("""COMPUTED_VALUE"""),"No Aplica")</f>
        <v>No Aplica</v>
      </c>
      <c r="AR1515" s="97" t="str">
        <f>IFERROR(__xludf.DUMMYFUNCTION("""COMPUTED_VALUE"""),"No Aplica")</f>
        <v>No Aplica</v>
      </c>
      <c r="AS1515" s="97" t="str">
        <f>IFERROR(__xludf.DUMMYFUNCTION("""COMPUTED_VALUE"""),"Falta")</f>
        <v>Falta</v>
      </c>
      <c r="AT1515" s="97" t="str">
        <f>IFERROR(__xludf.DUMMYFUNCTION("""COMPUTED_VALUE"""),"Falta")</f>
        <v>Falta</v>
      </c>
      <c r="AU1515" s="97" t="str">
        <f>IFERROR(__xludf.DUMMYFUNCTION("""COMPUTED_VALUE"""),"Disponible")</f>
        <v>Disponible</v>
      </c>
      <c r="AV1515" s="97" t="str">
        <f>IFERROR(__xludf.DUMMYFUNCTION("""COMPUTED_VALUE"""),"Unión")</f>
        <v>Unión</v>
      </c>
      <c r="AW1515" s="97" t="str">
        <f>IFERROR(__xludf.DUMMYFUNCTION("""COMPUTED_VALUE"""),"Rieles")</f>
        <v>Rieles</v>
      </c>
      <c r="AX1515" s="97" t="str">
        <f>IFERROR(__xludf.DUMMYFUNCTION("""COMPUTED_VALUE"""),"Exterior")</f>
        <v>Exterior</v>
      </c>
      <c r="AY1515" s="97" t="str">
        <f>IFERROR(__xludf.DUMMYFUNCTION("""COMPUTED_VALUE"""),"-")</f>
        <v>-</v>
      </c>
      <c r="AZ1515" s="97"/>
      <c r="BA1515" s="97"/>
      <c r="BB1515" s="97"/>
      <c r="BC1515" s="97"/>
      <c r="BD1515" s="97" t="str">
        <f>IFERROR(__xludf.DUMMYFUNCTION("""COMPUTED_VALUE"""),"TERRA")</f>
        <v>TERRA</v>
      </c>
      <c r="BE1515" s="97"/>
      <c r="BF1515" s="97"/>
      <c r="BG1515" s="97" t="str">
        <f>IFERROR(__xludf.DUMMYFUNCTION("""COMPUTED_VALUE"""),"REPO 7")</f>
        <v>REPO 7</v>
      </c>
    </row>
    <row r="1516">
      <c r="A1516" s="97">
        <f>IFERROR(__xludf.DUMMYFUNCTION("""COMPUTED_VALUE"""),7632.0)</f>
        <v>7632</v>
      </c>
      <c r="B1516" s="97" t="str">
        <f>IFERROR(__xludf.DUMMYFUNCTION("""COMPUTED_VALUE"""),"TERRA LED 2M")</f>
        <v>TERRA LED 2M</v>
      </c>
      <c r="C1516" s="97" t="str">
        <f>IFERROR(__xludf.DUMMYFUNCTION("""COMPUTED_VALUE"""),"ACCESORIO TERRA LED 2M LEUK")</f>
        <v>ACCESORIO TERRA LED 2M LEUK</v>
      </c>
      <c r="D1516" s="97">
        <f>IFERROR(__xludf.DUMMYFUNCTION("""COMPUTED_VALUE"""),7.798485460879E12)</f>
        <v>7798485460879</v>
      </c>
      <c r="E1516" s="97" t="str">
        <f>IFERROR(__xludf.DUMMYFUNCTION("""COMPUTED_VALUE"""),"-")</f>
        <v>-</v>
      </c>
      <c r="F1516" s="97" t="str">
        <f>IFERROR(__xludf.DUMMYFUNCTION("""COMPUTED_VALUE"""),"LED integrado")</f>
        <v>LED integrado</v>
      </c>
      <c r="G1516" s="97" t="str">
        <f>IFERROR(__xludf.DUMMYFUNCTION("""COMPUTED_VALUE"""),"-")</f>
        <v>-</v>
      </c>
      <c r="H1516" s="97" t="str">
        <f>IFERROR(__xludf.DUMMYFUNCTION("""COMPUTED_VALUE"""),"N/A")</f>
        <v>N/A</v>
      </c>
      <c r="I1516" s="97" t="str">
        <f>IFERROR(__xludf.DUMMYFUNCTION("""COMPUTED_VALUE"""),"N/A")</f>
        <v>N/A</v>
      </c>
      <c r="J1516" s="97" t="str">
        <f>IFERROR(__xludf.DUMMYFUNCTION("""COMPUTED_VALUE"""),"N/A")</f>
        <v>N/A</v>
      </c>
      <c r="K1516" s="97" t="str">
        <f>IFERROR(__xludf.DUMMYFUNCTION("""COMPUTED_VALUE"""),"N/A")</f>
        <v>N/A</v>
      </c>
      <c r="L1516" s="97" t="str">
        <f>IFERROR(__xludf.DUMMYFUNCTION("""COMPUTED_VALUE"""),"48Vdc")</f>
        <v>48Vdc</v>
      </c>
      <c r="M1516" s="97" t="str">
        <f>IFERROR(__xludf.DUMMYFUNCTION("""COMPUTED_VALUE"""),"N/A")</f>
        <v>N/A</v>
      </c>
      <c r="N1516" s="97" t="str">
        <f>IFERROR(__xludf.DUMMYFUNCTION("""COMPUTED_VALUE"""),"Directa")</f>
        <v>Directa</v>
      </c>
      <c r="O1516" s="97">
        <f>IFERROR(__xludf.DUMMYFUNCTION("""COMPUTED_VALUE"""),16.0)</f>
        <v>16</v>
      </c>
      <c r="P1516" s="97"/>
      <c r="Q1516" s="97" t="str">
        <f>IFERROR(__xludf.DUMMYFUNCTION("""COMPUTED_VALUE"""),"N/A")</f>
        <v>N/A</v>
      </c>
      <c r="R1516" s="97" t="str">
        <f>IFERROR(__xludf.DUMMYFUNCTION("""COMPUTED_VALUE"""),"-")</f>
        <v>-</v>
      </c>
      <c r="S1516" s="97" t="str">
        <f>IFERROR(__xludf.DUMMYFUNCTION("""COMPUTED_VALUE"""),"-")</f>
        <v>-</v>
      </c>
      <c r="T1516" s="97"/>
      <c r="U1516" s="97"/>
      <c r="V1516" s="97">
        <f>IFERROR(__xludf.DUMMYFUNCTION("""COMPUTED_VALUE"""),100.0)</f>
        <v>100</v>
      </c>
      <c r="W1516" s="97"/>
      <c r="X1516" s="97">
        <f>IFERROR(__xludf.DUMMYFUNCTION("""COMPUTED_VALUE"""),3000.0)</f>
        <v>3000</v>
      </c>
      <c r="Y1516" s="97" t="str">
        <f>IFERROR(__xludf.DUMMYFUNCTION("""COMPUTED_VALUE"""),"&gt;90")</f>
        <v>&gt;90</v>
      </c>
      <c r="Z1516" s="97"/>
      <c r="AA1516" s="97"/>
      <c r="AB1516" s="97"/>
      <c r="AC1516" s="97"/>
      <c r="AD1516" s="97" t="str">
        <f>IFERROR(__xludf.DUMMYFUNCTION("""COMPUTED_VALUE"""),"IP65")</f>
        <v>IP65</v>
      </c>
      <c r="AE1516" s="97" t="str">
        <f>IFERROR(__xludf.DUMMYFUNCTION("""COMPUTED_VALUE"""),"Clase lll")</f>
        <v>Clase lll</v>
      </c>
      <c r="AF1516" s="97" t="str">
        <f>IFERROR(__xludf.DUMMYFUNCTION("""COMPUTED_VALUE"""),"Riel")</f>
        <v>Riel</v>
      </c>
      <c r="AG1516" s="97" t="str">
        <f>IFERROR(__xludf.DUMMYFUNCTION("""COMPUTED_VALUE"""),"6 x 6 x 2000")</f>
        <v>6 x 6 x 2000</v>
      </c>
      <c r="AH1516" s="97" t="str">
        <f>IFERROR(__xludf.DUMMYFUNCTION("""COMPUTED_VALUE"""),"N/A")</f>
        <v>N/A</v>
      </c>
      <c r="AI1516" s="97" t="str">
        <f>IFERROR(__xludf.DUMMYFUNCTION("""COMPUTED_VALUE"""),"N/A")</f>
        <v>N/A</v>
      </c>
      <c r="AJ1516" s="97" t="str">
        <f>IFERROR(__xludf.DUMMYFUNCTION("""COMPUTED_VALUE"""),"Silicona")</f>
        <v>Silicona</v>
      </c>
      <c r="AK1516" s="97" t="str">
        <f>IFERROR(__xludf.DUMMYFUNCTION("""COMPUTED_VALUE"""),"Silicona")</f>
        <v>Silicona</v>
      </c>
      <c r="AL1516" s="97" t="str">
        <f>IFERROR(__xludf.DUMMYFUNCTION("""COMPUTED_VALUE"""),"Blanco Mate")</f>
        <v>Blanco Mate</v>
      </c>
      <c r="AM1516" s="97"/>
      <c r="AN1516" s="97" t="str">
        <f>IFERROR(__xludf.DUMMYFUNCTION("""COMPUTED_VALUE"""),"25.000hs (L70)")</f>
        <v>25.000hs (L70)</v>
      </c>
      <c r="AO1516" s="97" t="str">
        <f>IFERROR(__xludf.DUMMYFUNCTION("""COMPUTED_VALUE"""),"2 Años")</f>
        <v>2 Años</v>
      </c>
      <c r="AP1516" s="97" t="str">
        <f>IFERROR(__xludf.DUMMYFUNCTION("""COMPUTED_VALUE"""),"Falta")</f>
        <v>Falta</v>
      </c>
      <c r="AQ1516" s="97" t="str">
        <f>IFERROR(__xludf.DUMMYFUNCTION("""COMPUTED_VALUE"""),"Falta")</f>
        <v>Falta</v>
      </c>
      <c r="AR1516" s="97" t="str">
        <f>IFERROR(__xludf.DUMMYFUNCTION("""COMPUTED_VALUE"""),"Falta")</f>
        <v>Falta</v>
      </c>
      <c r="AS1516" s="97" t="str">
        <f>IFERROR(__xludf.DUMMYFUNCTION("""COMPUTED_VALUE"""),"Falta")</f>
        <v>Falta</v>
      </c>
      <c r="AT1516" s="97" t="str">
        <f>IFERROR(__xludf.DUMMYFUNCTION("""COMPUTED_VALUE"""),"Falta")</f>
        <v>Falta</v>
      </c>
      <c r="AU1516" s="97" t="str">
        <f>IFERROR(__xludf.DUMMYFUNCTION("""COMPUTED_VALUE"""),"Disponible")</f>
        <v>Disponible</v>
      </c>
      <c r="AV1516" s="97" t="str">
        <f>IFERROR(__xludf.DUMMYFUNCTION("""COMPUTED_VALUE"""),"Accesorio")</f>
        <v>Accesorio</v>
      </c>
      <c r="AW1516" s="97" t="str">
        <f>IFERROR(__xludf.DUMMYFUNCTION("""COMPUTED_VALUE"""),"Rieles")</f>
        <v>Rieles</v>
      </c>
      <c r="AX1516" s="97" t="str">
        <f>IFERROR(__xludf.DUMMYFUNCTION("""COMPUTED_VALUE"""),"Exterior")</f>
        <v>Exterior</v>
      </c>
      <c r="AY1516" s="97" t="str">
        <f>IFERROR(__xludf.DUMMYFUNCTION("""COMPUTED_VALUE"""),"-")</f>
        <v>-</v>
      </c>
      <c r="AZ1516" s="97"/>
      <c r="BA1516" s="97"/>
      <c r="BB1516" s="97"/>
      <c r="BC1516" s="97"/>
      <c r="BD1516" s="97" t="str">
        <f>IFERROR(__xludf.DUMMYFUNCTION("""COMPUTED_VALUE"""),"TERRA")</f>
        <v>TERRA</v>
      </c>
      <c r="BE1516" s="97"/>
      <c r="BF1516" s="97"/>
      <c r="BG1516" s="97" t="str">
        <f>IFERROR(__xludf.DUMMYFUNCTION("""COMPUTED_VALUE"""),"REPO 7")</f>
        <v>REPO 7</v>
      </c>
    </row>
    <row r="1517">
      <c r="A1517" s="97">
        <f>IFERROR(__xludf.DUMMYFUNCTION("""COMPUTED_VALUE"""),7633.0)</f>
        <v>7633</v>
      </c>
      <c r="B1517" s="97" t="str">
        <f>IFERROR(__xludf.DUMMYFUNCTION("""COMPUTED_VALUE"""),"TERRA LED 3M")</f>
        <v>TERRA LED 3M</v>
      </c>
      <c r="C1517" s="97" t="str">
        <f>IFERROR(__xludf.DUMMYFUNCTION("""COMPUTED_VALUE"""),"ACCESORIO TERRA LED 3M LEUK")</f>
        <v>ACCESORIO TERRA LED 3M LEUK</v>
      </c>
      <c r="D1517" s="97">
        <f>IFERROR(__xludf.DUMMYFUNCTION("""COMPUTED_VALUE"""),7.798485460886E12)</f>
        <v>7798485460886</v>
      </c>
      <c r="E1517" s="97" t="str">
        <f>IFERROR(__xludf.DUMMYFUNCTION("""COMPUTED_VALUE"""),"-")</f>
        <v>-</v>
      </c>
      <c r="F1517" s="97" t="str">
        <f>IFERROR(__xludf.DUMMYFUNCTION("""COMPUTED_VALUE"""),"LED integrado")</f>
        <v>LED integrado</v>
      </c>
      <c r="G1517" s="97" t="str">
        <f>IFERROR(__xludf.DUMMYFUNCTION("""COMPUTED_VALUE"""),"-")</f>
        <v>-</v>
      </c>
      <c r="H1517" s="97" t="str">
        <f>IFERROR(__xludf.DUMMYFUNCTION("""COMPUTED_VALUE"""),"N/A")</f>
        <v>N/A</v>
      </c>
      <c r="I1517" s="97" t="str">
        <f>IFERROR(__xludf.DUMMYFUNCTION("""COMPUTED_VALUE"""),"N/A")</f>
        <v>N/A</v>
      </c>
      <c r="J1517" s="97" t="str">
        <f>IFERROR(__xludf.DUMMYFUNCTION("""COMPUTED_VALUE"""),"N/A")</f>
        <v>N/A</v>
      </c>
      <c r="K1517" s="97" t="str">
        <f>IFERROR(__xludf.DUMMYFUNCTION("""COMPUTED_VALUE"""),"N/A")</f>
        <v>N/A</v>
      </c>
      <c r="L1517" s="97" t="str">
        <f>IFERROR(__xludf.DUMMYFUNCTION("""COMPUTED_VALUE"""),"48Vdc")</f>
        <v>48Vdc</v>
      </c>
      <c r="M1517" s="97" t="str">
        <f>IFERROR(__xludf.DUMMYFUNCTION("""COMPUTED_VALUE"""),"N/A")</f>
        <v>N/A</v>
      </c>
      <c r="N1517" s="97" t="str">
        <f>IFERROR(__xludf.DUMMYFUNCTION("""COMPUTED_VALUE"""),"Directa")</f>
        <v>Directa</v>
      </c>
      <c r="O1517" s="97">
        <f>IFERROR(__xludf.DUMMYFUNCTION("""COMPUTED_VALUE"""),25.0)</f>
        <v>25</v>
      </c>
      <c r="P1517" s="97"/>
      <c r="Q1517" s="97" t="str">
        <f>IFERROR(__xludf.DUMMYFUNCTION("""COMPUTED_VALUE"""),"N/A")</f>
        <v>N/A</v>
      </c>
      <c r="R1517" s="97" t="str">
        <f>IFERROR(__xludf.DUMMYFUNCTION("""COMPUTED_VALUE"""),"-")</f>
        <v>-</v>
      </c>
      <c r="S1517" s="97" t="str">
        <f>IFERROR(__xludf.DUMMYFUNCTION("""COMPUTED_VALUE"""),"-")</f>
        <v>-</v>
      </c>
      <c r="T1517" s="97"/>
      <c r="U1517" s="97"/>
      <c r="V1517" s="97">
        <f>IFERROR(__xludf.DUMMYFUNCTION("""COMPUTED_VALUE"""),100.0)</f>
        <v>100</v>
      </c>
      <c r="W1517" s="97"/>
      <c r="X1517" s="97">
        <f>IFERROR(__xludf.DUMMYFUNCTION("""COMPUTED_VALUE"""),3000.0)</f>
        <v>3000</v>
      </c>
      <c r="Y1517" s="97" t="str">
        <f>IFERROR(__xludf.DUMMYFUNCTION("""COMPUTED_VALUE"""),"&gt;90")</f>
        <v>&gt;90</v>
      </c>
      <c r="Z1517" s="97"/>
      <c r="AA1517" s="97"/>
      <c r="AB1517" s="97"/>
      <c r="AC1517" s="97"/>
      <c r="AD1517" s="97" t="str">
        <f>IFERROR(__xludf.DUMMYFUNCTION("""COMPUTED_VALUE"""),"IP65")</f>
        <v>IP65</v>
      </c>
      <c r="AE1517" s="97" t="str">
        <f>IFERROR(__xludf.DUMMYFUNCTION("""COMPUTED_VALUE"""),"Clase lll")</f>
        <v>Clase lll</v>
      </c>
      <c r="AF1517" s="97" t="str">
        <f>IFERROR(__xludf.DUMMYFUNCTION("""COMPUTED_VALUE"""),"Riel")</f>
        <v>Riel</v>
      </c>
      <c r="AG1517" s="97" t="str">
        <f>IFERROR(__xludf.DUMMYFUNCTION("""COMPUTED_VALUE"""),"6 x 6 x 3000")</f>
        <v>6 x 6 x 3000</v>
      </c>
      <c r="AH1517" s="97" t="str">
        <f>IFERROR(__xludf.DUMMYFUNCTION("""COMPUTED_VALUE"""),"N/A")</f>
        <v>N/A</v>
      </c>
      <c r="AI1517" s="97" t="str">
        <f>IFERROR(__xludf.DUMMYFUNCTION("""COMPUTED_VALUE"""),"N/A")</f>
        <v>N/A</v>
      </c>
      <c r="AJ1517" s="97" t="str">
        <f>IFERROR(__xludf.DUMMYFUNCTION("""COMPUTED_VALUE"""),"Silicona")</f>
        <v>Silicona</v>
      </c>
      <c r="AK1517" s="97" t="str">
        <f>IFERROR(__xludf.DUMMYFUNCTION("""COMPUTED_VALUE"""),"Silicona")</f>
        <v>Silicona</v>
      </c>
      <c r="AL1517" s="97" t="str">
        <f>IFERROR(__xludf.DUMMYFUNCTION("""COMPUTED_VALUE"""),"Blanco Mate")</f>
        <v>Blanco Mate</v>
      </c>
      <c r="AM1517" s="97"/>
      <c r="AN1517" s="97" t="str">
        <f>IFERROR(__xludf.DUMMYFUNCTION("""COMPUTED_VALUE"""),"25.000hs (L70)")</f>
        <v>25.000hs (L70)</v>
      </c>
      <c r="AO1517" s="97" t="str">
        <f>IFERROR(__xludf.DUMMYFUNCTION("""COMPUTED_VALUE"""),"2 Años")</f>
        <v>2 Años</v>
      </c>
      <c r="AP1517" s="97" t="str">
        <f>IFERROR(__xludf.DUMMYFUNCTION("""COMPUTED_VALUE"""),"Falta")</f>
        <v>Falta</v>
      </c>
      <c r="AQ1517" s="97" t="str">
        <f>IFERROR(__xludf.DUMMYFUNCTION("""COMPUTED_VALUE"""),"Falta")</f>
        <v>Falta</v>
      </c>
      <c r="AR1517" s="97" t="str">
        <f>IFERROR(__xludf.DUMMYFUNCTION("""COMPUTED_VALUE"""),"Falta")</f>
        <v>Falta</v>
      </c>
      <c r="AS1517" s="97" t="str">
        <f>IFERROR(__xludf.DUMMYFUNCTION("""COMPUTED_VALUE"""),"Falta")</f>
        <v>Falta</v>
      </c>
      <c r="AT1517" s="97" t="str">
        <f>IFERROR(__xludf.DUMMYFUNCTION("""COMPUTED_VALUE"""),"Falta")</f>
        <v>Falta</v>
      </c>
      <c r="AU1517" s="97" t="str">
        <f>IFERROR(__xludf.DUMMYFUNCTION("""COMPUTED_VALUE"""),"Disponible")</f>
        <v>Disponible</v>
      </c>
      <c r="AV1517" s="97" t="str">
        <f>IFERROR(__xludf.DUMMYFUNCTION("""COMPUTED_VALUE"""),"Accesorio")</f>
        <v>Accesorio</v>
      </c>
      <c r="AW1517" s="97" t="str">
        <f>IFERROR(__xludf.DUMMYFUNCTION("""COMPUTED_VALUE"""),"Rieles")</f>
        <v>Rieles</v>
      </c>
      <c r="AX1517" s="97" t="str">
        <f>IFERROR(__xludf.DUMMYFUNCTION("""COMPUTED_VALUE"""),"Exterior")</f>
        <v>Exterior</v>
      </c>
      <c r="AY1517" s="97" t="str">
        <f>IFERROR(__xludf.DUMMYFUNCTION("""COMPUTED_VALUE"""),"-")</f>
        <v>-</v>
      </c>
      <c r="AZ1517" s="97"/>
      <c r="BA1517" s="97"/>
      <c r="BB1517" s="97"/>
      <c r="BC1517" s="97"/>
      <c r="BD1517" s="97" t="str">
        <f>IFERROR(__xludf.DUMMYFUNCTION("""COMPUTED_VALUE"""),"TERRA")</f>
        <v>TERRA</v>
      </c>
      <c r="BE1517" s="97"/>
      <c r="BF1517" s="97"/>
      <c r="BG1517" s="97" t="str">
        <f>IFERROR(__xludf.DUMMYFUNCTION("""COMPUTED_VALUE"""),"REPO 7")</f>
        <v>REPO 7</v>
      </c>
    </row>
    <row r="1518">
      <c r="A1518" s="97">
        <f>IFERROR(__xludf.DUMMYFUNCTION("""COMPUTED_VALUE"""),7634.0)</f>
        <v>7634</v>
      </c>
      <c r="B1518" s="97" t="str">
        <f>IFERROR(__xludf.DUMMYFUNCTION("""COMPUTED_VALUE"""),"TERRA FLEX 2M NG")</f>
        <v>TERRA FLEX 2M NG</v>
      </c>
      <c r="C1518" s="97" t="str">
        <f>IFERROR(__xludf.DUMMYFUNCTION("""COMPUTED_VALUE"""),"ACCESORIO TERRA FLEX 2M NG LEUK")</f>
        <v>ACCESORIO TERRA FLEX 2M NG LEUK</v>
      </c>
      <c r="D1518" s="97">
        <f>IFERROR(__xludf.DUMMYFUNCTION("""COMPUTED_VALUE"""),7.798485460893E12)</f>
        <v>7798485460893</v>
      </c>
      <c r="E1518" s="97" t="str">
        <f>IFERROR(__xludf.DUMMYFUNCTION("""COMPUTED_VALUE"""),"-")</f>
        <v>-</v>
      </c>
      <c r="F1518" s="97" t="str">
        <f>IFERROR(__xludf.DUMMYFUNCTION("""COMPUTED_VALUE"""),"N/A")</f>
        <v>N/A</v>
      </c>
      <c r="G1518" s="97" t="str">
        <f>IFERROR(__xludf.DUMMYFUNCTION("""COMPUTED_VALUE"""),"N/A")</f>
        <v>N/A</v>
      </c>
      <c r="H1518" s="97" t="str">
        <f>IFERROR(__xludf.DUMMYFUNCTION("""COMPUTED_VALUE"""),"N/A")</f>
        <v>N/A</v>
      </c>
      <c r="I1518" s="97" t="str">
        <f>IFERROR(__xludf.DUMMYFUNCTION("""COMPUTED_VALUE"""),"N/A")</f>
        <v>N/A</v>
      </c>
      <c r="J1518" s="97" t="str">
        <f>IFERROR(__xludf.DUMMYFUNCTION("""COMPUTED_VALUE"""),"N/A")</f>
        <v>N/A</v>
      </c>
      <c r="K1518" s="97" t="str">
        <f>IFERROR(__xludf.DUMMYFUNCTION("""COMPUTED_VALUE"""),"N/A")</f>
        <v>N/A</v>
      </c>
      <c r="L1518" s="97" t="str">
        <f>IFERROR(__xludf.DUMMYFUNCTION("""COMPUTED_VALUE"""),"48Vdc")</f>
        <v>48Vdc</v>
      </c>
      <c r="M1518" s="97" t="str">
        <f>IFERROR(__xludf.DUMMYFUNCTION("""COMPUTED_VALUE"""),"N/A")</f>
        <v>N/A</v>
      </c>
      <c r="N1518" s="97" t="str">
        <f>IFERROR(__xludf.DUMMYFUNCTION("""COMPUTED_VALUE"""),"N/A")</f>
        <v>N/A</v>
      </c>
      <c r="O1518" s="97" t="str">
        <f>IFERROR(__xludf.DUMMYFUNCTION("""COMPUTED_VALUE"""),"N/A")</f>
        <v>N/A</v>
      </c>
      <c r="P1518" s="97" t="str">
        <f>IFERROR(__xludf.DUMMYFUNCTION("""COMPUTED_VALUE"""),"N/A")</f>
        <v>N/A</v>
      </c>
      <c r="Q1518" s="97" t="str">
        <f>IFERROR(__xludf.DUMMYFUNCTION("""COMPUTED_VALUE"""),"N/A")</f>
        <v>N/A</v>
      </c>
      <c r="R1518" s="97" t="str">
        <f>IFERROR(__xludf.DUMMYFUNCTION("""COMPUTED_VALUE"""),"N/A")</f>
        <v>N/A</v>
      </c>
      <c r="S1518" s="97" t="str">
        <f>IFERROR(__xludf.DUMMYFUNCTION("""COMPUTED_VALUE"""),"N/A")</f>
        <v>N/A</v>
      </c>
      <c r="T1518" s="97" t="str">
        <f>IFERROR(__xludf.DUMMYFUNCTION("""COMPUTED_VALUE"""),"N/A")</f>
        <v>N/A</v>
      </c>
      <c r="U1518" s="97" t="str">
        <f>IFERROR(__xludf.DUMMYFUNCTION("""COMPUTED_VALUE"""),"N/A")</f>
        <v>N/A</v>
      </c>
      <c r="V1518" s="97" t="str">
        <f>IFERROR(__xludf.DUMMYFUNCTION("""COMPUTED_VALUE"""),"N/A")</f>
        <v>N/A</v>
      </c>
      <c r="W1518" s="97" t="str">
        <f>IFERROR(__xludf.DUMMYFUNCTION("""COMPUTED_VALUE"""),"N/A")</f>
        <v>N/A</v>
      </c>
      <c r="X1518" s="97" t="str">
        <f>IFERROR(__xludf.DUMMYFUNCTION("""COMPUTED_VALUE"""),"N/A")</f>
        <v>N/A</v>
      </c>
      <c r="Y1518" s="97" t="str">
        <f>IFERROR(__xludf.DUMMYFUNCTION("""COMPUTED_VALUE"""),"N/A")</f>
        <v>N/A</v>
      </c>
      <c r="Z1518" s="97" t="str">
        <f>IFERROR(__xludf.DUMMYFUNCTION("""COMPUTED_VALUE"""),"N/A")</f>
        <v>N/A</v>
      </c>
      <c r="AA1518" s="97" t="str">
        <f>IFERROR(__xludf.DUMMYFUNCTION("""COMPUTED_VALUE"""),"N/A")</f>
        <v>N/A</v>
      </c>
      <c r="AB1518" s="97" t="str">
        <f>IFERROR(__xludf.DUMMYFUNCTION("""COMPUTED_VALUE"""),"N/A")</f>
        <v>N/A</v>
      </c>
      <c r="AC1518" s="97" t="str">
        <f>IFERROR(__xludf.DUMMYFUNCTION("""COMPUTED_VALUE"""),"N/A")</f>
        <v>N/A</v>
      </c>
      <c r="AD1518" s="97" t="str">
        <f>IFERROR(__xludf.DUMMYFUNCTION("""COMPUTED_VALUE"""),"IP65")</f>
        <v>IP65</v>
      </c>
      <c r="AE1518" s="97"/>
      <c r="AF1518" s="97" t="str">
        <f>IFERROR(__xludf.DUMMYFUNCTION("""COMPUTED_VALUE"""),"Riel")</f>
        <v>Riel</v>
      </c>
      <c r="AG1518" s="97" t="str">
        <f>IFERROR(__xludf.DUMMYFUNCTION("""COMPUTED_VALUE"""),"6 x 6 x 2000")</f>
        <v>6 x 6 x 2000</v>
      </c>
      <c r="AH1518" s="97" t="str">
        <f>IFERROR(__xludf.DUMMYFUNCTION("""COMPUTED_VALUE"""),"N/A")</f>
        <v>N/A</v>
      </c>
      <c r="AI1518" s="97" t="str">
        <f>IFERROR(__xludf.DUMMYFUNCTION("""COMPUTED_VALUE"""),"N/A")</f>
        <v>N/A</v>
      </c>
      <c r="AJ1518" s="97" t="str">
        <f>IFERROR(__xludf.DUMMYFUNCTION("""COMPUTED_VALUE"""),"N/A")</f>
        <v>N/A</v>
      </c>
      <c r="AK1518" s="97" t="str">
        <f>IFERROR(__xludf.DUMMYFUNCTION("""COMPUTED_VALUE"""),"Silicona")</f>
        <v>Silicona</v>
      </c>
      <c r="AL1518" s="97" t="str">
        <f>IFERROR(__xludf.DUMMYFUNCTION("""COMPUTED_VALUE"""),"Negro Mate")</f>
        <v>Negro Mate</v>
      </c>
      <c r="AM1518" s="97"/>
      <c r="AN1518" s="97"/>
      <c r="AO1518" s="97" t="str">
        <f>IFERROR(__xludf.DUMMYFUNCTION("""COMPUTED_VALUE"""),"2 Años")</f>
        <v>2 Años</v>
      </c>
      <c r="AP1518" s="97" t="str">
        <f>IFERROR(__xludf.DUMMYFUNCTION("""COMPUTED_VALUE"""),"No Aplica")</f>
        <v>No Aplica</v>
      </c>
      <c r="AQ1518" s="97" t="str">
        <f>IFERROR(__xludf.DUMMYFUNCTION("""COMPUTED_VALUE"""),"No Aplica")</f>
        <v>No Aplica</v>
      </c>
      <c r="AR1518" s="97" t="str">
        <f>IFERROR(__xludf.DUMMYFUNCTION("""COMPUTED_VALUE"""),"No Aplica")</f>
        <v>No Aplica</v>
      </c>
      <c r="AS1518" s="97" t="str">
        <f>IFERROR(__xludf.DUMMYFUNCTION("""COMPUTED_VALUE"""),"Falta")</f>
        <v>Falta</v>
      </c>
      <c r="AT1518" s="97" t="str">
        <f>IFERROR(__xludf.DUMMYFUNCTION("""COMPUTED_VALUE"""),"Falta")</f>
        <v>Falta</v>
      </c>
      <c r="AU1518" s="97" t="str">
        <f>IFERROR(__xludf.DUMMYFUNCTION("""COMPUTED_VALUE"""),"Disponible")</f>
        <v>Disponible</v>
      </c>
      <c r="AV1518" s="97" t="str">
        <f>IFERROR(__xludf.DUMMYFUNCTION("""COMPUTED_VALUE"""),"Accesorio")</f>
        <v>Accesorio</v>
      </c>
      <c r="AW1518" s="97" t="str">
        <f>IFERROR(__xludf.DUMMYFUNCTION("""COMPUTED_VALUE"""),"Rieles")</f>
        <v>Rieles</v>
      </c>
      <c r="AX1518" s="97" t="str">
        <f>IFERROR(__xludf.DUMMYFUNCTION("""COMPUTED_VALUE"""),"Exterior")</f>
        <v>Exterior</v>
      </c>
      <c r="AY1518" s="97" t="str">
        <f>IFERROR(__xludf.DUMMYFUNCTION("""COMPUTED_VALUE"""),"-")</f>
        <v>-</v>
      </c>
      <c r="AZ1518" s="97"/>
      <c r="BA1518" s="97"/>
      <c r="BB1518" s="97"/>
      <c r="BC1518" s="97"/>
      <c r="BD1518" s="97" t="str">
        <f>IFERROR(__xludf.DUMMYFUNCTION("""COMPUTED_VALUE"""),"TERRA")</f>
        <v>TERRA</v>
      </c>
      <c r="BE1518" s="97"/>
      <c r="BF1518" s="97"/>
      <c r="BG1518" s="97" t="str">
        <f>IFERROR(__xludf.DUMMYFUNCTION("""COMPUTED_VALUE"""),"REPO 7")</f>
        <v>REPO 7</v>
      </c>
    </row>
    <row r="1519">
      <c r="A1519" s="97">
        <f>IFERROR(__xludf.DUMMYFUNCTION("""COMPUTED_VALUE"""),7635.0)</f>
        <v>7635</v>
      </c>
      <c r="B1519" s="97" t="str">
        <f>IFERROR(__xludf.DUMMYFUNCTION("""COMPUTED_VALUE"""),"TERRA FLEX 3M NG")</f>
        <v>TERRA FLEX 3M NG</v>
      </c>
      <c r="C1519" s="97" t="str">
        <f>IFERROR(__xludf.DUMMYFUNCTION("""COMPUTED_VALUE"""),"ACCESORIO TERRA FLEX 3M NG LEUK")</f>
        <v>ACCESORIO TERRA FLEX 3M NG LEUK</v>
      </c>
      <c r="D1519" s="97">
        <f>IFERROR(__xludf.DUMMYFUNCTION("""COMPUTED_VALUE"""),7.798485460909E12)</f>
        <v>7798485460909</v>
      </c>
      <c r="E1519" s="97" t="str">
        <f>IFERROR(__xludf.DUMMYFUNCTION("""COMPUTED_VALUE"""),"-")</f>
        <v>-</v>
      </c>
      <c r="F1519" s="97" t="str">
        <f>IFERROR(__xludf.DUMMYFUNCTION("""COMPUTED_VALUE"""),"N/A")</f>
        <v>N/A</v>
      </c>
      <c r="G1519" s="97" t="str">
        <f>IFERROR(__xludf.DUMMYFUNCTION("""COMPUTED_VALUE"""),"N/A")</f>
        <v>N/A</v>
      </c>
      <c r="H1519" s="97" t="str">
        <f>IFERROR(__xludf.DUMMYFUNCTION("""COMPUTED_VALUE"""),"N/A")</f>
        <v>N/A</v>
      </c>
      <c r="I1519" s="97" t="str">
        <f>IFERROR(__xludf.DUMMYFUNCTION("""COMPUTED_VALUE"""),"N/A")</f>
        <v>N/A</v>
      </c>
      <c r="J1519" s="97" t="str">
        <f>IFERROR(__xludf.DUMMYFUNCTION("""COMPUTED_VALUE"""),"N/A")</f>
        <v>N/A</v>
      </c>
      <c r="K1519" s="97" t="str">
        <f>IFERROR(__xludf.DUMMYFUNCTION("""COMPUTED_VALUE"""),"N/A")</f>
        <v>N/A</v>
      </c>
      <c r="L1519" s="97" t="str">
        <f>IFERROR(__xludf.DUMMYFUNCTION("""COMPUTED_VALUE"""),"48Vdc")</f>
        <v>48Vdc</v>
      </c>
      <c r="M1519" s="97" t="str">
        <f>IFERROR(__xludf.DUMMYFUNCTION("""COMPUTED_VALUE"""),"N/A")</f>
        <v>N/A</v>
      </c>
      <c r="N1519" s="97" t="str">
        <f>IFERROR(__xludf.DUMMYFUNCTION("""COMPUTED_VALUE"""),"N/A")</f>
        <v>N/A</v>
      </c>
      <c r="O1519" s="97" t="str">
        <f>IFERROR(__xludf.DUMMYFUNCTION("""COMPUTED_VALUE"""),"N/A")</f>
        <v>N/A</v>
      </c>
      <c r="P1519" s="97" t="str">
        <f>IFERROR(__xludf.DUMMYFUNCTION("""COMPUTED_VALUE"""),"N/A")</f>
        <v>N/A</v>
      </c>
      <c r="Q1519" s="97" t="str">
        <f>IFERROR(__xludf.DUMMYFUNCTION("""COMPUTED_VALUE"""),"N/A")</f>
        <v>N/A</v>
      </c>
      <c r="R1519" s="97" t="str">
        <f>IFERROR(__xludf.DUMMYFUNCTION("""COMPUTED_VALUE"""),"N/A")</f>
        <v>N/A</v>
      </c>
      <c r="S1519" s="97" t="str">
        <f>IFERROR(__xludf.DUMMYFUNCTION("""COMPUTED_VALUE"""),"N/A")</f>
        <v>N/A</v>
      </c>
      <c r="T1519" s="97" t="str">
        <f>IFERROR(__xludf.DUMMYFUNCTION("""COMPUTED_VALUE"""),"N/A")</f>
        <v>N/A</v>
      </c>
      <c r="U1519" s="97" t="str">
        <f>IFERROR(__xludf.DUMMYFUNCTION("""COMPUTED_VALUE"""),"N/A")</f>
        <v>N/A</v>
      </c>
      <c r="V1519" s="97" t="str">
        <f>IFERROR(__xludf.DUMMYFUNCTION("""COMPUTED_VALUE"""),"N/A")</f>
        <v>N/A</v>
      </c>
      <c r="W1519" s="97" t="str">
        <f>IFERROR(__xludf.DUMMYFUNCTION("""COMPUTED_VALUE"""),"N/A")</f>
        <v>N/A</v>
      </c>
      <c r="X1519" s="97" t="str">
        <f>IFERROR(__xludf.DUMMYFUNCTION("""COMPUTED_VALUE"""),"N/A")</f>
        <v>N/A</v>
      </c>
      <c r="Y1519" s="97" t="str">
        <f>IFERROR(__xludf.DUMMYFUNCTION("""COMPUTED_VALUE"""),"N/A")</f>
        <v>N/A</v>
      </c>
      <c r="Z1519" s="97" t="str">
        <f>IFERROR(__xludf.DUMMYFUNCTION("""COMPUTED_VALUE"""),"N/A")</f>
        <v>N/A</v>
      </c>
      <c r="AA1519" s="97" t="str">
        <f>IFERROR(__xludf.DUMMYFUNCTION("""COMPUTED_VALUE"""),"N/A")</f>
        <v>N/A</v>
      </c>
      <c r="AB1519" s="97" t="str">
        <f>IFERROR(__xludf.DUMMYFUNCTION("""COMPUTED_VALUE"""),"N/A")</f>
        <v>N/A</v>
      </c>
      <c r="AC1519" s="97" t="str">
        <f>IFERROR(__xludf.DUMMYFUNCTION("""COMPUTED_VALUE"""),"N/A")</f>
        <v>N/A</v>
      </c>
      <c r="AD1519" s="97" t="str">
        <f>IFERROR(__xludf.DUMMYFUNCTION("""COMPUTED_VALUE"""),"IP65")</f>
        <v>IP65</v>
      </c>
      <c r="AE1519" s="97"/>
      <c r="AF1519" s="97" t="str">
        <f>IFERROR(__xludf.DUMMYFUNCTION("""COMPUTED_VALUE"""),"Riel")</f>
        <v>Riel</v>
      </c>
      <c r="AG1519" s="97" t="str">
        <f>IFERROR(__xludf.DUMMYFUNCTION("""COMPUTED_VALUE"""),"6 x 6 x 3000")</f>
        <v>6 x 6 x 3000</v>
      </c>
      <c r="AH1519" s="97" t="str">
        <f>IFERROR(__xludf.DUMMYFUNCTION("""COMPUTED_VALUE"""),"N/A")</f>
        <v>N/A</v>
      </c>
      <c r="AI1519" s="97" t="str">
        <f>IFERROR(__xludf.DUMMYFUNCTION("""COMPUTED_VALUE"""),"N/A")</f>
        <v>N/A</v>
      </c>
      <c r="AJ1519" s="97" t="str">
        <f>IFERROR(__xludf.DUMMYFUNCTION("""COMPUTED_VALUE"""),"N/A")</f>
        <v>N/A</v>
      </c>
      <c r="AK1519" s="97" t="str">
        <f>IFERROR(__xludf.DUMMYFUNCTION("""COMPUTED_VALUE"""),"Silicona")</f>
        <v>Silicona</v>
      </c>
      <c r="AL1519" s="97" t="str">
        <f>IFERROR(__xludf.DUMMYFUNCTION("""COMPUTED_VALUE"""),"Negro Mate")</f>
        <v>Negro Mate</v>
      </c>
      <c r="AM1519" s="97"/>
      <c r="AN1519" s="97"/>
      <c r="AO1519" s="97" t="str">
        <f>IFERROR(__xludf.DUMMYFUNCTION("""COMPUTED_VALUE"""),"2 Años")</f>
        <v>2 Años</v>
      </c>
      <c r="AP1519" s="97" t="str">
        <f>IFERROR(__xludf.DUMMYFUNCTION("""COMPUTED_VALUE"""),"No Aplica")</f>
        <v>No Aplica</v>
      </c>
      <c r="AQ1519" s="97" t="str">
        <f>IFERROR(__xludf.DUMMYFUNCTION("""COMPUTED_VALUE"""),"No Aplica")</f>
        <v>No Aplica</v>
      </c>
      <c r="AR1519" s="97" t="str">
        <f>IFERROR(__xludf.DUMMYFUNCTION("""COMPUTED_VALUE"""),"No Aplica")</f>
        <v>No Aplica</v>
      </c>
      <c r="AS1519" s="97" t="str">
        <f>IFERROR(__xludf.DUMMYFUNCTION("""COMPUTED_VALUE"""),"Falta")</f>
        <v>Falta</v>
      </c>
      <c r="AT1519" s="97" t="str">
        <f>IFERROR(__xludf.DUMMYFUNCTION("""COMPUTED_VALUE"""),"Falta")</f>
        <v>Falta</v>
      </c>
      <c r="AU1519" s="97" t="str">
        <f>IFERROR(__xludf.DUMMYFUNCTION("""COMPUTED_VALUE"""),"Disponible")</f>
        <v>Disponible</v>
      </c>
      <c r="AV1519" s="97" t="str">
        <f>IFERROR(__xludf.DUMMYFUNCTION("""COMPUTED_VALUE"""),"Accesorio")</f>
        <v>Accesorio</v>
      </c>
      <c r="AW1519" s="97" t="str">
        <f>IFERROR(__xludf.DUMMYFUNCTION("""COMPUTED_VALUE"""),"Rieles")</f>
        <v>Rieles</v>
      </c>
      <c r="AX1519" s="97" t="str">
        <f>IFERROR(__xludf.DUMMYFUNCTION("""COMPUTED_VALUE"""),"Exterior")</f>
        <v>Exterior</v>
      </c>
      <c r="AY1519" s="97" t="str">
        <f>IFERROR(__xludf.DUMMYFUNCTION("""COMPUTED_VALUE"""),"-")</f>
        <v>-</v>
      </c>
      <c r="AZ1519" s="97"/>
      <c r="BA1519" s="97"/>
      <c r="BB1519" s="97"/>
      <c r="BC1519" s="97"/>
      <c r="BD1519" s="97" t="str">
        <f>IFERROR(__xludf.DUMMYFUNCTION("""COMPUTED_VALUE"""),"TERRA")</f>
        <v>TERRA</v>
      </c>
      <c r="BE1519" s="97"/>
      <c r="BF1519" s="97"/>
      <c r="BG1519" s="97" t="str">
        <f>IFERROR(__xludf.DUMMYFUNCTION("""COMPUTED_VALUE"""),"REPO 7")</f>
        <v>REPO 7</v>
      </c>
    </row>
    <row r="1520">
      <c r="A1520" s="97">
        <f>IFERROR(__xludf.DUMMYFUNCTION("""COMPUTED_VALUE"""),7636.0)</f>
        <v>7636</v>
      </c>
      <c r="B1520" s="97" t="str">
        <f>IFERROR(__xludf.DUMMYFUNCTION("""COMPUTED_VALUE"""),"TERRA DRIVE 200W")</f>
        <v>TERRA DRIVE 200W</v>
      </c>
      <c r="C1520" s="97" t="str">
        <f>IFERROR(__xludf.DUMMYFUNCTION("""COMPUTED_VALUE"""),"ACCESORIO TERRA DRIVE 200W LEUK")</f>
        <v>ACCESORIO TERRA DRIVE 200W LEUK</v>
      </c>
      <c r="D1520" s="97">
        <f>IFERROR(__xludf.DUMMYFUNCTION("""COMPUTED_VALUE"""),7.798485460916E12)</f>
        <v>7798485460916</v>
      </c>
      <c r="E1520" s="97" t="str">
        <f>IFERROR(__xludf.DUMMYFUNCTION("""COMPUTED_VALUE"""),"DVM1")</f>
        <v>DVM1</v>
      </c>
      <c r="F1520" s="97" t="str">
        <f>IFERROR(__xludf.DUMMYFUNCTION("""COMPUTED_VALUE"""),"N/A")</f>
        <v>N/A</v>
      </c>
      <c r="G1520" s="97" t="str">
        <f>IFERROR(__xludf.DUMMYFUNCTION("""COMPUTED_VALUE"""),"N/A")</f>
        <v>N/A</v>
      </c>
      <c r="H1520" s="97" t="str">
        <f>IFERROR(__xludf.DUMMYFUNCTION("""COMPUTED_VALUE"""),"-")</f>
        <v>-</v>
      </c>
      <c r="I1520" s="97"/>
      <c r="J1520" s="97"/>
      <c r="K1520" s="97" t="str">
        <f>IFERROR(__xludf.DUMMYFUNCTION("""COMPUTED_VALUE"""),"ON/OFF")</f>
        <v>ON/OFF</v>
      </c>
      <c r="L1520" s="97" t="str">
        <f>IFERROR(__xludf.DUMMYFUNCTION("""COMPUTED_VALUE"""),"Entrada: 220-240Vac Salida: 48Vdc 4,1A")</f>
        <v>Entrada: 220-240Vac Salida: 48Vdc 4,1A</v>
      </c>
      <c r="M1520" s="97" t="str">
        <f>IFERROR(__xludf.DUMMYFUNCTION("""COMPUTED_VALUE"""),"50/60")</f>
        <v>50/60</v>
      </c>
      <c r="N1520" s="97" t="str">
        <f>IFERROR(__xludf.DUMMYFUNCTION("""COMPUTED_VALUE"""),"N/A")</f>
        <v>N/A</v>
      </c>
      <c r="O1520" s="97">
        <f>IFERROR(__xludf.DUMMYFUNCTION("""COMPUTED_VALUE"""),200.0)</f>
        <v>200</v>
      </c>
      <c r="P1520" s="97"/>
      <c r="Q1520" s="97"/>
      <c r="R1520" s="97" t="str">
        <f>IFERROR(__xludf.DUMMYFUNCTION("""COMPUTED_VALUE"""),"N/A")</f>
        <v>N/A</v>
      </c>
      <c r="S1520" s="97" t="str">
        <f>IFERROR(__xludf.DUMMYFUNCTION("""COMPUTED_VALUE"""),"N/A")</f>
        <v>N/A</v>
      </c>
      <c r="T1520" s="97" t="str">
        <f>IFERROR(__xludf.DUMMYFUNCTION("""COMPUTED_VALUE"""),"N/A")</f>
        <v>N/A</v>
      </c>
      <c r="U1520" s="97" t="str">
        <f>IFERROR(__xludf.DUMMYFUNCTION("""COMPUTED_VALUE"""),"N/A")</f>
        <v>N/A</v>
      </c>
      <c r="V1520" s="97" t="str">
        <f>IFERROR(__xludf.DUMMYFUNCTION("""COMPUTED_VALUE"""),"N/A")</f>
        <v>N/A</v>
      </c>
      <c r="W1520" s="97" t="str">
        <f>IFERROR(__xludf.DUMMYFUNCTION("""COMPUTED_VALUE"""),"N/A")</f>
        <v>N/A</v>
      </c>
      <c r="X1520" s="97" t="str">
        <f>IFERROR(__xludf.DUMMYFUNCTION("""COMPUTED_VALUE"""),"N/A")</f>
        <v>N/A</v>
      </c>
      <c r="Y1520" s="97" t="str">
        <f>IFERROR(__xludf.DUMMYFUNCTION("""COMPUTED_VALUE"""),"N/A")</f>
        <v>N/A</v>
      </c>
      <c r="Z1520" s="97" t="str">
        <f>IFERROR(__xludf.DUMMYFUNCTION("""COMPUTED_VALUE"""),"N/A")</f>
        <v>N/A</v>
      </c>
      <c r="AA1520" s="97" t="str">
        <f>IFERROR(__xludf.DUMMYFUNCTION("""COMPUTED_VALUE"""),"N/A")</f>
        <v>N/A</v>
      </c>
      <c r="AB1520" s="97" t="str">
        <f>IFERROR(__xludf.DUMMYFUNCTION("""COMPUTED_VALUE"""),"N/A")</f>
        <v>N/A</v>
      </c>
      <c r="AC1520" s="97" t="str">
        <f>IFERROR(__xludf.DUMMYFUNCTION("""COMPUTED_VALUE"""),"N/A")</f>
        <v>N/A</v>
      </c>
      <c r="AD1520" s="97" t="str">
        <f>IFERROR(__xludf.DUMMYFUNCTION("""COMPUTED_VALUE"""),"IP65")</f>
        <v>IP65</v>
      </c>
      <c r="AE1520" s="97"/>
      <c r="AF1520" s="97" t="str">
        <f>IFERROR(__xludf.DUMMYFUNCTION("""COMPUTED_VALUE"""),"Riel")</f>
        <v>Riel</v>
      </c>
      <c r="AG1520" s="97" t="str">
        <f>IFERROR(__xludf.DUMMYFUNCTION("""COMPUTED_VALUE"""),"400 x 45 x 60")</f>
        <v>400 x 45 x 60</v>
      </c>
      <c r="AH1520" s="97" t="str">
        <f>IFERROR(__xludf.DUMMYFUNCTION("""COMPUTED_VALUE"""),"N/A")</f>
        <v>N/A</v>
      </c>
      <c r="AI1520" s="97" t="str">
        <f>IFERROR(__xludf.DUMMYFUNCTION("""COMPUTED_VALUE"""),"N/A")</f>
        <v>N/A</v>
      </c>
      <c r="AJ1520" s="97" t="str">
        <f>IFERROR(__xludf.DUMMYFUNCTION("""COMPUTED_VALUE"""),"N/A")</f>
        <v>N/A</v>
      </c>
      <c r="AK1520" s="97" t="str">
        <f>IFERROR(__xludf.DUMMYFUNCTION("""COMPUTED_VALUE"""),"Aluminio")</f>
        <v>Aluminio</v>
      </c>
      <c r="AL1520" s="97" t="str">
        <f>IFERROR(__xludf.DUMMYFUNCTION("""COMPUTED_VALUE"""),"Negro Satinado")</f>
        <v>Negro Satinado</v>
      </c>
      <c r="AM1520" s="97"/>
      <c r="AN1520" s="97"/>
      <c r="AO1520" s="97" t="str">
        <f>IFERROR(__xludf.DUMMYFUNCTION("""COMPUTED_VALUE"""),"2 Años")</f>
        <v>2 Años</v>
      </c>
      <c r="AP1520" s="97" t="str">
        <f>IFERROR(__xludf.DUMMYFUNCTION("""COMPUTED_VALUE"""),"No Aplica")</f>
        <v>No Aplica</v>
      </c>
      <c r="AQ1520" s="97" t="str">
        <f>IFERROR(__xludf.DUMMYFUNCTION("""COMPUTED_VALUE"""),"No Aplica")</f>
        <v>No Aplica</v>
      </c>
      <c r="AR1520" s="97" t="str">
        <f>IFERROR(__xludf.DUMMYFUNCTION("""COMPUTED_VALUE"""),"No Aplica")</f>
        <v>No Aplica</v>
      </c>
      <c r="AS1520" s="97" t="str">
        <f>IFERROR(__xludf.DUMMYFUNCTION("""COMPUTED_VALUE"""),"Falta")</f>
        <v>Falta</v>
      </c>
      <c r="AT1520" s="97" t="str">
        <f>IFERROR(__xludf.DUMMYFUNCTION("""COMPUTED_VALUE"""),"Falta")</f>
        <v>Falta</v>
      </c>
      <c r="AU1520" s="97" t="str">
        <f>IFERROR(__xludf.DUMMYFUNCTION("""COMPUTED_VALUE"""),"Disponible")</f>
        <v>Disponible</v>
      </c>
      <c r="AV1520" s="97" t="str">
        <f>IFERROR(__xludf.DUMMYFUNCTION("""COMPUTED_VALUE"""),"Accesorio")</f>
        <v>Accesorio</v>
      </c>
      <c r="AW1520" s="97" t="str">
        <f>IFERROR(__xludf.DUMMYFUNCTION("""COMPUTED_VALUE"""),"Rieles")</f>
        <v>Rieles</v>
      </c>
      <c r="AX1520" s="97" t="str">
        <f>IFERROR(__xludf.DUMMYFUNCTION("""COMPUTED_VALUE"""),"Exterior")</f>
        <v>Exterior</v>
      </c>
      <c r="AY1520" s="97" t="str">
        <f>IFERROR(__xludf.DUMMYFUNCTION("""COMPUTED_VALUE"""),"-")</f>
        <v>-</v>
      </c>
      <c r="AZ1520" s="97" t="str">
        <f>IFERROR(__xludf.DUMMYFUNCTION("""COMPUTED_VALUE"""),"200W | Include driver and driver box  / Entrada: 220-240 / Salida: 48Vdc 4,1A")</f>
        <v>200W | Include driver and driver box  / Entrada: 220-240 / Salida: 48Vdc 4,1A</v>
      </c>
      <c r="BA1520" s="97"/>
      <c r="BB1520" s="97"/>
      <c r="BC1520" s="97"/>
      <c r="BD1520" s="97" t="str">
        <f>IFERROR(__xludf.DUMMYFUNCTION("""COMPUTED_VALUE"""),"TERRA")</f>
        <v>TERRA</v>
      </c>
      <c r="BE1520" s="97"/>
      <c r="BF1520" s="97"/>
      <c r="BG1520" s="97" t="str">
        <f>IFERROR(__xludf.DUMMYFUNCTION("""COMPUTED_VALUE"""),"REPO 7")</f>
        <v>REPO 7</v>
      </c>
    </row>
    <row r="1521">
      <c r="A1521" s="97">
        <f>IFERROR(__xludf.DUMMYFUNCTION("""COMPUTED_VALUE"""),7637.0)</f>
        <v>7637</v>
      </c>
      <c r="B1521" s="97" t="str">
        <f>IFERROR(__xludf.DUMMYFUNCTION("""COMPUTED_VALUE"""),"TERRA POINT")</f>
        <v>TERRA POINT</v>
      </c>
      <c r="C1521" s="97" t="str">
        <f>IFERROR(__xludf.DUMMYFUNCTION("""COMPUTED_VALUE"""),"CABEZAL TERRA POINT 12W 3000K 860LM CRI&gt;90 IP65 LEUK")</f>
        <v>CABEZAL TERRA POINT 12W 3000K 860LM CRI&gt;90 IP65 LEUK</v>
      </c>
      <c r="D1521" s="97">
        <f>IFERROR(__xludf.DUMMYFUNCTION("""COMPUTED_VALUE"""),7.798485460923E12)</f>
        <v>7798485460923</v>
      </c>
      <c r="E1521" s="97" t="str">
        <f>IFERROR(__xludf.DUMMYFUNCTION("""COMPUTED_VALUE"""),"-")</f>
        <v>-</v>
      </c>
      <c r="F1521" s="97" t="str">
        <f>IFERROR(__xludf.DUMMYFUNCTION("""COMPUTED_VALUE"""),"LED integrado")</f>
        <v>LED integrado</v>
      </c>
      <c r="G1521" s="97" t="str">
        <f>IFERROR(__xludf.DUMMYFUNCTION("""COMPUTED_VALUE"""),"-")</f>
        <v>-</v>
      </c>
      <c r="H1521" s="97" t="str">
        <f>IFERROR(__xludf.DUMMYFUNCTION("""COMPUTED_VALUE"""),"N/A")</f>
        <v>N/A</v>
      </c>
      <c r="I1521" s="97" t="str">
        <f>IFERROR(__xludf.DUMMYFUNCTION("""COMPUTED_VALUE"""),"N/A")</f>
        <v>N/A</v>
      </c>
      <c r="J1521" s="97" t="str">
        <f>IFERROR(__xludf.DUMMYFUNCTION("""COMPUTED_VALUE"""),"N/A")</f>
        <v>N/A</v>
      </c>
      <c r="K1521" s="97" t="str">
        <f>IFERROR(__xludf.DUMMYFUNCTION("""COMPUTED_VALUE"""),"N/A")</f>
        <v>N/A</v>
      </c>
      <c r="L1521" s="97" t="str">
        <f>IFERROR(__xludf.DUMMYFUNCTION("""COMPUTED_VALUE"""),"48Vdc")</f>
        <v>48Vdc</v>
      </c>
      <c r="M1521" s="97" t="str">
        <f>IFERROR(__xludf.DUMMYFUNCTION("""COMPUTED_VALUE"""),"N/A")</f>
        <v>N/A</v>
      </c>
      <c r="N1521" s="97" t="str">
        <f>IFERROR(__xludf.DUMMYFUNCTION("""COMPUTED_VALUE"""),"Directa")</f>
        <v>Directa</v>
      </c>
      <c r="O1521" s="97">
        <f>IFERROR(__xludf.DUMMYFUNCTION("""COMPUTED_VALUE"""),12.0)</f>
        <v>12</v>
      </c>
      <c r="P1521" s="97">
        <f>IFERROR(__xludf.DUMMYFUNCTION("""COMPUTED_VALUE"""),11.38)</f>
        <v>11.38</v>
      </c>
      <c r="Q1521" s="97" t="str">
        <f>IFERROR(__xludf.DUMMYFUNCTION("""COMPUTED_VALUE"""),"N/A")</f>
        <v>N/A</v>
      </c>
      <c r="R1521" s="97" t="str">
        <f>IFERROR(__xludf.DUMMYFUNCTION("""COMPUTED_VALUE"""),"-")</f>
        <v>-</v>
      </c>
      <c r="S1521" s="97" t="str">
        <f>IFERROR(__xludf.DUMMYFUNCTION("""COMPUTED_VALUE"""),"-")</f>
        <v>-</v>
      </c>
      <c r="T1521" s="99">
        <f>IFERROR(__xludf.DUMMYFUNCTION("""COMPUTED_VALUE"""),860.0)</f>
        <v>860</v>
      </c>
      <c r="U1521" s="99">
        <f>IFERROR(__xludf.DUMMYFUNCTION("""COMPUTED_VALUE"""),71.66666666666667)</f>
        <v>71.66666667</v>
      </c>
      <c r="V1521" s="97">
        <f>IFERROR(__xludf.DUMMYFUNCTION("""COMPUTED_VALUE"""),36.0)</f>
        <v>36</v>
      </c>
      <c r="W1521" s="97" t="str">
        <f>IFERROR(__xludf.DUMMYFUNCTION("""COMPUTED_VALUE"""),"&lt; 18")</f>
        <v>&lt; 18</v>
      </c>
      <c r="X1521" s="97">
        <f>IFERROR(__xludf.DUMMYFUNCTION("""COMPUTED_VALUE"""),3000.0)</f>
        <v>3000</v>
      </c>
      <c r="Y1521" s="97" t="str">
        <f>IFERROR(__xludf.DUMMYFUNCTION("""COMPUTED_VALUE"""),"&gt;90")</f>
        <v>&gt;90</v>
      </c>
      <c r="Z1521" s="97" t="str">
        <f>IFERROR(__xludf.DUMMYFUNCTION("""COMPUTED_VALUE"""),"&gt;90")</f>
        <v>&gt;90</v>
      </c>
      <c r="AA1521" s="97" t="str">
        <f>IFERROR(__xludf.DUMMYFUNCTION("""COMPUTED_VALUE"""),"100 (Fidelidad neutra)")</f>
        <v>100 (Fidelidad neutra)</v>
      </c>
      <c r="AB1521" s="97" t="str">
        <f>IFERROR(__xludf.DUMMYFUNCTION("""COMPUTED_VALUE"""),"&lt; 4")</f>
        <v>&lt; 4</v>
      </c>
      <c r="AC1521" s="97">
        <f>IFERROR(__xludf.DUMMYFUNCTION("""COMPUTED_VALUE"""),-0.0022)</f>
        <v>-0.0022</v>
      </c>
      <c r="AD1521" s="97" t="str">
        <f>IFERROR(__xludf.DUMMYFUNCTION("""COMPUTED_VALUE"""),"IP65")</f>
        <v>IP65</v>
      </c>
      <c r="AE1521" s="97" t="str">
        <f>IFERROR(__xludf.DUMMYFUNCTION("""COMPUTED_VALUE"""),"Clase lll")</f>
        <v>Clase lll</v>
      </c>
      <c r="AF1521" s="97" t="str">
        <f>IFERROR(__xludf.DUMMYFUNCTION("""COMPUTED_VALUE"""),"Riel")</f>
        <v>Riel</v>
      </c>
      <c r="AG1521" s="97" t="str">
        <f>IFERROR(__xludf.DUMMYFUNCTION("""COMPUTED_VALUE"""),"Ø70 x 100")</f>
        <v>Ø70 x 100</v>
      </c>
      <c r="AH1521" s="97" t="str">
        <f>IFERROR(__xludf.DUMMYFUNCTION("""COMPUTED_VALUE"""),"N/A")</f>
        <v>N/A</v>
      </c>
      <c r="AI1521" s="97" t="str">
        <f>IFERROR(__xludf.DUMMYFUNCTION("""COMPUTED_VALUE"""),"N/A")</f>
        <v>N/A</v>
      </c>
      <c r="AJ1521" s="97" t="str">
        <f>IFERROR(__xludf.DUMMYFUNCTION("""COMPUTED_VALUE"""),"Vidrio")</f>
        <v>Vidrio</v>
      </c>
      <c r="AK1521" s="97" t="str">
        <f>IFERROR(__xludf.DUMMYFUNCTION("""COMPUTED_VALUE"""),"Aluminio")</f>
        <v>Aluminio</v>
      </c>
      <c r="AL1521" s="97" t="str">
        <f>IFERROR(__xludf.DUMMYFUNCTION("""COMPUTED_VALUE"""),"Negro Satinado")</f>
        <v>Negro Satinado</v>
      </c>
      <c r="AM1521" s="97"/>
      <c r="AN1521" s="97" t="str">
        <f>IFERROR(__xludf.DUMMYFUNCTION("""COMPUTED_VALUE"""),"25.000hs (L70)")</f>
        <v>25.000hs (L70)</v>
      </c>
      <c r="AO1521" s="97" t="str">
        <f>IFERROR(__xludf.DUMMYFUNCTION("""COMPUTED_VALUE"""),"2 Años")</f>
        <v>2 Años</v>
      </c>
      <c r="AP1521" s="97" t="str">
        <f>IFERROR(__xludf.DUMMYFUNCTION("""COMPUTED_VALUE"""),"Disponible")</f>
        <v>Disponible</v>
      </c>
      <c r="AQ1521" s="97" t="str">
        <f>IFERROR(__xludf.DUMMYFUNCTION("""COMPUTED_VALUE"""),"Disponible")</f>
        <v>Disponible</v>
      </c>
      <c r="AR1521" s="97" t="str">
        <f>IFERROR(__xludf.DUMMYFUNCTION("""COMPUTED_VALUE"""),"Disponible")</f>
        <v>Disponible</v>
      </c>
      <c r="AS1521" s="97" t="str">
        <f>IFERROR(__xludf.DUMMYFUNCTION("""COMPUTED_VALUE"""),"Falta")</f>
        <v>Falta</v>
      </c>
      <c r="AT1521" s="97" t="str">
        <f>IFERROR(__xludf.DUMMYFUNCTION("""COMPUTED_VALUE"""),"Falta")</f>
        <v>Falta</v>
      </c>
      <c r="AU1521" s="97" t="str">
        <f>IFERROR(__xludf.DUMMYFUNCTION("""COMPUTED_VALUE"""),"Disponible")</f>
        <v>Disponible</v>
      </c>
      <c r="AV1521" s="97" t="str">
        <f>IFERROR(__xludf.DUMMYFUNCTION("""COMPUTED_VALUE"""),"Cabezal")</f>
        <v>Cabezal</v>
      </c>
      <c r="AW1521" s="97" t="str">
        <f>IFERROR(__xludf.DUMMYFUNCTION("""COMPUTED_VALUE"""),"Rieles")</f>
        <v>Rieles</v>
      </c>
      <c r="AX1521" s="97" t="str">
        <f>IFERROR(__xludf.DUMMYFUNCTION("""COMPUTED_VALUE"""),"Exterior")</f>
        <v>Exterior</v>
      </c>
      <c r="AY1521" s="97" t="str">
        <f>IFERROR(__xludf.DUMMYFUNCTION("""COMPUTED_VALUE"""),"-")</f>
        <v>-</v>
      </c>
      <c r="AZ1521" s="97"/>
      <c r="BA1521" s="97"/>
      <c r="BB1521" s="97"/>
      <c r="BC1521" s="97"/>
      <c r="BD1521" s="97" t="str">
        <f>IFERROR(__xludf.DUMMYFUNCTION("""COMPUTED_VALUE"""),"TERRA POINT")</f>
        <v>TERRA POINT</v>
      </c>
      <c r="BE1521" s="97"/>
      <c r="BF1521" s="97"/>
      <c r="BG1521" s="97" t="str">
        <f>IFERROR(__xludf.DUMMYFUNCTION("""COMPUTED_VALUE"""),"REPO 7")</f>
        <v>REPO 7</v>
      </c>
    </row>
    <row r="1522">
      <c r="A1522" s="97">
        <f>IFERROR(__xludf.DUMMYFUNCTION("""COMPUTED_VALUE"""),7638.0)</f>
        <v>7638</v>
      </c>
      <c r="B1522" s="97" t="str">
        <f>IFERROR(__xludf.DUMMYFUNCTION("""COMPUTED_VALUE"""),"TERRA CHILL")</f>
        <v>TERRA CHILL</v>
      </c>
      <c r="C1522" s="97" t="str">
        <f>IFERROR(__xludf.DUMMYFUNCTION("""COMPUTED_VALUE"""),"CABEZAL TERRA CHILL 12W 3000K 680LM CRI&gt;90 IP65 LEUK")</f>
        <v>CABEZAL TERRA CHILL 12W 3000K 680LM CRI&gt;90 IP65 LEUK</v>
      </c>
      <c r="D1522" s="97">
        <f>IFERROR(__xludf.DUMMYFUNCTION("""COMPUTED_VALUE"""),7.79848546093E12)</f>
        <v>7798485460930</v>
      </c>
      <c r="E1522" s="97" t="str">
        <f>IFERROR(__xludf.DUMMYFUNCTION("""COMPUTED_VALUE"""),"-")</f>
        <v>-</v>
      </c>
      <c r="F1522" s="97" t="str">
        <f>IFERROR(__xludf.DUMMYFUNCTION("""COMPUTED_VALUE"""),"LED integrado")</f>
        <v>LED integrado</v>
      </c>
      <c r="G1522" s="97" t="str">
        <f>IFERROR(__xludf.DUMMYFUNCTION("""COMPUTED_VALUE"""),"-")</f>
        <v>-</v>
      </c>
      <c r="H1522" s="97" t="str">
        <f>IFERROR(__xludf.DUMMYFUNCTION("""COMPUTED_VALUE"""),"N/A")</f>
        <v>N/A</v>
      </c>
      <c r="I1522" s="97" t="str">
        <f>IFERROR(__xludf.DUMMYFUNCTION("""COMPUTED_VALUE"""),"N/A")</f>
        <v>N/A</v>
      </c>
      <c r="J1522" s="97" t="str">
        <f>IFERROR(__xludf.DUMMYFUNCTION("""COMPUTED_VALUE"""),"N/A")</f>
        <v>N/A</v>
      </c>
      <c r="K1522" s="97" t="str">
        <f>IFERROR(__xludf.DUMMYFUNCTION("""COMPUTED_VALUE"""),"N/A")</f>
        <v>N/A</v>
      </c>
      <c r="L1522" s="97" t="str">
        <f>IFERROR(__xludf.DUMMYFUNCTION("""COMPUTED_VALUE"""),"48Vdc")</f>
        <v>48Vdc</v>
      </c>
      <c r="M1522" s="97" t="str">
        <f>IFERROR(__xludf.DUMMYFUNCTION("""COMPUTED_VALUE"""),"N/A")</f>
        <v>N/A</v>
      </c>
      <c r="N1522" s="97" t="str">
        <f>IFERROR(__xludf.DUMMYFUNCTION("""COMPUTED_VALUE"""),"Directa")</f>
        <v>Directa</v>
      </c>
      <c r="O1522" s="97">
        <f>IFERROR(__xludf.DUMMYFUNCTION("""COMPUTED_VALUE"""),12.0)</f>
        <v>12</v>
      </c>
      <c r="P1522" s="97">
        <f>IFERROR(__xludf.DUMMYFUNCTION("""COMPUTED_VALUE"""),10.9)</f>
        <v>10.9</v>
      </c>
      <c r="Q1522" s="97" t="str">
        <f>IFERROR(__xludf.DUMMYFUNCTION("""COMPUTED_VALUE"""),"N/A")</f>
        <v>N/A</v>
      </c>
      <c r="R1522" s="97" t="str">
        <f>IFERROR(__xludf.DUMMYFUNCTION("""COMPUTED_VALUE"""),"-")</f>
        <v>-</v>
      </c>
      <c r="S1522" s="97" t="str">
        <f>IFERROR(__xludf.DUMMYFUNCTION("""COMPUTED_VALUE"""),"-")</f>
        <v>-</v>
      </c>
      <c r="T1522" s="99">
        <f>IFERROR(__xludf.DUMMYFUNCTION("""COMPUTED_VALUE"""),680.0)</f>
        <v>680</v>
      </c>
      <c r="U1522" s="99">
        <f>IFERROR(__xludf.DUMMYFUNCTION("""COMPUTED_VALUE"""),56.666666666666664)</f>
        <v>56.66666667</v>
      </c>
      <c r="V1522" s="97">
        <f>IFERROR(__xludf.DUMMYFUNCTION("""COMPUTED_VALUE"""),36.0)</f>
        <v>36</v>
      </c>
      <c r="W1522" s="97" t="str">
        <f>IFERROR(__xludf.DUMMYFUNCTION("""COMPUTED_VALUE"""),"&lt; 16")</f>
        <v>&lt; 16</v>
      </c>
      <c r="X1522" s="97">
        <f>IFERROR(__xludf.DUMMYFUNCTION("""COMPUTED_VALUE"""),3000.0)</f>
        <v>3000</v>
      </c>
      <c r="Y1522" s="97" t="str">
        <f>IFERROR(__xludf.DUMMYFUNCTION("""COMPUTED_VALUE"""),"&gt;90")</f>
        <v>&gt;90</v>
      </c>
      <c r="Z1522" s="97" t="str">
        <f>IFERROR(__xludf.DUMMYFUNCTION("""COMPUTED_VALUE"""),"&gt;90")</f>
        <v>&gt;90</v>
      </c>
      <c r="AA1522" s="97" t="str">
        <f>IFERROR(__xludf.DUMMYFUNCTION("""COMPUTED_VALUE"""),"90-99 (Leve desaturación)")</f>
        <v>90-99 (Leve desaturación)</v>
      </c>
      <c r="AB1522" s="97" t="str">
        <f>IFERROR(__xludf.DUMMYFUNCTION("""COMPUTED_VALUE"""),"&lt; 4")</f>
        <v>&lt; 4</v>
      </c>
      <c r="AC1522" s="97">
        <f>IFERROR(__xludf.DUMMYFUNCTION("""COMPUTED_VALUE"""),0.0)</f>
        <v>0</v>
      </c>
      <c r="AD1522" s="97" t="str">
        <f>IFERROR(__xludf.DUMMYFUNCTION("""COMPUTED_VALUE"""),"IP65")</f>
        <v>IP65</v>
      </c>
      <c r="AE1522" s="97" t="str">
        <f>IFERROR(__xludf.DUMMYFUNCTION("""COMPUTED_VALUE"""),"Clase lll")</f>
        <v>Clase lll</v>
      </c>
      <c r="AF1522" s="97" t="str">
        <f>IFERROR(__xludf.DUMMYFUNCTION("""COMPUTED_VALUE"""),"Riel")</f>
        <v>Riel</v>
      </c>
      <c r="AG1522" s="97" t="str">
        <f>IFERROR(__xludf.DUMMYFUNCTION("""COMPUTED_VALUE"""),"Ø55 x 190")</f>
        <v>Ø55 x 190</v>
      </c>
      <c r="AH1522" s="97" t="str">
        <f>IFERROR(__xludf.DUMMYFUNCTION("""COMPUTED_VALUE"""),"N/A")</f>
        <v>N/A</v>
      </c>
      <c r="AI1522" s="97" t="str">
        <f>IFERROR(__xludf.DUMMYFUNCTION("""COMPUTED_VALUE"""),"N/A")</f>
        <v>N/A</v>
      </c>
      <c r="AJ1522" s="97" t="str">
        <f>IFERROR(__xludf.DUMMYFUNCTION("""COMPUTED_VALUE"""),"Vidrio")</f>
        <v>Vidrio</v>
      </c>
      <c r="AK1522" s="97" t="str">
        <f>IFERROR(__xludf.DUMMYFUNCTION("""COMPUTED_VALUE"""),"Aluminio")</f>
        <v>Aluminio</v>
      </c>
      <c r="AL1522" s="97" t="str">
        <f>IFERROR(__xludf.DUMMYFUNCTION("""COMPUTED_VALUE"""),"Negro Satinado")</f>
        <v>Negro Satinado</v>
      </c>
      <c r="AM1522" s="97"/>
      <c r="AN1522" s="97" t="str">
        <f>IFERROR(__xludf.DUMMYFUNCTION("""COMPUTED_VALUE"""),"25.000hs (L70)")</f>
        <v>25.000hs (L70)</v>
      </c>
      <c r="AO1522" s="97" t="str">
        <f>IFERROR(__xludf.DUMMYFUNCTION("""COMPUTED_VALUE"""),"2 Años")</f>
        <v>2 Años</v>
      </c>
      <c r="AP1522" s="97" t="str">
        <f>IFERROR(__xludf.DUMMYFUNCTION("""COMPUTED_VALUE"""),"Disponible")</f>
        <v>Disponible</v>
      </c>
      <c r="AQ1522" s="97" t="str">
        <f>IFERROR(__xludf.DUMMYFUNCTION("""COMPUTED_VALUE"""),"Disponible")</f>
        <v>Disponible</v>
      </c>
      <c r="AR1522" s="97" t="str">
        <f>IFERROR(__xludf.DUMMYFUNCTION("""COMPUTED_VALUE"""),"Disponible")</f>
        <v>Disponible</v>
      </c>
      <c r="AS1522" s="97" t="str">
        <f>IFERROR(__xludf.DUMMYFUNCTION("""COMPUTED_VALUE"""),"Falta")</f>
        <v>Falta</v>
      </c>
      <c r="AT1522" s="97" t="str">
        <f>IFERROR(__xludf.DUMMYFUNCTION("""COMPUTED_VALUE"""),"Falta")</f>
        <v>Falta</v>
      </c>
      <c r="AU1522" s="97" t="str">
        <f>IFERROR(__xludf.DUMMYFUNCTION("""COMPUTED_VALUE"""),"Disponible")</f>
        <v>Disponible</v>
      </c>
      <c r="AV1522" s="97" t="str">
        <f>IFERROR(__xludf.DUMMYFUNCTION("""COMPUTED_VALUE"""),"Cabezal")</f>
        <v>Cabezal</v>
      </c>
      <c r="AW1522" s="97" t="str">
        <f>IFERROR(__xludf.DUMMYFUNCTION("""COMPUTED_VALUE"""),"Rieles")</f>
        <v>Rieles</v>
      </c>
      <c r="AX1522" s="97" t="str">
        <f>IFERROR(__xludf.DUMMYFUNCTION("""COMPUTED_VALUE"""),"Exterior")</f>
        <v>Exterior</v>
      </c>
      <c r="AY1522" s="97" t="str">
        <f>IFERROR(__xludf.DUMMYFUNCTION("""COMPUTED_VALUE"""),"-")</f>
        <v>-</v>
      </c>
      <c r="AZ1522" s="97"/>
      <c r="BA1522" s="97"/>
      <c r="BB1522" s="97"/>
      <c r="BC1522" s="97"/>
      <c r="BD1522" s="97" t="str">
        <f>IFERROR(__xludf.DUMMYFUNCTION("""COMPUTED_VALUE"""),"TERRA CHILL")</f>
        <v>TERRA CHILL</v>
      </c>
      <c r="BE1522" s="97"/>
      <c r="BF1522" s="97"/>
      <c r="BG1522" s="97" t="str">
        <f>IFERROR(__xludf.DUMMYFUNCTION("""COMPUTED_VALUE"""),"REPO 7")</f>
        <v>REPO 7</v>
      </c>
    </row>
    <row r="1523">
      <c r="A1523" s="97">
        <f>IFERROR(__xludf.DUMMYFUNCTION("""COMPUTED_VALUE"""),7639.0)</f>
        <v>7639</v>
      </c>
      <c r="B1523" s="97" t="str">
        <f>IFERROR(__xludf.DUMMYFUNCTION("""COMPUTED_VALUE"""),"TERRA GRID")</f>
        <v>TERRA GRID</v>
      </c>
      <c r="C1523" s="97" t="str">
        <f>IFERROR(__xludf.DUMMYFUNCTION("""COMPUTED_VALUE"""),"CABEZAL TERRA GRID 12W 3000K 750LM CRI&gt;90 IP65 LEUK")</f>
        <v>CABEZAL TERRA GRID 12W 3000K 750LM CRI&gt;90 IP65 LEUK</v>
      </c>
      <c r="D1523" s="97">
        <f>IFERROR(__xludf.DUMMYFUNCTION("""COMPUTED_VALUE"""),7.798485460947E12)</f>
        <v>7798485460947</v>
      </c>
      <c r="E1523" s="97" t="str">
        <f>IFERROR(__xludf.DUMMYFUNCTION("""COMPUTED_VALUE"""),"-")</f>
        <v>-</v>
      </c>
      <c r="F1523" s="97" t="str">
        <f>IFERROR(__xludf.DUMMYFUNCTION("""COMPUTED_VALUE"""),"LED integrado")</f>
        <v>LED integrado</v>
      </c>
      <c r="G1523" s="97" t="str">
        <f>IFERROR(__xludf.DUMMYFUNCTION("""COMPUTED_VALUE"""),"-")</f>
        <v>-</v>
      </c>
      <c r="H1523" s="97" t="str">
        <f>IFERROR(__xludf.DUMMYFUNCTION("""COMPUTED_VALUE"""),"N/A")</f>
        <v>N/A</v>
      </c>
      <c r="I1523" s="97" t="str">
        <f>IFERROR(__xludf.DUMMYFUNCTION("""COMPUTED_VALUE"""),"N/A")</f>
        <v>N/A</v>
      </c>
      <c r="J1523" s="97" t="str">
        <f>IFERROR(__xludf.DUMMYFUNCTION("""COMPUTED_VALUE"""),"N/A")</f>
        <v>N/A</v>
      </c>
      <c r="K1523" s="97" t="str">
        <f>IFERROR(__xludf.DUMMYFUNCTION("""COMPUTED_VALUE"""),"N/A")</f>
        <v>N/A</v>
      </c>
      <c r="L1523" s="97" t="str">
        <f>IFERROR(__xludf.DUMMYFUNCTION("""COMPUTED_VALUE"""),"48Vdc")</f>
        <v>48Vdc</v>
      </c>
      <c r="M1523" s="97" t="str">
        <f>IFERROR(__xludf.DUMMYFUNCTION("""COMPUTED_VALUE"""),"N/A")</f>
        <v>N/A</v>
      </c>
      <c r="N1523" s="97"/>
      <c r="O1523" s="97">
        <f>IFERROR(__xludf.DUMMYFUNCTION("""COMPUTED_VALUE"""),12.0)</f>
        <v>12</v>
      </c>
      <c r="P1523" s="97">
        <f>IFERROR(__xludf.DUMMYFUNCTION("""COMPUTED_VALUE"""),11.37)</f>
        <v>11.37</v>
      </c>
      <c r="Q1523" s="97" t="str">
        <f>IFERROR(__xludf.DUMMYFUNCTION("""COMPUTED_VALUE"""),"N/A")</f>
        <v>N/A</v>
      </c>
      <c r="R1523" s="97" t="str">
        <f>IFERROR(__xludf.DUMMYFUNCTION("""COMPUTED_VALUE"""),"-")</f>
        <v>-</v>
      </c>
      <c r="S1523" s="97" t="str">
        <f>IFERROR(__xludf.DUMMYFUNCTION("""COMPUTED_VALUE"""),"-")</f>
        <v>-</v>
      </c>
      <c r="T1523" s="99">
        <f>IFERROR(__xludf.DUMMYFUNCTION("""COMPUTED_VALUE"""),750.0)</f>
        <v>750</v>
      </c>
      <c r="U1523" s="99">
        <f>IFERROR(__xludf.DUMMYFUNCTION("""COMPUTED_VALUE"""),62.5)</f>
        <v>62.5</v>
      </c>
      <c r="V1523" s="97">
        <f>IFERROR(__xludf.DUMMYFUNCTION("""COMPUTED_VALUE"""),60.0)</f>
        <v>60</v>
      </c>
      <c r="W1523" s="97" t="str">
        <f>IFERROR(__xludf.DUMMYFUNCTION("""COMPUTED_VALUE"""),"&lt; 15")</f>
        <v>&lt; 15</v>
      </c>
      <c r="X1523" s="97">
        <f>IFERROR(__xludf.DUMMYFUNCTION("""COMPUTED_VALUE"""),3000.0)</f>
        <v>3000</v>
      </c>
      <c r="Y1523" s="97" t="str">
        <f>IFERROR(__xludf.DUMMYFUNCTION("""COMPUTED_VALUE"""),"&gt;90")</f>
        <v>&gt;90</v>
      </c>
      <c r="Z1523" s="97" t="str">
        <f>IFERROR(__xludf.DUMMYFUNCTION("""COMPUTED_VALUE"""),"&gt;90")</f>
        <v>&gt;90</v>
      </c>
      <c r="AA1523" s="97" t="str">
        <f>IFERROR(__xludf.DUMMYFUNCTION("""COMPUTED_VALUE"""),"100 (Fidelidad neutra)")</f>
        <v>100 (Fidelidad neutra)</v>
      </c>
      <c r="AB1523" s="97" t="str">
        <f>IFERROR(__xludf.DUMMYFUNCTION("""COMPUTED_VALUE"""),"&lt; 5")</f>
        <v>&lt; 5</v>
      </c>
      <c r="AC1523" s="97">
        <f>IFERROR(__xludf.DUMMYFUNCTION("""COMPUTED_VALUE"""),-0.0014)</f>
        <v>-0.0014</v>
      </c>
      <c r="AD1523" s="97" t="str">
        <f>IFERROR(__xludf.DUMMYFUNCTION("""COMPUTED_VALUE"""),"IP65")</f>
        <v>IP65</v>
      </c>
      <c r="AE1523" s="97" t="str">
        <f>IFERROR(__xludf.DUMMYFUNCTION("""COMPUTED_VALUE"""),"Clase lll")</f>
        <v>Clase lll</v>
      </c>
      <c r="AF1523" s="97" t="str">
        <f>IFERROR(__xludf.DUMMYFUNCTION("""COMPUTED_VALUE"""),"Riel")</f>
        <v>Riel</v>
      </c>
      <c r="AG1523" s="97" t="str">
        <f>IFERROR(__xludf.DUMMYFUNCTION("""COMPUTED_VALUE"""),"285 x 32 x 58.5")</f>
        <v>285 x 32 x 58.5</v>
      </c>
      <c r="AH1523" s="97" t="str">
        <f>IFERROR(__xludf.DUMMYFUNCTION("""COMPUTED_VALUE"""),"N/A")</f>
        <v>N/A</v>
      </c>
      <c r="AI1523" s="97" t="str">
        <f>IFERROR(__xludf.DUMMYFUNCTION("""COMPUTED_VALUE"""),"N/A")</f>
        <v>N/A</v>
      </c>
      <c r="AJ1523" s="97" t="str">
        <f>IFERROR(__xludf.DUMMYFUNCTION("""COMPUTED_VALUE"""),"Vidrio")</f>
        <v>Vidrio</v>
      </c>
      <c r="AK1523" s="97" t="str">
        <f>IFERROR(__xludf.DUMMYFUNCTION("""COMPUTED_VALUE"""),"Aluminio")</f>
        <v>Aluminio</v>
      </c>
      <c r="AL1523" s="97" t="str">
        <f>IFERROR(__xludf.DUMMYFUNCTION("""COMPUTED_VALUE"""),"Negro Satinado")</f>
        <v>Negro Satinado</v>
      </c>
      <c r="AM1523" s="97"/>
      <c r="AN1523" s="97" t="str">
        <f>IFERROR(__xludf.DUMMYFUNCTION("""COMPUTED_VALUE"""),"25.000hs (L70)")</f>
        <v>25.000hs (L70)</v>
      </c>
      <c r="AO1523" s="97" t="str">
        <f>IFERROR(__xludf.DUMMYFUNCTION("""COMPUTED_VALUE"""),"2 Años")</f>
        <v>2 Años</v>
      </c>
      <c r="AP1523" s="97" t="str">
        <f>IFERROR(__xludf.DUMMYFUNCTION("""COMPUTED_VALUE"""),"Disponible")</f>
        <v>Disponible</v>
      </c>
      <c r="AQ1523" s="97" t="str">
        <f>IFERROR(__xludf.DUMMYFUNCTION("""COMPUTED_VALUE"""),"Disponible")</f>
        <v>Disponible</v>
      </c>
      <c r="AR1523" s="97" t="str">
        <f>IFERROR(__xludf.DUMMYFUNCTION("""COMPUTED_VALUE"""),"Falta")</f>
        <v>Falta</v>
      </c>
      <c r="AS1523" s="97" t="str">
        <f>IFERROR(__xludf.DUMMYFUNCTION("""COMPUTED_VALUE"""),"Falta")</f>
        <v>Falta</v>
      </c>
      <c r="AT1523" s="97" t="str">
        <f>IFERROR(__xludf.DUMMYFUNCTION("""COMPUTED_VALUE"""),"Falta")</f>
        <v>Falta</v>
      </c>
      <c r="AU1523" s="97" t="str">
        <f>IFERROR(__xludf.DUMMYFUNCTION("""COMPUTED_VALUE"""),"Disponible")</f>
        <v>Disponible</v>
      </c>
      <c r="AV1523" s="97" t="str">
        <f>IFERROR(__xludf.DUMMYFUNCTION("""COMPUTED_VALUE"""),"Cabezal")</f>
        <v>Cabezal</v>
      </c>
      <c r="AW1523" s="97" t="str">
        <f>IFERROR(__xludf.DUMMYFUNCTION("""COMPUTED_VALUE"""),"Rieles")</f>
        <v>Rieles</v>
      </c>
      <c r="AX1523" s="97" t="str">
        <f>IFERROR(__xludf.DUMMYFUNCTION("""COMPUTED_VALUE"""),"Exterior")</f>
        <v>Exterior</v>
      </c>
      <c r="AY1523" s="97" t="str">
        <f>IFERROR(__xludf.DUMMYFUNCTION("""COMPUTED_VALUE"""),"-")</f>
        <v>-</v>
      </c>
      <c r="AZ1523" s="97"/>
      <c r="BA1523" s="97"/>
      <c r="BB1523" s="97"/>
      <c r="BC1523" s="97"/>
      <c r="BD1523" s="97" t="str">
        <f>IFERROR(__xludf.DUMMYFUNCTION("""COMPUTED_VALUE"""),"TERRA GRID")</f>
        <v>TERRA GRID</v>
      </c>
      <c r="BE1523" s="97"/>
      <c r="BF1523" s="97"/>
      <c r="BG1523" s="97" t="str">
        <f>IFERROR(__xludf.DUMMYFUNCTION("""COMPUTED_VALUE"""),"REPO 7")</f>
        <v>REPO 7</v>
      </c>
    </row>
    <row r="1524">
      <c r="A1524" s="97">
        <f>IFERROR(__xludf.DUMMYFUNCTION("""COMPUTED_VALUE"""),7700.0)</f>
        <v>7700</v>
      </c>
      <c r="B1524" s="97" t="str">
        <f>IFERROR(__xludf.DUMMYFUNCTION("""COMPUTED_VALUE"""),"VALIJA LINEA POCKET")</f>
        <v>VALIJA LINEA POCKET</v>
      </c>
      <c r="C1524" s="97" t="str">
        <f>IFERROR(__xludf.DUMMYFUNCTION("""COMPUTED_VALUE"""),"ACCESORIO VALIJA LINEA POCKET LEUK")</f>
        <v>ACCESORIO VALIJA LINEA POCKET LEUK</v>
      </c>
      <c r="D1524" s="97"/>
      <c r="E1524" s="97"/>
      <c r="F1524" s="97" t="str">
        <f>IFERROR(__xludf.DUMMYFUNCTION("""COMPUTED_VALUE"""),"LED SMD")</f>
        <v>LED SMD</v>
      </c>
      <c r="G1524" s="97" t="str">
        <f>IFERROR(__xludf.DUMMYFUNCTION("""COMPUTED_VALUE"""),"-")</f>
        <v>-</v>
      </c>
      <c r="H1524" s="97" t="str">
        <f>IFERROR(__xludf.DUMMYFUNCTION("""COMPUTED_VALUE"""),"Eaglerise")</f>
        <v>Eaglerise</v>
      </c>
      <c r="I1524" s="97" t="str">
        <f>IFERROR(__xludf.DUMMYFUNCTION("""COMPUTED_VALUE"""),"Si")</f>
        <v>Si</v>
      </c>
      <c r="J1524" s="97" t="str">
        <f>IFERROR(__xludf.DUMMYFUNCTION("""COMPUTED_VALUE"""),"N/A")</f>
        <v>N/A</v>
      </c>
      <c r="K1524" s="97" t="str">
        <f>IFERROR(__xludf.DUMMYFUNCTION("""COMPUTED_VALUE"""),"N/A")</f>
        <v>N/A</v>
      </c>
      <c r="L1524" s="97" t="str">
        <f>IFERROR(__xludf.DUMMYFUNCTION("""COMPUTED_VALUE"""),"200-240")</f>
        <v>200-240</v>
      </c>
      <c r="M1524" s="97" t="str">
        <f>IFERROR(__xludf.DUMMYFUNCTION("""COMPUTED_VALUE"""),"50/60")</f>
        <v>50/60</v>
      </c>
      <c r="N1524" s="97" t="str">
        <f>IFERROR(__xludf.DUMMYFUNCTION("""COMPUTED_VALUE"""),"Directa")</f>
        <v>Directa</v>
      </c>
      <c r="O1524" s="97" t="str">
        <f>IFERROR(__xludf.DUMMYFUNCTION("""COMPUTED_VALUE"""),"N/A")</f>
        <v>N/A</v>
      </c>
      <c r="P1524" s="97" t="str">
        <f>IFERROR(__xludf.DUMMYFUNCTION("""COMPUTED_VALUE"""),"N/A")</f>
        <v>N/A</v>
      </c>
      <c r="Q1524" s="97" t="str">
        <f>IFERROR(__xludf.DUMMYFUNCTION("""COMPUTED_VALUE"""),"N/A")</f>
        <v>N/A</v>
      </c>
      <c r="R1524" s="97" t="str">
        <f>IFERROR(__xludf.DUMMYFUNCTION("""COMPUTED_VALUE"""),"N/A")</f>
        <v>N/A</v>
      </c>
      <c r="S1524" s="97" t="str">
        <f>IFERROR(__xludf.DUMMYFUNCTION("""COMPUTED_VALUE"""),"N/A")</f>
        <v>N/A</v>
      </c>
      <c r="T1524" s="97" t="str">
        <f>IFERROR(__xludf.DUMMYFUNCTION("""COMPUTED_VALUE"""),"N/A")</f>
        <v>N/A</v>
      </c>
      <c r="U1524" s="97" t="str">
        <f>IFERROR(__xludf.DUMMYFUNCTION("""COMPUTED_VALUE"""),"N/A")</f>
        <v>N/A</v>
      </c>
      <c r="V1524" s="97" t="str">
        <f>IFERROR(__xludf.DUMMYFUNCTION("""COMPUTED_VALUE"""),"N/A")</f>
        <v>N/A</v>
      </c>
      <c r="W1524" s="97" t="str">
        <f>IFERROR(__xludf.DUMMYFUNCTION("""COMPUTED_VALUE"""),"N/A")</f>
        <v>N/A</v>
      </c>
      <c r="X1524" s="97" t="str">
        <f>IFERROR(__xludf.DUMMYFUNCTION("""COMPUTED_VALUE"""),"N/A")</f>
        <v>N/A</v>
      </c>
      <c r="Y1524" s="97" t="str">
        <f>IFERROR(__xludf.DUMMYFUNCTION("""COMPUTED_VALUE"""),"&gt;90")</f>
        <v>&gt;90</v>
      </c>
      <c r="Z1524" s="97" t="str">
        <f>IFERROR(__xludf.DUMMYFUNCTION("""COMPUTED_VALUE"""),"&gt;90")</f>
        <v>&gt;90</v>
      </c>
      <c r="AA1524" s="97" t="str">
        <f>IFERROR(__xludf.DUMMYFUNCTION("""COMPUTED_VALUE"""),"100 (Fidelidad neutra)")</f>
        <v>100 (Fidelidad neutra)</v>
      </c>
      <c r="AB1524" s="97" t="str">
        <f>IFERROR(__xludf.DUMMYFUNCTION("""COMPUTED_VALUE"""),"&lt; 3")</f>
        <v>&lt; 3</v>
      </c>
      <c r="AC1524" s="97"/>
      <c r="AD1524" s="97" t="str">
        <f>IFERROR(__xludf.DUMMYFUNCTION("""COMPUTED_VALUE"""),"IP20")</f>
        <v>IP20</v>
      </c>
      <c r="AE1524" s="97"/>
      <c r="AF1524" s="97" t="str">
        <f>IFERROR(__xludf.DUMMYFUNCTION("""COMPUTED_VALUE"""),"Autoportante")</f>
        <v>Autoportante</v>
      </c>
      <c r="AG1524" s="97" t="str">
        <f>IFERROR(__xludf.DUMMYFUNCTION("""COMPUTED_VALUE"""),"443 x 233 x 98")</f>
        <v>443 x 233 x 98</v>
      </c>
      <c r="AH1524" s="97" t="str">
        <f>IFERROR(__xludf.DUMMYFUNCTION("""COMPUTED_VALUE"""),"N/A")</f>
        <v>N/A</v>
      </c>
      <c r="AI1524" s="97" t="str">
        <f>IFERROR(__xludf.DUMMYFUNCTION("""COMPUTED_VALUE"""),"N/A")</f>
        <v>N/A</v>
      </c>
      <c r="AJ1524" s="97" t="str">
        <f>IFERROR(__xludf.DUMMYFUNCTION("""COMPUTED_VALUE"""),"N/A")</f>
        <v>N/A</v>
      </c>
      <c r="AK1524" s="97" t="str">
        <f>IFERROR(__xludf.DUMMYFUNCTION("""COMPUTED_VALUE"""),"Aluminio y Acero")</f>
        <v>Aluminio y Acero</v>
      </c>
      <c r="AL1524" s="97" t="str">
        <f>IFERROR(__xludf.DUMMYFUNCTION("""COMPUTED_VALUE"""),"Negro")</f>
        <v>Negro</v>
      </c>
      <c r="AM1524" s="97"/>
      <c r="AN1524" s="97" t="str">
        <f>IFERROR(__xludf.DUMMYFUNCTION("""COMPUTED_VALUE"""),"N/A")</f>
        <v>N/A</v>
      </c>
      <c r="AO1524" s="97" t="str">
        <f>IFERROR(__xludf.DUMMYFUNCTION("""COMPUTED_VALUE"""),"4 Años")</f>
        <v>4 Años</v>
      </c>
      <c r="AP1524" s="97" t="str">
        <f>IFERROR(__xludf.DUMMYFUNCTION("""COMPUTED_VALUE"""),"No Aplica")</f>
        <v>No Aplica</v>
      </c>
      <c r="AQ1524" s="97" t="str">
        <f>IFERROR(__xludf.DUMMYFUNCTION("""COMPUTED_VALUE"""),"No Aplica")</f>
        <v>No Aplica</v>
      </c>
      <c r="AR1524" s="97" t="str">
        <f>IFERROR(__xludf.DUMMYFUNCTION("""COMPUTED_VALUE"""),"No Aplica")</f>
        <v>No Aplica</v>
      </c>
      <c r="AS1524" s="97" t="str">
        <f>IFERROR(__xludf.DUMMYFUNCTION("""COMPUTED_VALUE"""),"No Aplica")</f>
        <v>No Aplica</v>
      </c>
      <c r="AT1524" s="97" t="str">
        <f>IFERROR(__xludf.DUMMYFUNCTION("""COMPUTED_VALUE"""),"No Aplica")</f>
        <v>No Aplica</v>
      </c>
      <c r="AU1524" s="97" t="str">
        <f>IFERROR(__xludf.DUMMYFUNCTION("""COMPUTED_VALUE"""),"No Aplica")</f>
        <v>No Aplica</v>
      </c>
      <c r="AV1524" s="97" t="str">
        <f>IFERROR(__xludf.DUMMYFUNCTION("""COMPUTED_VALUE"""),"Accesorio")</f>
        <v>Accesorio</v>
      </c>
      <c r="AW1524" s="97" t="str">
        <f>IFERROR(__xludf.DUMMYFUNCTION("""COMPUTED_VALUE"""),"De Apoyo")</f>
        <v>De Apoyo</v>
      </c>
      <c r="AX1524" s="97" t="str">
        <f>IFERROR(__xludf.DUMMYFUNCTION("""COMPUTED_VALUE"""),"Interior")</f>
        <v>Interior</v>
      </c>
      <c r="AY1524" s="97" t="str">
        <f>IFERROR(__xludf.DUMMYFUNCTION("""COMPUTED_VALUE"""),"Pocket")</f>
        <v>Pocket</v>
      </c>
      <c r="AZ1524" s="97"/>
      <c r="BA1524" s="97"/>
      <c r="BB1524" s="97"/>
      <c r="BC1524" s="97"/>
      <c r="BD1524" s="97" t="str">
        <f>IFERROR(__xludf.DUMMYFUNCTION("""COMPUTED_VALUE"""),"-")</f>
        <v>-</v>
      </c>
      <c r="BE1524" s="97" t="str">
        <f>IFERROR(__xludf.DUMMYFUNCTION("""COMPUTED_VALUE"""),"Sin Ficha")</f>
        <v>Sin Ficha</v>
      </c>
      <c r="BF1524" s="97"/>
      <c r="BG1524" s="97" t="str">
        <f>IFERROR(__xludf.DUMMYFUNCTION("""COMPUTED_VALUE"""),"REPO 7")</f>
        <v>REPO 7</v>
      </c>
    </row>
    <row r="1525">
      <c r="A1525" s="97">
        <f>IFERROR(__xludf.DUMMYFUNCTION("""COMPUTED_VALUE"""),7701.0)</f>
        <v>7701</v>
      </c>
      <c r="B1525" s="97" t="str">
        <f>IFERROR(__xludf.DUMMYFUNCTION("""COMPUTED_VALUE"""),"RISE")</f>
        <v>RISE</v>
      </c>
      <c r="C1525" s="97" t="str">
        <f>IFERROR(__xludf.DUMMYFUNCTION("""COMPUTED_VALUE"""),"APLIQUE RISE 10W 3000K 640LM CRI&gt;90 IP20 LEUK")</f>
        <v>APLIQUE RISE 10W 3000K 640LM CRI&gt;90 IP20 LEUK</v>
      </c>
      <c r="D1525" s="97">
        <f>IFERROR(__xludf.DUMMYFUNCTION("""COMPUTED_VALUE"""),7.798485461524E12)</f>
        <v>7798485461524</v>
      </c>
      <c r="E1525" s="97" t="str">
        <f>IFERROR(__xludf.DUMMYFUNCTION("""COMPUTED_VALUE"""),"F69")</f>
        <v>F69</v>
      </c>
      <c r="F1525" s="97" t="str">
        <f>IFERROR(__xludf.DUMMYFUNCTION("""COMPUTED_VALUE"""),"LED integrado")</f>
        <v>LED integrado</v>
      </c>
      <c r="G1525" s="97" t="str">
        <f>IFERROR(__xludf.DUMMYFUNCTION("""COMPUTED_VALUE"""),"-")</f>
        <v>-</v>
      </c>
      <c r="H1525" s="97" t="str">
        <f>IFERROR(__xludf.DUMMYFUNCTION("""COMPUTED_VALUE"""),"Eaglerise")</f>
        <v>Eaglerise</v>
      </c>
      <c r="I1525" s="97" t="str">
        <f>IFERROR(__xludf.DUMMYFUNCTION("""COMPUTED_VALUE"""),"Si")</f>
        <v>Si</v>
      </c>
      <c r="J1525" s="97"/>
      <c r="K1525" s="97" t="str">
        <f>IFERROR(__xludf.DUMMYFUNCTION("""COMPUTED_VALUE"""),"ON/OFF")</f>
        <v>ON/OFF</v>
      </c>
      <c r="L1525" s="97" t="str">
        <f>IFERROR(__xludf.DUMMYFUNCTION("""COMPUTED_VALUE"""),"200-240")</f>
        <v>200-240</v>
      </c>
      <c r="M1525" s="97" t="str">
        <f>IFERROR(__xludf.DUMMYFUNCTION("""COMPUTED_VALUE"""),"50/60")</f>
        <v>50/60</v>
      </c>
      <c r="N1525" s="97" t="str">
        <f>IFERROR(__xludf.DUMMYFUNCTION("""COMPUTED_VALUE"""),"Difusa")</f>
        <v>Difusa</v>
      </c>
      <c r="O1525" s="97">
        <f>IFERROR(__xludf.DUMMYFUNCTION("""COMPUTED_VALUE"""),10.0)</f>
        <v>10</v>
      </c>
      <c r="P1525" s="97">
        <f>IFERROR(__xludf.DUMMYFUNCTION("""COMPUTED_VALUE"""),9.08)</f>
        <v>9.08</v>
      </c>
      <c r="Q1525" s="97">
        <f>IFERROR(__xludf.DUMMYFUNCTION("""COMPUTED_VALUE"""),0.6)</f>
        <v>0.6</v>
      </c>
      <c r="R1525" s="97" t="str">
        <f>IFERROR(__xludf.DUMMYFUNCTION("""COMPUTED_VALUE"""),"-")</f>
        <v>-</v>
      </c>
      <c r="S1525" s="97" t="str">
        <f>IFERROR(__xludf.DUMMYFUNCTION("""COMPUTED_VALUE"""),"-")</f>
        <v>-</v>
      </c>
      <c r="T1525" s="97">
        <f>IFERROR(__xludf.DUMMYFUNCTION("""COMPUTED_VALUE"""),640.0)</f>
        <v>640</v>
      </c>
      <c r="U1525" s="99">
        <f>IFERROR(__xludf.DUMMYFUNCTION("""COMPUTED_VALUE"""),64.0)</f>
        <v>64</v>
      </c>
      <c r="V1525" s="97">
        <f>IFERROR(__xludf.DUMMYFUNCTION("""COMPUTED_VALUE"""),135.0)</f>
        <v>135</v>
      </c>
      <c r="W1525" s="97" t="str">
        <f>IFERROR(__xludf.DUMMYFUNCTION("""COMPUTED_VALUE"""),"&lt; 20")</f>
        <v>&lt; 20</v>
      </c>
      <c r="X1525" s="97">
        <f>IFERROR(__xludf.DUMMYFUNCTION("""COMPUTED_VALUE"""),3000.0)</f>
        <v>3000</v>
      </c>
      <c r="Y1525" s="97" t="str">
        <f>IFERROR(__xludf.DUMMYFUNCTION("""COMPUTED_VALUE"""),"&gt;90")</f>
        <v>&gt;90</v>
      </c>
      <c r="Z1525" s="97" t="str">
        <f>IFERROR(__xludf.DUMMYFUNCTION("""COMPUTED_VALUE"""),"&gt;90")</f>
        <v>&gt;90</v>
      </c>
      <c r="AA1525" s="97" t="str">
        <f>IFERROR(__xludf.DUMMYFUNCTION("""COMPUTED_VALUE"""),"90-99 (Leve desaturación)")</f>
        <v>90-99 (Leve desaturación)</v>
      </c>
      <c r="AB1525" s="97" t="str">
        <f>IFERROR(__xludf.DUMMYFUNCTION("""COMPUTED_VALUE"""),"&lt; 3")</f>
        <v>&lt; 3</v>
      </c>
      <c r="AC1525" s="97">
        <f>IFERROR(__xludf.DUMMYFUNCTION("""COMPUTED_VALUE"""),0.00113)</f>
        <v>0.00113</v>
      </c>
      <c r="AD1525" s="97" t="str">
        <f>IFERROR(__xludf.DUMMYFUNCTION("""COMPUTED_VALUE"""),"IP20")</f>
        <v>IP20</v>
      </c>
      <c r="AE1525" s="97" t="str">
        <f>IFERROR(__xludf.DUMMYFUNCTION("""COMPUTED_VALUE"""),"Clase l")</f>
        <v>Clase l</v>
      </c>
      <c r="AF1525" s="97" t="str">
        <f>IFERROR(__xludf.DUMMYFUNCTION("""COMPUTED_VALUE"""),"Aplicar")</f>
        <v>Aplicar</v>
      </c>
      <c r="AG1525" s="97" t="str">
        <f>IFERROR(__xludf.DUMMYFUNCTION("""COMPUTED_VALUE"""),"110 x 50 x 300")</f>
        <v>110 x 50 x 300</v>
      </c>
      <c r="AH1525" s="97" t="str">
        <f>IFERROR(__xludf.DUMMYFUNCTION("""COMPUTED_VALUE"""),"N/A")</f>
        <v>N/A</v>
      </c>
      <c r="AI1525" s="97" t="str">
        <f>IFERROR(__xludf.DUMMYFUNCTION("""COMPUTED_VALUE"""),"N/A")</f>
        <v>N/A</v>
      </c>
      <c r="AJ1525" s="97"/>
      <c r="AK1525" s="97" t="str">
        <f>IFERROR(__xludf.DUMMYFUNCTION("""COMPUTED_VALUE"""),"Alabastro")</f>
        <v>Alabastro</v>
      </c>
      <c r="AL1525" s="97" t="str">
        <f>IFERROR(__xludf.DUMMYFUNCTION("""COMPUTED_VALUE"""),"Blanco")</f>
        <v>Blanco</v>
      </c>
      <c r="AM1525" s="97"/>
      <c r="AN1525" s="97" t="str">
        <f>IFERROR(__xludf.DUMMYFUNCTION("""COMPUTED_VALUE"""),"25.000hs (L70)")</f>
        <v>25.000hs (L70)</v>
      </c>
      <c r="AO1525" s="97" t="str">
        <f>IFERROR(__xludf.DUMMYFUNCTION("""COMPUTED_VALUE"""),"2 Años")</f>
        <v>2 Años</v>
      </c>
      <c r="AP1525" s="97" t="str">
        <f>IFERROR(__xludf.DUMMYFUNCTION("""COMPUTED_VALUE"""),"Disponible")</f>
        <v>Disponible</v>
      </c>
      <c r="AQ1525" s="97" t="str">
        <f>IFERROR(__xludf.DUMMYFUNCTION("""COMPUTED_VALUE"""),"Disponible")</f>
        <v>Disponible</v>
      </c>
      <c r="AR1525" s="97" t="str">
        <f>IFERROR(__xludf.DUMMYFUNCTION("""COMPUTED_VALUE"""),"Disponible")</f>
        <v>Disponible</v>
      </c>
      <c r="AS1525" s="97" t="str">
        <f>IFERROR(__xludf.DUMMYFUNCTION("""COMPUTED_VALUE"""),"Disponible")</f>
        <v>Disponible</v>
      </c>
      <c r="AT1525" s="97" t="str">
        <f>IFERROR(__xludf.DUMMYFUNCTION("""COMPUTED_VALUE"""),"Disponible")</f>
        <v>Disponible</v>
      </c>
      <c r="AU1525" s="97" t="str">
        <f>IFERROR(__xludf.DUMMYFUNCTION("""COMPUTED_VALUE"""),"Disponible")</f>
        <v>Disponible</v>
      </c>
      <c r="AV1525" s="97" t="str">
        <f>IFERROR(__xludf.DUMMYFUNCTION("""COMPUTED_VALUE"""),"Aplique")</f>
        <v>Aplique</v>
      </c>
      <c r="AW1525" s="97" t="str">
        <f>IFERROR(__xludf.DUMMYFUNCTION("""COMPUTED_VALUE"""),"De Pared")</f>
        <v>De Pared</v>
      </c>
      <c r="AX1525" s="97" t="str">
        <f>IFERROR(__xludf.DUMMYFUNCTION("""COMPUTED_VALUE"""),"Interior")</f>
        <v>Interior</v>
      </c>
      <c r="AY1525" s="97" t="str">
        <f>IFERROR(__xludf.DUMMYFUNCTION("""COMPUTED_VALUE"""),"-")</f>
        <v>-</v>
      </c>
      <c r="AZ1525" s="97"/>
      <c r="BA1525" s="97"/>
      <c r="BB1525" s="97"/>
      <c r="BC1525" s="97"/>
      <c r="BD1525" s="97" t="str">
        <f>IFERROR(__xludf.DUMMYFUNCTION("""COMPUTED_VALUE"""),"RISE")</f>
        <v>RISE</v>
      </c>
      <c r="BE1525" s="97"/>
      <c r="BF1525" s="97"/>
      <c r="BG1525" s="97" t="str">
        <f>IFERROR(__xludf.DUMMYFUNCTION("""COMPUTED_VALUE"""),"REPO 7")</f>
        <v>REPO 7</v>
      </c>
    </row>
    <row r="1526">
      <c r="A1526" s="97">
        <f>IFERROR(__xludf.DUMMYFUNCTION("""COMPUTED_VALUE"""),7702.0)</f>
        <v>7702</v>
      </c>
      <c r="B1526" s="97" t="str">
        <f>IFERROR(__xludf.DUMMYFUNCTION("""COMPUTED_VALUE"""),"POLAR KIT UNION")</f>
        <v>POLAR KIT UNION</v>
      </c>
      <c r="C1526" s="97" t="str">
        <f>IFERROR(__xludf.DUMMYFUNCTION("""COMPUTED_VALUE"""),"ACCESORIO POLAR KIT UNION LEUK")</f>
        <v>ACCESORIO POLAR KIT UNION LEUK</v>
      </c>
      <c r="D1526" s="97">
        <f>IFERROR(__xludf.DUMMYFUNCTION("""COMPUTED_VALUE"""),7.798485461982E12)</f>
        <v>7798485461982</v>
      </c>
      <c r="E1526" s="97" t="str">
        <f>IFERROR(__xludf.DUMMYFUNCTION("""COMPUTED_VALUE"""),"-")</f>
        <v>-</v>
      </c>
      <c r="F1526" s="97" t="str">
        <f>IFERROR(__xludf.DUMMYFUNCTION("""COMPUTED_VALUE"""),"N/A")</f>
        <v>N/A</v>
      </c>
      <c r="G1526" s="97" t="str">
        <f>IFERROR(__xludf.DUMMYFUNCTION("""COMPUTED_VALUE"""),"N/A")</f>
        <v>N/A</v>
      </c>
      <c r="H1526" s="97" t="str">
        <f>IFERROR(__xludf.DUMMYFUNCTION("""COMPUTED_VALUE"""),"N/A")</f>
        <v>N/A</v>
      </c>
      <c r="I1526" s="97" t="str">
        <f>IFERROR(__xludf.DUMMYFUNCTION("""COMPUTED_VALUE"""),"N/A")</f>
        <v>N/A</v>
      </c>
      <c r="J1526" s="97" t="str">
        <f>IFERROR(__xludf.DUMMYFUNCTION("""COMPUTED_VALUE"""),"N/A")</f>
        <v>N/A</v>
      </c>
      <c r="K1526" s="97" t="str">
        <f>IFERROR(__xludf.DUMMYFUNCTION("""COMPUTED_VALUE"""),"N/A")</f>
        <v>N/A</v>
      </c>
      <c r="L1526" s="97" t="str">
        <f>IFERROR(__xludf.DUMMYFUNCTION("""COMPUTED_VALUE"""),"48Vdc")</f>
        <v>48Vdc</v>
      </c>
      <c r="M1526" s="97" t="str">
        <f>IFERROR(__xludf.DUMMYFUNCTION("""COMPUTED_VALUE"""),"N/A")</f>
        <v>N/A</v>
      </c>
      <c r="N1526" s="97" t="str">
        <f>IFERROR(__xludf.DUMMYFUNCTION("""COMPUTED_VALUE"""),"N/A")</f>
        <v>N/A</v>
      </c>
      <c r="O1526" s="97" t="str">
        <f>IFERROR(__xludf.DUMMYFUNCTION("""COMPUTED_VALUE"""),"N/A")</f>
        <v>N/A</v>
      </c>
      <c r="P1526" s="97" t="str">
        <f>IFERROR(__xludf.DUMMYFUNCTION("""COMPUTED_VALUE"""),"N/A")</f>
        <v>N/A</v>
      </c>
      <c r="Q1526" s="97" t="str">
        <f>IFERROR(__xludf.DUMMYFUNCTION("""COMPUTED_VALUE"""),"N/A")</f>
        <v>N/A</v>
      </c>
      <c r="R1526" s="97" t="str">
        <f>IFERROR(__xludf.DUMMYFUNCTION("""COMPUTED_VALUE"""),"N/A")</f>
        <v>N/A</v>
      </c>
      <c r="S1526" s="97" t="str">
        <f>IFERROR(__xludf.DUMMYFUNCTION("""COMPUTED_VALUE"""),"N/A")</f>
        <v>N/A</v>
      </c>
      <c r="T1526" s="97" t="str">
        <f>IFERROR(__xludf.DUMMYFUNCTION("""COMPUTED_VALUE"""),"N/A")</f>
        <v>N/A</v>
      </c>
      <c r="U1526" s="97" t="str">
        <f>IFERROR(__xludf.DUMMYFUNCTION("""COMPUTED_VALUE"""),"N/A")</f>
        <v>N/A</v>
      </c>
      <c r="V1526" s="97" t="str">
        <f>IFERROR(__xludf.DUMMYFUNCTION("""COMPUTED_VALUE"""),"N/A")</f>
        <v>N/A</v>
      </c>
      <c r="W1526" s="97" t="str">
        <f>IFERROR(__xludf.DUMMYFUNCTION("""COMPUTED_VALUE"""),"N/A")</f>
        <v>N/A</v>
      </c>
      <c r="X1526" s="97" t="str">
        <f>IFERROR(__xludf.DUMMYFUNCTION("""COMPUTED_VALUE"""),"N/A")</f>
        <v>N/A</v>
      </c>
      <c r="Y1526" s="97" t="str">
        <f>IFERROR(__xludf.DUMMYFUNCTION("""COMPUTED_VALUE"""),"N/A")</f>
        <v>N/A</v>
      </c>
      <c r="Z1526" s="97" t="str">
        <f>IFERROR(__xludf.DUMMYFUNCTION("""COMPUTED_VALUE"""),"N/A")</f>
        <v>N/A</v>
      </c>
      <c r="AA1526" s="97" t="str">
        <f>IFERROR(__xludf.DUMMYFUNCTION("""COMPUTED_VALUE"""),"N/A")</f>
        <v>N/A</v>
      </c>
      <c r="AB1526" s="97" t="str">
        <f>IFERROR(__xludf.DUMMYFUNCTION("""COMPUTED_VALUE"""),"N/A")</f>
        <v>N/A</v>
      </c>
      <c r="AC1526" s="97" t="str">
        <f>IFERROR(__xludf.DUMMYFUNCTION("""COMPUTED_VALUE"""),"N/A")</f>
        <v>N/A</v>
      </c>
      <c r="AD1526" s="97" t="str">
        <f>IFERROR(__xludf.DUMMYFUNCTION("""COMPUTED_VALUE"""),"IP20")</f>
        <v>IP20</v>
      </c>
      <c r="AE1526" s="97" t="str">
        <f>IFERROR(__xludf.DUMMYFUNCTION("""COMPUTED_VALUE"""),"N/A")</f>
        <v>N/A</v>
      </c>
      <c r="AF1526" s="97" t="str">
        <f>IFERROR(__xludf.DUMMYFUNCTION("""COMPUTED_VALUE"""),"N/A")</f>
        <v>N/A</v>
      </c>
      <c r="AG1526" s="97"/>
      <c r="AH1526" s="97" t="str">
        <f>IFERROR(__xludf.DUMMYFUNCTION("""COMPUTED_VALUE"""),"N/A")</f>
        <v>N/A</v>
      </c>
      <c r="AI1526" s="97" t="str">
        <f>IFERROR(__xludf.DUMMYFUNCTION("""COMPUTED_VALUE"""),"N/A")</f>
        <v>N/A</v>
      </c>
      <c r="AJ1526" s="97" t="str">
        <f>IFERROR(__xludf.DUMMYFUNCTION("""COMPUTED_VALUE"""),"N/A")</f>
        <v>N/A</v>
      </c>
      <c r="AK1526" s="97" t="str">
        <f>IFERROR(__xludf.DUMMYFUNCTION("""COMPUTED_VALUE"""),"Acero")</f>
        <v>Acero</v>
      </c>
      <c r="AL1526" s="97" t="str">
        <f>IFERROR(__xludf.DUMMYFUNCTION("""COMPUTED_VALUE"""),"N/A")</f>
        <v>N/A</v>
      </c>
      <c r="AM1526" s="97" t="str">
        <f>IFERROR(__xludf.DUMMYFUNCTION("""COMPUTED_VALUE"""),"-")</f>
        <v>-</v>
      </c>
      <c r="AN1526" s="97" t="str">
        <f>IFERROR(__xludf.DUMMYFUNCTION("""COMPUTED_VALUE"""),"N/A")</f>
        <v>N/A</v>
      </c>
      <c r="AO1526" s="97" t="str">
        <f>IFERROR(__xludf.DUMMYFUNCTION("""COMPUTED_VALUE"""),"2 Años")</f>
        <v>2 Años</v>
      </c>
      <c r="AP1526" s="97" t="str">
        <f>IFERROR(__xludf.DUMMYFUNCTION("""COMPUTED_VALUE"""),"No Aplica")</f>
        <v>No Aplica</v>
      </c>
      <c r="AQ1526" s="97" t="str">
        <f>IFERROR(__xludf.DUMMYFUNCTION("""COMPUTED_VALUE"""),"No Aplica")</f>
        <v>No Aplica</v>
      </c>
      <c r="AR1526" s="97" t="str">
        <f>IFERROR(__xludf.DUMMYFUNCTION("""COMPUTED_VALUE"""),"No Aplica")</f>
        <v>No Aplica</v>
      </c>
      <c r="AS1526" s="97" t="str">
        <f>IFERROR(__xludf.DUMMYFUNCTION("""COMPUTED_VALUE"""),"Falta")</f>
        <v>Falta</v>
      </c>
      <c r="AT1526" s="97" t="str">
        <f>IFERROR(__xludf.DUMMYFUNCTION("""COMPUTED_VALUE"""),"Falta")</f>
        <v>Falta</v>
      </c>
      <c r="AU1526" s="97" t="str">
        <f>IFERROR(__xludf.DUMMYFUNCTION("""COMPUTED_VALUE"""),"Falta")</f>
        <v>Falta</v>
      </c>
      <c r="AV1526" s="97" t="str">
        <f>IFERROR(__xludf.DUMMYFUNCTION("""COMPUTED_VALUE"""),"Accesorio")</f>
        <v>Accesorio</v>
      </c>
      <c r="AW1526" s="97" t="str">
        <f>IFERROR(__xludf.DUMMYFUNCTION("""COMPUTED_VALUE"""),"Rieles")</f>
        <v>Rieles</v>
      </c>
      <c r="AX1526" s="97" t="str">
        <f>IFERROR(__xludf.DUMMYFUNCTION("""COMPUTED_VALUE"""),"Interior")</f>
        <v>Interior</v>
      </c>
      <c r="AY1526" s="97" t="str">
        <f>IFERROR(__xludf.DUMMYFUNCTION("""COMPUTED_VALUE"""),"-")</f>
        <v>-</v>
      </c>
      <c r="AZ1526" s="97" t="str">
        <f>IFERROR(__xludf.DUMMYFUNCTION("""COMPUTED_VALUE"""),"-")</f>
        <v>-</v>
      </c>
      <c r="BA1526" s="97"/>
      <c r="BB1526" s="97"/>
      <c r="BC1526" s="97"/>
      <c r="BD1526" s="97" t="str">
        <f>IFERROR(__xludf.DUMMYFUNCTION("""COMPUTED_VALUE"""),"POLAR")</f>
        <v>POLAR</v>
      </c>
      <c r="BE1526" s="97"/>
      <c r="BF1526" s="97"/>
      <c r="BG1526" s="97" t="str">
        <f>IFERROR(__xludf.DUMMYFUNCTION("""COMPUTED_VALUE"""),"REPO 7")</f>
        <v>REPO 7</v>
      </c>
    </row>
    <row r="1527">
      <c r="A1527" s="97">
        <f>IFERROR(__xludf.DUMMYFUNCTION("""COMPUTED_VALUE"""),7703.0)</f>
        <v>7703</v>
      </c>
      <c r="B1527" s="97" t="str">
        <f>IFERROR(__xludf.DUMMYFUNCTION("""COMPUTED_VALUE"""),"POLAR CONECTOR ALIMENTACION NG")</f>
        <v>POLAR CONECTOR ALIMENTACION NG</v>
      </c>
      <c r="C1527" s="97" t="str">
        <f>IFERROR(__xludf.DUMMYFUNCTION("""COMPUTED_VALUE"""),"ACCESORIO POLAR CONECTOR ALIMENTACION NG LEUK")</f>
        <v>ACCESORIO POLAR CONECTOR ALIMENTACION NG LEUK</v>
      </c>
      <c r="D1527" s="97">
        <f>IFERROR(__xludf.DUMMYFUNCTION("""COMPUTED_VALUE"""),7.798485461999E12)</f>
        <v>7798485461999</v>
      </c>
      <c r="E1527" s="97" t="str">
        <f>IFERROR(__xludf.DUMMYFUNCTION("""COMPUTED_VALUE"""),"-")</f>
        <v>-</v>
      </c>
      <c r="F1527" s="97" t="str">
        <f>IFERROR(__xludf.DUMMYFUNCTION("""COMPUTED_VALUE"""),"N/A")</f>
        <v>N/A</v>
      </c>
      <c r="G1527" s="97" t="str">
        <f>IFERROR(__xludf.DUMMYFUNCTION("""COMPUTED_VALUE"""),"N/A")</f>
        <v>N/A</v>
      </c>
      <c r="H1527" s="97" t="str">
        <f>IFERROR(__xludf.DUMMYFUNCTION("""COMPUTED_VALUE"""),"N/A")</f>
        <v>N/A</v>
      </c>
      <c r="I1527" s="97" t="str">
        <f>IFERROR(__xludf.DUMMYFUNCTION("""COMPUTED_VALUE"""),"N/A")</f>
        <v>N/A</v>
      </c>
      <c r="J1527" s="97" t="str">
        <f>IFERROR(__xludf.DUMMYFUNCTION("""COMPUTED_VALUE"""),"N/A")</f>
        <v>N/A</v>
      </c>
      <c r="K1527" s="97" t="str">
        <f>IFERROR(__xludf.DUMMYFUNCTION("""COMPUTED_VALUE"""),"N/A")</f>
        <v>N/A</v>
      </c>
      <c r="L1527" s="97" t="str">
        <f>IFERROR(__xludf.DUMMYFUNCTION("""COMPUTED_VALUE"""),"48Vdc")</f>
        <v>48Vdc</v>
      </c>
      <c r="M1527" s="97" t="str">
        <f>IFERROR(__xludf.DUMMYFUNCTION("""COMPUTED_VALUE"""),"N/A")</f>
        <v>N/A</v>
      </c>
      <c r="N1527" s="97" t="str">
        <f>IFERROR(__xludf.DUMMYFUNCTION("""COMPUTED_VALUE"""),"N/A")</f>
        <v>N/A</v>
      </c>
      <c r="O1527" s="97" t="str">
        <f>IFERROR(__xludf.DUMMYFUNCTION("""COMPUTED_VALUE"""),"200 Max.")</f>
        <v>200 Max.</v>
      </c>
      <c r="P1527" s="97" t="str">
        <f>IFERROR(__xludf.DUMMYFUNCTION("""COMPUTED_VALUE"""),"N/A")</f>
        <v>N/A</v>
      </c>
      <c r="Q1527" s="97" t="str">
        <f>IFERROR(__xludf.DUMMYFUNCTION("""COMPUTED_VALUE"""),"N/A")</f>
        <v>N/A</v>
      </c>
      <c r="R1527" s="97" t="str">
        <f>IFERROR(__xludf.DUMMYFUNCTION("""COMPUTED_VALUE"""),"N/A")</f>
        <v>N/A</v>
      </c>
      <c r="S1527" s="97" t="str">
        <f>IFERROR(__xludf.DUMMYFUNCTION("""COMPUTED_VALUE"""),"N/A")</f>
        <v>N/A</v>
      </c>
      <c r="T1527" s="97" t="str">
        <f>IFERROR(__xludf.DUMMYFUNCTION("""COMPUTED_VALUE"""),"N/A")</f>
        <v>N/A</v>
      </c>
      <c r="U1527" s="97" t="str">
        <f>IFERROR(__xludf.DUMMYFUNCTION("""COMPUTED_VALUE"""),"N/A")</f>
        <v>N/A</v>
      </c>
      <c r="V1527" s="97" t="str">
        <f>IFERROR(__xludf.DUMMYFUNCTION("""COMPUTED_VALUE"""),"N/A")</f>
        <v>N/A</v>
      </c>
      <c r="W1527" s="97" t="str">
        <f>IFERROR(__xludf.DUMMYFUNCTION("""COMPUTED_VALUE"""),"N/A")</f>
        <v>N/A</v>
      </c>
      <c r="X1527" s="97" t="str">
        <f>IFERROR(__xludf.DUMMYFUNCTION("""COMPUTED_VALUE"""),"N/A")</f>
        <v>N/A</v>
      </c>
      <c r="Y1527" s="97" t="str">
        <f>IFERROR(__xludf.DUMMYFUNCTION("""COMPUTED_VALUE"""),"N/A")</f>
        <v>N/A</v>
      </c>
      <c r="Z1527" s="97" t="str">
        <f>IFERROR(__xludf.DUMMYFUNCTION("""COMPUTED_VALUE"""),"N/A")</f>
        <v>N/A</v>
      </c>
      <c r="AA1527" s="97" t="str">
        <f>IFERROR(__xludf.DUMMYFUNCTION("""COMPUTED_VALUE"""),"N/A")</f>
        <v>N/A</v>
      </c>
      <c r="AB1527" s="97" t="str">
        <f>IFERROR(__xludf.DUMMYFUNCTION("""COMPUTED_VALUE"""),"N/A")</f>
        <v>N/A</v>
      </c>
      <c r="AC1527" s="97" t="str">
        <f>IFERROR(__xludf.DUMMYFUNCTION("""COMPUTED_VALUE"""),"N/A")</f>
        <v>N/A</v>
      </c>
      <c r="AD1527" s="97" t="str">
        <f>IFERROR(__xludf.DUMMYFUNCTION("""COMPUTED_VALUE"""),"IP20")</f>
        <v>IP20</v>
      </c>
      <c r="AE1527" s="97" t="str">
        <f>IFERROR(__xludf.DUMMYFUNCTION("""COMPUTED_VALUE"""),"Clase lll")</f>
        <v>Clase lll</v>
      </c>
      <c r="AF1527" s="97" t="str">
        <f>IFERROR(__xludf.DUMMYFUNCTION("""COMPUTED_VALUE"""),"N/A")</f>
        <v>N/A</v>
      </c>
      <c r="AG1527" s="97"/>
      <c r="AH1527" s="97" t="str">
        <f>IFERROR(__xludf.DUMMYFUNCTION("""COMPUTED_VALUE"""),"N/A")</f>
        <v>N/A</v>
      </c>
      <c r="AI1527" s="97" t="str">
        <f>IFERROR(__xludf.DUMMYFUNCTION("""COMPUTED_VALUE"""),"N/A")</f>
        <v>N/A</v>
      </c>
      <c r="AJ1527" s="97" t="str">
        <f>IFERROR(__xludf.DUMMYFUNCTION("""COMPUTED_VALUE"""),"N/A")</f>
        <v>N/A</v>
      </c>
      <c r="AK1527" s="97" t="str">
        <f>IFERROR(__xludf.DUMMYFUNCTION("""COMPUTED_VALUE"""),"Policarbonato (PC)")</f>
        <v>Policarbonato (PC)</v>
      </c>
      <c r="AL1527" s="97" t="str">
        <f>IFERROR(__xludf.DUMMYFUNCTION("""COMPUTED_VALUE"""),"Negro")</f>
        <v>Negro</v>
      </c>
      <c r="AM1527" s="97" t="str">
        <f>IFERROR(__xludf.DUMMYFUNCTION("""COMPUTED_VALUE"""),"-")</f>
        <v>-</v>
      </c>
      <c r="AN1527" s="97" t="str">
        <f>IFERROR(__xludf.DUMMYFUNCTION("""COMPUTED_VALUE"""),"N/A")</f>
        <v>N/A</v>
      </c>
      <c r="AO1527" s="97" t="str">
        <f>IFERROR(__xludf.DUMMYFUNCTION("""COMPUTED_VALUE"""),"2 Años")</f>
        <v>2 Años</v>
      </c>
      <c r="AP1527" s="97" t="str">
        <f>IFERROR(__xludf.DUMMYFUNCTION("""COMPUTED_VALUE"""),"No Aplica")</f>
        <v>No Aplica</v>
      </c>
      <c r="AQ1527" s="97" t="str">
        <f>IFERROR(__xludf.DUMMYFUNCTION("""COMPUTED_VALUE"""),"No Aplica")</f>
        <v>No Aplica</v>
      </c>
      <c r="AR1527" s="97" t="str">
        <f>IFERROR(__xludf.DUMMYFUNCTION("""COMPUTED_VALUE"""),"No Aplica")</f>
        <v>No Aplica</v>
      </c>
      <c r="AS1527" s="97" t="str">
        <f>IFERROR(__xludf.DUMMYFUNCTION("""COMPUTED_VALUE"""),"Falta")</f>
        <v>Falta</v>
      </c>
      <c r="AT1527" s="97" t="str">
        <f>IFERROR(__xludf.DUMMYFUNCTION("""COMPUTED_VALUE"""),"Falta")</f>
        <v>Falta</v>
      </c>
      <c r="AU1527" s="97" t="str">
        <f>IFERROR(__xludf.DUMMYFUNCTION("""COMPUTED_VALUE"""),"Falta")</f>
        <v>Falta</v>
      </c>
      <c r="AV1527" s="97" t="str">
        <f>IFERROR(__xludf.DUMMYFUNCTION("""COMPUTED_VALUE"""),"Accesorio")</f>
        <v>Accesorio</v>
      </c>
      <c r="AW1527" s="97" t="str">
        <f>IFERROR(__xludf.DUMMYFUNCTION("""COMPUTED_VALUE"""),"Rieles")</f>
        <v>Rieles</v>
      </c>
      <c r="AX1527" s="97" t="str">
        <f>IFERROR(__xludf.DUMMYFUNCTION("""COMPUTED_VALUE"""),"Interior")</f>
        <v>Interior</v>
      </c>
      <c r="AY1527" s="97" t="str">
        <f>IFERROR(__xludf.DUMMYFUNCTION("""COMPUTED_VALUE"""),"-")</f>
        <v>-</v>
      </c>
      <c r="AZ1527" s="97" t="str">
        <f>IFERROR(__xludf.DUMMYFUNCTION("""COMPUTED_VALUE"""),"-")</f>
        <v>-</v>
      </c>
      <c r="BA1527" s="97"/>
      <c r="BB1527" s="97"/>
      <c r="BC1527" s="97"/>
      <c r="BD1527" s="97" t="str">
        <f>IFERROR(__xludf.DUMMYFUNCTION("""COMPUTED_VALUE"""),"POLAR")</f>
        <v>POLAR</v>
      </c>
      <c r="BE1527" s="97"/>
      <c r="BF1527" s="97"/>
      <c r="BG1527" s="97" t="str">
        <f>IFERROR(__xludf.DUMMYFUNCTION("""COMPUTED_VALUE"""),"REPO 7")</f>
        <v>REPO 7</v>
      </c>
    </row>
    <row r="1528">
      <c r="A1528" s="97">
        <f>IFERROR(__xludf.DUMMYFUNCTION("""COMPUTED_VALUE"""),7704.0)</f>
        <v>7704</v>
      </c>
      <c r="B1528" s="97" t="str">
        <f>IFERROR(__xludf.DUMMYFUNCTION("""COMPUTED_VALUE"""),"POLAR CONECTOR ALIMENTACION BL")</f>
        <v>POLAR CONECTOR ALIMENTACION BL</v>
      </c>
      <c r="C1528" s="97" t="str">
        <f>IFERROR(__xludf.DUMMYFUNCTION("""COMPUTED_VALUE"""),"ACCESORIO POLAR CONECTOR ALIMENTACION BL LEUK")</f>
        <v>ACCESORIO POLAR CONECTOR ALIMENTACION BL LEUK</v>
      </c>
      <c r="D1528" s="97">
        <f>IFERROR(__xludf.DUMMYFUNCTION("""COMPUTED_VALUE"""),7.798485462002E12)</f>
        <v>7798485462002</v>
      </c>
      <c r="E1528" s="97" t="str">
        <f>IFERROR(__xludf.DUMMYFUNCTION("""COMPUTED_VALUE"""),"-")</f>
        <v>-</v>
      </c>
      <c r="F1528" s="97" t="str">
        <f>IFERROR(__xludf.DUMMYFUNCTION("""COMPUTED_VALUE"""),"N/A")</f>
        <v>N/A</v>
      </c>
      <c r="G1528" s="97" t="str">
        <f>IFERROR(__xludf.DUMMYFUNCTION("""COMPUTED_VALUE"""),"N/A")</f>
        <v>N/A</v>
      </c>
      <c r="H1528" s="97" t="str">
        <f>IFERROR(__xludf.DUMMYFUNCTION("""COMPUTED_VALUE"""),"N/A")</f>
        <v>N/A</v>
      </c>
      <c r="I1528" s="97" t="str">
        <f>IFERROR(__xludf.DUMMYFUNCTION("""COMPUTED_VALUE"""),"N/A")</f>
        <v>N/A</v>
      </c>
      <c r="J1528" s="97" t="str">
        <f>IFERROR(__xludf.DUMMYFUNCTION("""COMPUTED_VALUE"""),"N/A")</f>
        <v>N/A</v>
      </c>
      <c r="K1528" s="97" t="str">
        <f>IFERROR(__xludf.DUMMYFUNCTION("""COMPUTED_VALUE"""),"N/A")</f>
        <v>N/A</v>
      </c>
      <c r="L1528" s="97" t="str">
        <f>IFERROR(__xludf.DUMMYFUNCTION("""COMPUTED_VALUE"""),"48Vdc")</f>
        <v>48Vdc</v>
      </c>
      <c r="M1528" s="97" t="str">
        <f>IFERROR(__xludf.DUMMYFUNCTION("""COMPUTED_VALUE"""),"N/A")</f>
        <v>N/A</v>
      </c>
      <c r="N1528" s="97" t="str">
        <f>IFERROR(__xludf.DUMMYFUNCTION("""COMPUTED_VALUE"""),"N/A")</f>
        <v>N/A</v>
      </c>
      <c r="O1528" s="97" t="str">
        <f>IFERROR(__xludf.DUMMYFUNCTION("""COMPUTED_VALUE"""),"200 Max.")</f>
        <v>200 Max.</v>
      </c>
      <c r="P1528" s="97" t="str">
        <f>IFERROR(__xludf.DUMMYFUNCTION("""COMPUTED_VALUE"""),"N/A")</f>
        <v>N/A</v>
      </c>
      <c r="Q1528" s="97" t="str">
        <f>IFERROR(__xludf.DUMMYFUNCTION("""COMPUTED_VALUE"""),"N/A")</f>
        <v>N/A</v>
      </c>
      <c r="R1528" s="97" t="str">
        <f>IFERROR(__xludf.DUMMYFUNCTION("""COMPUTED_VALUE"""),"N/A")</f>
        <v>N/A</v>
      </c>
      <c r="S1528" s="97" t="str">
        <f>IFERROR(__xludf.DUMMYFUNCTION("""COMPUTED_VALUE"""),"N/A")</f>
        <v>N/A</v>
      </c>
      <c r="T1528" s="97" t="str">
        <f>IFERROR(__xludf.DUMMYFUNCTION("""COMPUTED_VALUE"""),"N/A")</f>
        <v>N/A</v>
      </c>
      <c r="U1528" s="97" t="str">
        <f>IFERROR(__xludf.DUMMYFUNCTION("""COMPUTED_VALUE"""),"N/A")</f>
        <v>N/A</v>
      </c>
      <c r="V1528" s="97" t="str">
        <f>IFERROR(__xludf.DUMMYFUNCTION("""COMPUTED_VALUE"""),"N/A")</f>
        <v>N/A</v>
      </c>
      <c r="W1528" s="97" t="str">
        <f>IFERROR(__xludf.DUMMYFUNCTION("""COMPUTED_VALUE"""),"N/A")</f>
        <v>N/A</v>
      </c>
      <c r="X1528" s="97" t="str">
        <f>IFERROR(__xludf.DUMMYFUNCTION("""COMPUTED_VALUE"""),"N/A")</f>
        <v>N/A</v>
      </c>
      <c r="Y1528" s="97" t="str">
        <f>IFERROR(__xludf.DUMMYFUNCTION("""COMPUTED_VALUE"""),"N/A")</f>
        <v>N/A</v>
      </c>
      <c r="Z1528" s="97" t="str">
        <f>IFERROR(__xludf.DUMMYFUNCTION("""COMPUTED_VALUE"""),"N/A")</f>
        <v>N/A</v>
      </c>
      <c r="AA1528" s="97" t="str">
        <f>IFERROR(__xludf.DUMMYFUNCTION("""COMPUTED_VALUE"""),"N/A")</f>
        <v>N/A</v>
      </c>
      <c r="AB1528" s="97" t="str">
        <f>IFERROR(__xludf.DUMMYFUNCTION("""COMPUTED_VALUE"""),"N/A")</f>
        <v>N/A</v>
      </c>
      <c r="AC1528" s="97" t="str">
        <f>IFERROR(__xludf.DUMMYFUNCTION("""COMPUTED_VALUE"""),"N/A")</f>
        <v>N/A</v>
      </c>
      <c r="AD1528" s="97" t="str">
        <f>IFERROR(__xludf.DUMMYFUNCTION("""COMPUTED_VALUE"""),"IP20")</f>
        <v>IP20</v>
      </c>
      <c r="AE1528" s="97" t="str">
        <f>IFERROR(__xludf.DUMMYFUNCTION("""COMPUTED_VALUE"""),"Clase lll")</f>
        <v>Clase lll</v>
      </c>
      <c r="AF1528" s="97" t="str">
        <f>IFERROR(__xludf.DUMMYFUNCTION("""COMPUTED_VALUE"""),"N/A")</f>
        <v>N/A</v>
      </c>
      <c r="AG1528" s="97"/>
      <c r="AH1528" s="97" t="str">
        <f>IFERROR(__xludf.DUMMYFUNCTION("""COMPUTED_VALUE"""),"N/A")</f>
        <v>N/A</v>
      </c>
      <c r="AI1528" s="97" t="str">
        <f>IFERROR(__xludf.DUMMYFUNCTION("""COMPUTED_VALUE"""),"N/A")</f>
        <v>N/A</v>
      </c>
      <c r="AJ1528" s="97" t="str">
        <f>IFERROR(__xludf.DUMMYFUNCTION("""COMPUTED_VALUE"""),"N/A")</f>
        <v>N/A</v>
      </c>
      <c r="AK1528" s="97" t="str">
        <f>IFERROR(__xludf.DUMMYFUNCTION("""COMPUTED_VALUE"""),"Policarbonato (PC)")</f>
        <v>Policarbonato (PC)</v>
      </c>
      <c r="AL1528" s="97" t="str">
        <f>IFERROR(__xludf.DUMMYFUNCTION("""COMPUTED_VALUE"""),"Blanco")</f>
        <v>Blanco</v>
      </c>
      <c r="AM1528" s="97" t="str">
        <f>IFERROR(__xludf.DUMMYFUNCTION("""COMPUTED_VALUE"""),"-")</f>
        <v>-</v>
      </c>
      <c r="AN1528" s="97" t="str">
        <f>IFERROR(__xludf.DUMMYFUNCTION("""COMPUTED_VALUE"""),"N/A")</f>
        <v>N/A</v>
      </c>
      <c r="AO1528" s="97" t="str">
        <f>IFERROR(__xludf.DUMMYFUNCTION("""COMPUTED_VALUE"""),"2 Años")</f>
        <v>2 Años</v>
      </c>
      <c r="AP1528" s="97" t="str">
        <f>IFERROR(__xludf.DUMMYFUNCTION("""COMPUTED_VALUE"""),"No Aplica")</f>
        <v>No Aplica</v>
      </c>
      <c r="AQ1528" s="97" t="str">
        <f>IFERROR(__xludf.DUMMYFUNCTION("""COMPUTED_VALUE"""),"No Aplica")</f>
        <v>No Aplica</v>
      </c>
      <c r="AR1528" s="97" t="str">
        <f>IFERROR(__xludf.DUMMYFUNCTION("""COMPUTED_VALUE"""),"No Aplica")</f>
        <v>No Aplica</v>
      </c>
      <c r="AS1528" s="97" t="str">
        <f>IFERROR(__xludf.DUMMYFUNCTION("""COMPUTED_VALUE"""),"Falta")</f>
        <v>Falta</v>
      </c>
      <c r="AT1528" s="97" t="str">
        <f>IFERROR(__xludf.DUMMYFUNCTION("""COMPUTED_VALUE"""),"Falta")</f>
        <v>Falta</v>
      </c>
      <c r="AU1528" s="97" t="str">
        <f>IFERROR(__xludf.DUMMYFUNCTION("""COMPUTED_VALUE"""),"Falta")</f>
        <v>Falta</v>
      </c>
      <c r="AV1528" s="97" t="str">
        <f>IFERROR(__xludf.DUMMYFUNCTION("""COMPUTED_VALUE"""),"Accesorio")</f>
        <v>Accesorio</v>
      </c>
      <c r="AW1528" s="97" t="str">
        <f>IFERROR(__xludf.DUMMYFUNCTION("""COMPUTED_VALUE"""),"Rieles")</f>
        <v>Rieles</v>
      </c>
      <c r="AX1528" s="97" t="str">
        <f>IFERROR(__xludf.DUMMYFUNCTION("""COMPUTED_VALUE"""),"Interior")</f>
        <v>Interior</v>
      </c>
      <c r="AY1528" s="97" t="str">
        <f>IFERROR(__xludf.DUMMYFUNCTION("""COMPUTED_VALUE"""),"-")</f>
        <v>-</v>
      </c>
      <c r="AZ1528" s="97" t="str">
        <f>IFERROR(__xludf.DUMMYFUNCTION("""COMPUTED_VALUE"""),"-")</f>
        <v>-</v>
      </c>
      <c r="BA1528" s="97"/>
      <c r="BB1528" s="97"/>
      <c r="BC1528" s="97"/>
      <c r="BD1528" s="97" t="str">
        <f>IFERROR(__xludf.DUMMYFUNCTION("""COMPUTED_VALUE"""),"POLAR")</f>
        <v>POLAR</v>
      </c>
      <c r="BE1528" s="97"/>
      <c r="BF1528" s="97"/>
      <c r="BG1528" s="97" t="str">
        <f>IFERROR(__xludf.DUMMYFUNCTION("""COMPUTED_VALUE"""),"REPO 7")</f>
        <v>REPO 7</v>
      </c>
    </row>
    <row r="1529">
      <c r="A1529" s="97">
        <f>IFERROR(__xludf.DUMMYFUNCTION("""COMPUTED_VALUE"""),7705.0)</f>
        <v>7705</v>
      </c>
      <c r="B1529" s="97" t="str">
        <f>IFERROR(__xludf.DUMMYFUNCTION("""COMPUTED_VALUE"""),"POLAR CONECTOR T NG")</f>
        <v>POLAR CONECTOR T NG</v>
      </c>
      <c r="C1529" s="97" t="str">
        <f>IFERROR(__xludf.DUMMYFUNCTION("""COMPUTED_VALUE"""),"ACCESORIO POLAR CONECTOR T NG LEUK")</f>
        <v>ACCESORIO POLAR CONECTOR T NG LEUK</v>
      </c>
      <c r="D1529" s="97">
        <f>IFERROR(__xludf.DUMMYFUNCTION("""COMPUTED_VALUE"""),7.798485462019E12)</f>
        <v>7798485462019</v>
      </c>
      <c r="E1529" s="97" t="str">
        <f>IFERROR(__xludf.DUMMYFUNCTION("""COMPUTED_VALUE"""),"-")</f>
        <v>-</v>
      </c>
      <c r="F1529" s="97" t="str">
        <f>IFERROR(__xludf.DUMMYFUNCTION("""COMPUTED_VALUE"""),"N/A")</f>
        <v>N/A</v>
      </c>
      <c r="G1529" s="97" t="str">
        <f>IFERROR(__xludf.DUMMYFUNCTION("""COMPUTED_VALUE"""),"N/A")</f>
        <v>N/A</v>
      </c>
      <c r="H1529" s="97" t="str">
        <f>IFERROR(__xludf.DUMMYFUNCTION("""COMPUTED_VALUE"""),"N/A")</f>
        <v>N/A</v>
      </c>
      <c r="I1529" s="97" t="str">
        <f>IFERROR(__xludf.DUMMYFUNCTION("""COMPUTED_VALUE"""),"N/A")</f>
        <v>N/A</v>
      </c>
      <c r="J1529" s="97" t="str">
        <f>IFERROR(__xludf.DUMMYFUNCTION("""COMPUTED_VALUE"""),"N/A")</f>
        <v>N/A</v>
      </c>
      <c r="K1529" s="97" t="str">
        <f>IFERROR(__xludf.DUMMYFUNCTION("""COMPUTED_VALUE"""),"N/A")</f>
        <v>N/A</v>
      </c>
      <c r="L1529" s="97" t="str">
        <f>IFERROR(__xludf.DUMMYFUNCTION("""COMPUTED_VALUE"""),"48Vdc")</f>
        <v>48Vdc</v>
      </c>
      <c r="M1529" s="97" t="str">
        <f>IFERROR(__xludf.DUMMYFUNCTION("""COMPUTED_VALUE"""),"N/A")</f>
        <v>N/A</v>
      </c>
      <c r="N1529" s="97" t="str">
        <f>IFERROR(__xludf.DUMMYFUNCTION("""COMPUTED_VALUE"""),"N/A")</f>
        <v>N/A</v>
      </c>
      <c r="O1529" s="97" t="str">
        <f>IFERROR(__xludf.DUMMYFUNCTION("""COMPUTED_VALUE"""),"200 Max.")</f>
        <v>200 Max.</v>
      </c>
      <c r="P1529" s="97" t="str">
        <f>IFERROR(__xludf.DUMMYFUNCTION("""COMPUTED_VALUE"""),"N/A")</f>
        <v>N/A</v>
      </c>
      <c r="Q1529" s="97" t="str">
        <f>IFERROR(__xludf.DUMMYFUNCTION("""COMPUTED_VALUE"""),"N/A")</f>
        <v>N/A</v>
      </c>
      <c r="R1529" s="97" t="str">
        <f>IFERROR(__xludf.DUMMYFUNCTION("""COMPUTED_VALUE"""),"N/A")</f>
        <v>N/A</v>
      </c>
      <c r="S1529" s="97" t="str">
        <f>IFERROR(__xludf.DUMMYFUNCTION("""COMPUTED_VALUE"""),"N/A")</f>
        <v>N/A</v>
      </c>
      <c r="T1529" s="97" t="str">
        <f>IFERROR(__xludf.DUMMYFUNCTION("""COMPUTED_VALUE"""),"N/A")</f>
        <v>N/A</v>
      </c>
      <c r="U1529" s="97" t="str">
        <f>IFERROR(__xludf.DUMMYFUNCTION("""COMPUTED_VALUE"""),"N/A")</f>
        <v>N/A</v>
      </c>
      <c r="V1529" s="97" t="str">
        <f>IFERROR(__xludf.DUMMYFUNCTION("""COMPUTED_VALUE"""),"N/A")</f>
        <v>N/A</v>
      </c>
      <c r="W1529" s="97" t="str">
        <f>IFERROR(__xludf.DUMMYFUNCTION("""COMPUTED_VALUE"""),"N/A")</f>
        <v>N/A</v>
      </c>
      <c r="X1529" s="97" t="str">
        <f>IFERROR(__xludf.DUMMYFUNCTION("""COMPUTED_VALUE"""),"N/A")</f>
        <v>N/A</v>
      </c>
      <c r="Y1529" s="97" t="str">
        <f>IFERROR(__xludf.DUMMYFUNCTION("""COMPUTED_VALUE"""),"N/A")</f>
        <v>N/A</v>
      </c>
      <c r="Z1529" s="97" t="str">
        <f>IFERROR(__xludf.DUMMYFUNCTION("""COMPUTED_VALUE"""),"N/A")</f>
        <v>N/A</v>
      </c>
      <c r="AA1529" s="97" t="str">
        <f>IFERROR(__xludf.DUMMYFUNCTION("""COMPUTED_VALUE"""),"N/A")</f>
        <v>N/A</v>
      </c>
      <c r="AB1529" s="97" t="str">
        <f>IFERROR(__xludf.DUMMYFUNCTION("""COMPUTED_VALUE"""),"N/A")</f>
        <v>N/A</v>
      </c>
      <c r="AC1529" s="97" t="str">
        <f>IFERROR(__xludf.DUMMYFUNCTION("""COMPUTED_VALUE"""),"N/A")</f>
        <v>N/A</v>
      </c>
      <c r="AD1529" s="97" t="str">
        <f>IFERROR(__xludf.DUMMYFUNCTION("""COMPUTED_VALUE"""),"IP20")</f>
        <v>IP20</v>
      </c>
      <c r="AE1529" s="97" t="str">
        <f>IFERROR(__xludf.DUMMYFUNCTION("""COMPUTED_VALUE"""),"Clase lll")</f>
        <v>Clase lll</v>
      </c>
      <c r="AF1529" s="97" t="str">
        <f>IFERROR(__xludf.DUMMYFUNCTION("""COMPUTED_VALUE"""),"N/A")</f>
        <v>N/A</v>
      </c>
      <c r="AG1529" s="97"/>
      <c r="AH1529" s="97" t="str">
        <f>IFERROR(__xludf.DUMMYFUNCTION("""COMPUTED_VALUE"""),"N/A")</f>
        <v>N/A</v>
      </c>
      <c r="AI1529" s="97" t="str">
        <f>IFERROR(__xludf.DUMMYFUNCTION("""COMPUTED_VALUE"""),"N/A")</f>
        <v>N/A</v>
      </c>
      <c r="AJ1529" s="97" t="str">
        <f>IFERROR(__xludf.DUMMYFUNCTION("""COMPUTED_VALUE"""),"N/A")</f>
        <v>N/A</v>
      </c>
      <c r="AK1529" s="97" t="str">
        <f>IFERROR(__xludf.DUMMYFUNCTION("""COMPUTED_VALUE"""),"Policarbonato (PC)")</f>
        <v>Policarbonato (PC)</v>
      </c>
      <c r="AL1529" s="97" t="str">
        <f>IFERROR(__xludf.DUMMYFUNCTION("""COMPUTED_VALUE"""),"Negro")</f>
        <v>Negro</v>
      </c>
      <c r="AM1529" s="97" t="str">
        <f>IFERROR(__xludf.DUMMYFUNCTION("""COMPUTED_VALUE"""),"-")</f>
        <v>-</v>
      </c>
      <c r="AN1529" s="97" t="str">
        <f>IFERROR(__xludf.DUMMYFUNCTION("""COMPUTED_VALUE"""),"N/A")</f>
        <v>N/A</v>
      </c>
      <c r="AO1529" s="97" t="str">
        <f>IFERROR(__xludf.DUMMYFUNCTION("""COMPUTED_VALUE"""),"2 Años")</f>
        <v>2 Años</v>
      </c>
      <c r="AP1529" s="97" t="str">
        <f>IFERROR(__xludf.DUMMYFUNCTION("""COMPUTED_VALUE"""),"No Aplica")</f>
        <v>No Aplica</v>
      </c>
      <c r="AQ1529" s="97" t="str">
        <f>IFERROR(__xludf.DUMMYFUNCTION("""COMPUTED_VALUE"""),"No Aplica")</f>
        <v>No Aplica</v>
      </c>
      <c r="AR1529" s="97" t="str">
        <f>IFERROR(__xludf.DUMMYFUNCTION("""COMPUTED_VALUE"""),"No Aplica")</f>
        <v>No Aplica</v>
      </c>
      <c r="AS1529" s="97" t="str">
        <f>IFERROR(__xludf.DUMMYFUNCTION("""COMPUTED_VALUE"""),"Falta")</f>
        <v>Falta</v>
      </c>
      <c r="AT1529" s="97" t="str">
        <f>IFERROR(__xludf.DUMMYFUNCTION("""COMPUTED_VALUE"""),"Falta")</f>
        <v>Falta</v>
      </c>
      <c r="AU1529" s="97" t="str">
        <f>IFERROR(__xludf.DUMMYFUNCTION("""COMPUTED_VALUE"""),"Falta")</f>
        <v>Falta</v>
      </c>
      <c r="AV1529" s="97" t="str">
        <f>IFERROR(__xludf.DUMMYFUNCTION("""COMPUTED_VALUE"""),"Accesorio")</f>
        <v>Accesorio</v>
      </c>
      <c r="AW1529" s="97" t="str">
        <f>IFERROR(__xludf.DUMMYFUNCTION("""COMPUTED_VALUE"""),"Rieles")</f>
        <v>Rieles</v>
      </c>
      <c r="AX1529" s="97" t="str">
        <f>IFERROR(__xludf.DUMMYFUNCTION("""COMPUTED_VALUE"""),"Interior")</f>
        <v>Interior</v>
      </c>
      <c r="AY1529" s="97" t="str">
        <f>IFERROR(__xludf.DUMMYFUNCTION("""COMPUTED_VALUE"""),"-")</f>
        <v>-</v>
      </c>
      <c r="AZ1529" s="97" t="str">
        <f>IFERROR(__xludf.DUMMYFUNCTION("""COMPUTED_VALUE"""),"-")</f>
        <v>-</v>
      </c>
      <c r="BA1529" s="97"/>
      <c r="BB1529" s="97"/>
      <c r="BC1529" s="97"/>
      <c r="BD1529" s="97" t="str">
        <f>IFERROR(__xludf.DUMMYFUNCTION("""COMPUTED_VALUE"""),"POLAR")</f>
        <v>POLAR</v>
      </c>
      <c r="BE1529" s="97"/>
      <c r="BF1529" s="97"/>
      <c r="BG1529" s="97" t="str">
        <f>IFERROR(__xludf.DUMMYFUNCTION("""COMPUTED_VALUE"""),"REPO 7")</f>
        <v>REPO 7</v>
      </c>
    </row>
    <row r="1530">
      <c r="A1530" s="97">
        <f>IFERROR(__xludf.DUMMYFUNCTION("""COMPUTED_VALUE"""),7706.0)</f>
        <v>7706</v>
      </c>
      <c r="B1530" s="97" t="str">
        <f>IFERROR(__xludf.DUMMYFUNCTION("""COMPUTED_VALUE"""),"POLAR CONECTOR T BL")</f>
        <v>POLAR CONECTOR T BL</v>
      </c>
      <c r="C1530" s="97" t="str">
        <f>IFERROR(__xludf.DUMMYFUNCTION("""COMPUTED_VALUE"""),"ACCESORIO POLAR CONECTOR T BL LEUK")</f>
        <v>ACCESORIO POLAR CONECTOR T BL LEUK</v>
      </c>
      <c r="D1530" s="97">
        <f>IFERROR(__xludf.DUMMYFUNCTION("""COMPUTED_VALUE"""),7.798485462026E12)</f>
        <v>7798485462026</v>
      </c>
      <c r="E1530" s="97" t="str">
        <f>IFERROR(__xludf.DUMMYFUNCTION("""COMPUTED_VALUE"""),"-")</f>
        <v>-</v>
      </c>
      <c r="F1530" s="97" t="str">
        <f>IFERROR(__xludf.DUMMYFUNCTION("""COMPUTED_VALUE"""),"N/A")</f>
        <v>N/A</v>
      </c>
      <c r="G1530" s="97" t="str">
        <f>IFERROR(__xludf.DUMMYFUNCTION("""COMPUTED_VALUE"""),"N/A")</f>
        <v>N/A</v>
      </c>
      <c r="H1530" s="97" t="str">
        <f>IFERROR(__xludf.DUMMYFUNCTION("""COMPUTED_VALUE"""),"N/A")</f>
        <v>N/A</v>
      </c>
      <c r="I1530" s="97" t="str">
        <f>IFERROR(__xludf.DUMMYFUNCTION("""COMPUTED_VALUE"""),"N/A")</f>
        <v>N/A</v>
      </c>
      <c r="J1530" s="97" t="str">
        <f>IFERROR(__xludf.DUMMYFUNCTION("""COMPUTED_VALUE"""),"N/A")</f>
        <v>N/A</v>
      </c>
      <c r="K1530" s="97" t="str">
        <f>IFERROR(__xludf.DUMMYFUNCTION("""COMPUTED_VALUE"""),"N/A")</f>
        <v>N/A</v>
      </c>
      <c r="L1530" s="97" t="str">
        <f>IFERROR(__xludf.DUMMYFUNCTION("""COMPUTED_VALUE"""),"48Vdc")</f>
        <v>48Vdc</v>
      </c>
      <c r="M1530" s="97" t="str">
        <f>IFERROR(__xludf.DUMMYFUNCTION("""COMPUTED_VALUE"""),"N/A")</f>
        <v>N/A</v>
      </c>
      <c r="N1530" s="97" t="str">
        <f>IFERROR(__xludf.DUMMYFUNCTION("""COMPUTED_VALUE"""),"N/A")</f>
        <v>N/A</v>
      </c>
      <c r="O1530" s="97" t="str">
        <f>IFERROR(__xludf.DUMMYFUNCTION("""COMPUTED_VALUE"""),"200 Max.")</f>
        <v>200 Max.</v>
      </c>
      <c r="P1530" s="97" t="str">
        <f>IFERROR(__xludf.DUMMYFUNCTION("""COMPUTED_VALUE"""),"N/A")</f>
        <v>N/A</v>
      </c>
      <c r="Q1530" s="97" t="str">
        <f>IFERROR(__xludf.DUMMYFUNCTION("""COMPUTED_VALUE"""),"N/A")</f>
        <v>N/A</v>
      </c>
      <c r="R1530" s="97" t="str">
        <f>IFERROR(__xludf.DUMMYFUNCTION("""COMPUTED_VALUE"""),"N/A")</f>
        <v>N/A</v>
      </c>
      <c r="S1530" s="97" t="str">
        <f>IFERROR(__xludf.DUMMYFUNCTION("""COMPUTED_VALUE"""),"N/A")</f>
        <v>N/A</v>
      </c>
      <c r="T1530" s="97" t="str">
        <f>IFERROR(__xludf.DUMMYFUNCTION("""COMPUTED_VALUE"""),"N/A")</f>
        <v>N/A</v>
      </c>
      <c r="U1530" s="97" t="str">
        <f>IFERROR(__xludf.DUMMYFUNCTION("""COMPUTED_VALUE"""),"N/A")</f>
        <v>N/A</v>
      </c>
      <c r="V1530" s="97" t="str">
        <f>IFERROR(__xludf.DUMMYFUNCTION("""COMPUTED_VALUE"""),"N/A")</f>
        <v>N/A</v>
      </c>
      <c r="W1530" s="97" t="str">
        <f>IFERROR(__xludf.DUMMYFUNCTION("""COMPUTED_VALUE"""),"N/A")</f>
        <v>N/A</v>
      </c>
      <c r="X1530" s="97" t="str">
        <f>IFERROR(__xludf.DUMMYFUNCTION("""COMPUTED_VALUE"""),"N/A")</f>
        <v>N/A</v>
      </c>
      <c r="Y1530" s="97" t="str">
        <f>IFERROR(__xludf.DUMMYFUNCTION("""COMPUTED_VALUE"""),"N/A")</f>
        <v>N/A</v>
      </c>
      <c r="Z1530" s="97" t="str">
        <f>IFERROR(__xludf.DUMMYFUNCTION("""COMPUTED_VALUE"""),"N/A")</f>
        <v>N/A</v>
      </c>
      <c r="AA1530" s="97" t="str">
        <f>IFERROR(__xludf.DUMMYFUNCTION("""COMPUTED_VALUE"""),"N/A")</f>
        <v>N/A</v>
      </c>
      <c r="AB1530" s="97" t="str">
        <f>IFERROR(__xludf.DUMMYFUNCTION("""COMPUTED_VALUE"""),"N/A")</f>
        <v>N/A</v>
      </c>
      <c r="AC1530" s="97" t="str">
        <f>IFERROR(__xludf.DUMMYFUNCTION("""COMPUTED_VALUE"""),"N/A")</f>
        <v>N/A</v>
      </c>
      <c r="AD1530" s="97" t="str">
        <f>IFERROR(__xludf.DUMMYFUNCTION("""COMPUTED_VALUE"""),"IP20")</f>
        <v>IP20</v>
      </c>
      <c r="AE1530" s="97" t="str">
        <f>IFERROR(__xludf.DUMMYFUNCTION("""COMPUTED_VALUE"""),"Clase lll")</f>
        <v>Clase lll</v>
      </c>
      <c r="AF1530" s="97" t="str">
        <f>IFERROR(__xludf.DUMMYFUNCTION("""COMPUTED_VALUE"""),"N/A")</f>
        <v>N/A</v>
      </c>
      <c r="AG1530" s="97"/>
      <c r="AH1530" s="97" t="str">
        <f>IFERROR(__xludf.DUMMYFUNCTION("""COMPUTED_VALUE"""),"N/A")</f>
        <v>N/A</v>
      </c>
      <c r="AI1530" s="97" t="str">
        <f>IFERROR(__xludf.DUMMYFUNCTION("""COMPUTED_VALUE"""),"N/A")</f>
        <v>N/A</v>
      </c>
      <c r="AJ1530" s="97" t="str">
        <f>IFERROR(__xludf.DUMMYFUNCTION("""COMPUTED_VALUE"""),"N/A")</f>
        <v>N/A</v>
      </c>
      <c r="AK1530" s="97" t="str">
        <f>IFERROR(__xludf.DUMMYFUNCTION("""COMPUTED_VALUE"""),"Policarbonato (PC)")</f>
        <v>Policarbonato (PC)</v>
      </c>
      <c r="AL1530" s="97" t="str">
        <f>IFERROR(__xludf.DUMMYFUNCTION("""COMPUTED_VALUE"""),"Blanco")</f>
        <v>Blanco</v>
      </c>
      <c r="AM1530" s="97" t="str">
        <f>IFERROR(__xludf.DUMMYFUNCTION("""COMPUTED_VALUE"""),"-")</f>
        <v>-</v>
      </c>
      <c r="AN1530" s="97" t="str">
        <f>IFERROR(__xludf.DUMMYFUNCTION("""COMPUTED_VALUE"""),"N/A")</f>
        <v>N/A</v>
      </c>
      <c r="AO1530" s="97" t="str">
        <f>IFERROR(__xludf.DUMMYFUNCTION("""COMPUTED_VALUE"""),"2 Años")</f>
        <v>2 Años</v>
      </c>
      <c r="AP1530" s="97" t="str">
        <f>IFERROR(__xludf.DUMMYFUNCTION("""COMPUTED_VALUE"""),"No Aplica")</f>
        <v>No Aplica</v>
      </c>
      <c r="AQ1530" s="97" t="str">
        <f>IFERROR(__xludf.DUMMYFUNCTION("""COMPUTED_VALUE"""),"No Aplica")</f>
        <v>No Aplica</v>
      </c>
      <c r="AR1530" s="97" t="str">
        <f>IFERROR(__xludf.DUMMYFUNCTION("""COMPUTED_VALUE"""),"No Aplica")</f>
        <v>No Aplica</v>
      </c>
      <c r="AS1530" s="97" t="str">
        <f>IFERROR(__xludf.DUMMYFUNCTION("""COMPUTED_VALUE"""),"Falta")</f>
        <v>Falta</v>
      </c>
      <c r="AT1530" s="97" t="str">
        <f>IFERROR(__xludf.DUMMYFUNCTION("""COMPUTED_VALUE"""),"Falta")</f>
        <v>Falta</v>
      </c>
      <c r="AU1530" s="97" t="str">
        <f>IFERROR(__xludf.DUMMYFUNCTION("""COMPUTED_VALUE"""),"Falta")</f>
        <v>Falta</v>
      </c>
      <c r="AV1530" s="97" t="str">
        <f>IFERROR(__xludf.DUMMYFUNCTION("""COMPUTED_VALUE"""),"Accesorio")</f>
        <v>Accesorio</v>
      </c>
      <c r="AW1530" s="97" t="str">
        <f>IFERROR(__xludf.DUMMYFUNCTION("""COMPUTED_VALUE"""),"Rieles")</f>
        <v>Rieles</v>
      </c>
      <c r="AX1530" s="97" t="str">
        <f>IFERROR(__xludf.DUMMYFUNCTION("""COMPUTED_VALUE"""),"Interior")</f>
        <v>Interior</v>
      </c>
      <c r="AY1530" s="97" t="str">
        <f>IFERROR(__xludf.DUMMYFUNCTION("""COMPUTED_VALUE"""),"-")</f>
        <v>-</v>
      </c>
      <c r="AZ1530" s="97" t="str">
        <f>IFERROR(__xludf.DUMMYFUNCTION("""COMPUTED_VALUE"""),"-")</f>
        <v>-</v>
      </c>
      <c r="BA1530" s="97"/>
      <c r="BB1530" s="97"/>
      <c r="BC1530" s="97"/>
      <c r="BD1530" s="97" t="str">
        <f>IFERROR(__xludf.DUMMYFUNCTION("""COMPUTED_VALUE"""),"POLAR")</f>
        <v>POLAR</v>
      </c>
      <c r="BE1530" s="97"/>
      <c r="BF1530" s="97"/>
      <c r="BG1530" s="97" t="str">
        <f>IFERROR(__xludf.DUMMYFUNCTION("""COMPUTED_VALUE"""),"REPO 7")</f>
        <v>REPO 7</v>
      </c>
    </row>
    <row r="1531">
      <c r="A1531" s="97">
        <f>IFERROR(__xludf.DUMMYFUNCTION("""COMPUTED_VALUE"""),7715.0)</f>
        <v>7715</v>
      </c>
      <c r="B1531" s="97" t="str">
        <f>IFERROR(__xludf.DUMMYFUNCTION("""COMPUTED_VALUE"""),"POLAR KIT SUSPENSION")</f>
        <v>POLAR KIT SUSPENSION</v>
      </c>
      <c r="C1531" s="97" t="str">
        <f>IFERROR(__xludf.DUMMYFUNCTION("""COMPUTED_VALUE"""),"ACCESORIO POLAR KIT SUSPENSION LEUK")</f>
        <v>ACCESORIO POLAR KIT SUSPENSION LEUK</v>
      </c>
      <c r="D1531" s="97" t="str">
        <f>IFERROR(__xludf.DUMMYFUNCTION("""COMPUTED_VALUE"""),"N/A")</f>
        <v>N/A</v>
      </c>
      <c r="E1531" s="97" t="str">
        <f>IFERROR(__xludf.DUMMYFUNCTION("""COMPUTED_VALUE"""),"-")</f>
        <v>-</v>
      </c>
      <c r="F1531" s="97" t="str">
        <f>IFERROR(__xludf.DUMMYFUNCTION("""COMPUTED_VALUE"""),"N/A")</f>
        <v>N/A</v>
      </c>
      <c r="G1531" s="97" t="str">
        <f>IFERROR(__xludf.DUMMYFUNCTION("""COMPUTED_VALUE"""),"N/A")</f>
        <v>N/A</v>
      </c>
      <c r="H1531" s="97" t="str">
        <f>IFERROR(__xludf.DUMMYFUNCTION("""COMPUTED_VALUE"""),"N/A")</f>
        <v>N/A</v>
      </c>
      <c r="I1531" s="97" t="str">
        <f>IFERROR(__xludf.DUMMYFUNCTION("""COMPUTED_VALUE"""),"N/A")</f>
        <v>N/A</v>
      </c>
      <c r="J1531" s="97" t="str">
        <f>IFERROR(__xludf.DUMMYFUNCTION("""COMPUTED_VALUE"""),"N/A")</f>
        <v>N/A</v>
      </c>
      <c r="K1531" s="97" t="str">
        <f>IFERROR(__xludf.DUMMYFUNCTION("""COMPUTED_VALUE"""),"N/A")</f>
        <v>N/A</v>
      </c>
      <c r="L1531" s="97" t="str">
        <f>IFERROR(__xludf.DUMMYFUNCTION("""COMPUTED_VALUE"""),"48Vdc")</f>
        <v>48Vdc</v>
      </c>
      <c r="M1531" s="97" t="str">
        <f>IFERROR(__xludf.DUMMYFUNCTION("""COMPUTED_VALUE"""),"N/A")</f>
        <v>N/A</v>
      </c>
      <c r="N1531" s="97" t="str">
        <f>IFERROR(__xludf.DUMMYFUNCTION("""COMPUTED_VALUE"""),"N/A")</f>
        <v>N/A</v>
      </c>
      <c r="O1531" s="97" t="str">
        <f>IFERROR(__xludf.DUMMYFUNCTION("""COMPUTED_VALUE"""),"N/A")</f>
        <v>N/A</v>
      </c>
      <c r="P1531" s="97" t="str">
        <f>IFERROR(__xludf.DUMMYFUNCTION("""COMPUTED_VALUE"""),"N/A")</f>
        <v>N/A</v>
      </c>
      <c r="Q1531" s="97" t="str">
        <f>IFERROR(__xludf.DUMMYFUNCTION("""COMPUTED_VALUE"""),"N/A")</f>
        <v>N/A</v>
      </c>
      <c r="R1531" s="97" t="str">
        <f>IFERROR(__xludf.DUMMYFUNCTION("""COMPUTED_VALUE"""),"N/A")</f>
        <v>N/A</v>
      </c>
      <c r="S1531" s="97" t="str">
        <f>IFERROR(__xludf.DUMMYFUNCTION("""COMPUTED_VALUE"""),"N/A")</f>
        <v>N/A</v>
      </c>
      <c r="T1531" s="97" t="str">
        <f>IFERROR(__xludf.DUMMYFUNCTION("""COMPUTED_VALUE"""),"N/A")</f>
        <v>N/A</v>
      </c>
      <c r="U1531" s="97" t="str">
        <f>IFERROR(__xludf.DUMMYFUNCTION("""COMPUTED_VALUE"""),"N/A")</f>
        <v>N/A</v>
      </c>
      <c r="V1531" s="97" t="str">
        <f>IFERROR(__xludf.DUMMYFUNCTION("""COMPUTED_VALUE"""),"N/A")</f>
        <v>N/A</v>
      </c>
      <c r="W1531" s="97" t="str">
        <f>IFERROR(__xludf.DUMMYFUNCTION("""COMPUTED_VALUE"""),"N/A")</f>
        <v>N/A</v>
      </c>
      <c r="X1531" s="97" t="str">
        <f>IFERROR(__xludf.DUMMYFUNCTION("""COMPUTED_VALUE"""),"N/A")</f>
        <v>N/A</v>
      </c>
      <c r="Y1531" s="97" t="str">
        <f>IFERROR(__xludf.DUMMYFUNCTION("""COMPUTED_VALUE"""),"N/A")</f>
        <v>N/A</v>
      </c>
      <c r="Z1531" s="97" t="str">
        <f>IFERROR(__xludf.DUMMYFUNCTION("""COMPUTED_VALUE"""),"N/A")</f>
        <v>N/A</v>
      </c>
      <c r="AA1531" s="97" t="str">
        <f>IFERROR(__xludf.DUMMYFUNCTION("""COMPUTED_VALUE"""),"N/A")</f>
        <v>N/A</v>
      </c>
      <c r="AB1531" s="97" t="str">
        <f>IFERROR(__xludf.DUMMYFUNCTION("""COMPUTED_VALUE"""),"N/A")</f>
        <v>N/A</v>
      </c>
      <c r="AC1531" s="97" t="str">
        <f>IFERROR(__xludf.DUMMYFUNCTION("""COMPUTED_VALUE"""),"N/A")</f>
        <v>N/A</v>
      </c>
      <c r="AD1531" s="97" t="str">
        <f>IFERROR(__xludf.DUMMYFUNCTION("""COMPUTED_VALUE"""),"IP20")</f>
        <v>IP20</v>
      </c>
      <c r="AE1531" s="97" t="str">
        <f>IFERROR(__xludf.DUMMYFUNCTION("""COMPUTED_VALUE"""),"N/A")</f>
        <v>N/A</v>
      </c>
      <c r="AF1531" s="97" t="str">
        <f>IFERROR(__xludf.DUMMYFUNCTION("""COMPUTED_VALUE"""),"N/A")</f>
        <v>N/A</v>
      </c>
      <c r="AG1531" s="97"/>
      <c r="AH1531" s="97" t="str">
        <f>IFERROR(__xludf.DUMMYFUNCTION("""COMPUTED_VALUE"""),"N/A")</f>
        <v>N/A</v>
      </c>
      <c r="AI1531" s="97" t="str">
        <f>IFERROR(__xludf.DUMMYFUNCTION("""COMPUTED_VALUE"""),"N/A")</f>
        <v>N/A</v>
      </c>
      <c r="AJ1531" s="97" t="str">
        <f>IFERROR(__xludf.DUMMYFUNCTION("""COMPUTED_VALUE"""),"N/A")</f>
        <v>N/A</v>
      </c>
      <c r="AK1531" s="97" t="str">
        <f>IFERROR(__xludf.DUMMYFUNCTION("""COMPUTED_VALUE"""),"Acero")</f>
        <v>Acero</v>
      </c>
      <c r="AL1531" s="97" t="str">
        <f>IFERROR(__xludf.DUMMYFUNCTION("""COMPUTED_VALUE"""),"N/A")</f>
        <v>N/A</v>
      </c>
      <c r="AM1531" s="97" t="str">
        <f>IFERROR(__xludf.DUMMYFUNCTION("""COMPUTED_VALUE"""),"-")</f>
        <v>-</v>
      </c>
      <c r="AN1531" s="97" t="str">
        <f>IFERROR(__xludf.DUMMYFUNCTION("""COMPUTED_VALUE"""),"N/A")</f>
        <v>N/A</v>
      </c>
      <c r="AO1531" s="97" t="str">
        <f>IFERROR(__xludf.DUMMYFUNCTION("""COMPUTED_VALUE"""),"2 Años")</f>
        <v>2 Años</v>
      </c>
      <c r="AP1531" s="97" t="str">
        <f>IFERROR(__xludf.DUMMYFUNCTION("""COMPUTED_VALUE"""),"No Aplica")</f>
        <v>No Aplica</v>
      </c>
      <c r="AQ1531" s="97" t="str">
        <f>IFERROR(__xludf.DUMMYFUNCTION("""COMPUTED_VALUE"""),"No Aplica")</f>
        <v>No Aplica</v>
      </c>
      <c r="AR1531" s="97" t="str">
        <f>IFERROR(__xludf.DUMMYFUNCTION("""COMPUTED_VALUE"""),"No Aplica")</f>
        <v>No Aplica</v>
      </c>
      <c r="AS1531" s="97" t="str">
        <f>IFERROR(__xludf.DUMMYFUNCTION("""COMPUTED_VALUE"""),"Falta")</f>
        <v>Falta</v>
      </c>
      <c r="AT1531" s="97" t="str">
        <f>IFERROR(__xludf.DUMMYFUNCTION("""COMPUTED_VALUE"""),"Falta")</f>
        <v>Falta</v>
      </c>
      <c r="AU1531" s="97" t="str">
        <f>IFERROR(__xludf.DUMMYFUNCTION("""COMPUTED_VALUE"""),"Falta")</f>
        <v>Falta</v>
      </c>
      <c r="AV1531" s="97" t="str">
        <f>IFERROR(__xludf.DUMMYFUNCTION("""COMPUTED_VALUE"""),"Accesorio")</f>
        <v>Accesorio</v>
      </c>
      <c r="AW1531" s="97" t="str">
        <f>IFERROR(__xludf.DUMMYFUNCTION("""COMPUTED_VALUE"""),"Rieles")</f>
        <v>Rieles</v>
      </c>
      <c r="AX1531" s="97" t="str">
        <f>IFERROR(__xludf.DUMMYFUNCTION("""COMPUTED_VALUE"""),"Interior")</f>
        <v>Interior</v>
      </c>
      <c r="AY1531" s="97" t="str">
        <f>IFERROR(__xludf.DUMMYFUNCTION("""COMPUTED_VALUE"""),"-")</f>
        <v>-</v>
      </c>
      <c r="AZ1531" s="97" t="str">
        <f>IFERROR(__xludf.DUMMYFUNCTION("""COMPUTED_VALUE"""),"Compuesto por SKU: 6563 + 7702")</f>
        <v>Compuesto por SKU: 6563 + 7702</v>
      </c>
      <c r="BA1531" s="97"/>
      <c r="BB1531" s="97"/>
      <c r="BC1531" s="97"/>
      <c r="BD1531" s="97" t="str">
        <f>IFERROR(__xludf.DUMMYFUNCTION("""COMPUTED_VALUE"""),"POLAR")</f>
        <v>POLAR</v>
      </c>
      <c r="BE1531" s="97"/>
      <c r="BF1531" s="97"/>
      <c r="BG1531" s="97" t="str">
        <f>IFERROR(__xludf.DUMMYFUNCTION("""COMPUTED_VALUE"""),"REPO 7")</f>
        <v>REPO 7</v>
      </c>
    </row>
    <row r="1532">
      <c r="A1532" s="97">
        <f>IFERROR(__xludf.DUMMYFUNCTION("""COMPUTED_VALUE"""),7716.0)</f>
        <v>7716</v>
      </c>
      <c r="B1532" s="97" t="str">
        <f>IFERROR(__xludf.DUMMYFUNCTION("""COMPUTED_VALUE"""),"LEX")</f>
        <v>LEX</v>
      </c>
      <c r="C1532" s="97" t="str">
        <f>IFERROR(__xludf.DUMMYFUNCTION("""COMPUTED_VALUE"""),"APLIQUE LEX W K LM CRI IP67 LEUK")</f>
        <v>APLIQUE LEX W K LM CRI IP67 LEUK</v>
      </c>
      <c r="D1532" s="97">
        <f>IFERROR(__xludf.DUMMYFUNCTION("""COMPUTED_VALUE"""),7.798485462057E12)</f>
        <v>7798485462057</v>
      </c>
      <c r="E1532" s="97" t="str">
        <f>IFERROR(__xludf.DUMMYFUNCTION("""COMPUTED_VALUE"""),"Q9")</f>
        <v>Q9</v>
      </c>
      <c r="F1532" s="97"/>
      <c r="G1532" s="97"/>
      <c r="H1532" s="97"/>
      <c r="I1532" s="97"/>
      <c r="J1532" s="97"/>
      <c r="K1532" s="97"/>
      <c r="L1532" s="97"/>
      <c r="M1532" s="97"/>
      <c r="N1532" s="97"/>
      <c r="O1532" s="97"/>
      <c r="P1532" s="97"/>
      <c r="Q1532" s="97"/>
      <c r="R1532" s="97"/>
      <c r="S1532" s="97"/>
      <c r="T1532" s="97"/>
      <c r="U1532" s="97"/>
      <c r="V1532" s="97"/>
      <c r="W1532" s="97"/>
      <c r="X1532" s="97"/>
      <c r="Y1532" s="97"/>
      <c r="Z1532" s="97"/>
      <c r="AA1532" s="97"/>
      <c r="AB1532" s="97"/>
      <c r="AC1532" s="97"/>
      <c r="AD1532" s="97" t="str">
        <f>IFERROR(__xludf.DUMMYFUNCTION("""COMPUTED_VALUE"""),"IP67")</f>
        <v>IP67</v>
      </c>
      <c r="AE1532" s="97" t="str">
        <f>IFERROR(__xludf.DUMMYFUNCTION("""COMPUTED_VALUE"""),"Clase l")</f>
        <v>Clase l</v>
      </c>
      <c r="AF1532" s="97" t="str">
        <f>IFERROR(__xludf.DUMMYFUNCTION("""COMPUTED_VALUE"""),"Anclaje de piso")</f>
        <v>Anclaje de piso</v>
      </c>
      <c r="AG1532" s="97"/>
      <c r="AH1532" s="97" t="str">
        <f>IFERROR(__xludf.DUMMYFUNCTION("""COMPUTED_VALUE"""),"N/A")</f>
        <v>N/A</v>
      </c>
      <c r="AI1532" s="97" t="str">
        <f>IFERROR(__xludf.DUMMYFUNCTION("""COMPUTED_VALUE"""),"N/A")</f>
        <v>N/A</v>
      </c>
      <c r="AJ1532" s="97" t="str">
        <f>IFERROR(__xludf.DUMMYFUNCTION("""COMPUTED_VALUE"""),"Vidrio")</f>
        <v>Vidrio</v>
      </c>
      <c r="AK1532" s="97" t="str">
        <f>IFERROR(__xludf.DUMMYFUNCTION("""COMPUTED_VALUE"""),"Aluminio")</f>
        <v>Aluminio</v>
      </c>
      <c r="AL1532" s="97" t="str">
        <f>IFERROR(__xludf.DUMMYFUNCTION("""COMPUTED_VALUE"""),"Negro Satinado")</f>
        <v>Negro Satinado</v>
      </c>
      <c r="AM1532" s="97" t="str">
        <f>IFERROR(__xludf.DUMMYFUNCTION("""COMPUTED_VALUE"""),"-")</f>
        <v>-</v>
      </c>
      <c r="AN1532" s="97" t="str">
        <f>IFERROR(__xludf.DUMMYFUNCTION("""COMPUTED_VALUE"""),"25.000hs (L70)")</f>
        <v>25.000hs (L70)</v>
      </c>
      <c r="AO1532" s="97" t="str">
        <f>IFERROR(__xludf.DUMMYFUNCTION("""COMPUTED_VALUE"""),"2 Años")</f>
        <v>2 Años</v>
      </c>
      <c r="AP1532" s="97" t="str">
        <f>IFERROR(__xludf.DUMMYFUNCTION("""COMPUTED_VALUE"""),"Falta")</f>
        <v>Falta</v>
      </c>
      <c r="AQ1532" s="97" t="str">
        <f>IFERROR(__xludf.DUMMYFUNCTION("""COMPUTED_VALUE"""),"Falta")</f>
        <v>Falta</v>
      </c>
      <c r="AR1532" s="97" t="str">
        <f>IFERROR(__xludf.DUMMYFUNCTION("""COMPUTED_VALUE"""),"Falta")</f>
        <v>Falta</v>
      </c>
      <c r="AS1532" s="97" t="str">
        <f>IFERROR(__xludf.DUMMYFUNCTION("""COMPUTED_VALUE"""),"Falta")</f>
        <v>Falta</v>
      </c>
      <c r="AT1532" s="97" t="str">
        <f>IFERROR(__xludf.DUMMYFUNCTION("""COMPUTED_VALUE"""),"Falta")</f>
        <v>Falta</v>
      </c>
      <c r="AU1532" s="97" t="str">
        <f>IFERROR(__xludf.DUMMYFUNCTION("""COMPUTED_VALUE"""),"Falta")</f>
        <v>Falta</v>
      </c>
      <c r="AV1532" s="97" t="str">
        <f>IFERROR(__xludf.DUMMYFUNCTION("""COMPUTED_VALUE"""),"Aplique")</f>
        <v>Aplique</v>
      </c>
      <c r="AW1532" s="97" t="str">
        <f>IFERROR(__xludf.DUMMYFUNCTION("""COMPUTED_VALUE"""),"De Piso")</f>
        <v>De Piso</v>
      </c>
      <c r="AX1532" s="97" t="str">
        <f>IFERROR(__xludf.DUMMYFUNCTION("""COMPUTED_VALUE"""),"Exterior")</f>
        <v>Exterior</v>
      </c>
      <c r="AY1532" s="97" t="str">
        <f>IFERROR(__xludf.DUMMYFUNCTION("""COMPUTED_VALUE"""),"-")</f>
        <v>-</v>
      </c>
      <c r="AZ1532" s="97"/>
      <c r="BA1532" s="97"/>
      <c r="BB1532" s="97" t="str">
        <f>IFERROR(__xludf.DUMMYFUNCTION("""COMPUTED_VALUE"""),"-")</f>
        <v>-</v>
      </c>
      <c r="BC1532" s="97" t="str">
        <f>IFERROR(__xludf.DUMMYFUNCTION("""COMPUTED_VALUE"""),"-")</f>
        <v>-</v>
      </c>
      <c r="BD1532" s="97" t="str">
        <f>IFERROR(__xludf.DUMMYFUNCTION("""COMPUTED_VALUE"""),"LEX")</f>
        <v>LEX</v>
      </c>
      <c r="BE1532" s="97" t="str">
        <f>IFERROR(__xludf.DUMMYFUNCTION("""COMPUTED_VALUE"""),"Falta TR")</f>
        <v>Falta TR</v>
      </c>
      <c r="BF1532" s="97"/>
      <c r="BG1532" s="97" t="str">
        <f>IFERROR(__xludf.DUMMYFUNCTION("""COMPUTED_VALUE"""),"Repo 8")</f>
        <v>Repo 8</v>
      </c>
    </row>
    <row r="1533">
      <c r="A1533" s="97" t="str">
        <f>IFERROR(__xludf.DUMMYFUNCTION("""COMPUTED_VALUE"""),"x")</f>
        <v>x</v>
      </c>
      <c r="B1533" s="97" t="str">
        <f>IFERROR(__xludf.DUMMYFUNCTION("""COMPUTED_VALUE"""),"VALIJA LINEA TERRA")</f>
        <v>VALIJA LINEA TERRA</v>
      </c>
      <c r="C1533" s="97" t="str">
        <f>IFERROR(__xludf.DUMMYFUNCTION("""COMPUTED_VALUE"""),"ACCESORIO VALIJA LINEA TERRA LEUK")</f>
        <v>ACCESORIO VALIJA LINEA TERRA LEUK</v>
      </c>
      <c r="D1533" s="97" t="str">
        <f>IFERROR(__xludf.DUMMYFUNCTION("""COMPUTED_VALUE"""),"-")</f>
        <v>-</v>
      </c>
      <c r="E1533" s="97" t="str">
        <f>IFERROR(__xludf.DUMMYFUNCTION("""COMPUTED_VALUE"""),"-")</f>
        <v>-</v>
      </c>
      <c r="F1533" s="97" t="str">
        <f>IFERROR(__xludf.DUMMYFUNCTION("""COMPUTED_VALUE"""),"LED integrado")</f>
        <v>LED integrado</v>
      </c>
      <c r="G1533" s="97" t="str">
        <f>IFERROR(__xludf.DUMMYFUNCTION("""COMPUTED_VALUE"""),"-")</f>
        <v>-</v>
      </c>
      <c r="H1533" s="97"/>
      <c r="I1533" s="97"/>
      <c r="J1533" s="97"/>
      <c r="K1533" s="97" t="str">
        <f>IFERROR(__xludf.DUMMYFUNCTION("""COMPUTED_VALUE"""),"ON/OFF")</f>
        <v>ON/OFF</v>
      </c>
      <c r="L1533" s="97" t="str">
        <f>IFERROR(__xludf.DUMMYFUNCTION("""COMPUTED_VALUE"""),"220-240")</f>
        <v>220-240</v>
      </c>
      <c r="M1533" s="97" t="str">
        <f>IFERROR(__xludf.DUMMYFUNCTION("""COMPUTED_VALUE"""),"50/60")</f>
        <v>50/60</v>
      </c>
      <c r="N1533" s="97" t="str">
        <f>IFERROR(__xludf.DUMMYFUNCTION("""COMPUTED_VALUE"""),"N/A")</f>
        <v>N/A</v>
      </c>
      <c r="O1533" s="97"/>
      <c r="P1533" s="97"/>
      <c r="Q1533" s="97"/>
      <c r="R1533" s="97" t="str">
        <f>IFERROR(__xludf.DUMMYFUNCTION("""COMPUTED_VALUE"""),"N/A")</f>
        <v>N/A</v>
      </c>
      <c r="S1533" s="97" t="str">
        <f>IFERROR(__xludf.DUMMYFUNCTION("""COMPUTED_VALUE"""),"N/A")</f>
        <v>N/A</v>
      </c>
      <c r="T1533" s="97" t="str">
        <f>IFERROR(__xludf.DUMMYFUNCTION("""COMPUTED_VALUE"""),"N/A")</f>
        <v>N/A</v>
      </c>
      <c r="U1533" s="97" t="str">
        <f>IFERROR(__xludf.DUMMYFUNCTION("""COMPUTED_VALUE"""),"N/A")</f>
        <v>N/A</v>
      </c>
      <c r="V1533" s="97" t="str">
        <f>IFERROR(__xludf.DUMMYFUNCTION("""COMPUTED_VALUE"""),"N/A")</f>
        <v>N/A</v>
      </c>
      <c r="W1533" s="97" t="str">
        <f>IFERROR(__xludf.DUMMYFUNCTION("""COMPUTED_VALUE"""),"N/A")</f>
        <v>N/A</v>
      </c>
      <c r="X1533" s="97" t="str">
        <f>IFERROR(__xludf.DUMMYFUNCTION("""COMPUTED_VALUE"""),"N/A")</f>
        <v>N/A</v>
      </c>
      <c r="Y1533" s="97" t="str">
        <f>IFERROR(__xludf.DUMMYFUNCTION("""COMPUTED_VALUE"""),"N/A")</f>
        <v>N/A</v>
      </c>
      <c r="Z1533" s="97" t="str">
        <f>IFERROR(__xludf.DUMMYFUNCTION("""COMPUTED_VALUE"""),"N/A")</f>
        <v>N/A</v>
      </c>
      <c r="AA1533" s="97" t="str">
        <f>IFERROR(__xludf.DUMMYFUNCTION("""COMPUTED_VALUE"""),"N/A")</f>
        <v>N/A</v>
      </c>
      <c r="AB1533" s="97" t="str">
        <f>IFERROR(__xludf.DUMMYFUNCTION("""COMPUTED_VALUE"""),"N/A")</f>
        <v>N/A</v>
      </c>
      <c r="AC1533" s="97" t="str">
        <f>IFERROR(__xludf.DUMMYFUNCTION("""COMPUTED_VALUE"""),"N/A")</f>
        <v>N/A</v>
      </c>
      <c r="AD1533" s="97" t="str">
        <f>IFERROR(__xludf.DUMMYFUNCTION("""COMPUTED_VALUE"""),"IP20")</f>
        <v>IP20</v>
      </c>
      <c r="AE1533" s="97"/>
      <c r="AF1533" s="97" t="str">
        <f>IFERROR(__xludf.DUMMYFUNCTION("""COMPUTED_VALUE"""),"Autoportante")</f>
        <v>Autoportante</v>
      </c>
      <c r="AG1533" s="97" t="str">
        <f>IFERROR(__xludf.DUMMYFUNCTION("""COMPUTED_VALUE"""),"450 x 320 x 200")</f>
        <v>450 x 320 x 200</v>
      </c>
      <c r="AH1533" s="97" t="str">
        <f>IFERROR(__xludf.DUMMYFUNCTION("""COMPUTED_VALUE"""),"N/A")</f>
        <v>N/A</v>
      </c>
      <c r="AI1533" s="97" t="str">
        <f>IFERROR(__xludf.DUMMYFUNCTION("""COMPUTED_VALUE"""),"N/A")</f>
        <v>N/A</v>
      </c>
      <c r="AJ1533" s="97" t="str">
        <f>IFERROR(__xludf.DUMMYFUNCTION("""COMPUTED_VALUE"""),"N/A")</f>
        <v>N/A</v>
      </c>
      <c r="AK1533" s="97" t="str">
        <f>IFERROR(__xludf.DUMMYFUNCTION("""COMPUTED_VALUE"""),"Aluminio y Acero")</f>
        <v>Aluminio y Acero</v>
      </c>
      <c r="AL1533" s="97" t="str">
        <f>IFERROR(__xludf.DUMMYFUNCTION("""COMPUTED_VALUE"""),"Negro Satinado")</f>
        <v>Negro Satinado</v>
      </c>
      <c r="AM1533" s="97"/>
      <c r="AN1533" s="97"/>
      <c r="AO1533" s="97" t="str">
        <f>IFERROR(__xludf.DUMMYFUNCTION("""COMPUTED_VALUE"""),"2 Años")</f>
        <v>2 Años</v>
      </c>
      <c r="AP1533" s="97" t="str">
        <f>IFERROR(__xludf.DUMMYFUNCTION("""COMPUTED_VALUE"""),"No Aplica")</f>
        <v>No Aplica</v>
      </c>
      <c r="AQ1533" s="97" t="str">
        <f>IFERROR(__xludf.DUMMYFUNCTION("""COMPUTED_VALUE"""),"No Aplica")</f>
        <v>No Aplica</v>
      </c>
      <c r="AR1533" s="97" t="str">
        <f>IFERROR(__xludf.DUMMYFUNCTION("""COMPUTED_VALUE"""),"No Aplica")</f>
        <v>No Aplica</v>
      </c>
      <c r="AS1533" s="97" t="str">
        <f>IFERROR(__xludf.DUMMYFUNCTION("""COMPUTED_VALUE"""),"No Aplica")</f>
        <v>No Aplica</v>
      </c>
      <c r="AT1533" s="97" t="str">
        <f>IFERROR(__xludf.DUMMYFUNCTION("""COMPUTED_VALUE"""),"No Aplica")</f>
        <v>No Aplica</v>
      </c>
      <c r="AU1533" s="97" t="str">
        <f>IFERROR(__xludf.DUMMYFUNCTION("""COMPUTED_VALUE"""),"No Aplica")</f>
        <v>No Aplica</v>
      </c>
      <c r="AV1533" s="97" t="str">
        <f>IFERROR(__xludf.DUMMYFUNCTION("""COMPUTED_VALUE"""),"Accesorio")</f>
        <v>Accesorio</v>
      </c>
      <c r="AW1533" s="97" t="str">
        <f>IFERROR(__xludf.DUMMYFUNCTION("""COMPUTED_VALUE"""),"De Apoyo")</f>
        <v>De Apoyo</v>
      </c>
      <c r="AX1533" s="97" t="str">
        <f>IFERROR(__xludf.DUMMYFUNCTION("""COMPUTED_VALUE"""),"Interior")</f>
        <v>Interior</v>
      </c>
      <c r="AY1533" s="97" t="str">
        <f>IFERROR(__xludf.DUMMYFUNCTION("""COMPUTED_VALUE"""),"-")</f>
        <v>-</v>
      </c>
      <c r="AZ1533" s="97"/>
      <c r="BA1533" s="97"/>
      <c r="BB1533" s="97"/>
      <c r="BC1533" s="97"/>
      <c r="BD1533" s="97" t="str">
        <f>IFERROR(__xludf.DUMMYFUNCTION("""COMPUTED_VALUE"""),"-")</f>
        <v>-</v>
      </c>
      <c r="BE1533" s="97"/>
      <c r="BF1533" s="97"/>
      <c r="BG1533" s="97" t="str">
        <f>IFERROR(__xludf.DUMMYFUNCTION("""COMPUTED_VALUE"""),"REPO 7")</f>
        <v>REPO 7</v>
      </c>
    </row>
    <row r="1534">
      <c r="A1534" s="97">
        <f>IFERROR(__xludf.DUMMYFUNCTION("""COMPUTED_VALUE"""),7717.0)</f>
        <v>7717</v>
      </c>
      <c r="B1534" s="97" t="str">
        <f>IFERROR(__xludf.DUMMYFUNCTION("""COMPUTED_VALUE"""),"POCKET DRIVER ON-OFF III/IV")</f>
        <v>POCKET DRIVER ON-OFF III/IV</v>
      </c>
      <c r="C1534" s="97" t="str">
        <f>IFERROR(__xludf.DUMMYFUNCTION("""COMPUTED_VALUE"""),"ACCESORIO POCKET DRIVER ON-OFF III/IV LEUK")</f>
        <v>ACCESORIO POCKET DRIVER ON-OFF III/IV LEUK</v>
      </c>
      <c r="D1534" s="97">
        <f>IFERROR(__xludf.DUMMYFUNCTION("""COMPUTED_VALUE"""),7.798485461586E12)</f>
        <v>7798485461586</v>
      </c>
      <c r="E1534" s="97"/>
      <c r="F1534" s="97" t="str">
        <f>IFERROR(__xludf.DUMMYFUNCTION("""COMPUTED_VALUE"""),"N/A")</f>
        <v>N/A</v>
      </c>
      <c r="G1534" s="97" t="str">
        <f>IFERROR(__xludf.DUMMYFUNCTION("""COMPUTED_VALUE"""),"N/A")</f>
        <v>N/A</v>
      </c>
      <c r="H1534" s="97" t="str">
        <f>IFERROR(__xludf.DUMMYFUNCTION("""COMPUTED_VALUE"""),"Eaglerise")</f>
        <v>Eaglerise</v>
      </c>
      <c r="I1534" s="97" t="str">
        <f>IFERROR(__xludf.DUMMYFUNCTION("""COMPUTED_VALUE"""),"Si")</f>
        <v>Si</v>
      </c>
      <c r="J1534" s="97" t="str">
        <f>IFERROR(__xludf.DUMMYFUNCTION("""COMPUTED_VALUE"""),"Modelo: LS-6-500 SI E
In: 220-240Vac 0.11A 50/60Hz
Out: 5-12Vdc 500mA 6W
Pf 0.5 Tc 50°C Ta 80°C")</f>
        <v>Modelo: LS-6-500 SI E
In: 220-240Vac 0.11A 50/60Hz
Out: 5-12Vdc 500mA 6W
Pf 0.5 Tc 50°C Ta 80°C</v>
      </c>
      <c r="K1534" s="97" t="str">
        <f>IFERROR(__xludf.DUMMYFUNCTION("""COMPUTED_VALUE"""),"ON/OFF")</f>
        <v>ON/OFF</v>
      </c>
      <c r="L1534" s="97" t="str">
        <f>IFERROR(__xludf.DUMMYFUNCTION("""COMPUTED_VALUE"""),"200-240")</f>
        <v>200-240</v>
      </c>
      <c r="M1534" s="97" t="str">
        <f>IFERROR(__xludf.DUMMYFUNCTION("""COMPUTED_VALUE"""),"50/60")</f>
        <v>50/60</v>
      </c>
      <c r="N1534" s="97" t="str">
        <f>IFERROR(__xludf.DUMMYFUNCTION("""COMPUTED_VALUE"""),"N/A")</f>
        <v>N/A</v>
      </c>
      <c r="O1534" s="97" t="str">
        <f>IFERROR(__xludf.DUMMYFUNCTION("""COMPUTED_VALUE"""),"N/A")</f>
        <v>N/A</v>
      </c>
      <c r="P1534" s="97" t="str">
        <f>IFERROR(__xludf.DUMMYFUNCTION("""COMPUTED_VALUE"""),"N/A")</f>
        <v>N/A</v>
      </c>
      <c r="Q1534" s="97">
        <f>IFERROR(__xludf.DUMMYFUNCTION("""COMPUTED_VALUE"""),0.5)</f>
        <v>0.5</v>
      </c>
      <c r="R1534" s="97" t="str">
        <f>IFERROR(__xludf.DUMMYFUNCTION("""COMPUTED_VALUE"""),"N/A")</f>
        <v>N/A</v>
      </c>
      <c r="S1534" s="97" t="str">
        <f>IFERROR(__xludf.DUMMYFUNCTION("""COMPUTED_VALUE"""),"N/A")</f>
        <v>N/A</v>
      </c>
      <c r="T1534" s="97" t="str">
        <f>IFERROR(__xludf.DUMMYFUNCTION("""COMPUTED_VALUE"""),"N/A")</f>
        <v>N/A</v>
      </c>
      <c r="U1534" s="97" t="str">
        <f>IFERROR(__xludf.DUMMYFUNCTION("""COMPUTED_VALUE"""),"N/A")</f>
        <v>N/A</v>
      </c>
      <c r="V1534" s="97" t="str">
        <f>IFERROR(__xludf.DUMMYFUNCTION("""COMPUTED_VALUE"""),"N/A")</f>
        <v>N/A</v>
      </c>
      <c r="W1534" s="97" t="str">
        <f>IFERROR(__xludf.DUMMYFUNCTION("""COMPUTED_VALUE"""),"N/A")</f>
        <v>N/A</v>
      </c>
      <c r="X1534" s="97" t="str">
        <f>IFERROR(__xludf.DUMMYFUNCTION("""COMPUTED_VALUE"""),"N/A")</f>
        <v>N/A</v>
      </c>
      <c r="Y1534" s="97" t="str">
        <f>IFERROR(__xludf.DUMMYFUNCTION("""COMPUTED_VALUE"""),"N/A")</f>
        <v>N/A</v>
      </c>
      <c r="Z1534" s="97" t="str">
        <f>IFERROR(__xludf.DUMMYFUNCTION("""COMPUTED_VALUE"""),"N/A")</f>
        <v>N/A</v>
      </c>
      <c r="AA1534" s="97" t="str">
        <f>IFERROR(__xludf.DUMMYFUNCTION("""COMPUTED_VALUE"""),"N/A")</f>
        <v>N/A</v>
      </c>
      <c r="AB1534" s="97" t="str">
        <f>IFERROR(__xludf.DUMMYFUNCTION("""COMPUTED_VALUE"""),"N/A")</f>
        <v>N/A</v>
      </c>
      <c r="AC1534" s="97" t="str">
        <f>IFERROR(__xludf.DUMMYFUNCTION("""COMPUTED_VALUE"""),"N/A")</f>
        <v>N/A</v>
      </c>
      <c r="AD1534" s="97" t="str">
        <f>IFERROR(__xludf.DUMMYFUNCTION("""COMPUTED_VALUE"""),"IP20")</f>
        <v>IP20</v>
      </c>
      <c r="AE1534" s="97"/>
      <c r="AF1534" s="97" t="str">
        <f>IFERROR(__xludf.DUMMYFUNCTION("""COMPUTED_VALUE"""),"N/A")</f>
        <v>N/A</v>
      </c>
      <c r="AG1534" s="97"/>
      <c r="AH1534" s="97" t="str">
        <f>IFERROR(__xludf.DUMMYFUNCTION("""COMPUTED_VALUE"""),"N/A")</f>
        <v>N/A</v>
      </c>
      <c r="AI1534" s="97" t="str">
        <f>IFERROR(__xludf.DUMMYFUNCTION("""COMPUTED_VALUE"""),"N/A")</f>
        <v>N/A</v>
      </c>
      <c r="AJ1534" s="97" t="str">
        <f>IFERROR(__xludf.DUMMYFUNCTION("""COMPUTED_VALUE"""),"N/A")</f>
        <v>N/A</v>
      </c>
      <c r="AK1534" s="97" t="str">
        <f>IFERROR(__xludf.DUMMYFUNCTION("""COMPUTED_VALUE"""),"N/A")</f>
        <v>N/A</v>
      </c>
      <c r="AL1534" s="97" t="str">
        <f>IFERROR(__xludf.DUMMYFUNCTION("""COMPUTED_VALUE"""),"N/A")</f>
        <v>N/A</v>
      </c>
      <c r="AM1534" s="97" t="str">
        <f>IFERROR(__xludf.DUMMYFUNCTION("""COMPUTED_VALUE"""),"Tc 50°C Ta 80°C")</f>
        <v>Tc 50°C Ta 80°C</v>
      </c>
      <c r="AN1534" s="97" t="str">
        <f>IFERROR(__xludf.DUMMYFUNCTION("""COMPUTED_VALUE"""),"N/A")</f>
        <v>N/A</v>
      </c>
      <c r="AO1534" s="97" t="str">
        <f>IFERROR(__xludf.DUMMYFUNCTION("""COMPUTED_VALUE"""),"4 Años")</f>
        <v>4 Años</v>
      </c>
      <c r="AP1534" s="97" t="str">
        <f>IFERROR(__xludf.DUMMYFUNCTION("""COMPUTED_VALUE"""),"No Aplica")</f>
        <v>No Aplica</v>
      </c>
      <c r="AQ1534" s="97" t="str">
        <f>IFERROR(__xludf.DUMMYFUNCTION("""COMPUTED_VALUE"""),"No Aplica")</f>
        <v>No Aplica</v>
      </c>
      <c r="AR1534" s="97" t="str">
        <f>IFERROR(__xludf.DUMMYFUNCTION("""COMPUTED_VALUE"""),"No Aplica")</f>
        <v>No Aplica</v>
      </c>
      <c r="AS1534" s="97" t="str">
        <f>IFERROR(__xludf.DUMMYFUNCTION("""COMPUTED_VALUE"""),"No Aplica")</f>
        <v>No Aplica</v>
      </c>
      <c r="AT1534" s="97" t="str">
        <f>IFERROR(__xludf.DUMMYFUNCTION("""COMPUTED_VALUE"""),"No Aplica")</f>
        <v>No Aplica</v>
      </c>
      <c r="AU1534" s="97" t="str">
        <f>IFERROR(__xludf.DUMMYFUNCTION("""COMPUTED_VALUE"""),"No Aplica")</f>
        <v>No Aplica</v>
      </c>
      <c r="AV1534" s="97" t="str">
        <f>IFERROR(__xludf.DUMMYFUNCTION("""COMPUTED_VALUE"""),"Accesorio")</f>
        <v>Accesorio</v>
      </c>
      <c r="AW1534" s="97" t="str">
        <f>IFERROR(__xludf.DUMMYFUNCTION("""COMPUTED_VALUE"""),"De Techo")</f>
        <v>De Techo</v>
      </c>
      <c r="AX1534" s="97" t="str">
        <f>IFERROR(__xludf.DUMMYFUNCTION("""COMPUTED_VALUE"""),"Interior")</f>
        <v>Interior</v>
      </c>
      <c r="AY1534" s="97" t="str">
        <f>IFERROR(__xludf.DUMMYFUNCTION("""COMPUTED_VALUE"""),"Pocket")</f>
        <v>Pocket</v>
      </c>
      <c r="AZ1534" s="97"/>
      <c r="BA1534" s="97"/>
      <c r="BB1534" s="97"/>
      <c r="BC1534" s="97"/>
      <c r="BD1534" s="97" t="str">
        <f>IFERROR(__xludf.DUMMYFUNCTION("""COMPUTED_VALUE"""),"POCKET III y IV")</f>
        <v>POCKET III y IV</v>
      </c>
      <c r="BE1534" s="97" t="str">
        <f>IFERROR(__xludf.DUMMYFUNCTION("""COMPUTED_VALUE"""),"Sin Ficha")</f>
        <v>Sin Ficha</v>
      </c>
      <c r="BF1534" s="97"/>
      <c r="BG1534" s="97" t="str">
        <f>IFERROR(__xludf.DUMMYFUNCTION("""COMPUTED_VALUE"""),"REPO 7")</f>
        <v>REPO 7</v>
      </c>
    </row>
    <row r="1535">
      <c r="A1535" s="97">
        <f>IFERROR(__xludf.DUMMYFUNCTION("""COMPUTED_VALUE"""),7718.0)</f>
        <v>7718</v>
      </c>
      <c r="B1535" s="97" t="str">
        <f>IFERROR(__xludf.DUMMYFUNCTION("""COMPUTED_VALUE"""),"POCKET DRIVER TRIAC III/IV")</f>
        <v>POCKET DRIVER TRIAC III/IV</v>
      </c>
      <c r="C1535" s="97" t="str">
        <f>IFERROR(__xludf.DUMMYFUNCTION("""COMPUTED_VALUE"""),"ACCESORIO POCKET DRIVER TRIAC III/IV LEUK")</f>
        <v>ACCESORIO POCKET DRIVER TRIAC III/IV LEUK</v>
      </c>
      <c r="D1535" s="97">
        <f>IFERROR(__xludf.DUMMYFUNCTION("""COMPUTED_VALUE"""),7.798485461531E12)</f>
        <v>7798485461531</v>
      </c>
      <c r="E1535" s="97"/>
      <c r="F1535" s="97" t="str">
        <f>IFERROR(__xludf.DUMMYFUNCTION("""COMPUTED_VALUE"""),"N/A")</f>
        <v>N/A</v>
      </c>
      <c r="G1535" s="97" t="str">
        <f>IFERROR(__xludf.DUMMYFUNCTION("""COMPUTED_VALUE"""),"N/A")</f>
        <v>N/A</v>
      </c>
      <c r="H1535" s="97" t="str">
        <f>IFERROR(__xludf.DUMMYFUNCTION("""COMPUTED_VALUE"""),"AiDimming")</f>
        <v>AiDimming</v>
      </c>
      <c r="I1535" s="97" t="str">
        <f>IFERROR(__xludf.DUMMYFUNCTION("""COMPUTED_VALUE"""),"Si")</f>
        <v>Si</v>
      </c>
      <c r="J1535" s="97" t="str">
        <f>IFERROR(__xludf.DUMMYFUNCTION("""COMPUTED_VALUE"""),"Modelo: PE594M1550
In: 200-250Vac 0.05A 50/60Hz
Out: 6-15Vdc 500mA 7.5W
Pf 0.94 Tc 85°C Ta 45°C
FlickerFree")</f>
        <v>Modelo: PE594M1550
In: 200-250Vac 0.05A 50/60Hz
Out: 6-15Vdc 500mA 7.5W
Pf 0.94 Tc 85°C Ta 45°C
FlickerFree</v>
      </c>
      <c r="K1535" s="97" t="str">
        <f>IFERROR(__xludf.DUMMYFUNCTION("""COMPUTED_VALUE"""),"TRIAC")</f>
        <v>TRIAC</v>
      </c>
      <c r="L1535" s="97" t="str">
        <f>IFERROR(__xludf.DUMMYFUNCTION("""COMPUTED_VALUE"""),"200-240")</f>
        <v>200-240</v>
      </c>
      <c r="M1535" s="97" t="str">
        <f>IFERROR(__xludf.DUMMYFUNCTION("""COMPUTED_VALUE"""),"50/60")</f>
        <v>50/60</v>
      </c>
      <c r="N1535" s="97" t="str">
        <f>IFERROR(__xludf.DUMMYFUNCTION("""COMPUTED_VALUE"""),"N/A")</f>
        <v>N/A</v>
      </c>
      <c r="O1535" s="97" t="str">
        <f>IFERROR(__xludf.DUMMYFUNCTION("""COMPUTED_VALUE"""),"N/A")</f>
        <v>N/A</v>
      </c>
      <c r="P1535" s="97" t="str">
        <f>IFERROR(__xludf.DUMMYFUNCTION("""COMPUTED_VALUE"""),"N/A")</f>
        <v>N/A</v>
      </c>
      <c r="Q1535" s="97">
        <f>IFERROR(__xludf.DUMMYFUNCTION("""COMPUTED_VALUE"""),0.95)</f>
        <v>0.95</v>
      </c>
      <c r="R1535" s="97" t="str">
        <f>IFERROR(__xludf.DUMMYFUNCTION("""COMPUTED_VALUE"""),"N/A")</f>
        <v>N/A</v>
      </c>
      <c r="S1535" s="97" t="str">
        <f>IFERROR(__xludf.DUMMYFUNCTION("""COMPUTED_VALUE"""),"N/A")</f>
        <v>N/A</v>
      </c>
      <c r="T1535" s="97" t="str">
        <f>IFERROR(__xludf.DUMMYFUNCTION("""COMPUTED_VALUE"""),"N/A")</f>
        <v>N/A</v>
      </c>
      <c r="U1535" s="97" t="str">
        <f>IFERROR(__xludf.DUMMYFUNCTION("""COMPUTED_VALUE"""),"N/A")</f>
        <v>N/A</v>
      </c>
      <c r="V1535" s="97" t="str">
        <f>IFERROR(__xludf.DUMMYFUNCTION("""COMPUTED_VALUE"""),"N/A")</f>
        <v>N/A</v>
      </c>
      <c r="W1535" s="97" t="str">
        <f>IFERROR(__xludf.DUMMYFUNCTION("""COMPUTED_VALUE"""),"N/A")</f>
        <v>N/A</v>
      </c>
      <c r="X1535" s="97" t="str">
        <f>IFERROR(__xludf.DUMMYFUNCTION("""COMPUTED_VALUE"""),"N/A")</f>
        <v>N/A</v>
      </c>
      <c r="Y1535" s="97" t="str">
        <f>IFERROR(__xludf.DUMMYFUNCTION("""COMPUTED_VALUE"""),"N/A")</f>
        <v>N/A</v>
      </c>
      <c r="Z1535" s="97" t="str">
        <f>IFERROR(__xludf.DUMMYFUNCTION("""COMPUTED_VALUE"""),"N/A")</f>
        <v>N/A</v>
      </c>
      <c r="AA1535" s="97" t="str">
        <f>IFERROR(__xludf.DUMMYFUNCTION("""COMPUTED_VALUE"""),"N/A")</f>
        <v>N/A</v>
      </c>
      <c r="AB1535" s="97" t="str">
        <f>IFERROR(__xludf.DUMMYFUNCTION("""COMPUTED_VALUE"""),"N/A")</f>
        <v>N/A</v>
      </c>
      <c r="AC1535" s="97" t="str">
        <f>IFERROR(__xludf.DUMMYFUNCTION("""COMPUTED_VALUE"""),"N/A")</f>
        <v>N/A</v>
      </c>
      <c r="AD1535" s="97" t="str">
        <f>IFERROR(__xludf.DUMMYFUNCTION("""COMPUTED_VALUE"""),"IP20")</f>
        <v>IP20</v>
      </c>
      <c r="AE1535" s="97"/>
      <c r="AF1535" s="97" t="str">
        <f>IFERROR(__xludf.DUMMYFUNCTION("""COMPUTED_VALUE"""),"N/A")</f>
        <v>N/A</v>
      </c>
      <c r="AG1535" s="97"/>
      <c r="AH1535" s="97" t="str">
        <f>IFERROR(__xludf.DUMMYFUNCTION("""COMPUTED_VALUE"""),"N/A")</f>
        <v>N/A</v>
      </c>
      <c r="AI1535" s="97" t="str">
        <f>IFERROR(__xludf.DUMMYFUNCTION("""COMPUTED_VALUE"""),"N/A")</f>
        <v>N/A</v>
      </c>
      <c r="AJ1535" s="97" t="str">
        <f>IFERROR(__xludf.DUMMYFUNCTION("""COMPUTED_VALUE"""),"N/A")</f>
        <v>N/A</v>
      </c>
      <c r="AK1535" s="97" t="str">
        <f>IFERROR(__xludf.DUMMYFUNCTION("""COMPUTED_VALUE"""),"N/A")</f>
        <v>N/A</v>
      </c>
      <c r="AL1535" s="97" t="str">
        <f>IFERROR(__xludf.DUMMYFUNCTION("""COMPUTED_VALUE"""),"N/A")</f>
        <v>N/A</v>
      </c>
      <c r="AM1535" s="97" t="str">
        <f>IFERROR(__xludf.DUMMYFUNCTION("""COMPUTED_VALUE"""),"Tc 85°C Ta 45°C")</f>
        <v>Tc 85°C Ta 45°C</v>
      </c>
      <c r="AN1535" s="97" t="str">
        <f>IFERROR(__xludf.DUMMYFUNCTION("""COMPUTED_VALUE"""),"N/A")</f>
        <v>N/A</v>
      </c>
      <c r="AO1535" s="97" t="str">
        <f>IFERROR(__xludf.DUMMYFUNCTION("""COMPUTED_VALUE"""),"4 Años")</f>
        <v>4 Años</v>
      </c>
      <c r="AP1535" s="97" t="str">
        <f>IFERROR(__xludf.DUMMYFUNCTION("""COMPUTED_VALUE"""),"No Aplica")</f>
        <v>No Aplica</v>
      </c>
      <c r="AQ1535" s="97" t="str">
        <f>IFERROR(__xludf.DUMMYFUNCTION("""COMPUTED_VALUE"""),"No Aplica")</f>
        <v>No Aplica</v>
      </c>
      <c r="AR1535" s="97" t="str">
        <f>IFERROR(__xludf.DUMMYFUNCTION("""COMPUTED_VALUE"""),"No Aplica")</f>
        <v>No Aplica</v>
      </c>
      <c r="AS1535" s="97" t="str">
        <f>IFERROR(__xludf.DUMMYFUNCTION("""COMPUTED_VALUE"""),"No Aplica")</f>
        <v>No Aplica</v>
      </c>
      <c r="AT1535" s="97" t="str">
        <f>IFERROR(__xludf.DUMMYFUNCTION("""COMPUTED_VALUE"""),"No Aplica")</f>
        <v>No Aplica</v>
      </c>
      <c r="AU1535" s="97" t="str">
        <f>IFERROR(__xludf.DUMMYFUNCTION("""COMPUTED_VALUE"""),"No Aplica")</f>
        <v>No Aplica</v>
      </c>
      <c r="AV1535" s="97" t="str">
        <f>IFERROR(__xludf.DUMMYFUNCTION("""COMPUTED_VALUE"""),"Accesorio")</f>
        <v>Accesorio</v>
      </c>
      <c r="AW1535" s="97" t="str">
        <f>IFERROR(__xludf.DUMMYFUNCTION("""COMPUTED_VALUE"""),"De Techo")</f>
        <v>De Techo</v>
      </c>
      <c r="AX1535" s="97" t="str">
        <f>IFERROR(__xludf.DUMMYFUNCTION("""COMPUTED_VALUE"""),"Interior")</f>
        <v>Interior</v>
      </c>
      <c r="AY1535" s="97" t="str">
        <f>IFERROR(__xludf.DUMMYFUNCTION("""COMPUTED_VALUE"""),"Pocket")</f>
        <v>Pocket</v>
      </c>
      <c r="AZ1535" s="97"/>
      <c r="BA1535" s="97"/>
      <c r="BB1535" s="97"/>
      <c r="BC1535" s="97"/>
      <c r="BD1535" s="97" t="str">
        <f>IFERROR(__xludf.DUMMYFUNCTION("""COMPUTED_VALUE"""),"POCKET III y IV")</f>
        <v>POCKET III y IV</v>
      </c>
      <c r="BE1535" s="97" t="str">
        <f>IFERROR(__xludf.DUMMYFUNCTION("""COMPUTED_VALUE"""),"Sin Ficha")</f>
        <v>Sin Ficha</v>
      </c>
      <c r="BF1535" s="97"/>
      <c r="BG1535" s="97" t="str">
        <f>IFERROR(__xludf.DUMMYFUNCTION("""COMPUTED_VALUE"""),"REPO 7")</f>
        <v>REPO 7</v>
      </c>
    </row>
    <row r="1536">
      <c r="A1536" s="97">
        <f>IFERROR(__xludf.DUMMYFUNCTION("""COMPUTED_VALUE"""),7719.0)</f>
        <v>7719</v>
      </c>
      <c r="B1536" s="97" t="str">
        <f>IFERROR(__xludf.DUMMYFUNCTION("""COMPUTED_VALUE"""),"POCKET DRIVER ON-OFF VI")</f>
        <v>POCKET DRIVER ON-OFF VI</v>
      </c>
      <c r="C1536" s="97" t="str">
        <f>IFERROR(__xludf.DUMMYFUNCTION("""COMPUTED_VALUE"""),"ACCESORIO POCKET DRIVER ON-OFF VI LEUK")</f>
        <v>ACCESORIO POCKET DRIVER ON-OFF VI LEUK</v>
      </c>
      <c r="D1536" s="97">
        <f>IFERROR(__xludf.DUMMYFUNCTION("""COMPUTED_VALUE"""),7.798485461548E12)</f>
        <v>7798485461548</v>
      </c>
      <c r="E1536" s="97"/>
      <c r="F1536" s="97" t="str">
        <f>IFERROR(__xludf.DUMMYFUNCTION("""COMPUTED_VALUE"""),"N/A")</f>
        <v>N/A</v>
      </c>
      <c r="G1536" s="97" t="str">
        <f>IFERROR(__xludf.DUMMYFUNCTION("""COMPUTED_VALUE"""),"N/A")</f>
        <v>N/A</v>
      </c>
      <c r="H1536" s="97" t="str">
        <f>IFERROR(__xludf.DUMMYFUNCTION("""COMPUTED_VALUE"""),"Eaglerise")</f>
        <v>Eaglerise</v>
      </c>
      <c r="I1536" s="97" t="str">
        <f>IFERROR(__xludf.DUMMYFUNCTION("""COMPUTED_VALUE"""),"Si")</f>
        <v>Si</v>
      </c>
      <c r="J1536" s="97" t="str">
        <f>IFERROR(__xludf.DUMMYFUNCTION("""COMPUTED_VALUE"""),"Modelo: LS-12-500 SI2 E
In: 220-240Vac 0.16A 50/60Hz
Out: 18-24Vdc 500mA 12W
Pf 0.6 Tc 85°C Ta 45°C")</f>
        <v>Modelo: LS-12-500 SI2 E
In: 220-240Vac 0.16A 50/60Hz
Out: 18-24Vdc 500mA 12W
Pf 0.6 Tc 85°C Ta 45°C</v>
      </c>
      <c r="K1536" s="97" t="str">
        <f>IFERROR(__xludf.DUMMYFUNCTION("""COMPUTED_VALUE"""),"ON/OFF")</f>
        <v>ON/OFF</v>
      </c>
      <c r="L1536" s="97" t="str">
        <f>IFERROR(__xludf.DUMMYFUNCTION("""COMPUTED_VALUE"""),"200-240")</f>
        <v>200-240</v>
      </c>
      <c r="M1536" s="97" t="str">
        <f>IFERROR(__xludf.DUMMYFUNCTION("""COMPUTED_VALUE"""),"50/60")</f>
        <v>50/60</v>
      </c>
      <c r="N1536" s="97" t="str">
        <f>IFERROR(__xludf.DUMMYFUNCTION("""COMPUTED_VALUE"""),"N/A")</f>
        <v>N/A</v>
      </c>
      <c r="O1536" s="97" t="str">
        <f>IFERROR(__xludf.DUMMYFUNCTION("""COMPUTED_VALUE"""),"N/A")</f>
        <v>N/A</v>
      </c>
      <c r="P1536" s="97" t="str">
        <f>IFERROR(__xludf.DUMMYFUNCTION("""COMPUTED_VALUE"""),"N/A")</f>
        <v>N/A</v>
      </c>
      <c r="Q1536" s="97">
        <f>IFERROR(__xludf.DUMMYFUNCTION("""COMPUTED_VALUE"""),0.6)</f>
        <v>0.6</v>
      </c>
      <c r="R1536" s="97" t="str">
        <f>IFERROR(__xludf.DUMMYFUNCTION("""COMPUTED_VALUE"""),"N/A")</f>
        <v>N/A</v>
      </c>
      <c r="S1536" s="97" t="str">
        <f>IFERROR(__xludf.DUMMYFUNCTION("""COMPUTED_VALUE"""),"N/A")</f>
        <v>N/A</v>
      </c>
      <c r="T1536" s="97" t="str">
        <f>IFERROR(__xludf.DUMMYFUNCTION("""COMPUTED_VALUE"""),"N/A")</f>
        <v>N/A</v>
      </c>
      <c r="U1536" s="97" t="str">
        <f>IFERROR(__xludf.DUMMYFUNCTION("""COMPUTED_VALUE"""),"N/A")</f>
        <v>N/A</v>
      </c>
      <c r="V1536" s="97" t="str">
        <f>IFERROR(__xludf.DUMMYFUNCTION("""COMPUTED_VALUE"""),"N/A")</f>
        <v>N/A</v>
      </c>
      <c r="W1536" s="97" t="str">
        <f>IFERROR(__xludf.DUMMYFUNCTION("""COMPUTED_VALUE"""),"N/A")</f>
        <v>N/A</v>
      </c>
      <c r="X1536" s="97" t="str">
        <f>IFERROR(__xludf.DUMMYFUNCTION("""COMPUTED_VALUE"""),"N/A")</f>
        <v>N/A</v>
      </c>
      <c r="Y1536" s="97" t="str">
        <f>IFERROR(__xludf.DUMMYFUNCTION("""COMPUTED_VALUE"""),"N/A")</f>
        <v>N/A</v>
      </c>
      <c r="Z1536" s="97" t="str">
        <f>IFERROR(__xludf.DUMMYFUNCTION("""COMPUTED_VALUE"""),"N/A")</f>
        <v>N/A</v>
      </c>
      <c r="AA1536" s="97" t="str">
        <f>IFERROR(__xludf.DUMMYFUNCTION("""COMPUTED_VALUE"""),"N/A")</f>
        <v>N/A</v>
      </c>
      <c r="AB1536" s="97" t="str">
        <f>IFERROR(__xludf.DUMMYFUNCTION("""COMPUTED_VALUE"""),"N/A")</f>
        <v>N/A</v>
      </c>
      <c r="AC1536" s="97" t="str">
        <f>IFERROR(__xludf.DUMMYFUNCTION("""COMPUTED_VALUE"""),"N/A")</f>
        <v>N/A</v>
      </c>
      <c r="AD1536" s="97" t="str">
        <f>IFERROR(__xludf.DUMMYFUNCTION("""COMPUTED_VALUE"""),"IP20")</f>
        <v>IP20</v>
      </c>
      <c r="AE1536" s="97"/>
      <c r="AF1536" s="97" t="str">
        <f>IFERROR(__xludf.DUMMYFUNCTION("""COMPUTED_VALUE"""),"N/A")</f>
        <v>N/A</v>
      </c>
      <c r="AG1536" s="97"/>
      <c r="AH1536" s="97" t="str">
        <f>IFERROR(__xludf.DUMMYFUNCTION("""COMPUTED_VALUE"""),"N/A")</f>
        <v>N/A</v>
      </c>
      <c r="AI1536" s="97" t="str">
        <f>IFERROR(__xludf.DUMMYFUNCTION("""COMPUTED_VALUE"""),"N/A")</f>
        <v>N/A</v>
      </c>
      <c r="AJ1536" s="97" t="str">
        <f>IFERROR(__xludf.DUMMYFUNCTION("""COMPUTED_VALUE"""),"N/A")</f>
        <v>N/A</v>
      </c>
      <c r="AK1536" s="97" t="str">
        <f>IFERROR(__xludf.DUMMYFUNCTION("""COMPUTED_VALUE"""),"N/A")</f>
        <v>N/A</v>
      </c>
      <c r="AL1536" s="97" t="str">
        <f>IFERROR(__xludf.DUMMYFUNCTION("""COMPUTED_VALUE"""),"N/A")</f>
        <v>N/A</v>
      </c>
      <c r="AM1536" s="97" t="str">
        <f>IFERROR(__xludf.DUMMYFUNCTION("""COMPUTED_VALUE"""),"Tc 85°C Ta 45°C")</f>
        <v>Tc 85°C Ta 45°C</v>
      </c>
      <c r="AN1536" s="97" t="str">
        <f>IFERROR(__xludf.DUMMYFUNCTION("""COMPUTED_VALUE"""),"N/A")</f>
        <v>N/A</v>
      </c>
      <c r="AO1536" s="97" t="str">
        <f>IFERROR(__xludf.DUMMYFUNCTION("""COMPUTED_VALUE"""),"4 Años")</f>
        <v>4 Años</v>
      </c>
      <c r="AP1536" s="97" t="str">
        <f>IFERROR(__xludf.DUMMYFUNCTION("""COMPUTED_VALUE"""),"No Aplica")</f>
        <v>No Aplica</v>
      </c>
      <c r="AQ1536" s="97" t="str">
        <f>IFERROR(__xludf.DUMMYFUNCTION("""COMPUTED_VALUE"""),"No Aplica")</f>
        <v>No Aplica</v>
      </c>
      <c r="AR1536" s="97" t="str">
        <f>IFERROR(__xludf.DUMMYFUNCTION("""COMPUTED_VALUE"""),"No Aplica")</f>
        <v>No Aplica</v>
      </c>
      <c r="AS1536" s="97" t="str">
        <f>IFERROR(__xludf.DUMMYFUNCTION("""COMPUTED_VALUE"""),"No Aplica")</f>
        <v>No Aplica</v>
      </c>
      <c r="AT1536" s="97" t="str">
        <f>IFERROR(__xludf.DUMMYFUNCTION("""COMPUTED_VALUE"""),"No Aplica")</f>
        <v>No Aplica</v>
      </c>
      <c r="AU1536" s="97" t="str">
        <f>IFERROR(__xludf.DUMMYFUNCTION("""COMPUTED_VALUE"""),"No Aplica")</f>
        <v>No Aplica</v>
      </c>
      <c r="AV1536" s="97" t="str">
        <f>IFERROR(__xludf.DUMMYFUNCTION("""COMPUTED_VALUE"""),"Accesorio")</f>
        <v>Accesorio</v>
      </c>
      <c r="AW1536" s="97" t="str">
        <f>IFERROR(__xludf.DUMMYFUNCTION("""COMPUTED_VALUE"""),"De Techo")</f>
        <v>De Techo</v>
      </c>
      <c r="AX1536" s="97" t="str">
        <f>IFERROR(__xludf.DUMMYFUNCTION("""COMPUTED_VALUE"""),"Interior")</f>
        <v>Interior</v>
      </c>
      <c r="AY1536" s="97" t="str">
        <f>IFERROR(__xludf.DUMMYFUNCTION("""COMPUTED_VALUE"""),"Pocket")</f>
        <v>Pocket</v>
      </c>
      <c r="AZ1536" s="97"/>
      <c r="BA1536" s="97"/>
      <c r="BB1536" s="97"/>
      <c r="BC1536" s="97"/>
      <c r="BD1536" s="97"/>
      <c r="BE1536" s="97" t="str">
        <f>IFERROR(__xludf.DUMMYFUNCTION("""COMPUTED_VALUE"""),"Sin Ficha")</f>
        <v>Sin Ficha</v>
      </c>
      <c r="BF1536" s="97"/>
      <c r="BG1536" s="97" t="str">
        <f>IFERROR(__xludf.DUMMYFUNCTION("""COMPUTED_VALUE"""),"REPO 7")</f>
        <v>REPO 7</v>
      </c>
    </row>
    <row r="1537">
      <c r="A1537" s="97">
        <f>IFERROR(__xludf.DUMMYFUNCTION("""COMPUTED_VALUE"""),7720.0)</f>
        <v>7720</v>
      </c>
      <c r="B1537" s="97" t="str">
        <f>IFERROR(__xludf.DUMMYFUNCTION("""COMPUTED_VALUE"""),"POCKET DRIVER TRIAC VI")</f>
        <v>POCKET DRIVER TRIAC VI</v>
      </c>
      <c r="C1537" s="97" t="str">
        <f>IFERROR(__xludf.DUMMYFUNCTION("""COMPUTED_VALUE"""),"ACCESORIO POCKET DRIVER TRIAC VI LEUK")</f>
        <v>ACCESORIO POCKET DRIVER TRIAC VI LEUK</v>
      </c>
      <c r="D1537" s="97">
        <f>IFERROR(__xludf.DUMMYFUNCTION("""COMPUTED_VALUE"""),7.798485461555E12)</f>
        <v>7798485461555</v>
      </c>
      <c r="E1537" s="97"/>
      <c r="F1537" s="97" t="str">
        <f>IFERROR(__xludf.DUMMYFUNCTION("""COMPUTED_VALUE"""),"N/A")</f>
        <v>N/A</v>
      </c>
      <c r="G1537" s="97" t="str">
        <f>IFERROR(__xludf.DUMMYFUNCTION("""COMPUTED_VALUE"""),"N/A")</f>
        <v>N/A</v>
      </c>
      <c r="H1537" s="97" t="str">
        <f>IFERROR(__xludf.DUMMYFUNCTION("""COMPUTED_VALUE"""),"AiDimming")</f>
        <v>AiDimming</v>
      </c>
      <c r="I1537" s="97" t="str">
        <f>IFERROR(__xludf.DUMMYFUNCTION("""COMPUTED_VALUE"""),"Si")</f>
        <v>Si</v>
      </c>
      <c r="J1537" s="97" t="str">
        <f>IFERROR(__xludf.DUMMYFUNCTION("""COMPUTED_VALUE"""),"Modelo: PE594M2450
In: 200-250Vac 0.07A 50/60Hz
Out: 12-24Vdc 450mA 10.8W
Pf 0.94 Tc 85°C Ta 45°C
FlickerFree")</f>
        <v>Modelo: PE594M2450
In: 200-250Vac 0.07A 50/60Hz
Out: 12-24Vdc 450mA 10.8W
Pf 0.94 Tc 85°C Ta 45°C
FlickerFree</v>
      </c>
      <c r="K1537" s="97" t="str">
        <f>IFERROR(__xludf.DUMMYFUNCTION("""COMPUTED_VALUE"""),"TRIAC")</f>
        <v>TRIAC</v>
      </c>
      <c r="L1537" s="97" t="str">
        <f>IFERROR(__xludf.DUMMYFUNCTION("""COMPUTED_VALUE"""),"200-240")</f>
        <v>200-240</v>
      </c>
      <c r="M1537" s="97" t="str">
        <f>IFERROR(__xludf.DUMMYFUNCTION("""COMPUTED_VALUE"""),"50/60")</f>
        <v>50/60</v>
      </c>
      <c r="N1537" s="97" t="str">
        <f>IFERROR(__xludf.DUMMYFUNCTION("""COMPUTED_VALUE"""),"N/A")</f>
        <v>N/A</v>
      </c>
      <c r="O1537" s="97" t="str">
        <f>IFERROR(__xludf.DUMMYFUNCTION("""COMPUTED_VALUE"""),"N/A")</f>
        <v>N/A</v>
      </c>
      <c r="P1537" s="97" t="str">
        <f>IFERROR(__xludf.DUMMYFUNCTION("""COMPUTED_VALUE"""),"N/A")</f>
        <v>N/A</v>
      </c>
      <c r="Q1537" s="97">
        <f>IFERROR(__xludf.DUMMYFUNCTION("""COMPUTED_VALUE"""),0.95)</f>
        <v>0.95</v>
      </c>
      <c r="R1537" s="97" t="str">
        <f>IFERROR(__xludf.DUMMYFUNCTION("""COMPUTED_VALUE"""),"N/A")</f>
        <v>N/A</v>
      </c>
      <c r="S1537" s="97" t="str">
        <f>IFERROR(__xludf.DUMMYFUNCTION("""COMPUTED_VALUE"""),"N/A")</f>
        <v>N/A</v>
      </c>
      <c r="T1537" s="97" t="str">
        <f>IFERROR(__xludf.DUMMYFUNCTION("""COMPUTED_VALUE"""),"N/A")</f>
        <v>N/A</v>
      </c>
      <c r="U1537" s="97" t="str">
        <f>IFERROR(__xludf.DUMMYFUNCTION("""COMPUTED_VALUE"""),"N/A")</f>
        <v>N/A</v>
      </c>
      <c r="V1537" s="97" t="str">
        <f>IFERROR(__xludf.DUMMYFUNCTION("""COMPUTED_VALUE"""),"N/A")</f>
        <v>N/A</v>
      </c>
      <c r="W1537" s="97" t="str">
        <f>IFERROR(__xludf.DUMMYFUNCTION("""COMPUTED_VALUE"""),"N/A")</f>
        <v>N/A</v>
      </c>
      <c r="X1537" s="97" t="str">
        <f>IFERROR(__xludf.DUMMYFUNCTION("""COMPUTED_VALUE"""),"N/A")</f>
        <v>N/A</v>
      </c>
      <c r="Y1537" s="97" t="str">
        <f>IFERROR(__xludf.DUMMYFUNCTION("""COMPUTED_VALUE"""),"N/A")</f>
        <v>N/A</v>
      </c>
      <c r="Z1537" s="97" t="str">
        <f>IFERROR(__xludf.DUMMYFUNCTION("""COMPUTED_VALUE"""),"N/A")</f>
        <v>N/A</v>
      </c>
      <c r="AA1537" s="97" t="str">
        <f>IFERROR(__xludf.DUMMYFUNCTION("""COMPUTED_VALUE"""),"N/A")</f>
        <v>N/A</v>
      </c>
      <c r="AB1537" s="97" t="str">
        <f>IFERROR(__xludf.DUMMYFUNCTION("""COMPUTED_VALUE"""),"N/A")</f>
        <v>N/A</v>
      </c>
      <c r="AC1537" s="97" t="str">
        <f>IFERROR(__xludf.DUMMYFUNCTION("""COMPUTED_VALUE"""),"N/A")</f>
        <v>N/A</v>
      </c>
      <c r="AD1537" s="97" t="str">
        <f>IFERROR(__xludf.DUMMYFUNCTION("""COMPUTED_VALUE"""),"IP20")</f>
        <v>IP20</v>
      </c>
      <c r="AE1537" s="97"/>
      <c r="AF1537" s="97" t="str">
        <f>IFERROR(__xludf.DUMMYFUNCTION("""COMPUTED_VALUE"""),"N/A")</f>
        <v>N/A</v>
      </c>
      <c r="AG1537" s="97"/>
      <c r="AH1537" s="97" t="str">
        <f>IFERROR(__xludf.DUMMYFUNCTION("""COMPUTED_VALUE"""),"N/A")</f>
        <v>N/A</v>
      </c>
      <c r="AI1537" s="97" t="str">
        <f>IFERROR(__xludf.DUMMYFUNCTION("""COMPUTED_VALUE"""),"N/A")</f>
        <v>N/A</v>
      </c>
      <c r="AJ1537" s="97" t="str">
        <f>IFERROR(__xludf.DUMMYFUNCTION("""COMPUTED_VALUE"""),"N/A")</f>
        <v>N/A</v>
      </c>
      <c r="AK1537" s="97" t="str">
        <f>IFERROR(__xludf.DUMMYFUNCTION("""COMPUTED_VALUE"""),"N/A")</f>
        <v>N/A</v>
      </c>
      <c r="AL1537" s="97" t="str">
        <f>IFERROR(__xludf.DUMMYFUNCTION("""COMPUTED_VALUE"""),"N/A")</f>
        <v>N/A</v>
      </c>
      <c r="AM1537" s="97" t="str">
        <f>IFERROR(__xludf.DUMMYFUNCTION("""COMPUTED_VALUE"""),"Tc 85°C Ta 45°C")</f>
        <v>Tc 85°C Ta 45°C</v>
      </c>
      <c r="AN1537" s="97" t="str">
        <f>IFERROR(__xludf.DUMMYFUNCTION("""COMPUTED_VALUE"""),"N/A")</f>
        <v>N/A</v>
      </c>
      <c r="AO1537" s="97" t="str">
        <f>IFERROR(__xludf.DUMMYFUNCTION("""COMPUTED_VALUE"""),"4 Años")</f>
        <v>4 Años</v>
      </c>
      <c r="AP1537" s="97" t="str">
        <f>IFERROR(__xludf.DUMMYFUNCTION("""COMPUTED_VALUE"""),"No Aplica")</f>
        <v>No Aplica</v>
      </c>
      <c r="AQ1537" s="97" t="str">
        <f>IFERROR(__xludf.DUMMYFUNCTION("""COMPUTED_VALUE"""),"No Aplica")</f>
        <v>No Aplica</v>
      </c>
      <c r="AR1537" s="97" t="str">
        <f>IFERROR(__xludf.DUMMYFUNCTION("""COMPUTED_VALUE"""),"No Aplica")</f>
        <v>No Aplica</v>
      </c>
      <c r="AS1537" s="97" t="str">
        <f>IFERROR(__xludf.DUMMYFUNCTION("""COMPUTED_VALUE"""),"No Aplica")</f>
        <v>No Aplica</v>
      </c>
      <c r="AT1537" s="97" t="str">
        <f>IFERROR(__xludf.DUMMYFUNCTION("""COMPUTED_VALUE"""),"No Aplica")</f>
        <v>No Aplica</v>
      </c>
      <c r="AU1537" s="97" t="str">
        <f>IFERROR(__xludf.DUMMYFUNCTION("""COMPUTED_VALUE"""),"No Aplica")</f>
        <v>No Aplica</v>
      </c>
      <c r="AV1537" s="97" t="str">
        <f>IFERROR(__xludf.DUMMYFUNCTION("""COMPUTED_VALUE"""),"Accesorio")</f>
        <v>Accesorio</v>
      </c>
      <c r="AW1537" s="97" t="str">
        <f>IFERROR(__xludf.DUMMYFUNCTION("""COMPUTED_VALUE"""),"De Techo")</f>
        <v>De Techo</v>
      </c>
      <c r="AX1537" s="97" t="str">
        <f>IFERROR(__xludf.DUMMYFUNCTION("""COMPUTED_VALUE"""),"Interior")</f>
        <v>Interior</v>
      </c>
      <c r="AY1537" s="97" t="str">
        <f>IFERROR(__xludf.DUMMYFUNCTION("""COMPUTED_VALUE"""),"Pocket")</f>
        <v>Pocket</v>
      </c>
      <c r="AZ1537" s="97"/>
      <c r="BA1537" s="97"/>
      <c r="BB1537" s="97"/>
      <c r="BC1537" s="97"/>
      <c r="BD1537" s="97"/>
      <c r="BE1537" s="97" t="str">
        <f>IFERROR(__xludf.DUMMYFUNCTION("""COMPUTED_VALUE"""),"Sin Ficha")</f>
        <v>Sin Ficha</v>
      </c>
      <c r="BF1537" s="97"/>
      <c r="BG1537" s="97" t="str">
        <f>IFERROR(__xludf.DUMMYFUNCTION("""COMPUTED_VALUE"""),"REPO 7")</f>
        <v>REPO 7</v>
      </c>
    </row>
    <row r="1538">
      <c r="A1538" s="97">
        <f>IFERROR(__xludf.DUMMYFUNCTION("""COMPUTED_VALUE"""),7721.0)</f>
        <v>7721</v>
      </c>
      <c r="B1538" s="97" t="str">
        <f>IFERROR(__xludf.DUMMYFUNCTION("""COMPUTED_VALUE"""),"POCKET DRIVER ON-OFF XII")</f>
        <v>POCKET DRIVER ON-OFF XII</v>
      </c>
      <c r="C1538" s="97" t="str">
        <f>IFERROR(__xludf.DUMMYFUNCTION("""COMPUTED_VALUE"""),"ACCESORIO POCKET DRIVER ON-OFF XII LEUK")</f>
        <v>ACCESORIO POCKET DRIVER ON-OFF XII LEUK</v>
      </c>
      <c r="D1538" s="97">
        <f>IFERROR(__xludf.DUMMYFUNCTION("""COMPUTED_VALUE"""),7.798485461562E12)</f>
        <v>7798485461562</v>
      </c>
      <c r="E1538" s="97"/>
      <c r="F1538" s="97" t="str">
        <f>IFERROR(__xludf.DUMMYFUNCTION("""COMPUTED_VALUE"""),"N/A")</f>
        <v>N/A</v>
      </c>
      <c r="G1538" s="97" t="str">
        <f>IFERROR(__xludf.DUMMYFUNCTION("""COMPUTED_VALUE"""),"N/A")</f>
        <v>N/A</v>
      </c>
      <c r="H1538" s="97" t="str">
        <f>IFERROR(__xludf.DUMMYFUNCTION("""COMPUTED_VALUE"""),"Lifud")</f>
        <v>Lifud</v>
      </c>
      <c r="I1538" s="97" t="str">
        <f>IFERROR(__xludf.DUMMYFUNCTION("""COMPUTED_VALUE"""),"Si")</f>
        <v>Si</v>
      </c>
      <c r="J1538" s="97" t="str">
        <f>IFERROR(__xludf.DUMMYFUNCTION("""COMPUTED_VALUE"""),"Modelo: LF-022S0500H
In: 220-240Vac 0.22A 50/60Hz
Out: 27-40Vdc 500mA 22.8W
Pf 0.5 Tc 90°C Ta 50°C")</f>
        <v>Modelo: LF-022S0500H
In: 220-240Vac 0.22A 50/60Hz
Out: 27-40Vdc 500mA 22.8W
Pf 0.5 Tc 90°C Ta 50°C</v>
      </c>
      <c r="K1538" s="97" t="str">
        <f>IFERROR(__xludf.DUMMYFUNCTION("""COMPUTED_VALUE"""),"ON/OFF")</f>
        <v>ON/OFF</v>
      </c>
      <c r="L1538" s="97" t="str">
        <f>IFERROR(__xludf.DUMMYFUNCTION("""COMPUTED_VALUE"""),"200-240")</f>
        <v>200-240</v>
      </c>
      <c r="M1538" s="97" t="str">
        <f>IFERROR(__xludf.DUMMYFUNCTION("""COMPUTED_VALUE"""),"50/60")</f>
        <v>50/60</v>
      </c>
      <c r="N1538" s="97" t="str">
        <f>IFERROR(__xludf.DUMMYFUNCTION("""COMPUTED_VALUE"""),"N/A")</f>
        <v>N/A</v>
      </c>
      <c r="O1538" s="97" t="str">
        <f>IFERROR(__xludf.DUMMYFUNCTION("""COMPUTED_VALUE"""),"N/A")</f>
        <v>N/A</v>
      </c>
      <c r="P1538" s="97" t="str">
        <f>IFERROR(__xludf.DUMMYFUNCTION("""COMPUTED_VALUE"""),"N/A")</f>
        <v>N/A</v>
      </c>
      <c r="Q1538" s="97">
        <f>IFERROR(__xludf.DUMMYFUNCTION("""COMPUTED_VALUE"""),0.5)</f>
        <v>0.5</v>
      </c>
      <c r="R1538" s="97" t="str">
        <f>IFERROR(__xludf.DUMMYFUNCTION("""COMPUTED_VALUE"""),"N/A")</f>
        <v>N/A</v>
      </c>
      <c r="S1538" s="97" t="str">
        <f>IFERROR(__xludf.DUMMYFUNCTION("""COMPUTED_VALUE"""),"N/A")</f>
        <v>N/A</v>
      </c>
      <c r="T1538" s="97" t="str">
        <f>IFERROR(__xludf.DUMMYFUNCTION("""COMPUTED_VALUE"""),"N/A")</f>
        <v>N/A</v>
      </c>
      <c r="U1538" s="97" t="str">
        <f>IFERROR(__xludf.DUMMYFUNCTION("""COMPUTED_VALUE"""),"N/A")</f>
        <v>N/A</v>
      </c>
      <c r="V1538" s="97" t="str">
        <f>IFERROR(__xludf.DUMMYFUNCTION("""COMPUTED_VALUE"""),"N/A")</f>
        <v>N/A</v>
      </c>
      <c r="W1538" s="97" t="str">
        <f>IFERROR(__xludf.DUMMYFUNCTION("""COMPUTED_VALUE"""),"N/A")</f>
        <v>N/A</v>
      </c>
      <c r="X1538" s="97" t="str">
        <f>IFERROR(__xludf.DUMMYFUNCTION("""COMPUTED_VALUE"""),"N/A")</f>
        <v>N/A</v>
      </c>
      <c r="Y1538" s="97" t="str">
        <f>IFERROR(__xludf.DUMMYFUNCTION("""COMPUTED_VALUE"""),"N/A")</f>
        <v>N/A</v>
      </c>
      <c r="Z1538" s="97" t="str">
        <f>IFERROR(__xludf.DUMMYFUNCTION("""COMPUTED_VALUE"""),"N/A")</f>
        <v>N/A</v>
      </c>
      <c r="AA1538" s="97" t="str">
        <f>IFERROR(__xludf.DUMMYFUNCTION("""COMPUTED_VALUE"""),"N/A")</f>
        <v>N/A</v>
      </c>
      <c r="AB1538" s="97" t="str">
        <f>IFERROR(__xludf.DUMMYFUNCTION("""COMPUTED_VALUE"""),"N/A")</f>
        <v>N/A</v>
      </c>
      <c r="AC1538" s="97" t="str">
        <f>IFERROR(__xludf.DUMMYFUNCTION("""COMPUTED_VALUE"""),"N/A")</f>
        <v>N/A</v>
      </c>
      <c r="AD1538" s="97" t="str">
        <f>IFERROR(__xludf.DUMMYFUNCTION("""COMPUTED_VALUE"""),"IP20")</f>
        <v>IP20</v>
      </c>
      <c r="AE1538" s="97"/>
      <c r="AF1538" s="97" t="str">
        <f>IFERROR(__xludf.DUMMYFUNCTION("""COMPUTED_VALUE"""),"N/A")</f>
        <v>N/A</v>
      </c>
      <c r="AG1538" s="97"/>
      <c r="AH1538" s="97" t="str">
        <f>IFERROR(__xludf.DUMMYFUNCTION("""COMPUTED_VALUE"""),"N/A")</f>
        <v>N/A</v>
      </c>
      <c r="AI1538" s="97" t="str">
        <f>IFERROR(__xludf.DUMMYFUNCTION("""COMPUTED_VALUE"""),"N/A")</f>
        <v>N/A</v>
      </c>
      <c r="AJ1538" s="97" t="str">
        <f>IFERROR(__xludf.DUMMYFUNCTION("""COMPUTED_VALUE"""),"N/A")</f>
        <v>N/A</v>
      </c>
      <c r="AK1538" s="97" t="str">
        <f>IFERROR(__xludf.DUMMYFUNCTION("""COMPUTED_VALUE"""),"N/A")</f>
        <v>N/A</v>
      </c>
      <c r="AL1538" s="97" t="str">
        <f>IFERROR(__xludf.DUMMYFUNCTION("""COMPUTED_VALUE"""),"N/A")</f>
        <v>N/A</v>
      </c>
      <c r="AM1538" s="97" t="str">
        <f>IFERROR(__xludf.DUMMYFUNCTION("""COMPUTED_VALUE"""),"Tc 90°C Ta 50°C")</f>
        <v>Tc 90°C Ta 50°C</v>
      </c>
      <c r="AN1538" s="97" t="str">
        <f>IFERROR(__xludf.DUMMYFUNCTION("""COMPUTED_VALUE"""),"N/A")</f>
        <v>N/A</v>
      </c>
      <c r="AO1538" s="97" t="str">
        <f>IFERROR(__xludf.DUMMYFUNCTION("""COMPUTED_VALUE"""),"4 Años")</f>
        <v>4 Años</v>
      </c>
      <c r="AP1538" s="97" t="str">
        <f>IFERROR(__xludf.DUMMYFUNCTION("""COMPUTED_VALUE"""),"No Aplica")</f>
        <v>No Aplica</v>
      </c>
      <c r="AQ1538" s="97" t="str">
        <f>IFERROR(__xludf.DUMMYFUNCTION("""COMPUTED_VALUE"""),"No Aplica")</f>
        <v>No Aplica</v>
      </c>
      <c r="AR1538" s="97" t="str">
        <f>IFERROR(__xludf.DUMMYFUNCTION("""COMPUTED_VALUE"""),"No Aplica")</f>
        <v>No Aplica</v>
      </c>
      <c r="AS1538" s="97" t="str">
        <f>IFERROR(__xludf.DUMMYFUNCTION("""COMPUTED_VALUE"""),"No Aplica")</f>
        <v>No Aplica</v>
      </c>
      <c r="AT1538" s="97" t="str">
        <f>IFERROR(__xludf.DUMMYFUNCTION("""COMPUTED_VALUE"""),"No Aplica")</f>
        <v>No Aplica</v>
      </c>
      <c r="AU1538" s="97" t="str">
        <f>IFERROR(__xludf.DUMMYFUNCTION("""COMPUTED_VALUE"""),"No Aplica")</f>
        <v>No Aplica</v>
      </c>
      <c r="AV1538" s="97" t="str">
        <f>IFERROR(__xludf.DUMMYFUNCTION("""COMPUTED_VALUE"""),"Accesorio")</f>
        <v>Accesorio</v>
      </c>
      <c r="AW1538" s="97" t="str">
        <f>IFERROR(__xludf.DUMMYFUNCTION("""COMPUTED_VALUE"""),"De Techo")</f>
        <v>De Techo</v>
      </c>
      <c r="AX1538" s="97" t="str">
        <f>IFERROR(__xludf.DUMMYFUNCTION("""COMPUTED_VALUE"""),"Interior")</f>
        <v>Interior</v>
      </c>
      <c r="AY1538" s="97" t="str">
        <f>IFERROR(__xludf.DUMMYFUNCTION("""COMPUTED_VALUE"""),"Pocket")</f>
        <v>Pocket</v>
      </c>
      <c r="AZ1538" s="97"/>
      <c r="BA1538" s="97"/>
      <c r="BB1538" s="97"/>
      <c r="BC1538" s="97"/>
      <c r="BD1538" s="97"/>
      <c r="BE1538" s="97" t="str">
        <f>IFERROR(__xludf.DUMMYFUNCTION("""COMPUTED_VALUE"""),"Sin Ficha")</f>
        <v>Sin Ficha</v>
      </c>
      <c r="BF1538" s="97"/>
      <c r="BG1538" s="97" t="str">
        <f>IFERROR(__xludf.DUMMYFUNCTION("""COMPUTED_VALUE"""),"REPO 7")</f>
        <v>REPO 7</v>
      </c>
    </row>
    <row r="1539">
      <c r="A1539" s="97">
        <f>IFERROR(__xludf.DUMMYFUNCTION("""COMPUTED_VALUE"""),7722.0)</f>
        <v>7722</v>
      </c>
      <c r="B1539" s="97" t="str">
        <f>IFERROR(__xludf.DUMMYFUNCTION("""COMPUTED_VALUE"""),"POCKET DRIVER TRIAC XII")</f>
        <v>POCKET DRIVER TRIAC XII</v>
      </c>
      <c r="C1539" s="97" t="str">
        <f>IFERROR(__xludf.DUMMYFUNCTION("""COMPUTED_VALUE"""),"ACCESORIO POCKET DRIVER TRIAC XII LEUK")</f>
        <v>ACCESORIO POCKET DRIVER TRIAC XII LEUK</v>
      </c>
      <c r="D1539" s="97">
        <f>IFERROR(__xludf.DUMMYFUNCTION("""COMPUTED_VALUE"""),7.798485461579E12)</f>
        <v>7798485461579</v>
      </c>
      <c r="E1539" s="97"/>
      <c r="F1539" s="97" t="str">
        <f>IFERROR(__xludf.DUMMYFUNCTION("""COMPUTED_VALUE"""),"N/A")</f>
        <v>N/A</v>
      </c>
      <c r="G1539" s="97" t="str">
        <f>IFERROR(__xludf.DUMMYFUNCTION("""COMPUTED_VALUE"""),"N/A")</f>
        <v>N/A</v>
      </c>
      <c r="H1539" s="97" t="str">
        <f>IFERROR(__xludf.DUMMYFUNCTION("""COMPUTED_VALUE"""),"AiDimming")</f>
        <v>AiDimming</v>
      </c>
      <c r="I1539" s="97" t="str">
        <f>IFERROR(__xludf.DUMMYFUNCTION("""COMPUTED_VALUE"""),"Si")</f>
        <v>Si</v>
      </c>
      <c r="J1539" s="97" t="str">
        <f>IFERROR(__xludf.DUMMYFUNCTION("""COMPUTED_VALUE"""),"Modelo: PE-M20TA42
In: 200-250Vac 0.14A 50/60Hz
Out: 26-42Vdc 400a550(450)mA 23.1W
Pf 0.94 Tc 85°C Ta 45°C FlickerFree")</f>
        <v>Modelo: PE-M20TA42
In: 200-250Vac 0.14A 50/60Hz
Out: 26-42Vdc 400a550(450)mA 23.1W
Pf 0.94 Tc 85°C Ta 45°C FlickerFree</v>
      </c>
      <c r="K1539" s="97" t="str">
        <f>IFERROR(__xludf.DUMMYFUNCTION("""COMPUTED_VALUE"""),"TRIAC")</f>
        <v>TRIAC</v>
      </c>
      <c r="L1539" s="97" t="str">
        <f>IFERROR(__xludf.DUMMYFUNCTION("""COMPUTED_VALUE"""),"200-240")</f>
        <v>200-240</v>
      </c>
      <c r="M1539" s="97" t="str">
        <f>IFERROR(__xludf.DUMMYFUNCTION("""COMPUTED_VALUE"""),"50/60")</f>
        <v>50/60</v>
      </c>
      <c r="N1539" s="97" t="str">
        <f>IFERROR(__xludf.DUMMYFUNCTION("""COMPUTED_VALUE"""),"N/A")</f>
        <v>N/A</v>
      </c>
      <c r="O1539" s="97" t="str">
        <f>IFERROR(__xludf.DUMMYFUNCTION("""COMPUTED_VALUE"""),"N/A")</f>
        <v>N/A</v>
      </c>
      <c r="P1539" s="97" t="str">
        <f>IFERROR(__xludf.DUMMYFUNCTION("""COMPUTED_VALUE"""),"N/A")</f>
        <v>N/A</v>
      </c>
      <c r="Q1539" s="97">
        <f>IFERROR(__xludf.DUMMYFUNCTION("""COMPUTED_VALUE"""),0.95)</f>
        <v>0.95</v>
      </c>
      <c r="R1539" s="97" t="str">
        <f>IFERROR(__xludf.DUMMYFUNCTION("""COMPUTED_VALUE"""),"N/A")</f>
        <v>N/A</v>
      </c>
      <c r="S1539" s="97" t="str">
        <f>IFERROR(__xludf.DUMMYFUNCTION("""COMPUTED_VALUE"""),"N/A")</f>
        <v>N/A</v>
      </c>
      <c r="T1539" s="97" t="str">
        <f>IFERROR(__xludf.DUMMYFUNCTION("""COMPUTED_VALUE"""),"N/A")</f>
        <v>N/A</v>
      </c>
      <c r="U1539" s="97" t="str">
        <f>IFERROR(__xludf.DUMMYFUNCTION("""COMPUTED_VALUE"""),"N/A")</f>
        <v>N/A</v>
      </c>
      <c r="V1539" s="97" t="str">
        <f>IFERROR(__xludf.DUMMYFUNCTION("""COMPUTED_VALUE"""),"N/A")</f>
        <v>N/A</v>
      </c>
      <c r="W1539" s="97" t="str">
        <f>IFERROR(__xludf.DUMMYFUNCTION("""COMPUTED_VALUE"""),"N/A")</f>
        <v>N/A</v>
      </c>
      <c r="X1539" s="97" t="str">
        <f>IFERROR(__xludf.DUMMYFUNCTION("""COMPUTED_VALUE"""),"N/A")</f>
        <v>N/A</v>
      </c>
      <c r="Y1539" s="97" t="str">
        <f>IFERROR(__xludf.DUMMYFUNCTION("""COMPUTED_VALUE"""),"N/A")</f>
        <v>N/A</v>
      </c>
      <c r="Z1539" s="97" t="str">
        <f>IFERROR(__xludf.DUMMYFUNCTION("""COMPUTED_VALUE"""),"N/A")</f>
        <v>N/A</v>
      </c>
      <c r="AA1539" s="97" t="str">
        <f>IFERROR(__xludf.DUMMYFUNCTION("""COMPUTED_VALUE"""),"N/A")</f>
        <v>N/A</v>
      </c>
      <c r="AB1539" s="97" t="str">
        <f>IFERROR(__xludf.DUMMYFUNCTION("""COMPUTED_VALUE"""),"N/A")</f>
        <v>N/A</v>
      </c>
      <c r="AC1539" s="97" t="str">
        <f>IFERROR(__xludf.DUMMYFUNCTION("""COMPUTED_VALUE"""),"N/A")</f>
        <v>N/A</v>
      </c>
      <c r="AD1539" s="97" t="str">
        <f>IFERROR(__xludf.DUMMYFUNCTION("""COMPUTED_VALUE"""),"IP20")</f>
        <v>IP20</v>
      </c>
      <c r="AE1539" s="97"/>
      <c r="AF1539" s="97" t="str">
        <f>IFERROR(__xludf.DUMMYFUNCTION("""COMPUTED_VALUE"""),"N/A")</f>
        <v>N/A</v>
      </c>
      <c r="AG1539" s="97"/>
      <c r="AH1539" s="97" t="str">
        <f>IFERROR(__xludf.DUMMYFUNCTION("""COMPUTED_VALUE"""),"N/A")</f>
        <v>N/A</v>
      </c>
      <c r="AI1539" s="97" t="str">
        <f>IFERROR(__xludf.DUMMYFUNCTION("""COMPUTED_VALUE"""),"N/A")</f>
        <v>N/A</v>
      </c>
      <c r="AJ1539" s="97" t="str">
        <f>IFERROR(__xludf.DUMMYFUNCTION("""COMPUTED_VALUE"""),"N/A")</f>
        <v>N/A</v>
      </c>
      <c r="AK1539" s="97" t="str">
        <f>IFERROR(__xludf.DUMMYFUNCTION("""COMPUTED_VALUE"""),"N/A")</f>
        <v>N/A</v>
      </c>
      <c r="AL1539" s="97" t="str">
        <f>IFERROR(__xludf.DUMMYFUNCTION("""COMPUTED_VALUE"""),"N/A")</f>
        <v>N/A</v>
      </c>
      <c r="AM1539" s="97" t="str">
        <f>IFERROR(__xludf.DUMMYFUNCTION("""COMPUTED_VALUE"""),"Tc 85°C Ta 45°C")</f>
        <v>Tc 85°C Ta 45°C</v>
      </c>
      <c r="AN1539" s="97" t="str">
        <f>IFERROR(__xludf.DUMMYFUNCTION("""COMPUTED_VALUE"""),"N/A")</f>
        <v>N/A</v>
      </c>
      <c r="AO1539" s="97" t="str">
        <f>IFERROR(__xludf.DUMMYFUNCTION("""COMPUTED_VALUE"""),"4 Años")</f>
        <v>4 Años</v>
      </c>
      <c r="AP1539" s="97" t="str">
        <f>IFERROR(__xludf.DUMMYFUNCTION("""COMPUTED_VALUE"""),"No Aplica")</f>
        <v>No Aplica</v>
      </c>
      <c r="AQ1539" s="97" t="str">
        <f>IFERROR(__xludf.DUMMYFUNCTION("""COMPUTED_VALUE"""),"No Aplica")</f>
        <v>No Aplica</v>
      </c>
      <c r="AR1539" s="97" t="str">
        <f>IFERROR(__xludf.DUMMYFUNCTION("""COMPUTED_VALUE"""),"No Aplica")</f>
        <v>No Aplica</v>
      </c>
      <c r="AS1539" s="97" t="str">
        <f>IFERROR(__xludf.DUMMYFUNCTION("""COMPUTED_VALUE"""),"No Aplica")</f>
        <v>No Aplica</v>
      </c>
      <c r="AT1539" s="97" t="str">
        <f>IFERROR(__xludf.DUMMYFUNCTION("""COMPUTED_VALUE"""),"No Aplica")</f>
        <v>No Aplica</v>
      </c>
      <c r="AU1539" s="97" t="str">
        <f>IFERROR(__xludf.DUMMYFUNCTION("""COMPUTED_VALUE"""),"No Aplica")</f>
        <v>No Aplica</v>
      </c>
      <c r="AV1539" s="97" t="str">
        <f>IFERROR(__xludf.DUMMYFUNCTION("""COMPUTED_VALUE"""),"Accesorio")</f>
        <v>Accesorio</v>
      </c>
      <c r="AW1539" s="97" t="str">
        <f>IFERROR(__xludf.DUMMYFUNCTION("""COMPUTED_VALUE"""),"De Techo")</f>
        <v>De Techo</v>
      </c>
      <c r="AX1539" s="97" t="str">
        <f>IFERROR(__xludf.DUMMYFUNCTION("""COMPUTED_VALUE"""),"Interior")</f>
        <v>Interior</v>
      </c>
      <c r="AY1539" s="97" t="str">
        <f>IFERROR(__xludf.DUMMYFUNCTION("""COMPUTED_VALUE"""),"Pocket")</f>
        <v>Pocket</v>
      </c>
      <c r="AZ1539" s="97"/>
      <c r="BA1539" s="97"/>
      <c r="BB1539" s="97"/>
      <c r="BC1539" s="97"/>
      <c r="BD1539" s="97"/>
      <c r="BE1539" s="97" t="str">
        <f>IFERROR(__xludf.DUMMYFUNCTION("""COMPUTED_VALUE"""),"Sin Ficha")</f>
        <v>Sin Ficha</v>
      </c>
      <c r="BF1539" s="97"/>
      <c r="BG1539" s="97" t="str">
        <f>IFERROR(__xludf.DUMMYFUNCTION("""COMPUTED_VALUE"""),"REPO 7")</f>
        <v>REPO 7</v>
      </c>
    </row>
    <row r="1540">
      <c r="A1540" s="97">
        <f>IFERROR(__xludf.DUMMYFUNCTION("""COMPUTED_VALUE"""),7723.0)</f>
        <v>7723</v>
      </c>
      <c r="B1540" s="97" t="str">
        <f>IFERROR(__xludf.DUMMYFUNCTION("""COMPUTED_VALUE"""),"POCKET III BLBL 2CCT ON/OFF")</f>
        <v>POCKET III BLBL 2CCT ON/OFF</v>
      </c>
      <c r="C1540" s="97" t="str">
        <f>IFERROR(__xludf.DUMMYFUNCTION("""COMPUTED_VALUE"""),"EMPOTRABLE POCKET III BLBL 2CCT ON/OFF 5W 2700/3000K LM CRI&gt;90 IP20 LEUK")</f>
        <v>EMPOTRABLE POCKET III BLBL 2CCT ON/OFF 5W 2700/3000K LM CRI&gt;90 IP20 LEUK</v>
      </c>
      <c r="D1540" s="97" t="str">
        <f>IFERROR(__xludf.DUMMYFUNCTION("""COMPUTED_VALUE"""),"N/A")</f>
        <v>N/A</v>
      </c>
      <c r="E1540" s="97" t="str">
        <f>IFERROR(__xludf.DUMMYFUNCTION("""COMPUTED_VALUE"""),"N/A")</f>
        <v>N/A</v>
      </c>
      <c r="F1540" s="97" t="str">
        <f>IFERROR(__xludf.DUMMYFUNCTION("""COMPUTED_VALUE"""),"LED SMD")</f>
        <v>LED SMD</v>
      </c>
      <c r="G1540" s="97" t="str">
        <f>IFERROR(__xludf.DUMMYFUNCTION("""COMPUTED_VALUE"""),"-")</f>
        <v>-</v>
      </c>
      <c r="H1540" s="97" t="str">
        <f>IFERROR(__xludf.DUMMYFUNCTION("""COMPUTED_VALUE"""),"Eaglerise")</f>
        <v>Eaglerise</v>
      </c>
      <c r="I1540" s="97" t="str">
        <f>IFERROR(__xludf.DUMMYFUNCTION("""COMPUTED_VALUE"""),"Si")</f>
        <v>Si</v>
      </c>
      <c r="J1540" s="97" t="str">
        <f>IFERROR(__xludf.DUMMYFUNCTION("""COMPUTED_VALUE"""),"Modelo: LS-6-500 SI E
In: 220-240Vac 0.11A 50/60Hz
Out: 5-12Vdc 500mA 6W
Pf 0.5 Tc 50°C Ta 80°C")</f>
        <v>Modelo: LS-6-500 SI E
In: 220-240Vac 0.11A 50/60Hz
Out: 5-12Vdc 500mA 6W
Pf 0.5 Tc 50°C Ta 80°C</v>
      </c>
      <c r="K1540" s="97" t="str">
        <f>IFERROR(__xludf.DUMMYFUNCTION("""COMPUTED_VALUE"""),"ON/OFF")</f>
        <v>ON/OFF</v>
      </c>
      <c r="L1540" s="97" t="str">
        <f>IFERROR(__xludf.DUMMYFUNCTION("""COMPUTED_VALUE"""),"200-240")</f>
        <v>200-240</v>
      </c>
      <c r="M1540" s="97" t="str">
        <f>IFERROR(__xludf.DUMMYFUNCTION("""COMPUTED_VALUE"""),"50/60")</f>
        <v>50/60</v>
      </c>
      <c r="N1540" s="97" t="str">
        <f>IFERROR(__xludf.DUMMYFUNCTION("""COMPUTED_VALUE"""),"Directa")</f>
        <v>Directa</v>
      </c>
      <c r="O1540" s="97">
        <f>IFERROR(__xludf.DUMMYFUNCTION("""COMPUTED_VALUE"""),5.0)</f>
        <v>5</v>
      </c>
      <c r="P1540" s="97"/>
      <c r="Q1540" s="97"/>
      <c r="R1540" s="97" t="str">
        <f>IFERROR(__xludf.DUMMYFUNCTION("""COMPUTED_VALUE"""),"-")</f>
        <v>-</v>
      </c>
      <c r="S1540" s="97" t="str">
        <f>IFERROR(__xludf.DUMMYFUNCTION("""COMPUTED_VALUE"""),"-")</f>
        <v>-</v>
      </c>
      <c r="T1540" s="97"/>
      <c r="U1540" s="97">
        <f>IFERROR(__xludf.DUMMYFUNCTION("""COMPUTED_VALUE"""),0.0)</f>
        <v>0</v>
      </c>
      <c r="V1540" s="97">
        <f>IFERROR(__xludf.DUMMYFUNCTION("""COMPUTED_VALUE"""),38.0)</f>
        <v>38</v>
      </c>
      <c r="W1540" s="97" t="str">
        <f>IFERROR(__xludf.DUMMYFUNCTION("""COMPUTED_VALUE"""),"&lt; 14")</f>
        <v>&lt; 14</v>
      </c>
      <c r="X1540" s="97" t="str">
        <f>IFERROR(__xludf.DUMMYFUNCTION("""COMPUTED_VALUE"""),"2700/3000")</f>
        <v>2700/3000</v>
      </c>
      <c r="Y1540" s="97" t="str">
        <f>IFERROR(__xludf.DUMMYFUNCTION("""COMPUTED_VALUE"""),"&gt;90")</f>
        <v>&gt;90</v>
      </c>
      <c r="Z1540" s="97" t="str">
        <f>IFERROR(__xludf.DUMMYFUNCTION("""COMPUTED_VALUE"""),"&gt;90")</f>
        <v>&gt;90</v>
      </c>
      <c r="AA1540" s="97" t="str">
        <f>IFERROR(__xludf.DUMMYFUNCTION("""COMPUTED_VALUE"""),"100 (Fidelidad neutra)")</f>
        <v>100 (Fidelidad neutra)</v>
      </c>
      <c r="AB1540" s="97" t="str">
        <f>IFERROR(__xludf.DUMMYFUNCTION("""COMPUTED_VALUE"""),"&lt; 3")</f>
        <v>&lt; 3</v>
      </c>
      <c r="AC1540" s="97">
        <f>IFERROR(__xludf.DUMMYFUNCTION("""COMPUTED_VALUE"""),1.0E-4)</f>
        <v>0.0001</v>
      </c>
      <c r="AD1540" s="97" t="str">
        <f>IFERROR(__xludf.DUMMYFUNCTION("""COMPUTED_VALUE"""),"IP20")</f>
        <v>IP20</v>
      </c>
      <c r="AE1540" s="97" t="str">
        <f>IFERROR(__xludf.DUMMYFUNCTION("""COMPUTED_VALUE"""),"Clase l")</f>
        <v>Clase l</v>
      </c>
      <c r="AF1540" s="97" t="str">
        <f>IFERROR(__xludf.DUMMYFUNCTION("""COMPUTED_VALUE"""),"Embutir")</f>
        <v>Embutir</v>
      </c>
      <c r="AG1540" s="97" t="str">
        <f>IFERROR(__xludf.DUMMYFUNCTION("""COMPUTED_VALUE"""),"69 x 31 x 40")</f>
        <v>69 x 31 x 40</v>
      </c>
      <c r="AH1540" s="97" t="str">
        <f>IFERROR(__xludf.DUMMYFUNCTION("""COMPUTED_VALUE"""),"65 x 27")</f>
        <v>65 x 27</v>
      </c>
      <c r="AI1540" s="97">
        <f>IFERROR(__xludf.DUMMYFUNCTION("""COMPUTED_VALUE"""),55.0)</f>
        <v>55</v>
      </c>
      <c r="AJ1540" s="97" t="str">
        <f>IFERROR(__xludf.DUMMYFUNCTION("""COMPUTED_VALUE"""),"Policarbonato (PC)")</f>
        <v>Policarbonato (PC)</v>
      </c>
      <c r="AK1540" s="97" t="str">
        <f>IFERROR(__xludf.DUMMYFUNCTION("""COMPUTED_VALUE"""),"Aluminio")</f>
        <v>Aluminio</v>
      </c>
      <c r="AL1540" s="97" t="str">
        <f>IFERROR(__xludf.DUMMYFUNCTION("""COMPUTED_VALUE"""),"Blanco Satinado")</f>
        <v>Blanco Satinado</v>
      </c>
      <c r="AM1540" s="97" t="str">
        <f>IFERROR(__xludf.DUMMYFUNCTION("""COMPUTED_VALUE"""),"-")</f>
        <v>-</v>
      </c>
      <c r="AN1540" s="97" t="str">
        <f>IFERROR(__xludf.DUMMYFUNCTION("""COMPUTED_VALUE"""),"40.000hs (L70)")</f>
        <v>40.000hs (L70)</v>
      </c>
      <c r="AO1540" s="97" t="str">
        <f>IFERROR(__xludf.DUMMYFUNCTION("""COMPUTED_VALUE"""),"4 Años")</f>
        <v>4 Años</v>
      </c>
      <c r="AP1540" s="97" t="str">
        <f>IFERROR(__xludf.DUMMYFUNCTION("""COMPUTED_VALUE"""),"Falta")</f>
        <v>Falta</v>
      </c>
      <c r="AQ1540" s="97" t="str">
        <f>IFERROR(__xludf.DUMMYFUNCTION("""COMPUTED_VALUE"""),"Falta")</f>
        <v>Falta</v>
      </c>
      <c r="AR1540" s="97" t="str">
        <f>IFERROR(__xludf.DUMMYFUNCTION("""COMPUTED_VALUE"""),"En revisión")</f>
        <v>En revisión</v>
      </c>
      <c r="AS1540" s="97" t="str">
        <f>IFERROR(__xludf.DUMMYFUNCTION("""COMPUTED_VALUE"""),"Falta")</f>
        <v>Falta</v>
      </c>
      <c r="AT1540" s="97" t="str">
        <f>IFERROR(__xludf.DUMMYFUNCTION("""COMPUTED_VALUE"""),"Falta")</f>
        <v>Falta</v>
      </c>
      <c r="AU1540" s="97" t="str">
        <f>IFERROR(__xludf.DUMMYFUNCTION("""COMPUTED_VALUE"""),"Falta")</f>
        <v>Falta</v>
      </c>
      <c r="AV1540" s="97" t="str">
        <f>IFERROR(__xludf.DUMMYFUNCTION("""COMPUTED_VALUE"""),"Empotrable")</f>
        <v>Empotrable</v>
      </c>
      <c r="AW1540" s="97" t="str">
        <f>IFERROR(__xludf.DUMMYFUNCTION("""COMPUTED_VALUE"""),"De Techo")</f>
        <v>De Techo</v>
      </c>
      <c r="AX1540" s="97" t="str">
        <f>IFERROR(__xludf.DUMMYFUNCTION("""COMPUTED_VALUE"""),"Interior")</f>
        <v>Interior</v>
      </c>
      <c r="AY1540" s="97" t="str">
        <f>IFERROR(__xludf.DUMMYFUNCTION("""COMPUTED_VALUE"""),"Pocket")</f>
        <v>Pocket</v>
      </c>
      <c r="AZ1540" s="97"/>
      <c r="BA1540" s="97"/>
      <c r="BB1540" s="97"/>
      <c r="BC1540" s="97"/>
      <c r="BD1540" s="97" t="str">
        <f>IFERROR(__xludf.DUMMYFUNCTION("""COMPUTED_VALUE"""),"POCKET III")</f>
        <v>POCKET III</v>
      </c>
      <c r="BE1540" s="97" t="str">
        <f>IFERROR(__xludf.DUMMYFUNCTION("""COMPUTED_VALUE"""),"Falta TR")</f>
        <v>Falta TR</v>
      </c>
      <c r="BF1540" s="97"/>
      <c r="BG1540" s="97" t="str">
        <f>IFERROR(__xludf.DUMMYFUNCTION("""COMPUTED_VALUE"""),"REPO 7")</f>
        <v>REPO 7</v>
      </c>
    </row>
    <row r="1541">
      <c r="A1541" s="97">
        <f>IFERROR(__xludf.DUMMYFUNCTION("""COMPUTED_VALUE"""),7724.0)</f>
        <v>7724</v>
      </c>
      <c r="B1541" s="97" t="str">
        <f>IFERROR(__xludf.DUMMYFUNCTION("""COMPUTED_VALUE"""),"POCKET III BLNG 2CCT ON/OFF")</f>
        <v>POCKET III BLNG 2CCT ON/OFF</v>
      </c>
      <c r="C1541" s="97" t="str">
        <f>IFERROR(__xludf.DUMMYFUNCTION("""COMPUTED_VALUE"""),"EMPOTRABLE POCKET III BLNG 2CCT ON/OFF 5W 2700/3000K LM CRI&gt;90 IP20 LEUK")</f>
        <v>EMPOTRABLE POCKET III BLNG 2CCT ON/OFF 5W 2700/3000K LM CRI&gt;90 IP20 LEUK</v>
      </c>
      <c r="D1541" s="97" t="str">
        <f>IFERROR(__xludf.DUMMYFUNCTION("""COMPUTED_VALUE"""),"N/A")</f>
        <v>N/A</v>
      </c>
      <c r="E1541" s="97" t="str">
        <f>IFERROR(__xludf.DUMMYFUNCTION("""COMPUTED_VALUE"""),"N/A")</f>
        <v>N/A</v>
      </c>
      <c r="F1541" s="97" t="str">
        <f>IFERROR(__xludf.DUMMYFUNCTION("""COMPUTED_VALUE"""),"LED SMD")</f>
        <v>LED SMD</v>
      </c>
      <c r="G1541" s="97" t="str">
        <f>IFERROR(__xludf.DUMMYFUNCTION("""COMPUTED_VALUE"""),"-")</f>
        <v>-</v>
      </c>
      <c r="H1541" s="97" t="str">
        <f>IFERROR(__xludf.DUMMYFUNCTION("""COMPUTED_VALUE"""),"Eaglerise")</f>
        <v>Eaglerise</v>
      </c>
      <c r="I1541" s="97" t="str">
        <f>IFERROR(__xludf.DUMMYFUNCTION("""COMPUTED_VALUE"""),"Si")</f>
        <v>Si</v>
      </c>
      <c r="J1541" s="97" t="str">
        <f>IFERROR(__xludf.DUMMYFUNCTION("""COMPUTED_VALUE"""),"Modelo: LS-6-500 SI E
In: 220-240Vac 0.11A 50/60Hz
Out: 5-12Vdc 500mA 6W
Pf 0.5 Tc 50°C Ta 80°C")</f>
        <v>Modelo: LS-6-500 SI E
In: 220-240Vac 0.11A 50/60Hz
Out: 5-12Vdc 500mA 6W
Pf 0.5 Tc 50°C Ta 80°C</v>
      </c>
      <c r="K1541" s="97" t="str">
        <f>IFERROR(__xludf.DUMMYFUNCTION("""COMPUTED_VALUE"""),"ON/OFF")</f>
        <v>ON/OFF</v>
      </c>
      <c r="L1541" s="97" t="str">
        <f>IFERROR(__xludf.DUMMYFUNCTION("""COMPUTED_VALUE"""),"200-240")</f>
        <v>200-240</v>
      </c>
      <c r="M1541" s="97" t="str">
        <f>IFERROR(__xludf.DUMMYFUNCTION("""COMPUTED_VALUE"""),"50/60")</f>
        <v>50/60</v>
      </c>
      <c r="N1541" s="97" t="str">
        <f>IFERROR(__xludf.DUMMYFUNCTION("""COMPUTED_VALUE"""),"Directa")</f>
        <v>Directa</v>
      </c>
      <c r="O1541" s="97">
        <f>IFERROR(__xludf.DUMMYFUNCTION("""COMPUTED_VALUE"""),5.0)</f>
        <v>5</v>
      </c>
      <c r="P1541" s="97"/>
      <c r="Q1541" s="97"/>
      <c r="R1541" s="97" t="str">
        <f>IFERROR(__xludf.DUMMYFUNCTION("""COMPUTED_VALUE"""),"-")</f>
        <v>-</v>
      </c>
      <c r="S1541" s="97" t="str">
        <f>IFERROR(__xludf.DUMMYFUNCTION("""COMPUTED_VALUE"""),"-")</f>
        <v>-</v>
      </c>
      <c r="T1541" s="97"/>
      <c r="U1541" s="97">
        <f>IFERROR(__xludf.DUMMYFUNCTION("""COMPUTED_VALUE"""),0.0)</f>
        <v>0</v>
      </c>
      <c r="V1541" s="97">
        <f>IFERROR(__xludf.DUMMYFUNCTION("""COMPUTED_VALUE"""),38.0)</f>
        <v>38</v>
      </c>
      <c r="W1541" s="97" t="str">
        <f>IFERROR(__xludf.DUMMYFUNCTION("""COMPUTED_VALUE"""),"&lt; 14")</f>
        <v>&lt; 14</v>
      </c>
      <c r="X1541" s="97" t="str">
        <f>IFERROR(__xludf.DUMMYFUNCTION("""COMPUTED_VALUE"""),"2700/3000")</f>
        <v>2700/3000</v>
      </c>
      <c r="Y1541" s="97" t="str">
        <f>IFERROR(__xludf.DUMMYFUNCTION("""COMPUTED_VALUE"""),"&gt;90")</f>
        <v>&gt;90</v>
      </c>
      <c r="Z1541" s="97" t="str">
        <f>IFERROR(__xludf.DUMMYFUNCTION("""COMPUTED_VALUE"""),"&gt;90")</f>
        <v>&gt;90</v>
      </c>
      <c r="AA1541" s="97" t="str">
        <f>IFERROR(__xludf.DUMMYFUNCTION("""COMPUTED_VALUE"""),"100 (Fidelidad neutra)")</f>
        <v>100 (Fidelidad neutra)</v>
      </c>
      <c r="AB1541" s="97" t="str">
        <f>IFERROR(__xludf.DUMMYFUNCTION("""COMPUTED_VALUE"""),"&lt; 3")</f>
        <v>&lt; 3</v>
      </c>
      <c r="AC1541" s="97">
        <f>IFERROR(__xludf.DUMMYFUNCTION("""COMPUTED_VALUE"""),1.0E-4)</f>
        <v>0.0001</v>
      </c>
      <c r="AD1541" s="97" t="str">
        <f>IFERROR(__xludf.DUMMYFUNCTION("""COMPUTED_VALUE"""),"IP20")</f>
        <v>IP20</v>
      </c>
      <c r="AE1541" s="97" t="str">
        <f>IFERROR(__xludf.DUMMYFUNCTION("""COMPUTED_VALUE"""),"Clase l")</f>
        <v>Clase l</v>
      </c>
      <c r="AF1541" s="97" t="str">
        <f>IFERROR(__xludf.DUMMYFUNCTION("""COMPUTED_VALUE"""),"Embutir")</f>
        <v>Embutir</v>
      </c>
      <c r="AG1541" s="97" t="str">
        <f>IFERROR(__xludf.DUMMYFUNCTION("""COMPUTED_VALUE"""),"69 x 31 x 40")</f>
        <v>69 x 31 x 40</v>
      </c>
      <c r="AH1541" s="97" t="str">
        <f>IFERROR(__xludf.DUMMYFUNCTION("""COMPUTED_VALUE"""),"65 x 27")</f>
        <v>65 x 27</v>
      </c>
      <c r="AI1541" s="97">
        <f>IFERROR(__xludf.DUMMYFUNCTION("""COMPUTED_VALUE"""),55.0)</f>
        <v>55</v>
      </c>
      <c r="AJ1541" s="97" t="str">
        <f>IFERROR(__xludf.DUMMYFUNCTION("""COMPUTED_VALUE"""),"Policarbonato (PC)")</f>
        <v>Policarbonato (PC)</v>
      </c>
      <c r="AK1541" s="97" t="str">
        <f>IFERROR(__xludf.DUMMYFUNCTION("""COMPUTED_VALUE"""),"Aluminio")</f>
        <v>Aluminio</v>
      </c>
      <c r="AL1541" s="97" t="str">
        <f>IFERROR(__xludf.DUMMYFUNCTION("""COMPUTED_VALUE"""),"Blanco y Negro")</f>
        <v>Blanco y Negro</v>
      </c>
      <c r="AM1541" s="97" t="str">
        <f>IFERROR(__xludf.DUMMYFUNCTION("""COMPUTED_VALUE"""),"-")</f>
        <v>-</v>
      </c>
      <c r="AN1541" s="97" t="str">
        <f>IFERROR(__xludf.DUMMYFUNCTION("""COMPUTED_VALUE"""),"40.000hs (L70)")</f>
        <v>40.000hs (L70)</v>
      </c>
      <c r="AO1541" s="97" t="str">
        <f>IFERROR(__xludf.DUMMYFUNCTION("""COMPUTED_VALUE"""),"4 Años")</f>
        <v>4 Años</v>
      </c>
      <c r="AP1541" s="97" t="str">
        <f>IFERROR(__xludf.DUMMYFUNCTION("""COMPUTED_VALUE"""),"Falta")</f>
        <v>Falta</v>
      </c>
      <c r="AQ1541" s="97" t="str">
        <f>IFERROR(__xludf.DUMMYFUNCTION("""COMPUTED_VALUE"""),"Falta")</f>
        <v>Falta</v>
      </c>
      <c r="AR1541" s="97" t="str">
        <f>IFERROR(__xludf.DUMMYFUNCTION("""COMPUTED_VALUE"""),"En revisión")</f>
        <v>En revisión</v>
      </c>
      <c r="AS1541" s="97" t="str">
        <f>IFERROR(__xludf.DUMMYFUNCTION("""COMPUTED_VALUE"""),"Falta")</f>
        <v>Falta</v>
      </c>
      <c r="AT1541" s="97" t="str">
        <f>IFERROR(__xludf.DUMMYFUNCTION("""COMPUTED_VALUE"""),"Falta")</f>
        <v>Falta</v>
      </c>
      <c r="AU1541" s="97" t="str">
        <f>IFERROR(__xludf.DUMMYFUNCTION("""COMPUTED_VALUE"""),"Falta")</f>
        <v>Falta</v>
      </c>
      <c r="AV1541" s="97" t="str">
        <f>IFERROR(__xludf.DUMMYFUNCTION("""COMPUTED_VALUE"""),"Empotrable")</f>
        <v>Empotrable</v>
      </c>
      <c r="AW1541" s="97" t="str">
        <f>IFERROR(__xludf.DUMMYFUNCTION("""COMPUTED_VALUE"""),"De Techo")</f>
        <v>De Techo</v>
      </c>
      <c r="AX1541" s="97" t="str">
        <f>IFERROR(__xludf.DUMMYFUNCTION("""COMPUTED_VALUE"""),"Interior")</f>
        <v>Interior</v>
      </c>
      <c r="AY1541" s="97" t="str">
        <f>IFERROR(__xludf.DUMMYFUNCTION("""COMPUTED_VALUE"""),"Pocket")</f>
        <v>Pocket</v>
      </c>
      <c r="AZ1541" s="97"/>
      <c r="BA1541" s="97"/>
      <c r="BB1541" s="97"/>
      <c r="BC1541" s="97"/>
      <c r="BD1541" s="97" t="str">
        <f>IFERROR(__xludf.DUMMYFUNCTION("""COMPUTED_VALUE"""),"POCKET III")</f>
        <v>POCKET III</v>
      </c>
      <c r="BE1541" s="97" t="str">
        <f>IFERROR(__xludf.DUMMYFUNCTION("""COMPUTED_VALUE"""),"Falta TR")</f>
        <v>Falta TR</v>
      </c>
      <c r="BF1541" s="97"/>
      <c r="BG1541" s="97" t="str">
        <f>IFERROR(__xludf.DUMMYFUNCTION("""COMPUTED_VALUE"""),"REPO 7")</f>
        <v>REPO 7</v>
      </c>
    </row>
    <row r="1542">
      <c r="A1542" s="97">
        <f>IFERROR(__xludf.DUMMYFUNCTION("""COMPUTED_VALUE"""),7725.0)</f>
        <v>7725</v>
      </c>
      <c r="B1542" s="97" t="str">
        <f>IFERROR(__xludf.DUMMYFUNCTION("""COMPUTED_VALUE"""),"POCKET III NGNG 2CCT ON/OFF")</f>
        <v>POCKET III NGNG 2CCT ON/OFF</v>
      </c>
      <c r="C1542" s="97" t="str">
        <f>IFERROR(__xludf.DUMMYFUNCTION("""COMPUTED_VALUE"""),"EMPOTRABLE POCKET III NGNG 2CCT ON/OFF 5W 2700/3000K LM CRI&gt;90 IP20 LEUK")</f>
        <v>EMPOTRABLE POCKET III NGNG 2CCT ON/OFF 5W 2700/3000K LM CRI&gt;90 IP20 LEUK</v>
      </c>
      <c r="D1542" s="97" t="str">
        <f>IFERROR(__xludf.DUMMYFUNCTION("""COMPUTED_VALUE"""),"N/A")</f>
        <v>N/A</v>
      </c>
      <c r="E1542" s="97" t="str">
        <f>IFERROR(__xludf.DUMMYFUNCTION("""COMPUTED_VALUE"""),"N/A")</f>
        <v>N/A</v>
      </c>
      <c r="F1542" s="97" t="str">
        <f>IFERROR(__xludf.DUMMYFUNCTION("""COMPUTED_VALUE"""),"LED SMD")</f>
        <v>LED SMD</v>
      </c>
      <c r="G1542" s="97" t="str">
        <f>IFERROR(__xludf.DUMMYFUNCTION("""COMPUTED_VALUE"""),"-")</f>
        <v>-</v>
      </c>
      <c r="H1542" s="97" t="str">
        <f>IFERROR(__xludf.DUMMYFUNCTION("""COMPUTED_VALUE"""),"Eaglerise")</f>
        <v>Eaglerise</v>
      </c>
      <c r="I1542" s="97" t="str">
        <f>IFERROR(__xludf.DUMMYFUNCTION("""COMPUTED_VALUE"""),"Si")</f>
        <v>Si</v>
      </c>
      <c r="J1542" s="97" t="str">
        <f>IFERROR(__xludf.DUMMYFUNCTION("""COMPUTED_VALUE"""),"Modelo: LS-6-500 SI E
In: 220-240Vac 0.11A 50/60Hz
Out: 5-12Vdc 500mA 6W
Pf 0.5 Tc 50°C Ta 80°C")</f>
        <v>Modelo: LS-6-500 SI E
In: 220-240Vac 0.11A 50/60Hz
Out: 5-12Vdc 500mA 6W
Pf 0.5 Tc 50°C Ta 80°C</v>
      </c>
      <c r="K1542" s="97" t="str">
        <f>IFERROR(__xludf.DUMMYFUNCTION("""COMPUTED_VALUE"""),"ON/OFF")</f>
        <v>ON/OFF</v>
      </c>
      <c r="L1542" s="97" t="str">
        <f>IFERROR(__xludf.DUMMYFUNCTION("""COMPUTED_VALUE"""),"200-240")</f>
        <v>200-240</v>
      </c>
      <c r="M1542" s="97" t="str">
        <f>IFERROR(__xludf.DUMMYFUNCTION("""COMPUTED_VALUE"""),"50/60")</f>
        <v>50/60</v>
      </c>
      <c r="N1542" s="97" t="str">
        <f>IFERROR(__xludf.DUMMYFUNCTION("""COMPUTED_VALUE"""),"Directa")</f>
        <v>Directa</v>
      </c>
      <c r="O1542" s="97">
        <f>IFERROR(__xludf.DUMMYFUNCTION("""COMPUTED_VALUE"""),5.0)</f>
        <v>5</v>
      </c>
      <c r="P1542" s="97"/>
      <c r="Q1542" s="97"/>
      <c r="R1542" s="97" t="str">
        <f>IFERROR(__xludf.DUMMYFUNCTION("""COMPUTED_VALUE"""),"-")</f>
        <v>-</v>
      </c>
      <c r="S1542" s="97" t="str">
        <f>IFERROR(__xludf.DUMMYFUNCTION("""COMPUTED_VALUE"""),"-")</f>
        <v>-</v>
      </c>
      <c r="T1542" s="97"/>
      <c r="U1542" s="97">
        <f>IFERROR(__xludf.DUMMYFUNCTION("""COMPUTED_VALUE"""),0.0)</f>
        <v>0</v>
      </c>
      <c r="V1542" s="97">
        <f>IFERROR(__xludf.DUMMYFUNCTION("""COMPUTED_VALUE"""),38.0)</f>
        <v>38</v>
      </c>
      <c r="W1542" s="97" t="str">
        <f>IFERROR(__xludf.DUMMYFUNCTION("""COMPUTED_VALUE"""),"&lt; 14")</f>
        <v>&lt; 14</v>
      </c>
      <c r="X1542" s="97" t="str">
        <f>IFERROR(__xludf.DUMMYFUNCTION("""COMPUTED_VALUE"""),"2700/3000")</f>
        <v>2700/3000</v>
      </c>
      <c r="Y1542" s="97" t="str">
        <f>IFERROR(__xludf.DUMMYFUNCTION("""COMPUTED_VALUE"""),"&gt;90")</f>
        <v>&gt;90</v>
      </c>
      <c r="Z1542" s="97" t="str">
        <f>IFERROR(__xludf.DUMMYFUNCTION("""COMPUTED_VALUE"""),"&gt;90")</f>
        <v>&gt;90</v>
      </c>
      <c r="AA1542" s="97" t="str">
        <f>IFERROR(__xludf.DUMMYFUNCTION("""COMPUTED_VALUE"""),"100 (Fidelidad neutra)")</f>
        <v>100 (Fidelidad neutra)</v>
      </c>
      <c r="AB1542" s="97" t="str">
        <f>IFERROR(__xludf.DUMMYFUNCTION("""COMPUTED_VALUE"""),"&lt; 3")</f>
        <v>&lt; 3</v>
      </c>
      <c r="AC1542" s="97">
        <f>IFERROR(__xludf.DUMMYFUNCTION("""COMPUTED_VALUE"""),1.0E-4)</f>
        <v>0.0001</v>
      </c>
      <c r="AD1542" s="97" t="str">
        <f>IFERROR(__xludf.DUMMYFUNCTION("""COMPUTED_VALUE"""),"IP20")</f>
        <v>IP20</v>
      </c>
      <c r="AE1542" s="97" t="str">
        <f>IFERROR(__xludf.DUMMYFUNCTION("""COMPUTED_VALUE"""),"Clase l")</f>
        <v>Clase l</v>
      </c>
      <c r="AF1542" s="97" t="str">
        <f>IFERROR(__xludf.DUMMYFUNCTION("""COMPUTED_VALUE"""),"Embutir")</f>
        <v>Embutir</v>
      </c>
      <c r="AG1542" s="97" t="str">
        <f>IFERROR(__xludf.DUMMYFUNCTION("""COMPUTED_VALUE"""),"69 x 31 x 40")</f>
        <v>69 x 31 x 40</v>
      </c>
      <c r="AH1542" s="97" t="str">
        <f>IFERROR(__xludf.DUMMYFUNCTION("""COMPUTED_VALUE"""),"65 x 27")</f>
        <v>65 x 27</v>
      </c>
      <c r="AI1542" s="97">
        <f>IFERROR(__xludf.DUMMYFUNCTION("""COMPUTED_VALUE"""),55.0)</f>
        <v>55</v>
      </c>
      <c r="AJ1542" s="97" t="str">
        <f>IFERROR(__xludf.DUMMYFUNCTION("""COMPUTED_VALUE"""),"Policarbonato (PC)")</f>
        <v>Policarbonato (PC)</v>
      </c>
      <c r="AK1542" s="97" t="str">
        <f>IFERROR(__xludf.DUMMYFUNCTION("""COMPUTED_VALUE"""),"Aluminio")</f>
        <v>Aluminio</v>
      </c>
      <c r="AL1542" s="97" t="str">
        <f>IFERROR(__xludf.DUMMYFUNCTION("""COMPUTED_VALUE"""),"Negro Satinado")</f>
        <v>Negro Satinado</v>
      </c>
      <c r="AM1542" s="97" t="str">
        <f>IFERROR(__xludf.DUMMYFUNCTION("""COMPUTED_VALUE"""),"-")</f>
        <v>-</v>
      </c>
      <c r="AN1542" s="97" t="str">
        <f>IFERROR(__xludf.DUMMYFUNCTION("""COMPUTED_VALUE"""),"40.000hs (L70)")</f>
        <v>40.000hs (L70)</v>
      </c>
      <c r="AO1542" s="97" t="str">
        <f>IFERROR(__xludf.DUMMYFUNCTION("""COMPUTED_VALUE"""),"4 Años")</f>
        <v>4 Años</v>
      </c>
      <c r="AP1542" s="97" t="str">
        <f>IFERROR(__xludf.DUMMYFUNCTION("""COMPUTED_VALUE"""),"Falta")</f>
        <v>Falta</v>
      </c>
      <c r="AQ1542" s="97" t="str">
        <f>IFERROR(__xludf.DUMMYFUNCTION("""COMPUTED_VALUE"""),"Falta")</f>
        <v>Falta</v>
      </c>
      <c r="AR1542" s="97" t="str">
        <f>IFERROR(__xludf.DUMMYFUNCTION("""COMPUTED_VALUE"""),"En revisión")</f>
        <v>En revisión</v>
      </c>
      <c r="AS1542" s="97" t="str">
        <f>IFERROR(__xludf.DUMMYFUNCTION("""COMPUTED_VALUE"""),"Falta")</f>
        <v>Falta</v>
      </c>
      <c r="AT1542" s="97" t="str">
        <f>IFERROR(__xludf.DUMMYFUNCTION("""COMPUTED_VALUE"""),"Falta")</f>
        <v>Falta</v>
      </c>
      <c r="AU1542" s="97" t="str">
        <f>IFERROR(__xludf.DUMMYFUNCTION("""COMPUTED_VALUE"""),"Falta")</f>
        <v>Falta</v>
      </c>
      <c r="AV1542" s="97" t="str">
        <f>IFERROR(__xludf.DUMMYFUNCTION("""COMPUTED_VALUE"""),"Empotrable")</f>
        <v>Empotrable</v>
      </c>
      <c r="AW1542" s="97" t="str">
        <f>IFERROR(__xludf.DUMMYFUNCTION("""COMPUTED_VALUE"""),"De Techo")</f>
        <v>De Techo</v>
      </c>
      <c r="AX1542" s="97" t="str">
        <f>IFERROR(__xludf.DUMMYFUNCTION("""COMPUTED_VALUE"""),"Interior")</f>
        <v>Interior</v>
      </c>
      <c r="AY1542" s="97" t="str">
        <f>IFERROR(__xludf.DUMMYFUNCTION("""COMPUTED_VALUE"""),"Pocket")</f>
        <v>Pocket</v>
      </c>
      <c r="AZ1542" s="97"/>
      <c r="BA1542" s="97"/>
      <c r="BB1542" s="97"/>
      <c r="BC1542" s="97"/>
      <c r="BD1542" s="97" t="str">
        <f>IFERROR(__xludf.DUMMYFUNCTION("""COMPUTED_VALUE"""),"POCKET III")</f>
        <v>POCKET III</v>
      </c>
      <c r="BE1542" s="97" t="str">
        <f>IFERROR(__xludf.DUMMYFUNCTION("""COMPUTED_VALUE"""),"Falta TR")</f>
        <v>Falta TR</v>
      </c>
      <c r="BF1542" s="97"/>
      <c r="BG1542" s="97" t="str">
        <f>IFERROR(__xludf.DUMMYFUNCTION("""COMPUTED_VALUE"""),"REPO 7")</f>
        <v>REPO 7</v>
      </c>
    </row>
    <row r="1543">
      <c r="A1543" s="97">
        <f>IFERROR(__xludf.DUMMYFUNCTION("""COMPUTED_VALUE"""),7726.0)</f>
        <v>7726</v>
      </c>
      <c r="B1543" s="97" t="str">
        <f>IFERROR(__xludf.DUMMYFUNCTION("""COMPUTED_VALUE"""),"POCKET IV BLBL 2CCT ON/OFF")</f>
        <v>POCKET IV BLBL 2CCT ON/OFF</v>
      </c>
      <c r="C1543" s="97" t="str">
        <f>IFERROR(__xludf.DUMMYFUNCTION("""COMPUTED_VALUE"""),"EMPOTRABLE POCKET IV BLBL 2CCT ON/OFF 7W 2700/3000K 415LM CRI&gt;90 IP20 LEUK")</f>
        <v>EMPOTRABLE POCKET IV BLBL 2CCT ON/OFF 7W 2700/3000K 415LM CRI&gt;90 IP20 LEUK</v>
      </c>
      <c r="D1543" s="97" t="str">
        <f>IFERROR(__xludf.DUMMYFUNCTION("""COMPUTED_VALUE"""),"N/A")</f>
        <v>N/A</v>
      </c>
      <c r="E1543" s="97" t="str">
        <f>IFERROR(__xludf.DUMMYFUNCTION("""COMPUTED_VALUE"""),"N/A")</f>
        <v>N/A</v>
      </c>
      <c r="F1543" s="97" t="str">
        <f>IFERROR(__xludf.DUMMYFUNCTION("""COMPUTED_VALUE"""),"LED SMD")</f>
        <v>LED SMD</v>
      </c>
      <c r="G1543" s="97" t="str">
        <f>IFERROR(__xludf.DUMMYFUNCTION("""COMPUTED_VALUE"""),"-")</f>
        <v>-</v>
      </c>
      <c r="H1543" s="97" t="str">
        <f>IFERROR(__xludf.DUMMYFUNCTION("""COMPUTED_VALUE"""),"Eaglerise")</f>
        <v>Eaglerise</v>
      </c>
      <c r="I1543" s="97" t="str">
        <f>IFERROR(__xludf.DUMMYFUNCTION("""COMPUTED_VALUE"""),"Si")</f>
        <v>Si</v>
      </c>
      <c r="J1543" s="97" t="str">
        <f>IFERROR(__xludf.DUMMYFUNCTION("""COMPUTED_VALUE"""),"Modelo: LS-6-500 SI E
In: 220-240Vac 0.11A 50/60Hz
Out: 5-12Vdc 500mA 6W
Pf 0.5 Tc 50°C Ta 80°C")</f>
        <v>Modelo: LS-6-500 SI E
In: 220-240Vac 0.11A 50/60Hz
Out: 5-12Vdc 500mA 6W
Pf 0.5 Tc 50°C Ta 80°C</v>
      </c>
      <c r="K1543" s="97" t="str">
        <f>IFERROR(__xludf.DUMMYFUNCTION("""COMPUTED_VALUE"""),"ON/OFF")</f>
        <v>ON/OFF</v>
      </c>
      <c r="L1543" s="97" t="str">
        <f>IFERROR(__xludf.DUMMYFUNCTION("""COMPUTED_VALUE"""),"200-240")</f>
        <v>200-240</v>
      </c>
      <c r="M1543" s="97" t="str">
        <f>IFERROR(__xludf.DUMMYFUNCTION("""COMPUTED_VALUE"""),"50/60")</f>
        <v>50/60</v>
      </c>
      <c r="N1543" s="97" t="str">
        <f>IFERROR(__xludf.DUMMYFUNCTION("""COMPUTED_VALUE"""),"Directa")</f>
        <v>Directa</v>
      </c>
      <c r="O1543" s="97">
        <f>IFERROR(__xludf.DUMMYFUNCTION("""COMPUTED_VALUE"""),7.0)</f>
        <v>7</v>
      </c>
      <c r="P1543" s="97">
        <f>IFERROR(__xludf.DUMMYFUNCTION("""COMPUTED_VALUE"""),7.1)</f>
        <v>7.1</v>
      </c>
      <c r="Q1543" s="97"/>
      <c r="R1543" s="97" t="str">
        <f>IFERROR(__xludf.DUMMYFUNCTION("""COMPUTED_VALUE"""),"-")</f>
        <v>-</v>
      </c>
      <c r="S1543" s="97" t="str">
        <f>IFERROR(__xludf.DUMMYFUNCTION("""COMPUTED_VALUE"""),"-")</f>
        <v>-</v>
      </c>
      <c r="T1543" s="97">
        <f>IFERROR(__xludf.DUMMYFUNCTION("""COMPUTED_VALUE"""),415.0)</f>
        <v>415</v>
      </c>
      <c r="U1543" s="99">
        <f>IFERROR(__xludf.DUMMYFUNCTION("""COMPUTED_VALUE"""),59.285714285714285)</f>
        <v>59.28571429</v>
      </c>
      <c r="V1543" s="97">
        <f>IFERROR(__xludf.DUMMYFUNCTION("""COMPUTED_VALUE"""),38.0)</f>
        <v>38</v>
      </c>
      <c r="W1543" s="97" t="str">
        <f>IFERROR(__xludf.DUMMYFUNCTION("""COMPUTED_VALUE"""),"&lt; 14")</f>
        <v>&lt; 14</v>
      </c>
      <c r="X1543" s="97" t="str">
        <f>IFERROR(__xludf.DUMMYFUNCTION("""COMPUTED_VALUE"""),"2700/3000")</f>
        <v>2700/3000</v>
      </c>
      <c r="Y1543" s="97" t="str">
        <f>IFERROR(__xludf.DUMMYFUNCTION("""COMPUTED_VALUE"""),"&gt;90")</f>
        <v>&gt;90</v>
      </c>
      <c r="Z1543" s="97" t="str">
        <f>IFERROR(__xludf.DUMMYFUNCTION("""COMPUTED_VALUE"""),"&gt;90")</f>
        <v>&gt;90</v>
      </c>
      <c r="AA1543" s="97" t="str">
        <f>IFERROR(__xludf.DUMMYFUNCTION("""COMPUTED_VALUE"""),"100 (Fidelidad neutra)")</f>
        <v>100 (Fidelidad neutra)</v>
      </c>
      <c r="AB1543" s="97" t="str">
        <f>IFERROR(__xludf.DUMMYFUNCTION("""COMPUTED_VALUE"""),"&lt; 3")</f>
        <v>&lt; 3</v>
      </c>
      <c r="AC1543" s="97">
        <f>IFERROR(__xludf.DUMMYFUNCTION("""COMPUTED_VALUE"""),0.0028)</f>
        <v>0.0028</v>
      </c>
      <c r="AD1543" s="97" t="str">
        <f>IFERROR(__xludf.DUMMYFUNCTION("""COMPUTED_VALUE"""),"IP20")</f>
        <v>IP20</v>
      </c>
      <c r="AE1543" s="97" t="str">
        <f>IFERROR(__xludf.DUMMYFUNCTION("""COMPUTED_VALUE"""),"Clase l")</f>
        <v>Clase l</v>
      </c>
      <c r="AF1543" s="97" t="str">
        <f>IFERROR(__xludf.DUMMYFUNCTION("""COMPUTED_VALUE"""),"Embutir")</f>
        <v>Embutir</v>
      </c>
      <c r="AG1543" s="97" t="str">
        <f>IFERROR(__xludf.DUMMYFUNCTION("""COMPUTED_VALUE"""),"52 x 52 x 40")</f>
        <v>52 x 52 x 40</v>
      </c>
      <c r="AH1543" s="97" t="str">
        <f>IFERROR(__xludf.DUMMYFUNCTION("""COMPUTED_VALUE"""),"48 x 48")</f>
        <v>48 x 48</v>
      </c>
      <c r="AI1543" s="97">
        <f>IFERROR(__xludf.DUMMYFUNCTION("""COMPUTED_VALUE"""),55.0)</f>
        <v>55</v>
      </c>
      <c r="AJ1543" s="97" t="str">
        <f>IFERROR(__xludf.DUMMYFUNCTION("""COMPUTED_VALUE"""),"Policarbonato (PC)")</f>
        <v>Policarbonato (PC)</v>
      </c>
      <c r="AK1543" s="97" t="str">
        <f>IFERROR(__xludf.DUMMYFUNCTION("""COMPUTED_VALUE"""),"Aluminio")</f>
        <v>Aluminio</v>
      </c>
      <c r="AL1543" s="97" t="str">
        <f>IFERROR(__xludf.DUMMYFUNCTION("""COMPUTED_VALUE"""),"Blanco Satinado")</f>
        <v>Blanco Satinado</v>
      </c>
      <c r="AM1543" s="97" t="str">
        <f>IFERROR(__xludf.DUMMYFUNCTION("""COMPUTED_VALUE"""),"-")</f>
        <v>-</v>
      </c>
      <c r="AN1543" s="97" t="str">
        <f>IFERROR(__xludf.DUMMYFUNCTION("""COMPUTED_VALUE"""),"40.000hs (L70)")</f>
        <v>40.000hs (L70)</v>
      </c>
      <c r="AO1543" s="97" t="str">
        <f>IFERROR(__xludf.DUMMYFUNCTION("""COMPUTED_VALUE"""),"4 Años")</f>
        <v>4 Años</v>
      </c>
      <c r="AP1543" s="97" t="str">
        <f>IFERROR(__xludf.DUMMYFUNCTION("""COMPUTED_VALUE"""),"Falta")</f>
        <v>Falta</v>
      </c>
      <c r="AQ1543" s="97" t="str">
        <f>IFERROR(__xludf.DUMMYFUNCTION("""COMPUTED_VALUE"""),"Falta")</f>
        <v>Falta</v>
      </c>
      <c r="AR1543" s="97" t="str">
        <f>IFERROR(__xludf.DUMMYFUNCTION("""COMPUTED_VALUE"""),"En revisión")</f>
        <v>En revisión</v>
      </c>
      <c r="AS1543" s="97" t="str">
        <f>IFERROR(__xludf.DUMMYFUNCTION("""COMPUTED_VALUE"""),"Falta")</f>
        <v>Falta</v>
      </c>
      <c r="AT1543" s="97" t="str">
        <f>IFERROR(__xludf.DUMMYFUNCTION("""COMPUTED_VALUE"""),"Falta")</f>
        <v>Falta</v>
      </c>
      <c r="AU1543" s="97" t="str">
        <f>IFERROR(__xludf.DUMMYFUNCTION("""COMPUTED_VALUE"""),"Falta")</f>
        <v>Falta</v>
      </c>
      <c r="AV1543" s="97" t="str">
        <f>IFERROR(__xludf.DUMMYFUNCTION("""COMPUTED_VALUE"""),"Empotrable")</f>
        <v>Empotrable</v>
      </c>
      <c r="AW1543" s="97" t="str">
        <f>IFERROR(__xludf.DUMMYFUNCTION("""COMPUTED_VALUE"""),"De Techo")</f>
        <v>De Techo</v>
      </c>
      <c r="AX1543" s="97" t="str">
        <f>IFERROR(__xludf.DUMMYFUNCTION("""COMPUTED_VALUE"""),"Interior")</f>
        <v>Interior</v>
      </c>
      <c r="AY1543" s="97" t="str">
        <f>IFERROR(__xludf.DUMMYFUNCTION("""COMPUTED_VALUE"""),"Pocket")</f>
        <v>Pocket</v>
      </c>
      <c r="AZ1543" s="97"/>
      <c r="BA1543" s="97"/>
      <c r="BB1543" s="97"/>
      <c r="BC1543" s="97"/>
      <c r="BD1543" s="97" t="str">
        <f>IFERROR(__xludf.DUMMYFUNCTION("""COMPUTED_VALUE"""),"POCKET IV")</f>
        <v>POCKET IV</v>
      </c>
      <c r="BE1543" s="97" t="str">
        <f>IFERROR(__xludf.DUMMYFUNCTION("""COMPUTED_VALUE"""),"Falta TR")</f>
        <v>Falta TR</v>
      </c>
      <c r="BF1543" s="97"/>
      <c r="BG1543" s="97" t="str">
        <f>IFERROR(__xludf.DUMMYFUNCTION("""COMPUTED_VALUE"""),"REPO 7")</f>
        <v>REPO 7</v>
      </c>
    </row>
    <row r="1544">
      <c r="A1544" s="97">
        <f>IFERROR(__xludf.DUMMYFUNCTION("""COMPUTED_VALUE"""),7727.0)</f>
        <v>7727</v>
      </c>
      <c r="B1544" s="97" t="str">
        <f>IFERROR(__xludf.DUMMYFUNCTION("""COMPUTED_VALUE"""),"POCKET IV BLNG 2CCT ON/OFF")</f>
        <v>POCKET IV BLNG 2CCT ON/OFF</v>
      </c>
      <c r="C1544" s="97" t="str">
        <f>IFERROR(__xludf.DUMMYFUNCTION("""COMPUTED_VALUE"""),"EMPOTRABLE POCKET IV BLNG 2CCT ON/OFF 7W 2700/3000K 415LM CRI&gt;90 IP20 LEUK")</f>
        <v>EMPOTRABLE POCKET IV BLNG 2CCT ON/OFF 7W 2700/3000K 415LM CRI&gt;90 IP20 LEUK</v>
      </c>
      <c r="D1544" s="97" t="str">
        <f>IFERROR(__xludf.DUMMYFUNCTION("""COMPUTED_VALUE"""),"N/A")</f>
        <v>N/A</v>
      </c>
      <c r="E1544" s="97" t="str">
        <f>IFERROR(__xludf.DUMMYFUNCTION("""COMPUTED_VALUE"""),"N/A")</f>
        <v>N/A</v>
      </c>
      <c r="F1544" s="97" t="str">
        <f>IFERROR(__xludf.DUMMYFUNCTION("""COMPUTED_VALUE"""),"LED SMD")</f>
        <v>LED SMD</v>
      </c>
      <c r="G1544" s="97" t="str">
        <f>IFERROR(__xludf.DUMMYFUNCTION("""COMPUTED_VALUE"""),"-")</f>
        <v>-</v>
      </c>
      <c r="H1544" s="97" t="str">
        <f>IFERROR(__xludf.DUMMYFUNCTION("""COMPUTED_VALUE"""),"Eaglerise")</f>
        <v>Eaglerise</v>
      </c>
      <c r="I1544" s="97" t="str">
        <f>IFERROR(__xludf.DUMMYFUNCTION("""COMPUTED_VALUE"""),"Si")</f>
        <v>Si</v>
      </c>
      <c r="J1544" s="97" t="str">
        <f>IFERROR(__xludf.DUMMYFUNCTION("""COMPUTED_VALUE"""),"Modelo: LS-6-500 SI E
In: 220-240Vac 0.11A 50/60Hz
Out: 5-12Vdc 500mA 6W
Pf 0.5 Tc 50°C Ta 80°C")</f>
        <v>Modelo: LS-6-500 SI E
In: 220-240Vac 0.11A 50/60Hz
Out: 5-12Vdc 500mA 6W
Pf 0.5 Tc 50°C Ta 80°C</v>
      </c>
      <c r="K1544" s="97" t="str">
        <f>IFERROR(__xludf.DUMMYFUNCTION("""COMPUTED_VALUE"""),"ON/OFF")</f>
        <v>ON/OFF</v>
      </c>
      <c r="L1544" s="97" t="str">
        <f>IFERROR(__xludf.DUMMYFUNCTION("""COMPUTED_VALUE"""),"200-240")</f>
        <v>200-240</v>
      </c>
      <c r="M1544" s="97" t="str">
        <f>IFERROR(__xludf.DUMMYFUNCTION("""COMPUTED_VALUE"""),"50/60")</f>
        <v>50/60</v>
      </c>
      <c r="N1544" s="97" t="str">
        <f>IFERROR(__xludf.DUMMYFUNCTION("""COMPUTED_VALUE"""),"Directa")</f>
        <v>Directa</v>
      </c>
      <c r="O1544" s="97">
        <f>IFERROR(__xludf.DUMMYFUNCTION("""COMPUTED_VALUE"""),7.0)</f>
        <v>7</v>
      </c>
      <c r="P1544" s="97">
        <f>IFERROR(__xludf.DUMMYFUNCTION("""COMPUTED_VALUE"""),7.1)</f>
        <v>7.1</v>
      </c>
      <c r="Q1544" s="97"/>
      <c r="R1544" s="97" t="str">
        <f>IFERROR(__xludf.DUMMYFUNCTION("""COMPUTED_VALUE"""),"-")</f>
        <v>-</v>
      </c>
      <c r="S1544" s="97" t="str">
        <f>IFERROR(__xludf.DUMMYFUNCTION("""COMPUTED_VALUE"""),"-")</f>
        <v>-</v>
      </c>
      <c r="T1544" s="97">
        <f>IFERROR(__xludf.DUMMYFUNCTION("""COMPUTED_VALUE"""),415.0)</f>
        <v>415</v>
      </c>
      <c r="U1544" s="99">
        <f>IFERROR(__xludf.DUMMYFUNCTION("""COMPUTED_VALUE"""),59.285714285714285)</f>
        <v>59.28571429</v>
      </c>
      <c r="V1544" s="97">
        <f>IFERROR(__xludf.DUMMYFUNCTION("""COMPUTED_VALUE"""),38.0)</f>
        <v>38</v>
      </c>
      <c r="W1544" s="97" t="str">
        <f>IFERROR(__xludf.DUMMYFUNCTION("""COMPUTED_VALUE"""),"&lt; 14")</f>
        <v>&lt; 14</v>
      </c>
      <c r="X1544" s="97" t="str">
        <f>IFERROR(__xludf.DUMMYFUNCTION("""COMPUTED_VALUE"""),"2700/3000")</f>
        <v>2700/3000</v>
      </c>
      <c r="Y1544" s="97" t="str">
        <f>IFERROR(__xludf.DUMMYFUNCTION("""COMPUTED_VALUE"""),"&gt;90")</f>
        <v>&gt;90</v>
      </c>
      <c r="Z1544" s="97" t="str">
        <f>IFERROR(__xludf.DUMMYFUNCTION("""COMPUTED_VALUE"""),"&gt;90")</f>
        <v>&gt;90</v>
      </c>
      <c r="AA1544" s="97" t="str">
        <f>IFERROR(__xludf.DUMMYFUNCTION("""COMPUTED_VALUE"""),"100 (Fidelidad neutra)")</f>
        <v>100 (Fidelidad neutra)</v>
      </c>
      <c r="AB1544" s="97" t="str">
        <f>IFERROR(__xludf.DUMMYFUNCTION("""COMPUTED_VALUE"""),"&lt; 3")</f>
        <v>&lt; 3</v>
      </c>
      <c r="AC1544" s="97">
        <f>IFERROR(__xludf.DUMMYFUNCTION("""COMPUTED_VALUE"""),0.0013)</f>
        <v>0.0013</v>
      </c>
      <c r="AD1544" s="97" t="str">
        <f>IFERROR(__xludf.DUMMYFUNCTION("""COMPUTED_VALUE"""),"IP20")</f>
        <v>IP20</v>
      </c>
      <c r="AE1544" s="97" t="str">
        <f>IFERROR(__xludf.DUMMYFUNCTION("""COMPUTED_VALUE"""),"Clase l")</f>
        <v>Clase l</v>
      </c>
      <c r="AF1544" s="97" t="str">
        <f>IFERROR(__xludf.DUMMYFUNCTION("""COMPUTED_VALUE"""),"Embutir")</f>
        <v>Embutir</v>
      </c>
      <c r="AG1544" s="97" t="str">
        <f>IFERROR(__xludf.DUMMYFUNCTION("""COMPUTED_VALUE"""),"52 x 52 x 40")</f>
        <v>52 x 52 x 40</v>
      </c>
      <c r="AH1544" s="97" t="str">
        <f>IFERROR(__xludf.DUMMYFUNCTION("""COMPUTED_VALUE"""),"48 x 48")</f>
        <v>48 x 48</v>
      </c>
      <c r="AI1544" s="97">
        <f>IFERROR(__xludf.DUMMYFUNCTION("""COMPUTED_VALUE"""),55.0)</f>
        <v>55</v>
      </c>
      <c r="AJ1544" s="97" t="str">
        <f>IFERROR(__xludf.DUMMYFUNCTION("""COMPUTED_VALUE"""),"Policarbonato (PC)")</f>
        <v>Policarbonato (PC)</v>
      </c>
      <c r="AK1544" s="97" t="str">
        <f>IFERROR(__xludf.DUMMYFUNCTION("""COMPUTED_VALUE"""),"Aluminio")</f>
        <v>Aluminio</v>
      </c>
      <c r="AL1544" s="97" t="str">
        <f>IFERROR(__xludf.DUMMYFUNCTION("""COMPUTED_VALUE"""),"Blanco y Negro")</f>
        <v>Blanco y Negro</v>
      </c>
      <c r="AM1544" s="97" t="str">
        <f>IFERROR(__xludf.DUMMYFUNCTION("""COMPUTED_VALUE"""),"-")</f>
        <v>-</v>
      </c>
      <c r="AN1544" s="97" t="str">
        <f>IFERROR(__xludf.DUMMYFUNCTION("""COMPUTED_VALUE"""),"40.000hs (L70)")</f>
        <v>40.000hs (L70)</v>
      </c>
      <c r="AO1544" s="97" t="str">
        <f>IFERROR(__xludf.DUMMYFUNCTION("""COMPUTED_VALUE"""),"4 Años")</f>
        <v>4 Años</v>
      </c>
      <c r="AP1544" s="97" t="str">
        <f>IFERROR(__xludf.DUMMYFUNCTION("""COMPUTED_VALUE"""),"Falta")</f>
        <v>Falta</v>
      </c>
      <c r="AQ1544" s="97" t="str">
        <f>IFERROR(__xludf.DUMMYFUNCTION("""COMPUTED_VALUE"""),"Falta")</f>
        <v>Falta</v>
      </c>
      <c r="AR1544" s="97" t="str">
        <f>IFERROR(__xludf.DUMMYFUNCTION("""COMPUTED_VALUE"""),"En revisión")</f>
        <v>En revisión</v>
      </c>
      <c r="AS1544" s="97" t="str">
        <f>IFERROR(__xludf.DUMMYFUNCTION("""COMPUTED_VALUE"""),"Falta")</f>
        <v>Falta</v>
      </c>
      <c r="AT1544" s="97" t="str">
        <f>IFERROR(__xludf.DUMMYFUNCTION("""COMPUTED_VALUE"""),"Falta")</f>
        <v>Falta</v>
      </c>
      <c r="AU1544" s="97" t="str">
        <f>IFERROR(__xludf.DUMMYFUNCTION("""COMPUTED_VALUE"""),"Falta")</f>
        <v>Falta</v>
      </c>
      <c r="AV1544" s="97" t="str">
        <f>IFERROR(__xludf.DUMMYFUNCTION("""COMPUTED_VALUE"""),"Empotrable")</f>
        <v>Empotrable</v>
      </c>
      <c r="AW1544" s="97" t="str">
        <f>IFERROR(__xludf.DUMMYFUNCTION("""COMPUTED_VALUE"""),"De Techo")</f>
        <v>De Techo</v>
      </c>
      <c r="AX1544" s="97" t="str">
        <f>IFERROR(__xludf.DUMMYFUNCTION("""COMPUTED_VALUE"""),"Interior")</f>
        <v>Interior</v>
      </c>
      <c r="AY1544" s="97" t="str">
        <f>IFERROR(__xludf.DUMMYFUNCTION("""COMPUTED_VALUE"""),"Pocket")</f>
        <v>Pocket</v>
      </c>
      <c r="AZ1544" s="97"/>
      <c r="BA1544" s="97"/>
      <c r="BB1544" s="97"/>
      <c r="BC1544" s="97"/>
      <c r="BD1544" s="97" t="str">
        <f>IFERROR(__xludf.DUMMYFUNCTION("""COMPUTED_VALUE"""),"POCKET IV")</f>
        <v>POCKET IV</v>
      </c>
      <c r="BE1544" s="97" t="str">
        <f>IFERROR(__xludf.DUMMYFUNCTION("""COMPUTED_VALUE"""),"Falta TR")</f>
        <v>Falta TR</v>
      </c>
      <c r="BF1544" s="97"/>
      <c r="BG1544" s="97" t="str">
        <f>IFERROR(__xludf.DUMMYFUNCTION("""COMPUTED_VALUE"""),"REPO 7")</f>
        <v>REPO 7</v>
      </c>
    </row>
    <row r="1545">
      <c r="A1545" s="97">
        <f>IFERROR(__xludf.DUMMYFUNCTION("""COMPUTED_VALUE"""),7728.0)</f>
        <v>7728</v>
      </c>
      <c r="B1545" s="97" t="str">
        <f>IFERROR(__xludf.DUMMYFUNCTION("""COMPUTED_VALUE"""),"POCKET IV NGNG 2CCT ON/OFF")</f>
        <v>POCKET IV NGNG 2CCT ON/OFF</v>
      </c>
      <c r="C1545" s="97" t="str">
        <f>IFERROR(__xludf.DUMMYFUNCTION("""COMPUTED_VALUE"""),"EMPOTRABLE POCKET IV NGNG 2CCT ON/OFF 7W 2700/3000K 415LM CRI&gt;90 IP20 LEUK")</f>
        <v>EMPOTRABLE POCKET IV NGNG 2CCT ON/OFF 7W 2700/3000K 415LM CRI&gt;90 IP20 LEUK</v>
      </c>
      <c r="D1545" s="97" t="str">
        <f>IFERROR(__xludf.DUMMYFUNCTION("""COMPUTED_VALUE"""),"N/A")</f>
        <v>N/A</v>
      </c>
      <c r="E1545" s="97" t="str">
        <f>IFERROR(__xludf.DUMMYFUNCTION("""COMPUTED_VALUE"""),"N/A")</f>
        <v>N/A</v>
      </c>
      <c r="F1545" s="97" t="str">
        <f>IFERROR(__xludf.DUMMYFUNCTION("""COMPUTED_VALUE"""),"LED SMD")</f>
        <v>LED SMD</v>
      </c>
      <c r="G1545" s="97" t="str">
        <f>IFERROR(__xludf.DUMMYFUNCTION("""COMPUTED_VALUE"""),"-")</f>
        <v>-</v>
      </c>
      <c r="H1545" s="97" t="str">
        <f>IFERROR(__xludf.DUMMYFUNCTION("""COMPUTED_VALUE"""),"Eaglerise")</f>
        <v>Eaglerise</v>
      </c>
      <c r="I1545" s="97" t="str">
        <f>IFERROR(__xludf.DUMMYFUNCTION("""COMPUTED_VALUE"""),"Si")</f>
        <v>Si</v>
      </c>
      <c r="J1545" s="97" t="str">
        <f>IFERROR(__xludf.DUMMYFUNCTION("""COMPUTED_VALUE"""),"Modelo: LS-6-500 SI E
In: 220-240Vac 0.11A 50/60Hz
Out: 5-12Vdc 500mA 6W
Pf 0.5 Tc 50°C Ta 80°C")</f>
        <v>Modelo: LS-6-500 SI E
In: 220-240Vac 0.11A 50/60Hz
Out: 5-12Vdc 500mA 6W
Pf 0.5 Tc 50°C Ta 80°C</v>
      </c>
      <c r="K1545" s="97" t="str">
        <f>IFERROR(__xludf.DUMMYFUNCTION("""COMPUTED_VALUE"""),"ON/OFF")</f>
        <v>ON/OFF</v>
      </c>
      <c r="L1545" s="97" t="str">
        <f>IFERROR(__xludf.DUMMYFUNCTION("""COMPUTED_VALUE"""),"200-240")</f>
        <v>200-240</v>
      </c>
      <c r="M1545" s="97" t="str">
        <f>IFERROR(__xludf.DUMMYFUNCTION("""COMPUTED_VALUE"""),"50/60")</f>
        <v>50/60</v>
      </c>
      <c r="N1545" s="97" t="str">
        <f>IFERROR(__xludf.DUMMYFUNCTION("""COMPUTED_VALUE"""),"Directa")</f>
        <v>Directa</v>
      </c>
      <c r="O1545" s="97">
        <f>IFERROR(__xludf.DUMMYFUNCTION("""COMPUTED_VALUE"""),7.0)</f>
        <v>7</v>
      </c>
      <c r="P1545" s="97">
        <f>IFERROR(__xludf.DUMMYFUNCTION("""COMPUTED_VALUE"""),7.1)</f>
        <v>7.1</v>
      </c>
      <c r="Q1545" s="97"/>
      <c r="R1545" s="97" t="str">
        <f>IFERROR(__xludf.DUMMYFUNCTION("""COMPUTED_VALUE"""),"-")</f>
        <v>-</v>
      </c>
      <c r="S1545" s="97" t="str">
        <f>IFERROR(__xludf.DUMMYFUNCTION("""COMPUTED_VALUE"""),"-")</f>
        <v>-</v>
      </c>
      <c r="T1545" s="97">
        <f>IFERROR(__xludf.DUMMYFUNCTION("""COMPUTED_VALUE"""),415.0)</f>
        <v>415</v>
      </c>
      <c r="U1545" s="99">
        <f>IFERROR(__xludf.DUMMYFUNCTION("""COMPUTED_VALUE"""),59.285714285714285)</f>
        <v>59.28571429</v>
      </c>
      <c r="V1545" s="97">
        <f>IFERROR(__xludf.DUMMYFUNCTION("""COMPUTED_VALUE"""),38.0)</f>
        <v>38</v>
      </c>
      <c r="W1545" s="97" t="str">
        <f>IFERROR(__xludf.DUMMYFUNCTION("""COMPUTED_VALUE"""),"&lt; 14")</f>
        <v>&lt; 14</v>
      </c>
      <c r="X1545" s="97" t="str">
        <f>IFERROR(__xludf.DUMMYFUNCTION("""COMPUTED_VALUE"""),"2700/3000")</f>
        <v>2700/3000</v>
      </c>
      <c r="Y1545" s="97" t="str">
        <f>IFERROR(__xludf.DUMMYFUNCTION("""COMPUTED_VALUE"""),"&gt;90")</f>
        <v>&gt;90</v>
      </c>
      <c r="Z1545" s="97" t="str">
        <f>IFERROR(__xludf.DUMMYFUNCTION("""COMPUTED_VALUE"""),"&gt;90")</f>
        <v>&gt;90</v>
      </c>
      <c r="AA1545" s="97" t="str">
        <f>IFERROR(__xludf.DUMMYFUNCTION("""COMPUTED_VALUE"""),"100 (Fidelidad neutra)")</f>
        <v>100 (Fidelidad neutra)</v>
      </c>
      <c r="AB1545" s="97" t="str">
        <f>IFERROR(__xludf.DUMMYFUNCTION("""COMPUTED_VALUE"""),"&lt; 3")</f>
        <v>&lt; 3</v>
      </c>
      <c r="AC1545" s="97">
        <f>IFERROR(__xludf.DUMMYFUNCTION("""COMPUTED_VALUE"""),0.002)</f>
        <v>0.002</v>
      </c>
      <c r="AD1545" s="97" t="str">
        <f>IFERROR(__xludf.DUMMYFUNCTION("""COMPUTED_VALUE"""),"IP20")</f>
        <v>IP20</v>
      </c>
      <c r="AE1545" s="97" t="str">
        <f>IFERROR(__xludf.DUMMYFUNCTION("""COMPUTED_VALUE"""),"Clase l")</f>
        <v>Clase l</v>
      </c>
      <c r="AF1545" s="97" t="str">
        <f>IFERROR(__xludf.DUMMYFUNCTION("""COMPUTED_VALUE"""),"Embutir")</f>
        <v>Embutir</v>
      </c>
      <c r="AG1545" s="97" t="str">
        <f>IFERROR(__xludf.DUMMYFUNCTION("""COMPUTED_VALUE"""),"52 x 52 x 40")</f>
        <v>52 x 52 x 40</v>
      </c>
      <c r="AH1545" s="97" t="str">
        <f>IFERROR(__xludf.DUMMYFUNCTION("""COMPUTED_VALUE"""),"48 x 48")</f>
        <v>48 x 48</v>
      </c>
      <c r="AI1545" s="97">
        <f>IFERROR(__xludf.DUMMYFUNCTION("""COMPUTED_VALUE"""),55.0)</f>
        <v>55</v>
      </c>
      <c r="AJ1545" s="97" t="str">
        <f>IFERROR(__xludf.DUMMYFUNCTION("""COMPUTED_VALUE"""),"Policarbonato (PC)")</f>
        <v>Policarbonato (PC)</v>
      </c>
      <c r="AK1545" s="97" t="str">
        <f>IFERROR(__xludf.DUMMYFUNCTION("""COMPUTED_VALUE"""),"Aluminio")</f>
        <v>Aluminio</v>
      </c>
      <c r="AL1545" s="97" t="str">
        <f>IFERROR(__xludf.DUMMYFUNCTION("""COMPUTED_VALUE"""),"Negro Satinado")</f>
        <v>Negro Satinado</v>
      </c>
      <c r="AM1545" s="97" t="str">
        <f>IFERROR(__xludf.DUMMYFUNCTION("""COMPUTED_VALUE"""),"-")</f>
        <v>-</v>
      </c>
      <c r="AN1545" s="97" t="str">
        <f>IFERROR(__xludf.DUMMYFUNCTION("""COMPUTED_VALUE"""),"40.000hs (L70)")</f>
        <v>40.000hs (L70)</v>
      </c>
      <c r="AO1545" s="97" t="str">
        <f>IFERROR(__xludf.DUMMYFUNCTION("""COMPUTED_VALUE"""),"4 Años")</f>
        <v>4 Años</v>
      </c>
      <c r="AP1545" s="97" t="str">
        <f>IFERROR(__xludf.DUMMYFUNCTION("""COMPUTED_VALUE"""),"Falta")</f>
        <v>Falta</v>
      </c>
      <c r="AQ1545" s="97" t="str">
        <f>IFERROR(__xludf.DUMMYFUNCTION("""COMPUTED_VALUE"""),"Falta")</f>
        <v>Falta</v>
      </c>
      <c r="AR1545" s="97" t="str">
        <f>IFERROR(__xludf.DUMMYFUNCTION("""COMPUTED_VALUE"""),"En revisión")</f>
        <v>En revisión</v>
      </c>
      <c r="AS1545" s="97" t="str">
        <f>IFERROR(__xludf.DUMMYFUNCTION("""COMPUTED_VALUE"""),"Falta")</f>
        <v>Falta</v>
      </c>
      <c r="AT1545" s="97" t="str">
        <f>IFERROR(__xludf.DUMMYFUNCTION("""COMPUTED_VALUE"""),"Falta")</f>
        <v>Falta</v>
      </c>
      <c r="AU1545" s="97" t="str">
        <f>IFERROR(__xludf.DUMMYFUNCTION("""COMPUTED_VALUE"""),"Falta")</f>
        <v>Falta</v>
      </c>
      <c r="AV1545" s="97" t="str">
        <f>IFERROR(__xludf.DUMMYFUNCTION("""COMPUTED_VALUE"""),"Empotrable")</f>
        <v>Empotrable</v>
      </c>
      <c r="AW1545" s="97" t="str">
        <f>IFERROR(__xludf.DUMMYFUNCTION("""COMPUTED_VALUE"""),"De Techo")</f>
        <v>De Techo</v>
      </c>
      <c r="AX1545" s="97" t="str">
        <f>IFERROR(__xludf.DUMMYFUNCTION("""COMPUTED_VALUE"""),"Interior")</f>
        <v>Interior</v>
      </c>
      <c r="AY1545" s="97" t="str">
        <f>IFERROR(__xludf.DUMMYFUNCTION("""COMPUTED_VALUE"""),"Pocket")</f>
        <v>Pocket</v>
      </c>
      <c r="AZ1545" s="97"/>
      <c r="BA1545" s="97"/>
      <c r="BB1545" s="97"/>
      <c r="BC1545" s="97"/>
      <c r="BD1545" s="97" t="str">
        <f>IFERROR(__xludf.DUMMYFUNCTION("""COMPUTED_VALUE"""),"POCKET IV")</f>
        <v>POCKET IV</v>
      </c>
      <c r="BE1545" s="97" t="str">
        <f>IFERROR(__xludf.DUMMYFUNCTION("""COMPUTED_VALUE"""),"Falta TR")</f>
        <v>Falta TR</v>
      </c>
      <c r="BF1545" s="97"/>
      <c r="BG1545" s="97" t="str">
        <f>IFERROR(__xludf.DUMMYFUNCTION("""COMPUTED_VALUE"""),"REPO 7")</f>
        <v>REPO 7</v>
      </c>
    </row>
    <row r="1546">
      <c r="A1546" s="97">
        <f>IFERROR(__xludf.DUMMYFUNCTION("""COMPUTED_VALUE"""),7729.0)</f>
        <v>7729</v>
      </c>
      <c r="B1546" s="97" t="str">
        <f>IFERROR(__xludf.DUMMYFUNCTION("""COMPUTED_VALUE"""),"POCKET VI BLBL 2CCT ON/OFF")</f>
        <v>POCKET VI BLBL 2CCT ON/OFF</v>
      </c>
      <c r="C1546" s="97" t="str">
        <f>IFERROR(__xludf.DUMMYFUNCTION("""COMPUTED_VALUE"""),"EMPOTRABLE POCKET VI BLBL 2CCT ON/OFF 10W 2700/3000K 600LM CRI&gt;90 IP20 LEUK")</f>
        <v>EMPOTRABLE POCKET VI BLBL 2CCT ON/OFF 10W 2700/3000K 600LM CRI&gt;90 IP20 LEUK</v>
      </c>
      <c r="D1546" s="97" t="str">
        <f>IFERROR(__xludf.DUMMYFUNCTION("""COMPUTED_VALUE"""),"N/A")</f>
        <v>N/A</v>
      </c>
      <c r="E1546" s="97" t="str">
        <f>IFERROR(__xludf.DUMMYFUNCTION("""COMPUTED_VALUE"""),"N/A")</f>
        <v>N/A</v>
      </c>
      <c r="F1546" s="97" t="str">
        <f>IFERROR(__xludf.DUMMYFUNCTION("""COMPUTED_VALUE"""),"LED SMD")</f>
        <v>LED SMD</v>
      </c>
      <c r="G1546" s="97" t="str">
        <f>IFERROR(__xludf.DUMMYFUNCTION("""COMPUTED_VALUE"""),"-")</f>
        <v>-</v>
      </c>
      <c r="H1546" s="97" t="str">
        <f>IFERROR(__xludf.DUMMYFUNCTION("""COMPUTED_VALUE"""),"Eaglerise")</f>
        <v>Eaglerise</v>
      </c>
      <c r="I1546" s="97" t="str">
        <f>IFERROR(__xludf.DUMMYFUNCTION("""COMPUTED_VALUE"""),"Si")</f>
        <v>Si</v>
      </c>
      <c r="J1546" s="97" t="str">
        <f>IFERROR(__xludf.DUMMYFUNCTION("""COMPUTED_VALUE"""),"Modelo: LS-12-500 SI2 E
In: 220-240Vac 0.16A 50/60Hz
Out: 18-24Vdc 500mA 12W
Pf 0.6 Tc 85°C Ta 45°C")</f>
        <v>Modelo: LS-12-500 SI2 E
In: 220-240Vac 0.16A 50/60Hz
Out: 18-24Vdc 500mA 12W
Pf 0.6 Tc 85°C Ta 45°C</v>
      </c>
      <c r="K1546" s="97" t="str">
        <f>IFERROR(__xludf.DUMMYFUNCTION("""COMPUTED_VALUE"""),"ON/OFF")</f>
        <v>ON/OFF</v>
      </c>
      <c r="L1546" s="97" t="str">
        <f>IFERROR(__xludf.DUMMYFUNCTION("""COMPUTED_VALUE"""),"200-240")</f>
        <v>200-240</v>
      </c>
      <c r="M1546" s="97" t="str">
        <f>IFERROR(__xludf.DUMMYFUNCTION("""COMPUTED_VALUE"""),"50/60")</f>
        <v>50/60</v>
      </c>
      <c r="N1546" s="97" t="str">
        <f>IFERROR(__xludf.DUMMYFUNCTION("""COMPUTED_VALUE"""),"Directa")</f>
        <v>Directa</v>
      </c>
      <c r="O1546" s="97">
        <f>IFERROR(__xludf.DUMMYFUNCTION("""COMPUTED_VALUE"""),10.0)</f>
        <v>10</v>
      </c>
      <c r="P1546" s="97">
        <f>IFERROR(__xludf.DUMMYFUNCTION("""COMPUTED_VALUE"""),9.3)</f>
        <v>9.3</v>
      </c>
      <c r="Q1546" s="97"/>
      <c r="R1546" s="97" t="str">
        <f>IFERROR(__xludf.DUMMYFUNCTION("""COMPUTED_VALUE"""),"-")</f>
        <v>-</v>
      </c>
      <c r="S1546" s="97" t="str">
        <f>IFERROR(__xludf.DUMMYFUNCTION("""COMPUTED_VALUE"""),"-")</f>
        <v>-</v>
      </c>
      <c r="T1546" s="97">
        <f>IFERROR(__xludf.DUMMYFUNCTION("""COMPUTED_VALUE"""),600.0)</f>
        <v>600</v>
      </c>
      <c r="U1546" s="97">
        <f>IFERROR(__xludf.DUMMYFUNCTION("""COMPUTED_VALUE"""),60.0)</f>
        <v>60</v>
      </c>
      <c r="V1546" s="97">
        <f>IFERROR(__xludf.DUMMYFUNCTION("""COMPUTED_VALUE"""),38.0)</f>
        <v>38</v>
      </c>
      <c r="W1546" s="97" t="str">
        <f>IFERROR(__xludf.DUMMYFUNCTION("""COMPUTED_VALUE"""),"&lt; 14")</f>
        <v>&lt; 14</v>
      </c>
      <c r="X1546" s="97" t="str">
        <f>IFERROR(__xludf.DUMMYFUNCTION("""COMPUTED_VALUE"""),"2700/3000")</f>
        <v>2700/3000</v>
      </c>
      <c r="Y1546" s="97" t="str">
        <f>IFERROR(__xludf.DUMMYFUNCTION("""COMPUTED_VALUE"""),"&gt;90")</f>
        <v>&gt;90</v>
      </c>
      <c r="Z1546" s="97" t="str">
        <f>IFERROR(__xludf.DUMMYFUNCTION("""COMPUTED_VALUE"""),"&gt;90")</f>
        <v>&gt;90</v>
      </c>
      <c r="AA1546" s="97" t="str">
        <f>IFERROR(__xludf.DUMMYFUNCTION("""COMPUTED_VALUE"""),"100 (Fidelidad neutra)")</f>
        <v>100 (Fidelidad neutra)</v>
      </c>
      <c r="AB1546" s="97" t="str">
        <f>IFERROR(__xludf.DUMMYFUNCTION("""COMPUTED_VALUE"""),"&lt; 3")</f>
        <v>&lt; 3</v>
      </c>
      <c r="AC1546" s="97">
        <f>IFERROR(__xludf.DUMMYFUNCTION("""COMPUTED_VALUE"""),-3.0E-4)</f>
        <v>-0.0003</v>
      </c>
      <c r="AD1546" s="97" t="str">
        <f>IFERROR(__xludf.DUMMYFUNCTION("""COMPUTED_VALUE"""),"IP20")</f>
        <v>IP20</v>
      </c>
      <c r="AE1546" s="97" t="str">
        <f>IFERROR(__xludf.DUMMYFUNCTION("""COMPUTED_VALUE"""),"Clase l")</f>
        <v>Clase l</v>
      </c>
      <c r="AF1546" s="97" t="str">
        <f>IFERROR(__xludf.DUMMYFUNCTION("""COMPUTED_VALUE"""),"Embutir")</f>
        <v>Embutir</v>
      </c>
      <c r="AG1546" s="97" t="str">
        <f>IFERROR(__xludf.DUMMYFUNCTION("""COMPUTED_VALUE"""),"126 x 31 x 40")</f>
        <v>126 x 31 x 40</v>
      </c>
      <c r="AH1546" s="97" t="str">
        <f>IFERROR(__xludf.DUMMYFUNCTION("""COMPUTED_VALUE"""),"122 x 27")</f>
        <v>122 x 27</v>
      </c>
      <c r="AI1546" s="97">
        <f>IFERROR(__xludf.DUMMYFUNCTION("""COMPUTED_VALUE"""),55.0)</f>
        <v>55</v>
      </c>
      <c r="AJ1546" s="97" t="str">
        <f>IFERROR(__xludf.DUMMYFUNCTION("""COMPUTED_VALUE"""),"Policarbonato (PC)")</f>
        <v>Policarbonato (PC)</v>
      </c>
      <c r="AK1546" s="97" t="str">
        <f>IFERROR(__xludf.DUMMYFUNCTION("""COMPUTED_VALUE"""),"Aluminio")</f>
        <v>Aluminio</v>
      </c>
      <c r="AL1546" s="97" t="str">
        <f>IFERROR(__xludf.DUMMYFUNCTION("""COMPUTED_VALUE"""),"Blanco Satinado")</f>
        <v>Blanco Satinado</v>
      </c>
      <c r="AM1546" s="97" t="str">
        <f>IFERROR(__xludf.DUMMYFUNCTION("""COMPUTED_VALUE"""),"-")</f>
        <v>-</v>
      </c>
      <c r="AN1546" s="97" t="str">
        <f>IFERROR(__xludf.DUMMYFUNCTION("""COMPUTED_VALUE"""),"40.000hs (L70)")</f>
        <v>40.000hs (L70)</v>
      </c>
      <c r="AO1546" s="97" t="str">
        <f>IFERROR(__xludf.DUMMYFUNCTION("""COMPUTED_VALUE"""),"4 Años")</f>
        <v>4 Años</v>
      </c>
      <c r="AP1546" s="97" t="str">
        <f>IFERROR(__xludf.DUMMYFUNCTION("""COMPUTED_VALUE"""),"Falta")</f>
        <v>Falta</v>
      </c>
      <c r="AQ1546" s="97" t="str">
        <f>IFERROR(__xludf.DUMMYFUNCTION("""COMPUTED_VALUE"""),"Falta")</f>
        <v>Falta</v>
      </c>
      <c r="AR1546" s="97" t="str">
        <f>IFERROR(__xludf.DUMMYFUNCTION("""COMPUTED_VALUE"""),"En revisión")</f>
        <v>En revisión</v>
      </c>
      <c r="AS1546" s="97" t="str">
        <f>IFERROR(__xludf.DUMMYFUNCTION("""COMPUTED_VALUE"""),"Falta")</f>
        <v>Falta</v>
      </c>
      <c r="AT1546" s="97" t="str">
        <f>IFERROR(__xludf.DUMMYFUNCTION("""COMPUTED_VALUE"""),"Falta")</f>
        <v>Falta</v>
      </c>
      <c r="AU1546" s="97" t="str">
        <f>IFERROR(__xludf.DUMMYFUNCTION("""COMPUTED_VALUE"""),"Falta")</f>
        <v>Falta</v>
      </c>
      <c r="AV1546" s="97" t="str">
        <f>IFERROR(__xludf.DUMMYFUNCTION("""COMPUTED_VALUE"""),"Empotrable")</f>
        <v>Empotrable</v>
      </c>
      <c r="AW1546" s="97" t="str">
        <f>IFERROR(__xludf.DUMMYFUNCTION("""COMPUTED_VALUE"""),"De Techo")</f>
        <v>De Techo</v>
      </c>
      <c r="AX1546" s="97" t="str">
        <f>IFERROR(__xludf.DUMMYFUNCTION("""COMPUTED_VALUE"""),"Interior")</f>
        <v>Interior</v>
      </c>
      <c r="AY1546" s="97" t="str">
        <f>IFERROR(__xludf.DUMMYFUNCTION("""COMPUTED_VALUE"""),"Pocket")</f>
        <v>Pocket</v>
      </c>
      <c r="AZ1546" s="97"/>
      <c r="BA1546" s="97"/>
      <c r="BB1546" s="97"/>
      <c r="BC1546" s="97"/>
      <c r="BD1546" s="97" t="str">
        <f>IFERROR(__xludf.DUMMYFUNCTION("""COMPUTED_VALUE"""),"POCKET VI")</f>
        <v>POCKET VI</v>
      </c>
      <c r="BE1546" s="97" t="str">
        <f>IFERROR(__xludf.DUMMYFUNCTION("""COMPUTED_VALUE"""),"Falta TR")</f>
        <v>Falta TR</v>
      </c>
      <c r="BF1546" s="97"/>
      <c r="BG1546" s="97" t="str">
        <f>IFERROR(__xludf.DUMMYFUNCTION("""COMPUTED_VALUE"""),"REPO 7")</f>
        <v>REPO 7</v>
      </c>
    </row>
    <row r="1547">
      <c r="A1547" s="97">
        <f>IFERROR(__xludf.DUMMYFUNCTION("""COMPUTED_VALUE"""),7730.0)</f>
        <v>7730</v>
      </c>
      <c r="B1547" s="97" t="str">
        <f>IFERROR(__xludf.DUMMYFUNCTION("""COMPUTED_VALUE"""),"POCKET VI BLNG 2CCT ON/OFF")</f>
        <v>POCKET VI BLNG 2CCT ON/OFF</v>
      </c>
      <c r="C1547" s="97" t="str">
        <f>IFERROR(__xludf.DUMMYFUNCTION("""COMPUTED_VALUE"""),"EMPOTRABLE POCKET VI BLNG 2CCT ON/OFF 10W 2700/3000K 600LM CRI&gt;90 IP20 LEUK")</f>
        <v>EMPOTRABLE POCKET VI BLNG 2CCT ON/OFF 10W 2700/3000K 600LM CRI&gt;90 IP20 LEUK</v>
      </c>
      <c r="D1547" s="97" t="str">
        <f>IFERROR(__xludf.DUMMYFUNCTION("""COMPUTED_VALUE"""),"N/A")</f>
        <v>N/A</v>
      </c>
      <c r="E1547" s="97" t="str">
        <f>IFERROR(__xludf.DUMMYFUNCTION("""COMPUTED_VALUE"""),"N/A")</f>
        <v>N/A</v>
      </c>
      <c r="F1547" s="97" t="str">
        <f>IFERROR(__xludf.DUMMYFUNCTION("""COMPUTED_VALUE"""),"LED SMD")</f>
        <v>LED SMD</v>
      </c>
      <c r="G1547" s="97" t="str">
        <f>IFERROR(__xludf.DUMMYFUNCTION("""COMPUTED_VALUE"""),"-")</f>
        <v>-</v>
      </c>
      <c r="H1547" s="97" t="str">
        <f>IFERROR(__xludf.DUMMYFUNCTION("""COMPUTED_VALUE"""),"Eaglerise")</f>
        <v>Eaglerise</v>
      </c>
      <c r="I1547" s="97" t="str">
        <f>IFERROR(__xludf.DUMMYFUNCTION("""COMPUTED_VALUE"""),"Si")</f>
        <v>Si</v>
      </c>
      <c r="J1547" s="97" t="str">
        <f>IFERROR(__xludf.DUMMYFUNCTION("""COMPUTED_VALUE"""),"Modelo: LS-12-500 SI2 E
In: 220-240Vac 0.16A 50/60Hz
Out: 18-24Vdc 500mA 12W
Pf 0.6 Tc 85°C Ta 45°C")</f>
        <v>Modelo: LS-12-500 SI2 E
In: 220-240Vac 0.16A 50/60Hz
Out: 18-24Vdc 500mA 12W
Pf 0.6 Tc 85°C Ta 45°C</v>
      </c>
      <c r="K1547" s="97" t="str">
        <f>IFERROR(__xludf.DUMMYFUNCTION("""COMPUTED_VALUE"""),"ON/OFF")</f>
        <v>ON/OFF</v>
      </c>
      <c r="L1547" s="97" t="str">
        <f>IFERROR(__xludf.DUMMYFUNCTION("""COMPUTED_VALUE"""),"200-240")</f>
        <v>200-240</v>
      </c>
      <c r="M1547" s="97" t="str">
        <f>IFERROR(__xludf.DUMMYFUNCTION("""COMPUTED_VALUE"""),"50/60")</f>
        <v>50/60</v>
      </c>
      <c r="N1547" s="97" t="str">
        <f>IFERROR(__xludf.DUMMYFUNCTION("""COMPUTED_VALUE"""),"Directa")</f>
        <v>Directa</v>
      </c>
      <c r="O1547" s="97">
        <f>IFERROR(__xludf.DUMMYFUNCTION("""COMPUTED_VALUE"""),10.0)</f>
        <v>10</v>
      </c>
      <c r="P1547" s="97">
        <f>IFERROR(__xludf.DUMMYFUNCTION("""COMPUTED_VALUE"""),9.3)</f>
        <v>9.3</v>
      </c>
      <c r="Q1547" s="97"/>
      <c r="R1547" s="97" t="str">
        <f>IFERROR(__xludf.DUMMYFUNCTION("""COMPUTED_VALUE"""),"-")</f>
        <v>-</v>
      </c>
      <c r="S1547" s="97" t="str">
        <f>IFERROR(__xludf.DUMMYFUNCTION("""COMPUTED_VALUE"""),"-")</f>
        <v>-</v>
      </c>
      <c r="T1547" s="97">
        <f>IFERROR(__xludf.DUMMYFUNCTION("""COMPUTED_VALUE"""),600.0)</f>
        <v>600</v>
      </c>
      <c r="U1547" s="97">
        <f>IFERROR(__xludf.DUMMYFUNCTION("""COMPUTED_VALUE"""),60.0)</f>
        <v>60</v>
      </c>
      <c r="V1547" s="97">
        <f>IFERROR(__xludf.DUMMYFUNCTION("""COMPUTED_VALUE"""),38.0)</f>
        <v>38</v>
      </c>
      <c r="W1547" s="97" t="str">
        <f>IFERROR(__xludf.DUMMYFUNCTION("""COMPUTED_VALUE"""),"&lt; 14")</f>
        <v>&lt; 14</v>
      </c>
      <c r="X1547" s="97" t="str">
        <f>IFERROR(__xludf.DUMMYFUNCTION("""COMPUTED_VALUE"""),"2700/3000")</f>
        <v>2700/3000</v>
      </c>
      <c r="Y1547" s="97" t="str">
        <f>IFERROR(__xludf.DUMMYFUNCTION("""COMPUTED_VALUE"""),"&gt;90")</f>
        <v>&gt;90</v>
      </c>
      <c r="Z1547" s="97" t="str">
        <f>IFERROR(__xludf.DUMMYFUNCTION("""COMPUTED_VALUE"""),"&gt;90")</f>
        <v>&gt;90</v>
      </c>
      <c r="AA1547" s="97" t="str">
        <f>IFERROR(__xludf.DUMMYFUNCTION("""COMPUTED_VALUE"""),"100 (Fidelidad neutra)")</f>
        <v>100 (Fidelidad neutra)</v>
      </c>
      <c r="AB1547" s="97" t="str">
        <f>IFERROR(__xludf.DUMMYFUNCTION("""COMPUTED_VALUE"""),"&lt; 3")</f>
        <v>&lt; 3</v>
      </c>
      <c r="AC1547" s="97">
        <f>IFERROR(__xludf.DUMMYFUNCTION("""COMPUTED_VALUE"""),-3.0E-4)</f>
        <v>-0.0003</v>
      </c>
      <c r="AD1547" s="97" t="str">
        <f>IFERROR(__xludf.DUMMYFUNCTION("""COMPUTED_VALUE"""),"IP20")</f>
        <v>IP20</v>
      </c>
      <c r="AE1547" s="97" t="str">
        <f>IFERROR(__xludf.DUMMYFUNCTION("""COMPUTED_VALUE"""),"Clase l")</f>
        <v>Clase l</v>
      </c>
      <c r="AF1547" s="97" t="str">
        <f>IFERROR(__xludf.DUMMYFUNCTION("""COMPUTED_VALUE"""),"Embutir")</f>
        <v>Embutir</v>
      </c>
      <c r="AG1547" s="97" t="str">
        <f>IFERROR(__xludf.DUMMYFUNCTION("""COMPUTED_VALUE"""),"126 x 31 x 40")</f>
        <v>126 x 31 x 40</v>
      </c>
      <c r="AH1547" s="97" t="str">
        <f>IFERROR(__xludf.DUMMYFUNCTION("""COMPUTED_VALUE"""),"122 x 27")</f>
        <v>122 x 27</v>
      </c>
      <c r="AI1547" s="97">
        <f>IFERROR(__xludf.DUMMYFUNCTION("""COMPUTED_VALUE"""),55.0)</f>
        <v>55</v>
      </c>
      <c r="AJ1547" s="97" t="str">
        <f>IFERROR(__xludf.DUMMYFUNCTION("""COMPUTED_VALUE"""),"Policarbonato (PC)")</f>
        <v>Policarbonato (PC)</v>
      </c>
      <c r="AK1547" s="97" t="str">
        <f>IFERROR(__xludf.DUMMYFUNCTION("""COMPUTED_VALUE"""),"Aluminio")</f>
        <v>Aluminio</v>
      </c>
      <c r="AL1547" s="97" t="str">
        <f>IFERROR(__xludf.DUMMYFUNCTION("""COMPUTED_VALUE"""),"Blanco y Negro")</f>
        <v>Blanco y Negro</v>
      </c>
      <c r="AM1547" s="97" t="str">
        <f>IFERROR(__xludf.DUMMYFUNCTION("""COMPUTED_VALUE"""),"-")</f>
        <v>-</v>
      </c>
      <c r="AN1547" s="97" t="str">
        <f>IFERROR(__xludf.DUMMYFUNCTION("""COMPUTED_VALUE"""),"40.000hs (L70)")</f>
        <v>40.000hs (L70)</v>
      </c>
      <c r="AO1547" s="97" t="str">
        <f>IFERROR(__xludf.DUMMYFUNCTION("""COMPUTED_VALUE"""),"4 Años")</f>
        <v>4 Años</v>
      </c>
      <c r="AP1547" s="97" t="str">
        <f>IFERROR(__xludf.DUMMYFUNCTION("""COMPUTED_VALUE"""),"Falta")</f>
        <v>Falta</v>
      </c>
      <c r="AQ1547" s="97" t="str">
        <f>IFERROR(__xludf.DUMMYFUNCTION("""COMPUTED_VALUE"""),"Falta")</f>
        <v>Falta</v>
      </c>
      <c r="AR1547" s="97" t="str">
        <f>IFERROR(__xludf.DUMMYFUNCTION("""COMPUTED_VALUE"""),"En revisión")</f>
        <v>En revisión</v>
      </c>
      <c r="AS1547" s="97" t="str">
        <f>IFERROR(__xludf.DUMMYFUNCTION("""COMPUTED_VALUE"""),"Falta")</f>
        <v>Falta</v>
      </c>
      <c r="AT1547" s="97" t="str">
        <f>IFERROR(__xludf.DUMMYFUNCTION("""COMPUTED_VALUE"""),"Falta")</f>
        <v>Falta</v>
      </c>
      <c r="AU1547" s="97" t="str">
        <f>IFERROR(__xludf.DUMMYFUNCTION("""COMPUTED_VALUE"""),"Falta")</f>
        <v>Falta</v>
      </c>
      <c r="AV1547" s="97" t="str">
        <f>IFERROR(__xludf.DUMMYFUNCTION("""COMPUTED_VALUE"""),"Empotrable")</f>
        <v>Empotrable</v>
      </c>
      <c r="AW1547" s="97" t="str">
        <f>IFERROR(__xludf.DUMMYFUNCTION("""COMPUTED_VALUE"""),"De Techo")</f>
        <v>De Techo</v>
      </c>
      <c r="AX1547" s="97" t="str">
        <f>IFERROR(__xludf.DUMMYFUNCTION("""COMPUTED_VALUE"""),"Interior")</f>
        <v>Interior</v>
      </c>
      <c r="AY1547" s="97" t="str">
        <f>IFERROR(__xludf.DUMMYFUNCTION("""COMPUTED_VALUE"""),"Pocket")</f>
        <v>Pocket</v>
      </c>
      <c r="AZ1547" s="97"/>
      <c r="BA1547" s="97"/>
      <c r="BB1547" s="97"/>
      <c r="BC1547" s="97"/>
      <c r="BD1547" s="97" t="str">
        <f>IFERROR(__xludf.DUMMYFUNCTION("""COMPUTED_VALUE"""),"POCKET VI")</f>
        <v>POCKET VI</v>
      </c>
      <c r="BE1547" s="97" t="str">
        <f>IFERROR(__xludf.DUMMYFUNCTION("""COMPUTED_VALUE"""),"Falta TR")</f>
        <v>Falta TR</v>
      </c>
      <c r="BF1547" s="97"/>
      <c r="BG1547" s="97" t="str">
        <f>IFERROR(__xludf.DUMMYFUNCTION("""COMPUTED_VALUE"""),"REPO 7")</f>
        <v>REPO 7</v>
      </c>
    </row>
    <row r="1548">
      <c r="A1548" s="97">
        <f>IFERROR(__xludf.DUMMYFUNCTION("""COMPUTED_VALUE"""),7731.0)</f>
        <v>7731</v>
      </c>
      <c r="B1548" s="97" t="str">
        <f>IFERROR(__xludf.DUMMYFUNCTION("""COMPUTED_VALUE"""),"POCKET VI NGNG 2CCT ON/OFF")</f>
        <v>POCKET VI NGNG 2CCT ON/OFF</v>
      </c>
      <c r="C1548" s="97" t="str">
        <f>IFERROR(__xludf.DUMMYFUNCTION("""COMPUTED_VALUE"""),"EMPOTRABLE POCKET VI NGNG 2CCT ON/OFF 10W 2700/3000K 600LM CRI&gt;90 IP20 LEUK")</f>
        <v>EMPOTRABLE POCKET VI NGNG 2CCT ON/OFF 10W 2700/3000K 600LM CRI&gt;90 IP20 LEUK</v>
      </c>
      <c r="D1548" s="97" t="str">
        <f>IFERROR(__xludf.DUMMYFUNCTION("""COMPUTED_VALUE"""),"N/A")</f>
        <v>N/A</v>
      </c>
      <c r="E1548" s="97" t="str">
        <f>IFERROR(__xludf.DUMMYFUNCTION("""COMPUTED_VALUE"""),"N/A")</f>
        <v>N/A</v>
      </c>
      <c r="F1548" s="97" t="str">
        <f>IFERROR(__xludf.DUMMYFUNCTION("""COMPUTED_VALUE"""),"LED SMD")</f>
        <v>LED SMD</v>
      </c>
      <c r="G1548" s="97" t="str">
        <f>IFERROR(__xludf.DUMMYFUNCTION("""COMPUTED_VALUE"""),"-")</f>
        <v>-</v>
      </c>
      <c r="H1548" s="97" t="str">
        <f>IFERROR(__xludf.DUMMYFUNCTION("""COMPUTED_VALUE"""),"Eaglerise")</f>
        <v>Eaglerise</v>
      </c>
      <c r="I1548" s="97" t="str">
        <f>IFERROR(__xludf.DUMMYFUNCTION("""COMPUTED_VALUE"""),"Si")</f>
        <v>Si</v>
      </c>
      <c r="J1548" s="97" t="str">
        <f>IFERROR(__xludf.DUMMYFUNCTION("""COMPUTED_VALUE"""),"Modelo: LS-12-500 SI2 E
In: 220-240Vac 0.16A 50/60Hz
Out: 18-24Vdc 500mA 12W
Pf 0.6 Tc 85°C Ta 45°C")</f>
        <v>Modelo: LS-12-500 SI2 E
In: 220-240Vac 0.16A 50/60Hz
Out: 18-24Vdc 500mA 12W
Pf 0.6 Tc 85°C Ta 45°C</v>
      </c>
      <c r="K1548" s="97" t="str">
        <f>IFERROR(__xludf.DUMMYFUNCTION("""COMPUTED_VALUE"""),"ON/OFF")</f>
        <v>ON/OFF</v>
      </c>
      <c r="L1548" s="97" t="str">
        <f>IFERROR(__xludf.DUMMYFUNCTION("""COMPUTED_VALUE"""),"200-240")</f>
        <v>200-240</v>
      </c>
      <c r="M1548" s="97" t="str">
        <f>IFERROR(__xludf.DUMMYFUNCTION("""COMPUTED_VALUE"""),"50/60")</f>
        <v>50/60</v>
      </c>
      <c r="N1548" s="97" t="str">
        <f>IFERROR(__xludf.DUMMYFUNCTION("""COMPUTED_VALUE"""),"Directa")</f>
        <v>Directa</v>
      </c>
      <c r="O1548" s="97">
        <f>IFERROR(__xludf.DUMMYFUNCTION("""COMPUTED_VALUE"""),10.0)</f>
        <v>10</v>
      </c>
      <c r="P1548" s="97">
        <f>IFERROR(__xludf.DUMMYFUNCTION("""COMPUTED_VALUE"""),9.3)</f>
        <v>9.3</v>
      </c>
      <c r="Q1548" s="97"/>
      <c r="R1548" s="97" t="str">
        <f>IFERROR(__xludf.DUMMYFUNCTION("""COMPUTED_VALUE"""),"-")</f>
        <v>-</v>
      </c>
      <c r="S1548" s="97" t="str">
        <f>IFERROR(__xludf.DUMMYFUNCTION("""COMPUTED_VALUE"""),"-")</f>
        <v>-</v>
      </c>
      <c r="T1548" s="97">
        <f>IFERROR(__xludf.DUMMYFUNCTION("""COMPUTED_VALUE"""),600.0)</f>
        <v>600</v>
      </c>
      <c r="U1548" s="97">
        <f>IFERROR(__xludf.DUMMYFUNCTION("""COMPUTED_VALUE"""),60.0)</f>
        <v>60</v>
      </c>
      <c r="V1548" s="97">
        <f>IFERROR(__xludf.DUMMYFUNCTION("""COMPUTED_VALUE"""),38.0)</f>
        <v>38</v>
      </c>
      <c r="W1548" s="97" t="str">
        <f>IFERROR(__xludf.DUMMYFUNCTION("""COMPUTED_VALUE"""),"&lt; 14")</f>
        <v>&lt; 14</v>
      </c>
      <c r="X1548" s="97" t="str">
        <f>IFERROR(__xludf.DUMMYFUNCTION("""COMPUTED_VALUE"""),"2700/3000")</f>
        <v>2700/3000</v>
      </c>
      <c r="Y1548" s="97" t="str">
        <f>IFERROR(__xludf.DUMMYFUNCTION("""COMPUTED_VALUE"""),"&gt;90")</f>
        <v>&gt;90</v>
      </c>
      <c r="Z1548" s="97" t="str">
        <f>IFERROR(__xludf.DUMMYFUNCTION("""COMPUTED_VALUE"""),"&gt;90")</f>
        <v>&gt;90</v>
      </c>
      <c r="AA1548" s="97" t="str">
        <f>IFERROR(__xludf.DUMMYFUNCTION("""COMPUTED_VALUE"""),"100 (Fidelidad neutra)")</f>
        <v>100 (Fidelidad neutra)</v>
      </c>
      <c r="AB1548" s="97" t="str">
        <f>IFERROR(__xludf.DUMMYFUNCTION("""COMPUTED_VALUE"""),"&lt; 3")</f>
        <v>&lt; 3</v>
      </c>
      <c r="AC1548" s="97">
        <f>IFERROR(__xludf.DUMMYFUNCTION("""COMPUTED_VALUE"""),-1.0E-4)</f>
        <v>-0.0001</v>
      </c>
      <c r="AD1548" s="97" t="str">
        <f>IFERROR(__xludf.DUMMYFUNCTION("""COMPUTED_VALUE"""),"IP20")</f>
        <v>IP20</v>
      </c>
      <c r="AE1548" s="97" t="str">
        <f>IFERROR(__xludf.DUMMYFUNCTION("""COMPUTED_VALUE"""),"Clase l")</f>
        <v>Clase l</v>
      </c>
      <c r="AF1548" s="97" t="str">
        <f>IFERROR(__xludf.DUMMYFUNCTION("""COMPUTED_VALUE"""),"Embutir")</f>
        <v>Embutir</v>
      </c>
      <c r="AG1548" s="97" t="str">
        <f>IFERROR(__xludf.DUMMYFUNCTION("""COMPUTED_VALUE"""),"126 x 31 x 40")</f>
        <v>126 x 31 x 40</v>
      </c>
      <c r="AH1548" s="97" t="str">
        <f>IFERROR(__xludf.DUMMYFUNCTION("""COMPUTED_VALUE"""),"122 x 27")</f>
        <v>122 x 27</v>
      </c>
      <c r="AI1548" s="97">
        <f>IFERROR(__xludf.DUMMYFUNCTION("""COMPUTED_VALUE"""),55.0)</f>
        <v>55</v>
      </c>
      <c r="AJ1548" s="97" t="str">
        <f>IFERROR(__xludf.DUMMYFUNCTION("""COMPUTED_VALUE"""),"Policarbonato (PC)")</f>
        <v>Policarbonato (PC)</v>
      </c>
      <c r="AK1548" s="97" t="str">
        <f>IFERROR(__xludf.DUMMYFUNCTION("""COMPUTED_VALUE"""),"Aluminio")</f>
        <v>Aluminio</v>
      </c>
      <c r="AL1548" s="97" t="str">
        <f>IFERROR(__xludf.DUMMYFUNCTION("""COMPUTED_VALUE"""),"Negro Satinado")</f>
        <v>Negro Satinado</v>
      </c>
      <c r="AM1548" s="97" t="str">
        <f>IFERROR(__xludf.DUMMYFUNCTION("""COMPUTED_VALUE"""),"-")</f>
        <v>-</v>
      </c>
      <c r="AN1548" s="97" t="str">
        <f>IFERROR(__xludf.DUMMYFUNCTION("""COMPUTED_VALUE"""),"40.000hs (L70)")</f>
        <v>40.000hs (L70)</v>
      </c>
      <c r="AO1548" s="97" t="str">
        <f>IFERROR(__xludf.DUMMYFUNCTION("""COMPUTED_VALUE"""),"4 Años")</f>
        <v>4 Años</v>
      </c>
      <c r="AP1548" s="97" t="str">
        <f>IFERROR(__xludf.DUMMYFUNCTION("""COMPUTED_VALUE"""),"Falta")</f>
        <v>Falta</v>
      </c>
      <c r="AQ1548" s="97" t="str">
        <f>IFERROR(__xludf.DUMMYFUNCTION("""COMPUTED_VALUE"""),"Falta")</f>
        <v>Falta</v>
      </c>
      <c r="AR1548" s="97" t="str">
        <f>IFERROR(__xludf.DUMMYFUNCTION("""COMPUTED_VALUE"""),"En revisión")</f>
        <v>En revisión</v>
      </c>
      <c r="AS1548" s="97" t="str">
        <f>IFERROR(__xludf.DUMMYFUNCTION("""COMPUTED_VALUE"""),"Falta")</f>
        <v>Falta</v>
      </c>
      <c r="AT1548" s="97" t="str">
        <f>IFERROR(__xludf.DUMMYFUNCTION("""COMPUTED_VALUE"""),"Falta")</f>
        <v>Falta</v>
      </c>
      <c r="AU1548" s="97" t="str">
        <f>IFERROR(__xludf.DUMMYFUNCTION("""COMPUTED_VALUE"""),"Falta")</f>
        <v>Falta</v>
      </c>
      <c r="AV1548" s="97" t="str">
        <f>IFERROR(__xludf.DUMMYFUNCTION("""COMPUTED_VALUE"""),"Empotrable")</f>
        <v>Empotrable</v>
      </c>
      <c r="AW1548" s="97" t="str">
        <f>IFERROR(__xludf.DUMMYFUNCTION("""COMPUTED_VALUE"""),"De Techo")</f>
        <v>De Techo</v>
      </c>
      <c r="AX1548" s="97" t="str">
        <f>IFERROR(__xludf.DUMMYFUNCTION("""COMPUTED_VALUE"""),"Interior")</f>
        <v>Interior</v>
      </c>
      <c r="AY1548" s="97" t="str">
        <f>IFERROR(__xludf.DUMMYFUNCTION("""COMPUTED_VALUE"""),"Pocket")</f>
        <v>Pocket</v>
      </c>
      <c r="AZ1548" s="97"/>
      <c r="BA1548" s="97"/>
      <c r="BB1548" s="97"/>
      <c r="BC1548" s="97"/>
      <c r="BD1548" s="97" t="str">
        <f>IFERROR(__xludf.DUMMYFUNCTION("""COMPUTED_VALUE"""),"POCKET VI")</f>
        <v>POCKET VI</v>
      </c>
      <c r="BE1548" s="97" t="str">
        <f>IFERROR(__xludf.DUMMYFUNCTION("""COMPUTED_VALUE"""),"Falta TR")</f>
        <v>Falta TR</v>
      </c>
      <c r="BF1548" s="97"/>
      <c r="BG1548" s="97" t="str">
        <f>IFERROR(__xludf.DUMMYFUNCTION("""COMPUTED_VALUE"""),"REPO 7")</f>
        <v>REPO 7</v>
      </c>
    </row>
    <row r="1549">
      <c r="A1549" s="97">
        <f>IFERROR(__xludf.DUMMYFUNCTION("""COMPUTED_VALUE"""),7732.0)</f>
        <v>7732</v>
      </c>
      <c r="B1549" s="97" t="str">
        <f>IFERROR(__xludf.DUMMYFUNCTION("""COMPUTED_VALUE"""),"POCKET XII BLBL 2CCT ON/OFF")</f>
        <v>POCKET XII BLBL 2CCT ON/OFF</v>
      </c>
      <c r="C1549" s="97" t="str">
        <f>IFERROR(__xludf.DUMMYFUNCTION("""COMPUTED_VALUE"""),"EMPOTRABLE POCKET XII BLBL 2CCT ON/OFF 20W 2700/3000K 1350LM CRI&gt;90 IP20 LEUK")</f>
        <v>EMPOTRABLE POCKET XII BLBL 2CCT ON/OFF 20W 2700/3000K 1350LM CRI&gt;90 IP20 LEUK</v>
      </c>
      <c r="D1549" s="97" t="str">
        <f>IFERROR(__xludf.DUMMYFUNCTION("""COMPUTED_VALUE"""),"N/A")</f>
        <v>N/A</v>
      </c>
      <c r="E1549" s="97" t="str">
        <f>IFERROR(__xludf.DUMMYFUNCTION("""COMPUTED_VALUE"""),"N/A")</f>
        <v>N/A</v>
      </c>
      <c r="F1549" s="97" t="str">
        <f>IFERROR(__xludf.DUMMYFUNCTION("""COMPUTED_VALUE"""),"LED SMD")</f>
        <v>LED SMD</v>
      </c>
      <c r="G1549" s="97" t="str">
        <f>IFERROR(__xludf.DUMMYFUNCTION("""COMPUTED_VALUE"""),"-")</f>
        <v>-</v>
      </c>
      <c r="H1549" s="97" t="str">
        <f>IFERROR(__xludf.DUMMYFUNCTION("""COMPUTED_VALUE"""),"Lifud")</f>
        <v>Lifud</v>
      </c>
      <c r="I1549" s="97" t="str">
        <f>IFERROR(__xludf.DUMMYFUNCTION("""COMPUTED_VALUE"""),"Si")</f>
        <v>Si</v>
      </c>
      <c r="J1549" s="97" t="str">
        <f>IFERROR(__xludf.DUMMYFUNCTION("""COMPUTED_VALUE"""),"Modelo: LF-022S0500H
In: 220-240Vac 0.22A 50/60Hz
Out: 27-40Vdc 500mA 22.8W
Pf 0.5 Tc 90°C Ta 50°C")</f>
        <v>Modelo: LF-022S0500H
In: 220-240Vac 0.22A 50/60Hz
Out: 27-40Vdc 500mA 22.8W
Pf 0.5 Tc 90°C Ta 50°C</v>
      </c>
      <c r="K1549" s="97" t="str">
        <f>IFERROR(__xludf.DUMMYFUNCTION("""COMPUTED_VALUE"""),"ON/OFF")</f>
        <v>ON/OFF</v>
      </c>
      <c r="L1549" s="97" t="str">
        <f>IFERROR(__xludf.DUMMYFUNCTION("""COMPUTED_VALUE"""),"200-240")</f>
        <v>200-240</v>
      </c>
      <c r="M1549" s="97" t="str">
        <f>IFERROR(__xludf.DUMMYFUNCTION("""COMPUTED_VALUE"""),"50/60")</f>
        <v>50/60</v>
      </c>
      <c r="N1549" s="97" t="str">
        <f>IFERROR(__xludf.DUMMYFUNCTION("""COMPUTED_VALUE"""),"Directa")</f>
        <v>Directa</v>
      </c>
      <c r="O1549" s="97">
        <f>IFERROR(__xludf.DUMMYFUNCTION("""COMPUTED_VALUE"""),20.0)</f>
        <v>20</v>
      </c>
      <c r="P1549" s="97">
        <f>IFERROR(__xludf.DUMMYFUNCTION("""COMPUTED_VALUE"""),19.3)</f>
        <v>19.3</v>
      </c>
      <c r="Q1549" s="97"/>
      <c r="R1549" s="97" t="str">
        <f>IFERROR(__xludf.DUMMYFUNCTION("""COMPUTED_VALUE"""),"-")</f>
        <v>-</v>
      </c>
      <c r="S1549" s="97" t="str">
        <f>IFERROR(__xludf.DUMMYFUNCTION("""COMPUTED_VALUE"""),"-")</f>
        <v>-</v>
      </c>
      <c r="T1549" s="97">
        <f>IFERROR(__xludf.DUMMYFUNCTION("""COMPUTED_VALUE"""),1350.0)</f>
        <v>1350</v>
      </c>
      <c r="U1549" s="99">
        <f>IFERROR(__xludf.DUMMYFUNCTION("""COMPUTED_VALUE"""),67.5)</f>
        <v>67.5</v>
      </c>
      <c r="V1549" s="97">
        <f>IFERROR(__xludf.DUMMYFUNCTION("""COMPUTED_VALUE"""),38.0)</f>
        <v>38</v>
      </c>
      <c r="W1549" s="97" t="str">
        <f>IFERROR(__xludf.DUMMYFUNCTION("""COMPUTED_VALUE"""),"&lt; 14")</f>
        <v>&lt; 14</v>
      </c>
      <c r="X1549" s="97" t="str">
        <f>IFERROR(__xludf.DUMMYFUNCTION("""COMPUTED_VALUE"""),"2700/3000")</f>
        <v>2700/3000</v>
      </c>
      <c r="Y1549" s="97" t="str">
        <f>IFERROR(__xludf.DUMMYFUNCTION("""COMPUTED_VALUE"""),"&gt;90")</f>
        <v>&gt;90</v>
      </c>
      <c r="Z1549" s="97" t="str">
        <f>IFERROR(__xludf.DUMMYFUNCTION("""COMPUTED_VALUE"""),"&gt;90")</f>
        <v>&gt;90</v>
      </c>
      <c r="AA1549" s="97" t="str">
        <f>IFERROR(__xludf.DUMMYFUNCTION("""COMPUTED_VALUE"""),"100 (Fidelidad neutra)")</f>
        <v>100 (Fidelidad neutra)</v>
      </c>
      <c r="AB1549" s="97" t="str">
        <f>IFERROR(__xludf.DUMMYFUNCTION("""COMPUTED_VALUE"""),"&lt; 3")</f>
        <v>&lt; 3</v>
      </c>
      <c r="AC1549" s="97">
        <f>IFERROR(__xludf.DUMMYFUNCTION("""COMPUTED_VALUE"""),-1.0E-4)</f>
        <v>-0.0001</v>
      </c>
      <c r="AD1549" s="97" t="str">
        <f>IFERROR(__xludf.DUMMYFUNCTION("""COMPUTED_VALUE"""),"IP20")</f>
        <v>IP20</v>
      </c>
      <c r="AE1549" s="97" t="str">
        <f>IFERROR(__xludf.DUMMYFUNCTION("""COMPUTED_VALUE"""),"Clase l")</f>
        <v>Clase l</v>
      </c>
      <c r="AF1549" s="97" t="str">
        <f>IFERROR(__xludf.DUMMYFUNCTION("""COMPUTED_VALUE"""),"Embutir")</f>
        <v>Embutir</v>
      </c>
      <c r="AG1549" s="97" t="str">
        <f>IFERROR(__xludf.DUMMYFUNCTION("""COMPUTED_VALUE"""),"240 x 31 x 40")</f>
        <v>240 x 31 x 40</v>
      </c>
      <c r="AH1549" s="97" t="str">
        <f>IFERROR(__xludf.DUMMYFUNCTION("""COMPUTED_VALUE"""),"236 x 27")</f>
        <v>236 x 27</v>
      </c>
      <c r="AI1549" s="97">
        <f>IFERROR(__xludf.DUMMYFUNCTION("""COMPUTED_VALUE"""),60.0)</f>
        <v>60</v>
      </c>
      <c r="AJ1549" s="97" t="str">
        <f>IFERROR(__xludf.DUMMYFUNCTION("""COMPUTED_VALUE"""),"Policarbonato (PC)")</f>
        <v>Policarbonato (PC)</v>
      </c>
      <c r="AK1549" s="97" t="str">
        <f>IFERROR(__xludf.DUMMYFUNCTION("""COMPUTED_VALUE"""),"Aluminio")</f>
        <v>Aluminio</v>
      </c>
      <c r="AL1549" s="97" t="str">
        <f>IFERROR(__xludf.DUMMYFUNCTION("""COMPUTED_VALUE"""),"Blanco Satinado")</f>
        <v>Blanco Satinado</v>
      </c>
      <c r="AM1549" s="97" t="str">
        <f>IFERROR(__xludf.DUMMYFUNCTION("""COMPUTED_VALUE"""),"-")</f>
        <v>-</v>
      </c>
      <c r="AN1549" s="97" t="str">
        <f>IFERROR(__xludf.DUMMYFUNCTION("""COMPUTED_VALUE"""),"40.000hs (L70)")</f>
        <v>40.000hs (L70)</v>
      </c>
      <c r="AO1549" s="97" t="str">
        <f>IFERROR(__xludf.DUMMYFUNCTION("""COMPUTED_VALUE"""),"4 Años")</f>
        <v>4 Años</v>
      </c>
      <c r="AP1549" s="97" t="str">
        <f>IFERROR(__xludf.DUMMYFUNCTION("""COMPUTED_VALUE"""),"Falta")</f>
        <v>Falta</v>
      </c>
      <c r="AQ1549" s="97" t="str">
        <f>IFERROR(__xludf.DUMMYFUNCTION("""COMPUTED_VALUE"""),"Falta")</f>
        <v>Falta</v>
      </c>
      <c r="AR1549" s="97" t="str">
        <f>IFERROR(__xludf.DUMMYFUNCTION("""COMPUTED_VALUE"""),"En revisión")</f>
        <v>En revisión</v>
      </c>
      <c r="AS1549" s="97" t="str">
        <f>IFERROR(__xludf.DUMMYFUNCTION("""COMPUTED_VALUE"""),"Falta")</f>
        <v>Falta</v>
      </c>
      <c r="AT1549" s="97" t="str">
        <f>IFERROR(__xludf.DUMMYFUNCTION("""COMPUTED_VALUE"""),"Falta")</f>
        <v>Falta</v>
      </c>
      <c r="AU1549" s="97" t="str">
        <f>IFERROR(__xludf.DUMMYFUNCTION("""COMPUTED_VALUE"""),"Falta")</f>
        <v>Falta</v>
      </c>
      <c r="AV1549" s="97" t="str">
        <f>IFERROR(__xludf.DUMMYFUNCTION("""COMPUTED_VALUE"""),"Empotrable")</f>
        <v>Empotrable</v>
      </c>
      <c r="AW1549" s="97" t="str">
        <f>IFERROR(__xludf.DUMMYFUNCTION("""COMPUTED_VALUE"""),"De Techo")</f>
        <v>De Techo</v>
      </c>
      <c r="AX1549" s="97" t="str">
        <f>IFERROR(__xludf.DUMMYFUNCTION("""COMPUTED_VALUE"""),"Interior")</f>
        <v>Interior</v>
      </c>
      <c r="AY1549" s="97" t="str">
        <f>IFERROR(__xludf.DUMMYFUNCTION("""COMPUTED_VALUE"""),"Pocket")</f>
        <v>Pocket</v>
      </c>
      <c r="AZ1549" s="97"/>
      <c r="BA1549" s="97"/>
      <c r="BB1549" s="97"/>
      <c r="BC1549" s="97"/>
      <c r="BD1549" s="97" t="str">
        <f>IFERROR(__xludf.DUMMYFUNCTION("""COMPUTED_VALUE"""),"POCKET XII")</f>
        <v>POCKET XII</v>
      </c>
      <c r="BE1549" s="97" t="str">
        <f>IFERROR(__xludf.DUMMYFUNCTION("""COMPUTED_VALUE"""),"Falta TR")</f>
        <v>Falta TR</v>
      </c>
      <c r="BF1549" s="97"/>
      <c r="BG1549" s="97" t="str">
        <f>IFERROR(__xludf.DUMMYFUNCTION("""COMPUTED_VALUE"""),"REPO 7")</f>
        <v>REPO 7</v>
      </c>
    </row>
    <row r="1550">
      <c r="A1550" s="97">
        <f>IFERROR(__xludf.DUMMYFUNCTION("""COMPUTED_VALUE"""),7733.0)</f>
        <v>7733</v>
      </c>
      <c r="B1550" s="97" t="str">
        <f>IFERROR(__xludf.DUMMYFUNCTION("""COMPUTED_VALUE"""),"POCKET XII BLNG 2CCT ON/OFF")</f>
        <v>POCKET XII BLNG 2CCT ON/OFF</v>
      </c>
      <c r="C1550" s="97" t="str">
        <f>IFERROR(__xludf.DUMMYFUNCTION("""COMPUTED_VALUE"""),"EMPOTRABLE POCKET XII BLNG 2CCT ON/OFF 20W 2700/3000K 1350LM CRI&gt;90 IP20 LEUK")</f>
        <v>EMPOTRABLE POCKET XII BLNG 2CCT ON/OFF 20W 2700/3000K 1350LM CRI&gt;90 IP20 LEUK</v>
      </c>
      <c r="D1550" s="97" t="str">
        <f>IFERROR(__xludf.DUMMYFUNCTION("""COMPUTED_VALUE"""),"N/A")</f>
        <v>N/A</v>
      </c>
      <c r="E1550" s="97" t="str">
        <f>IFERROR(__xludf.DUMMYFUNCTION("""COMPUTED_VALUE"""),"N/A")</f>
        <v>N/A</v>
      </c>
      <c r="F1550" s="97" t="str">
        <f>IFERROR(__xludf.DUMMYFUNCTION("""COMPUTED_VALUE"""),"LED SMD")</f>
        <v>LED SMD</v>
      </c>
      <c r="G1550" s="97" t="str">
        <f>IFERROR(__xludf.DUMMYFUNCTION("""COMPUTED_VALUE"""),"-")</f>
        <v>-</v>
      </c>
      <c r="H1550" s="97" t="str">
        <f>IFERROR(__xludf.DUMMYFUNCTION("""COMPUTED_VALUE"""),"Lifud")</f>
        <v>Lifud</v>
      </c>
      <c r="I1550" s="97" t="str">
        <f>IFERROR(__xludf.DUMMYFUNCTION("""COMPUTED_VALUE"""),"Si")</f>
        <v>Si</v>
      </c>
      <c r="J1550" s="97" t="str">
        <f>IFERROR(__xludf.DUMMYFUNCTION("""COMPUTED_VALUE"""),"Modelo: LF-022S0500H
In: 220-240Vac 0.22A 50/60Hz
Out: 27-40Vdc 500mA 22.8W
Pf 0.5 Tc 90°C Ta 50°C")</f>
        <v>Modelo: LF-022S0500H
In: 220-240Vac 0.22A 50/60Hz
Out: 27-40Vdc 500mA 22.8W
Pf 0.5 Tc 90°C Ta 50°C</v>
      </c>
      <c r="K1550" s="97" t="str">
        <f>IFERROR(__xludf.DUMMYFUNCTION("""COMPUTED_VALUE"""),"ON/OFF")</f>
        <v>ON/OFF</v>
      </c>
      <c r="L1550" s="97" t="str">
        <f>IFERROR(__xludf.DUMMYFUNCTION("""COMPUTED_VALUE"""),"200-240")</f>
        <v>200-240</v>
      </c>
      <c r="M1550" s="97" t="str">
        <f>IFERROR(__xludf.DUMMYFUNCTION("""COMPUTED_VALUE"""),"50/60")</f>
        <v>50/60</v>
      </c>
      <c r="N1550" s="97" t="str">
        <f>IFERROR(__xludf.DUMMYFUNCTION("""COMPUTED_VALUE"""),"Directa")</f>
        <v>Directa</v>
      </c>
      <c r="O1550" s="97">
        <f>IFERROR(__xludf.DUMMYFUNCTION("""COMPUTED_VALUE"""),20.0)</f>
        <v>20</v>
      </c>
      <c r="P1550" s="97">
        <f>IFERROR(__xludf.DUMMYFUNCTION("""COMPUTED_VALUE"""),19.3)</f>
        <v>19.3</v>
      </c>
      <c r="Q1550" s="97"/>
      <c r="R1550" s="97" t="str">
        <f>IFERROR(__xludf.DUMMYFUNCTION("""COMPUTED_VALUE"""),"-")</f>
        <v>-</v>
      </c>
      <c r="S1550" s="97" t="str">
        <f>IFERROR(__xludf.DUMMYFUNCTION("""COMPUTED_VALUE"""),"-")</f>
        <v>-</v>
      </c>
      <c r="T1550" s="97">
        <f>IFERROR(__xludf.DUMMYFUNCTION("""COMPUTED_VALUE"""),1350.0)</f>
        <v>1350</v>
      </c>
      <c r="U1550" s="99">
        <f>IFERROR(__xludf.DUMMYFUNCTION("""COMPUTED_VALUE"""),67.5)</f>
        <v>67.5</v>
      </c>
      <c r="V1550" s="97">
        <f>IFERROR(__xludf.DUMMYFUNCTION("""COMPUTED_VALUE"""),38.0)</f>
        <v>38</v>
      </c>
      <c r="W1550" s="97" t="str">
        <f>IFERROR(__xludf.DUMMYFUNCTION("""COMPUTED_VALUE"""),"&lt; 14")</f>
        <v>&lt; 14</v>
      </c>
      <c r="X1550" s="97" t="str">
        <f>IFERROR(__xludf.DUMMYFUNCTION("""COMPUTED_VALUE"""),"2700/3000")</f>
        <v>2700/3000</v>
      </c>
      <c r="Y1550" s="97" t="str">
        <f>IFERROR(__xludf.DUMMYFUNCTION("""COMPUTED_VALUE"""),"&gt;90")</f>
        <v>&gt;90</v>
      </c>
      <c r="Z1550" s="97" t="str">
        <f>IFERROR(__xludf.DUMMYFUNCTION("""COMPUTED_VALUE"""),"&gt;90")</f>
        <v>&gt;90</v>
      </c>
      <c r="AA1550" s="97" t="str">
        <f>IFERROR(__xludf.DUMMYFUNCTION("""COMPUTED_VALUE"""),"100 (Fidelidad neutra)")</f>
        <v>100 (Fidelidad neutra)</v>
      </c>
      <c r="AB1550" s="97" t="str">
        <f>IFERROR(__xludf.DUMMYFUNCTION("""COMPUTED_VALUE"""),"&lt; 3")</f>
        <v>&lt; 3</v>
      </c>
      <c r="AC1550" s="97">
        <f>IFERROR(__xludf.DUMMYFUNCTION("""COMPUTED_VALUE"""),2.0E-4)</f>
        <v>0.0002</v>
      </c>
      <c r="AD1550" s="97" t="str">
        <f>IFERROR(__xludf.DUMMYFUNCTION("""COMPUTED_VALUE"""),"IP20")</f>
        <v>IP20</v>
      </c>
      <c r="AE1550" s="97" t="str">
        <f>IFERROR(__xludf.DUMMYFUNCTION("""COMPUTED_VALUE"""),"Clase l")</f>
        <v>Clase l</v>
      </c>
      <c r="AF1550" s="97" t="str">
        <f>IFERROR(__xludf.DUMMYFUNCTION("""COMPUTED_VALUE"""),"Embutir")</f>
        <v>Embutir</v>
      </c>
      <c r="AG1550" s="97" t="str">
        <f>IFERROR(__xludf.DUMMYFUNCTION("""COMPUTED_VALUE"""),"240 x 31 x 40")</f>
        <v>240 x 31 x 40</v>
      </c>
      <c r="AH1550" s="97" t="str">
        <f>IFERROR(__xludf.DUMMYFUNCTION("""COMPUTED_VALUE"""),"236 x 27")</f>
        <v>236 x 27</v>
      </c>
      <c r="AI1550" s="97">
        <f>IFERROR(__xludf.DUMMYFUNCTION("""COMPUTED_VALUE"""),60.0)</f>
        <v>60</v>
      </c>
      <c r="AJ1550" s="97" t="str">
        <f>IFERROR(__xludf.DUMMYFUNCTION("""COMPUTED_VALUE"""),"Policarbonato (PC)")</f>
        <v>Policarbonato (PC)</v>
      </c>
      <c r="AK1550" s="97" t="str">
        <f>IFERROR(__xludf.DUMMYFUNCTION("""COMPUTED_VALUE"""),"Aluminio")</f>
        <v>Aluminio</v>
      </c>
      <c r="AL1550" s="97" t="str">
        <f>IFERROR(__xludf.DUMMYFUNCTION("""COMPUTED_VALUE"""),"Blanco y Negro")</f>
        <v>Blanco y Negro</v>
      </c>
      <c r="AM1550" s="97" t="str">
        <f>IFERROR(__xludf.DUMMYFUNCTION("""COMPUTED_VALUE"""),"-")</f>
        <v>-</v>
      </c>
      <c r="AN1550" s="97" t="str">
        <f>IFERROR(__xludf.DUMMYFUNCTION("""COMPUTED_VALUE"""),"40.000hs (L70)")</f>
        <v>40.000hs (L70)</v>
      </c>
      <c r="AO1550" s="97" t="str">
        <f>IFERROR(__xludf.DUMMYFUNCTION("""COMPUTED_VALUE"""),"4 Años")</f>
        <v>4 Años</v>
      </c>
      <c r="AP1550" s="97" t="str">
        <f>IFERROR(__xludf.DUMMYFUNCTION("""COMPUTED_VALUE"""),"Falta")</f>
        <v>Falta</v>
      </c>
      <c r="AQ1550" s="97" t="str">
        <f>IFERROR(__xludf.DUMMYFUNCTION("""COMPUTED_VALUE"""),"Falta")</f>
        <v>Falta</v>
      </c>
      <c r="AR1550" s="97" t="str">
        <f>IFERROR(__xludf.DUMMYFUNCTION("""COMPUTED_VALUE"""),"En revisión")</f>
        <v>En revisión</v>
      </c>
      <c r="AS1550" s="97" t="str">
        <f>IFERROR(__xludf.DUMMYFUNCTION("""COMPUTED_VALUE"""),"Falta")</f>
        <v>Falta</v>
      </c>
      <c r="AT1550" s="97" t="str">
        <f>IFERROR(__xludf.DUMMYFUNCTION("""COMPUTED_VALUE"""),"Falta")</f>
        <v>Falta</v>
      </c>
      <c r="AU1550" s="97" t="str">
        <f>IFERROR(__xludf.DUMMYFUNCTION("""COMPUTED_VALUE"""),"Falta")</f>
        <v>Falta</v>
      </c>
      <c r="AV1550" s="97" t="str">
        <f>IFERROR(__xludf.DUMMYFUNCTION("""COMPUTED_VALUE"""),"Empotrable")</f>
        <v>Empotrable</v>
      </c>
      <c r="AW1550" s="97" t="str">
        <f>IFERROR(__xludf.DUMMYFUNCTION("""COMPUTED_VALUE"""),"De Techo")</f>
        <v>De Techo</v>
      </c>
      <c r="AX1550" s="97" t="str">
        <f>IFERROR(__xludf.DUMMYFUNCTION("""COMPUTED_VALUE"""),"Interior")</f>
        <v>Interior</v>
      </c>
      <c r="AY1550" s="97" t="str">
        <f>IFERROR(__xludf.DUMMYFUNCTION("""COMPUTED_VALUE"""),"Pocket")</f>
        <v>Pocket</v>
      </c>
      <c r="AZ1550" s="97"/>
      <c r="BA1550" s="97"/>
      <c r="BB1550" s="97"/>
      <c r="BC1550" s="97"/>
      <c r="BD1550" s="97" t="str">
        <f>IFERROR(__xludf.DUMMYFUNCTION("""COMPUTED_VALUE"""),"POCKET XII")</f>
        <v>POCKET XII</v>
      </c>
      <c r="BE1550" s="97" t="str">
        <f>IFERROR(__xludf.DUMMYFUNCTION("""COMPUTED_VALUE"""),"Falta TR")</f>
        <v>Falta TR</v>
      </c>
      <c r="BF1550" s="97"/>
      <c r="BG1550" s="97" t="str">
        <f>IFERROR(__xludf.DUMMYFUNCTION("""COMPUTED_VALUE"""),"REPO 7")</f>
        <v>REPO 7</v>
      </c>
    </row>
    <row r="1551">
      <c r="A1551" s="97">
        <f>IFERROR(__xludf.DUMMYFUNCTION("""COMPUTED_VALUE"""),7734.0)</f>
        <v>7734</v>
      </c>
      <c r="B1551" s="97" t="str">
        <f>IFERROR(__xludf.DUMMYFUNCTION("""COMPUTED_VALUE"""),"POCKET XII NGNG 2CCT ON/OFF")</f>
        <v>POCKET XII NGNG 2CCT ON/OFF</v>
      </c>
      <c r="C1551" s="97" t="str">
        <f>IFERROR(__xludf.DUMMYFUNCTION("""COMPUTED_VALUE"""),"EMPOTRABLE POCKET XII NGNG 2CCT ON/OFF 20W 2700/3000K 1350LM CRI&gt;90 IP20 LEUK")</f>
        <v>EMPOTRABLE POCKET XII NGNG 2CCT ON/OFF 20W 2700/3000K 1350LM CRI&gt;90 IP20 LEUK</v>
      </c>
      <c r="D1551" s="97" t="str">
        <f>IFERROR(__xludf.DUMMYFUNCTION("""COMPUTED_VALUE"""),"N/A")</f>
        <v>N/A</v>
      </c>
      <c r="E1551" s="97" t="str">
        <f>IFERROR(__xludf.DUMMYFUNCTION("""COMPUTED_VALUE"""),"N/A")</f>
        <v>N/A</v>
      </c>
      <c r="F1551" s="97" t="str">
        <f>IFERROR(__xludf.DUMMYFUNCTION("""COMPUTED_VALUE"""),"LED SMD")</f>
        <v>LED SMD</v>
      </c>
      <c r="G1551" s="97" t="str">
        <f>IFERROR(__xludf.DUMMYFUNCTION("""COMPUTED_VALUE"""),"-")</f>
        <v>-</v>
      </c>
      <c r="H1551" s="97" t="str">
        <f>IFERROR(__xludf.DUMMYFUNCTION("""COMPUTED_VALUE"""),"Lifud")</f>
        <v>Lifud</v>
      </c>
      <c r="I1551" s="97" t="str">
        <f>IFERROR(__xludf.DUMMYFUNCTION("""COMPUTED_VALUE"""),"Si")</f>
        <v>Si</v>
      </c>
      <c r="J1551" s="97" t="str">
        <f>IFERROR(__xludf.DUMMYFUNCTION("""COMPUTED_VALUE"""),"Modelo: LF-022S0500H
In: 220-240Vac 0.22A 50/60Hz
Out: 27-40Vdc 500mA 22.8W
Pf 0.5 Tc 90°C Ta 50°C")</f>
        <v>Modelo: LF-022S0500H
In: 220-240Vac 0.22A 50/60Hz
Out: 27-40Vdc 500mA 22.8W
Pf 0.5 Tc 90°C Ta 50°C</v>
      </c>
      <c r="K1551" s="97" t="str">
        <f>IFERROR(__xludf.DUMMYFUNCTION("""COMPUTED_VALUE"""),"ON/OFF")</f>
        <v>ON/OFF</v>
      </c>
      <c r="L1551" s="97" t="str">
        <f>IFERROR(__xludf.DUMMYFUNCTION("""COMPUTED_VALUE"""),"200-240")</f>
        <v>200-240</v>
      </c>
      <c r="M1551" s="97" t="str">
        <f>IFERROR(__xludf.DUMMYFUNCTION("""COMPUTED_VALUE"""),"50/60")</f>
        <v>50/60</v>
      </c>
      <c r="N1551" s="97" t="str">
        <f>IFERROR(__xludf.DUMMYFUNCTION("""COMPUTED_VALUE"""),"Directa")</f>
        <v>Directa</v>
      </c>
      <c r="O1551" s="97">
        <f>IFERROR(__xludf.DUMMYFUNCTION("""COMPUTED_VALUE"""),20.0)</f>
        <v>20</v>
      </c>
      <c r="P1551" s="97">
        <f>IFERROR(__xludf.DUMMYFUNCTION("""COMPUTED_VALUE"""),19.3)</f>
        <v>19.3</v>
      </c>
      <c r="Q1551" s="97"/>
      <c r="R1551" s="97" t="str">
        <f>IFERROR(__xludf.DUMMYFUNCTION("""COMPUTED_VALUE"""),"-")</f>
        <v>-</v>
      </c>
      <c r="S1551" s="97" t="str">
        <f>IFERROR(__xludf.DUMMYFUNCTION("""COMPUTED_VALUE"""),"-")</f>
        <v>-</v>
      </c>
      <c r="T1551" s="97">
        <f>IFERROR(__xludf.DUMMYFUNCTION("""COMPUTED_VALUE"""),1350.0)</f>
        <v>1350</v>
      </c>
      <c r="U1551" s="99">
        <f>IFERROR(__xludf.DUMMYFUNCTION("""COMPUTED_VALUE"""),67.5)</f>
        <v>67.5</v>
      </c>
      <c r="V1551" s="97">
        <f>IFERROR(__xludf.DUMMYFUNCTION("""COMPUTED_VALUE"""),38.0)</f>
        <v>38</v>
      </c>
      <c r="W1551" s="97" t="str">
        <f>IFERROR(__xludf.DUMMYFUNCTION("""COMPUTED_VALUE"""),"&lt; 14")</f>
        <v>&lt; 14</v>
      </c>
      <c r="X1551" s="97" t="str">
        <f>IFERROR(__xludf.DUMMYFUNCTION("""COMPUTED_VALUE"""),"2700/3000")</f>
        <v>2700/3000</v>
      </c>
      <c r="Y1551" s="97" t="str">
        <f>IFERROR(__xludf.DUMMYFUNCTION("""COMPUTED_VALUE"""),"&gt;90")</f>
        <v>&gt;90</v>
      </c>
      <c r="Z1551" s="97" t="str">
        <f>IFERROR(__xludf.DUMMYFUNCTION("""COMPUTED_VALUE"""),"&gt;90")</f>
        <v>&gt;90</v>
      </c>
      <c r="AA1551" s="97" t="str">
        <f>IFERROR(__xludf.DUMMYFUNCTION("""COMPUTED_VALUE"""),"100 (Fidelidad neutra)")</f>
        <v>100 (Fidelidad neutra)</v>
      </c>
      <c r="AB1551" s="97" t="str">
        <f>IFERROR(__xludf.DUMMYFUNCTION("""COMPUTED_VALUE"""),"&lt; 3")</f>
        <v>&lt; 3</v>
      </c>
      <c r="AC1551" s="97">
        <f>IFERROR(__xludf.DUMMYFUNCTION("""COMPUTED_VALUE"""),2.0E-4)</f>
        <v>0.0002</v>
      </c>
      <c r="AD1551" s="97" t="str">
        <f>IFERROR(__xludf.DUMMYFUNCTION("""COMPUTED_VALUE"""),"IP20")</f>
        <v>IP20</v>
      </c>
      <c r="AE1551" s="97" t="str">
        <f>IFERROR(__xludf.DUMMYFUNCTION("""COMPUTED_VALUE"""),"Clase l")</f>
        <v>Clase l</v>
      </c>
      <c r="AF1551" s="97" t="str">
        <f>IFERROR(__xludf.DUMMYFUNCTION("""COMPUTED_VALUE"""),"Embutir")</f>
        <v>Embutir</v>
      </c>
      <c r="AG1551" s="97" t="str">
        <f>IFERROR(__xludf.DUMMYFUNCTION("""COMPUTED_VALUE"""),"240 x 31 x 40")</f>
        <v>240 x 31 x 40</v>
      </c>
      <c r="AH1551" s="97" t="str">
        <f>IFERROR(__xludf.DUMMYFUNCTION("""COMPUTED_VALUE"""),"236 x 27")</f>
        <v>236 x 27</v>
      </c>
      <c r="AI1551" s="97">
        <f>IFERROR(__xludf.DUMMYFUNCTION("""COMPUTED_VALUE"""),60.0)</f>
        <v>60</v>
      </c>
      <c r="AJ1551" s="97" t="str">
        <f>IFERROR(__xludf.DUMMYFUNCTION("""COMPUTED_VALUE"""),"Policarbonato (PC)")</f>
        <v>Policarbonato (PC)</v>
      </c>
      <c r="AK1551" s="97" t="str">
        <f>IFERROR(__xludf.DUMMYFUNCTION("""COMPUTED_VALUE"""),"Aluminio")</f>
        <v>Aluminio</v>
      </c>
      <c r="AL1551" s="97" t="str">
        <f>IFERROR(__xludf.DUMMYFUNCTION("""COMPUTED_VALUE"""),"Negro Satinado")</f>
        <v>Negro Satinado</v>
      </c>
      <c r="AM1551" s="97" t="str">
        <f>IFERROR(__xludf.DUMMYFUNCTION("""COMPUTED_VALUE"""),"-")</f>
        <v>-</v>
      </c>
      <c r="AN1551" s="97" t="str">
        <f>IFERROR(__xludf.DUMMYFUNCTION("""COMPUTED_VALUE"""),"40.000hs (L70)")</f>
        <v>40.000hs (L70)</v>
      </c>
      <c r="AO1551" s="97" t="str">
        <f>IFERROR(__xludf.DUMMYFUNCTION("""COMPUTED_VALUE"""),"4 Años")</f>
        <v>4 Años</v>
      </c>
      <c r="AP1551" s="97" t="str">
        <f>IFERROR(__xludf.DUMMYFUNCTION("""COMPUTED_VALUE"""),"Falta")</f>
        <v>Falta</v>
      </c>
      <c r="AQ1551" s="97" t="str">
        <f>IFERROR(__xludf.DUMMYFUNCTION("""COMPUTED_VALUE"""),"Falta")</f>
        <v>Falta</v>
      </c>
      <c r="AR1551" s="97" t="str">
        <f>IFERROR(__xludf.DUMMYFUNCTION("""COMPUTED_VALUE"""),"En revisión")</f>
        <v>En revisión</v>
      </c>
      <c r="AS1551" s="97" t="str">
        <f>IFERROR(__xludf.DUMMYFUNCTION("""COMPUTED_VALUE"""),"Falta")</f>
        <v>Falta</v>
      </c>
      <c r="AT1551" s="97" t="str">
        <f>IFERROR(__xludf.DUMMYFUNCTION("""COMPUTED_VALUE"""),"Falta")</f>
        <v>Falta</v>
      </c>
      <c r="AU1551" s="97" t="str">
        <f>IFERROR(__xludf.DUMMYFUNCTION("""COMPUTED_VALUE"""),"Falta")</f>
        <v>Falta</v>
      </c>
      <c r="AV1551" s="97" t="str">
        <f>IFERROR(__xludf.DUMMYFUNCTION("""COMPUTED_VALUE"""),"Empotrable")</f>
        <v>Empotrable</v>
      </c>
      <c r="AW1551" s="97" t="str">
        <f>IFERROR(__xludf.DUMMYFUNCTION("""COMPUTED_VALUE"""),"De Techo")</f>
        <v>De Techo</v>
      </c>
      <c r="AX1551" s="97" t="str">
        <f>IFERROR(__xludf.DUMMYFUNCTION("""COMPUTED_VALUE"""),"Interior")</f>
        <v>Interior</v>
      </c>
      <c r="AY1551" s="97" t="str">
        <f>IFERROR(__xludf.DUMMYFUNCTION("""COMPUTED_VALUE"""),"Pocket")</f>
        <v>Pocket</v>
      </c>
      <c r="AZ1551" s="97"/>
      <c r="BA1551" s="97"/>
      <c r="BB1551" s="97"/>
      <c r="BC1551" s="97"/>
      <c r="BD1551" s="97" t="str">
        <f>IFERROR(__xludf.DUMMYFUNCTION("""COMPUTED_VALUE"""),"POCKET XII")</f>
        <v>POCKET XII</v>
      </c>
      <c r="BE1551" s="97" t="str">
        <f>IFERROR(__xludf.DUMMYFUNCTION("""COMPUTED_VALUE"""),"Falta TR")</f>
        <v>Falta TR</v>
      </c>
      <c r="BF1551" s="97"/>
      <c r="BG1551" s="97" t="str">
        <f>IFERROR(__xludf.DUMMYFUNCTION("""COMPUTED_VALUE"""),"REPO 7")</f>
        <v>REPO 7</v>
      </c>
    </row>
    <row r="1552">
      <c r="A1552" s="97">
        <f>IFERROR(__xludf.DUMMYFUNCTION("""COMPUTED_VALUE"""),7735.0)</f>
        <v>7735</v>
      </c>
      <c r="B1552" s="97" t="str">
        <f>IFERROR(__xludf.DUMMYFUNCTION("""COMPUTED_VALUE"""),"POCKET III BLBL 2CCT TRIAC")</f>
        <v>POCKET III BLBL 2CCT TRIAC</v>
      </c>
      <c r="C1552" s="97" t="str">
        <f>IFERROR(__xludf.DUMMYFUNCTION("""COMPUTED_VALUE"""),"EMPOTRABLE POCKET III BLBL 2CCT TRIAC 5W 2700/3000K LM CRI&gt;90 IP20 LEUK")</f>
        <v>EMPOTRABLE POCKET III BLBL 2CCT TRIAC 5W 2700/3000K LM CRI&gt;90 IP20 LEUK</v>
      </c>
      <c r="D1552" s="97" t="str">
        <f>IFERROR(__xludf.DUMMYFUNCTION("""COMPUTED_VALUE"""),"N/A")</f>
        <v>N/A</v>
      </c>
      <c r="E1552" s="97" t="str">
        <f>IFERROR(__xludf.DUMMYFUNCTION("""COMPUTED_VALUE"""),"N/A")</f>
        <v>N/A</v>
      </c>
      <c r="F1552" s="97" t="str">
        <f>IFERROR(__xludf.DUMMYFUNCTION("""COMPUTED_VALUE"""),"LED SMD")</f>
        <v>LED SMD</v>
      </c>
      <c r="G1552" s="97" t="str">
        <f>IFERROR(__xludf.DUMMYFUNCTION("""COMPUTED_VALUE"""),"-")</f>
        <v>-</v>
      </c>
      <c r="H1552" s="97" t="str">
        <f>IFERROR(__xludf.DUMMYFUNCTION("""COMPUTED_VALUE"""),"AiDimming")</f>
        <v>AiDimming</v>
      </c>
      <c r="I1552" s="97" t="str">
        <f>IFERROR(__xludf.DUMMYFUNCTION("""COMPUTED_VALUE"""),"Si")</f>
        <v>Si</v>
      </c>
      <c r="J1552" s="97" t="str">
        <f>IFERROR(__xludf.DUMMYFUNCTION("""COMPUTED_VALUE"""),"Modelo: PE594M1550
In: 200-250Vac 0.05A 50/60Hz
Out: 6-15Vdc 500mA 7.5W
Pf 0.94 Tc 85°C Ta 45°C
FlickerFree")</f>
        <v>Modelo: PE594M1550
In: 200-250Vac 0.05A 50/60Hz
Out: 6-15Vdc 500mA 7.5W
Pf 0.94 Tc 85°C Ta 45°C
FlickerFree</v>
      </c>
      <c r="K1552" s="97" t="str">
        <f>IFERROR(__xludf.DUMMYFUNCTION("""COMPUTED_VALUE"""),"TRIAC")</f>
        <v>TRIAC</v>
      </c>
      <c r="L1552" s="97" t="str">
        <f>IFERROR(__xludf.DUMMYFUNCTION("""COMPUTED_VALUE"""),"200-240")</f>
        <v>200-240</v>
      </c>
      <c r="M1552" s="97" t="str">
        <f>IFERROR(__xludf.DUMMYFUNCTION("""COMPUTED_VALUE"""),"50/60")</f>
        <v>50/60</v>
      </c>
      <c r="N1552" s="97" t="str">
        <f>IFERROR(__xludf.DUMMYFUNCTION("""COMPUTED_VALUE"""),"Directa")</f>
        <v>Directa</v>
      </c>
      <c r="O1552" s="97">
        <f>IFERROR(__xludf.DUMMYFUNCTION("""COMPUTED_VALUE"""),5.0)</f>
        <v>5</v>
      </c>
      <c r="P1552" s="97"/>
      <c r="Q1552" s="97"/>
      <c r="R1552" s="97" t="str">
        <f>IFERROR(__xludf.DUMMYFUNCTION("""COMPUTED_VALUE"""),"-")</f>
        <v>-</v>
      </c>
      <c r="S1552" s="97" t="str">
        <f>IFERROR(__xludf.DUMMYFUNCTION("""COMPUTED_VALUE"""),"-")</f>
        <v>-</v>
      </c>
      <c r="T1552" s="97"/>
      <c r="U1552" s="97">
        <f>IFERROR(__xludf.DUMMYFUNCTION("""COMPUTED_VALUE"""),0.0)</f>
        <v>0</v>
      </c>
      <c r="V1552" s="97">
        <f>IFERROR(__xludf.DUMMYFUNCTION("""COMPUTED_VALUE"""),38.0)</f>
        <v>38</v>
      </c>
      <c r="W1552" s="97" t="str">
        <f>IFERROR(__xludf.DUMMYFUNCTION("""COMPUTED_VALUE"""),"&lt; 14")</f>
        <v>&lt; 14</v>
      </c>
      <c r="X1552" s="97" t="str">
        <f>IFERROR(__xludf.DUMMYFUNCTION("""COMPUTED_VALUE"""),"2700/3000")</f>
        <v>2700/3000</v>
      </c>
      <c r="Y1552" s="97" t="str">
        <f>IFERROR(__xludf.DUMMYFUNCTION("""COMPUTED_VALUE"""),"&gt;90")</f>
        <v>&gt;90</v>
      </c>
      <c r="Z1552" s="97" t="str">
        <f>IFERROR(__xludf.DUMMYFUNCTION("""COMPUTED_VALUE"""),"&gt;90")</f>
        <v>&gt;90</v>
      </c>
      <c r="AA1552" s="97" t="str">
        <f>IFERROR(__xludf.DUMMYFUNCTION("""COMPUTED_VALUE"""),"100 (Fidelidad neutra)")</f>
        <v>100 (Fidelidad neutra)</v>
      </c>
      <c r="AB1552" s="97" t="str">
        <f>IFERROR(__xludf.DUMMYFUNCTION("""COMPUTED_VALUE"""),"&lt; 3")</f>
        <v>&lt; 3</v>
      </c>
      <c r="AC1552" s="97">
        <f>IFERROR(__xludf.DUMMYFUNCTION("""COMPUTED_VALUE"""),1.0E-4)</f>
        <v>0.0001</v>
      </c>
      <c r="AD1552" s="97" t="str">
        <f>IFERROR(__xludf.DUMMYFUNCTION("""COMPUTED_VALUE"""),"IP20")</f>
        <v>IP20</v>
      </c>
      <c r="AE1552" s="97" t="str">
        <f>IFERROR(__xludf.DUMMYFUNCTION("""COMPUTED_VALUE"""),"Clase l")</f>
        <v>Clase l</v>
      </c>
      <c r="AF1552" s="97" t="str">
        <f>IFERROR(__xludf.DUMMYFUNCTION("""COMPUTED_VALUE"""),"Embutir")</f>
        <v>Embutir</v>
      </c>
      <c r="AG1552" s="97" t="str">
        <f>IFERROR(__xludf.DUMMYFUNCTION("""COMPUTED_VALUE"""),"69 x 31 x 40")</f>
        <v>69 x 31 x 40</v>
      </c>
      <c r="AH1552" s="97" t="str">
        <f>IFERROR(__xludf.DUMMYFUNCTION("""COMPUTED_VALUE"""),"65 x 27")</f>
        <v>65 x 27</v>
      </c>
      <c r="AI1552" s="97">
        <f>IFERROR(__xludf.DUMMYFUNCTION("""COMPUTED_VALUE"""),55.0)</f>
        <v>55</v>
      </c>
      <c r="AJ1552" s="97" t="str">
        <f>IFERROR(__xludf.DUMMYFUNCTION("""COMPUTED_VALUE"""),"Policarbonato (PC)")</f>
        <v>Policarbonato (PC)</v>
      </c>
      <c r="AK1552" s="97" t="str">
        <f>IFERROR(__xludf.DUMMYFUNCTION("""COMPUTED_VALUE"""),"Aluminio")</f>
        <v>Aluminio</v>
      </c>
      <c r="AL1552" s="97" t="str">
        <f>IFERROR(__xludf.DUMMYFUNCTION("""COMPUTED_VALUE"""),"Blanco Satinado")</f>
        <v>Blanco Satinado</v>
      </c>
      <c r="AM1552" s="97" t="str">
        <f>IFERROR(__xludf.DUMMYFUNCTION("""COMPUTED_VALUE"""),"-")</f>
        <v>-</v>
      </c>
      <c r="AN1552" s="97" t="str">
        <f>IFERROR(__xludf.DUMMYFUNCTION("""COMPUTED_VALUE"""),"40.000hs (L70)")</f>
        <v>40.000hs (L70)</v>
      </c>
      <c r="AO1552" s="97" t="str">
        <f>IFERROR(__xludf.DUMMYFUNCTION("""COMPUTED_VALUE"""),"4 Años")</f>
        <v>4 Años</v>
      </c>
      <c r="AP1552" s="97" t="str">
        <f>IFERROR(__xludf.DUMMYFUNCTION("""COMPUTED_VALUE"""),"Falta")</f>
        <v>Falta</v>
      </c>
      <c r="AQ1552" s="97" t="str">
        <f>IFERROR(__xludf.DUMMYFUNCTION("""COMPUTED_VALUE"""),"Falta")</f>
        <v>Falta</v>
      </c>
      <c r="AR1552" s="97" t="str">
        <f>IFERROR(__xludf.DUMMYFUNCTION("""COMPUTED_VALUE"""),"En revisión")</f>
        <v>En revisión</v>
      </c>
      <c r="AS1552" s="97" t="str">
        <f>IFERROR(__xludf.DUMMYFUNCTION("""COMPUTED_VALUE"""),"Falta")</f>
        <v>Falta</v>
      </c>
      <c r="AT1552" s="97" t="str">
        <f>IFERROR(__xludf.DUMMYFUNCTION("""COMPUTED_VALUE"""),"Falta")</f>
        <v>Falta</v>
      </c>
      <c r="AU1552" s="97" t="str">
        <f>IFERROR(__xludf.DUMMYFUNCTION("""COMPUTED_VALUE"""),"Falta")</f>
        <v>Falta</v>
      </c>
      <c r="AV1552" s="97" t="str">
        <f>IFERROR(__xludf.DUMMYFUNCTION("""COMPUTED_VALUE"""),"Empotrable")</f>
        <v>Empotrable</v>
      </c>
      <c r="AW1552" s="97" t="str">
        <f>IFERROR(__xludf.DUMMYFUNCTION("""COMPUTED_VALUE"""),"De Techo")</f>
        <v>De Techo</v>
      </c>
      <c r="AX1552" s="97" t="str">
        <f>IFERROR(__xludf.DUMMYFUNCTION("""COMPUTED_VALUE"""),"Interior")</f>
        <v>Interior</v>
      </c>
      <c r="AY1552" s="97" t="str">
        <f>IFERROR(__xludf.DUMMYFUNCTION("""COMPUTED_VALUE"""),"Pocket")</f>
        <v>Pocket</v>
      </c>
      <c r="AZ1552" s="97"/>
      <c r="BA1552" s="97"/>
      <c r="BB1552" s="97"/>
      <c r="BC1552" s="97"/>
      <c r="BD1552" s="97" t="str">
        <f>IFERROR(__xludf.DUMMYFUNCTION("""COMPUTED_VALUE"""),"POCKET III")</f>
        <v>POCKET III</v>
      </c>
      <c r="BE1552" s="97" t="str">
        <f>IFERROR(__xludf.DUMMYFUNCTION("""COMPUTED_VALUE"""),"Falta TR")</f>
        <v>Falta TR</v>
      </c>
      <c r="BF1552" s="97"/>
      <c r="BG1552" s="97" t="str">
        <f>IFERROR(__xludf.DUMMYFUNCTION("""COMPUTED_VALUE"""),"REPO 7")</f>
        <v>REPO 7</v>
      </c>
    </row>
    <row r="1553">
      <c r="A1553" s="97">
        <f>IFERROR(__xludf.DUMMYFUNCTION("""COMPUTED_VALUE"""),7736.0)</f>
        <v>7736</v>
      </c>
      <c r="B1553" s="97" t="str">
        <f>IFERROR(__xludf.DUMMYFUNCTION("""COMPUTED_VALUE"""),"POCKET III BLNG 2CCT TRIAC")</f>
        <v>POCKET III BLNG 2CCT TRIAC</v>
      </c>
      <c r="C1553" s="97" t="str">
        <f>IFERROR(__xludf.DUMMYFUNCTION("""COMPUTED_VALUE"""),"EMPOTRABLE POCKET III BLNG 2CCT TRIAC 5W 2700/3000K LM CRI&gt;90 IP20 LEUK")</f>
        <v>EMPOTRABLE POCKET III BLNG 2CCT TRIAC 5W 2700/3000K LM CRI&gt;90 IP20 LEUK</v>
      </c>
      <c r="D1553" s="97" t="str">
        <f>IFERROR(__xludf.DUMMYFUNCTION("""COMPUTED_VALUE"""),"N/A")</f>
        <v>N/A</v>
      </c>
      <c r="E1553" s="97" t="str">
        <f>IFERROR(__xludf.DUMMYFUNCTION("""COMPUTED_VALUE"""),"N/A")</f>
        <v>N/A</v>
      </c>
      <c r="F1553" s="97" t="str">
        <f>IFERROR(__xludf.DUMMYFUNCTION("""COMPUTED_VALUE"""),"LED SMD")</f>
        <v>LED SMD</v>
      </c>
      <c r="G1553" s="97" t="str">
        <f>IFERROR(__xludf.DUMMYFUNCTION("""COMPUTED_VALUE"""),"-")</f>
        <v>-</v>
      </c>
      <c r="H1553" s="97" t="str">
        <f>IFERROR(__xludf.DUMMYFUNCTION("""COMPUTED_VALUE"""),"AiDimming")</f>
        <v>AiDimming</v>
      </c>
      <c r="I1553" s="97" t="str">
        <f>IFERROR(__xludf.DUMMYFUNCTION("""COMPUTED_VALUE"""),"Si")</f>
        <v>Si</v>
      </c>
      <c r="J1553" s="97" t="str">
        <f>IFERROR(__xludf.DUMMYFUNCTION("""COMPUTED_VALUE"""),"Modelo: PE594M1550
In: 200-250Vac 0.05A 50/60Hz
Out: 6-15Vdc 500mA 7.5W
Pf 0.94 Tc 85°C Ta 45°C
FlickerFree")</f>
        <v>Modelo: PE594M1550
In: 200-250Vac 0.05A 50/60Hz
Out: 6-15Vdc 500mA 7.5W
Pf 0.94 Tc 85°C Ta 45°C
FlickerFree</v>
      </c>
      <c r="K1553" s="97" t="str">
        <f>IFERROR(__xludf.DUMMYFUNCTION("""COMPUTED_VALUE"""),"TRIAC")</f>
        <v>TRIAC</v>
      </c>
      <c r="L1553" s="97" t="str">
        <f>IFERROR(__xludf.DUMMYFUNCTION("""COMPUTED_VALUE"""),"200-240")</f>
        <v>200-240</v>
      </c>
      <c r="M1553" s="97" t="str">
        <f>IFERROR(__xludf.DUMMYFUNCTION("""COMPUTED_VALUE"""),"50/60")</f>
        <v>50/60</v>
      </c>
      <c r="N1553" s="97" t="str">
        <f>IFERROR(__xludf.DUMMYFUNCTION("""COMPUTED_VALUE"""),"Directa")</f>
        <v>Directa</v>
      </c>
      <c r="O1553" s="97">
        <f>IFERROR(__xludf.DUMMYFUNCTION("""COMPUTED_VALUE"""),5.0)</f>
        <v>5</v>
      </c>
      <c r="P1553" s="97"/>
      <c r="Q1553" s="97"/>
      <c r="R1553" s="97" t="str">
        <f>IFERROR(__xludf.DUMMYFUNCTION("""COMPUTED_VALUE"""),"-")</f>
        <v>-</v>
      </c>
      <c r="S1553" s="97" t="str">
        <f>IFERROR(__xludf.DUMMYFUNCTION("""COMPUTED_VALUE"""),"-")</f>
        <v>-</v>
      </c>
      <c r="T1553" s="97"/>
      <c r="U1553" s="97">
        <f>IFERROR(__xludf.DUMMYFUNCTION("""COMPUTED_VALUE"""),0.0)</f>
        <v>0</v>
      </c>
      <c r="V1553" s="97">
        <f>IFERROR(__xludf.DUMMYFUNCTION("""COMPUTED_VALUE"""),38.0)</f>
        <v>38</v>
      </c>
      <c r="W1553" s="97" t="str">
        <f>IFERROR(__xludf.DUMMYFUNCTION("""COMPUTED_VALUE"""),"&lt; 14")</f>
        <v>&lt; 14</v>
      </c>
      <c r="X1553" s="97" t="str">
        <f>IFERROR(__xludf.DUMMYFUNCTION("""COMPUTED_VALUE"""),"2700/3000")</f>
        <v>2700/3000</v>
      </c>
      <c r="Y1553" s="97" t="str">
        <f>IFERROR(__xludf.DUMMYFUNCTION("""COMPUTED_VALUE"""),"&gt;90")</f>
        <v>&gt;90</v>
      </c>
      <c r="Z1553" s="97" t="str">
        <f>IFERROR(__xludf.DUMMYFUNCTION("""COMPUTED_VALUE"""),"&gt;90")</f>
        <v>&gt;90</v>
      </c>
      <c r="AA1553" s="97" t="str">
        <f>IFERROR(__xludf.DUMMYFUNCTION("""COMPUTED_VALUE"""),"100 (Fidelidad neutra)")</f>
        <v>100 (Fidelidad neutra)</v>
      </c>
      <c r="AB1553" s="97" t="str">
        <f>IFERROR(__xludf.DUMMYFUNCTION("""COMPUTED_VALUE"""),"&lt; 3")</f>
        <v>&lt; 3</v>
      </c>
      <c r="AC1553" s="97">
        <f>IFERROR(__xludf.DUMMYFUNCTION("""COMPUTED_VALUE"""),1.0E-4)</f>
        <v>0.0001</v>
      </c>
      <c r="AD1553" s="97" t="str">
        <f>IFERROR(__xludf.DUMMYFUNCTION("""COMPUTED_VALUE"""),"IP20")</f>
        <v>IP20</v>
      </c>
      <c r="AE1553" s="97" t="str">
        <f>IFERROR(__xludf.DUMMYFUNCTION("""COMPUTED_VALUE"""),"Clase l")</f>
        <v>Clase l</v>
      </c>
      <c r="AF1553" s="97" t="str">
        <f>IFERROR(__xludf.DUMMYFUNCTION("""COMPUTED_VALUE"""),"Embutir")</f>
        <v>Embutir</v>
      </c>
      <c r="AG1553" s="97" t="str">
        <f>IFERROR(__xludf.DUMMYFUNCTION("""COMPUTED_VALUE"""),"69 x 31 x 40")</f>
        <v>69 x 31 x 40</v>
      </c>
      <c r="AH1553" s="97" t="str">
        <f>IFERROR(__xludf.DUMMYFUNCTION("""COMPUTED_VALUE"""),"65 x 27")</f>
        <v>65 x 27</v>
      </c>
      <c r="AI1553" s="97">
        <f>IFERROR(__xludf.DUMMYFUNCTION("""COMPUTED_VALUE"""),55.0)</f>
        <v>55</v>
      </c>
      <c r="AJ1553" s="97" t="str">
        <f>IFERROR(__xludf.DUMMYFUNCTION("""COMPUTED_VALUE"""),"Policarbonato (PC)")</f>
        <v>Policarbonato (PC)</v>
      </c>
      <c r="AK1553" s="97" t="str">
        <f>IFERROR(__xludf.DUMMYFUNCTION("""COMPUTED_VALUE"""),"Aluminio")</f>
        <v>Aluminio</v>
      </c>
      <c r="AL1553" s="97" t="str">
        <f>IFERROR(__xludf.DUMMYFUNCTION("""COMPUTED_VALUE"""),"Blanco y Negro")</f>
        <v>Blanco y Negro</v>
      </c>
      <c r="AM1553" s="97" t="str">
        <f>IFERROR(__xludf.DUMMYFUNCTION("""COMPUTED_VALUE"""),"-")</f>
        <v>-</v>
      </c>
      <c r="AN1553" s="97" t="str">
        <f>IFERROR(__xludf.DUMMYFUNCTION("""COMPUTED_VALUE"""),"40.000hs (L70)")</f>
        <v>40.000hs (L70)</v>
      </c>
      <c r="AO1553" s="97" t="str">
        <f>IFERROR(__xludf.DUMMYFUNCTION("""COMPUTED_VALUE"""),"4 Años")</f>
        <v>4 Años</v>
      </c>
      <c r="AP1553" s="97" t="str">
        <f>IFERROR(__xludf.DUMMYFUNCTION("""COMPUTED_VALUE"""),"Falta")</f>
        <v>Falta</v>
      </c>
      <c r="AQ1553" s="97" t="str">
        <f>IFERROR(__xludf.DUMMYFUNCTION("""COMPUTED_VALUE"""),"Falta")</f>
        <v>Falta</v>
      </c>
      <c r="AR1553" s="97" t="str">
        <f>IFERROR(__xludf.DUMMYFUNCTION("""COMPUTED_VALUE"""),"En revisión")</f>
        <v>En revisión</v>
      </c>
      <c r="AS1553" s="97" t="str">
        <f>IFERROR(__xludf.DUMMYFUNCTION("""COMPUTED_VALUE"""),"Falta")</f>
        <v>Falta</v>
      </c>
      <c r="AT1553" s="97" t="str">
        <f>IFERROR(__xludf.DUMMYFUNCTION("""COMPUTED_VALUE"""),"Falta")</f>
        <v>Falta</v>
      </c>
      <c r="AU1553" s="97" t="str">
        <f>IFERROR(__xludf.DUMMYFUNCTION("""COMPUTED_VALUE"""),"Falta")</f>
        <v>Falta</v>
      </c>
      <c r="AV1553" s="97" t="str">
        <f>IFERROR(__xludf.DUMMYFUNCTION("""COMPUTED_VALUE"""),"Empotrable")</f>
        <v>Empotrable</v>
      </c>
      <c r="AW1553" s="97" t="str">
        <f>IFERROR(__xludf.DUMMYFUNCTION("""COMPUTED_VALUE"""),"De Techo")</f>
        <v>De Techo</v>
      </c>
      <c r="AX1553" s="97" t="str">
        <f>IFERROR(__xludf.DUMMYFUNCTION("""COMPUTED_VALUE"""),"Interior")</f>
        <v>Interior</v>
      </c>
      <c r="AY1553" s="97" t="str">
        <f>IFERROR(__xludf.DUMMYFUNCTION("""COMPUTED_VALUE"""),"Pocket")</f>
        <v>Pocket</v>
      </c>
      <c r="AZ1553" s="97"/>
      <c r="BA1553" s="97"/>
      <c r="BB1553" s="97"/>
      <c r="BC1553" s="97"/>
      <c r="BD1553" s="97" t="str">
        <f>IFERROR(__xludf.DUMMYFUNCTION("""COMPUTED_VALUE"""),"POCKET III")</f>
        <v>POCKET III</v>
      </c>
      <c r="BE1553" s="97" t="str">
        <f>IFERROR(__xludf.DUMMYFUNCTION("""COMPUTED_VALUE"""),"Falta TR")</f>
        <v>Falta TR</v>
      </c>
      <c r="BF1553" s="97"/>
      <c r="BG1553" s="97" t="str">
        <f>IFERROR(__xludf.DUMMYFUNCTION("""COMPUTED_VALUE"""),"REPO 7")</f>
        <v>REPO 7</v>
      </c>
    </row>
    <row r="1554">
      <c r="A1554" s="97">
        <f>IFERROR(__xludf.DUMMYFUNCTION("""COMPUTED_VALUE"""),7737.0)</f>
        <v>7737</v>
      </c>
      <c r="B1554" s="97" t="str">
        <f>IFERROR(__xludf.DUMMYFUNCTION("""COMPUTED_VALUE"""),"POCKET III NGNG 2CCT TRIAC")</f>
        <v>POCKET III NGNG 2CCT TRIAC</v>
      </c>
      <c r="C1554" s="97" t="str">
        <f>IFERROR(__xludf.DUMMYFUNCTION("""COMPUTED_VALUE"""),"EMPOTRABLE POCKET III NGNG 2CCT TRIAC 5W 2700/3000K LM CRI&gt;90 IP20 LEUK")</f>
        <v>EMPOTRABLE POCKET III NGNG 2CCT TRIAC 5W 2700/3000K LM CRI&gt;90 IP20 LEUK</v>
      </c>
      <c r="D1554" s="97" t="str">
        <f>IFERROR(__xludf.DUMMYFUNCTION("""COMPUTED_VALUE"""),"N/A")</f>
        <v>N/A</v>
      </c>
      <c r="E1554" s="97" t="str">
        <f>IFERROR(__xludf.DUMMYFUNCTION("""COMPUTED_VALUE"""),"N/A")</f>
        <v>N/A</v>
      </c>
      <c r="F1554" s="97" t="str">
        <f>IFERROR(__xludf.DUMMYFUNCTION("""COMPUTED_VALUE"""),"LED SMD")</f>
        <v>LED SMD</v>
      </c>
      <c r="G1554" s="97" t="str">
        <f>IFERROR(__xludf.DUMMYFUNCTION("""COMPUTED_VALUE"""),"-")</f>
        <v>-</v>
      </c>
      <c r="H1554" s="97" t="str">
        <f>IFERROR(__xludf.DUMMYFUNCTION("""COMPUTED_VALUE"""),"AiDimming")</f>
        <v>AiDimming</v>
      </c>
      <c r="I1554" s="97" t="str">
        <f>IFERROR(__xludf.DUMMYFUNCTION("""COMPUTED_VALUE"""),"Si")</f>
        <v>Si</v>
      </c>
      <c r="J1554" s="97" t="str">
        <f>IFERROR(__xludf.DUMMYFUNCTION("""COMPUTED_VALUE"""),"Modelo: PE594M1550
In: 200-250Vac 0.05A 50/60Hz
Out: 6-15Vdc 500mA 7.5W
Pf 0.94 Tc 85°C Ta 45°C
FlickerFree")</f>
        <v>Modelo: PE594M1550
In: 200-250Vac 0.05A 50/60Hz
Out: 6-15Vdc 500mA 7.5W
Pf 0.94 Tc 85°C Ta 45°C
FlickerFree</v>
      </c>
      <c r="K1554" s="97" t="str">
        <f>IFERROR(__xludf.DUMMYFUNCTION("""COMPUTED_VALUE"""),"TRIAC")</f>
        <v>TRIAC</v>
      </c>
      <c r="L1554" s="97" t="str">
        <f>IFERROR(__xludf.DUMMYFUNCTION("""COMPUTED_VALUE"""),"200-240")</f>
        <v>200-240</v>
      </c>
      <c r="M1554" s="97" t="str">
        <f>IFERROR(__xludf.DUMMYFUNCTION("""COMPUTED_VALUE"""),"50/60")</f>
        <v>50/60</v>
      </c>
      <c r="N1554" s="97" t="str">
        <f>IFERROR(__xludf.DUMMYFUNCTION("""COMPUTED_VALUE"""),"Directa")</f>
        <v>Directa</v>
      </c>
      <c r="O1554" s="97">
        <f>IFERROR(__xludf.DUMMYFUNCTION("""COMPUTED_VALUE"""),5.0)</f>
        <v>5</v>
      </c>
      <c r="P1554" s="97"/>
      <c r="Q1554" s="97"/>
      <c r="R1554" s="97" t="str">
        <f>IFERROR(__xludf.DUMMYFUNCTION("""COMPUTED_VALUE"""),"-")</f>
        <v>-</v>
      </c>
      <c r="S1554" s="97" t="str">
        <f>IFERROR(__xludf.DUMMYFUNCTION("""COMPUTED_VALUE"""),"-")</f>
        <v>-</v>
      </c>
      <c r="T1554" s="97"/>
      <c r="U1554" s="97">
        <f>IFERROR(__xludf.DUMMYFUNCTION("""COMPUTED_VALUE"""),0.0)</f>
        <v>0</v>
      </c>
      <c r="V1554" s="97">
        <f>IFERROR(__xludf.DUMMYFUNCTION("""COMPUTED_VALUE"""),38.0)</f>
        <v>38</v>
      </c>
      <c r="W1554" s="97" t="str">
        <f>IFERROR(__xludf.DUMMYFUNCTION("""COMPUTED_VALUE"""),"&lt; 14")</f>
        <v>&lt; 14</v>
      </c>
      <c r="X1554" s="97" t="str">
        <f>IFERROR(__xludf.DUMMYFUNCTION("""COMPUTED_VALUE"""),"2700/3000")</f>
        <v>2700/3000</v>
      </c>
      <c r="Y1554" s="97" t="str">
        <f>IFERROR(__xludf.DUMMYFUNCTION("""COMPUTED_VALUE"""),"&gt;90")</f>
        <v>&gt;90</v>
      </c>
      <c r="Z1554" s="97" t="str">
        <f>IFERROR(__xludf.DUMMYFUNCTION("""COMPUTED_VALUE"""),"&gt;90")</f>
        <v>&gt;90</v>
      </c>
      <c r="AA1554" s="97" t="str">
        <f>IFERROR(__xludf.DUMMYFUNCTION("""COMPUTED_VALUE"""),"100 (Fidelidad neutra)")</f>
        <v>100 (Fidelidad neutra)</v>
      </c>
      <c r="AB1554" s="97" t="str">
        <f>IFERROR(__xludf.DUMMYFUNCTION("""COMPUTED_VALUE"""),"&lt; 3")</f>
        <v>&lt; 3</v>
      </c>
      <c r="AC1554" s="97">
        <f>IFERROR(__xludf.DUMMYFUNCTION("""COMPUTED_VALUE"""),1.0E-4)</f>
        <v>0.0001</v>
      </c>
      <c r="AD1554" s="97" t="str">
        <f>IFERROR(__xludf.DUMMYFUNCTION("""COMPUTED_VALUE"""),"IP20")</f>
        <v>IP20</v>
      </c>
      <c r="AE1554" s="97" t="str">
        <f>IFERROR(__xludf.DUMMYFUNCTION("""COMPUTED_VALUE"""),"Clase l")</f>
        <v>Clase l</v>
      </c>
      <c r="AF1554" s="97" t="str">
        <f>IFERROR(__xludf.DUMMYFUNCTION("""COMPUTED_VALUE"""),"Embutir")</f>
        <v>Embutir</v>
      </c>
      <c r="AG1554" s="97" t="str">
        <f>IFERROR(__xludf.DUMMYFUNCTION("""COMPUTED_VALUE"""),"69 x 31 x 40")</f>
        <v>69 x 31 x 40</v>
      </c>
      <c r="AH1554" s="97" t="str">
        <f>IFERROR(__xludf.DUMMYFUNCTION("""COMPUTED_VALUE"""),"65 x 27")</f>
        <v>65 x 27</v>
      </c>
      <c r="AI1554" s="97">
        <f>IFERROR(__xludf.DUMMYFUNCTION("""COMPUTED_VALUE"""),55.0)</f>
        <v>55</v>
      </c>
      <c r="AJ1554" s="97" t="str">
        <f>IFERROR(__xludf.DUMMYFUNCTION("""COMPUTED_VALUE"""),"Policarbonato (PC)")</f>
        <v>Policarbonato (PC)</v>
      </c>
      <c r="AK1554" s="97" t="str">
        <f>IFERROR(__xludf.DUMMYFUNCTION("""COMPUTED_VALUE"""),"Aluminio")</f>
        <v>Aluminio</v>
      </c>
      <c r="AL1554" s="97" t="str">
        <f>IFERROR(__xludf.DUMMYFUNCTION("""COMPUTED_VALUE"""),"Negro Satinado")</f>
        <v>Negro Satinado</v>
      </c>
      <c r="AM1554" s="97" t="str">
        <f>IFERROR(__xludf.DUMMYFUNCTION("""COMPUTED_VALUE"""),"-")</f>
        <v>-</v>
      </c>
      <c r="AN1554" s="97" t="str">
        <f>IFERROR(__xludf.DUMMYFUNCTION("""COMPUTED_VALUE"""),"40.000hs (L70)")</f>
        <v>40.000hs (L70)</v>
      </c>
      <c r="AO1554" s="97" t="str">
        <f>IFERROR(__xludf.DUMMYFUNCTION("""COMPUTED_VALUE"""),"4 Años")</f>
        <v>4 Años</v>
      </c>
      <c r="AP1554" s="97" t="str">
        <f>IFERROR(__xludf.DUMMYFUNCTION("""COMPUTED_VALUE"""),"Falta")</f>
        <v>Falta</v>
      </c>
      <c r="AQ1554" s="97" t="str">
        <f>IFERROR(__xludf.DUMMYFUNCTION("""COMPUTED_VALUE"""),"Falta")</f>
        <v>Falta</v>
      </c>
      <c r="AR1554" s="97" t="str">
        <f>IFERROR(__xludf.DUMMYFUNCTION("""COMPUTED_VALUE"""),"En revisión")</f>
        <v>En revisión</v>
      </c>
      <c r="AS1554" s="97" t="str">
        <f>IFERROR(__xludf.DUMMYFUNCTION("""COMPUTED_VALUE"""),"Falta")</f>
        <v>Falta</v>
      </c>
      <c r="AT1554" s="97" t="str">
        <f>IFERROR(__xludf.DUMMYFUNCTION("""COMPUTED_VALUE"""),"Falta")</f>
        <v>Falta</v>
      </c>
      <c r="AU1554" s="97" t="str">
        <f>IFERROR(__xludf.DUMMYFUNCTION("""COMPUTED_VALUE"""),"Falta")</f>
        <v>Falta</v>
      </c>
      <c r="AV1554" s="97" t="str">
        <f>IFERROR(__xludf.DUMMYFUNCTION("""COMPUTED_VALUE"""),"Empotrable")</f>
        <v>Empotrable</v>
      </c>
      <c r="AW1554" s="97" t="str">
        <f>IFERROR(__xludf.DUMMYFUNCTION("""COMPUTED_VALUE"""),"De Techo")</f>
        <v>De Techo</v>
      </c>
      <c r="AX1554" s="97" t="str">
        <f>IFERROR(__xludf.DUMMYFUNCTION("""COMPUTED_VALUE"""),"Interior")</f>
        <v>Interior</v>
      </c>
      <c r="AY1554" s="97" t="str">
        <f>IFERROR(__xludf.DUMMYFUNCTION("""COMPUTED_VALUE"""),"Pocket")</f>
        <v>Pocket</v>
      </c>
      <c r="AZ1554" s="97"/>
      <c r="BA1554" s="97"/>
      <c r="BB1554" s="97"/>
      <c r="BC1554" s="97"/>
      <c r="BD1554" s="97" t="str">
        <f>IFERROR(__xludf.DUMMYFUNCTION("""COMPUTED_VALUE"""),"POCKET III")</f>
        <v>POCKET III</v>
      </c>
      <c r="BE1554" s="97" t="str">
        <f>IFERROR(__xludf.DUMMYFUNCTION("""COMPUTED_VALUE"""),"Falta TR")</f>
        <v>Falta TR</v>
      </c>
      <c r="BF1554" s="97"/>
      <c r="BG1554" s="97" t="str">
        <f>IFERROR(__xludf.DUMMYFUNCTION("""COMPUTED_VALUE"""),"REPO 7")</f>
        <v>REPO 7</v>
      </c>
    </row>
    <row r="1555">
      <c r="A1555" s="97">
        <f>IFERROR(__xludf.DUMMYFUNCTION("""COMPUTED_VALUE"""),7738.0)</f>
        <v>7738</v>
      </c>
      <c r="B1555" s="97" t="str">
        <f>IFERROR(__xludf.DUMMYFUNCTION("""COMPUTED_VALUE"""),"POCKET IV BLBL 2CCT TRIAC")</f>
        <v>POCKET IV BLBL 2CCT TRIAC</v>
      </c>
      <c r="C1555" s="97" t="str">
        <f>IFERROR(__xludf.DUMMYFUNCTION("""COMPUTED_VALUE"""),"EMPOTRABLE POCKET IV BLBL 2CCT TRIAC 7W 2700/3000K 415LM CRI&gt;90 IP20 LEUK")</f>
        <v>EMPOTRABLE POCKET IV BLBL 2CCT TRIAC 7W 2700/3000K 415LM CRI&gt;90 IP20 LEUK</v>
      </c>
      <c r="D1555" s="97" t="str">
        <f>IFERROR(__xludf.DUMMYFUNCTION("""COMPUTED_VALUE"""),"N/A")</f>
        <v>N/A</v>
      </c>
      <c r="E1555" s="97" t="str">
        <f>IFERROR(__xludf.DUMMYFUNCTION("""COMPUTED_VALUE"""),"N/A")</f>
        <v>N/A</v>
      </c>
      <c r="F1555" s="97" t="str">
        <f>IFERROR(__xludf.DUMMYFUNCTION("""COMPUTED_VALUE"""),"LED SMD")</f>
        <v>LED SMD</v>
      </c>
      <c r="G1555" s="97" t="str">
        <f>IFERROR(__xludf.DUMMYFUNCTION("""COMPUTED_VALUE"""),"-")</f>
        <v>-</v>
      </c>
      <c r="H1555" s="97" t="str">
        <f>IFERROR(__xludf.DUMMYFUNCTION("""COMPUTED_VALUE"""),"AiDimming")</f>
        <v>AiDimming</v>
      </c>
      <c r="I1555" s="97" t="str">
        <f>IFERROR(__xludf.DUMMYFUNCTION("""COMPUTED_VALUE"""),"Si")</f>
        <v>Si</v>
      </c>
      <c r="J1555" s="97" t="str">
        <f>IFERROR(__xludf.DUMMYFUNCTION("""COMPUTED_VALUE"""),"Modelo: PE594M1550
In: 200-250Vac 0.05A 50/60Hz
Out: 6-15Vdc 500mA 7.5W
Pf 0.94 Tc 85°C Ta 45°C
FlickerFree")</f>
        <v>Modelo: PE594M1550
In: 200-250Vac 0.05A 50/60Hz
Out: 6-15Vdc 500mA 7.5W
Pf 0.94 Tc 85°C Ta 45°C
FlickerFree</v>
      </c>
      <c r="K1555" s="97" t="str">
        <f>IFERROR(__xludf.DUMMYFUNCTION("""COMPUTED_VALUE"""),"TRIAC")</f>
        <v>TRIAC</v>
      </c>
      <c r="L1555" s="97" t="str">
        <f>IFERROR(__xludf.DUMMYFUNCTION("""COMPUTED_VALUE"""),"200-240")</f>
        <v>200-240</v>
      </c>
      <c r="M1555" s="97" t="str">
        <f>IFERROR(__xludf.DUMMYFUNCTION("""COMPUTED_VALUE"""),"50/60")</f>
        <v>50/60</v>
      </c>
      <c r="N1555" s="97" t="str">
        <f>IFERROR(__xludf.DUMMYFUNCTION("""COMPUTED_VALUE"""),"Directa")</f>
        <v>Directa</v>
      </c>
      <c r="O1555" s="97">
        <f>IFERROR(__xludf.DUMMYFUNCTION("""COMPUTED_VALUE"""),7.0)</f>
        <v>7</v>
      </c>
      <c r="P1555" s="97">
        <f>IFERROR(__xludf.DUMMYFUNCTION("""COMPUTED_VALUE"""),7.1)</f>
        <v>7.1</v>
      </c>
      <c r="Q1555" s="97"/>
      <c r="R1555" s="97" t="str">
        <f>IFERROR(__xludf.DUMMYFUNCTION("""COMPUTED_VALUE"""),"-")</f>
        <v>-</v>
      </c>
      <c r="S1555" s="97" t="str">
        <f>IFERROR(__xludf.DUMMYFUNCTION("""COMPUTED_VALUE"""),"-")</f>
        <v>-</v>
      </c>
      <c r="T1555" s="97">
        <f>IFERROR(__xludf.DUMMYFUNCTION("""COMPUTED_VALUE"""),415.0)</f>
        <v>415</v>
      </c>
      <c r="U1555" s="99">
        <f>IFERROR(__xludf.DUMMYFUNCTION("""COMPUTED_VALUE"""),59.285714285714285)</f>
        <v>59.28571429</v>
      </c>
      <c r="V1555" s="97">
        <f>IFERROR(__xludf.DUMMYFUNCTION("""COMPUTED_VALUE"""),38.0)</f>
        <v>38</v>
      </c>
      <c r="W1555" s="97" t="str">
        <f>IFERROR(__xludf.DUMMYFUNCTION("""COMPUTED_VALUE"""),"&lt; 14")</f>
        <v>&lt; 14</v>
      </c>
      <c r="X1555" s="97" t="str">
        <f>IFERROR(__xludf.DUMMYFUNCTION("""COMPUTED_VALUE"""),"2700/3000")</f>
        <v>2700/3000</v>
      </c>
      <c r="Y1555" s="97" t="str">
        <f>IFERROR(__xludf.DUMMYFUNCTION("""COMPUTED_VALUE"""),"&gt;90")</f>
        <v>&gt;90</v>
      </c>
      <c r="Z1555" s="97" t="str">
        <f>IFERROR(__xludf.DUMMYFUNCTION("""COMPUTED_VALUE"""),"&gt;90")</f>
        <v>&gt;90</v>
      </c>
      <c r="AA1555" s="97" t="str">
        <f>IFERROR(__xludf.DUMMYFUNCTION("""COMPUTED_VALUE"""),"100 (Fidelidad neutra)")</f>
        <v>100 (Fidelidad neutra)</v>
      </c>
      <c r="AB1555" s="97" t="str">
        <f>IFERROR(__xludf.DUMMYFUNCTION("""COMPUTED_VALUE"""),"&lt; 3")</f>
        <v>&lt; 3</v>
      </c>
      <c r="AC1555" s="97">
        <f>IFERROR(__xludf.DUMMYFUNCTION("""COMPUTED_VALUE"""),0.0028)</f>
        <v>0.0028</v>
      </c>
      <c r="AD1555" s="97" t="str">
        <f>IFERROR(__xludf.DUMMYFUNCTION("""COMPUTED_VALUE"""),"IP20")</f>
        <v>IP20</v>
      </c>
      <c r="AE1555" s="97" t="str">
        <f>IFERROR(__xludf.DUMMYFUNCTION("""COMPUTED_VALUE"""),"Clase l")</f>
        <v>Clase l</v>
      </c>
      <c r="AF1555" s="97" t="str">
        <f>IFERROR(__xludf.DUMMYFUNCTION("""COMPUTED_VALUE"""),"Embutir")</f>
        <v>Embutir</v>
      </c>
      <c r="AG1555" s="97" t="str">
        <f>IFERROR(__xludf.DUMMYFUNCTION("""COMPUTED_VALUE"""),"52 x 52 x 40")</f>
        <v>52 x 52 x 40</v>
      </c>
      <c r="AH1555" s="97" t="str">
        <f>IFERROR(__xludf.DUMMYFUNCTION("""COMPUTED_VALUE"""),"48 x 48")</f>
        <v>48 x 48</v>
      </c>
      <c r="AI1555" s="97">
        <f>IFERROR(__xludf.DUMMYFUNCTION("""COMPUTED_VALUE"""),55.0)</f>
        <v>55</v>
      </c>
      <c r="AJ1555" s="97" t="str">
        <f>IFERROR(__xludf.DUMMYFUNCTION("""COMPUTED_VALUE"""),"Policarbonato (PC)")</f>
        <v>Policarbonato (PC)</v>
      </c>
      <c r="AK1555" s="97" t="str">
        <f>IFERROR(__xludf.DUMMYFUNCTION("""COMPUTED_VALUE"""),"Aluminio")</f>
        <v>Aluminio</v>
      </c>
      <c r="AL1555" s="97" t="str">
        <f>IFERROR(__xludf.DUMMYFUNCTION("""COMPUTED_VALUE"""),"Blanco Satinado")</f>
        <v>Blanco Satinado</v>
      </c>
      <c r="AM1555" s="97" t="str">
        <f>IFERROR(__xludf.DUMMYFUNCTION("""COMPUTED_VALUE"""),"-")</f>
        <v>-</v>
      </c>
      <c r="AN1555" s="97" t="str">
        <f>IFERROR(__xludf.DUMMYFUNCTION("""COMPUTED_VALUE"""),"40.000hs (L70)")</f>
        <v>40.000hs (L70)</v>
      </c>
      <c r="AO1555" s="97" t="str">
        <f>IFERROR(__xludf.DUMMYFUNCTION("""COMPUTED_VALUE"""),"4 Años")</f>
        <v>4 Años</v>
      </c>
      <c r="AP1555" s="97" t="str">
        <f>IFERROR(__xludf.DUMMYFUNCTION("""COMPUTED_VALUE"""),"Falta")</f>
        <v>Falta</v>
      </c>
      <c r="AQ1555" s="97" t="str">
        <f>IFERROR(__xludf.DUMMYFUNCTION("""COMPUTED_VALUE"""),"Falta")</f>
        <v>Falta</v>
      </c>
      <c r="AR1555" s="97" t="str">
        <f>IFERROR(__xludf.DUMMYFUNCTION("""COMPUTED_VALUE"""),"En revisión")</f>
        <v>En revisión</v>
      </c>
      <c r="AS1555" s="97" t="str">
        <f>IFERROR(__xludf.DUMMYFUNCTION("""COMPUTED_VALUE"""),"Falta")</f>
        <v>Falta</v>
      </c>
      <c r="AT1555" s="97" t="str">
        <f>IFERROR(__xludf.DUMMYFUNCTION("""COMPUTED_VALUE"""),"Falta")</f>
        <v>Falta</v>
      </c>
      <c r="AU1555" s="97" t="str">
        <f>IFERROR(__xludf.DUMMYFUNCTION("""COMPUTED_VALUE"""),"Falta")</f>
        <v>Falta</v>
      </c>
      <c r="AV1555" s="97" t="str">
        <f>IFERROR(__xludf.DUMMYFUNCTION("""COMPUTED_VALUE"""),"Empotrable")</f>
        <v>Empotrable</v>
      </c>
      <c r="AW1555" s="97" t="str">
        <f>IFERROR(__xludf.DUMMYFUNCTION("""COMPUTED_VALUE"""),"De Techo")</f>
        <v>De Techo</v>
      </c>
      <c r="AX1555" s="97" t="str">
        <f>IFERROR(__xludf.DUMMYFUNCTION("""COMPUTED_VALUE"""),"Interior")</f>
        <v>Interior</v>
      </c>
      <c r="AY1555" s="97" t="str">
        <f>IFERROR(__xludf.DUMMYFUNCTION("""COMPUTED_VALUE"""),"Pocket")</f>
        <v>Pocket</v>
      </c>
      <c r="AZ1555" s="97"/>
      <c r="BA1555" s="97"/>
      <c r="BB1555" s="97"/>
      <c r="BC1555" s="97"/>
      <c r="BD1555" s="97" t="str">
        <f>IFERROR(__xludf.DUMMYFUNCTION("""COMPUTED_VALUE"""),"POCKET IV")</f>
        <v>POCKET IV</v>
      </c>
      <c r="BE1555" s="97" t="str">
        <f>IFERROR(__xludf.DUMMYFUNCTION("""COMPUTED_VALUE"""),"Falta TR")</f>
        <v>Falta TR</v>
      </c>
      <c r="BF1555" s="97"/>
      <c r="BG1555" s="97" t="str">
        <f>IFERROR(__xludf.DUMMYFUNCTION("""COMPUTED_VALUE"""),"REPO 7")</f>
        <v>REPO 7</v>
      </c>
    </row>
    <row r="1556">
      <c r="A1556" s="97">
        <f>IFERROR(__xludf.DUMMYFUNCTION("""COMPUTED_VALUE"""),7739.0)</f>
        <v>7739</v>
      </c>
      <c r="B1556" s="97" t="str">
        <f>IFERROR(__xludf.DUMMYFUNCTION("""COMPUTED_VALUE"""),"POCKET IV BLNG 2CCT TRIAC")</f>
        <v>POCKET IV BLNG 2CCT TRIAC</v>
      </c>
      <c r="C1556" s="97" t="str">
        <f>IFERROR(__xludf.DUMMYFUNCTION("""COMPUTED_VALUE"""),"EMPOTRABLE POCKET IV BLNG 2CCT TRIAC 7W 2700/3000K 415LM CRI&gt;90 IP20 LEUK")</f>
        <v>EMPOTRABLE POCKET IV BLNG 2CCT TRIAC 7W 2700/3000K 415LM CRI&gt;90 IP20 LEUK</v>
      </c>
      <c r="D1556" s="97" t="str">
        <f>IFERROR(__xludf.DUMMYFUNCTION("""COMPUTED_VALUE"""),"N/A")</f>
        <v>N/A</v>
      </c>
      <c r="E1556" s="97" t="str">
        <f>IFERROR(__xludf.DUMMYFUNCTION("""COMPUTED_VALUE"""),"N/A")</f>
        <v>N/A</v>
      </c>
      <c r="F1556" s="97" t="str">
        <f>IFERROR(__xludf.DUMMYFUNCTION("""COMPUTED_VALUE"""),"LED SMD")</f>
        <v>LED SMD</v>
      </c>
      <c r="G1556" s="97" t="str">
        <f>IFERROR(__xludf.DUMMYFUNCTION("""COMPUTED_VALUE"""),"-")</f>
        <v>-</v>
      </c>
      <c r="H1556" s="97" t="str">
        <f>IFERROR(__xludf.DUMMYFUNCTION("""COMPUTED_VALUE"""),"AiDimming")</f>
        <v>AiDimming</v>
      </c>
      <c r="I1556" s="97" t="str">
        <f>IFERROR(__xludf.DUMMYFUNCTION("""COMPUTED_VALUE"""),"Si")</f>
        <v>Si</v>
      </c>
      <c r="J1556" s="97" t="str">
        <f>IFERROR(__xludf.DUMMYFUNCTION("""COMPUTED_VALUE"""),"Modelo: PE594M1550
In: 200-250Vac 0.05A 50/60Hz
Out: 6-15Vdc 500mA 7.5W
Pf 0.94 Tc 85°C Ta 45°C
FlickerFree")</f>
        <v>Modelo: PE594M1550
In: 200-250Vac 0.05A 50/60Hz
Out: 6-15Vdc 500mA 7.5W
Pf 0.94 Tc 85°C Ta 45°C
FlickerFree</v>
      </c>
      <c r="K1556" s="97" t="str">
        <f>IFERROR(__xludf.DUMMYFUNCTION("""COMPUTED_VALUE"""),"TRIAC")</f>
        <v>TRIAC</v>
      </c>
      <c r="L1556" s="97" t="str">
        <f>IFERROR(__xludf.DUMMYFUNCTION("""COMPUTED_VALUE"""),"200-240")</f>
        <v>200-240</v>
      </c>
      <c r="M1556" s="97" t="str">
        <f>IFERROR(__xludf.DUMMYFUNCTION("""COMPUTED_VALUE"""),"50/60")</f>
        <v>50/60</v>
      </c>
      <c r="N1556" s="97" t="str">
        <f>IFERROR(__xludf.DUMMYFUNCTION("""COMPUTED_VALUE"""),"Directa")</f>
        <v>Directa</v>
      </c>
      <c r="O1556" s="97">
        <f>IFERROR(__xludf.DUMMYFUNCTION("""COMPUTED_VALUE"""),7.0)</f>
        <v>7</v>
      </c>
      <c r="P1556" s="97">
        <f>IFERROR(__xludf.DUMMYFUNCTION("""COMPUTED_VALUE"""),7.1)</f>
        <v>7.1</v>
      </c>
      <c r="Q1556" s="97"/>
      <c r="R1556" s="97" t="str">
        <f>IFERROR(__xludf.DUMMYFUNCTION("""COMPUTED_VALUE"""),"-")</f>
        <v>-</v>
      </c>
      <c r="S1556" s="97" t="str">
        <f>IFERROR(__xludf.DUMMYFUNCTION("""COMPUTED_VALUE"""),"-")</f>
        <v>-</v>
      </c>
      <c r="T1556" s="97">
        <f>IFERROR(__xludf.DUMMYFUNCTION("""COMPUTED_VALUE"""),415.0)</f>
        <v>415</v>
      </c>
      <c r="U1556" s="99">
        <f>IFERROR(__xludf.DUMMYFUNCTION("""COMPUTED_VALUE"""),59.285714285714285)</f>
        <v>59.28571429</v>
      </c>
      <c r="V1556" s="97">
        <f>IFERROR(__xludf.DUMMYFUNCTION("""COMPUTED_VALUE"""),38.0)</f>
        <v>38</v>
      </c>
      <c r="W1556" s="97" t="str">
        <f>IFERROR(__xludf.DUMMYFUNCTION("""COMPUTED_VALUE"""),"&lt; 14")</f>
        <v>&lt; 14</v>
      </c>
      <c r="X1556" s="97" t="str">
        <f>IFERROR(__xludf.DUMMYFUNCTION("""COMPUTED_VALUE"""),"2700/3000")</f>
        <v>2700/3000</v>
      </c>
      <c r="Y1556" s="97" t="str">
        <f>IFERROR(__xludf.DUMMYFUNCTION("""COMPUTED_VALUE"""),"&gt;90")</f>
        <v>&gt;90</v>
      </c>
      <c r="Z1556" s="97" t="str">
        <f>IFERROR(__xludf.DUMMYFUNCTION("""COMPUTED_VALUE"""),"&gt;90")</f>
        <v>&gt;90</v>
      </c>
      <c r="AA1556" s="97" t="str">
        <f>IFERROR(__xludf.DUMMYFUNCTION("""COMPUTED_VALUE"""),"100 (Fidelidad neutra)")</f>
        <v>100 (Fidelidad neutra)</v>
      </c>
      <c r="AB1556" s="97" t="str">
        <f>IFERROR(__xludf.DUMMYFUNCTION("""COMPUTED_VALUE"""),"&lt; 3")</f>
        <v>&lt; 3</v>
      </c>
      <c r="AC1556" s="97">
        <f>IFERROR(__xludf.DUMMYFUNCTION("""COMPUTED_VALUE"""),0.0013)</f>
        <v>0.0013</v>
      </c>
      <c r="AD1556" s="97" t="str">
        <f>IFERROR(__xludf.DUMMYFUNCTION("""COMPUTED_VALUE"""),"IP20")</f>
        <v>IP20</v>
      </c>
      <c r="AE1556" s="97" t="str">
        <f>IFERROR(__xludf.DUMMYFUNCTION("""COMPUTED_VALUE"""),"Clase l")</f>
        <v>Clase l</v>
      </c>
      <c r="AF1556" s="97" t="str">
        <f>IFERROR(__xludf.DUMMYFUNCTION("""COMPUTED_VALUE"""),"Embutir")</f>
        <v>Embutir</v>
      </c>
      <c r="AG1556" s="97" t="str">
        <f>IFERROR(__xludf.DUMMYFUNCTION("""COMPUTED_VALUE"""),"52 x 52 x 40")</f>
        <v>52 x 52 x 40</v>
      </c>
      <c r="AH1556" s="97" t="str">
        <f>IFERROR(__xludf.DUMMYFUNCTION("""COMPUTED_VALUE"""),"48 x 48")</f>
        <v>48 x 48</v>
      </c>
      <c r="AI1556" s="97">
        <f>IFERROR(__xludf.DUMMYFUNCTION("""COMPUTED_VALUE"""),55.0)</f>
        <v>55</v>
      </c>
      <c r="AJ1556" s="97" t="str">
        <f>IFERROR(__xludf.DUMMYFUNCTION("""COMPUTED_VALUE"""),"Policarbonato (PC)")</f>
        <v>Policarbonato (PC)</v>
      </c>
      <c r="AK1556" s="97" t="str">
        <f>IFERROR(__xludf.DUMMYFUNCTION("""COMPUTED_VALUE"""),"Aluminio")</f>
        <v>Aluminio</v>
      </c>
      <c r="AL1556" s="97" t="str">
        <f>IFERROR(__xludf.DUMMYFUNCTION("""COMPUTED_VALUE"""),"Blanco y Negro")</f>
        <v>Blanco y Negro</v>
      </c>
      <c r="AM1556" s="97" t="str">
        <f>IFERROR(__xludf.DUMMYFUNCTION("""COMPUTED_VALUE"""),"-")</f>
        <v>-</v>
      </c>
      <c r="AN1556" s="97" t="str">
        <f>IFERROR(__xludf.DUMMYFUNCTION("""COMPUTED_VALUE"""),"40.000hs (L70)")</f>
        <v>40.000hs (L70)</v>
      </c>
      <c r="AO1556" s="97" t="str">
        <f>IFERROR(__xludf.DUMMYFUNCTION("""COMPUTED_VALUE"""),"4 Años")</f>
        <v>4 Años</v>
      </c>
      <c r="AP1556" s="97" t="str">
        <f>IFERROR(__xludf.DUMMYFUNCTION("""COMPUTED_VALUE"""),"Falta")</f>
        <v>Falta</v>
      </c>
      <c r="AQ1556" s="97" t="str">
        <f>IFERROR(__xludf.DUMMYFUNCTION("""COMPUTED_VALUE"""),"Falta")</f>
        <v>Falta</v>
      </c>
      <c r="AR1556" s="97" t="str">
        <f>IFERROR(__xludf.DUMMYFUNCTION("""COMPUTED_VALUE"""),"En revisión")</f>
        <v>En revisión</v>
      </c>
      <c r="AS1556" s="97" t="str">
        <f>IFERROR(__xludf.DUMMYFUNCTION("""COMPUTED_VALUE"""),"Falta")</f>
        <v>Falta</v>
      </c>
      <c r="AT1556" s="97" t="str">
        <f>IFERROR(__xludf.DUMMYFUNCTION("""COMPUTED_VALUE"""),"Falta")</f>
        <v>Falta</v>
      </c>
      <c r="AU1556" s="97" t="str">
        <f>IFERROR(__xludf.DUMMYFUNCTION("""COMPUTED_VALUE"""),"Falta")</f>
        <v>Falta</v>
      </c>
      <c r="AV1556" s="97" t="str">
        <f>IFERROR(__xludf.DUMMYFUNCTION("""COMPUTED_VALUE"""),"Empotrable")</f>
        <v>Empotrable</v>
      </c>
      <c r="AW1556" s="97" t="str">
        <f>IFERROR(__xludf.DUMMYFUNCTION("""COMPUTED_VALUE"""),"De Techo")</f>
        <v>De Techo</v>
      </c>
      <c r="AX1556" s="97" t="str">
        <f>IFERROR(__xludf.DUMMYFUNCTION("""COMPUTED_VALUE"""),"Interior")</f>
        <v>Interior</v>
      </c>
      <c r="AY1556" s="97" t="str">
        <f>IFERROR(__xludf.DUMMYFUNCTION("""COMPUTED_VALUE"""),"Pocket")</f>
        <v>Pocket</v>
      </c>
      <c r="AZ1556" s="97"/>
      <c r="BA1556" s="97"/>
      <c r="BB1556" s="97"/>
      <c r="BC1556" s="97"/>
      <c r="BD1556" s="97" t="str">
        <f>IFERROR(__xludf.DUMMYFUNCTION("""COMPUTED_VALUE"""),"POCKET IV")</f>
        <v>POCKET IV</v>
      </c>
      <c r="BE1556" s="97" t="str">
        <f>IFERROR(__xludf.DUMMYFUNCTION("""COMPUTED_VALUE"""),"Falta TR")</f>
        <v>Falta TR</v>
      </c>
      <c r="BF1556" s="97"/>
      <c r="BG1556" s="97" t="str">
        <f>IFERROR(__xludf.DUMMYFUNCTION("""COMPUTED_VALUE"""),"REPO 7")</f>
        <v>REPO 7</v>
      </c>
    </row>
    <row r="1557">
      <c r="A1557" s="97">
        <f>IFERROR(__xludf.DUMMYFUNCTION("""COMPUTED_VALUE"""),7740.0)</f>
        <v>7740</v>
      </c>
      <c r="B1557" s="97" t="str">
        <f>IFERROR(__xludf.DUMMYFUNCTION("""COMPUTED_VALUE"""),"POCKET IV NGNG 2CCT TRIAC")</f>
        <v>POCKET IV NGNG 2CCT TRIAC</v>
      </c>
      <c r="C1557" s="97" t="str">
        <f>IFERROR(__xludf.DUMMYFUNCTION("""COMPUTED_VALUE"""),"EMPOTRABLE POCKET IV NGNG 2CCT TRIAC 7W 2700/3000K 415LM CRI&gt;90 IP20 LEUK")</f>
        <v>EMPOTRABLE POCKET IV NGNG 2CCT TRIAC 7W 2700/3000K 415LM CRI&gt;90 IP20 LEUK</v>
      </c>
      <c r="D1557" s="97" t="str">
        <f>IFERROR(__xludf.DUMMYFUNCTION("""COMPUTED_VALUE"""),"N/A")</f>
        <v>N/A</v>
      </c>
      <c r="E1557" s="97" t="str">
        <f>IFERROR(__xludf.DUMMYFUNCTION("""COMPUTED_VALUE"""),"N/A")</f>
        <v>N/A</v>
      </c>
      <c r="F1557" s="97" t="str">
        <f>IFERROR(__xludf.DUMMYFUNCTION("""COMPUTED_VALUE"""),"LED SMD")</f>
        <v>LED SMD</v>
      </c>
      <c r="G1557" s="97" t="str">
        <f>IFERROR(__xludf.DUMMYFUNCTION("""COMPUTED_VALUE"""),"-")</f>
        <v>-</v>
      </c>
      <c r="H1557" s="97" t="str">
        <f>IFERROR(__xludf.DUMMYFUNCTION("""COMPUTED_VALUE"""),"AiDimming")</f>
        <v>AiDimming</v>
      </c>
      <c r="I1557" s="97" t="str">
        <f>IFERROR(__xludf.DUMMYFUNCTION("""COMPUTED_VALUE"""),"Si")</f>
        <v>Si</v>
      </c>
      <c r="J1557" s="97" t="str">
        <f>IFERROR(__xludf.DUMMYFUNCTION("""COMPUTED_VALUE"""),"Modelo: PE594M1550
In: 200-250Vac 0.05A 50/60Hz
Out: 6-15Vdc 500mA 7.5W
Pf 0.94 Tc 85°C Ta 45°C
FlickerFree")</f>
        <v>Modelo: PE594M1550
In: 200-250Vac 0.05A 50/60Hz
Out: 6-15Vdc 500mA 7.5W
Pf 0.94 Tc 85°C Ta 45°C
FlickerFree</v>
      </c>
      <c r="K1557" s="97" t="str">
        <f>IFERROR(__xludf.DUMMYFUNCTION("""COMPUTED_VALUE"""),"TRIAC")</f>
        <v>TRIAC</v>
      </c>
      <c r="L1557" s="97" t="str">
        <f>IFERROR(__xludf.DUMMYFUNCTION("""COMPUTED_VALUE"""),"200-240")</f>
        <v>200-240</v>
      </c>
      <c r="M1557" s="97" t="str">
        <f>IFERROR(__xludf.DUMMYFUNCTION("""COMPUTED_VALUE"""),"50/60")</f>
        <v>50/60</v>
      </c>
      <c r="N1557" s="97" t="str">
        <f>IFERROR(__xludf.DUMMYFUNCTION("""COMPUTED_VALUE"""),"Directa")</f>
        <v>Directa</v>
      </c>
      <c r="O1557" s="97">
        <f>IFERROR(__xludf.DUMMYFUNCTION("""COMPUTED_VALUE"""),7.0)</f>
        <v>7</v>
      </c>
      <c r="P1557" s="97">
        <f>IFERROR(__xludf.DUMMYFUNCTION("""COMPUTED_VALUE"""),7.1)</f>
        <v>7.1</v>
      </c>
      <c r="Q1557" s="97"/>
      <c r="R1557" s="97" t="str">
        <f>IFERROR(__xludf.DUMMYFUNCTION("""COMPUTED_VALUE"""),"-")</f>
        <v>-</v>
      </c>
      <c r="S1557" s="97" t="str">
        <f>IFERROR(__xludf.DUMMYFUNCTION("""COMPUTED_VALUE"""),"-")</f>
        <v>-</v>
      </c>
      <c r="T1557" s="97">
        <f>IFERROR(__xludf.DUMMYFUNCTION("""COMPUTED_VALUE"""),415.0)</f>
        <v>415</v>
      </c>
      <c r="U1557" s="99">
        <f>IFERROR(__xludf.DUMMYFUNCTION("""COMPUTED_VALUE"""),59.285714285714285)</f>
        <v>59.28571429</v>
      </c>
      <c r="V1557" s="97">
        <f>IFERROR(__xludf.DUMMYFUNCTION("""COMPUTED_VALUE"""),38.0)</f>
        <v>38</v>
      </c>
      <c r="W1557" s="97" t="str">
        <f>IFERROR(__xludf.DUMMYFUNCTION("""COMPUTED_VALUE"""),"&lt; 14")</f>
        <v>&lt; 14</v>
      </c>
      <c r="X1557" s="97" t="str">
        <f>IFERROR(__xludf.DUMMYFUNCTION("""COMPUTED_VALUE"""),"2700/3000")</f>
        <v>2700/3000</v>
      </c>
      <c r="Y1557" s="97" t="str">
        <f>IFERROR(__xludf.DUMMYFUNCTION("""COMPUTED_VALUE"""),"&gt;90")</f>
        <v>&gt;90</v>
      </c>
      <c r="Z1557" s="97" t="str">
        <f>IFERROR(__xludf.DUMMYFUNCTION("""COMPUTED_VALUE"""),"&gt;90")</f>
        <v>&gt;90</v>
      </c>
      <c r="AA1557" s="97" t="str">
        <f>IFERROR(__xludf.DUMMYFUNCTION("""COMPUTED_VALUE"""),"100 (Fidelidad neutra)")</f>
        <v>100 (Fidelidad neutra)</v>
      </c>
      <c r="AB1557" s="97" t="str">
        <f>IFERROR(__xludf.DUMMYFUNCTION("""COMPUTED_VALUE"""),"&lt; 3")</f>
        <v>&lt; 3</v>
      </c>
      <c r="AC1557" s="97">
        <f>IFERROR(__xludf.DUMMYFUNCTION("""COMPUTED_VALUE"""),0.002)</f>
        <v>0.002</v>
      </c>
      <c r="AD1557" s="97" t="str">
        <f>IFERROR(__xludf.DUMMYFUNCTION("""COMPUTED_VALUE"""),"IP20")</f>
        <v>IP20</v>
      </c>
      <c r="AE1557" s="97" t="str">
        <f>IFERROR(__xludf.DUMMYFUNCTION("""COMPUTED_VALUE"""),"Clase l")</f>
        <v>Clase l</v>
      </c>
      <c r="AF1557" s="97" t="str">
        <f>IFERROR(__xludf.DUMMYFUNCTION("""COMPUTED_VALUE"""),"Embutir")</f>
        <v>Embutir</v>
      </c>
      <c r="AG1557" s="97" t="str">
        <f>IFERROR(__xludf.DUMMYFUNCTION("""COMPUTED_VALUE"""),"52 x 52 x 40")</f>
        <v>52 x 52 x 40</v>
      </c>
      <c r="AH1557" s="97" t="str">
        <f>IFERROR(__xludf.DUMMYFUNCTION("""COMPUTED_VALUE"""),"48 x 48")</f>
        <v>48 x 48</v>
      </c>
      <c r="AI1557" s="97">
        <f>IFERROR(__xludf.DUMMYFUNCTION("""COMPUTED_VALUE"""),55.0)</f>
        <v>55</v>
      </c>
      <c r="AJ1557" s="97" t="str">
        <f>IFERROR(__xludf.DUMMYFUNCTION("""COMPUTED_VALUE"""),"Policarbonato (PC)")</f>
        <v>Policarbonato (PC)</v>
      </c>
      <c r="AK1557" s="97" t="str">
        <f>IFERROR(__xludf.DUMMYFUNCTION("""COMPUTED_VALUE"""),"Aluminio")</f>
        <v>Aluminio</v>
      </c>
      <c r="AL1557" s="97" t="str">
        <f>IFERROR(__xludf.DUMMYFUNCTION("""COMPUTED_VALUE"""),"Negro Satinado")</f>
        <v>Negro Satinado</v>
      </c>
      <c r="AM1557" s="97" t="str">
        <f>IFERROR(__xludf.DUMMYFUNCTION("""COMPUTED_VALUE"""),"-")</f>
        <v>-</v>
      </c>
      <c r="AN1557" s="97" t="str">
        <f>IFERROR(__xludf.DUMMYFUNCTION("""COMPUTED_VALUE"""),"40.000hs (L70)")</f>
        <v>40.000hs (L70)</v>
      </c>
      <c r="AO1557" s="97" t="str">
        <f>IFERROR(__xludf.DUMMYFUNCTION("""COMPUTED_VALUE"""),"4 Años")</f>
        <v>4 Años</v>
      </c>
      <c r="AP1557" s="97" t="str">
        <f>IFERROR(__xludf.DUMMYFUNCTION("""COMPUTED_VALUE"""),"Falta")</f>
        <v>Falta</v>
      </c>
      <c r="AQ1557" s="97" t="str">
        <f>IFERROR(__xludf.DUMMYFUNCTION("""COMPUTED_VALUE"""),"Falta")</f>
        <v>Falta</v>
      </c>
      <c r="AR1557" s="97" t="str">
        <f>IFERROR(__xludf.DUMMYFUNCTION("""COMPUTED_VALUE"""),"En revisión")</f>
        <v>En revisión</v>
      </c>
      <c r="AS1557" s="97" t="str">
        <f>IFERROR(__xludf.DUMMYFUNCTION("""COMPUTED_VALUE"""),"Falta")</f>
        <v>Falta</v>
      </c>
      <c r="AT1557" s="97" t="str">
        <f>IFERROR(__xludf.DUMMYFUNCTION("""COMPUTED_VALUE"""),"Falta")</f>
        <v>Falta</v>
      </c>
      <c r="AU1557" s="97" t="str">
        <f>IFERROR(__xludf.DUMMYFUNCTION("""COMPUTED_VALUE"""),"Falta")</f>
        <v>Falta</v>
      </c>
      <c r="AV1557" s="97" t="str">
        <f>IFERROR(__xludf.DUMMYFUNCTION("""COMPUTED_VALUE"""),"Empotrable")</f>
        <v>Empotrable</v>
      </c>
      <c r="AW1557" s="97" t="str">
        <f>IFERROR(__xludf.DUMMYFUNCTION("""COMPUTED_VALUE"""),"De Techo")</f>
        <v>De Techo</v>
      </c>
      <c r="AX1557" s="97" t="str">
        <f>IFERROR(__xludf.DUMMYFUNCTION("""COMPUTED_VALUE"""),"Interior")</f>
        <v>Interior</v>
      </c>
      <c r="AY1557" s="97" t="str">
        <f>IFERROR(__xludf.DUMMYFUNCTION("""COMPUTED_VALUE"""),"Pocket")</f>
        <v>Pocket</v>
      </c>
      <c r="AZ1557" s="97"/>
      <c r="BA1557" s="97"/>
      <c r="BB1557" s="97"/>
      <c r="BC1557" s="97"/>
      <c r="BD1557" s="97" t="str">
        <f>IFERROR(__xludf.DUMMYFUNCTION("""COMPUTED_VALUE"""),"POCKET IV")</f>
        <v>POCKET IV</v>
      </c>
      <c r="BE1557" s="97" t="str">
        <f>IFERROR(__xludf.DUMMYFUNCTION("""COMPUTED_VALUE"""),"Falta TR")</f>
        <v>Falta TR</v>
      </c>
      <c r="BF1557" s="97"/>
      <c r="BG1557" s="97" t="str">
        <f>IFERROR(__xludf.DUMMYFUNCTION("""COMPUTED_VALUE"""),"REPO 7")</f>
        <v>REPO 7</v>
      </c>
    </row>
    <row r="1558">
      <c r="A1558" s="97">
        <f>IFERROR(__xludf.DUMMYFUNCTION("""COMPUTED_VALUE"""),7741.0)</f>
        <v>7741</v>
      </c>
      <c r="B1558" s="97" t="str">
        <f>IFERROR(__xludf.DUMMYFUNCTION("""COMPUTED_VALUE"""),"POCKET VI BLBL 2CCT TRIAC")</f>
        <v>POCKET VI BLBL 2CCT TRIAC</v>
      </c>
      <c r="C1558" s="97" t="str">
        <f>IFERROR(__xludf.DUMMYFUNCTION("""COMPUTED_VALUE"""),"EMPOTRABLE POCKET VI BLBL 2CCT TRIAC 10W 2700/3000K 600LM CRI&gt;90 IP20 LEUK")</f>
        <v>EMPOTRABLE POCKET VI BLBL 2CCT TRIAC 10W 2700/3000K 600LM CRI&gt;90 IP20 LEUK</v>
      </c>
      <c r="D1558" s="97" t="str">
        <f>IFERROR(__xludf.DUMMYFUNCTION("""COMPUTED_VALUE"""),"N/A")</f>
        <v>N/A</v>
      </c>
      <c r="E1558" s="97" t="str">
        <f>IFERROR(__xludf.DUMMYFUNCTION("""COMPUTED_VALUE"""),"N/A")</f>
        <v>N/A</v>
      </c>
      <c r="F1558" s="97" t="str">
        <f>IFERROR(__xludf.DUMMYFUNCTION("""COMPUTED_VALUE"""),"LED SMD")</f>
        <v>LED SMD</v>
      </c>
      <c r="G1558" s="97" t="str">
        <f>IFERROR(__xludf.DUMMYFUNCTION("""COMPUTED_VALUE"""),"-")</f>
        <v>-</v>
      </c>
      <c r="H1558" s="97" t="str">
        <f>IFERROR(__xludf.DUMMYFUNCTION("""COMPUTED_VALUE"""),"AiDimming")</f>
        <v>AiDimming</v>
      </c>
      <c r="I1558" s="97" t="str">
        <f>IFERROR(__xludf.DUMMYFUNCTION("""COMPUTED_VALUE"""),"Si")</f>
        <v>Si</v>
      </c>
      <c r="J1558" s="97" t="str">
        <f>IFERROR(__xludf.DUMMYFUNCTION("""COMPUTED_VALUE"""),"Modelo: PE594M2450
In: 200-250Vac 0.07A 50/60Hz
Out: 12-24Vdc 450mA 10.8W
Pf 0.94 Tc 85°C Ta 45°C
FlickerFree")</f>
        <v>Modelo: PE594M2450
In: 200-250Vac 0.07A 50/60Hz
Out: 12-24Vdc 450mA 10.8W
Pf 0.94 Tc 85°C Ta 45°C
FlickerFree</v>
      </c>
      <c r="K1558" s="97" t="str">
        <f>IFERROR(__xludf.DUMMYFUNCTION("""COMPUTED_VALUE"""),"TRIAC")</f>
        <v>TRIAC</v>
      </c>
      <c r="L1558" s="97" t="str">
        <f>IFERROR(__xludf.DUMMYFUNCTION("""COMPUTED_VALUE"""),"200-240")</f>
        <v>200-240</v>
      </c>
      <c r="M1558" s="97" t="str">
        <f>IFERROR(__xludf.DUMMYFUNCTION("""COMPUTED_VALUE"""),"50/60")</f>
        <v>50/60</v>
      </c>
      <c r="N1558" s="97" t="str">
        <f>IFERROR(__xludf.DUMMYFUNCTION("""COMPUTED_VALUE"""),"Directa")</f>
        <v>Directa</v>
      </c>
      <c r="O1558" s="97">
        <f>IFERROR(__xludf.DUMMYFUNCTION("""COMPUTED_VALUE"""),10.0)</f>
        <v>10</v>
      </c>
      <c r="P1558" s="97">
        <f>IFERROR(__xludf.DUMMYFUNCTION("""COMPUTED_VALUE"""),9.3)</f>
        <v>9.3</v>
      </c>
      <c r="Q1558" s="97"/>
      <c r="R1558" s="97" t="str">
        <f>IFERROR(__xludf.DUMMYFUNCTION("""COMPUTED_VALUE"""),"-")</f>
        <v>-</v>
      </c>
      <c r="S1558" s="97" t="str">
        <f>IFERROR(__xludf.DUMMYFUNCTION("""COMPUTED_VALUE"""),"-")</f>
        <v>-</v>
      </c>
      <c r="T1558" s="97">
        <f>IFERROR(__xludf.DUMMYFUNCTION("""COMPUTED_VALUE"""),600.0)</f>
        <v>600</v>
      </c>
      <c r="U1558" s="97">
        <f>IFERROR(__xludf.DUMMYFUNCTION("""COMPUTED_VALUE"""),60.0)</f>
        <v>60</v>
      </c>
      <c r="V1558" s="97">
        <f>IFERROR(__xludf.DUMMYFUNCTION("""COMPUTED_VALUE"""),38.0)</f>
        <v>38</v>
      </c>
      <c r="W1558" s="97" t="str">
        <f>IFERROR(__xludf.DUMMYFUNCTION("""COMPUTED_VALUE"""),"&lt; 14")</f>
        <v>&lt; 14</v>
      </c>
      <c r="X1558" s="97" t="str">
        <f>IFERROR(__xludf.DUMMYFUNCTION("""COMPUTED_VALUE"""),"2700/3000")</f>
        <v>2700/3000</v>
      </c>
      <c r="Y1558" s="97" t="str">
        <f>IFERROR(__xludf.DUMMYFUNCTION("""COMPUTED_VALUE"""),"&gt;90")</f>
        <v>&gt;90</v>
      </c>
      <c r="Z1558" s="97" t="str">
        <f>IFERROR(__xludf.DUMMYFUNCTION("""COMPUTED_VALUE"""),"&gt;90")</f>
        <v>&gt;90</v>
      </c>
      <c r="AA1558" s="97" t="str">
        <f>IFERROR(__xludf.DUMMYFUNCTION("""COMPUTED_VALUE"""),"100 (Fidelidad neutra)")</f>
        <v>100 (Fidelidad neutra)</v>
      </c>
      <c r="AB1558" s="97" t="str">
        <f>IFERROR(__xludf.DUMMYFUNCTION("""COMPUTED_VALUE"""),"&lt; 3")</f>
        <v>&lt; 3</v>
      </c>
      <c r="AC1558" s="97">
        <f>IFERROR(__xludf.DUMMYFUNCTION("""COMPUTED_VALUE"""),-3.0E-4)</f>
        <v>-0.0003</v>
      </c>
      <c r="AD1558" s="97" t="str">
        <f>IFERROR(__xludf.DUMMYFUNCTION("""COMPUTED_VALUE"""),"IP20")</f>
        <v>IP20</v>
      </c>
      <c r="AE1558" s="97" t="str">
        <f>IFERROR(__xludf.DUMMYFUNCTION("""COMPUTED_VALUE"""),"Clase l")</f>
        <v>Clase l</v>
      </c>
      <c r="AF1558" s="97" t="str">
        <f>IFERROR(__xludf.DUMMYFUNCTION("""COMPUTED_VALUE"""),"Embutir")</f>
        <v>Embutir</v>
      </c>
      <c r="AG1558" s="97" t="str">
        <f>IFERROR(__xludf.DUMMYFUNCTION("""COMPUTED_VALUE"""),"126 x 31 x 40")</f>
        <v>126 x 31 x 40</v>
      </c>
      <c r="AH1558" s="97" t="str">
        <f>IFERROR(__xludf.DUMMYFUNCTION("""COMPUTED_VALUE"""),"122 x 27")</f>
        <v>122 x 27</v>
      </c>
      <c r="AI1558" s="97">
        <f>IFERROR(__xludf.DUMMYFUNCTION("""COMPUTED_VALUE"""),55.0)</f>
        <v>55</v>
      </c>
      <c r="AJ1558" s="97" t="str">
        <f>IFERROR(__xludf.DUMMYFUNCTION("""COMPUTED_VALUE"""),"Policarbonato (PC)")</f>
        <v>Policarbonato (PC)</v>
      </c>
      <c r="AK1558" s="97" t="str">
        <f>IFERROR(__xludf.DUMMYFUNCTION("""COMPUTED_VALUE"""),"Aluminio")</f>
        <v>Aluminio</v>
      </c>
      <c r="AL1558" s="97" t="str">
        <f>IFERROR(__xludf.DUMMYFUNCTION("""COMPUTED_VALUE"""),"Blanco Satinado")</f>
        <v>Blanco Satinado</v>
      </c>
      <c r="AM1558" s="97" t="str">
        <f>IFERROR(__xludf.DUMMYFUNCTION("""COMPUTED_VALUE"""),"-")</f>
        <v>-</v>
      </c>
      <c r="AN1558" s="97" t="str">
        <f>IFERROR(__xludf.DUMMYFUNCTION("""COMPUTED_VALUE"""),"40.000hs (L70)")</f>
        <v>40.000hs (L70)</v>
      </c>
      <c r="AO1558" s="97" t="str">
        <f>IFERROR(__xludf.DUMMYFUNCTION("""COMPUTED_VALUE"""),"4 Años")</f>
        <v>4 Años</v>
      </c>
      <c r="AP1558" s="97" t="str">
        <f>IFERROR(__xludf.DUMMYFUNCTION("""COMPUTED_VALUE"""),"Falta")</f>
        <v>Falta</v>
      </c>
      <c r="AQ1558" s="97" t="str">
        <f>IFERROR(__xludf.DUMMYFUNCTION("""COMPUTED_VALUE"""),"Falta")</f>
        <v>Falta</v>
      </c>
      <c r="AR1558" s="97" t="str">
        <f>IFERROR(__xludf.DUMMYFUNCTION("""COMPUTED_VALUE"""),"En revisión")</f>
        <v>En revisión</v>
      </c>
      <c r="AS1558" s="97" t="str">
        <f>IFERROR(__xludf.DUMMYFUNCTION("""COMPUTED_VALUE"""),"Falta")</f>
        <v>Falta</v>
      </c>
      <c r="AT1558" s="97" t="str">
        <f>IFERROR(__xludf.DUMMYFUNCTION("""COMPUTED_VALUE"""),"Falta")</f>
        <v>Falta</v>
      </c>
      <c r="AU1558" s="97" t="str">
        <f>IFERROR(__xludf.DUMMYFUNCTION("""COMPUTED_VALUE"""),"Falta")</f>
        <v>Falta</v>
      </c>
      <c r="AV1558" s="97" t="str">
        <f>IFERROR(__xludf.DUMMYFUNCTION("""COMPUTED_VALUE"""),"Empotrable")</f>
        <v>Empotrable</v>
      </c>
      <c r="AW1558" s="97" t="str">
        <f>IFERROR(__xludf.DUMMYFUNCTION("""COMPUTED_VALUE"""),"De Techo")</f>
        <v>De Techo</v>
      </c>
      <c r="AX1558" s="97" t="str">
        <f>IFERROR(__xludf.DUMMYFUNCTION("""COMPUTED_VALUE"""),"Interior")</f>
        <v>Interior</v>
      </c>
      <c r="AY1558" s="97" t="str">
        <f>IFERROR(__xludf.DUMMYFUNCTION("""COMPUTED_VALUE"""),"Pocket")</f>
        <v>Pocket</v>
      </c>
      <c r="AZ1558" s="97"/>
      <c r="BA1558" s="97"/>
      <c r="BB1558" s="97"/>
      <c r="BC1558" s="97"/>
      <c r="BD1558" s="97" t="str">
        <f>IFERROR(__xludf.DUMMYFUNCTION("""COMPUTED_VALUE"""),"POCKET VI")</f>
        <v>POCKET VI</v>
      </c>
      <c r="BE1558" s="97" t="str">
        <f>IFERROR(__xludf.DUMMYFUNCTION("""COMPUTED_VALUE"""),"Falta TR")</f>
        <v>Falta TR</v>
      </c>
      <c r="BF1558" s="97"/>
      <c r="BG1558" s="97" t="str">
        <f>IFERROR(__xludf.DUMMYFUNCTION("""COMPUTED_VALUE"""),"REPO 7")</f>
        <v>REPO 7</v>
      </c>
    </row>
    <row r="1559">
      <c r="A1559" s="97">
        <f>IFERROR(__xludf.DUMMYFUNCTION("""COMPUTED_VALUE"""),7742.0)</f>
        <v>7742</v>
      </c>
      <c r="B1559" s="97" t="str">
        <f>IFERROR(__xludf.DUMMYFUNCTION("""COMPUTED_VALUE"""),"POCKET VI BLNG 2CCT TRIAC")</f>
        <v>POCKET VI BLNG 2CCT TRIAC</v>
      </c>
      <c r="C1559" s="97" t="str">
        <f>IFERROR(__xludf.DUMMYFUNCTION("""COMPUTED_VALUE"""),"EMPOTRABLE POCKET VI BLNG 2CCT TRIAC 10W 2700/3000K 600LM CRI&gt;90 IP20 LEUK")</f>
        <v>EMPOTRABLE POCKET VI BLNG 2CCT TRIAC 10W 2700/3000K 600LM CRI&gt;90 IP20 LEUK</v>
      </c>
      <c r="D1559" s="97" t="str">
        <f>IFERROR(__xludf.DUMMYFUNCTION("""COMPUTED_VALUE"""),"N/A")</f>
        <v>N/A</v>
      </c>
      <c r="E1559" s="97" t="str">
        <f>IFERROR(__xludf.DUMMYFUNCTION("""COMPUTED_VALUE"""),"N/A")</f>
        <v>N/A</v>
      </c>
      <c r="F1559" s="97" t="str">
        <f>IFERROR(__xludf.DUMMYFUNCTION("""COMPUTED_VALUE"""),"LED SMD")</f>
        <v>LED SMD</v>
      </c>
      <c r="G1559" s="97" t="str">
        <f>IFERROR(__xludf.DUMMYFUNCTION("""COMPUTED_VALUE"""),"-")</f>
        <v>-</v>
      </c>
      <c r="H1559" s="97" t="str">
        <f>IFERROR(__xludf.DUMMYFUNCTION("""COMPUTED_VALUE"""),"AiDimming")</f>
        <v>AiDimming</v>
      </c>
      <c r="I1559" s="97" t="str">
        <f>IFERROR(__xludf.DUMMYFUNCTION("""COMPUTED_VALUE"""),"Si")</f>
        <v>Si</v>
      </c>
      <c r="J1559" s="97" t="str">
        <f>IFERROR(__xludf.DUMMYFUNCTION("""COMPUTED_VALUE"""),"Modelo: PE594M2450
In: 200-250Vac 0.07A 50/60Hz
Out: 12-24Vdc 450mA 10.8W
Pf 0.94 Tc 85°C Ta 45°C
FlickerFree")</f>
        <v>Modelo: PE594M2450
In: 200-250Vac 0.07A 50/60Hz
Out: 12-24Vdc 450mA 10.8W
Pf 0.94 Tc 85°C Ta 45°C
FlickerFree</v>
      </c>
      <c r="K1559" s="97" t="str">
        <f>IFERROR(__xludf.DUMMYFUNCTION("""COMPUTED_VALUE"""),"TRIAC")</f>
        <v>TRIAC</v>
      </c>
      <c r="L1559" s="97" t="str">
        <f>IFERROR(__xludf.DUMMYFUNCTION("""COMPUTED_VALUE"""),"200-240")</f>
        <v>200-240</v>
      </c>
      <c r="M1559" s="97" t="str">
        <f>IFERROR(__xludf.DUMMYFUNCTION("""COMPUTED_VALUE"""),"50/60")</f>
        <v>50/60</v>
      </c>
      <c r="N1559" s="97" t="str">
        <f>IFERROR(__xludf.DUMMYFUNCTION("""COMPUTED_VALUE"""),"Directa")</f>
        <v>Directa</v>
      </c>
      <c r="O1559" s="97">
        <f>IFERROR(__xludf.DUMMYFUNCTION("""COMPUTED_VALUE"""),10.0)</f>
        <v>10</v>
      </c>
      <c r="P1559" s="97">
        <f>IFERROR(__xludf.DUMMYFUNCTION("""COMPUTED_VALUE"""),9.3)</f>
        <v>9.3</v>
      </c>
      <c r="Q1559" s="97"/>
      <c r="R1559" s="97" t="str">
        <f>IFERROR(__xludf.DUMMYFUNCTION("""COMPUTED_VALUE"""),"-")</f>
        <v>-</v>
      </c>
      <c r="S1559" s="97" t="str">
        <f>IFERROR(__xludf.DUMMYFUNCTION("""COMPUTED_VALUE"""),"-")</f>
        <v>-</v>
      </c>
      <c r="T1559" s="97">
        <f>IFERROR(__xludf.DUMMYFUNCTION("""COMPUTED_VALUE"""),600.0)</f>
        <v>600</v>
      </c>
      <c r="U1559" s="97">
        <f>IFERROR(__xludf.DUMMYFUNCTION("""COMPUTED_VALUE"""),60.0)</f>
        <v>60</v>
      </c>
      <c r="V1559" s="97">
        <f>IFERROR(__xludf.DUMMYFUNCTION("""COMPUTED_VALUE"""),38.0)</f>
        <v>38</v>
      </c>
      <c r="W1559" s="97" t="str">
        <f>IFERROR(__xludf.DUMMYFUNCTION("""COMPUTED_VALUE"""),"&lt; 14")</f>
        <v>&lt; 14</v>
      </c>
      <c r="X1559" s="97" t="str">
        <f>IFERROR(__xludf.DUMMYFUNCTION("""COMPUTED_VALUE"""),"2700/3000")</f>
        <v>2700/3000</v>
      </c>
      <c r="Y1559" s="97" t="str">
        <f>IFERROR(__xludf.DUMMYFUNCTION("""COMPUTED_VALUE"""),"&gt;90")</f>
        <v>&gt;90</v>
      </c>
      <c r="Z1559" s="97" t="str">
        <f>IFERROR(__xludf.DUMMYFUNCTION("""COMPUTED_VALUE"""),"&gt;90")</f>
        <v>&gt;90</v>
      </c>
      <c r="AA1559" s="97" t="str">
        <f>IFERROR(__xludf.DUMMYFUNCTION("""COMPUTED_VALUE"""),"100 (Fidelidad neutra)")</f>
        <v>100 (Fidelidad neutra)</v>
      </c>
      <c r="AB1559" s="97" t="str">
        <f>IFERROR(__xludf.DUMMYFUNCTION("""COMPUTED_VALUE"""),"&lt; 3")</f>
        <v>&lt; 3</v>
      </c>
      <c r="AC1559" s="97">
        <f>IFERROR(__xludf.DUMMYFUNCTION("""COMPUTED_VALUE"""),-3.0E-4)</f>
        <v>-0.0003</v>
      </c>
      <c r="AD1559" s="97" t="str">
        <f>IFERROR(__xludf.DUMMYFUNCTION("""COMPUTED_VALUE"""),"IP20")</f>
        <v>IP20</v>
      </c>
      <c r="AE1559" s="97" t="str">
        <f>IFERROR(__xludf.DUMMYFUNCTION("""COMPUTED_VALUE"""),"Clase l")</f>
        <v>Clase l</v>
      </c>
      <c r="AF1559" s="97" t="str">
        <f>IFERROR(__xludf.DUMMYFUNCTION("""COMPUTED_VALUE"""),"Embutir")</f>
        <v>Embutir</v>
      </c>
      <c r="AG1559" s="97" t="str">
        <f>IFERROR(__xludf.DUMMYFUNCTION("""COMPUTED_VALUE"""),"126 x 31 x 40")</f>
        <v>126 x 31 x 40</v>
      </c>
      <c r="AH1559" s="97" t="str">
        <f>IFERROR(__xludf.DUMMYFUNCTION("""COMPUTED_VALUE"""),"122 x 27")</f>
        <v>122 x 27</v>
      </c>
      <c r="AI1559" s="97">
        <f>IFERROR(__xludf.DUMMYFUNCTION("""COMPUTED_VALUE"""),55.0)</f>
        <v>55</v>
      </c>
      <c r="AJ1559" s="97" t="str">
        <f>IFERROR(__xludf.DUMMYFUNCTION("""COMPUTED_VALUE"""),"Policarbonato (PC)")</f>
        <v>Policarbonato (PC)</v>
      </c>
      <c r="AK1559" s="97" t="str">
        <f>IFERROR(__xludf.DUMMYFUNCTION("""COMPUTED_VALUE"""),"Aluminio")</f>
        <v>Aluminio</v>
      </c>
      <c r="AL1559" s="97" t="str">
        <f>IFERROR(__xludf.DUMMYFUNCTION("""COMPUTED_VALUE"""),"Blanco y Negro")</f>
        <v>Blanco y Negro</v>
      </c>
      <c r="AM1559" s="97" t="str">
        <f>IFERROR(__xludf.DUMMYFUNCTION("""COMPUTED_VALUE"""),"-")</f>
        <v>-</v>
      </c>
      <c r="AN1559" s="97" t="str">
        <f>IFERROR(__xludf.DUMMYFUNCTION("""COMPUTED_VALUE"""),"40.000hs (L70)")</f>
        <v>40.000hs (L70)</v>
      </c>
      <c r="AO1559" s="97" t="str">
        <f>IFERROR(__xludf.DUMMYFUNCTION("""COMPUTED_VALUE"""),"4 Años")</f>
        <v>4 Años</v>
      </c>
      <c r="AP1559" s="97" t="str">
        <f>IFERROR(__xludf.DUMMYFUNCTION("""COMPUTED_VALUE"""),"Falta")</f>
        <v>Falta</v>
      </c>
      <c r="AQ1559" s="97" t="str">
        <f>IFERROR(__xludf.DUMMYFUNCTION("""COMPUTED_VALUE"""),"Falta")</f>
        <v>Falta</v>
      </c>
      <c r="AR1559" s="97" t="str">
        <f>IFERROR(__xludf.DUMMYFUNCTION("""COMPUTED_VALUE"""),"En revisión")</f>
        <v>En revisión</v>
      </c>
      <c r="AS1559" s="97" t="str">
        <f>IFERROR(__xludf.DUMMYFUNCTION("""COMPUTED_VALUE"""),"Falta")</f>
        <v>Falta</v>
      </c>
      <c r="AT1559" s="97" t="str">
        <f>IFERROR(__xludf.DUMMYFUNCTION("""COMPUTED_VALUE"""),"Falta")</f>
        <v>Falta</v>
      </c>
      <c r="AU1559" s="97" t="str">
        <f>IFERROR(__xludf.DUMMYFUNCTION("""COMPUTED_VALUE"""),"Falta")</f>
        <v>Falta</v>
      </c>
      <c r="AV1559" s="97" t="str">
        <f>IFERROR(__xludf.DUMMYFUNCTION("""COMPUTED_VALUE"""),"Empotrable")</f>
        <v>Empotrable</v>
      </c>
      <c r="AW1559" s="97" t="str">
        <f>IFERROR(__xludf.DUMMYFUNCTION("""COMPUTED_VALUE"""),"De Techo")</f>
        <v>De Techo</v>
      </c>
      <c r="AX1559" s="97" t="str">
        <f>IFERROR(__xludf.DUMMYFUNCTION("""COMPUTED_VALUE"""),"Interior")</f>
        <v>Interior</v>
      </c>
      <c r="AY1559" s="97" t="str">
        <f>IFERROR(__xludf.DUMMYFUNCTION("""COMPUTED_VALUE"""),"Pocket")</f>
        <v>Pocket</v>
      </c>
      <c r="AZ1559" s="97"/>
      <c r="BA1559" s="97"/>
      <c r="BB1559" s="97"/>
      <c r="BC1559" s="97"/>
      <c r="BD1559" s="97" t="str">
        <f>IFERROR(__xludf.DUMMYFUNCTION("""COMPUTED_VALUE"""),"POCKET VI")</f>
        <v>POCKET VI</v>
      </c>
      <c r="BE1559" s="97" t="str">
        <f>IFERROR(__xludf.DUMMYFUNCTION("""COMPUTED_VALUE"""),"Falta TR")</f>
        <v>Falta TR</v>
      </c>
      <c r="BF1559" s="97"/>
      <c r="BG1559" s="97" t="str">
        <f>IFERROR(__xludf.DUMMYFUNCTION("""COMPUTED_VALUE"""),"REPO 7")</f>
        <v>REPO 7</v>
      </c>
    </row>
    <row r="1560">
      <c r="A1560" s="97">
        <f>IFERROR(__xludf.DUMMYFUNCTION("""COMPUTED_VALUE"""),7743.0)</f>
        <v>7743</v>
      </c>
      <c r="B1560" s="97" t="str">
        <f>IFERROR(__xludf.DUMMYFUNCTION("""COMPUTED_VALUE"""),"POCKET VI NGNG 2CCT TRIAC")</f>
        <v>POCKET VI NGNG 2CCT TRIAC</v>
      </c>
      <c r="C1560" s="97" t="str">
        <f>IFERROR(__xludf.DUMMYFUNCTION("""COMPUTED_VALUE"""),"EMPOTRABLE POCKET VI NGNG 2CCT TRIAC 10W 2700/3000K 600LM CRI&gt;90 IP20 LEUK")</f>
        <v>EMPOTRABLE POCKET VI NGNG 2CCT TRIAC 10W 2700/3000K 600LM CRI&gt;90 IP20 LEUK</v>
      </c>
      <c r="D1560" s="97" t="str">
        <f>IFERROR(__xludf.DUMMYFUNCTION("""COMPUTED_VALUE"""),"N/A")</f>
        <v>N/A</v>
      </c>
      <c r="E1560" s="97" t="str">
        <f>IFERROR(__xludf.DUMMYFUNCTION("""COMPUTED_VALUE"""),"N/A")</f>
        <v>N/A</v>
      </c>
      <c r="F1560" s="97" t="str">
        <f>IFERROR(__xludf.DUMMYFUNCTION("""COMPUTED_VALUE"""),"LED SMD")</f>
        <v>LED SMD</v>
      </c>
      <c r="G1560" s="97" t="str">
        <f>IFERROR(__xludf.DUMMYFUNCTION("""COMPUTED_VALUE"""),"-")</f>
        <v>-</v>
      </c>
      <c r="H1560" s="97" t="str">
        <f>IFERROR(__xludf.DUMMYFUNCTION("""COMPUTED_VALUE"""),"AiDimming")</f>
        <v>AiDimming</v>
      </c>
      <c r="I1560" s="97" t="str">
        <f>IFERROR(__xludf.DUMMYFUNCTION("""COMPUTED_VALUE"""),"Si")</f>
        <v>Si</v>
      </c>
      <c r="J1560" s="97" t="str">
        <f>IFERROR(__xludf.DUMMYFUNCTION("""COMPUTED_VALUE"""),"Modelo: PE594M2450
In: 200-250Vac 0.07A 50/60Hz
Out: 12-24Vdc 450mA 10.8W
Pf 0.94 Tc 85°C Ta 45°C
FlickerFree")</f>
        <v>Modelo: PE594M2450
In: 200-250Vac 0.07A 50/60Hz
Out: 12-24Vdc 450mA 10.8W
Pf 0.94 Tc 85°C Ta 45°C
FlickerFree</v>
      </c>
      <c r="K1560" s="97" t="str">
        <f>IFERROR(__xludf.DUMMYFUNCTION("""COMPUTED_VALUE"""),"TRIAC")</f>
        <v>TRIAC</v>
      </c>
      <c r="L1560" s="97" t="str">
        <f>IFERROR(__xludf.DUMMYFUNCTION("""COMPUTED_VALUE"""),"200-240")</f>
        <v>200-240</v>
      </c>
      <c r="M1560" s="97" t="str">
        <f>IFERROR(__xludf.DUMMYFUNCTION("""COMPUTED_VALUE"""),"50/60")</f>
        <v>50/60</v>
      </c>
      <c r="N1560" s="97" t="str">
        <f>IFERROR(__xludf.DUMMYFUNCTION("""COMPUTED_VALUE"""),"Directa")</f>
        <v>Directa</v>
      </c>
      <c r="O1560" s="97">
        <f>IFERROR(__xludf.DUMMYFUNCTION("""COMPUTED_VALUE"""),10.0)</f>
        <v>10</v>
      </c>
      <c r="P1560" s="97">
        <f>IFERROR(__xludf.DUMMYFUNCTION("""COMPUTED_VALUE"""),9.3)</f>
        <v>9.3</v>
      </c>
      <c r="Q1560" s="97"/>
      <c r="R1560" s="97" t="str">
        <f>IFERROR(__xludf.DUMMYFUNCTION("""COMPUTED_VALUE"""),"-")</f>
        <v>-</v>
      </c>
      <c r="S1560" s="97" t="str">
        <f>IFERROR(__xludf.DUMMYFUNCTION("""COMPUTED_VALUE"""),"-")</f>
        <v>-</v>
      </c>
      <c r="T1560" s="97">
        <f>IFERROR(__xludf.DUMMYFUNCTION("""COMPUTED_VALUE"""),600.0)</f>
        <v>600</v>
      </c>
      <c r="U1560" s="97">
        <f>IFERROR(__xludf.DUMMYFUNCTION("""COMPUTED_VALUE"""),60.0)</f>
        <v>60</v>
      </c>
      <c r="V1560" s="97">
        <f>IFERROR(__xludf.DUMMYFUNCTION("""COMPUTED_VALUE"""),38.0)</f>
        <v>38</v>
      </c>
      <c r="W1560" s="97" t="str">
        <f>IFERROR(__xludf.DUMMYFUNCTION("""COMPUTED_VALUE"""),"&lt; 14")</f>
        <v>&lt; 14</v>
      </c>
      <c r="X1560" s="97" t="str">
        <f>IFERROR(__xludf.DUMMYFUNCTION("""COMPUTED_VALUE"""),"2700/3000")</f>
        <v>2700/3000</v>
      </c>
      <c r="Y1560" s="97" t="str">
        <f>IFERROR(__xludf.DUMMYFUNCTION("""COMPUTED_VALUE"""),"&gt;90")</f>
        <v>&gt;90</v>
      </c>
      <c r="Z1560" s="97" t="str">
        <f>IFERROR(__xludf.DUMMYFUNCTION("""COMPUTED_VALUE"""),"&gt;90")</f>
        <v>&gt;90</v>
      </c>
      <c r="AA1560" s="97" t="str">
        <f>IFERROR(__xludf.DUMMYFUNCTION("""COMPUTED_VALUE"""),"100 (Fidelidad neutra)")</f>
        <v>100 (Fidelidad neutra)</v>
      </c>
      <c r="AB1560" s="97" t="str">
        <f>IFERROR(__xludf.DUMMYFUNCTION("""COMPUTED_VALUE"""),"&lt; 3")</f>
        <v>&lt; 3</v>
      </c>
      <c r="AC1560" s="97">
        <f>IFERROR(__xludf.DUMMYFUNCTION("""COMPUTED_VALUE"""),-1.0E-4)</f>
        <v>-0.0001</v>
      </c>
      <c r="AD1560" s="97" t="str">
        <f>IFERROR(__xludf.DUMMYFUNCTION("""COMPUTED_VALUE"""),"IP20")</f>
        <v>IP20</v>
      </c>
      <c r="AE1560" s="97" t="str">
        <f>IFERROR(__xludf.DUMMYFUNCTION("""COMPUTED_VALUE"""),"Clase l")</f>
        <v>Clase l</v>
      </c>
      <c r="AF1560" s="97" t="str">
        <f>IFERROR(__xludf.DUMMYFUNCTION("""COMPUTED_VALUE"""),"Embutir")</f>
        <v>Embutir</v>
      </c>
      <c r="AG1560" s="97" t="str">
        <f>IFERROR(__xludf.DUMMYFUNCTION("""COMPUTED_VALUE"""),"126 x 31 x 40")</f>
        <v>126 x 31 x 40</v>
      </c>
      <c r="AH1560" s="97" t="str">
        <f>IFERROR(__xludf.DUMMYFUNCTION("""COMPUTED_VALUE"""),"122 x 27")</f>
        <v>122 x 27</v>
      </c>
      <c r="AI1560" s="97">
        <f>IFERROR(__xludf.DUMMYFUNCTION("""COMPUTED_VALUE"""),55.0)</f>
        <v>55</v>
      </c>
      <c r="AJ1560" s="97" t="str">
        <f>IFERROR(__xludf.DUMMYFUNCTION("""COMPUTED_VALUE"""),"Policarbonato (PC)")</f>
        <v>Policarbonato (PC)</v>
      </c>
      <c r="AK1560" s="97" t="str">
        <f>IFERROR(__xludf.DUMMYFUNCTION("""COMPUTED_VALUE"""),"Aluminio")</f>
        <v>Aluminio</v>
      </c>
      <c r="AL1560" s="97" t="str">
        <f>IFERROR(__xludf.DUMMYFUNCTION("""COMPUTED_VALUE"""),"Negro Satinado")</f>
        <v>Negro Satinado</v>
      </c>
      <c r="AM1560" s="97" t="str">
        <f>IFERROR(__xludf.DUMMYFUNCTION("""COMPUTED_VALUE"""),"-")</f>
        <v>-</v>
      </c>
      <c r="AN1560" s="97" t="str">
        <f>IFERROR(__xludf.DUMMYFUNCTION("""COMPUTED_VALUE"""),"40.000hs (L70)")</f>
        <v>40.000hs (L70)</v>
      </c>
      <c r="AO1560" s="97" t="str">
        <f>IFERROR(__xludf.DUMMYFUNCTION("""COMPUTED_VALUE"""),"4 Años")</f>
        <v>4 Años</v>
      </c>
      <c r="AP1560" s="97" t="str">
        <f>IFERROR(__xludf.DUMMYFUNCTION("""COMPUTED_VALUE"""),"Falta")</f>
        <v>Falta</v>
      </c>
      <c r="AQ1560" s="97" t="str">
        <f>IFERROR(__xludf.DUMMYFUNCTION("""COMPUTED_VALUE"""),"Falta")</f>
        <v>Falta</v>
      </c>
      <c r="AR1560" s="97" t="str">
        <f>IFERROR(__xludf.DUMMYFUNCTION("""COMPUTED_VALUE"""),"En revisión")</f>
        <v>En revisión</v>
      </c>
      <c r="AS1560" s="97" t="str">
        <f>IFERROR(__xludf.DUMMYFUNCTION("""COMPUTED_VALUE"""),"Falta")</f>
        <v>Falta</v>
      </c>
      <c r="AT1560" s="97" t="str">
        <f>IFERROR(__xludf.DUMMYFUNCTION("""COMPUTED_VALUE"""),"Falta")</f>
        <v>Falta</v>
      </c>
      <c r="AU1560" s="97" t="str">
        <f>IFERROR(__xludf.DUMMYFUNCTION("""COMPUTED_VALUE"""),"Falta")</f>
        <v>Falta</v>
      </c>
      <c r="AV1560" s="97" t="str">
        <f>IFERROR(__xludf.DUMMYFUNCTION("""COMPUTED_VALUE"""),"Empotrable")</f>
        <v>Empotrable</v>
      </c>
      <c r="AW1560" s="97" t="str">
        <f>IFERROR(__xludf.DUMMYFUNCTION("""COMPUTED_VALUE"""),"De Techo")</f>
        <v>De Techo</v>
      </c>
      <c r="AX1560" s="97" t="str">
        <f>IFERROR(__xludf.DUMMYFUNCTION("""COMPUTED_VALUE"""),"Interior")</f>
        <v>Interior</v>
      </c>
      <c r="AY1560" s="97" t="str">
        <f>IFERROR(__xludf.DUMMYFUNCTION("""COMPUTED_VALUE"""),"Pocket")</f>
        <v>Pocket</v>
      </c>
      <c r="AZ1560" s="97"/>
      <c r="BA1560" s="97"/>
      <c r="BB1560" s="97"/>
      <c r="BC1560" s="97"/>
      <c r="BD1560" s="97" t="str">
        <f>IFERROR(__xludf.DUMMYFUNCTION("""COMPUTED_VALUE"""),"POCKET VI")</f>
        <v>POCKET VI</v>
      </c>
      <c r="BE1560" s="97" t="str">
        <f>IFERROR(__xludf.DUMMYFUNCTION("""COMPUTED_VALUE"""),"Falta TR")</f>
        <v>Falta TR</v>
      </c>
      <c r="BF1560" s="97"/>
      <c r="BG1560" s="97" t="str">
        <f>IFERROR(__xludf.DUMMYFUNCTION("""COMPUTED_VALUE"""),"REPO 7")</f>
        <v>REPO 7</v>
      </c>
    </row>
    <row r="1561">
      <c r="A1561" s="97">
        <f>IFERROR(__xludf.DUMMYFUNCTION("""COMPUTED_VALUE"""),7744.0)</f>
        <v>7744</v>
      </c>
      <c r="B1561" s="97" t="str">
        <f>IFERROR(__xludf.DUMMYFUNCTION("""COMPUTED_VALUE"""),"POCKET XII BLBL 2CCT TRIAC")</f>
        <v>POCKET XII BLBL 2CCT TRIAC</v>
      </c>
      <c r="C1561" s="97" t="str">
        <f>IFERROR(__xludf.DUMMYFUNCTION("""COMPUTED_VALUE"""),"EMPOTRABLE POCKET XII BLBL 2CCT TRIAC 20W 2700/3000K 1350LM CRI&gt;90 IP20 LEUK")</f>
        <v>EMPOTRABLE POCKET XII BLBL 2CCT TRIAC 20W 2700/3000K 1350LM CRI&gt;90 IP20 LEUK</v>
      </c>
      <c r="D1561" s="97" t="str">
        <f>IFERROR(__xludf.DUMMYFUNCTION("""COMPUTED_VALUE"""),"N/A")</f>
        <v>N/A</v>
      </c>
      <c r="E1561" s="97" t="str">
        <f>IFERROR(__xludf.DUMMYFUNCTION("""COMPUTED_VALUE"""),"N/A")</f>
        <v>N/A</v>
      </c>
      <c r="F1561" s="97" t="str">
        <f>IFERROR(__xludf.DUMMYFUNCTION("""COMPUTED_VALUE"""),"LED SMD")</f>
        <v>LED SMD</v>
      </c>
      <c r="G1561" s="97" t="str">
        <f>IFERROR(__xludf.DUMMYFUNCTION("""COMPUTED_VALUE"""),"-")</f>
        <v>-</v>
      </c>
      <c r="H1561" s="97" t="str">
        <f>IFERROR(__xludf.DUMMYFUNCTION("""COMPUTED_VALUE"""),"AiDimming")</f>
        <v>AiDimming</v>
      </c>
      <c r="I1561" s="97" t="str">
        <f>IFERROR(__xludf.DUMMYFUNCTION("""COMPUTED_VALUE"""),"Si")</f>
        <v>Si</v>
      </c>
      <c r="J1561" s="97" t="str">
        <f>IFERROR(__xludf.DUMMYFUNCTION("""COMPUTED_VALUE"""),"Modelo: PE-M20TA42
In: 200-250Vac 0.14A 50/60Hz
Out: 26-42Vdc 400a550(450)mA 23.1W
Pf 0.94 Tc 85°C Ta 45°C FlickerFree")</f>
        <v>Modelo: PE-M20TA42
In: 200-250Vac 0.14A 50/60Hz
Out: 26-42Vdc 400a550(450)mA 23.1W
Pf 0.94 Tc 85°C Ta 45°C FlickerFree</v>
      </c>
      <c r="K1561" s="97" t="str">
        <f>IFERROR(__xludf.DUMMYFUNCTION("""COMPUTED_VALUE"""),"TRIAC")</f>
        <v>TRIAC</v>
      </c>
      <c r="L1561" s="97" t="str">
        <f>IFERROR(__xludf.DUMMYFUNCTION("""COMPUTED_VALUE"""),"200-240")</f>
        <v>200-240</v>
      </c>
      <c r="M1561" s="97" t="str">
        <f>IFERROR(__xludf.DUMMYFUNCTION("""COMPUTED_VALUE"""),"50/60")</f>
        <v>50/60</v>
      </c>
      <c r="N1561" s="97" t="str">
        <f>IFERROR(__xludf.DUMMYFUNCTION("""COMPUTED_VALUE"""),"Directa")</f>
        <v>Directa</v>
      </c>
      <c r="O1561" s="97">
        <f>IFERROR(__xludf.DUMMYFUNCTION("""COMPUTED_VALUE"""),20.0)</f>
        <v>20</v>
      </c>
      <c r="P1561" s="97">
        <f>IFERROR(__xludf.DUMMYFUNCTION("""COMPUTED_VALUE"""),19.3)</f>
        <v>19.3</v>
      </c>
      <c r="Q1561" s="97"/>
      <c r="R1561" s="97" t="str">
        <f>IFERROR(__xludf.DUMMYFUNCTION("""COMPUTED_VALUE"""),"-")</f>
        <v>-</v>
      </c>
      <c r="S1561" s="97" t="str">
        <f>IFERROR(__xludf.DUMMYFUNCTION("""COMPUTED_VALUE"""),"-")</f>
        <v>-</v>
      </c>
      <c r="T1561" s="97">
        <f>IFERROR(__xludf.DUMMYFUNCTION("""COMPUTED_VALUE"""),1350.0)</f>
        <v>1350</v>
      </c>
      <c r="U1561" s="99">
        <f>IFERROR(__xludf.DUMMYFUNCTION("""COMPUTED_VALUE"""),67.5)</f>
        <v>67.5</v>
      </c>
      <c r="V1561" s="97">
        <f>IFERROR(__xludf.DUMMYFUNCTION("""COMPUTED_VALUE"""),38.0)</f>
        <v>38</v>
      </c>
      <c r="W1561" s="97" t="str">
        <f>IFERROR(__xludf.DUMMYFUNCTION("""COMPUTED_VALUE"""),"&lt; 14")</f>
        <v>&lt; 14</v>
      </c>
      <c r="X1561" s="97" t="str">
        <f>IFERROR(__xludf.DUMMYFUNCTION("""COMPUTED_VALUE"""),"2700/3000")</f>
        <v>2700/3000</v>
      </c>
      <c r="Y1561" s="97" t="str">
        <f>IFERROR(__xludf.DUMMYFUNCTION("""COMPUTED_VALUE"""),"&gt;90")</f>
        <v>&gt;90</v>
      </c>
      <c r="Z1561" s="97" t="str">
        <f>IFERROR(__xludf.DUMMYFUNCTION("""COMPUTED_VALUE"""),"&gt;90")</f>
        <v>&gt;90</v>
      </c>
      <c r="AA1561" s="97" t="str">
        <f>IFERROR(__xludf.DUMMYFUNCTION("""COMPUTED_VALUE"""),"100 (Fidelidad neutra)")</f>
        <v>100 (Fidelidad neutra)</v>
      </c>
      <c r="AB1561" s="97" t="str">
        <f>IFERROR(__xludf.DUMMYFUNCTION("""COMPUTED_VALUE"""),"&lt; 3")</f>
        <v>&lt; 3</v>
      </c>
      <c r="AC1561" s="97">
        <f>IFERROR(__xludf.DUMMYFUNCTION("""COMPUTED_VALUE"""),-1.0E-4)</f>
        <v>-0.0001</v>
      </c>
      <c r="AD1561" s="97" t="str">
        <f>IFERROR(__xludf.DUMMYFUNCTION("""COMPUTED_VALUE"""),"IP20")</f>
        <v>IP20</v>
      </c>
      <c r="AE1561" s="97" t="str">
        <f>IFERROR(__xludf.DUMMYFUNCTION("""COMPUTED_VALUE"""),"Clase l")</f>
        <v>Clase l</v>
      </c>
      <c r="AF1561" s="97" t="str">
        <f>IFERROR(__xludf.DUMMYFUNCTION("""COMPUTED_VALUE"""),"Embutir")</f>
        <v>Embutir</v>
      </c>
      <c r="AG1561" s="97" t="str">
        <f>IFERROR(__xludf.DUMMYFUNCTION("""COMPUTED_VALUE"""),"240 x 31 x 40")</f>
        <v>240 x 31 x 40</v>
      </c>
      <c r="AH1561" s="97" t="str">
        <f>IFERROR(__xludf.DUMMYFUNCTION("""COMPUTED_VALUE"""),"236 x 27")</f>
        <v>236 x 27</v>
      </c>
      <c r="AI1561" s="97">
        <f>IFERROR(__xludf.DUMMYFUNCTION("""COMPUTED_VALUE"""),60.0)</f>
        <v>60</v>
      </c>
      <c r="AJ1561" s="97" t="str">
        <f>IFERROR(__xludf.DUMMYFUNCTION("""COMPUTED_VALUE"""),"Policarbonato (PC)")</f>
        <v>Policarbonato (PC)</v>
      </c>
      <c r="AK1561" s="97" t="str">
        <f>IFERROR(__xludf.DUMMYFUNCTION("""COMPUTED_VALUE"""),"Aluminio")</f>
        <v>Aluminio</v>
      </c>
      <c r="AL1561" s="97" t="str">
        <f>IFERROR(__xludf.DUMMYFUNCTION("""COMPUTED_VALUE"""),"Blanco Satinado")</f>
        <v>Blanco Satinado</v>
      </c>
      <c r="AM1561" s="97" t="str">
        <f>IFERROR(__xludf.DUMMYFUNCTION("""COMPUTED_VALUE"""),"-")</f>
        <v>-</v>
      </c>
      <c r="AN1561" s="97" t="str">
        <f>IFERROR(__xludf.DUMMYFUNCTION("""COMPUTED_VALUE"""),"40.000hs (L70)")</f>
        <v>40.000hs (L70)</v>
      </c>
      <c r="AO1561" s="97" t="str">
        <f>IFERROR(__xludf.DUMMYFUNCTION("""COMPUTED_VALUE"""),"4 Años")</f>
        <v>4 Años</v>
      </c>
      <c r="AP1561" s="97" t="str">
        <f>IFERROR(__xludf.DUMMYFUNCTION("""COMPUTED_VALUE"""),"Falta")</f>
        <v>Falta</v>
      </c>
      <c r="AQ1561" s="97" t="str">
        <f>IFERROR(__xludf.DUMMYFUNCTION("""COMPUTED_VALUE"""),"Falta")</f>
        <v>Falta</v>
      </c>
      <c r="AR1561" s="97" t="str">
        <f>IFERROR(__xludf.DUMMYFUNCTION("""COMPUTED_VALUE"""),"En revisión")</f>
        <v>En revisión</v>
      </c>
      <c r="AS1561" s="97" t="str">
        <f>IFERROR(__xludf.DUMMYFUNCTION("""COMPUTED_VALUE"""),"Falta")</f>
        <v>Falta</v>
      </c>
      <c r="AT1561" s="97" t="str">
        <f>IFERROR(__xludf.DUMMYFUNCTION("""COMPUTED_VALUE"""),"Falta")</f>
        <v>Falta</v>
      </c>
      <c r="AU1561" s="97" t="str">
        <f>IFERROR(__xludf.DUMMYFUNCTION("""COMPUTED_VALUE"""),"Falta")</f>
        <v>Falta</v>
      </c>
      <c r="AV1561" s="97" t="str">
        <f>IFERROR(__xludf.DUMMYFUNCTION("""COMPUTED_VALUE"""),"Empotrable")</f>
        <v>Empotrable</v>
      </c>
      <c r="AW1561" s="97" t="str">
        <f>IFERROR(__xludf.DUMMYFUNCTION("""COMPUTED_VALUE"""),"De Techo")</f>
        <v>De Techo</v>
      </c>
      <c r="AX1561" s="97" t="str">
        <f>IFERROR(__xludf.DUMMYFUNCTION("""COMPUTED_VALUE"""),"Interior")</f>
        <v>Interior</v>
      </c>
      <c r="AY1561" s="97" t="str">
        <f>IFERROR(__xludf.DUMMYFUNCTION("""COMPUTED_VALUE"""),"Pocket")</f>
        <v>Pocket</v>
      </c>
      <c r="AZ1561" s="97"/>
      <c r="BA1561" s="97"/>
      <c r="BB1561" s="97"/>
      <c r="BC1561" s="97"/>
      <c r="BD1561" s="97" t="str">
        <f>IFERROR(__xludf.DUMMYFUNCTION("""COMPUTED_VALUE"""),"POCKET XII")</f>
        <v>POCKET XII</v>
      </c>
      <c r="BE1561" s="97" t="str">
        <f>IFERROR(__xludf.DUMMYFUNCTION("""COMPUTED_VALUE"""),"Falta TR")</f>
        <v>Falta TR</v>
      </c>
      <c r="BF1561" s="97"/>
      <c r="BG1561" s="97" t="str">
        <f>IFERROR(__xludf.DUMMYFUNCTION("""COMPUTED_VALUE"""),"REPO 7")</f>
        <v>REPO 7</v>
      </c>
    </row>
    <row r="1562">
      <c r="A1562" s="97">
        <f>IFERROR(__xludf.DUMMYFUNCTION("""COMPUTED_VALUE"""),7745.0)</f>
        <v>7745</v>
      </c>
      <c r="B1562" s="97" t="str">
        <f>IFERROR(__xludf.DUMMYFUNCTION("""COMPUTED_VALUE"""),"POCKET XII BLNG 2CCT TRIAC")</f>
        <v>POCKET XII BLNG 2CCT TRIAC</v>
      </c>
      <c r="C1562" s="97" t="str">
        <f>IFERROR(__xludf.DUMMYFUNCTION("""COMPUTED_VALUE"""),"EMPOTRABLE POCKET XII BLNG 2CCT TRIAC 20W 2700/3000K 1350LM CRI&gt;90 IP20 LEUK")</f>
        <v>EMPOTRABLE POCKET XII BLNG 2CCT TRIAC 20W 2700/3000K 1350LM CRI&gt;90 IP20 LEUK</v>
      </c>
      <c r="D1562" s="97" t="str">
        <f>IFERROR(__xludf.DUMMYFUNCTION("""COMPUTED_VALUE"""),"N/A")</f>
        <v>N/A</v>
      </c>
      <c r="E1562" s="97" t="str">
        <f>IFERROR(__xludf.DUMMYFUNCTION("""COMPUTED_VALUE"""),"N/A")</f>
        <v>N/A</v>
      </c>
      <c r="F1562" s="97" t="str">
        <f>IFERROR(__xludf.DUMMYFUNCTION("""COMPUTED_VALUE"""),"LED SMD")</f>
        <v>LED SMD</v>
      </c>
      <c r="G1562" s="97" t="str">
        <f>IFERROR(__xludf.DUMMYFUNCTION("""COMPUTED_VALUE"""),"-")</f>
        <v>-</v>
      </c>
      <c r="H1562" s="97" t="str">
        <f>IFERROR(__xludf.DUMMYFUNCTION("""COMPUTED_VALUE"""),"AiDimming")</f>
        <v>AiDimming</v>
      </c>
      <c r="I1562" s="97" t="str">
        <f>IFERROR(__xludf.DUMMYFUNCTION("""COMPUTED_VALUE"""),"Si")</f>
        <v>Si</v>
      </c>
      <c r="J1562" s="97" t="str">
        <f>IFERROR(__xludf.DUMMYFUNCTION("""COMPUTED_VALUE"""),"Modelo: PE-M20TA42
In: 200-250Vac 0.14A 50/60Hz
Out: 26-42Vdc 400a550(450)mA 23.1W
Pf 0.94 Tc 85°C Ta 45°C FlickerFree")</f>
        <v>Modelo: PE-M20TA42
In: 200-250Vac 0.14A 50/60Hz
Out: 26-42Vdc 400a550(450)mA 23.1W
Pf 0.94 Tc 85°C Ta 45°C FlickerFree</v>
      </c>
      <c r="K1562" s="97" t="str">
        <f>IFERROR(__xludf.DUMMYFUNCTION("""COMPUTED_VALUE"""),"TRIAC")</f>
        <v>TRIAC</v>
      </c>
      <c r="L1562" s="97" t="str">
        <f>IFERROR(__xludf.DUMMYFUNCTION("""COMPUTED_VALUE"""),"200-240")</f>
        <v>200-240</v>
      </c>
      <c r="M1562" s="97" t="str">
        <f>IFERROR(__xludf.DUMMYFUNCTION("""COMPUTED_VALUE"""),"50/60")</f>
        <v>50/60</v>
      </c>
      <c r="N1562" s="97" t="str">
        <f>IFERROR(__xludf.DUMMYFUNCTION("""COMPUTED_VALUE"""),"Directa")</f>
        <v>Directa</v>
      </c>
      <c r="O1562" s="97">
        <f>IFERROR(__xludf.DUMMYFUNCTION("""COMPUTED_VALUE"""),20.0)</f>
        <v>20</v>
      </c>
      <c r="P1562" s="97">
        <f>IFERROR(__xludf.DUMMYFUNCTION("""COMPUTED_VALUE"""),19.3)</f>
        <v>19.3</v>
      </c>
      <c r="Q1562" s="97"/>
      <c r="R1562" s="97" t="str">
        <f>IFERROR(__xludf.DUMMYFUNCTION("""COMPUTED_VALUE"""),"-")</f>
        <v>-</v>
      </c>
      <c r="S1562" s="97" t="str">
        <f>IFERROR(__xludf.DUMMYFUNCTION("""COMPUTED_VALUE"""),"-")</f>
        <v>-</v>
      </c>
      <c r="T1562" s="97">
        <f>IFERROR(__xludf.DUMMYFUNCTION("""COMPUTED_VALUE"""),1350.0)</f>
        <v>1350</v>
      </c>
      <c r="U1562" s="99">
        <f>IFERROR(__xludf.DUMMYFUNCTION("""COMPUTED_VALUE"""),67.5)</f>
        <v>67.5</v>
      </c>
      <c r="V1562" s="97">
        <f>IFERROR(__xludf.DUMMYFUNCTION("""COMPUTED_VALUE"""),38.0)</f>
        <v>38</v>
      </c>
      <c r="W1562" s="97" t="str">
        <f>IFERROR(__xludf.DUMMYFUNCTION("""COMPUTED_VALUE"""),"&lt; 14")</f>
        <v>&lt; 14</v>
      </c>
      <c r="X1562" s="97" t="str">
        <f>IFERROR(__xludf.DUMMYFUNCTION("""COMPUTED_VALUE"""),"2700/3000")</f>
        <v>2700/3000</v>
      </c>
      <c r="Y1562" s="97" t="str">
        <f>IFERROR(__xludf.DUMMYFUNCTION("""COMPUTED_VALUE"""),"&gt;90")</f>
        <v>&gt;90</v>
      </c>
      <c r="Z1562" s="97" t="str">
        <f>IFERROR(__xludf.DUMMYFUNCTION("""COMPUTED_VALUE"""),"&gt;90")</f>
        <v>&gt;90</v>
      </c>
      <c r="AA1562" s="97" t="str">
        <f>IFERROR(__xludf.DUMMYFUNCTION("""COMPUTED_VALUE"""),"100 (Fidelidad neutra)")</f>
        <v>100 (Fidelidad neutra)</v>
      </c>
      <c r="AB1562" s="97" t="str">
        <f>IFERROR(__xludf.DUMMYFUNCTION("""COMPUTED_VALUE"""),"&lt; 3")</f>
        <v>&lt; 3</v>
      </c>
      <c r="AC1562" s="97">
        <f>IFERROR(__xludf.DUMMYFUNCTION("""COMPUTED_VALUE"""),2.0E-4)</f>
        <v>0.0002</v>
      </c>
      <c r="AD1562" s="97" t="str">
        <f>IFERROR(__xludf.DUMMYFUNCTION("""COMPUTED_VALUE"""),"IP20")</f>
        <v>IP20</v>
      </c>
      <c r="AE1562" s="97" t="str">
        <f>IFERROR(__xludf.DUMMYFUNCTION("""COMPUTED_VALUE"""),"Clase l")</f>
        <v>Clase l</v>
      </c>
      <c r="AF1562" s="97" t="str">
        <f>IFERROR(__xludf.DUMMYFUNCTION("""COMPUTED_VALUE"""),"Embutir")</f>
        <v>Embutir</v>
      </c>
      <c r="AG1562" s="97" t="str">
        <f>IFERROR(__xludf.DUMMYFUNCTION("""COMPUTED_VALUE"""),"240 x 31 x 40")</f>
        <v>240 x 31 x 40</v>
      </c>
      <c r="AH1562" s="97" t="str">
        <f>IFERROR(__xludf.DUMMYFUNCTION("""COMPUTED_VALUE"""),"236 x 27")</f>
        <v>236 x 27</v>
      </c>
      <c r="AI1562" s="97">
        <f>IFERROR(__xludf.DUMMYFUNCTION("""COMPUTED_VALUE"""),60.0)</f>
        <v>60</v>
      </c>
      <c r="AJ1562" s="97" t="str">
        <f>IFERROR(__xludf.DUMMYFUNCTION("""COMPUTED_VALUE"""),"Policarbonato (PC)")</f>
        <v>Policarbonato (PC)</v>
      </c>
      <c r="AK1562" s="97" t="str">
        <f>IFERROR(__xludf.DUMMYFUNCTION("""COMPUTED_VALUE"""),"Aluminio")</f>
        <v>Aluminio</v>
      </c>
      <c r="AL1562" s="97" t="str">
        <f>IFERROR(__xludf.DUMMYFUNCTION("""COMPUTED_VALUE"""),"Blanco y Negro")</f>
        <v>Blanco y Negro</v>
      </c>
      <c r="AM1562" s="97" t="str">
        <f>IFERROR(__xludf.DUMMYFUNCTION("""COMPUTED_VALUE"""),"-")</f>
        <v>-</v>
      </c>
      <c r="AN1562" s="97" t="str">
        <f>IFERROR(__xludf.DUMMYFUNCTION("""COMPUTED_VALUE"""),"40.000hs (L70)")</f>
        <v>40.000hs (L70)</v>
      </c>
      <c r="AO1562" s="97" t="str">
        <f>IFERROR(__xludf.DUMMYFUNCTION("""COMPUTED_VALUE"""),"4 Años")</f>
        <v>4 Años</v>
      </c>
      <c r="AP1562" s="97" t="str">
        <f>IFERROR(__xludf.DUMMYFUNCTION("""COMPUTED_VALUE"""),"Falta")</f>
        <v>Falta</v>
      </c>
      <c r="AQ1562" s="97" t="str">
        <f>IFERROR(__xludf.DUMMYFUNCTION("""COMPUTED_VALUE"""),"Falta")</f>
        <v>Falta</v>
      </c>
      <c r="AR1562" s="97" t="str">
        <f>IFERROR(__xludf.DUMMYFUNCTION("""COMPUTED_VALUE"""),"En revisión")</f>
        <v>En revisión</v>
      </c>
      <c r="AS1562" s="97" t="str">
        <f>IFERROR(__xludf.DUMMYFUNCTION("""COMPUTED_VALUE"""),"Falta")</f>
        <v>Falta</v>
      </c>
      <c r="AT1562" s="97" t="str">
        <f>IFERROR(__xludf.DUMMYFUNCTION("""COMPUTED_VALUE"""),"Falta")</f>
        <v>Falta</v>
      </c>
      <c r="AU1562" s="97" t="str">
        <f>IFERROR(__xludf.DUMMYFUNCTION("""COMPUTED_VALUE"""),"Falta")</f>
        <v>Falta</v>
      </c>
      <c r="AV1562" s="97" t="str">
        <f>IFERROR(__xludf.DUMMYFUNCTION("""COMPUTED_VALUE"""),"Empotrable")</f>
        <v>Empotrable</v>
      </c>
      <c r="AW1562" s="97" t="str">
        <f>IFERROR(__xludf.DUMMYFUNCTION("""COMPUTED_VALUE"""),"De Techo")</f>
        <v>De Techo</v>
      </c>
      <c r="AX1562" s="97" t="str">
        <f>IFERROR(__xludf.DUMMYFUNCTION("""COMPUTED_VALUE"""),"Interior")</f>
        <v>Interior</v>
      </c>
      <c r="AY1562" s="97" t="str">
        <f>IFERROR(__xludf.DUMMYFUNCTION("""COMPUTED_VALUE"""),"Pocket")</f>
        <v>Pocket</v>
      </c>
      <c r="AZ1562" s="97"/>
      <c r="BA1562" s="97"/>
      <c r="BB1562" s="97"/>
      <c r="BC1562" s="97"/>
      <c r="BD1562" s="97" t="str">
        <f>IFERROR(__xludf.DUMMYFUNCTION("""COMPUTED_VALUE"""),"POCKET XII")</f>
        <v>POCKET XII</v>
      </c>
      <c r="BE1562" s="97" t="str">
        <f>IFERROR(__xludf.DUMMYFUNCTION("""COMPUTED_VALUE"""),"Falta TR")</f>
        <v>Falta TR</v>
      </c>
      <c r="BF1562" s="97"/>
      <c r="BG1562" s="97" t="str">
        <f>IFERROR(__xludf.DUMMYFUNCTION("""COMPUTED_VALUE"""),"REPO 7")</f>
        <v>REPO 7</v>
      </c>
    </row>
    <row r="1563">
      <c r="A1563" s="97">
        <f>IFERROR(__xludf.DUMMYFUNCTION("""COMPUTED_VALUE"""),7746.0)</f>
        <v>7746</v>
      </c>
      <c r="B1563" s="97" t="str">
        <f>IFERROR(__xludf.DUMMYFUNCTION("""COMPUTED_VALUE"""),"POCKET XII NGNG 2CCT TRIAC")</f>
        <v>POCKET XII NGNG 2CCT TRIAC</v>
      </c>
      <c r="C1563" s="97" t="str">
        <f>IFERROR(__xludf.DUMMYFUNCTION("""COMPUTED_VALUE"""),"EMPOTRABLE POCKET XII NGNG 2CCT TRIAC 20W 2700/3000K 1350LM CRI&gt;90 IP20 LEUK")</f>
        <v>EMPOTRABLE POCKET XII NGNG 2CCT TRIAC 20W 2700/3000K 1350LM CRI&gt;90 IP20 LEUK</v>
      </c>
      <c r="D1563" s="97" t="str">
        <f>IFERROR(__xludf.DUMMYFUNCTION("""COMPUTED_VALUE"""),"N/A")</f>
        <v>N/A</v>
      </c>
      <c r="E1563" s="97" t="str">
        <f>IFERROR(__xludf.DUMMYFUNCTION("""COMPUTED_VALUE"""),"N/A")</f>
        <v>N/A</v>
      </c>
      <c r="F1563" s="97" t="str">
        <f>IFERROR(__xludf.DUMMYFUNCTION("""COMPUTED_VALUE"""),"LED SMD")</f>
        <v>LED SMD</v>
      </c>
      <c r="G1563" s="97" t="str">
        <f>IFERROR(__xludf.DUMMYFUNCTION("""COMPUTED_VALUE"""),"-")</f>
        <v>-</v>
      </c>
      <c r="H1563" s="97" t="str">
        <f>IFERROR(__xludf.DUMMYFUNCTION("""COMPUTED_VALUE"""),"AiDimming")</f>
        <v>AiDimming</v>
      </c>
      <c r="I1563" s="97" t="str">
        <f>IFERROR(__xludf.DUMMYFUNCTION("""COMPUTED_VALUE"""),"Si")</f>
        <v>Si</v>
      </c>
      <c r="J1563" s="97" t="str">
        <f>IFERROR(__xludf.DUMMYFUNCTION("""COMPUTED_VALUE"""),"Modelo: PE-M20TA42
In: 200-250Vac 0.14A 50/60Hz
Out: 26-42Vdc 400a550(450)mA 23.1W
Pf 0.94 Tc 85°C Ta 45°C FlickerFree")</f>
        <v>Modelo: PE-M20TA42
In: 200-250Vac 0.14A 50/60Hz
Out: 26-42Vdc 400a550(450)mA 23.1W
Pf 0.94 Tc 85°C Ta 45°C FlickerFree</v>
      </c>
      <c r="K1563" s="97" t="str">
        <f>IFERROR(__xludf.DUMMYFUNCTION("""COMPUTED_VALUE"""),"TRIAC")</f>
        <v>TRIAC</v>
      </c>
      <c r="L1563" s="97" t="str">
        <f>IFERROR(__xludf.DUMMYFUNCTION("""COMPUTED_VALUE"""),"200-240")</f>
        <v>200-240</v>
      </c>
      <c r="M1563" s="97" t="str">
        <f>IFERROR(__xludf.DUMMYFUNCTION("""COMPUTED_VALUE"""),"50/60")</f>
        <v>50/60</v>
      </c>
      <c r="N1563" s="97" t="str">
        <f>IFERROR(__xludf.DUMMYFUNCTION("""COMPUTED_VALUE"""),"Directa")</f>
        <v>Directa</v>
      </c>
      <c r="O1563" s="97">
        <f>IFERROR(__xludf.DUMMYFUNCTION("""COMPUTED_VALUE"""),20.0)</f>
        <v>20</v>
      </c>
      <c r="P1563" s="97">
        <f>IFERROR(__xludf.DUMMYFUNCTION("""COMPUTED_VALUE"""),19.3)</f>
        <v>19.3</v>
      </c>
      <c r="Q1563" s="97"/>
      <c r="R1563" s="97" t="str">
        <f>IFERROR(__xludf.DUMMYFUNCTION("""COMPUTED_VALUE"""),"-")</f>
        <v>-</v>
      </c>
      <c r="S1563" s="97" t="str">
        <f>IFERROR(__xludf.DUMMYFUNCTION("""COMPUTED_VALUE"""),"-")</f>
        <v>-</v>
      </c>
      <c r="T1563" s="97">
        <f>IFERROR(__xludf.DUMMYFUNCTION("""COMPUTED_VALUE"""),1350.0)</f>
        <v>1350</v>
      </c>
      <c r="U1563" s="99">
        <f>IFERROR(__xludf.DUMMYFUNCTION("""COMPUTED_VALUE"""),67.5)</f>
        <v>67.5</v>
      </c>
      <c r="V1563" s="97">
        <f>IFERROR(__xludf.DUMMYFUNCTION("""COMPUTED_VALUE"""),38.0)</f>
        <v>38</v>
      </c>
      <c r="W1563" s="97" t="str">
        <f>IFERROR(__xludf.DUMMYFUNCTION("""COMPUTED_VALUE"""),"&lt; 14")</f>
        <v>&lt; 14</v>
      </c>
      <c r="X1563" s="97" t="str">
        <f>IFERROR(__xludf.DUMMYFUNCTION("""COMPUTED_VALUE"""),"2700/3000")</f>
        <v>2700/3000</v>
      </c>
      <c r="Y1563" s="97" t="str">
        <f>IFERROR(__xludf.DUMMYFUNCTION("""COMPUTED_VALUE"""),"&gt;90")</f>
        <v>&gt;90</v>
      </c>
      <c r="Z1563" s="97" t="str">
        <f>IFERROR(__xludf.DUMMYFUNCTION("""COMPUTED_VALUE"""),"&gt;90")</f>
        <v>&gt;90</v>
      </c>
      <c r="AA1563" s="97" t="str">
        <f>IFERROR(__xludf.DUMMYFUNCTION("""COMPUTED_VALUE"""),"100 (Fidelidad neutra)")</f>
        <v>100 (Fidelidad neutra)</v>
      </c>
      <c r="AB1563" s="97" t="str">
        <f>IFERROR(__xludf.DUMMYFUNCTION("""COMPUTED_VALUE"""),"&lt; 3")</f>
        <v>&lt; 3</v>
      </c>
      <c r="AC1563" s="97">
        <f>IFERROR(__xludf.DUMMYFUNCTION("""COMPUTED_VALUE"""),2.0E-4)</f>
        <v>0.0002</v>
      </c>
      <c r="AD1563" s="97" t="str">
        <f>IFERROR(__xludf.DUMMYFUNCTION("""COMPUTED_VALUE"""),"IP20")</f>
        <v>IP20</v>
      </c>
      <c r="AE1563" s="97" t="str">
        <f>IFERROR(__xludf.DUMMYFUNCTION("""COMPUTED_VALUE"""),"Clase l")</f>
        <v>Clase l</v>
      </c>
      <c r="AF1563" s="97" t="str">
        <f>IFERROR(__xludf.DUMMYFUNCTION("""COMPUTED_VALUE"""),"Embutir")</f>
        <v>Embutir</v>
      </c>
      <c r="AG1563" s="97" t="str">
        <f>IFERROR(__xludf.DUMMYFUNCTION("""COMPUTED_VALUE"""),"240 x 31 x 40")</f>
        <v>240 x 31 x 40</v>
      </c>
      <c r="AH1563" s="97" t="str">
        <f>IFERROR(__xludf.DUMMYFUNCTION("""COMPUTED_VALUE"""),"236 x 27")</f>
        <v>236 x 27</v>
      </c>
      <c r="AI1563" s="97">
        <f>IFERROR(__xludf.DUMMYFUNCTION("""COMPUTED_VALUE"""),60.0)</f>
        <v>60</v>
      </c>
      <c r="AJ1563" s="97" t="str">
        <f>IFERROR(__xludf.DUMMYFUNCTION("""COMPUTED_VALUE"""),"Policarbonato (PC)")</f>
        <v>Policarbonato (PC)</v>
      </c>
      <c r="AK1563" s="97" t="str">
        <f>IFERROR(__xludf.DUMMYFUNCTION("""COMPUTED_VALUE"""),"Aluminio")</f>
        <v>Aluminio</v>
      </c>
      <c r="AL1563" s="97" t="str">
        <f>IFERROR(__xludf.DUMMYFUNCTION("""COMPUTED_VALUE"""),"Negro Satinado")</f>
        <v>Negro Satinado</v>
      </c>
      <c r="AM1563" s="97" t="str">
        <f>IFERROR(__xludf.DUMMYFUNCTION("""COMPUTED_VALUE"""),"-")</f>
        <v>-</v>
      </c>
      <c r="AN1563" s="97" t="str">
        <f>IFERROR(__xludf.DUMMYFUNCTION("""COMPUTED_VALUE"""),"40.000hs (L70)")</f>
        <v>40.000hs (L70)</v>
      </c>
      <c r="AO1563" s="97" t="str">
        <f>IFERROR(__xludf.DUMMYFUNCTION("""COMPUTED_VALUE"""),"4 Años")</f>
        <v>4 Años</v>
      </c>
      <c r="AP1563" s="97" t="str">
        <f>IFERROR(__xludf.DUMMYFUNCTION("""COMPUTED_VALUE"""),"Falta")</f>
        <v>Falta</v>
      </c>
      <c r="AQ1563" s="97" t="str">
        <f>IFERROR(__xludf.DUMMYFUNCTION("""COMPUTED_VALUE"""),"Falta")</f>
        <v>Falta</v>
      </c>
      <c r="AR1563" s="97" t="str">
        <f>IFERROR(__xludf.DUMMYFUNCTION("""COMPUTED_VALUE"""),"En revisión")</f>
        <v>En revisión</v>
      </c>
      <c r="AS1563" s="97" t="str">
        <f>IFERROR(__xludf.DUMMYFUNCTION("""COMPUTED_VALUE"""),"Falta")</f>
        <v>Falta</v>
      </c>
      <c r="AT1563" s="97" t="str">
        <f>IFERROR(__xludf.DUMMYFUNCTION("""COMPUTED_VALUE"""),"Falta")</f>
        <v>Falta</v>
      </c>
      <c r="AU1563" s="97" t="str">
        <f>IFERROR(__xludf.DUMMYFUNCTION("""COMPUTED_VALUE"""),"Falta")</f>
        <v>Falta</v>
      </c>
      <c r="AV1563" s="97" t="str">
        <f>IFERROR(__xludf.DUMMYFUNCTION("""COMPUTED_VALUE"""),"Empotrable")</f>
        <v>Empotrable</v>
      </c>
      <c r="AW1563" s="97" t="str">
        <f>IFERROR(__xludf.DUMMYFUNCTION("""COMPUTED_VALUE"""),"De Techo")</f>
        <v>De Techo</v>
      </c>
      <c r="AX1563" s="97" t="str">
        <f>IFERROR(__xludf.DUMMYFUNCTION("""COMPUTED_VALUE"""),"Interior")</f>
        <v>Interior</v>
      </c>
      <c r="AY1563" s="97" t="str">
        <f>IFERROR(__xludf.DUMMYFUNCTION("""COMPUTED_VALUE"""),"Pocket")</f>
        <v>Pocket</v>
      </c>
      <c r="AZ1563" s="97"/>
      <c r="BA1563" s="97"/>
      <c r="BB1563" s="97"/>
      <c r="BC1563" s="97"/>
      <c r="BD1563" s="97" t="str">
        <f>IFERROR(__xludf.DUMMYFUNCTION("""COMPUTED_VALUE"""),"POCKET XII")</f>
        <v>POCKET XII</v>
      </c>
      <c r="BE1563" s="97" t="str">
        <f>IFERROR(__xludf.DUMMYFUNCTION("""COMPUTED_VALUE"""),"Falta TR")</f>
        <v>Falta TR</v>
      </c>
      <c r="BF1563" s="97"/>
      <c r="BG1563" s="97" t="str">
        <f>IFERROR(__xludf.DUMMYFUNCTION("""COMPUTED_VALUE"""),"REPO 7")</f>
        <v>REPO 7</v>
      </c>
    </row>
  </sheetData>
  <autoFilter ref="$A$1:$BG$1563"/>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1" t="s">
        <v>4069</v>
      </c>
      <c r="B1" s="81" t="s">
        <v>4070</v>
      </c>
      <c r="C1" s="81" t="s">
        <v>4071</v>
      </c>
      <c r="D1" s="81" t="s">
        <v>5</v>
      </c>
      <c r="E1" s="81" t="s">
        <v>0</v>
      </c>
      <c r="F1" s="81" t="s">
        <v>4072</v>
      </c>
      <c r="G1" s="81" t="s">
        <v>6788</v>
      </c>
      <c r="H1" s="81" t="s">
        <v>6789</v>
      </c>
      <c r="I1" s="81" t="s">
        <v>4076</v>
      </c>
    </row>
    <row r="2">
      <c r="A2" s="83" t="s">
        <v>6790</v>
      </c>
      <c r="B2" s="83" t="s">
        <v>6791</v>
      </c>
      <c r="C2" s="81" t="s">
        <v>4080</v>
      </c>
      <c r="D2" s="81" t="s">
        <v>224</v>
      </c>
      <c r="E2" s="81" t="s">
        <v>224</v>
      </c>
      <c r="F2" s="81" t="s">
        <v>224</v>
      </c>
      <c r="G2" s="81" t="s">
        <v>224</v>
      </c>
      <c r="H2" s="81" t="s">
        <v>224</v>
      </c>
      <c r="I2" s="81" t="s">
        <v>6792</v>
      </c>
    </row>
    <row r="3">
      <c r="A3" s="83" t="s">
        <v>6790</v>
      </c>
      <c r="B3" s="83" t="s">
        <v>6791</v>
      </c>
      <c r="C3" s="81" t="s">
        <v>4621</v>
      </c>
      <c r="D3" s="83" t="s">
        <v>4087</v>
      </c>
      <c r="E3" s="81" t="s">
        <v>73</v>
      </c>
      <c r="F3" s="84">
        <v>3.0</v>
      </c>
      <c r="G3" s="81" t="s">
        <v>224</v>
      </c>
      <c r="H3" s="83" t="s">
        <v>6793</v>
      </c>
      <c r="I3" s="81" t="s">
        <v>6794</v>
      </c>
    </row>
    <row r="4">
      <c r="A4" s="83" t="s">
        <v>6790</v>
      </c>
      <c r="B4" s="83" t="s">
        <v>6791</v>
      </c>
      <c r="C4" s="81" t="s">
        <v>4621</v>
      </c>
      <c r="D4" s="83" t="s">
        <v>4092</v>
      </c>
      <c r="E4" s="81" t="s">
        <v>122</v>
      </c>
      <c r="F4" s="84">
        <v>8.0</v>
      </c>
      <c r="G4" s="81" t="s">
        <v>224</v>
      </c>
      <c r="H4" s="83" t="s">
        <v>6793</v>
      </c>
      <c r="I4" s="81" t="s">
        <v>6794</v>
      </c>
    </row>
    <row r="5">
      <c r="A5" s="83" t="s">
        <v>6790</v>
      </c>
      <c r="B5" s="83" t="s">
        <v>6791</v>
      </c>
      <c r="C5" s="81" t="s">
        <v>4621</v>
      </c>
      <c r="D5" s="83" t="s">
        <v>4096</v>
      </c>
      <c r="E5" s="81" t="s">
        <v>170</v>
      </c>
      <c r="F5" s="84">
        <v>14.0</v>
      </c>
      <c r="G5" s="81" t="s">
        <v>224</v>
      </c>
      <c r="H5" s="83" t="s">
        <v>6793</v>
      </c>
      <c r="I5" s="81" t="s">
        <v>6794</v>
      </c>
    </row>
    <row r="6">
      <c r="A6" s="83" t="s">
        <v>6790</v>
      </c>
      <c r="B6" s="83" t="s">
        <v>6791</v>
      </c>
      <c r="C6" s="81" t="s">
        <v>4621</v>
      </c>
      <c r="D6" s="83" t="s">
        <v>4098</v>
      </c>
      <c r="E6" s="81" t="s">
        <v>175</v>
      </c>
      <c r="F6" s="84">
        <v>16.0</v>
      </c>
      <c r="G6" s="81" t="s">
        <v>224</v>
      </c>
      <c r="H6" s="83" t="s">
        <v>6793</v>
      </c>
      <c r="I6" s="81" t="s">
        <v>6794</v>
      </c>
    </row>
    <row r="7">
      <c r="A7" s="83" t="s">
        <v>6790</v>
      </c>
      <c r="B7" s="83" t="s">
        <v>6791</v>
      </c>
      <c r="C7" s="81" t="s">
        <v>4621</v>
      </c>
      <c r="D7" s="83" t="s">
        <v>4099</v>
      </c>
      <c r="E7" s="81" t="s">
        <v>187</v>
      </c>
      <c r="F7" s="84">
        <v>17.0</v>
      </c>
      <c r="G7" s="81" t="s">
        <v>224</v>
      </c>
      <c r="H7" s="83" t="s">
        <v>6793</v>
      </c>
      <c r="I7" s="81" t="s">
        <v>6794</v>
      </c>
    </row>
    <row r="8">
      <c r="A8" s="83" t="s">
        <v>6790</v>
      </c>
      <c r="B8" s="83" t="s">
        <v>6791</v>
      </c>
      <c r="C8" s="81" t="s">
        <v>4621</v>
      </c>
      <c r="D8" s="83" t="s">
        <v>4102</v>
      </c>
      <c r="E8" s="81" t="s">
        <v>239</v>
      </c>
      <c r="F8" s="84">
        <v>21.0</v>
      </c>
      <c r="G8" s="81" t="s">
        <v>224</v>
      </c>
      <c r="H8" s="83" t="s">
        <v>6793</v>
      </c>
      <c r="I8" s="81" t="s">
        <v>6794</v>
      </c>
    </row>
    <row r="9">
      <c r="A9" s="83" t="s">
        <v>6790</v>
      </c>
      <c r="B9" s="83" t="s">
        <v>6791</v>
      </c>
      <c r="C9" s="81" t="s">
        <v>4621</v>
      </c>
      <c r="D9" s="83" t="s">
        <v>4104</v>
      </c>
      <c r="E9" s="81" t="s">
        <v>241</v>
      </c>
      <c r="F9" s="84">
        <v>22.0</v>
      </c>
      <c r="G9" s="81" t="s">
        <v>224</v>
      </c>
      <c r="H9" s="83" t="s">
        <v>6795</v>
      </c>
      <c r="I9" s="81" t="s">
        <v>6794</v>
      </c>
    </row>
    <row r="10">
      <c r="A10" s="83" t="s">
        <v>6790</v>
      </c>
      <c r="B10" s="83" t="s">
        <v>6791</v>
      </c>
      <c r="C10" s="81" t="s">
        <v>4621</v>
      </c>
      <c r="D10" s="83" t="s">
        <v>4105</v>
      </c>
      <c r="E10" s="81" t="s">
        <v>244</v>
      </c>
      <c r="F10" s="84">
        <v>23.0</v>
      </c>
      <c r="G10" s="81" t="s">
        <v>224</v>
      </c>
      <c r="H10" s="83" t="s">
        <v>6793</v>
      </c>
      <c r="I10" s="81" t="s">
        <v>6794</v>
      </c>
    </row>
    <row r="11">
      <c r="A11" s="83" t="s">
        <v>6790</v>
      </c>
      <c r="B11" s="83" t="s">
        <v>6791</v>
      </c>
      <c r="C11" s="81" t="s">
        <v>4621</v>
      </c>
      <c r="D11" s="83" t="s">
        <v>4106</v>
      </c>
      <c r="E11" s="81" t="s">
        <v>251</v>
      </c>
      <c r="F11" s="84">
        <v>24.0</v>
      </c>
      <c r="G11" s="81" t="s">
        <v>224</v>
      </c>
      <c r="H11" s="83" t="s">
        <v>6793</v>
      </c>
      <c r="I11" s="81" t="s">
        <v>6794</v>
      </c>
    </row>
    <row r="12">
      <c r="A12" s="83" t="s">
        <v>6790</v>
      </c>
      <c r="B12" s="83" t="s">
        <v>6791</v>
      </c>
      <c r="C12" s="81" t="s">
        <v>4621</v>
      </c>
      <c r="D12" s="83" t="s">
        <v>4107</v>
      </c>
      <c r="E12" s="81" t="s">
        <v>254</v>
      </c>
      <c r="F12" s="84">
        <v>25.0</v>
      </c>
      <c r="G12" s="81" t="s">
        <v>224</v>
      </c>
      <c r="H12" s="83" t="s">
        <v>6793</v>
      </c>
      <c r="I12" s="81" t="s">
        <v>6794</v>
      </c>
    </row>
    <row r="13">
      <c r="A13" s="83" t="s">
        <v>6790</v>
      </c>
      <c r="B13" s="83" t="s">
        <v>6791</v>
      </c>
      <c r="C13" s="81" t="s">
        <v>4621</v>
      </c>
      <c r="D13" s="83" t="s">
        <v>4108</v>
      </c>
      <c r="E13" s="81" t="s">
        <v>262</v>
      </c>
      <c r="F13" s="84">
        <v>26.0</v>
      </c>
      <c r="G13" s="81" t="s">
        <v>224</v>
      </c>
      <c r="H13" s="83" t="s">
        <v>6795</v>
      </c>
      <c r="I13" s="81" t="s">
        <v>6794</v>
      </c>
    </row>
    <row r="14">
      <c r="A14" s="83" t="s">
        <v>6790</v>
      </c>
      <c r="B14" s="83" t="s">
        <v>6791</v>
      </c>
      <c r="C14" s="81" t="s">
        <v>4621</v>
      </c>
      <c r="D14" s="83" t="s">
        <v>4110</v>
      </c>
      <c r="E14" s="81" t="s">
        <v>273</v>
      </c>
      <c r="F14" s="84">
        <v>28.0</v>
      </c>
      <c r="G14" s="81" t="s">
        <v>224</v>
      </c>
      <c r="H14" s="83" t="s">
        <v>6795</v>
      </c>
      <c r="I14" s="81" t="s">
        <v>6794</v>
      </c>
    </row>
    <row r="15">
      <c r="A15" s="83" t="s">
        <v>6790</v>
      </c>
      <c r="B15" s="83" t="s">
        <v>6791</v>
      </c>
      <c r="C15" s="81" t="s">
        <v>4621</v>
      </c>
      <c r="D15" s="83" t="s">
        <v>4114</v>
      </c>
      <c r="E15" s="81" t="s">
        <v>287</v>
      </c>
      <c r="F15" s="84">
        <v>32.0</v>
      </c>
      <c r="G15" s="81" t="s">
        <v>224</v>
      </c>
      <c r="H15" s="83" t="s">
        <v>6793</v>
      </c>
      <c r="I15" s="81" t="s">
        <v>6794</v>
      </c>
    </row>
    <row r="16">
      <c r="A16" s="83" t="s">
        <v>6790</v>
      </c>
      <c r="B16" s="83" t="s">
        <v>6791</v>
      </c>
      <c r="C16" s="81" t="s">
        <v>4621</v>
      </c>
      <c r="D16" s="83" t="s">
        <v>4118</v>
      </c>
      <c r="E16" s="81" t="s">
        <v>308</v>
      </c>
      <c r="F16" s="84">
        <v>36.0</v>
      </c>
      <c r="G16" s="81" t="s">
        <v>224</v>
      </c>
      <c r="H16" s="83" t="s">
        <v>6793</v>
      </c>
      <c r="I16" s="81" t="s">
        <v>6794</v>
      </c>
    </row>
    <row r="17">
      <c r="A17" s="83" t="s">
        <v>6790</v>
      </c>
      <c r="B17" s="83" t="s">
        <v>6791</v>
      </c>
      <c r="C17" s="81" t="s">
        <v>4621</v>
      </c>
      <c r="D17" s="83" t="s">
        <v>4119</v>
      </c>
      <c r="E17" s="81" t="s">
        <v>320</v>
      </c>
      <c r="F17" s="84">
        <v>37.0</v>
      </c>
      <c r="G17" s="81" t="s">
        <v>224</v>
      </c>
      <c r="H17" s="83" t="s">
        <v>6793</v>
      </c>
      <c r="I17" s="81" t="s">
        <v>6794</v>
      </c>
    </row>
    <row r="18">
      <c r="A18" s="83" t="s">
        <v>6790</v>
      </c>
      <c r="B18" s="83" t="s">
        <v>6791</v>
      </c>
      <c r="C18" s="81" t="s">
        <v>4621</v>
      </c>
      <c r="D18" s="83" t="s">
        <v>4121</v>
      </c>
      <c r="E18" s="81" t="s">
        <v>343</v>
      </c>
      <c r="F18" s="84">
        <v>39.0</v>
      </c>
      <c r="G18" s="81" t="s">
        <v>224</v>
      </c>
      <c r="H18" s="83" t="s">
        <v>6793</v>
      </c>
      <c r="I18" s="81" t="s">
        <v>6794</v>
      </c>
    </row>
    <row r="19">
      <c r="A19" s="83" t="s">
        <v>6790</v>
      </c>
      <c r="B19" s="83" t="s">
        <v>6791</v>
      </c>
      <c r="C19" s="81" t="s">
        <v>4621</v>
      </c>
      <c r="D19" s="83" t="s">
        <v>4124</v>
      </c>
      <c r="E19" s="81" t="s">
        <v>392</v>
      </c>
      <c r="F19" s="84">
        <v>42.0</v>
      </c>
      <c r="G19" s="81" t="s">
        <v>224</v>
      </c>
      <c r="H19" s="83" t="s">
        <v>6793</v>
      </c>
      <c r="I19" s="81" t="s">
        <v>6794</v>
      </c>
    </row>
    <row r="20">
      <c r="A20" s="83" t="s">
        <v>6790</v>
      </c>
      <c r="B20" s="83" t="s">
        <v>6791</v>
      </c>
      <c r="C20" s="81" t="s">
        <v>4621</v>
      </c>
      <c r="D20" s="83" t="s">
        <v>4125</v>
      </c>
      <c r="E20" s="81" t="s">
        <v>393</v>
      </c>
      <c r="F20" s="84">
        <v>43.0</v>
      </c>
      <c r="G20" s="81" t="s">
        <v>224</v>
      </c>
      <c r="H20" s="83" t="s">
        <v>6793</v>
      </c>
      <c r="I20" s="81" t="s">
        <v>6794</v>
      </c>
    </row>
    <row r="21">
      <c r="A21" s="83" t="s">
        <v>6790</v>
      </c>
      <c r="B21" s="83" t="s">
        <v>6791</v>
      </c>
      <c r="C21" s="81" t="s">
        <v>4621</v>
      </c>
      <c r="D21" s="83" t="s">
        <v>4129</v>
      </c>
      <c r="E21" s="81" t="s">
        <v>428</v>
      </c>
      <c r="F21" s="84">
        <v>47.0</v>
      </c>
      <c r="G21" s="81" t="s">
        <v>224</v>
      </c>
      <c r="H21" s="83" t="s">
        <v>6793</v>
      </c>
      <c r="I21" s="81" t="s">
        <v>6794</v>
      </c>
    </row>
    <row r="22">
      <c r="A22" s="83" t="s">
        <v>6790</v>
      </c>
      <c r="B22" s="83" t="s">
        <v>6791</v>
      </c>
      <c r="C22" s="81" t="s">
        <v>4621</v>
      </c>
      <c r="D22" s="83" t="s">
        <v>4193</v>
      </c>
      <c r="E22" s="81" t="s">
        <v>727</v>
      </c>
      <c r="F22" s="84">
        <v>120.0</v>
      </c>
      <c r="G22" s="81" t="s">
        <v>224</v>
      </c>
      <c r="H22" s="83" t="s">
        <v>6793</v>
      </c>
      <c r="I22" s="81" t="s">
        <v>6794</v>
      </c>
    </row>
    <row r="23">
      <c r="A23" s="83" t="s">
        <v>6790</v>
      </c>
      <c r="B23" s="83" t="s">
        <v>6791</v>
      </c>
      <c r="C23" s="81" t="s">
        <v>4621</v>
      </c>
      <c r="D23" s="83" t="s">
        <v>4195</v>
      </c>
      <c r="E23" s="81" t="s">
        <v>728</v>
      </c>
      <c r="F23" s="84">
        <v>121.0</v>
      </c>
      <c r="G23" s="81" t="s">
        <v>224</v>
      </c>
      <c r="H23" s="83" t="s">
        <v>6793</v>
      </c>
      <c r="I23" s="81" t="s">
        <v>6794</v>
      </c>
    </row>
    <row r="24">
      <c r="A24" s="83" t="s">
        <v>6790</v>
      </c>
      <c r="B24" s="83" t="s">
        <v>6791</v>
      </c>
      <c r="C24" s="81" t="s">
        <v>4621</v>
      </c>
      <c r="D24" s="83" t="s">
        <v>4196</v>
      </c>
      <c r="E24" s="81" t="s">
        <v>741</v>
      </c>
      <c r="F24" s="84">
        <v>123.0</v>
      </c>
      <c r="G24" s="81" t="s">
        <v>224</v>
      </c>
      <c r="H24" s="83" t="s">
        <v>6793</v>
      </c>
      <c r="I24" s="81" t="s">
        <v>6794</v>
      </c>
    </row>
    <row r="25">
      <c r="A25" s="83" t="s">
        <v>6790</v>
      </c>
      <c r="B25" s="83" t="s">
        <v>6791</v>
      </c>
      <c r="C25" s="81" t="s">
        <v>4621</v>
      </c>
      <c r="D25" s="83" t="s">
        <v>4199</v>
      </c>
      <c r="E25" s="81" t="s">
        <v>753</v>
      </c>
      <c r="F25" s="84">
        <v>126.0</v>
      </c>
      <c r="G25" s="81" t="s">
        <v>224</v>
      </c>
      <c r="H25" s="83" t="s">
        <v>6793</v>
      </c>
      <c r="I25" s="81" t="s">
        <v>6794</v>
      </c>
    </row>
    <row r="26">
      <c r="A26" s="83" t="s">
        <v>6790</v>
      </c>
      <c r="B26" s="83" t="s">
        <v>6791</v>
      </c>
      <c r="C26" s="81" t="s">
        <v>4621</v>
      </c>
      <c r="D26" s="83" t="s">
        <v>4209</v>
      </c>
      <c r="E26" s="81" t="s">
        <v>788</v>
      </c>
      <c r="F26" s="84">
        <v>135.0</v>
      </c>
      <c r="G26" s="81" t="s">
        <v>224</v>
      </c>
      <c r="H26" s="83" t="s">
        <v>6793</v>
      </c>
      <c r="I26" s="81" t="s">
        <v>6794</v>
      </c>
    </row>
    <row r="27">
      <c r="A27" s="83" t="s">
        <v>6790</v>
      </c>
      <c r="B27" s="83" t="s">
        <v>6791</v>
      </c>
      <c r="C27" s="81" t="s">
        <v>4621</v>
      </c>
      <c r="D27" s="83" t="s">
        <v>4210</v>
      </c>
      <c r="E27" s="81" t="s">
        <v>795</v>
      </c>
      <c r="F27" s="84">
        <v>136.0</v>
      </c>
      <c r="G27" s="81" t="s">
        <v>224</v>
      </c>
      <c r="H27" s="83" t="s">
        <v>6793</v>
      </c>
      <c r="I27" s="81" t="s">
        <v>6794</v>
      </c>
    </row>
    <row r="28">
      <c r="A28" s="83" t="s">
        <v>6790</v>
      </c>
      <c r="B28" s="83" t="s">
        <v>6791</v>
      </c>
      <c r="C28" s="81" t="s">
        <v>4621</v>
      </c>
      <c r="D28" s="83" t="s">
        <v>4214</v>
      </c>
      <c r="E28" s="81" t="s">
        <v>812</v>
      </c>
      <c r="F28" s="84">
        <v>140.0</v>
      </c>
      <c r="G28" s="81" t="s">
        <v>224</v>
      </c>
      <c r="H28" s="83" t="s">
        <v>6793</v>
      </c>
      <c r="I28" s="81" t="s">
        <v>6794</v>
      </c>
    </row>
    <row r="29">
      <c r="A29" s="83" t="s">
        <v>6790</v>
      </c>
      <c r="B29" s="83" t="s">
        <v>6791</v>
      </c>
      <c r="C29" s="81" t="s">
        <v>4621</v>
      </c>
      <c r="D29" s="83" t="s">
        <v>4218</v>
      </c>
      <c r="E29" s="81" t="s">
        <v>832</v>
      </c>
      <c r="F29" s="84">
        <v>144.0</v>
      </c>
      <c r="G29" s="81" t="s">
        <v>224</v>
      </c>
      <c r="H29" s="83" t="s">
        <v>6793</v>
      </c>
      <c r="I29" s="81" t="s">
        <v>6794</v>
      </c>
    </row>
    <row r="30">
      <c r="A30" s="83" t="s">
        <v>6790</v>
      </c>
      <c r="B30" s="83" t="s">
        <v>6791</v>
      </c>
      <c r="C30" s="81" t="s">
        <v>4621</v>
      </c>
      <c r="D30" s="83" t="s">
        <v>4220</v>
      </c>
      <c r="E30" s="81" t="s">
        <v>842</v>
      </c>
      <c r="F30" s="84">
        <v>146.0</v>
      </c>
      <c r="G30" s="81" t="s">
        <v>224</v>
      </c>
      <c r="H30" s="83" t="s">
        <v>6793</v>
      </c>
      <c r="I30" s="81" t="s">
        <v>6794</v>
      </c>
    </row>
    <row r="31">
      <c r="A31" s="83" t="s">
        <v>6790</v>
      </c>
      <c r="B31" s="83" t="s">
        <v>6791</v>
      </c>
      <c r="C31" s="81" t="s">
        <v>4621</v>
      </c>
      <c r="D31" s="83" t="s">
        <v>4225</v>
      </c>
      <c r="E31" s="81" t="s">
        <v>864</v>
      </c>
      <c r="F31" s="84">
        <v>151.0</v>
      </c>
      <c r="G31" s="81" t="s">
        <v>224</v>
      </c>
      <c r="H31" s="83" t="s">
        <v>6793</v>
      </c>
      <c r="I31" s="81" t="s">
        <v>6794</v>
      </c>
    </row>
    <row r="32">
      <c r="A32" s="83" t="s">
        <v>6790</v>
      </c>
      <c r="B32" s="83" t="s">
        <v>6791</v>
      </c>
      <c r="C32" s="81" t="s">
        <v>4621</v>
      </c>
      <c r="D32" s="83" t="s">
        <v>4239</v>
      </c>
      <c r="E32" s="81" t="s">
        <v>934</v>
      </c>
      <c r="F32" s="84">
        <v>165.0</v>
      </c>
      <c r="G32" s="81" t="s">
        <v>224</v>
      </c>
      <c r="H32" s="83" t="s">
        <v>6795</v>
      </c>
      <c r="I32" s="81" t="s">
        <v>6794</v>
      </c>
    </row>
    <row r="33">
      <c r="A33" s="83" t="s">
        <v>6790</v>
      </c>
      <c r="B33" s="83" t="s">
        <v>6791</v>
      </c>
      <c r="C33" s="81" t="s">
        <v>4621</v>
      </c>
      <c r="D33" s="83" t="s">
        <v>4240</v>
      </c>
      <c r="E33" s="81" t="s">
        <v>935</v>
      </c>
      <c r="F33" s="84">
        <v>166.0</v>
      </c>
      <c r="G33" s="81" t="s">
        <v>224</v>
      </c>
      <c r="H33" s="83" t="s">
        <v>6793</v>
      </c>
      <c r="I33" s="81" t="s">
        <v>6794</v>
      </c>
    </row>
    <row r="34">
      <c r="A34" s="83" t="s">
        <v>6790</v>
      </c>
      <c r="B34" s="83" t="s">
        <v>6791</v>
      </c>
      <c r="C34" s="81" t="s">
        <v>4621</v>
      </c>
      <c r="D34" s="83" t="s">
        <v>4241</v>
      </c>
      <c r="E34" s="81" t="s">
        <v>943</v>
      </c>
      <c r="F34" s="84">
        <v>168.0</v>
      </c>
      <c r="G34" s="81" t="s">
        <v>224</v>
      </c>
      <c r="H34" s="83" t="s">
        <v>6795</v>
      </c>
      <c r="I34" s="81" t="s">
        <v>6794</v>
      </c>
    </row>
    <row r="35">
      <c r="A35" s="83" t="s">
        <v>6790</v>
      </c>
      <c r="B35" s="83" t="s">
        <v>6791</v>
      </c>
      <c r="C35" s="81" t="s">
        <v>4621</v>
      </c>
      <c r="D35" s="83" t="s">
        <v>4242</v>
      </c>
      <c r="E35" s="81" t="s">
        <v>944</v>
      </c>
      <c r="F35" s="84">
        <v>169.0</v>
      </c>
      <c r="G35" s="81" t="s">
        <v>224</v>
      </c>
      <c r="H35" s="83" t="s">
        <v>6795</v>
      </c>
      <c r="I35" s="81" t="s">
        <v>6794</v>
      </c>
    </row>
    <row r="36">
      <c r="A36" s="83" t="s">
        <v>6790</v>
      </c>
      <c r="B36" s="83" t="s">
        <v>6791</v>
      </c>
      <c r="C36" s="81" t="s">
        <v>4621</v>
      </c>
      <c r="D36" s="83" t="s">
        <v>4243</v>
      </c>
      <c r="E36" s="81" t="s">
        <v>951</v>
      </c>
      <c r="F36" s="84">
        <v>171.0</v>
      </c>
      <c r="G36" s="81" t="s">
        <v>224</v>
      </c>
      <c r="H36" s="83" t="s">
        <v>6793</v>
      </c>
      <c r="I36" s="81" t="s">
        <v>6794</v>
      </c>
    </row>
    <row r="37">
      <c r="A37" s="83" t="s">
        <v>6790</v>
      </c>
      <c r="B37" s="83" t="s">
        <v>6791</v>
      </c>
      <c r="C37" s="81" t="s">
        <v>4621</v>
      </c>
      <c r="D37" s="83" t="s">
        <v>4244</v>
      </c>
      <c r="E37" s="81" t="s">
        <v>952</v>
      </c>
      <c r="F37" s="84">
        <v>172.0</v>
      </c>
      <c r="G37" s="81" t="s">
        <v>224</v>
      </c>
      <c r="H37" s="83" t="s">
        <v>6795</v>
      </c>
      <c r="I37" s="81" t="s">
        <v>6794</v>
      </c>
    </row>
    <row r="38">
      <c r="A38" s="83" t="s">
        <v>6790</v>
      </c>
      <c r="B38" s="83" t="s">
        <v>6791</v>
      </c>
      <c r="C38" s="81" t="s">
        <v>4621</v>
      </c>
      <c r="D38" s="83" t="s">
        <v>4250</v>
      </c>
      <c r="E38" s="81" t="s">
        <v>982</v>
      </c>
      <c r="F38" s="84">
        <v>181.0</v>
      </c>
      <c r="G38" s="81" t="s">
        <v>224</v>
      </c>
      <c r="H38" s="83" t="s">
        <v>6793</v>
      </c>
      <c r="I38" s="81" t="s">
        <v>6794</v>
      </c>
    </row>
    <row r="39">
      <c r="A39" s="83" t="s">
        <v>6790</v>
      </c>
      <c r="B39" s="83" t="s">
        <v>6791</v>
      </c>
      <c r="C39" s="81" t="s">
        <v>4621</v>
      </c>
      <c r="D39" s="83" t="s">
        <v>4251</v>
      </c>
      <c r="E39" s="81" t="s">
        <v>991</v>
      </c>
      <c r="F39" s="84">
        <v>183.0</v>
      </c>
      <c r="G39" s="81" t="s">
        <v>224</v>
      </c>
      <c r="H39" s="83" t="s">
        <v>6795</v>
      </c>
      <c r="I39" s="81" t="s">
        <v>6794</v>
      </c>
    </row>
    <row r="40">
      <c r="A40" s="83" t="s">
        <v>6790</v>
      </c>
      <c r="B40" s="83" t="s">
        <v>6791</v>
      </c>
      <c r="C40" s="81" t="s">
        <v>4621</v>
      </c>
      <c r="D40" s="83" t="s">
        <v>4252</v>
      </c>
      <c r="E40" s="81" t="s">
        <v>992</v>
      </c>
      <c r="F40" s="84">
        <v>184.0</v>
      </c>
      <c r="G40" s="81" t="s">
        <v>224</v>
      </c>
      <c r="H40" s="83" t="s">
        <v>6793</v>
      </c>
      <c r="I40" s="81" t="s">
        <v>6794</v>
      </c>
    </row>
    <row r="41">
      <c r="A41" s="83" t="s">
        <v>6790</v>
      </c>
      <c r="B41" s="83" t="s">
        <v>6791</v>
      </c>
      <c r="C41" s="81" t="s">
        <v>4621</v>
      </c>
      <c r="D41" s="83" t="s">
        <v>4255</v>
      </c>
      <c r="E41" s="81" t="s">
        <v>1011</v>
      </c>
      <c r="F41" s="84">
        <v>189.0</v>
      </c>
      <c r="G41" s="81" t="s">
        <v>224</v>
      </c>
      <c r="H41" s="83" t="s">
        <v>6793</v>
      </c>
      <c r="I41" s="81" t="s">
        <v>6794</v>
      </c>
    </row>
    <row r="42">
      <c r="A42" s="83" t="s">
        <v>6790</v>
      </c>
      <c r="B42" s="83" t="s">
        <v>6791</v>
      </c>
      <c r="C42" s="81" t="s">
        <v>4621</v>
      </c>
      <c r="D42" s="83" t="s">
        <v>4256</v>
      </c>
      <c r="E42" s="81" t="s">
        <v>1012</v>
      </c>
      <c r="F42" s="84">
        <v>190.0</v>
      </c>
      <c r="G42" s="81" t="s">
        <v>224</v>
      </c>
      <c r="H42" s="83" t="s">
        <v>6793</v>
      </c>
      <c r="I42" s="81" t="s">
        <v>6794</v>
      </c>
    </row>
    <row r="43">
      <c r="A43" s="83" t="s">
        <v>6790</v>
      </c>
      <c r="B43" s="83" t="s">
        <v>6791</v>
      </c>
      <c r="C43" s="81" t="s">
        <v>4621</v>
      </c>
      <c r="D43" s="83" t="s">
        <v>4257</v>
      </c>
      <c r="E43" s="81" t="s">
        <v>1025</v>
      </c>
      <c r="F43" s="84">
        <v>192.0</v>
      </c>
      <c r="G43" s="81" t="s">
        <v>224</v>
      </c>
      <c r="H43" s="83" t="s">
        <v>6793</v>
      </c>
      <c r="I43" s="81" t="s">
        <v>6794</v>
      </c>
    </row>
    <row r="44">
      <c r="A44" s="83" t="s">
        <v>6790</v>
      </c>
      <c r="B44" s="83" t="s">
        <v>6791</v>
      </c>
      <c r="C44" s="81" t="s">
        <v>4621</v>
      </c>
      <c r="D44" s="83" t="s">
        <v>4260</v>
      </c>
      <c r="E44" s="81" t="s">
        <v>1028</v>
      </c>
      <c r="F44" s="84">
        <v>193.0</v>
      </c>
      <c r="G44" s="81" t="s">
        <v>224</v>
      </c>
      <c r="H44" s="83" t="s">
        <v>6793</v>
      </c>
      <c r="I44" s="81" t="s">
        <v>6794</v>
      </c>
    </row>
    <row r="45">
      <c r="A45" s="83" t="s">
        <v>6790</v>
      </c>
      <c r="B45" s="83" t="s">
        <v>6791</v>
      </c>
      <c r="C45" s="81" t="s">
        <v>4621</v>
      </c>
      <c r="D45" s="83" t="s">
        <v>4261</v>
      </c>
      <c r="E45" s="81" t="s">
        <v>1032</v>
      </c>
      <c r="F45" s="84">
        <v>194.0</v>
      </c>
      <c r="G45" s="81" t="s">
        <v>224</v>
      </c>
      <c r="H45" s="83" t="s">
        <v>6795</v>
      </c>
      <c r="I45" s="81" t="s">
        <v>6794</v>
      </c>
    </row>
    <row r="46">
      <c r="A46" s="83" t="s">
        <v>6790</v>
      </c>
      <c r="B46" s="83" t="s">
        <v>6791</v>
      </c>
      <c r="C46" s="81" t="s">
        <v>4621</v>
      </c>
      <c r="D46" s="83" t="s">
        <v>4263</v>
      </c>
      <c r="E46" s="81" t="s">
        <v>1036</v>
      </c>
      <c r="F46" s="84">
        <v>195.0</v>
      </c>
      <c r="G46" s="81" t="s">
        <v>224</v>
      </c>
      <c r="H46" s="83" t="s">
        <v>6793</v>
      </c>
      <c r="I46" s="81" t="s">
        <v>6794</v>
      </c>
    </row>
    <row r="47">
      <c r="A47" s="83" t="s">
        <v>6790</v>
      </c>
      <c r="B47" s="83" t="s">
        <v>6791</v>
      </c>
      <c r="C47" s="81" t="s">
        <v>4621</v>
      </c>
      <c r="D47" s="83" t="s">
        <v>4264</v>
      </c>
      <c r="E47" s="81" t="s">
        <v>1037</v>
      </c>
      <c r="F47" s="84">
        <v>196.0</v>
      </c>
      <c r="G47" s="81" t="s">
        <v>224</v>
      </c>
      <c r="H47" s="83" t="s">
        <v>6795</v>
      </c>
      <c r="I47" s="81" t="s">
        <v>6794</v>
      </c>
    </row>
    <row r="48">
      <c r="A48" s="83" t="s">
        <v>6790</v>
      </c>
      <c r="B48" s="83" t="s">
        <v>6791</v>
      </c>
      <c r="C48" s="81" t="s">
        <v>4621</v>
      </c>
      <c r="D48" s="83" t="s">
        <v>4266</v>
      </c>
      <c r="E48" s="81" t="s">
        <v>1041</v>
      </c>
      <c r="F48" s="84">
        <v>197.0</v>
      </c>
      <c r="G48" s="81" t="s">
        <v>224</v>
      </c>
      <c r="H48" s="83" t="s">
        <v>6793</v>
      </c>
      <c r="I48" s="81" t="s">
        <v>6794</v>
      </c>
    </row>
    <row r="49">
      <c r="A49" s="83" t="s">
        <v>6790</v>
      </c>
      <c r="B49" s="83" t="s">
        <v>6791</v>
      </c>
      <c r="C49" s="81" t="s">
        <v>4621</v>
      </c>
      <c r="D49" s="83" t="s">
        <v>4269</v>
      </c>
      <c r="E49" s="81" t="s">
        <v>1060</v>
      </c>
      <c r="F49" s="84">
        <v>202.0</v>
      </c>
      <c r="G49" s="81" t="s">
        <v>224</v>
      </c>
      <c r="H49" s="83" t="s">
        <v>6793</v>
      </c>
      <c r="I49" s="81" t="s">
        <v>6794</v>
      </c>
    </row>
    <row r="50">
      <c r="A50" s="83" t="s">
        <v>6790</v>
      </c>
      <c r="B50" s="83" t="s">
        <v>6791</v>
      </c>
      <c r="C50" s="81" t="s">
        <v>4621</v>
      </c>
      <c r="D50" s="83" t="s">
        <v>4276</v>
      </c>
      <c r="E50" s="81" t="s">
        <v>1090</v>
      </c>
      <c r="F50" s="84">
        <v>212.0</v>
      </c>
      <c r="G50" s="81" t="s">
        <v>224</v>
      </c>
      <c r="H50" s="83" t="s">
        <v>6793</v>
      </c>
      <c r="I50" s="81" t="s">
        <v>6794</v>
      </c>
    </row>
    <row r="51">
      <c r="A51" s="83" t="s">
        <v>6790</v>
      </c>
      <c r="B51" s="83" t="s">
        <v>6791</v>
      </c>
      <c r="C51" s="81" t="s">
        <v>4621</v>
      </c>
      <c r="D51" s="83" t="s">
        <v>4280</v>
      </c>
      <c r="E51" s="81" t="s">
        <v>1110</v>
      </c>
      <c r="F51" s="84">
        <v>218.0</v>
      </c>
      <c r="G51" s="81" t="s">
        <v>224</v>
      </c>
      <c r="H51" s="83" t="s">
        <v>6793</v>
      </c>
      <c r="I51" s="81" t="s">
        <v>6794</v>
      </c>
    </row>
    <row r="52">
      <c r="A52" s="83" t="s">
        <v>6790</v>
      </c>
      <c r="B52" s="83" t="s">
        <v>6791</v>
      </c>
      <c r="C52" s="81" t="s">
        <v>4621</v>
      </c>
      <c r="D52" s="83" t="s">
        <v>4284</v>
      </c>
      <c r="E52" s="81" t="s">
        <v>1130</v>
      </c>
      <c r="F52" s="84">
        <v>224.0</v>
      </c>
      <c r="G52" s="81" t="s">
        <v>224</v>
      </c>
      <c r="H52" s="83" t="s">
        <v>6795</v>
      </c>
      <c r="I52" s="81" t="s">
        <v>6794</v>
      </c>
    </row>
    <row r="53">
      <c r="A53" s="83" t="s">
        <v>6790</v>
      </c>
      <c r="B53" s="83" t="s">
        <v>6791</v>
      </c>
      <c r="C53" s="81" t="s">
        <v>4621</v>
      </c>
      <c r="D53" s="83" t="s">
        <v>4297</v>
      </c>
      <c r="E53" s="81" t="s">
        <v>1201</v>
      </c>
      <c r="F53" s="84">
        <v>236.0</v>
      </c>
      <c r="G53" s="81" t="s">
        <v>224</v>
      </c>
      <c r="H53" s="83" t="s">
        <v>6793</v>
      </c>
      <c r="I53" s="81" t="s">
        <v>6794</v>
      </c>
    </row>
    <row r="54">
      <c r="A54" s="83" t="s">
        <v>6790</v>
      </c>
      <c r="B54" s="83" t="s">
        <v>6791</v>
      </c>
      <c r="C54" s="81" t="s">
        <v>4621</v>
      </c>
      <c r="D54" s="83" t="s">
        <v>4298</v>
      </c>
      <c r="E54" s="81" t="s">
        <v>1210</v>
      </c>
      <c r="F54" s="84">
        <v>238.0</v>
      </c>
      <c r="G54" s="81" t="s">
        <v>224</v>
      </c>
      <c r="H54" s="83" t="s">
        <v>6793</v>
      </c>
      <c r="I54" s="81" t="s">
        <v>6794</v>
      </c>
    </row>
    <row r="55">
      <c r="A55" s="83" t="s">
        <v>6790</v>
      </c>
      <c r="B55" s="83" t="s">
        <v>6791</v>
      </c>
      <c r="C55" s="81" t="s">
        <v>4621</v>
      </c>
      <c r="D55" s="83" t="s">
        <v>4300</v>
      </c>
      <c r="E55" s="81" t="s">
        <v>1211</v>
      </c>
      <c r="F55" s="84">
        <v>239.0</v>
      </c>
      <c r="G55" s="81" t="s">
        <v>224</v>
      </c>
      <c r="H55" s="83" t="s">
        <v>6793</v>
      </c>
      <c r="I55" s="81" t="s">
        <v>6794</v>
      </c>
    </row>
    <row r="56">
      <c r="A56" s="83" t="s">
        <v>6790</v>
      </c>
      <c r="B56" s="83" t="s">
        <v>6791</v>
      </c>
      <c r="C56" s="81" t="s">
        <v>4621</v>
      </c>
      <c r="D56" s="83" t="s">
        <v>4301</v>
      </c>
      <c r="E56" s="81" t="s">
        <v>1221</v>
      </c>
      <c r="F56" s="84">
        <v>241.0</v>
      </c>
      <c r="G56" s="81" t="s">
        <v>224</v>
      </c>
      <c r="H56" s="83" t="s">
        <v>6793</v>
      </c>
      <c r="I56" s="81" t="s">
        <v>6794</v>
      </c>
    </row>
    <row r="57">
      <c r="A57" s="83" t="s">
        <v>6790</v>
      </c>
      <c r="B57" s="83" t="s">
        <v>6791</v>
      </c>
      <c r="C57" s="81" t="s">
        <v>4621</v>
      </c>
      <c r="D57" s="83" t="s">
        <v>4304</v>
      </c>
      <c r="E57" s="81" t="s">
        <v>1232</v>
      </c>
      <c r="F57" s="84">
        <v>244.0</v>
      </c>
      <c r="G57" s="81" t="s">
        <v>224</v>
      </c>
      <c r="H57" s="83" t="s">
        <v>6793</v>
      </c>
      <c r="I57" s="81" t="s">
        <v>6794</v>
      </c>
    </row>
    <row r="58">
      <c r="A58" s="83" t="s">
        <v>6790</v>
      </c>
      <c r="B58" s="83" t="s">
        <v>6791</v>
      </c>
      <c r="C58" s="81" t="s">
        <v>4621</v>
      </c>
      <c r="D58" s="83" t="s">
        <v>4306</v>
      </c>
      <c r="E58" s="81" t="s">
        <v>1237</v>
      </c>
      <c r="F58" s="84">
        <v>246.0</v>
      </c>
      <c r="G58" s="81" t="s">
        <v>224</v>
      </c>
      <c r="H58" s="83" t="s">
        <v>6793</v>
      </c>
      <c r="I58" s="81" t="s">
        <v>6794</v>
      </c>
    </row>
    <row r="59">
      <c r="A59" s="83" t="s">
        <v>6790</v>
      </c>
      <c r="B59" s="83" t="s">
        <v>6791</v>
      </c>
      <c r="C59" s="81" t="s">
        <v>4621</v>
      </c>
      <c r="D59" s="83" t="s">
        <v>4308</v>
      </c>
      <c r="E59" s="81" t="s">
        <v>1247</v>
      </c>
      <c r="F59" s="84">
        <v>247.0</v>
      </c>
      <c r="G59" s="81" t="s">
        <v>224</v>
      </c>
      <c r="H59" s="83" t="s">
        <v>6793</v>
      </c>
      <c r="I59" s="81" t="s">
        <v>6794</v>
      </c>
    </row>
    <row r="60">
      <c r="A60" s="83" t="s">
        <v>6790</v>
      </c>
      <c r="B60" s="83" t="s">
        <v>6791</v>
      </c>
      <c r="C60" s="81" t="s">
        <v>4621</v>
      </c>
      <c r="D60" s="83" t="s">
        <v>4313</v>
      </c>
      <c r="E60" s="81" t="s">
        <v>1286</v>
      </c>
      <c r="F60" s="84">
        <v>253.0</v>
      </c>
      <c r="G60" s="81" t="s">
        <v>224</v>
      </c>
      <c r="H60" s="83" t="s">
        <v>6793</v>
      </c>
      <c r="I60" s="81" t="s">
        <v>6794</v>
      </c>
    </row>
    <row r="61">
      <c r="A61" s="83" t="s">
        <v>6790</v>
      </c>
      <c r="B61" s="83" t="s">
        <v>6791</v>
      </c>
      <c r="C61" s="81" t="s">
        <v>4621</v>
      </c>
      <c r="D61" s="83" t="s">
        <v>4314</v>
      </c>
      <c r="E61" s="81" t="s">
        <v>1289</v>
      </c>
      <c r="F61" s="84">
        <v>254.0</v>
      </c>
      <c r="G61" s="81" t="s">
        <v>224</v>
      </c>
      <c r="H61" s="83" t="s">
        <v>6793</v>
      </c>
      <c r="I61" s="81" t="s">
        <v>6794</v>
      </c>
    </row>
    <row r="62">
      <c r="A62" s="83" t="s">
        <v>6790</v>
      </c>
      <c r="B62" s="83" t="s">
        <v>6791</v>
      </c>
      <c r="C62" s="81" t="s">
        <v>4621</v>
      </c>
      <c r="D62" s="83" t="s">
        <v>4315</v>
      </c>
      <c r="E62" s="81" t="s">
        <v>1297</v>
      </c>
      <c r="F62" s="84">
        <v>255.0</v>
      </c>
      <c r="G62" s="81" t="s">
        <v>224</v>
      </c>
      <c r="H62" s="83" t="s">
        <v>6793</v>
      </c>
      <c r="I62" s="81" t="s">
        <v>6794</v>
      </c>
    </row>
    <row r="63">
      <c r="A63" s="83" t="s">
        <v>6790</v>
      </c>
      <c r="B63" s="83" t="s">
        <v>6791</v>
      </c>
      <c r="C63" s="81" t="s">
        <v>4621</v>
      </c>
      <c r="D63" s="83" t="s">
        <v>4317</v>
      </c>
      <c r="E63" s="81" t="s">
        <v>1325</v>
      </c>
      <c r="F63" s="84">
        <v>257.0</v>
      </c>
      <c r="G63" s="81" t="s">
        <v>224</v>
      </c>
      <c r="H63" s="83" t="s">
        <v>6793</v>
      </c>
      <c r="I63" s="81" t="s">
        <v>6794</v>
      </c>
    </row>
    <row r="64">
      <c r="A64" s="83" t="s">
        <v>6790</v>
      </c>
      <c r="B64" s="83" t="s">
        <v>6791</v>
      </c>
      <c r="C64" s="81" t="s">
        <v>4621</v>
      </c>
      <c r="D64" s="83" t="s">
        <v>4319</v>
      </c>
      <c r="E64" s="81" t="s">
        <v>1350</v>
      </c>
      <c r="F64" s="84">
        <v>259.0</v>
      </c>
      <c r="G64" s="81" t="s">
        <v>224</v>
      </c>
      <c r="H64" s="83" t="s">
        <v>6793</v>
      </c>
      <c r="I64" s="81" t="s">
        <v>6794</v>
      </c>
    </row>
    <row r="65">
      <c r="A65" s="83" t="s">
        <v>6790</v>
      </c>
      <c r="B65" s="83" t="s">
        <v>6791</v>
      </c>
      <c r="C65" s="81" t="s">
        <v>4621</v>
      </c>
      <c r="D65" s="83" t="s">
        <v>4341</v>
      </c>
      <c r="E65" s="81" t="s">
        <v>1423</v>
      </c>
      <c r="F65" s="84">
        <v>276.0</v>
      </c>
      <c r="G65" s="81" t="s">
        <v>224</v>
      </c>
      <c r="H65" s="83" t="s">
        <v>6793</v>
      </c>
      <c r="I65" s="81" t="s">
        <v>6794</v>
      </c>
    </row>
    <row r="66">
      <c r="A66" s="83" t="s">
        <v>6790</v>
      </c>
      <c r="B66" s="83" t="s">
        <v>6791</v>
      </c>
      <c r="C66" s="81" t="s">
        <v>4621</v>
      </c>
      <c r="D66" s="83" t="s">
        <v>4344</v>
      </c>
      <c r="E66" s="81" t="s">
        <v>1438</v>
      </c>
      <c r="F66" s="84">
        <v>278.0</v>
      </c>
      <c r="G66" s="81" t="s">
        <v>224</v>
      </c>
      <c r="H66" s="83" t="s">
        <v>6796</v>
      </c>
      <c r="I66" s="81" t="s">
        <v>6794</v>
      </c>
    </row>
    <row r="67">
      <c r="A67" s="83" t="s">
        <v>6790</v>
      </c>
      <c r="B67" s="83" t="s">
        <v>6791</v>
      </c>
      <c r="C67" s="81" t="s">
        <v>4621</v>
      </c>
      <c r="D67" s="83" t="s">
        <v>4347</v>
      </c>
      <c r="E67" s="81" t="s">
        <v>1453</v>
      </c>
      <c r="F67" s="84">
        <v>280.0</v>
      </c>
      <c r="G67" s="81" t="s">
        <v>224</v>
      </c>
      <c r="H67" s="83" t="s">
        <v>6793</v>
      </c>
      <c r="I67" s="81" t="s">
        <v>6794</v>
      </c>
    </row>
    <row r="68">
      <c r="A68" s="83" t="s">
        <v>6790</v>
      </c>
      <c r="B68" s="83" t="s">
        <v>6791</v>
      </c>
      <c r="C68" s="81" t="s">
        <v>4621</v>
      </c>
      <c r="D68" s="83" t="s">
        <v>4350</v>
      </c>
      <c r="E68" s="81" t="s">
        <v>1467</v>
      </c>
      <c r="F68" s="84">
        <v>282.0</v>
      </c>
      <c r="G68" s="81" t="s">
        <v>224</v>
      </c>
      <c r="H68" s="83" t="s">
        <v>6793</v>
      </c>
      <c r="I68" s="81" t="s">
        <v>6794</v>
      </c>
    </row>
    <row r="69">
      <c r="A69" s="83" t="s">
        <v>6790</v>
      </c>
      <c r="B69" s="83" t="s">
        <v>6791</v>
      </c>
      <c r="C69" s="81" t="s">
        <v>4621</v>
      </c>
      <c r="D69" s="83" t="s">
        <v>4364</v>
      </c>
      <c r="E69" s="81" t="s">
        <v>1551</v>
      </c>
      <c r="F69" s="84">
        <v>300.0</v>
      </c>
      <c r="G69" s="81" t="s">
        <v>224</v>
      </c>
      <c r="H69" s="83" t="s">
        <v>6793</v>
      </c>
      <c r="I69" s="81" t="s">
        <v>6794</v>
      </c>
    </row>
    <row r="70">
      <c r="A70" s="83" t="s">
        <v>6790</v>
      </c>
      <c r="B70" s="83" t="s">
        <v>6791</v>
      </c>
      <c r="C70" s="81" t="s">
        <v>4621</v>
      </c>
      <c r="D70" s="83" t="s">
        <v>4384</v>
      </c>
      <c r="E70" s="81" t="s">
        <v>1646</v>
      </c>
      <c r="F70" s="84">
        <v>324.0</v>
      </c>
      <c r="G70" s="81" t="s">
        <v>224</v>
      </c>
      <c r="H70" s="83" t="s">
        <v>6793</v>
      </c>
      <c r="I70" s="81" t="s">
        <v>6794</v>
      </c>
    </row>
    <row r="71">
      <c r="A71" s="83" t="s">
        <v>6790</v>
      </c>
      <c r="B71" s="83" t="s">
        <v>6791</v>
      </c>
      <c r="C71" s="81" t="s">
        <v>4621</v>
      </c>
      <c r="D71" s="83" t="s">
        <v>4386</v>
      </c>
      <c r="E71" s="81" t="s">
        <v>1653</v>
      </c>
      <c r="F71" s="84">
        <v>327.0</v>
      </c>
      <c r="G71" s="81" t="s">
        <v>224</v>
      </c>
      <c r="H71" s="83" t="s">
        <v>6793</v>
      </c>
      <c r="I71" s="81" t="s">
        <v>6794</v>
      </c>
    </row>
    <row r="72">
      <c r="A72" s="83" t="s">
        <v>6790</v>
      </c>
      <c r="B72" s="83" t="s">
        <v>6791</v>
      </c>
      <c r="C72" s="81" t="s">
        <v>4621</v>
      </c>
      <c r="D72" s="83" t="s">
        <v>4391</v>
      </c>
      <c r="E72" s="81" t="s">
        <v>1682</v>
      </c>
      <c r="F72" s="84">
        <v>334.0</v>
      </c>
      <c r="G72" s="81" t="s">
        <v>224</v>
      </c>
      <c r="H72" s="83" t="s">
        <v>6793</v>
      </c>
      <c r="I72" s="81" t="s">
        <v>6794</v>
      </c>
    </row>
    <row r="73">
      <c r="A73" s="83" t="s">
        <v>6790</v>
      </c>
      <c r="B73" s="83" t="s">
        <v>6791</v>
      </c>
      <c r="C73" s="81" t="s">
        <v>4621</v>
      </c>
      <c r="D73" s="83" t="s">
        <v>4393</v>
      </c>
      <c r="E73" s="81" t="s">
        <v>1690</v>
      </c>
      <c r="F73" s="84">
        <v>335.0</v>
      </c>
      <c r="G73" s="81" t="s">
        <v>224</v>
      </c>
      <c r="H73" s="83" t="s">
        <v>6793</v>
      </c>
      <c r="I73" s="81" t="s">
        <v>6794</v>
      </c>
    </row>
    <row r="74">
      <c r="A74" s="83" t="s">
        <v>6790</v>
      </c>
      <c r="B74" s="83" t="s">
        <v>6791</v>
      </c>
      <c r="C74" s="81" t="s">
        <v>4621</v>
      </c>
      <c r="D74" s="83" t="s">
        <v>4394</v>
      </c>
      <c r="E74" s="81" t="s">
        <v>1698</v>
      </c>
      <c r="F74" s="84">
        <v>336.0</v>
      </c>
      <c r="G74" s="81" t="s">
        <v>224</v>
      </c>
      <c r="H74" s="83" t="s">
        <v>6793</v>
      </c>
      <c r="I74" s="81" t="s">
        <v>6794</v>
      </c>
    </row>
    <row r="75">
      <c r="A75" s="83" t="s">
        <v>6790</v>
      </c>
      <c r="B75" s="83" t="s">
        <v>6791</v>
      </c>
      <c r="C75" s="81" t="s">
        <v>4621</v>
      </c>
      <c r="D75" s="83" t="s">
        <v>4399</v>
      </c>
      <c r="E75" s="81" t="s">
        <v>1723</v>
      </c>
      <c r="F75" s="84">
        <v>341.0</v>
      </c>
      <c r="G75" s="81" t="s">
        <v>224</v>
      </c>
      <c r="H75" s="83" t="s">
        <v>6793</v>
      </c>
      <c r="I75" s="81" t="s">
        <v>6794</v>
      </c>
    </row>
    <row r="76">
      <c r="A76" s="83" t="s">
        <v>6790</v>
      </c>
      <c r="B76" s="83" t="s">
        <v>6791</v>
      </c>
      <c r="C76" s="81" t="s">
        <v>4621</v>
      </c>
      <c r="D76" s="83" t="s">
        <v>4401</v>
      </c>
      <c r="E76" s="81" t="s">
        <v>1736</v>
      </c>
      <c r="F76" s="84">
        <v>343.0</v>
      </c>
      <c r="G76" s="81" t="s">
        <v>224</v>
      </c>
      <c r="H76" s="83" t="s">
        <v>6793</v>
      </c>
      <c r="I76" s="81" t="s">
        <v>6794</v>
      </c>
    </row>
    <row r="77">
      <c r="A77" s="83" t="s">
        <v>6790</v>
      </c>
      <c r="B77" s="83" t="s">
        <v>6791</v>
      </c>
      <c r="C77" s="81" t="s">
        <v>4621</v>
      </c>
      <c r="D77" s="83" t="s">
        <v>4411</v>
      </c>
      <c r="E77" s="81" t="s">
        <v>1789</v>
      </c>
      <c r="F77" s="84">
        <v>356.0</v>
      </c>
      <c r="G77" s="81" t="s">
        <v>224</v>
      </c>
      <c r="H77" s="83" t="s">
        <v>6793</v>
      </c>
      <c r="I77" s="81" t="s">
        <v>6794</v>
      </c>
    </row>
    <row r="78">
      <c r="A78" s="83" t="s">
        <v>6790</v>
      </c>
      <c r="B78" s="83" t="s">
        <v>6791</v>
      </c>
      <c r="C78" s="81" t="s">
        <v>4621</v>
      </c>
      <c r="D78" s="83" t="s">
        <v>4412</v>
      </c>
      <c r="E78" s="81" t="s">
        <v>1790</v>
      </c>
      <c r="F78" s="84">
        <v>357.0</v>
      </c>
      <c r="G78" s="81" t="s">
        <v>224</v>
      </c>
      <c r="H78" s="83" t="s">
        <v>6793</v>
      </c>
      <c r="I78" s="81" t="s">
        <v>6794</v>
      </c>
    </row>
    <row r="79">
      <c r="A79" s="83" t="s">
        <v>6790</v>
      </c>
      <c r="B79" s="83" t="s">
        <v>6791</v>
      </c>
      <c r="C79" s="81" t="s">
        <v>4621</v>
      </c>
      <c r="D79" s="83" t="s">
        <v>4413</v>
      </c>
      <c r="E79" s="81" t="s">
        <v>1808</v>
      </c>
      <c r="F79" s="84">
        <v>359.0</v>
      </c>
      <c r="G79" s="81" t="s">
        <v>224</v>
      </c>
      <c r="H79" s="83" t="s">
        <v>6796</v>
      </c>
      <c r="I79" s="81" t="s">
        <v>6794</v>
      </c>
    </row>
    <row r="80">
      <c r="A80" s="83" t="s">
        <v>6790</v>
      </c>
      <c r="B80" s="83" t="s">
        <v>6791</v>
      </c>
      <c r="C80" s="81" t="s">
        <v>4621</v>
      </c>
      <c r="D80" s="83" t="s">
        <v>4420</v>
      </c>
      <c r="E80" s="81" t="s">
        <v>1844</v>
      </c>
      <c r="F80" s="84">
        <v>366.0</v>
      </c>
      <c r="G80" s="81" t="s">
        <v>224</v>
      </c>
      <c r="H80" s="83" t="s">
        <v>6793</v>
      </c>
      <c r="I80" s="81" t="s">
        <v>6794</v>
      </c>
    </row>
    <row r="81">
      <c r="A81" s="83" t="s">
        <v>6790</v>
      </c>
      <c r="B81" s="83" t="s">
        <v>6791</v>
      </c>
      <c r="C81" s="81" t="s">
        <v>4621</v>
      </c>
      <c r="D81" s="83" t="s">
        <v>4424</v>
      </c>
      <c r="E81" s="81" t="s">
        <v>1861</v>
      </c>
      <c r="F81" s="84">
        <v>370.0</v>
      </c>
      <c r="G81" s="81" t="s">
        <v>224</v>
      </c>
      <c r="H81" s="83" t="s">
        <v>6793</v>
      </c>
      <c r="I81" s="81" t="s">
        <v>6794</v>
      </c>
    </row>
    <row r="82">
      <c r="A82" s="83" t="s">
        <v>6790</v>
      </c>
      <c r="B82" s="83" t="s">
        <v>6791</v>
      </c>
      <c r="C82" s="81" t="s">
        <v>4621</v>
      </c>
      <c r="D82" s="83" t="s">
        <v>4427</v>
      </c>
      <c r="E82" s="81" t="s">
        <v>1874</v>
      </c>
      <c r="F82" s="84">
        <v>373.0</v>
      </c>
      <c r="G82" s="81" t="s">
        <v>224</v>
      </c>
      <c r="H82" s="83" t="s">
        <v>6793</v>
      </c>
      <c r="I82" s="81" t="s">
        <v>6794</v>
      </c>
    </row>
    <row r="83">
      <c r="A83" s="83" t="s">
        <v>6790</v>
      </c>
      <c r="B83" s="83" t="s">
        <v>6791</v>
      </c>
      <c r="C83" s="81" t="s">
        <v>4621</v>
      </c>
      <c r="D83" s="83" t="s">
        <v>4428</v>
      </c>
      <c r="E83" s="81" t="s">
        <v>1886</v>
      </c>
      <c r="F83" s="84">
        <v>374.0</v>
      </c>
      <c r="G83" s="81" t="s">
        <v>224</v>
      </c>
      <c r="H83" s="83" t="s">
        <v>6793</v>
      </c>
      <c r="I83" s="81" t="s">
        <v>6794</v>
      </c>
    </row>
    <row r="84">
      <c r="A84" s="83" t="s">
        <v>6790</v>
      </c>
      <c r="B84" s="83" t="s">
        <v>6791</v>
      </c>
      <c r="C84" s="81" t="s">
        <v>4621</v>
      </c>
      <c r="D84" s="83" t="s">
        <v>4430</v>
      </c>
      <c r="E84" s="81" t="s">
        <v>1911</v>
      </c>
      <c r="F84" s="84">
        <v>376.0</v>
      </c>
      <c r="G84" s="81" t="s">
        <v>224</v>
      </c>
      <c r="H84" s="83" t="s">
        <v>6793</v>
      </c>
      <c r="I84" s="81" t="s">
        <v>6794</v>
      </c>
    </row>
    <row r="85">
      <c r="A85" s="83" t="s">
        <v>6790</v>
      </c>
      <c r="B85" s="83" t="s">
        <v>6791</v>
      </c>
      <c r="C85" s="81" t="s">
        <v>4621</v>
      </c>
      <c r="D85" s="83" t="s">
        <v>4431</v>
      </c>
      <c r="E85" s="81" t="s">
        <v>1934</v>
      </c>
      <c r="F85" s="84">
        <v>378.0</v>
      </c>
      <c r="G85" s="81" t="s">
        <v>224</v>
      </c>
      <c r="H85" s="83" t="s">
        <v>6793</v>
      </c>
      <c r="I85" s="81" t="s">
        <v>6794</v>
      </c>
    </row>
    <row r="86">
      <c r="A86" s="83" t="s">
        <v>6790</v>
      </c>
      <c r="B86" s="83" t="s">
        <v>6791</v>
      </c>
      <c r="C86" s="81" t="s">
        <v>4621</v>
      </c>
      <c r="D86" s="83" t="s">
        <v>4433</v>
      </c>
      <c r="E86" s="81" t="s">
        <v>1963</v>
      </c>
      <c r="F86" s="84">
        <v>382.0</v>
      </c>
      <c r="G86" s="81" t="s">
        <v>224</v>
      </c>
      <c r="H86" s="83" t="s">
        <v>6793</v>
      </c>
      <c r="I86" s="81" t="s">
        <v>6794</v>
      </c>
    </row>
    <row r="87">
      <c r="A87" s="83" t="s">
        <v>6790</v>
      </c>
      <c r="B87" s="83" t="s">
        <v>6791</v>
      </c>
      <c r="C87" s="81" t="s">
        <v>4621</v>
      </c>
      <c r="D87" s="83" t="s">
        <v>4435</v>
      </c>
      <c r="E87" s="81" t="s">
        <v>1987</v>
      </c>
      <c r="F87" s="84">
        <v>386.0</v>
      </c>
      <c r="G87" s="81" t="s">
        <v>224</v>
      </c>
      <c r="H87" s="83" t="s">
        <v>6793</v>
      </c>
      <c r="I87" s="81" t="s">
        <v>6794</v>
      </c>
    </row>
    <row r="88">
      <c r="A88" s="83" t="s">
        <v>6790</v>
      </c>
      <c r="B88" s="83" t="s">
        <v>6791</v>
      </c>
      <c r="C88" s="81" t="s">
        <v>4621</v>
      </c>
      <c r="D88" s="83" t="s">
        <v>4438</v>
      </c>
      <c r="E88" s="81" t="s">
        <v>2002</v>
      </c>
      <c r="F88" s="84">
        <v>390.0</v>
      </c>
      <c r="G88" s="81" t="s">
        <v>224</v>
      </c>
      <c r="H88" s="83" t="s">
        <v>6793</v>
      </c>
      <c r="I88" s="81" t="s">
        <v>6794</v>
      </c>
    </row>
    <row r="89">
      <c r="A89" s="83" t="s">
        <v>6790</v>
      </c>
      <c r="B89" s="83" t="s">
        <v>6791</v>
      </c>
      <c r="C89" s="81" t="s">
        <v>4621</v>
      </c>
      <c r="D89" s="83" t="s">
        <v>4439</v>
      </c>
      <c r="E89" s="81" t="s">
        <v>2021</v>
      </c>
      <c r="F89" s="84">
        <v>392.0</v>
      </c>
      <c r="G89" s="81" t="s">
        <v>224</v>
      </c>
      <c r="H89" s="83" t="s">
        <v>6793</v>
      </c>
      <c r="I89" s="81" t="s">
        <v>6794</v>
      </c>
    </row>
    <row r="90">
      <c r="A90" s="83" t="s">
        <v>6790</v>
      </c>
      <c r="B90" s="83" t="s">
        <v>6791</v>
      </c>
      <c r="C90" s="81" t="s">
        <v>4621</v>
      </c>
      <c r="D90" s="83" t="s">
        <v>4442</v>
      </c>
      <c r="E90" s="81" t="s">
        <v>2022</v>
      </c>
      <c r="F90" s="84">
        <v>393.0</v>
      </c>
      <c r="G90" s="81" t="s">
        <v>224</v>
      </c>
      <c r="H90" s="83" t="s">
        <v>6793</v>
      </c>
      <c r="I90" s="81" t="s">
        <v>6794</v>
      </c>
    </row>
    <row r="91">
      <c r="A91" s="83" t="s">
        <v>6790</v>
      </c>
      <c r="B91" s="83" t="s">
        <v>6791</v>
      </c>
      <c r="C91" s="81" t="s">
        <v>4621</v>
      </c>
      <c r="D91" s="83" t="s">
        <v>4447</v>
      </c>
      <c r="E91" s="81" t="s">
        <v>2058</v>
      </c>
      <c r="F91" s="84">
        <v>397.0</v>
      </c>
      <c r="G91" s="81" t="s">
        <v>224</v>
      </c>
      <c r="H91" s="83" t="s">
        <v>6793</v>
      </c>
      <c r="I91" s="81" t="s">
        <v>6794</v>
      </c>
    </row>
    <row r="92">
      <c r="A92" s="83" t="s">
        <v>6790</v>
      </c>
      <c r="B92" s="83" t="s">
        <v>6791</v>
      </c>
      <c r="C92" s="81" t="s">
        <v>4621</v>
      </c>
      <c r="D92" s="83" t="s">
        <v>4449</v>
      </c>
      <c r="E92" s="81" t="s">
        <v>2059</v>
      </c>
      <c r="F92" s="84">
        <v>398.0</v>
      </c>
      <c r="G92" s="81" t="s">
        <v>224</v>
      </c>
      <c r="H92" s="83" t="s">
        <v>6793</v>
      </c>
      <c r="I92" s="81" t="s">
        <v>6794</v>
      </c>
    </row>
    <row r="93">
      <c r="A93" s="83" t="s">
        <v>6790</v>
      </c>
      <c r="B93" s="83" t="s">
        <v>6791</v>
      </c>
      <c r="C93" s="81" t="s">
        <v>4621</v>
      </c>
      <c r="D93" s="83" t="s">
        <v>4454</v>
      </c>
      <c r="E93" s="81" t="s">
        <v>2099</v>
      </c>
      <c r="F93" s="84">
        <v>403.0</v>
      </c>
      <c r="G93" s="81" t="s">
        <v>224</v>
      </c>
      <c r="H93" s="83" t="s">
        <v>6793</v>
      </c>
      <c r="I93" s="81" t="s">
        <v>6794</v>
      </c>
    </row>
    <row r="94">
      <c r="A94" s="83" t="s">
        <v>6790</v>
      </c>
      <c r="B94" s="83" t="s">
        <v>6791</v>
      </c>
      <c r="C94" s="81" t="s">
        <v>4621</v>
      </c>
      <c r="D94" s="83" t="s">
        <v>4455</v>
      </c>
      <c r="E94" s="81" t="s">
        <v>2102</v>
      </c>
      <c r="F94" s="84">
        <v>404.0</v>
      </c>
      <c r="G94" s="81" t="s">
        <v>224</v>
      </c>
      <c r="H94" s="83" t="s">
        <v>6793</v>
      </c>
      <c r="I94" s="81" t="s">
        <v>6794</v>
      </c>
    </row>
    <row r="95">
      <c r="A95" s="83" t="s">
        <v>6790</v>
      </c>
      <c r="B95" s="83" t="s">
        <v>6791</v>
      </c>
      <c r="C95" s="81" t="s">
        <v>4621</v>
      </c>
      <c r="D95" s="83" t="s">
        <v>4458</v>
      </c>
      <c r="E95" s="81" t="s">
        <v>2124</v>
      </c>
      <c r="F95" s="84">
        <v>407.0</v>
      </c>
      <c r="G95" s="81" t="s">
        <v>224</v>
      </c>
      <c r="H95" s="83" t="s">
        <v>6793</v>
      </c>
      <c r="I95" s="81" t="s">
        <v>6794</v>
      </c>
    </row>
    <row r="96">
      <c r="A96" s="83" t="s">
        <v>6790</v>
      </c>
      <c r="B96" s="83" t="s">
        <v>6791</v>
      </c>
      <c r="C96" s="81" t="s">
        <v>4621</v>
      </c>
      <c r="D96" s="83" t="s">
        <v>4463</v>
      </c>
      <c r="E96" s="81" t="s">
        <v>2160</v>
      </c>
      <c r="F96" s="84">
        <v>414.0</v>
      </c>
      <c r="G96" s="81" t="s">
        <v>224</v>
      </c>
      <c r="H96" s="83" t="s">
        <v>6793</v>
      </c>
      <c r="I96" s="81" t="s">
        <v>6794</v>
      </c>
    </row>
    <row r="97">
      <c r="A97" s="83" t="s">
        <v>6790</v>
      </c>
      <c r="B97" s="83" t="s">
        <v>6791</v>
      </c>
      <c r="C97" s="81" t="s">
        <v>4621</v>
      </c>
      <c r="D97" s="83" t="s">
        <v>4465</v>
      </c>
      <c r="E97" s="81" t="s">
        <v>2161</v>
      </c>
      <c r="F97" s="84">
        <v>415.0</v>
      </c>
      <c r="G97" s="81" t="s">
        <v>224</v>
      </c>
      <c r="H97" s="83" t="s">
        <v>6793</v>
      </c>
      <c r="I97" s="81" t="s">
        <v>6794</v>
      </c>
    </row>
    <row r="98">
      <c r="A98" s="83" t="s">
        <v>6790</v>
      </c>
      <c r="B98" s="83" t="s">
        <v>6791</v>
      </c>
      <c r="C98" s="81" t="s">
        <v>4621</v>
      </c>
      <c r="D98" s="83" t="s">
        <v>4489</v>
      </c>
      <c r="E98" s="81" t="s">
        <v>2282</v>
      </c>
      <c r="F98" s="84">
        <v>438.0</v>
      </c>
      <c r="G98" s="81" t="s">
        <v>224</v>
      </c>
      <c r="H98" s="83" t="s">
        <v>6793</v>
      </c>
      <c r="I98" s="81" t="s">
        <v>6794</v>
      </c>
    </row>
    <row r="99">
      <c r="A99" s="83" t="s">
        <v>6790</v>
      </c>
      <c r="B99" s="83" t="s">
        <v>6791</v>
      </c>
      <c r="C99" s="81" t="s">
        <v>4621</v>
      </c>
      <c r="D99" s="83" t="s">
        <v>4498</v>
      </c>
      <c r="E99" s="81" t="s">
        <v>2324</v>
      </c>
      <c r="F99" s="84">
        <v>449.0</v>
      </c>
      <c r="G99" s="81" t="s">
        <v>224</v>
      </c>
      <c r="H99" s="83" t="s">
        <v>6793</v>
      </c>
      <c r="I99" s="81" t="s">
        <v>6794</v>
      </c>
    </row>
    <row r="100">
      <c r="A100" s="83" t="s">
        <v>6790</v>
      </c>
      <c r="B100" s="83" t="s">
        <v>6791</v>
      </c>
      <c r="C100" s="81" t="s">
        <v>4621</v>
      </c>
      <c r="D100" s="83" t="s">
        <v>4504</v>
      </c>
      <c r="E100" s="81" t="s">
        <v>2335</v>
      </c>
      <c r="F100" s="84">
        <v>453.0</v>
      </c>
      <c r="G100" s="81" t="s">
        <v>224</v>
      </c>
      <c r="H100" s="83" t="s">
        <v>6793</v>
      </c>
      <c r="I100" s="81" t="s">
        <v>6794</v>
      </c>
    </row>
    <row r="101">
      <c r="A101" s="83" t="s">
        <v>6790</v>
      </c>
      <c r="B101" s="83" t="s">
        <v>6791</v>
      </c>
      <c r="C101" s="81" t="s">
        <v>4621</v>
      </c>
      <c r="D101" s="83" t="s">
        <v>4507</v>
      </c>
      <c r="E101" s="81" t="s">
        <v>2349</v>
      </c>
      <c r="F101" s="84">
        <v>456.0</v>
      </c>
      <c r="G101" s="81" t="s">
        <v>224</v>
      </c>
      <c r="H101" s="83" t="s">
        <v>6793</v>
      </c>
      <c r="I101" s="81" t="s">
        <v>6794</v>
      </c>
    </row>
    <row r="102">
      <c r="A102" s="83" t="s">
        <v>6790</v>
      </c>
      <c r="B102" s="83" t="s">
        <v>6791</v>
      </c>
      <c r="C102" s="81" t="s">
        <v>4621</v>
      </c>
      <c r="D102" s="83" t="s">
        <v>4509</v>
      </c>
      <c r="E102" s="81" t="s">
        <v>2355</v>
      </c>
      <c r="F102" s="84">
        <v>458.0</v>
      </c>
      <c r="G102" s="81" t="s">
        <v>224</v>
      </c>
      <c r="H102" s="83" t="s">
        <v>6793</v>
      </c>
      <c r="I102" s="81" t="s">
        <v>6794</v>
      </c>
    </row>
    <row r="103">
      <c r="A103" s="83" t="s">
        <v>6790</v>
      </c>
      <c r="B103" s="83" t="s">
        <v>6791</v>
      </c>
      <c r="C103" s="81" t="s">
        <v>4621</v>
      </c>
      <c r="D103" s="83" t="s">
        <v>4519</v>
      </c>
      <c r="E103" s="81" t="s">
        <v>2402</v>
      </c>
      <c r="F103" s="84">
        <v>468.0</v>
      </c>
      <c r="G103" s="81" t="s">
        <v>224</v>
      </c>
      <c r="H103" s="83" t="s">
        <v>6793</v>
      </c>
      <c r="I103" s="81" t="s">
        <v>6794</v>
      </c>
    </row>
    <row r="104">
      <c r="A104" s="83" t="s">
        <v>6790</v>
      </c>
      <c r="B104" s="83" t="s">
        <v>6791</v>
      </c>
      <c r="C104" s="81" t="s">
        <v>4621</v>
      </c>
      <c r="D104" s="83" t="s">
        <v>4520</v>
      </c>
      <c r="E104" s="81" t="s">
        <v>2414</v>
      </c>
      <c r="F104" s="84">
        <v>470.0</v>
      </c>
      <c r="G104" s="81" t="s">
        <v>224</v>
      </c>
      <c r="H104" s="83" t="s">
        <v>6793</v>
      </c>
      <c r="I104" s="81" t="s">
        <v>6794</v>
      </c>
    </row>
    <row r="105">
      <c r="A105" s="83" t="s">
        <v>6790</v>
      </c>
      <c r="B105" s="83" t="s">
        <v>6791</v>
      </c>
      <c r="C105" s="81" t="s">
        <v>4621</v>
      </c>
      <c r="D105" s="83" t="s">
        <v>4523</v>
      </c>
      <c r="E105" s="81" t="s">
        <v>2416</v>
      </c>
      <c r="F105" s="84">
        <v>471.0</v>
      </c>
      <c r="G105" s="81" t="s">
        <v>224</v>
      </c>
      <c r="H105" s="83" t="s">
        <v>6793</v>
      </c>
      <c r="I105" s="81" t="s">
        <v>6794</v>
      </c>
    </row>
    <row r="106">
      <c r="A106" s="83" t="s">
        <v>6790</v>
      </c>
      <c r="B106" s="83" t="s">
        <v>6791</v>
      </c>
      <c r="C106" s="81" t="s">
        <v>4621</v>
      </c>
      <c r="D106" s="83" t="s">
        <v>4534</v>
      </c>
      <c r="E106" s="81" t="s">
        <v>2516</v>
      </c>
      <c r="F106" s="84">
        <v>481.0</v>
      </c>
      <c r="G106" s="81" t="s">
        <v>224</v>
      </c>
      <c r="H106" s="83" t="s">
        <v>6793</v>
      </c>
      <c r="I106" s="81" t="s">
        <v>6794</v>
      </c>
    </row>
    <row r="107">
      <c r="A107" s="83" t="s">
        <v>6790</v>
      </c>
      <c r="B107" s="83" t="s">
        <v>6791</v>
      </c>
      <c r="C107" s="81" t="s">
        <v>4621</v>
      </c>
      <c r="D107" s="83" t="s">
        <v>4540</v>
      </c>
      <c r="E107" s="81" t="s">
        <v>2562</v>
      </c>
      <c r="F107" s="84">
        <v>488.0</v>
      </c>
      <c r="G107" s="81" t="s">
        <v>224</v>
      </c>
      <c r="H107" s="83" t="s">
        <v>6793</v>
      </c>
      <c r="I107" s="81" t="s">
        <v>6794</v>
      </c>
    </row>
    <row r="108">
      <c r="A108" s="83" t="s">
        <v>6790</v>
      </c>
      <c r="B108" s="83" t="s">
        <v>6791</v>
      </c>
      <c r="C108" s="81" t="s">
        <v>4621</v>
      </c>
      <c r="D108" s="83" t="s">
        <v>4543</v>
      </c>
      <c r="E108" s="81" t="s">
        <v>2563</v>
      </c>
      <c r="F108" s="84">
        <v>489.0</v>
      </c>
      <c r="G108" s="81" t="s">
        <v>224</v>
      </c>
      <c r="H108" s="83" t="s">
        <v>6793</v>
      </c>
      <c r="I108" s="81" t="s">
        <v>6794</v>
      </c>
    </row>
    <row r="109">
      <c r="A109" s="83" t="s">
        <v>6790</v>
      </c>
      <c r="B109" s="83" t="s">
        <v>6791</v>
      </c>
      <c r="C109" s="81" t="s">
        <v>4621</v>
      </c>
      <c r="D109" s="83" t="s">
        <v>4546</v>
      </c>
      <c r="E109" s="81" t="s">
        <v>2574</v>
      </c>
      <c r="F109" s="84">
        <v>492.0</v>
      </c>
      <c r="G109" s="81" t="s">
        <v>224</v>
      </c>
      <c r="H109" s="83" t="s">
        <v>6793</v>
      </c>
      <c r="I109" s="81" t="s">
        <v>6794</v>
      </c>
    </row>
    <row r="110">
      <c r="A110" s="83" t="s">
        <v>6790</v>
      </c>
      <c r="B110" s="83" t="s">
        <v>6791</v>
      </c>
      <c r="C110" s="81" t="s">
        <v>4621</v>
      </c>
      <c r="D110" s="83" t="s">
        <v>4547</v>
      </c>
      <c r="E110" s="81" t="s">
        <v>2577</v>
      </c>
      <c r="F110" s="84">
        <v>493.0</v>
      </c>
      <c r="G110" s="81" t="s">
        <v>224</v>
      </c>
      <c r="H110" s="83" t="s">
        <v>6793</v>
      </c>
      <c r="I110" s="81" t="s">
        <v>6794</v>
      </c>
    </row>
    <row r="111">
      <c r="A111" s="83" t="s">
        <v>6790</v>
      </c>
      <c r="B111" s="83" t="s">
        <v>6791</v>
      </c>
      <c r="C111" s="81" t="s">
        <v>4621</v>
      </c>
      <c r="D111" s="83" t="s">
        <v>4548</v>
      </c>
      <c r="E111" s="81" t="s">
        <v>2585</v>
      </c>
      <c r="F111" s="84">
        <v>494.0</v>
      </c>
      <c r="G111" s="81" t="s">
        <v>224</v>
      </c>
      <c r="H111" s="83" t="s">
        <v>6793</v>
      </c>
      <c r="I111" s="81" t="s">
        <v>6794</v>
      </c>
    </row>
    <row r="112">
      <c r="A112" s="83" t="s">
        <v>6790</v>
      </c>
      <c r="B112" s="83" t="s">
        <v>6791</v>
      </c>
      <c r="C112" s="81" t="s">
        <v>4621</v>
      </c>
      <c r="D112" s="83" t="s">
        <v>4552</v>
      </c>
      <c r="E112" s="81" t="s">
        <v>2596</v>
      </c>
      <c r="F112" s="84">
        <v>498.0</v>
      </c>
      <c r="G112" s="81" t="s">
        <v>224</v>
      </c>
      <c r="H112" s="83" t="s">
        <v>6793</v>
      </c>
      <c r="I112" s="81" t="s">
        <v>6794</v>
      </c>
    </row>
    <row r="113">
      <c r="A113" s="83" t="s">
        <v>6790</v>
      </c>
      <c r="B113" s="83" t="s">
        <v>6791</v>
      </c>
      <c r="C113" s="81" t="s">
        <v>4621</v>
      </c>
      <c r="D113" s="83" t="s">
        <v>4563</v>
      </c>
      <c r="E113" s="81" t="s">
        <v>2651</v>
      </c>
      <c r="F113" s="84">
        <v>509.0</v>
      </c>
      <c r="G113" s="81" t="s">
        <v>224</v>
      </c>
      <c r="H113" s="83" t="s">
        <v>6795</v>
      </c>
      <c r="I113" s="81" t="s">
        <v>6794</v>
      </c>
    </row>
    <row r="114">
      <c r="A114" s="83" t="s">
        <v>6790</v>
      </c>
      <c r="B114" s="83" t="s">
        <v>6791</v>
      </c>
      <c r="C114" s="81" t="s">
        <v>4621</v>
      </c>
      <c r="D114" s="83" t="s">
        <v>4565</v>
      </c>
      <c r="E114" s="81" t="s">
        <v>2661</v>
      </c>
      <c r="F114" s="84">
        <v>511.0</v>
      </c>
      <c r="G114" s="81" t="s">
        <v>224</v>
      </c>
      <c r="H114" s="83" t="s">
        <v>6795</v>
      </c>
      <c r="I114" s="81" t="s">
        <v>6794</v>
      </c>
    </row>
    <row r="115">
      <c r="A115" s="83" t="s">
        <v>6790</v>
      </c>
      <c r="B115" s="83" t="s">
        <v>6791</v>
      </c>
      <c r="C115" s="81" t="s">
        <v>4621</v>
      </c>
      <c r="D115" s="83" t="s">
        <v>4587</v>
      </c>
      <c r="E115" s="81" t="s">
        <v>2778</v>
      </c>
      <c r="F115" s="84">
        <v>538.0</v>
      </c>
      <c r="G115" s="81" t="s">
        <v>224</v>
      </c>
      <c r="H115" s="83" t="s">
        <v>6793</v>
      </c>
      <c r="I115" s="81" t="s">
        <v>6794</v>
      </c>
    </row>
    <row r="116">
      <c r="A116" s="83" t="s">
        <v>6790</v>
      </c>
      <c r="B116" s="83" t="s">
        <v>6791</v>
      </c>
      <c r="C116" s="81" t="s">
        <v>4621</v>
      </c>
      <c r="D116" s="83" t="s">
        <v>4588</v>
      </c>
      <c r="E116" s="81" t="s">
        <v>2779</v>
      </c>
      <c r="F116" s="84">
        <v>539.0</v>
      </c>
      <c r="G116" s="81" t="s">
        <v>224</v>
      </c>
      <c r="H116" s="83" t="s">
        <v>6793</v>
      </c>
      <c r="I116" s="81" t="s">
        <v>6794</v>
      </c>
    </row>
    <row r="117">
      <c r="A117" s="83" t="s">
        <v>6790</v>
      </c>
      <c r="B117" s="83" t="s">
        <v>6791</v>
      </c>
      <c r="C117" s="81" t="s">
        <v>4621</v>
      </c>
      <c r="D117" s="83" t="s">
        <v>4591</v>
      </c>
      <c r="E117" s="81" t="s">
        <v>2795</v>
      </c>
      <c r="F117" s="84">
        <v>542.0</v>
      </c>
      <c r="G117" s="81" t="s">
        <v>224</v>
      </c>
      <c r="H117" s="83" t="s">
        <v>6793</v>
      </c>
      <c r="I117" s="81" t="s">
        <v>6794</v>
      </c>
    </row>
    <row r="118">
      <c r="A118" s="83" t="s">
        <v>6790</v>
      </c>
      <c r="B118" s="83" t="s">
        <v>6791</v>
      </c>
      <c r="C118" s="81" t="s">
        <v>4621</v>
      </c>
      <c r="D118" s="83" t="s">
        <v>4593</v>
      </c>
      <c r="E118" s="81" t="s">
        <v>2805</v>
      </c>
      <c r="F118" s="84">
        <v>543.0</v>
      </c>
      <c r="G118" s="81" t="s">
        <v>224</v>
      </c>
      <c r="H118" s="83" t="s">
        <v>6793</v>
      </c>
      <c r="I118" s="81" t="s">
        <v>6794</v>
      </c>
    </row>
    <row r="119">
      <c r="A119" s="83" t="s">
        <v>6790</v>
      </c>
      <c r="B119" s="83" t="s">
        <v>6791</v>
      </c>
      <c r="C119" s="81" t="s">
        <v>4621</v>
      </c>
      <c r="D119" s="83" t="s">
        <v>4599</v>
      </c>
      <c r="E119" s="81" t="s">
        <v>2869</v>
      </c>
      <c r="F119" s="84">
        <v>551.0</v>
      </c>
      <c r="G119" s="81" t="s">
        <v>224</v>
      </c>
      <c r="H119" s="83" t="s">
        <v>6793</v>
      </c>
      <c r="I119" s="81" t="s">
        <v>6794</v>
      </c>
    </row>
    <row r="120">
      <c r="A120" s="83" t="s">
        <v>6790</v>
      </c>
      <c r="B120" s="83" t="s">
        <v>6791</v>
      </c>
      <c r="C120" s="81" t="s">
        <v>4621</v>
      </c>
      <c r="D120" s="83" t="s">
        <v>4600</v>
      </c>
      <c r="E120" s="81" t="s">
        <v>2870</v>
      </c>
      <c r="F120" s="84">
        <v>552.0</v>
      </c>
      <c r="G120" s="81" t="s">
        <v>224</v>
      </c>
      <c r="H120" s="83" t="s">
        <v>6793</v>
      </c>
      <c r="I120" s="81" t="s">
        <v>6794</v>
      </c>
    </row>
    <row r="121">
      <c r="A121" s="83" t="s">
        <v>6790</v>
      </c>
      <c r="B121" s="83" t="s">
        <v>6791</v>
      </c>
      <c r="C121" s="81" t="s">
        <v>4621</v>
      </c>
      <c r="D121" s="83" t="s">
        <v>4617</v>
      </c>
      <c r="E121" s="81" t="s">
        <v>2933</v>
      </c>
      <c r="F121" s="84">
        <v>566.0</v>
      </c>
      <c r="G121" s="81" t="s">
        <v>224</v>
      </c>
      <c r="H121" s="83" t="s">
        <v>6793</v>
      </c>
      <c r="I121" s="81" t="s">
        <v>6794</v>
      </c>
    </row>
    <row r="122">
      <c r="A122" s="83" t="s">
        <v>6790</v>
      </c>
      <c r="B122" s="83" t="s">
        <v>6791</v>
      </c>
      <c r="C122" s="81" t="s">
        <v>4621</v>
      </c>
      <c r="D122" s="83" t="s">
        <v>4627</v>
      </c>
      <c r="E122" s="81" t="s">
        <v>2962</v>
      </c>
      <c r="F122" s="84">
        <v>570.0</v>
      </c>
      <c r="G122" s="81" t="s">
        <v>224</v>
      </c>
      <c r="H122" s="83" t="s">
        <v>6793</v>
      </c>
      <c r="I122" s="81" t="s">
        <v>6794</v>
      </c>
    </row>
    <row r="123">
      <c r="A123" s="83" t="s">
        <v>6790</v>
      </c>
      <c r="B123" s="83" t="s">
        <v>6791</v>
      </c>
      <c r="C123" s="81" t="s">
        <v>4621</v>
      </c>
      <c r="D123" s="83" t="s">
        <v>4628</v>
      </c>
      <c r="E123" s="81" t="s">
        <v>2978</v>
      </c>
      <c r="F123" s="84">
        <v>572.0</v>
      </c>
      <c r="G123" s="81" t="s">
        <v>224</v>
      </c>
      <c r="H123" s="83" t="s">
        <v>6793</v>
      </c>
      <c r="I123" s="81" t="s">
        <v>6794</v>
      </c>
    </row>
    <row r="124">
      <c r="A124" s="83" t="s">
        <v>6790</v>
      </c>
      <c r="B124" s="83" t="s">
        <v>6791</v>
      </c>
      <c r="C124" s="81" t="s">
        <v>4621</v>
      </c>
      <c r="D124" s="83" t="s">
        <v>4633</v>
      </c>
      <c r="E124" s="81" t="s">
        <v>2996</v>
      </c>
      <c r="F124" s="84">
        <v>576.0</v>
      </c>
      <c r="G124" s="81" t="s">
        <v>224</v>
      </c>
      <c r="H124" s="83" t="s">
        <v>6793</v>
      </c>
      <c r="I124" s="81" t="s">
        <v>6794</v>
      </c>
    </row>
    <row r="125">
      <c r="A125" s="83" t="s">
        <v>6790</v>
      </c>
      <c r="B125" s="83" t="s">
        <v>6791</v>
      </c>
      <c r="C125" s="81" t="s">
        <v>4621</v>
      </c>
      <c r="D125" s="83" t="s">
        <v>4634</v>
      </c>
      <c r="E125" s="81" t="s">
        <v>3009</v>
      </c>
      <c r="F125" s="84">
        <v>578.0</v>
      </c>
      <c r="G125" s="81" t="s">
        <v>224</v>
      </c>
      <c r="H125" s="83" t="s">
        <v>6793</v>
      </c>
      <c r="I125" s="81" t="s">
        <v>6794</v>
      </c>
    </row>
    <row r="126">
      <c r="A126" s="83" t="s">
        <v>6790</v>
      </c>
      <c r="B126" s="83" t="s">
        <v>6791</v>
      </c>
      <c r="C126" s="81" t="s">
        <v>4621</v>
      </c>
      <c r="D126" s="83" t="s">
        <v>4636</v>
      </c>
      <c r="E126" s="81" t="s">
        <v>3010</v>
      </c>
      <c r="F126" s="84">
        <v>579.0</v>
      </c>
      <c r="G126" s="81" t="s">
        <v>224</v>
      </c>
      <c r="H126" s="83" t="s">
        <v>6793</v>
      </c>
      <c r="I126" s="81" t="s">
        <v>6794</v>
      </c>
    </row>
    <row r="127">
      <c r="A127" s="83" t="s">
        <v>6790</v>
      </c>
      <c r="B127" s="83" t="s">
        <v>6791</v>
      </c>
      <c r="C127" s="81" t="s">
        <v>4621</v>
      </c>
      <c r="D127" s="83" t="s">
        <v>4648</v>
      </c>
      <c r="E127" s="81" t="s">
        <v>3090</v>
      </c>
      <c r="F127" s="84">
        <v>593.0</v>
      </c>
      <c r="G127" s="81" t="s">
        <v>224</v>
      </c>
      <c r="H127" s="83" t="s">
        <v>6793</v>
      </c>
      <c r="I127" s="81" t="s">
        <v>6794</v>
      </c>
    </row>
    <row r="128">
      <c r="A128" s="83" t="s">
        <v>6790</v>
      </c>
      <c r="B128" s="83" t="s">
        <v>6791</v>
      </c>
      <c r="C128" s="81" t="s">
        <v>4621</v>
      </c>
      <c r="D128" s="83" t="s">
        <v>4650</v>
      </c>
      <c r="E128" s="81" t="s">
        <v>3091</v>
      </c>
      <c r="F128" s="84">
        <v>594.0</v>
      </c>
      <c r="G128" s="81" t="s">
        <v>224</v>
      </c>
      <c r="H128" s="83" t="s">
        <v>6793</v>
      </c>
      <c r="I128" s="81" t="s">
        <v>6794</v>
      </c>
    </row>
    <row r="129">
      <c r="A129" s="83" t="s">
        <v>6790</v>
      </c>
      <c r="B129" s="83" t="s">
        <v>6791</v>
      </c>
      <c r="C129" s="81" t="s">
        <v>4621</v>
      </c>
      <c r="D129" s="83" t="s">
        <v>4651</v>
      </c>
      <c r="E129" s="81" t="s">
        <v>3094</v>
      </c>
      <c r="F129" s="84">
        <v>595.0</v>
      </c>
      <c r="G129" s="81" t="s">
        <v>224</v>
      </c>
      <c r="H129" s="83" t="s">
        <v>6793</v>
      </c>
      <c r="I129" s="81" t="s">
        <v>6794</v>
      </c>
    </row>
    <row r="130">
      <c r="A130" s="83" t="s">
        <v>6790</v>
      </c>
      <c r="B130" s="83" t="s">
        <v>6791</v>
      </c>
      <c r="C130" s="81" t="s">
        <v>4621</v>
      </c>
      <c r="D130" s="83" t="s">
        <v>4654</v>
      </c>
      <c r="E130" s="81" t="s">
        <v>3107</v>
      </c>
      <c r="F130" s="84">
        <v>596.0</v>
      </c>
      <c r="G130" s="81" t="s">
        <v>224</v>
      </c>
      <c r="H130" s="83" t="s">
        <v>6793</v>
      </c>
      <c r="I130" s="81" t="s">
        <v>6794</v>
      </c>
    </row>
    <row r="131">
      <c r="A131" s="83" t="s">
        <v>6790</v>
      </c>
      <c r="B131" s="83" t="s">
        <v>6791</v>
      </c>
      <c r="C131" s="81" t="s">
        <v>4621</v>
      </c>
      <c r="D131" s="83" t="s">
        <v>4657</v>
      </c>
      <c r="E131" s="81" t="s">
        <v>3118</v>
      </c>
      <c r="F131" s="84">
        <v>597.0</v>
      </c>
      <c r="G131" s="81" t="s">
        <v>224</v>
      </c>
      <c r="H131" s="83" t="s">
        <v>6793</v>
      </c>
      <c r="I131" s="81" t="s">
        <v>6794</v>
      </c>
    </row>
    <row r="132">
      <c r="A132" s="83" t="s">
        <v>6790</v>
      </c>
      <c r="B132" s="83" t="s">
        <v>6791</v>
      </c>
      <c r="C132" s="81" t="s">
        <v>4621</v>
      </c>
      <c r="D132" s="83" t="s">
        <v>4663</v>
      </c>
      <c r="E132" s="81" t="s">
        <v>3138</v>
      </c>
      <c r="F132" s="84">
        <v>599.0</v>
      </c>
      <c r="G132" s="81" t="s">
        <v>224</v>
      </c>
      <c r="H132" s="83" t="s">
        <v>6793</v>
      </c>
      <c r="I132" s="81" t="s">
        <v>6794</v>
      </c>
    </row>
    <row r="133">
      <c r="A133" s="83" t="s">
        <v>6790</v>
      </c>
      <c r="B133" s="83" t="s">
        <v>6791</v>
      </c>
      <c r="C133" s="81" t="s">
        <v>4621</v>
      </c>
      <c r="D133" s="83" t="s">
        <v>4666</v>
      </c>
      <c r="E133" s="81" t="s">
        <v>3148</v>
      </c>
      <c r="F133" s="84">
        <v>600.0</v>
      </c>
      <c r="G133" s="81" t="s">
        <v>224</v>
      </c>
      <c r="H133" s="83" t="s">
        <v>6793</v>
      </c>
      <c r="I133" s="81" t="s">
        <v>6794</v>
      </c>
    </row>
    <row r="134">
      <c r="A134" s="83" t="s">
        <v>6790</v>
      </c>
      <c r="B134" s="83" t="s">
        <v>6791</v>
      </c>
      <c r="C134" s="81" t="s">
        <v>4621</v>
      </c>
      <c r="D134" s="83" t="s">
        <v>4669</v>
      </c>
      <c r="E134" s="81" t="s">
        <v>3160</v>
      </c>
      <c r="F134" s="84">
        <v>601.0</v>
      </c>
      <c r="G134" s="81" t="s">
        <v>224</v>
      </c>
      <c r="H134" s="83" t="s">
        <v>6793</v>
      </c>
      <c r="I134" s="81" t="s">
        <v>6794</v>
      </c>
    </row>
    <row r="135">
      <c r="A135" s="83" t="s">
        <v>6790</v>
      </c>
      <c r="B135" s="83" t="s">
        <v>6791</v>
      </c>
      <c r="C135" s="81" t="s">
        <v>4621</v>
      </c>
      <c r="D135" s="83" t="s">
        <v>4672</v>
      </c>
      <c r="E135" s="81" t="s">
        <v>3182</v>
      </c>
      <c r="F135" s="84">
        <v>603.0</v>
      </c>
      <c r="G135" s="81" t="s">
        <v>224</v>
      </c>
      <c r="H135" s="83" t="s">
        <v>6793</v>
      </c>
      <c r="I135" s="81" t="s">
        <v>6794</v>
      </c>
    </row>
    <row r="136">
      <c r="A136" s="83" t="s">
        <v>6790</v>
      </c>
      <c r="B136" s="83" t="s">
        <v>6791</v>
      </c>
      <c r="C136" s="81" t="s">
        <v>4621</v>
      </c>
      <c r="D136" s="83" t="s">
        <v>4674</v>
      </c>
      <c r="E136" s="81" t="s">
        <v>3183</v>
      </c>
      <c r="F136" s="84">
        <v>604.0</v>
      </c>
      <c r="G136" s="81" t="s">
        <v>224</v>
      </c>
      <c r="H136" s="83" t="s">
        <v>6793</v>
      </c>
      <c r="I136" s="81" t="s">
        <v>6794</v>
      </c>
    </row>
    <row r="137">
      <c r="A137" s="83" t="s">
        <v>6790</v>
      </c>
      <c r="B137" s="83" t="s">
        <v>6791</v>
      </c>
      <c r="C137" s="81" t="s">
        <v>4621</v>
      </c>
      <c r="D137" s="83" t="s">
        <v>4678</v>
      </c>
      <c r="E137" s="81" t="s">
        <v>3209</v>
      </c>
      <c r="F137" s="84">
        <v>608.0</v>
      </c>
      <c r="G137" s="81" t="s">
        <v>224</v>
      </c>
      <c r="H137" s="83" t="s">
        <v>6793</v>
      </c>
      <c r="I137" s="81" t="s">
        <v>6794</v>
      </c>
    </row>
    <row r="138">
      <c r="A138" s="83" t="s">
        <v>6790</v>
      </c>
      <c r="B138" s="83" t="s">
        <v>6791</v>
      </c>
      <c r="C138" s="81" t="s">
        <v>4621</v>
      </c>
      <c r="D138" s="83" t="s">
        <v>4679</v>
      </c>
      <c r="E138" s="81" t="s">
        <v>3219</v>
      </c>
      <c r="F138" s="84">
        <v>610.0</v>
      </c>
      <c r="G138" s="81" t="s">
        <v>224</v>
      </c>
      <c r="H138" s="83" t="s">
        <v>6793</v>
      </c>
      <c r="I138" s="81" t="s">
        <v>6794</v>
      </c>
    </row>
    <row r="139">
      <c r="A139" s="83" t="s">
        <v>6790</v>
      </c>
      <c r="B139" s="83" t="s">
        <v>6791</v>
      </c>
      <c r="C139" s="81" t="s">
        <v>4621</v>
      </c>
      <c r="D139" s="83" t="s">
        <v>4681</v>
      </c>
      <c r="E139" s="81" t="s">
        <v>3223</v>
      </c>
      <c r="F139" s="84">
        <v>612.0</v>
      </c>
      <c r="G139" s="81" t="s">
        <v>224</v>
      </c>
      <c r="H139" s="83" t="s">
        <v>6793</v>
      </c>
      <c r="I139" s="81" t="s">
        <v>6794</v>
      </c>
    </row>
    <row r="140">
      <c r="A140" s="83" t="s">
        <v>6790</v>
      </c>
      <c r="B140" s="83" t="s">
        <v>6791</v>
      </c>
      <c r="C140" s="81" t="s">
        <v>4621</v>
      </c>
      <c r="D140" s="83" t="s">
        <v>4682</v>
      </c>
      <c r="E140" s="81" t="s">
        <v>3226</v>
      </c>
      <c r="F140" s="84">
        <v>613.0</v>
      </c>
      <c r="G140" s="81" t="s">
        <v>224</v>
      </c>
      <c r="H140" s="83" t="s">
        <v>6793</v>
      </c>
      <c r="I140" s="81" t="s">
        <v>6794</v>
      </c>
    </row>
    <row r="141">
      <c r="A141" s="83" t="s">
        <v>6790</v>
      </c>
      <c r="B141" s="83" t="s">
        <v>6791</v>
      </c>
      <c r="C141" s="81" t="s">
        <v>4621</v>
      </c>
      <c r="D141" s="83" t="s">
        <v>4683</v>
      </c>
      <c r="E141" s="81" t="s">
        <v>3235</v>
      </c>
      <c r="F141" s="84">
        <v>615.0</v>
      </c>
      <c r="G141" s="81" t="s">
        <v>224</v>
      </c>
      <c r="H141" s="83" t="s">
        <v>6793</v>
      </c>
      <c r="I141" s="81" t="s">
        <v>6794</v>
      </c>
    </row>
    <row r="142">
      <c r="A142" s="83" t="s">
        <v>6790</v>
      </c>
      <c r="B142" s="83" t="s">
        <v>6791</v>
      </c>
      <c r="C142" s="81" t="s">
        <v>4621</v>
      </c>
      <c r="D142" s="83" t="s">
        <v>4685</v>
      </c>
      <c r="E142" s="81" t="s">
        <v>3247</v>
      </c>
      <c r="F142" s="84">
        <v>618.0</v>
      </c>
      <c r="G142" s="81" t="s">
        <v>224</v>
      </c>
      <c r="H142" s="83" t="s">
        <v>6793</v>
      </c>
      <c r="I142" s="81" t="s">
        <v>6794</v>
      </c>
    </row>
    <row r="143">
      <c r="A143" s="83" t="s">
        <v>6790</v>
      </c>
      <c r="B143" s="83" t="s">
        <v>6791</v>
      </c>
      <c r="C143" s="81" t="s">
        <v>4621</v>
      </c>
      <c r="D143" s="83" t="s">
        <v>4686</v>
      </c>
      <c r="E143" s="81" t="s">
        <v>3248</v>
      </c>
      <c r="F143" s="84">
        <v>619.0</v>
      </c>
      <c r="G143" s="81" t="s">
        <v>224</v>
      </c>
      <c r="H143" s="83" t="s">
        <v>6795</v>
      </c>
      <c r="I143" s="81" t="s">
        <v>6794</v>
      </c>
    </row>
    <row r="144">
      <c r="A144" s="83" t="s">
        <v>6790</v>
      </c>
      <c r="B144" s="83" t="s">
        <v>6791</v>
      </c>
      <c r="C144" s="81" t="s">
        <v>4621</v>
      </c>
      <c r="D144" s="83" t="s">
        <v>4687</v>
      </c>
      <c r="E144" s="81" t="s">
        <v>3251</v>
      </c>
      <c r="F144" s="84">
        <v>620.0</v>
      </c>
      <c r="G144" s="81" t="s">
        <v>224</v>
      </c>
      <c r="H144" s="83" t="s">
        <v>6795</v>
      </c>
      <c r="I144" s="81" t="s">
        <v>6794</v>
      </c>
    </row>
    <row r="145">
      <c r="A145" s="83" t="s">
        <v>6790</v>
      </c>
      <c r="B145" s="83" t="s">
        <v>6791</v>
      </c>
      <c r="C145" s="81" t="s">
        <v>4621</v>
      </c>
      <c r="D145" s="83" t="s">
        <v>4694</v>
      </c>
      <c r="E145" s="81" t="s">
        <v>3295</v>
      </c>
      <c r="F145" s="84">
        <v>629.0</v>
      </c>
      <c r="G145" s="81" t="s">
        <v>224</v>
      </c>
      <c r="H145" s="83" t="s">
        <v>6795</v>
      </c>
      <c r="I145" s="81" t="s">
        <v>6794</v>
      </c>
    </row>
    <row r="146">
      <c r="A146" s="83" t="s">
        <v>6790</v>
      </c>
      <c r="B146" s="83" t="s">
        <v>6791</v>
      </c>
      <c r="C146" s="81" t="s">
        <v>4621</v>
      </c>
      <c r="D146" s="83" t="s">
        <v>4697</v>
      </c>
      <c r="E146" s="81" t="s">
        <v>3311</v>
      </c>
      <c r="F146" s="84">
        <v>632.0</v>
      </c>
      <c r="G146" s="81" t="s">
        <v>224</v>
      </c>
      <c r="H146" s="83" t="s">
        <v>6793</v>
      </c>
      <c r="I146" s="81" t="s">
        <v>6794</v>
      </c>
    </row>
    <row r="147">
      <c r="A147" s="83" t="s">
        <v>6790</v>
      </c>
      <c r="B147" s="83" t="s">
        <v>6791</v>
      </c>
      <c r="C147" s="81" t="s">
        <v>4621</v>
      </c>
      <c r="D147" s="83" t="s">
        <v>4699</v>
      </c>
      <c r="E147" s="81" t="s">
        <v>3328</v>
      </c>
      <c r="F147" s="84">
        <v>635.0</v>
      </c>
      <c r="G147" s="81" t="s">
        <v>224</v>
      </c>
      <c r="H147" s="83" t="s">
        <v>6793</v>
      </c>
      <c r="I147" s="81" t="s">
        <v>6794</v>
      </c>
    </row>
    <row r="148">
      <c r="A148" s="83" t="s">
        <v>6790</v>
      </c>
      <c r="B148" s="83" t="s">
        <v>6791</v>
      </c>
      <c r="C148" s="81" t="s">
        <v>4621</v>
      </c>
      <c r="D148" s="83" t="s">
        <v>4703</v>
      </c>
      <c r="E148" s="81" t="s">
        <v>3353</v>
      </c>
      <c r="F148" s="84">
        <v>638.0</v>
      </c>
      <c r="G148" s="81" t="s">
        <v>224</v>
      </c>
      <c r="H148" s="83" t="s">
        <v>6793</v>
      </c>
      <c r="I148" s="81" t="s">
        <v>6794</v>
      </c>
    </row>
    <row r="149">
      <c r="A149" s="83" t="s">
        <v>6790</v>
      </c>
      <c r="B149" s="83" t="s">
        <v>6791</v>
      </c>
      <c r="C149" s="81" t="s">
        <v>4621</v>
      </c>
      <c r="D149" s="83" t="s">
        <v>4705</v>
      </c>
      <c r="E149" s="81" t="s">
        <v>3354</v>
      </c>
      <c r="F149" s="84">
        <v>639.0</v>
      </c>
      <c r="G149" s="81" t="s">
        <v>224</v>
      </c>
      <c r="H149" s="83" t="s">
        <v>6793</v>
      </c>
      <c r="I149" s="81" t="s">
        <v>6794</v>
      </c>
    </row>
    <row r="150">
      <c r="A150" s="83" t="s">
        <v>6790</v>
      </c>
      <c r="B150" s="83" t="s">
        <v>6791</v>
      </c>
      <c r="C150" s="81" t="s">
        <v>4621</v>
      </c>
      <c r="D150" s="83" t="s">
        <v>4706</v>
      </c>
      <c r="E150" s="81" t="s">
        <v>3359</v>
      </c>
      <c r="F150" s="84">
        <v>640.0</v>
      </c>
      <c r="G150" s="81" t="s">
        <v>224</v>
      </c>
      <c r="H150" s="83" t="s">
        <v>6793</v>
      </c>
      <c r="I150" s="81" t="s">
        <v>6794</v>
      </c>
    </row>
    <row r="151">
      <c r="A151" s="83" t="s">
        <v>6790</v>
      </c>
      <c r="B151" s="83" t="s">
        <v>6791</v>
      </c>
      <c r="C151" s="81" t="s">
        <v>4621</v>
      </c>
      <c r="D151" s="83" t="s">
        <v>4707</v>
      </c>
      <c r="E151" s="81" t="s">
        <v>3369</v>
      </c>
      <c r="F151" s="84">
        <v>642.0</v>
      </c>
      <c r="G151" s="81" t="s">
        <v>224</v>
      </c>
      <c r="H151" s="83" t="s">
        <v>6793</v>
      </c>
      <c r="I151" s="81" t="s">
        <v>6794</v>
      </c>
    </row>
    <row r="152">
      <c r="A152" s="83" t="s">
        <v>6790</v>
      </c>
      <c r="B152" s="83" t="s">
        <v>6791</v>
      </c>
      <c r="C152" s="81" t="s">
        <v>4621</v>
      </c>
      <c r="D152" s="83" t="s">
        <v>4709</v>
      </c>
      <c r="E152" s="81" t="s">
        <v>3370</v>
      </c>
      <c r="F152" s="84">
        <v>643.0</v>
      </c>
      <c r="G152" s="81" t="s">
        <v>224</v>
      </c>
      <c r="H152" s="83" t="s">
        <v>6793</v>
      </c>
      <c r="I152" s="81" t="s">
        <v>6794</v>
      </c>
    </row>
    <row r="153">
      <c r="A153" s="83" t="s">
        <v>6790</v>
      </c>
      <c r="B153" s="83" t="s">
        <v>6791</v>
      </c>
      <c r="C153" s="81" t="s">
        <v>4621</v>
      </c>
      <c r="D153" s="83" t="s">
        <v>4710</v>
      </c>
      <c r="E153" s="81" t="s">
        <v>3372</v>
      </c>
      <c r="F153" s="84">
        <v>644.0</v>
      </c>
      <c r="G153" s="81" t="s">
        <v>224</v>
      </c>
      <c r="H153" s="83" t="s">
        <v>6793</v>
      </c>
      <c r="I153" s="81" t="s">
        <v>6794</v>
      </c>
    </row>
    <row r="154">
      <c r="A154" s="83" t="s">
        <v>6790</v>
      </c>
      <c r="B154" s="83" t="s">
        <v>6791</v>
      </c>
      <c r="C154" s="81" t="s">
        <v>4621</v>
      </c>
      <c r="D154" s="83" t="s">
        <v>4711</v>
      </c>
      <c r="E154" s="81" t="s">
        <v>3389</v>
      </c>
      <c r="F154" s="84">
        <v>646.0</v>
      </c>
      <c r="G154" s="81" t="s">
        <v>224</v>
      </c>
      <c r="H154" s="83" t="s">
        <v>6793</v>
      </c>
      <c r="I154" s="81" t="s">
        <v>6794</v>
      </c>
    </row>
    <row r="155">
      <c r="A155" s="83" t="s">
        <v>6790</v>
      </c>
      <c r="B155" s="83" t="s">
        <v>6791</v>
      </c>
      <c r="C155" s="81" t="s">
        <v>4621</v>
      </c>
      <c r="D155" s="83" t="s">
        <v>4715</v>
      </c>
      <c r="E155" s="81" t="s">
        <v>3402</v>
      </c>
      <c r="F155" s="84">
        <v>648.0</v>
      </c>
      <c r="G155" s="81" t="s">
        <v>224</v>
      </c>
      <c r="H155" s="83" t="s">
        <v>6795</v>
      </c>
      <c r="I155" s="81" t="s">
        <v>6794</v>
      </c>
    </row>
    <row r="156">
      <c r="A156" s="83" t="s">
        <v>6790</v>
      </c>
      <c r="B156" s="83" t="s">
        <v>6791</v>
      </c>
      <c r="C156" s="81" t="s">
        <v>4621</v>
      </c>
      <c r="D156" s="83" t="s">
        <v>4717</v>
      </c>
      <c r="E156" s="81" t="s">
        <v>3414</v>
      </c>
      <c r="F156" s="84">
        <v>649.0</v>
      </c>
      <c r="G156" s="81" t="s">
        <v>224</v>
      </c>
      <c r="H156" s="83" t="s">
        <v>6795</v>
      </c>
      <c r="I156" s="81" t="s">
        <v>6794</v>
      </c>
    </row>
    <row r="157">
      <c r="A157" s="83" t="s">
        <v>6790</v>
      </c>
      <c r="B157" s="83" t="s">
        <v>6791</v>
      </c>
      <c r="C157" s="81" t="s">
        <v>4621</v>
      </c>
      <c r="D157" s="83" t="s">
        <v>4719</v>
      </c>
      <c r="E157" s="81" t="s">
        <v>3427</v>
      </c>
      <c r="F157" s="84">
        <v>650.0</v>
      </c>
      <c r="G157" s="81" t="s">
        <v>224</v>
      </c>
      <c r="H157" s="83" t="s">
        <v>6793</v>
      </c>
      <c r="I157" s="81" t="s">
        <v>6794</v>
      </c>
    </row>
    <row r="158">
      <c r="A158" s="83" t="s">
        <v>6790</v>
      </c>
      <c r="B158" s="83" t="s">
        <v>6791</v>
      </c>
      <c r="C158" s="81" t="s">
        <v>4621</v>
      </c>
      <c r="D158" s="83" t="s">
        <v>4727</v>
      </c>
      <c r="E158" s="81" t="s">
        <v>3496</v>
      </c>
      <c r="F158" s="84">
        <v>658.0</v>
      </c>
      <c r="G158" s="81" t="s">
        <v>224</v>
      </c>
      <c r="H158" s="83" t="s">
        <v>6793</v>
      </c>
      <c r="I158" s="81" t="s">
        <v>6794</v>
      </c>
    </row>
    <row r="159">
      <c r="A159" s="83" t="s">
        <v>6790</v>
      </c>
      <c r="B159" s="83" t="s">
        <v>6791</v>
      </c>
      <c r="C159" s="81" t="s">
        <v>4621</v>
      </c>
      <c r="D159" s="83" t="s">
        <v>4730</v>
      </c>
      <c r="E159" s="81" t="s">
        <v>3500</v>
      </c>
      <c r="F159" s="84">
        <v>660.0</v>
      </c>
      <c r="G159" s="81" t="s">
        <v>224</v>
      </c>
      <c r="H159" s="83" t="s">
        <v>6793</v>
      </c>
      <c r="I159" s="81" t="s">
        <v>6794</v>
      </c>
    </row>
    <row r="160">
      <c r="A160" s="83" t="s">
        <v>6790</v>
      </c>
      <c r="B160" s="83" t="s">
        <v>6791</v>
      </c>
      <c r="C160" s="81" t="s">
        <v>4621</v>
      </c>
      <c r="D160" s="83" t="s">
        <v>4731</v>
      </c>
      <c r="E160" s="81" t="s">
        <v>3510</v>
      </c>
      <c r="F160" s="84">
        <v>661.0</v>
      </c>
      <c r="G160" s="81" t="s">
        <v>224</v>
      </c>
      <c r="H160" s="83" t="s">
        <v>6793</v>
      </c>
      <c r="I160" s="81" t="s">
        <v>6794</v>
      </c>
    </row>
    <row r="161">
      <c r="A161" s="83" t="s">
        <v>6790</v>
      </c>
      <c r="B161" s="83" t="s">
        <v>6791</v>
      </c>
      <c r="C161" s="81" t="s">
        <v>4621</v>
      </c>
      <c r="D161" s="83" t="s">
        <v>4732</v>
      </c>
      <c r="E161" s="81" t="s">
        <v>3523</v>
      </c>
      <c r="F161" s="84">
        <v>663.0</v>
      </c>
      <c r="G161" s="81" t="s">
        <v>224</v>
      </c>
      <c r="H161" s="83" t="s">
        <v>6793</v>
      </c>
      <c r="I161" s="81" t="s">
        <v>6794</v>
      </c>
    </row>
    <row r="162">
      <c r="A162" s="83" t="s">
        <v>6790</v>
      </c>
      <c r="B162" s="83" t="s">
        <v>6791</v>
      </c>
      <c r="C162" s="81" t="s">
        <v>4621</v>
      </c>
      <c r="D162" s="83" t="s">
        <v>4735</v>
      </c>
      <c r="E162" s="81" t="s">
        <v>3539</v>
      </c>
      <c r="F162" s="84">
        <v>666.0</v>
      </c>
      <c r="G162" s="81" t="s">
        <v>224</v>
      </c>
      <c r="H162" s="83" t="s">
        <v>6793</v>
      </c>
      <c r="I162" s="81" t="s">
        <v>6794</v>
      </c>
    </row>
    <row r="163">
      <c r="A163" s="83" t="s">
        <v>6790</v>
      </c>
      <c r="B163" s="83" t="s">
        <v>6791</v>
      </c>
      <c r="C163" s="81" t="s">
        <v>4621</v>
      </c>
      <c r="D163" s="83" t="s">
        <v>4737</v>
      </c>
      <c r="E163" s="81" t="s">
        <v>3540</v>
      </c>
      <c r="F163" s="84">
        <v>667.0</v>
      </c>
      <c r="G163" s="81" t="s">
        <v>224</v>
      </c>
      <c r="H163" s="83" t="s">
        <v>6793</v>
      </c>
      <c r="I163" s="81" t="s">
        <v>6794</v>
      </c>
    </row>
    <row r="164">
      <c r="A164" s="83" t="s">
        <v>6790</v>
      </c>
      <c r="B164" s="83" t="s">
        <v>6791</v>
      </c>
      <c r="C164" s="81" t="s">
        <v>4621</v>
      </c>
      <c r="D164" s="83" t="s">
        <v>4738</v>
      </c>
      <c r="E164" s="81" t="s">
        <v>3553</v>
      </c>
      <c r="F164" s="84">
        <v>669.0</v>
      </c>
      <c r="G164" s="81" t="s">
        <v>224</v>
      </c>
      <c r="H164" s="83" t="s">
        <v>6793</v>
      </c>
      <c r="I164" s="81" t="s">
        <v>6794</v>
      </c>
    </row>
    <row r="165">
      <c r="A165" s="83" t="s">
        <v>6790</v>
      </c>
      <c r="B165" s="83" t="s">
        <v>6791</v>
      </c>
      <c r="C165" s="81" t="s">
        <v>4621</v>
      </c>
      <c r="D165" s="83" t="s">
        <v>4740</v>
      </c>
      <c r="E165" s="81" t="s">
        <v>3555</v>
      </c>
      <c r="F165" s="84">
        <v>670.0</v>
      </c>
      <c r="G165" s="81" t="s">
        <v>224</v>
      </c>
      <c r="H165" s="83" t="s">
        <v>6793</v>
      </c>
      <c r="I165" s="81" t="s">
        <v>6794</v>
      </c>
    </row>
    <row r="166">
      <c r="A166" s="83" t="s">
        <v>6790</v>
      </c>
      <c r="B166" s="83" t="s">
        <v>6791</v>
      </c>
      <c r="C166" s="81" t="s">
        <v>4621</v>
      </c>
      <c r="D166" s="83" t="s">
        <v>4741</v>
      </c>
      <c r="E166" s="81" t="s">
        <v>3567</v>
      </c>
      <c r="F166" s="84">
        <v>672.0</v>
      </c>
      <c r="G166" s="81" t="s">
        <v>224</v>
      </c>
      <c r="H166" s="83" t="s">
        <v>6795</v>
      </c>
      <c r="I166" s="81" t="s">
        <v>6794</v>
      </c>
    </row>
    <row r="167">
      <c r="A167" s="83" t="s">
        <v>6790</v>
      </c>
      <c r="B167" s="83" t="s">
        <v>6791</v>
      </c>
      <c r="C167" s="81" t="s">
        <v>4621</v>
      </c>
      <c r="D167" s="83" t="s">
        <v>4744</v>
      </c>
      <c r="E167" s="81" t="s">
        <v>3580</v>
      </c>
      <c r="F167" s="84">
        <v>675.0</v>
      </c>
      <c r="G167" s="81" t="s">
        <v>224</v>
      </c>
      <c r="H167" s="83" t="s">
        <v>6793</v>
      </c>
      <c r="I167" s="81" t="s">
        <v>6794</v>
      </c>
    </row>
    <row r="168">
      <c r="A168" s="83" t="s">
        <v>6790</v>
      </c>
      <c r="B168" s="83" t="s">
        <v>6791</v>
      </c>
      <c r="C168" s="81" t="s">
        <v>4621</v>
      </c>
      <c r="D168" s="83" t="s">
        <v>4748</v>
      </c>
      <c r="E168" s="81" t="s">
        <v>3584</v>
      </c>
      <c r="F168" s="84">
        <v>677.0</v>
      </c>
      <c r="G168" s="81" t="s">
        <v>224</v>
      </c>
      <c r="H168" s="83" t="s">
        <v>6793</v>
      </c>
      <c r="I168" s="81" t="s">
        <v>6794</v>
      </c>
    </row>
    <row r="169">
      <c r="A169" s="83" t="s">
        <v>6790</v>
      </c>
      <c r="B169" s="83" t="s">
        <v>6791</v>
      </c>
      <c r="C169" s="81" t="s">
        <v>4621</v>
      </c>
      <c r="D169" s="83" t="s">
        <v>4749</v>
      </c>
      <c r="E169" s="81" t="s">
        <v>3596</v>
      </c>
      <c r="F169" s="84">
        <v>679.0</v>
      </c>
      <c r="G169" s="81" t="s">
        <v>224</v>
      </c>
      <c r="H169" s="83" t="s">
        <v>6793</v>
      </c>
      <c r="I169" s="81" t="s">
        <v>6794</v>
      </c>
    </row>
    <row r="170">
      <c r="A170" s="83" t="s">
        <v>6790</v>
      </c>
      <c r="B170" s="83" t="s">
        <v>6791</v>
      </c>
      <c r="C170" s="81" t="s">
        <v>4621</v>
      </c>
      <c r="D170" s="83" t="s">
        <v>4750</v>
      </c>
      <c r="E170" s="81" t="s">
        <v>3597</v>
      </c>
      <c r="F170" s="84">
        <v>680.0</v>
      </c>
      <c r="G170" s="81" t="s">
        <v>224</v>
      </c>
      <c r="H170" s="83" t="s">
        <v>6793</v>
      </c>
      <c r="I170" s="81" t="s">
        <v>6794</v>
      </c>
    </row>
    <row r="171">
      <c r="A171" s="83" t="s">
        <v>6790</v>
      </c>
      <c r="B171" s="83" t="s">
        <v>6791</v>
      </c>
      <c r="C171" s="81" t="s">
        <v>4621</v>
      </c>
      <c r="D171" s="83" t="s">
        <v>4751</v>
      </c>
      <c r="E171" s="81" t="s">
        <v>3600</v>
      </c>
      <c r="F171" s="84">
        <v>681.0</v>
      </c>
      <c r="G171" s="81" t="s">
        <v>224</v>
      </c>
      <c r="H171" s="83" t="s">
        <v>6793</v>
      </c>
      <c r="I171" s="81" t="s">
        <v>6794</v>
      </c>
    </row>
    <row r="172">
      <c r="A172" s="83" t="s">
        <v>6790</v>
      </c>
      <c r="B172" s="83" t="s">
        <v>6791</v>
      </c>
      <c r="C172" s="81" t="s">
        <v>4621</v>
      </c>
      <c r="D172" s="83" t="s">
        <v>4752</v>
      </c>
      <c r="E172" s="81" t="s">
        <v>3605</v>
      </c>
      <c r="F172" s="84">
        <v>682.0</v>
      </c>
      <c r="G172" s="81" t="s">
        <v>224</v>
      </c>
      <c r="H172" s="83" t="s">
        <v>6793</v>
      </c>
      <c r="I172" s="81" t="s">
        <v>6794</v>
      </c>
    </row>
    <row r="173">
      <c r="A173" s="83" t="s">
        <v>6790</v>
      </c>
      <c r="B173" s="83" t="s">
        <v>6791</v>
      </c>
      <c r="C173" s="81" t="s">
        <v>4621</v>
      </c>
      <c r="D173" s="83" t="s">
        <v>4753</v>
      </c>
      <c r="E173" s="81" t="s">
        <v>3608</v>
      </c>
      <c r="F173" s="84">
        <v>683.0</v>
      </c>
      <c r="G173" s="81" t="s">
        <v>224</v>
      </c>
      <c r="H173" s="83" t="s">
        <v>6793</v>
      </c>
      <c r="I173" s="81" t="s">
        <v>6794</v>
      </c>
    </row>
    <row r="174">
      <c r="A174" s="83" t="s">
        <v>6790</v>
      </c>
      <c r="B174" s="83" t="s">
        <v>6791</v>
      </c>
      <c r="C174" s="81" t="s">
        <v>4621</v>
      </c>
      <c r="D174" s="83" t="s">
        <v>4783</v>
      </c>
      <c r="E174" s="81" t="s">
        <v>3777</v>
      </c>
      <c r="F174" s="84">
        <v>721.0</v>
      </c>
      <c r="G174" s="81" t="s">
        <v>224</v>
      </c>
      <c r="H174" s="83" t="s">
        <v>6793</v>
      </c>
      <c r="I174" s="81" t="s">
        <v>6794</v>
      </c>
    </row>
    <row r="175">
      <c r="A175" s="83" t="s">
        <v>6790</v>
      </c>
      <c r="B175" s="83" t="s">
        <v>6791</v>
      </c>
      <c r="C175" s="81" t="s">
        <v>4621</v>
      </c>
      <c r="D175" s="83" t="s">
        <v>4786</v>
      </c>
      <c r="E175" s="81" t="s">
        <v>3781</v>
      </c>
      <c r="F175" s="84">
        <v>723.0</v>
      </c>
      <c r="G175" s="81" t="s">
        <v>224</v>
      </c>
      <c r="H175" s="83" t="s">
        <v>6793</v>
      </c>
      <c r="I175" s="81" t="s">
        <v>6794</v>
      </c>
    </row>
    <row r="176">
      <c r="A176" s="83" t="s">
        <v>6790</v>
      </c>
      <c r="B176" s="83" t="s">
        <v>6791</v>
      </c>
      <c r="C176" s="81" t="s">
        <v>4621</v>
      </c>
      <c r="D176" s="83" t="s">
        <v>4788</v>
      </c>
      <c r="E176" s="81" t="s">
        <v>3794</v>
      </c>
      <c r="F176" s="84">
        <v>725.0</v>
      </c>
      <c r="G176" s="81" t="s">
        <v>224</v>
      </c>
      <c r="H176" s="83" t="s">
        <v>6793</v>
      </c>
      <c r="I176" s="81" t="s">
        <v>6794</v>
      </c>
    </row>
    <row r="177">
      <c r="A177" s="83" t="s">
        <v>6790</v>
      </c>
      <c r="B177" s="83" t="s">
        <v>6791</v>
      </c>
      <c r="C177" s="81" t="s">
        <v>4621</v>
      </c>
      <c r="D177" s="83" t="s">
        <v>4793</v>
      </c>
      <c r="E177" s="81" t="s">
        <v>3821</v>
      </c>
      <c r="F177" s="84">
        <v>729.0</v>
      </c>
      <c r="G177" s="81" t="s">
        <v>224</v>
      </c>
      <c r="H177" s="83" t="s">
        <v>6793</v>
      </c>
      <c r="I177" s="81" t="s">
        <v>6794</v>
      </c>
    </row>
    <row r="178">
      <c r="A178" s="83" t="s">
        <v>6790</v>
      </c>
      <c r="B178" s="83" t="s">
        <v>6791</v>
      </c>
      <c r="C178" s="81" t="s">
        <v>4621</v>
      </c>
      <c r="D178" s="83" t="s">
        <v>4794</v>
      </c>
      <c r="E178" s="81" t="s">
        <v>3829</v>
      </c>
      <c r="F178" s="84">
        <v>731.0</v>
      </c>
      <c r="G178" s="81" t="s">
        <v>224</v>
      </c>
      <c r="H178" s="83" t="s">
        <v>6793</v>
      </c>
      <c r="I178" s="81" t="s">
        <v>6794</v>
      </c>
    </row>
    <row r="179">
      <c r="A179" s="83" t="s">
        <v>6790</v>
      </c>
      <c r="B179" s="83" t="s">
        <v>6791</v>
      </c>
      <c r="C179" s="81" t="s">
        <v>4621</v>
      </c>
      <c r="D179" s="83" t="s">
        <v>4795</v>
      </c>
      <c r="E179" s="81" t="s">
        <v>3831</v>
      </c>
      <c r="F179" s="84">
        <v>732.0</v>
      </c>
      <c r="G179" s="81" t="s">
        <v>224</v>
      </c>
      <c r="H179" s="83" t="s">
        <v>6793</v>
      </c>
      <c r="I179" s="81" t="s">
        <v>6794</v>
      </c>
    </row>
    <row r="180">
      <c r="A180" s="83" t="s">
        <v>6790</v>
      </c>
      <c r="B180" s="83" t="s">
        <v>6791</v>
      </c>
      <c r="C180" s="81" t="s">
        <v>4621</v>
      </c>
      <c r="D180" s="83" t="s">
        <v>4796</v>
      </c>
      <c r="E180" s="81" t="s">
        <v>3838</v>
      </c>
      <c r="F180" s="84">
        <v>734.0</v>
      </c>
      <c r="G180" s="81" t="s">
        <v>224</v>
      </c>
      <c r="H180" s="83" t="s">
        <v>6793</v>
      </c>
      <c r="I180" s="81" t="s">
        <v>6794</v>
      </c>
    </row>
    <row r="181">
      <c r="A181" s="83" t="s">
        <v>6790</v>
      </c>
      <c r="B181" s="83" t="s">
        <v>6791</v>
      </c>
      <c r="C181" s="81" t="s">
        <v>4621</v>
      </c>
      <c r="D181" s="83" t="s">
        <v>4797</v>
      </c>
      <c r="E181" s="81" t="s">
        <v>3839</v>
      </c>
      <c r="F181" s="84">
        <v>735.0</v>
      </c>
      <c r="G181" s="81" t="s">
        <v>224</v>
      </c>
      <c r="H181" s="83" t="s">
        <v>6793</v>
      </c>
      <c r="I181" s="81" t="s">
        <v>6794</v>
      </c>
    </row>
    <row r="182">
      <c r="A182" s="83" t="s">
        <v>6790</v>
      </c>
      <c r="B182" s="83" t="s">
        <v>6791</v>
      </c>
      <c r="C182" s="81" t="s">
        <v>4621</v>
      </c>
      <c r="D182" s="83" t="s">
        <v>4798</v>
      </c>
      <c r="E182" s="81" t="s">
        <v>3842</v>
      </c>
      <c r="F182" s="84">
        <v>736.0</v>
      </c>
      <c r="G182" s="81" t="s">
        <v>224</v>
      </c>
      <c r="H182" s="83" t="s">
        <v>6793</v>
      </c>
      <c r="I182" s="81" t="s">
        <v>6794</v>
      </c>
    </row>
    <row r="183">
      <c r="A183" s="83" t="s">
        <v>6790</v>
      </c>
      <c r="B183" s="83" t="s">
        <v>6791</v>
      </c>
      <c r="C183" s="81" t="s">
        <v>4621</v>
      </c>
      <c r="D183" s="83" t="s">
        <v>4799</v>
      </c>
      <c r="E183" s="81" t="s">
        <v>3845</v>
      </c>
      <c r="F183" s="84">
        <v>737.0</v>
      </c>
      <c r="G183" s="81" t="s">
        <v>224</v>
      </c>
      <c r="H183" s="83" t="s">
        <v>6793</v>
      </c>
      <c r="I183" s="81" t="s">
        <v>6794</v>
      </c>
    </row>
    <row r="184">
      <c r="A184" s="83" t="s">
        <v>6790</v>
      </c>
      <c r="B184" s="83" t="s">
        <v>6791</v>
      </c>
      <c r="C184" s="81" t="s">
        <v>4621</v>
      </c>
      <c r="D184" s="83" t="s">
        <v>4800</v>
      </c>
      <c r="E184" s="81" t="s">
        <v>3851</v>
      </c>
      <c r="F184" s="84">
        <v>739.0</v>
      </c>
      <c r="G184" s="81" t="s">
        <v>224</v>
      </c>
      <c r="H184" s="83" t="s">
        <v>6793</v>
      </c>
      <c r="I184" s="81" t="s">
        <v>6794</v>
      </c>
    </row>
    <row r="185">
      <c r="A185" s="83" t="s">
        <v>6790</v>
      </c>
      <c r="B185" s="83" t="s">
        <v>6791</v>
      </c>
      <c r="C185" s="81" t="s">
        <v>4621</v>
      </c>
      <c r="D185" s="83" t="s">
        <v>4802</v>
      </c>
      <c r="E185" s="81" t="s">
        <v>3852</v>
      </c>
      <c r="F185" s="84">
        <v>740.0</v>
      </c>
      <c r="G185" s="81" t="s">
        <v>224</v>
      </c>
      <c r="H185" s="83" t="s">
        <v>6793</v>
      </c>
      <c r="I185" s="81" t="s">
        <v>6794</v>
      </c>
    </row>
    <row r="186">
      <c r="A186" s="83" t="s">
        <v>6790</v>
      </c>
      <c r="B186" s="83" t="s">
        <v>6791</v>
      </c>
      <c r="C186" s="81" t="s">
        <v>4621</v>
      </c>
      <c r="D186" s="83" t="s">
        <v>4803</v>
      </c>
      <c r="E186" s="81" t="s">
        <v>3854</v>
      </c>
      <c r="F186" s="84">
        <v>741.0</v>
      </c>
      <c r="G186" s="81" t="s">
        <v>224</v>
      </c>
      <c r="H186" s="83" t="s">
        <v>6796</v>
      </c>
      <c r="I186" s="81" t="s">
        <v>6794</v>
      </c>
    </row>
    <row r="187">
      <c r="A187" s="83" t="s">
        <v>6790</v>
      </c>
      <c r="B187" s="83" t="s">
        <v>6791</v>
      </c>
      <c r="C187" s="81" t="s">
        <v>4621</v>
      </c>
      <c r="D187" s="83" t="s">
        <v>4806</v>
      </c>
      <c r="E187" s="81" t="s">
        <v>3861</v>
      </c>
      <c r="F187" s="84">
        <v>746.0</v>
      </c>
      <c r="G187" s="81" t="s">
        <v>224</v>
      </c>
      <c r="H187" s="83" t="s">
        <v>6795</v>
      </c>
      <c r="I187" s="81" t="s">
        <v>6794</v>
      </c>
    </row>
    <row r="188">
      <c r="A188" s="83" t="s">
        <v>6790</v>
      </c>
      <c r="B188" s="83" t="s">
        <v>6791</v>
      </c>
      <c r="C188" s="81" t="s">
        <v>4621</v>
      </c>
      <c r="D188" s="83" t="s">
        <v>4814</v>
      </c>
      <c r="E188" s="81" t="s">
        <v>3879</v>
      </c>
      <c r="F188" s="84">
        <v>754.0</v>
      </c>
      <c r="G188" s="81" t="s">
        <v>224</v>
      </c>
      <c r="H188" s="83" t="s">
        <v>6793</v>
      </c>
      <c r="I188" s="81" t="s">
        <v>6794</v>
      </c>
    </row>
    <row r="189">
      <c r="A189" s="83" t="s">
        <v>6790</v>
      </c>
      <c r="B189" s="83" t="s">
        <v>6791</v>
      </c>
      <c r="C189" s="81" t="s">
        <v>4621</v>
      </c>
      <c r="D189" s="83" t="s">
        <v>4816</v>
      </c>
      <c r="E189" s="81" t="s">
        <v>3895</v>
      </c>
      <c r="F189" s="84">
        <v>757.0</v>
      </c>
      <c r="G189" s="81" t="s">
        <v>224</v>
      </c>
      <c r="H189" s="83" t="s">
        <v>6793</v>
      </c>
      <c r="I189" s="81" t="s">
        <v>6794</v>
      </c>
    </row>
    <row r="190">
      <c r="A190" s="83" t="s">
        <v>6790</v>
      </c>
      <c r="B190" s="83" t="s">
        <v>6791</v>
      </c>
      <c r="C190" s="81" t="s">
        <v>4621</v>
      </c>
      <c r="D190" s="83" t="s">
        <v>4818</v>
      </c>
      <c r="E190" s="81" t="s">
        <v>3896</v>
      </c>
      <c r="F190" s="84">
        <v>758.0</v>
      </c>
      <c r="G190" s="81" t="s">
        <v>224</v>
      </c>
      <c r="H190" s="83" t="s">
        <v>6793</v>
      </c>
      <c r="I190" s="81" t="s">
        <v>6794</v>
      </c>
    </row>
    <row r="191">
      <c r="A191" s="83" t="s">
        <v>6790</v>
      </c>
      <c r="B191" s="83" t="s">
        <v>6791</v>
      </c>
      <c r="C191" s="81" t="s">
        <v>4621</v>
      </c>
      <c r="D191" s="83" t="s">
        <v>4834</v>
      </c>
      <c r="E191" s="81" t="s">
        <v>3959</v>
      </c>
      <c r="F191" s="84">
        <v>778.0</v>
      </c>
      <c r="G191" s="81" t="s">
        <v>224</v>
      </c>
      <c r="H191" s="83" t="s">
        <v>6796</v>
      </c>
      <c r="I191" s="81" t="s">
        <v>6794</v>
      </c>
    </row>
    <row r="192">
      <c r="A192" s="83" t="s">
        <v>6790</v>
      </c>
      <c r="B192" s="83" t="s">
        <v>6791</v>
      </c>
      <c r="C192" s="81" t="s">
        <v>4621</v>
      </c>
      <c r="D192" s="83" t="s">
        <v>4835</v>
      </c>
      <c r="E192" s="81" t="s">
        <v>3962</v>
      </c>
      <c r="F192" s="84">
        <v>779.0</v>
      </c>
      <c r="G192" s="81" t="s">
        <v>224</v>
      </c>
      <c r="H192" s="83" t="s">
        <v>6796</v>
      </c>
      <c r="I192" s="81" t="s">
        <v>6794</v>
      </c>
    </row>
    <row r="193">
      <c r="A193" s="83" t="s">
        <v>6790</v>
      </c>
      <c r="B193" s="83" t="s">
        <v>6791</v>
      </c>
      <c r="C193" s="81" t="s">
        <v>4621</v>
      </c>
      <c r="D193" s="83" t="s">
        <v>4836</v>
      </c>
      <c r="E193" s="81" t="s">
        <v>3965</v>
      </c>
      <c r="F193" s="84">
        <v>780.0</v>
      </c>
      <c r="G193" s="81" t="s">
        <v>224</v>
      </c>
      <c r="H193" s="83" t="s">
        <v>6796</v>
      </c>
      <c r="I193" s="81" t="s">
        <v>6794</v>
      </c>
    </row>
    <row r="194">
      <c r="A194" s="83" t="s">
        <v>6790</v>
      </c>
      <c r="B194" s="83" t="s">
        <v>6791</v>
      </c>
      <c r="C194" s="81" t="s">
        <v>4621</v>
      </c>
      <c r="D194" s="83" t="s">
        <v>4837</v>
      </c>
      <c r="E194" s="81" t="s">
        <v>3968</v>
      </c>
      <c r="F194" s="84">
        <v>781.0</v>
      </c>
      <c r="G194" s="81" t="s">
        <v>224</v>
      </c>
      <c r="H194" s="83" t="s">
        <v>6796</v>
      </c>
      <c r="I194" s="81" t="s">
        <v>6794</v>
      </c>
    </row>
    <row r="195">
      <c r="A195" s="83" t="s">
        <v>6790</v>
      </c>
      <c r="B195" s="83" t="s">
        <v>6791</v>
      </c>
      <c r="C195" s="81" t="s">
        <v>4621</v>
      </c>
      <c r="D195" s="83" t="s">
        <v>4840</v>
      </c>
      <c r="E195" s="81" t="s">
        <v>3985</v>
      </c>
      <c r="F195" s="84">
        <v>785.0</v>
      </c>
      <c r="G195" s="81" t="s">
        <v>224</v>
      </c>
      <c r="H195" s="83" t="s">
        <v>6796</v>
      </c>
      <c r="I195" s="81" t="s">
        <v>6794</v>
      </c>
    </row>
    <row r="196">
      <c r="A196" s="83" t="s">
        <v>6790</v>
      </c>
      <c r="B196" s="83" t="s">
        <v>6791</v>
      </c>
      <c r="C196" s="81" t="s">
        <v>4621</v>
      </c>
      <c r="D196" s="83" t="s">
        <v>4841</v>
      </c>
      <c r="E196" s="81" t="s">
        <v>3988</v>
      </c>
      <c r="F196" s="84">
        <v>786.0</v>
      </c>
      <c r="G196" s="81" t="s">
        <v>224</v>
      </c>
      <c r="H196" s="83" t="s">
        <v>6796</v>
      </c>
      <c r="I196" s="81" t="s">
        <v>6794</v>
      </c>
    </row>
    <row r="197">
      <c r="A197" s="83" t="s">
        <v>6790</v>
      </c>
      <c r="B197" s="83" t="s">
        <v>6791</v>
      </c>
      <c r="C197" s="81" t="s">
        <v>4621</v>
      </c>
      <c r="D197" s="83" t="s">
        <v>4842</v>
      </c>
      <c r="E197" s="81" t="s">
        <v>3991</v>
      </c>
      <c r="F197" s="84">
        <v>787.0</v>
      </c>
      <c r="G197" s="81" t="s">
        <v>224</v>
      </c>
      <c r="H197" s="83" t="s">
        <v>6796</v>
      </c>
      <c r="I197" s="81" t="s">
        <v>6794</v>
      </c>
    </row>
    <row r="198">
      <c r="A198" s="83" t="s">
        <v>6790</v>
      </c>
      <c r="B198" s="83" t="s">
        <v>6791</v>
      </c>
      <c r="C198" s="81" t="s">
        <v>4621</v>
      </c>
      <c r="D198" s="83" t="s">
        <v>4843</v>
      </c>
      <c r="E198" s="81" t="s">
        <v>3994</v>
      </c>
      <c r="F198" s="84">
        <v>788.0</v>
      </c>
      <c r="G198" s="81" t="s">
        <v>224</v>
      </c>
      <c r="H198" s="83" t="s">
        <v>6796</v>
      </c>
      <c r="I198" s="81" t="s">
        <v>6794</v>
      </c>
    </row>
    <row r="199">
      <c r="A199" s="83" t="s">
        <v>6790</v>
      </c>
      <c r="B199" s="83" t="s">
        <v>6791</v>
      </c>
      <c r="C199" s="81" t="s">
        <v>4621</v>
      </c>
      <c r="D199" s="83" t="s">
        <v>4844</v>
      </c>
      <c r="E199" s="81" t="s">
        <v>3998</v>
      </c>
      <c r="F199" s="84">
        <v>791.0</v>
      </c>
      <c r="G199" s="81" t="s">
        <v>224</v>
      </c>
      <c r="H199" s="83" t="s">
        <v>6793</v>
      </c>
      <c r="I199" s="81" t="s">
        <v>6794</v>
      </c>
    </row>
    <row r="200">
      <c r="A200" s="83" t="s">
        <v>6790</v>
      </c>
      <c r="B200" s="83" t="s">
        <v>6791</v>
      </c>
      <c r="C200" s="81" t="s">
        <v>4621</v>
      </c>
      <c r="D200" s="83" t="s">
        <v>4846</v>
      </c>
      <c r="E200" s="81" t="s">
        <v>1133</v>
      </c>
      <c r="F200" s="84">
        <v>793.0</v>
      </c>
      <c r="G200" s="81" t="s">
        <v>224</v>
      </c>
      <c r="H200" s="83" t="s">
        <v>6793</v>
      </c>
      <c r="I200" s="81" t="s">
        <v>6794</v>
      </c>
    </row>
    <row r="201">
      <c r="A201" s="83" t="s">
        <v>6790</v>
      </c>
      <c r="B201" s="83" t="s">
        <v>6791</v>
      </c>
      <c r="C201" s="81" t="s">
        <v>4621</v>
      </c>
      <c r="D201" s="83" t="s">
        <v>4847</v>
      </c>
      <c r="E201" s="81" t="s">
        <v>4005</v>
      </c>
      <c r="F201" s="84">
        <v>794.0</v>
      </c>
      <c r="G201" s="81" t="s">
        <v>224</v>
      </c>
      <c r="H201" s="83" t="s">
        <v>6793</v>
      </c>
      <c r="I201" s="81" t="s">
        <v>6794</v>
      </c>
    </row>
    <row r="202">
      <c r="A202" s="83" t="s">
        <v>6790</v>
      </c>
      <c r="B202" s="83" t="s">
        <v>6791</v>
      </c>
      <c r="C202" s="81" t="s">
        <v>4621</v>
      </c>
      <c r="D202" s="83" t="s">
        <v>4848</v>
      </c>
      <c r="E202" s="81" t="s">
        <v>1142</v>
      </c>
      <c r="F202" s="84">
        <v>795.0</v>
      </c>
      <c r="G202" s="81" t="s">
        <v>224</v>
      </c>
      <c r="H202" s="83" t="s">
        <v>6793</v>
      </c>
      <c r="I202" s="81" t="s">
        <v>6794</v>
      </c>
    </row>
    <row r="203">
      <c r="A203" s="83" t="s">
        <v>6790</v>
      </c>
      <c r="B203" s="83" t="s">
        <v>6791</v>
      </c>
      <c r="C203" s="81" t="s">
        <v>4621</v>
      </c>
      <c r="D203" s="83" t="s">
        <v>4850</v>
      </c>
      <c r="E203" s="81" t="s">
        <v>1138</v>
      </c>
      <c r="F203" s="84">
        <v>796.0</v>
      </c>
      <c r="G203" s="81" t="s">
        <v>224</v>
      </c>
      <c r="H203" s="83" t="s">
        <v>6795</v>
      </c>
      <c r="I203" s="81" t="s">
        <v>6794</v>
      </c>
    </row>
    <row r="204">
      <c r="A204" s="83" t="s">
        <v>6790</v>
      </c>
      <c r="B204" s="83" t="s">
        <v>6791</v>
      </c>
      <c r="C204" s="81" t="s">
        <v>4621</v>
      </c>
      <c r="D204" s="83" t="s">
        <v>4861</v>
      </c>
      <c r="E204" s="81" t="s">
        <v>4007</v>
      </c>
      <c r="F204" s="84">
        <v>797.0</v>
      </c>
      <c r="G204" s="81" t="s">
        <v>224</v>
      </c>
      <c r="H204" s="83" t="s">
        <v>6793</v>
      </c>
      <c r="I204" s="81" t="s">
        <v>6794</v>
      </c>
    </row>
    <row r="205">
      <c r="A205" s="83" t="s">
        <v>6790</v>
      </c>
      <c r="B205" s="83" t="s">
        <v>6791</v>
      </c>
      <c r="C205" s="81" t="s">
        <v>4621</v>
      </c>
      <c r="D205" s="83" t="s">
        <v>4862</v>
      </c>
      <c r="E205" s="81" t="s">
        <v>4011</v>
      </c>
      <c r="F205" s="84">
        <v>798.0</v>
      </c>
      <c r="G205" s="81" t="s">
        <v>224</v>
      </c>
      <c r="H205" s="83" t="s">
        <v>6793</v>
      </c>
      <c r="I205" s="81" t="s">
        <v>6794</v>
      </c>
    </row>
    <row r="206">
      <c r="A206" s="83" t="s">
        <v>6790</v>
      </c>
      <c r="B206" s="83" t="s">
        <v>6791</v>
      </c>
      <c r="C206" s="81" t="s">
        <v>4621</v>
      </c>
      <c r="D206" s="83" t="s">
        <v>4863</v>
      </c>
      <c r="E206" s="81" t="s">
        <v>4014</v>
      </c>
      <c r="F206" s="84">
        <v>799.0</v>
      </c>
      <c r="G206" s="81" t="s">
        <v>224</v>
      </c>
      <c r="H206" s="83" t="s">
        <v>6793</v>
      </c>
      <c r="I206" s="81" t="s">
        <v>6794</v>
      </c>
    </row>
    <row r="207">
      <c r="A207" s="83" t="s">
        <v>6790</v>
      </c>
      <c r="B207" s="83" t="s">
        <v>6791</v>
      </c>
      <c r="C207" s="81" t="s">
        <v>4621</v>
      </c>
      <c r="D207" s="83" t="s">
        <v>4864</v>
      </c>
      <c r="E207" s="81" t="s">
        <v>4016</v>
      </c>
      <c r="F207" s="84">
        <v>800.0</v>
      </c>
      <c r="G207" s="81" t="s">
        <v>224</v>
      </c>
      <c r="H207" s="83" t="s">
        <v>6793</v>
      </c>
      <c r="I207" s="81" t="s">
        <v>6794</v>
      </c>
    </row>
    <row r="208">
      <c r="A208" s="83" t="s">
        <v>6790</v>
      </c>
      <c r="B208" s="83" t="s">
        <v>6791</v>
      </c>
      <c r="C208" s="81" t="s">
        <v>4621</v>
      </c>
      <c r="D208" s="83" t="s">
        <v>4865</v>
      </c>
      <c r="E208" s="81" t="s">
        <v>4017</v>
      </c>
      <c r="F208" s="84">
        <v>801.0</v>
      </c>
      <c r="G208" s="81" t="s">
        <v>224</v>
      </c>
      <c r="H208" s="83" t="s">
        <v>6793</v>
      </c>
      <c r="I208" s="81" t="s">
        <v>6794</v>
      </c>
    </row>
    <row r="209">
      <c r="A209" s="83" t="s">
        <v>6790</v>
      </c>
      <c r="B209" s="83" t="s">
        <v>6791</v>
      </c>
      <c r="C209" s="81" t="s">
        <v>4621</v>
      </c>
      <c r="D209" s="83" t="s">
        <v>4866</v>
      </c>
      <c r="E209" s="81" t="s">
        <v>4018</v>
      </c>
      <c r="F209" s="84">
        <v>802.0</v>
      </c>
      <c r="G209" s="81" t="s">
        <v>224</v>
      </c>
      <c r="H209" s="83" t="s">
        <v>6793</v>
      </c>
      <c r="I209" s="81" t="s">
        <v>6794</v>
      </c>
    </row>
    <row r="210">
      <c r="A210" s="83" t="s">
        <v>6790</v>
      </c>
      <c r="B210" s="83" t="s">
        <v>6791</v>
      </c>
      <c r="C210" s="81" t="s">
        <v>4621</v>
      </c>
      <c r="D210" s="83" t="s">
        <v>4867</v>
      </c>
      <c r="E210" s="81" t="s">
        <v>4019</v>
      </c>
      <c r="F210" s="84">
        <v>803.0</v>
      </c>
      <c r="G210" s="81" t="s">
        <v>224</v>
      </c>
      <c r="H210" s="83" t="s">
        <v>6793</v>
      </c>
      <c r="I210" s="81" t="s">
        <v>6794</v>
      </c>
    </row>
    <row r="211">
      <c r="A211" s="83" t="s">
        <v>6790</v>
      </c>
      <c r="B211" s="83" t="s">
        <v>6791</v>
      </c>
      <c r="C211" s="81" t="s">
        <v>4621</v>
      </c>
      <c r="D211" s="83" t="s">
        <v>4868</v>
      </c>
      <c r="E211" s="81" t="s">
        <v>4020</v>
      </c>
      <c r="F211" s="84">
        <v>804.0</v>
      </c>
      <c r="G211" s="81" t="s">
        <v>224</v>
      </c>
      <c r="H211" s="83" t="s">
        <v>6793</v>
      </c>
      <c r="I211" s="81" t="s">
        <v>6794</v>
      </c>
    </row>
    <row r="212">
      <c r="A212" s="83" t="s">
        <v>6790</v>
      </c>
      <c r="B212" s="83" t="s">
        <v>6791</v>
      </c>
      <c r="C212" s="81" t="s">
        <v>4621</v>
      </c>
      <c r="D212" s="83" t="s">
        <v>4869</v>
      </c>
      <c r="E212" s="81" t="s">
        <v>4032</v>
      </c>
      <c r="F212" s="84">
        <v>805.0</v>
      </c>
      <c r="G212" s="81" t="s">
        <v>224</v>
      </c>
      <c r="H212" s="83" t="s">
        <v>6793</v>
      </c>
      <c r="I212" s="81" t="s">
        <v>6794</v>
      </c>
    </row>
    <row r="213">
      <c r="A213" s="83" t="s">
        <v>6790</v>
      </c>
      <c r="B213" s="83" t="s">
        <v>6791</v>
      </c>
      <c r="C213" s="81" t="s">
        <v>4621</v>
      </c>
      <c r="D213" s="83" t="s">
        <v>4870</v>
      </c>
      <c r="E213" s="81" t="s">
        <v>4037</v>
      </c>
      <c r="F213" s="84">
        <v>806.0</v>
      </c>
      <c r="G213" s="81" t="s">
        <v>224</v>
      </c>
      <c r="H213" s="83" t="s">
        <v>6793</v>
      </c>
      <c r="I213" s="81" t="s">
        <v>6794</v>
      </c>
    </row>
    <row r="214">
      <c r="A214" s="83" t="s">
        <v>6790</v>
      </c>
      <c r="B214" s="83" t="s">
        <v>6791</v>
      </c>
      <c r="C214" s="81" t="s">
        <v>4621</v>
      </c>
      <c r="D214" s="83" t="s">
        <v>4871</v>
      </c>
      <c r="E214" s="81" t="s">
        <v>4049</v>
      </c>
      <c r="F214" s="84">
        <v>807.0</v>
      </c>
      <c r="G214" s="81" t="s">
        <v>224</v>
      </c>
      <c r="H214" s="83" t="s">
        <v>6793</v>
      </c>
      <c r="I214" s="81" t="s">
        <v>6794</v>
      </c>
    </row>
    <row r="215">
      <c r="A215" s="83" t="s">
        <v>6790</v>
      </c>
      <c r="B215" s="83" t="s">
        <v>6791</v>
      </c>
      <c r="C215" s="81" t="s">
        <v>4621</v>
      </c>
      <c r="D215" s="83" t="s">
        <v>4872</v>
      </c>
      <c r="E215" s="81" t="s">
        <v>4059</v>
      </c>
      <c r="F215" s="84">
        <v>808.0</v>
      </c>
      <c r="G215" s="81" t="s">
        <v>224</v>
      </c>
      <c r="H215" s="83" t="s">
        <v>6793</v>
      </c>
      <c r="I215" s="81" t="s">
        <v>6794</v>
      </c>
    </row>
    <row r="216">
      <c r="A216" s="83" t="s">
        <v>6790</v>
      </c>
      <c r="B216" s="83" t="s">
        <v>6791</v>
      </c>
      <c r="C216" s="81" t="s">
        <v>4621</v>
      </c>
      <c r="D216" s="83" t="s">
        <v>4873</v>
      </c>
      <c r="E216" s="81" t="s">
        <v>4874</v>
      </c>
      <c r="F216" s="84">
        <v>809.0</v>
      </c>
      <c r="G216" s="81" t="s">
        <v>224</v>
      </c>
      <c r="H216" s="83" t="s">
        <v>6793</v>
      </c>
      <c r="I216" s="81" t="s">
        <v>6794</v>
      </c>
    </row>
    <row r="217">
      <c r="A217" s="83" t="s">
        <v>6790</v>
      </c>
      <c r="B217" s="83" t="s">
        <v>6791</v>
      </c>
      <c r="C217" s="81" t="s">
        <v>4621</v>
      </c>
      <c r="D217" s="83" t="s">
        <v>4877</v>
      </c>
      <c r="E217" s="81" t="s">
        <v>4878</v>
      </c>
      <c r="F217" s="84">
        <v>810.0</v>
      </c>
      <c r="G217" s="81" t="s">
        <v>224</v>
      </c>
      <c r="H217" s="83" t="s">
        <v>6793</v>
      </c>
      <c r="I217" s="81" t="s">
        <v>6794</v>
      </c>
    </row>
    <row r="218">
      <c r="A218" s="83" t="s">
        <v>6797</v>
      </c>
      <c r="B218" s="83" t="s">
        <v>6798</v>
      </c>
      <c r="C218" s="81" t="s">
        <v>4080</v>
      </c>
      <c r="D218" s="81" t="s">
        <v>224</v>
      </c>
      <c r="E218" s="81" t="s">
        <v>224</v>
      </c>
      <c r="F218" s="81" t="s">
        <v>224</v>
      </c>
      <c r="G218" s="81" t="s">
        <v>224</v>
      </c>
      <c r="H218" s="81" t="s">
        <v>224</v>
      </c>
      <c r="I218" s="81" t="s">
        <v>6799</v>
      </c>
    </row>
    <row r="219">
      <c r="A219" s="83" t="s">
        <v>6800</v>
      </c>
      <c r="B219" s="83" t="s">
        <v>6801</v>
      </c>
      <c r="C219" s="81" t="s">
        <v>4080</v>
      </c>
      <c r="D219" s="81" t="s">
        <v>224</v>
      </c>
      <c r="E219" s="81" t="s">
        <v>224</v>
      </c>
      <c r="F219" s="81" t="s">
        <v>224</v>
      </c>
      <c r="G219" s="81" t="s">
        <v>224</v>
      </c>
      <c r="H219" s="81" t="s">
        <v>224</v>
      </c>
      <c r="I219" s="81" t="s">
        <v>6799</v>
      </c>
    </row>
    <row r="220">
      <c r="A220" s="83" t="s">
        <v>6802</v>
      </c>
      <c r="B220" s="83" t="s">
        <v>6803</v>
      </c>
      <c r="C220" s="81" t="s">
        <v>4080</v>
      </c>
      <c r="D220" s="81" t="s">
        <v>224</v>
      </c>
      <c r="E220" s="81" t="s">
        <v>224</v>
      </c>
      <c r="F220" s="81" t="s">
        <v>224</v>
      </c>
      <c r="G220" s="81" t="s">
        <v>224</v>
      </c>
      <c r="H220" s="81" t="s">
        <v>224</v>
      </c>
      <c r="I220" s="81" t="s">
        <v>6804</v>
      </c>
    </row>
    <row r="221">
      <c r="A221" s="83" t="s">
        <v>6802</v>
      </c>
      <c r="B221" s="83" t="s">
        <v>6803</v>
      </c>
      <c r="C221" s="81" t="s">
        <v>4621</v>
      </c>
      <c r="D221" s="83" t="s">
        <v>4087</v>
      </c>
      <c r="E221" s="81" t="s">
        <v>73</v>
      </c>
      <c r="F221" s="81">
        <v>3.0</v>
      </c>
      <c r="G221" s="83" t="s">
        <v>6793</v>
      </c>
      <c r="H221" s="83" t="s">
        <v>6805</v>
      </c>
      <c r="I221" s="81" t="s">
        <v>6806</v>
      </c>
    </row>
    <row r="222">
      <c r="A222" s="83" t="s">
        <v>6802</v>
      </c>
      <c r="B222" s="83" t="s">
        <v>6803</v>
      </c>
      <c r="C222" s="81" t="s">
        <v>4621</v>
      </c>
      <c r="D222" s="83" t="s">
        <v>4092</v>
      </c>
      <c r="E222" s="81" t="s">
        <v>122</v>
      </c>
      <c r="F222" s="81">
        <v>8.0</v>
      </c>
      <c r="G222" s="83" t="s">
        <v>6793</v>
      </c>
      <c r="H222" s="83" t="s">
        <v>6805</v>
      </c>
      <c r="I222" s="81" t="s">
        <v>6806</v>
      </c>
    </row>
    <row r="223">
      <c r="A223" s="83" t="s">
        <v>6802</v>
      </c>
      <c r="B223" s="83" t="s">
        <v>6803</v>
      </c>
      <c r="C223" s="81" t="s">
        <v>4621</v>
      </c>
      <c r="D223" s="83" t="s">
        <v>4096</v>
      </c>
      <c r="E223" s="81" t="s">
        <v>170</v>
      </c>
      <c r="F223" s="81">
        <v>14.0</v>
      </c>
      <c r="G223" s="83" t="s">
        <v>6793</v>
      </c>
      <c r="H223" s="83" t="s">
        <v>6805</v>
      </c>
      <c r="I223" s="81" t="s">
        <v>6806</v>
      </c>
    </row>
    <row r="224">
      <c r="A224" s="83" t="s">
        <v>6802</v>
      </c>
      <c r="B224" s="83" t="s">
        <v>6803</v>
      </c>
      <c r="C224" s="81" t="s">
        <v>4621</v>
      </c>
      <c r="D224" s="83" t="s">
        <v>4098</v>
      </c>
      <c r="E224" s="81" t="s">
        <v>175</v>
      </c>
      <c r="F224" s="81">
        <v>16.0</v>
      </c>
      <c r="G224" s="83" t="s">
        <v>6793</v>
      </c>
      <c r="H224" s="83" t="s">
        <v>6805</v>
      </c>
      <c r="I224" s="81" t="s">
        <v>6806</v>
      </c>
    </row>
    <row r="225">
      <c r="A225" s="83" t="s">
        <v>6802</v>
      </c>
      <c r="B225" s="83" t="s">
        <v>6803</v>
      </c>
      <c r="C225" s="81" t="s">
        <v>4621</v>
      </c>
      <c r="D225" s="83" t="s">
        <v>4099</v>
      </c>
      <c r="E225" s="81" t="s">
        <v>187</v>
      </c>
      <c r="F225" s="81">
        <v>17.0</v>
      </c>
      <c r="G225" s="83" t="s">
        <v>6793</v>
      </c>
      <c r="H225" s="83" t="s">
        <v>6805</v>
      </c>
      <c r="I225" s="81" t="s">
        <v>6806</v>
      </c>
    </row>
    <row r="226">
      <c r="A226" s="83" t="s">
        <v>6802</v>
      </c>
      <c r="B226" s="83" t="s">
        <v>6803</v>
      </c>
      <c r="C226" s="81" t="s">
        <v>4621</v>
      </c>
      <c r="D226" s="83" t="s">
        <v>4102</v>
      </c>
      <c r="E226" s="81" t="s">
        <v>239</v>
      </c>
      <c r="F226" s="81">
        <v>21.0</v>
      </c>
      <c r="G226" s="83" t="s">
        <v>6793</v>
      </c>
      <c r="H226" s="83" t="s">
        <v>6805</v>
      </c>
      <c r="I226" s="81" t="s">
        <v>6806</v>
      </c>
    </row>
    <row r="227">
      <c r="A227" s="83" t="s">
        <v>6802</v>
      </c>
      <c r="B227" s="83" t="s">
        <v>6803</v>
      </c>
      <c r="C227" s="81" t="s">
        <v>4621</v>
      </c>
      <c r="D227" s="83" t="s">
        <v>4105</v>
      </c>
      <c r="E227" s="81" t="s">
        <v>244</v>
      </c>
      <c r="F227" s="81">
        <v>23.0</v>
      </c>
      <c r="G227" s="83" t="s">
        <v>6793</v>
      </c>
      <c r="H227" s="83" t="s">
        <v>6805</v>
      </c>
      <c r="I227" s="81" t="s">
        <v>6806</v>
      </c>
    </row>
    <row r="228">
      <c r="A228" s="83" t="s">
        <v>6802</v>
      </c>
      <c r="B228" s="83" t="s">
        <v>6803</v>
      </c>
      <c r="C228" s="81" t="s">
        <v>4621</v>
      </c>
      <c r="D228" s="83" t="s">
        <v>4106</v>
      </c>
      <c r="E228" s="81" t="s">
        <v>251</v>
      </c>
      <c r="F228" s="81">
        <v>24.0</v>
      </c>
      <c r="G228" s="83" t="s">
        <v>6793</v>
      </c>
      <c r="H228" s="83" t="s">
        <v>6805</v>
      </c>
      <c r="I228" s="81" t="s">
        <v>6806</v>
      </c>
    </row>
    <row r="229">
      <c r="A229" s="83" t="s">
        <v>6802</v>
      </c>
      <c r="B229" s="83" t="s">
        <v>6803</v>
      </c>
      <c r="C229" s="81" t="s">
        <v>4621</v>
      </c>
      <c r="D229" s="83" t="s">
        <v>4107</v>
      </c>
      <c r="E229" s="81" t="s">
        <v>254</v>
      </c>
      <c r="F229" s="81">
        <v>25.0</v>
      </c>
      <c r="G229" s="83" t="s">
        <v>6793</v>
      </c>
      <c r="H229" s="83" t="s">
        <v>6805</v>
      </c>
      <c r="I229" s="81" t="s">
        <v>6806</v>
      </c>
    </row>
    <row r="230">
      <c r="A230" s="83" t="s">
        <v>6802</v>
      </c>
      <c r="B230" s="83" t="s">
        <v>6803</v>
      </c>
      <c r="C230" s="81" t="s">
        <v>4621</v>
      </c>
      <c r="D230" s="83" t="s">
        <v>4114</v>
      </c>
      <c r="E230" s="81" t="s">
        <v>287</v>
      </c>
      <c r="F230" s="81">
        <v>32.0</v>
      </c>
      <c r="G230" s="83" t="s">
        <v>6793</v>
      </c>
      <c r="H230" s="83" t="s">
        <v>6805</v>
      </c>
      <c r="I230" s="81" t="s">
        <v>6806</v>
      </c>
    </row>
    <row r="231">
      <c r="A231" s="83" t="s">
        <v>6802</v>
      </c>
      <c r="B231" s="83" t="s">
        <v>6803</v>
      </c>
      <c r="C231" s="81" t="s">
        <v>4621</v>
      </c>
      <c r="D231" s="83" t="s">
        <v>4118</v>
      </c>
      <c r="E231" s="81" t="s">
        <v>308</v>
      </c>
      <c r="F231" s="81">
        <v>36.0</v>
      </c>
      <c r="G231" s="83" t="s">
        <v>6793</v>
      </c>
      <c r="H231" s="83" t="s">
        <v>6805</v>
      </c>
      <c r="I231" s="81" t="s">
        <v>6806</v>
      </c>
    </row>
    <row r="232">
      <c r="A232" s="83" t="s">
        <v>6802</v>
      </c>
      <c r="B232" s="83" t="s">
        <v>6803</v>
      </c>
      <c r="C232" s="81" t="s">
        <v>4621</v>
      </c>
      <c r="D232" s="83" t="s">
        <v>4119</v>
      </c>
      <c r="E232" s="81" t="s">
        <v>320</v>
      </c>
      <c r="F232" s="81">
        <v>37.0</v>
      </c>
      <c r="G232" s="83" t="s">
        <v>6793</v>
      </c>
      <c r="H232" s="83" t="s">
        <v>6805</v>
      </c>
      <c r="I232" s="81" t="s">
        <v>6806</v>
      </c>
    </row>
    <row r="233">
      <c r="A233" s="83" t="s">
        <v>6802</v>
      </c>
      <c r="B233" s="83" t="s">
        <v>6803</v>
      </c>
      <c r="C233" s="81" t="s">
        <v>4621</v>
      </c>
      <c r="D233" s="83" t="s">
        <v>4121</v>
      </c>
      <c r="E233" s="81" t="s">
        <v>343</v>
      </c>
      <c r="F233" s="81">
        <v>39.0</v>
      </c>
      <c r="G233" s="83" t="s">
        <v>6793</v>
      </c>
      <c r="H233" s="83" t="s">
        <v>6805</v>
      </c>
      <c r="I233" s="81" t="s">
        <v>6806</v>
      </c>
    </row>
    <row r="234">
      <c r="A234" s="83" t="s">
        <v>6802</v>
      </c>
      <c r="B234" s="83" t="s">
        <v>6803</v>
      </c>
      <c r="C234" s="81" t="s">
        <v>4621</v>
      </c>
      <c r="D234" s="83" t="s">
        <v>4124</v>
      </c>
      <c r="E234" s="81" t="s">
        <v>392</v>
      </c>
      <c r="F234" s="81">
        <v>42.0</v>
      </c>
      <c r="G234" s="83" t="s">
        <v>6793</v>
      </c>
      <c r="H234" s="83" t="s">
        <v>6805</v>
      </c>
      <c r="I234" s="81" t="s">
        <v>6806</v>
      </c>
    </row>
    <row r="235">
      <c r="A235" s="83" t="s">
        <v>6802</v>
      </c>
      <c r="B235" s="83" t="s">
        <v>6803</v>
      </c>
      <c r="C235" s="81" t="s">
        <v>4621</v>
      </c>
      <c r="D235" s="83" t="s">
        <v>4125</v>
      </c>
      <c r="E235" s="81" t="s">
        <v>393</v>
      </c>
      <c r="F235" s="81">
        <v>43.0</v>
      </c>
      <c r="G235" s="83" t="s">
        <v>6793</v>
      </c>
      <c r="H235" s="83" t="s">
        <v>6805</v>
      </c>
      <c r="I235" s="81" t="s">
        <v>6806</v>
      </c>
    </row>
    <row r="236">
      <c r="A236" s="83" t="s">
        <v>6802</v>
      </c>
      <c r="B236" s="83" t="s">
        <v>6803</v>
      </c>
      <c r="C236" s="81" t="s">
        <v>4621</v>
      </c>
      <c r="D236" s="83" t="s">
        <v>4129</v>
      </c>
      <c r="E236" s="81" t="s">
        <v>428</v>
      </c>
      <c r="F236" s="81">
        <v>47.0</v>
      </c>
      <c r="G236" s="83" t="s">
        <v>6793</v>
      </c>
      <c r="H236" s="83" t="s">
        <v>6805</v>
      </c>
      <c r="I236" s="81" t="s">
        <v>6806</v>
      </c>
    </row>
    <row r="237">
      <c r="A237" s="83" t="s">
        <v>6802</v>
      </c>
      <c r="B237" s="83" t="s">
        <v>6803</v>
      </c>
      <c r="C237" s="81" t="s">
        <v>4621</v>
      </c>
      <c r="D237" s="83" t="s">
        <v>4193</v>
      </c>
      <c r="E237" s="81" t="s">
        <v>727</v>
      </c>
      <c r="F237" s="81">
        <v>120.0</v>
      </c>
      <c r="G237" s="83" t="s">
        <v>6793</v>
      </c>
      <c r="H237" s="83" t="s">
        <v>6805</v>
      </c>
      <c r="I237" s="81" t="s">
        <v>6806</v>
      </c>
    </row>
    <row r="238">
      <c r="A238" s="83" t="s">
        <v>6802</v>
      </c>
      <c r="B238" s="83" t="s">
        <v>6803</v>
      </c>
      <c r="C238" s="81" t="s">
        <v>4621</v>
      </c>
      <c r="D238" s="83" t="s">
        <v>4195</v>
      </c>
      <c r="E238" s="81" t="s">
        <v>728</v>
      </c>
      <c r="F238" s="81">
        <v>121.0</v>
      </c>
      <c r="G238" s="83" t="s">
        <v>6793</v>
      </c>
      <c r="H238" s="83" t="s">
        <v>6805</v>
      </c>
      <c r="I238" s="81" t="s">
        <v>6806</v>
      </c>
    </row>
    <row r="239">
      <c r="A239" s="83" t="s">
        <v>6802</v>
      </c>
      <c r="B239" s="83" t="s">
        <v>6803</v>
      </c>
      <c r="C239" s="81" t="s">
        <v>4621</v>
      </c>
      <c r="D239" s="83" t="s">
        <v>4196</v>
      </c>
      <c r="E239" s="81" t="s">
        <v>741</v>
      </c>
      <c r="F239" s="81">
        <v>123.0</v>
      </c>
      <c r="G239" s="83" t="s">
        <v>6793</v>
      </c>
      <c r="H239" s="83" t="s">
        <v>6805</v>
      </c>
      <c r="I239" s="81" t="s">
        <v>6806</v>
      </c>
    </row>
    <row r="240">
      <c r="A240" s="83" t="s">
        <v>6802</v>
      </c>
      <c r="B240" s="83" t="s">
        <v>6803</v>
      </c>
      <c r="C240" s="81" t="s">
        <v>4621</v>
      </c>
      <c r="D240" s="83" t="s">
        <v>4199</v>
      </c>
      <c r="E240" s="81" t="s">
        <v>753</v>
      </c>
      <c r="F240" s="81">
        <v>126.0</v>
      </c>
      <c r="G240" s="83" t="s">
        <v>6793</v>
      </c>
      <c r="H240" s="83" t="s">
        <v>6805</v>
      </c>
      <c r="I240" s="81" t="s">
        <v>6806</v>
      </c>
    </row>
    <row r="241">
      <c r="A241" s="83" t="s">
        <v>6802</v>
      </c>
      <c r="B241" s="83" t="s">
        <v>6803</v>
      </c>
      <c r="C241" s="81" t="s">
        <v>4621</v>
      </c>
      <c r="D241" s="83" t="s">
        <v>4209</v>
      </c>
      <c r="E241" s="81" t="s">
        <v>788</v>
      </c>
      <c r="F241" s="81">
        <v>135.0</v>
      </c>
      <c r="G241" s="83" t="s">
        <v>6793</v>
      </c>
      <c r="H241" s="83" t="s">
        <v>6805</v>
      </c>
      <c r="I241" s="81" t="s">
        <v>6806</v>
      </c>
    </row>
    <row r="242">
      <c r="A242" s="83" t="s">
        <v>6802</v>
      </c>
      <c r="B242" s="83" t="s">
        <v>6803</v>
      </c>
      <c r="C242" s="81" t="s">
        <v>4621</v>
      </c>
      <c r="D242" s="83" t="s">
        <v>4210</v>
      </c>
      <c r="E242" s="81" t="s">
        <v>795</v>
      </c>
      <c r="F242" s="81">
        <v>136.0</v>
      </c>
      <c r="G242" s="83" t="s">
        <v>6793</v>
      </c>
      <c r="H242" s="83" t="s">
        <v>6805</v>
      </c>
      <c r="I242" s="81" t="s">
        <v>6806</v>
      </c>
    </row>
    <row r="243">
      <c r="A243" s="83" t="s">
        <v>6802</v>
      </c>
      <c r="B243" s="83" t="s">
        <v>6803</v>
      </c>
      <c r="C243" s="81" t="s">
        <v>4621</v>
      </c>
      <c r="D243" s="83" t="s">
        <v>4214</v>
      </c>
      <c r="E243" s="81" t="s">
        <v>812</v>
      </c>
      <c r="F243" s="81">
        <v>140.0</v>
      </c>
      <c r="G243" s="83" t="s">
        <v>6793</v>
      </c>
      <c r="H243" s="83" t="s">
        <v>6805</v>
      </c>
      <c r="I243" s="81" t="s">
        <v>6806</v>
      </c>
    </row>
    <row r="244">
      <c r="A244" s="83" t="s">
        <v>6802</v>
      </c>
      <c r="B244" s="83" t="s">
        <v>6803</v>
      </c>
      <c r="C244" s="81" t="s">
        <v>4621</v>
      </c>
      <c r="D244" s="83" t="s">
        <v>4218</v>
      </c>
      <c r="E244" s="81" t="s">
        <v>832</v>
      </c>
      <c r="F244" s="81">
        <v>144.0</v>
      </c>
      <c r="G244" s="83" t="s">
        <v>6793</v>
      </c>
      <c r="H244" s="83" t="s">
        <v>6805</v>
      </c>
      <c r="I244" s="81" t="s">
        <v>6806</v>
      </c>
    </row>
    <row r="245">
      <c r="A245" s="83" t="s">
        <v>6802</v>
      </c>
      <c r="B245" s="83" t="s">
        <v>6803</v>
      </c>
      <c r="C245" s="81" t="s">
        <v>4621</v>
      </c>
      <c r="D245" s="83" t="s">
        <v>4220</v>
      </c>
      <c r="E245" s="81" t="s">
        <v>842</v>
      </c>
      <c r="F245" s="81">
        <v>146.0</v>
      </c>
      <c r="G245" s="83" t="s">
        <v>6793</v>
      </c>
      <c r="H245" s="83" t="s">
        <v>6805</v>
      </c>
      <c r="I245" s="81" t="s">
        <v>6806</v>
      </c>
    </row>
    <row r="246">
      <c r="A246" s="83" t="s">
        <v>6802</v>
      </c>
      <c r="B246" s="83" t="s">
        <v>6803</v>
      </c>
      <c r="C246" s="81" t="s">
        <v>4621</v>
      </c>
      <c r="D246" s="83" t="s">
        <v>4225</v>
      </c>
      <c r="E246" s="81" t="s">
        <v>864</v>
      </c>
      <c r="F246" s="81">
        <v>151.0</v>
      </c>
      <c r="G246" s="83" t="s">
        <v>6793</v>
      </c>
      <c r="H246" s="83" t="s">
        <v>6805</v>
      </c>
      <c r="I246" s="81" t="s">
        <v>6806</v>
      </c>
    </row>
    <row r="247">
      <c r="A247" s="83" t="s">
        <v>6802</v>
      </c>
      <c r="B247" s="83" t="s">
        <v>6803</v>
      </c>
      <c r="C247" s="81" t="s">
        <v>4621</v>
      </c>
      <c r="D247" s="83" t="s">
        <v>4240</v>
      </c>
      <c r="E247" s="81" t="s">
        <v>935</v>
      </c>
      <c r="F247" s="81">
        <v>166.0</v>
      </c>
      <c r="G247" s="83" t="s">
        <v>6793</v>
      </c>
      <c r="H247" s="83" t="s">
        <v>6805</v>
      </c>
      <c r="I247" s="81" t="s">
        <v>6806</v>
      </c>
    </row>
    <row r="248">
      <c r="A248" s="83" t="s">
        <v>6802</v>
      </c>
      <c r="B248" s="83" t="s">
        <v>6803</v>
      </c>
      <c r="C248" s="81" t="s">
        <v>4621</v>
      </c>
      <c r="D248" s="83" t="s">
        <v>4243</v>
      </c>
      <c r="E248" s="81" t="s">
        <v>951</v>
      </c>
      <c r="F248" s="81">
        <v>171.0</v>
      </c>
      <c r="G248" s="83" t="s">
        <v>6793</v>
      </c>
      <c r="H248" s="83" t="s">
        <v>6805</v>
      </c>
      <c r="I248" s="81" t="s">
        <v>6806</v>
      </c>
    </row>
    <row r="249">
      <c r="A249" s="83" t="s">
        <v>6802</v>
      </c>
      <c r="B249" s="83" t="s">
        <v>6803</v>
      </c>
      <c r="C249" s="81" t="s">
        <v>4621</v>
      </c>
      <c r="D249" s="83" t="s">
        <v>4250</v>
      </c>
      <c r="E249" s="81" t="s">
        <v>982</v>
      </c>
      <c r="F249" s="81">
        <v>181.0</v>
      </c>
      <c r="G249" s="83" t="s">
        <v>6793</v>
      </c>
      <c r="H249" s="83" t="s">
        <v>6805</v>
      </c>
      <c r="I249" s="81" t="s">
        <v>6806</v>
      </c>
    </row>
    <row r="250">
      <c r="A250" s="83" t="s">
        <v>6802</v>
      </c>
      <c r="B250" s="83" t="s">
        <v>6803</v>
      </c>
      <c r="C250" s="81" t="s">
        <v>4621</v>
      </c>
      <c r="D250" s="83" t="s">
        <v>4252</v>
      </c>
      <c r="E250" s="81" t="s">
        <v>992</v>
      </c>
      <c r="F250" s="81">
        <v>184.0</v>
      </c>
      <c r="G250" s="83" t="s">
        <v>6793</v>
      </c>
      <c r="H250" s="83" t="s">
        <v>6805</v>
      </c>
      <c r="I250" s="81" t="s">
        <v>6806</v>
      </c>
    </row>
    <row r="251">
      <c r="A251" s="83" t="s">
        <v>6802</v>
      </c>
      <c r="B251" s="83" t="s">
        <v>6803</v>
      </c>
      <c r="C251" s="81" t="s">
        <v>4621</v>
      </c>
      <c r="D251" s="83" t="s">
        <v>4255</v>
      </c>
      <c r="E251" s="81" t="s">
        <v>1011</v>
      </c>
      <c r="F251" s="81">
        <v>189.0</v>
      </c>
      <c r="G251" s="83" t="s">
        <v>6793</v>
      </c>
      <c r="H251" s="83" t="s">
        <v>6805</v>
      </c>
      <c r="I251" s="81" t="s">
        <v>6806</v>
      </c>
    </row>
    <row r="252">
      <c r="A252" s="83" t="s">
        <v>6802</v>
      </c>
      <c r="B252" s="83" t="s">
        <v>6803</v>
      </c>
      <c r="C252" s="81" t="s">
        <v>4621</v>
      </c>
      <c r="D252" s="83" t="s">
        <v>4256</v>
      </c>
      <c r="E252" s="81" t="s">
        <v>1012</v>
      </c>
      <c r="F252" s="81">
        <v>190.0</v>
      </c>
      <c r="G252" s="83" t="s">
        <v>6793</v>
      </c>
      <c r="H252" s="83" t="s">
        <v>6805</v>
      </c>
      <c r="I252" s="81" t="s">
        <v>6806</v>
      </c>
    </row>
    <row r="253">
      <c r="A253" s="83" t="s">
        <v>6802</v>
      </c>
      <c r="B253" s="83" t="s">
        <v>6803</v>
      </c>
      <c r="C253" s="81" t="s">
        <v>4621</v>
      </c>
      <c r="D253" s="83" t="s">
        <v>4257</v>
      </c>
      <c r="E253" s="81" t="s">
        <v>1025</v>
      </c>
      <c r="F253" s="81">
        <v>192.0</v>
      </c>
      <c r="G253" s="83" t="s">
        <v>6793</v>
      </c>
      <c r="H253" s="83" t="s">
        <v>6805</v>
      </c>
      <c r="I253" s="81" t="s">
        <v>6806</v>
      </c>
    </row>
    <row r="254">
      <c r="A254" s="83" t="s">
        <v>6802</v>
      </c>
      <c r="B254" s="83" t="s">
        <v>6803</v>
      </c>
      <c r="C254" s="81" t="s">
        <v>4621</v>
      </c>
      <c r="D254" s="83" t="s">
        <v>4260</v>
      </c>
      <c r="E254" s="81" t="s">
        <v>1028</v>
      </c>
      <c r="F254" s="81">
        <v>193.0</v>
      </c>
      <c r="G254" s="83" t="s">
        <v>6793</v>
      </c>
      <c r="H254" s="83" t="s">
        <v>6805</v>
      </c>
      <c r="I254" s="81" t="s">
        <v>6806</v>
      </c>
    </row>
    <row r="255">
      <c r="A255" s="83" t="s">
        <v>6802</v>
      </c>
      <c r="B255" s="83" t="s">
        <v>6803</v>
      </c>
      <c r="C255" s="81" t="s">
        <v>4621</v>
      </c>
      <c r="D255" s="83" t="s">
        <v>4263</v>
      </c>
      <c r="E255" s="81" t="s">
        <v>1036</v>
      </c>
      <c r="F255" s="81">
        <v>195.0</v>
      </c>
      <c r="G255" s="83" t="s">
        <v>6793</v>
      </c>
      <c r="H255" s="83" t="s">
        <v>6805</v>
      </c>
      <c r="I255" s="81" t="s">
        <v>6806</v>
      </c>
    </row>
    <row r="256">
      <c r="A256" s="83" t="s">
        <v>6802</v>
      </c>
      <c r="B256" s="83" t="s">
        <v>6803</v>
      </c>
      <c r="C256" s="81" t="s">
        <v>4621</v>
      </c>
      <c r="D256" s="83" t="s">
        <v>4266</v>
      </c>
      <c r="E256" s="81" t="s">
        <v>1041</v>
      </c>
      <c r="F256" s="81">
        <v>197.0</v>
      </c>
      <c r="G256" s="83" t="s">
        <v>6793</v>
      </c>
      <c r="H256" s="83" t="s">
        <v>6805</v>
      </c>
      <c r="I256" s="81" t="s">
        <v>6806</v>
      </c>
    </row>
    <row r="257">
      <c r="A257" s="83" t="s">
        <v>6802</v>
      </c>
      <c r="B257" s="83" t="s">
        <v>6803</v>
      </c>
      <c r="C257" s="81" t="s">
        <v>4621</v>
      </c>
      <c r="D257" s="83" t="s">
        <v>4269</v>
      </c>
      <c r="E257" s="81" t="s">
        <v>1060</v>
      </c>
      <c r="F257" s="81">
        <v>202.0</v>
      </c>
      <c r="G257" s="83" t="s">
        <v>6793</v>
      </c>
      <c r="H257" s="83" t="s">
        <v>6805</v>
      </c>
      <c r="I257" s="81" t="s">
        <v>6806</v>
      </c>
    </row>
    <row r="258">
      <c r="A258" s="83" t="s">
        <v>6802</v>
      </c>
      <c r="B258" s="83" t="s">
        <v>6803</v>
      </c>
      <c r="C258" s="81" t="s">
        <v>4621</v>
      </c>
      <c r="D258" s="83" t="s">
        <v>4276</v>
      </c>
      <c r="E258" s="81" t="s">
        <v>1090</v>
      </c>
      <c r="F258" s="81">
        <v>212.0</v>
      </c>
      <c r="G258" s="83" t="s">
        <v>6793</v>
      </c>
      <c r="H258" s="83" t="s">
        <v>6805</v>
      </c>
      <c r="I258" s="81" t="s">
        <v>6806</v>
      </c>
    </row>
    <row r="259">
      <c r="A259" s="83" t="s">
        <v>6802</v>
      </c>
      <c r="B259" s="83" t="s">
        <v>6803</v>
      </c>
      <c r="C259" s="81" t="s">
        <v>4621</v>
      </c>
      <c r="D259" s="83" t="s">
        <v>4280</v>
      </c>
      <c r="E259" s="81" t="s">
        <v>1110</v>
      </c>
      <c r="F259" s="81">
        <v>218.0</v>
      </c>
      <c r="G259" s="83" t="s">
        <v>6793</v>
      </c>
      <c r="H259" s="83" t="s">
        <v>6805</v>
      </c>
      <c r="I259" s="81" t="s">
        <v>6806</v>
      </c>
    </row>
    <row r="260">
      <c r="A260" s="83" t="s">
        <v>6802</v>
      </c>
      <c r="B260" s="83" t="s">
        <v>6803</v>
      </c>
      <c r="C260" s="81" t="s">
        <v>4621</v>
      </c>
      <c r="D260" s="83" t="s">
        <v>4297</v>
      </c>
      <c r="E260" s="81" t="s">
        <v>1201</v>
      </c>
      <c r="F260" s="81">
        <v>236.0</v>
      </c>
      <c r="G260" s="83" t="s">
        <v>6793</v>
      </c>
      <c r="H260" s="83" t="s">
        <v>6805</v>
      </c>
      <c r="I260" s="81" t="s">
        <v>6806</v>
      </c>
    </row>
    <row r="261">
      <c r="A261" s="83" t="s">
        <v>6802</v>
      </c>
      <c r="B261" s="83" t="s">
        <v>6803</v>
      </c>
      <c r="C261" s="81" t="s">
        <v>4621</v>
      </c>
      <c r="D261" s="83" t="s">
        <v>4298</v>
      </c>
      <c r="E261" s="81" t="s">
        <v>1210</v>
      </c>
      <c r="F261" s="81">
        <v>238.0</v>
      </c>
      <c r="G261" s="83" t="s">
        <v>6793</v>
      </c>
      <c r="H261" s="83" t="s">
        <v>6805</v>
      </c>
      <c r="I261" s="81" t="s">
        <v>6806</v>
      </c>
    </row>
    <row r="262">
      <c r="A262" s="83" t="s">
        <v>6802</v>
      </c>
      <c r="B262" s="83" t="s">
        <v>6803</v>
      </c>
      <c r="C262" s="81" t="s">
        <v>4621</v>
      </c>
      <c r="D262" s="83" t="s">
        <v>4300</v>
      </c>
      <c r="E262" s="81" t="s">
        <v>1211</v>
      </c>
      <c r="F262" s="81">
        <v>239.0</v>
      </c>
      <c r="G262" s="83" t="s">
        <v>6793</v>
      </c>
      <c r="H262" s="83" t="s">
        <v>6805</v>
      </c>
      <c r="I262" s="81" t="s">
        <v>6806</v>
      </c>
    </row>
    <row r="263">
      <c r="A263" s="83" t="s">
        <v>6802</v>
      </c>
      <c r="B263" s="83" t="s">
        <v>6803</v>
      </c>
      <c r="C263" s="81" t="s">
        <v>4621</v>
      </c>
      <c r="D263" s="83" t="s">
        <v>4301</v>
      </c>
      <c r="E263" s="81" t="s">
        <v>1221</v>
      </c>
      <c r="F263" s="81">
        <v>241.0</v>
      </c>
      <c r="G263" s="83" t="s">
        <v>6793</v>
      </c>
      <c r="H263" s="83" t="s">
        <v>6805</v>
      </c>
      <c r="I263" s="81" t="s">
        <v>6806</v>
      </c>
    </row>
    <row r="264">
      <c r="A264" s="83" t="s">
        <v>6802</v>
      </c>
      <c r="B264" s="83" t="s">
        <v>6803</v>
      </c>
      <c r="C264" s="81" t="s">
        <v>4621</v>
      </c>
      <c r="D264" s="83" t="s">
        <v>4304</v>
      </c>
      <c r="E264" s="81" t="s">
        <v>1232</v>
      </c>
      <c r="F264" s="81">
        <v>244.0</v>
      </c>
      <c r="G264" s="83" t="s">
        <v>6793</v>
      </c>
      <c r="H264" s="83" t="s">
        <v>6805</v>
      </c>
      <c r="I264" s="81" t="s">
        <v>6806</v>
      </c>
    </row>
    <row r="265">
      <c r="A265" s="83" t="s">
        <v>6802</v>
      </c>
      <c r="B265" s="83" t="s">
        <v>6803</v>
      </c>
      <c r="C265" s="81" t="s">
        <v>4621</v>
      </c>
      <c r="D265" s="83" t="s">
        <v>4306</v>
      </c>
      <c r="E265" s="81" t="s">
        <v>1237</v>
      </c>
      <c r="F265" s="81">
        <v>246.0</v>
      </c>
      <c r="G265" s="83" t="s">
        <v>6793</v>
      </c>
      <c r="H265" s="83" t="s">
        <v>6805</v>
      </c>
      <c r="I265" s="81" t="s">
        <v>6806</v>
      </c>
    </row>
    <row r="266">
      <c r="A266" s="83" t="s">
        <v>6802</v>
      </c>
      <c r="B266" s="83" t="s">
        <v>6803</v>
      </c>
      <c r="C266" s="81" t="s">
        <v>4621</v>
      </c>
      <c r="D266" s="83" t="s">
        <v>4308</v>
      </c>
      <c r="E266" s="81" t="s">
        <v>1247</v>
      </c>
      <c r="F266" s="81">
        <v>247.0</v>
      </c>
      <c r="G266" s="83" t="s">
        <v>6793</v>
      </c>
      <c r="H266" s="83" t="s">
        <v>6805</v>
      </c>
      <c r="I266" s="81" t="s">
        <v>6806</v>
      </c>
    </row>
    <row r="267">
      <c r="A267" s="83" t="s">
        <v>6802</v>
      </c>
      <c r="B267" s="83" t="s">
        <v>6803</v>
      </c>
      <c r="C267" s="81" t="s">
        <v>4621</v>
      </c>
      <c r="D267" s="83" t="s">
        <v>4313</v>
      </c>
      <c r="E267" s="81" t="s">
        <v>1286</v>
      </c>
      <c r="F267" s="81">
        <v>253.0</v>
      </c>
      <c r="G267" s="83" t="s">
        <v>6793</v>
      </c>
      <c r="H267" s="83" t="s">
        <v>6805</v>
      </c>
      <c r="I267" s="81" t="s">
        <v>6806</v>
      </c>
    </row>
    <row r="268">
      <c r="A268" s="83" t="s">
        <v>6802</v>
      </c>
      <c r="B268" s="83" t="s">
        <v>6803</v>
      </c>
      <c r="C268" s="81" t="s">
        <v>4621</v>
      </c>
      <c r="D268" s="83" t="s">
        <v>4314</v>
      </c>
      <c r="E268" s="81" t="s">
        <v>1289</v>
      </c>
      <c r="F268" s="81">
        <v>254.0</v>
      </c>
      <c r="G268" s="83" t="s">
        <v>6793</v>
      </c>
      <c r="H268" s="83" t="s">
        <v>6805</v>
      </c>
      <c r="I268" s="81" t="s">
        <v>6806</v>
      </c>
    </row>
    <row r="269">
      <c r="A269" s="83" t="s">
        <v>6802</v>
      </c>
      <c r="B269" s="83" t="s">
        <v>6803</v>
      </c>
      <c r="C269" s="81" t="s">
        <v>4621</v>
      </c>
      <c r="D269" s="83" t="s">
        <v>4315</v>
      </c>
      <c r="E269" s="81" t="s">
        <v>1297</v>
      </c>
      <c r="F269" s="81">
        <v>255.0</v>
      </c>
      <c r="G269" s="83" t="s">
        <v>6793</v>
      </c>
      <c r="H269" s="83" t="s">
        <v>6805</v>
      </c>
      <c r="I269" s="81" t="s">
        <v>6806</v>
      </c>
    </row>
    <row r="270">
      <c r="A270" s="83" t="s">
        <v>6802</v>
      </c>
      <c r="B270" s="83" t="s">
        <v>6803</v>
      </c>
      <c r="C270" s="81" t="s">
        <v>4621</v>
      </c>
      <c r="D270" s="83" t="s">
        <v>4317</v>
      </c>
      <c r="E270" s="81" t="s">
        <v>1325</v>
      </c>
      <c r="F270" s="81">
        <v>257.0</v>
      </c>
      <c r="G270" s="83" t="s">
        <v>6793</v>
      </c>
      <c r="H270" s="83" t="s">
        <v>6805</v>
      </c>
      <c r="I270" s="81" t="s">
        <v>6806</v>
      </c>
    </row>
    <row r="271">
      <c r="A271" s="83" t="s">
        <v>6802</v>
      </c>
      <c r="B271" s="83" t="s">
        <v>6803</v>
      </c>
      <c r="C271" s="81" t="s">
        <v>4621</v>
      </c>
      <c r="D271" s="83" t="s">
        <v>4319</v>
      </c>
      <c r="E271" s="81" t="s">
        <v>1350</v>
      </c>
      <c r="F271" s="81">
        <v>259.0</v>
      </c>
      <c r="G271" s="83" t="s">
        <v>6793</v>
      </c>
      <c r="H271" s="83" t="s">
        <v>6805</v>
      </c>
      <c r="I271" s="81" t="s">
        <v>6806</v>
      </c>
    </row>
    <row r="272">
      <c r="A272" s="83" t="s">
        <v>6802</v>
      </c>
      <c r="B272" s="83" t="s">
        <v>6803</v>
      </c>
      <c r="C272" s="81" t="s">
        <v>4621</v>
      </c>
      <c r="D272" s="83" t="s">
        <v>4341</v>
      </c>
      <c r="E272" s="81" t="s">
        <v>1423</v>
      </c>
      <c r="F272" s="81">
        <v>276.0</v>
      </c>
      <c r="G272" s="83" t="s">
        <v>6793</v>
      </c>
      <c r="H272" s="83" t="s">
        <v>6805</v>
      </c>
      <c r="I272" s="81" t="s">
        <v>6806</v>
      </c>
    </row>
    <row r="273">
      <c r="A273" s="83" t="s">
        <v>6802</v>
      </c>
      <c r="B273" s="83" t="s">
        <v>6803</v>
      </c>
      <c r="C273" s="81" t="s">
        <v>4621</v>
      </c>
      <c r="D273" s="83" t="s">
        <v>4347</v>
      </c>
      <c r="E273" s="81" t="s">
        <v>1453</v>
      </c>
      <c r="F273" s="81">
        <v>280.0</v>
      </c>
      <c r="G273" s="83" t="s">
        <v>6793</v>
      </c>
      <c r="H273" s="83" t="s">
        <v>6805</v>
      </c>
      <c r="I273" s="81" t="s">
        <v>6806</v>
      </c>
    </row>
    <row r="274">
      <c r="A274" s="83" t="s">
        <v>6802</v>
      </c>
      <c r="B274" s="83" t="s">
        <v>6803</v>
      </c>
      <c r="C274" s="81" t="s">
        <v>4621</v>
      </c>
      <c r="D274" s="83" t="s">
        <v>4350</v>
      </c>
      <c r="E274" s="81" t="s">
        <v>1467</v>
      </c>
      <c r="F274" s="81">
        <v>282.0</v>
      </c>
      <c r="G274" s="83" t="s">
        <v>6793</v>
      </c>
      <c r="H274" s="83" t="s">
        <v>6805</v>
      </c>
      <c r="I274" s="81" t="s">
        <v>6806</v>
      </c>
    </row>
    <row r="275">
      <c r="A275" s="83" t="s">
        <v>6802</v>
      </c>
      <c r="B275" s="83" t="s">
        <v>6803</v>
      </c>
      <c r="C275" s="81" t="s">
        <v>4621</v>
      </c>
      <c r="D275" s="83" t="s">
        <v>4364</v>
      </c>
      <c r="E275" s="81" t="s">
        <v>1551</v>
      </c>
      <c r="F275" s="81">
        <v>300.0</v>
      </c>
      <c r="G275" s="83" t="s">
        <v>6793</v>
      </c>
      <c r="H275" s="83" t="s">
        <v>6805</v>
      </c>
      <c r="I275" s="81" t="s">
        <v>6806</v>
      </c>
    </row>
    <row r="276">
      <c r="A276" s="83" t="s">
        <v>6802</v>
      </c>
      <c r="B276" s="83" t="s">
        <v>6803</v>
      </c>
      <c r="C276" s="81" t="s">
        <v>4621</v>
      </c>
      <c r="D276" s="83" t="s">
        <v>4384</v>
      </c>
      <c r="E276" s="81" t="s">
        <v>1646</v>
      </c>
      <c r="F276" s="81">
        <v>324.0</v>
      </c>
      <c r="G276" s="83" t="s">
        <v>6793</v>
      </c>
      <c r="H276" s="83" t="s">
        <v>6805</v>
      </c>
      <c r="I276" s="81" t="s">
        <v>6806</v>
      </c>
    </row>
    <row r="277">
      <c r="A277" s="83" t="s">
        <v>6802</v>
      </c>
      <c r="B277" s="83" t="s">
        <v>6803</v>
      </c>
      <c r="C277" s="81" t="s">
        <v>4621</v>
      </c>
      <c r="D277" s="83" t="s">
        <v>4386</v>
      </c>
      <c r="E277" s="81" t="s">
        <v>1653</v>
      </c>
      <c r="F277" s="81">
        <v>327.0</v>
      </c>
      <c r="G277" s="83" t="s">
        <v>6793</v>
      </c>
      <c r="H277" s="83" t="s">
        <v>6805</v>
      </c>
      <c r="I277" s="81" t="s">
        <v>6806</v>
      </c>
    </row>
    <row r="278">
      <c r="A278" s="83" t="s">
        <v>6802</v>
      </c>
      <c r="B278" s="83" t="s">
        <v>6803</v>
      </c>
      <c r="C278" s="81" t="s">
        <v>4621</v>
      </c>
      <c r="D278" s="83" t="s">
        <v>4391</v>
      </c>
      <c r="E278" s="81" t="s">
        <v>1682</v>
      </c>
      <c r="F278" s="81">
        <v>334.0</v>
      </c>
      <c r="G278" s="83" t="s">
        <v>6793</v>
      </c>
      <c r="H278" s="83" t="s">
        <v>6805</v>
      </c>
      <c r="I278" s="81" t="s">
        <v>6806</v>
      </c>
    </row>
    <row r="279">
      <c r="A279" s="83" t="s">
        <v>6802</v>
      </c>
      <c r="B279" s="83" t="s">
        <v>6803</v>
      </c>
      <c r="C279" s="81" t="s">
        <v>4621</v>
      </c>
      <c r="D279" s="83" t="s">
        <v>4393</v>
      </c>
      <c r="E279" s="81" t="s">
        <v>1690</v>
      </c>
      <c r="F279" s="81">
        <v>335.0</v>
      </c>
      <c r="G279" s="83" t="s">
        <v>6793</v>
      </c>
      <c r="H279" s="83" t="s">
        <v>6805</v>
      </c>
      <c r="I279" s="81" t="s">
        <v>6806</v>
      </c>
    </row>
    <row r="280">
      <c r="A280" s="83" t="s">
        <v>6802</v>
      </c>
      <c r="B280" s="83" t="s">
        <v>6803</v>
      </c>
      <c r="C280" s="81" t="s">
        <v>4621</v>
      </c>
      <c r="D280" s="83" t="s">
        <v>4394</v>
      </c>
      <c r="E280" s="81" t="s">
        <v>1698</v>
      </c>
      <c r="F280" s="81">
        <v>336.0</v>
      </c>
      <c r="G280" s="83" t="s">
        <v>6793</v>
      </c>
      <c r="H280" s="83" t="s">
        <v>6805</v>
      </c>
      <c r="I280" s="81" t="s">
        <v>6806</v>
      </c>
    </row>
    <row r="281">
      <c r="A281" s="83" t="s">
        <v>6802</v>
      </c>
      <c r="B281" s="83" t="s">
        <v>6803</v>
      </c>
      <c r="C281" s="81" t="s">
        <v>4621</v>
      </c>
      <c r="D281" s="83" t="s">
        <v>4399</v>
      </c>
      <c r="E281" s="81" t="s">
        <v>1723</v>
      </c>
      <c r="F281" s="81">
        <v>341.0</v>
      </c>
      <c r="G281" s="83" t="s">
        <v>6793</v>
      </c>
      <c r="H281" s="83" t="s">
        <v>6805</v>
      </c>
      <c r="I281" s="81" t="s">
        <v>6806</v>
      </c>
    </row>
    <row r="282">
      <c r="A282" s="83" t="s">
        <v>6802</v>
      </c>
      <c r="B282" s="83" t="s">
        <v>6803</v>
      </c>
      <c r="C282" s="81" t="s">
        <v>4621</v>
      </c>
      <c r="D282" s="83" t="s">
        <v>4401</v>
      </c>
      <c r="E282" s="81" t="s">
        <v>1736</v>
      </c>
      <c r="F282" s="81">
        <v>343.0</v>
      </c>
      <c r="G282" s="83" t="s">
        <v>6793</v>
      </c>
      <c r="H282" s="83" t="s">
        <v>6805</v>
      </c>
      <c r="I282" s="81" t="s">
        <v>6806</v>
      </c>
    </row>
    <row r="283">
      <c r="A283" s="83" t="s">
        <v>6802</v>
      </c>
      <c r="B283" s="83" t="s">
        <v>6803</v>
      </c>
      <c r="C283" s="81" t="s">
        <v>4621</v>
      </c>
      <c r="D283" s="83" t="s">
        <v>4411</v>
      </c>
      <c r="E283" s="81" t="s">
        <v>1789</v>
      </c>
      <c r="F283" s="81">
        <v>356.0</v>
      </c>
      <c r="G283" s="83" t="s">
        <v>6793</v>
      </c>
      <c r="H283" s="83" t="s">
        <v>6805</v>
      </c>
      <c r="I283" s="81" t="s">
        <v>6806</v>
      </c>
    </row>
    <row r="284">
      <c r="A284" s="83" t="s">
        <v>6802</v>
      </c>
      <c r="B284" s="83" t="s">
        <v>6803</v>
      </c>
      <c r="C284" s="81" t="s">
        <v>4621</v>
      </c>
      <c r="D284" s="83" t="s">
        <v>4412</v>
      </c>
      <c r="E284" s="81" t="s">
        <v>1790</v>
      </c>
      <c r="F284" s="81">
        <v>357.0</v>
      </c>
      <c r="G284" s="83" t="s">
        <v>6793</v>
      </c>
      <c r="H284" s="83" t="s">
        <v>6805</v>
      </c>
      <c r="I284" s="81" t="s">
        <v>6806</v>
      </c>
    </row>
    <row r="285">
      <c r="A285" s="83" t="s">
        <v>6802</v>
      </c>
      <c r="B285" s="83" t="s">
        <v>6803</v>
      </c>
      <c r="C285" s="81" t="s">
        <v>4621</v>
      </c>
      <c r="D285" s="83" t="s">
        <v>4420</v>
      </c>
      <c r="E285" s="81" t="s">
        <v>1844</v>
      </c>
      <c r="F285" s="81">
        <v>366.0</v>
      </c>
      <c r="G285" s="83" t="s">
        <v>6793</v>
      </c>
      <c r="H285" s="83" t="s">
        <v>6805</v>
      </c>
      <c r="I285" s="81" t="s">
        <v>6806</v>
      </c>
    </row>
    <row r="286">
      <c r="A286" s="83" t="s">
        <v>6802</v>
      </c>
      <c r="B286" s="83" t="s">
        <v>6803</v>
      </c>
      <c r="C286" s="81" t="s">
        <v>4621</v>
      </c>
      <c r="D286" s="83" t="s">
        <v>4424</v>
      </c>
      <c r="E286" s="81" t="s">
        <v>1861</v>
      </c>
      <c r="F286" s="81">
        <v>370.0</v>
      </c>
      <c r="G286" s="83" t="s">
        <v>6793</v>
      </c>
      <c r="H286" s="83" t="s">
        <v>6805</v>
      </c>
      <c r="I286" s="81" t="s">
        <v>6806</v>
      </c>
    </row>
    <row r="287">
      <c r="A287" s="83" t="s">
        <v>6802</v>
      </c>
      <c r="B287" s="83" t="s">
        <v>6803</v>
      </c>
      <c r="C287" s="81" t="s">
        <v>4621</v>
      </c>
      <c r="D287" s="83" t="s">
        <v>4427</v>
      </c>
      <c r="E287" s="81" t="s">
        <v>1874</v>
      </c>
      <c r="F287" s="81">
        <v>373.0</v>
      </c>
      <c r="G287" s="83" t="s">
        <v>6793</v>
      </c>
      <c r="H287" s="83" t="s">
        <v>6805</v>
      </c>
      <c r="I287" s="81" t="s">
        <v>6806</v>
      </c>
    </row>
    <row r="288">
      <c r="A288" s="83" t="s">
        <v>6802</v>
      </c>
      <c r="B288" s="83" t="s">
        <v>6803</v>
      </c>
      <c r="C288" s="81" t="s">
        <v>4621</v>
      </c>
      <c r="D288" s="83" t="s">
        <v>4428</v>
      </c>
      <c r="E288" s="81" t="s">
        <v>1886</v>
      </c>
      <c r="F288" s="81">
        <v>374.0</v>
      </c>
      <c r="G288" s="83" t="s">
        <v>6793</v>
      </c>
      <c r="H288" s="83" t="s">
        <v>6805</v>
      </c>
      <c r="I288" s="81" t="s">
        <v>6806</v>
      </c>
    </row>
    <row r="289">
      <c r="A289" s="83" t="s">
        <v>6802</v>
      </c>
      <c r="B289" s="83" t="s">
        <v>6803</v>
      </c>
      <c r="C289" s="81" t="s">
        <v>4621</v>
      </c>
      <c r="D289" s="83" t="s">
        <v>4430</v>
      </c>
      <c r="E289" s="81" t="s">
        <v>1911</v>
      </c>
      <c r="F289" s="81">
        <v>376.0</v>
      </c>
      <c r="G289" s="83" t="s">
        <v>6793</v>
      </c>
      <c r="H289" s="83" t="s">
        <v>6805</v>
      </c>
      <c r="I289" s="81" t="s">
        <v>6806</v>
      </c>
    </row>
    <row r="290">
      <c r="A290" s="83" t="s">
        <v>6802</v>
      </c>
      <c r="B290" s="83" t="s">
        <v>6803</v>
      </c>
      <c r="C290" s="81" t="s">
        <v>4621</v>
      </c>
      <c r="D290" s="83" t="s">
        <v>4431</v>
      </c>
      <c r="E290" s="81" t="s">
        <v>1934</v>
      </c>
      <c r="F290" s="81">
        <v>378.0</v>
      </c>
      <c r="G290" s="83" t="s">
        <v>6793</v>
      </c>
      <c r="H290" s="83" t="s">
        <v>6805</v>
      </c>
      <c r="I290" s="81" t="s">
        <v>6806</v>
      </c>
    </row>
    <row r="291">
      <c r="A291" s="83" t="s">
        <v>6802</v>
      </c>
      <c r="B291" s="83" t="s">
        <v>6803</v>
      </c>
      <c r="C291" s="81" t="s">
        <v>4621</v>
      </c>
      <c r="D291" s="83" t="s">
        <v>4433</v>
      </c>
      <c r="E291" s="81" t="s">
        <v>1963</v>
      </c>
      <c r="F291" s="81">
        <v>382.0</v>
      </c>
      <c r="G291" s="83" t="s">
        <v>6793</v>
      </c>
      <c r="H291" s="83" t="s">
        <v>6805</v>
      </c>
      <c r="I291" s="81" t="s">
        <v>6806</v>
      </c>
    </row>
    <row r="292">
      <c r="A292" s="83" t="s">
        <v>6802</v>
      </c>
      <c r="B292" s="83" t="s">
        <v>6803</v>
      </c>
      <c r="C292" s="81" t="s">
        <v>4621</v>
      </c>
      <c r="D292" s="83" t="s">
        <v>4435</v>
      </c>
      <c r="E292" s="81" t="s">
        <v>1987</v>
      </c>
      <c r="F292" s="81">
        <v>386.0</v>
      </c>
      <c r="G292" s="83" t="s">
        <v>6793</v>
      </c>
      <c r="H292" s="83" t="s">
        <v>6805</v>
      </c>
      <c r="I292" s="81" t="s">
        <v>6806</v>
      </c>
    </row>
    <row r="293">
      <c r="A293" s="83" t="s">
        <v>6802</v>
      </c>
      <c r="B293" s="83" t="s">
        <v>6803</v>
      </c>
      <c r="C293" s="81" t="s">
        <v>4621</v>
      </c>
      <c r="D293" s="83" t="s">
        <v>4438</v>
      </c>
      <c r="E293" s="81" t="s">
        <v>2002</v>
      </c>
      <c r="F293" s="81">
        <v>390.0</v>
      </c>
      <c r="G293" s="83" t="s">
        <v>6793</v>
      </c>
      <c r="H293" s="83" t="s">
        <v>6805</v>
      </c>
      <c r="I293" s="81" t="s">
        <v>6806</v>
      </c>
    </row>
    <row r="294">
      <c r="A294" s="83" t="s">
        <v>6802</v>
      </c>
      <c r="B294" s="83" t="s">
        <v>6803</v>
      </c>
      <c r="C294" s="81" t="s">
        <v>4621</v>
      </c>
      <c r="D294" s="83" t="s">
        <v>4439</v>
      </c>
      <c r="E294" s="81" t="s">
        <v>2021</v>
      </c>
      <c r="F294" s="81">
        <v>392.0</v>
      </c>
      <c r="G294" s="83" t="s">
        <v>6793</v>
      </c>
      <c r="H294" s="83" t="s">
        <v>6805</v>
      </c>
      <c r="I294" s="81" t="s">
        <v>6806</v>
      </c>
    </row>
    <row r="295">
      <c r="A295" s="83" t="s">
        <v>6802</v>
      </c>
      <c r="B295" s="83" t="s">
        <v>6803</v>
      </c>
      <c r="C295" s="81" t="s">
        <v>4621</v>
      </c>
      <c r="D295" s="83" t="s">
        <v>4442</v>
      </c>
      <c r="E295" s="81" t="s">
        <v>2022</v>
      </c>
      <c r="F295" s="81">
        <v>393.0</v>
      </c>
      <c r="G295" s="83" t="s">
        <v>6793</v>
      </c>
      <c r="H295" s="83" t="s">
        <v>6805</v>
      </c>
      <c r="I295" s="81" t="s">
        <v>6806</v>
      </c>
    </row>
    <row r="296">
      <c r="A296" s="83" t="s">
        <v>6802</v>
      </c>
      <c r="B296" s="83" t="s">
        <v>6803</v>
      </c>
      <c r="C296" s="81" t="s">
        <v>4621</v>
      </c>
      <c r="D296" s="83" t="s">
        <v>4447</v>
      </c>
      <c r="E296" s="81" t="s">
        <v>2058</v>
      </c>
      <c r="F296" s="81">
        <v>397.0</v>
      </c>
      <c r="G296" s="83" t="s">
        <v>6793</v>
      </c>
      <c r="H296" s="83" t="s">
        <v>6805</v>
      </c>
      <c r="I296" s="81" t="s">
        <v>6806</v>
      </c>
    </row>
    <row r="297">
      <c r="A297" s="83" t="s">
        <v>6802</v>
      </c>
      <c r="B297" s="83" t="s">
        <v>6803</v>
      </c>
      <c r="C297" s="81" t="s">
        <v>4621</v>
      </c>
      <c r="D297" s="83" t="s">
        <v>4449</v>
      </c>
      <c r="E297" s="81" t="s">
        <v>2059</v>
      </c>
      <c r="F297" s="81">
        <v>398.0</v>
      </c>
      <c r="G297" s="83" t="s">
        <v>6793</v>
      </c>
      <c r="H297" s="83" t="s">
        <v>6805</v>
      </c>
      <c r="I297" s="81" t="s">
        <v>6806</v>
      </c>
    </row>
    <row r="298">
      <c r="A298" s="83" t="s">
        <v>6802</v>
      </c>
      <c r="B298" s="83" t="s">
        <v>6803</v>
      </c>
      <c r="C298" s="81" t="s">
        <v>4621</v>
      </c>
      <c r="D298" s="83" t="s">
        <v>4454</v>
      </c>
      <c r="E298" s="81" t="s">
        <v>2099</v>
      </c>
      <c r="F298" s="81">
        <v>403.0</v>
      </c>
      <c r="G298" s="83" t="s">
        <v>6793</v>
      </c>
      <c r="H298" s="83" t="s">
        <v>6805</v>
      </c>
      <c r="I298" s="81" t="s">
        <v>6806</v>
      </c>
    </row>
    <row r="299">
      <c r="A299" s="83" t="s">
        <v>6802</v>
      </c>
      <c r="B299" s="83" t="s">
        <v>6803</v>
      </c>
      <c r="C299" s="81" t="s">
        <v>4621</v>
      </c>
      <c r="D299" s="83" t="s">
        <v>4455</v>
      </c>
      <c r="E299" s="81" t="s">
        <v>2102</v>
      </c>
      <c r="F299" s="81">
        <v>404.0</v>
      </c>
      <c r="G299" s="83" t="s">
        <v>6793</v>
      </c>
      <c r="H299" s="83" t="s">
        <v>6805</v>
      </c>
      <c r="I299" s="81" t="s">
        <v>6806</v>
      </c>
    </row>
    <row r="300">
      <c r="A300" s="83" t="s">
        <v>6802</v>
      </c>
      <c r="B300" s="83" t="s">
        <v>6803</v>
      </c>
      <c r="C300" s="81" t="s">
        <v>4621</v>
      </c>
      <c r="D300" s="83" t="s">
        <v>4458</v>
      </c>
      <c r="E300" s="81" t="s">
        <v>2124</v>
      </c>
      <c r="F300" s="81">
        <v>407.0</v>
      </c>
      <c r="G300" s="83" t="s">
        <v>6793</v>
      </c>
      <c r="H300" s="83" t="s">
        <v>6805</v>
      </c>
      <c r="I300" s="81" t="s">
        <v>6806</v>
      </c>
    </row>
    <row r="301">
      <c r="A301" s="83" t="s">
        <v>6802</v>
      </c>
      <c r="B301" s="83" t="s">
        <v>6803</v>
      </c>
      <c r="C301" s="81" t="s">
        <v>4621</v>
      </c>
      <c r="D301" s="83" t="s">
        <v>4463</v>
      </c>
      <c r="E301" s="81" t="s">
        <v>2160</v>
      </c>
      <c r="F301" s="81">
        <v>414.0</v>
      </c>
      <c r="G301" s="83" t="s">
        <v>6793</v>
      </c>
      <c r="H301" s="83" t="s">
        <v>6805</v>
      </c>
      <c r="I301" s="81" t="s">
        <v>6806</v>
      </c>
    </row>
    <row r="302">
      <c r="A302" s="83" t="s">
        <v>6802</v>
      </c>
      <c r="B302" s="83" t="s">
        <v>6803</v>
      </c>
      <c r="C302" s="81" t="s">
        <v>4621</v>
      </c>
      <c r="D302" s="83" t="s">
        <v>4465</v>
      </c>
      <c r="E302" s="81" t="s">
        <v>2161</v>
      </c>
      <c r="F302" s="81">
        <v>415.0</v>
      </c>
      <c r="G302" s="83" t="s">
        <v>6793</v>
      </c>
      <c r="H302" s="83" t="s">
        <v>6805</v>
      </c>
      <c r="I302" s="81" t="s">
        <v>6806</v>
      </c>
    </row>
    <row r="303">
      <c r="A303" s="83" t="s">
        <v>6802</v>
      </c>
      <c r="B303" s="83" t="s">
        <v>6803</v>
      </c>
      <c r="C303" s="81" t="s">
        <v>4621</v>
      </c>
      <c r="D303" s="83" t="s">
        <v>4489</v>
      </c>
      <c r="E303" s="81" t="s">
        <v>2282</v>
      </c>
      <c r="F303" s="81">
        <v>438.0</v>
      </c>
      <c r="G303" s="83" t="s">
        <v>6793</v>
      </c>
      <c r="H303" s="83" t="s">
        <v>6805</v>
      </c>
      <c r="I303" s="81" t="s">
        <v>6806</v>
      </c>
    </row>
    <row r="304">
      <c r="A304" s="83" t="s">
        <v>6802</v>
      </c>
      <c r="B304" s="83" t="s">
        <v>6803</v>
      </c>
      <c r="C304" s="81" t="s">
        <v>4621</v>
      </c>
      <c r="D304" s="83" t="s">
        <v>4498</v>
      </c>
      <c r="E304" s="81" t="s">
        <v>2324</v>
      </c>
      <c r="F304" s="81">
        <v>449.0</v>
      </c>
      <c r="G304" s="83" t="s">
        <v>6793</v>
      </c>
      <c r="H304" s="83" t="s">
        <v>6805</v>
      </c>
      <c r="I304" s="81" t="s">
        <v>6806</v>
      </c>
    </row>
    <row r="305">
      <c r="A305" s="83" t="s">
        <v>6802</v>
      </c>
      <c r="B305" s="83" t="s">
        <v>6803</v>
      </c>
      <c r="C305" s="81" t="s">
        <v>4621</v>
      </c>
      <c r="D305" s="83" t="s">
        <v>4504</v>
      </c>
      <c r="E305" s="81" t="s">
        <v>2335</v>
      </c>
      <c r="F305" s="81">
        <v>453.0</v>
      </c>
      <c r="G305" s="83" t="s">
        <v>6793</v>
      </c>
      <c r="H305" s="83" t="s">
        <v>6805</v>
      </c>
      <c r="I305" s="81" t="s">
        <v>6806</v>
      </c>
    </row>
    <row r="306">
      <c r="A306" s="83" t="s">
        <v>6802</v>
      </c>
      <c r="B306" s="83" t="s">
        <v>6803</v>
      </c>
      <c r="C306" s="81" t="s">
        <v>4621</v>
      </c>
      <c r="D306" s="83" t="s">
        <v>4507</v>
      </c>
      <c r="E306" s="81" t="s">
        <v>2349</v>
      </c>
      <c r="F306" s="81">
        <v>456.0</v>
      </c>
      <c r="G306" s="83" t="s">
        <v>6793</v>
      </c>
      <c r="H306" s="83" t="s">
        <v>6805</v>
      </c>
      <c r="I306" s="81" t="s">
        <v>6806</v>
      </c>
    </row>
    <row r="307">
      <c r="A307" s="83" t="s">
        <v>6802</v>
      </c>
      <c r="B307" s="83" t="s">
        <v>6803</v>
      </c>
      <c r="C307" s="81" t="s">
        <v>4621</v>
      </c>
      <c r="D307" s="83" t="s">
        <v>4509</v>
      </c>
      <c r="E307" s="81" t="s">
        <v>2355</v>
      </c>
      <c r="F307" s="81">
        <v>458.0</v>
      </c>
      <c r="G307" s="83" t="s">
        <v>6793</v>
      </c>
      <c r="H307" s="83" t="s">
        <v>6805</v>
      </c>
      <c r="I307" s="81" t="s">
        <v>6806</v>
      </c>
    </row>
    <row r="308">
      <c r="A308" s="83" t="s">
        <v>6802</v>
      </c>
      <c r="B308" s="83" t="s">
        <v>6803</v>
      </c>
      <c r="C308" s="81" t="s">
        <v>4621</v>
      </c>
      <c r="D308" s="83" t="s">
        <v>4519</v>
      </c>
      <c r="E308" s="81" t="s">
        <v>2402</v>
      </c>
      <c r="F308" s="81">
        <v>468.0</v>
      </c>
      <c r="G308" s="83" t="s">
        <v>6793</v>
      </c>
      <c r="H308" s="83" t="s">
        <v>6805</v>
      </c>
      <c r="I308" s="81" t="s">
        <v>6806</v>
      </c>
    </row>
    <row r="309">
      <c r="A309" s="83" t="s">
        <v>6802</v>
      </c>
      <c r="B309" s="83" t="s">
        <v>6803</v>
      </c>
      <c r="C309" s="81" t="s">
        <v>4621</v>
      </c>
      <c r="D309" s="83" t="s">
        <v>4520</v>
      </c>
      <c r="E309" s="81" t="s">
        <v>2414</v>
      </c>
      <c r="F309" s="81">
        <v>470.0</v>
      </c>
      <c r="G309" s="83" t="s">
        <v>6793</v>
      </c>
      <c r="H309" s="83" t="s">
        <v>6805</v>
      </c>
      <c r="I309" s="81" t="s">
        <v>6806</v>
      </c>
    </row>
    <row r="310">
      <c r="A310" s="83" t="s">
        <v>6802</v>
      </c>
      <c r="B310" s="83" t="s">
        <v>6803</v>
      </c>
      <c r="C310" s="81" t="s">
        <v>4621</v>
      </c>
      <c r="D310" s="83" t="s">
        <v>4523</v>
      </c>
      <c r="E310" s="81" t="s">
        <v>2416</v>
      </c>
      <c r="F310" s="81">
        <v>471.0</v>
      </c>
      <c r="G310" s="83" t="s">
        <v>6793</v>
      </c>
      <c r="H310" s="83" t="s">
        <v>6805</v>
      </c>
      <c r="I310" s="81" t="s">
        <v>6806</v>
      </c>
    </row>
    <row r="311">
      <c r="A311" s="83" t="s">
        <v>6802</v>
      </c>
      <c r="B311" s="83" t="s">
        <v>6803</v>
      </c>
      <c r="C311" s="81" t="s">
        <v>4621</v>
      </c>
      <c r="D311" s="83" t="s">
        <v>4534</v>
      </c>
      <c r="E311" s="81" t="s">
        <v>2516</v>
      </c>
      <c r="F311" s="81">
        <v>481.0</v>
      </c>
      <c r="G311" s="83" t="s">
        <v>6793</v>
      </c>
      <c r="H311" s="83" t="s">
        <v>6805</v>
      </c>
      <c r="I311" s="81" t="s">
        <v>6806</v>
      </c>
    </row>
    <row r="312">
      <c r="A312" s="83" t="s">
        <v>6802</v>
      </c>
      <c r="B312" s="83" t="s">
        <v>6803</v>
      </c>
      <c r="C312" s="81" t="s">
        <v>4621</v>
      </c>
      <c r="D312" s="83" t="s">
        <v>4540</v>
      </c>
      <c r="E312" s="81" t="s">
        <v>2562</v>
      </c>
      <c r="F312" s="81">
        <v>488.0</v>
      </c>
      <c r="G312" s="83" t="s">
        <v>6793</v>
      </c>
      <c r="H312" s="83" t="s">
        <v>6805</v>
      </c>
      <c r="I312" s="81" t="s">
        <v>6806</v>
      </c>
    </row>
    <row r="313">
      <c r="A313" s="83" t="s">
        <v>6802</v>
      </c>
      <c r="B313" s="83" t="s">
        <v>6803</v>
      </c>
      <c r="C313" s="81" t="s">
        <v>4621</v>
      </c>
      <c r="D313" s="83" t="s">
        <v>4543</v>
      </c>
      <c r="E313" s="81" t="s">
        <v>2563</v>
      </c>
      <c r="F313" s="81">
        <v>489.0</v>
      </c>
      <c r="G313" s="83" t="s">
        <v>6793</v>
      </c>
      <c r="H313" s="83" t="s">
        <v>6805</v>
      </c>
      <c r="I313" s="81" t="s">
        <v>6806</v>
      </c>
    </row>
    <row r="314">
      <c r="A314" s="83" t="s">
        <v>6802</v>
      </c>
      <c r="B314" s="83" t="s">
        <v>6803</v>
      </c>
      <c r="C314" s="81" t="s">
        <v>4621</v>
      </c>
      <c r="D314" s="83" t="s">
        <v>4546</v>
      </c>
      <c r="E314" s="81" t="s">
        <v>2574</v>
      </c>
      <c r="F314" s="81">
        <v>492.0</v>
      </c>
      <c r="G314" s="83" t="s">
        <v>6793</v>
      </c>
      <c r="H314" s="83" t="s">
        <v>6805</v>
      </c>
      <c r="I314" s="81" t="s">
        <v>6806</v>
      </c>
    </row>
    <row r="315">
      <c r="A315" s="83" t="s">
        <v>6802</v>
      </c>
      <c r="B315" s="83" t="s">
        <v>6803</v>
      </c>
      <c r="C315" s="81" t="s">
        <v>4621</v>
      </c>
      <c r="D315" s="83" t="s">
        <v>4547</v>
      </c>
      <c r="E315" s="81" t="s">
        <v>2577</v>
      </c>
      <c r="F315" s="81">
        <v>493.0</v>
      </c>
      <c r="G315" s="83" t="s">
        <v>6793</v>
      </c>
      <c r="H315" s="83" t="s">
        <v>6805</v>
      </c>
      <c r="I315" s="81" t="s">
        <v>6806</v>
      </c>
    </row>
    <row r="316">
      <c r="A316" s="83" t="s">
        <v>6802</v>
      </c>
      <c r="B316" s="83" t="s">
        <v>6803</v>
      </c>
      <c r="C316" s="81" t="s">
        <v>4621</v>
      </c>
      <c r="D316" s="83" t="s">
        <v>4548</v>
      </c>
      <c r="E316" s="81" t="s">
        <v>2585</v>
      </c>
      <c r="F316" s="81">
        <v>494.0</v>
      </c>
      <c r="G316" s="83" t="s">
        <v>6793</v>
      </c>
      <c r="H316" s="83" t="s">
        <v>6805</v>
      </c>
      <c r="I316" s="81" t="s">
        <v>6806</v>
      </c>
    </row>
    <row r="317">
      <c r="A317" s="83" t="s">
        <v>6802</v>
      </c>
      <c r="B317" s="83" t="s">
        <v>6803</v>
      </c>
      <c r="C317" s="81" t="s">
        <v>4621</v>
      </c>
      <c r="D317" s="83" t="s">
        <v>4552</v>
      </c>
      <c r="E317" s="81" t="s">
        <v>2596</v>
      </c>
      <c r="F317" s="81">
        <v>498.0</v>
      </c>
      <c r="G317" s="83" t="s">
        <v>6793</v>
      </c>
      <c r="H317" s="83" t="s">
        <v>6805</v>
      </c>
      <c r="I317" s="81" t="s">
        <v>6806</v>
      </c>
    </row>
    <row r="318">
      <c r="A318" s="83" t="s">
        <v>6802</v>
      </c>
      <c r="B318" s="83" t="s">
        <v>6803</v>
      </c>
      <c r="C318" s="81" t="s">
        <v>4621</v>
      </c>
      <c r="D318" s="83" t="s">
        <v>4587</v>
      </c>
      <c r="E318" s="81" t="s">
        <v>2778</v>
      </c>
      <c r="F318" s="81">
        <v>538.0</v>
      </c>
      <c r="G318" s="83" t="s">
        <v>6793</v>
      </c>
      <c r="H318" s="83" t="s">
        <v>6805</v>
      </c>
      <c r="I318" s="81" t="s">
        <v>6806</v>
      </c>
    </row>
    <row r="319">
      <c r="A319" s="83" t="s">
        <v>6802</v>
      </c>
      <c r="B319" s="83" t="s">
        <v>6803</v>
      </c>
      <c r="C319" s="81" t="s">
        <v>4621</v>
      </c>
      <c r="D319" s="83" t="s">
        <v>4588</v>
      </c>
      <c r="E319" s="81" t="s">
        <v>2779</v>
      </c>
      <c r="F319" s="81">
        <v>539.0</v>
      </c>
      <c r="G319" s="83" t="s">
        <v>6793</v>
      </c>
      <c r="H319" s="83" t="s">
        <v>6805</v>
      </c>
      <c r="I319" s="81" t="s">
        <v>6806</v>
      </c>
    </row>
    <row r="320">
      <c r="A320" s="83" t="s">
        <v>6802</v>
      </c>
      <c r="B320" s="83" t="s">
        <v>6803</v>
      </c>
      <c r="C320" s="81" t="s">
        <v>4621</v>
      </c>
      <c r="D320" s="83" t="s">
        <v>4591</v>
      </c>
      <c r="E320" s="81" t="s">
        <v>2795</v>
      </c>
      <c r="F320" s="81">
        <v>542.0</v>
      </c>
      <c r="G320" s="83" t="s">
        <v>6793</v>
      </c>
      <c r="H320" s="83" t="s">
        <v>6805</v>
      </c>
      <c r="I320" s="81" t="s">
        <v>6806</v>
      </c>
    </row>
    <row r="321">
      <c r="A321" s="83" t="s">
        <v>6802</v>
      </c>
      <c r="B321" s="83" t="s">
        <v>6803</v>
      </c>
      <c r="C321" s="81" t="s">
        <v>4621</v>
      </c>
      <c r="D321" s="83" t="s">
        <v>4593</v>
      </c>
      <c r="E321" s="81" t="s">
        <v>2805</v>
      </c>
      <c r="F321" s="81">
        <v>543.0</v>
      </c>
      <c r="G321" s="83" t="s">
        <v>6793</v>
      </c>
      <c r="H321" s="83" t="s">
        <v>6805</v>
      </c>
      <c r="I321" s="81" t="s">
        <v>6806</v>
      </c>
    </row>
    <row r="322">
      <c r="A322" s="83" t="s">
        <v>6802</v>
      </c>
      <c r="B322" s="83" t="s">
        <v>6803</v>
      </c>
      <c r="C322" s="81" t="s">
        <v>4621</v>
      </c>
      <c r="D322" s="83" t="s">
        <v>4599</v>
      </c>
      <c r="E322" s="81" t="s">
        <v>2869</v>
      </c>
      <c r="F322" s="81">
        <v>551.0</v>
      </c>
      <c r="G322" s="83" t="s">
        <v>6793</v>
      </c>
      <c r="H322" s="83" t="s">
        <v>6805</v>
      </c>
      <c r="I322" s="81" t="s">
        <v>6806</v>
      </c>
    </row>
    <row r="323">
      <c r="A323" s="83" t="s">
        <v>6802</v>
      </c>
      <c r="B323" s="83" t="s">
        <v>6803</v>
      </c>
      <c r="C323" s="81" t="s">
        <v>4621</v>
      </c>
      <c r="D323" s="83" t="s">
        <v>4600</v>
      </c>
      <c r="E323" s="81" t="s">
        <v>2870</v>
      </c>
      <c r="F323" s="81">
        <v>552.0</v>
      </c>
      <c r="G323" s="83" t="s">
        <v>6793</v>
      </c>
      <c r="H323" s="83" t="s">
        <v>6805</v>
      </c>
      <c r="I323" s="81" t="s">
        <v>6806</v>
      </c>
    </row>
    <row r="324">
      <c r="A324" s="83" t="s">
        <v>6802</v>
      </c>
      <c r="B324" s="83" t="s">
        <v>6803</v>
      </c>
      <c r="C324" s="81" t="s">
        <v>4621</v>
      </c>
      <c r="D324" s="83" t="s">
        <v>4617</v>
      </c>
      <c r="E324" s="81" t="s">
        <v>2933</v>
      </c>
      <c r="F324" s="81">
        <v>566.0</v>
      </c>
      <c r="G324" s="83" t="s">
        <v>6793</v>
      </c>
      <c r="H324" s="83" t="s">
        <v>6805</v>
      </c>
      <c r="I324" s="81" t="s">
        <v>6806</v>
      </c>
    </row>
    <row r="325">
      <c r="A325" s="83" t="s">
        <v>6802</v>
      </c>
      <c r="B325" s="83" t="s">
        <v>6803</v>
      </c>
      <c r="C325" s="81" t="s">
        <v>4621</v>
      </c>
      <c r="D325" s="83" t="s">
        <v>4627</v>
      </c>
      <c r="E325" s="81" t="s">
        <v>2962</v>
      </c>
      <c r="F325" s="81">
        <v>570.0</v>
      </c>
      <c r="G325" s="83" t="s">
        <v>6793</v>
      </c>
      <c r="H325" s="83" t="s">
        <v>6805</v>
      </c>
      <c r="I325" s="81" t="s">
        <v>6806</v>
      </c>
    </row>
    <row r="326">
      <c r="A326" s="83" t="s">
        <v>6802</v>
      </c>
      <c r="B326" s="83" t="s">
        <v>6803</v>
      </c>
      <c r="C326" s="81" t="s">
        <v>4621</v>
      </c>
      <c r="D326" s="83" t="s">
        <v>4628</v>
      </c>
      <c r="E326" s="81" t="s">
        <v>2978</v>
      </c>
      <c r="F326" s="81">
        <v>572.0</v>
      </c>
      <c r="G326" s="83" t="s">
        <v>6793</v>
      </c>
      <c r="H326" s="83" t="s">
        <v>6805</v>
      </c>
      <c r="I326" s="81" t="s">
        <v>6806</v>
      </c>
    </row>
    <row r="327">
      <c r="A327" s="83" t="s">
        <v>6802</v>
      </c>
      <c r="B327" s="83" t="s">
        <v>6803</v>
      </c>
      <c r="C327" s="81" t="s">
        <v>4621</v>
      </c>
      <c r="D327" s="83" t="s">
        <v>4633</v>
      </c>
      <c r="E327" s="81" t="s">
        <v>2996</v>
      </c>
      <c r="F327" s="81">
        <v>576.0</v>
      </c>
      <c r="G327" s="83" t="s">
        <v>6793</v>
      </c>
      <c r="H327" s="83" t="s">
        <v>6805</v>
      </c>
      <c r="I327" s="81" t="s">
        <v>6806</v>
      </c>
    </row>
    <row r="328">
      <c r="A328" s="83" t="s">
        <v>6802</v>
      </c>
      <c r="B328" s="83" t="s">
        <v>6803</v>
      </c>
      <c r="C328" s="81" t="s">
        <v>4621</v>
      </c>
      <c r="D328" s="83" t="s">
        <v>4634</v>
      </c>
      <c r="E328" s="81" t="s">
        <v>3009</v>
      </c>
      <c r="F328" s="81">
        <v>578.0</v>
      </c>
      <c r="G328" s="83" t="s">
        <v>6793</v>
      </c>
      <c r="H328" s="83" t="s">
        <v>6805</v>
      </c>
      <c r="I328" s="81" t="s">
        <v>6806</v>
      </c>
    </row>
    <row r="329">
      <c r="A329" s="83" t="s">
        <v>6802</v>
      </c>
      <c r="B329" s="83" t="s">
        <v>6803</v>
      </c>
      <c r="C329" s="81" t="s">
        <v>4621</v>
      </c>
      <c r="D329" s="83" t="s">
        <v>4636</v>
      </c>
      <c r="E329" s="81" t="s">
        <v>3010</v>
      </c>
      <c r="F329" s="81">
        <v>579.0</v>
      </c>
      <c r="G329" s="83" t="s">
        <v>6793</v>
      </c>
      <c r="H329" s="83" t="s">
        <v>6805</v>
      </c>
      <c r="I329" s="81" t="s">
        <v>6806</v>
      </c>
    </row>
    <row r="330">
      <c r="A330" s="83" t="s">
        <v>6802</v>
      </c>
      <c r="B330" s="83" t="s">
        <v>6803</v>
      </c>
      <c r="C330" s="81" t="s">
        <v>4621</v>
      </c>
      <c r="D330" s="83" t="s">
        <v>4648</v>
      </c>
      <c r="E330" s="81" t="s">
        <v>3090</v>
      </c>
      <c r="F330" s="81">
        <v>593.0</v>
      </c>
      <c r="G330" s="83" t="s">
        <v>6793</v>
      </c>
      <c r="H330" s="83" t="s">
        <v>6805</v>
      </c>
      <c r="I330" s="81" t="s">
        <v>6806</v>
      </c>
    </row>
    <row r="331">
      <c r="A331" s="83" t="s">
        <v>6802</v>
      </c>
      <c r="B331" s="83" t="s">
        <v>6803</v>
      </c>
      <c r="C331" s="81" t="s">
        <v>4621</v>
      </c>
      <c r="D331" s="83" t="s">
        <v>4650</v>
      </c>
      <c r="E331" s="81" t="s">
        <v>3091</v>
      </c>
      <c r="F331" s="81">
        <v>594.0</v>
      </c>
      <c r="G331" s="83" t="s">
        <v>6793</v>
      </c>
      <c r="H331" s="83" t="s">
        <v>6805</v>
      </c>
      <c r="I331" s="81" t="s">
        <v>6806</v>
      </c>
    </row>
    <row r="332">
      <c r="A332" s="83" t="s">
        <v>6802</v>
      </c>
      <c r="B332" s="83" t="s">
        <v>6803</v>
      </c>
      <c r="C332" s="81" t="s">
        <v>4621</v>
      </c>
      <c r="D332" s="83" t="s">
        <v>4651</v>
      </c>
      <c r="E332" s="81" t="s">
        <v>3094</v>
      </c>
      <c r="F332" s="81">
        <v>595.0</v>
      </c>
      <c r="G332" s="83" t="s">
        <v>6793</v>
      </c>
      <c r="H332" s="83" t="s">
        <v>6805</v>
      </c>
      <c r="I332" s="81" t="s">
        <v>6806</v>
      </c>
    </row>
    <row r="333">
      <c r="A333" s="83" t="s">
        <v>6802</v>
      </c>
      <c r="B333" s="83" t="s">
        <v>6803</v>
      </c>
      <c r="C333" s="81" t="s">
        <v>4621</v>
      </c>
      <c r="D333" s="83" t="s">
        <v>4654</v>
      </c>
      <c r="E333" s="81" t="s">
        <v>3107</v>
      </c>
      <c r="F333" s="81">
        <v>596.0</v>
      </c>
      <c r="G333" s="83" t="s">
        <v>6793</v>
      </c>
      <c r="H333" s="83" t="s">
        <v>6805</v>
      </c>
      <c r="I333" s="81" t="s">
        <v>6806</v>
      </c>
    </row>
    <row r="334">
      <c r="A334" s="83" t="s">
        <v>6802</v>
      </c>
      <c r="B334" s="83" t="s">
        <v>6803</v>
      </c>
      <c r="C334" s="81" t="s">
        <v>4621</v>
      </c>
      <c r="D334" s="83" t="s">
        <v>4657</v>
      </c>
      <c r="E334" s="81" t="s">
        <v>3118</v>
      </c>
      <c r="F334" s="81">
        <v>597.0</v>
      </c>
      <c r="G334" s="83" t="s">
        <v>6793</v>
      </c>
      <c r="H334" s="83" t="s">
        <v>6805</v>
      </c>
      <c r="I334" s="81" t="s">
        <v>6806</v>
      </c>
    </row>
    <row r="335">
      <c r="A335" s="83" t="s">
        <v>6802</v>
      </c>
      <c r="B335" s="83" t="s">
        <v>6803</v>
      </c>
      <c r="C335" s="81" t="s">
        <v>4621</v>
      </c>
      <c r="D335" s="83" t="s">
        <v>4663</v>
      </c>
      <c r="E335" s="81" t="s">
        <v>3138</v>
      </c>
      <c r="F335" s="81">
        <v>599.0</v>
      </c>
      <c r="G335" s="83" t="s">
        <v>6793</v>
      </c>
      <c r="H335" s="83" t="s">
        <v>6805</v>
      </c>
      <c r="I335" s="81" t="s">
        <v>6806</v>
      </c>
    </row>
    <row r="336">
      <c r="A336" s="83" t="s">
        <v>6802</v>
      </c>
      <c r="B336" s="83" t="s">
        <v>6803</v>
      </c>
      <c r="C336" s="81" t="s">
        <v>4621</v>
      </c>
      <c r="D336" s="83" t="s">
        <v>4666</v>
      </c>
      <c r="E336" s="81" t="s">
        <v>3148</v>
      </c>
      <c r="F336" s="81">
        <v>600.0</v>
      </c>
      <c r="G336" s="83" t="s">
        <v>6793</v>
      </c>
      <c r="H336" s="83" t="s">
        <v>6805</v>
      </c>
      <c r="I336" s="81" t="s">
        <v>6806</v>
      </c>
    </row>
    <row r="337">
      <c r="A337" s="83" t="s">
        <v>6802</v>
      </c>
      <c r="B337" s="83" t="s">
        <v>6803</v>
      </c>
      <c r="C337" s="81" t="s">
        <v>4621</v>
      </c>
      <c r="D337" s="83" t="s">
        <v>4669</v>
      </c>
      <c r="E337" s="81" t="s">
        <v>3160</v>
      </c>
      <c r="F337" s="81">
        <v>601.0</v>
      </c>
      <c r="G337" s="83" t="s">
        <v>6793</v>
      </c>
      <c r="H337" s="83" t="s">
        <v>6805</v>
      </c>
      <c r="I337" s="81" t="s">
        <v>6806</v>
      </c>
    </row>
    <row r="338">
      <c r="A338" s="83" t="s">
        <v>6802</v>
      </c>
      <c r="B338" s="83" t="s">
        <v>6803</v>
      </c>
      <c r="C338" s="81" t="s">
        <v>4621</v>
      </c>
      <c r="D338" s="83" t="s">
        <v>4672</v>
      </c>
      <c r="E338" s="81" t="s">
        <v>3182</v>
      </c>
      <c r="F338" s="81">
        <v>603.0</v>
      </c>
      <c r="G338" s="83" t="s">
        <v>6793</v>
      </c>
      <c r="H338" s="83" t="s">
        <v>6805</v>
      </c>
      <c r="I338" s="81" t="s">
        <v>6806</v>
      </c>
    </row>
    <row r="339">
      <c r="A339" s="83" t="s">
        <v>6802</v>
      </c>
      <c r="B339" s="83" t="s">
        <v>6803</v>
      </c>
      <c r="C339" s="81" t="s">
        <v>4621</v>
      </c>
      <c r="D339" s="83" t="s">
        <v>4674</v>
      </c>
      <c r="E339" s="81" t="s">
        <v>3183</v>
      </c>
      <c r="F339" s="81">
        <v>604.0</v>
      </c>
      <c r="G339" s="83" t="s">
        <v>6793</v>
      </c>
      <c r="H339" s="83" t="s">
        <v>6805</v>
      </c>
      <c r="I339" s="81" t="s">
        <v>6806</v>
      </c>
    </row>
    <row r="340">
      <c r="A340" s="83" t="s">
        <v>6802</v>
      </c>
      <c r="B340" s="83" t="s">
        <v>6803</v>
      </c>
      <c r="C340" s="81" t="s">
        <v>4621</v>
      </c>
      <c r="D340" s="83" t="s">
        <v>4678</v>
      </c>
      <c r="E340" s="81" t="s">
        <v>3209</v>
      </c>
      <c r="F340" s="81">
        <v>608.0</v>
      </c>
      <c r="G340" s="83" t="s">
        <v>6793</v>
      </c>
      <c r="H340" s="83" t="s">
        <v>6805</v>
      </c>
      <c r="I340" s="81" t="s">
        <v>6806</v>
      </c>
    </row>
    <row r="341">
      <c r="A341" s="83" t="s">
        <v>6802</v>
      </c>
      <c r="B341" s="83" t="s">
        <v>6803</v>
      </c>
      <c r="C341" s="81" t="s">
        <v>4621</v>
      </c>
      <c r="D341" s="83" t="s">
        <v>4679</v>
      </c>
      <c r="E341" s="81" t="s">
        <v>3219</v>
      </c>
      <c r="F341" s="81">
        <v>610.0</v>
      </c>
      <c r="G341" s="83" t="s">
        <v>6793</v>
      </c>
      <c r="H341" s="83" t="s">
        <v>6805</v>
      </c>
      <c r="I341" s="81" t="s">
        <v>6806</v>
      </c>
    </row>
    <row r="342">
      <c r="A342" s="83" t="s">
        <v>6802</v>
      </c>
      <c r="B342" s="83" t="s">
        <v>6803</v>
      </c>
      <c r="C342" s="81" t="s">
        <v>4621</v>
      </c>
      <c r="D342" s="83" t="s">
        <v>4681</v>
      </c>
      <c r="E342" s="81" t="s">
        <v>3223</v>
      </c>
      <c r="F342" s="81">
        <v>612.0</v>
      </c>
      <c r="G342" s="83" t="s">
        <v>6793</v>
      </c>
      <c r="H342" s="83" t="s">
        <v>6805</v>
      </c>
      <c r="I342" s="81" t="s">
        <v>6806</v>
      </c>
    </row>
    <row r="343">
      <c r="A343" s="83" t="s">
        <v>6802</v>
      </c>
      <c r="B343" s="83" t="s">
        <v>6803</v>
      </c>
      <c r="C343" s="81" t="s">
        <v>4621</v>
      </c>
      <c r="D343" s="83" t="s">
        <v>4682</v>
      </c>
      <c r="E343" s="81" t="s">
        <v>3226</v>
      </c>
      <c r="F343" s="81">
        <v>613.0</v>
      </c>
      <c r="G343" s="83" t="s">
        <v>6793</v>
      </c>
      <c r="H343" s="83" t="s">
        <v>6805</v>
      </c>
      <c r="I343" s="81" t="s">
        <v>6806</v>
      </c>
    </row>
    <row r="344">
      <c r="A344" s="83" t="s">
        <v>6802</v>
      </c>
      <c r="B344" s="83" t="s">
        <v>6803</v>
      </c>
      <c r="C344" s="81" t="s">
        <v>4621</v>
      </c>
      <c r="D344" s="83" t="s">
        <v>4683</v>
      </c>
      <c r="E344" s="81" t="s">
        <v>3235</v>
      </c>
      <c r="F344" s="81">
        <v>615.0</v>
      </c>
      <c r="G344" s="83" t="s">
        <v>6793</v>
      </c>
      <c r="H344" s="83" t="s">
        <v>6805</v>
      </c>
      <c r="I344" s="81" t="s">
        <v>6806</v>
      </c>
    </row>
    <row r="345">
      <c r="A345" s="83" t="s">
        <v>6802</v>
      </c>
      <c r="B345" s="83" t="s">
        <v>6803</v>
      </c>
      <c r="C345" s="81" t="s">
        <v>4621</v>
      </c>
      <c r="D345" s="83" t="s">
        <v>4685</v>
      </c>
      <c r="E345" s="81" t="s">
        <v>3247</v>
      </c>
      <c r="F345" s="81">
        <v>618.0</v>
      </c>
      <c r="G345" s="83" t="s">
        <v>6793</v>
      </c>
      <c r="H345" s="83" t="s">
        <v>6805</v>
      </c>
      <c r="I345" s="81" t="s">
        <v>6806</v>
      </c>
    </row>
    <row r="346">
      <c r="A346" s="83" t="s">
        <v>6802</v>
      </c>
      <c r="B346" s="83" t="s">
        <v>6803</v>
      </c>
      <c r="C346" s="81" t="s">
        <v>4621</v>
      </c>
      <c r="D346" s="83" t="s">
        <v>4697</v>
      </c>
      <c r="E346" s="81" t="s">
        <v>3311</v>
      </c>
      <c r="F346" s="81">
        <v>632.0</v>
      </c>
      <c r="G346" s="83" t="s">
        <v>6793</v>
      </c>
      <c r="H346" s="83" t="s">
        <v>6805</v>
      </c>
      <c r="I346" s="81" t="s">
        <v>6806</v>
      </c>
    </row>
    <row r="347">
      <c r="A347" s="83" t="s">
        <v>6802</v>
      </c>
      <c r="B347" s="83" t="s">
        <v>6803</v>
      </c>
      <c r="C347" s="81" t="s">
        <v>4621</v>
      </c>
      <c r="D347" s="83" t="s">
        <v>4699</v>
      </c>
      <c r="E347" s="81" t="s">
        <v>3328</v>
      </c>
      <c r="F347" s="81">
        <v>635.0</v>
      </c>
      <c r="G347" s="83" t="s">
        <v>6793</v>
      </c>
      <c r="H347" s="83" t="s">
        <v>6805</v>
      </c>
      <c r="I347" s="81" t="s">
        <v>6806</v>
      </c>
    </row>
    <row r="348">
      <c r="A348" s="83" t="s">
        <v>6802</v>
      </c>
      <c r="B348" s="83" t="s">
        <v>6803</v>
      </c>
      <c r="C348" s="81" t="s">
        <v>4621</v>
      </c>
      <c r="D348" s="83" t="s">
        <v>4703</v>
      </c>
      <c r="E348" s="81" t="s">
        <v>3353</v>
      </c>
      <c r="F348" s="81">
        <v>638.0</v>
      </c>
      <c r="G348" s="83" t="s">
        <v>6793</v>
      </c>
      <c r="H348" s="83" t="s">
        <v>6805</v>
      </c>
      <c r="I348" s="81" t="s">
        <v>6806</v>
      </c>
    </row>
    <row r="349">
      <c r="A349" s="83" t="s">
        <v>6802</v>
      </c>
      <c r="B349" s="83" t="s">
        <v>6803</v>
      </c>
      <c r="C349" s="81" t="s">
        <v>4621</v>
      </c>
      <c r="D349" s="83" t="s">
        <v>4705</v>
      </c>
      <c r="E349" s="81" t="s">
        <v>3354</v>
      </c>
      <c r="F349" s="81">
        <v>639.0</v>
      </c>
      <c r="G349" s="83" t="s">
        <v>6793</v>
      </c>
      <c r="H349" s="83" t="s">
        <v>6805</v>
      </c>
      <c r="I349" s="81" t="s">
        <v>6806</v>
      </c>
    </row>
    <row r="350">
      <c r="A350" s="83" t="s">
        <v>6802</v>
      </c>
      <c r="B350" s="83" t="s">
        <v>6803</v>
      </c>
      <c r="C350" s="81" t="s">
        <v>4621</v>
      </c>
      <c r="D350" s="83" t="s">
        <v>4706</v>
      </c>
      <c r="E350" s="81" t="s">
        <v>3359</v>
      </c>
      <c r="F350" s="81">
        <v>640.0</v>
      </c>
      <c r="G350" s="83" t="s">
        <v>6793</v>
      </c>
      <c r="H350" s="83" t="s">
        <v>6805</v>
      </c>
      <c r="I350" s="81" t="s">
        <v>6806</v>
      </c>
    </row>
    <row r="351">
      <c r="A351" s="83" t="s">
        <v>6802</v>
      </c>
      <c r="B351" s="83" t="s">
        <v>6803</v>
      </c>
      <c r="C351" s="81" t="s">
        <v>4621</v>
      </c>
      <c r="D351" s="83" t="s">
        <v>4707</v>
      </c>
      <c r="E351" s="81" t="s">
        <v>3369</v>
      </c>
      <c r="F351" s="81">
        <v>642.0</v>
      </c>
      <c r="G351" s="83" t="s">
        <v>6793</v>
      </c>
      <c r="H351" s="83" t="s">
        <v>6805</v>
      </c>
      <c r="I351" s="81" t="s">
        <v>6806</v>
      </c>
    </row>
    <row r="352">
      <c r="A352" s="83" t="s">
        <v>6802</v>
      </c>
      <c r="B352" s="83" t="s">
        <v>6803</v>
      </c>
      <c r="C352" s="81" t="s">
        <v>4621</v>
      </c>
      <c r="D352" s="83" t="s">
        <v>4709</v>
      </c>
      <c r="E352" s="81" t="s">
        <v>3370</v>
      </c>
      <c r="F352" s="81">
        <v>643.0</v>
      </c>
      <c r="G352" s="83" t="s">
        <v>6793</v>
      </c>
      <c r="H352" s="83" t="s">
        <v>6805</v>
      </c>
      <c r="I352" s="81" t="s">
        <v>6806</v>
      </c>
    </row>
    <row r="353">
      <c r="A353" s="83" t="s">
        <v>6802</v>
      </c>
      <c r="B353" s="83" t="s">
        <v>6803</v>
      </c>
      <c r="C353" s="81" t="s">
        <v>4621</v>
      </c>
      <c r="D353" s="83" t="s">
        <v>4710</v>
      </c>
      <c r="E353" s="81" t="s">
        <v>3372</v>
      </c>
      <c r="F353" s="81">
        <v>644.0</v>
      </c>
      <c r="G353" s="83" t="s">
        <v>6793</v>
      </c>
      <c r="H353" s="83" t="s">
        <v>6805</v>
      </c>
      <c r="I353" s="81" t="s">
        <v>6806</v>
      </c>
    </row>
    <row r="354">
      <c r="A354" s="83" t="s">
        <v>6802</v>
      </c>
      <c r="B354" s="83" t="s">
        <v>6803</v>
      </c>
      <c r="C354" s="81" t="s">
        <v>4621</v>
      </c>
      <c r="D354" s="83" t="s">
        <v>4711</v>
      </c>
      <c r="E354" s="81" t="s">
        <v>3389</v>
      </c>
      <c r="F354" s="81">
        <v>646.0</v>
      </c>
      <c r="G354" s="83" t="s">
        <v>6793</v>
      </c>
      <c r="H354" s="83" t="s">
        <v>6805</v>
      </c>
      <c r="I354" s="81" t="s">
        <v>6806</v>
      </c>
    </row>
    <row r="355">
      <c r="A355" s="83" t="s">
        <v>6802</v>
      </c>
      <c r="B355" s="83" t="s">
        <v>6803</v>
      </c>
      <c r="C355" s="81" t="s">
        <v>4621</v>
      </c>
      <c r="D355" s="83" t="s">
        <v>4719</v>
      </c>
      <c r="E355" s="81" t="s">
        <v>3427</v>
      </c>
      <c r="F355" s="81">
        <v>650.0</v>
      </c>
      <c r="G355" s="83" t="s">
        <v>6793</v>
      </c>
      <c r="H355" s="83" t="s">
        <v>6805</v>
      </c>
      <c r="I355" s="81" t="s">
        <v>6806</v>
      </c>
    </row>
    <row r="356">
      <c r="A356" s="83" t="s">
        <v>6802</v>
      </c>
      <c r="B356" s="83" t="s">
        <v>6803</v>
      </c>
      <c r="C356" s="81" t="s">
        <v>4621</v>
      </c>
      <c r="D356" s="83" t="s">
        <v>4727</v>
      </c>
      <c r="E356" s="81" t="s">
        <v>3496</v>
      </c>
      <c r="F356" s="81">
        <v>658.0</v>
      </c>
      <c r="G356" s="83" t="s">
        <v>6793</v>
      </c>
      <c r="H356" s="83" t="s">
        <v>6805</v>
      </c>
      <c r="I356" s="81" t="s">
        <v>6806</v>
      </c>
    </row>
    <row r="357">
      <c r="A357" s="83" t="s">
        <v>6802</v>
      </c>
      <c r="B357" s="83" t="s">
        <v>6803</v>
      </c>
      <c r="C357" s="81" t="s">
        <v>4621</v>
      </c>
      <c r="D357" s="83" t="s">
        <v>4730</v>
      </c>
      <c r="E357" s="81" t="s">
        <v>3500</v>
      </c>
      <c r="F357" s="81">
        <v>660.0</v>
      </c>
      <c r="G357" s="83" t="s">
        <v>6793</v>
      </c>
      <c r="H357" s="83" t="s">
        <v>6805</v>
      </c>
      <c r="I357" s="81" t="s">
        <v>6806</v>
      </c>
    </row>
    <row r="358">
      <c r="A358" s="83" t="s">
        <v>6802</v>
      </c>
      <c r="B358" s="83" t="s">
        <v>6803</v>
      </c>
      <c r="C358" s="81" t="s">
        <v>4621</v>
      </c>
      <c r="D358" s="83" t="s">
        <v>4731</v>
      </c>
      <c r="E358" s="81" t="s">
        <v>3510</v>
      </c>
      <c r="F358" s="81">
        <v>661.0</v>
      </c>
      <c r="G358" s="83" t="s">
        <v>6793</v>
      </c>
      <c r="H358" s="83" t="s">
        <v>6805</v>
      </c>
      <c r="I358" s="81" t="s">
        <v>6806</v>
      </c>
    </row>
    <row r="359">
      <c r="A359" s="83" t="s">
        <v>6802</v>
      </c>
      <c r="B359" s="83" t="s">
        <v>6803</v>
      </c>
      <c r="C359" s="81" t="s">
        <v>4621</v>
      </c>
      <c r="D359" s="83" t="s">
        <v>4732</v>
      </c>
      <c r="E359" s="81" t="s">
        <v>3523</v>
      </c>
      <c r="F359" s="81">
        <v>663.0</v>
      </c>
      <c r="G359" s="83" t="s">
        <v>6793</v>
      </c>
      <c r="H359" s="83" t="s">
        <v>6805</v>
      </c>
      <c r="I359" s="81" t="s">
        <v>6806</v>
      </c>
    </row>
    <row r="360">
      <c r="A360" s="83" t="s">
        <v>6802</v>
      </c>
      <c r="B360" s="83" t="s">
        <v>6803</v>
      </c>
      <c r="C360" s="81" t="s">
        <v>4621</v>
      </c>
      <c r="D360" s="83" t="s">
        <v>4735</v>
      </c>
      <c r="E360" s="81" t="s">
        <v>3539</v>
      </c>
      <c r="F360" s="81">
        <v>666.0</v>
      </c>
      <c r="G360" s="83" t="s">
        <v>6793</v>
      </c>
      <c r="H360" s="83" t="s">
        <v>6805</v>
      </c>
      <c r="I360" s="81" t="s">
        <v>6806</v>
      </c>
    </row>
    <row r="361">
      <c r="A361" s="83" t="s">
        <v>6802</v>
      </c>
      <c r="B361" s="83" t="s">
        <v>6803</v>
      </c>
      <c r="C361" s="81" t="s">
        <v>4621</v>
      </c>
      <c r="D361" s="83" t="s">
        <v>4737</v>
      </c>
      <c r="E361" s="81" t="s">
        <v>3540</v>
      </c>
      <c r="F361" s="81">
        <v>667.0</v>
      </c>
      <c r="G361" s="83" t="s">
        <v>6793</v>
      </c>
      <c r="H361" s="83" t="s">
        <v>6805</v>
      </c>
      <c r="I361" s="81" t="s">
        <v>6806</v>
      </c>
    </row>
    <row r="362">
      <c r="A362" s="83" t="s">
        <v>6802</v>
      </c>
      <c r="B362" s="83" t="s">
        <v>6803</v>
      </c>
      <c r="C362" s="81" t="s">
        <v>4621</v>
      </c>
      <c r="D362" s="83" t="s">
        <v>4738</v>
      </c>
      <c r="E362" s="81" t="s">
        <v>3553</v>
      </c>
      <c r="F362" s="81">
        <v>669.0</v>
      </c>
      <c r="G362" s="83" t="s">
        <v>6793</v>
      </c>
      <c r="H362" s="83" t="s">
        <v>6805</v>
      </c>
      <c r="I362" s="81" t="s">
        <v>6806</v>
      </c>
    </row>
    <row r="363">
      <c r="A363" s="83" t="s">
        <v>6802</v>
      </c>
      <c r="B363" s="83" t="s">
        <v>6803</v>
      </c>
      <c r="C363" s="81" t="s">
        <v>4621</v>
      </c>
      <c r="D363" s="83" t="s">
        <v>4740</v>
      </c>
      <c r="E363" s="81" t="s">
        <v>3555</v>
      </c>
      <c r="F363" s="81">
        <v>670.0</v>
      </c>
      <c r="G363" s="83" t="s">
        <v>6793</v>
      </c>
      <c r="H363" s="83" t="s">
        <v>6805</v>
      </c>
      <c r="I363" s="81" t="s">
        <v>6806</v>
      </c>
    </row>
    <row r="364">
      <c r="A364" s="83" t="s">
        <v>6802</v>
      </c>
      <c r="B364" s="83" t="s">
        <v>6803</v>
      </c>
      <c r="C364" s="81" t="s">
        <v>4621</v>
      </c>
      <c r="D364" s="83" t="s">
        <v>4744</v>
      </c>
      <c r="E364" s="81" t="s">
        <v>3580</v>
      </c>
      <c r="F364" s="81">
        <v>675.0</v>
      </c>
      <c r="G364" s="83" t="s">
        <v>6793</v>
      </c>
      <c r="H364" s="83" t="s">
        <v>6805</v>
      </c>
      <c r="I364" s="81" t="s">
        <v>6806</v>
      </c>
    </row>
    <row r="365">
      <c r="A365" s="83" t="s">
        <v>6802</v>
      </c>
      <c r="B365" s="83" t="s">
        <v>6803</v>
      </c>
      <c r="C365" s="81" t="s">
        <v>4621</v>
      </c>
      <c r="D365" s="83" t="s">
        <v>4748</v>
      </c>
      <c r="E365" s="81" t="s">
        <v>3584</v>
      </c>
      <c r="F365" s="81">
        <v>677.0</v>
      </c>
      <c r="G365" s="83" t="s">
        <v>6793</v>
      </c>
      <c r="H365" s="83" t="s">
        <v>6805</v>
      </c>
      <c r="I365" s="81" t="s">
        <v>6806</v>
      </c>
    </row>
    <row r="366">
      <c r="A366" s="83" t="s">
        <v>6802</v>
      </c>
      <c r="B366" s="83" t="s">
        <v>6803</v>
      </c>
      <c r="C366" s="81" t="s">
        <v>4621</v>
      </c>
      <c r="D366" s="83" t="s">
        <v>4749</v>
      </c>
      <c r="E366" s="81" t="s">
        <v>3596</v>
      </c>
      <c r="F366" s="81">
        <v>679.0</v>
      </c>
      <c r="G366" s="83" t="s">
        <v>6793</v>
      </c>
      <c r="H366" s="83" t="s">
        <v>6805</v>
      </c>
      <c r="I366" s="81" t="s">
        <v>6806</v>
      </c>
    </row>
    <row r="367">
      <c r="A367" s="83" t="s">
        <v>6802</v>
      </c>
      <c r="B367" s="83" t="s">
        <v>6803</v>
      </c>
      <c r="C367" s="81" t="s">
        <v>4621</v>
      </c>
      <c r="D367" s="83" t="s">
        <v>4750</v>
      </c>
      <c r="E367" s="81" t="s">
        <v>3597</v>
      </c>
      <c r="F367" s="81">
        <v>680.0</v>
      </c>
      <c r="G367" s="83" t="s">
        <v>6793</v>
      </c>
      <c r="H367" s="83" t="s">
        <v>6805</v>
      </c>
      <c r="I367" s="81" t="s">
        <v>6806</v>
      </c>
    </row>
    <row r="368">
      <c r="A368" s="83" t="s">
        <v>6802</v>
      </c>
      <c r="B368" s="83" t="s">
        <v>6803</v>
      </c>
      <c r="C368" s="81" t="s">
        <v>4621</v>
      </c>
      <c r="D368" s="83" t="s">
        <v>4751</v>
      </c>
      <c r="E368" s="81" t="s">
        <v>3600</v>
      </c>
      <c r="F368" s="81">
        <v>681.0</v>
      </c>
      <c r="G368" s="83" t="s">
        <v>6793</v>
      </c>
      <c r="H368" s="83" t="s">
        <v>6805</v>
      </c>
      <c r="I368" s="81" t="s">
        <v>6806</v>
      </c>
    </row>
    <row r="369">
      <c r="A369" s="83" t="s">
        <v>6802</v>
      </c>
      <c r="B369" s="83" t="s">
        <v>6803</v>
      </c>
      <c r="C369" s="81" t="s">
        <v>4621</v>
      </c>
      <c r="D369" s="83" t="s">
        <v>4752</v>
      </c>
      <c r="E369" s="81" t="s">
        <v>3605</v>
      </c>
      <c r="F369" s="81">
        <v>682.0</v>
      </c>
      <c r="G369" s="83" t="s">
        <v>6793</v>
      </c>
      <c r="H369" s="83" t="s">
        <v>6805</v>
      </c>
      <c r="I369" s="81" t="s">
        <v>6806</v>
      </c>
    </row>
    <row r="370">
      <c r="A370" s="83" t="s">
        <v>6802</v>
      </c>
      <c r="B370" s="83" t="s">
        <v>6803</v>
      </c>
      <c r="C370" s="81" t="s">
        <v>4621</v>
      </c>
      <c r="D370" s="83" t="s">
        <v>4753</v>
      </c>
      <c r="E370" s="81" t="s">
        <v>3608</v>
      </c>
      <c r="F370" s="81">
        <v>683.0</v>
      </c>
      <c r="G370" s="83" t="s">
        <v>6793</v>
      </c>
      <c r="H370" s="83" t="s">
        <v>6805</v>
      </c>
      <c r="I370" s="81" t="s">
        <v>6806</v>
      </c>
    </row>
    <row r="371">
      <c r="A371" s="83" t="s">
        <v>6802</v>
      </c>
      <c r="B371" s="83" t="s">
        <v>6803</v>
      </c>
      <c r="C371" s="81" t="s">
        <v>4621</v>
      </c>
      <c r="D371" s="83" t="s">
        <v>4783</v>
      </c>
      <c r="E371" s="81" t="s">
        <v>3777</v>
      </c>
      <c r="F371" s="81">
        <v>721.0</v>
      </c>
      <c r="G371" s="83" t="s">
        <v>6793</v>
      </c>
      <c r="H371" s="83" t="s">
        <v>6805</v>
      </c>
      <c r="I371" s="81" t="s">
        <v>6806</v>
      </c>
    </row>
    <row r="372">
      <c r="A372" s="83" t="s">
        <v>6802</v>
      </c>
      <c r="B372" s="83" t="s">
        <v>6803</v>
      </c>
      <c r="C372" s="81" t="s">
        <v>4621</v>
      </c>
      <c r="D372" s="83" t="s">
        <v>4786</v>
      </c>
      <c r="E372" s="81" t="s">
        <v>3781</v>
      </c>
      <c r="F372" s="81">
        <v>723.0</v>
      </c>
      <c r="G372" s="83" t="s">
        <v>6793</v>
      </c>
      <c r="H372" s="83" t="s">
        <v>6805</v>
      </c>
      <c r="I372" s="81" t="s">
        <v>6806</v>
      </c>
    </row>
    <row r="373">
      <c r="A373" s="83" t="s">
        <v>6802</v>
      </c>
      <c r="B373" s="83" t="s">
        <v>6803</v>
      </c>
      <c r="C373" s="81" t="s">
        <v>4621</v>
      </c>
      <c r="D373" s="83" t="s">
        <v>4788</v>
      </c>
      <c r="E373" s="81" t="s">
        <v>3794</v>
      </c>
      <c r="F373" s="81">
        <v>725.0</v>
      </c>
      <c r="G373" s="83" t="s">
        <v>6793</v>
      </c>
      <c r="H373" s="83" t="s">
        <v>6805</v>
      </c>
      <c r="I373" s="81" t="s">
        <v>6806</v>
      </c>
    </row>
    <row r="374">
      <c r="A374" s="83" t="s">
        <v>6802</v>
      </c>
      <c r="B374" s="83" t="s">
        <v>6803</v>
      </c>
      <c r="C374" s="81" t="s">
        <v>4621</v>
      </c>
      <c r="D374" s="83" t="s">
        <v>4793</v>
      </c>
      <c r="E374" s="81" t="s">
        <v>3821</v>
      </c>
      <c r="F374" s="81">
        <v>729.0</v>
      </c>
      <c r="G374" s="83" t="s">
        <v>6793</v>
      </c>
      <c r="H374" s="83" t="s">
        <v>6805</v>
      </c>
      <c r="I374" s="81" t="s">
        <v>6806</v>
      </c>
    </row>
    <row r="375">
      <c r="A375" s="83" t="s">
        <v>6802</v>
      </c>
      <c r="B375" s="83" t="s">
        <v>6803</v>
      </c>
      <c r="C375" s="81" t="s">
        <v>4621</v>
      </c>
      <c r="D375" s="83" t="s">
        <v>4794</v>
      </c>
      <c r="E375" s="81" t="s">
        <v>3829</v>
      </c>
      <c r="F375" s="81">
        <v>731.0</v>
      </c>
      <c r="G375" s="83" t="s">
        <v>6793</v>
      </c>
      <c r="H375" s="83" t="s">
        <v>6805</v>
      </c>
      <c r="I375" s="81" t="s">
        <v>6806</v>
      </c>
    </row>
    <row r="376">
      <c r="A376" s="83" t="s">
        <v>6802</v>
      </c>
      <c r="B376" s="83" t="s">
        <v>6803</v>
      </c>
      <c r="C376" s="81" t="s">
        <v>4621</v>
      </c>
      <c r="D376" s="83" t="s">
        <v>4795</v>
      </c>
      <c r="E376" s="81" t="s">
        <v>3831</v>
      </c>
      <c r="F376" s="81">
        <v>732.0</v>
      </c>
      <c r="G376" s="83" t="s">
        <v>6793</v>
      </c>
      <c r="H376" s="83" t="s">
        <v>6805</v>
      </c>
      <c r="I376" s="81" t="s">
        <v>6806</v>
      </c>
    </row>
    <row r="377">
      <c r="A377" s="83" t="s">
        <v>6802</v>
      </c>
      <c r="B377" s="83" t="s">
        <v>6803</v>
      </c>
      <c r="C377" s="81" t="s">
        <v>4621</v>
      </c>
      <c r="D377" s="83" t="s">
        <v>4796</v>
      </c>
      <c r="E377" s="81" t="s">
        <v>3838</v>
      </c>
      <c r="F377" s="81">
        <v>734.0</v>
      </c>
      <c r="G377" s="83" t="s">
        <v>6793</v>
      </c>
      <c r="H377" s="83" t="s">
        <v>6805</v>
      </c>
      <c r="I377" s="81" t="s">
        <v>6806</v>
      </c>
    </row>
    <row r="378">
      <c r="A378" s="83" t="s">
        <v>6802</v>
      </c>
      <c r="B378" s="83" t="s">
        <v>6803</v>
      </c>
      <c r="C378" s="81" t="s">
        <v>4621</v>
      </c>
      <c r="D378" s="83" t="s">
        <v>4797</v>
      </c>
      <c r="E378" s="81" t="s">
        <v>3839</v>
      </c>
      <c r="F378" s="81">
        <v>735.0</v>
      </c>
      <c r="G378" s="83" t="s">
        <v>6793</v>
      </c>
      <c r="H378" s="83" t="s">
        <v>6805</v>
      </c>
      <c r="I378" s="81" t="s">
        <v>6806</v>
      </c>
    </row>
    <row r="379">
      <c r="A379" s="83" t="s">
        <v>6802</v>
      </c>
      <c r="B379" s="83" t="s">
        <v>6803</v>
      </c>
      <c r="C379" s="81" t="s">
        <v>4621</v>
      </c>
      <c r="D379" s="83" t="s">
        <v>4798</v>
      </c>
      <c r="E379" s="81" t="s">
        <v>3842</v>
      </c>
      <c r="F379" s="81">
        <v>736.0</v>
      </c>
      <c r="G379" s="83" t="s">
        <v>6793</v>
      </c>
      <c r="H379" s="83" t="s">
        <v>6805</v>
      </c>
      <c r="I379" s="81" t="s">
        <v>6806</v>
      </c>
    </row>
    <row r="380">
      <c r="A380" s="83" t="s">
        <v>6802</v>
      </c>
      <c r="B380" s="83" t="s">
        <v>6803</v>
      </c>
      <c r="C380" s="81" t="s">
        <v>4621</v>
      </c>
      <c r="D380" s="83" t="s">
        <v>4799</v>
      </c>
      <c r="E380" s="81" t="s">
        <v>3845</v>
      </c>
      <c r="F380" s="81">
        <v>737.0</v>
      </c>
      <c r="G380" s="83" t="s">
        <v>6793</v>
      </c>
      <c r="H380" s="83" t="s">
        <v>6805</v>
      </c>
      <c r="I380" s="81" t="s">
        <v>6806</v>
      </c>
    </row>
    <row r="381">
      <c r="A381" s="83" t="s">
        <v>6802</v>
      </c>
      <c r="B381" s="83" t="s">
        <v>6803</v>
      </c>
      <c r="C381" s="81" t="s">
        <v>4621</v>
      </c>
      <c r="D381" s="83" t="s">
        <v>4800</v>
      </c>
      <c r="E381" s="81" t="s">
        <v>3851</v>
      </c>
      <c r="F381" s="81">
        <v>739.0</v>
      </c>
      <c r="G381" s="83" t="s">
        <v>6793</v>
      </c>
      <c r="H381" s="83" t="s">
        <v>6805</v>
      </c>
      <c r="I381" s="81" t="s">
        <v>6806</v>
      </c>
    </row>
    <row r="382">
      <c r="A382" s="83" t="s">
        <v>6802</v>
      </c>
      <c r="B382" s="83" t="s">
        <v>6803</v>
      </c>
      <c r="C382" s="81" t="s">
        <v>4621</v>
      </c>
      <c r="D382" s="83" t="s">
        <v>4802</v>
      </c>
      <c r="E382" s="81" t="s">
        <v>3852</v>
      </c>
      <c r="F382" s="81">
        <v>740.0</v>
      </c>
      <c r="G382" s="83" t="s">
        <v>6793</v>
      </c>
      <c r="H382" s="83" t="s">
        <v>6805</v>
      </c>
      <c r="I382" s="81" t="s">
        <v>6806</v>
      </c>
    </row>
    <row r="383">
      <c r="A383" s="83" t="s">
        <v>6802</v>
      </c>
      <c r="B383" s="83" t="s">
        <v>6803</v>
      </c>
      <c r="C383" s="81" t="s">
        <v>4621</v>
      </c>
      <c r="D383" s="83" t="s">
        <v>4814</v>
      </c>
      <c r="E383" s="81" t="s">
        <v>3879</v>
      </c>
      <c r="F383" s="81">
        <v>754.0</v>
      </c>
      <c r="G383" s="83" t="s">
        <v>6793</v>
      </c>
      <c r="H383" s="83" t="s">
        <v>6805</v>
      </c>
      <c r="I383" s="81" t="s">
        <v>6806</v>
      </c>
    </row>
    <row r="384">
      <c r="A384" s="83" t="s">
        <v>6802</v>
      </c>
      <c r="B384" s="83" t="s">
        <v>6803</v>
      </c>
      <c r="C384" s="81" t="s">
        <v>4621</v>
      </c>
      <c r="D384" s="83" t="s">
        <v>4816</v>
      </c>
      <c r="E384" s="81" t="s">
        <v>3895</v>
      </c>
      <c r="F384" s="81">
        <v>757.0</v>
      </c>
      <c r="G384" s="83" t="s">
        <v>6793</v>
      </c>
      <c r="H384" s="83" t="s">
        <v>6805</v>
      </c>
      <c r="I384" s="81" t="s">
        <v>6806</v>
      </c>
    </row>
    <row r="385">
      <c r="A385" s="83" t="s">
        <v>6802</v>
      </c>
      <c r="B385" s="83" t="s">
        <v>6803</v>
      </c>
      <c r="C385" s="81" t="s">
        <v>4621</v>
      </c>
      <c r="D385" s="83" t="s">
        <v>4818</v>
      </c>
      <c r="E385" s="81" t="s">
        <v>3896</v>
      </c>
      <c r="F385" s="81">
        <v>758.0</v>
      </c>
      <c r="G385" s="83" t="s">
        <v>6793</v>
      </c>
      <c r="H385" s="83" t="s">
        <v>6805</v>
      </c>
      <c r="I385" s="81" t="s">
        <v>6806</v>
      </c>
    </row>
    <row r="386">
      <c r="A386" s="83" t="s">
        <v>6802</v>
      </c>
      <c r="B386" s="83" t="s">
        <v>6803</v>
      </c>
      <c r="C386" s="81" t="s">
        <v>4621</v>
      </c>
      <c r="D386" s="83" t="s">
        <v>4844</v>
      </c>
      <c r="E386" s="81" t="s">
        <v>3998</v>
      </c>
      <c r="F386" s="81">
        <v>791.0</v>
      </c>
      <c r="G386" s="83" t="s">
        <v>6793</v>
      </c>
      <c r="H386" s="83" t="s">
        <v>6805</v>
      </c>
      <c r="I386" s="81" t="s">
        <v>6806</v>
      </c>
    </row>
    <row r="387">
      <c r="A387" s="83" t="s">
        <v>6802</v>
      </c>
      <c r="B387" s="83" t="s">
        <v>6803</v>
      </c>
      <c r="C387" s="81" t="s">
        <v>4621</v>
      </c>
      <c r="D387" s="83" t="s">
        <v>4846</v>
      </c>
      <c r="E387" s="81" t="s">
        <v>1133</v>
      </c>
      <c r="F387" s="81">
        <v>793.0</v>
      </c>
      <c r="G387" s="83" t="s">
        <v>6793</v>
      </c>
      <c r="H387" s="83" t="s">
        <v>6805</v>
      </c>
      <c r="I387" s="81" t="s">
        <v>6806</v>
      </c>
    </row>
    <row r="388">
      <c r="A388" s="83" t="s">
        <v>6802</v>
      </c>
      <c r="B388" s="83" t="s">
        <v>6803</v>
      </c>
      <c r="C388" s="81" t="s">
        <v>4621</v>
      </c>
      <c r="D388" s="83" t="s">
        <v>4847</v>
      </c>
      <c r="E388" s="81" t="s">
        <v>4005</v>
      </c>
      <c r="F388" s="81">
        <v>794.0</v>
      </c>
      <c r="G388" s="83" t="s">
        <v>6793</v>
      </c>
      <c r="H388" s="83" t="s">
        <v>6805</v>
      </c>
      <c r="I388" s="81" t="s">
        <v>6806</v>
      </c>
    </row>
    <row r="389">
      <c r="A389" s="83" t="s">
        <v>6802</v>
      </c>
      <c r="B389" s="83" t="s">
        <v>6803</v>
      </c>
      <c r="C389" s="81" t="s">
        <v>4621</v>
      </c>
      <c r="D389" s="83" t="s">
        <v>4848</v>
      </c>
      <c r="E389" s="81" t="s">
        <v>1142</v>
      </c>
      <c r="F389" s="81">
        <v>795.0</v>
      </c>
      <c r="G389" s="83" t="s">
        <v>6793</v>
      </c>
      <c r="H389" s="83" t="s">
        <v>6805</v>
      </c>
      <c r="I389" s="81" t="s">
        <v>6806</v>
      </c>
    </row>
    <row r="390">
      <c r="A390" s="83" t="s">
        <v>6802</v>
      </c>
      <c r="B390" s="83" t="s">
        <v>6803</v>
      </c>
      <c r="C390" s="81" t="s">
        <v>4621</v>
      </c>
      <c r="D390" s="83" t="s">
        <v>4861</v>
      </c>
      <c r="E390" s="81" t="s">
        <v>4007</v>
      </c>
      <c r="F390" s="81">
        <v>797.0</v>
      </c>
      <c r="G390" s="83" t="s">
        <v>6793</v>
      </c>
      <c r="H390" s="83" t="s">
        <v>6805</v>
      </c>
      <c r="I390" s="81" t="s">
        <v>6806</v>
      </c>
    </row>
    <row r="391">
      <c r="A391" s="83" t="s">
        <v>6802</v>
      </c>
      <c r="B391" s="83" t="s">
        <v>6803</v>
      </c>
      <c r="C391" s="81" t="s">
        <v>4621</v>
      </c>
      <c r="D391" s="83" t="s">
        <v>4862</v>
      </c>
      <c r="E391" s="81" t="s">
        <v>4011</v>
      </c>
      <c r="F391" s="81">
        <v>798.0</v>
      </c>
      <c r="G391" s="83" t="s">
        <v>6793</v>
      </c>
      <c r="H391" s="83" t="s">
        <v>6805</v>
      </c>
      <c r="I391" s="81" t="s">
        <v>6806</v>
      </c>
    </row>
    <row r="392">
      <c r="A392" s="83" t="s">
        <v>6802</v>
      </c>
      <c r="B392" s="83" t="s">
        <v>6803</v>
      </c>
      <c r="C392" s="81" t="s">
        <v>4621</v>
      </c>
      <c r="D392" s="83" t="s">
        <v>4863</v>
      </c>
      <c r="E392" s="81" t="s">
        <v>4014</v>
      </c>
      <c r="F392" s="81">
        <v>799.0</v>
      </c>
      <c r="G392" s="83" t="s">
        <v>6793</v>
      </c>
      <c r="H392" s="83" t="s">
        <v>6805</v>
      </c>
      <c r="I392" s="81" t="s">
        <v>6806</v>
      </c>
    </row>
    <row r="393">
      <c r="A393" s="83" t="s">
        <v>6802</v>
      </c>
      <c r="B393" s="83" t="s">
        <v>6803</v>
      </c>
      <c r="C393" s="81" t="s">
        <v>4621</v>
      </c>
      <c r="D393" s="83" t="s">
        <v>4864</v>
      </c>
      <c r="E393" s="81" t="s">
        <v>4016</v>
      </c>
      <c r="F393" s="81">
        <v>800.0</v>
      </c>
      <c r="G393" s="83" t="s">
        <v>6793</v>
      </c>
      <c r="H393" s="83" t="s">
        <v>6805</v>
      </c>
      <c r="I393" s="81" t="s">
        <v>6806</v>
      </c>
    </row>
    <row r="394">
      <c r="A394" s="83" t="s">
        <v>6802</v>
      </c>
      <c r="B394" s="83" t="s">
        <v>6803</v>
      </c>
      <c r="C394" s="81" t="s">
        <v>4621</v>
      </c>
      <c r="D394" s="83" t="s">
        <v>4865</v>
      </c>
      <c r="E394" s="81" t="s">
        <v>4017</v>
      </c>
      <c r="F394" s="81">
        <v>801.0</v>
      </c>
      <c r="G394" s="83" t="s">
        <v>6793</v>
      </c>
      <c r="H394" s="83" t="s">
        <v>6805</v>
      </c>
      <c r="I394" s="81" t="s">
        <v>6806</v>
      </c>
    </row>
    <row r="395">
      <c r="A395" s="83" t="s">
        <v>6802</v>
      </c>
      <c r="B395" s="83" t="s">
        <v>6803</v>
      </c>
      <c r="C395" s="81" t="s">
        <v>4621</v>
      </c>
      <c r="D395" s="83" t="s">
        <v>4866</v>
      </c>
      <c r="E395" s="81" t="s">
        <v>4018</v>
      </c>
      <c r="F395" s="81">
        <v>802.0</v>
      </c>
      <c r="G395" s="83" t="s">
        <v>6793</v>
      </c>
      <c r="H395" s="83" t="s">
        <v>6805</v>
      </c>
      <c r="I395" s="81" t="s">
        <v>6806</v>
      </c>
    </row>
    <row r="396">
      <c r="A396" s="83" t="s">
        <v>6802</v>
      </c>
      <c r="B396" s="83" t="s">
        <v>6803</v>
      </c>
      <c r="C396" s="81" t="s">
        <v>4621</v>
      </c>
      <c r="D396" s="83" t="s">
        <v>4867</v>
      </c>
      <c r="E396" s="81" t="s">
        <v>4019</v>
      </c>
      <c r="F396" s="81">
        <v>803.0</v>
      </c>
      <c r="G396" s="83" t="s">
        <v>6793</v>
      </c>
      <c r="H396" s="83" t="s">
        <v>6805</v>
      </c>
      <c r="I396" s="81" t="s">
        <v>6806</v>
      </c>
    </row>
    <row r="397">
      <c r="A397" s="83" t="s">
        <v>6802</v>
      </c>
      <c r="B397" s="83" t="s">
        <v>6803</v>
      </c>
      <c r="C397" s="81" t="s">
        <v>4621</v>
      </c>
      <c r="D397" s="83" t="s">
        <v>4868</v>
      </c>
      <c r="E397" s="81" t="s">
        <v>4020</v>
      </c>
      <c r="F397" s="81">
        <v>804.0</v>
      </c>
      <c r="G397" s="83" t="s">
        <v>6793</v>
      </c>
      <c r="H397" s="83" t="s">
        <v>6805</v>
      </c>
      <c r="I397" s="81" t="s">
        <v>6806</v>
      </c>
    </row>
    <row r="398">
      <c r="A398" s="83" t="s">
        <v>6802</v>
      </c>
      <c r="B398" s="83" t="s">
        <v>6803</v>
      </c>
      <c r="C398" s="81" t="s">
        <v>4621</v>
      </c>
      <c r="D398" s="83" t="s">
        <v>4869</v>
      </c>
      <c r="E398" s="81" t="s">
        <v>4032</v>
      </c>
      <c r="F398" s="81">
        <v>805.0</v>
      </c>
      <c r="G398" s="83" t="s">
        <v>6793</v>
      </c>
      <c r="H398" s="83" t="s">
        <v>6805</v>
      </c>
      <c r="I398" s="81" t="s">
        <v>6806</v>
      </c>
    </row>
    <row r="399">
      <c r="A399" s="83" t="s">
        <v>6802</v>
      </c>
      <c r="B399" s="83" t="s">
        <v>6803</v>
      </c>
      <c r="C399" s="81" t="s">
        <v>4621</v>
      </c>
      <c r="D399" s="83" t="s">
        <v>4870</v>
      </c>
      <c r="E399" s="81" t="s">
        <v>4037</v>
      </c>
      <c r="F399" s="81">
        <v>806.0</v>
      </c>
      <c r="G399" s="83" t="s">
        <v>6793</v>
      </c>
      <c r="H399" s="83" t="s">
        <v>6805</v>
      </c>
      <c r="I399" s="81" t="s">
        <v>6806</v>
      </c>
    </row>
    <row r="400">
      <c r="A400" s="83" t="s">
        <v>6802</v>
      </c>
      <c r="B400" s="83" t="s">
        <v>6803</v>
      </c>
      <c r="C400" s="81" t="s">
        <v>4621</v>
      </c>
      <c r="D400" s="83" t="s">
        <v>4871</v>
      </c>
      <c r="E400" s="81" t="s">
        <v>4049</v>
      </c>
      <c r="F400" s="81">
        <v>807.0</v>
      </c>
      <c r="G400" s="83" t="s">
        <v>6793</v>
      </c>
      <c r="H400" s="83" t="s">
        <v>6805</v>
      </c>
      <c r="I400" s="81" t="s">
        <v>6806</v>
      </c>
    </row>
    <row r="401">
      <c r="A401" s="83" t="s">
        <v>6802</v>
      </c>
      <c r="B401" s="83" t="s">
        <v>6803</v>
      </c>
      <c r="C401" s="81" t="s">
        <v>4621</v>
      </c>
      <c r="D401" s="83" t="s">
        <v>4872</v>
      </c>
      <c r="E401" s="81" t="s">
        <v>4059</v>
      </c>
      <c r="F401" s="81">
        <v>808.0</v>
      </c>
      <c r="G401" s="83" t="s">
        <v>6793</v>
      </c>
      <c r="H401" s="83" t="s">
        <v>6805</v>
      </c>
      <c r="I401" s="81" t="s">
        <v>6806</v>
      </c>
    </row>
    <row r="402">
      <c r="A402" s="83" t="s">
        <v>6802</v>
      </c>
      <c r="B402" s="83" t="s">
        <v>6803</v>
      </c>
      <c r="C402" s="81" t="s">
        <v>4621</v>
      </c>
      <c r="D402" s="83" t="s">
        <v>4873</v>
      </c>
      <c r="E402" s="81" t="s">
        <v>4874</v>
      </c>
      <c r="F402" s="81">
        <v>809.0</v>
      </c>
      <c r="G402" s="83" t="s">
        <v>6793</v>
      </c>
      <c r="H402" s="83" t="s">
        <v>6805</v>
      </c>
      <c r="I402" s="81" t="s">
        <v>6806</v>
      </c>
    </row>
    <row r="403">
      <c r="A403" s="83" t="s">
        <v>6802</v>
      </c>
      <c r="B403" s="83" t="s">
        <v>6803</v>
      </c>
      <c r="C403" s="81" t="s">
        <v>4621</v>
      </c>
      <c r="D403" s="83" t="s">
        <v>4877</v>
      </c>
      <c r="E403" s="81" t="s">
        <v>4878</v>
      </c>
      <c r="F403" s="81">
        <v>810.0</v>
      </c>
      <c r="G403" s="83" t="s">
        <v>6793</v>
      </c>
      <c r="H403" s="83" t="s">
        <v>6805</v>
      </c>
      <c r="I403" s="81" t="s">
        <v>6806</v>
      </c>
    </row>
    <row r="404">
      <c r="A404" s="83" t="s">
        <v>6807</v>
      </c>
      <c r="B404" s="83" t="s">
        <v>6808</v>
      </c>
      <c r="C404" s="81" t="s">
        <v>4080</v>
      </c>
      <c r="D404" s="81" t="s">
        <v>224</v>
      </c>
      <c r="E404" s="81" t="s">
        <v>224</v>
      </c>
      <c r="F404" s="81" t="s">
        <v>224</v>
      </c>
      <c r="G404" s="81" t="s">
        <v>224</v>
      </c>
      <c r="H404" s="81" t="s">
        <v>224</v>
      </c>
      <c r="I404" s="81" t="s">
        <v>6799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24.0" topLeftCell="A625" activePane="bottomLeft" state="frozen"/>
      <selection activeCell="B626" sqref="B626" pane="bottomLeft"/>
    </sheetView>
  </sheetViews>
  <sheetFormatPr customHeight="1" defaultColWidth="12.63" defaultRowHeight="15.0"/>
  <sheetData>
    <row r="1">
      <c r="A1" s="81" t="s">
        <v>4069</v>
      </c>
      <c r="B1" s="81" t="s">
        <v>4070</v>
      </c>
      <c r="C1" s="81" t="s">
        <v>4071</v>
      </c>
      <c r="D1" s="81" t="s">
        <v>6809</v>
      </c>
      <c r="E1" s="81" t="s">
        <v>6810</v>
      </c>
      <c r="F1" s="81" t="s">
        <v>5</v>
      </c>
      <c r="G1" s="81" t="s">
        <v>6811</v>
      </c>
      <c r="H1" s="81" t="s">
        <v>6812</v>
      </c>
      <c r="I1" s="81" t="s">
        <v>6813</v>
      </c>
      <c r="J1" s="81" t="s">
        <v>4076</v>
      </c>
    </row>
    <row r="2">
      <c r="A2" s="83" t="s">
        <v>6814</v>
      </c>
      <c r="B2" s="83" t="s">
        <v>6815</v>
      </c>
      <c r="C2" s="81" t="s">
        <v>4080</v>
      </c>
      <c r="D2" s="81" t="s">
        <v>224</v>
      </c>
      <c r="E2" s="81" t="s">
        <v>224</v>
      </c>
      <c r="F2" s="81" t="s">
        <v>224</v>
      </c>
      <c r="G2" s="81" t="s">
        <v>224</v>
      </c>
      <c r="H2" s="81" t="s">
        <v>224</v>
      </c>
      <c r="I2" s="81" t="s">
        <v>224</v>
      </c>
      <c r="J2" s="81" t="s">
        <v>6816</v>
      </c>
    </row>
    <row r="3">
      <c r="A3" s="83" t="s">
        <v>6814</v>
      </c>
      <c r="B3" s="83" t="s">
        <v>6815</v>
      </c>
      <c r="C3" s="81" t="s">
        <v>6817</v>
      </c>
      <c r="D3" s="81" t="s">
        <v>224</v>
      </c>
      <c r="E3" s="81" t="s">
        <v>43</v>
      </c>
      <c r="F3" s="81" t="s">
        <v>224</v>
      </c>
      <c r="G3" s="81" t="s">
        <v>6818</v>
      </c>
      <c r="H3" s="81" t="s">
        <v>6819</v>
      </c>
      <c r="I3" s="81" t="s">
        <v>224</v>
      </c>
      <c r="J3" s="81" t="s">
        <v>6820</v>
      </c>
    </row>
    <row r="4">
      <c r="A4" s="83" t="s">
        <v>6814</v>
      </c>
      <c r="B4" s="83" t="s">
        <v>6815</v>
      </c>
      <c r="C4" s="81" t="s">
        <v>6817</v>
      </c>
      <c r="D4" s="81" t="s">
        <v>224</v>
      </c>
      <c r="E4" s="81" t="s">
        <v>43</v>
      </c>
      <c r="F4" s="81" t="s">
        <v>224</v>
      </c>
      <c r="G4" s="81" t="s">
        <v>6821</v>
      </c>
      <c r="H4" s="81" t="s">
        <v>6822</v>
      </c>
      <c r="I4" s="81" t="s">
        <v>224</v>
      </c>
      <c r="J4" s="81" t="s">
        <v>6820</v>
      </c>
    </row>
    <row r="5">
      <c r="A5" s="83" t="s">
        <v>6814</v>
      </c>
      <c r="B5" s="83" t="s">
        <v>6815</v>
      </c>
      <c r="C5" s="81" t="s">
        <v>6817</v>
      </c>
      <c r="D5" s="81" t="s">
        <v>224</v>
      </c>
      <c r="E5" s="81" t="s">
        <v>43</v>
      </c>
      <c r="F5" s="81" t="s">
        <v>224</v>
      </c>
      <c r="G5" s="81" t="s">
        <v>6823</v>
      </c>
      <c r="H5" s="81" t="s">
        <v>6824</v>
      </c>
      <c r="I5" s="81" t="s">
        <v>224</v>
      </c>
      <c r="J5" s="81" t="s">
        <v>6820</v>
      </c>
    </row>
    <row r="6">
      <c r="A6" s="83" t="s">
        <v>6814</v>
      </c>
      <c r="B6" s="83" t="s">
        <v>6815</v>
      </c>
      <c r="C6" s="81" t="s">
        <v>6817</v>
      </c>
      <c r="D6" s="81" t="s">
        <v>224</v>
      </c>
      <c r="E6" s="81" t="s">
        <v>43</v>
      </c>
      <c r="F6" s="81" t="s">
        <v>224</v>
      </c>
      <c r="G6" s="81" t="s">
        <v>6825</v>
      </c>
      <c r="H6" s="81" t="s">
        <v>6826</v>
      </c>
      <c r="I6" s="81" t="s">
        <v>224</v>
      </c>
      <c r="J6" s="81" t="s">
        <v>6820</v>
      </c>
    </row>
    <row r="7">
      <c r="A7" s="83" t="s">
        <v>6814</v>
      </c>
      <c r="B7" s="83" t="s">
        <v>6815</v>
      </c>
      <c r="C7" s="81" t="s">
        <v>6817</v>
      </c>
      <c r="D7" s="81" t="s">
        <v>224</v>
      </c>
      <c r="E7" s="81" t="s">
        <v>43</v>
      </c>
      <c r="F7" s="81" t="s">
        <v>224</v>
      </c>
      <c r="G7" s="81" t="s">
        <v>6827</v>
      </c>
      <c r="H7" s="81" t="s">
        <v>6828</v>
      </c>
      <c r="I7" s="81" t="s">
        <v>224</v>
      </c>
      <c r="J7" s="81" t="s">
        <v>6820</v>
      </c>
    </row>
    <row r="8">
      <c r="A8" s="83" t="s">
        <v>6814</v>
      </c>
      <c r="B8" s="83" t="s">
        <v>6815</v>
      </c>
      <c r="C8" s="81" t="s">
        <v>6817</v>
      </c>
      <c r="D8" s="81" t="s">
        <v>224</v>
      </c>
      <c r="E8" s="81" t="s">
        <v>6829</v>
      </c>
      <c r="F8" s="81" t="s">
        <v>224</v>
      </c>
      <c r="G8" s="81" t="s">
        <v>6825</v>
      </c>
      <c r="H8" s="81" t="s">
        <v>6830</v>
      </c>
      <c r="I8" s="81" t="s">
        <v>224</v>
      </c>
      <c r="J8" s="81" t="s">
        <v>6820</v>
      </c>
    </row>
    <row r="9">
      <c r="A9" s="83" t="s">
        <v>6814</v>
      </c>
      <c r="B9" s="83" t="s">
        <v>6815</v>
      </c>
      <c r="C9" s="81" t="s">
        <v>6817</v>
      </c>
      <c r="D9" s="81" t="s">
        <v>224</v>
      </c>
      <c r="E9" s="81" t="s">
        <v>6829</v>
      </c>
      <c r="F9" s="81" t="s">
        <v>224</v>
      </c>
      <c r="G9" s="81" t="s">
        <v>6831</v>
      </c>
      <c r="H9" s="81" t="s">
        <v>6832</v>
      </c>
      <c r="I9" s="81" t="s">
        <v>224</v>
      </c>
      <c r="J9" s="81" t="s">
        <v>6820</v>
      </c>
    </row>
    <row r="10">
      <c r="A10" s="83" t="s">
        <v>6814</v>
      </c>
      <c r="B10" s="83" t="s">
        <v>6815</v>
      </c>
      <c r="C10" s="81" t="s">
        <v>6817</v>
      </c>
      <c r="D10" s="81" t="s">
        <v>224</v>
      </c>
      <c r="E10" s="81" t="s">
        <v>6829</v>
      </c>
      <c r="F10" s="81" t="s">
        <v>224</v>
      </c>
      <c r="G10" s="81" t="s">
        <v>6833</v>
      </c>
      <c r="H10" s="81" t="s">
        <v>6834</v>
      </c>
      <c r="I10" s="81" t="s">
        <v>224</v>
      </c>
      <c r="J10" s="81" t="s">
        <v>6820</v>
      </c>
    </row>
    <row r="11">
      <c r="A11" s="83" t="s">
        <v>6814</v>
      </c>
      <c r="B11" s="83" t="s">
        <v>6815</v>
      </c>
      <c r="C11" s="81" t="s">
        <v>6817</v>
      </c>
      <c r="D11" s="81" t="s">
        <v>224</v>
      </c>
      <c r="E11" s="81" t="s">
        <v>6829</v>
      </c>
      <c r="F11" s="81" t="s">
        <v>224</v>
      </c>
      <c r="G11" s="81" t="s">
        <v>6827</v>
      </c>
      <c r="H11" s="81" t="s">
        <v>6835</v>
      </c>
      <c r="I11" s="81" t="s">
        <v>224</v>
      </c>
      <c r="J11" s="81" t="s">
        <v>6820</v>
      </c>
    </row>
    <row r="12">
      <c r="A12" s="83" t="s">
        <v>6814</v>
      </c>
      <c r="B12" s="83" t="s">
        <v>6815</v>
      </c>
      <c r="C12" s="81" t="s">
        <v>6817</v>
      </c>
      <c r="D12" s="81" t="s">
        <v>224</v>
      </c>
      <c r="E12" s="81" t="s">
        <v>6829</v>
      </c>
      <c r="F12" s="81" t="s">
        <v>224</v>
      </c>
      <c r="G12" s="81" t="s">
        <v>6821</v>
      </c>
      <c r="H12" s="81" t="s">
        <v>6836</v>
      </c>
      <c r="I12" s="81" t="s">
        <v>224</v>
      </c>
      <c r="J12" s="81" t="s">
        <v>6820</v>
      </c>
    </row>
    <row r="13">
      <c r="A13" s="83" t="s">
        <v>6814</v>
      </c>
      <c r="B13" s="83" t="s">
        <v>6815</v>
      </c>
      <c r="C13" s="81" t="s">
        <v>6817</v>
      </c>
      <c r="D13" s="81" t="s">
        <v>224</v>
      </c>
      <c r="E13" s="81" t="s">
        <v>6829</v>
      </c>
      <c r="F13" s="81" t="s">
        <v>224</v>
      </c>
      <c r="G13" s="81" t="s">
        <v>6818</v>
      </c>
      <c r="H13" s="81" t="s">
        <v>6837</v>
      </c>
      <c r="I13" s="81" t="s">
        <v>224</v>
      </c>
      <c r="J13" s="81" t="s">
        <v>6820</v>
      </c>
    </row>
    <row r="14">
      <c r="A14" s="83" t="s">
        <v>6814</v>
      </c>
      <c r="B14" s="83" t="s">
        <v>6815</v>
      </c>
      <c r="C14" s="81" t="s">
        <v>6817</v>
      </c>
      <c r="D14" s="81" t="s">
        <v>224</v>
      </c>
      <c r="E14" s="83" t="s">
        <v>6838</v>
      </c>
      <c r="F14" s="81" t="s">
        <v>224</v>
      </c>
      <c r="G14" s="81" t="s">
        <v>6839</v>
      </c>
      <c r="H14" s="81" t="s">
        <v>6840</v>
      </c>
      <c r="I14" s="81" t="s">
        <v>224</v>
      </c>
      <c r="J14" s="81" t="s">
        <v>6820</v>
      </c>
    </row>
    <row r="15">
      <c r="A15" s="83" t="s">
        <v>6814</v>
      </c>
      <c r="B15" s="83" t="s">
        <v>6815</v>
      </c>
      <c r="C15" s="81" t="s">
        <v>6841</v>
      </c>
      <c r="D15" s="81" t="s">
        <v>6842</v>
      </c>
      <c r="E15" s="81" t="s">
        <v>3953</v>
      </c>
      <c r="F15" s="81" t="s">
        <v>6843</v>
      </c>
      <c r="G15" s="81" t="s">
        <v>6818</v>
      </c>
      <c r="H15" s="81" t="s">
        <v>6844</v>
      </c>
      <c r="I15" s="81" t="s">
        <v>224</v>
      </c>
      <c r="J15" s="81" t="s">
        <v>6845</v>
      </c>
    </row>
    <row r="16">
      <c r="A16" s="83" t="s">
        <v>6814</v>
      </c>
      <c r="B16" s="83" t="s">
        <v>6815</v>
      </c>
      <c r="C16" s="81" t="s">
        <v>6841</v>
      </c>
      <c r="D16" s="81" t="s">
        <v>6842</v>
      </c>
      <c r="E16" s="81" t="s">
        <v>3979</v>
      </c>
      <c r="F16" s="81" t="s">
        <v>6846</v>
      </c>
      <c r="G16" s="81" t="s">
        <v>6821</v>
      </c>
      <c r="H16" s="81" t="s">
        <v>6847</v>
      </c>
      <c r="I16" s="81" t="s">
        <v>224</v>
      </c>
      <c r="J16" s="81" t="s">
        <v>6845</v>
      </c>
    </row>
    <row r="17">
      <c r="A17" s="83" t="s">
        <v>6814</v>
      </c>
      <c r="B17" s="83" t="s">
        <v>6815</v>
      </c>
      <c r="C17" s="81" t="s">
        <v>6841</v>
      </c>
      <c r="D17" s="81" t="s">
        <v>6842</v>
      </c>
      <c r="E17" s="81" t="s">
        <v>4006</v>
      </c>
      <c r="F17" s="81" t="s">
        <v>6848</v>
      </c>
      <c r="G17" s="81" t="s">
        <v>6849</v>
      </c>
      <c r="H17" s="81" t="s">
        <v>6850</v>
      </c>
      <c r="I17" s="81" t="s">
        <v>224</v>
      </c>
      <c r="J17" s="81" t="s">
        <v>6845</v>
      </c>
    </row>
    <row r="18">
      <c r="A18" s="83" t="s">
        <v>6814</v>
      </c>
      <c r="B18" s="83" t="s">
        <v>6815</v>
      </c>
      <c r="C18" s="81" t="s">
        <v>6841</v>
      </c>
      <c r="D18" s="81" t="s">
        <v>6842</v>
      </c>
      <c r="E18" s="81" t="s">
        <v>4000</v>
      </c>
      <c r="F18" s="81" t="s">
        <v>6851</v>
      </c>
      <c r="G18" s="81" t="s">
        <v>6849</v>
      </c>
      <c r="H18" s="81" t="s">
        <v>6850</v>
      </c>
      <c r="I18" s="81" t="s">
        <v>224</v>
      </c>
      <c r="J18" s="81" t="s">
        <v>6845</v>
      </c>
    </row>
    <row r="19">
      <c r="A19" s="83" t="s">
        <v>6814</v>
      </c>
      <c r="B19" s="83" t="s">
        <v>6815</v>
      </c>
      <c r="C19" s="81" t="s">
        <v>6841</v>
      </c>
      <c r="D19" s="81" t="s">
        <v>6842</v>
      </c>
      <c r="E19" s="81" t="s">
        <v>4004</v>
      </c>
      <c r="F19" s="81" t="s">
        <v>6852</v>
      </c>
      <c r="G19" s="81" t="s">
        <v>6849</v>
      </c>
      <c r="H19" s="81" t="s">
        <v>6850</v>
      </c>
      <c r="I19" s="81" t="s">
        <v>224</v>
      </c>
      <c r="J19" s="81" t="s">
        <v>6845</v>
      </c>
    </row>
    <row r="20">
      <c r="A20" s="83" t="s">
        <v>6814</v>
      </c>
      <c r="B20" s="83" t="s">
        <v>6815</v>
      </c>
      <c r="C20" s="81" t="s">
        <v>6853</v>
      </c>
      <c r="D20" s="81" t="s">
        <v>6842</v>
      </c>
      <c r="E20" s="81" t="s">
        <v>3493</v>
      </c>
      <c r="F20" s="81" t="s">
        <v>6854</v>
      </c>
      <c r="G20" s="81" t="s">
        <v>6855</v>
      </c>
      <c r="H20" s="81" t="s">
        <v>6856</v>
      </c>
      <c r="I20" s="81" t="s">
        <v>6761</v>
      </c>
      <c r="J20" s="81" t="s">
        <v>6857</v>
      </c>
    </row>
    <row r="21">
      <c r="A21" s="83" t="s">
        <v>6814</v>
      </c>
      <c r="B21" s="83" t="s">
        <v>6815</v>
      </c>
      <c r="C21" s="81" t="s">
        <v>6853</v>
      </c>
      <c r="D21" s="81" t="s">
        <v>6842</v>
      </c>
      <c r="E21" s="81" t="s">
        <v>3336</v>
      </c>
      <c r="F21" s="83" t="s">
        <v>4701</v>
      </c>
      <c r="G21" s="81" t="s">
        <v>6858</v>
      </c>
      <c r="H21" s="81" t="s">
        <v>6859</v>
      </c>
      <c r="I21" s="81" t="s">
        <v>6760</v>
      </c>
      <c r="J21" s="81" t="s">
        <v>6857</v>
      </c>
    </row>
    <row r="22">
      <c r="A22" s="83" t="s">
        <v>6814</v>
      </c>
      <c r="B22" s="83" t="s">
        <v>6815</v>
      </c>
      <c r="C22" s="81" t="s">
        <v>6853</v>
      </c>
      <c r="D22" s="81" t="s">
        <v>6842</v>
      </c>
      <c r="E22" s="81" t="s">
        <v>3326</v>
      </c>
      <c r="F22" s="81" t="s">
        <v>6860</v>
      </c>
      <c r="G22" s="81" t="s">
        <v>6858</v>
      </c>
      <c r="H22" s="81" t="s">
        <v>6861</v>
      </c>
      <c r="I22" s="81" t="s">
        <v>6759</v>
      </c>
      <c r="J22" s="81" t="s">
        <v>6857</v>
      </c>
    </row>
    <row r="23">
      <c r="A23" s="83" t="s">
        <v>6814</v>
      </c>
      <c r="B23" s="83" t="s">
        <v>6815</v>
      </c>
      <c r="C23" s="81" t="s">
        <v>6853</v>
      </c>
      <c r="D23" s="81" t="s">
        <v>6842</v>
      </c>
      <c r="E23" s="81" t="s">
        <v>1857</v>
      </c>
      <c r="F23" s="81" t="s">
        <v>6862</v>
      </c>
      <c r="G23" s="81" t="s">
        <v>6863</v>
      </c>
      <c r="H23" s="81" t="s">
        <v>6864</v>
      </c>
      <c r="I23" s="81" t="s">
        <v>6754</v>
      </c>
      <c r="J23" s="81" t="s">
        <v>6857</v>
      </c>
    </row>
    <row r="24">
      <c r="A24" s="83" t="s">
        <v>6814</v>
      </c>
      <c r="B24" s="83" t="s">
        <v>6815</v>
      </c>
      <c r="C24" s="81" t="s">
        <v>6853</v>
      </c>
      <c r="D24" s="81" t="s">
        <v>6842</v>
      </c>
      <c r="E24" s="81" t="s">
        <v>1862</v>
      </c>
      <c r="F24" s="81" t="s">
        <v>6865</v>
      </c>
      <c r="G24" s="81" t="s">
        <v>6863</v>
      </c>
      <c r="H24" s="81" t="s">
        <v>6866</v>
      </c>
      <c r="I24" s="81" t="s">
        <v>6755</v>
      </c>
      <c r="J24" s="81" t="s">
        <v>6857</v>
      </c>
    </row>
    <row r="25">
      <c r="A25" s="83" t="s">
        <v>6814</v>
      </c>
      <c r="B25" s="83" t="s">
        <v>6815</v>
      </c>
      <c r="C25" s="81" t="s">
        <v>6853</v>
      </c>
      <c r="D25" s="81" t="s">
        <v>6842</v>
      </c>
      <c r="E25" s="81" t="s">
        <v>1839</v>
      </c>
      <c r="F25" s="81" t="s">
        <v>6867</v>
      </c>
      <c r="G25" s="81" t="s">
        <v>6863</v>
      </c>
      <c r="H25" s="81" t="s">
        <v>6868</v>
      </c>
      <c r="I25" s="81" t="s">
        <v>6752</v>
      </c>
      <c r="J25" s="81" t="s">
        <v>6857</v>
      </c>
    </row>
    <row r="26">
      <c r="A26" s="83" t="s">
        <v>6814</v>
      </c>
      <c r="B26" s="83" t="s">
        <v>6815</v>
      </c>
      <c r="C26" s="81" t="s">
        <v>6853</v>
      </c>
      <c r="D26" s="81" t="s">
        <v>6842</v>
      </c>
      <c r="E26" s="81" t="s">
        <v>1847</v>
      </c>
      <c r="F26" s="81" t="s">
        <v>6869</v>
      </c>
      <c r="G26" s="81" t="s">
        <v>6863</v>
      </c>
      <c r="H26" s="81" t="s">
        <v>6870</v>
      </c>
      <c r="I26" s="81" t="s">
        <v>6753</v>
      </c>
      <c r="J26" s="81" t="s">
        <v>6857</v>
      </c>
    </row>
    <row r="27">
      <c r="A27" s="83" t="s">
        <v>6814</v>
      </c>
      <c r="B27" s="83" t="s">
        <v>6815</v>
      </c>
      <c r="C27" s="81" t="s">
        <v>6853</v>
      </c>
      <c r="D27" s="81" t="s">
        <v>6842</v>
      </c>
      <c r="E27" s="81" t="s">
        <v>1871</v>
      </c>
      <c r="F27" s="81" t="s">
        <v>6871</v>
      </c>
      <c r="G27" s="81" t="s">
        <v>6863</v>
      </c>
      <c r="H27" s="81" t="s">
        <v>6872</v>
      </c>
      <c r="I27" s="81" t="s">
        <v>6756</v>
      </c>
      <c r="J27" s="81" t="s">
        <v>6857</v>
      </c>
    </row>
    <row r="28">
      <c r="A28" s="83" t="s">
        <v>6814</v>
      </c>
      <c r="B28" s="83" t="s">
        <v>6815</v>
      </c>
      <c r="C28" s="81" t="s">
        <v>6853</v>
      </c>
      <c r="D28" s="81" t="s">
        <v>6842</v>
      </c>
      <c r="E28" s="81" t="s">
        <v>2336</v>
      </c>
      <c r="F28" s="81" t="s">
        <v>6873</v>
      </c>
      <c r="G28" s="81" t="s">
        <v>6863</v>
      </c>
      <c r="H28" s="81" t="s">
        <v>6874</v>
      </c>
      <c r="I28" s="81" t="s">
        <v>6757</v>
      </c>
      <c r="J28" s="81" t="s">
        <v>6857</v>
      </c>
    </row>
    <row r="29">
      <c r="A29" s="83" t="s">
        <v>6814</v>
      </c>
      <c r="B29" s="83" t="s">
        <v>6815</v>
      </c>
      <c r="C29" s="81" t="s">
        <v>6853</v>
      </c>
      <c r="D29" s="81" t="s">
        <v>6842</v>
      </c>
      <c r="E29" s="81" t="s">
        <v>3537</v>
      </c>
      <c r="F29" s="81" t="s">
        <v>6875</v>
      </c>
      <c r="G29" s="81" t="s">
        <v>6876</v>
      </c>
      <c r="H29" s="81" t="s">
        <v>6877</v>
      </c>
      <c r="I29" s="81" t="s">
        <v>6762</v>
      </c>
      <c r="J29" s="81" t="s">
        <v>6857</v>
      </c>
    </row>
    <row r="30">
      <c r="A30" s="83" t="s">
        <v>6814</v>
      </c>
      <c r="B30" s="83" t="s">
        <v>6815</v>
      </c>
      <c r="C30" s="81" t="s">
        <v>6841</v>
      </c>
      <c r="D30" s="81" t="s">
        <v>6842</v>
      </c>
      <c r="E30" s="81" t="s">
        <v>3892</v>
      </c>
      <c r="F30" s="81" t="s">
        <v>6878</v>
      </c>
      <c r="G30" s="81" t="s">
        <v>6879</v>
      </c>
      <c r="H30" s="81" t="s">
        <v>6880</v>
      </c>
      <c r="I30" s="81" t="s">
        <v>224</v>
      </c>
      <c r="J30" s="81" t="s">
        <v>6845</v>
      </c>
    </row>
    <row r="31">
      <c r="A31" s="83" t="s">
        <v>6814</v>
      </c>
      <c r="B31" s="83" t="s">
        <v>6815</v>
      </c>
      <c r="C31" s="81" t="s">
        <v>6853</v>
      </c>
      <c r="D31" s="81" t="s">
        <v>6842</v>
      </c>
      <c r="E31" s="81" t="s">
        <v>3179</v>
      </c>
      <c r="F31" s="81" t="s">
        <v>6881</v>
      </c>
      <c r="G31" s="81" t="s">
        <v>6882</v>
      </c>
      <c r="H31" s="81" t="s">
        <v>6883</v>
      </c>
      <c r="I31" s="81" t="s">
        <v>6034</v>
      </c>
      <c r="J31" s="81" t="s">
        <v>6857</v>
      </c>
    </row>
    <row r="32">
      <c r="A32" s="83" t="s">
        <v>6814</v>
      </c>
      <c r="B32" s="83" t="s">
        <v>6815</v>
      </c>
      <c r="C32" s="81" t="s">
        <v>6853</v>
      </c>
      <c r="D32" s="81" t="s">
        <v>6842</v>
      </c>
      <c r="E32" s="81" t="s">
        <v>3055</v>
      </c>
      <c r="F32" s="81" t="s">
        <v>6884</v>
      </c>
      <c r="G32" s="81" t="s">
        <v>6885</v>
      </c>
      <c r="H32" s="81" t="s">
        <v>6886</v>
      </c>
      <c r="I32" s="81" t="s">
        <v>6003</v>
      </c>
      <c r="J32" s="81" t="s">
        <v>6857</v>
      </c>
    </row>
    <row r="33">
      <c r="A33" s="83" t="s">
        <v>6814</v>
      </c>
      <c r="B33" s="83" t="s">
        <v>6815</v>
      </c>
      <c r="C33" s="81" t="s">
        <v>6853</v>
      </c>
      <c r="D33" s="81" t="s">
        <v>6842</v>
      </c>
      <c r="E33" s="81" t="s">
        <v>3023</v>
      </c>
      <c r="F33" s="81" t="s">
        <v>6887</v>
      </c>
      <c r="G33" s="81" t="s">
        <v>6888</v>
      </c>
      <c r="H33" s="81" t="s">
        <v>6889</v>
      </c>
      <c r="I33" s="81" t="s">
        <v>5992</v>
      </c>
      <c r="J33" s="81" t="s">
        <v>6857</v>
      </c>
    </row>
    <row r="34">
      <c r="A34" s="83" t="s">
        <v>6814</v>
      </c>
      <c r="B34" s="83" t="s">
        <v>6815</v>
      </c>
      <c r="C34" s="81" t="s">
        <v>6853</v>
      </c>
      <c r="D34" s="81" t="s">
        <v>6842</v>
      </c>
      <c r="E34" s="81" t="s">
        <v>2512</v>
      </c>
      <c r="F34" s="81" t="s">
        <v>6890</v>
      </c>
      <c r="G34" s="81" t="s">
        <v>6891</v>
      </c>
      <c r="H34" s="81" t="s">
        <v>6892</v>
      </c>
      <c r="I34" s="81" t="s">
        <v>5865</v>
      </c>
      <c r="J34" s="81" t="s">
        <v>6857</v>
      </c>
    </row>
    <row r="35">
      <c r="A35" s="83" t="s">
        <v>6814</v>
      </c>
      <c r="B35" s="83" t="s">
        <v>6815</v>
      </c>
      <c r="C35" s="81" t="s">
        <v>6841</v>
      </c>
      <c r="D35" s="81" t="s">
        <v>6842</v>
      </c>
      <c r="E35" s="81" t="s">
        <v>3758</v>
      </c>
      <c r="F35" s="81" t="s">
        <v>6893</v>
      </c>
      <c r="G35" s="81" t="s">
        <v>6823</v>
      </c>
      <c r="H35" s="81" t="s">
        <v>6894</v>
      </c>
      <c r="I35" s="81" t="s">
        <v>224</v>
      </c>
      <c r="J35" s="81" t="s">
        <v>6845</v>
      </c>
    </row>
    <row r="36">
      <c r="A36" s="83" t="s">
        <v>6814</v>
      </c>
      <c r="B36" s="83" t="s">
        <v>6815</v>
      </c>
      <c r="C36" s="81" t="s">
        <v>6841</v>
      </c>
      <c r="D36" s="81" t="s">
        <v>6842</v>
      </c>
      <c r="E36" s="81" t="s">
        <v>3743</v>
      </c>
      <c r="F36" s="81" t="s">
        <v>6895</v>
      </c>
      <c r="G36" s="81" t="s">
        <v>6823</v>
      </c>
      <c r="H36" s="81" t="s">
        <v>6894</v>
      </c>
      <c r="I36" s="81" t="s">
        <v>224</v>
      </c>
      <c r="J36" s="81" t="s">
        <v>6845</v>
      </c>
    </row>
    <row r="37">
      <c r="A37" s="83" t="s">
        <v>6814</v>
      </c>
      <c r="B37" s="83" t="s">
        <v>6815</v>
      </c>
      <c r="C37" s="81" t="s">
        <v>6841</v>
      </c>
      <c r="D37" s="81" t="s">
        <v>6842</v>
      </c>
      <c r="E37" s="81" t="s">
        <v>3727</v>
      </c>
      <c r="F37" s="81" t="s">
        <v>6896</v>
      </c>
      <c r="G37" s="81" t="s">
        <v>6823</v>
      </c>
      <c r="H37" s="81" t="s">
        <v>6894</v>
      </c>
      <c r="I37" s="81" t="s">
        <v>224</v>
      </c>
      <c r="J37" s="81" t="s">
        <v>6845</v>
      </c>
    </row>
    <row r="38">
      <c r="A38" s="83" t="s">
        <v>6814</v>
      </c>
      <c r="B38" s="83" t="s">
        <v>6815</v>
      </c>
      <c r="C38" s="81" t="s">
        <v>6841</v>
      </c>
      <c r="D38" s="81" t="s">
        <v>6842</v>
      </c>
      <c r="E38" s="81" t="s">
        <v>3671</v>
      </c>
      <c r="F38" s="81" t="s">
        <v>6897</v>
      </c>
      <c r="G38" s="81" t="s">
        <v>6825</v>
      </c>
      <c r="H38" s="81" t="s">
        <v>6898</v>
      </c>
      <c r="I38" s="81" t="s">
        <v>224</v>
      </c>
      <c r="J38" s="81" t="s">
        <v>6845</v>
      </c>
    </row>
    <row r="39">
      <c r="A39" s="83" t="s">
        <v>6814</v>
      </c>
      <c r="B39" s="83" t="s">
        <v>6815</v>
      </c>
      <c r="C39" s="81" t="s">
        <v>6841</v>
      </c>
      <c r="D39" s="81" t="s">
        <v>6842</v>
      </c>
      <c r="E39" s="81" t="s">
        <v>3632</v>
      </c>
      <c r="F39" s="81" t="s">
        <v>6899</v>
      </c>
      <c r="G39" s="81" t="s">
        <v>6827</v>
      </c>
      <c r="H39" s="81" t="s">
        <v>6900</v>
      </c>
      <c r="I39" s="81" t="s">
        <v>224</v>
      </c>
      <c r="J39" s="81" t="s">
        <v>6845</v>
      </c>
    </row>
    <row r="40">
      <c r="A40" s="83" t="s">
        <v>6814</v>
      </c>
      <c r="B40" s="83" t="s">
        <v>6815</v>
      </c>
      <c r="C40" s="81" t="s">
        <v>6841</v>
      </c>
      <c r="D40" s="81" t="s">
        <v>6901</v>
      </c>
      <c r="E40" s="81" t="s">
        <v>3670</v>
      </c>
      <c r="F40" s="81" t="s">
        <v>6902</v>
      </c>
      <c r="G40" s="81" t="s">
        <v>6825</v>
      </c>
      <c r="H40" s="81" t="s">
        <v>6903</v>
      </c>
      <c r="I40" s="81" t="s">
        <v>224</v>
      </c>
      <c r="J40" s="81" t="s">
        <v>6845</v>
      </c>
    </row>
    <row r="41">
      <c r="A41" s="83" t="s">
        <v>6814</v>
      </c>
      <c r="B41" s="83" t="s">
        <v>6815</v>
      </c>
      <c r="C41" s="81" t="s">
        <v>6841</v>
      </c>
      <c r="D41" s="81" t="s">
        <v>6901</v>
      </c>
      <c r="E41" s="81" t="s">
        <v>3915</v>
      </c>
      <c r="F41" s="81" t="s">
        <v>6904</v>
      </c>
      <c r="G41" s="81" t="s">
        <v>6831</v>
      </c>
      <c r="H41" s="81" t="s">
        <v>6905</v>
      </c>
      <c r="I41" s="81" t="s">
        <v>224</v>
      </c>
      <c r="J41" s="81" t="s">
        <v>6845</v>
      </c>
    </row>
    <row r="42">
      <c r="A42" s="83" t="s">
        <v>6814</v>
      </c>
      <c r="B42" s="83" t="s">
        <v>6815</v>
      </c>
      <c r="C42" s="81" t="s">
        <v>6841</v>
      </c>
      <c r="D42" s="81" t="s">
        <v>6901</v>
      </c>
      <c r="E42" s="81" t="s">
        <v>3696</v>
      </c>
      <c r="F42" s="81" t="s">
        <v>6906</v>
      </c>
      <c r="G42" s="81" t="s">
        <v>6833</v>
      </c>
      <c r="H42" s="81" t="s">
        <v>6907</v>
      </c>
      <c r="I42" s="81" t="s">
        <v>224</v>
      </c>
      <c r="J42" s="81" t="s">
        <v>6845</v>
      </c>
    </row>
    <row r="43">
      <c r="A43" s="83" t="s">
        <v>6814</v>
      </c>
      <c r="B43" s="83" t="s">
        <v>6815</v>
      </c>
      <c r="C43" s="81" t="s">
        <v>6841</v>
      </c>
      <c r="D43" s="81" t="s">
        <v>6901</v>
      </c>
      <c r="E43" s="81" t="s">
        <v>3631</v>
      </c>
      <c r="F43" s="81" t="s">
        <v>6908</v>
      </c>
      <c r="G43" s="81" t="s">
        <v>6827</v>
      </c>
      <c r="H43" s="81" t="s">
        <v>6909</v>
      </c>
      <c r="I43" s="81" t="s">
        <v>224</v>
      </c>
      <c r="J43" s="81" t="s">
        <v>6845</v>
      </c>
    </row>
    <row r="44">
      <c r="A44" s="83" t="s">
        <v>6814</v>
      </c>
      <c r="B44" s="83" t="s">
        <v>6815</v>
      </c>
      <c r="C44" s="81" t="s">
        <v>6841</v>
      </c>
      <c r="D44" s="81" t="s">
        <v>6901</v>
      </c>
      <c r="E44" s="81" t="s">
        <v>3978</v>
      </c>
      <c r="F44" s="81" t="s">
        <v>6846</v>
      </c>
      <c r="G44" s="81" t="s">
        <v>6821</v>
      </c>
      <c r="H44" s="81" t="s">
        <v>6910</v>
      </c>
      <c r="I44" s="81" t="s">
        <v>224</v>
      </c>
      <c r="J44" s="81" t="s">
        <v>6845</v>
      </c>
    </row>
    <row r="45">
      <c r="A45" s="83" t="s">
        <v>6814</v>
      </c>
      <c r="B45" s="83" t="s">
        <v>6815</v>
      </c>
      <c r="C45" s="81" t="s">
        <v>6841</v>
      </c>
      <c r="D45" s="81" t="s">
        <v>6901</v>
      </c>
      <c r="E45" s="81" t="s">
        <v>3952</v>
      </c>
      <c r="F45" s="81" t="s">
        <v>6843</v>
      </c>
      <c r="G45" s="81" t="s">
        <v>6818</v>
      </c>
      <c r="H45" s="81" t="s">
        <v>6911</v>
      </c>
      <c r="I45" s="81" t="s">
        <v>224</v>
      </c>
      <c r="J45" s="81" t="s">
        <v>6845</v>
      </c>
    </row>
    <row r="46">
      <c r="A46" s="83" t="s">
        <v>6814</v>
      </c>
      <c r="B46" s="83" t="s">
        <v>6815</v>
      </c>
      <c r="C46" s="81" t="s">
        <v>6853</v>
      </c>
      <c r="D46" s="81" t="s">
        <v>6901</v>
      </c>
      <c r="E46" s="81" t="s">
        <v>6693</v>
      </c>
      <c r="F46" s="81" t="s">
        <v>6912</v>
      </c>
      <c r="G46" s="81" t="s">
        <v>6863</v>
      </c>
      <c r="H46" s="81" t="s">
        <v>6913</v>
      </c>
      <c r="I46" s="81" t="s">
        <v>6693</v>
      </c>
      <c r="J46" s="81" t="s">
        <v>6857</v>
      </c>
    </row>
    <row r="47">
      <c r="A47" s="83" t="s">
        <v>6814</v>
      </c>
      <c r="B47" s="83" t="s">
        <v>6815</v>
      </c>
      <c r="C47" s="81" t="s">
        <v>6853</v>
      </c>
      <c r="D47" s="81" t="s">
        <v>6901</v>
      </c>
      <c r="E47" s="81" t="s">
        <v>6694</v>
      </c>
      <c r="F47" s="81" t="s">
        <v>6912</v>
      </c>
      <c r="G47" s="81" t="s">
        <v>6863</v>
      </c>
      <c r="H47" s="81" t="s">
        <v>6913</v>
      </c>
      <c r="I47" s="81" t="s">
        <v>6694</v>
      </c>
      <c r="J47" s="81" t="s">
        <v>6857</v>
      </c>
    </row>
    <row r="48">
      <c r="A48" s="83" t="s">
        <v>6814</v>
      </c>
      <c r="B48" s="83" t="s">
        <v>6815</v>
      </c>
      <c r="C48" s="81" t="s">
        <v>6853</v>
      </c>
      <c r="D48" s="81" t="s">
        <v>6901</v>
      </c>
      <c r="E48" s="81" t="s">
        <v>6695</v>
      </c>
      <c r="F48" s="81" t="s">
        <v>6914</v>
      </c>
      <c r="G48" s="81" t="s">
        <v>6863</v>
      </c>
      <c r="H48" s="81" t="s">
        <v>6915</v>
      </c>
      <c r="I48" s="81" t="s">
        <v>6695</v>
      </c>
      <c r="J48" s="81" t="s">
        <v>6857</v>
      </c>
    </row>
    <row r="49">
      <c r="A49" s="83" t="s">
        <v>6814</v>
      </c>
      <c r="B49" s="83" t="s">
        <v>6815</v>
      </c>
      <c r="C49" s="81" t="s">
        <v>6853</v>
      </c>
      <c r="D49" s="81" t="s">
        <v>6901</v>
      </c>
      <c r="E49" s="81" t="s">
        <v>6696</v>
      </c>
      <c r="F49" s="81" t="s">
        <v>6916</v>
      </c>
      <c r="G49" s="81" t="s">
        <v>6863</v>
      </c>
      <c r="H49" s="81" t="s">
        <v>6917</v>
      </c>
      <c r="I49" s="81" t="s">
        <v>6696</v>
      </c>
      <c r="J49" s="81" t="s">
        <v>6857</v>
      </c>
    </row>
    <row r="50">
      <c r="A50" s="83" t="s">
        <v>6814</v>
      </c>
      <c r="B50" s="83" t="s">
        <v>6815</v>
      </c>
      <c r="C50" s="81" t="s">
        <v>6853</v>
      </c>
      <c r="D50" s="81" t="s">
        <v>6901</v>
      </c>
      <c r="E50" s="81" t="s">
        <v>6697</v>
      </c>
      <c r="F50" s="81" t="s">
        <v>6914</v>
      </c>
      <c r="G50" s="81" t="s">
        <v>6863</v>
      </c>
      <c r="H50" s="81" t="s">
        <v>6915</v>
      </c>
      <c r="I50" s="81" t="s">
        <v>6697</v>
      </c>
      <c r="J50" s="81" t="s">
        <v>6857</v>
      </c>
    </row>
    <row r="51">
      <c r="A51" s="83" t="s">
        <v>6814</v>
      </c>
      <c r="B51" s="83" t="s">
        <v>6815</v>
      </c>
      <c r="C51" s="81" t="s">
        <v>6853</v>
      </c>
      <c r="D51" s="81" t="s">
        <v>6901</v>
      </c>
      <c r="E51" s="81" t="s">
        <v>6698</v>
      </c>
      <c r="F51" s="81" t="s">
        <v>6914</v>
      </c>
      <c r="G51" s="81" t="s">
        <v>6863</v>
      </c>
      <c r="H51" s="81" t="s">
        <v>6915</v>
      </c>
      <c r="I51" s="81" t="s">
        <v>6698</v>
      </c>
      <c r="J51" s="81" t="s">
        <v>6857</v>
      </c>
    </row>
    <row r="52">
      <c r="A52" s="83" t="s">
        <v>6814</v>
      </c>
      <c r="B52" s="83" t="s">
        <v>6815</v>
      </c>
      <c r="C52" s="81" t="s">
        <v>6853</v>
      </c>
      <c r="D52" s="81" t="s">
        <v>6901</v>
      </c>
      <c r="E52" s="81" t="s">
        <v>6699</v>
      </c>
      <c r="F52" s="81" t="s">
        <v>6912</v>
      </c>
      <c r="G52" s="81" t="s">
        <v>6863</v>
      </c>
      <c r="H52" s="81" t="s">
        <v>6913</v>
      </c>
      <c r="I52" s="81" t="s">
        <v>6699</v>
      </c>
      <c r="J52" s="81" t="s">
        <v>6857</v>
      </c>
    </row>
    <row r="53">
      <c r="A53" s="83" t="s">
        <v>6814</v>
      </c>
      <c r="B53" s="83" t="s">
        <v>6815</v>
      </c>
      <c r="C53" s="81" t="s">
        <v>6853</v>
      </c>
      <c r="D53" s="81" t="s">
        <v>6901</v>
      </c>
      <c r="E53" s="81" t="s">
        <v>6700</v>
      </c>
      <c r="F53" s="81" t="s">
        <v>6916</v>
      </c>
      <c r="G53" s="81" t="s">
        <v>6863</v>
      </c>
      <c r="H53" s="81" t="s">
        <v>6917</v>
      </c>
      <c r="I53" s="81" t="s">
        <v>6700</v>
      </c>
      <c r="J53" s="81" t="s">
        <v>6857</v>
      </c>
    </row>
    <row r="54">
      <c r="A54" s="83" t="s">
        <v>6814</v>
      </c>
      <c r="B54" s="83" t="s">
        <v>6815</v>
      </c>
      <c r="C54" s="81" t="s">
        <v>6853</v>
      </c>
      <c r="D54" s="81" t="s">
        <v>6901</v>
      </c>
      <c r="E54" s="81" t="s">
        <v>6701</v>
      </c>
      <c r="F54" s="81" t="s">
        <v>6916</v>
      </c>
      <c r="G54" s="81" t="s">
        <v>6863</v>
      </c>
      <c r="H54" s="81" t="s">
        <v>6917</v>
      </c>
      <c r="I54" s="81" t="s">
        <v>6701</v>
      </c>
      <c r="J54" s="81" t="s">
        <v>6857</v>
      </c>
    </row>
    <row r="55">
      <c r="A55" s="83" t="s">
        <v>6814</v>
      </c>
      <c r="B55" s="83" t="s">
        <v>6815</v>
      </c>
      <c r="C55" s="81" t="s">
        <v>6841</v>
      </c>
      <c r="D55" s="81" t="s">
        <v>6901</v>
      </c>
      <c r="E55" s="81" t="s">
        <v>4035</v>
      </c>
      <c r="F55" s="83" t="s">
        <v>4869</v>
      </c>
      <c r="G55" s="81" t="s">
        <v>6918</v>
      </c>
      <c r="H55" s="81" t="s">
        <v>6919</v>
      </c>
      <c r="I55" s="81" t="s">
        <v>224</v>
      </c>
      <c r="J55" s="81" t="s">
        <v>6845</v>
      </c>
    </row>
    <row r="56">
      <c r="A56" s="83" t="s">
        <v>6814</v>
      </c>
      <c r="B56" s="83" t="s">
        <v>6815</v>
      </c>
      <c r="C56" s="81" t="s">
        <v>6841</v>
      </c>
      <c r="D56" s="81" t="s">
        <v>6901</v>
      </c>
      <c r="E56" s="81" t="s">
        <v>3891</v>
      </c>
      <c r="F56" s="81" t="s">
        <v>6878</v>
      </c>
      <c r="G56" s="81" t="s">
        <v>6879</v>
      </c>
      <c r="H56" s="81" t="s">
        <v>6920</v>
      </c>
      <c r="I56" s="81" t="s">
        <v>224</v>
      </c>
      <c r="J56" s="81" t="s">
        <v>6845</v>
      </c>
    </row>
    <row r="57">
      <c r="A57" s="83" t="s">
        <v>6814</v>
      </c>
      <c r="B57" s="83" t="s">
        <v>6815</v>
      </c>
      <c r="C57" s="81" t="s">
        <v>6841</v>
      </c>
      <c r="D57" s="81" t="s">
        <v>6901</v>
      </c>
      <c r="E57" s="81" t="s">
        <v>2558</v>
      </c>
      <c r="F57" s="81" t="s">
        <v>6921</v>
      </c>
      <c r="G57" s="81" t="s">
        <v>6922</v>
      </c>
      <c r="H57" s="81" t="s">
        <v>6923</v>
      </c>
      <c r="I57" s="81" t="s">
        <v>224</v>
      </c>
      <c r="J57" s="81" t="s">
        <v>6845</v>
      </c>
    </row>
    <row r="58">
      <c r="A58" s="83" t="s">
        <v>6814</v>
      </c>
      <c r="B58" s="83" t="s">
        <v>6815</v>
      </c>
      <c r="C58" s="81" t="s">
        <v>6853</v>
      </c>
      <c r="D58" s="81" t="s">
        <v>6901</v>
      </c>
      <c r="E58" s="81" t="s">
        <v>3726</v>
      </c>
      <c r="F58" s="81" t="s">
        <v>6896</v>
      </c>
      <c r="G58" s="81" t="s">
        <v>6823</v>
      </c>
      <c r="H58" s="81" t="s">
        <v>6924</v>
      </c>
      <c r="I58" s="81" t="s">
        <v>3726</v>
      </c>
      <c r="J58" s="81" t="s">
        <v>6857</v>
      </c>
    </row>
    <row r="59">
      <c r="A59" s="83" t="s">
        <v>6814</v>
      </c>
      <c r="B59" s="83" t="s">
        <v>6815</v>
      </c>
      <c r="C59" s="81" t="s">
        <v>6853</v>
      </c>
      <c r="D59" s="81" t="s">
        <v>6901</v>
      </c>
      <c r="E59" s="81" t="s">
        <v>3742</v>
      </c>
      <c r="F59" s="81" t="s">
        <v>6895</v>
      </c>
      <c r="G59" s="81" t="s">
        <v>6823</v>
      </c>
      <c r="H59" s="81" t="s">
        <v>6925</v>
      </c>
      <c r="I59" s="81" t="s">
        <v>3742</v>
      </c>
      <c r="J59" s="81" t="s">
        <v>6857</v>
      </c>
    </row>
    <row r="60">
      <c r="A60" s="83" t="s">
        <v>6814</v>
      </c>
      <c r="B60" s="83" t="s">
        <v>6815</v>
      </c>
      <c r="C60" s="81" t="s">
        <v>6853</v>
      </c>
      <c r="D60" s="81" t="s">
        <v>6901</v>
      </c>
      <c r="E60" s="81" t="s">
        <v>3757</v>
      </c>
      <c r="F60" s="81" t="s">
        <v>6893</v>
      </c>
      <c r="G60" s="81" t="s">
        <v>6823</v>
      </c>
      <c r="H60" s="81" t="s">
        <v>6926</v>
      </c>
      <c r="I60" s="81" t="s">
        <v>3757</v>
      </c>
      <c r="J60" s="81" t="s">
        <v>6857</v>
      </c>
    </row>
    <row r="61">
      <c r="A61" s="83" t="s">
        <v>6814</v>
      </c>
      <c r="B61" s="83" t="s">
        <v>6815</v>
      </c>
      <c r="C61" s="81" t="s">
        <v>6853</v>
      </c>
      <c r="D61" s="81" t="s">
        <v>6901</v>
      </c>
      <c r="E61" s="81" t="s">
        <v>3617</v>
      </c>
      <c r="F61" s="83" t="s">
        <v>4753</v>
      </c>
      <c r="G61" s="81" t="s">
        <v>6927</v>
      </c>
      <c r="H61" s="81" t="s">
        <v>6928</v>
      </c>
      <c r="I61" s="81" t="s">
        <v>3617</v>
      </c>
      <c r="J61" s="81" t="s">
        <v>6857</v>
      </c>
    </row>
    <row r="62">
      <c r="A62" s="83" t="s">
        <v>6814</v>
      </c>
      <c r="B62" s="83" t="s">
        <v>6815</v>
      </c>
      <c r="C62" s="81" t="s">
        <v>6841</v>
      </c>
      <c r="D62" s="81" t="s">
        <v>6901</v>
      </c>
      <c r="E62" s="81" t="s">
        <v>1785</v>
      </c>
      <c r="F62" s="81" t="s">
        <v>6929</v>
      </c>
      <c r="G62" s="81" t="s">
        <v>6930</v>
      </c>
      <c r="H62" s="81" t="s">
        <v>6931</v>
      </c>
      <c r="I62" s="81" t="s">
        <v>224</v>
      </c>
      <c r="J62" s="81" t="s">
        <v>6845</v>
      </c>
    </row>
    <row r="63">
      <c r="A63" s="83" t="s">
        <v>6814</v>
      </c>
      <c r="B63" s="83" t="s">
        <v>6815</v>
      </c>
      <c r="C63" s="81" t="s">
        <v>6853</v>
      </c>
      <c r="D63" s="81" t="s">
        <v>6901</v>
      </c>
      <c r="E63" s="81" t="s">
        <v>1945</v>
      </c>
      <c r="F63" s="81" t="s">
        <v>6932</v>
      </c>
      <c r="G63" s="81" t="s">
        <v>6933</v>
      </c>
      <c r="H63" s="81" t="s">
        <v>6934</v>
      </c>
      <c r="I63" s="81" t="s">
        <v>1945</v>
      </c>
      <c r="J63" s="81" t="s">
        <v>6857</v>
      </c>
    </row>
    <row r="64">
      <c r="A64" s="83" t="s">
        <v>6814</v>
      </c>
      <c r="B64" s="83" t="s">
        <v>6815</v>
      </c>
      <c r="C64" s="81" t="s">
        <v>6853</v>
      </c>
      <c r="D64" s="81" t="s">
        <v>6901</v>
      </c>
      <c r="E64" s="81" t="s">
        <v>2544</v>
      </c>
      <c r="F64" s="81" t="s">
        <v>6935</v>
      </c>
      <c r="G64" s="81" t="s">
        <v>6936</v>
      </c>
      <c r="H64" s="81" t="s">
        <v>6937</v>
      </c>
      <c r="I64" s="81" t="s">
        <v>2544</v>
      </c>
      <c r="J64" s="81" t="s">
        <v>6857</v>
      </c>
    </row>
    <row r="65">
      <c r="A65" s="83" t="s">
        <v>6814</v>
      </c>
      <c r="B65" s="83" t="s">
        <v>6815</v>
      </c>
      <c r="C65" s="81" t="s">
        <v>6853</v>
      </c>
      <c r="D65" s="81" t="s">
        <v>6901</v>
      </c>
      <c r="E65" s="81" t="s">
        <v>2485</v>
      </c>
      <c r="F65" s="83" t="s">
        <v>4530</v>
      </c>
      <c r="G65" s="81" t="s">
        <v>6938</v>
      </c>
      <c r="H65" s="81" t="s">
        <v>6939</v>
      </c>
      <c r="I65" s="81" t="s">
        <v>2485</v>
      </c>
      <c r="J65" s="81" t="s">
        <v>6857</v>
      </c>
    </row>
    <row r="66">
      <c r="A66" s="83" t="s">
        <v>6814</v>
      </c>
      <c r="B66" s="83" t="s">
        <v>6815</v>
      </c>
      <c r="C66" s="81" t="s">
        <v>6853</v>
      </c>
      <c r="D66" s="81" t="s">
        <v>6901</v>
      </c>
      <c r="E66" s="81" t="s">
        <v>2345</v>
      </c>
      <c r="F66" s="83" t="s">
        <v>4506</v>
      </c>
      <c r="G66" s="81" t="s">
        <v>6940</v>
      </c>
      <c r="H66" s="81" t="s">
        <v>6941</v>
      </c>
      <c r="I66" s="81" t="s">
        <v>2345</v>
      </c>
      <c r="J66" s="81" t="s">
        <v>6857</v>
      </c>
    </row>
    <row r="67">
      <c r="A67" s="83" t="s">
        <v>6814</v>
      </c>
      <c r="B67" s="83" t="s">
        <v>6815</v>
      </c>
      <c r="C67" s="81" t="s">
        <v>6853</v>
      </c>
      <c r="D67" s="81" t="s">
        <v>6901</v>
      </c>
      <c r="E67" s="81" t="s">
        <v>1281</v>
      </c>
      <c r="F67" s="81" t="s">
        <v>6942</v>
      </c>
      <c r="G67" s="81" t="s">
        <v>6943</v>
      </c>
      <c r="H67" s="81" t="s">
        <v>6944</v>
      </c>
      <c r="I67" s="81" t="s">
        <v>1281</v>
      </c>
      <c r="J67" s="81" t="s">
        <v>6857</v>
      </c>
    </row>
    <row r="68">
      <c r="A68" s="83" t="s">
        <v>6814</v>
      </c>
      <c r="B68" s="83" t="s">
        <v>6815</v>
      </c>
      <c r="C68" s="81" t="s">
        <v>6853</v>
      </c>
      <c r="D68" s="81" t="s">
        <v>6901</v>
      </c>
      <c r="E68" s="81" t="s">
        <v>150</v>
      </c>
      <c r="F68" s="81" t="s">
        <v>6945</v>
      </c>
      <c r="G68" s="81" t="s">
        <v>6946</v>
      </c>
      <c r="H68" s="81" t="s">
        <v>6947</v>
      </c>
      <c r="I68" s="81" t="s">
        <v>150</v>
      </c>
      <c r="J68" s="81" t="s">
        <v>6857</v>
      </c>
    </row>
    <row r="69">
      <c r="A69" s="83" t="s">
        <v>6814</v>
      </c>
      <c r="B69" s="83" t="s">
        <v>6815</v>
      </c>
      <c r="C69" s="81" t="s">
        <v>6948</v>
      </c>
      <c r="D69" s="81" t="s">
        <v>6842</v>
      </c>
      <c r="E69" s="81" t="s">
        <v>6761</v>
      </c>
      <c r="F69" s="81" t="s">
        <v>224</v>
      </c>
      <c r="G69" s="81" t="s">
        <v>6855</v>
      </c>
      <c r="H69" s="81" t="s">
        <v>6949</v>
      </c>
      <c r="I69" s="81" t="s">
        <v>224</v>
      </c>
      <c r="J69" s="81" t="s">
        <v>6950</v>
      </c>
    </row>
    <row r="70">
      <c r="A70" s="83" t="s">
        <v>6814</v>
      </c>
      <c r="B70" s="83" t="s">
        <v>6815</v>
      </c>
      <c r="C70" s="81" t="s">
        <v>6948</v>
      </c>
      <c r="D70" s="81" t="s">
        <v>6842</v>
      </c>
      <c r="E70" s="81" t="s">
        <v>6760</v>
      </c>
      <c r="F70" s="81" t="s">
        <v>224</v>
      </c>
      <c r="G70" s="81" t="s">
        <v>6858</v>
      </c>
      <c r="H70" s="81" t="s">
        <v>6949</v>
      </c>
      <c r="I70" s="81" t="s">
        <v>224</v>
      </c>
      <c r="J70" s="81" t="s">
        <v>6951</v>
      </c>
    </row>
    <row r="71">
      <c r="A71" s="83" t="s">
        <v>6814</v>
      </c>
      <c r="B71" s="83" t="s">
        <v>6815</v>
      </c>
      <c r="C71" s="81" t="s">
        <v>6948</v>
      </c>
      <c r="D71" s="81" t="s">
        <v>6842</v>
      </c>
      <c r="E71" s="81" t="s">
        <v>6759</v>
      </c>
      <c r="F71" s="81" t="s">
        <v>224</v>
      </c>
      <c r="G71" s="81" t="s">
        <v>6858</v>
      </c>
      <c r="H71" s="81" t="s">
        <v>6949</v>
      </c>
      <c r="I71" s="81" t="s">
        <v>224</v>
      </c>
      <c r="J71" s="81" t="s">
        <v>6952</v>
      </c>
    </row>
    <row r="72">
      <c r="A72" s="83" t="s">
        <v>6814</v>
      </c>
      <c r="B72" s="83" t="s">
        <v>6815</v>
      </c>
      <c r="C72" s="81" t="s">
        <v>6948</v>
      </c>
      <c r="D72" s="81" t="s">
        <v>6842</v>
      </c>
      <c r="E72" s="81" t="s">
        <v>6754</v>
      </c>
      <c r="F72" s="81" t="s">
        <v>224</v>
      </c>
      <c r="G72" s="81" t="s">
        <v>6863</v>
      </c>
      <c r="H72" s="81" t="s">
        <v>6949</v>
      </c>
      <c r="I72" s="81" t="s">
        <v>224</v>
      </c>
      <c r="J72" s="81" t="s">
        <v>6953</v>
      </c>
    </row>
    <row r="73">
      <c r="A73" s="83" t="s">
        <v>6814</v>
      </c>
      <c r="B73" s="83" t="s">
        <v>6815</v>
      </c>
      <c r="C73" s="81" t="s">
        <v>6948</v>
      </c>
      <c r="D73" s="81" t="s">
        <v>6842</v>
      </c>
      <c r="E73" s="81" t="s">
        <v>6755</v>
      </c>
      <c r="F73" s="81" t="s">
        <v>224</v>
      </c>
      <c r="G73" s="81" t="s">
        <v>6863</v>
      </c>
      <c r="H73" s="81" t="s">
        <v>6949</v>
      </c>
      <c r="I73" s="81" t="s">
        <v>224</v>
      </c>
      <c r="J73" s="81" t="s">
        <v>6954</v>
      </c>
    </row>
    <row r="74">
      <c r="A74" s="83" t="s">
        <v>6814</v>
      </c>
      <c r="B74" s="83" t="s">
        <v>6815</v>
      </c>
      <c r="C74" s="81" t="s">
        <v>6948</v>
      </c>
      <c r="D74" s="81" t="s">
        <v>6842</v>
      </c>
      <c r="E74" s="81" t="s">
        <v>6752</v>
      </c>
      <c r="F74" s="81" t="s">
        <v>224</v>
      </c>
      <c r="G74" s="81" t="s">
        <v>6863</v>
      </c>
      <c r="H74" s="81" t="s">
        <v>6949</v>
      </c>
      <c r="I74" s="81" t="s">
        <v>224</v>
      </c>
      <c r="J74" s="81" t="s">
        <v>6955</v>
      </c>
    </row>
    <row r="75">
      <c r="A75" s="83" t="s">
        <v>6814</v>
      </c>
      <c r="B75" s="83" t="s">
        <v>6815</v>
      </c>
      <c r="C75" s="81" t="s">
        <v>6948</v>
      </c>
      <c r="D75" s="81" t="s">
        <v>6842</v>
      </c>
      <c r="E75" s="81" t="s">
        <v>6753</v>
      </c>
      <c r="F75" s="81" t="s">
        <v>224</v>
      </c>
      <c r="G75" s="81" t="s">
        <v>6863</v>
      </c>
      <c r="H75" s="81" t="s">
        <v>6949</v>
      </c>
      <c r="I75" s="81" t="s">
        <v>224</v>
      </c>
      <c r="J75" s="81" t="s">
        <v>6956</v>
      </c>
    </row>
    <row r="76">
      <c r="A76" s="83" t="s">
        <v>6814</v>
      </c>
      <c r="B76" s="83" t="s">
        <v>6815</v>
      </c>
      <c r="C76" s="81" t="s">
        <v>6948</v>
      </c>
      <c r="D76" s="81" t="s">
        <v>6842</v>
      </c>
      <c r="E76" s="81" t="s">
        <v>6756</v>
      </c>
      <c r="F76" s="81" t="s">
        <v>224</v>
      </c>
      <c r="G76" s="81" t="s">
        <v>6863</v>
      </c>
      <c r="H76" s="81" t="s">
        <v>6949</v>
      </c>
      <c r="I76" s="81" t="s">
        <v>224</v>
      </c>
      <c r="J76" s="81" t="s">
        <v>6957</v>
      </c>
    </row>
    <row r="77">
      <c r="A77" s="83" t="s">
        <v>6814</v>
      </c>
      <c r="B77" s="83" t="s">
        <v>6815</v>
      </c>
      <c r="C77" s="81" t="s">
        <v>6948</v>
      </c>
      <c r="D77" s="81" t="s">
        <v>6842</v>
      </c>
      <c r="E77" s="81" t="s">
        <v>6757</v>
      </c>
      <c r="F77" s="81" t="s">
        <v>224</v>
      </c>
      <c r="G77" s="81" t="s">
        <v>6863</v>
      </c>
      <c r="H77" s="81" t="s">
        <v>6949</v>
      </c>
      <c r="I77" s="81" t="s">
        <v>224</v>
      </c>
      <c r="J77" s="81" t="s">
        <v>6958</v>
      </c>
    </row>
    <row r="78">
      <c r="A78" s="83" t="s">
        <v>6814</v>
      </c>
      <c r="B78" s="83" t="s">
        <v>6815</v>
      </c>
      <c r="C78" s="81" t="s">
        <v>6948</v>
      </c>
      <c r="D78" s="81" t="s">
        <v>6842</v>
      </c>
      <c r="E78" s="81" t="s">
        <v>6762</v>
      </c>
      <c r="F78" s="81" t="s">
        <v>224</v>
      </c>
      <c r="G78" s="81" t="s">
        <v>6876</v>
      </c>
      <c r="H78" s="81" t="s">
        <v>6949</v>
      </c>
      <c r="I78" s="81" t="s">
        <v>224</v>
      </c>
      <c r="J78" s="81" t="s">
        <v>6959</v>
      </c>
    </row>
    <row r="79">
      <c r="A79" s="83" t="s">
        <v>6814</v>
      </c>
      <c r="B79" s="83" t="s">
        <v>6815</v>
      </c>
      <c r="C79" s="81" t="s">
        <v>6948</v>
      </c>
      <c r="D79" s="81" t="s">
        <v>6842</v>
      </c>
      <c r="E79" s="81" t="s">
        <v>6034</v>
      </c>
      <c r="F79" s="81" t="s">
        <v>224</v>
      </c>
      <c r="G79" s="81" t="s">
        <v>6882</v>
      </c>
      <c r="H79" s="81" t="s">
        <v>6949</v>
      </c>
      <c r="I79" s="81" t="s">
        <v>224</v>
      </c>
      <c r="J79" s="81" t="s">
        <v>6960</v>
      </c>
    </row>
    <row r="80">
      <c r="A80" s="83" t="s">
        <v>6814</v>
      </c>
      <c r="B80" s="83" t="s">
        <v>6815</v>
      </c>
      <c r="C80" s="81" t="s">
        <v>6948</v>
      </c>
      <c r="D80" s="81" t="s">
        <v>6842</v>
      </c>
      <c r="E80" s="81" t="s">
        <v>6003</v>
      </c>
      <c r="F80" s="81" t="s">
        <v>224</v>
      </c>
      <c r="G80" s="81" t="s">
        <v>6885</v>
      </c>
      <c r="H80" s="81" t="s">
        <v>6949</v>
      </c>
      <c r="I80" s="81" t="s">
        <v>224</v>
      </c>
      <c r="J80" s="81" t="s">
        <v>6961</v>
      </c>
    </row>
    <row r="81">
      <c r="A81" s="83" t="s">
        <v>6814</v>
      </c>
      <c r="B81" s="83" t="s">
        <v>6815</v>
      </c>
      <c r="C81" s="81" t="s">
        <v>6948</v>
      </c>
      <c r="D81" s="81" t="s">
        <v>6842</v>
      </c>
      <c r="E81" s="81" t="s">
        <v>5992</v>
      </c>
      <c r="F81" s="81" t="s">
        <v>224</v>
      </c>
      <c r="G81" s="81" t="s">
        <v>6888</v>
      </c>
      <c r="H81" s="81" t="s">
        <v>6949</v>
      </c>
      <c r="I81" s="81" t="s">
        <v>224</v>
      </c>
      <c r="J81" s="81" t="s">
        <v>6962</v>
      </c>
    </row>
    <row r="82">
      <c r="A82" s="83" t="s">
        <v>6814</v>
      </c>
      <c r="B82" s="83" t="s">
        <v>6815</v>
      </c>
      <c r="C82" s="81" t="s">
        <v>6948</v>
      </c>
      <c r="D82" s="81" t="s">
        <v>6842</v>
      </c>
      <c r="E82" s="81" t="s">
        <v>5865</v>
      </c>
      <c r="F82" s="81" t="s">
        <v>224</v>
      </c>
      <c r="G82" s="81" t="s">
        <v>6891</v>
      </c>
      <c r="H82" s="81" t="s">
        <v>6949</v>
      </c>
      <c r="I82" s="81" t="s">
        <v>224</v>
      </c>
      <c r="J82" s="81" t="s">
        <v>6963</v>
      </c>
    </row>
    <row r="83">
      <c r="A83" s="83" t="s">
        <v>6814</v>
      </c>
      <c r="B83" s="83" t="s">
        <v>6815</v>
      </c>
      <c r="C83" s="81" t="s">
        <v>6948</v>
      </c>
      <c r="D83" s="81" t="s">
        <v>6901</v>
      </c>
      <c r="E83" s="81" t="s">
        <v>6693</v>
      </c>
      <c r="F83" s="81" t="s">
        <v>224</v>
      </c>
      <c r="G83" s="81" t="s">
        <v>6863</v>
      </c>
      <c r="H83" s="81" t="s">
        <v>6949</v>
      </c>
      <c r="I83" s="81" t="s">
        <v>224</v>
      </c>
      <c r="J83" s="81" t="s">
        <v>6964</v>
      </c>
    </row>
    <row r="84">
      <c r="A84" s="83" t="s">
        <v>6814</v>
      </c>
      <c r="B84" s="83" t="s">
        <v>6815</v>
      </c>
      <c r="C84" s="81" t="s">
        <v>6948</v>
      </c>
      <c r="D84" s="81" t="s">
        <v>6901</v>
      </c>
      <c r="E84" s="81" t="s">
        <v>6694</v>
      </c>
      <c r="F84" s="81" t="s">
        <v>224</v>
      </c>
      <c r="G84" s="81" t="s">
        <v>6863</v>
      </c>
      <c r="H84" s="81" t="s">
        <v>6949</v>
      </c>
      <c r="I84" s="81" t="s">
        <v>224</v>
      </c>
      <c r="J84" s="81" t="s">
        <v>6965</v>
      </c>
    </row>
    <row r="85">
      <c r="A85" s="83" t="s">
        <v>6814</v>
      </c>
      <c r="B85" s="83" t="s">
        <v>6815</v>
      </c>
      <c r="C85" s="81" t="s">
        <v>6948</v>
      </c>
      <c r="D85" s="81" t="s">
        <v>6901</v>
      </c>
      <c r="E85" s="81" t="s">
        <v>6695</v>
      </c>
      <c r="F85" s="81" t="s">
        <v>224</v>
      </c>
      <c r="G85" s="81" t="s">
        <v>6863</v>
      </c>
      <c r="H85" s="81" t="s">
        <v>6949</v>
      </c>
      <c r="I85" s="81" t="s">
        <v>224</v>
      </c>
      <c r="J85" s="81" t="s">
        <v>6966</v>
      </c>
    </row>
    <row r="86">
      <c r="A86" s="83" t="s">
        <v>6814</v>
      </c>
      <c r="B86" s="83" t="s">
        <v>6815</v>
      </c>
      <c r="C86" s="81" t="s">
        <v>6948</v>
      </c>
      <c r="D86" s="81" t="s">
        <v>6901</v>
      </c>
      <c r="E86" s="81" t="s">
        <v>6696</v>
      </c>
      <c r="F86" s="81" t="s">
        <v>224</v>
      </c>
      <c r="G86" s="81" t="s">
        <v>6863</v>
      </c>
      <c r="H86" s="81" t="s">
        <v>6949</v>
      </c>
      <c r="I86" s="81" t="s">
        <v>224</v>
      </c>
      <c r="J86" s="81" t="s">
        <v>6967</v>
      </c>
    </row>
    <row r="87">
      <c r="A87" s="83" t="s">
        <v>6814</v>
      </c>
      <c r="B87" s="83" t="s">
        <v>6815</v>
      </c>
      <c r="C87" s="81" t="s">
        <v>6948</v>
      </c>
      <c r="D87" s="81" t="s">
        <v>6901</v>
      </c>
      <c r="E87" s="81" t="s">
        <v>6697</v>
      </c>
      <c r="F87" s="81" t="s">
        <v>224</v>
      </c>
      <c r="G87" s="81" t="s">
        <v>6863</v>
      </c>
      <c r="H87" s="81" t="s">
        <v>6949</v>
      </c>
      <c r="I87" s="81" t="s">
        <v>224</v>
      </c>
      <c r="J87" s="81" t="s">
        <v>6968</v>
      </c>
    </row>
    <row r="88">
      <c r="A88" s="83" t="s">
        <v>6814</v>
      </c>
      <c r="B88" s="83" t="s">
        <v>6815</v>
      </c>
      <c r="C88" s="81" t="s">
        <v>6948</v>
      </c>
      <c r="D88" s="81" t="s">
        <v>6901</v>
      </c>
      <c r="E88" s="81" t="s">
        <v>6698</v>
      </c>
      <c r="F88" s="81" t="s">
        <v>224</v>
      </c>
      <c r="G88" s="81" t="s">
        <v>6863</v>
      </c>
      <c r="H88" s="81" t="s">
        <v>6949</v>
      </c>
      <c r="I88" s="81" t="s">
        <v>224</v>
      </c>
      <c r="J88" s="81" t="s">
        <v>6969</v>
      </c>
    </row>
    <row r="89">
      <c r="A89" s="83" t="s">
        <v>6814</v>
      </c>
      <c r="B89" s="83" t="s">
        <v>6815</v>
      </c>
      <c r="C89" s="81" t="s">
        <v>6948</v>
      </c>
      <c r="D89" s="81" t="s">
        <v>6901</v>
      </c>
      <c r="E89" s="81" t="s">
        <v>6699</v>
      </c>
      <c r="F89" s="81" t="s">
        <v>224</v>
      </c>
      <c r="G89" s="81" t="s">
        <v>6863</v>
      </c>
      <c r="H89" s="81" t="s">
        <v>6949</v>
      </c>
      <c r="I89" s="81" t="s">
        <v>224</v>
      </c>
      <c r="J89" s="81" t="s">
        <v>6970</v>
      </c>
    </row>
    <row r="90">
      <c r="A90" s="83" t="s">
        <v>6814</v>
      </c>
      <c r="B90" s="83" t="s">
        <v>6815</v>
      </c>
      <c r="C90" s="81" t="s">
        <v>6948</v>
      </c>
      <c r="D90" s="81" t="s">
        <v>6901</v>
      </c>
      <c r="E90" s="81" t="s">
        <v>6700</v>
      </c>
      <c r="F90" s="81" t="s">
        <v>224</v>
      </c>
      <c r="G90" s="81" t="s">
        <v>6863</v>
      </c>
      <c r="H90" s="81" t="s">
        <v>6949</v>
      </c>
      <c r="I90" s="81" t="s">
        <v>224</v>
      </c>
      <c r="J90" s="81" t="s">
        <v>6971</v>
      </c>
    </row>
    <row r="91">
      <c r="A91" s="83" t="s">
        <v>6814</v>
      </c>
      <c r="B91" s="83" t="s">
        <v>6815</v>
      </c>
      <c r="C91" s="81" t="s">
        <v>6948</v>
      </c>
      <c r="D91" s="81" t="s">
        <v>6901</v>
      </c>
      <c r="E91" s="81" t="s">
        <v>6701</v>
      </c>
      <c r="F91" s="81" t="s">
        <v>224</v>
      </c>
      <c r="G91" s="81" t="s">
        <v>6863</v>
      </c>
      <c r="H91" s="81" t="s">
        <v>6949</v>
      </c>
      <c r="I91" s="81" t="s">
        <v>224</v>
      </c>
      <c r="J91" s="81" t="s">
        <v>6972</v>
      </c>
    </row>
    <row r="92">
      <c r="A92" s="83" t="s">
        <v>6814</v>
      </c>
      <c r="B92" s="83" t="s">
        <v>6815</v>
      </c>
      <c r="C92" s="81" t="s">
        <v>6948</v>
      </c>
      <c r="D92" s="81" t="s">
        <v>6901</v>
      </c>
      <c r="E92" s="81" t="s">
        <v>3726</v>
      </c>
      <c r="F92" s="81" t="s">
        <v>224</v>
      </c>
      <c r="G92" s="81" t="s">
        <v>6823</v>
      </c>
      <c r="H92" s="81" t="s">
        <v>6949</v>
      </c>
      <c r="I92" s="81" t="s">
        <v>224</v>
      </c>
      <c r="J92" s="81" t="s">
        <v>6973</v>
      </c>
    </row>
    <row r="93">
      <c r="A93" s="83" t="s">
        <v>6814</v>
      </c>
      <c r="B93" s="83" t="s">
        <v>6815</v>
      </c>
      <c r="C93" s="81" t="s">
        <v>6948</v>
      </c>
      <c r="D93" s="81" t="s">
        <v>6901</v>
      </c>
      <c r="E93" s="81" t="s">
        <v>3742</v>
      </c>
      <c r="F93" s="81" t="s">
        <v>224</v>
      </c>
      <c r="G93" s="81" t="s">
        <v>6823</v>
      </c>
      <c r="H93" s="81" t="s">
        <v>6949</v>
      </c>
      <c r="I93" s="81" t="s">
        <v>224</v>
      </c>
      <c r="J93" s="81" t="s">
        <v>6974</v>
      </c>
    </row>
    <row r="94">
      <c r="A94" s="83" t="s">
        <v>6814</v>
      </c>
      <c r="B94" s="83" t="s">
        <v>6815</v>
      </c>
      <c r="C94" s="81" t="s">
        <v>6948</v>
      </c>
      <c r="D94" s="81" t="s">
        <v>6901</v>
      </c>
      <c r="E94" s="81" t="s">
        <v>3757</v>
      </c>
      <c r="F94" s="81" t="s">
        <v>224</v>
      </c>
      <c r="G94" s="81" t="s">
        <v>6823</v>
      </c>
      <c r="H94" s="81" t="s">
        <v>6949</v>
      </c>
      <c r="I94" s="81" t="s">
        <v>224</v>
      </c>
      <c r="J94" s="81" t="s">
        <v>6975</v>
      </c>
    </row>
    <row r="95">
      <c r="A95" s="83" t="s">
        <v>6814</v>
      </c>
      <c r="B95" s="83" t="s">
        <v>6815</v>
      </c>
      <c r="C95" s="81" t="s">
        <v>6948</v>
      </c>
      <c r="D95" s="81" t="s">
        <v>6901</v>
      </c>
      <c r="E95" s="81" t="s">
        <v>3617</v>
      </c>
      <c r="F95" s="81" t="s">
        <v>224</v>
      </c>
      <c r="G95" s="81" t="s">
        <v>6927</v>
      </c>
      <c r="H95" s="81" t="s">
        <v>6949</v>
      </c>
      <c r="I95" s="81" t="s">
        <v>224</v>
      </c>
      <c r="J95" s="81" t="s">
        <v>6976</v>
      </c>
    </row>
    <row r="96">
      <c r="A96" s="83" t="s">
        <v>6814</v>
      </c>
      <c r="B96" s="83" t="s">
        <v>6815</v>
      </c>
      <c r="C96" s="81" t="s">
        <v>6948</v>
      </c>
      <c r="D96" s="81" t="s">
        <v>6901</v>
      </c>
      <c r="E96" s="81" t="s">
        <v>1945</v>
      </c>
      <c r="F96" s="81" t="s">
        <v>224</v>
      </c>
      <c r="G96" s="81" t="s">
        <v>6933</v>
      </c>
      <c r="H96" s="81" t="s">
        <v>6949</v>
      </c>
      <c r="I96" s="81" t="s">
        <v>224</v>
      </c>
      <c r="J96" s="81" t="s">
        <v>6977</v>
      </c>
    </row>
    <row r="97">
      <c r="A97" s="83" t="s">
        <v>6814</v>
      </c>
      <c r="B97" s="83" t="s">
        <v>6815</v>
      </c>
      <c r="C97" s="81" t="s">
        <v>6948</v>
      </c>
      <c r="D97" s="81" t="s">
        <v>6901</v>
      </c>
      <c r="E97" s="81" t="s">
        <v>2544</v>
      </c>
      <c r="F97" s="81" t="s">
        <v>224</v>
      </c>
      <c r="G97" s="81" t="s">
        <v>6936</v>
      </c>
      <c r="H97" s="81" t="s">
        <v>6949</v>
      </c>
      <c r="I97" s="81" t="s">
        <v>224</v>
      </c>
      <c r="J97" s="81" t="s">
        <v>6978</v>
      </c>
    </row>
    <row r="98">
      <c r="A98" s="83" t="s">
        <v>6814</v>
      </c>
      <c r="B98" s="83" t="s">
        <v>6815</v>
      </c>
      <c r="C98" s="81" t="s">
        <v>6948</v>
      </c>
      <c r="D98" s="81" t="s">
        <v>6901</v>
      </c>
      <c r="E98" s="81" t="s">
        <v>2485</v>
      </c>
      <c r="F98" s="81" t="s">
        <v>224</v>
      </c>
      <c r="G98" s="81" t="s">
        <v>6938</v>
      </c>
      <c r="H98" s="81" t="s">
        <v>6949</v>
      </c>
      <c r="I98" s="81" t="s">
        <v>224</v>
      </c>
      <c r="J98" s="81" t="s">
        <v>6979</v>
      </c>
    </row>
    <row r="99">
      <c r="A99" s="83" t="s">
        <v>6814</v>
      </c>
      <c r="B99" s="83" t="s">
        <v>6815</v>
      </c>
      <c r="C99" s="81" t="s">
        <v>6948</v>
      </c>
      <c r="D99" s="81" t="s">
        <v>6901</v>
      </c>
      <c r="E99" s="81" t="s">
        <v>2345</v>
      </c>
      <c r="F99" s="81" t="s">
        <v>224</v>
      </c>
      <c r="G99" s="81" t="s">
        <v>6940</v>
      </c>
      <c r="H99" s="81" t="s">
        <v>6949</v>
      </c>
      <c r="I99" s="81" t="s">
        <v>224</v>
      </c>
      <c r="J99" s="81" t="s">
        <v>6980</v>
      </c>
    </row>
    <row r="100">
      <c r="A100" s="83" t="s">
        <v>6814</v>
      </c>
      <c r="B100" s="83" t="s">
        <v>6815</v>
      </c>
      <c r="C100" s="81" t="s">
        <v>6948</v>
      </c>
      <c r="D100" s="81" t="s">
        <v>6901</v>
      </c>
      <c r="E100" s="81" t="s">
        <v>1281</v>
      </c>
      <c r="F100" s="81" t="s">
        <v>224</v>
      </c>
      <c r="G100" s="81" t="s">
        <v>6943</v>
      </c>
      <c r="H100" s="81" t="s">
        <v>6949</v>
      </c>
      <c r="I100" s="81" t="s">
        <v>224</v>
      </c>
      <c r="J100" s="81" t="s">
        <v>6981</v>
      </c>
    </row>
    <row r="101">
      <c r="A101" s="83" t="s">
        <v>6814</v>
      </c>
      <c r="B101" s="83" t="s">
        <v>6815</v>
      </c>
      <c r="C101" s="81" t="s">
        <v>6948</v>
      </c>
      <c r="D101" s="81" t="s">
        <v>6901</v>
      </c>
      <c r="E101" s="81" t="s">
        <v>150</v>
      </c>
      <c r="F101" s="81" t="s">
        <v>224</v>
      </c>
      <c r="G101" s="81" t="s">
        <v>6946</v>
      </c>
      <c r="H101" s="81" t="s">
        <v>6949</v>
      </c>
      <c r="I101" s="81" t="s">
        <v>224</v>
      </c>
      <c r="J101" s="81" t="s">
        <v>6982</v>
      </c>
    </row>
    <row r="102">
      <c r="A102" s="83" t="s">
        <v>6814</v>
      </c>
      <c r="B102" s="83" t="s">
        <v>6815</v>
      </c>
      <c r="C102" s="81" t="s">
        <v>6983</v>
      </c>
      <c r="D102" s="81" t="s">
        <v>6842</v>
      </c>
      <c r="E102" s="81" t="s">
        <v>6781</v>
      </c>
      <c r="F102" s="81" t="s">
        <v>224</v>
      </c>
      <c r="G102" s="81" t="s">
        <v>224</v>
      </c>
      <c r="H102" s="81" t="s">
        <v>224</v>
      </c>
      <c r="I102" s="81" t="s">
        <v>224</v>
      </c>
      <c r="J102" s="81" t="s">
        <v>6984</v>
      </c>
    </row>
    <row r="103">
      <c r="A103" s="83" t="s">
        <v>6814</v>
      </c>
      <c r="B103" s="83" t="s">
        <v>6815</v>
      </c>
      <c r="C103" s="81" t="s">
        <v>6983</v>
      </c>
      <c r="D103" s="81" t="s">
        <v>6842</v>
      </c>
      <c r="E103" s="81" t="s">
        <v>6782</v>
      </c>
      <c r="F103" s="81" t="s">
        <v>224</v>
      </c>
      <c r="G103" s="81" t="s">
        <v>224</v>
      </c>
      <c r="H103" s="81" t="s">
        <v>224</v>
      </c>
      <c r="I103" s="81" t="s">
        <v>224</v>
      </c>
      <c r="J103" s="81" t="s">
        <v>6984</v>
      </c>
    </row>
    <row r="104">
      <c r="A104" s="83" t="s">
        <v>6814</v>
      </c>
      <c r="B104" s="83" t="s">
        <v>6815</v>
      </c>
      <c r="C104" s="81" t="s">
        <v>6983</v>
      </c>
      <c r="D104" s="81" t="s">
        <v>6842</v>
      </c>
      <c r="E104" s="81" t="s">
        <v>6733</v>
      </c>
      <c r="F104" s="81" t="s">
        <v>224</v>
      </c>
      <c r="G104" s="81" t="s">
        <v>224</v>
      </c>
      <c r="H104" s="81" t="s">
        <v>224</v>
      </c>
      <c r="I104" s="81" t="s">
        <v>224</v>
      </c>
      <c r="J104" s="81" t="s">
        <v>6984</v>
      </c>
    </row>
    <row r="105">
      <c r="A105" s="83" t="s">
        <v>6814</v>
      </c>
      <c r="B105" s="83" t="s">
        <v>6815</v>
      </c>
      <c r="C105" s="81" t="s">
        <v>6983</v>
      </c>
      <c r="D105" s="81" t="s">
        <v>6842</v>
      </c>
      <c r="E105" s="81" t="s">
        <v>6735</v>
      </c>
      <c r="F105" s="81" t="s">
        <v>224</v>
      </c>
      <c r="G105" s="81" t="s">
        <v>224</v>
      </c>
      <c r="H105" s="81" t="s">
        <v>224</v>
      </c>
      <c r="I105" s="81" t="s">
        <v>224</v>
      </c>
      <c r="J105" s="81" t="s">
        <v>6984</v>
      </c>
    </row>
    <row r="106">
      <c r="A106" s="83" t="s">
        <v>6814</v>
      </c>
      <c r="B106" s="83" t="s">
        <v>6815</v>
      </c>
      <c r="C106" s="81" t="s">
        <v>6983</v>
      </c>
      <c r="D106" s="81" t="s">
        <v>6842</v>
      </c>
      <c r="E106" s="81" t="s">
        <v>6736</v>
      </c>
      <c r="F106" s="81" t="s">
        <v>224</v>
      </c>
      <c r="G106" s="81" t="s">
        <v>224</v>
      </c>
      <c r="H106" s="81" t="s">
        <v>224</v>
      </c>
      <c r="I106" s="81" t="s">
        <v>224</v>
      </c>
      <c r="J106" s="81" t="s">
        <v>6984</v>
      </c>
    </row>
    <row r="107">
      <c r="A107" s="83" t="s">
        <v>6814</v>
      </c>
      <c r="B107" s="83" t="s">
        <v>6815</v>
      </c>
      <c r="C107" s="81" t="s">
        <v>6983</v>
      </c>
      <c r="D107" s="81" t="s">
        <v>6842</v>
      </c>
      <c r="E107" s="81" t="s">
        <v>6737</v>
      </c>
      <c r="F107" s="81" t="s">
        <v>224</v>
      </c>
      <c r="G107" s="81" t="s">
        <v>224</v>
      </c>
      <c r="H107" s="81" t="s">
        <v>224</v>
      </c>
      <c r="I107" s="81" t="s">
        <v>224</v>
      </c>
      <c r="J107" s="81" t="s">
        <v>6984</v>
      </c>
    </row>
    <row r="108">
      <c r="A108" s="83" t="s">
        <v>6814</v>
      </c>
      <c r="B108" s="83" t="s">
        <v>6815</v>
      </c>
      <c r="C108" s="81" t="s">
        <v>6983</v>
      </c>
      <c r="D108" s="81" t="s">
        <v>6842</v>
      </c>
      <c r="E108" s="81" t="s">
        <v>6738</v>
      </c>
      <c r="F108" s="81" t="s">
        <v>224</v>
      </c>
      <c r="G108" s="81" t="s">
        <v>224</v>
      </c>
      <c r="H108" s="81" t="s">
        <v>224</v>
      </c>
      <c r="I108" s="81" t="s">
        <v>224</v>
      </c>
      <c r="J108" s="81" t="s">
        <v>6984</v>
      </c>
    </row>
    <row r="109">
      <c r="A109" s="83" t="s">
        <v>6814</v>
      </c>
      <c r="B109" s="83" t="s">
        <v>6815</v>
      </c>
      <c r="C109" s="81" t="s">
        <v>6983</v>
      </c>
      <c r="D109" s="81" t="s">
        <v>6842</v>
      </c>
      <c r="E109" s="81" t="s">
        <v>6739</v>
      </c>
      <c r="F109" s="81" t="s">
        <v>224</v>
      </c>
      <c r="G109" s="81" t="s">
        <v>224</v>
      </c>
      <c r="H109" s="81" t="s">
        <v>224</v>
      </c>
      <c r="I109" s="81" t="s">
        <v>224</v>
      </c>
      <c r="J109" s="81" t="s">
        <v>6984</v>
      </c>
    </row>
    <row r="110">
      <c r="A110" s="83" t="s">
        <v>6814</v>
      </c>
      <c r="B110" s="83" t="s">
        <v>6815</v>
      </c>
      <c r="C110" s="81" t="s">
        <v>6983</v>
      </c>
      <c r="D110" s="81" t="s">
        <v>6842</v>
      </c>
      <c r="E110" s="81" t="s">
        <v>6740</v>
      </c>
      <c r="F110" s="81" t="s">
        <v>224</v>
      </c>
      <c r="G110" s="81" t="s">
        <v>224</v>
      </c>
      <c r="H110" s="81" t="s">
        <v>224</v>
      </c>
      <c r="I110" s="81" t="s">
        <v>224</v>
      </c>
      <c r="J110" s="81" t="s">
        <v>6984</v>
      </c>
    </row>
    <row r="111">
      <c r="A111" s="83" t="s">
        <v>6814</v>
      </c>
      <c r="B111" s="83" t="s">
        <v>6815</v>
      </c>
      <c r="C111" s="81" t="s">
        <v>6983</v>
      </c>
      <c r="D111" s="81" t="s">
        <v>6842</v>
      </c>
      <c r="E111" s="81" t="s">
        <v>6741</v>
      </c>
      <c r="F111" s="81" t="s">
        <v>224</v>
      </c>
      <c r="G111" s="81" t="s">
        <v>224</v>
      </c>
      <c r="H111" s="81" t="s">
        <v>224</v>
      </c>
      <c r="I111" s="81" t="s">
        <v>224</v>
      </c>
      <c r="J111" s="81" t="s">
        <v>6984</v>
      </c>
    </row>
    <row r="112">
      <c r="A112" s="83" t="s">
        <v>6814</v>
      </c>
      <c r="B112" s="83" t="s">
        <v>6815</v>
      </c>
      <c r="C112" s="81" t="s">
        <v>6983</v>
      </c>
      <c r="D112" s="81" t="s">
        <v>6842</v>
      </c>
      <c r="E112" s="81" t="s">
        <v>6742</v>
      </c>
      <c r="F112" s="81" t="s">
        <v>224</v>
      </c>
      <c r="G112" s="81" t="s">
        <v>224</v>
      </c>
      <c r="H112" s="81" t="s">
        <v>224</v>
      </c>
      <c r="I112" s="81" t="s">
        <v>224</v>
      </c>
      <c r="J112" s="81" t="s">
        <v>6984</v>
      </c>
    </row>
    <row r="113">
      <c r="A113" s="83" t="s">
        <v>6814</v>
      </c>
      <c r="B113" s="83" t="s">
        <v>6815</v>
      </c>
      <c r="C113" s="81" t="s">
        <v>6983</v>
      </c>
      <c r="D113" s="81" t="s">
        <v>6842</v>
      </c>
      <c r="E113" s="81" t="s">
        <v>6743</v>
      </c>
      <c r="F113" s="81" t="s">
        <v>224</v>
      </c>
      <c r="G113" s="81" t="s">
        <v>224</v>
      </c>
      <c r="H113" s="81" t="s">
        <v>224</v>
      </c>
      <c r="I113" s="81" t="s">
        <v>224</v>
      </c>
      <c r="J113" s="81" t="s">
        <v>6984</v>
      </c>
    </row>
    <row r="114">
      <c r="A114" s="83" t="s">
        <v>6814</v>
      </c>
      <c r="B114" s="83" t="s">
        <v>6815</v>
      </c>
      <c r="C114" s="81" t="s">
        <v>6983</v>
      </c>
      <c r="D114" s="81" t="s">
        <v>6842</v>
      </c>
      <c r="E114" s="81" t="s">
        <v>6744</v>
      </c>
      <c r="F114" s="81" t="s">
        <v>224</v>
      </c>
      <c r="G114" s="81" t="s">
        <v>224</v>
      </c>
      <c r="H114" s="81" t="s">
        <v>224</v>
      </c>
      <c r="I114" s="81" t="s">
        <v>224</v>
      </c>
      <c r="J114" s="81" t="s">
        <v>6984</v>
      </c>
    </row>
    <row r="115">
      <c r="A115" s="83" t="s">
        <v>6814</v>
      </c>
      <c r="B115" s="83" t="s">
        <v>6815</v>
      </c>
      <c r="C115" s="81" t="s">
        <v>6983</v>
      </c>
      <c r="D115" s="81" t="s">
        <v>6842</v>
      </c>
      <c r="E115" s="81" t="s">
        <v>6745</v>
      </c>
      <c r="F115" s="81" t="s">
        <v>224</v>
      </c>
      <c r="G115" s="81" t="s">
        <v>224</v>
      </c>
      <c r="H115" s="81" t="s">
        <v>224</v>
      </c>
      <c r="I115" s="81" t="s">
        <v>224</v>
      </c>
      <c r="J115" s="81" t="s">
        <v>6984</v>
      </c>
    </row>
    <row r="116">
      <c r="A116" s="83" t="s">
        <v>6814</v>
      </c>
      <c r="B116" s="83" t="s">
        <v>6815</v>
      </c>
      <c r="C116" s="81" t="s">
        <v>6983</v>
      </c>
      <c r="D116" s="81" t="s">
        <v>6842</v>
      </c>
      <c r="E116" s="81" t="s">
        <v>6746</v>
      </c>
      <c r="F116" s="81" t="s">
        <v>224</v>
      </c>
      <c r="G116" s="81" t="s">
        <v>224</v>
      </c>
      <c r="H116" s="81" t="s">
        <v>224</v>
      </c>
      <c r="I116" s="81" t="s">
        <v>224</v>
      </c>
      <c r="J116" s="81" t="s">
        <v>6984</v>
      </c>
    </row>
    <row r="117">
      <c r="A117" s="83" t="s">
        <v>6814</v>
      </c>
      <c r="B117" s="83" t="s">
        <v>6815</v>
      </c>
      <c r="C117" s="81" t="s">
        <v>6983</v>
      </c>
      <c r="D117" s="81" t="s">
        <v>6842</v>
      </c>
      <c r="E117" s="81" t="s">
        <v>6985</v>
      </c>
      <c r="F117" s="81" t="s">
        <v>224</v>
      </c>
      <c r="G117" s="81" t="s">
        <v>224</v>
      </c>
      <c r="H117" s="81" t="s">
        <v>224</v>
      </c>
      <c r="I117" s="81" t="s">
        <v>224</v>
      </c>
      <c r="J117" s="81" t="s">
        <v>6984</v>
      </c>
    </row>
    <row r="118">
      <c r="A118" s="83" t="s">
        <v>6814</v>
      </c>
      <c r="B118" s="83" t="s">
        <v>6815</v>
      </c>
      <c r="C118" s="81" t="s">
        <v>6983</v>
      </c>
      <c r="D118" s="81" t="s">
        <v>6842</v>
      </c>
      <c r="E118" s="81" t="s">
        <v>6986</v>
      </c>
      <c r="F118" s="81" t="s">
        <v>224</v>
      </c>
      <c r="G118" s="81" t="s">
        <v>224</v>
      </c>
      <c r="H118" s="81" t="s">
        <v>224</v>
      </c>
      <c r="I118" s="81" t="s">
        <v>224</v>
      </c>
      <c r="J118" s="81" t="s">
        <v>6984</v>
      </c>
    </row>
    <row r="119">
      <c r="A119" s="83" t="s">
        <v>6814</v>
      </c>
      <c r="B119" s="83" t="s">
        <v>6815</v>
      </c>
      <c r="C119" s="81" t="s">
        <v>6983</v>
      </c>
      <c r="D119" s="81" t="s">
        <v>6842</v>
      </c>
      <c r="E119" s="81" t="s">
        <v>6987</v>
      </c>
      <c r="F119" s="81" t="s">
        <v>224</v>
      </c>
      <c r="G119" s="81" t="s">
        <v>224</v>
      </c>
      <c r="H119" s="81" t="s">
        <v>224</v>
      </c>
      <c r="I119" s="81" t="s">
        <v>224</v>
      </c>
      <c r="J119" s="81" t="s">
        <v>6984</v>
      </c>
    </row>
    <row r="120">
      <c r="A120" s="83" t="s">
        <v>6814</v>
      </c>
      <c r="B120" s="83" t="s">
        <v>6815</v>
      </c>
      <c r="C120" s="81" t="s">
        <v>6983</v>
      </c>
      <c r="D120" s="81" t="s">
        <v>6842</v>
      </c>
      <c r="E120" s="81" t="s">
        <v>6988</v>
      </c>
      <c r="F120" s="81" t="s">
        <v>224</v>
      </c>
      <c r="G120" s="81" t="s">
        <v>224</v>
      </c>
      <c r="H120" s="81" t="s">
        <v>224</v>
      </c>
      <c r="I120" s="81" t="s">
        <v>224</v>
      </c>
      <c r="J120" s="81" t="s">
        <v>6984</v>
      </c>
    </row>
    <row r="121">
      <c r="A121" s="83" t="s">
        <v>6814</v>
      </c>
      <c r="B121" s="83" t="s">
        <v>6815</v>
      </c>
      <c r="C121" s="81" t="s">
        <v>6983</v>
      </c>
      <c r="D121" s="81" t="s">
        <v>6842</v>
      </c>
      <c r="E121" s="81" t="s">
        <v>6989</v>
      </c>
      <c r="F121" s="81" t="s">
        <v>224</v>
      </c>
      <c r="G121" s="81" t="s">
        <v>224</v>
      </c>
      <c r="H121" s="81" t="s">
        <v>224</v>
      </c>
      <c r="I121" s="81" t="s">
        <v>224</v>
      </c>
      <c r="J121" s="81" t="s">
        <v>6984</v>
      </c>
    </row>
    <row r="122">
      <c r="A122" s="83" t="s">
        <v>6814</v>
      </c>
      <c r="B122" s="83" t="s">
        <v>6815</v>
      </c>
      <c r="C122" s="81" t="s">
        <v>6983</v>
      </c>
      <c r="D122" s="81" t="s">
        <v>6842</v>
      </c>
      <c r="E122" s="81" t="s">
        <v>6990</v>
      </c>
      <c r="F122" s="81" t="s">
        <v>224</v>
      </c>
      <c r="G122" s="81" t="s">
        <v>224</v>
      </c>
      <c r="H122" s="81" t="s">
        <v>224</v>
      </c>
      <c r="I122" s="81" t="s">
        <v>224</v>
      </c>
      <c r="J122" s="81" t="s">
        <v>6984</v>
      </c>
    </row>
    <row r="123">
      <c r="A123" s="83" t="s">
        <v>6814</v>
      </c>
      <c r="B123" s="83" t="s">
        <v>6815</v>
      </c>
      <c r="C123" s="81" t="s">
        <v>6983</v>
      </c>
      <c r="D123" s="81" t="s">
        <v>6842</v>
      </c>
      <c r="E123" s="81" t="s">
        <v>6991</v>
      </c>
      <c r="F123" s="81" t="s">
        <v>224</v>
      </c>
      <c r="G123" s="81" t="s">
        <v>224</v>
      </c>
      <c r="H123" s="81" t="s">
        <v>224</v>
      </c>
      <c r="I123" s="81" t="s">
        <v>224</v>
      </c>
      <c r="J123" s="81" t="s">
        <v>6984</v>
      </c>
    </row>
    <row r="124">
      <c r="A124" s="83" t="s">
        <v>6814</v>
      </c>
      <c r="B124" s="83" t="s">
        <v>6815</v>
      </c>
      <c r="C124" s="81" t="s">
        <v>6983</v>
      </c>
      <c r="D124" s="81" t="s">
        <v>6842</v>
      </c>
      <c r="E124" s="81" t="s">
        <v>6992</v>
      </c>
      <c r="F124" s="81" t="s">
        <v>224</v>
      </c>
      <c r="G124" s="81" t="s">
        <v>224</v>
      </c>
      <c r="H124" s="81" t="s">
        <v>224</v>
      </c>
      <c r="I124" s="81" t="s">
        <v>224</v>
      </c>
      <c r="J124" s="81" t="s">
        <v>6984</v>
      </c>
    </row>
    <row r="125">
      <c r="A125" s="83" t="s">
        <v>6814</v>
      </c>
      <c r="B125" s="83" t="s">
        <v>6815</v>
      </c>
      <c r="C125" s="81" t="s">
        <v>6983</v>
      </c>
      <c r="D125" s="81" t="s">
        <v>6842</v>
      </c>
      <c r="E125" s="81" t="s">
        <v>5075</v>
      </c>
      <c r="F125" s="81" t="s">
        <v>224</v>
      </c>
      <c r="G125" s="81" t="s">
        <v>224</v>
      </c>
      <c r="H125" s="81" t="s">
        <v>224</v>
      </c>
      <c r="I125" s="81" t="s">
        <v>224</v>
      </c>
      <c r="J125" s="81" t="s">
        <v>6984</v>
      </c>
    </row>
    <row r="126">
      <c r="A126" s="83" t="s">
        <v>6814</v>
      </c>
      <c r="B126" s="83" t="s">
        <v>6815</v>
      </c>
      <c r="C126" s="81" t="s">
        <v>6983</v>
      </c>
      <c r="D126" s="81" t="s">
        <v>6842</v>
      </c>
      <c r="E126" s="81" t="s">
        <v>5073</v>
      </c>
      <c r="F126" s="81" t="s">
        <v>224</v>
      </c>
      <c r="G126" s="81" t="s">
        <v>224</v>
      </c>
      <c r="H126" s="81" t="s">
        <v>224</v>
      </c>
      <c r="I126" s="81" t="s">
        <v>224</v>
      </c>
      <c r="J126" s="81" t="s">
        <v>6984</v>
      </c>
    </row>
    <row r="127">
      <c r="A127" s="83" t="s">
        <v>6814</v>
      </c>
      <c r="B127" s="83" t="s">
        <v>6815</v>
      </c>
      <c r="C127" s="81" t="s">
        <v>6983</v>
      </c>
      <c r="D127" s="81" t="s">
        <v>6842</v>
      </c>
      <c r="E127" s="81" t="s">
        <v>5077</v>
      </c>
      <c r="F127" s="81" t="s">
        <v>224</v>
      </c>
      <c r="G127" s="81" t="s">
        <v>224</v>
      </c>
      <c r="H127" s="81" t="s">
        <v>224</v>
      </c>
      <c r="I127" s="81" t="s">
        <v>224</v>
      </c>
      <c r="J127" s="81" t="s">
        <v>6984</v>
      </c>
    </row>
    <row r="128">
      <c r="A128" s="83" t="s">
        <v>6814</v>
      </c>
      <c r="B128" s="83" t="s">
        <v>6815</v>
      </c>
      <c r="C128" s="81" t="s">
        <v>6983</v>
      </c>
      <c r="D128" s="81" t="s">
        <v>6901</v>
      </c>
      <c r="E128" s="81" t="s">
        <v>6652</v>
      </c>
      <c r="F128" s="81" t="s">
        <v>224</v>
      </c>
      <c r="G128" s="81" t="s">
        <v>224</v>
      </c>
      <c r="H128" s="81" t="s">
        <v>224</v>
      </c>
      <c r="I128" s="81" t="s">
        <v>224</v>
      </c>
      <c r="J128" s="81" t="s">
        <v>6993</v>
      </c>
    </row>
    <row r="129">
      <c r="A129" s="83" t="s">
        <v>6814</v>
      </c>
      <c r="B129" s="83" t="s">
        <v>6815</v>
      </c>
      <c r="C129" s="81" t="s">
        <v>6983</v>
      </c>
      <c r="D129" s="81" t="s">
        <v>6901</v>
      </c>
      <c r="E129" s="81" t="s">
        <v>6654</v>
      </c>
      <c r="F129" s="81" t="s">
        <v>224</v>
      </c>
      <c r="G129" s="81" t="s">
        <v>224</v>
      </c>
      <c r="H129" s="81" t="s">
        <v>224</v>
      </c>
      <c r="I129" s="81" t="s">
        <v>224</v>
      </c>
      <c r="J129" s="81" t="s">
        <v>6993</v>
      </c>
    </row>
    <row r="130">
      <c r="A130" s="83" t="s">
        <v>6814</v>
      </c>
      <c r="B130" s="83" t="s">
        <v>6815</v>
      </c>
      <c r="C130" s="81" t="s">
        <v>6983</v>
      </c>
      <c r="D130" s="81" t="s">
        <v>6901</v>
      </c>
      <c r="E130" s="81" t="s">
        <v>6655</v>
      </c>
      <c r="F130" s="81" t="s">
        <v>224</v>
      </c>
      <c r="G130" s="81" t="s">
        <v>224</v>
      </c>
      <c r="H130" s="81" t="s">
        <v>224</v>
      </c>
      <c r="I130" s="81" t="s">
        <v>224</v>
      </c>
      <c r="J130" s="81" t="s">
        <v>6993</v>
      </c>
    </row>
    <row r="131">
      <c r="A131" s="83" t="s">
        <v>6814</v>
      </c>
      <c r="B131" s="83" t="s">
        <v>6815</v>
      </c>
      <c r="C131" s="81" t="s">
        <v>6983</v>
      </c>
      <c r="D131" s="81" t="s">
        <v>6901</v>
      </c>
      <c r="E131" s="81" t="s">
        <v>6656</v>
      </c>
      <c r="F131" s="81" t="s">
        <v>224</v>
      </c>
      <c r="G131" s="81" t="s">
        <v>224</v>
      </c>
      <c r="H131" s="81" t="s">
        <v>224</v>
      </c>
      <c r="I131" s="81" t="s">
        <v>224</v>
      </c>
      <c r="J131" s="81" t="s">
        <v>6993</v>
      </c>
    </row>
    <row r="132">
      <c r="A132" s="83" t="s">
        <v>6814</v>
      </c>
      <c r="B132" s="83" t="s">
        <v>6815</v>
      </c>
      <c r="C132" s="81" t="s">
        <v>6983</v>
      </c>
      <c r="D132" s="81" t="s">
        <v>6901</v>
      </c>
      <c r="E132" s="81" t="s">
        <v>6657</v>
      </c>
      <c r="F132" s="81" t="s">
        <v>224</v>
      </c>
      <c r="G132" s="81" t="s">
        <v>224</v>
      </c>
      <c r="H132" s="81" t="s">
        <v>224</v>
      </c>
      <c r="I132" s="81" t="s">
        <v>224</v>
      </c>
      <c r="J132" s="81" t="s">
        <v>6993</v>
      </c>
    </row>
    <row r="133">
      <c r="A133" s="83" t="s">
        <v>6814</v>
      </c>
      <c r="B133" s="83" t="s">
        <v>6815</v>
      </c>
      <c r="C133" s="81" t="s">
        <v>6983</v>
      </c>
      <c r="D133" s="81" t="s">
        <v>6901</v>
      </c>
      <c r="E133" s="81" t="s">
        <v>6658</v>
      </c>
      <c r="F133" s="81" t="s">
        <v>224</v>
      </c>
      <c r="G133" s="81" t="s">
        <v>224</v>
      </c>
      <c r="H133" s="81" t="s">
        <v>224</v>
      </c>
      <c r="I133" s="81" t="s">
        <v>224</v>
      </c>
      <c r="J133" s="81" t="s">
        <v>6993</v>
      </c>
    </row>
    <row r="134">
      <c r="A134" s="83" t="s">
        <v>6814</v>
      </c>
      <c r="B134" s="83" t="s">
        <v>6815</v>
      </c>
      <c r="C134" s="81" t="s">
        <v>6983</v>
      </c>
      <c r="D134" s="81" t="s">
        <v>6901</v>
      </c>
      <c r="E134" s="81" t="s">
        <v>6659</v>
      </c>
      <c r="F134" s="81" t="s">
        <v>224</v>
      </c>
      <c r="G134" s="81" t="s">
        <v>224</v>
      </c>
      <c r="H134" s="81" t="s">
        <v>224</v>
      </c>
      <c r="I134" s="81" t="s">
        <v>224</v>
      </c>
      <c r="J134" s="81" t="s">
        <v>6993</v>
      </c>
    </row>
    <row r="135">
      <c r="A135" s="83" t="s">
        <v>6814</v>
      </c>
      <c r="B135" s="83" t="s">
        <v>6815</v>
      </c>
      <c r="C135" s="81" t="s">
        <v>6983</v>
      </c>
      <c r="D135" s="81" t="s">
        <v>6901</v>
      </c>
      <c r="E135" s="81" t="s">
        <v>6660</v>
      </c>
      <c r="F135" s="81" t="s">
        <v>224</v>
      </c>
      <c r="G135" s="81" t="s">
        <v>224</v>
      </c>
      <c r="H135" s="81" t="s">
        <v>224</v>
      </c>
      <c r="I135" s="81" t="s">
        <v>224</v>
      </c>
      <c r="J135" s="81" t="s">
        <v>6993</v>
      </c>
    </row>
    <row r="136">
      <c r="A136" s="83" t="s">
        <v>6814</v>
      </c>
      <c r="B136" s="83" t="s">
        <v>6815</v>
      </c>
      <c r="C136" s="81" t="s">
        <v>6983</v>
      </c>
      <c r="D136" s="81" t="s">
        <v>6901</v>
      </c>
      <c r="E136" s="81" t="s">
        <v>6661</v>
      </c>
      <c r="F136" s="81" t="s">
        <v>224</v>
      </c>
      <c r="G136" s="81" t="s">
        <v>224</v>
      </c>
      <c r="H136" s="81" t="s">
        <v>224</v>
      </c>
      <c r="I136" s="81" t="s">
        <v>224</v>
      </c>
      <c r="J136" s="81" t="s">
        <v>6993</v>
      </c>
    </row>
    <row r="137">
      <c r="A137" s="83" t="s">
        <v>6814</v>
      </c>
      <c r="B137" s="83" t="s">
        <v>6815</v>
      </c>
      <c r="C137" s="81" t="s">
        <v>6983</v>
      </c>
      <c r="D137" s="81" t="s">
        <v>6901</v>
      </c>
      <c r="E137" s="81" t="s">
        <v>6662</v>
      </c>
      <c r="F137" s="81" t="s">
        <v>224</v>
      </c>
      <c r="G137" s="81" t="s">
        <v>224</v>
      </c>
      <c r="H137" s="81" t="s">
        <v>224</v>
      </c>
      <c r="I137" s="81" t="s">
        <v>224</v>
      </c>
      <c r="J137" s="81" t="s">
        <v>6993</v>
      </c>
    </row>
    <row r="138">
      <c r="A138" s="83" t="s">
        <v>6814</v>
      </c>
      <c r="B138" s="83" t="s">
        <v>6815</v>
      </c>
      <c r="C138" s="81" t="s">
        <v>6983</v>
      </c>
      <c r="D138" s="81" t="s">
        <v>6901</v>
      </c>
      <c r="E138" s="81" t="s">
        <v>6663</v>
      </c>
      <c r="F138" s="81" t="s">
        <v>224</v>
      </c>
      <c r="G138" s="81" t="s">
        <v>224</v>
      </c>
      <c r="H138" s="81" t="s">
        <v>224</v>
      </c>
      <c r="I138" s="81" t="s">
        <v>224</v>
      </c>
      <c r="J138" s="81" t="s">
        <v>6993</v>
      </c>
    </row>
    <row r="139">
      <c r="A139" s="83" t="s">
        <v>6814</v>
      </c>
      <c r="B139" s="83" t="s">
        <v>6815</v>
      </c>
      <c r="C139" s="81" t="s">
        <v>6983</v>
      </c>
      <c r="D139" s="81" t="s">
        <v>6901</v>
      </c>
      <c r="E139" s="81" t="s">
        <v>6664</v>
      </c>
      <c r="F139" s="81" t="s">
        <v>224</v>
      </c>
      <c r="G139" s="81" t="s">
        <v>224</v>
      </c>
      <c r="H139" s="81" t="s">
        <v>224</v>
      </c>
      <c r="I139" s="81" t="s">
        <v>224</v>
      </c>
      <c r="J139" s="81" t="s">
        <v>6993</v>
      </c>
    </row>
    <row r="140">
      <c r="A140" s="83" t="s">
        <v>6814</v>
      </c>
      <c r="B140" s="83" t="s">
        <v>6815</v>
      </c>
      <c r="C140" s="81" t="s">
        <v>6983</v>
      </c>
      <c r="D140" s="81" t="s">
        <v>6901</v>
      </c>
      <c r="E140" s="81" t="s">
        <v>6665</v>
      </c>
      <c r="F140" s="81" t="s">
        <v>224</v>
      </c>
      <c r="G140" s="81" t="s">
        <v>224</v>
      </c>
      <c r="H140" s="81" t="s">
        <v>224</v>
      </c>
      <c r="I140" s="81" t="s">
        <v>224</v>
      </c>
      <c r="J140" s="81" t="s">
        <v>6993</v>
      </c>
    </row>
    <row r="141">
      <c r="A141" s="83" t="s">
        <v>6814</v>
      </c>
      <c r="B141" s="83" t="s">
        <v>6815</v>
      </c>
      <c r="C141" s="81" t="s">
        <v>6983</v>
      </c>
      <c r="D141" s="81" t="s">
        <v>6901</v>
      </c>
      <c r="E141" s="81" t="s">
        <v>6666</v>
      </c>
      <c r="F141" s="81" t="s">
        <v>224</v>
      </c>
      <c r="G141" s="81" t="s">
        <v>224</v>
      </c>
      <c r="H141" s="81" t="s">
        <v>224</v>
      </c>
      <c r="I141" s="81" t="s">
        <v>224</v>
      </c>
      <c r="J141" s="81" t="s">
        <v>6993</v>
      </c>
    </row>
    <row r="142">
      <c r="A142" s="83" t="s">
        <v>6814</v>
      </c>
      <c r="B142" s="83" t="s">
        <v>6815</v>
      </c>
      <c r="C142" s="81" t="s">
        <v>6983</v>
      </c>
      <c r="D142" s="81" t="s">
        <v>6901</v>
      </c>
      <c r="E142" s="81" t="s">
        <v>6667</v>
      </c>
      <c r="F142" s="81" t="s">
        <v>224</v>
      </c>
      <c r="G142" s="81" t="s">
        <v>224</v>
      </c>
      <c r="H142" s="81" t="s">
        <v>224</v>
      </c>
      <c r="I142" s="81" t="s">
        <v>224</v>
      </c>
      <c r="J142" s="81" t="s">
        <v>6993</v>
      </c>
    </row>
    <row r="143">
      <c r="A143" s="83" t="s">
        <v>6814</v>
      </c>
      <c r="B143" s="83" t="s">
        <v>6815</v>
      </c>
      <c r="C143" s="81" t="s">
        <v>6983</v>
      </c>
      <c r="D143" s="81" t="s">
        <v>6901</v>
      </c>
      <c r="E143" s="81" t="s">
        <v>6668</v>
      </c>
      <c r="F143" s="81" t="s">
        <v>224</v>
      </c>
      <c r="G143" s="81" t="s">
        <v>224</v>
      </c>
      <c r="H143" s="81" t="s">
        <v>224</v>
      </c>
      <c r="I143" s="81" t="s">
        <v>224</v>
      </c>
      <c r="J143" s="81" t="s">
        <v>6993</v>
      </c>
    </row>
    <row r="144">
      <c r="A144" s="83" t="s">
        <v>6814</v>
      </c>
      <c r="B144" s="83" t="s">
        <v>6815</v>
      </c>
      <c r="C144" s="81" t="s">
        <v>6983</v>
      </c>
      <c r="D144" s="81" t="s">
        <v>6901</v>
      </c>
      <c r="E144" s="81" t="s">
        <v>6669</v>
      </c>
      <c r="F144" s="81" t="s">
        <v>224</v>
      </c>
      <c r="G144" s="81" t="s">
        <v>224</v>
      </c>
      <c r="H144" s="81" t="s">
        <v>224</v>
      </c>
      <c r="I144" s="81" t="s">
        <v>224</v>
      </c>
      <c r="J144" s="81" t="s">
        <v>6993</v>
      </c>
    </row>
    <row r="145">
      <c r="A145" s="83" t="s">
        <v>6814</v>
      </c>
      <c r="B145" s="83" t="s">
        <v>6815</v>
      </c>
      <c r="C145" s="81" t="s">
        <v>6983</v>
      </c>
      <c r="D145" s="81" t="s">
        <v>6901</v>
      </c>
      <c r="E145" s="81" t="s">
        <v>6670</v>
      </c>
      <c r="F145" s="81" t="s">
        <v>224</v>
      </c>
      <c r="G145" s="81" t="s">
        <v>224</v>
      </c>
      <c r="H145" s="81" t="s">
        <v>224</v>
      </c>
      <c r="I145" s="81" t="s">
        <v>224</v>
      </c>
      <c r="J145" s="81" t="s">
        <v>6993</v>
      </c>
    </row>
    <row r="146">
      <c r="A146" s="83" t="s">
        <v>6814</v>
      </c>
      <c r="B146" s="83" t="s">
        <v>6815</v>
      </c>
      <c r="C146" s="81" t="s">
        <v>6983</v>
      </c>
      <c r="D146" s="81" t="s">
        <v>6901</v>
      </c>
      <c r="E146" s="81" t="s">
        <v>6671</v>
      </c>
      <c r="F146" s="81" t="s">
        <v>224</v>
      </c>
      <c r="G146" s="81" t="s">
        <v>224</v>
      </c>
      <c r="H146" s="81" t="s">
        <v>224</v>
      </c>
      <c r="I146" s="81" t="s">
        <v>224</v>
      </c>
      <c r="J146" s="81" t="s">
        <v>6993</v>
      </c>
    </row>
    <row r="147">
      <c r="A147" s="83" t="s">
        <v>6814</v>
      </c>
      <c r="B147" s="83" t="s">
        <v>6815</v>
      </c>
      <c r="C147" s="81" t="s">
        <v>6983</v>
      </c>
      <c r="D147" s="81" t="s">
        <v>6901</v>
      </c>
      <c r="E147" s="81" t="s">
        <v>6672</v>
      </c>
      <c r="F147" s="81" t="s">
        <v>224</v>
      </c>
      <c r="G147" s="81" t="s">
        <v>224</v>
      </c>
      <c r="H147" s="81" t="s">
        <v>224</v>
      </c>
      <c r="I147" s="81" t="s">
        <v>224</v>
      </c>
      <c r="J147" s="81" t="s">
        <v>6993</v>
      </c>
    </row>
    <row r="148">
      <c r="A148" s="83" t="s">
        <v>6814</v>
      </c>
      <c r="B148" s="83" t="s">
        <v>6815</v>
      </c>
      <c r="C148" s="81" t="s">
        <v>6983</v>
      </c>
      <c r="D148" s="81" t="s">
        <v>6901</v>
      </c>
      <c r="E148" s="81" t="s">
        <v>6673</v>
      </c>
      <c r="F148" s="81" t="s">
        <v>224</v>
      </c>
      <c r="G148" s="81" t="s">
        <v>224</v>
      </c>
      <c r="H148" s="81" t="s">
        <v>224</v>
      </c>
      <c r="I148" s="81" t="s">
        <v>224</v>
      </c>
      <c r="J148" s="81" t="s">
        <v>6993</v>
      </c>
    </row>
    <row r="149">
      <c r="A149" s="83" t="s">
        <v>6814</v>
      </c>
      <c r="B149" s="83" t="s">
        <v>6815</v>
      </c>
      <c r="C149" s="81" t="s">
        <v>6983</v>
      </c>
      <c r="D149" s="81" t="s">
        <v>6901</v>
      </c>
      <c r="E149" s="81" t="s">
        <v>6674</v>
      </c>
      <c r="F149" s="81" t="s">
        <v>224</v>
      </c>
      <c r="G149" s="81" t="s">
        <v>224</v>
      </c>
      <c r="H149" s="81" t="s">
        <v>224</v>
      </c>
      <c r="I149" s="81" t="s">
        <v>224</v>
      </c>
      <c r="J149" s="81" t="s">
        <v>6993</v>
      </c>
    </row>
    <row r="150">
      <c r="A150" s="83" t="s">
        <v>6814</v>
      </c>
      <c r="B150" s="83" t="s">
        <v>6815</v>
      </c>
      <c r="C150" s="81" t="s">
        <v>6983</v>
      </c>
      <c r="D150" s="81" t="s">
        <v>6901</v>
      </c>
      <c r="E150" s="81" t="s">
        <v>6675</v>
      </c>
      <c r="F150" s="81" t="s">
        <v>224</v>
      </c>
      <c r="G150" s="81" t="s">
        <v>224</v>
      </c>
      <c r="H150" s="81" t="s">
        <v>224</v>
      </c>
      <c r="I150" s="81" t="s">
        <v>224</v>
      </c>
      <c r="J150" s="81" t="s">
        <v>6993</v>
      </c>
    </row>
    <row r="151">
      <c r="A151" s="83" t="s">
        <v>6814</v>
      </c>
      <c r="B151" s="83" t="s">
        <v>6815</v>
      </c>
      <c r="C151" s="81" t="s">
        <v>6983</v>
      </c>
      <c r="D151" s="81" t="s">
        <v>6901</v>
      </c>
      <c r="E151" s="81" t="s">
        <v>6676</v>
      </c>
      <c r="F151" s="81" t="s">
        <v>224</v>
      </c>
      <c r="G151" s="81" t="s">
        <v>224</v>
      </c>
      <c r="H151" s="81" t="s">
        <v>224</v>
      </c>
      <c r="I151" s="81" t="s">
        <v>224</v>
      </c>
      <c r="J151" s="81" t="s">
        <v>6993</v>
      </c>
    </row>
    <row r="152">
      <c r="A152" s="83" t="s">
        <v>6814</v>
      </c>
      <c r="B152" s="83" t="s">
        <v>6815</v>
      </c>
      <c r="C152" s="81" t="s">
        <v>6983</v>
      </c>
      <c r="D152" s="81" t="s">
        <v>6901</v>
      </c>
      <c r="E152" s="81" t="s">
        <v>6677</v>
      </c>
      <c r="F152" s="81" t="s">
        <v>224</v>
      </c>
      <c r="G152" s="81" t="s">
        <v>224</v>
      </c>
      <c r="H152" s="81" t="s">
        <v>224</v>
      </c>
      <c r="I152" s="81" t="s">
        <v>224</v>
      </c>
      <c r="J152" s="81" t="s">
        <v>6993</v>
      </c>
    </row>
    <row r="153">
      <c r="A153" s="83" t="s">
        <v>6814</v>
      </c>
      <c r="B153" s="83" t="s">
        <v>6815</v>
      </c>
      <c r="C153" s="81" t="s">
        <v>6983</v>
      </c>
      <c r="D153" s="81" t="s">
        <v>6901</v>
      </c>
      <c r="E153" s="81" t="s">
        <v>6678</v>
      </c>
      <c r="F153" s="81" t="s">
        <v>224</v>
      </c>
      <c r="G153" s="81" t="s">
        <v>224</v>
      </c>
      <c r="H153" s="81" t="s">
        <v>224</v>
      </c>
      <c r="I153" s="81" t="s">
        <v>224</v>
      </c>
      <c r="J153" s="81" t="s">
        <v>6993</v>
      </c>
    </row>
    <row r="154">
      <c r="A154" s="83" t="s">
        <v>6814</v>
      </c>
      <c r="B154" s="83" t="s">
        <v>6815</v>
      </c>
      <c r="C154" s="81" t="s">
        <v>6983</v>
      </c>
      <c r="D154" s="81" t="s">
        <v>6901</v>
      </c>
      <c r="E154" s="81" t="s">
        <v>6679</v>
      </c>
      <c r="F154" s="81" t="s">
        <v>224</v>
      </c>
      <c r="G154" s="81" t="s">
        <v>224</v>
      </c>
      <c r="H154" s="81" t="s">
        <v>224</v>
      </c>
      <c r="I154" s="81" t="s">
        <v>224</v>
      </c>
      <c r="J154" s="81" t="s">
        <v>6993</v>
      </c>
    </row>
    <row r="155">
      <c r="A155" s="83" t="s">
        <v>6814</v>
      </c>
      <c r="B155" s="83" t="s">
        <v>6815</v>
      </c>
      <c r="C155" s="81" t="s">
        <v>6983</v>
      </c>
      <c r="D155" s="81" t="s">
        <v>6901</v>
      </c>
      <c r="E155" s="81" t="s">
        <v>6680</v>
      </c>
      <c r="F155" s="81" t="s">
        <v>224</v>
      </c>
      <c r="G155" s="81" t="s">
        <v>224</v>
      </c>
      <c r="H155" s="81" t="s">
        <v>224</v>
      </c>
      <c r="I155" s="81" t="s">
        <v>224</v>
      </c>
      <c r="J155" s="81" t="s">
        <v>6993</v>
      </c>
    </row>
    <row r="156">
      <c r="A156" s="83" t="s">
        <v>6814</v>
      </c>
      <c r="B156" s="83" t="s">
        <v>6815</v>
      </c>
      <c r="C156" s="81" t="s">
        <v>6983</v>
      </c>
      <c r="D156" s="81" t="s">
        <v>6901</v>
      </c>
      <c r="E156" s="81" t="s">
        <v>6681</v>
      </c>
      <c r="F156" s="81" t="s">
        <v>224</v>
      </c>
      <c r="G156" s="81" t="s">
        <v>224</v>
      </c>
      <c r="H156" s="81" t="s">
        <v>224</v>
      </c>
      <c r="I156" s="81" t="s">
        <v>224</v>
      </c>
      <c r="J156" s="81" t="s">
        <v>6993</v>
      </c>
    </row>
    <row r="157">
      <c r="A157" s="83" t="s">
        <v>6814</v>
      </c>
      <c r="B157" s="83" t="s">
        <v>6815</v>
      </c>
      <c r="C157" s="81" t="s">
        <v>6983</v>
      </c>
      <c r="D157" s="81" t="s">
        <v>6901</v>
      </c>
      <c r="E157" s="81" t="s">
        <v>6682</v>
      </c>
      <c r="F157" s="81" t="s">
        <v>224</v>
      </c>
      <c r="G157" s="81" t="s">
        <v>224</v>
      </c>
      <c r="H157" s="81" t="s">
        <v>224</v>
      </c>
      <c r="I157" s="81" t="s">
        <v>224</v>
      </c>
      <c r="J157" s="81" t="s">
        <v>6993</v>
      </c>
    </row>
    <row r="158">
      <c r="A158" s="83" t="s">
        <v>6814</v>
      </c>
      <c r="B158" s="83" t="s">
        <v>6815</v>
      </c>
      <c r="C158" s="81" t="s">
        <v>6983</v>
      </c>
      <c r="D158" s="81" t="s">
        <v>6901</v>
      </c>
      <c r="E158" s="81" t="s">
        <v>6683</v>
      </c>
      <c r="F158" s="81" t="s">
        <v>224</v>
      </c>
      <c r="G158" s="81" t="s">
        <v>224</v>
      </c>
      <c r="H158" s="81" t="s">
        <v>224</v>
      </c>
      <c r="I158" s="81" t="s">
        <v>224</v>
      </c>
      <c r="J158" s="81" t="s">
        <v>6993</v>
      </c>
    </row>
    <row r="159">
      <c r="A159" s="83" t="s">
        <v>6814</v>
      </c>
      <c r="B159" s="83" t="s">
        <v>6815</v>
      </c>
      <c r="C159" s="81" t="s">
        <v>6983</v>
      </c>
      <c r="D159" s="81" t="s">
        <v>6901</v>
      </c>
      <c r="E159" s="81" t="s">
        <v>6684</v>
      </c>
      <c r="F159" s="81" t="s">
        <v>224</v>
      </c>
      <c r="G159" s="81" t="s">
        <v>224</v>
      </c>
      <c r="H159" s="81" t="s">
        <v>224</v>
      </c>
      <c r="I159" s="81" t="s">
        <v>224</v>
      </c>
      <c r="J159" s="81" t="s">
        <v>6993</v>
      </c>
    </row>
    <row r="160">
      <c r="A160" s="83" t="s">
        <v>6814</v>
      </c>
      <c r="B160" s="83" t="s">
        <v>6815</v>
      </c>
      <c r="C160" s="81" t="s">
        <v>6983</v>
      </c>
      <c r="D160" s="81" t="s">
        <v>6901</v>
      </c>
      <c r="E160" s="81" t="s">
        <v>6685</v>
      </c>
      <c r="F160" s="81" t="s">
        <v>224</v>
      </c>
      <c r="G160" s="81" t="s">
        <v>224</v>
      </c>
      <c r="H160" s="81" t="s">
        <v>224</v>
      </c>
      <c r="I160" s="81" t="s">
        <v>224</v>
      </c>
      <c r="J160" s="81" t="s">
        <v>6993</v>
      </c>
    </row>
    <row r="161">
      <c r="A161" s="83" t="s">
        <v>6814</v>
      </c>
      <c r="B161" s="83" t="s">
        <v>6815</v>
      </c>
      <c r="C161" s="81" t="s">
        <v>6983</v>
      </c>
      <c r="D161" s="81" t="s">
        <v>6901</v>
      </c>
      <c r="E161" s="81" t="s">
        <v>6686</v>
      </c>
      <c r="F161" s="81" t="s">
        <v>224</v>
      </c>
      <c r="G161" s="81" t="s">
        <v>224</v>
      </c>
      <c r="H161" s="81" t="s">
        <v>224</v>
      </c>
      <c r="I161" s="81" t="s">
        <v>224</v>
      </c>
      <c r="J161" s="81" t="s">
        <v>6993</v>
      </c>
    </row>
    <row r="162">
      <c r="A162" s="83" t="s">
        <v>6814</v>
      </c>
      <c r="B162" s="83" t="s">
        <v>6815</v>
      </c>
      <c r="C162" s="81" t="s">
        <v>6983</v>
      </c>
      <c r="D162" s="81" t="s">
        <v>6901</v>
      </c>
      <c r="E162" s="81" t="s">
        <v>6687</v>
      </c>
      <c r="F162" s="81" t="s">
        <v>224</v>
      </c>
      <c r="G162" s="81" t="s">
        <v>224</v>
      </c>
      <c r="H162" s="81" t="s">
        <v>224</v>
      </c>
      <c r="I162" s="81" t="s">
        <v>224</v>
      </c>
      <c r="J162" s="81" t="s">
        <v>6993</v>
      </c>
    </row>
    <row r="163">
      <c r="A163" s="83" t="s">
        <v>6814</v>
      </c>
      <c r="B163" s="83" t="s">
        <v>6815</v>
      </c>
      <c r="C163" s="81" t="s">
        <v>6983</v>
      </c>
      <c r="D163" s="81" t="s">
        <v>6901</v>
      </c>
      <c r="E163" s="81" t="s">
        <v>6688</v>
      </c>
      <c r="F163" s="81" t="s">
        <v>224</v>
      </c>
      <c r="G163" s="81" t="s">
        <v>224</v>
      </c>
      <c r="H163" s="81" t="s">
        <v>224</v>
      </c>
      <c r="I163" s="81" t="s">
        <v>224</v>
      </c>
      <c r="J163" s="81" t="s">
        <v>6993</v>
      </c>
    </row>
    <row r="164">
      <c r="A164" s="83" t="s">
        <v>6814</v>
      </c>
      <c r="B164" s="83" t="s">
        <v>6815</v>
      </c>
      <c r="C164" s="81" t="s">
        <v>6983</v>
      </c>
      <c r="D164" s="81" t="s">
        <v>6901</v>
      </c>
      <c r="E164" s="81" t="s">
        <v>6689</v>
      </c>
      <c r="F164" s="81" t="s">
        <v>224</v>
      </c>
      <c r="G164" s="81" t="s">
        <v>224</v>
      </c>
      <c r="H164" s="81" t="s">
        <v>224</v>
      </c>
      <c r="I164" s="81" t="s">
        <v>224</v>
      </c>
      <c r="J164" s="81" t="s">
        <v>6993</v>
      </c>
    </row>
    <row r="165">
      <c r="A165" s="83" t="s">
        <v>6814</v>
      </c>
      <c r="B165" s="83" t="s">
        <v>6815</v>
      </c>
      <c r="C165" s="81" t="s">
        <v>6983</v>
      </c>
      <c r="D165" s="81" t="s">
        <v>6901</v>
      </c>
      <c r="E165" s="81" t="s">
        <v>6690</v>
      </c>
      <c r="F165" s="81" t="s">
        <v>224</v>
      </c>
      <c r="G165" s="81" t="s">
        <v>224</v>
      </c>
      <c r="H165" s="81" t="s">
        <v>224</v>
      </c>
      <c r="I165" s="81" t="s">
        <v>224</v>
      </c>
      <c r="J165" s="81" t="s">
        <v>6993</v>
      </c>
    </row>
    <row r="166">
      <c r="A166" s="83" t="s">
        <v>6814</v>
      </c>
      <c r="B166" s="83" t="s">
        <v>6815</v>
      </c>
      <c r="C166" s="81" t="s">
        <v>6983</v>
      </c>
      <c r="D166" s="81" t="s">
        <v>6901</v>
      </c>
      <c r="E166" s="81" t="s">
        <v>6691</v>
      </c>
      <c r="F166" s="81" t="s">
        <v>224</v>
      </c>
      <c r="G166" s="81" t="s">
        <v>224</v>
      </c>
      <c r="H166" s="81" t="s">
        <v>224</v>
      </c>
      <c r="I166" s="81" t="s">
        <v>224</v>
      </c>
      <c r="J166" s="81" t="s">
        <v>6993</v>
      </c>
    </row>
    <row r="167">
      <c r="A167" s="83" t="s">
        <v>6814</v>
      </c>
      <c r="B167" s="83" t="s">
        <v>6815</v>
      </c>
      <c r="C167" s="81" t="s">
        <v>6983</v>
      </c>
      <c r="D167" s="81" t="s">
        <v>6901</v>
      </c>
      <c r="E167" s="81" t="s">
        <v>6692</v>
      </c>
      <c r="F167" s="81" t="s">
        <v>224</v>
      </c>
      <c r="G167" s="81" t="s">
        <v>224</v>
      </c>
      <c r="H167" s="81" t="s">
        <v>224</v>
      </c>
      <c r="I167" s="81" t="s">
        <v>224</v>
      </c>
      <c r="J167" s="81" t="s">
        <v>6993</v>
      </c>
    </row>
    <row r="168">
      <c r="A168" s="83" t="s">
        <v>6814</v>
      </c>
      <c r="B168" s="83" t="s">
        <v>6815</v>
      </c>
      <c r="C168" s="81" t="s">
        <v>6983</v>
      </c>
      <c r="D168" s="81" t="s">
        <v>6901</v>
      </c>
      <c r="E168" s="81" t="s">
        <v>6702</v>
      </c>
      <c r="F168" s="81" t="s">
        <v>224</v>
      </c>
      <c r="G168" s="81" t="s">
        <v>224</v>
      </c>
      <c r="H168" s="81" t="s">
        <v>224</v>
      </c>
      <c r="I168" s="81" t="s">
        <v>224</v>
      </c>
      <c r="J168" s="81" t="s">
        <v>6993</v>
      </c>
    </row>
    <row r="169">
      <c r="A169" s="83" t="s">
        <v>6814</v>
      </c>
      <c r="B169" s="83" t="s">
        <v>6815</v>
      </c>
      <c r="C169" s="81" t="s">
        <v>6983</v>
      </c>
      <c r="D169" s="81" t="s">
        <v>6901</v>
      </c>
      <c r="E169" s="81" t="s">
        <v>6703</v>
      </c>
      <c r="F169" s="81" t="s">
        <v>224</v>
      </c>
      <c r="G169" s="81" t="s">
        <v>224</v>
      </c>
      <c r="H169" s="81" t="s">
        <v>224</v>
      </c>
      <c r="I169" s="81" t="s">
        <v>224</v>
      </c>
      <c r="J169" s="81" t="s">
        <v>6993</v>
      </c>
    </row>
    <row r="170">
      <c r="A170" s="83" t="s">
        <v>6814</v>
      </c>
      <c r="B170" s="83" t="s">
        <v>6815</v>
      </c>
      <c r="C170" s="81" t="s">
        <v>6983</v>
      </c>
      <c r="D170" s="81" t="s">
        <v>6901</v>
      </c>
      <c r="E170" s="81" t="s">
        <v>6704</v>
      </c>
      <c r="F170" s="81" t="s">
        <v>224</v>
      </c>
      <c r="G170" s="81" t="s">
        <v>224</v>
      </c>
      <c r="H170" s="81" t="s">
        <v>224</v>
      </c>
      <c r="I170" s="81" t="s">
        <v>224</v>
      </c>
      <c r="J170" s="81" t="s">
        <v>6993</v>
      </c>
    </row>
    <row r="171">
      <c r="A171" s="83" t="s">
        <v>6814</v>
      </c>
      <c r="B171" s="83" t="s">
        <v>6815</v>
      </c>
      <c r="C171" s="81" t="s">
        <v>6983</v>
      </c>
      <c r="D171" s="81" t="s">
        <v>6901</v>
      </c>
      <c r="E171" s="81" t="s">
        <v>6705</v>
      </c>
      <c r="F171" s="81" t="s">
        <v>224</v>
      </c>
      <c r="G171" s="81" t="s">
        <v>224</v>
      </c>
      <c r="H171" s="81" t="s">
        <v>224</v>
      </c>
      <c r="I171" s="81" t="s">
        <v>224</v>
      </c>
      <c r="J171" s="81" t="s">
        <v>6993</v>
      </c>
    </row>
    <row r="172">
      <c r="A172" s="83" t="s">
        <v>6814</v>
      </c>
      <c r="B172" s="83" t="s">
        <v>6815</v>
      </c>
      <c r="C172" s="81" t="s">
        <v>6983</v>
      </c>
      <c r="D172" s="81" t="s">
        <v>6901</v>
      </c>
      <c r="E172" s="81" t="s">
        <v>6706</v>
      </c>
      <c r="F172" s="81" t="s">
        <v>224</v>
      </c>
      <c r="G172" s="81" t="s">
        <v>224</v>
      </c>
      <c r="H172" s="81" t="s">
        <v>224</v>
      </c>
      <c r="I172" s="81" t="s">
        <v>224</v>
      </c>
      <c r="J172" s="81" t="s">
        <v>6993</v>
      </c>
    </row>
    <row r="173">
      <c r="A173" s="83" t="s">
        <v>6814</v>
      </c>
      <c r="B173" s="83" t="s">
        <v>6815</v>
      </c>
      <c r="C173" s="81" t="s">
        <v>6983</v>
      </c>
      <c r="D173" s="81" t="s">
        <v>6901</v>
      </c>
      <c r="E173" s="81" t="s">
        <v>6707</v>
      </c>
      <c r="F173" s="81" t="s">
        <v>224</v>
      </c>
      <c r="G173" s="81" t="s">
        <v>224</v>
      </c>
      <c r="H173" s="81" t="s">
        <v>224</v>
      </c>
      <c r="I173" s="81" t="s">
        <v>224</v>
      </c>
      <c r="J173" s="81" t="s">
        <v>6993</v>
      </c>
    </row>
    <row r="174">
      <c r="A174" s="83" t="s">
        <v>6814</v>
      </c>
      <c r="B174" s="83" t="s">
        <v>6815</v>
      </c>
      <c r="C174" s="81" t="s">
        <v>6983</v>
      </c>
      <c r="D174" s="81" t="s">
        <v>6901</v>
      </c>
      <c r="E174" s="81" t="s">
        <v>6708</v>
      </c>
      <c r="F174" s="81" t="s">
        <v>224</v>
      </c>
      <c r="G174" s="81" t="s">
        <v>224</v>
      </c>
      <c r="H174" s="81" t="s">
        <v>224</v>
      </c>
      <c r="I174" s="81" t="s">
        <v>224</v>
      </c>
      <c r="J174" s="81" t="s">
        <v>6993</v>
      </c>
    </row>
    <row r="175">
      <c r="A175" s="83" t="s">
        <v>6814</v>
      </c>
      <c r="B175" s="83" t="s">
        <v>6815</v>
      </c>
      <c r="C175" s="81" t="s">
        <v>6983</v>
      </c>
      <c r="D175" s="81" t="s">
        <v>6901</v>
      </c>
      <c r="E175" s="81" t="s">
        <v>6709</v>
      </c>
      <c r="F175" s="81" t="s">
        <v>224</v>
      </c>
      <c r="G175" s="81" t="s">
        <v>224</v>
      </c>
      <c r="H175" s="81" t="s">
        <v>224</v>
      </c>
      <c r="I175" s="81" t="s">
        <v>224</v>
      </c>
      <c r="J175" s="81" t="s">
        <v>6993</v>
      </c>
    </row>
    <row r="176">
      <c r="A176" s="83" t="s">
        <v>6814</v>
      </c>
      <c r="B176" s="83" t="s">
        <v>6815</v>
      </c>
      <c r="C176" s="81" t="s">
        <v>6983</v>
      </c>
      <c r="D176" s="81" t="s">
        <v>6901</v>
      </c>
      <c r="E176" s="81" t="s">
        <v>6710</v>
      </c>
      <c r="F176" s="81" t="s">
        <v>224</v>
      </c>
      <c r="G176" s="81" t="s">
        <v>224</v>
      </c>
      <c r="H176" s="81" t="s">
        <v>224</v>
      </c>
      <c r="I176" s="81" t="s">
        <v>224</v>
      </c>
      <c r="J176" s="81" t="s">
        <v>6993</v>
      </c>
    </row>
    <row r="177">
      <c r="A177" s="83" t="s">
        <v>6814</v>
      </c>
      <c r="B177" s="83" t="s">
        <v>6815</v>
      </c>
      <c r="C177" s="81" t="s">
        <v>6983</v>
      </c>
      <c r="D177" s="81" t="s">
        <v>6901</v>
      </c>
      <c r="E177" s="81" t="s">
        <v>6711</v>
      </c>
      <c r="F177" s="81" t="s">
        <v>224</v>
      </c>
      <c r="G177" s="81" t="s">
        <v>224</v>
      </c>
      <c r="H177" s="81" t="s">
        <v>224</v>
      </c>
      <c r="I177" s="81" t="s">
        <v>224</v>
      </c>
      <c r="J177" s="81" t="s">
        <v>6993</v>
      </c>
    </row>
    <row r="178">
      <c r="A178" s="83" t="s">
        <v>6814</v>
      </c>
      <c r="B178" s="83" t="s">
        <v>6815</v>
      </c>
      <c r="C178" s="81" t="s">
        <v>6983</v>
      </c>
      <c r="D178" s="81" t="s">
        <v>6901</v>
      </c>
      <c r="E178" s="81" t="s">
        <v>6712</v>
      </c>
      <c r="F178" s="81" t="s">
        <v>224</v>
      </c>
      <c r="G178" s="81" t="s">
        <v>224</v>
      </c>
      <c r="H178" s="81" t="s">
        <v>224</v>
      </c>
      <c r="I178" s="81" t="s">
        <v>224</v>
      </c>
      <c r="J178" s="81" t="s">
        <v>6993</v>
      </c>
    </row>
    <row r="179">
      <c r="A179" s="83" t="s">
        <v>6814</v>
      </c>
      <c r="B179" s="83" t="s">
        <v>6815</v>
      </c>
      <c r="C179" s="81" t="s">
        <v>4082</v>
      </c>
      <c r="D179" s="81" t="s">
        <v>6901</v>
      </c>
      <c r="E179" s="81" t="s">
        <v>4035</v>
      </c>
      <c r="F179" s="83" t="s">
        <v>4869</v>
      </c>
      <c r="G179" s="81" t="s">
        <v>6918</v>
      </c>
      <c r="H179" s="81" t="s">
        <v>224</v>
      </c>
      <c r="I179" s="81" t="s">
        <v>224</v>
      </c>
      <c r="J179" s="81" t="s">
        <v>6994</v>
      </c>
    </row>
    <row r="180">
      <c r="A180" s="83" t="s">
        <v>6814</v>
      </c>
      <c r="B180" s="83" t="s">
        <v>6815</v>
      </c>
      <c r="C180" s="81" t="s">
        <v>4082</v>
      </c>
      <c r="D180" s="81" t="s">
        <v>6901</v>
      </c>
      <c r="E180" s="81" t="s">
        <v>3891</v>
      </c>
      <c r="F180" s="81" t="s">
        <v>6878</v>
      </c>
      <c r="G180" s="81" t="s">
        <v>6879</v>
      </c>
      <c r="H180" s="81" t="s">
        <v>224</v>
      </c>
      <c r="I180" s="81" t="s">
        <v>224</v>
      </c>
      <c r="J180" s="81" t="s">
        <v>6995</v>
      </c>
    </row>
    <row r="181">
      <c r="A181" s="83" t="s">
        <v>6814</v>
      </c>
      <c r="B181" s="83" t="s">
        <v>6815</v>
      </c>
      <c r="C181" s="81" t="s">
        <v>4082</v>
      </c>
      <c r="D181" s="81" t="s">
        <v>6901</v>
      </c>
      <c r="E181" s="81" t="s">
        <v>2558</v>
      </c>
      <c r="F181" s="81" t="s">
        <v>6921</v>
      </c>
      <c r="G181" s="81" t="s">
        <v>6922</v>
      </c>
      <c r="H181" s="81" t="s">
        <v>224</v>
      </c>
      <c r="I181" s="81" t="s">
        <v>224</v>
      </c>
      <c r="J181" s="81" t="s">
        <v>6996</v>
      </c>
    </row>
    <row r="182">
      <c r="A182" s="83" t="s">
        <v>6814</v>
      </c>
      <c r="B182" s="83" t="s">
        <v>6815</v>
      </c>
      <c r="C182" s="81" t="s">
        <v>6983</v>
      </c>
      <c r="D182" s="81" t="s">
        <v>6901</v>
      </c>
      <c r="E182" s="81" t="s">
        <v>6713</v>
      </c>
      <c r="F182" s="81" t="s">
        <v>224</v>
      </c>
      <c r="G182" s="81" t="s">
        <v>224</v>
      </c>
      <c r="H182" s="81" t="s">
        <v>224</v>
      </c>
      <c r="I182" s="81" t="s">
        <v>224</v>
      </c>
      <c r="J182" s="81" t="s">
        <v>6993</v>
      </c>
    </row>
    <row r="183">
      <c r="A183" s="83" t="s">
        <v>6814</v>
      </c>
      <c r="B183" s="83" t="s">
        <v>6815</v>
      </c>
      <c r="C183" s="81" t="s">
        <v>4082</v>
      </c>
      <c r="D183" s="81" t="s">
        <v>6901</v>
      </c>
      <c r="E183" s="81" t="s">
        <v>1785</v>
      </c>
      <c r="F183" s="81" t="s">
        <v>6929</v>
      </c>
      <c r="G183" s="81" t="s">
        <v>6930</v>
      </c>
      <c r="H183" s="81" t="s">
        <v>224</v>
      </c>
      <c r="I183" s="81" t="s">
        <v>224</v>
      </c>
      <c r="J183" s="81" t="s">
        <v>6997</v>
      </c>
    </row>
    <row r="184">
      <c r="A184" s="83" t="s">
        <v>6814</v>
      </c>
      <c r="B184" s="83" t="s">
        <v>6815</v>
      </c>
      <c r="C184" s="81" t="s">
        <v>6983</v>
      </c>
      <c r="D184" s="81" t="s">
        <v>6901</v>
      </c>
      <c r="E184" s="81" t="s">
        <v>1197</v>
      </c>
      <c r="F184" s="81" t="s">
        <v>6998</v>
      </c>
      <c r="G184" s="81" t="s">
        <v>6999</v>
      </c>
      <c r="H184" s="81" t="s">
        <v>224</v>
      </c>
      <c r="I184" s="81" t="s">
        <v>224</v>
      </c>
      <c r="J184" s="81" t="s">
        <v>7000</v>
      </c>
    </row>
    <row r="185">
      <c r="A185" s="83" t="s">
        <v>6814</v>
      </c>
      <c r="B185" s="83" t="s">
        <v>6815</v>
      </c>
      <c r="C185" s="81" t="s">
        <v>6983</v>
      </c>
      <c r="D185" s="81" t="s">
        <v>6901</v>
      </c>
      <c r="E185" s="81" t="s">
        <v>6362</v>
      </c>
      <c r="F185" s="81" t="s">
        <v>224</v>
      </c>
      <c r="G185" s="81" t="s">
        <v>224</v>
      </c>
      <c r="H185" s="81" t="s">
        <v>224</v>
      </c>
      <c r="I185" s="81" t="s">
        <v>224</v>
      </c>
      <c r="J185" s="81" t="s">
        <v>6993</v>
      </c>
    </row>
    <row r="186">
      <c r="A186" s="83" t="s">
        <v>6814</v>
      </c>
      <c r="B186" s="83" t="s">
        <v>6815</v>
      </c>
      <c r="C186" s="81" t="s">
        <v>6983</v>
      </c>
      <c r="D186" s="81" t="s">
        <v>6901</v>
      </c>
      <c r="E186" s="81" t="s">
        <v>1321</v>
      </c>
      <c r="F186" s="81" t="s">
        <v>7001</v>
      </c>
      <c r="G186" s="81" t="s">
        <v>7002</v>
      </c>
      <c r="H186" s="81" t="s">
        <v>224</v>
      </c>
      <c r="I186" s="81" t="s">
        <v>224</v>
      </c>
      <c r="J186" s="81" t="s">
        <v>7000</v>
      </c>
    </row>
    <row r="187">
      <c r="A187" s="83" t="s">
        <v>7003</v>
      </c>
      <c r="B187" s="83" t="s">
        <v>7004</v>
      </c>
      <c r="C187" s="81" t="s">
        <v>4080</v>
      </c>
      <c r="D187" s="81" t="s">
        <v>224</v>
      </c>
      <c r="E187" s="81" t="s">
        <v>224</v>
      </c>
      <c r="F187" s="81" t="s">
        <v>224</v>
      </c>
      <c r="G187" s="81" t="s">
        <v>224</v>
      </c>
      <c r="H187" s="81" t="s">
        <v>224</v>
      </c>
      <c r="I187" s="81" t="s">
        <v>224</v>
      </c>
      <c r="J187" s="81" t="s">
        <v>7005</v>
      </c>
    </row>
    <row r="188">
      <c r="A188" s="83" t="s">
        <v>7003</v>
      </c>
      <c r="B188" s="83" t="s">
        <v>7004</v>
      </c>
      <c r="C188" s="81" t="s">
        <v>7006</v>
      </c>
      <c r="D188" s="81" t="s">
        <v>224</v>
      </c>
      <c r="E188" s="81" t="s">
        <v>43</v>
      </c>
      <c r="F188" s="81" t="s">
        <v>224</v>
      </c>
      <c r="G188" s="81" t="s">
        <v>6818</v>
      </c>
      <c r="H188" s="81" t="s">
        <v>6819</v>
      </c>
      <c r="I188" s="81" t="s">
        <v>224</v>
      </c>
      <c r="J188" s="81" t="s">
        <v>7007</v>
      </c>
    </row>
    <row r="189">
      <c r="A189" s="83" t="s">
        <v>7003</v>
      </c>
      <c r="B189" s="83" t="s">
        <v>7004</v>
      </c>
      <c r="C189" s="81" t="s">
        <v>7006</v>
      </c>
      <c r="D189" s="81" t="s">
        <v>224</v>
      </c>
      <c r="E189" s="81" t="s">
        <v>43</v>
      </c>
      <c r="F189" s="81" t="s">
        <v>224</v>
      </c>
      <c r="G189" s="81" t="s">
        <v>6821</v>
      </c>
      <c r="H189" s="81" t="s">
        <v>6822</v>
      </c>
      <c r="I189" s="81" t="s">
        <v>224</v>
      </c>
      <c r="J189" s="81" t="s">
        <v>7007</v>
      </c>
    </row>
    <row r="190">
      <c r="A190" s="83" t="s">
        <v>7003</v>
      </c>
      <c r="B190" s="83" t="s">
        <v>7004</v>
      </c>
      <c r="C190" s="81" t="s">
        <v>7006</v>
      </c>
      <c r="D190" s="81" t="s">
        <v>224</v>
      </c>
      <c r="E190" s="81" t="s">
        <v>43</v>
      </c>
      <c r="F190" s="81" t="s">
        <v>224</v>
      </c>
      <c r="G190" s="81" t="s">
        <v>6823</v>
      </c>
      <c r="H190" s="81" t="s">
        <v>6824</v>
      </c>
      <c r="I190" s="81" t="s">
        <v>224</v>
      </c>
      <c r="J190" s="81" t="s">
        <v>7007</v>
      </c>
    </row>
    <row r="191">
      <c r="A191" s="83" t="s">
        <v>7003</v>
      </c>
      <c r="B191" s="83" t="s">
        <v>7004</v>
      </c>
      <c r="C191" s="81" t="s">
        <v>7006</v>
      </c>
      <c r="D191" s="81" t="s">
        <v>224</v>
      </c>
      <c r="E191" s="81" t="s">
        <v>43</v>
      </c>
      <c r="F191" s="81" t="s">
        <v>224</v>
      </c>
      <c r="G191" s="81" t="s">
        <v>6825</v>
      </c>
      <c r="H191" s="81" t="s">
        <v>6826</v>
      </c>
      <c r="I191" s="81" t="s">
        <v>224</v>
      </c>
      <c r="J191" s="81" t="s">
        <v>7007</v>
      </c>
    </row>
    <row r="192">
      <c r="A192" s="83" t="s">
        <v>7003</v>
      </c>
      <c r="B192" s="83" t="s">
        <v>7004</v>
      </c>
      <c r="C192" s="81" t="s">
        <v>7006</v>
      </c>
      <c r="D192" s="81" t="s">
        <v>224</v>
      </c>
      <c r="E192" s="81" t="s">
        <v>43</v>
      </c>
      <c r="F192" s="81" t="s">
        <v>224</v>
      </c>
      <c r="G192" s="81" t="s">
        <v>6827</v>
      </c>
      <c r="H192" s="81" t="s">
        <v>6828</v>
      </c>
      <c r="I192" s="81" t="s">
        <v>224</v>
      </c>
      <c r="J192" s="81" t="s">
        <v>7007</v>
      </c>
    </row>
    <row r="193">
      <c r="A193" s="83" t="s">
        <v>7003</v>
      </c>
      <c r="B193" s="83" t="s">
        <v>7004</v>
      </c>
      <c r="C193" s="81" t="s">
        <v>7006</v>
      </c>
      <c r="D193" s="81" t="s">
        <v>224</v>
      </c>
      <c r="E193" s="81" t="s">
        <v>6829</v>
      </c>
      <c r="F193" s="81" t="s">
        <v>224</v>
      </c>
      <c r="G193" s="81" t="s">
        <v>6825</v>
      </c>
      <c r="H193" s="81" t="s">
        <v>6830</v>
      </c>
      <c r="I193" s="81" t="s">
        <v>224</v>
      </c>
      <c r="J193" s="81" t="s">
        <v>7007</v>
      </c>
    </row>
    <row r="194">
      <c r="A194" s="83" t="s">
        <v>7003</v>
      </c>
      <c r="B194" s="83" t="s">
        <v>7004</v>
      </c>
      <c r="C194" s="81" t="s">
        <v>7006</v>
      </c>
      <c r="D194" s="81" t="s">
        <v>224</v>
      </c>
      <c r="E194" s="81" t="s">
        <v>6829</v>
      </c>
      <c r="F194" s="81" t="s">
        <v>224</v>
      </c>
      <c r="G194" s="81" t="s">
        <v>6831</v>
      </c>
      <c r="H194" s="81" t="s">
        <v>6832</v>
      </c>
      <c r="I194" s="81" t="s">
        <v>224</v>
      </c>
      <c r="J194" s="81" t="s">
        <v>7007</v>
      </c>
    </row>
    <row r="195">
      <c r="A195" s="83" t="s">
        <v>7003</v>
      </c>
      <c r="B195" s="83" t="s">
        <v>7004</v>
      </c>
      <c r="C195" s="81" t="s">
        <v>7006</v>
      </c>
      <c r="D195" s="81" t="s">
        <v>224</v>
      </c>
      <c r="E195" s="81" t="s">
        <v>6829</v>
      </c>
      <c r="F195" s="81" t="s">
        <v>224</v>
      </c>
      <c r="G195" s="81" t="s">
        <v>6833</v>
      </c>
      <c r="H195" s="81" t="s">
        <v>6834</v>
      </c>
      <c r="I195" s="81" t="s">
        <v>224</v>
      </c>
      <c r="J195" s="81" t="s">
        <v>7007</v>
      </c>
    </row>
    <row r="196">
      <c r="A196" s="83" t="s">
        <v>7003</v>
      </c>
      <c r="B196" s="83" t="s">
        <v>7004</v>
      </c>
      <c r="C196" s="81" t="s">
        <v>7006</v>
      </c>
      <c r="D196" s="81" t="s">
        <v>224</v>
      </c>
      <c r="E196" s="81" t="s">
        <v>6829</v>
      </c>
      <c r="F196" s="81" t="s">
        <v>224</v>
      </c>
      <c r="G196" s="81" t="s">
        <v>6827</v>
      </c>
      <c r="H196" s="81" t="s">
        <v>6835</v>
      </c>
      <c r="I196" s="81" t="s">
        <v>224</v>
      </c>
      <c r="J196" s="81" t="s">
        <v>7007</v>
      </c>
    </row>
    <row r="197">
      <c r="A197" s="83" t="s">
        <v>7003</v>
      </c>
      <c r="B197" s="83" t="s">
        <v>7004</v>
      </c>
      <c r="C197" s="81" t="s">
        <v>7006</v>
      </c>
      <c r="D197" s="81" t="s">
        <v>224</v>
      </c>
      <c r="E197" s="81" t="s">
        <v>6829</v>
      </c>
      <c r="F197" s="81" t="s">
        <v>224</v>
      </c>
      <c r="G197" s="81" t="s">
        <v>6821</v>
      </c>
      <c r="H197" s="81" t="s">
        <v>6836</v>
      </c>
      <c r="I197" s="81" t="s">
        <v>224</v>
      </c>
      <c r="J197" s="81" t="s">
        <v>7007</v>
      </c>
    </row>
    <row r="198">
      <c r="A198" s="83" t="s">
        <v>7003</v>
      </c>
      <c r="B198" s="83" t="s">
        <v>7004</v>
      </c>
      <c r="C198" s="81" t="s">
        <v>7006</v>
      </c>
      <c r="D198" s="81" t="s">
        <v>224</v>
      </c>
      <c r="E198" s="81" t="s">
        <v>6829</v>
      </c>
      <c r="F198" s="81" t="s">
        <v>224</v>
      </c>
      <c r="G198" s="81" t="s">
        <v>6818</v>
      </c>
      <c r="H198" s="81" t="s">
        <v>6837</v>
      </c>
      <c r="I198" s="81" t="s">
        <v>224</v>
      </c>
      <c r="J198" s="81" t="s">
        <v>7007</v>
      </c>
    </row>
    <row r="199">
      <c r="A199" s="83" t="s">
        <v>7003</v>
      </c>
      <c r="B199" s="83" t="s">
        <v>7004</v>
      </c>
      <c r="C199" s="81" t="s">
        <v>7006</v>
      </c>
      <c r="D199" s="81" t="s">
        <v>224</v>
      </c>
      <c r="E199" s="83" t="s">
        <v>6838</v>
      </c>
      <c r="F199" s="81" t="s">
        <v>224</v>
      </c>
      <c r="G199" s="81" t="s">
        <v>6839</v>
      </c>
      <c r="H199" s="81" t="s">
        <v>6840</v>
      </c>
      <c r="I199" s="81" t="s">
        <v>224</v>
      </c>
      <c r="J199" s="81" t="s">
        <v>7007</v>
      </c>
    </row>
    <row r="200">
      <c r="A200" s="83" t="s">
        <v>7003</v>
      </c>
      <c r="B200" s="83" t="s">
        <v>7004</v>
      </c>
      <c r="C200" s="81" t="s">
        <v>7008</v>
      </c>
      <c r="D200" s="81" t="s">
        <v>6842</v>
      </c>
      <c r="E200" s="81" t="s">
        <v>3953</v>
      </c>
      <c r="F200" s="81" t="s">
        <v>6843</v>
      </c>
      <c r="G200" s="81" t="s">
        <v>6818</v>
      </c>
      <c r="H200" s="81" t="s">
        <v>6844</v>
      </c>
      <c r="I200" s="81" t="s">
        <v>224</v>
      </c>
      <c r="J200" s="81" t="s">
        <v>6845</v>
      </c>
    </row>
    <row r="201">
      <c r="A201" s="83" t="s">
        <v>7003</v>
      </c>
      <c r="B201" s="83" t="s">
        <v>7004</v>
      </c>
      <c r="C201" s="81" t="s">
        <v>7008</v>
      </c>
      <c r="D201" s="81" t="s">
        <v>6842</v>
      </c>
      <c r="E201" s="81" t="s">
        <v>3979</v>
      </c>
      <c r="F201" s="81" t="s">
        <v>6846</v>
      </c>
      <c r="G201" s="81" t="s">
        <v>6821</v>
      </c>
      <c r="H201" s="81" t="s">
        <v>6847</v>
      </c>
      <c r="I201" s="81" t="s">
        <v>224</v>
      </c>
      <c r="J201" s="81" t="s">
        <v>6845</v>
      </c>
    </row>
    <row r="202">
      <c r="A202" s="83" t="s">
        <v>7003</v>
      </c>
      <c r="B202" s="83" t="s">
        <v>7004</v>
      </c>
      <c r="C202" s="81" t="s">
        <v>7008</v>
      </c>
      <c r="D202" s="81" t="s">
        <v>6842</v>
      </c>
      <c r="E202" s="81" t="s">
        <v>4006</v>
      </c>
      <c r="F202" s="81" t="s">
        <v>6848</v>
      </c>
      <c r="G202" s="81" t="s">
        <v>6849</v>
      </c>
      <c r="H202" s="81" t="s">
        <v>6850</v>
      </c>
      <c r="I202" s="81" t="s">
        <v>224</v>
      </c>
      <c r="J202" s="81" t="s">
        <v>6845</v>
      </c>
    </row>
    <row r="203">
      <c r="A203" s="83" t="s">
        <v>7003</v>
      </c>
      <c r="B203" s="83" t="s">
        <v>7004</v>
      </c>
      <c r="C203" s="81" t="s">
        <v>7008</v>
      </c>
      <c r="D203" s="81" t="s">
        <v>6842</v>
      </c>
      <c r="E203" s="81" t="s">
        <v>4000</v>
      </c>
      <c r="F203" s="81" t="s">
        <v>6851</v>
      </c>
      <c r="G203" s="81" t="s">
        <v>6849</v>
      </c>
      <c r="H203" s="81" t="s">
        <v>6850</v>
      </c>
      <c r="I203" s="81" t="s">
        <v>224</v>
      </c>
      <c r="J203" s="81" t="s">
        <v>6845</v>
      </c>
    </row>
    <row r="204">
      <c r="A204" s="83" t="s">
        <v>7003</v>
      </c>
      <c r="B204" s="83" t="s">
        <v>7004</v>
      </c>
      <c r="C204" s="81" t="s">
        <v>7008</v>
      </c>
      <c r="D204" s="81" t="s">
        <v>6842</v>
      </c>
      <c r="E204" s="81" t="s">
        <v>4004</v>
      </c>
      <c r="F204" s="81" t="s">
        <v>6852</v>
      </c>
      <c r="G204" s="81" t="s">
        <v>6849</v>
      </c>
      <c r="H204" s="81" t="s">
        <v>6850</v>
      </c>
      <c r="I204" s="81" t="s">
        <v>224</v>
      </c>
      <c r="J204" s="81" t="s">
        <v>6845</v>
      </c>
    </row>
    <row r="205">
      <c r="A205" s="83" t="s">
        <v>7003</v>
      </c>
      <c r="B205" s="83" t="s">
        <v>7004</v>
      </c>
      <c r="C205" s="81" t="s">
        <v>7009</v>
      </c>
      <c r="D205" s="81" t="s">
        <v>6842</v>
      </c>
      <c r="E205" s="81" t="s">
        <v>3493</v>
      </c>
      <c r="F205" s="81" t="s">
        <v>6854</v>
      </c>
      <c r="G205" s="81" t="s">
        <v>6855</v>
      </c>
      <c r="H205" s="81" t="s">
        <v>6856</v>
      </c>
      <c r="I205" s="81" t="s">
        <v>6761</v>
      </c>
      <c r="J205" s="81" t="s">
        <v>7010</v>
      </c>
    </row>
    <row r="206">
      <c r="A206" s="83" t="s">
        <v>7003</v>
      </c>
      <c r="B206" s="83" t="s">
        <v>7004</v>
      </c>
      <c r="C206" s="81" t="s">
        <v>7009</v>
      </c>
      <c r="D206" s="81" t="s">
        <v>6842</v>
      </c>
      <c r="E206" s="81" t="s">
        <v>3336</v>
      </c>
      <c r="F206" s="83" t="s">
        <v>4701</v>
      </c>
      <c r="G206" s="81" t="s">
        <v>6858</v>
      </c>
      <c r="H206" s="81" t="s">
        <v>6859</v>
      </c>
      <c r="I206" s="81" t="s">
        <v>6760</v>
      </c>
      <c r="J206" s="81" t="s">
        <v>7010</v>
      </c>
    </row>
    <row r="207">
      <c r="A207" s="83" t="s">
        <v>7003</v>
      </c>
      <c r="B207" s="83" t="s">
        <v>7004</v>
      </c>
      <c r="C207" s="81" t="s">
        <v>7009</v>
      </c>
      <c r="D207" s="81" t="s">
        <v>6842</v>
      </c>
      <c r="E207" s="81" t="s">
        <v>3326</v>
      </c>
      <c r="F207" s="81" t="s">
        <v>6860</v>
      </c>
      <c r="G207" s="81" t="s">
        <v>6858</v>
      </c>
      <c r="H207" s="81" t="s">
        <v>6861</v>
      </c>
      <c r="I207" s="81" t="s">
        <v>6759</v>
      </c>
      <c r="J207" s="81" t="s">
        <v>7010</v>
      </c>
    </row>
    <row r="208">
      <c r="A208" s="83" t="s">
        <v>7003</v>
      </c>
      <c r="B208" s="83" t="s">
        <v>7004</v>
      </c>
      <c r="C208" s="81" t="s">
        <v>7009</v>
      </c>
      <c r="D208" s="81" t="s">
        <v>6842</v>
      </c>
      <c r="E208" s="81" t="s">
        <v>1857</v>
      </c>
      <c r="F208" s="81" t="s">
        <v>6862</v>
      </c>
      <c r="G208" s="81" t="s">
        <v>6863</v>
      </c>
      <c r="H208" s="81" t="s">
        <v>6864</v>
      </c>
      <c r="I208" s="81" t="s">
        <v>6754</v>
      </c>
      <c r="J208" s="81" t="s">
        <v>7010</v>
      </c>
    </row>
    <row r="209">
      <c r="A209" s="83" t="s">
        <v>7003</v>
      </c>
      <c r="B209" s="83" t="s">
        <v>7004</v>
      </c>
      <c r="C209" s="81" t="s">
        <v>7009</v>
      </c>
      <c r="D209" s="81" t="s">
        <v>6842</v>
      </c>
      <c r="E209" s="81" t="s">
        <v>1862</v>
      </c>
      <c r="F209" s="81" t="s">
        <v>6865</v>
      </c>
      <c r="G209" s="81" t="s">
        <v>6863</v>
      </c>
      <c r="H209" s="81" t="s">
        <v>6866</v>
      </c>
      <c r="I209" s="81" t="s">
        <v>6755</v>
      </c>
      <c r="J209" s="81" t="s">
        <v>7010</v>
      </c>
    </row>
    <row r="210">
      <c r="A210" s="83" t="s">
        <v>7003</v>
      </c>
      <c r="B210" s="83" t="s">
        <v>7004</v>
      </c>
      <c r="C210" s="81" t="s">
        <v>7009</v>
      </c>
      <c r="D210" s="81" t="s">
        <v>6842</v>
      </c>
      <c r="E210" s="81" t="s">
        <v>1839</v>
      </c>
      <c r="F210" s="81" t="s">
        <v>6867</v>
      </c>
      <c r="G210" s="81" t="s">
        <v>6863</v>
      </c>
      <c r="H210" s="81" t="s">
        <v>6868</v>
      </c>
      <c r="I210" s="81" t="s">
        <v>6752</v>
      </c>
      <c r="J210" s="81" t="s">
        <v>7010</v>
      </c>
    </row>
    <row r="211">
      <c r="A211" s="83" t="s">
        <v>7003</v>
      </c>
      <c r="B211" s="83" t="s">
        <v>7004</v>
      </c>
      <c r="C211" s="81" t="s">
        <v>7009</v>
      </c>
      <c r="D211" s="81" t="s">
        <v>6842</v>
      </c>
      <c r="E211" s="81" t="s">
        <v>1847</v>
      </c>
      <c r="F211" s="81" t="s">
        <v>6869</v>
      </c>
      <c r="G211" s="81" t="s">
        <v>6863</v>
      </c>
      <c r="H211" s="81" t="s">
        <v>6870</v>
      </c>
      <c r="I211" s="81" t="s">
        <v>6753</v>
      </c>
      <c r="J211" s="81" t="s">
        <v>7010</v>
      </c>
    </row>
    <row r="212">
      <c r="A212" s="83" t="s">
        <v>7003</v>
      </c>
      <c r="B212" s="83" t="s">
        <v>7004</v>
      </c>
      <c r="C212" s="81" t="s">
        <v>7009</v>
      </c>
      <c r="D212" s="81" t="s">
        <v>6842</v>
      </c>
      <c r="E212" s="81" t="s">
        <v>1871</v>
      </c>
      <c r="F212" s="81" t="s">
        <v>6871</v>
      </c>
      <c r="G212" s="81" t="s">
        <v>6863</v>
      </c>
      <c r="H212" s="81" t="s">
        <v>6872</v>
      </c>
      <c r="I212" s="81" t="s">
        <v>6756</v>
      </c>
      <c r="J212" s="81" t="s">
        <v>7010</v>
      </c>
    </row>
    <row r="213">
      <c r="A213" s="83" t="s">
        <v>7003</v>
      </c>
      <c r="B213" s="83" t="s">
        <v>7004</v>
      </c>
      <c r="C213" s="81" t="s">
        <v>7009</v>
      </c>
      <c r="D213" s="81" t="s">
        <v>6842</v>
      </c>
      <c r="E213" s="81" t="s">
        <v>2336</v>
      </c>
      <c r="F213" s="81" t="s">
        <v>6873</v>
      </c>
      <c r="G213" s="81" t="s">
        <v>6863</v>
      </c>
      <c r="H213" s="81" t="s">
        <v>6874</v>
      </c>
      <c r="I213" s="81" t="s">
        <v>6757</v>
      </c>
      <c r="J213" s="81" t="s">
        <v>7010</v>
      </c>
    </row>
    <row r="214">
      <c r="A214" s="83" t="s">
        <v>7003</v>
      </c>
      <c r="B214" s="83" t="s">
        <v>7004</v>
      </c>
      <c r="C214" s="81" t="s">
        <v>7009</v>
      </c>
      <c r="D214" s="81" t="s">
        <v>6842</v>
      </c>
      <c r="E214" s="81" t="s">
        <v>3537</v>
      </c>
      <c r="F214" s="81" t="s">
        <v>6875</v>
      </c>
      <c r="G214" s="81" t="s">
        <v>6876</v>
      </c>
      <c r="H214" s="81" t="s">
        <v>6877</v>
      </c>
      <c r="I214" s="81" t="s">
        <v>6762</v>
      </c>
      <c r="J214" s="81" t="s">
        <v>7010</v>
      </c>
    </row>
    <row r="215">
      <c r="A215" s="83" t="s">
        <v>7003</v>
      </c>
      <c r="B215" s="83" t="s">
        <v>7004</v>
      </c>
      <c r="C215" s="81" t="s">
        <v>7008</v>
      </c>
      <c r="D215" s="81" t="s">
        <v>6842</v>
      </c>
      <c r="E215" s="81" t="s">
        <v>3892</v>
      </c>
      <c r="F215" s="81" t="s">
        <v>6878</v>
      </c>
      <c r="G215" s="81" t="s">
        <v>6879</v>
      </c>
      <c r="H215" s="81" t="s">
        <v>6880</v>
      </c>
      <c r="I215" s="81" t="s">
        <v>224</v>
      </c>
      <c r="J215" s="81" t="s">
        <v>6845</v>
      </c>
    </row>
    <row r="216">
      <c r="A216" s="83" t="s">
        <v>7003</v>
      </c>
      <c r="B216" s="83" t="s">
        <v>7004</v>
      </c>
      <c r="C216" s="81" t="s">
        <v>7009</v>
      </c>
      <c r="D216" s="81" t="s">
        <v>6842</v>
      </c>
      <c r="E216" s="81" t="s">
        <v>3179</v>
      </c>
      <c r="F216" s="81" t="s">
        <v>6881</v>
      </c>
      <c r="G216" s="81" t="s">
        <v>6882</v>
      </c>
      <c r="H216" s="81" t="s">
        <v>6883</v>
      </c>
      <c r="I216" s="81" t="s">
        <v>6034</v>
      </c>
      <c r="J216" s="81" t="s">
        <v>7010</v>
      </c>
    </row>
    <row r="217">
      <c r="A217" s="83" t="s">
        <v>7003</v>
      </c>
      <c r="B217" s="83" t="s">
        <v>7004</v>
      </c>
      <c r="C217" s="81" t="s">
        <v>7009</v>
      </c>
      <c r="D217" s="81" t="s">
        <v>6842</v>
      </c>
      <c r="E217" s="81" t="s">
        <v>3055</v>
      </c>
      <c r="F217" s="81" t="s">
        <v>6884</v>
      </c>
      <c r="G217" s="81" t="s">
        <v>6885</v>
      </c>
      <c r="H217" s="81" t="s">
        <v>6886</v>
      </c>
      <c r="I217" s="81" t="s">
        <v>6003</v>
      </c>
      <c r="J217" s="81" t="s">
        <v>7010</v>
      </c>
    </row>
    <row r="218">
      <c r="A218" s="83" t="s">
        <v>7003</v>
      </c>
      <c r="B218" s="83" t="s">
        <v>7004</v>
      </c>
      <c r="C218" s="81" t="s">
        <v>7009</v>
      </c>
      <c r="D218" s="81" t="s">
        <v>6842</v>
      </c>
      <c r="E218" s="81" t="s">
        <v>3023</v>
      </c>
      <c r="F218" s="81" t="s">
        <v>6887</v>
      </c>
      <c r="G218" s="81" t="s">
        <v>6888</v>
      </c>
      <c r="H218" s="81" t="s">
        <v>6889</v>
      </c>
      <c r="I218" s="81" t="s">
        <v>5992</v>
      </c>
      <c r="J218" s="81" t="s">
        <v>7010</v>
      </c>
    </row>
    <row r="219">
      <c r="A219" s="83" t="s">
        <v>7003</v>
      </c>
      <c r="B219" s="83" t="s">
        <v>7004</v>
      </c>
      <c r="C219" s="81" t="s">
        <v>7009</v>
      </c>
      <c r="D219" s="81" t="s">
        <v>6842</v>
      </c>
      <c r="E219" s="81" t="s">
        <v>2512</v>
      </c>
      <c r="F219" s="81" t="s">
        <v>6890</v>
      </c>
      <c r="G219" s="81" t="s">
        <v>6891</v>
      </c>
      <c r="H219" s="81" t="s">
        <v>6892</v>
      </c>
      <c r="I219" s="81" t="s">
        <v>5865</v>
      </c>
      <c r="J219" s="81" t="s">
        <v>7010</v>
      </c>
    </row>
    <row r="220">
      <c r="A220" s="83" t="s">
        <v>7003</v>
      </c>
      <c r="B220" s="83" t="s">
        <v>7004</v>
      </c>
      <c r="C220" s="81" t="s">
        <v>7008</v>
      </c>
      <c r="D220" s="81" t="s">
        <v>6842</v>
      </c>
      <c r="E220" s="81" t="s">
        <v>3758</v>
      </c>
      <c r="F220" s="81" t="s">
        <v>6893</v>
      </c>
      <c r="G220" s="81" t="s">
        <v>6823</v>
      </c>
      <c r="H220" s="81" t="s">
        <v>6894</v>
      </c>
      <c r="I220" s="81" t="s">
        <v>224</v>
      </c>
      <c r="J220" s="81" t="s">
        <v>6845</v>
      </c>
    </row>
    <row r="221">
      <c r="A221" s="83" t="s">
        <v>7003</v>
      </c>
      <c r="B221" s="83" t="s">
        <v>7004</v>
      </c>
      <c r="C221" s="81" t="s">
        <v>7008</v>
      </c>
      <c r="D221" s="81" t="s">
        <v>6842</v>
      </c>
      <c r="E221" s="81" t="s">
        <v>3743</v>
      </c>
      <c r="F221" s="81" t="s">
        <v>6895</v>
      </c>
      <c r="G221" s="81" t="s">
        <v>6823</v>
      </c>
      <c r="H221" s="81" t="s">
        <v>6894</v>
      </c>
      <c r="I221" s="81" t="s">
        <v>224</v>
      </c>
      <c r="J221" s="81" t="s">
        <v>6845</v>
      </c>
    </row>
    <row r="222">
      <c r="A222" s="83" t="s">
        <v>7003</v>
      </c>
      <c r="B222" s="83" t="s">
        <v>7004</v>
      </c>
      <c r="C222" s="81" t="s">
        <v>7008</v>
      </c>
      <c r="D222" s="81" t="s">
        <v>6842</v>
      </c>
      <c r="E222" s="81" t="s">
        <v>3727</v>
      </c>
      <c r="F222" s="81" t="s">
        <v>6896</v>
      </c>
      <c r="G222" s="81" t="s">
        <v>6823</v>
      </c>
      <c r="H222" s="81" t="s">
        <v>6894</v>
      </c>
      <c r="I222" s="81" t="s">
        <v>224</v>
      </c>
      <c r="J222" s="81" t="s">
        <v>6845</v>
      </c>
    </row>
    <row r="223">
      <c r="A223" s="83" t="s">
        <v>7003</v>
      </c>
      <c r="B223" s="83" t="s">
        <v>7004</v>
      </c>
      <c r="C223" s="81" t="s">
        <v>7008</v>
      </c>
      <c r="D223" s="81" t="s">
        <v>6842</v>
      </c>
      <c r="E223" s="81" t="s">
        <v>3671</v>
      </c>
      <c r="F223" s="81" t="s">
        <v>6897</v>
      </c>
      <c r="G223" s="81" t="s">
        <v>6825</v>
      </c>
      <c r="H223" s="81" t="s">
        <v>6898</v>
      </c>
      <c r="I223" s="81" t="s">
        <v>224</v>
      </c>
      <c r="J223" s="81" t="s">
        <v>6845</v>
      </c>
    </row>
    <row r="224">
      <c r="A224" s="83" t="s">
        <v>7003</v>
      </c>
      <c r="B224" s="83" t="s">
        <v>7004</v>
      </c>
      <c r="C224" s="81" t="s">
        <v>7008</v>
      </c>
      <c r="D224" s="81" t="s">
        <v>6842</v>
      </c>
      <c r="E224" s="81" t="s">
        <v>3632</v>
      </c>
      <c r="F224" s="81" t="s">
        <v>6899</v>
      </c>
      <c r="G224" s="81" t="s">
        <v>6827</v>
      </c>
      <c r="H224" s="81" t="s">
        <v>6900</v>
      </c>
      <c r="I224" s="81" t="s">
        <v>224</v>
      </c>
      <c r="J224" s="81" t="s">
        <v>6845</v>
      </c>
    </row>
    <row r="225">
      <c r="A225" s="83" t="s">
        <v>7003</v>
      </c>
      <c r="B225" s="83" t="s">
        <v>7004</v>
      </c>
      <c r="C225" s="81" t="s">
        <v>7008</v>
      </c>
      <c r="D225" s="81" t="s">
        <v>6901</v>
      </c>
      <c r="E225" s="81" t="s">
        <v>3670</v>
      </c>
      <c r="F225" s="81" t="s">
        <v>6902</v>
      </c>
      <c r="G225" s="81" t="s">
        <v>6825</v>
      </c>
      <c r="H225" s="81" t="s">
        <v>6903</v>
      </c>
      <c r="I225" s="81" t="s">
        <v>224</v>
      </c>
      <c r="J225" s="81" t="s">
        <v>6845</v>
      </c>
    </row>
    <row r="226">
      <c r="A226" s="83" t="s">
        <v>7003</v>
      </c>
      <c r="B226" s="83" t="s">
        <v>7004</v>
      </c>
      <c r="C226" s="81" t="s">
        <v>7008</v>
      </c>
      <c r="D226" s="81" t="s">
        <v>6901</v>
      </c>
      <c r="E226" s="81" t="s">
        <v>3915</v>
      </c>
      <c r="F226" s="81" t="s">
        <v>6904</v>
      </c>
      <c r="G226" s="81" t="s">
        <v>6831</v>
      </c>
      <c r="H226" s="81" t="s">
        <v>6905</v>
      </c>
      <c r="I226" s="81" t="s">
        <v>224</v>
      </c>
      <c r="J226" s="81" t="s">
        <v>6845</v>
      </c>
    </row>
    <row r="227">
      <c r="A227" s="83" t="s">
        <v>7003</v>
      </c>
      <c r="B227" s="83" t="s">
        <v>7004</v>
      </c>
      <c r="C227" s="81" t="s">
        <v>7008</v>
      </c>
      <c r="D227" s="81" t="s">
        <v>6901</v>
      </c>
      <c r="E227" s="81" t="s">
        <v>3696</v>
      </c>
      <c r="F227" s="81" t="s">
        <v>6906</v>
      </c>
      <c r="G227" s="81" t="s">
        <v>6833</v>
      </c>
      <c r="H227" s="81" t="s">
        <v>6907</v>
      </c>
      <c r="I227" s="81" t="s">
        <v>224</v>
      </c>
      <c r="J227" s="81" t="s">
        <v>6845</v>
      </c>
    </row>
    <row r="228">
      <c r="A228" s="83" t="s">
        <v>7003</v>
      </c>
      <c r="B228" s="83" t="s">
        <v>7004</v>
      </c>
      <c r="C228" s="81" t="s">
        <v>7008</v>
      </c>
      <c r="D228" s="81" t="s">
        <v>6901</v>
      </c>
      <c r="E228" s="81" t="s">
        <v>3631</v>
      </c>
      <c r="F228" s="81" t="s">
        <v>6908</v>
      </c>
      <c r="G228" s="81" t="s">
        <v>6827</v>
      </c>
      <c r="H228" s="81" t="s">
        <v>6909</v>
      </c>
      <c r="I228" s="81" t="s">
        <v>224</v>
      </c>
      <c r="J228" s="81" t="s">
        <v>6845</v>
      </c>
    </row>
    <row r="229">
      <c r="A229" s="83" t="s">
        <v>7003</v>
      </c>
      <c r="B229" s="83" t="s">
        <v>7004</v>
      </c>
      <c r="C229" s="81" t="s">
        <v>7008</v>
      </c>
      <c r="D229" s="81" t="s">
        <v>6901</v>
      </c>
      <c r="E229" s="81" t="s">
        <v>3978</v>
      </c>
      <c r="F229" s="81" t="s">
        <v>6846</v>
      </c>
      <c r="G229" s="81" t="s">
        <v>6821</v>
      </c>
      <c r="H229" s="81" t="s">
        <v>6910</v>
      </c>
      <c r="I229" s="81" t="s">
        <v>224</v>
      </c>
      <c r="J229" s="81" t="s">
        <v>6845</v>
      </c>
    </row>
    <row r="230">
      <c r="A230" s="83" t="s">
        <v>7003</v>
      </c>
      <c r="B230" s="83" t="s">
        <v>7004</v>
      </c>
      <c r="C230" s="81" t="s">
        <v>7008</v>
      </c>
      <c r="D230" s="81" t="s">
        <v>6901</v>
      </c>
      <c r="E230" s="81" t="s">
        <v>3952</v>
      </c>
      <c r="F230" s="81" t="s">
        <v>6843</v>
      </c>
      <c r="G230" s="81" t="s">
        <v>6818</v>
      </c>
      <c r="H230" s="81" t="s">
        <v>6911</v>
      </c>
      <c r="I230" s="81" t="s">
        <v>224</v>
      </c>
      <c r="J230" s="81" t="s">
        <v>6845</v>
      </c>
    </row>
    <row r="231">
      <c r="A231" s="83" t="s">
        <v>7003</v>
      </c>
      <c r="B231" s="83" t="s">
        <v>7004</v>
      </c>
      <c r="C231" s="81" t="s">
        <v>7009</v>
      </c>
      <c r="D231" s="81" t="s">
        <v>6901</v>
      </c>
      <c r="E231" s="81" t="s">
        <v>6693</v>
      </c>
      <c r="F231" s="81" t="s">
        <v>6912</v>
      </c>
      <c r="G231" s="81" t="s">
        <v>6863</v>
      </c>
      <c r="H231" s="81" t="s">
        <v>6913</v>
      </c>
      <c r="I231" s="81" t="s">
        <v>6693</v>
      </c>
      <c r="J231" s="81" t="s">
        <v>7010</v>
      </c>
    </row>
    <row r="232">
      <c r="A232" s="83" t="s">
        <v>7003</v>
      </c>
      <c r="B232" s="83" t="s">
        <v>7004</v>
      </c>
      <c r="C232" s="81" t="s">
        <v>7009</v>
      </c>
      <c r="D232" s="81" t="s">
        <v>6901</v>
      </c>
      <c r="E232" s="81" t="s">
        <v>6694</v>
      </c>
      <c r="F232" s="81" t="s">
        <v>6912</v>
      </c>
      <c r="G232" s="81" t="s">
        <v>6863</v>
      </c>
      <c r="H232" s="81" t="s">
        <v>6913</v>
      </c>
      <c r="I232" s="81" t="s">
        <v>6694</v>
      </c>
      <c r="J232" s="81" t="s">
        <v>7010</v>
      </c>
    </row>
    <row r="233">
      <c r="A233" s="83" t="s">
        <v>7003</v>
      </c>
      <c r="B233" s="83" t="s">
        <v>7004</v>
      </c>
      <c r="C233" s="81" t="s">
        <v>7009</v>
      </c>
      <c r="D233" s="81" t="s">
        <v>6901</v>
      </c>
      <c r="E233" s="81" t="s">
        <v>6695</v>
      </c>
      <c r="F233" s="81" t="s">
        <v>6914</v>
      </c>
      <c r="G233" s="81" t="s">
        <v>6863</v>
      </c>
      <c r="H233" s="81" t="s">
        <v>6915</v>
      </c>
      <c r="I233" s="81" t="s">
        <v>6695</v>
      </c>
      <c r="J233" s="81" t="s">
        <v>7010</v>
      </c>
    </row>
    <row r="234">
      <c r="A234" s="83" t="s">
        <v>7003</v>
      </c>
      <c r="B234" s="83" t="s">
        <v>7004</v>
      </c>
      <c r="C234" s="81" t="s">
        <v>7009</v>
      </c>
      <c r="D234" s="81" t="s">
        <v>6901</v>
      </c>
      <c r="E234" s="81" t="s">
        <v>6696</v>
      </c>
      <c r="F234" s="81" t="s">
        <v>6916</v>
      </c>
      <c r="G234" s="81" t="s">
        <v>6863</v>
      </c>
      <c r="H234" s="81" t="s">
        <v>6917</v>
      </c>
      <c r="I234" s="81" t="s">
        <v>6696</v>
      </c>
      <c r="J234" s="81" t="s">
        <v>7010</v>
      </c>
    </row>
    <row r="235">
      <c r="A235" s="83" t="s">
        <v>7003</v>
      </c>
      <c r="B235" s="83" t="s">
        <v>7004</v>
      </c>
      <c r="C235" s="81" t="s">
        <v>7009</v>
      </c>
      <c r="D235" s="81" t="s">
        <v>6901</v>
      </c>
      <c r="E235" s="81" t="s">
        <v>6697</v>
      </c>
      <c r="F235" s="81" t="s">
        <v>6914</v>
      </c>
      <c r="G235" s="81" t="s">
        <v>6863</v>
      </c>
      <c r="H235" s="81" t="s">
        <v>6915</v>
      </c>
      <c r="I235" s="81" t="s">
        <v>6697</v>
      </c>
      <c r="J235" s="81" t="s">
        <v>7010</v>
      </c>
    </row>
    <row r="236">
      <c r="A236" s="83" t="s">
        <v>7003</v>
      </c>
      <c r="B236" s="83" t="s">
        <v>7004</v>
      </c>
      <c r="C236" s="81" t="s">
        <v>7009</v>
      </c>
      <c r="D236" s="81" t="s">
        <v>6901</v>
      </c>
      <c r="E236" s="81" t="s">
        <v>6698</v>
      </c>
      <c r="F236" s="81" t="s">
        <v>6914</v>
      </c>
      <c r="G236" s="81" t="s">
        <v>6863</v>
      </c>
      <c r="H236" s="81" t="s">
        <v>6915</v>
      </c>
      <c r="I236" s="81" t="s">
        <v>6698</v>
      </c>
      <c r="J236" s="81" t="s">
        <v>7010</v>
      </c>
    </row>
    <row r="237">
      <c r="A237" s="83" t="s">
        <v>7003</v>
      </c>
      <c r="B237" s="83" t="s">
        <v>7004</v>
      </c>
      <c r="C237" s="81" t="s">
        <v>7009</v>
      </c>
      <c r="D237" s="81" t="s">
        <v>6901</v>
      </c>
      <c r="E237" s="81" t="s">
        <v>6699</v>
      </c>
      <c r="F237" s="81" t="s">
        <v>6912</v>
      </c>
      <c r="G237" s="81" t="s">
        <v>6863</v>
      </c>
      <c r="H237" s="81" t="s">
        <v>6913</v>
      </c>
      <c r="I237" s="81" t="s">
        <v>6699</v>
      </c>
      <c r="J237" s="81" t="s">
        <v>7010</v>
      </c>
    </row>
    <row r="238">
      <c r="A238" s="83" t="s">
        <v>7003</v>
      </c>
      <c r="B238" s="83" t="s">
        <v>7004</v>
      </c>
      <c r="C238" s="81" t="s">
        <v>7009</v>
      </c>
      <c r="D238" s="81" t="s">
        <v>6901</v>
      </c>
      <c r="E238" s="81" t="s">
        <v>6700</v>
      </c>
      <c r="F238" s="81" t="s">
        <v>6916</v>
      </c>
      <c r="G238" s="81" t="s">
        <v>6863</v>
      </c>
      <c r="H238" s="81" t="s">
        <v>6917</v>
      </c>
      <c r="I238" s="81" t="s">
        <v>6700</v>
      </c>
      <c r="J238" s="81" t="s">
        <v>7010</v>
      </c>
    </row>
    <row r="239">
      <c r="A239" s="83" t="s">
        <v>7003</v>
      </c>
      <c r="B239" s="83" t="s">
        <v>7004</v>
      </c>
      <c r="C239" s="81" t="s">
        <v>7009</v>
      </c>
      <c r="D239" s="81" t="s">
        <v>6901</v>
      </c>
      <c r="E239" s="81" t="s">
        <v>6701</v>
      </c>
      <c r="F239" s="81" t="s">
        <v>6916</v>
      </c>
      <c r="G239" s="81" t="s">
        <v>6863</v>
      </c>
      <c r="H239" s="81" t="s">
        <v>6917</v>
      </c>
      <c r="I239" s="81" t="s">
        <v>6701</v>
      </c>
      <c r="J239" s="81" t="s">
        <v>7010</v>
      </c>
    </row>
    <row r="240">
      <c r="A240" s="83" t="s">
        <v>7003</v>
      </c>
      <c r="B240" s="83" t="s">
        <v>7004</v>
      </c>
      <c r="C240" s="81" t="s">
        <v>7008</v>
      </c>
      <c r="D240" s="81" t="s">
        <v>6901</v>
      </c>
      <c r="E240" s="81" t="s">
        <v>4035</v>
      </c>
      <c r="F240" s="83" t="s">
        <v>4869</v>
      </c>
      <c r="G240" s="81" t="s">
        <v>6918</v>
      </c>
      <c r="H240" s="81" t="s">
        <v>6919</v>
      </c>
      <c r="I240" s="81" t="s">
        <v>224</v>
      </c>
      <c r="J240" s="81" t="s">
        <v>6845</v>
      </c>
    </row>
    <row r="241">
      <c r="A241" s="83" t="s">
        <v>7003</v>
      </c>
      <c r="B241" s="83" t="s">
        <v>7004</v>
      </c>
      <c r="C241" s="81" t="s">
        <v>7008</v>
      </c>
      <c r="D241" s="81" t="s">
        <v>6901</v>
      </c>
      <c r="E241" s="81" t="s">
        <v>3891</v>
      </c>
      <c r="F241" s="81" t="s">
        <v>6878</v>
      </c>
      <c r="G241" s="81" t="s">
        <v>6879</v>
      </c>
      <c r="H241" s="81" t="s">
        <v>6920</v>
      </c>
      <c r="I241" s="81" t="s">
        <v>224</v>
      </c>
      <c r="J241" s="81" t="s">
        <v>6845</v>
      </c>
    </row>
    <row r="242">
      <c r="A242" s="83" t="s">
        <v>7003</v>
      </c>
      <c r="B242" s="83" t="s">
        <v>7004</v>
      </c>
      <c r="C242" s="81" t="s">
        <v>7008</v>
      </c>
      <c r="D242" s="81" t="s">
        <v>6901</v>
      </c>
      <c r="E242" s="81" t="s">
        <v>2558</v>
      </c>
      <c r="F242" s="81" t="s">
        <v>6921</v>
      </c>
      <c r="G242" s="81" t="s">
        <v>6922</v>
      </c>
      <c r="H242" s="81" t="s">
        <v>6923</v>
      </c>
      <c r="I242" s="81" t="s">
        <v>224</v>
      </c>
      <c r="J242" s="81" t="s">
        <v>6845</v>
      </c>
    </row>
    <row r="243">
      <c r="A243" s="83" t="s">
        <v>7003</v>
      </c>
      <c r="B243" s="83" t="s">
        <v>7004</v>
      </c>
      <c r="C243" s="81" t="s">
        <v>7009</v>
      </c>
      <c r="D243" s="81" t="s">
        <v>6901</v>
      </c>
      <c r="E243" s="81" t="s">
        <v>3726</v>
      </c>
      <c r="F243" s="81" t="s">
        <v>6896</v>
      </c>
      <c r="G243" s="81" t="s">
        <v>6823</v>
      </c>
      <c r="H243" s="81" t="s">
        <v>6924</v>
      </c>
      <c r="I243" s="81" t="s">
        <v>3726</v>
      </c>
      <c r="J243" s="81" t="s">
        <v>7010</v>
      </c>
    </row>
    <row r="244">
      <c r="A244" s="83" t="s">
        <v>7003</v>
      </c>
      <c r="B244" s="83" t="s">
        <v>7004</v>
      </c>
      <c r="C244" s="81" t="s">
        <v>7009</v>
      </c>
      <c r="D244" s="81" t="s">
        <v>6901</v>
      </c>
      <c r="E244" s="81" t="s">
        <v>3742</v>
      </c>
      <c r="F244" s="81" t="s">
        <v>6895</v>
      </c>
      <c r="G244" s="81" t="s">
        <v>6823</v>
      </c>
      <c r="H244" s="81" t="s">
        <v>6925</v>
      </c>
      <c r="I244" s="81" t="s">
        <v>3742</v>
      </c>
      <c r="J244" s="81" t="s">
        <v>7010</v>
      </c>
    </row>
    <row r="245">
      <c r="A245" s="83" t="s">
        <v>7003</v>
      </c>
      <c r="B245" s="83" t="s">
        <v>7004</v>
      </c>
      <c r="C245" s="81" t="s">
        <v>7009</v>
      </c>
      <c r="D245" s="81" t="s">
        <v>6901</v>
      </c>
      <c r="E245" s="81" t="s">
        <v>3757</v>
      </c>
      <c r="F245" s="81" t="s">
        <v>6893</v>
      </c>
      <c r="G245" s="81" t="s">
        <v>6823</v>
      </c>
      <c r="H245" s="81" t="s">
        <v>6926</v>
      </c>
      <c r="I245" s="81" t="s">
        <v>3757</v>
      </c>
      <c r="J245" s="81" t="s">
        <v>7010</v>
      </c>
    </row>
    <row r="246">
      <c r="A246" s="83" t="s">
        <v>7003</v>
      </c>
      <c r="B246" s="83" t="s">
        <v>7004</v>
      </c>
      <c r="C246" s="81" t="s">
        <v>7009</v>
      </c>
      <c r="D246" s="81" t="s">
        <v>6901</v>
      </c>
      <c r="E246" s="81" t="s">
        <v>3617</v>
      </c>
      <c r="F246" s="83" t="s">
        <v>4753</v>
      </c>
      <c r="G246" s="81" t="s">
        <v>6927</v>
      </c>
      <c r="H246" s="81" t="s">
        <v>6928</v>
      </c>
      <c r="I246" s="81" t="s">
        <v>3617</v>
      </c>
      <c r="J246" s="81" t="s">
        <v>7010</v>
      </c>
    </row>
    <row r="247">
      <c r="A247" s="83" t="s">
        <v>7003</v>
      </c>
      <c r="B247" s="83" t="s">
        <v>7004</v>
      </c>
      <c r="C247" s="81" t="s">
        <v>7008</v>
      </c>
      <c r="D247" s="81" t="s">
        <v>6901</v>
      </c>
      <c r="E247" s="81" t="s">
        <v>1785</v>
      </c>
      <c r="F247" s="81" t="s">
        <v>6929</v>
      </c>
      <c r="G247" s="81" t="s">
        <v>6930</v>
      </c>
      <c r="H247" s="81" t="s">
        <v>6931</v>
      </c>
      <c r="I247" s="81" t="s">
        <v>224</v>
      </c>
      <c r="J247" s="81" t="s">
        <v>6845</v>
      </c>
    </row>
    <row r="248">
      <c r="A248" s="83" t="s">
        <v>7003</v>
      </c>
      <c r="B248" s="83" t="s">
        <v>7004</v>
      </c>
      <c r="C248" s="81" t="s">
        <v>7009</v>
      </c>
      <c r="D248" s="81" t="s">
        <v>6901</v>
      </c>
      <c r="E248" s="81" t="s">
        <v>1945</v>
      </c>
      <c r="F248" s="81" t="s">
        <v>6932</v>
      </c>
      <c r="G248" s="81" t="s">
        <v>6933</v>
      </c>
      <c r="H248" s="81" t="s">
        <v>6934</v>
      </c>
      <c r="I248" s="81" t="s">
        <v>1945</v>
      </c>
      <c r="J248" s="81" t="s">
        <v>7010</v>
      </c>
    </row>
    <row r="249">
      <c r="A249" s="83" t="s">
        <v>7003</v>
      </c>
      <c r="B249" s="83" t="s">
        <v>7004</v>
      </c>
      <c r="C249" s="81" t="s">
        <v>7009</v>
      </c>
      <c r="D249" s="81" t="s">
        <v>6901</v>
      </c>
      <c r="E249" s="81" t="s">
        <v>2544</v>
      </c>
      <c r="F249" s="81" t="s">
        <v>6935</v>
      </c>
      <c r="G249" s="81" t="s">
        <v>6936</v>
      </c>
      <c r="H249" s="81" t="s">
        <v>6937</v>
      </c>
      <c r="I249" s="81" t="s">
        <v>2544</v>
      </c>
      <c r="J249" s="81" t="s">
        <v>7010</v>
      </c>
    </row>
    <row r="250">
      <c r="A250" s="83" t="s">
        <v>7003</v>
      </c>
      <c r="B250" s="83" t="s">
        <v>7004</v>
      </c>
      <c r="C250" s="81" t="s">
        <v>7009</v>
      </c>
      <c r="D250" s="81" t="s">
        <v>6901</v>
      </c>
      <c r="E250" s="81" t="s">
        <v>2485</v>
      </c>
      <c r="F250" s="83" t="s">
        <v>4530</v>
      </c>
      <c r="G250" s="81" t="s">
        <v>6938</v>
      </c>
      <c r="H250" s="81" t="s">
        <v>6939</v>
      </c>
      <c r="I250" s="81" t="s">
        <v>2485</v>
      </c>
      <c r="J250" s="81" t="s">
        <v>7010</v>
      </c>
    </row>
    <row r="251">
      <c r="A251" s="83" t="s">
        <v>7003</v>
      </c>
      <c r="B251" s="83" t="s">
        <v>7004</v>
      </c>
      <c r="C251" s="81" t="s">
        <v>7009</v>
      </c>
      <c r="D251" s="81" t="s">
        <v>6901</v>
      </c>
      <c r="E251" s="81" t="s">
        <v>2345</v>
      </c>
      <c r="F251" s="83" t="s">
        <v>4506</v>
      </c>
      <c r="G251" s="81" t="s">
        <v>6940</v>
      </c>
      <c r="H251" s="81" t="s">
        <v>6941</v>
      </c>
      <c r="I251" s="81" t="s">
        <v>2345</v>
      </c>
      <c r="J251" s="81" t="s">
        <v>7010</v>
      </c>
    </row>
    <row r="252">
      <c r="A252" s="83" t="s">
        <v>7003</v>
      </c>
      <c r="B252" s="83" t="s">
        <v>7004</v>
      </c>
      <c r="C252" s="81" t="s">
        <v>7009</v>
      </c>
      <c r="D252" s="81" t="s">
        <v>6901</v>
      </c>
      <c r="E252" s="81" t="s">
        <v>1281</v>
      </c>
      <c r="F252" s="81" t="s">
        <v>6942</v>
      </c>
      <c r="G252" s="81" t="s">
        <v>6943</v>
      </c>
      <c r="H252" s="81" t="s">
        <v>6944</v>
      </c>
      <c r="I252" s="81" t="s">
        <v>1281</v>
      </c>
      <c r="J252" s="81" t="s">
        <v>7010</v>
      </c>
    </row>
    <row r="253">
      <c r="A253" s="83" t="s">
        <v>7003</v>
      </c>
      <c r="B253" s="83" t="s">
        <v>7004</v>
      </c>
      <c r="C253" s="81" t="s">
        <v>7009</v>
      </c>
      <c r="D253" s="81" t="s">
        <v>6901</v>
      </c>
      <c r="E253" s="81" t="s">
        <v>150</v>
      </c>
      <c r="F253" s="81" t="s">
        <v>6945</v>
      </c>
      <c r="G253" s="81" t="s">
        <v>6946</v>
      </c>
      <c r="H253" s="81" t="s">
        <v>6947</v>
      </c>
      <c r="I253" s="81" t="s">
        <v>150</v>
      </c>
      <c r="J253" s="81" t="s">
        <v>7010</v>
      </c>
    </row>
    <row r="254">
      <c r="A254" s="83" t="s">
        <v>7003</v>
      </c>
      <c r="B254" s="83" t="s">
        <v>7004</v>
      </c>
      <c r="C254" s="81" t="s">
        <v>7011</v>
      </c>
      <c r="D254" s="81" t="s">
        <v>6842</v>
      </c>
      <c r="E254" s="81" t="s">
        <v>6761</v>
      </c>
      <c r="F254" s="81" t="s">
        <v>224</v>
      </c>
      <c r="G254" s="81" t="s">
        <v>6855</v>
      </c>
      <c r="H254" s="81" t="s">
        <v>6949</v>
      </c>
      <c r="I254" s="81" t="s">
        <v>224</v>
      </c>
      <c r="J254" s="81" t="s">
        <v>6950</v>
      </c>
    </row>
    <row r="255">
      <c r="A255" s="83" t="s">
        <v>7003</v>
      </c>
      <c r="B255" s="83" t="s">
        <v>7004</v>
      </c>
      <c r="C255" s="81" t="s">
        <v>7011</v>
      </c>
      <c r="D255" s="81" t="s">
        <v>6842</v>
      </c>
      <c r="E255" s="81" t="s">
        <v>6760</v>
      </c>
      <c r="F255" s="81" t="s">
        <v>224</v>
      </c>
      <c r="G255" s="81" t="s">
        <v>6858</v>
      </c>
      <c r="H255" s="81" t="s">
        <v>6949</v>
      </c>
      <c r="I255" s="81" t="s">
        <v>224</v>
      </c>
      <c r="J255" s="81" t="s">
        <v>6951</v>
      </c>
    </row>
    <row r="256">
      <c r="A256" s="83" t="s">
        <v>7003</v>
      </c>
      <c r="B256" s="83" t="s">
        <v>7004</v>
      </c>
      <c r="C256" s="81" t="s">
        <v>7011</v>
      </c>
      <c r="D256" s="81" t="s">
        <v>6842</v>
      </c>
      <c r="E256" s="81" t="s">
        <v>6759</v>
      </c>
      <c r="F256" s="81" t="s">
        <v>224</v>
      </c>
      <c r="G256" s="81" t="s">
        <v>6858</v>
      </c>
      <c r="H256" s="81" t="s">
        <v>6949</v>
      </c>
      <c r="I256" s="81" t="s">
        <v>224</v>
      </c>
      <c r="J256" s="81" t="s">
        <v>6952</v>
      </c>
    </row>
    <row r="257">
      <c r="A257" s="83" t="s">
        <v>7003</v>
      </c>
      <c r="B257" s="83" t="s">
        <v>7004</v>
      </c>
      <c r="C257" s="81" t="s">
        <v>7011</v>
      </c>
      <c r="D257" s="81" t="s">
        <v>6842</v>
      </c>
      <c r="E257" s="81" t="s">
        <v>6754</v>
      </c>
      <c r="F257" s="81" t="s">
        <v>224</v>
      </c>
      <c r="G257" s="81" t="s">
        <v>6863</v>
      </c>
      <c r="H257" s="81" t="s">
        <v>6949</v>
      </c>
      <c r="I257" s="81" t="s">
        <v>224</v>
      </c>
      <c r="J257" s="81" t="s">
        <v>6953</v>
      </c>
    </row>
    <row r="258">
      <c r="A258" s="83" t="s">
        <v>7003</v>
      </c>
      <c r="B258" s="83" t="s">
        <v>7004</v>
      </c>
      <c r="C258" s="81" t="s">
        <v>7011</v>
      </c>
      <c r="D258" s="81" t="s">
        <v>6842</v>
      </c>
      <c r="E258" s="81" t="s">
        <v>6755</v>
      </c>
      <c r="F258" s="81" t="s">
        <v>224</v>
      </c>
      <c r="G258" s="81" t="s">
        <v>6863</v>
      </c>
      <c r="H258" s="81" t="s">
        <v>6949</v>
      </c>
      <c r="I258" s="81" t="s">
        <v>224</v>
      </c>
      <c r="J258" s="81" t="s">
        <v>6954</v>
      </c>
    </row>
    <row r="259">
      <c r="A259" s="83" t="s">
        <v>7003</v>
      </c>
      <c r="B259" s="83" t="s">
        <v>7004</v>
      </c>
      <c r="C259" s="81" t="s">
        <v>7011</v>
      </c>
      <c r="D259" s="81" t="s">
        <v>6842</v>
      </c>
      <c r="E259" s="81" t="s">
        <v>6752</v>
      </c>
      <c r="F259" s="81" t="s">
        <v>224</v>
      </c>
      <c r="G259" s="81" t="s">
        <v>6863</v>
      </c>
      <c r="H259" s="81" t="s">
        <v>6949</v>
      </c>
      <c r="I259" s="81" t="s">
        <v>224</v>
      </c>
      <c r="J259" s="81" t="s">
        <v>6955</v>
      </c>
    </row>
    <row r="260">
      <c r="A260" s="83" t="s">
        <v>7003</v>
      </c>
      <c r="B260" s="83" t="s">
        <v>7004</v>
      </c>
      <c r="C260" s="81" t="s">
        <v>7011</v>
      </c>
      <c r="D260" s="81" t="s">
        <v>6842</v>
      </c>
      <c r="E260" s="81" t="s">
        <v>6753</v>
      </c>
      <c r="F260" s="81" t="s">
        <v>224</v>
      </c>
      <c r="G260" s="81" t="s">
        <v>6863</v>
      </c>
      <c r="H260" s="81" t="s">
        <v>6949</v>
      </c>
      <c r="I260" s="81" t="s">
        <v>224</v>
      </c>
      <c r="J260" s="81" t="s">
        <v>6956</v>
      </c>
    </row>
    <row r="261">
      <c r="A261" s="83" t="s">
        <v>7003</v>
      </c>
      <c r="B261" s="83" t="s">
        <v>7004</v>
      </c>
      <c r="C261" s="81" t="s">
        <v>7011</v>
      </c>
      <c r="D261" s="81" t="s">
        <v>6842</v>
      </c>
      <c r="E261" s="81" t="s">
        <v>6756</v>
      </c>
      <c r="F261" s="81" t="s">
        <v>224</v>
      </c>
      <c r="G261" s="81" t="s">
        <v>6863</v>
      </c>
      <c r="H261" s="81" t="s">
        <v>6949</v>
      </c>
      <c r="I261" s="81" t="s">
        <v>224</v>
      </c>
      <c r="J261" s="81" t="s">
        <v>6957</v>
      </c>
    </row>
    <row r="262">
      <c r="A262" s="83" t="s">
        <v>7003</v>
      </c>
      <c r="B262" s="83" t="s">
        <v>7004</v>
      </c>
      <c r="C262" s="81" t="s">
        <v>7011</v>
      </c>
      <c r="D262" s="81" t="s">
        <v>6842</v>
      </c>
      <c r="E262" s="81" t="s">
        <v>6757</v>
      </c>
      <c r="F262" s="81" t="s">
        <v>224</v>
      </c>
      <c r="G262" s="81" t="s">
        <v>6863</v>
      </c>
      <c r="H262" s="81" t="s">
        <v>6949</v>
      </c>
      <c r="I262" s="81" t="s">
        <v>224</v>
      </c>
      <c r="J262" s="81" t="s">
        <v>6958</v>
      </c>
    </row>
    <row r="263">
      <c r="A263" s="83" t="s">
        <v>7003</v>
      </c>
      <c r="B263" s="83" t="s">
        <v>7004</v>
      </c>
      <c r="C263" s="81" t="s">
        <v>7011</v>
      </c>
      <c r="D263" s="81" t="s">
        <v>6842</v>
      </c>
      <c r="E263" s="81" t="s">
        <v>6762</v>
      </c>
      <c r="F263" s="81" t="s">
        <v>224</v>
      </c>
      <c r="G263" s="81" t="s">
        <v>6876</v>
      </c>
      <c r="H263" s="81" t="s">
        <v>6949</v>
      </c>
      <c r="I263" s="81" t="s">
        <v>224</v>
      </c>
      <c r="J263" s="81" t="s">
        <v>6959</v>
      </c>
    </row>
    <row r="264">
      <c r="A264" s="83" t="s">
        <v>7003</v>
      </c>
      <c r="B264" s="83" t="s">
        <v>7004</v>
      </c>
      <c r="C264" s="81" t="s">
        <v>7011</v>
      </c>
      <c r="D264" s="81" t="s">
        <v>6842</v>
      </c>
      <c r="E264" s="81" t="s">
        <v>6034</v>
      </c>
      <c r="F264" s="81" t="s">
        <v>224</v>
      </c>
      <c r="G264" s="81" t="s">
        <v>6882</v>
      </c>
      <c r="H264" s="81" t="s">
        <v>6949</v>
      </c>
      <c r="I264" s="81" t="s">
        <v>224</v>
      </c>
      <c r="J264" s="81" t="s">
        <v>6960</v>
      </c>
    </row>
    <row r="265">
      <c r="A265" s="83" t="s">
        <v>7003</v>
      </c>
      <c r="B265" s="83" t="s">
        <v>7004</v>
      </c>
      <c r="C265" s="81" t="s">
        <v>7011</v>
      </c>
      <c r="D265" s="81" t="s">
        <v>6842</v>
      </c>
      <c r="E265" s="81" t="s">
        <v>6003</v>
      </c>
      <c r="F265" s="81" t="s">
        <v>224</v>
      </c>
      <c r="G265" s="81" t="s">
        <v>6885</v>
      </c>
      <c r="H265" s="81" t="s">
        <v>6949</v>
      </c>
      <c r="I265" s="81" t="s">
        <v>224</v>
      </c>
      <c r="J265" s="81" t="s">
        <v>6961</v>
      </c>
    </row>
    <row r="266">
      <c r="A266" s="83" t="s">
        <v>7003</v>
      </c>
      <c r="B266" s="83" t="s">
        <v>7004</v>
      </c>
      <c r="C266" s="81" t="s">
        <v>7011</v>
      </c>
      <c r="D266" s="81" t="s">
        <v>6842</v>
      </c>
      <c r="E266" s="81" t="s">
        <v>5992</v>
      </c>
      <c r="F266" s="81" t="s">
        <v>224</v>
      </c>
      <c r="G266" s="81" t="s">
        <v>6888</v>
      </c>
      <c r="H266" s="81" t="s">
        <v>6949</v>
      </c>
      <c r="I266" s="81" t="s">
        <v>224</v>
      </c>
      <c r="J266" s="81" t="s">
        <v>6962</v>
      </c>
    </row>
    <row r="267">
      <c r="A267" s="83" t="s">
        <v>7003</v>
      </c>
      <c r="B267" s="83" t="s">
        <v>7004</v>
      </c>
      <c r="C267" s="81" t="s">
        <v>7011</v>
      </c>
      <c r="D267" s="81" t="s">
        <v>6842</v>
      </c>
      <c r="E267" s="81" t="s">
        <v>5865</v>
      </c>
      <c r="F267" s="81" t="s">
        <v>224</v>
      </c>
      <c r="G267" s="81" t="s">
        <v>6891</v>
      </c>
      <c r="H267" s="81" t="s">
        <v>6949</v>
      </c>
      <c r="I267" s="81" t="s">
        <v>224</v>
      </c>
      <c r="J267" s="81" t="s">
        <v>6963</v>
      </c>
    </row>
    <row r="268">
      <c r="A268" s="83" t="s">
        <v>7003</v>
      </c>
      <c r="B268" s="83" t="s">
        <v>7004</v>
      </c>
      <c r="C268" s="81" t="s">
        <v>7011</v>
      </c>
      <c r="D268" s="81" t="s">
        <v>6901</v>
      </c>
      <c r="E268" s="81" t="s">
        <v>6693</v>
      </c>
      <c r="F268" s="81" t="s">
        <v>224</v>
      </c>
      <c r="G268" s="81" t="s">
        <v>6863</v>
      </c>
      <c r="H268" s="81" t="s">
        <v>6949</v>
      </c>
      <c r="I268" s="81" t="s">
        <v>224</v>
      </c>
      <c r="J268" s="81" t="s">
        <v>6964</v>
      </c>
    </row>
    <row r="269">
      <c r="A269" s="83" t="s">
        <v>7003</v>
      </c>
      <c r="B269" s="83" t="s">
        <v>7004</v>
      </c>
      <c r="C269" s="81" t="s">
        <v>7011</v>
      </c>
      <c r="D269" s="81" t="s">
        <v>6901</v>
      </c>
      <c r="E269" s="81" t="s">
        <v>6694</v>
      </c>
      <c r="F269" s="81" t="s">
        <v>224</v>
      </c>
      <c r="G269" s="81" t="s">
        <v>6863</v>
      </c>
      <c r="H269" s="81" t="s">
        <v>6949</v>
      </c>
      <c r="I269" s="81" t="s">
        <v>224</v>
      </c>
      <c r="J269" s="81" t="s">
        <v>6965</v>
      </c>
    </row>
    <row r="270">
      <c r="A270" s="83" t="s">
        <v>7003</v>
      </c>
      <c r="B270" s="83" t="s">
        <v>7004</v>
      </c>
      <c r="C270" s="81" t="s">
        <v>7011</v>
      </c>
      <c r="D270" s="81" t="s">
        <v>6901</v>
      </c>
      <c r="E270" s="81" t="s">
        <v>6695</v>
      </c>
      <c r="F270" s="81" t="s">
        <v>224</v>
      </c>
      <c r="G270" s="81" t="s">
        <v>6863</v>
      </c>
      <c r="H270" s="81" t="s">
        <v>6949</v>
      </c>
      <c r="I270" s="81" t="s">
        <v>224</v>
      </c>
      <c r="J270" s="81" t="s">
        <v>6966</v>
      </c>
    </row>
    <row r="271">
      <c r="A271" s="83" t="s">
        <v>7003</v>
      </c>
      <c r="B271" s="83" t="s">
        <v>7004</v>
      </c>
      <c r="C271" s="81" t="s">
        <v>7011</v>
      </c>
      <c r="D271" s="81" t="s">
        <v>6901</v>
      </c>
      <c r="E271" s="81" t="s">
        <v>6696</v>
      </c>
      <c r="F271" s="81" t="s">
        <v>224</v>
      </c>
      <c r="G271" s="81" t="s">
        <v>6863</v>
      </c>
      <c r="H271" s="81" t="s">
        <v>6949</v>
      </c>
      <c r="I271" s="81" t="s">
        <v>224</v>
      </c>
      <c r="J271" s="81" t="s">
        <v>6967</v>
      </c>
    </row>
    <row r="272">
      <c r="A272" s="83" t="s">
        <v>7003</v>
      </c>
      <c r="B272" s="83" t="s">
        <v>7004</v>
      </c>
      <c r="C272" s="81" t="s">
        <v>7011</v>
      </c>
      <c r="D272" s="81" t="s">
        <v>6901</v>
      </c>
      <c r="E272" s="81" t="s">
        <v>6697</v>
      </c>
      <c r="F272" s="81" t="s">
        <v>224</v>
      </c>
      <c r="G272" s="81" t="s">
        <v>6863</v>
      </c>
      <c r="H272" s="81" t="s">
        <v>6949</v>
      </c>
      <c r="I272" s="81" t="s">
        <v>224</v>
      </c>
      <c r="J272" s="81" t="s">
        <v>6968</v>
      </c>
    </row>
    <row r="273">
      <c r="A273" s="83" t="s">
        <v>7003</v>
      </c>
      <c r="B273" s="83" t="s">
        <v>7004</v>
      </c>
      <c r="C273" s="81" t="s">
        <v>7011</v>
      </c>
      <c r="D273" s="81" t="s">
        <v>6901</v>
      </c>
      <c r="E273" s="81" t="s">
        <v>6698</v>
      </c>
      <c r="F273" s="81" t="s">
        <v>224</v>
      </c>
      <c r="G273" s="81" t="s">
        <v>6863</v>
      </c>
      <c r="H273" s="81" t="s">
        <v>6949</v>
      </c>
      <c r="I273" s="81" t="s">
        <v>224</v>
      </c>
      <c r="J273" s="81" t="s">
        <v>6969</v>
      </c>
    </row>
    <row r="274">
      <c r="A274" s="83" t="s">
        <v>7003</v>
      </c>
      <c r="B274" s="83" t="s">
        <v>7004</v>
      </c>
      <c r="C274" s="81" t="s">
        <v>7011</v>
      </c>
      <c r="D274" s="81" t="s">
        <v>6901</v>
      </c>
      <c r="E274" s="81" t="s">
        <v>6699</v>
      </c>
      <c r="F274" s="81" t="s">
        <v>224</v>
      </c>
      <c r="G274" s="81" t="s">
        <v>6863</v>
      </c>
      <c r="H274" s="81" t="s">
        <v>6949</v>
      </c>
      <c r="I274" s="81" t="s">
        <v>224</v>
      </c>
      <c r="J274" s="81" t="s">
        <v>6970</v>
      </c>
    </row>
    <row r="275">
      <c r="A275" s="83" t="s">
        <v>7003</v>
      </c>
      <c r="B275" s="83" t="s">
        <v>7004</v>
      </c>
      <c r="C275" s="81" t="s">
        <v>7011</v>
      </c>
      <c r="D275" s="81" t="s">
        <v>6901</v>
      </c>
      <c r="E275" s="81" t="s">
        <v>6700</v>
      </c>
      <c r="F275" s="81" t="s">
        <v>224</v>
      </c>
      <c r="G275" s="81" t="s">
        <v>6863</v>
      </c>
      <c r="H275" s="81" t="s">
        <v>6949</v>
      </c>
      <c r="I275" s="81" t="s">
        <v>224</v>
      </c>
      <c r="J275" s="81" t="s">
        <v>6971</v>
      </c>
    </row>
    <row r="276">
      <c r="A276" s="83" t="s">
        <v>7003</v>
      </c>
      <c r="B276" s="83" t="s">
        <v>7004</v>
      </c>
      <c r="C276" s="81" t="s">
        <v>7011</v>
      </c>
      <c r="D276" s="81" t="s">
        <v>6901</v>
      </c>
      <c r="E276" s="81" t="s">
        <v>6701</v>
      </c>
      <c r="F276" s="81" t="s">
        <v>224</v>
      </c>
      <c r="G276" s="81" t="s">
        <v>6863</v>
      </c>
      <c r="H276" s="81" t="s">
        <v>6949</v>
      </c>
      <c r="I276" s="81" t="s">
        <v>224</v>
      </c>
      <c r="J276" s="81" t="s">
        <v>6972</v>
      </c>
    </row>
    <row r="277">
      <c r="A277" s="83" t="s">
        <v>7003</v>
      </c>
      <c r="B277" s="83" t="s">
        <v>7004</v>
      </c>
      <c r="C277" s="81" t="s">
        <v>7011</v>
      </c>
      <c r="D277" s="81" t="s">
        <v>6901</v>
      </c>
      <c r="E277" s="81" t="s">
        <v>3726</v>
      </c>
      <c r="F277" s="81" t="s">
        <v>224</v>
      </c>
      <c r="G277" s="81" t="s">
        <v>6823</v>
      </c>
      <c r="H277" s="81" t="s">
        <v>6949</v>
      </c>
      <c r="I277" s="81" t="s">
        <v>224</v>
      </c>
      <c r="J277" s="81" t="s">
        <v>6973</v>
      </c>
    </row>
    <row r="278">
      <c r="A278" s="83" t="s">
        <v>7003</v>
      </c>
      <c r="B278" s="83" t="s">
        <v>7004</v>
      </c>
      <c r="C278" s="81" t="s">
        <v>7011</v>
      </c>
      <c r="D278" s="81" t="s">
        <v>6901</v>
      </c>
      <c r="E278" s="81" t="s">
        <v>3742</v>
      </c>
      <c r="F278" s="81" t="s">
        <v>224</v>
      </c>
      <c r="G278" s="81" t="s">
        <v>6823</v>
      </c>
      <c r="H278" s="81" t="s">
        <v>6949</v>
      </c>
      <c r="I278" s="81" t="s">
        <v>224</v>
      </c>
      <c r="J278" s="81" t="s">
        <v>6974</v>
      </c>
    </row>
    <row r="279">
      <c r="A279" s="83" t="s">
        <v>7003</v>
      </c>
      <c r="B279" s="83" t="s">
        <v>7004</v>
      </c>
      <c r="C279" s="81" t="s">
        <v>7011</v>
      </c>
      <c r="D279" s="81" t="s">
        <v>6901</v>
      </c>
      <c r="E279" s="81" t="s">
        <v>3757</v>
      </c>
      <c r="F279" s="81" t="s">
        <v>224</v>
      </c>
      <c r="G279" s="81" t="s">
        <v>6823</v>
      </c>
      <c r="H279" s="81" t="s">
        <v>6949</v>
      </c>
      <c r="I279" s="81" t="s">
        <v>224</v>
      </c>
      <c r="J279" s="81" t="s">
        <v>6975</v>
      </c>
    </row>
    <row r="280">
      <c r="A280" s="83" t="s">
        <v>7003</v>
      </c>
      <c r="B280" s="83" t="s">
        <v>7004</v>
      </c>
      <c r="C280" s="81" t="s">
        <v>7011</v>
      </c>
      <c r="D280" s="81" t="s">
        <v>6901</v>
      </c>
      <c r="E280" s="81" t="s">
        <v>3617</v>
      </c>
      <c r="F280" s="81" t="s">
        <v>224</v>
      </c>
      <c r="G280" s="81" t="s">
        <v>6927</v>
      </c>
      <c r="H280" s="81" t="s">
        <v>6949</v>
      </c>
      <c r="I280" s="81" t="s">
        <v>224</v>
      </c>
      <c r="J280" s="81" t="s">
        <v>6976</v>
      </c>
    </row>
    <row r="281">
      <c r="A281" s="83" t="s">
        <v>7003</v>
      </c>
      <c r="B281" s="83" t="s">
        <v>7004</v>
      </c>
      <c r="C281" s="81" t="s">
        <v>7011</v>
      </c>
      <c r="D281" s="81" t="s">
        <v>6901</v>
      </c>
      <c r="E281" s="81" t="s">
        <v>1945</v>
      </c>
      <c r="F281" s="81" t="s">
        <v>224</v>
      </c>
      <c r="G281" s="81" t="s">
        <v>6933</v>
      </c>
      <c r="H281" s="81" t="s">
        <v>6949</v>
      </c>
      <c r="I281" s="81" t="s">
        <v>224</v>
      </c>
      <c r="J281" s="81" t="s">
        <v>6977</v>
      </c>
    </row>
    <row r="282">
      <c r="A282" s="83" t="s">
        <v>7003</v>
      </c>
      <c r="B282" s="83" t="s">
        <v>7004</v>
      </c>
      <c r="C282" s="81" t="s">
        <v>7011</v>
      </c>
      <c r="D282" s="81" t="s">
        <v>6901</v>
      </c>
      <c r="E282" s="81" t="s">
        <v>2544</v>
      </c>
      <c r="F282" s="81" t="s">
        <v>224</v>
      </c>
      <c r="G282" s="81" t="s">
        <v>6936</v>
      </c>
      <c r="H282" s="81" t="s">
        <v>6949</v>
      </c>
      <c r="I282" s="81" t="s">
        <v>224</v>
      </c>
      <c r="J282" s="81" t="s">
        <v>6978</v>
      </c>
    </row>
    <row r="283">
      <c r="A283" s="83" t="s">
        <v>7003</v>
      </c>
      <c r="B283" s="83" t="s">
        <v>7004</v>
      </c>
      <c r="C283" s="81" t="s">
        <v>7011</v>
      </c>
      <c r="D283" s="81" t="s">
        <v>6901</v>
      </c>
      <c r="E283" s="81" t="s">
        <v>2485</v>
      </c>
      <c r="F283" s="81" t="s">
        <v>224</v>
      </c>
      <c r="G283" s="81" t="s">
        <v>6938</v>
      </c>
      <c r="H283" s="81" t="s">
        <v>6949</v>
      </c>
      <c r="I283" s="81" t="s">
        <v>224</v>
      </c>
      <c r="J283" s="81" t="s">
        <v>6979</v>
      </c>
    </row>
    <row r="284">
      <c r="A284" s="83" t="s">
        <v>7003</v>
      </c>
      <c r="B284" s="83" t="s">
        <v>7004</v>
      </c>
      <c r="C284" s="81" t="s">
        <v>7011</v>
      </c>
      <c r="D284" s="81" t="s">
        <v>6901</v>
      </c>
      <c r="E284" s="81" t="s">
        <v>2345</v>
      </c>
      <c r="F284" s="81" t="s">
        <v>224</v>
      </c>
      <c r="G284" s="81" t="s">
        <v>6940</v>
      </c>
      <c r="H284" s="81" t="s">
        <v>6949</v>
      </c>
      <c r="I284" s="81" t="s">
        <v>224</v>
      </c>
      <c r="J284" s="81" t="s">
        <v>6980</v>
      </c>
    </row>
    <row r="285">
      <c r="A285" s="83" t="s">
        <v>7003</v>
      </c>
      <c r="B285" s="83" t="s">
        <v>7004</v>
      </c>
      <c r="C285" s="81" t="s">
        <v>7011</v>
      </c>
      <c r="D285" s="81" t="s">
        <v>6901</v>
      </c>
      <c r="E285" s="81" t="s">
        <v>1281</v>
      </c>
      <c r="F285" s="81" t="s">
        <v>224</v>
      </c>
      <c r="G285" s="81" t="s">
        <v>6943</v>
      </c>
      <c r="H285" s="81" t="s">
        <v>6949</v>
      </c>
      <c r="I285" s="81" t="s">
        <v>224</v>
      </c>
      <c r="J285" s="81" t="s">
        <v>6981</v>
      </c>
    </row>
    <row r="286">
      <c r="A286" s="83" t="s">
        <v>7003</v>
      </c>
      <c r="B286" s="83" t="s">
        <v>7004</v>
      </c>
      <c r="C286" s="81" t="s">
        <v>7011</v>
      </c>
      <c r="D286" s="81" t="s">
        <v>6901</v>
      </c>
      <c r="E286" s="81" t="s">
        <v>150</v>
      </c>
      <c r="F286" s="81" t="s">
        <v>224</v>
      </c>
      <c r="G286" s="81" t="s">
        <v>6946</v>
      </c>
      <c r="H286" s="81" t="s">
        <v>6949</v>
      </c>
      <c r="I286" s="81" t="s">
        <v>224</v>
      </c>
      <c r="J286" s="81" t="s">
        <v>6982</v>
      </c>
    </row>
    <row r="287">
      <c r="A287" s="83" t="s">
        <v>7003</v>
      </c>
      <c r="B287" s="83" t="s">
        <v>7004</v>
      </c>
      <c r="C287" s="81" t="s">
        <v>6983</v>
      </c>
      <c r="D287" s="81" t="s">
        <v>6842</v>
      </c>
      <c r="E287" s="81" t="s">
        <v>6781</v>
      </c>
      <c r="F287" s="81" t="s">
        <v>224</v>
      </c>
      <c r="G287" s="81" t="s">
        <v>224</v>
      </c>
      <c r="H287" s="81" t="s">
        <v>224</v>
      </c>
      <c r="I287" s="81" t="s">
        <v>224</v>
      </c>
      <c r="J287" s="81" t="s">
        <v>6984</v>
      </c>
    </row>
    <row r="288">
      <c r="A288" s="83" t="s">
        <v>7003</v>
      </c>
      <c r="B288" s="83" t="s">
        <v>7004</v>
      </c>
      <c r="C288" s="81" t="s">
        <v>6983</v>
      </c>
      <c r="D288" s="81" t="s">
        <v>6842</v>
      </c>
      <c r="E288" s="81" t="s">
        <v>6782</v>
      </c>
      <c r="F288" s="81" t="s">
        <v>224</v>
      </c>
      <c r="G288" s="81" t="s">
        <v>224</v>
      </c>
      <c r="H288" s="81" t="s">
        <v>224</v>
      </c>
      <c r="I288" s="81" t="s">
        <v>224</v>
      </c>
      <c r="J288" s="81" t="s">
        <v>6984</v>
      </c>
    </row>
    <row r="289">
      <c r="A289" s="83" t="s">
        <v>7003</v>
      </c>
      <c r="B289" s="83" t="s">
        <v>7004</v>
      </c>
      <c r="C289" s="81" t="s">
        <v>6983</v>
      </c>
      <c r="D289" s="81" t="s">
        <v>6842</v>
      </c>
      <c r="E289" s="81" t="s">
        <v>6733</v>
      </c>
      <c r="F289" s="81" t="s">
        <v>224</v>
      </c>
      <c r="G289" s="81" t="s">
        <v>224</v>
      </c>
      <c r="H289" s="81" t="s">
        <v>224</v>
      </c>
      <c r="I289" s="81" t="s">
        <v>224</v>
      </c>
      <c r="J289" s="81" t="s">
        <v>6984</v>
      </c>
    </row>
    <row r="290">
      <c r="A290" s="83" t="s">
        <v>7003</v>
      </c>
      <c r="B290" s="83" t="s">
        <v>7004</v>
      </c>
      <c r="C290" s="81" t="s">
        <v>6983</v>
      </c>
      <c r="D290" s="81" t="s">
        <v>6842</v>
      </c>
      <c r="E290" s="81" t="s">
        <v>6735</v>
      </c>
      <c r="F290" s="81" t="s">
        <v>224</v>
      </c>
      <c r="G290" s="81" t="s">
        <v>224</v>
      </c>
      <c r="H290" s="81" t="s">
        <v>224</v>
      </c>
      <c r="I290" s="81" t="s">
        <v>224</v>
      </c>
      <c r="J290" s="81" t="s">
        <v>6984</v>
      </c>
    </row>
    <row r="291">
      <c r="A291" s="83" t="s">
        <v>7003</v>
      </c>
      <c r="B291" s="83" t="s">
        <v>7004</v>
      </c>
      <c r="C291" s="81" t="s">
        <v>6983</v>
      </c>
      <c r="D291" s="81" t="s">
        <v>6842</v>
      </c>
      <c r="E291" s="81" t="s">
        <v>6736</v>
      </c>
      <c r="F291" s="81" t="s">
        <v>224</v>
      </c>
      <c r="G291" s="81" t="s">
        <v>224</v>
      </c>
      <c r="H291" s="81" t="s">
        <v>224</v>
      </c>
      <c r="I291" s="81" t="s">
        <v>224</v>
      </c>
      <c r="J291" s="81" t="s">
        <v>6984</v>
      </c>
    </row>
    <row r="292">
      <c r="A292" s="83" t="s">
        <v>7003</v>
      </c>
      <c r="B292" s="83" t="s">
        <v>7004</v>
      </c>
      <c r="C292" s="81" t="s">
        <v>6983</v>
      </c>
      <c r="D292" s="81" t="s">
        <v>6842</v>
      </c>
      <c r="E292" s="81" t="s">
        <v>6737</v>
      </c>
      <c r="F292" s="81" t="s">
        <v>224</v>
      </c>
      <c r="G292" s="81" t="s">
        <v>224</v>
      </c>
      <c r="H292" s="81" t="s">
        <v>224</v>
      </c>
      <c r="I292" s="81" t="s">
        <v>224</v>
      </c>
      <c r="J292" s="81" t="s">
        <v>6984</v>
      </c>
    </row>
    <row r="293">
      <c r="A293" s="83" t="s">
        <v>7003</v>
      </c>
      <c r="B293" s="83" t="s">
        <v>7004</v>
      </c>
      <c r="C293" s="81" t="s">
        <v>6983</v>
      </c>
      <c r="D293" s="81" t="s">
        <v>6842</v>
      </c>
      <c r="E293" s="81" t="s">
        <v>6738</v>
      </c>
      <c r="F293" s="81" t="s">
        <v>224</v>
      </c>
      <c r="G293" s="81" t="s">
        <v>224</v>
      </c>
      <c r="H293" s="81" t="s">
        <v>224</v>
      </c>
      <c r="I293" s="81" t="s">
        <v>224</v>
      </c>
      <c r="J293" s="81" t="s">
        <v>6984</v>
      </c>
    </row>
    <row r="294">
      <c r="A294" s="83" t="s">
        <v>7003</v>
      </c>
      <c r="B294" s="83" t="s">
        <v>7004</v>
      </c>
      <c r="C294" s="81" t="s">
        <v>6983</v>
      </c>
      <c r="D294" s="81" t="s">
        <v>6842</v>
      </c>
      <c r="E294" s="81" t="s">
        <v>6739</v>
      </c>
      <c r="F294" s="81" t="s">
        <v>224</v>
      </c>
      <c r="G294" s="81" t="s">
        <v>224</v>
      </c>
      <c r="H294" s="81" t="s">
        <v>224</v>
      </c>
      <c r="I294" s="81" t="s">
        <v>224</v>
      </c>
      <c r="J294" s="81" t="s">
        <v>6984</v>
      </c>
    </row>
    <row r="295">
      <c r="A295" s="83" t="s">
        <v>7003</v>
      </c>
      <c r="B295" s="83" t="s">
        <v>7004</v>
      </c>
      <c r="C295" s="81" t="s">
        <v>6983</v>
      </c>
      <c r="D295" s="81" t="s">
        <v>6842</v>
      </c>
      <c r="E295" s="81" t="s">
        <v>6740</v>
      </c>
      <c r="F295" s="81" t="s">
        <v>224</v>
      </c>
      <c r="G295" s="81" t="s">
        <v>224</v>
      </c>
      <c r="H295" s="81" t="s">
        <v>224</v>
      </c>
      <c r="I295" s="81" t="s">
        <v>224</v>
      </c>
      <c r="J295" s="81" t="s">
        <v>6984</v>
      </c>
    </row>
    <row r="296">
      <c r="A296" s="83" t="s">
        <v>7003</v>
      </c>
      <c r="B296" s="83" t="s">
        <v>7004</v>
      </c>
      <c r="C296" s="81" t="s">
        <v>6983</v>
      </c>
      <c r="D296" s="81" t="s">
        <v>6842</v>
      </c>
      <c r="E296" s="81" t="s">
        <v>6741</v>
      </c>
      <c r="F296" s="81" t="s">
        <v>224</v>
      </c>
      <c r="G296" s="81" t="s">
        <v>224</v>
      </c>
      <c r="H296" s="81" t="s">
        <v>224</v>
      </c>
      <c r="I296" s="81" t="s">
        <v>224</v>
      </c>
      <c r="J296" s="81" t="s">
        <v>6984</v>
      </c>
    </row>
    <row r="297">
      <c r="A297" s="83" t="s">
        <v>7003</v>
      </c>
      <c r="B297" s="83" t="s">
        <v>7004</v>
      </c>
      <c r="C297" s="81" t="s">
        <v>6983</v>
      </c>
      <c r="D297" s="81" t="s">
        <v>6842</v>
      </c>
      <c r="E297" s="81" t="s">
        <v>6742</v>
      </c>
      <c r="F297" s="81" t="s">
        <v>224</v>
      </c>
      <c r="G297" s="81" t="s">
        <v>224</v>
      </c>
      <c r="H297" s="81" t="s">
        <v>224</v>
      </c>
      <c r="I297" s="81" t="s">
        <v>224</v>
      </c>
      <c r="J297" s="81" t="s">
        <v>6984</v>
      </c>
    </row>
    <row r="298">
      <c r="A298" s="83" t="s">
        <v>7003</v>
      </c>
      <c r="B298" s="83" t="s">
        <v>7004</v>
      </c>
      <c r="C298" s="81" t="s">
        <v>6983</v>
      </c>
      <c r="D298" s="81" t="s">
        <v>6842</v>
      </c>
      <c r="E298" s="81" t="s">
        <v>6743</v>
      </c>
      <c r="F298" s="81" t="s">
        <v>224</v>
      </c>
      <c r="G298" s="81" t="s">
        <v>224</v>
      </c>
      <c r="H298" s="81" t="s">
        <v>224</v>
      </c>
      <c r="I298" s="81" t="s">
        <v>224</v>
      </c>
      <c r="J298" s="81" t="s">
        <v>6984</v>
      </c>
    </row>
    <row r="299">
      <c r="A299" s="83" t="s">
        <v>7003</v>
      </c>
      <c r="B299" s="83" t="s">
        <v>7004</v>
      </c>
      <c r="C299" s="81" t="s">
        <v>6983</v>
      </c>
      <c r="D299" s="81" t="s">
        <v>6842</v>
      </c>
      <c r="E299" s="81" t="s">
        <v>6744</v>
      </c>
      <c r="F299" s="81" t="s">
        <v>224</v>
      </c>
      <c r="G299" s="81" t="s">
        <v>224</v>
      </c>
      <c r="H299" s="81" t="s">
        <v>224</v>
      </c>
      <c r="I299" s="81" t="s">
        <v>224</v>
      </c>
      <c r="J299" s="81" t="s">
        <v>6984</v>
      </c>
    </row>
    <row r="300">
      <c r="A300" s="83" t="s">
        <v>7003</v>
      </c>
      <c r="B300" s="83" t="s">
        <v>7004</v>
      </c>
      <c r="C300" s="81" t="s">
        <v>6983</v>
      </c>
      <c r="D300" s="81" t="s">
        <v>6842</v>
      </c>
      <c r="E300" s="81" t="s">
        <v>6745</v>
      </c>
      <c r="F300" s="81" t="s">
        <v>224</v>
      </c>
      <c r="G300" s="81" t="s">
        <v>224</v>
      </c>
      <c r="H300" s="81" t="s">
        <v>224</v>
      </c>
      <c r="I300" s="81" t="s">
        <v>224</v>
      </c>
      <c r="J300" s="81" t="s">
        <v>6984</v>
      </c>
    </row>
    <row r="301">
      <c r="A301" s="83" t="s">
        <v>7003</v>
      </c>
      <c r="B301" s="83" t="s">
        <v>7004</v>
      </c>
      <c r="C301" s="81" t="s">
        <v>6983</v>
      </c>
      <c r="D301" s="81" t="s">
        <v>6842</v>
      </c>
      <c r="E301" s="81" t="s">
        <v>6746</v>
      </c>
      <c r="F301" s="81" t="s">
        <v>224</v>
      </c>
      <c r="G301" s="81" t="s">
        <v>224</v>
      </c>
      <c r="H301" s="81" t="s">
        <v>224</v>
      </c>
      <c r="I301" s="81" t="s">
        <v>224</v>
      </c>
      <c r="J301" s="81" t="s">
        <v>6984</v>
      </c>
    </row>
    <row r="302">
      <c r="A302" s="83" t="s">
        <v>7003</v>
      </c>
      <c r="B302" s="83" t="s">
        <v>7004</v>
      </c>
      <c r="C302" s="81" t="s">
        <v>6983</v>
      </c>
      <c r="D302" s="81" t="s">
        <v>6842</v>
      </c>
      <c r="E302" s="81" t="s">
        <v>6985</v>
      </c>
      <c r="F302" s="81" t="s">
        <v>224</v>
      </c>
      <c r="G302" s="81" t="s">
        <v>224</v>
      </c>
      <c r="H302" s="81" t="s">
        <v>224</v>
      </c>
      <c r="I302" s="81" t="s">
        <v>224</v>
      </c>
      <c r="J302" s="81" t="s">
        <v>6984</v>
      </c>
    </row>
    <row r="303">
      <c r="A303" s="83" t="s">
        <v>7003</v>
      </c>
      <c r="B303" s="83" t="s">
        <v>7004</v>
      </c>
      <c r="C303" s="81" t="s">
        <v>6983</v>
      </c>
      <c r="D303" s="81" t="s">
        <v>6842</v>
      </c>
      <c r="E303" s="81" t="s">
        <v>6986</v>
      </c>
      <c r="F303" s="81" t="s">
        <v>224</v>
      </c>
      <c r="G303" s="81" t="s">
        <v>224</v>
      </c>
      <c r="H303" s="81" t="s">
        <v>224</v>
      </c>
      <c r="I303" s="81" t="s">
        <v>224</v>
      </c>
      <c r="J303" s="81" t="s">
        <v>6984</v>
      </c>
    </row>
    <row r="304">
      <c r="A304" s="83" t="s">
        <v>7003</v>
      </c>
      <c r="B304" s="83" t="s">
        <v>7004</v>
      </c>
      <c r="C304" s="81" t="s">
        <v>6983</v>
      </c>
      <c r="D304" s="81" t="s">
        <v>6842</v>
      </c>
      <c r="E304" s="81" t="s">
        <v>6987</v>
      </c>
      <c r="F304" s="81" t="s">
        <v>224</v>
      </c>
      <c r="G304" s="81" t="s">
        <v>224</v>
      </c>
      <c r="H304" s="81" t="s">
        <v>224</v>
      </c>
      <c r="I304" s="81" t="s">
        <v>224</v>
      </c>
      <c r="J304" s="81" t="s">
        <v>6984</v>
      </c>
    </row>
    <row r="305">
      <c r="A305" s="83" t="s">
        <v>7003</v>
      </c>
      <c r="B305" s="83" t="s">
        <v>7004</v>
      </c>
      <c r="C305" s="81" t="s">
        <v>6983</v>
      </c>
      <c r="D305" s="81" t="s">
        <v>6842</v>
      </c>
      <c r="E305" s="81" t="s">
        <v>6988</v>
      </c>
      <c r="F305" s="81" t="s">
        <v>224</v>
      </c>
      <c r="G305" s="81" t="s">
        <v>224</v>
      </c>
      <c r="H305" s="81" t="s">
        <v>224</v>
      </c>
      <c r="I305" s="81" t="s">
        <v>224</v>
      </c>
      <c r="J305" s="81" t="s">
        <v>6984</v>
      </c>
    </row>
    <row r="306">
      <c r="A306" s="83" t="s">
        <v>7003</v>
      </c>
      <c r="B306" s="83" t="s">
        <v>7004</v>
      </c>
      <c r="C306" s="81" t="s">
        <v>6983</v>
      </c>
      <c r="D306" s="81" t="s">
        <v>6842</v>
      </c>
      <c r="E306" s="81" t="s">
        <v>6989</v>
      </c>
      <c r="F306" s="81" t="s">
        <v>224</v>
      </c>
      <c r="G306" s="81" t="s">
        <v>224</v>
      </c>
      <c r="H306" s="81" t="s">
        <v>224</v>
      </c>
      <c r="I306" s="81" t="s">
        <v>224</v>
      </c>
      <c r="J306" s="81" t="s">
        <v>6984</v>
      </c>
    </row>
    <row r="307">
      <c r="A307" s="83" t="s">
        <v>7003</v>
      </c>
      <c r="B307" s="83" t="s">
        <v>7004</v>
      </c>
      <c r="C307" s="81" t="s">
        <v>6983</v>
      </c>
      <c r="D307" s="81" t="s">
        <v>6842</v>
      </c>
      <c r="E307" s="81" t="s">
        <v>6990</v>
      </c>
      <c r="F307" s="81" t="s">
        <v>224</v>
      </c>
      <c r="G307" s="81" t="s">
        <v>224</v>
      </c>
      <c r="H307" s="81" t="s">
        <v>224</v>
      </c>
      <c r="I307" s="81" t="s">
        <v>224</v>
      </c>
      <c r="J307" s="81" t="s">
        <v>6984</v>
      </c>
    </row>
    <row r="308">
      <c r="A308" s="83" t="s">
        <v>7003</v>
      </c>
      <c r="B308" s="83" t="s">
        <v>7004</v>
      </c>
      <c r="C308" s="81" t="s">
        <v>6983</v>
      </c>
      <c r="D308" s="81" t="s">
        <v>6842</v>
      </c>
      <c r="E308" s="81" t="s">
        <v>6991</v>
      </c>
      <c r="F308" s="81" t="s">
        <v>224</v>
      </c>
      <c r="G308" s="81" t="s">
        <v>224</v>
      </c>
      <c r="H308" s="81" t="s">
        <v>224</v>
      </c>
      <c r="I308" s="81" t="s">
        <v>224</v>
      </c>
      <c r="J308" s="81" t="s">
        <v>6984</v>
      </c>
    </row>
    <row r="309">
      <c r="A309" s="83" t="s">
        <v>7003</v>
      </c>
      <c r="B309" s="83" t="s">
        <v>7004</v>
      </c>
      <c r="C309" s="81" t="s">
        <v>6983</v>
      </c>
      <c r="D309" s="81" t="s">
        <v>6842</v>
      </c>
      <c r="E309" s="81" t="s">
        <v>6992</v>
      </c>
      <c r="F309" s="81" t="s">
        <v>224</v>
      </c>
      <c r="G309" s="81" t="s">
        <v>224</v>
      </c>
      <c r="H309" s="81" t="s">
        <v>224</v>
      </c>
      <c r="I309" s="81" t="s">
        <v>224</v>
      </c>
      <c r="J309" s="81" t="s">
        <v>6984</v>
      </c>
    </row>
    <row r="310">
      <c r="A310" s="83" t="s">
        <v>7003</v>
      </c>
      <c r="B310" s="83" t="s">
        <v>7004</v>
      </c>
      <c r="C310" s="81" t="s">
        <v>6983</v>
      </c>
      <c r="D310" s="81" t="s">
        <v>6842</v>
      </c>
      <c r="E310" s="81" t="s">
        <v>5075</v>
      </c>
      <c r="F310" s="81" t="s">
        <v>224</v>
      </c>
      <c r="G310" s="81" t="s">
        <v>224</v>
      </c>
      <c r="H310" s="81" t="s">
        <v>224</v>
      </c>
      <c r="I310" s="81" t="s">
        <v>224</v>
      </c>
      <c r="J310" s="81" t="s">
        <v>6984</v>
      </c>
    </row>
    <row r="311">
      <c r="A311" s="83" t="s">
        <v>7003</v>
      </c>
      <c r="B311" s="83" t="s">
        <v>7004</v>
      </c>
      <c r="C311" s="81" t="s">
        <v>6983</v>
      </c>
      <c r="D311" s="81" t="s">
        <v>6842</v>
      </c>
      <c r="E311" s="81" t="s">
        <v>5073</v>
      </c>
      <c r="F311" s="81" t="s">
        <v>224</v>
      </c>
      <c r="G311" s="81" t="s">
        <v>224</v>
      </c>
      <c r="H311" s="81" t="s">
        <v>224</v>
      </c>
      <c r="I311" s="81" t="s">
        <v>224</v>
      </c>
      <c r="J311" s="81" t="s">
        <v>6984</v>
      </c>
    </row>
    <row r="312">
      <c r="A312" s="83" t="s">
        <v>7003</v>
      </c>
      <c r="B312" s="83" t="s">
        <v>7004</v>
      </c>
      <c r="C312" s="81" t="s">
        <v>6983</v>
      </c>
      <c r="D312" s="81" t="s">
        <v>6842</v>
      </c>
      <c r="E312" s="81" t="s">
        <v>5077</v>
      </c>
      <c r="F312" s="81" t="s">
        <v>224</v>
      </c>
      <c r="G312" s="81" t="s">
        <v>224</v>
      </c>
      <c r="H312" s="81" t="s">
        <v>224</v>
      </c>
      <c r="I312" s="81" t="s">
        <v>224</v>
      </c>
      <c r="J312" s="81" t="s">
        <v>6984</v>
      </c>
    </row>
    <row r="313">
      <c r="A313" s="83" t="s">
        <v>7003</v>
      </c>
      <c r="B313" s="83" t="s">
        <v>7004</v>
      </c>
      <c r="C313" s="81" t="s">
        <v>6983</v>
      </c>
      <c r="D313" s="81" t="s">
        <v>6901</v>
      </c>
      <c r="E313" s="81" t="s">
        <v>6652</v>
      </c>
      <c r="F313" s="81" t="s">
        <v>224</v>
      </c>
      <c r="G313" s="81" t="s">
        <v>224</v>
      </c>
      <c r="H313" s="81" t="s">
        <v>224</v>
      </c>
      <c r="I313" s="81" t="s">
        <v>224</v>
      </c>
      <c r="J313" s="81" t="s">
        <v>6993</v>
      </c>
    </row>
    <row r="314">
      <c r="A314" s="83" t="s">
        <v>7003</v>
      </c>
      <c r="B314" s="83" t="s">
        <v>7004</v>
      </c>
      <c r="C314" s="81" t="s">
        <v>6983</v>
      </c>
      <c r="D314" s="81" t="s">
        <v>6901</v>
      </c>
      <c r="E314" s="81" t="s">
        <v>6654</v>
      </c>
      <c r="F314" s="81" t="s">
        <v>224</v>
      </c>
      <c r="G314" s="81" t="s">
        <v>224</v>
      </c>
      <c r="H314" s="81" t="s">
        <v>224</v>
      </c>
      <c r="I314" s="81" t="s">
        <v>224</v>
      </c>
      <c r="J314" s="81" t="s">
        <v>6993</v>
      </c>
    </row>
    <row r="315">
      <c r="A315" s="83" t="s">
        <v>7003</v>
      </c>
      <c r="B315" s="83" t="s">
        <v>7004</v>
      </c>
      <c r="C315" s="81" t="s">
        <v>6983</v>
      </c>
      <c r="D315" s="81" t="s">
        <v>6901</v>
      </c>
      <c r="E315" s="81" t="s">
        <v>6655</v>
      </c>
      <c r="F315" s="81" t="s">
        <v>224</v>
      </c>
      <c r="G315" s="81" t="s">
        <v>224</v>
      </c>
      <c r="H315" s="81" t="s">
        <v>224</v>
      </c>
      <c r="I315" s="81" t="s">
        <v>224</v>
      </c>
      <c r="J315" s="81" t="s">
        <v>6993</v>
      </c>
    </row>
    <row r="316">
      <c r="A316" s="83" t="s">
        <v>7003</v>
      </c>
      <c r="B316" s="83" t="s">
        <v>7004</v>
      </c>
      <c r="C316" s="81" t="s">
        <v>6983</v>
      </c>
      <c r="D316" s="81" t="s">
        <v>6901</v>
      </c>
      <c r="E316" s="81" t="s">
        <v>6656</v>
      </c>
      <c r="F316" s="81" t="s">
        <v>224</v>
      </c>
      <c r="G316" s="81" t="s">
        <v>224</v>
      </c>
      <c r="H316" s="81" t="s">
        <v>224</v>
      </c>
      <c r="I316" s="81" t="s">
        <v>224</v>
      </c>
      <c r="J316" s="81" t="s">
        <v>6993</v>
      </c>
    </row>
    <row r="317">
      <c r="A317" s="83" t="s">
        <v>7003</v>
      </c>
      <c r="B317" s="83" t="s">
        <v>7004</v>
      </c>
      <c r="C317" s="81" t="s">
        <v>6983</v>
      </c>
      <c r="D317" s="81" t="s">
        <v>6901</v>
      </c>
      <c r="E317" s="81" t="s">
        <v>6657</v>
      </c>
      <c r="F317" s="81" t="s">
        <v>224</v>
      </c>
      <c r="G317" s="81" t="s">
        <v>224</v>
      </c>
      <c r="H317" s="81" t="s">
        <v>224</v>
      </c>
      <c r="I317" s="81" t="s">
        <v>224</v>
      </c>
      <c r="J317" s="81" t="s">
        <v>6993</v>
      </c>
    </row>
    <row r="318">
      <c r="A318" s="83" t="s">
        <v>7003</v>
      </c>
      <c r="B318" s="83" t="s">
        <v>7004</v>
      </c>
      <c r="C318" s="81" t="s">
        <v>6983</v>
      </c>
      <c r="D318" s="81" t="s">
        <v>6901</v>
      </c>
      <c r="E318" s="81" t="s">
        <v>6658</v>
      </c>
      <c r="F318" s="81" t="s">
        <v>224</v>
      </c>
      <c r="G318" s="81" t="s">
        <v>224</v>
      </c>
      <c r="H318" s="81" t="s">
        <v>224</v>
      </c>
      <c r="I318" s="81" t="s">
        <v>224</v>
      </c>
      <c r="J318" s="81" t="s">
        <v>6993</v>
      </c>
    </row>
    <row r="319">
      <c r="A319" s="83" t="s">
        <v>7003</v>
      </c>
      <c r="B319" s="83" t="s">
        <v>7004</v>
      </c>
      <c r="C319" s="81" t="s">
        <v>6983</v>
      </c>
      <c r="D319" s="81" t="s">
        <v>6901</v>
      </c>
      <c r="E319" s="81" t="s">
        <v>6659</v>
      </c>
      <c r="F319" s="81" t="s">
        <v>224</v>
      </c>
      <c r="G319" s="81" t="s">
        <v>224</v>
      </c>
      <c r="H319" s="81" t="s">
        <v>224</v>
      </c>
      <c r="I319" s="81" t="s">
        <v>224</v>
      </c>
      <c r="J319" s="81" t="s">
        <v>6993</v>
      </c>
    </row>
    <row r="320">
      <c r="A320" s="83" t="s">
        <v>7003</v>
      </c>
      <c r="B320" s="83" t="s">
        <v>7004</v>
      </c>
      <c r="C320" s="81" t="s">
        <v>6983</v>
      </c>
      <c r="D320" s="81" t="s">
        <v>6901</v>
      </c>
      <c r="E320" s="81" t="s">
        <v>6660</v>
      </c>
      <c r="F320" s="81" t="s">
        <v>224</v>
      </c>
      <c r="G320" s="81" t="s">
        <v>224</v>
      </c>
      <c r="H320" s="81" t="s">
        <v>224</v>
      </c>
      <c r="I320" s="81" t="s">
        <v>224</v>
      </c>
      <c r="J320" s="81" t="s">
        <v>6993</v>
      </c>
    </row>
    <row r="321">
      <c r="A321" s="83" t="s">
        <v>7003</v>
      </c>
      <c r="B321" s="83" t="s">
        <v>7004</v>
      </c>
      <c r="C321" s="81" t="s">
        <v>6983</v>
      </c>
      <c r="D321" s="81" t="s">
        <v>6901</v>
      </c>
      <c r="E321" s="81" t="s">
        <v>6661</v>
      </c>
      <c r="F321" s="81" t="s">
        <v>224</v>
      </c>
      <c r="G321" s="81" t="s">
        <v>224</v>
      </c>
      <c r="H321" s="81" t="s">
        <v>224</v>
      </c>
      <c r="I321" s="81" t="s">
        <v>224</v>
      </c>
      <c r="J321" s="81" t="s">
        <v>6993</v>
      </c>
    </row>
    <row r="322">
      <c r="A322" s="83" t="s">
        <v>7003</v>
      </c>
      <c r="B322" s="83" t="s">
        <v>7004</v>
      </c>
      <c r="C322" s="81" t="s">
        <v>6983</v>
      </c>
      <c r="D322" s="81" t="s">
        <v>6901</v>
      </c>
      <c r="E322" s="81" t="s">
        <v>6662</v>
      </c>
      <c r="F322" s="81" t="s">
        <v>224</v>
      </c>
      <c r="G322" s="81" t="s">
        <v>224</v>
      </c>
      <c r="H322" s="81" t="s">
        <v>224</v>
      </c>
      <c r="I322" s="81" t="s">
        <v>224</v>
      </c>
      <c r="J322" s="81" t="s">
        <v>6993</v>
      </c>
    </row>
    <row r="323">
      <c r="A323" s="83" t="s">
        <v>7003</v>
      </c>
      <c r="B323" s="83" t="s">
        <v>7004</v>
      </c>
      <c r="C323" s="81" t="s">
        <v>6983</v>
      </c>
      <c r="D323" s="81" t="s">
        <v>6901</v>
      </c>
      <c r="E323" s="81" t="s">
        <v>6663</v>
      </c>
      <c r="F323" s="81" t="s">
        <v>224</v>
      </c>
      <c r="G323" s="81" t="s">
        <v>224</v>
      </c>
      <c r="H323" s="81" t="s">
        <v>224</v>
      </c>
      <c r="I323" s="81" t="s">
        <v>224</v>
      </c>
      <c r="J323" s="81" t="s">
        <v>6993</v>
      </c>
    </row>
    <row r="324">
      <c r="A324" s="83" t="s">
        <v>7003</v>
      </c>
      <c r="B324" s="83" t="s">
        <v>7004</v>
      </c>
      <c r="C324" s="81" t="s">
        <v>6983</v>
      </c>
      <c r="D324" s="81" t="s">
        <v>6901</v>
      </c>
      <c r="E324" s="81" t="s">
        <v>6664</v>
      </c>
      <c r="F324" s="81" t="s">
        <v>224</v>
      </c>
      <c r="G324" s="81" t="s">
        <v>224</v>
      </c>
      <c r="H324" s="81" t="s">
        <v>224</v>
      </c>
      <c r="I324" s="81" t="s">
        <v>224</v>
      </c>
      <c r="J324" s="81" t="s">
        <v>6993</v>
      </c>
    </row>
    <row r="325">
      <c r="A325" s="83" t="s">
        <v>7003</v>
      </c>
      <c r="B325" s="83" t="s">
        <v>7004</v>
      </c>
      <c r="C325" s="81" t="s">
        <v>6983</v>
      </c>
      <c r="D325" s="81" t="s">
        <v>6901</v>
      </c>
      <c r="E325" s="81" t="s">
        <v>6665</v>
      </c>
      <c r="F325" s="81" t="s">
        <v>224</v>
      </c>
      <c r="G325" s="81" t="s">
        <v>224</v>
      </c>
      <c r="H325" s="81" t="s">
        <v>224</v>
      </c>
      <c r="I325" s="81" t="s">
        <v>224</v>
      </c>
      <c r="J325" s="81" t="s">
        <v>6993</v>
      </c>
    </row>
    <row r="326">
      <c r="A326" s="83" t="s">
        <v>7003</v>
      </c>
      <c r="B326" s="83" t="s">
        <v>7004</v>
      </c>
      <c r="C326" s="81" t="s">
        <v>6983</v>
      </c>
      <c r="D326" s="81" t="s">
        <v>6901</v>
      </c>
      <c r="E326" s="81" t="s">
        <v>6666</v>
      </c>
      <c r="F326" s="81" t="s">
        <v>224</v>
      </c>
      <c r="G326" s="81" t="s">
        <v>224</v>
      </c>
      <c r="H326" s="81" t="s">
        <v>224</v>
      </c>
      <c r="I326" s="81" t="s">
        <v>224</v>
      </c>
      <c r="J326" s="81" t="s">
        <v>6993</v>
      </c>
    </row>
    <row r="327">
      <c r="A327" s="83" t="s">
        <v>7003</v>
      </c>
      <c r="B327" s="83" t="s">
        <v>7004</v>
      </c>
      <c r="C327" s="81" t="s">
        <v>6983</v>
      </c>
      <c r="D327" s="81" t="s">
        <v>6901</v>
      </c>
      <c r="E327" s="81" t="s">
        <v>6667</v>
      </c>
      <c r="F327" s="81" t="s">
        <v>224</v>
      </c>
      <c r="G327" s="81" t="s">
        <v>224</v>
      </c>
      <c r="H327" s="81" t="s">
        <v>224</v>
      </c>
      <c r="I327" s="81" t="s">
        <v>224</v>
      </c>
      <c r="J327" s="81" t="s">
        <v>6993</v>
      </c>
    </row>
    <row r="328">
      <c r="A328" s="83" t="s">
        <v>7003</v>
      </c>
      <c r="B328" s="83" t="s">
        <v>7004</v>
      </c>
      <c r="C328" s="81" t="s">
        <v>6983</v>
      </c>
      <c r="D328" s="81" t="s">
        <v>6901</v>
      </c>
      <c r="E328" s="81" t="s">
        <v>6668</v>
      </c>
      <c r="F328" s="81" t="s">
        <v>224</v>
      </c>
      <c r="G328" s="81" t="s">
        <v>224</v>
      </c>
      <c r="H328" s="81" t="s">
        <v>224</v>
      </c>
      <c r="I328" s="81" t="s">
        <v>224</v>
      </c>
      <c r="J328" s="81" t="s">
        <v>6993</v>
      </c>
    </row>
    <row r="329">
      <c r="A329" s="83" t="s">
        <v>7003</v>
      </c>
      <c r="B329" s="83" t="s">
        <v>7004</v>
      </c>
      <c r="C329" s="81" t="s">
        <v>6983</v>
      </c>
      <c r="D329" s="81" t="s">
        <v>6901</v>
      </c>
      <c r="E329" s="81" t="s">
        <v>6669</v>
      </c>
      <c r="F329" s="81" t="s">
        <v>224</v>
      </c>
      <c r="G329" s="81" t="s">
        <v>224</v>
      </c>
      <c r="H329" s="81" t="s">
        <v>224</v>
      </c>
      <c r="I329" s="81" t="s">
        <v>224</v>
      </c>
      <c r="J329" s="81" t="s">
        <v>6993</v>
      </c>
    </row>
    <row r="330">
      <c r="A330" s="83" t="s">
        <v>7003</v>
      </c>
      <c r="B330" s="83" t="s">
        <v>7004</v>
      </c>
      <c r="C330" s="81" t="s">
        <v>6983</v>
      </c>
      <c r="D330" s="81" t="s">
        <v>6901</v>
      </c>
      <c r="E330" s="81" t="s">
        <v>6670</v>
      </c>
      <c r="F330" s="81" t="s">
        <v>224</v>
      </c>
      <c r="G330" s="81" t="s">
        <v>224</v>
      </c>
      <c r="H330" s="81" t="s">
        <v>224</v>
      </c>
      <c r="I330" s="81" t="s">
        <v>224</v>
      </c>
      <c r="J330" s="81" t="s">
        <v>6993</v>
      </c>
    </row>
    <row r="331">
      <c r="A331" s="83" t="s">
        <v>7003</v>
      </c>
      <c r="B331" s="83" t="s">
        <v>7004</v>
      </c>
      <c r="C331" s="81" t="s">
        <v>6983</v>
      </c>
      <c r="D331" s="81" t="s">
        <v>6901</v>
      </c>
      <c r="E331" s="81" t="s">
        <v>6671</v>
      </c>
      <c r="F331" s="81" t="s">
        <v>224</v>
      </c>
      <c r="G331" s="81" t="s">
        <v>224</v>
      </c>
      <c r="H331" s="81" t="s">
        <v>224</v>
      </c>
      <c r="I331" s="81" t="s">
        <v>224</v>
      </c>
      <c r="J331" s="81" t="s">
        <v>6993</v>
      </c>
    </row>
    <row r="332">
      <c r="A332" s="83" t="s">
        <v>7003</v>
      </c>
      <c r="B332" s="83" t="s">
        <v>7004</v>
      </c>
      <c r="C332" s="81" t="s">
        <v>6983</v>
      </c>
      <c r="D332" s="81" t="s">
        <v>6901</v>
      </c>
      <c r="E332" s="81" t="s">
        <v>6672</v>
      </c>
      <c r="F332" s="81" t="s">
        <v>224</v>
      </c>
      <c r="G332" s="81" t="s">
        <v>224</v>
      </c>
      <c r="H332" s="81" t="s">
        <v>224</v>
      </c>
      <c r="I332" s="81" t="s">
        <v>224</v>
      </c>
      <c r="J332" s="81" t="s">
        <v>6993</v>
      </c>
    </row>
    <row r="333">
      <c r="A333" s="83" t="s">
        <v>7003</v>
      </c>
      <c r="B333" s="83" t="s">
        <v>7004</v>
      </c>
      <c r="C333" s="81" t="s">
        <v>6983</v>
      </c>
      <c r="D333" s="81" t="s">
        <v>6901</v>
      </c>
      <c r="E333" s="81" t="s">
        <v>6673</v>
      </c>
      <c r="F333" s="81" t="s">
        <v>224</v>
      </c>
      <c r="G333" s="81" t="s">
        <v>224</v>
      </c>
      <c r="H333" s="81" t="s">
        <v>224</v>
      </c>
      <c r="I333" s="81" t="s">
        <v>224</v>
      </c>
      <c r="J333" s="81" t="s">
        <v>6993</v>
      </c>
    </row>
    <row r="334">
      <c r="A334" s="83" t="s">
        <v>7003</v>
      </c>
      <c r="B334" s="83" t="s">
        <v>7004</v>
      </c>
      <c r="C334" s="81" t="s">
        <v>6983</v>
      </c>
      <c r="D334" s="81" t="s">
        <v>6901</v>
      </c>
      <c r="E334" s="81" t="s">
        <v>6674</v>
      </c>
      <c r="F334" s="81" t="s">
        <v>224</v>
      </c>
      <c r="G334" s="81" t="s">
        <v>224</v>
      </c>
      <c r="H334" s="81" t="s">
        <v>224</v>
      </c>
      <c r="I334" s="81" t="s">
        <v>224</v>
      </c>
      <c r="J334" s="81" t="s">
        <v>6993</v>
      </c>
    </row>
    <row r="335">
      <c r="A335" s="83" t="s">
        <v>7003</v>
      </c>
      <c r="B335" s="83" t="s">
        <v>7004</v>
      </c>
      <c r="C335" s="81" t="s">
        <v>6983</v>
      </c>
      <c r="D335" s="81" t="s">
        <v>6901</v>
      </c>
      <c r="E335" s="81" t="s">
        <v>6675</v>
      </c>
      <c r="F335" s="81" t="s">
        <v>224</v>
      </c>
      <c r="G335" s="81" t="s">
        <v>224</v>
      </c>
      <c r="H335" s="81" t="s">
        <v>224</v>
      </c>
      <c r="I335" s="81" t="s">
        <v>224</v>
      </c>
      <c r="J335" s="81" t="s">
        <v>6993</v>
      </c>
    </row>
    <row r="336">
      <c r="A336" s="83" t="s">
        <v>7003</v>
      </c>
      <c r="B336" s="83" t="s">
        <v>7004</v>
      </c>
      <c r="C336" s="81" t="s">
        <v>6983</v>
      </c>
      <c r="D336" s="81" t="s">
        <v>6901</v>
      </c>
      <c r="E336" s="81" t="s">
        <v>6676</v>
      </c>
      <c r="F336" s="81" t="s">
        <v>224</v>
      </c>
      <c r="G336" s="81" t="s">
        <v>224</v>
      </c>
      <c r="H336" s="81" t="s">
        <v>224</v>
      </c>
      <c r="I336" s="81" t="s">
        <v>224</v>
      </c>
      <c r="J336" s="81" t="s">
        <v>6993</v>
      </c>
    </row>
    <row r="337">
      <c r="A337" s="83" t="s">
        <v>7003</v>
      </c>
      <c r="B337" s="83" t="s">
        <v>7004</v>
      </c>
      <c r="C337" s="81" t="s">
        <v>6983</v>
      </c>
      <c r="D337" s="81" t="s">
        <v>6901</v>
      </c>
      <c r="E337" s="81" t="s">
        <v>6677</v>
      </c>
      <c r="F337" s="81" t="s">
        <v>224</v>
      </c>
      <c r="G337" s="81" t="s">
        <v>224</v>
      </c>
      <c r="H337" s="81" t="s">
        <v>224</v>
      </c>
      <c r="I337" s="81" t="s">
        <v>224</v>
      </c>
      <c r="J337" s="81" t="s">
        <v>6993</v>
      </c>
    </row>
    <row r="338">
      <c r="A338" s="83" t="s">
        <v>7003</v>
      </c>
      <c r="B338" s="83" t="s">
        <v>7004</v>
      </c>
      <c r="C338" s="81" t="s">
        <v>6983</v>
      </c>
      <c r="D338" s="81" t="s">
        <v>6901</v>
      </c>
      <c r="E338" s="81" t="s">
        <v>6678</v>
      </c>
      <c r="F338" s="81" t="s">
        <v>224</v>
      </c>
      <c r="G338" s="81" t="s">
        <v>224</v>
      </c>
      <c r="H338" s="81" t="s">
        <v>224</v>
      </c>
      <c r="I338" s="81" t="s">
        <v>224</v>
      </c>
      <c r="J338" s="81" t="s">
        <v>6993</v>
      </c>
    </row>
    <row r="339">
      <c r="A339" s="83" t="s">
        <v>7003</v>
      </c>
      <c r="B339" s="83" t="s">
        <v>7004</v>
      </c>
      <c r="C339" s="81" t="s">
        <v>6983</v>
      </c>
      <c r="D339" s="81" t="s">
        <v>6901</v>
      </c>
      <c r="E339" s="81" t="s">
        <v>6679</v>
      </c>
      <c r="F339" s="81" t="s">
        <v>224</v>
      </c>
      <c r="G339" s="81" t="s">
        <v>224</v>
      </c>
      <c r="H339" s="81" t="s">
        <v>224</v>
      </c>
      <c r="I339" s="81" t="s">
        <v>224</v>
      </c>
      <c r="J339" s="81" t="s">
        <v>6993</v>
      </c>
    </row>
    <row r="340">
      <c r="A340" s="83" t="s">
        <v>7003</v>
      </c>
      <c r="B340" s="83" t="s">
        <v>7004</v>
      </c>
      <c r="C340" s="81" t="s">
        <v>6983</v>
      </c>
      <c r="D340" s="81" t="s">
        <v>6901</v>
      </c>
      <c r="E340" s="81" t="s">
        <v>6680</v>
      </c>
      <c r="F340" s="81" t="s">
        <v>224</v>
      </c>
      <c r="G340" s="81" t="s">
        <v>224</v>
      </c>
      <c r="H340" s="81" t="s">
        <v>224</v>
      </c>
      <c r="I340" s="81" t="s">
        <v>224</v>
      </c>
      <c r="J340" s="81" t="s">
        <v>6993</v>
      </c>
    </row>
    <row r="341">
      <c r="A341" s="83" t="s">
        <v>7003</v>
      </c>
      <c r="B341" s="83" t="s">
        <v>7004</v>
      </c>
      <c r="C341" s="81" t="s">
        <v>6983</v>
      </c>
      <c r="D341" s="81" t="s">
        <v>6901</v>
      </c>
      <c r="E341" s="81" t="s">
        <v>6681</v>
      </c>
      <c r="F341" s="81" t="s">
        <v>224</v>
      </c>
      <c r="G341" s="81" t="s">
        <v>224</v>
      </c>
      <c r="H341" s="81" t="s">
        <v>224</v>
      </c>
      <c r="I341" s="81" t="s">
        <v>224</v>
      </c>
      <c r="J341" s="81" t="s">
        <v>6993</v>
      </c>
    </row>
    <row r="342">
      <c r="A342" s="83" t="s">
        <v>7003</v>
      </c>
      <c r="B342" s="83" t="s">
        <v>7004</v>
      </c>
      <c r="C342" s="81" t="s">
        <v>6983</v>
      </c>
      <c r="D342" s="81" t="s">
        <v>6901</v>
      </c>
      <c r="E342" s="81" t="s">
        <v>6682</v>
      </c>
      <c r="F342" s="81" t="s">
        <v>224</v>
      </c>
      <c r="G342" s="81" t="s">
        <v>224</v>
      </c>
      <c r="H342" s="81" t="s">
        <v>224</v>
      </c>
      <c r="I342" s="81" t="s">
        <v>224</v>
      </c>
      <c r="J342" s="81" t="s">
        <v>6993</v>
      </c>
    </row>
    <row r="343">
      <c r="A343" s="83" t="s">
        <v>7003</v>
      </c>
      <c r="B343" s="83" t="s">
        <v>7004</v>
      </c>
      <c r="C343" s="81" t="s">
        <v>6983</v>
      </c>
      <c r="D343" s="81" t="s">
        <v>6901</v>
      </c>
      <c r="E343" s="81" t="s">
        <v>6683</v>
      </c>
      <c r="F343" s="81" t="s">
        <v>224</v>
      </c>
      <c r="G343" s="81" t="s">
        <v>224</v>
      </c>
      <c r="H343" s="81" t="s">
        <v>224</v>
      </c>
      <c r="I343" s="81" t="s">
        <v>224</v>
      </c>
      <c r="J343" s="81" t="s">
        <v>6993</v>
      </c>
    </row>
    <row r="344">
      <c r="A344" s="83" t="s">
        <v>7003</v>
      </c>
      <c r="B344" s="83" t="s">
        <v>7004</v>
      </c>
      <c r="C344" s="81" t="s">
        <v>6983</v>
      </c>
      <c r="D344" s="81" t="s">
        <v>6901</v>
      </c>
      <c r="E344" s="81" t="s">
        <v>6684</v>
      </c>
      <c r="F344" s="81" t="s">
        <v>224</v>
      </c>
      <c r="G344" s="81" t="s">
        <v>224</v>
      </c>
      <c r="H344" s="81" t="s">
        <v>224</v>
      </c>
      <c r="I344" s="81" t="s">
        <v>224</v>
      </c>
      <c r="J344" s="81" t="s">
        <v>6993</v>
      </c>
    </row>
    <row r="345">
      <c r="A345" s="83" t="s">
        <v>7003</v>
      </c>
      <c r="B345" s="83" t="s">
        <v>7004</v>
      </c>
      <c r="C345" s="81" t="s">
        <v>6983</v>
      </c>
      <c r="D345" s="81" t="s">
        <v>6901</v>
      </c>
      <c r="E345" s="81" t="s">
        <v>6685</v>
      </c>
      <c r="F345" s="81" t="s">
        <v>224</v>
      </c>
      <c r="G345" s="81" t="s">
        <v>224</v>
      </c>
      <c r="H345" s="81" t="s">
        <v>224</v>
      </c>
      <c r="I345" s="81" t="s">
        <v>224</v>
      </c>
      <c r="J345" s="81" t="s">
        <v>6993</v>
      </c>
    </row>
    <row r="346">
      <c r="A346" s="83" t="s">
        <v>7003</v>
      </c>
      <c r="B346" s="83" t="s">
        <v>7004</v>
      </c>
      <c r="C346" s="81" t="s">
        <v>6983</v>
      </c>
      <c r="D346" s="81" t="s">
        <v>6901</v>
      </c>
      <c r="E346" s="81" t="s">
        <v>6686</v>
      </c>
      <c r="F346" s="81" t="s">
        <v>224</v>
      </c>
      <c r="G346" s="81" t="s">
        <v>224</v>
      </c>
      <c r="H346" s="81" t="s">
        <v>224</v>
      </c>
      <c r="I346" s="81" t="s">
        <v>224</v>
      </c>
      <c r="J346" s="81" t="s">
        <v>6993</v>
      </c>
    </row>
    <row r="347">
      <c r="A347" s="83" t="s">
        <v>7003</v>
      </c>
      <c r="B347" s="83" t="s">
        <v>7004</v>
      </c>
      <c r="C347" s="81" t="s">
        <v>6983</v>
      </c>
      <c r="D347" s="81" t="s">
        <v>6901</v>
      </c>
      <c r="E347" s="81" t="s">
        <v>6687</v>
      </c>
      <c r="F347" s="81" t="s">
        <v>224</v>
      </c>
      <c r="G347" s="81" t="s">
        <v>224</v>
      </c>
      <c r="H347" s="81" t="s">
        <v>224</v>
      </c>
      <c r="I347" s="81" t="s">
        <v>224</v>
      </c>
      <c r="J347" s="81" t="s">
        <v>6993</v>
      </c>
    </row>
    <row r="348">
      <c r="A348" s="83" t="s">
        <v>7003</v>
      </c>
      <c r="B348" s="83" t="s">
        <v>7004</v>
      </c>
      <c r="C348" s="81" t="s">
        <v>6983</v>
      </c>
      <c r="D348" s="81" t="s">
        <v>6901</v>
      </c>
      <c r="E348" s="81" t="s">
        <v>6688</v>
      </c>
      <c r="F348" s="81" t="s">
        <v>224</v>
      </c>
      <c r="G348" s="81" t="s">
        <v>224</v>
      </c>
      <c r="H348" s="81" t="s">
        <v>224</v>
      </c>
      <c r="I348" s="81" t="s">
        <v>224</v>
      </c>
      <c r="J348" s="81" t="s">
        <v>6993</v>
      </c>
    </row>
    <row r="349">
      <c r="A349" s="83" t="s">
        <v>7003</v>
      </c>
      <c r="B349" s="83" t="s">
        <v>7004</v>
      </c>
      <c r="C349" s="81" t="s">
        <v>6983</v>
      </c>
      <c r="D349" s="81" t="s">
        <v>6901</v>
      </c>
      <c r="E349" s="81" t="s">
        <v>6689</v>
      </c>
      <c r="F349" s="81" t="s">
        <v>224</v>
      </c>
      <c r="G349" s="81" t="s">
        <v>224</v>
      </c>
      <c r="H349" s="81" t="s">
        <v>224</v>
      </c>
      <c r="I349" s="81" t="s">
        <v>224</v>
      </c>
      <c r="J349" s="81" t="s">
        <v>6993</v>
      </c>
    </row>
    <row r="350">
      <c r="A350" s="83" t="s">
        <v>7003</v>
      </c>
      <c r="B350" s="83" t="s">
        <v>7004</v>
      </c>
      <c r="C350" s="81" t="s">
        <v>6983</v>
      </c>
      <c r="D350" s="81" t="s">
        <v>6901</v>
      </c>
      <c r="E350" s="81" t="s">
        <v>6690</v>
      </c>
      <c r="F350" s="81" t="s">
        <v>224</v>
      </c>
      <c r="G350" s="81" t="s">
        <v>224</v>
      </c>
      <c r="H350" s="81" t="s">
        <v>224</v>
      </c>
      <c r="I350" s="81" t="s">
        <v>224</v>
      </c>
      <c r="J350" s="81" t="s">
        <v>6993</v>
      </c>
    </row>
    <row r="351">
      <c r="A351" s="83" t="s">
        <v>7003</v>
      </c>
      <c r="B351" s="83" t="s">
        <v>7004</v>
      </c>
      <c r="C351" s="81" t="s">
        <v>6983</v>
      </c>
      <c r="D351" s="81" t="s">
        <v>6901</v>
      </c>
      <c r="E351" s="81" t="s">
        <v>6691</v>
      </c>
      <c r="F351" s="81" t="s">
        <v>224</v>
      </c>
      <c r="G351" s="81" t="s">
        <v>224</v>
      </c>
      <c r="H351" s="81" t="s">
        <v>224</v>
      </c>
      <c r="I351" s="81" t="s">
        <v>224</v>
      </c>
      <c r="J351" s="81" t="s">
        <v>6993</v>
      </c>
    </row>
    <row r="352">
      <c r="A352" s="83" t="s">
        <v>7003</v>
      </c>
      <c r="B352" s="83" t="s">
        <v>7004</v>
      </c>
      <c r="C352" s="81" t="s">
        <v>6983</v>
      </c>
      <c r="D352" s="81" t="s">
        <v>6901</v>
      </c>
      <c r="E352" s="81" t="s">
        <v>6692</v>
      </c>
      <c r="F352" s="81" t="s">
        <v>224</v>
      </c>
      <c r="G352" s="81" t="s">
        <v>224</v>
      </c>
      <c r="H352" s="81" t="s">
        <v>224</v>
      </c>
      <c r="I352" s="81" t="s">
        <v>224</v>
      </c>
      <c r="J352" s="81" t="s">
        <v>6993</v>
      </c>
    </row>
    <row r="353">
      <c r="A353" s="83" t="s">
        <v>7003</v>
      </c>
      <c r="B353" s="83" t="s">
        <v>7004</v>
      </c>
      <c r="C353" s="81" t="s">
        <v>6983</v>
      </c>
      <c r="D353" s="81" t="s">
        <v>6901</v>
      </c>
      <c r="E353" s="81" t="s">
        <v>6702</v>
      </c>
      <c r="F353" s="81" t="s">
        <v>224</v>
      </c>
      <c r="G353" s="81" t="s">
        <v>224</v>
      </c>
      <c r="H353" s="81" t="s">
        <v>224</v>
      </c>
      <c r="I353" s="81" t="s">
        <v>224</v>
      </c>
      <c r="J353" s="81" t="s">
        <v>6993</v>
      </c>
    </row>
    <row r="354">
      <c r="A354" s="83" t="s">
        <v>7003</v>
      </c>
      <c r="B354" s="83" t="s">
        <v>7004</v>
      </c>
      <c r="C354" s="81" t="s">
        <v>6983</v>
      </c>
      <c r="D354" s="81" t="s">
        <v>6901</v>
      </c>
      <c r="E354" s="81" t="s">
        <v>6703</v>
      </c>
      <c r="F354" s="81" t="s">
        <v>224</v>
      </c>
      <c r="G354" s="81" t="s">
        <v>224</v>
      </c>
      <c r="H354" s="81" t="s">
        <v>224</v>
      </c>
      <c r="I354" s="81" t="s">
        <v>224</v>
      </c>
      <c r="J354" s="81" t="s">
        <v>6993</v>
      </c>
    </row>
    <row r="355">
      <c r="A355" s="83" t="s">
        <v>7003</v>
      </c>
      <c r="B355" s="83" t="s">
        <v>7004</v>
      </c>
      <c r="C355" s="81" t="s">
        <v>6983</v>
      </c>
      <c r="D355" s="81" t="s">
        <v>6901</v>
      </c>
      <c r="E355" s="81" t="s">
        <v>6704</v>
      </c>
      <c r="F355" s="81" t="s">
        <v>224</v>
      </c>
      <c r="G355" s="81" t="s">
        <v>224</v>
      </c>
      <c r="H355" s="81" t="s">
        <v>224</v>
      </c>
      <c r="I355" s="81" t="s">
        <v>224</v>
      </c>
      <c r="J355" s="81" t="s">
        <v>6993</v>
      </c>
    </row>
    <row r="356">
      <c r="A356" s="83" t="s">
        <v>7003</v>
      </c>
      <c r="B356" s="83" t="s">
        <v>7004</v>
      </c>
      <c r="C356" s="81" t="s">
        <v>6983</v>
      </c>
      <c r="D356" s="81" t="s">
        <v>6901</v>
      </c>
      <c r="E356" s="81" t="s">
        <v>6705</v>
      </c>
      <c r="F356" s="81" t="s">
        <v>224</v>
      </c>
      <c r="G356" s="81" t="s">
        <v>224</v>
      </c>
      <c r="H356" s="81" t="s">
        <v>224</v>
      </c>
      <c r="I356" s="81" t="s">
        <v>224</v>
      </c>
      <c r="J356" s="81" t="s">
        <v>6993</v>
      </c>
    </row>
    <row r="357">
      <c r="A357" s="83" t="s">
        <v>7003</v>
      </c>
      <c r="B357" s="83" t="s">
        <v>7004</v>
      </c>
      <c r="C357" s="81" t="s">
        <v>6983</v>
      </c>
      <c r="D357" s="81" t="s">
        <v>6901</v>
      </c>
      <c r="E357" s="81" t="s">
        <v>6706</v>
      </c>
      <c r="F357" s="81" t="s">
        <v>224</v>
      </c>
      <c r="G357" s="81" t="s">
        <v>224</v>
      </c>
      <c r="H357" s="81" t="s">
        <v>224</v>
      </c>
      <c r="I357" s="81" t="s">
        <v>224</v>
      </c>
      <c r="J357" s="81" t="s">
        <v>6993</v>
      </c>
    </row>
    <row r="358">
      <c r="A358" s="83" t="s">
        <v>7003</v>
      </c>
      <c r="B358" s="83" t="s">
        <v>7004</v>
      </c>
      <c r="C358" s="81" t="s">
        <v>6983</v>
      </c>
      <c r="D358" s="81" t="s">
        <v>6901</v>
      </c>
      <c r="E358" s="81" t="s">
        <v>6707</v>
      </c>
      <c r="F358" s="81" t="s">
        <v>224</v>
      </c>
      <c r="G358" s="81" t="s">
        <v>224</v>
      </c>
      <c r="H358" s="81" t="s">
        <v>224</v>
      </c>
      <c r="I358" s="81" t="s">
        <v>224</v>
      </c>
      <c r="J358" s="81" t="s">
        <v>6993</v>
      </c>
    </row>
    <row r="359">
      <c r="A359" s="83" t="s">
        <v>7003</v>
      </c>
      <c r="B359" s="83" t="s">
        <v>7004</v>
      </c>
      <c r="C359" s="81" t="s">
        <v>6983</v>
      </c>
      <c r="D359" s="81" t="s">
        <v>6901</v>
      </c>
      <c r="E359" s="81" t="s">
        <v>6708</v>
      </c>
      <c r="F359" s="81" t="s">
        <v>224</v>
      </c>
      <c r="G359" s="81" t="s">
        <v>224</v>
      </c>
      <c r="H359" s="81" t="s">
        <v>224</v>
      </c>
      <c r="I359" s="81" t="s">
        <v>224</v>
      </c>
      <c r="J359" s="81" t="s">
        <v>6993</v>
      </c>
    </row>
    <row r="360">
      <c r="A360" s="83" t="s">
        <v>7003</v>
      </c>
      <c r="B360" s="83" t="s">
        <v>7004</v>
      </c>
      <c r="C360" s="81" t="s">
        <v>6983</v>
      </c>
      <c r="D360" s="81" t="s">
        <v>6901</v>
      </c>
      <c r="E360" s="81" t="s">
        <v>6709</v>
      </c>
      <c r="F360" s="81" t="s">
        <v>224</v>
      </c>
      <c r="G360" s="81" t="s">
        <v>224</v>
      </c>
      <c r="H360" s="81" t="s">
        <v>224</v>
      </c>
      <c r="I360" s="81" t="s">
        <v>224</v>
      </c>
      <c r="J360" s="81" t="s">
        <v>6993</v>
      </c>
    </row>
    <row r="361">
      <c r="A361" s="83" t="s">
        <v>7003</v>
      </c>
      <c r="B361" s="83" t="s">
        <v>7004</v>
      </c>
      <c r="C361" s="81" t="s">
        <v>6983</v>
      </c>
      <c r="D361" s="81" t="s">
        <v>6901</v>
      </c>
      <c r="E361" s="81" t="s">
        <v>6710</v>
      </c>
      <c r="F361" s="81" t="s">
        <v>224</v>
      </c>
      <c r="G361" s="81" t="s">
        <v>224</v>
      </c>
      <c r="H361" s="81" t="s">
        <v>224</v>
      </c>
      <c r="I361" s="81" t="s">
        <v>224</v>
      </c>
      <c r="J361" s="81" t="s">
        <v>6993</v>
      </c>
    </row>
    <row r="362">
      <c r="A362" s="83" t="s">
        <v>7003</v>
      </c>
      <c r="B362" s="83" t="s">
        <v>7004</v>
      </c>
      <c r="C362" s="81" t="s">
        <v>6983</v>
      </c>
      <c r="D362" s="81" t="s">
        <v>6901</v>
      </c>
      <c r="E362" s="81" t="s">
        <v>6711</v>
      </c>
      <c r="F362" s="81" t="s">
        <v>224</v>
      </c>
      <c r="G362" s="81" t="s">
        <v>224</v>
      </c>
      <c r="H362" s="81" t="s">
        <v>224</v>
      </c>
      <c r="I362" s="81" t="s">
        <v>224</v>
      </c>
      <c r="J362" s="81" t="s">
        <v>6993</v>
      </c>
    </row>
    <row r="363">
      <c r="A363" s="83" t="s">
        <v>7003</v>
      </c>
      <c r="B363" s="83" t="s">
        <v>7004</v>
      </c>
      <c r="C363" s="81" t="s">
        <v>6983</v>
      </c>
      <c r="D363" s="81" t="s">
        <v>6901</v>
      </c>
      <c r="E363" s="81" t="s">
        <v>6712</v>
      </c>
      <c r="F363" s="81" t="s">
        <v>224</v>
      </c>
      <c r="G363" s="81" t="s">
        <v>224</v>
      </c>
      <c r="H363" s="81" t="s">
        <v>224</v>
      </c>
      <c r="I363" s="81" t="s">
        <v>224</v>
      </c>
      <c r="J363" s="81" t="s">
        <v>6993</v>
      </c>
    </row>
    <row r="364">
      <c r="A364" s="83" t="s">
        <v>7003</v>
      </c>
      <c r="B364" s="83" t="s">
        <v>7004</v>
      </c>
      <c r="C364" s="81" t="s">
        <v>4082</v>
      </c>
      <c r="D364" s="81" t="s">
        <v>6901</v>
      </c>
      <c r="E364" s="81" t="s">
        <v>4035</v>
      </c>
      <c r="F364" s="83" t="s">
        <v>4869</v>
      </c>
      <c r="G364" s="81" t="s">
        <v>6918</v>
      </c>
      <c r="H364" s="81" t="s">
        <v>224</v>
      </c>
      <c r="I364" s="81" t="s">
        <v>224</v>
      </c>
      <c r="J364" s="81" t="s">
        <v>6994</v>
      </c>
    </row>
    <row r="365">
      <c r="A365" s="83" t="s">
        <v>7003</v>
      </c>
      <c r="B365" s="83" t="s">
        <v>7004</v>
      </c>
      <c r="C365" s="81" t="s">
        <v>4082</v>
      </c>
      <c r="D365" s="81" t="s">
        <v>6901</v>
      </c>
      <c r="E365" s="81" t="s">
        <v>3891</v>
      </c>
      <c r="F365" s="81" t="s">
        <v>6878</v>
      </c>
      <c r="G365" s="81" t="s">
        <v>6879</v>
      </c>
      <c r="H365" s="81" t="s">
        <v>224</v>
      </c>
      <c r="I365" s="81" t="s">
        <v>224</v>
      </c>
      <c r="J365" s="81" t="s">
        <v>6995</v>
      </c>
    </row>
    <row r="366">
      <c r="A366" s="83" t="s">
        <v>7003</v>
      </c>
      <c r="B366" s="83" t="s">
        <v>7004</v>
      </c>
      <c r="C366" s="81" t="s">
        <v>4082</v>
      </c>
      <c r="D366" s="81" t="s">
        <v>6901</v>
      </c>
      <c r="E366" s="81" t="s">
        <v>2558</v>
      </c>
      <c r="F366" s="81" t="s">
        <v>6921</v>
      </c>
      <c r="G366" s="81" t="s">
        <v>6922</v>
      </c>
      <c r="H366" s="81" t="s">
        <v>224</v>
      </c>
      <c r="I366" s="81" t="s">
        <v>224</v>
      </c>
      <c r="J366" s="81" t="s">
        <v>6996</v>
      </c>
    </row>
    <row r="367">
      <c r="A367" s="83" t="s">
        <v>7003</v>
      </c>
      <c r="B367" s="83" t="s">
        <v>7004</v>
      </c>
      <c r="C367" s="81" t="s">
        <v>6983</v>
      </c>
      <c r="D367" s="81" t="s">
        <v>6901</v>
      </c>
      <c r="E367" s="81" t="s">
        <v>6713</v>
      </c>
      <c r="F367" s="81" t="s">
        <v>224</v>
      </c>
      <c r="G367" s="81" t="s">
        <v>224</v>
      </c>
      <c r="H367" s="81" t="s">
        <v>224</v>
      </c>
      <c r="I367" s="81" t="s">
        <v>224</v>
      </c>
      <c r="J367" s="81" t="s">
        <v>6993</v>
      </c>
    </row>
    <row r="368">
      <c r="A368" s="83" t="s">
        <v>7003</v>
      </c>
      <c r="B368" s="83" t="s">
        <v>7004</v>
      </c>
      <c r="C368" s="81" t="s">
        <v>4082</v>
      </c>
      <c r="D368" s="81" t="s">
        <v>6901</v>
      </c>
      <c r="E368" s="81" t="s">
        <v>1785</v>
      </c>
      <c r="F368" s="81" t="s">
        <v>6929</v>
      </c>
      <c r="G368" s="81" t="s">
        <v>6930</v>
      </c>
      <c r="H368" s="81" t="s">
        <v>224</v>
      </c>
      <c r="I368" s="81" t="s">
        <v>224</v>
      </c>
      <c r="J368" s="81" t="s">
        <v>6997</v>
      </c>
    </row>
    <row r="369">
      <c r="A369" s="83" t="s">
        <v>7003</v>
      </c>
      <c r="B369" s="83" t="s">
        <v>7004</v>
      </c>
      <c r="C369" s="81" t="s">
        <v>6983</v>
      </c>
      <c r="D369" s="81" t="s">
        <v>6901</v>
      </c>
      <c r="E369" s="81" t="s">
        <v>1197</v>
      </c>
      <c r="F369" s="81" t="s">
        <v>6998</v>
      </c>
      <c r="G369" s="81" t="s">
        <v>6999</v>
      </c>
      <c r="H369" s="81" t="s">
        <v>224</v>
      </c>
      <c r="I369" s="81" t="s">
        <v>224</v>
      </c>
      <c r="J369" s="81" t="s">
        <v>7000</v>
      </c>
    </row>
    <row r="370">
      <c r="A370" s="83" t="s">
        <v>7003</v>
      </c>
      <c r="B370" s="83" t="s">
        <v>7004</v>
      </c>
      <c r="C370" s="81" t="s">
        <v>6983</v>
      </c>
      <c r="D370" s="81" t="s">
        <v>6901</v>
      </c>
      <c r="E370" s="81" t="s">
        <v>6362</v>
      </c>
      <c r="F370" s="81" t="s">
        <v>224</v>
      </c>
      <c r="G370" s="81" t="s">
        <v>224</v>
      </c>
      <c r="H370" s="81" t="s">
        <v>224</v>
      </c>
      <c r="I370" s="81" t="s">
        <v>224</v>
      </c>
      <c r="J370" s="81" t="s">
        <v>6993</v>
      </c>
    </row>
    <row r="371">
      <c r="A371" s="83" t="s">
        <v>7003</v>
      </c>
      <c r="B371" s="83" t="s">
        <v>7004</v>
      </c>
      <c r="C371" s="81" t="s">
        <v>6983</v>
      </c>
      <c r="D371" s="81" t="s">
        <v>6901</v>
      </c>
      <c r="E371" s="81" t="s">
        <v>1321</v>
      </c>
      <c r="F371" s="81" t="s">
        <v>7001</v>
      </c>
      <c r="G371" s="81" t="s">
        <v>7002</v>
      </c>
      <c r="H371" s="81" t="s">
        <v>224</v>
      </c>
      <c r="I371" s="81" t="s">
        <v>224</v>
      </c>
      <c r="J371" s="81" t="s">
        <v>7000</v>
      </c>
    </row>
    <row r="372">
      <c r="A372" s="83" t="s">
        <v>7012</v>
      </c>
      <c r="B372" s="83" t="s">
        <v>7013</v>
      </c>
      <c r="C372" s="81" t="s">
        <v>4080</v>
      </c>
      <c r="D372" s="81" t="s">
        <v>224</v>
      </c>
      <c r="E372" s="81" t="s">
        <v>224</v>
      </c>
      <c r="F372" s="81" t="s">
        <v>224</v>
      </c>
      <c r="G372" s="81" t="s">
        <v>224</v>
      </c>
      <c r="H372" s="81" t="s">
        <v>224</v>
      </c>
      <c r="I372" s="81" t="s">
        <v>224</v>
      </c>
      <c r="J372" s="81" t="s">
        <v>7014</v>
      </c>
    </row>
    <row r="373">
      <c r="A373" s="83" t="s">
        <v>7012</v>
      </c>
      <c r="B373" s="83" t="s">
        <v>7013</v>
      </c>
      <c r="C373" s="81" t="s">
        <v>6983</v>
      </c>
      <c r="D373" s="81" t="s">
        <v>6842</v>
      </c>
      <c r="E373" s="81" t="s">
        <v>6781</v>
      </c>
      <c r="F373" s="81" t="s">
        <v>224</v>
      </c>
      <c r="G373" s="81" t="s">
        <v>224</v>
      </c>
      <c r="H373" s="81" t="s">
        <v>224</v>
      </c>
      <c r="I373" s="81" t="s">
        <v>224</v>
      </c>
      <c r="J373" s="81" t="s">
        <v>6984</v>
      </c>
    </row>
    <row r="374">
      <c r="A374" s="83" t="s">
        <v>7012</v>
      </c>
      <c r="B374" s="83" t="s">
        <v>7013</v>
      </c>
      <c r="C374" s="81" t="s">
        <v>6983</v>
      </c>
      <c r="D374" s="81" t="s">
        <v>6842</v>
      </c>
      <c r="E374" s="81" t="s">
        <v>6782</v>
      </c>
      <c r="F374" s="81" t="s">
        <v>224</v>
      </c>
      <c r="G374" s="81" t="s">
        <v>224</v>
      </c>
      <c r="H374" s="81" t="s">
        <v>224</v>
      </c>
      <c r="I374" s="81" t="s">
        <v>224</v>
      </c>
      <c r="J374" s="81" t="s">
        <v>6984</v>
      </c>
    </row>
    <row r="375">
      <c r="A375" s="83" t="s">
        <v>7012</v>
      </c>
      <c r="B375" s="83" t="s">
        <v>7013</v>
      </c>
      <c r="C375" s="81" t="s">
        <v>6983</v>
      </c>
      <c r="D375" s="81" t="s">
        <v>6842</v>
      </c>
      <c r="E375" s="81" t="s">
        <v>6733</v>
      </c>
      <c r="F375" s="81" t="s">
        <v>224</v>
      </c>
      <c r="G375" s="81" t="s">
        <v>224</v>
      </c>
      <c r="H375" s="81" t="s">
        <v>224</v>
      </c>
      <c r="I375" s="81" t="s">
        <v>224</v>
      </c>
      <c r="J375" s="81" t="s">
        <v>6984</v>
      </c>
    </row>
    <row r="376">
      <c r="A376" s="83" t="s">
        <v>7012</v>
      </c>
      <c r="B376" s="83" t="s">
        <v>7013</v>
      </c>
      <c r="C376" s="81" t="s">
        <v>6983</v>
      </c>
      <c r="D376" s="81" t="s">
        <v>6842</v>
      </c>
      <c r="E376" s="81" t="s">
        <v>6735</v>
      </c>
      <c r="F376" s="81" t="s">
        <v>224</v>
      </c>
      <c r="G376" s="81" t="s">
        <v>224</v>
      </c>
      <c r="H376" s="81" t="s">
        <v>224</v>
      </c>
      <c r="I376" s="81" t="s">
        <v>224</v>
      </c>
      <c r="J376" s="81" t="s">
        <v>6984</v>
      </c>
    </row>
    <row r="377">
      <c r="A377" s="83" t="s">
        <v>7012</v>
      </c>
      <c r="B377" s="83" t="s">
        <v>7013</v>
      </c>
      <c r="C377" s="81" t="s">
        <v>6983</v>
      </c>
      <c r="D377" s="81" t="s">
        <v>6842</v>
      </c>
      <c r="E377" s="81" t="s">
        <v>6736</v>
      </c>
      <c r="F377" s="81" t="s">
        <v>224</v>
      </c>
      <c r="G377" s="81" t="s">
        <v>224</v>
      </c>
      <c r="H377" s="81" t="s">
        <v>224</v>
      </c>
      <c r="I377" s="81" t="s">
        <v>224</v>
      </c>
      <c r="J377" s="81" t="s">
        <v>6984</v>
      </c>
    </row>
    <row r="378">
      <c r="A378" s="83" t="s">
        <v>7012</v>
      </c>
      <c r="B378" s="83" t="s">
        <v>7013</v>
      </c>
      <c r="C378" s="81" t="s">
        <v>6983</v>
      </c>
      <c r="D378" s="81" t="s">
        <v>6842</v>
      </c>
      <c r="E378" s="81" t="s">
        <v>6737</v>
      </c>
      <c r="F378" s="81" t="s">
        <v>224</v>
      </c>
      <c r="G378" s="81" t="s">
        <v>224</v>
      </c>
      <c r="H378" s="81" t="s">
        <v>224</v>
      </c>
      <c r="I378" s="81" t="s">
        <v>224</v>
      </c>
      <c r="J378" s="81" t="s">
        <v>6984</v>
      </c>
    </row>
    <row r="379">
      <c r="A379" s="83" t="s">
        <v>7012</v>
      </c>
      <c r="B379" s="83" t="s">
        <v>7013</v>
      </c>
      <c r="C379" s="81" t="s">
        <v>6983</v>
      </c>
      <c r="D379" s="81" t="s">
        <v>6842</v>
      </c>
      <c r="E379" s="81" t="s">
        <v>6738</v>
      </c>
      <c r="F379" s="81" t="s">
        <v>224</v>
      </c>
      <c r="G379" s="81" t="s">
        <v>224</v>
      </c>
      <c r="H379" s="81" t="s">
        <v>224</v>
      </c>
      <c r="I379" s="81" t="s">
        <v>224</v>
      </c>
      <c r="J379" s="81" t="s">
        <v>6984</v>
      </c>
    </row>
    <row r="380">
      <c r="A380" s="83" t="s">
        <v>7012</v>
      </c>
      <c r="B380" s="83" t="s">
        <v>7013</v>
      </c>
      <c r="C380" s="81" t="s">
        <v>6983</v>
      </c>
      <c r="D380" s="81" t="s">
        <v>6842</v>
      </c>
      <c r="E380" s="81" t="s">
        <v>6739</v>
      </c>
      <c r="F380" s="81" t="s">
        <v>224</v>
      </c>
      <c r="G380" s="81" t="s">
        <v>224</v>
      </c>
      <c r="H380" s="81" t="s">
        <v>224</v>
      </c>
      <c r="I380" s="81" t="s">
        <v>224</v>
      </c>
      <c r="J380" s="81" t="s">
        <v>6984</v>
      </c>
    </row>
    <row r="381">
      <c r="A381" s="83" t="s">
        <v>7012</v>
      </c>
      <c r="B381" s="83" t="s">
        <v>7013</v>
      </c>
      <c r="C381" s="81" t="s">
        <v>6983</v>
      </c>
      <c r="D381" s="81" t="s">
        <v>6842</v>
      </c>
      <c r="E381" s="81" t="s">
        <v>6740</v>
      </c>
      <c r="F381" s="81" t="s">
        <v>224</v>
      </c>
      <c r="G381" s="81" t="s">
        <v>224</v>
      </c>
      <c r="H381" s="81" t="s">
        <v>224</v>
      </c>
      <c r="I381" s="81" t="s">
        <v>224</v>
      </c>
      <c r="J381" s="81" t="s">
        <v>6984</v>
      </c>
    </row>
    <row r="382">
      <c r="A382" s="83" t="s">
        <v>7012</v>
      </c>
      <c r="B382" s="83" t="s">
        <v>7013</v>
      </c>
      <c r="C382" s="81" t="s">
        <v>6983</v>
      </c>
      <c r="D382" s="81" t="s">
        <v>6842</v>
      </c>
      <c r="E382" s="81" t="s">
        <v>6741</v>
      </c>
      <c r="F382" s="81" t="s">
        <v>224</v>
      </c>
      <c r="G382" s="81" t="s">
        <v>224</v>
      </c>
      <c r="H382" s="81" t="s">
        <v>224</v>
      </c>
      <c r="I382" s="81" t="s">
        <v>224</v>
      </c>
      <c r="J382" s="81" t="s">
        <v>6984</v>
      </c>
    </row>
    <row r="383">
      <c r="A383" s="83" t="s">
        <v>7012</v>
      </c>
      <c r="B383" s="83" t="s">
        <v>7013</v>
      </c>
      <c r="C383" s="81" t="s">
        <v>6983</v>
      </c>
      <c r="D383" s="81" t="s">
        <v>6842</v>
      </c>
      <c r="E383" s="81" t="s">
        <v>6742</v>
      </c>
      <c r="F383" s="81" t="s">
        <v>224</v>
      </c>
      <c r="G383" s="81" t="s">
        <v>224</v>
      </c>
      <c r="H383" s="81" t="s">
        <v>224</v>
      </c>
      <c r="I383" s="81" t="s">
        <v>224</v>
      </c>
      <c r="J383" s="81" t="s">
        <v>6984</v>
      </c>
    </row>
    <row r="384">
      <c r="A384" s="83" t="s">
        <v>7012</v>
      </c>
      <c r="B384" s="83" t="s">
        <v>7013</v>
      </c>
      <c r="C384" s="81" t="s">
        <v>6983</v>
      </c>
      <c r="D384" s="81" t="s">
        <v>6842</v>
      </c>
      <c r="E384" s="81" t="s">
        <v>6743</v>
      </c>
      <c r="F384" s="81" t="s">
        <v>224</v>
      </c>
      <c r="G384" s="81" t="s">
        <v>224</v>
      </c>
      <c r="H384" s="81" t="s">
        <v>224</v>
      </c>
      <c r="I384" s="81" t="s">
        <v>224</v>
      </c>
      <c r="J384" s="81" t="s">
        <v>6984</v>
      </c>
    </row>
    <row r="385">
      <c r="A385" s="83" t="s">
        <v>7012</v>
      </c>
      <c r="B385" s="83" t="s">
        <v>7013</v>
      </c>
      <c r="C385" s="81" t="s">
        <v>6983</v>
      </c>
      <c r="D385" s="81" t="s">
        <v>6842</v>
      </c>
      <c r="E385" s="81" t="s">
        <v>6744</v>
      </c>
      <c r="F385" s="81" t="s">
        <v>224</v>
      </c>
      <c r="G385" s="81" t="s">
        <v>224</v>
      </c>
      <c r="H385" s="81" t="s">
        <v>224</v>
      </c>
      <c r="I385" s="81" t="s">
        <v>224</v>
      </c>
      <c r="J385" s="81" t="s">
        <v>6984</v>
      </c>
    </row>
    <row r="386">
      <c r="A386" s="83" t="s">
        <v>7012</v>
      </c>
      <c r="B386" s="83" t="s">
        <v>7013</v>
      </c>
      <c r="C386" s="81" t="s">
        <v>6983</v>
      </c>
      <c r="D386" s="81" t="s">
        <v>6842</v>
      </c>
      <c r="E386" s="81" t="s">
        <v>6745</v>
      </c>
      <c r="F386" s="81" t="s">
        <v>224</v>
      </c>
      <c r="G386" s="81" t="s">
        <v>224</v>
      </c>
      <c r="H386" s="81" t="s">
        <v>224</v>
      </c>
      <c r="I386" s="81" t="s">
        <v>224</v>
      </c>
      <c r="J386" s="81" t="s">
        <v>6984</v>
      </c>
    </row>
    <row r="387">
      <c r="A387" s="83" t="s">
        <v>7012</v>
      </c>
      <c r="B387" s="83" t="s">
        <v>7013</v>
      </c>
      <c r="C387" s="81" t="s">
        <v>6983</v>
      </c>
      <c r="D387" s="81" t="s">
        <v>6842</v>
      </c>
      <c r="E387" s="81" t="s">
        <v>6746</v>
      </c>
      <c r="F387" s="81" t="s">
        <v>224</v>
      </c>
      <c r="G387" s="81" t="s">
        <v>224</v>
      </c>
      <c r="H387" s="81" t="s">
        <v>224</v>
      </c>
      <c r="I387" s="81" t="s">
        <v>224</v>
      </c>
      <c r="J387" s="81" t="s">
        <v>6984</v>
      </c>
    </row>
    <row r="388">
      <c r="A388" s="83" t="s">
        <v>7012</v>
      </c>
      <c r="B388" s="83" t="s">
        <v>7013</v>
      </c>
      <c r="C388" s="81" t="s">
        <v>6983</v>
      </c>
      <c r="D388" s="81" t="s">
        <v>6842</v>
      </c>
      <c r="E388" s="81" t="s">
        <v>6985</v>
      </c>
      <c r="F388" s="81" t="s">
        <v>224</v>
      </c>
      <c r="G388" s="81" t="s">
        <v>224</v>
      </c>
      <c r="H388" s="81" t="s">
        <v>224</v>
      </c>
      <c r="I388" s="81" t="s">
        <v>224</v>
      </c>
      <c r="J388" s="81" t="s">
        <v>6984</v>
      </c>
    </row>
    <row r="389">
      <c r="A389" s="83" t="s">
        <v>7012</v>
      </c>
      <c r="B389" s="83" t="s">
        <v>7013</v>
      </c>
      <c r="C389" s="81" t="s">
        <v>6983</v>
      </c>
      <c r="D389" s="81" t="s">
        <v>6842</v>
      </c>
      <c r="E389" s="81" t="s">
        <v>6986</v>
      </c>
      <c r="F389" s="81" t="s">
        <v>224</v>
      </c>
      <c r="G389" s="81" t="s">
        <v>224</v>
      </c>
      <c r="H389" s="81" t="s">
        <v>224</v>
      </c>
      <c r="I389" s="81" t="s">
        <v>224</v>
      </c>
      <c r="J389" s="81" t="s">
        <v>6984</v>
      </c>
    </row>
    <row r="390">
      <c r="A390" s="83" t="s">
        <v>7012</v>
      </c>
      <c r="B390" s="83" t="s">
        <v>7013</v>
      </c>
      <c r="C390" s="81" t="s">
        <v>6983</v>
      </c>
      <c r="D390" s="81" t="s">
        <v>6842</v>
      </c>
      <c r="E390" s="81" t="s">
        <v>6987</v>
      </c>
      <c r="F390" s="81" t="s">
        <v>224</v>
      </c>
      <c r="G390" s="81" t="s">
        <v>224</v>
      </c>
      <c r="H390" s="81" t="s">
        <v>224</v>
      </c>
      <c r="I390" s="81" t="s">
        <v>224</v>
      </c>
      <c r="J390" s="81" t="s">
        <v>6984</v>
      </c>
    </row>
    <row r="391">
      <c r="A391" s="83" t="s">
        <v>7012</v>
      </c>
      <c r="B391" s="83" t="s">
        <v>7013</v>
      </c>
      <c r="C391" s="81" t="s">
        <v>6983</v>
      </c>
      <c r="D391" s="81" t="s">
        <v>6842</v>
      </c>
      <c r="E391" s="81" t="s">
        <v>6988</v>
      </c>
      <c r="F391" s="81" t="s">
        <v>224</v>
      </c>
      <c r="G391" s="81" t="s">
        <v>224</v>
      </c>
      <c r="H391" s="81" t="s">
        <v>224</v>
      </c>
      <c r="I391" s="81" t="s">
        <v>224</v>
      </c>
      <c r="J391" s="81" t="s">
        <v>6984</v>
      </c>
    </row>
    <row r="392">
      <c r="A392" s="83" t="s">
        <v>7012</v>
      </c>
      <c r="B392" s="83" t="s">
        <v>7013</v>
      </c>
      <c r="C392" s="81" t="s">
        <v>6983</v>
      </c>
      <c r="D392" s="81" t="s">
        <v>6842</v>
      </c>
      <c r="E392" s="81" t="s">
        <v>6989</v>
      </c>
      <c r="F392" s="81" t="s">
        <v>224</v>
      </c>
      <c r="G392" s="81" t="s">
        <v>224</v>
      </c>
      <c r="H392" s="81" t="s">
        <v>224</v>
      </c>
      <c r="I392" s="81" t="s">
        <v>224</v>
      </c>
      <c r="J392" s="81" t="s">
        <v>6984</v>
      </c>
    </row>
    <row r="393">
      <c r="A393" s="83" t="s">
        <v>7012</v>
      </c>
      <c r="B393" s="83" t="s">
        <v>7013</v>
      </c>
      <c r="C393" s="81" t="s">
        <v>6983</v>
      </c>
      <c r="D393" s="81" t="s">
        <v>6842</v>
      </c>
      <c r="E393" s="81" t="s">
        <v>6990</v>
      </c>
      <c r="F393" s="81" t="s">
        <v>224</v>
      </c>
      <c r="G393" s="81" t="s">
        <v>224</v>
      </c>
      <c r="H393" s="81" t="s">
        <v>224</v>
      </c>
      <c r="I393" s="81" t="s">
        <v>224</v>
      </c>
      <c r="J393" s="81" t="s">
        <v>6984</v>
      </c>
    </row>
    <row r="394">
      <c r="A394" s="83" t="s">
        <v>7012</v>
      </c>
      <c r="B394" s="83" t="s">
        <v>7013</v>
      </c>
      <c r="C394" s="81" t="s">
        <v>6983</v>
      </c>
      <c r="D394" s="81" t="s">
        <v>6842</v>
      </c>
      <c r="E394" s="81" t="s">
        <v>6991</v>
      </c>
      <c r="F394" s="81" t="s">
        <v>224</v>
      </c>
      <c r="G394" s="81" t="s">
        <v>224</v>
      </c>
      <c r="H394" s="81" t="s">
        <v>224</v>
      </c>
      <c r="I394" s="81" t="s">
        <v>224</v>
      </c>
      <c r="J394" s="81" t="s">
        <v>6984</v>
      </c>
    </row>
    <row r="395">
      <c r="A395" s="83" t="s">
        <v>7012</v>
      </c>
      <c r="B395" s="83" t="s">
        <v>7013</v>
      </c>
      <c r="C395" s="81" t="s">
        <v>6983</v>
      </c>
      <c r="D395" s="81" t="s">
        <v>6842</v>
      </c>
      <c r="E395" s="81" t="s">
        <v>6992</v>
      </c>
      <c r="F395" s="81" t="s">
        <v>224</v>
      </c>
      <c r="G395" s="81" t="s">
        <v>224</v>
      </c>
      <c r="H395" s="81" t="s">
        <v>224</v>
      </c>
      <c r="I395" s="81" t="s">
        <v>224</v>
      </c>
      <c r="J395" s="81" t="s">
        <v>6984</v>
      </c>
    </row>
    <row r="396">
      <c r="A396" s="83" t="s">
        <v>7012</v>
      </c>
      <c r="B396" s="83" t="s">
        <v>7013</v>
      </c>
      <c r="C396" s="81" t="s">
        <v>6983</v>
      </c>
      <c r="D396" s="81" t="s">
        <v>6842</v>
      </c>
      <c r="E396" s="81" t="s">
        <v>5075</v>
      </c>
      <c r="F396" s="81" t="s">
        <v>224</v>
      </c>
      <c r="G396" s="81" t="s">
        <v>224</v>
      </c>
      <c r="H396" s="81" t="s">
        <v>224</v>
      </c>
      <c r="I396" s="81" t="s">
        <v>224</v>
      </c>
      <c r="J396" s="81" t="s">
        <v>6984</v>
      </c>
    </row>
    <row r="397">
      <c r="A397" s="83" t="s">
        <v>7012</v>
      </c>
      <c r="B397" s="83" t="s">
        <v>7013</v>
      </c>
      <c r="C397" s="81" t="s">
        <v>6983</v>
      </c>
      <c r="D397" s="81" t="s">
        <v>6842</v>
      </c>
      <c r="E397" s="81" t="s">
        <v>5073</v>
      </c>
      <c r="F397" s="81" t="s">
        <v>224</v>
      </c>
      <c r="G397" s="81" t="s">
        <v>224</v>
      </c>
      <c r="H397" s="81" t="s">
        <v>224</v>
      </c>
      <c r="I397" s="81" t="s">
        <v>224</v>
      </c>
      <c r="J397" s="81" t="s">
        <v>6984</v>
      </c>
    </row>
    <row r="398">
      <c r="A398" s="83" t="s">
        <v>7012</v>
      </c>
      <c r="B398" s="83" t="s">
        <v>7013</v>
      </c>
      <c r="C398" s="81" t="s">
        <v>6983</v>
      </c>
      <c r="D398" s="81" t="s">
        <v>6842</v>
      </c>
      <c r="E398" s="81" t="s">
        <v>5077</v>
      </c>
      <c r="F398" s="81" t="s">
        <v>224</v>
      </c>
      <c r="G398" s="81" t="s">
        <v>224</v>
      </c>
      <c r="H398" s="81" t="s">
        <v>224</v>
      </c>
      <c r="I398" s="81" t="s">
        <v>224</v>
      </c>
      <c r="J398" s="81" t="s">
        <v>6984</v>
      </c>
    </row>
    <row r="399">
      <c r="A399" s="83" t="s">
        <v>7012</v>
      </c>
      <c r="B399" s="83" t="s">
        <v>7013</v>
      </c>
      <c r="C399" s="81" t="s">
        <v>6983</v>
      </c>
      <c r="D399" s="81" t="s">
        <v>6901</v>
      </c>
      <c r="E399" s="81" t="s">
        <v>6652</v>
      </c>
      <c r="F399" s="81" t="s">
        <v>224</v>
      </c>
      <c r="G399" s="81" t="s">
        <v>224</v>
      </c>
      <c r="H399" s="81" t="s">
        <v>224</v>
      </c>
      <c r="I399" s="81" t="s">
        <v>224</v>
      </c>
      <c r="J399" s="81" t="s">
        <v>6993</v>
      </c>
    </row>
    <row r="400">
      <c r="A400" s="83" t="s">
        <v>7012</v>
      </c>
      <c r="B400" s="83" t="s">
        <v>7013</v>
      </c>
      <c r="C400" s="81" t="s">
        <v>6983</v>
      </c>
      <c r="D400" s="81" t="s">
        <v>6901</v>
      </c>
      <c r="E400" s="81" t="s">
        <v>6654</v>
      </c>
      <c r="F400" s="81" t="s">
        <v>224</v>
      </c>
      <c r="G400" s="81" t="s">
        <v>224</v>
      </c>
      <c r="H400" s="81" t="s">
        <v>224</v>
      </c>
      <c r="I400" s="81" t="s">
        <v>224</v>
      </c>
      <c r="J400" s="81" t="s">
        <v>6993</v>
      </c>
    </row>
    <row r="401">
      <c r="A401" s="83" t="s">
        <v>7012</v>
      </c>
      <c r="B401" s="83" t="s">
        <v>7013</v>
      </c>
      <c r="C401" s="81" t="s">
        <v>6983</v>
      </c>
      <c r="D401" s="81" t="s">
        <v>6901</v>
      </c>
      <c r="E401" s="81" t="s">
        <v>6655</v>
      </c>
      <c r="F401" s="81" t="s">
        <v>224</v>
      </c>
      <c r="G401" s="81" t="s">
        <v>224</v>
      </c>
      <c r="H401" s="81" t="s">
        <v>224</v>
      </c>
      <c r="I401" s="81" t="s">
        <v>224</v>
      </c>
      <c r="J401" s="81" t="s">
        <v>6993</v>
      </c>
    </row>
    <row r="402">
      <c r="A402" s="83" t="s">
        <v>7012</v>
      </c>
      <c r="B402" s="83" t="s">
        <v>7013</v>
      </c>
      <c r="C402" s="81" t="s">
        <v>6983</v>
      </c>
      <c r="D402" s="81" t="s">
        <v>6901</v>
      </c>
      <c r="E402" s="81" t="s">
        <v>6656</v>
      </c>
      <c r="F402" s="81" t="s">
        <v>224</v>
      </c>
      <c r="G402" s="81" t="s">
        <v>224</v>
      </c>
      <c r="H402" s="81" t="s">
        <v>224</v>
      </c>
      <c r="I402" s="81" t="s">
        <v>224</v>
      </c>
      <c r="J402" s="81" t="s">
        <v>6993</v>
      </c>
    </row>
    <row r="403">
      <c r="A403" s="83" t="s">
        <v>7012</v>
      </c>
      <c r="B403" s="83" t="s">
        <v>7013</v>
      </c>
      <c r="C403" s="81" t="s">
        <v>6983</v>
      </c>
      <c r="D403" s="81" t="s">
        <v>6901</v>
      </c>
      <c r="E403" s="81" t="s">
        <v>6657</v>
      </c>
      <c r="F403" s="81" t="s">
        <v>224</v>
      </c>
      <c r="G403" s="81" t="s">
        <v>224</v>
      </c>
      <c r="H403" s="81" t="s">
        <v>224</v>
      </c>
      <c r="I403" s="81" t="s">
        <v>224</v>
      </c>
      <c r="J403" s="81" t="s">
        <v>6993</v>
      </c>
    </row>
    <row r="404">
      <c r="A404" s="83" t="s">
        <v>7012</v>
      </c>
      <c r="B404" s="83" t="s">
        <v>7013</v>
      </c>
      <c r="C404" s="81" t="s">
        <v>6983</v>
      </c>
      <c r="D404" s="81" t="s">
        <v>6901</v>
      </c>
      <c r="E404" s="81" t="s">
        <v>6658</v>
      </c>
      <c r="F404" s="81" t="s">
        <v>224</v>
      </c>
      <c r="G404" s="81" t="s">
        <v>224</v>
      </c>
      <c r="H404" s="81" t="s">
        <v>224</v>
      </c>
      <c r="I404" s="81" t="s">
        <v>224</v>
      </c>
      <c r="J404" s="81" t="s">
        <v>6993</v>
      </c>
    </row>
    <row r="405">
      <c r="A405" s="83" t="s">
        <v>7012</v>
      </c>
      <c r="B405" s="83" t="s">
        <v>7013</v>
      </c>
      <c r="C405" s="81" t="s">
        <v>6983</v>
      </c>
      <c r="D405" s="81" t="s">
        <v>6901</v>
      </c>
      <c r="E405" s="81" t="s">
        <v>6659</v>
      </c>
      <c r="F405" s="81" t="s">
        <v>224</v>
      </c>
      <c r="G405" s="81" t="s">
        <v>224</v>
      </c>
      <c r="H405" s="81" t="s">
        <v>224</v>
      </c>
      <c r="I405" s="81" t="s">
        <v>224</v>
      </c>
      <c r="J405" s="81" t="s">
        <v>6993</v>
      </c>
    </row>
    <row r="406">
      <c r="A406" s="83" t="s">
        <v>7012</v>
      </c>
      <c r="B406" s="83" t="s">
        <v>7013</v>
      </c>
      <c r="C406" s="81" t="s">
        <v>6983</v>
      </c>
      <c r="D406" s="81" t="s">
        <v>6901</v>
      </c>
      <c r="E406" s="81" t="s">
        <v>6660</v>
      </c>
      <c r="F406" s="81" t="s">
        <v>224</v>
      </c>
      <c r="G406" s="81" t="s">
        <v>224</v>
      </c>
      <c r="H406" s="81" t="s">
        <v>224</v>
      </c>
      <c r="I406" s="81" t="s">
        <v>224</v>
      </c>
      <c r="J406" s="81" t="s">
        <v>6993</v>
      </c>
    </row>
    <row r="407">
      <c r="A407" s="83" t="s">
        <v>7012</v>
      </c>
      <c r="B407" s="83" t="s">
        <v>7013</v>
      </c>
      <c r="C407" s="81" t="s">
        <v>6983</v>
      </c>
      <c r="D407" s="81" t="s">
        <v>6901</v>
      </c>
      <c r="E407" s="81" t="s">
        <v>6661</v>
      </c>
      <c r="F407" s="81" t="s">
        <v>224</v>
      </c>
      <c r="G407" s="81" t="s">
        <v>224</v>
      </c>
      <c r="H407" s="81" t="s">
        <v>224</v>
      </c>
      <c r="I407" s="81" t="s">
        <v>224</v>
      </c>
      <c r="J407" s="81" t="s">
        <v>6993</v>
      </c>
    </row>
    <row r="408">
      <c r="A408" s="83" t="s">
        <v>7012</v>
      </c>
      <c r="B408" s="83" t="s">
        <v>7013</v>
      </c>
      <c r="C408" s="81" t="s">
        <v>6983</v>
      </c>
      <c r="D408" s="81" t="s">
        <v>6901</v>
      </c>
      <c r="E408" s="81" t="s">
        <v>6662</v>
      </c>
      <c r="F408" s="81" t="s">
        <v>224</v>
      </c>
      <c r="G408" s="81" t="s">
        <v>224</v>
      </c>
      <c r="H408" s="81" t="s">
        <v>224</v>
      </c>
      <c r="I408" s="81" t="s">
        <v>224</v>
      </c>
      <c r="J408" s="81" t="s">
        <v>6993</v>
      </c>
    </row>
    <row r="409">
      <c r="A409" s="83" t="s">
        <v>7012</v>
      </c>
      <c r="B409" s="83" t="s">
        <v>7013</v>
      </c>
      <c r="C409" s="81" t="s">
        <v>6983</v>
      </c>
      <c r="D409" s="81" t="s">
        <v>6901</v>
      </c>
      <c r="E409" s="81" t="s">
        <v>6663</v>
      </c>
      <c r="F409" s="81" t="s">
        <v>224</v>
      </c>
      <c r="G409" s="81" t="s">
        <v>224</v>
      </c>
      <c r="H409" s="81" t="s">
        <v>224</v>
      </c>
      <c r="I409" s="81" t="s">
        <v>224</v>
      </c>
      <c r="J409" s="81" t="s">
        <v>6993</v>
      </c>
    </row>
    <row r="410">
      <c r="A410" s="83" t="s">
        <v>7012</v>
      </c>
      <c r="B410" s="83" t="s">
        <v>7013</v>
      </c>
      <c r="C410" s="81" t="s">
        <v>6983</v>
      </c>
      <c r="D410" s="81" t="s">
        <v>6901</v>
      </c>
      <c r="E410" s="81" t="s">
        <v>6664</v>
      </c>
      <c r="F410" s="81" t="s">
        <v>224</v>
      </c>
      <c r="G410" s="81" t="s">
        <v>224</v>
      </c>
      <c r="H410" s="81" t="s">
        <v>224</v>
      </c>
      <c r="I410" s="81" t="s">
        <v>224</v>
      </c>
      <c r="J410" s="81" t="s">
        <v>6993</v>
      </c>
    </row>
    <row r="411">
      <c r="A411" s="83" t="s">
        <v>7012</v>
      </c>
      <c r="B411" s="83" t="s">
        <v>7013</v>
      </c>
      <c r="C411" s="81" t="s">
        <v>6983</v>
      </c>
      <c r="D411" s="81" t="s">
        <v>6901</v>
      </c>
      <c r="E411" s="81" t="s">
        <v>6665</v>
      </c>
      <c r="F411" s="81" t="s">
        <v>224</v>
      </c>
      <c r="G411" s="81" t="s">
        <v>224</v>
      </c>
      <c r="H411" s="81" t="s">
        <v>224</v>
      </c>
      <c r="I411" s="81" t="s">
        <v>224</v>
      </c>
      <c r="J411" s="81" t="s">
        <v>6993</v>
      </c>
    </row>
    <row r="412">
      <c r="A412" s="83" t="s">
        <v>7012</v>
      </c>
      <c r="B412" s="83" t="s">
        <v>7013</v>
      </c>
      <c r="C412" s="81" t="s">
        <v>6983</v>
      </c>
      <c r="D412" s="81" t="s">
        <v>6901</v>
      </c>
      <c r="E412" s="81" t="s">
        <v>6666</v>
      </c>
      <c r="F412" s="81" t="s">
        <v>224</v>
      </c>
      <c r="G412" s="81" t="s">
        <v>224</v>
      </c>
      <c r="H412" s="81" t="s">
        <v>224</v>
      </c>
      <c r="I412" s="81" t="s">
        <v>224</v>
      </c>
      <c r="J412" s="81" t="s">
        <v>6993</v>
      </c>
    </row>
    <row r="413">
      <c r="A413" s="83" t="s">
        <v>7012</v>
      </c>
      <c r="B413" s="83" t="s">
        <v>7013</v>
      </c>
      <c r="C413" s="81" t="s">
        <v>6983</v>
      </c>
      <c r="D413" s="81" t="s">
        <v>6901</v>
      </c>
      <c r="E413" s="81" t="s">
        <v>6667</v>
      </c>
      <c r="F413" s="81" t="s">
        <v>224</v>
      </c>
      <c r="G413" s="81" t="s">
        <v>224</v>
      </c>
      <c r="H413" s="81" t="s">
        <v>224</v>
      </c>
      <c r="I413" s="81" t="s">
        <v>224</v>
      </c>
      <c r="J413" s="81" t="s">
        <v>6993</v>
      </c>
    </row>
    <row r="414">
      <c r="A414" s="83" t="s">
        <v>7012</v>
      </c>
      <c r="B414" s="83" t="s">
        <v>7013</v>
      </c>
      <c r="C414" s="81" t="s">
        <v>6983</v>
      </c>
      <c r="D414" s="81" t="s">
        <v>6901</v>
      </c>
      <c r="E414" s="81" t="s">
        <v>6668</v>
      </c>
      <c r="F414" s="81" t="s">
        <v>224</v>
      </c>
      <c r="G414" s="81" t="s">
        <v>224</v>
      </c>
      <c r="H414" s="81" t="s">
        <v>224</v>
      </c>
      <c r="I414" s="81" t="s">
        <v>224</v>
      </c>
      <c r="J414" s="81" t="s">
        <v>6993</v>
      </c>
    </row>
    <row r="415">
      <c r="A415" s="83" t="s">
        <v>7012</v>
      </c>
      <c r="B415" s="83" t="s">
        <v>7013</v>
      </c>
      <c r="C415" s="81" t="s">
        <v>6983</v>
      </c>
      <c r="D415" s="81" t="s">
        <v>6901</v>
      </c>
      <c r="E415" s="81" t="s">
        <v>6669</v>
      </c>
      <c r="F415" s="81" t="s">
        <v>224</v>
      </c>
      <c r="G415" s="81" t="s">
        <v>224</v>
      </c>
      <c r="H415" s="81" t="s">
        <v>224</v>
      </c>
      <c r="I415" s="81" t="s">
        <v>224</v>
      </c>
      <c r="J415" s="81" t="s">
        <v>6993</v>
      </c>
    </row>
    <row r="416">
      <c r="A416" s="83" t="s">
        <v>7012</v>
      </c>
      <c r="B416" s="83" t="s">
        <v>7013</v>
      </c>
      <c r="C416" s="81" t="s">
        <v>6983</v>
      </c>
      <c r="D416" s="81" t="s">
        <v>6901</v>
      </c>
      <c r="E416" s="81" t="s">
        <v>6670</v>
      </c>
      <c r="F416" s="81" t="s">
        <v>224</v>
      </c>
      <c r="G416" s="81" t="s">
        <v>224</v>
      </c>
      <c r="H416" s="81" t="s">
        <v>224</v>
      </c>
      <c r="I416" s="81" t="s">
        <v>224</v>
      </c>
      <c r="J416" s="81" t="s">
        <v>6993</v>
      </c>
    </row>
    <row r="417">
      <c r="A417" s="83" t="s">
        <v>7012</v>
      </c>
      <c r="B417" s="83" t="s">
        <v>7013</v>
      </c>
      <c r="C417" s="81" t="s">
        <v>6983</v>
      </c>
      <c r="D417" s="81" t="s">
        <v>6901</v>
      </c>
      <c r="E417" s="81" t="s">
        <v>6671</v>
      </c>
      <c r="F417" s="81" t="s">
        <v>224</v>
      </c>
      <c r="G417" s="81" t="s">
        <v>224</v>
      </c>
      <c r="H417" s="81" t="s">
        <v>224</v>
      </c>
      <c r="I417" s="81" t="s">
        <v>224</v>
      </c>
      <c r="J417" s="81" t="s">
        <v>6993</v>
      </c>
    </row>
    <row r="418">
      <c r="A418" s="83" t="s">
        <v>7012</v>
      </c>
      <c r="B418" s="83" t="s">
        <v>7013</v>
      </c>
      <c r="C418" s="81" t="s">
        <v>6983</v>
      </c>
      <c r="D418" s="81" t="s">
        <v>6901</v>
      </c>
      <c r="E418" s="81" t="s">
        <v>6672</v>
      </c>
      <c r="F418" s="81" t="s">
        <v>224</v>
      </c>
      <c r="G418" s="81" t="s">
        <v>224</v>
      </c>
      <c r="H418" s="81" t="s">
        <v>224</v>
      </c>
      <c r="I418" s="81" t="s">
        <v>224</v>
      </c>
      <c r="J418" s="81" t="s">
        <v>6993</v>
      </c>
    </row>
    <row r="419">
      <c r="A419" s="83" t="s">
        <v>7012</v>
      </c>
      <c r="B419" s="83" t="s">
        <v>7013</v>
      </c>
      <c r="C419" s="81" t="s">
        <v>6983</v>
      </c>
      <c r="D419" s="81" t="s">
        <v>6901</v>
      </c>
      <c r="E419" s="81" t="s">
        <v>6673</v>
      </c>
      <c r="F419" s="81" t="s">
        <v>224</v>
      </c>
      <c r="G419" s="81" t="s">
        <v>224</v>
      </c>
      <c r="H419" s="81" t="s">
        <v>224</v>
      </c>
      <c r="I419" s="81" t="s">
        <v>224</v>
      </c>
      <c r="J419" s="81" t="s">
        <v>6993</v>
      </c>
    </row>
    <row r="420">
      <c r="A420" s="83" t="s">
        <v>7012</v>
      </c>
      <c r="B420" s="83" t="s">
        <v>7013</v>
      </c>
      <c r="C420" s="81" t="s">
        <v>6983</v>
      </c>
      <c r="D420" s="81" t="s">
        <v>6901</v>
      </c>
      <c r="E420" s="81" t="s">
        <v>6674</v>
      </c>
      <c r="F420" s="81" t="s">
        <v>224</v>
      </c>
      <c r="G420" s="81" t="s">
        <v>224</v>
      </c>
      <c r="H420" s="81" t="s">
        <v>224</v>
      </c>
      <c r="I420" s="81" t="s">
        <v>224</v>
      </c>
      <c r="J420" s="81" t="s">
        <v>6993</v>
      </c>
    </row>
    <row r="421">
      <c r="A421" s="83" t="s">
        <v>7012</v>
      </c>
      <c r="B421" s="83" t="s">
        <v>7013</v>
      </c>
      <c r="C421" s="81" t="s">
        <v>6983</v>
      </c>
      <c r="D421" s="81" t="s">
        <v>6901</v>
      </c>
      <c r="E421" s="81" t="s">
        <v>6675</v>
      </c>
      <c r="F421" s="81" t="s">
        <v>224</v>
      </c>
      <c r="G421" s="81" t="s">
        <v>224</v>
      </c>
      <c r="H421" s="81" t="s">
        <v>224</v>
      </c>
      <c r="I421" s="81" t="s">
        <v>224</v>
      </c>
      <c r="J421" s="81" t="s">
        <v>6993</v>
      </c>
    </row>
    <row r="422">
      <c r="A422" s="83" t="s">
        <v>7012</v>
      </c>
      <c r="B422" s="83" t="s">
        <v>7013</v>
      </c>
      <c r="C422" s="81" t="s">
        <v>6983</v>
      </c>
      <c r="D422" s="81" t="s">
        <v>6901</v>
      </c>
      <c r="E422" s="81" t="s">
        <v>6676</v>
      </c>
      <c r="F422" s="81" t="s">
        <v>224</v>
      </c>
      <c r="G422" s="81" t="s">
        <v>224</v>
      </c>
      <c r="H422" s="81" t="s">
        <v>224</v>
      </c>
      <c r="I422" s="81" t="s">
        <v>224</v>
      </c>
      <c r="J422" s="81" t="s">
        <v>6993</v>
      </c>
    </row>
    <row r="423">
      <c r="A423" s="83" t="s">
        <v>7012</v>
      </c>
      <c r="B423" s="83" t="s">
        <v>7013</v>
      </c>
      <c r="C423" s="81" t="s">
        <v>6983</v>
      </c>
      <c r="D423" s="81" t="s">
        <v>6901</v>
      </c>
      <c r="E423" s="81" t="s">
        <v>6677</v>
      </c>
      <c r="F423" s="81" t="s">
        <v>224</v>
      </c>
      <c r="G423" s="81" t="s">
        <v>224</v>
      </c>
      <c r="H423" s="81" t="s">
        <v>224</v>
      </c>
      <c r="I423" s="81" t="s">
        <v>224</v>
      </c>
      <c r="J423" s="81" t="s">
        <v>6993</v>
      </c>
    </row>
    <row r="424">
      <c r="A424" s="83" t="s">
        <v>7012</v>
      </c>
      <c r="B424" s="83" t="s">
        <v>7013</v>
      </c>
      <c r="C424" s="81" t="s">
        <v>6983</v>
      </c>
      <c r="D424" s="81" t="s">
        <v>6901</v>
      </c>
      <c r="E424" s="81" t="s">
        <v>6678</v>
      </c>
      <c r="F424" s="81" t="s">
        <v>224</v>
      </c>
      <c r="G424" s="81" t="s">
        <v>224</v>
      </c>
      <c r="H424" s="81" t="s">
        <v>224</v>
      </c>
      <c r="I424" s="81" t="s">
        <v>224</v>
      </c>
      <c r="J424" s="81" t="s">
        <v>6993</v>
      </c>
    </row>
    <row r="425">
      <c r="A425" s="83" t="s">
        <v>7012</v>
      </c>
      <c r="B425" s="83" t="s">
        <v>7013</v>
      </c>
      <c r="C425" s="81" t="s">
        <v>6983</v>
      </c>
      <c r="D425" s="81" t="s">
        <v>6901</v>
      </c>
      <c r="E425" s="81" t="s">
        <v>6679</v>
      </c>
      <c r="F425" s="81" t="s">
        <v>224</v>
      </c>
      <c r="G425" s="81" t="s">
        <v>224</v>
      </c>
      <c r="H425" s="81" t="s">
        <v>224</v>
      </c>
      <c r="I425" s="81" t="s">
        <v>224</v>
      </c>
      <c r="J425" s="81" t="s">
        <v>6993</v>
      </c>
    </row>
    <row r="426">
      <c r="A426" s="83" t="s">
        <v>7012</v>
      </c>
      <c r="B426" s="83" t="s">
        <v>7013</v>
      </c>
      <c r="C426" s="81" t="s">
        <v>6983</v>
      </c>
      <c r="D426" s="81" t="s">
        <v>6901</v>
      </c>
      <c r="E426" s="81" t="s">
        <v>6680</v>
      </c>
      <c r="F426" s="81" t="s">
        <v>224</v>
      </c>
      <c r="G426" s="81" t="s">
        <v>224</v>
      </c>
      <c r="H426" s="81" t="s">
        <v>224</v>
      </c>
      <c r="I426" s="81" t="s">
        <v>224</v>
      </c>
      <c r="J426" s="81" t="s">
        <v>6993</v>
      </c>
    </row>
    <row r="427">
      <c r="A427" s="83" t="s">
        <v>7012</v>
      </c>
      <c r="B427" s="83" t="s">
        <v>7013</v>
      </c>
      <c r="C427" s="81" t="s">
        <v>6983</v>
      </c>
      <c r="D427" s="81" t="s">
        <v>6901</v>
      </c>
      <c r="E427" s="81" t="s">
        <v>6681</v>
      </c>
      <c r="F427" s="81" t="s">
        <v>224</v>
      </c>
      <c r="G427" s="81" t="s">
        <v>224</v>
      </c>
      <c r="H427" s="81" t="s">
        <v>224</v>
      </c>
      <c r="I427" s="81" t="s">
        <v>224</v>
      </c>
      <c r="J427" s="81" t="s">
        <v>6993</v>
      </c>
    </row>
    <row r="428">
      <c r="A428" s="83" t="s">
        <v>7012</v>
      </c>
      <c r="B428" s="83" t="s">
        <v>7013</v>
      </c>
      <c r="C428" s="81" t="s">
        <v>6983</v>
      </c>
      <c r="D428" s="81" t="s">
        <v>6901</v>
      </c>
      <c r="E428" s="81" t="s">
        <v>6682</v>
      </c>
      <c r="F428" s="81" t="s">
        <v>224</v>
      </c>
      <c r="G428" s="81" t="s">
        <v>224</v>
      </c>
      <c r="H428" s="81" t="s">
        <v>224</v>
      </c>
      <c r="I428" s="81" t="s">
        <v>224</v>
      </c>
      <c r="J428" s="81" t="s">
        <v>6993</v>
      </c>
    </row>
    <row r="429">
      <c r="A429" s="83" t="s">
        <v>7012</v>
      </c>
      <c r="B429" s="83" t="s">
        <v>7013</v>
      </c>
      <c r="C429" s="81" t="s">
        <v>6983</v>
      </c>
      <c r="D429" s="81" t="s">
        <v>6901</v>
      </c>
      <c r="E429" s="81" t="s">
        <v>6683</v>
      </c>
      <c r="F429" s="81" t="s">
        <v>224</v>
      </c>
      <c r="G429" s="81" t="s">
        <v>224</v>
      </c>
      <c r="H429" s="81" t="s">
        <v>224</v>
      </c>
      <c r="I429" s="81" t="s">
        <v>224</v>
      </c>
      <c r="J429" s="81" t="s">
        <v>6993</v>
      </c>
    </row>
    <row r="430">
      <c r="A430" s="83" t="s">
        <v>7012</v>
      </c>
      <c r="B430" s="83" t="s">
        <v>7013</v>
      </c>
      <c r="C430" s="81" t="s">
        <v>6983</v>
      </c>
      <c r="D430" s="81" t="s">
        <v>6901</v>
      </c>
      <c r="E430" s="81" t="s">
        <v>6684</v>
      </c>
      <c r="F430" s="81" t="s">
        <v>224</v>
      </c>
      <c r="G430" s="81" t="s">
        <v>224</v>
      </c>
      <c r="H430" s="81" t="s">
        <v>224</v>
      </c>
      <c r="I430" s="81" t="s">
        <v>224</v>
      </c>
      <c r="J430" s="81" t="s">
        <v>6993</v>
      </c>
    </row>
    <row r="431">
      <c r="A431" s="83" t="s">
        <v>7012</v>
      </c>
      <c r="B431" s="83" t="s">
        <v>7013</v>
      </c>
      <c r="C431" s="81" t="s">
        <v>6983</v>
      </c>
      <c r="D431" s="81" t="s">
        <v>6901</v>
      </c>
      <c r="E431" s="81" t="s">
        <v>6685</v>
      </c>
      <c r="F431" s="81" t="s">
        <v>224</v>
      </c>
      <c r="G431" s="81" t="s">
        <v>224</v>
      </c>
      <c r="H431" s="81" t="s">
        <v>224</v>
      </c>
      <c r="I431" s="81" t="s">
        <v>224</v>
      </c>
      <c r="J431" s="81" t="s">
        <v>6993</v>
      </c>
    </row>
    <row r="432">
      <c r="A432" s="83" t="s">
        <v>7012</v>
      </c>
      <c r="B432" s="83" t="s">
        <v>7013</v>
      </c>
      <c r="C432" s="81" t="s">
        <v>6983</v>
      </c>
      <c r="D432" s="81" t="s">
        <v>6901</v>
      </c>
      <c r="E432" s="81" t="s">
        <v>6686</v>
      </c>
      <c r="F432" s="81" t="s">
        <v>224</v>
      </c>
      <c r="G432" s="81" t="s">
        <v>224</v>
      </c>
      <c r="H432" s="81" t="s">
        <v>224</v>
      </c>
      <c r="I432" s="81" t="s">
        <v>224</v>
      </c>
      <c r="J432" s="81" t="s">
        <v>6993</v>
      </c>
    </row>
    <row r="433">
      <c r="A433" s="83" t="s">
        <v>7012</v>
      </c>
      <c r="B433" s="83" t="s">
        <v>7013</v>
      </c>
      <c r="C433" s="81" t="s">
        <v>6983</v>
      </c>
      <c r="D433" s="81" t="s">
        <v>6901</v>
      </c>
      <c r="E433" s="81" t="s">
        <v>6687</v>
      </c>
      <c r="F433" s="81" t="s">
        <v>224</v>
      </c>
      <c r="G433" s="81" t="s">
        <v>224</v>
      </c>
      <c r="H433" s="81" t="s">
        <v>224</v>
      </c>
      <c r="I433" s="81" t="s">
        <v>224</v>
      </c>
      <c r="J433" s="81" t="s">
        <v>6993</v>
      </c>
    </row>
    <row r="434">
      <c r="A434" s="83" t="s">
        <v>7012</v>
      </c>
      <c r="B434" s="83" t="s">
        <v>7013</v>
      </c>
      <c r="C434" s="81" t="s">
        <v>6983</v>
      </c>
      <c r="D434" s="81" t="s">
        <v>6901</v>
      </c>
      <c r="E434" s="81" t="s">
        <v>6688</v>
      </c>
      <c r="F434" s="81" t="s">
        <v>224</v>
      </c>
      <c r="G434" s="81" t="s">
        <v>224</v>
      </c>
      <c r="H434" s="81" t="s">
        <v>224</v>
      </c>
      <c r="I434" s="81" t="s">
        <v>224</v>
      </c>
      <c r="J434" s="81" t="s">
        <v>6993</v>
      </c>
    </row>
    <row r="435">
      <c r="A435" s="83" t="s">
        <v>7012</v>
      </c>
      <c r="B435" s="83" t="s">
        <v>7013</v>
      </c>
      <c r="C435" s="81" t="s">
        <v>6983</v>
      </c>
      <c r="D435" s="81" t="s">
        <v>6901</v>
      </c>
      <c r="E435" s="81" t="s">
        <v>6689</v>
      </c>
      <c r="F435" s="81" t="s">
        <v>224</v>
      </c>
      <c r="G435" s="81" t="s">
        <v>224</v>
      </c>
      <c r="H435" s="81" t="s">
        <v>224</v>
      </c>
      <c r="I435" s="81" t="s">
        <v>224</v>
      </c>
      <c r="J435" s="81" t="s">
        <v>6993</v>
      </c>
    </row>
    <row r="436">
      <c r="A436" s="83" t="s">
        <v>7012</v>
      </c>
      <c r="B436" s="83" t="s">
        <v>7013</v>
      </c>
      <c r="C436" s="81" t="s">
        <v>6983</v>
      </c>
      <c r="D436" s="81" t="s">
        <v>6901</v>
      </c>
      <c r="E436" s="81" t="s">
        <v>6690</v>
      </c>
      <c r="F436" s="81" t="s">
        <v>224</v>
      </c>
      <c r="G436" s="81" t="s">
        <v>224</v>
      </c>
      <c r="H436" s="81" t="s">
        <v>224</v>
      </c>
      <c r="I436" s="81" t="s">
        <v>224</v>
      </c>
      <c r="J436" s="81" t="s">
        <v>6993</v>
      </c>
    </row>
    <row r="437">
      <c r="A437" s="83" t="s">
        <v>7012</v>
      </c>
      <c r="B437" s="83" t="s">
        <v>7013</v>
      </c>
      <c r="C437" s="81" t="s">
        <v>6983</v>
      </c>
      <c r="D437" s="81" t="s">
        <v>6901</v>
      </c>
      <c r="E437" s="81" t="s">
        <v>6691</v>
      </c>
      <c r="F437" s="81" t="s">
        <v>224</v>
      </c>
      <c r="G437" s="81" t="s">
        <v>224</v>
      </c>
      <c r="H437" s="81" t="s">
        <v>224</v>
      </c>
      <c r="I437" s="81" t="s">
        <v>224</v>
      </c>
      <c r="J437" s="81" t="s">
        <v>6993</v>
      </c>
    </row>
    <row r="438">
      <c r="A438" s="83" t="s">
        <v>7012</v>
      </c>
      <c r="B438" s="83" t="s">
        <v>7013</v>
      </c>
      <c r="C438" s="81" t="s">
        <v>6983</v>
      </c>
      <c r="D438" s="81" t="s">
        <v>6901</v>
      </c>
      <c r="E438" s="81" t="s">
        <v>6692</v>
      </c>
      <c r="F438" s="81" t="s">
        <v>224</v>
      </c>
      <c r="G438" s="81" t="s">
        <v>224</v>
      </c>
      <c r="H438" s="81" t="s">
        <v>224</v>
      </c>
      <c r="I438" s="81" t="s">
        <v>224</v>
      </c>
      <c r="J438" s="81" t="s">
        <v>6993</v>
      </c>
    </row>
    <row r="439">
      <c r="A439" s="83" t="s">
        <v>7012</v>
      </c>
      <c r="B439" s="83" t="s">
        <v>7013</v>
      </c>
      <c r="C439" s="81" t="s">
        <v>6983</v>
      </c>
      <c r="D439" s="81" t="s">
        <v>6901</v>
      </c>
      <c r="E439" s="81" t="s">
        <v>6702</v>
      </c>
      <c r="F439" s="81" t="s">
        <v>224</v>
      </c>
      <c r="G439" s="81" t="s">
        <v>224</v>
      </c>
      <c r="H439" s="81" t="s">
        <v>224</v>
      </c>
      <c r="I439" s="81" t="s">
        <v>224</v>
      </c>
      <c r="J439" s="81" t="s">
        <v>6993</v>
      </c>
    </row>
    <row r="440">
      <c r="A440" s="83" t="s">
        <v>7012</v>
      </c>
      <c r="B440" s="83" t="s">
        <v>7013</v>
      </c>
      <c r="C440" s="81" t="s">
        <v>6983</v>
      </c>
      <c r="D440" s="81" t="s">
        <v>6901</v>
      </c>
      <c r="E440" s="81" t="s">
        <v>6703</v>
      </c>
      <c r="F440" s="81" t="s">
        <v>224</v>
      </c>
      <c r="G440" s="81" t="s">
        <v>224</v>
      </c>
      <c r="H440" s="81" t="s">
        <v>224</v>
      </c>
      <c r="I440" s="81" t="s">
        <v>224</v>
      </c>
      <c r="J440" s="81" t="s">
        <v>6993</v>
      </c>
    </row>
    <row r="441">
      <c r="A441" s="83" t="s">
        <v>7012</v>
      </c>
      <c r="B441" s="83" t="s">
        <v>7013</v>
      </c>
      <c r="C441" s="81" t="s">
        <v>6983</v>
      </c>
      <c r="D441" s="81" t="s">
        <v>6901</v>
      </c>
      <c r="E441" s="81" t="s">
        <v>6704</v>
      </c>
      <c r="F441" s="81" t="s">
        <v>224</v>
      </c>
      <c r="G441" s="81" t="s">
        <v>224</v>
      </c>
      <c r="H441" s="81" t="s">
        <v>224</v>
      </c>
      <c r="I441" s="81" t="s">
        <v>224</v>
      </c>
      <c r="J441" s="81" t="s">
        <v>6993</v>
      </c>
    </row>
    <row r="442">
      <c r="A442" s="83" t="s">
        <v>7012</v>
      </c>
      <c r="B442" s="83" t="s">
        <v>7013</v>
      </c>
      <c r="C442" s="81" t="s">
        <v>6983</v>
      </c>
      <c r="D442" s="81" t="s">
        <v>6901</v>
      </c>
      <c r="E442" s="81" t="s">
        <v>6705</v>
      </c>
      <c r="F442" s="81" t="s">
        <v>224</v>
      </c>
      <c r="G442" s="81" t="s">
        <v>224</v>
      </c>
      <c r="H442" s="81" t="s">
        <v>224</v>
      </c>
      <c r="I442" s="81" t="s">
        <v>224</v>
      </c>
      <c r="J442" s="81" t="s">
        <v>6993</v>
      </c>
    </row>
    <row r="443">
      <c r="A443" s="83" t="s">
        <v>7012</v>
      </c>
      <c r="B443" s="83" t="s">
        <v>7013</v>
      </c>
      <c r="C443" s="81" t="s">
        <v>6983</v>
      </c>
      <c r="D443" s="81" t="s">
        <v>6901</v>
      </c>
      <c r="E443" s="81" t="s">
        <v>6706</v>
      </c>
      <c r="F443" s="81" t="s">
        <v>224</v>
      </c>
      <c r="G443" s="81" t="s">
        <v>224</v>
      </c>
      <c r="H443" s="81" t="s">
        <v>224</v>
      </c>
      <c r="I443" s="81" t="s">
        <v>224</v>
      </c>
      <c r="J443" s="81" t="s">
        <v>6993</v>
      </c>
    </row>
    <row r="444">
      <c r="A444" s="83" t="s">
        <v>7012</v>
      </c>
      <c r="B444" s="83" t="s">
        <v>7013</v>
      </c>
      <c r="C444" s="81" t="s">
        <v>6983</v>
      </c>
      <c r="D444" s="81" t="s">
        <v>6901</v>
      </c>
      <c r="E444" s="81" t="s">
        <v>6707</v>
      </c>
      <c r="F444" s="81" t="s">
        <v>224</v>
      </c>
      <c r="G444" s="81" t="s">
        <v>224</v>
      </c>
      <c r="H444" s="81" t="s">
        <v>224</v>
      </c>
      <c r="I444" s="81" t="s">
        <v>224</v>
      </c>
      <c r="J444" s="81" t="s">
        <v>6993</v>
      </c>
    </row>
    <row r="445">
      <c r="A445" s="83" t="s">
        <v>7012</v>
      </c>
      <c r="B445" s="83" t="s">
        <v>7013</v>
      </c>
      <c r="C445" s="81" t="s">
        <v>6983</v>
      </c>
      <c r="D445" s="81" t="s">
        <v>6901</v>
      </c>
      <c r="E445" s="81" t="s">
        <v>6708</v>
      </c>
      <c r="F445" s="81" t="s">
        <v>224</v>
      </c>
      <c r="G445" s="81" t="s">
        <v>224</v>
      </c>
      <c r="H445" s="81" t="s">
        <v>224</v>
      </c>
      <c r="I445" s="81" t="s">
        <v>224</v>
      </c>
      <c r="J445" s="81" t="s">
        <v>6993</v>
      </c>
    </row>
    <row r="446">
      <c r="A446" s="83" t="s">
        <v>7012</v>
      </c>
      <c r="B446" s="83" t="s">
        <v>7013</v>
      </c>
      <c r="C446" s="81" t="s">
        <v>6983</v>
      </c>
      <c r="D446" s="81" t="s">
        <v>6901</v>
      </c>
      <c r="E446" s="81" t="s">
        <v>6709</v>
      </c>
      <c r="F446" s="81" t="s">
        <v>224</v>
      </c>
      <c r="G446" s="81" t="s">
        <v>224</v>
      </c>
      <c r="H446" s="81" t="s">
        <v>224</v>
      </c>
      <c r="I446" s="81" t="s">
        <v>224</v>
      </c>
      <c r="J446" s="81" t="s">
        <v>6993</v>
      </c>
    </row>
    <row r="447">
      <c r="A447" s="83" t="s">
        <v>7012</v>
      </c>
      <c r="B447" s="83" t="s">
        <v>7013</v>
      </c>
      <c r="C447" s="81" t="s">
        <v>6983</v>
      </c>
      <c r="D447" s="81" t="s">
        <v>6901</v>
      </c>
      <c r="E447" s="81" t="s">
        <v>6710</v>
      </c>
      <c r="F447" s="81" t="s">
        <v>224</v>
      </c>
      <c r="G447" s="81" t="s">
        <v>224</v>
      </c>
      <c r="H447" s="81" t="s">
        <v>224</v>
      </c>
      <c r="I447" s="81" t="s">
        <v>224</v>
      </c>
      <c r="J447" s="81" t="s">
        <v>6993</v>
      </c>
    </row>
    <row r="448">
      <c r="A448" s="83" t="s">
        <v>7012</v>
      </c>
      <c r="B448" s="83" t="s">
        <v>7013</v>
      </c>
      <c r="C448" s="81" t="s">
        <v>6983</v>
      </c>
      <c r="D448" s="81" t="s">
        <v>6901</v>
      </c>
      <c r="E448" s="81" t="s">
        <v>6711</v>
      </c>
      <c r="F448" s="81" t="s">
        <v>224</v>
      </c>
      <c r="G448" s="81" t="s">
        <v>224</v>
      </c>
      <c r="H448" s="81" t="s">
        <v>224</v>
      </c>
      <c r="I448" s="81" t="s">
        <v>224</v>
      </c>
      <c r="J448" s="81" t="s">
        <v>6993</v>
      </c>
    </row>
    <row r="449">
      <c r="A449" s="83" t="s">
        <v>7012</v>
      </c>
      <c r="B449" s="83" t="s">
        <v>7013</v>
      </c>
      <c r="C449" s="81" t="s">
        <v>6983</v>
      </c>
      <c r="D449" s="81" t="s">
        <v>6901</v>
      </c>
      <c r="E449" s="81" t="s">
        <v>6712</v>
      </c>
      <c r="F449" s="81" t="s">
        <v>224</v>
      </c>
      <c r="G449" s="81" t="s">
        <v>224</v>
      </c>
      <c r="H449" s="81" t="s">
        <v>224</v>
      </c>
      <c r="I449" s="81" t="s">
        <v>224</v>
      </c>
      <c r="J449" s="81" t="s">
        <v>6993</v>
      </c>
    </row>
    <row r="450">
      <c r="A450" s="83" t="s">
        <v>7012</v>
      </c>
      <c r="B450" s="83" t="s">
        <v>7013</v>
      </c>
      <c r="C450" s="81" t="s">
        <v>6983</v>
      </c>
      <c r="D450" s="81" t="s">
        <v>6901</v>
      </c>
      <c r="E450" s="81" t="s">
        <v>6713</v>
      </c>
      <c r="F450" s="81" t="s">
        <v>224</v>
      </c>
      <c r="G450" s="81" t="s">
        <v>224</v>
      </c>
      <c r="H450" s="81" t="s">
        <v>224</v>
      </c>
      <c r="I450" s="81" t="s">
        <v>224</v>
      </c>
      <c r="J450" s="81" t="s">
        <v>6993</v>
      </c>
    </row>
    <row r="451">
      <c r="A451" s="83" t="s">
        <v>7012</v>
      </c>
      <c r="B451" s="83" t="s">
        <v>7013</v>
      </c>
      <c r="C451" s="81" t="s">
        <v>6983</v>
      </c>
      <c r="D451" s="81" t="s">
        <v>6901</v>
      </c>
      <c r="E451" s="81" t="s">
        <v>1197</v>
      </c>
      <c r="F451" s="81" t="s">
        <v>6998</v>
      </c>
      <c r="G451" s="81" t="s">
        <v>6999</v>
      </c>
      <c r="H451" s="81" t="s">
        <v>224</v>
      </c>
      <c r="I451" s="81" t="s">
        <v>224</v>
      </c>
      <c r="J451" s="81" t="s">
        <v>7000</v>
      </c>
    </row>
    <row r="452">
      <c r="A452" s="83" t="s">
        <v>7012</v>
      </c>
      <c r="B452" s="83" t="s">
        <v>7013</v>
      </c>
      <c r="C452" s="81" t="s">
        <v>6983</v>
      </c>
      <c r="D452" s="81" t="s">
        <v>6901</v>
      </c>
      <c r="E452" s="81" t="s">
        <v>6362</v>
      </c>
      <c r="F452" s="81" t="s">
        <v>224</v>
      </c>
      <c r="G452" s="81" t="s">
        <v>224</v>
      </c>
      <c r="H452" s="81" t="s">
        <v>224</v>
      </c>
      <c r="I452" s="81" t="s">
        <v>224</v>
      </c>
      <c r="J452" s="81" t="s">
        <v>6993</v>
      </c>
    </row>
    <row r="453">
      <c r="A453" s="83" t="s">
        <v>7012</v>
      </c>
      <c r="B453" s="83" t="s">
        <v>7013</v>
      </c>
      <c r="C453" s="81" t="s">
        <v>6983</v>
      </c>
      <c r="D453" s="81" t="s">
        <v>6901</v>
      </c>
      <c r="E453" s="81" t="s">
        <v>1321</v>
      </c>
      <c r="F453" s="81" t="s">
        <v>7001</v>
      </c>
      <c r="G453" s="81" t="s">
        <v>7002</v>
      </c>
      <c r="H453" s="81" t="s">
        <v>224</v>
      </c>
      <c r="I453" s="81" t="s">
        <v>224</v>
      </c>
      <c r="J453" s="81" t="s">
        <v>7000</v>
      </c>
    </row>
    <row r="454">
      <c r="A454" s="83" t="s">
        <v>7015</v>
      </c>
      <c r="B454" s="83" t="s">
        <v>7016</v>
      </c>
      <c r="C454" s="81" t="s">
        <v>4080</v>
      </c>
      <c r="D454" s="81" t="s">
        <v>224</v>
      </c>
      <c r="E454" s="81" t="s">
        <v>224</v>
      </c>
      <c r="F454" s="81" t="s">
        <v>224</v>
      </c>
      <c r="G454" s="81" t="s">
        <v>224</v>
      </c>
      <c r="H454" s="81" t="s">
        <v>224</v>
      </c>
      <c r="I454" s="81" t="s">
        <v>224</v>
      </c>
      <c r="J454" s="81" t="s">
        <v>7017</v>
      </c>
    </row>
    <row r="455">
      <c r="A455" s="83" t="s">
        <v>7015</v>
      </c>
      <c r="B455" s="83" t="s">
        <v>7016</v>
      </c>
      <c r="C455" s="81" t="s">
        <v>6817</v>
      </c>
      <c r="D455" s="81" t="s">
        <v>224</v>
      </c>
      <c r="E455" s="83" t="s">
        <v>7018</v>
      </c>
      <c r="F455" s="81" t="s">
        <v>224</v>
      </c>
      <c r="G455" s="81" t="s">
        <v>6839</v>
      </c>
      <c r="H455" s="81" t="s">
        <v>7019</v>
      </c>
      <c r="I455" s="81" t="s">
        <v>224</v>
      </c>
      <c r="J455" s="81" t="s">
        <v>6820</v>
      </c>
    </row>
    <row r="456">
      <c r="A456" s="83" t="s">
        <v>7015</v>
      </c>
      <c r="B456" s="83" t="s">
        <v>7016</v>
      </c>
      <c r="C456" s="81" t="s">
        <v>6948</v>
      </c>
      <c r="D456" s="81" t="s">
        <v>6901</v>
      </c>
      <c r="E456" s="81" t="s">
        <v>6380</v>
      </c>
      <c r="F456" s="81" t="s">
        <v>224</v>
      </c>
      <c r="G456" s="81" t="s">
        <v>6922</v>
      </c>
      <c r="H456" s="81" t="s">
        <v>6949</v>
      </c>
      <c r="I456" s="81" t="s">
        <v>224</v>
      </c>
      <c r="J456" s="81" t="s">
        <v>7020</v>
      </c>
    </row>
    <row r="457">
      <c r="A457" s="83" t="s">
        <v>7015</v>
      </c>
      <c r="B457" s="83" t="s">
        <v>7016</v>
      </c>
      <c r="C457" s="81" t="s">
        <v>6948</v>
      </c>
      <c r="D457" s="81" t="s">
        <v>6901</v>
      </c>
      <c r="E457" s="81" t="s">
        <v>6372</v>
      </c>
      <c r="F457" s="81" t="s">
        <v>224</v>
      </c>
      <c r="G457" s="81" t="s">
        <v>6930</v>
      </c>
      <c r="H457" s="81" t="s">
        <v>6949</v>
      </c>
      <c r="I457" s="81" t="s">
        <v>224</v>
      </c>
      <c r="J457" s="81" t="s">
        <v>7021</v>
      </c>
    </row>
    <row r="458">
      <c r="A458" s="83" t="s">
        <v>7015</v>
      </c>
      <c r="B458" s="83" t="s">
        <v>7016</v>
      </c>
      <c r="C458" s="81" t="s">
        <v>6983</v>
      </c>
      <c r="D458" s="81" t="s">
        <v>6842</v>
      </c>
      <c r="E458" s="81" t="s">
        <v>6781</v>
      </c>
      <c r="F458" s="81" t="s">
        <v>224</v>
      </c>
      <c r="G458" s="81" t="s">
        <v>224</v>
      </c>
      <c r="H458" s="81" t="s">
        <v>224</v>
      </c>
      <c r="I458" s="81" t="s">
        <v>224</v>
      </c>
      <c r="J458" s="81" t="s">
        <v>6984</v>
      </c>
    </row>
    <row r="459">
      <c r="A459" s="83" t="s">
        <v>7015</v>
      </c>
      <c r="B459" s="83" t="s">
        <v>7016</v>
      </c>
      <c r="C459" s="81" t="s">
        <v>6983</v>
      </c>
      <c r="D459" s="81" t="s">
        <v>6842</v>
      </c>
      <c r="E459" s="81" t="s">
        <v>6782</v>
      </c>
      <c r="F459" s="81" t="s">
        <v>224</v>
      </c>
      <c r="G459" s="81" t="s">
        <v>224</v>
      </c>
      <c r="H459" s="81" t="s">
        <v>224</v>
      </c>
      <c r="I459" s="81" t="s">
        <v>224</v>
      </c>
      <c r="J459" s="81" t="s">
        <v>6984</v>
      </c>
    </row>
    <row r="460">
      <c r="A460" s="83" t="s">
        <v>7015</v>
      </c>
      <c r="B460" s="83" t="s">
        <v>7016</v>
      </c>
      <c r="C460" s="81" t="s">
        <v>6983</v>
      </c>
      <c r="D460" s="81" t="s">
        <v>6842</v>
      </c>
      <c r="E460" s="81" t="s">
        <v>6733</v>
      </c>
      <c r="F460" s="81" t="s">
        <v>224</v>
      </c>
      <c r="G460" s="81" t="s">
        <v>224</v>
      </c>
      <c r="H460" s="81" t="s">
        <v>224</v>
      </c>
      <c r="I460" s="81" t="s">
        <v>224</v>
      </c>
      <c r="J460" s="81" t="s">
        <v>6984</v>
      </c>
    </row>
    <row r="461">
      <c r="A461" s="83" t="s">
        <v>7015</v>
      </c>
      <c r="B461" s="83" t="s">
        <v>7016</v>
      </c>
      <c r="C461" s="81" t="s">
        <v>6983</v>
      </c>
      <c r="D461" s="81" t="s">
        <v>6842</v>
      </c>
      <c r="E461" s="81" t="s">
        <v>6735</v>
      </c>
      <c r="F461" s="81" t="s">
        <v>224</v>
      </c>
      <c r="G461" s="81" t="s">
        <v>224</v>
      </c>
      <c r="H461" s="81" t="s">
        <v>224</v>
      </c>
      <c r="I461" s="81" t="s">
        <v>224</v>
      </c>
      <c r="J461" s="81" t="s">
        <v>6984</v>
      </c>
    </row>
    <row r="462">
      <c r="A462" s="83" t="s">
        <v>7015</v>
      </c>
      <c r="B462" s="83" t="s">
        <v>7016</v>
      </c>
      <c r="C462" s="81" t="s">
        <v>6983</v>
      </c>
      <c r="D462" s="81" t="s">
        <v>6842</v>
      </c>
      <c r="E462" s="81" t="s">
        <v>6736</v>
      </c>
      <c r="F462" s="81" t="s">
        <v>224</v>
      </c>
      <c r="G462" s="81" t="s">
        <v>224</v>
      </c>
      <c r="H462" s="81" t="s">
        <v>224</v>
      </c>
      <c r="I462" s="81" t="s">
        <v>224</v>
      </c>
      <c r="J462" s="81" t="s">
        <v>6984</v>
      </c>
    </row>
    <row r="463">
      <c r="A463" s="83" t="s">
        <v>7015</v>
      </c>
      <c r="B463" s="83" t="s">
        <v>7016</v>
      </c>
      <c r="C463" s="81" t="s">
        <v>6983</v>
      </c>
      <c r="D463" s="81" t="s">
        <v>6842</v>
      </c>
      <c r="E463" s="81" t="s">
        <v>6737</v>
      </c>
      <c r="F463" s="81" t="s">
        <v>224</v>
      </c>
      <c r="G463" s="81" t="s">
        <v>224</v>
      </c>
      <c r="H463" s="81" t="s">
        <v>224</v>
      </c>
      <c r="I463" s="81" t="s">
        <v>224</v>
      </c>
      <c r="J463" s="81" t="s">
        <v>6984</v>
      </c>
    </row>
    <row r="464">
      <c r="A464" s="83" t="s">
        <v>7015</v>
      </c>
      <c r="B464" s="83" t="s">
        <v>7016</v>
      </c>
      <c r="C464" s="81" t="s">
        <v>6983</v>
      </c>
      <c r="D464" s="81" t="s">
        <v>6842</v>
      </c>
      <c r="E464" s="81" t="s">
        <v>6738</v>
      </c>
      <c r="F464" s="81" t="s">
        <v>224</v>
      </c>
      <c r="G464" s="81" t="s">
        <v>224</v>
      </c>
      <c r="H464" s="81" t="s">
        <v>224</v>
      </c>
      <c r="I464" s="81" t="s">
        <v>224</v>
      </c>
      <c r="J464" s="81" t="s">
        <v>6984</v>
      </c>
    </row>
    <row r="465">
      <c r="A465" s="83" t="s">
        <v>7015</v>
      </c>
      <c r="B465" s="83" t="s">
        <v>7016</v>
      </c>
      <c r="C465" s="81" t="s">
        <v>6983</v>
      </c>
      <c r="D465" s="81" t="s">
        <v>6842</v>
      </c>
      <c r="E465" s="81" t="s">
        <v>6739</v>
      </c>
      <c r="F465" s="81" t="s">
        <v>224</v>
      </c>
      <c r="G465" s="81" t="s">
        <v>224</v>
      </c>
      <c r="H465" s="81" t="s">
        <v>224</v>
      </c>
      <c r="I465" s="81" t="s">
        <v>224</v>
      </c>
      <c r="J465" s="81" t="s">
        <v>6984</v>
      </c>
    </row>
    <row r="466">
      <c r="A466" s="83" t="s">
        <v>7015</v>
      </c>
      <c r="B466" s="83" t="s">
        <v>7016</v>
      </c>
      <c r="C466" s="81" t="s">
        <v>6983</v>
      </c>
      <c r="D466" s="81" t="s">
        <v>6842</v>
      </c>
      <c r="E466" s="81" t="s">
        <v>6740</v>
      </c>
      <c r="F466" s="81" t="s">
        <v>224</v>
      </c>
      <c r="G466" s="81" t="s">
        <v>224</v>
      </c>
      <c r="H466" s="81" t="s">
        <v>224</v>
      </c>
      <c r="I466" s="81" t="s">
        <v>224</v>
      </c>
      <c r="J466" s="81" t="s">
        <v>6984</v>
      </c>
    </row>
    <row r="467">
      <c r="A467" s="83" t="s">
        <v>7015</v>
      </c>
      <c r="B467" s="83" t="s">
        <v>7016</v>
      </c>
      <c r="C467" s="81" t="s">
        <v>6983</v>
      </c>
      <c r="D467" s="81" t="s">
        <v>6842</v>
      </c>
      <c r="E467" s="81" t="s">
        <v>6741</v>
      </c>
      <c r="F467" s="81" t="s">
        <v>224</v>
      </c>
      <c r="G467" s="81" t="s">
        <v>224</v>
      </c>
      <c r="H467" s="81" t="s">
        <v>224</v>
      </c>
      <c r="I467" s="81" t="s">
        <v>224</v>
      </c>
      <c r="J467" s="81" t="s">
        <v>6984</v>
      </c>
    </row>
    <row r="468">
      <c r="A468" s="83" t="s">
        <v>7015</v>
      </c>
      <c r="B468" s="83" t="s">
        <v>7016</v>
      </c>
      <c r="C468" s="81" t="s">
        <v>6983</v>
      </c>
      <c r="D468" s="81" t="s">
        <v>6842</v>
      </c>
      <c r="E468" s="81" t="s">
        <v>6742</v>
      </c>
      <c r="F468" s="81" t="s">
        <v>224</v>
      </c>
      <c r="G468" s="81" t="s">
        <v>224</v>
      </c>
      <c r="H468" s="81" t="s">
        <v>224</v>
      </c>
      <c r="I468" s="81" t="s">
        <v>224</v>
      </c>
      <c r="J468" s="81" t="s">
        <v>6984</v>
      </c>
    </row>
    <row r="469">
      <c r="A469" s="83" t="s">
        <v>7015</v>
      </c>
      <c r="B469" s="83" t="s">
        <v>7016</v>
      </c>
      <c r="C469" s="81" t="s">
        <v>6983</v>
      </c>
      <c r="D469" s="81" t="s">
        <v>6842</v>
      </c>
      <c r="E469" s="81" t="s">
        <v>6743</v>
      </c>
      <c r="F469" s="81" t="s">
        <v>224</v>
      </c>
      <c r="G469" s="81" t="s">
        <v>224</v>
      </c>
      <c r="H469" s="81" t="s">
        <v>224</v>
      </c>
      <c r="I469" s="81" t="s">
        <v>224</v>
      </c>
      <c r="J469" s="81" t="s">
        <v>6984</v>
      </c>
    </row>
    <row r="470">
      <c r="A470" s="83" t="s">
        <v>7015</v>
      </c>
      <c r="B470" s="83" t="s">
        <v>7016</v>
      </c>
      <c r="C470" s="81" t="s">
        <v>6983</v>
      </c>
      <c r="D470" s="81" t="s">
        <v>6842</v>
      </c>
      <c r="E470" s="81" t="s">
        <v>6744</v>
      </c>
      <c r="F470" s="81" t="s">
        <v>224</v>
      </c>
      <c r="G470" s="81" t="s">
        <v>224</v>
      </c>
      <c r="H470" s="81" t="s">
        <v>224</v>
      </c>
      <c r="I470" s="81" t="s">
        <v>224</v>
      </c>
      <c r="J470" s="81" t="s">
        <v>6984</v>
      </c>
    </row>
    <row r="471">
      <c r="A471" s="83" t="s">
        <v>7015</v>
      </c>
      <c r="B471" s="83" t="s">
        <v>7016</v>
      </c>
      <c r="C471" s="81" t="s">
        <v>6983</v>
      </c>
      <c r="D471" s="81" t="s">
        <v>6842</v>
      </c>
      <c r="E471" s="81" t="s">
        <v>6745</v>
      </c>
      <c r="F471" s="81" t="s">
        <v>224</v>
      </c>
      <c r="G471" s="81" t="s">
        <v>224</v>
      </c>
      <c r="H471" s="81" t="s">
        <v>224</v>
      </c>
      <c r="I471" s="81" t="s">
        <v>224</v>
      </c>
      <c r="J471" s="81" t="s">
        <v>6984</v>
      </c>
    </row>
    <row r="472">
      <c r="A472" s="83" t="s">
        <v>7015</v>
      </c>
      <c r="B472" s="83" t="s">
        <v>7016</v>
      </c>
      <c r="C472" s="81" t="s">
        <v>6983</v>
      </c>
      <c r="D472" s="81" t="s">
        <v>6842</v>
      </c>
      <c r="E472" s="81" t="s">
        <v>6746</v>
      </c>
      <c r="F472" s="81" t="s">
        <v>224</v>
      </c>
      <c r="G472" s="81" t="s">
        <v>224</v>
      </c>
      <c r="H472" s="81" t="s">
        <v>224</v>
      </c>
      <c r="I472" s="81" t="s">
        <v>224</v>
      </c>
      <c r="J472" s="81" t="s">
        <v>6984</v>
      </c>
    </row>
    <row r="473">
      <c r="A473" s="83" t="s">
        <v>7015</v>
      </c>
      <c r="B473" s="83" t="s">
        <v>7016</v>
      </c>
      <c r="C473" s="81" t="s">
        <v>6983</v>
      </c>
      <c r="D473" s="81" t="s">
        <v>6842</v>
      </c>
      <c r="E473" s="81" t="s">
        <v>6985</v>
      </c>
      <c r="F473" s="81" t="s">
        <v>224</v>
      </c>
      <c r="G473" s="81" t="s">
        <v>224</v>
      </c>
      <c r="H473" s="81" t="s">
        <v>224</v>
      </c>
      <c r="I473" s="81" t="s">
        <v>224</v>
      </c>
      <c r="J473" s="81" t="s">
        <v>6984</v>
      </c>
    </row>
    <row r="474">
      <c r="A474" s="83" t="s">
        <v>7015</v>
      </c>
      <c r="B474" s="83" t="s">
        <v>7016</v>
      </c>
      <c r="C474" s="81" t="s">
        <v>6983</v>
      </c>
      <c r="D474" s="81" t="s">
        <v>6842</v>
      </c>
      <c r="E474" s="81" t="s">
        <v>6986</v>
      </c>
      <c r="F474" s="81" t="s">
        <v>224</v>
      </c>
      <c r="G474" s="81" t="s">
        <v>224</v>
      </c>
      <c r="H474" s="81" t="s">
        <v>224</v>
      </c>
      <c r="I474" s="81" t="s">
        <v>224</v>
      </c>
      <c r="J474" s="81" t="s">
        <v>6984</v>
      </c>
    </row>
    <row r="475">
      <c r="A475" s="83" t="s">
        <v>7015</v>
      </c>
      <c r="B475" s="83" t="s">
        <v>7016</v>
      </c>
      <c r="C475" s="81" t="s">
        <v>6983</v>
      </c>
      <c r="D475" s="81" t="s">
        <v>6842</v>
      </c>
      <c r="E475" s="81" t="s">
        <v>6987</v>
      </c>
      <c r="F475" s="81" t="s">
        <v>224</v>
      </c>
      <c r="G475" s="81" t="s">
        <v>224</v>
      </c>
      <c r="H475" s="81" t="s">
        <v>224</v>
      </c>
      <c r="I475" s="81" t="s">
        <v>224</v>
      </c>
      <c r="J475" s="81" t="s">
        <v>6984</v>
      </c>
    </row>
    <row r="476">
      <c r="A476" s="83" t="s">
        <v>7015</v>
      </c>
      <c r="B476" s="83" t="s">
        <v>7016</v>
      </c>
      <c r="C476" s="81" t="s">
        <v>6983</v>
      </c>
      <c r="D476" s="81" t="s">
        <v>6842</v>
      </c>
      <c r="E476" s="81" t="s">
        <v>6988</v>
      </c>
      <c r="F476" s="81" t="s">
        <v>224</v>
      </c>
      <c r="G476" s="81" t="s">
        <v>224</v>
      </c>
      <c r="H476" s="81" t="s">
        <v>224</v>
      </c>
      <c r="I476" s="81" t="s">
        <v>224</v>
      </c>
      <c r="J476" s="81" t="s">
        <v>6984</v>
      </c>
    </row>
    <row r="477">
      <c r="A477" s="83" t="s">
        <v>7015</v>
      </c>
      <c r="B477" s="83" t="s">
        <v>7016</v>
      </c>
      <c r="C477" s="81" t="s">
        <v>6983</v>
      </c>
      <c r="D477" s="81" t="s">
        <v>6842</v>
      </c>
      <c r="E477" s="81" t="s">
        <v>6989</v>
      </c>
      <c r="F477" s="81" t="s">
        <v>224</v>
      </c>
      <c r="G477" s="81" t="s">
        <v>224</v>
      </c>
      <c r="H477" s="81" t="s">
        <v>224</v>
      </c>
      <c r="I477" s="81" t="s">
        <v>224</v>
      </c>
      <c r="J477" s="81" t="s">
        <v>6984</v>
      </c>
    </row>
    <row r="478">
      <c r="A478" s="83" t="s">
        <v>7015</v>
      </c>
      <c r="B478" s="83" t="s">
        <v>7016</v>
      </c>
      <c r="C478" s="81" t="s">
        <v>6983</v>
      </c>
      <c r="D478" s="81" t="s">
        <v>6842</v>
      </c>
      <c r="E478" s="81" t="s">
        <v>6990</v>
      </c>
      <c r="F478" s="81" t="s">
        <v>224</v>
      </c>
      <c r="G478" s="81" t="s">
        <v>224</v>
      </c>
      <c r="H478" s="81" t="s">
        <v>224</v>
      </c>
      <c r="I478" s="81" t="s">
        <v>224</v>
      </c>
      <c r="J478" s="81" t="s">
        <v>6984</v>
      </c>
    </row>
    <row r="479">
      <c r="A479" s="83" t="s">
        <v>7015</v>
      </c>
      <c r="B479" s="83" t="s">
        <v>7016</v>
      </c>
      <c r="C479" s="81" t="s">
        <v>6983</v>
      </c>
      <c r="D479" s="81" t="s">
        <v>6842</v>
      </c>
      <c r="E479" s="81" t="s">
        <v>6991</v>
      </c>
      <c r="F479" s="81" t="s">
        <v>224</v>
      </c>
      <c r="G479" s="81" t="s">
        <v>224</v>
      </c>
      <c r="H479" s="81" t="s">
        <v>224</v>
      </c>
      <c r="I479" s="81" t="s">
        <v>224</v>
      </c>
      <c r="J479" s="81" t="s">
        <v>6984</v>
      </c>
    </row>
    <row r="480">
      <c r="A480" s="83" t="s">
        <v>7015</v>
      </c>
      <c r="B480" s="83" t="s">
        <v>7016</v>
      </c>
      <c r="C480" s="81" t="s">
        <v>6983</v>
      </c>
      <c r="D480" s="81" t="s">
        <v>6842</v>
      </c>
      <c r="E480" s="81" t="s">
        <v>6992</v>
      </c>
      <c r="F480" s="81" t="s">
        <v>224</v>
      </c>
      <c r="G480" s="81" t="s">
        <v>224</v>
      </c>
      <c r="H480" s="81" t="s">
        <v>224</v>
      </c>
      <c r="I480" s="81" t="s">
        <v>224</v>
      </c>
      <c r="J480" s="81" t="s">
        <v>6984</v>
      </c>
    </row>
    <row r="481">
      <c r="A481" s="83" t="s">
        <v>7015</v>
      </c>
      <c r="B481" s="83" t="s">
        <v>7016</v>
      </c>
      <c r="C481" s="81" t="s">
        <v>6983</v>
      </c>
      <c r="D481" s="81" t="s">
        <v>6842</v>
      </c>
      <c r="E481" s="81" t="s">
        <v>5075</v>
      </c>
      <c r="F481" s="81" t="s">
        <v>224</v>
      </c>
      <c r="G481" s="81" t="s">
        <v>224</v>
      </c>
      <c r="H481" s="81" t="s">
        <v>224</v>
      </c>
      <c r="I481" s="81" t="s">
        <v>224</v>
      </c>
      <c r="J481" s="81" t="s">
        <v>6984</v>
      </c>
    </row>
    <row r="482">
      <c r="A482" s="83" t="s">
        <v>7015</v>
      </c>
      <c r="B482" s="83" t="s">
        <v>7016</v>
      </c>
      <c r="C482" s="81" t="s">
        <v>6983</v>
      </c>
      <c r="D482" s="81" t="s">
        <v>6842</v>
      </c>
      <c r="E482" s="81" t="s">
        <v>5073</v>
      </c>
      <c r="F482" s="81" t="s">
        <v>224</v>
      </c>
      <c r="G482" s="81" t="s">
        <v>224</v>
      </c>
      <c r="H482" s="81" t="s">
        <v>224</v>
      </c>
      <c r="I482" s="81" t="s">
        <v>224</v>
      </c>
      <c r="J482" s="81" t="s">
        <v>6984</v>
      </c>
    </row>
    <row r="483">
      <c r="A483" s="83" t="s">
        <v>7015</v>
      </c>
      <c r="B483" s="83" t="s">
        <v>7016</v>
      </c>
      <c r="C483" s="81" t="s">
        <v>6983</v>
      </c>
      <c r="D483" s="81" t="s">
        <v>6842</v>
      </c>
      <c r="E483" s="81" t="s">
        <v>5077</v>
      </c>
      <c r="F483" s="81" t="s">
        <v>224</v>
      </c>
      <c r="G483" s="81" t="s">
        <v>224</v>
      </c>
      <c r="H483" s="81" t="s">
        <v>224</v>
      </c>
      <c r="I483" s="81" t="s">
        <v>224</v>
      </c>
      <c r="J483" s="81" t="s">
        <v>6984</v>
      </c>
    </row>
    <row r="484">
      <c r="A484" s="83" t="s">
        <v>7015</v>
      </c>
      <c r="B484" s="83" t="s">
        <v>7016</v>
      </c>
      <c r="C484" s="81" t="s">
        <v>6983</v>
      </c>
      <c r="D484" s="81" t="s">
        <v>6901</v>
      </c>
      <c r="E484" s="81" t="s">
        <v>6652</v>
      </c>
      <c r="F484" s="81" t="s">
        <v>224</v>
      </c>
      <c r="G484" s="81" t="s">
        <v>224</v>
      </c>
      <c r="H484" s="81" t="s">
        <v>224</v>
      </c>
      <c r="I484" s="81" t="s">
        <v>224</v>
      </c>
      <c r="J484" s="81" t="s">
        <v>6993</v>
      </c>
    </row>
    <row r="485">
      <c r="A485" s="83" t="s">
        <v>7015</v>
      </c>
      <c r="B485" s="83" t="s">
        <v>7016</v>
      </c>
      <c r="C485" s="81" t="s">
        <v>6983</v>
      </c>
      <c r="D485" s="81" t="s">
        <v>6901</v>
      </c>
      <c r="E485" s="81" t="s">
        <v>6654</v>
      </c>
      <c r="F485" s="81" t="s">
        <v>224</v>
      </c>
      <c r="G485" s="81" t="s">
        <v>224</v>
      </c>
      <c r="H485" s="81" t="s">
        <v>224</v>
      </c>
      <c r="I485" s="81" t="s">
        <v>224</v>
      </c>
      <c r="J485" s="81" t="s">
        <v>6993</v>
      </c>
    </row>
    <row r="486">
      <c r="A486" s="83" t="s">
        <v>7015</v>
      </c>
      <c r="B486" s="83" t="s">
        <v>7016</v>
      </c>
      <c r="C486" s="81" t="s">
        <v>6983</v>
      </c>
      <c r="D486" s="81" t="s">
        <v>6901</v>
      </c>
      <c r="E486" s="81" t="s">
        <v>6655</v>
      </c>
      <c r="F486" s="81" t="s">
        <v>224</v>
      </c>
      <c r="G486" s="81" t="s">
        <v>224</v>
      </c>
      <c r="H486" s="81" t="s">
        <v>224</v>
      </c>
      <c r="I486" s="81" t="s">
        <v>224</v>
      </c>
      <c r="J486" s="81" t="s">
        <v>6993</v>
      </c>
    </row>
    <row r="487">
      <c r="A487" s="83" t="s">
        <v>7015</v>
      </c>
      <c r="B487" s="83" t="s">
        <v>7016</v>
      </c>
      <c r="C487" s="81" t="s">
        <v>6983</v>
      </c>
      <c r="D487" s="81" t="s">
        <v>6901</v>
      </c>
      <c r="E487" s="81" t="s">
        <v>6656</v>
      </c>
      <c r="F487" s="81" t="s">
        <v>224</v>
      </c>
      <c r="G487" s="81" t="s">
        <v>224</v>
      </c>
      <c r="H487" s="81" t="s">
        <v>224</v>
      </c>
      <c r="I487" s="81" t="s">
        <v>224</v>
      </c>
      <c r="J487" s="81" t="s">
        <v>6993</v>
      </c>
    </row>
    <row r="488">
      <c r="A488" s="83" t="s">
        <v>7015</v>
      </c>
      <c r="B488" s="83" t="s">
        <v>7016</v>
      </c>
      <c r="C488" s="81" t="s">
        <v>6983</v>
      </c>
      <c r="D488" s="81" t="s">
        <v>6901</v>
      </c>
      <c r="E488" s="81" t="s">
        <v>6657</v>
      </c>
      <c r="F488" s="81" t="s">
        <v>224</v>
      </c>
      <c r="G488" s="81" t="s">
        <v>224</v>
      </c>
      <c r="H488" s="81" t="s">
        <v>224</v>
      </c>
      <c r="I488" s="81" t="s">
        <v>224</v>
      </c>
      <c r="J488" s="81" t="s">
        <v>6993</v>
      </c>
    </row>
    <row r="489">
      <c r="A489" s="83" t="s">
        <v>7015</v>
      </c>
      <c r="B489" s="83" t="s">
        <v>7016</v>
      </c>
      <c r="C489" s="81" t="s">
        <v>6983</v>
      </c>
      <c r="D489" s="81" t="s">
        <v>6901</v>
      </c>
      <c r="E489" s="81" t="s">
        <v>6658</v>
      </c>
      <c r="F489" s="81" t="s">
        <v>224</v>
      </c>
      <c r="G489" s="81" t="s">
        <v>224</v>
      </c>
      <c r="H489" s="81" t="s">
        <v>224</v>
      </c>
      <c r="I489" s="81" t="s">
        <v>224</v>
      </c>
      <c r="J489" s="81" t="s">
        <v>6993</v>
      </c>
    </row>
    <row r="490">
      <c r="A490" s="83" t="s">
        <v>7015</v>
      </c>
      <c r="B490" s="83" t="s">
        <v>7016</v>
      </c>
      <c r="C490" s="81" t="s">
        <v>6983</v>
      </c>
      <c r="D490" s="81" t="s">
        <v>6901</v>
      </c>
      <c r="E490" s="81" t="s">
        <v>6659</v>
      </c>
      <c r="F490" s="81" t="s">
        <v>224</v>
      </c>
      <c r="G490" s="81" t="s">
        <v>224</v>
      </c>
      <c r="H490" s="81" t="s">
        <v>224</v>
      </c>
      <c r="I490" s="81" t="s">
        <v>224</v>
      </c>
      <c r="J490" s="81" t="s">
        <v>6993</v>
      </c>
    </row>
    <row r="491">
      <c r="A491" s="83" t="s">
        <v>7015</v>
      </c>
      <c r="B491" s="83" t="s">
        <v>7016</v>
      </c>
      <c r="C491" s="81" t="s">
        <v>6983</v>
      </c>
      <c r="D491" s="81" t="s">
        <v>6901</v>
      </c>
      <c r="E491" s="81" t="s">
        <v>6660</v>
      </c>
      <c r="F491" s="81" t="s">
        <v>224</v>
      </c>
      <c r="G491" s="81" t="s">
        <v>224</v>
      </c>
      <c r="H491" s="81" t="s">
        <v>224</v>
      </c>
      <c r="I491" s="81" t="s">
        <v>224</v>
      </c>
      <c r="J491" s="81" t="s">
        <v>6993</v>
      </c>
    </row>
    <row r="492">
      <c r="A492" s="83" t="s">
        <v>7015</v>
      </c>
      <c r="B492" s="83" t="s">
        <v>7016</v>
      </c>
      <c r="C492" s="81" t="s">
        <v>6983</v>
      </c>
      <c r="D492" s="81" t="s">
        <v>6901</v>
      </c>
      <c r="E492" s="81" t="s">
        <v>6661</v>
      </c>
      <c r="F492" s="81" t="s">
        <v>224</v>
      </c>
      <c r="G492" s="81" t="s">
        <v>224</v>
      </c>
      <c r="H492" s="81" t="s">
        <v>224</v>
      </c>
      <c r="I492" s="81" t="s">
        <v>224</v>
      </c>
      <c r="J492" s="81" t="s">
        <v>6993</v>
      </c>
    </row>
    <row r="493">
      <c r="A493" s="83" t="s">
        <v>7015</v>
      </c>
      <c r="B493" s="83" t="s">
        <v>7016</v>
      </c>
      <c r="C493" s="81" t="s">
        <v>6983</v>
      </c>
      <c r="D493" s="81" t="s">
        <v>6901</v>
      </c>
      <c r="E493" s="81" t="s">
        <v>6662</v>
      </c>
      <c r="F493" s="81" t="s">
        <v>224</v>
      </c>
      <c r="G493" s="81" t="s">
        <v>224</v>
      </c>
      <c r="H493" s="81" t="s">
        <v>224</v>
      </c>
      <c r="I493" s="81" t="s">
        <v>224</v>
      </c>
      <c r="J493" s="81" t="s">
        <v>6993</v>
      </c>
    </row>
    <row r="494">
      <c r="A494" s="83" t="s">
        <v>7015</v>
      </c>
      <c r="B494" s="83" t="s">
        <v>7016</v>
      </c>
      <c r="C494" s="81" t="s">
        <v>6983</v>
      </c>
      <c r="D494" s="81" t="s">
        <v>6901</v>
      </c>
      <c r="E494" s="81" t="s">
        <v>6663</v>
      </c>
      <c r="F494" s="81" t="s">
        <v>224</v>
      </c>
      <c r="G494" s="81" t="s">
        <v>224</v>
      </c>
      <c r="H494" s="81" t="s">
        <v>224</v>
      </c>
      <c r="I494" s="81" t="s">
        <v>224</v>
      </c>
      <c r="J494" s="81" t="s">
        <v>6993</v>
      </c>
    </row>
    <row r="495">
      <c r="A495" s="83" t="s">
        <v>7015</v>
      </c>
      <c r="B495" s="83" t="s">
        <v>7016</v>
      </c>
      <c r="C495" s="81" t="s">
        <v>6983</v>
      </c>
      <c r="D495" s="81" t="s">
        <v>6901</v>
      </c>
      <c r="E495" s="81" t="s">
        <v>6664</v>
      </c>
      <c r="F495" s="81" t="s">
        <v>224</v>
      </c>
      <c r="G495" s="81" t="s">
        <v>224</v>
      </c>
      <c r="H495" s="81" t="s">
        <v>224</v>
      </c>
      <c r="I495" s="81" t="s">
        <v>224</v>
      </c>
      <c r="J495" s="81" t="s">
        <v>6993</v>
      </c>
    </row>
    <row r="496">
      <c r="A496" s="83" t="s">
        <v>7015</v>
      </c>
      <c r="B496" s="83" t="s">
        <v>7016</v>
      </c>
      <c r="C496" s="81" t="s">
        <v>6983</v>
      </c>
      <c r="D496" s="81" t="s">
        <v>6901</v>
      </c>
      <c r="E496" s="81" t="s">
        <v>6665</v>
      </c>
      <c r="F496" s="81" t="s">
        <v>224</v>
      </c>
      <c r="G496" s="81" t="s">
        <v>224</v>
      </c>
      <c r="H496" s="81" t="s">
        <v>224</v>
      </c>
      <c r="I496" s="81" t="s">
        <v>224</v>
      </c>
      <c r="J496" s="81" t="s">
        <v>6993</v>
      </c>
    </row>
    <row r="497">
      <c r="A497" s="83" t="s">
        <v>7015</v>
      </c>
      <c r="B497" s="83" t="s">
        <v>7016</v>
      </c>
      <c r="C497" s="81" t="s">
        <v>6983</v>
      </c>
      <c r="D497" s="81" t="s">
        <v>6901</v>
      </c>
      <c r="E497" s="81" t="s">
        <v>6666</v>
      </c>
      <c r="F497" s="81" t="s">
        <v>224</v>
      </c>
      <c r="G497" s="81" t="s">
        <v>224</v>
      </c>
      <c r="H497" s="81" t="s">
        <v>224</v>
      </c>
      <c r="I497" s="81" t="s">
        <v>224</v>
      </c>
      <c r="J497" s="81" t="s">
        <v>6993</v>
      </c>
    </row>
    <row r="498">
      <c r="A498" s="83" t="s">
        <v>7015</v>
      </c>
      <c r="B498" s="83" t="s">
        <v>7016</v>
      </c>
      <c r="C498" s="81" t="s">
        <v>6983</v>
      </c>
      <c r="D498" s="81" t="s">
        <v>6901</v>
      </c>
      <c r="E498" s="81" t="s">
        <v>6667</v>
      </c>
      <c r="F498" s="81" t="s">
        <v>224</v>
      </c>
      <c r="G498" s="81" t="s">
        <v>224</v>
      </c>
      <c r="H498" s="81" t="s">
        <v>224</v>
      </c>
      <c r="I498" s="81" t="s">
        <v>224</v>
      </c>
      <c r="J498" s="81" t="s">
        <v>6993</v>
      </c>
    </row>
    <row r="499">
      <c r="A499" s="83" t="s">
        <v>7015</v>
      </c>
      <c r="B499" s="83" t="s">
        <v>7016</v>
      </c>
      <c r="C499" s="81" t="s">
        <v>6983</v>
      </c>
      <c r="D499" s="81" t="s">
        <v>6901</v>
      </c>
      <c r="E499" s="81" t="s">
        <v>6668</v>
      </c>
      <c r="F499" s="81" t="s">
        <v>224</v>
      </c>
      <c r="G499" s="81" t="s">
        <v>224</v>
      </c>
      <c r="H499" s="81" t="s">
        <v>224</v>
      </c>
      <c r="I499" s="81" t="s">
        <v>224</v>
      </c>
      <c r="J499" s="81" t="s">
        <v>6993</v>
      </c>
    </row>
    <row r="500">
      <c r="A500" s="83" t="s">
        <v>7015</v>
      </c>
      <c r="B500" s="83" t="s">
        <v>7016</v>
      </c>
      <c r="C500" s="81" t="s">
        <v>6983</v>
      </c>
      <c r="D500" s="81" t="s">
        <v>6901</v>
      </c>
      <c r="E500" s="81" t="s">
        <v>6669</v>
      </c>
      <c r="F500" s="81" t="s">
        <v>224</v>
      </c>
      <c r="G500" s="81" t="s">
        <v>224</v>
      </c>
      <c r="H500" s="81" t="s">
        <v>224</v>
      </c>
      <c r="I500" s="81" t="s">
        <v>224</v>
      </c>
      <c r="J500" s="81" t="s">
        <v>6993</v>
      </c>
    </row>
    <row r="501">
      <c r="A501" s="83" t="s">
        <v>7015</v>
      </c>
      <c r="B501" s="83" t="s">
        <v>7016</v>
      </c>
      <c r="C501" s="81" t="s">
        <v>6983</v>
      </c>
      <c r="D501" s="81" t="s">
        <v>6901</v>
      </c>
      <c r="E501" s="81" t="s">
        <v>6670</v>
      </c>
      <c r="F501" s="81" t="s">
        <v>224</v>
      </c>
      <c r="G501" s="81" t="s">
        <v>224</v>
      </c>
      <c r="H501" s="81" t="s">
        <v>224</v>
      </c>
      <c r="I501" s="81" t="s">
        <v>224</v>
      </c>
      <c r="J501" s="81" t="s">
        <v>6993</v>
      </c>
    </row>
    <row r="502">
      <c r="A502" s="83" t="s">
        <v>7015</v>
      </c>
      <c r="B502" s="83" t="s">
        <v>7016</v>
      </c>
      <c r="C502" s="81" t="s">
        <v>6983</v>
      </c>
      <c r="D502" s="81" t="s">
        <v>6901</v>
      </c>
      <c r="E502" s="81" t="s">
        <v>6671</v>
      </c>
      <c r="F502" s="81" t="s">
        <v>224</v>
      </c>
      <c r="G502" s="81" t="s">
        <v>224</v>
      </c>
      <c r="H502" s="81" t="s">
        <v>224</v>
      </c>
      <c r="I502" s="81" t="s">
        <v>224</v>
      </c>
      <c r="J502" s="81" t="s">
        <v>6993</v>
      </c>
    </row>
    <row r="503">
      <c r="A503" s="83" t="s">
        <v>7015</v>
      </c>
      <c r="B503" s="83" t="s">
        <v>7016</v>
      </c>
      <c r="C503" s="81" t="s">
        <v>6983</v>
      </c>
      <c r="D503" s="81" t="s">
        <v>6901</v>
      </c>
      <c r="E503" s="81" t="s">
        <v>6672</v>
      </c>
      <c r="F503" s="81" t="s">
        <v>224</v>
      </c>
      <c r="G503" s="81" t="s">
        <v>224</v>
      </c>
      <c r="H503" s="81" t="s">
        <v>224</v>
      </c>
      <c r="I503" s="81" t="s">
        <v>224</v>
      </c>
      <c r="J503" s="81" t="s">
        <v>6993</v>
      </c>
    </row>
    <row r="504">
      <c r="A504" s="83" t="s">
        <v>7015</v>
      </c>
      <c r="B504" s="83" t="s">
        <v>7016</v>
      </c>
      <c r="C504" s="81" t="s">
        <v>6983</v>
      </c>
      <c r="D504" s="81" t="s">
        <v>6901</v>
      </c>
      <c r="E504" s="81" t="s">
        <v>6673</v>
      </c>
      <c r="F504" s="81" t="s">
        <v>224</v>
      </c>
      <c r="G504" s="81" t="s">
        <v>224</v>
      </c>
      <c r="H504" s="81" t="s">
        <v>224</v>
      </c>
      <c r="I504" s="81" t="s">
        <v>224</v>
      </c>
      <c r="J504" s="81" t="s">
        <v>6993</v>
      </c>
    </row>
    <row r="505">
      <c r="A505" s="83" t="s">
        <v>7015</v>
      </c>
      <c r="B505" s="83" t="s">
        <v>7016</v>
      </c>
      <c r="C505" s="81" t="s">
        <v>6983</v>
      </c>
      <c r="D505" s="81" t="s">
        <v>6901</v>
      </c>
      <c r="E505" s="81" t="s">
        <v>6674</v>
      </c>
      <c r="F505" s="81" t="s">
        <v>224</v>
      </c>
      <c r="G505" s="81" t="s">
        <v>224</v>
      </c>
      <c r="H505" s="81" t="s">
        <v>224</v>
      </c>
      <c r="I505" s="81" t="s">
        <v>224</v>
      </c>
      <c r="J505" s="81" t="s">
        <v>6993</v>
      </c>
    </row>
    <row r="506">
      <c r="A506" s="83" t="s">
        <v>7015</v>
      </c>
      <c r="B506" s="83" t="s">
        <v>7016</v>
      </c>
      <c r="C506" s="81" t="s">
        <v>6983</v>
      </c>
      <c r="D506" s="81" t="s">
        <v>6901</v>
      </c>
      <c r="E506" s="81" t="s">
        <v>6675</v>
      </c>
      <c r="F506" s="81" t="s">
        <v>224</v>
      </c>
      <c r="G506" s="81" t="s">
        <v>224</v>
      </c>
      <c r="H506" s="81" t="s">
        <v>224</v>
      </c>
      <c r="I506" s="81" t="s">
        <v>224</v>
      </c>
      <c r="J506" s="81" t="s">
        <v>6993</v>
      </c>
    </row>
    <row r="507">
      <c r="A507" s="83" t="s">
        <v>7015</v>
      </c>
      <c r="B507" s="83" t="s">
        <v>7016</v>
      </c>
      <c r="C507" s="81" t="s">
        <v>6983</v>
      </c>
      <c r="D507" s="81" t="s">
        <v>6901</v>
      </c>
      <c r="E507" s="81" t="s">
        <v>6676</v>
      </c>
      <c r="F507" s="81" t="s">
        <v>224</v>
      </c>
      <c r="G507" s="81" t="s">
        <v>224</v>
      </c>
      <c r="H507" s="81" t="s">
        <v>224</v>
      </c>
      <c r="I507" s="81" t="s">
        <v>224</v>
      </c>
      <c r="J507" s="81" t="s">
        <v>6993</v>
      </c>
    </row>
    <row r="508">
      <c r="A508" s="83" t="s">
        <v>7015</v>
      </c>
      <c r="B508" s="83" t="s">
        <v>7016</v>
      </c>
      <c r="C508" s="81" t="s">
        <v>6983</v>
      </c>
      <c r="D508" s="81" t="s">
        <v>6901</v>
      </c>
      <c r="E508" s="81" t="s">
        <v>6677</v>
      </c>
      <c r="F508" s="81" t="s">
        <v>224</v>
      </c>
      <c r="G508" s="81" t="s">
        <v>224</v>
      </c>
      <c r="H508" s="81" t="s">
        <v>224</v>
      </c>
      <c r="I508" s="81" t="s">
        <v>224</v>
      </c>
      <c r="J508" s="81" t="s">
        <v>6993</v>
      </c>
    </row>
    <row r="509">
      <c r="A509" s="83" t="s">
        <v>7015</v>
      </c>
      <c r="B509" s="83" t="s">
        <v>7016</v>
      </c>
      <c r="C509" s="81" t="s">
        <v>6983</v>
      </c>
      <c r="D509" s="81" t="s">
        <v>6901</v>
      </c>
      <c r="E509" s="81" t="s">
        <v>6678</v>
      </c>
      <c r="F509" s="81" t="s">
        <v>224</v>
      </c>
      <c r="G509" s="81" t="s">
        <v>224</v>
      </c>
      <c r="H509" s="81" t="s">
        <v>224</v>
      </c>
      <c r="I509" s="81" t="s">
        <v>224</v>
      </c>
      <c r="J509" s="81" t="s">
        <v>6993</v>
      </c>
    </row>
    <row r="510">
      <c r="A510" s="83" t="s">
        <v>7015</v>
      </c>
      <c r="B510" s="83" t="s">
        <v>7016</v>
      </c>
      <c r="C510" s="81" t="s">
        <v>6983</v>
      </c>
      <c r="D510" s="81" t="s">
        <v>6901</v>
      </c>
      <c r="E510" s="81" t="s">
        <v>6679</v>
      </c>
      <c r="F510" s="81" t="s">
        <v>224</v>
      </c>
      <c r="G510" s="81" t="s">
        <v>224</v>
      </c>
      <c r="H510" s="81" t="s">
        <v>224</v>
      </c>
      <c r="I510" s="81" t="s">
        <v>224</v>
      </c>
      <c r="J510" s="81" t="s">
        <v>6993</v>
      </c>
    </row>
    <row r="511">
      <c r="A511" s="83" t="s">
        <v>7015</v>
      </c>
      <c r="B511" s="83" t="s">
        <v>7016</v>
      </c>
      <c r="C511" s="81" t="s">
        <v>6983</v>
      </c>
      <c r="D511" s="81" t="s">
        <v>6901</v>
      </c>
      <c r="E511" s="81" t="s">
        <v>6680</v>
      </c>
      <c r="F511" s="81" t="s">
        <v>224</v>
      </c>
      <c r="G511" s="81" t="s">
        <v>224</v>
      </c>
      <c r="H511" s="81" t="s">
        <v>224</v>
      </c>
      <c r="I511" s="81" t="s">
        <v>224</v>
      </c>
      <c r="J511" s="81" t="s">
        <v>6993</v>
      </c>
    </row>
    <row r="512">
      <c r="A512" s="83" t="s">
        <v>7015</v>
      </c>
      <c r="B512" s="83" t="s">
        <v>7016</v>
      </c>
      <c r="C512" s="81" t="s">
        <v>6983</v>
      </c>
      <c r="D512" s="81" t="s">
        <v>6901</v>
      </c>
      <c r="E512" s="81" t="s">
        <v>6681</v>
      </c>
      <c r="F512" s="81" t="s">
        <v>224</v>
      </c>
      <c r="G512" s="81" t="s">
        <v>224</v>
      </c>
      <c r="H512" s="81" t="s">
        <v>224</v>
      </c>
      <c r="I512" s="81" t="s">
        <v>224</v>
      </c>
      <c r="J512" s="81" t="s">
        <v>6993</v>
      </c>
    </row>
    <row r="513">
      <c r="A513" s="83" t="s">
        <v>7015</v>
      </c>
      <c r="B513" s="83" t="s">
        <v>7016</v>
      </c>
      <c r="C513" s="81" t="s">
        <v>6983</v>
      </c>
      <c r="D513" s="81" t="s">
        <v>6901</v>
      </c>
      <c r="E513" s="81" t="s">
        <v>6682</v>
      </c>
      <c r="F513" s="81" t="s">
        <v>224</v>
      </c>
      <c r="G513" s="81" t="s">
        <v>224</v>
      </c>
      <c r="H513" s="81" t="s">
        <v>224</v>
      </c>
      <c r="I513" s="81" t="s">
        <v>224</v>
      </c>
      <c r="J513" s="81" t="s">
        <v>6993</v>
      </c>
    </row>
    <row r="514">
      <c r="A514" s="83" t="s">
        <v>7015</v>
      </c>
      <c r="B514" s="83" t="s">
        <v>7016</v>
      </c>
      <c r="C514" s="81" t="s">
        <v>6983</v>
      </c>
      <c r="D514" s="81" t="s">
        <v>6901</v>
      </c>
      <c r="E514" s="81" t="s">
        <v>6683</v>
      </c>
      <c r="F514" s="81" t="s">
        <v>224</v>
      </c>
      <c r="G514" s="81" t="s">
        <v>224</v>
      </c>
      <c r="H514" s="81" t="s">
        <v>224</v>
      </c>
      <c r="I514" s="81" t="s">
        <v>224</v>
      </c>
      <c r="J514" s="81" t="s">
        <v>6993</v>
      </c>
    </row>
    <row r="515">
      <c r="A515" s="83" t="s">
        <v>7015</v>
      </c>
      <c r="B515" s="83" t="s">
        <v>7016</v>
      </c>
      <c r="C515" s="81" t="s">
        <v>6983</v>
      </c>
      <c r="D515" s="81" t="s">
        <v>6901</v>
      </c>
      <c r="E515" s="81" t="s">
        <v>6684</v>
      </c>
      <c r="F515" s="81" t="s">
        <v>224</v>
      </c>
      <c r="G515" s="81" t="s">
        <v>224</v>
      </c>
      <c r="H515" s="81" t="s">
        <v>224</v>
      </c>
      <c r="I515" s="81" t="s">
        <v>224</v>
      </c>
      <c r="J515" s="81" t="s">
        <v>6993</v>
      </c>
    </row>
    <row r="516">
      <c r="A516" s="83" t="s">
        <v>7015</v>
      </c>
      <c r="B516" s="83" t="s">
        <v>7016</v>
      </c>
      <c r="C516" s="81" t="s">
        <v>6983</v>
      </c>
      <c r="D516" s="81" t="s">
        <v>6901</v>
      </c>
      <c r="E516" s="81" t="s">
        <v>6685</v>
      </c>
      <c r="F516" s="81" t="s">
        <v>224</v>
      </c>
      <c r="G516" s="81" t="s">
        <v>224</v>
      </c>
      <c r="H516" s="81" t="s">
        <v>224</v>
      </c>
      <c r="I516" s="81" t="s">
        <v>224</v>
      </c>
      <c r="J516" s="81" t="s">
        <v>6993</v>
      </c>
    </row>
    <row r="517">
      <c r="A517" s="83" t="s">
        <v>7015</v>
      </c>
      <c r="B517" s="83" t="s">
        <v>7016</v>
      </c>
      <c r="C517" s="81" t="s">
        <v>6983</v>
      </c>
      <c r="D517" s="81" t="s">
        <v>6901</v>
      </c>
      <c r="E517" s="81" t="s">
        <v>6686</v>
      </c>
      <c r="F517" s="81" t="s">
        <v>224</v>
      </c>
      <c r="G517" s="81" t="s">
        <v>224</v>
      </c>
      <c r="H517" s="81" t="s">
        <v>224</v>
      </c>
      <c r="I517" s="81" t="s">
        <v>224</v>
      </c>
      <c r="J517" s="81" t="s">
        <v>6993</v>
      </c>
    </row>
    <row r="518">
      <c r="A518" s="83" t="s">
        <v>7015</v>
      </c>
      <c r="B518" s="83" t="s">
        <v>7016</v>
      </c>
      <c r="C518" s="81" t="s">
        <v>6983</v>
      </c>
      <c r="D518" s="81" t="s">
        <v>6901</v>
      </c>
      <c r="E518" s="81" t="s">
        <v>6687</v>
      </c>
      <c r="F518" s="81" t="s">
        <v>224</v>
      </c>
      <c r="G518" s="81" t="s">
        <v>224</v>
      </c>
      <c r="H518" s="81" t="s">
        <v>224</v>
      </c>
      <c r="I518" s="81" t="s">
        <v>224</v>
      </c>
      <c r="J518" s="81" t="s">
        <v>6993</v>
      </c>
    </row>
    <row r="519">
      <c r="A519" s="83" t="s">
        <v>7015</v>
      </c>
      <c r="B519" s="83" t="s">
        <v>7016</v>
      </c>
      <c r="C519" s="81" t="s">
        <v>6983</v>
      </c>
      <c r="D519" s="81" t="s">
        <v>6901</v>
      </c>
      <c r="E519" s="81" t="s">
        <v>6688</v>
      </c>
      <c r="F519" s="81" t="s">
        <v>224</v>
      </c>
      <c r="G519" s="81" t="s">
        <v>224</v>
      </c>
      <c r="H519" s="81" t="s">
        <v>224</v>
      </c>
      <c r="I519" s="81" t="s">
        <v>224</v>
      </c>
      <c r="J519" s="81" t="s">
        <v>6993</v>
      </c>
    </row>
    <row r="520">
      <c r="A520" s="83" t="s">
        <v>7015</v>
      </c>
      <c r="B520" s="83" t="s">
        <v>7016</v>
      </c>
      <c r="C520" s="81" t="s">
        <v>6983</v>
      </c>
      <c r="D520" s="81" t="s">
        <v>6901</v>
      </c>
      <c r="E520" s="81" t="s">
        <v>6689</v>
      </c>
      <c r="F520" s="81" t="s">
        <v>224</v>
      </c>
      <c r="G520" s="81" t="s">
        <v>224</v>
      </c>
      <c r="H520" s="81" t="s">
        <v>224</v>
      </c>
      <c r="I520" s="81" t="s">
        <v>224</v>
      </c>
      <c r="J520" s="81" t="s">
        <v>6993</v>
      </c>
    </row>
    <row r="521">
      <c r="A521" s="83" t="s">
        <v>7015</v>
      </c>
      <c r="B521" s="83" t="s">
        <v>7016</v>
      </c>
      <c r="C521" s="81" t="s">
        <v>6983</v>
      </c>
      <c r="D521" s="81" t="s">
        <v>6901</v>
      </c>
      <c r="E521" s="81" t="s">
        <v>6690</v>
      </c>
      <c r="F521" s="81" t="s">
        <v>224</v>
      </c>
      <c r="G521" s="81" t="s">
        <v>224</v>
      </c>
      <c r="H521" s="81" t="s">
        <v>224</v>
      </c>
      <c r="I521" s="81" t="s">
        <v>224</v>
      </c>
      <c r="J521" s="81" t="s">
        <v>6993</v>
      </c>
    </row>
    <row r="522">
      <c r="A522" s="83" t="s">
        <v>7015</v>
      </c>
      <c r="B522" s="83" t="s">
        <v>7016</v>
      </c>
      <c r="C522" s="81" t="s">
        <v>6983</v>
      </c>
      <c r="D522" s="81" t="s">
        <v>6901</v>
      </c>
      <c r="E522" s="81" t="s">
        <v>6691</v>
      </c>
      <c r="F522" s="81" t="s">
        <v>224</v>
      </c>
      <c r="G522" s="81" t="s">
        <v>224</v>
      </c>
      <c r="H522" s="81" t="s">
        <v>224</v>
      </c>
      <c r="I522" s="81" t="s">
        <v>224</v>
      </c>
      <c r="J522" s="81" t="s">
        <v>6993</v>
      </c>
    </row>
    <row r="523">
      <c r="A523" s="83" t="s">
        <v>7015</v>
      </c>
      <c r="B523" s="83" t="s">
        <v>7016</v>
      </c>
      <c r="C523" s="81" t="s">
        <v>6983</v>
      </c>
      <c r="D523" s="81" t="s">
        <v>6901</v>
      </c>
      <c r="E523" s="81" t="s">
        <v>6692</v>
      </c>
      <c r="F523" s="81" t="s">
        <v>224</v>
      </c>
      <c r="G523" s="81" t="s">
        <v>224</v>
      </c>
      <c r="H523" s="81" t="s">
        <v>224</v>
      </c>
      <c r="I523" s="81" t="s">
        <v>224</v>
      </c>
      <c r="J523" s="81" t="s">
        <v>6993</v>
      </c>
    </row>
    <row r="524">
      <c r="A524" s="83" t="s">
        <v>7015</v>
      </c>
      <c r="B524" s="83" t="s">
        <v>7016</v>
      </c>
      <c r="C524" s="81" t="s">
        <v>6983</v>
      </c>
      <c r="D524" s="81" t="s">
        <v>6901</v>
      </c>
      <c r="E524" s="81" t="s">
        <v>6702</v>
      </c>
      <c r="F524" s="81" t="s">
        <v>224</v>
      </c>
      <c r="G524" s="81" t="s">
        <v>224</v>
      </c>
      <c r="H524" s="81" t="s">
        <v>224</v>
      </c>
      <c r="I524" s="81" t="s">
        <v>224</v>
      </c>
      <c r="J524" s="81" t="s">
        <v>6993</v>
      </c>
    </row>
    <row r="525">
      <c r="A525" s="83" t="s">
        <v>7015</v>
      </c>
      <c r="B525" s="83" t="s">
        <v>7016</v>
      </c>
      <c r="C525" s="81" t="s">
        <v>6983</v>
      </c>
      <c r="D525" s="81" t="s">
        <v>6901</v>
      </c>
      <c r="E525" s="81" t="s">
        <v>6703</v>
      </c>
      <c r="F525" s="81" t="s">
        <v>224</v>
      </c>
      <c r="G525" s="81" t="s">
        <v>224</v>
      </c>
      <c r="H525" s="81" t="s">
        <v>224</v>
      </c>
      <c r="I525" s="81" t="s">
        <v>224</v>
      </c>
      <c r="J525" s="81" t="s">
        <v>6993</v>
      </c>
    </row>
    <row r="526">
      <c r="A526" s="83" t="s">
        <v>7015</v>
      </c>
      <c r="B526" s="83" t="s">
        <v>7016</v>
      </c>
      <c r="C526" s="81" t="s">
        <v>6983</v>
      </c>
      <c r="D526" s="81" t="s">
        <v>6901</v>
      </c>
      <c r="E526" s="81" t="s">
        <v>6704</v>
      </c>
      <c r="F526" s="81" t="s">
        <v>224</v>
      </c>
      <c r="G526" s="81" t="s">
        <v>224</v>
      </c>
      <c r="H526" s="81" t="s">
        <v>224</v>
      </c>
      <c r="I526" s="81" t="s">
        <v>224</v>
      </c>
      <c r="J526" s="81" t="s">
        <v>6993</v>
      </c>
    </row>
    <row r="527">
      <c r="A527" s="83" t="s">
        <v>7015</v>
      </c>
      <c r="B527" s="83" t="s">
        <v>7016</v>
      </c>
      <c r="C527" s="81" t="s">
        <v>6983</v>
      </c>
      <c r="D527" s="81" t="s">
        <v>6901</v>
      </c>
      <c r="E527" s="81" t="s">
        <v>6705</v>
      </c>
      <c r="F527" s="81" t="s">
        <v>224</v>
      </c>
      <c r="G527" s="81" t="s">
        <v>224</v>
      </c>
      <c r="H527" s="81" t="s">
        <v>224</v>
      </c>
      <c r="I527" s="81" t="s">
        <v>224</v>
      </c>
      <c r="J527" s="81" t="s">
        <v>6993</v>
      </c>
    </row>
    <row r="528">
      <c r="A528" s="83" t="s">
        <v>7015</v>
      </c>
      <c r="B528" s="83" t="s">
        <v>7016</v>
      </c>
      <c r="C528" s="81" t="s">
        <v>6983</v>
      </c>
      <c r="D528" s="81" t="s">
        <v>6901</v>
      </c>
      <c r="E528" s="81" t="s">
        <v>6706</v>
      </c>
      <c r="F528" s="81" t="s">
        <v>224</v>
      </c>
      <c r="G528" s="81" t="s">
        <v>224</v>
      </c>
      <c r="H528" s="81" t="s">
        <v>224</v>
      </c>
      <c r="I528" s="81" t="s">
        <v>224</v>
      </c>
      <c r="J528" s="81" t="s">
        <v>6993</v>
      </c>
    </row>
    <row r="529">
      <c r="A529" s="83" t="s">
        <v>7015</v>
      </c>
      <c r="B529" s="83" t="s">
        <v>7016</v>
      </c>
      <c r="C529" s="81" t="s">
        <v>6983</v>
      </c>
      <c r="D529" s="81" t="s">
        <v>6901</v>
      </c>
      <c r="E529" s="81" t="s">
        <v>6707</v>
      </c>
      <c r="F529" s="81" t="s">
        <v>224</v>
      </c>
      <c r="G529" s="81" t="s">
        <v>224</v>
      </c>
      <c r="H529" s="81" t="s">
        <v>224</v>
      </c>
      <c r="I529" s="81" t="s">
        <v>224</v>
      </c>
      <c r="J529" s="81" t="s">
        <v>6993</v>
      </c>
    </row>
    <row r="530">
      <c r="A530" s="83" t="s">
        <v>7015</v>
      </c>
      <c r="B530" s="83" t="s">
        <v>7016</v>
      </c>
      <c r="C530" s="81" t="s">
        <v>6983</v>
      </c>
      <c r="D530" s="81" t="s">
        <v>6901</v>
      </c>
      <c r="E530" s="81" t="s">
        <v>6708</v>
      </c>
      <c r="F530" s="81" t="s">
        <v>224</v>
      </c>
      <c r="G530" s="81" t="s">
        <v>224</v>
      </c>
      <c r="H530" s="81" t="s">
        <v>224</v>
      </c>
      <c r="I530" s="81" t="s">
        <v>224</v>
      </c>
      <c r="J530" s="81" t="s">
        <v>6993</v>
      </c>
    </row>
    <row r="531">
      <c r="A531" s="83" t="s">
        <v>7015</v>
      </c>
      <c r="B531" s="83" t="s">
        <v>7016</v>
      </c>
      <c r="C531" s="81" t="s">
        <v>6983</v>
      </c>
      <c r="D531" s="81" t="s">
        <v>6901</v>
      </c>
      <c r="E531" s="81" t="s">
        <v>6709</v>
      </c>
      <c r="F531" s="81" t="s">
        <v>224</v>
      </c>
      <c r="G531" s="81" t="s">
        <v>224</v>
      </c>
      <c r="H531" s="81" t="s">
        <v>224</v>
      </c>
      <c r="I531" s="81" t="s">
        <v>224</v>
      </c>
      <c r="J531" s="81" t="s">
        <v>6993</v>
      </c>
    </row>
    <row r="532">
      <c r="A532" s="83" t="s">
        <v>7015</v>
      </c>
      <c r="B532" s="83" t="s">
        <v>7016</v>
      </c>
      <c r="C532" s="81" t="s">
        <v>6983</v>
      </c>
      <c r="D532" s="81" t="s">
        <v>6901</v>
      </c>
      <c r="E532" s="81" t="s">
        <v>6710</v>
      </c>
      <c r="F532" s="81" t="s">
        <v>224</v>
      </c>
      <c r="G532" s="81" t="s">
        <v>224</v>
      </c>
      <c r="H532" s="81" t="s">
        <v>224</v>
      </c>
      <c r="I532" s="81" t="s">
        <v>224</v>
      </c>
      <c r="J532" s="81" t="s">
        <v>6993</v>
      </c>
    </row>
    <row r="533">
      <c r="A533" s="83" t="s">
        <v>7015</v>
      </c>
      <c r="B533" s="83" t="s">
        <v>7016</v>
      </c>
      <c r="C533" s="81" t="s">
        <v>6983</v>
      </c>
      <c r="D533" s="81" t="s">
        <v>6901</v>
      </c>
      <c r="E533" s="81" t="s">
        <v>6711</v>
      </c>
      <c r="F533" s="81" t="s">
        <v>224</v>
      </c>
      <c r="G533" s="81" t="s">
        <v>224</v>
      </c>
      <c r="H533" s="81" t="s">
        <v>224</v>
      </c>
      <c r="I533" s="81" t="s">
        <v>224</v>
      </c>
      <c r="J533" s="81" t="s">
        <v>6993</v>
      </c>
    </row>
    <row r="534">
      <c r="A534" s="83" t="s">
        <v>7015</v>
      </c>
      <c r="B534" s="83" t="s">
        <v>7016</v>
      </c>
      <c r="C534" s="81" t="s">
        <v>6983</v>
      </c>
      <c r="D534" s="81" t="s">
        <v>6901</v>
      </c>
      <c r="E534" s="81" t="s">
        <v>6712</v>
      </c>
      <c r="F534" s="81" t="s">
        <v>224</v>
      </c>
      <c r="G534" s="81" t="s">
        <v>224</v>
      </c>
      <c r="H534" s="81" t="s">
        <v>224</v>
      </c>
      <c r="I534" s="81" t="s">
        <v>224</v>
      </c>
      <c r="J534" s="81" t="s">
        <v>6993</v>
      </c>
    </row>
    <row r="535">
      <c r="A535" s="83" t="s">
        <v>7015</v>
      </c>
      <c r="B535" s="83" t="s">
        <v>7016</v>
      </c>
      <c r="C535" s="81" t="s">
        <v>6983</v>
      </c>
      <c r="D535" s="81" t="s">
        <v>6901</v>
      </c>
      <c r="E535" s="81" t="s">
        <v>6713</v>
      </c>
      <c r="F535" s="81" t="s">
        <v>224</v>
      </c>
      <c r="G535" s="81" t="s">
        <v>224</v>
      </c>
      <c r="H535" s="81" t="s">
        <v>224</v>
      </c>
      <c r="I535" s="81" t="s">
        <v>224</v>
      </c>
      <c r="J535" s="81" t="s">
        <v>6993</v>
      </c>
    </row>
    <row r="536">
      <c r="A536" s="83" t="s">
        <v>7015</v>
      </c>
      <c r="B536" s="83" t="s">
        <v>7016</v>
      </c>
      <c r="C536" s="81" t="s">
        <v>4084</v>
      </c>
      <c r="D536" s="81" t="s">
        <v>6901</v>
      </c>
      <c r="E536" s="81" t="s">
        <v>1197</v>
      </c>
      <c r="F536" s="81" t="s">
        <v>6998</v>
      </c>
      <c r="G536" s="81" t="s">
        <v>7022</v>
      </c>
      <c r="H536" s="81" t="s">
        <v>224</v>
      </c>
      <c r="I536" s="81" t="s">
        <v>224</v>
      </c>
      <c r="J536" s="81" t="s">
        <v>7023</v>
      </c>
    </row>
    <row r="537">
      <c r="A537" s="83" t="s">
        <v>7015</v>
      </c>
      <c r="B537" s="83" t="s">
        <v>7016</v>
      </c>
      <c r="C537" s="81" t="s">
        <v>6983</v>
      </c>
      <c r="D537" s="81" t="s">
        <v>6901</v>
      </c>
      <c r="E537" s="81" t="s">
        <v>6362</v>
      </c>
      <c r="F537" s="81" t="s">
        <v>224</v>
      </c>
      <c r="G537" s="81" t="s">
        <v>224</v>
      </c>
      <c r="H537" s="81" t="s">
        <v>224</v>
      </c>
      <c r="I537" s="81" t="s">
        <v>224</v>
      </c>
      <c r="J537" s="81" t="s">
        <v>6993</v>
      </c>
    </row>
    <row r="538">
      <c r="A538" s="83" t="s">
        <v>7015</v>
      </c>
      <c r="B538" s="83" t="s">
        <v>7016</v>
      </c>
      <c r="C538" s="81" t="s">
        <v>4084</v>
      </c>
      <c r="D538" s="81" t="s">
        <v>6901</v>
      </c>
      <c r="E538" s="81" t="s">
        <v>1321</v>
      </c>
      <c r="F538" s="81" t="s">
        <v>7001</v>
      </c>
      <c r="G538" s="81" t="s">
        <v>7024</v>
      </c>
      <c r="H538" s="81" t="s">
        <v>224</v>
      </c>
      <c r="I538" s="81" t="s">
        <v>224</v>
      </c>
      <c r="J538" s="81" t="s">
        <v>7025</v>
      </c>
    </row>
    <row r="539">
      <c r="A539" s="83" t="s">
        <v>7026</v>
      </c>
      <c r="B539" s="83" t="s">
        <v>7027</v>
      </c>
      <c r="C539" s="81" t="s">
        <v>4080</v>
      </c>
      <c r="D539" s="81" t="s">
        <v>224</v>
      </c>
      <c r="E539" s="81" t="s">
        <v>224</v>
      </c>
      <c r="F539" s="81" t="s">
        <v>224</v>
      </c>
      <c r="G539" s="81" t="s">
        <v>224</v>
      </c>
      <c r="H539" s="81" t="s">
        <v>224</v>
      </c>
      <c r="I539" s="81" t="s">
        <v>224</v>
      </c>
      <c r="J539" s="81" t="s">
        <v>7028</v>
      </c>
    </row>
    <row r="540">
      <c r="A540" s="83" t="s">
        <v>7026</v>
      </c>
      <c r="B540" s="83" t="s">
        <v>7027</v>
      </c>
      <c r="C540" s="81" t="s">
        <v>7006</v>
      </c>
      <c r="D540" s="81" t="s">
        <v>224</v>
      </c>
      <c r="E540" s="83" t="s">
        <v>7018</v>
      </c>
      <c r="F540" s="81" t="s">
        <v>224</v>
      </c>
      <c r="G540" s="81" t="s">
        <v>6839</v>
      </c>
      <c r="H540" s="81" t="s">
        <v>7019</v>
      </c>
      <c r="I540" s="81" t="s">
        <v>224</v>
      </c>
      <c r="J540" s="81" t="s">
        <v>7007</v>
      </c>
    </row>
    <row r="541">
      <c r="A541" s="83" t="s">
        <v>7026</v>
      </c>
      <c r="B541" s="83" t="s">
        <v>7027</v>
      </c>
      <c r="C541" s="81" t="s">
        <v>7011</v>
      </c>
      <c r="D541" s="81" t="s">
        <v>6901</v>
      </c>
      <c r="E541" s="81" t="s">
        <v>6380</v>
      </c>
      <c r="F541" s="81" t="s">
        <v>224</v>
      </c>
      <c r="G541" s="81" t="s">
        <v>6922</v>
      </c>
      <c r="H541" s="81" t="s">
        <v>6949</v>
      </c>
      <c r="I541" s="81" t="s">
        <v>224</v>
      </c>
      <c r="J541" s="81" t="s">
        <v>7020</v>
      </c>
    </row>
    <row r="542">
      <c r="A542" s="83" t="s">
        <v>7026</v>
      </c>
      <c r="B542" s="83" t="s">
        <v>7027</v>
      </c>
      <c r="C542" s="81" t="s">
        <v>7011</v>
      </c>
      <c r="D542" s="81" t="s">
        <v>6901</v>
      </c>
      <c r="E542" s="81" t="s">
        <v>6372</v>
      </c>
      <c r="F542" s="81" t="s">
        <v>224</v>
      </c>
      <c r="G542" s="81" t="s">
        <v>6930</v>
      </c>
      <c r="H542" s="81" t="s">
        <v>6949</v>
      </c>
      <c r="I542" s="81" t="s">
        <v>224</v>
      </c>
      <c r="J542" s="81" t="s">
        <v>7021</v>
      </c>
    </row>
    <row r="543">
      <c r="A543" s="83" t="s">
        <v>7026</v>
      </c>
      <c r="B543" s="83" t="s">
        <v>7027</v>
      </c>
      <c r="C543" s="81" t="s">
        <v>6983</v>
      </c>
      <c r="D543" s="81" t="s">
        <v>6842</v>
      </c>
      <c r="E543" s="81" t="s">
        <v>6781</v>
      </c>
      <c r="F543" s="81" t="s">
        <v>224</v>
      </c>
      <c r="G543" s="81" t="s">
        <v>224</v>
      </c>
      <c r="H543" s="81" t="s">
        <v>224</v>
      </c>
      <c r="I543" s="81" t="s">
        <v>224</v>
      </c>
      <c r="J543" s="81" t="s">
        <v>6984</v>
      </c>
    </row>
    <row r="544">
      <c r="A544" s="83" t="s">
        <v>7026</v>
      </c>
      <c r="B544" s="83" t="s">
        <v>7027</v>
      </c>
      <c r="C544" s="81" t="s">
        <v>6983</v>
      </c>
      <c r="D544" s="81" t="s">
        <v>6842</v>
      </c>
      <c r="E544" s="81" t="s">
        <v>6782</v>
      </c>
      <c r="F544" s="81" t="s">
        <v>224</v>
      </c>
      <c r="G544" s="81" t="s">
        <v>224</v>
      </c>
      <c r="H544" s="81" t="s">
        <v>224</v>
      </c>
      <c r="I544" s="81" t="s">
        <v>224</v>
      </c>
      <c r="J544" s="81" t="s">
        <v>6984</v>
      </c>
    </row>
    <row r="545">
      <c r="A545" s="83" t="s">
        <v>7026</v>
      </c>
      <c r="B545" s="83" t="s">
        <v>7027</v>
      </c>
      <c r="C545" s="81" t="s">
        <v>6983</v>
      </c>
      <c r="D545" s="81" t="s">
        <v>6842</v>
      </c>
      <c r="E545" s="81" t="s">
        <v>6733</v>
      </c>
      <c r="F545" s="81" t="s">
        <v>224</v>
      </c>
      <c r="G545" s="81" t="s">
        <v>224</v>
      </c>
      <c r="H545" s="81" t="s">
        <v>224</v>
      </c>
      <c r="I545" s="81" t="s">
        <v>224</v>
      </c>
      <c r="J545" s="81" t="s">
        <v>6984</v>
      </c>
    </row>
    <row r="546">
      <c r="A546" s="83" t="s">
        <v>7026</v>
      </c>
      <c r="B546" s="83" t="s">
        <v>7027</v>
      </c>
      <c r="C546" s="81" t="s">
        <v>6983</v>
      </c>
      <c r="D546" s="81" t="s">
        <v>6842</v>
      </c>
      <c r="E546" s="81" t="s">
        <v>6735</v>
      </c>
      <c r="F546" s="81" t="s">
        <v>224</v>
      </c>
      <c r="G546" s="81" t="s">
        <v>224</v>
      </c>
      <c r="H546" s="81" t="s">
        <v>224</v>
      </c>
      <c r="I546" s="81" t="s">
        <v>224</v>
      </c>
      <c r="J546" s="81" t="s">
        <v>6984</v>
      </c>
    </row>
    <row r="547">
      <c r="A547" s="83" t="s">
        <v>7026</v>
      </c>
      <c r="B547" s="83" t="s">
        <v>7027</v>
      </c>
      <c r="C547" s="81" t="s">
        <v>6983</v>
      </c>
      <c r="D547" s="81" t="s">
        <v>6842</v>
      </c>
      <c r="E547" s="81" t="s">
        <v>6736</v>
      </c>
      <c r="F547" s="81" t="s">
        <v>224</v>
      </c>
      <c r="G547" s="81" t="s">
        <v>224</v>
      </c>
      <c r="H547" s="81" t="s">
        <v>224</v>
      </c>
      <c r="I547" s="81" t="s">
        <v>224</v>
      </c>
      <c r="J547" s="81" t="s">
        <v>6984</v>
      </c>
    </row>
    <row r="548">
      <c r="A548" s="83" t="s">
        <v>7026</v>
      </c>
      <c r="B548" s="83" t="s">
        <v>7027</v>
      </c>
      <c r="C548" s="81" t="s">
        <v>6983</v>
      </c>
      <c r="D548" s="81" t="s">
        <v>6842</v>
      </c>
      <c r="E548" s="81" t="s">
        <v>6737</v>
      </c>
      <c r="F548" s="81" t="s">
        <v>224</v>
      </c>
      <c r="G548" s="81" t="s">
        <v>224</v>
      </c>
      <c r="H548" s="81" t="s">
        <v>224</v>
      </c>
      <c r="I548" s="81" t="s">
        <v>224</v>
      </c>
      <c r="J548" s="81" t="s">
        <v>6984</v>
      </c>
    </row>
    <row r="549">
      <c r="A549" s="83" t="s">
        <v>7026</v>
      </c>
      <c r="B549" s="83" t="s">
        <v>7027</v>
      </c>
      <c r="C549" s="81" t="s">
        <v>6983</v>
      </c>
      <c r="D549" s="81" t="s">
        <v>6842</v>
      </c>
      <c r="E549" s="81" t="s">
        <v>6738</v>
      </c>
      <c r="F549" s="81" t="s">
        <v>224</v>
      </c>
      <c r="G549" s="81" t="s">
        <v>224</v>
      </c>
      <c r="H549" s="81" t="s">
        <v>224</v>
      </c>
      <c r="I549" s="81" t="s">
        <v>224</v>
      </c>
      <c r="J549" s="81" t="s">
        <v>6984</v>
      </c>
    </row>
    <row r="550">
      <c r="A550" s="83" t="s">
        <v>7026</v>
      </c>
      <c r="B550" s="83" t="s">
        <v>7027</v>
      </c>
      <c r="C550" s="81" t="s">
        <v>6983</v>
      </c>
      <c r="D550" s="81" t="s">
        <v>6842</v>
      </c>
      <c r="E550" s="81" t="s">
        <v>6739</v>
      </c>
      <c r="F550" s="81" t="s">
        <v>224</v>
      </c>
      <c r="G550" s="81" t="s">
        <v>224</v>
      </c>
      <c r="H550" s="81" t="s">
        <v>224</v>
      </c>
      <c r="I550" s="81" t="s">
        <v>224</v>
      </c>
      <c r="J550" s="81" t="s">
        <v>6984</v>
      </c>
    </row>
    <row r="551">
      <c r="A551" s="83" t="s">
        <v>7026</v>
      </c>
      <c r="B551" s="83" t="s">
        <v>7027</v>
      </c>
      <c r="C551" s="81" t="s">
        <v>6983</v>
      </c>
      <c r="D551" s="81" t="s">
        <v>6842</v>
      </c>
      <c r="E551" s="81" t="s">
        <v>6740</v>
      </c>
      <c r="F551" s="81" t="s">
        <v>224</v>
      </c>
      <c r="G551" s="81" t="s">
        <v>224</v>
      </c>
      <c r="H551" s="81" t="s">
        <v>224</v>
      </c>
      <c r="I551" s="81" t="s">
        <v>224</v>
      </c>
      <c r="J551" s="81" t="s">
        <v>6984</v>
      </c>
    </row>
    <row r="552">
      <c r="A552" s="83" t="s">
        <v>7026</v>
      </c>
      <c r="B552" s="83" t="s">
        <v>7027</v>
      </c>
      <c r="C552" s="81" t="s">
        <v>6983</v>
      </c>
      <c r="D552" s="81" t="s">
        <v>6842</v>
      </c>
      <c r="E552" s="81" t="s">
        <v>6741</v>
      </c>
      <c r="F552" s="81" t="s">
        <v>224</v>
      </c>
      <c r="G552" s="81" t="s">
        <v>224</v>
      </c>
      <c r="H552" s="81" t="s">
        <v>224</v>
      </c>
      <c r="I552" s="81" t="s">
        <v>224</v>
      </c>
      <c r="J552" s="81" t="s">
        <v>6984</v>
      </c>
    </row>
    <row r="553">
      <c r="A553" s="83" t="s">
        <v>7026</v>
      </c>
      <c r="B553" s="83" t="s">
        <v>7027</v>
      </c>
      <c r="C553" s="81" t="s">
        <v>6983</v>
      </c>
      <c r="D553" s="81" t="s">
        <v>6842</v>
      </c>
      <c r="E553" s="81" t="s">
        <v>6742</v>
      </c>
      <c r="F553" s="81" t="s">
        <v>224</v>
      </c>
      <c r="G553" s="81" t="s">
        <v>224</v>
      </c>
      <c r="H553" s="81" t="s">
        <v>224</v>
      </c>
      <c r="I553" s="81" t="s">
        <v>224</v>
      </c>
      <c r="J553" s="81" t="s">
        <v>6984</v>
      </c>
    </row>
    <row r="554">
      <c r="A554" s="83" t="s">
        <v>7026</v>
      </c>
      <c r="B554" s="83" t="s">
        <v>7027</v>
      </c>
      <c r="C554" s="81" t="s">
        <v>6983</v>
      </c>
      <c r="D554" s="81" t="s">
        <v>6842</v>
      </c>
      <c r="E554" s="81" t="s">
        <v>6743</v>
      </c>
      <c r="F554" s="81" t="s">
        <v>224</v>
      </c>
      <c r="G554" s="81" t="s">
        <v>224</v>
      </c>
      <c r="H554" s="81" t="s">
        <v>224</v>
      </c>
      <c r="I554" s="81" t="s">
        <v>224</v>
      </c>
      <c r="J554" s="81" t="s">
        <v>6984</v>
      </c>
    </row>
    <row r="555">
      <c r="A555" s="83" t="s">
        <v>7026</v>
      </c>
      <c r="B555" s="83" t="s">
        <v>7027</v>
      </c>
      <c r="C555" s="81" t="s">
        <v>6983</v>
      </c>
      <c r="D555" s="81" t="s">
        <v>6842</v>
      </c>
      <c r="E555" s="81" t="s">
        <v>6744</v>
      </c>
      <c r="F555" s="81" t="s">
        <v>224</v>
      </c>
      <c r="G555" s="81" t="s">
        <v>224</v>
      </c>
      <c r="H555" s="81" t="s">
        <v>224</v>
      </c>
      <c r="I555" s="81" t="s">
        <v>224</v>
      </c>
      <c r="J555" s="81" t="s">
        <v>6984</v>
      </c>
    </row>
    <row r="556">
      <c r="A556" s="83" t="s">
        <v>7026</v>
      </c>
      <c r="B556" s="83" t="s">
        <v>7027</v>
      </c>
      <c r="C556" s="81" t="s">
        <v>6983</v>
      </c>
      <c r="D556" s="81" t="s">
        <v>6842</v>
      </c>
      <c r="E556" s="81" t="s">
        <v>6745</v>
      </c>
      <c r="F556" s="81" t="s">
        <v>224</v>
      </c>
      <c r="G556" s="81" t="s">
        <v>224</v>
      </c>
      <c r="H556" s="81" t="s">
        <v>224</v>
      </c>
      <c r="I556" s="81" t="s">
        <v>224</v>
      </c>
      <c r="J556" s="81" t="s">
        <v>6984</v>
      </c>
    </row>
    <row r="557">
      <c r="A557" s="83" t="s">
        <v>7026</v>
      </c>
      <c r="B557" s="83" t="s">
        <v>7027</v>
      </c>
      <c r="C557" s="81" t="s">
        <v>6983</v>
      </c>
      <c r="D557" s="81" t="s">
        <v>6842</v>
      </c>
      <c r="E557" s="81" t="s">
        <v>6746</v>
      </c>
      <c r="F557" s="81" t="s">
        <v>224</v>
      </c>
      <c r="G557" s="81" t="s">
        <v>224</v>
      </c>
      <c r="H557" s="81" t="s">
        <v>224</v>
      </c>
      <c r="I557" s="81" t="s">
        <v>224</v>
      </c>
      <c r="J557" s="81" t="s">
        <v>6984</v>
      </c>
    </row>
    <row r="558">
      <c r="A558" s="83" t="s">
        <v>7026</v>
      </c>
      <c r="B558" s="83" t="s">
        <v>7027</v>
      </c>
      <c r="C558" s="81" t="s">
        <v>6983</v>
      </c>
      <c r="D558" s="81" t="s">
        <v>6842</v>
      </c>
      <c r="E558" s="81" t="s">
        <v>6985</v>
      </c>
      <c r="F558" s="81" t="s">
        <v>224</v>
      </c>
      <c r="G558" s="81" t="s">
        <v>224</v>
      </c>
      <c r="H558" s="81" t="s">
        <v>224</v>
      </c>
      <c r="I558" s="81" t="s">
        <v>224</v>
      </c>
      <c r="J558" s="81" t="s">
        <v>6984</v>
      </c>
    </row>
    <row r="559">
      <c r="A559" s="83" t="s">
        <v>7026</v>
      </c>
      <c r="B559" s="83" t="s">
        <v>7027</v>
      </c>
      <c r="C559" s="81" t="s">
        <v>6983</v>
      </c>
      <c r="D559" s="81" t="s">
        <v>6842</v>
      </c>
      <c r="E559" s="81" t="s">
        <v>6986</v>
      </c>
      <c r="F559" s="81" t="s">
        <v>224</v>
      </c>
      <c r="G559" s="81" t="s">
        <v>224</v>
      </c>
      <c r="H559" s="81" t="s">
        <v>224</v>
      </c>
      <c r="I559" s="81" t="s">
        <v>224</v>
      </c>
      <c r="J559" s="81" t="s">
        <v>6984</v>
      </c>
    </row>
    <row r="560">
      <c r="A560" s="83" t="s">
        <v>7026</v>
      </c>
      <c r="B560" s="83" t="s">
        <v>7027</v>
      </c>
      <c r="C560" s="81" t="s">
        <v>6983</v>
      </c>
      <c r="D560" s="81" t="s">
        <v>6842</v>
      </c>
      <c r="E560" s="81" t="s">
        <v>6987</v>
      </c>
      <c r="F560" s="81" t="s">
        <v>224</v>
      </c>
      <c r="G560" s="81" t="s">
        <v>224</v>
      </c>
      <c r="H560" s="81" t="s">
        <v>224</v>
      </c>
      <c r="I560" s="81" t="s">
        <v>224</v>
      </c>
      <c r="J560" s="81" t="s">
        <v>6984</v>
      </c>
    </row>
    <row r="561">
      <c r="A561" s="83" t="s">
        <v>7026</v>
      </c>
      <c r="B561" s="83" t="s">
        <v>7027</v>
      </c>
      <c r="C561" s="81" t="s">
        <v>6983</v>
      </c>
      <c r="D561" s="81" t="s">
        <v>6842</v>
      </c>
      <c r="E561" s="81" t="s">
        <v>6988</v>
      </c>
      <c r="F561" s="81" t="s">
        <v>224</v>
      </c>
      <c r="G561" s="81" t="s">
        <v>224</v>
      </c>
      <c r="H561" s="81" t="s">
        <v>224</v>
      </c>
      <c r="I561" s="81" t="s">
        <v>224</v>
      </c>
      <c r="J561" s="81" t="s">
        <v>6984</v>
      </c>
    </row>
    <row r="562">
      <c r="A562" s="83" t="s">
        <v>7026</v>
      </c>
      <c r="B562" s="83" t="s">
        <v>7027</v>
      </c>
      <c r="C562" s="81" t="s">
        <v>6983</v>
      </c>
      <c r="D562" s="81" t="s">
        <v>6842</v>
      </c>
      <c r="E562" s="81" t="s">
        <v>6989</v>
      </c>
      <c r="F562" s="81" t="s">
        <v>224</v>
      </c>
      <c r="G562" s="81" t="s">
        <v>224</v>
      </c>
      <c r="H562" s="81" t="s">
        <v>224</v>
      </c>
      <c r="I562" s="81" t="s">
        <v>224</v>
      </c>
      <c r="J562" s="81" t="s">
        <v>6984</v>
      </c>
    </row>
    <row r="563">
      <c r="A563" s="83" t="s">
        <v>7026</v>
      </c>
      <c r="B563" s="83" t="s">
        <v>7027</v>
      </c>
      <c r="C563" s="81" t="s">
        <v>6983</v>
      </c>
      <c r="D563" s="81" t="s">
        <v>6842</v>
      </c>
      <c r="E563" s="81" t="s">
        <v>6990</v>
      </c>
      <c r="F563" s="81" t="s">
        <v>224</v>
      </c>
      <c r="G563" s="81" t="s">
        <v>224</v>
      </c>
      <c r="H563" s="81" t="s">
        <v>224</v>
      </c>
      <c r="I563" s="81" t="s">
        <v>224</v>
      </c>
      <c r="J563" s="81" t="s">
        <v>6984</v>
      </c>
    </row>
    <row r="564">
      <c r="A564" s="83" t="s">
        <v>7026</v>
      </c>
      <c r="B564" s="83" t="s">
        <v>7027</v>
      </c>
      <c r="C564" s="81" t="s">
        <v>6983</v>
      </c>
      <c r="D564" s="81" t="s">
        <v>6842</v>
      </c>
      <c r="E564" s="81" t="s">
        <v>6991</v>
      </c>
      <c r="F564" s="81" t="s">
        <v>224</v>
      </c>
      <c r="G564" s="81" t="s">
        <v>224</v>
      </c>
      <c r="H564" s="81" t="s">
        <v>224</v>
      </c>
      <c r="I564" s="81" t="s">
        <v>224</v>
      </c>
      <c r="J564" s="81" t="s">
        <v>6984</v>
      </c>
    </row>
    <row r="565">
      <c r="A565" s="83" t="s">
        <v>7026</v>
      </c>
      <c r="B565" s="83" t="s">
        <v>7027</v>
      </c>
      <c r="C565" s="81" t="s">
        <v>6983</v>
      </c>
      <c r="D565" s="81" t="s">
        <v>6842</v>
      </c>
      <c r="E565" s="81" t="s">
        <v>6992</v>
      </c>
      <c r="F565" s="81" t="s">
        <v>224</v>
      </c>
      <c r="G565" s="81" t="s">
        <v>224</v>
      </c>
      <c r="H565" s="81" t="s">
        <v>224</v>
      </c>
      <c r="I565" s="81" t="s">
        <v>224</v>
      </c>
      <c r="J565" s="81" t="s">
        <v>6984</v>
      </c>
    </row>
    <row r="566">
      <c r="A566" s="83" t="s">
        <v>7026</v>
      </c>
      <c r="B566" s="83" t="s">
        <v>7027</v>
      </c>
      <c r="C566" s="81" t="s">
        <v>6983</v>
      </c>
      <c r="D566" s="81" t="s">
        <v>6842</v>
      </c>
      <c r="E566" s="81" t="s">
        <v>5075</v>
      </c>
      <c r="F566" s="81" t="s">
        <v>224</v>
      </c>
      <c r="G566" s="81" t="s">
        <v>224</v>
      </c>
      <c r="H566" s="81" t="s">
        <v>224</v>
      </c>
      <c r="I566" s="81" t="s">
        <v>224</v>
      </c>
      <c r="J566" s="81" t="s">
        <v>6984</v>
      </c>
    </row>
    <row r="567">
      <c r="A567" s="83" t="s">
        <v>7026</v>
      </c>
      <c r="B567" s="83" t="s">
        <v>7027</v>
      </c>
      <c r="C567" s="81" t="s">
        <v>6983</v>
      </c>
      <c r="D567" s="81" t="s">
        <v>6842</v>
      </c>
      <c r="E567" s="81" t="s">
        <v>5073</v>
      </c>
      <c r="F567" s="81" t="s">
        <v>224</v>
      </c>
      <c r="G567" s="81" t="s">
        <v>224</v>
      </c>
      <c r="H567" s="81" t="s">
        <v>224</v>
      </c>
      <c r="I567" s="81" t="s">
        <v>224</v>
      </c>
      <c r="J567" s="81" t="s">
        <v>6984</v>
      </c>
    </row>
    <row r="568">
      <c r="A568" s="83" t="s">
        <v>7026</v>
      </c>
      <c r="B568" s="83" t="s">
        <v>7027</v>
      </c>
      <c r="C568" s="81" t="s">
        <v>6983</v>
      </c>
      <c r="D568" s="81" t="s">
        <v>6842</v>
      </c>
      <c r="E568" s="81" t="s">
        <v>5077</v>
      </c>
      <c r="F568" s="81" t="s">
        <v>224</v>
      </c>
      <c r="G568" s="81" t="s">
        <v>224</v>
      </c>
      <c r="H568" s="81" t="s">
        <v>224</v>
      </c>
      <c r="I568" s="81" t="s">
        <v>224</v>
      </c>
      <c r="J568" s="81" t="s">
        <v>6984</v>
      </c>
    </row>
    <row r="569">
      <c r="A569" s="83" t="s">
        <v>7026</v>
      </c>
      <c r="B569" s="83" t="s">
        <v>7027</v>
      </c>
      <c r="C569" s="81" t="s">
        <v>6983</v>
      </c>
      <c r="D569" s="81" t="s">
        <v>6901</v>
      </c>
      <c r="E569" s="81" t="s">
        <v>6652</v>
      </c>
      <c r="F569" s="81" t="s">
        <v>224</v>
      </c>
      <c r="G569" s="81" t="s">
        <v>224</v>
      </c>
      <c r="H569" s="81" t="s">
        <v>224</v>
      </c>
      <c r="I569" s="81" t="s">
        <v>224</v>
      </c>
      <c r="J569" s="81" t="s">
        <v>6993</v>
      </c>
    </row>
    <row r="570">
      <c r="A570" s="83" t="s">
        <v>7026</v>
      </c>
      <c r="B570" s="83" t="s">
        <v>7027</v>
      </c>
      <c r="C570" s="81" t="s">
        <v>6983</v>
      </c>
      <c r="D570" s="81" t="s">
        <v>6901</v>
      </c>
      <c r="E570" s="81" t="s">
        <v>6654</v>
      </c>
      <c r="F570" s="81" t="s">
        <v>224</v>
      </c>
      <c r="G570" s="81" t="s">
        <v>224</v>
      </c>
      <c r="H570" s="81" t="s">
        <v>224</v>
      </c>
      <c r="I570" s="81" t="s">
        <v>224</v>
      </c>
      <c r="J570" s="81" t="s">
        <v>6993</v>
      </c>
    </row>
    <row r="571">
      <c r="A571" s="83" t="s">
        <v>7026</v>
      </c>
      <c r="B571" s="83" t="s">
        <v>7027</v>
      </c>
      <c r="C571" s="81" t="s">
        <v>6983</v>
      </c>
      <c r="D571" s="81" t="s">
        <v>6901</v>
      </c>
      <c r="E571" s="81" t="s">
        <v>6655</v>
      </c>
      <c r="F571" s="81" t="s">
        <v>224</v>
      </c>
      <c r="G571" s="81" t="s">
        <v>224</v>
      </c>
      <c r="H571" s="81" t="s">
        <v>224</v>
      </c>
      <c r="I571" s="81" t="s">
        <v>224</v>
      </c>
      <c r="J571" s="81" t="s">
        <v>6993</v>
      </c>
    </row>
    <row r="572">
      <c r="A572" s="83" t="s">
        <v>7026</v>
      </c>
      <c r="B572" s="83" t="s">
        <v>7027</v>
      </c>
      <c r="C572" s="81" t="s">
        <v>6983</v>
      </c>
      <c r="D572" s="81" t="s">
        <v>6901</v>
      </c>
      <c r="E572" s="81" t="s">
        <v>6656</v>
      </c>
      <c r="F572" s="81" t="s">
        <v>224</v>
      </c>
      <c r="G572" s="81" t="s">
        <v>224</v>
      </c>
      <c r="H572" s="81" t="s">
        <v>224</v>
      </c>
      <c r="I572" s="81" t="s">
        <v>224</v>
      </c>
      <c r="J572" s="81" t="s">
        <v>6993</v>
      </c>
    </row>
    <row r="573">
      <c r="A573" s="83" t="s">
        <v>7026</v>
      </c>
      <c r="B573" s="83" t="s">
        <v>7027</v>
      </c>
      <c r="C573" s="81" t="s">
        <v>6983</v>
      </c>
      <c r="D573" s="81" t="s">
        <v>6901</v>
      </c>
      <c r="E573" s="81" t="s">
        <v>6657</v>
      </c>
      <c r="F573" s="81" t="s">
        <v>224</v>
      </c>
      <c r="G573" s="81" t="s">
        <v>224</v>
      </c>
      <c r="H573" s="81" t="s">
        <v>224</v>
      </c>
      <c r="I573" s="81" t="s">
        <v>224</v>
      </c>
      <c r="J573" s="81" t="s">
        <v>6993</v>
      </c>
    </row>
    <row r="574">
      <c r="A574" s="83" t="s">
        <v>7026</v>
      </c>
      <c r="B574" s="83" t="s">
        <v>7027</v>
      </c>
      <c r="C574" s="81" t="s">
        <v>6983</v>
      </c>
      <c r="D574" s="81" t="s">
        <v>6901</v>
      </c>
      <c r="E574" s="81" t="s">
        <v>6658</v>
      </c>
      <c r="F574" s="81" t="s">
        <v>224</v>
      </c>
      <c r="G574" s="81" t="s">
        <v>224</v>
      </c>
      <c r="H574" s="81" t="s">
        <v>224</v>
      </c>
      <c r="I574" s="81" t="s">
        <v>224</v>
      </c>
      <c r="J574" s="81" t="s">
        <v>6993</v>
      </c>
    </row>
    <row r="575">
      <c r="A575" s="83" t="s">
        <v>7026</v>
      </c>
      <c r="B575" s="83" t="s">
        <v>7027</v>
      </c>
      <c r="C575" s="81" t="s">
        <v>6983</v>
      </c>
      <c r="D575" s="81" t="s">
        <v>6901</v>
      </c>
      <c r="E575" s="81" t="s">
        <v>6659</v>
      </c>
      <c r="F575" s="81" t="s">
        <v>224</v>
      </c>
      <c r="G575" s="81" t="s">
        <v>224</v>
      </c>
      <c r="H575" s="81" t="s">
        <v>224</v>
      </c>
      <c r="I575" s="81" t="s">
        <v>224</v>
      </c>
      <c r="J575" s="81" t="s">
        <v>6993</v>
      </c>
    </row>
    <row r="576">
      <c r="A576" s="83" t="s">
        <v>7026</v>
      </c>
      <c r="B576" s="83" t="s">
        <v>7027</v>
      </c>
      <c r="C576" s="81" t="s">
        <v>6983</v>
      </c>
      <c r="D576" s="81" t="s">
        <v>6901</v>
      </c>
      <c r="E576" s="81" t="s">
        <v>6660</v>
      </c>
      <c r="F576" s="81" t="s">
        <v>224</v>
      </c>
      <c r="G576" s="81" t="s">
        <v>224</v>
      </c>
      <c r="H576" s="81" t="s">
        <v>224</v>
      </c>
      <c r="I576" s="81" t="s">
        <v>224</v>
      </c>
      <c r="J576" s="81" t="s">
        <v>6993</v>
      </c>
    </row>
    <row r="577">
      <c r="A577" s="83" t="s">
        <v>7026</v>
      </c>
      <c r="B577" s="83" t="s">
        <v>7027</v>
      </c>
      <c r="C577" s="81" t="s">
        <v>6983</v>
      </c>
      <c r="D577" s="81" t="s">
        <v>6901</v>
      </c>
      <c r="E577" s="81" t="s">
        <v>6661</v>
      </c>
      <c r="F577" s="81" t="s">
        <v>224</v>
      </c>
      <c r="G577" s="81" t="s">
        <v>224</v>
      </c>
      <c r="H577" s="81" t="s">
        <v>224</v>
      </c>
      <c r="I577" s="81" t="s">
        <v>224</v>
      </c>
      <c r="J577" s="81" t="s">
        <v>6993</v>
      </c>
    </row>
    <row r="578">
      <c r="A578" s="83" t="s">
        <v>7026</v>
      </c>
      <c r="B578" s="83" t="s">
        <v>7027</v>
      </c>
      <c r="C578" s="81" t="s">
        <v>6983</v>
      </c>
      <c r="D578" s="81" t="s">
        <v>6901</v>
      </c>
      <c r="E578" s="81" t="s">
        <v>6662</v>
      </c>
      <c r="F578" s="81" t="s">
        <v>224</v>
      </c>
      <c r="G578" s="81" t="s">
        <v>224</v>
      </c>
      <c r="H578" s="81" t="s">
        <v>224</v>
      </c>
      <c r="I578" s="81" t="s">
        <v>224</v>
      </c>
      <c r="J578" s="81" t="s">
        <v>6993</v>
      </c>
    </row>
    <row r="579">
      <c r="A579" s="83" t="s">
        <v>7026</v>
      </c>
      <c r="B579" s="83" t="s">
        <v>7027</v>
      </c>
      <c r="C579" s="81" t="s">
        <v>6983</v>
      </c>
      <c r="D579" s="81" t="s">
        <v>6901</v>
      </c>
      <c r="E579" s="81" t="s">
        <v>6663</v>
      </c>
      <c r="F579" s="81" t="s">
        <v>224</v>
      </c>
      <c r="G579" s="81" t="s">
        <v>224</v>
      </c>
      <c r="H579" s="81" t="s">
        <v>224</v>
      </c>
      <c r="I579" s="81" t="s">
        <v>224</v>
      </c>
      <c r="J579" s="81" t="s">
        <v>6993</v>
      </c>
    </row>
    <row r="580">
      <c r="A580" s="83" t="s">
        <v>7026</v>
      </c>
      <c r="B580" s="83" t="s">
        <v>7027</v>
      </c>
      <c r="C580" s="81" t="s">
        <v>6983</v>
      </c>
      <c r="D580" s="81" t="s">
        <v>6901</v>
      </c>
      <c r="E580" s="81" t="s">
        <v>6664</v>
      </c>
      <c r="F580" s="81" t="s">
        <v>224</v>
      </c>
      <c r="G580" s="81" t="s">
        <v>224</v>
      </c>
      <c r="H580" s="81" t="s">
        <v>224</v>
      </c>
      <c r="I580" s="81" t="s">
        <v>224</v>
      </c>
      <c r="J580" s="81" t="s">
        <v>6993</v>
      </c>
    </row>
    <row r="581">
      <c r="A581" s="83" t="s">
        <v>7026</v>
      </c>
      <c r="B581" s="83" t="s">
        <v>7027</v>
      </c>
      <c r="C581" s="81" t="s">
        <v>6983</v>
      </c>
      <c r="D581" s="81" t="s">
        <v>6901</v>
      </c>
      <c r="E581" s="81" t="s">
        <v>6665</v>
      </c>
      <c r="F581" s="81" t="s">
        <v>224</v>
      </c>
      <c r="G581" s="81" t="s">
        <v>224</v>
      </c>
      <c r="H581" s="81" t="s">
        <v>224</v>
      </c>
      <c r="I581" s="81" t="s">
        <v>224</v>
      </c>
      <c r="J581" s="81" t="s">
        <v>6993</v>
      </c>
    </row>
    <row r="582">
      <c r="A582" s="83" t="s">
        <v>7026</v>
      </c>
      <c r="B582" s="83" t="s">
        <v>7027</v>
      </c>
      <c r="C582" s="81" t="s">
        <v>6983</v>
      </c>
      <c r="D582" s="81" t="s">
        <v>6901</v>
      </c>
      <c r="E582" s="81" t="s">
        <v>6666</v>
      </c>
      <c r="F582" s="81" t="s">
        <v>224</v>
      </c>
      <c r="G582" s="81" t="s">
        <v>224</v>
      </c>
      <c r="H582" s="81" t="s">
        <v>224</v>
      </c>
      <c r="I582" s="81" t="s">
        <v>224</v>
      </c>
      <c r="J582" s="81" t="s">
        <v>6993</v>
      </c>
    </row>
    <row r="583">
      <c r="A583" s="83" t="s">
        <v>7026</v>
      </c>
      <c r="B583" s="83" t="s">
        <v>7027</v>
      </c>
      <c r="C583" s="81" t="s">
        <v>6983</v>
      </c>
      <c r="D583" s="81" t="s">
        <v>6901</v>
      </c>
      <c r="E583" s="81" t="s">
        <v>6667</v>
      </c>
      <c r="F583" s="81" t="s">
        <v>224</v>
      </c>
      <c r="G583" s="81" t="s">
        <v>224</v>
      </c>
      <c r="H583" s="81" t="s">
        <v>224</v>
      </c>
      <c r="I583" s="81" t="s">
        <v>224</v>
      </c>
      <c r="J583" s="81" t="s">
        <v>6993</v>
      </c>
    </row>
    <row r="584">
      <c r="A584" s="83" t="s">
        <v>7026</v>
      </c>
      <c r="B584" s="83" t="s">
        <v>7027</v>
      </c>
      <c r="C584" s="81" t="s">
        <v>6983</v>
      </c>
      <c r="D584" s="81" t="s">
        <v>6901</v>
      </c>
      <c r="E584" s="81" t="s">
        <v>6668</v>
      </c>
      <c r="F584" s="81" t="s">
        <v>224</v>
      </c>
      <c r="G584" s="81" t="s">
        <v>224</v>
      </c>
      <c r="H584" s="81" t="s">
        <v>224</v>
      </c>
      <c r="I584" s="81" t="s">
        <v>224</v>
      </c>
      <c r="J584" s="81" t="s">
        <v>6993</v>
      </c>
    </row>
    <row r="585">
      <c r="A585" s="83" t="s">
        <v>7026</v>
      </c>
      <c r="B585" s="83" t="s">
        <v>7027</v>
      </c>
      <c r="C585" s="81" t="s">
        <v>6983</v>
      </c>
      <c r="D585" s="81" t="s">
        <v>6901</v>
      </c>
      <c r="E585" s="81" t="s">
        <v>6669</v>
      </c>
      <c r="F585" s="81" t="s">
        <v>224</v>
      </c>
      <c r="G585" s="81" t="s">
        <v>224</v>
      </c>
      <c r="H585" s="81" t="s">
        <v>224</v>
      </c>
      <c r="I585" s="81" t="s">
        <v>224</v>
      </c>
      <c r="J585" s="81" t="s">
        <v>6993</v>
      </c>
    </row>
    <row r="586">
      <c r="A586" s="83" t="s">
        <v>7026</v>
      </c>
      <c r="B586" s="83" t="s">
        <v>7027</v>
      </c>
      <c r="C586" s="81" t="s">
        <v>6983</v>
      </c>
      <c r="D586" s="81" t="s">
        <v>6901</v>
      </c>
      <c r="E586" s="81" t="s">
        <v>6670</v>
      </c>
      <c r="F586" s="81" t="s">
        <v>224</v>
      </c>
      <c r="G586" s="81" t="s">
        <v>224</v>
      </c>
      <c r="H586" s="81" t="s">
        <v>224</v>
      </c>
      <c r="I586" s="81" t="s">
        <v>224</v>
      </c>
      <c r="J586" s="81" t="s">
        <v>6993</v>
      </c>
    </row>
    <row r="587">
      <c r="A587" s="83" t="s">
        <v>7026</v>
      </c>
      <c r="B587" s="83" t="s">
        <v>7027</v>
      </c>
      <c r="C587" s="81" t="s">
        <v>6983</v>
      </c>
      <c r="D587" s="81" t="s">
        <v>6901</v>
      </c>
      <c r="E587" s="81" t="s">
        <v>6671</v>
      </c>
      <c r="F587" s="81" t="s">
        <v>224</v>
      </c>
      <c r="G587" s="81" t="s">
        <v>224</v>
      </c>
      <c r="H587" s="81" t="s">
        <v>224</v>
      </c>
      <c r="I587" s="81" t="s">
        <v>224</v>
      </c>
      <c r="J587" s="81" t="s">
        <v>6993</v>
      </c>
    </row>
    <row r="588">
      <c r="A588" s="83" t="s">
        <v>7026</v>
      </c>
      <c r="B588" s="83" t="s">
        <v>7027</v>
      </c>
      <c r="C588" s="81" t="s">
        <v>6983</v>
      </c>
      <c r="D588" s="81" t="s">
        <v>6901</v>
      </c>
      <c r="E588" s="81" t="s">
        <v>6672</v>
      </c>
      <c r="F588" s="81" t="s">
        <v>224</v>
      </c>
      <c r="G588" s="81" t="s">
        <v>224</v>
      </c>
      <c r="H588" s="81" t="s">
        <v>224</v>
      </c>
      <c r="I588" s="81" t="s">
        <v>224</v>
      </c>
      <c r="J588" s="81" t="s">
        <v>6993</v>
      </c>
    </row>
    <row r="589">
      <c r="A589" s="83" t="s">
        <v>7026</v>
      </c>
      <c r="B589" s="83" t="s">
        <v>7027</v>
      </c>
      <c r="C589" s="81" t="s">
        <v>6983</v>
      </c>
      <c r="D589" s="81" t="s">
        <v>6901</v>
      </c>
      <c r="E589" s="81" t="s">
        <v>6673</v>
      </c>
      <c r="F589" s="81" t="s">
        <v>224</v>
      </c>
      <c r="G589" s="81" t="s">
        <v>224</v>
      </c>
      <c r="H589" s="81" t="s">
        <v>224</v>
      </c>
      <c r="I589" s="81" t="s">
        <v>224</v>
      </c>
      <c r="J589" s="81" t="s">
        <v>6993</v>
      </c>
    </row>
    <row r="590">
      <c r="A590" s="83" t="s">
        <v>7026</v>
      </c>
      <c r="B590" s="83" t="s">
        <v>7027</v>
      </c>
      <c r="C590" s="81" t="s">
        <v>6983</v>
      </c>
      <c r="D590" s="81" t="s">
        <v>6901</v>
      </c>
      <c r="E590" s="81" t="s">
        <v>6674</v>
      </c>
      <c r="F590" s="81" t="s">
        <v>224</v>
      </c>
      <c r="G590" s="81" t="s">
        <v>224</v>
      </c>
      <c r="H590" s="81" t="s">
        <v>224</v>
      </c>
      <c r="I590" s="81" t="s">
        <v>224</v>
      </c>
      <c r="J590" s="81" t="s">
        <v>6993</v>
      </c>
    </row>
    <row r="591">
      <c r="A591" s="83" t="s">
        <v>7026</v>
      </c>
      <c r="B591" s="83" t="s">
        <v>7027</v>
      </c>
      <c r="C591" s="81" t="s">
        <v>6983</v>
      </c>
      <c r="D591" s="81" t="s">
        <v>6901</v>
      </c>
      <c r="E591" s="81" t="s">
        <v>6675</v>
      </c>
      <c r="F591" s="81" t="s">
        <v>224</v>
      </c>
      <c r="G591" s="81" t="s">
        <v>224</v>
      </c>
      <c r="H591" s="81" t="s">
        <v>224</v>
      </c>
      <c r="I591" s="81" t="s">
        <v>224</v>
      </c>
      <c r="J591" s="81" t="s">
        <v>6993</v>
      </c>
    </row>
    <row r="592">
      <c r="A592" s="83" t="s">
        <v>7026</v>
      </c>
      <c r="B592" s="83" t="s">
        <v>7027</v>
      </c>
      <c r="C592" s="81" t="s">
        <v>6983</v>
      </c>
      <c r="D592" s="81" t="s">
        <v>6901</v>
      </c>
      <c r="E592" s="81" t="s">
        <v>6676</v>
      </c>
      <c r="F592" s="81" t="s">
        <v>224</v>
      </c>
      <c r="G592" s="81" t="s">
        <v>224</v>
      </c>
      <c r="H592" s="81" t="s">
        <v>224</v>
      </c>
      <c r="I592" s="81" t="s">
        <v>224</v>
      </c>
      <c r="J592" s="81" t="s">
        <v>6993</v>
      </c>
    </row>
    <row r="593">
      <c r="A593" s="83" t="s">
        <v>7026</v>
      </c>
      <c r="B593" s="83" t="s">
        <v>7027</v>
      </c>
      <c r="C593" s="81" t="s">
        <v>6983</v>
      </c>
      <c r="D593" s="81" t="s">
        <v>6901</v>
      </c>
      <c r="E593" s="81" t="s">
        <v>6677</v>
      </c>
      <c r="F593" s="81" t="s">
        <v>224</v>
      </c>
      <c r="G593" s="81" t="s">
        <v>224</v>
      </c>
      <c r="H593" s="81" t="s">
        <v>224</v>
      </c>
      <c r="I593" s="81" t="s">
        <v>224</v>
      </c>
      <c r="J593" s="81" t="s">
        <v>6993</v>
      </c>
    </row>
    <row r="594">
      <c r="A594" s="83" t="s">
        <v>7026</v>
      </c>
      <c r="B594" s="83" t="s">
        <v>7027</v>
      </c>
      <c r="C594" s="81" t="s">
        <v>6983</v>
      </c>
      <c r="D594" s="81" t="s">
        <v>6901</v>
      </c>
      <c r="E594" s="81" t="s">
        <v>6678</v>
      </c>
      <c r="F594" s="81" t="s">
        <v>224</v>
      </c>
      <c r="G594" s="81" t="s">
        <v>224</v>
      </c>
      <c r="H594" s="81" t="s">
        <v>224</v>
      </c>
      <c r="I594" s="81" t="s">
        <v>224</v>
      </c>
      <c r="J594" s="81" t="s">
        <v>6993</v>
      </c>
    </row>
    <row r="595">
      <c r="A595" s="83" t="s">
        <v>7026</v>
      </c>
      <c r="B595" s="83" t="s">
        <v>7027</v>
      </c>
      <c r="C595" s="81" t="s">
        <v>6983</v>
      </c>
      <c r="D595" s="81" t="s">
        <v>6901</v>
      </c>
      <c r="E595" s="81" t="s">
        <v>6679</v>
      </c>
      <c r="F595" s="81" t="s">
        <v>224</v>
      </c>
      <c r="G595" s="81" t="s">
        <v>224</v>
      </c>
      <c r="H595" s="81" t="s">
        <v>224</v>
      </c>
      <c r="I595" s="81" t="s">
        <v>224</v>
      </c>
      <c r="J595" s="81" t="s">
        <v>6993</v>
      </c>
    </row>
    <row r="596">
      <c r="A596" s="83" t="s">
        <v>7026</v>
      </c>
      <c r="B596" s="83" t="s">
        <v>7027</v>
      </c>
      <c r="C596" s="81" t="s">
        <v>6983</v>
      </c>
      <c r="D596" s="81" t="s">
        <v>6901</v>
      </c>
      <c r="E596" s="81" t="s">
        <v>6680</v>
      </c>
      <c r="F596" s="81" t="s">
        <v>224</v>
      </c>
      <c r="G596" s="81" t="s">
        <v>224</v>
      </c>
      <c r="H596" s="81" t="s">
        <v>224</v>
      </c>
      <c r="I596" s="81" t="s">
        <v>224</v>
      </c>
      <c r="J596" s="81" t="s">
        <v>6993</v>
      </c>
    </row>
    <row r="597">
      <c r="A597" s="83" t="s">
        <v>7026</v>
      </c>
      <c r="B597" s="83" t="s">
        <v>7027</v>
      </c>
      <c r="C597" s="81" t="s">
        <v>6983</v>
      </c>
      <c r="D597" s="81" t="s">
        <v>6901</v>
      </c>
      <c r="E597" s="81" t="s">
        <v>6681</v>
      </c>
      <c r="F597" s="81" t="s">
        <v>224</v>
      </c>
      <c r="G597" s="81" t="s">
        <v>224</v>
      </c>
      <c r="H597" s="81" t="s">
        <v>224</v>
      </c>
      <c r="I597" s="81" t="s">
        <v>224</v>
      </c>
      <c r="J597" s="81" t="s">
        <v>6993</v>
      </c>
    </row>
    <row r="598">
      <c r="A598" s="83" t="s">
        <v>7026</v>
      </c>
      <c r="B598" s="83" t="s">
        <v>7027</v>
      </c>
      <c r="C598" s="81" t="s">
        <v>6983</v>
      </c>
      <c r="D598" s="81" t="s">
        <v>6901</v>
      </c>
      <c r="E598" s="81" t="s">
        <v>6682</v>
      </c>
      <c r="F598" s="81" t="s">
        <v>224</v>
      </c>
      <c r="G598" s="81" t="s">
        <v>224</v>
      </c>
      <c r="H598" s="81" t="s">
        <v>224</v>
      </c>
      <c r="I598" s="81" t="s">
        <v>224</v>
      </c>
      <c r="J598" s="81" t="s">
        <v>6993</v>
      </c>
    </row>
    <row r="599">
      <c r="A599" s="83" t="s">
        <v>7026</v>
      </c>
      <c r="B599" s="83" t="s">
        <v>7027</v>
      </c>
      <c r="C599" s="81" t="s">
        <v>6983</v>
      </c>
      <c r="D599" s="81" t="s">
        <v>6901</v>
      </c>
      <c r="E599" s="81" t="s">
        <v>6683</v>
      </c>
      <c r="F599" s="81" t="s">
        <v>224</v>
      </c>
      <c r="G599" s="81" t="s">
        <v>224</v>
      </c>
      <c r="H599" s="81" t="s">
        <v>224</v>
      </c>
      <c r="I599" s="81" t="s">
        <v>224</v>
      </c>
      <c r="J599" s="81" t="s">
        <v>6993</v>
      </c>
    </row>
    <row r="600">
      <c r="A600" s="83" t="s">
        <v>7026</v>
      </c>
      <c r="B600" s="83" t="s">
        <v>7027</v>
      </c>
      <c r="C600" s="81" t="s">
        <v>6983</v>
      </c>
      <c r="D600" s="81" t="s">
        <v>6901</v>
      </c>
      <c r="E600" s="81" t="s">
        <v>6684</v>
      </c>
      <c r="F600" s="81" t="s">
        <v>224</v>
      </c>
      <c r="G600" s="81" t="s">
        <v>224</v>
      </c>
      <c r="H600" s="81" t="s">
        <v>224</v>
      </c>
      <c r="I600" s="81" t="s">
        <v>224</v>
      </c>
      <c r="J600" s="81" t="s">
        <v>6993</v>
      </c>
    </row>
    <row r="601">
      <c r="A601" s="83" t="s">
        <v>7026</v>
      </c>
      <c r="B601" s="83" t="s">
        <v>7027</v>
      </c>
      <c r="C601" s="81" t="s">
        <v>6983</v>
      </c>
      <c r="D601" s="81" t="s">
        <v>6901</v>
      </c>
      <c r="E601" s="81" t="s">
        <v>6685</v>
      </c>
      <c r="F601" s="81" t="s">
        <v>224</v>
      </c>
      <c r="G601" s="81" t="s">
        <v>224</v>
      </c>
      <c r="H601" s="81" t="s">
        <v>224</v>
      </c>
      <c r="I601" s="81" t="s">
        <v>224</v>
      </c>
      <c r="J601" s="81" t="s">
        <v>6993</v>
      </c>
    </row>
    <row r="602">
      <c r="A602" s="83" t="s">
        <v>7026</v>
      </c>
      <c r="B602" s="83" t="s">
        <v>7027</v>
      </c>
      <c r="C602" s="81" t="s">
        <v>6983</v>
      </c>
      <c r="D602" s="81" t="s">
        <v>6901</v>
      </c>
      <c r="E602" s="81" t="s">
        <v>6686</v>
      </c>
      <c r="F602" s="81" t="s">
        <v>224</v>
      </c>
      <c r="G602" s="81" t="s">
        <v>224</v>
      </c>
      <c r="H602" s="81" t="s">
        <v>224</v>
      </c>
      <c r="I602" s="81" t="s">
        <v>224</v>
      </c>
      <c r="J602" s="81" t="s">
        <v>6993</v>
      </c>
    </row>
    <row r="603">
      <c r="A603" s="83" t="s">
        <v>7026</v>
      </c>
      <c r="B603" s="83" t="s">
        <v>7027</v>
      </c>
      <c r="C603" s="81" t="s">
        <v>6983</v>
      </c>
      <c r="D603" s="81" t="s">
        <v>6901</v>
      </c>
      <c r="E603" s="81" t="s">
        <v>6687</v>
      </c>
      <c r="F603" s="81" t="s">
        <v>224</v>
      </c>
      <c r="G603" s="81" t="s">
        <v>224</v>
      </c>
      <c r="H603" s="81" t="s">
        <v>224</v>
      </c>
      <c r="I603" s="81" t="s">
        <v>224</v>
      </c>
      <c r="J603" s="81" t="s">
        <v>6993</v>
      </c>
    </row>
    <row r="604">
      <c r="A604" s="83" t="s">
        <v>7026</v>
      </c>
      <c r="B604" s="83" t="s">
        <v>7027</v>
      </c>
      <c r="C604" s="81" t="s">
        <v>6983</v>
      </c>
      <c r="D604" s="81" t="s">
        <v>6901</v>
      </c>
      <c r="E604" s="81" t="s">
        <v>6688</v>
      </c>
      <c r="F604" s="81" t="s">
        <v>224</v>
      </c>
      <c r="G604" s="81" t="s">
        <v>224</v>
      </c>
      <c r="H604" s="81" t="s">
        <v>224</v>
      </c>
      <c r="I604" s="81" t="s">
        <v>224</v>
      </c>
      <c r="J604" s="81" t="s">
        <v>6993</v>
      </c>
    </row>
    <row r="605">
      <c r="A605" s="83" t="s">
        <v>7026</v>
      </c>
      <c r="B605" s="83" t="s">
        <v>7027</v>
      </c>
      <c r="C605" s="81" t="s">
        <v>6983</v>
      </c>
      <c r="D605" s="81" t="s">
        <v>6901</v>
      </c>
      <c r="E605" s="81" t="s">
        <v>6689</v>
      </c>
      <c r="F605" s="81" t="s">
        <v>224</v>
      </c>
      <c r="G605" s="81" t="s">
        <v>224</v>
      </c>
      <c r="H605" s="81" t="s">
        <v>224</v>
      </c>
      <c r="I605" s="81" t="s">
        <v>224</v>
      </c>
      <c r="J605" s="81" t="s">
        <v>6993</v>
      </c>
    </row>
    <row r="606">
      <c r="A606" s="83" t="s">
        <v>7026</v>
      </c>
      <c r="B606" s="83" t="s">
        <v>7027</v>
      </c>
      <c r="C606" s="81" t="s">
        <v>6983</v>
      </c>
      <c r="D606" s="81" t="s">
        <v>6901</v>
      </c>
      <c r="E606" s="81" t="s">
        <v>6690</v>
      </c>
      <c r="F606" s="81" t="s">
        <v>224</v>
      </c>
      <c r="G606" s="81" t="s">
        <v>224</v>
      </c>
      <c r="H606" s="81" t="s">
        <v>224</v>
      </c>
      <c r="I606" s="81" t="s">
        <v>224</v>
      </c>
      <c r="J606" s="81" t="s">
        <v>6993</v>
      </c>
    </row>
    <row r="607">
      <c r="A607" s="83" t="s">
        <v>7026</v>
      </c>
      <c r="B607" s="83" t="s">
        <v>7027</v>
      </c>
      <c r="C607" s="81" t="s">
        <v>6983</v>
      </c>
      <c r="D607" s="81" t="s">
        <v>6901</v>
      </c>
      <c r="E607" s="81" t="s">
        <v>6691</v>
      </c>
      <c r="F607" s="81" t="s">
        <v>224</v>
      </c>
      <c r="G607" s="81" t="s">
        <v>224</v>
      </c>
      <c r="H607" s="81" t="s">
        <v>224</v>
      </c>
      <c r="I607" s="81" t="s">
        <v>224</v>
      </c>
      <c r="J607" s="81" t="s">
        <v>6993</v>
      </c>
    </row>
    <row r="608">
      <c r="A608" s="83" t="s">
        <v>7026</v>
      </c>
      <c r="B608" s="83" t="s">
        <v>7027</v>
      </c>
      <c r="C608" s="81" t="s">
        <v>6983</v>
      </c>
      <c r="D608" s="81" t="s">
        <v>6901</v>
      </c>
      <c r="E608" s="81" t="s">
        <v>6692</v>
      </c>
      <c r="F608" s="81" t="s">
        <v>224</v>
      </c>
      <c r="G608" s="81" t="s">
        <v>224</v>
      </c>
      <c r="H608" s="81" t="s">
        <v>224</v>
      </c>
      <c r="I608" s="81" t="s">
        <v>224</v>
      </c>
      <c r="J608" s="81" t="s">
        <v>6993</v>
      </c>
    </row>
    <row r="609">
      <c r="A609" s="83" t="s">
        <v>7026</v>
      </c>
      <c r="B609" s="83" t="s">
        <v>7027</v>
      </c>
      <c r="C609" s="81" t="s">
        <v>6983</v>
      </c>
      <c r="D609" s="81" t="s">
        <v>6901</v>
      </c>
      <c r="E609" s="81" t="s">
        <v>6702</v>
      </c>
      <c r="F609" s="81" t="s">
        <v>224</v>
      </c>
      <c r="G609" s="81" t="s">
        <v>224</v>
      </c>
      <c r="H609" s="81" t="s">
        <v>224</v>
      </c>
      <c r="I609" s="81" t="s">
        <v>224</v>
      </c>
      <c r="J609" s="81" t="s">
        <v>6993</v>
      </c>
    </row>
    <row r="610">
      <c r="A610" s="83" t="s">
        <v>7026</v>
      </c>
      <c r="B610" s="83" t="s">
        <v>7027</v>
      </c>
      <c r="C610" s="81" t="s">
        <v>6983</v>
      </c>
      <c r="D610" s="81" t="s">
        <v>6901</v>
      </c>
      <c r="E610" s="81" t="s">
        <v>6703</v>
      </c>
      <c r="F610" s="81" t="s">
        <v>224</v>
      </c>
      <c r="G610" s="81" t="s">
        <v>224</v>
      </c>
      <c r="H610" s="81" t="s">
        <v>224</v>
      </c>
      <c r="I610" s="81" t="s">
        <v>224</v>
      </c>
      <c r="J610" s="81" t="s">
        <v>6993</v>
      </c>
    </row>
    <row r="611">
      <c r="A611" s="83" t="s">
        <v>7026</v>
      </c>
      <c r="B611" s="83" t="s">
        <v>7027</v>
      </c>
      <c r="C611" s="81" t="s">
        <v>6983</v>
      </c>
      <c r="D611" s="81" t="s">
        <v>6901</v>
      </c>
      <c r="E611" s="81" t="s">
        <v>6704</v>
      </c>
      <c r="F611" s="81" t="s">
        <v>224</v>
      </c>
      <c r="G611" s="81" t="s">
        <v>224</v>
      </c>
      <c r="H611" s="81" t="s">
        <v>224</v>
      </c>
      <c r="I611" s="81" t="s">
        <v>224</v>
      </c>
      <c r="J611" s="81" t="s">
        <v>6993</v>
      </c>
    </row>
    <row r="612">
      <c r="A612" s="83" t="s">
        <v>7026</v>
      </c>
      <c r="B612" s="83" t="s">
        <v>7027</v>
      </c>
      <c r="C612" s="81" t="s">
        <v>6983</v>
      </c>
      <c r="D612" s="81" t="s">
        <v>6901</v>
      </c>
      <c r="E612" s="81" t="s">
        <v>6705</v>
      </c>
      <c r="F612" s="81" t="s">
        <v>224</v>
      </c>
      <c r="G612" s="81" t="s">
        <v>224</v>
      </c>
      <c r="H612" s="81" t="s">
        <v>224</v>
      </c>
      <c r="I612" s="81" t="s">
        <v>224</v>
      </c>
      <c r="J612" s="81" t="s">
        <v>6993</v>
      </c>
    </row>
    <row r="613">
      <c r="A613" s="83" t="s">
        <v>7026</v>
      </c>
      <c r="B613" s="83" t="s">
        <v>7027</v>
      </c>
      <c r="C613" s="81" t="s">
        <v>6983</v>
      </c>
      <c r="D613" s="81" t="s">
        <v>6901</v>
      </c>
      <c r="E613" s="81" t="s">
        <v>6706</v>
      </c>
      <c r="F613" s="81" t="s">
        <v>224</v>
      </c>
      <c r="G613" s="81" t="s">
        <v>224</v>
      </c>
      <c r="H613" s="81" t="s">
        <v>224</v>
      </c>
      <c r="I613" s="81" t="s">
        <v>224</v>
      </c>
      <c r="J613" s="81" t="s">
        <v>6993</v>
      </c>
    </row>
    <row r="614">
      <c r="A614" s="83" t="s">
        <v>7026</v>
      </c>
      <c r="B614" s="83" t="s">
        <v>7027</v>
      </c>
      <c r="C614" s="81" t="s">
        <v>6983</v>
      </c>
      <c r="D614" s="81" t="s">
        <v>6901</v>
      </c>
      <c r="E614" s="81" t="s">
        <v>6707</v>
      </c>
      <c r="F614" s="81" t="s">
        <v>224</v>
      </c>
      <c r="G614" s="81" t="s">
        <v>224</v>
      </c>
      <c r="H614" s="81" t="s">
        <v>224</v>
      </c>
      <c r="I614" s="81" t="s">
        <v>224</v>
      </c>
      <c r="J614" s="81" t="s">
        <v>6993</v>
      </c>
    </row>
    <row r="615">
      <c r="A615" s="83" t="s">
        <v>7026</v>
      </c>
      <c r="B615" s="83" t="s">
        <v>7027</v>
      </c>
      <c r="C615" s="81" t="s">
        <v>6983</v>
      </c>
      <c r="D615" s="81" t="s">
        <v>6901</v>
      </c>
      <c r="E615" s="81" t="s">
        <v>6708</v>
      </c>
      <c r="F615" s="81" t="s">
        <v>224</v>
      </c>
      <c r="G615" s="81" t="s">
        <v>224</v>
      </c>
      <c r="H615" s="81" t="s">
        <v>224</v>
      </c>
      <c r="I615" s="81" t="s">
        <v>224</v>
      </c>
      <c r="J615" s="81" t="s">
        <v>6993</v>
      </c>
    </row>
    <row r="616">
      <c r="A616" s="83" t="s">
        <v>7026</v>
      </c>
      <c r="B616" s="83" t="s">
        <v>7027</v>
      </c>
      <c r="C616" s="81" t="s">
        <v>6983</v>
      </c>
      <c r="D616" s="81" t="s">
        <v>6901</v>
      </c>
      <c r="E616" s="81" t="s">
        <v>6709</v>
      </c>
      <c r="F616" s="81" t="s">
        <v>224</v>
      </c>
      <c r="G616" s="81" t="s">
        <v>224</v>
      </c>
      <c r="H616" s="81" t="s">
        <v>224</v>
      </c>
      <c r="I616" s="81" t="s">
        <v>224</v>
      </c>
      <c r="J616" s="81" t="s">
        <v>6993</v>
      </c>
    </row>
    <row r="617">
      <c r="A617" s="83" t="s">
        <v>7026</v>
      </c>
      <c r="B617" s="83" t="s">
        <v>7027</v>
      </c>
      <c r="C617" s="81" t="s">
        <v>6983</v>
      </c>
      <c r="D617" s="81" t="s">
        <v>6901</v>
      </c>
      <c r="E617" s="81" t="s">
        <v>6710</v>
      </c>
      <c r="F617" s="81" t="s">
        <v>224</v>
      </c>
      <c r="G617" s="81" t="s">
        <v>224</v>
      </c>
      <c r="H617" s="81" t="s">
        <v>224</v>
      </c>
      <c r="I617" s="81" t="s">
        <v>224</v>
      </c>
      <c r="J617" s="81" t="s">
        <v>6993</v>
      </c>
    </row>
    <row r="618">
      <c r="A618" s="83" t="s">
        <v>7026</v>
      </c>
      <c r="B618" s="83" t="s">
        <v>7027</v>
      </c>
      <c r="C618" s="81" t="s">
        <v>6983</v>
      </c>
      <c r="D618" s="81" t="s">
        <v>6901</v>
      </c>
      <c r="E618" s="81" t="s">
        <v>6711</v>
      </c>
      <c r="F618" s="81" t="s">
        <v>224</v>
      </c>
      <c r="G618" s="81" t="s">
        <v>224</v>
      </c>
      <c r="H618" s="81" t="s">
        <v>224</v>
      </c>
      <c r="I618" s="81" t="s">
        <v>224</v>
      </c>
      <c r="J618" s="81" t="s">
        <v>6993</v>
      </c>
    </row>
    <row r="619">
      <c r="A619" s="83" t="s">
        <v>7026</v>
      </c>
      <c r="B619" s="83" t="s">
        <v>7027</v>
      </c>
      <c r="C619" s="81" t="s">
        <v>6983</v>
      </c>
      <c r="D619" s="81" t="s">
        <v>6901</v>
      </c>
      <c r="E619" s="81" t="s">
        <v>6712</v>
      </c>
      <c r="F619" s="81" t="s">
        <v>224</v>
      </c>
      <c r="G619" s="81" t="s">
        <v>224</v>
      </c>
      <c r="H619" s="81" t="s">
        <v>224</v>
      </c>
      <c r="I619" s="81" t="s">
        <v>224</v>
      </c>
      <c r="J619" s="81" t="s">
        <v>6993</v>
      </c>
    </row>
    <row r="620">
      <c r="A620" s="83" t="s">
        <v>7026</v>
      </c>
      <c r="B620" s="83" t="s">
        <v>7027</v>
      </c>
      <c r="C620" s="81" t="s">
        <v>6983</v>
      </c>
      <c r="D620" s="81" t="s">
        <v>6901</v>
      </c>
      <c r="E620" s="81" t="s">
        <v>6713</v>
      </c>
      <c r="F620" s="81" t="s">
        <v>224</v>
      </c>
      <c r="G620" s="81" t="s">
        <v>224</v>
      </c>
      <c r="H620" s="81" t="s">
        <v>224</v>
      </c>
      <c r="I620" s="81" t="s">
        <v>224</v>
      </c>
      <c r="J620" s="81" t="s">
        <v>6993</v>
      </c>
    </row>
    <row r="621">
      <c r="A621" s="83" t="s">
        <v>7026</v>
      </c>
      <c r="B621" s="83" t="s">
        <v>7027</v>
      </c>
      <c r="C621" s="81" t="s">
        <v>4084</v>
      </c>
      <c r="D621" s="81" t="s">
        <v>6901</v>
      </c>
      <c r="E621" s="81" t="s">
        <v>1197</v>
      </c>
      <c r="F621" s="81" t="s">
        <v>6998</v>
      </c>
      <c r="G621" s="81" t="s">
        <v>7022</v>
      </c>
      <c r="H621" s="81" t="s">
        <v>224</v>
      </c>
      <c r="I621" s="81" t="s">
        <v>224</v>
      </c>
      <c r="J621" s="81" t="s">
        <v>7023</v>
      </c>
    </row>
    <row r="622">
      <c r="A622" s="83" t="s">
        <v>7026</v>
      </c>
      <c r="B622" s="83" t="s">
        <v>7027</v>
      </c>
      <c r="C622" s="81" t="s">
        <v>6983</v>
      </c>
      <c r="D622" s="81" t="s">
        <v>6901</v>
      </c>
      <c r="E622" s="81" t="s">
        <v>6362</v>
      </c>
      <c r="F622" s="81" t="s">
        <v>224</v>
      </c>
      <c r="G622" s="81" t="s">
        <v>224</v>
      </c>
      <c r="H622" s="81" t="s">
        <v>224</v>
      </c>
      <c r="I622" s="81" t="s">
        <v>224</v>
      </c>
      <c r="J622" s="81" t="s">
        <v>6993</v>
      </c>
    </row>
    <row r="623">
      <c r="A623" s="83" t="s">
        <v>7026</v>
      </c>
      <c r="B623" s="83" t="s">
        <v>7027</v>
      </c>
      <c r="C623" s="81" t="s">
        <v>4084</v>
      </c>
      <c r="D623" s="81" t="s">
        <v>6901</v>
      </c>
      <c r="E623" s="81" t="s">
        <v>1321</v>
      </c>
      <c r="F623" s="81" t="s">
        <v>7001</v>
      </c>
      <c r="G623" s="81" t="s">
        <v>7024</v>
      </c>
      <c r="H623" s="81" t="s">
        <v>224</v>
      </c>
      <c r="I623" s="81" t="s">
        <v>224</v>
      </c>
      <c r="J623" s="81" t="s">
        <v>7025</v>
      </c>
    </row>
  </sheetData>
  <drawing r:id="rId1"/>
</worksheet>
</file>